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Mitigation" sheetId="1" state="visible" r:id="rId1"/>
    <sheet xmlns:r="http://schemas.openxmlformats.org/officeDocument/2006/relationships" name="MTOutputs" sheetId="2" state="visible" r:id="rId2"/>
    <sheet xmlns:r="http://schemas.openxmlformats.org/officeDocument/2006/relationships" name="StoredResults" sheetId="3" state="visible" r:id="rId3"/>
    <sheet xmlns:r="http://schemas.openxmlformats.org/officeDocument/2006/relationships" name="ScenarioCompare" sheetId="4" state="visible" r:id="rId4"/>
    <sheet xmlns:r="http://schemas.openxmlformats.org/officeDocument/2006/relationships" name="MacroCheck" sheetId="5" state="visible" r:id="rId5"/>
    <sheet xmlns:r="http://schemas.openxmlformats.org/officeDocument/2006/relationships" name="Charts" sheetId="6" state="visible" r:id="rId6"/>
    <sheet xmlns:r="http://schemas.openxmlformats.org/officeDocument/2006/relationships" name="ReadMe" sheetId="7" state="visible" r:id="rId7"/>
    <sheet xmlns:r="http://schemas.openxmlformats.org/officeDocument/2006/relationships" name="LegacyDiff" sheetId="8" state="visible" r:id="rId8"/>
    <sheet xmlns:r="http://schemas.openxmlformats.org/officeDocument/2006/relationships" name="Settings" sheetId="9" state="visible" r:id="rId9"/>
    <sheet xmlns:r="http://schemas.openxmlformats.org/officeDocument/2006/relationships" name="Lambdas" sheetId="10" state="visible" r:id="rId10"/>
    <sheet xmlns:r="http://schemas.openxmlformats.org/officeDocument/2006/relationships" name="MTInputs" sheetId="11" state="visible" r:id="rId11"/>
    <sheet xmlns:r="http://schemas.openxmlformats.org/officeDocument/2006/relationships" name="Inputs" sheetId="12" state="visible" r:id="rId12"/>
    <sheet xmlns:r="http://schemas.openxmlformats.org/officeDocument/2006/relationships" name="Inputs_prices" sheetId="13" state="visible" r:id="rId13"/>
    <sheet xmlns:r="http://schemas.openxmlformats.org/officeDocument/2006/relationships" name="Inputs_power" sheetId="14" state="visible" r:id="rId14"/>
    <sheet xmlns:r="http://schemas.openxmlformats.org/officeDocument/2006/relationships" name="Variables" sheetId="15" state="visible" r:id="rId15"/>
    <sheet xmlns:r="http://schemas.openxmlformats.org/officeDocument/2006/relationships" name="Mapping" sheetId="16" state="visible" r:id="rId16"/>
    <sheet xmlns:r="http://schemas.openxmlformats.org/officeDocument/2006/relationships" name="DATA-&gt;" sheetId="17" state="visible" r:id="rId17"/>
    <sheet xmlns:r="http://schemas.openxmlformats.org/officeDocument/2006/relationships" name="Countries" sheetId="18" state="visible" r:id="rId18"/>
    <sheet xmlns:r="http://schemas.openxmlformats.org/officeDocument/2006/relationships" name="Elasticities" sheetId="19" state="visible" r:id="rId19"/>
    <sheet xmlns:r="http://schemas.openxmlformats.org/officeDocument/2006/relationships" name="Prices_dom" sheetId="20" state="visible" r:id="rId20"/>
    <sheet xmlns:r="http://schemas.openxmlformats.org/officeDocument/2006/relationships" name="Prices_int" sheetId="21" state="visible" r:id="rId21"/>
    <sheet xmlns:r="http://schemas.openxmlformats.org/officeDocument/2006/relationships" name="PriceAssump" sheetId="22" state="visible" r:id="rId22"/>
    <sheet xmlns:r="http://schemas.openxmlformats.org/officeDocument/2006/relationships" name="EnergyCons" sheetId="23" state="visible" r:id="rId23"/>
    <sheet xmlns:r="http://schemas.openxmlformats.org/officeDocument/2006/relationships" name="WEO" sheetId="24" state="visible" r:id="rId24"/>
    <sheet xmlns:r="http://schemas.openxmlformats.org/officeDocument/2006/relationships" name="EF_GHG" sheetId="25" state="visible" r:id="rId25"/>
    <sheet xmlns:r="http://schemas.openxmlformats.org/officeDocument/2006/relationships" name="PowerTech" sheetId="26" state="visible" r:id="rId26"/>
    <sheet xmlns:r="http://schemas.openxmlformats.org/officeDocument/2006/relationships" name="PowerPaths" sheetId="27" state="visible" r:id="rId27"/>
    <sheet xmlns:r="http://schemas.openxmlformats.org/officeDocument/2006/relationships" name="PowerParams" sheetId="28" state="visible" r:id="rId28"/>
    <sheet xmlns:r="http://schemas.openxmlformats.org/officeDocument/2006/relationships" name="PowerDemand" sheetId="29" state="visible" r:id="rId29"/>
    <sheet xmlns:r="http://schemas.openxmlformats.org/officeDocument/2006/relationships" name="ECP" sheetId="30" state="visible" r:id="rId30"/>
  </sheets>
  <definedNames>
    <definedName name="PATH" comment="Policy path: 0 before y0, linear from start (y0) to target (y1); after y1 linear if cont, else flat">_xlfn.LAMBDA(_xlpm.year,_xlpm.y0,_xlpm.y1,_xlpm.start,_xlpm.target,_xlpm.cont,IF(_xlpm.year&lt;_xlpm.y0,0,_xlpm.start+(_xlpm.target-_xlpm.start)/MAX(_xlpm.y1-_xlpm.y0,1)*IF(OR(_xlpm.year&lt;=_xlpm.y1,_xlpm.cont),_xlpm.year-_xlpm.y0,_xlpm.y1-_xlpm.y0)))</definedName>
    <definedName name="PATHYEARS" comment="Years along a policy path: year - y0, held at y1 - y0 after the target year unless cont">_xlfn.LAMBDA(_xlpm.year,_xlpm.y0,_xlpm.y1,_xlpm.cont,IF(_xlpm.cont,_xlpm.year,MIN(_xlpm.year,_xlpm.y1))-_xlpm.y0)</definedName>
    <definedName name="NOMFACTOR" comment="Nominal-to-real factor of the carbon price inputs: the CPI index if they are nominal, else 1">_xlfn.LAMBDA(_xlpm.basis,_xlpm.cpi_index,IF(LEFT(_xlpm.basis,7)="Nominal",_xlpm.cpi_index,1))</definedName>
    <definedName name="ETSON" comment="1 if the new ETS applies (Yes) and has started, else 0">_xlfn.LAMBDA(_xlpm.apply,_xlpm.year,_xlpm.start_year,IF(AND(LEFT(_xlpm.apply,3)="Yes",_xlpm.year&gt;=_xlpm.start_year),1,0))</definedName>
    <definedName name="ETSPRICE" comment="ETS permit price ($/tCO2) once a new ETS applies: override row if the override switch is Yes (blank cell: carbon price path), else the fast estimate">_xlfn.LAMBDA(_xlpm.ets_on,_xlpm.override,_xlpm.override_price,_xlpm.estimate,_xlpm.carbon_price,IF(_xlpm.ets_on=1,IF(LEFT(_xlpm.override,3)="Yes",IF(_xlpm.override_price="",_xlpm.carbon_price,_xlpm.override_price),_xlpm.estimate),0))</definedName>
    <definedName name="OBRSHARE" comment="Output-based (OBR) share of an ETS sector: its benchmark, between 0 and 1">_xlfn.LAMBDA(_xlpm.benchmark,MIN(1,MAX(0,_xlpm.benchmark)))</definedName>
    <definedName name="VOLPICK" comment="Value of the Settings volatility table (legacy ETS+LTS) for an MTInputs label (Medium, High, Low, Zero; a trailing * ignored)">_xlfn.LAMBDA(_xlpm.label,_xlpm.values,INDEX(_xlpm.values,MATCH(SUBSTITUTE(_xlpm.label,"*",""),Settings!$C$16:$F$16,0)))</definedName>
    <definedName name="VOLADJ" comment="ETS volatility adjustment: (1 + carbon tax policy risk x impact) / (1 + ETS volatility x impact)">_xlfn.LAMBDA(_xlpm.volatility,_xlpm.impact,_xlpm.ct_risk,(1+_xlpm.ct_risk*_xlpm.impact)/(1+_xlpm.volatility*_xlpm.impact))</definedName>
    <definedName name="COVERED" comment="Covered emissions: SUMPRODUCT(emissions by ETS sector, effective coverage)">_xlfn.LAMBDA(_xlpm.emissions,_xlpm.coverage,SUMPRODUCT(_xlpm.emissions,_xlpm.coverage))</definedName>
    <definedName name="CAPCHANGE" comment="Relative change of the ETS cap: linear from the start to the target year, flat after">_xlfn.LAMBDA(_xlpm.year,_xlpm.y0,_xlpm.y1,_xlpm.change_start,_xlpm.change_target,_xlpm.change_start+(_xlpm.change_target-_xlpm.change_start)/MAX(_xlpm.y1-_xlpm.y0,1)*(MIN(_xlpm.year,_xlpm.y1)-_xlpm.y0))</definedName>
    <definedName name="ETSCAP" comment="ETS cap: baseline covered emissions x (1 + relative change); after the target year constant if the continuation is Constant, else the relative change is kept">_xlfn.LAMBDA(_xlpm.ets_on,_xlpm.year,_xlpm.y1,_xlpm.cont,_xlpm.base,_xlpm.change,_xlpm.cap_prev,IF(_xlpm.ets_on=1,IF(AND(_xlpm.year&gt;_xlpm.y1,LEFT(_xlpm.cont,8)="Constant"),_xlpm.cap_prev,_xlpm.base*(1+_xlpm.change)),0))</definedName>
    <definedName name="ETSSEMI" comment="Effective covered semi-elasticity: baseline-weighted sector semi-elasticities x allocation effectiveness (auctioned 1, OBR obr_eff)">_xlfn.LAMBDA(_xlpm.emissions,_xlpm.coverage,_xlpm.semi,_xlpm.obr,_xlpm.obr_eff,_xlpm.base,IF(_xlpm.base&gt;0,SUMPRODUCT(_xlpm.emissions,_xlpm.coverage,_xlpm.semi,1-(1-_xlpm.obr_eff)*_xlpm.obr)/_xlpm.base,0))</definedName>
    <definedName name="ETSESTIMATE" comment="Fast ETS price estimate: LN(cap / baseline covered emissions) / (semi-elasticity x volatility adjustment), 0 if the cap does not bind">_xlfn.LAMBDA(_xlpm.ets_on,_xlpm.cap,_xlpm.base,_xlpm.semi,_xlpm.vadj,IF(AND(_xlpm.ets_on=1,_xlpm.cap&gt;0,_xlpm.cap&lt;_xlpm.base,_xlpm.semi&lt;0,_xlpm.vadj&gt;0),LN(_xlpm.cap/_xlpm.base)/(_xlpm.semi*_xlpm.vadj),0))</definedName>
    <definedName name="TAXEQUIV" comment="ETS tax-equivalent price: permit price x volatility adjustment">_xlfn.LAMBDA(_xlpm.price,_xlpm.vadj,_xlpm.price*_xlpm.vadj)</definedName>
    <definedName name="REVFACTOR" comment="ETS revenue factor: permit price per $ of tax-equivalent price (1 / volatility adjustment)">_xlfn.LAMBDA(_xlpm.vadj,IF(_xlpm.vadj&gt;0,1/_xlpm.vadj,0))</definedName>
    <definedName name="ETSCOVER" comment="Effective ETS coverage of a sector: 1 if the new ETS applies, has started and covers it">_xlfn.LAMBDA(_xlpm.ets_on,_xlpm.covered,IF(_xlpm.ets_on=1,IF(_xlpm.covered,1,0),0))</definedName>
    <definedName name="SHADOWSECTOR" comment="Shadow price by sector ($/tCO2): feebate rate + regulations (placeholder)">_xlfn.LAMBDA(_xlpm.feebate,_xlpm.regulation,_xlpm.feebate+_xlpm.regulation)</definedName>
    <definedName name="SHADOWSHARE" comment="Share of the shadow price impacting efficiency: coverage x efficiency-margin adjustment">_xlfn.LAMBDA(_xlpm.coverage,_xlpm.adjustment,IF(_xlpm.coverage,1,0)*_xlpm.adjustment)</definedName>
    <definedName name="SUPPLYCOST" comment="Supply cost: data up to the last historical year (Inputs_prices, row pos), then fixed part + floating part x gp(t)/gp(t-1)">_xlfn.LAMBDA(_xlpm.year,_xlpm.pos,_xlpm.fix_sp,_xlpm.sp_prev,_xlpm.gp_now,_xlpm.gp_prev,IF(_xlpm.year&lt;=Settings!$C$10,IFERROR(INDEX(Inputs_prices!$U$7:$X$18,_xlpm.pos,MATCH(_xlpm.year,Inputs_prices!$U$6:$X$6,0)),0),_xlpm.fix_sp+(_xlpm.sp_prev-_xlpm.fix_sp)*_xlpm.gp_now/_xlpm.gp_prev))</definedName>
    <definedName name="OTHERTAX" comment="Excise and other taxes: data up to the last historical year, then fixed part txo_L x pcc + floating part (sp_L - sp + txo_L(1 - pcc)) x (1 - pcc), not below its last value if that is &gt;= 0 (legacy)">_xlfn.LAMBDA(_xlpm.year,_xlpm.pos,_xlpm.txo_last,_xlpm.sp_last,_xlpm.sp_now,_xlpm.pcc,IF(_xlpm.year&lt;=Settings!$C$10,IFERROR(INDEX(Inputs_prices!$Y$7:$AB$18,_xlpm.pos,MATCH(_xlpm.year,Inputs_prices!$Y$6:$AB$6,0)),0),_xlpm.txo_last*_xlpm.pcc+IF(_xlpm.txo_last*(1-_xlpm.pcc)&gt;=0,MAX(_xlpm.txo_last*(1-_xlpm.pcc),(_xlpm.sp_last-_xlpm.sp_now+_xlpm.txo_last*(1-_xlpm.pcc))*(1-_xlpm.pcc)),(_xlpm.sp_last-_xlpm.sp_now+_xlpm.txo_last*(1-_xlpm.pcc))*(1-_xlpm.pcc))))</definedName>
    <definedName name="RETAILPRICE" comment="Retail price before new policies: (supply cost + excise and other taxes) x (1 + VAT rate)">_xlfn.LAMBDA(_xlpm.sp,_xlpm.txo,_xlpm.vat_rate,(_xlpm.sp+_xlpm.txo)*(1+_xlpm.vat_rate))</definedName>
    <definedName name="VATPAY" comment="VAT payment before new policies: (supply cost + excise and other taxes) x VAT rate">_xlfn.LAMBDA(_xlpm.sp,_xlpm.txo,_xlpm.vat_rate,(_xlpm.sp+_xlpm.txo)*_xlpm.vat_rate)</definedName>
    <definedName name="TAXPART" comment="Existing tax: positive part of excise and other taxes">_xlfn.LAMBDA(_xlpm.txo,MAX(_xlpm.txo,0))</definedName>
    <definedName name="SUBSIDYPART" comment="Existing consumer subsidy: negative part of excise and other taxes, as a positive number">_xlfn.LAMBDA(_xlpm.txo,MAX(-_xlpm.txo,0))</definedName>
    <definedName name="PERUNIT" comment="Value per GJ converted to the price unit (MTInputs units: $/liter, $/bbl, $/GJ)">_xlfn.LAMBDA(_xlpm.value_gj,_xlpm.gj_per_unit,_xlpm.value_gj*_xlpm.gj_per_unit)</definedName>
    <definedName name="SECTORTAX" comment="Carbon tax rate of a sector ($/tCO2): carbon price x sector coverage (complementary to an existing ETS: 1 - its sector coverage), not where the new ETS covers">_xlfn.LAMBDA(_xlpm.price,_xlpm.sector_cov,_xlpm.ets_cov,_xlpm.complement,_xlpm.xets_cov,_xlpm.price*IF(LEFT(_xlpm.complement,3)="Yes",1-_xlpm.xets_cov,_xlpm.sector_cov)*(1-_xlpm.ets_cov))</definedName>
    <definedName name="ECPPRICE" comment="Existing carbon price used ($/tCO2 real): data of the year x (1 + growth) after the last data year, if the existing scheme applies (Yes), else 0">_xlfn.LAMBDA(_xlpm.apply,_xlpm.data,_xlpm.growth,_xlpm.year,IF(LEFT(_xlpm.apply,3)="Yes",_xlpm.data*(1+_xlpm.growth)^MAX(0,_xlpm.year-ECPLast),0))</definedName>
    <definedName name="XCARBON" comment="Existing carbon pricing per unit: EF (or CO2) x (carbon tax coverage x price + ETS coverage x price); with price changes: the change against the price data">_xlfn.LAMBDA(_xlpm.ef,_xlpm.ct_cov,_xlpm.ct_price,_xlpm.ets_cov,_xlpm.ets_price,_xlpm.ef*(_xlpm.ct_cov*_xlpm.ct_price+_xlpm.ets_cov*_xlpm.ets_price))</definedName>
    <definedName name="SECTORETS" comment="ETS cost rate of a sector in the fuel price ($/tCO2): tax-equivalent price x effective ETS coverage x auctioned share (1 - OBR)">_xlfn.LAMBDA(_xlpm.price,_xlpm.ets_cov,_xlpm.obr,_xlpm.price*_xlpm.ets_cov*(1-_xlpm.obr))</definedName>
    <definedName name="CARBONTAX" comment="New carbon tax ($/GJ): carbon tax rate of the sector x EF x fuel coverage">_xlfn.LAMBDA(_xlpm.rate,_xlpm.ef,_xlpm.fuel_cov,_xlpm.rate*_xlpm.ef*_xlpm.fuel_cov)</definedName>
    <definedName name="ETSCOST" comment="New ETS in the fuel price ($/GJ): ETS cost rate of the sector x EF; ETS rate x effective coverage and auctioned share are in the rate. Legacy: tax-equivalent price x EF x effective ETS coverage x auctioned share (1 - OBR)">_xlfn.LAMBDA(_xlpm.rate,_xlpm.ef,_xlpm.rate*_xlpm.ef)</definedName>
    <definedName name="NEWEXCISE" comment="New excise (fuel price reform): increase per price unit / GJ per price unit">_xlfn.LAMBDA(_xlpm.increase,_xlpm.gj_per_unit,_xlpm.increase/_xlpm.gj_per_unit)</definedName>
    <definedName name="NEWPOLICY" comment="Total new policy: new carbon tax + ETS + new excise">_xlfn.LAMBDA(_xlpm.carbon_tax,_xlpm.ets,_xlpm.excise,_xlpm.carbon_tax+_xlpm.ets+_xlpm.excise)</definedName>
    <definedName name="POSTTAX" comment="After-tax price: retail price before new policies + new policies x (1 + VAT rate), at least 0.01">_xlfn.LAMBDA(_xlpm.pre_policy_p,_xlpm.new_policy,_xlpm.vat_rate,MAX(_xlpm.pre_policy_p+_xlpm.new_policy*(1+_xlpm.vat_rate),0.01))</definedName>
    <definedName name="SHADOWTOTAL" comment="Shadow price on the efficiency margin of a sector ($/tCO2): sector shadow price x share impacting efficiency + ETS tax-equivalent price x ETS coverage x OBR share">_xlfn.LAMBDA(_xlpm.sector_price,_xlpm.share,_xlpm.ets_price,_xlpm.ets_cov,_xlpm.obr,_xlpm.sector_price*_xlpm.share+_xlpm.ets_price*_xlpm.ets_cov*_xlpm.obr)</definedName>
    <definedName name="SHADOWGJ" comment="Shadow price per unit of energy: shadow price ($/tCO2) x emission factor (tCO2 per GJ or per kWh)">_xlfn.LAMBDA(_xlpm.shadow_price,_xlpm.ef,_xlpm.shadow_price*_xlpm.ef)</definedName>
    <definedName name="KWHPOLICY" comment="New policy cost per kWh generated: tCO2/kWh x (carbon tax x fuel coverage + ETS cost) + fuel price reform x its kWh factor">_xlfn.LAMBDA(_xlpm.tco2_kwh,_xlpm.ct_rate,_xlpm.fuel_cov,_xlpm.ets_rate,_xlpm.reform,_xlpm.reform_factor,_xlpm.tco2_kwh*(_xlpm.ct_rate*_xlpm.fuel_cov+_xlpm.ets_rate)+_xlpm.reform*_xlpm.reform_factor)</definedName>
    <definedName name="FLOATTAX" comment="Floating part of excise and other taxes: (sp_L - sp + txo_L (1 - pcc)) x (1 - pcc) (legacy)">_xlfn.LAMBDA(_xlpm.txo_last,_xlpm.sp_last,_xlpm.sp_now,_xlpm.pcc,(_xlpm.sp_last-_xlpm.sp_now+_xlpm.txo_last*(1-_xlpm.pcc))*(1-_xlpm.pcc))</definedName>
    <definedName name="REVENUE" comment="Revenue (USD million real): fuel use (ktoe) x PJ per ktoe x rate ($/GJ)">_xlfn.LAMBDA(_xlpm.fuel_use,_xlpm.pj_per_ktoe,_xlpm.rate,_xlpm.fuel_use*_xlpm.pj_per_ktoe*_xlpm.rate)</definedName>
    <definedName name="EMISSIONS" comment="CO2 emissions (MtCO2): fuel use (ktoe) x PJ per ktoe x emission factor (tCO2/GJ)">_xlfn.LAMBDA(_xlpm.fuel_use,_xlpm.pj_per_ktoe,_xlpm.ef,_xlpm.fuel_use*_xlpm.pj_per_ktoe*_xlpm.ef)</definedName>
    <definedName name="NEWREVRATE" comment="New-policy revenue rate ($/GJ): carbon tax + new excise + ETS x revenue factor + VAT on new policies (feebates are revenue-neutral)">_xlfn.LAMBDA(_xlpm.carbon_tax,_xlpm.excise,_xlpm.ets,_xlpm.rev_factor,_xlpm.new_policy,_xlpm.vat_rate,_xlpm.carbon_tax+_xlpm.excise+_xlpm.ets*_xlpm.rev_factor+_xlpm.new_policy*_xlpm.vat_rate)</definedName>
    <definedName name="FUELUSE" comment="Fuel use, CPAT documentation 3.3.3, shadow price on the efficiency margin (no Covid factor); AEEI factor = (1/(1+alpha))^(1+eps_U), efficiency exponent = eps_F x (1+eps_U) (Inputs)">_xlfn.LAMBDA(_xlpm.f_prev,_xlpm.p_now,_xlpm.p_prev,_xlpm.shp_now,_xlpm.shp_prev,_xlpm.gdp_g,_xlpm.eps_y,_xlpm.eps_u,_xlpm.eff_exp,_xlpm.aeei_factor,_xlpm.f_prev*_xlpm.aeei_factor*(1+_xlpm.gdp_g)^_xlpm.eps_y*(_xlpm.p_now/_xlpm.p_prev)^_xlpm.eps_u*((_xlpm.p_now+_xlpm.shp_now)/(_xlpm.p_prev+_xlpm.shp_prev))^_xlpm.eff_exp)</definedName>
    <definedName name="CAPEX" comment="Capital cost of new plants ($/kW): capital cost at factor 1 x capex time factor">_xlfn.LAMBDA(_xlpm.capex_base,_xlpm.time_factor,_xlpm.capex_base*_xlpm.time_factor)</definedName>
    <definedName name="VINTAGE" comment="Vintage average: last year's average x (1 - last year's investment share) + new value x last year's investment share (legacy B2, B6)">_xlfn.LAMBDA(_xlpm.avg_prev,_xlpm.new_value,_xlpm.share_prev,_xlpm.avg_prev*(1-_xlpm.share_prev)+_xlpm.new_value*_xlpm.share_prev)</definedName>
    <definedName name="AMORTISED" comment="Amortised fixed cost ($/kWh): average capex x capex factor + other fixed costs + storage average">_xlfn.LAMBDA(_xlpm.capex_avg,_xlpm.capex_factor,_xlpm.other_fixed,_xlpm.storage_avg,_xlpm.capex_avg*_xlpm.capex_factor+_xlpm.other_fixed+_xlpm.storage_avg)</definedName>
    <definedName name="LEVELISED" comment="Levelised fixed cost of new plants ($/kWh): capex x capex factor + other fixed costs + storage if VRE">_xlfn.LAMBDA(_xlpm.capex,_xlpm.capex_factor,_xlpm.other_fixed,_xlpm.vre_flag,_xlpm.storage,_xlpm.capex*_xlpm.capex_factor+_xlpm.other_fixed+_xlpm.vre_flag*_xlpm.storage)</definedName>
    <definedName name="VARCOST" comment="Variable cost ($/kWh): variable O&amp;M and fixed fuel + fuel price ($/GJ) x GJ per kWh + change in existing carbon pricing">_xlfn.LAMBDA(_xlpm.fixed_part,_xlpm.fuel_price,_xlpm.gj_per_kwh,_xlpm.xcarbon,_xlpm.fixed_part+_xlpm.fuel_price*_xlpm.gj_per_kwh+_xlpm.xcarbon)</definedName>
    <definedName name="POWFUELPRICE" comment="Fuel price for power ($/GJ): spot price if SpotPow = Yes, else the average of the years t-2 to t+2 within the horizon (legacy A18)">_xlfn.LAMBDA(_xlpm.spot,_xlpm.price_now,_xlpm.prices_t2,IF(_xlpm.spot="Yes",_xlpm.price_now,_xlfn.AGGREGATE(1,6,_xlpm.prices_t2)))</definedName>
    <definedName name="PNEWREV" comment="Power new-policy revenue (USD million): generation (MWy) x 8.76 x policy cost ($/kWh) - CO2 x ETS cost rate x (1 - revenue factor)">_xlfn.LAMBDA(_xlpm.gen,_xlpm.policy_cost,_xlpm.co2,_xlpm.ets_rate,_xlpm.rev_factor,_xlpm.gen*8.76*_xlpm.policy_cost-_xlpm.co2*_xlpm.ets_rate*(1-_xlpm.rev_factor))</definedName>
    <definedName name="GENCOST" comment="Generation cost before new policies ($/kWh): fixed + variable">_xlfn.LAMBDA(_xlpm.fixed_cost,_xlpm.variable_cost,_xlpm.fixed_cost+_xlpm.variable_cost)</definedName>
    <definedName name="WEIGHTED" comment="Generation-weighted sum: SUMPRODUCT(shares, values) x factor">_xlfn.LAMBDA(_xlpm.shares,_xlpm.values,_xlpm.factor,SUMPRODUCT(_xlpm.shares,_xlpm.values)*_xlpm.factor)</definedName>
    <definedName name="STORAGEHOUR" comment="Short-term storage cost per marginal hour ($/kWh): annualised battery and interface capex + opex">_xlfn.LAMBDA(_xlpm.battery,_xlpm.interface,_xlpm.opex,_xlpm.kwh_per_kw,_xlpm.dlf,(_xlpm.battery+_xlpm.interface/_xlpm.kwh_per_kw)/(_xlpm.dlf*8760)+_xlpm.opex/8760)</definedName>
    <definedName name="STORAGECOST" comment="Marginal storage cost of variable renewables ($/kWh): short-term (alloc x hours x VRE share x cph) + long-term (2 x MAX(0, VRE share - start)/(1 - start)^2 x cost per unit)">_xlfn.LAMBDA(_xlpm.alloc,_xlpm.hours,_xlpm.vre,_xlpm.cph,_xlpm.lt_start,_xlpm.lt_cost,_xlpm.lt_alloc,_xlpm.alloc*_xlpm.hours*_xlpm.vre*_xlpm.cph+2*MAX(0,_xlpm.vre-_xlpm.lt_start)/(1-_xlpm.lt_start)^2*_xlpm.lt_cost*_xlpm.lt_alloc)</definedName>
    <definedName name="POWERSUPPLY" comment="Supply cost of electricity: generation cost (previous year) + transmission and distribution">_xlfn.LAMBDA(_xlpm.gen_cost,_xlpm.tmc,_xlpm.gen_cost+_xlpm.tmc)</definedName>
    <definedName name="POWERPRICE" comment="Electricity price before new policies: data up to the last historical year (Inputs_power, row pos), then the previous price + pass-through x change in supply cost x (1 + VAT)">_xlfn.LAMBDA(_xlpm.year,_xlpm.pos,_xlpm.price_prev,_xlpm.pass,_xlpm.sc_now,_xlpm.sc_prev,_xlpm.vat_rate,IF(_xlpm.year&lt;=Settings!$C$10,IFERROR(INDEX(Inputs_power!$J$19:$M$20,_xlpm.pos,MATCH(_xlpm.year,Inputs_power!$J$18:$M$18,0)),0),_xlpm.price_prev+_xlpm.pass*(_xlpm.sc_now-_xlpm.sc_prev)*(1+_xlpm.vat_rate)))</definedName>
    <definedName name="ENDUSERPOWER" comment="End-user electricity price: price before new policies + average new policy cost (no VAT on it)">_xlfn.LAMBDA(_xlpm.pre_policy_p,_xlpm.policy_cost,_xlpm.pass,_xlpm.vat_rate,_xlpm.pre_policy_p+_xlpm.policy_cost*_xlpm.pass*(1+_xlpm.vat_rate))</definedName>
    <definedName name="SUBSIDYGAP" comment="Subsidy gap ($/kWh): supply cost - price before VAT">_xlfn.LAMBDA(_xlpm.supply_cost,_xlpm.pre_policy_p,_xlpm.vat_rate,_xlpm.supply_cost-_xlpm.pre_policy_p/(1+_xlpm.vat_rate))</definedName>
    <definedName name="POWERREV" comment="Power revenue (USD million): rate ($/kWh) x factor x consumption (GWh)">_xlfn.LAMBDA(_xlpm.unit_value,_xlpm.factor,_xlpm.consumption,_xlpm.unit_value*_xlpm.factor*_xlpm.consumption)</definedName>
    <definedName name="REBATE" comment="Feebate rebate per kWh generated: -SUMPRODUCT(shadow price per kWh, base-year generation shares)">_xlfn.LAMBDA(_xlpm.fees,_xlpm.shares,-SUMPRODUCT(_xlpm.fees,_xlpm.shares))</definedName>
    <definedName name="VARTOTAL" comment="Total variable cost: before new policies + new policy cost + shadow price + rebate">_xlfn.LAMBDA(_xlpm.base_cost,_xlpm.policy_cost,_xlpm.shadow,_xlpm.rebate,_xlpm.base_cost+_xlpm.policy_cost+_xlpm.shadow+_xlpm.rebate)</definedName>
    <definedName name="INVCOST" comment="Levelised investment cost: MAX(levelised fixed + levelised variable cost, minimum)">_xlfn.LAMBDA(_xlpm.levelised_fixed,_xlpm.levelised_var,_xlpm.minimum,MAX(_xlpm.levelised_fixed+_xlpm.levelised_var,_xlpm.minimum))</definedName>
    <definedName name="CONSUMPTION" comment="Electricity consumption (GWh) of a price group: (w_total x total + w_res x residential demand) x GWh per ktoe">_xlfn.LAMBDA(_xlpm.total,_xlpm.res,_xlpm.w_total,_xlpm.w_res,_xlpm.gwh_per_ktoe,(_xlpm.w_total*_xlpm.total+_xlpm.w_res*_xlpm.res)*_xlpm.gwh_per_ktoe)</definedName>
    <definedName name="PRICEMIX" comment="Price used by a demand group: weighted residential and industrial price">_xlfn.LAMBDA(_xlpm.w_res,_xlpm.p_res,_xlpm.p_ind,_xlpm.w_res*_xlpm.p_res+(1-_xlpm.w_res)*_xlpm.p_ind)</definedName>
    <definedName name="DEMANDMULT" comment="Growth multiple of electricity demand: efficiency multiple x GDP term x price term x (1 + shock x switch)">_xlfn.LAMBDA(_xlpm.eff_mult,_xlpm.gdp_g,_xlpm.eps_y,_xlpm.income,_xlpm.p_now,_xlpm.p_prev,_xlpm.eps_p,_xlpm.shock,_xlpm.shock_on,_xlpm.eff_mult*(1+_xlpm.gdp_g)^(_xlpm.eps_y*_xlpm.income)*(_xlpm.p_now/_xlpm.p_prev)^_xlpm.eps_p*(1+_xlpm.shock*_xlpm.shock_on))</definedName>
    <definedName name="GROW" comment="Previous value x multiple">_xlfn.LAMBDA(_xlpm.prev,_xlpm.multiple,_xlpm.prev*_xlpm.multiple)</definedName>
    <definedName name="SCALE" comment="Value x factor">_xlfn.LAMBDA(_xlpm.value,_xlpm.factor,_xlpm.value*_xlpm.factor)</definedName>
    <definedName name="RESIDUAL" comment="MAX(total - part, 0)">_xlfn.LAMBDA(_xlpm.total,_xlpm.part,MAX(_xlpm.total-_xlpm.part,0))</definedName>
    <definedName name="FLOORMIN" comment="Lowest value among flagged members (flag = 1), at least the floor">_xlfn.LAMBDA(_xlpm.values,_xlpm.flags,_xlpm.min_value,MAX(_xlfn.MINIFS(_xlpm.values,_xlpm.flags,1),_xlpm.min_value))</definedName>
    <definedName name="MINDISPATCH" comment="Minimum generation of coal or gas: what is still needed if the other runs at its maximum">_xlfn.LAMBDA(_xlpm.flag,_xlpm.required,_xlpm.max_all,_xlpm.max_own,_xlpm.flag*MIN(MAX(_xlpm.required-(_xlpm.max_all-_xlpm.max_own),0),_xlpm.max_own))</definedName>
    <definedName name="LOGITW" comment="Logit weight: flag x EXP(-K x cost / lowest cost)">_xlfn.LAMBDA(_xlpm.flag,_xlpm.k,_xlpm.cost,_xlpm.lowest,_xlpm.flag*EXP(-_xlpm.k*_xlpm.cost/_xlpm.lowest))</definedName>
    <definedName name="DISPATCH" comment="Generation: coal and gas MIN(maximum, minimum + remainder x logit share); other types their effective capacity">_xlfn.LAMBDA(_xlpm.flag,_xlpm.fixed_output,_xlpm.max_gen,_xlpm.min_gen,_xlpm.remainder,_xlpm.weight,_xlpm.weight_sum,IF(_xlpm.flag=1,MIN(_xlpm.max_gen,_xlpm.min_gen+_xlpm.remainder*_xlpm.weight/_xlpm.weight_sum),_xlpm.fixed_output))</definedName>
    <definedName name="INCREASE" comment="MAX(0, value - previous value)">_xlfn.LAMBDA(_xlpm.value_now,_xlpm.value_prev,MAX(0,_xlpm.value_now-_xlpm.value_prev))</definedName>
    <definedName name="SHARE" comment="Part / total (0 if the total is 0)">_xlfn.LAMBDA(_xlpm.part,_xlpm.total,IF(_xlpm.total=0,0,_xlpm.part/_xlpm.total))</definedName>
    <definedName name="CARRY" comment="Capacity: last year less last year's retirements plus last year's new investment">_xlfn.LAMBDA(_xlpm.cap_prev,_xlpm.ret_prev,_xlpm.inv_prev,_xlpm.cap_prev-_xlpm.ret_prev+_xlpm.inv_prev)</definedName>
    <definedName name="RETIRE" comment="Retirement: MIN(planned retirement (data, if switched on) or capacity x rate, + early retirement (coal), capacity)">_xlfn.LAMBDA(_xlpm.cap,_xlpm.ret_rate,_xlpm.early_flag,_xlpm.early,_xlpm.planned_on,_xlpm.planned,MIN(IF(_xlpm.planned_on=1,_xlpm.planned,_xlpm.cap*_xlpm.ret_rate)+_xlpm.early_flag*_xlpm.early,_xlpm.cap))</definedName>
    <definedName name="EARLYROOM" comment="Room for early coal retirement: maximum wind and solar additions less demand increase and retirements">_xlfn.LAMBDA(_xlpm.add_wind,_xlpm.add_solar,_xlpm.demand_increase,_xlpm.retirements,MAX(0,_xlpm.add_wind+_xlpm.add_solar-_xlpm.demand_increase-(_xlpm.retirements)))</definedName>
    <definedName name="LOWEST3" comment="Lowest of three values">_xlfn.LAMBDA(_xlpm.a,_xlpm.b,_xlpm.c,MIN(_xlpm.a,_xlpm.b,_xlpm.c))</definedName>
    <definedName name="COALSHARE" comment="Coal share of the early-retirement logit: EXP(-K c_coal / lowest) / (sum over coal, wind, solar), written as 1 / (1 + EXP(-K (c_wind - c_coal) / lowest) + EXP(-K (c_solar - c_coal) / lowest))">_xlfn.LAMBDA(_xlpm.k,_xlpm.c_coal,_xlpm.c_wind,_xlpm.c_solar,_xlpm.lowest,1/(1+EXP(-_xlpm.k*(_xlpm.c_wind-_xlpm.c_coal)/_xlpm.lowest)+EXP(-_xlpm.k*(_xlpm.c_solar-_xlpm.c_coal)/_xlpm.lowest)))</definedName>
    <definedName name="EARLYRET" comment="Cost-based early coal retirement (nameplate): MIN(coal effective capacity x maximum share, room) x (1 - logit share of coal) / capacity factor x factor">_xlfn.LAMBDA(_xlpm.coal_eff,_xlpm.max_share,_xlpm.room,_xlpm.coal_share,_xlpm.factor,_xlpm.cf_coal,MAX(0,MIN(_xlpm.coal_eff*_xlpm.max_share,_xlpm.room)*(1-_xlpm.coal_share))/_xlpm.cf_coal*_xlpm.factor)</definedName>
    <definedName name="DIFF" comment="Difference">_xlfn.LAMBDA(_xlpm.minuend,_xlpm.subtrahend,_xlpm.minuend-_xlpm.subtrahend)</definedName>
    <definedName name="PERMITTED" comment="1 if new investment is permitted (Yes) and the year is at least the start year">_xlfn.LAMBDA(_xlpm.outcome,_xlpm.start,_xlpm.year,IF(AND(_xlpm.outcome="Yes",_xlpm.year&gt;=_xlpm.start),1,0))</definedName>
    <definedName name="SCALEUP" comment="Maximum effective investment: scale-up rate x total effective capacity x permit">_xlfn.LAMBDA(_xlpm.up_rate,_xlpm.capacity,_xlpm.permit,_xlpm.up_rate*_xlpm.capacity*_xlpm.permit)</definedName>
    <definedName name="FIRSTROUND" comment="First-round investment: MIN(maximum, need x logit share)">_xlfn.LAMBDA(_xlpm.max_inv,_xlpm.need,_xlpm.share,MIN(_xlpm.max_inv,_xlpm.need*_xlpm.share))</definedName>
    <definedName name="SPACE" comment="Remaining space: (maximum - first round) x permit">_xlfn.LAMBDA(_xlpm.max_inv,_xlpm.first,_xlpm.permit,(_xlpm.max_inv-_xlpm.first)*_xlpm.permit)</definedName>
    <definedName name="CHEAPFILL" comment="Second round, cheapest first: permit x MAX(0, MIN(space, deficit - space of cheaper types))">_xlfn.LAMBDA(_xlpm.permit,_xlpm.space,_xlpm.deficit,_xlpm.cheaper_space,_xlpm.permit*MAX(0,MIN(_xlpm.space,_xlpm.deficit-_xlpm.cheaper_space)))</definedName>
    <definedName name="ADDED" comment="First + second round">_xlfn.LAMBDA(_xlpm.round_1,_xlpm.round_2,_xlpm.round_1+_xlpm.round_2)</definedName>
    <definedName name="INVSPEND" comment="Investment (USD million): nameplate MW x capital cost ($/kW) / 1000">_xlfn.LAMBDA(_xlpm.nameplate,_xlpm.capex,_xlpm.nameplate*_xlpm.capex/1000)</definedName>
    <definedName name="VINTSHARE" comment="Share of new investment in the stock after retirements: new / (cap + new - ret)">_xlfn.LAMBDA(_xlpm.new,_xlpm.cap,_xlpm.ret,IF(_xlpm.cap+_xlpm.new-_xlpm.ret=0,0,_xlpm.new/(_xlpm.cap+_xlpm.new-_xlpm.ret)))</definedName>
    <definedName name="WEOVal">WEO!$F$4:$AZ$1000</definedName>
    <definedName name="WEOKey">WEO!$A$4:$A$1000</definedName>
    <definedName name="WEOYear">WEO!$F$3:$AZ$3</definedName>
    <definedName name="ElaVal">Elasticities!$F$4:$I$200</definedName>
    <definedName name="ElaKey">Elasticities!$A$4:$A$200</definedName>
    <definedName name="ElaGroup">Elasticities!$F$3:$I$3</definedName>
    <definedName name="EFVal">EF_GHG!$E$4:$E$1000</definedName>
    <definedName name="EFKey">EF_GHG!$A$4:$A$1000</definedName>
    <definedName name="ConsVal">EnergyCons!$F$4:$F$5000</definedName>
    <definedName name="ConsKey">EnergyCons!$A$4:$A$5000</definedName>
    <definedName name="PIntVal">Prices_int!$F$4:$AD$100</definedName>
    <definedName name="PIntKey">Prices_int!$A$4:$A$100</definedName>
    <definedName name="PIntYear">Prices_int!$F$3:$AD$3</definedName>
    <definedName name="PDomVal">Prices_dom!$A$6:$CU$2000</definedName>
    <definedName name="PDomKey">Prices_dom!$A$6:$A$2000</definedName>
    <definedName name="PDomHdr">Prices_dom!$A$5:$CU$5</definedName>
    <definedName name="PPathVal">PowerPaths!$E$4:$X$200</definedName>
    <definedName name="PPathKey">PowerPaths!$A$4:$A$200</definedName>
    <definedName name="PPathYear">PowerPaths!$E$3:$X$3</definedName>
    <definedName name="PTechVal">PowerTech!$A$4:$Z$50</definedName>
    <definedName name="PTechKey">PowerTech!$A$4:$A$50</definedName>
    <definedName name="PTechHdr">PowerTech!$A$3:$Z$3</definedName>
    <definedName name="PParVal">PowerParams!$B$4:$B$50</definedName>
    <definedName name="PParKey">PowerParams!$A$4:$A$50</definedName>
    <definedName name="VarKey">Variables!$A$5:$A$265</definedName>
    <definedName name="VarLab">Variables!$B$5:$B$265</definedName>
    <definedName name="VarUnit">Variables!$C$5:$C$265</definedName>
    <definedName name="VarSfx">Variables!$D$5:$D$265</definedName>
    <definedName name="VarSrc">Variables!$E$5:$E$265</definedName>
    <definedName name="VarEnd">Variables!$K$5:$K$265</definedName>
    <definedName name="SubKey">Mapping!$A$5:$A$20</definedName>
    <definedName name="FuelKey">Mapping!$A$30:$A$37</definedName>
    <definedName name="SecKey">Mapping!$A$5:$A$26</definedName>
    <definedName name="SecLab">Mapping!$B$5:$B$26</definedName>
    <definedName name="FuelKeyL">Mapping!$A$30:$A$46</definedName>
    <definedName name="FuelLab">Mapping!$B$30:$B$46</definedName>
    <definedName name="MemKey">Mapping!$A$81:$A$294</definedName>
    <definedName name="MemLab">Mapping!$D$81:$D$294</definedName>
    <definedName name="SecVar">Mitigation!$A$1003:$A$3061</definedName>
    <definedName name="SecFuel">Mitigation!$B$1003:$B$3061</definedName>
    <definedName name="SecSub">Mitigation!$C$1003:$C$3061</definedName>
    <definedName name="SemiEl">Mitigation!$E$154:$E$170</definedName>
    <definedName name="MitAll">Mitigation!$A$1:$ZZ$5000</definedName>
    <definedName name="MitScen">Mitigation!$A$5:$ZZ$5</definedName>
    <definedName name="MitDesc">Mitigation!$H$1:$H$5000</definedName>
    <definedName name="MitUnit">Mitigation!$I$1:$I$5000</definedName>
    <definedName name="SRScen">StoredResults!$A$6:$A$5000</definedName>
    <definedName name="SRName">StoredResults!$B$6:$B$5000</definedName>
    <definedName name="SRCode">StoredResults!$C$6:$C$5000</definedName>
    <definedName name="SRDesc">StoredResults!$E$6:$E$5000</definedName>
    <definedName name="SRUnit">StoredResults!$F$6:$F$5000</definedName>
    <definedName name="SRVal">StoredResults!$H$6:$AA$5000</definedName>
    <definedName name="SRYear">StoredResults!$H$5:$AA$5</definedName>
    <definedName name="CodePrefix">Settings!$C$20</definedName>
    <definedName name="SpotPow">Settings!$C$21</definedName>
    <definedName name="CPIRes">Settings!$C$22</definedName>
    <definedName name="DeflRes">Settings!$C$23</definedName>
    <definedName name="PDomBase">Settings!$C$24</definedName>
    <definedName name="PDomLast">Settings!$C$25</definedName>
    <definedName name="OBREff">Settings!$C$14</definedName>
    <definedName name="ECPKey">ECP!$A$7:$A$32</definedName>
    <definedName name="ECPCov">ECP!$D$7:$D$32</definedName>
    <definedName name="ECPVal">ECP!$E$7:$I$32</definedName>
    <definedName name="ECPYear">ECP!$E$5:$I$5</definedName>
    <definedName name="ECPLast">ECP!$I$5</definedName>
    <definedName name="ECPAllKey">ECP!$A$37:$A$2037</definedName>
    <definedName name="ECPAllVal">ECP!$D$37:$H$2037</definedName>
    <definedName name="ECPAllYear">ECP!$D$36:$H$36</definedName>
    <definedName name="CtryCode">Settings!$C$4</definedName>
  </definedNames>
  <calcPr calcId="124519" fullCalcOnLoad="1"/>
</workbook>
</file>

<file path=xl/styles.xml><?xml version="1.0" encoding="utf-8"?>
<styleSheet xmlns="http://schemas.openxmlformats.org/spreadsheetml/2006/main">
  <numFmts count="9">
    <numFmt numFmtId="164" formatCode="0.000"/>
    <numFmt numFmtId="165" formatCode="0.0%"/>
    <numFmt numFmtId="166" formatCode="0.0000"/>
    <numFmt numFmtId="167" formatCode="#,##0.0"/>
    <numFmt numFmtId="168" formatCode="0.000000"/>
    <numFmt numFmtId="169" formatCode="0.0E+00"/>
    <numFmt numFmtId="170" formatCode="0.0000000"/>
    <numFmt numFmtId="171" formatCode="#,##0.000"/>
    <numFmt numFmtId="172" formatCode="0.00000"/>
  </numFmts>
  <fonts count="13">
    <font>
      <name val="Calibri"/>
      <family val="2"/>
      <color theme="1"/>
      <sz val="11"/>
      <scheme val="minor"/>
    </font>
    <font>
      <name val="Arial"/>
      <b val="1"/>
      <color rgb="00FFFFFF"/>
      <sz val="14"/>
    </font>
    <font>
      <name val="Arial"/>
      <sz val="9"/>
    </font>
    <font>
      <name val="Arial"/>
      <b val="1"/>
      <sz val="9"/>
    </font>
    <font>
      <name val="Arial"/>
      <b val="1"/>
      <color rgb="00FF0000"/>
      <sz val="9"/>
    </font>
    <font>
      <b val="1"/>
      <color rgb="00FFFFFF"/>
    </font>
    <font>
      <b val="1"/>
    </font>
    <font>
      <name val="Arial"/>
      <b val="1"/>
      <color rgb="00C00000"/>
      <sz val="9"/>
    </font>
    <font>
      <name val="Arial"/>
      <b val="1"/>
      <color rgb="00FFFFFF"/>
      <sz val="9"/>
    </font>
    <font>
      <name val="Arial"/>
      <color rgb="009C0006"/>
      <sz val="9"/>
    </font>
    <font>
      <name val="Arial"/>
      <b val="1"/>
      <i val="1"/>
      <sz val="9"/>
    </font>
    <font>
      <name val="Arial"/>
      <i val="1"/>
      <sz val="9"/>
    </font>
    <font>
      <name val="Arial"/>
      <color rgb="00BFBFBF"/>
      <sz val="9"/>
    </font>
  </fonts>
  <fills count="14">
    <fill>
      <patternFill/>
    </fill>
    <fill>
      <patternFill patternType="gray125"/>
    </fill>
    <fill>
      <patternFill patternType="solid">
        <fgColor rgb="0000B050"/>
        <bgColor rgb="0000B050"/>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s>
  <borders count="1">
    <border>
      <left/>
      <right/>
      <top/>
      <bottom/>
      <diagonal/>
    </border>
  </borders>
  <cellStyleXfs count="1">
    <xf numFmtId="0" fontId="0" fillId="0" borderId="0"/>
  </cellStyleXfs>
  <cellXfs count="110">
    <xf numFmtId="0" fontId="0" fillId="0" borderId="0" pivotButton="0" quotePrefix="0" xfId="0"/>
    <xf numFmtId="0" fontId="3" fillId="0" borderId="0" pivotButton="0" quotePrefix="0" xfId="0"/>
    <xf numFmtId="0" fontId="1" fillId="2" borderId="0" pivotButton="0" quotePrefix="0" xfId="0"/>
    <xf numFmtId="0" fontId="0" fillId="2" borderId="0" pivotButton="0" quotePrefix="0" xfId="0"/>
    <xf numFmtId="0" fontId="8" fillId="8" borderId="0" pivotButton="0" quotePrefix="0" xfId="0"/>
    <xf numFmtId="0" fontId="0" fillId="8" borderId="0" pivotButton="0" quotePrefix="0" xfId="0"/>
    <xf numFmtId="1" fontId="3" fillId="10" borderId="0" pivotButton="0" quotePrefix="0" xfId="0"/>
    <xf numFmtId="1" fontId="3" fillId="0" borderId="0" pivotButton="0" quotePrefix="0" xfId="0"/>
    <xf numFmtId="1" fontId="3" fillId="3" borderId="0" pivotButton="0" quotePrefix="0" xfId="0"/>
    <xf numFmtId="1" fontId="2" fillId="10" borderId="0" pivotButton="0" quotePrefix="0" xfId="0"/>
    <xf numFmtId="1" fontId="2" fillId="0" borderId="0" pivotButton="0" quotePrefix="0" xfId="0"/>
    <xf numFmtId="0" fontId="2" fillId="9" borderId="0" pivotButton="0" quotePrefix="0" xfId="0"/>
    <xf numFmtId="165" fontId="2" fillId="10" borderId="0" pivotButton="0" quotePrefix="0" xfId="0"/>
    <xf numFmtId="165" fontId="2" fillId="0" borderId="0" pivotButton="0" quotePrefix="0" xfId="0"/>
    <xf numFmtId="0" fontId="2" fillId="0" borderId="0" pivotButton="0" quotePrefix="0" xfId="0"/>
    <xf numFmtId="166" fontId="2" fillId="10" borderId="0" pivotButton="0" quotePrefix="0" xfId="0"/>
    <xf numFmtId="166" fontId="2" fillId="0" borderId="0" pivotButton="0" quotePrefix="0" xfId="0"/>
    <xf numFmtId="0" fontId="3" fillId="9" borderId="0" pivotButton="0" quotePrefix="0" xfId="0"/>
    <xf numFmtId="2" fontId="3" fillId="10" borderId="0" pivotButton="0" quotePrefix="0" xfId="0"/>
    <xf numFmtId="2" fontId="3" fillId="0" borderId="0" pivotButton="0" quotePrefix="0" xfId="0"/>
    <xf numFmtId="2" fontId="9" fillId="11" borderId="0" pivotButton="0" quotePrefix="0" xfId="0"/>
    <xf numFmtId="0" fontId="10" fillId="0" borderId="0" pivotButton="0" quotePrefix="0" xfId="0"/>
    <xf numFmtId="0" fontId="2" fillId="3" borderId="0" pivotButton="0" quotePrefix="0" xfId="0"/>
    <xf numFmtId="2" fontId="2" fillId="10" borderId="0" pivotButton="0" quotePrefix="0" xfId="0"/>
    <xf numFmtId="2" fontId="2" fillId="0" borderId="0" pivotButton="0" quotePrefix="0" xfId="0"/>
    <xf numFmtId="2" fontId="2" fillId="3" borderId="0" pivotButton="0" quotePrefix="0" xfId="0"/>
    <xf numFmtId="1" fontId="2" fillId="3" borderId="0" pivotButton="0" quotePrefix="0" xfId="0"/>
    <xf numFmtId="170" fontId="2" fillId="3" borderId="0" pivotButton="0" quotePrefix="0" xfId="0"/>
    <xf numFmtId="171" fontId="2" fillId="3" borderId="0" pivotButton="0" quotePrefix="0" xfId="0"/>
    <xf numFmtId="171" fontId="3" fillId="10" borderId="0" pivotButton="0" quotePrefix="0" xfId="0"/>
    <xf numFmtId="171" fontId="3" fillId="0" borderId="0" pivotButton="0" quotePrefix="0" xfId="0"/>
    <xf numFmtId="171" fontId="9" fillId="11" borderId="0" pivotButton="0" quotePrefix="0" xfId="0"/>
    <xf numFmtId="170" fontId="3" fillId="10" borderId="0" pivotButton="0" quotePrefix="0" xfId="0"/>
    <xf numFmtId="170" fontId="3" fillId="0" borderId="0" pivotButton="0" quotePrefix="0" xfId="0"/>
    <xf numFmtId="170" fontId="9" fillId="11" borderId="0" pivotButton="0" quotePrefix="0" xfId="0"/>
    <xf numFmtId="164" fontId="2" fillId="0" borderId="0" pivotButton="0" quotePrefix="0" xfId="0"/>
    <xf numFmtId="0" fontId="2" fillId="10" borderId="0" pivotButton="0" quotePrefix="0" xfId="0"/>
    <xf numFmtId="49" fontId="2" fillId="10" borderId="0" pivotButton="0" quotePrefix="0" xfId="0"/>
    <xf numFmtId="49" fontId="2" fillId="0" borderId="0" pivotButton="0" quotePrefix="0" xfId="0"/>
    <xf numFmtId="0" fontId="2" fillId="12" borderId="0" pivotButton="0" quotePrefix="0" xfId="0"/>
    <xf numFmtId="164" fontId="2" fillId="10" borderId="0" pivotButton="0" quotePrefix="0" xfId="0"/>
    <xf numFmtId="164" fontId="2" fillId="11" borderId="0" pivotButton="0" quotePrefix="0" xfId="0"/>
    <xf numFmtId="164" fontId="9" fillId="11" borderId="0" pivotButton="0" quotePrefix="0" xfId="0"/>
    <xf numFmtId="167" fontId="2" fillId="10" borderId="0" pivotButton="0" quotePrefix="0" xfId="0"/>
    <xf numFmtId="167" fontId="2" fillId="0" borderId="0" pivotButton="0" quotePrefix="0" xfId="0"/>
    <xf numFmtId="168" fontId="2" fillId="0" borderId="0" pivotButton="0" quotePrefix="0" xfId="0"/>
    <xf numFmtId="3" fontId="2" fillId="10" borderId="0" pivotButton="0" quotePrefix="0" xfId="0"/>
    <xf numFmtId="3" fontId="2" fillId="0" borderId="0" pivotButton="0" quotePrefix="0" xfId="0"/>
    <xf numFmtId="3" fontId="9" fillId="11" borderId="0" pivotButton="0" quotePrefix="0" xfId="0"/>
    <xf numFmtId="166" fontId="9" fillId="11" borderId="0" pivotButton="0" quotePrefix="0" xfId="0"/>
    <xf numFmtId="172" fontId="2" fillId="10" borderId="0" pivotButton="0" quotePrefix="0" xfId="0"/>
    <xf numFmtId="172" fontId="2" fillId="0" borderId="0" pivotButton="0" quotePrefix="0" xfId="0"/>
    <xf numFmtId="172" fontId="9" fillId="11" borderId="0" pivotButton="0" quotePrefix="0" xfId="0"/>
    <xf numFmtId="168" fontId="2" fillId="3" borderId="0" pivotButton="0" quotePrefix="0" xfId="0"/>
    <xf numFmtId="166" fontId="3" fillId="10" borderId="0" pivotButton="0" quotePrefix="0" xfId="0"/>
    <xf numFmtId="166" fontId="3" fillId="0" borderId="0" pivotButton="0" quotePrefix="0" xfId="0"/>
    <xf numFmtId="166" fontId="2" fillId="11" borderId="0" pivotButton="0" quotePrefix="0" xfId="0"/>
    <xf numFmtId="167" fontId="9" fillId="11" borderId="0" pivotButton="0" quotePrefix="0" xfId="0"/>
    <xf numFmtId="3" fontId="3" fillId="10" borderId="0" pivotButton="0" quotePrefix="0" xfId="0"/>
    <xf numFmtId="3" fontId="3" fillId="0" borderId="0" pivotButton="0" quotePrefix="0" xfId="0"/>
    <xf numFmtId="165" fontId="9" fillId="11" borderId="0" pivotButton="0" quotePrefix="0" xfId="0"/>
    <xf numFmtId="4" fontId="2" fillId="10" borderId="0" pivotButton="0" quotePrefix="0" xfId="0"/>
    <xf numFmtId="4" fontId="2" fillId="0" borderId="0" pivotButton="0" quotePrefix="0" xfId="0"/>
    <xf numFmtId="4" fontId="9" fillId="11" borderId="0" pivotButton="0" quotePrefix="0" xfId="0"/>
    <xf numFmtId="164" fontId="3" fillId="10" borderId="0" pivotButton="0" quotePrefix="0" xfId="0"/>
    <xf numFmtId="164" fontId="3" fillId="0" borderId="0" pivotButton="0" quotePrefix="0" xfId="0"/>
    <xf numFmtId="1" fontId="9" fillId="11" borderId="0" pivotButton="0" quotePrefix="0" xfId="0"/>
    <xf numFmtId="0" fontId="11" fillId="0" borderId="0" pivotButton="0" quotePrefix="0" xfId="0"/>
    <xf numFmtId="167" fontId="3" fillId="10" borderId="0" pivotButton="0" quotePrefix="0" xfId="0"/>
    <xf numFmtId="167" fontId="3" fillId="0" borderId="0" pivotButton="0" quotePrefix="0" xfId="0"/>
    <xf numFmtId="0" fontId="11" fillId="9" borderId="0" pivotButton="0" quotePrefix="0" xfId="0"/>
    <xf numFmtId="167" fontId="11" fillId="10" borderId="0" pivotButton="0" quotePrefix="0" xfId="0"/>
    <xf numFmtId="167" fontId="11" fillId="0" borderId="0" pivotButton="0" quotePrefix="0" xfId="0"/>
    <xf numFmtId="164" fontId="2" fillId="13" borderId="0" pivotButton="0" quotePrefix="0" xfId="0"/>
    <xf numFmtId="10" fontId="2" fillId="10" borderId="0" pivotButton="0" quotePrefix="0" xfId="0"/>
    <xf numFmtId="10" fontId="2" fillId="0" borderId="0" pivotButton="0" quotePrefix="0" xfId="0"/>
    <xf numFmtId="164" fontId="3" fillId="13" borderId="0" pivotButton="0" quotePrefix="0" xfId="0"/>
    <xf numFmtId="4" fontId="3" fillId="10" borderId="0" pivotButton="0" quotePrefix="0" xfId="0"/>
    <xf numFmtId="4" fontId="3" fillId="0" borderId="0" pivotButton="0" quotePrefix="0" xfId="0"/>
    <xf numFmtId="165" fontId="3" fillId="10" borderId="0" pivotButton="0" quotePrefix="0" xfId="0"/>
    <xf numFmtId="165" fontId="3" fillId="0" borderId="0" pivotButton="0" quotePrefix="0" xfId="0"/>
    <xf numFmtId="171" fontId="2" fillId="10" borderId="0" pivotButton="0" quotePrefix="0" xfId="0"/>
    <xf numFmtId="171" fontId="2" fillId="0" borderId="0" pivotButton="0" quotePrefix="0" xfId="0"/>
    <xf numFmtId="0" fontId="3" fillId="3" borderId="0" pivotButton="0" quotePrefix="0" xfId="0"/>
    <xf numFmtId="1" fontId="3" fillId="11" borderId="0" pivotButton="0" quotePrefix="0" xfId="0"/>
    <xf numFmtId="1" fontId="8" fillId="8" borderId="0" pivotButton="0" quotePrefix="0" xfId="0"/>
    <xf numFmtId="1" fontId="12" fillId="0" borderId="0" pivotButton="0" quotePrefix="0" xfId="0"/>
    <xf numFmtId="0" fontId="3" fillId="0" borderId="0" applyAlignment="1" pivotButton="0" quotePrefix="0" xfId="0">
      <alignment vertical="top" wrapText="1"/>
    </xf>
    <xf numFmtId="0" fontId="2" fillId="0" borderId="0" applyAlignment="1" pivotButton="0" quotePrefix="0" xfId="0">
      <alignment vertical="top" wrapText="1"/>
    </xf>
    <xf numFmtId="0" fontId="3" fillId="0" borderId="0" applyAlignment="1" pivotButton="0" quotePrefix="0" xfId="0">
      <alignment vertical="top"/>
    </xf>
    <xf numFmtId="0" fontId="3" fillId="3" borderId="0" applyAlignment="1" pivotButton="0" quotePrefix="0" xfId="0">
      <alignment vertical="top" wrapText="1"/>
    </xf>
    <xf numFmtId="0" fontId="4" fillId="4" borderId="0" applyAlignment="1" pivotButton="0" quotePrefix="0" xfId="0">
      <alignment vertical="top" wrapText="1"/>
    </xf>
    <xf numFmtId="0" fontId="9" fillId="0" borderId="0" pivotButton="0" quotePrefix="0" xfId="0"/>
    <xf numFmtId="0" fontId="0" fillId="5" borderId="0" pivotButton="0" quotePrefix="0" xfId="0"/>
    <xf numFmtId="0" fontId="5" fillId="5" borderId="0" pivotButton="0" quotePrefix="0" xfId="0"/>
    <xf numFmtId="0" fontId="0" fillId="6" borderId="0" pivotButton="0" quotePrefix="0" xfId="0"/>
    <xf numFmtId="0" fontId="6" fillId="0" borderId="0" pivotButton="0" quotePrefix="0" xfId="0"/>
    <xf numFmtId="0" fontId="3" fillId="3" borderId="0" applyAlignment="1" pivotButton="0" quotePrefix="0" xfId="0">
      <alignment wrapText="1"/>
    </xf>
    <xf numFmtId="0" fontId="0" fillId="7" borderId="0" pivotButton="0" quotePrefix="0" xfId="0"/>
    <xf numFmtId="0" fontId="7" fillId="3" borderId="0" pivotButton="0" quotePrefix="0" xfId="0"/>
    <xf numFmtId="1" fontId="3" fillId="3" borderId="0" applyAlignment="1" pivotButton="0" quotePrefix="0" xfId="0">
      <alignment vertical="top" wrapText="1"/>
    </xf>
    <xf numFmtId="164" fontId="2" fillId="3" borderId="0" pivotButton="0" quotePrefix="0" xfId="0"/>
    <xf numFmtId="1" fontId="4" fillId="4" borderId="0" pivotButton="0" quotePrefix="0" xfId="0"/>
    <xf numFmtId="165" fontId="4" fillId="4" borderId="0" pivotButton="0" quotePrefix="0" xfId="0"/>
    <xf numFmtId="2" fontId="4" fillId="4" borderId="0" pivotButton="0" quotePrefix="0" xfId="0"/>
    <xf numFmtId="164" fontId="4" fillId="4" borderId="0" pivotButton="0" quotePrefix="0" xfId="0"/>
    <xf numFmtId="169" fontId="2" fillId="0" borderId="0" pivotButton="0" quotePrefix="0" xfId="0"/>
    <xf numFmtId="166" fontId="2" fillId="3" borderId="0" pivotButton="0" quotePrefix="0" xfId="0"/>
    <xf numFmtId="167" fontId="2" fillId="3" borderId="0" pivotButton="0" quotePrefix="0" xfId="0"/>
    <xf numFmtId="0" fontId="4" fillId="4" borderId="0" pivotButton="0" quotePrefix="0" xfId="0"/>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styles" Target="styles.xml" Id="rId31"/><Relationship Type="http://schemas.openxmlformats.org/officeDocument/2006/relationships/theme" Target="theme/theme1.xml" Id="rId32"/><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CO2 emissions from fuel combustion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'MTOutputs'!$F$4:$Y$4</f>
            </numRef>
          </cat>
          <val>
            <numRef>
              <f>'MTOutputs'!$F$13:$Y$13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'MTOutputs'!$F$4:$Y$4</f>
            </numRef>
          </cat>
          <val>
            <numRef>
              <f>'MTOutputs'!$F$73:$Y$73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MtCO2</a:t>
                </a:r>
              </a:p>
            </rich>
          </tx>
        </title>
        <majorTickMark val="none"/>
        <minorTickMark val="none"/>
        <crossAx val="10"/>
      </valAx>
    </plotArea>
    <legend>
      <legendPos val="b"/>
    </legend>
    <plotVisOnly val="1"/>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pPr>
              <a:defRPr/>
            </a:pPr>
            <a:r>
              <a:t>Fuel use, all subsectors and power generation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'MTOutputs'!$F$4:$Y$4</f>
            </numRef>
          </cat>
          <val>
            <numRef>
              <f>'MTOutputs'!$F$7:$Y$7</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'MTOutputs'!$F$4:$Y$4</f>
            </numRef>
          </cat>
          <val>
            <numRef>
              <f>'MTOutputs'!$F$67:$Y$67</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ktoe</a:t>
                </a:r>
              </a:p>
            </rich>
          </tx>
        </title>
        <majorTickMark val="none"/>
        <minorTickMark val="none"/>
        <crossAx val="10"/>
      </valAx>
    </plotArea>
    <legend>
      <legendPos val="b"/>
    </legend>
    <plotVisOnly val="1"/>
    <dispBlanksAs val="gap"/>
  </chart>
</chartSpace>
</file>

<file path=xl/charts/chart3.xml><?xml version="1.0" encoding="utf-8"?>
<chartSpace xmlns="http://schemas.openxmlformats.org/drawingml/2006/chart">
  <chart>
    <title>
      <tx>
        <rich>
          <a:bodyPr xmlns:a="http://schemas.openxmlformats.org/drawingml/2006/main"/>
          <a:p xmlns:a="http://schemas.openxmlformats.org/drawingml/2006/main">
            <a:pPr>
              <a:defRPr/>
            </a:pPr>
            <a:r>
              <a:t>Fiscal effect vs scenario 1 (total revenue change)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'MTOutputs'!$F$4:$Y$4</f>
            </numRef>
          </cat>
          <val>
            <numRef>
              <f>'MTOutputs'!$F$23:$Y$23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'MTOutputs'!$F$4:$Y$4</f>
            </numRef>
          </cat>
          <val>
            <numRef>
              <f>'MTOutputs'!$F$83:$Y$83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 million, real 2026</a:t>
                </a:r>
              </a:p>
            </rich>
          </tx>
        </title>
        <majorTickMark val="none"/>
        <minorTickMark val="none"/>
        <crossAx val="10"/>
      </valAx>
    </plotArea>
    <legend>
      <legendPos val="b"/>
    </legend>
    <plotVisOnly val="1"/>
    <dispBlanksAs val="gap"/>
  </chart>
</chartSpace>
</file>

<file path=xl/charts/chart4.xml><?xml version="1.0" encoding="utf-8"?>
<chartSpace xmlns="http://schemas.openxmlformats.org/drawingml/2006/chart">
  <chart>
    <title>
      <tx>
        <rich>
          <a:bodyPr xmlns:a="http://schemas.openxmlformats.org/drawingml/2006/main"/>
          <a:p xmlns:a="http://schemas.openxmlformats.org/drawingml/2006/main">
            <a:pPr>
              <a:defRPr/>
            </a:pPr>
            <a:r>
              <a:t>Carbon price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'MTOutputs'!$F$4:$Y$4</f>
            </numRef>
          </cat>
          <val>
            <numRef>
              <f>'MTOutputs'!$F$31:$Y$31</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'MTOutputs'!$F$4:$Y$4</f>
            </numRef>
          </cat>
          <val>
            <numRef>
              <f>'MTOutputs'!$F$91:$Y$91</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USD/tCO2, real 2026</a:t>
                </a:r>
              </a:p>
            </rich>
          </tx>
        </title>
        <majorTickMark val="none"/>
        <minorTickMark val="none"/>
        <crossAx val="10"/>
      </valAx>
    </plotArea>
    <legend>
      <legendPos val="b"/>
    </legend>
    <plotVisOnly val="1"/>
    <dispBlanksAs val="gap"/>
  </chart>
</chartSpace>
</file>

<file path=xl/charts/chart5.xml><?xml version="1.0" encoding="utf-8"?>
<chartSpace xmlns="http://schemas.openxmlformats.org/drawingml/2006/chart">
  <chart>
    <title>
      <tx>
        <rich>
          <a:bodyPr xmlns:a="http://schemas.openxmlformats.org/drawingml/2006/main"/>
          <a:p xmlns:a="http://schemas.openxmlformats.org/drawingml/2006/main">
            <a:pPr>
              <a:defRPr/>
            </a:pPr>
            <a:r>
              <a:t>Power generation,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'MTOutputs'!$F$4:$Y$4</f>
            </numRef>
          </cat>
          <val>
            <numRef>
              <f>'MTOutputs'!$F$43:$Y$43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'MTOutputs'!$F$4:$Y$4</f>
            </numRef>
          </cat>
          <val>
            <numRef>
              <f>'MTOutputs'!$F$103:$Y$103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MWy (average MW)</a:t>
                </a:r>
              </a:p>
            </rich>
          </tx>
        </title>
        <majorTickMark val="none"/>
        <minorTickMark val="none"/>
        <crossAx val="10"/>
      </valAx>
    </plotArea>
    <legend>
      <legendPos val="b"/>
    </legend>
    <plotVisOnly val="1"/>
    <dispBlanksAs val="gap"/>
  </chart>
</chartSpace>
</file>

<file path=xl/charts/chart6.xml><?xml version="1.0" encoding="utf-8"?>
<chartSpace xmlns="http://schemas.openxmlformats.org/drawingml/2006/chart">
  <chart>
    <title>
      <tx>
        <rich>
          <a:bodyPr xmlns:a="http://schemas.openxmlformats.org/drawingml/2006/main"/>
          <a:p xmlns:a="http://schemas.openxmlformats.org/drawingml/2006/main">
            <a:pPr>
              <a:defRPr/>
            </a:pPr>
            <a:r>
              <a:t>Power CO2 emissions</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'MTOutputs'!$F$4:$Y$4</f>
            </numRef>
          </cat>
          <val>
            <numRef>
              <f>'MTOutputs'!$F$42:$Y$42</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'MTOutputs'!$F$4:$Y$4</f>
            </numRef>
          </cat>
          <val>
            <numRef>
              <f>'MTOutputs'!$F$102:$Y$102</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MtCO2</a:t>
                </a:r>
              </a:p>
            </rich>
          </tx>
        </title>
        <majorTickMark val="none"/>
        <minorTickMark val="none"/>
        <crossAx val="10"/>
      </valAx>
    </plotArea>
    <legend>
      <legendPos val="b"/>
    </legend>
    <plotVisOnly val="1"/>
    <dispBlanksAs val="gap"/>
  </chart>
</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Variable renewable share of generation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'MTOutputs'!$F$4:$Y$4</f>
            </numRef>
          </cat>
          <val>
            <numRef>
              <f>'MTOutputs'!$F$44:$Y$44</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'MTOutputs'!$F$4:$Y$4</f>
            </numRef>
          </cat>
          <val>
            <numRef>
              <f>'MTOutputs'!$F$104:$Y$104</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share</a:t>
                </a:r>
              </a:p>
            </rich>
          </tx>
        </title>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Residential electricity price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'MTOutputs'!$F$4:$Y$4</f>
            </numRef>
          </cat>
          <val>
            <numRef>
              <f>'MTOutputs'!$F$39:$Y$39</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'MTOutputs'!$F$4:$Y$4</f>
            </numRef>
          </cat>
          <val>
            <numRef>
              <f>'MTOutputs'!$F$99:$Y$99</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USD/kWh, real 2026</a:t>
                </a:r>
              </a:p>
            </rich>
          </tx>
        </title>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Nameplate capacity,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'MTOutputs'!$F$4:$Y$4</f>
            </numRef>
          </cat>
          <val>
            <numRef>
              <f>'MTOutputs'!$F$53:$Y$53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'MTOutputs'!$F$4:$Y$4</f>
            </numRef>
          </cat>
          <val>
            <numRef>
              <f>'MTOutputs'!$F$113:$Y$113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MW</a:t>
                </a:r>
              </a:p>
            </rich>
          </tx>
        </title>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Electricity demand,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'MTOutputs'!$F$4:$Y$4</f>
            </numRef>
          </cat>
          <val>
            <numRef>
              <f>'MTOutputs'!$F$47:$Y$47</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'MTOutputs'!$F$4:$Y$4</f>
            </numRef>
          </cat>
          <val>
            <numRef>
              <f>'MTOutputs'!$F$107:$Y$107</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ktoe</a:t>
                </a:r>
              </a:p>
            </rich>
          </tx>
        </title>
        <majorTickMark val="none"/>
        <minorTickMark val="none"/>
        <crossAx val="10"/>
      </valAx>
    </plotArea>
    <legend>
      <legendPos val="b"/>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chart" Target="/xl/charts/chart10.xml" Id="rId10"/></Relationships>
</file>

<file path=xl/drawings/drawing1.xml><?xml version="1.0" encoding="utf-8"?>
<wsDr xmlns="http://schemas.openxmlformats.org/drawingml/2006/spreadsheetDrawing">
  <oneCellAnchor>
    <from>
      <col>0</col>
      <colOff>0</colOff>
      <row>4</row>
      <rowOff>0</rowOff>
    </from>
    <ext cx="5400000" cy="27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10</col>
      <colOff>0</colOff>
      <row>4</row>
      <rowOff>0</rowOff>
    </from>
    <ext cx="5400000" cy="270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0</col>
      <colOff>0</colOff>
      <row>20</row>
      <rowOff>0</rowOff>
    </from>
    <ext cx="5400000" cy="270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oneCellAnchor>
    <from>
      <col>10</col>
      <colOff>0</colOff>
      <row>20</row>
      <rowOff>0</rowOff>
    </from>
    <ext cx="5400000" cy="2700000"/>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oneCellAnchor>
  <oneCellAnchor>
    <from>
      <col>0</col>
      <colOff>0</colOff>
      <row>36</row>
      <rowOff>0</rowOff>
    </from>
    <ext cx="5400000" cy="2700000"/>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oneCellAnchor>
  <oneCellAnchor>
    <from>
      <col>10</col>
      <colOff>0</colOff>
      <row>36</row>
      <rowOff>0</rowOff>
    </from>
    <ext cx="5400000" cy="2700000"/>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oneCellAnchor>
  <oneCellAnchor>
    <from>
      <col>0</col>
      <colOff>0</colOff>
      <row>52</row>
      <rowOff>0</rowOff>
    </from>
    <ext cx="5400000" cy="2700000"/>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oneCellAnchor>
  <oneCellAnchor>
    <from>
      <col>10</col>
      <colOff>0</colOff>
      <row>52</row>
      <rowOff>0</rowOff>
    </from>
    <ext cx="5400000" cy="2700000"/>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oneCellAnchor>
  <oneCellAnchor>
    <from>
      <col>0</col>
      <colOff>0</colOff>
      <row>68</row>
      <rowOff>0</rowOff>
    </from>
    <ext cx="5400000" cy="2700000"/>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oneCellAnchor>
  <oneCellAnchor>
    <from>
      <col>10</col>
      <colOff>0</colOff>
      <row>68</row>
      <rowOff>0</rowOff>
    </from>
    <ext cx="5400000" cy="2700000"/>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codeName="Sheet1">
    <outlinePr summaryBelow="1" summaryRight="1"/>
    <pageSetUpPr/>
  </sheetPr>
  <dimension ref="A1:BB3182"/>
  <sheetViews>
    <sheetView tabSelected="1" zoomScale="75" workbookViewId="0">
      <pane xSplit="11" ySplit="5" topLeftCell="L6" activePane="bottomRight" state="frozen"/>
      <selection pane="topRight"/>
      <selection pane="bottomLeft"/>
      <selection pane="bottomRight" activeCell="A1" sqref="A1"/>
    </sheetView>
  </sheetViews>
  <sheetFormatPr baseColWidth="8" defaultRowHeight="15" outlineLevelRow="2" outlineLevelCol="1"/>
  <cols>
    <col width="11" customWidth="1" min="1" max="1"/>
    <col hidden="1" outlineLevel="1" width="5" customWidth="1" min="2" max="2"/>
    <col hidden="1" outlineLevel="1" width="5" customWidth="1" min="3" max="3"/>
    <col hidden="1" outlineLevel="1" width="13" customWidth="1" min="4" max="4"/>
    <col hidden="1" outlineLevel="1" width="13" customWidth="1" min="5" max="5"/>
    <col hidden="1" outlineLevel="1" width="13" customWidth="1" min="6" max="6"/>
    <col hidden="1" outlineLevel="1" width="13"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hidden="1" outlineLevel="1" width="9" customWidth="1" min="20" max="20"/>
    <col hidden="1" outlineLevel="1" width="9" customWidth="1" min="21" max="21"/>
    <col hidden="1" outlineLevel="1" width="9" customWidth="1" min="22" max="22"/>
    <col hidden="1" outlineLevel="1" width="9" customWidth="1" min="23" max="23"/>
    <col hidden="1" outlineLevel="1" width="9" customWidth="1" min="24" max="24"/>
    <col hidden="1" outlineLevel="1" width="9" customWidth="1" min="25" max="25"/>
    <col hidden="1" outlineLevel="1" width="9" customWidth="1" min="26" max="26"/>
    <col hidden="1" outlineLevel="1" width="9" customWidth="1" min="27" max="27"/>
    <col hidden="1" outlineLevel="1" width="9" customWidth="1" min="28" max="28"/>
    <col hidden="1" outlineLevel="1" width="9" customWidth="1" min="29" max="29"/>
    <col collapsed="1" width="9" customWidth="1" min="30" max="30"/>
    <col width="9" customWidth="1" min="31" max="31"/>
    <col width="3" customWidth="1" min="32" max="32"/>
    <col width="24" customWidth="1" min="33" max="33"/>
    <col width="9" customWidth="1" min="34" max="34"/>
    <col width="9" customWidth="1" min="35" max="35"/>
    <col width="9" customWidth="1" min="36" max="36"/>
    <col width="9" customWidth="1" min="37" max="37"/>
    <col width="9" customWidth="1" min="38" max="38"/>
    <col width="9" customWidth="1" min="39" max="39"/>
    <col width="9" customWidth="1" min="40" max="40"/>
    <col width="9" customWidth="1" min="41" max="41"/>
    <col hidden="1" outlineLevel="1" width="9" customWidth="1" min="42" max="42"/>
    <col hidden="1" outlineLevel="1" width="9" customWidth="1" min="43" max="43"/>
    <col hidden="1" outlineLevel="1" width="9" customWidth="1" min="44" max="44"/>
    <col hidden="1" outlineLevel="1" width="9" customWidth="1" min="45" max="45"/>
    <col hidden="1" outlineLevel="1" width="9" customWidth="1" min="46" max="46"/>
    <col hidden="1" outlineLevel="1" width="9" customWidth="1" min="47" max="47"/>
    <col hidden="1" outlineLevel="1" width="9" customWidth="1" min="48" max="48"/>
    <col hidden="1" outlineLevel="1" width="9" customWidth="1" min="49" max="49"/>
    <col hidden="1" outlineLevel="1" width="9" customWidth="1" min="50" max="50"/>
    <col hidden="1" outlineLevel="1" width="9" customWidth="1" min="51" max="51"/>
    <col collapsed="1" width="9" customWidth="1" min="52" max="52"/>
    <col width="9" customWidth="1" min="53" max="53"/>
    <col width="3" customWidth="1" min="54" max="54"/>
  </cols>
  <sheetData>
    <row r="1">
      <c r="A1" s="1" t="inlineStr">
        <is>
          <t>Variable</t>
        </is>
      </c>
      <c r="B1" s="1" t="inlineStr">
        <is>
          <t>Fuel</t>
        </is>
      </c>
      <c r="C1" s="1" t="inlineStr">
        <is>
          <t>Sector</t>
        </is>
      </c>
      <c r="D1" s="1" t="inlineStr">
        <is>
          <t>Param 1</t>
        </is>
      </c>
      <c r="E1" s="1" t="inlineStr">
        <is>
          <t>Param 2</t>
        </is>
      </c>
      <c r="F1" s="1" t="inlineStr">
        <is>
          <t>Param 3</t>
        </is>
      </c>
      <c r="G1" s="1" t="inlineStr">
        <is>
          <t>Param 4</t>
        </is>
      </c>
      <c r="H1" s="1" t="inlineStr">
        <is>
          <t>Description</t>
        </is>
      </c>
      <c r="I1" s="1" t="inlineStr">
        <is>
          <t>Unit</t>
        </is>
      </c>
      <c r="J1" s="1" t="inlineStr">
        <is>
          <t>Source</t>
        </is>
      </c>
      <c r="K1" s="1" t="inlineStr">
        <is>
          <t>Scenario 1: output code</t>
        </is>
      </c>
      <c r="AG1" s="1" t="inlineStr">
        <is>
          <t>Scenario 2: output code</t>
        </is>
      </c>
    </row>
    <row r="2">
      <c r="A2" s="2" t="inlineStr">
        <is>
          <t>CPAT-AI-Mitigation-MVP v2.3 - mitigation module: policies, prices, fuel use, revenues, CO2 (copy-pasteable)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c r="BA2" s="3" t="n"/>
      <c r="BB2" s="3" t="n"/>
    </row>
    <row r="3">
      <c r="A3" s="4" t="inlineStr">
        <is>
          <t>Scenario assumptions (one column group per scenario: code column + years; copy a whole group to add a scenario)</t>
        </is>
      </c>
      <c r="B3" s="5" t="n"/>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c r="AX3" s="5" t="n"/>
      <c r="AY3" s="5" t="n"/>
      <c r="AZ3" s="5" t="n"/>
      <c r="BA3" s="5" t="n"/>
      <c r="BB3" s="5" t="n"/>
    </row>
    <row r="4">
      <c r="H4" s="1" t="inlineStr">
        <is>
          <t>Year</t>
        </is>
      </c>
      <c r="L4" s="6">
        <f>Settings!$C$7</f>
        <v/>
      </c>
      <c r="M4" s="7">
        <f>L4+1</f>
        <v/>
      </c>
      <c r="N4" s="7">
        <f>M4+1</f>
        <v/>
      </c>
      <c r="O4" s="7">
        <f>N4+1</f>
        <v/>
      </c>
      <c r="P4" s="7">
        <f>O4+1</f>
        <v/>
      </c>
      <c r="Q4" s="7">
        <f>P4+1</f>
        <v/>
      </c>
      <c r="R4" s="7">
        <f>Q4+1</f>
        <v/>
      </c>
      <c r="S4" s="7">
        <f>R4+1</f>
        <v/>
      </c>
      <c r="T4" s="7">
        <f>S4+1</f>
        <v/>
      </c>
      <c r="U4" s="7">
        <f>T4+1</f>
        <v/>
      </c>
      <c r="V4" s="7">
        <f>U4+1</f>
        <v/>
      </c>
      <c r="W4" s="7">
        <f>V4+1</f>
        <v/>
      </c>
      <c r="X4" s="7">
        <f>W4+1</f>
        <v/>
      </c>
      <c r="Y4" s="7">
        <f>X4+1</f>
        <v/>
      </c>
      <c r="Z4" s="7">
        <f>Y4+1</f>
        <v/>
      </c>
      <c r="AA4" s="7">
        <f>Z4+1</f>
        <v/>
      </c>
      <c r="AB4" s="7">
        <f>AA4+1</f>
        <v/>
      </c>
      <c r="AC4" s="7">
        <f>AB4+1</f>
        <v/>
      </c>
      <c r="AD4" s="7">
        <f>AC4+1</f>
        <v/>
      </c>
      <c r="AE4" s="7">
        <f>AD4+1</f>
        <v/>
      </c>
      <c r="AH4" s="6">
        <f>Settings!$C$7</f>
        <v/>
      </c>
      <c r="AI4" s="7">
        <f>AH4+1</f>
        <v/>
      </c>
      <c r="AJ4" s="7">
        <f>AI4+1</f>
        <v/>
      </c>
      <c r="AK4" s="7">
        <f>AJ4+1</f>
        <v/>
      </c>
      <c r="AL4" s="7">
        <f>AK4+1</f>
        <v/>
      </c>
      <c r="AM4" s="7">
        <f>AL4+1</f>
        <v/>
      </c>
      <c r="AN4" s="7">
        <f>AM4+1</f>
        <v/>
      </c>
      <c r="AO4" s="7">
        <f>AN4+1</f>
        <v/>
      </c>
      <c r="AP4" s="7">
        <f>AO4+1</f>
        <v/>
      </c>
      <c r="AQ4" s="7">
        <f>AP4+1</f>
        <v/>
      </c>
      <c r="AR4" s="7">
        <f>AQ4+1</f>
        <v/>
      </c>
      <c r="AS4" s="7">
        <f>AR4+1</f>
        <v/>
      </c>
      <c r="AT4" s="7">
        <f>AS4+1</f>
        <v/>
      </c>
      <c r="AU4" s="7">
        <f>AT4+1</f>
        <v/>
      </c>
      <c r="AV4" s="7">
        <f>AU4+1</f>
        <v/>
      </c>
      <c r="AW4" s="7">
        <f>AV4+1</f>
        <v/>
      </c>
      <c r="AX4" s="7">
        <f>AW4+1</f>
        <v/>
      </c>
      <c r="AY4" s="7">
        <f>AX4+1</f>
        <v/>
      </c>
      <c r="AZ4" s="7">
        <f>AY4+1</f>
        <v/>
      </c>
      <c r="BA4" s="7">
        <f>AZ4+1</f>
        <v/>
      </c>
    </row>
    <row r="5">
      <c r="H5" s="1" t="inlineStr">
        <is>
          <t>Scenario number (MTInputs column)</t>
        </is>
      </c>
      <c r="K5" s="8" t="n">
        <v>1</v>
      </c>
      <c r="L5" s="9">
        <f>K5</f>
        <v/>
      </c>
      <c r="M5" s="10">
        <f>L5</f>
        <v/>
      </c>
      <c r="N5" s="10">
        <f>M5</f>
        <v/>
      </c>
      <c r="O5" s="10">
        <f>N5</f>
        <v/>
      </c>
      <c r="P5" s="10">
        <f>O5</f>
        <v/>
      </c>
      <c r="Q5" s="10">
        <f>P5</f>
        <v/>
      </c>
      <c r="R5" s="10">
        <f>Q5</f>
        <v/>
      </c>
      <c r="S5" s="10">
        <f>R5</f>
        <v/>
      </c>
      <c r="T5" s="10">
        <f>S5</f>
        <v/>
      </c>
      <c r="U5" s="10">
        <f>T5</f>
        <v/>
      </c>
      <c r="V5" s="10">
        <f>U5</f>
        <v/>
      </c>
      <c r="W5" s="10">
        <f>V5</f>
        <v/>
      </c>
      <c r="X5" s="10">
        <f>W5</f>
        <v/>
      </c>
      <c r="Y5" s="10">
        <f>X5</f>
        <v/>
      </c>
      <c r="Z5" s="10">
        <f>Y5</f>
        <v/>
      </c>
      <c r="AA5" s="10">
        <f>Z5</f>
        <v/>
      </c>
      <c r="AB5" s="10">
        <f>AA5</f>
        <v/>
      </c>
      <c r="AC5" s="10">
        <f>AB5</f>
        <v/>
      </c>
      <c r="AD5" s="10">
        <f>AC5</f>
        <v/>
      </c>
      <c r="AE5" s="10">
        <f>AD5</f>
        <v/>
      </c>
      <c r="AG5" s="7">
        <f>K5+1</f>
        <v/>
      </c>
      <c r="AH5" s="9">
        <f>AG5</f>
        <v/>
      </c>
      <c r="AI5" s="10">
        <f>AH5</f>
        <v/>
      </c>
      <c r="AJ5" s="10">
        <f>AI5</f>
        <v/>
      </c>
      <c r="AK5" s="10">
        <f>AJ5</f>
        <v/>
      </c>
      <c r="AL5" s="10">
        <f>AK5</f>
        <v/>
      </c>
      <c r="AM5" s="10">
        <f>AL5</f>
        <v/>
      </c>
      <c r="AN5" s="10">
        <f>AM5</f>
        <v/>
      </c>
      <c r="AO5" s="10">
        <f>AN5</f>
        <v/>
      </c>
      <c r="AP5" s="10">
        <f>AO5</f>
        <v/>
      </c>
      <c r="AQ5" s="10">
        <f>AP5</f>
        <v/>
      </c>
      <c r="AR5" s="10">
        <f>AQ5</f>
        <v/>
      </c>
      <c r="AS5" s="10">
        <f>AR5</f>
        <v/>
      </c>
      <c r="AT5" s="10">
        <f>AS5</f>
        <v/>
      </c>
      <c r="AU5" s="10">
        <f>AT5</f>
        <v/>
      </c>
      <c r="AV5" s="10">
        <f>AU5</f>
        <v/>
      </c>
      <c r="AW5" s="10">
        <f>AV5</f>
        <v/>
      </c>
      <c r="AX5" s="10">
        <f>AW5</f>
        <v/>
      </c>
      <c r="AY5" s="10">
        <f>AX5</f>
        <v/>
      </c>
      <c r="AZ5" s="10">
        <f>AY5</f>
        <v/>
      </c>
      <c r="BA5" s="10">
        <f>AZ5</f>
        <v/>
      </c>
    </row>
    <row r="6">
      <c r="H6" s="1" t="inlineStr">
        <is>
          <t>Scenario name (from MTInputs)</t>
        </is>
      </c>
      <c r="L6" s="1">
        <f>INDEX(MTInputs!$J$6:$AZ$6,MATCH(L$5,MTInputs!$J$5:$AZ$5,0))</f>
        <v/>
      </c>
      <c r="AH6" s="1">
        <f>INDEX(MTInputs!$J$6:$AZ$6,MATCH(AH$5,MTInputs!$J$5:$AZ$5,0))</f>
        <v/>
      </c>
    </row>
    <row r="7">
      <c r="A7" s="1" t="inlineStr">
        <is>
          <t>gdp.pos.pct</t>
        </is>
      </c>
      <c r="B7" s="1" t="inlineStr"/>
      <c r="C7" s="1" t="inlineStr"/>
      <c r="H7" s="1">
        <f>INDEX(VarLab,MATCH($A7,VarKey,0))&amp;INDEX(MemLab,MATCH($C7&amp;"|"&amp;$B7,MemKey,0))</f>
        <v/>
      </c>
      <c r="I7" s="1">
        <f>INDEX(VarUnit,MATCH($A7,VarKey,0))</f>
        <v/>
      </c>
      <c r="J7" s="1">
        <f>INDEX(VarSrc,MATCH($A7,VarKey,0))</f>
        <v/>
      </c>
      <c r="K7" s="11">
        <f>CodePrefix&amp;$A7&amp;IF($C7="","","."&amp;$C7&amp;"."&amp;$B7)&amp;INDEX(VarEnd,MATCH($A7,VarKey,0))&amp;K$5</f>
        <v/>
      </c>
      <c r="L7" s="12">
        <f>INDEX(WEOVal,MATCH(Settings!$C$4&amp;"|gdp_growth",WEOKey,0),MATCH(L$4,WEOYear,0))</f>
        <v/>
      </c>
      <c r="M7" s="13">
        <f>INDEX(WEOVal,MATCH(Settings!$C$4&amp;"|gdp_growth",WEOKey,0),MATCH(M$4,WEOYear,0))</f>
        <v/>
      </c>
      <c r="N7" s="13">
        <f>INDEX(WEOVal,MATCH(Settings!$C$4&amp;"|gdp_growth",WEOKey,0),MATCH(N$4,WEOYear,0))</f>
        <v/>
      </c>
      <c r="O7" s="13">
        <f>INDEX(WEOVal,MATCH(Settings!$C$4&amp;"|gdp_growth",WEOKey,0),MATCH(O$4,WEOYear,0))</f>
        <v/>
      </c>
      <c r="P7" s="13">
        <f>INDEX(WEOVal,MATCH(Settings!$C$4&amp;"|gdp_growth",WEOKey,0),MATCH(P$4,WEOYear,0))</f>
        <v/>
      </c>
      <c r="Q7" s="13">
        <f>INDEX(WEOVal,MATCH(Settings!$C$4&amp;"|gdp_growth",WEOKey,0),MATCH(Q$4,WEOYear,0))</f>
        <v/>
      </c>
      <c r="R7" s="13">
        <f>INDEX(WEOVal,MATCH(Settings!$C$4&amp;"|gdp_growth",WEOKey,0),MATCH(R$4,WEOYear,0))</f>
        <v/>
      </c>
      <c r="S7" s="13">
        <f>INDEX(WEOVal,MATCH(Settings!$C$4&amp;"|gdp_growth",WEOKey,0),MATCH(S$4,WEOYear,0))</f>
        <v/>
      </c>
      <c r="T7" s="13">
        <f>INDEX(WEOVal,MATCH(Settings!$C$4&amp;"|gdp_growth",WEOKey,0),MATCH(T$4,WEOYear,0))</f>
        <v/>
      </c>
      <c r="U7" s="13">
        <f>INDEX(WEOVal,MATCH(Settings!$C$4&amp;"|gdp_growth",WEOKey,0),MATCH(U$4,WEOYear,0))</f>
        <v/>
      </c>
      <c r="V7" s="13">
        <f>INDEX(WEOVal,MATCH(Settings!$C$4&amp;"|gdp_growth",WEOKey,0),MATCH(V$4,WEOYear,0))</f>
        <v/>
      </c>
      <c r="W7" s="13">
        <f>INDEX(WEOVal,MATCH(Settings!$C$4&amp;"|gdp_growth",WEOKey,0),MATCH(W$4,WEOYear,0))</f>
        <v/>
      </c>
      <c r="X7" s="13">
        <f>INDEX(WEOVal,MATCH(Settings!$C$4&amp;"|gdp_growth",WEOKey,0),MATCH(X$4,WEOYear,0))</f>
        <v/>
      </c>
      <c r="Y7" s="13">
        <f>INDEX(WEOVal,MATCH(Settings!$C$4&amp;"|gdp_growth",WEOKey,0),MATCH(Y$4,WEOYear,0))</f>
        <v/>
      </c>
      <c r="Z7" s="13">
        <f>INDEX(WEOVal,MATCH(Settings!$C$4&amp;"|gdp_growth",WEOKey,0),MATCH(Z$4,WEOYear,0))</f>
        <v/>
      </c>
      <c r="AA7" s="13">
        <f>INDEX(WEOVal,MATCH(Settings!$C$4&amp;"|gdp_growth",WEOKey,0),MATCH(AA$4,WEOYear,0))</f>
        <v/>
      </c>
      <c r="AB7" s="13">
        <f>INDEX(WEOVal,MATCH(Settings!$C$4&amp;"|gdp_growth",WEOKey,0),MATCH(AB$4,WEOYear,0))</f>
        <v/>
      </c>
      <c r="AC7" s="13">
        <f>INDEX(WEOVal,MATCH(Settings!$C$4&amp;"|gdp_growth",WEOKey,0),MATCH(AC$4,WEOYear,0))</f>
        <v/>
      </c>
      <c r="AD7" s="13">
        <f>INDEX(WEOVal,MATCH(Settings!$C$4&amp;"|gdp_growth",WEOKey,0),MATCH(AD$4,WEOYear,0))</f>
        <v/>
      </c>
      <c r="AE7" s="13">
        <f>INDEX(WEOVal,MATCH(Settings!$C$4&amp;"|gdp_growth",WEOKey,0),MATCH(AE$4,WEOYear,0))</f>
        <v/>
      </c>
      <c r="AG7" s="11">
        <f>CodePrefix&amp;$A7&amp;IF($C7="","","."&amp;$C7&amp;"."&amp;$B7)&amp;INDEX(VarEnd,MATCH($A7,VarKey,0))&amp;AG$5</f>
        <v/>
      </c>
      <c r="AH7" s="12">
        <f>INDEX(WEOVal,MATCH(Settings!$C$4&amp;"|gdp_growth",WEOKey,0),MATCH(AH$4,WEOYear,0))</f>
        <v/>
      </c>
      <c r="AI7" s="13">
        <f>INDEX(WEOVal,MATCH(Settings!$C$4&amp;"|gdp_growth",WEOKey,0),MATCH(AI$4,WEOYear,0))</f>
        <v/>
      </c>
      <c r="AJ7" s="13">
        <f>INDEX(WEOVal,MATCH(Settings!$C$4&amp;"|gdp_growth",WEOKey,0),MATCH(AJ$4,WEOYear,0))</f>
        <v/>
      </c>
      <c r="AK7" s="13">
        <f>INDEX(WEOVal,MATCH(Settings!$C$4&amp;"|gdp_growth",WEOKey,0),MATCH(AK$4,WEOYear,0))</f>
        <v/>
      </c>
      <c r="AL7" s="13">
        <f>INDEX(WEOVal,MATCH(Settings!$C$4&amp;"|gdp_growth",WEOKey,0),MATCH(AL$4,WEOYear,0))</f>
        <v/>
      </c>
      <c r="AM7" s="13">
        <f>INDEX(WEOVal,MATCH(Settings!$C$4&amp;"|gdp_growth",WEOKey,0),MATCH(AM$4,WEOYear,0))</f>
        <v/>
      </c>
      <c r="AN7" s="13">
        <f>INDEX(WEOVal,MATCH(Settings!$C$4&amp;"|gdp_growth",WEOKey,0),MATCH(AN$4,WEOYear,0))</f>
        <v/>
      </c>
      <c r="AO7" s="13">
        <f>INDEX(WEOVal,MATCH(Settings!$C$4&amp;"|gdp_growth",WEOKey,0),MATCH(AO$4,WEOYear,0))</f>
        <v/>
      </c>
      <c r="AP7" s="13">
        <f>INDEX(WEOVal,MATCH(Settings!$C$4&amp;"|gdp_growth",WEOKey,0),MATCH(AP$4,WEOYear,0))</f>
        <v/>
      </c>
      <c r="AQ7" s="13">
        <f>INDEX(WEOVal,MATCH(Settings!$C$4&amp;"|gdp_growth",WEOKey,0),MATCH(AQ$4,WEOYear,0))</f>
        <v/>
      </c>
      <c r="AR7" s="13">
        <f>INDEX(WEOVal,MATCH(Settings!$C$4&amp;"|gdp_growth",WEOKey,0),MATCH(AR$4,WEOYear,0))</f>
        <v/>
      </c>
      <c r="AS7" s="13">
        <f>INDEX(WEOVal,MATCH(Settings!$C$4&amp;"|gdp_growth",WEOKey,0),MATCH(AS$4,WEOYear,0))</f>
        <v/>
      </c>
      <c r="AT7" s="13">
        <f>INDEX(WEOVal,MATCH(Settings!$C$4&amp;"|gdp_growth",WEOKey,0),MATCH(AT$4,WEOYear,0))</f>
        <v/>
      </c>
      <c r="AU7" s="13">
        <f>INDEX(WEOVal,MATCH(Settings!$C$4&amp;"|gdp_growth",WEOKey,0),MATCH(AU$4,WEOYear,0))</f>
        <v/>
      </c>
      <c r="AV7" s="13">
        <f>INDEX(WEOVal,MATCH(Settings!$C$4&amp;"|gdp_growth",WEOKey,0),MATCH(AV$4,WEOYear,0))</f>
        <v/>
      </c>
      <c r="AW7" s="13">
        <f>INDEX(WEOVal,MATCH(Settings!$C$4&amp;"|gdp_growth",WEOKey,0),MATCH(AW$4,WEOYear,0))</f>
        <v/>
      </c>
      <c r="AX7" s="13">
        <f>INDEX(WEOVal,MATCH(Settings!$C$4&amp;"|gdp_growth",WEOKey,0),MATCH(AX$4,WEOYear,0))</f>
        <v/>
      </c>
      <c r="AY7" s="13">
        <f>INDEX(WEOVal,MATCH(Settings!$C$4&amp;"|gdp_growth",WEOKey,0),MATCH(AY$4,WEOYear,0))</f>
        <v/>
      </c>
      <c r="AZ7" s="13">
        <f>INDEX(WEOVal,MATCH(Settings!$C$4&amp;"|gdp_growth",WEOKey,0),MATCH(AZ$4,WEOYear,0))</f>
        <v/>
      </c>
      <c r="BA7" s="13">
        <f>INDEX(WEOVal,MATCH(Settings!$C$4&amp;"|gdp_growth",WEOKey,0),MATCH(BA$4,WEOYear,0))</f>
        <v/>
      </c>
    </row>
    <row r="8">
      <c r="A8" s="14" t="inlineStr">
        <is>
          <t>infl</t>
        </is>
      </c>
      <c r="B8" s="14" t="inlineStr"/>
      <c r="C8" s="14" t="inlineStr"/>
      <c r="H8" s="14">
        <f>INDEX(VarLab,MATCH($A8,VarKey,0))&amp;INDEX(MemLab,MATCH($C8&amp;"|"&amp;$B8,MemKey,0))</f>
        <v/>
      </c>
      <c r="I8" s="14">
        <f>INDEX(VarUnit,MATCH($A8,VarKey,0))</f>
        <v/>
      </c>
      <c r="J8" s="14">
        <f>INDEX(VarSrc,MATCH($A8,VarKey,0))</f>
        <v/>
      </c>
      <c r="K8" s="11">
        <f>CodePrefix&amp;$A8&amp;IF($C8="","","."&amp;$C8&amp;"."&amp;$B8)&amp;INDEX(VarEnd,MATCH($A8,VarKey,0))&amp;K$5</f>
        <v/>
      </c>
      <c r="L8" s="15">
        <f>CPIRes/INDEX(WEOVal,MATCH("USA|pcpi",WEOKey,0),MATCH(L$4,WEOYear,0))</f>
        <v/>
      </c>
      <c r="M8" s="16">
        <f>CPIRes/INDEX(WEOVal,MATCH("USA|pcpi",WEOKey,0),MATCH(M$4,WEOYear,0))</f>
        <v/>
      </c>
      <c r="N8" s="16">
        <f>CPIRes/INDEX(WEOVal,MATCH("USA|pcpi",WEOKey,0),MATCH(N$4,WEOYear,0))</f>
        <v/>
      </c>
      <c r="O8" s="16">
        <f>CPIRes/INDEX(WEOVal,MATCH("USA|pcpi",WEOKey,0),MATCH(O$4,WEOYear,0))</f>
        <v/>
      </c>
      <c r="P8" s="16">
        <f>CPIRes/INDEX(WEOVal,MATCH("USA|pcpi",WEOKey,0),MATCH(P$4,WEOYear,0))</f>
        <v/>
      </c>
      <c r="Q8" s="16">
        <f>CPIRes/INDEX(WEOVal,MATCH("USA|pcpi",WEOKey,0),MATCH(Q$4,WEOYear,0))</f>
        <v/>
      </c>
      <c r="R8" s="16">
        <f>CPIRes/INDEX(WEOVal,MATCH("USA|pcpi",WEOKey,0),MATCH(R$4,WEOYear,0))</f>
        <v/>
      </c>
      <c r="S8" s="16">
        <f>CPIRes/INDEX(WEOVal,MATCH("USA|pcpi",WEOKey,0),MATCH(S$4,WEOYear,0))</f>
        <v/>
      </c>
      <c r="T8" s="16">
        <f>CPIRes/INDEX(WEOVal,MATCH("USA|pcpi",WEOKey,0),MATCH(T$4,WEOYear,0))</f>
        <v/>
      </c>
      <c r="U8" s="16">
        <f>CPIRes/INDEX(WEOVal,MATCH("USA|pcpi",WEOKey,0),MATCH(U$4,WEOYear,0))</f>
        <v/>
      </c>
      <c r="V8" s="16">
        <f>CPIRes/INDEX(WEOVal,MATCH("USA|pcpi",WEOKey,0),MATCH(V$4,WEOYear,0))</f>
        <v/>
      </c>
      <c r="W8" s="16">
        <f>CPIRes/INDEX(WEOVal,MATCH("USA|pcpi",WEOKey,0),MATCH(W$4,WEOYear,0))</f>
        <v/>
      </c>
      <c r="X8" s="16">
        <f>CPIRes/INDEX(WEOVal,MATCH("USA|pcpi",WEOKey,0),MATCH(X$4,WEOYear,0))</f>
        <v/>
      </c>
      <c r="Y8" s="16">
        <f>CPIRes/INDEX(WEOVal,MATCH("USA|pcpi",WEOKey,0),MATCH(Y$4,WEOYear,0))</f>
        <v/>
      </c>
      <c r="Z8" s="16">
        <f>CPIRes/INDEX(WEOVal,MATCH("USA|pcpi",WEOKey,0),MATCH(Z$4,WEOYear,0))</f>
        <v/>
      </c>
      <c r="AA8" s="16">
        <f>CPIRes/INDEX(WEOVal,MATCH("USA|pcpi",WEOKey,0),MATCH(AA$4,WEOYear,0))</f>
        <v/>
      </c>
      <c r="AB8" s="16">
        <f>CPIRes/INDEX(WEOVal,MATCH("USA|pcpi",WEOKey,0),MATCH(AB$4,WEOYear,0))</f>
        <v/>
      </c>
      <c r="AC8" s="16">
        <f>CPIRes/INDEX(WEOVal,MATCH("USA|pcpi",WEOKey,0),MATCH(AC$4,WEOYear,0))</f>
        <v/>
      </c>
      <c r="AD8" s="16">
        <f>CPIRes/INDEX(WEOVal,MATCH("USA|pcpi",WEOKey,0),MATCH(AD$4,WEOYear,0))</f>
        <v/>
      </c>
      <c r="AE8" s="16">
        <f>CPIRes/INDEX(WEOVal,MATCH("USA|pcpi",WEOKey,0),MATCH(AE$4,WEOYear,0))</f>
        <v/>
      </c>
      <c r="AG8" s="11">
        <f>CodePrefix&amp;$A8&amp;IF($C8="","","."&amp;$C8&amp;"."&amp;$B8)&amp;INDEX(VarEnd,MATCH($A8,VarKey,0))&amp;AG$5</f>
        <v/>
      </c>
      <c r="AH8" s="15">
        <f>CPIRes/INDEX(WEOVal,MATCH("USA|pcpi",WEOKey,0),MATCH(AH$4,WEOYear,0))</f>
        <v/>
      </c>
      <c r="AI8" s="16">
        <f>CPIRes/INDEX(WEOVal,MATCH("USA|pcpi",WEOKey,0),MATCH(AI$4,WEOYear,0))</f>
        <v/>
      </c>
      <c r="AJ8" s="16">
        <f>CPIRes/INDEX(WEOVal,MATCH("USA|pcpi",WEOKey,0),MATCH(AJ$4,WEOYear,0))</f>
        <v/>
      </c>
      <c r="AK8" s="16">
        <f>CPIRes/INDEX(WEOVal,MATCH("USA|pcpi",WEOKey,0),MATCH(AK$4,WEOYear,0))</f>
        <v/>
      </c>
      <c r="AL8" s="16">
        <f>CPIRes/INDEX(WEOVal,MATCH("USA|pcpi",WEOKey,0),MATCH(AL$4,WEOYear,0))</f>
        <v/>
      </c>
      <c r="AM8" s="16">
        <f>CPIRes/INDEX(WEOVal,MATCH("USA|pcpi",WEOKey,0),MATCH(AM$4,WEOYear,0))</f>
        <v/>
      </c>
      <c r="AN8" s="16">
        <f>CPIRes/INDEX(WEOVal,MATCH("USA|pcpi",WEOKey,0),MATCH(AN$4,WEOYear,0))</f>
        <v/>
      </c>
      <c r="AO8" s="16">
        <f>CPIRes/INDEX(WEOVal,MATCH("USA|pcpi",WEOKey,0),MATCH(AO$4,WEOYear,0))</f>
        <v/>
      </c>
      <c r="AP8" s="16">
        <f>CPIRes/INDEX(WEOVal,MATCH("USA|pcpi",WEOKey,0),MATCH(AP$4,WEOYear,0))</f>
        <v/>
      </c>
      <c r="AQ8" s="16">
        <f>CPIRes/INDEX(WEOVal,MATCH("USA|pcpi",WEOKey,0),MATCH(AQ$4,WEOYear,0))</f>
        <v/>
      </c>
      <c r="AR8" s="16">
        <f>CPIRes/INDEX(WEOVal,MATCH("USA|pcpi",WEOKey,0),MATCH(AR$4,WEOYear,0))</f>
        <v/>
      </c>
      <c r="AS8" s="16">
        <f>CPIRes/INDEX(WEOVal,MATCH("USA|pcpi",WEOKey,0),MATCH(AS$4,WEOYear,0))</f>
        <v/>
      </c>
      <c r="AT8" s="16">
        <f>CPIRes/INDEX(WEOVal,MATCH("USA|pcpi",WEOKey,0),MATCH(AT$4,WEOYear,0))</f>
        <v/>
      </c>
      <c r="AU8" s="16">
        <f>CPIRes/INDEX(WEOVal,MATCH("USA|pcpi",WEOKey,0),MATCH(AU$4,WEOYear,0))</f>
        <v/>
      </c>
      <c r="AV8" s="16">
        <f>CPIRes/INDEX(WEOVal,MATCH("USA|pcpi",WEOKey,0),MATCH(AV$4,WEOYear,0))</f>
        <v/>
      </c>
      <c r="AW8" s="16">
        <f>CPIRes/INDEX(WEOVal,MATCH("USA|pcpi",WEOKey,0),MATCH(AW$4,WEOYear,0))</f>
        <v/>
      </c>
      <c r="AX8" s="16">
        <f>CPIRes/INDEX(WEOVal,MATCH("USA|pcpi",WEOKey,0),MATCH(AX$4,WEOYear,0))</f>
        <v/>
      </c>
      <c r="AY8" s="16">
        <f>CPIRes/INDEX(WEOVal,MATCH("USA|pcpi",WEOKey,0),MATCH(AY$4,WEOYear,0))</f>
        <v/>
      </c>
      <c r="AZ8" s="16">
        <f>CPIRes/INDEX(WEOVal,MATCH("USA|pcpi",WEOKey,0),MATCH(AZ$4,WEOYear,0))</f>
        <v/>
      </c>
      <c r="BA8" s="16">
        <f>CPIRes/INDEX(WEOVal,MATCH("USA|pcpi",WEOKey,0),MATCH(BA$4,WEOYear,0))</f>
        <v/>
      </c>
    </row>
    <row r="9">
      <c r="A9" s="14" t="inlineStr">
        <is>
          <t>defl</t>
        </is>
      </c>
      <c r="B9" s="14" t="inlineStr"/>
      <c r="C9" s="14" t="inlineStr"/>
      <c r="H9" s="14">
        <f>INDEX(VarLab,MATCH($A9,VarKey,0))&amp;INDEX(MemLab,MATCH($C9&amp;"|"&amp;$B9,MemKey,0))</f>
        <v/>
      </c>
      <c r="I9" s="14">
        <f>INDEX(VarUnit,MATCH($A9,VarKey,0))</f>
        <v/>
      </c>
      <c r="J9" s="14">
        <f>INDEX(VarSrc,MATCH($A9,VarKey,0))</f>
        <v/>
      </c>
      <c r="K9" s="11">
        <f>CodePrefix&amp;$A9&amp;IF($C9="","","."&amp;$C9&amp;"."&amp;$B9)&amp;INDEX(VarEnd,MATCH($A9,VarKey,0))&amp;K$5</f>
        <v/>
      </c>
      <c r="L9" s="15">
        <f>DeflRes/INDEX(WEOVal,MATCH("USA|ngdp_d",WEOKey,0),MATCH(L$4,WEOYear,0))</f>
        <v/>
      </c>
      <c r="M9" s="16">
        <f>DeflRes/INDEX(WEOVal,MATCH("USA|ngdp_d",WEOKey,0),MATCH(M$4,WEOYear,0))</f>
        <v/>
      </c>
      <c r="N9" s="16">
        <f>DeflRes/INDEX(WEOVal,MATCH("USA|ngdp_d",WEOKey,0),MATCH(N$4,WEOYear,0))</f>
        <v/>
      </c>
      <c r="O9" s="16">
        <f>DeflRes/INDEX(WEOVal,MATCH("USA|ngdp_d",WEOKey,0),MATCH(O$4,WEOYear,0))</f>
        <v/>
      </c>
      <c r="P9" s="16">
        <f>DeflRes/INDEX(WEOVal,MATCH("USA|ngdp_d",WEOKey,0),MATCH(P$4,WEOYear,0))</f>
        <v/>
      </c>
      <c r="Q9" s="16">
        <f>DeflRes/INDEX(WEOVal,MATCH("USA|ngdp_d",WEOKey,0),MATCH(Q$4,WEOYear,0))</f>
        <v/>
      </c>
      <c r="R9" s="16">
        <f>DeflRes/INDEX(WEOVal,MATCH("USA|ngdp_d",WEOKey,0),MATCH(R$4,WEOYear,0))</f>
        <v/>
      </c>
      <c r="S9" s="16">
        <f>DeflRes/INDEX(WEOVal,MATCH("USA|ngdp_d",WEOKey,0),MATCH(S$4,WEOYear,0))</f>
        <v/>
      </c>
      <c r="T9" s="16">
        <f>DeflRes/INDEX(WEOVal,MATCH("USA|ngdp_d",WEOKey,0),MATCH(T$4,WEOYear,0))</f>
        <v/>
      </c>
      <c r="U9" s="16">
        <f>DeflRes/INDEX(WEOVal,MATCH("USA|ngdp_d",WEOKey,0),MATCH(U$4,WEOYear,0))</f>
        <v/>
      </c>
      <c r="V9" s="16">
        <f>DeflRes/INDEX(WEOVal,MATCH("USA|ngdp_d",WEOKey,0),MATCH(V$4,WEOYear,0))</f>
        <v/>
      </c>
      <c r="W9" s="16">
        <f>DeflRes/INDEX(WEOVal,MATCH("USA|ngdp_d",WEOKey,0),MATCH(W$4,WEOYear,0))</f>
        <v/>
      </c>
      <c r="X9" s="16">
        <f>DeflRes/INDEX(WEOVal,MATCH("USA|ngdp_d",WEOKey,0),MATCH(X$4,WEOYear,0))</f>
        <v/>
      </c>
      <c r="Y9" s="16">
        <f>DeflRes/INDEX(WEOVal,MATCH("USA|ngdp_d",WEOKey,0),MATCH(Y$4,WEOYear,0))</f>
        <v/>
      </c>
      <c r="Z9" s="16">
        <f>DeflRes/INDEX(WEOVal,MATCH("USA|ngdp_d",WEOKey,0),MATCH(Z$4,WEOYear,0))</f>
        <v/>
      </c>
      <c r="AA9" s="16">
        <f>DeflRes/INDEX(WEOVal,MATCH("USA|ngdp_d",WEOKey,0),MATCH(AA$4,WEOYear,0))</f>
        <v/>
      </c>
      <c r="AB9" s="16">
        <f>DeflRes/INDEX(WEOVal,MATCH("USA|ngdp_d",WEOKey,0),MATCH(AB$4,WEOYear,0))</f>
        <v/>
      </c>
      <c r="AC9" s="16">
        <f>DeflRes/INDEX(WEOVal,MATCH("USA|ngdp_d",WEOKey,0),MATCH(AC$4,WEOYear,0))</f>
        <v/>
      </c>
      <c r="AD9" s="16">
        <f>DeflRes/INDEX(WEOVal,MATCH("USA|ngdp_d",WEOKey,0),MATCH(AD$4,WEOYear,0))</f>
        <v/>
      </c>
      <c r="AE9" s="16">
        <f>DeflRes/INDEX(WEOVal,MATCH("USA|ngdp_d",WEOKey,0),MATCH(AE$4,WEOYear,0))</f>
        <v/>
      </c>
      <c r="AG9" s="11">
        <f>CodePrefix&amp;$A9&amp;IF($C9="","","."&amp;$C9&amp;"."&amp;$B9)&amp;INDEX(VarEnd,MATCH($A9,VarKey,0))&amp;AG$5</f>
        <v/>
      </c>
      <c r="AH9" s="15">
        <f>DeflRes/INDEX(WEOVal,MATCH("USA|ngdp_d",WEOKey,0),MATCH(AH$4,WEOYear,0))</f>
        <v/>
      </c>
      <c r="AI9" s="16">
        <f>DeflRes/INDEX(WEOVal,MATCH("USA|ngdp_d",WEOKey,0),MATCH(AI$4,WEOYear,0))</f>
        <v/>
      </c>
      <c r="AJ9" s="16">
        <f>DeflRes/INDEX(WEOVal,MATCH("USA|ngdp_d",WEOKey,0),MATCH(AJ$4,WEOYear,0))</f>
        <v/>
      </c>
      <c r="AK9" s="16">
        <f>DeflRes/INDEX(WEOVal,MATCH("USA|ngdp_d",WEOKey,0),MATCH(AK$4,WEOYear,0))</f>
        <v/>
      </c>
      <c r="AL9" s="16">
        <f>DeflRes/INDEX(WEOVal,MATCH("USA|ngdp_d",WEOKey,0),MATCH(AL$4,WEOYear,0))</f>
        <v/>
      </c>
      <c r="AM9" s="16">
        <f>DeflRes/INDEX(WEOVal,MATCH("USA|ngdp_d",WEOKey,0),MATCH(AM$4,WEOYear,0))</f>
        <v/>
      </c>
      <c r="AN9" s="16">
        <f>DeflRes/INDEX(WEOVal,MATCH("USA|ngdp_d",WEOKey,0),MATCH(AN$4,WEOYear,0))</f>
        <v/>
      </c>
      <c r="AO9" s="16">
        <f>DeflRes/INDEX(WEOVal,MATCH("USA|ngdp_d",WEOKey,0),MATCH(AO$4,WEOYear,0))</f>
        <v/>
      </c>
      <c r="AP9" s="16">
        <f>DeflRes/INDEX(WEOVal,MATCH("USA|ngdp_d",WEOKey,0),MATCH(AP$4,WEOYear,0))</f>
        <v/>
      </c>
      <c r="AQ9" s="16">
        <f>DeflRes/INDEX(WEOVal,MATCH("USA|ngdp_d",WEOKey,0),MATCH(AQ$4,WEOYear,0))</f>
        <v/>
      </c>
      <c r="AR9" s="16">
        <f>DeflRes/INDEX(WEOVal,MATCH("USA|ngdp_d",WEOKey,0),MATCH(AR$4,WEOYear,0))</f>
        <v/>
      </c>
      <c r="AS9" s="16">
        <f>DeflRes/INDEX(WEOVal,MATCH("USA|ngdp_d",WEOKey,0),MATCH(AS$4,WEOYear,0))</f>
        <v/>
      </c>
      <c r="AT9" s="16">
        <f>DeflRes/INDEX(WEOVal,MATCH("USA|ngdp_d",WEOKey,0),MATCH(AT$4,WEOYear,0))</f>
        <v/>
      </c>
      <c r="AU9" s="16">
        <f>DeflRes/INDEX(WEOVal,MATCH("USA|ngdp_d",WEOKey,0),MATCH(AU$4,WEOYear,0))</f>
        <v/>
      </c>
      <c r="AV9" s="16">
        <f>DeflRes/INDEX(WEOVal,MATCH("USA|ngdp_d",WEOKey,0),MATCH(AV$4,WEOYear,0))</f>
        <v/>
      </c>
      <c r="AW9" s="16">
        <f>DeflRes/INDEX(WEOVal,MATCH("USA|ngdp_d",WEOKey,0),MATCH(AW$4,WEOYear,0))</f>
        <v/>
      </c>
      <c r="AX9" s="16">
        <f>DeflRes/INDEX(WEOVal,MATCH("USA|ngdp_d",WEOKey,0),MATCH(AX$4,WEOYear,0))</f>
        <v/>
      </c>
      <c r="AY9" s="16">
        <f>DeflRes/INDEX(WEOVal,MATCH("USA|ngdp_d",WEOKey,0),MATCH(AY$4,WEOYear,0))</f>
        <v/>
      </c>
      <c r="AZ9" s="16">
        <f>DeflRes/INDEX(WEOVal,MATCH("USA|ngdp_d",WEOKey,0),MATCH(AZ$4,WEOYear,0))</f>
        <v/>
      </c>
      <c r="BA9" s="16">
        <f>DeflRes/INDEX(WEOVal,MATCH("USA|ngdp_d",WEOKey,0),MATCH(BA$4,WEOYear,0))</f>
        <v/>
      </c>
    </row>
    <row r="10"/>
    <row r="11">
      <c r="A11" s="4" t="inlineStr">
        <is>
          <t>1. Policies (scenario inputs from MTInputs by row and scenario number; policy paths)</t>
        </is>
      </c>
      <c r="B11" s="5" t="n"/>
      <c r="C11" s="5" t="n"/>
      <c r="D11" s="4" t="inlineStr">
        <is>
          <t>MTInputs row</t>
        </is>
      </c>
      <c r="E11" s="5" t="n"/>
      <c r="F11" s="5" t="n"/>
      <c r="G11" s="5" t="n"/>
      <c r="H11" s="5" t="n"/>
      <c r="I11" s="5" t="n"/>
      <c r="J11" s="5" t="n"/>
      <c r="K11" s="5" t="n"/>
      <c r="L11" s="5" t="n"/>
      <c r="M11" s="5" t="n"/>
      <c r="N11" s="5" t="n"/>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c r="AX11" s="5" t="n"/>
      <c r="AY11" s="5" t="n"/>
      <c r="AZ11" s="5" t="n"/>
      <c r="BA11" s="5" t="n"/>
      <c r="BB11" s="5" t="n"/>
    </row>
    <row r="12">
      <c r="A12" s="1" t="inlineStr">
        <is>
          <t>cptraj</t>
        </is>
      </c>
      <c r="B12" s="1" t="inlineStr"/>
      <c r="C12" s="1" t="inlineStr"/>
      <c r="H12" s="1">
        <f>INDEX(VarLab,MATCH($A12,VarKey,0))&amp;INDEX(MemLab,MATCH($C12&amp;"|"&amp;$B12,MemKey,0))</f>
        <v/>
      </c>
      <c r="I12" s="1">
        <f>INDEX(VarUnit,MATCH($A12,VarKey,0))</f>
        <v/>
      </c>
      <c r="J12" s="1">
        <f>INDEX(VarSrc,MATCH($A12,VarKey,0))</f>
        <v/>
      </c>
      <c r="K12" s="17">
        <f>CodePrefix&amp;$A12&amp;IF($C12="","","."&amp;$C12&amp;"."&amp;$B12)&amp;INDEX(VarEnd,MATCH($A12,VarKey,0))&amp;K$5</f>
        <v/>
      </c>
      <c r="L12" s="18">
        <f>IF(L$4&lt;L$14,0,L$15+(L$16-L$15)/MAX(L$17-L$14,1)*L$20)*L$21</f>
        <v/>
      </c>
      <c r="M12" s="19">
        <f>IF(M$4&lt;M$14,0,M$15+(M$16-M$15)/MAX(M$17-M$14,1)*M$20)*M$21</f>
        <v/>
      </c>
      <c r="N12" s="19">
        <f>IF(N$4&lt;N$14,0,N$15+(N$16-N$15)/MAX(N$17-N$14,1)*N$20)*N$21</f>
        <v/>
      </c>
      <c r="O12" s="19">
        <f>IF(O$4&lt;O$14,0,O$15+(O$16-O$15)/MAX(O$17-O$14,1)*O$20)*O$21</f>
        <v/>
      </c>
      <c r="P12" s="19">
        <f>IF(P$4&lt;P$14,0,P$15+(P$16-P$15)/MAX(P$17-P$14,1)*P$20)*P$21</f>
        <v/>
      </c>
      <c r="Q12" s="19">
        <f>IF(Q$4&lt;Q$14,0,Q$15+(Q$16-Q$15)/MAX(Q$17-Q$14,1)*Q$20)*Q$21</f>
        <v/>
      </c>
      <c r="R12" s="19">
        <f>IF(R$4&lt;R$14,0,R$15+(R$16-R$15)/MAX(R$17-R$14,1)*R$20)*R$21</f>
        <v/>
      </c>
      <c r="S12" s="19">
        <f>IF(S$4&lt;S$14,0,S$15+(S$16-S$15)/MAX(S$17-S$14,1)*S$20)*S$21</f>
        <v/>
      </c>
      <c r="T12" s="19">
        <f>IF(T$4&lt;T$14,0,T$15+(T$16-T$15)/MAX(T$17-T$14,1)*T$20)*T$21</f>
        <v/>
      </c>
      <c r="U12" s="19">
        <f>IF(U$4&lt;U$14,0,U$15+(U$16-U$15)/MAX(U$17-U$14,1)*U$20)*U$21</f>
        <v/>
      </c>
      <c r="V12" s="19">
        <f>IF(V$4&lt;V$14,0,V$15+(V$16-V$15)/MAX(V$17-V$14,1)*V$20)*V$21</f>
        <v/>
      </c>
      <c r="W12" s="19">
        <f>IF(W$4&lt;W$14,0,W$15+(W$16-W$15)/MAX(W$17-W$14,1)*W$20)*W$21</f>
        <v/>
      </c>
      <c r="X12" s="19">
        <f>IF(X$4&lt;X$14,0,X$15+(X$16-X$15)/MAX(X$17-X$14,1)*X$20)*X$21</f>
        <v/>
      </c>
      <c r="Y12" s="19">
        <f>IF(Y$4&lt;Y$14,0,Y$15+(Y$16-Y$15)/MAX(Y$17-Y$14,1)*Y$20)*Y$21</f>
        <v/>
      </c>
      <c r="Z12" s="19">
        <f>IF(Z$4&lt;Z$14,0,Z$15+(Z$16-Z$15)/MAX(Z$17-Z$14,1)*Z$20)*Z$21</f>
        <v/>
      </c>
      <c r="AA12" s="19">
        <f>IF(AA$4&lt;AA$14,0,AA$15+(AA$16-AA$15)/MAX(AA$17-AA$14,1)*AA$20)*AA$21</f>
        <v/>
      </c>
      <c r="AB12" s="19">
        <f>IF(AB$4&lt;AB$14,0,AB$15+(AB$16-AB$15)/MAX(AB$17-AB$14,1)*AB$20)*AB$21</f>
        <v/>
      </c>
      <c r="AC12" s="19">
        <f>IF(AC$4&lt;AC$14,0,AC$15+(AC$16-AC$15)/MAX(AC$17-AC$14,1)*AC$20)*AC$21</f>
        <v/>
      </c>
      <c r="AD12" s="19">
        <f>IF(AD$4&lt;AD$14,0,AD$15+(AD$16-AD$15)/MAX(AD$17-AD$14,1)*AD$20)*AD$21</f>
        <v/>
      </c>
      <c r="AE12" s="20">
        <f>PATH(AE$4,AE$14,AE$17,AE$15,AE$16,AE$18="Linear*")*AE$21</f>
        <v/>
      </c>
      <c r="AG12" s="17">
        <f>CodePrefix&amp;$A12&amp;IF($C12="","","."&amp;$C12&amp;"."&amp;$B12)&amp;INDEX(VarEnd,MATCH($A12,VarKey,0))&amp;AG$5</f>
        <v/>
      </c>
      <c r="AH12" s="18">
        <f>IF(AH$4&lt;AH$14,0,AH$15+(AH$16-AH$15)/MAX(AH$17-AH$14,1)*AH$20)*AH$21</f>
        <v/>
      </c>
      <c r="AI12" s="19">
        <f>IF(AI$4&lt;AI$14,0,AI$15+(AI$16-AI$15)/MAX(AI$17-AI$14,1)*AI$20)*AI$21</f>
        <v/>
      </c>
      <c r="AJ12" s="19">
        <f>IF(AJ$4&lt;AJ$14,0,AJ$15+(AJ$16-AJ$15)/MAX(AJ$17-AJ$14,1)*AJ$20)*AJ$21</f>
        <v/>
      </c>
      <c r="AK12" s="19">
        <f>IF(AK$4&lt;AK$14,0,AK$15+(AK$16-AK$15)/MAX(AK$17-AK$14,1)*AK$20)*AK$21</f>
        <v/>
      </c>
      <c r="AL12" s="19">
        <f>IF(AL$4&lt;AL$14,0,AL$15+(AL$16-AL$15)/MAX(AL$17-AL$14,1)*AL$20)*AL$21</f>
        <v/>
      </c>
      <c r="AM12" s="19">
        <f>IF(AM$4&lt;AM$14,0,AM$15+(AM$16-AM$15)/MAX(AM$17-AM$14,1)*AM$20)*AM$21</f>
        <v/>
      </c>
      <c r="AN12" s="19">
        <f>IF(AN$4&lt;AN$14,0,AN$15+(AN$16-AN$15)/MAX(AN$17-AN$14,1)*AN$20)*AN$21</f>
        <v/>
      </c>
      <c r="AO12" s="19">
        <f>IF(AO$4&lt;AO$14,0,AO$15+(AO$16-AO$15)/MAX(AO$17-AO$14,1)*AO$20)*AO$21</f>
        <v/>
      </c>
      <c r="AP12" s="19">
        <f>IF(AP$4&lt;AP$14,0,AP$15+(AP$16-AP$15)/MAX(AP$17-AP$14,1)*AP$20)*AP$21</f>
        <v/>
      </c>
      <c r="AQ12" s="19">
        <f>IF(AQ$4&lt;AQ$14,0,AQ$15+(AQ$16-AQ$15)/MAX(AQ$17-AQ$14,1)*AQ$20)*AQ$21</f>
        <v/>
      </c>
      <c r="AR12" s="19">
        <f>IF(AR$4&lt;AR$14,0,AR$15+(AR$16-AR$15)/MAX(AR$17-AR$14,1)*AR$20)*AR$21</f>
        <v/>
      </c>
      <c r="AS12" s="19">
        <f>IF(AS$4&lt;AS$14,0,AS$15+(AS$16-AS$15)/MAX(AS$17-AS$14,1)*AS$20)*AS$21</f>
        <v/>
      </c>
      <c r="AT12" s="19">
        <f>IF(AT$4&lt;AT$14,0,AT$15+(AT$16-AT$15)/MAX(AT$17-AT$14,1)*AT$20)*AT$21</f>
        <v/>
      </c>
      <c r="AU12" s="19">
        <f>IF(AU$4&lt;AU$14,0,AU$15+(AU$16-AU$15)/MAX(AU$17-AU$14,1)*AU$20)*AU$21</f>
        <v/>
      </c>
      <c r="AV12" s="19">
        <f>IF(AV$4&lt;AV$14,0,AV$15+(AV$16-AV$15)/MAX(AV$17-AV$14,1)*AV$20)*AV$21</f>
        <v/>
      </c>
      <c r="AW12" s="19">
        <f>IF(AW$4&lt;AW$14,0,AW$15+(AW$16-AW$15)/MAX(AW$17-AW$14,1)*AW$20)*AW$21</f>
        <v/>
      </c>
      <c r="AX12" s="19">
        <f>IF(AX$4&lt;AX$14,0,AX$15+(AX$16-AX$15)/MAX(AX$17-AX$14,1)*AX$20)*AX$21</f>
        <v/>
      </c>
      <c r="AY12" s="19">
        <f>IF(AY$4&lt;AY$14,0,AY$15+(AY$16-AY$15)/MAX(AY$17-AY$14,1)*AY$20)*AY$21</f>
        <v/>
      </c>
      <c r="AZ12" s="19">
        <f>IF(AZ$4&lt;AZ$14,0,AZ$15+(AZ$16-AZ$15)/MAX(AZ$17-AZ$14,1)*AZ$20)*AZ$21</f>
        <v/>
      </c>
      <c r="BA12" s="20">
        <f>PATH(BA$4,BA$14,BA$17,BA$15,BA$16,BA$18="Linear*")*BA$21</f>
        <v/>
      </c>
    </row>
    <row r="13" hidden="1" outlineLevel="1">
      <c r="H13" s="21" t="inlineStr">
        <is>
          <t>Carbon tax (MTInputs rows 18-21, 265, 266)</t>
        </is>
      </c>
    </row>
    <row r="14" hidden="1" outlineLevel="1">
      <c r="A14" s="14" t="inlineStr">
        <is>
          <t>CPIntro</t>
        </is>
      </c>
      <c r="B14" s="14" t="inlineStr"/>
      <c r="C14" s="14" t="inlineStr"/>
      <c r="D14" s="22" t="n">
        <v>18</v>
      </c>
      <c r="H14" s="14">
        <f>INDEX(VarLab,MATCH($A14,VarKey,0))&amp;INDEX(MemLab,MATCH($C14&amp;"|"&amp;$B14,MemKey,0))</f>
        <v/>
      </c>
      <c r="I14" s="14">
        <f>INDEX(VarUnit,MATCH($A14,VarKey,0))</f>
        <v/>
      </c>
      <c r="J14" s="14">
        <f>INDEX(VarSrc,MATCH($A14,VarKey,0))</f>
        <v/>
      </c>
      <c r="K14" s="11">
        <f>CodePrefix&amp;$A14&amp;IF($C14="","","."&amp;$C14&amp;"."&amp;$B14)&amp;INDEX(VarEnd,MATCH($A14,VarKey,0))&amp;K$5</f>
        <v/>
      </c>
      <c r="L14" s="9">
        <f>INDEX(MTInputs!$J$1:$AZ$415,$D14,MATCH(L$5,MTInputs!$J$5:$AZ$5,0))</f>
        <v/>
      </c>
      <c r="M14" s="10">
        <f>INDEX(MTInputs!$J$1:$AZ$415,$D14,MATCH(M$5,MTInputs!$J$5:$AZ$5,0))</f>
        <v/>
      </c>
      <c r="N14" s="10">
        <f>INDEX(MTInputs!$J$1:$AZ$415,$D14,MATCH(N$5,MTInputs!$J$5:$AZ$5,0))</f>
        <v/>
      </c>
      <c r="O14" s="10">
        <f>INDEX(MTInputs!$J$1:$AZ$415,$D14,MATCH(O$5,MTInputs!$J$5:$AZ$5,0))</f>
        <v/>
      </c>
      <c r="P14" s="10">
        <f>INDEX(MTInputs!$J$1:$AZ$415,$D14,MATCH(P$5,MTInputs!$J$5:$AZ$5,0))</f>
        <v/>
      </c>
      <c r="Q14" s="10">
        <f>INDEX(MTInputs!$J$1:$AZ$415,$D14,MATCH(Q$5,MTInputs!$J$5:$AZ$5,0))</f>
        <v/>
      </c>
      <c r="R14" s="10">
        <f>INDEX(MTInputs!$J$1:$AZ$415,$D14,MATCH(R$5,MTInputs!$J$5:$AZ$5,0))</f>
        <v/>
      </c>
      <c r="S14" s="10">
        <f>INDEX(MTInputs!$J$1:$AZ$415,$D14,MATCH(S$5,MTInputs!$J$5:$AZ$5,0))</f>
        <v/>
      </c>
      <c r="T14" s="10">
        <f>INDEX(MTInputs!$J$1:$AZ$415,$D14,MATCH(T$5,MTInputs!$J$5:$AZ$5,0))</f>
        <v/>
      </c>
      <c r="U14" s="10">
        <f>INDEX(MTInputs!$J$1:$AZ$415,$D14,MATCH(U$5,MTInputs!$J$5:$AZ$5,0))</f>
        <v/>
      </c>
      <c r="V14" s="10">
        <f>INDEX(MTInputs!$J$1:$AZ$415,$D14,MATCH(V$5,MTInputs!$J$5:$AZ$5,0))</f>
        <v/>
      </c>
      <c r="W14" s="10">
        <f>INDEX(MTInputs!$J$1:$AZ$415,$D14,MATCH(W$5,MTInputs!$J$5:$AZ$5,0))</f>
        <v/>
      </c>
      <c r="X14" s="10">
        <f>INDEX(MTInputs!$J$1:$AZ$415,$D14,MATCH(X$5,MTInputs!$J$5:$AZ$5,0))</f>
        <v/>
      </c>
      <c r="Y14" s="10">
        <f>INDEX(MTInputs!$J$1:$AZ$415,$D14,MATCH(Y$5,MTInputs!$J$5:$AZ$5,0))</f>
        <v/>
      </c>
      <c r="Z14" s="10">
        <f>INDEX(MTInputs!$J$1:$AZ$415,$D14,MATCH(Z$5,MTInputs!$J$5:$AZ$5,0))</f>
        <v/>
      </c>
      <c r="AA14" s="10">
        <f>INDEX(MTInputs!$J$1:$AZ$415,$D14,MATCH(AA$5,MTInputs!$J$5:$AZ$5,0))</f>
        <v/>
      </c>
      <c r="AB14" s="10">
        <f>INDEX(MTInputs!$J$1:$AZ$415,$D14,MATCH(AB$5,MTInputs!$J$5:$AZ$5,0))</f>
        <v/>
      </c>
      <c r="AC14" s="10">
        <f>INDEX(MTInputs!$J$1:$AZ$415,$D14,MATCH(AC$5,MTInputs!$J$5:$AZ$5,0))</f>
        <v/>
      </c>
      <c r="AD14" s="10">
        <f>INDEX(MTInputs!$J$1:$AZ$415,$D14,MATCH(AD$5,MTInputs!$J$5:$AZ$5,0))</f>
        <v/>
      </c>
      <c r="AE14" s="10">
        <f>INDEX(MTInputs!$J$1:$AZ$415,$D14,MATCH(AE$5,MTInputs!$J$5:$AZ$5,0))</f>
        <v/>
      </c>
      <c r="AG14" s="11">
        <f>CodePrefix&amp;$A14&amp;IF($C14="","","."&amp;$C14&amp;"."&amp;$B14)&amp;INDEX(VarEnd,MATCH($A14,VarKey,0))&amp;AG$5</f>
        <v/>
      </c>
      <c r="AH14" s="9">
        <f>INDEX(MTInputs!$J$1:$AZ$415,$D14,MATCH(AH$5,MTInputs!$J$5:$AZ$5,0))</f>
        <v/>
      </c>
      <c r="AI14" s="10">
        <f>INDEX(MTInputs!$J$1:$AZ$415,$D14,MATCH(AI$5,MTInputs!$J$5:$AZ$5,0))</f>
        <v/>
      </c>
      <c r="AJ14" s="10">
        <f>INDEX(MTInputs!$J$1:$AZ$415,$D14,MATCH(AJ$5,MTInputs!$J$5:$AZ$5,0))</f>
        <v/>
      </c>
      <c r="AK14" s="10">
        <f>INDEX(MTInputs!$J$1:$AZ$415,$D14,MATCH(AK$5,MTInputs!$J$5:$AZ$5,0))</f>
        <v/>
      </c>
      <c r="AL14" s="10">
        <f>INDEX(MTInputs!$J$1:$AZ$415,$D14,MATCH(AL$5,MTInputs!$J$5:$AZ$5,0))</f>
        <v/>
      </c>
      <c r="AM14" s="10">
        <f>INDEX(MTInputs!$J$1:$AZ$415,$D14,MATCH(AM$5,MTInputs!$J$5:$AZ$5,0))</f>
        <v/>
      </c>
      <c r="AN14" s="10">
        <f>INDEX(MTInputs!$J$1:$AZ$415,$D14,MATCH(AN$5,MTInputs!$J$5:$AZ$5,0))</f>
        <v/>
      </c>
      <c r="AO14" s="10">
        <f>INDEX(MTInputs!$J$1:$AZ$415,$D14,MATCH(AO$5,MTInputs!$J$5:$AZ$5,0))</f>
        <v/>
      </c>
      <c r="AP14" s="10">
        <f>INDEX(MTInputs!$J$1:$AZ$415,$D14,MATCH(AP$5,MTInputs!$J$5:$AZ$5,0))</f>
        <v/>
      </c>
      <c r="AQ14" s="10">
        <f>INDEX(MTInputs!$J$1:$AZ$415,$D14,MATCH(AQ$5,MTInputs!$J$5:$AZ$5,0))</f>
        <v/>
      </c>
      <c r="AR14" s="10">
        <f>INDEX(MTInputs!$J$1:$AZ$415,$D14,MATCH(AR$5,MTInputs!$J$5:$AZ$5,0))</f>
        <v/>
      </c>
      <c r="AS14" s="10">
        <f>INDEX(MTInputs!$J$1:$AZ$415,$D14,MATCH(AS$5,MTInputs!$J$5:$AZ$5,0))</f>
        <v/>
      </c>
      <c r="AT14" s="10">
        <f>INDEX(MTInputs!$J$1:$AZ$415,$D14,MATCH(AT$5,MTInputs!$J$5:$AZ$5,0))</f>
        <v/>
      </c>
      <c r="AU14" s="10">
        <f>INDEX(MTInputs!$J$1:$AZ$415,$D14,MATCH(AU$5,MTInputs!$J$5:$AZ$5,0))</f>
        <v/>
      </c>
      <c r="AV14" s="10">
        <f>INDEX(MTInputs!$J$1:$AZ$415,$D14,MATCH(AV$5,MTInputs!$J$5:$AZ$5,0))</f>
        <v/>
      </c>
      <c r="AW14" s="10">
        <f>INDEX(MTInputs!$J$1:$AZ$415,$D14,MATCH(AW$5,MTInputs!$J$5:$AZ$5,0))</f>
        <v/>
      </c>
      <c r="AX14" s="10">
        <f>INDEX(MTInputs!$J$1:$AZ$415,$D14,MATCH(AX$5,MTInputs!$J$5:$AZ$5,0))</f>
        <v/>
      </c>
      <c r="AY14" s="10">
        <f>INDEX(MTInputs!$J$1:$AZ$415,$D14,MATCH(AY$5,MTInputs!$J$5:$AZ$5,0))</f>
        <v/>
      </c>
      <c r="AZ14" s="10">
        <f>INDEX(MTInputs!$J$1:$AZ$415,$D14,MATCH(AZ$5,MTInputs!$J$5:$AZ$5,0))</f>
        <v/>
      </c>
      <c r="BA14" s="10">
        <f>INDEX(MTInputs!$J$1:$AZ$415,$D14,MATCH(BA$5,MTInputs!$J$5:$AZ$5,0))</f>
        <v/>
      </c>
    </row>
    <row r="15" hidden="1" outlineLevel="1">
      <c r="A15" s="14" t="inlineStr">
        <is>
          <t>CPLevelStart</t>
        </is>
      </c>
      <c r="B15" s="14" t="inlineStr"/>
      <c r="C15" s="14" t="inlineStr"/>
      <c r="D15" s="22" t="n">
        <v>19</v>
      </c>
      <c r="H15" s="14">
        <f>INDEX(VarLab,MATCH($A15,VarKey,0))&amp;INDEX(MemLab,MATCH($C15&amp;"|"&amp;$B15,MemKey,0))</f>
        <v/>
      </c>
      <c r="I15" s="14">
        <f>INDEX(VarUnit,MATCH($A15,VarKey,0))</f>
        <v/>
      </c>
      <c r="J15" s="14">
        <f>INDEX(VarSrc,MATCH($A15,VarKey,0))</f>
        <v/>
      </c>
      <c r="K15" s="11">
        <f>CodePrefix&amp;$A15&amp;IF($C15="","","."&amp;$C15&amp;"."&amp;$B15)&amp;INDEX(VarEnd,MATCH($A15,VarKey,0))&amp;K$5</f>
        <v/>
      </c>
      <c r="L15" s="23">
        <f>INDEX(MTInputs!$J$1:$AZ$415,$D15,MATCH(L$5,MTInputs!$J$5:$AZ$5,0))</f>
        <v/>
      </c>
      <c r="M15" s="24">
        <f>INDEX(MTInputs!$J$1:$AZ$415,$D15,MATCH(M$5,MTInputs!$J$5:$AZ$5,0))</f>
        <v/>
      </c>
      <c r="N15" s="24">
        <f>INDEX(MTInputs!$J$1:$AZ$415,$D15,MATCH(N$5,MTInputs!$J$5:$AZ$5,0))</f>
        <v/>
      </c>
      <c r="O15" s="24">
        <f>INDEX(MTInputs!$J$1:$AZ$415,$D15,MATCH(O$5,MTInputs!$J$5:$AZ$5,0))</f>
        <v/>
      </c>
      <c r="P15" s="24">
        <f>INDEX(MTInputs!$J$1:$AZ$415,$D15,MATCH(P$5,MTInputs!$J$5:$AZ$5,0))</f>
        <v/>
      </c>
      <c r="Q15" s="24">
        <f>INDEX(MTInputs!$J$1:$AZ$415,$D15,MATCH(Q$5,MTInputs!$J$5:$AZ$5,0))</f>
        <v/>
      </c>
      <c r="R15" s="24">
        <f>INDEX(MTInputs!$J$1:$AZ$415,$D15,MATCH(R$5,MTInputs!$J$5:$AZ$5,0))</f>
        <v/>
      </c>
      <c r="S15" s="24">
        <f>INDEX(MTInputs!$J$1:$AZ$415,$D15,MATCH(S$5,MTInputs!$J$5:$AZ$5,0))</f>
        <v/>
      </c>
      <c r="T15" s="24">
        <f>INDEX(MTInputs!$J$1:$AZ$415,$D15,MATCH(T$5,MTInputs!$J$5:$AZ$5,0))</f>
        <v/>
      </c>
      <c r="U15" s="24">
        <f>INDEX(MTInputs!$J$1:$AZ$415,$D15,MATCH(U$5,MTInputs!$J$5:$AZ$5,0))</f>
        <v/>
      </c>
      <c r="V15" s="24">
        <f>INDEX(MTInputs!$J$1:$AZ$415,$D15,MATCH(V$5,MTInputs!$J$5:$AZ$5,0))</f>
        <v/>
      </c>
      <c r="W15" s="24">
        <f>INDEX(MTInputs!$J$1:$AZ$415,$D15,MATCH(W$5,MTInputs!$J$5:$AZ$5,0))</f>
        <v/>
      </c>
      <c r="X15" s="24">
        <f>INDEX(MTInputs!$J$1:$AZ$415,$D15,MATCH(X$5,MTInputs!$J$5:$AZ$5,0))</f>
        <v/>
      </c>
      <c r="Y15" s="24">
        <f>INDEX(MTInputs!$J$1:$AZ$415,$D15,MATCH(Y$5,MTInputs!$J$5:$AZ$5,0))</f>
        <v/>
      </c>
      <c r="Z15" s="24">
        <f>INDEX(MTInputs!$J$1:$AZ$415,$D15,MATCH(Z$5,MTInputs!$J$5:$AZ$5,0))</f>
        <v/>
      </c>
      <c r="AA15" s="24">
        <f>INDEX(MTInputs!$J$1:$AZ$415,$D15,MATCH(AA$5,MTInputs!$J$5:$AZ$5,0))</f>
        <v/>
      </c>
      <c r="AB15" s="24">
        <f>INDEX(MTInputs!$J$1:$AZ$415,$D15,MATCH(AB$5,MTInputs!$J$5:$AZ$5,0))</f>
        <v/>
      </c>
      <c r="AC15" s="24">
        <f>INDEX(MTInputs!$J$1:$AZ$415,$D15,MATCH(AC$5,MTInputs!$J$5:$AZ$5,0))</f>
        <v/>
      </c>
      <c r="AD15" s="24">
        <f>INDEX(MTInputs!$J$1:$AZ$415,$D15,MATCH(AD$5,MTInputs!$J$5:$AZ$5,0))</f>
        <v/>
      </c>
      <c r="AE15" s="24">
        <f>INDEX(MTInputs!$J$1:$AZ$415,$D15,MATCH(AE$5,MTInputs!$J$5:$AZ$5,0))</f>
        <v/>
      </c>
      <c r="AG15" s="11">
        <f>CodePrefix&amp;$A15&amp;IF($C15="","","."&amp;$C15&amp;"."&amp;$B15)&amp;INDEX(VarEnd,MATCH($A15,VarKey,0))&amp;AG$5</f>
        <v/>
      </c>
      <c r="AH15" s="23">
        <f>INDEX(MTInputs!$J$1:$AZ$415,$D15,MATCH(AH$5,MTInputs!$J$5:$AZ$5,0))</f>
        <v/>
      </c>
      <c r="AI15" s="24">
        <f>INDEX(MTInputs!$J$1:$AZ$415,$D15,MATCH(AI$5,MTInputs!$J$5:$AZ$5,0))</f>
        <v/>
      </c>
      <c r="AJ15" s="24">
        <f>INDEX(MTInputs!$J$1:$AZ$415,$D15,MATCH(AJ$5,MTInputs!$J$5:$AZ$5,0))</f>
        <v/>
      </c>
      <c r="AK15" s="24">
        <f>INDEX(MTInputs!$J$1:$AZ$415,$D15,MATCH(AK$5,MTInputs!$J$5:$AZ$5,0))</f>
        <v/>
      </c>
      <c r="AL15" s="24">
        <f>INDEX(MTInputs!$J$1:$AZ$415,$D15,MATCH(AL$5,MTInputs!$J$5:$AZ$5,0))</f>
        <v/>
      </c>
      <c r="AM15" s="24">
        <f>INDEX(MTInputs!$J$1:$AZ$415,$D15,MATCH(AM$5,MTInputs!$J$5:$AZ$5,0))</f>
        <v/>
      </c>
      <c r="AN15" s="24">
        <f>INDEX(MTInputs!$J$1:$AZ$415,$D15,MATCH(AN$5,MTInputs!$J$5:$AZ$5,0))</f>
        <v/>
      </c>
      <c r="AO15" s="24">
        <f>INDEX(MTInputs!$J$1:$AZ$415,$D15,MATCH(AO$5,MTInputs!$J$5:$AZ$5,0))</f>
        <v/>
      </c>
      <c r="AP15" s="24">
        <f>INDEX(MTInputs!$J$1:$AZ$415,$D15,MATCH(AP$5,MTInputs!$J$5:$AZ$5,0))</f>
        <v/>
      </c>
      <c r="AQ15" s="24">
        <f>INDEX(MTInputs!$J$1:$AZ$415,$D15,MATCH(AQ$5,MTInputs!$J$5:$AZ$5,0))</f>
        <v/>
      </c>
      <c r="AR15" s="24">
        <f>INDEX(MTInputs!$J$1:$AZ$415,$D15,MATCH(AR$5,MTInputs!$J$5:$AZ$5,0))</f>
        <v/>
      </c>
      <c r="AS15" s="24">
        <f>INDEX(MTInputs!$J$1:$AZ$415,$D15,MATCH(AS$5,MTInputs!$J$5:$AZ$5,0))</f>
        <v/>
      </c>
      <c r="AT15" s="24">
        <f>INDEX(MTInputs!$J$1:$AZ$415,$D15,MATCH(AT$5,MTInputs!$J$5:$AZ$5,0))</f>
        <v/>
      </c>
      <c r="AU15" s="24">
        <f>INDEX(MTInputs!$J$1:$AZ$415,$D15,MATCH(AU$5,MTInputs!$J$5:$AZ$5,0))</f>
        <v/>
      </c>
      <c r="AV15" s="24">
        <f>INDEX(MTInputs!$J$1:$AZ$415,$D15,MATCH(AV$5,MTInputs!$J$5:$AZ$5,0))</f>
        <v/>
      </c>
      <c r="AW15" s="24">
        <f>INDEX(MTInputs!$J$1:$AZ$415,$D15,MATCH(AW$5,MTInputs!$J$5:$AZ$5,0))</f>
        <v/>
      </c>
      <c r="AX15" s="24">
        <f>INDEX(MTInputs!$J$1:$AZ$415,$D15,MATCH(AX$5,MTInputs!$J$5:$AZ$5,0))</f>
        <v/>
      </c>
      <c r="AY15" s="24">
        <f>INDEX(MTInputs!$J$1:$AZ$415,$D15,MATCH(AY$5,MTInputs!$J$5:$AZ$5,0))</f>
        <v/>
      </c>
      <c r="AZ15" s="24">
        <f>INDEX(MTInputs!$J$1:$AZ$415,$D15,MATCH(AZ$5,MTInputs!$J$5:$AZ$5,0))</f>
        <v/>
      </c>
      <c r="BA15" s="24">
        <f>INDEX(MTInputs!$J$1:$AZ$415,$D15,MATCH(BA$5,MTInputs!$J$5:$AZ$5,0))</f>
        <v/>
      </c>
    </row>
    <row r="16" hidden="1" outlineLevel="1">
      <c r="A16" s="14" t="inlineStr">
        <is>
          <t>CPLevelTarget</t>
        </is>
      </c>
      <c r="B16" s="14" t="inlineStr"/>
      <c r="C16" s="14" t="inlineStr"/>
      <c r="D16" s="22" t="n">
        <v>20</v>
      </c>
      <c r="H16" s="14">
        <f>INDEX(VarLab,MATCH($A16,VarKey,0))&amp;INDEX(MemLab,MATCH($C16&amp;"|"&amp;$B16,MemKey,0))</f>
        <v/>
      </c>
      <c r="I16" s="14">
        <f>INDEX(VarUnit,MATCH($A16,VarKey,0))</f>
        <v/>
      </c>
      <c r="J16" s="14">
        <f>INDEX(VarSrc,MATCH($A16,VarKey,0))</f>
        <v/>
      </c>
      <c r="K16" s="11">
        <f>CodePrefix&amp;$A16&amp;IF($C16="","","."&amp;$C16&amp;"."&amp;$B16)&amp;INDEX(VarEnd,MATCH($A16,VarKey,0))&amp;K$5</f>
        <v/>
      </c>
      <c r="L16" s="23">
        <f>INDEX(MTInputs!$J$1:$AZ$415,$D16,MATCH(L$5,MTInputs!$J$5:$AZ$5,0))</f>
        <v/>
      </c>
      <c r="M16" s="24">
        <f>INDEX(MTInputs!$J$1:$AZ$415,$D16,MATCH(M$5,MTInputs!$J$5:$AZ$5,0))</f>
        <v/>
      </c>
      <c r="N16" s="24">
        <f>INDEX(MTInputs!$J$1:$AZ$415,$D16,MATCH(N$5,MTInputs!$J$5:$AZ$5,0))</f>
        <v/>
      </c>
      <c r="O16" s="24">
        <f>INDEX(MTInputs!$J$1:$AZ$415,$D16,MATCH(O$5,MTInputs!$J$5:$AZ$5,0))</f>
        <v/>
      </c>
      <c r="P16" s="24">
        <f>INDEX(MTInputs!$J$1:$AZ$415,$D16,MATCH(P$5,MTInputs!$J$5:$AZ$5,0))</f>
        <v/>
      </c>
      <c r="Q16" s="24">
        <f>INDEX(MTInputs!$J$1:$AZ$415,$D16,MATCH(Q$5,MTInputs!$J$5:$AZ$5,0))</f>
        <v/>
      </c>
      <c r="R16" s="24">
        <f>INDEX(MTInputs!$J$1:$AZ$415,$D16,MATCH(R$5,MTInputs!$J$5:$AZ$5,0))</f>
        <v/>
      </c>
      <c r="S16" s="24">
        <f>INDEX(MTInputs!$J$1:$AZ$415,$D16,MATCH(S$5,MTInputs!$J$5:$AZ$5,0))</f>
        <v/>
      </c>
      <c r="T16" s="24">
        <f>INDEX(MTInputs!$J$1:$AZ$415,$D16,MATCH(T$5,MTInputs!$J$5:$AZ$5,0))</f>
        <v/>
      </c>
      <c r="U16" s="24">
        <f>INDEX(MTInputs!$J$1:$AZ$415,$D16,MATCH(U$5,MTInputs!$J$5:$AZ$5,0))</f>
        <v/>
      </c>
      <c r="V16" s="24">
        <f>INDEX(MTInputs!$J$1:$AZ$415,$D16,MATCH(V$5,MTInputs!$J$5:$AZ$5,0))</f>
        <v/>
      </c>
      <c r="W16" s="24">
        <f>INDEX(MTInputs!$J$1:$AZ$415,$D16,MATCH(W$5,MTInputs!$J$5:$AZ$5,0))</f>
        <v/>
      </c>
      <c r="X16" s="24">
        <f>INDEX(MTInputs!$J$1:$AZ$415,$D16,MATCH(X$5,MTInputs!$J$5:$AZ$5,0))</f>
        <v/>
      </c>
      <c r="Y16" s="24">
        <f>INDEX(MTInputs!$J$1:$AZ$415,$D16,MATCH(Y$5,MTInputs!$J$5:$AZ$5,0))</f>
        <v/>
      </c>
      <c r="Z16" s="24">
        <f>INDEX(MTInputs!$J$1:$AZ$415,$D16,MATCH(Z$5,MTInputs!$J$5:$AZ$5,0))</f>
        <v/>
      </c>
      <c r="AA16" s="24">
        <f>INDEX(MTInputs!$J$1:$AZ$415,$D16,MATCH(AA$5,MTInputs!$J$5:$AZ$5,0))</f>
        <v/>
      </c>
      <c r="AB16" s="24">
        <f>INDEX(MTInputs!$J$1:$AZ$415,$D16,MATCH(AB$5,MTInputs!$J$5:$AZ$5,0))</f>
        <v/>
      </c>
      <c r="AC16" s="24">
        <f>INDEX(MTInputs!$J$1:$AZ$415,$D16,MATCH(AC$5,MTInputs!$J$5:$AZ$5,0))</f>
        <v/>
      </c>
      <c r="AD16" s="24">
        <f>INDEX(MTInputs!$J$1:$AZ$415,$D16,MATCH(AD$5,MTInputs!$J$5:$AZ$5,0))</f>
        <v/>
      </c>
      <c r="AE16" s="24">
        <f>INDEX(MTInputs!$J$1:$AZ$415,$D16,MATCH(AE$5,MTInputs!$J$5:$AZ$5,0))</f>
        <v/>
      </c>
      <c r="AG16" s="11">
        <f>CodePrefix&amp;$A16&amp;IF($C16="","","."&amp;$C16&amp;"."&amp;$B16)&amp;INDEX(VarEnd,MATCH($A16,VarKey,0))&amp;AG$5</f>
        <v/>
      </c>
      <c r="AH16" s="23">
        <f>INDEX(MTInputs!$J$1:$AZ$415,$D16,MATCH(AH$5,MTInputs!$J$5:$AZ$5,0))</f>
        <v/>
      </c>
      <c r="AI16" s="24">
        <f>INDEX(MTInputs!$J$1:$AZ$415,$D16,MATCH(AI$5,MTInputs!$J$5:$AZ$5,0))</f>
        <v/>
      </c>
      <c r="AJ16" s="24">
        <f>INDEX(MTInputs!$J$1:$AZ$415,$D16,MATCH(AJ$5,MTInputs!$J$5:$AZ$5,0))</f>
        <v/>
      </c>
      <c r="AK16" s="24">
        <f>INDEX(MTInputs!$J$1:$AZ$415,$D16,MATCH(AK$5,MTInputs!$J$5:$AZ$5,0))</f>
        <v/>
      </c>
      <c r="AL16" s="24">
        <f>INDEX(MTInputs!$J$1:$AZ$415,$D16,MATCH(AL$5,MTInputs!$J$5:$AZ$5,0))</f>
        <v/>
      </c>
      <c r="AM16" s="24">
        <f>INDEX(MTInputs!$J$1:$AZ$415,$D16,MATCH(AM$5,MTInputs!$J$5:$AZ$5,0))</f>
        <v/>
      </c>
      <c r="AN16" s="24">
        <f>INDEX(MTInputs!$J$1:$AZ$415,$D16,MATCH(AN$5,MTInputs!$J$5:$AZ$5,0))</f>
        <v/>
      </c>
      <c r="AO16" s="24">
        <f>INDEX(MTInputs!$J$1:$AZ$415,$D16,MATCH(AO$5,MTInputs!$J$5:$AZ$5,0))</f>
        <v/>
      </c>
      <c r="AP16" s="24">
        <f>INDEX(MTInputs!$J$1:$AZ$415,$D16,MATCH(AP$5,MTInputs!$J$5:$AZ$5,0))</f>
        <v/>
      </c>
      <c r="AQ16" s="24">
        <f>INDEX(MTInputs!$J$1:$AZ$415,$D16,MATCH(AQ$5,MTInputs!$J$5:$AZ$5,0))</f>
        <v/>
      </c>
      <c r="AR16" s="24">
        <f>INDEX(MTInputs!$J$1:$AZ$415,$D16,MATCH(AR$5,MTInputs!$J$5:$AZ$5,0))</f>
        <v/>
      </c>
      <c r="AS16" s="24">
        <f>INDEX(MTInputs!$J$1:$AZ$415,$D16,MATCH(AS$5,MTInputs!$J$5:$AZ$5,0))</f>
        <v/>
      </c>
      <c r="AT16" s="24">
        <f>INDEX(MTInputs!$J$1:$AZ$415,$D16,MATCH(AT$5,MTInputs!$J$5:$AZ$5,0))</f>
        <v/>
      </c>
      <c r="AU16" s="24">
        <f>INDEX(MTInputs!$J$1:$AZ$415,$D16,MATCH(AU$5,MTInputs!$J$5:$AZ$5,0))</f>
        <v/>
      </c>
      <c r="AV16" s="24">
        <f>INDEX(MTInputs!$J$1:$AZ$415,$D16,MATCH(AV$5,MTInputs!$J$5:$AZ$5,0))</f>
        <v/>
      </c>
      <c r="AW16" s="24">
        <f>INDEX(MTInputs!$J$1:$AZ$415,$D16,MATCH(AW$5,MTInputs!$J$5:$AZ$5,0))</f>
        <v/>
      </c>
      <c r="AX16" s="24">
        <f>INDEX(MTInputs!$J$1:$AZ$415,$D16,MATCH(AX$5,MTInputs!$J$5:$AZ$5,0))</f>
        <v/>
      </c>
      <c r="AY16" s="24">
        <f>INDEX(MTInputs!$J$1:$AZ$415,$D16,MATCH(AY$5,MTInputs!$J$5:$AZ$5,0))</f>
        <v/>
      </c>
      <c r="AZ16" s="24">
        <f>INDEX(MTInputs!$J$1:$AZ$415,$D16,MATCH(AZ$5,MTInputs!$J$5:$AZ$5,0))</f>
        <v/>
      </c>
      <c r="BA16" s="24">
        <f>INDEX(MTInputs!$J$1:$AZ$415,$D16,MATCH(BA$5,MTInputs!$J$5:$AZ$5,0))</f>
        <v/>
      </c>
    </row>
    <row r="17" hidden="1" outlineLevel="1">
      <c r="A17" s="14" t="inlineStr">
        <is>
          <t>CPOutro</t>
        </is>
      </c>
      <c r="B17" s="14" t="inlineStr"/>
      <c r="C17" s="14" t="inlineStr"/>
      <c r="D17" s="22" t="n">
        <v>21</v>
      </c>
      <c r="H17" s="14">
        <f>INDEX(VarLab,MATCH($A17,VarKey,0))&amp;INDEX(MemLab,MATCH($C17&amp;"|"&amp;$B17,MemKey,0))</f>
        <v/>
      </c>
      <c r="I17" s="14">
        <f>INDEX(VarUnit,MATCH($A17,VarKey,0))</f>
        <v/>
      </c>
      <c r="J17" s="14">
        <f>INDEX(VarSrc,MATCH($A17,VarKey,0))</f>
        <v/>
      </c>
      <c r="K17" s="11">
        <f>CodePrefix&amp;$A17&amp;IF($C17="","","."&amp;$C17&amp;"."&amp;$B17)&amp;INDEX(VarEnd,MATCH($A17,VarKey,0))&amp;K$5</f>
        <v/>
      </c>
      <c r="L17" s="9">
        <f>INDEX(MTInputs!$J$1:$AZ$415,$D17,MATCH(L$5,MTInputs!$J$5:$AZ$5,0))</f>
        <v/>
      </c>
      <c r="M17" s="10">
        <f>INDEX(MTInputs!$J$1:$AZ$415,$D17,MATCH(M$5,MTInputs!$J$5:$AZ$5,0))</f>
        <v/>
      </c>
      <c r="N17" s="10">
        <f>INDEX(MTInputs!$J$1:$AZ$415,$D17,MATCH(N$5,MTInputs!$J$5:$AZ$5,0))</f>
        <v/>
      </c>
      <c r="O17" s="10">
        <f>INDEX(MTInputs!$J$1:$AZ$415,$D17,MATCH(O$5,MTInputs!$J$5:$AZ$5,0))</f>
        <v/>
      </c>
      <c r="P17" s="10">
        <f>INDEX(MTInputs!$J$1:$AZ$415,$D17,MATCH(P$5,MTInputs!$J$5:$AZ$5,0))</f>
        <v/>
      </c>
      <c r="Q17" s="10">
        <f>INDEX(MTInputs!$J$1:$AZ$415,$D17,MATCH(Q$5,MTInputs!$J$5:$AZ$5,0))</f>
        <v/>
      </c>
      <c r="R17" s="10">
        <f>INDEX(MTInputs!$J$1:$AZ$415,$D17,MATCH(R$5,MTInputs!$J$5:$AZ$5,0))</f>
        <v/>
      </c>
      <c r="S17" s="10">
        <f>INDEX(MTInputs!$J$1:$AZ$415,$D17,MATCH(S$5,MTInputs!$J$5:$AZ$5,0))</f>
        <v/>
      </c>
      <c r="T17" s="10">
        <f>INDEX(MTInputs!$J$1:$AZ$415,$D17,MATCH(T$5,MTInputs!$J$5:$AZ$5,0))</f>
        <v/>
      </c>
      <c r="U17" s="10">
        <f>INDEX(MTInputs!$J$1:$AZ$415,$D17,MATCH(U$5,MTInputs!$J$5:$AZ$5,0))</f>
        <v/>
      </c>
      <c r="V17" s="10">
        <f>INDEX(MTInputs!$J$1:$AZ$415,$D17,MATCH(V$5,MTInputs!$J$5:$AZ$5,0))</f>
        <v/>
      </c>
      <c r="W17" s="10">
        <f>INDEX(MTInputs!$J$1:$AZ$415,$D17,MATCH(W$5,MTInputs!$J$5:$AZ$5,0))</f>
        <v/>
      </c>
      <c r="X17" s="10">
        <f>INDEX(MTInputs!$J$1:$AZ$415,$D17,MATCH(X$5,MTInputs!$J$5:$AZ$5,0))</f>
        <v/>
      </c>
      <c r="Y17" s="10">
        <f>INDEX(MTInputs!$J$1:$AZ$415,$D17,MATCH(Y$5,MTInputs!$J$5:$AZ$5,0))</f>
        <v/>
      </c>
      <c r="Z17" s="10">
        <f>INDEX(MTInputs!$J$1:$AZ$415,$D17,MATCH(Z$5,MTInputs!$J$5:$AZ$5,0))</f>
        <v/>
      </c>
      <c r="AA17" s="10">
        <f>INDEX(MTInputs!$J$1:$AZ$415,$D17,MATCH(AA$5,MTInputs!$J$5:$AZ$5,0))</f>
        <v/>
      </c>
      <c r="AB17" s="10">
        <f>INDEX(MTInputs!$J$1:$AZ$415,$D17,MATCH(AB$5,MTInputs!$J$5:$AZ$5,0))</f>
        <v/>
      </c>
      <c r="AC17" s="10">
        <f>INDEX(MTInputs!$J$1:$AZ$415,$D17,MATCH(AC$5,MTInputs!$J$5:$AZ$5,0))</f>
        <v/>
      </c>
      <c r="AD17" s="10">
        <f>INDEX(MTInputs!$J$1:$AZ$415,$D17,MATCH(AD$5,MTInputs!$J$5:$AZ$5,0))</f>
        <v/>
      </c>
      <c r="AE17" s="10">
        <f>INDEX(MTInputs!$J$1:$AZ$415,$D17,MATCH(AE$5,MTInputs!$J$5:$AZ$5,0))</f>
        <v/>
      </c>
      <c r="AG17" s="11">
        <f>CodePrefix&amp;$A17&amp;IF($C17="","","."&amp;$C17&amp;"."&amp;$B17)&amp;INDEX(VarEnd,MATCH($A17,VarKey,0))&amp;AG$5</f>
        <v/>
      </c>
      <c r="AH17" s="9">
        <f>INDEX(MTInputs!$J$1:$AZ$415,$D17,MATCH(AH$5,MTInputs!$J$5:$AZ$5,0))</f>
        <v/>
      </c>
      <c r="AI17" s="10">
        <f>INDEX(MTInputs!$J$1:$AZ$415,$D17,MATCH(AI$5,MTInputs!$J$5:$AZ$5,0))</f>
        <v/>
      </c>
      <c r="AJ17" s="10">
        <f>INDEX(MTInputs!$J$1:$AZ$415,$D17,MATCH(AJ$5,MTInputs!$J$5:$AZ$5,0))</f>
        <v/>
      </c>
      <c r="AK17" s="10">
        <f>INDEX(MTInputs!$J$1:$AZ$415,$D17,MATCH(AK$5,MTInputs!$J$5:$AZ$5,0))</f>
        <v/>
      </c>
      <c r="AL17" s="10">
        <f>INDEX(MTInputs!$J$1:$AZ$415,$D17,MATCH(AL$5,MTInputs!$J$5:$AZ$5,0))</f>
        <v/>
      </c>
      <c r="AM17" s="10">
        <f>INDEX(MTInputs!$J$1:$AZ$415,$D17,MATCH(AM$5,MTInputs!$J$5:$AZ$5,0))</f>
        <v/>
      </c>
      <c r="AN17" s="10">
        <f>INDEX(MTInputs!$J$1:$AZ$415,$D17,MATCH(AN$5,MTInputs!$J$5:$AZ$5,0))</f>
        <v/>
      </c>
      <c r="AO17" s="10">
        <f>INDEX(MTInputs!$J$1:$AZ$415,$D17,MATCH(AO$5,MTInputs!$J$5:$AZ$5,0))</f>
        <v/>
      </c>
      <c r="AP17" s="10">
        <f>INDEX(MTInputs!$J$1:$AZ$415,$D17,MATCH(AP$5,MTInputs!$J$5:$AZ$5,0))</f>
        <v/>
      </c>
      <c r="AQ17" s="10">
        <f>INDEX(MTInputs!$J$1:$AZ$415,$D17,MATCH(AQ$5,MTInputs!$J$5:$AZ$5,0))</f>
        <v/>
      </c>
      <c r="AR17" s="10">
        <f>INDEX(MTInputs!$J$1:$AZ$415,$D17,MATCH(AR$5,MTInputs!$J$5:$AZ$5,0))</f>
        <v/>
      </c>
      <c r="AS17" s="10">
        <f>INDEX(MTInputs!$J$1:$AZ$415,$D17,MATCH(AS$5,MTInputs!$J$5:$AZ$5,0))</f>
        <v/>
      </c>
      <c r="AT17" s="10">
        <f>INDEX(MTInputs!$J$1:$AZ$415,$D17,MATCH(AT$5,MTInputs!$J$5:$AZ$5,0))</f>
        <v/>
      </c>
      <c r="AU17" s="10">
        <f>INDEX(MTInputs!$J$1:$AZ$415,$D17,MATCH(AU$5,MTInputs!$J$5:$AZ$5,0))</f>
        <v/>
      </c>
      <c r="AV17" s="10">
        <f>INDEX(MTInputs!$J$1:$AZ$415,$D17,MATCH(AV$5,MTInputs!$J$5:$AZ$5,0))</f>
        <v/>
      </c>
      <c r="AW17" s="10">
        <f>INDEX(MTInputs!$J$1:$AZ$415,$D17,MATCH(AW$5,MTInputs!$J$5:$AZ$5,0))</f>
        <v/>
      </c>
      <c r="AX17" s="10">
        <f>INDEX(MTInputs!$J$1:$AZ$415,$D17,MATCH(AX$5,MTInputs!$J$5:$AZ$5,0))</f>
        <v/>
      </c>
      <c r="AY17" s="10">
        <f>INDEX(MTInputs!$J$1:$AZ$415,$D17,MATCH(AY$5,MTInputs!$J$5:$AZ$5,0))</f>
        <v/>
      </c>
      <c r="AZ17" s="10">
        <f>INDEX(MTInputs!$J$1:$AZ$415,$D17,MATCH(AZ$5,MTInputs!$J$5:$AZ$5,0))</f>
        <v/>
      </c>
      <c r="BA17" s="10">
        <f>INDEX(MTInputs!$J$1:$AZ$415,$D17,MATCH(BA$5,MTInputs!$J$5:$AZ$5,0))</f>
        <v/>
      </c>
    </row>
    <row r="18" hidden="1" outlineLevel="1">
      <c r="A18" s="14" t="inlineStr">
        <is>
          <t>ExtendCarbonPriceBeyondOutro</t>
        </is>
      </c>
      <c r="B18" s="14" t="inlineStr"/>
      <c r="C18" s="14" t="inlineStr"/>
      <c r="D18" s="22" t="n">
        <v>265</v>
      </c>
      <c r="H18" s="14">
        <f>INDEX(VarLab,MATCH($A18,VarKey,0))&amp;INDEX(MemLab,MATCH($C18&amp;"|"&amp;$B18,MemKey,0))</f>
        <v/>
      </c>
      <c r="I18" s="14">
        <f>INDEX(VarUnit,MATCH($A18,VarKey,0))</f>
        <v/>
      </c>
      <c r="J18" s="14">
        <f>INDEX(VarSrc,MATCH($A18,VarKey,0))</f>
        <v/>
      </c>
      <c r="K18" s="11">
        <f>CodePrefix&amp;$A18&amp;IF($C18="","","."&amp;$C18&amp;"."&amp;$B18)&amp;INDEX(VarEnd,MATCH($A18,VarKey,0))&amp;K$5</f>
        <v/>
      </c>
      <c r="L18" s="23">
        <f>INDEX(MTInputs!$J$1:$AZ$415,$D18,MATCH(L$5,MTInputs!$J$5:$AZ$5,0))</f>
        <v/>
      </c>
      <c r="M18" s="24">
        <f>INDEX(MTInputs!$J$1:$AZ$415,$D18,MATCH(M$5,MTInputs!$J$5:$AZ$5,0))</f>
        <v/>
      </c>
      <c r="N18" s="24">
        <f>INDEX(MTInputs!$J$1:$AZ$415,$D18,MATCH(N$5,MTInputs!$J$5:$AZ$5,0))</f>
        <v/>
      </c>
      <c r="O18" s="24">
        <f>INDEX(MTInputs!$J$1:$AZ$415,$D18,MATCH(O$5,MTInputs!$J$5:$AZ$5,0))</f>
        <v/>
      </c>
      <c r="P18" s="24">
        <f>INDEX(MTInputs!$J$1:$AZ$415,$D18,MATCH(P$5,MTInputs!$J$5:$AZ$5,0))</f>
        <v/>
      </c>
      <c r="Q18" s="24">
        <f>INDEX(MTInputs!$J$1:$AZ$415,$D18,MATCH(Q$5,MTInputs!$J$5:$AZ$5,0))</f>
        <v/>
      </c>
      <c r="R18" s="24">
        <f>INDEX(MTInputs!$J$1:$AZ$415,$D18,MATCH(R$5,MTInputs!$J$5:$AZ$5,0))</f>
        <v/>
      </c>
      <c r="S18" s="24">
        <f>INDEX(MTInputs!$J$1:$AZ$415,$D18,MATCH(S$5,MTInputs!$J$5:$AZ$5,0))</f>
        <v/>
      </c>
      <c r="T18" s="24">
        <f>INDEX(MTInputs!$J$1:$AZ$415,$D18,MATCH(T$5,MTInputs!$J$5:$AZ$5,0))</f>
        <v/>
      </c>
      <c r="U18" s="24">
        <f>INDEX(MTInputs!$J$1:$AZ$415,$D18,MATCH(U$5,MTInputs!$J$5:$AZ$5,0))</f>
        <v/>
      </c>
      <c r="V18" s="24">
        <f>INDEX(MTInputs!$J$1:$AZ$415,$D18,MATCH(V$5,MTInputs!$J$5:$AZ$5,0))</f>
        <v/>
      </c>
      <c r="W18" s="24">
        <f>INDEX(MTInputs!$J$1:$AZ$415,$D18,MATCH(W$5,MTInputs!$J$5:$AZ$5,0))</f>
        <v/>
      </c>
      <c r="X18" s="24">
        <f>INDEX(MTInputs!$J$1:$AZ$415,$D18,MATCH(X$5,MTInputs!$J$5:$AZ$5,0))</f>
        <v/>
      </c>
      <c r="Y18" s="24">
        <f>INDEX(MTInputs!$J$1:$AZ$415,$D18,MATCH(Y$5,MTInputs!$J$5:$AZ$5,0))</f>
        <v/>
      </c>
      <c r="Z18" s="24">
        <f>INDEX(MTInputs!$J$1:$AZ$415,$D18,MATCH(Z$5,MTInputs!$J$5:$AZ$5,0))</f>
        <v/>
      </c>
      <c r="AA18" s="24">
        <f>INDEX(MTInputs!$J$1:$AZ$415,$D18,MATCH(AA$5,MTInputs!$J$5:$AZ$5,0))</f>
        <v/>
      </c>
      <c r="AB18" s="24">
        <f>INDEX(MTInputs!$J$1:$AZ$415,$D18,MATCH(AB$5,MTInputs!$J$5:$AZ$5,0))</f>
        <v/>
      </c>
      <c r="AC18" s="24">
        <f>INDEX(MTInputs!$J$1:$AZ$415,$D18,MATCH(AC$5,MTInputs!$J$5:$AZ$5,0))</f>
        <v/>
      </c>
      <c r="AD18" s="24">
        <f>INDEX(MTInputs!$J$1:$AZ$415,$D18,MATCH(AD$5,MTInputs!$J$5:$AZ$5,0))</f>
        <v/>
      </c>
      <c r="AE18" s="24">
        <f>INDEX(MTInputs!$J$1:$AZ$415,$D18,MATCH(AE$5,MTInputs!$J$5:$AZ$5,0))</f>
        <v/>
      </c>
      <c r="AG18" s="11">
        <f>CodePrefix&amp;$A18&amp;IF($C18="","","."&amp;$C18&amp;"."&amp;$B18)&amp;INDEX(VarEnd,MATCH($A18,VarKey,0))&amp;AG$5</f>
        <v/>
      </c>
      <c r="AH18" s="23">
        <f>INDEX(MTInputs!$J$1:$AZ$415,$D18,MATCH(AH$5,MTInputs!$J$5:$AZ$5,0))</f>
        <v/>
      </c>
      <c r="AI18" s="24">
        <f>INDEX(MTInputs!$J$1:$AZ$415,$D18,MATCH(AI$5,MTInputs!$J$5:$AZ$5,0))</f>
        <v/>
      </c>
      <c r="AJ18" s="24">
        <f>INDEX(MTInputs!$J$1:$AZ$415,$D18,MATCH(AJ$5,MTInputs!$J$5:$AZ$5,0))</f>
        <v/>
      </c>
      <c r="AK18" s="24">
        <f>INDEX(MTInputs!$J$1:$AZ$415,$D18,MATCH(AK$5,MTInputs!$J$5:$AZ$5,0))</f>
        <v/>
      </c>
      <c r="AL18" s="24">
        <f>INDEX(MTInputs!$J$1:$AZ$415,$D18,MATCH(AL$5,MTInputs!$J$5:$AZ$5,0))</f>
        <v/>
      </c>
      <c r="AM18" s="24">
        <f>INDEX(MTInputs!$J$1:$AZ$415,$D18,MATCH(AM$5,MTInputs!$J$5:$AZ$5,0))</f>
        <v/>
      </c>
      <c r="AN18" s="24">
        <f>INDEX(MTInputs!$J$1:$AZ$415,$D18,MATCH(AN$5,MTInputs!$J$5:$AZ$5,0))</f>
        <v/>
      </c>
      <c r="AO18" s="24">
        <f>INDEX(MTInputs!$J$1:$AZ$415,$D18,MATCH(AO$5,MTInputs!$J$5:$AZ$5,0))</f>
        <v/>
      </c>
      <c r="AP18" s="24">
        <f>INDEX(MTInputs!$J$1:$AZ$415,$D18,MATCH(AP$5,MTInputs!$J$5:$AZ$5,0))</f>
        <v/>
      </c>
      <c r="AQ18" s="24">
        <f>INDEX(MTInputs!$J$1:$AZ$415,$D18,MATCH(AQ$5,MTInputs!$J$5:$AZ$5,0))</f>
        <v/>
      </c>
      <c r="AR18" s="24">
        <f>INDEX(MTInputs!$J$1:$AZ$415,$D18,MATCH(AR$5,MTInputs!$J$5:$AZ$5,0))</f>
        <v/>
      </c>
      <c r="AS18" s="24">
        <f>INDEX(MTInputs!$J$1:$AZ$415,$D18,MATCH(AS$5,MTInputs!$J$5:$AZ$5,0))</f>
        <v/>
      </c>
      <c r="AT18" s="24">
        <f>INDEX(MTInputs!$J$1:$AZ$415,$D18,MATCH(AT$5,MTInputs!$J$5:$AZ$5,0))</f>
        <v/>
      </c>
      <c r="AU18" s="24">
        <f>INDEX(MTInputs!$J$1:$AZ$415,$D18,MATCH(AU$5,MTInputs!$J$5:$AZ$5,0))</f>
        <v/>
      </c>
      <c r="AV18" s="24">
        <f>INDEX(MTInputs!$J$1:$AZ$415,$D18,MATCH(AV$5,MTInputs!$J$5:$AZ$5,0))</f>
        <v/>
      </c>
      <c r="AW18" s="24">
        <f>INDEX(MTInputs!$J$1:$AZ$415,$D18,MATCH(AW$5,MTInputs!$J$5:$AZ$5,0))</f>
        <v/>
      </c>
      <c r="AX18" s="24">
        <f>INDEX(MTInputs!$J$1:$AZ$415,$D18,MATCH(AX$5,MTInputs!$J$5:$AZ$5,0))</f>
        <v/>
      </c>
      <c r="AY18" s="24">
        <f>INDEX(MTInputs!$J$1:$AZ$415,$D18,MATCH(AY$5,MTInputs!$J$5:$AZ$5,0))</f>
        <v/>
      </c>
      <c r="AZ18" s="24">
        <f>INDEX(MTInputs!$J$1:$AZ$415,$D18,MATCH(AZ$5,MTInputs!$J$5:$AZ$5,0))</f>
        <v/>
      </c>
      <c r="BA18" s="24">
        <f>INDEX(MTInputs!$J$1:$AZ$415,$D18,MATCH(BA$5,MTInputs!$J$5:$AZ$5,0))</f>
        <v/>
      </c>
    </row>
    <row r="19" hidden="1" outlineLevel="1">
      <c r="A19" s="14" t="inlineStr">
        <is>
          <t>NomorReal</t>
        </is>
      </c>
      <c r="B19" s="14" t="inlineStr"/>
      <c r="C19" s="14" t="inlineStr"/>
      <c r="D19" s="22" t="n">
        <v>266</v>
      </c>
      <c r="H19" s="14">
        <f>INDEX(VarLab,MATCH($A19,VarKey,0))&amp;INDEX(MemLab,MATCH($C19&amp;"|"&amp;$B19,MemKey,0))</f>
        <v/>
      </c>
      <c r="I19" s="14">
        <f>INDEX(VarUnit,MATCH($A19,VarKey,0))</f>
        <v/>
      </c>
      <c r="J19" s="14">
        <f>INDEX(VarSrc,MATCH($A19,VarKey,0))</f>
        <v/>
      </c>
      <c r="K19" s="11">
        <f>CodePrefix&amp;$A19&amp;IF($C19="","","."&amp;$C19&amp;"."&amp;$B19)&amp;INDEX(VarEnd,MATCH($A19,VarKey,0))&amp;K$5</f>
        <v/>
      </c>
      <c r="L19" s="23">
        <f>INDEX(MTInputs!$J$1:$AZ$415,$D19,MATCH(L$5,MTInputs!$J$5:$AZ$5,0))</f>
        <v/>
      </c>
      <c r="M19" s="24">
        <f>INDEX(MTInputs!$J$1:$AZ$415,$D19,MATCH(M$5,MTInputs!$J$5:$AZ$5,0))</f>
        <v/>
      </c>
      <c r="N19" s="24">
        <f>INDEX(MTInputs!$J$1:$AZ$415,$D19,MATCH(N$5,MTInputs!$J$5:$AZ$5,0))</f>
        <v/>
      </c>
      <c r="O19" s="24">
        <f>INDEX(MTInputs!$J$1:$AZ$415,$D19,MATCH(O$5,MTInputs!$J$5:$AZ$5,0))</f>
        <v/>
      </c>
      <c r="P19" s="24">
        <f>INDEX(MTInputs!$J$1:$AZ$415,$D19,MATCH(P$5,MTInputs!$J$5:$AZ$5,0))</f>
        <v/>
      </c>
      <c r="Q19" s="24">
        <f>INDEX(MTInputs!$J$1:$AZ$415,$D19,MATCH(Q$5,MTInputs!$J$5:$AZ$5,0))</f>
        <v/>
      </c>
      <c r="R19" s="24">
        <f>INDEX(MTInputs!$J$1:$AZ$415,$D19,MATCH(R$5,MTInputs!$J$5:$AZ$5,0))</f>
        <v/>
      </c>
      <c r="S19" s="24">
        <f>INDEX(MTInputs!$J$1:$AZ$415,$D19,MATCH(S$5,MTInputs!$J$5:$AZ$5,0))</f>
        <v/>
      </c>
      <c r="T19" s="24">
        <f>INDEX(MTInputs!$J$1:$AZ$415,$D19,MATCH(T$5,MTInputs!$J$5:$AZ$5,0))</f>
        <v/>
      </c>
      <c r="U19" s="24">
        <f>INDEX(MTInputs!$J$1:$AZ$415,$D19,MATCH(U$5,MTInputs!$J$5:$AZ$5,0))</f>
        <v/>
      </c>
      <c r="V19" s="24">
        <f>INDEX(MTInputs!$J$1:$AZ$415,$D19,MATCH(V$5,MTInputs!$J$5:$AZ$5,0))</f>
        <v/>
      </c>
      <c r="W19" s="24">
        <f>INDEX(MTInputs!$J$1:$AZ$415,$D19,MATCH(W$5,MTInputs!$J$5:$AZ$5,0))</f>
        <v/>
      </c>
      <c r="X19" s="24">
        <f>INDEX(MTInputs!$J$1:$AZ$415,$D19,MATCH(X$5,MTInputs!$J$5:$AZ$5,0))</f>
        <v/>
      </c>
      <c r="Y19" s="24">
        <f>INDEX(MTInputs!$J$1:$AZ$415,$D19,MATCH(Y$5,MTInputs!$J$5:$AZ$5,0))</f>
        <v/>
      </c>
      <c r="Z19" s="24">
        <f>INDEX(MTInputs!$J$1:$AZ$415,$D19,MATCH(Z$5,MTInputs!$J$5:$AZ$5,0))</f>
        <v/>
      </c>
      <c r="AA19" s="24">
        <f>INDEX(MTInputs!$J$1:$AZ$415,$D19,MATCH(AA$5,MTInputs!$J$5:$AZ$5,0))</f>
        <v/>
      </c>
      <c r="AB19" s="24">
        <f>INDEX(MTInputs!$J$1:$AZ$415,$D19,MATCH(AB$5,MTInputs!$J$5:$AZ$5,0))</f>
        <v/>
      </c>
      <c r="AC19" s="24">
        <f>INDEX(MTInputs!$J$1:$AZ$415,$D19,MATCH(AC$5,MTInputs!$J$5:$AZ$5,0))</f>
        <v/>
      </c>
      <c r="AD19" s="24">
        <f>INDEX(MTInputs!$J$1:$AZ$415,$D19,MATCH(AD$5,MTInputs!$J$5:$AZ$5,0))</f>
        <v/>
      </c>
      <c r="AE19" s="24">
        <f>INDEX(MTInputs!$J$1:$AZ$415,$D19,MATCH(AE$5,MTInputs!$J$5:$AZ$5,0))</f>
        <v/>
      </c>
      <c r="AG19" s="11">
        <f>CodePrefix&amp;$A19&amp;IF($C19="","","."&amp;$C19&amp;"."&amp;$B19)&amp;INDEX(VarEnd,MATCH($A19,VarKey,0))&amp;AG$5</f>
        <v/>
      </c>
      <c r="AH19" s="23">
        <f>INDEX(MTInputs!$J$1:$AZ$415,$D19,MATCH(AH$5,MTInputs!$J$5:$AZ$5,0))</f>
        <v/>
      </c>
      <c r="AI19" s="24">
        <f>INDEX(MTInputs!$J$1:$AZ$415,$D19,MATCH(AI$5,MTInputs!$J$5:$AZ$5,0))</f>
        <v/>
      </c>
      <c r="AJ19" s="24">
        <f>INDEX(MTInputs!$J$1:$AZ$415,$D19,MATCH(AJ$5,MTInputs!$J$5:$AZ$5,0))</f>
        <v/>
      </c>
      <c r="AK19" s="24">
        <f>INDEX(MTInputs!$J$1:$AZ$415,$D19,MATCH(AK$5,MTInputs!$J$5:$AZ$5,0))</f>
        <v/>
      </c>
      <c r="AL19" s="24">
        <f>INDEX(MTInputs!$J$1:$AZ$415,$D19,MATCH(AL$5,MTInputs!$J$5:$AZ$5,0))</f>
        <v/>
      </c>
      <c r="AM19" s="24">
        <f>INDEX(MTInputs!$J$1:$AZ$415,$D19,MATCH(AM$5,MTInputs!$J$5:$AZ$5,0))</f>
        <v/>
      </c>
      <c r="AN19" s="24">
        <f>INDEX(MTInputs!$J$1:$AZ$415,$D19,MATCH(AN$5,MTInputs!$J$5:$AZ$5,0))</f>
        <v/>
      </c>
      <c r="AO19" s="24">
        <f>INDEX(MTInputs!$J$1:$AZ$415,$D19,MATCH(AO$5,MTInputs!$J$5:$AZ$5,0))</f>
        <v/>
      </c>
      <c r="AP19" s="24">
        <f>INDEX(MTInputs!$J$1:$AZ$415,$D19,MATCH(AP$5,MTInputs!$J$5:$AZ$5,0))</f>
        <v/>
      </c>
      <c r="AQ19" s="24">
        <f>INDEX(MTInputs!$J$1:$AZ$415,$D19,MATCH(AQ$5,MTInputs!$J$5:$AZ$5,0))</f>
        <v/>
      </c>
      <c r="AR19" s="24">
        <f>INDEX(MTInputs!$J$1:$AZ$415,$D19,MATCH(AR$5,MTInputs!$J$5:$AZ$5,0))</f>
        <v/>
      </c>
      <c r="AS19" s="24">
        <f>INDEX(MTInputs!$J$1:$AZ$415,$D19,MATCH(AS$5,MTInputs!$J$5:$AZ$5,0))</f>
        <v/>
      </c>
      <c r="AT19" s="24">
        <f>INDEX(MTInputs!$J$1:$AZ$415,$D19,MATCH(AT$5,MTInputs!$J$5:$AZ$5,0))</f>
        <v/>
      </c>
      <c r="AU19" s="24">
        <f>INDEX(MTInputs!$J$1:$AZ$415,$D19,MATCH(AU$5,MTInputs!$J$5:$AZ$5,0))</f>
        <v/>
      </c>
      <c r="AV19" s="24">
        <f>INDEX(MTInputs!$J$1:$AZ$415,$D19,MATCH(AV$5,MTInputs!$J$5:$AZ$5,0))</f>
        <v/>
      </c>
      <c r="AW19" s="24">
        <f>INDEX(MTInputs!$J$1:$AZ$415,$D19,MATCH(AW$5,MTInputs!$J$5:$AZ$5,0))</f>
        <v/>
      </c>
      <c r="AX19" s="24">
        <f>INDEX(MTInputs!$J$1:$AZ$415,$D19,MATCH(AX$5,MTInputs!$J$5:$AZ$5,0))</f>
        <v/>
      </c>
      <c r="AY19" s="24">
        <f>INDEX(MTInputs!$J$1:$AZ$415,$D19,MATCH(AY$5,MTInputs!$J$5:$AZ$5,0))</f>
        <v/>
      </c>
      <c r="AZ19" s="24">
        <f>INDEX(MTInputs!$J$1:$AZ$415,$D19,MATCH(AZ$5,MTInputs!$J$5:$AZ$5,0))</f>
        <v/>
      </c>
      <c r="BA19" s="24">
        <f>INDEX(MTInputs!$J$1:$AZ$415,$D19,MATCH(BA$5,MTInputs!$J$5:$AZ$5,0))</f>
        <v/>
      </c>
    </row>
    <row r="20" hidden="1" outlineLevel="1">
      <c r="A20" s="1" t="inlineStr">
        <is>
          <t>cp.t</t>
        </is>
      </c>
      <c r="B20" s="1" t="inlineStr"/>
      <c r="C20" s="1" t="inlineStr"/>
      <c r="H20" s="1">
        <f>INDEX(VarLab,MATCH($A20,VarKey,0))&amp;INDEX(MemLab,MATCH($C20&amp;"|"&amp;$B20,MemKey,0))</f>
        <v/>
      </c>
      <c r="I20" s="1">
        <f>INDEX(VarUnit,MATCH($A20,VarKey,0))</f>
        <v/>
      </c>
      <c r="J20" s="1">
        <f>INDEX(VarSrc,MATCH($A20,VarKey,0))</f>
        <v/>
      </c>
      <c r="K20" s="17">
        <f>CodePrefix&amp;$A20&amp;IF($C20="","","."&amp;$C20&amp;"."&amp;$B20)&amp;INDEX(VarEnd,MATCH($A20,VarKey,0))&amp;K$5</f>
        <v/>
      </c>
      <c r="L20" s="18">
        <f>IF(L$18="Linear*",L$4,MIN(L$4,L$17))-L$14</f>
        <v/>
      </c>
      <c r="M20" s="19">
        <f>IF(M$18="Linear*",M$4,MIN(M$4,M$17))-M$14</f>
        <v/>
      </c>
      <c r="N20" s="19">
        <f>IF(N$18="Linear*",N$4,MIN(N$4,N$17))-N$14</f>
        <v/>
      </c>
      <c r="O20" s="19">
        <f>IF(O$18="Linear*",O$4,MIN(O$4,O$17))-O$14</f>
        <v/>
      </c>
      <c r="P20" s="19">
        <f>IF(P$18="Linear*",P$4,MIN(P$4,P$17))-P$14</f>
        <v/>
      </c>
      <c r="Q20" s="19">
        <f>IF(Q$18="Linear*",Q$4,MIN(Q$4,Q$17))-Q$14</f>
        <v/>
      </c>
      <c r="R20" s="19">
        <f>IF(R$18="Linear*",R$4,MIN(R$4,R$17))-R$14</f>
        <v/>
      </c>
      <c r="S20" s="19">
        <f>IF(S$18="Linear*",S$4,MIN(S$4,S$17))-S$14</f>
        <v/>
      </c>
      <c r="T20" s="19">
        <f>IF(T$18="Linear*",T$4,MIN(T$4,T$17))-T$14</f>
        <v/>
      </c>
      <c r="U20" s="19">
        <f>IF(U$18="Linear*",U$4,MIN(U$4,U$17))-U$14</f>
        <v/>
      </c>
      <c r="V20" s="19">
        <f>IF(V$18="Linear*",V$4,MIN(V$4,V$17))-V$14</f>
        <v/>
      </c>
      <c r="W20" s="19">
        <f>IF(W$18="Linear*",W$4,MIN(W$4,W$17))-W$14</f>
        <v/>
      </c>
      <c r="X20" s="19">
        <f>IF(X$18="Linear*",X$4,MIN(X$4,X$17))-X$14</f>
        <v/>
      </c>
      <c r="Y20" s="19">
        <f>IF(Y$18="Linear*",Y$4,MIN(Y$4,Y$17))-Y$14</f>
        <v/>
      </c>
      <c r="Z20" s="19">
        <f>IF(Z$18="Linear*",Z$4,MIN(Z$4,Z$17))-Z$14</f>
        <v/>
      </c>
      <c r="AA20" s="19">
        <f>IF(AA$18="Linear*",AA$4,MIN(AA$4,AA$17))-AA$14</f>
        <v/>
      </c>
      <c r="AB20" s="19">
        <f>IF(AB$18="Linear*",AB$4,MIN(AB$4,AB$17))-AB$14</f>
        <v/>
      </c>
      <c r="AC20" s="19">
        <f>IF(AC$18="Linear*",AC$4,MIN(AC$4,AC$17))-AC$14</f>
        <v/>
      </c>
      <c r="AD20" s="19">
        <f>IF(AD$18="Linear*",AD$4,MIN(AD$4,AD$17))-AD$14</f>
        <v/>
      </c>
      <c r="AE20" s="20">
        <f>PATHYEARS(AE$4,AE$14,AE$17,AE$18="Linear*")</f>
        <v/>
      </c>
      <c r="AG20" s="17">
        <f>CodePrefix&amp;$A20&amp;IF($C20="","","."&amp;$C20&amp;"."&amp;$B20)&amp;INDEX(VarEnd,MATCH($A20,VarKey,0))&amp;AG$5</f>
        <v/>
      </c>
      <c r="AH20" s="18">
        <f>IF(AH$18="Linear*",AH$4,MIN(AH$4,AH$17))-AH$14</f>
        <v/>
      </c>
      <c r="AI20" s="19">
        <f>IF(AI$18="Linear*",AI$4,MIN(AI$4,AI$17))-AI$14</f>
        <v/>
      </c>
      <c r="AJ20" s="19">
        <f>IF(AJ$18="Linear*",AJ$4,MIN(AJ$4,AJ$17))-AJ$14</f>
        <v/>
      </c>
      <c r="AK20" s="19">
        <f>IF(AK$18="Linear*",AK$4,MIN(AK$4,AK$17))-AK$14</f>
        <v/>
      </c>
      <c r="AL20" s="19">
        <f>IF(AL$18="Linear*",AL$4,MIN(AL$4,AL$17))-AL$14</f>
        <v/>
      </c>
      <c r="AM20" s="19">
        <f>IF(AM$18="Linear*",AM$4,MIN(AM$4,AM$17))-AM$14</f>
        <v/>
      </c>
      <c r="AN20" s="19">
        <f>IF(AN$18="Linear*",AN$4,MIN(AN$4,AN$17))-AN$14</f>
        <v/>
      </c>
      <c r="AO20" s="19">
        <f>IF(AO$18="Linear*",AO$4,MIN(AO$4,AO$17))-AO$14</f>
        <v/>
      </c>
      <c r="AP20" s="19">
        <f>IF(AP$18="Linear*",AP$4,MIN(AP$4,AP$17))-AP$14</f>
        <v/>
      </c>
      <c r="AQ20" s="19">
        <f>IF(AQ$18="Linear*",AQ$4,MIN(AQ$4,AQ$17))-AQ$14</f>
        <v/>
      </c>
      <c r="AR20" s="19">
        <f>IF(AR$18="Linear*",AR$4,MIN(AR$4,AR$17))-AR$14</f>
        <v/>
      </c>
      <c r="AS20" s="19">
        <f>IF(AS$18="Linear*",AS$4,MIN(AS$4,AS$17))-AS$14</f>
        <v/>
      </c>
      <c r="AT20" s="19">
        <f>IF(AT$18="Linear*",AT$4,MIN(AT$4,AT$17))-AT$14</f>
        <v/>
      </c>
      <c r="AU20" s="19">
        <f>IF(AU$18="Linear*",AU$4,MIN(AU$4,AU$17))-AU$14</f>
        <v/>
      </c>
      <c r="AV20" s="19">
        <f>IF(AV$18="Linear*",AV$4,MIN(AV$4,AV$17))-AV$14</f>
        <v/>
      </c>
      <c r="AW20" s="19">
        <f>IF(AW$18="Linear*",AW$4,MIN(AW$4,AW$17))-AW$14</f>
        <v/>
      </c>
      <c r="AX20" s="19">
        <f>IF(AX$18="Linear*",AX$4,MIN(AX$4,AX$17))-AX$14</f>
        <v/>
      </c>
      <c r="AY20" s="19">
        <f>IF(AY$18="Linear*",AY$4,MIN(AY$4,AY$17))-AY$14</f>
        <v/>
      </c>
      <c r="AZ20" s="19">
        <f>IF(AZ$18="Linear*",AZ$4,MIN(AZ$4,AZ$17))-AZ$14</f>
        <v/>
      </c>
      <c r="BA20" s="20">
        <f>PATHYEARS(BA$4,BA$14,BA$17,BA$18="Linear*")</f>
        <v/>
      </c>
    </row>
    <row r="21" hidden="1" outlineLevel="1">
      <c r="A21" s="1" t="inlineStr">
        <is>
          <t>cp.nom</t>
        </is>
      </c>
      <c r="B21" s="1" t="inlineStr"/>
      <c r="C21" s="1" t="inlineStr"/>
      <c r="H21" s="1">
        <f>INDEX(VarLab,MATCH($A21,VarKey,0))&amp;INDEX(MemLab,MATCH($C21&amp;"|"&amp;$B21,MemKey,0))</f>
        <v/>
      </c>
      <c r="I21" s="1">
        <f>INDEX(VarUnit,MATCH($A21,VarKey,0))</f>
        <v/>
      </c>
      <c r="J21" s="1">
        <f>INDEX(VarSrc,MATCH($A21,VarKey,0))</f>
        <v/>
      </c>
      <c r="K21" s="17">
        <f>CodePrefix&amp;$A21&amp;IF($C21="","","."&amp;$C21&amp;"."&amp;$B21)&amp;INDEX(VarEnd,MATCH($A21,VarKey,0))&amp;K$5</f>
        <v/>
      </c>
      <c r="L21" s="18">
        <f>IF(LEFT(L$19,7)="Nominal",L$8,1)</f>
        <v/>
      </c>
      <c r="M21" s="19">
        <f>IF(LEFT(M$19,7)="Nominal",M$8,1)</f>
        <v/>
      </c>
      <c r="N21" s="19">
        <f>IF(LEFT(N$19,7)="Nominal",N$8,1)</f>
        <v/>
      </c>
      <c r="O21" s="19">
        <f>IF(LEFT(O$19,7)="Nominal",O$8,1)</f>
        <v/>
      </c>
      <c r="P21" s="19">
        <f>IF(LEFT(P$19,7)="Nominal",P$8,1)</f>
        <v/>
      </c>
      <c r="Q21" s="19">
        <f>IF(LEFT(Q$19,7)="Nominal",Q$8,1)</f>
        <v/>
      </c>
      <c r="R21" s="19">
        <f>IF(LEFT(R$19,7)="Nominal",R$8,1)</f>
        <v/>
      </c>
      <c r="S21" s="19">
        <f>IF(LEFT(S$19,7)="Nominal",S$8,1)</f>
        <v/>
      </c>
      <c r="T21" s="19">
        <f>IF(LEFT(T$19,7)="Nominal",T$8,1)</f>
        <v/>
      </c>
      <c r="U21" s="19">
        <f>IF(LEFT(U$19,7)="Nominal",U$8,1)</f>
        <v/>
      </c>
      <c r="V21" s="19">
        <f>IF(LEFT(V$19,7)="Nominal",V$8,1)</f>
        <v/>
      </c>
      <c r="W21" s="19">
        <f>IF(LEFT(W$19,7)="Nominal",W$8,1)</f>
        <v/>
      </c>
      <c r="X21" s="19">
        <f>IF(LEFT(X$19,7)="Nominal",X$8,1)</f>
        <v/>
      </c>
      <c r="Y21" s="19">
        <f>IF(LEFT(Y$19,7)="Nominal",Y$8,1)</f>
        <v/>
      </c>
      <c r="Z21" s="19">
        <f>IF(LEFT(Z$19,7)="Nominal",Z$8,1)</f>
        <v/>
      </c>
      <c r="AA21" s="19">
        <f>IF(LEFT(AA$19,7)="Nominal",AA$8,1)</f>
        <v/>
      </c>
      <c r="AB21" s="19">
        <f>IF(LEFT(AB$19,7)="Nominal",AB$8,1)</f>
        <v/>
      </c>
      <c r="AC21" s="19">
        <f>IF(LEFT(AC$19,7)="Nominal",AC$8,1)</f>
        <v/>
      </c>
      <c r="AD21" s="19">
        <f>IF(LEFT(AD$19,7)="Nominal",AD$8,1)</f>
        <v/>
      </c>
      <c r="AE21" s="20">
        <f>NOMFACTOR(AE$19,AE$8)</f>
        <v/>
      </c>
      <c r="AG21" s="17">
        <f>CodePrefix&amp;$A21&amp;IF($C21="","","."&amp;$C21&amp;"."&amp;$B21)&amp;INDEX(VarEnd,MATCH($A21,VarKey,0))&amp;AG$5</f>
        <v/>
      </c>
      <c r="AH21" s="18">
        <f>IF(LEFT(AH$19,7)="Nominal",AH$8,1)</f>
        <v/>
      </c>
      <c r="AI21" s="19">
        <f>IF(LEFT(AI$19,7)="Nominal",AI$8,1)</f>
        <v/>
      </c>
      <c r="AJ21" s="19">
        <f>IF(LEFT(AJ$19,7)="Nominal",AJ$8,1)</f>
        <v/>
      </c>
      <c r="AK21" s="19">
        <f>IF(LEFT(AK$19,7)="Nominal",AK$8,1)</f>
        <v/>
      </c>
      <c r="AL21" s="19">
        <f>IF(LEFT(AL$19,7)="Nominal",AL$8,1)</f>
        <v/>
      </c>
      <c r="AM21" s="19">
        <f>IF(LEFT(AM$19,7)="Nominal",AM$8,1)</f>
        <v/>
      </c>
      <c r="AN21" s="19">
        <f>IF(LEFT(AN$19,7)="Nominal",AN$8,1)</f>
        <v/>
      </c>
      <c r="AO21" s="19">
        <f>IF(LEFT(AO$19,7)="Nominal",AO$8,1)</f>
        <v/>
      </c>
      <c r="AP21" s="19">
        <f>IF(LEFT(AP$19,7)="Nominal",AP$8,1)</f>
        <v/>
      </c>
      <c r="AQ21" s="19">
        <f>IF(LEFT(AQ$19,7)="Nominal",AQ$8,1)</f>
        <v/>
      </c>
      <c r="AR21" s="19">
        <f>IF(LEFT(AR$19,7)="Nominal",AR$8,1)</f>
        <v/>
      </c>
      <c r="AS21" s="19">
        <f>IF(LEFT(AS$19,7)="Nominal",AS$8,1)</f>
        <v/>
      </c>
      <c r="AT21" s="19">
        <f>IF(LEFT(AT$19,7)="Nominal",AT$8,1)</f>
        <v/>
      </c>
      <c r="AU21" s="19">
        <f>IF(LEFT(AU$19,7)="Nominal",AU$8,1)</f>
        <v/>
      </c>
      <c r="AV21" s="19">
        <f>IF(LEFT(AV$19,7)="Nominal",AV$8,1)</f>
        <v/>
      </c>
      <c r="AW21" s="19">
        <f>IF(LEFT(AW$19,7)="Nominal",AW$8,1)</f>
        <v/>
      </c>
      <c r="AX21" s="19">
        <f>IF(LEFT(AX$19,7)="Nominal",AX$8,1)</f>
        <v/>
      </c>
      <c r="AY21" s="19">
        <f>IF(LEFT(AY$19,7)="Nominal",AY$8,1)</f>
        <v/>
      </c>
      <c r="AZ21" s="19">
        <f>IF(LEFT(AZ$19,7)="Nominal",AZ$8,1)</f>
        <v/>
      </c>
      <c r="BA21" s="20">
        <f>NOMFACTOR(BA$19,BA$8)</f>
        <v/>
      </c>
    </row>
    <row r="22" hidden="1" outlineLevel="1">
      <c r="H22" s="21" t="inlineStr">
        <is>
          <t>Carbon tax coverage: fuels (MTInputs rows 23-29)</t>
        </is>
      </c>
    </row>
    <row r="23" hidden="1" outlineLevel="1">
      <c r="A23" s="14" t="inlineStr">
        <is>
          <t>ctcov</t>
        </is>
      </c>
      <c r="B23" s="14" t="inlineStr">
        <is>
          <t>coa</t>
        </is>
      </c>
      <c r="C23" s="14" t="inlineStr">
        <is>
          <t>all</t>
        </is>
      </c>
      <c r="D23" s="22" t="n">
        <v>23</v>
      </c>
      <c r="H23" s="14">
        <f>INDEX(VarLab,MATCH($A23,VarKey,0))&amp;INDEX(MemLab,MATCH($C23&amp;"|"&amp;$B23,MemKey,0))</f>
        <v/>
      </c>
      <c r="I23" s="14">
        <f>INDEX(VarUnit,MATCH($A23,VarKey,0))</f>
        <v/>
      </c>
      <c r="J23" s="14">
        <f>INDEX(VarSrc,MATCH($A23,VarKey,0))</f>
        <v/>
      </c>
      <c r="K23" s="11">
        <f>CodePrefix&amp;$A23&amp;IF($C23="","","."&amp;$C23&amp;"."&amp;$B23)&amp;INDEX(VarEnd,MATCH($A23,VarKey,0))&amp;K$5</f>
        <v/>
      </c>
      <c r="L23" s="23">
        <f>INDEX(MTInputs!$J$1:$AZ$415,$D23,MATCH(L$5,MTInputs!$J$5:$AZ$5,0))</f>
        <v/>
      </c>
      <c r="M23" s="24">
        <f>INDEX(MTInputs!$J$1:$AZ$415,$D23,MATCH(M$5,MTInputs!$J$5:$AZ$5,0))</f>
        <v/>
      </c>
      <c r="N23" s="24">
        <f>INDEX(MTInputs!$J$1:$AZ$415,$D23,MATCH(N$5,MTInputs!$J$5:$AZ$5,0))</f>
        <v/>
      </c>
      <c r="O23" s="24">
        <f>INDEX(MTInputs!$J$1:$AZ$415,$D23,MATCH(O$5,MTInputs!$J$5:$AZ$5,0))</f>
        <v/>
      </c>
      <c r="P23" s="24">
        <f>INDEX(MTInputs!$J$1:$AZ$415,$D23,MATCH(P$5,MTInputs!$J$5:$AZ$5,0))</f>
        <v/>
      </c>
      <c r="Q23" s="24">
        <f>INDEX(MTInputs!$J$1:$AZ$415,$D23,MATCH(Q$5,MTInputs!$J$5:$AZ$5,0))</f>
        <v/>
      </c>
      <c r="R23" s="24">
        <f>INDEX(MTInputs!$J$1:$AZ$415,$D23,MATCH(R$5,MTInputs!$J$5:$AZ$5,0))</f>
        <v/>
      </c>
      <c r="S23" s="24">
        <f>INDEX(MTInputs!$J$1:$AZ$415,$D23,MATCH(S$5,MTInputs!$J$5:$AZ$5,0))</f>
        <v/>
      </c>
      <c r="T23" s="24">
        <f>INDEX(MTInputs!$J$1:$AZ$415,$D23,MATCH(T$5,MTInputs!$J$5:$AZ$5,0))</f>
        <v/>
      </c>
      <c r="U23" s="24">
        <f>INDEX(MTInputs!$J$1:$AZ$415,$D23,MATCH(U$5,MTInputs!$J$5:$AZ$5,0))</f>
        <v/>
      </c>
      <c r="V23" s="24">
        <f>INDEX(MTInputs!$J$1:$AZ$415,$D23,MATCH(V$5,MTInputs!$J$5:$AZ$5,0))</f>
        <v/>
      </c>
      <c r="W23" s="24">
        <f>INDEX(MTInputs!$J$1:$AZ$415,$D23,MATCH(W$5,MTInputs!$J$5:$AZ$5,0))</f>
        <v/>
      </c>
      <c r="X23" s="24">
        <f>INDEX(MTInputs!$J$1:$AZ$415,$D23,MATCH(X$5,MTInputs!$J$5:$AZ$5,0))</f>
        <v/>
      </c>
      <c r="Y23" s="24">
        <f>INDEX(MTInputs!$J$1:$AZ$415,$D23,MATCH(Y$5,MTInputs!$J$5:$AZ$5,0))</f>
        <v/>
      </c>
      <c r="Z23" s="24">
        <f>INDEX(MTInputs!$J$1:$AZ$415,$D23,MATCH(Z$5,MTInputs!$J$5:$AZ$5,0))</f>
        <v/>
      </c>
      <c r="AA23" s="24">
        <f>INDEX(MTInputs!$J$1:$AZ$415,$D23,MATCH(AA$5,MTInputs!$J$5:$AZ$5,0))</f>
        <v/>
      </c>
      <c r="AB23" s="24">
        <f>INDEX(MTInputs!$J$1:$AZ$415,$D23,MATCH(AB$5,MTInputs!$J$5:$AZ$5,0))</f>
        <v/>
      </c>
      <c r="AC23" s="24">
        <f>INDEX(MTInputs!$J$1:$AZ$415,$D23,MATCH(AC$5,MTInputs!$J$5:$AZ$5,0))</f>
        <v/>
      </c>
      <c r="AD23" s="24">
        <f>INDEX(MTInputs!$J$1:$AZ$415,$D23,MATCH(AD$5,MTInputs!$J$5:$AZ$5,0))</f>
        <v/>
      </c>
      <c r="AE23" s="24">
        <f>INDEX(MTInputs!$J$1:$AZ$415,$D23,MATCH(AE$5,MTInputs!$J$5:$AZ$5,0))</f>
        <v/>
      </c>
      <c r="AG23" s="11">
        <f>CodePrefix&amp;$A23&amp;IF($C23="","","."&amp;$C23&amp;"."&amp;$B23)&amp;INDEX(VarEnd,MATCH($A23,VarKey,0))&amp;AG$5</f>
        <v/>
      </c>
      <c r="AH23" s="23">
        <f>INDEX(MTInputs!$J$1:$AZ$415,$D23,MATCH(AH$5,MTInputs!$J$5:$AZ$5,0))</f>
        <v/>
      </c>
      <c r="AI23" s="24">
        <f>INDEX(MTInputs!$J$1:$AZ$415,$D23,MATCH(AI$5,MTInputs!$J$5:$AZ$5,0))</f>
        <v/>
      </c>
      <c r="AJ23" s="24">
        <f>INDEX(MTInputs!$J$1:$AZ$415,$D23,MATCH(AJ$5,MTInputs!$J$5:$AZ$5,0))</f>
        <v/>
      </c>
      <c r="AK23" s="24">
        <f>INDEX(MTInputs!$J$1:$AZ$415,$D23,MATCH(AK$5,MTInputs!$J$5:$AZ$5,0))</f>
        <v/>
      </c>
      <c r="AL23" s="24">
        <f>INDEX(MTInputs!$J$1:$AZ$415,$D23,MATCH(AL$5,MTInputs!$J$5:$AZ$5,0))</f>
        <v/>
      </c>
      <c r="AM23" s="24">
        <f>INDEX(MTInputs!$J$1:$AZ$415,$D23,MATCH(AM$5,MTInputs!$J$5:$AZ$5,0))</f>
        <v/>
      </c>
      <c r="AN23" s="24">
        <f>INDEX(MTInputs!$J$1:$AZ$415,$D23,MATCH(AN$5,MTInputs!$J$5:$AZ$5,0))</f>
        <v/>
      </c>
      <c r="AO23" s="24">
        <f>INDEX(MTInputs!$J$1:$AZ$415,$D23,MATCH(AO$5,MTInputs!$J$5:$AZ$5,0))</f>
        <v/>
      </c>
      <c r="AP23" s="24">
        <f>INDEX(MTInputs!$J$1:$AZ$415,$D23,MATCH(AP$5,MTInputs!$J$5:$AZ$5,0))</f>
        <v/>
      </c>
      <c r="AQ23" s="24">
        <f>INDEX(MTInputs!$J$1:$AZ$415,$D23,MATCH(AQ$5,MTInputs!$J$5:$AZ$5,0))</f>
        <v/>
      </c>
      <c r="AR23" s="24">
        <f>INDEX(MTInputs!$J$1:$AZ$415,$D23,MATCH(AR$5,MTInputs!$J$5:$AZ$5,0))</f>
        <v/>
      </c>
      <c r="AS23" s="24">
        <f>INDEX(MTInputs!$J$1:$AZ$415,$D23,MATCH(AS$5,MTInputs!$J$5:$AZ$5,0))</f>
        <v/>
      </c>
      <c r="AT23" s="24">
        <f>INDEX(MTInputs!$J$1:$AZ$415,$D23,MATCH(AT$5,MTInputs!$J$5:$AZ$5,0))</f>
        <v/>
      </c>
      <c r="AU23" s="24">
        <f>INDEX(MTInputs!$J$1:$AZ$415,$D23,MATCH(AU$5,MTInputs!$J$5:$AZ$5,0))</f>
        <v/>
      </c>
      <c r="AV23" s="24">
        <f>INDEX(MTInputs!$J$1:$AZ$415,$D23,MATCH(AV$5,MTInputs!$J$5:$AZ$5,0))</f>
        <v/>
      </c>
      <c r="AW23" s="24">
        <f>INDEX(MTInputs!$J$1:$AZ$415,$D23,MATCH(AW$5,MTInputs!$J$5:$AZ$5,0))</f>
        <v/>
      </c>
      <c r="AX23" s="24">
        <f>INDEX(MTInputs!$J$1:$AZ$415,$D23,MATCH(AX$5,MTInputs!$J$5:$AZ$5,0))</f>
        <v/>
      </c>
      <c r="AY23" s="24">
        <f>INDEX(MTInputs!$J$1:$AZ$415,$D23,MATCH(AY$5,MTInputs!$J$5:$AZ$5,0))</f>
        <v/>
      </c>
      <c r="AZ23" s="24">
        <f>INDEX(MTInputs!$J$1:$AZ$415,$D23,MATCH(AZ$5,MTInputs!$J$5:$AZ$5,0))</f>
        <v/>
      </c>
      <c r="BA23" s="24">
        <f>INDEX(MTInputs!$J$1:$AZ$415,$D23,MATCH(BA$5,MTInputs!$J$5:$AZ$5,0))</f>
        <v/>
      </c>
    </row>
    <row r="24" hidden="1" outlineLevel="1">
      <c r="A24" s="14" t="inlineStr">
        <is>
          <t>ctcov</t>
        </is>
      </c>
      <c r="B24" s="14" t="inlineStr">
        <is>
          <t>nga</t>
        </is>
      </c>
      <c r="C24" s="14" t="inlineStr">
        <is>
          <t>all</t>
        </is>
      </c>
      <c r="D24" s="22" t="n">
        <v>24</v>
      </c>
      <c r="H24" s="14">
        <f>INDEX(VarLab,MATCH($A24,VarKey,0))&amp;INDEX(MemLab,MATCH($C24&amp;"|"&amp;$B24,MemKey,0))</f>
        <v/>
      </c>
      <c r="I24" s="14">
        <f>INDEX(VarUnit,MATCH($A24,VarKey,0))</f>
        <v/>
      </c>
      <c r="J24" s="14">
        <f>INDEX(VarSrc,MATCH($A24,VarKey,0))</f>
        <v/>
      </c>
      <c r="K24" s="11">
        <f>CodePrefix&amp;$A24&amp;IF($C24="","","."&amp;$C24&amp;"."&amp;$B24)&amp;INDEX(VarEnd,MATCH($A24,VarKey,0))&amp;K$5</f>
        <v/>
      </c>
      <c r="L24" s="23">
        <f>INDEX(MTInputs!$J$1:$AZ$415,$D24,MATCH(L$5,MTInputs!$J$5:$AZ$5,0))</f>
        <v/>
      </c>
      <c r="M24" s="24">
        <f>INDEX(MTInputs!$J$1:$AZ$415,$D24,MATCH(M$5,MTInputs!$J$5:$AZ$5,0))</f>
        <v/>
      </c>
      <c r="N24" s="24">
        <f>INDEX(MTInputs!$J$1:$AZ$415,$D24,MATCH(N$5,MTInputs!$J$5:$AZ$5,0))</f>
        <v/>
      </c>
      <c r="O24" s="24">
        <f>INDEX(MTInputs!$J$1:$AZ$415,$D24,MATCH(O$5,MTInputs!$J$5:$AZ$5,0))</f>
        <v/>
      </c>
      <c r="P24" s="24">
        <f>INDEX(MTInputs!$J$1:$AZ$415,$D24,MATCH(P$5,MTInputs!$J$5:$AZ$5,0))</f>
        <v/>
      </c>
      <c r="Q24" s="24">
        <f>INDEX(MTInputs!$J$1:$AZ$415,$D24,MATCH(Q$5,MTInputs!$J$5:$AZ$5,0))</f>
        <v/>
      </c>
      <c r="R24" s="24">
        <f>INDEX(MTInputs!$J$1:$AZ$415,$D24,MATCH(R$5,MTInputs!$J$5:$AZ$5,0))</f>
        <v/>
      </c>
      <c r="S24" s="24">
        <f>INDEX(MTInputs!$J$1:$AZ$415,$D24,MATCH(S$5,MTInputs!$J$5:$AZ$5,0))</f>
        <v/>
      </c>
      <c r="T24" s="24">
        <f>INDEX(MTInputs!$J$1:$AZ$415,$D24,MATCH(T$5,MTInputs!$J$5:$AZ$5,0))</f>
        <v/>
      </c>
      <c r="U24" s="24">
        <f>INDEX(MTInputs!$J$1:$AZ$415,$D24,MATCH(U$5,MTInputs!$J$5:$AZ$5,0))</f>
        <v/>
      </c>
      <c r="V24" s="24">
        <f>INDEX(MTInputs!$J$1:$AZ$415,$D24,MATCH(V$5,MTInputs!$J$5:$AZ$5,0))</f>
        <v/>
      </c>
      <c r="W24" s="24">
        <f>INDEX(MTInputs!$J$1:$AZ$415,$D24,MATCH(W$5,MTInputs!$J$5:$AZ$5,0))</f>
        <v/>
      </c>
      <c r="X24" s="24">
        <f>INDEX(MTInputs!$J$1:$AZ$415,$D24,MATCH(X$5,MTInputs!$J$5:$AZ$5,0))</f>
        <v/>
      </c>
      <c r="Y24" s="24">
        <f>INDEX(MTInputs!$J$1:$AZ$415,$D24,MATCH(Y$5,MTInputs!$J$5:$AZ$5,0))</f>
        <v/>
      </c>
      <c r="Z24" s="24">
        <f>INDEX(MTInputs!$J$1:$AZ$415,$D24,MATCH(Z$5,MTInputs!$J$5:$AZ$5,0))</f>
        <v/>
      </c>
      <c r="AA24" s="24">
        <f>INDEX(MTInputs!$J$1:$AZ$415,$D24,MATCH(AA$5,MTInputs!$J$5:$AZ$5,0))</f>
        <v/>
      </c>
      <c r="AB24" s="24">
        <f>INDEX(MTInputs!$J$1:$AZ$415,$D24,MATCH(AB$5,MTInputs!$J$5:$AZ$5,0))</f>
        <v/>
      </c>
      <c r="AC24" s="24">
        <f>INDEX(MTInputs!$J$1:$AZ$415,$D24,MATCH(AC$5,MTInputs!$J$5:$AZ$5,0))</f>
        <v/>
      </c>
      <c r="AD24" s="24">
        <f>INDEX(MTInputs!$J$1:$AZ$415,$D24,MATCH(AD$5,MTInputs!$J$5:$AZ$5,0))</f>
        <v/>
      </c>
      <c r="AE24" s="24">
        <f>INDEX(MTInputs!$J$1:$AZ$415,$D24,MATCH(AE$5,MTInputs!$J$5:$AZ$5,0))</f>
        <v/>
      </c>
      <c r="AG24" s="11">
        <f>CodePrefix&amp;$A24&amp;IF($C24="","","."&amp;$C24&amp;"."&amp;$B24)&amp;INDEX(VarEnd,MATCH($A24,VarKey,0))&amp;AG$5</f>
        <v/>
      </c>
      <c r="AH24" s="23">
        <f>INDEX(MTInputs!$J$1:$AZ$415,$D24,MATCH(AH$5,MTInputs!$J$5:$AZ$5,0))</f>
        <v/>
      </c>
      <c r="AI24" s="24">
        <f>INDEX(MTInputs!$J$1:$AZ$415,$D24,MATCH(AI$5,MTInputs!$J$5:$AZ$5,0))</f>
        <v/>
      </c>
      <c r="AJ24" s="24">
        <f>INDEX(MTInputs!$J$1:$AZ$415,$D24,MATCH(AJ$5,MTInputs!$J$5:$AZ$5,0))</f>
        <v/>
      </c>
      <c r="AK24" s="24">
        <f>INDEX(MTInputs!$J$1:$AZ$415,$D24,MATCH(AK$5,MTInputs!$J$5:$AZ$5,0))</f>
        <v/>
      </c>
      <c r="AL24" s="24">
        <f>INDEX(MTInputs!$J$1:$AZ$415,$D24,MATCH(AL$5,MTInputs!$J$5:$AZ$5,0))</f>
        <v/>
      </c>
      <c r="AM24" s="24">
        <f>INDEX(MTInputs!$J$1:$AZ$415,$D24,MATCH(AM$5,MTInputs!$J$5:$AZ$5,0))</f>
        <v/>
      </c>
      <c r="AN24" s="24">
        <f>INDEX(MTInputs!$J$1:$AZ$415,$D24,MATCH(AN$5,MTInputs!$J$5:$AZ$5,0))</f>
        <v/>
      </c>
      <c r="AO24" s="24">
        <f>INDEX(MTInputs!$J$1:$AZ$415,$D24,MATCH(AO$5,MTInputs!$J$5:$AZ$5,0))</f>
        <v/>
      </c>
      <c r="AP24" s="24">
        <f>INDEX(MTInputs!$J$1:$AZ$415,$D24,MATCH(AP$5,MTInputs!$J$5:$AZ$5,0))</f>
        <v/>
      </c>
      <c r="AQ24" s="24">
        <f>INDEX(MTInputs!$J$1:$AZ$415,$D24,MATCH(AQ$5,MTInputs!$J$5:$AZ$5,0))</f>
        <v/>
      </c>
      <c r="AR24" s="24">
        <f>INDEX(MTInputs!$J$1:$AZ$415,$D24,MATCH(AR$5,MTInputs!$J$5:$AZ$5,0))</f>
        <v/>
      </c>
      <c r="AS24" s="24">
        <f>INDEX(MTInputs!$J$1:$AZ$415,$D24,MATCH(AS$5,MTInputs!$J$5:$AZ$5,0))</f>
        <v/>
      </c>
      <c r="AT24" s="24">
        <f>INDEX(MTInputs!$J$1:$AZ$415,$D24,MATCH(AT$5,MTInputs!$J$5:$AZ$5,0))</f>
        <v/>
      </c>
      <c r="AU24" s="24">
        <f>INDEX(MTInputs!$J$1:$AZ$415,$D24,MATCH(AU$5,MTInputs!$J$5:$AZ$5,0))</f>
        <v/>
      </c>
      <c r="AV24" s="24">
        <f>INDEX(MTInputs!$J$1:$AZ$415,$D24,MATCH(AV$5,MTInputs!$J$5:$AZ$5,0))</f>
        <v/>
      </c>
      <c r="AW24" s="24">
        <f>INDEX(MTInputs!$J$1:$AZ$415,$D24,MATCH(AW$5,MTInputs!$J$5:$AZ$5,0))</f>
        <v/>
      </c>
      <c r="AX24" s="24">
        <f>INDEX(MTInputs!$J$1:$AZ$415,$D24,MATCH(AX$5,MTInputs!$J$5:$AZ$5,0))</f>
        <v/>
      </c>
      <c r="AY24" s="24">
        <f>INDEX(MTInputs!$J$1:$AZ$415,$D24,MATCH(AY$5,MTInputs!$J$5:$AZ$5,0))</f>
        <v/>
      </c>
      <c r="AZ24" s="24">
        <f>INDEX(MTInputs!$J$1:$AZ$415,$D24,MATCH(AZ$5,MTInputs!$J$5:$AZ$5,0))</f>
        <v/>
      </c>
      <c r="BA24" s="24">
        <f>INDEX(MTInputs!$J$1:$AZ$415,$D24,MATCH(BA$5,MTInputs!$J$5:$AZ$5,0))</f>
        <v/>
      </c>
    </row>
    <row r="25" hidden="1" outlineLevel="1">
      <c r="A25" s="14" t="inlineStr">
        <is>
          <t>ctcov</t>
        </is>
      </c>
      <c r="B25" s="14" t="inlineStr">
        <is>
          <t>gso</t>
        </is>
      </c>
      <c r="C25" s="14" t="inlineStr">
        <is>
          <t>all</t>
        </is>
      </c>
      <c r="D25" s="22" t="n">
        <v>25</v>
      </c>
      <c r="H25" s="14">
        <f>INDEX(VarLab,MATCH($A25,VarKey,0))&amp;INDEX(MemLab,MATCH($C25&amp;"|"&amp;$B25,MemKey,0))</f>
        <v/>
      </c>
      <c r="I25" s="14">
        <f>INDEX(VarUnit,MATCH($A25,VarKey,0))</f>
        <v/>
      </c>
      <c r="J25" s="14">
        <f>INDEX(VarSrc,MATCH($A25,VarKey,0))</f>
        <v/>
      </c>
      <c r="K25" s="11">
        <f>CodePrefix&amp;$A25&amp;IF($C25="","","."&amp;$C25&amp;"."&amp;$B25)&amp;INDEX(VarEnd,MATCH($A25,VarKey,0))&amp;K$5</f>
        <v/>
      </c>
      <c r="L25" s="23">
        <f>INDEX(MTInputs!$J$1:$AZ$415,$D25,MATCH(L$5,MTInputs!$J$5:$AZ$5,0))</f>
        <v/>
      </c>
      <c r="M25" s="24">
        <f>INDEX(MTInputs!$J$1:$AZ$415,$D25,MATCH(M$5,MTInputs!$J$5:$AZ$5,0))</f>
        <v/>
      </c>
      <c r="N25" s="24">
        <f>INDEX(MTInputs!$J$1:$AZ$415,$D25,MATCH(N$5,MTInputs!$J$5:$AZ$5,0))</f>
        <v/>
      </c>
      <c r="O25" s="24">
        <f>INDEX(MTInputs!$J$1:$AZ$415,$D25,MATCH(O$5,MTInputs!$J$5:$AZ$5,0))</f>
        <v/>
      </c>
      <c r="P25" s="24">
        <f>INDEX(MTInputs!$J$1:$AZ$415,$D25,MATCH(P$5,MTInputs!$J$5:$AZ$5,0))</f>
        <v/>
      </c>
      <c r="Q25" s="24">
        <f>INDEX(MTInputs!$J$1:$AZ$415,$D25,MATCH(Q$5,MTInputs!$J$5:$AZ$5,0))</f>
        <v/>
      </c>
      <c r="R25" s="24">
        <f>INDEX(MTInputs!$J$1:$AZ$415,$D25,MATCH(R$5,MTInputs!$J$5:$AZ$5,0))</f>
        <v/>
      </c>
      <c r="S25" s="24">
        <f>INDEX(MTInputs!$J$1:$AZ$415,$D25,MATCH(S$5,MTInputs!$J$5:$AZ$5,0))</f>
        <v/>
      </c>
      <c r="T25" s="24">
        <f>INDEX(MTInputs!$J$1:$AZ$415,$D25,MATCH(T$5,MTInputs!$J$5:$AZ$5,0))</f>
        <v/>
      </c>
      <c r="U25" s="24">
        <f>INDEX(MTInputs!$J$1:$AZ$415,$D25,MATCH(U$5,MTInputs!$J$5:$AZ$5,0))</f>
        <v/>
      </c>
      <c r="V25" s="24">
        <f>INDEX(MTInputs!$J$1:$AZ$415,$D25,MATCH(V$5,MTInputs!$J$5:$AZ$5,0))</f>
        <v/>
      </c>
      <c r="W25" s="24">
        <f>INDEX(MTInputs!$J$1:$AZ$415,$D25,MATCH(W$5,MTInputs!$J$5:$AZ$5,0))</f>
        <v/>
      </c>
      <c r="X25" s="24">
        <f>INDEX(MTInputs!$J$1:$AZ$415,$D25,MATCH(X$5,MTInputs!$J$5:$AZ$5,0))</f>
        <v/>
      </c>
      <c r="Y25" s="24">
        <f>INDEX(MTInputs!$J$1:$AZ$415,$D25,MATCH(Y$5,MTInputs!$J$5:$AZ$5,0))</f>
        <v/>
      </c>
      <c r="Z25" s="24">
        <f>INDEX(MTInputs!$J$1:$AZ$415,$D25,MATCH(Z$5,MTInputs!$J$5:$AZ$5,0))</f>
        <v/>
      </c>
      <c r="AA25" s="24">
        <f>INDEX(MTInputs!$J$1:$AZ$415,$D25,MATCH(AA$5,MTInputs!$J$5:$AZ$5,0))</f>
        <v/>
      </c>
      <c r="AB25" s="24">
        <f>INDEX(MTInputs!$J$1:$AZ$415,$D25,MATCH(AB$5,MTInputs!$J$5:$AZ$5,0))</f>
        <v/>
      </c>
      <c r="AC25" s="24">
        <f>INDEX(MTInputs!$J$1:$AZ$415,$D25,MATCH(AC$5,MTInputs!$J$5:$AZ$5,0))</f>
        <v/>
      </c>
      <c r="AD25" s="24">
        <f>INDEX(MTInputs!$J$1:$AZ$415,$D25,MATCH(AD$5,MTInputs!$J$5:$AZ$5,0))</f>
        <v/>
      </c>
      <c r="AE25" s="24">
        <f>INDEX(MTInputs!$J$1:$AZ$415,$D25,MATCH(AE$5,MTInputs!$J$5:$AZ$5,0))</f>
        <v/>
      </c>
      <c r="AG25" s="11">
        <f>CodePrefix&amp;$A25&amp;IF($C25="","","."&amp;$C25&amp;"."&amp;$B25)&amp;INDEX(VarEnd,MATCH($A25,VarKey,0))&amp;AG$5</f>
        <v/>
      </c>
      <c r="AH25" s="23">
        <f>INDEX(MTInputs!$J$1:$AZ$415,$D25,MATCH(AH$5,MTInputs!$J$5:$AZ$5,0))</f>
        <v/>
      </c>
      <c r="AI25" s="24">
        <f>INDEX(MTInputs!$J$1:$AZ$415,$D25,MATCH(AI$5,MTInputs!$J$5:$AZ$5,0))</f>
        <v/>
      </c>
      <c r="AJ25" s="24">
        <f>INDEX(MTInputs!$J$1:$AZ$415,$D25,MATCH(AJ$5,MTInputs!$J$5:$AZ$5,0))</f>
        <v/>
      </c>
      <c r="AK25" s="24">
        <f>INDEX(MTInputs!$J$1:$AZ$415,$D25,MATCH(AK$5,MTInputs!$J$5:$AZ$5,0))</f>
        <v/>
      </c>
      <c r="AL25" s="24">
        <f>INDEX(MTInputs!$J$1:$AZ$415,$D25,MATCH(AL$5,MTInputs!$J$5:$AZ$5,0))</f>
        <v/>
      </c>
      <c r="AM25" s="24">
        <f>INDEX(MTInputs!$J$1:$AZ$415,$D25,MATCH(AM$5,MTInputs!$J$5:$AZ$5,0))</f>
        <v/>
      </c>
      <c r="AN25" s="24">
        <f>INDEX(MTInputs!$J$1:$AZ$415,$D25,MATCH(AN$5,MTInputs!$J$5:$AZ$5,0))</f>
        <v/>
      </c>
      <c r="AO25" s="24">
        <f>INDEX(MTInputs!$J$1:$AZ$415,$D25,MATCH(AO$5,MTInputs!$J$5:$AZ$5,0))</f>
        <v/>
      </c>
      <c r="AP25" s="24">
        <f>INDEX(MTInputs!$J$1:$AZ$415,$D25,MATCH(AP$5,MTInputs!$J$5:$AZ$5,0))</f>
        <v/>
      </c>
      <c r="AQ25" s="24">
        <f>INDEX(MTInputs!$J$1:$AZ$415,$D25,MATCH(AQ$5,MTInputs!$J$5:$AZ$5,0))</f>
        <v/>
      </c>
      <c r="AR25" s="24">
        <f>INDEX(MTInputs!$J$1:$AZ$415,$D25,MATCH(AR$5,MTInputs!$J$5:$AZ$5,0))</f>
        <v/>
      </c>
      <c r="AS25" s="24">
        <f>INDEX(MTInputs!$J$1:$AZ$415,$D25,MATCH(AS$5,MTInputs!$J$5:$AZ$5,0))</f>
        <v/>
      </c>
      <c r="AT25" s="24">
        <f>INDEX(MTInputs!$J$1:$AZ$415,$D25,MATCH(AT$5,MTInputs!$J$5:$AZ$5,0))</f>
        <v/>
      </c>
      <c r="AU25" s="24">
        <f>INDEX(MTInputs!$J$1:$AZ$415,$D25,MATCH(AU$5,MTInputs!$J$5:$AZ$5,0))</f>
        <v/>
      </c>
      <c r="AV25" s="24">
        <f>INDEX(MTInputs!$J$1:$AZ$415,$D25,MATCH(AV$5,MTInputs!$J$5:$AZ$5,0))</f>
        <v/>
      </c>
      <c r="AW25" s="24">
        <f>INDEX(MTInputs!$J$1:$AZ$415,$D25,MATCH(AW$5,MTInputs!$J$5:$AZ$5,0))</f>
        <v/>
      </c>
      <c r="AX25" s="24">
        <f>INDEX(MTInputs!$J$1:$AZ$415,$D25,MATCH(AX$5,MTInputs!$J$5:$AZ$5,0))</f>
        <v/>
      </c>
      <c r="AY25" s="24">
        <f>INDEX(MTInputs!$J$1:$AZ$415,$D25,MATCH(AY$5,MTInputs!$J$5:$AZ$5,0))</f>
        <v/>
      </c>
      <c r="AZ25" s="24">
        <f>INDEX(MTInputs!$J$1:$AZ$415,$D25,MATCH(AZ$5,MTInputs!$J$5:$AZ$5,0))</f>
        <v/>
      </c>
      <c r="BA25" s="24">
        <f>INDEX(MTInputs!$J$1:$AZ$415,$D25,MATCH(BA$5,MTInputs!$J$5:$AZ$5,0))</f>
        <v/>
      </c>
    </row>
    <row r="26" hidden="1" outlineLevel="1">
      <c r="A26" s="14" t="inlineStr">
        <is>
          <t>ctcov</t>
        </is>
      </c>
      <c r="B26" s="14" t="inlineStr">
        <is>
          <t>die</t>
        </is>
      </c>
      <c r="C26" s="14" t="inlineStr">
        <is>
          <t>all</t>
        </is>
      </c>
      <c r="D26" s="22" t="n">
        <v>26</v>
      </c>
      <c r="H26" s="14">
        <f>INDEX(VarLab,MATCH($A26,VarKey,0))&amp;INDEX(MemLab,MATCH($C26&amp;"|"&amp;$B26,MemKey,0))</f>
        <v/>
      </c>
      <c r="I26" s="14">
        <f>INDEX(VarUnit,MATCH($A26,VarKey,0))</f>
        <v/>
      </c>
      <c r="J26" s="14">
        <f>INDEX(VarSrc,MATCH($A26,VarKey,0))</f>
        <v/>
      </c>
      <c r="K26" s="11">
        <f>CodePrefix&amp;$A26&amp;IF($C26="","","."&amp;$C26&amp;"."&amp;$B26)&amp;INDEX(VarEnd,MATCH($A26,VarKey,0))&amp;K$5</f>
        <v/>
      </c>
      <c r="L26" s="23">
        <f>INDEX(MTInputs!$J$1:$AZ$415,$D26,MATCH(L$5,MTInputs!$J$5:$AZ$5,0))</f>
        <v/>
      </c>
      <c r="M26" s="24">
        <f>INDEX(MTInputs!$J$1:$AZ$415,$D26,MATCH(M$5,MTInputs!$J$5:$AZ$5,0))</f>
        <v/>
      </c>
      <c r="N26" s="24">
        <f>INDEX(MTInputs!$J$1:$AZ$415,$D26,MATCH(N$5,MTInputs!$J$5:$AZ$5,0))</f>
        <v/>
      </c>
      <c r="O26" s="24">
        <f>INDEX(MTInputs!$J$1:$AZ$415,$D26,MATCH(O$5,MTInputs!$J$5:$AZ$5,0))</f>
        <v/>
      </c>
      <c r="P26" s="24">
        <f>INDEX(MTInputs!$J$1:$AZ$415,$D26,MATCH(P$5,MTInputs!$J$5:$AZ$5,0))</f>
        <v/>
      </c>
      <c r="Q26" s="24">
        <f>INDEX(MTInputs!$J$1:$AZ$415,$D26,MATCH(Q$5,MTInputs!$J$5:$AZ$5,0))</f>
        <v/>
      </c>
      <c r="R26" s="24">
        <f>INDEX(MTInputs!$J$1:$AZ$415,$D26,MATCH(R$5,MTInputs!$J$5:$AZ$5,0))</f>
        <v/>
      </c>
      <c r="S26" s="24">
        <f>INDEX(MTInputs!$J$1:$AZ$415,$D26,MATCH(S$5,MTInputs!$J$5:$AZ$5,0))</f>
        <v/>
      </c>
      <c r="T26" s="24">
        <f>INDEX(MTInputs!$J$1:$AZ$415,$D26,MATCH(T$5,MTInputs!$J$5:$AZ$5,0))</f>
        <v/>
      </c>
      <c r="U26" s="24">
        <f>INDEX(MTInputs!$J$1:$AZ$415,$D26,MATCH(U$5,MTInputs!$J$5:$AZ$5,0))</f>
        <v/>
      </c>
      <c r="V26" s="24">
        <f>INDEX(MTInputs!$J$1:$AZ$415,$D26,MATCH(V$5,MTInputs!$J$5:$AZ$5,0))</f>
        <v/>
      </c>
      <c r="W26" s="24">
        <f>INDEX(MTInputs!$J$1:$AZ$415,$D26,MATCH(W$5,MTInputs!$J$5:$AZ$5,0))</f>
        <v/>
      </c>
      <c r="X26" s="24">
        <f>INDEX(MTInputs!$J$1:$AZ$415,$D26,MATCH(X$5,MTInputs!$J$5:$AZ$5,0))</f>
        <v/>
      </c>
      <c r="Y26" s="24">
        <f>INDEX(MTInputs!$J$1:$AZ$415,$D26,MATCH(Y$5,MTInputs!$J$5:$AZ$5,0))</f>
        <v/>
      </c>
      <c r="Z26" s="24">
        <f>INDEX(MTInputs!$J$1:$AZ$415,$D26,MATCH(Z$5,MTInputs!$J$5:$AZ$5,0))</f>
        <v/>
      </c>
      <c r="AA26" s="24">
        <f>INDEX(MTInputs!$J$1:$AZ$415,$D26,MATCH(AA$5,MTInputs!$J$5:$AZ$5,0))</f>
        <v/>
      </c>
      <c r="AB26" s="24">
        <f>INDEX(MTInputs!$J$1:$AZ$415,$D26,MATCH(AB$5,MTInputs!$J$5:$AZ$5,0))</f>
        <v/>
      </c>
      <c r="AC26" s="24">
        <f>INDEX(MTInputs!$J$1:$AZ$415,$D26,MATCH(AC$5,MTInputs!$J$5:$AZ$5,0))</f>
        <v/>
      </c>
      <c r="AD26" s="24">
        <f>INDEX(MTInputs!$J$1:$AZ$415,$D26,MATCH(AD$5,MTInputs!$J$5:$AZ$5,0))</f>
        <v/>
      </c>
      <c r="AE26" s="24">
        <f>INDEX(MTInputs!$J$1:$AZ$415,$D26,MATCH(AE$5,MTInputs!$J$5:$AZ$5,0))</f>
        <v/>
      </c>
      <c r="AG26" s="11">
        <f>CodePrefix&amp;$A26&amp;IF($C26="","","."&amp;$C26&amp;"."&amp;$B26)&amp;INDEX(VarEnd,MATCH($A26,VarKey,0))&amp;AG$5</f>
        <v/>
      </c>
      <c r="AH26" s="23">
        <f>INDEX(MTInputs!$J$1:$AZ$415,$D26,MATCH(AH$5,MTInputs!$J$5:$AZ$5,0))</f>
        <v/>
      </c>
      <c r="AI26" s="24">
        <f>INDEX(MTInputs!$J$1:$AZ$415,$D26,MATCH(AI$5,MTInputs!$J$5:$AZ$5,0))</f>
        <v/>
      </c>
      <c r="AJ26" s="24">
        <f>INDEX(MTInputs!$J$1:$AZ$415,$D26,MATCH(AJ$5,MTInputs!$J$5:$AZ$5,0))</f>
        <v/>
      </c>
      <c r="AK26" s="24">
        <f>INDEX(MTInputs!$J$1:$AZ$415,$D26,MATCH(AK$5,MTInputs!$J$5:$AZ$5,0))</f>
        <v/>
      </c>
      <c r="AL26" s="24">
        <f>INDEX(MTInputs!$J$1:$AZ$415,$D26,MATCH(AL$5,MTInputs!$J$5:$AZ$5,0))</f>
        <v/>
      </c>
      <c r="AM26" s="24">
        <f>INDEX(MTInputs!$J$1:$AZ$415,$D26,MATCH(AM$5,MTInputs!$J$5:$AZ$5,0))</f>
        <v/>
      </c>
      <c r="AN26" s="24">
        <f>INDEX(MTInputs!$J$1:$AZ$415,$D26,MATCH(AN$5,MTInputs!$J$5:$AZ$5,0))</f>
        <v/>
      </c>
      <c r="AO26" s="24">
        <f>INDEX(MTInputs!$J$1:$AZ$415,$D26,MATCH(AO$5,MTInputs!$J$5:$AZ$5,0))</f>
        <v/>
      </c>
      <c r="AP26" s="24">
        <f>INDEX(MTInputs!$J$1:$AZ$415,$D26,MATCH(AP$5,MTInputs!$J$5:$AZ$5,0))</f>
        <v/>
      </c>
      <c r="AQ26" s="24">
        <f>INDEX(MTInputs!$J$1:$AZ$415,$D26,MATCH(AQ$5,MTInputs!$J$5:$AZ$5,0))</f>
        <v/>
      </c>
      <c r="AR26" s="24">
        <f>INDEX(MTInputs!$J$1:$AZ$415,$D26,MATCH(AR$5,MTInputs!$J$5:$AZ$5,0))</f>
        <v/>
      </c>
      <c r="AS26" s="24">
        <f>INDEX(MTInputs!$J$1:$AZ$415,$D26,MATCH(AS$5,MTInputs!$J$5:$AZ$5,0))</f>
        <v/>
      </c>
      <c r="AT26" s="24">
        <f>INDEX(MTInputs!$J$1:$AZ$415,$D26,MATCH(AT$5,MTInputs!$J$5:$AZ$5,0))</f>
        <v/>
      </c>
      <c r="AU26" s="24">
        <f>INDEX(MTInputs!$J$1:$AZ$415,$D26,MATCH(AU$5,MTInputs!$J$5:$AZ$5,0))</f>
        <v/>
      </c>
      <c r="AV26" s="24">
        <f>INDEX(MTInputs!$J$1:$AZ$415,$D26,MATCH(AV$5,MTInputs!$J$5:$AZ$5,0))</f>
        <v/>
      </c>
      <c r="AW26" s="24">
        <f>INDEX(MTInputs!$J$1:$AZ$415,$D26,MATCH(AW$5,MTInputs!$J$5:$AZ$5,0))</f>
        <v/>
      </c>
      <c r="AX26" s="24">
        <f>INDEX(MTInputs!$J$1:$AZ$415,$D26,MATCH(AX$5,MTInputs!$J$5:$AZ$5,0))</f>
        <v/>
      </c>
      <c r="AY26" s="24">
        <f>INDEX(MTInputs!$J$1:$AZ$415,$D26,MATCH(AY$5,MTInputs!$J$5:$AZ$5,0))</f>
        <v/>
      </c>
      <c r="AZ26" s="24">
        <f>INDEX(MTInputs!$J$1:$AZ$415,$D26,MATCH(AZ$5,MTInputs!$J$5:$AZ$5,0))</f>
        <v/>
      </c>
      <c r="BA26" s="24">
        <f>INDEX(MTInputs!$J$1:$AZ$415,$D26,MATCH(BA$5,MTInputs!$J$5:$AZ$5,0))</f>
        <v/>
      </c>
    </row>
    <row r="27" hidden="1" outlineLevel="1">
      <c r="A27" s="14" t="inlineStr">
        <is>
          <t>ctcov</t>
        </is>
      </c>
      <c r="B27" s="14" t="inlineStr">
        <is>
          <t>lpg</t>
        </is>
      </c>
      <c r="C27" s="14" t="inlineStr">
        <is>
          <t>all</t>
        </is>
      </c>
      <c r="D27" s="22" t="n">
        <v>27</v>
      </c>
      <c r="H27" s="14">
        <f>INDEX(VarLab,MATCH($A27,VarKey,0))&amp;INDEX(MemLab,MATCH($C27&amp;"|"&amp;$B27,MemKey,0))</f>
        <v/>
      </c>
      <c r="I27" s="14">
        <f>INDEX(VarUnit,MATCH($A27,VarKey,0))</f>
        <v/>
      </c>
      <c r="J27" s="14">
        <f>INDEX(VarSrc,MATCH($A27,VarKey,0))</f>
        <v/>
      </c>
      <c r="K27" s="11">
        <f>CodePrefix&amp;$A27&amp;IF($C27="","","."&amp;$C27&amp;"."&amp;$B27)&amp;INDEX(VarEnd,MATCH($A27,VarKey,0))&amp;K$5</f>
        <v/>
      </c>
      <c r="L27" s="23">
        <f>INDEX(MTInputs!$J$1:$AZ$415,$D27,MATCH(L$5,MTInputs!$J$5:$AZ$5,0))</f>
        <v/>
      </c>
      <c r="M27" s="24">
        <f>INDEX(MTInputs!$J$1:$AZ$415,$D27,MATCH(M$5,MTInputs!$J$5:$AZ$5,0))</f>
        <v/>
      </c>
      <c r="N27" s="24">
        <f>INDEX(MTInputs!$J$1:$AZ$415,$D27,MATCH(N$5,MTInputs!$J$5:$AZ$5,0))</f>
        <v/>
      </c>
      <c r="O27" s="24">
        <f>INDEX(MTInputs!$J$1:$AZ$415,$D27,MATCH(O$5,MTInputs!$J$5:$AZ$5,0))</f>
        <v/>
      </c>
      <c r="P27" s="24">
        <f>INDEX(MTInputs!$J$1:$AZ$415,$D27,MATCH(P$5,MTInputs!$J$5:$AZ$5,0))</f>
        <v/>
      </c>
      <c r="Q27" s="24">
        <f>INDEX(MTInputs!$J$1:$AZ$415,$D27,MATCH(Q$5,MTInputs!$J$5:$AZ$5,0))</f>
        <v/>
      </c>
      <c r="R27" s="24">
        <f>INDEX(MTInputs!$J$1:$AZ$415,$D27,MATCH(R$5,MTInputs!$J$5:$AZ$5,0))</f>
        <v/>
      </c>
      <c r="S27" s="24">
        <f>INDEX(MTInputs!$J$1:$AZ$415,$D27,MATCH(S$5,MTInputs!$J$5:$AZ$5,0))</f>
        <v/>
      </c>
      <c r="T27" s="24">
        <f>INDEX(MTInputs!$J$1:$AZ$415,$D27,MATCH(T$5,MTInputs!$J$5:$AZ$5,0))</f>
        <v/>
      </c>
      <c r="U27" s="24">
        <f>INDEX(MTInputs!$J$1:$AZ$415,$D27,MATCH(U$5,MTInputs!$J$5:$AZ$5,0))</f>
        <v/>
      </c>
      <c r="V27" s="24">
        <f>INDEX(MTInputs!$J$1:$AZ$415,$D27,MATCH(V$5,MTInputs!$J$5:$AZ$5,0))</f>
        <v/>
      </c>
      <c r="W27" s="24">
        <f>INDEX(MTInputs!$J$1:$AZ$415,$D27,MATCH(W$5,MTInputs!$J$5:$AZ$5,0))</f>
        <v/>
      </c>
      <c r="X27" s="24">
        <f>INDEX(MTInputs!$J$1:$AZ$415,$D27,MATCH(X$5,MTInputs!$J$5:$AZ$5,0))</f>
        <v/>
      </c>
      <c r="Y27" s="24">
        <f>INDEX(MTInputs!$J$1:$AZ$415,$D27,MATCH(Y$5,MTInputs!$J$5:$AZ$5,0))</f>
        <v/>
      </c>
      <c r="Z27" s="24">
        <f>INDEX(MTInputs!$J$1:$AZ$415,$D27,MATCH(Z$5,MTInputs!$J$5:$AZ$5,0))</f>
        <v/>
      </c>
      <c r="AA27" s="24">
        <f>INDEX(MTInputs!$J$1:$AZ$415,$D27,MATCH(AA$5,MTInputs!$J$5:$AZ$5,0))</f>
        <v/>
      </c>
      <c r="AB27" s="24">
        <f>INDEX(MTInputs!$J$1:$AZ$415,$D27,MATCH(AB$5,MTInputs!$J$5:$AZ$5,0))</f>
        <v/>
      </c>
      <c r="AC27" s="24">
        <f>INDEX(MTInputs!$J$1:$AZ$415,$D27,MATCH(AC$5,MTInputs!$J$5:$AZ$5,0))</f>
        <v/>
      </c>
      <c r="AD27" s="24">
        <f>INDEX(MTInputs!$J$1:$AZ$415,$D27,MATCH(AD$5,MTInputs!$J$5:$AZ$5,0))</f>
        <v/>
      </c>
      <c r="AE27" s="24">
        <f>INDEX(MTInputs!$J$1:$AZ$415,$D27,MATCH(AE$5,MTInputs!$J$5:$AZ$5,0))</f>
        <v/>
      </c>
      <c r="AG27" s="11">
        <f>CodePrefix&amp;$A27&amp;IF($C27="","","."&amp;$C27&amp;"."&amp;$B27)&amp;INDEX(VarEnd,MATCH($A27,VarKey,0))&amp;AG$5</f>
        <v/>
      </c>
      <c r="AH27" s="23">
        <f>INDEX(MTInputs!$J$1:$AZ$415,$D27,MATCH(AH$5,MTInputs!$J$5:$AZ$5,0))</f>
        <v/>
      </c>
      <c r="AI27" s="24">
        <f>INDEX(MTInputs!$J$1:$AZ$415,$D27,MATCH(AI$5,MTInputs!$J$5:$AZ$5,0))</f>
        <v/>
      </c>
      <c r="AJ27" s="24">
        <f>INDEX(MTInputs!$J$1:$AZ$415,$D27,MATCH(AJ$5,MTInputs!$J$5:$AZ$5,0))</f>
        <v/>
      </c>
      <c r="AK27" s="24">
        <f>INDEX(MTInputs!$J$1:$AZ$415,$D27,MATCH(AK$5,MTInputs!$J$5:$AZ$5,0))</f>
        <v/>
      </c>
      <c r="AL27" s="24">
        <f>INDEX(MTInputs!$J$1:$AZ$415,$D27,MATCH(AL$5,MTInputs!$J$5:$AZ$5,0))</f>
        <v/>
      </c>
      <c r="AM27" s="24">
        <f>INDEX(MTInputs!$J$1:$AZ$415,$D27,MATCH(AM$5,MTInputs!$J$5:$AZ$5,0))</f>
        <v/>
      </c>
      <c r="AN27" s="24">
        <f>INDEX(MTInputs!$J$1:$AZ$415,$D27,MATCH(AN$5,MTInputs!$J$5:$AZ$5,0))</f>
        <v/>
      </c>
      <c r="AO27" s="24">
        <f>INDEX(MTInputs!$J$1:$AZ$415,$D27,MATCH(AO$5,MTInputs!$J$5:$AZ$5,0))</f>
        <v/>
      </c>
      <c r="AP27" s="24">
        <f>INDEX(MTInputs!$J$1:$AZ$415,$D27,MATCH(AP$5,MTInputs!$J$5:$AZ$5,0))</f>
        <v/>
      </c>
      <c r="AQ27" s="24">
        <f>INDEX(MTInputs!$J$1:$AZ$415,$D27,MATCH(AQ$5,MTInputs!$J$5:$AZ$5,0))</f>
        <v/>
      </c>
      <c r="AR27" s="24">
        <f>INDEX(MTInputs!$J$1:$AZ$415,$D27,MATCH(AR$5,MTInputs!$J$5:$AZ$5,0))</f>
        <v/>
      </c>
      <c r="AS27" s="24">
        <f>INDEX(MTInputs!$J$1:$AZ$415,$D27,MATCH(AS$5,MTInputs!$J$5:$AZ$5,0))</f>
        <v/>
      </c>
      <c r="AT27" s="24">
        <f>INDEX(MTInputs!$J$1:$AZ$415,$D27,MATCH(AT$5,MTInputs!$J$5:$AZ$5,0))</f>
        <v/>
      </c>
      <c r="AU27" s="24">
        <f>INDEX(MTInputs!$J$1:$AZ$415,$D27,MATCH(AU$5,MTInputs!$J$5:$AZ$5,0))</f>
        <v/>
      </c>
      <c r="AV27" s="24">
        <f>INDEX(MTInputs!$J$1:$AZ$415,$D27,MATCH(AV$5,MTInputs!$J$5:$AZ$5,0))</f>
        <v/>
      </c>
      <c r="AW27" s="24">
        <f>INDEX(MTInputs!$J$1:$AZ$415,$D27,MATCH(AW$5,MTInputs!$J$5:$AZ$5,0))</f>
        <v/>
      </c>
      <c r="AX27" s="24">
        <f>INDEX(MTInputs!$J$1:$AZ$415,$D27,MATCH(AX$5,MTInputs!$J$5:$AZ$5,0))</f>
        <v/>
      </c>
      <c r="AY27" s="24">
        <f>INDEX(MTInputs!$J$1:$AZ$415,$D27,MATCH(AY$5,MTInputs!$J$5:$AZ$5,0))</f>
        <v/>
      </c>
      <c r="AZ27" s="24">
        <f>INDEX(MTInputs!$J$1:$AZ$415,$D27,MATCH(AZ$5,MTInputs!$J$5:$AZ$5,0))</f>
        <v/>
      </c>
      <c r="BA27" s="24">
        <f>INDEX(MTInputs!$J$1:$AZ$415,$D27,MATCH(BA$5,MTInputs!$J$5:$AZ$5,0))</f>
        <v/>
      </c>
    </row>
    <row r="28" hidden="1" outlineLevel="1">
      <c r="A28" s="14" t="inlineStr">
        <is>
          <t>ctcov</t>
        </is>
      </c>
      <c r="B28" s="14" t="inlineStr">
        <is>
          <t>ker</t>
        </is>
      </c>
      <c r="C28" s="14" t="inlineStr">
        <is>
          <t>all</t>
        </is>
      </c>
      <c r="D28" s="22" t="n">
        <v>28</v>
      </c>
      <c r="H28" s="14">
        <f>INDEX(VarLab,MATCH($A28,VarKey,0))&amp;INDEX(MemLab,MATCH($C28&amp;"|"&amp;$B28,MemKey,0))</f>
        <v/>
      </c>
      <c r="I28" s="14">
        <f>INDEX(VarUnit,MATCH($A28,VarKey,0))</f>
        <v/>
      </c>
      <c r="J28" s="14">
        <f>INDEX(VarSrc,MATCH($A28,VarKey,0))</f>
        <v/>
      </c>
      <c r="K28" s="11">
        <f>CodePrefix&amp;$A28&amp;IF($C28="","","."&amp;$C28&amp;"."&amp;$B28)&amp;INDEX(VarEnd,MATCH($A28,VarKey,0))&amp;K$5</f>
        <v/>
      </c>
      <c r="L28" s="23">
        <f>INDEX(MTInputs!$J$1:$AZ$415,$D28,MATCH(L$5,MTInputs!$J$5:$AZ$5,0))</f>
        <v/>
      </c>
      <c r="M28" s="24">
        <f>INDEX(MTInputs!$J$1:$AZ$415,$D28,MATCH(M$5,MTInputs!$J$5:$AZ$5,0))</f>
        <v/>
      </c>
      <c r="N28" s="24">
        <f>INDEX(MTInputs!$J$1:$AZ$415,$D28,MATCH(N$5,MTInputs!$J$5:$AZ$5,0))</f>
        <v/>
      </c>
      <c r="O28" s="24">
        <f>INDEX(MTInputs!$J$1:$AZ$415,$D28,MATCH(O$5,MTInputs!$J$5:$AZ$5,0))</f>
        <v/>
      </c>
      <c r="P28" s="24">
        <f>INDEX(MTInputs!$J$1:$AZ$415,$D28,MATCH(P$5,MTInputs!$J$5:$AZ$5,0))</f>
        <v/>
      </c>
      <c r="Q28" s="24">
        <f>INDEX(MTInputs!$J$1:$AZ$415,$D28,MATCH(Q$5,MTInputs!$J$5:$AZ$5,0))</f>
        <v/>
      </c>
      <c r="R28" s="24">
        <f>INDEX(MTInputs!$J$1:$AZ$415,$D28,MATCH(R$5,MTInputs!$J$5:$AZ$5,0))</f>
        <v/>
      </c>
      <c r="S28" s="24">
        <f>INDEX(MTInputs!$J$1:$AZ$415,$D28,MATCH(S$5,MTInputs!$J$5:$AZ$5,0))</f>
        <v/>
      </c>
      <c r="T28" s="24">
        <f>INDEX(MTInputs!$J$1:$AZ$415,$D28,MATCH(T$5,MTInputs!$J$5:$AZ$5,0))</f>
        <v/>
      </c>
      <c r="U28" s="24">
        <f>INDEX(MTInputs!$J$1:$AZ$415,$D28,MATCH(U$5,MTInputs!$J$5:$AZ$5,0))</f>
        <v/>
      </c>
      <c r="V28" s="24">
        <f>INDEX(MTInputs!$J$1:$AZ$415,$D28,MATCH(V$5,MTInputs!$J$5:$AZ$5,0))</f>
        <v/>
      </c>
      <c r="W28" s="24">
        <f>INDEX(MTInputs!$J$1:$AZ$415,$D28,MATCH(W$5,MTInputs!$J$5:$AZ$5,0))</f>
        <v/>
      </c>
      <c r="X28" s="24">
        <f>INDEX(MTInputs!$J$1:$AZ$415,$D28,MATCH(X$5,MTInputs!$J$5:$AZ$5,0))</f>
        <v/>
      </c>
      <c r="Y28" s="24">
        <f>INDEX(MTInputs!$J$1:$AZ$415,$D28,MATCH(Y$5,MTInputs!$J$5:$AZ$5,0))</f>
        <v/>
      </c>
      <c r="Z28" s="24">
        <f>INDEX(MTInputs!$J$1:$AZ$415,$D28,MATCH(Z$5,MTInputs!$J$5:$AZ$5,0))</f>
        <v/>
      </c>
      <c r="AA28" s="24">
        <f>INDEX(MTInputs!$J$1:$AZ$415,$D28,MATCH(AA$5,MTInputs!$J$5:$AZ$5,0))</f>
        <v/>
      </c>
      <c r="AB28" s="24">
        <f>INDEX(MTInputs!$J$1:$AZ$415,$D28,MATCH(AB$5,MTInputs!$J$5:$AZ$5,0))</f>
        <v/>
      </c>
      <c r="AC28" s="24">
        <f>INDEX(MTInputs!$J$1:$AZ$415,$D28,MATCH(AC$5,MTInputs!$J$5:$AZ$5,0))</f>
        <v/>
      </c>
      <c r="AD28" s="24">
        <f>INDEX(MTInputs!$J$1:$AZ$415,$D28,MATCH(AD$5,MTInputs!$J$5:$AZ$5,0))</f>
        <v/>
      </c>
      <c r="AE28" s="24">
        <f>INDEX(MTInputs!$J$1:$AZ$415,$D28,MATCH(AE$5,MTInputs!$J$5:$AZ$5,0))</f>
        <v/>
      </c>
      <c r="AG28" s="11">
        <f>CodePrefix&amp;$A28&amp;IF($C28="","","."&amp;$C28&amp;"."&amp;$B28)&amp;INDEX(VarEnd,MATCH($A28,VarKey,0))&amp;AG$5</f>
        <v/>
      </c>
      <c r="AH28" s="23">
        <f>INDEX(MTInputs!$J$1:$AZ$415,$D28,MATCH(AH$5,MTInputs!$J$5:$AZ$5,0))</f>
        <v/>
      </c>
      <c r="AI28" s="24">
        <f>INDEX(MTInputs!$J$1:$AZ$415,$D28,MATCH(AI$5,MTInputs!$J$5:$AZ$5,0))</f>
        <v/>
      </c>
      <c r="AJ28" s="24">
        <f>INDEX(MTInputs!$J$1:$AZ$415,$D28,MATCH(AJ$5,MTInputs!$J$5:$AZ$5,0))</f>
        <v/>
      </c>
      <c r="AK28" s="24">
        <f>INDEX(MTInputs!$J$1:$AZ$415,$D28,MATCH(AK$5,MTInputs!$J$5:$AZ$5,0))</f>
        <v/>
      </c>
      <c r="AL28" s="24">
        <f>INDEX(MTInputs!$J$1:$AZ$415,$D28,MATCH(AL$5,MTInputs!$J$5:$AZ$5,0))</f>
        <v/>
      </c>
      <c r="AM28" s="24">
        <f>INDEX(MTInputs!$J$1:$AZ$415,$D28,MATCH(AM$5,MTInputs!$J$5:$AZ$5,0))</f>
        <v/>
      </c>
      <c r="AN28" s="24">
        <f>INDEX(MTInputs!$J$1:$AZ$415,$D28,MATCH(AN$5,MTInputs!$J$5:$AZ$5,0))</f>
        <v/>
      </c>
      <c r="AO28" s="24">
        <f>INDEX(MTInputs!$J$1:$AZ$415,$D28,MATCH(AO$5,MTInputs!$J$5:$AZ$5,0))</f>
        <v/>
      </c>
      <c r="AP28" s="24">
        <f>INDEX(MTInputs!$J$1:$AZ$415,$D28,MATCH(AP$5,MTInputs!$J$5:$AZ$5,0))</f>
        <v/>
      </c>
      <c r="AQ28" s="24">
        <f>INDEX(MTInputs!$J$1:$AZ$415,$D28,MATCH(AQ$5,MTInputs!$J$5:$AZ$5,0))</f>
        <v/>
      </c>
      <c r="AR28" s="24">
        <f>INDEX(MTInputs!$J$1:$AZ$415,$D28,MATCH(AR$5,MTInputs!$J$5:$AZ$5,0))</f>
        <v/>
      </c>
      <c r="AS28" s="24">
        <f>INDEX(MTInputs!$J$1:$AZ$415,$D28,MATCH(AS$5,MTInputs!$J$5:$AZ$5,0))</f>
        <v/>
      </c>
      <c r="AT28" s="24">
        <f>INDEX(MTInputs!$J$1:$AZ$415,$D28,MATCH(AT$5,MTInputs!$J$5:$AZ$5,0))</f>
        <v/>
      </c>
      <c r="AU28" s="24">
        <f>INDEX(MTInputs!$J$1:$AZ$415,$D28,MATCH(AU$5,MTInputs!$J$5:$AZ$5,0))</f>
        <v/>
      </c>
      <c r="AV28" s="24">
        <f>INDEX(MTInputs!$J$1:$AZ$415,$D28,MATCH(AV$5,MTInputs!$J$5:$AZ$5,0))</f>
        <v/>
      </c>
      <c r="AW28" s="24">
        <f>INDEX(MTInputs!$J$1:$AZ$415,$D28,MATCH(AW$5,MTInputs!$J$5:$AZ$5,0))</f>
        <v/>
      </c>
      <c r="AX28" s="24">
        <f>INDEX(MTInputs!$J$1:$AZ$415,$D28,MATCH(AX$5,MTInputs!$J$5:$AZ$5,0))</f>
        <v/>
      </c>
      <c r="AY28" s="24">
        <f>INDEX(MTInputs!$J$1:$AZ$415,$D28,MATCH(AY$5,MTInputs!$J$5:$AZ$5,0))</f>
        <v/>
      </c>
      <c r="AZ28" s="24">
        <f>INDEX(MTInputs!$J$1:$AZ$415,$D28,MATCH(AZ$5,MTInputs!$J$5:$AZ$5,0))</f>
        <v/>
      </c>
      <c r="BA28" s="24">
        <f>INDEX(MTInputs!$J$1:$AZ$415,$D28,MATCH(BA$5,MTInputs!$J$5:$AZ$5,0))</f>
        <v/>
      </c>
    </row>
    <row r="29" hidden="1" outlineLevel="1">
      <c r="A29" s="14" t="inlineStr">
        <is>
          <t>ctcov</t>
        </is>
      </c>
      <c r="B29" s="14" t="inlineStr">
        <is>
          <t>oop</t>
        </is>
      </c>
      <c r="C29" s="14" t="inlineStr">
        <is>
          <t>all</t>
        </is>
      </c>
      <c r="D29" s="22" t="n">
        <v>29</v>
      </c>
      <c r="H29" s="14">
        <f>INDEX(VarLab,MATCH($A29,VarKey,0))&amp;INDEX(MemLab,MATCH($C29&amp;"|"&amp;$B29,MemKey,0))</f>
        <v/>
      </c>
      <c r="I29" s="14">
        <f>INDEX(VarUnit,MATCH($A29,VarKey,0))</f>
        <v/>
      </c>
      <c r="J29" s="14">
        <f>INDEX(VarSrc,MATCH($A29,VarKey,0))</f>
        <v/>
      </c>
      <c r="K29" s="11">
        <f>CodePrefix&amp;$A29&amp;IF($C29="","","."&amp;$C29&amp;"."&amp;$B29)&amp;INDEX(VarEnd,MATCH($A29,VarKey,0))&amp;K$5</f>
        <v/>
      </c>
      <c r="L29" s="23">
        <f>INDEX(MTInputs!$J$1:$AZ$415,$D29,MATCH(L$5,MTInputs!$J$5:$AZ$5,0))</f>
        <v/>
      </c>
      <c r="M29" s="24">
        <f>INDEX(MTInputs!$J$1:$AZ$415,$D29,MATCH(M$5,MTInputs!$J$5:$AZ$5,0))</f>
        <v/>
      </c>
      <c r="N29" s="24">
        <f>INDEX(MTInputs!$J$1:$AZ$415,$D29,MATCH(N$5,MTInputs!$J$5:$AZ$5,0))</f>
        <v/>
      </c>
      <c r="O29" s="24">
        <f>INDEX(MTInputs!$J$1:$AZ$415,$D29,MATCH(O$5,MTInputs!$J$5:$AZ$5,0))</f>
        <v/>
      </c>
      <c r="P29" s="24">
        <f>INDEX(MTInputs!$J$1:$AZ$415,$D29,MATCH(P$5,MTInputs!$J$5:$AZ$5,0))</f>
        <v/>
      </c>
      <c r="Q29" s="24">
        <f>INDEX(MTInputs!$J$1:$AZ$415,$D29,MATCH(Q$5,MTInputs!$J$5:$AZ$5,0))</f>
        <v/>
      </c>
      <c r="R29" s="24">
        <f>INDEX(MTInputs!$J$1:$AZ$415,$D29,MATCH(R$5,MTInputs!$J$5:$AZ$5,0))</f>
        <v/>
      </c>
      <c r="S29" s="24">
        <f>INDEX(MTInputs!$J$1:$AZ$415,$D29,MATCH(S$5,MTInputs!$J$5:$AZ$5,0))</f>
        <v/>
      </c>
      <c r="T29" s="24">
        <f>INDEX(MTInputs!$J$1:$AZ$415,$D29,MATCH(T$5,MTInputs!$J$5:$AZ$5,0))</f>
        <v/>
      </c>
      <c r="U29" s="24">
        <f>INDEX(MTInputs!$J$1:$AZ$415,$D29,MATCH(U$5,MTInputs!$J$5:$AZ$5,0))</f>
        <v/>
      </c>
      <c r="V29" s="24">
        <f>INDEX(MTInputs!$J$1:$AZ$415,$D29,MATCH(V$5,MTInputs!$J$5:$AZ$5,0))</f>
        <v/>
      </c>
      <c r="W29" s="24">
        <f>INDEX(MTInputs!$J$1:$AZ$415,$D29,MATCH(W$5,MTInputs!$J$5:$AZ$5,0))</f>
        <v/>
      </c>
      <c r="X29" s="24">
        <f>INDEX(MTInputs!$J$1:$AZ$415,$D29,MATCH(X$5,MTInputs!$J$5:$AZ$5,0))</f>
        <v/>
      </c>
      <c r="Y29" s="24">
        <f>INDEX(MTInputs!$J$1:$AZ$415,$D29,MATCH(Y$5,MTInputs!$J$5:$AZ$5,0))</f>
        <v/>
      </c>
      <c r="Z29" s="24">
        <f>INDEX(MTInputs!$J$1:$AZ$415,$D29,MATCH(Z$5,MTInputs!$J$5:$AZ$5,0))</f>
        <v/>
      </c>
      <c r="AA29" s="24">
        <f>INDEX(MTInputs!$J$1:$AZ$415,$D29,MATCH(AA$5,MTInputs!$J$5:$AZ$5,0))</f>
        <v/>
      </c>
      <c r="AB29" s="24">
        <f>INDEX(MTInputs!$J$1:$AZ$415,$D29,MATCH(AB$5,MTInputs!$J$5:$AZ$5,0))</f>
        <v/>
      </c>
      <c r="AC29" s="24">
        <f>INDEX(MTInputs!$J$1:$AZ$415,$D29,MATCH(AC$5,MTInputs!$J$5:$AZ$5,0))</f>
        <v/>
      </c>
      <c r="AD29" s="24">
        <f>INDEX(MTInputs!$J$1:$AZ$415,$D29,MATCH(AD$5,MTInputs!$J$5:$AZ$5,0))</f>
        <v/>
      </c>
      <c r="AE29" s="24">
        <f>INDEX(MTInputs!$J$1:$AZ$415,$D29,MATCH(AE$5,MTInputs!$J$5:$AZ$5,0))</f>
        <v/>
      </c>
      <c r="AG29" s="11">
        <f>CodePrefix&amp;$A29&amp;IF($C29="","","."&amp;$C29&amp;"."&amp;$B29)&amp;INDEX(VarEnd,MATCH($A29,VarKey,0))&amp;AG$5</f>
        <v/>
      </c>
      <c r="AH29" s="23">
        <f>INDEX(MTInputs!$J$1:$AZ$415,$D29,MATCH(AH$5,MTInputs!$J$5:$AZ$5,0))</f>
        <v/>
      </c>
      <c r="AI29" s="24">
        <f>INDEX(MTInputs!$J$1:$AZ$415,$D29,MATCH(AI$5,MTInputs!$J$5:$AZ$5,0))</f>
        <v/>
      </c>
      <c r="AJ29" s="24">
        <f>INDEX(MTInputs!$J$1:$AZ$415,$D29,MATCH(AJ$5,MTInputs!$J$5:$AZ$5,0))</f>
        <v/>
      </c>
      <c r="AK29" s="24">
        <f>INDEX(MTInputs!$J$1:$AZ$415,$D29,MATCH(AK$5,MTInputs!$J$5:$AZ$5,0))</f>
        <v/>
      </c>
      <c r="AL29" s="24">
        <f>INDEX(MTInputs!$J$1:$AZ$415,$D29,MATCH(AL$5,MTInputs!$J$5:$AZ$5,0))</f>
        <v/>
      </c>
      <c r="AM29" s="24">
        <f>INDEX(MTInputs!$J$1:$AZ$415,$D29,MATCH(AM$5,MTInputs!$J$5:$AZ$5,0))</f>
        <v/>
      </c>
      <c r="AN29" s="24">
        <f>INDEX(MTInputs!$J$1:$AZ$415,$D29,MATCH(AN$5,MTInputs!$J$5:$AZ$5,0))</f>
        <v/>
      </c>
      <c r="AO29" s="24">
        <f>INDEX(MTInputs!$J$1:$AZ$415,$D29,MATCH(AO$5,MTInputs!$J$5:$AZ$5,0))</f>
        <v/>
      </c>
      <c r="AP29" s="24">
        <f>INDEX(MTInputs!$J$1:$AZ$415,$D29,MATCH(AP$5,MTInputs!$J$5:$AZ$5,0))</f>
        <v/>
      </c>
      <c r="AQ29" s="24">
        <f>INDEX(MTInputs!$J$1:$AZ$415,$D29,MATCH(AQ$5,MTInputs!$J$5:$AZ$5,0))</f>
        <v/>
      </c>
      <c r="AR29" s="24">
        <f>INDEX(MTInputs!$J$1:$AZ$415,$D29,MATCH(AR$5,MTInputs!$J$5:$AZ$5,0))</f>
        <v/>
      </c>
      <c r="AS29" s="24">
        <f>INDEX(MTInputs!$J$1:$AZ$415,$D29,MATCH(AS$5,MTInputs!$J$5:$AZ$5,0))</f>
        <v/>
      </c>
      <c r="AT29" s="24">
        <f>INDEX(MTInputs!$J$1:$AZ$415,$D29,MATCH(AT$5,MTInputs!$J$5:$AZ$5,0))</f>
        <v/>
      </c>
      <c r="AU29" s="24">
        <f>INDEX(MTInputs!$J$1:$AZ$415,$D29,MATCH(AU$5,MTInputs!$J$5:$AZ$5,0))</f>
        <v/>
      </c>
      <c r="AV29" s="24">
        <f>INDEX(MTInputs!$J$1:$AZ$415,$D29,MATCH(AV$5,MTInputs!$J$5:$AZ$5,0))</f>
        <v/>
      </c>
      <c r="AW29" s="24">
        <f>INDEX(MTInputs!$J$1:$AZ$415,$D29,MATCH(AW$5,MTInputs!$J$5:$AZ$5,0))</f>
        <v/>
      </c>
      <c r="AX29" s="24">
        <f>INDEX(MTInputs!$J$1:$AZ$415,$D29,MATCH(AX$5,MTInputs!$J$5:$AZ$5,0))</f>
        <v/>
      </c>
      <c r="AY29" s="24">
        <f>INDEX(MTInputs!$J$1:$AZ$415,$D29,MATCH(AY$5,MTInputs!$J$5:$AZ$5,0))</f>
        <v/>
      </c>
      <c r="AZ29" s="24">
        <f>INDEX(MTInputs!$J$1:$AZ$415,$D29,MATCH(AZ$5,MTInputs!$J$5:$AZ$5,0))</f>
        <v/>
      </c>
      <c r="BA29" s="24">
        <f>INDEX(MTInputs!$J$1:$AZ$415,$D29,MATCH(BA$5,MTInputs!$J$5:$AZ$5,0))</f>
        <v/>
      </c>
    </row>
    <row r="30" hidden="1" outlineLevel="1">
      <c r="A30" s="14" t="inlineStr">
        <is>
          <t>ctcov</t>
        </is>
      </c>
      <c r="B30" s="14" t="inlineStr">
        <is>
          <t>bio</t>
        </is>
      </c>
      <c r="C30" s="14" t="inlineStr">
        <is>
          <t>all</t>
        </is>
      </c>
      <c r="H30" s="14">
        <f>INDEX(VarLab,MATCH($A30,VarKey,0))&amp;INDEX(MemLab,MATCH($C30&amp;"|"&amp;$B30,MemKey,0))</f>
        <v/>
      </c>
      <c r="I30" s="14">
        <f>INDEX(VarUnit,MATCH($A30,VarKey,0))</f>
        <v/>
      </c>
      <c r="J30" s="14">
        <f>INDEX(VarSrc,MATCH($A30,VarKey,0))</f>
        <v/>
      </c>
      <c r="K30" s="11">
        <f>CodePrefix&amp;$A30&amp;IF($C30="","","."&amp;$C30&amp;"."&amp;$B30)&amp;INDEX(VarEnd,MATCH($A30,VarKey,0))&amp;K$5</f>
        <v/>
      </c>
      <c r="L30" s="22" t="b">
        <v>1</v>
      </c>
      <c r="M30" s="22" t="b">
        <v>1</v>
      </c>
      <c r="N30" s="22" t="b">
        <v>1</v>
      </c>
      <c r="O30" s="22" t="b">
        <v>1</v>
      </c>
      <c r="P30" s="22" t="b">
        <v>1</v>
      </c>
      <c r="Q30" s="22" t="b">
        <v>1</v>
      </c>
      <c r="R30" s="22" t="b">
        <v>1</v>
      </c>
      <c r="S30" s="22" t="b">
        <v>1</v>
      </c>
      <c r="T30" s="22" t="b">
        <v>1</v>
      </c>
      <c r="U30" s="22" t="b">
        <v>1</v>
      </c>
      <c r="V30" s="22" t="b">
        <v>1</v>
      </c>
      <c r="W30" s="22" t="b">
        <v>1</v>
      </c>
      <c r="X30" s="22" t="b">
        <v>1</v>
      </c>
      <c r="Y30" s="22" t="b">
        <v>1</v>
      </c>
      <c r="Z30" s="22" t="b">
        <v>1</v>
      </c>
      <c r="AA30" s="22" t="b">
        <v>1</v>
      </c>
      <c r="AB30" s="22" t="b">
        <v>1</v>
      </c>
      <c r="AC30" s="22" t="b">
        <v>1</v>
      </c>
      <c r="AD30" s="22" t="b">
        <v>1</v>
      </c>
      <c r="AE30" s="22" t="b">
        <v>1</v>
      </c>
      <c r="AG30" s="11">
        <f>CodePrefix&amp;$A30&amp;IF($C30="","","."&amp;$C30&amp;"."&amp;$B30)&amp;INDEX(VarEnd,MATCH($A30,VarKey,0))&amp;AG$5</f>
        <v/>
      </c>
      <c r="AH30" s="22" t="b">
        <v>1</v>
      </c>
      <c r="AI30" s="22" t="b">
        <v>1</v>
      </c>
      <c r="AJ30" s="22" t="b">
        <v>1</v>
      </c>
      <c r="AK30" s="22" t="b">
        <v>1</v>
      </c>
      <c r="AL30" s="22" t="b">
        <v>1</v>
      </c>
      <c r="AM30" s="22" t="b">
        <v>1</v>
      </c>
      <c r="AN30" s="22" t="b">
        <v>1</v>
      </c>
      <c r="AO30" s="22" t="b">
        <v>1</v>
      </c>
      <c r="AP30" s="22" t="b">
        <v>1</v>
      </c>
      <c r="AQ30" s="22" t="b">
        <v>1</v>
      </c>
      <c r="AR30" s="22" t="b">
        <v>1</v>
      </c>
      <c r="AS30" s="22" t="b">
        <v>1</v>
      </c>
      <c r="AT30" s="22" t="b">
        <v>1</v>
      </c>
      <c r="AU30" s="22" t="b">
        <v>1</v>
      </c>
      <c r="AV30" s="22" t="b">
        <v>1</v>
      </c>
      <c r="AW30" s="22" t="b">
        <v>1</v>
      </c>
      <c r="AX30" s="22" t="b">
        <v>1</v>
      </c>
      <c r="AY30" s="22" t="b">
        <v>1</v>
      </c>
      <c r="AZ30" s="22" t="b">
        <v>1</v>
      </c>
      <c r="BA30" s="22" t="b">
        <v>1</v>
      </c>
    </row>
    <row r="31" hidden="1" outlineLevel="1">
      <c r="H31" s="21" t="inlineStr">
        <is>
          <t>Carbon tax coverage: sectors (MTInputs rows 31-47)</t>
        </is>
      </c>
    </row>
    <row r="32" hidden="1" outlineLevel="1">
      <c r="A32" s="14" t="inlineStr">
        <is>
          <t>ctcov</t>
        </is>
      </c>
      <c r="B32" s="14" t="inlineStr">
        <is>
          <t>all</t>
        </is>
      </c>
      <c r="C32" s="14" t="inlineStr">
        <is>
          <t>pow</t>
        </is>
      </c>
      <c r="D32" s="22" t="n">
        <v>31</v>
      </c>
      <c r="H32" s="14">
        <f>INDEX(VarLab,MATCH($A32,VarKey,0))&amp;INDEX(MemLab,MATCH($C32&amp;"|"&amp;$B32,MemKey,0))</f>
        <v/>
      </c>
      <c r="I32" s="14">
        <f>INDEX(VarUnit,MATCH($A32,VarKey,0))</f>
        <v/>
      </c>
      <c r="J32" s="14">
        <f>INDEX(VarSrc,MATCH($A32,VarKey,0))</f>
        <v/>
      </c>
      <c r="K32" s="11">
        <f>CodePrefix&amp;$A32&amp;IF($C32="","","."&amp;$C32&amp;"."&amp;$B32)&amp;INDEX(VarEnd,MATCH($A32,VarKey,0))&amp;K$5</f>
        <v/>
      </c>
      <c r="L32" s="23">
        <f>INDEX(MTInputs!$J$1:$AZ$415,$D32,MATCH(L$5,MTInputs!$J$5:$AZ$5,0))</f>
        <v/>
      </c>
      <c r="M32" s="24">
        <f>INDEX(MTInputs!$J$1:$AZ$415,$D32,MATCH(M$5,MTInputs!$J$5:$AZ$5,0))</f>
        <v/>
      </c>
      <c r="N32" s="24">
        <f>INDEX(MTInputs!$J$1:$AZ$415,$D32,MATCH(N$5,MTInputs!$J$5:$AZ$5,0))</f>
        <v/>
      </c>
      <c r="O32" s="24">
        <f>INDEX(MTInputs!$J$1:$AZ$415,$D32,MATCH(O$5,MTInputs!$J$5:$AZ$5,0))</f>
        <v/>
      </c>
      <c r="P32" s="24">
        <f>INDEX(MTInputs!$J$1:$AZ$415,$D32,MATCH(P$5,MTInputs!$J$5:$AZ$5,0))</f>
        <v/>
      </c>
      <c r="Q32" s="24">
        <f>INDEX(MTInputs!$J$1:$AZ$415,$D32,MATCH(Q$5,MTInputs!$J$5:$AZ$5,0))</f>
        <v/>
      </c>
      <c r="R32" s="24">
        <f>INDEX(MTInputs!$J$1:$AZ$415,$D32,MATCH(R$5,MTInputs!$J$5:$AZ$5,0))</f>
        <v/>
      </c>
      <c r="S32" s="24">
        <f>INDEX(MTInputs!$J$1:$AZ$415,$D32,MATCH(S$5,MTInputs!$J$5:$AZ$5,0))</f>
        <v/>
      </c>
      <c r="T32" s="24">
        <f>INDEX(MTInputs!$J$1:$AZ$415,$D32,MATCH(T$5,MTInputs!$J$5:$AZ$5,0))</f>
        <v/>
      </c>
      <c r="U32" s="24">
        <f>INDEX(MTInputs!$J$1:$AZ$415,$D32,MATCH(U$5,MTInputs!$J$5:$AZ$5,0))</f>
        <v/>
      </c>
      <c r="V32" s="24">
        <f>INDEX(MTInputs!$J$1:$AZ$415,$D32,MATCH(V$5,MTInputs!$J$5:$AZ$5,0))</f>
        <v/>
      </c>
      <c r="W32" s="24">
        <f>INDEX(MTInputs!$J$1:$AZ$415,$D32,MATCH(W$5,MTInputs!$J$5:$AZ$5,0))</f>
        <v/>
      </c>
      <c r="X32" s="24">
        <f>INDEX(MTInputs!$J$1:$AZ$415,$D32,MATCH(X$5,MTInputs!$J$5:$AZ$5,0))</f>
        <v/>
      </c>
      <c r="Y32" s="24">
        <f>INDEX(MTInputs!$J$1:$AZ$415,$D32,MATCH(Y$5,MTInputs!$J$5:$AZ$5,0))</f>
        <v/>
      </c>
      <c r="Z32" s="24">
        <f>INDEX(MTInputs!$J$1:$AZ$415,$D32,MATCH(Z$5,MTInputs!$J$5:$AZ$5,0))</f>
        <v/>
      </c>
      <c r="AA32" s="24">
        <f>INDEX(MTInputs!$J$1:$AZ$415,$D32,MATCH(AA$5,MTInputs!$J$5:$AZ$5,0))</f>
        <v/>
      </c>
      <c r="AB32" s="24">
        <f>INDEX(MTInputs!$J$1:$AZ$415,$D32,MATCH(AB$5,MTInputs!$J$5:$AZ$5,0))</f>
        <v/>
      </c>
      <c r="AC32" s="24">
        <f>INDEX(MTInputs!$J$1:$AZ$415,$D32,MATCH(AC$5,MTInputs!$J$5:$AZ$5,0))</f>
        <v/>
      </c>
      <c r="AD32" s="24">
        <f>INDEX(MTInputs!$J$1:$AZ$415,$D32,MATCH(AD$5,MTInputs!$J$5:$AZ$5,0))</f>
        <v/>
      </c>
      <c r="AE32" s="24">
        <f>INDEX(MTInputs!$J$1:$AZ$415,$D32,MATCH(AE$5,MTInputs!$J$5:$AZ$5,0))</f>
        <v/>
      </c>
      <c r="AG32" s="11">
        <f>CodePrefix&amp;$A32&amp;IF($C32="","","."&amp;$C32&amp;"."&amp;$B32)&amp;INDEX(VarEnd,MATCH($A32,VarKey,0))&amp;AG$5</f>
        <v/>
      </c>
      <c r="AH32" s="23">
        <f>INDEX(MTInputs!$J$1:$AZ$415,$D32,MATCH(AH$5,MTInputs!$J$5:$AZ$5,0))</f>
        <v/>
      </c>
      <c r="AI32" s="24">
        <f>INDEX(MTInputs!$J$1:$AZ$415,$D32,MATCH(AI$5,MTInputs!$J$5:$AZ$5,0))</f>
        <v/>
      </c>
      <c r="AJ32" s="24">
        <f>INDEX(MTInputs!$J$1:$AZ$415,$D32,MATCH(AJ$5,MTInputs!$J$5:$AZ$5,0))</f>
        <v/>
      </c>
      <c r="AK32" s="24">
        <f>INDEX(MTInputs!$J$1:$AZ$415,$D32,MATCH(AK$5,MTInputs!$J$5:$AZ$5,0))</f>
        <v/>
      </c>
      <c r="AL32" s="24">
        <f>INDEX(MTInputs!$J$1:$AZ$415,$D32,MATCH(AL$5,MTInputs!$J$5:$AZ$5,0))</f>
        <v/>
      </c>
      <c r="AM32" s="24">
        <f>INDEX(MTInputs!$J$1:$AZ$415,$D32,MATCH(AM$5,MTInputs!$J$5:$AZ$5,0))</f>
        <v/>
      </c>
      <c r="AN32" s="24">
        <f>INDEX(MTInputs!$J$1:$AZ$415,$D32,MATCH(AN$5,MTInputs!$J$5:$AZ$5,0))</f>
        <v/>
      </c>
      <c r="AO32" s="24">
        <f>INDEX(MTInputs!$J$1:$AZ$415,$D32,MATCH(AO$5,MTInputs!$J$5:$AZ$5,0))</f>
        <v/>
      </c>
      <c r="AP32" s="24">
        <f>INDEX(MTInputs!$J$1:$AZ$415,$D32,MATCH(AP$5,MTInputs!$J$5:$AZ$5,0))</f>
        <v/>
      </c>
      <c r="AQ32" s="24">
        <f>INDEX(MTInputs!$J$1:$AZ$415,$D32,MATCH(AQ$5,MTInputs!$J$5:$AZ$5,0))</f>
        <v/>
      </c>
      <c r="AR32" s="24">
        <f>INDEX(MTInputs!$J$1:$AZ$415,$D32,MATCH(AR$5,MTInputs!$J$5:$AZ$5,0))</f>
        <v/>
      </c>
      <c r="AS32" s="24">
        <f>INDEX(MTInputs!$J$1:$AZ$415,$D32,MATCH(AS$5,MTInputs!$J$5:$AZ$5,0))</f>
        <v/>
      </c>
      <c r="AT32" s="24">
        <f>INDEX(MTInputs!$J$1:$AZ$415,$D32,MATCH(AT$5,MTInputs!$J$5:$AZ$5,0))</f>
        <v/>
      </c>
      <c r="AU32" s="24">
        <f>INDEX(MTInputs!$J$1:$AZ$415,$D32,MATCH(AU$5,MTInputs!$J$5:$AZ$5,0))</f>
        <v/>
      </c>
      <c r="AV32" s="24">
        <f>INDEX(MTInputs!$J$1:$AZ$415,$D32,MATCH(AV$5,MTInputs!$J$5:$AZ$5,0))</f>
        <v/>
      </c>
      <c r="AW32" s="24">
        <f>INDEX(MTInputs!$J$1:$AZ$415,$D32,MATCH(AW$5,MTInputs!$J$5:$AZ$5,0))</f>
        <v/>
      </c>
      <c r="AX32" s="24">
        <f>INDEX(MTInputs!$J$1:$AZ$415,$D32,MATCH(AX$5,MTInputs!$J$5:$AZ$5,0))</f>
        <v/>
      </c>
      <c r="AY32" s="24">
        <f>INDEX(MTInputs!$J$1:$AZ$415,$D32,MATCH(AY$5,MTInputs!$J$5:$AZ$5,0))</f>
        <v/>
      </c>
      <c r="AZ32" s="24">
        <f>INDEX(MTInputs!$J$1:$AZ$415,$D32,MATCH(AZ$5,MTInputs!$J$5:$AZ$5,0))</f>
        <v/>
      </c>
      <c r="BA32" s="24">
        <f>INDEX(MTInputs!$J$1:$AZ$415,$D32,MATCH(BA$5,MTInputs!$J$5:$AZ$5,0))</f>
        <v/>
      </c>
    </row>
    <row r="33" hidden="1" outlineLevel="1">
      <c r="A33" s="14" t="inlineStr">
        <is>
          <t>ctcov</t>
        </is>
      </c>
      <c r="B33" s="14" t="inlineStr">
        <is>
          <t>all</t>
        </is>
      </c>
      <c r="C33" s="14" t="inlineStr">
        <is>
          <t>rod</t>
        </is>
      </c>
      <c r="D33" s="22" t="n">
        <v>32</v>
      </c>
      <c r="H33" s="14">
        <f>INDEX(VarLab,MATCH($A33,VarKey,0))&amp;INDEX(MemLab,MATCH($C33&amp;"|"&amp;$B33,MemKey,0))</f>
        <v/>
      </c>
      <c r="I33" s="14">
        <f>INDEX(VarUnit,MATCH($A33,VarKey,0))</f>
        <v/>
      </c>
      <c r="J33" s="14">
        <f>INDEX(VarSrc,MATCH($A33,VarKey,0))</f>
        <v/>
      </c>
      <c r="K33" s="11">
        <f>CodePrefix&amp;$A33&amp;IF($C33="","","."&amp;$C33&amp;"."&amp;$B33)&amp;INDEX(VarEnd,MATCH($A33,VarKey,0))&amp;K$5</f>
        <v/>
      </c>
      <c r="L33" s="23">
        <f>INDEX(MTInputs!$J$1:$AZ$415,$D33,MATCH(L$5,MTInputs!$J$5:$AZ$5,0))</f>
        <v/>
      </c>
      <c r="M33" s="24">
        <f>INDEX(MTInputs!$J$1:$AZ$415,$D33,MATCH(M$5,MTInputs!$J$5:$AZ$5,0))</f>
        <v/>
      </c>
      <c r="N33" s="24">
        <f>INDEX(MTInputs!$J$1:$AZ$415,$D33,MATCH(N$5,MTInputs!$J$5:$AZ$5,0))</f>
        <v/>
      </c>
      <c r="O33" s="24">
        <f>INDEX(MTInputs!$J$1:$AZ$415,$D33,MATCH(O$5,MTInputs!$J$5:$AZ$5,0))</f>
        <v/>
      </c>
      <c r="P33" s="24">
        <f>INDEX(MTInputs!$J$1:$AZ$415,$D33,MATCH(P$5,MTInputs!$J$5:$AZ$5,0))</f>
        <v/>
      </c>
      <c r="Q33" s="24">
        <f>INDEX(MTInputs!$J$1:$AZ$415,$D33,MATCH(Q$5,MTInputs!$J$5:$AZ$5,0))</f>
        <v/>
      </c>
      <c r="R33" s="24">
        <f>INDEX(MTInputs!$J$1:$AZ$415,$D33,MATCH(R$5,MTInputs!$J$5:$AZ$5,0))</f>
        <v/>
      </c>
      <c r="S33" s="24">
        <f>INDEX(MTInputs!$J$1:$AZ$415,$D33,MATCH(S$5,MTInputs!$J$5:$AZ$5,0))</f>
        <v/>
      </c>
      <c r="T33" s="24">
        <f>INDEX(MTInputs!$J$1:$AZ$415,$D33,MATCH(T$5,MTInputs!$J$5:$AZ$5,0))</f>
        <v/>
      </c>
      <c r="U33" s="24">
        <f>INDEX(MTInputs!$J$1:$AZ$415,$D33,MATCH(U$5,MTInputs!$J$5:$AZ$5,0))</f>
        <v/>
      </c>
      <c r="V33" s="24">
        <f>INDEX(MTInputs!$J$1:$AZ$415,$D33,MATCH(V$5,MTInputs!$J$5:$AZ$5,0))</f>
        <v/>
      </c>
      <c r="W33" s="24">
        <f>INDEX(MTInputs!$J$1:$AZ$415,$D33,MATCH(W$5,MTInputs!$J$5:$AZ$5,0))</f>
        <v/>
      </c>
      <c r="X33" s="24">
        <f>INDEX(MTInputs!$J$1:$AZ$415,$D33,MATCH(X$5,MTInputs!$J$5:$AZ$5,0))</f>
        <v/>
      </c>
      <c r="Y33" s="24">
        <f>INDEX(MTInputs!$J$1:$AZ$415,$D33,MATCH(Y$5,MTInputs!$J$5:$AZ$5,0))</f>
        <v/>
      </c>
      <c r="Z33" s="24">
        <f>INDEX(MTInputs!$J$1:$AZ$415,$D33,MATCH(Z$5,MTInputs!$J$5:$AZ$5,0))</f>
        <v/>
      </c>
      <c r="AA33" s="24">
        <f>INDEX(MTInputs!$J$1:$AZ$415,$D33,MATCH(AA$5,MTInputs!$J$5:$AZ$5,0))</f>
        <v/>
      </c>
      <c r="AB33" s="24">
        <f>INDEX(MTInputs!$J$1:$AZ$415,$D33,MATCH(AB$5,MTInputs!$J$5:$AZ$5,0))</f>
        <v/>
      </c>
      <c r="AC33" s="24">
        <f>INDEX(MTInputs!$J$1:$AZ$415,$D33,MATCH(AC$5,MTInputs!$J$5:$AZ$5,0))</f>
        <v/>
      </c>
      <c r="AD33" s="24">
        <f>INDEX(MTInputs!$J$1:$AZ$415,$D33,MATCH(AD$5,MTInputs!$J$5:$AZ$5,0))</f>
        <v/>
      </c>
      <c r="AE33" s="24">
        <f>INDEX(MTInputs!$J$1:$AZ$415,$D33,MATCH(AE$5,MTInputs!$J$5:$AZ$5,0))</f>
        <v/>
      </c>
      <c r="AG33" s="11">
        <f>CodePrefix&amp;$A33&amp;IF($C33="","","."&amp;$C33&amp;"."&amp;$B33)&amp;INDEX(VarEnd,MATCH($A33,VarKey,0))&amp;AG$5</f>
        <v/>
      </c>
      <c r="AH33" s="23">
        <f>INDEX(MTInputs!$J$1:$AZ$415,$D33,MATCH(AH$5,MTInputs!$J$5:$AZ$5,0))</f>
        <v/>
      </c>
      <c r="AI33" s="24">
        <f>INDEX(MTInputs!$J$1:$AZ$415,$D33,MATCH(AI$5,MTInputs!$J$5:$AZ$5,0))</f>
        <v/>
      </c>
      <c r="AJ33" s="24">
        <f>INDEX(MTInputs!$J$1:$AZ$415,$D33,MATCH(AJ$5,MTInputs!$J$5:$AZ$5,0))</f>
        <v/>
      </c>
      <c r="AK33" s="24">
        <f>INDEX(MTInputs!$J$1:$AZ$415,$D33,MATCH(AK$5,MTInputs!$J$5:$AZ$5,0))</f>
        <v/>
      </c>
      <c r="AL33" s="24">
        <f>INDEX(MTInputs!$J$1:$AZ$415,$D33,MATCH(AL$5,MTInputs!$J$5:$AZ$5,0))</f>
        <v/>
      </c>
      <c r="AM33" s="24">
        <f>INDEX(MTInputs!$J$1:$AZ$415,$D33,MATCH(AM$5,MTInputs!$J$5:$AZ$5,0))</f>
        <v/>
      </c>
      <c r="AN33" s="24">
        <f>INDEX(MTInputs!$J$1:$AZ$415,$D33,MATCH(AN$5,MTInputs!$J$5:$AZ$5,0))</f>
        <v/>
      </c>
      <c r="AO33" s="24">
        <f>INDEX(MTInputs!$J$1:$AZ$415,$D33,MATCH(AO$5,MTInputs!$J$5:$AZ$5,0))</f>
        <v/>
      </c>
      <c r="AP33" s="24">
        <f>INDEX(MTInputs!$J$1:$AZ$415,$D33,MATCH(AP$5,MTInputs!$J$5:$AZ$5,0))</f>
        <v/>
      </c>
      <c r="AQ33" s="24">
        <f>INDEX(MTInputs!$J$1:$AZ$415,$D33,MATCH(AQ$5,MTInputs!$J$5:$AZ$5,0))</f>
        <v/>
      </c>
      <c r="AR33" s="24">
        <f>INDEX(MTInputs!$J$1:$AZ$415,$D33,MATCH(AR$5,MTInputs!$J$5:$AZ$5,0))</f>
        <v/>
      </c>
      <c r="AS33" s="24">
        <f>INDEX(MTInputs!$J$1:$AZ$415,$D33,MATCH(AS$5,MTInputs!$J$5:$AZ$5,0))</f>
        <v/>
      </c>
      <c r="AT33" s="24">
        <f>INDEX(MTInputs!$J$1:$AZ$415,$D33,MATCH(AT$5,MTInputs!$J$5:$AZ$5,0))</f>
        <v/>
      </c>
      <c r="AU33" s="24">
        <f>INDEX(MTInputs!$J$1:$AZ$415,$D33,MATCH(AU$5,MTInputs!$J$5:$AZ$5,0))</f>
        <v/>
      </c>
      <c r="AV33" s="24">
        <f>INDEX(MTInputs!$J$1:$AZ$415,$D33,MATCH(AV$5,MTInputs!$J$5:$AZ$5,0))</f>
        <v/>
      </c>
      <c r="AW33" s="24">
        <f>INDEX(MTInputs!$J$1:$AZ$415,$D33,MATCH(AW$5,MTInputs!$J$5:$AZ$5,0))</f>
        <v/>
      </c>
      <c r="AX33" s="24">
        <f>INDEX(MTInputs!$J$1:$AZ$415,$D33,MATCH(AX$5,MTInputs!$J$5:$AZ$5,0))</f>
        <v/>
      </c>
      <c r="AY33" s="24">
        <f>INDEX(MTInputs!$J$1:$AZ$415,$D33,MATCH(AY$5,MTInputs!$J$5:$AZ$5,0))</f>
        <v/>
      </c>
      <c r="AZ33" s="24">
        <f>INDEX(MTInputs!$J$1:$AZ$415,$D33,MATCH(AZ$5,MTInputs!$J$5:$AZ$5,0))</f>
        <v/>
      </c>
      <c r="BA33" s="24">
        <f>INDEX(MTInputs!$J$1:$AZ$415,$D33,MATCH(BA$5,MTInputs!$J$5:$AZ$5,0))</f>
        <v/>
      </c>
    </row>
    <row r="34" hidden="1" outlineLevel="1">
      <c r="A34" s="14" t="inlineStr">
        <is>
          <t>ctcov</t>
        </is>
      </c>
      <c r="B34" s="14" t="inlineStr">
        <is>
          <t>all</t>
        </is>
      </c>
      <c r="C34" s="14" t="inlineStr">
        <is>
          <t>ral</t>
        </is>
      </c>
      <c r="D34" s="22" t="n">
        <v>33</v>
      </c>
      <c r="H34" s="14">
        <f>INDEX(VarLab,MATCH($A34,VarKey,0))&amp;INDEX(MemLab,MATCH($C34&amp;"|"&amp;$B34,MemKey,0))</f>
        <v/>
      </c>
      <c r="I34" s="14">
        <f>INDEX(VarUnit,MATCH($A34,VarKey,0))</f>
        <v/>
      </c>
      <c r="J34" s="14">
        <f>INDEX(VarSrc,MATCH($A34,VarKey,0))</f>
        <v/>
      </c>
      <c r="K34" s="11">
        <f>CodePrefix&amp;$A34&amp;IF($C34="","","."&amp;$C34&amp;"."&amp;$B34)&amp;INDEX(VarEnd,MATCH($A34,VarKey,0))&amp;K$5</f>
        <v/>
      </c>
      <c r="L34" s="23">
        <f>INDEX(MTInputs!$J$1:$AZ$415,$D34,MATCH(L$5,MTInputs!$J$5:$AZ$5,0))</f>
        <v/>
      </c>
      <c r="M34" s="24">
        <f>INDEX(MTInputs!$J$1:$AZ$415,$D34,MATCH(M$5,MTInputs!$J$5:$AZ$5,0))</f>
        <v/>
      </c>
      <c r="N34" s="24">
        <f>INDEX(MTInputs!$J$1:$AZ$415,$D34,MATCH(N$5,MTInputs!$J$5:$AZ$5,0))</f>
        <v/>
      </c>
      <c r="O34" s="24">
        <f>INDEX(MTInputs!$J$1:$AZ$415,$D34,MATCH(O$5,MTInputs!$J$5:$AZ$5,0))</f>
        <v/>
      </c>
      <c r="P34" s="24">
        <f>INDEX(MTInputs!$J$1:$AZ$415,$D34,MATCH(P$5,MTInputs!$J$5:$AZ$5,0))</f>
        <v/>
      </c>
      <c r="Q34" s="24">
        <f>INDEX(MTInputs!$J$1:$AZ$415,$D34,MATCH(Q$5,MTInputs!$J$5:$AZ$5,0))</f>
        <v/>
      </c>
      <c r="R34" s="24">
        <f>INDEX(MTInputs!$J$1:$AZ$415,$D34,MATCH(R$5,MTInputs!$J$5:$AZ$5,0))</f>
        <v/>
      </c>
      <c r="S34" s="24">
        <f>INDEX(MTInputs!$J$1:$AZ$415,$D34,MATCH(S$5,MTInputs!$J$5:$AZ$5,0))</f>
        <v/>
      </c>
      <c r="T34" s="24">
        <f>INDEX(MTInputs!$J$1:$AZ$415,$D34,MATCH(T$5,MTInputs!$J$5:$AZ$5,0))</f>
        <v/>
      </c>
      <c r="U34" s="24">
        <f>INDEX(MTInputs!$J$1:$AZ$415,$D34,MATCH(U$5,MTInputs!$J$5:$AZ$5,0))</f>
        <v/>
      </c>
      <c r="V34" s="24">
        <f>INDEX(MTInputs!$J$1:$AZ$415,$D34,MATCH(V$5,MTInputs!$J$5:$AZ$5,0))</f>
        <v/>
      </c>
      <c r="W34" s="24">
        <f>INDEX(MTInputs!$J$1:$AZ$415,$D34,MATCH(W$5,MTInputs!$J$5:$AZ$5,0))</f>
        <v/>
      </c>
      <c r="X34" s="24">
        <f>INDEX(MTInputs!$J$1:$AZ$415,$D34,MATCH(X$5,MTInputs!$J$5:$AZ$5,0))</f>
        <v/>
      </c>
      <c r="Y34" s="24">
        <f>INDEX(MTInputs!$J$1:$AZ$415,$D34,MATCH(Y$5,MTInputs!$J$5:$AZ$5,0))</f>
        <v/>
      </c>
      <c r="Z34" s="24">
        <f>INDEX(MTInputs!$J$1:$AZ$415,$D34,MATCH(Z$5,MTInputs!$J$5:$AZ$5,0))</f>
        <v/>
      </c>
      <c r="AA34" s="24">
        <f>INDEX(MTInputs!$J$1:$AZ$415,$D34,MATCH(AA$5,MTInputs!$J$5:$AZ$5,0))</f>
        <v/>
      </c>
      <c r="AB34" s="24">
        <f>INDEX(MTInputs!$J$1:$AZ$415,$D34,MATCH(AB$5,MTInputs!$J$5:$AZ$5,0))</f>
        <v/>
      </c>
      <c r="AC34" s="24">
        <f>INDEX(MTInputs!$J$1:$AZ$415,$D34,MATCH(AC$5,MTInputs!$J$5:$AZ$5,0))</f>
        <v/>
      </c>
      <c r="AD34" s="24">
        <f>INDEX(MTInputs!$J$1:$AZ$415,$D34,MATCH(AD$5,MTInputs!$J$5:$AZ$5,0))</f>
        <v/>
      </c>
      <c r="AE34" s="24">
        <f>INDEX(MTInputs!$J$1:$AZ$415,$D34,MATCH(AE$5,MTInputs!$J$5:$AZ$5,0))</f>
        <v/>
      </c>
      <c r="AG34" s="11">
        <f>CodePrefix&amp;$A34&amp;IF($C34="","","."&amp;$C34&amp;"."&amp;$B34)&amp;INDEX(VarEnd,MATCH($A34,VarKey,0))&amp;AG$5</f>
        <v/>
      </c>
      <c r="AH34" s="23">
        <f>INDEX(MTInputs!$J$1:$AZ$415,$D34,MATCH(AH$5,MTInputs!$J$5:$AZ$5,0))</f>
        <v/>
      </c>
      <c r="AI34" s="24">
        <f>INDEX(MTInputs!$J$1:$AZ$415,$D34,MATCH(AI$5,MTInputs!$J$5:$AZ$5,0))</f>
        <v/>
      </c>
      <c r="AJ34" s="24">
        <f>INDEX(MTInputs!$J$1:$AZ$415,$D34,MATCH(AJ$5,MTInputs!$J$5:$AZ$5,0))</f>
        <v/>
      </c>
      <c r="AK34" s="24">
        <f>INDEX(MTInputs!$J$1:$AZ$415,$D34,MATCH(AK$5,MTInputs!$J$5:$AZ$5,0))</f>
        <v/>
      </c>
      <c r="AL34" s="24">
        <f>INDEX(MTInputs!$J$1:$AZ$415,$D34,MATCH(AL$5,MTInputs!$J$5:$AZ$5,0))</f>
        <v/>
      </c>
      <c r="AM34" s="24">
        <f>INDEX(MTInputs!$J$1:$AZ$415,$D34,MATCH(AM$5,MTInputs!$J$5:$AZ$5,0))</f>
        <v/>
      </c>
      <c r="AN34" s="24">
        <f>INDEX(MTInputs!$J$1:$AZ$415,$D34,MATCH(AN$5,MTInputs!$J$5:$AZ$5,0))</f>
        <v/>
      </c>
      <c r="AO34" s="24">
        <f>INDEX(MTInputs!$J$1:$AZ$415,$D34,MATCH(AO$5,MTInputs!$J$5:$AZ$5,0))</f>
        <v/>
      </c>
      <c r="AP34" s="24">
        <f>INDEX(MTInputs!$J$1:$AZ$415,$D34,MATCH(AP$5,MTInputs!$J$5:$AZ$5,0))</f>
        <v/>
      </c>
      <c r="AQ34" s="24">
        <f>INDEX(MTInputs!$J$1:$AZ$415,$D34,MATCH(AQ$5,MTInputs!$J$5:$AZ$5,0))</f>
        <v/>
      </c>
      <c r="AR34" s="24">
        <f>INDEX(MTInputs!$J$1:$AZ$415,$D34,MATCH(AR$5,MTInputs!$J$5:$AZ$5,0))</f>
        <v/>
      </c>
      <c r="AS34" s="24">
        <f>INDEX(MTInputs!$J$1:$AZ$415,$D34,MATCH(AS$5,MTInputs!$J$5:$AZ$5,0))</f>
        <v/>
      </c>
      <c r="AT34" s="24">
        <f>INDEX(MTInputs!$J$1:$AZ$415,$D34,MATCH(AT$5,MTInputs!$J$5:$AZ$5,0))</f>
        <v/>
      </c>
      <c r="AU34" s="24">
        <f>INDEX(MTInputs!$J$1:$AZ$415,$D34,MATCH(AU$5,MTInputs!$J$5:$AZ$5,0))</f>
        <v/>
      </c>
      <c r="AV34" s="24">
        <f>INDEX(MTInputs!$J$1:$AZ$415,$D34,MATCH(AV$5,MTInputs!$J$5:$AZ$5,0))</f>
        <v/>
      </c>
      <c r="AW34" s="24">
        <f>INDEX(MTInputs!$J$1:$AZ$415,$D34,MATCH(AW$5,MTInputs!$J$5:$AZ$5,0))</f>
        <v/>
      </c>
      <c r="AX34" s="24">
        <f>INDEX(MTInputs!$J$1:$AZ$415,$D34,MATCH(AX$5,MTInputs!$J$5:$AZ$5,0))</f>
        <v/>
      </c>
      <c r="AY34" s="24">
        <f>INDEX(MTInputs!$J$1:$AZ$415,$D34,MATCH(AY$5,MTInputs!$J$5:$AZ$5,0))</f>
        <v/>
      </c>
      <c r="AZ34" s="24">
        <f>INDEX(MTInputs!$J$1:$AZ$415,$D34,MATCH(AZ$5,MTInputs!$J$5:$AZ$5,0))</f>
        <v/>
      </c>
      <c r="BA34" s="24">
        <f>INDEX(MTInputs!$J$1:$AZ$415,$D34,MATCH(BA$5,MTInputs!$J$5:$AZ$5,0))</f>
        <v/>
      </c>
    </row>
    <row r="35" hidden="1" outlineLevel="1">
      <c r="A35" s="14" t="inlineStr">
        <is>
          <t>ctcov</t>
        </is>
      </c>
      <c r="B35" s="14" t="inlineStr">
        <is>
          <t>all</t>
        </is>
      </c>
      <c r="C35" s="14" t="inlineStr">
        <is>
          <t>avi</t>
        </is>
      </c>
      <c r="D35" s="22" t="n">
        <v>34</v>
      </c>
      <c r="H35" s="14">
        <f>INDEX(VarLab,MATCH($A35,VarKey,0))&amp;INDEX(MemLab,MATCH($C35&amp;"|"&amp;$B35,MemKey,0))</f>
        <v/>
      </c>
      <c r="I35" s="14">
        <f>INDEX(VarUnit,MATCH($A35,VarKey,0))</f>
        <v/>
      </c>
      <c r="J35" s="14">
        <f>INDEX(VarSrc,MATCH($A35,VarKey,0))</f>
        <v/>
      </c>
      <c r="K35" s="11">
        <f>CodePrefix&amp;$A35&amp;IF($C35="","","."&amp;$C35&amp;"."&amp;$B35)&amp;INDEX(VarEnd,MATCH($A35,VarKey,0))&amp;K$5</f>
        <v/>
      </c>
      <c r="L35" s="23">
        <f>INDEX(MTInputs!$J$1:$AZ$415,$D35,MATCH(L$5,MTInputs!$J$5:$AZ$5,0))</f>
        <v/>
      </c>
      <c r="M35" s="24">
        <f>INDEX(MTInputs!$J$1:$AZ$415,$D35,MATCH(M$5,MTInputs!$J$5:$AZ$5,0))</f>
        <v/>
      </c>
      <c r="N35" s="24">
        <f>INDEX(MTInputs!$J$1:$AZ$415,$D35,MATCH(N$5,MTInputs!$J$5:$AZ$5,0))</f>
        <v/>
      </c>
      <c r="O35" s="24">
        <f>INDEX(MTInputs!$J$1:$AZ$415,$D35,MATCH(O$5,MTInputs!$J$5:$AZ$5,0))</f>
        <v/>
      </c>
      <c r="P35" s="24">
        <f>INDEX(MTInputs!$J$1:$AZ$415,$D35,MATCH(P$5,MTInputs!$J$5:$AZ$5,0))</f>
        <v/>
      </c>
      <c r="Q35" s="24">
        <f>INDEX(MTInputs!$J$1:$AZ$415,$D35,MATCH(Q$5,MTInputs!$J$5:$AZ$5,0))</f>
        <v/>
      </c>
      <c r="R35" s="24">
        <f>INDEX(MTInputs!$J$1:$AZ$415,$D35,MATCH(R$5,MTInputs!$J$5:$AZ$5,0))</f>
        <v/>
      </c>
      <c r="S35" s="24">
        <f>INDEX(MTInputs!$J$1:$AZ$415,$D35,MATCH(S$5,MTInputs!$J$5:$AZ$5,0))</f>
        <v/>
      </c>
      <c r="T35" s="24">
        <f>INDEX(MTInputs!$J$1:$AZ$415,$D35,MATCH(T$5,MTInputs!$J$5:$AZ$5,0))</f>
        <v/>
      </c>
      <c r="U35" s="24">
        <f>INDEX(MTInputs!$J$1:$AZ$415,$D35,MATCH(U$5,MTInputs!$J$5:$AZ$5,0))</f>
        <v/>
      </c>
      <c r="V35" s="24">
        <f>INDEX(MTInputs!$J$1:$AZ$415,$D35,MATCH(V$5,MTInputs!$J$5:$AZ$5,0))</f>
        <v/>
      </c>
      <c r="W35" s="24">
        <f>INDEX(MTInputs!$J$1:$AZ$415,$D35,MATCH(W$5,MTInputs!$J$5:$AZ$5,0))</f>
        <v/>
      </c>
      <c r="X35" s="24">
        <f>INDEX(MTInputs!$J$1:$AZ$415,$D35,MATCH(X$5,MTInputs!$J$5:$AZ$5,0))</f>
        <v/>
      </c>
      <c r="Y35" s="24">
        <f>INDEX(MTInputs!$J$1:$AZ$415,$D35,MATCH(Y$5,MTInputs!$J$5:$AZ$5,0))</f>
        <v/>
      </c>
      <c r="Z35" s="24">
        <f>INDEX(MTInputs!$J$1:$AZ$415,$D35,MATCH(Z$5,MTInputs!$J$5:$AZ$5,0))</f>
        <v/>
      </c>
      <c r="AA35" s="24">
        <f>INDEX(MTInputs!$J$1:$AZ$415,$D35,MATCH(AA$5,MTInputs!$J$5:$AZ$5,0))</f>
        <v/>
      </c>
      <c r="AB35" s="24">
        <f>INDEX(MTInputs!$J$1:$AZ$415,$D35,MATCH(AB$5,MTInputs!$J$5:$AZ$5,0))</f>
        <v/>
      </c>
      <c r="AC35" s="24">
        <f>INDEX(MTInputs!$J$1:$AZ$415,$D35,MATCH(AC$5,MTInputs!$J$5:$AZ$5,0))</f>
        <v/>
      </c>
      <c r="AD35" s="24">
        <f>INDEX(MTInputs!$J$1:$AZ$415,$D35,MATCH(AD$5,MTInputs!$J$5:$AZ$5,0))</f>
        <v/>
      </c>
      <c r="AE35" s="24">
        <f>INDEX(MTInputs!$J$1:$AZ$415,$D35,MATCH(AE$5,MTInputs!$J$5:$AZ$5,0))</f>
        <v/>
      </c>
      <c r="AG35" s="11">
        <f>CodePrefix&amp;$A35&amp;IF($C35="","","."&amp;$C35&amp;"."&amp;$B35)&amp;INDEX(VarEnd,MATCH($A35,VarKey,0))&amp;AG$5</f>
        <v/>
      </c>
      <c r="AH35" s="23">
        <f>INDEX(MTInputs!$J$1:$AZ$415,$D35,MATCH(AH$5,MTInputs!$J$5:$AZ$5,0))</f>
        <v/>
      </c>
      <c r="AI35" s="24">
        <f>INDEX(MTInputs!$J$1:$AZ$415,$D35,MATCH(AI$5,MTInputs!$J$5:$AZ$5,0))</f>
        <v/>
      </c>
      <c r="AJ35" s="24">
        <f>INDEX(MTInputs!$J$1:$AZ$415,$D35,MATCH(AJ$5,MTInputs!$J$5:$AZ$5,0))</f>
        <v/>
      </c>
      <c r="AK35" s="24">
        <f>INDEX(MTInputs!$J$1:$AZ$415,$D35,MATCH(AK$5,MTInputs!$J$5:$AZ$5,0))</f>
        <v/>
      </c>
      <c r="AL35" s="24">
        <f>INDEX(MTInputs!$J$1:$AZ$415,$D35,MATCH(AL$5,MTInputs!$J$5:$AZ$5,0))</f>
        <v/>
      </c>
      <c r="AM35" s="24">
        <f>INDEX(MTInputs!$J$1:$AZ$415,$D35,MATCH(AM$5,MTInputs!$J$5:$AZ$5,0))</f>
        <v/>
      </c>
      <c r="AN35" s="24">
        <f>INDEX(MTInputs!$J$1:$AZ$415,$D35,MATCH(AN$5,MTInputs!$J$5:$AZ$5,0))</f>
        <v/>
      </c>
      <c r="AO35" s="24">
        <f>INDEX(MTInputs!$J$1:$AZ$415,$D35,MATCH(AO$5,MTInputs!$J$5:$AZ$5,0))</f>
        <v/>
      </c>
      <c r="AP35" s="24">
        <f>INDEX(MTInputs!$J$1:$AZ$415,$D35,MATCH(AP$5,MTInputs!$J$5:$AZ$5,0))</f>
        <v/>
      </c>
      <c r="AQ35" s="24">
        <f>INDEX(MTInputs!$J$1:$AZ$415,$D35,MATCH(AQ$5,MTInputs!$J$5:$AZ$5,0))</f>
        <v/>
      </c>
      <c r="AR35" s="24">
        <f>INDEX(MTInputs!$J$1:$AZ$415,$D35,MATCH(AR$5,MTInputs!$J$5:$AZ$5,0))</f>
        <v/>
      </c>
      <c r="AS35" s="24">
        <f>INDEX(MTInputs!$J$1:$AZ$415,$D35,MATCH(AS$5,MTInputs!$J$5:$AZ$5,0))</f>
        <v/>
      </c>
      <c r="AT35" s="24">
        <f>INDEX(MTInputs!$J$1:$AZ$415,$D35,MATCH(AT$5,MTInputs!$J$5:$AZ$5,0))</f>
        <v/>
      </c>
      <c r="AU35" s="24">
        <f>INDEX(MTInputs!$J$1:$AZ$415,$D35,MATCH(AU$5,MTInputs!$J$5:$AZ$5,0))</f>
        <v/>
      </c>
      <c r="AV35" s="24">
        <f>INDEX(MTInputs!$J$1:$AZ$415,$D35,MATCH(AV$5,MTInputs!$J$5:$AZ$5,0))</f>
        <v/>
      </c>
      <c r="AW35" s="24">
        <f>INDEX(MTInputs!$J$1:$AZ$415,$D35,MATCH(AW$5,MTInputs!$J$5:$AZ$5,0))</f>
        <v/>
      </c>
      <c r="AX35" s="24">
        <f>INDEX(MTInputs!$J$1:$AZ$415,$D35,MATCH(AX$5,MTInputs!$J$5:$AZ$5,0))</f>
        <v/>
      </c>
      <c r="AY35" s="24">
        <f>INDEX(MTInputs!$J$1:$AZ$415,$D35,MATCH(AY$5,MTInputs!$J$5:$AZ$5,0))</f>
        <v/>
      </c>
      <c r="AZ35" s="24">
        <f>INDEX(MTInputs!$J$1:$AZ$415,$D35,MATCH(AZ$5,MTInputs!$J$5:$AZ$5,0))</f>
        <v/>
      </c>
      <c r="BA35" s="24">
        <f>INDEX(MTInputs!$J$1:$AZ$415,$D35,MATCH(BA$5,MTInputs!$J$5:$AZ$5,0))</f>
        <v/>
      </c>
    </row>
    <row r="36" hidden="1" outlineLevel="1">
      <c r="A36" s="14" t="inlineStr">
        <is>
          <t>ctcov</t>
        </is>
      </c>
      <c r="B36" s="14" t="inlineStr">
        <is>
          <t>all</t>
        </is>
      </c>
      <c r="C36" s="14" t="inlineStr">
        <is>
          <t>nav</t>
        </is>
      </c>
      <c r="D36" s="22" t="n">
        <v>35</v>
      </c>
      <c r="H36" s="14">
        <f>INDEX(VarLab,MATCH($A36,VarKey,0))&amp;INDEX(MemLab,MATCH($C36&amp;"|"&amp;$B36,MemKey,0))</f>
        <v/>
      </c>
      <c r="I36" s="14">
        <f>INDEX(VarUnit,MATCH($A36,VarKey,0))</f>
        <v/>
      </c>
      <c r="J36" s="14">
        <f>INDEX(VarSrc,MATCH($A36,VarKey,0))</f>
        <v/>
      </c>
      <c r="K36" s="11">
        <f>CodePrefix&amp;$A36&amp;IF($C36="","","."&amp;$C36&amp;"."&amp;$B36)&amp;INDEX(VarEnd,MATCH($A36,VarKey,0))&amp;K$5</f>
        <v/>
      </c>
      <c r="L36" s="23">
        <f>INDEX(MTInputs!$J$1:$AZ$415,$D36,MATCH(L$5,MTInputs!$J$5:$AZ$5,0))</f>
        <v/>
      </c>
      <c r="M36" s="24">
        <f>INDEX(MTInputs!$J$1:$AZ$415,$D36,MATCH(M$5,MTInputs!$J$5:$AZ$5,0))</f>
        <v/>
      </c>
      <c r="N36" s="24">
        <f>INDEX(MTInputs!$J$1:$AZ$415,$D36,MATCH(N$5,MTInputs!$J$5:$AZ$5,0))</f>
        <v/>
      </c>
      <c r="O36" s="24">
        <f>INDEX(MTInputs!$J$1:$AZ$415,$D36,MATCH(O$5,MTInputs!$J$5:$AZ$5,0))</f>
        <v/>
      </c>
      <c r="P36" s="24">
        <f>INDEX(MTInputs!$J$1:$AZ$415,$D36,MATCH(P$5,MTInputs!$J$5:$AZ$5,0))</f>
        <v/>
      </c>
      <c r="Q36" s="24">
        <f>INDEX(MTInputs!$J$1:$AZ$415,$D36,MATCH(Q$5,MTInputs!$J$5:$AZ$5,0))</f>
        <v/>
      </c>
      <c r="R36" s="24">
        <f>INDEX(MTInputs!$J$1:$AZ$415,$D36,MATCH(R$5,MTInputs!$J$5:$AZ$5,0))</f>
        <v/>
      </c>
      <c r="S36" s="24">
        <f>INDEX(MTInputs!$J$1:$AZ$415,$D36,MATCH(S$5,MTInputs!$J$5:$AZ$5,0))</f>
        <v/>
      </c>
      <c r="T36" s="24">
        <f>INDEX(MTInputs!$J$1:$AZ$415,$D36,MATCH(T$5,MTInputs!$J$5:$AZ$5,0))</f>
        <v/>
      </c>
      <c r="U36" s="24">
        <f>INDEX(MTInputs!$J$1:$AZ$415,$D36,MATCH(U$5,MTInputs!$J$5:$AZ$5,0))</f>
        <v/>
      </c>
      <c r="V36" s="24">
        <f>INDEX(MTInputs!$J$1:$AZ$415,$D36,MATCH(V$5,MTInputs!$J$5:$AZ$5,0))</f>
        <v/>
      </c>
      <c r="W36" s="24">
        <f>INDEX(MTInputs!$J$1:$AZ$415,$D36,MATCH(W$5,MTInputs!$J$5:$AZ$5,0))</f>
        <v/>
      </c>
      <c r="X36" s="24">
        <f>INDEX(MTInputs!$J$1:$AZ$415,$D36,MATCH(X$5,MTInputs!$J$5:$AZ$5,0))</f>
        <v/>
      </c>
      <c r="Y36" s="24">
        <f>INDEX(MTInputs!$J$1:$AZ$415,$D36,MATCH(Y$5,MTInputs!$J$5:$AZ$5,0))</f>
        <v/>
      </c>
      <c r="Z36" s="24">
        <f>INDEX(MTInputs!$J$1:$AZ$415,$D36,MATCH(Z$5,MTInputs!$J$5:$AZ$5,0))</f>
        <v/>
      </c>
      <c r="AA36" s="24">
        <f>INDEX(MTInputs!$J$1:$AZ$415,$D36,MATCH(AA$5,MTInputs!$J$5:$AZ$5,0))</f>
        <v/>
      </c>
      <c r="AB36" s="24">
        <f>INDEX(MTInputs!$J$1:$AZ$415,$D36,MATCH(AB$5,MTInputs!$J$5:$AZ$5,0))</f>
        <v/>
      </c>
      <c r="AC36" s="24">
        <f>INDEX(MTInputs!$J$1:$AZ$415,$D36,MATCH(AC$5,MTInputs!$J$5:$AZ$5,0))</f>
        <v/>
      </c>
      <c r="AD36" s="24">
        <f>INDEX(MTInputs!$J$1:$AZ$415,$D36,MATCH(AD$5,MTInputs!$J$5:$AZ$5,0))</f>
        <v/>
      </c>
      <c r="AE36" s="24">
        <f>INDEX(MTInputs!$J$1:$AZ$415,$D36,MATCH(AE$5,MTInputs!$J$5:$AZ$5,0))</f>
        <v/>
      </c>
      <c r="AG36" s="11">
        <f>CodePrefix&amp;$A36&amp;IF($C36="","","."&amp;$C36&amp;"."&amp;$B36)&amp;INDEX(VarEnd,MATCH($A36,VarKey,0))&amp;AG$5</f>
        <v/>
      </c>
      <c r="AH36" s="23">
        <f>INDEX(MTInputs!$J$1:$AZ$415,$D36,MATCH(AH$5,MTInputs!$J$5:$AZ$5,0))</f>
        <v/>
      </c>
      <c r="AI36" s="24">
        <f>INDEX(MTInputs!$J$1:$AZ$415,$D36,MATCH(AI$5,MTInputs!$J$5:$AZ$5,0))</f>
        <v/>
      </c>
      <c r="AJ36" s="24">
        <f>INDEX(MTInputs!$J$1:$AZ$415,$D36,MATCH(AJ$5,MTInputs!$J$5:$AZ$5,0))</f>
        <v/>
      </c>
      <c r="AK36" s="24">
        <f>INDEX(MTInputs!$J$1:$AZ$415,$D36,MATCH(AK$5,MTInputs!$J$5:$AZ$5,0))</f>
        <v/>
      </c>
      <c r="AL36" s="24">
        <f>INDEX(MTInputs!$J$1:$AZ$415,$D36,MATCH(AL$5,MTInputs!$J$5:$AZ$5,0))</f>
        <v/>
      </c>
      <c r="AM36" s="24">
        <f>INDEX(MTInputs!$J$1:$AZ$415,$D36,MATCH(AM$5,MTInputs!$J$5:$AZ$5,0))</f>
        <v/>
      </c>
      <c r="AN36" s="24">
        <f>INDEX(MTInputs!$J$1:$AZ$415,$D36,MATCH(AN$5,MTInputs!$J$5:$AZ$5,0))</f>
        <v/>
      </c>
      <c r="AO36" s="24">
        <f>INDEX(MTInputs!$J$1:$AZ$415,$D36,MATCH(AO$5,MTInputs!$J$5:$AZ$5,0))</f>
        <v/>
      </c>
      <c r="AP36" s="24">
        <f>INDEX(MTInputs!$J$1:$AZ$415,$D36,MATCH(AP$5,MTInputs!$J$5:$AZ$5,0))</f>
        <v/>
      </c>
      <c r="AQ36" s="24">
        <f>INDEX(MTInputs!$J$1:$AZ$415,$D36,MATCH(AQ$5,MTInputs!$J$5:$AZ$5,0))</f>
        <v/>
      </c>
      <c r="AR36" s="24">
        <f>INDEX(MTInputs!$J$1:$AZ$415,$D36,MATCH(AR$5,MTInputs!$J$5:$AZ$5,0))</f>
        <v/>
      </c>
      <c r="AS36" s="24">
        <f>INDEX(MTInputs!$J$1:$AZ$415,$D36,MATCH(AS$5,MTInputs!$J$5:$AZ$5,0))</f>
        <v/>
      </c>
      <c r="AT36" s="24">
        <f>INDEX(MTInputs!$J$1:$AZ$415,$D36,MATCH(AT$5,MTInputs!$J$5:$AZ$5,0))</f>
        <v/>
      </c>
      <c r="AU36" s="24">
        <f>INDEX(MTInputs!$J$1:$AZ$415,$D36,MATCH(AU$5,MTInputs!$J$5:$AZ$5,0))</f>
        <v/>
      </c>
      <c r="AV36" s="24">
        <f>INDEX(MTInputs!$J$1:$AZ$415,$D36,MATCH(AV$5,MTInputs!$J$5:$AZ$5,0))</f>
        <v/>
      </c>
      <c r="AW36" s="24">
        <f>INDEX(MTInputs!$J$1:$AZ$415,$D36,MATCH(AW$5,MTInputs!$J$5:$AZ$5,0))</f>
        <v/>
      </c>
      <c r="AX36" s="24">
        <f>INDEX(MTInputs!$J$1:$AZ$415,$D36,MATCH(AX$5,MTInputs!$J$5:$AZ$5,0))</f>
        <v/>
      </c>
      <c r="AY36" s="24">
        <f>INDEX(MTInputs!$J$1:$AZ$415,$D36,MATCH(AY$5,MTInputs!$J$5:$AZ$5,0))</f>
        <v/>
      </c>
      <c r="AZ36" s="24">
        <f>INDEX(MTInputs!$J$1:$AZ$415,$D36,MATCH(AZ$5,MTInputs!$J$5:$AZ$5,0))</f>
        <v/>
      </c>
      <c r="BA36" s="24">
        <f>INDEX(MTInputs!$J$1:$AZ$415,$D36,MATCH(BA$5,MTInputs!$J$5:$AZ$5,0))</f>
        <v/>
      </c>
    </row>
    <row r="37" hidden="1" outlineLevel="1">
      <c r="A37" s="14" t="inlineStr">
        <is>
          <t>ctcov</t>
        </is>
      </c>
      <c r="B37" s="14" t="inlineStr">
        <is>
          <t>all</t>
        </is>
      </c>
      <c r="C37" s="14" t="inlineStr">
        <is>
          <t>res</t>
        </is>
      </c>
      <c r="D37" s="22" t="n">
        <v>36</v>
      </c>
      <c r="H37" s="14">
        <f>INDEX(VarLab,MATCH($A37,VarKey,0))&amp;INDEX(MemLab,MATCH($C37&amp;"|"&amp;$B37,MemKey,0))</f>
        <v/>
      </c>
      <c r="I37" s="14">
        <f>INDEX(VarUnit,MATCH($A37,VarKey,0))</f>
        <v/>
      </c>
      <c r="J37" s="14">
        <f>INDEX(VarSrc,MATCH($A37,VarKey,0))</f>
        <v/>
      </c>
      <c r="K37" s="11">
        <f>CodePrefix&amp;$A37&amp;IF($C37="","","."&amp;$C37&amp;"."&amp;$B37)&amp;INDEX(VarEnd,MATCH($A37,VarKey,0))&amp;K$5</f>
        <v/>
      </c>
      <c r="L37" s="23">
        <f>INDEX(MTInputs!$J$1:$AZ$415,$D37,MATCH(L$5,MTInputs!$J$5:$AZ$5,0))</f>
        <v/>
      </c>
      <c r="M37" s="24">
        <f>INDEX(MTInputs!$J$1:$AZ$415,$D37,MATCH(M$5,MTInputs!$J$5:$AZ$5,0))</f>
        <v/>
      </c>
      <c r="N37" s="24">
        <f>INDEX(MTInputs!$J$1:$AZ$415,$D37,MATCH(N$5,MTInputs!$J$5:$AZ$5,0))</f>
        <v/>
      </c>
      <c r="O37" s="24">
        <f>INDEX(MTInputs!$J$1:$AZ$415,$D37,MATCH(O$5,MTInputs!$J$5:$AZ$5,0))</f>
        <v/>
      </c>
      <c r="P37" s="24">
        <f>INDEX(MTInputs!$J$1:$AZ$415,$D37,MATCH(P$5,MTInputs!$J$5:$AZ$5,0))</f>
        <v/>
      </c>
      <c r="Q37" s="24">
        <f>INDEX(MTInputs!$J$1:$AZ$415,$D37,MATCH(Q$5,MTInputs!$J$5:$AZ$5,0))</f>
        <v/>
      </c>
      <c r="R37" s="24">
        <f>INDEX(MTInputs!$J$1:$AZ$415,$D37,MATCH(R$5,MTInputs!$J$5:$AZ$5,0))</f>
        <v/>
      </c>
      <c r="S37" s="24">
        <f>INDEX(MTInputs!$J$1:$AZ$415,$D37,MATCH(S$5,MTInputs!$J$5:$AZ$5,0))</f>
        <v/>
      </c>
      <c r="T37" s="24">
        <f>INDEX(MTInputs!$J$1:$AZ$415,$D37,MATCH(T$5,MTInputs!$J$5:$AZ$5,0))</f>
        <v/>
      </c>
      <c r="U37" s="24">
        <f>INDEX(MTInputs!$J$1:$AZ$415,$D37,MATCH(U$5,MTInputs!$J$5:$AZ$5,0))</f>
        <v/>
      </c>
      <c r="V37" s="24">
        <f>INDEX(MTInputs!$J$1:$AZ$415,$D37,MATCH(V$5,MTInputs!$J$5:$AZ$5,0))</f>
        <v/>
      </c>
      <c r="W37" s="24">
        <f>INDEX(MTInputs!$J$1:$AZ$415,$D37,MATCH(W$5,MTInputs!$J$5:$AZ$5,0))</f>
        <v/>
      </c>
      <c r="X37" s="24">
        <f>INDEX(MTInputs!$J$1:$AZ$415,$D37,MATCH(X$5,MTInputs!$J$5:$AZ$5,0))</f>
        <v/>
      </c>
      <c r="Y37" s="24">
        <f>INDEX(MTInputs!$J$1:$AZ$415,$D37,MATCH(Y$5,MTInputs!$J$5:$AZ$5,0))</f>
        <v/>
      </c>
      <c r="Z37" s="24">
        <f>INDEX(MTInputs!$J$1:$AZ$415,$D37,MATCH(Z$5,MTInputs!$J$5:$AZ$5,0))</f>
        <v/>
      </c>
      <c r="AA37" s="24">
        <f>INDEX(MTInputs!$J$1:$AZ$415,$D37,MATCH(AA$5,MTInputs!$J$5:$AZ$5,0))</f>
        <v/>
      </c>
      <c r="AB37" s="24">
        <f>INDEX(MTInputs!$J$1:$AZ$415,$D37,MATCH(AB$5,MTInputs!$J$5:$AZ$5,0))</f>
        <v/>
      </c>
      <c r="AC37" s="24">
        <f>INDEX(MTInputs!$J$1:$AZ$415,$D37,MATCH(AC$5,MTInputs!$J$5:$AZ$5,0))</f>
        <v/>
      </c>
      <c r="AD37" s="24">
        <f>INDEX(MTInputs!$J$1:$AZ$415,$D37,MATCH(AD$5,MTInputs!$J$5:$AZ$5,0))</f>
        <v/>
      </c>
      <c r="AE37" s="24">
        <f>INDEX(MTInputs!$J$1:$AZ$415,$D37,MATCH(AE$5,MTInputs!$J$5:$AZ$5,0))</f>
        <v/>
      </c>
      <c r="AG37" s="11">
        <f>CodePrefix&amp;$A37&amp;IF($C37="","","."&amp;$C37&amp;"."&amp;$B37)&amp;INDEX(VarEnd,MATCH($A37,VarKey,0))&amp;AG$5</f>
        <v/>
      </c>
      <c r="AH37" s="23">
        <f>INDEX(MTInputs!$J$1:$AZ$415,$D37,MATCH(AH$5,MTInputs!$J$5:$AZ$5,0))</f>
        <v/>
      </c>
      <c r="AI37" s="24">
        <f>INDEX(MTInputs!$J$1:$AZ$415,$D37,MATCH(AI$5,MTInputs!$J$5:$AZ$5,0))</f>
        <v/>
      </c>
      <c r="AJ37" s="24">
        <f>INDEX(MTInputs!$J$1:$AZ$415,$D37,MATCH(AJ$5,MTInputs!$J$5:$AZ$5,0))</f>
        <v/>
      </c>
      <c r="AK37" s="24">
        <f>INDEX(MTInputs!$J$1:$AZ$415,$D37,MATCH(AK$5,MTInputs!$J$5:$AZ$5,0))</f>
        <v/>
      </c>
      <c r="AL37" s="24">
        <f>INDEX(MTInputs!$J$1:$AZ$415,$D37,MATCH(AL$5,MTInputs!$J$5:$AZ$5,0))</f>
        <v/>
      </c>
      <c r="AM37" s="24">
        <f>INDEX(MTInputs!$J$1:$AZ$415,$D37,MATCH(AM$5,MTInputs!$J$5:$AZ$5,0))</f>
        <v/>
      </c>
      <c r="AN37" s="24">
        <f>INDEX(MTInputs!$J$1:$AZ$415,$D37,MATCH(AN$5,MTInputs!$J$5:$AZ$5,0))</f>
        <v/>
      </c>
      <c r="AO37" s="24">
        <f>INDEX(MTInputs!$J$1:$AZ$415,$D37,MATCH(AO$5,MTInputs!$J$5:$AZ$5,0))</f>
        <v/>
      </c>
      <c r="AP37" s="24">
        <f>INDEX(MTInputs!$J$1:$AZ$415,$D37,MATCH(AP$5,MTInputs!$J$5:$AZ$5,0))</f>
        <v/>
      </c>
      <c r="AQ37" s="24">
        <f>INDEX(MTInputs!$J$1:$AZ$415,$D37,MATCH(AQ$5,MTInputs!$J$5:$AZ$5,0))</f>
        <v/>
      </c>
      <c r="AR37" s="24">
        <f>INDEX(MTInputs!$J$1:$AZ$415,$D37,MATCH(AR$5,MTInputs!$J$5:$AZ$5,0))</f>
        <v/>
      </c>
      <c r="AS37" s="24">
        <f>INDEX(MTInputs!$J$1:$AZ$415,$D37,MATCH(AS$5,MTInputs!$J$5:$AZ$5,0))</f>
        <v/>
      </c>
      <c r="AT37" s="24">
        <f>INDEX(MTInputs!$J$1:$AZ$415,$D37,MATCH(AT$5,MTInputs!$J$5:$AZ$5,0))</f>
        <v/>
      </c>
      <c r="AU37" s="24">
        <f>INDEX(MTInputs!$J$1:$AZ$415,$D37,MATCH(AU$5,MTInputs!$J$5:$AZ$5,0))</f>
        <v/>
      </c>
      <c r="AV37" s="24">
        <f>INDEX(MTInputs!$J$1:$AZ$415,$D37,MATCH(AV$5,MTInputs!$J$5:$AZ$5,0))</f>
        <v/>
      </c>
      <c r="AW37" s="24">
        <f>INDEX(MTInputs!$J$1:$AZ$415,$D37,MATCH(AW$5,MTInputs!$J$5:$AZ$5,0))</f>
        <v/>
      </c>
      <c r="AX37" s="24">
        <f>INDEX(MTInputs!$J$1:$AZ$415,$D37,MATCH(AX$5,MTInputs!$J$5:$AZ$5,0))</f>
        <v/>
      </c>
      <c r="AY37" s="24">
        <f>INDEX(MTInputs!$J$1:$AZ$415,$D37,MATCH(AY$5,MTInputs!$J$5:$AZ$5,0))</f>
        <v/>
      </c>
      <c r="AZ37" s="24">
        <f>INDEX(MTInputs!$J$1:$AZ$415,$D37,MATCH(AZ$5,MTInputs!$J$5:$AZ$5,0))</f>
        <v/>
      </c>
      <c r="BA37" s="24">
        <f>INDEX(MTInputs!$J$1:$AZ$415,$D37,MATCH(BA$5,MTInputs!$J$5:$AZ$5,0))</f>
        <v/>
      </c>
    </row>
    <row r="38" hidden="1" outlineLevel="1">
      <c r="A38" s="14" t="inlineStr">
        <is>
          <t>ctcov</t>
        </is>
      </c>
      <c r="B38" s="14" t="inlineStr">
        <is>
          <t>all</t>
        </is>
      </c>
      <c r="C38" s="14" t="inlineStr">
        <is>
          <t>foo</t>
        </is>
      </c>
      <c r="D38" s="22" t="n">
        <v>37</v>
      </c>
      <c r="H38" s="14">
        <f>INDEX(VarLab,MATCH($A38,VarKey,0))&amp;INDEX(MemLab,MATCH($C38&amp;"|"&amp;$B38,MemKey,0))</f>
        <v/>
      </c>
      <c r="I38" s="14">
        <f>INDEX(VarUnit,MATCH($A38,VarKey,0))</f>
        <v/>
      </c>
      <c r="J38" s="14">
        <f>INDEX(VarSrc,MATCH($A38,VarKey,0))</f>
        <v/>
      </c>
      <c r="K38" s="11">
        <f>CodePrefix&amp;$A38&amp;IF($C38="","","."&amp;$C38&amp;"."&amp;$B38)&amp;INDEX(VarEnd,MATCH($A38,VarKey,0))&amp;K$5</f>
        <v/>
      </c>
      <c r="L38" s="23">
        <f>INDEX(MTInputs!$J$1:$AZ$415,$D38,MATCH(L$5,MTInputs!$J$5:$AZ$5,0))</f>
        <v/>
      </c>
      <c r="M38" s="24">
        <f>INDEX(MTInputs!$J$1:$AZ$415,$D38,MATCH(M$5,MTInputs!$J$5:$AZ$5,0))</f>
        <v/>
      </c>
      <c r="N38" s="24">
        <f>INDEX(MTInputs!$J$1:$AZ$415,$D38,MATCH(N$5,MTInputs!$J$5:$AZ$5,0))</f>
        <v/>
      </c>
      <c r="O38" s="24">
        <f>INDEX(MTInputs!$J$1:$AZ$415,$D38,MATCH(O$5,MTInputs!$J$5:$AZ$5,0))</f>
        <v/>
      </c>
      <c r="P38" s="24">
        <f>INDEX(MTInputs!$J$1:$AZ$415,$D38,MATCH(P$5,MTInputs!$J$5:$AZ$5,0))</f>
        <v/>
      </c>
      <c r="Q38" s="24">
        <f>INDEX(MTInputs!$J$1:$AZ$415,$D38,MATCH(Q$5,MTInputs!$J$5:$AZ$5,0))</f>
        <v/>
      </c>
      <c r="R38" s="24">
        <f>INDEX(MTInputs!$J$1:$AZ$415,$D38,MATCH(R$5,MTInputs!$J$5:$AZ$5,0))</f>
        <v/>
      </c>
      <c r="S38" s="24">
        <f>INDEX(MTInputs!$J$1:$AZ$415,$D38,MATCH(S$5,MTInputs!$J$5:$AZ$5,0))</f>
        <v/>
      </c>
      <c r="T38" s="24">
        <f>INDEX(MTInputs!$J$1:$AZ$415,$D38,MATCH(T$5,MTInputs!$J$5:$AZ$5,0))</f>
        <v/>
      </c>
      <c r="U38" s="24">
        <f>INDEX(MTInputs!$J$1:$AZ$415,$D38,MATCH(U$5,MTInputs!$J$5:$AZ$5,0))</f>
        <v/>
      </c>
      <c r="V38" s="24">
        <f>INDEX(MTInputs!$J$1:$AZ$415,$D38,MATCH(V$5,MTInputs!$J$5:$AZ$5,0))</f>
        <v/>
      </c>
      <c r="W38" s="24">
        <f>INDEX(MTInputs!$J$1:$AZ$415,$D38,MATCH(W$5,MTInputs!$J$5:$AZ$5,0))</f>
        <v/>
      </c>
      <c r="X38" s="24">
        <f>INDEX(MTInputs!$J$1:$AZ$415,$D38,MATCH(X$5,MTInputs!$J$5:$AZ$5,0))</f>
        <v/>
      </c>
      <c r="Y38" s="24">
        <f>INDEX(MTInputs!$J$1:$AZ$415,$D38,MATCH(Y$5,MTInputs!$J$5:$AZ$5,0))</f>
        <v/>
      </c>
      <c r="Z38" s="24">
        <f>INDEX(MTInputs!$J$1:$AZ$415,$D38,MATCH(Z$5,MTInputs!$J$5:$AZ$5,0))</f>
        <v/>
      </c>
      <c r="AA38" s="24">
        <f>INDEX(MTInputs!$J$1:$AZ$415,$D38,MATCH(AA$5,MTInputs!$J$5:$AZ$5,0))</f>
        <v/>
      </c>
      <c r="AB38" s="24">
        <f>INDEX(MTInputs!$J$1:$AZ$415,$D38,MATCH(AB$5,MTInputs!$J$5:$AZ$5,0))</f>
        <v/>
      </c>
      <c r="AC38" s="24">
        <f>INDEX(MTInputs!$J$1:$AZ$415,$D38,MATCH(AC$5,MTInputs!$J$5:$AZ$5,0))</f>
        <v/>
      </c>
      <c r="AD38" s="24">
        <f>INDEX(MTInputs!$J$1:$AZ$415,$D38,MATCH(AD$5,MTInputs!$J$5:$AZ$5,0))</f>
        <v/>
      </c>
      <c r="AE38" s="24">
        <f>INDEX(MTInputs!$J$1:$AZ$415,$D38,MATCH(AE$5,MTInputs!$J$5:$AZ$5,0))</f>
        <v/>
      </c>
      <c r="AG38" s="11">
        <f>CodePrefix&amp;$A38&amp;IF($C38="","","."&amp;$C38&amp;"."&amp;$B38)&amp;INDEX(VarEnd,MATCH($A38,VarKey,0))&amp;AG$5</f>
        <v/>
      </c>
      <c r="AH38" s="23">
        <f>INDEX(MTInputs!$J$1:$AZ$415,$D38,MATCH(AH$5,MTInputs!$J$5:$AZ$5,0))</f>
        <v/>
      </c>
      <c r="AI38" s="24">
        <f>INDEX(MTInputs!$J$1:$AZ$415,$D38,MATCH(AI$5,MTInputs!$J$5:$AZ$5,0))</f>
        <v/>
      </c>
      <c r="AJ38" s="24">
        <f>INDEX(MTInputs!$J$1:$AZ$415,$D38,MATCH(AJ$5,MTInputs!$J$5:$AZ$5,0))</f>
        <v/>
      </c>
      <c r="AK38" s="24">
        <f>INDEX(MTInputs!$J$1:$AZ$415,$D38,MATCH(AK$5,MTInputs!$J$5:$AZ$5,0))</f>
        <v/>
      </c>
      <c r="AL38" s="24">
        <f>INDEX(MTInputs!$J$1:$AZ$415,$D38,MATCH(AL$5,MTInputs!$J$5:$AZ$5,0))</f>
        <v/>
      </c>
      <c r="AM38" s="24">
        <f>INDEX(MTInputs!$J$1:$AZ$415,$D38,MATCH(AM$5,MTInputs!$J$5:$AZ$5,0))</f>
        <v/>
      </c>
      <c r="AN38" s="24">
        <f>INDEX(MTInputs!$J$1:$AZ$415,$D38,MATCH(AN$5,MTInputs!$J$5:$AZ$5,0))</f>
        <v/>
      </c>
      <c r="AO38" s="24">
        <f>INDEX(MTInputs!$J$1:$AZ$415,$D38,MATCH(AO$5,MTInputs!$J$5:$AZ$5,0))</f>
        <v/>
      </c>
      <c r="AP38" s="24">
        <f>INDEX(MTInputs!$J$1:$AZ$415,$D38,MATCH(AP$5,MTInputs!$J$5:$AZ$5,0))</f>
        <v/>
      </c>
      <c r="AQ38" s="24">
        <f>INDEX(MTInputs!$J$1:$AZ$415,$D38,MATCH(AQ$5,MTInputs!$J$5:$AZ$5,0))</f>
        <v/>
      </c>
      <c r="AR38" s="24">
        <f>INDEX(MTInputs!$J$1:$AZ$415,$D38,MATCH(AR$5,MTInputs!$J$5:$AZ$5,0))</f>
        <v/>
      </c>
      <c r="AS38" s="24">
        <f>INDEX(MTInputs!$J$1:$AZ$415,$D38,MATCH(AS$5,MTInputs!$J$5:$AZ$5,0))</f>
        <v/>
      </c>
      <c r="AT38" s="24">
        <f>INDEX(MTInputs!$J$1:$AZ$415,$D38,MATCH(AT$5,MTInputs!$J$5:$AZ$5,0))</f>
        <v/>
      </c>
      <c r="AU38" s="24">
        <f>INDEX(MTInputs!$J$1:$AZ$415,$D38,MATCH(AU$5,MTInputs!$J$5:$AZ$5,0))</f>
        <v/>
      </c>
      <c r="AV38" s="24">
        <f>INDEX(MTInputs!$J$1:$AZ$415,$D38,MATCH(AV$5,MTInputs!$J$5:$AZ$5,0))</f>
        <v/>
      </c>
      <c r="AW38" s="24">
        <f>INDEX(MTInputs!$J$1:$AZ$415,$D38,MATCH(AW$5,MTInputs!$J$5:$AZ$5,0))</f>
        <v/>
      </c>
      <c r="AX38" s="24">
        <f>INDEX(MTInputs!$J$1:$AZ$415,$D38,MATCH(AX$5,MTInputs!$J$5:$AZ$5,0))</f>
        <v/>
      </c>
      <c r="AY38" s="24">
        <f>INDEX(MTInputs!$J$1:$AZ$415,$D38,MATCH(AY$5,MTInputs!$J$5:$AZ$5,0))</f>
        <v/>
      </c>
      <c r="AZ38" s="24">
        <f>INDEX(MTInputs!$J$1:$AZ$415,$D38,MATCH(AZ$5,MTInputs!$J$5:$AZ$5,0))</f>
        <v/>
      </c>
      <c r="BA38" s="24">
        <f>INDEX(MTInputs!$J$1:$AZ$415,$D38,MATCH(BA$5,MTInputs!$J$5:$AZ$5,0))</f>
        <v/>
      </c>
    </row>
    <row r="39" hidden="1" outlineLevel="1">
      <c r="A39" s="14" t="inlineStr">
        <is>
          <t>ctcov</t>
        </is>
      </c>
      <c r="B39" s="14" t="inlineStr">
        <is>
          <t>all</t>
        </is>
      </c>
      <c r="C39" s="14" t="inlineStr">
        <is>
          <t>srv</t>
        </is>
      </c>
      <c r="D39" s="22" t="n">
        <v>38</v>
      </c>
      <c r="H39" s="14">
        <f>INDEX(VarLab,MATCH($A39,VarKey,0))&amp;INDEX(MemLab,MATCH($C39&amp;"|"&amp;$B39,MemKey,0))</f>
        <v/>
      </c>
      <c r="I39" s="14">
        <f>INDEX(VarUnit,MATCH($A39,VarKey,0))</f>
        <v/>
      </c>
      <c r="J39" s="14">
        <f>INDEX(VarSrc,MATCH($A39,VarKey,0))</f>
        <v/>
      </c>
      <c r="K39" s="11">
        <f>CodePrefix&amp;$A39&amp;IF($C39="","","."&amp;$C39&amp;"."&amp;$B39)&amp;INDEX(VarEnd,MATCH($A39,VarKey,0))&amp;K$5</f>
        <v/>
      </c>
      <c r="L39" s="23">
        <f>INDEX(MTInputs!$J$1:$AZ$415,$D39,MATCH(L$5,MTInputs!$J$5:$AZ$5,0))</f>
        <v/>
      </c>
      <c r="M39" s="24">
        <f>INDEX(MTInputs!$J$1:$AZ$415,$D39,MATCH(M$5,MTInputs!$J$5:$AZ$5,0))</f>
        <v/>
      </c>
      <c r="N39" s="24">
        <f>INDEX(MTInputs!$J$1:$AZ$415,$D39,MATCH(N$5,MTInputs!$J$5:$AZ$5,0))</f>
        <v/>
      </c>
      <c r="O39" s="24">
        <f>INDEX(MTInputs!$J$1:$AZ$415,$D39,MATCH(O$5,MTInputs!$J$5:$AZ$5,0))</f>
        <v/>
      </c>
      <c r="P39" s="24">
        <f>INDEX(MTInputs!$J$1:$AZ$415,$D39,MATCH(P$5,MTInputs!$J$5:$AZ$5,0))</f>
        <v/>
      </c>
      <c r="Q39" s="24">
        <f>INDEX(MTInputs!$J$1:$AZ$415,$D39,MATCH(Q$5,MTInputs!$J$5:$AZ$5,0))</f>
        <v/>
      </c>
      <c r="R39" s="24">
        <f>INDEX(MTInputs!$J$1:$AZ$415,$D39,MATCH(R$5,MTInputs!$J$5:$AZ$5,0))</f>
        <v/>
      </c>
      <c r="S39" s="24">
        <f>INDEX(MTInputs!$J$1:$AZ$415,$D39,MATCH(S$5,MTInputs!$J$5:$AZ$5,0))</f>
        <v/>
      </c>
      <c r="T39" s="24">
        <f>INDEX(MTInputs!$J$1:$AZ$415,$D39,MATCH(T$5,MTInputs!$J$5:$AZ$5,0))</f>
        <v/>
      </c>
      <c r="U39" s="24">
        <f>INDEX(MTInputs!$J$1:$AZ$415,$D39,MATCH(U$5,MTInputs!$J$5:$AZ$5,0))</f>
        <v/>
      </c>
      <c r="V39" s="24">
        <f>INDEX(MTInputs!$J$1:$AZ$415,$D39,MATCH(V$5,MTInputs!$J$5:$AZ$5,0))</f>
        <v/>
      </c>
      <c r="W39" s="24">
        <f>INDEX(MTInputs!$J$1:$AZ$415,$D39,MATCH(W$5,MTInputs!$J$5:$AZ$5,0))</f>
        <v/>
      </c>
      <c r="X39" s="24">
        <f>INDEX(MTInputs!$J$1:$AZ$415,$D39,MATCH(X$5,MTInputs!$J$5:$AZ$5,0))</f>
        <v/>
      </c>
      <c r="Y39" s="24">
        <f>INDEX(MTInputs!$J$1:$AZ$415,$D39,MATCH(Y$5,MTInputs!$J$5:$AZ$5,0))</f>
        <v/>
      </c>
      <c r="Z39" s="24">
        <f>INDEX(MTInputs!$J$1:$AZ$415,$D39,MATCH(Z$5,MTInputs!$J$5:$AZ$5,0))</f>
        <v/>
      </c>
      <c r="AA39" s="24">
        <f>INDEX(MTInputs!$J$1:$AZ$415,$D39,MATCH(AA$5,MTInputs!$J$5:$AZ$5,0))</f>
        <v/>
      </c>
      <c r="AB39" s="24">
        <f>INDEX(MTInputs!$J$1:$AZ$415,$D39,MATCH(AB$5,MTInputs!$J$5:$AZ$5,0))</f>
        <v/>
      </c>
      <c r="AC39" s="24">
        <f>INDEX(MTInputs!$J$1:$AZ$415,$D39,MATCH(AC$5,MTInputs!$J$5:$AZ$5,0))</f>
        <v/>
      </c>
      <c r="AD39" s="24">
        <f>INDEX(MTInputs!$J$1:$AZ$415,$D39,MATCH(AD$5,MTInputs!$J$5:$AZ$5,0))</f>
        <v/>
      </c>
      <c r="AE39" s="24">
        <f>INDEX(MTInputs!$J$1:$AZ$415,$D39,MATCH(AE$5,MTInputs!$J$5:$AZ$5,0))</f>
        <v/>
      </c>
      <c r="AG39" s="11">
        <f>CodePrefix&amp;$A39&amp;IF($C39="","","."&amp;$C39&amp;"."&amp;$B39)&amp;INDEX(VarEnd,MATCH($A39,VarKey,0))&amp;AG$5</f>
        <v/>
      </c>
      <c r="AH39" s="23">
        <f>INDEX(MTInputs!$J$1:$AZ$415,$D39,MATCH(AH$5,MTInputs!$J$5:$AZ$5,0))</f>
        <v/>
      </c>
      <c r="AI39" s="24">
        <f>INDEX(MTInputs!$J$1:$AZ$415,$D39,MATCH(AI$5,MTInputs!$J$5:$AZ$5,0))</f>
        <v/>
      </c>
      <c r="AJ39" s="24">
        <f>INDEX(MTInputs!$J$1:$AZ$415,$D39,MATCH(AJ$5,MTInputs!$J$5:$AZ$5,0))</f>
        <v/>
      </c>
      <c r="AK39" s="24">
        <f>INDEX(MTInputs!$J$1:$AZ$415,$D39,MATCH(AK$5,MTInputs!$J$5:$AZ$5,0))</f>
        <v/>
      </c>
      <c r="AL39" s="24">
        <f>INDEX(MTInputs!$J$1:$AZ$415,$D39,MATCH(AL$5,MTInputs!$J$5:$AZ$5,0))</f>
        <v/>
      </c>
      <c r="AM39" s="24">
        <f>INDEX(MTInputs!$J$1:$AZ$415,$D39,MATCH(AM$5,MTInputs!$J$5:$AZ$5,0))</f>
        <v/>
      </c>
      <c r="AN39" s="24">
        <f>INDEX(MTInputs!$J$1:$AZ$415,$D39,MATCH(AN$5,MTInputs!$J$5:$AZ$5,0))</f>
        <v/>
      </c>
      <c r="AO39" s="24">
        <f>INDEX(MTInputs!$J$1:$AZ$415,$D39,MATCH(AO$5,MTInputs!$J$5:$AZ$5,0))</f>
        <v/>
      </c>
      <c r="AP39" s="24">
        <f>INDEX(MTInputs!$J$1:$AZ$415,$D39,MATCH(AP$5,MTInputs!$J$5:$AZ$5,0))</f>
        <v/>
      </c>
      <c r="AQ39" s="24">
        <f>INDEX(MTInputs!$J$1:$AZ$415,$D39,MATCH(AQ$5,MTInputs!$J$5:$AZ$5,0))</f>
        <v/>
      </c>
      <c r="AR39" s="24">
        <f>INDEX(MTInputs!$J$1:$AZ$415,$D39,MATCH(AR$5,MTInputs!$J$5:$AZ$5,0))</f>
        <v/>
      </c>
      <c r="AS39" s="24">
        <f>INDEX(MTInputs!$J$1:$AZ$415,$D39,MATCH(AS$5,MTInputs!$J$5:$AZ$5,0))</f>
        <v/>
      </c>
      <c r="AT39" s="24">
        <f>INDEX(MTInputs!$J$1:$AZ$415,$D39,MATCH(AT$5,MTInputs!$J$5:$AZ$5,0))</f>
        <v/>
      </c>
      <c r="AU39" s="24">
        <f>INDEX(MTInputs!$J$1:$AZ$415,$D39,MATCH(AU$5,MTInputs!$J$5:$AZ$5,0))</f>
        <v/>
      </c>
      <c r="AV39" s="24">
        <f>INDEX(MTInputs!$J$1:$AZ$415,$D39,MATCH(AV$5,MTInputs!$J$5:$AZ$5,0))</f>
        <v/>
      </c>
      <c r="AW39" s="24">
        <f>INDEX(MTInputs!$J$1:$AZ$415,$D39,MATCH(AW$5,MTInputs!$J$5:$AZ$5,0))</f>
        <v/>
      </c>
      <c r="AX39" s="24">
        <f>INDEX(MTInputs!$J$1:$AZ$415,$D39,MATCH(AX$5,MTInputs!$J$5:$AZ$5,0))</f>
        <v/>
      </c>
      <c r="AY39" s="24">
        <f>INDEX(MTInputs!$J$1:$AZ$415,$D39,MATCH(AY$5,MTInputs!$J$5:$AZ$5,0))</f>
        <v/>
      </c>
      <c r="AZ39" s="24">
        <f>INDEX(MTInputs!$J$1:$AZ$415,$D39,MATCH(AZ$5,MTInputs!$J$5:$AZ$5,0))</f>
        <v/>
      </c>
      <c r="BA39" s="24">
        <f>INDEX(MTInputs!$J$1:$AZ$415,$D39,MATCH(BA$5,MTInputs!$J$5:$AZ$5,0))</f>
        <v/>
      </c>
    </row>
    <row r="40" hidden="1" outlineLevel="1">
      <c r="A40" s="14" t="inlineStr">
        <is>
          <t>ctcov</t>
        </is>
      </c>
      <c r="B40" s="14" t="inlineStr">
        <is>
          <t>all</t>
        </is>
      </c>
      <c r="C40" s="14" t="inlineStr">
        <is>
          <t>mch</t>
        </is>
      </c>
      <c r="D40" s="22" t="n">
        <v>39</v>
      </c>
      <c r="H40" s="14">
        <f>INDEX(VarLab,MATCH($A40,VarKey,0))&amp;INDEX(MemLab,MATCH($C40&amp;"|"&amp;$B40,MemKey,0))</f>
        <v/>
      </c>
      <c r="I40" s="14">
        <f>INDEX(VarUnit,MATCH($A40,VarKey,0))</f>
        <v/>
      </c>
      <c r="J40" s="14">
        <f>INDEX(VarSrc,MATCH($A40,VarKey,0))</f>
        <v/>
      </c>
      <c r="K40" s="11">
        <f>CodePrefix&amp;$A40&amp;IF($C40="","","."&amp;$C40&amp;"."&amp;$B40)&amp;INDEX(VarEnd,MATCH($A40,VarKey,0))&amp;K$5</f>
        <v/>
      </c>
      <c r="L40" s="23">
        <f>INDEX(MTInputs!$J$1:$AZ$415,$D40,MATCH(L$5,MTInputs!$J$5:$AZ$5,0))</f>
        <v/>
      </c>
      <c r="M40" s="24">
        <f>INDEX(MTInputs!$J$1:$AZ$415,$D40,MATCH(M$5,MTInputs!$J$5:$AZ$5,0))</f>
        <v/>
      </c>
      <c r="N40" s="24">
        <f>INDEX(MTInputs!$J$1:$AZ$415,$D40,MATCH(N$5,MTInputs!$J$5:$AZ$5,0))</f>
        <v/>
      </c>
      <c r="O40" s="24">
        <f>INDEX(MTInputs!$J$1:$AZ$415,$D40,MATCH(O$5,MTInputs!$J$5:$AZ$5,0))</f>
        <v/>
      </c>
      <c r="P40" s="24">
        <f>INDEX(MTInputs!$J$1:$AZ$415,$D40,MATCH(P$5,MTInputs!$J$5:$AZ$5,0))</f>
        <v/>
      </c>
      <c r="Q40" s="24">
        <f>INDEX(MTInputs!$J$1:$AZ$415,$D40,MATCH(Q$5,MTInputs!$J$5:$AZ$5,0))</f>
        <v/>
      </c>
      <c r="R40" s="24">
        <f>INDEX(MTInputs!$J$1:$AZ$415,$D40,MATCH(R$5,MTInputs!$J$5:$AZ$5,0))</f>
        <v/>
      </c>
      <c r="S40" s="24">
        <f>INDEX(MTInputs!$J$1:$AZ$415,$D40,MATCH(S$5,MTInputs!$J$5:$AZ$5,0))</f>
        <v/>
      </c>
      <c r="T40" s="24">
        <f>INDEX(MTInputs!$J$1:$AZ$415,$D40,MATCH(T$5,MTInputs!$J$5:$AZ$5,0))</f>
        <v/>
      </c>
      <c r="U40" s="24">
        <f>INDEX(MTInputs!$J$1:$AZ$415,$D40,MATCH(U$5,MTInputs!$J$5:$AZ$5,0))</f>
        <v/>
      </c>
      <c r="V40" s="24">
        <f>INDEX(MTInputs!$J$1:$AZ$415,$D40,MATCH(V$5,MTInputs!$J$5:$AZ$5,0))</f>
        <v/>
      </c>
      <c r="W40" s="24">
        <f>INDEX(MTInputs!$J$1:$AZ$415,$D40,MATCH(W$5,MTInputs!$J$5:$AZ$5,0))</f>
        <v/>
      </c>
      <c r="X40" s="24">
        <f>INDEX(MTInputs!$J$1:$AZ$415,$D40,MATCH(X$5,MTInputs!$J$5:$AZ$5,0))</f>
        <v/>
      </c>
      <c r="Y40" s="24">
        <f>INDEX(MTInputs!$J$1:$AZ$415,$D40,MATCH(Y$5,MTInputs!$J$5:$AZ$5,0))</f>
        <v/>
      </c>
      <c r="Z40" s="24">
        <f>INDEX(MTInputs!$J$1:$AZ$415,$D40,MATCH(Z$5,MTInputs!$J$5:$AZ$5,0))</f>
        <v/>
      </c>
      <c r="AA40" s="24">
        <f>INDEX(MTInputs!$J$1:$AZ$415,$D40,MATCH(AA$5,MTInputs!$J$5:$AZ$5,0))</f>
        <v/>
      </c>
      <c r="AB40" s="24">
        <f>INDEX(MTInputs!$J$1:$AZ$415,$D40,MATCH(AB$5,MTInputs!$J$5:$AZ$5,0))</f>
        <v/>
      </c>
      <c r="AC40" s="24">
        <f>INDEX(MTInputs!$J$1:$AZ$415,$D40,MATCH(AC$5,MTInputs!$J$5:$AZ$5,0))</f>
        <v/>
      </c>
      <c r="AD40" s="24">
        <f>INDEX(MTInputs!$J$1:$AZ$415,$D40,MATCH(AD$5,MTInputs!$J$5:$AZ$5,0))</f>
        <v/>
      </c>
      <c r="AE40" s="24">
        <f>INDEX(MTInputs!$J$1:$AZ$415,$D40,MATCH(AE$5,MTInputs!$J$5:$AZ$5,0))</f>
        <v/>
      </c>
      <c r="AG40" s="11">
        <f>CodePrefix&amp;$A40&amp;IF($C40="","","."&amp;$C40&amp;"."&amp;$B40)&amp;INDEX(VarEnd,MATCH($A40,VarKey,0))&amp;AG$5</f>
        <v/>
      </c>
      <c r="AH40" s="23">
        <f>INDEX(MTInputs!$J$1:$AZ$415,$D40,MATCH(AH$5,MTInputs!$J$5:$AZ$5,0))</f>
        <v/>
      </c>
      <c r="AI40" s="24">
        <f>INDEX(MTInputs!$J$1:$AZ$415,$D40,MATCH(AI$5,MTInputs!$J$5:$AZ$5,0))</f>
        <v/>
      </c>
      <c r="AJ40" s="24">
        <f>INDEX(MTInputs!$J$1:$AZ$415,$D40,MATCH(AJ$5,MTInputs!$J$5:$AZ$5,0))</f>
        <v/>
      </c>
      <c r="AK40" s="24">
        <f>INDEX(MTInputs!$J$1:$AZ$415,$D40,MATCH(AK$5,MTInputs!$J$5:$AZ$5,0))</f>
        <v/>
      </c>
      <c r="AL40" s="24">
        <f>INDEX(MTInputs!$J$1:$AZ$415,$D40,MATCH(AL$5,MTInputs!$J$5:$AZ$5,0))</f>
        <v/>
      </c>
      <c r="AM40" s="24">
        <f>INDEX(MTInputs!$J$1:$AZ$415,$D40,MATCH(AM$5,MTInputs!$J$5:$AZ$5,0))</f>
        <v/>
      </c>
      <c r="AN40" s="24">
        <f>INDEX(MTInputs!$J$1:$AZ$415,$D40,MATCH(AN$5,MTInputs!$J$5:$AZ$5,0))</f>
        <v/>
      </c>
      <c r="AO40" s="24">
        <f>INDEX(MTInputs!$J$1:$AZ$415,$D40,MATCH(AO$5,MTInputs!$J$5:$AZ$5,0))</f>
        <v/>
      </c>
      <c r="AP40" s="24">
        <f>INDEX(MTInputs!$J$1:$AZ$415,$D40,MATCH(AP$5,MTInputs!$J$5:$AZ$5,0))</f>
        <v/>
      </c>
      <c r="AQ40" s="24">
        <f>INDEX(MTInputs!$J$1:$AZ$415,$D40,MATCH(AQ$5,MTInputs!$J$5:$AZ$5,0))</f>
        <v/>
      </c>
      <c r="AR40" s="24">
        <f>INDEX(MTInputs!$J$1:$AZ$415,$D40,MATCH(AR$5,MTInputs!$J$5:$AZ$5,0))</f>
        <v/>
      </c>
      <c r="AS40" s="24">
        <f>INDEX(MTInputs!$J$1:$AZ$415,$D40,MATCH(AS$5,MTInputs!$J$5:$AZ$5,0))</f>
        <v/>
      </c>
      <c r="AT40" s="24">
        <f>INDEX(MTInputs!$J$1:$AZ$415,$D40,MATCH(AT$5,MTInputs!$J$5:$AZ$5,0))</f>
        <v/>
      </c>
      <c r="AU40" s="24">
        <f>INDEX(MTInputs!$J$1:$AZ$415,$D40,MATCH(AU$5,MTInputs!$J$5:$AZ$5,0))</f>
        <v/>
      </c>
      <c r="AV40" s="24">
        <f>INDEX(MTInputs!$J$1:$AZ$415,$D40,MATCH(AV$5,MTInputs!$J$5:$AZ$5,0))</f>
        <v/>
      </c>
      <c r="AW40" s="24">
        <f>INDEX(MTInputs!$J$1:$AZ$415,$D40,MATCH(AW$5,MTInputs!$J$5:$AZ$5,0))</f>
        <v/>
      </c>
      <c r="AX40" s="24">
        <f>INDEX(MTInputs!$J$1:$AZ$415,$D40,MATCH(AX$5,MTInputs!$J$5:$AZ$5,0))</f>
        <v/>
      </c>
      <c r="AY40" s="24">
        <f>INDEX(MTInputs!$J$1:$AZ$415,$D40,MATCH(AY$5,MTInputs!$J$5:$AZ$5,0))</f>
        <v/>
      </c>
      <c r="AZ40" s="24">
        <f>INDEX(MTInputs!$J$1:$AZ$415,$D40,MATCH(AZ$5,MTInputs!$J$5:$AZ$5,0))</f>
        <v/>
      </c>
      <c r="BA40" s="24">
        <f>INDEX(MTInputs!$J$1:$AZ$415,$D40,MATCH(BA$5,MTInputs!$J$5:$AZ$5,0))</f>
        <v/>
      </c>
    </row>
    <row r="41" hidden="1" outlineLevel="1">
      <c r="A41" s="14" t="inlineStr">
        <is>
          <t>ctcov</t>
        </is>
      </c>
      <c r="B41" s="14" t="inlineStr">
        <is>
          <t>all</t>
        </is>
      </c>
      <c r="C41" s="14" t="inlineStr">
        <is>
          <t>irn</t>
        </is>
      </c>
      <c r="D41" s="22" t="n">
        <v>40</v>
      </c>
      <c r="H41" s="14">
        <f>INDEX(VarLab,MATCH($A41,VarKey,0))&amp;INDEX(MemLab,MATCH($C41&amp;"|"&amp;$B41,MemKey,0))</f>
        <v/>
      </c>
      <c r="I41" s="14">
        <f>INDEX(VarUnit,MATCH($A41,VarKey,0))</f>
        <v/>
      </c>
      <c r="J41" s="14">
        <f>INDEX(VarSrc,MATCH($A41,VarKey,0))</f>
        <v/>
      </c>
      <c r="K41" s="11">
        <f>CodePrefix&amp;$A41&amp;IF($C41="","","."&amp;$C41&amp;"."&amp;$B41)&amp;INDEX(VarEnd,MATCH($A41,VarKey,0))&amp;K$5</f>
        <v/>
      </c>
      <c r="L41" s="23">
        <f>INDEX(MTInputs!$J$1:$AZ$415,$D41,MATCH(L$5,MTInputs!$J$5:$AZ$5,0))</f>
        <v/>
      </c>
      <c r="M41" s="24">
        <f>INDEX(MTInputs!$J$1:$AZ$415,$D41,MATCH(M$5,MTInputs!$J$5:$AZ$5,0))</f>
        <v/>
      </c>
      <c r="N41" s="24">
        <f>INDEX(MTInputs!$J$1:$AZ$415,$D41,MATCH(N$5,MTInputs!$J$5:$AZ$5,0))</f>
        <v/>
      </c>
      <c r="O41" s="24">
        <f>INDEX(MTInputs!$J$1:$AZ$415,$D41,MATCH(O$5,MTInputs!$J$5:$AZ$5,0))</f>
        <v/>
      </c>
      <c r="P41" s="24">
        <f>INDEX(MTInputs!$J$1:$AZ$415,$D41,MATCH(P$5,MTInputs!$J$5:$AZ$5,0))</f>
        <v/>
      </c>
      <c r="Q41" s="24">
        <f>INDEX(MTInputs!$J$1:$AZ$415,$D41,MATCH(Q$5,MTInputs!$J$5:$AZ$5,0))</f>
        <v/>
      </c>
      <c r="R41" s="24">
        <f>INDEX(MTInputs!$J$1:$AZ$415,$D41,MATCH(R$5,MTInputs!$J$5:$AZ$5,0))</f>
        <v/>
      </c>
      <c r="S41" s="24">
        <f>INDEX(MTInputs!$J$1:$AZ$415,$D41,MATCH(S$5,MTInputs!$J$5:$AZ$5,0))</f>
        <v/>
      </c>
      <c r="T41" s="24">
        <f>INDEX(MTInputs!$J$1:$AZ$415,$D41,MATCH(T$5,MTInputs!$J$5:$AZ$5,0))</f>
        <v/>
      </c>
      <c r="U41" s="24">
        <f>INDEX(MTInputs!$J$1:$AZ$415,$D41,MATCH(U$5,MTInputs!$J$5:$AZ$5,0))</f>
        <v/>
      </c>
      <c r="V41" s="24">
        <f>INDEX(MTInputs!$J$1:$AZ$415,$D41,MATCH(V$5,MTInputs!$J$5:$AZ$5,0))</f>
        <v/>
      </c>
      <c r="W41" s="24">
        <f>INDEX(MTInputs!$J$1:$AZ$415,$D41,MATCH(W$5,MTInputs!$J$5:$AZ$5,0))</f>
        <v/>
      </c>
      <c r="X41" s="24">
        <f>INDEX(MTInputs!$J$1:$AZ$415,$D41,MATCH(X$5,MTInputs!$J$5:$AZ$5,0))</f>
        <v/>
      </c>
      <c r="Y41" s="24">
        <f>INDEX(MTInputs!$J$1:$AZ$415,$D41,MATCH(Y$5,MTInputs!$J$5:$AZ$5,0))</f>
        <v/>
      </c>
      <c r="Z41" s="24">
        <f>INDEX(MTInputs!$J$1:$AZ$415,$D41,MATCH(Z$5,MTInputs!$J$5:$AZ$5,0))</f>
        <v/>
      </c>
      <c r="AA41" s="24">
        <f>INDEX(MTInputs!$J$1:$AZ$415,$D41,MATCH(AA$5,MTInputs!$J$5:$AZ$5,0))</f>
        <v/>
      </c>
      <c r="AB41" s="24">
        <f>INDEX(MTInputs!$J$1:$AZ$415,$D41,MATCH(AB$5,MTInputs!$J$5:$AZ$5,0))</f>
        <v/>
      </c>
      <c r="AC41" s="24">
        <f>INDEX(MTInputs!$J$1:$AZ$415,$D41,MATCH(AC$5,MTInputs!$J$5:$AZ$5,0))</f>
        <v/>
      </c>
      <c r="AD41" s="24">
        <f>INDEX(MTInputs!$J$1:$AZ$415,$D41,MATCH(AD$5,MTInputs!$J$5:$AZ$5,0))</f>
        <v/>
      </c>
      <c r="AE41" s="24">
        <f>INDEX(MTInputs!$J$1:$AZ$415,$D41,MATCH(AE$5,MTInputs!$J$5:$AZ$5,0))</f>
        <v/>
      </c>
      <c r="AG41" s="11">
        <f>CodePrefix&amp;$A41&amp;IF($C41="","","."&amp;$C41&amp;"."&amp;$B41)&amp;INDEX(VarEnd,MATCH($A41,VarKey,0))&amp;AG$5</f>
        <v/>
      </c>
      <c r="AH41" s="23">
        <f>INDEX(MTInputs!$J$1:$AZ$415,$D41,MATCH(AH$5,MTInputs!$J$5:$AZ$5,0))</f>
        <v/>
      </c>
      <c r="AI41" s="24">
        <f>INDEX(MTInputs!$J$1:$AZ$415,$D41,MATCH(AI$5,MTInputs!$J$5:$AZ$5,0))</f>
        <v/>
      </c>
      <c r="AJ41" s="24">
        <f>INDEX(MTInputs!$J$1:$AZ$415,$D41,MATCH(AJ$5,MTInputs!$J$5:$AZ$5,0))</f>
        <v/>
      </c>
      <c r="AK41" s="24">
        <f>INDEX(MTInputs!$J$1:$AZ$415,$D41,MATCH(AK$5,MTInputs!$J$5:$AZ$5,0))</f>
        <v/>
      </c>
      <c r="AL41" s="24">
        <f>INDEX(MTInputs!$J$1:$AZ$415,$D41,MATCH(AL$5,MTInputs!$J$5:$AZ$5,0))</f>
        <v/>
      </c>
      <c r="AM41" s="24">
        <f>INDEX(MTInputs!$J$1:$AZ$415,$D41,MATCH(AM$5,MTInputs!$J$5:$AZ$5,0))</f>
        <v/>
      </c>
      <c r="AN41" s="24">
        <f>INDEX(MTInputs!$J$1:$AZ$415,$D41,MATCH(AN$5,MTInputs!$J$5:$AZ$5,0))</f>
        <v/>
      </c>
      <c r="AO41" s="24">
        <f>INDEX(MTInputs!$J$1:$AZ$415,$D41,MATCH(AO$5,MTInputs!$J$5:$AZ$5,0))</f>
        <v/>
      </c>
      <c r="AP41" s="24">
        <f>INDEX(MTInputs!$J$1:$AZ$415,$D41,MATCH(AP$5,MTInputs!$J$5:$AZ$5,0))</f>
        <v/>
      </c>
      <c r="AQ41" s="24">
        <f>INDEX(MTInputs!$J$1:$AZ$415,$D41,MATCH(AQ$5,MTInputs!$J$5:$AZ$5,0))</f>
        <v/>
      </c>
      <c r="AR41" s="24">
        <f>INDEX(MTInputs!$J$1:$AZ$415,$D41,MATCH(AR$5,MTInputs!$J$5:$AZ$5,0))</f>
        <v/>
      </c>
      <c r="AS41" s="24">
        <f>INDEX(MTInputs!$J$1:$AZ$415,$D41,MATCH(AS$5,MTInputs!$J$5:$AZ$5,0))</f>
        <v/>
      </c>
      <c r="AT41" s="24">
        <f>INDEX(MTInputs!$J$1:$AZ$415,$D41,MATCH(AT$5,MTInputs!$J$5:$AZ$5,0))</f>
        <v/>
      </c>
      <c r="AU41" s="24">
        <f>INDEX(MTInputs!$J$1:$AZ$415,$D41,MATCH(AU$5,MTInputs!$J$5:$AZ$5,0))</f>
        <v/>
      </c>
      <c r="AV41" s="24">
        <f>INDEX(MTInputs!$J$1:$AZ$415,$D41,MATCH(AV$5,MTInputs!$J$5:$AZ$5,0))</f>
        <v/>
      </c>
      <c r="AW41" s="24">
        <f>INDEX(MTInputs!$J$1:$AZ$415,$D41,MATCH(AW$5,MTInputs!$J$5:$AZ$5,0))</f>
        <v/>
      </c>
      <c r="AX41" s="24">
        <f>INDEX(MTInputs!$J$1:$AZ$415,$D41,MATCH(AX$5,MTInputs!$J$5:$AZ$5,0))</f>
        <v/>
      </c>
      <c r="AY41" s="24">
        <f>INDEX(MTInputs!$J$1:$AZ$415,$D41,MATCH(AY$5,MTInputs!$J$5:$AZ$5,0))</f>
        <v/>
      </c>
      <c r="AZ41" s="24">
        <f>INDEX(MTInputs!$J$1:$AZ$415,$D41,MATCH(AZ$5,MTInputs!$J$5:$AZ$5,0))</f>
        <v/>
      </c>
      <c r="BA41" s="24">
        <f>INDEX(MTInputs!$J$1:$AZ$415,$D41,MATCH(BA$5,MTInputs!$J$5:$AZ$5,0))</f>
        <v/>
      </c>
    </row>
    <row r="42" hidden="1" outlineLevel="1">
      <c r="A42" s="14" t="inlineStr">
        <is>
          <t>ctcov</t>
        </is>
      </c>
      <c r="B42" s="14" t="inlineStr">
        <is>
          <t>all</t>
        </is>
      </c>
      <c r="C42" s="14" t="inlineStr">
        <is>
          <t>nfm</t>
        </is>
      </c>
      <c r="D42" s="22" t="n">
        <v>41</v>
      </c>
      <c r="H42" s="14">
        <f>INDEX(VarLab,MATCH($A42,VarKey,0))&amp;INDEX(MemLab,MATCH($C42&amp;"|"&amp;$B42,MemKey,0))</f>
        <v/>
      </c>
      <c r="I42" s="14">
        <f>INDEX(VarUnit,MATCH($A42,VarKey,0))</f>
        <v/>
      </c>
      <c r="J42" s="14">
        <f>INDEX(VarSrc,MATCH($A42,VarKey,0))</f>
        <v/>
      </c>
      <c r="K42" s="11">
        <f>CodePrefix&amp;$A42&amp;IF($C42="","","."&amp;$C42&amp;"."&amp;$B42)&amp;INDEX(VarEnd,MATCH($A42,VarKey,0))&amp;K$5</f>
        <v/>
      </c>
      <c r="L42" s="23">
        <f>INDEX(MTInputs!$J$1:$AZ$415,$D42,MATCH(L$5,MTInputs!$J$5:$AZ$5,0))</f>
        <v/>
      </c>
      <c r="M42" s="24">
        <f>INDEX(MTInputs!$J$1:$AZ$415,$D42,MATCH(M$5,MTInputs!$J$5:$AZ$5,0))</f>
        <v/>
      </c>
      <c r="N42" s="24">
        <f>INDEX(MTInputs!$J$1:$AZ$415,$D42,MATCH(N$5,MTInputs!$J$5:$AZ$5,0))</f>
        <v/>
      </c>
      <c r="O42" s="24">
        <f>INDEX(MTInputs!$J$1:$AZ$415,$D42,MATCH(O$5,MTInputs!$J$5:$AZ$5,0))</f>
        <v/>
      </c>
      <c r="P42" s="24">
        <f>INDEX(MTInputs!$J$1:$AZ$415,$D42,MATCH(P$5,MTInputs!$J$5:$AZ$5,0))</f>
        <v/>
      </c>
      <c r="Q42" s="24">
        <f>INDEX(MTInputs!$J$1:$AZ$415,$D42,MATCH(Q$5,MTInputs!$J$5:$AZ$5,0))</f>
        <v/>
      </c>
      <c r="R42" s="24">
        <f>INDEX(MTInputs!$J$1:$AZ$415,$D42,MATCH(R$5,MTInputs!$J$5:$AZ$5,0))</f>
        <v/>
      </c>
      <c r="S42" s="24">
        <f>INDEX(MTInputs!$J$1:$AZ$415,$D42,MATCH(S$5,MTInputs!$J$5:$AZ$5,0))</f>
        <v/>
      </c>
      <c r="T42" s="24">
        <f>INDEX(MTInputs!$J$1:$AZ$415,$D42,MATCH(T$5,MTInputs!$J$5:$AZ$5,0))</f>
        <v/>
      </c>
      <c r="U42" s="24">
        <f>INDEX(MTInputs!$J$1:$AZ$415,$D42,MATCH(U$5,MTInputs!$J$5:$AZ$5,0))</f>
        <v/>
      </c>
      <c r="V42" s="24">
        <f>INDEX(MTInputs!$J$1:$AZ$415,$D42,MATCH(V$5,MTInputs!$J$5:$AZ$5,0))</f>
        <v/>
      </c>
      <c r="W42" s="24">
        <f>INDEX(MTInputs!$J$1:$AZ$415,$D42,MATCH(W$5,MTInputs!$J$5:$AZ$5,0))</f>
        <v/>
      </c>
      <c r="X42" s="24">
        <f>INDEX(MTInputs!$J$1:$AZ$415,$D42,MATCH(X$5,MTInputs!$J$5:$AZ$5,0))</f>
        <v/>
      </c>
      <c r="Y42" s="24">
        <f>INDEX(MTInputs!$J$1:$AZ$415,$D42,MATCH(Y$5,MTInputs!$J$5:$AZ$5,0))</f>
        <v/>
      </c>
      <c r="Z42" s="24">
        <f>INDEX(MTInputs!$J$1:$AZ$415,$D42,MATCH(Z$5,MTInputs!$J$5:$AZ$5,0))</f>
        <v/>
      </c>
      <c r="AA42" s="24">
        <f>INDEX(MTInputs!$J$1:$AZ$415,$D42,MATCH(AA$5,MTInputs!$J$5:$AZ$5,0))</f>
        <v/>
      </c>
      <c r="AB42" s="24">
        <f>INDEX(MTInputs!$J$1:$AZ$415,$D42,MATCH(AB$5,MTInputs!$J$5:$AZ$5,0))</f>
        <v/>
      </c>
      <c r="AC42" s="24">
        <f>INDEX(MTInputs!$J$1:$AZ$415,$D42,MATCH(AC$5,MTInputs!$J$5:$AZ$5,0))</f>
        <v/>
      </c>
      <c r="AD42" s="24">
        <f>INDEX(MTInputs!$J$1:$AZ$415,$D42,MATCH(AD$5,MTInputs!$J$5:$AZ$5,0))</f>
        <v/>
      </c>
      <c r="AE42" s="24">
        <f>INDEX(MTInputs!$J$1:$AZ$415,$D42,MATCH(AE$5,MTInputs!$J$5:$AZ$5,0))</f>
        <v/>
      </c>
      <c r="AG42" s="11">
        <f>CodePrefix&amp;$A42&amp;IF($C42="","","."&amp;$C42&amp;"."&amp;$B42)&amp;INDEX(VarEnd,MATCH($A42,VarKey,0))&amp;AG$5</f>
        <v/>
      </c>
      <c r="AH42" s="23">
        <f>INDEX(MTInputs!$J$1:$AZ$415,$D42,MATCH(AH$5,MTInputs!$J$5:$AZ$5,0))</f>
        <v/>
      </c>
      <c r="AI42" s="24">
        <f>INDEX(MTInputs!$J$1:$AZ$415,$D42,MATCH(AI$5,MTInputs!$J$5:$AZ$5,0))</f>
        <v/>
      </c>
      <c r="AJ42" s="24">
        <f>INDEX(MTInputs!$J$1:$AZ$415,$D42,MATCH(AJ$5,MTInputs!$J$5:$AZ$5,0))</f>
        <v/>
      </c>
      <c r="AK42" s="24">
        <f>INDEX(MTInputs!$J$1:$AZ$415,$D42,MATCH(AK$5,MTInputs!$J$5:$AZ$5,0))</f>
        <v/>
      </c>
      <c r="AL42" s="24">
        <f>INDEX(MTInputs!$J$1:$AZ$415,$D42,MATCH(AL$5,MTInputs!$J$5:$AZ$5,0))</f>
        <v/>
      </c>
      <c r="AM42" s="24">
        <f>INDEX(MTInputs!$J$1:$AZ$415,$D42,MATCH(AM$5,MTInputs!$J$5:$AZ$5,0))</f>
        <v/>
      </c>
      <c r="AN42" s="24">
        <f>INDEX(MTInputs!$J$1:$AZ$415,$D42,MATCH(AN$5,MTInputs!$J$5:$AZ$5,0))</f>
        <v/>
      </c>
      <c r="AO42" s="24">
        <f>INDEX(MTInputs!$J$1:$AZ$415,$D42,MATCH(AO$5,MTInputs!$J$5:$AZ$5,0))</f>
        <v/>
      </c>
      <c r="AP42" s="24">
        <f>INDEX(MTInputs!$J$1:$AZ$415,$D42,MATCH(AP$5,MTInputs!$J$5:$AZ$5,0))</f>
        <v/>
      </c>
      <c r="AQ42" s="24">
        <f>INDEX(MTInputs!$J$1:$AZ$415,$D42,MATCH(AQ$5,MTInputs!$J$5:$AZ$5,0))</f>
        <v/>
      </c>
      <c r="AR42" s="24">
        <f>INDEX(MTInputs!$J$1:$AZ$415,$D42,MATCH(AR$5,MTInputs!$J$5:$AZ$5,0))</f>
        <v/>
      </c>
      <c r="AS42" s="24">
        <f>INDEX(MTInputs!$J$1:$AZ$415,$D42,MATCH(AS$5,MTInputs!$J$5:$AZ$5,0))</f>
        <v/>
      </c>
      <c r="AT42" s="24">
        <f>INDEX(MTInputs!$J$1:$AZ$415,$D42,MATCH(AT$5,MTInputs!$J$5:$AZ$5,0))</f>
        <v/>
      </c>
      <c r="AU42" s="24">
        <f>INDEX(MTInputs!$J$1:$AZ$415,$D42,MATCH(AU$5,MTInputs!$J$5:$AZ$5,0))</f>
        <v/>
      </c>
      <c r="AV42" s="24">
        <f>INDEX(MTInputs!$J$1:$AZ$415,$D42,MATCH(AV$5,MTInputs!$J$5:$AZ$5,0))</f>
        <v/>
      </c>
      <c r="AW42" s="24">
        <f>INDEX(MTInputs!$J$1:$AZ$415,$D42,MATCH(AW$5,MTInputs!$J$5:$AZ$5,0))</f>
        <v/>
      </c>
      <c r="AX42" s="24">
        <f>INDEX(MTInputs!$J$1:$AZ$415,$D42,MATCH(AX$5,MTInputs!$J$5:$AZ$5,0))</f>
        <v/>
      </c>
      <c r="AY42" s="24">
        <f>INDEX(MTInputs!$J$1:$AZ$415,$D42,MATCH(AY$5,MTInputs!$J$5:$AZ$5,0))</f>
        <v/>
      </c>
      <c r="AZ42" s="24">
        <f>INDEX(MTInputs!$J$1:$AZ$415,$D42,MATCH(AZ$5,MTInputs!$J$5:$AZ$5,0))</f>
        <v/>
      </c>
      <c r="BA42" s="24">
        <f>INDEX(MTInputs!$J$1:$AZ$415,$D42,MATCH(BA$5,MTInputs!$J$5:$AZ$5,0))</f>
        <v/>
      </c>
    </row>
    <row r="43" hidden="1" outlineLevel="1">
      <c r="A43" s="14" t="inlineStr">
        <is>
          <t>ctcov</t>
        </is>
      </c>
      <c r="B43" s="14" t="inlineStr">
        <is>
          <t>all</t>
        </is>
      </c>
      <c r="C43" s="14" t="inlineStr">
        <is>
          <t>mac</t>
        </is>
      </c>
      <c r="D43" s="22" t="n">
        <v>42</v>
      </c>
      <c r="H43" s="14">
        <f>INDEX(VarLab,MATCH($A43,VarKey,0))&amp;INDEX(MemLab,MATCH($C43&amp;"|"&amp;$B43,MemKey,0))</f>
        <v/>
      </c>
      <c r="I43" s="14">
        <f>INDEX(VarUnit,MATCH($A43,VarKey,0))</f>
        <v/>
      </c>
      <c r="J43" s="14">
        <f>INDEX(VarSrc,MATCH($A43,VarKey,0))</f>
        <v/>
      </c>
      <c r="K43" s="11">
        <f>CodePrefix&amp;$A43&amp;IF($C43="","","."&amp;$C43&amp;"."&amp;$B43)&amp;INDEX(VarEnd,MATCH($A43,VarKey,0))&amp;K$5</f>
        <v/>
      </c>
      <c r="L43" s="23">
        <f>INDEX(MTInputs!$J$1:$AZ$415,$D43,MATCH(L$5,MTInputs!$J$5:$AZ$5,0))</f>
        <v/>
      </c>
      <c r="M43" s="24">
        <f>INDEX(MTInputs!$J$1:$AZ$415,$D43,MATCH(M$5,MTInputs!$J$5:$AZ$5,0))</f>
        <v/>
      </c>
      <c r="N43" s="24">
        <f>INDEX(MTInputs!$J$1:$AZ$415,$D43,MATCH(N$5,MTInputs!$J$5:$AZ$5,0))</f>
        <v/>
      </c>
      <c r="O43" s="24">
        <f>INDEX(MTInputs!$J$1:$AZ$415,$D43,MATCH(O$5,MTInputs!$J$5:$AZ$5,0))</f>
        <v/>
      </c>
      <c r="P43" s="24">
        <f>INDEX(MTInputs!$J$1:$AZ$415,$D43,MATCH(P$5,MTInputs!$J$5:$AZ$5,0))</f>
        <v/>
      </c>
      <c r="Q43" s="24">
        <f>INDEX(MTInputs!$J$1:$AZ$415,$D43,MATCH(Q$5,MTInputs!$J$5:$AZ$5,0))</f>
        <v/>
      </c>
      <c r="R43" s="24">
        <f>INDEX(MTInputs!$J$1:$AZ$415,$D43,MATCH(R$5,MTInputs!$J$5:$AZ$5,0))</f>
        <v/>
      </c>
      <c r="S43" s="24">
        <f>INDEX(MTInputs!$J$1:$AZ$415,$D43,MATCH(S$5,MTInputs!$J$5:$AZ$5,0))</f>
        <v/>
      </c>
      <c r="T43" s="24">
        <f>INDEX(MTInputs!$J$1:$AZ$415,$D43,MATCH(T$5,MTInputs!$J$5:$AZ$5,0))</f>
        <v/>
      </c>
      <c r="U43" s="24">
        <f>INDEX(MTInputs!$J$1:$AZ$415,$D43,MATCH(U$5,MTInputs!$J$5:$AZ$5,0))</f>
        <v/>
      </c>
      <c r="V43" s="24">
        <f>INDEX(MTInputs!$J$1:$AZ$415,$D43,MATCH(V$5,MTInputs!$J$5:$AZ$5,0))</f>
        <v/>
      </c>
      <c r="W43" s="24">
        <f>INDEX(MTInputs!$J$1:$AZ$415,$D43,MATCH(W$5,MTInputs!$J$5:$AZ$5,0))</f>
        <v/>
      </c>
      <c r="X43" s="24">
        <f>INDEX(MTInputs!$J$1:$AZ$415,$D43,MATCH(X$5,MTInputs!$J$5:$AZ$5,0))</f>
        <v/>
      </c>
      <c r="Y43" s="24">
        <f>INDEX(MTInputs!$J$1:$AZ$415,$D43,MATCH(Y$5,MTInputs!$J$5:$AZ$5,0))</f>
        <v/>
      </c>
      <c r="Z43" s="24">
        <f>INDEX(MTInputs!$J$1:$AZ$415,$D43,MATCH(Z$5,MTInputs!$J$5:$AZ$5,0))</f>
        <v/>
      </c>
      <c r="AA43" s="24">
        <f>INDEX(MTInputs!$J$1:$AZ$415,$D43,MATCH(AA$5,MTInputs!$J$5:$AZ$5,0))</f>
        <v/>
      </c>
      <c r="AB43" s="24">
        <f>INDEX(MTInputs!$J$1:$AZ$415,$D43,MATCH(AB$5,MTInputs!$J$5:$AZ$5,0))</f>
        <v/>
      </c>
      <c r="AC43" s="24">
        <f>INDEX(MTInputs!$J$1:$AZ$415,$D43,MATCH(AC$5,MTInputs!$J$5:$AZ$5,0))</f>
        <v/>
      </c>
      <c r="AD43" s="24">
        <f>INDEX(MTInputs!$J$1:$AZ$415,$D43,MATCH(AD$5,MTInputs!$J$5:$AZ$5,0))</f>
        <v/>
      </c>
      <c r="AE43" s="24">
        <f>INDEX(MTInputs!$J$1:$AZ$415,$D43,MATCH(AE$5,MTInputs!$J$5:$AZ$5,0))</f>
        <v/>
      </c>
      <c r="AG43" s="11">
        <f>CodePrefix&amp;$A43&amp;IF($C43="","","."&amp;$C43&amp;"."&amp;$B43)&amp;INDEX(VarEnd,MATCH($A43,VarKey,0))&amp;AG$5</f>
        <v/>
      </c>
      <c r="AH43" s="23">
        <f>INDEX(MTInputs!$J$1:$AZ$415,$D43,MATCH(AH$5,MTInputs!$J$5:$AZ$5,0))</f>
        <v/>
      </c>
      <c r="AI43" s="24">
        <f>INDEX(MTInputs!$J$1:$AZ$415,$D43,MATCH(AI$5,MTInputs!$J$5:$AZ$5,0))</f>
        <v/>
      </c>
      <c r="AJ43" s="24">
        <f>INDEX(MTInputs!$J$1:$AZ$415,$D43,MATCH(AJ$5,MTInputs!$J$5:$AZ$5,0))</f>
        <v/>
      </c>
      <c r="AK43" s="24">
        <f>INDEX(MTInputs!$J$1:$AZ$415,$D43,MATCH(AK$5,MTInputs!$J$5:$AZ$5,0))</f>
        <v/>
      </c>
      <c r="AL43" s="24">
        <f>INDEX(MTInputs!$J$1:$AZ$415,$D43,MATCH(AL$5,MTInputs!$J$5:$AZ$5,0))</f>
        <v/>
      </c>
      <c r="AM43" s="24">
        <f>INDEX(MTInputs!$J$1:$AZ$415,$D43,MATCH(AM$5,MTInputs!$J$5:$AZ$5,0))</f>
        <v/>
      </c>
      <c r="AN43" s="24">
        <f>INDEX(MTInputs!$J$1:$AZ$415,$D43,MATCH(AN$5,MTInputs!$J$5:$AZ$5,0))</f>
        <v/>
      </c>
      <c r="AO43" s="24">
        <f>INDEX(MTInputs!$J$1:$AZ$415,$D43,MATCH(AO$5,MTInputs!$J$5:$AZ$5,0))</f>
        <v/>
      </c>
      <c r="AP43" s="24">
        <f>INDEX(MTInputs!$J$1:$AZ$415,$D43,MATCH(AP$5,MTInputs!$J$5:$AZ$5,0))</f>
        <v/>
      </c>
      <c r="AQ43" s="24">
        <f>INDEX(MTInputs!$J$1:$AZ$415,$D43,MATCH(AQ$5,MTInputs!$J$5:$AZ$5,0))</f>
        <v/>
      </c>
      <c r="AR43" s="24">
        <f>INDEX(MTInputs!$J$1:$AZ$415,$D43,MATCH(AR$5,MTInputs!$J$5:$AZ$5,0))</f>
        <v/>
      </c>
      <c r="AS43" s="24">
        <f>INDEX(MTInputs!$J$1:$AZ$415,$D43,MATCH(AS$5,MTInputs!$J$5:$AZ$5,0))</f>
        <v/>
      </c>
      <c r="AT43" s="24">
        <f>INDEX(MTInputs!$J$1:$AZ$415,$D43,MATCH(AT$5,MTInputs!$J$5:$AZ$5,0))</f>
        <v/>
      </c>
      <c r="AU43" s="24">
        <f>INDEX(MTInputs!$J$1:$AZ$415,$D43,MATCH(AU$5,MTInputs!$J$5:$AZ$5,0))</f>
        <v/>
      </c>
      <c r="AV43" s="24">
        <f>INDEX(MTInputs!$J$1:$AZ$415,$D43,MATCH(AV$5,MTInputs!$J$5:$AZ$5,0))</f>
        <v/>
      </c>
      <c r="AW43" s="24">
        <f>INDEX(MTInputs!$J$1:$AZ$415,$D43,MATCH(AW$5,MTInputs!$J$5:$AZ$5,0))</f>
        <v/>
      </c>
      <c r="AX43" s="24">
        <f>INDEX(MTInputs!$J$1:$AZ$415,$D43,MATCH(AX$5,MTInputs!$J$5:$AZ$5,0))</f>
        <v/>
      </c>
      <c r="AY43" s="24">
        <f>INDEX(MTInputs!$J$1:$AZ$415,$D43,MATCH(AY$5,MTInputs!$J$5:$AZ$5,0))</f>
        <v/>
      </c>
      <c r="AZ43" s="24">
        <f>INDEX(MTInputs!$J$1:$AZ$415,$D43,MATCH(AZ$5,MTInputs!$J$5:$AZ$5,0))</f>
        <v/>
      </c>
      <c r="BA43" s="24">
        <f>INDEX(MTInputs!$J$1:$AZ$415,$D43,MATCH(BA$5,MTInputs!$J$5:$AZ$5,0))</f>
        <v/>
      </c>
    </row>
    <row r="44" hidden="1" outlineLevel="1">
      <c r="A44" s="14" t="inlineStr">
        <is>
          <t>ctcov</t>
        </is>
      </c>
      <c r="B44" s="14" t="inlineStr">
        <is>
          <t>all</t>
        </is>
      </c>
      <c r="C44" s="14" t="inlineStr">
        <is>
          <t>cem</t>
        </is>
      </c>
      <c r="D44" s="22" t="n">
        <v>43</v>
      </c>
      <c r="H44" s="14">
        <f>INDEX(VarLab,MATCH($A44,VarKey,0))&amp;INDEX(MemLab,MATCH($C44&amp;"|"&amp;$B44,MemKey,0))</f>
        <v/>
      </c>
      <c r="I44" s="14">
        <f>INDEX(VarUnit,MATCH($A44,VarKey,0))</f>
        <v/>
      </c>
      <c r="J44" s="14">
        <f>INDEX(VarSrc,MATCH($A44,VarKey,0))</f>
        <v/>
      </c>
      <c r="K44" s="11">
        <f>CodePrefix&amp;$A44&amp;IF($C44="","","."&amp;$C44&amp;"."&amp;$B44)&amp;INDEX(VarEnd,MATCH($A44,VarKey,0))&amp;K$5</f>
        <v/>
      </c>
      <c r="L44" s="23">
        <f>INDEX(MTInputs!$J$1:$AZ$415,$D44,MATCH(L$5,MTInputs!$J$5:$AZ$5,0))</f>
        <v/>
      </c>
      <c r="M44" s="24">
        <f>INDEX(MTInputs!$J$1:$AZ$415,$D44,MATCH(M$5,MTInputs!$J$5:$AZ$5,0))</f>
        <v/>
      </c>
      <c r="N44" s="24">
        <f>INDEX(MTInputs!$J$1:$AZ$415,$D44,MATCH(N$5,MTInputs!$J$5:$AZ$5,0))</f>
        <v/>
      </c>
      <c r="O44" s="24">
        <f>INDEX(MTInputs!$J$1:$AZ$415,$D44,MATCH(O$5,MTInputs!$J$5:$AZ$5,0))</f>
        <v/>
      </c>
      <c r="P44" s="24">
        <f>INDEX(MTInputs!$J$1:$AZ$415,$D44,MATCH(P$5,MTInputs!$J$5:$AZ$5,0))</f>
        <v/>
      </c>
      <c r="Q44" s="24">
        <f>INDEX(MTInputs!$J$1:$AZ$415,$D44,MATCH(Q$5,MTInputs!$J$5:$AZ$5,0))</f>
        <v/>
      </c>
      <c r="R44" s="24">
        <f>INDEX(MTInputs!$J$1:$AZ$415,$D44,MATCH(R$5,MTInputs!$J$5:$AZ$5,0))</f>
        <v/>
      </c>
      <c r="S44" s="24">
        <f>INDEX(MTInputs!$J$1:$AZ$415,$D44,MATCH(S$5,MTInputs!$J$5:$AZ$5,0))</f>
        <v/>
      </c>
      <c r="T44" s="24">
        <f>INDEX(MTInputs!$J$1:$AZ$415,$D44,MATCH(T$5,MTInputs!$J$5:$AZ$5,0))</f>
        <v/>
      </c>
      <c r="U44" s="24">
        <f>INDEX(MTInputs!$J$1:$AZ$415,$D44,MATCH(U$5,MTInputs!$J$5:$AZ$5,0))</f>
        <v/>
      </c>
      <c r="V44" s="24">
        <f>INDEX(MTInputs!$J$1:$AZ$415,$D44,MATCH(V$5,MTInputs!$J$5:$AZ$5,0))</f>
        <v/>
      </c>
      <c r="W44" s="24">
        <f>INDEX(MTInputs!$J$1:$AZ$415,$D44,MATCH(W$5,MTInputs!$J$5:$AZ$5,0))</f>
        <v/>
      </c>
      <c r="X44" s="24">
        <f>INDEX(MTInputs!$J$1:$AZ$415,$D44,MATCH(X$5,MTInputs!$J$5:$AZ$5,0))</f>
        <v/>
      </c>
      <c r="Y44" s="24">
        <f>INDEX(MTInputs!$J$1:$AZ$415,$D44,MATCH(Y$5,MTInputs!$J$5:$AZ$5,0))</f>
        <v/>
      </c>
      <c r="Z44" s="24">
        <f>INDEX(MTInputs!$J$1:$AZ$415,$D44,MATCH(Z$5,MTInputs!$J$5:$AZ$5,0))</f>
        <v/>
      </c>
      <c r="AA44" s="24">
        <f>INDEX(MTInputs!$J$1:$AZ$415,$D44,MATCH(AA$5,MTInputs!$J$5:$AZ$5,0))</f>
        <v/>
      </c>
      <c r="AB44" s="24">
        <f>INDEX(MTInputs!$J$1:$AZ$415,$D44,MATCH(AB$5,MTInputs!$J$5:$AZ$5,0))</f>
        <v/>
      </c>
      <c r="AC44" s="24">
        <f>INDEX(MTInputs!$J$1:$AZ$415,$D44,MATCH(AC$5,MTInputs!$J$5:$AZ$5,0))</f>
        <v/>
      </c>
      <c r="AD44" s="24">
        <f>INDEX(MTInputs!$J$1:$AZ$415,$D44,MATCH(AD$5,MTInputs!$J$5:$AZ$5,0))</f>
        <v/>
      </c>
      <c r="AE44" s="24">
        <f>INDEX(MTInputs!$J$1:$AZ$415,$D44,MATCH(AE$5,MTInputs!$J$5:$AZ$5,0))</f>
        <v/>
      </c>
      <c r="AG44" s="11">
        <f>CodePrefix&amp;$A44&amp;IF($C44="","","."&amp;$C44&amp;"."&amp;$B44)&amp;INDEX(VarEnd,MATCH($A44,VarKey,0))&amp;AG$5</f>
        <v/>
      </c>
      <c r="AH44" s="23">
        <f>INDEX(MTInputs!$J$1:$AZ$415,$D44,MATCH(AH$5,MTInputs!$J$5:$AZ$5,0))</f>
        <v/>
      </c>
      <c r="AI44" s="24">
        <f>INDEX(MTInputs!$J$1:$AZ$415,$D44,MATCH(AI$5,MTInputs!$J$5:$AZ$5,0))</f>
        <v/>
      </c>
      <c r="AJ44" s="24">
        <f>INDEX(MTInputs!$J$1:$AZ$415,$D44,MATCH(AJ$5,MTInputs!$J$5:$AZ$5,0))</f>
        <v/>
      </c>
      <c r="AK44" s="24">
        <f>INDEX(MTInputs!$J$1:$AZ$415,$D44,MATCH(AK$5,MTInputs!$J$5:$AZ$5,0))</f>
        <v/>
      </c>
      <c r="AL44" s="24">
        <f>INDEX(MTInputs!$J$1:$AZ$415,$D44,MATCH(AL$5,MTInputs!$J$5:$AZ$5,0))</f>
        <v/>
      </c>
      <c r="AM44" s="24">
        <f>INDEX(MTInputs!$J$1:$AZ$415,$D44,MATCH(AM$5,MTInputs!$J$5:$AZ$5,0))</f>
        <v/>
      </c>
      <c r="AN44" s="24">
        <f>INDEX(MTInputs!$J$1:$AZ$415,$D44,MATCH(AN$5,MTInputs!$J$5:$AZ$5,0))</f>
        <v/>
      </c>
      <c r="AO44" s="24">
        <f>INDEX(MTInputs!$J$1:$AZ$415,$D44,MATCH(AO$5,MTInputs!$J$5:$AZ$5,0))</f>
        <v/>
      </c>
      <c r="AP44" s="24">
        <f>INDEX(MTInputs!$J$1:$AZ$415,$D44,MATCH(AP$5,MTInputs!$J$5:$AZ$5,0))</f>
        <v/>
      </c>
      <c r="AQ44" s="24">
        <f>INDEX(MTInputs!$J$1:$AZ$415,$D44,MATCH(AQ$5,MTInputs!$J$5:$AZ$5,0))</f>
        <v/>
      </c>
      <c r="AR44" s="24">
        <f>INDEX(MTInputs!$J$1:$AZ$415,$D44,MATCH(AR$5,MTInputs!$J$5:$AZ$5,0))</f>
        <v/>
      </c>
      <c r="AS44" s="24">
        <f>INDEX(MTInputs!$J$1:$AZ$415,$D44,MATCH(AS$5,MTInputs!$J$5:$AZ$5,0))</f>
        <v/>
      </c>
      <c r="AT44" s="24">
        <f>INDEX(MTInputs!$J$1:$AZ$415,$D44,MATCH(AT$5,MTInputs!$J$5:$AZ$5,0))</f>
        <v/>
      </c>
      <c r="AU44" s="24">
        <f>INDEX(MTInputs!$J$1:$AZ$415,$D44,MATCH(AU$5,MTInputs!$J$5:$AZ$5,0))</f>
        <v/>
      </c>
      <c r="AV44" s="24">
        <f>INDEX(MTInputs!$J$1:$AZ$415,$D44,MATCH(AV$5,MTInputs!$J$5:$AZ$5,0))</f>
        <v/>
      </c>
      <c r="AW44" s="24">
        <f>INDEX(MTInputs!$J$1:$AZ$415,$D44,MATCH(AW$5,MTInputs!$J$5:$AZ$5,0))</f>
        <v/>
      </c>
      <c r="AX44" s="24">
        <f>INDEX(MTInputs!$J$1:$AZ$415,$D44,MATCH(AX$5,MTInputs!$J$5:$AZ$5,0))</f>
        <v/>
      </c>
      <c r="AY44" s="24">
        <f>INDEX(MTInputs!$J$1:$AZ$415,$D44,MATCH(AY$5,MTInputs!$J$5:$AZ$5,0))</f>
        <v/>
      </c>
      <c r="AZ44" s="24">
        <f>INDEX(MTInputs!$J$1:$AZ$415,$D44,MATCH(AZ$5,MTInputs!$J$5:$AZ$5,0))</f>
        <v/>
      </c>
      <c r="BA44" s="24">
        <f>INDEX(MTInputs!$J$1:$AZ$415,$D44,MATCH(BA$5,MTInputs!$J$5:$AZ$5,0))</f>
        <v/>
      </c>
    </row>
    <row r="45" hidden="1" outlineLevel="1">
      <c r="A45" s="14" t="inlineStr">
        <is>
          <t>ctcov</t>
        </is>
      </c>
      <c r="B45" s="14" t="inlineStr">
        <is>
          <t>all</t>
        </is>
      </c>
      <c r="C45" s="14" t="inlineStr">
        <is>
          <t>omn</t>
        </is>
      </c>
      <c r="D45" s="22" t="n">
        <v>44</v>
      </c>
      <c r="H45" s="14">
        <f>INDEX(VarLab,MATCH($A45,VarKey,0))&amp;INDEX(MemLab,MATCH($C45&amp;"|"&amp;$B45,MemKey,0))</f>
        <v/>
      </c>
      <c r="I45" s="14">
        <f>INDEX(VarUnit,MATCH($A45,VarKey,0))</f>
        <v/>
      </c>
      <c r="J45" s="14">
        <f>INDEX(VarSrc,MATCH($A45,VarKey,0))</f>
        <v/>
      </c>
      <c r="K45" s="11">
        <f>CodePrefix&amp;$A45&amp;IF($C45="","","."&amp;$C45&amp;"."&amp;$B45)&amp;INDEX(VarEnd,MATCH($A45,VarKey,0))&amp;K$5</f>
        <v/>
      </c>
      <c r="L45" s="23">
        <f>INDEX(MTInputs!$J$1:$AZ$415,$D45,MATCH(L$5,MTInputs!$J$5:$AZ$5,0))</f>
        <v/>
      </c>
      <c r="M45" s="24">
        <f>INDEX(MTInputs!$J$1:$AZ$415,$D45,MATCH(M$5,MTInputs!$J$5:$AZ$5,0))</f>
        <v/>
      </c>
      <c r="N45" s="24">
        <f>INDEX(MTInputs!$J$1:$AZ$415,$D45,MATCH(N$5,MTInputs!$J$5:$AZ$5,0))</f>
        <v/>
      </c>
      <c r="O45" s="24">
        <f>INDEX(MTInputs!$J$1:$AZ$415,$D45,MATCH(O$5,MTInputs!$J$5:$AZ$5,0))</f>
        <v/>
      </c>
      <c r="P45" s="24">
        <f>INDEX(MTInputs!$J$1:$AZ$415,$D45,MATCH(P$5,MTInputs!$J$5:$AZ$5,0))</f>
        <v/>
      </c>
      <c r="Q45" s="24">
        <f>INDEX(MTInputs!$J$1:$AZ$415,$D45,MATCH(Q$5,MTInputs!$J$5:$AZ$5,0))</f>
        <v/>
      </c>
      <c r="R45" s="24">
        <f>INDEX(MTInputs!$J$1:$AZ$415,$D45,MATCH(R$5,MTInputs!$J$5:$AZ$5,0))</f>
        <v/>
      </c>
      <c r="S45" s="24">
        <f>INDEX(MTInputs!$J$1:$AZ$415,$D45,MATCH(S$5,MTInputs!$J$5:$AZ$5,0))</f>
        <v/>
      </c>
      <c r="T45" s="24">
        <f>INDEX(MTInputs!$J$1:$AZ$415,$D45,MATCH(T$5,MTInputs!$J$5:$AZ$5,0))</f>
        <v/>
      </c>
      <c r="U45" s="24">
        <f>INDEX(MTInputs!$J$1:$AZ$415,$D45,MATCH(U$5,MTInputs!$J$5:$AZ$5,0))</f>
        <v/>
      </c>
      <c r="V45" s="24">
        <f>INDEX(MTInputs!$J$1:$AZ$415,$D45,MATCH(V$5,MTInputs!$J$5:$AZ$5,0))</f>
        <v/>
      </c>
      <c r="W45" s="24">
        <f>INDEX(MTInputs!$J$1:$AZ$415,$D45,MATCH(W$5,MTInputs!$J$5:$AZ$5,0))</f>
        <v/>
      </c>
      <c r="X45" s="24">
        <f>INDEX(MTInputs!$J$1:$AZ$415,$D45,MATCH(X$5,MTInputs!$J$5:$AZ$5,0))</f>
        <v/>
      </c>
      <c r="Y45" s="24">
        <f>INDEX(MTInputs!$J$1:$AZ$415,$D45,MATCH(Y$5,MTInputs!$J$5:$AZ$5,0))</f>
        <v/>
      </c>
      <c r="Z45" s="24">
        <f>INDEX(MTInputs!$J$1:$AZ$415,$D45,MATCH(Z$5,MTInputs!$J$5:$AZ$5,0))</f>
        <v/>
      </c>
      <c r="AA45" s="24">
        <f>INDEX(MTInputs!$J$1:$AZ$415,$D45,MATCH(AA$5,MTInputs!$J$5:$AZ$5,0))</f>
        <v/>
      </c>
      <c r="AB45" s="24">
        <f>INDEX(MTInputs!$J$1:$AZ$415,$D45,MATCH(AB$5,MTInputs!$J$5:$AZ$5,0))</f>
        <v/>
      </c>
      <c r="AC45" s="24">
        <f>INDEX(MTInputs!$J$1:$AZ$415,$D45,MATCH(AC$5,MTInputs!$J$5:$AZ$5,0))</f>
        <v/>
      </c>
      <c r="AD45" s="24">
        <f>INDEX(MTInputs!$J$1:$AZ$415,$D45,MATCH(AD$5,MTInputs!$J$5:$AZ$5,0))</f>
        <v/>
      </c>
      <c r="AE45" s="24">
        <f>INDEX(MTInputs!$J$1:$AZ$415,$D45,MATCH(AE$5,MTInputs!$J$5:$AZ$5,0))</f>
        <v/>
      </c>
      <c r="AG45" s="11">
        <f>CodePrefix&amp;$A45&amp;IF($C45="","","."&amp;$C45&amp;"."&amp;$B45)&amp;INDEX(VarEnd,MATCH($A45,VarKey,0))&amp;AG$5</f>
        <v/>
      </c>
      <c r="AH45" s="23">
        <f>INDEX(MTInputs!$J$1:$AZ$415,$D45,MATCH(AH$5,MTInputs!$J$5:$AZ$5,0))</f>
        <v/>
      </c>
      <c r="AI45" s="24">
        <f>INDEX(MTInputs!$J$1:$AZ$415,$D45,MATCH(AI$5,MTInputs!$J$5:$AZ$5,0))</f>
        <v/>
      </c>
      <c r="AJ45" s="24">
        <f>INDEX(MTInputs!$J$1:$AZ$415,$D45,MATCH(AJ$5,MTInputs!$J$5:$AZ$5,0))</f>
        <v/>
      </c>
      <c r="AK45" s="24">
        <f>INDEX(MTInputs!$J$1:$AZ$415,$D45,MATCH(AK$5,MTInputs!$J$5:$AZ$5,0))</f>
        <v/>
      </c>
      <c r="AL45" s="24">
        <f>INDEX(MTInputs!$J$1:$AZ$415,$D45,MATCH(AL$5,MTInputs!$J$5:$AZ$5,0))</f>
        <v/>
      </c>
      <c r="AM45" s="24">
        <f>INDEX(MTInputs!$J$1:$AZ$415,$D45,MATCH(AM$5,MTInputs!$J$5:$AZ$5,0))</f>
        <v/>
      </c>
      <c r="AN45" s="24">
        <f>INDEX(MTInputs!$J$1:$AZ$415,$D45,MATCH(AN$5,MTInputs!$J$5:$AZ$5,0))</f>
        <v/>
      </c>
      <c r="AO45" s="24">
        <f>INDEX(MTInputs!$J$1:$AZ$415,$D45,MATCH(AO$5,MTInputs!$J$5:$AZ$5,0))</f>
        <v/>
      </c>
      <c r="AP45" s="24">
        <f>INDEX(MTInputs!$J$1:$AZ$415,$D45,MATCH(AP$5,MTInputs!$J$5:$AZ$5,0))</f>
        <v/>
      </c>
      <c r="AQ45" s="24">
        <f>INDEX(MTInputs!$J$1:$AZ$415,$D45,MATCH(AQ$5,MTInputs!$J$5:$AZ$5,0))</f>
        <v/>
      </c>
      <c r="AR45" s="24">
        <f>INDEX(MTInputs!$J$1:$AZ$415,$D45,MATCH(AR$5,MTInputs!$J$5:$AZ$5,0))</f>
        <v/>
      </c>
      <c r="AS45" s="24">
        <f>INDEX(MTInputs!$J$1:$AZ$415,$D45,MATCH(AS$5,MTInputs!$J$5:$AZ$5,0))</f>
        <v/>
      </c>
      <c r="AT45" s="24">
        <f>INDEX(MTInputs!$J$1:$AZ$415,$D45,MATCH(AT$5,MTInputs!$J$5:$AZ$5,0))</f>
        <v/>
      </c>
      <c r="AU45" s="24">
        <f>INDEX(MTInputs!$J$1:$AZ$415,$D45,MATCH(AU$5,MTInputs!$J$5:$AZ$5,0))</f>
        <v/>
      </c>
      <c r="AV45" s="24">
        <f>INDEX(MTInputs!$J$1:$AZ$415,$D45,MATCH(AV$5,MTInputs!$J$5:$AZ$5,0))</f>
        <v/>
      </c>
      <c r="AW45" s="24">
        <f>INDEX(MTInputs!$J$1:$AZ$415,$D45,MATCH(AW$5,MTInputs!$J$5:$AZ$5,0))</f>
        <v/>
      </c>
      <c r="AX45" s="24">
        <f>INDEX(MTInputs!$J$1:$AZ$415,$D45,MATCH(AX$5,MTInputs!$J$5:$AZ$5,0))</f>
        <v/>
      </c>
      <c r="AY45" s="24">
        <f>INDEX(MTInputs!$J$1:$AZ$415,$D45,MATCH(AY$5,MTInputs!$J$5:$AZ$5,0))</f>
        <v/>
      </c>
      <c r="AZ45" s="24">
        <f>INDEX(MTInputs!$J$1:$AZ$415,$D45,MATCH(AZ$5,MTInputs!$J$5:$AZ$5,0))</f>
        <v/>
      </c>
      <c r="BA45" s="24">
        <f>INDEX(MTInputs!$J$1:$AZ$415,$D45,MATCH(BA$5,MTInputs!$J$5:$AZ$5,0))</f>
        <v/>
      </c>
    </row>
    <row r="46" hidden="1" outlineLevel="1">
      <c r="A46" s="14" t="inlineStr">
        <is>
          <t>ctcov</t>
        </is>
      </c>
      <c r="B46" s="14" t="inlineStr">
        <is>
          <t>all</t>
        </is>
      </c>
      <c r="C46" s="14" t="inlineStr">
        <is>
          <t>cst</t>
        </is>
      </c>
      <c r="D46" s="22" t="n">
        <v>45</v>
      </c>
      <c r="H46" s="14">
        <f>INDEX(VarLab,MATCH($A46,VarKey,0))&amp;INDEX(MemLab,MATCH($C46&amp;"|"&amp;$B46,MemKey,0))</f>
        <v/>
      </c>
      <c r="I46" s="14">
        <f>INDEX(VarUnit,MATCH($A46,VarKey,0))</f>
        <v/>
      </c>
      <c r="J46" s="14">
        <f>INDEX(VarSrc,MATCH($A46,VarKey,0))</f>
        <v/>
      </c>
      <c r="K46" s="11">
        <f>CodePrefix&amp;$A46&amp;IF($C46="","","."&amp;$C46&amp;"."&amp;$B46)&amp;INDEX(VarEnd,MATCH($A46,VarKey,0))&amp;K$5</f>
        <v/>
      </c>
      <c r="L46" s="23">
        <f>INDEX(MTInputs!$J$1:$AZ$415,$D46,MATCH(L$5,MTInputs!$J$5:$AZ$5,0))</f>
        <v/>
      </c>
      <c r="M46" s="24">
        <f>INDEX(MTInputs!$J$1:$AZ$415,$D46,MATCH(M$5,MTInputs!$J$5:$AZ$5,0))</f>
        <v/>
      </c>
      <c r="N46" s="24">
        <f>INDEX(MTInputs!$J$1:$AZ$415,$D46,MATCH(N$5,MTInputs!$J$5:$AZ$5,0))</f>
        <v/>
      </c>
      <c r="O46" s="24">
        <f>INDEX(MTInputs!$J$1:$AZ$415,$D46,MATCH(O$5,MTInputs!$J$5:$AZ$5,0))</f>
        <v/>
      </c>
      <c r="P46" s="24">
        <f>INDEX(MTInputs!$J$1:$AZ$415,$D46,MATCH(P$5,MTInputs!$J$5:$AZ$5,0))</f>
        <v/>
      </c>
      <c r="Q46" s="24">
        <f>INDEX(MTInputs!$J$1:$AZ$415,$D46,MATCH(Q$5,MTInputs!$J$5:$AZ$5,0))</f>
        <v/>
      </c>
      <c r="R46" s="24">
        <f>INDEX(MTInputs!$J$1:$AZ$415,$D46,MATCH(R$5,MTInputs!$J$5:$AZ$5,0))</f>
        <v/>
      </c>
      <c r="S46" s="24">
        <f>INDEX(MTInputs!$J$1:$AZ$415,$D46,MATCH(S$5,MTInputs!$J$5:$AZ$5,0))</f>
        <v/>
      </c>
      <c r="T46" s="24">
        <f>INDEX(MTInputs!$J$1:$AZ$415,$D46,MATCH(T$5,MTInputs!$J$5:$AZ$5,0))</f>
        <v/>
      </c>
      <c r="U46" s="24">
        <f>INDEX(MTInputs!$J$1:$AZ$415,$D46,MATCH(U$5,MTInputs!$J$5:$AZ$5,0))</f>
        <v/>
      </c>
      <c r="V46" s="24">
        <f>INDEX(MTInputs!$J$1:$AZ$415,$D46,MATCH(V$5,MTInputs!$J$5:$AZ$5,0))</f>
        <v/>
      </c>
      <c r="W46" s="24">
        <f>INDEX(MTInputs!$J$1:$AZ$415,$D46,MATCH(W$5,MTInputs!$J$5:$AZ$5,0))</f>
        <v/>
      </c>
      <c r="X46" s="24">
        <f>INDEX(MTInputs!$J$1:$AZ$415,$D46,MATCH(X$5,MTInputs!$J$5:$AZ$5,0))</f>
        <v/>
      </c>
      <c r="Y46" s="24">
        <f>INDEX(MTInputs!$J$1:$AZ$415,$D46,MATCH(Y$5,MTInputs!$J$5:$AZ$5,0))</f>
        <v/>
      </c>
      <c r="Z46" s="24">
        <f>INDEX(MTInputs!$J$1:$AZ$415,$D46,MATCH(Z$5,MTInputs!$J$5:$AZ$5,0))</f>
        <v/>
      </c>
      <c r="AA46" s="24">
        <f>INDEX(MTInputs!$J$1:$AZ$415,$D46,MATCH(AA$5,MTInputs!$J$5:$AZ$5,0))</f>
        <v/>
      </c>
      <c r="AB46" s="24">
        <f>INDEX(MTInputs!$J$1:$AZ$415,$D46,MATCH(AB$5,MTInputs!$J$5:$AZ$5,0))</f>
        <v/>
      </c>
      <c r="AC46" s="24">
        <f>INDEX(MTInputs!$J$1:$AZ$415,$D46,MATCH(AC$5,MTInputs!$J$5:$AZ$5,0))</f>
        <v/>
      </c>
      <c r="AD46" s="24">
        <f>INDEX(MTInputs!$J$1:$AZ$415,$D46,MATCH(AD$5,MTInputs!$J$5:$AZ$5,0))</f>
        <v/>
      </c>
      <c r="AE46" s="24">
        <f>INDEX(MTInputs!$J$1:$AZ$415,$D46,MATCH(AE$5,MTInputs!$J$5:$AZ$5,0))</f>
        <v/>
      </c>
      <c r="AG46" s="11">
        <f>CodePrefix&amp;$A46&amp;IF($C46="","","."&amp;$C46&amp;"."&amp;$B46)&amp;INDEX(VarEnd,MATCH($A46,VarKey,0))&amp;AG$5</f>
        <v/>
      </c>
      <c r="AH46" s="23">
        <f>INDEX(MTInputs!$J$1:$AZ$415,$D46,MATCH(AH$5,MTInputs!$J$5:$AZ$5,0))</f>
        <v/>
      </c>
      <c r="AI46" s="24">
        <f>INDEX(MTInputs!$J$1:$AZ$415,$D46,MATCH(AI$5,MTInputs!$J$5:$AZ$5,0))</f>
        <v/>
      </c>
      <c r="AJ46" s="24">
        <f>INDEX(MTInputs!$J$1:$AZ$415,$D46,MATCH(AJ$5,MTInputs!$J$5:$AZ$5,0))</f>
        <v/>
      </c>
      <c r="AK46" s="24">
        <f>INDEX(MTInputs!$J$1:$AZ$415,$D46,MATCH(AK$5,MTInputs!$J$5:$AZ$5,0))</f>
        <v/>
      </c>
      <c r="AL46" s="24">
        <f>INDEX(MTInputs!$J$1:$AZ$415,$D46,MATCH(AL$5,MTInputs!$J$5:$AZ$5,0))</f>
        <v/>
      </c>
      <c r="AM46" s="24">
        <f>INDEX(MTInputs!$J$1:$AZ$415,$D46,MATCH(AM$5,MTInputs!$J$5:$AZ$5,0))</f>
        <v/>
      </c>
      <c r="AN46" s="24">
        <f>INDEX(MTInputs!$J$1:$AZ$415,$D46,MATCH(AN$5,MTInputs!$J$5:$AZ$5,0))</f>
        <v/>
      </c>
      <c r="AO46" s="24">
        <f>INDEX(MTInputs!$J$1:$AZ$415,$D46,MATCH(AO$5,MTInputs!$J$5:$AZ$5,0))</f>
        <v/>
      </c>
      <c r="AP46" s="24">
        <f>INDEX(MTInputs!$J$1:$AZ$415,$D46,MATCH(AP$5,MTInputs!$J$5:$AZ$5,0))</f>
        <v/>
      </c>
      <c r="AQ46" s="24">
        <f>INDEX(MTInputs!$J$1:$AZ$415,$D46,MATCH(AQ$5,MTInputs!$J$5:$AZ$5,0))</f>
        <v/>
      </c>
      <c r="AR46" s="24">
        <f>INDEX(MTInputs!$J$1:$AZ$415,$D46,MATCH(AR$5,MTInputs!$J$5:$AZ$5,0))</f>
        <v/>
      </c>
      <c r="AS46" s="24">
        <f>INDEX(MTInputs!$J$1:$AZ$415,$D46,MATCH(AS$5,MTInputs!$J$5:$AZ$5,0))</f>
        <v/>
      </c>
      <c r="AT46" s="24">
        <f>INDEX(MTInputs!$J$1:$AZ$415,$D46,MATCH(AT$5,MTInputs!$J$5:$AZ$5,0))</f>
        <v/>
      </c>
      <c r="AU46" s="24">
        <f>INDEX(MTInputs!$J$1:$AZ$415,$D46,MATCH(AU$5,MTInputs!$J$5:$AZ$5,0))</f>
        <v/>
      </c>
      <c r="AV46" s="24">
        <f>INDEX(MTInputs!$J$1:$AZ$415,$D46,MATCH(AV$5,MTInputs!$J$5:$AZ$5,0))</f>
        <v/>
      </c>
      <c r="AW46" s="24">
        <f>INDEX(MTInputs!$J$1:$AZ$415,$D46,MATCH(AW$5,MTInputs!$J$5:$AZ$5,0))</f>
        <v/>
      </c>
      <c r="AX46" s="24">
        <f>INDEX(MTInputs!$J$1:$AZ$415,$D46,MATCH(AX$5,MTInputs!$J$5:$AZ$5,0))</f>
        <v/>
      </c>
      <c r="AY46" s="24">
        <f>INDEX(MTInputs!$J$1:$AZ$415,$D46,MATCH(AY$5,MTInputs!$J$5:$AZ$5,0))</f>
        <v/>
      </c>
      <c r="AZ46" s="24">
        <f>INDEX(MTInputs!$J$1:$AZ$415,$D46,MATCH(AZ$5,MTInputs!$J$5:$AZ$5,0))</f>
        <v/>
      </c>
      <c r="BA46" s="24">
        <f>INDEX(MTInputs!$J$1:$AZ$415,$D46,MATCH(BA$5,MTInputs!$J$5:$AZ$5,0))</f>
        <v/>
      </c>
    </row>
    <row r="47" hidden="1" outlineLevel="1">
      <c r="A47" s="14" t="inlineStr">
        <is>
          <t>ctcov</t>
        </is>
      </c>
      <c r="B47" s="14" t="inlineStr">
        <is>
          <t>all</t>
        </is>
      </c>
      <c r="C47" s="14" t="inlineStr">
        <is>
          <t>ftr</t>
        </is>
      </c>
      <c r="D47" s="22" t="n">
        <v>46</v>
      </c>
      <c r="H47" s="14">
        <f>INDEX(VarLab,MATCH($A47,VarKey,0))&amp;INDEX(MemLab,MATCH($C47&amp;"|"&amp;$B47,MemKey,0))</f>
        <v/>
      </c>
      <c r="I47" s="14">
        <f>INDEX(VarUnit,MATCH($A47,VarKey,0))</f>
        <v/>
      </c>
      <c r="J47" s="14">
        <f>INDEX(VarSrc,MATCH($A47,VarKey,0))</f>
        <v/>
      </c>
      <c r="K47" s="11">
        <f>CodePrefix&amp;$A47&amp;IF($C47="","","."&amp;$C47&amp;"."&amp;$B47)&amp;INDEX(VarEnd,MATCH($A47,VarKey,0))&amp;K$5</f>
        <v/>
      </c>
      <c r="L47" s="23">
        <f>INDEX(MTInputs!$J$1:$AZ$415,$D47,MATCH(L$5,MTInputs!$J$5:$AZ$5,0))</f>
        <v/>
      </c>
      <c r="M47" s="24">
        <f>INDEX(MTInputs!$J$1:$AZ$415,$D47,MATCH(M$5,MTInputs!$J$5:$AZ$5,0))</f>
        <v/>
      </c>
      <c r="N47" s="24">
        <f>INDEX(MTInputs!$J$1:$AZ$415,$D47,MATCH(N$5,MTInputs!$J$5:$AZ$5,0))</f>
        <v/>
      </c>
      <c r="O47" s="24">
        <f>INDEX(MTInputs!$J$1:$AZ$415,$D47,MATCH(O$5,MTInputs!$J$5:$AZ$5,0))</f>
        <v/>
      </c>
      <c r="P47" s="24">
        <f>INDEX(MTInputs!$J$1:$AZ$415,$D47,MATCH(P$5,MTInputs!$J$5:$AZ$5,0))</f>
        <v/>
      </c>
      <c r="Q47" s="24">
        <f>INDEX(MTInputs!$J$1:$AZ$415,$D47,MATCH(Q$5,MTInputs!$J$5:$AZ$5,0))</f>
        <v/>
      </c>
      <c r="R47" s="24">
        <f>INDEX(MTInputs!$J$1:$AZ$415,$D47,MATCH(R$5,MTInputs!$J$5:$AZ$5,0))</f>
        <v/>
      </c>
      <c r="S47" s="24">
        <f>INDEX(MTInputs!$J$1:$AZ$415,$D47,MATCH(S$5,MTInputs!$J$5:$AZ$5,0))</f>
        <v/>
      </c>
      <c r="T47" s="24">
        <f>INDEX(MTInputs!$J$1:$AZ$415,$D47,MATCH(T$5,MTInputs!$J$5:$AZ$5,0))</f>
        <v/>
      </c>
      <c r="U47" s="24">
        <f>INDEX(MTInputs!$J$1:$AZ$415,$D47,MATCH(U$5,MTInputs!$J$5:$AZ$5,0))</f>
        <v/>
      </c>
      <c r="V47" s="24">
        <f>INDEX(MTInputs!$J$1:$AZ$415,$D47,MATCH(V$5,MTInputs!$J$5:$AZ$5,0))</f>
        <v/>
      </c>
      <c r="W47" s="24">
        <f>INDEX(MTInputs!$J$1:$AZ$415,$D47,MATCH(W$5,MTInputs!$J$5:$AZ$5,0))</f>
        <v/>
      </c>
      <c r="X47" s="24">
        <f>INDEX(MTInputs!$J$1:$AZ$415,$D47,MATCH(X$5,MTInputs!$J$5:$AZ$5,0))</f>
        <v/>
      </c>
      <c r="Y47" s="24">
        <f>INDEX(MTInputs!$J$1:$AZ$415,$D47,MATCH(Y$5,MTInputs!$J$5:$AZ$5,0))</f>
        <v/>
      </c>
      <c r="Z47" s="24">
        <f>INDEX(MTInputs!$J$1:$AZ$415,$D47,MATCH(Z$5,MTInputs!$J$5:$AZ$5,0))</f>
        <v/>
      </c>
      <c r="AA47" s="24">
        <f>INDEX(MTInputs!$J$1:$AZ$415,$D47,MATCH(AA$5,MTInputs!$J$5:$AZ$5,0))</f>
        <v/>
      </c>
      <c r="AB47" s="24">
        <f>INDEX(MTInputs!$J$1:$AZ$415,$D47,MATCH(AB$5,MTInputs!$J$5:$AZ$5,0))</f>
        <v/>
      </c>
      <c r="AC47" s="24">
        <f>INDEX(MTInputs!$J$1:$AZ$415,$D47,MATCH(AC$5,MTInputs!$J$5:$AZ$5,0))</f>
        <v/>
      </c>
      <c r="AD47" s="24">
        <f>INDEX(MTInputs!$J$1:$AZ$415,$D47,MATCH(AD$5,MTInputs!$J$5:$AZ$5,0))</f>
        <v/>
      </c>
      <c r="AE47" s="24">
        <f>INDEX(MTInputs!$J$1:$AZ$415,$D47,MATCH(AE$5,MTInputs!$J$5:$AZ$5,0))</f>
        <v/>
      </c>
      <c r="AG47" s="11">
        <f>CodePrefix&amp;$A47&amp;IF($C47="","","."&amp;$C47&amp;"."&amp;$B47)&amp;INDEX(VarEnd,MATCH($A47,VarKey,0))&amp;AG$5</f>
        <v/>
      </c>
      <c r="AH47" s="23">
        <f>INDEX(MTInputs!$J$1:$AZ$415,$D47,MATCH(AH$5,MTInputs!$J$5:$AZ$5,0))</f>
        <v/>
      </c>
      <c r="AI47" s="24">
        <f>INDEX(MTInputs!$J$1:$AZ$415,$D47,MATCH(AI$5,MTInputs!$J$5:$AZ$5,0))</f>
        <v/>
      </c>
      <c r="AJ47" s="24">
        <f>INDEX(MTInputs!$J$1:$AZ$415,$D47,MATCH(AJ$5,MTInputs!$J$5:$AZ$5,0))</f>
        <v/>
      </c>
      <c r="AK47" s="24">
        <f>INDEX(MTInputs!$J$1:$AZ$415,$D47,MATCH(AK$5,MTInputs!$J$5:$AZ$5,0))</f>
        <v/>
      </c>
      <c r="AL47" s="24">
        <f>INDEX(MTInputs!$J$1:$AZ$415,$D47,MATCH(AL$5,MTInputs!$J$5:$AZ$5,0))</f>
        <v/>
      </c>
      <c r="AM47" s="24">
        <f>INDEX(MTInputs!$J$1:$AZ$415,$D47,MATCH(AM$5,MTInputs!$J$5:$AZ$5,0))</f>
        <v/>
      </c>
      <c r="AN47" s="24">
        <f>INDEX(MTInputs!$J$1:$AZ$415,$D47,MATCH(AN$5,MTInputs!$J$5:$AZ$5,0))</f>
        <v/>
      </c>
      <c r="AO47" s="24">
        <f>INDEX(MTInputs!$J$1:$AZ$415,$D47,MATCH(AO$5,MTInputs!$J$5:$AZ$5,0))</f>
        <v/>
      </c>
      <c r="AP47" s="24">
        <f>INDEX(MTInputs!$J$1:$AZ$415,$D47,MATCH(AP$5,MTInputs!$J$5:$AZ$5,0))</f>
        <v/>
      </c>
      <c r="AQ47" s="24">
        <f>INDEX(MTInputs!$J$1:$AZ$415,$D47,MATCH(AQ$5,MTInputs!$J$5:$AZ$5,0))</f>
        <v/>
      </c>
      <c r="AR47" s="24">
        <f>INDEX(MTInputs!$J$1:$AZ$415,$D47,MATCH(AR$5,MTInputs!$J$5:$AZ$5,0))</f>
        <v/>
      </c>
      <c r="AS47" s="24">
        <f>INDEX(MTInputs!$J$1:$AZ$415,$D47,MATCH(AS$5,MTInputs!$J$5:$AZ$5,0))</f>
        <v/>
      </c>
      <c r="AT47" s="24">
        <f>INDEX(MTInputs!$J$1:$AZ$415,$D47,MATCH(AT$5,MTInputs!$J$5:$AZ$5,0))</f>
        <v/>
      </c>
      <c r="AU47" s="24">
        <f>INDEX(MTInputs!$J$1:$AZ$415,$D47,MATCH(AU$5,MTInputs!$J$5:$AZ$5,0))</f>
        <v/>
      </c>
      <c r="AV47" s="24">
        <f>INDEX(MTInputs!$J$1:$AZ$415,$D47,MATCH(AV$5,MTInputs!$J$5:$AZ$5,0))</f>
        <v/>
      </c>
      <c r="AW47" s="24">
        <f>INDEX(MTInputs!$J$1:$AZ$415,$D47,MATCH(AW$5,MTInputs!$J$5:$AZ$5,0))</f>
        <v/>
      </c>
      <c r="AX47" s="24">
        <f>INDEX(MTInputs!$J$1:$AZ$415,$D47,MATCH(AX$5,MTInputs!$J$5:$AZ$5,0))</f>
        <v/>
      </c>
      <c r="AY47" s="24">
        <f>INDEX(MTInputs!$J$1:$AZ$415,$D47,MATCH(AY$5,MTInputs!$J$5:$AZ$5,0))</f>
        <v/>
      </c>
      <c r="AZ47" s="24">
        <f>INDEX(MTInputs!$J$1:$AZ$415,$D47,MATCH(AZ$5,MTInputs!$J$5:$AZ$5,0))</f>
        <v/>
      </c>
      <c r="BA47" s="24">
        <f>INDEX(MTInputs!$J$1:$AZ$415,$D47,MATCH(BA$5,MTInputs!$J$5:$AZ$5,0))</f>
        <v/>
      </c>
    </row>
    <row r="48" hidden="1" outlineLevel="1">
      <c r="A48" s="14" t="inlineStr">
        <is>
          <t>ctcov</t>
        </is>
      </c>
      <c r="B48" s="14" t="inlineStr">
        <is>
          <t>all</t>
        </is>
      </c>
      <c r="C48" s="14" t="inlineStr">
        <is>
          <t>oen</t>
        </is>
      </c>
      <c r="D48" s="22" t="n">
        <v>47</v>
      </c>
      <c r="H48" s="14">
        <f>INDEX(VarLab,MATCH($A48,VarKey,0))&amp;INDEX(MemLab,MATCH($C48&amp;"|"&amp;$B48,MemKey,0))</f>
        <v/>
      </c>
      <c r="I48" s="14">
        <f>INDEX(VarUnit,MATCH($A48,VarKey,0))</f>
        <v/>
      </c>
      <c r="J48" s="14">
        <f>INDEX(VarSrc,MATCH($A48,VarKey,0))</f>
        <v/>
      </c>
      <c r="K48" s="11">
        <f>CodePrefix&amp;$A48&amp;IF($C48="","","."&amp;$C48&amp;"."&amp;$B48)&amp;INDEX(VarEnd,MATCH($A48,VarKey,0))&amp;K$5</f>
        <v/>
      </c>
      <c r="L48" s="23">
        <f>INDEX(MTInputs!$J$1:$AZ$415,$D48,MATCH(L$5,MTInputs!$J$5:$AZ$5,0))</f>
        <v/>
      </c>
      <c r="M48" s="24">
        <f>INDEX(MTInputs!$J$1:$AZ$415,$D48,MATCH(M$5,MTInputs!$J$5:$AZ$5,0))</f>
        <v/>
      </c>
      <c r="N48" s="24">
        <f>INDEX(MTInputs!$J$1:$AZ$415,$D48,MATCH(N$5,MTInputs!$J$5:$AZ$5,0))</f>
        <v/>
      </c>
      <c r="O48" s="24">
        <f>INDEX(MTInputs!$J$1:$AZ$415,$D48,MATCH(O$5,MTInputs!$J$5:$AZ$5,0))</f>
        <v/>
      </c>
      <c r="P48" s="24">
        <f>INDEX(MTInputs!$J$1:$AZ$415,$D48,MATCH(P$5,MTInputs!$J$5:$AZ$5,0))</f>
        <v/>
      </c>
      <c r="Q48" s="24">
        <f>INDEX(MTInputs!$J$1:$AZ$415,$D48,MATCH(Q$5,MTInputs!$J$5:$AZ$5,0))</f>
        <v/>
      </c>
      <c r="R48" s="24">
        <f>INDEX(MTInputs!$J$1:$AZ$415,$D48,MATCH(R$5,MTInputs!$J$5:$AZ$5,0))</f>
        <v/>
      </c>
      <c r="S48" s="24">
        <f>INDEX(MTInputs!$J$1:$AZ$415,$D48,MATCH(S$5,MTInputs!$J$5:$AZ$5,0))</f>
        <v/>
      </c>
      <c r="T48" s="24">
        <f>INDEX(MTInputs!$J$1:$AZ$415,$D48,MATCH(T$5,MTInputs!$J$5:$AZ$5,0))</f>
        <v/>
      </c>
      <c r="U48" s="24">
        <f>INDEX(MTInputs!$J$1:$AZ$415,$D48,MATCH(U$5,MTInputs!$J$5:$AZ$5,0))</f>
        <v/>
      </c>
      <c r="V48" s="24">
        <f>INDEX(MTInputs!$J$1:$AZ$415,$D48,MATCH(V$5,MTInputs!$J$5:$AZ$5,0))</f>
        <v/>
      </c>
      <c r="W48" s="24">
        <f>INDEX(MTInputs!$J$1:$AZ$415,$D48,MATCH(W$5,MTInputs!$J$5:$AZ$5,0))</f>
        <v/>
      </c>
      <c r="X48" s="24">
        <f>INDEX(MTInputs!$J$1:$AZ$415,$D48,MATCH(X$5,MTInputs!$J$5:$AZ$5,0))</f>
        <v/>
      </c>
      <c r="Y48" s="24">
        <f>INDEX(MTInputs!$J$1:$AZ$415,$D48,MATCH(Y$5,MTInputs!$J$5:$AZ$5,0))</f>
        <v/>
      </c>
      <c r="Z48" s="24">
        <f>INDEX(MTInputs!$J$1:$AZ$415,$D48,MATCH(Z$5,MTInputs!$J$5:$AZ$5,0))</f>
        <v/>
      </c>
      <c r="AA48" s="24">
        <f>INDEX(MTInputs!$J$1:$AZ$415,$D48,MATCH(AA$5,MTInputs!$J$5:$AZ$5,0))</f>
        <v/>
      </c>
      <c r="AB48" s="24">
        <f>INDEX(MTInputs!$J$1:$AZ$415,$D48,MATCH(AB$5,MTInputs!$J$5:$AZ$5,0))</f>
        <v/>
      </c>
      <c r="AC48" s="24">
        <f>INDEX(MTInputs!$J$1:$AZ$415,$D48,MATCH(AC$5,MTInputs!$J$5:$AZ$5,0))</f>
        <v/>
      </c>
      <c r="AD48" s="24">
        <f>INDEX(MTInputs!$J$1:$AZ$415,$D48,MATCH(AD$5,MTInputs!$J$5:$AZ$5,0))</f>
        <v/>
      </c>
      <c r="AE48" s="24">
        <f>INDEX(MTInputs!$J$1:$AZ$415,$D48,MATCH(AE$5,MTInputs!$J$5:$AZ$5,0))</f>
        <v/>
      </c>
      <c r="AG48" s="11">
        <f>CodePrefix&amp;$A48&amp;IF($C48="","","."&amp;$C48&amp;"."&amp;$B48)&amp;INDEX(VarEnd,MATCH($A48,VarKey,0))&amp;AG$5</f>
        <v/>
      </c>
      <c r="AH48" s="23">
        <f>INDEX(MTInputs!$J$1:$AZ$415,$D48,MATCH(AH$5,MTInputs!$J$5:$AZ$5,0))</f>
        <v/>
      </c>
      <c r="AI48" s="24">
        <f>INDEX(MTInputs!$J$1:$AZ$415,$D48,MATCH(AI$5,MTInputs!$J$5:$AZ$5,0))</f>
        <v/>
      </c>
      <c r="AJ48" s="24">
        <f>INDEX(MTInputs!$J$1:$AZ$415,$D48,MATCH(AJ$5,MTInputs!$J$5:$AZ$5,0))</f>
        <v/>
      </c>
      <c r="AK48" s="24">
        <f>INDEX(MTInputs!$J$1:$AZ$415,$D48,MATCH(AK$5,MTInputs!$J$5:$AZ$5,0))</f>
        <v/>
      </c>
      <c r="AL48" s="24">
        <f>INDEX(MTInputs!$J$1:$AZ$415,$D48,MATCH(AL$5,MTInputs!$J$5:$AZ$5,0))</f>
        <v/>
      </c>
      <c r="AM48" s="24">
        <f>INDEX(MTInputs!$J$1:$AZ$415,$D48,MATCH(AM$5,MTInputs!$J$5:$AZ$5,0))</f>
        <v/>
      </c>
      <c r="AN48" s="24">
        <f>INDEX(MTInputs!$J$1:$AZ$415,$D48,MATCH(AN$5,MTInputs!$J$5:$AZ$5,0))</f>
        <v/>
      </c>
      <c r="AO48" s="24">
        <f>INDEX(MTInputs!$J$1:$AZ$415,$D48,MATCH(AO$5,MTInputs!$J$5:$AZ$5,0))</f>
        <v/>
      </c>
      <c r="AP48" s="24">
        <f>INDEX(MTInputs!$J$1:$AZ$415,$D48,MATCH(AP$5,MTInputs!$J$5:$AZ$5,0))</f>
        <v/>
      </c>
      <c r="AQ48" s="24">
        <f>INDEX(MTInputs!$J$1:$AZ$415,$D48,MATCH(AQ$5,MTInputs!$J$5:$AZ$5,0))</f>
        <v/>
      </c>
      <c r="AR48" s="24">
        <f>INDEX(MTInputs!$J$1:$AZ$415,$D48,MATCH(AR$5,MTInputs!$J$5:$AZ$5,0))</f>
        <v/>
      </c>
      <c r="AS48" s="24">
        <f>INDEX(MTInputs!$J$1:$AZ$415,$D48,MATCH(AS$5,MTInputs!$J$5:$AZ$5,0))</f>
        <v/>
      </c>
      <c r="AT48" s="24">
        <f>INDEX(MTInputs!$J$1:$AZ$415,$D48,MATCH(AT$5,MTInputs!$J$5:$AZ$5,0))</f>
        <v/>
      </c>
      <c r="AU48" s="24">
        <f>INDEX(MTInputs!$J$1:$AZ$415,$D48,MATCH(AU$5,MTInputs!$J$5:$AZ$5,0))</f>
        <v/>
      </c>
      <c r="AV48" s="24">
        <f>INDEX(MTInputs!$J$1:$AZ$415,$D48,MATCH(AV$5,MTInputs!$J$5:$AZ$5,0))</f>
        <v/>
      </c>
      <c r="AW48" s="24">
        <f>INDEX(MTInputs!$J$1:$AZ$415,$D48,MATCH(AW$5,MTInputs!$J$5:$AZ$5,0))</f>
        <v/>
      </c>
      <c r="AX48" s="24">
        <f>INDEX(MTInputs!$J$1:$AZ$415,$D48,MATCH(AX$5,MTInputs!$J$5:$AZ$5,0))</f>
        <v/>
      </c>
      <c r="AY48" s="24">
        <f>INDEX(MTInputs!$J$1:$AZ$415,$D48,MATCH(AY$5,MTInputs!$J$5:$AZ$5,0))</f>
        <v/>
      </c>
      <c r="AZ48" s="24">
        <f>INDEX(MTInputs!$J$1:$AZ$415,$D48,MATCH(AZ$5,MTInputs!$J$5:$AZ$5,0))</f>
        <v/>
      </c>
      <c r="BA48" s="24">
        <f>INDEX(MTInputs!$J$1:$AZ$415,$D48,MATCH(BA$5,MTInputs!$J$5:$AZ$5,0))</f>
        <v/>
      </c>
    </row>
    <row r="49" hidden="1" outlineLevel="1">
      <c r="H49" s="21" t="inlineStr">
        <is>
          <t>Fuel price reform (MTInputs rows 140-169; increases in price units)</t>
        </is>
      </c>
    </row>
    <row r="50" hidden="1" outlineLevel="1">
      <c r="A50" s="14" t="inlineStr">
        <is>
          <t>fpr.yr0</t>
        </is>
      </c>
      <c r="B50" s="14" t="inlineStr"/>
      <c r="C50" s="14" t="inlineStr"/>
      <c r="D50" s="22" t="n">
        <v>140</v>
      </c>
      <c r="H50" s="14">
        <f>INDEX(VarLab,MATCH($A50,VarKey,0))&amp;INDEX(MemLab,MATCH($C50&amp;"|"&amp;$B50,MemKey,0))</f>
        <v/>
      </c>
      <c r="I50" s="14">
        <f>INDEX(VarUnit,MATCH($A50,VarKey,0))</f>
        <v/>
      </c>
      <c r="J50" s="14">
        <f>INDEX(VarSrc,MATCH($A50,VarKey,0))</f>
        <v/>
      </c>
      <c r="K50" s="11">
        <f>CodePrefix&amp;$A50&amp;IF($C50="","","."&amp;$C50&amp;"."&amp;$B50)&amp;INDEX(VarEnd,MATCH($A50,VarKey,0))&amp;K$5</f>
        <v/>
      </c>
      <c r="L50" s="9">
        <f>INDEX(MTInputs!$J$1:$AZ$415,$D50,MATCH(L$5,MTInputs!$J$5:$AZ$5,0))</f>
        <v/>
      </c>
      <c r="M50" s="10">
        <f>INDEX(MTInputs!$J$1:$AZ$415,$D50,MATCH(M$5,MTInputs!$J$5:$AZ$5,0))</f>
        <v/>
      </c>
      <c r="N50" s="10">
        <f>INDEX(MTInputs!$J$1:$AZ$415,$D50,MATCH(N$5,MTInputs!$J$5:$AZ$5,0))</f>
        <v/>
      </c>
      <c r="O50" s="10">
        <f>INDEX(MTInputs!$J$1:$AZ$415,$D50,MATCH(O$5,MTInputs!$J$5:$AZ$5,0))</f>
        <v/>
      </c>
      <c r="P50" s="10">
        <f>INDEX(MTInputs!$J$1:$AZ$415,$D50,MATCH(P$5,MTInputs!$J$5:$AZ$5,0))</f>
        <v/>
      </c>
      <c r="Q50" s="10">
        <f>INDEX(MTInputs!$J$1:$AZ$415,$D50,MATCH(Q$5,MTInputs!$J$5:$AZ$5,0))</f>
        <v/>
      </c>
      <c r="R50" s="10">
        <f>INDEX(MTInputs!$J$1:$AZ$415,$D50,MATCH(R$5,MTInputs!$J$5:$AZ$5,0))</f>
        <v/>
      </c>
      <c r="S50" s="10">
        <f>INDEX(MTInputs!$J$1:$AZ$415,$D50,MATCH(S$5,MTInputs!$J$5:$AZ$5,0))</f>
        <v/>
      </c>
      <c r="T50" s="10">
        <f>INDEX(MTInputs!$J$1:$AZ$415,$D50,MATCH(T$5,MTInputs!$J$5:$AZ$5,0))</f>
        <v/>
      </c>
      <c r="U50" s="10">
        <f>INDEX(MTInputs!$J$1:$AZ$415,$D50,MATCH(U$5,MTInputs!$J$5:$AZ$5,0))</f>
        <v/>
      </c>
      <c r="V50" s="10">
        <f>INDEX(MTInputs!$J$1:$AZ$415,$D50,MATCH(V$5,MTInputs!$J$5:$AZ$5,0))</f>
        <v/>
      </c>
      <c r="W50" s="10">
        <f>INDEX(MTInputs!$J$1:$AZ$415,$D50,MATCH(W$5,MTInputs!$J$5:$AZ$5,0))</f>
        <v/>
      </c>
      <c r="X50" s="10">
        <f>INDEX(MTInputs!$J$1:$AZ$415,$D50,MATCH(X$5,MTInputs!$J$5:$AZ$5,0))</f>
        <v/>
      </c>
      <c r="Y50" s="10">
        <f>INDEX(MTInputs!$J$1:$AZ$415,$D50,MATCH(Y$5,MTInputs!$J$5:$AZ$5,0))</f>
        <v/>
      </c>
      <c r="Z50" s="10">
        <f>INDEX(MTInputs!$J$1:$AZ$415,$D50,MATCH(Z$5,MTInputs!$J$5:$AZ$5,0))</f>
        <v/>
      </c>
      <c r="AA50" s="10">
        <f>INDEX(MTInputs!$J$1:$AZ$415,$D50,MATCH(AA$5,MTInputs!$J$5:$AZ$5,0))</f>
        <v/>
      </c>
      <c r="AB50" s="10">
        <f>INDEX(MTInputs!$J$1:$AZ$415,$D50,MATCH(AB$5,MTInputs!$J$5:$AZ$5,0))</f>
        <v/>
      </c>
      <c r="AC50" s="10">
        <f>INDEX(MTInputs!$J$1:$AZ$415,$D50,MATCH(AC$5,MTInputs!$J$5:$AZ$5,0))</f>
        <v/>
      </c>
      <c r="AD50" s="10">
        <f>INDEX(MTInputs!$J$1:$AZ$415,$D50,MATCH(AD$5,MTInputs!$J$5:$AZ$5,0))</f>
        <v/>
      </c>
      <c r="AE50" s="10">
        <f>INDEX(MTInputs!$J$1:$AZ$415,$D50,MATCH(AE$5,MTInputs!$J$5:$AZ$5,0))</f>
        <v/>
      </c>
      <c r="AG50" s="11">
        <f>CodePrefix&amp;$A50&amp;IF($C50="","","."&amp;$C50&amp;"."&amp;$B50)&amp;INDEX(VarEnd,MATCH($A50,VarKey,0))&amp;AG$5</f>
        <v/>
      </c>
      <c r="AH50" s="9">
        <f>INDEX(MTInputs!$J$1:$AZ$415,$D50,MATCH(AH$5,MTInputs!$J$5:$AZ$5,0))</f>
        <v/>
      </c>
      <c r="AI50" s="10">
        <f>INDEX(MTInputs!$J$1:$AZ$415,$D50,MATCH(AI$5,MTInputs!$J$5:$AZ$5,0))</f>
        <v/>
      </c>
      <c r="AJ50" s="10">
        <f>INDEX(MTInputs!$J$1:$AZ$415,$D50,MATCH(AJ$5,MTInputs!$J$5:$AZ$5,0))</f>
        <v/>
      </c>
      <c r="AK50" s="10">
        <f>INDEX(MTInputs!$J$1:$AZ$415,$D50,MATCH(AK$5,MTInputs!$J$5:$AZ$5,0))</f>
        <v/>
      </c>
      <c r="AL50" s="10">
        <f>INDEX(MTInputs!$J$1:$AZ$415,$D50,MATCH(AL$5,MTInputs!$J$5:$AZ$5,0))</f>
        <v/>
      </c>
      <c r="AM50" s="10">
        <f>INDEX(MTInputs!$J$1:$AZ$415,$D50,MATCH(AM$5,MTInputs!$J$5:$AZ$5,0))</f>
        <v/>
      </c>
      <c r="AN50" s="10">
        <f>INDEX(MTInputs!$J$1:$AZ$415,$D50,MATCH(AN$5,MTInputs!$J$5:$AZ$5,0))</f>
        <v/>
      </c>
      <c r="AO50" s="10">
        <f>INDEX(MTInputs!$J$1:$AZ$415,$D50,MATCH(AO$5,MTInputs!$J$5:$AZ$5,0))</f>
        <v/>
      </c>
      <c r="AP50" s="10">
        <f>INDEX(MTInputs!$J$1:$AZ$415,$D50,MATCH(AP$5,MTInputs!$J$5:$AZ$5,0))</f>
        <v/>
      </c>
      <c r="AQ50" s="10">
        <f>INDEX(MTInputs!$J$1:$AZ$415,$D50,MATCH(AQ$5,MTInputs!$J$5:$AZ$5,0))</f>
        <v/>
      </c>
      <c r="AR50" s="10">
        <f>INDEX(MTInputs!$J$1:$AZ$415,$D50,MATCH(AR$5,MTInputs!$J$5:$AZ$5,0))</f>
        <v/>
      </c>
      <c r="AS50" s="10">
        <f>INDEX(MTInputs!$J$1:$AZ$415,$D50,MATCH(AS$5,MTInputs!$J$5:$AZ$5,0))</f>
        <v/>
      </c>
      <c r="AT50" s="10">
        <f>INDEX(MTInputs!$J$1:$AZ$415,$D50,MATCH(AT$5,MTInputs!$J$5:$AZ$5,0))</f>
        <v/>
      </c>
      <c r="AU50" s="10">
        <f>INDEX(MTInputs!$J$1:$AZ$415,$D50,MATCH(AU$5,MTInputs!$J$5:$AZ$5,0))</f>
        <v/>
      </c>
      <c r="AV50" s="10">
        <f>INDEX(MTInputs!$J$1:$AZ$415,$D50,MATCH(AV$5,MTInputs!$J$5:$AZ$5,0))</f>
        <v/>
      </c>
      <c r="AW50" s="10">
        <f>INDEX(MTInputs!$J$1:$AZ$415,$D50,MATCH(AW$5,MTInputs!$J$5:$AZ$5,0))</f>
        <v/>
      </c>
      <c r="AX50" s="10">
        <f>INDEX(MTInputs!$J$1:$AZ$415,$D50,MATCH(AX$5,MTInputs!$J$5:$AZ$5,0))</f>
        <v/>
      </c>
      <c r="AY50" s="10">
        <f>INDEX(MTInputs!$J$1:$AZ$415,$D50,MATCH(AY$5,MTInputs!$J$5:$AZ$5,0))</f>
        <v/>
      </c>
      <c r="AZ50" s="10">
        <f>INDEX(MTInputs!$J$1:$AZ$415,$D50,MATCH(AZ$5,MTInputs!$J$5:$AZ$5,0))</f>
        <v/>
      </c>
      <c r="BA50" s="10">
        <f>INDEX(MTInputs!$J$1:$AZ$415,$D50,MATCH(BA$5,MTInputs!$J$5:$AZ$5,0))</f>
        <v/>
      </c>
    </row>
    <row r="51" hidden="1" outlineLevel="1">
      <c r="A51" s="14" t="inlineStr">
        <is>
          <t>fpr.yr1</t>
        </is>
      </c>
      <c r="B51" s="14" t="inlineStr"/>
      <c r="C51" s="14" t="inlineStr"/>
      <c r="D51" s="22" t="n">
        <v>141</v>
      </c>
      <c r="H51" s="14">
        <f>INDEX(VarLab,MATCH($A51,VarKey,0))&amp;INDEX(MemLab,MATCH($C51&amp;"|"&amp;$B51,MemKey,0))</f>
        <v/>
      </c>
      <c r="I51" s="14">
        <f>INDEX(VarUnit,MATCH($A51,VarKey,0))</f>
        <v/>
      </c>
      <c r="J51" s="14">
        <f>INDEX(VarSrc,MATCH($A51,VarKey,0))</f>
        <v/>
      </c>
      <c r="K51" s="11">
        <f>CodePrefix&amp;$A51&amp;IF($C51="","","."&amp;$C51&amp;"."&amp;$B51)&amp;INDEX(VarEnd,MATCH($A51,VarKey,0))&amp;K$5</f>
        <v/>
      </c>
      <c r="L51" s="9">
        <f>INDEX(MTInputs!$J$1:$AZ$415,$D51,MATCH(L$5,MTInputs!$J$5:$AZ$5,0))</f>
        <v/>
      </c>
      <c r="M51" s="10">
        <f>INDEX(MTInputs!$J$1:$AZ$415,$D51,MATCH(M$5,MTInputs!$J$5:$AZ$5,0))</f>
        <v/>
      </c>
      <c r="N51" s="10">
        <f>INDEX(MTInputs!$J$1:$AZ$415,$D51,MATCH(N$5,MTInputs!$J$5:$AZ$5,0))</f>
        <v/>
      </c>
      <c r="O51" s="10">
        <f>INDEX(MTInputs!$J$1:$AZ$415,$D51,MATCH(O$5,MTInputs!$J$5:$AZ$5,0))</f>
        <v/>
      </c>
      <c r="P51" s="10">
        <f>INDEX(MTInputs!$J$1:$AZ$415,$D51,MATCH(P$5,MTInputs!$J$5:$AZ$5,0))</f>
        <v/>
      </c>
      <c r="Q51" s="10">
        <f>INDEX(MTInputs!$J$1:$AZ$415,$D51,MATCH(Q$5,MTInputs!$J$5:$AZ$5,0))</f>
        <v/>
      </c>
      <c r="R51" s="10">
        <f>INDEX(MTInputs!$J$1:$AZ$415,$D51,MATCH(R$5,MTInputs!$J$5:$AZ$5,0))</f>
        <v/>
      </c>
      <c r="S51" s="10">
        <f>INDEX(MTInputs!$J$1:$AZ$415,$D51,MATCH(S$5,MTInputs!$J$5:$AZ$5,0))</f>
        <v/>
      </c>
      <c r="T51" s="10">
        <f>INDEX(MTInputs!$J$1:$AZ$415,$D51,MATCH(T$5,MTInputs!$J$5:$AZ$5,0))</f>
        <v/>
      </c>
      <c r="U51" s="10">
        <f>INDEX(MTInputs!$J$1:$AZ$415,$D51,MATCH(U$5,MTInputs!$J$5:$AZ$5,0))</f>
        <v/>
      </c>
      <c r="V51" s="10">
        <f>INDEX(MTInputs!$J$1:$AZ$415,$D51,MATCH(V$5,MTInputs!$J$5:$AZ$5,0))</f>
        <v/>
      </c>
      <c r="W51" s="10">
        <f>INDEX(MTInputs!$J$1:$AZ$415,$D51,MATCH(W$5,MTInputs!$J$5:$AZ$5,0))</f>
        <v/>
      </c>
      <c r="X51" s="10">
        <f>INDEX(MTInputs!$J$1:$AZ$415,$D51,MATCH(X$5,MTInputs!$J$5:$AZ$5,0))</f>
        <v/>
      </c>
      <c r="Y51" s="10">
        <f>INDEX(MTInputs!$J$1:$AZ$415,$D51,MATCH(Y$5,MTInputs!$J$5:$AZ$5,0))</f>
        <v/>
      </c>
      <c r="Z51" s="10">
        <f>INDEX(MTInputs!$J$1:$AZ$415,$D51,MATCH(Z$5,MTInputs!$J$5:$AZ$5,0))</f>
        <v/>
      </c>
      <c r="AA51" s="10">
        <f>INDEX(MTInputs!$J$1:$AZ$415,$D51,MATCH(AA$5,MTInputs!$J$5:$AZ$5,0))</f>
        <v/>
      </c>
      <c r="AB51" s="10">
        <f>INDEX(MTInputs!$J$1:$AZ$415,$D51,MATCH(AB$5,MTInputs!$J$5:$AZ$5,0))</f>
        <v/>
      </c>
      <c r="AC51" s="10">
        <f>INDEX(MTInputs!$J$1:$AZ$415,$D51,MATCH(AC$5,MTInputs!$J$5:$AZ$5,0))</f>
        <v/>
      </c>
      <c r="AD51" s="10">
        <f>INDEX(MTInputs!$J$1:$AZ$415,$D51,MATCH(AD$5,MTInputs!$J$5:$AZ$5,0))</f>
        <v/>
      </c>
      <c r="AE51" s="10">
        <f>INDEX(MTInputs!$J$1:$AZ$415,$D51,MATCH(AE$5,MTInputs!$J$5:$AZ$5,0))</f>
        <v/>
      </c>
      <c r="AG51" s="11">
        <f>CodePrefix&amp;$A51&amp;IF($C51="","","."&amp;$C51&amp;"."&amp;$B51)&amp;INDEX(VarEnd,MATCH($A51,VarKey,0))&amp;AG$5</f>
        <v/>
      </c>
      <c r="AH51" s="9">
        <f>INDEX(MTInputs!$J$1:$AZ$415,$D51,MATCH(AH$5,MTInputs!$J$5:$AZ$5,0))</f>
        <v/>
      </c>
      <c r="AI51" s="10">
        <f>INDEX(MTInputs!$J$1:$AZ$415,$D51,MATCH(AI$5,MTInputs!$J$5:$AZ$5,0))</f>
        <v/>
      </c>
      <c r="AJ51" s="10">
        <f>INDEX(MTInputs!$J$1:$AZ$415,$D51,MATCH(AJ$5,MTInputs!$J$5:$AZ$5,0))</f>
        <v/>
      </c>
      <c r="AK51" s="10">
        <f>INDEX(MTInputs!$J$1:$AZ$415,$D51,MATCH(AK$5,MTInputs!$J$5:$AZ$5,0))</f>
        <v/>
      </c>
      <c r="AL51" s="10">
        <f>INDEX(MTInputs!$J$1:$AZ$415,$D51,MATCH(AL$5,MTInputs!$J$5:$AZ$5,0))</f>
        <v/>
      </c>
      <c r="AM51" s="10">
        <f>INDEX(MTInputs!$J$1:$AZ$415,$D51,MATCH(AM$5,MTInputs!$J$5:$AZ$5,0))</f>
        <v/>
      </c>
      <c r="AN51" s="10">
        <f>INDEX(MTInputs!$J$1:$AZ$415,$D51,MATCH(AN$5,MTInputs!$J$5:$AZ$5,0))</f>
        <v/>
      </c>
      <c r="AO51" s="10">
        <f>INDEX(MTInputs!$J$1:$AZ$415,$D51,MATCH(AO$5,MTInputs!$J$5:$AZ$5,0))</f>
        <v/>
      </c>
      <c r="AP51" s="10">
        <f>INDEX(MTInputs!$J$1:$AZ$415,$D51,MATCH(AP$5,MTInputs!$J$5:$AZ$5,0))</f>
        <v/>
      </c>
      <c r="AQ51" s="10">
        <f>INDEX(MTInputs!$J$1:$AZ$415,$D51,MATCH(AQ$5,MTInputs!$J$5:$AZ$5,0))</f>
        <v/>
      </c>
      <c r="AR51" s="10">
        <f>INDEX(MTInputs!$J$1:$AZ$415,$D51,MATCH(AR$5,MTInputs!$J$5:$AZ$5,0))</f>
        <v/>
      </c>
      <c r="AS51" s="10">
        <f>INDEX(MTInputs!$J$1:$AZ$415,$D51,MATCH(AS$5,MTInputs!$J$5:$AZ$5,0))</f>
        <v/>
      </c>
      <c r="AT51" s="10">
        <f>INDEX(MTInputs!$J$1:$AZ$415,$D51,MATCH(AT$5,MTInputs!$J$5:$AZ$5,0))</f>
        <v/>
      </c>
      <c r="AU51" s="10">
        <f>INDEX(MTInputs!$J$1:$AZ$415,$D51,MATCH(AU$5,MTInputs!$J$5:$AZ$5,0))</f>
        <v/>
      </c>
      <c r="AV51" s="10">
        <f>INDEX(MTInputs!$J$1:$AZ$415,$D51,MATCH(AV$5,MTInputs!$J$5:$AZ$5,0))</f>
        <v/>
      </c>
      <c r="AW51" s="10">
        <f>INDEX(MTInputs!$J$1:$AZ$415,$D51,MATCH(AW$5,MTInputs!$J$5:$AZ$5,0))</f>
        <v/>
      </c>
      <c r="AX51" s="10">
        <f>INDEX(MTInputs!$J$1:$AZ$415,$D51,MATCH(AX$5,MTInputs!$J$5:$AZ$5,0))</f>
        <v/>
      </c>
      <c r="AY51" s="10">
        <f>INDEX(MTInputs!$J$1:$AZ$415,$D51,MATCH(AY$5,MTInputs!$J$5:$AZ$5,0))</f>
        <v/>
      </c>
      <c r="AZ51" s="10">
        <f>INDEX(MTInputs!$J$1:$AZ$415,$D51,MATCH(AZ$5,MTInputs!$J$5:$AZ$5,0))</f>
        <v/>
      </c>
      <c r="BA51" s="10">
        <f>INDEX(MTInputs!$J$1:$AZ$415,$D51,MATCH(BA$5,MTInputs!$J$5:$AZ$5,0))</f>
        <v/>
      </c>
    </row>
    <row r="52" hidden="1" outlineLevel="1">
      <c r="A52" s="14" t="inlineStr">
        <is>
          <t>fpr.s</t>
        </is>
      </c>
      <c r="B52" s="14" t="inlineStr">
        <is>
          <t>coa</t>
        </is>
      </c>
      <c r="C52" s="14" t="inlineStr">
        <is>
          <t>pow</t>
        </is>
      </c>
      <c r="D52" s="22" t="n">
        <v>142</v>
      </c>
      <c r="H52" s="14">
        <f>INDEX(VarLab,MATCH($A52,VarKey,0))&amp;INDEX(MemLab,MATCH($C52&amp;"|"&amp;$B52,MemKey,0))</f>
        <v/>
      </c>
      <c r="I52" s="14">
        <f>INDEX(VarUnit,MATCH($A52,VarKey,0))</f>
        <v/>
      </c>
      <c r="J52" s="14">
        <f>INDEX(VarSrc,MATCH($A52,VarKey,0))</f>
        <v/>
      </c>
      <c r="K52" s="11">
        <f>CodePrefix&amp;$A52&amp;IF($C52="","","."&amp;$C52&amp;"."&amp;$B52)&amp;INDEX(VarEnd,MATCH($A52,VarKey,0))&amp;K$5</f>
        <v/>
      </c>
      <c r="L52" s="23">
        <f>INDEX(MTInputs!$J$1:$AZ$415,$D52,MATCH(L$5,MTInputs!$J$5:$AZ$5,0))</f>
        <v/>
      </c>
      <c r="M52" s="24">
        <f>INDEX(MTInputs!$J$1:$AZ$415,$D52,MATCH(M$5,MTInputs!$J$5:$AZ$5,0))</f>
        <v/>
      </c>
      <c r="N52" s="24">
        <f>INDEX(MTInputs!$J$1:$AZ$415,$D52,MATCH(N$5,MTInputs!$J$5:$AZ$5,0))</f>
        <v/>
      </c>
      <c r="O52" s="24">
        <f>INDEX(MTInputs!$J$1:$AZ$415,$D52,MATCH(O$5,MTInputs!$J$5:$AZ$5,0))</f>
        <v/>
      </c>
      <c r="P52" s="24">
        <f>INDEX(MTInputs!$J$1:$AZ$415,$D52,MATCH(P$5,MTInputs!$J$5:$AZ$5,0))</f>
        <v/>
      </c>
      <c r="Q52" s="24">
        <f>INDEX(MTInputs!$J$1:$AZ$415,$D52,MATCH(Q$5,MTInputs!$J$5:$AZ$5,0))</f>
        <v/>
      </c>
      <c r="R52" s="24">
        <f>INDEX(MTInputs!$J$1:$AZ$415,$D52,MATCH(R$5,MTInputs!$J$5:$AZ$5,0))</f>
        <v/>
      </c>
      <c r="S52" s="24">
        <f>INDEX(MTInputs!$J$1:$AZ$415,$D52,MATCH(S$5,MTInputs!$J$5:$AZ$5,0))</f>
        <v/>
      </c>
      <c r="T52" s="24">
        <f>INDEX(MTInputs!$J$1:$AZ$415,$D52,MATCH(T$5,MTInputs!$J$5:$AZ$5,0))</f>
        <v/>
      </c>
      <c r="U52" s="24">
        <f>INDEX(MTInputs!$J$1:$AZ$415,$D52,MATCH(U$5,MTInputs!$J$5:$AZ$5,0))</f>
        <v/>
      </c>
      <c r="V52" s="24">
        <f>INDEX(MTInputs!$J$1:$AZ$415,$D52,MATCH(V$5,MTInputs!$J$5:$AZ$5,0))</f>
        <v/>
      </c>
      <c r="W52" s="24">
        <f>INDEX(MTInputs!$J$1:$AZ$415,$D52,MATCH(W$5,MTInputs!$J$5:$AZ$5,0))</f>
        <v/>
      </c>
      <c r="X52" s="24">
        <f>INDEX(MTInputs!$J$1:$AZ$415,$D52,MATCH(X$5,MTInputs!$J$5:$AZ$5,0))</f>
        <v/>
      </c>
      <c r="Y52" s="24">
        <f>INDEX(MTInputs!$J$1:$AZ$415,$D52,MATCH(Y$5,MTInputs!$J$5:$AZ$5,0))</f>
        <v/>
      </c>
      <c r="Z52" s="24">
        <f>INDEX(MTInputs!$J$1:$AZ$415,$D52,MATCH(Z$5,MTInputs!$J$5:$AZ$5,0))</f>
        <v/>
      </c>
      <c r="AA52" s="24">
        <f>INDEX(MTInputs!$J$1:$AZ$415,$D52,MATCH(AA$5,MTInputs!$J$5:$AZ$5,0))</f>
        <v/>
      </c>
      <c r="AB52" s="24">
        <f>INDEX(MTInputs!$J$1:$AZ$415,$D52,MATCH(AB$5,MTInputs!$J$5:$AZ$5,0))</f>
        <v/>
      </c>
      <c r="AC52" s="24">
        <f>INDEX(MTInputs!$J$1:$AZ$415,$D52,MATCH(AC$5,MTInputs!$J$5:$AZ$5,0))</f>
        <v/>
      </c>
      <c r="AD52" s="24">
        <f>INDEX(MTInputs!$J$1:$AZ$415,$D52,MATCH(AD$5,MTInputs!$J$5:$AZ$5,0))</f>
        <v/>
      </c>
      <c r="AE52" s="24">
        <f>INDEX(MTInputs!$J$1:$AZ$415,$D52,MATCH(AE$5,MTInputs!$J$5:$AZ$5,0))</f>
        <v/>
      </c>
      <c r="AG52" s="11">
        <f>CodePrefix&amp;$A52&amp;IF($C52="","","."&amp;$C52&amp;"."&amp;$B52)&amp;INDEX(VarEnd,MATCH($A52,VarKey,0))&amp;AG$5</f>
        <v/>
      </c>
      <c r="AH52" s="23">
        <f>INDEX(MTInputs!$J$1:$AZ$415,$D52,MATCH(AH$5,MTInputs!$J$5:$AZ$5,0))</f>
        <v/>
      </c>
      <c r="AI52" s="24">
        <f>INDEX(MTInputs!$J$1:$AZ$415,$D52,MATCH(AI$5,MTInputs!$J$5:$AZ$5,0))</f>
        <v/>
      </c>
      <c r="AJ52" s="24">
        <f>INDEX(MTInputs!$J$1:$AZ$415,$D52,MATCH(AJ$5,MTInputs!$J$5:$AZ$5,0))</f>
        <v/>
      </c>
      <c r="AK52" s="24">
        <f>INDEX(MTInputs!$J$1:$AZ$415,$D52,MATCH(AK$5,MTInputs!$J$5:$AZ$5,0))</f>
        <v/>
      </c>
      <c r="AL52" s="24">
        <f>INDEX(MTInputs!$J$1:$AZ$415,$D52,MATCH(AL$5,MTInputs!$J$5:$AZ$5,0))</f>
        <v/>
      </c>
      <c r="AM52" s="24">
        <f>INDEX(MTInputs!$J$1:$AZ$415,$D52,MATCH(AM$5,MTInputs!$J$5:$AZ$5,0))</f>
        <v/>
      </c>
      <c r="AN52" s="24">
        <f>INDEX(MTInputs!$J$1:$AZ$415,$D52,MATCH(AN$5,MTInputs!$J$5:$AZ$5,0))</f>
        <v/>
      </c>
      <c r="AO52" s="24">
        <f>INDEX(MTInputs!$J$1:$AZ$415,$D52,MATCH(AO$5,MTInputs!$J$5:$AZ$5,0))</f>
        <v/>
      </c>
      <c r="AP52" s="24">
        <f>INDEX(MTInputs!$J$1:$AZ$415,$D52,MATCH(AP$5,MTInputs!$J$5:$AZ$5,0))</f>
        <v/>
      </c>
      <c r="AQ52" s="24">
        <f>INDEX(MTInputs!$J$1:$AZ$415,$D52,MATCH(AQ$5,MTInputs!$J$5:$AZ$5,0))</f>
        <v/>
      </c>
      <c r="AR52" s="24">
        <f>INDEX(MTInputs!$J$1:$AZ$415,$D52,MATCH(AR$5,MTInputs!$J$5:$AZ$5,0))</f>
        <v/>
      </c>
      <c r="AS52" s="24">
        <f>INDEX(MTInputs!$J$1:$AZ$415,$D52,MATCH(AS$5,MTInputs!$J$5:$AZ$5,0))</f>
        <v/>
      </c>
      <c r="AT52" s="24">
        <f>INDEX(MTInputs!$J$1:$AZ$415,$D52,MATCH(AT$5,MTInputs!$J$5:$AZ$5,0))</f>
        <v/>
      </c>
      <c r="AU52" s="24">
        <f>INDEX(MTInputs!$J$1:$AZ$415,$D52,MATCH(AU$5,MTInputs!$J$5:$AZ$5,0))</f>
        <v/>
      </c>
      <c r="AV52" s="24">
        <f>INDEX(MTInputs!$J$1:$AZ$415,$D52,MATCH(AV$5,MTInputs!$J$5:$AZ$5,0))</f>
        <v/>
      </c>
      <c r="AW52" s="24">
        <f>INDEX(MTInputs!$J$1:$AZ$415,$D52,MATCH(AW$5,MTInputs!$J$5:$AZ$5,0))</f>
        <v/>
      </c>
      <c r="AX52" s="24">
        <f>INDEX(MTInputs!$J$1:$AZ$415,$D52,MATCH(AX$5,MTInputs!$J$5:$AZ$5,0))</f>
        <v/>
      </c>
      <c r="AY52" s="24">
        <f>INDEX(MTInputs!$J$1:$AZ$415,$D52,MATCH(AY$5,MTInputs!$J$5:$AZ$5,0))</f>
        <v/>
      </c>
      <c r="AZ52" s="24">
        <f>INDEX(MTInputs!$J$1:$AZ$415,$D52,MATCH(AZ$5,MTInputs!$J$5:$AZ$5,0))</f>
        <v/>
      </c>
      <c r="BA52" s="24">
        <f>INDEX(MTInputs!$J$1:$AZ$415,$D52,MATCH(BA$5,MTInputs!$J$5:$AZ$5,0))</f>
        <v/>
      </c>
    </row>
    <row r="53" hidden="1" outlineLevel="1">
      <c r="A53" s="14" t="inlineStr">
        <is>
          <t>fpr.s</t>
        </is>
      </c>
      <c r="B53" s="14" t="inlineStr">
        <is>
          <t>coa</t>
        </is>
      </c>
      <c r="C53" s="14" t="inlineStr">
        <is>
          <t>res</t>
        </is>
      </c>
      <c r="D53" s="22" t="n">
        <v>143</v>
      </c>
      <c r="H53" s="14">
        <f>INDEX(VarLab,MATCH($A53,VarKey,0))&amp;INDEX(MemLab,MATCH($C53&amp;"|"&amp;$B53,MemKey,0))</f>
        <v/>
      </c>
      <c r="I53" s="14">
        <f>INDEX(VarUnit,MATCH($A53,VarKey,0))</f>
        <v/>
      </c>
      <c r="J53" s="14">
        <f>INDEX(VarSrc,MATCH($A53,VarKey,0))</f>
        <v/>
      </c>
      <c r="K53" s="11">
        <f>CodePrefix&amp;$A53&amp;IF($C53="","","."&amp;$C53&amp;"."&amp;$B53)&amp;INDEX(VarEnd,MATCH($A53,VarKey,0))&amp;K$5</f>
        <v/>
      </c>
      <c r="L53" s="23">
        <f>INDEX(MTInputs!$J$1:$AZ$415,$D53,MATCH(L$5,MTInputs!$J$5:$AZ$5,0))</f>
        <v/>
      </c>
      <c r="M53" s="24">
        <f>INDEX(MTInputs!$J$1:$AZ$415,$D53,MATCH(M$5,MTInputs!$J$5:$AZ$5,0))</f>
        <v/>
      </c>
      <c r="N53" s="24">
        <f>INDEX(MTInputs!$J$1:$AZ$415,$D53,MATCH(N$5,MTInputs!$J$5:$AZ$5,0))</f>
        <v/>
      </c>
      <c r="O53" s="24">
        <f>INDEX(MTInputs!$J$1:$AZ$415,$D53,MATCH(O$5,MTInputs!$J$5:$AZ$5,0))</f>
        <v/>
      </c>
      <c r="P53" s="24">
        <f>INDEX(MTInputs!$J$1:$AZ$415,$D53,MATCH(P$5,MTInputs!$J$5:$AZ$5,0))</f>
        <v/>
      </c>
      <c r="Q53" s="24">
        <f>INDEX(MTInputs!$J$1:$AZ$415,$D53,MATCH(Q$5,MTInputs!$J$5:$AZ$5,0))</f>
        <v/>
      </c>
      <c r="R53" s="24">
        <f>INDEX(MTInputs!$J$1:$AZ$415,$D53,MATCH(R$5,MTInputs!$J$5:$AZ$5,0))</f>
        <v/>
      </c>
      <c r="S53" s="24">
        <f>INDEX(MTInputs!$J$1:$AZ$415,$D53,MATCH(S$5,MTInputs!$J$5:$AZ$5,0))</f>
        <v/>
      </c>
      <c r="T53" s="24">
        <f>INDEX(MTInputs!$J$1:$AZ$415,$D53,MATCH(T$5,MTInputs!$J$5:$AZ$5,0))</f>
        <v/>
      </c>
      <c r="U53" s="24">
        <f>INDEX(MTInputs!$J$1:$AZ$415,$D53,MATCH(U$5,MTInputs!$J$5:$AZ$5,0))</f>
        <v/>
      </c>
      <c r="V53" s="24">
        <f>INDEX(MTInputs!$J$1:$AZ$415,$D53,MATCH(V$5,MTInputs!$J$5:$AZ$5,0))</f>
        <v/>
      </c>
      <c r="W53" s="24">
        <f>INDEX(MTInputs!$J$1:$AZ$415,$D53,MATCH(W$5,MTInputs!$J$5:$AZ$5,0))</f>
        <v/>
      </c>
      <c r="X53" s="24">
        <f>INDEX(MTInputs!$J$1:$AZ$415,$D53,MATCH(X$5,MTInputs!$J$5:$AZ$5,0))</f>
        <v/>
      </c>
      <c r="Y53" s="24">
        <f>INDEX(MTInputs!$J$1:$AZ$415,$D53,MATCH(Y$5,MTInputs!$J$5:$AZ$5,0))</f>
        <v/>
      </c>
      <c r="Z53" s="24">
        <f>INDEX(MTInputs!$J$1:$AZ$415,$D53,MATCH(Z$5,MTInputs!$J$5:$AZ$5,0))</f>
        <v/>
      </c>
      <c r="AA53" s="24">
        <f>INDEX(MTInputs!$J$1:$AZ$415,$D53,MATCH(AA$5,MTInputs!$J$5:$AZ$5,0))</f>
        <v/>
      </c>
      <c r="AB53" s="24">
        <f>INDEX(MTInputs!$J$1:$AZ$415,$D53,MATCH(AB$5,MTInputs!$J$5:$AZ$5,0))</f>
        <v/>
      </c>
      <c r="AC53" s="24">
        <f>INDEX(MTInputs!$J$1:$AZ$415,$D53,MATCH(AC$5,MTInputs!$J$5:$AZ$5,0))</f>
        <v/>
      </c>
      <c r="AD53" s="24">
        <f>INDEX(MTInputs!$J$1:$AZ$415,$D53,MATCH(AD$5,MTInputs!$J$5:$AZ$5,0))</f>
        <v/>
      </c>
      <c r="AE53" s="24">
        <f>INDEX(MTInputs!$J$1:$AZ$415,$D53,MATCH(AE$5,MTInputs!$J$5:$AZ$5,0))</f>
        <v/>
      </c>
      <c r="AG53" s="11">
        <f>CodePrefix&amp;$A53&amp;IF($C53="","","."&amp;$C53&amp;"."&amp;$B53)&amp;INDEX(VarEnd,MATCH($A53,VarKey,0))&amp;AG$5</f>
        <v/>
      </c>
      <c r="AH53" s="23">
        <f>INDEX(MTInputs!$J$1:$AZ$415,$D53,MATCH(AH$5,MTInputs!$J$5:$AZ$5,0))</f>
        <v/>
      </c>
      <c r="AI53" s="24">
        <f>INDEX(MTInputs!$J$1:$AZ$415,$D53,MATCH(AI$5,MTInputs!$J$5:$AZ$5,0))</f>
        <v/>
      </c>
      <c r="AJ53" s="24">
        <f>INDEX(MTInputs!$J$1:$AZ$415,$D53,MATCH(AJ$5,MTInputs!$J$5:$AZ$5,0))</f>
        <v/>
      </c>
      <c r="AK53" s="24">
        <f>INDEX(MTInputs!$J$1:$AZ$415,$D53,MATCH(AK$5,MTInputs!$J$5:$AZ$5,0))</f>
        <v/>
      </c>
      <c r="AL53" s="24">
        <f>INDEX(MTInputs!$J$1:$AZ$415,$D53,MATCH(AL$5,MTInputs!$J$5:$AZ$5,0))</f>
        <v/>
      </c>
      <c r="AM53" s="24">
        <f>INDEX(MTInputs!$J$1:$AZ$415,$D53,MATCH(AM$5,MTInputs!$J$5:$AZ$5,0))</f>
        <v/>
      </c>
      <c r="AN53" s="24">
        <f>INDEX(MTInputs!$J$1:$AZ$415,$D53,MATCH(AN$5,MTInputs!$J$5:$AZ$5,0))</f>
        <v/>
      </c>
      <c r="AO53" s="24">
        <f>INDEX(MTInputs!$J$1:$AZ$415,$D53,MATCH(AO$5,MTInputs!$J$5:$AZ$5,0))</f>
        <v/>
      </c>
      <c r="AP53" s="24">
        <f>INDEX(MTInputs!$J$1:$AZ$415,$D53,MATCH(AP$5,MTInputs!$J$5:$AZ$5,0))</f>
        <v/>
      </c>
      <c r="AQ53" s="24">
        <f>INDEX(MTInputs!$J$1:$AZ$415,$D53,MATCH(AQ$5,MTInputs!$J$5:$AZ$5,0))</f>
        <v/>
      </c>
      <c r="AR53" s="24">
        <f>INDEX(MTInputs!$J$1:$AZ$415,$D53,MATCH(AR$5,MTInputs!$J$5:$AZ$5,0))</f>
        <v/>
      </c>
      <c r="AS53" s="24">
        <f>INDEX(MTInputs!$J$1:$AZ$415,$D53,MATCH(AS$5,MTInputs!$J$5:$AZ$5,0))</f>
        <v/>
      </c>
      <c r="AT53" s="24">
        <f>INDEX(MTInputs!$J$1:$AZ$415,$D53,MATCH(AT$5,MTInputs!$J$5:$AZ$5,0))</f>
        <v/>
      </c>
      <c r="AU53" s="24">
        <f>INDEX(MTInputs!$J$1:$AZ$415,$D53,MATCH(AU$5,MTInputs!$J$5:$AZ$5,0))</f>
        <v/>
      </c>
      <c r="AV53" s="24">
        <f>INDEX(MTInputs!$J$1:$AZ$415,$D53,MATCH(AV$5,MTInputs!$J$5:$AZ$5,0))</f>
        <v/>
      </c>
      <c r="AW53" s="24">
        <f>INDEX(MTInputs!$J$1:$AZ$415,$D53,MATCH(AW$5,MTInputs!$J$5:$AZ$5,0))</f>
        <v/>
      </c>
      <c r="AX53" s="24">
        <f>INDEX(MTInputs!$J$1:$AZ$415,$D53,MATCH(AX$5,MTInputs!$J$5:$AZ$5,0))</f>
        <v/>
      </c>
      <c r="AY53" s="24">
        <f>INDEX(MTInputs!$J$1:$AZ$415,$D53,MATCH(AY$5,MTInputs!$J$5:$AZ$5,0))</f>
        <v/>
      </c>
      <c r="AZ53" s="24">
        <f>INDEX(MTInputs!$J$1:$AZ$415,$D53,MATCH(AZ$5,MTInputs!$J$5:$AZ$5,0))</f>
        <v/>
      </c>
      <c r="BA53" s="24">
        <f>INDEX(MTInputs!$J$1:$AZ$415,$D53,MATCH(BA$5,MTInputs!$J$5:$AZ$5,0))</f>
        <v/>
      </c>
    </row>
    <row r="54" hidden="1" outlineLevel="1">
      <c r="A54" s="14" t="inlineStr">
        <is>
          <t>fpr.s</t>
        </is>
      </c>
      <c r="B54" s="14" t="inlineStr">
        <is>
          <t>coa</t>
        </is>
      </c>
      <c r="C54" s="14" t="inlineStr">
        <is>
          <t>ind</t>
        </is>
      </c>
      <c r="D54" s="22" t="n">
        <v>144</v>
      </c>
      <c r="H54" s="14">
        <f>INDEX(VarLab,MATCH($A54,VarKey,0))&amp;INDEX(MemLab,MATCH($C54&amp;"|"&amp;$B54,MemKey,0))</f>
        <v/>
      </c>
      <c r="I54" s="14">
        <f>INDEX(VarUnit,MATCH($A54,VarKey,0))</f>
        <v/>
      </c>
      <c r="J54" s="14">
        <f>INDEX(VarSrc,MATCH($A54,VarKey,0))</f>
        <v/>
      </c>
      <c r="K54" s="11">
        <f>CodePrefix&amp;$A54&amp;IF($C54="","","."&amp;$C54&amp;"."&amp;$B54)&amp;INDEX(VarEnd,MATCH($A54,VarKey,0))&amp;K$5</f>
        <v/>
      </c>
      <c r="L54" s="23">
        <f>INDEX(MTInputs!$J$1:$AZ$415,$D54,MATCH(L$5,MTInputs!$J$5:$AZ$5,0))</f>
        <v/>
      </c>
      <c r="M54" s="24">
        <f>INDEX(MTInputs!$J$1:$AZ$415,$D54,MATCH(M$5,MTInputs!$J$5:$AZ$5,0))</f>
        <v/>
      </c>
      <c r="N54" s="24">
        <f>INDEX(MTInputs!$J$1:$AZ$415,$D54,MATCH(N$5,MTInputs!$J$5:$AZ$5,0))</f>
        <v/>
      </c>
      <c r="O54" s="24">
        <f>INDEX(MTInputs!$J$1:$AZ$415,$D54,MATCH(O$5,MTInputs!$J$5:$AZ$5,0))</f>
        <v/>
      </c>
      <c r="P54" s="24">
        <f>INDEX(MTInputs!$J$1:$AZ$415,$D54,MATCH(P$5,MTInputs!$J$5:$AZ$5,0))</f>
        <v/>
      </c>
      <c r="Q54" s="24">
        <f>INDEX(MTInputs!$J$1:$AZ$415,$D54,MATCH(Q$5,MTInputs!$J$5:$AZ$5,0))</f>
        <v/>
      </c>
      <c r="R54" s="24">
        <f>INDEX(MTInputs!$J$1:$AZ$415,$D54,MATCH(R$5,MTInputs!$J$5:$AZ$5,0))</f>
        <v/>
      </c>
      <c r="S54" s="24">
        <f>INDEX(MTInputs!$J$1:$AZ$415,$D54,MATCH(S$5,MTInputs!$J$5:$AZ$5,0))</f>
        <v/>
      </c>
      <c r="T54" s="24">
        <f>INDEX(MTInputs!$J$1:$AZ$415,$D54,MATCH(T$5,MTInputs!$J$5:$AZ$5,0))</f>
        <v/>
      </c>
      <c r="U54" s="24">
        <f>INDEX(MTInputs!$J$1:$AZ$415,$D54,MATCH(U$5,MTInputs!$J$5:$AZ$5,0))</f>
        <v/>
      </c>
      <c r="V54" s="24">
        <f>INDEX(MTInputs!$J$1:$AZ$415,$D54,MATCH(V$5,MTInputs!$J$5:$AZ$5,0))</f>
        <v/>
      </c>
      <c r="W54" s="24">
        <f>INDEX(MTInputs!$J$1:$AZ$415,$D54,MATCH(W$5,MTInputs!$J$5:$AZ$5,0))</f>
        <v/>
      </c>
      <c r="X54" s="24">
        <f>INDEX(MTInputs!$J$1:$AZ$415,$D54,MATCH(X$5,MTInputs!$J$5:$AZ$5,0))</f>
        <v/>
      </c>
      <c r="Y54" s="24">
        <f>INDEX(MTInputs!$J$1:$AZ$415,$D54,MATCH(Y$5,MTInputs!$J$5:$AZ$5,0))</f>
        <v/>
      </c>
      <c r="Z54" s="24">
        <f>INDEX(MTInputs!$J$1:$AZ$415,$D54,MATCH(Z$5,MTInputs!$J$5:$AZ$5,0))</f>
        <v/>
      </c>
      <c r="AA54" s="24">
        <f>INDEX(MTInputs!$J$1:$AZ$415,$D54,MATCH(AA$5,MTInputs!$J$5:$AZ$5,0))</f>
        <v/>
      </c>
      <c r="AB54" s="24">
        <f>INDEX(MTInputs!$J$1:$AZ$415,$D54,MATCH(AB$5,MTInputs!$J$5:$AZ$5,0))</f>
        <v/>
      </c>
      <c r="AC54" s="24">
        <f>INDEX(MTInputs!$J$1:$AZ$415,$D54,MATCH(AC$5,MTInputs!$J$5:$AZ$5,0))</f>
        <v/>
      </c>
      <c r="AD54" s="24">
        <f>INDEX(MTInputs!$J$1:$AZ$415,$D54,MATCH(AD$5,MTInputs!$J$5:$AZ$5,0))</f>
        <v/>
      </c>
      <c r="AE54" s="24">
        <f>INDEX(MTInputs!$J$1:$AZ$415,$D54,MATCH(AE$5,MTInputs!$J$5:$AZ$5,0))</f>
        <v/>
      </c>
      <c r="AG54" s="11">
        <f>CodePrefix&amp;$A54&amp;IF($C54="","","."&amp;$C54&amp;"."&amp;$B54)&amp;INDEX(VarEnd,MATCH($A54,VarKey,0))&amp;AG$5</f>
        <v/>
      </c>
      <c r="AH54" s="23">
        <f>INDEX(MTInputs!$J$1:$AZ$415,$D54,MATCH(AH$5,MTInputs!$J$5:$AZ$5,0))</f>
        <v/>
      </c>
      <c r="AI54" s="24">
        <f>INDEX(MTInputs!$J$1:$AZ$415,$D54,MATCH(AI$5,MTInputs!$J$5:$AZ$5,0))</f>
        <v/>
      </c>
      <c r="AJ54" s="24">
        <f>INDEX(MTInputs!$J$1:$AZ$415,$D54,MATCH(AJ$5,MTInputs!$J$5:$AZ$5,0))</f>
        <v/>
      </c>
      <c r="AK54" s="24">
        <f>INDEX(MTInputs!$J$1:$AZ$415,$D54,MATCH(AK$5,MTInputs!$J$5:$AZ$5,0))</f>
        <v/>
      </c>
      <c r="AL54" s="24">
        <f>INDEX(MTInputs!$J$1:$AZ$415,$D54,MATCH(AL$5,MTInputs!$J$5:$AZ$5,0))</f>
        <v/>
      </c>
      <c r="AM54" s="24">
        <f>INDEX(MTInputs!$J$1:$AZ$415,$D54,MATCH(AM$5,MTInputs!$J$5:$AZ$5,0))</f>
        <v/>
      </c>
      <c r="AN54" s="24">
        <f>INDEX(MTInputs!$J$1:$AZ$415,$D54,MATCH(AN$5,MTInputs!$J$5:$AZ$5,0))</f>
        <v/>
      </c>
      <c r="AO54" s="24">
        <f>INDEX(MTInputs!$J$1:$AZ$415,$D54,MATCH(AO$5,MTInputs!$J$5:$AZ$5,0))</f>
        <v/>
      </c>
      <c r="AP54" s="24">
        <f>INDEX(MTInputs!$J$1:$AZ$415,$D54,MATCH(AP$5,MTInputs!$J$5:$AZ$5,0))</f>
        <v/>
      </c>
      <c r="AQ54" s="24">
        <f>INDEX(MTInputs!$J$1:$AZ$415,$D54,MATCH(AQ$5,MTInputs!$J$5:$AZ$5,0))</f>
        <v/>
      </c>
      <c r="AR54" s="24">
        <f>INDEX(MTInputs!$J$1:$AZ$415,$D54,MATCH(AR$5,MTInputs!$J$5:$AZ$5,0))</f>
        <v/>
      </c>
      <c r="AS54" s="24">
        <f>INDEX(MTInputs!$J$1:$AZ$415,$D54,MATCH(AS$5,MTInputs!$J$5:$AZ$5,0))</f>
        <v/>
      </c>
      <c r="AT54" s="24">
        <f>INDEX(MTInputs!$J$1:$AZ$415,$D54,MATCH(AT$5,MTInputs!$J$5:$AZ$5,0))</f>
        <v/>
      </c>
      <c r="AU54" s="24">
        <f>INDEX(MTInputs!$J$1:$AZ$415,$D54,MATCH(AU$5,MTInputs!$J$5:$AZ$5,0))</f>
        <v/>
      </c>
      <c r="AV54" s="24">
        <f>INDEX(MTInputs!$J$1:$AZ$415,$D54,MATCH(AV$5,MTInputs!$J$5:$AZ$5,0))</f>
        <v/>
      </c>
      <c r="AW54" s="24">
        <f>INDEX(MTInputs!$J$1:$AZ$415,$D54,MATCH(AW$5,MTInputs!$J$5:$AZ$5,0))</f>
        <v/>
      </c>
      <c r="AX54" s="24">
        <f>INDEX(MTInputs!$J$1:$AZ$415,$D54,MATCH(AX$5,MTInputs!$J$5:$AZ$5,0))</f>
        <v/>
      </c>
      <c r="AY54" s="24">
        <f>INDEX(MTInputs!$J$1:$AZ$415,$D54,MATCH(AY$5,MTInputs!$J$5:$AZ$5,0))</f>
        <v/>
      </c>
      <c r="AZ54" s="24">
        <f>INDEX(MTInputs!$J$1:$AZ$415,$D54,MATCH(AZ$5,MTInputs!$J$5:$AZ$5,0))</f>
        <v/>
      </c>
      <c r="BA54" s="24">
        <f>INDEX(MTInputs!$J$1:$AZ$415,$D54,MATCH(BA$5,MTInputs!$J$5:$AZ$5,0))</f>
        <v/>
      </c>
    </row>
    <row r="55" hidden="1" outlineLevel="1">
      <c r="A55" s="14" t="inlineStr">
        <is>
          <t>fpr.s</t>
        </is>
      </c>
      <c r="B55" s="14" t="inlineStr">
        <is>
          <t>nga</t>
        </is>
      </c>
      <c r="C55" s="14" t="inlineStr">
        <is>
          <t>pow</t>
        </is>
      </c>
      <c r="D55" s="22" t="n">
        <v>145</v>
      </c>
      <c r="H55" s="14">
        <f>INDEX(VarLab,MATCH($A55,VarKey,0))&amp;INDEX(MemLab,MATCH($C55&amp;"|"&amp;$B55,MemKey,0))</f>
        <v/>
      </c>
      <c r="I55" s="14">
        <f>INDEX(VarUnit,MATCH($A55,VarKey,0))</f>
        <v/>
      </c>
      <c r="J55" s="14">
        <f>INDEX(VarSrc,MATCH($A55,VarKey,0))</f>
        <v/>
      </c>
      <c r="K55" s="11">
        <f>CodePrefix&amp;$A55&amp;IF($C55="","","."&amp;$C55&amp;"."&amp;$B55)&amp;INDEX(VarEnd,MATCH($A55,VarKey,0))&amp;K$5</f>
        <v/>
      </c>
      <c r="L55" s="23">
        <f>INDEX(MTInputs!$J$1:$AZ$415,$D55,MATCH(L$5,MTInputs!$J$5:$AZ$5,0))</f>
        <v/>
      </c>
      <c r="M55" s="24">
        <f>INDEX(MTInputs!$J$1:$AZ$415,$D55,MATCH(M$5,MTInputs!$J$5:$AZ$5,0))</f>
        <v/>
      </c>
      <c r="N55" s="24">
        <f>INDEX(MTInputs!$J$1:$AZ$415,$D55,MATCH(N$5,MTInputs!$J$5:$AZ$5,0))</f>
        <v/>
      </c>
      <c r="O55" s="24">
        <f>INDEX(MTInputs!$J$1:$AZ$415,$D55,MATCH(O$5,MTInputs!$J$5:$AZ$5,0))</f>
        <v/>
      </c>
      <c r="P55" s="24">
        <f>INDEX(MTInputs!$J$1:$AZ$415,$D55,MATCH(P$5,MTInputs!$J$5:$AZ$5,0))</f>
        <v/>
      </c>
      <c r="Q55" s="24">
        <f>INDEX(MTInputs!$J$1:$AZ$415,$D55,MATCH(Q$5,MTInputs!$J$5:$AZ$5,0))</f>
        <v/>
      </c>
      <c r="R55" s="24">
        <f>INDEX(MTInputs!$J$1:$AZ$415,$D55,MATCH(R$5,MTInputs!$J$5:$AZ$5,0))</f>
        <v/>
      </c>
      <c r="S55" s="24">
        <f>INDEX(MTInputs!$J$1:$AZ$415,$D55,MATCH(S$5,MTInputs!$J$5:$AZ$5,0))</f>
        <v/>
      </c>
      <c r="T55" s="24">
        <f>INDEX(MTInputs!$J$1:$AZ$415,$D55,MATCH(T$5,MTInputs!$J$5:$AZ$5,0))</f>
        <v/>
      </c>
      <c r="U55" s="24">
        <f>INDEX(MTInputs!$J$1:$AZ$415,$D55,MATCH(U$5,MTInputs!$J$5:$AZ$5,0))</f>
        <v/>
      </c>
      <c r="V55" s="24">
        <f>INDEX(MTInputs!$J$1:$AZ$415,$D55,MATCH(V$5,MTInputs!$J$5:$AZ$5,0))</f>
        <v/>
      </c>
      <c r="W55" s="24">
        <f>INDEX(MTInputs!$J$1:$AZ$415,$D55,MATCH(W$5,MTInputs!$J$5:$AZ$5,0))</f>
        <v/>
      </c>
      <c r="X55" s="24">
        <f>INDEX(MTInputs!$J$1:$AZ$415,$D55,MATCH(X$5,MTInputs!$J$5:$AZ$5,0))</f>
        <v/>
      </c>
      <c r="Y55" s="24">
        <f>INDEX(MTInputs!$J$1:$AZ$415,$D55,MATCH(Y$5,MTInputs!$J$5:$AZ$5,0))</f>
        <v/>
      </c>
      <c r="Z55" s="24">
        <f>INDEX(MTInputs!$J$1:$AZ$415,$D55,MATCH(Z$5,MTInputs!$J$5:$AZ$5,0))</f>
        <v/>
      </c>
      <c r="AA55" s="24">
        <f>INDEX(MTInputs!$J$1:$AZ$415,$D55,MATCH(AA$5,MTInputs!$J$5:$AZ$5,0))</f>
        <v/>
      </c>
      <c r="AB55" s="24">
        <f>INDEX(MTInputs!$J$1:$AZ$415,$D55,MATCH(AB$5,MTInputs!$J$5:$AZ$5,0))</f>
        <v/>
      </c>
      <c r="AC55" s="24">
        <f>INDEX(MTInputs!$J$1:$AZ$415,$D55,MATCH(AC$5,MTInputs!$J$5:$AZ$5,0))</f>
        <v/>
      </c>
      <c r="AD55" s="24">
        <f>INDEX(MTInputs!$J$1:$AZ$415,$D55,MATCH(AD$5,MTInputs!$J$5:$AZ$5,0))</f>
        <v/>
      </c>
      <c r="AE55" s="24">
        <f>INDEX(MTInputs!$J$1:$AZ$415,$D55,MATCH(AE$5,MTInputs!$J$5:$AZ$5,0))</f>
        <v/>
      </c>
      <c r="AG55" s="11">
        <f>CodePrefix&amp;$A55&amp;IF($C55="","","."&amp;$C55&amp;"."&amp;$B55)&amp;INDEX(VarEnd,MATCH($A55,VarKey,0))&amp;AG$5</f>
        <v/>
      </c>
      <c r="AH55" s="23">
        <f>INDEX(MTInputs!$J$1:$AZ$415,$D55,MATCH(AH$5,MTInputs!$J$5:$AZ$5,0))</f>
        <v/>
      </c>
      <c r="AI55" s="24">
        <f>INDEX(MTInputs!$J$1:$AZ$415,$D55,MATCH(AI$5,MTInputs!$J$5:$AZ$5,0))</f>
        <v/>
      </c>
      <c r="AJ55" s="24">
        <f>INDEX(MTInputs!$J$1:$AZ$415,$D55,MATCH(AJ$5,MTInputs!$J$5:$AZ$5,0))</f>
        <v/>
      </c>
      <c r="AK55" s="24">
        <f>INDEX(MTInputs!$J$1:$AZ$415,$D55,MATCH(AK$5,MTInputs!$J$5:$AZ$5,0))</f>
        <v/>
      </c>
      <c r="AL55" s="24">
        <f>INDEX(MTInputs!$J$1:$AZ$415,$D55,MATCH(AL$5,MTInputs!$J$5:$AZ$5,0))</f>
        <v/>
      </c>
      <c r="AM55" s="24">
        <f>INDEX(MTInputs!$J$1:$AZ$415,$D55,MATCH(AM$5,MTInputs!$J$5:$AZ$5,0))</f>
        <v/>
      </c>
      <c r="AN55" s="24">
        <f>INDEX(MTInputs!$J$1:$AZ$415,$D55,MATCH(AN$5,MTInputs!$J$5:$AZ$5,0))</f>
        <v/>
      </c>
      <c r="AO55" s="24">
        <f>INDEX(MTInputs!$J$1:$AZ$415,$D55,MATCH(AO$5,MTInputs!$J$5:$AZ$5,0))</f>
        <v/>
      </c>
      <c r="AP55" s="24">
        <f>INDEX(MTInputs!$J$1:$AZ$415,$D55,MATCH(AP$5,MTInputs!$J$5:$AZ$5,0))</f>
        <v/>
      </c>
      <c r="AQ55" s="24">
        <f>INDEX(MTInputs!$J$1:$AZ$415,$D55,MATCH(AQ$5,MTInputs!$J$5:$AZ$5,0))</f>
        <v/>
      </c>
      <c r="AR55" s="24">
        <f>INDEX(MTInputs!$J$1:$AZ$415,$D55,MATCH(AR$5,MTInputs!$J$5:$AZ$5,0))</f>
        <v/>
      </c>
      <c r="AS55" s="24">
        <f>INDEX(MTInputs!$J$1:$AZ$415,$D55,MATCH(AS$5,MTInputs!$J$5:$AZ$5,0))</f>
        <v/>
      </c>
      <c r="AT55" s="24">
        <f>INDEX(MTInputs!$J$1:$AZ$415,$D55,MATCH(AT$5,MTInputs!$J$5:$AZ$5,0))</f>
        <v/>
      </c>
      <c r="AU55" s="24">
        <f>INDEX(MTInputs!$J$1:$AZ$415,$D55,MATCH(AU$5,MTInputs!$J$5:$AZ$5,0))</f>
        <v/>
      </c>
      <c r="AV55" s="24">
        <f>INDEX(MTInputs!$J$1:$AZ$415,$D55,MATCH(AV$5,MTInputs!$J$5:$AZ$5,0))</f>
        <v/>
      </c>
      <c r="AW55" s="24">
        <f>INDEX(MTInputs!$J$1:$AZ$415,$D55,MATCH(AW$5,MTInputs!$J$5:$AZ$5,0))</f>
        <v/>
      </c>
      <c r="AX55" s="24">
        <f>INDEX(MTInputs!$J$1:$AZ$415,$D55,MATCH(AX$5,MTInputs!$J$5:$AZ$5,0))</f>
        <v/>
      </c>
      <c r="AY55" s="24">
        <f>INDEX(MTInputs!$J$1:$AZ$415,$D55,MATCH(AY$5,MTInputs!$J$5:$AZ$5,0))</f>
        <v/>
      </c>
      <c r="AZ55" s="24">
        <f>INDEX(MTInputs!$J$1:$AZ$415,$D55,MATCH(AZ$5,MTInputs!$J$5:$AZ$5,0))</f>
        <v/>
      </c>
      <c r="BA55" s="24">
        <f>INDEX(MTInputs!$J$1:$AZ$415,$D55,MATCH(BA$5,MTInputs!$J$5:$AZ$5,0))</f>
        <v/>
      </c>
    </row>
    <row r="56" hidden="1" outlineLevel="1">
      <c r="A56" s="14" t="inlineStr">
        <is>
          <t>fpr.s</t>
        </is>
      </c>
      <c r="B56" s="14" t="inlineStr">
        <is>
          <t>nga</t>
        </is>
      </c>
      <c r="C56" s="14" t="inlineStr">
        <is>
          <t>res</t>
        </is>
      </c>
      <c r="D56" s="22" t="n">
        <v>146</v>
      </c>
      <c r="H56" s="14">
        <f>INDEX(VarLab,MATCH($A56,VarKey,0))&amp;INDEX(MemLab,MATCH($C56&amp;"|"&amp;$B56,MemKey,0))</f>
        <v/>
      </c>
      <c r="I56" s="14">
        <f>INDEX(VarUnit,MATCH($A56,VarKey,0))</f>
        <v/>
      </c>
      <c r="J56" s="14">
        <f>INDEX(VarSrc,MATCH($A56,VarKey,0))</f>
        <v/>
      </c>
      <c r="K56" s="11">
        <f>CodePrefix&amp;$A56&amp;IF($C56="","","."&amp;$C56&amp;"."&amp;$B56)&amp;INDEX(VarEnd,MATCH($A56,VarKey,0))&amp;K$5</f>
        <v/>
      </c>
      <c r="L56" s="23">
        <f>INDEX(MTInputs!$J$1:$AZ$415,$D56,MATCH(L$5,MTInputs!$J$5:$AZ$5,0))</f>
        <v/>
      </c>
      <c r="M56" s="24">
        <f>INDEX(MTInputs!$J$1:$AZ$415,$D56,MATCH(M$5,MTInputs!$J$5:$AZ$5,0))</f>
        <v/>
      </c>
      <c r="N56" s="24">
        <f>INDEX(MTInputs!$J$1:$AZ$415,$D56,MATCH(N$5,MTInputs!$J$5:$AZ$5,0))</f>
        <v/>
      </c>
      <c r="O56" s="24">
        <f>INDEX(MTInputs!$J$1:$AZ$415,$D56,MATCH(O$5,MTInputs!$J$5:$AZ$5,0))</f>
        <v/>
      </c>
      <c r="P56" s="24">
        <f>INDEX(MTInputs!$J$1:$AZ$415,$D56,MATCH(P$5,MTInputs!$J$5:$AZ$5,0))</f>
        <v/>
      </c>
      <c r="Q56" s="24">
        <f>INDEX(MTInputs!$J$1:$AZ$415,$D56,MATCH(Q$5,MTInputs!$J$5:$AZ$5,0))</f>
        <v/>
      </c>
      <c r="R56" s="24">
        <f>INDEX(MTInputs!$J$1:$AZ$415,$D56,MATCH(R$5,MTInputs!$J$5:$AZ$5,0))</f>
        <v/>
      </c>
      <c r="S56" s="24">
        <f>INDEX(MTInputs!$J$1:$AZ$415,$D56,MATCH(S$5,MTInputs!$J$5:$AZ$5,0))</f>
        <v/>
      </c>
      <c r="T56" s="24">
        <f>INDEX(MTInputs!$J$1:$AZ$415,$D56,MATCH(T$5,MTInputs!$J$5:$AZ$5,0))</f>
        <v/>
      </c>
      <c r="U56" s="24">
        <f>INDEX(MTInputs!$J$1:$AZ$415,$D56,MATCH(U$5,MTInputs!$J$5:$AZ$5,0))</f>
        <v/>
      </c>
      <c r="V56" s="24">
        <f>INDEX(MTInputs!$J$1:$AZ$415,$D56,MATCH(V$5,MTInputs!$J$5:$AZ$5,0))</f>
        <v/>
      </c>
      <c r="W56" s="24">
        <f>INDEX(MTInputs!$J$1:$AZ$415,$D56,MATCH(W$5,MTInputs!$J$5:$AZ$5,0))</f>
        <v/>
      </c>
      <c r="X56" s="24">
        <f>INDEX(MTInputs!$J$1:$AZ$415,$D56,MATCH(X$5,MTInputs!$J$5:$AZ$5,0))</f>
        <v/>
      </c>
      <c r="Y56" s="24">
        <f>INDEX(MTInputs!$J$1:$AZ$415,$D56,MATCH(Y$5,MTInputs!$J$5:$AZ$5,0))</f>
        <v/>
      </c>
      <c r="Z56" s="24">
        <f>INDEX(MTInputs!$J$1:$AZ$415,$D56,MATCH(Z$5,MTInputs!$J$5:$AZ$5,0))</f>
        <v/>
      </c>
      <c r="AA56" s="24">
        <f>INDEX(MTInputs!$J$1:$AZ$415,$D56,MATCH(AA$5,MTInputs!$J$5:$AZ$5,0))</f>
        <v/>
      </c>
      <c r="AB56" s="24">
        <f>INDEX(MTInputs!$J$1:$AZ$415,$D56,MATCH(AB$5,MTInputs!$J$5:$AZ$5,0))</f>
        <v/>
      </c>
      <c r="AC56" s="24">
        <f>INDEX(MTInputs!$J$1:$AZ$415,$D56,MATCH(AC$5,MTInputs!$J$5:$AZ$5,0))</f>
        <v/>
      </c>
      <c r="AD56" s="24">
        <f>INDEX(MTInputs!$J$1:$AZ$415,$D56,MATCH(AD$5,MTInputs!$J$5:$AZ$5,0))</f>
        <v/>
      </c>
      <c r="AE56" s="24">
        <f>INDEX(MTInputs!$J$1:$AZ$415,$D56,MATCH(AE$5,MTInputs!$J$5:$AZ$5,0))</f>
        <v/>
      </c>
      <c r="AG56" s="11">
        <f>CodePrefix&amp;$A56&amp;IF($C56="","","."&amp;$C56&amp;"."&amp;$B56)&amp;INDEX(VarEnd,MATCH($A56,VarKey,0))&amp;AG$5</f>
        <v/>
      </c>
      <c r="AH56" s="23">
        <f>INDEX(MTInputs!$J$1:$AZ$415,$D56,MATCH(AH$5,MTInputs!$J$5:$AZ$5,0))</f>
        <v/>
      </c>
      <c r="AI56" s="24">
        <f>INDEX(MTInputs!$J$1:$AZ$415,$D56,MATCH(AI$5,MTInputs!$J$5:$AZ$5,0))</f>
        <v/>
      </c>
      <c r="AJ56" s="24">
        <f>INDEX(MTInputs!$J$1:$AZ$415,$D56,MATCH(AJ$5,MTInputs!$J$5:$AZ$5,0))</f>
        <v/>
      </c>
      <c r="AK56" s="24">
        <f>INDEX(MTInputs!$J$1:$AZ$415,$D56,MATCH(AK$5,MTInputs!$J$5:$AZ$5,0))</f>
        <v/>
      </c>
      <c r="AL56" s="24">
        <f>INDEX(MTInputs!$J$1:$AZ$415,$D56,MATCH(AL$5,MTInputs!$J$5:$AZ$5,0))</f>
        <v/>
      </c>
      <c r="AM56" s="24">
        <f>INDEX(MTInputs!$J$1:$AZ$415,$D56,MATCH(AM$5,MTInputs!$J$5:$AZ$5,0))</f>
        <v/>
      </c>
      <c r="AN56" s="24">
        <f>INDEX(MTInputs!$J$1:$AZ$415,$D56,MATCH(AN$5,MTInputs!$J$5:$AZ$5,0))</f>
        <v/>
      </c>
      <c r="AO56" s="24">
        <f>INDEX(MTInputs!$J$1:$AZ$415,$D56,MATCH(AO$5,MTInputs!$J$5:$AZ$5,0))</f>
        <v/>
      </c>
      <c r="AP56" s="24">
        <f>INDEX(MTInputs!$J$1:$AZ$415,$D56,MATCH(AP$5,MTInputs!$J$5:$AZ$5,0))</f>
        <v/>
      </c>
      <c r="AQ56" s="24">
        <f>INDEX(MTInputs!$J$1:$AZ$415,$D56,MATCH(AQ$5,MTInputs!$J$5:$AZ$5,0))</f>
        <v/>
      </c>
      <c r="AR56" s="24">
        <f>INDEX(MTInputs!$J$1:$AZ$415,$D56,MATCH(AR$5,MTInputs!$J$5:$AZ$5,0))</f>
        <v/>
      </c>
      <c r="AS56" s="24">
        <f>INDEX(MTInputs!$J$1:$AZ$415,$D56,MATCH(AS$5,MTInputs!$J$5:$AZ$5,0))</f>
        <v/>
      </c>
      <c r="AT56" s="24">
        <f>INDEX(MTInputs!$J$1:$AZ$415,$D56,MATCH(AT$5,MTInputs!$J$5:$AZ$5,0))</f>
        <v/>
      </c>
      <c r="AU56" s="24">
        <f>INDEX(MTInputs!$J$1:$AZ$415,$D56,MATCH(AU$5,MTInputs!$J$5:$AZ$5,0))</f>
        <v/>
      </c>
      <c r="AV56" s="24">
        <f>INDEX(MTInputs!$J$1:$AZ$415,$D56,MATCH(AV$5,MTInputs!$J$5:$AZ$5,0))</f>
        <v/>
      </c>
      <c r="AW56" s="24">
        <f>INDEX(MTInputs!$J$1:$AZ$415,$D56,MATCH(AW$5,MTInputs!$J$5:$AZ$5,0))</f>
        <v/>
      </c>
      <c r="AX56" s="24">
        <f>INDEX(MTInputs!$J$1:$AZ$415,$D56,MATCH(AX$5,MTInputs!$J$5:$AZ$5,0))</f>
        <v/>
      </c>
      <c r="AY56" s="24">
        <f>INDEX(MTInputs!$J$1:$AZ$415,$D56,MATCH(AY$5,MTInputs!$J$5:$AZ$5,0))</f>
        <v/>
      </c>
      <c r="AZ56" s="24">
        <f>INDEX(MTInputs!$J$1:$AZ$415,$D56,MATCH(AZ$5,MTInputs!$J$5:$AZ$5,0))</f>
        <v/>
      </c>
      <c r="BA56" s="24">
        <f>INDEX(MTInputs!$J$1:$AZ$415,$D56,MATCH(BA$5,MTInputs!$J$5:$AZ$5,0))</f>
        <v/>
      </c>
    </row>
    <row r="57" hidden="1" outlineLevel="1">
      <c r="A57" s="14" t="inlineStr">
        <is>
          <t>fpr.s</t>
        </is>
      </c>
      <c r="B57" s="14" t="inlineStr">
        <is>
          <t>nga</t>
        </is>
      </c>
      <c r="C57" s="14" t="inlineStr">
        <is>
          <t>ind</t>
        </is>
      </c>
      <c r="D57" s="22" t="n">
        <v>147</v>
      </c>
      <c r="H57" s="14">
        <f>INDEX(VarLab,MATCH($A57,VarKey,0))&amp;INDEX(MemLab,MATCH($C57&amp;"|"&amp;$B57,MemKey,0))</f>
        <v/>
      </c>
      <c r="I57" s="14">
        <f>INDEX(VarUnit,MATCH($A57,VarKey,0))</f>
        <v/>
      </c>
      <c r="J57" s="14">
        <f>INDEX(VarSrc,MATCH($A57,VarKey,0))</f>
        <v/>
      </c>
      <c r="K57" s="11">
        <f>CodePrefix&amp;$A57&amp;IF($C57="","","."&amp;$C57&amp;"."&amp;$B57)&amp;INDEX(VarEnd,MATCH($A57,VarKey,0))&amp;K$5</f>
        <v/>
      </c>
      <c r="L57" s="23">
        <f>INDEX(MTInputs!$J$1:$AZ$415,$D57,MATCH(L$5,MTInputs!$J$5:$AZ$5,0))</f>
        <v/>
      </c>
      <c r="M57" s="24">
        <f>INDEX(MTInputs!$J$1:$AZ$415,$D57,MATCH(M$5,MTInputs!$J$5:$AZ$5,0))</f>
        <v/>
      </c>
      <c r="N57" s="24">
        <f>INDEX(MTInputs!$J$1:$AZ$415,$D57,MATCH(N$5,MTInputs!$J$5:$AZ$5,0))</f>
        <v/>
      </c>
      <c r="O57" s="24">
        <f>INDEX(MTInputs!$J$1:$AZ$415,$D57,MATCH(O$5,MTInputs!$J$5:$AZ$5,0))</f>
        <v/>
      </c>
      <c r="P57" s="24">
        <f>INDEX(MTInputs!$J$1:$AZ$415,$D57,MATCH(P$5,MTInputs!$J$5:$AZ$5,0))</f>
        <v/>
      </c>
      <c r="Q57" s="24">
        <f>INDEX(MTInputs!$J$1:$AZ$415,$D57,MATCH(Q$5,MTInputs!$J$5:$AZ$5,0))</f>
        <v/>
      </c>
      <c r="R57" s="24">
        <f>INDEX(MTInputs!$J$1:$AZ$415,$D57,MATCH(R$5,MTInputs!$J$5:$AZ$5,0))</f>
        <v/>
      </c>
      <c r="S57" s="24">
        <f>INDEX(MTInputs!$J$1:$AZ$415,$D57,MATCH(S$5,MTInputs!$J$5:$AZ$5,0))</f>
        <v/>
      </c>
      <c r="T57" s="24">
        <f>INDEX(MTInputs!$J$1:$AZ$415,$D57,MATCH(T$5,MTInputs!$J$5:$AZ$5,0))</f>
        <v/>
      </c>
      <c r="U57" s="24">
        <f>INDEX(MTInputs!$J$1:$AZ$415,$D57,MATCH(U$5,MTInputs!$J$5:$AZ$5,0))</f>
        <v/>
      </c>
      <c r="V57" s="24">
        <f>INDEX(MTInputs!$J$1:$AZ$415,$D57,MATCH(V$5,MTInputs!$J$5:$AZ$5,0))</f>
        <v/>
      </c>
      <c r="W57" s="24">
        <f>INDEX(MTInputs!$J$1:$AZ$415,$D57,MATCH(W$5,MTInputs!$J$5:$AZ$5,0))</f>
        <v/>
      </c>
      <c r="X57" s="24">
        <f>INDEX(MTInputs!$J$1:$AZ$415,$D57,MATCH(X$5,MTInputs!$J$5:$AZ$5,0))</f>
        <v/>
      </c>
      <c r="Y57" s="24">
        <f>INDEX(MTInputs!$J$1:$AZ$415,$D57,MATCH(Y$5,MTInputs!$J$5:$AZ$5,0))</f>
        <v/>
      </c>
      <c r="Z57" s="24">
        <f>INDEX(MTInputs!$J$1:$AZ$415,$D57,MATCH(Z$5,MTInputs!$J$5:$AZ$5,0))</f>
        <v/>
      </c>
      <c r="AA57" s="24">
        <f>INDEX(MTInputs!$J$1:$AZ$415,$D57,MATCH(AA$5,MTInputs!$J$5:$AZ$5,0))</f>
        <v/>
      </c>
      <c r="AB57" s="24">
        <f>INDEX(MTInputs!$J$1:$AZ$415,$D57,MATCH(AB$5,MTInputs!$J$5:$AZ$5,0))</f>
        <v/>
      </c>
      <c r="AC57" s="24">
        <f>INDEX(MTInputs!$J$1:$AZ$415,$D57,MATCH(AC$5,MTInputs!$J$5:$AZ$5,0))</f>
        <v/>
      </c>
      <c r="AD57" s="24">
        <f>INDEX(MTInputs!$J$1:$AZ$415,$D57,MATCH(AD$5,MTInputs!$J$5:$AZ$5,0))</f>
        <v/>
      </c>
      <c r="AE57" s="24">
        <f>INDEX(MTInputs!$J$1:$AZ$415,$D57,MATCH(AE$5,MTInputs!$J$5:$AZ$5,0))</f>
        <v/>
      </c>
      <c r="AG57" s="11">
        <f>CodePrefix&amp;$A57&amp;IF($C57="","","."&amp;$C57&amp;"."&amp;$B57)&amp;INDEX(VarEnd,MATCH($A57,VarKey,0))&amp;AG$5</f>
        <v/>
      </c>
      <c r="AH57" s="23">
        <f>INDEX(MTInputs!$J$1:$AZ$415,$D57,MATCH(AH$5,MTInputs!$J$5:$AZ$5,0))</f>
        <v/>
      </c>
      <c r="AI57" s="24">
        <f>INDEX(MTInputs!$J$1:$AZ$415,$D57,MATCH(AI$5,MTInputs!$J$5:$AZ$5,0))</f>
        <v/>
      </c>
      <c r="AJ57" s="24">
        <f>INDEX(MTInputs!$J$1:$AZ$415,$D57,MATCH(AJ$5,MTInputs!$J$5:$AZ$5,0))</f>
        <v/>
      </c>
      <c r="AK57" s="24">
        <f>INDEX(MTInputs!$J$1:$AZ$415,$D57,MATCH(AK$5,MTInputs!$J$5:$AZ$5,0))</f>
        <v/>
      </c>
      <c r="AL57" s="24">
        <f>INDEX(MTInputs!$J$1:$AZ$415,$D57,MATCH(AL$5,MTInputs!$J$5:$AZ$5,0))</f>
        <v/>
      </c>
      <c r="AM57" s="24">
        <f>INDEX(MTInputs!$J$1:$AZ$415,$D57,MATCH(AM$5,MTInputs!$J$5:$AZ$5,0))</f>
        <v/>
      </c>
      <c r="AN57" s="24">
        <f>INDEX(MTInputs!$J$1:$AZ$415,$D57,MATCH(AN$5,MTInputs!$J$5:$AZ$5,0))</f>
        <v/>
      </c>
      <c r="AO57" s="24">
        <f>INDEX(MTInputs!$J$1:$AZ$415,$D57,MATCH(AO$5,MTInputs!$J$5:$AZ$5,0))</f>
        <v/>
      </c>
      <c r="AP57" s="24">
        <f>INDEX(MTInputs!$J$1:$AZ$415,$D57,MATCH(AP$5,MTInputs!$J$5:$AZ$5,0))</f>
        <v/>
      </c>
      <c r="AQ57" s="24">
        <f>INDEX(MTInputs!$J$1:$AZ$415,$D57,MATCH(AQ$5,MTInputs!$J$5:$AZ$5,0))</f>
        <v/>
      </c>
      <c r="AR57" s="24">
        <f>INDEX(MTInputs!$J$1:$AZ$415,$D57,MATCH(AR$5,MTInputs!$J$5:$AZ$5,0))</f>
        <v/>
      </c>
      <c r="AS57" s="24">
        <f>INDEX(MTInputs!$J$1:$AZ$415,$D57,MATCH(AS$5,MTInputs!$J$5:$AZ$5,0))</f>
        <v/>
      </c>
      <c r="AT57" s="24">
        <f>INDEX(MTInputs!$J$1:$AZ$415,$D57,MATCH(AT$5,MTInputs!$J$5:$AZ$5,0))</f>
        <v/>
      </c>
      <c r="AU57" s="24">
        <f>INDEX(MTInputs!$J$1:$AZ$415,$D57,MATCH(AU$5,MTInputs!$J$5:$AZ$5,0))</f>
        <v/>
      </c>
      <c r="AV57" s="24">
        <f>INDEX(MTInputs!$J$1:$AZ$415,$D57,MATCH(AV$5,MTInputs!$J$5:$AZ$5,0))</f>
        <v/>
      </c>
      <c r="AW57" s="24">
        <f>INDEX(MTInputs!$J$1:$AZ$415,$D57,MATCH(AW$5,MTInputs!$J$5:$AZ$5,0))</f>
        <v/>
      </c>
      <c r="AX57" s="24">
        <f>INDEX(MTInputs!$J$1:$AZ$415,$D57,MATCH(AX$5,MTInputs!$J$5:$AZ$5,0))</f>
        <v/>
      </c>
      <c r="AY57" s="24">
        <f>INDEX(MTInputs!$J$1:$AZ$415,$D57,MATCH(AY$5,MTInputs!$J$5:$AZ$5,0))</f>
        <v/>
      </c>
      <c r="AZ57" s="24">
        <f>INDEX(MTInputs!$J$1:$AZ$415,$D57,MATCH(AZ$5,MTInputs!$J$5:$AZ$5,0))</f>
        <v/>
      </c>
      <c r="BA57" s="24">
        <f>INDEX(MTInputs!$J$1:$AZ$415,$D57,MATCH(BA$5,MTInputs!$J$5:$AZ$5,0))</f>
        <v/>
      </c>
    </row>
    <row r="58" hidden="1" outlineLevel="1">
      <c r="A58" s="14" t="inlineStr">
        <is>
          <t>fpr.s</t>
        </is>
      </c>
      <c r="B58" s="14" t="inlineStr">
        <is>
          <t>ecy</t>
        </is>
      </c>
      <c r="C58" s="14" t="inlineStr">
        <is>
          <t>res</t>
        </is>
      </c>
      <c r="D58" s="22" t="n">
        <v>148</v>
      </c>
      <c r="H58" s="14">
        <f>INDEX(VarLab,MATCH($A58,VarKey,0))&amp;INDEX(MemLab,MATCH($C58&amp;"|"&amp;$B58,MemKey,0))</f>
        <v/>
      </c>
      <c r="I58" s="14">
        <f>INDEX(VarUnit,MATCH($A58,VarKey,0))</f>
        <v/>
      </c>
      <c r="J58" s="14">
        <f>INDEX(VarSrc,MATCH($A58,VarKey,0))</f>
        <v/>
      </c>
      <c r="K58" s="11">
        <f>CodePrefix&amp;$A58&amp;IF($C58="","","."&amp;$C58&amp;"."&amp;$B58)&amp;INDEX(VarEnd,MATCH($A58,VarKey,0))&amp;K$5</f>
        <v/>
      </c>
      <c r="L58" s="23">
        <f>INDEX(MTInputs!$J$1:$AZ$415,$D58,MATCH(L$5,MTInputs!$J$5:$AZ$5,0))</f>
        <v/>
      </c>
      <c r="M58" s="24">
        <f>INDEX(MTInputs!$J$1:$AZ$415,$D58,MATCH(M$5,MTInputs!$J$5:$AZ$5,0))</f>
        <v/>
      </c>
      <c r="N58" s="24">
        <f>INDEX(MTInputs!$J$1:$AZ$415,$D58,MATCH(N$5,MTInputs!$J$5:$AZ$5,0))</f>
        <v/>
      </c>
      <c r="O58" s="24">
        <f>INDEX(MTInputs!$J$1:$AZ$415,$D58,MATCH(O$5,MTInputs!$J$5:$AZ$5,0))</f>
        <v/>
      </c>
      <c r="P58" s="24">
        <f>INDEX(MTInputs!$J$1:$AZ$415,$D58,MATCH(P$5,MTInputs!$J$5:$AZ$5,0))</f>
        <v/>
      </c>
      <c r="Q58" s="24">
        <f>INDEX(MTInputs!$J$1:$AZ$415,$D58,MATCH(Q$5,MTInputs!$J$5:$AZ$5,0))</f>
        <v/>
      </c>
      <c r="R58" s="24">
        <f>INDEX(MTInputs!$J$1:$AZ$415,$D58,MATCH(R$5,MTInputs!$J$5:$AZ$5,0))</f>
        <v/>
      </c>
      <c r="S58" s="24">
        <f>INDEX(MTInputs!$J$1:$AZ$415,$D58,MATCH(S$5,MTInputs!$J$5:$AZ$5,0))</f>
        <v/>
      </c>
      <c r="T58" s="24">
        <f>INDEX(MTInputs!$J$1:$AZ$415,$D58,MATCH(T$5,MTInputs!$J$5:$AZ$5,0))</f>
        <v/>
      </c>
      <c r="U58" s="24">
        <f>INDEX(MTInputs!$J$1:$AZ$415,$D58,MATCH(U$5,MTInputs!$J$5:$AZ$5,0))</f>
        <v/>
      </c>
      <c r="V58" s="24">
        <f>INDEX(MTInputs!$J$1:$AZ$415,$D58,MATCH(V$5,MTInputs!$J$5:$AZ$5,0))</f>
        <v/>
      </c>
      <c r="W58" s="24">
        <f>INDEX(MTInputs!$J$1:$AZ$415,$D58,MATCH(W$5,MTInputs!$J$5:$AZ$5,0))</f>
        <v/>
      </c>
      <c r="X58" s="24">
        <f>INDEX(MTInputs!$J$1:$AZ$415,$D58,MATCH(X$5,MTInputs!$J$5:$AZ$5,0))</f>
        <v/>
      </c>
      <c r="Y58" s="24">
        <f>INDEX(MTInputs!$J$1:$AZ$415,$D58,MATCH(Y$5,MTInputs!$J$5:$AZ$5,0))</f>
        <v/>
      </c>
      <c r="Z58" s="24">
        <f>INDEX(MTInputs!$J$1:$AZ$415,$D58,MATCH(Z$5,MTInputs!$J$5:$AZ$5,0))</f>
        <v/>
      </c>
      <c r="AA58" s="24">
        <f>INDEX(MTInputs!$J$1:$AZ$415,$D58,MATCH(AA$5,MTInputs!$J$5:$AZ$5,0))</f>
        <v/>
      </c>
      <c r="AB58" s="24">
        <f>INDEX(MTInputs!$J$1:$AZ$415,$D58,MATCH(AB$5,MTInputs!$J$5:$AZ$5,0))</f>
        <v/>
      </c>
      <c r="AC58" s="24">
        <f>INDEX(MTInputs!$J$1:$AZ$415,$D58,MATCH(AC$5,MTInputs!$J$5:$AZ$5,0))</f>
        <v/>
      </c>
      <c r="AD58" s="24">
        <f>INDEX(MTInputs!$J$1:$AZ$415,$D58,MATCH(AD$5,MTInputs!$J$5:$AZ$5,0))</f>
        <v/>
      </c>
      <c r="AE58" s="24">
        <f>INDEX(MTInputs!$J$1:$AZ$415,$D58,MATCH(AE$5,MTInputs!$J$5:$AZ$5,0))</f>
        <v/>
      </c>
      <c r="AG58" s="11">
        <f>CodePrefix&amp;$A58&amp;IF($C58="","","."&amp;$C58&amp;"."&amp;$B58)&amp;INDEX(VarEnd,MATCH($A58,VarKey,0))&amp;AG$5</f>
        <v/>
      </c>
      <c r="AH58" s="23">
        <f>INDEX(MTInputs!$J$1:$AZ$415,$D58,MATCH(AH$5,MTInputs!$J$5:$AZ$5,0))</f>
        <v/>
      </c>
      <c r="AI58" s="24">
        <f>INDEX(MTInputs!$J$1:$AZ$415,$D58,MATCH(AI$5,MTInputs!$J$5:$AZ$5,0))</f>
        <v/>
      </c>
      <c r="AJ58" s="24">
        <f>INDEX(MTInputs!$J$1:$AZ$415,$D58,MATCH(AJ$5,MTInputs!$J$5:$AZ$5,0))</f>
        <v/>
      </c>
      <c r="AK58" s="24">
        <f>INDEX(MTInputs!$J$1:$AZ$415,$D58,MATCH(AK$5,MTInputs!$J$5:$AZ$5,0))</f>
        <v/>
      </c>
      <c r="AL58" s="24">
        <f>INDEX(MTInputs!$J$1:$AZ$415,$D58,MATCH(AL$5,MTInputs!$J$5:$AZ$5,0))</f>
        <v/>
      </c>
      <c r="AM58" s="24">
        <f>INDEX(MTInputs!$J$1:$AZ$415,$D58,MATCH(AM$5,MTInputs!$J$5:$AZ$5,0))</f>
        <v/>
      </c>
      <c r="AN58" s="24">
        <f>INDEX(MTInputs!$J$1:$AZ$415,$D58,MATCH(AN$5,MTInputs!$J$5:$AZ$5,0))</f>
        <v/>
      </c>
      <c r="AO58" s="24">
        <f>INDEX(MTInputs!$J$1:$AZ$415,$D58,MATCH(AO$5,MTInputs!$J$5:$AZ$5,0))</f>
        <v/>
      </c>
      <c r="AP58" s="24">
        <f>INDEX(MTInputs!$J$1:$AZ$415,$D58,MATCH(AP$5,MTInputs!$J$5:$AZ$5,0))</f>
        <v/>
      </c>
      <c r="AQ58" s="24">
        <f>INDEX(MTInputs!$J$1:$AZ$415,$D58,MATCH(AQ$5,MTInputs!$J$5:$AZ$5,0))</f>
        <v/>
      </c>
      <c r="AR58" s="24">
        <f>INDEX(MTInputs!$J$1:$AZ$415,$D58,MATCH(AR$5,MTInputs!$J$5:$AZ$5,0))</f>
        <v/>
      </c>
      <c r="AS58" s="24">
        <f>INDEX(MTInputs!$J$1:$AZ$415,$D58,MATCH(AS$5,MTInputs!$J$5:$AZ$5,0))</f>
        <v/>
      </c>
      <c r="AT58" s="24">
        <f>INDEX(MTInputs!$J$1:$AZ$415,$D58,MATCH(AT$5,MTInputs!$J$5:$AZ$5,0))</f>
        <v/>
      </c>
      <c r="AU58" s="24">
        <f>INDEX(MTInputs!$J$1:$AZ$415,$D58,MATCH(AU$5,MTInputs!$J$5:$AZ$5,0))</f>
        <v/>
      </c>
      <c r="AV58" s="24">
        <f>INDEX(MTInputs!$J$1:$AZ$415,$D58,MATCH(AV$5,MTInputs!$J$5:$AZ$5,0))</f>
        <v/>
      </c>
      <c r="AW58" s="24">
        <f>INDEX(MTInputs!$J$1:$AZ$415,$D58,MATCH(AW$5,MTInputs!$J$5:$AZ$5,0))</f>
        <v/>
      </c>
      <c r="AX58" s="24">
        <f>INDEX(MTInputs!$J$1:$AZ$415,$D58,MATCH(AX$5,MTInputs!$J$5:$AZ$5,0))</f>
        <v/>
      </c>
      <c r="AY58" s="24">
        <f>INDEX(MTInputs!$J$1:$AZ$415,$D58,MATCH(AY$5,MTInputs!$J$5:$AZ$5,0))</f>
        <v/>
      </c>
      <c r="AZ58" s="24">
        <f>INDEX(MTInputs!$J$1:$AZ$415,$D58,MATCH(AZ$5,MTInputs!$J$5:$AZ$5,0))</f>
        <v/>
      </c>
      <c r="BA58" s="24">
        <f>INDEX(MTInputs!$J$1:$AZ$415,$D58,MATCH(BA$5,MTInputs!$J$5:$AZ$5,0))</f>
        <v/>
      </c>
    </row>
    <row r="59" hidden="1" outlineLevel="1">
      <c r="A59" s="14" t="inlineStr">
        <is>
          <t>fpr.s</t>
        </is>
      </c>
      <c r="B59" s="14" t="inlineStr">
        <is>
          <t>ecy</t>
        </is>
      </c>
      <c r="C59" s="14" t="inlineStr">
        <is>
          <t>ind</t>
        </is>
      </c>
      <c r="D59" s="22" t="n">
        <v>149</v>
      </c>
      <c r="H59" s="14">
        <f>INDEX(VarLab,MATCH($A59,VarKey,0))&amp;INDEX(MemLab,MATCH($C59&amp;"|"&amp;$B59,MemKey,0))</f>
        <v/>
      </c>
      <c r="I59" s="14">
        <f>INDEX(VarUnit,MATCH($A59,VarKey,0))</f>
        <v/>
      </c>
      <c r="J59" s="14">
        <f>INDEX(VarSrc,MATCH($A59,VarKey,0))</f>
        <v/>
      </c>
      <c r="K59" s="11">
        <f>CodePrefix&amp;$A59&amp;IF($C59="","","."&amp;$C59&amp;"."&amp;$B59)&amp;INDEX(VarEnd,MATCH($A59,VarKey,0))&amp;K$5</f>
        <v/>
      </c>
      <c r="L59" s="23">
        <f>INDEX(MTInputs!$J$1:$AZ$415,$D59,MATCH(L$5,MTInputs!$J$5:$AZ$5,0))</f>
        <v/>
      </c>
      <c r="M59" s="24">
        <f>INDEX(MTInputs!$J$1:$AZ$415,$D59,MATCH(M$5,MTInputs!$J$5:$AZ$5,0))</f>
        <v/>
      </c>
      <c r="N59" s="24">
        <f>INDEX(MTInputs!$J$1:$AZ$415,$D59,MATCH(N$5,MTInputs!$J$5:$AZ$5,0))</f>
        <v/>
      </c>
      <c r="O59" s="24">
        <f>INDEX(MTInputs!$J$1:$AZ$415,$D59,MATCH(O$5,MTInputs!$J$5:$AZ$5,0))</f>
        <v/>
      </c>
      <c r="P59" s="24">
        <f>INDEX(MTInputs!$J$1:$AZ$415,$D59,MATCH(P$5,MTInputs!$J$5:$AZ$5,0))</f>
        <v/>
      </c>
      <c r="Q59" s="24">
        <f>INDEX(MTInputs!$J$1:$AZ$415,$D59,MATCH(Q$5,MTInputs!$J$5:$AZ$5,0))</f>
        <v/>
      </c>
      <c r="R59" s="24">
        <f>INDEX(MTInputs!$J$1:$AZ$415,$D59,MATCH(R$5,MTInputs!$J$5:$AZ$5,0))</f>
        <v/>
      </c>
      <c r="S59" s="24">
        <f>INDEX(MTInputs!$J$1:$AZ$415,$D59,MATCH(S$5,MTInputs!$J$5:$AZ$5,0))</f>
        <v/>
      </c>
      <c r="T59" s="24">
        <f>INDEX(MTInputs!$J$1:$AZ$415,$D59,MATCH(T$5,MTInputs!$J$5:$AZ$5,0))</f>
        <v/>
      </c>
      <c r="U59" s="24">
        <f>INDEX(MTInputs!$J$1:$AZ$415,$D59,MATCH(U$5,MTInputs!$J$5:$AZ$5,0))</f>
        <v/>
      </c>
      <c r="V59" s="24">
        <f>INDEX(MTInputs!$J$1:$AZ$415,$D59,MATCH(V$5,MTInputs!$J$5:$AZ$5,0))</f>
        <v/>
      </c>
      <c r="W59" s="24">
        <f>INDEX(MTInputs!$J$1:$AZ$415,$D59,MATCH(W$5,MTInputs!$J$5:$AZ$5,0))</f>
        <v/>
      </c>
      <c r="X59" s="24">
        <f>INDEX(MTInputs!$J$1:$AZ$415,$D59,MATCH(X$5,MTInputs!$J$5:$AZ$5,0))</f>
        <v/>
      </c>
      <c r="Y59" s="24">
        <f>INDEX(MTInputs!$J$1:$AZ$415,$D59,MATCH(Y$5,MTInputs!$J$5:$AZ$5,0))</f>
        <v/>
      </c>
      <c r="Z59" s="24">
        <f>INDEX(MTInputs!$J$1:$AZ$415,$D59,MATCH(Z$5,MTInputs!$J$5:$AZ$5,0))</f>
        <v/>
      </c>
      <c r="AA59" s="24">
        <f>INDEX(MTInputs!$J$1:$AZ$415,$D59,MATCH(AA$5,MTInputs!$J$5:$AZ$5,0))</f>
        <v/>
      </c>
      <c r="AB59" s="24">
        <f>INDEX(MTInputs!$J$1:$AZ$415,$D59,MATCH(AB$5,MTInputs!$J$5:$AZ$5,0))</f>
        <v/>
      </c>
      <c r="AC59" s="24">
        <f>INDEX(MTInputs!$J$1:$AZ$415,$D59,MATCH(AC$5,MTInputs!$J$5:$AZ$5,0))</f>
        <v/>
      </c>
      <c r="AD59" s="24">
        <f>INDEX(MTInputs!$J$1:$AZ$415,$D59,MATCH(AD$5,MTInputs!$J$5:$AZ$5,0))</f>
        <v/>
      </c>
      <c r="AE59" s="24">
        <f>INDEX(MTInputs!$J$1:$AZ$415,$D59,MATCH(AE$5,MTInputs!$J$5:$AZ$5,0))</f>
        <v/>
      </c>
      <c r="AG59" s="11">
        <f>CodePrefix&amp;$A59&amp;IF($C59="","","."&amp;$C59&amp;"."&amp;$B59)&amp;INDEX(VarEnd,MATCH($A59,VarKey,0))&amp;AG$5</f>
        <v/>
      </c>
      <c r="AH59" s="23">
        <f>INDEX(MTInputs!$J$1:$AZ$415,$D59,MATCH(AH$5,MTInputs!$J$5:$AZ$5,0))</f>
        <v/>
      </c>
      <c r="AI59" s="24">
        <f>INDEX(MTInputs!$J$1:$AZ$415,$D59,MATCH(AI$5,MTInputs!$J$5:$AZ$5,0))</f>
        <v/>
      </c>
      <c r="AJ59" s="24">
        <f>INDEX(MTInputs!$J$1:$AZ$415,$D59,MATCH(AJ$5,MTInputs!$J$5:$AZ$5,0))</f>
        <v/>
      </c>
      <c r="AK59" s="24">
        <f>INDEX(MTInputs!$J$1:$AZ$415,$D59,MATCH(AK$5,MTInputs!$J$5:$AZ$5,0))</f>
        <v/>
      </c>
      <c r="AL59" s="24">
        <f>INDEX(MTInputs!$J$1:$AZ$415,$D59,MATCH(AL$5,MTInputs!$J$5:$AZ$5,0))</f>
        <v/>
      </c>
      <c r="AM59" s="24">
        <f>INDEX(MTInputs!$J$1:$AZ$415,$D59,MATCH(AM$5,MTInputs!$J$5:$AZ$5,0))</f>
        <v/>
      </c>
      <c r="AN59" s="24">
        <f>INDEX(MTInputs!$J$1:$AZ$415,$D59,MATCH(AN$5,MTInputs!$J$5:$AZ$5,0))</f>
        <v/>
      </c>
      <c r="AO59" s="24">
        <f>INDEX(MTInputs!$J$1:$AZ$415,$D59,MATCH(AO$5,MTInputs!$J$5:$AZ$5,0))</f>
        <v/>
      </c>
      <c r="AP59" s="24">
        <f>INDEX(MTInputs!$J$1:$AZ$415,$D59,MATCH(AP$5,MTInputs!$J$5:$AZ$5,0))</f>
        <v/>
      </c>
      <c r="AQ59" s="24">
        <f>INDEX(MTInputs!$J$1:$AZ$415,$D59,MATCH(AQ$5,MTInputs!$J$5:$AZ$5,0))</f>
        <v/>
      </c>
      <c r="AR59" s="24">
        <f>INDEX(MTInputs!$J$1:$AZ$415,$D59,MATCH(AR$5,MTInputs!$J$5:$AZ$5,0))</f>
        <v/>
      </c>
      <c r="AS59" s="24">
        <f>INDEX(MTInputs!$J$1:$AZ$415,$D59,MATCH(AS$5,MTInputs!$J$5:$AZ$5,0))</f>
        <v/>
      </c>
      <c r="AT59" s="24">
        <f>INDEX(MTInputs!$J$1:$AZ$415,$D59,MATCH(AT$5,MTInputs!$J$5:$AZ$5,0))</f>
        <v/>
      </c>
      <c r="AU59" s="24">
        <f>INDEX(MTInputs!$J$1:$AZ$415,$D59,MATCH(AU$5,MTInputs!$J$5:$AZ$5,0))</f>
        <v/>
      </c>
      <c r="AV59" s="24">
        <f>INDEX(MTInputs!$J$1:$AZ$415,$D59,MATCH(AV$5,MTInputs!$J$5:$AZ$5,0))</f>
        <v/>
      </c>
      <c r="AW59" s="24">
        <f>INDEX(MTInputs!$J$1:$AZ$415,$D59,MATCH(AW$5,MTInputs!$J$5:$AZ$5,0))</f>
        <v/>
      </c>
      <c r="AX59" s="24">
        <f>INDEX(MTInputs!$J$1:$AZ$415,$D59,MATCH(AX$5,MTInputs!$J$5:$AZ$5,0))</f>
        <v/>
      </c>
      <c r="AY59" s="24">
        <f>INDEX(MTInputs!$J$1:$AZ$415,$D59,MATCH(AY$5,MTInputs!$J$5:$AZ$5,0))</f>
        <v/>
      </c>
      <c r="AZ59" s="24">
        <f>INDEX(MTInputs!$J$1:$AZ$415,$D59,MATCH(AZ$5,MTInputs!$J$5:$AZ$5,0))</f>
        <v/>
      </c>
      <c r="BA59" s="24">
        <f>INDEX(MTInputs!$J$1:$AZ$415,$D59,MATCH(BA$5,MTInputs!$J$5:$AZ$5,0))</f>
        <v/>
      </c>
    </row>
    <row r="60" hidden="1" outlineLevel="1">
      <c r="A60" s="14" t="inlineStr">
        <is>
          <t>fpr.s</t>
        </is>
      </c>
      <c r="B60" s="14" t="inlineStr">
        <is>
          <t>gso</t>
        </is>
      </c>
      <c r="C60" s="14" t="inlineStr">
        <is>
          <t>all</t>
        </is>
      </c>
      <c r="D60" s="22" t="n">
        <v>150</v>
      </c>
      <c r="H60" s="14">
        <f>INDEX(VarLab,MATCH($A60,VarKey,0))&amp;INDEX(MemLab,MATCH($C60&amp;"|"&amp;$B60,MemKey,0))</f>
        <v/>
      </c>
      <c r="I60" s="14">
        <f>INDEX(VarUnit,MATCH($A60,VarKey,0))</f>
        <v/>
      </c>
      <c r="J60" s="14">
        <f>INDEX(VarSrc,MATCH($A60,VarKey,0))</f>
        <v/>
      </c>
      <c r="K60" s="11">
        <f>CodePrefix&amp;$A60&amp;IF($C60="","","."&amp;$C60&amp;"."&amp;$B60)&amp;INDEX(VarEnd,MATCH($A60,VarKey,0))&amp;K$5</f>
        <v/>
      </c>
      <c r="L60" s="23">
        <f>INDEX(MTInputs!$J$1:$AZ$415,$D60,MATCH(L$5,MTInputs!$J$5:$AZ$5,0))</f>
        <v/>
      </c>
      <c r="M60" s="24">
        <f>INDEX(MTInputs!$J$1:$AZ$415,$D60,MATCH(M$5,MTInputs!$J$5:$AZ$5,0))</f>
        <v/>
      </c>
      <c r="N60" s="24">
        <f>INDEX(MTInputs!$J$1:$AZ$415,$D60,MATCH(N$5,MTInputs!$J$5:$AZ$5,0))</f>
        <v/>
      </c>
      <c r="O60" s="24">
        <f>INDEX(MTInputs!$J$1:$AZ$415,$D60,MATCH(O$5,MTInputs!$J$5:$AZ$5,0))</f>
        <v/>
      </c>
      <c r="P60" s="24">
        <f>INDEX(MTInputs!$J$1:$AZ$415,$D60,MATCH(P$5,MTInputs!$J$5:$AZ$5,0))</f>
        <v/>
      </c>
      <c r="Q60" s="24">
        <f>INDEX(MTInputs!$J$1:$AZ$415,$D60,MATCH(Q$5,MTInputs!$J$5:$AZ$5,0))</f>
        <v/>
      </c>
      <c r="R60" s="24">
        <f>INDEX(MTInputs!$J$1:$AZ$415,$D60,MATCH(R$5,MTInputs!$J$5:$AZ$5,0))</f>
        <v/>
      </c>
      <c r="S60" s="24">
        <f>INDEX(MTInputs!$J$1:$AZ$415,$D60,MATCH(S$5,MTInputs!$J$5:$AZ$5,0))</f>
        <v/>
      </c>
      <c r="T60" s="24">
        <f>INDEX(MTInputs!$J$1:$AZ$415,$D60,MATCH(T$5,MTInputs!$J$5:$AZ$5,0))</f>
        <v/>
      </c>
      <c r="U60" s="24">
        <f>INDEX(MTInputs!$J$1:$AZ$415,$D60,MATCH(U$5,MTInputs!$J$5:$AZ$5,0))</f>
        <v/>
      </c>
      <c r="V60" s="24">
        <f>INDEX(MTInputs!$J$1:$AZ$415,$D60,MATCH(V$5,MTInputs!$J$5:$AZ$5,0))</f>
        <v/>
      </c>
      <c r="W60" s="24">
        <f>INDEX(MTInputs!$J$1:$AZ$415,$D60,MATCH(W$5,MTInputs!$J$5:$AZ$5,0))</f>
        <v/>
      </c>
      <c r="X60" s="24">
        <f>INDEX(MTInputs!$J$1:$AZ$415,$D60,MATCH(X$5,MTInputs!$J$5:$AZ$5,0))</f>
        <v/>
      </c>
      <c r="Y60" s="24">
        <f>INDEX(MTInputs!$J$1:$AZ$415,$D60,MATCH(Y$5,MTInputs!$J$5:$AZ$5,0))</f>
        <v/>
      </c>
      <c r="Z60" s="24">
        <f>INDEX(MTInputs!$J$1:$AZ$415,$D60,MATCH(Z$5,MTInputs!$J$5:$AZ$5,0))</f>
        <v/>
      </c>
      <c r="AA60" s="24">
        <f>INDEX(MTInputs!$J$1:$AZ$415,$D60,MATCH(AA$5,MTInputs!$J$5:$AZ$5,0))</f>
        <v/>
      </c>
      <c r="AB60" s="24">
        <f>INDEX(MTInputs!$J$1:$AZ$415,$D60,MATCH(AB$5,MTInputs!$J$5:$AZ$5,0))</f>
        <v/>
      </c>
      <c r="AC60" s="24">
        <f>INDEX(MTInputs!$J$1:$AZ$415,$D60,MATCH(AC$5,MTInputs!$J$5:$AZ$5,0))</f>
        <v/>
      </c>
      <c r="AD60" s="24">
        <f>INDEX(MTInputs!$J$1:$AZ$415,$D60,MATCH(AD$5,MTInputs!$J$5:$AZ$5,0))</f>
        <v/>
      </c>
      <c r="AE60" s="24">
        <f>INDEX(MTInputs!$J$1:$AZ$415,$D60,MATCH(AE$5,MTInputs!$J$5:$AZ$5,0))</f>
        <v/>
      </c>
      <c r="AG60" s="11">
        <f>CodePrefix&amp;$A60&amp;IF($C60="","","."&amp;$C60&amp;"."&amp;$B60)&amp;INDEX(VarEnd,MATCH($A60,VarKey,0))&amp;AG$5</f>
        <v/>
      </c>
      <c r="AH60" s="23">
        <f>INDEX(MTInputs!$J$1:$AZ$415,$D60,MATCH(AH$5,MTInputs!$J$5:$AZ$5,0))</f>
        <v/>
      </c>
      <c r="AI60" s="24">
        <f>INDEX(MTInputs!$J$1:$AZ$415,$D60,MATCH(AI$5,MTInputs!$J$5:$AZ$5,0))</f>
        <v/>
      </c>
      <c r="AJ60" s="24">
        <f>INDEX(MTInputs!$J$1:$AZ$415,$D60,MATCH(AJ$5,MTInputs!$J$5:$AZ$5,0))</f>
        <v/>
      </c>
      <c r="AK60" s="24">
        <f>INDEX(MTInputs!$J$1:$AZ$415,$D60,MATCH(AK$5,MTInputs!$J$5:$AZ$5,0))</f>
        <v/>
      </c>
      <c r="AL60" s="24">
        <f>INDEX(MTInputs!$J$1:$AZ$415,$D60,MATCH(AL$5,MTInputs!$J$5:$AZ$5,0))</f>
        <v/>
      </c>
      <c r="AM60" s="24">
        <f>INDEX(MTInputs!$J$1:$AZ$415,$D60,MATCH(AM$5,MTInputs!$J$5:$AZ$5,0))</f>
        <v/>
      </c>
      <c r="AN60" s="24">
        <f>INDEX(MTInputs!$J$1:$AZ$415,$D60,MATCH(AN$5,MTInputs!$J$5:$AZ$5,0))</f>
        <v/>
      </c>
      <c r="AO60" s="24">
        <f>INDEX(MTInputs!$J$1:$AZ$415,$D60,MATCH(AO$5,MTInputs!$J$5:$AZ$5,0))</f>
        <v/>
      </c>
      <c r="AP60" s="24">
        <f>INDEX(MTInputs!$J$1:$AZ$415,$D60,MATCH(AP$5,MTInputs!$J$5:$AZ$5,0))</f>
        <v/>
      </c>
      <c r="AQ60" s="24">
        <f>INDEX(MTInputs!$J$1:$AZ$415,$D60,MATCH(AQ$5,MTInputs!$J$5:$AZ$5,0))</f>
        <v/>
      </c>
      <c r="AR60" s="24">
        <f>INDEX(MTInputs!$J$1:$AZ$415,$D60,MATCH(AR$5,MTInputs!$J$5:$AZ$5,0))</f>
        <v/>
      </c>
      <c r="AS60" s="24">
        <f>INDEX(MTInputs!$J$1:$AZ$415,$D60,MATCH(AS$5,MTInputs!$J$5:$AZ$5,0))</f>
        <v/>
      </c>
      <c r="AT60" s="24">
        <f>INDEX(MTInputs!$J$1:$AZ$415,$D60,MATCH(AT$5,MTInputs!$J$5:$AZ$5,0))</f>
        <v/>
      </c>
      <c r="AU60" s="24">
        <f>INDEX(MTInputs!$J$1:$AZ$415,$D60,MATCH(AU$5,MTInputs!$J$5:$AZ$5,0))</f>
        <v/>
      </c>
      <c r="AV60" s="24">
        <f>INDEX(MTInputs!$J$1:$AZ$415,$D60,MATCH(AV$5,MTInputs!$J$5:$AZ$5,0))</f>
        <v/>
      </c>
      <c r="AW60" s="24">
        <f>INDEX(MTInputs!$J$1:$AZ$415,$D60,MATCH(AW$5,MTInputs!$J$5:$AZ$5,0))</f>
        <v/>
      </c>
      <c r="AX60" s="24">
        <f>INDEX(MTInputs!$J$1:$AZ$415,$D60,MATCH(AX$5,MTInputs!$J$5:$AZ$5,0))</f>
        <v/>
      </c>
      <c r="AY60" s="24">
        <f>INDEX(MTInputs!$J$1:$AZ$415,$D60,MATCH(AY$5,MTInputs!$J$5:$AZ$5,0))</f>
        <v/>
      </c>
      <c r="AZ60" s="24">
        <f>INDEX(MTInputs!$J$1:$AZ$415,$D60,MATCH(AZ$5,MTInputs!$J$5:$AZ$5,0))</f>
        <v/>
      </c>
      <c r="BA60" s="24">
        <f>INDEX(MTInputs!$J$1:$AZ$415,$D60,MATCH(BA$5,MTInputs!$J$5:$AZ$5,0))</f>
        <v/>
      </c>
    </row>
    <row r="61" hidden="1" outlineLevel="1">
      <c r="A61" s="14" t="inlineStr">
        <is>
          <t>fpr.s</t>
        </is>
      </c>
      <c r="B61" s="14" t="inlineStr">
        <is>
          <t>die</t>
        </is>
      </c>
      <c r="C61" s="14" t="inlineStr">
        <is>
          <t>all</t>
        </is>
      </c>
      <c r="D61" s="22" t="n">
        <v>151</v>
      </c>
      <c r="H61" s="14">
        <f>INDEX(VarLab,MATCH($A61,VarKey,0))&amp;INDEX(MemLab,MATCH($C61&amp;"|"&amp;$B61,MemKey,0))</f>
        <v/>
      </c>
      <c r="I61" s="14">
        <f>INDEX(VarUnit,MATCH($A61,VarKey,0))</f>
        <v/>
      </c>
      <c r="J61" s="14">
        <f>INDEX(VarSrc,MATCH($A61,VarKey,0))</f>
        <v/>
      </c>
      <c r="K61" s="11">
        <f>CodePrefix&amp;$A61&amp;IF($C61="","","."&amp;$C61&amp;"."&amp;$B61)&amp;INDEX(VarEnd,MATCH($A61,VarKey,0))&amp;K$5</f>
        <v/>
      </c>
      <c r="L61" s="23">
        <f>INDEX(MTInputs!$J$1:$AZ$415,$D61,MATCH(L$5,MTInputs!$J$5:$AZ$5,0))</f>
        <v/>
      </c>
      <c r="M61" s="24">
        <f>INDEX(MTInputs!$J$1:$AZ$415,$D61,MATCH(M$5,MTInputs!$J$5:$AZ$5,0))</f>
        <v/>
      </c>
      <c r="N61" s="24">
        <f>INDEX(MTInputs!$J$1:$AZ$415,$D61,MATCH(N$5,MTInputs!$J$5:$AZ$5,0))</f>
        <v/>
      </c>
      <c r="O61" s="24">
        <f>INDEX(MTInputs!$J$1:$AZ$415,$D61,MATCH(O$5,MTInputs!$J$5:$AZ$5,0))</f>
        <v/>
      </c>
      <c r="P61" s="24">
        <f>INDEX(MTInputs!$J$1:$AZ$415,$D61,MATCH(P$5,MTInputs!$J$5:$AZ$5,0))</f>
        <v/>
      </c>
      <c r="Q61" s="24">
        <f>INDEX(MTInputs!$J$1:$AZ$415,$D61,MATCH(Q$5,MTInputs!$J$5:$AZ$5,0))</f>
        <v/>
      </c>
      <c r="R61" s="24">
        <f>INDEX(MTInputs!$J$1:$AZ$415,$D61,MATCH(R$5,MTInputs!$J$5:$AZ$5,0))</f>
        <v/>
      </c>
      <c r="S61" s="24">
        <f>INDEX(MTInputs!$J$1:$AZ$415,$D61,MATCH(S$5,MTInputs!$J$5:$AZ$5,0))</f>
        <v/>
      </c>
      <c r="T61" s="24">
        <f>INDEX(MTInputs!$J$1:$AZ$415,$D61,MATCH(T$5,MTInputs!$J$5:$AZ$5,0))</f>
        <v/>
      </c>
      <c r="U61" s="24">
        <f>INDEX(MTInputs!$J$1:$AZ$415,$D61,MATCH(U$5,MTInputs!$J$5:$AZ$5,0))</f>
        <v/>
      </c>
      <c r="V61" s="24">
        <f>INDEX(MTInputs!$J$1:$AZ$415,$D61,MATCH(V$5,MTInputs!$J$5:$AZ$5,0))</f>
        <v/>
      </c>
      <c r="W61" s="24">
        <f>INDEX(MTInputs!$J$1:$AZ$415,$D61,MATCH(W$5,MTInputs!$J$5:$AZ$5,0))</f>
        <v/>
      </c>
      <c r="X61" s="24">
        <f>INDEX(MTInputs!$J$1:$AZ$415,$D61,MATCH(X$5,MTInputs!$J$5:$AZ$5,0))</f>
        <v/>
      </c>
      <c r="Y61" s="24">
        <f>INDEX(MTInputs!$J$1:$AZ$415,$D61,MATCH(Y$5,MTInputs!$J$5:$AZ$5,0))</f>
        <v/>
      </c>
      <c r="Z61" s="24">
        <f>INDEX(MTInputs!$J$1:$AZ$415,$D61,MATCH(Z$5,MTInputs!$J$5:$AZ$5,0))</f>
        <v/>
      </c>
      <c r="AA61" s="24">
        <f>INDEX(MTInputs!$J$1:$AZ$415,$D61,MATCH(AA$5,MTInputs!$J$5:$AZ$5,0))</f>
        <v/>
      </c>
      <c r="AB61" s="24">
        <f>INDEX(MTInputs!$J$1:$AZ$415,$D61,MATCH(AB$5,MTInputs!$J$5:$AZ$5,0))</f>
        <v/>
      </c>
      <c r="AC61" s="24">
        <f>INDEX(MTInputs!$J$1:$AZ$415,$D61,MATCH(AC$5,MTInputs!$J$5:$AZ$5,0))</f>
        <v/>
      </c>
      <c r="AD61" s="24">
        <f>INDEX(MTInputs!$J$1:$AZ$415,$D61,MATCH(AD$5,MTInputs!$J$5:$AZ$5,0))</f>
        <v/>
      </c>
      <c r="AE61" s="24">
        <f>INDEX(MTInputs!$J$1:$AZ$415,$D61,MATCH(AE$5,MTInputs!$J$5:$AZ$5,0))</f>
        <v/>
      </c>
      <c r="AG61" s="11">
        <f>CodePrefix&amp;$A61&amp;IF($C61="","","."&amp;$C61&amp;"."&amp;$B61)&amp;INDEX(VarEnd,MATCH($A61,VarKey,0))&amp;AG$5</f>
        <v/>
      </c>
      <c r="AH61" s="23">
        <f>INDEX(MTInputs!$J$1:$AZ$415,$D61,MATCH(AH$5,MTInputs!$J$5:$AZ$5,0))</f>
        <v/>
      </c>
      <c r="AI61" s="24">
        <f>INDEX(MTInputs!$J$1:$AZ$415,$D61,MATCH(AI$5,MTInputs!$J$5:$AZ$5,0))</f>
        <v/>
      </c>
      <c r="AJ61" s="24">
        <f>INDEX(MTInputs!$J$1:$AZ$415,$D61,MATCH(AJ$5,MTInputs!$J$5:$AZ$5,0))</f>
        <v/>
      </c>
      <c r="AK61" s="24">
        <f>INDEX(MTInputs!$J$1:$AZ$415,$D61,MATCH(AK$5,MTInputs!$J$5:$AZ$5,0))</f>
        <v/>
      </c>
      <c r="AL61" s="24">
        <f>INDEX(MTInputs!$J$1:$AZ$415,$D61,MATCH(AL$5,MTInputs!$J$5:$AZ$5,0))</f>
        <v/>
      </c>
      <c r="AM61" s="24">
        <f>INDEX(MTInputs!$J$1:$AZ$415,$D61,MATCH(AM$5,MTInputs!$J$5:$AZ$5,0))</f>
        <v/>
      </c>
      <c r="AN61" s="24">
        <f>INDEX(MTInputs!$J$1:$AZ$415,$D61,MATCH(AN$5,MTInputs!$J$5:$AZ$5,0))</f>
        <v/>
      </c>
      <c r="AO61" s="24">
        <f>INDEX(MTInputs!$J$1:$AZ$415,$D61,MATCH(AO$5,MTInputs!$J$5:$AZ$5,0))</f>
        <v/>
      </c>
      <c r="AP61" s="24">
        <f>INDEX(MTInputs!$J$1:$AZ$415,$D61,MATCH(AP$5,MTInputs!$J$5:$AZ$5,0))</f>
        <v/>
      </c>
      <c r="AQ61" s="24">
        <f>INDEX(MTInputs!$J$1:$AZ$415,$D61,MATCH(AQ$5,MTInputs!$J$5:$AZ$5,0))</f>
        <v/>
      </c>
      <c r="AR61" s="24">
        <f>INDEX(MTInputs!$J$1:$AZ$415,$D61,MATCH(AR$5,MTInputs!$J$5:$AZ$5,0))</f>
        <v/>
      </c>
      <c r="AS61" s="24">
        <f>INDEX(MTInputs!$J$1:$AZ$415,$D61,MATCH(AS$5,MTInputs!$J$5:$AZ$5,0))</f>
        <v/>
      </c>
      <c r="AT61" s="24">
        <f>INDEX(MTInputs!$J$1:$AZ$415,$D61,MATCH(AT$5,MTInputs!$J$5:$AZ$5,0))</f>
        <v/>
      </c>
      <c r="AU61" s="24">
        <f>INDEX(MTInputs!$J$1:$AZ$415,$D61,MATCH(AU$5,MTInputs!$J$5:$AZ$5,0))</f>
        <v/>
      </c>
      <c r="AV61" s="24">
        <f>INDEX(MTInputs!$J$1:$AZ$415,$D61,MATCH(AV$5,MTInputs!$J$5:$AZ$5,0))</f>
        <v/>
      </c>
      <c r="AW61" s="24">
        <f>INDEX(MTInputs!$J$1:$AZ$415,$D61,MATCH(AW$5,MTInputs!$J$5:$AZ$5,0))</f>
        <v/>
      </c>
      <c r="AX61" s="24">
        <f>INDEX(MTInputs!$J$1:$AZ$415,$D61,MATCH(AX$5,MTInputs!$J$5:$AZ$5,0))</f>
        <v/>
      </c>
      <c r="AY61" s="24">
        <f>INDEX(MTInputs!$J$1:$AZ$415,$D61,MATCH(AY$5,MTInputs!$J$5:$AZ$5,0))</f>
        <v/>
      </c>
      <c r="AZ61" s="24">
        <f>INDEX(MTInputs!$J$1:$AZ$415,$D61,MATCH(AZ$5,MTInputs!$J$5:$AZ$5,0))</f>
        <v/>
      </c>
      <c r="BA61" s="24">
        <f>INDEX(MTInputs!$J$1:$AZ$415,$D61,MATCH(BA$5,MTInputs!$J$5:$AZ$5,0))</f>
        <v/>
      </c>
    </row>
    <row r="62" hidden="1" outlineLevel="1">
      <c r="A62" s="14" t="inlineStr">
        <is>
          <t>fpr.s</t>
        </is>
      </c>
      <c r="B62" s="14" t="inlineStr">
        <is>
          <t>lpg</t>
        </is>
      </c>
      <c r="C62" s="14" t="inlineStr">
        <is>
          <t>all</t>
        </is>
      </c>
      <c r="D62" s="22" t="n">
        <v>152</v>
      </c>
      <c r="H62" s="14">
        <f>INDEX(VarLab,MATCH($A62,VarKey,0))&amp;INDEX(MemLab,MATCH($C62&amp;"|"&amp;$B62,MemKey,0))</f>
        <v/>
      </c>
      <c r="I62" s="14">
        <f>INDEX(VarUnit,MATCH($A62,VarKey,0))</f>
        <v/>
      </c>
      <c r="J62" s="14">
        <f>INDEX(VarSrc,MATCH($A62,VarKey,0))</f>
        <v/>
      </c>
      <c r="K62" s="11">
        <f>CodePrefix&amp;$A62&amp;IF($C62="","","."&amp;$C62&amp;"."&amp;$B62)&amp;INDEX(VarEnd,MATCH($A62,VarKey,0))&amp;K$5</f>
        <v/>
      </c>
      <c r="L62" s="23">
        <f>INDEX(MTInputs!$J$1:$AZ$415,$D62,MATCH(L$5,MTInputs!$J$5:$AZ$5,0))</f>
        <v/>
      </c>
      <c r="M62" s="24">
        <f>INDEX(MTInputs!$J$1:$AZ$415,$D62,MATCH(M$5,MTInputs!$J$5:$AZ$5,0))</f>
        <v/>
      </c>
      <c r="N62" s="24">
        <f>INDEX(MTInputs!$J$1:$AZ$415,$D62,MATCH(N$5,MTInputs!$J$5:$AZ$5,0))</f>
        <v/>
      </c>
      <c r="O62" s="24">
        <f>INDEX(MTInputs!$J$1:$AZ$415,$D62,MATCH(O$5,MTInputs!$J$5:$AZ$5,0))</f>
        <v/>
      </c>
      <c r="P62" s="24">
        <f>INDEX(MTInputs!$J$1:$AZ$415,$D62,MATCH(P$5,MTInputs!$J$5:$AZ$5,0))</f>
        <v/>
      </c>
      <c r="Q62" s="24">
        <f>INDEX(MTInputs!$J$1:$AZ$415,$D62,MATCH(Q$5,MTInputs!$J$5:$AZ$5,0))</f>
        <v/>
      </c>
      <c r="R62" s="24">
        <f>INDEX(MTInputs!$J$1:$AZ$415,$D62,MATCH(R$5,MTInputs!$J$5:$AZ$5,0))</f>
        <v/>
      </c>
      <c r="S62" s="24">
        <f>INDEX(MTInputs!$J$1:$AZ$415,$D62,MATCH(S$5,MTInputs!$J$5:$AZ$5,0))</f>
        <v/>
      </c>
      <c r="T62" s="24">
        <f>INDEX(MTInputs!$J$1:$AZ$415,$D62,MATCH(T$5,MTInputs!$J$5:$AZ$5,0))</f>
        <v/>
      </c>
      <c r="U62" s="24">
        <f>INDEX(MTInputs!$J$1:$AZ$415,$D62,MATCH(U$5,MTInputs!$J$5:$AZ$5,0))</f>
        <v/>
      </c>
      <c r="V62" s="24">
        <f>INDEX(MTInputs!$J$1:$AZ$415,$D62,MATCH(V$5,MTInputs!$J$5:$AZ$5,0))</f>
        <v/>
      </c>
      <c r="W62" s="24">
        <f>INDEX(MTInputs!$J$1:$AZ$415,$D62,MATCH(W$5,MTInputs!$J$5:$AZ$5,0))</f>
        <v/>
      </c>
      <c r="X62" s="24">
        <f>INDEX(MTInputs!$J$1:$AZ$415,$D62,MATCH(X$5,MTInputs!$J$5:$AZ$5,0))</f>
        <v/>
      </c>
      <c r="Y62" s="24">
        <f>INDEX(MTInputs!$J$1:$AZ$415,$D62,MATCH(Y$5,MTInputs!$J$5:$AZ$5,0))</f>
        <v/>
      </c>
      <c r="Z62" s="24">
        <f>INDEX(MTInputs!$J$1:$AZ$415,$D62,MATCH(Z$5,MTInputs!$J$5:$AZ$5,0))</f>
        <v/>
      </c>
      <c r="AA62" s="24">
        <f>INDEX(MTInputs!$J$1:$AZ$415,$D62,MATCH(AA$5,MTInputs!$J$5:$AZ$5,0))</f>
        <v/>
      </c>
      <c r="AB62" s="24">
        <f>INDEX(MTInputs!$J$1:$AZ$415,$D62,MATCH(AB$5,MTInputs!$J$5:$AZ$5,0))</f>
        <v/>
      </c>
      <c r="AC62" s="24">
        <f>INDEX(MTInputs!$J$1:$AZ$415,$D62,MATCH(AC$5,MTInputs!$J$5:$AZ$5,0))</f>
        <v/>
      </c>
      <c r="AD62" s="24">
        <f>INDEX(MTInputs!$J$1:$AZ$415,$D62,MATCH(AD$5,MTInputs!$J$5:$AZ$5,0))</f>
        <v/>
      </c>
      <c r="AE62" s="24">
        <f>INDEX(MTInputs!$J$1:$AZ$415,$D62,MATCH(AE$5,MTInputs!$J$5:$AZ$5,0))</f>
        <v/>
      </c>
      <c r="AG62" s="11">
        <f>CodePrefix&amp;$A62&amp;IF($C62="","","."&amp;$C62&amp;"."&amp;$B62)&amp;INDEX(VarEnd,MATCH($A62,VarKey,0))&amp;AG$5</f>
        <v/>
      </c>
      <c r="AH62" s="23">
        <f>INDEX(MTInputs!$J$1:$AZ$415,$D62,MATCH(AH$5,MTInputs!$J$5:$AZ$5,0))</f>
        <v/>
      </c>
      <c r="AI62" s="24">
        <f>INDEX(MTInputs!$J$1:$AZ$415,$D62,MATCH(AI$5,MTInputs!$J$5:$AZ$5,0))</f>
        <v/>
      </c>
      <c r="AJ62" s="24">
        <f>INDEX(MTInputs!$J$1:$AZ$415,$D62,MATCH(AJ$5,MTInputs!$J$5:$AZ$5,0))</f>
        <v/>
      </c>
      <c r="AK62" s="24">
        <f>INDEX(MTInputs!$J$1:$AZ$415,$D62,MATCH(AK$5,MTInputs!$J$5:$AZ$5,0))</f>
        <v/>
      </c>
      <c r="AL62" s="24">
        <f>INDEX(MTInputs!$J$1:$AZ$415,$D62,MATCH(AL$5,MTInputs!$J$5:$AZ$5,0))</f>
        <v/>
      </c>
      <c r="AM62" s="24">
        <f>INDEX(MTInputs!$J$1:$AZ$415,$D62,MATCH(AM$5,MTInputs!$J$5:$AZ$5,0))</f>
        <v/>
      </c>
      <c r="AN62" s="24">
        <f>INDEX(MTInputs!$J$1:$AZ$415,$D62,MATCH(AN$5,MTInputs!$J$5:$AZ$5,0))</f>
        <v/>
      </c>
      <c r="AO62" s="24">
        <f>INDEX(MTInputs!$J$1:$AZ$415,$D62,MATCH(AO$5,MTInputs!$J$5:$AZ$5,0))</f>
        <v/>
      </c>
      <c r="AP62" s="24">
        <f>INDEX(MTInputs!$J$1:$AZ$415,$D62,MATCH(AP$5,MTInputs!$J$5:$AZ$5,0))</f>
        <v/>
      </c>
      <c r="AQ62" s="24">
        <f>INDEX(MTInputs!$J$1:$AZ$415,$D62,MATCH(AQ$5,MTInputs!$J$5:$AZ$5,0))</f>
        <v/>
      </c>
      <c r="AR62" s="24">
        <f>INDEX(MTInputs!$J$1:$AZ$415,$D62,MATCH(AR$5,MTInputs!$J$5:$AZ$5,0))</f>
        <v/>
      </c>
      <c r="AS62" s="24">
        <f>INDEX(MTInputs!$J$1:$AZ$415,$D62,MATCH(AS$5,MTInputs!$J$5:$AZ$5,0))</f>
        <v/>
      </c>
      <c r="AT62" s="24">
        <f>INDEX(MTInputs!$J$1:$AZ$415,$D62,MATCH(AT$5,MTInputs!$J$5:$AZ$5,0))</f>
        <v/>
      </c>
      <c r="AU62" s="24">
        <f>INDEX(MTInputs!$J$1:$AZ$415,$D62,MATCH(AU$5,MTInputs!$J$5:$AZ$5,0))</f>
        <v/>
      </c>
      <c r="AV62" s="24">
        <f>INDEX(MTInputs!$J$1:$AZ$415,$D62,MATCH(AV$5,MTInputs!$J$5:$AZ$5,0))</f>
        <v/>
      </c>
      <c r="AW62" s="24">
        <f>INDEX(MTInputs!$J$1:$AZ$415,$D62,MATCH(AW$5,MTInputs!$J$5:$AZ$5,0))</f>
        <v/>
      </c>
      <c r="AX62" s="24">
        <f>INDEX(MTInputs!$J$1:$AZ$415,$D62,MATCH(AX$5,MTInputs!$J$5:$AZ$5,0))</f>
        <v/>
      </c>
      <c r="AY62" s="24">
        <f>INDEX(MTInputs!$J$1:$AZ$415,$D62,MATCH(AY$5,MTInputs!$J$5:$AZ$5,0))</f>
        <v/>
      </c>
      <c r="AZ62" s="24">
        <f>INDEX(MTInputs!$J$1:$AZ$415,$D62,MATCH(AZ$5,MTInputs!$J$5:$AZ$5,0))</f>
        <v/>
      </c>
      <c r="BA62" s="24">
        <f>INDEX(MTInputs!$J$1:$AZ$415,$D62,MATCH(BA$5,MTInputs!$J$5:$AZ$5,0))</f>
        <v/>
      </c>
    </row>
    <row r="63" hidden="1" outlineLevel="1">
      <c r="A63" s="14" t="inlineStr">
        <is>
          <t>fpr.s</t>
        </is>
      </c>
      <c r="B63" s="14" t="inlineStr">
        <is>
          <t>ker</t>
        </is>
      </c>
      <c r="C63" s="14" t="inlineStr">
        <is>
          <t>all</t>
        </is>
      </c>
      <c r="D63" s="22" t="n">
        <v>153</v>
      </c>
      <c r="H63" s="14">
        <f>INDEX(VarLab,MATCH($A63,VarKey,0))&amp;INDEX(MemLab,MATCH($C63&amp;"|"&amp;$B63,MemKey,0))</f>
        <v/>
      </c>
      <c r="I63" s="14">
        <f>INDEX(VarUnit,MATCH($A63,VarKey,0))</f>
        <v/>
      </c>
      <c r="J63" s="14">
        <f>INDEX(VarSrc,MATCH($A63,VarKey,0))</f>
        <v/>
      </c>
      <c r="K63" s="11">
        <f>CodePrefix&amp;$A63&amp;IF($C63="","","."&amp;$C63&amp;"."&amp;$B63)&amp;INDEX(VarEnd,MATCH($A63,VarKey,0))&amp;K$5</f>
        <v/>
      </c>
      <c r="L63" s="23">
        <f>INDEX(MTInputs!$J$1:$AZ$415,$D63,MATCH(L$5,MTInputs!$J$5:$AZ$5,0))</f>
        <v/>
      </c>
      <c r="M63" s="24">
        <f>INDEX(MTInputs!$J$1:$AZ$415,$D63,MATCH(M$5,MTInputs!$J$5:$AZ$5,0))</f>
        <v/>
      </c>
      <c r="N63" s="24">
        <f>INDEX(MTInputs!$J$1:$AZ$415,$D63,MATCH(N$5,MTInputs!$J$5:$AZ$5,0))</f>
        <v/>
      </c>
      <c r="O63" s="24">
        <f>INDEX(MTInputs!$J$1:$AZ$415,$D63,MATCH(O$5,MTInputs!$J$5:$AZ$5,0))</f>
        <v/>
      </c>
      <c r="P63" s="24">
        <f>INDEX(MTInputs!$J$1:$AZ$415,$D63,MATCH(P$5,MTInputs!$J$5:$AZ$5,0))</f>
        <v/>
      </c>
      <c r="Q63" s="24">
        <f>INDEX(MTInputs!$J$1:$AZ$415,$D63,MATCH(Q$5,MTInputs!$J$5:$AZ$5,0))</f>
        <v/>
      </c>
      <c r="R63" s="24">
        <f>INDEX(MTInputs!$J$1:$AZ$415,$D63,MATCH(R$5,MTInputs!$J$5:$AZ$5,0))</f>
        <v/>
      </c>
      <c r="S63" s="24">
        <f>INDEX(MTInputs!$J$1:$AZ$415,$D63,MATCH(S$5,MTInputs!$J$5:$AZ$5,0))</f>
        <v/>
      </c>
      <c r="T63" s="24">
        <f>INDEX(MTInputs!$J$1:$AZ$415,$D63,MATCH(T$5,MTInputs!$J$5:$AZ$5,0))</f>
        <v/>
      </c>
      <c r="U63" s="24">
        <f>INDEX(MTInputs!$J$1:$AZ$415,$D63,MATCH(U$5,MTInputs!$J$5:$AZ$5,0))</f>
        <v/>
      </c>
      <c r="V63" s="24">
        <f>INDEX(MTInputs!$J$1:$AZ$415,$D63,MATCH(V$5,MTInputs!$J$5:$AZ$5,0))</f>
        <v/>
      </c>
      <c r="W63" s="24">
        <f>INDEX(MTInputs!$J$1:$AZ$415,$D63,MATCH(W$5,MTInputs!$J$5:$AZ$5,0))</f>
        <v/>
      </c>
      <c r="X63" s="24">
        <f>INDEX(MTInputs!$J$1:$AZ$415,$D63,MATCH(X$5,MTInputs!$J$5:$AZ$5,0))</f>
        <v/>
      </c>
      <c r="Y63" s="24">
        <f>INDEX(MTInputs!$J$1:$AZ$415,$D63,MATCH(Y$5,MTInputs!$J$5:$AZ$5,0))</f>
        <v/>
      </c>
      <c r="Z63" s="24">
        <f>INDEX(MTInputs!$J$1:$AZ$415,$D63,MATCH(Z$5,MTInputs!$J$5:$AZ$5,0))</f>
        <v/>
      </c>
      <c r="AA63" s="24">
        <f>INDEX(MTInputs!$J$1:$AZ$415,$D63,MATCH(AA$5,MTInputs!$J$5:$AZ$5,0))</f>
        <v/>
      </c>
      <c r="AB63" s="24">
        <f>INDEX(MTInputs!$J$1:$AZ$415,$D63,MATCH(AB$5,MTInputs!$J$5:$AZ$5,0))</f>
        <v/>
      </c>
      <c r="AC63" s="24">
        <f>INDEX(MTInputs!$J$1:$AZ$415,$D63,MATCH(AC$5,MTInputs!$J$5:$AZ$5,0))</f>
        <v/>
      </c>
      <c r="AD63" s="24">
        <f>INDEX(MTInputs!$J$1:$AZ$415,$D63,MATCH(AD$5,MTInputs!$J$5:$AZ$5,0))</f>
        <v/>
      </c>
      <c r="AE63" s="24">
        <f>INDEX(MTInputs!$J$1:$AZ$415,$D63,MATCH(AE$5,MTInputs!$J$5:$AZ$5,0))</f>
        <v/>
      </c>
      <c r="AG63" s="11">
        <f>CodePrefix&amp;$A63&amp;IF($C63="","","."&amp;$C63&amp;"."&amp;$B63)&amp;INDEX(VarEnd,MATCH($A63,VarKey,0))&amp;AG$5</f>
        <v/>
      </c>
      <c r="AH63" s="23">
        <f>INDEX(MTInputs!$J$1:$AZ$415,$D63,MATCH(AH$5,MTInputs!$J$5:$AZ$5,0))</f>
        <v/>
      </c>
      <c r="AI63" s="24">
        <f>INDEX(MTInputs!$J$1:$AZ$415,$D63,MATCH(AI$5,MTInputs!$J$5:$AZ$5,0))</f>
        <v/>
      </c>
      <c r="AJ63" s="24">
        <f>INDEX(MTInputs!$J$1:$AZ$415,$D63,MATCH(AJ$5,MTInputs!$J$5:$AZ$5,0))</f>
        <v/>
      </c>
      <c r="AK63" s="24">
        <f>INDEX(MTInputs!$J$1:$AZ$415,$D63,MATCH(AK$5,MTInputs!$J$5:$AZ$5,0))</f>
        <v/>
      </c>
      <c r="AL63" s="24">
        <f>INDEX(MTInputs!$J$1:$AZ$415,$D63,MATCH(AL$5,MTInputs!$J$5:$AZ$5,0))</f>
        <v/>
      </c>
      <c r="AM63" s="24">
        <f>INDEX(MTInputs!$J$1:$AZ$415,$D63,MATCH(AM$5,MTInputs!$J$5:$AZ$5,0))</f>
        <v/>
      </c>
      <c r="AN63" s="24">
        <f>INDEX(MTInputs!$J$1:$AZ$415,$D63,MATCH(AN$5,MTInputs!$J$5:$AZ$5,0))</f>
        <v/>
      </c>
      <c r="AO63" s="24">
        <f>INDEX(MTInputs!$J$1:$AZ$415,$D63,MATCH(AO$5,MTInputs!$J$5:$AZ$5,0))</f>
        <v/>
      </c>
      <c r="AP63" s="24">
        <f>INDEX(MTInputs!$J$1:$AZ$415,$D63,MATCH(AP$5,MTInputs!$J$5:$AZ$5,0))</f>
        <v/>
      </c>
      <c r="AQ63" s="24">
        <f>INDEX(MTInputs!$J$1:$AZ$415,$D63,MATCH(AQ$5,MTInputs!$J$5:$AZ$5,0))</f>
        <v/>
      </c>
      <c r="AR63" s="24">
        <f>INDEX(MTInputs!$J$1:$AZ$415,$D63,MATCH(AR$5,MTInputs!$J$5:$AZ$5,0))</f>
        <v/>
      </c>
      <c r="AS63" s="24">
        <f>INDEX(MTInputs!$J$1:$AZ$415,$D63,MATCH(AS$5,MTInputs!$J$5:$AZ$5,0))</f>
        <v/>
      </c>
      <c r="AT63" s="24">
        <f>INDEX(MTInputs!$J$1:$AZ$415,$D63,MATCH(AT$5,MTInputs!$J$5:$AZ$5,0))</f>
        <v/>
      </c>
      <c r="AU63" s="24">
        <f>INDEX(MTInputs!$J$1:$AZ$415,$D63,MATCH(AU$5,MTInputs!$J$5:$AZ$5,0))</f>
        <v/>
      </c>
      <c r="AV63" s="24">
        <f>INDEX(MTInputs!$J$1:$AZ$415,$D63,MATCH(AV$5,MTInputs!$J$5:$AZ$5,0))</f>
        <v/>
      </c>
      <c r="AW63" s="24">
        <f>INDEX(MTInputs!$J$1:$AZ$415,$D63,MATCH(AW$5,MTInputs!$J$5:$AZ$5,0))</f>
        <v/>
      </c>
      <c r="AX63" s="24">
        <f>INDEX(MTInputs!$J$1:$AZ$415,$D63,MATCH(AX$5,MTInputs!$J$5:$AZ$5,0))</f>
        <v/>
      </c>
      <c r="AY63" s="24">
        <f>INDEX(MTInputs!$J$1:$AZ$415,$D63,MATCH(AY$5,MTInputs!$J$5:$AZ$5,0))</f>
        <v/>
      </c>
      <c r="AZ63" s="24">
        <f>INDEX(MTInputs!$J$1:$AZ$415,$D63,MATCH(AZ$5,MTInputs!$J$5:$AZ$5,0))</f>
        <v/>
      </c>
      <c r="BA63" s="24">
        <f>INDEX(MTInputs!$J$1:$AZ$415,$D63,MATCH(BA$5,MTInputs!$J$5:$AZ$5,0))</f>
        <v/>
      </c>
    </row>
    <row r="64" hidden="1" outlineLevel="1">
      <c r="A64" s="14" t="inlineStr">
        <is>
          <t>fpr.s</t>
        </is>
      </c>
      <c r="B64" s="14" t="inlineStr">
        <is>
          <t>oop</t>
        </is>
      </c>
      <c r="C64" s="14" t="inlineStr">
        <is>
          <t>all</t>
        </is>
      </c>
      <c r="D64" s="22" t="n">
        <v>154</v>
      </c>
      <c r="H64" s="14">
        <f>INDEX(VarLab,MATCH($A64,VarKey,0))&amp;INDEX(MemLab,MATCH($C64&amp;"|"&amp;$B64,MemKey,0))</f>
        <v/>
      </c>
      <c r="I64" s="14">
        <f>INDEX(VarUnit,MATCH($A64,VarKey,0))</f>
        <v/>
      </c>
      <c r="J64" s="14">
        <f>INDEX(VarSrc,MATCH($A64,VarKey,0))</f>
        <v/>
      </c>
      <c r="K64" s="11">
        <f>CodePrefix&amp;$A64&amp;IF($C64="","","."&amp;$C64&amp;"."&amp;$B64)&amp;INDEX(VarEnd,MATCH($A64,VarKey,0))&amp;K$5</f>
        <v/>
      </c>
      <c r="L64" s="23">
        <f>INDEX(MTInputs!$J$1:$AZ$415,$D64,MATCH(L$5,MTInputs!$J$5:$AZ$5,0))</f>
        <v/>
      </c>
      <c r="M64" s="24">
        <f>INDEX(MTInputs!$J$1:$AZ$415,$D64,MATCH(M$5,MTInputs!$J$5:$AZ$5,0))</f>
        <v/>
      </c>
      <c r="N64" s="24">
        <f>INDEX(MTInputs!$J$1:$AZ$415,$D64,MATCH(N$5,MTInputs!$J$5:$AZ$5,0))</f>
        <v/>
      </c>
      <c r="O64" s="24">
        <f>INDEX(MTInputs!$J$1:$AZ$415,$D64,MATCH(O$5,MTInputs!$J$5:$AZ$5,0))</f>
        <v/>
      </c>
      <c r="P64" s="24">
        <f>INDEX(MTInputs!$J$1:$AZ$415,$D64,MATCH(P$5,MTInputs!$J$5:$AZ$5,0))</f>
        <v/>
      </c>
      <c r="Q64" s="24">
        <f>INDEX(MTInputs!$J$1:$AZ$415,$D64,MATCH(Q$5,MTInputs!$J$5:$AZ$5,0))</f>
        <v/>
      </c>
      <c r="R64" s="24">
        <f>INDEX(MTInputs!$J$1:$AZ$415,$D64,MATCH(R$5,MTInputs!$J$5:$AZ$5,0))</f>
        <v/>
      </c>
      <c r="S64" s="24">
        <f>INDEX(MTInputs!$J$1:$AZ$415,$D64,MATCH(S$5,MTInputs!$J$5:$AZ$5,0))</f>
        <v/>
      </c>
      <c r="T64" s="24">
        <f>INDEX(MTInputs!$J$1:$AZ$415,$D64,MATCH(T$5,MTInputs!$J$5:$AZ$5,0))</f>
        <v/>
      </c>
      <c r="U64" s="24">
        <f>INDEX(MTInputs!$J$1:$AZ$415,$D64,MATCH(U$5,MTInputs!$J$5:$AZ$5,0))</f>
        <v/>
      </c>
      <c r="V64" s="24">
        <f>INDEX(MTInputs!$J$1:$AZ$415,$D64,MATCH(V$5,MTInputs!$J$5:$AZ$5,0))</f>
        <v/>
      </c>
      <c r="W64" s="24">
        <f>INDEX(MTInputs!$J$1:$AZ$415,$D64,MATCH(W$5,MTInputs!$J$5:$AZ$5,0))</f>
        <v/>
      </c>
      <c r="X64" s="24">
        <f>INDEX(MTInputs!$J$1:$AZ$415,$D64,MATCH(X$5,MTInputs!$J$5:$AZ$5,0))</f>
        <v/>
      </c>
      <c r="Y64" s="24">
        <f>INDEX(MTInputs!$J$1:$AZ$415,$D64,MATCH(Y$5,MTInputs!$J$5:$AZ$5,0))</f>
        <v/>
      </c>
      <c r="Z64" s="24">
        <f>INDEX(MTInputs!$J$1:$AZ$415,$D64,MATCH(Z$5,MTInputs!$J$5:$AZ$5,0))</f>
        <v/>
      </c>
      <c r="AA64" s="24">
        <f>INDEX(MTInputs!$J$1:$AZ$415,$D64,MATCH(AA$5,MTInputs!$J$5:$AZ$5,0))</f>
        <v/>
      </c>
      <c r="AB64" s="24">
        <f>INDEX(MTInputs!$J$1:$AZ$415,$D64,MATCH(AB$5,MTInputs!$J$5:$AZ$5,0))</f>
        <v/>
      </c>
      <c r="AC64" s="24">
        <f>INDEX(MTInputs!$J$1:$AZ$415,$D64,MATCH(AC$5,MTInputs!$J$5:$AZ$5,0))</f>
        <v/>
      </c>
      <c r="AD64" s="24">
        <f>INDEX(MTInputs!$J$1:$AZ$415,$D64,MATCH(AD$5,MTInputs!$J$5:$AZ$5,0))</f>
        <v/>
      </c>
      <c r="AE64" s="24">
        <f>INDEX(MTInputs!$J$1:$AZ$415,$D64,MATCH(AE$5,MTInputs!$J$5:$AZ$5,0))</f>
        <v/>
      </c>
      <c r="AG64" s="11">
        <f>CodePrefix&amp;$A64&amp;IF($C64="","","."&amp;$C64&amp;"."&amp;$B64)&amp;INDEX(VarEnd,MATCH($A64,VarKey,0))&amp;AG$5</f>
        <v/>
      </c>
      <c r="AH64" s="23">
        <f>INDEX(MTInputs!$J$1:$AZ$415,$D64,MATCH(AH$5,MTInputs!$J$5:$AZ$5,0))</f>
        <v/>
      </c>
      <c r="AI64" s="24">
        <f>INDEX(MTInputs!$J$1:$AZ$415,$D64,MATCH(AI$5,MTInputs!$J$5:$AZ$5,0))</f>
        <v/>
      </c>
      <c r="AJ64" s="24">
        <f>INDEX(MTInputs!$J$1:$AZ$415,$D64,MATCH(AJ$5,MTInputs!$J$5:$AZ$5,0))</f>
        <v/>
      </c>
      <c r="AK64" s="24">
        <f>INDEX(MTInputs!$J$1:$AZ$415,$D64,MATCH(AK$5,MTInputs!$J$5:$AZ$5,0))</f>
        <v/>
      </c>
      <c r="AL64" s="24">
        <f>INDEX(MTInputs!$J$1:$AZ$415,$D64,MATCH(AL$5,MTInputs!$J$5:$AZ$5,0))</f>
        <v/>
      </c>
      <c r="AM64" s="24">
        <f>INDEX(MTInputs!$J$1:$AZ$415,$D64,MATCH(AM$5,MTInputs!$J$5:$AZ$5,0))</f>
        <v/>
      </c>
      <c r="AN64" s="24">
        <f>INDEX(MTInputs!$J$1:$AZ$415,$D64,MATCH(AN$5,MTInputs!$J$5:$AZ$5,0))</f>
        <v/>
      </c>
      <c r="AO64" s="24">
        <f>INDEX(MTInputs!$J$1:$AZ$415,$D64,MATCH(AO$5,MTInputs!$J$5:$AZ$5,0))</f>
        <v/>
      </c>
      <c r="AP64" s="24">
        <f>INDEX(MTInputs!$J$1:$AZ$415,$D64,MATCH(AP$5,MTInputs!$J$5:$AZ$5,0))</f>
        <v/>
      </c>
      <c r="AQ64" s="24">
        <f>INDEX(MTInputs!$J$1:$AZ$415,$D64,MATCH(AQ$5,MTInputs!$J$5:$AZ$5,0))</f>
        <v/>
      </c>
      <c r="AR64" s="24">
        <f>INDEX(MTInputs!$J$1:$AZ$415,$D64,MATCH(AR$5,MTInputs!$J$5:$AZ$5,0))</f>
        <v/>
      </c>
      <c r="AS64" s="24">
        <f>INDEX(MTInputs!$J$1:$AZ$415,$D64,MATCH(AS$5,MTInputs!$J$5:$AZ$5,0))</f>
        <v/>
      </c>
      <c r="AT64" s="24">
        <f>INDEX(MTInputs!$J$1:$AZ$415,$D64,MATCH(AT$5,MTInputs!$J$5:$AZ$5,0))</f>
        <v/>
      </c>
      <c r="AU64" s="24">
        <f>INDEX(MTInputs!$J$1:$AZ$415,$D64,MATCH(AU$5,MTInputs!$J$5:$AZ$5,0))</f>
        <v/>
      </c>
      <c r="AV64" s="24">
        <f>INDEX(MTInputs!$J$1:$AZ$415,$D64,MATCH(AV$5,MTInputs!$J$5:$AZ$5,0))</f>
        <v/>
      </c>
      <c r="AW64" s="24">
        <f>INDEX(MTInputs!$J$1:$AZ$415,$D64,MATCH(AW$5,MTInputs!$J$5:$AZ$5,0))</f>
        <v/>
      </c>
      <c r="AX64" s="24">
        <f>INDEX(MTInputs!$J$1:$AZ$415,$D64,MATCH(AX$5,MTInputs!$J$5:$AZ$5,0))</f>
        <v/>
      </c>
      <c r="AY64" s="24">
        <f>INDEX(MTInputs!$J$1:$AZ$415,$D64,MATCH(AY$5,MTInputs!$J$5:$AZ$5,0))</f>
        <v/>
      </c>
      <c r="AZ64" s="24">
        <f>INDEX(MTInputs!$J$1:$AZ$415,$D64,MATCH(AZ$5,MTInputs!$J$5:$AZ$5,0))</f>
        <v/>
      </c>
      <c r="BA64" s="24">
        <f>INDEX(MTInputs!$J$1:$AZ$415,$D64,MATCH(BA$5,MTInputs!$J$5:$AZ$5,0))</f>
        <v/>
      </c>
    </row>
    <row r="65" hidden="1" outlineLevel="1">
      <c r="A65" s="14" t="inlineStr">
        <is>
          <t>fpr.s</t>
        </is>
      </c>
      <c r="B65" s="14" t="inlineStr">
        <is>
          <t>bio</t>
        </is>
      </c>
      <c r="C65" s="14" t="inlineStr">
        <is>
          <t>all</t>
        </is>
      </c>
      <c r="D65" s="22" t="n">
        <v>155</v>
      </c>
      <c r="H65" s="14">
        <f>INDEX(VarLab,MATCH($A65,VarKey,0))&amp;INDEX(MemLab,MATCH($C65&amp;"|"&amp;$B65,MemKey,0))</f>
        <v/>
      </c>
      <c r="I65" s="14">
        <f>INDEX(VarUnit,MATCH($A65,VarKey,0))</f>
        <v/>
      </c>
      <c r="J65" s="14">
        <f>INDEX(VarSrc,MATCH($A65,VarKey,0))</f>
        <v/>
      </c>
      <c r="K65" s="11">
        <f>CodePrefix&amp;$A65&amp;IF($C65="","","."&amp;$C65&amp;"."&amp;$B65)&amp;INDEX(VarEnd,MATCH($A65,VarKey,0))&amp;K$5</f>
        <v/>
      </c>
      <c r="L65" s="23">
        <f>INDEX(MTInputs!$J$1:$AZ$415,$D65,MATCH(L$5,MTInputs!$J$5:$AZ$5,0))</f>
        <v/>
      </c>
      <c r="M65" s="24">
        <f>INDEX(MTInputs!$J$1:$AZ$415,$D65,MATCH(M$5,MTInputs!$J$5:$AZ$5,0))</f>
        <v/>
      </c>
      <c r="N65" s="24">
        <f>INDEX(MTInputs!$J$1:$AZ$415,$D65,MATCH(N$5,MTInputs!$J$5:$AZ$5,0))</f>
        <v/>
      </c>
      <c r="O65" s="24">
        <f>INDEX(MTInputs!$J$1:$AZ$415,$D65,MATCH(O$5,MTInputs!$J$5:$AZ$5,0))</f>
        <v/>
      </c>
      <c r="P65" s="24">
        <f>INDEX(MTInputs!$J$1:$AZ$415,$D65,MATCH(P$5,MTInputs!$J$5:$AZ$5,0))</f>
        <v/>
      </c>
      <c r="Q65" s="24">
        <f>INDEX(MTInputs!$J$1:$AZ$415,$D65,MATCH(Q$5,MTInputs!$J$5:$AZ$5,0))</f>
        <v/>
      </c>
      <c r="R65" s="24">
        <f>INDEX(MTInputs!$J$1:$AZ$415,$D65,MATCH(R$5,MTInputs!$J$5:$AZ$5,0))</f>
        <v/>
      </c>
      <c r="S65" s="24">
        <f>INDEX(MTInputs!$J$1:$AZ$415,$D65,MATCH(S$5,MTInputs!$J$5:$AZ$5,0))</f>
        <v/>
      </c>
      <c r="T65" s="24">
        <f>INDEX(MTInputs!$J$1:$AZ$415,$D65,MATCH(T$5,MTInputs!$J$5:$AZ$5,0))</f>
        <v/>
      </c>
      <c r="U65" s="24">
        <f>INDEX(MTInputs!$J$1:$AZ$415,$D65,MATCH(U$5,MTInputs!$J$5:$AZ$5,0))</f>
        <v/>
      </c>
      <c r="V65" s="24">
        <f>INDEX(MTInputs!$J$1:$AZ$415,$D65,MATCH(V$5,MTInputs!$J$5:$AZ$5,0))</f>
        <v/>
      </c>
      <c r="W65" s="24">
        <f>INDEX(MTInputs!$J$1:$AZ$415,$D65,MATCH(W$5,MTInputs!$J$5:$AZ$5,0))</f>
        <v/>
      </c>
      <c r="X65" s="24">
        <f>INDEX(MTInputs!$J$1:$AZ$415,$D65,MATCH(X$5,MTInputs!$J$5:$AZ$5,0))</f>
        <v/>
      </c>
      <c r="Y65" s="24">
        <f>INDEX(MTInputs!$J$1:$AZ$415,$D65,MATCH(Y$5,MTInputs!$J$5:$AZ$5,0))</f>
        <v/>
      </c>
      <c r="Z65" s="24">
        <f>INDEX(MTInputs!$J$1:$AZ$415,$D65,MATCH(Z$5,MTInputs!$J$5:$AZ$5,0))</f>
        <v/>
      </c>
      <c r="AA65" s="24">
        <f>INDEX(MTInputs!$J$1:$AZ$415,$D65,MATCH(AA$5,MTInputs!$J$5:$AZ$5,0))</f>
        <v/>
      </c>
      <c r="AB65" s="24">
        <f>INDEX(MTInputs!$J$1:$AZ$415,$D65,MATCH(AB$5,MTInputs!$J$5:$AZ$5,0))</f>
        <v/>
      </c>
      <c r="AC65" s="24">
        <f>INDEX(MTInputs!$J$1:$AZ$415,$D65,MATCH(AC$5,MTInputs!$J$5:$AZ$5,0))</f>
        <v/>
      </c>
      <c r="AD65" s="24">
        <f>INDEX(MTInputs!$J$1:$AZ$415,$D65,MATCH(AD$5,MTInputs!$J$5:$AZ$5,0))</f>
        <v/>
      </c>
      <c r="AE65" s="24">
        <f>INDEX(MTInputs!$J$1:$AZ$415,$D65,MATCH(AE$5,MTInputs!$J$5:$AZ$5,0))</f>
        <v/>
      </c>
      <c r="AG65" s="11">
        <f>CodePrefix&amp;$A65&amp;IF($C65="","","."&amp;$C65&amp;"."&amp;$B65)&amp;INDEX(VarEnd,MATCH($A65,VarKey,0))&amp;AG$5</f>
        <v/>
      </c>
      <c r="AH65" s="23">
        <f>INDEX(MTInputs!$J$1:$AZ$415,$D65,MATCH(AH$5,MTInputs!$J$5:$AZ$5,0))</f>
        <v/>
      </c>
      <c r="AI65" s="24">
        <f>INDEX(MTInputs!$J$1:$AZ$415,$D65,MATCH(AI$5,MTInputs!$J$5:$AZ$5,0))</f>
        <v/>
      </c>
      <c r="AJ65" s="24">
        <f>INDEX(MTInputs!$J$1:$AZ$415,$D65,MATCH(AJ$5,MTInputs!$J$5:$AZ$5,0))</f>
        <v/>
      </c>
      <c r="AK65" s="24">
        <f>INDEX(MTInputs!$J$1:$AZ$415,$D65,MATCH(AK$5,MTInputs!$J$5:$AZ$5,0))</f>
        <v/>
      </c>
      <c r="AL65" s="24">
        <f>INDEX(MTInputs!$J$1:$AZ$415,$D65,MATCH(AL$5,MTInputs!$J$5:$AZ$5,0))</f>
        <v/>
      </c>
      <c r="AM65" s="24">
        <f>INDEX(MTInputs!$J$1:$AZ$415,$D65,MATCH(AM$5,MTInputs!$J$5:$AZ$5,0))</f>
        <v/>
      </c>
      <c r="AN65" s="24">
        <f>INDEX(MTInputs!$J$1:$AZ$415,$D65,MATCH(AN$5,MTInputs!$J$5:$AZ$5,0))</f>
        <v/>
      </c>
      <c r="AO65" s="24">
        <f>INDEX(MTInputs!$J$1:$AZ$415,$D65,MATCH(AO$5,MTInputs!$J$5:$AZ$5,0))</f>
        <v/>
      </c>
      <c r="AP65" s="24">
        <f>INDEX(MTInputs!$J$1:$AZ$415,$D65,MATCH(AP$5,MTInputs!$J$5:$AZ$5,0))</f>
        <v/>
      </c>
      <c r="AQ65" s="24">
        <f>INDEX(MTInputs!$J$1:$AZ$415,$D65,MATCH(AQ$5,MTInputs!$J$5:$AZ$5,0))</f>
        <v/>
      </c>
      <c r="AR65" s="24">
        <f>INDEX(MTInputs!$J$1:$AZ$415,$D65,MATCH(AR$5,MTInputs!$J$5:$AZ$5,0))</f>
        <v/>
      </c>
      <c r="AS65" s="24">
        <f>INDEX(MTInputs!$J$1:$AZ$415,$D65,MATCH(AS$5,MTInputs!$J$5:$AZ$5,0))</f>
        <v/>
      </c>
      <c r="AT65" s="24">
        <f>INDEX(MTInputs!$J$1:$AZ$415,$D65,MATCH(AT$5,MTInputs!$J$5:$AZ$5,0))</f>
        <v/>
      </c>
      <c r="AU65" s="24">
        <f>INDEX(MTInputs!$J$1:$AZ$415,$D65,MATCH(AU$5,MTInputs!$J$5:$AZ$5,0))</f>
        <v/>
      </c>
      <c r="AV65" s="24">
        <f>INDEX(MTInputs!$J$1:$AZ$415,$D65,MATCH(AV$5,MTInputs!$J$5:$AZ$5,0))</f>
        <v/>
      </c>
      <c r="AW65" s="24">
        <f>INDEX(MTInputs!$J$1:$AZ$415,$D65,MATCH(AW$5,MTInputs!$J$5:$AZ$5,0))</f>
        <v/>
      </c>
      <c r="AX65" s="24">
        <f>INDEX(MTInputs!$J$1:$AZ$415,$D65,MATCH(AX$5,MTInputs!$J$5:$AZ$5,0))</f>
        <v/>
      </c>
      <c r="AY65" s="24">
        <f>INDEX(MTInputs!$J$1:$AZ$415,$D65,MATCH(AY$5,MTInputs!$J$5:$AZ$5,0))</f>
        <v/>
      </c>
      <c r="AZ65" s="24">
        <f>INDEX(MTInputs!$J$1:$AZ$415,$D65,MATCH(AZ$5,MTInputs!$J$5:$AZ$5,0))</f>
        <v/>
      </c>
      <c r="BA65" s="24">
        <f>INDEX(MTInputs!$J$1:$AZ$415,$D65,MATCH(BA$5,MTInputs!$J$5:$AZ$5,0))</f>
        <v/>
      </c>
    </row>
    <row r="66" hidden="1" outlineLevel="1">
      <c r="A66" s="14" t="inlineStr">
        <is>
          <t>fpr.f</t>
        </is>
      </c>
      <c r="B66" s="14" t="inlineStr">
        <is>
          <t>coa</t>
        </is>
      </c>
      <c r="C66" s="14" t="inlineStr">
        <is>
          <t>pow</t>
        </is>
      </c>
      <c r="D66" s="22" t="n">
        <v>156</v>
      </c>
      <c r="H66" s="14">
        <f>INDEX(VarLab,MATCH($A66,VarKey,0))&amp;INDEX(MemLab,MATCH($C66&amp;"|"&amp;$B66,MemKey,0))</f>
        <v/>
      </c>
      <c r="I66" s="14">
        <f>INDEX(VarUnit,MATCH($A66,VarKey,0))</f>
        <v/>
      </c>
      <c r="J66" s="14">
        <f>INDEX(VarSrc,MATCH($A66,VarKey,0))</f>
        <v/>
      </c>
      <c r="K66" s="11">
        <f>CodePrefix&amp;$A66&amp;IF($C66="","","."&amp;$C66&amp;"."&amp;$B66)&amp;INDEX(VarEnd,MATCH($A66,VarKey,0))&amp;K$5</f>
        <v/>
      </c>
      <c r="L66" s="23">
        <f>INDEX(MTInputs!$J$1:$AZ$415,$D66,MATCH(L$5,MTInputs!$J$5:$AZ$5,0))</f>
        <v/>
      </c>
      <c r="M66" s="24">
        <f>INDEX(MTInputs!$J$1:$AZ$415,$D66,MATCH(M$5,MTInputs!$J$5:$AZ$5,0))</f>
        <v/>
      </c>
      <c r="N66" s="24">
        <f>INDEX(MTInputs!$J$1:$AZ$415,$D66,MATCH(N$5,MTInputs!$J$5:$AZ$5,0))</f>
        <v/>
      </c>
      <c r="O66" s="24">
        <f>INDEX(MTInputs!$J$1:$AZ$415,$D66,MATCH(O$5,MTInputs!$J$5:$AZ$5,0))</f>
        <v/>
      </c>
      <c r="P66" s="24">
        <f>INDEX(MTInputs!$J$1:$AZ$415,$D66,MATCH(P$5,MTInputs!$J$5:$AZ$5,0))</f>
        <v/>
      </c>
      <c r="Q66" s="24">
        <f>INDEX(MTInputs!$J$1:$AZ$415,$D66,MATCH(Q$5,MTInputs!$J$5:$AZ$5,0))</f>
        <v/>
      </c>
      <c r="R66" s="24">
        <f>INDEX(MTInputs!$J$1:$AZ$415,$D66,MATCH(R$5,MTInputs!$J$5:$AZ$5,0))</f>
        <v/>
      </c>
      <c r="S66" s="24">
        <f>INDEX(MTInputs!$J$1:$AZ$415,$D66,MATCH(S$5,MTInputs!$J$5:$AZ$5,0))</f>
        <v/>
      </c>
      <c r="T66" s="24">
        <f>INDEX(MTInputs!$J$1:$AZ$415,$D66,MATCH(T$5,MTInputs!$J$5:$AZ$5,0))</f>
        <v/>
      </c>
      <c r="U66" s="24">
        <f>INDEX(MTInputs!$J$1:$AZ$415,$D66,MATCH(U$5,MTInputs!$J$5:$AZ$5,0))</f>
        <v/>
      </c>
      <c r="V66" s="24">
        <f>INDEX(MTInputs!$J$1:$AZ$415,$D66,MATCH(V$5,MTInputs!$J$5:$AZ$5,0))</f>
        <v/>
      </c>
      <c r="W66" s="24">
        <f>INDEX(MTInputs!$J$1:$AZ$415,$D66,MATCH(W$5,MTInputs!$J$5:$AZ$5,0))</f>
        <v/>
      </c>
      <c r="X66" s="24">
        <f>INDEX(MTInputs!$J$1:$AZ$415,$D66,MATCH(X$5,MTInputs!$J$5:$AZ$5,0))</f>
        <v/>
      </c>
      <c r="Y66" s="24">
        <f>INDEX(MTInputs!$J$1:$AZ$415,$D66,MATCH(Y$5,MTInputs!$J$5:$AZ$5,0))</f>
        <v/>
      </c>
      <c r="Z66" s="24">
        <f>INDEX(MTInputs!$J$1:$AZ$415,$D66,MATCH(Z$5,MTInputs!$J$5:$AZ$5,0))</f>
        <v/>
      </c>
      <c r="AA66" s="24">
        <f>INDEX(MTInputs!$J$1:$AZ$415,$D66,MATCH(AA$5,MTInputs!$J$5:$AZ$5,0))</f>
        <v/>
      </c>
      <c r="AB66" s="24">
        <f>INDEX(MTInputs!$J$1:$AZ$415,$D66,MATCH(AB$5,MTInputs!$J$5:$AZ$5,0))</f>
        <v/>
      </c>
      <c r="AC66" s="24">
        <f>INDEX(MTInputs!$J$1:$AZ$415,$D66,MATCH(AC$5,MTInputs!$J$5:$AZ$5,0))</f>
        <v/>
      </c>
      <c r="AD66" s="24">
        <f>INDEX(MTInputs!$J$1:$AZ$415,$D66,MATCH(AD$5,MTInputs!$J$5:$AZ$5,0))</f>
        <v/>
      </c>
      <c r="AE66" s="24">
        <f>INDEX(MTInputs!$J$1:$AZ$415,$D66,MATCH(AE$5,MTInputs!$J$5:$AZ$5,0))</f>
        <v/>
      </c>
      <c r="AG66" s="11">
        <f>CodePrefix&amp;$A66&amp;IF($C66="","","."&amp;$C66&amp;"."&amp;$B66)&amp;INDEX(VarEnd,MATCH($A66,VarKey,0))&amp;AG$5</f>
        <v/>
      </c>
      <c r="AH66" s="23">
        <f>INDEX(MTInputs!$J$1:$AZ$415,$D66,MATCH(AH$5,MTInputs!$J$5:$AZ$5,0))</f>
        <v/>
      </c>
      <c r="AI66" s="24">
        <f>INDEX(MTInputs!$J$1:$AZ$415,$D66,MATCH(AI$5,MTInputs!$J$5:$AZ$5,0))</f>
        <v/>
      </c>
      <c r="AJ66" s="24">
        <f>INDEX(MTInputs!$J$1:$AZ$415,$D66,MATCH(AJ$5,MTInputs!$J$5:$AZ$5,0))</f>
        <v/>
      </c>
      <c r="AK66" s="24">
        <f>INDEX(MTInputs!$J$1:$AZ$415,$D66,MATCH(AK$5,MTInputs!$J$5:$AZ$5,0))</f>
        <v/>
      </c>
      <c r="AL66" s="24">
        <f>INDEX(MTInputs!$J$1:$AZ$415,$D66,MATCH(AL$5,MTInputs!$J$5:$AZ$5,0))</f>
        <v/>
      </c>
      <c r="AM66" s="24">
        <f>INDEX(MTInputs!$J$1:$AZ$415,$D66,MATCH(AM$5,MTInputs!$J$5:$AZ$5,0))</f>
        <v/>
      </c>
      <c r="AN66" s="24">
        <f>INDEX(MTInputs!$J$1:$AZ$415,$D66,MATCH(AN$5,MTInputs!$J$5:$AZ$5,0))</f>
        <v/>
      </c>
      <c r="AO66" s="24">
        <f>INDEX(MTInputs!$J$1:$AZ$415,$D66,MATCH(AO$5,MTInputs!$J$5:$AZ$5,0))</f>
        <v/>
      </c>
      <c r="AP66" s="24">
        <f>INDEX(MTInputs!$J$1:$AZ$415,$D66,MATCH(AP$5,MTInputs!$J$5:$AZ$5,0))</f>
        <v/>
      </c>
      <c r="AQ66" s="24">
        <f>INDEX(MTInputs!$J$1:$AZ$415,$D66,MATCH(AQ$5,MTInputs!$J$5:$AZ$5,0))</f>
        <v/>
      </c>
      <c r="AR66" s="24">
        <f>INDEX(MTInputs!$J$1:$AZ$415,$D66,MATCH(AR$5,MTInputs!$J$5:$AZ$5,0))</f>
        <v/>
      </c>
      <c r="AS66" s="24">
        <f>INDEX(MTInputs!$J$1:$AZ$415,$D66,MATCH(AS$5,MTInputs!$J$5:$AZ$5,0))</f>
        <v/>
      </c>
      <c r="AT66" s="24">
        <f>INDEX(MTInputs!$J$1:$AZ$415,$D66,MATCH(AT$5,MTInputs!$J$5:$AZ$5,0))</f>
        <v/>
      </c>
      <c r="AU66" s="24">
        <f>INDEX(MTInputs!$J$1:$AZ$415,$D66,MATCH(AU$5,MTInputs!$J$5:$AZ$5,0))</f>
        <v/>
      </c>
      <c r="AV66" s="24">
        <f>INDEX(MTInputs!$J$1:$AZ$415,$D66,MATCH(AV$5,MTInputs!$J$5:$AZ$5,0))</f>
        <v/>
      </c>
      <c r="AW66" s="24">
        <f>INDEX(MTInputs!$J$1:$AZ$415,$D66,MATCH(AW$5,MTInputs!$J$5:$AZ$5,0))</f>
        <v/>
      </c>
      <c r="AX66" s="24">
        <f>INDEX(MTInputs!$J$1:$AZ$415,$D66,MATCH(AX$5,MTInputs!$J$5:$AZ$5,0))</f>
        <v/>
      </c>
      <c r="AY66" s="24">
        <f>INDEX(MTInputs!$J$1:$AZ$415,$D66,MATCH(AY$5,MTInputs!$J$5:$AZ$5,0))</f>
        <v/>
      </c>
      <c r="AZ66" s="24">
        <f>INDEX(MTInputs!$J$1:$AZ$415,$D66,MATCH(AZ$5,MTInputs!$J$5:$AZ$5,0))</f>
        <v/>
      </c>
      <c r="BA66" s="24">
        <f>INDEX(MTInputs!$J$1:$AZ$415,$D66,MATCH(BA$5,MTInputs!$J$5:$AZ$5,0))</f>
        <v/>
      </c>
    </row>
    <row r="67" hidden="1" outlineLevel="1">
      <c r="A67" s="14" t="inlineStr">
        <is>
          <t>fpr.f</t>
        </is>
      </c>
      <c r="B67" s="14" t="inlineStr">
        <is>
          <t>coa</t>
        </is>
      </c>
      <c r="C67" s="14" t="inlineStr">
        <is>
          <t>res</t>
        </is>
      </c>
      <c r="D67" s="22" t="n">
        <v>157</v>
      </c>
      <c r="H67" s="14">
        <f>INDEX(VarLab,MATCH($A67,VarKey,0))&amp;INDEX(MemLab,MATCH($C67&amp;"|"&amp;$B67,MemKey,0))</f>
        <v/>
      </c>
      <c r="I67" s="14">
        <f>INDEX(VarUnit,MATCH($A67,VarKey,0))</f>
        <v/>
      </c>
      <c r="J67" s="14">
        <f>INDEX(VarSrc,MATCH($A67,VarKey,0))</f>
        <v/>
      </c>
      <c r="K67" s="11">
        <f>CodePrefix&amp;$A67&amp;IF($C67="","","."&amp;$C67&amp;"."&amp;$B67)&amp;INDEX(VarEnd,MATCH($A67,VarKey,0))&amp;K$5</f>
        <v/>
      </c>
      <c r="L67" s="23">
        <f>INDEX(MTInputs!$J$1:$AZ$415,$D67,MATCH(L$5,MTInputs!$J$5:$AZ$5,0))</f>
        <v/>
      </c>
      <c r="M67" s="24">
        <f>INDEX(MTInputs!$J$1:$AZ$415,$D67,MATCH(M$5,MTInputs!$J$5:$AZ$5,0))</f>
        <v/>
      </c>
      <c r="N67" s="24">
        <f>INDEX(MTInputs!$J$1:$AZ$415,$D67,MATCH(N$5,MTInputs!$J$5:$AZ$5,0))</f>
        <v/>
      </c>
      <c r="O67" s="24">
        <f>INDEX(MTInputs!$J$1:$AZ$415,$D67,MATCH(O$5,MTInputs!$J$5:$AZ$5,0))</f>
        <v/>
      </c>
      <c r="P67" s="24">
        <f>INDEX(MTInputs!$J$1:$AZ$415,$D67,MATCH(P$5,MTInputs!$J$5:$AZ$5,0))</f>
        <v/>
      </c>
      <c r="Q67" s="24">
        <f>INDEX(MTInputs!$J$1:$AZ$415,$D67,MATCH(Q$5,MTInputs!$J$5:$AZ$5,0))</f>
        <v/>
      </c>
      <c r="R67" s="24">
        <f>INDEX(MTInputs!$J$1:$AZ$415,$D67,MATCH(R$5,MTInputs!$J$5:$AZ$5,0))</f>
        <v/>
      </c>
      <c r="S67" s="24">
        <f>INDEX(MTInputs!$J$1:$AZ$415,$D67,MATCH(S$5,MTInputs!$J$5:$AZ$5,0))</f>
        <v/>
      </c>
      <c r="T67" s="24">
        <f>INDEX(MTInputs!$J$1:$AZ$415,$D67,MATCH(T$5,MTInputs!$J$5:$AZ$5,0))</f>
        <v/>
      </c>
      <c r="U67" s="24">
        <f>INDEX(MTInputs!$J$1:$AZ$415,$D67,MATCH(U$5,MTInputs!$J$5:$AZ$5,0))</f>
        <v/>
      </c>
      <c r="V67" s="24">
        <f>INDEX(MTInputs!$J$1:$AZ$415,$D67,MATCH(V$5,MTInputs!$J$5:$AZ$5,0))</f>
        <v/>
      </c>
      <c r="W67" s="24">
        <f>INDEX(MTInputs!$J$1:$AZ$415,$D67,MATCH(W$5,MTInputs!$J$5:$AZ$5,0))</f>
        <v/>
      </c>
      <c r="X67" s="24">
        <f>INDEX(MTInputs!$J$1:$AZ$415,$D67,MATCH(X$5,MTInputs!$J$5:$AZ$5,0))</f>
        <v/>
      </c>
      <c r="Y67" s="24">
        <f>INDEX(MTInputs!$J$1:$AZ$415,$D67,MATCH(Y$5,MTInputs!$J$5:$AZ$5,0))</f>
        <v/>
      </c>
      <c r="Z67" s="24">
        <f>INDEX(MTInputs!$J$1:$AZ$415,$D67,MATCH(Z$5,MTInputs!$J$5:$AZ$5,0))</f>
        <v/>
      </c>
      <c r="AA67" s="24">
        <f>INDEX(MTInputs!$J$1:$AZ$415,$D67,MATCH(AA$5,MTInputs!$J$5:$AZ$5,0))</f>
        <v/>
      </c>
      <c r="AB67" s="24">
        <f>INDEX(MTInputs!$J$1:$AZ$415,$D67,MATCH(AB$5,MTInputs!$J$5:$AZ$5,0))</f>
        <v/>
      </c>
      <c r="AC67" s="24">
        <f>INDEX(MTInputs!$J$1:$AZ$415,$D67,MATCH(AC$5,MTInputs!$J$5:$AZ$5,0))</f>
        <v/>
      </c>
      <c r="AD67" s="24">
        <f>INDEX(MTInputs!$J$1:$AZ$415,$D67,MATCH(AD$5,MTInputs!$J$5:$AZ$5,0))</f>
        <v/>
      </c>
      <c r="AE67" s="24">
        <f>INDEX(MTInputs!$J$1:$AZ$415,$D67,MATCH(AE$5,MTInputs!$J$5:$AZ$5,0))</f>
        <v/>
      </c>
      <c r="AG67" s="11">
        <f>CodePrefix&amp;$A67&amp;IF($C67="","","."&amp;$C67&amp;"."&amp;$B67)&amp;INDEX(VarEnd,MATCH($A67,VarKey,0))&amp;AG$5</f>
        <v/>
      </c>
      <c r="AH67" s="23">
        <f>INDEX(MTInputs!$J$1:$AZ$415,$D67,MATCH(AH$5,MTInputs!$J$5:$AZ$5,0))</f>
        <v/>
      </c>
      <c r="AI67" s="24">
        <f>INDEX(MTInputs!$J$1:$AZ$415,$D67,MATCH(AI$5,MTInputs!$J$5:$AZ$5,0))</f>
        <v/>
      </c>
      <c r="AJ67" s="24">
        <f>INDEX(MTInputs!$J$1:$AZ$415,$D67,MATCH(AJ$5,MTInputs!$J$5:$AZ$5,0))</f>
        <v/>
      </c>
      <c r="AK67" s="24">
        <f>INDEX(MTInputs!$J$1:$AZ$415,$D67,MATCH(AK$5,MTInputs!$J$5:$AZ$5,0))</f>
        <v/>
      </c>
      <c r="AL67" s="24">
        <f>INDEX(MTInputs!$J$1:$AZ$415,$D67,MATCH(AL$5,MTInputs!$J$5:$AZ$5,0))</f>
        <v/>
      </c>
      <c r="AM67" s="24">
        <f>INDEX(MTInputs!$J$1:$AZ$415,$D67,MATCH(AM$5,MTInputs!$J$5:$AZ$5,0))</f>
        <v/>
      </c>
      <c r="AN67" s="24">
        <f>INDEX(MTInputs!$J$1:$AZ$415,$D67,MATCH(AN$5,MTInputs!$J$5:$AZ$5,0))</f>
        <v/>
      </c>
      <c r="AO67" s="24">
        <f>INDEX(MTInputs!$J$1:$AZ$415,$D67,MATCH(AO$5,MTInputs!$J$5:$AZ$5,0))</f>
        <v/>
      </c>
      <c r="AP67" s="24">
        <f>INDEX(MTInputs!$J$1:$AZ$415,$D67,MATCH(AP$5,MTInputs!$J$5:$AZ$5,0))</f>
        <v/>
      </c>
      <c r="AQ67" s="24">
        <f>INDEX(MTInputs!$J$1:$AZ$415,$D67,MATCH(AQ$5,MTInputs!$J$5:$AZ$5,0))</f>
        <v/>
      </c>
      <c r="AR67" s="24">
        <f>INDEX(MTInputs!$J$1:$AZ$415,$D67,MATCH(AR$5,MTInputs!$J$5:$AZ$5,0))</f>
        <v/>
      </c>
      <c r="AS67" s="24">
        <f>INDEX(MTInputs!$J$1:$AZ$415,$D67,MATCH(AS$5,MTInputs!$J$5:$AZ$5,0))</f>
        <v/>
      </c>
      <c r="AT67" s="24">
        <f>INDEX(MTInputs!$J$1:$AZ$415,$D67,MATCH(AT$5,MTInputs!$J$5:$AZ$5,0))</f>
        <v/>
      </c>
      <c r="AU67" s="24">
        <f>INDEX(MTInputs!$J$1:$AZ$415,$D67,MATCH(AU$5,MTInputs!$J$5:$AZ$5,0))</f>
        <v/>
      </c>
      <c r="AV67" s="24">
        <f>INDEX(MTInputs!$J$1:$AZ$415,$D67,MATCH(AV$5,MTInputs!$J$5:$AZ$5,0))</f>
        <v/>
      </c>
      <c r="AW67" s="24">
        <f>INDEX(MTInputs!$J$1:$AZ$415,$D67,MATCH(AW$5,MTInputs!$J$5:$AZ$5,0))</f>
        <v/>
      </c>
      <c r="AX67" s="24">
        <f>INDEX(MTInputs!$J$1:$AZ$415,$D67,MATCH(AX$5,MTInputs!$J$5:$AZ$5,0))</f>
        <v/>
      </c>
      <c r="AY67" s="24">
        <f>INDEX(MTInputs!$J$1:$AZ$415,$D67,MATCH(AY$5,MTInputs!$J$5:$AZ$5,0))</f>
        <v/>
      </c>
      <c r="AZ67" s="24">
        <f>INDEX(MTInputs!$J$1:$AZ$415,$D67,MATCH(AZ$5,MTInputs!$J$5:$AZ$5,0))</f>
        <v/>
      </c>
      <c r="BA67" s="24">
        <f>INDEX(MTInputs!$J$1:$AZ$415,$D67,MATCH(BA$5,MTInputs!$J$5:$AZ$5,0))</f>
        <v/>
      </c>
    </row>
    <row r="68" hidden="1" outlineLevel="1">
      <c r="A68" s="14" t="inlineStr">
        <is>
          <t>fpr.f</t>
        </is>
      </c>
      <c r="B68" s="14" t="inlineStr">
        <is>
          <t>coa</t>
        </is>
      </c>
      <c r="C68" s="14" t="inlineStr">
        <is>
          <t>ind</t>
        </is>
      </c>
      <c r="D68" s="22" t="n">
        <v>158</v>
      </c>
      <c r="H68" s="14">
        <f>INDEX(VarLab,MATCH($A68,VarKey,0))&amp;INDEX(MemLab,MATCH($C68&amp;"|"&amp;$B68,MemKey,0))</f>
        <v/>
      </c>
      <c r="I68" s="14">
        <f>INDEX(VarUnit,MATCH($A68,VarKey,0))</f>
        <v/>
      </c>
      <c r="J68" s="14">
        <f>INDEX(VarSrc,MATCH($A68,VarKey,0))</f>
        <v/>
      </c>
      <c r="K68" s="11">
        <f>CodePrefix&amp;$A68&amp;IF($C68="","","."&amp;$C68&amp;"."&amp;$B68)&amp;INDEX(VarEnd,MATCH($A68,VarKey,0))&amp;K$5</f>
        <v/>
      </c>
      <c r="L68" s="23">
        <f>INDEX(MTInputs!$J$1:$AZ$415,$D68,MATCH(L$5,MTInputs!$J$5:$AZ$5,0))</f>
        <v/>
      </c>
      <c r="M68" s="24">
        <f>INDEX(MTInputs!$J$1:$AZ$415,$D68,MATCH(M$5,MTInputs!$J$5:$AZ$5,0))</f>
        <v/>
      </c>
      <c r="N68" s="24">
        <f>INDEX(MTInputs!$J$1:$AZ$415,$D68,MATCH(N$5,MTInputs!$J$5:$AZ$5,0))</f>
        <v/>
      </c>
      <c r="O68" s="24">
        <f>INDEX(MTInputs!$J$1:$AZ$415,$D68,MATCH(O$5,MTInputs!$J$5:$AZ$5,0))</f>
        <v/>
      </c>
      <c r="P68" s="24">
        <f>INDEX(MTInputs!$J$1:$AZ$415,$D68,MATCH(P$5,MTInputs!$J$5:$AZ$5,0))</f>
        <v/>
      </c>
      <c r="Q68" s="24">
        <f>INDEX(MTInputs!$J$1:$AZ$415,$D68,MATCH(Q$5,MTInputs!$J$5:$AZ$5,0))</f>
        <v/>
      </c>
      <c r="R68" s="24">
        <f>INDEX(MTInputs!$J$1:$AZ$415,$D68,MATCH(R$5,MTInputs!$J$5:$AZ$5,0))</f>
        <v/>
      </c>
      <c r="S68" s="24">
        <f>INDEX(MTInputs!$J$1:$AZ$415,$D68,MATCH(S$5,MTInputs!$J$5:$AZ$5,0))</f>
        <v/>
      </c>
      <c r="T68" s="24">
        <f>INDEX(MTInputs!$J$1:$AZ$415,$D68,MATCH(T$5,MTInputs!$J$5:$AZ$5,0))</f>
        <v/>
      </c>
      <c r="U68" s="24">
        <f>INDEX(MTInputs!$J$1:$AZ$415,$D68,MATCH(U$5,MTInputs!$J$5:$AZ$5,0))</f>
        <v/>
      </c>
      <c r="V68" s="24">
        <f>INDEX(MTInputs!$J$1:$AZ$415,$D68,MATCH(V$5,MTInputs!$J$5:$AZ$5,0))</f>
        <v/>
      </c>
      <c r="W68" s="24">
        <f>INDEX(MTInputs!$J$1:$AZ$415,$D68,MATCH(W$5,MTInputs!$J$5:$AZ$5,0))</f>
        <v/>
      </c>
      <c r="X68" s="24">
        <f>INDEX(MTInputs!$J$1:$AZ$415,$D68,MATCH(X$5,MTInputs!$J$5:$AZ$5,0))</f>
        <v/>
      </c>
      <c r="Y68" s="24">
        <f>INDEX(MTInputs!$J$1:$AZ$415,$D68,MATCH(Y$5,MTInputs!$J$5:$AZ$5,0))</f>
        <v/>
      </c>
      <c r="Z68" s="24">
        <f>INDEX(MTInputs!$J$1:$AZ$415,$D68,MATCH(Z$5,MTInputs!$J$5:$AZ$5,0))</f>
        <v/>
      </c>
      <c r="AA68" s="24">
        <f>INDEX(MTInputs!$J$1:$AZ$415,$D68,MATCH(AA$5,MTInputs!$J$5:$AZ$5,0))</f>
        <v/>
      </c>
      <c r="AB68" s="24">
        <f>INDEX(MTInputs!$J$1:$AZ$415,$D68,MATCH(AB$5,MTInputs!$J$5:$AZ$5,0))</f>
        <v/>
      </c>
      <c r="AC68" s="24">
        <f>INDEX(MTInputs!$J$1:$AZ$415,$D68,MATCH(AC$5,MTInputs!$J$5:$AZ$5,0))</f>
        <v/>
      </c>
      <c r="AD68" s="24">
        <f>INDEX(MTInputs!$J$1:$AZ$415,$D68,MATCH(AD$5,MTInputs!$J$5:$AZ$5,0))</f>
        <v/>
      </c>
      <c r="AE68" s="24">
        <f>INDEX(MTInputs!$J$1:$AZ$415,$D68,MATCH(AE$5,MTInputs!$J$5:$AZ$5,0))</f>
        <v/>
      </c>
      <c r="AG68" s="11">
        <f>CodePrefix&amp;$A68&amp;IF($C68="","","."&amp;$C68&amp;"."&amp;$B68)&amp;INDEX(VarEnd,MATCH($A68,VarKey,0))&amp;AG$5</f>
        <v/>
      </c>
      <c r="AH68" s="23">
        <f>INDEX(MTInputs!$J$1:$AZ$415,$D68,MATCH(AH$5,MTInputs!$J$5:$AZ$5,0))</f>
        <v/>
      </c>
      <c r="AI68" s="24">
        <f>INDEX(MTInputs!$J$1:$AZ$415,$D68,MATCH(AI$5,MTInputs!$J$5:$AZ$5,0))</f>
        <v/>
      </c>
      <c r="AJ68" s="24">
        <f>INDEX(MTInputs!$J$1:$AZ$415,$D68,MATCH(AJ$5,MTInputs!$J$5:$AZ$5,0))</f>
        <v/>
      </c>
      <c r="AK68" s="24">
        <f>INDEX(MTInputs!$J$1:$AZ$415,$D68,MATCH(AK$5,MTInputs!$J$5:$AZ$5,0))</f>
        <v/>
      </c>
      <c r="AL68" s="24">
        <f>INDEX(MTInputs!$J$1:$AZ$415,$D68,MATCH(AL$5,MTInputs!$J$5:$AZ$5,0))</f>
        <v/>
      </c>
      <c r="AM68" s="24">
        <f>INDEX(MTInputs!$J$1:$AZ$415,$D68,MATCH(AM$5,MTInputs!$J$5:$AZ$5,0))</f>
        <v/>
      </c>
      <c r="AN68" s="24">
        <f>INDEX(MTInputs!$J$1:$AZ$415,$D68,MATCH(AN$5,MTInputs!$J$5:$AZ$5,0))</f>
        <v/>
      </c>
      <c r="AO68" s="24">
        <f>INDEX(MTInputs!$J$1:$AZ$415,$D68,MATCH(AO$5,MTInputs!$J$5:$AZ$5,0))</f>
        <v/>
      </c>
      <c r="AP68" s="24">
        <f>INDEX(MTInputs!$J$1:$AZ$415,$D68,MATCH(AP$5,MTInputs!$J$5:$AZ$5,0))</f>
        <v/>
      </c>
      <c r="AQ68" s="24">
        <f>INDEX(MTInputs!$J$1:$AZ$415,$D68,MATCH(AQ$5,MTInputs!$J$5:$AZ$5,0))</f>
        <v/>
      </c>
      <c r="AR68" s="24">
        <f>INDEX(MTInputs!$J$1:$AZ$415,$D68,MATCH(AR$5,MTInputs!$J$5:$AZ$5,0))</f>
        <v/>
      </c>
      <c r="AS68" s="24">
        <f>INDEX(MTInputs!$J$1:$AZ$415,$D68,MATCH(AS$5,MTInputs!$J$5:$AZ$5,0))</f>
        <v/>
      </c>
      <c r="AT68" s="24">
        <f>INDEX(MTInputs!$J$1:$AZ$415,$D68,MATCH(AT$5,MTInputs!$J$5:$AZ$5,0))</f>
        <v/>
      </c>
      <c r="AU68" s="24">
        <f>INDEX(MTInputs!$J$1:$AZ$415,$D68,MATCH(AU$5,MTInputs!$J$5:$AZ$5,0))</f>
        <v/>
      </c>
      <c r="AV68" s="24">
        <f>INDEX(MTInputs!$J$1:$AZ$415,$D68,MATCH(AV$5,MTInputs!$J$5:$AZ$5,0))</f>
        <v/>
      </c>
      <c r="AW68" s="24">
        <f>INDEX(MTInputs!$J$1:$AZ$415,$D68,MATCH(AW$5,MTInputs!$J$5:$AZ$5,0))</f>
        <v/>
      </c>
      <c r="AX68" s="24">
        <f>INDEX(MTInputs!$J$1:$AZ$415,$D68,MATCH(AX$5,MTInputs!$J$5:$AZ$5,0))</f>
        <v/>
      </c>
      <c r="AY68" s="24">
        <f>INDEX(MTInputs!$J$1:$AZ$415,$D68,MATCH(AY$5,MTInputs!$J$5:$AZ$5,0))</f>
        <v/>
      </c>
      <c r="AZ68" s="24">
        <f>INDEX(MTInputs!$J$1:$AZ$415,$D68,MATCH(AZ$5,MTInputs!$J$5:$AZ$5,0))</f>
        <v/>
      </c>
      <c r="BA68" s="24">
        <f>INDEX(MTInputs!$J$1:$AZ$415,$D68,MATCH(BA$5,MTInputs!$J$5:$AZ$5,0))</f>
        <v/>
      </c>
    </row>
    <row r="69" hidden="1" outlineLevel="1">
      <c r="A69" s="14" t="inlineStr">
        <is>
          <t>fpr.f</t>
        </is>
      </c>
      <c r="B69" s="14" t="inlineStr">
        <is>
          <t>nga</t>
        </is>
      </c>
      <c r="C69" s="14" t="inlineStr">
        <is>
          <t>pow</t>
        </is>
      </c>
      <c r="D69" s="22" t="n">
        <v>159</v>
      </c>
      <c r="H69" s="14">
        <f>INDEX(VarLab,MATCH($A69,VarKey,0))&amp;INDEX(MemLab,MATCH($C69&amp;"|"&amp;$B69,MemKey,0))</f>
        <v/>
      </c>
      <c r="I69" s="14">
        <f>INDEX(VarUnit,MATCH($A69,VarKey,0))</f>
        <v/>
      </c>
      <c r="J69" s="14">
        <f>INDEX(VarSrc,MATCH($A69,VarKey,0))</f>
        <v/>
      </c>
      <c r="K69" s="11">
        <f>CodePrefix&amp;$A69&amp;IF($C69="","","."&amp;$C69&amp;"."&amp;$B69)&amp;INDEX(VarEnd,MATCH($A69,VarKey,0))&amp;K$5</f>
        <v/>
      </c>
      <c r="L69" s="23">
        <f>INDEX(MTInputs!$J$1:$AZ$415,$D69,MATCH(L$5,MTInputs!$J$5:$AZ$5,0))</f>
        <v/>
      </c>
      <c r="M69" s="24">
        <f>INDEX(MTInputs!$J$1:$AZ$415,$D69,MATCH(M$5,MTInputs!$J$5:$AZ$5,0))</f>
        <v/>
      </c>
      <c r="N69" s="24">
        <f>INDEX(MTInputs!$J$1:$AZ$415,$D69,MATCH(N$5,MTInputs!$J$5:$AZ$5,0))</f>
        <v/>
      </c>
      <c r="O69" s="24">
        <f>INDEX(MTInputs!$J$1:$AZ$415,$D69,MATCH(O$5,MTInputs!$J$5:$AZ$5,0))</f>
        <v/>
      </c>
      <c r="P69" s="24">
        <f>INDEX(MTInputs!$J$1:$AZ$415,$D69,MATCH(P$5,MTInputs!$J$5:$AZ$5,0))</f>
        <v/>
      </c>
      <c r="Q69" s="24">
        <f>INDEX(MTInputs!$J$1:$AZ$415,$D69,MATCH(Q$5,MTInputs!$J$5:$AZ$5,0))</f>
        <v/>
      </c>
      <c r="R69" s="24">
        <f>INDEX(MTInputs!$J$1:$AZ$415,$D69,MATCH(R$5,MTInputs!$J$5:$AZ$5,0))</f>
        <v/>
      </c>
      <c r="S69" s="24">
        <f>INDEX(MTInputs!$J$1:$AZ$415,$D69,MATCH(S$5,MTInputs!$J$5:$AZ$5,0))</f>
        <v/>
      </c>
      <c r="T69" s="24">
        <f>INDEX(MTInputs!$J$1:$AZ$415,$D69,MATCH(T$5,MTInputs!$J$5:$AZ$5,0))</f>
        <v/>
      </c>
      <c r="U69" s="24">
        <f>INDEX(MTInputs!$J$1:$AZ$415,$D69,MATCH(U$5,MTInputs!$J$5:$AZ$5,0))</f>
        <v/>
      </c>
      <c r="V69" s="24">
        <f>INDEX(MTInputs!$J$1:$AZ$415,$D69,MATCH(V$5,MTInputs!$J$5:$AZ$5,0))</f>
        <v/>
      </c>
      <c r="W69" s="24">
        <f>INDEX(MTInputs!$J$1:$AZ$415,$D69,MATCH(W$5,MTInputs!$J$5:$AZ$5,0))</f>
        <v/>
      </c>
      <c r="X69" s="24">
        <f>INDEX(MTInputs!$J$1:$AZ$415,$D69,MATCH(X$5,MTInputs!$J$5:$AZ$5,0))</f>
        <v/>
      </c>
      <c r="Y69" s="24">
        <f>INDEX(MTInputs!$J$1:$AZ$415,$D69,MATCH(Y$5,MTInputs!$J$5:$AZ$5,0))</f>
        <v/>
      </c>
      <c r="Z69" s="24">
        <f>INDEX(MTInputs!$J$1:$AZ$415,$D69,MATCH(Z$5,MTInputs!$J$5:$AZ$5,0))</f>
        <v/>
      </c>
      <c r="AA69" s="24">
        <f>INDEX(MTInputs!$J$1:$AZ$415,$D69,MATCH(AA$5,MTInputs!$J$5:$AZ$5,0))</f>
        <v/>
      </c>
      <c r="AB69" s="24">
        <f>INDEX(MTInputs!$J$1:$AZ$415,$D69,MATCH(AB$5,MTInputs!$J$5:$AZ$5,0))</f>
        <v/>
      </c>
      <c r="AC69" s="24">
        <f>INDEX(MTInputs!$J$1:$AZ$415,$D69,MATCH(AC$5,MTInputs!$J$5:$AZ$5,0))</f>
        <v/>
      </c>
      <c r="AD69" s="24">
        <f>INDEX(MTInputs!$J$1:$AZ$415,$D69,MATCH(AD$5,MTInputs!$J$5:$AZ$5,0))</f>
        <v/>
      </c>
      <c r="AE69" s="24">
        <f>INDEX(MTInputs!$J$1:$AZ$415,$D69,MATCH(AE$5,MTInputs!$J$5:$AZ$5,0))</f>
        <v/>
      </c>
      <c r="AG69" s="11">
        <f>CodePrefix&amp;$A69&amp;IF($C69="","","."&amp;$C69&amp;"."&amp;$B69)&amp;INDEX(VarEnd,MATCH($A69,VarKey,0))&amp;AG$5</f>
        <v/>
      </c>
      <c r="AH69" s="23">
        <f>INDEX(MTInputs!$J$1:$AZ$415,$D69,MATCH(AH$5,MTInputs!$J$5:$AZ$5,0))</f>
        <v/>
      </c>
      <c r="AI69" s="24">
        <f>INDEX(MTInputs!$J$1:$AZ$415,$D69,MATCH(AI$5,MTInputs!$J$5:$AZ$5,0))</f>
        <v/>
      </c>
      <c r="AJ69" s="24">
        <f>INDEX(MTInputs!$J$1:$AZ$415,$D69,MATCH(AJ$5,MTInputs!$J$5:$AZ$5,0))</f>
        <v/>
      </c>
      <c r="AK69" s="24">
        <f>INDEX(MTInputs!$J$1:$AZ$415,$D69,MATCH(AK$5,MTInputs!$J$5:$AZ$5,0))</f>
        <v/>
      </c>
      <c r="AL69" s="24">
        <f>INDEX(MTInputs!$J$1:$AZ$415,$D69,MATCH(AL$5,MTInputs!$J$5:$AZ$5,0))</f>
        <v/>
      </c>
      <c r="AM69" s="24">
        <f>INDEX(MTInputs!$J$1:$AZ$415,$D69,MATCH(AM$5,MTInputs!$J$5:$AZ$5,0))</f>
        <v/>
      </c>
      <c r="AN69" s="24">
        <f>INDEX(MTInputs!$J$1:$AZ$415,$D69,MATCH(AN$5,MTInputs!$J$5:$AZ$5,0))</f>
        <v/>
      </c>
      <c r="AO69" s="24">
        <f>INDEX(MTInputs!$J$1:$AZ$415,$D69,MATCH(AO$5,MTInputs!$J$5:$AZ$5,0))</f>
        <v/>
      </c>
      <c r="AP69" s="24">
        <f>INDEX(MTInputs!$J$1:$AZ$415,$D69,MATCH(AP$5,MTInputs!$J$5:$AZ$5,0))</f>
        <v/>
      </c>
      <c r="AQ69" s="24">
        <f>INDEX(MTInputs!$J$1:$AZ$415,$D69,MATCH(AQ$5,MTInputs!$J$5:$AZ$5,0))</f>
        <v/>
      </c>
      <c r="AR69" s="24">
        <f>INDEX(MTInputs!$J$1:$AZ$415,$D69,MATCH(AR$5,MTInputs!$J$5:$AZ$5,0))</f>
        <v/>
      </c>
      <c r="AS69" s="24">
        <f>INDEX(MTInputs!$J$1:$AZ$415,$D69,MATCH(AS$5,MTInputs!$J$5:$AZ$5,0))</f>
        <v/>
      </c>
      <c r="AT69" s="24">
        <f>INDEX(MTInputs!$J$1:$AZ$415,$D69,MATCH(AT$5,MTInputs!$J$5:$AZ$5,0))</f>
        <v/>
      </c>
      <c r="AU69" s="24">
        <f>INDEX(MTInputs!$J$1:$AZ$415,$D69,MATCH(AU$5,MTInputs!$J$5:$AZ$5,0))</f>
        <v/>
      </c>
      <c r="AV69" s="24">
        <f>INDEX(MTInputs!$J$1:$AZ$415,$D69,MATCH(AV$5,MTInputs!$J$5:$AZ$5,0))</f>
        <v/>
      </c>
      <c r="AW69" s="24">
        <f>INDEX(MTInputs!$J$1:$AZ$415,$D69,MATCH(AW$5,MTInputs!$J$5:$AZ$5,0))</f>
        <v/>
      </c>
      <c r="AX69" s="24">
        <f>INDEX(MTInputs!$J$1:$AZ$415,$D69,MATCH(AX$5,MTInputs!$J$5:$AZ$5,0))</f>
        <v/>
      </c>
      <c r="AY69" s="24">
        <f>INDEX(MTInputs!$J$1:$AZ$415,$D69,MATCH(AY$5,MTInputs!$J$5:$AZ$5,0))</f>
        <v/>
      </c>
      <c r="AZ69" s="24">
        <f>INDEX(MTInputs!$J$1:$AZ$415,$D69,MATCH(AZ$5,MTInputs!$J$5:$AZ$5,0))</f>
        <v/>
      </c>
      <c r="BA69" s="24">
        <f>INDEX(MTInputs!$J$1:$AZ$415,$D69,MATCH(BA$5,MTInputs!$J$5:$AZ$5,0))</f>
        <v/>
      </c>
    </row>
    <row r="70" hidden="1" outlineLevel="1">
      <c r="A70" s="14" t="inlineStr">
        <is>
          <t>fpr.f</t>
        </is>
      </c>
      <c r="B70" s="14" t="inlineStr">
        <is>
          <t>nga</t>
        </is>
      </c>
      <c r="C70" s="14" t="inlineStr">
        <is>
          <t>res</t>
        </is>
      </c>
      <c r="D70" s="22" t="n">
        <v>160</v>
      </c>
      <c r="H70" s="14">
        <f>INDEX(VarLab,MATCH($A70,VarKey,0))&amp;INDEX(MemLab,MATCH($C70&amp;"|"&amp;$B70,MemKey,0))</f>
        <v/>
      </c>
      <c r="I70" s="14">
        <f>INDEX(VarUnit,MATCH($A70,VarKey,0))</f>
        <v/>
      </c>
      <c r="J70" s="14">
        <f>INDEX(VarSrc,MATCH($A70,VarKey,0))</f>
        <v/>
      </c>
      <c r="K70" s="11">
        <f>CodePrefix&amp;$A70&amp;IF($C70="","","."&amp;$C70&amp;"."&amp;$B70)&amp;INDEX(VarEnd,MATCH($A70,VarKey,0))&amp;K$5</f>
        <v/>
      </c>
      <c r="L70" s="23">
        <f>INDEX(MTInputs!$J$1:$AZ$415,$D70,MATCH(L$5,MTInputs!$J$5:$AZ$5,0))</f>
        <v/>
      </c>
      <c r="M70" s="24">
        <f>INDEX(MTInputs!$J$1:$AZ$415,$D70,MATCH(M$5,MTInputs!$J$5:$AZ$5,0))</f>
        <v/>
      </c>
      <c r="N70" s="24">
        <f>INDEX(MTInputs!$J$1:$AZ$415,$D70,MATCH(N$5,MTInputs!$J$5:$AZ$5,0))</f>
        <v/>
      </c>
      <c r="O70" s="24">
        <f>INDEX(MTInputs!$J$1:$AZ$415,$D70,MATCH(O$5,MTInputs!$J$5:$AZ$5,0))</f>
        <v/>
      </c>
      <c r="P70" s="24">
        <f>INDEX(MTInputs!$J$1:$AZ$415,$D70,MATCH(P$5,MTInputs!$J$5:$AZ$5,0))</f>
        <v/>
      </c>
      <c r="Q70" s="24">
        <f>INDEX(MTInputs!$J$1:$AZ$415,$D70,MATCH(Q$5,MTInputs!$J$5:$AZ$5,0))</f>
        <v/>
      </c>
      <c r="R70" s="24">
        <f>INDEX(MTInputs!$J$1:$AZ$415,$D70,MATCH(R$5,MTInputs!$J$5:$AZ$5,0))</f>
        <v/>
      </c>
      <c r="S70" s="24">
        <f>INDEX(MTInputs!$J$1:$AZ$415,$D70,MATCH(S$5,MTInputs!$J$5:$AZ$5,0))</f>
        <v/>
      </c>
      <c r="T70" s="24">
        <f>INDEX(MTInputs!$J$1:$AZ$415,$D70,MATCH(T$5,MTInputs!$J$5:$AZ$5,0))</f>
        <v/>
      </c>
      <c r="U70" s="24">
        <f>INDEX(MTInputs!$J$1:$AZ$415,$D70,MATCH(U$5,MTInputs!$J$5:$AZ$5,0))</f>
        <v/>
      </c>
      <c r="V70" s="24">
        <f>INDEX(MTInputs!$J$1:$AZ$415,$D70,MATCH(V$5,MTInputs!$J$5:$AZ$5,0))</f>
        <v/>
      </c>
      <c r="W70" s="24">
        <f>INDEX(MTInputs!$J$1:$AZ$415,$D70,MATCH(W$5,MTInputs!$J$5:$AZ$5,0))</f>
        <v/>
      </c>
      <c r="X70" s="24">
        <f>INDEX(MTInputs!$J$1:$AZ$415,$D70,MATCH(X$5,MTInputs!$J$5:$AZ$5,0))</f>
        <v/>
      </c>
      <c r="Y70" s="24">
        <f>INDEX(MTInputs!$J$1:$AZ$415,$D70,MATCH(Y$5,MTInputs!$J$5:$AZ$5,0))</f>
        <v/>
      </c>
      <c r="Z70" s="24">
        <f>INDEX(MTInputs!$J$1:$AZ$415,$D70,MATCH(Z$5,MTInputs!$J$5:$AZ$5,0))</f>
        <v/>
      </c>
      <c r="AA70" s="24">
        <f>INDEX(MTInputs!$J$1:$AZ$415,$D70,MATCH(AA$5,MTInputs!$J$5:$AZ$5,0))</f>
        <v/>
      </c>
      <c r="AB70" s="24">
        <f>INDEX(MTInputs!$J$1:$AZ$415,$D70,MATCH(AB$5,MTInputs!$J$5:$AZ$5,0))</f>
        <v/>
      </c>
      <c r="AC70" s="24">
        <f>INDEX(MTInputs!$J$1:$AZ$415,$D70,MATCH(AC$5,MTInputs!$J$5:$AZ$5,0))</f>
        <v/>
      </c>
      <c r="AD70" s="24">
        <f>INDEX(MTInputs!$J$1:$AZ$415,$D70,MATCH(AD$5,MTInputs!$J$5:$AZ$5,0))</f>
        <v/>
      </c>
      <c r="AE70" s="24">
        <f>INDEX(MTInputs!$J$1:$AZ$415,$D70,MATCH(AE$5,MTInputs!$J$5:$AZ$5,0))</f>
        <v/>
      </c>
      <c r="AG70" s="11">
        <f>CodePrefix&amp;$A70&amp;IF($C70="","","."&amp;$C70&amp;"."&amp;$B70)&amp;INDEX(VarEnd,MATCH($A70,VarKey,0))&amp;AG$5</f>
        <v/>
      </c>
      <c r="AH70" s="23">
        <f>INDEX(MTInputs!$J$1:$AZ$415,$D70,MATCH(AH$5,MTInputs!$J$5:$AZ$5,0))</f>
        <v/>
      </c>
      <c r="AI70" s="24">
        <f>INDEX(MTInputs!$J$1:$AZ$415,$D70,MATCH(AI$5,MTInputs!$J$5:$AZ$5,0))</f>
        <v/>
      </c>
      <c r="AJ70" s="24">
        <f>INDEX(MTInputs!$J$1:$AZ$415,$D70,MATCH(AJ$5,MTInputs!$J$5:$AZ$5,0))</f>
        <v/>
      </c>
      <c r="AK70" s="24">
        <f>INDEX(MTInputs!$J$1:$AZ$415,$D70,MATCH(AK$5,MTInputs!$J$5:$AZ$5,0))</f>
        <v/>
      </c>
      <c r="AL70" s="24">
        <f>INDEX(MTInputs!$J$1:$AZ$415,$D70,MATCH(AL$5,MTInputs!$J$5:$AZ$5,0))</f>
        <v/>
      </c>
      <c r="AM70" s="24">
        <f>INDEX(MTInputs!$J$1:$AZ$415,$D70,MATCH(AM$5,MTInputs!$J$5:$AZ$5,0))</f>
        <v/>
      </c>
      <c r="AN70" s="24">
        <f>INDEX(MTInputs!$J$1:$AZ$415,$D70,MATCH(AN$5,MTInputs!$J$5:$AZ$5,0))</f>
        <v/>
      </c>
      <c r="AO70" s="24">
        <f>INDEX(MTInputs!$J$1:$AZ$415,$D70,MATCH(AO$5,MTInputs!$J$5:$AZ$5,0))</f>
        <v/>
      </c>
      <c r="AP70" s="24">
        <f>INDEX(MTInputs!$J$1:$AZ$415,$D70,MATCH(AP$5,MTInputs!$J$5:$AZ$5,0))</f>
        <v/>
      </c>
      <c r="AQ70" s="24">
        <f>INDEX(MTInputs!$J$1:$AZ$415,$D70,MATCH(AQ$5,MTInputs!$J$5:$AZ$5,0))</f>
        <v/>
      </c>
      <c r="AR70" s="24">
        <f>INDEX(MTInputs!$J$1:$AZ$415,$D70,MATCH(AR$5,MTInputs!$J$5:$AZ$5,0))</f>
        <v/>
      </c>
      <c r="AS70" s="24">
        <f>INDEX(MTInputs!$J$1:$AZ$415,$D70,MATCH(AS$5,MTInputs!$J$5:$AZ$5,0))</f>
        <v/>
      </c>
      <c r="AT70" s="24">
        <f>INDEX(MTInputs!$J$1:$AZ$415,$D70,MATCH(AT$5,MTInputs!$J$5:$AZ$5,0))</f>
        <v/>
      </c>
      <c r="AU70" s="24">
        <f>INDEX(MTInputs!$J$1:$AZ$415,$D70,MATCH(AU$5,MTInputs!$J$5:$AZ$5,0))</f>
        <v/>
      </c>
      <c r="AV70" s="24">
        <f>INDEX(MTInputs!$J$1:$AZ$415,$D70,MATCH(AV$5,MTInputs!$J$5:$AZ$5,0))</f>
        <v/>
      </c>
      <c r="AW70" s="24">
        <f>INDEX(MTInputs!$J$1:$AZ$415,$D70,MATCH(AW$5,MTInputs!$J$5:$AZ$5,0))</f>
        <v/>
      </c>
      <c r="AX70" s="24">
        <f>INDEX(MTInputs!$J$1:$AZ$415,$D70,MATCH(AX$5,MTInputs!$J$5:$AZ$5,0))</f>
        <v/>
      </c>
      <c r="AY70" s="24">
        <f>INDEX(MTInputs!$J$1:$AZ$415,$D70,MATCH(AY$5,MTInputs!$J$5:$AZ$5,0))</f>
        <v/>
      </c>
      <c r="AZ70" s="24">
        <f>INDEX(MTInputs!$J$1:$AZ$415,$D70,MATCH(AZ$5,MTInputs!$J$5:$AZ$5,0))</f>
        <v/>
      </c>
      <c r="BA70" s="24">
        <f>INDEX(MTInputs!$J$1:$AZ$415,$D70,MATCH(BA$5,MTInputs!$J$5:$AZ$5,0))</f>
        <v/>
      </c>
    </row>
    <row r="71" hidden="1" outlineLevel="1">
      <c r="A71" s="14" t="inlineStr">
        <is>
          <t>fpr.f</t>
        </is>
      </c>
      <c r="B71" s="14" t="inlineStr">
        <is>
          <t>nga</t>
        </is>
      </c>
      <c r="C71" s="14" t="inlineStr">
        <is>
          <t>ind</t>
        </is>
      </c>
      <c r="D71" s="22" t="n">
        <v>161</v>
      </c>
      <c r="H71" s="14">
        <f>INDEX(VarLab,MATCH($A71,VarKey,0))&amp;INDEX(MemLab,MATCH($C71&amp;"|"&amp;$B71,MemKey,0))</f>
        <v/>
      </c>
      <c r="I71" s="14">
        <f>INDEX(VarUnit,MATCH($A71,VarKey,0))</f>
        <v/>
      </c>
      <c r="J71" s="14">
        <f>INDEX(VarSrc,MATCH($A71,VarKey,0))</f>
        <v/>
      </c>
      <c r="K71" s="11">
        <f>CodePrefix&amp;$A71&amp;IF($C71="","","."&amp;$C71&amp;"."&amp;$B71)&amp;INDEX(VarEnd,MATCH($A71,VarKey,0))&amp;K$5</f>
        <v/>
      </c>
      <c r="L71" s="23">
        <f>INDEX(MTInputs!$J$1:$AZ$415,$D71,MATCH(L$5,MTInputs!$J$5:$AZ$5,0))</f>
        <v/>
      </c>
      <c r="M71" s="24">
        <f>INDEX(MTInputs!$J$1:$AZ$415,$D71,MATCH(M$5,MTInputs!$J$5:$AZ$5,0))</f>
        <v/>
      </c>
      <c r="N71" s="24">
        <f>INDEX(MTInputs!$J$1:$AZ$415,$D71,MATCH(N$5,MTInputs!$J$5:$AZ$5,0))</f>
        <v/>
      </c>
      <c r="O71" s="24">
        <f>INDEX(MTInputs!$J$1:$AZ$415,$D71,MATCH(O$5,MTInputs!$J$5:$AZ$5,0))</f>
        <v/>
      </c>
      <c r="P71" s="24">
        <f>INDEX(MTInputs!$J$1:$AZ$415,$D71,MATCH(P$5,MTInputs!$J$5:$AZ$5,0))</f>
        <v/>
      </c>
      <c r="Q71" s="24">
        <f>INDEX(MTInputs!$J$1:$AZ$415,$D71,MATCH(Q$5,MTInputs!$J$5:$AZ$5,0))</f>
        <v/>
      </c>
      <c r="R71" s="24">
        <f>INDEX(MTInputs!$J$1:$AZ$415,$D71,MATCH(R$5,MTInputs!$J$5:$AZ$5,0))</f>
        <v/>
      </c>
      <c r="S71" s="24">
        <f>INDEX(MTInputs!$J$1:$AZ$415,$D71,MATCH(S$5,MTInputs!$J$5:$AZ$5,0))</f>
        <v/>
      </c>
      <c r="T71" s="24">
        <f>INDEX(MTInputs!$J$1:$AZ$415,$D71,MATCH(T$5,MTInputs!$J$5:$AZ$5,0))</f>
        <v/>
      </c>
      <c r="U71" s="24">
        <f>INDEX(MTInputs!$J$1:$AZ$415,$D71,MATCH(U$5,MTInputs!$J$5:$AZ$5,0))</f>
        <v/>
      </c>
      <c r="V71" s="24">
        <f>INDEX(MTInputs!$J$1:$AZ$415,$D71,MATCH(V$5,MTInputs!$J$5:$AZ$5,0))</f>
        <v/>
      </c>
      <c r="W71" s="24">
        <f>INDEX(MTInputs!$J$1:$AZ$415,$D71,MATCH(W$5,MTInputs!$J$5:$AZ$5,0))</f>
        <v/>
      </c>
      <c r="X71" s="24">
        <f>INDEX(MTInputs!$J$1:$AZ$415,$D71,MATCH(X$5,MTInputs!$J$5:$AZ$5,0))</f>
        <v/>
      </c>
      <c r="Y71" s="24">
        <f>INDEX(MTInputs!$J$1:$AZ$415,$D71,MATCH(Y$5,MTInputs!$J$5:$AZ$5,0))</f>
        <v/>
      </c>
      <c r="Z71" s="24">
        <f>INDEX(MTInputs!$J$1:$AZ$415,$D71,MATCH(Z$5,MTInputs!$J$5:$AZ$5,0))</f>
        <v/>
      </c>
      <c r="AA71" s="24">
        <f>INDEX(MTInputs!$J$1:$AZ$415,$D71,MATCH(AA$5,MTInputs!$J$5:$AZ$5,0))</f>
        <v/>
      </c>
      <c r="AB71" s="24">
        <f>INDEX(MTInputs!$J$1:$AZ$415,$D71,MATCH(AB$5,MTInputs!$J$5:$AZ$5,0))</f>
        <v/>
      </c>
      <c r="AC71" s="24">
        <f>INDEX(MTInputs!$J$1:$AZ$415,$D71,MATCH(AC$5,MTInputs!$J$5:$AZ$5,0))</f>
        <v/>
      </c>
      <c r="AD71" s="24">
        <f>INDEX(MTInputs!$J$1:$AZ$415,$D71,MATCH(AD$5,MTInputs!$J$5:$AZ$5,0))</f>
        <v/>
      </c>
      <c r="AE71" s="24">
        <f>INDEX(MTInputs!$J$1:$AZ$415,$D71,MATCH(AE$5,MTInputs!$J$5:$AZ$5,0))</f>
        <v/>
      </c>
      <c r="AG71" s="11">
        <f>CodePrefix&amp;$A71&amp;IF($C71="","","."&amp;$C71&amp;"."&amp;$B71)&amp;INDEX(VarEnd,MATCH($A71,VarKey,0))&amp;AG$5</f>
        <v/>
      </c>
      <c r="AH71" s="23">
        <f>INDEX(MTInputs!$J$1:$AZ$415,$D71,MATCH(AH$5,MTInputs!$J$5:$AZ$5,0))</f>
        <v/>
      </c>
      <c r="AI71" s="24">
        <f>INDEX(MTInputs!$J$1:$AZ$415,$D71,MATCH(AI$5,MTInputs!$J$5:$AZ$5,0))</f>
        <v/>
      </c>
      <c r="AJ71" s="24">
        <f>INDEX(MTInputs!$J$1:$AZ$415,$D71,MATCH(AJ$5,MTInputs!$J$5:$AZ$5,0))</f>
        <v/>
      </c>
      <c r="AK71" s="24">
        <f>INDEX(MTInputs!$J$1:$AZ$415,$D71,MATCH(AK$5,MTInputs!$J$5:$AZ$5,0))</f>
        <v/>
      </c>
      <c r="AL71" s="24">
        <f>INDEX(MTInputs!$J$1:$AZ$415,$D71,MATCH(AL$5,MTInputs!$J$5:$AZ$5,0))</f>
        <v/>
      </c>
      <c r="AM71" s="24">
        <f>INDEX(MTInputs!$J$1:$AZ$415,$D71,MATCH(AM$5,MTInputs!$J$5:$AZ$5,0))</f>
        <v/>
      </c>
      <c r="AN71" s="24">
        <f>INDEX(MTInputs!$J$1:$AZ$415,$D71,MATCH(AN$5,MTInputs!$J$5:$AZ$5,0))</f>
        <v/>
      </c>
      <c r="AO71" s="24">
        <f>INDEX(MTInputs!$J$1:$AZ$415,$D71,MATCH(AO$5,MTInputs!$J$5:$AZ$5,0))</f>
        <v/>
      </c>
      <c r="AP71" s="24">
        <f>INDEX(MTInputs!$J$1:$AZ$415,$D71,MATCH(AP$5,MTInputs!$J$5:$AZ$5,0))</f>
        <v/>
      </c>
      <c r="AQ71" s="24">
        <f>INDEX(MTInputs!$J$1:$AZ$415,$D71,MATCH(AQ$5,MTInputs!$J$5:$AZ$5,0))</f>
        <v/>
      </c>
      <c r="AR71" s="24">
        <f>INDEX(MTInputs!$J$1:$AZ$415,$D71,MATCH(AR$5,MTInputs!$J$5:$AZ$5,0))</f>
        <v/>
      </c>
      <c r="AS71" s="24">
        <f>INDEX(MTInputs!$J$1:$AZ$415,$D71,MATCH(AS$5,MTInputs!$J$5:$AZ$5,0))</f>
        <v/>
      </c>
      <c r="AT71" s="24">
        <f>INDEX(MTInputs!$J$1:$AZ$415,$D71,MATCH(AT$5,MTInputs!$J$5:$AZ$5,0))</f>
        <v/>
      </c>
      <c r="AU71" s="24">
        <f>INDEX(MTInputs!$J$1:$AZ$415,$D71,MATCH(AU$5,MTInputs!$J$5:$AZ$5,0))</f>
        <v/>
      </c>
      <c r="AV71" s="24">
        <f>INDEX(MTInputs!$J$1:$AZ$415,$D71,MATCH(AV$5,MTInputs!$J$5:$AZ$5,0))</f>
        <v/>
      </c>
      <c r="AW71" s="24">
        <f>INDEX(MTInputs!$J$1:$AZ$415,$D71,MATCH(AW$5,MTInputs!$J$5:$AZ$5,0))</f>
        <v/>
      </c>
      <c r="AX71" s="24">
        <f>INDEX(MTInputs!$J$1:$AZ$415,$D71,MATCH(AX$5,MTInputs!$J$5:$AZ$5,0))</f>
        <v/>
      </c>
      <c r="AY71" s="24">
        <f>INDEX(MTInputs!$J$1:$AZ$415,$D71,MATCH(AY$5,MTInputs!$J$5:$AZ$5,0))</f>
        <v/>
      </c>
      <c r="AZ71" s="24">
        <f>INDEX(MTInputs!$J$1:$AZ$415,$D71,MATCH(AZ$5,MTInputs!$J$5:$AZ$5,0))</f>
        <v/>
      </c>
      <c r="BA71" s="24">
        <f>INDEX(MTInputs!$J$1:$AZ$415,$D71,MATCH(BA$5,MTInputs!$J$5:$AZ$5,0))</f>
        <v/>
      </c>
    </row>
    <row r="72" hidden="1" outlineLevel="1">
      <c r="A72" s="14" t="inlineStr">
        <is>
          <t>fpr.f</t>
        </is>
      </c>
      <c r="B72" s="14" t="inlineStr">
        <is>
          <t>ecy</t>
        </is>
      </c>
      <c r="C72" s="14" t="inlineStr">
        <is>
          <t>res</t>
        </is>
      </c>
      <c r="D72" s="22" t="n">
        <v>162</v>
      </c>
      <c r="H72" s="14">
        <f>INDEX(VarLab,MATCH($A72,VarKey,0))&amp;INDEX(MemLab,MATCH($C72&amp;"|"&amp;$B72,MemKey,0))</f>
        <v/>
      </c>
      <c r="I72" s="14">
        <f>INDEX(VarUnit,MATCH($A72,VarKey,0))</f>
        <v/>
      </c>
      <c r="J72" s="14">
        <f>INDEX(VarSrc,MATCH($A72,VarKey,0))</f>
        <v/>
      </c>
      <c r="K72" s="11">
        <f>CodePrefix&amp;$A72&amp;IF($C72="","","."&amp;$C72&amp;"."&amp;$B72)&amp;INDEX(VarEnd,MATCH($A72,VarKey,0))&amp;K$5</f>
        <v/>
      </c>
      <c r="L72" s="23">
        <f>INDEX(MTInputs!$J$1:$AZ$415,$D72,MATCH(L$5,MTInputs!$J$5:$AZ$5,0))</f>
        <v/>
      </c>
      <c r="M72" s="24">
        <f>INDEX(MTInputs!$J$1:$AZ$415,$D72,MATCH(M$5,MTInputs!$J$5:$AZ$5,0))</f>
        <v/>
      </c>
      <c r="N72" s="24">
        <f>INDEX(MTInputs!$J$1:$AZ$415,$D72,MATCH(N$5,MTInputs!$J$5:$AZ$5,0))</f>
        <v/>
      </c>
      <c r="O72" s="24">
        <f>INDEX(MTInputs!$J$1:$AZ$415,$D72,MATCH(O$5,MTInputs!$J$5:$AZ$5,0))</f>
        <v/>
      </c>
      <c r="P72" s="24">
        <f>INDEX(MTInputs!$J$1:$AZ$415,$D72,MATCH(P$5,MTInputs!$J$5:$AZ$5,0))</f>
        <v/>
      </c>
      <c r="Q72" s="24">
        <f>INDEX(MTInputs!$J$1:$AZ$415,$D72,MATCH(Q$5,MTInputs!$J$5:$AZ$5,0))</f>
        <v/>
      </c>
      <c r="R72" s="24">
        <f>INDEX(MTInputs!$J$1:$AZ$415,$D72,MATCH(R$5,MTInputs!$J$5:$AZ$5,0))</f>
        <v/>
      </c>
      <c r="S72" s="24">
        <f>INDEX(MTInputs!$J$1:$AZ$415,$D72,MATCH(S$5,MTInputs!$J$5:$AZ$5,0))</f>
        <v/>
      </c>
      <c r="T72" s="24">
        <f>INDEX(MTInputs!$J$1:$AZ$415,$D72,MATCH(T$5,MTInputs!$J$5:$AZ$5,0))</f>
        <v/>
      </c>
      <c r="U72" s="24">
        <f>INDEX(MTInputs!$J$1:$AZ$415,$D72,MATCH(U$5,MTInputs!$J$5:$AZ$5,0))</f>
        <v/>
      </c>
      <c r="V72" s="24">
        <f>INDEX(MTInputs!$J$1:$AZ$415,$D72,MATCH(V$5,MTInputs!$J$5:$AZ$5,0))</f>
        <v/>
      </c>
      <c r="W72" s="24">
        <f>INDEX(MTInputs!$J$1:$AZ$415,$D72,MATCH(W$5,MTInputs!$J$5:$AZ$5,0))</f>
        <v/>
      </c>
      <c r="X72" s="24">
        <f>INDEX(MTInputs!$J$1:$AZ$415,$D72,MATCH(X$5,MTInputs!$J$5:$AZ$5,0))</f>
        <v/>
      </c>
      <c r="Y72" s="24">
        <f>INDEX(MTInputs!$J$1:$AZ$415,$D72,MATCH(Y$5,MTInputs!$J$5:$AZ$5,0))</f>
        <v/>
      </c>
      <c r="Z72" s="24">
        <f>INDEX(MTInputs!$J$1:$AZ$415,$D72,MATCH(Z$5,MTInputs!$J$5:$AZ$5,0))</f>
        <v/>
      </c>
      <c r="AA72" s="24">
        <f>INDEX(MTInputs!$J$1:$AZ$415,$D72,MATCH(AA$5,MTInputs!$J$5:$AZ$5,0))</f>
        <v/>
      </c>
      <c r="AB72" s="24">
        <f>INDEX(MTInputs!$J$1:$AZ$415,$D72,MATCH(AB$5,MTInputs!$J$5:$AZ$5,0))</f>
        <v/>
      </c>
      <c r="AC72" s="24">
        <f>INDEX(MTInputs!$J$1:$AZ$415,$D72,MATCH(AC$5,MTInputs!$J$5:$AZ$5,0))</f>
        <v/>
      </c>
      <c r="AD72" s="24">
        <f>INDEX(MTInputs!$J$1:$AZ$415,$D72,MATCH(AD$5,MTInputs!$J$5:$AZ$5,0))</f>
        <v/>
      </c>
      <c r="AE72" s="24">
        <f>INDEX(MTInputs!$J$1:$AZ$415,$D72,MATCH(AE$5,MTInputs!$J$5:$AZ$5,0))</f>
        <v/>
      </c>
      <c r="AG72" s="11">
        <f>CodePrefix&amp;$A72&amp;IF($C72="","","."&amp;$C72&amp;"."&amp;$B72)&amp;INDEX(VarEnd,MATCH($A72,VarKey,0))&amp;AG$5</f>
        <v/>
      </c>
      <c r="AH72" s="23">
        <f>INDEX(MTInputs!$J$1:$AZ$415,$D72,MATCH(AH$5,MTInputs!$J$5:$AZ$5,0))</f>
        <v/>
      </c>
      <c r="AI72" s="24">
        <f>INDEX(MTInputs!$J$1:$AZ$415,$D72,MATCH(AI$5,MTInputs!$J$5:$AZ$5,0))</f>
        <v/>
      </c>
      <c r="AJ72" s="24">
        <f>INDEX(MTInputs!$J$1:$AZ$415,$D72,MATCH(AJ$5,MTInputs!$J$5:$AZ$5,0))</f>
        <v/>
      </c>
      <c r="AK72" s="24">
        <f>INDEX(MTInputs!$J$1:$AZ$415,$D72,MATCH(AK$5,MTInputs!$J$5:$AZ$5,0))</f>
        <v/>
      </c>
      <c r="AL72" s="24">
        <f>INDEX(MTInputs!$J$1:$AZ$415,$D72,MATCH(AL$5,MTInputs!$J$5:$AZ$5,0))</f>
        <v/>
      </c>
      <c r="AM72" s="24">
        <f>INDEX(MTInputs!$J$1:$AZ$415,$D72,MATCH(AM$5,MTInputs!$J$5:$AZ$5,0))</f>
        <v/>
      </c>
      <c r="AN72" s="24">
        <f>INDEX(MTInputs!$J$1:$AZ$415,$D72,MATCH(AN$5,MTInputs!$J$5:$AZ$5,0))</f>
        <v/>
      </c>
      <c r="AO72" s="24">
        <f>INDEX(MTInputs!$J$1:$AZ$415,$D72,MATCH(AO$5,MTInputs!$J$5:$AZ$5,0))</f>
        <v/>
      </c>
      <c r="AP72" s="24">
        <f>INDEX(MTInputs!$J$1:$AZ$415,$D72,MATCH(AP$5,MTInputs!$J$5:$AZ$5,0))</f>
        <v/>
      </c>
      <c r="AQ72" s="24">
        <f>INDEX(MTInputs!$J$1:$AZ$415,$D72,MATCH(AQ$5,MTInputs!$J$5:$AZ$5,0))</f>
        <v/>
      </c>
      <c r="AR72" s="24">
        <f>INDEX(MTInputs!$J$1:$AZ$415,$D72,MATCH(AR$5,MTInputs!$J$5:$AZ$5,0))</f>
        <v/>
      </c>
      <c r="AS72" s="24">
        <f>INDEX(MTInputs!$J$1:$AZ$415,$D72,MATCH(AS$5,MTInputs!$J$5:$AZ$5,0))</f>
        <v/>
      </c>
      <c r="AT72" s="24">
        <f>INDEX(MTInputs!$J$1:$AZ$415,$D72,MATCH(AT$5,MTInputs!$J$5:$AZ$5,0))</f>
        <v/>
      </c>
      <c r="AU72" s="24">
        <f>INDEX(MTInputs!$J$1:$AZ$415,$D72,MATCH(AU$5,MTInputs!$J$5:$AZ$5,0))</f>
        <v/>
      </c>
      <c r="AV72" s="24">
        <f>INDEX(MTInputs!$J$1:$AZ$415,$D72,MATCH(AV$5,MTInputs!$J$5:$AZ$5,0))</f>
        <v/>
      </c>
      <c r="AW72" s="24">
        <f>INDEX(MTInputs!$J$1:$AZ$415,$D72,MATCH(AW$5,MTInputs!$J$5:$AZ$5,0))</f>
        <v/>
      </c>
      <c r="AX72" s="24">
        <f>INDEX(MTInputs!$J$1:$AZ$415,$D72,MATCH(AX$5,MTInputs!$J$5:$AZ$5,0))</f>
        <v/>
      </c>
      <c r="AY72" s="24">
        <f>INDEX(MTInputs!$J$1:$AZ$415,$D72,MATCH(AY$5,MTInputs!$J$5:$AZ$5,0))</f>
        <v/>
      </c>
      <c r="AZ72" s="24">
        <f>INDEX(MTInputs!$J$1:$AZ$415,$D72,MATCH(AZ$5,MTInputs!$J$5:$AZ$5,0))</f>
        <v/>
      </c>
      <c r="BA72" s="24">
        <f>INDEX(MTInputs!$J$1:$AZ$415,$D72,MATCH(BA$5,MTInputs!$J$5:$AZ$5,0))</f>
        <v/>
      </c>
    </row>
    <row r="73" hidden="1" outlineLevel="1">
      <c r="A73" s="14" t="inlineStr">
        <is>
          <t>fpr.f</t>
        </is>
      </c>
      <c r="B73" s="14" t="inlineStr">
        <is>
          <t>ecy</t>
        </is>
      </c>
      <c r="C73" s="14" t="inlineStr">
        <is>
          <t>ind</t>
        </is>
      </c>
      <c r="D73" s="22" t="n">
        <v>163</v>
      </c>
      <c r="H73" s="14">
        <f>INDEX(VarLab,MATCH($A73,VarKey,0))&amp;INDEX(MemLab,MATCH($C73&amp;"|"&amp;$B73,MemKey,0))</f>
        <v/>
      </c>
      <c r="I73" s="14">
        <f>INDEX(VarUnit,MATCH($A73,VarKey,0))</f>
        <v/>
      </c>
      <c r="J73" s="14">
        <f>INDEX(VarSrc,MATCH($A73,VarKey,0))</f>
        <v/>
      </c>
      <c r="K73" s="11">
        <f>CodePrefix&amp;$A73&amp;IF($C73="","","."&amp;$C73&amp;"."&amp;$B73)&amp;INDEX(VarEnd,MATCH($A73,VarKey,0))&amp;K$5</f>
        <v/>
      </c>
      <c r="L73" s="23">
        <f>INDEX(MTInputs!$J$1:$AZ$415,$D73,MATCH(L$5,MTInputs!$J$5:$AZ$5,0))</f>
        <v/>
      </c>
      <c r="M73" s="24">
        <f>INDEX(MTInputs!$J$1:$AZ$415,$D73,MATCH(M$5,MTInputs!$J$5:$AZ$5,0))</f>
        <v/>
      </c>
      <c r="N73" s="24">
        <f>INDEX(MTInputs!$J$1:$AZ$415,$D73,MATCH(N$5,MTInputs!$J$5:$AZ$5,0))</f>
        <v/>
      </c>
      <c r="O73" s="24">
        <f>INDEX(MTInputs!$J$1:$AZ$415,$D73,MATCH(O$5,MTInputs!$J$5:$AZ$5,0))</f>
        <v/>
      </c>
      <c r="P73" s="24">
        <f>INDEX(MTInputs!$J$1:$AZ$415,$D73,MATCH(P$5,MTInputs!$J$5:$AZ$5,0))</f>
        <v/>
      </c>
      <c r="Q73" s="24">
        <f>INDEX(MTInputs!$J$1:$AZ$415,$D73,MATCH(Q$5,MTInputs!$J$5:$AZ$5,0))</f>
        <v/>
      </c>
      <c r="R73" s="24">
        <f>INDEX(MTInputs!$J$1:$AZ$415,$D73,MATCH(R$5,MTInputs!$J$5:$AZ$5,0))</f>
        <v/>
      </c>
      <c r="S73" s="24">
        <f>INDEX(MTInputs!$J$1:$AZ$415,$D73,MATCH(S$5,MTInputs!$J$5:$AZ$5,0))</f>
        <v/>
      </c>
      <c r="T73" s="24">
        <f>INDEX(MTInputs!$J$1:$AZ$415,$D73,MATCH(T$5,MTInputs!$J$5:$AZ$5,0))</f>
        <v/>
      </c>
      <c r="U73" s="24">
        <f>INDEX(MTInputs!$J$1:$AZ$415,$D73,MATCH(U$5,MTInputs!$J$5:$AZ$5,0))</f>
        <v/>
      </c>
      <c r="V73" s="24">
        <f>INDEX(MTInputs!$J$1:$AZ$415,$D73,MATCH(V$5,MTInputs!$J$5:$AZ$5,0))</f>
        <v/>
      </c>
      <c r="W73" s="24">
        <f>INDEX(MTInputs!$J$1:$AZ$415,$D73,MATCH(W$5,MTInputs!$J$5:$AZ$5,0))</f>
        <v/>
      </c>
      <c r="X73" s="24">
        <f>INDEX(MTInputs!$J$1:$AZ$415,$D73,MATCH(X$5,MTInputs!$J$5:$AZ$5,0))</f>
        <v/>
      </c>
      <c r="Y73" s="24">
        <f>INDEX(MTInputs!$J$1:$AZ$415,$D73,MATCH(Y$5,MTInputs!$J$5:$AZ$5,0))</f>
        <v/>
      </c>
      <c r="Z73" s="24">
        <f>INDEX(MTInputs!$J$1:$AZ$415,$D73,MATCH(Z$5,MTInputs!$J$5:$AZ$5,0))</f>
        <v/>
      </c>
      <c r="AA73" s="24">
        <f>INDEX(MTInputs!$J$1:$AZ$415,$D73,MATCH(AA$5,MTInputs!$J$5:$AZ$5,0))</f>
        <v/>
      </c>
      <c r="AB73" s="24">
        <f>INDEX(MTInputs!$J$1:$AZ$415,$D73,MATCH(AB$5,MTInputs!$J$5:$AZ$5,0))</f>
        <v/>
      </c>
      <c r="AC73" s="24">
        <f>INDEX(MTInputs!$J$1:$AZ$415,$D73,MATCH(AC$5,MTInputs!$J$5:$AZ$5,0))</f>
        <v/>
      </c>
      <c r="AD73" s="24">
        <f>INDEX(MTInputs!$J$1:$AZ$415,$D73,MATCH(AD$5,MTInputs!$J$5:$AZ$5,0))</f>
        <v/>
      </c>
      <c r="AE73" s="24">
        <f>INDEX(MTInputs!$J$1:$AZ$415,$D73,MATCH(AE$5,MTInputs!$J$5:$AZ$5,0))</f>
        <v/>
      </c>
      <c r="AG73" s="11">
        <f>CodePrefix&amp;$A73&amp;IF($C73="","","."&amp;$C73&amp;"."&amp;$B73)&amp;INDEX(VarEnd,MATCH($A73,VarKey,0))&amp;AG$5</f>
        <v/>
      </c>
      <c r="AH73" s="23">
        <f>INDEX(MTInputs!$J$1:$AZ$415,$D73,MATCH(AH$5,MTInputs!$J$5:$AZ$5,0))</f>
        <v/>
      </c>
      <c r="AI73" s="24">
        <f>INDEX(MTInputs!$J$1:$AZ$415,$D73,MATCH(AI$5,MTInputs!$J$5:$AZ$5,0))</f>
        <v/>
      </c>
      <c r="AJ73" s="24">
        <f>INDEX(MTInputs!$J$1:$AZ$415,$D73,MATCH(AJ$5,MTInputs!$J$5:$AZ$5,0))</f>
        <v/>
      </c>
      <c r="AK73" s="24">
        <f>INDEX(MTInputs!$J$1:$AZ$415,$D73,MATCH(AK$5,MTInputs!$J$5:$AZ$5,0))</f>
        <v/>
      </c>
      <c r="AL73" s="24">
        <f>INDEX(MTInputs!$J$1:$AZ$415,$D73,MATCH(AL$5,MTInputs!$J$5:$AZ$5,0))</f>
        <v/>
      </c>
      <c r="AM73" s="24">
        <f>INDEX(MTInputs!$J$1:$AZ$415,$D73,MATCH(AM$5,MTInputs!$J$5:$AZ$5,0))</f>
        <v/>
      </c>
      <c r="AN73" s="24">
        <f>INDEX(MTInputs!$J$1:$AZ$415,$D73,MATCH(AN$5,MTInputs!$J$5:$AZ$5,0))</f>
        <v/>
      </c>
      <c r="AO73" s="24">
        <f>INDEX(MTInputs!$J$1:$AZ$415,$D73,MATCH(AO$5,MTInputs!$J$5:$AZ$5,0))</f>
        <v/>
      </c>
      <c r="AP73" s="24">
        <f>INDEX(MTInputs!$J$1:$AZ$415,$D73,MATCH(AP$5,MTInputs!$J$5:$AZ$5,0))</f>
        <v/>
      </c>
      <c r="AQ73" s="24">
        <f>INDEX(MTInputs!$J$1:$AZ$415,$D73,MATCH(AQ$5,MTInputs!$J$5:$AZ$5,0))</f>
        <v/>
      </c>
      <c r="AR73" s="24">
        <f>INDEX(MTInputs!$J$1:$AZ$415,$D73,MATCH(AR$5,MTInputs!$J$5:$AZ$5,0))</f>
        <v/>
      </c>
      <c r="AS73" s="24">
        <f>INDEX(MTInputs!$J$1:$AZ$415,$D73,MATCH(AS$5,MTInputs!$J$5:$AZ$5,0))</f>
        <v/>
      </c>
      <c r="AT73" s="24">
        <f>INDEX(MTInputs!$J$1:$AZ$415,$D73,MATCH(AT$5,MTInputs!$J$5:$AZ$5,0))</f>
        <v/>
      </c>
      <c r="AU73" s="24">
        <f>INDEX(MTInputs!$J$1:$AZ$415,$D73,MATCH(AU$5,MTInputs!$J$5:$AZ$5,0))</f>
        <v/>
      </c>
      <c r="AV73" s="24">
        <f>INDEX(MTInputs!$J$1:$AZ$415,$D73,MATCH(AV$5,MTInputs!$J$5:$AZ$5,0))</f>
        <v/>
      </c>
      <c r="AW73" s="24">
        <f>INDEX(MTInputs!$J$1:$AZ$415,$D73,MATCH(AW$5,MTInputs!$J$5:$AZ$5,0))</f>
        <v/>
      </c>
      <c r="AX73" s="24">
        <f>INDEX(MTInputs!$J$1:$AZ$415,$D73,MATCH(AX$5,MTInputs!$J$5:$AZ$5,0))</f>
        <v/>
      </c>
      <c r="AY73" s="24">
        <f>INDEX(MTInputs!$J$1:$AZ$415,$D73,MATCH(AY$5,MTInputs!$J$5:$AZ$5,0))</f>
        <v/>
      </c>
      <c r="AZ73" s="24">
        <f>INDEX(MTInputs!$J$1:$AZ$415,$D73,MATCH(AZ$5,MTInputs!$J$5:$AZ$5,0))</f>
        <v/>
      </c>
      <c r="BA73" s="24">
        <f>INDEX(MTInputs!$J$1:$AZ$415,$D73,MATCH(BA$5,MTInputs!$J$5:$AZ$5,0))</f>
        <v/>
      </c>
    </row>
    <row r="74" hidden="1" outlineLevel="1">
      <c r="A74" s="14" t="inlineStr">
        <is>
          <t>fpr.f</t>
        </is>
      </c>
      <c r="B74" s="14" t="inlineStr">
        <is>
          <t>gso</t>
        </is>
      </c>
      <c r="C74" s="14" t="inlineStr">
        <is>
          <t>all</t>
        </is>
      </c>
      <c r="D74" s="22" t="n">
        <v>164</v>
      </c>
      <c r="H74" s="14">
        <f>INDEX(VarLab,MATCH($A74,VarKey,0))&amp;INDEX(MemLab,MATCH($C74&amp;"|"&amp;$B74,MemKey,0))</f>
        <v/>
      </c>
      <c r="I74" s="14">
        <f>INDEX(VarUnit,MATCH($A74,VarKey,0))</f>
        <v/>
      </c>
      <c r="J74" s="14">
        <f>INDEX(VarSrc,MATCH($A74,VarKey,0))</f>
        <v/>
      </c>
      <c r="K74" s="11">
        <f>CodePrefix&amp;$A74&amp;IF($C74="","","."&amp;$C74&amp;"."&amp;$B74)&amp;INDEX(VarEnd,MATCH($A74,VarKey,0))&amp;K$5</f>
        <v/>
      </c>
      <c r="L74" s="23">
        <f>INDEX(MTInputs!$J$1:$AZ$415,$D74,MATCH(L$5,MTInputs!$J$5:$AZ$5,0))</f>
        <v/>
      </c>
      <c r="M74" s="24">
        <f>INDEX(MTInputs!$J$1:$AZ$415,$D74,MATCH(M$5,MTInputs!$J$5:$AZ$5,0))</f>
        <v/>
      </c>
      <c r="N74" s="24">
        <f>INDEX(MTInputs!$J$1:$AZ$415,$D74,MATCH(N$5,MTInputs!$J$5:$AZ$5,0))</f>
        <v/>
      </c>
      <c r="O74" s="24">
        <f>INDEX(MTInputs!$J$1:$AZ$415,$D74,MATCH(O$5,MTInputs!$J$5:$AZ$5,0))</f>
        <v/>
      </c>
      <c r="P74" s="24">
        <f>INDEX(MTInputs!$J$1:$AZ$415,$D74,MATCH(P$5,MTInputs!$J$5:$AZ$5,0))</f>
        <v/>
      </c>
      <c r="Q74" s="24">
        <f>INDEX(MTInputs!$J$1:$AZ$415,$D74,MATCH(Q$5,MTInputs!$J$5:$AZ$5,0))</f>
        <v/>
      </c>
      <c r="R74" s="24">
        <f>INDEX(MTInputs!$J$1:$AZ$415,$D74,MATCH(R$5,MTInputs!$J$5:$AZ$5,0))</f>
        <v/>
      </c>
      <c r="S74" s="24">
        <f>INDEX(MTInputs!$J$1:$AZ$415,$D74,MATCH(S$5,MTInputs!$J$5:$AZ$5,0))</f>
        <v/>
      </c>
      <c r="T74" s="24">
        <f>INDEX(MTInputs!$J$1:$AZ$415,$D74,MATCH(T$5,MTInputs!$J$5:$AZ$5,0))</f>
        <v/>
      </c>
      <c r="U74" s="24">
        <f>INDEX(MTInputs!$J$1:$AZ$415,$D74,MATCH(U$5,MTInputs!$J$5:$AZ$5,0))</f>
        <v/>
      </c>
      <c r="V74" s="24">
        <f>INDEX(MTInputs!$J$1:$AZ$415,$D74,MATCH(V$5,MTInputs!$J$5:$AZ$5,0))</f>
        <v/>
      </c>
      <c r="W74" s="24">
        <f>INDEX(MTInputs!$J$1:$AZ$415,$D74,MATCH(W$5,MTInputs!$J$5:$AZ$5,0))</f>
        <v/>
      </c>
      <c r="X74" s="24">
        <f>INDEX(MTInputs!$J$1:$AZ$415,$D74,MATCH(X$5,MTInputs!$J$5:$AZ$5,0))</f>
        <v/>
      </c>
      <c r="Y74" s="24">
        <f>INDEX(MTInputs!$J$1:$AZ$415,$D74,MATCH(Y$5,MTInputs!$J$5:$AZ$5,0))</f>
        <v/>
      </c>
      <c r="Z74" s="24">
        <f>INDEX(MTInputs!$J$1:$AZ$415,$D74,MATCH(Z$5,MTInputs!$J$5:$AZ$5,0))</f>
        <v/>
      </c>
      <c r="AA74" s="24">
        <f>INDEX(MTInputs!$J$1:$AZ$415,$D74,MATCH(AA$5,MTInputs!$J$5:$AZ$5,0))</f>
        <v/>
      </c>
      <c r="AB74" s="24">
        <f>INDEX(MTInputs!$J$1:$AZ$415,$D74,MATCH(AB$5,MTInputs!$J$5:$AZ$5,0))</f>
        <v/>
      </c>
      <c r="AC74" s="24">
        <f>INDEX(MTInputs!$J$1:$AZ$415,$D74,MATCH(AC$5,MTInputs!$J$5:$AZ$5,0))</f>
        <v/>
      </c>
      <c r="AD74" s="24">
        <f>INDEX(MTInputs!$J$1:$AZ$415,$D74,MATCH(AD$5,MTInputs!$J$5:$AZ$5,0))</f>
        <v/>
      </c>
      <c r="AE74" s="24">
        <f>INDEX(MTInputs!$J$1:$AZ$415,$D74,MATCH(AE$5,MTInputs!$J$5:$AZ$5,0))</f>
        <v/>
      </c>
      <c r="AG74" s="11">
        <f>CodePrefix&amp;$A74&amp;IF($C74="","","."&amp;$C74&amp;"."&amp;$B74)&amp;INDEX(VarEnd,MATCH($A74,VarKey,0))&amp;AG$5</f>
        <v/>
      </c>
      <c r="AH74" s="23">
        <f>INDEX(MTInputs!$J$1:$AZ$415,$D74,MATCH(AH$5,MTInputs!$J$5:$AZ$5,0))</f>
        <v/>
      </c>
      <c r="AI74" s="24">
        <f>INDEX(MTInputs!$J$1:$AZ$415,$D74,MATCH(AI$5,MTInputs!$J$5:$AZ$5,0))</f>
        <v/>
      </c>
      <c r="AJ74" s="24">
        <f>INDEX(MTInputs!$J$1:$AZ$415,$D74,MATCH(AJ$5,MTInputs!$J$5:$AZ$5,0))</f>
        <v/>
      </c>
      <c r="AK74" s="24">
        <f>INDEX(MTInputs!$J$1:$AZ$415,$D74,MATCH(AK$5,MTInputs!$J$5:$AZ$5,0))</f>
        <v/>
      </c>
      <c r="AL74" s="24">
        <f>INDEX(MTInputs!$J$1:$AZ$415,$D74,MATCH(AL$5,MTInputs!$J$5:$AZ$5,0))</f>
        <v/>
      </c>
      <c r="AM74" s="24">
        <f>INDEX(MTInputs!$J$1:$AZ$415,$D74,MATCH(AM$5,MTInputs!$J$5:$AZ$5,0))</f>
        <v/>
      </c>
      <c r="AN74" s="24">
        <f>INDEX(MTInputs!$J$1:$AZ$415,$D74,MATCH(AN$5,MTInputs!$J$5:$AZ$5,0))</f>
        <v/>
      </c>
      <c r="AO74" s="24">
        <f>INDEX(MTInputs!$J$1:$AZ$415,$D74,MATCH(AO$5,MTInputs!$J$5:$AZ$5,0))</f>
        <v/>
      </c>
      <c r="AP74" s="24">
        <f>INDEX(MTInputs!$J$1:$AZ$415,$D74,MATCH(AP$5,MTInputs!$J$5:$AZ$5,0))</f>
        <v/>
      </c>
      <c r="AQ74" s="24">
        <f>INDEX(MTInputs!$J$1:$AZ$415,$D74,MATCH(AQ$5,MTInputs!$J$5:$AZ$5,0))</f>
        <v/>
      </c>
      <c r="AR74" s="24">
        <f>INDEX(MTInputs!$J$1:$AZ$415,$D74,MATCH(AR$5,MTInputs!$J$5:$AZ$5,0))</f>
        <v/>
      </c>
      <c r="AS74" s="24">
        <f>INDEX(MTInputs!$J$1:$AZ$415,$D74,MATCH(AS$5,MTInputs!$J$5:$AZ$5,0))</f>
        <v/>
      </c>
      <c r="AT74" s="24">
        <f>INDEX(MTInputs!$J$1:$AZ$415,$D74,MATCH(AT$5,MTInputs!$J$5:$AZ$5,0))</f>
        <v/>
      </c>
      <c r="AU74" s="24">
        <f>INDEX(MTInputs!$J$1:$AZ$415,$D74,MATCH(AU$5,MTInputs!$J$5:$AZ$5,0))</f>
        <v/>
      </c>
      <c r="AV74" s="24">
        <f>INDEX(MTInputs!$J$1:$AZ$415,$D74,MATCH(AV$5,MTInputs!$J$5:$AZ$5,0))</f>
        <v/>
      </c>
      <c r="AW74" s="24">
        <f>INDEX(MTInputs!$J$1:$AZ$415,$D74,MATCH(AW$5,MTInputs!$J$5:$AZ$5,0))</f>
        <v/>
      </c>
      <c r="AX74" s="24">
        <f>INDEX(MTInputs!$J$1:$AZ$415,$D74,MATCH(AX$5,MTInputs!$J$5:$AZ$5,0))</f>
        <v/>
      </c>
      <c r="AY74" s="24">
        <f>INDEX(MTInputs!$J$1:$AZ$415,$D74,MATCH(AY$5,MTInputs!$J$5:$AZ$5,0))</f>
        <v/>
      </c>
      <c r="AZ74" s="24">
        <f>INDEX(MTInputs!$J$1:$AZ$415,$D74,MATCH(AZ$5,MTInputs!$J$5:$AZ$5,0))</f>
        <v/>
      </c>
      <c r="BA74" s="24">
        <f>INDEX(MTInputs!$J$1:$AZ$415,$D74,MATCH(BA$5,MTInputs!$J$5:$AZ$5,0))</f>
        <v/>
      </c>
    </row>
    <row r="75" hidden="1" outlineLevel="1">
      <c r="A75" s="14" t="inlineStr">
        <is>
          <t>fpr.f</t>
        </is>
      </c>
      <c r="B75" s="14" t="inlineStr">
        <is>
          <t>die</t>
        </is>
      </c>
      <c r="C75" s="14" t="inlineStr">
        <is>
          <t>all</t>
        </is>
      </c>
      <c r="D75" s="22" t="n">
        <v>165</v>
      </c>
      <c r="H75" s="14">
        <f>INDEX(VarLab,MATCH($A75,VarKey,0))&amp;INDEX(MemLab,MATCH($C75&amp;"|"&amp;$B75,MemKey,0))</f>
        <v/>
      </c>
      <c r="I75" s="14">
        <f>INDEX(VarUnit,MATCH($A75,VarKey,0))</f>
        <v/>
      </c>
      <c r="J75" s="14">
        <f>INDEX(VarSrc,MATCH($A75,VarKey,0))</f>
        <v/>
      </c>
      <c r="K75" s="11">
        <f>CodePrefix&amp;$A75&amp;IF($C75="","","."&amp;$C75&amp;"."&amp;$B75)&amp;INDEX(VarEnd,MATCH($A75,VarKey,0))&amp;K$5</f>
        <v/>
      </c>
      <c r="L75" s="23">
        <f>INDEX(MTInputs!$J$1:$AZ$415,$D75,MATCH(L$5,MTInputs!$J$5:$AZ$5,0))</f>
        <v/>
      </c>
      <c r="M75" s="24">
        <f>INDEX(MTInputs!$J$1:$AZ$415,$D75,MATCH(M$5,MTInputs!$J$5:$AZ$5,0))</f>
        <v/>
      </c>
      <c r="N75" s="24">
        <f>INDEX(MTInputs!$J$1:$AZ$415,$D75,MATCH(N$5,MTInputs!$J$5:$AZ$5,0))</f>
        <v/>
      </c>
      <c r="O75" s="24">
        <f>INDEX(MTInputs!$J$1:$AZ$415,$D75,MATCH(O$5,MTInputs!$J$5:$AZ$5,0))</f>
        <v/>
      </c>
      <c r="P75" s="24">
        <f>INDEX(MTInputs!$J$1:$AZ$415,$D75,MATCH(P$5,MTInputs!$J$5:$AZ$5,0))</f>
        <v/>
      </c>
      <c r="Q75" s="24">
        <f>INDEX(MTInputs!$J$1:$AZ$415,$D75,MATCH(Q$5,MTInputs!$J$5:$AZ$5,0))</f>
        <v/>
      </c>
      <c r="R75" s="24">
        <f>INDEX(MTInputs!$J$1:$AZ$415,$D75,MATCH(R$5,MTInputs!$J$5:$AZ$5,0))</f>
        <v/>
      </c>
      <c r="S75" s="24">
        <f>INDEX(MTInputs!$J$1:$AZ$415,$D75,MATCH(S$5,MTInputs!$J$5:$AZ$5,0))</f>
        <v/>
      </c>
      <c r="T75" s="24">
        <f>INDEX(MTInputs!$J$1:$AZ$415,$D75,MATCH(T$5,MTInputs!$J$5:$AZ$5,0))</f>
        <v/>
      </c>
      <c r="U75" s="24">
        <f>INDEX(MTInputs!$J$1:$AZ$415,$D75,MATCH(U$5,MTInputs!$J$5:$AZ$5,0))</f>
        <v/>
      </c>
      <c r="V75" s="24">
        <f>INDEX(MTInputs!$J$1:$AZ$415,$D75,MATCH(V$5,MTInputs!$J$5:$AZ$5,0))</f>
        <v/>
      </c>
      <c r="W75" s="24">
        <f>INDEX(MTInputs!$J$1:$AZ$415,$D75,MATCH(W$5,MTInputs!$J$5:$AZ$5,0))</f>
        <v/>
      </c>
      <c r="X75" s="24">
        <f>INDEX(MTInputs!$J$1:$AZ$415,$D75,MATCH(X$5,MTInputs!$J$5:$AZ$5,0))</f>
        <v/>
      </c>
      <c r="Y75" s="24">
        <f>INDEX(MTInputs!$J$1:$AZ$415,$D75,MATCH(Y$5,MTInputs!$J$5:$AZ$5,0))</f>
        <v/>
      </c>
      <c r="Z75" s="24">
        <f>INDEX(MTInputs!$J$1:$AZ$415,$D75,MATCH(Z$5,MTInputs!$J$5:$AZ$5,0))</f>
        <v/>
      </c>
      <c r="AA75" s="24">
        <f>INDEX(MTInputs!$J$1:$AZ$415,$D75,MATCH(AA$5,MTInputs!$J$5:$AZ$5,0))</f>
        <v/>
      </c>
      <c r="AB75" s="24">
        <f>INDEX(MTInputs!$J$1:$AZ$415,$D75,MATCH(AB$5,MTInputs!$J$5:$AZ$5,0))</f>
        <v/>
      </c>
      <c r="AC75" s="24">
        <f>INDEX(MTInputs!$J$1:$AZ$415,$D75,MATCH(AC$5,MTInputs!$J$5:$AZ$5,0))</f>
        <v/>
      </c>
      <c r="AD75" s="24">
        <f>INDEX(MTInputs!$J$1:$AZ$415,$D75,MATCH(AD$5,MTInputs!$J$5:$AZ$5,0))</f>
        <v/>
      </c>
      <c r="AE75" s="24">
        <f>INDEX(MTInputs!$J$1:$AZ$415,$D75,MATCH(AE$5,MTInputs!$J$5:$AZ$5,0))</f>
        <v/>
      </c>
      <c r="AG75" s="11">
        <f>CodePrefix&amp;$A75&amp;IF($C75="","","."&amp;$C75&amp;"."&amp;$B75)&amp;INDEX(VarEnd,MATCH($A75,VarKey,0))&amp;AG$5</f>
        <v/>
      </c>
      <c r="AH75" s="23">
        <f>INDEX(MTInputs!$J$1:$AZ$415,$D75,MATCH(AH$5,MTInputs!$J$5:$AZ$5,0))</f>
        <v/>
      </c>
      <c r="AI75" s="24">
        <f>INDEX(MTInputs!$J$1:$AZ$415,$D75,MATCH(AI$5,MTInputs!$J$5:$AZ$5,0))</f>
        <v/>
      </c>
      <c r="AJ75" s="24">
        <f>INDEX(MTInputs!$J$1:$AZ$415,$D75,MATCH(AJ$5,MTInputs!$J$5:$AZ$5,0))</f>
        <v/>
      </c>
      <c r="AK75" s="24">
        <f>INDEX(MTInputs!$J$1:$AZ$415,$D75,MATCH(AK$5,MTInputs!$J$5:$AZ$5,0))</f>
        <v/>
      </c>
      <c r="AL75" s="24">
        <f>INDEX(MTInputs!$J$1:$AZ$415,$D75,MATCH(AL$5,MTInputs!$J$5:$AZ$5,0))</f>
        <v/>
      </c>
      <c r="AM75" s="24">
        <f>INDEX(MTInputs!$J$1:$AZ$415,$D75,MATCH(AM$5,MTInputs!$J$5:$AZ$5,0))</f>
        <v/>
      </c>
      <c r="AN75" s="24">
        <f>INDEX(MTInputs!$J$1:$AZ$415,$D75,MATCH(AN$5,MTInputs!$J$5:$AZ$5,0))</f>
        <v/>
      </c>
      <c r="AO75" s="24">
        <f>INDEX(MTInputs!$J$1:$AZ$415,$D75,MATCH(AO$5,MTInputs!$J$5:$AZ$5,0))</f>
        <v/>
      </c>
      <c r="AP75" s="24">
        <f>INDEX(MTInputs!$J$1:$AZ$415,$D75,MATCH(AP$5,MTInputs!$J$5:$AZ$5,0))</f>
        <v/>
      </c>
      <c r="AQ75" s="24">
        <f>INDEX(MTInputs!$J$1:$AZ$415,$D75,MATCH(AQ$5,MTInputs!$J$5:$AZ$5,0))</f>
        <v/>
      </c>
      <c r="AR75" s="24">
        <f>INDEX(MTInputs!$J$1:$AZ$415,$D75,MATCH(AR$5,MTInputs!$J$5:$AZ$5,0))</f>
        <v/>
      </c>
      <c r="AS75" s="24">
        <f>INDEX(MTInputs!$J$1:$AZ$415,$D75,MATCH(AS$5,MTInputs!$J$5:$AZ$5,0))</f>
        <v/>
      </c>
      <c r="AT75" s="24">
        <f>INDEX(MTInputs!$J$1:$AZ$415,$D75,MATCH(AT$5,MTInputs!$J$5:$AZ$5,0))</f>
        <v/>
      </c>
      <c r="AU75" s="24">
        <f>INDEX(MTInputs!$J$1:$AZ$415,$D75,MATCH(AU$5,MTInputs!$J$5:$AZ$5,0))</f>
        <v/>
      </c>
      <c r="AV75" s="24">
        <f>INDEX(MTInputs!$J$1:$AZ$415,$D75,MATCH(AV$5,MTInputs!$J$5:$AZ$5,0))</f>
        <v/>
      </c>
      <c r="AW75" s="24">
        <f>INDEX(MTInputs!$J$1:$AZ$415,$D75,MATCH(AW$5,MTInputs!$J$5:$AZ$5,0))</f>
        <v/>
      </c>
      <c r="AX75" s="24">
        <f>INDEX(MTInputs!$J$1:$AZ$415,$D75,MATCH(AX$5,MTInputs!$J$5:$AZ$5,0))</f>
        <v/>
      </c>
      <c r="AY75" s="24">
        <f>INDEX(MTInputs!$J$1:$AZ$415,$D75,MATCH(AY$5,MTInputs!$J$5:$AZ$5,0))</f>
        <v/>
      </c>
      <c r="AZ75" s="24">
        <f>INDEX(MTInputs!$J$1:$AZ$415,$D75,MATCH(AZ$5,MTInputs!$J$5:$AZ$5,0))</f>
        <v/>
      </c>
      <c r="BA75" s="24">
        <f>INDEX(MTInputs!$J$1:$AZ$415,$D75,MATCH(BA$5,MTInputs!$J$5:$AZ$5,0))</f>
        <v/>
      </c>
    </row>
    <row r="76" hidden="1" outlineLevel="1">
      <c r="A76" s="14" t="inlineStr">
        <is>
          <t>fpr.f</t>
        </is>
      </c>
      <c r="B76" s="14" t="inlineStr">
        <is>
          <t>lpg</t>
        </is>
      </c>
      <c r="C76" s="14" t="inlineStr">
        <is>
          <t>all</t>
        </is>
      </c>
      <c r="D76" s="22" t="n">
        <v>166</v>
      </c>
      <c r="H76" s="14">
        <f>INDEX(VarLab,MATCH($A76,VarKey,0))&amp;INDEX(MemLab,MATCH($C76&amp;"|"&amp;$B76,MemKey,0))</f>
        <v/>
      </c>
      <c r="I76" s="14">
        <f>INDEX(VarUnit,MATCH($A76,VarKey,0))</f>
        <v/>
      </c>
      <c r="J76" s="14">
        <f>INDEX(VarSrc,MATCH($A76,VarKey,0))</f>
        <v/>
      </c>
      <c r="K76" s="11">
        <f>CodePrefix&amp;$A76&amp;IF($C76="","","."&amp;$C76&amp;"."&amp;$B76)&amp;INDEX(VarEnd,MATCH($A76,VarKey,0))&amp;K$5</f>
        <v/>
      </c>
      <c r="L76" s="23">
        <f>INDEX(MTInputs!$J$1:$AZ$415,$D76,MATCH(L$5,MTInputs!$J$5:$AZ$5,0))</f>
        <v/>
      </c>
      <c r="M76" s="24">
        <f>INDEX(MTInputs!$J$1:$AZ$415,$D76,MATCH(M$5,MTInputs!$J$5:$AZ$5,0))</f>
        <v/>
      </c>
      <c r="N76" s="24">
        <f>INDEX(MTInputs!$J$1:$AZ$415,$D76,MATCH(N$5,MTInputs!$J$5:$AZ$5,0))</f>
        <v/>
      </c>
      <c r="O76" s="24">
        <f>INDEX(MTInputs!$J$1:$AZ$415,$D76,MATCH(O$5,MTInputs!$J$5:$AZ$5,0))</f>
        <v/>
      </c>
      <c r="P76" s="24">
        <f>INDEX(MTInputs!$J$1:$AZ$415,$D76,MATCH(P$5,MTInputs!$J$5:$AZ$5,0))</f>
        <v/>
      </c>
      <c r="Q76" s="24">
        <f>INDEX(MTInputs!$J$1:$AZ$415,$D76,MATCH(Q$5,MTInputs!$J$5:$AZ$5,0))</f>
        <v/>
      </c>
      <c r="R76" s="24">
        <f>INDEX(MTInputs!$J$1:$AZ$415,$D76,MATCH(R$5,MTInputs!$J$5:$AZ$5,0))</f>
        <v/>
      </c>
      <c r="S76" s="24">
        <f>INDEX(MTInputs!$J$1:$AZ$415,$D76,MATCH(S$5,MTInputs!$J$5:$AZ$5,0))</f>
        <v/>
      </c>
      <c r="T76" s="24">
        <f>INDEX(MTInputs!$J$1:$AZ$415,$D76,MATCH(T$5,MTInputs!$J$5:$AZ$5,0))</f>
        <v/>
      </c>
      <c r="U76" s="24">
        <f>INDEX(MTInputs!$J$1:$AZ$415,$D76,MATCH(U$5,MTInputs!$J$5:$AZ$5,0))</f>
        <v/>
      </c>
      <c r="V76" s="24">
        <f>INDEX(MTInputs!$J$1:$AZ$415,$D76,MATCH(V$5,MTInputs!$J$5:$AZ$5,0))</f>
        <v/>
      </c>
      <c r="W76" s="24">
        <f>INDEX(MTInputs!$J$1:$AZ$415,$D76,MATCH(W$5,MTInputs!$J$5:$AZ$5,0))</f>
        <v/>
      </c>
      <c r="X76" s="24">
        <f>INDEX(MTInputs!$J$1:$AZ$415,$D76,MATCH(X$5,MTInputs!$J$5:$AZ$5,0))</f>
        <v/>
      </c>
      <c r="Y76" s="24">
        <f>INDEX(MTInputs!$J$1:$AZ$415,$D76,MATCH(Y$5,MTInputs!$J$5:$AZ$5,0))</f>
        <v/>
      </c>
      <c r="Z76" s="24">
        <f>INDEX(MTInputs!$J$1:$AZ$415,$D76,MATCH(Z$5,MTInputs!$J$5:$AZ$5,0))</f>
        <v/>
      </c>
      <c r="AA76" s="24">
        <f>INDEX(MTInputs!$J$1:$AZ$415,$D76,MATCH(AA$5,MTInputs!$J$5:$AZ$5,0))</f>
        <v/>
      </c>
      <c r="AB76" s="24">
        <f>INDEX(MTInputs!$J$1:$AZ$415,$D76,MATCH(AB$5,MTInputs!$J$5:$AZ$5,0))</f>
        <v/>
      </c>
      <c r="AC76" s="24">
        <f>INDEX(MTInputs!$J$1:$AZ$415,$D76,MATCH(AC$5,MTInputs!$J$5:$AZ$5,0))</f>
        <v/>
      </c>
      <c r="AD76" s="24">
        <f>INDEX(MTInputs!$J$1:$AZ$415,$D76,MATCH(AD$5,MTInputs!$J$5:$AZ$5,0))</f>
        <v/>
      </c>
      <c r="AE76" s="24">
        <f>INDEX(MTInputs!$J$1:$AZ$415,$D76,MATCH(AE$5,MTInputs!$J$5:$AZ$5,0))</f>
        <v/>
      </c>
      <c r="AG76" s="11">
        <f>CodePrefix&amp;$A76&amp;IF($C76="","","."&amp;$C76&amp;"."&amp;$B76)&amp;INDEX(VarEnd,MATCH($A76,VarKey,0))&amp;AG$5</f>
        <v/>
      </c>
      <c r="AH76" s="23">
        <f>INDEX(MTInputs!$J$1:$AZ$415,$D76,MATCH(AH$5,MTInputs!$J$5:$AZ$5,0))</f>
        <v/>
      </c>
      <c r="AI76" s="24">
        <f>INDEX(MTInputs!$J$1:$AZ$415,$D76,MATCH(AI$5,MTInputs!$J$5:$AZ$5,0))</f>
        <v/>
      </c>
      <c r="AJ76" s="24">
        <f>INDEX(MTInputs!$J$1:$AZ$415,$D76,MATCH(AJ$5,MTInputs!$J$5:$AZ$5,0))</f>
        <v/>
      </c>
      <c r="AK76" s="24">
        <f>INDEX(MTInputs!$J$1:$AZ$415,$D76,MATCH(AK$5,MTInputs!$J$5:$AZ$5,0))</f>
        <v/>
      </c>
      <c r="AL76" s="24">
        <f>INDEX(MTInputs!$J$1:$AZ$415,$D76,MATCH(AL$5,MTInputs!$J$5:$AZ$5,0))</f>
        <v/>
      </c>
      <c r="AM76" s="24">
        <f>INDEX(MTInputs!$J$1:$AZ$415,$D76,MATCH(AM$5,MTInputs!$J$5:$AZ$5,0))</f>
        <v/>
      </c>
      <c r="AN76" s="24">
        <f>INDEX(MTInputs!$J$1:$AZ$415,$D76,MATCH(AN$5,MTInputs!$J$5:$AZ$5,0))</f>
        <v/>
      </c>
      <c r="AO76" s="24">
        <f>INDEX(MTInputs!$J$1:$AZ$415,$D76,MATCH(AO$5,MTInputs!$J$5:$AZ$5,0))</f>
        <v/>
      </c>
      <c r="AP76" s="24">
        <f>INDEX(MTInputs!$J$1:$AZ$415,$D76,MATCH(AP$5,MTInputs!$J$5:$AZ$5,0))</f>
        <v/>
      </c>
      <c r="AQ76" s="24">
        <f>INDEX(MTInputs!$J$1:$AZ$415,$D76,MATCH(AQ$5,MTInputs!$J$5:$AZ$5,0))</f>
        <v/>
      </c>
      <c r="AR76" s="24">
        <f>INDEX(MTInputs!$J$1:$AZ$415,$D76,MATCH(AR$5,MTInputs!$J$5:$AZ$5,0))</f>
        <v/>
      </c>
      <c r="AS76" s="24">
        <f>INDEX(MTInputs!$J$1:$AZ$415,$D76,MATCH(AS$5,MTInputs!$J$5:$AZ$5,0))</f>
        <v/>
      </c>
      <c r="AT76" s="24">
        <f>INDEX(MTInputs!$J$1:$AZ$415,$D76,MATCH(AT$5,MTInputs!$J$5:$AZ$5,0))</f>
        <v/>
      </c>
      <c r="AU76" s="24">
        <f>INDEX(MTInputs!$J$1:$AZ$415,$D76,MATCH(AU$5,MTInputs!$J$5:$AZ$5,0))</f>
        <v/>
      </c>
      <c r="AV76" s="24">
        <f>INDEX(MTInputs!$J$1:$AZ$415,$D76,MATCH(AV$5,MTInputs!$J$5:$AZ$5,0))</f>
        <v/>
      </c>
      <c r="AW76" s="24">
        <f>INDEX(MTInputs!$J$1:$AZ$415,$D76,MATCH(AW$5,MTInputs!$J$5:$AZ$5,0))</f>
        <v/>
      </c>
      <c r="AX76" s="24">
        <f>INDEX(MTInputs!$J$1:$AZ$415,$D76,MATCH(AX$5,MTInputs!$J$5:$AZ$5,0))</f>
        <v/>
      </c>
      <c r="AY76" s="24">
        <f>INDEX(MTInputs!$J$1:$AZ$415,$D76,MATCH(AY$5,MTInputs!$J$5:$AZ$5,0))</f>
        <v/>
      </c>
      <c r="AZ76" s="24">
        <f>INDEX(MTInputs!$J$1:$AZ$415,$D76,MATCH(AZ$5,MTInputs!$J$5:$AZ$5,0))</f>
        <v/>
      </c>
      <c r="BA76" s="24">
        <f>INDEX(MTInputs!$J$1:$AZ$415,$D76,MATCH(BA$5,MTInputs!$J$5:$AZ$5,0))</f>
        <v/>
      </c>
    </row>
    <row r="77" hidden="1" outlineLevel="1">
      <c r="A77" s="14" t="inlineStr">
        <is>
          <t>fpr.f</t>
        </is>
      </c>
      <c r="B77" s="14" t="inlineStr">
        <is>
          <t>ker</t>
        </is>
      </c>
      <c r="C77" s="14" t="inlineStr">
        <is>
          <t>all</t>
        </is>
      </c>
      <c r="D77" s="22" t="n">
        <v>167</v>
      </c>
      <c r="H77" s="14">
        <f>INDEX(VarLab,MATCH($A77,VarKey,0))&amp;INDEX(MemLab,MATCH($C77&amp;"|"&amp;$B77,MemKey,0))</f>
        <v/>
      </c>
      <c r="I77" s="14">
        <f>INDEX(VarUnit,MATCH($A77,VarKey,0))</f>
        <v/>
      </c>
      <c r="J77" s="14">
        <f>INDEX(VarSrc,MATCH($A77,VarKey,0))</f>
        <v/>
      </c>
      <c r="K77" s="11">
        <f>CodePrefix&amp;$A77&amp;IF($C77="","","."&amp;$C77&amp;"."&amp;$B77)&amp;INDEX(VarEnd,MATCH($A77,VarKey,0))&amp;K$5</f>
        <v/>
      </c>
      <c r="L77" s="23">
        <f>INDEX(MTInputs!$J$1:$AZ$415,$D77,MATCH(L$5,MTInputs!$J$5:$AZ$5,0))</f>
        <v/>
      </c>
      <c r="M77" s="24">
        <f>INDEX(MTInputs!$J$1:$AZ$415,$D77,MATCH(M$5,MTInputs!$J$5:$AZ$5,0))</f>
        <v/>
      </c>
      <c r="N77" s="24">
        <f>INDEX(MTInputs!$J$1:$AZ$415,$D77,MATCH(N$5,MTInputs!$J$5:$AZ$5,0))</f>
        <v/>
      </c>
      <c r="O77" s="24">
        <f>INDEX(MTInputs!$J$1:$AZ$415,$D77,MATCH(O$5,MTInputs!$J$5:$AZ$5,0))</f>
        <v/>
      </c>
      <c r="P77" s="24">
        <f>INDEX(MTInputs!$J$1:$AZ$415,$D77,MATCH(P$5,MTInputs!$J$5:$AZ$5,0))</f>
        <v/>
      </c>
      <c r="Q77" s="24">
        <f>INDEX(MTInputs!$J$1:$AZ$415,$D77,MATCH(Q$5,MTInputs!$J$5:$AZ$5,0))</f>
        <v/>
      </c>
      <c r="R77" s="24">
        <f>INDEX(MTInputs!$J$1:$AZ$415,$D77,MATCH(R$5,MTInputs!$J$5:$AZ$5,0))</f>
        <v/>
      </c>
      <c r="S77" s="24">
        <f>INDEX(MTInputs!$J$1:$AZ$415,$D77,MATCH(S$5,MTInputs!$J$5:$AZ$5,0))</f>
        <v/>
      </c>
      <c r="T77" s="24">
        <f>INDEX(MTInputs!$J$1:$AZ$415,$D77,MATCH(T$5,MTInputs!$J$5:$AZ$5,0))</f>
        <v/>
      </c>
      <c r="U77" s="24">
        <f>INDEX(MTInputs!$J$1:$AZ$415,$D77,MATCH(U$5,MTInputs!$J$5:$AZ$5,0))</f>
        <v/>
      </c>
      <c r="V77" s="24">
        <f>INDEX(MTInputs!$J$1:$AZ$415,$D77,MATCH(V$5,MTInputs!$J$5:$AZ$5,0))</f>
        <v/>
      </c>
      <c r="W77" s="24">
        <f>INDEX(MTInputs!$J$1:$AZ$415,$D77,MATCH(W$5,MTInputs!$J$5:$AZ$5,0))</f>
        <v/>
      </c>
      <c r="X77" s="24">
        <f>INDEX(MTInputs!$J$1:$AZ$415,$D77,MATCH(X$5,MTInputs!$J$5:$AZ$5,0))</f>
        <v/>
      </c>
      <c r="Y77" s="24">
        <f>INDEX(MTInputs!$J$1:$AZ$415,$D77,MATCH(Y$5,MTInputs!$J$5:$AZ$5,0))</f>
        <v/>
      </c>
      <c r="Z77" s="24">
        <f>INDEX(MTInputs!$J$1:$AZ$415,$D77,MATCH(Z$5,MTInputs!$J$5:$AZ$5,0))</f>
        <v/>
      </c>
      <c r="AA77" s="24">
        <f>INDEX(MTInputs!$J$1:$AZ$415,$D77,MATCH(AA$5,MTInputs!$J$5:$AZ$5,0))</f>
        <v/>
      </c>
      <c r="AB77" s="24">
        <f>INDEX(MTInputs!$J$1:$AZ$415,$D77,MATCH(AB$5,MTInputs!$J$5:$AZ$5,0))</f>
        <v/>
      </c>
      <c r="AC77" s="24">
        <f>INDEX(MTInputs!$J$1:$AZ$415,$D77,MATCH(AC$5,MTInputs!$J$5:$AZ$5,0))</f>
        <v/>
      </c>
      <c r="AD77" s="24">
        <f>INDEX(MTInputs!$J$1:$AZ$415,$D77,MATCH(AD$5,MTInputs!$J$5:$AZ$5,0))</f>
        <v/>
      </c>
      <c r="AE77" s="24">
        <f>INDEX(MTInputs!$J$1:$AZ$415,$D77,MATCH(AE$5,MTInputs!$J$5:$AZ$5,0))</f>
        <v/>
      </c>
      <c r="AG77" s="11">
        <f>CodePrefix&amp;$A77&amp;IF($C77="","","."&amp;$C77&amp;"."&amp;$B77)&amp;INDEX(VarEnd,MATCH($A77,VarKey,0))&amp;AG$5</f>
        <v/>
      </c>
      <c r="AH77" s="23">
        <f>INDEX(MTInputs!$J$1:$AZ$415,$D77,MATCH(AH$5,MTInputs!$J$5:$AZ$5,0))</f>
        <v/>
      </c>
      <c r="AI77" s="24">
        <f>INDEX(MTInputs!$J$1:$AZ$415,$D77,MATCH(AI$5,MTInputs!$J$5:$AZ$5,0))</f>
        <v/>
      </c>
      <c r="AJ77" s="24">
        <f>INDEX(MTInputs!$J$1:$AZ$415,$D77,MATCH(AJ$5,MTInputs!$J$5:$AZ$5,0))</f>
        <v/>
      </c>
      <c r="AK77" s="24">
        <f>INDEX(MTInputs!$J$1:$AZ$415,$D77,MATCH(AK$5,MTInputs!$J$5:$AZ$5,0))</f>
        <v/>
      </c>
      <c r="AL77" s="24">
        <f>INDEX(MTInputs!$J$1:$AZ$415,$D77,MATCH(AL$5,MTInputs!$J$5:$AZ$5,0))</f>
        <v/>
      </c>
      <c r="AM77" s="24">
        <f>INDEX(MTInputs!$J$1:$AZ$415,$D77,MATCH(AM$5,MTInputs!$J$5:$AZ$5,0))</f>
        <v/>
      </c>
      <c r="AN77" s="24">
        <f>INDEX(MTInputs!$J$1:$AZ$415,$D77,MATCH(AN$5,MTInputs!$J$5:$AZ$5,0))</f>
        <v/>
      </c>
      <c r="AO77" s="24">
        <f>INDEX(MTInputs!$J$1:$AZ$415,$D77,MATCH(AO$5,MTInputs!$J$5:$AZ$5,0))</f>
        <v/>
      </c>
      <c r="AP77" s="24">
        <f>INDEX(MTInputs!$J$1:$AZ$415,$D77,MATCH(AP$5,MTInputs!$J$5:$AZ$5,0))</f>
        <v/>
      </c>
      <c r="AQ77" s="24">
        <f>INDEX(MTInputs!$J$1:$AZ$415,$D77,MATCH(AQ$5,MTInputs!$J$5:$AZ$5,0))</f>
        <v/>
      </c>
      <c r="AR77" s="24">
        <f>INDEX(MTInputs!$J$1:$AZ$415,$D77,MATCH(AR$5,MTInputs!$J$5:$AZ$5,0))</f>
        <v/>
      </c>
      <c r="AS77" s="24">
        <f>INDEX(MTInputs!$J$1:$AZ$415,$D77,MATCH(AS$5,MTInputs!$J$5:$AZ$5,0))</f>
        <v/>
      </c>
      <c r="AT77" s="24">
        <f>INDEX(MTInputs!$J$1:$AZ$415,$D77,MATCH(AT$5,MTInputs!$J$5:$AZ$5,0))</f>
        <v/>
      </c>
      <c r="AU77" s="24">
        <f>INDEX(MTInputs!$J$1:$AZ$415,$D77,MATCH(AU$5,MTInputs!$J$5:$AZ$5,0))</f>
        <v/>
      </c>
      <c r="AV77" s="24">
        <f>INDEX(MTInputs!$J$1:$AZ$415,$D77,MATCH(AV$5,MTInputs!$J$5:$AZ$5,0))</f>
        <v/>
      </c>
      <c r="AW77" s="24">
        <f>INDEX(MTInputs!$J$1:$AZ$415,$D77,MATCH(AW$5,MTInputs!$J$5:$AZ$5,0))</f>
        <v/>
      </c>
      <c r="AX77" s="24">
        <f>INDEX(MTInputs!$J$1:$AZ$415,$D77,MATCH(AX$5,MTInputs!$J$5:$AZ$5,0))</f>
        <v/>
      </c>
      <c r="AY77" s="24">
        <f>INDEX(MTInputs!$J$1:$AZ$415,$D77,MATCH(AY$5,MTInputs!$J$5:$AZ$5,0))</f>
        <v/>
      </c>
      <c r="AZ77" s="24">
        <f>INDEX(MTInputs!$J$1:$AZ$415,$D77,MATCH(AZ$5,MTInputs!$J$5:$AZ$5,0))</f>
        <v/>
      </c>
      <c r="BA77" s="24">
        <f>INDEX(MTInputs!$J$1:$AZ$415,$D77,MATCH(BA$5,MTInputs!$J$5:$AZ$5,0))</f>
        <v/>
      </c>
    </row>
    <row r="78" hidden="1" outlineLevel="1">
      <c r="A78" s="14" t="inlineStr">
        <is>
          <t>fpr.f</t>
        </is>
      </c>
      <c r="B78" s="14" t="inlineStr">
        <is>
          <t>oop</t>
        </is>
      </c>
      <c r="C78" s="14" t="inlineStr">
        <is>
          <t>all</t>
        </is>
      </c>
      <c r="D78" s="22" t="n">
        <v>168</v>
      </c>
      <c r="H78" s="14">
        <f>INDEX(VarLab,MATCH($A78,VarKey,0))&amp;INDEX(MemLab,MATCH($C78&amp;"|"&amp;$B78,MemKey,0))</f>
        <v/>
      </c>
      <c r="I78" s="14">
        <f>INDEX(VarUnit,MATCH($A78,VarKey,0))</f>
        <v/>
      </c>
      <c r="J78" s="14">
        <f>INDEX(VarSrc,MATCH($A78,VarKey,0))</f>
        <v/>
      </c>
      <c r="K78" s="11">
        <f>CodePrefix&amp;$A78&amp;IF($C78="","","."&amp;$C78&amp;"."&amp;$B78)&amp;INDEX(VarEnd,MATCH($A78,VarKey,0))&amp;K$5</f>
        <v/>
      </c>
      <c r="L78" s="23">
        <f>INDEX(MTInputs!$J$1:$AZ$415,$D78,MATCH(L$5,MTInputs!$J$5:$AZ$5,0))</f>
        <v/>
      </c>
      <c r="M78" s="24">
        <f>INDEX(MTInputs!$J$1:$AZ$415,$D78,MATCH(M$5,MTInputs!$J$5:$AZ$5,0))</f>
        <v/>
      </c>
      <c r="N78" s="24">
        <f>INDEX(MTInputs!$J$1:$AZ$415,$D78,MATCH(N$5,MTInputs!$J$5:$AZ$5,0))</f>
        <v/>
      </c>
      <c r="O78" s="24">
        <f>INDEX(MTInputs!$J$1:$AZ$415,$D78,MATCH(O$5,MTInputs!$J$5:$AZ$5,0))</f>
        <v/>
      </c>
      <c r="P78" s="24">
        <f>INDEX(MTInputs!$J$1:$AZ$415,$D78,MATCH(P$5,MTInputs!$J$5:$AZ$5,0))</f>
        <v/>
      </c>
      <c r="Q78" s="24">
        <f>INDEX(MTInputs!$J$1:$AZ$415,$D78,MATCH(Q$5,MTInputs!$J$5:$AZ$5,0))</f>
        <v/>
      </c>
      <c r="R78" s="24">
        <f>INDEX(MTInputs!$J$1:$AZ$415,$D78,MATCH(R$5,MTInputs!$J$5:$AZ$5,0))</f>
        <v/>
      </c>
      <c r="S78" s="24">
        <f>INDEX(MTInputs!$J$1:$AZ$415,$D78,MATCH(S$5,MTInputs!$J$5:$AZ$5,0))</f>
        <v/>
      </c>
      <c r="T78" s="24">
        <f>INDEX(MTInputs!$J$1:$AZ$415,$D78,MATCH(T$5,MTInputs!$J$5:$AZ$5,0))</f>
        <v/>
      </c>
      <c r="U78" s="24">
        <f>INDEX(MTInputs!$J$1:$AZ$415,$D78,MATCH(U$5,MTInputs!$J$5:$AZ$5,0))</f>
        <v/>
      </c>
      <c r="V78" s="24">
        <f>INDEX(MTInputs!$J$1:$AZ$415,$D78,MATCH(V$5,MTInputs!$J$5:$AZ$5,0))</f>
        <v/>
      </c>
      <c r="W78" s="24">
        <f>INDEX(MTInputs!$J$1:$AZ$415,$D78,MATCH(W$5,MTInputs!$J$5:$AZ$5,0))</f>
        <v/>
      </c>
      <c r="X78" s="24">
        <f>INDEX(MTInputs!$J$1:$AZ$415,$D78,MATCH(X$5,MTInputs!$J$5:$AZ$5,0))</f>
        <v/>
      </c>
      <c r="Y78" s="24">
        <f>INDEX(MTInputs!$J$1:$AZ$415,$D78,MATCH(Y$5,MTInputs!$J$5:$AZ$5,0))</f>
        <v/>
      </c>
      <c r="Z78" s="24">
        <f>INDEX(MTInputs!$J$1:$AZ$415,$D78,MATCH(Z$5,MTInputs!$J$5:$AZ$5,0))</f>
        <v/>
      </c>
      <c r="AA78" s="24">
        <f>INDEX(MTInputs!$J$1:$AZ$415,$D78,MATCH(AA$5,MTInputs!$J$5:$AZ$5,0))</f>
        <v/>
      </c>
      <c r="AB78" s="24">
        <f>INDEX(MTInputs!$J$1:$AZ$415,$D78,MATCH(AB$5,MTInputs!$J$5:$AZ$5,0))</f>
        <v/>
      </c>
      <c r="AC78" s="24">
        <f>INDEX(MTInputs!$J$1:$AZ$415,$D78,MATCH(AC$5,MTInputs!$J$5:$AZ$5,0))</f>
        <v/>
      </c>
      <c r="AD78" s="24">
        <f>INDEX(MTInputs!$J$1:$AZ$415,$D78,MATCH(AD$5,MTInputs!$J$5:$AZ$5,0))</f>
        <v/>
      </c>
      <c r="AE78" s="24">
        <f>INDEX(MTInputs!$J$1:$AZ$415,$D78,MATCH(AE$5,MTInputs!$J$5:$AZ$5,0))</f>
        <v/>
      </c>
      <c r="AG78" s="11">
        <f>CodePrefix&amp;$A78&amp;IF($C78="","","."&amp;$C78&amp;"."&amp;$B78)&amp;INDEX(VarEnd,MATCH($A78,VarKey,0))&amp;AG$5</f>
        <v/>
      </c>
      <c r="AH78" s="23">
        <f>INDEX(MTInputs!$J$1:$AZ$415,$D78,MATCH(AH$5,MTInputs!$J$5:$AZ$5,0))</f>
        <v/>
      </c>
      <c r="AI78" s="24">
        <f>INDEX(MTInputs!$J$1:$AZ$415,$D78,MATCH(AI$5,MTInputs!$J$5:$AZ$5,0))</f>
        <v/>
      </c>
      <c r="AJ78" s="24">
        <f>INDEX(MTInputs!$J$1:$AZ$415,$D78,MATCH(AJ$5,MTInputs!$J$5:$AZ$5,0))</f>
        <v/>
      </c>
      <c r="AK78" s="24">
        <f>INDEX(MTInputs!$J$1:$AZ$415,$D78,MATCH(AK$5,MTInputs!$J$5:$AZ$5,0))</f>
        <v/>
      </c>
      <c r="AL78" s="24">
        <f>INDEX(MTInputs!$J$1:$AZ$415,$D78,MATCH(AL$5,MTInputs!$J$5:$AZ$5,0))</f>
        <v/>
      </c>
      <c r="AM78" s="24">
        <f>INDEX(MTInputs!$J$1:$AZ$415,$D78,MATCH(AM$5,MTInputs!$J$5:$AZ$5,0))</f>
        <v/>
      </c>
      <c r="AN78" s="24">
        <f>INDEX(MTInputs!$J$1:$AZ$415,$D78,MATCH(AN$5,MTInputs!$J$5:$AZ$5,0))</f>
        <v/>
      </c>
      <c r="AO78" s="24">
        <f>INDEX(MTInputs!$J$1:$AZ$415,$D78,MATCH(AO$5,MTInputs!$J$5:$AZ$5,0))</f>
        <v/>
      </c>
      <c r="AP78" s="24">
        <f>INDEX(MTInputs!$J$1:$AZ$415,$D78,MATCH(AP$5,MTInputs!$J$5:$AZ$5,0))</f>
        <v/>
      </c>
      <c r="AQ78" s="24">
        <f>INDEX(MTInputs!$J$1:$AZ$415,$D78,MATCH(AQ$5,MTInputs!$J$5:$AZ$5,0))</f>
        <v/>
      </c>
      <c r="AR78" s="24">
        <f>INDEX(MTInputs!$J$1:$AZ$415,$D78,MATCH(AR$5,MTInputs!$J$5:$AZ$5,0))</f>
        <v/>
      </c>
      <c r="AS78" s="24">
        <f>INDEX(MTInputs!$J$1:$AZ$415,$D78,MATCH(AS$5,MTInputs!$J$5:$AZ$5,0))</f>
        <v/>
      </c>
      <c r="AT78" s="24">
        <f>INDEX(MTInputs!$J$1:$AZ$415,$D78,MATCH(AT$5,MTInputs!$J$5:$AZ$5,0))</f>
        <v/>
      </c>
      <c r="AU78" s="24">
        <f>INDEX(MTInputs!$J$1:$AZ$415,$D78,MATCH(AU$5,MTInputs!$J$5:$AZ$5,0))</f>
        <v/>
      </c>
      <c r="AV78" s="24">
        <f>INDEX(MTInputs!$J$1:$AZ$415,$D78,MATCH(AV$5,MTInputs!$J$5:$AZ$5,0))</f>
        <v/>
      </c>
      <c r="AW78" s="24">
        <f>INDEX(MTInputs!$J$1:$AZ$415,$D78,MATCH(AW$5,MTInputs!$J$5:$AZ$5,0))</f>
        <v/>
      </c>
      <c r="AX78" s="24">
        <f>INDEX(MTInputs!$J$1:$AZ$415,$D78,MATCH(AX$5,MTInputs!$J$5:$AZ$5,0))</f>
        <v/>
      </c>
      <c r="AY78" s="24">
        <f>INDEX(MTInputs!$J$1:$AZ$415,$D78,MATCH(AY$5,MTInputs!$J$5:$AZ$5,0))</f>
        <v/>
      </c>
      <c r="AZ78" s="24">
        <f>INDEX(MTInputs!$J$1:$AZ$415,$D78,MATCH(AZ$5,MTInputs!$J$5:$AZ$5,0))</f>
        <v/>
      </c>
      <c r="BA78" s="24">
        <f>INDEX(MTInputs!$J$1:$AZ$415,$D78,MATCH(BA$5,MTInputs!$J$5:$AZ$5,0))</f>
        <v/>
      </c>
    </row>
    <row r="79" hidden="1" outlineLevel="1">
      <c r="A79" s="14" t="inlineStr">
        <is>
          <t>fpr.f</t>
        </is>
      </c>
      <c r="B79" s="14" t="inlineStr">
        <is>
          <t>bio</t>
        </is>
      </c>
      <c r="C79" s="14" t="inlineStr">
        <is>
          <t>all</t>
        </is>
      </c>
      <c r="D79" s="22" t="n">
        <v>169</v>
      </c>
      <c r="H79" s="14">
        <f>INDEX(VarLab,MATCH($A79,VarKey,0))&amp;INDEX(MemLab,MATCH($C79&amp;"|"&amp;$B79,MemKey,0))</f>
        <v/>
      </c>
      <c r="I79" s="14">
        <f>INDEX(VarUnit,MATCH($A79,VarKey,0))</f>
        <v/>
      </c>
      <c r="J79" s="14">
        <f>INDEX(VarSrc,MATCH($A79,VarKey,0))</f>
        <v/>
      </c>
      <c r="K79" s="11">
        <f>CodePrefix&amp;$A79&amp;IF($C79="","","."&amp;$C79&amp;"."&amp;$B79)&amp;INDEX(VarEnd,MATCH($A79,VarKey,0))&amp;K$5</f>
        <v/>
      </c>
      <c r="L79" s="23">
        <f>INDEX(MTInputs!$J$1:$AZ$415,$D79,MATCH(L$5,MTInputs!$J$5:$AZ$5,0))</f>
        <v/>
      </c>
      <c r="M79" s="24">
        <f>INDEX(MTInputs!$J$1:$AZ$415,$D79,MATCH(M$5,MTInputs!$J$5:$AZ$5,0))</f>
        <v/>
      </c>
      <c r="N79" s="24">
        <f>INDEX(MTInputs!$J$1:$AZ$415,$D79,MATCH(N$5,MTInputs!$J$5:$AZ$5,0))</f>
        <v/>
      </c>
      <c r="O79" s="24">
        <f>INDEX(MTInputs!$J$1:$AZ$415,$D79,MATCH(O$5,MTInputs!$J$5:$AZ$5,0))</f>
        <v/>
      </c>
      <c r="P79" s="24">
        <f>INDEX(MTInputs!$J$1:$AZ$415,$D79,MATCH(P$5,MTInputs!$J$5:$AZ$5,0))</f>
        <v/>
      </c>
      <c r="Q79" s="24">
        <f>INDEX(MTInputs!$J$1:$AZ$415,$D79,MATCH(Q$5,MTInputs!$J$5:$AZ$5,0))</f>
        <v/>
      </c>
      <c r="R79" s="24">
        <f>INDEX(MTInputs!$J$1:$AZ$415,$D79,MATCH(R$5,MTInputs!$J$5:$AZ$5,0))</f>
        <v/>
      </c>
      <c r="S79" s="24">
        <f>INDEX(MTInputs!$J$1:$AZ$415,$D79,MATCH(S$5,MTInputs!$J$5:$AZ$5,0))</f>
        <v/>
      </c>
      <c r="T79" s="24">
        <f>INDEX(MTInputs!$J$1:$AZ$415,$D79,MATCH(T$5,MTInputs!$J$5:$AZ$5,0))</f>
        <v/>
      </c>
      <c r="U79" s="24">
        <f>INDEX(MTInputs!$J$1:$AZ$415,$D79,MATCH(U$5,MTInputs!$J$5:$AZ$5,0))</f>
        <v/>
      </c>
      <c r="V79" s="24">
        <f>INDEX(MTInputs!$J$1:$AZ$415,$D79,MATCH(V$5,MTInputs!$J$5:$AZ$5,0))</f>
        <v/>
      </c>
      <c r="W79" s="24">
        <f>INDEX(MTInputs!$J$1:$AZ$415,$D79,MATCH(W$5,MTInputs!$J$5:$AZ$5,0))</f>
        <v/>
      </c>
      <c r="X79" s="24">
        <f>INDEX(MTInputs!$J$1:$AZ$415,$D79,MATCH(X$5,MTInputs!$J$5:$AZ$5,0))</f>
        <v/>
      </c>
      <c r="Y79" s="24">
        <f>INDEX(MTInputs!$J$1:$AZ$415,$D79,MATCH(Y$5,MTInputs!$J$5:$AZ$5,0))</f>
        <v/>
      </c>
      <c r="Z79" s="24">
        <f>INDEX(MTInputs!$J$1:$AZ$415,$D79,MATCH(Z$5,MTInputs!$J$5:$AZ$5,0))</f>
        <v/>
      </c>
      <c r="AA79" s="24">
        <f>INDEX(MTInputs!$J$1:$AZ$415,$D79,MATCH(AA$5,MTInputs!$J$5:$AZ$5,0))</f>
        <v/>
      </c>
      <c r="AB79" s="24">
        <f>INDEX(MTInputs!$J$1:$AZ$415,$D79,MATCH(AB$5,MTInputs!$J$5:$AZ$5,0))</f>
        <v/>
      </c>
      <c r="AC79" s="24">
        <f>INDEX(MTInputs!$J$1:$AZ$415,$D79,MATCH(AC$5,MTInputs!$J$5:$AZ$5,0))</f>
        <v/>
      </c>
      <c r="AD79" s="24">
        <f>INDEX(MTInputs!$J$1:$AZ$415,$D79,MATCH(AD$5,MTInputs!$J$5:$AZ$5,0))</f>
        <v/>
      </c>
      <c r="AE79" s="24">
        <f>INDEX(MTInputs!$J$1:$AZ$415,$D79,MATCH(AE$5,MTInputs!$J$5:$AZ$5,0))</f>
        <v/>
      </c>
      <c r="AG79" s="11">
        <f>CodePrefix&amp;$A79&amp;IF($C79="","","."&amp;$C79&amp;"."&amp;$B79)&amp;INDEX(VarEnd,MATCH($A79,VarKey,0))&amp;AG$5</f>
        <v/>
      </c>
      <c r="AH79" s="23">
        <f>INDEX(MTInputs!$J$1:$AZ$415,$D79,MATCH(AH$5,MTInputs!$J$5:$AZ$5,0))</f>
        <v/>
      </c>
      <c r="AI79" s="24">
        <f>INDEX(MTInputs!$J$1:$AZ$415,$D79,MATCH(AI$5,MTInputs!$J$5:$AZ$5,0))</f>
        <v/>
      </c>
      <c r="AJ79" s="24">
        <f>INDEX(MTInputs!$J$1:$AZ$415,$D79,MATCH(AJ$5,MTInputs!$J$5:$AZ$5,0))</f>
        <v/>
      </c>
      <c r="AK79" s="24">
        <f>INDEX(MTInputs!$J$1:$AZ$415,$D79,MATCH(AK$5,MTInputs!$J$5:$AZ$5,0))</f>
        <v/>
      </c>
      <c r="AL79" s="24">
        <f>INDEX(MTInputs!$J$1:$AZ$415,$D79,MATCH(AL$5,MTInputs!$J$5:$AZ$5,0))</f>
        <v/>
      </c>
      <c r="AM79" s="24">
        <f>INDEX(MTInputs!$J$1:$AZ$415,$D79,MATCH(AM$5,MTInputs!$J$5:$AZ$5,0))</f>
        <v/>
      </c>
      <c r="AN79" s="24">
        <f>INDEX(MTInputs!$J$1:$AZ$415,$D79,MATCH(AN$5,MTInputs!$J$5:$AZ$5,0))</f>
        <v/>
      </c>
      <c r="AO79" s="24">
        <f>INDEX(MTInputs!$J$1:$AZ$415,$D79,MATCH(AO$5,MTInputs!$J$5:$AZ$5,0))</f>
        <v/>
      </c>
      <c r="AP79" s="24">
        <f>INDEX(MTInputs!$J$1:$AZ$415,$D79,MATCH(AP$5,MTInputs!$J$5:$AZ$5,0))</f>
        <v/>
      </c>
      <c r="AQ79" s="24">
        <f>INDEX(MTInputs!$J$1:$AZ$415,$D79,MATCH(AQ$5,MTInputs!$J$5:$AZ$5,0))</f>
        <v/>
      </c>
      <c r="AR79" s="24">
        <f>INDEX(MTInputs!$J$1:$AZ$415,$D79,MATCH(AR$5,MTInputs!$J$5:$AZ$5,0))</f>
        <v/>
      </c>
      <c r="AS79" s="24">
        <f>INDEX(MTInputs!$J$1:$AZ$415,$D79,MATCH(AS$5,MTInputs!$J$5:$AZ$5,0))</f>
        <v/>
      </c>
      <c r="AT79" s="24">
        <f>INDEX(MTInputs!$J$1:$AZ$415,$D79,MATCH(AT$5,MTInputs!$J$5:$AZ$5,0))</f>
        <v/>
      </c>
      <c r="AU79" s="24">
        <f>INDEX(MTInputs!$J$1:$AZ$415,$D79,MATCH(AU$5,MTInputs!$J$5:$AZ$5,0))</f>
        <v/>
      </c>
      <c r="AV79" s="24">
        <f>INDEX(MTInputs!$J$1:$AZ$415,$D79,MATCH(AV$5,MTInputs!$J$5:$AZ$5,0))</f>
        <v/>
      </c>
      <c r="AW79" s="24">
        <f>INDEX(MTInputs!$J$1:$AZ$415,$D79,MATCH(AW$5,MTInputs!$J$5:$AZ$5,0))</f>
        <v/>
      </c>
      <c r="AX79" s="24">
        <f>INDEX(MTInputs!$J$1:$AZ$415,$D79,MATCH(AX$5,MTInputs!$J$5:$AZ$5,0))</f>
        <v/>
      </c>
      <c r="AY79" s="24">
        <f>INDEX(MTInputs!$J$1:$AZ$415,$D79,MATCH(AY$5,MTInputs!$J$5:$AZ$5,0))</f>
        <v/>
      </c>
      <c r="AZ79" s="24">
        <f>INDEX(MTInputs!$J$1:$AZ$415,$D79,MATCH(AZ$5,MTInputs!$J$5:$AZ$5,0))</f>
        <v/>
      </c>
      <c r="BA79" s="24">
        <f>INDEX(MTInputs!$J$1:$AZ$415,$D79,MATCH(BA$5,MTInputs!$J$5:$AZ$5,0))</f>
        <v/>
      </c>
    </row>
    <row r="80" hidden="1" outlineLevel="1">
      <c r="A80" s="1" t="inlineStr">
        <is>
          <t>fpr</t>
        </is>
      </c>
      <c r="B80" s="1" t="inlineStr">
        <is>
          <t>coa</t>
        </is>
      </c>
      <c r="C80" s="1" t="inlineStr">
        <is>
          <t>pow</t>
        </is>
      </c>
      <c r="H80" s="1">
        <f>INDEX(VarLab,MATCH($A80,VarKey,0))&amp;INDEX(MemLab,MATCH($C80&amp;"|"&amp;$B80,MemKey,0))</f>
        <v/>
      </c>
      <c r="I80" s="1">
        <f>INDEX(VarUnit,MATCH($A80,VarKey,0))</f>
        <v/>
      </c>
      <c r="J80" s="1">
        <f>INDEX(VarSrc,MATCH($A80,VarKey,0))</f>
        <v/>
      </c>
      <c r="K80" s="17">
        <f>CodePrefix&amp;$A80&amp;IF($C80="","","."&amp;$C80&amp;"."&amp;$B80)&amp;INDEX(VarEnd,MATCH($A80,VarKey,0))&amp;K$5</f>
        <v/>
      </c>
      <c r="L80" s="18">
        <f>IF(L$4&lt;L$50,0,L52+(L66-L52)/MAX(L$51-L$50,1)*(L$4-L$50))</f>
        <v/>
      </c>
      <c r="M80" s="19">
        <f>IF(M$4&lt;M$50,0,M52+(M66-M52)/MAX(M$51-M$50,1)*(M$4-M$50))</f>
        <v/>
      </c>
      <c r="N80" s="19">
        <f>IF(N$4&lt;N$50,0,N52+(N66-N52)/MAX(N$51-N$50,1)*(N$4-N$50))</f>
        <v/>
      </c>
      <c r="O80" s="19">
        <f>IF(O$4&lt;O$50,0,O52+(O66-O52)/MAX(O$51-O$50,1)*(O$4-O$50))</f>
        <v/>
      </c>
      <c r="P80" s="19">
        <f>IF(P$4&lt;P$50,0,P52+(P66-P52)/MAX(P$51-P$50,1)*(P$4-P$50))</f>
        <v/>
      </c>
      <c r="Q80" s="19">
        <f>IF(Q$4&lt;Q$50,0,Q52+(Q66-Q52)/MAX(Q$51-Q$50,1)*(Q$4-Q$50))</f>
        <v/>
      </c>
      <c r="R80" s="19">
        <f>IF(R$4&lt;R$50,0,R52+(R66-R52)/MAX(R$51-R$50,1)*(R$4-R$50))</f>
        <v/>
      </c>
      <c r="S80" s="19">
        <f>IF(S$4&lt;S$50,0,S52+(S66-S52)/MAX(S$51-S$50,1)*(S$4-S$50))</f>
        <v/>
      </c>
      <c r="T80" s="19">
        <f>IF(T$4&lt;T$50,0,T52+(T66-T52)/MAX(T$51-T$50,1)*(T$4-T$50))</f>
        <v/>
      </c>
      <c r="U80" s="19">
        <f>IF(U$4&lt;U$50,0,U52+(U66-U52)/MAX(U$51-U$50,1)*(U$4-U$50))</f>
        <v/>
      </c>
      <c r="V80" s="19">
        <f>IF(V$4&lt;V$50,0,V52+(V66-V52)/MAX(V$51-V$50,1)*(V$4-V$50))</f>
        <v/>
      </c>
      <c r="W80" s="19">
        <f>IF(W$4&lt;W$50,0,W52+(W66-W52)/MAX(W$51-W$50,1)*(W$4-W$50))</f>
        <v/>
      </c>
      <c r="X80" s="19">
        <f>IF(X$4&lt;X$50,0,X52+(X66-X52)/MAX(X$51-X$50,1)*(X$4-X$50))</f>
        <v/>
      </c>
      <c r="Y80" s="19">
        <f>IF(Y$4&lt;Y$50,0,Y52+(Y66-Y52)/MAX(Y$51-Y$50,1)*(Y$4-Y$50))</f>
        <v/>
      </c>
      <c r="Z80" s="19">
        <f>IF(Z$4&lt;Z$50,0,Z52+(Z66-Z52)/MAX(Z$51-Z$50,1)*(Z$4-Z$50))</f>
        <v/>
      </c>
      <c r="AA80" s="19">
        <f>IF(AA$4&lt;AA$50,0,AA52+(AA66-AA52)/MAX(AA$51-AA$50,1)*(AA$4-AA$50))</f>
        <v/>
      </c>
      <c r="AB80" s="19">
        <f>IF(AB$4&lt;AB$50,0,AB52+(AB66-AB52)/MAX(AB$51-AB$50,1)*(AB$4-AB$50))</f>
        <v/>
      </c>
      <c r="AC80" s="19">
        <f>IF(AC$4&lt;AC$50,0,AC52+(AC66-AC52)/MAX(AC$51-AC$50,1)*(AC$4-AC$50))</f>
        <v/>
      </c>
      <c r="AD80" s="19">
        <f>IF(AD$4&lt;AD$50,0,AD52+(AD66-AD52)/MAX(AD$51-AD$50,1)*(AD$4-AD$50))</f>
        <v/>
      </c>
      <c r="AE80" s="20">
        <f>PATH(AE$4,AE$50,AE$51,AE52,AE66,TRUE)</f>
        <v/>
      </c>
      <c r="AG80" s="17">
        <f>CodePrefix&amp;$A80&amp;IF($C80="","","."&amp;$C80&amp;"."&amp;$B80)&amp;INDEX(VarEnd,MATCH($A80,VarKey,0))&amp;AG$5</f>
        <v/>
      </c>
      <c r="AH80" s="18">
        <f>IF(AH$4&lt;AH$50,0,AH52+(AH66-AH52)/MAX(AH$51-AH$50,1)*(AH$4-AH$50))</f>
        <v/>
      </c>
      <c r="AI80" s="19">
        <f>IF(AI$4&lt;AI$50,0,AI52+(AI66-AI52)/MAX(AI$51-AI$50,1)*(AI$4-AI$50))</f>
        <v/>
      </c>
      <c r="AJ80" s="19">
        <f>IF(AJ$4&lt;AJ$50,0,AJ52+(AJ66-AJ52)/MAX(AJ$51-AJ$50,1)*(AJ$4-AJ$50))</f>
        <v/>
      </c>
      <c r="AK80" s="19">
        <f>IF(AK$4&lt;AK$50,0,AK52+(AK66-AK52)/MAX(AK$51-AK$50,1)*(AK$4-AK$50))</f>
        <v/>
      </c>
      <c r="AL80" s="19">
        <f>IF(AL$4&lt;AL$50,0,AL52+(AL66-AL52)/MAX(AL$51-AL$50,1)*(AL$4-AL$50))</f>
        <v/>
      </c>
      <c r="AM80" s="19">
        <f>IF(AM$4&lt;AM$50,0,AM52+(AM66-AM52)/MAX(AM$51-AM$50,1)*(AM$4-AM$50))</f>
        <v/>
      </c>
      <c r="AN80" s="19">
        <f>IF(AN$4&lt;AN$50,0,AN52+(AN66-AN52)/MAX(AN$51-AN$50,1)*(AN$4-AN$50))</f>
        <v/>
      </c>
      <c r="AO80" s="19">
        <f>IF(AO$4&lt;AO$50,0,AO52+(AO66-AO52)/MAX(AO$51-AO$50,1)*(AO$4-AO$50))</f>
        <v/>
      </c>
      <c r="AP80" s="19">
        <f>IF(AP$4&lt;AP$50,0,AP52+(AP66-AP52)/MAX(AP$51-AP$50,1)*(AP$4-AP$50))</f>
        <v/>
      </c>
      <c r="AQ80" s="19">
        <f>IF(AQ$4&lt;AQ$50,0,AQ52+(AQ66-AQ52)/MAX(AQ$51-AQ$50,1)*(AQ$4-AQ$50))</f>
        <v/>
      </c>
      <c r="AR80" s="19">
        <f>IF(AR$4&lt;AR$50,0,AR52+(AR66-AR52)/MAX(AR$51-AR$50,1)*(AR$4-AR$50))</f>
        <v/>
      </c>
      <c r="AS80" s="19">
        <f>IF(AS$4&lt;AS$50,0,AS52+(AS66-AS52)/MAX(AS$51-AS$50,1)*(AS$4-AS$50))</f>
        <v/>
      </c>
      <c r="AT80" s="19">
        <f>IF(AT$4&lt;AT$50,0,AT52+(AT66-AT52)/MAX(AT$51-AT$50,1)*(AT$4-AT$50))</f>
        <v/>
      </c>
      <c r="AU80" s="19">
        <f>IF(AU$4&lt;AU$50,0,AU52+(AU66-AU52)/MAX(AU$51-AU$50,1)*(AU$4-AU$50))</f>
        <v/>
      </c>
      <c r="AV80" s="19">
        <f>IF(AV$4&lt;AV$50,0,AV52+(AV66-AV52)/MAX(AV$51-AV$50,1)*(AV$4-AV$50))</f>
        <v/>
      </c>
      <c r="AW80" s="19">
        <f>IF(AW$4&lt;AW$50,0,AW52+(AW66-AW52)/MAX(AW$51-AW$50,1)*(AW$4-AW$50))</f>
        <v/>
      </c>
      <c r="AX80" s="19">
        <f>IF(AX$4&lt;AX$50,0,AX52+(AX66-AX52)/MAX(AX$51-AX$50,1)*(AX$4-AX$50))</f>
        <v/>
      </c>
      <c r="AY80" s="19">
        <f>IF(AY$4&lt;AY$50,0,AY52+(AY66-AY52)/MAX(AY$51-AY$50,1)*(AY$4-AY$50))</f>
        <v/>
      </c>
      <c r="AZ80" s="19">
        <f>IF(AZ$4&lt;AZ$50,0,AZ52+(AZ66-AZ52)/MAX(AZ$51-AZ$50,1)*(AZ$4-AZ$50))</f>
        <v/>
      </c>
      <c r="BA80" s="20">
        <f>PATH(BA$4,BA$50,BA$51,BA52,BA66,TRUE)</f>
        <v/>
      </c>
    </row>
    <row r="81" hidden="1" outlineLevel="1">
      <c r="A81" s="1" t="inlineStr">
        <is>
          <t>fpr</t>
        </is>
      </c>
      <c r="B81" s="1" t="inlineStr">
        <is>
          <t>coa</t>
        </is>
      </c>
      <c r="C81" s="1" t="inlineStr">
        <is>
          <t>res</t>
        </is>
      </c>
      <c r="H81" s="1">
        <f>INDEX(VarLab,MATCH($A81,VarKey,0))&amp;INDEX(MemLab,MATCH($C81&amp;"|"&amp;$B81,MemKey,0))</f>
        <v/>
      </c>
      <c r="I81" s="1">
        <f>INDEX(VarUnit,MATCH($A81,VarKey,0))</f>
        <v/>
      </c>
      <c r="J81" s="1">
        <f>INDEX(VarSrc,MATCH($A81,VarKey,0))</f>
        <v/>
      </c>
      <c r="K81" s="17">
        <f>CodePrefix&amp;$A81&amp;IF($C81="","","."&amp;$C81&amp;"."&amp;$B81)&amp;INDEX(VarEnd,MATCH($A81,VarKey,0))&amp;K$5</f>
        <v/>
      </c>
      <c r="L81" s="18">
        <f>IF(L$4&lt;L$50,0,L53+(L67-L53)/MAX(L$51-L$50,1)*(L$4-L$50))</f>
        <v/>
      </c>
      <c r="M81" s="19">
        <f>IF(M$4&lt;M$50,0,M53+(M67-M53)/MAX(M$51-M$50,1)*(M$4-M$50))</f>
        <v/>
      </c>
      <c r="N81" s="19">
        <f>IF(N$4&lt;N$50,0,N53+(N67-N53)/MAX(N$51-N$50,1)*(N$4-N$50))</f>
        <v/>
      </c>
      <c r="O81" s="19">
        <f>IF(O$4&lt;O$50,0,O53+(O67-O53)/MAX(O$51-O$50,1)*(O$4-O$50))</f>
        <v/>
      </c>
      <c r="P81" s="19">
        <f>IF(P$4&lt;P$50,0,P53+(P67-P53)/MAX(P$51-P$50,1)*(P$4-P$50))</f>
        <v/>
      </c>
      <c r="Q81" s="19">
        <f>IF(Q$4&lt;Q$50,0,Q53+(Q67-Q53)/MAX(Q$51-Q$50,1)*(Q$4-Q$50))</f>
        <v/>
      </c>
      <c r="R81" s="19">
        <f>IF(R$4&lt;R$50,0,R53+(R67-R53)/MAX(R$51-R$50,1)*(R$4-R$50))</f>
        <v/>
      </c>
      <c r="S81" s="19">
        <f>IF(S$4&lt;S$50,0,S53+(S67-S53)/MAX(S$51-S$50,1)*(S$4-S$50))</f>
        <v/>
      </c>
      <c r="T81" s="19">
        <f>IF(T$4&lt;T$50,0,T53+(T67-T53)/MAX(T$51-T$50,1)*(T$4-T$50))</f>
        <v/>
      </c>
      <c r="U81" s="19">
        <f>IF(U$4&lt;U$50,0,U53+(U67-U53)/MAX(U$51-U$50,1)*(U$4-U$50))</f>
        <v/>
      </c>
      <c r="V81" s="19">
        <f>IF(V$4&lt;V$50,0,V53+(V67-V53)/MAX(V$51-V$50,1)*(V$4-V$50))</f>
        <v/>
      </c>
      <c r="W81" s="19">
        <f>IF(W$4&lt;W$50,0,W53+(W67-W53)/MAX(W$51-W$50,1)*(W$4-W$50))</f>
        <v/>
      </c>
      <c r="X81" s="19">
        <f>IF(X$4&lt;X$50,0,X53+(X67-X53)/MAX(X$51-X$50,1)*(X$4-X$50))</f>
        <v/>
      </c>
      <c r="Y81" s="19">
        <f>IF(Y$4&lt;Y$50,0,Y53+(Y67-Y53)/MAX(Y$51-Y$50,1)*(Y$4-Y$50))</f>
        <v/>
      </c>
      <c r="Z81" s="19">
        <f>IF(Z$4&lt;Z$50,0,Z53+(Z67-Z53)/MAX(Z$51-Z$50,1)*(Z$4-Z$50))</f>
        <v/>
      </c>
      <c r="AA81" s="19">
        <f>IF(AA$4&lt;AA$50,0,AA53+(AA67-AA53)/MAX(AA$51-AA$50,1)*(AA$4-AA$50))</f>
        <v/>
      </c>
      <c r="AB81" s="19">
        <f>IF(AB$4&lt;AB$50,0,AB53+(AB67-AB53)/MAX(AB$51-AB$50,1)*(AB$4-AB$50))</f>
        <v/>
      </c>
      <c r="AC81" s="19">
        <f>IF(AC$4&lt;AC$50,0,AC53+(AC67-AC53)/MAX(AC$51-AC$50,1)*(AC$4-AC$50))</f>
        <v/>
      </c>
      <c r="AD81" s="19">
        <f>IF(AD$4&lt;AD$50,0,AD53+(AD67-AD53)/MAX(AD$51-AD$50,1)*(AD$4-AD$50))</f>
        <v/>
      </c>
      <c r="AE81" s="20">
        <f>PATH(AE$4,AE$50,AE$51,AE53,AE67,TRUE)</f>
        <v/>
      </c>
      <c r="AG81" s="17">
        <f>CodePrefix&amp;$A81&amp;IF($C81="","","."&amp;$C81&amp;"."&amp;$B81)&amp;INDEX(VarEnd,MATCH($A81,VarKey,0))&amp;AG$5</f>
        <v/>
      </c>
      <c r="AH81" s="18">
        <f>IF(AH$4&lt;AH$50,0,AH53+(AH67-AH53)/MAX(AH$51-AH$50,1)*(AH$4-AH$50))</f>
        <v/>
      </c>
      <c r="AI81" s="19">
        <f>IF(AI$4&lt;AI$50,0,AI53+(AI67-AI53)/MAX(AI$51-AI$50,1)*(AI$4-AI$50))</f>
        <v/>
      </c>
      <c r="AJ81" s="19">
        <f>IF(AJ$4&lt;AJ$50,0,AJ53+(AJ67-AJ53)/MAX(AJ$51-AJ$50,1)*(AJ$4-AJ$50))</f>
        <v/>
      </c>
      <c r="AK81" s="19">
        <f>IF(AK$4&lt;AK$50,0,AK53+(AK67-AK53)/MAX(AK$51-AK$50,1)*(AK$4-AK$50))</f>
        <v/>
      </c>
      <c r="AL81" s="19">
        <f>IF(AL$4&lt;AL$50,0,AL53+(AL67-AL53)/MAX(AL$51-AL$50,1)*(AL$4-AL$50))</f>
        <v/>
      </c>
      <c r="AM81" s="19">
        <f>IF(AM$4&lt;AM$50,0,AM53+(AM67-AM53)/MAX(AM$51-AM$50,1)*(AM$4-AM$50))</f>
        <v/>
      </c>
      <c r="AN81" s="19">
        <f>IF(AN$4&lt;AN$50,0,AN53+(AN67-AN53)/MAX(AN$51-AN$50,1)*(AN$4-AN$50))</f>
        <v/>
      </c>
      <c r="AO81" s="19">
        <f>IF(AO$4&lt;AO$50,0,AO53+(AO67-AO53)/MAX(AO$51-AO$50,1)*(AO$4-AO$50))</f>
        <v/>
      </c>
      <c r="AP81" s="19">
        <f>IF(AP$4&lt;AP$50,0,AP53+(AP67-AP53)/MAX(AP$51-AP$50,1)*(AP$4-AP$50))</f>
        <v/>
      </c>
      <c r="AQ81" s="19">
        <f>IF(AQ$4&lt;AQ$50,0,AQ53+(AQ67-AQ53)/MAX(AQ$51-AQ$50,1)*(AQ$4-AQ$50))</f>
        <v/>
      </c>
      <c r="AR81" s="19">
        <f>IF(AR$4&lt;AR$50,0,AR53+(AR67-AR53)/MAX(AR$51-AR$50,1)*(AR$4-AR$50))</f>
        <v/>
      </c>
      <c r="AS81" s="19">
        <f>IF(AS$4&lt;AS$50,0,AS53+(AS67-AS53)/MAX(AS$51-AS$50,1)*(AS$4-AS$50))</f>
        <v/>
      </c>
      <c r="AT81" s="19">
        <f>IF(AT$4&lt;AT$50,0,AT53+(AT67-AT53)/MAX(AT$51-AT$50,1)*(AT$4-AT$50))</f>
        <v/>
      </c>
      <c r="AU81" s="19">
        <f>IF(AU$4&lt;AU$50,0,AU53+(AU67-AU53)/MAX(AU$51-AU$50,1)*(AU$4-AU$50))</f>
        <v/>
      </c>
      <c r="AV81" s="19">
        <f>IF(AV$4&lt;AV$50,0,AV53+(AV67-AV53)/MAX(AV$51-AV$50,1)*(AV$4-AV$50))</f>
        <v/>
      </c>
      <c r="AW81" s="19">
        <f>IF(AW$4&lt;AW$50,0,AW53+(AW67-AW53)/MAX(AW$51-AW$50,1)*(AW$4-AW$50))</f>
        <v/>
      </c>
      <c r="AX81" s="19">
        <f>IF(AX$4&lt;AX$50,0,AX53+(AX67-AX53)/MAX(AX$51-AX$50,1)*(AX$4-AX$50))</f>
        <v/>
      </c>
      <c r="AY81" s="19">
        <f>IF(AY$4&lt;AY$50,0,AY53+(AY67-AY53)/MAX(AY$51-AY$50,1)*(AY$4-AY$50))</f>
        <v/>
      </c>
      <c r="AZ81" s="19">
        <f>IF(AZ$4&lt;AZ$50,0,AZ53+(AZ67-AZ53)/MAX(AZ$51-AZ$50,1)*(AZ$4-AZ$50))</f>
        <v/>
      </c>
      <c r="BA81" s="20">
        <f>PATH(BA$4,BA$50,BA$51,BA53,BA67,TRUE)</f>
        <v/>
      </c>
    </row>
    <row r="82" hidden="1" outlineLevel="1">
      <c r="A82" s="1" t="inlineStr">
        <is>
          <t>fpr</t>
        </is>
      </c>
      <c r="B82" s="1" t="inlineStr">
        <is>
          <t>coa</t>
        </is>
      </c>
      <c r="C82" s="1" t="inlineStr">
        <is>
          <t>ind</t>
        </is>
      </c>
      <c r="H82" s="1">
        <f>INDEX(VarLab,MATCH($A82,VarKey,0))&amp;INDEX(MemLab,MATCH($C82&amp;"|"&amp;$B82,MemKey,0))</f>
        <v/>
      </c>
      <c r="I82" s="1">
        <f>INDEX(VarUnit,MATCH($A82,VarKey,0))</f>
        <v/>
      </c>
      <c r="J82" s="1">
        <f>INDEX(VarSrc,MATCH($A82,VarKey,0))</f>
        <v/>
      </c>
      <c r="K82" s="17">
        <f>CodePrefix&amp;$A82&amp;IF($C82="","","."&amp;$C82&amp;"."&amp;$B82)&amp;INDEX(VarEnd,MATCH($A82,VarKey,0))&amp;K$5</f>
        <v/>
      </c>
      <c r="L82" s="18">
        <f>IF(L$4&lt;L$50,0,L54+(L68-L54)/MAX(L$51-L$50,1)*(L$4-L$50))</f>
        <v/>
      </c>
      <c r="M82" s="19">
        <f>IF(M$4&lt;M$50,0,M54+(M68-M54)/MAX(M$51-M$50,1)*(M$4-M$50))</f>
        <v/>
      </c>
      <c r="N82" s="19">
        <f>IF(N$4&lt;N$50,0,N54+(N68-N54)/MAX(N$51-N$50,1)*(N$4-N$50))</f>
        <v/>
      </c>
      <c r="O82" s="19">
        <f>IF(O$4&lt;O$50,0,O54+(O68-O54)/MAX(O$51-O$50,1)*(O$4-O$50))</f>
        <v/>
      </c>
      <c r="P82" s="19">
        <f>IF(P$4&lt;P$50,0,P54+(P68-P54)/MAX(P$51-P$50,1)*(P$4-P$50))</f>
        <v/>
      </c>
      <c r="Q82" s="19">
        <f>IF(Q$4&lt;Q$50,0,Q54+(Q68-Q54)/MAX(Q$51-Q$50,1)*(Q$4-Q$50))</f>
        <v/>
      </c>
      <c r="R82" s="19">
        <f>IF(R$4&lt;R$50,0,R54+(R68-R54)/MAX(R$51-R$50,1)*(R$4-R$50))</f>
        <v/>
      </c>
      <c r="S82" s="19">
        <f>IF(S$4&lt;S$50,0,S54+(S68-S54)/MAX(S$51-S$50,1)*(S$4-S$50))</f>
        <v/>
      </c>
      <c r="T82" s="19">
        <f>IF(T$4&lt;T$50,0,T54+(T68-T54)/MAX(T$51-T$50,1)*(T$4-T$50))</f>
        <v/>
      </c>
      <c r="U82" s="19">
        <f>IF(U$4&lt;U$50,0,U54+(U68-U54)/MAX(U$51-U$50,1)*(U$4-U$50))</f>
        <v/>
      </c>
      <c r="V82" s="19">
        <f>IF(V$4&lt;V$50,0,V54+(V68-V54)/MAX(V$51-V$50,1)*(V$4-V$50))</f>
        <v/>
      </c>
      <c r="W82" s="19">
        <f>IF(W$4&lt;W$50,0,W54+(W68-W54)/MAX(W$51-W$50,1)*(W$4-W$50))</f>
        <v/>
      </c>
      <c r="X82" s="19">
        <f>IF(X$4&lt;X$50,0,X54+(X68-X54)/MAX(X$51-X$50,1)*(X$4-X$50))</f>
        <v/>
      </c>
      <c r="Y82" s="19">
        <f>IF(Y$4&lt;Y$50,0,Y54+(Y68-Y54)/MAX(Y$51-Y$50,1)*(Y$4-Y$50))</f>
        <v/>
      </c>
      <c r="Z82" s="19">
        <f>IF(Z$4&lt;Z$50,0,Z54+(Z68-Z54)/MAX(Z$51-Z$50,1)*(Z$4-Z$50))</f>
        <v/>
      </c>
      <c r="AA82" s="19">
        <f>IF(AA$4&lt;AA$50,0,AA54+(AA68-AA54)/MAX(AA$51-AA$50,1)*(AA$4-AA$50))</f>
        <v/>
      </c>
      <c r="AB82" s="19">
        <f>IF(AB$4&lt;AB$50,0,AB54+(AB68-AB54)/MAX(AB$51-AB$50,1)*(AB$4-AB$50))</f>
        <v/>
      </c>
      <c r="AC82" s="19">
        <f>IF(AC$4&lt;AC$50,0,AC54+(AC68-AC54)/MAX(AC$51-AC$50,1)*(AC$4-AC$50))</f>
        <v/>
      </c>
      <c r="AD82" s="19">
        <f>IF(AD$4&lt;AD$50,0,AD54+(AD68-AD54)/MAX(AD$51-AD$50,1)*(AD$4-AD$50))</f>
        <v/>
      </c>
      <c r="AE82" s="20">
        <f>PATH(AE$4,AE$50,AE$51,AE54,AE68,TRUE)</f>
        <v/>
      </c>
      <c r="AG82" s="17">
        <f>CodePrefix&amp;$A82&amp;IF($C82="","","."&amp;$C82&amp;"."&amp;$B82)&amp;INDEX(VarEnd,MATCH($A82,VarKey,0))&amp;AG$5</f>
        <v/>
      </c>
      <c r="AH82" s="18">
        <f>IF(AH$4&lt;AH$50,0,AH54+(AH68-AH54)/MAX(AH$51-AH$50,1)*(AH$4-AH$50))</f>
        <v/>
      </c>
      <c r="AI82" s="19">
        <f>IF(AI$4&lt;AI$50,0,AI54+(AI68-AI54)/MAX(AI$51-AI$50,1)*(AI$4-AI$50))</f>
        <v/>
      </c>
      <c r="AJ82" s="19">
        <f>IF(AJ$4&lt;AJ$50,0,AJ54+(AJ68-AJ54)/MAX(AJ$51-AJ$50,1)*(AJ$4-AJ$50))</f>
        <v/>
      </c>
      <c r="AK82" s="19">
        <f>IF(AK$4&lt;AK$50,0,AK54+(AK68-AK54)/MAX(AK$51-AK$50,1)*(AK$4-AK$50))</f>
        <v/>
      </c>
      <c r="AL82" s="19">
        <f>IF(AL$4&lt;AL$50,0,AL54+(AL68-AL54)/MAX(AL$51-AL$50,1)*(AL$4-AL$50))</f>
        <v/>
      </c>
      <c r="AM82" s="19">
        <f>IF(AM$4&lt;AM$50,0,AM54+(AM68-AM54)/MAX(AM$51-AM$50,1)*(AM$4-AM$50))</f>
        <v/>
      </c>
      <c r="AN82" s="19">
        <f>IF(AN$4&lt;AN$50,0,AN54+(AN68-AN54)/MAX(AN$51-AN$50,1)*(AN$4-AN$50))</f>
        <v/>
      </c>
      <c r="AO82" s="19">
        <f>IF(AO$4&lt;AO$50,0,AO54+(AO68-AO54)/MAX(AO$51-AO$50,1)*(AO$4-AO$50))</f>
        <v/>
      </c>
      <c r="AP82" s="19">
        <f>IF(AP$4&lt;AP$50,0,AP54+(AP68-AP54)/MAX(AP$51-AP$50,1)*(AP$4-AP$50))</f>
        <v/>
      </c>
      <c r="AQ82" s="19">
        <f>IF(AQ$4&lt;AQ$50,0,AQ54+(AQ68-AQ54)/MAX(AQ$51-AQ$50,1)*(AQ$4-AQ$50))</f>
        <v/>
      </c>
      <c r="AR82" s="19">
        <f>IF(AR$4&lt;AR$50,0,AR54+(AR68-AR54)/MAX(AR$51-AR$50,1)*(AR$4-AR$50))</f>
        <v/>
      </c>
      <c r="AS82" s="19">
        <f>IF(AS$4&lt;AS$50,0,AS54+(AS68-AS54)/MAX(AS$51-AS$50,1)*(AS$4-AS$50))</f>
        <v/>
      </c>
      <c r="AT82" s="19">
        <f>IF(AT$4&lt;AT$50,0,AT54+(AT68-AT54)/MAX(AT$51-AT$50,1)*(AT$4-AT$50))</f>
        <v/>
      </c>
      <c r="AU82" s="19">
        <f>IF(AU$4&lt;AU$50,0,AU54+(AU68-AU54)/MAX(AU$51-AU$50,1)*(AU$4-AU$50))</f>
        <v/>
      </c>
      <c r="AV82" s="19">
        <f>IF(AV$4&lt;AV$50,0,AV54+(AV68-AV54)/MAX(AV$51-AV$50,1)*(AV$4-AV$50))</f>
        <v/>
      </c>
      <c r="AW82" s="19">
        <f>IF(AW$4&lt;AW$50,0,AW54+(AW68-AW54)/MAX(AW$51-AW$50,1)*(AW$4-AW$50))</f>
        <v/>
      </c>
      <c r="AX82" s="19">
        <f>IF(AX$4&lt;AX$50,0,AX54+(AX68-AX54)/MAX(AX$51-AX$50,1)*(AX$4-AX$50))</f>
        <v/>
      </c>
      <c r="AY82" s="19">
        <f>IF(AY$4&lt;AY$50,0,AY54+(AY68-AY54)/MAX(AY$51-AY$50,1)*(AY$4-AY$50))</f>
        <v/>
      </c>
      <c r="AZ82" s="19">
        <f>IF(AZ$4&lt;AZ$50,0,AZ54+(AZ68-AZ54)/MAX(AZ$51-AZ$50,1)*(AZ$4-AZ$50))</f>
        <v/>
      </c>
      <c r="BA82" s="20">
        <f>PATH(BA$4,BA$50,BA$51,BA54,BA68,TRUE)</f>
        <v/>
      </c>
    </row>
    <row r="83" hidden="1" outlineLevel="1">
      <c r="A83" s="1" t="inlineStr">
        <is>
          <t>fpr</t>
        </is>
      </c>
      <c r="B83" s="1" t="inlineStr">
        <is>
          <t>nga</t>
        </is>
      </c>
      <c r="C83" s="1" t="inlineStr">
        <is>
          <t>pow</t>
        </is>
      </c>
      <c r="H83" s="1">
        <f>INDEX(VarLab,MATCH($A83,VarKey,0))&amp;INDEX(MemLab,MATCH($C83&amp;"|"&amp;$B83,MemKey,0))</f>
        <v/>
      </c>
      <c r="I83" s="1">
        <f>INDEX(VarUnit,MATCH($A83,VarKey,0))</f>
        <v/>
      </c>
      <c r="J83" s="1">
        <f>INDEX(VarSrc,MATCH($A83,VarKey,0))</f>
        <v/>
      </c>
      <c r="K83" s="17">
        <f>CodePrefix&amp;$A83&amp;IF($C83="","","."&amp;$C83&amp;"."&amp;$B83)&amp;INDEX(VarEnd,MATCH($A83,VarKey,0))&amp;K$5</f>
        <v/>
      </c>
      <c r="L83" s="18">
        <f>IF(L$4&lt;L$50,0,L55+(L69-L55)/MAX(L$51-L$50,1)*(L$4-L$50))</f>
        <v/>
      </c>
      <c r="M83" s="19">
        <f>IF(M$4&lt;M$50,0,M55+(M69-M55)/MAX(M$51-M$50,1)*(M$4-M$50))</f>
        <v/>
      </c>
      <c r="N83" s="19">
        <f>IF(N$4&lt;N$50,0,N55+(N69-N55)/MAX(N$51-N$50,1)*(N$4-N$50))</f>
        <v/>
      </c>
      <c r="O83" s="19">
        <f>IF(O$4&lt;O$50,0,O55+(O69-O55)/MAX(O$51-O$50,1)*(O$4-O$50))</f>
        <v/>
      </c>
      <c r="P83" s="19">
        <f>IF(P$4&lt;P$50,0,P55+(P69-P55)/MAX(P$51-P$50,1)*(P$4-P$50))</f>
        <v/>
      </c>
      <c r="Q83" s="19">
        <f>IF(Q$4&lt;Q$50,0,Q55+(Q69-Q55)/MAX(Q$51-Q$50,1)*(Q$4-Q$50))</f>
        <v/>
      </c>
      <c r="R83" s="19">
        <f>IF(R$4&lt;R$50,0,R55+(R69-R55)/MAX(R$51-R$50,1)*(R$4-R$50))</f>
        <v/>
      </c>
      <c r="S83" s="19">
        <f>IF(S$4&lt;S$50,0,S55+(S69-S55)/MAX(S$51-S$50,1)*(S$4-S$50))</f>
        <v/>
      </c>
      <c r="T83" s="19">
        <f>IF(T$4&lt;T$50,0,T55+(T69-T55)/MAX(T$51-T$50,1)*(T$4-T$50))</f>
        <v/>
      </c>
      <c r="U83" s="19">
        <f>IF(U$4&lt;U$50,0,U55+(U69-U55)/MAX(U$51-U$50,1)*(U$4-U$50))</f>
        <v/>
      </c>
      <c r="V83" s="19">
        <f>IF(V$4&lt;V$50,0,V55+(V69-V55)/MAX(V$51-V$50,1)*(V$4-V$50))</f>
        <v/>
      </c>
      <c r="W83" s="19">
        <f>IF(W$4&lt;W$50,0,W55+(W69-W55)/MAX(W$51-W$50,1)*(W$4-W$50))</f>
        <v/>
      </c>
      <c r="X83" s="19">
        <f>IF(X$4&lt;X$50,0,X55+(X69-X55)/MAX(X$51-X$50,1)*(X$4-X$50))</f>
        <v/>
      </c>
      <c r="Y83" s="19">
        <f>IF(Y$4&lt;Y$50,0,Y55+(Y69-Y55)/MAX(Y$51-Y$50,1)*(Y$4-Y$50))</f>
        <v/>
      </c>
      <c r="Z83" s="19">
        <f>IF(Z$4&lt;Z$50,0,Z55+(Z69-Z55)/MAX(Z$51-Z$50,1)*(Z$4-Z$50))</f>
        <v/>
      </c>
      <c r="AA83" s="19">
        <f>IF(AA$4&lt;AA$50,0,AA55+(AA69-AA55)/MAX(AA$51-AA$50,1)*(AA$4-AA$50))</f>
        <v/>
      </c>
      <c r="AB83" s="19">
        <f>IF(AB$4&lt;AB$50,0,AB55+(AB69-AB55)/MAX(AB$51-AB$50,1)*(AB$4-AB$50))</f>
        <v/>
      </c>
      <c r="AC83" s="19">
        <f>IF(AC$4&lt;AC$50,0,AC55+(AC69-AC55)/MAX(AC$51-AC$50,1)*(AC$4-AC$50))</f>
        <v/>
      </c>
      <c r="AD83" s="19">
        <f>IF(AD$4&lt;AD$50,0,AD55+(AD69-AD55)/MAX(AD$51-AD$50,1)*(AD$4-AD$50))</f>
        <v/>
      </c>
      <c r="AE83" s="20">
        <f>PATH(AE$4,AE$50,AE$51,AE55,AE69,TRUE)</f>
        <v/>
      </c>
      <c r="AG83" s="17">
        <f>CodePrefix&amp;$A83&amp;IF($C83="","","."&amp;$C83&amp;"."&amp;$B83)&amp;INDEX(VarEnd,MATCH($A83,VarKey,0))&amp;AG$5</f>
        <v/>
      </c>
      <c r="AH83" s="18">
        <f>IF(AH$4&lt;AH$50,0,AH55+(AH69-AH55)/MAX(AH$51-AH$50,1)*(AH$4-AH$50))</f>
        <v/>
      </c>
      <c r="AI83" s="19">
        <f>IF(AI$4&lt;AI$50,0,AI55+(AI69-AI55)/MAX(AI$51-AI$50,1)*(AI$4-AI$50))</f>
        <v/>
      </c>
      <c r="AJ83" s="19">
        <f>IF(AJ$4&lt;AJ$50,0,AJ55+(AJ69-AJ55)/MAX(AJ$51-AJ$50,1)*(AJ$4-AJ$50))</f>
        <v/>
      </c>
      <c r="AK83" s="19">
        <f>IF(AK$4&lt;AK$50,0,AK55+(AK69-AK55)/MAX(AK$51-AK$50,1)*(AK$4-AK$50))</f>
        <v/>
      </c>
      <c r="AL83" s="19">
        <f>IF(AL$4&lt;AL$50,0,AL55+(AL69-AL55)/MAX(AL$51-AL$50,1)*(AL$4-AL$50))</f>
        <v/>
      </c>
      <c r="AM83" s="19">
        <f>IF(AM$4&lt;AM$50,0,AM55+(AM69-AM55)/MAX(AM$51-AM$50,1)*(AM$4-AM$50))</f>
        <v/>
      </c>
      <c r="AN83" s="19">
        <f>IF(AN$4&lt;AN$50,0,AN55+(AN69-AN55)/MAX(AN$51-AN$50,1)*(AN$4-AN$50))</f>
        <v/>
      </c>
      <c r="AO83" s="19">
        <f>IF(AO$4&lt;AO$50,0,AO55+(AO69-AO55)/MAX(AO$51-AO$50,1)*(AO$4-AO$50))</f>
        <v/>
      </c>
      <c r="AP83" s="19">
        <f>IF(AP$4&lt;AP$50,0,AP55+(AP69-AP55)/MAX(AP$51-AP$50,1)*(AP$4-AP$50))</f>
        <v/>
      </c>
      <c r="AQ83" s="19">
        <f>IF(AQ$4&lt;AQ$50,0,AQ55+(AQ69-AQ55)/MAX(AQ$51-AQ$50,1)*(AQ$4-AQ$50))</f>
        <v/>
      </c>
      <c r="AR83" s="19">
        <f>IF(AR$4&lt;AR$50,0,AR55+(AR69-AR55)/MAX(AR$51-AR$50,1)*(AR$4-AR$50))</f>
        <v/>
      </c>
      <c r="AS83" s="19">
        <f>IF(AS$4&lt;AS$50,0,AS55+(AS69-AS55)/MAX(AS$51-AS$50,1)*(AS$4-AS$50))</f>
        <v/>
      </c>
      <c r="AT83" s="19">
        <f>IF(AT$4&lt;AT$50,0,AT55+(AT69-AT55)/MAX(AT$51-AT$50,1)*(AT$4-AT$50))</f>
        <v/>
      </c>
      <c r="AU83" s="19">
        <f>IF(AU$4&lt;AU$50,0,AU55+(AU69-AU55)/MAX(AU$51-AU$50,1)*(AU$4-AU$50))</f>
        <v/>
      </c>
      <c r="AV83" s="19">
        <f>IF(AV$4&lt;AV$50,0,AV55+(AV69-AV55)/MAX(AV$51-AV$50,1)*(AV$4-AV$50))</f>
        <v/>
      </c>
      <c r="AW83" s="19">
        <f>IF(AW$4&lt;AW$50,0,AW55+(AW69-AW55)/MAX(AW$51-AW$50,1)*(AW$4-AW$50))</f>
        <v/>
      </c>
      <c r="AX83" s="19">
        <f>IF(AX$4&lt;AX$50,0,AX55+(AX69-AX55)/MAX(AX$51-AX$50,1)*(AX$4-AX$50))</f>
        <v/>
      </c>
      <c r="AY83" s="19">
        <f>IF(AY$4&lt;AY$50,0,AY55+(AY69-AY55)/MAX(AY$51-AY$50,1)*(AY$4-AY$50))</f>
        <v/>
      </c>
      <c r="AZ83" s="19">
        <f>IF(AZ$4&lt;AZ$50,0,AZ55+(AZ69-AZ55)/MAX(AZ$51-AZ$50,1)*(AZ$4-AZ$50))</f>
        <v/>
      </c>
      <c r="BA83" s="20">
        <f>PATH(BA$4,BA$50,BA$51,BA55,BA69,TRUE)</f>
        <v/>
      </c>
    </row>
    <row r="84" hidden="1" outlineLevel="1">
      <c r="A84" s="1" t="inlineStr">
        <is>
          <t>fpr</t>
        </is>
      </c>
      <c r="B84" s="1" t="inlineStr">
        <is>
          <t>nga</t>
        </is>
      </c>
      <c r="C84" s="1" t="inlineStr">
        <is>
          <t>res</t>
        </is>
      </c>
      <c r="H84" s="1">
        <f>INDEX(VarLab,MATCH($A84,VarKey,0))&amp;INDEX(MemLab,MATCH($C84&amp;"|"&amp;$B84,MemKey,0))</f>
        <v/>
      </c>
      <c r="I84" s="1">
        <f>INDEX(VarUnit,MATCH($A84,VarKey,0))</f>
        <v/>
      </c>
      <c r="J84" s="1">
        <f>INDEX(VarSrc,MATCH($A84,VarKey,0))</f>
        <v/>
      </c>
      <c r="K84" s="17">
        <f>CodePrefix&amp;$A84&amp;IF($C84="","","."&amp;$C84&amp;"."&amp;$B84)&amp;INDEX(VarEnd,MATCH($A84,VarKey,0))&amp;K$5</f>
        <v/>
      </c>
      <c r="L84" s="18">
        <f>IF(L$4&lt;L$50,0,L56+(L70-L56)/MAX(L$51-L$50,1)*(L$4-L$50))</f>
        <v/>
      </c>
      <c r="M84" s="19">
        <f>IF(M$4&lt;M$50,0,M56+(M70-M56)/MAX(M$51-M$50,1)*(M$4-M$50))</f>
        <v/>
      </c>
      <c r="N84" s="19">
        <f>IF(N$4&lt;N$50,0,N56+(N70-N56)/MAX(N$51-N$50,1)*(N$4-N$50))</f>
        <v/>
      </c>
      <c r="O84" s="19">
        <f>IF(O$4&lt;O$50,0,O56+(O70-O56)/MAX(O$51-O$50,1)*(O$4-O$50))</f>
        <v/>
      </c>
      <c r="P84" s="19">
        <f>IF(P$4&lt;P$50,0,P56+(P70-P56)/MAX(P$51-P$50,1)*(P$4-P$50))</f>
        <v/>
      </c>
      <c r="Q84" s="19">
        <f>IF(Q$4&lt;Q$50,0,Q56+(Q70-Q56)/MAX(Q$51-Q$50,1)*(Q$4-Q$50))</f>
        <v/>
      </c>
      <c r="R84" s="19">
        <f>IF(R$4&lt;R$50,0,R56+(R70-R56)/MAX(R$51-R$50,1)*(R$4-R$50))</f>
        <v/>
      </c>
      <c r="S84" s="19">
        <f>IF(S$4&lt;S$50,0,S56+(S70-S56)/MAX(S$51-S$50,1)*(S$4-S$50))</f>
        <v/>
      </c>
      <c r="T84" s="19">
        <f>IF(T$4&lt;T$50,0,T56+(T70-T56)/MAX(T$51-T$50,1)*(T$4-T$50))</f>
        <v/>
      </c>
      <c r="U84" s="19">
        <f>IF(U$4&lt;U$50,0,U56+(U70-U56)/MAX(U$51-U$50,1)*(U$4-U$50))</f>
        <v/>
      </c>
      <c r="V84" s="19">
        <f>IF(V$4&lt;V$50,0,V56+(V70-V56)/MAX(V$51-V$50,1)*(V$4-V$50))</f>
        <v/>
      </c>
      <c r="W84" s="19">
        <f>IF(W$4&lt;W$50,0,W56+(W70-W56)/MAX(W$51-W$50,1)*(W$4-W$50))</f>
        <v/>
      </c>
      <c r="X84" s="19">
        <f>IF(X$4&lt;X$50,0,X56+(X70-X56)/MAX(X$51-X$50,1)*(X$4-X$50))</f>
        <v/>
      </c>
      <c r="Y84" s="19">
        <f>IF(Y$4&lt;Y$50,0,Y56+(Y70-Y56)/MAX(Y$51-Y$50,1)*(Y$4-Y$50))</f>
        <v/>
      </c>
      <c r="Z84" s="19">
        <f>IF(Z$4&lt;Z$50,0,Z56+(Z70-Z56)/MAX(Z$51-Z$50,1)*(Z$4-Z$50))</f>
        <v/>
      </c>
      <c r="AA84" s="19">
        <f>IF(AA$4&lt;AA$50,0,AA56+(AA70-AA56)/MAX(AA$51-AA$50,1)*(AA$4-AA$50))</f>
        <v/>
      </c>
      <c r="AB84" s="19">
        <f>IF(AB$4&lt;AB$50,0,AB56+(AB70-AB56)/MAX(AB$51-AB$50,1)*(AB$4-AB$50))</f>
        <v/>
      </c>
      <c r="AC84" s="19">
        <f>IF(AC$4&lt;AC$50,0,AC56+(AC70-AC56)/MAX(AC$51-AC$50,1)*(AC$4-AC$50))</f>
        <v/>
      </c>
      <c r="AD84" s="19">
        <f>IF(AD$4&lt;AD$50,0,AD56+(AD70-AD56)/MAX(AD$51-AD$50,1)*(AD$4-AD$50))</f>
        <v/>
      </c>
      <c r="AE84" s="20">
        <f>PATH(AE$4,AE$50,AE$51,AE56,AE70,TRUE)</f>
        <v/>
      </c>
      <c r="AG84" s="17">
        <f>CodePrefix&amp;$A84&amp;IF($C84="","","."&amp;$C84&amp;"."&amp;$B84)&amp;INDEX(VarEnd,MATCH($A84,VarKey,0))&amp;AG$5</f>
        <v/>
      </c>
      <c r="AH84" s="18">
        <f>IF(AH$4&lt;AH$50,0,AH56+(AH70-AH56)/MAX(AH$51-AH$50,1)*(AH$4-AH$50))</f>
        <v/>
      </c>
      <c r="AI84" s="19">
        <f>IF(AI$4&lt;AI$50,0,AI56+(AI70-AI56)/MAX(AI$51-AI$50,1)*(AI$4-AI$50))</f>
        <v/>
      </c>
      <c r="AJ84" s="19">
        <f>IF(AJ$4&lt;AJ$50,0,AJ56+(AJ70-AJ56)/MAX(AJ$51-AJ$50,1)*(AJ$4-AJ$50))</f>
        <v/>
      </c>
      <c r="AK84" s="19">
        <f>IF(AK$4&lt;AK$50,0,AK56+(AK70-AK56)/MAX(AK$51-AK$50,1)*(AK$4-AK$50))</f>
        <v/>
      </c>
      <c r="AL84" s="19">
        <f>IF(AL$4&lt;AL$50,0,AL56+(AL70-AL56)/MAX(AL$51-AL$50,1)*(AL$4-AL$50))</f>
        <v/>
      </c>
      <c r="AM84" s="19">
        <f>IF(AM$4&lt;AM$50,0,AM56+(AM70-AM56)/MAX(AM$51-AM$50,1)*(AM$4-AM$50))</f>
        <v/>
      </c>
      <c r="AN84" s="19">
        <f>IF(AN$4&lt;AN$50,0,AN56+(AN70-AN56)/MAX(AN$51-AN$50,1)*(AN$4-AN$50))</f>
        <v/>
      </c>
      <c r="AO84" s="19">
        <f>IF(AO$4&lt;AO$50,0,AO56+(AO70-AO56)/MAX(AO$51-AO$50,1)*(AO$4-AO$50))</f>
        <v/>
      </c>
      <c r="AP84" s="19">
        <f>IF(AP$4&lt;AP$50,0,AP56+(AP70-AP56)/MAX(AP$51-AP$50,1)*(AP$4-AP$50))</f>
        <v/>
      </c>
      <c r="AQ84" s="19">
        <f>IF(AQ$4&lt;AQ$50,0,AQ56+(AQ70-AQ56)/MAX(AQ$51-AQ$50,1)*(AQ$4-AQ$50))</f>
        <v/>
      </c>
      <c r="AR84" s="19">
        <f>IF(AR$4&lt;AR$50,0,AR56+(AR70-AR56)/MAX(AR$51-AR$50,1)*(AR$4-AR$50))</f>
        <v/>
      </c>
      <c r="AS84" s="19">
        <f>IF(AS$4&lt;AS$50,0,AS56+(AS70-AS56)/MAX(AS$51-AS$50,1)*(AS$4-AS$50))</f>
        <v/>
      </c>
      <c r="AT84" s="19">
        <f>IF(AT$4&lt;AT$50,0,AT56+(AT70-AT56)/MAX(AT$51-AT$50,1)*(AT$4-AT$50))</f>
        <v/>
      </c>
      <c r="AU84" s="19">
        <f>IF(AU$4&lt;AU$50,0,AU56+(AU70-AU56)/MAX(AU$51-AU$50,1)*(AU$4-AU$50))</f>
        <v/>
      </c>
      <c r="AV84" s="19">
        <f>IF(AV$4&lt;AV$50,0,AV56+(AV70-AV56)/MAX(AV$51-AV$50,1)*(AV$4-AV$50))</f>
        <v/>
      </c>
      <c r="AW84" s="19">
        <f>IF(AW$4&lt;AW$50,0,AW56+(AW70-AW56)/MAX(AW$51-AW$50,1)*(AW$4-AW$50))</f>
        <v/>
      </c>
      <c r="AX84" s="19">
        <f>IF(AX$4&lt;AX$50,0,AX56+(AX70-AX56)/MAX(AX$51-AX$50,1)*(AX$4-AX$50))</f>
        <v/>
      </c>
      <c r="AY84" s="19">
        <f>IF(AY$4&lt;AY$50,0,AY56+(AY70-AY56)/MAX(AY$51-AY$50,1)*(AY$4-AY$50))</f>
        <v/>
      </c>
      <c r="AZ84" s="19">
        <f>IF(AZ$4&lt;AZ$50,0,AZ56+(AZ70-AZ56)/MAX(AZ$51-AZ$50,1)*(AZ$4-AZ$50))</f>
        <v/>
      </c>
      <c r="BA84" s="20">
        <f>PATH(BA$4,BA$50,BA$51,BA56,BA70,TRUE)</f>
        <v/>
      </c>
    </row>
    <row r="85" hidden="1" outlineLevel="1">
      <c r="A85" s="1" t="inlineStr">
        <is>
          <t>fpr</t>
        </is>
      </c>
      <c r="B85" s="1" t="inlineStr">
        <is>
          <t>nga</t>
        </is>
      </c>
      <c r="C85" s="1" t="inlineStr">
        <is>
          <t>ind</t>
        </is>
      </c>
      <c r="H85" s="1">
        <f>INDEX(VarLab,MATCH($A85,VarKey,0))&amp;INDEX(MemLab,MATCH($C85&amp;"|"&amp;$B85,MemKey,0))</f>
        <v/>
      </c>
      <c r="I85" s="1">
        <f>INDEX(VarUnit,MATCH($A85,VarKey,0))</f>
        <v/>
      </c>
      <c r="J85" s="1">
        <f>INDEX(VarSrc,MATCH($A85,VarKey,0))</f>
        <v/>
      </c>
      <c r="K85" s="17">
        <f>CodePrefix&amp;$A85&amp;IF($C85="","","."&amp;$C85&amp;"."&amp;$B85)&amp;INDEX(VarEnd,MATCH($A85,VarKey,0))&amp;K$5</f>
        <v/>
      </c>
      <c r="L85" s="18">
        <f>IF(L$4&lt;L$50,0,L57+(L71-L57)/MAX(L$51-L$50,1)*(L$4-L$50))</f>
        <v/>
      </c>
      <c r="M85" s="19">
        <f>IF(M$4&lt;M$50,0,M57+(M71-M57)/MAX(M$51-M$50,1)*(M$4-M$50))</f>
        <v/>
      </c>
      <c r="N85" s="19">
        <f>IF(N$4&lt;N$50,0,N57+(N71-N57)/MAX(N$51-N$50,1)*(N$4-N$50))</f>
        <v/>
      </c>
      <c r="O85" s="19">
        <f>IF(O$4&lt;O$50,0,O57+(O71-O57)/MAX(O$51-O$50,1)*(O$4-O$50))</f>
        <v/>
      </c>
      <c r="P85" s="19">
        <f>IF(P$4&lt;P$50,0,P57+(P71-P57)/MAX(P$51-P$50,1)*(P$4-P$50))</f>
        <v/>
      </c>
      <c r="Q85" s="19">
        <f>IF(Q$4&lt;Q$50,0,Q57+(Q71-Q57)/MAX(Q$51-Q$50,1)*(Q$4-Q$50))</f>
        <v/>
      </c>
      <c r="R85" s="19">
        <f>IF(R$4&lt;R$50,0,R57+(R71-R57)/MAX(R$51-R$50,1)*(R$4-R$50))</f>
        <v/>
      </c>
      <c r="S85" s="19">
        <f>IF(S$4&lt;S$50,0,S57+(S71-S57)/MAX(S$51-S$50,1)*(S$4-S$50))</f>
        <v/>
      </c>
      <c r="T85" s="19">
        <f>IF(T$4&lt;T$50,0,T57+(T71-T57)/MAX(T$51-T$50,1)*(T$4-T$50))</f>
        <v/>
      </c>
      <c r="U85" s="19">
        <f>IF(U$4&lt;U$50,0,U57+(U71-U57)/MAX(U$51-U$50,1)*(U$4-U$50))</f>
        <v/>
      </c>
      <c r="V85" s="19">
        <f>IF(V$4&lt;V$50,0,V57+(V71-V57)/MAX(V$51-V$50,1)*(V$4-V$50))</f>
        <v/>
      </c>
      <c r="W85" s="19">
        <f>IF(W$4&lt;W$50,0,W57+(W71-W57)/MAX(W$51-W$50,1)*(W$4-W$50))</f>
        <v/>
      </c>
      <c r="X85" s="19">
        <f>IF(X$4&lt;X$50,0,X57+(X71-X57)/MAX(X$51-X$50,1)*(X$4-X$50))</f>
        <v/>
      </c>
      <c r="Y85" s="19">
        <f>IF(Y$4&lt;Y$50,0,Y57+(Y71-Y57)/MAX(Y$51-Y$50,1)*(Y$4-Y$50))</f>
        <v/>
      </c>
      <c r="Z85" s="19">
        <f>IF(Z$4&lt;Z$50,0,Z57+(Z71-Z57)/MAX(Z$51-Z$50,1)*(Z$4-Z$50))</f>
        <v/>
      </c>
      <c r="AA85" s="19">
        <f>IF(AA$4&lt;AA$50,0,AA57+(AA71-AA57)/MAX(AA$51-AA$50,1)*(AA$4-AA$50))</f>
        <v/>
      </c>
      <c r="AB85" s="19">
        <f>IF(AB$4&lt;AB$50,0,AB57+(AB71-AB57)/MAX(AB$51-AB$50,1)*(AB$4-AB$50))</f>
        <v/>
      </c>
      <c r="AC85" s="19">
        <f>IF(AC$4&lt;AC$50,0,AC57+(AC71-AC57)/MAX(AC$51-AC$50,1)*(AC$4-AC$50))</f>
        <v/>
      </c>
      <c r="AD85" s="19">
        <f>IF(AD$4&lt;AD$50,0,AD57+(AD71-AD57)/MAX(AD$51-AD$50,1)*(AD$4-AD$50))</f>
        <v/>
      </c>
      <c r="AE85" s="20">
        <f>PATH(AE$4,AE$50,AE$51,AE57,AE71,TRUE)</f>
        <v/>
      </c>
      <c r="AG85" s="17">
        <f>CodePrefix&amp;$A85&amp;IF($C85="","","."&amp;$C85&amp;"."&amp;$B85)&amp;INDEX(VarEnd,MATCH($A85,VarKey,0))&amp;AG$5</f>
        <v/>
      </c>
      <c r="AH85" s="18">
        <f>IF(AH$4&lt;AH$50,0,AH57+(AH71-AH57)/MAX(AH$51-AH$50,1)*(AH$4-AH$50))</f>
        <v/>
      </c>
      <c r="AI85" s="19">
        <f>IF(AI$4&lt;AI$50,0,AI57+(AI71-AI57)/MAX(AI$51-AI$50,1)*(AI$4-AI$50))</f>
        <v/>
      </c>
      <c r="AJ85" s="19">
        <f>IF(AJ$4&lt;AJ$50,0,AJ57+(AJ71-AJ57)/MAX(AJ$51-AJ$50,1)*(AJ$4-AJ$50))</f>
        <v/>
      </c>
      <c r="AK85" s="19">
        <f>IF(AK$4&lt;AK$50,0,AK57+(AK71-AK57)/MAX(AK$51-AK$50,1)*(AK$4-AK$50))</f>
        <v/>
      </c>
      <c r="AL85" s="19">
        <f>IF(AL$4&lt;AL$50,0,AL57+(AL71-AL57)/MAX(AL$51-AL$50,1)*(AL$4-AL$50))</f>
        <v/>
      </c>
      <c r="AM85" s="19">
        <f>IF(AM$4&lt;AM$50,0,AM57+(AM71-AM57)/MAX(AM$51-AM$50,1)*(AM$4-AM$50))</f>
        <v/>
      </c>
      <c r="AN85" s="19">
        <f>IF(AN$4&lt;AN$50,0,AN57+(AN71-AN57)/MAX(AN$51-AN$50,1)*(AN$4-AN$50))</f>
        <v/>
      </c>
      <c r="AO85" s="19">
        <f>IF(AO$4&lt;AO$50,0,AO57+(AO71-AO57)/MAX(AO$51-AO$50,1)*(AO$4-AO$50))</f>
        <v/>
      </c>
      <c r="AP85" s="19">
        <f>IF(AP$4&lt;AP$50,0,AP57+(AP71-AP57)/MAX(AP$51-AP$50,1)*(AP$4-AP$50))</f>
        <v/>
      </c>
      <c r="AQ85" s="19">
        <f>IF(AQ$4&lt;AQ$50,0,AQ57+(AQ71-AQ57)/MAX(AQ$51-AQ$50,1)*(AQ$4-AQ$50))</f>
        <v/>
      </c>
      <c r="AR85" s="19">
        <f>IF(AR$4&lt;AR$50,0,AR57+(AR71-AR57)/MAX(AR$51-AR$50,1)*(AR$4-AR$50))</f>
        <v/>
      </c>
      <c r="AS85" s="19">
        <f>IF(AS$4&lt;AS$50,0,AS57+(AS71-AS57)/MAX(AS$51-AS$50,1)*(AS$4-AS$50))</f>
        <v/>
      </c>
      <c r="AT85" s="19">
        <f>IF(AT$4&lt;AT$50,0,AT57+(AT71-AT57)/MAX(AT$51-AT$50,1)*(AT$4-AT$50))</f>
        <v/>
      </c>
      <c r="AU85" s="19">
        <f>IF(AU$4&lt;AU$50,0,AU57+(AU71-AU57)/MAX(AU$51-AU$50,1)*(AU$4-AU$50))</f>
        <v/>
      </c>
      <c r="AV85" s="19">
        <f>IF(AV$4&lt;AV$50,0,AV57+(AV71-AV57)/MAX(AV$51-AV$50,1)*(AV$4-AV$50))</f>
        <v/>
      </c>
      <c r="AW85" s="19">
        <f>IF(AW$4&lt;AW$50,0,AW57+(AW71-AW57)/MAX(AW$51-AW$50,1)*(AW$4-AW$50))</f>
        <v/>
      </c>
      <c r="AX85" s="19">
        <f>IF(AX$4&lt;AX$50,0,AX57+(AX71-AX57)/MAX(AX$51-AX$50,1)*(AX$4-AX$50))</f>
        <v/>
      </c>
      <c r="AY85" s="19">
        <f>IF(AY$4&lt;AY$50,0,AY57+(AY71-AY57)/MAX(AY$51-AY$50,1)*(AY$4-AY$50))</f>
        <v/>
      </c>
      <c r="AZ85" s="19">
        <f>IF(AZ$4&lt;AZ$50,0,AZ57+(AZ71-AZ57)/MAX(AZ$51-AZ$50,1)*(AZ$4-AZ$50))</f>
        <v/>
      </c>
      <c r="BA85" s="20">
        <f>PATH(BA$4,BA$50,BA$51,BA57,BA71,TRUE)</f>
        <v/>
      </c>
    </row>
    <row r="86" hidden="1" outlineLevel="1">
      <c r="A86" s="1" t="inlineStr">
        <is>
          <t>fpr</t>
        </is>
      </c>
      <c r="B86" s="1" t="inlineStr">
        <is>
          <t>ecy</t>
        </is>
      </c>
      <c r="C86" s="1" t="inlineStr">
        <is>
          <t>res</t>
        </is>
      </c>
      <c r="H86" s="1">
        <f>INDEX(VarLab,MATCH($A86,VarKey,0))&amp;INDEX(MemLab,MATCH($C86&amp;"|"&amp;$B86,MemKey,0))</f>
        <v/>
      </c>
      <c r="I86" s="1">
        <f>INDEX(VarUnit,MATCH($A86,VarKey,0))</f>
        <v/>
      </c>
      <c r="J86" s="1">
        <f>INDEX(VarSrc,MATCH($A86,VarKey,0))</f>
        <v/>
      </c>
      <c r="K86" s="17">
        <f>CodePrefix&amp;$A86&amp;IF($C86="","","."&amp;$C86&amp;"."&amp;$B86)&amp;INDEX(VarEnd,MATCH($A86,VarKey,0))&amp;K$5</f>
        <v/>
      </c>
      <c r="L86" s="18">
        <f>IF(L$4&lt;L$50,0,L58+(L72-L58)/MAX(L$51-L$50,1)*(L$4-L$50))</f>
        <v/>
      </c>
      <c r="M86" s="19">
        <f>IF(M$4&lt;M$50,0,M58+(M72-M58)/MAX(M$51-M$50,1)*(M$4-M$50))</f>
        <v/>
      </c>
      <c r="N86" s="19">
        <f>IF(N$4&lt;N$50,0,N58+(N72-N58)/MAX(N$51-N$50,1)*(N$4-N$50))</f>
        <v/>
      </c>
      <c r="O86" s="19">
        <f>IF(O$4&lt;O$50,0,O58+(O72-O58)/MAX(O$51-O$50,1)*(O$4-O$50))</f>
        <v/>
      </c>
      <c r="P86" s="19">
        <f>IF(P$4&lt;P$50,0,P58+(P72-P58)/MAX(P$51-P$50,1)*(P$4-P$50))</f>
        <v/>
      </c>
      <c r="Q86" s="19">
        <f>IF(Q$4&lt;Q$50,0,Q58+(Q72-Q58)/MAX(Q$51-Q$50,1)*(Q$4-Q$50))</f>
        <v/>
      </c>
      <c r="R86" s="19">
        <f>IF(R$4&lt;R$50,0,R58+(R72-R58)/MAX(R$51-R$50,1)*(R$4-R$50))</f>
        <v/>
      </c>
      <c r="S86" s="19">
        <f>IF(S$4&lt;S$50,0,S58+(S72-S58)/MAX(S$51-S$50,1)*(S$4-S$50))</f>
        <v/>
      </c>
      <c r="T86" s="19">
        <f>IF(T$4&lt;T$50,0,T58+(T72-T58)/MAX(T$51-T$50,1)*(T$4-T$50))</f>
        <v/>
      </c>
      <c r="U86" s="19">
        <f>IF(U$4&lt;U$50,0,U58+(U72-U58)/MAX(U$51-U$50,1)*(U$4-U$50))</f>
        <v/>
      </c>
      <c r="V86" s="19">
        <f>IF(V$4&lt;V$50,0,V58+(V72-V58)/MAX(V$51-V$50,1)*(V$4-V$50))</f>
        <v/>
      </c>
      <c r="W86" s="19">
        <f>IF(W$4&lt;W$50,0,W58+(W72-W58)/MAX(W$51-W$50,1)*(W$4-W$50))</f>
        <v/>
      </c>
      <c r="X86" s="19">
        <f>IF(X$4&lt;X$50,0,X58+(X72-X58)/MAX(X$51-X$50,1)*(X$4-X$50))</f>
        <v/>
      </c>
      <c r="Y86" s="19">
        <f>IF(Y$4&lt;Y$50,0,Y58+(Y72-Y58)/MAX(Y$51-Y$50,1)*(Y$4-Y$50))</f>
        <v/>
      </c>
      <c r="Z86" s="19">
        <f>IF(Z$4&lt;Z$50,0,Z58+(Z72-Z58)/MAX(Z$51-Z$50,1)*(Z$4-Z$50))</f>
        <v/>
      </c>
      <c r="AA86" s="19">
        <f>IF(AA$4&lt;AA$50,0,AA58+(AA72-AA58)/MAX(AA$51-AA$50,1)*(AA$4-AA$50))</f>
        <v/>
      </c>
      <c r="AB86" s="19">
        <f>IF(AB$4&lt;AB$50,0,AB58+(AB72-AB58)/MAX(AB$51-AB$50,1)*(AB$4-AB$50))</f>
        <v/>
      </c>
      <c r="AC86" s="19">
        <f>IF(AC$4&lt;AC$50,0,AC58+(AC72-AC58)/MAX(AC$51-AC$50,1)*(AC$4-AC$50))</f>
        <v/>
      </c>
      <c r="AD86" s="19">
        <f>IF(AD$4&lt;AD$50,0,AD58+(AD72-AD58)/MAX(AD$51-AD$50,1)*(AD$4-AD$50))</f>
        <v/>
      </c>
      <c r="AE86" s="20">
        <f>PATH(AE$4,AE$50,AE$51,AE58,AE72,TRUE)</f>
        <v/>
      </c>
      <c r="AG86" s="17">
        <f>CodePrefix&amp;$A86&amp;IF($C86="","","."&amp;$C86&amp;"."&amp;$B86)&amp;INDEX(VarEnd,MATCH($A86,VarKey,0))&amp;AG$5</f>
        <v/>
      </c>
      <c r="AH86" s="18">
        <f>IF(AH$4&lt;AH$50,0,AH58+(AH72-AH58)/MAX(AH$51-AH$50,1)*(AH$4-AH$50))</f>
        <v/>
      </c>
      <c r="AI86" s="19">
        <f>IF(AI$4&lt;AI$50,0,AI58+(AI72-AI58)/MAX(AI$51-AI$50,1)*(AI$4-AI$50))</f>
        <v/>
      </c>
      <c r="AJ86" s="19">
        <f>IF(AJ$4&lt;AJ$50,0,AJ58+(AJ72-AJ58)/MAX(AJ$51-AJ$50,1)*(AJ$4-AJ$50))</f>
        <v/>
      </c>
      <c r="AK86" s="19">
        <f>IF(AK$4&lt;AK$50,0,AK58+(AK72-AK58)/MAX(AK$51-AK$50,1)*(AK$4-AK$50))</f>
        <v/>
      </c>
      <c r="AL86" s="19">
        <f>IF(AL$4&lt;AL$50,0,AL58+(AL72-AL58)/MAX(AL$51-AL$50,1)*(AL$4-AL$50))</f>
        <v/>
      </c>
      <c r="AM86" s="19">
        <f>IF(AM$4&lt;AM$50,0,AM58+(AM72-AM58)/MAX(AM$51-AM$50,1)*(AM$4-AM$50))</f>
        <v/>
      </c>
      <c r="AN86" s="19">
        <f>IF(AN$4&lt;AN$50,0,AN58+(AN72-AN58)/MAX(AN$51-AN$50,1)*(AN$4-AN$50))</f>
        <v/>
      </c>
      <c r="AO86" s="19">
        <f>IF(AO$4&lt;AO$50,0,AO58+(AO72-AO58)/MAX(AO$51-AO$50,1)*(AO$4-AO$50))</f>
        <v/>
      </c>
      <c r="AP86" s="19">
        <f>IF(AP$4&lt;AP$50,0,AP58+(AP72-AP58)/MAX(AP$51-AP$50,1)*(AP$4-AP$50))</f>
        <v/>
      </c>
      <c r="AQ86" s="19">
        <f>IF(AQ$4&lt;AQ$50,0,AQ58+(AQ72-AQ58)/MAX(AQ$51-AQ$50,1)*(AQ$4-AQ$50))</f>
        <v/>
      </c>
      <c r="AR86" s="19">
        <f>IF(AR$4&lt;AR$50,0,AR58+(AR72-AR58)/MAX(AR$51-AR$50,1)*(AR$4-AR$50))</f>
        <v/>
      </c>
      <c r="AS86" s="19">
        <f>IF(AS$4&lt;AS$50,0,AS58+(AS72-AS58)/MAX(AS$51-AS$50,1)*(AS$4-AS$50))</f>
        <v/>
      </c>
      <c r="AT86" s="19">
        <f>IF(AT$4&lt;AT$50,0,AT58+(AT72-AT58)/MAX(AT$51-AT$50,1)*(AT$4-AT$50))</f>
        <v/>
      </c>
      <c r="AU86" s="19">
        <f>IF(AU$4&lt;AU$50,0,AU58+(AU72-AU58)/MAX(AU$51-AU$50,1)*(AU$4-AU$50))</f>
        <v/>
      </c>
      <c r="AV86" s="19">
        <f>IF(AV$4&lt;AV$50,0,AV58+(AV72-AV58)/MAX(AV$51-AV$50,1)*(AV$4-AV$50))</f>
        <v/>
      </c>
      <c r="AW86" s="19">
        <f>IF(AW$4&lt;AW$50,0,AW58+(AW72-AW58)/MAX(AW$51-AW$50,1)*(AW$4-AW$50))</f>
        <v/>
      </c>
      <c r="AX86" s="19">
        <f>IF(AX$4&lt;AX$50,0,AX58+(AX72-AX58)/MAX(AX$51-AX$50,1)*(AX$4-AX$50))</f>
        <v/>
      </c>
      <c r="AY86" s="19">
        <f>IF(AY$4&lt;AY$50,0,AY58+(AY72-AY58)/MAX(AY$51-AY$50,1)*(AY$4-AY$50))</f>
        <v/>
      </c>
      <c r="AZ86" s="19">
        <f>IF(AZ$4&lt;AZ$50,0,AZ58+(AZ72-AZ58)/MAX(AZ$51-AZ$50,1)*(AZ$4-AZ$50))</f>
        <v/>
      </c>
      <c r="BA86" s="20">
        <f>PATH(BA$4,BA$50,BA$51,BA58,BA72,TRUE)</f>
        <v/>
      </c>
    </row>
    <row r="87" hidden="1" outlineLevel="1">
      <c r="A87" s="1" t="inlineStr">
        <is>
          <t>fpr</t>
        </is>
      </c>
      <c r="B87" s="1" t="inlineStr">
        <is>
          <t>ecy</t>
        </is>
      </c>
      <c r="C87" s="1" t="inlineStr">
        <is>
          <t>ind</t>
        </is>
      </c>
      <c r="H87" s="1">
        <f>INDEX(VarLab,MATCH($A87,VarKey,0))&amp;INDEX(MemLab,MATCH($C87&amp;"|"&amp;$B87,MemKey,0))</f>
        <v/>
      </c>
      <c r="I87" s="1">
        <f>INDEX(VarUnit,MATCH($A87,VarKey,0))</f>
        <v/>
      </c>
      <c r="J87" s="1">
        <f>INDEX(VarSrc,MATCH($A87,VarKey,0))</f>
        <v/>
      </c>
      <c r="K87" s="17">
        <f>CodePrefix&amp;$A87&amp;IF($C87="","","."&amp;$C87&amp;"."&amp;$B87)&amp;INDEX(VarEnd,MATCH($A87,VarKey,0))&amp;K$5</f>
        <v/>
      </c>
      <c r="L87" s="18">
        <f>IF(L$4&lt;L$50,0,L59+(L73-L59)/MAX(L$51-L$50,1)*(L$4-L$50))</f>
        <v/>
      </c>
      <c r="M87" s="19">
        <f>IF(M$4&lt;M$50,0,M59+(M73-M59)/MAX(M$51-M$50,1)*(M$4-M$50))</f>
        <v/>
      </c>
      <c r="N87" s="19">
        <f>IF(N$4&lt;N$50,0,N59+(N73-N59)/MAX(N$51-N$50,1)*(N$4-N$50))</f>
        <v/>
      </c>
      <c r="O87" s="19">
        <f>IF(O$4&lt;O$50,0,O59+(O73-O59)/MAX(O$51-O$50,1)*(O$4-O$50))</f>
        <v/>
      </c>
      <c r="P87" s="19">
        <f>IF(P$4&lt;P$50,0,P59+(P73-P59)/MAX(P$51-P$50,1)*(P$4-P$50))</f>
        <v/>
      </c>
      <c r="Q87" s="19">
        <f>IF(Q$4&lt;Q$50,0,Q59+(Q73-Q59)/MAX(Q$51-Q$50,1)*(Q$4-Q$50))</f>
        <v/>
      </c>
      <c r="R87" s="19">
        <f>IF(R$4&lt;R$50,0,R59+(R73-R59)/MAX(R$51-R$50,1)*(R$4-R$50))</f>
        <v/>
      </c>
      <c r="S87" s="19">
        <f>IF(S$4&lt;S$50,0,S59+(S73-S59)/MAX(S$51-S$50,1)*(S$4-S$50))</f>
        <v/>
      </c>
      <c r="T87" s="19">
        <f>IF(T$4&lt;T$50,0,T59+(T73-T59)/MAX(T$51-T$50,1)*(T$4-T$50))</f>
        <v/>
      </c>
      <c r="U87" s="19">
        <f>IF(U$4&lt;U$50,0,U59+(U73-U59)/MAX(U$51-U$50,1)*(U$4-U$50))</f>
        <v/>
      </c>
      <c r="V87" s="19">
        <f>IF(V$4&lt;V$50,0,V59+(V73-V59)/MAX(V$51-V$50,1)*(V$4-V$50))</f>
        <v/>
      </c>
      <c r="W87" s="19">
        <f>IF(W$4&lt;W$50,0,W59+(W73-W59)/MAX(W$51-W$50,1)*(W$4-W$50))</f>
        <v/>
      </c>
      <c r="X87" s="19">
        <f>IF(X$4&lt;X$50,0,X59+(X73-X59)/MAX(X$51-X$50,1)*(X$4-X$50))</f>
        <v/>
      </c>
      <c r="Y87" s="19">
        <f>IF(Y$4&lt;Y$50,0,Y59+(Y73-Y59)/MAX(Y$51-Y$50,1)*(Y$4-Y$50))</f>
        <v/>
      </c>
      <c r="Z87" s="19">
        <f>IF(Z$4&lt;Z$50,0,Z59+(Z73-Z59)/MAX(Z$51-Z$50,1)*(Z$4-Z$50))</f>
        <v/>
      </c>
      <c r="AA87" s="19">
        <f>IF(AA$4&lt;AA$50,0,AA59+(AA73-AA59)/MAX(AA$51-AA$50,1)*(AA$4-AA$50))</f>
        <v/>
      </c>
      <c r="AB87" s="19">
        <f>IF(AB$4&lt;AB$50,0,AB59+(AB73-AB59)/MAX(AB$51-AB$50,1)*(AB$4-AB$50))</f>
        <v/>
      </c>
      <c r="AC87" s="19">
        <f>IF(AC$4&lt;AC$50,0,AC59+(AC73-AC59)/MAX(AC$51-AC$50,1)*(AC$4-AC$50))</f>
        <v/>
      </c>
      <c r="AD87" s="19">
        <f>IF(AD$4&lt;AD$50,0,AD59+(AD73-AD59)/MAX(AD$51-AD$50,1)*(AD$4-AD$50))</f>
        <v/>
      </c>
      <c r="AE87" s="20">
        <f>PATH(AE$4,AE$50,AE$51,AE59,AE73,TRUE)</f>
        <v/>
      </c>
      <c r="AG87" s="17">
        <f>CodePrefix&amp;$A87&amp;IF($C87="","","."&amp;$C87&amp;"."&amp;$B87)&amp;INDEX(VarEnd,MATCH($A87,VarKey,0))&amp;AG$5</f>
        <v/>
      </c>
      <c r="AH87" s="18">
        <f>IF(AH$4&lt;AH$50,0,AH59+(AH73-AH59)/MAX(AH$51-AH$50,1)*(AH$4-AH$50))</f>
        <v/>
      </c>
      <c r="AI87" s="19">
        <f>IF(AI$4&lt;AI$50,0,AI59+(AI73-AI59)/MAX(AI$51-AI$50,1)*(AI$4-AI$50))</f>
        <v/>
      </c>
      <c r="AJ87" s="19">
        <f>IF(AJ$4&lt;AJ$50,0,AJ59+(AJ73-AJ59)/MAX(AJ$51-AJ$50,1)*(AJ$4-AJ$50))</f>
        <v/>
      </c>
      <c r="AK87" s="19">
        <f>IF(AK$4&lt;AK$50,0,AK59+(AK73-AK59)/MAX(AK$51-AK$50,1)*(AK$4-AK$50))</f>
        <v/>
      </c>
      <c r="AL87" s="19">
        <f>IF(AL$4&lt;AL$50,0,AL59+(AL73-AL59)/MAX(AL$51-AL$50,1)*(AL$4-AL$50))</f>
        <v/>
      </c>
      <c r="AM87" s="19">
        <f>IF(AM$4&lt;AM$50,0,AM59+(AM73-AM59)/MAX(AM$51-AM$50,1)*(AM$4-AM$50))</f>
        <v/>
      </c>
      <c r="AN87" s="19">
        <f>IF(AN$4&lt;AN$50,0,AN59+(AN73-AN59)/MAX(AN$51-AN$50,1)*(AN$4-AN$50))</f>
        <v/>
      </c>
      <c r="AO87" s="19">
        <f>IF(AO$4&lt;AO$50,0,AO59+(AO73-AO59)/MAX(AO$51-AO$50,1)*(AO$4-AO$50))</f>
        <v/>
      </c>
      <c r="AP87" s="19">
        <f>IF(AP$4&lt;AP$50,0,AP59+(AP73-AP59)/MAX(AP$51-AP$50,1)*(AP$4-AP$50))</f>
        <v/>
      </c>
      <c r="AQ87" s="19">
        <f>IF(AQ$4&lt;AQ$50,0,AQ59+(AQ73-AQ59)/MAX(AQ$51-AQ$50,1)*(AQ$4-AQ$50))</f>
        <v/>
      </c>
      <c r="AR87" s="19">
        <f>IF(AR$4&lt;AR$50,0,AR59+(AR73-AR59)/MAX(AR$51-AR$50,1)*(AR$4-AR$50))</f>
        <v/>
      </c>
      <c r="AS87" s="19">
        <f>IF(AS$4&lt;AS$50,0,AS59+(AS73-AS59)/MAX(AS$51-AS$50,1)*(AS$4-AS$50))</f>
        <v/>
      </c>
      <c r="AT87" s="19">
        <f>IF(AT$4&lt;AT$50,0,AT59+(AT73-AT59)/MAX(AT$51-AT$50,1)*(AT$4-AT$50))</f>
        <v/>
      </c>
      <c r="AU87" s="19">
        <f>IF(AU$4&lt;AU$50,0,AU59+(AU73-AU59)/MAX(AU$51-AU$50,1)*(AU$4-AU$50))</f>
        <v/>
      </c>
      <c r="AV87" s="19">
        <f>IF(AV$4&lt;AV$50,0,AV59+(AV73-AV59)/MAX(AV$51-AV$50,1)*(AV$4-AV$50))</f>
        <v/>
      </c>
      <c r="AW87" s="19">
        <f>IF(AW$4&lt;AW$50,0,AW59+(AW73-AW59)/MAX(AW$51-AW$50,1)*(AW$4-AW$50))</f>
        <v/>
      </c>
      <c r="AX87" s="19">
        <f>IF(AX$4&lt;AX$50,0,AX59+(AX73-AX59)/MAX(AX$51-AX$50,1)*(AX$4-AX$50))</f>
        <v/>
      </c>
      <c r="AY87" s="19">
        <f>IF(AY$4&lt;AY$50,0,AY59+(AY73-AY59)/MAX(AY$51-AY$50,1)*(AY$4-AY$50))</f>
        <v/>
      </c>
      <c r="AZ87" s="19">
        <f>IF(AZ$4&lt;AZ$50,0,AZ59+(AZ73-AZ59)/MAX(AZ$51-AZ$50,1)*(AZ$4-AZ$50))</f>
        <v/>
      </c>
      <c r="BA87" s="20">
        <f>PATH(BA$4,BA$50,BA$51,BA59,BA73,TRUE)</f>
        <v/>
      </c>
    </row>
    <row r="88" hidden="1" outlineLevel="1">
      <c r="A88" s="1" t="inlineStr">
        <is>
          <t>fpr</t>
        </is>
      </c>
      <c r="B88" s="1" t="inlineStr">
        <is>
          <t>gso</t>
        </is>
      </c>
      <c r="C88" s="1" t="inlineStr">
        <is>
          <t>all</t>
        </is>
      </c>
      <c r="H88" s="1">
        <f>INDEX(VarLab,MATCH($A88,VarKey,0))&amp;INDEX(MemLab,MATCH($C88&amp;"|"&amp;$B88,MemKey,0))</f>
        <v/>
      </c>
      <c r="I88" s="1">
        <f>INDEX(VarUnit,MATCH($A88,VarKey,0))</f>
        <v/>
      </c>
      <c r="J88" s="1">
        <f>INDEX(VarSrc,MATCH($A88,VarKey,0))</f>
        <v/>
      </c>
      <c r="K88" s="17">
        <f>CodePrefix&amp;$A88&amp;IF($C88="","","."&amp;$C88&amp;"."&amp;$B88)&amp;INDEX(VarEnd,MATCH($A88,VarKey,0))&amp;K$5</f>
        <v/>
      </c>
      <c r="L88" s="18">
        <f>IF(L$4&lt;L$50,0,L60+(L74-L60)/MAX(L$51-L$50,1)*(L$4-L$50))</f>
        <v/>
      </c>
      <c r="M88" s="19">
        <f>IF(M$4&lt;M$50,0,M60+(M74-M60)/MAX(M$51-M$50,1)*(M$4-M$50))</f>
        <v/>
      </c>
      <c r="N88" s="19">
        <f>IF(N$4&lt;N$50,0,N60+(N74-N60)/MAX(N$51-N$50,1)*(N$4-N$50))</f>
        <v/>
      </c>
      <c r="O88" s="19">
        <f>IF(O$4&lt;O$50,0,O60+(O74-O60)/MAX(O$51-O$50,1)*(O$4-O$50))</f>
        <v/>
      </c>
      <c r="P88" s="19">
        <f>IF(P$4&lt;P$50,0,P60+(P74-P60)/MAX(P$51-P$50,1)*(P$4-P$50))</f>
        <v/>
      </c>
      <c r="Q88" s="19">
        <f>IF(Q$4&lt;Q$50,0,Q60+(Q74-Q60)/MAX(Q$51-Q$50,1)*(Q$4-Q$50))</f>
        <v/>
      </c>
      <c r="R88" s="19">
        <f>IF(R$4&lt;R$50,0,R60+(R74-R60)/MAX(R$51-R$50,1)*(R$4-R$50))</f>
        <v/>
      </c>
      <c r="S88" s="19">
        <f>IF(S$4&lt;S$50,0,S60+(S74-S60)/MAX(S$51-S$50,1)*(S$4-S$50))</f>
        <v/>
      </c>
      <c r="T88" s="19">
        <f>IF(T$4&lt;T$50,0,T60+(T74-T60)/MAX(T$51-T$50,1)*(T$4-T$50))</f>
        <v/>
      </c>
      <c r="U88" s="19">
        <f>IF(U$4&lt;U$50,0,U60+(U74-U60)/MAX(U$51-U$50,1)*(U$4-U$50))</f>
        <v/>
      </c>
      <c r="V88" s="19">
        <f>IF(V$4&lt;V$50,0,V60+(V74-V60)/MAX(V$51-V$50,1)*(V$4-V$50))</f>
        <v/>
      </c>
      <c r="W88" s="19">
        <f>IF(W$4&lt;W$50,0,W60+(W74-W60)/MAX(W$51-W$50,1)*(W$4-W$50))</f>
        <v/>
      </c>
      <c r="X88" s="19">
        <f>IF(X$4&lt;X$50,0,X60+(X74-X60)/MAX(X$51-X$50,1)*(X$4-X$50))</f>
        <v/>
      </c>
      <c r="Y88" s="19">
        <f>IF(Y$4&lt;Y$50,0,Y60+(Y74-Y60)/MAX(Y$51-Y$50,1)*(Y$4-Y$50))</f>
        <v/>
      </c>
      <c r="Z88" s="19">
        <f>IF(Z$4&lt;Z$50,0,Z60+(Z74-Z60)/MAX(Z$51-Z$50,1)*(Z$4-Z$50))</f>
        <v/>
      </c>
      <c r="AA88" s="19">
        <f>IF(AA$4&lt;AA$50,0,AA60+(AA74-AA60)/MAX(AA$51-AA$50,1)*(AA$4-AA$50))</f>
        <v/>
      </c>
      <c r="AB88" s="19">
        <f>IF(AB$4&lt;AB$50,0,AB60+(AB74-AB60)/MAX(AB$51-AB$50,1)*(AB$4-AB$50))</f>
        <v/>
      </c>
      <c r="AC88" s="19">
        <f>IF(AC$4&lt;AC$50,0,AC60+(AC74-AC60)/MAX(AC$51-AC$50,1)*(AC$4-AC$50))</f>
        <v/>
      </c>
      <c r="AD88" s="19">
        <f>IF(AD$4&lt;AD$50,0,AD60+(AD74-AD60)/MAX(AD$51-AD$50,1)*(AD$4-AD$50))</f>
        <v/>
      </c>
      <c r="AE88" s="20">
        <f>PATH(AE$4,AE$50,AE$51,AE60,AE74,TRUE)</f>
        <v/>
      </c>
      <c r="AG88" s="17">
        <f>CodePrefix&amp;$A88&amp;IF($C88="","","."&amp;$C88&amp;"."&amp;$B88)&amp;INDEX(VarEnd,MATCH($A88,VarKey,0))&amp;AG$5</f>
        <v/>
      </c>
      <c r="AH88" s="18">
        <f>IF(AH$4&lt;AH$50,0,AH60+(AH74-AH60)/MAX(AH$51-AH$50,1)*(AH$4-AH$50))</f>
        <v/>
      </c>
      <c r="AI88" s="19">
        <f>IF(AI$4&lt;AI$50,0,AI60+(AI74-AI60)/MAX(AI$51-AI$50,1)*(AI$4-AI$50))</f>
        <v/>
      </c>
      <c r="AJ88" s="19">
        <f>IF(AJ$4&lt;AJ$50,0,AJ60+(AJ74-AJ60)/MAX(AJ$51-AJ$50,1)*(AJ$4-AJ$50))</f>
        <v/>
      </c>
      <c r="AK88" s="19">
        <f>IF(AK$4&lt;AK$50,0,AK60+(AK74-AK60)/MAX(AK$51-AK$50,1)*(AK$4-AK$50))</f>
        <v/>
      </c>
      <c r="AL88" s="19">
        <f>IF(AL$4&lt;AL$50,0,AL60+(AL74-AL60)/MAX(AL$51-AL$50,1)*(AL$4-AL$50))</f>
        <v/>
      </c>
      <c r="AM88" s="19">
        <f>IF(AM$4&lt;AM$50,0,AM60+(AM74-AM60)/MAX(AM$51-AM$50,1)*(AM$4-AM$50))</f>
        <v/>
      </c>
      <c r="AN88" s="19">
        <f>IF(AN$4&lt;AN$50,0,AN60+(AN74-AN60)/MAX(AN$51-AN$50,1)*(AN$4-AN$50))</f>
        <v/>
      </c>
      <c r="AO88" s="19">
        <f>IF(AO$4&lt;AO$50,0,AO60+(AO74-AO60)/MAX(AO$51-AO$50,1)*(AO$4-AO$50))</f>
        <v/>
      </c>
      <c r="AP88" s="19">
        <f>IF(AP$4&lt;AP$50,0,AP60+(AP74-AP60)/MAX(AP$51-AP$50,1)*(AP$4-AP$50))</f>
        <v/>
      </c>
      <c r="AQ88" s="19">
        <f>IF(AQ$4&lt;AQ$50,0,AQ60+(AQ74-AQ60)/MAX(AQ$51-AQ$50,1)*(AQ$4-AQ$50))</f>
        <v/>
      </c>
      <c r="AR88" s="19">
        <f>IF(AR$4&lt;AR$50,0,AR60+(AR74-AR60)/MAX(AR$51-AR$50,1)*(AR$4-AR$50))</f>
        <v/>
      </c>
      <c r="AS88" s="19">
        <f>IF(AS$4&lt;AS$50,0,AS60+(AS74-AS60)/MAX(AS$51-AS$50,1)*(AS$4-AS$50))</f>
        <v/>
      </c>
      <c r="AT88" s="19">
        <f>IF(AT$4&lt;AT$50,0,AT60+(AT74-AT60)/MAX(AT$51-AT$50,1)*(AT$4-AT$50))</f>
        <v/>
      </c>
      <c r="AU88" s="19">
        <f>IF(AU$4&lt;AU$50,0,AU60+(AU74-AU60)/MAX(AU$51-AU$50,1)*(AU$4-AU$50))</f>
        <v/>
      </c>
      <c r="AV88" s="19">
        <f>IF(AV$4&lt;AV$50,0,AV60+(AV74-AV60)/MAX(AV$51-AV$50,1)*(AV$4-AV$50))</f>
        <v/>
      </c>
      <c r="AW88" s="19">
        <f>IF(AW$4&lt;AW$50,0,AW60+(AW74-AW60)/MAX(AW$51-AW$50,1)*(AW$4-AW$50))</f>
        <v/>
      </c>
      <c r="AX88" s="19">
        <f>IF(AX$4&lt;AX$50,0,AX60+(AX74-AX60)/MAX(AX$51-AX$50,1)*(AX$4-AX$50))</f>
        <v/>
      </c>
      <c r="AY88" s="19">
        <f>IF(AY$4&lt;AY$50,0,AY60+(AY74-AY60)/MAX(AY$51-AY$50,1)*(AY$4-AY$50))</f>
        <v/>
      </c>
      <c r="AZ88" s="19">
        <f>IF(AZ$4&lt;AZ$50,0,AZ60+(AZ74-AZ60)/MAX(AZ$51-AZ$50,1)*(AZ$4-AZ$50))</f>
        <v/>
      </c>
      <c r="BA88" s="20">
        <f>PATH(BA$4,BA$50,BA$51,BA60,BA74,TRUE)</f>
        <v/>
      </c>
    </row>
    <row r="89" hidden="1" outlineLevel="1">
      <c r="A89" s="1" t="inlineStr">
        <is>
          <t>fpr</t>
        </is>
      </c>
      <c r="B89" s="1" t="inlineStr">
        <is>
          <t>die</t>
        </is>
      </c>
      <c r="C89" s="1" t="inlineStr">
        <is>
          <t>all</t>
        </is>
      </c>
      <c r="H89" s="1">
        <f>INDEX(VarLab,MATCH($A89,VarKey,0))&amp;INDEX(MemLab,MATCH($C89&amp;"|"&amp;$B89,MemKey,0))</f>
        <v/>
      </c>
      <c r="I89" s="1">
        <f>INDEX(VarUnit,MATCH($A89,VarKey,0))</f>
        <v/>
      </c>
      <c r="J89" s="1">
        <f>INDEX(VarSrc,MATCH($A89,VarKey,0))</f>
        <v/>
      </c>
      <c r="K89" s="17">
        <f>CodePrefix&amp;$A89&amp;IF($C89="","","."&amp;$C89&amp;"."&amp;$B89)&amp;INDEX(VarEnd,MATCH($A89,VarKey,0))&amp;K$5</f>
        <v/>
      </c>
      <c r="L89" s="18">
        <f>IF(L$4&lt;L$50,0,L61+(L75-L61)/MAX(L$51-L$50,1)*(L$4-L$50))</f>
        <v/>
      </c>
      <c r="M89" s="19">
        <f>IF(M$4&lt;M$50,0,M61+(M75-M61)/MAX(M$51-M$50,1)*(M$4-M$50))</f>
        <v/>
      </c>
      <c r="N89" s="19">
        <f>IF(N$4&lt;N$50,0,N61+(N75-N61)/MAX(N$51-N$50,1)*(N$4-N$50))</f>
        <v/>
      </c>
      <c r="O89" s="19">
        <f>IF(O$4&lt;O$50,0,O61+(O75-O61)/MAX(O$51-O$50,1)*(O$4-O$50))</f>
        <v/>
      </c>
      <c r="P89" s="19">
        <f>IF(P$4&lt;P$50,0,P61+(P75-P61)/MAX(P$51-P$50,1)*(P$4-P$50))</f>
        <v/>
      </c>
      <c r="Q89" s="19">
        <f>IF(Q$4&lt;Q$50,0,Q61+(Q75-Q61)/MAX(Q$51-Q$50,1)*(Q$4-Q$50))</f>
        <v/>
      </c>
      <c r="R89" s="19">
        <f>IF(R$4&lt;R$50,0,R61+(R75-R61)/MAX(R$51-R$50,1)*(R$4-R$50))</f>
        <v/>
      </c>
      <c r="S89" s="19">
        <f>IF(S$4&lt;S$50,0,S61+(S75-S61)/MAX(S$51-S$50,1)*(S$4-S$50))</f>
        <v/>
      </c>
      <c r="T89" s="19">
        <f>IF(T$4&lt;T$50,0,T61+(T75-T61)/MAX(T$51-T$50,1)*(T$4-T$50))</f>
        <v/>
      </c>
      <c r="U89" s="19">
        <f>IF(U$4&lt;U$50,0,U61+(U75-U61)/MAX(U$51-U$50,1)*(U$4-U$50))</f>
        <v/>
      </c>
      <c r="V89" s="19">
        <f>IF(V$4&lt;V$50,0,V61+(V75-V61)/MAX(V$51-V$50,1)*(V$4-V$50))</f>
        <v/>
      </c>
      <c r="W89" s="19">
        <f>IF(W$4&lt;W$50,0,W61+(W75-W61)/MAX(W$51-W$50,1)*(W$4-W$50))</f>
        <v/>
      </c>
      <c r="X89" s="19">
        <f>IF(X$4&lt;X$50,0,X61+(X75-X61)/MAX(X$51-X$50,1)*(X$4-X$50))</f>
        <v/>
      </c>
      <c r="Y89" s="19">
        <f>IF(Y$4&lt;Y$50,0,Y61+(Y75-Y61)/MAX(Y$51-Y$50,1)*(Y$4-Y$50))</f>
        <v/>
      </c>
      <c r="Z89" s="19">
        <f>IF(Z$4&lt;Z$50,0,Z61+(Z75-Z61)/MAX(Z$51-Z$50,1)*(Z$4-Z$50))</f>
        <v/>
      </c>
      <c r="AA89" s="19">
        <f>IF(AA$4&lt;AA$50,0,AA61+(AA75-AA61)/MAX(AA$51-AA$50,1)*(AA$4-AA$50))</f>
        <v/>
      </c>
      <c r="AB89" s="19">
        <f>IF(AB$4&lt;AB$50,0,AB61+(AB75-AB61)/MAX(AB$51-AB$50,1)*(AB$4-AB$50))</f>
        <v/>
      </c>
      <c r="AC89" s="19">
        <f>IF(AC$4&lt;AC$50,0,AC61+(AC75-AC61)/MAX(AC$51-AC$50,1)*(AC$4-AC$50))</f>
        <v/>
      </c>
      <c r="AD89" s="19">
        <f>IF(AD$4&lt;AD$50,0,AD61+(AD75-AD61)/MAX(AD$51-AD$50,1)*(AD$4-AD$50))</f>
        <v/>
      </c>
      <c r="AE89" s="20">
        <f>PATH(AE$4,AE$50,AE$51,AE61,AE75,TRUE)</f>
        <v/>
      </c>
      <c r="AG89" s="17">
        <f>CodePrefix&amp;$A89&amp;IF($C89="","","."&amp;$C89&amp;"."&amp;$B89)&amp;INDEX(VarEnd,MATCH($A89,VarKey,0))&amp;AG$5</f>
        <v/>
      </c>
      <c r="AH89" s="18">
        <f>IF(AH$4&lt;AH$50,0,AH61+(AH75-AH61)/MAX(AH$51-AH$50,1)*(AH$4-AH$50))</f>
        <v/>
      </c>
      <c r="AI89" s="19">
        <f>IF(AI$4&lt;AI$50,0,AI61+(AI75-AI61)/MAX(AI$51-AI$50,1)*(AI$4-AI$50))</f>
        <v/>
      </c>
      <c r="AJ89" s="19">
        <f>IF(AJ$4&lt;AJ$50,0,AJ61+(AJ75-AJ61)/MAX(AJ$51-AJ$50,1)*(AJ$4-AJ$50))</f>
        <v/>
      </c>
      <c r="AK89" s="19">
        <f>IF(AK$4&lt;AK$50,0,AK61+(AK75-AK61)/MAX(AK$51-AK$50,1)*(AK$4-AK$50))</f>
        <v/>
      </c>
      <c r="AL89" s="19">
        <f>IF(AL$4&lt;AL$50,0,AL61+(AL75-AL61)/MAX(AL$51-AL$50,1)*(AL$4-AL$50))</f>
        <v/>
      </c>
      <c r="AM89" s="19">
        <f>IF(AM$4&lt;AM$50,0,AM61+(AM75-AM61)/MAX(AM$51-AM$50,1)*(AM$4-AM$50))</f>
        <v/>
      </c>
      <c r="AN89" s="19">
        <f>IF(AN$4&lt;AN$50,0,AN61+(AN75-AN61)/MAX(AN$51-AN$50,1)*(AN$4-AN$50))</f>
        <v/>
      </c>
      <c r="AO89" s="19">
        <f>IF(AO$4&lt;AO$50,0,AO61+(AO75-AO61)/MAX(AO$51-AO$50,1)*(AO$4-AO$50))</f>
        <v/>
      </c>
      <c r="AP89" s="19">
        <f>IF(AP$4&lt;AP$50,0,AP61+(AP75-AP61)/MAX(AP$51-AP$50,1)*(AP$4-AP$50))</f>
        <v/>
      </c>
      <c r="AQ89" s="19">
        <f>IF(AQ$4&lt;AQ$50,0,AQ61+(AQ75-AQ61)/MAX(AQ$51-AQ$50,1)*(AQ$4-AQ$50))</f>
        <v/>
      </c>
      <c r="AR89" s="19">
        <f>IF(AR$4&lt;AR$50,0,AR61+(AR75-AR61)/MAX(AR$51-AR$50,1)*(AR$4-AR$50))</f>
        <v/>
      </c>
      <c r="AS89" s="19">
        <f>IF(AS$4&lt;AS$50,0,AS61+(AS75-AS61)/MAX(AS$51-AS$50,1)*(AS$4-AS$50))</f>
        <v/>
      </c>
      <c r="AT89" s="19">
        <f>IF(AT$4&lt;AT$50,0,AT61+(AT75-AT61)/MAX(AT$51-AT$50,1)*(AT$4-AT$50))</f>
        <v/>
      </c>
      <c r="AU89" s="19">
        <f>IF(AU$4&lt;AU$50,0,AU61+(AU75-AU61)/MAX(AU$51-AU$50,1)*(AU$4-AU$50))</f>
        <v/>
      </c>
      <c r="AV89" s="19">
        <f>IF(AV$4&lt;AV$50,0,AV61+(AV75-AV61)/MAX(AV$51-AV$50,1)*(AV$4-AV$50))</f>
        <v/>
      </c>
      <c r="AW89" s="19">
        <f>IF(AW$4&lt;AW$50,0,AW61+(AW75-AW61)/MAX(AW$51-AW$50,1)*(AW$4-AW$50))</f>
        <v/>
      </c>
      <c r="AX89" s="19">
        <f>IF(AX$4&lt;AX$50,0,AX61+(AX75-AX61)/MAX(AX$51-AX$50,1)*(AX$4-AX$50))</f>
        <v/>
      </c>
      <c r="AY89" s="19">
        <f>IF(AY$4&lt;AY$50,0,AY61+(AY75-AY61)/MAX(AY$51-AY$50,1)*(AY$4-AY$50))</f>
        <v/>
      </c>
      <c r="AZ89" s="19">
        <f>IF(AZ$4&lt;AZ$50,0,AZ61+(AZ75-AZ61)/MAX(AZ$51-AZ$50,1)*(AZ$4-AZ$50))</f>
        <v/>
      </c>
      <c r="BA89" s="20">
        <f>PATH(BA$4,BA$50,BA$51,BA61,BA75,TRUE)</f>
        <v/>
      </c>
    </row>
    <row r="90" hidden="1" outlineLevel="1">
      <c r="A90" s="1" t="inlineStr">
        <is>
          <t>fpr</t>
        </is>
      </c>
      <c r="B90" s="1" t="inlineStr">
        <is>
          <t>lpg</t>
        </is>
      </c>
      <c r="C90" s="1" t="inlineStr">
        <is>
          <t>all</t>
        </is>
      </c>
      <c r="H90" s="1">
        <f>INDEX(VarLab,MATCH($A90,VarKey,0))&amp;INDEX(MemLab,MATCH($C90&amp;"|"&amp;$B90,MemKey,0))</f>
        <v/>
      </c>
      <c r="I90" s="1">
        <f>INDEX(VarUnit,MATCH($A90,VarKey,0))</f>
        <v/>
      </c>
      <c r="J90" s="1">
        <f>INDEX(VarSrc,MATCH($A90,VarKey,0))</f>
        <v/>
      </c>
      <c r="K90" s="17">
        <f>CodePrefix&amp;$A90&amp;IF($C90="","","."&amp;$C90&amp;"."&amp;$B90)&amp;INDEX(VarEnd,MATCH($A90,VarKey,0))&amp;K$5</f>
        <v/>
      </c>
      <c r="L90" s="18">
        <f>IF(L$4&lt;L$50,0,L62+(L76-L62)/MAX(L$51-L$50,1)*(L$4-L$50))</f>
        <v/>
      </c>
      <c r="M90" s="19">
        <f>IF(M$4&lt;M$50,0,M62+(M76-M62)/MAX(M$51-M$50,1)*(M$4-M$50))</f>
        <v/>
      </c>
      <c r="N90" s="19">
        <f>IF(N$4&lt;N$50,0,N62+(N76-N62)/MAX(N$51-N$50,1)*(N$4-N$50))</f>
        <v/>
      </c>
      <c r="O90" s="19">
        <f>IF(O$4&lt;O$50,0,O62+(O76-O62)/MAX(O$51-O$50,1)*(O$4-O$50))</f>
        <v/>
      </c>
      <c r="P90" s="19">
        <f>IF(P$4&lt;P$50,0,P62+(P76-P62)/MAX(P$51-P$50,1)*(P$4-P$50))</f>
        <v/>
      </c>
      <c r="Q90" s="19">
        <f>IF(Q$4&lt;Q$50,0,Q62+(Q76-Q62)/MAX(Q$51-Q$50,1)*(Q$4-Q$50))</f>
        <v/>
      </c>
      <c r="R90" s="19">
        <f>IF(R$4&lt;R$50,0,R62+(R76-R62)/MAX(R$51-R$50,1)*(R$4-R$50))</f>
        <v/>
      </c>
      <c r="S90" s="19">
        <f>IF(S$4&lt;S$50,0,S62+(S76-S62)/MAX(S$51-S$50,1)*(S$4-S$50))</f>
        <v/>
      </c>
      <c r="T90" s="19">
        <f>IF(T$4&lt;T$50,0,T62+(T76-T62)/MAX(T$51-T$50,1)*(T$4-T$50))</f>
        <v/>
      </c>
      <c r="U90" s="19">
        <f>IF(U$4&lt;U$50,0,U62+(U76-U62)/MAX(U$51-U$50,1)*(U$4-U$50))</f>
        <v/>
      </c>
      <c r="V90" s="19">
        <f>IF(V$4&lt;V$50,0,V62+(V76-V62)/MAX(V$51-V$50,1)*(V$4-V$50))</f>
        <v/>
      </c>
      <c r="W90" s="19">
        <f>IF(W$4&lt;W$50,0,W62+(W76-W62)/MAX(W$51-W$50,1)*(W$4-W$50))</f>
        <v/>
      </c>
      <c r="X90" s="19">
        <f>IF(X$4&lt;X$50,0,X62+(X76-X62)/MAX(X$51-X$50,1)*(X$4-X$50))</f>
        <v/>
      </c>
      <c r="Y90" s="19">
        <f>IF(Y$4&lt;Y$50,0,Y62+(Y76-Y62)/MAX(Y$51-Y$50,1)*(Y$4-Y$50))</f>
        <v/>
      </c>
      <c r="Z90" s="19">
        <f>IF(Z$4&lt;Z$50,0,Z62+(Z76-Z62)/MAX(Z$51-Z$50,1)*(Z$4-Z$50))</f>
        <v/>
      </c>
      <c r="AA90" s="19">
        <f>IF(AA$4&lt;AA$50,0,AA62+(AA76-AA62)/MAX(AA$51-AA$50,1)*(AA$4-AA$50))</f>
        <v/>
      </c>
      <c r="AB90" s="19">
        <f>IF(AB$4&lt;AB$50,0,AB62+(AB76-AB62)/MAX(AB$51-AB$50,1)*(AB$4-AB$50))</f>
        <v/>
      </c>
      <c r="AC90" s="19">
        <f>IF(AC$4&lt;AC$50,0,AC62+(AC76-AC62)/MAX(AC$51-AC$50,1)*(AC$4-AC$50))</f>
        <v/>
      </c>
      <c r="AD90" s="19">
        <f>IF(AD$4&lt;AD$50,0,AD62+(AD76-AD62)/MAX(AD$51-AD$50,1)*(AD$4-AD$50))</f>
        <v/>
      </c>
      <c r="AE90" s="20">
        <f>PATH(AE$4,AE$50,AE$51,AE62,AE76,TRUE)</f>
        <v/>
      </c>
      <c r="AG90" s="17">
        <f>CodePrefix&amp;$A90&amp;IF($C90="","","."&amp;$C90&amp;"."&amp;$B90)&amp;INDEX(VarEnd,MATCH($A90,VarKey,0))&amp;AG$5</f>
        <v/>
      </c>
      <c r="AH90" s="18">
        <f>IF(AH$4&lt;AH$50,0,AH62+(AH76-AH62)/MAX(AH$51-AH$50,1)*(AH$4-AH$50))</f>
        <v/>
      </c>
      <c r="AI90" s="19">
        <f>IF(AI$4&lt;AI$50,0,AI62+(AI76-AI62)/MAX(AI$51-AI$50,1)*(AI$4-AI$50))</f>
        <v/>
      </c>
      <c r="AJ90" s="19">
        <f>IF(AJ$4&lt;AJ$50,0,AJ62+(AJ76-AJ62)/MAX(AJ$51-AJ$50,1)*(AJ$4-AJ$50))</f>
        <v/>
      </c>
      <c r="AK90" s="19">
        <f>IF(AK$4&lt;AK$50,0,AK62+(AK76-AK62)/MAX(AK$51-AK$50,1)*(AK$4-AK$50))</f>
        <v/>
      </c>
      <c r="AL90" s="19">
        <f>IF(AL$4&lt;AL$50,0,AL62+(AL76-AL62)/MAX(AL$51-AL$50,1)*(AL$4-AL$50))</f>
        <v/>
      </c>
      <c r="AM90" s="19">
        <f>IF(AM$4&lt;AM$50,0,AM62+(AM76-AM62)/MAX(AM$51-AM$50,1)*(AM$4-AM$50))</f>
        <v/>
      </c>
      <c r="AN90" s="19">
        <f>IF(AN$4&lt;AN$50,0,AN62+(AN76-AN62)/MAX(AN$51-AN$50,1)*(AN$4-AN$50))</f>
        <v/>
      </c>
      <c r="AO90" s="19">
        <f>IF(AO$4&lt;AO$50,0,AO62+(AO76-AO62)/MAX(AO$51-AO$50,1)*(AO$4-AO$50))</f>
        <v/>
      </c>
      <c r="AP90" s="19">
        <f>IF(AP$4&lt;AP$50,0,AP62+(AP76-AP62)/MAX(AP$51-AP$50,1)*(AP$4-AP$50))</f>
        <v/>
      </c>
      <c r="AQ90" s="19">
        <f>IF(AQ$4&lt;AQ$50,0,AQ62+(AQ76-AQ62)/MAX(AQ$51-AQ$50,1)*(AQ$4-AQ$50))</f>
        <v/>
      </c>
      <c r="AR90" s="19">
        <f>IF(AR$4&lt;AR$50,0,AR62+(AR76-AR62)/MAX(AR$51-AR$50,1)*(AR$4-AR$50))</f>
        <v/>
      </c>
      <c r="AS90" s="19">
        <f>IF(AS$4&lt;AS$50,0,AS62+(AS76-AS62)/MAX(AS$51-AS$50,1)*(AS$4-AS$50))</f>
        <v/>
      </c>
      <c r="AT90" s="19">
        <f>IF(AT$4&lt;AT$50,0,AT62+(AT76-AT62)/MAX(AT$51-AT$50,1)*(AT$4-AT$50))</f>
        <v/>
      </c>
      <c r="AU90" s="19">
        <f>IF(AU$4&lt;AU$50,0,AU62+(AU76-AU62)/MAX(AU$51-AU$50,1)*(AU$4-AU$50))</f>
        <v/>
      </c>
      <c r="AV90" s="19">
        <f>IF(AV$4&lt;AV$50,0,AV62+(AV76-AV62)/MAX(AV$51-AV$50,1)*(AV$4-AV$50))</f>
        <v/>
      </c>
      <c r="AW90" s="19">
        <f>IF(AW$4&lt;AW$50,0,AW62+(AW76-AW62)/MAX(AW$51-AW$50,1)*(AW$4-AW$50))</f>
        <v/>
      </c>
      <c r="AX90" s="19">
        <f>IF(AX$4&lt;AX$50,0,AX62+(AX76-AX62)/MAX(AX$51-AX$50,1)*(AX$4-AX$50))</f>
        <v/>
      </c>
      <c r="AY90" s="19">
        <f>IF(AY$4&lt;AY$50,0,AY62+(AY76-AY62)/MAX(AY$51-AY$50,1)*(AY$4-AY$50))</f>
        <v/>
      </c>
      <c r="AZ90" s="19">
        <f>IF(AZ$4&lt;AZ$50,0,AZ62+(AZ76-AZ62)/MAX(AZ$51-AZ$50,1)*(AZ$4-AZ$50))</f>
        <v/>
      </c>
      <c r="BA90" s="20">
        <f>PATH(BA$4,BA$50,BA$51,BA62,BA76,TRUE)</f>
        <v/>
      </c>
    </row>
    <row r="91" hidden="1" outlineLevel="1">
      <c r="A91" s="1" t="inlineStr">
        <is>
          <t>fpr</t>
        </is>
      </c>
      <c r="B91" s="1" t="inlineStr">
        <is>
          <t>ker</t>
        </is>
      </c>
      <c r="C91" s="1" t="inlineStr">
        <is>
          <t>all</t>
        </is>
      </c>
      <c r="H91" s="1">
        <f>INDEX(VarLab,MATCH($A91,VarKey,0))&amp;INDEX(MemLab,MATCH($C91&amp;"|"&amp;$B91,MemKey,0))</f>
        <v/>
      </c>
      <c r="I91" s="1">
        <f>INDEX(VarUnit,MATCH($A91,VarKey,0))</f>
        <v/>
      </c>
      <c r="J91" s="1">
        <f>INDEX(VarSrc,MATCH($A91,VarKey,0))</f>
        <v/>
      </c>
      <c r="K91" s="17">
        <f>CodePrefix&amp;$A91&amp;IF($C91="","","."&amp;$C91&amp;"."&amp;$B91)&amp;INDEX(VarEnd,MATCH($A91,VarKey,0))&amp;K$5</f>
        <v/>
      </c>
      <c r="L91" s="18">
        <f>IF(L$4&lt;L$50,0,L63+(L77-L63)/MAX(L$51-L$50,1)*(L$4-L$50))</f>
        <v/>
      </c>
      <c r="M91" s="19">
        <f>IF(M$4&lt;M$50,0,M63+(M77-M63)/MAX(M$51-M$50,1)*(M$4-M$50))</f>
        <v/>
      </c>
      <c r="N91" s="19">
        <f>IF(N$4&lt;N$50,0,N63+(N77-N63)/MAX(N$51-N$50,1)*(N$4-N$50))</f>
        <v/>
      </c>
      <c r="O91" s="19">
        <f>IF(O$4&lt;O$50,0,O63+(O77-O63)/MAX(O$51-O$50,1)*(O$4-O$50))</f>
        <v/>
      </c>
      <c r="P91" s="19">
        <f>IF(P$4&lt;P$50,0,P63+(P77-P63)/MAX(P$51-P$50,1)*(P$4-P$50))</f>
        <v/>
      </c>
      <c r="Q91" s="19">
        <f>IF(Q$4&lt;Q$50,0,Q63+(Q77-Q63)/MAX(Q$51-Q$50,1)*(Q$4-Q$50))</f>
        <v/>
      </c>
      <c r="R91" s="19">
        <f>IF(R$4&lt;R$50,0,R63+(R77-R63)/MAX(R$51-R$50,1)*(R$4-R$50))</f>
        <v/>
      </c>
      <c r="S91" s="19">
        <f>IF(S$4&lt;S$50,0,S63+(S77-S63)/MAX(S$51-S$50,1)*(S$4-S$50))</f>
        <v/>
      </c>
      <c r="T91" s="19">
        <f>IF(T$4&lt;T$50,0,T63+(T77-T63)/MAX(T$51-T$50,1)*(T$4-T$50))</f>
        <v/>
      </c>
      <c r="U91" s="19">
        <f>IF(U$4&lt;U$50,0,U63+(U77-U63)/MAX(U$51-U$50,1)*(U$4-U$50))</f>
        <v/>
      </c>
      <c r="V91" s="19">
        <f>IF(V$4&lt;V$50,0,V63+(V77-V63)/MAX(V$51-V$50,1)*(V$4-V$50))</f>
        <v/>
      </c>
      <c r="W91" s="19">
        <f>IF(W$4&lt;W$50,0,W63+(W77-W63)/MAX(W$51-W$50,1)*(W$4-W$50))</f>
        <v/>
      </c>
      <c r="X91" s="19">
        <f>IF(X$4&lt;X$50,0,X63+(X77-X63)/MAX(X$51-X$50,1)*(X$4-X$50))</f>
        <v/>
      </c>
      <c r="Y91" s="19">
        <f>IF(Y$4&lt;Y$50,0,Y63+(Y77-Y63)/MAX(Y$51-Y$50,1)*(Y$4-Y$50))</f>
        <v/>
      </c>
      <c r="Z91" s="19">
        <f>IF(Z$4&lt;Z$50,0,Z63+(Z77-Z63)/MAX(Z$51-Z$50,1)*(Z$4-Z$50))</f>
        <v/>
      </c>
      <c r="AA91" s="19">
        <f>IF(AA$4&lt;AA$50,0,AA63+(AA77-AA63)/MAX(AA$51-AA$50,1)*(AA$4-AA$50))</f>
        <v/>
      </c>
      <c r="AB91" s="19">
        <f>IF(AB$4&lt;AB$50,0,AB63+(AB77-AB63)/MAX(AB$51-AB$50,1)*(AB$4-AB$50))</f>
        <v/>
      </c>
      <c r="AC91" s="19">
        <f>IF(AC$4&lt;AC$50,0,AC63+(AC77-AC63)/MAX(AC$51-AC$50,1)*(AC$4-AC$50))</f>
        <v/>
      </c>
      <c r="AD91" s="19">
        <f>IF(AD$4&lt;AD$50,0,AD63+(AD77-AD63)/MAX(AD$51-AD$50,1)*(AD$4-AD$50))</f>
        <v/>
      </c>
      <c r="AE91" s="20">
        <f>PATH(AE$4,AE$50,AE$51,AE63,AE77,TRUE)</f>
        <v/>
      </c>
      <c r="AG91" s="17">
        <f>CodePrefix&amp;$A91&amp;IF($C91="","","."&amp;$C91&amp;"."&amp;$B91)&amp;INDEX(VarEnd,MATCH($A91,VarKey,0))&amp;AG$5</f>
        <v/>
      </c>
      <c r="AH91" s="18">
        <f>IF(AH$4&lt;AH$50,0,AH63+(AH77-AH63)/MAX(AH$51-AH$50,1)*(AH$4-AH$50))</f>
        <v/>
      </c>
      <c r="AI91" s="19">
        <f>IF(AI$4&lt;AI$50,0,AI63+(AI77-AI63)/MAX(AI$51-AI$50,1)*(AI$4-AI$50))</f>
        <v/>
      </c>
      <c r="AJ91" s="19">
        <f>IF(AJ$4&lt;AJ$50,0,AJ63+(AJ77-AJ63)/MAX(AJ$51-AJ$50,1)*(AJ$4-AJ$50))</f>
        <v/>
      </c>
      <c r="AK91" s="19">
        <f>IF(AK$4&lt;AK$50,0,AK63+(AK77-AK63)/MAX(AK$51-AK$50,1)*(AK$4-AK$50))</f>
        <v/>
      </c>
      <c r="AL91" s="19">
        <f>IF(AL$4&lt;AL$50,0,AL63+(AL77-AL63)/MAX(AL$51-AL$50,1)*(AL$4-AL$50))</f>
        <v/>
      </c>
      <c r="AM91" s="19">
        <f>IF(AM$4&lt;AM$50,0,AM63+(AM77-AM63)/MAX(AM$51-AM$50,1)*(AM$4-AM$50))</f>
        <v/>
      </c>
      <c r="AN91" s="19">
        <f>IF(AN$4&lt;AN$50,0,AN63+(AN77-AN63)/MAX(AN$51-AN$50,1)*(AN$4-AN$50))</f>
        <v/>
      </c>
      <c r="AO91" s="19">
        <f>IF(AO$4&lt;AO$50,0,AO63+(AO77-AO63)/MAX(AO$51-AO$50,1)*(AO$4-AO$50))</f>
        <v/>
      </c>
      <c r="AP91" s="19">
        <f>IF(AP$4&lt;AP$50,0,AP63+(AP77-AP63)/MAX(AP$51-AP$50,1)*(AP$4-AP$50))</f>
        <v/>
      </c>
      <c r="AQ91" s="19">
        <f>IF(AQ$4&lt;AQ$50,0,AQ63+(AQ77-AQ63)/MAX(AQ$51-AQ$50,1)*(AQ$4-AQ$50))</f>
        <v/>
      </c>
      <c r="AR91" s="19">
        <f>IF(AR$4&lt;AR$50,0,AR63+(AR77-AR63)/MAX(AR$51-AR$50,1)*(AR$4-AR$50))</f>
        <v/>
      </c>
      <c r="AS91" s="19">
        <f>IF(AS$4&lt;AS$50,0,AS63+(AS77-AS63)/MAX(AS$51-AS$50,1)*(AS$4-AS$50))</f>
        <v/>
      </c>
      <c r="AT91" s="19">
        <f>IF(AT$4&lt;AT$50,0,AT63+(AT77-AT63)/MAX(AT$51-AT$50,1)*(AT$4-AT$50))</f>
        <v/>
      </c>
      <c r="AU91" s="19">
        <f>IF(AU$4&lt;AU$50,0,AU63+(AU77-AU63)/MAX(AU$51-AU$50,1)*(AU$4-AU$50))</f>
        <v/>
      </c>
      <c r="AV91" s="19">
        <f>IF(AV$4&lt;AV$50,0,AV63+(AV77-AV63)/MAX(AV$51-AV$50,1)*(AV$4-AV$50))</f>
        <v/>
      </c>
      <c r="AW91" s="19">
        <f>IF(AW$4&lt;AW$50,0,AW63+(AW77-AW63)/MAX(AW$51-AW$50,1)*(AW$4-AW$50))</f>
        <v/>
      </c>
      <c r="AX91" s="19">
        <f>IF(AX$4&lt;AX$50,0,AX63+(AX77-AX63)/MAX(AX$51-AX$50,1)*(AX$4-AX$50))</f>
        <v/>
      </c>
      <c r="AY91" s="19">
        <f>IF(AY$4&lt;AY$50,0,AY63+(AY77-AY63)/MAX(AY$51-AY$50,1)*(AY$4-AY$50))</f>
        <v/>
      </c>
      <c r="AZ91" s="19">
        <f>IF(AZ$4&lt;AZ$50,0,AZ63+(AZ77-AZ63)/MAX(AZ$51-AZ$50,1)*(AZ$4-AZ$50))</f>
        <v/>
      </c>
      <c r="BA91" s="20">
        <f>PATH(BA$4,BA$50,BA$51,BA63,BA77,TRUE)</f>
        <v/>
      </c>
    </row>
    <row r="92" hidden="1" outlineLevel="1">
      <c r="A92" s="1" t="inlineStr">
        <is>
          <t>fpr</t>
        </is>
      </c>
      <c r="B92" s="1" t="inlineStr">
        <is>
          <t>oop</t>
        </is>
      </c>
      <c r="C92" s="1" t="inlineStr">
        <is>
          <t>all</t>
        </is>
      </c>
      <c r="H92" s="1">
        <f>INDEX(VarLab,MATCH($A92,VarKey,0))&amp;INDEX(MemLab,MATCH($C92&amp;"|"&amp;$B92,MemKey,0))</f>
        <v/>
      </c>
      <c r="I92" s="1">
        <f>INDEX(VarUnit,MATCH($A92,VarKey,0))</f>
        <v/>
      </c>
      <c r="J92" s="1">
        <f>INDEX(VarSrc,MATCH($A92,VarKey,0))</f>
        <v/>
      </c>
      <c r="K92" s="17">
        <f>CodePrefix&amp;$A92&amp;IF($C92="","","."&amp;$C92&amp;"."&amp;$B92)&amp;INDEX(VarEnd,MATCH($A92,VarKey,0))&amp;K$5</f>
        <v/>
      </c>
      <c r="L92" s="18">
        <f>IF(L$4&lt;L$50,0,L64+(L78-L64)/MAX(L$51-L$50,1)*(L$4-L$50))</f>
        <v/>
      </c>
      <c r="M92" s="19">
        <f>IF(M$4&lt;M$50,0,M64+(M78-M64)/MAX(M$51-M$50,1)*(M$4-M$50))</f>
        <v/>
      </c>
      <c r="N92" s="19">
        <f>IF(N$4&lt;N$50,0,N64+(N78-N64)/MAX(N$51-N$50,1)*(N$4-N$50))</f>
        <v/>
      </c>
      <c r="O92" s="19">
        <f>IF(O$4&lt;O$50,0,O64+(O78-O64)/MAX(O$51-O$50,1)*(O$4-O$50))</f>
        <v/>
      </c>
      <c r="P92" s="19">
        <f>IF(P$4&lt;P$50,0,P64+(P78-P64)/MAX(P$51-P$50,1)*(P$4-P$50))</f>
        <v/>
      </c>
      <c r="Q92" s="19">
        <f>IF(Q$4&lt;Q$50,0,Q64+(Q78-Q64)/MAX(Q$51-Q$50,1)*(Q$4-Q$50))</f>
        <v/>
      </c>
      <c r="R92" s="19">
        <f>IF(R$4&lt;R$50,0,R64+(R78-R64)/MAX(R$51-R$50,1)*(R$4-R$50))</f>
        <v/>
      </c>
      <c r="S92" s="19">
        <f>IF(S$4&lt;S$50,0,S64+(S78-S64)/MAX(S$51-S$50,1)*(S$4-S$50))</f>
        <v/>
      </c>
      <c r="T92" s="19">
        <f>IF(T$4&lt;T$50,0,T64+(T78-T64)/MAX(T$51-T$50,1)*(T$4-T$50))</f>
        <v/>
      </c>
      <c r="U92" s="19">
        <f>IF(U$4&lt;U$50,0,U64+(U78-U64)/MAX(U$51-U$50,1)*(U$4-U$50))</f>
        <v/>
      </c>
      <c r="V92" s="19">
        <f>IF(V$4&lt;V$50,0,V64+(V78-V64)/MAX(V$51-V$50,1)*(V$4-V$50))</f>
        <v/>
      </c>
      <c r="W92" s="19">
        <f>IF(W$4&lt;W$50,0,W64+(W78-W64)/MAX(W$51-W$50,1)*(W$4-W$50))</f>
        <v/>
      </c>
      <c r="X92" s="19">
        <f>IF(X$4&lt;X$50,0,X64+(X78-X64)/MAX(X$51-X$50,1)*(X$4-X$50))</f>
        <v/>
      </c>
      <c r="Y92" s="19">
        <f>IF(Y$4&lt;Y$50,0,Y64+(Y78-Y64)/MAX(Y$51-Y$50,1)*(Y$4-Y$50))</f>
        <v/>
      </c>
      <c r="Z92" s="19">
        <f>IF(Z$4&lt;Z$50,0,Z64+(Z78-Z64)/MAX(Z$51-Z$50,1)*(Z$4-Z$50))</f>
        <v/>
      </c>
      <c r="AA92" s="19">
        <f>IF(AA$4&lt;AA$50,0,AA64+(AA78-AA64)/MAX(AA$51-AA$50,1)*(AA$4-AA$50))</f>
        <v/>
      </c>
      <c r="AB92" s="19">
        <f>IF(AB$4&lt;AB$50,0,AB64+(AB78-AB64)/MAX(AB$51-AB$50,1)*(AB$4-AB$50))</f>
        <v/>
      </c>
      <c r="AC92" s="19">
        <f>IF(AC$4&lt;AC$50,0,AC64+(AC78-AC64)/MAX(AC$51-AC$50,1)*(AC$4-AC$50))</f>
        <v/>
      </c>
      <c r="AD92" s="19">
        <f>IF(AD$4&lt;AD$50,0,AD64+(AD78-AD64)/MAX(AD$51-AD$50,1)*(AD$4-AD$50))</f>
        <v/>
      </c>
      <c r="AE92" s="20">
        <f>PATH(AE$4,AE$50,AE$51,AE64,AE78,TRUE)</f>
        <v/>
      </c>
      <c r="AG92" s="17">
        <f>CodePrefix&amp;$A92&amp;IF($C92="","","."&amp;$C92&amp;"."&amp;$B92)&amp;INDEX(VarEnd,MATCH($A92,VarKey,0))&amp;AG$5</f>
        <v/>
      </c>
      <c r="AH92" s="18">
        <f>IF(AH$4&lt;AH$50,0,AH64+(AH78-AH64)/MAX(AH$51-AH$50,1)*(AH$4-AH$50))</f>
        <v/>
      </c>
      <c r="AI92" s="19">
        <f>IF(AI$4&lt;AI$50,0,AI64+(AI78-AI64)/MAX(AI$51-AI$50,1)*(AI$4-AI$50))</f>
        <v/>
      </c>
      <c r="AJ92" s="19">
        <f>IF(AJ$4&lt;AJ$50,0,AJ64+(AJ78-AJ64)/MAX(AJ$51-AJ$50,1)*(AJ$4-AJ$50))</f>
        <v/>
      </c>
      <c r="AK92" s="19">
        <f>IF(AK$4&lt;AK$50,0,AK64+(AK78-AK64)/MAX(AK$51-AK$50,1)*(AK$4-AK$50))</f>
        <v/>
      </c>
      <c r="AL92" s="19">
        <f>IF(AL$4&lt;AL$50,0,AL64+(AL78-AL64)/MAX(AL$51-AL$50,1)*(AL$4-AL$50))</f>
        <v/>
      </c>
      <c r="AM92" s="19">
        <f>IF(AM$4&lt;AM$50,0,AM64+(AM78-AM64)/MAX(AM$51-AM$50,1)*(AM$4-AM$50))</f>
        <v/>
      </c>
      <c r="AN92" s="19">
        <f>IF(AN$4&lt;AN$50,0,AN64+(AN78-AN64)/MAX(AN$51-AN$50,1)*(AN$4-AN$50))</f>
        <v/>
      </c>
      <c r="AO92" s="19">
        <f>IF(AO$4&lt;AO$50,0,AO64+(AO78-AO64)/MAX(AO$51-AO$50,1)*(AO$4-AO$50))</f>
        <v/>
      </c>
      <c r="AP92" s="19">
        <f>IF(AP$4&lt;AP$50,0,AP64+(AP78-AP64)/MAX(AP$51-AP$50,1)*(AP$4-AP$50))</f>
        <v/>
      </c>
      <c r="AQ92" s="19">
        <f>IF(AQ$4&lt;AQ$50,0,AQ64+(AQ78-AQ64)/MAX(AQ$51-AQ$50,1)*(AQ$4-AQ$50))</f>
        <v/>
      </c>
      <c r="AR92" s="19">
        <f>IF(AR$4&lt;AR$50,0,AR64+(AR78-AR64)/MAX(AR$51-AR$50,1)*(AR$4-AR$50))</f>
        <v/>
      </c>
      <c r="AS92" s="19">
        <f>IF(AS$4&lt;AS$50,0,AS64+(AS78-AS64)/MAX(AS$51-AS$50,1)*(AS$4-AS$50))</f>
        <v/>
      </c>
      <c r="AT92" s="19">
        <f>IF(AT$4&lt;AT$50,0,AT64+(AT78-AT64)/MAX(AT$51-AT$50,1)*(AT$4-AT$50))</f>
        <v/>
      </c>
      <c r="AU92" s="19">
        <f>IF(AU$4&lt;AU$50,0,AU64+(AU78-AU64)/MAX(AU$51-AU$50,1)*(AU$4-AU$50))</f>
        <v/>
      </c>
      <c r="AV92" s="19">
        <f>IF(AV$4&lt;AV$50,0,AV64+(AV78-AV64)/MAX(AV$51-AV$50,1)*(AV$4-AV$50))</f>
        <v/>
      </c>
      <c r="AW92" s="19">
        <f>IF(AW$4&lt;AW$50,0,AW64+(AW78-AW64)/MAX(AW$51-AW$50,1)*(AW$4-AW$50))</f>
        <v/>
      </c>
      <c r="AX92" s="19">
        <f>IF(AX$4&lt;AX$50,0,AX64+(AX78-AX64)/MAX(AX$51-AX$50,1)*(AX$4-AX$50))</f>
        <v/>
      </c>
      <c r="AY92" s="19">
        <f>IF(AY$4&lt;AY$50,0,AY64+(AY78-AY64)/MAX(AY$51-AY$50,1)*(AY$4-AY$50))</f>
        <v/>
      </c>
      <c r="AZ92" s="19">
        <f>IF(AZ$4&lt;AZ$50,0,AZ64+(AZ78-AZ64)/MAX(AZ$51-AZ$50,1)*(AZ$4-AZ$50))</f>
        <v/>
      </c>
      <c r="BA92" s="20">
        <f>PATH(BA$4,BA$50,BA$51,BA64,BA78,TRUE)</f>
        <v/>
      </c>
    </row>
    <row r="93" hidden="1" outlineLevel="1">
      <c r="A93" s="1" t="inlineStr">
        <is>
          <t>fpr</t>
        </is>
      </c>
      <c r="B93" s="1" t="inlineStr">
        <is>
          <t>bio</t>
        </is>
      </c>
      <c r="C93" s="1" t="inlineStr">
        <is>
          <t>all</t>
        </is>
      </c>
      <c r="H93" s="1">
        <f>INDEX(VarLab,MATCH($A93,VarKey,0))&amp;INDEX(MemLab,MATCH($C93&amp;"|"&amp;$B93,MemKey,0))</f>
        <v/>
      </c>
      <c r="I93" s="1">
        <f>INDEX(VarUnit,MATCH($A93,VarKey,0))</f>
        <v/>
      </c>
      <c r="J93" s="1">
        <f>INDEX(VarSrc,MATCH($A93,VarKey,0))</f>
        <v/>
      </c>
      <c r="K93" s="17">
        <f>CodePrefix&amp;$A93&amp;IF($C93="","","."&amp;$C93&amp;"."&amp;$B93)&amp;INDEX(VarEnd,MATCH($A93,VarKey,0))&amp;K$5</f>
        <v/>
      </c>
      <c r="L93" s="18">
        <f>IF(L$4&lt;L$50,0,L65+(L79-L65)/MAX(L$51-L$50,1)*(L$4-L$50))</f>
        <v/>
      </c>
      <c r="M93" s="19">
        <f>IF(M$4&lt;M$50,0,M65+(M79-M65)/MAX(M$51-M$50,1)*(M$4-M$50))</f>
        <v/>
      </c>
      <c r="N93" s="19">
        <f>IF(N$4&lt;N$50,0,N65+(N79-N65)/MAX(N$51-N$50,1)*(N$4-N$50))</f>
        <v/>
      </c>
      <c r="O93" s="19">
        <f>IF(O$4&lt;O$50,0,O65+(O79-O65)/MAX(O$51-O$50,1)*(O$4-O$50))</f>
        <v/>
      </c>
      <c r="P93" s="19">
        <f>IF(P$4&lt;P$50,0,P65+(P79-P65)/MAX(P$51-P$50,1)*(P$4-P$50))</f>
        <v/>
      </c>
      <c r="Q93" s="19">
        <f>IF(Q$4&lt;Q$50,0,Q65+(Q79-Q65)/MAX(Q$51-Q$50,1)*(Q$4-Q$50))</f>
        <v/>
      </c>
      <c r="R93" s="19">
        <f>IF(R$4&lt;R$50,0,R65+(R79-R65)/MAX(R$51-R$50,1)*(R$4-R$50))</f>
        <v/>
      </c>
      <c r="S93" s="19">
        <f>IF(S$4&lt;S$50,0,S65+(S79-S65)/MAX(S$51-S$50,1)*(S$4-S$50))</f>
        <v/>
      </c>
      <c r="T93" s="19">
        <f>IF(T$4&lt;T$50,0,T65+(T79-T65)/MAX(T$51-T$50,1)*(T$4-T$50))</f>
        <v/>
      </c>
      <c r="U93" s="19">
        <f>IF(U$4&lt;U$50,0,U65+(U79-U65)/MAX(U$51-U$50,1)*(U$4-U$50))</f>
        <v/>
      </c>
      <c r="V93" s="19">
        <f>IF(V$4&lt;V$50,0,V65+(V79-V65)/MAX(V$51-V$50,1)*(V$4-V$50))</f>
        <v/>
      </c>
      <c r="W93" s="19">
        <f>IF(W$4&lt;W$50,0,W65+(W79-W65)/MAX(W$51-W$50,1)*(W$4-W$50))</f>
        <v/>
      </c>
      <c r="X93" s="19">
        <f>IF(X$4&lt;X$50,0,X65+(X79-X65)/MAX(X$51-X$50,1)*(X$4-X$50))</f>
        <v/>
      </c>
      <c r="Y93" s="19">
        <f>IF(Y$4&lt;Y$50,0,Y65+(Y79-Y65)/MAX(Y$51-Y$50,1)*(Y$4-Y$50))</f>
        <v/>
      </c>
      <c r="Z93" s="19">
        <f>IF(Z$4&lt;Z$50,0,Z65+(Z79-Z65)/MAX(Z$51-Z$50,1)*(Z$4-Z$50))</f>
        <v/>
      </c>
      <c r="AA93" s="19">
        <f>IF(AA$4&lt;AA$50,0,AA65+(AA79-AA65)/MAX(AA$51-AA$50,1)*(AA$4-AA$50))</f>
        <v/>
      </c>
      <c r="AB93" s="19">
        <f>IF(AB$4&lt;AB$50,0,AB65+(AB79-AB65)/MAX(AB$51-AB$50,1)*(AB$4-AB$50))</f>
        <v/>
      </c>
      <c r="AC93" s="19">
        <f>IF(AC$4&lt;AC$50,0,AC65+(AC79-AC65)/MAX(AC$51-AC$50,1)*(AC$4-AC$50))</f>
        <v/>
      </c>
      <c r="AD93" s="19">
        <f>IF(AD$4&lt;AD$50,0,AD65+(AD79-AD65)/MAX(AD$51-AD$50,1)*(AD$4-AD$50))</f>
        <v/>
      </c>
      <c r="AE93" s="20">
        <f>PATH(AE$4,AE$50,AE$51,AE65,AE79,TRUE)</f>
        <v/>
      </c>
      <c r="AG93" s="17">
        <f>CodePrefix&amp;$A93&amp;IF($C93="","","."&amp;$C93&amp;"."&amp;$B93)&amp;INDEX(VarEnd,MATCH($A93,VarKey,0))&amp;AG$5</f>
        <v/>
      </c>
      <c r="AH93" s="18">
        <f>IF(AH$4&lt;AH$50,0,AH65+(AH79-AH65)/MAX(AH$51-AH$50,1)*(AH$4-AH$50))</f>
        <v/>
      </c>
      <c r="AI93" s="19">
        <f>IF(AI$4&lt;AI$50,0,AI65+(AI79-AI65)/MAX(AI$51-AI$50,1)*(AI$4-AI$50))</f>
        <v/>
      </c>
      <c r="AJ93" s="19">
        <f>IF(AJ$4&lt;AJ$50,0,AJ65+(AJ79-AJ65)/MAX(AJ$51-AJ$50,1)*(AJ$4-AJ$50))</f>
        <v/>
      </c>
      <c r="AK93" s="19">
        <f>IF(AK$4&lt;AK$50,0,AK65+(AK79-AK65)/MAX(AK$51-AK$50,1)*(AK$4-AK$50))</f>
        <v/>
      </c>
      <c r="AL93" s="19">
        <f>IF(AL$4&lt;AL$50,0,AL65+(AL79-AL65)/MAX(AL$51-AL$50,1)*(AL$4-AL$50))</f>
        <v/>
      </c>
      <c r="AM93" s="19">
        <f>IF(AM$4&lt;AM$50,0,AM65+(AM79-AM65)/MAX(AM$51-AM$50,1)*(AM$4-AM$50))</f>
        <v/>
      </c>
      <c r="AN93" s="19">
        <f>IF(AN$4&lt;AN$50,0,AN65+(AN79-AN65)/MAX(AN$51-AN$50,1)*(AN$4-AN$50))</f>
        <v/>
      </c>
      <c r="AO93" s="19">
        <f>IF(AO$4&lt;AO$50,0,AO65+(AO79-AO65)/MAX(AO$51-AO$50,1)*(AO$4-AO$50))</f>
        <v/>
      </c>
      <c r="AP93" s="19">
        <f>IF(AP$4&lt;AP$50,0,AP65+(AP79-AP65)/MAX(AP$51-AP$50,1)*(AP$4-AP$50))</f>
        <v/>
      </c>
      <c r="AQ93" s="19">
        <f>IF(AQ$4&lt;AQ$50,0,AQ65+(AQ79-AQ65)/MAX(AQ$51-AQ$50,1)*(AQ$4-AQ$50))</f>
        <v/>
      </c>
      <c r="AR93" s="19">
        <f>IF(AR$4&lt;AR$50,0,AR65+(AR79-AR65)/MAX(AR$51-AR$50,1)*(AR$4-AR$50))</f>
        <v/>
      </c>
      <c r="AS93" s="19">
        <f>IF(AS$4&lt;AS$50,0,AS65+(AS79-AS65)/MAX(AS$51-AS$50,1)*(AS$4-AS$50))</f>
        <v/>
      </c>
      <c r="AT93" s="19">
        <f>IF(AT$4&lt;AT$50,0,AT65+(AT79-AT65)/MAX(AT$51-AT$50,1)*(AT$4-AT$50))</f>
        <v/>
      </c>
      <c r="AU93" s="19">
        <f>IF(AU$4&lt;AU$50,0,AU65+(AU79-AU65)/MAX(AU$51-AU$50,1)*(AU$4-AU$50))</f>
        <v/>
      </c>
      <c r="AV93" s="19">
        <f>IF(AV$4&lt;AV$50,0,AV65+(AV79-AV65)/MAX(AV$51-AV$50,1)*(AV$4-AV$50))</f>
        <v/>
      </c>
      <c r="AW93" s="19">
        <f>IF(AW$4&lt;AW$50,0,AW65+(AW79-AW65)/MAX(AW$51-AW$50,1)*(AW$4-AW$50))</f>
        <v/>
      </c>
      <c r="AX93" s="19">
        <f>IF(AX$4&lt;AX$50,0,AX65+(AX79-AX65)/MAX(AX$51-AX$50,1)*(AX$4-AX$50))</f>
        <v/>
      </c>
      <c r="AY93" s="19">
        <f>IF(AY$4&lt;AY$50,0,AY65+(AY79-AY65)/MAX(AY$51-AY$50,1)*(AY$4-AY$50))</f>
        <v/>
      </c>
      <c r="AZ93" s="19">
        <f>IF(AZ$4&lt;AZ$50,0,AZ65+(AZ79-AZ65)/MAX(AZ$51-AZ$50,1)*(AZ$4-AZ$50))</f>
        <v/>
      </c>
      <c r="BA93" s="20">
        <f>PATH(BA$4,BA$50,BA$51,BA65,BA79,TRUE)</f>
        <v/>
      </c>
    </row>
    <row r="94" hidden="1" outlineLevel="1">
      <c r="H94" s="21" t="inlineStr">
        <is>
          <t>New ETS (MTInputs rows 84-97: cap relative to baseline, years, price override, volatility; replaces the carbon tax in covered sectors)</t>
        </is>
      </c>
    </row>
    <row r="95" hidden="1" outlineLevel="1">
      <c r="A95" s="14" t="inlineStr">
        <is>
          <t>D_NewETS</t>
        </is>
      </c>
      <c r="B95" s="14" t="inlineStr"/>
      <c r="C95" s="14" t="inlineStr"/>
      <c r="D95" s="22" t="n">
        <v>84</v>
      </c>
      <c r="H95" s="14">
        <f>INDEX(VarLab,MATCH($A95,VarKey,0))&amp;INDEX(MemLab,MATCH($C95&amp;"|"&amp;$B95,MemKey,0))</f>
        <v/>
      </c>
      <c r="I95" s="14">
        <f>INDEX(VarUnit,MATCH($A95,VarKey,0))</f>
        <v/>
      </c>
      <c r="J95" s="14">
        <f>INDEX(VarSrc,MATCH($A95,VarKey,0))</f>
        <v/>
      </c>
      <c r="K95" s="11">
        <f>CodePrefix&amp;$A95&amp;IF($C95="","","."&amp;$C95&amp;"."&amp;$B95)&amp;INDEX(VarEnd,MATCH($A95,VarKey,0))&amp;K$5</f>
        <v/>
      </c>
      <c r="L95" s="23">
        <f>INDEX(MTInputs!$J$1:$AZ$415,$D95,MATCH(L$5,MTInputs!$J$5:$AZ$5,0))</f>
        <v/>
      </c>
      <c r="M95" s="24">
        <f>INDEX(MTInputs!$J$1:$AZ$415,$D95,MATCH(M$5,MTInputs!$J$5:$AZ$5,0))</f>
        <v/>
      </c>
      <c r="N95" s="24">
        <f>INDEX(MTInputs!$J$1:$AZ$415,$D95,MATCH(N$5,MTInputs!$J$5:$AZ$5,0))</f>
        <v/>
      </c>
      <c r="O95" s="24">
        <f>INDEX(MTInputs!$J$1:$AZ$415,$D95,MATCH(O$5,MTInputs!$J$5:$AZ$5,0))</f>
        <v/>
      </c>
      <c r="P95" s="24">
        <f>INDEX(MTInputs!$J$1:$AZ$415,$D95,MATCH(P$5,MTInputs!$J$5:$AZ$5,0))</f>
        <v/>
      </c>
      <c r="Q95" s="24">
        <f>INDEX(MTInputs!$J$1:$AZ$415,$D95,MATCH(Q$5,MTInputs!$J$5:$AZ$5,0))</f>
        <v/>
      </c>
      <c r="R95" s="24">
        <f>INDEX(MTInputs!$J$1:$AZ$415,$D95,MATCH(R$5,MTInputs!$J$5:$AZ$5,0))</f>
        <v/>
      </c>
      <c r="S95" s="24">
        <f>INDEX(MTInputs!$J$1:$AZ$415,$D95,MATCH(S$5,MTInputs!$J$5:$AZ$5,0))</f>
        <v/>
      </c>
      <c r="T95" s="24">
        <f>INDEX(MTInputs!$J$1:$AZ$415,$D95,MATCH(T$5,MTInputs!$J$5:$AZ$5,0))</f>
        <v/>
      </c>
      <c r="U95" s="24">
        <f>INDEX(MTInputs!$J$1:$AZ$415,$D95,MATCH(U$5,MTInputs!$J$5:$AZ$5,0))</f>
        <v/>
      </c>
      <c r="V95" s="24">
        <f>INDEX(MTInputs!$J$1:$AZ$415,$D95,MATCH(V$5,MTInputs!$J$5:$AZ$5,0))</f>
        <v/>
      </c>
      <c r="W95" s="24">
        <f>INDEX(MTInputs!$J$1:$AZ$415,$D95,MATCH(W$5,MTInputs!$J$5:$AZ$5,0))</f>
        <v/>
      </c>
      <c r="X95" s="24">
        <f>INDEX(MTInputs!$J$1:$AZ$415,$D95,MATCH(X$5,MTInputs!$J$5:$AZ$5,0))</f>
        <v/>
      </c>
      <c r="Y95" s="24">
        <f>INDEX(MTInputs!$J$1:$AZ$415,$D95,MATCH(Y$5,MTInputs!$J$5:$AZ$5,0))</f>
        <v/>
      </c>
      <c r="Z95" s="24">
        <f>INDEX(MTInputs!$J$1:$AZ$415,$D95,MATCH(Z$5,MTInputs!$J$5:$AZ$5,0))</f>
        <v/>
      </c>
      <c r="AA95" s="24">
        <f>INDEX(MTInputs!$J$1:$AZ$415,$D95,MATCH(AA$5,MTInputs!$J$5:$AZ$5,0))</f>
        <v/>
      </c>
      <c r="AB95" s="24">
        <f>INDEX(MTInputs!$J$1:$AZ$415,$D95,MATCH(AB$5,MTInputs!$J$5:$AZ$5,0))</f>
        <v/>
      </c>
      <c r="AC95" s="24">
        <f>INDEX(MTInputs!$J$1:$AZ$415,$D95,MATCH(AC$5,MTInputs!$J$5:$AZ$5,0))</f>
        <v/>
      </c>
      <c r="AD95" s="24">
        <f>INDEX(MTInputs!$J$1:$AZ$415,$D95,MATCH(AD$5,MTInputs!$J$5:$AZ$5,0))</f>
        <v/>
      </c>
      <c r="AE95" s="24">
        <f>INDEX(MTInputs!$J$1:$AZ$415,$D95,MATCH(AE$5,MTInputs!$J$5:$AZ$5,0))</f>
        <v/>
      </c>
      <c r="AG95" s="11">
        <f>CodePrefix&amp;$A95&amp;IF($C95="","","."&amp;$C95&amp;"."&amp;$B95)&amp;INDEX(VarEnd,MATCH($A95,VarKey,0))&amp;AG$5</f>
        <v/>
      </c>
      <c r="AH95" s="23">
        <f>INDEX(MTInputs!$J$1:$AZ$415,$D95,MATCH(AH$5,MTInputs!$J$5:$AZ$5,0))</f>
        <v/>
      </c>
      <c r="AI95" s="24">
        <f>INDEX(MTInputs!$J$1:$AZ$415,$D95,MATCH(AI$5,MTInputs!$J$5:$AZ$5,0))</f>
        <v/>
      </c>
      <c r="AJ95" s="24">
        <f>INDEX(MTInputs!$J$1:$AZ$415,$D95,MATCH(AJ$5,MTInputs!$J$5:$AZ$5,0))</f>
        <v/>
      </c>
      <c r="AK95" s="24">
        <f>INDEX(MTInputs!$J$1:$AZ$415,$D95,MATCH(AK$5,MTInputs!$J$5:$AZ$5,0))</f>
        <v/>
      </c>
      <c r="AL95" s="24">
        <f>INDEX(MTInputs!$J$1:$AZ$415,$D95,MATCH(AL$5,MTInputs!$J$5:$AZ$5,0))</f>
        <v/>
      </c>
      <c r="AM95" s="24">
        <f>INDEX(MTInputs!$J$1:$AZ$415,$D95,MATCH(AM$5,MTInputs!$J$5:$AZ$5,0))</f>
        <v/>
      </c>
      <c r="AN95" s="24">
        <f>INDEX(MTInputs!$J$1:$AZ$415,$D95,MATCH(AN$5,MTInputs!$J$5:$AZ$5,0))</f>
        <v/>
      </c>
      <c r="AO95" s="24">
        <f>INDEX(MTInputs!$J$1:$AZ$415,$D95,MATCH(AO$5,MTInputs!$J$5:$AZ$5,0))</f>
        <v/>
      </c>
      <c r="AP95" s="24">
        <f>INDEX(MTInputs!$J$1:$AZ$415,$D95,MATCH(AP$5,MTInputs!$J$5:$AZ$5,0))</f>
        <v/>
      </c>
      <c r="AQ95" s="24">
        <f>INDEX(MTInputs!$J$1:$AZ$415,$D95,MATCH(AQ$5,MTInputs!$J$5:$AZ$5,0))</f>
        <v/>
      </c>
      <c r="AR95" s="24">
        <f>INDEX(MTInputs!$J$1:$AZ$415,$D95,MATCH(AR$5,MTInputs!$J$5:$AZ$5,0))</f>
        <v/>
      </c>
      <c r="AS95" s="24">
        <f>INDEX(MTInputs!$J$1:$AZ$415,$D95,MATCH(AS$5,MTInputs!$J$5:$AZ$5,0))</f>
        <v/>
      </c>
      <c r="AT95" s="24">
        <f>INDEX(MTInputs!$J$1:$AZ$415,$D95,MATCH(AT$5,MTInputs!$J$5:$AZ$5,0))</f>
        <v/>
      </c>
      <c r="AU95" s="24">
        <f>INDEX(MTInputs!$J$1:$AZ$415,$D95,MATCH(AU$5,MTInputs!$J$5:$AZ$5,0))</f>
        <v/>
      </c>
      <c r="AV95" s="24">
        <f>INDEX(MTInputs!$J$1:$AZ$415,$D95,MATCH(AV$5,MTInputs!$J$5:$AZ$5,0))</f>
        <v/>
      </c>
      <c r="AW95" s="24">
        <f>INDEX(MTInputs!$J$1:$AZ$415,$D95,MATCH(AW$5,MTInputs!$J$5:$AZ$5,0))</f>
        <v/>
      </c>
      <c r="AX95" s="24">
        <f>INDEX(MTInputs!$J$1:$AZ$415,$D95,MATCH(AX$5,MTInputs!$J$5:$AZ$5,0))</f>
        <v/>
      </c>
      <c r="AY95" s="24">
        <f>INDEX(MTInputs!$J$1:$AZ$415,$D95,MATCH(AY$5,MTInputs!$J$5:$AZ$5,0))</f>
        <v/>
      </c>
      <c r="AZ95" s="24">
        <f>INDEX(MTInputs!$J$1:$AZ$415,$D95,MATCH(AZ$5,MTInputs!$J$5:$AZ$5,0))</f>
        <v/>
      </c>
      <c r="BA95" s="24">
        <f>INDEX(MTInputs!$J$1:$AZ$415,$D95,MATCH(BA$5,MTInputs!$J$5:$AZ$5,0))</f>
        <v/>
      </c>
    </row>
    <row r="96" hidden="1" outlineLevel="1">
      <c r="A96" s="14" t="inlineStr">
        <is>
          <t>D_ETSChangeRelStart</t>
        </is>
      </c>
      <c r="B96" s="14" t="inlineStr"/>
      <c r="C96" s="14" t="inlineStr"/>
      <c r="D96" s="22" t="n">
        <v>85</v>
      </c>
      <c r="H96" s="14">
        <f>INDEX(VarLab,MATCH($A96,VarKey,0))&amp;INDEX(MemLab,MATCH($C96&amp;"|"&amp;$B96,MemKey,0))</f>
        <v/>
      </c>
      <c r="I96" s="14">
        <f>INDEX(VarUnit,MATCH($A96,VarKey,0))</f>
        <v/>
      </c>
      <c r="J96" s="14">
        <f>INDEX(VarSrc,MATCH($A96,VarKey,0))</f>
        <v/>
      </c>
      <c r="K96" s="11">
        <f>CodePrefix&amp;$A96&amp;IF($C96="","","."&amp;$C96&amp;"."&amp;$B96)&amp;INDEX(VarEnd,MATCH($A96,VarKey,0))&amp;K$5</f>
        <v/>
      </c>
      <c r="L96" s="23">
        <f>INDEX(MTInputs!$J$1:$AZ$415,$D96,MATCH(L$5,MTInputs!$J$5:$AZ$5,0))</f>
        <v/>
      </c>
      <c r="M96" s="24">
        <f>INDEX(MTInputs!$J$1:$AZ$415,$D96,MATCH(M$5,MTInputs!$J$5:$AZ$5,0))</f>
        <v/>
      </c>
      <c r="N96" s="24">
        <f>INDEX(MTInputs!$J$1:$AZ$415,$D96,MATCH(N$5,MTInputs!$J$5:$AZ$5,0))</f>
        <v/>
      </c>
      <c r="O96" s="24">
        <f>INDEX(MTInputs!$J$1:$AZ$415,$D96,MATCH(O$5,MTInputs!$J$5:$AZ$5,0))</f>
        <v/>
      </c>
      <c r="P96" s="24">
        <f>INDEX(MTInputs!$J$1:$AZ$415,$D96,MATCH(P$5,MTInputs!$J$5:$AZ$5,0))</f>
        <v/>
      </c>
      <c r="Q96" s="24">
        <f>INDEX(MTInputs!$J$1:$AZ$415,$D96,MATCH(Q$5,MTInputs!$J$5:$AZ$5,0))</f>
        <v/>
      </c>
      <c r="R96" s="24">
        <f>INDEX(MTInputs!$J$1:$AZ$415,$D96,MATCH(R$5,MTInputs!$J$5:$AZ$5,0))</f>
        <v/>
      </c>
      <c r="S96" s="24">
        <f>INDEX(MTInputs!$J$1:$AZ$415,$D96,MATCH(S$5,MTInputs!$J$5:$AZ$5,0))</f>
        <v/>
      </c>
      <c r="T96" s="24">
        <f>INDEX(MTInputs!$J$1:$AZ$415,$D96,MATCH(T$5,MTInputs!$J$5:$AZ$5,0))</f>
        <v/>
      </c>
      <c r="U96" s="24">
        <f>INDEX(MTInputs!$J$1:$AZ$415,$D96,MATCH(U$5,MTInputs!$J$5:$AZ$5,0))</f>
        <v/>
      </c>
      <c r="V96" s="24">
        <f>INDEX(MTInputs!$J$1:$AZ$415,$D96,MATCH(V$5,MTInputs!$J$5:$AZ$5,0))</f>
        <v/>
      </c>
      <c r="W96" s="24">
        <f>INDEX(MTInputs!$J$1:$AZ$415,$D96,MATCH(W$5,MTInputs!$J$5:$AZ$5,0))</f>
        <v/>
      </c>
      <c r="X96" s="24">
        <f>INDEX(MTInputs!$J$1:$AZ$415,$D96,MATCH(X$5,MTInputs!$J$5:$AZ$5,0))</f>
        <v/>
      </c>
      <c r="Y96" s="24">
        <f>INDEX(MTInputs!$J$1:$AZ$415,$D96,MATCH(Y$5,MTInputs!$J$5:$AZ$5,0))</f>
        <v/>
      </c>
      <c r="Z96" s="24">
        <f>INDEX(MTInputs!$J$1:$AZ$415,$D96,MATCH(Z$5,MTInputs!$J$5:$AZ$5,0))</f>
        <v/>
      </c>
      <c r="AA96" s="24">
        <f>INDEX(MTInputs!$J$1:$AZ$415,$D96,MATCH(AA$5,MTInputs!$J$5:$AZ$5,0))</f>
        <v/>
      </c>
      <c r="AB96" s="24">
        <f>INDEX(MTInputs!$J$1:$AZ$415,$D96,MATCH(AB$5,MTInputs!$J$5:$AZ$5,0))</f>
        <v/>
      </c>
      <c r="AC96" s="24">
        <f>INDEX(MTInputs!$J$1:$AZ$415,$D96,MATCH(AC$5,MTInputs!$J$5:$AZ$5,0))</f>
        <v/>
      </c>
      <c r="AD96" s="24">
        <f>INDEX(MTInputs!$J$1:$AZ$415,$D96,MATCH(AD$5,MTInputs!$J$5:$AZ$5,0))</f>
        <v/>
      </c>
      <c r="AE96" s="24">
        <f>INDEX(MTInputs!$J$1:$AZ$415,$D96,MATCH(AE$5,MTInputs!$J$5:$AZ$5,0))</f>
        <v/>
      </c>
      <c r="AG96" s="11">
        <f>CodePrefix&amp;$A96&amp;IF($C96="","","."&amp;$C96&amp;"."&amp;$B96)&amp;INDEX(VarEnd,MATCH($A96,VarKey,0))&amp;AG$5</f>
        <v/>
      </c>
      <c r="AH96" s="23">
        <f>INDEX(MTInputs!$J$1:$AZ$415,$D96,MATCH(AH$5,MTInputs!$J$5:$AZ$5,0))</f>
        <v/>
      </c>
      <c r="AI96" s="24">
        <f>INDEX(MTInputs!$J$1:$AZ$415,$D96,MATCH(AI$5,MTInputs!$J$5:$AZ$5,0))</f>
        <v/>
      </c>
      <c r="AJ96" s="24">
        <f>INDEX(MTInputs!$J$1:$AZ$415,$D96,MATCH(AJ$5,MTInputs!$J$5:$AZ$5,0))</f>
        <v/>
      </c>
      <c r="AK96" s="24">
        <f>INDEX(MTInputs!$J$1:$AZ$415,$D96,MATCH(AK$5,MTInputs!$J$5:$AZ$5,0))</f>
        <v/>
      </c>
      <c r="AL96" s="24">
        <f>INDEX(MTInputs!$J$1:$AZ$415,$D96,MATCH(AL$5,MTInputs!$J$5:$AZ$5,0))</f>
        <v/>
      </c>
      <c r="AM96" s="24">
        <f>INDEX(MTInputs!$J$1:$AZ$415,$D96,MATCH(AM$5,MTInputs!$J$5:$AZ$5,0))</f>
        <v/>
      </c>
      <c r="AN96" s="24">
        <f>INDEX(MTInputs!$J$1:$AZ$415,$D96,MATCH(AN$5,MTInputs!$J$5:$AZ$5,0))</f>
        <v/>
      </c>
      <c r="AO96" s="24">
        <f>INDEX(MTInputs!$J$1:$AZ$415,$D96,MATCH(AO$5,MTInputs!$J$5:$AZ$5,0))</f>
        <v/>
      </c>
      <c r="AP96" s="24">
        <f>INDEX(MTInputs!$J$1:$AZ$415,$D96,MATCH(AP$5,MTInputs!$J$5:$AZ$5,0))</f>
        <v/>
      </c>
      <c r="AQ96" s="24">
        <f>INDEX(MTInputs!$J$1:$AZ$415,$D96,MATCH(AQ$5,MTInputs!$J$5:$AZ$5,0))</f>
        <v/>
      </c>
      <c r="AR96" s="24">
        <f>INDEX(MTInputs!$J$1:$AZ$415,$D96,MATCH(AR$5,MTInputs!$J$5:$AZ$5,0))</f>
        <v/>
      </c>
      <c r="AS96" s="24">
        <f>INDEX(MTInputs!$J$1:$AZ$415,$D96,MATCH(AS$5,MTInputs!$J$5:$AZ$5,0))</f>
        <v/>
      </c>
      <c r="AT96" s="24">
        <f>INDEX(MTInputs!$J$1:$AZ$415,$D96,MATCH(AT$5,MTInputs!$J$5:$AZ$5,0))</f>
        <v/>
      </c>
      <c r="AU96" s="24">
        <f>INDEX(MTInputs!$J$1:$AZ$415,$D96,MATCH(AU$5,MTInputs!$J$5:$AZ$5,0))</f>
        <v/>
      </c>
      <c r="AV96" s="24">
        <f>INDEX(MTInputs!$J$1:$AZ$415,$D96,MATCH(AV$5,MTInputs!$J$5:$AZ$5,0))</f>
        <v/>
      </c>
      <c r="AW96" s="24">
        <f>INDEX(MTInputs!$J$1:$AZ$415,$D96,MATCH(AW$5,MTInputs!$J$5:$AZ$5,0))</f>
        <v/>
      </c>
      <c r="AX96" s="24">
        <f>INDEX(MTInputs!$J$1:$AZ$415,$D96,MATCH(AX$5,MTInputs!$J$5:$AZ$5,0))</f>
        <v/>
      </c>
      <c r="AY96" s="24">
        <f>INDEX(MTInputs!$J$1:$AZ$415,$D96,MATCH(AY$5,MTInputs!$J$5:$AZ$5,0))</f>
        <v/>
      </c>
      <c r="AZ96" s="24">
        <f>INDEX(MTInputs!$J$1:$AZ$415,$D96,MATCH(AZ$5,MTInputs!$J$5:$AZ$5,0))</f>
        <v/>
      </c>
      <c r="BA96" s="24">
        <f>INDEX(MTInputs!$J$1:$AZ$415,$D96,MATCH(BA$5,MTInputs!$J$5:$AZ$5,0))</f>
        <v/>
      </c>
    </row>
    <row r="97" hidden="1" outlineLevel="1">
      <c r="A97" s="14" t="inlineStr">
        <is>
          <t>D_ETSChangeRelTarget</t>
        </is>
      </c>
      <c r="B97" s="14" t="inlineStr"/>
      <c r="C97" s="14" t="inlineStr"/>
      <c r="D97" s="22" t="n">
        <v>86</v>
      </c>
      <c r="H97" s="14">
        <f>INDEX(VarLab,MATCH($A97,VarKey,0))&amp;INDEX(MemLab,MATCH($C97&amp;"|"&amp;$B97,MemKey,0))</f>
        <v/>
      </c>
      <c r="I97" s="14">
        <f>INDEX(VarUnit,MATCH($A97,VarKey,0))</f>
        <v/>
      </c>
      <c r="J97" s="14">
        <f>INDEX(VarSrc,MATCH($A97,VarKey,0))</f>
        <v/>
      </c>
      <c r="K97" s="11">
        <f>CodePrefix&amp;$A97&amp;IF($C97="","","."&amp;$C97&amp;"."&amp;$B97)&amp;INDEX(VarEnd,MATCH($A97,VarKey,0))&amp;K$5</f>
        <v/>
      </c>
      <c r="L97" s="23">
        <f>INDEX(MTInputs!$J$1:$AZ$415,$D97,MATCH(L$5,MTInputs!$J$5:$AZ$5,0))</f>
        <v/>
      </c>
      <c r="M97" s="24">
        <f>INDEX(MTInputs!$J$1:$AZ$415,$D97,MATCH(M$5,MTInputs!$J$5:$AZ$5,0))</f>
        <v/>
      </c>
      <c r="N97" s="24">
        <f>INDEX(MTInputs!$J$1:$AZ$415,$D97,MATCH(N$5,MTInputs!$J$5:$AZ$5,0))</f>
        <v/>
      </c>
      <c r="O97" s="24">
        <f>INDEX(MTInputs!$J$1:$AZ$415,$D97,MATCH(O$5,MTInputs!$J$5:$AZ$5,0))</f>
        <v/>
      </c>
      <c r="P97" s="24">
        <f>INDEX(MTInputs!$J$1:$AZ$415,$D97,MATCH(P$5,MTInputs!$J$5:$AZ$5,0))</f>
        <v/>
      </c>
      <c r="Q97" s="24">
        <f>INDEX(MTInputs!$J$1:$AZ$415,$D97,MATCH(Q$5,MTInputs!$J$5:$AZ$5,0))</f>
        <v/>
      </c>
      <c r="R97" s="24">
        <f>INDEX(MTInputs!$J$1:$AZ$415,$D97,MATCH(R$5,MTInputs!$J$5:$AZ$5,0))</f>
        <v/>
      </c>
      <c r="S97" s="24">
        <f>INDEX(MTInputs!$J$1:$AZ$415,$D97,MATCH(S$5,MTInputs!$J$5:$AZ$5,0))</f>
        <v/>
      </c>
      <c r="T97" s="24">
        <f>INDEX(MTInputs!$J$1:$AZ$415,$D97,MATCH(T$5,MTInputs!$J$5:$AZ$5,0))</f>
        <v/>
      </c>
      <c r="U97" s="24">
        <f>INDEX(MTInputs!$J$1:$AZ$415,$D97,MATCH(U$5,MTInputs!$J$5:$AZ$5,0))</f>
        <v/>
      </c>
      <c r="V97" s="24">
        <f>INDEX(MTInputs!$J$1:$AZ$415,$D97,MATCH(V$5,MTInputs!$J$5:$AZ$5,0))</f>
        <v/>
      </c>
      <c r="W97" s="24">
        <f>INDEX(MTInputs!$J$1:$AZ$415,$D97,MATCH(W$5,MTInputs!$J$5:$AZ$5,0))</f>
        <v/>
      </c>
      <c r="X97" s="24">
        <f>INDEX(MTInputs!$J$1:$AZ$415,$D97,MATCH(X$5,MTInputs!$J$5:$AZ$5,0))</f>
        <v/>
      </c>
      <c r="Y97" s="24">
        <f>INDEX(MTInputs!$J$1:$AZ$415,$D97,MATCH(Y$5,MTInputs!$J$5:$AZ$5,0))</f>
        <v/>
      </c>
      <c r="Z97" s="24">
        <f>INDEX(MTInputs!$J$1:$AZ$415,$D97,MATCH(Z$5,MTInputs!$J$5:$AZ$5,0))</f>
        <v/>
      </c>
      <c r="AA97" s="24">
        <f>INDEX(MTInputs!$J$1:$AZ$415,$D97,MATCH(AA$5,MTInputs!$J$5:$AZ$5,0))</f>
        <v/>
      </c>
      <c r="AB97" s="24">
        <f>INDEX(MTInputs!$J$1:$AZ$415,$D97,MATCH(AB$5,MTInputs!$J$5:$AZ$5,0))</f>
        <v/>
      </c>
      <c r="AC97" s="24">
        <f>INDEX(MTInputs!$J$1:$AZ$415,$D97,MATCH(AC$5,MTInputs!$J$5:$AZ$5,0))</f>
        <v/>
      </c>
      <c r="AD97" s="24">
        <f>INDEX(MTInputs!$J$1:$AZ$415,$D97,MATCH(AD$5,MTInputs!$J$5:$AZ$5,0))</f>
        <v/>
      </c>
      <c r="AE97" s="24">
        <f>INDEX(MTInputs!$J$1:$AZ$415,$D97,MATCH(AE$5,MTInputs!$J$5:$AZ$5,0))</f>
        <v/>
      </c>
      <c r="AG97" s="11">
        <f>CodePrefix&amp;$A97&amp;IF($C97="","","."&amp;$C97&amp;"."&amp;$B97)&amp;INDEX(VarEnd,MATCH($A97,VarKey,0))&amp;AG$5</f>
        <v/>
      </c>
      <c r="AH97" s="23">
        <f>INDEX(MTInputs!$J$1:$AZ$415,$D97,MATCH(AH$5,MTInputs!$J$5:$AZ$5,0))</f>
        <v/>
      </c>
      <c r="AI97" s="24">
        <f>INDEX(MTInputs!$J$1:$AZ$415,$D97,MATCH(AI$5,MTInputs!$J$5:$AZ$5,0))</f>
        <v/>
      </c>
      <c r="AJ97" s="24">
        <f>INDEX(MTInputs!$J$1:$AZ$415,$D97,MATCH(AJ$5,MTInputs!$J$5:$AZ$5,0))</f>
        <v/>
      </c>
      <c r="AK97" s="24">
        <f>INDEX(MTInputs!$J$1:$AZ$415,$D97,MATCH(AK$5,MTInputs!$J$5:$AZ$5,0))</f>
        <v/>
      </c>
      <c r="AL97" s="24">
        <f>INDEX(MTInputs!$J$1:$AZ$415,$D97,MATCH(AL$5,MTInputs!$J$5:$AZ$5,0))</f>
        <v/>
      </c>
      <c r="AM97" s="24">
        <f>INDEX(MTInputs!$J$1:$AZ$415,$D97,MATCH(AM$5,MTInputs!$J$5:$AZ$5,0))</f>
        <v/>
      </c>
      <c r="AN97" s="24">
        <f>INDEX(MTInputs!$J$1:$AZ$415,$D97,MATCH(AN$5,MTInputs!$J$5:$AZ$5,0))</f>
        <v/>
      </c>
      <c r="AO97" s="24">
        <f>INDEX(MTInputs!$J$1:$AZ$415,$D97,MATCH(AO$5,MTInputs!$J$5:$AZ$5,0))</f>
        <v/>
      </c>
      <c r="AP97" s="24">
        <f>INDEX(MTInputs!$J$1:$AZ$415,$D97,MATCH(AP$5,MTInputs!$J$5:$AZ$5,0))</f>
        <v/>
      </c>
      <c r="AQ97" s="24">
        <f>INDEX(MTInputs!$J$1:$AZ$415,$D97,MATCH(AQ$5,MTInputs!$J$5:$AZ$5,0))</f>
        <v/>
      </c>
      <c r="AR97" s="24">
        <f>INDEX(MTInputs!$J$1:$AZ$415,$D97,MATCH(AR$5,MTInputs!$J$5:$AZ$5,0))</f>
        <v/>
      </c>
      <c r="AS97" s="24">
        <f>INDEX(MTInputs!$J$1:$AZ$415,$D97,MATCH(AS$5,MTInputs!$J$5:$AZ$5,0))</f>
        <v/>
      </c>
      <c r="AT97" s="24">
        <f>INDEX(MTInputs!$J$1:$AZ$415,$D97,MATCH(AT$5,MTInputs!$J$5:$AZ$5,0))</f>
        <v/>
      </c>
      <c r="AU97" s="24">
        <f>INDEX(MTInputs!$J$1:$AZ$415,$D97,MATCH(AU$5,MTInputs!$J$5:$AZ$5,0))</f>
        <v/>
      </c>
      <c r="AV97" s="24">
        <f>INDEX(MTInputs!$J$1:$AZ$415,$D97,MATCH(AV$5,MTInputs!$J$5:$AZ$5,0))</f>
        <v/>
      </c>
      <c r="AW97" s="24">
        <f>INDEX(MTInputs!$J$1:$AZ$415,$D97,MATCH(AW$5,MTInputs!$J$5:$AZ$5,0))</f>
        <v/>
      </c>
      <c r="AX97" s="24">
        <f>INDEX(MTInputs!$J$1:$AZ$415,$D97,MATCH(AX$5,MTInputs!$J$5:$AZ$5,0))</f>
        <v/>
      </c>
      <c r="AY97" s="24">
        <f>INDEX(MTInputs!$J$1:$AZ$415,$D97,MATCH(AY$5,MTInputs!$J$5:$AZ$5,0))</f>
        <v/>
      </c>
      <c r="AZ97" s="24">
        <f>INDEX(MTInputs!$J$1:$AZ$415,$D97,MATCH(AZ$5,MTInputs!$J$5:$AZ$5,0))</f>
        <v/>
      </c>
      <c r="BA97" s="24">
        <f>INDEX(MTInputs!$J$1:$AZ$415,$D97,MATCH(BA$5,MTInputs!$J$5:$AZ$5,0))</f>
        <v/>
      </c>
    </row>
    <row r="98" hidden="1" outlineLevel="1">
      <c r="A98" s="14" t="inlineStr">
        <is>
          <t>D_ETSCapCont</t>
        </is>
      </c>
      <c r="B98" s="14" t="inlineStr"/>
      <c r="C98" s="14" t="inlineStr"/>
      <c r="D98" s="22" t="n">
        <v>87</v>
      </c>
      <c r="H98" s="14">
        <f>INDEX(VarLab,MATCH($A98,VarKey,0))&amp;INDEX(MemLab,MATCH($C98&amp;"|"&amp;$B98,MemKey,0))</f>
        <v/>
      </c>
      <c r="I98" s="14">
        <f>INDEX(VarUnit,MATCH($A98,VarKey,0))</f>
        <v/>
      </c>
      <c r="J98" s="14">
        <f>INDEX(VarSrc,MATCH($A98,VarKey,0))</f>
        <v/>
      </c>
      <c r="K98" s="11">
        <f>CodePrefix&amp;$A98&amp;IF($C98="","","."&amp;$C98&amp;"."&amp;$B98)&amp;INDEX(VarEnd,MATCH($A98,VarKey,0))&amp;K$5</f>
        <v/>
      </c>
      <c r="L98" s="23">
        <f>INDEX(MTInputs!$J$1:$AZ$415,$D98,MATCH(L$5,MTInputs!$J$5:$AZ$5,0))</f>
        <v/>
      </c>
      <c r="M98" s="24">
        <f>INDEX(MTInputs!$J$1:$AZ$415,$D98,MATCH(M$5,MTInputs!$J$5:$AZ$5,0))</f>
        <v/>
      </c>
      <c r="N98" s="24">
        <f>INDEX(MTInputs!$J$1:$AZ$415,$D98,MATCH(N$5,MTInputs!$J$5:$AZ$5,0))</f>
        <v/>
      </c>
      <c r="O98" s="24">
        <f>INDEX(MTInputs!$J$1:$AZ$415,$D98,MATCH(O$5,MTInputs!$J$5:$AZ$5,0))</f>
        <v/>
      </c>
      <c r="P98" s="24">
        <f>INDEX(MTInputs!$J$1:$AZ$415,$D98,MATCH(P$5,MTInputs!$J$5:$AZ$5,0))</f>
        <v/>
      </c>
      <c r="Q98" s="24">
        <f>INDEX(MTInputs!$J$1:$AZ$415,$D98,MATCH(Q$5,MTInputs!$J$5:$AZ$5,0))</f>
        <v/>
      </c>
      <c r="R98" s="24">
        <f>INDEX(MTInputs!$J$1:$AZ$415,$D98,MATCH(R$5,MTInputs!$J$5:$AZ$5,0))</f>
        <v/>
      </c>
      <c r="S98" s="24">
        <f>INDEX(MTInputs!$J$1:$AZ$415,$D98,MATCH(S$5,MTInputs!$J$5:$AZ$5,0))</f>
        <v/>
      </c>
      <c r="T98" s="24">
        <f>INDEX(MTInputs!$J$1:$AZ$415,$D98,MATCH(T$5,MTInputs!$J$5:$AZ$5,0))</f>
        <v/>
      </c>
      <c r="U98" s="24">
        <f>INDEX(MTInputs!$J$1:$AZ$415,$D98,MATCH(U$5,MTInputs!$J$5:$AZ$5,0))</f>
        <v/>
      </c>
      <c r="V98" s="24">
        <f>INDEX(MTInputs!$J$1:$AZ$415,$D98,MATCH(V$5,MTInputs!$J$5:$AZ$5,0))</f>
        <v/>
      </c>
      <c r="W98" s="24">
        <f>INDEX(MTInputs!$J$1:$AZ$415,$D98,MATCH(W$5,MTInputs!$J$5:$AZ$5,0))</f>
        <v/>
      </c>
      <c r="X98" s="24">
        <f>INDEX(MTInputs!$J$1:$AZ$415,$D98,MATCH(X$5,MTInputs!$J$5:$AZ$5,0))</f>
        <v/>
      </c>
      <c r="Y98" s="24">
        <f>INDEX(MTInputs!$J$1:$AZ$415,$D98,MATCH(Y$5,MTInputs!$J$5:$AZ$5,0))</f>
        <v/>
      </c>
      <c r="Z98" s="24">
        <f>INDEX(MTInputs!$J$1:$AZ$415,$D98,MATCH(Z$5,MTInputs!$J$5:$AZ$5,0))</f>
        <v/>
      </c>
      <c r="AA98" s="24">
        <f>INDEX(MTInputs!$J$1:$AZ$415,$D98,MATCH(AA$5,MTInputs!$J$5:$AZ$5,0))</f>
        <v/>
      </c>
      <c r="AB98" s="24">
        <f>INDEX(MTInputs!$J$1:$AZ$415,$D98,MATCH(AB$5,MTInputs!$J$5:$AZ$5,0))</f>
        <v/>
      </c>
      <c r="AC98" s="24">
        <f>INDEX(MTInputs!$J$1:$AZ$415,$D98,MATCH(AC$5,MTInputs!$J$5:$AZ$5,0))</f>
        <v/>
      </c>
      <c r="AD98" s="24">
        <f>INDEX(MTInputs!$J$1:$AZ$415,$D98,MATCH(AD$5,MTInputs!$J$5:$AZ$5,0))</f>
        <v/>
      </c>
      <c r="AE98" s="24">
        <f>INDEX(MTInputs!$J$1:$AZ$415,$D98,MATCH(AE$5,MTInputs!$J$5:$AZ$5,0))</f>
        <v/>
      </c>
      <c r="AG98" s="11">
        <f>CodePrefix&amp;$A98&amp;IF($C98="","","."&amp;$C98&amp;"."&amp;$B98)&amp;INDEX(VarEnd,MATCH($A98,VarKey,0))&amp;AG$5</f>
        <v/>
      </c>
      <c r="AH98" s="23">
        <f>INDEX(MTInputs!$J$1:$AZ$415,$D98,MATCH(AH$5,MTInputs!$J$5:$AZ$5,0))</f>
        <v/>
      </c>
      <c r="AI98" s="24">
        <f>INDEX(MTInputs!$J$1:$AZ$415,$D98,MATCH(AI$5,MTInputs!$J$5:$AZ$5,0))</f>
        <v/>
      </c>
      <c r="AJ98" s="24">
        <f>INDEX(MTInputs!$J$1:$AZ$415,$D98,MATCH(AJ$5,MTInputs!$J$5:$AZ$5,0))</f>
        <v/>
      </c>
      <c r="AK98" s="24">
        <f>INDEX(MTInputs!$J$1:$AZ$415,$D98,MATCH(AK$5,MTInputs!$J$5:$AZ$5,0))</f>
        <v/>
      </c>
      <c r="AL98" s="24">
        <f>INDEX(MTInputs!$J$1:$AZ$415,$D98,MATCH(AL$5,MTInputs!$J$5:$AZ$5,0))</f>
        <v/>
      </c>
      <c r="AM98" s="24">
        <f>INDEX(MTInputs!$J$1:$AZ$415,$D98,MATCH(AM$5,MTInputs!$J$5:$AZ$5,0))</f>
        <v/>
      </c>
      <c r="AN98" s="24">
        <f>INDEX(MTInputs!$J$1:$AZ$415,$D98,MATCH(AN$5,MTInputs!$J$5:$AZ$5,0))</f>
        <v/>
      </c>
      <c r="AO98" s="24">
        <f>INDEX(MTInputs!$J$1:$AZ$415,$D98,MATCH(AO$5,MTInputs!$J$5:$AZ$5,0))</f>
        <v/>
      </c>
      <c r="AP98" s="24">
        <f>INDEX(MTInputs!$J$1:$AZ$415,$D98,MATCH(AP$5,MTInputs!$J$5:$AZ$5,0))</f>
        <v/>
      </c>
      <c r="AQ98" s="24">
        <f>INDEX(MTInputs!$J$1:$AZ$415,$D98,MATCH(AQ$5,MTInputs!$J$5:$AZ$5,0))</f>
        <v/>
      </c>
      <c r="AR98" s="24">
        <f>INDEX(MTInputs!$J$1:$AZ$415,$D98,MATCH(AR$5,MTInputs!$J$5:$AZ$5,0))</f>
        <v/>
      </c>
      <c r="AS98" s="24">
        <f>INDEX(MTInputs!$J$1:$AZ$415,$D98,MATCH(AS$5,MTInputs!$J$5:$AZ$5,0))</f>
        <v/>
      </c>
      <c r="AT98" s="24">
        <f>INDEX(MTInputs!$J$1:$AZ$415,$D98,MATCH(AT$5,MTInputs!$J$5:$AZ$5,0))</f>
        <v/>
      </c>
      <c r="AU98" s="24">
        <f>INDEX(MTInputs!$J$1:$AZ$415,$D98,MATCH(AU$5,MTInputs!$J$5:$AZ$5,0))</f>
        <v/>
      </c>
      <c r="AV98" s="24">
        <f>INDEX(MTInputs!$J$1:$AZ$415,$D98,MATCH(AV$5,MTInputs!$J$5:$AZ$5,0))</f>
        <v/>
      </c>
      <c r="AW98" s="24">
        <f>INDEX(MTInputs!$J$1:$AZ$415,$D98,MATCH(AW$5,MTInputs!$J$5:$AZ$5,0))</f>
        <v/>
      </c>
      <c r="AX98" s="24">
        <f>INDEX(MTInputs!$J$1:$AZ$415,$D98,MATCH(AX$5,MTInputs!$J$5:$AZ$5,0))</f>
        <v/>
      </c>
      <c r="AY98" s="24">
        <f>INDEX(MTInputs!$J$1:$AZ$415,$D98,MATCH(AY$5,MTInputs!$J$5:$AZ$5,0))</f>
        <v/>
      </c>
      <c r="AZ98" s="24">
        <f>INDEX(MTInputs!$J$1:$AZ$415,$D98,MATCH(AZ$5,MTInputs!$J$5:$AZ$5,0))</f>
        <v/>
      </c>
      <c r="BA98" s="24">
        <f>INDEX(MTInputs!$J$1:$AZ$415,$D98,MATCH(BA$5,MTInputs!$J$5:$AZ$5,0))</f>
        <v/>
      </c>
    </row>
    <row r="99" hidden="1" outlineLevel="1">
      <c r="A99" s="14" t="inlineStr">
        <is>
          <t>D_ETSIntro</t>
        </is>
      </c>
      <c r="B99" s="14" t="inlineStr"/>
      <c r="C99" s="14" t="inlineStr"/>
      <c r="D99" s="22" t="n">
        <v>88</v>
      </c>
      <c r="H99" s="14">
        <f>INDEX(VarLab,MATCH($A99,VarKey,0))&amp;INDEX(MemLab,MATCH($C99&amp;"|"&amp;$B99,MemKey,0))</f>
        <v/>
      </c>
      <c r="I99" s="14">
        <f>INDEX(VarUnit,MATCH($A99,VarKey,0))</f>
        <v/>
      </c>
      <c r="J99" s="14">
        <f>INDEX(VarSrc,MATCH($A99,VarKey,0))</f>
        <v/>
      </c>
      <c r="K99" s="11">
        <f>CodePrefix&amp;$A99&amp;IF($C99="","","."&amp;$C99&amp;"."&amp;$B99)&amp;INDEX(VarEnd,MATCH($A99,VarKey,0))&amp;K$5</f>
        <v/>
      </c>
      <c r="L99" s="23">
        <f>INDEX(MTInputs!$J$1:$AZ$415,$D99,MATCH(L$5,MTInputs!$J$5:$AZ$5,0))</f>
        <v/>
      </c>
      <c r="M99" s="24">
        <f>INDEX(MTInputs!$J$1:$AZ$415,$D99,MATCH(M$5,MTInputs!$J$5:$AZ$5,0))</f>
        <v/>
      </c>
      <c r="N99" s="24">
        <f>INDEX(MTInputs!$J$1:$AZ$415,$D99,MATCH(N$5,MTInputs!$J$5:$AZ$5,0))</f>
        <v/>
      </c>
      <c r="O99" s="24">
        <f>INDEX(MTInputs!$J$1:$AZ$415,$D99,MATCH(O$5,MTInputs!$J$5:$AZ$5,0))</f>
        <v/>
      </c>
      <c r="P99" s="24">
        <f>INDEX(MTInputs!$J$1:$AZ$415,$D99,MATCH(P$5,MTInputs!$J$5:$AZ$5,0))</f>
        <v/>
      </c>
      <c r="Q99" s="24">
        <f>INDEX(MTInputs!$J$1:$AZ$415,$D99,MATCH(Q$5,MTInputs!$J$5:$AZ$5,0))</f>
        <v/>
      </c>
      <c r="R99" s="24">
        <f>INDEX(MTInputs!$J$1:$AZ$415,$D99,MATCH(R$5,MTInputs!$J$5:$AZ$5,0))</f>
        <v/>
      </c>
      <c r="S99" s="24">
        <f>INDEX(MTInputs!$J$1:$AZ$415,$D99,MATCH(S$5,MTInputs!$J$5:$AZ$5,0))</f>
        <v/>
      </c>
      <c r="T99" s="24">
        <f>INDEX(MTInputs!$J$1:$AZ$415,$D99,MATCH(T$5,MTInputs!$J$5:$AZ$5,0))</f>
        <v/>
      </c>
      <c r="U99" s="24">
        <f>INDEX(MTInputs!$J$1:$AZ$415,$D99,MATCH(U$5,MTInputs!$J$5:$AZ$5,0))</f>
        <v/>
      </c>
      <c r="V99" s="24">
        <f>INDEX(MTInputs!$J$1:$AZ$415,$D99,MATCH(V$5,MTInputs!$J$5:$AZ$5,0))</f>
        <v/>
      </c>
      <c r="W99" s="24">
        <f>INDEX(MTInputs!$J$1:$AZ$415,$D99,MATCH(W$5,MTInputs!$J$5:$AZ$5,0))</f>
        <v/>
      </c>
      <c r="X99" s="24">
        <f>INDEX(MTInputs!$J$1:$AZ$415,$D99,MATCH(X$5,MTInputs!$J$5:$AZ$5,0))</f>
        <v/>
      </c>
      <c r="Y99" s="24">
        <f>INDEX(MTInputs!$J$1:$AZ$415,$D99,MATCH(Y$5,MTInputs!$J$5:$AZ$5,0))</f>
        <v/>
      </c>
      <c r="Z99" s="24">
        <f>INDEX(MTInputs!$J$1:$AZ$415,$D99,MATCH(Z$5,MTInputs!$J$5:$AZ$5,0))</f>
        <v/>
      </c>
      <c r="AA99" s="24">
        <f>INDEX(MTInputs!$J$1:$AZ$415,$D99,MATCH(AA$5,MTInputs!$J$5:$AZ$5,0))</f>
        <v/>
      </c>
      <c r="AB99" s="24">
        <f>INDEX(MTInputs!$J$1:$AZ$415,$D99,MATCH(AB$5,MTInputs!$J$5:$AZ$5,0))</f>
        <v/>
      </c>
      <c r="AC99" s="24">
        <f>INDEX(MTInputs!$J$1:$AZ$415,$D99,MATCH(AC$5,MTInputs!$J$5:$AZ$5,0))</f>
        <v/>
      </c>
      <c r="AD99" s="24">
        <f>INDEX(MTInputs!$J$1:$AZ$415,$D99,MATCH(AD$5,MTInputs!$J$5:$AZ$5,0))</f>
        <v/>
      </c>
      <c r="AE99" s="24">
        <f>INDEX(MTInputs!$J$1:$AZ$415,$D99,MATCH(AE$5,MTInputs!$J$5:$AZ$5,0))</f>
        <v/>
      </c>
      <c r="AG99" s="11">
        <f>CodePrefix&amp;$A99&amp;IF($C99="","","."&amp;$C99&amp;"."&amp;$B99)&amp;INDEX(VarEnd,MATCH($A99,VarKey,0))&amp;AG$5</f>
        <v/>
      </c>
      <c r="AH99" s="23">
        <f>INDEX(MTInputs!$J$1:$AZ$415,$D99,MATCH(AH$5,MTInputs!$J$5:$AZ$5,0))</f>
        <v/>
      </c>
      <c r="AI99" s="24">
        <f>INDEX(MTInputs!$J$1:$AZ$415,$D99,MATCH(AI$5,MTInputs!$J$5:$AZ$5,0))</f>
        <v/>
      </c>
      <c r="AJ99" s="24">
        <f>INDEX(MTInputs!$J$1:$AZ$415,$D99,MATCH(AJ$5,MTInputs!$J$5:$AZ$5,0))</f>
        <v/>
      </c>
      <c r="AK99" s="24">
        <f>INDEX(MTInputs!$J$1:$AZ$415,$D99,MATCH(AK$5,MTInputs!$J$5:$AZ$5,0))</f>
        <v/>
      </c>
      <c r="AL99" s="24">
        <f>INDEX(MTInputs!$J$1:$AZ$415,$D99,MATCH(AL$5,MTInputs!$J$5:$AZ$5,0))</f>
        <v/>
      </c>
      <c r="AM99" s="24">
        <f>INDEX(MTInputs!$J$1:$AZ$415,$D99,MATCH(AM$5,MTInputs!$J$5:$AZ$5,0))</f>
        <v/>
      </c>
      <c r="AN99" s="24">
        <f>INDEX(MTInputs!$J$1:$AZ$415,$D99,MATCH(AN$5,MTInputs!$J$5:$AZ$5,0))</f>
        <v/>
      </c>
      <c r="AO99" s="24">
        <f>INDEX(MTInputs!$J$1:$AZ$415,$D99,MATCH(AO$5,MTInputs!$J$5:$AZ$5,0))</f>
        <v/>
      </c>
      <c r="AP99" s="24">
        <f>INDEX(MTInputs!$J$1:$AZ$415,$D99,MATCH(AP$5,MTInputs!$J$5:$AZ$5,0))</f>
        <v/>
      </c>
      <c r="AQ99" s="24">
        <f>INDEX(MTInputs!$J$1:$AZ$415,$D99,MATCH(AQ$5,MTInputs!$J$5:$AZ$5,0))</f>
        <v/>
      </c>
      <c r="AR99" s="24">
        <f>INDEX(MTInputs!$J$1:$AZ$415,$D99,MATCH(AR$5,MTInputs!$J$5:$AZ$5,0))</f>
        <v/>
      </c>
      <c r="AS99" s="24">
        <f>INDEX(MTInputs!$J$1:$AZ$415,$D99,MATCH(AS$5,MTInputs!$J$5:$AZ$5,0))</f>
        <v/>
      </c>
      <c r="AT99" s="24">
        <f>INDEX(MTInputs!$J$1:$AZ$415,$D99,MATCH(AT$5,MTInputs!$J$5:$AZ$5,0))</f>
        <v/>
      </c>
      <c r="AU99" s="24">
        <f>INDEX(MTInputs!$J$1:$AZ$415,$D99,MATCH(AU$5,MTInputs!$J$5:$AZ$5,0))</f>
        <v/>
      </c>
      <c r="AV99" s="24">
        <f>INDEX(MTInputs!$J$1:$AZ$415,$D99,MATCH(AV$5,MTInputs!$J$5:$AZ$5,0))</f>
        <v/>
      </c>
      <c r="AW99" s="24">
        <f>INDEX(MTInputs!$J$1:$AZ$415,$D99,MATCH(AW$5,MTInputs!$J$5:$AZ$5,0))</f>
        <v/>
      </c>
      <c r="AX99" s="24">
        <f>INDEX(MTInputs!$J$1:$AZ$415,$D99,MATCH(AX$5,MTInputs!$J$5:$AZ$5,0))</f>
        <v/>
      </c>
      <c r="AY99" s="24">
        <f>INDEX(MTInputs!$J$1:$AZ$415,$D99,MATCH(AY$5,MTInputs!$J$5:$AZ$5,0))</f>
        <v/>
      </c>
      <c r="AZ99" s="24">
        <f>INDEX(MTInputs!$J$1:$AZ$415,$D99,MATCH(AZ$5,MTInputs!$J$5:$AZ$5,0))</f>
        <v/>
      </c>
      <c r="BA99" s="24">
        <f>INDEX(MTInputs!$J$1:$AZ$415,$D99,MATCH(BA$5,MTInputs!$J$5:$AZ$5,0))</f>
        <v/>
      </c>
    </row>
    <row r="100" hidden="1" outlineLevel="1">
      <c r="A100" s="14" t="inlineStr">
        <is>
          <t>D_ETSOutro</t>
        </is>
      </c>
      <c r="B100" s="14" t="inlineStr"/>
      <c r="C100" s="14" t="inlineStr"/>
      <c r="D100" s="22" t="n">
        <v>89</v>
      </c>
      <c r="H100" s="14">
        <f>INDEX(VarLab,MATCH($A100,VarKey,0))&amp;INDEX(MemLab,MATCH($C100&amp;"|"&amp;$B100,MemKey,0))</f>
        <v/>
      </c>
      <c r="I100" s="14">
        <f>INDEX(VarUnit,MATCH($A100,VarKey,0))</f>
        <v/>
      </c>
      <c r="J100" s="14">
        <f>INDEX(VarSrc,MATCH($A100,VarKey,0))</f>
        <v/>
      </c>
      <c r="K100" s="11">
        <f>CodePrefix&amp;$A100&amp;IF($C100="","","."&amp;$C100&amp;"."&amp;$B100)&amp;INDEX(VarEnd,MATCH($A100,VarKey,0))&amp;K$5</f>
        <v/>
      </c>
      <c r="L100" s="23">
        <f>INDEX(MTInputs!$J$1:$AZ$415,$D100,MATCH(L$5,MTInputs!$J$5:$AZ$5,0))</f>
        <v/>
      </c>
      <c r="M100" s="24">
        <f>INDEX(MTInputs!$J$1:$AZ$415,$D100,MATCH(M$5,MTInputs!$J$5:$AZ$5,0))</f>
        <v/>
      </c>
      <c r="N100" s="24">
        <f>INDEX(MTInputs!$J$1:$AZ$415,$D100,MATCH(N$5,MTInputs!$J$5:$AZ$5,0))</f>
        <v/>
      </c>
      <c r="O100" s="24">
        <f>INDEX(MTInputs!$J$1:$AZ$415,$D100,MATCH(O$5,MTInputs!$J$5:$AZ$5,0))</f>
        <v/>
      </c>
      <c r="P100" s="24">
        <f>INDEX(MTInputs!$J$1:$AZ$415,$D100,MATCH(P$5,MTInputs!$J$5:$AZ$5,0))</f>
        <v/>
      </c>
      <c r="Q100" s="24">
        <f>INDEX(MTInputs!$J$1:$AZ$415,$D100,MATCH(Q$5,MTInputs!$J$5:$AZ$5,0))</f>
        <v/>
      </c>
      <c r="R100" s="24">
        <f>INDEX(MTInputs!$J$1:$AZ$415,$D100,MATCH(R$5,MTInputs!$J$5:$AZ$5,0))</f>
        <v/>
      </c>
      <c r="S100" s="24">
        <f>INDEX(MTInputs!$J$1:$AZ$415,$D100,MATCH(S$5,MTInputs!$J$5:$AZ$5,0))</f>
        <v/>
      </c>
      <c r="T100" s="24">
        <f>INDEX(MTInputs!$J$1:$AZ$415,$D100,MATCH(T$5,MTInputs!$J$5:$AZ$5,0))</f>
        <v/>
      </c>
      <c r="U100" s="24">
        <f>INDEX(MTInputs!$J$1:$AZ$415,$D100,MATCH(U$5,MTInputs!$J$5:$AZ$5,0))</f>
        <v/>
      </c>
      <c r="V100" s="24">
        <f>INDEX(MTInputs!$J$1:$AZ$415,$D100,MATCH(V$5,MTInputs!$J$5:$AZ$5,0))</f>
        <v/>
      </c>
      <c r="W100" s="24">
        <f>INDEX(MTInputs!$J$1:$AZ$415,$D100,MATCH(W$5,MTInputs!$J$5:$AZ$5,0))</f>
        <v/>
      </c>
      <c r="X100" s="24">
        <f>INDEX(MTInputs!$J$1:$AZ$415,$D100,MATCH(X$5,MTInputs!$J$5:$AZ$5,0))</f>
        <v/>
      </c>
      <c r="Y100" s="24">
        <f>INDEX(MTInputs!$J$1:$AZ$415,$D100,MATCH(Y$5,MTInputs!$J$5:$AZ$5,0))</f>
        <v/>
      </c>
      <c r="Z100" s="24">
        <f>INDEX(MTInputs!$J$1:$AZ$415,$D100,MATCH(Z$5,MTInputs!$J$5:$AZ$5,0))</f>
        <v/>
      </c>
      <c r="AA100" s="24">
        <f>INDEX(MTInputs!$J$1:$AZ$415,$D100,MATCH(AA$5,MTInputs!$J$5:$AZ$5,0))</f>
        <v/>
      </c>
      <c r="AB100" s="24">
        <f>INDEX(MTInputs!$J$1:$AZ$415,$D100,MATCH(AB$5,MTInputs!$J$5:$AZ$5,0))</f>
        <v/>
      </c>
      <c r="AC100" s="24">
        <f>INDEX(MTInputs!$J$1:$AZ$415,$D100,MATCH(AC$5,MTInputs!$J$5:$AZ$5,0))</f>
        <v/>
      </c>
      <c r="AD100" s="24">
        <f>INDEX(MTInputs!$J$1:$AZ$415,$D100,MATCH(AD$5,MTInputs!$J$5:$AZ$5,0))</f>
        <v/>
      </c>
      <c r="AE100" s="24">
        <f>INDEX(MTInputs!$J$1:$AZ$415,$D100,MATCH(AE$5,MTInputs!$J$5:$AZ$5,0))</f>
        <v/>
      </c>
      <c r="AG100" s="11">
        <f>CodePrefix&amp;$A100&amp;IF($C100="","","."&amp;$C100&amp;"."&amp;$B100)&amp;INDEX(VarEnd,MATCH($A100,VarKey,0))&amp;AG$5</f>
        <v/>
      </c>
      <c r="AH100" s="23">
        <f>INDEX(MTInputs!$J$1:$AZ$415,$D100,MATCH(AH$5,MTInputs!$J$5:$AZ$5,0))</f>
        <v/>
      </c>
      <c r="AI100" s="24">
        <f>INDEX(MTInputs!$J$1:$AZ$415,$D100,MATCH(AI$5,MTInputs!$J$5:$AZ$5,0))</f>
        <v/>
      </c>
      <c r="AJ100" s="24">
        <f>INDEX(MTInputs!$J$1:$AZ$415,$D100,MATCH(AJ$5,MTInputs!$J$5:$AZ$5,0))</f>
        <v/>
      </c>
      <c r="AK100" s="24">
        <f>INDEX(MTInputs!$J$1:$AZ$415,$D100,MATCH(AK$5,MTInputs!$J$5:$AZ$5,0))</f>
        <v/>
      </c>
      <c r="AL100" s="24">
        <f>INDEX(MTInputs!$J$1:$AZ$415,$D100,MATCH(AL$5,MTInputs!$J$5:$AZ$5,0))</f>
        <v/>
      </c>
      <c r="AM100" s="24">
        <f>INDEX(MTInputs!$J$1:$AZ$415,$D100,MATCH(AM$5,MTInputs!$J$5:$AZ$5,0))</f>
        <v/>
      </c>
      <c r="AN100" s="24">
        <f>INDEX(MTInputs!$J$1:$AZ$415,$D100,MATCH(AN$5,MTInputs!$J$5:$AZ$5,0))</f>
        <v/>
      </c>
      <c r="AO100" s="24">
        <f>INDEX(MTInputs!$J$1:$AZ$415,$D100,MATCH(AO$5,MTInputs!$J$5:$AZ$5,0))</f>
        <v/>
      </c>
      <c r="AP100" s="24">
        <f>INDEX(MTInputs!$J$1:$AZ$415,$D100,MATCH(AP$5,MTInputs!$J$5:$AZ$5,0))</f>
        <v/>
      </c>
      <c r="AQ100" s="24">
        <f>INDEX(MTInputs!$J$1:$AZ$415,$D100,MATCH(AQ$5,MTInputs!$J$5:$AZ$5,0))</f>
        <v/>
      </c>
      <c r="AR100" s="24">
        <f>INDEX(MTInputs!$J$1:$AZ$415,$D100,MATCH(AR$5,MTInputs!$J$5:$AZ$5,0))</f>
        <v/>
      </c>
      <c r="AS100" s="24">
        <f>INDEX(MTInputs!$J$1:$AZ$415,$D100,MATCH(AS$5,MTInputs!$J$5:$AZ$5,0))</f>
        <v/>
      </c>
      <c r="AT100" s="24">
        <f>INDEX(MTInputs!$J$1:$AZ$415,$D100,MATCH(AT$5,MTInputs!$J$5:$AZ$5,0))</f>
        <v/>
      </c>
      <c r="AU100" s="24">
        <f>INDEX(MTInputs!$J$1:$AZ$415,$D100,MATCH(AU$5,MTInputs!$J$5:$AZ$5,0))</f>
        <v/>
      </c>
      <c r="AV100" s="24">
        <f>INDEX(MTInputs!$J$1:$AZ$415,$D100,MATCH(AV$5,MTInputs!$J$5:$AZ$5,0))</f>
        <v/>
      </c>
      <c r="AW100" s="24">
        <f>INDEX(MTInputs!$J$1:$AZ$415,$D100,MATCH(AW$5,MTInputs!$J$5:$AZ$5,0))</f>
        <v/>
      </c>
      <c r="AX100" s="24">
        <f>INDEX(MTInputs!$J$1:$AZ$415,$D100,MATCH(AX$5,MTInputs!$J$5:$AZ$5,0))</f>
        <v/>
      </c>
      <c r="AY100" s="24">
        <f>INDEX(MTInputs!$J$1:$AZ$415,$D100,MATCH(AY$5,MTInputs!$J$5:$AZ$5,0))</f>
        <v/>
      </c>
      <c r="AZ100" s="24">
        <f>INDEX(MTInputs!$J$1:$AZ$415,$D100,MATCH(AZ$5,MTInputs!$J$5:$AZ$5,0))</f>
        <v/>
      </c>
      <c r="BA100" s="24">
        <f>INDEX(MTInputs!$J$1:$AZ$415,$D100,MATCH(BA$5,MTInputs!$J$5:$AZ$5,0))</f>
        <v/>
      </c>
    </row>
    <row r="101" hidden="1" outlineLevel="1">
      <c r="A101" s="14" t="inlineStr">
        <is>
          <t>D_ETSPriceOverride</t>
        </is>
      </c>
      <c r="B101" s="14" t="inlineStr"/>
      <c r="C101" s="14" t="inlineStr"/>
      <c r="D101" s="22" t="n">
        <v>93</v>
      </c>
      <c r="H101" s="14">
        <f>INDEX(VarLab,MATCH($A101,VarKey,0))&amp;INDEX(MemLab,MATCH($C101&amp;"|"&amp;$B101,MemKey,0))</f>
        <v/>
      </c>
      <c r="I101" s="14">
        <f>INDEX(VarUnit,MATCH($A101,VarKey,0))</f>
        <v/>
      </c>
      <c r="J101" s="14">
        <f>INDEX(VarSrc,MATCH($A101,VarKey,0))</f>
        <v/>
      </c>
      <c r="K101" s="11">
        <f>CodePrefix&amp;$A101&amp;IF($C101="","","."&amp;$C101&amp;"."&amp;$B101)&amp;INDEX(VarEnd,MATCH($A101,VarKey,0))&amp;K$5</f>
        <v/>
      </c>
      <c r="L101" s="23">
        <f>INDEX(MTInputs!$J$1:$AZ$415,$D101,MATCH(L$5,MTInputs!$J$5:$AZ$5,0))</f>
        <v/>
      </c>
      <c r="M101" s="24">
        <f>INDEX(MTInputs!$J$1:$AZ$415,$D101,MATCH(M$5,MTInputs!$J$5:$AZ$5,0))</f>
        <v/>
      </c>
      <c r="N101" s="24">
        <f>INDEX(MTInputs!$J$1:$AZ$415,$D101,MATCH(N$5,MTInputs!$J$5:$AZ$5,0))</f>
        <v/>
      </c>
      <c r="O101" s="24">
        <f>INDEX(MTInputs!$J$1:$AZ$415,$D101,MATCH(O$5,MTInputs!$J$5:$AZ$5,0))</f>
        <v/>
      </c>
      <c r="P101" s="24">
        <f>INDEX(MTInputs!$J$1:$AZ$415,$D101,MATCH(P$5,MTInputs!$J$5:$AZ$5,0))</f>
        <v/>
      </c>
      <c r="Q101" s="24">
        <f>INDEX(MTInputs!$J$1:$AZ$415,$D101,MATCH(Q$5,MTInputs!$J$5:$AZ$5,0))</f>
        <v/>
      </c>
      <c r="R101" s="24">
        <f>INDEX(MTInputs!$J$1:$AZ$415,$D101,MATCH(R$5,MTInputs!$J$5:$AZ$5,0))</f>
        <v/>
      </c>
      <c r="S101" s="24">
        <f>INDEX(MTInputs!$J$1:$AZ$415,$D101,MATCH(S$5,MTInputs!$J$5:$AZ$5,0))</f>
        <v/>
      </c>
      <c r="T101" s="24">
        <f>INDEX(MTInputs!$J$1:$AZ$415,$D101,MATCH(T$5,MTInputs!$J$5:$AZ$5,0))</f>
        <v/>
      </c>
      <c r="U101" s="24">
        <f>INDEX(MTInputs!$J$1:$AZ$415,$D101,MATCH(U$5,MTInputs!$J$5:$AZ$5,0))</f>
        <v/>
      </c>
      <c r="V101" s="24">
        <f>INDEX(MTInputs!$J$1:$AZ$415,$D101,MATCH(V$5,MTInputs!$J$5:$AZ$5,0))</f>
        <v/>
      </c>
      <c r="W101" s="24">
        <f>INDEX(MTInputs!$J$1:$AZ$415,$D101,MATCH(W$5,MTInputs!$J$5:$AZ$5,0))</f>
        <v/>
      </c>
      <c r="X101" s="24">
        <f>INDEX(MTInputs!$J$1:$AZ$415,$D101,MATCH(X$5,MTInputs!$J$5:$AZ$5,0))</f>
        <v/>
      </c>
      <c r="Y101" s="24">
        <f>INDEX(MTInputs!$J$1:$AZ$415,$D101,MATCH(Y$5,MTInputs!$J$5:$AZ$5,0))</f>
        <v/>
      </c>
      <c r="Z101" s="24">
        <f>INDEX(MTInputs!$J$1:$AZ$415,$D101,MATCH(Z$5,MTInputs!$J$5:$AZ$5,0))</f>
        <v/>
      </c>
      <c r="AA101" s="24">
        <f>INDEX(MTInputs!$J$1:$AZ$415,$D101,MATCH(AA$5,MTInputs!$J$5:$AZ$5,0))</f>
        <v/>
      </c>
      <c r="AB101" s="24">
        <f>INDEX(MTInputs!$J$1:$AZ$415,$D101,MATCH(AB$5,MTInputs!$J$5:$AZ$5,0))</f>
        <v/>
      </c>
      <c r="AC101" s="24">
        <f>INDEX(MTInputs!$J$1:$AZ$415,$D101,MATCH(AC$5,MTInputs!$J$5:$AZ$5,0))</f>
        <v/>
      </c>
      <c r="AD101" s="24">
        <f>INDEX(MTInputs!$J$1:$AZ$415,$D101,MATCH(AD$5,MTInputs!$J$5:$AZ$5,0))</f>
        <v/>
      </c>
      <c r="AE101" s="24">
        <f>INDEX(MTInputs!$J$1:$AZ$415,$D101,MATCH(AE$5,MTInputs!$J$5:$AZ$5,0))</f>
        <v/>
      </c>
      <c r="AG101" s="11">
        <f>CodePrefix&amp;$A101&amp;IF($C101="","","."&amp;$C101&amp;"."&amp;$B101)&amp;INDEX(VarEnd,MATCH($A101,VarKey,0))&amp;AG$5</f>
        <v/>
      </c>
      <c r="AH101" s="23">
        <f>INDEX(MTInputs!$J$1:$AZ$415,$D101,MATCH(AH$5,MTInputs!$J$5:$AZ$5,0))</f>
        <v/>
      </c>
      <c r="AI101" s="24">
        <f>INDEX(MTInputs!$J$1:$AZ$415,$D101,MATCH(AI$5,MTInputs!$J$5:$AZ$5,0))</f>
        <v/>
      </c>
      <c r="AJ101" s="24">
        <f>INDEX(MTInputs!$J$1:$AZ$415,$D101,MATCH(AJ$5,MTInputs!$J$5:$AZ$5,0))</f>
        <v/>
      </c>
      <c r="AK101" s="24">
        <f>INDEX(MTInputs!$J$1:$AZ$415,$D101,MATCH(AK$5,MTInputs!$J$5:$AZ$5,0))</f>
        <v/>
      </c>
      <c r="AL101" s="24">
        <f>INDEX(MTInputs!$J$1:$AZ$415,$D101,MATCH(AL$5,MTInputs!$J$5:$AZ$5,0))</f>
        <v/>
      </c>
      <c r="AM101" s="24">
        <f>INDEX(MTInputs!$J$1:$AZ$415,$D101,MATCH(AM$5,MTInputs!$J$5:$AZ$5,0))</f>
        <v/>
      </c>
      <c r="AN101" s="24">
        <f>INDEX(MTInputs!$J$1:$AZ$415,$D101,MATCH(AN$5,MTInputs!$J$5:$AZ$5,0))</f>
        <v/>
      </c>
      <c r="AO101" s="24">
        <f>INDEX(MTInputs!$J$1:$AZ$415,$D101,MATCH(AO$5,MTInputs!$J$5:$AZ$5,0))</f>
        <v/>
      </c>
      <c r="AP101" s="24">
        <f>INDEX(MTInputs!$J$1:$AZ$415,$D101,MATCH(AP$5,MTInputs!$J$5:$AZ$5,0))</f>
        <v/>
      </c>
      <c r="AQ101" s="24">
        <f>INDEX(MTInputs!$J$1:$AZ$415,$D101,MATCH(AQ$5,MTInputs!$J$5:$AZ$5,0))</f>
        <v/>
      </c>
      <c r="AR101" s="24">
        <f>INDEX(MTInputs!$J$1:$AZ$415,$D101,MATCH(AR$5,MTInputs!$J$5:$AZ$5,0))</f>
        <v/>
      </c>
      <c r="AS101" s="24">
        <f>INDEX(MTInputs!$J$1:$AZ$415,$D101,MATCH(AS$5,MTInputs!$J$5:$AZ$5,0))</f>
        <v/>
      </c>
      <c r="AT101" s="24">
        <f>INDEX(MTInputs!$J$1:$AZ$415,$D101,MATCH(AT$5,MTInputs!$J$5:$AZ$5,0))</f>
        <v/>
      </c>
      <c r="AU101" s="24">
        <f>INDEX(MTInputs!$J$1:$AZ$415,$D101,MATCH(AU$5,MTInputs!$J$5:$AZ$5,0))</f>
        <v/>
      </c>
      <c r="AV101" s="24">
        <f>INDEX(MTInputs!$J$1:$AZ$415,$D101,MATCH(AV$5,MTInputs!$J$5:$AZ$5,0))</f>
        <v/>
      </c>
      <c r="AW101" s="24">
        <f>INDEX(MTInputs!$J$1:$AZ$415,$D101,MATCH(AW$5,MTInputs!$J$5:$AZ$5,0))</f>
        <v/>
      </c>
      <c r="AX101" s="24">
        <f>INDEX(MTInputs!$J$1:$AZ$415,$D101,MATCH(AX$5,MTInputs!$J$5:$AZ$5,0))</f>
        <v/>
      </c>
      <c r="AY101" s="24">
        <f>INDEX(MTInputs!$J$1:$AZ$415,$D101,MATCH(AY$5,MTInputs!$J$5:$AZ$5,0))</f>
        <v/>
      </c>
      <c r="AZ101" s="24">
        <f>INDEX(MTInputs!$J$1:$AZ$415,$D101,MATCH(AZ$5,MTInputs!$J$5:$AZ$5,0))</f>
        <v/>
      </c>
      <c r="BA101" s="24">
        <f>INDEX(MTInputs!$J$1:$AZ$415,$D101,MATCH(BA$5,MTInputs!$J$5:$AZ$5,0))</f>
        <v/>
      </c>
    </row>
    <row r="102" hidden="1" outlineLevel="1">
      <c r="A102" s="14" t="inlineStr">
        <is>
          <t>D_ETSVolatility</t>
        </is>
      </c>
      <c r="B102" s="14" t="inlineStr"/>
      <c r="C102" s="14" t="inlineStr"/>
      <c r="D102" s="22" t="n">
        <v>95</v>
      </c>
      <c r="H102" s="14">
        <f>INDEX(VarLab,MATCH($A102,VarKey,0))&amp;INDEX(MemLab,MATCH($C102&amp;"|"&amp;$B102,MemKey,0))</f>
        <v/>
      </c>
      <c r="I102" s="14">
        <f>INDEX(VarUnit,MATCH($A102,VarKey,0))</f>
        <v/>
      </c>
      <c r="J102" s="14">
        <f>INDEX(VarSrc,MATCH($A102,VarKey,0))</f>
        <v/>
      </c>
      <c r="K102" s="11">
        <f>CodePrefix&amp;$A102&amp;IF($C102="","","."&amp;$C102&amp;"."&amp;$B102)&amp;INDEX(VarEnd,MATCH($A102,VarKey,0))&amp;K$5</f>
        <v/>
      </c>
      <c r="L102" s="23">
        <f>INDEX(MTInputs!$J$1:$AZ$415,$D102,MATCH(L$5,MTInputs!$J$5:$AZ$5,0))</f>
        <v/>
      </c>
      <c r="M102" s="24">
        <f>INDEX(MTInputs!$J$1:$AZ$415,$D102,MATCH(M$5,MTInputs!$J$5:$AZ$5,0))</f>
        <v/>
      </c>
      <c r="N102" s="24">
        <f>INDEX(MTInputs!$J$1:$AZ$415,$D102,MATCH(N$5,MTInputs!$J$5:$AZ$5,0))</f>
        <v/>
      </c>
      <c r="O102" s="24">
        <f>INDEX(MTInputs!$J$1:$AZ$415,$D102,MATCH(O$5,MTInputs!$J$5:$AZ$5,0))</f>
        <v/>
      </c>
      <c r="P102" s="24">
        <f>INDEX(MTInputs!$J$1:$AZ$415,$D102,MATCH(P$5,MTInputs!$J$5:$AZ$5,0))</f>
        <v/>
      </c>
      <c r="Q102" s="24">
        <f>INDEX(MTInputs!$J$1:$AZ$415,$D102,MATCH(Q$5,MTInputs!$J$5:$AZ$5,0))</f>
        <v/>
      </c>
      <c r="R102" s="24">
        <f>INDEX(MTInputs!$J$1:$AZ$415,$D102,MATCH(R$5,MTInputs!$J$5:$AZ$5,0))</f>
        <v/>
      </c>
      <c r="S102" s="24">
        <f>INDEX(MTInputs!$J$1:$AZ$415,$D102,MATCH(S$5,MTInputs!$J$5:$AZ$5,0))</f>
        <v/>
      </c>
      <c r="T102" s="24">
        <f>INDEX(MTInputs!$J$1:$AZ$415,$D102,MATCH(T$5,MTInputs!$J$5:$AZ$5,0))</f>
        <v/>
      </c>
      <c r="U102" s="24">
        <f>INDEX(MTInputs!$J$1:$AZ$415,$D102,MATCH(U$5,MTInputs!$J$5:$AZ$5,0))</f>
        <v/>
      </c>
      <c r="V102" s="24">
        <f>INDEX(MTInputs!$J$1:$AZ$415,$D102,MATCH(V$5,MTInputs!$J$5:$AZ$5,0))</f>
        <v/>
      </c>
      <c r="W102" s="24">
        <f>INDEX(MTInputs!$J$1:$AZ$415,$D102,MATCH(W$5,MTInputs!$J$5:$AZ$5,0))</f>
        <v/>
      </c>
      <c r="X102" s="24">
        <f>INDEX(MTInputs!$J$1:$AZ$415,$D102,MATCH(X$5,MTInputs!$J$5:$AZ$5,0))</f>
        <v/>
      </c>
      <c r="Y102" s="24">
        <f>INDEX(MTInputs!$J$1:$AZ$415,$D102,MATCH(Y$5,MTInputs!$J$5:$AZ$5,0))</f>
        <v/>
      </c>
      <c r="Z102" s="24">
        <f>INDEX(MTInputs!$J$1:$AZ$415,$D102,MATCH(Z$5,MTInputs!$J$5:$AZ$5,0))</f>
        <v/>
      </c>
      <c r="AA102" s="24">
        <f>INDEX(MTInputs!$J$1:$AZ$415,$D102,MATCH(AA$5,MTInputs!$J$5:$AZ$5,0))</f>
        <v/>
      </c>
      <c r="AB102" s="24">
        <f>INDEX(MTInputs!$J$1:$AZ$415,$D102,MATCH(AB$5,MTInputs!$J$5:$AZ$5,0))</f>
        <v/>
      </c>
      <c r="AC102" s="24">
        <f>INDEX(MTInputs!$J$1:$AZ$415,$D102,MATCH(AC$5,MTInputs!$J$5:$AZ$5,0))</f>
        <v/>
      </c>
      <c r="AD102" s="24">
        <f>INDEX(MTInputs!$J$1:$AZ$415,$D102,MATCH(AD$5,MTInputs!$J$5:$AZ$5,0))</f>
        <v/>
      </c>
      <c r="AE102" s="24">
        <f>INDEX(MTInputs!$J$1:$AZ$415,$D102,MATCH(AE$5,MTInputs!$J$5:$AZ$5,0))</f>
        <v/>
      </c>
      <c r="AG102" s="11">
        <f>CodePrefix&amp;$A102&amp;IF($C102="","","."&amp;$C102&amp;"."&amp;$B102)&amp;INDEX(VarEnd,MATCH($A102,VarKey,0))&amp;AG$5</f>
        <v/>
      </c>
      <c r="AH102" s="23">
        <f>INDEX(MTInputs!$J$1:$AZ$415,$D102,MATCH(AH$5,MTInputs!$J$5:$AZ$5,0))</f>
        <v/>
      </c>
      <c r="AI102" s="24">
        <f>INDEX(MTInputs!$J$1:$AZ$415,$D102,MATCH(AI$5,MTInputs!$J$5:$AZ$5,0))</f>
        <v/>
      </c>
      <c r="AJ102" s="24">
        <f>INDEX(MTInputs!$J$1:$AZ$415,$D102,MATCH(AJ$5,MTInputs!$J$5:$AZ$5,0))</f>
        <v/>
      </c>
      <c r="AK102" s="24">
        <f>INDEX(MTInputs!$J$1:$AZ$415,$D102,MATCH(AK$5,MTInputs!$J$5:$AZ$5,0))</f>
        <v/>
      </c>
      <c r="AL102" s="24">
        <f>INDEX(MTInputs!$J$1:$AZ$415,$D102,MATCH(AL$5,MTInputs!$J$5:$AZ$5,0))</f>
        <v/>
      </c>
      <c r="AM102" s="24">
        <f>INDEX(MTInputs!$J$1:$AZ$415,$D102,MATCH(AM$5,MTInputs!$J$5:$AZ$5,0))</f>
        <v/>
      </c>
      <c r="AN102" s="24">
        <f>INDEX(MTInputs!$J$1:$AZ$415,$D102,MATCH(AN$5,MTInputs!$J$5:$AZ$5,0))</f>
        <v/>
      </c>
      <c r="AO102" s="24">
        <f>INDEX(MTInputs!$J$1:$AZ$415,$D102,MATCH(AO$5,MTInputs!$J$5:$AZ$5,0))</f>
        <v/>
      </c>
      <c r="AP102" s="24">
        <f>INDEX(MTInputs!$J$1:$AZ$415,$D102,MATCH(AP$5,MTInputs!$J$5:$AZ$5,0))</f>
        <v/>
      </c>
      <c r="AQ102" s="24">
        <f>INDEX(MTInputs!$J$1:$AZ$415,$D102,MATCH(AQ$5,MTInputs!$J$5:$AZ$5,0))</f>
        <v/>
      </c>
      <c r="AR102" s="24">
        <f>INDEX(MTInputs!$J$1:$AZ$415,$D102,MATCH(AR$5,MTInputs!$J$5:$AZ$5,0))</f>
        <v/>
      </c>
      <c r="AS102" s="24">
        <f>INDEX(MTInputs!$J$1:$AZ$415,$D102,MATCH(AS$5,MTInputs!$J$5:$AZ$5,0))</f>
        <v/>
      </c>
      <c r="AT102" s="24">
        <f>INDEX(MTInputs!$J$1:$AZ$415,$D102,MATCH(AT$5,MTInputs!$J$5:$AZ$5,0))</f>
        <v/>
      </c>
      <c r="AU102" s="24">
        <f>INDEX(MTInputs!$J$1:$AZ$415,$D102,MATCH(AU$5,MTInputs!$J$5:$AZ$5,0))</f>
        <v/>
      </c>
      <c r="AV102" s="24">
        <f>INDEX(MTInputs!$J$1:$AZ$415,$D102,MATCH(AV$5,MTInputs!$J$5:$AZ$5,0))</f>
        <v/>
      </c>
      <c r="AW102" s="24">
        <f>INDEX(MTInputs!$J$1:$AZ$415,$D102,MATCH(AW$5,MTInputs!$J$5:$AZ$5,0))</f>
        <v/>
      </c>
      <c r="AX102" s="24">
        <f>INDEX(MTInputs!$J$1:$AZ$415,$D102,MATCH(AX$5,MTInputs!$J$5:$AZ$5,0))</f>
        <v/>
      </c>
      <c r="AY102" s="24">
        <f>INDEX(MTInputs!$J$1:$AZ$415,$D102,MATCH(AY$5,MTInputs!$J$5:$AZ$5,0))</f>
        <v/>
      </c>
      <c r="AZ102" s="24">
        <f>INDEX(MTInputs!$J$1:$AZ$415,$D102,MATCH(AZ$5,MTInputs!$J$5:$AZ$5,0))</f>
        <v/>
      </c>
      <c r="BA102" s="24">
        <f>INDEX(MTInputs!$J$1:$AZ$415,$D102,MATCH(BA$5,MTInputs!$J$5:$AZ$5,0))</f>
        <v/>
      </c>
    </row>
    <row r="103" hidden="1" outlineLevel="1">
      <c r="A103" s="14" t="inlineStr">
        <is>
          <t>D_ETSVolImpact</t>
        </is>
      </c>
      <c r="B103" s="14" t="inlineStr"/>
      <c r="C103" s="14" t="inlineStr"/>
      <c r="D103" s="22" t="n">
        <v>96</v>
      </c>
      <c r="H103" s="14">
        <f>INDEX(VarLab,MATCH($A103,VarKey,0))&amp;INDEX(MemLab,MATCH($C103&amp;"|"&amp;$B103,MemKey,0))</f>
        <v/>
      </c>
      <c r="I103" s="14">
        <f>INDEX(VarUnit,MATCH($A103,VarKey,0))</f>
        <v/>
      </c>
      <c r="J103" s="14">
        <f>INDEX(VarSrc,MATCH($A103,VarKey,0))</f>
        <v/>
      </c>
      <c r="K103" s="11">
        <f>CodePrefix&amp;$A103&amp;IF($C103="","","."&amp;$C103&amp;"."&amp;$B103)&amp;INDEX(VarEnd,MATCH($A103,VarKey,0))&amp;K$5</f>
        <v/>
      </c>
      <c r="L103" s="23">
        <f>INDEX(MTInputs!$J$1:$AZ$415,$D103,MATCH(L$5,MTInputs!$J$5:$AZ$5,0))</f>
        <v/>
      </c>
      <c r="M103" s="24">
        <f>INDEX(MTInputs!$J$1:$AZ$415,$D103,MATCH(M$5,MTInputs!$J$5:$AZ$5,0))</f>
        <v/>
      </c>
      <c r="N103" s="24">
        <f>INDEX(MTInputs!$J$1:$AZ$415,$D103,MATCH(N$5,MTInputs!$J$5:$AZ$5,0))</f>
        <v/>
      </c>
      <c r="O103" s="24">
        <f>INDEX(MTInputs!$J$1:$AZ$415,$D103,MATCH(O$5,MTInputs!$J$5:$AZ$5,0))</f>
        <v/>
      </c>
      <c r="P103" s="24">
        <f>INDEX(MTInputs!$J$1:$AZ$415,$D103,MATCH(P$5,MTInputs!$J$5:$AZ$5,0))</f>
        <v/>
      </c>
      <c r="Q103" s="24">
        <f>INDEX(MTInputs!$J$1:$AZ$415,$D103,MATCH(Q$5,MTInputs!$J$5:$AZ$5,0))</f>
        <v/>
      </c>
      <c r="R103" s="24">
        <f>INDEX(MTInputs!$J$1:$AZ$415,$D103,MATCH(R$5,MTInputs!$J$5:$AZ$5,0))</f>
        <v/>
      </c>
      <c r="S103" s="24">
        <f>INDEX(MTInputs!$J$1:$AZ$415,$D103,MATCH(S$5,MTInputs!$J$5:$AZ$5,0))</f>
        <v/>
      </c>
      <c r="T103" s="24">
        <f>INDEX(MTInputs!$J$1:$AZ$415,$D103,MATCH(T$5,MTInputs!$J$5:$AZ$5,0))</f>
        <v/>
      </c>
      <c r="U103" s="24">
        <f>INDEX(MTInputs!$J$1:$AZ$415,$D103,MATCH(U$5,MTInputs!$J$5:$AZ$5,0))</f>
        <v/>
      </c>
      <c r="V103" s="24">
        <f>INDEX(MTInputs!$J$1:$AZ$415,$D103,MATCH(V$5,MTInputs!$J$5:$AZ$5,0))</f>
        <v/>
      </c>
      <c r="W103" s="24">
        <f>INDEX(MTInputs!$J$1:$AZ$415,$D103,MATCH(W$5,MTInputs!$J$5:$AZ$5,0))</f>
        <v/>
      </c>
      <c r="X103" s="24">
        <f>INDEX(MTInputs!$J$1:$AZ$415,$D103,MATCH(X$5,MTInputs!$J$5:$AZ$5,0))</f>
        <v/>
      </c>
      <c r="Y103" s="24">
        <f>INDEX(MTInputs!$J$1:$AZ$415,$D103,MATCH(Y$5,MTInputs!$J$5:$AZ$5,0))</f>
        <v/>
      </c>
      <c r="Z103" s="24">
        <f>INDEX(MTInputs!$J$1:$AZ$415,$D103,MATCH(Z$5,MTInputs!$J$5:$AZ$5,0))</f>
        <v/>
      </c>
      <c r="AA103" s="24">
        <f>INDEX(MTInputs!$J$1:$AZ$415,$D103,MATCH(AA$5,MTInputs!$J$5:$AZ$5,0))</f>
        <v/>
      </c>
      <c r="AB103" s="24">
        <f>INDEX(MTInputs!$J$1:$AZ$415,$D103,MATCH(AB$5,MTInputs!$J$5:$AZ$5,0))</f>
        <v/>
      </c>
      <c r="AC103" s="24">
        <f>INDEX(MTInputs!$J$1:$AZ$415,$D103,MATCH(AC$5,MTInputs!$J$5:$AZ$5,0))</f>
        <v/>
      </c>
      <c r="AD103" s="24">
        <f>INDEX(MTInputs!$J$1:$AZ$415,$D103,MATCH(AD$5,MTInputs!$J$5:$AZ$5,0))</f>
        <v/>
      </c>
      <c r="AE103" s="24">
        <f>INDEX(MTInputs!$J$1:$AZ$415,$D103,MATCH(AE$5,MTInputs!$J$5:$AZ$5,0))</f>
        <v/>
      </c>
      <c r="AG103" s="11">
        <f>CodePrefix&amp;$A103&amp;IF($C103="","","."&amp;$C103&amp;"."&amp;$B103)&amp;INDEX(VarEnd,MATCH($A103,VarKey,0))&amp;AG$5</f>
        <v/>
      </c>
      <c r="AH103" s="23">
        <f>INDEX(MTInputs!$J$1:$AZ$415,$D103,MATCH(AH$5,MTInputs!$J$5:$AZ$5,0))</f>
        <v/>
      </c>
      <c r="AI103" s="24">
        <f>INDEX(MTInputs!$J$1:$AZ$415,$D103,MATCH(AI$5,MTInputs!$J$5:$AZ$5,0))</f>
        <v/>
      </c>
      <c r="AJ103" s="24">
        <f>INDEX(MTInputs!$J$1:$AZ$415,$D103,MATCH(AJ$5,MTInputs!$J$5:$AZ$5,0))</f>
        <v/>
      </c>
      <c r="AK103" s="24">
        <f>INDEX(MTInputs!$J$1:$AZ$415,$D103,MATCH(AK$5,MTInputs!$J$5:$AZ$5,0))</f>
        <v/>
      </c>
      <c r="AL103" s="24">
        <f>INDEX(MTInputs!$J$1:$AZ$415,$D103,MATCH(AL$5,MTInputs!$J$5:$AZ$5,0))</f>
        <v/>
      </c>
      <c r="AM103" s="24">
        <f>INDEX(MTInputs!$J$1:$AZ$415,$D103,MATCH(AM$5,MTInputs!$J$5:$AZ$5,0))</f>
        <v/>
      </c>
      <c r="AN103" s="24">
        <f>INDEX(MTInputs!$J$1:$AZ$415,$D103,MATCH(AN$5,MTInputs!$J$5:$AZ$5,0))</f>
        <v/>
      </c>
      <c r="AO103" s="24">
        <f>INDEX(MTInputs!$J$1:$AZ$415,$D103,MATCH(AO$5,MTInputs!$J$5:$AZ$5,0))</f>
        <v/>
      </c>
      <c r="AP103" s="24">
        <f>INDEX(MTInputs!$J$1:$AZ$415,$D103,MATCH(AP$5,MTInputs!$J$5:$AZ$5,0))</f>
        <v/>
      </c>
      <c r="AQ103" s="24">
        <f>INDEX(MTInputs!$J$1:$AZ$415,$D103,MATCH(AQ$5,MTInputs!$J$5:$AZ$5,0))</f>
        <v/>
      </c>
      <c r="AR103" s="24">
        <f>INDEX(MTInputs!$J$1:$AZ$415,$D103,MATCH(AR$5,MTInputs!$J$5:$AZ$5,0))</f>
        <v/>
      </c>
      <c r="AS103" s="24">
        <f>INDEX(MTInputs!$J$1:$AZ$415,$D103,MATCH(AS$5,MTInputs!$J$5:$AZ$5,0))</f>
        <v/>
      </c>
      <c r="AT103" s="24">
        <f>INDEX(MTInputs!$J$1:$AZ$415,$D103,MATCH(AT$5,MTInputs!$J$5:$AZ$5,0))</f>
        <v/>
      </c>
      <c r="AU103" s="24">
        <f>INDEX(MTInputs!$J$1:$AZ$415,$D103,MATCH(AU$5,MTInputs!$J$5:$AZ$5,0))</f>
        <v/>
      </c>
      <c r="AV103" s="24">
        <f>INDEX(MTInputs!$J$1:$AZ$415,$D103,MATCH(AV$5,MTInputs!$J$5:$AZ$5,0))</f>
        <v/>
      </c>
      <c r="AW103" s="24">
        <f>INDEX(MTInputs!$J$1:$AZ$415,$D103,MATCH(AW$5,MTInputs!$J$5:$AZ$5,0))</f>
        <v/>
      </c>
      <c r="AX103" s="24">
        <f>INDEX(MTInputs!$J$1:$AZ$415,$D103,MATCH(AX$5,MTInputs!$J$5:$AZ$5,0))</f>
        <v/>
      </c>
      <c r="AY103" s="24">
        <f>INDEX(MTInputs!$J$1:$AZ$415,$D103,MATCH(AY$5,MTInputs!$J$5:$AZ$5,0))</f>
        <v/>
      </c>
      <c r="AZ103" s="24">
        <f>INDEX(MTInputs!$J$1:$AZ$415,$D103,MATCH(AZ$5,MTInputs!$J$5:$AZ$5,0))</f>
        <v/>
      </c>
      <c r="BA103" s="24">
        <f>INDEX(MTInputs!$J$1:$AZ$415,$D103,MATCH(BA$5,MTInputs!$J$5:$AZ$5,0))</f>
        <v/>
      </c>
    </row>
    <row r="104" hidden="1" outlineLevel="1">
      <c r="A104" s="14" t="inlineStr">
        <is>
          <t>D_ETSCTRisk</t>
        </is>
      </c>
      <c r="B104" s="14" t="inlineStr"/>
      <c r="C104" s="14" t="inlineStr"/>
      <c r="D104" s="22" t="n">
        <v>97</v>
      </c>
      <c r="H104" s="14">
        <f>INDEX(VarLab,MATCH($A104,VarKey,0))&amp;INDEX(MemLab,MATCH($C104&amp;"|"&amp;$B104,MemKey,0))</f>
        <v/>
      </c>
      <c r="I104" s="14">
        <f>INDEX(VarUnit,MATCH($A104,VarKey,0))</f>
        <v/>
      </c>
      <c r="J104" s="14">
        <f>INDEX(VarSrc,MATCH($A104,VarKey,0))</f>
        <v/>
      </c>
      <c r="K104" s="11">
        <f>CodePrefix&amp;$A104&amp;IF($C104="","","."&amp;$C104&amp;"."&amp;$B104)&amp;INDEX(VarEnd,MATCH($A104,VarKey,0))&amp;K$5</f>
        <v/>
      </c>
      <c r="L104" s="23">
        <f>INDEX(MTInputs!$J$1:$AZ$415,$D104,MATCH(L$5,MTInputs!$J$5:$AZ$5,0))</f>
        <v/>
      </c>
      <c r="M104" s="24">
        <f>INDEX(MTInputs!$J$1:$AZ$415,$D104,MATCH(M$5,MTInputs!$J$5:$AZ$5,0))</f>
        <v/>
      </c>
      <c r="N104" s="24">
        <f>INDEX(MTInputs!$J$1:$AZ$415,$D104,MATCH(N$5,MTInputs!$J$5:$AZ$5,0))</f>
        <v/>
      </c>
      <c r="O104" s="24">
        <f>INDEX(MTInputs!$J$1:$AZ$415,$D104,MATCH(O$5,MTInputs!$J$5:$AZ$5,0))</f>
        <v/>
      </c>
      <c r="P104" s="24">
        <f>INDEX(MTInputs!$J$1:$AZ$415,$D104,MATCH(P$5,MTInputs!$J$5:$AZ$5,0))</f>
        <v/>
      </c>
      <c r="Q104" s="24">
        <f>INDEX(MTInputs!$J$1:$AZ$415,$D104,MATCH(Q$5,MTInputs!$J$5:$AZ$5,0))</f>
        <v/>
      </c>
      <c r="R104" s="24">
        <f>INDEX(MTInputs!$J$1:$AZ$415,$D104,MATCH(R$5,MTInputs!$J$5:$AZ$5,0))</f>
        <v/>
      </c>
      <c r="S104" s="24">
        <f>INDEX(MTInputs!$J$1:$AZ$415,$D104,MATCH(S$5,MTInputs!$J$5:$AZ$5,0))</f>
        <v/>
      </c>
      <c r="T104" s="24">
        <f>INDEX(MTInputs!$J$1:$AZ$415,$D104,MATCH(T$5,MTInputs!$J$5:$AZ$5,0))</f>
        <v/>
      </c>
      <c r="U104" s="24">
        <f>INDEX(MTInputs!$J$1:$AZ$415,$D104,MATCH(U$5,MTInputs!$J$5:$AZ$5,0))</f>
        <v/>
      </c>
      <c r="V104" s="24">
        <f>INDEX(MTInputs!$J$1:$AZ$415,$D104,MATCH(V$5,MTInputs!$J$5:$AZ$5,0))</f>
        <v/>
      </c>
      <c r="W104" s="24">
        <f>INDEX(MTInputs!$J$1:$AZ$415,$D104,MATCH(W$5,MTInputs!$J$5:$AZ$5,0))</f>
        <v/>
      </c>
      <c r="X104" s="24">
        <f>INDEX(MTInputs!$J$1:$AZ$415,$D104,MATCH(X$5,MTInputs!$J$5:$AZ$5,0))</f>
        <v/>
      </c>
      <c r="Y104" s="24">
        <f>INDEX(MTInputs!$J$1:$AZ$415,$D104,MATCH(Y$5,MTInputs!$J$5:$AZ$5,0))</f>
        <v/>
      </c>
      <c r="Z104" s="24">
        <f>INDEX(MTInputs!$J$1:$AZ$415,$D104,MATCH(Z$5,MTInputs!$J$5:$AZ$5,0))</f>
        <v/>
      </c>
      <c r="AA104" s="24">
        <f>INDEX(MTInputs!$J$1:$AZ$415,$D104,MATCH(AA$5,MTInputs!$J$5:$AZ$5,0))</f>
        <v/>
      </c>
      <c r="AB104" s="24">
        <f>INDEX(MTInputs!$J$1:$AZ$415,$D104,MATCH(AB$5,MTInputs!$J$5:$AZ$5,0))</f>
        <v/>
      </c>
      <c r="AC104" s="24">
        <f>INDEX(MTInputs!$J$1:$AZ$415,$D104,MATCH(AC$5,MTInputs!$J$5:$AZ$5,0))</f>
        <v/>
      </c>
      <c r="AD104" s="24">
        <f>INDEX(MTInputs!$J$1:$AZ$415,$D104,MATCH(AD$5,MTInputs!$J$5:$AZ$5,0))</f>
        <v/>
      </c>
      <c r="AE104" s="24">
        <f>INDEX(MTInputs!$J$1:$AZ$415,$D104,MATCH(AE$5,MTInputs!$J$5:$AZ$5,0))</f>
        <v/>
      </c>
      <c r="AG104" s="11">
        <f>CodePrefix&amp;$A104&amp;IF($C104="","","."&amp;$C104&amp;"."&amp;$B104)&amp;INDEX(VarEnd,MATCH($A104,VarKey,0))&amp;AG$5</f>
        <v/>
      </c>
      <c r="AH104" s="23">
        <f>INDEX(MTInputs!$J$1:$AZ$415,$D104,MATCH(AH$5,MTInputs!$J$5:$AZ$5,0))</f>
        <v/>
      </c>
      <c r="AI104" s="24">
        <f>INDEX(MTInputs!$J$1:$AZ$415,$D104,MATCH(AI$5,MTInputs!$J$5:$AZ$5,0))</f>
        <v/>
      </c>
      <c r="AJ104" s="24">
        <f>INDEX(MTInputs!$J$1:$AZ$415,$D104,MATCH(AJ$5,MTInputs!$J$5:$AZ$5,0))</f>
        <v/>
      </c>
      <c r="AK104" s="24">
        <f>INDEX(MTInputs!$J$1:$AZ$415,$D104,MATCH(AK$5,MTInputs!$J$5:$AZ$5,0))</f>
        <v/>
      </c>
      <c r="AL104" s="24">
        <f>INDEX(MTInputs!$J$1:$AZ$415,$D104,MATCH(AL$5,MTInputs!$J$5:$AZ$5,0))</f>
        <v/>
      </c>
      <c r="AM104" s="24">
        <f>INDEX(MTInputs!$J$1:$AZ$415,$D104,MATCH(AM$5,MTInputs!$J$5:$AZ$5,0))</f>
        <v/>
      </c>
      <c r="AN104" s="24">
        <f>INDEX(MTInputs!$J$1:$AZ$415,$D104,MATCH(AN$5,MTInputs!$J$5:$AZ$5,0))</f>
        <v/>
      </c>
      <c r="AO104" s="24">
        <f>INDEX(MTInputs!$J$1:$AZ$415,$D104,MATCH(AO$5,MTInputs!$J$5:$AZ$5,0))</f>
        <v/>
      </c>
      <c r="AP104" s="24">
        <f>INDEX(MTInputs!$J$1:$AZ$415,$D104,MATCH(AP$5,MTInputs!$J$5:$AZ$5,0))</f>
        <v/>
      </c>
      <c r="AQ104" s="24">
        <f>INDEX(MTInputs!$J$1:$AZ$415,$D104,MATCH(AQ$5,MTInputs!$J$5:$AZ$5,0))</f>
        <v/>
      </c>
      <c r="AR104" s="24">
        <f>INDEX(MTInputs!$J$1:$AZ$415,$D104,MATCH(AR$5,MTInputs!$J$5:$AZ$5,0))</f>
        <v/>
      </c>
      <c r="AS104" s="24">
        <f>INDEX(MTInputs!$J$1:$AZ$415,$D104,MATCH(AS$5,MTInputs!$J$5:$AZ$5,0))</f>
        <v/>
      </c>
      <c r="AT104" s="24">
        <f>INDEX(MTInputs!$J$1:$AZ$415,$D104,MATCH(AT$5,MTInputs!$J$5:$AZ$5,0))</f>
        <v/>
      </c>
      <c r="AU104" s="24">
        <f>INDEX(MTInputs!$J$1:$AZ$415,$D104,MATCH(AU$5,MTInputs!$J$5:$AZ$5,0))</f>
        <v/>
      </c>
      <c r="AV104" s="24">
        <f>INDEX(MTInputs!$J$1:$AZ$415,$D104,MATCH(AV$5,MTInputs!$J$5:$AZ$5,0))</f>
        <v/>
      </c>
      <c r="AW104" s="24">
        <f>INDEX(MTInputs!$J$1:$AZ$415,$D104,MATCH(AW$5,MTInputs!$J$5:$AZ$5,0))</f>
        <v/>
      </c>
      <c r="AX104" s="24">
        <f>INDEX(MTInputs!$J$1:$AZ$415,$D104,MATCH(AX$5,MTInputs!$J$5:$AZ$5,0))</f>
        <v/>
      </c>
      <c r="AY104" s="24">
        <f>INDEX(MTInputs!$J$1:$AZ$415,$D104,MATCH(AY$5,MTInputs!$J$5:$AZ$5,0))</f>
        <v/>
      </c>
      <c r="AZ104" s="24">
        <f>INDEX(MTInputs!$J$1:$AZ$415,$D104,MATCH(AZ$5,MTInputs!$J$5:$AZ$5,0))</f>
        <v/>
      </c>
      <c r="BA104" s="24">
        <f>INDEX(MTInputs!$J$1:$AZ$415,$D104,MATCH(BA$5,MTInputs!$J$5:$AZ$5,0))</f>
        <v/>
      </c>
    </row>
    <row r="105" hidden="1" outlineLevel="1">
      <c r="A105" s="1" t="inlineStr">
        <is>
          <t>ets.on</t>
        </is>
      </c>
      <c r="B105" s="1" t="inlineStr"/>
      <c r="C105" s="1" t="inlineStr"/>
      <c r="H105" s="1">
        <f>INDEX(VarLab,MATCH($A105,VarKey,0))&amp;INDEX(MemLab,MATCH($C105&amp;"|"&amp;$B105,MemKey,0))</f>
        <v/>
      </c>
      <c r="I105" s="1">
        <f>INDEX(VarUnit,MATCH($A105,VarKey,0))</f>
        <v/>
      </c>
      <c r="J105" s="1">
        <f>INDEX(VarSrc,MATCH($A105,VarKey,0))</f>
        <v/>
      </c>
      <c r="K105" s="17">
        <f>CodePrefix&amp;$A105&amp;IF($C105="","","."&amp;$C105&amp;"."&amp;$B105)&amp;INDEX(VarEnd,MATCH($A105,VarKey,0))&amp;K$5</f>
        <v/>
      </c>
      <c r="L105" s="18">
        <f>IF(AND(LEFT(L$95,3)="Yes",L$4&gt;=L$99),1,0)</f>
        <v/>
      </c>
      <c r="M105" s="19">
        <f>IF(AND(LEFT(M$95,3)="Yes",M$4&gt;=M$99),1,0)</f>
        <v/>
      </c>
      <c r="N105" s="19">
        <f>IF(AND(LEFT(N$95,3)="Yes",N$4&gt;=N$99),1,0)</f>
        <v/>
      </c>
      <c r="O105" s="19">
        <f>IF(AND(LEFT(O$95,3)="Yes",O$4&gt;=O$99),1,0)</f>
        <v/>
      </c>
      <c r="P105" s="19">
        <f>IF(AND(LEFT(P$95,3)="Yes",P$4&gt;=P$99),1,0)</f>
        <v/>
      </c>
      <c r="Q105" s="19">
        <f>IF(AND(LEFT(Q$95,3)="Yes",Q$4&gt;=Q$99),1,0)</f>
        <v/>
      </c>
      <c r="R105" s="19">
        <f>IF(AND(LEFT(R$95,3)="Yes",R$4&gt;=R$99),1,0)</f>
        <v/>
      </c>
      <c r="S105" s="19">
        <f>IF(AND(LEFT(S$95,3)="Yes",S$4&gt;=S$99),1,0)</f>
        <v/>
      </c>
      <c r="T105" s="19">
        <f>IF(AND(LEFT(T$95,3)="Yes",T$4&gt;=T$99),1,0)</f>
        <v/>
      </c>
      <c r="U105" s="19">
        <f>IF(AND(LEFT(U$95,3)="Yes",U$4&gt;=U$99),1,0)</f>
        <v/>
      </c>
      <c r="V105" s="19">
        <f>IF(AND(LEFT(V$95,3)="Yes",V$4&gt;=V$99),1,0)</f>
        <v/>
      </c>
      <c r="W105" s="19">
        <f>IF(AND(LEFT(W$95,3)="Yes",W$4&gt;=W$99),1,0)</f>
        <v/>
      </c>
      <c r="X105" s="19">
        <f>IF(AND(LEFT(X$95,3)="Yes",X$4&gt;=X$99),1,0)</f>
        <v/>
      </c>
      <c r="Y105" s="19">
        <f>IF(AND(LEFT(Y$95,3)="Yes",Y$4&gt;=Y$99),1,0)</f>
        <v/>
      </c>
      <c r="Z105" s="19">
        <f>IF(AND(LEFT(Z$95,3)="Yes",Z$4&gt;=Z$99),1,0)</f>
        <v/>
      </c>
      <c r="AA105" s="19">
        <f>IF(AND(LEFT(AA$95,3)="Yes",AA$4&gt;=AA$99),1,0)</f>
        <v/>
      </c>
      <c r="AB105" s="19">
        <f>IF(AND(LEFT(AB$95,3)="Yes",AB$4&gt;=AB$99),1,0)</f>
        <v/>
      </c>
      <c r="AC105" s="19">
        <f>IF(AND(LEFT(AC$95,3)="Yes",AC$4&gt;=AC$99),1,0)</f>
        <v/>
      </c>
      <c r="AD105" s="19">
        <f>IF(AND(LEFT(AD$95,3)="Yes",AD$4&gt;=AD$99),1,0)</f>
        <v/>
      </c>
      <c r="AE105" s="20">
        <f>ETSON(AE$95,AE$4,AE$99)</f>
        <v/>
      </c>
      <c r="AG105" s="17">
        <f>CodePrefix&amp;$A105&amp;IF($C105="","","."&amp;$C105&amp;"."&amp;$B105)&amp;INDEX(VarEnd,MATCH($A105,VarKey,0))&amp;AG$5</f>
        <v/>
      </c>
      <c r="AH105" s="18">
        <f>IF(AND(LEFT(AH$95,3)="Yes",AH$4&gt;=AH$99),1,0)</f>
        <v/>
      </c>
      <c r="AI105" s="19">
        <f>IF(AND(LEFT(AI$95,3)="Yes",AI$4&gt;=AI$99),1,0)</f>
        <v/>
      </c>
      <c r="AJ105" s="19">
        <f>IF(AND(LEFT(AJ$95,3)="Yes",AJ$4&gt;=AJ$99),1,0)</f>
        <v/>
      </c>
      <c r="AK105" s="19">
        <f>IF(AND(LEFT(AK$95,3)="Yes",AK$4&gt;=AK$99),1,0)</f>
        <v/>
      </c>
      <c r="AL105" s="19">
        <f>IF(AND(LEFT(AL$95,3)="Yes",AL$4&gt;=AL$99),1,0)</f>
        <v/>
      </c>
      <c r="AM105" s="19">
        <f>IF(AND(LEFT(AM$95,3)="Yes",AM$4&gt;=AM$99),1,0)</f>
        <v/>
      </c>
      <c r="AN105" s="19">
        <f>IF(AND(LEFT(AN$95,3)="Yes",AN$4&gt;=AN$99),1,0)</f>
        <v/>
      </c>
      <c r="AO105" s="19">
        <f>IF(AND(LEFT(AO$95,3)="Yes",AO$4&gt;=AO$99),1,0)</f>
        <v/>
      </c>
      <c r="AP105" s="19">
        <f>IF(AND(LEFT(AP$95,3)="Yes",AP$4&gt;=AP$99),1,0)</f>
        <v/>
      </c>
      <c r="AQ105" s="19">
        <f>IF(AND(LEFT(AQ$95,3)="Yes",AQ$4&gt;=AQ$99),1,0)</f>
        <v/>
      </c>
      <c r="AR105" s="19">
        <f>IF(AND(LEFT(AR$95,3)="Yes",AR$4&gt;=AR$99),1,0)</f>
        <v/>
      </c>
      <c r="AS105" s="19">
        <f>IF(AND(LEFT(AS$95,3)="Yes",AS$4&gt;=AS$99),1,0)</f>
        <v/>
      </c>
      <c r="AT105" s="19">
        <f>IF(AND(LEFT(AT$95,3)="Yes",AT$4&gt;=AT$99),1,0)</f>
        <v/>
      </c>
      <c r="AU105" s="19">
        <f>IF(AND(LEFT(AU$95,3)="Yes",AU$4&gt;=AU$99),1,0)</f>
        <v/>
      </c>
      <c r="AV105" s="19">
        <f>IF(AND(LEFT(AV$95,3)="Yes",AV$4&gt;=AV$99),1,0)</f>
        <v/>
      </c>
      <c r="AW105" s="19">
        <f>IF(AND(LEFT(AW$95,3)="Yes",AW$4&gt;=AW$99),1,0)</f>
        <v/>
      </c>
      <c r="AX105" s="19">
        <f>IF(AND(LEFT(AX$95,3)="Yes",AX$4&gt;=AX$99),1,0)</f>
        <v/>
      </c>
      <c r="AY105" s="19">
        <f>IF(AND(LEFT(AY$95,3)="Yes",AY$4&gt;=AY$99),1,0)</f>
        <v/>
      </c>
      <c r="AZ105" s="19">
        <f>IF(AND(LEFT(AZ$95,3)="Yes",AZ$4&gt;=AZ$99),1,0)</f>
        <v/>
      </c>
      <c r="BA105" s="20">
        <f>ETSON(BA$95,BA$4,BA$99)</f>
        <v/>
      </c>
    </row>
    <row r="106" hidden="1" outlineLevel="1">
      <c r="H106" s="21" t="inlineStr">
        <is>
          <t>ETS sector coverage (MTInputs rows 99-115) and effective coverage (ETS applied and started)</t>
        </is>
      </c>
    </row>
    <row r="107" hidden="1" outlineLevel="1">
      <c r="A107" s="14" t="inlineStr">
        <is>
          <t>etscov</t>
        </is>
      </c>
      <c r="B107" s="14" t="inlineStr">
        <is>
          <t>all</t>
        </is>
      </c>
      <c r="C107" s="14" t="inlineStr">
        <is>
          <t>pow</t>
        </is>
      </c>
      <c r="D107" s="22" t="n">
        <v>99</v>
      </c>
      <c r="H107" s="14">
        <f>INDEX(VarLab,MATCH($A107,VarKey,0))&amp;INDEX(MemLab,MATCH($C107&amp;"|"&amp;$B107,MemKey,0))</f>
        <v/>
      </c>
      <c r="I107" s="14">
        <f>INDEX(VarUnit,MATCH($A107,VarKey,0))</f>
        <v/>
      </c>
      <c r="J107" s="14">
        <f>INDEX(VarSrc,MATCH($A107,VarKey,0))</f>
        <v/>
      </c>
      <c r="K107" s="11">
        <f>CodePrefix&amp;$A107&amp;IF($C107="","","."&amp;$C107&amp;"."&amp;$B107)&amp;INDEX(VarEnd,MATCH($A107,VarKey,0))&amp;K$5</f>
        <v/>
      </c>
      <c r="L107" s="23">
        <f>INDEX(MTInputs!$J$1:$AZ$415,$D107,MATCH(L$5,MTInputs!$J$5:$AZ$5,0))</f>
        <v/>
      </c>
      <c r="M107" s="24">
        <f>INDEX(MTInputs!$J$1:$AZ$415,$D107,MATCH(M$5,MTInputs!$J$5:$AZ$5,0))</f>
        <v/>
      </c>
      <c r="N107" s="24">
        <f>INDEX(MTInputs!$J$1:$AZ$415,$D107,MATCH(N$5,MTInputs!$J$5:$AZ$5,0))</f>
        <v/>
      </c>
      <c r="O107" s="24">
        <f>INDEX(MTInputs!$J$1:$AZ$415,$D107,MATCH(O$5,MTInputs!$J$5:$AZ$5,0))</f>
        <v/>
      </c>
      <c r="P107" s="24">
        <f>INDEX(MTInputs!$J$1:$AZ$415,$D107,MATCH(P$5,MTInputs!$J$5:$AZ$5,0))</f>
        <v/>
      </c>
      <c r="Q107" s="24">
        <f>INDEX(MTInputs!$J$1:$AZ$415,$D107,MATCH(Q$5,MTInputs!$J$5:$AZ$5,0))</f>
        <v/>
      </c>
      <c r="R107" s="24">
        <f>INDEX(MTInputs!$J$1:$AZ$415,$D107,MATCH(R$5,MTInputs!$J$5:$AZ$5,0))</f>
        <v/>
      </c>
      <c r="S107" s="24">
        <f>INDEX(MTInputs!$J$1:$AZ$415,$D107,MATCH(S$5,MTInputs!$J$5:$AZ$5,0))</f>
        <v/>
      </c>
      <c r="T107" s="24">
        <f>INDEX(MTInputs!$J$1:$AZ$415,$D107,MATCH(T$5,MTInputs!$J$5:$AZ$5,0))</f>
        <v/>
      </c>
      <c r="U107" s="24">
        <f>INDEX(MTInputs!$J$1:$AZ$415,$D107,MATCH(U$5,MTInputs!$J$5:$AZ$5,0))</f>
        <v/>
      </c>
      <c r="V107" s="24">
        <f>INDEX(MTInputs!$J$1:$AZ$415,$D107,MATCH(V$5,MTInputs!$J$5:$AZ$5,0))</f>
        <v/>
      </c>
      <c r="W107" s="24">
        <f>INDEX(MTInputs!$J$1:$AZ$415,$D107,MATCH(W$5,MTInputs!$J$5:$AZ$5,0))</f>
        <v/>
      </c>
      <c r="X107" s="24">
        <f>INDEX(MTInputs!$J$1:$AZ$415,$D107,MATCH(X$5,MTInputs!$J$5:$AZ$5,0))</f>
        <v/>
      </c>
      <c r="Y107" s="24">
        <f>INDEX(MTInputs!$J$1:$AZ$415,$D107,MATCH(Y$5,MTInputs!$J$5:$AZ$5,0))</f>
        <v/>
      </c>
      <c r="Z107" s="24">
        <f>INDEX(MTInputs!$J$1:$AZ$415,$D107,MATCH(Z$5,MTInputs!$J$5:$AZ$5,0))</f>
        <v/>
      </c>
      <c r="AA107" s="24">
        <f>INDEX(MTInputs!$J$1:$AZ$415,$D107,MATCH(AA$5,MTInputs!$J$5:$AZ$5,0))</f>
        <v/>
      </c>
      <c r="AB107" s="24">
        <f>INDEX(MTInputs!$J$1:$AZ$415,$D107,MATCH(AB$5,MTInputs!$J$5:$AZ$5,0))</f>
        <v/>
      </c>
      <c r="AC107" s="24">
        <f>INDEX(MTInputs!$J$1:$AZ$415,$D107,MATCH(AC$5,MTInputs!$J$5:$AZ$5,0))</f>
        <v/>
      </c>
      <c r="AD107" s="24">
        <f>INDEX(MTInputs!$J$1:$AZ$415,$D107,MATCH(AD$5,MTInputs!$J$5:$AZ$5,0))</f>
        <v/>
      </c>
      <c r="AE107" s="24">
        <f>INDEX(MTInputs!$J$1:$AZ$415,$D107,MATCH(AE$5,MTInputs!$J$5:$AZ$5,0))</f>
        <v/>
      </c>
      <c r="AG107" s="11">
        <f>CodePrefix&amp;$A107&amp;IF($C107="","","."&amp;$C107&amp;"."&amp;$B107)&amp;INDEX(VarEnd,MATCH($A107,VarKey,0))&amp;AG$5</f>
        <v/>
      </c>
      <c r="AH107" s="23">
        <f>INDEX(MTInputs!$J$1:$AZ$415,$D107,MATCH(AH$5,MTInputs!$J$5:$AZ$5,0))</f>
        <v/>
      </c>
      <c r="AI107" s="24">
        <f>INDEX(MTInputs!$J$1:$AZ$415,$D107,MATCH(AI$5,MTInputs!$J$5:$AZ$5,0))</f>
        <v/>
      </c>
      <c r="AJ107" s="24">
        <f>INDEX(MTInputs!$J$1:$AZ$415,$D107,MATCH(AJ$5,MTInputs!$J$5:$AZ$5,0))</f>
        <v/>
      </c>
      <c r="AK107" s="24">
        <f>INDEX(MTInputs!$J$1:$AZ$415,$D107,MATCH(AK$5,MTInputs!$J$5:$AZ$5,0))</f>
        <v/>
      </c>
      <c r="AL107" s="24">
        <f>INDEX(MTInputs!$J$1:$AZ$415,$D107,MATCH(AL$5,MTInputs!$J$5:$AZ$5,0))</f>
        <v/>
      </c>
      <c r="AM107" s="24">
        <f>INDEX(MTInputs!$J$1:$AZ$415,$D107,MATCH(AM$5,MTInputs!$J$5:$AZ$5,0))</f>
        <v/>
      </c>
      <c r="AN107" s="24">
        <f>INDEX(MTInputs!$J$1:$AZ$415,$D107,MATCH(AN$5,MTInputs!$J$5:$AZ$5,0))</f>
        <v/>
      </c>
      <c r="AO107" s="24">
        <f>INDEX(MTInputs!$J$1:$AZ$415,$D107,MATCH(AO$5,MTInputs!$J$5:$AZ$5,0))</f>
        <v/>
      </c>
      <c r="AP107" s="24">
        <f>INDEX(MTInputs!$J$1:$AZ$415,$D107,MATCH(AP$5,MTInputs!$J$5:$AZ$5,0))</f>
        <v/>
      </c>
      <c r="AQ107" s="24">
        <f>INDEX(MTInputs!$J$1:$AZ$415,$D107,MATCH(AQ$5,MTInputs!$J$5:$AZ$5,0))</f>
        <v/>
      </c>
      <c r="AR107" s="24">
        <f>INDEX(MTInputs!$J$1:$AZ$415,$D107,MATCH(AR$5,MTInputs!$J$5:$AZ$5,0))</f>
        <v/>
      </c>
      <c r="AS107" s="24">
        <f>INDEX(MTInputs!$J$1:$AZ$415,$D107,MATCH(AS$5,MTInputs!$J$5:$AZ$5,0))</f>
        <v/>
      </c>
      <c r="AT107" s="24">
        <f>INDEX(MTInputs!$J$1:$AZ$415,$D107,MATCH(AT$5,MTInputs!$J$5:$AZ$5,0))</f>
        <v/>
      </c>
      <c r="AU107" s="24">
        <f>INDEX(MTInputs!$J$1:$AZ$415,$D107,MATCH(AU$5,MTInputs!$J$5:$AZ$5,0))</f>
        <v/>
      </c>
      <c r="AV107" s="24">
        <f>INDEX(MTInputs!$J$1:$AZ$415,$D107,MATCH(AV$5,MTInputs!$J$5:$AZ$5,0))</f>
        <v/>
      </c>
      <c r="AW107" s="24">
        <f>INDEX(MTInputs!$J$1:$AZ$415,$D107,MATCH(AW$5,MTInputs!$J$5:$AZ$5,0))</f>
        <v/>
      </c>
      <c r="AX107" s="24">
        <f>INDEX(MTInputs!$J$1:$AZ$415,$D107,MATCH(AX$5,MTInputs!$J$5:$AZ$5,0))</f>
        <v/>
      </c>
      <c r="AY107" s="24">
        <f>INDEX(MTInputs!$J$1:$AZ$415,$D107,MATCH(AY$5,MTInputs!$J$5:$AZ$5,0))</f>
        <v/>
      </c>
      <c r="AZ107" s="24">
        <f>INDEX(MTInputs!$J$1:$AZ$415,$D107,MATCH(AZ$5,MTInputs!$J$5:$AZ$5,0))</f>
        <v/>
      </c>
      <c r="BA107" s="24">
        <f>INDEX(MTInputs!$J$1:$AZ$415,$D107,MATCH(BA$5,MTInputs!$J$5:$AZ$5,0))</f>
        <v/>
      </c>
    </row>
    <row r="108" hidden="1" outlineLevel="1">
      <c r="A108" s="14" t="inlineStr">
        <is>
          <t>etscov</t>
        </is>
      </c>
      <c r="B108" s="14" t="inlineStr">
        <is>
          <t>all</t>
        </is>
      </c>
      <c r="C108" s="14" t="inlineStr">
        <is>
          <t>rod</t>
        </is>
      </c>
      <c r="D108" s="22" t="n">
        <v>100</v>
      </c>
      <c r="H108" s="14">
        <f>INDEX(VarLab,MATCH($A108,VarKey,0))&amp;INDEX(MemLab,MATCH($C108&amp;"|"&amp;$B108,MemKey,0))</f>
        <v/>
      </c>
      <c r="I108" s="14">
        <f>INDEX(VarUnit,MATCH($A108,VarKey,0))</f>
        <v/>
      </c>
      <c r="J108" s="14">
        <f>INDEX(VarSrc,MATCH($A108,VarKey,0))</f>
        <v/>
      </c>
      <c r="K108" s="11">
        <f>CodePrefix&amp;$A108&amp;IF($C108="","","."&amp;$C108&amp;"."&amp;$B108)&amp;INDEX(VarEnd,MATCH($A108,VarKey,0))&amp;K$5</f>
        <v/>
      </c>
      <c r="L108" s="23">
        <f>INDEX(MTInputs!$J$1:$AZ$415,$D108,MATCH(L$5,MTInputs!$J$5:$AZ$5,0))</f>
        <v/>
      </c>
      <c r="M108" s="24">
        <f>INDEX(MTInputs!$J$1:$AZ$415,$D108,MATCH(M$5,MTInputs!$J$5:$AZ$5,0))</f>
        <v/>
      </c>
      <c r="N108" s="24">
        <f>INDEX(MTInputs!$J$1:$AZ$415,$D108,MATCH(N$5,MTInputs!$J$5:$AZ$5,0))</f>
        <v/>
      </c>
      <c r="O108" s="24">
        <f>INDEX(MTInputs!$J$1:$AZ$415,$D108,MATCH(O$5,MTInputs!$J$5:$AZ$5,0))</f>
        <v/>
      </c>
      <c r="P108" s="24">
        <f>INDEX(MTInputs!$J$1:$AZ$415,$D108,MATCH(P$5,MTInputs!$J$5:$AZ$5,0))</f>
        <v/>
      </c>
      <c r="Q108" s="24">
        <f>INDEX(MTInputs!$J$1:$AZ$415,$D108,MATCH(Q$5,MTInputs!$J$5:$AZ$5,0))</f>
        <v/>
      </c>
      <c r="R108" s="24">
        <f>INDEX(MTInputs!$J$1:$AZ$415,$D108,MATCH(R$5,MTInputs!$J$5:$AZ$5,0))</f>
        <v/>
      </c>
      <c r="S108" s="24">
        <f>INDEX(MTInputs!$J$1:$AZ$415,$D108,MATCH(S$5,MTInputs!$J$5:$AZ$5,0))</f>
        <v/>
      </c>
      <c r="T108" s="24">
        <f>INDEX(MTInputs!$J$1:$AZ$415,$D108,MATCH(T$5,MTInputs!$J$5:$AZ$5,0))</f>
        <v/>
      </c>
      <c r="U108" s="24">
        <f>INDEX(MTInputs!$J$1:$AZ$415,$D108,MATCH(U$5,MTInputs!$J$5:$AZ$5,0))</f>
        <v/>
      </c>
      <c r="V108" s="24">
        <f>INDEX(MTInputs!$J$1:$AZ$415,$D108,MATCH(V$5,MTInputs!$J$5:$AZ$5,0))</f>
        <v/>
      </c>
      <c r="W108" s="24">
        <f>INDEX(MTInputs!$J$1:$AZ$415,$D108,MATCH(W$5,MTInputs!$J$5:$AZ$5,0))</f>
        <v/>
      </c>
      <c r="X108" s="24">
        <f>INDEX(MTInputs!$J$1:$AZ$415,$D108,MATCH(X$5,MTInputs!$J$5:$AZ$5,0))</f>
        <v/>
      </c>
      <c r="Y108" s="24">
        <f>INDEX(MTInputs!$J$1:$AZ$415,$D108,MATCH(Y$5,MTInputs!$J$5:$AZ$5,0))</f>
        <v/>
      </c>
      <c r="Z108" s="24">
        <f>INDEX(MTInputs!$J$1:$AZ$415,$D108,MATCH(Z$5,MTInputs!$J$5:$AZ$5,0))</f>
        <v/>
      </c>
      <c r="AA108" s="24">
        <f>INDEX(MTInputs!$J$1:$AZ$415,$D108,MATCH(AA$5,MTInputs!$J$5:$AZ$5,0))</f>
        <v/>
      </c>
      <c r="AB108" s="24">
        <f>INDEX(MTInputs!$J$1:$AZ$415,$D108,MATCH(AB$5,MTInputs!$J$5:$AZ$5,0))</f>
        <v/>
      </c>
      <c r="AC108" s="24">
        <f>INDEX(MTInputs!$J$1:$AZ$415,$D108,MATCH(AC$5,MTInputs!$J$5:$AZ$5,0))</f>
        <v/>
      </c>
      <c r="AD108" s="24">
        <f>INDEX(MTInputs!$J$1:$AZ$415,$D108,MATCH(AD$5,MTInputs!$J$5:$AZ$5,0))</f>
        <v/>
      </c>
      <c r="AE108" s="24">
        <f>INDEX(MTInputs!$J$1:$AZ$415,$D108,MATCH(AE$5,MTInputs!$J$5:$AZ$5,0))</f>
        <v/>
      </c>
      <c r="AG108" s="11">
        <f>CodePrefix&amp;$A108&amp;IF($C108="","","."&amp;$C108&amp;"."&amp;$B108)&amp;INDEX(VarEnd,MATCH($A108,VarKey,0))&amp;AG$5</f>
        <v/>
      </c>
      <c r="AH108" s="23">
        <f>INDEX(MTInputs!$J$1:$AZ$415,$D108,MATCH(AH$5,MTInputs!$J$5:$AZ$5,0))</f>
        <v/>
      </c>
      <c r="AI108" s="24">
        <f>INDEX(MTInputs!$J$1:$AZ$415,$D108,MATCH(AI$5,MTInputs!$J$5:$AZ$5,0))</f>
        <v/>
      </c>
      <c r="AJ108" s="24">
        <f>INDEX(MTInputs!$J$1:$AZ$415,$D108,MATCH(AJ$5,MTInputs!$J$5:$AZ$5,0))</f>
        <v/>
      </c>
      <c r="AK108" s="24">
        <f>INDEX(MTInputs!$J$1:$AZ$415,$D108,MATCH(AK$5,MTInputs!$J$5:$AZ$5,0))</f>
        <v/>
      </c>
      <c r="AL108" s="24">
        <f>INDEX(MTInputs!$J$1:$AZ$415,$D108,MATCH(AL$5,MTInputs!$J$5:$AZ$5,0))</f>
        <v/>
      </c>
      <c r="AM108" s="24">
        <f>INDEX(MTInputs!$J$1:$AZ$415,$D108,MATCH(AM$5,MTInputs!$J$5:$AZ$5,0))</f>
        <v/>
      </c>
      <c r="AN108" s="24">
        <f>INDEX(MTInputs!$J$1:$AZ$415,$D108,MATCH(AN$5,MTInputs!$J$5:$AZ$5,0))</f>
        <v/>
      </c>
      <c r="AO108" s="24">
        <f>INDEX(MTInputs!$J$1:$AZ$415,$D108,MATCH(AO$5,MTInputs!$J$5:$AZ$5,0))</f>
        <v/>
      </c>
      <c r="AP108" s="24">
        <f>INDEX(MTInputs!$J$1:$AZ$415,$D108,MATCH(AP$5,MTInputs!$J$5:$AZ$5,0))</f>
        <v/>
      </c>
      <c r="AQ108" s="24">
        <f>INDEX(MTInputs!$J$1:$AZ$415,$D108,MATCH(AQ$5,MTInputs!$J$5:$AZ$5,0))</f>
        <v/>
      </c>
      <c r="AR108" s="24">
        <f>INDEX(MTInputs!$J$1:$AZ$415,$D108,MATCH(AR$5,MTInputs!$J$5:$AZ$5,0))</f>
        <v/>
      </c>
      <c r="AS108" s="24">
        <f>INDEX(MTInputs!$J$1:$AZ$415,$D108,MATCH(AS$5,MTInputs!$J$5:$AZ$5,0))</f>
        <v/>
      </c>
      <c r="AT108" s="24">
        <f>INDEX(MTInputs!$J$1:$AZ$415,$D108,MATCH(AT$5,MTInputs!$J$5:$AZ$5,0))</f>
        <v/>
      </c>
      <c r="AU108" s="24">
        <f>INDEX(MTInputs!$J$1:$AZ$415,$D108,MATCH(AU$5,MTInputs!$J$5:$AZ$5,0))</f>
        <v/>
      </c>
      <c r="AV108" s="24">
        <f>INDEX(MTInputs!$J$1:$AZ$415,$D108,MATCH(AV$5,MTInputs!$J$5:$AZ$5,0))</f>
        <v/>
      </c>
      <c r="AW108" s="24">
        <f>INDEX(MTInputs!$J$1:$AZ$415,$D108,MATCH(AW$5,MTInputs!$J$5:$AZ$5,0))</f>
        <v/>
      </c>
      <c r="AX108" s="24">
        <f>INDEX(MTInputs!$J$1:$AZ$415,$D108,MATCH(AX$5,MTInputs!$J$5:$AZ$5,0))</f>
        <v/>
      </c>
      <c r="AY108" s="24">
        <f>INDEX(MTInputs!$J$1:$AZ$415,$D108,MATCH(AY$5,MTInputs!$J$5:$AZ$5,0))</f>
        <v/>
      </c>
      <c r="AZ108" s="24">
        <f>INDEX(MTInputs!$J$1:$AZ$415,$D108,MATCH(AZ$5,MTInputs!$J$5:$AZ$5,0))</f>
        <v/>
      </c>
      <c r="BA108" s="24">
        <f>INDEX(MTInputs!$J$1:$AZ$415,$D108,MATCH(BA$5,MTInputs!$J$5:$AZ$5,0))</f>
        <v/>
      </c>
    </row>
    <row r="109" hidden="1" outlineLevel="1">
      <c r="A109" s="14" t="inlineStr">
        <is>
          <t>etscov</t>
        </is>
      </c>
      <c r="B109" s="14" t="inlineStr">
        <is>
          <t>all</t>
        </is>
      </c>
      <c r="C109" s="14" t="inlineStr">
        <is>
          <t>ral</t>
        </is>
      </c>
      <c r="D109" s="22" t="n">
        <v>101</v>
      </c>
      <c r="H109" s="14">
        <f>INDEX(VarLab,MATCH($A109,VarKey,0))&amp;INDEX(MemLab,MATCH($C109&amp;"|"&amp;$B109,MemKey,0))</f>
        <v/>
      </c>
      <c r="I109" s="14">
        <f>INDEX(VarUnit,MATCH($A109,VarKey,0))</f>
        <v/>
      </c>
      <c r="J109" s="14">
        <f>INDEX(VarSrc,MATCH($A109,VarKey,0))</f>
        <v/>
      </c>
      <c r="K109" s="11">
        <f>CodePrefix&amp;$A109&amp;IF($C109="","","."&amp;$C109&amp;"."&amp;$B109)&amp;INDEX(VarEnd,MATCH($A109,VarKey,0))&amp;K$5</f>
        <v/>
      </c>
      <c r="L109" s="23">
        <f>INDEX(MTInputs!$J$1:$AZ$415,$D109,MATCH(L$5,MTInputs!$J$5:$AZ$5,0))</f>
        <v/>
      </c>
      <c r="M109" s="24">
        <f>INDEX(MTInputs!$J$1:$AZ$415,$D109,MATCH(M$5,MTInputs!$J$5:$AZ$5,0))</f>
        <v/>
      </c>
      <c r="N109" s="24">
        <f>INDEX(MTInputs!$J$1:$AZ$415,$D109,MATCH(N$5,MTInputs!$J$5:$AZ$5,0))</f>
        <v/>
      </c>
      <c r="O109" s="24">
        <f>INDEX(MTInputs!$J$1:$AZ$415,$D109,MATCH(O$5,MTInputs!$J$5:$AZ$5,0))</f>
        <v/>
      </c>
      <c r="P109" s="24">
        <f>INDEX(MTInputs!$J$1:$AZ$415,$D109,MATCH(P$5,MTInputs!$J$5:$AZ$5,0))</f>
        <v/>
      </c>
      <c r="Q109" s="24">
        <f>INDEX(MTInputs!$J$1:$AZ$415,$D109,MATCH(Q$5,MTInputs!$J$5:$AZ$5,0))</f>
        <v/>
      </c>
      <c r="R109" s="24">
        <f>INDEX(MTInputs!$J$1:$AZ$415,$D109,MATCH(R$5,MTInputs!$J$5:$AZ$5,0))</f>
        <v/>
      </c>
      <c r="S109" s="24">
        <f>INDEX(MTInputs!$J$1:$AZ$415,$D109,MATCH(S$5,MTInputs!$J$5:$AZ$5,0))</f>
        <v/>
      </c>
      <c r="T109" s="24">
        <f>INDEX(MTInputs!$J$1:$AZ$415,$D109,MATCH(T$5,MTInputs!$J$5:$AZ$5,0))</f>
        <v/>
      </c>
      <c r="U109" s="24">
        <f>INDEX(MTInputs!$J$1:$AZ$415,$D109,MATCH(U$5,MTInputs!$J$5:$AZ$5,0))</f>
        <v/>
      </c>
      <c r="V109" s="24">
        <f>INDEX(MTInputs!$J$1:$AZ$415,$D109,MATCH(V$5,MTInputs!$J$5:$AZ$5,0))</f>
        <v/>
      </c>
      <c r="W109" s="24">
        <f>INDEX(MTInputs!$J$1:$AZ$415,$D109,MATCH(W$5,MTInputs!$J$5:$AZ$5,0))</f>
        <v/>
      </c>
      <c r="X109" s="24">
        <f>INDEX(MTInputs!$J$1:$AZ$415,$D109,MATCH(X$5,MTInputs!$J$5:$AZ$5,0))</f>
        <v/>
      </c>
      <c r="Y109" s="24">
        <f>INDEX(MTInputs!$J$1:$AZ$415,$D109,MATCH(Y$5,MTInputs!$J$5:$AZ$5,0))</f>
        <v/>
      </c>
      <c r="Z109" s="24">
        <f>INDEX(MTInputs!$J$1:$AZ$415,$D109,MATCH(Z$5,MTInputs!$J$5:$AZ$5,0))</f>
        <v/>
      </c>
      <c r="AA109" s="24">
        <f>INDEX(MTInputs!$J$1:$AZ$415,$D109,MATCH(AA$5,MTInputs!$J$5:$AZ$5,0))</f>
        <v/>
      </c>
      <c r="AB109" s="24">
        <f>INDEX(MTInputs!$J$1:$AZ$415,$D109,MATCH(AB$5,MTInputs!$J$5:$AZ$5,0))</f>
        <v/>
      </c>
      <c r="AC109" s="24">
        <f>INDEX(MTInputs!$J$1:$AZ$415,$D109,MATCH(AC$5,MTInputs!$J$5:$AZ$5,0))</f>
        <v/>
      </c>
      <c r="AD109" s="24">
        <f>INDEX(MTInputs!$J$1:$AZ$415,$D109,MATCH(AD$5,MTInputs!$J$5:$AZ$5,0))</f>
        <v/>
      </c>
      <c r="AE109" s="24">
        <f>INDEX(MTInputs!$J$1:$AZ$415,$D109,MATCH(AE$5,MTInputs!$J$5:$AZ$5,0))</f>
        <v/>
      </c>
      <c r="AG109" s="11">
        <f>CodePrefix&amp;$A109&amp;IF($C109="","","."&amp;$C109&amp;"."&amp;$B109)&amp;INDEX(VarEnd,MATCH($A109,VarKey,0))&amp;AG$5</f>
        <v/>
      </c>
      <c r="AH109" s="23">
        <f>INDEX(MTInputs!$J$1:$AZ$415,$D109,MATCH(AH$5,MTInputs!$J$5:$AZ$5,0))</f>
        <v/>
      </c>
      <c r="AI109" s="24">
        <f>INDEX(MTInputs!$J$1:$AZ$415,$D109,MATCH(AI$5,MTInputs!$J$5:$AZ$5,0))</f>
        <v/>
      </c>
      <c r="AJ109" s="24">
        <f>INDEX(MTInputs!$J$1:$AZ$415,$D109,MATCH(AJ$5,MTInputs!$J$5:$AZ$5,0))</f>
        <v/>
      </c>
      <c r="AK109" s="24">
        <f>INDEX(MTInputs!$J$1:$AZ$415,$D109,MATCH(AK$5,MTInputs!$J$5:$AZ$5,0))</f>
        <v/>
      </c>
      <c r="AL109" s="24">
        <f>INDEX(MTInputs!$J$1:$AZ$415,$D109,MATCH(AL$5,MTInputs!$J$5:$AZ$5,0))</f>
        <v/>
      </c>
      <c r="AM109" s="24">
        <f>INDEX(MTInputs!$J$1:$AZ$415,$D109,MATCH(AM$5,MTInputs!$J$5:$AZ$5,0))</f>
        <v/>
      </c>
      <c r="AN109" s="24">
        <f>INDEX(MTInputs!$J$1:$AZ$415,$D109,MATCH(AN$5,MTInputs!$J$5:$AZ$5,0))</f>
        <v/>
      </c>
      <c r="AO109" s="24">
        <f>INDEX(MTInputs!$J$1:$AZ$415,$D109,MATCH(AO$5,MTInputs!$J$5:$AZ$5,0))</f>
        <v/>
      </c>
      <c r="AP109" s="24">
        <f>INDEX(MTInputs!$J$1:$AZ$415,$D109,MATCH(AP$5,MTInputs!$J$5:$AZ$5,0))</f>
        <v/>
      </c>
      <c r="AQ109" s="24">
        <f>INDEX(MTInputs!$J$1:$AZ$415,$D109,MATCH(AQ$5,MTInputs!$J$5:$AZ$5,0))</f>
        <v/>
      </c>
      <c r="AR109" s="24">
        <f>INDEX(MTInputs!$J$1:$AZ$415,$D109,MATCH(AR$5,MTInputs!$J$5:$AZ$5,0))</f>
        <v/>
      </c>
      <c r="AS109" s="24">
        <f>INDEX(MTInputs!$J$1:$AZ$415,$D109,MATCH(AS$5,MTInputs!$J$5:$AZ$5,0))</f>
        <v/>
      </c>
      <c r="AT109" s="24">
        <f>INDEX(MTInputs!$J$1:$AZ$415,$D109,MATCH(AT$5,MTInputs!$J$5:$AZ$5,0))</f>
        <v/>
      </c>
      <c r="AU109" s="24">
        <f>INDEX(MTInputs!$J$1:$AZ$415,$D109,MATCH(AU$5,MTInputs!$J$5:$AZ$5,0))</f>
        <v/>
      </c>
      <c r="AV109" s="24">
        <f>INDEX(MTInputs!$J$1:$AZ$415,$D109,MATCH(AV$5,MTInputs!$J$5:$AZ$5,0))</f>
        <v/>
      </c>
      <c r="AW109" s="24">
        <f>INDEX(MTInputs!$J$1:$AZ$415,$D109,MATCH(AW$5,MTInputs!$J$5:$AZ$5,0))</f>
        <v/>
      </c>
      <c r="AX109" s="24">
        <f>INDEX(MTInputs!$J$1:$AZ$415,$D109,MATCH(AX$5,MTInputs!$J$5:$AZ$5,0))</f>
        <v/>
      </c>
      <c r="AY109" s="24">
        <f>INDEX(MTInputs!$J$1:$AZ$415,$D109,MATCH(AY$5,MTInputs!$J$5:$AZ$5,0))</f>
        <v/>
      </c>
      <c r="AZ109" s="24">
        <f>INDEX(MTInputs!$J$1:$AZ$415,$D109,MATCH(AZ$5,MTInputs!$J$5:$AZ$5,0))</f>
        <v/>
      </c>
      <c r="BA109" s="24">
        <f>INDEX(MTInputs!$J$1:$AZ$415,$D109,MATCH(BA$5,MTInputs!$J$5:$AZ$5,0))</f>
        <v/>
      </c>
    </row>
    <row r="110" hidden="1" outlineLevel="1">
      <c r="A110" s="14" t="inlineStr">
        <is>
          <t>etscov</t>
        </is>
      </c>
      <c r="B110" s="14" t="inlineStr">
        <is>
          <t>all</t>
        </is>
      </c>
      <c r="C110" s="14" t="inlineStr">
        <is>
          <t>avi</t>
        </is>
      </c>
      <c r="D110" s="22" t="n">
        <v>102</v>
      </c>
      <c r="H110" s="14">
        <f>INDEX(VarLab,MATCH($A110,VarKey,0))&amp;INDEX(MemLab,MATCH($C110&amp;"|"&amp;$B110,MemKey,0))</f>
        <v/>
      </c>
      <c r="I110" s="14">
        <f>INDEX(VarUnit,MATCH($A110,VarKey,0))</f>
        <v/>
      </c>
      <c r="J110" s="14">
        <f>INDEX(VarSrc,MATCH($A110,VarKey,0))</f>
        <v/>
      </c>
      <c r="K110" s="11">
        <f>CodePrefix&amp;$A110&amp;IF($C110="","","."&amp;$C110&amp;"."&amp;$B110)&amp;INDEX(VarEnd,MATCH($A110,VarKey,0))&amp;K$5</f>
        <v/>
      </c>
      <c r="L110" s="23">
        <f>INDEX(MTInputs!$J$1:$AZ$415,$D110,MATCH(L$5,MTInputs!$J$5:$AZ$5,0))</f>
        <v/>
      </c>
      <c r="M110" s="24">
        <f>INDEX(MTInputs!$J$1:$AZ$415,$D110,MATCH(M$5,MTInputs!$J$5:$AZ$5,0))</f>
        <v/>
      </c>
      <c r="N110" s="24">
        <f>INDEX(MTInputs!$J$1:$AZ$415,$D110,MATCH(N$5,MTInputs!$J$5:$AZ$5,0))</f>
        <v/>
      </c>
      <c r="O110" s="24">
        <f>INDEX(MTInputs!$J$1:$AZ$415,$D110,MATCH(O$5,MTInputs!$J$5:$AZ$5,0))</f>
        <v/>
      </c>
      <c r="P110" s="24">
        <f>INDEX(MTInputs!$J$1:$AZ$415,$D110,MATCH(P$5,MTInputs!$J$5:$AZ$5,0))</f>
        <v/>
      </c>
      <c r="Q110" s="24">
        <f>INDEX(MTInputs!$J$1:$AZ$415,$D110,MATCH(Q$5,MTInputs!$J$5:$AZ$5,0))</f>
        <v/>
      </c>
      <c r="R110" s="24">
        <f>INDEX(MTInputs!$J$1:$AZ$415,$D110,MATCH(R$5,MTInputs!$J$5:$AZ$5,0))</f>
        <v/>
      </c>
      <c r="S110" s="24">
        <f>INDEX(MTInputs!$J$1:$AZ$415,$D110,MATCH(S$5,MTInputs!$J$5:$AZ$5,0))</f>
        <v/>
      </c>
      <c r="T110" s="24">
        <f>INDEX(MTInputs!$J$1:$AZ$415,$D110,MATCH(T$5,MTInputs!$J$5:$AZ$5,0))</f>
        <v/>
      </c>
      <c r="U110" s="24">
        <f>INDEX(MTInputs!$J$1:$AZ$415,$D110,MATCH(U$5,MTInputs!$J$5:$AZ$5,0))</f>
        <v/>
      </c>
      <c r="V110" s="24">
        <f>INDEX(MTInputs!$J$1:$AZ$415,$D110,MATCH(V$5,MTInputs!$J$5:$AZ$5,0))</f>
        <v/>
      </c>
      <c r="W110" s="24">
        <f>INDEX(MTInputs!$J$1:$AZ$415,$D110,MATCH(W$5,MTInputs!$J$5:$AZ$5,0))</f>
        <v/>
      </c>
      <c r="X110" s="24">
        <f>INDEX(MTInputs!$J$1:$AZ$415,$D110,MATCH(X$5,MTInputs!$J$5:$AZ$5,0))</f>
        <v/>
      </c>
      <c r="Y110" s="24">
        <f>INDEX(MTInputs!$J$1:$AZ$415,$D110,MATCH(Y$5,MTInputs!$J$5:$AZ$5,0))</f>
        <v/>
      </c>
      <c r="Z110" s="24">
        <f>INDEX(MTInputs!$J$1:$AZ$415,$D110,MATCH(Z$5,MTInputs!$J$5:$AZ$5,0))</f>
        <v/>
      </c>
      <c r="AA110" s="24">
        <f>INDEX(MTInputs!$J$1:$AZ$415,$D110,MATCH(AA$5,MTInputs!$J$5:$AZ$5,0))</f>
        <v/>
      </c>
      <c r="AB110" s="24">
        <f>INDEX(MTInputs!$J$1:$AZ$415,$D110,MATCH(AB$5,MTInputs!$J$5:$AZ$5,0))</f>
        <v/>
      </c>
      <c r="AC110" s="24">
        <f>INDEX(MTInputs!$J$1:$AZ$415,$D110,MATCH(AC$5,MTInputs!$J$5:$AZ$5,0))</f>
        <v/>
      </c>
      <c r="AD110" s="24">
        <f>INDEX(MTInputs!$J$1:$AZ$415,$D110,MATCH(AD$5,MTInputs!$J$5:$AZ$5,0))</f>
        <v/>
      </c>
      <c r="AE110" s="24">
        <f>INDEX(MTInputs!$J$1:$AZ$415,$D110,MATCH(AE$5,MTInputs!$J$5:$AZ$5,0))</f>
        <v/>
      </c>
      <c r="AG110" s="11">
        <f>CodePrefix&amp;$A110&amp;IF($C110="","","."&amp;$C110&amp;"."&amp;$B110)&amp;INDEX(VarEnd,MATCH($A110,VarKey,0))&amp;AG$5</f>
        <v/>
      </c>
      <c r="AH110" s="23">
        <f>INDEX(MTInputs!$J$1:$AZ$415,$D110,MATCH(AH$5,MTInputs!$J$5:$AZ$5,0))</f>
        <v/>
      </c>
      <c r="AI110" s="24">
        <f>INDEX(MTInputs!$J$1:$AZ$415,$D110,MATCH(AI$5,MTInputs!$J$5:$AZ$5,0))</f>
        <v/>
      </c>
      <c r="AJ110" s="24">
        <f>INDEX(MTInputs!$J$1:$AZ$415,$D110,MATCH(AJ$5,MTInputs!$J$5:$AZ$5,0))</f>
        <v/>
      </c>
      <c r="AK110" s="24">
        <f>INDEX(MTInputs!$J$1:$AZ$415,$D110,MATCH(AK$5,MTInputs!$J$5:$AZ$5,0))</f>
        <v/>
      </c>
      <c r="AL110" s="24">
        <f>INDEX(MTInputs!$J$1:$AZ$415,$D110,MATCH(AL$5,MTInputs!$J$5:$AZ$5,0))</f>
        <v/>
      </c>
      <c r="AM110" s="24">
        <f>INDEX(MTInputs!$J$1:$AZ$415,$D110,MATCH(AM$5,MTInputs!$J$5:$AZ$5,0))</f>
        <v/>
      </c>
      <c r="AN110" s="24">
        <f>INDEX(MTInputs!$J$1:$AZ$415,$D110,MATCH(AN$5,MTInputs!$J$5:$AZ$5,0))</f>
        <v/>
      </c>
      <c r="AO110" s="24">
        <f>INDEX(MTInputs!$J$1:$AZ$415,$D110,MATCH(AO$5,MTInputs!$J$5:$AZ$5,0))</f>
        <v/>
      </c>
      <c r="AP110" s="24">
        <f>INDEX(MTInputs!$J$1:$AZ$415,$D110,MATCH(AP$5,MTInputs!$J$5:$AZ$5,0))</f>
        <v/>
      </c>
      <c r="AQ110" s="24">
        <f>INDEX(MTInputs!$J$1:$AZ$415,$D110,MATCH(AQ$5,MTInputs!$J$5:$AZ$5,0))</f>
        <v/>
      </c>
      <c r="AR110" s="24">
        <f>INDEX(MTInputs!$J$1:$AZ$415,$D110,MATCH(AR$5,MTInputs!$J$5:$AZ$5,0))</f>
        <v/>
      </c>
      <c r="AS110" s="24">
        <f>INDEX(MTInputs!$J$1:$AZ$415,$D110,MATCH(AS$5,MTInputs!$J$5:$AZ$5,0))</f>
        <v/>
      </c>
      <c r="AT110" s="24">
        <f>INDEX(MTInputs!$J$1:$AZ$415,$D110,MATCH(AT$5,MTInputs!$J$5:$AZ$5,0))</f>
        <v/>
      </c>
      <c r="AU110" s="24">
        <f>INDEX(MTInputs!$J$1:$AZ$415,$D110,MATCH(AU$5,MTInputs!$J$5:$AZ$5,0))</f>
        <v/>
      </c>
      <c r="AV110" s="24">
        <f>INDEX(MTInputs!$J$1:$AZ$415,$D110,MATCH(AV$5,MTInputs!$J$5:$AZ$5,0))</f>
        <v/>
      </c>
      <c r="AW110" s="24">
        <f>INDEX(MTInputs!$J$1:$AZ$415,$D110,MATCH(AW$5,MTInputs!$J$5:$AZ$5,0))</f>
        <v/>
      </c>
      <c r="AX110" s="24">
        <f>INDEX(MTInputs!$J$1:$AZ$415,$D110,MATCH(AX$5,MTInputs!$J$5:$AZ$5,0))</f>
        <v/>
      </c>
      <c r="AY110" s="24">
        <f>INDEX(MTInputs!$J$1:$AZ$415,$D110,MATCH(AY$5,MTInputs!$J$5:$AZ$5,0))</f>
        <v/>
      </c>
      <c r="AZ110" s="24">
        <f>INDEX(MTInputs!$J$1:$AZ$415,$D110,MATCH(AZ$5,MTInputs!$J$5:$AZ$5,0))</f>
        <v/>
      </c>
      <c r="BA110" s="24">
        <f>INDEX(MTInputs!$J$1:$AZ$415,$D110,MATCH(BA$5,MTInputs!$J$5:$AZ$5,0))</f>
        <v/>
      </c>
    </row>
    <row r="111" hidden="1" outlineLevel="1">
      <c r="A111" s="14" t="inlineStr">
        <is>
          <t>etscov</t>
        </is>
      </c>
      <c r="B111" s="14" t="inlineStr">
        <is>
          <t>all</t>
        </is>
      </c>
      <c r="C111" s="14" t="inlineStr">
        <is>
          <t>nav</t>
        </is>
      </c>
      <c r="D111" s="22" t="n">
        <v>103</v>
      </c>
      <c r="H111" s="14">
        <f>INDEX(VarLab,MATCH($A111,VarKey,0))&amp;INDEX(MemLab,MATCH($C111&amp;"|"&amp;$B111,MemKey,0))</f>
        <v/>
      </c>
      <c r="I111" s="14">
        <f>INDEX(VarUnit,MATCH($A111,VarKey,0))</f>
        <v/>
      </c>
      <c r="J111" s="14">
        <f>INDEX(VarSrc,MATCH($A111,VarKey,0))</f>
        <v/>
      </c>
      <c r="K111" s="11">
        <f>CodePrefix&amp;$A111&amp;IF($C111="","","."&amp;$C111&amp;"."&amp;$B111)&amp;INDEX(VarEnd,MATCH($A111,VarKey,0))&amp;K$5</f>
        <v/>
      </c>
      <c r="L111" s="23">
        <f>INDEX(MTInputs!$J$1:$AZ$415,$D111,MATCH(L$5,MTInputs!$J$5:$AZ$5,0))</f>
        <v/>
      </c>
      <c r="M111" s="24">
        <f>INDEX(MTInputs!$J$1:$AZ$415,$D111,MATCH(M$5,MTInputs!$J$5:$AZ$5,0))</f>
        <v/>
      </c>
      <c r="N111" s="24">
        <f>INDEX(MTInputs!$J$1:$AZ$415,$D111,MATCH(N$5,MTInputs!$J$5:$AZ$5,0))</f>
        <v/>
      </c>
      <c r="O111" s="24">
        <f>INDEX(MTInputs!$J$1:$AZ$415,$D111,MATCH(O$5,MTInputs!$J$5:$AZ$5,0))</f>
        <v/>
      </c>
      <c r="P111" s="24">
        <f>INDEX(MTInputs!$J$1:$AZ$415,$D111,MATCH(P$5,MTInputs!$J$5:$AZ$5,0))</f>
        <v/>
      </c>
      <c r="Q111" s="24">
        <f>INDEX(MTInputs!$J$1:$AZ$415,$D111,MATCH(Q$5,MTInputs!$J$5:$AZ$5,0))</f>
        <v/>
      </c>
      <c r="R111" s="24">
        <f>INDEX(MTInputs!$J$1:$AZ$415,$D111,MATCH(R$5,MTInputs!$J$5:$AZ$5,0))</f>
        <v/>
      </c>
      <c r="S111" s="24">
        <f>INDEX(MTInputs!$J$1:$AZ$415,$D111,MATCH(S$5,MTInputs!$J$5:$AZ$5,0))</f>
        <v/>
      </c>
      <c r="T111" s="24">
        <f>INDEX(MTInputs!$J$1:$AZ$415,$D111,MATCH(T$5,MTInputs!$J$5:$AZ$5,0))</f>
        <v/>
      </c>
      <c r="U111" s="24">
        <f>INDEX(MTInputs!$J$1:$AZ$415,$D111,MATCH(U$5,MTInputs!$J$5:$AZ$5,0))</f>
        <v/>
      </c>
      <c r="V111" s="24">
        <f>INDEX(MTInputs!$J$1:$AZ$415,$D111,MATCH(V$5,MTInputs!$J$5:$AZ$5,0))</f>
        <v/>
      </c>
      <c r="W111" s="24">
        <f>INDEX(MTInputs!$J$1:$AZ$415,$D111,MATCH(W$5,MTInputs!$J$5:$AZ$5,0))</f>
        <v/>
      </c>
      <c r="X111" s="24">
        <f>INDEX(MTInputs!$J$1:$AZ$415,$D111,MATCH(X$5,MTInputs!$J$5:$AZ$5,0))</f>
        <v/>
      </c>
      <c r="Y111" s="24">
        <f>INDEX(MTInputs!$J$1:$AZ$415,$D111,MATCH(Y$5,MTInputs!$J$5:$AZ$5,0))</f>
        <v/>
      </c>
      <c r="Z111" s="24">
        <f>INDEX(MTInputs!$J$1:$AZ$415,$D111,MATCH(Z$5,MTInputs!$J$5:$AZ$5,0))</f>
        <v/>
      </c>
      <c r="AA111" s="24">
        <f>INDEX(MTInputs!$J$1:$AZ$415,$D111,MATCH(AA$5,MTInputs!$J$5:$AZ$5,0))</f>
        <v/>
      </c>
      <c r="AB111" s="24">
        <f>INDEX(MTInputs!$J$1:$AZ$415,$D111,MATCH(AB$5,MTInputs!$J$5:$AZ$5,0))</f>
        <v/>
      </c>
      <c r="AC111" s="24">
        <f>INDEX(MTInputs!$J$1:$AZ$415,$D111,MATCH(AC$5,MTInputs!$J$5:$AZ$5,0))</f>
        <v/>
      </c>
      <c r="AD111" s="24">
        <f>INDEX(MTInputs!$J$1:$AZ$415,$D111,MATCH(AD$5,MTInputs!$J$5:$AZ$5,0))</f>
        <v/>
      </c>
      <c r="AE111" s="24">
        <f>INDEX(MTInputs!$J$1:$AZ$415,$D111,MATCH(AE$5,MTInputs!$J$5:$AZ$5,0))</f>
        <v/>
      </c>
      <c r="AG111" s="11">
        <f>CodePrefix&amp;$A111&amp;IF($C111="","","."&amp;$C111&amp;"."&amp;$B111)&amp;INDEX(VarEnd,MATCH($A111,VarKey,0))&amp;AG$5</f>
        <v/>
      </c>
      <c r="AH111" s="23">
        <f>INDEX(MTInputs!$J$1:$AZ$415,$D111,MATCH(AH$5,MTInputs!$J$5:$AZ$5,0))</f>
        <v/>
      </c>
      <c r="AI111" s="24">
        <f>INDEX(MTInputs!$J$1:$AZ$415,$D111,MATCH(AI$5,MTInputs!$J$5:$AZ$5,0))</f>
        <v/>
      </c>
      <c r="AJ111" s="24">
        <f>INDEX(MTInputs!$J$1:$AZ$415,$D111,MATCH(AJ$5,MTInputs!$J$5:$AZ$5,0))</f>
        <v/>
      </c>
      <c r="AK111" s="24">
        <f>INDEX(MTInputs!$J$1:$AZ$415,$D111,MATCH(AK$5,MTInputs!$J$5:$AZ$5,0))</f>
        <v/>
      </c>
      <c r="AL111" s="24">
        <f>INDEX(MTInputs!$J$1:$AZ$415,$D111,MATCH(AL$5,MTInputs!$J$5:$AZ$5,0))</f>
        <v/>
      </c>
      <c r="AM111" s="24">
        <f>INDEX(MTInputs!$J$1:$AZ$415,$D111,MATCH(AM$5,MTInputs!$J$5:$AZ$5,0))</f>
        <v/>
      </c>
      <c r="AN111" s="24">
        <f>INDEX(MTInputs!$J$1:$AZ$415,$D111,MATCH(AN$5,MTInputs!$J$5:$AZ$5,0))</f>
        <v/>
      </c>
      <c r="AO111" s="24">
        <f>INDEX(MTInputs!$J$1:$AZ$415,$D111,MATCH(AO$5,MTInputs!$J$5:$AZ$5,0))</f>
        <v/>
      </c>
      <c r="AP111" s="24">
        <f>INDEX(MTInputs!$J$1:$AZ$415,$D111,MATCH(AP$5,MTInputs!$J$5:$AZ$5,0))</f>
        <v/>
      </c>
      <c r="AQ111" s="24">
        <f>INDEX(MTInputs!$J$1:$AZ$415,$D111,MATCH(AQ$5,MTInputs!$J$5:$AZ$5,0))</f>
        <v/>
      </c>
      <c r="AR111" s="24">
        <f>INDEX(MTInputs!$J$1:$AZ$415,$D111,MATCH(AR$5,MTInputs!$J$5:$AZ$5,0))</f>
        <v/>
      </c>
      <c r="AS111" s="24">
        <f>INDEX(MTInputs!$J$1:$AZ$415,$D111,MATCH(AS$5,MTInputs!$J$5:$AZ$5,0))</f>
        <v/>
      </c>
      <c r="AT111" s="24">
        <f>INDEX(MTInputs!$J$1:$AZ$415,$D111,MATCH(AT$5,MTInputs!$J$5:$AZ$5,0))</f>
        <v/>
      </c>
      <c r="AU111" s="24">
        <f>INDEX(MTInputs!$J$1:$AZ$415,$D111,MATCH(AU$5,MTInputs!$J$5:$AZ$5,0))</f>
        <v/>
      </c>
      <c r="AV111" s="24">
        <f>INDEX(MTInputs!$J$1:$AZ$415,$D111,MATCH(AV$5,MTInputs!$J$5:$AZ$5,0))</f>
        <v/>
      </c>
      <c r="AW111" s="24">
        <f>INDEX(MTInputs!$J$1:$AZ$415,$D111,MATCH(AW$5,MTInputs!$J$5:$AZ$5,0))</f>
        <v/>
      </c>
      <c r="AX111" s="24">
        <f>INDEX(MTInputs!$J$1:$AZ$415,$D111,MATCH(AX$5,MTInputs!$J$5:$AZ$5,0))</f>
        <v/>
      </c>
      <c r="AY111" s="24">
        <f>INDEX(MTInputs!$J$1:$AZ$415,$D111,MATCH(AY$5,MTInputs!$J$5:$AZ$5,0))</f>
        <v/>
      </c>
      <c r="AZ111" s="24">
        <f>INDEX(MTInputs!$J$1:$AZ$415,$D111,MATCH(AZ$5,MTInputs!$J$5:$AZ$5,0))</f>
        <v/>
      </c>
      <c r="BA111" s="24">
        <f>INDEX(MTInputs!$J$1:$AZ$415,$D111,MATCH(BA$5,MTInputs!$J$5:$AZ$5,0))</f>
        <v/>
      </c>
    </row>
    <row r="112" hidden="1" outlineLevel="1">
      <c r="A112" s="14" t="inlineStr">
        <is>
          <t>etscov</t>
        </is>
      </c>
      <c r="B112" s="14" t="inlineStr">
        <is>
          <t>all</t>
        </is>
      </c>
      <c r="C112" s="14" t="inlineStr">
        <is>
          <t>res</t>
        </is>
      </c>
      <c r="D112" s="22" t="n">
        <v>104</v>
      </c>
      <c r="H112" s="14">
        <f>INDEX(VarLab,MATCH($A112,VarKey,0))&amp;INDEX(MemLab,MATCH($C112&amp;"|"&amp;$B112,MemKey,0))</f>
        <v/>
      </c>
      <c r="I112" s="14">
        <f>INDEX(VarUnit,MATCH($A112,VarKey,0))</f>
        <v/>
      </c>
      <c r="J112" s="14">
        <f>INDEX(VarSrc,MATCH($A112,VarKey,0))</f>
        <v/>
      </c>
      <c r="K112" s="11">
        <f>CodePrefix&amp;$A112&amp;IF($C112="","","."&amp;$C112&amp;"."&amp;$B112)&amp;INDEX(VarEnd,MATCH($A112,VarKey,0))&amp;K$5</f>
        <v/>
      </c>
      <c r="L112" s="23">
        <f>INDEX(MTInputs!$J$1:$AZ$415,$D112,MATCH(L$5,MTInputs!$J$5:$AZ$5,0))</f>
        <v/>
      </c>
      <c r="M112" s="24">
        <f>INDEX(MTInputs!$J$1:$AZ$415,$D112,MATCH(M$5,MTInputs!$J$5:$AZ$5,0))</f>
        <v/>
      </c>
      <c r="N112" s="24">
        <f>INDEX(MTInputs!$J$1:$AZ$415,$D112,MATCH(N$5,MTInputs!$J$5:$AZ$5,0))</f>
        <v/>
      </c>
      <c r="O112" s="24">
        <f>INDEX(MTInputs!$J$1:$AZ$415,$D112,MATCH(O$5,MTInputs!$J$5:$AZ$5,0))</f>
        <v/>
      </c>
      <c r="P112" s="24">
        <f>INDEX(MTInputs!$J$1:$AZ$415,$D112,MATCH(P$5,MTInputs!$J$5:$AZ$5,0))</f>
        <v/>
      </c>
      <c r="Q112" s="24">
        <f>INDEX(MTInputs!$J$1:$AZ$415,$D112,MATCH(Q$5,MTInputs!$J$5:$AZ$5,0))</f>
        <v/>
      </c>
      <c r="R112" s="24">
        <f>INDEX(MTInputs!$J$1:$AZ$415,$D112,MATCH(R$5,MTInputs!$J$5:$AZ$5,0))</f>
        <v/>
      </c>
      <c r="S112" s="24">
        <f>INDEX(MTInputs!$J$1:$AZ$415,$D112,MATCH(S$5,MTInputs!$J$5:$AZ$5,0))</f>
        <v/>
      </c>
      <c r="T112" s="24">
        <f>INDEX(MTInputs!$J$1:$AZ$415,$D112,MATCH(T$5,MTInputs!$J$5:$AZ$5,0))</f>
        <v/>
      </c>
      <c r="U112" s="24">
        <f>INDEX(MTInputs!$J$1:$AZ$415,$D112,MATCH(U$5,MTInputs!$J$5:$AZ$5,0))</f>
        <v/>
      </c>
      <c r="V112" s="24">
        <f>INDEX(MTInputs!$J$1:$AZ$415,$D112,MATCH(V$5,MTInputs!$J$5:$AZ$5,0))</f>
        <v/>
      </c>
      <c r="W112" s="24">
        <f>INDEX(MTInputs!$J$1:$AZ$415,$D112,MATCH(W$5,MTInputs!$J$5:$AZ$5,0))</f>
        <v/>
      </c>
      <c r="X112" s="24">
        <f>INDEX(MTInputs!$J$1:$AZ$415,$D112,MATCH(X$5,MTInputs!$J$5:$AZ$5,0))</f>
        <v/>
      </c>
      <c r="Y112" s="24">
        <f>INDEX(MTInputs!$J$1:$AZ$415,$D112,MATCH(Y$5,MTInputs!$J$5:$AZ$5,0))</f>
        <v/>
      </c>
      <c r="Z112" s="24">
        <f>INDEX(MTInputs!$J$1:$AZ$415,$D112,MATCH(Z$5,MTInputs!$J$5:$AZ$5,0))</f>
        <v/>
      </c>
      <c r="AA112" s="24">
        <f>INDEX(MTInputs!$J$1:$AZ$415,$D112,MATCH(AA$5,MTInputs!$J$5:$AZ$5,0))</f>
        <v/>
      </c>
      <c r="AB112" s="24">
        <f>INDEX(MTInputs!$J$1:$AZ$415,$D112,MATCH(AB$5,MTInputs!$J$5:$AZ$5,0))</f>
        <v/>
      </c>
      <c r="AC112" s="24">
        <f>INDEX(MTInputs!$J$1:$AZ$415,$D112,MATCH(AC$5,MTInputs!$J$5:$AZ$5,0))</f>
        <v/>
      </c>
      <c r="AD112" s="24">
        <f>INDEX(MTInputs!$J$1:$AZ$415,$D112,MATCH(AD$5,MTInputs!$J$5:$AZ$5,0))</f>
        <v/>
      </c>
      <c r="AE112" s="24">
        <f>INDEX(MTInputs!$J$1:$AZ$415,$D112,MATCH(AE$5,MTInputs!$J$5:$AZ$5,0))</f>
        <v/>
      </c>
      <c r="AG112" s="11">
        <f>CodePrefix&amp;$A112&amp;IF($C112="","","."&amp;$C112&amp;"."&amp;$B112)&amp;INDEX(VarEnd,MATCH($A112,VarKey,0))&amp;AG$5</f>
        <v/>
      </c>
      <c r="AH112" s="23">
        <f>INDEX(MTInputs!$J$1:$AZ$415,$D112,MATCH(AH$5,MTInputs!$J$5:$AZ$5,0))</f>
        <v/>
      </c>
      <c r="AI112" s="24">
        <f>INDEX(MTInputs!$J$1:$AZ$415,$D112,MATCH(AI$5,MTInputs!$J$5:$AZ$5,0))</f>
        <v/>
      </c>
      <c r="AJ112" s="24">
        <f>INDEX(MTInputs!$J$1:$AZ$415,$D112,MATCH(AJ$5,MTInputs!$J$5:$AZ$5,0))</f>
        <v/>
      </c>
      <c r="AK112" s="24">
        <f>INDEX(MTInputs!$J$1:$AZ$415,$D112,MATCH(AK$5,MTInputs!$J$5:$AZ$5,0))</f>
        <v/>
      </c>
      <c r="AL112" s="24">
        <f>INDEX(MTInputs!$J$1:$AZ$415,$D112,MATCH(AL$5,MTInputs!$J$5:$AZ$5,0))</f>
        <v/>
      </c>
      <c r="AM112" s="24">
        <f>INDEX(MTInputs!$J$1:$AZ$415,$D112,MATCH(AM$5,MTInputs!$J$5:$AZ$5,0))</f>
        <v/>
      </c>
      <c r="AN112" s="24">
        <f>INDEX(MTInputs!$J$1:$AZ$415,$D112,MATCH(AN$5,MTInputs!$J$5:$AZ$5,0))</f>
        <v/>
      </c>
      <c r="AO112" s="24">
        <f>INDEX(MTInputs!$J$1:$AZ$415,$D112,MATCH(AO$5,MTInputs!$J$5:$AZ$5,0))</f>
        <v/>
      </c>
      <c r="AP112" s="24">
        <f>INDEX(MTInputs!$J$1:$AZ$415,$D112,MATCH(AP$5,MTInputs!$J$5:$AZ$5,0))</f>
        <v/>
      </c>
      <c r="AQ112" s="24">
        <f>INDEX(MTInputs!$J$1:$AZ$415,$D112,MATCH(AQ$5,MTInputs!$J$5:$AZ$5,0))</f>
        <v/>
      </c>
      <c r="AR112" s="24">
        <f>INDEX(MTInputs!$J$1:$AZ$415,$D112,MATCH(AR$5,MTInputs!$J$5:$AZ$5,0))</f>
        <v/>
      </c>
      <c r="AS112" s="24">
        <f>INDEX(MTInputs!$J$1:$AZ$415,$D112,MATCH(AS$5,MTInputs!$J$5:$AZ$5,0))</f>
        <v/>
      </c>
      <c r="AT112" s="24">
        <f>INDEX(MTInputs!$J$1:$AZ$415,$D112,MATCH(AT$5,MTInputs!$J$5:$AZ$5,0))</f>
        <v/>
      </c>
      <c r="AU112" s="24">
        <f>INDEX(MTInputs!$J$1:$AZ$415,$D112,MATCH(AU$5,MTInputs!$J$5:$AZ$5,0))</f>
        <v/>
      </c>
      <c r="AV112" s="24">
        <f>INDEX(MTInputs!$J$1:$AZ$415,$D112,MATCH(AV$5,MTInputs!$J$5:$AZ$5,0))</f>
        <v/>
      </c>
      <c r="AW112" s="24">
        <f>INDEX(MTInputs!$J$1:$AZ$415,$D112,MATCH(AW$5,MTInputs!$J$5:$AZ$5,0))</f>
        <v/>
      </c>
      <c r="AX112" s="24">
        <f>INDEX(MTInputs!$J$1:$AZ$415,$D112,MATCH(AX$5,MTInputs!$J$5:$AZ$5,0))</f>
        <v/>
      </c>
      <c r="AY112" s="24">
        <f>INDEX(MTInputs!$J$1:$AZ$415,$D112,MATCH(AY$5,MTInputs!$J$5:$AZ$5,0))</f>
        <v/>
      </c>
      <c r="AZ112" s="24">
        <f>INDEX(MTInputs!$J$1:$AZ$415,$D112,MATCH(AZ$5,MTInputs!$J$5:$AZ$5,0))</f>
        <v/>
      </c>
      <c r="BA112" s="24">
        <f>INDEX(MTInputs!$J$1:$AZ$415,$D112,MATCH(BA$5,MTInputs!$J$5:$AZ$5,0))</f>
        <v/>
      </c>
    </row>
    <row r="113" hidden="1" outlineLevel="1">
      <c r="A113" s="14" t="inlineStr">
        <is>
          <t>etscov</t>
        </is>
      </c>
      <c r="B113" s="14" t="inlineStr">
        <is>
          <t>all</t>
        </is>
      </c>
      <c r="C113" s="14" t="inlineStr">
        <is>
          <t>foo</t>
        </is>
      </c>
      <c r="D113" s="22" t="n">
        <v>105</v>
      </c>
      <c r="H113" s="14">
        <f>INDEX(VarLab,MATCH($A113,VarKey,0))&amp;INDEX(MemLab,MATCH($C113&amp;"|"&amp;$B113,MemKey,0))</f>
        <v/>
      </c>
      <c r="I113" s="14">
        <f>INDEX(VarUnit,MATCH($A113,VarKey,0))</f>
        <v/>
      </c>
      <c r="J113" s="14">
        <f>INDEX(VarSrc,MATCH($A113,VarKey,0))</f>
        <v/>
      </c>
      <c r="K113" s="11">
        <f>CodePrefix&amp;$A113&amp;IF($C113="","","."&amp;$C113&amp;"."&amp;$B113)&amp;INDEX(VarEnd,MATCH($A113,VarKey,0))&amp;K$5</f>
        <v/>
      </c>
      <c r="L113" s="23">
        <f>INDEX(MTInputs!$J$1:$AZ$415,$D113,MATCH(L$5,MTInputs!$J$5:$AZ$5,0))</f>
        <v/>
      </c>
      <c r="M113" s="24">
        <f>INDEX(MTInputs!$J$1:$AZ$415,$D113,MATCH(M$5,MTInputs!$J$5:$AZ$5,0))</f>
        <v/>
      </c>
      <c r="N113" s="24">
        <f>INDEX(MTInputs!$J$1:$AZ$415,$D113,MATCH(N$5,MTInputs!$J$5:$AZ$5,0))</f>
        <v/>
      </c>
      <c r="O113" s="24">
        <f>INDEX(MTInputs!$J$1:$AZ$415,$D113,MATCH(O$5,MTInputs!$J$5:$AZ$5,0))</f>
        <v/>
      </c>
      <c r="P113" s="24">
        <f>INDEX(MTInputs!$J$1:$AZ$415,$D113,MATCH(P$5,MTInputs!$J$5:$AZ$5,0))</f>
        <v/>
      </c>
      <c r="Q113" s="24">
        <f>INDEX(MTInputs!$J$1:$AZ$415,$D113,MATCH(Q$5,MTInputs!$J$5:$AZ$5,0))</f>
        <v/>
      </c>
      <c r="R113" s="24">
        <f>INDEX(MTInputs!$J$1:$AZ$415,$D113,MATCH(R$5,MTInputs!$J$5:$AZ$5,0))</f>
        <v/>
      </c>
      <c r="S113" s="24">
        <f>INDEX(MTInputs!$J$1:$AZ$415,$D113,MATCH(S$5,MTInputs!$J$5:$AZ$5,0))</f>
        <v/>
      </c>
      <c r="T113" s="24">
        <f>INDEX(MTInputs!$J$1:$AZ$415,$D113,MATCH(T$5,MTInputs!$J$5:$AZ$5,0))</f>
        <v/>
      </c>
      <c r="U113" s="24">
        <f>INDEX(MTInputs!$J$1:$AZ$415,$D113,MATCH(U$5,MTInputs!$J$5:$AZ$5,0))</f>
        <v/>
      </c>
      <c r="V113" s="24">
        <f>INDEX(MTInputs!$J$1:$AZ$415,$D113,MATCH(V$5,MTInputs!$J$5:$AZ$5,0))</f>
        <v/>
      </c>
      <c r="W113" s="24">
        <f>INDEX(MTInputs!$J$1:$AZ$415,$D113,MATCH(W$5,MTInputs!$J$5:$AZ$5,0))</f>
        <v/>
      </c>
      <c r="X113" s="24">
        <f>INDEX(MTInputs!$J$1:$AZ$415,$D113,MATCH(X$5,MTInputs!$J$5:$AZ$5,0))</f>
        <v/>
      </c>
      <c r="Y113" s="24">
        <f>INDEX(MTInputs!$J$1:$AZ$415,$D113,MATCH(Y$5,MTInputs!$J$5:$AZ$5,0))</f>
        <v/>
      </c>
      <c r="Z113" s="24">
        <f>INDEX(MTInputs!$J$1:$AZ$415,$D113,MATCH(Z$5,MTInputs!$J$5:$AZ$5,0))</f>
        <v/>
      </c>
      <c r="AA113" s="24">
        <f>INDEX(MTInputs!$J$1:$AZ$415,$D113,MATCH(AA$5,MTInputs!$J$5:$AZ$5,0))</f>
        <v/>
      </c>
      <c r="AB113" s="24">
        <f>INDEX(MTInputs!$J$1:$AZ$415,$D113,MATCH(AB$5,MTInputs!$J$5:$AZ$5,0))</f>
        <v/>
      </c>
      <c r="AC113" s="24">
        <f>INDEX(MTInputs!$J$1:$AZ$415,$D113,MATCH(AC$5,MTInputs!$J$5:$AZ$5,0))</f>
        <v/>
      </c>
      <c r="AD113" s="24">
        <f>INDEX(MTInputs!$J$1:$AZ$415,$D113,MATCH(AD$5,MTInputs!$J$5:$AZ$5,0))</f>
        <v/>
      </c>
      <c r="AE113" s="24">
        <f>INDEX(MTInputs!$J$1:$AZ$415,$D113,MATCH(AE$5,MTInputs!$J$5:$AZ$5,0))</f>
        <v/>
      </c>
      <c r="AG113" s="11">
        <f>CodePrefix&amp;$A113&amp;IF($C113="","","."&amp;$C113&amp;"."&amp;$B113)&amp;INDEX(VarEnd,MATCH($A113,VarKey,0))&amp;AG$5</f>
        <v/>
      </c>
      <c r="AH113" s="23">
        <f>INDEX(MTInputs!$J$1:$AZ$415,$D113,MATCH(AH$5,MTInputs!$J$5:$AZ$5,0))</f>
        <v/>
      </c>
      <c r="AI113" s="24">
        <f>INDEX(MTInputs!$J$1:$AZ$415,$D113,MATCH(AI$5,MTInputs!$J$5:$AZ$5,0))</f>
        <v/>
      </c>
      <c r="AJ113" s="24">
        <f>INDEX(MTInputs!$J$1:$AZ$415,$D113,MATCH(AJ$5,MTInputs!$J$5:$AZ$5,0))</f>
        <v/>
      </c>
      <c r="AK113" s="24">
        <f>INDEX(MTInputs!$J$1:$AZ$415,$D113,MATCH(AK$5,MTInputs!$J$5:$AZ$5,0))</f>
        <v/>
      </c>
      <c r="AL113" s="24">
        <f>INDEX(MTInputs!$J$1:$AZ$415,$D113,MATCH(AL$5,MTInputs!$J$5:$AZ$5,0))</f>
        <v/>
      </c>
      <c r="AM113" s="24">
        <f>INDEX(MTInputs!$J$1:$AZ$415,$D113,MATCH(AM$5,MTInputs!$J$5:$AZ$5,0))</f>
        <v/>
      </c>
      <c r="AN113" s="24">
        <f>INDEX(MTInputs!$J$1:$AZ$415,$D113,MATCH(AN$5,MTInputs!$J$5:$AZ$5,0))</f>
        <v/>
      </c>
      <c r="AO113" s="24">
        <f>INDEX(MTInputs!$J$1:$AZ$415,$D113,MATCH(AO$5,MTInputs!$J$5:$AZ$5,0))</f>
        <v/>
      </c>
      <c r="AP113" s="24">
        <f>INDEX(MTInputs!$J$1:$AZ$415,$D113,MATCH(AP$5,MTInputs!$J$5:$AZ$5,0))</f>
        <v/>
      </c>
      <c r="AQ113" s="24">
        <f>INDEX(MTInputs!$J$1:$AZ$415,$D113,MATCH(AQ$5,MTInputs!$J$5:$AZ$5,0))</f>
        <v/>
      </c>
      <c r="AR113" s="24">
        <f>INDEX(MTInputs!$J$1:$AZ$415,$D113,MATCH(AR$5,MTInputs!$J$5:$AZ$5,0))</f>
        <v/>
      </c>
      <c r="AS113" s="24">
        <f>INDEX(MTInputs!$J$1:$AZ$415,$D113,MATCH(AS$5,MTInputs!$J$5:$AZ$5,0))</f>
        <v/>
      </c>
      <c r="AT113" s="24">
        <f>INDEX(MTInputs!$J$1:$AZ$415,$D113,MATCH(AT$5,MTInputs!$J$5:$AZ$5,0))</f>
        <v/>
      </c>
      <c r="AU113" s="24">
        <f>INDEX(MTInputs!$J$1:$AZ$415,$D113,MATCH(AU$5,MTInputs!$J$5:$AZ$5,0))</f>
        <v/>
      </c>
      <c r="AV113" s="24">
        <f>INDEX(MTInputs!$J$1:$AZ$415,$D113,MATCH(AV$5,MTInputs!$J$5:$AZ$5,0))</f>
        <v/>
      </c>
      <c r="AW113" s="24">
        <f>INDEX(MTInputs!$J$1:$AZ$415,$D113,MATCH(AW$5,MTInputs!$J$5:$AZ$5,0))</f>
        <v/>
      </c>
      <c r="AX113" s="24">
        <f>INDEX(MTInputs!$J$1:$AZ$415,$D113,MATCH(AX$5,MTInputs!$J$5:$AZ$5,0))</f>
        <v/>
      </c>
      <c r="AY113" s="24">
        <f>INDEX(MTInputs!$J$1:$AZ$415,$D113,MATCH(AY$5,MTInputs!$J$5:$AZ$5,0))</f>
        <v/>
      </c>
      <c r="AZ113" s="24">
        <f>INDEX(MTInputs!$J$1:$AZ$415,$D113,MATCH(AZ$5,MTInputs!$J$5:$AZ$5,0))</f>
        <v/>
      </c>
      <c r="BA113" s="24">
        <f>INDEX(MTInputs!$J$1:$AZ$415,$D113,MATCH(BA$5,MTInputs!$J$5:$AZ$5,0))</f>
        <v/>
      </c>
    </row>
    <row r="114" hidden="1" outlineLevel="1">
      <c r="A114" s="14" t="inlineStr">
        <is>
          <t>etscov</t>
        </is>
      </c>
      <c r="B114" s="14" t="inlineStr">
        <is>
          <t>all</t>
        </is>
      </c>
      <c r="C114" s="14" t="inlineStr">
        <is>
          <t>srv</t>
        </is>
      </c>
      <c r="D114" s="22" t="n">
        <v>106</v>
      </c>
      <c r="H114" s="14">
        <f>INDEX(VarLab,MATCH($A114,VarKey,0))&amp;INDEX(MemLab,MATCH($C114&amp;"|"&amp;$B114,MemKey,0))</f>
        <v/>
      </c>
      <c r="I114" s="14">
        <f>INDEX(VarUnit,MATCH($A114,VarKey,0))</f>
        <v/>
      </c>
      <c r="J114" s="14">
        <f>INDEX(VarSrc,MATCH($A114,VarKey,0))</f>
        <v/>
      </c>
      <c r="K114" s="11">
        <f>CodePrefix&amp;$A114&amp;IF($C114="","","."&amp;$C114&amp;"."&amp;$B114)&amp;INDEX(VarEnd,MATCH($A114,VarKey,0))&amp;K$5</f>
        <v/>
      </c>
      <c r="L114" s="23">
        <f>INDEX(MTInputs!$J$1:$AZ$415,$D114,MATCH(L$5,MTInputs!$J$5:$AZ$5,0))</f>
        <v/>
      </c>
      <c r="M114" s="24">
        <f>INDEX(MTInputs!$J$1:$AZ$415,$D114,MATCH(M$5,MTInputs!$J$5:$AZ$5,0))</f>
        <v/>
      </c>
      <c r="N114" s="24">
        <f>INDEX(MTInputs!$J$1:$AZ$415,$D114,MATCH(N$5,MTInputs!$J$5:$AZ$5,0))</f>
        <v/>
      </c>
      <c r="O114" s="24">
        <f>INDEX(MTInputs!$J$1:$AZ$415,$D114,MATCH(O$5,MTInputs!$J$5:$AZ$5,0))</f>
        <v/>
      </c>
      <c r="P114" s="24">
        <f>INDEX(MTInputs!$J$1:$AZ$415,$D114,MATCH(P$5,MTInputs!$J$5:$AZ$5,0))</f>
        <v/>
      </c>
      <c r="Q114" s="24">
        <f>INDEX(MTInputs!$J$1:$AZ$415,$D114,MATCH(Q$5,MTInputs!$J$5:$AZ$5,0))</f>
        <v/>
      </c>
      <c r="R114" s="24">
        <f>INDEX(MTInputs!$J$1:$AZ$415,$D114,MATCH(R$5,MTInputs!$J$5:$AZ$5,0))</f>
        <v/>
      </c>
      <c r="S114" s="24">
        <f>INDEX(MTInputs!$J$1:$AZ$415,$D114,MATCH(S$5,MTInputs!$J$5:$AZ$5,0))</f>
        <v/>
      </c>
      <c r="T114" s="24">
        <f>INDEX(MTInputs!$J$1:$AZ$415,$D114,MATCH(T$5,MTInputs!$J$5:$AZ$5,0))</f>
        <v/>
      </c>
      <c r="U114" s="24">
        <f>INDEX(MTInputs!$J$1:$AZ$415,$D114,MATCH(U$5,MTInputs!$J$5:$AZ$5,0))</f>
        <v/>
      </c>
      <c r="V114" s="24">
        <f>INDEX(MTInputs!$J$1:$AZ$415,$D114,MATCH(V$5,MTInputs!$J$5:$AZ$5,0))</f>
        <v/>
      </c>
      <c r="W114" s="24">
        <f>INDEX(MTInputs!$J$1:$AZ$415,$D114,MATCH(W$5,MTInputs!$J$5:$AZ$5,0))</f>
        <v/>
      </c>
      <c r="X114" s="24">
        <f>INDEX(MTInputs!$J$1:$AZ$415,$D114,MATCH(X$5,MTInputs!$J$5:$AZ$5,0))</f>
        <v/>
      </c>
      <c r="Y114" s="24">
        <f>INDEX(MTInputs!$J$1:$AZ$415,$D114,MATCH(Y$5,MTInputs!$J$5:$AZ$5,0))</f>
        <v/>
      </c>
      <c r="Z114" s="24">
        <f>INDEX(MTInputs!$J$1:$AZ$415,$D114,MATCH(Z$5,MTInputs!$J$5:$AZ$5,0))</f>
        <v/>
      </c>
      <c r="AA114" s="24">
        <f>INDEX(MTInputs!$J$1:$AZ$415,$D114,MATCH(AA$5,MTInputs!$J$5:$AZ$5,0))</f>
        <v/>
      </c>
      <c r="AB114" s="24">
        <f>INDEX(MTInputs!$J$1:$AZ$415,$D114,MATCH(AB$5,MTInputs!$J$5:$AZ$5,0))</f>
        <v/>
      </c>
      <c r="AC114" s="24">
        <f>INDEX(MTInputs!$J$1:$AZ$415,$D114,MATCH(AC$5,MTInputs!$J$5:$AZ$5,0))</f>
        <v/>
      </c>
      <c r="AD114" s="24">
        <f>INDEX(MTInputs!$J$1:$AZ$415,$D114,MATCH(AD$5,MTInputs!$J$5:$AZ$5,0))</f>
        <v/>
      </c>
      <c r="AE114" s="24">
        <f>INDEX(MTInputs!$J$1:$AZ$415,$D114,MATCH(AE$5,MTInputs!$J$5:$AZ$5,0))</f>
        <v/>
      </c>
      <c r="AG114" s="11">
        <f>CodePrefix&amp;$A114&amp;IF($C114="","","."&amp;$C114&amp;"."&amp;$B114)&amp;INDEX(VarEnd,MATCH($A114,VarKey,0))&amp;AG$5</f>
        <v/>
      </c>
      <c r="AH114" s="23">
        <f>INDEX(MTInputs!$J$1:$AZ$415,$D114,MATCH(AH$5,MTInputs!$J$5:$AZ$5,0))</f>
        <v/>
      </c>
      <c r="AI114" s="24">
        <f>INDEX(MTInputs!$J$1:$AZ$415,$D114,MATCH(AI$5,MTInputs!$J$5:$AZ$5,0))</f>
        <v/>
      </c>
      <c r="AJ114" s="24">
        <f>INDEX(MTInputs!$J$1:$AZ$415,$D114,MATCH(AJ$5,MTInputs!$J$5:$AZ$5,0))</f>
        <v/>
      </c>
      <c r="AK114" s="24">
        <f>INDEX(MTInputs!$J$1:$AZ$415,$D114,MATCH(AK$5,MTInputs!$J$5:$AZ$5,0))</f>
        <v/>
      </c>
      <c r="AL114" s="24">
        <f>INDEX(MTInputs!$J$1:$AZ$415,$D114,MATCH(AL$5,MTInputs!$J$5:$AZ$5,0))</f>
        <v/>
      </c>
      <c r="AM114" s="24">
        <f>INDEX(MTInputs!$J$1:$AZ$415,$D114,MATCH(AM$5,MTInputs!$J$5:$AZ$5,0))</f>
        <v/>
      </c>
      <c r="AN114" s="24">
        <f>INDEX(MTInputs!$J$1:$AZ$415,$D114,MATCH(AN$5,MTInputs!$J$5:$AZ$5,0))</f>
        <v/>
      </c>
      <c r="AO114" s="24">
        <f>INDEX(MTInputs!$J$1:$AZ$415,$D114,MATCH(AO$5,MTInputs!$J$5:$AZ$5,0))</f>
        <v/>
      </c>
      <c r="AP114" s="24">
        <f>INDEX(MTInputs!$J$1:$AZ$415,$D114,MATCH(AP$5,MTInputs!$J$5:$AZ$5,0))</f>
        <v/>
      </c>
      <c r="AQ114" s="24">
        <f>INDEX(MTInputs!$J$1:$AZ$415,$D114,MATCH(AQ$5,MTInputs!$J$5:$AZ$5,0))</f>
        <v/>
      </c>
      <c r="AR114" s="24">
        <f>INDEX(MTInputs!$J$1:$AZ$415,$D114,MATCH(AR$5,MTInputs!$J$5:$AZ$5,0))</f>
        <v/>
      </c>
      <c r="AS114" s="24">
        <f>INDEX(MTInputs!$J$1:$AZ$415,$D114,MATCH(AS$5,MTInputs!$J$5:$AZ$5,0))</f>
        <v/>
      </c>
      <c r="AT114" s="24">
        <f>INDEX(MTInputs!$J$1:$AZ$415,$D114,MATCH(AT$5,MTInputs!$J$5:$AZ$5,0))</f>
        <v/>
      </c>
      <c r="AU114" s="24">
        <f>INDEX(MTInputs!$J$1:$AZ$415,$D114,MATCH(AU$5,MTInputs!$J$5:$AZ$5,0))</f>
        <v/>
      </c>
      <c r="AV114" s="24">
        <f>INDEX(MTInputs!$J$1:$AZ$415,$D114,MATCH(AV$5,MTInputs!$J$5:$AZ$5,0))</f>
        <v/>
      </c>
      <c r="AW114" s="24">
        <f>INDEX(MTInputs!$J$1:$AZ$415,$D114,MATCH(AW$5,MTInputs!$J$5:$AZ$5,0))</f>
        <v/>
      </c>
      <c r="AX114" s="24">
        <f>INDEX(MTInputs!$J$1:$AZ$415,$D114,MATCH(AX$5,MTInputs!$J$5:$AZ$5,0))</f>
        <v/>
      </c>
      <c r="AY114" s="24">
        <f>INDEX(MTInputs!$J$1:$AZ$415,$D114,MATCH(AY$5,MTInputs!$J$5:$AZ$5,0))</f>
        <v/>
      </c>
      <c r="AZ114" s="24">
        <f>INDEX(MTInputs!$J$1:$AZ$415,$D114,MATCH(AZ$5,MTInputs!$J$5:$AZ$5,0))</f>
        <v/>
      </c>
      <c r="BA114" s="24">
        <f>INDEX(MTInputs!$J$1:$AZ$415,$D114,MATCH(BA$5,MTInputs!$J$5:$AZ$5,0))</f>
        <v/>
      </c>
    </row>
    <row r="115" hidden="1" outlineLevel="1">
      <c r="A115" s="14" t="inlineStr">
        <is>
          <t>etscov</t>
        </is>
      </c>
      <c r="B115" s="14" t="inlineStr">
        <is>
          <t>all</t>
        </is>
      </c>
      <c r="C115" s="14" t="inlineStr">
        <is>
          <t>mch</t>
        </is>
      </c>
      <c r="D115" s="22" t="n">
        <v>107</v>
      </c>
      <c r="H115" s="14">
        <f>INDEX(VarLab,MATCH($A115,VarKey,0))&amp;INDEX(MemLab,MATCH($C115&amp;"|"&amp;$B115,MemKey,0))</f>
        <v/>
      </c>
      <c r="I115" s="14">
        <f>INDEX(VarUnit,MATCH($A115,VarKey,0))</f>
        <v/>
      </c>
      <c r="J115" s="14">
        <f>INDEX(VarSrc,MATCH($A115,VarKey,0))</f>
        <v/>
      </c>
      <c r="K115" s="11">
        <f>CodePrefix&amp;$A115&amp;IF($C115="","","."&amp;$C115&amp;"."&amp;$B115)&amp;INDEX(VarEnd,MATCH($A115,VarKey,0))&amp;K$5</f>
        <v/>
      </c>
      <c r="L115" s="23">
        <f>INDEX(MTInputs!$J$1:$AZ$415,$D115,MATCH(L$5,MTInputs!$J$5:$AZ$5,0))</f>
        <v/>
      </c>
      <c r="M115" s="24">
        <f>INDEX(MTInputs!$J$1:$AZ$415,$D115,MATCH(M$5,MTInputs!$J$5:$AZ$5,0))</f>
        <v/>
      </c>
      <c r="N115" s="24">
        <f>INDEX(MTInputs!$J$1:$AZ$415,$D115,MATCH(N$5,MTInputs!$J$5:$AZ$5,0))</f>
        <v/>
      </c>
      <c r="O115" s="24">
        <f>INDEX(MTInputs!$J$1:$AZ$415,$D115,MATCH(O$5,MTInputs!$J$5:$AZ$5,0))</f>
        <v/>
      </c>
      <c r="P115" s="24">
        <f>INDEX(MTInputs!$J$1:$AZ$415,$D115,MATCH(P$5,MTInputs!$J$5:$AZ$5,0))</f>
        <v/>
      </c>
      <c r="Q115" s="24">
        <f>INDEX(MTInputs!$J$1:$AZ$415,$D115,MATCH(Q$5,MTInputs!$J$5:$AZ$5,0))</f>
        <v/>
      </c>
      <c r="R115" s="24">
        <f>INDEX(MTInputs!$J$1:$AZ$415,$D115,MATCH(R$5,MTInputs!$J$5:$AZ$5,0))</f>
        <v/>
      </c>
      <c r="S115" s="24">
        <f>INDEX(MTInputs!$J$1:$AZ$415,$D115,MATCH(S$5,MTInputs!$J$5:$AZ$5,0))</f>
        <v/>
      </c>
      <c r="T115" s="24">
        <f>INDEX(MTInputs!$J$1:$AZ$415,$D115,MATCH(T$5,MTInputs!$J$5:$AZ$5,0))</f>
        <v/>
      </c>
      <c r="U115" s="24">
        <f>INDEX(MTInputs!$J$1:$AZ$415,$D115,MATCH(U$5,MTInputs!$J$5:$AZ$5,0))</f>
        <v/>
      </c>
      <c r="V115" s="24">
        <f>INDEX(MTInputs!$J$1:$AZ$415,$D115,MATCH(V$5,MTInputs!$J$5:$AZ$5,0))</f>
        <v/>
      </c>
      <c r="W115" s="24">
        <f>INDEX(MTInputs!$J$1:$AZ$415,$D115,MATCH(W$5,MTInputs!$J$5:$AZ$5,0))</f>
        <v/>
      </c>
      <c r="X115" s="24">
        <f>INDEX(MTInputs!$J$1:$AZ$415,$D115,MATCH(X$5,MTInputs!$J$5:$AZ$5,0))</f>
        <v/>
      </c>
      <c r="Y115" s="24">
        <f>INDEX(MTInputs!$J$1:$AZ$415,$D115,MATCH(Y$5,MTInputs!$J$5:$AZ$5,0))</f>
        <v/>
      </c>
      <c r="Z115" s="24">
        <f>INDEX(MTInputs!$J$1:$AZ$415,$D115,MATCH(Z$5,MTInputs!$J$5:$AZ$5,0))</f>
        <v/>
      </c>
      <c r="AA115" s="24">
        <f>INDEX(MTInputs!$J$1:$AZ$415,$D115,MATCH(AA$5,MTInputs!$J$5:$AZ$5,0))</f>
        <v/>
      </c>
      <c r="AB115" s="24">
        <f>INDEX(MTInputs!$J$1:$AZ$415,$D115,MATCH(AB$5,MTInputs!$J$5:$AZ$5,0))</f>
        <v/>
      </c>
      <c r="AC115" s="24">
        <f>INDEX(MTInputs!$J$1:$AZ$415,$D115,MATCH(AC$5,MTInputs!$J$5:$AZ$5,0))</f>
        <v/>
      </c>
      <c r="AD115" s="24">
        <f>INDEX(MTInputs!$J$1:$AZ$415,$D115,MATCH(AD$5,MTInputs!$J$5:$AZ$5,0))</f>
        <v/>
      </c>
      <c r="AE115" s="24">
        <f>INDEX(MTInputs!$J$1:$AZ$415,$D115,MATCH(AE$5,MTInputs!$J$5:$AZ$5,0))</f>
        <v/>
      </c>
      <c r="AG115" s="11">
        <f>CodePrefix&amp;$A115&amp;IF($C115="","","."&amp;$C115&amp;"."&amp;$B115)&amp;INDEX(VarEnd,MATCH($A115,VarKey,0))&amp;AG$5</f>
        <v/>
      </c>
      <c r="AH115" s="23">
        <f>INDEX(MTInputs!$J$1:$AZ$415,$D115,MATCH(AH$5,MTInputs!$J$5:$AZ$5,0))</f>
        <v/>
      </c>
      <c r="AI115" s="24">
        <f>INDEX(MTInputs!$J$1:$AZ$415,$D115,MATCH(AI$5,MTInputs!$J$5:$AZ$5,0))</f>
        <v/>
      </c>
      <c r="AJ115" s="24">
        <f>INDEX(MTInputs!$J$1:$AZ$415,$D115,MATCH(AJ$5,MTInputs!$J$5:$AZ$5,0))</f>
        <v/>
      </c>
      <c r="AK115" s="24">
        <f>INDEX(MTInputs!$J$1:$AZ$415,$D115,MATCH(AK$5,MTInputs!$J$5:$AZ$5,0))</f>
        <v/>
      </c>
      <c r="AL115" s="24">
        <f>INDEX(MTInputs!$J$1:$AZ$415,$D115,MATCH(AL$5,MTInputs!$J$5:$AZ$5,0))</f>
        <v/>
      </c>
      <c r="AM115" s="24">
        <f>INDEX(MTInputs!$J$1:$AZ$415,$D115,MATCH(AM$5,MTInputs!$J$5:$AZ$5,0))</f>
        <v/>
      </c>
      <c r="AN115" s="24">
        <f>INDEX(MTInputs!$J$1:$AZ$415,$D115,MATCH(AN$5,MTInputs!$J$5:$AZ$5,0))</f>
        <v/>
      </c>
      <c r="AO115" s="24">
        <f>INDEX(MTInputs!$J$1:$AZ$415,$D115,MATCH(AO$5,MTInputs!$J$5:$AZ$5,0))</f>
        <v/>
      </c>
      <c r="AP115" s="24">
        <f>INDEX(MTInputs!$J$1:$AZ$415,$D115,MATCH(AP$5,MTInputs!$J$5:$AZ$5,0))</f>
        <v/>
      </c>
      <c r="AQ115" s="24">
        <f>INDEX(MTInputs!$J$1:$AZ$415,$D115,MATCH(AQ$5,MTInputs!$J$5:$AZ$5,0))</f>
        <v/>
      </c>
      <c r="AR115" s="24">
        <f>INDEX(MTInputs!$J$1:$AZ$415,$D115,MATCH(AR$5,MTInputs!$J$5:$AZ$5,0))</f>
        <v/>
      </c>
      <c r="AS115" s="24">
        <f>INDEX(MTInputs!$J$1:$AZ$415,$D115,MATCH(AS$5,MTInputs!$J$5:$AZ$5,0))</f>
        <v/>
      </c>
      <c r="AT115" s="24">
        <f>INDEX(MTInputs!$J$1:$AZ$415,$D115,MATCH(AT$5,MTInputs!$J$5:$AZ$5,0))</f>
        <v/>
      </c>
      <c r="AU115" s="24">
        <f>INDEX(MTInputs!$J$1:$AZ$415,$D115,MATCH(AU$5,MTInputs!$J$5:$AZ$5,0))</f>
        <v/>
      </c>
      <c r="AV115" s="24">
        <f>INDEX(MTInputs!$J$1:$AZ$415,$D115,MATCH(AV$5,MTInputs!$J$5:$AZ$5,0))</f>
        <v/>
      </c>
      <c r="AW115" s="24">
        <f>INDEX(MTInputs!$J$1:$AZ$415,$D115,MATCH(AW$5,MTInputs!$J$5:$AZ$5,0))</f>
        <v/>
      </c>
      <c r="AX115" s="24">
        <f>INDEX(MTInputs!$J$1:$AZ$415,$D115,MATCH(AX$5,MTInputs!$J$5:$AZ$5,0))</f>
        <v/>
      </c>
      <c r="AY115" s="24">
        <f>INDEX(MTInputs!$J$1:$AZ$415,$D115,MATCH(AY$5,MTInputs!$J$5:$AZ$5,0))</f>
        <v/>
      </c>
      <c r="AZ115" s="24">
        <f>INDEX(MTInputs!$J$1:$AZ$415,$D115,MATCH(AZ$5,MTInputs!$J$5:$AZ$5,0))</f>
        <v/>
      </c>
      <c r="BA115" s="24">
        <f>INDEX(MTInputs!$J$1:$AZ$415,$D115,MATCH(BA$5,MTInputs!$J$5:$AZ$5,0))</f>
        <v/>
      </c>
    </row>
    <row r="116" hidden="1" outlineLevel="1">
      <c r="A116" s="14" t="inlineStr">
        <is>
          <t>etscov</t>
        </is>
      </c>
      <c r="B116" s="14" t="inlineStr">
        <is>
          <t>all</t>
        </is>
      </c>
      <c r="C116" s="14" t="inlineStr">
        <is>
          <t>irn</t>
        </is>
      </c>
      <c r="D116" s="22" t="n">
        <v>108</v>
      </c>
      <c r="H116" s="14">
        <f>INDEX(VarLab,MATCH($A116,VarKey,0))&amp;INDEX(MemLab,MATCH($C116&amp;"|"&amp;$B116,MemKey,0))</f>
        <v/>
      </c>
      <c r="I116" s="14">
        <f>INDEX(VarUnit,MATCH($A116,VarKey,0))</f>
        <v/>
      </c>
      <c r="J116" s="14">
        <f>INDEX(VarSrc,MATCH($A116,VarKey,0))</f>
        <v/>
      </c>
      <c r="K116" s="11">
        <f>CodePrefix&amp;$A116&amp;IF($C116="","","."&amp;$C116&amp;"."&amp;$B116)&amp;INDEX(VarEnd,MATCH($A116,VarKey,0))&amp;K$5</f>
        <v/>
      </c>
      <c r="L116" s="23">
        <f>INDEX(MTInputs!$J$1:$AZ$415,$D116,MATCH(L$5,MTInputs!$J$5:$AZ$5,0))</f>
        <v/>
      </c>
      <c r="M116" s="24">
        <f>INDEX(MTInputs!$J$1:$AZ$415,$D116,MATCH(M$5,MTInputs!$J$5:$AZ$5,0))</f>
        <v/>
      </c>
      <c r="N116" s="24">
        <f>INDEX(MTInputs!$J$1:$AZ$415,$D116,MATCH(N$5,MTInputs!$J$5:$AZ$5,0))</f>
        <v/>
      </c>
      <c r="O116" s="24">
        <f>INDEX(MTInputs!$J$1:$AZ$415,$D116,MATCH(O$5,MTInputs!$J$5:$AZ$5,0))</f>
        <v/>
      </c>
      <c r="P116" s="24">
        <f>INDEX(MTInputs!$J$1:$AZ$415,$D116,MATCH(P$5,MTInputs!$J$5:$AZ$5,0))</f>
        <v/>
      </c>
      <c r="Q116" s="24">
        <f>INDEX(MTInputs!$J$1:$AZ$415,$D116,MATCH(Q$5,MTInputs!$J$5:$AZ$5,0))</f>
        <v/>
      </c>
      <c r="R116" s="24">
        <f>INDEX(MTInputs!$J$1:$AZ$415,$D116,MATCH(R$5,MTInputs!$J$5:$AZ$5,0))</f>
        <v/>
      </c>
      <c r="S116" s="24">
        <f>INDEX(MTInputs!$J$1:$AZ$415,$D116,MATCH(S$5,MTInputs!$J$5:$AZ$5,0))</f>
        <v/>
      </c>
      <c r="T116" s="24">
        <f>INDEX(MTInputs!$J$1:$AZ$415,$D116,MATCH(T$5,MTInputs!$J$5:$AZ$5,0))</f>
        <v/>
      </c>
      <c r="U116" s="24">
        <f>INDEX(MTInputs!$J$1:$AZ$415,$D116,MATCH(U$5,MTInputs!$J$5:$AZ$5,0))</f>
        <v/>
      </c>
      <c r="V116" s="24">
        <f>INDEX(MTInputs!$J$1:$AZ$415,$D116,MATCH(V$5,MTInputs!$J$5:$AZ$5,0))</f>
        <v/>
      </c>
      <c r="W116" s="24">
        <f>INDEX(MTInputs!$J$1:$AZ$415,$D116,MATCH(W$5,MTInputs!$J$5:$AZ$5,0))</f>
        <v/>
      </c>
      <c r="X116" s="24">
        <f>INDEX(MTInputs!$J$1:$AZ$415,$D116,MATCH(X$5,MTInputs!$J$5:$AZ$5,0))</f>
        <v/>
      </c>
      <c r="Y116" s="24">
        <f>INDEX(MTInputs!$J$1:$AZ$415,$D116,MATCH(Y$5,MTInputs!$J$5:$AZ$5,0))</f>
        <v/>
      </c>
      <c r="Z116" s="24">
        <f>INDEX(MTInputs!$J$1:$AZ$415,$D116,MATCH(Z$5,MTInputs!$J$5:$AZ$5,0))</f>
        <v/>
      </c>
      <c r="AA116" s="24">
        <f>INDEX(MTInputs!$J$1:$AZ$415,$D116,MATCH(AA$5,MTInputs!$J$5:$AZ$5,0))</f>
        <v/>
      </c>
      <c r="AB116" s="24">
        <f>INDEX(MTInputs!$J$1:$AZ$415,$D116,MATCH(AB$5,MTInputs!$J$5:$AZ$5,0))</f>
        <v/>
      </c>
      <c r="AC116" s="24">
        <f>INDEX(MTInputs!$J$1:$AZ$415,$D116,MATCH(AC$5,MTInputs!$J$5:$AZ$5,0))</f>
        <v/>
      </c>
      <c r="AD116" s="24">
        <f>INDEX(MTInputs!$J$1:$AZ$415,$D116,MATCH(AD$5,MTInputs!$J$5:$AZ$5,0))</f>
        <v/>
      </c>
      <c r="AE116" s="24">
        <f>INDEX(MTInputs!$J$1:$AZ$415,$D116,MATCH(AE$5,MTInputs!$J$5:$AZ$5,0))</f>
        <v/>
      </c>
      <c r="AG116" s="11">
        <f>CodePrefix&amp;$A116&amp;IF($C116="","","."&amp;$C116&amp;"."&amp;$B116)&amp;INDEX(VarEnd,MATCH($A116,VarKey,0))&amp;AG$5</f>
        <v/>
      </c>
      <c r="AH116" s="23">
        <f>INDEX(MTInputs!$J$1:$AZ$415,$D116,MATCH(AH$5,MTInputs!$J$5:$AZ$5,0))</f>
        <v/>
      </c>
      <c r="AI116" s="24">
        <f>INDEX(MTInputs!$J$1:$AZ$415,$D116,MATCH(AI$5,MTInputs!$J$5:$AZ$5,0))</f>
        <v/>
      </c>
      <c r="AJ116" s="24">
        <f>INDEX(MTInputs!$J$1:$AZ$415,$D116,MATCH(AJ$5,MTInputs!$J$5:$AZ$5,0))</f>
        <v/>
      </c>
      <c r="AK116" s="24">
        <f>INDEX(MTInputs!$J$1:$AZ$415,$D116,MATCH(AK$5,MTInputs!$J$5:$AZ$5,0))</f>
        <v/>
      </c>
      <c r="AL116" s="24">
        <f>INDEX(MTInputs!$J$1:$AZ$415,$D116,MATCH(AL$5,MTInputs!$J$5:$AZ$5,0))</f>
        <v/>
      </c>
      <c r="AM116" s="24">
        <f>INDEX(MTInputs!$J$1:$AZ$415,$D116,MATCH(AM$5,MTInputs!$J$5:$AZ$5,0))</f>
        <v/>
      </c>
      <c r="AN116" s="24">
        <f>INDEX(MTInputs!$J$1:$AZ$415,$D116,MATCH(AN$5,MTInputs!$J$5:$AZ$5,0))</f>
        <v/>
      </c>
      <c r="AO116" s="24">
        <f>INDEX(MTInputs!$J$1:$AZ$415,$D116,MATCH(AO$5,MTInputs!$J$5:$AZ$5,0))</f>
        <v/>
      </c>
      <c r="AP116" s="24">
        <f>INDEX(MTInputs!$J$1:$AZ$415,$D116,MATCH(AP$5,MTInputs!$J$5:$AZ$5,0))</f>
        <v/>
      </c>
      <c r="AQ116" s="24">
        <f>INDEX(MTInputs!$J$1:$AZ$415,$D116,MATCH(AQ$5,MTInputs!$J$5:$AZ$5,0))</f>
        <v/>
      </c>
      <c r="AR116" s="24">
        <f>INDEX(MTInputs!$J$1:$AZ$415,$D116,MATCH(AR$5,MTInputs!$J$5:$AZ$5,0))</f>
        <v/>
      </c>
      <c r="AS116" s="24">
        <f>INDEX(MTInputs!$J$1:$AZ$415,$D116,MATCH(AS$5,MTInputs!$J$5:$AZ$5,0))</f>
        <v/>
      </c>
      <c r="AT116" s="24">
        <f>INDEX(MTInputs!$J$1:$AZ$415,$D116,MATCH(AT$5,MTInputs!$J$5:$AZ$5,0))</f>
        <v/>
      </c>
      <c r="AU116" s="24">
        <f>INDEX(MTInputs!$J$1:$AZ$415,$D116,MATCH(AU$5,MTInputs!$J$5:$AZ$5,0))</f>
        <v/>
      </c>
      <c r="AV116" s="24">
        <f>INDEX(MTInputs!$J$1:$AZ$415,$D116,MATCH(AV$5,MTInputs!$J$5:$AZ$5,0))</f>
        <v/>
      </c>
      <c r="AW116" s="24">
        <f>INDEX(MTInputs!$J$1:$AZ$415,$D116,MATCH(AW$5,MTInputs!$J$5:$AZ$5,0))</f>
        <v/>
      </c>
      <c r="AX116" s="24">
        <f>INDEX(MTInputs!$J$1:$AZ$415,$D116,MATCH(AX$5,MTInputs!$J$5:$AZ$5,0))</f>
        <v/>
      </c>
      <c r="AY116" s="24">
        <f>INDEX(MTInputs!$J$1:$AZ$415,$D116,MATCH(AY$5,MTInputs!$J$5:$AZ$5,0))</f>
        <v/>
      </c>
      <c r="AZ116" s="24">
        <f>INDEX(MTInputs!$J$1:$AZ$415,$D116,MATCH(AZ$5,MTInputs!$J$5:$AZ$5,0))</f>
        <v/>
      </c>
      <c r="BA116" s="24">
        <f>INDEX(MTInputs!$J$1:$AZ$415,$D116,MATCH(BA$5,MTInputs!$J$5:$AZ$5,0))</f>
        <v/>
      </c>
    </row>
    <row r="117" hidden="1" outlineLevel="1">
      <c r="A117" s="14" t="inlineStr">
        <is>
          <t>etscov</t>
        </is>
      </c>
      <c r="B117" s="14" t="inlineStr">
        <is>
          <t>all</t>
        </is>
      </c>
      <c r="C117" s="14" t="inlineStr">
        <is>
          <t>nfm</t>
        </is>
      </c>
      <c r="D117" s="22" t="n">
        <v>109</v>
      </c>
      <c r="H117" s="14">
        <f>INDEX(VarLab,MATCH($A117,VarKey,0))&amp;INDEX(MemLab,MATCH($C117&amp;"|"&amp;$B117,MemKey,0))</f>
        <v/>
      </c>
      <c r="I117" s="14">
        <f>INDEX(VarUnit,MATCH($A117,VarKey,0))</f>
        <v/>
      </c>
      <c r="J117" s="14">
        <f>INDEX(VarSrc,MATCH($A117,VarKey,0))</f>
        <v/>
      </c>
      <c r="K117" s="11">
        <f>CodePrefix&amp;$A117&amp;IF($C117="","","."&amp;$C117&amp;"."&amp;$B117)&amp;INDEX(VarEnd,MATCH($A117,VarKey,0))&amp;K$5</f>
        <v/>
      </c>
      <c r="L117" s="23">
        <f>INDEX(MTInputs!$J$1:$AZ$415,$D117,MATCH(L$5,MTInputs!$J$5:$AZ$5,0))</f>
        <v/>
      </c>
      <c r="M117" s="24">
        <f>INDEX(MTInputs!$J$1:$AZ$415,$D117,MATCH(M$5,MTInputs!$J$5:$AZ$5,0))</f>
        <v/>
      </c>
      <c r="N117" s="24">
        <f>INDEX(MTInputs!$J$1:$AZ$415,$D117,MATCH(N$5,MTInputs!$J$5:$AZ$5,0))</f>
        <v/>
      </c>
      <c r="O117" s="24">
        <f>INDEX(MTInputs!$J$1:$AZ$415,$D117,MATCH(O$5,MTInputs!$J$5:$AZ$5,0))</f>
        <v/>
      </c>
      <c r="P117" s="24">
        <f>INDEX(MTInputs!$J$1:$AZ$415,$D117,MATCH(P$5,MTInputs!$J$5:$AZ$5,0))</f>
        <v/>
      </c>
      <c r="Q117" s="24">
        <f>INDEX(MTInputs!$J$1:$AZ$415,$D117,MATCH(Q$5,MTInputs!$J$5:$AZ$5,0))</f>
        <v/>
      </c>
      <c r="R117" s="24">
        <f>INDEX(MTInputs!$J$1:$AZ$415,$D117,MATCH(R$5,MTInputs!$J$5:$AZ$5,0))</f>
        <v/>
      </c>
      <c r="S117" s="24">
        <f>INDEX(MTInputs!$J$1:$AZ$415,$D117,MATCH(S$5,MTInputs!$J$5:$AZ$5,0))</f>
        <v/>
      </c>
      <c r="T117" s="24">
        <f>INDEX(MTInputs!$J$1:$AZ$415,$D117,MATCH(T$5,MTInputs!$J$5:$AZ$5,0))</f>
        <v/>
      </c>
      <c r="U117" s="24">
        <f>INDEX(MTInputs!$J$1:$AZ$415,$D117,MATCH(U$5,MTInputs!$J$5:$AZ$5,0))</f>
        <v/>
      </c>
      <c r="V117" s="24">
        <f>INDEX(MTInputs!$J$1:$AZ$415,$D117,MATCH(V$5,MTInputs!$J$5:$AZ$5,0))</f>
        <v/>
      </c>
      <c r="W117" s="24">
        <f>INDEX(MTInputs!$J$1:$AZ$415,$D117,MATCH(W$5,MTInputs!$J$5:$AZ$5,0))</f>
        <v/>
      </c>
      <c r="X117" s="24">
        <f>INDEX(MTInputs!$J$1:$AZ$415,$D117,MATCH(X$5,MTInputs!$J$5:$AZ$5,0))</f>
        <v/>
      </c>
      <c r="Y117" s="24">
        <f>INDEX(MTInputs!$J$1:$AZ$415,$D117,MATCH(Y$5,MTInputs!$J$5:$AZ$5,0))</f>
        <v/>
      </c>
      <c r="Z117" s="24">
        <f>INDEX(MTInputs!$J$1:$AZ$415,$D117,MATCH(Z$5,MTInputs!$J$5:$AZ$5,0))</f>
        <v/>
      </c>
      <c r="AA117" s="24">
        <f>INDEX(MTInputs!$J$1:$AZ$415,$D117,MATCH(AA$5,MTInputs!$J$5:$AZ$5,0))</f>
        <v/>
      </c>
      <c r="AB117" s="24">
        <f>INDEX(MTInputs!$J$1:$AZ$415,$D117,MATCH(AB$5,MTInputs!$J$5:$AZ$5,0))</f>
        <v/>
      </c>
      <c r="AC117" s="24">
        <f>INDEX(MTInputs!$J$1:$AZ$415,$D117,MATCH(AC$5,MTInputs!$J$5:$AZ$5,0))</f>
        <v/>
      </c>
      <c r="AD117" s="24">
        <f>INDEX(MTInputs!$J$1:$AZ$415,$D117,MATCH(AD$5,MTInputs!$J$5:$AZ$5,0))</f>
        <v/>
      </c>
      <c r="AE117" s="24">
        <f>INDEX(MTInputs!$J$1:$AZ$415,$D117,MATCH(AE$5,MTInputs!$J$5:$AZ$5,0))</f>
        <v/>
      </c>
      <c r="AG117" s="11">
        <f>CodePrefix&amp;$A117&amp;IF($C117="","","."&amp;$C117&amp;"."&amp;$B117)&amp;INDEX(VarEnd,MATCH($A117,VarKey,0))&amp;AG$5</f>
        <v/>
      </c>
      <c r="AH117" s="23">
        <f>INDEX(MTInputs!$J$1:$AZ$415,$D117,MATCH(AH$5,MTInputs!$J$5:$AZ$5,0))</f>
        <v/>
      </c>
      <c r="AI117" s="24">
        <f>INDEX(MTInputs!$J$1:$AZ$415,$D117,MATCH(AI$5,MTInputs!$J$5:$AZ$5,0))</f>
        <v/>
      </c>
      <c r="AJ117" s="24">
        <f>INDEX(MTInputs!$J$1:$AZ$415,$D117,MATCH(AJ$5,MTInputs!$J$5:$AZ$5,0))</f>
        <v/>
      </c>
      <c r="AK117" s="24">
        <f>INDEX(MTInputs!$J$1:$AZ$415,$D117,MATCH(AK$5,MTInputs!$J$5:$AZ$5,0))</f>
        <v/>
      </c>
      <c r="AL117" s="24">
        <f>INDEX(MTInputs!$J$1:$AZ$415,$D117,MATCH(AL$5,MTInputs!$J$5:$AZ$5,0))</f>
        <v/>
      </c>
      <c r="AM117" s="24">
        <f>INDEX(MTInputs!$J$1:$AZ$415,$D117,MATCH(AM$5,MTInputs!$J$5:$AZ$5,0))</f>
        <v/>
      </c>
      <c r="AN117" s="24">
        <f>INDEX(MTInputs!$J$1:$AZ$415,$D117,MATCH(AN$5,MTInputs!$J$5:$AZ$5,0))</f>
        <v/>
      </c>
      <c r="AO117" s="24">
        <f>INDEX(MTInputs!$J$1:$AZ$415,$D117,MATCH(AO$5,MTInputs!$J$5:$AZ$5,0))</f>
        <v/>
      </c>
      <c r="AP117" s="24">
        <f>INDEX(MTInputs!$J$1:$AZ$415,$D117,MATCH(AP$5,MTInputs!$J$5:$AZ$5,0))</f>
        <v/>
      </c>
      <c r="AQ117" s="24">
        <f>INDEX(MTInputs!$J$1:$AZ$415,$D117,MATCH(AQ$5,MTInputs!$J$5:$AZ$5,0))</f>
        <v/>
      </c>
      <c r="AR117" s="24">
        <f>INDEX(MTInputs!$J$1:$AZ$415,$D117,MATCH(AR$5,MTInputs!$J$5:$AZ$5,0))</f>
        <v/>
      </c>
      <c r="AS117" s="24">
        <f>INDEX(MTInputs!$J$1:$AZ$415,$D117,MATCH(AS$5,MTInputs!$J$5:$AZ$5,0))</f>
        <v/>
      </c>
      <c r="AT117" s="24">
        <f>INDEX(MTInputs!$J$1:$AZ$415,$D117,MATCH(AT$5,MTInputs!$J$5:$AZ$5,0))</f>
        <v/>
      </c>
      <c r="AU117" s="24">
        <f>INDEX(MTInputs!$J$1:$AZ$415,$D117,MATCH(AU$5,MTInputs!$J$5:$AZ$5,0))</f>
        <v/>
      </c>
      <c r="AV117" s="24">
        <f>INDEX(MTInputs!$J$1:$AZ$415,$D117,MATCH(AV$5,MTInputs!$J$5:$AZ$5,0))</f>
        <v/>
      </c>
      <c r="AW117" s="24">
        <f>INDEX(MTInputs!$J$1:$AZ$415,$D117,MATCH(AW$5,MTInputs!$J$5:$AZ$5,0))</f>
        <v/>
      </c>
      <c r="AX117" s="24">
        <f>INDEX(MTInputs!$J$1:$AZ$415,$D117,MATCH(AX$5,MTInputs!$J$5:$AZ$5,0))</f>
        <v/>
      </c>
      <c r="AY117" s="24">
        <f>INDEX(MTInputs!$J$1:$AZ$415,$D117,MATCH(AY$5,MTInputs!$J$5:$AZ$5,0))</f>
        <v/>
      </c>
      <c r="AZ117" s="24">
        <f>INDEX(MTInputs!$J$1:$AZ$415,$D117,MATCH(AZ$5,MTInputs!$J$5:$AZ$5,0))</f>
        <v/>
      </c>
      <c r="BA117" s="24">
        <f>INDEX(MTInputs!$J$1:$AZ$415,$D117,MATCH(BA$5,MTInputs!$J$5:$AZ$5,0))</f>
        <v/>
      </c>
    </row>
    <row r="118" hidden="1" outlineLevel="1">
      <c r="A118" s="14" t="inlineStr">
        <is>
          <t>etscov</t>
        </is>
      </c>
      <c r="B118" s="14" t="inlineStr">
        <is>
          <t>all</t>
        </is>
      </c>
      <c r="C118" s="14" t="inlineStr">
        <is>
          <t>mac</t>
        </is>
      </c>
      <c r="D118" s="22" t="n">
        <v>110</v>
      </c>
      <c r="H118" s="14">
        <f>INDEX(VarLab,MATCH($A118,VarKey,0))&amp;INDEX(MemLab,MATCH($C118&amp;"|"&amp;$B118,MemKey,0))</f>
        <v/>
      </c>
      <c r="I118" s="14">
        <f>INDEX(VarUnit,MATCH($A118,VarKey,0))</f>
        <v/>
      </c>
      <c r="J118" s="14">
        <f>INDEX(VarSrc,MATCH($A118,VarKey,0))</f>
        <v/>
      </c>
      <c r="K118" s="11">
        <f>CodePrefix&amp;$A118&amp;IF($C118="","","."&amp;$C118&amp;"."&amp;$B118)&amp;INDEX(VarEnd,MATCH($A118,VarKey,0))&amp;K$5</f>
        <v/>
      </c>
      <c r="L118" s="23">
        <f>INDEX(MTInputs!$J$1:$AZ$415,$D118,MATCH(L$5,MTInputs!$J$5:$AZ$5,0))</f>
        <v/>
      </c>
      <c r="M118" s="24">
        <f>INDEX(MTInputs!$J$1:$AZ$415,$D118,MATCH(M$5,MTInputs!$J$5:$AZ$5,0))</f>
        <v/>
      </c>
      <c r="N118" s="24">
        <f>INDEX(MTInputs!$J$1:$AZ$415,$D118,MATCH(N$5,MTInputs!$J$5:$AZ$5,0))</f>
        <v/>
      </c>
      <c r="O118" s="24">
        <f>INDEX(MTInputs!$J$1:$AZ$415,$D118,MATCH(O$5,MTInputs!$J$5:$AZ$5,0))</f>
        <v/>
      </c>
      <c r="P118" s="24">
        <f>INDEX(MTInputs!$J$1:$AZ$415,$D118,MATCH(P$5,MTInputs!$J$5:$AZ$5,0))</f>
        <v/>
      </c>
      <c r="Q118" s="24">
        <f>INDEX(MTInputs!$J$1:$AZ$415,$D118,MATCH(Q$5,MTInputs!$J$5:$AZ$5,0))</f>
        <v/>
      </c>
      <c r="R118" s="24">
        <f>INDEX(MTInputs!$J$1:$AZ$415,$D118,MATCH(R$5,MTInputs!$J$5:$AZ$5,0))</f>
        <v/>
      </c>
      <c r="S118" s="24">
        <f>INDEX(MTInputs!$J$1:$AZ$415,$D118,MATCH(S$5,MTInputs!$J$5:$AZ$5,0))</f>
        <v/>
      </c>
      <c r="T118" s="24">
        <f>INDEX(MTInputs!$J$1:$AZ$415,$D118,MATCH(T$5,MTInputs!$J$5:$AZ$5,0))</f>
        <v/>
      </c>
      <c r="U118" s="24">
        <f>INDEX(MTInputs!$J$1:$AZ$415,$D118,MATCH(U$5,MTInputs!$J$5:$AZ$5,0))</f>
        <v/>
      </c>
      <c r="V118" s="24">
        <f>INDEX(MTInputs!$J$1:$AZ$415,$D118,MATCH(V$5,MTInputs!$J$5:$AZ$5,0))</f>
        <v/>
      </c>
      <c r="W118" s="24">
        <f>INDEX(MTInputs!$J$1:$AZ$415,$D118,MATCH(W$5,MTInputs!$J$5:$AZ$5,0))</f>
        <v/>
      </c>
      <c r="X118" s="24">
        <f>INDEX(MTInputs!$J$1:$AZ$415,$D118,MATCH(X$5,MTInputs!$J$5:$AZ$5,0))</f>
        <v/>
      </c>
      <c r="Y118" s="24">
        <f>INDEX(MTInputs!$J$1:$AZ$415,$D118,MATCH(Y$5,MTInputs!$J$5:$AZ$5,0))</f>
        <v/>
      </c>
      <c r="Z118" s="24">
        <f>INDEX(MTInputs!$J$1:$AZ$415,$D118,MATCH(Z$5,MTInputs!$J$5:$AZ$5,0))</f>
        <v/>
      </c>
      <c r="AA118" s="24">
        <f>INDEX(MTInputs!$J$1:$AZ$415,$D118,MATCH(AA$5,MTInputs!$J$5:$AZ$5,0))</f>
        <v/>
      </c>
      <c r="AB118" s="24">
        <f>INDEX(MTInputs!$J$1:$AZ$415,$D118,MATCH(AB$5,MTInputs!$J$5:$AZ$5,0))</f>
        <v/>
      </c>
      <c r="AC118" s="24">
        <f>INDEX(MTInputs!$J$1:$AZ$415,$D118,MATCH(AC$5,MTInputs!$J$5:$AZ$5,0))</f>
        <v/>
      </c>
      <c r="AD118" s="24">
        <f>INDEX(MTInputs!$J$1:$AZ$415,$D118,MATCH(AD$5,MTInputs!$J$5:$AZ$5,0))</f>
        <v/>
      </c>
      <c r="AE118" s="24">
        <f>INDEX(MTInputs!$J$1:$AZ$415,$D118,MATCH(AE$5,MTInputs!$J$5:$AZ$5,0))</f>
        <v/>
      </c>
      <c r="AG118" s="11">
        <f>CodePrefix&amp;$A118&amp;IF($C118="","","."&amp;$C118&amp;"."&amp;$B118)&amp;INDEX(VarEnd,MATCH($A118,VarKey,0))&amp;AG$5</f>
        <v/>
      </c>
      <c r="AH118" s="23">
        <f>INDEX(MTInputs!$J$1:$AZ$415,$D118,MATCH(AH$5,MTInputs!$J$5:$AZ$5,0))</f>
        <v/>
      </c>
      <c r="AI118" s="24">
        <f>INDEX(MTInputs!$J$1:$AZ$415,$D118,MATCH(AI$5,MTInputs!$J$5:$AZ$5,0))</f>
        <v/>
      </c>
      <c r="AJ118" s="24">
        <f>INDEX(MTInputs!$J$1:$AZ$415,$D118,MATCH(AJ$5,MTInputs!$J$5:$AZ$5,0))</f>
        <v/>
      </c>
      <c r="AK118" s="24">
        <f>INDEX(MTInputs!$J$1:$AZ$415,$D118,MATCH(AK$5,MTInputs!$J$5:$AZ$5,0))</f>
        <v/>
      </c>
      <c r="AL118" s="24">
        <f>INDEX(MTInputs!$J$1:$AZ$415,$D118,MATCH(AL$5,MTInputs!$J$5:$AZ$5,0))</f>
        <v/>
      </c>
      <c r="AM118" s="24">
        <f>INDEX(MTInputs!$J$1:$AZ$415,$D118,MATCH(AM$5,MTInputs!$J$5:$AZ$5,0))</f>
        <v/>
      </c>
      <c r="AN118" s="24">
        <f>INDEX(MTInputs!$J$1:$AZ$415,$D118,MATCH(AN$5,MTInputs!$J$5:$AZ$5,0))</f>
        <v/>
      </c>
      <c r="AO118" s="24">
        <f>INDEX(MTInputs!$J$1:$AZ$415,$D118,MATCH(AO$5,MTInputs!$J$5:$AZ$5,0))</f>
        <v/>
      </c>
      <c r="AP118" s="24">
        <f>INDEX(MTInputs!$J$1:$AZ$415,$D118,MATCH(AP$5,MTInputs!$J$5:$AZ$5,0))</f>
        <v/>
      </c>
      <c r="AQ118" s="24">
        <f>INDEX(MTInputs!$J$1:$AZ$415,$D118,MATCH(AQ$5,MTInputs!$J$5:$AZ$5,0))</f>
        <v/>
      </c>
      <c r="AR118" s="24">
        <f>INDEX(MTInputs!$J$1:$AZ$415,$D118,MATCH(AR$5,MTInputs!$J$5:$AZ$5,0))</f>
        <v/>
      </c>
      <c r="AS118" s="24">
        <f>INDEX(MTInputs!$J$1:$AZ$415,$D118,MATCH(AS$5,MTInputs!$J$5:$AZ$5,0))</f>
        <v/>
      </c>
      <c r="AT118" s="24">
        <f>INDEX(MTInputs!$J$1:$AZ$415,$D118,MATCH(AT$5,MTInputs!$J$5:$AZ$5,0))</f>
        <v/>
      </c>
      <c r="AU118" s="24">
        <f>INDEX(MTInputs!$J$1:$AZ$415,$D118,MATCH(AU$5,MTInputs!$J$5:$AZ$5,0))</f>
        <v/>
      </c>
      <c r="AV118" s="24">
        <f>INDEX(MTInputs!$J$1:$AZ$415,$D118,MATCH(AV$5,MTInputs!$J$5:$AZ$5,0))</f>
        <v/>
      </c>
      <c r="AW118" s="24">
        <f>INDEX(MTInputs!$J$1:$AZ$415,$D118,MATCH(AW$5,MTInputs!$J$5:$AZ$5,0))</f>
        <v/>
      </c>
      <c r="AX118" s="24">
        <f>INDEX(MTInputs!$J$1:$AZ$415,$D118,MATCH(AX$5,MTInputs!$J$5:$AZ$5,0))</f>
        <v/>
      </c>
      <c r="AY118" s="24">
        <f>INDEX(MTInputs!$J$1:$AZ$415,$D118,MATCH(AY$5,MTInputs!$J$5:$AZ$5,0))</f>
        <v/>
      </c>
      <c r="AZ118" s="24">
        <f>INDEX(MTInputs!$J$1:$AZ$415,$D118,MATCH(AZ$5,MTInputs!$J$5:$AZ$5,0))</f>
        <v/>
      </c>
      <c r="BA118" s="24">
        <f>INDEX(MTInputs!$J$1:$AZ$415,$D118,MATCH(BA$5,MTInputs!$J$5:$AZ$5,0))</f>
        <v/>
      </c>
    </row>
    <row r="119" hidden="1" outlineLevel="1">
      <c r="A119" s="14" t="inlineStr">
        <is>
          <t>etscov</t>
        </is>
      </c>
      <c r="B119" s="14" t="inlineStr">
        <is>
          <t>all</t>
        </is>
      </c>
      <c r="C119" s="14" t="inlineStr">
        <is>
          <t>cem</t>
        </is>
      </c>
      <c r="D119" s="22" t="n">
        <v>111</v>
      </c>
      <c r="H119" s="14">
        <f>INDEX(VarLab,MATCH($A119,VarKey,0))&amp;INDEX(MemLab,MATCH($C119&amp;"|"&amp;$B119,MemKey,0))</f>
        <v/>
      </c>
      <c r="I119" s="14">
        <f>INDEX(VarUnit,MATCH($A119,VarKey,0))</f>
        <v/>
      </c>
      <c r="J119" s="14">
        <f>INDEX(VarSrc,MATCH($A119,VarKey,0))</f>
        <v/>
      </c>
      <c r="K119" s="11">
        <f>CodePrefix&amp;$A119&amp;IF($C119="","","."&amp;$C119&amp;"."&amp;$B119)&amp;INDEX(VarEnd,MATCH($A119,VarKey,0))&amp;K$5</f>
        <v/>
      </c>
      <c r="L119" s="23">
        <f>INDEX(MTInputs!$J$1:$AZ$415,$D119,MATCH(L$5,MTInputs!$J$5:$AZ$5,0))</f>
        <v/>
      </c>
      <c r="M119" s="24">
        <f>INDEX(MTInputs!$J$1:$AZ$415,$D119,MATCH(M$5,MTInputs!$J$5:$AZ$5,0))</f>
        <v/>
      </c>
      <c r="N119" s="24">
        <f>INDEX(MTInputs!$J$1:$AZ$415,$D119,MATCH(N$5,MTInputs!$J$5:$AZ$5,0))</f>
        <v/>
      </c>
      <c r="O119" s="24">
        <f>INDEX(MTInputs!$J$1:$AZ$415,$D119,MATCH(O$5,MTInputs!$J$5:$AZ$5,0))</f>
        <v/>
      </c>
      <c r="P119" s="24">
        <f>INDEX(MTInputs!$J$1:$AZ$415,$D119,MATCH(P$5,MTInputs!$J$5:$AZ$5,0))</f>
        <v/>
      </c>
      <c r="Q119" s="24">
        <f>INDEX(MTInputs!$J$1:$AZ$415,$D119,MATCH(Q$5,MTInputs!$J$5:$AZ$5,0))</f>
        <v/>
      </c>
      <c r="R119" s="24">
        <f>INDEX(MTInputs!$J$1:$AZ$415,$D119,MATCH(R$5,MTInputs!$J$5:$AZ$5,0))</f>
        <v/>
      </c>
      <c r="S119" s="24">
        <f>INDEX(MTInputs!$J$1:$AZ$415,$D119,MATCH(S$5,MTInputs!$J$5:$AZ$5,0))</f>
        <v/>
      </c>
      <c r="T119" s="24">
        <f>INDEX(MTInputs!$J$1:$AZ$415,$D119,MATCH(T$5,MTInputs!$J$5:$AZ$5,0))</f>
        <v/>
      </c>
      <c r="U119" s="24">
        <f>INDEX(MTInputs!$J$1:$AZ$415,$D119,MATCH(U$5,MTInputs!$J$5:$AZ$5,0))</f>
        <v/>
      </c>
      <c r="V119" s="24">
        <f>INDEX(MTInputs!$J$1:$AZ$415,$D119,MATCH(V$5,MTInputs!$J$5:$AZ$5,0))</f>
        <v/>
      </c>
      <c r="W119" s="24">
        <f>INDEX(MTInputs!$J$1:$AZ$415,$D119,MATCH(W$5,MTInputs!$J$5:$AZ$5,0))</f>
        <v/>
      </c>
      <c r="X119" s="24">
        <f>INDEX(MTInputs!$J$1:$AZ$415,$D119,MATCH(X$5,MTInputs!$J$5:$AZ$5,0))</f>
        <v/>
      </c>
      <c r="Y119" s="24">
        <f>INDEX(MTInputs!$J$1:$AZ$415,$D119,MATCH(Y$5,MTInputs!$J$5:$AZ$5,0))</f>
        <v/>
      </c>
      <c r="Z119" s="24">
        <f>INDEX(MTInputs!$J$1:$AZ$415,$D119,MATCH(Z$5,MTInputs!$J$5:$AZ$5,0))</f>
        <v/>
      </c>
      <c r="AA119" s="24">
        <f>INDEX(MTInputs!$J$1:$AZ$415,$D119,MATCH(AA$5,MTInputs!$J$5:$AZ$5,0))</f>
        <v/>
      </c>
      <c r="AB119" s="24">
        <f>INDEX(MTInputs!$J$1:$AZ$415,$D119,MATCH(AB$5,MTInputs!$J$5:$AZ$5,0))</f>
        <v/>
      </c>
      <c r="AC119" s="24">
        <f>INDEX(MTInputs!$J$1:$AZ$415,$D119,MATCH(AC$5,MTInputs!$J$5:$AZ$5,0))</f>
        <v/>
      </c>
      <c r="AD119" s="24">
        <f>INDEX(MTInputs!$J$1:$AZ$415,$D119,MATCH(AD$5,MTInputs!$J$5:$AZ$5,0))</f>
        <v/>
      </c>
      <c r="AE119" s="24">
        <f>INDEX(MTInputs!$J$1:$AZ$415,$D119,MATCH(AE$5,MTInputs!$J$5:$AZ$5,0))</f>
        <v/>
      </c>
      <c r="AG119" s="11">
        <f>CodePrefix&amp;$A119&amp;IF($C119="","","."&amp;$C119&amp;"."&amp;$B119)&amp;INDEX(VarEnd,MATCH($A119,VarKey,0))&amp;AG$5</f>
        <v/>
      </c>
      <c r="AH119" s="23">
        <f>INDEX(MTInputs!$J$1:$AZ$415,$D119,MATCH(AH$5,MTInputs!$J$5:$AZ$5,0))</f>
        <v/>
      </c>
      <c r="AI119" s="24">
        <f>INDEX(MTInputs!$J$1:$AZ$415,$D119,MATCH(AI$5,MTInputs!$J$5:$AZ$5,0))</f>
        <v/>
      </c>
      <c r="AJ119" s="24">
        <f>INDEX(MTInputs!$J$1:$AZ$415,$D119,MATCH(AJ$5,MTInputs!$J$5:$AZ$5,0))</f>
        <v/>
      </c>
      <c r="AK119" s="24">
        <f>INDEX(MTInputs!$J$1:$AZ$415,$D119,MATCH(AK$5,MTInputs!$J$5:$AZ$5,0))</f>
        <v/>
      </c>
      <c r="AL119" s="24">
        <f>INDEX(MTInputs!$J$1:$AZ$415,$D119,MATCH(AL$5,MTInputs!$J$5:$AZ$5,0))</f>
        <v/>
      </c>
      <c r="AM119" s="24">
        <f>INDEX(MTInputs!$J$1:$AZ$415,$D119,MATCH(AM$5,MTInputs!$J$5:$AZ$5,0))</f>
        <v/>
      </c>
      <c r="AN119" s="24">
        <f>INDEX(MTInputs!$J$1:$AZ$415,$D119,MATCH(AN$5,MTInputs!$J$5:$AZ$5,0))</f>
        <v/>
      </c>
      <c r="AO119" s="24">
        <f>INDEX(MTInputs!$J$1:$AZ$415,$D119,MATCH(AO$5,MTInputs!$J$5:$AZ$5,0))</f>
        <v/>
      </c>
      <c r="AP119" s="24">
        <f>INDEX(MTInputs!$J$1:$AZ$415,$D119,MATCH(AP$5,MTInputs!$J$5:$AZ$5,0))</f>
        <v/>
      </c>
      <c r="AQ119" s="24">
        <f>INDEX(MTInputs!$J$1:$AZ$415,$D119,MATCH(AQ$5,MTInputs!$J$5:$AZ$5,0))</f>
        <v/>
      </c>
      <c r="AR119" s="24">
        <f>INDEX(MTInputs!$J$1:$AZ$415,$D119,MATCH(AR$5,MTInputs!$J$5:$AZ$5,0))</f>
        <v/>
      </c>
      <c r="AS119" s="24">
        <f>INDEX(MTInputs!$J$1:$AZ$415,$D119,MATCH(AS$5,MTInputs!$J$5:$AZ$5,0))</f>
        <v/>
      </c>
      <c r="AT119" s="24">
        <f>INDEX(MTInputs!$J$1:$AZ$415,$D119,MATCH(AT$5,MTInputs!$J$5:$AZ$5,0))</f>
        <v/>
      </c>
      <c r="AU119" s="24">
        <f>INDEX(MTInputs!$J$1:$AZ$415,$D119,MATCH(AU$5,MTInputs!$J$5:$AZ$5,0))</f>
        <v/>
      </c>
      <c r="AV119" s="24">
        <f>INDEX(MTInputs!$J$1:$AZ$415,$D119,MATCH(AV$5,MTInputs!$J$5:$AZ$5,0))</f>
        <v/>
      </c>
      <c r="AW119" s="24">
        <f>INDEX(MTInputs!$J$1:$AZ$415,$D119,MATCH(AW$5,MTInputs!$J$5:$AZ$5,0))</f>
        <v/>
      </c>
      <c r="AX119" s="24">
        <f>INDEX(MTInputs!$J$1:$AZ$415,$D119,MATCH(AX$5,MTInputs!$J$5:$AZ$5,0))</f>
        <v/>
      </c>
      <c r="AY119" s="24">
        <f>INDEX(MTInputs!$J$1:$AZ$415,$D119,MATCH(AY$5,MTInputs!$J$5:$AZ$5,0))</f>
        <v/>
      </c>
      <c r="AZ119" s="24">
        <f>INDEX(MTInputs!$J$1:$AZ$415,$D119,MATCH(AZ$5,MTInputs!$J$5:$AZ$5,0))</f>
        <v/>
      </c>
      <c r="BA119" s="24">
        <f>INDEX(MTInputs!$J$1:$AZ$415,$D119,MATCH(BA$5,MTInputs!$J$5:$AZ$5,0))</f>
        <v/>
      </c>
    </row>
    <row r="120" hidden="1" outlineLevel="1">
      <c r="A120" s="14" t="inlineStr">
        <is>
          <t>etscov</t>
        </is>
      </c>
      <c r="B120" s="14" t="inlineStr">
        <is>
          <t>all</t>
        </is>
      </c>
      <c r="C120" s="14" t="inlineStr">
        <is>
          <t>omn</t>
        </is>
      </c>
      <c r="D120" s="22" t="n">
        <v>112</v>
      </c>
      <c r="H120" s="14">
        <f>INDEX(VarLab,MATCH($A120,VarKey,0))&amp;INDEX(MemLab,MATCH($C120&amp;"|"&amp;$B120,MemKey,0))</f>
        <v/>
      </c>
      <c r="I120" s="14">
        <f>INDEX(VarUnit,MATCH($A120,VarKey,0))</f>
        <v/>
      </c>
      <c r="J120" s="14">
        <f>INDEX(VarSrc,MATCH($A120,VarKey,0))</f>
        <v/>
      </c>
      <c r="K120" s="11">
        <f>CodePrefix&amp;$A120&amp;IF($C120="","","."&amp;$C120&amp;"."&amp;$B120)&amp;INDEX(VarEnd,MATCH($A120,VarKey,0))&amp;K$5</f>
        <v/>
      </c>
      <c r="L120" s="23">
        <f>INDEX(MTInputs!$J$1:$AZ$415,$D120,MATCH(L$5,MTInputs!$J$5:$AZ$5,0))</f>
        <v/>
      </c>
      <c r="M120" s="24">
        <f>INDEX(MTInputs!$J$1:$AZ$415,$D120,MATCH(M$5,MTInputs!$J$5:$AZ$5,0))</f>
        <v/>
      </c>
      <c r="N120" s="24">
        <f>INDEX(MTInputs!$J$1:$AZ$415,$D120,MATCH(N$5,MTInputs!$J$5:$AZ$5,0))</f>
        <v/>
      </c>
      <c r="O120" s="24">
        <f>INDEX(MTInputs!$J$1:$AZ$415,$D120,MATCH(O$5,MTInputs!$J$5:$AZ$5,0))</f>
        <v/>
      </c>
      <c r="P120" s="24">
        <f>INDEX(MTInputs!$J$1:$AZ$415,$D120,MATCH(P$5,MTInputs!$J$5:$AZ$5,0))</f>
        <v/>
      </c>
      <c r="Q120" s="24">
        <f>INDEX(MTInputs!$J$1:$AZ$415,$D120,MATCH(Q$5,MTInputs!$J$5:$AZ$5,0))</f>
        <v/>
      </c>
      <c r="R120" s="24">
        <f>INDEX(MTInputs!$J$1:$AZ$415,$D120,MATCH(R$5,MTInputs!$J$5:$AZ$5,0))</f>
        <v/>
      </c>
      <c r="S120" s="24">
        <f>INDEX(MTInputs!$J$1:$AZ$415,$D120,MATCH(S$5,MTInputs!$J$5:$AZ$5,0))</f>
        <v/>
      </c>
      <c r="T120" s="24">
        <f>INDEX(MTInputs!$J$1:$AZ$415,$D120,MATCH(T$5,MTInputs!$J$5:$AZ$5,0))</f>
        <v/>
      </c>
      <c r="U120" s="24">
        <f>INDEX(MTInputs!$J$1:$AZ$415,$D120,MATCH(U$5,MTInputs!$J$5:$AZ$5,0))</f>
        <v/>
      </c>
      <c r="V120" s="24">
        <f>INDEX(MTInputs!$J$1:$AZ$415,$D120,MATCH(V$5,MTInputs!$J$5:$AZ$5,0))</f>
        <v/>
      </c>
      <c r="W120" s="24">
        <f>INDEX(MTInputs!$J$1:$AZ$415,$D120,MATCH(W$5,MTInputs!$J$5:$AZ$5,0))</f>
        <v/>
      </c>
      <c r="X120" s="24">
        <f>INDEX(MTInputs!$J$1:$AZ$415,$D120,MATCH(X$5,MTInputs!$J$5:$AZ$5,0))</f>
        <v/>
      </c>
      <c r="Y120" s="24">
        <f>INDEX(MTInputs!$J$1:$AZ$415,$D120,MATCH(Y$5,MTInputs!$J$5:$AZ$5,0))</f>
        <v/>
      </c>
      <c r="Z120" s="24">
        <f>INDEX(MTInputs!$J$1:$AZ$415,$D120,MATCH(Z$5,MTInputs!$J$5:$AZ$5,0))</f>
        <v/>
      </c>
      <c r="AA120" s="24">
        <f>INDEX(MTInputs!$J$1:$AZ$415,$D120,MATCH(AA$5,MTInputs!$J$5:$AZ$5,0))</f>
        <v/>
      </c>
      <c r="AB120" s="24">
        <f>INDEX(MTInputs!$J$1:$AZ$415,$D120,MATCH(AB$5,MTInputs!$J$5:$AZ$5,0))</f>
        <v/>
      </c>
      <c r="AC120" s="24">
        <f>INDEX(MTInputs!$J$1:$AZ$415,$D120,MATCH(AC$5,MTInputs!$J$5:$AZ$5,0))</f>
        <v/>
      </c>
      <c r="AD120" s="24">
        <f>INDEX(MTInputs!$J$1:$AZ$415,$D120,MATCH(AD$5,MTInputs!$J$5:$AZ$5,0))</f>
        <v/>
      </c>
      <c r="AE120" s="24">
        <f>INDEX(MTInputs!$J$1:$AZ$415,$D120,MATCH(AE$5,MTInputs!$J$5:$AZ$5,0))</f>
        <v/>
      </c>
      <c r="AG120" s="11">
        <f>CodePrefix&amp;$A120&amp;IF($C120="","","."&amp;$C120&amp;"."&amp;$B120)&amp;INDEX(VarEnd,MATCH($A120,VarKey,0))&amp;AG$5</f>
        <v/>
      </c>
      <c r="AH120" s="23">
        <f>INDEX(MTInputs!$J$1:$AZ$415,$D120,MATCH(AH$5,MTInputs!$J$5:$AZ$5,0))</f>
        <v/>
      </c>
      <c r="AI120" s="24">
        <f>INDEX(MTInputs!$J$1:$AZ$415,$D120,MATCH(AI$5,MTInputs!$J$5:$AZ$5,0))</f>
        <v/>
      </c>
      <c r="AJ120" s="24">
        <f>INDEX(MTInputs!$J$1:$AZ$415,$D120,MATCH(AJ$5,MTInputs!$J$5:$AZ$5,0))</f>
        <v/>
      </c>
      <c r="AK120" s="24">
        <f>INDEX(MTInputs!$J$1:$AZ$415,$D120,MATCH(AK$5,MTInputs!$J$5:$AZ$5,0))</f>
        <v/>
      </c>
      <c r="AL120" s="24">
        <f>INDEX(MTInputs!$J$1:$AZ$415,$D120,MATCH(AL$5,MTInputs!$J$5:$AZ$5,0))</f>
        <v/>
      </c>
      <c r="AM120" s="24">
        <f>INDEX(MTInputs!$J$1:$AZ$415,$D120,MATCH(AM$5,MTInputs!$J$5:$AZ$5,0))</f>
        <v/>
      </c>
      <c r="AN120" s="24">
        <f>INDEX(MTInputs!$J$1:$AZ$415,$D120,MATCH(AN$5,MTInputs!$J$5:$AZ$5,0))</f>
        <v/>
      </c>
      <c r="AO120" s="24">
        <f>INDEX(MTInputs!$J$1:$AZ$415,$D120,MATCH(AO$5,MTInputs!$J$5:$AZ$5,0))</f>
        <v/>
      </c>
      <c r="AP120" s="24">
        <f>INDEX(MTInputs!$J$1:$AZ$415,$D120,MATCH(AP$5,MTInputs!$J$5:$AZ$5,0))</f>
        <v/>
      </c>
      <c r="AQ120" s="24">
        <f>INDEX(MTInputs!$J$1:$AZ$415,$D120,MATCH(AQ$5,MTInputs!$J$5:$AZ$5,0))</f>
        <v/>
      </c>
      <c r="AR120" s="24">
        <f>INDEX(MTInputs!$J$1:$AZ$415,$D120,MATCH(AR$5,MTInputs!$J$5:$AZ$5,0))</f>
        <v/>
      </c>
      <c r="AS120" s="24">
        <f>INDEX(MTInputs!$J$1:$AZ$415,$D120,MATCH(AS$5,MTInputs!$J$5:$AZ$5,0))</f>
        <v/>
      </c>
      <c r="AT120" s="24">
        <f>INDEX(MTInputs!$J$1:$AZ$415,$D120,MATCH(AT$5,MTInputs!$J$5:$AZ$5,0))</f>
        <v/>
      </c>
      <c r="AU120" s="24">
        <f>INDEX(MTInputs!$J$1:$AZ$415,$D120,MATCH(AU$5,MTInputs!$J$5:$AZ$5,0))</f>
        <v/>
      </c>
      <c r="AV120" s="24">
        <f>INDEX(MTInputs!$J$1:$AZ$415,$D120,MATCH(AV$5,MTInputs!$J$5:$AZ$5,0))</f>
        <v/>
      </c>
      <c r="AW120" s="24">
        <f>INDEX(MTInputs!$J$1:$AZ$415,$D120,MATCH(AW$5,MTInputs!$J$5:$AZ$5,0))</f>
        <v/>
      </c>
      <c r="AX120" s="24">
        <f>INDEX(MTInputs!$J$1:$AZ$415,$D120,MATCH(AX$5,MTInputs!$J$5:$AZ$5,0))</f>
        <v/>
      </c>
      <c r="AY120" s="24">
        <f>INDEX(MTInputs!$J$1:$AZ$415,$D120,MATCH(AY$5,MTInputs!$J$5:$AZ$5,0))</f>
        <v/>
      </c>
      <c r="AZ120" s="24">
        <f>INDEX(MTInputs!$J$1:$AZ$415,$D120,MATCH(AZ$5,MTInputs!$J$5:$AZ$5,0))</f>
        <v/>
      </c>
      <c r="BA120" s="24">
        <f>INDEX(MTInputs!$J$1:$AZ$415,$D120,MATCH(BA$5,MTInputs!$J$5:$AZ$5,0))</f>
        <v/>
      </c>
    </row>
    <row r="121" hidden="1" outlineLevel="1">
      <c r="A121" s="14" t="inlineStr">
        <is>
          <t>etscov</t>
        </is>
      </c>
      <c r="B121" s="14" t="inlineStr">
        <is>
          <t>all</t>
        </is>
      </c>
      <c r="C121" s="14" t="inlineStr">
        <is>
          <t>cst</t>
        </is>
      </c>
      <c r="D121" s="22" t="n">
        <v>113</v>
      </c>
      <c r="H121" s="14">
        <f>INDEX(VarLab,MATCH($A121,VarKey,0))&amp;INDEX(MemLab,MATCH($C121&amp;"|"&amp;$B121,MemKey,0))</f>
        <v/>
      </c>
      <c r="I121" s="14">
        <f>INDEX(VarUnit,MATCH($A121,VarKey,0))</f>
        <v/>
      </c>
      <c r="J121" s="14">
        <f>INDEX(VarSrc,MATCH($A121,VarKey,0))</f>
        <v/>
      </c>
      <c r="K121" s="11">
        <f>CodePrefix&amp;$A121&amp;IF($C121="","","."&amp;$C121&amp;"."&amp;$B121)&amp;INDEX(VarEnd,MATCH($A121,VarKey,0))&amp;K$5</f>
        <v/>
      </c>
      <c r="L121" s="23">
        <f>INDEX(MTInputs!$J$1:$AZ$415,$D121,MATCH(L$5,MTInputs!$J$5:$AZ$5,0))</f>
        <v/>
      </c>
      <c r="M121" s="24">
        <f>INDEX(MTInputs!$J$1:$AZ$415,$D121,MATCH(M$5,MTInputs!$J$5:$AZ$5,0))</f>
        <v/>
      </c>
      <c r="N121" s="24">
        <f>INDEX(MTInputs!$J$1:$AZ$415,$D121,MATCH(N$5,MTInputs!$J$5:$AZ$5,0))</f>
        <v/>
      </c>
      <c r="O121" s="24">
        <f>INDEX(MTInputs!$J$1:$AZ$415,$D121,MATCH(O$5,MTInputs!$J$5:$AZ$5,0))</f>
        <v/>
      </c>
      <c r="P121" s="24">
        <f>INDEX(MTInputs!$J$1:$AZ$415,$D121,MATCH(P$5,MTInputs!$J$5:$AZ$5,0))</f>
        <v/>
      </c>
      <c r="Q121" s="24">
        <f>INDEX(MTInputs!$J$1:$AZ$415,$D121,MATCH(Q$5,MTInputs!$J$5:$AZ$5,0))</f>
        <v/>
      </c>
      <c r="R121" s="24">
        <f>INDEX(MTInputs!$J$1:$AZ$415,$D121,MATCH(R$5,MTInputs!$J$5:$AZ$5,0))</f>
        <v/>
      </c>
      <c r="S121" s="24">
        <f>INDEX(MTInputs!$J$1:$AZ$415,$D121,MATCH(S$5,MTInputs!$J$5:$AZ$5,0))</f>
        <v/>
      </c>
      <c r="T121" s="24">
        <f>INDEX(MTInputs!$J$1:$AZ$415,$D121,MATCH(T$5,MTInputs!$J$5:$AZ$5,0))</f>
        <v/>
      </c>
      <c r="U121" s="24">
        <f>INDEX(MTInputs!$J$1:$AZ$415,$D121,MATCH(U$5,MTInputs!$J$5:$AZ$5,0))</f>
        <v/>
      </c>
      <c r="V121" s="24">
        <f>INDEX(MTInputs!$J$1:$AZ$415,$D121,MATCH(V$5,MTInputs!$J$5:$AZ$5,0))</f>
        <v/>
      </c>
      <c r="W121" s="24">
        <f>INDEX(MTInputs!$J$1:$AZ$415,$D121,MATCH(W$5,MTInputs!$J$5:$AZ$5,0))</f>
        <v/>
      </c>
      <c r="X121" s="24">
        <f>INDEX(MTInputs!$J$1:$AZ$415,$D121,MATCH(X$5,MTInputs!$J$5:$AZ$5,0))</f>
        <v/>
      </c>
      <c r="Y121" s="24">
        <f>INDEX(MTInputs!$J$1:$AZ$415,$D121,MATCH(Y$5,MTInputs!$J$5:$AZ$5,0))</f>
        <v/>
      </c>
      <c r="Z121" s="24">
        <f>INDEX(MTInputs!$J$1:$AZ$415,$D121,MATCH(Z$5,MTInputs!$J$5:$AZ$5,0))</f>
        <v/>
      </c>
      <c r="AA121" s="24">
        <f>INDEX(MTInputs!$J$1:$AZ$415,$D121,MATCH(AA$5,MTInputs!$J$5:$AZ$5,0))</f>
        <v/>
      </c>
      <c r="AB121" s="24">
        <f>INDEX(MTInputs!$J$1:$AZ$415,$D121,MATCH(AB$5,MTInputs!$J$5:$AZ$5,0))</f>
        <v/>
      </c>
      <c r="AC121" s="24">
        <f>INDEX(MTInputs!$J$1:$AZ$415,$D121,MATCH(AC$5,MTInputs!$J$5:$AZ$5,0))</f>
        <v/>
      </c>
      <c r="AD121" s="24">
        <f>INDEX(MTInputs!$J$1:$AZ$415,$D121,MATCH(AD$5,MTInputs!$J$5:$AZ$5,0))</f>
        <v/>
      </c>
      <c r="AE121" s="24">
        <f>INDEX(MTInputs!$J$1:$AZ$415,$D121,MATCH(AE$5,MTInputs!$J$5:$AZ$5,0))</f>
        <v/>
      </c>
      <c r="AG121" s="11">
        <f>CodePrefix&amp;$A121&amp;IF($C121="","","."&amp;$C121&amp;"."&amp;$B121)&amp;INDEX(VarEnd,MATCH($A121,VarKey,0))&amp;AG$5</f>
        <v/>
      </c>
      <c r="AH121" s="23">
        <f>INDEX(MTInputs!$J$1:$AZ$415,$D121,MATCH(AH$5,MTInputs!$J$5:$AZ$5,0))</f>
        <v/>
      </c>
      <c r="AI121" s="24">
        <f>INDEX(MTInputs!$J$1:$AZ$415,$D121,MATCH(AI$5,MTInputs!$J$5:$AZ$5,0))</f>
        <v/>
      </c>
      <c r="AJ121" s="24">
        <f>INDEX(MTInputs!$J$1:$AZ$415,$D121,MATCH(AJ$5,MTInputs!$J$5:$AZ$5,0))</f>
        <v/>
      </c>
      <c r="AK121" s="24">
        <f>INDEX(MTInputs!$J$1:$AZ$415,$D121,MATCH(AK$5,MTInputs!$J$5:$AZ$5,0))</f>
        <v/>
      </c>
      <c r="AL121" s="24">
        <f>INDEX(MTInputs!$J$1:$AZ$415,$D121,MATCH(AL$5,MTInputs!$J$5:$AZ$5,0))</f>
        <v/>
      </c>
      <c r="AM121" s="24">
        <f>INDEX(MTInputs!$J$1:$AZ$415,$D121,MATCH(AM$5,MTInputs!$J$5:$AZ$5,0))</f>
        <v/>
      </c>
      <c r="AN121" s="24">
        <f>INDEX(MTInputs!$J$1:$AZ$415,$D121,MATCH(AN$5,MTInputs!$J$5:$AZ$5,0))</f>
        <v/>
      </c>
      <c r="AO121" s="24">
        <f>INDEX(MTInputs!$J$1:$AZ$415,$D121,MATCH(AO$5,MTInputs!$J$5:$AZ$5,0))</f>
        <v/>
      </c>
      <c r="AP121" s="24">
        <f>INDEX(MTInputs!$J$1:$AZ$415,$D121,MATCH(AP$5,MTInputs!$J$5:$AZ$5,0))</f>
        <v/>
      </c>
      <c r="AQ121" s="24">
        <f>INDEX(MTInputs!$J$1:$AZ$415,$D121,MATCH(AQ$5,MTInputs!$J$5:$AZ$5,0))</f>
        <v/>
      </c>
      <c r="AR121" s="24">
        <f>INDEX(MTInputs!$J$1:$AZ$415,$D121,MATCH(AR$5,MTInputs!$J$5:$AZ$5,0))</f>
        <v/>
      </c>
      <c r="AS121" s="24">
        <f>INDEX(MTInputs!$J$1:$AZ$415,$D121,MATCH(AS$5,MTInputs!$J$5:$AZ$5,0))</f>
        <v/>
      </c>
      <c r="AT121" s="24">
        <f>INDEX(MTInputs!$J$1:$AZ$415,$D121,MATCH(AT$5,MTInputs!$J$5:$AZ$5,0))</f>
        <v/>
      </c>
      <c r="AU121" s="24">
        <f>INDEX(MTInputs!$J$1:$AZ$415,$D121,MATCH(AU$5,MTInputs!$J$5:$AZ$5,0))</f>
        <v/>
      </c>
      <c r="AV121" s="24">
        <f>INDEX(MTInputs!$J$1:$AZ$415,$D121,MATCH(AV$5,MTInputs!$J$5:$AZ$5,0))</f>
        <v/>
      </c>
      <c r="AW121" s="24">
        <f>INDEX(MTInputs!$J$1:$AZ$415,$D121,MATCH(AW$5,MTInputs!$J$5:$AZ$5,0))</f>
        <v/>
      </c>
      <c r="AX121" s="24">
        <f>INDEX(MTInputs!$J$1:$AZ$415,$D121,MATCH(AX$5,MTInputs!$J$5:$AZ$5,0))</f>
        <v/>
      </c>
      <c r="AY121" s="24">
        <f>INDEX(MTInputs!$J$1:$AZ$415,$D121,MATCH(AY$5,MTInputs!$J$5:$AZ$5,0))</f>
        <v/>
      </c>
      <c r="AZ121" s="24">
        <f>INDEX(MTInputs!$J$1:$AZ$415,$D121,MATCH(AZ$5,MTInputs!$J$5:$AZ$5,0))</f>
        <v/>
      </c>
      <c r="BA121" s="24">
        <f>INDEX(MTInputs!$J$1:$AZ$415,$D121,MATCH(BA$5,MTInputs!$J$5:$AZ$5,0))</f>
        <v/>
      </c>
    </row>
    <row r="122" hidden="1" outlineLevel="1">
      <c r="A122" s="14" t="inlineStr">
        <is>
          <t>etscov</t>
        </is>
      </c>
      <c r="B122" s="14" t="inlineStr">
        <is>
          <t>all</t>
        </is>
      </c>
      <c r="C122" s="14" t="inlineStr">
        <is>
          <t>ftr</t>
        </is>
      </c>
      <c r="D122" s="22" t="n">
        <v>114</v>
      </c>
      <c r="H122" s="14">
        <f>INDEX(VarLab,MATCH($A122,VarKey,0))&amp;INDEX(MemLab,MATCH($C122&amp;"|"&amp;$B122,MemKey,0))</f>
        <v/>
      </c>
      <c r="I122" s="14">
        <f>INDEX(VarUnit,MATCH($A122,VarKey,0))</f>
        <v/>
      </c>
      <c r="J122" s="14">
        <f>INDEX(VarSrc,MATCH($A122,VarKey,0))</f>
        <v/>
      </c>
      <c r="K122" s="11">
        <f>CodePrefix&amp;$A122&amp;IF($C122="","","."&amp;$C122&amp;"."&amp;$B122)&amp;INDEX(VarEnd,MATCH($A122,VarKey,0))&amp;K$5</f>
        <v/>
      </c>
      <c r="L122" s="23">
        <f>INDEX(MTInputs!$J$1:$AZ$415,$D122,MATCH(L$5,MTInputs!$J$5:$AZ$5,0))</f>
        <v/>
      </c>
      <c r="M122" s="24">
        <f>INDEX(MTInputs!$J$1:$AZ$415,$D122,MATCH(M$5,MTInputs!$J$5:$AZ$5,0))</f>
        <v/>
      </c>
      <c r="N122" s="24">
        <f>INDEX(MTInputs!$J$1:$AZ$415,$D122,MATCH(N$5,MTInputs!$J$5:$AZ$5,0))</f>
        <v/>
      </c>
      <c r="O122" s="24">
        <f>INDEX(MTInputs!$J$1:$AZ$415,$D122,MATCH(O$5,MTInputs!$J$5:$AZ$5,0))</f>
        <v/>
      </c>
      <c r="P122" s="24">
        <f>INDEX(MTInputs!$J$1:$AZ$415,$D122,MATCH(P$5,MTInputs!$J$5:$AZ$5,0))</f>
        <v/>
      </c>
      <c r="Q122" s="24">
        <f>INDEX(MTInputs!$J$1:$AZ$415,$D122,MATCH(Q$5,MTInputs!$J$5:$AZ$5,0))</f>
        <v/>
      </c>
      <c r="R122" s="24">
        <f>INDEX(MTInputs!$J$1:$AZ$415,$D122,MATCH(R$5,MTInputs!$J$5:$AZ$5,0))</f>
        <v/>
      </c>
      <c r="S122" s="24">
        <f>INDEX(MTInputs!$J$1:$AZ$415,$D122,MATCH(S$5,MTInputs!$J$5:$AZ$5,0))</f>
        <v/>
      </c>
      <c r="T122" s="24">
        <f>INDEX(MTInputs!$J$1:$AZ$415,$D122,MATCH(T$5,MTInputs!$J$5:$AZ$5,0))</f>
        <v/>
      </c>
      <c r="U122" s="24">
        <f>INDEX(MTInputs!$J$1:$AZ$415,$D122,MATCH(U$5,MTInputs!$J$5:$AZ$5,0))</f>
        <v/>
      </c>
      <c r="V122" s="24">
        <f>INDEX(MTInputs!$J$1:$AZ$415,$D122,MATCH(V$5,MTInputs!$J$5:$AZ$5,0))</f>
        <v/>
      </c>
      <c r="W122" s="24">
        <f>INDEX(MTInputs!$J$1:$AZ$415,$D122,MATCH(W$5,MTInputs!$J$5:$AZ$5,0))</f>
        <v/>
      </c>
      <c r="X122" s="24">
        <f>INDEX(MTInputs!$J$1:$AZ$415,$D122,MATCH(X$5,MTInputs!$J$5:$AZ$5,0))</f>
        <v/>
      </c>
      <c r="Y122" s="24">
        <f>INDEX(MTInputs!$J$1:$AZ$415,$D122,MATCH(Y$5,MTInputs!$J$5:$AZ$5,0))</f>
        <v/>
      </c>
      <c r="Z122" s="24">
        <f>INDEX(MTInputs!$J$1:$AZ$415,$D122,MATCH(Z$5,MTInputs!$J$5:$AZ$5,0))</f>
        <v/>
      </c>
      <c r="AA122" s="24">
        <f>INDEX(MTInputs!$J$1:$AZ$415,$D122,MATCH(AA$5,MTInputs!$J$5:$AZ$5,0))</f>
        <v/>
      </c>
      <c r="AB122" s="24">
        <f>INDEX(MTInputs!$J$1:$AZ$415,$D122,MATCH(AB$5,MTInputs!$J$5:$AZ$5,0))</f>
        <v/>
      </c>
      <c r="AC122" s="24">
        <f>INDEX(MTInputs!$J$1:$AZ$415,$D122,MATCH(AC$5,MTInputs!$J$5:$AZ$5,0))</f>
        <v/>
      </c>
      <c r="AD122" s="24">
        <f>INDEX(MTInputs!$J$1:$AZ$415,$D122,MATCH(AD$5,MTInputs!$J$5:$AZ$5,0))</f>
        <v/>
      </c>
      <c r="AE122" s="24">
        <f>INDEX(MTInputs!$J$1:$AZ$415,$D122,MATCH(AE$5,MTInputs!$J$5:$AZ$5,0))</f>
        <v/>
      </c>
      <c r="AG122" s="11">
        <f>CodePrefix&amp;$A122&amp;IF($C122="","","."&amp;$C122&amp;"."&amp;$B122)&amp;INDEX(VarEnd,MATCH($A122,VarKey,0))&amp;AG$5</f>
        <v/>
      </c>
      <c r="AH122" s="23">
        <f>INDEX(MTInputs!$J$1:$AZ$415,$D122,MATCH(AH$5,MTInputs!$J$5:$AZ$5,0))</f>
        <v/>
      </c>
      <c r="AI122" s="24">
        <f>INDEX(MTInputs!$J$1:$AZ$415,$D122,MATCH(AI$5,MTInputs!$J$5:$AZ$5,0))</f>
        <v/>
      </c>
      <c r="AJ122" s="24">
        <f>INDEX(MTInputs!$J$1:$AZ$415,$D122,MATCH(AJ$5,MTInputs!$J$5:$AZ$5,0))</f>
        <v/>
      </c>
      <c r="AK122" s="24">
        <f>INDEX(MTInputs!$J$1:$AZ$415,$D122,MATCH(AK$5,MTInputs!$J$5:$AZ$5,0))</f>
        <v/>
      </c>
      <c r="AL122" s="24">
        <f>INDEX(MTInputs!$J$1:$AZ$415,$D122,MATCH(AL$5,MTInputs!$J$5:$AZ$5,0))</f>
        <v/>
      </c>
      <c r="AM122" s="24">
        <f>INDEX(MTInputs!$J$1:$AZ$415,$D122,MATCH(AM$5,MTInputs!$J$5:$AZ$5,0))</f>
        <v/>
      </c>
      <c r="AN122" s="24">
        <f>INDEX(MTInputs!$J$1:$AZ$415,$D122,MATCH(AN$5,MTInputs!$J$5:$AZ$5,0))</f>
        <v/>
      </c>
      <c r="AO122" s="24">
        <f>INDEX(MTInputs!$J$1:$AZ$415,$D122,MATCH(AO$5,MTInputs!$J$5:$AZ$5,0))</f>
        <v/>
      </c>
      <c r="AP122" s="24">
        <f>INDEX(MTInputs!$J$1:$AZ$415,$D122,MATCH(AP$5,MTInputs!$J$5:$AZ$5,0))</f>
        <v/>
      </c>
      <c r="AQ122" s="24">
        <f>INDEX(MTInputs!$J$1:$AZ$415,$D122,MATCH(AQ$5,MTInputs!$J$5:$AZ$5,0))</f>
        <v/>
      </c>
      <c r="AR122" s="24">
        <f>INDEX(MTInputs!$J$1:$AZ$415,$D122,MATCH(AR$5,MTInputs!$J$5:$AZ$5,0))</f>
        <v/>
      </c>
      <c r="AS122" s="24">
        <f>INDEX(MTInputs!$J$1:$AZ$415,$D122,MATCH(AS$5,MTInputs!$J$5:$AZ$5,0))</f>
        <v/>
      </c>
      <c r="AT122" s="24">
        <f>INDEX(MTInputs!$J$1:$AZ$415,$D122,MATCH(AT$5,MTInputs!$J$5:$AZ$5,0))</f>
        <v/>
      </c>
      <c r="AU122" s="24">
        <f>INDEX(MTInputs!$J$1:$AZ$415,$D122,MATCH(AU$5,MTInputs!$J$5:$AZ$5,0))</f>
        <v/>
      </c>
      <c r="AV122" s="24">
        <f>INDEX(MTInputs!$J$1:$AZ$415,$D122,MATCH(AV$5,MTInputs!$J$5:$AZ$5,0))</f>
        <v/>
      </c>
      <c r="AW122" s="24">
        <f>INDEX(MTInputs!$J$1:$AZ$415,$D122,MATCH(AW$5,MTInputs!$J$5:$AZ$5,0))</f>
        <v/>
      </c>
      <c r="AX122" s="24">
        <f>INDEX(MTInputs!$J$1:$AZ$415,$D122,MATCH(AX$5,MTInputs!$J$5:$AZ$5,0))</f>
        <v/>
      </c>
      <c r="AY122" s="24">
        <f>INDEX(MTInputs!$J$1:$AZ$415,$D122,MATCH(AY$5,MTInputs!$J$5:$AZ$5,0))</f>
        <v/>
      </c>
      <c r="AZ122" s="24">
        <f>INDEX(MTInputs!$J$1:$AZ$415,$D122,MATCH(AZ$5,MTInputs!$J$5:$AZ$5,0))</f>
        <v/>
      </c>
      <c r="BA122" s="24">
        <f>INDEX(MTInputs!$J$1:$AZ$415,$D122,MATCH(BA$5,MTInputs!$J$5:$AZ$5,0))</f>
        <v/>
      </c>
    </row>
    <row r="123" hidden="1" outlineLevel="1">
      <c r="A123" s="14" t="inlineStr">
        <is>
          <t>etscov</t>
        </is>
      </c>
      <c r="B123" s="14" t="inlineStr">
        <is>
          <t>all</t>
        </is>
      </c>
      <c r="C123" s="14" t="inlineStr">
        <is>
          <t>oen</t>
        </is>
      </c>
      <c r="D123" s="22" t="n">
        <v>115</v>
      </c>
      <c r="H123" s="14">
        <f>INDEX(VarLab,MATCH($A123,VarKey,0))&amp;INDEX(MemLab,MATCH($C123&amp;"|"&amp;$B123,MemKey,0))</f>
        <v/>
      </c>
      <c r="I123" s="14">
        <f>INDEX(VarUnit,MATCH($A123,VarKey,0))</f>
        <v/>
      </c>
      <c r="J123" s="14">
        <f>INDEX(VarSrc,MATCH($A123,VarKey,0))</f>
        <v/>
      </c>
      <c r="K123" s="11">
        <f>CodePrefix&amp;$A123&amp;IF($C123="","","."&amp;$C123&amp;"."&amp;$B123)&amp;INDEX(VarEnd,MATCH($A123,VarKey,0))&amp;K$5</f>
        <v/>
      </c>
      <c r="L123" s="23">
        <f>INDEX(MTInputs!$J$1:$AZ$415,$D123,MATCH(L$5,MTInputs!$J$5:$AZ$5,0))</f>
        <v/>
      </c>
      <c r="M123" s="24">
        <f>INDEX(MTInputs!$J$1:$AZ$415,$D123,MATCH(M$5,MTInputs!$J$5:$AZ$5,0))</f>
        <v/>
      </c>
      <c r="N123" s="24">
        <f>INDEX(MTInputs!$J$1:$AZ$415,$D123,MATCH(N$5,MTInputs!$J$5:$AZ$5,0))</f>
        <v/>
      </c>
      <c r="O123" s="24">
        <f>INDEX(MTInputs!$J$1:$AZ$415,$D123,MATCH(O$5,MTInputs!$J$5:$AZ$5,0))</f>
        <v/>
      </c>
      <c r="P123" s="24">
        <f>INDEX(MTInputs!$J$1:$AZ$415,$D123,MATCH(P$5,MTInputs!$J$5:$AZ$5,0))</f>
        <v/>
      </c>
      <c r="Q123" s="24">
        <f>INDEX(MTInputs!$J$1:$AZ$415,$D123,MATCH(Q$5,MTInputs!$J$5:$AZ$5,0))</f>
        <v/>
      </c>
      <c r="R123" s="24">
        <f>INDEX(MTInputs!$J$1:$AZ$415,$D123,MATCH(R$5,MTInputs!$J$5:$AZ$5,0))</f>
        <v/>
      </c>
      <c r="S123" s="24">
        <f>INDEX(MTInputs!$J$1:$AZ$415,$D123,MATCH(S$5,MTInputs!$J$5:$AZ$5,0))</f>
        <v/>
      </c>
      <c r="T123" s="24">
        <f>INDEX(MTInputs!$J$1:$AZ$415,$D123,MATCH(T$5,MTInputs!$J$5:$AZ$5,0))</f>
        <v/>
      </c>
      <c r="U123" s="24">
        <f>INDEX(MTInputs!$J$1:$AZ$415,$D123,MATCH(U$5,MTInputs!$J$5:$AZ$5,0))</f>
        <v/>
      </c>
      <c r="V123" s="24">
        <f>INDEX(MTInputs!$J$1:$AZ$415,$D123,MATCH(V$5,MTInputs!$J$5:$AZ$5,0))</f>
        <v/>
      </c>
      <c r="W123" s="24">
        <f>INDEX(MTInputs!$J$1:$AZ$415,$D123,MATCH(W$5,MTInputs!$J$5:$AZ$5,0))</f>
        <v/>
      </c>
      <c r="X123" s="24">
        <f>INDEX(MTInputs!$J$1:$AZ$415,$D123,MATCH(X$5,MTInputs!$J$5:$AZ$5,0))</f>
        <v/>
      </c>
      <c r="Y123" s="24">
        <f>INDEX(MTInputs!$J$1:$AZ$415,$D123,MATCH(Y$5,MTInputs!$J$5:$AZ$5,0))</f>
        <v/>
      </c>
      <c r="Z123" s="24">
        <f>INDEX(MTInputs!$J$1:$AZ$415,$D123,MATCH(Z$5,MTInputs!$J$5:$AZ$5,0))</f>
        <v/>
      </c>
      <c r="AA123" s="24">
        <f>INDEX(MTInputs!$J$1:$AZ$415,$D123,MATCH(AA$5,MTInputs!$J$5:$AZ$5,0))</f>
        <v/>
      </c>
      <c r="AB123" s="24">
        <f>INDEX(MTInputs!$J$1:$AZ$415,$D123,MATCH(AB$5,MTInputs!$J$5:$AZ$5,0))</f>
        <v/>
      </c>
      <c r="AC123" s="24">
        <f>INDEX(MTInputs!$J$1:$AZ$415,$D123,MATCH(AC$5,MTInputs!$J$5:$AZ$5,0))</f>
        <v/>
      </c>
      <c r="AD123" s="24">
        <f>INDEX(MTInputs!$J$1:$AZ$415,$D123,MATCH(AD$5,MTInputs!$J$5:$AZ$5,0))</f>
        <v/>
      </c>
      <c r="AE123" s="24">
        <f>INDEX(MTInputs!$J$1:$AZ$415,$D123,MATCH(AE$5,MTInputs!$J$5:$AZ$5,0))</f>
        <v/>
      </c>
      <c r="AG123" s="11">
        <f>CodePrefix&amp;$A123&amp;IF($C123="","","."&amp;$C123&amp;"."&amp;$B123)&amp;INDEX(VarEnd,MATCH($A123,VarKey,0))&amp;AG$5</f>
        <v/>
      </c>
      <c r="AH123" s="23">
        <f>INDEX(MTInputs!$J$1:$AZ$415,$D123,MATCH(AH$5,MTInputs!$J$5:$AZ$5,0))</f>
        <v/>
      </c>
      <c r="AI123" s="24">
        <f>INDEX(MTInputs!$J$1:$AZ$415,$D123,MATCH(AI$5,MTInputs!$J$5:$AZ$5,0))</f>
        <v/>
      </c>
      <c r="AJ123" s="24">
        <f>INDEX(MTInputs!$J$1:$AZ$415,$D123,MATCH(AJ$5,MTInputs!$J$5:$AZ$5,0))</f>
        <v/>
      </c>
      <c r="AK123" s="24">
        <f>INDEX(MTInputs!$J$1:$AZ$415,$D123,MATCH(AK$5,MTInputs!$J$5:$AZ$5,0))</f>
        <v/>
      </c>
      <c r="AL123" s="24">
        <f>INDEX(MTInputs!$J$1:$AZ$415,$D123,MATCH(AL$5,MTInputs!$J$5:$AZ$5,0))</f>
        <v/>
      </c>
      <c r="AM123" s="24">
        <f>INDEX(MTInputs!$J$1:$AZ$415,$D123,MATCH(AM$5,MTInputs!$J$5:$AZ$5,0))</f>
        <v/>
      </c>
      <c r="AN123" s="24">
        <f>INDEX(MTInputs!$J$1:$AZ$415,$D123,MATCH(AN$5,MTInputs!$J$5:$AZ$5,0))</f>
        <v/>
      </c>
      <c r="AO123" s="24">
        <f>INDEX(MTInputs!$J$1:$AZ$415,$D123,MATCH(AO$5,MTInputs!$J$5:$AZ$5,0))</f>
        <v/>
      </c>
      <c r="AP123" s="24">
        <f>INDEX(MTInputs!$J$1:$AZ$415,$D123,MATCH(AP$5,MTInputs!$J$5:$AZ$5,0))</f>
        <v/>
      </c>
      <c r="AQ123" s="24">
        <f>INDEX(MTInputs!$J$1:$AZ$415,$D123,MATCH(AQ$5,MTInputs!$J$5:$AZ$5,0))</f>
        <v/>
      </c>
      <c r="AR123" s="24">
        <f>INDEX(MTInputs!$J$1:$AZ$415,$D123,MATCH(AR$5,MTInputs!$J$5:$AZ$5,0))</f>
        <v/>
      </c>
      <c r="AS123" s="24">
        <f>INDEX(MTInputs!$J$1:$AZ$415,$D123,MATCH(AS$5,MTInputs!$J$5:$AZ$5,0))</f>
        <v/>
      </c>
      <c r="AT123" s="24">
        <f>INDEX(MTInputs!$J$1:$AZ$415,$D123,MATCH(AT$5,MTInputs!$J$5:$AZ$5,0))</f>
        <v/>
      </c>
      <c r="AU123" s="24">
        <f>INDEX(MTInputs!$J$1:$AZ$415,$D123,MATCH(AU$5,MTInputs!$J$5:$AZ$5,0))</f>
        <v/>
      </c>
      <c r="AV123" s="24">
        <f>INDEX(MTInputs!$J$1:$AZ$415,$D123,MATCH(AV$5,MTInputs!$J$5:$AZ$5,0))</f>
        <v/>
      </c>
      <c r="AW123" s="24">
        <f>INDEX(MTInputs!$J$1:$AZ$415,$D123,MATCH(AW$5,MTInputs!$J$5:$AZ$5,0))</f>
        <v/>
      </c>
      <c r="AX123" s="24">
        <f>INDEX(MTInputs!$J$1:$AZ$415,$D123,MATCH(AX$5,MTInputs!$J$5:$AZ$5,0))</f>
        <v/>
      </c>
      <c r="AY123" s="24">
        <f>INDEX(MTInputs!$J$1:$AZ$415,$D123,MATCH(AY$5,MTInputs!$J$5:$AZ$5,0))</f>
        <v/>
      </c>
      <c r="AZ123" s="24">
        <f>INDEX(MTInputs!$J$1:$AZ$415,$D123,MATCH(AZ$5,MTInputs!$J$5:$AZ$5,0))</f>
        <v/>
      </c>
      <c r="BA123" s="24">
        <f>INDEX(MTInputs!$J$1:$AZ$415,$D123,MATCH(BA$5,MTInputs!$J$5:$AZ$5,0))</f>
        <v/>
      </c>
    </row>
    <row r="124" hidden="1" outlineLevel="1">
      <c r="A124" s="1" t="inlineStr">
        <is>
          <t>etsc</t>
        </is>
      </c>
      <c r="B124" s="1" t="inlineStr">
        <is>
          <t>all</t>
        </is>
      </c>
      <c r="C124" s="1" t="inlineStr">
        <is>
          <t>pow</t>
        </is>
      </c>
      <c r="H124" s="1">
        <f>INDEX(VarLab,MATCH($A124,VarKey,0))&amp;INDEX(MemLab,MATCH($C124&amp;"|"&amp;$B124,MemKey,0))</f>
        <v/>
      </c>
      <c r="I124" s="1">
        <f>INDEX(VarUnit,MATCH($A124,VarKey,0))</f>
        <v/>
      </c>
      <c r="J124" s="1">
        <f>INDEX(VarSrc,MATCH($A124,VarKey,0))</f>
        <v/>
      </c>
      <c r="K124" s="17">
        <f>CodePrefix&amp;$A124&amp;IF($C124="","","."&amp;$C124&amp;"."&amp;$B124)&amp;INDEX(VarEnd,MATCH($A124,VarKey,0))&amp;K$5</f>
        <v/>
      </c>
      <c r="L124" s="18">
        <f>IF(L$105=1,IF(L107,1,0),0)</f>
        <v/>
      </c>
      <c r="M124" s="19">
        <f>IF(M$105=1,IF(M107,1,0),0)</f>
        <v/>
      </c>
      <c r="N124" s="19">
        <f>IF(N$105=1,IF(N107,1,0),0)</f>
        <v/>
      </c>
      <c r="O124" s="19">
        <f>IF(O$105=1,IF(O107,1,0),0)</f>
        <v/>
      </c>
      <c r="P124" s="19">
        <f>IF(P$105=1,IF(P107,1,0),0)</f>
        <v/>
      </c>
      <c r="Q124" s="19">
        <f>IF(Q$105=1,IF(Q107,1,0),0)</f>
        <v/>
      </c>
      <c r="R124" s="19">
        <f>IF(R$105=1,IF(R107,1,0),0)</f>
        <v/>
      </c>
      <c r="S124" s="19">
        <f>IF(S$105=1,IF(S107,1,0),0)</f>
        <v/>
      </c>
      <c r="T124" s="19">
        <f>IF(T$105=1,IF(T107,1,0),0)</f>
        <v/>
      </c>
      <c r="U124" s="19">
        <f>IF(U$105=1,IF(U107,1,0),0)</f>
        <v/>
      </c>
      <c r="V124" s="19">
        <f>IF(V$105=1,IF(V107,1,0),0)</f>
        <v/>
      </c>
      <c r="W124" s="19">
        <f>IF(W$105=1,IF(W107,1,0),0)</f>
        <v/>
      </c>
      <c r="X124" s="19">
        <f>IF(X$105=1,IF(X107,1,0),0)</f>
        <v/>
      </c>
      <c r="Y124" s="19">
        <f>IF(Y$105=1,IF(Y107,1,0),0)</f>
        <v/>
      </c>
      <c r="Z124" s="19">
        <f>IF(Z$105=1,IF(Z107,1,0),0)</f>
        <v/>
      </c>
      <c r="AA124" s="19">
        <f>IF(AA$105=1,IF(AA107,1,0),0)</f>
        <v/>
      </c>
      <c r="AB124" s="19">
        <f>IF(AB$105=1,IF(AB107,1,0),0)</f>
        <v/>
      </c>
      <c r="AC124" s="19">
        <f>IF(AC$105=1,IF(AC107,1,0),0)</f>
        <v/>
      </c>
      <c r="AD124" s="19">
        <f>IF(AD$105=1,IF(AD107,1,0),0)</f>
        <v/>
      </c>
      <c r="AE124" s="20">
        <f>ETSCOVER(AE$105,AE107)</f>
        <v/>
      </c>
      <c r="AG124" s="17">
        <f>CodePrefix&amp;$A124&amp;IF($C124="","","."&amp;$C124&amp;"."&amp;$B124)&amp;INDEX(VarEnd,MATCH($A124,VarKey,0))&amp;AG$5</f>
        <v/>
      </c>
      <c r="AH124" s="18">
        <f>IF(AH$105=1,IF(AH107,1,0),0)</f>
        <v/>
      </c>
      <c r="AI124" s="19">
        <f>IF(AI$105=1,IF(AI107,1,0),0)</f>
        <v/>
      </c>
      <c r="AJ124" s="19">
        <f>IF(AJ$105=1,IF(AJ107,1,0),0)</f>
        <v/>
      </c>
      <c r="AK124" s="19">
        <f>IF(AK$105=1,IF(AK107,1,0),0)</f>
        <v/>
      </c>
      <c r="AL124" s="19">
        <f>IF(AL$105=1,IF(AL107,1,0),0)</f>
        <v/>
      </c>
      <c r="AM124" s="19">
        <f>IF(AM$105=1,IF(AM107,1,0),0)</f>
        <v/>
      </c>
      <c r="AN124" s="19">
        <f>IF(AN$105=1,IF(AN107,1,0),0)</f>
        <v/>
      </c>
      <c r="AO124" s="19">
        <f>IF(AO$105=1,IF(AO107,1,0),0)</f>
        <v/>
      </c>
      <c r="AP124" s="19">
        <f>IF(AP$105=1,IF(AP107,1,0),0)</f>
        <v/>
      </c>
      <c r="AQ124" s="19">
        <f>IF(AQ$105=1,IF(AQ107,1,0),0)</f>
        <v/>
      </c>
      <c r="AR124" s="19">
        <f>IF(AR$105=1,IF(AR107,1,0),0)</f>
        <v/>
      </c>
      <c r="AS124" s="19">
        <f>IF(AS$105=1,IF(AS107,1,0),0)</f>
        <v/>
      </c>
      <c r="AT124" s="19">
        <f>IF(AT$105=1,IF(AT107,1,0),0)</f>
        <v/>
      </c>
      <c r="AU124" s="19">
        <f>IF(AU$105=1,IF(AU107,1,0),0)</f>
        <v/>
      </c>
      <c r="AV124" s="19">
        <f>IF(AV$105=1,IF(AV107,1,0),0)</f>
        <v/>
      </c>
      <c r="AW124" s="19">
        <f>IF(AW$105=1,IF(AW107,1,0),0)</f>
        <v/>
      </c>
      <c r="AX124" s="19">
        <f>IF(AX$105=1,IF(AX107,1,0),0)</f>
        <v/>
      </c>
      <c r="AY124" s="19">
        <f>IF(AY$105=1,IF(AY107,1,0),0)</f>
        <v/>
      </c>
      <c r="AZ124" s="19">
        <f>IF(AZ$105=1,IF(AZ107,1,0),0)</f>
        <v/>
      </c>
      <c r="BA124" s="20">
        <f>ETSCOVER(BA$105,BA107)</f>
        <v/>
      </c>
    </row>
    <row r="125" hidden="1" outlineLevel="1">
      <c r="A125" s="1" t="inlineStr">
        <is>
          <t>etsc</t>
        </is>
      </c>
      <c r="B125" s="1" t="inlineStr">
        <is>
          <t>all</t>
        </is>
      </c>
      <c r="C125" s="1" t="inlineStr">
        <is>
          <t>rod</t>
        </is>
      </c>
      <c r="H125" s="1">
        <f>INDEX(VarLab,MATCH($A125,VarKey,0))&amp;INDEX(MemLab,MATCH($C125&amp;"|"&amp;$B125,MemKey,0))</f>
        <v/>
      </c>
      <c r="I125" s="1">
        <f>INDEX(VarUnit,MATCH($A125,VarKey,0))</f>
        <v/>
      </c>
      <c r="J125" s="1">
        <f>INDEX(VarSrc,MATCH($A125,VarKey,0))</f>
        <v/>
      </c>
      <c r="K125" s="17">
        <f>CodePrefix&amp;$A125&amp;IF($C125="","","."&amp;$C125&amp;"."&amp;$B125)&amp;INDEX(VarEnd,MATCH($A125,VarKey,0))&amp;K$5</f>
        <v/>
      </c>
      <c r="L125" s="18">
        <f>IF(L$105=1,IF(L108,1,0),0)</f>
        <v/>
      </c>
      <c r="M125" s="19">
        <f>IF(M$105=1,IF(M108,1,0),0)</f>
        <v/>
      </c>
      <c r="N125" s="19">
        <f>IF(N$105=1,IF(N108,1,0),0)</f>
        <v/>
      </c>
      <c r="O125" s="19">
        <f>IF(O$105=1,IF(O108,1,0),0)</f>
        <v/>
      </c>
      <c r="P125" s="19">
        <f>IF(P$105=1,IF(P108,1,0),0)</f>
        <v/>
      </c>
      <c r="Q125" s="19">
        <f>IF(Q$105=1,IF(Q108,1,0),0)</f>
        <v/>
      </c>
      <c r="R125" s="19">
        <f>IF(R$105=1,IF(R108,1,0),0)</f>
        <v/>
      </c>
      <c r="S125" s="19">
        <f>IF(S$105=1,IF(S108,1,0),0)</f>
        <v/>
      </c>
      <c r="T125" s="19">
        <f>IF(T$105=1,IF(T108,1,0),0)</f>
        <v/>
      </c>
      <c r="U125" s="19">
        <f>IF(U$105=1,IF(U108,1,0),0)</f>
        <v/>
      </c>
      <c r="V125" s="19">
        <f>IF(V$105=1,IF(V108,1,0),0)</f>
        <v/>
      </c>
      <c r="W125" s="19">
        <f>IF(W$105=1,IF(W108,1,0),0)</f>
        <v/>
      </c>
      <c r="X125" s="19">
        <f>IF(X$105=1,IF(X108,1,0),0)</f>
        <v/>
      </c>
      <c r="Y125" s="19">
        <f>IF(Y$105=1,IF(Y108,1,0),0)</f>
        <v/>
      </c>
      <c r="Z125" s="19">
        <f>IF(Z$105=1,IF(Z108,1,0),0)</f>
        <v/>
      </c>
      <c r="AA125" s="19">
        <f>IF(AA$105=1,IF(AA108,1,0),0)</f>
        <v/>
      </c>
      <c r="AB125" s="19">
        <f>IF(AB$105=1,IF(AB108,1,0),0)</f>
        <v/>
      </c>
      <c r="AC125" s="19">
        <f>IF(AC$105=1,IF(AC108,1,0),0)</f>
        <v/>
      </c>
      <c r="AD125" s="19">
        <f>IF(AD$105=1,IF(AD108,1,0),0)</f>
        <v/>
      </c>
      <c r="AE125" s="20">
        <f>ETSCOVER(AE$105,AE108)</f>
        <v/>
      </c>
      <c r="AG125" s="17">
        <f>CodePrefix&amp;$A125&amp;IF($C125="","","."&amp;$C125&amp;"."&amp;$B125)&amp;INDEX(VarEnd,MATCH($A125,VarKey,0))&amp;AG$5</f>
        <v/>
      </c>
      <c r="AH125" s="18">
        <f>IF(AH$105=1,IF(AH108,1,0),0)</f>
        <v/>
      </c>
      <c r="AI125" s="19">
        <f>IF(AI$105=1,IF(AI108,1,0),0)</f>
        <v/>
      </c>
      <c r="AJ125" s="19">
        <f>IF(AJ$105=1,IF(AJ108,1,0),0)</f>
        <v/>
      </c>
      <c r="AK125" s="19">
        <f>IF(AK$105=1,IF(AK108,1,0),0)</f>
        <v/>
      </c>
      <c r="AL125" s="19">
        <f>IF(AL$105=1,IF(AL108,1,0),0)</f>
        <v/>
      </c>
      <c r="AM125" s="19">
        <f>IF(AM$105=1,IF(AM108,1,0),0)</f>
        <v/>
      </c>
      <c r="AN125" s="19">
        <f>IF(AN$105=1,IF(AN108,1,0),0)</f>
        <v/>
      </c>
      <c r="AO125" s="19">
        <f>IF(AO$105=1,IF(AO108,1,0),0)</f>
        <v/>
      </c>
      <c r="AP125" s="19">
        <f>IF(AP$105=1,IF(AP108,1,0),0)</f>
        <v/>
      </c>
      <c r="AQ125" s="19">
        <f>IF(AQ$105=1,IF(AQ108,1,0),0)</f>
        <v/>
      </c>
      <c r="AR125" s="19">
        <f>IF(AR$105=1,IF(AR108,1,0),0)</f>
        <v/>
      </c>
      <c r="AS125" s="19">
        <f>IF(AS$105=1,IF(AS108,1,0),0)</f>
        <v/>
      </c>
      <c r="AT125" s="19">
        <f>IF(AT$105=1,IF(AT108,1,0),0)</f>
        <v/>
      </c>
      <c r="AU125" s="19">
        <f>IF(AU$105=1,IF(AU108,1,0),0)</f>
        <v/>
      </c>
      <c r="AV125" s="19">
        <f>IF(AV$105=1,IF(AV108,1,0),0)</f>
        <v/>
      </c>
      <c r="AW125" s="19">
        <f>IF(AW$105=1,IF(AW108,1,0),0)</f>
        <v/>
      </c>
      <c r="AX125" s="19">
        <f>IF(AX$105=1,IF(AX108,1,0),0)</f>
        <v/>
      </c>
      <c r="AY125" s="19">
        <f>IF(AY$105=1,IF(AY108,1,0),0)</f>
        <v/>
      </c>
      <c r="AZ125" s="19">
        <f>IF(AZ$105=1,IF(AZ108,1,0),0)</f>
        <v/>
      </c>
      <c r="BA125" s="20">
        <f>ETSCOVER(BA$105,BA108)</f>
        <v/>
      </c>
    </row>
    <row r="126" hidden="1" outlineLevel="1">
      <c r="A126" s="1" t="inlineStr">
        <is>
          <t>etsc</t>
        </is>
      </c>
      <c r="B126" s="1" t="inlineStr">
        <is>
          <t>all</t>
        </is>
      </c>
      <c r="C126" s="1" t="inlineStr">
        <is>
          <t>ral</t>
        </is>
      </c>
      <c r="H126" s="1">
        <f>INDEX(VarLab,MATCH($A126,VarKey,0))&amp;INDEX(MemLab,MATCH($C126&amp;"|"&amp;$B126,MemKey,0))</f>
        <v/>
      </c>
      <c r="I126" s="1">
        <f>INDEX(VarUnit,MATCH($A126,VarKey,0))</f>
        <v/>
      </c>
      <c r="J126" s="1">
        <f>INDEX(VarSrc,MATCH($A126,VarKey,0))</f>
        <v/>
      </c>
      <c r="K126" s="17">
        <f>CodePrefix&amp;$A126&amp;IF($C126="","","."&amp;$C126&amp;"."&amp;$B126)&amp;INDEX(VarEnd,MATCH($A126,VarKey,0))&amp;K$5</f>
        <v/>
      </c>
      <c r="L126" s="18">
        <f>IF(L$105=1,IF(L109,1,0),0)</f>
        <v/>
      </c>
      <c r="M126" s="19">
        <f>IF(M$105=1,IF(M109,1,0),0)</f>
        <v/>
      </c>
      <c r="N126" s="19">
        <f>IF(N$105=1,IF(N109,1,0),0)</f>
        <v/>
      </c>
      <c r="O126" s="19">
        <f>IF(O$105=1,IF(O109,1,0),0)</f>
        <v/>
      </c>
      <c r="P126" s="19">
        <f>IF(P$105=1,IF(P109,1,0),0)</f>
        <v/>
      </c>
      <c r="Q126" s="19">
        <f>IF(Q$105=1,IF(Q109,1,0),0)</f>
        <v/>
      </c>
      <c r="R126" s="19">
        <f>IF(R$105=1,IF(R109,1,0),0)</f>
        <v/>
      </c>
      <c r="S126" s="19">
        <f>IF(S$105=1,IF(S109,1,0),0)</f>
        <v/>
      </c>
      <c r="T126" s="19">
        <f>IF(T$105=1,IF(T109,1,0),0)</f>
        <v/>
      </c>
      <c r="U126" s="19">
        <f>IF(U$105=1,IF(U109,1,0),0)</f>
        <v/>
      </c>
      <c r="V126" s="19">
        <f>IF(V$105=1,IF(V109,1,0),0)</f>
        <v/>
      </c>
      <c r="W126" s="19">
        <f>IF(W$105=1,IF(W109,1,0),0)</f>
        <v/>
      </c>
      <c r="X126" s="19">
        <f>IF(X$105=1,IF(X109,1,0),0)</f>
        <v/>
      </c>
      <c r="Y126" s="19">
        <f>IF(Y$105=1,IF(Y109,1,0),0)</f>
        <v/>
      </c>
      <c r="Z126" s="19">
        <f>IF(Z$105=1,IF(Z109,1,0),0)</f>
        <v/>
      </c>
      <c r="AA126" s="19">
        <f>IF(AA$105=1,IF(AA109,1,0),0)</f>
        <v/>
      </c>
      <c r="AB126" s="19">
        <f>IF(AB$105=1,IF(AB109,1,0),0)</f>
        <v/>
      </c>
      <c r="AC126" s="19">
        <f>IF(AC$105=1,IF(AC109,1,0),0)</f>
        <v/>
      </c>
      <c r="AD126" s="19">
        <f>IF(AD$105=1,IF(AD109,1,0),0)</f>
        <v/>
      </c>
      <c r="AE126" s="20">
        <f>ETSCOVER(AE$105,AE109)</f>
        <v/>
      </c>
      <c r="AG126" s="17">
        <f>CodePrefix&amp;$A126&amp;IF($C126="","","."&amp;$C126&amp;"."&amp;$B126)&amp;INDEX(VarEnd,MATCH($A126,VarKey,0))&amp;AG$5</f>
        <v/>
      </c>
      <c r="AH126" s="18">
        <f>IF(AH$105=1,IF(AH109,1,0),0)</f>
        <v/>
      </c>
      <c r="AI126" s="19">
        <f>IF(AI$105=1,IF(AI109,1,0),0)</f>
        <v/>
      </c>
      <c r="AJ126" s="19">
        <f>IF(AJ$105=1,IF(AJ109,1,0),0)</f>
        <v/>
      </c>
      <c r="AK126" s="19">
        <f>IF(AK$105=1,IF(AK109,1,0),0)</f>
        <v/>
      </c>
      <c r="AL126" s="19">
        <f>IF(AL$105=1,IF(AL109,1,0),0)</f>
        <v/>
      </c>
      <c r="AM126" s="19">
        <f>IF(AM$105=1,IF(AM109,1,0),0)</f>
        <v/>
      </c>
      <c r="AN126" s="19">
        <f>IF(AN$105=1,IF(AN109,1,0),0)</f>
        <v/>
      </c>
      <c r="AO126" s="19">
        <f>IF(AO$105=1,IF(AO109,1,0),0)</f>
        <v/>
      </c>
      <c r="AP126" s="19">
        <f>IF(AP$105=1,IF(AP109,1,0),0)</f>
        <v/>
      </c>
      <c r="AQ126" s="19">
        <f>IF(AQ$105=1,IF(AQ109,1,0),0)</f>
        <v/>
      </c>
      <c r="AR126" s="19">
        <f>IF(AR$105=1,IF(AR109,1,0),0)</f>
        <v/>
      </c>
      <c r="AS126" s="19">
        <f>IF(AS$105=1,IF(AS109,1,0),0)</f>
        <v/>
      </c>
      <c r="AT126" s="19">
        <f>IF(AT$105=1,IF(AT109,1,0),0)</f>
        <v/>
      </c>
      <c r="AU126" s="19">
        <f>IF(AU$105=1,IF(AU109,1,0),0)</f>
        <v/>
      </c>
      <c r="AV126" s="19">
        <f>IF(AV$105=1,IF(AV109,1,0),0)</f>
        <v/>
      </c>
      <c r="AW126" s="19">
        <f>IF(AW$105=1,IF(AW109,1,0),0)</f>
        <v/>
      </c>
      <c r="AX126" s="19">
        <f>IF(AX$105=1,IF(AX109,1,0),0)</f>
        <v/>
      </c>
      <c r="AY126" s="19">
        <f>IF(AY$105=1,IF(AY109,1,0),0)</f>
        <v/>
      </c>
      <c r="AZ126" s="19">
        <f>IF(AZ$105=1,IF(AZ109,1,0),0)</f>
        <v/>
      </c>
      <c r="BA126" s="20">
        <f>ETSCOVER(BA$105,BA109)</f>
        <v/>
      </c>
    </row>
    <row r="127" hidden="1" outlineLevel="1">
      <c r="A127" s="1" t="inlineStr">
        <is>
          <t>etsc</t>
        </is>
      </c>
      <c r="B127" s="1" t="inlineStr">
        <is>
          <t>all</t>
        </is>
      </c>
      <c r="C127" s="1" t="inlineStr">
        <is>
          <t>avi</t>
        </is>
      </c>
      <c r="H127" s="1">
        <f>INDEX(VarLab,MATCH($A127,VarKey,0))&amp;INDEX(MemLab,MATCH($C127&amp;"|"&amp;$B127,MemKey,0))</f>
        <v/>
      </c>
      <c r="I127" s="1">
        <f>INDEX(VarUnit,MATCH($A127,VarKey,0))</f>
        <v/>
      </c>
      <c r="J127" s="1">
        <f>INDEX(VarSrc,MATCH($A127,VarKey,0))</f>
        <v/>
      </c>
      <c r="K127" s="17">
        <f>CodePrefix&amp;$A127&amp;IF($C127="","","."&amp;$C127&amp;"."&amp;$B127)&amp;INDEX(VarEnd,MATCH($A127,VarKey,0))&amp;K$5</f>
        <v/>
      </c>
      <c r="L127" s="18">
        <f>IF(L$105=1,IF(L110,1,0),0)</f>
        <v/>
      </c>
      <c r="M127" s="19">
        <f>IF(M$105=1,IF(M110,1,0),0)</f>
        <v/>
      </c>
      <c r="N127" s="19">
        <f>IF(N$105=1,IF(N110,1,0),0)</f>
        <v/>
      </c>
      <c r="O127" s="19">
        <f>IF(O$105=1,IF(O110,1,0),0)</f>
        <v/>
      </c>
      <c r="P127" s="19">
        <f>IF(P$105=1,IF(P110,1,0),0)</f>
        <v/>
      </c>
      <c r="Q127" s="19">
        <f>IF(Q$105=1,IF(Q110,1,0),0)</f>
        <v/>
      </c>
      <c r="R127" s="19">
        <f>IF(R$105=1,IF(R110,1,0),0)</f>
        <v/>
      </c>
      <c r="S127" s="19">
        <f>IF(S$105=1,IF(S110,1,0),0)</f>
        <v/>
      </c>
      <c r="T127" s="19">
        <f>IF(T$105=1,IF(T110,1,0),0)</f>
        <v/>
      </c>
      <c r="U127" s="19">
        <f>IF(U$105=1,IF(U110,1,0),0)</f>
        <v/>
      </c>
      <c r="V127" s="19">
        <f>IF(V$105=1,IF(V110,1,0),0)</f>
        <v/>
      </c>
      <c r="W127" s="19">
        <f>IF(W$105=1,IF(W110,1,0),0)</f>
        <v/>
      </c>
      <c r="X127" s="19">
        <f>IF(X$105=1,IF(X110,1,0),0)</f>
        <v/>
      </c>
      <c r="Y127" s="19">
        <f>IF(Y$105=1,IF(Y110,1,0),0)</f>
        <v/>
      </c>
      <c r="Z127" s="19">
        <f>IF(Z$105=1,IF(Z110,1,0),0)</f>
        <v/>
      </c>
      <c r="AA127" s="19">
        <f>IF(AA$105=1,IF(AA110,1,0),0)</f>
        <v/>
      </c>
      <c r="AB127" s="19">
        <f>IF(AB$105=1,IF(AB110,1,0),0)</f>
        <v/>
      </c>
      <c r="AC127" s="19">
        <f>IF(AC$105=1,IF(AC110,1,0),0)</f>
        <v/>
      </c>
      <c r="AD127" s="19">
        <f>IF(AD$105=1,IF(AD110,1,0),0)</f>
        <v/>
      </c>
      <c r="AE127" s="20">
        <f>ETSCOVER(AE$105,AE110)</f>
        <v/>
      </c>
      <c r="AG127" s="17">
        <f>CodePrefix&amp;$A127&amp;IF($C127="","","."&amp;$C127&amp;"."&amp;$B127)&amp;INDEX(VarEnd,MATCH($A127,VarKey,0))&amp;AG$5</f>
        <v/>
      </c>
      <c r="AH127" s="18">
        <f>IF(AH$105=1,IF(AH110,1,0),0)</f>
        <v/>
      </c>
      <c r="AI127" s="19">
        <f>IF(AI$105=1,IF(AI110,1,0),0)</f>
        <v/>
      </c>
      <c r="AJ127" s="19">
        <f>IF(AJ$105=1,IF(AJ110,1,0),0)</f>
        <v/>
      </c>
      <c r="AK127" s="19">
        <f>IF(AK$105=1,IF(AK110,1,0),0)</f>
        <v/>
      </c>
      <c r="AL127" s="19">
        <f>IF(AL$105=1,IF(AL110,1,0),0)</f>
        <v/>
      </c>
      <c r="AM127" s="19">
        <f>IF(AM$105=1,IF(AM110,1,0),0)</f>
        <v/>
      </c>
      <c r="AN127" s="19">
        <f>IF(AN$105=1,IF(AN110,1,0),0)</f>
        <v/>
      </c>
      <c r="AO127" s="19">
        <f>IF(AO$105=1,IF(AO110,1,0),0)</f>
        <v/>
      </c>
      <c r="AP127" s="19">
        <f>IF(AP$105=1,IF(AP110,1,0),0)</f>
        <v/>
      </c>
      <c r="AQ127" s="19">
        <f>IF(AQ$105=1,IF(AQ110,1,0),0)</f>
        <v/>
      </c>
      <c r="AR127" s="19">
        <f>IF(AR$105=1,IF(AR110,1,0),0)</f>
        <v/>
      </c>
      <c r="AS127" s="19">
        <f>IF(AS$105=1,IF(AS110,1,0),0)</f>
        <v/>
      </c>
      <c r="AT127" s="19">
        <f>IF(AT$105=1,IF(AT110,1,0),0)</f>
        <v/>
      </c>
      <c r="AU127" s="19">
        <f>IF(AU$105=1,IF(AU110,1,0),0)</f>
        <v/>
      </c>
      <c r="AV127" s="19">
        <f>IF(AV$105=1,IF(AV110,1,0),0)</f>
        <v/>
      </c>
      <c r="AW127" s="19">
        <f>IF(AW$105=1,IF(AW110,1,0),0)</f>
        <v/>
      </c>
      <c r="AX127" s="19">
        <f>IF(AX$105=1,IF(AX110,1,0),0)</f>
        <v/>
      </c>
      <c r="AY127" s="19">
        <f>IF(AY$105=1,IF(AY110,1,0),0)</f>
        <v/>
      </c>
      <c r="AZ127" s="19">
        <f>IF(AZ$105=1,IF(AZ110,1,0),0)</f>
        <v/>
      </c>
      <c r="BA127" s="20">
        <f>ETSCOVER(BA$105,BA110)</f>
        <v/>
      </c>
    </row>
    <row r="128" hidden="1" outlineLevel="1">
      <c r="A128" s="1" t="inlineStr">
        <is>
          <t>etsc</t>
        </is>
      </c>
      <c r="B128" s="1" t="inlineStr">
        <is>
          <t>all</t>
        </is>
      </c>
      <c r="C128" s="1" t="inlineStr">
        <is>
          <t>nav</t>
        </is>
      </c>
      <c r="H128" s="1">
        <f>INDEX(VarLab,MATCH($A128,VarKey,0))&amp;INDEX(MemLab,MATCH($C128&amp;"|"&amp;$B128,MemKey,0))</f>
        <v/>
      </c>
      <c r="I128" s="1">
        <f>INDEX(VarUnit,MATCH($A128,VarKey,0))</f>
        <v/>
      </c>
      <c r="J128" s="1">
        <f>INDEX(VarSrc,MATCH($A128,VarKey,0))</f>
        <v/>
      </c>
      <c r="K128" s="17">
        <f>CodePrefix&amp;$A128&amp;IF($C128="","","."&amp;$C128&amp;"."&amp;$B128)&amp;INDEX(VarEnd,MATCH($A128,VarKey,0))&amp;K$5</f>
        <v/>
      </c>
      <c r="L128" s="18">
        <f>IF(L$105=1,IF(L111,1,0),0)</f>
        <v/>
      </c>
      <c r="M128" s="19">
        <f>IF(M$105=1,IF(M111,1,0),0)</f>
        <v/>
      </c>
      <c r="N128" s="19">
        <f>IF(N$105=1,IF(N111,1,0),0)</f>
        <v/>
      </c>
      <c r="O128" s="19">
        <f>IF(O$105=1,IF(O111,1,0),0)</f>
        <v/>
      </c>
      <c r="P128" s="19">
        <f>IF(P$105=1,IF(P111,1,0),0)</f>
        <v/>
      </c>
      <c r="Q128" s="19">
        <f>IF(Q$105=1,IF(Q111,1,0),0)</f>
        <v/>
      </c>
      <c r="R128" s="19">
        <f>IF(R$105=1,IF(R111,1,0),0)</f>
        <v/>
      </c>
      <c r="S128" s="19">
        <f>IF(S$105=1,IF(S111,1,0),0)</f>
        <v/>
      </c>
      <c r="T128" s="19">
        <f>IF(T$105=1,IF(T111,1,0),0)</f>
        <v/>
      </c>
      <c r="U128" s="19">
        <f>IF(U$105=1,IF(U111,1,0),0)</f>
        <v/>
      </c>
      <c r="V128" s="19">
        <f>IF(V$105=1,IF(V111,1,0),0)</f>
        <v/>
      </c>
      <c r="W128" s="19">
        <f>IF(W$105=1,IF(W111,1,0),0)</f>
        <v/>
      </c>
      <c r="X128" s="19">
        <f>IF(X$105=1,IF(X111,1,0),0)</f>
        <v/>
      </c>
      <c r="Y128" s="19">
        <f>IF(Y$105=1,IF(Y111,1,0),0)</f>
        <v/>
      </c>
      <c r="Z128" s="19">
        <f>IF(Z$105=1,IF(Z111,1,0),0)</f>
        <v/>
      </c>
      <c r="AA128" s="19">
        <f>IF(AA$105=1,IF(AA111,1,0),0)</f>
        <v/>
      </c>
      <c r="AB128" s="19">
        <f>IF(AB$105=1,IF(AB111,1,0),0)</f>
        <v/>
      </c>
      <c r="AC128" s="19">
        <f>IF(AC$105=1,IF(AC111,1,0),0)</f>
        <v/>
      </c>
      <c r="AD128" s="19">
        <f>IF(AD$105=1,IF(AD111,1,0),0)</f>
        <v/>
      </c>
      <c r="AE128" s="20">
        <f>ETSCOVER(AE$105,AE111)</f>
        <v/>
      </c>
      <c r="AG128" s="17">
        <f>CodePrefix&amp;$A128&amp;IF($C128="","","."&amp;$C128&amp;"."&amp;$B128)&amp;INDEX(VarEnd,MATCH($A128,VarKey,0))&amp;AG$5</f>
        <v/>
      </c>
      <c r="AH128" s="18">
        <f>IF(AH$105=1,IF(AH111,1,0),0)</f>
        <v/>
      </c>
      <c r="AI128" s="19">
        <f>IF(AI$105=1,IF(AI111,1,0),0)</f>
        <v/>
      </c>
      <c r="AJ128" s="19">
        <f>IF(AJ$105=1,IF(AJ111,1,0),0)</f>
        <v/>
      </c>
      <c r="AK128" s="19">
        <f>IF(AK$105=1,IF(AK111,1,0),0)</f>
        <v/>
      </c>
      <c r="AL128" s="19">
        <f>IF(AL$105=1,IF(AL111,1,0),0)</f>
        <v/>
      </c>
      <c r="AM128" s="19">
        <f>IF(AM$105=1,IF(AM111,1,0),0)</f>
        <v/>
      </c>
      <c r="AN128" s="19">
        <f>IF(AN$105=1,IF(AN111,1,0),0)</f>
        <v/>
      </c>
      <c r="AO128" s="19">
        <f>IF(AO$105=1,IF(AO111,1,0),0)</f>
        <v/>
      </c>
      <c r="AP128" s="19">
        <f>IF(AP$105=1,IF(AP111,1,0),0)</f>
        <v/>
      </c>
      <c r="AQ128" s="19">
        <f>IF(AQ$105=1,IF(AQ111,1,0),0)</f>
        <v/>
      </c>
      <c r="AR128" s="19">
        <f>IF(AR$105=1,IF(AR111,1,0),0)</f>
        <v/>
      </c>
      <c r="AS128" s="19">
        <f>IF(AS$105=1,IF(AS111,1,0),0)</f>
        <v/>
      </c>
      <c r="AT128" s="19">
        <f>IF(AT$105=1,IF(AT111,1,0),0)</f>
        <v/>
      </c>
      <c r="AU128" s="19">
        <f>IF(AU$105=1,IF(AU111,1,0),0)</f>
        <v/>
      </c>
      <c r="AV128" s="19">
        <f>IF(AV$105=1,IF(AV111,1,0),0)</f>
        <v/>
      </c>
      <c r="AW128" s="19">
        <f>IF(AW$105=1,IF(AW111,1,0),0)</f>
        <v/>
      </c>
      <c r="AX128" s="19">
        <f>IF(AX$105=1,IF(AX111,1,0),0)</f>
        <v/>
      </c>
      <c r="AY128" s="19">
        <f>IF(AY$105=1,IF(AY111,1,0),0)</f>
        <v/>
      </c>
      <c r="AZ128" s="19">
        <f>IF(AZ$105=1,IF(AZ111,1,0),0)</f>
        <v/>
      </c>
      <c r="BA128" s="20">
        <f>ETSCOVER(BA$105,BA111)</f>
        <v/>
      </c>
    </row>
    <row r="129" hidden="1" outlineLevel="1">
      <c r="A129" s="1" t="inlineStr">
        <is>
          <t>etsc</t>
        </is>
      </c>
      <c r="B129" s="1" t="inlineStr">
        <is>
          <t>all</t>
        </is>
      </c>
      <c r="C129" s="1" t="inlineStr">
        <is>
          <t>res</t>
        </is>
      </c>
      <c r="H129" s="1">
        <f>INDEX(VarLab,MATCH($A129,VarKey,0))&amp;INDEX(MemLab,MATCH($C129&amp;"|"&amp;$B129,MemKey,0))</f>
        <v/>
      </c>
      <c r="I129" s="1">
        <f>INDEX(VarUnit,MATCH($A129,VarKey,0))</f>
        <v/>
      </c>
      <c r="J129" s="1">
        <f>INDEX(VarSrc,MATCH($A129,VarKey,0))</f>
        <v/>
      </c>
      <c r="K129" s="17">
        <f>CodePrefix&amp;$A129&amp;IF($C129="","","."&amp;$C129&amp;"."&amp;$B129)&amp;INDEX(VarEnd,MATCH($A129,VarKey,0))&amp;K$5</f>
        <v/>
      </c>
      <c r="L129" s="18">
        <f>IF(L$105=1,IF(L112,1,0),0)</f>
        <v/>
      </c>
      <c r="M129" s="19">
        <f>IF(M$105=1,IF(M112,1,0),0)</f>
        <v/>
      </c>
      <c r="N129" s="19">
        <f>IF(N$105=1,IF(N112,1,0),0)</f>
        <v/>
      </c>
      <c r="O129" s="19">
        <f>IF(O$105=1,IF(O112,1,0),0)</f>
        <v/>
      </c>
      <c r="P129" s="19">
        <f>IF(P$105=1,IF(P112,1,0),0)</f>
        <v/>
      </c>
      <c r="Q129" s="19">
        <f>IF(Q$105=1,IF(Q112,1,0),0)</f>
        <v/>
      </c>
      <c r="R129" s="19">
        <f>IF(R$105=1,IF(R112,1,0),0)</f>
        <v/>
      </c>
      <c r="S129" s="19">
        <f>IF(S$105=1,IF(S112,1,0),0)</f>
        <v/>
      </c>
      <c r="T129" s="19">
        <f>IF(T$105=1,IF(T112,1,0),0)</f>
        <v/>
      </c>
      <c r="U129" s="19">
        <f>IF(U$105=1,IF(U112,1,0),0)</f>
        <v/>
      </c>
      <c r="V129" s="19">
        <f>IF(V$105=1,IF(V112,1,0),0)</f>
        <v/>
      </c>
      <c r="W129" s="19">
        <f>IF(W$105=1,IF(W112,1,0),0)</f>
        <v/>
      </c>
      <c r="X129" s="19">
        <f>IF(X$105=1,IF(X112,1,0),0)</f>
        <v/>
      </c>
      <c r="Y129" s="19">
        <f>IF(Y$105=1,IF(Y112,1,0),0)</f>
        <v/>
      </c>
      <c r="Z129" s="19">
        <f>IF(Z$105=1,IF(Z112,1,0),0)</f>
        <v/>
      </c>
      <c r="AA129" s="19">
        <f>IF(AA$105=1,IF(AA112,1,0),0)</f>
        <v/>
      </c>
      <c r="AB129" s="19">
        <f>IF(AB$105=1,IF(AB112,1,0),0)</f>
        <v/>
      </c>
      <c r="AC129" s="19">
        <f>IF(AC$105=1,IF(AC112,1,0),0)</f>
        <v/>
      </c>
      <c r="AD129" s="19">
        <f>IF(AD$105=1,IF(AD112,1,0),0)</f>
        <v/>
      </c>
      <c r="AE129" s="20">
        <f>ETSCOVER(AE$105,AE112)</f>
        <v/>
      </c>
      <c r="AG129" s="17">
        <f>CodePrefix&amp;$A129&amp;IF($C129="","","."&amp;$C129&amp;"."&amp;$B129)&amp;INDEX(VarEnd,MATCH($A129,VarKey,0))&amp;AG$5</f>
        <v/>
      </c>
      <c r="AH129" s="18">
        <f>IF(AH$105=1,IF(AH112,1,0),0)</f>
        <v/>
      </c>
      <c r="AI129" s="19">
        <f>IF(AI$105=1,IF(AI112,1,0),0)</f>
        <v/>
      </c>
      <c r="AJ129" s="19">
        <f>IF(AJ$105=1,IF(AJ112,1,0),0)</f>
        <v/>
      </c>
      <c r="AK129" s="19">
        <f>IF(AK$105=1,IF(AK112,1,0),0)</f>
        <v/>
      </c>
      <c r="AL129" s="19">
        <f>IF(AL$105=1,IF(AL112,1,0),0)</f>
        <v/>
      </c>
      <c r="AM129" s="19">
        <f>IF(AM$105=1,IF(AM112,1,0),0)</f>
        <v/>
      </c>
      <c r="AN129" s="19">
        <f>IF(AN$105=1,IF(AN112,1,0),0)</f>
        <v/>
      </c>
      <c r="AO129" s="19">
        <f>IF(AO$105=1,IF(AO112,1,0),0)</f>
        <v/>
      </c>
      <c r="AP129" s="19">
        <f>IF(AP$105=1,IF(AP112,1,0),0)</f>
        <v/>
      </c>
      <c r="AQ129" s="19">
        <f>IF(AQ$105=1,IF(AQ112,1,0),0)</f>
        <v/>
      </c>
      <c r="AR129" s="19">
        <f>IF(AR$105=1,IF(AR112,1,0),0)</f>
        <v/>
      </c>
      <c r="AS129" s="19">
        <f>IF(AS$105=1,IF(AS112,1,0),0)</f>
        <v/>
      </c>
      <c r="AT129" s="19">
        <f>IF(AT$105=1,IF(AT112,1,0),0)</f>
        <v/>
      </c>
      <c r="AU129" s="19">
        <f>IF(AU$105=1,IF(AU112,1,0),0)</f>
        <v/>
      </c>
      <c r="AV129" s="19">
        <f>IF(AV$105=1,IF(AV112,1,0),0)</f>
        <v/>
      </c>
      <c r="AW129" s="19">
        <f>IF(AW$105=1,IF(AW112,1,0),0)</f>
        <v/>
      </c>
      <c r="AX129" s="19">
        <f>IF(AX$105=1,IF(AX112,1,0),0)</f>
        <v/>
      </c>
      <c r="AY129" s="19">
        <f>IF(AY$105=1,IF(AY112,1,0),0)</f>
        <v/>
      </c>
      <c r="AZ129" s="19">
        <f>IF(AZ$105=1,IF(AZ112,1,0),0)</f>
        <v/>
      </c>
      <c r="BA129" s="20">
        <f>ETSCOVER(BA$105,BA112)</f>
        <v/>
      </c>
    </row>
    <row r="130" hidden="1" outlineLevel="1">
      <c r="A130" s="1" t="inlineStr">
        <is>
          <t>etsc</t>
        </is>
      </c>
      <c r="B130" s="1" t="inlineStr">
        <is>
          <t>all</t>
        </is>
      </c>
      <c r="C130" s="1" t="inlineStr">
        <is>
          <t>foo</t>
        </is>
      </c>
      <c r="H130" s="1">
        <f>INDEX(VarLab,MATCH($A130,VarKey,0))&amp;INDEX(MemLab,MATCH($C130&amp;"|"&amp;$B130,MemKey,0))</f>
        <v/>
      </c>
      <c r="I130" s="1">
        <f>INDEX(VarUnit,MATCH($A130,VarKey,0))</f>
        <v/>
      </c>
      <c r="J130" s="1">
        <f>INDEX(VarSrc,MATCH($A130,VarKey,0))</f>
        <v/>
      </c>
      <c r="K130" s="17">
        <f>CodePrefix&amp;$A130&amp;IF($C130="","","."&amp;$C130&amp;"."&amp;$B130)&amp;INDEX(VarEnd,MATCH($A130,VarKey,0))&amp;K$5</f>
        <v/>
      </c>
      <c r="L130" s="18">
        <f>IF(L$105=1,IF(L113,1,0),0)</f>
        <v/>
      </c>
      <c r="M130" s="19">
        <f>IF(M$105=1,IF(M113,1,0),0)</f>
        <v/>
      </c>
      <c r="N130" s="19">
        <f>IF(N$105=1,IF(N113,1,0),0)</f>
        <v/>
      </c>
      <c r="O130" s="19">
        <f>IF(O$105=1,IF(O113,1,0),0)</f>
        <v/>
      </c>
      <c r="P130" s="19">
        <f>IF(P$105=1,IF(P113,1,0),0)</f>
        <v/>
      </c>
      <c r="Q130" s="19">
        <f>IF(Q$105=1,IF(Q113,1,0),0)</f>
        <v/>
      </c>
      <c r="R130" s="19">
        <f>IF(R$105=1,IF(R113,1,0),0)</f>
        <v/>
      </c>
      <c r="S130" s="19">
        <f>IF(S$105=1,IF(S113,1,0),0)</f>
        <v/>
      </c>
      <c r="T130" s="19">
        <f>IF(T$105=1,IF(T113,1,0),0)</f>
        <v/>
      </c>
      <c r="U130" s="19">
        <f>IF(U$105=1,IF(U113,1,0),0)</f>
        <v/>
      </c>
      <c r="V130" s="19">
        <f>IF(V$105=1,IF(V113,1,0),0)</f>
        <v/>
      </c>
      <c r="W130" s="19">
        <f>IF(W$105=1,IF(W113,1,0),0)</f>
        <v/>
      </c>
      <c r="X130" s="19">
        <f>IF(X$105=1,IF(X113,1,0),0)</f>
        <v/>
      </c>
      <c r="Y130" s="19">
        <f>IF(Y$105=1,IF(Y113,1,0),0)</f>
        <v/>
      </c>
      <c r="Z130" s="19">
        <f>IF(Z$105=1,IF(Z113,1,0),0)</f>
        <v/>
      </c>
      <c r="AA130" s="19">
        <f>IF(AA$105=1,IF(AA113,1,0),0)</f>
        <v/>
      </c>
      <c r="AB130" s="19">
        <f>IF(AB$105=1,IF(AB113,1,0),0)</f>
        <v/>
      </c>
      <c r="AC130" s="19">
        <f>IF(AC$105=1,IF(AC113,1,0),0)</f>
        <v/>
      </c>
      <c r="AD130" s="19">
        <f>IF(AD$105=1,IF(AD113,1,0),0)</f>
        <v/>
      </c>
      <c r="AE130" s="20">
        <f>ETSCOVER(AE$105,AE113)</f>
        <v/>
      </c>
      <c r="AG130" s="17">
        <f>CodePrefix&amp;$A130&amp;IF($C130="","","."&amp;$C130&amp;"."&amp;$B130)&amp;INDEX(VarEnd,MATCH($A130,VarKey,0))&amp;AG$5</f>
        <v/>
      </c>
      <c r="AH130" s="18">
        <f>IF(AH$105=1,IF(AH113,1,0),0)</f>
        <v/>
      </c>
      <c r="AI130" s="19">
        <f>IF(AI$105=1,IF(AI113,1,0),0)</f>
        <v/>
      </c>
      <c r="AJ130" s="19">
        <f>IF(AJ$105=1,IF(AJ113,1,0),0)</f>
        <v/>
      </c>
      <c r="AK130" s="19">
        <f>IF(AK$105=1,IF(AK113,1,0),0)</f>
        <v/>
      </c>
      <c r="AL130" s="19">
        <f>IF(AL$105=1,IF(AL113,1,0),0)</f>
        <v/>
      </c>
      <c r="AM130" s="19">
        <f>IF(AM$105=1,IF(AM113,1,0),0)</f>
        <v/>
      </c>
      <c r="AN130" s="19">
        <f>IF(AN$105=1,IF(AN113,1,0),0)</f>
        <v/>
      </c>
      <c r="AO130" s="19">
        <f>IF(AO$105=1,IF(AO113,1,0),0)</f>
        <v/>
      </c>
      <c r="AP130" s="19">
        <f>IF(AP$105=1,IF(AP113,1,0),0)</f>
        <v/>
      </c>
      <c r="AQ130" s="19">
        <f>IF(AQ$105=1,IF(AQ113,1,0),0)</f>
        <v/>
      </c>
      <c r="AR130" s="19">
        <f>IF(AR$105=1,IF(AR113,1,0),0)</f>
        <v/>
      </c>
      <c r="AS130" s="19">
        <f>IF(AS$105=1,IF(AS113,1,0),0)</f>
        <v/>
      </c>
      <c r="AT130" s="19">
        <f>IF(AT$105=1,IF(AT113,1,0),0)</f>
        <v/>
      </c>
      <c r="AU130" s="19">
        <f>IF(AU$105=1,IF(AU113,1,0),0)</f>
        <v/>
      </c>
      <c r="AV130" s="19">
        <f>IF(AV$105=1,IF(AV113,1,0),0)</f>
        <v/>
      </c>
      <c r="AW130" s="19">
        <f>IF(AW$105=1,IF(AW113,1,0),0)</f>
        <v/>
      </c>
      <c r="AX130" s="19">
        <f>IF(AX$105=1,IF(AX113,1,0),0)</f>
        <v/>
      </c>
      <c r="AY130" s="19">
        <f>IF(AY$105=1,IF(AY113,1,0),0)</f>
        <v/>
      </c>
      <c r="AZ130" s="19">
        <f>IF(AZ$105=1,IF(AZ113,1,0),0)</f>
        <v/>
      </c>
      <c r="BA130" s="20">
        <f>ETSCOVER(BA$105,BA113)</f>
        <v/>
      </c>
    </row>
    <row r="131" hidden="1" outlineLevel="1">
      <c r="A131" s="1" t="inlineStr">
        <is>
          <t>etsc</t>
        </is>
      </c>
      <c r="B131" s="1" t="inlineStr">
        <is>
          <t>all</t>
        </is>
      </c>
      <c r="C131" s="1" t="inlineStr">
        <is>
          <t>srv</t>
        </is>
      </c>
      <c r="H131" s="1">
        <f>INDEX(VarLab,MATCH($A131,VarKey,0))&amp;INDEX(MemLab,MATCH($C131&amp;"|"&amp;$B131,MemKey,0))</f>
        <v/>
      </c>
      <c r="I131" s="1">
        <f>INDEX(VarUnit,MATCH($A131,VarKey,0))</f>
        <v/>
      </c>
      <c r="J131" s="1">
        <f>INDEX(VarSrc,MATCH($A131,VarKey,0))</f>
        <v/>
      </c>
      <c r="K131" s="17">
        <f>CodePrefix&amp;$A131&amp;IF($C131="","","."&amp;$C131&amp;"."&amp;$B131)&amp;INDEX(VarEnd,MATCH($A131,VarKey,0))&amp;K$5</f>
        <v/>
      </c>
      <c r="L131" s="18">
        <f>IF(L$105=1,IF(L114,1,0),0)</f>
        <v/>
      </c>
      <c r="M131" s="19">
        <f>IF(M$105=1,IF(M114,1,0),0)</f>
        <v/>
      </c>
      <c r="N131" s="19">
        <f>IF(N$105=1,IF(N114,1,0),0)</f>
        <v/>
      </c>
      <c r="O131" s="19">
        <f>IF(O$105=1,IF(O114,1,0),0)</f>
        <v/>
      </c>
      <c r="P131" s="19">
        <f>IF(P$105=1,IF(P114,1,0),0)</f>
        <v/>
      </c>
      <c r="Q131" s="19">
        <f>IF(Q$105=1,IF(Q114,1,0),0)</f>
        <v/>
      </c>
      <c r="R131" s="19">
        <f>IF(R$105=1,IF(R114,1,0),0)</f>
        <v/>
      </c>
      <c r="S131" s="19">
        <f>IF(S$105=1,IF(S114,1,0),0)</f>
        <v/>
      </c>
      <c r="T131" s="19">
        <f>IF(T$105=1,IF(T114,1,0),0)</f>
        <v/>
      </c>
      <c r="U131" s="19">
        <f>IF(U$105=1,IF(U114,1,0),0)</f>
        <v/>
      </c>
      <c r="V131" s="19">
        <f>IF(V$105=1,IF(V114,1,0),0)</f>
        <v/>
      </c>
      <c r="W131" s="19">
        <f>IF(W$105=1,IF(W114,1,0),0)</f>
        <v/>
      </c>
      <c r="X131" s="19">
        <f>IF(X$105=1,IF(X114,1,0),0)</f>
        <v/>
      </c>
      <c r="Y131" s="19">
        <f>IF(Y$105=1,IF(Y114,1,0),0)</f>
        <v/>
      </c>
      <c r="Z131" s="19">
        <f>IF(Z$105=1,IF(Z114,1,0),0)</f>
        <v/>
      </c>
      <c r="AA131" s="19">
        <f>IF(AA$105=1,IF(AA114,1,0),0)</f>
        <v/>
      </c>
      <c r="AB131" s="19">
        <f>IF(AB$105=1,IF(AB114,1,0),0)</f>
        <v/>
      </c>
      <c r="AC131" s="19">
        <f>IF(AC$105=1,IF(AC114,1,0),0)</f>
        <v/>
      </c>
      <c r="AD131" s="19">
        <f>IF(AD$105=1,IF(AD114,1,0),0)</f>
        <v/>
      </c>
      <c r="AE131" s="20">
        <f>ETSCOVER(AE$105,AE114)</f>
        <v/>
      </c>
      <c r="AG131" s="17">
        <f>CodePrefix&amp;$A131&amp;IF($C131="","","."&amp;$C131&amp;"."&amp;$B131)&amp;INDEX(VarEnd,MATCH($A131,VarKey,0))&amp;AG$5</f>
        <v/>
      </c>
      <c r="AH131" s="18">
        <f>IF(AH$105=1,IF(AH114,1,0),0)</f>
        <v/>
      </c>
      <c r="AI131" s="19">
        <f>IF(AI$105=1,IF(AI114,1,0),0)</f>
        <v/>
      </c>
      <c r="AJ131" s="19">
        <f>IF(AJ$105=1,IF(AJ114,1,0),0)</f>
        <v/>
      </c>
      <c r="AK131" s="19">
        <f>IF(AK$105=1,IF(AK114,1,0),0)</f>
        <v/>
      </c>
      <c r="AL131" s="19">
        <f>IF(AL$105=1,IF(AL114,1,0),0)</f>
        <v/>
      </c>
      <c r="AM131" s="19">
        <f>IF(AM$105=1,IF(AM114,1,0),0)</f>
        <v/>
      </c>
      <c r="AN131" s="19">
        <f>IF(AN$105=1,IF(AN114,1,0),0)</f>
        <v/>
      </c>
      <c r="AO131" s="19">
        <f>IF(AO$105=1,IF(AO114,1,0),0)</f>
        <v/>
      </c>
      <c r="AP131" s="19">
        <f>IF(AP$105=1,IF(AP114,1,0),0)</f>
        <v/>
      </c>
      <c r="AQ131" s="19">
        <f>IF(AQ$105=1,IF(AQ114,1,0),0)</f>
        <v/>
      </c>
      <c r="AR131" s="19">
        <f>IF(AR$105=1,IF(AR114,1,0),0)</f>
        <v/>
      </c>
      <c r="AS131" s="19">
        <f>IF(AS$105=1,IF(AS114,1,0),0)</f>
        <v/>
      </c>
      <c r="AT131" s="19">
        <f>IF(AT$105=1,IF(AT114,1,0),0)</f>
        <v/>
      </c>
      <c r="AU131" s="19">
        <f>IF(AU$105=1,IF(AU114,1,0),0)</f>
        <v/>
      </c>
      <c r="AV131" s="19">
        <f>IF(AV$105=1,IF(AV114,1,0),0)</f>
        <v/>
      </c>
      <c r="AW131" s="19">
        <f>IF(AW$105=1,IF(AW114,1,0),0)</f>
        <v/>
      </c>
      <c r="AX131" s="19">
        <f>IF(AX$105=1,IF(AX114,1,0),0)</f>
        <v/>
      </c>
      <c r="AY131" s="19">
        <f>IF(AY$105=1,IF(AY114,1,0),0)</f>
        <v/>
      </c>
      <c r="AZ131" s="19">
        <f>IF(AZ$105=1,IF(AZ114,1,0),0)</f>
        <v/>
      </c>
      <c r="BA131" s="20">
        <f>ETSCOVER(BA$105,BA114)</f>
        <v/>
      </c>
    </row>
    <row r="132" hidden="1" outlineLevel="1">
      <c r="A132" s="1" t="inlineStr">
        <is>
          <t>etsc</t>
        </is>
      </c>
      <c r="B132" s="1" t="inlineStr">
        <is>
          <t>all</t>
        </is>
      </c>
      <c r="C132" s="1" t="inlineStr">
        <is>
          <t>mch</t>
        </is>
      </c>
      <c r="H132" s="1">
        <f>INDEX(VarLab,MATCH($A132,VarKey,0))&amp;INDEX(MemLab,MATCH($C132&amp;"|"&amp;$B132,MemKey,0))</f>
        <v/>
      </c>
      <c r="I132" s="1">
        <f>INDEX(VarUnit,MATCH($A132,VarKey,0))</f>
        <v/>
      </c>
      <c r="J132" s="1">
        <f>INDEX(VarSrc,MATCH($A132,VarKey,0))</f>
        <v/>
      </c>
      <c r="K132" s="17">
        <f>CodePrefix&amp;$A132&amp;IF($C132="","","."&amp;$C132&amp;"."&amp;$B132)&amp;INDEX(VarEnd,MATCH($A132,VarKey,0))&amp;K$5</f>
        <v/>
      </c>
      <c r="L132" s="18">
        <f>IF(L$105=1,IF(L115,1,0),0)</f>
        <v/>
      </c>
      <c r="M132" s="19">
        <f>IF(M$105=1,IF(M115,1,0),0)</f>
        <v/>
      </c>
      <c r="N132" s="19">
        <f>IF(N$105=1,IF(N115,1,0),0)</f>
        <v/>
      </c>
      <c r="O132" s="19">
        <f>IF(O$105=1,IF(O115,1,0),0)</f>
        <v/>
      </c>
      <c r="P132" s="19">
        <f>IF(P$105=1,IF(P115,1,0),0)</f>
        <v/>
      </c>
      <c r="Q132" s="19">
        <f>IF(Q$105=1,IF(Q115,1,0),0)</f>
        <v/>
      </c>
      <c r="R132" s="19">
        <f>IF(R$105=1,IF(R115,1,0),0)</f>
        <v/>
      </c>
      <c r="S132" s="19">
        <f>IF(S$105=1,IF(S115,1,0),0)</f>
        <v/>
      </c>
      <c r="T132" s="19">
        <f>IF(T$105=1,IF(T115,1,0),0)</f>
        <v/>
      </c>
      <c r="U132" s="19">
        <f>IF(U$105=1,IF(U115,1,0),0)</f>
        <v/>
      </c>
      <c r="V132" s="19">
        <f>IF(V$105=1,IF(V115,1,0),0)</f>
        <v/>
      </c>
      <c r="W132" s="19">
        <f>IF(W$105=1,IF(W115,1,0),0)</f>
        <v/>
      </c>
      <c r="X132" s="19">
        <f>IF(X$105=1,IF(X115,1,0),0)</f>
        <v/>
      </c>
      <c r="Y132" s="19">
        <f>IF(Y$105=1,IF(Y115,1,0),0)</f>
        <v/>
      </c>
      <c r="Z132" s="19">
        <f>IF(Z$105=1,IF(Z115,1,0),0)</f>
        <v/>
      </c>
      <c r="AA132" s="19">
        <f>IF(AA$105=1,IF(AA115,1,0),0)</f>
        <v/>
      </c>
      <c r="AB132" s="19">
        <f>IF(AB$105=1,IF(AB115,1,0),0)</f>
        <v/>
      </c>
      <c r="AC132" s="19">
        <f>IF(AC$105=1,IF(AC115,1,0),0)</f>
        <v/>
      </c>
      <c r="AD132" s="19">
        <f>IF(AD$105=1,IF(AD115,1,0),0)</f>
        <v/>
      </c>
      <c r="AE132" s="20">
        <f>ETSCOVER(AE$105,AE115)</f>
        <v/>
      </c>
      <c r="AG132" s="17">
        <f>CodePrefix&amp;$A132&amp;IF($C132="","","."&amp;$C132&amp;"."&amp;$B132)&amp;INDEX(VarEnd,MATCH($A132,VarKey,0))&amp;AG$5</f>
        <v/>
      </c>
      <c r="AH132" s="18">
        <f>IF(AH$105=1,IF(AH115,1,0),0)</f>
        <v/>
      </c>
      <c r="AI132" s="19">
        <f>IF(AI$105=1,IF(AI115,1,0),0)</f>
        <v/>
      </c>
      <c r="AJ132" s="19">
        <f>IF(AJ$105=1,IF(AJ115,1,0),0)</f>
        <v/>
      </c>
      <c r="AK132" s="19">
        <f>IF(AK$105=1,IF(AK115,1,0),0)</f>
        <v/>
      </c>
      <c r="AL132" s="19">
        <f>IF(AL$105=1,IF(AL115,1,0),0)</f>
        <v/>
      </c>
      <c r="AM132" s="19">
        <f>IF(AM$105=1,IF(AM115,1,0),0)</f>
        <v/>
      </c>
      <c r="AN132" s="19">
        <f>IF(AN$105=1,IF(AN115,1,0),0)</f>
        <v/>
      </c>
      <c r="AO132" s="19">
        <f>IF(AO$105=1,IF(AO115,1,0),0)</f>
        <v/>
      </c>
      <c r="AP132" s="19">
        <f>IF(AP$105=1,IF(AP115,1,0),0)</f>
        <v/>
      </c>
      <c r="AQ132" s="19">
        <f>IF(AQ$105=1,IF(AQ115,1,0),0)</f>
        <v/>
      </c>
      <c r="AR132" s="19">
        <f>IF(AR$105=1,IF(AR115,1,0),0)</f>
        <v/>
      </c>
      <c r="AS132" s="19">
        <f>IF(AS$105=1,IF(AS115,1,0),0)</f>
        <v/>
      </c>
      <c r="AT132" s="19">
        <f>IF(AT$105=1,IF(AT115,1,0),0)</f>
        <v/>
      </c>
      <c r="AU132" s="19">
        <f>IF(AU$105=1,IF(AU115,1,0),0)</f>
        <v/>
      </c>
      <c r="AV132" s="19">
        <f>IF(AV$105=1,IF(AV115,1,0),0)</f>
        <v/>
      </c>
      <c r="AW132" s="19">
        <f>IF(AW$105=1,IF(AW115,1,0),0)</f>
        <v/>
      </c>
      <c r="AX132" s="19">
        <f>IF(AX$105=1,IF(AX115,1,0),0)</f>
        <v/>
      </c>
      <c r="AY132" s="19">
        <f>IF(AY$105=1,IF(AY115,1,0),0)</f>
        <v/>
      </c>
      <c r="AZ132" s="19">
        <f>IF(AZ$105=1,IF(AZ115,1,0),0)</f>
        <v/>
      </c>
      <c r="BA132" s="20">
        <f>ETSCOVER(BA$105,BA115)</f>
        <v/>
      </c>
    </row>
    <row r="133" hidden="1" outlineLevel="1">
      <c r="A133" s="1" t="inlineStr">
        <is>
          <t>etsc</t>
        </is>
      </c>
      <c r="B133" s="1" t="inlineStr">
        <is>
          <t>all</t>
        </is>
      </c>
      <c r="C133" s="1" t="inlineStr">
        <is>
          <t>irn</t>
        </is>
      </c>
      <c r="H133" s="1">
        <f>INDEX(VarLab,MATCH($A133,VarKey,0))&amp;INDEX(MemLab,MATCH($C133&amp;"|"&amp;$B133,MemKey,0))</f>
        <v/>
      </c>
      <c r="I133" s="1">
        <f>INDEX(VarUnit,MATCH($A133,VarKey,0))</f>
        <v/>
      </c>
      <c r="J133" s="1">
        <f>INDEX(VarSrc,MATCH($A133,VarKey,0))</f>
        <v/>
      </c>
      <c r="K133" s="17">
        <f>CodePrefix&amp;$A133&amp;IF($C133="","","."&amp;$C133&amp;"."&amp;$B133)&amp;INDEX(VarEnd,MATCH($A133,VarKey,0))&amp;K$5</f>
        <v/>
      </c>
      <c r="L133" s="18">
        <f>IF(L$105=1,IF(L116,1,0),0)</f>
        <v/>
      </c>
      <c r="M133" s="19">
        <f>IF(M$105=1,IF(M116,1,0),0)</f>
        <v/>
      </c>
      <c r="N133" s="19">
        <f>IF(N$105=1,IF(N116,1,0),0)</f>
        <v/>
      </c>
      <c r="O133" s="19">
        <f>IF(O$105=1,IF(O116,1,0),0)</f>
        <v/>
      </c>
      <c r="P133" s="19">
        <f>IF(P$105=1,IF(P116,1,0),0)</f>
        <v/>
      </c>
      <c r="Q133" s="19">
        <f>IF(Q$105=1,IF(Q116,1,0),0)</f>
        <v/>
      </c>
      <c r="R133" s="19">
        <f>IF(R$105=1,IF(R116,1,0),0)</f>
        <v/>
      </c>
      <c r="S133" s="19">
        <f>IF(S$105=1,IF(S116,1,0),0)</f>
        <v/>
      </c>
      <c r="T133" s="19">
        <f>IF(T$105=1,IF(T116,1,0),0)</f>
        <v/>
      </c>
      <c r="U133" s="19">
        <f>IF(U$105=1,IF(U116,1,0),0)</f>
        <v/>
      </c>
      <c r="V133" s="19">
        <f>IF(V$105=1,IF(V116,1,0),0)</f>
        <v/>
      </c>
      <c r="W133" s="19">
        <f>IF(W$105=1,IF(W116,1,0),0)</f>
        <v/>
      </c>
      <c r="X133" s="19">
        <f>IF(X$105=1,IF(X116,1,0),0)</f>
        <v/>
      </c>
      <c r="Y133" s="19">
        <f>IF(Y$105=1,IF(Y116,1,0),0)</f>
        <v/>
      </c>
      <c r="Z133" s="19">
        <f>IF(Z$105=1,IF(Z116,1,0),0)</f>
        <v/>
      </c>
      <c r="AA133" s="19">
        <f>IF(AA$105=1,IF(AA116,1,0),0)</f>
        <v/>
      </c>
      <c r="AB133" s="19">
        <f>IF(AB$105=1,IF(AB116,1,0),0)</f>
        <v/>
      </c>
      <c r="AC133" s="19">
        <f>IF(AC$105=1,IF(AC116,1,0),0)</f>
        <v/>
      </c>
      <c r="AD133" s="19">
        <f>IF(AD$105=1,IF(AD116,1,0),0)</f>
        <v/>
      </c>
      <c r="AE133" s="20">
        <f>ETSCOVER(AE$105,AE116)</f>
        <v/>
      </c>
      <c r="AG133" s="17">
        <f>CodePrefix&amp;$A133&amp;IF($C133="","","."&amp;$C133&amp;"."&amp;$B133)&amp;INDEX(VarEnd,MATCH($A133,VarKey,0))&amp;AG$5</f>
        <v/>
      </c>
      <c r="AH133" s="18">
        <f>IF(AH$105=1,IF(AH116,1,0),0)</f>
        <v/>
      </c>
      <c r="AI133" s="19">
        <f>IF(AI$105=1,IF(AI116,1,0),0)</f>
        <v/>
      </c>
      <c r="AJ133" s="19">
        <f>IF(AJ$105=1,IF(AJ116,1,0),0)</f>
        <v/>
      </c>
      <c r="AK133" s="19">
        <f>IF(AK$105=1,IF(AK116,1,0),0)</f>
        <v/>
      </c>
      <c r="AL133" s="19">
        <f>IF(AL$105=1,IF(AL116,1,0),0)</f>
        <v/>
      </c>
      <c r="AM133" s="19">
        <f>IF(AM$105=1,IF(AM116,1,0),0)</f>
        <v/>
      </c>
      <c r="AN133" s="19">
        <f>IF(AN$105=1,IF(AN116,1,0),0)</f>
        <v/>
      </c>
      <c r="AO133" s="19">
        <f>IF(AO$105=1,IF(AO116,1,0),0)</f>
        <v/>
      </c>
      <c r="AP133" s="19">
        <f>IF(AP$105=1,IF(AP116,1,0),0)</f>
        <v/>
      </c>
      <c r="AQ133" s="19">
        <f>IF(AQ$105=1,IF(AQ116,1,0),0)</f>
        <v/>
      </c>
      <c r="AR133" s="19">
        <f>IF(AR$105=1,IF(AR116,1,0),0)</f>
        <v/>
      </c>
      <c r="AS133" s="19">
        <f>IF(AS$105=1,IF(AS116,1,0),0)</f>
        <v/>
      </c>
      <c r="AT133" s="19">
        <f>IF(AT$105=1,IF(AT116,1,0),0)</f>
        <v/>
      </c>
      <c r="AU133" s="19">
        <f>IF(AU$105=1,IF(AU116,1,0),0)</f>
        <v/>
      </c>
      <c r="AV133" s="19">
        <f>IF(AV$105=1,IF(AV116,1,0),0)</f>
        <v/>
      </c>
      <c r="AW133" s="19">
        <f>IF(AW$105=1,IF(AW116,1,0),0)</f>
        <v/>
      </c>
      <c r="AX133" s="19">
        <f>IF(AX$105=1,IF(AX116,1,0),0)</f>
        <v/>
      </c>
      <c r="AY133" s="19">
        <f>IF(AY$105=1,IF(AY116,1,0),0)</f>
        <v/>
      </c>
      <c r="AZ133" s="19">
        <f>IF(AZ$105=1,IF(AZ116,1,0),0)</f>
        <v/>
      </c>
      <c r="BA133" s="20">
        <f>ETSCOVER(BA$105,BA116)</f>
        <v/>
      </c>
    </row>
    <row r="134" hidden="1" outlineLevel="1">
      <c r="A134" s="1" t="inlineStr">
        <is>
          <t>etsc</t>
        </is>
      </c>
      <c r="B134" s="1" t="inlineStr">
        <is>
          <t>all</t>
        </is>
      </c>
      <c r="C134" s="1" t="inlineStr">
        <is>
          <t>nfm</t>
        </is>
      </c>
      <c r="H134" s="1">
        <f>INDEX(VarLab,MATCH($A134,VarKey,0))&amp;INDEX(MemLab,MATCH($C134&amp;"|"&amp;$B134,MemKey,0))</f>
        <v/>
      </c>
      <c r="I134" s="1">
        <f>INDEX(VarUnit,MATCH($A134,VarKey,0))</f>
        <v/>
      </c>
      <c r="J134" s="1">
        <f>INDEX(VarSrc,MATCH($A134,VarKey,0))</f>
        <v/>
      </c>
      <c r="K134" s="17">
        <f>CodePrefix&amp;$A134&amp;IF($C134="","","."&amp;$C134&amp;"."&amp;$B134)&amp;INDEX(VarEnd,MATCH($A134,VarKey,0))&amp;K$5</f>
        <v/>
      </c>
      <c r="L134" s="18">
        <f>IF(L$105=1,IF(L117,1,0),0)</f>
        <v/>
      </c>
      <c r="M134" s="19">
        <f>IF(M$105=1,IF(M117,1,0),0)</f>
        <v/>
      </c>
      <c r="N134" s="19">
        <f>IF(N$105=1,IF(N117,1,0),0)</f>
        <v/>
      </c>
      <c r="O134" s="19">
        <f>IF(O$105=1,IF(O117,1,0),0)</f>
        <v/>
      </c>
      <c r="P134" s="19">
        <f>IF(P$105=1,IF(P117,1,0),0)</f>
        <v/>
      </c>
      <c r="Q134" s="19">
        <f>IF(Q$105=1,IF(Q117,1,0),0)</f>
        <v/>
      </c>
      <c r="R134" s="19">
        <f>IF(R$105=1,IF(R117,1,0),0)</f>
        <v/>
      </c>
      <c r="S134" s="19">
        <f>IF(S$105=1,IF(S117,1,0),0)</f>
        <v/>
      </c>
      <c r="T134" s="19">
        <f>IF(T$105=1,IF(T117,1,0),0)</f>
        <v/>
      </c>
      <c r="U134" s="19">
        <f>IF(U$105=1,IF(U117,1,0),0)</f>
        <v/>
      </c>
      <c r="V134" s="19">
        <f>IF(V$105=1,IF(V117,1,0),0)</f>
        <v/>
      </c>
      <c r="W134" s="19">
        <f>IF(W$105=1,IF(W117,1,0),0)</f>
        <v/>
      </c>
      <c r="X134" s="19">
        <f>IF(X$105=1,IF(X117,1,0),0)</f>
        <v/>
      </c>
      <c r="Y134" s="19">
        <f>IF(Y$105=1,IF(Y117,1,0),0)</f>
        <v/>
      </c>
      <c r="Z134" s="19">
        <f>IF(Z$105=1,IF(Z117,1,0),0)</f>
        <v/>
      </c>
      <c r="AA134" s="19">
        <f>IF(AA$105=1,IF(AA117,1,0),0)</f>
        <v/>
      </c>
      <c r="AB134" s="19">
        <f>IF(AB$105=1,IF(AB117,1,0),0)</f>
        <v/>
      </c>
      <c r="AC134" s="19">
        <f>IF(AC$105=1,IF(AC117,1,0),0)</f>
        <v/>
      </c>
      <c r="AD134" s="19">
        <f>IF(AD$105=1,IF(AD117,1,0),0)</f>
        <v/>
      </c>
      <c r="AE134" s="20">
        <f>ETSCOVER(AE$105,AE117)</f>
        <v/>
      </c>
      <c r="AG134" s="17">
        <f>CodePrefix&amp;$A134&amp;IF($C134="","","."&amp;$C134&amp;"."&amp;$B134)&amp;INDEX(VarEnd,MATCH($A134,VarKey,0))&amp;AG$5</f>
        <v/>
      </c>
      <c r="AH134" s="18">
        <f>IF(AH$105=1,IF(AH117,1,0),0)</f>
        <v/>
      </c>
      <c r="AI134" s="19">
        <f>IF(AI$105=1,IF(AI117,1,0),0)</f>
        <v/>
      </c>
      <c r="AJ134" s="19">
        <f>IF(AJ$105=1,IF(AJ117,1,0),0)</f>
        <v/>
      </c>
      <c r="AK134" s="19">
        <f>IF(AK$105=1,IF(AK117,1,0),0)</f>
        <v/>
      </c>
      <c r="AL134" s="19">
        <f>IF(AL$105=1,IF(AL117,1,0),0)</f>
        <v/>
      </c>
      <c r="AM134" s="19">
        <f>IF(AM$105=1,IF(AM117,1,0),0)</f>
        <v/>
      </c>
      <c r="AN134" s="19">
        <f>IF(AN$105=1,IF(AN117,1,0),0)</f>
        <v/>
      </c>
      <c r="AO134" s="19">
        <f>IF(AO$105=1,IF(AO117,1,0),0)</f>
        <v/>
      </c>
      <c r="AP134" s="19">
        <f>IF(AP$105=1,IF(AP117,1,0),0)</f>
        <v/>
      </c>
      <c r="AQ134" s="19">
        <f>IF(AQ$105=1,IF(AQ117,1,0),0)</f>
        <v/>
      </c>
      <c r="AR134" s="19">
        <f>IF(AR$105=1,IF(AR117,1,0),0)</f>
        <v/>
      </c>
      <c r="AS134" s="19">
        <f>IF(AS$105=1,IF(AS117,1,0),0)</f>
        <v/>
      </c>
      <c r="AT134" s="19">
        <f>IF(AT$105=1,IF(AT117,1,0),0)</f>
        <v/>
      </c>
      <c r="AU134" s="19">
        <f>IF(AU$105=1,IF(AU117,1,0),0)</f>
        <v/>
      </c>
      <c r="AV134" s="19">
        <f>IF(AV$105=1,IF(AV117,1,0),0)</f>
        <v/>
      </c>
      <c r="AW134" s="19">
        <f>IF(AW$105=1,IF(AW117,1,0),0)</f>
        <v/>
      </c>
      <c r="AX134" s="19">
        <f>IF(AX$105=1,IF(AX117,1,0),0)</f>
        <v/>
      </c>
      <c r="AY134" s="19">
        <f>IF(AY$105=1,IF(AY117,1,0),0)</f>
        <v/>
      </c>
      <c r="AZ134" s="19">
        <f>IF(AZ$105=1,IF(AZ117,1,0),0)</f>
        <v/>
      </c>
      <c r="BA134" s="20">
        <f>ETSCOVER(BA$105,BA117)</f>
        <v/>
      </c>
    </row>
    <row r="135" hidden="1" outlineLevel="1">
      <c r="A135" s="1" t="inlineStr">
        <is>
          <t>etsc</t>
        </is>
      </c>
      <c r="B135" s="1" t="inlineStr">
        <is>
          <t>all</t>
        </is>
      </c>
      <c r="C135" s="1" t="inlineStr">
        <is>
          <t>mac</t>
        </is>
      </c>
      <c r="H135" s="1">
        <f>INDEX(VarLab,MATCH($A135,VarKey,0))&amp;INDEX(MemLab,MATCH($C135&amp;"|"&amp;$B135,MemKey,0))</f>
        <v/>
      </c>
      <c r="I135" s="1">
        <f>INDEX(VarUnit,MATCH($A135,VarKey,0))</f>
        <v/>
      </c>
      <c r="J135" s="1">
        <f>INDEX(VarSrc,MATCH($A135,VarKey,0))</f>
        <v/>
      </c>
      <c r="K135" s="17">
        <f>CodePrefix&amp;$A135&amp;IF($C135="","","."&amp;$C135&amp;"."&amp;$B135)&amp;INDEX(VarEnd,MATCH($A135,VarKey,0))&amp;K$5</f>
        <v/>
      </c>
      <c r="L135" s="18">
        <f>IF(L$105=1,IF(L118,1,0),0)</f>
        <v/>
      </c>
      <c r="M135" s="19">
        <f>IF(M$105=1,IF(M118,1,0),0)</f>
        <v/>
      </c>
      <c r="N135" s="19">
        <f>IF(N$105=1,IF(N118,1,0),0)</f>
        <v/>
      </c>
      <c r="O135" s="19">
        <f>IF(O$105=1,IF(O118,1,0),0)</f>
        <v/>
      </c>
      <c r="P135" s="19">
        <f>IF(P$105=1,IF(P118,1,0),0)</f>
        <v/>
      </c>
      <c r="Q135" s="19">
        <f>IF(Q$105=1,IF(Q118,1,0),0)</f>
        <v/>
      </c>
      <c r="R135" s="19">
        <f>IF(R$105=1,IF(R118,1,0),0)</f>
        <v/>
      </c>
      <c r="S135" s="19">
        <f>IF(S$105=1,IF(S118,1,0),0)</f>
        <v/>
      </c>
      <c r="T135" s="19">
        <f>IF(T$105=1,IF(T118,1,0),0)</f>
        <v/>
      </c>
      <c r="U135" s="19">
        <f>IF(U$105=1,IF(U118,1,0),0)</f>
        <v/>
      </c>
      <c r="V135" s="19">
        <f>IF(V$105=1,IF(V118,1,0),0)</f>
        <v/>
      </c>
      <c r="W135" s="19">
        <f>IF(W$105=1,IF(W118,1,0),0)</f>
        <v/>
      </c>
      <c r="X135" s="19">
        <f>IF(X$105=1,IF(X118,1,0),0)</f>
        <v/>
      </c>
      <c r="Y135" s="19">
        <f>IF(Y$105=1,IF(Y118,1,0),0)</f>
        <v/>
      </c>
      <c r="Z135" s="19">
        <f>IF(Z$105=1,IF(Z118,1,0),0)</f>
        <v/>
      </c>
      <c r="AA135" s="19">
        <f>IF(AA$105=1,IF(AA118,1,0),0)</f>
        <v/>
      </c>
      <c r="AB135" s="19">
        <f>IF(AB$105=1,IF(AB118,1,0),0)</f>
        <v/>
      </c>
      <c r="AC135" s="19">
        <f>IF(AC$105=1,IF(AC118,1,0),0)</f>
        <v/>
      </c>
      <c r="AD135" s="19">
        <f>IF(AD$105=1,IF(AD118,1,0),0)</f>
        <v/>
      </c>
      <c r="AE135" s="20">
        <f>ETSCOVER(AE$105,AE118)</f>
        <v/>
      </c>
      <c r="AG135" s="17">
        <f>CodePrefix&amp;$A135&amp;IF($C135="","","."&amp;$C135&amp;"."&amp;$B135)&amp;INDEX(VarEnd,MATCH($A135,VarKey,0))&amp;AG$5</f>
        <v/>
      </c>
      <c r="AH135" s="18">
        <f>IF(AH$105=1,IF(AH118,1,0),0)</f>
        <v/>
      </c>
      <c r="AI135" s="19">
        <f>IF(AI$105=1,IF(AI118,1,0),0)</f>
        <v/>
      </c>
      <c r="AJ135" s="19">
        <f>IF(AJ$105=1,IF(AJ118,1,0),0)</f>
        <v/>
      </c>
      <c r="AK135" s="19">
        <f>IF(AK$105=1,IF(AK118,1,0),0)</f>
        <v/>
      </c>
      <c r="AL135" s="19">
        <f>IF(AL$105=1,IF(AL118,1,0),0)</f>
        <v/>
      </c>
      <c r="AM135" s="19">
        <f>IF(AM$105=1,IF(AM118,1,0),0)</f>
        <v/>
      </c>
      <c r="AN135" s="19">
        <f>IF(AN$105=1,IF(AN118,1,0),0)</f>
        <v/>
      </c>
      <c r="AO135" s="19">
        <f>IF(AO$105=1,IF(AO118,1,0),0)</f>
        <v/>
      </c>
      <c r="AP135" s="19">
        <f>IF(AP$105=1,IF(AP118,1,0),0)</f>
        <v/>
      </c>
      <c r="AQ135" s="19">
        <f>IF(AQ$105=1,IF(AQ118,1,0),0)</f>
        <v/>
      </c>
      <c r="AR135" s="19">
        <f>IF(AR$105=1,IF(AR118,1,0),0)</f>
        <v/>
      </c>
      <c r="AS135" s="19">
        <f>IF(AS$105=1,IF(AS118,1,0),0)</f>
        <v/>
      </c>
      <c r="AT135" s="19">
        <f>IF(AT$105=1,IF(AT118,1,0),0)</f>
        <v/>
      </c>
      <c r="AU135" s="19">
        <f>IF(AU$105=1,IF(AU118,1,0),0)</f>
        <v/>
      </c>
      <c r="AV135" s="19">
        <f>IF(AV$105=1,IF(AV118,1,0),0)</f>
        <v/>
      </c>
      <c r="AW135" s="19">
        <f>IF(AW$105=1,IF(AW118,1,0),0)</f>
        <v/>
      </c>
      <c r="AX135" s="19">
        <f>IF(AX$105=1,IF(AX118,1,0),0)</f>
        <v/>
      </c>
      <c r="AY135" s="19">
        <f>IF(AY$105=1,IF(AY118,1,0),0)</f>
        <v/>
      </c>
      <c r="AZ135" s="19">
        <f>IF(AZ$105=1,IF(AZ118,1,0),0)</f>
        <v/>
      </c>
      <c r="BA135" s="20">
        <f>ETSCOVER(BA$105,BA118)</f>
        <v/>
      </c>
    </row>
    <row r="136" hidden="1" outlineLevel="1">
      <c r="A136" s="1" t="inlineStr">
        <is>
          <t>etsc</t>
        </is>
      </c>
      <c r="B136" s="1" t="inlineStr">
        <is>
          <t>all</t>
        </is>
      </c>
      <c r="C136" s="1" t="inlineStr">
        <is>
          <t>cem</t>
        </is>
      </c>
      <c r="H136" s="1">
        <f>INDEX(VarLab,MATCH($A136,VarKey,0))&amp;INDEX(MemLab,MATCH($C136&amp;"|"&amp;$B136,MemKey,0))</f>
        <v/>
      </c>
      <c r="I136" s="1">
        <f>INDEX(VarUnit,MATCH($A136,VarKey,0))</f>
        <v/>
      </c>
      <c r="J136" s="1">
        <f>INDEX(VarSrc,MATCH($A136,VarKey,0))</f>
        <v/>
      </c>
      <c r="K136" s="17">
        <f>CodePrefix&amp;$A136&amp;IF($C136="","","."&amp;$C136&amp;"."&amp;$B136)&amp;INDEX(VarEnd,MATCH($A136,VarKey,0))&amp;K$5</f>
        <v/>
      </c>
      <c r="L136" s="18">
        <f>IF(L$105=1,IF(L119,1,0),0)</f>
        <v/>
      </c>
      <c r="M136" s="19">
        <f>IF(M$105=1,IF(M119,1,0),0)</f>
        <v/>
      </c>
      <c r="N136" s="19">
        <f>IF(N$105=1,IF(N119,1,0),0)</f>
        <v/>
      </c>
      <c r="O136" s="19">
        <f>IF(O$105=1,IF(O119,1,0),0)</f>
        <v/>
      </c>
      <c r="P136" s="19">
        <f>IF(P$105=1,IF(P119,1,0),0)</f>
        <v/>
      </c>
      <c r="Q136" s="19">
        <f>IF(Q$105=1,IF(Q119,1,0),0)</f>
        <v/>
      </c>
      <c r="R136" s="19">
        <f>IF(R$105=1,IF(R119,1,0),0)</f>
        <v/>
      </c>
      <c r="S136" s="19">
        <f>IF(S$105=1,IF(S119,1,0),0)</f>
        <v/>
      </c>
      <c r="T136" s="19">
        <f>IF(T$105=1,IF(T119,1,0),0)</f>
        <v/>
      </c>
      <c r="U136" s="19">
        <f>IF(U$105=1,IF(U119,1,0),0)</f>
        <v/>
      </c>
      <c r="V136" s="19">
        <f>IF(V$105=1,IF(V119,1,0),0)</f>
        <v/>
      </c>
      <c r="W136" s="19">
        <f>IF(W$105=1,IF(W119,1,0),0)</f>
        <v/>
      </c>
      <c r="X136" s="19">
        <f>IF(X$105=1,IF(X119,1,0),0)</f>
        <v/>
      </c>
      <c r="Y136" s="19">
        <f>IF(Y$105=1,IF(Y119,1,0),0)</f>
        <v/>
      </c>
      <c r="Z136" s="19">
        <f>IF(Z$105=1,IF(Z119,1,0),0)</f>
        <v/>
      </c>
      <c r="AA136" s="19">
        <f>IF(AA$105=1,IF(AA119,1,0),0)</f>
        <v/>
      </c>
      <c r="AB136" s="19">
        <f>IF(AB$105=1,IF(AB119,1,0),0)</f>
        <v/>
      </c>
      <c r="AC136" s="19">
        <f>IF(AC$105=1,IF(AC119,1,0),0)</f>
        <v/>
      </c>
      <c r="AD136" s="19">
        <f>IF(AD$105=1,IF(AD119,1,0),0)</f>
        <v/>
      </c>
      <c r="AE136" s="20">
        <f>ETSCOVER(AE$105,AE119)</f>
        <v/>
      </c>
      <c r="AG136" s="17">
        <f>CodePrefix&amp;$A136&amp;IF($C136="","","."&amp;$C136&amp;"."&amp;$B136)&amp;INDEX(VarEnd,MATCH($A136,VarKey,0))&amp;AG$5</f>
        <v/>
      </c>
      <c r="AH136" s="18">
        <f>IF(AH$105=1,IF(AH119,1,0),0)</f>
        <v/>
      </c>
      <c r="AI136" s="19">
        <f>IF(AI$105=1,IF(AI119,1,0),0)</f>
        <v/>
      </c>
      <c r="AJ136" s="19">
        <f>IF(AJ$105=1,IF(AJ119,1,0),0)</f>
        <v/>
      </c>
      <c r="AK136" s="19">
        <f>IF(AK$105=1,IF(AK119,1,0),0)</f>
        <v/>
      </c>
      <c r="AL136" s="19">
        <f>IF(AL$105=1,IF(AL119,1,0),0)</f>
        <v/>
      </c>
      <c r="AM136" s="19">
        <f>IF(AM$105=1,IF(AM119,1,0),0)</f>
        <v/>
      </c>
      <c r="AN136" s="19">
        <f>IF(AN$105=1,IF(AN119,1,0),0)</f>
        <v/>
      </c>
      <c r="AO136" s="19">
        <f>IF(AO$105=1,IF(AO119,1,0),0)</f>
        <v/>
      </c>
      <c r="AP136" s="19">
        <f>IF(AP$105=1,IF(AP119,1,0),0)</f>
        <v/>
      </c>
      <c r="AQ136" s="19">
        <f>IF(AQ$105=1,IF(AQ119,1,0),0)</f>
        <v/>
      </c>
      <c r="AR136" s="19">
        <f>IF(AR$105=1,IF(AR119,1,0),0)</f>
        <v/>
      </c>
      <c r="AS136" s="19">
        <f>IF(AS$105=1,IF(AS119,1,0),0)</f>
        <v/>
      </c>
      <c r="AT136" s="19">
        <f>IF(AT$105=1,IF(AT119,1,0),0)</f>
        <v/>
      </c>
      <c r="AU136" s="19">
        <f>IF(AU$105=1,IF(AU119,1,0),0)</f>
        <v/>
      </c>
      <c r="AV136" s="19">
        <f>IF(AV$105=1,IF(AV119,1,0),0)</f>
        <v/>
      </c>
      <c r="AW136" s="19">
        <f>IF(AW$105=1,IF(AW119,1,0),0)</f>
        <v/>
      </c>
      <c r="AX136" s="19">
        <f>IF(AX$105=1,IF(AX119,1,0),0)</f>
        <v/>
      </c>
      <c r="AY136" s="19">
        <f>IF(AY$105=1,IF(AY119,1,0),0)</f>
        <v/>
      </c>
      <c r="AZ136" s="19">
        <f>IF(AZ$105=1,IF(AZ119,1,0),0)</f>
        <v/>
      </c>
      <c r="BA136" s="20">
        <f>ETSCOVER(BA$105,BA119)</f>
        <v/>
      </c>
    </row>
    <row r="137" hidden="1" outlineLevel="1">
      <c r="A137" s="1" t="inlineStr">
        <is>
          <t>etsc</t>
        </is>
      </c>
      <c r="B137" s="1" t="inlineStr">
        <is>
          <t>all</t>
        </is>
      </c>
      <c r="C137" s="1" t="inlineStr">
        <is>
          <t>omn</t>
        </is>
      </c>
      <c r="H137" s="1">
        <f>INDEX(VarLab,MATCH($A137,VarKey,0))&amp;INDEX(MemLab,MATCH($C137&amp;"|"&amp;$B137,MemKey,0))</f>
        <v/>
      </c>
      <c r="I137" s="1">
        <f>INDEX(VarUnit,MATCH($A137,VarKey,0))</f>
        <v/>
      </c>
      <c r="J137" s="1">
        <f>INDEX(VarSrc,MATCH($A137,VarKey,0))</f>
        <v/>
      </c>
      <c r="K137" s="17">
        <f>CodePrefix&amp;$A137&amp;IF($C137="","","."&amp;$C137&amp;"."&amp;$B137)&amp;INDEX(VarEnd,MATCH($A137,VarKey,0))&amp;K$5</f>
        <v/>
      </c>
      <c r="L137" s="18">
        <f>IF(L$105=1,IF(L120,1,0),0)</f>
        <v/>
      </c>
      <c r="M137" s="19">
        <f>IF(M$105=1,IF(M120,1,0),0)</f>
        <v/>
      </c>
      <c r="N137" s="19">
        <f>IF(N$105=1,IF(N120,1,0),0)</f>
        <v/>
      </c>
      <c r="O137" s="19">
        <f>IF(O$105=1,IF(O120,1,0),0)</f>
        <v/>
      </c>
      <c r="P137" s="19">
        <f>IF(P$105=1,IF(P120,1,0),0)</f>
        <v/>
      </c>
      <c r="Q137" s="19">
        <f>IF(Q$105=1,IF(Q120,1,0),0)</f>
        <v/>
      </c>
      <c r="R137" s="19">
        <f>IF(R$105=1,IF(R120,1,0),0)</f>
        <v/>
      </c>
      <c r="S137" s="19">
        <f>IF(S$105=1,IF(S120,1,0),0)</f>
        <v/>
      </c>
      <c r="T137" s="19">
        <f>IF(T$105=1,IF(T120,1,0),0)</f>
        <v/>
      </c>
      <c r="U137" s="19">
        <f>IF(U$105=1,IF(U120,1,0),0)</f>
        <v/>
      </c>
      <c r="V137" s="19">
        <f>IF(V$105=1,IF(V120,1,0),0)</f>
        <v/>
      </c>
      <c r="W137" s="19">
        <f>IF(W$105=1,IF(W120,1,0),0)</f>
        <v/>
      </c>
      <c r="X137" s="19">
        <f>IF(X$105=1,IF(X120,1,0),0)</f>
        <v/>
      </c>
      <c r="Y137" s="19">
        <f>IF(Y$105=1,IF(Y120,1,0),0)</f>
        <v/>
      </c>
      <c r="Z137" s="19">
        <f>IF(Z$105=1,IF(Z120,1,0),0)</f>
        <v/>
      </c>
      <c r="AA137" s="19">
        <f>IF(AA$105=1,IF(AA120,1,0),0)</f>
        <v/>
      </c>
      <c r="AB137" s="19">
        <f>IF(AB$105=1,IF(AB120,1,0),0)</f>
        <v/>
      </c>
      <c r="AC137" s="19">
        <f>IF(AC$105=1,IF(AC120,1,0),0)</f>
        <v/>
      </c>
      <c r="AD137" s="19">
        <f>IF(AD$105=1,IF(AD120,1,0),0)</f>
        <v/>
      </c>
      <c r="AE137" s="20">
        <f>ETSCOVER(AE$105,AE120)</f>
        <v/>
      </c>
      <c r="AG137" s="17">
        <f>CodePrefix&amp;$A137&amp;IF($C137="","","."&amp;$C137&amp;"."&amp;$B137)&amp;INDEX(VarEnd,MATCH($A137,VarKey,0))&amp;AG$5</f>
        <v/>
      </c>
      <c r="AH137" s="18">
        <f>IF(AH$105=1,IF(AH120,1,0),0)</f>
        <v/>
      </c>
      <c r="AI137" s="19">
        <f>IF(AI$105=1,IF(AI120,1,0),0)</f>
        <v/>
      </c>
      <c r="AJ137" s="19">
        <f>IF(AJ$105=1,IF(AJ120,1,0),0)</f>
        <v/>
      </c>
      <c r="AK137" s="19">
        <f>IF(AK$105=1,IF(AK120,1,0),0)</f>
        <v/>
      </c>
      <c r="AL137" s="19">
        <f>IF(AL$105=1,IF(AL120,1,0),0)</f>
        <v/>
      </c>
      <c r="AM137" s="19">
        <f>IF(AM$105=1,IF(AM120,1,0),0)</f>
        <v/>
      </c>
      <c r="AN137" s="19">
        <f>IF(AN$105=1,IF(AN120,1,0),0)</f>
        <v/>
      </c>
      <c r="AO137" s="19">
        <f>IF(AO$105=1,IF(AO120,1,0),0)</f>
        <v/>
      </c>
      <c r="AP137" s="19">
        <f>IF(AP$105=1,IF(AP120,1,0),0)</f>
        <v/>
      </c>
      <c r="AQ137" s="19">
        <f>IF(AQ$105=1,IF(AQ120,1,0),0)</f>
        <v/>
      </c>
      <c r="AR137" s="19">
        <f>IF(AR$105=1,IF(AR120,1,0),0)</f>
        <v/>
      </c>
      <c r="AS137" s="19">
        <f>IF(AS$105=1,IF(AS120,1,0),0)</f>
        <v/>
      </c>
      <c r="AT137" s="19">
        <f>IF(AT$105=1,IF(AT120,1,0),0)</f>
        <v/>
      </c>
      <c r="AU137" s="19">
        <f>IF(AU$105=1,IF(AU120,1,0),0)</f>
        <v/>
      </c>
      <c r="AV137" s="19">
        <f>IF(AV$105=1,IF(AV120,1,0),0)</f>
        <v/>
      </c>
      <c r="AW137" s="19">
        <f>IF(AW$105=1,IF(AW120,1,0),0)</f>
        <v/>
      </c>
      <c r="AX137" s="19">
        <f>IF(AX$105=1,IF(AX120,1,0),0)</f>
        <v/>
      </c>
      <c r="AY137" s="19">
        <f>IF(AY$105=1,IF(AY120,1,0),0)</f>
        <v/>
      </c>
      <c r="AZ137" s="19">
        <f>IF(AZ$105=1,IF(AZ120,1,0),0)</f>
        <v/>
      </c>
      <c r="BA137" s="20">
        <f>ETSCOVER(BA$105,BA120)</f>
        <v/>
      </c>
    </row>
    <row r="138" hidden="1" outlineLevel="1">
      <c r="A138" s="1" t="inlineStr">
        <is>
          <t>etsc</t>
        </is>
      </c>
      <c r="B138" s="1" t="inlineStr">
        <is>
          <t>all</t>
        </is>
      </c>
      <c r="C138" s="1" t="inlineStr">
        <is>
          <t>cst</t>
        </is>
      </c>
      <c r="H138" s="1">
        <f>INDEX(VarLab,MATCH($A138,VarKey,0))&amp;INDEX(MemLab,MATCH($C138&amp;"|"&amp;$B138,MemKey,0))</f>
        <v/>
      </c>
      <c r="I138" s="1">
        <f>INDEX(VarUnit,MATCH($A138,VarKey,0))</f>
        <v/>
      </c>
      <c r="J138" s="1">
        <f>INDEX(VarSrc,MATCH($A138,VarKey,0))</f>
        <v/>
      </c>
      <c r="K138" s="17">
        <f>CodePrefix&amp;$A138&amp;IF($C138="","","."&amp;$C138&amp;"."&amp;$B138)&amp;INDEX(VarEnd,MATCH($A138,VarKey,0))&amp;K$5</f>
        <v/>
      </c>
      <c r="L138" s="18">
        <f>IF(L$105=1,IF(L121,1,0),0)</f>
        <v/>
      </c>
      <c r="M138" s="19">
        <f>IF(M$105=1,IF(M121,1,0),0)</f>
        <v/>
      </c>
      <c r="N138" s="19">
        <f>IF(N$105=1,IF(N121,1,0),0)</f>
        <v/>
      </c>
      <c r="O138" s="19">
        <f>IF(O$105=1,IF(O121,1,0),0)</f>
        <v/>
      </c>
      <c r="P138" s="19">
        <f>IF(P$105=1,IF(P121,1,0),0)</f>
        <v/>
      </c>
      <c r="Q138" s="19">
        <f>IF(Q$105=1,IF(Q121,1,0),0)</f>
        <v/>
      </c>
      <c r="R138" s="19">
        <f>IF(R$105=1,IF(R121,1,0),0)</f>
        <v/>
      </c>
      <c r="S138" s="19">
        <f>IF(S$105=1,IF(S121,1,0),0)</f>
        <v/>
      </c>
      <c r="T138" s="19">
        <f>IF(T$105=1,IF(T121,1,0),0)</f>
        <v/>
      </c>
      <c r="U138" s="19">
        <f>IF(U$105=1,IF(U121,1,0),0)</f>
        <v/>
      </c>
      <c r="V138" s="19">
        <f>IF(V$105=1,IF(V121,1,0),0)</f>
        <v/>
      </c>
      <c r="W138" s="19">
        <f>IF(W$105=1,IF(W121,1,0),0)</f>
        <v/>
      </c>
      <c r="X138" s="19">
        <f>IF(X$105=1,IF(X121,1,0),0)</f>
        <v/>
      </c>
      <c r="Y138" s="19">
        <f>IF(Y$105=1,IF(Y121,1,0),0)</f>
        <v/>
      </c>
      <c r="Z138" s="19">
        <f>IF(Z$105=1,IF(Z121,1,0),0)</f>
        <v/>
      </c>
      <c r="AA138" s="19">
        <f>IF(AA$105=1,IF(AA121,1,0),0)</f>
        <v/>
      </c>
      <c r="AB138" s="19">
        <f>IF(AB$105=1,IF(AB121,1,0),0)</f>
        <v/>
      </c>
      <c r="AC138" s="19">
        <f>IF(AC$105=1,IF(AC121,1,0),0)</f>
        <v/>
      </c>
      <c r="AD138" s="19">
        <f>IF(AD$105=1,IF(AD121,1,0),0)</f>
        <v/>
      </c>
      <c r="AE138" s="20">
        <f>ETSCOVER(AE$105,AE121)</f>
        <v/>
      </c>
      <c r="AG138" s="17">
        <f>CodePrefix&amp;$A138&amp;IF($C138="","","."&amp;$C138&amp;"."&amp;$B138)&amp;INDEX(VarEnd,MATCH($A138,VarKey,0))&amp;AG$5</f>
        <v/>
      </c>
      <c r="AH138" s="18">
        <f>IF(AH$105=1,IF(AH121,1,0),0)</f>
        <v/>
      </c>
      <c r="AI138" s="19">
        <f>IF(AI$105=1,IF(AI121,1,0),0)</f>
        <v/>
      </c>
      <c r="AJ138" s="19">
        <f>IF(AJ$105=1,IF(AJ121,1,0),0)</f>
        <v/>
      </c>
      <c r="AK138" s="19">
        <f>IF(AK$105=1,IF(AK121,1,0),0)</f>
        <v/>
      </c>
      <c r="AL138" s="19">
        <f>IF(AL$105=1,IF(AL121,1,0),0)</f>
        <v/>
      </c>
      <c r="AM138" s="19">
        <f>IF(AM$105=1,IF(AM121,1,0),0)</f>
        <v/>
      </c>
      <c r="AN138" s="19">
        <f>IF(AN$105=1,IF(AN121,1,0),0)</f>
        <v/>
      </c>
      <c r="AO138" s="19">
        <f>IF(AO$105=1,IF(AO121,1,0),0)</f>
        <v/>
      </c>
      <c r="AP138" s="19">
        <f>IF(AP$105=1,IF(AP121,1,0),0)</f>
        <v/>
      </c>
      <c r="AQ138" s="19">
        <f>IF(AQ$105=1,IF(AQ121,1,0),0)</f>
        <v/>
      </c>
      <c r="AR138" s="19">
        <f>IF(AR$105=1,IF(AR121,1,0),0)</f>
        <v/>
      </c>
      <c r="AS138" s="19">
        <f>IF(AS$105=1,IF(AS121,1,0),0)</f>
        <v/>
      </c>
      <c r="AT138" s="19">
        <f>IF(AT$105=1,IF(AT121,1,0),0)</f>
        <v/>
      </c>
      <c r="AU138" s="19">
        <f>IF(AU$105=1,IF(AU121,1,0),0)</f>
        <v/>
      </c>
      <c r="AV138" s="19">
        <f>IF(AV$105=1,IF(AV121,1,0),0)</f>
        <v/>
      </c>
      <c r="AW138" s="19">
        <f>IF(AW$105=1,IF(AW121,1,0),0)</f>
        <v/>
      </c>
      <c r="AX138" s="19">
        <f>IF(AX$105=1,IF(AX121,1,0),0)</f>
        <v/>
      </c>
      <c r="AY138" s="19">
        <f>IF(AY$105=1,IF(AY121,1,0),0)</f>
        <v/>
      </c>
      <c r="AZ138" s="19">
        <f>IF(AZ$105=1,IF(AZ121,1,0),0)</f>
        <v/>
      </c>
      <c r="BA138" s="20">
        <f>ETSCOVER(BA$105,BA121)</f>
        <v/>
      </c>
    </row>
    <row r="139" hidden="1" outlineLevel="1">
      <c r="A139" s="1" t="inlineStr">
        <is>
          <t>etsc</t>
        </is>
      </c>
      <c r="B139" s="1" t="inlineStr">
        <is>
          <t>all</t>
        </is>
      </c>
      <c r="C139" s="1" t="inlineStr">
        <is>
          <t>ftr</t>
        </is>
      </c>
      <c r="H139" s="1">
        <f>INDEX(VarLab,MATCH($A139,VarKey,0))&amp;INDEX(MemLab,MATCH($C139&amp;"|"&amp;$B139,MemKey,0))</f>
        <v/>
      </c>
      <c r="I139" s="1">
        <f>INDEX(VarUnit,MATCH($A139,VarKey,0))</f>
        <v/>
      </c>
      <c r="J139" s="1">
        <f>INDEX(VarSrc,MATCH($A139,VarKey,0))</f>
        <v/>
      </c>
      <c r="K139" s="17">
        <f>CodePrefix&amp;$A139&amp;IF($C139="","","."&amp;$C139&amp;"."&amp;$B139)&amp;INDEX(VarEnd,MATCH($A139,VarKey,0))&amp;K$5</f>
        <v/>
      </c>
      <c r="L139" s="18">
        <f>IF(L$105=1,IF(L122,1,0),0)</f>
        <v/>
      </c>
      <c r="M139" s="19">
        <f>IF(M$105=1,IF(M122,1,0),0)</f>
        <v/>
      </c>
      <c r="N139" s="19">
        <f>IF(N$105=1,IF(N122,1,0),0)</f>
        <v/>
      </c>
      <c r="O139" s="19">
        <f>IF(O$105=1,IF(O122,1,0),0)</f>
        <v/>
      </c>
      <c r="P139" s="19">
        <f>IF(P$105=1,IF(P122,1,0),0)</f>
        <v/>
      </c>
      <c r="Q139" s="19">
        <f>IF(Q$105=1,IF(Q122,1,0),0)</f>
        <v/>
      </c>
      <c r="R139" s="19">
        <f>IF(R$105=1,IF(R122,1,0),0)</f>
        <v/>
      </c>
      <c r="S139" s="19">
        <f>IF(S$105=1,IF(S122,1,0),0)</f>
        <v/>
      </c>
      <c r="T139" s="19">
        <f>IF(T$105=1,IF(T122,1,0),0)</f>
        <v/>
      </c>
      <c r="U139" s="19">
        <f>IF(U$105=1,IF(U122,1,0),0)</f>
        <v/>
      </c>
      <c r="V139" s="19">
        <f>IF(V$105=1,IF(V122,1,0),0)</f>
        <v/>
      </c>
      <c r="W139" s="19">
        <f>IF(W$105=1,IF(W122,1,0),0)</f>
        <v/>
      </c>
      <c r="X139" s="19">
        <f>IF(X$105=1,IF(X122,1,0),0)</f>
        <v/>
      </c>
      <c r="Y139" s="19">
        <f>IF(Y$105=1,IF(Y122,1,0),0)</f>
        <v/>
      </c>
      <c r="Z139" s="19">
        <f>IF(Z$105=1,IF(Z122,1,0),0)</f>
        <v/>
      </c>
      <c r="AA139" s="19">
        <f>IF(AA$105=1,IF(AA122,1,0),0)</f>
        <v/>
      </c>
      <c r="AB139" s="19">
        <f>IF(AB$105=1,IF(AB122,1,0),0)</f>
        <v/>
      </c>
      <c r="AC139" s="19">
        <f>IF(AC$105=1,IF(AC122,1,0),0)</f>
        <v/>
      </c>
      <c r="AD139" s="19">
        <f>IF(AD$105=1,IF(AD122,1,0),0)</f>
        <v/>
      </c>
      <c r="AE139" s="20">
        <f>ETSCOVER(AE$105,AE122)</f>
        <v/>
      </c>
      <c r="AG139" s="17">
        <f>CodePrefix&amp;$A139&amp;IF($C139="","","."&amp;$C139&amp;"."&amp;$B139)&amp;INDEX(VarEnd,MATCH($A139,VarKey,0))&amp;AG$5</f>
        <v/>
      </c>
      <c r="AH139" s="18">
        <f>IF(AH$105=1,IF(AH122,1,0),0)</f>
        <v/>
      </c>
      <c r="AI139" s="19">
        <f>IF(AI$105=1,IF(AI122,1,0),0)</f>
        <v/>
      </c>
      <c r="AJ139" s="19">
        <f>IF(AJ$105=1,IF(AJ122,1,0),0)</f>
        <v/>
      </c>
      <c r="AK139" s="19">
        <f>IF(AK$105=1,IF(AK122,1,0),0)</f>
        <v/>
      </c>
      <c r="AL139" s="19">
        <f>IF(AL$105=1,IF(AL122,1,0),0)</f>
        <v/>
      </c>
      <c r="AM139" s="19">
        <f>IF(AM$105=1,IF(AM122,1,0),0)</f>
        <v/>
      </c>
      <c r="AN139" s="19">
        <f>IF(AN$105=1,IF(AN122,1,0),0)</f>
        <v/>
      </c>
      <c r="AO139" s="19">
        <f>IF(AO$105=1,IF(AO122,1,0),0)</f>
        <v/>
      </c>
      <c r="AP139" s="19">
        <f>IF(AP$105=1,IF(AP122,1,0),0)</f>
        <v/>
      </c>
      <c r="AQ139" s="19">
        <f>IF(AQ$105=1,IF(AQ122,1,0),0)</f>
        <v/>
      </c>
      <c r="AR139" s="19">
        <f>IF(AR$105=1,IF(AR122,1,0),0)</f>
        <v/>
      </c>
      <c r="AS139" s="19">
        <f>IF(AS$105=1,IF(AS122,1,0),0)</f>
        <v/>
      </c>
      <c r="AT139" s="19">
        <f>IF(AT$105=1,IF(AT122,1,0),0)</f>
        <v/>
      </c>
      <c r="AU139" s="19">
        <f>IF(AU$105=1,IF(AU122,1,0),0)</f>
        <v/>
      </c>
      <c r="AV139" s="19">
        <f>IF(AV$105=1,IF(AV122,1,0),0)</f>
        <v/>
      </c>
      <c r="AW139" s="19">
        <f>IF(AW$105=1,IF(AW122,1,0),0)</f>
        <v/>
      </c>
      <c r="AX139" s="19">
        <f>IF(AX$105=1,IF(AX122,1,0),0)</f>
        <v/>
      </c>
      <c r="AY139" s="19">
        <f>IF(AY$105=1,IF(AY122,1,0),0)</f>
        <v/>
      </c>
      <c r="AZ139" s="19">
        <f>IF(AZ$105=1,IF(AZ122,1,0),0)</f>
        <v/>
      </c>
      <c r="BA139" s="20">
        <f>ETSCOVER(BA$105,BA122)</f>
        <v/>
      </c>
    </row>
    <row r="140" hidden="1" outlineLevel="1">
      <c r="A140" s="1" t="inlineStr">
        <is>
          <t>etsc</t>
        </is>
      </c>
      <c r="B140" s="1" t="inlineStr">
        <is>
          <t>all</t>
        </is>
      </c>
      <c r="C140" s="1" t="inlineStr">
        <is>
          <t>oen</t>
        </is>
      </c>
      <c r="H140" s="1">
        <f>INDEX(VarLab,MATCH($A140,VarKey,0))&amp;INDEX(MemLab,MATCH($C140&amp;"|"&amp;$B140,MemKey,0))</f>
        <v/>
      </c>
      <c r="I140" s="1">
        <f>INDEX(VarUnit,MATCH($A140,VarKey,0))</f>
        <v/>
      </c>
      <c r="J140" s="1">
        <f>INDEX(VarSrc,MATCH($A140,VarKey,0))</f>
        <v/>
      </c>
      <c r="K140" s="17">
        <f>CodePrefix&amp;$A140&amp;IF($C140="","","."&amp;$C140&amp;"."&amp;$B140)&amp;INDEX(VarEnd,MATCH($A140,VarKey,0))&amp;K$5</f>
        <v/>
      </c>
      <c r="L140" s="18">
        <f>IF(L$105=1,IF(L123,1,0),0)</f>
        <v/>
      </c>
      <c r="M140" s="19">
        <f>IF(M$105=1,IF(M123,1,0),0)</f>
        <v/>
      </c>
      <c r="N140" s="19">
        <f>IF(N$105=1,IF(N123,1,0),0)</f>
        <v/>
      </c>
      <c r="O140" s="19">
        <f>IF(O$105=1,IF(O123,1,0),0)</f>
        <v/>
      </c>
      <c r="P140" s="19">
        <f>IF(P$105=1,IF(P123,1,0),0)</f>
        <v/>
      </c>
      <c r="Q140" s="19">
        <f>IF(Q$105=1,IF(Q123,1,0),0)</f>
        <v/>
      </c>
      <c r="R140" s="19">
        <f>IF(R$105=1,IF(R123,1,0),0)</f>
        <v/>
      </c>
      <c r="S140" s="19">
        <f>IF(S$105=1,IF(S123,1,0),0)</f>
        <v/>
      </c>
      <c r="T140" s="19">
        <f>IF(T$105=1,IF(T123,1,0),0)</f>
        <v/>
      </c>
      <c r="U140" s="19">
        <f>IF(U$105=1,IF(U123,1,0),0)</f>
        <v/>
      </c>
      <c r="V140" s="19">
        <f>IF(V$105=1,IF(V123,1,0),0)</f>
        <v/>
      </c>
      <c r="W140" s="19">
        <f>IF(W$105=1,IF(W123,1,0),0)</f>
        <v/>
      </c>
      <c r="X140" s="19">
        <f>IF(X$105=1,IF(X123,1,0),0)</f>
        <v/>
      </c>
      <c r="Y140" s="19">
        <f>IF(Y$105=1,IF(Y123,1,0),0)</f>
        <v/>
      </c>
      <c r="Z140" s="19">
        <f>IF(Z$105=1,IF(Z123,1,0),0)</f>
        <v/>
      </c>
      <c r="AA140" s="19">
        <f>IF(AA$105=1,IF(AA123,1,0),0)</f>
        <v/>
      </c>
      <c r="AB140" s="19">
        <f>IF(AB$105=1,IF(AB123,1,0),0)</f>
        <v/>
      </c>
      <c r="AC140" s="19">
        <f>IF(AC$105=1,IF(AC123,1,0),0)</f>
        <v/>
      </c>
      <c r="AD140" s="19">
        <f>IF(AD$105=1,IF(AD123,1,0),0)</f>
        <v/>
      </c>
      <c r="AE140" s="20">
        <f>ETSCOVER(AE$105,AE123)</f>
        <v/>
      </c>
      <c r="AG140" s="17">
        <f>CodePrefix&amp;$A140&amp;IF($C140="","","."&amp;$C140&amp;"."&amp;$B140)&amp;INDEX(VarEnd,MATCH($A140,VarKey,0))&amp;AG$5</f>
        <v/>
      </c>
      <c r="AH140" s="18">
        <f>IF(AH$105=1,IF(AH123,1,0),0)</f>
        <v/>
      </c>
      <c r="AI140" s="19">
        <f>IF(AI$105=1,IF(AI123,1,0),0)</f>
        <v/>
      </c>
      <c r="AJ140" s="19">
        <f>IF(AJ$105=1,IF(AJ123,1,0),0)</f>
        <v/>
      </c>
      <c r="AK140" s="19">
        <f>IF(AK$105=1,IF(AK123,1,0),0)</f>
        <v/>
      </c>
      <c r="AL140" s="19">
        <f>IF(AL$105=1,IF(AL123,1,0),0)</f>
        <v/>
      </c>
      <c r="AM140" s="19">
        <f>IF(AM$105=1,IF(AM123,1,0),0)</f>
        <v/>
      </c>
      <c r="AN140" s="19">
        <f>IF(AN$105=1,IF(AN123,1,0),0)</f>
        <v/>
      </c>
      <c r="AO140" s="19">
        <f>IF(AO$105=1,IF(AO123,1,0),0)</f>
        <v/>
      </c>
      <c r="AP140" s="19">
        <f>IF(AP$105=1,IF(AP123,1,0),0)</f>
        <v/>
      </c>
      <c r="AQ140" s="19">
        <f>IF(AQ$105=1,IF(AQ123,1,0),0)</f>
        <v/>
      </c>
      <c r="AR140" s="19">
        <f>IF(AR$105=1,IF(AR123,1,0),0)</f>
        <v/>
      </c>
      <c r="AS140" s="19">
        <f>IF(AS$105=1,IF(AS123,1,0),0)</f>
        <v/>
      </c>
      <c r="AT140" s="19">
        <f>IF(AT$105=1,IF(AT123,1,0),0)</f>
        <v/>
      </c>
      <c r="AU140" s="19">
        <f>IF(AU$105=1,IF(AU123,1,0),0)</f>
        <v/>
      </c>
      <c r="AV140" s="19">
        <f>IF(AV$105=1,IF(AV123,1,0),0)</f>
        <v/>
      </c>
      <c r="AW140" s="19">
        <f>IF(AW$105=1,IF(AW123,1,0),0)</f>
        <v/>
      </c>
      <c r="AX140" s="19">
        <f>IF(AX$105=1,IF(AX123,1,0),0)</f>
        <v/>
      </c>
      <c r="AY140" s="19">
        <f>IF(AY$105=1,IF(AY123,1,0),0)</f>
        <v/>
      </c>
      <c r="AZ140" s="19">
        <f>IF(AZ$105=1,IF(AZ123,1,0),0)</f>
        <v/>
      </c>
      <c r="BA140" s="20">
        <f>ETSCOVER(BA$105,BA123)</f>
        <v/>
      </c>
    </row>
    <row r="141" hidden="1" outlineLevel="1">
      <c r="H141" s="21" t="inlineStr">
        <is>
          <t>ETS benchmarks by sector group (typed inputs, share of emission intensity allocated free; linear from the start to the target year, flat after); OBR share by sector (D: group, E: semi-elasticity, legacy)</t>
        </is>
      </c>
    </row>
    <row r="142" hidden="1" outlineLevel="1">
      <c r="A142" s="14" t="inlineStr">
        <is>
          <t>etsb.s</t>
        </is>
      </c>
      <c r="B142" s="14" t="inlineStr">
        <is>
          <t>all</t>
        </is>
      </c>
      <c r="C142" s="14" t="inlineStr">
        <is>
          <t>pow</t>
        </is>
      </c>
      <c r="H142" s="14">
        <f>INDEX(VarLab,MATCH($A142,VarKey,0))&amp;INDEX(MemLab,MATCH($C142&amp;"|"&amp;$B142,MemKey,0))</f>
        <v/>
      </c>
      <c r="I142" s="14">
        <f>INDEX(VarUnit,MATCH($A142,VarKey,0))</f>
        <v/>
      </c>
      <c r="J142" s="14">
        <f>INDEX(VarSrc,MATCH($A142,VarKey,0))</f>
        <v/>
      </c>
      <c r="K142" s="11">
        <f>CodePrefix&amp;$A142&amp;IF($C142="","","."&amp;$C142&amp;"."&amp;$B142)&amp;INDEX(VarEnd,MATCH($A142,VarKey,0))&amp;K$5</f>
        <v/>
      </c>
      <c r="L142" s="25" t="n">
        <v>1</v>
      </c>
      <c r="M142" s="25" t="n">
        <v>1</v>
      </c>
      <c r="N142" s="25" t="n">
        <v>1</v>
      </c>
      <c r="O142" s="25" t="n">
        <v>1</v>
      </c>
      <c r="P142" s="25" t="n">
        <v>1</v>
      </c>
      <c r="Q142" s="25" t="n">
        <v>1</v>
      </c>
      <c r="R142" s="25" t="n">
        <v>1</v>
      </c>
      <c r="S142" s="25" t="n">
        <v>1</v>
      </c>
      <c r="T142" s="25" t="n">
        <v>1</v>
      </c>
      <c r="U142" s="25" t="n">
        <v>1</v>
      </c>
      <c r="V142" s="25" t="n">
        <v>1</v>
      </c>
      <c r="W142" s="25" t="n">
        <v>1</v>
      </c>
      <c r="X142" s="25" t="n">
        <v>1</v>
      </c>
      <c r="Y142" s="25" t="n">
        <v>1</v>
      </c>
      <c r="Z142" s="25" t="n">
        <v>1</v>
      </c>
      <c r="AA142" s="25" t="n">
        <v>1</v>
      </c>
      <c r="AB142" s="25" t="n">
        <v>1</v>
      </c>
      <c r="AC142" s="25" t="n">
        <v>1</v>
      </c>
      <c r="AD142" s="25" t="n">
        <v>1</v>
      </c>
      <c r="AE142" s="25" t="n">
        <v>1</v>
      </c>
      <c r="AG142" s="11">
        <f>CodePrefix&amp;$A142&amp;IF($C142="","","."&amp;$C142&amp;"."&amp;$B142)&amp;INDEX(VarEnd,MATCH($A142,VarKey,0))&amp;AG$5</f>
        <v/>
      </c>
      <c r="AH142" s="25" t="n">
        <v>1</v>
      </c>
      <c r="AI142" s="25" t="n">
        <v>1</v>
      </c>
      <c r="AJ142" s="25" t="n">
        <v>1</v>
      </c>
      <c r="AK142" s="25" t="n">
        <v>1</v>
      </c>
      <c r="AL142" s="25" t="n">
        <v>1</v>
      </c>
      <c r="AM142" s="25" t="n">
        <v>1</v>
      </c>
      <c r="AN142" s="25" t="n">
        <v>1</v>
      </c>
      <c r="AO142" s="25" t="n">
        <v>1</v>
      </c>
      <c r="AP142" s="25" t="n">
        <v>1</v>
      </c>
      <c r="AQ142" s="25" t="n">
        <v>1</v>
      </c>
      <c r="AR142" s="25" t="n">
        <v>1</v>
      </c>
      <c r="AS142" s="25" t="n">
        <v>1</v>
      </c>
      <c r="AT142" s="25" t="n">
        <v>1</v>
      </c>
      <c r="AU142" s="25" t="n">
        <v>1</v>
      </c>
      <c r="AV142" s="25" t="n">
        <v>1</v>
      </c>
      <c r="AW142" s="25" t="n">
        <v>1</v>
      </c>
      <c r="AX142" s="25" t="n">
        <v>1</v>
      </c>
      <c r="AY142" s="25" t="n">
        <v>1</v>
      </c>
      <c r="AZ142" s="25" t="n">
        <v>1</v>
      </c>
      <c r="BA142" s="25" t="n">
        <v>1</v>
      </c>
    </row>
    <row r="143" hidden="1" outlineLevel="1">
      <c r="A143" s="14" t="inlineStr">
        <is>
          <t>etsb.s</t>
        </is>
      </c>
      <c r="B143" s="14" t="inlineStr">
        <is>
          <t>all</t>
        </is>
      </c>
      <c r="C143" s="14" t="inlineStr">
        <is>
          <t>tra</t>
        </is>
      </c>
      <c r="H143" s="14">
        <f>INDEX(VarLab,MATCH($A143,VarKey,0))&amp;INDEX(MemLab,MATCH($C143&amp;"|"&amp;$B143,MemKey,0))</f>
        <v/>
      </c>
      <c r="I143" s="14">
        <f>INDEX(VarUnit,MATCH($A143,VarKey,0))</f>
        <v/>
      </c>
      <c r="J143" s="14">
        <f>INDEX(VarSrc,MATCH($A143,VarKey,0))</f>
        <v/>
      </c>
      <c r="K143" s="11">
        <f>CodePrefix&amp;$A143&amp;IF($C143="","","."&amp;$C143&amp;"."&amp;$B143)&amp;INDEX(VarEnd,MATCH($A143,VarKey,0))&amp;K$5</f>
        <v/>
      </c>
      <c r="L143" s="25" t="n">
        <v>1</v>
      </c>
      <c r="M143" s="25" t="n">
        <v>1</v>
      </c>
      <c r="N143" s="25" t="n">
        <v>1</v>
      </c>
      <c r="O143" s="25" t="n">
        <v>1</v>
      </c>
      <c r="P143" s="25" t="n">
        <v>1</v>
      </c>
      <c r="Q143" s="25" t="n">
        <v>1</v>
      </c>
      <c r="R143" s="25" t="n">
        <v>1</v>
      </c>
      <c r="S143" s="25" t="n">
        <v>1</v>
      </c>
      <c r="T143" s="25" t="n">
        <v>1</v>
      </c>
      <c r="U143" s="25" t="n">
        <v>1</v>
      </c>
      <c r="V143" s="25" t="n">
        <v>1</v>
      </c>
      <c r="W143" s="25" t="n">
        <v>1</v>
      </c>
      <c r="X143" s="25" t="n">
        <v>1</v>
      </c>
      <c r="Y143" s="25" t="n">
        <v>1</v>
      </c>
      <c r="Z143" s="25" t="n">
        <v>1</v>
      </c>
      <c r="AA143" s="25" t="n">
        <v>1</v>
      </c>
      <c r="AB143" s="25" t="n">
        <v>1</v>
      </c>
      <c r="AC143" s="25" t="n">
        <v>1</v>
      </c>
      <c r="AD143" s="25" t="n">
        <v>1</v>
      </c>
      <c r="AE143" s="25" t="n">
        <v>1</v>
      </c>
      <c r="AG143" s="11">
        <f>CodePrefix&amp;$A143&amp;IF($C143="","","."&amp;$C143&amp;"."&amp;$B143)&amp;INDEX(VarEnd,MATCH($A143,VarKey,0))&amp;AG$5</f>
        <v/>
      </c>
      <c r="AH143" s="25" t="n">
        <v>1</v>
      </c>
      <c r="AI143" s="25" t="n">
        <v>1</v>
      </c>
      <c r="AJ143" s="25" t="n">
        <v>1</v>
      </c>
      <c r="AK143" s="25" t="n">
        <v>1</v>
      </c>
      <c r="AL143" s="25" t="n">
        <v>1</v>
      </c>
      <c r="AM143" s="25" t="n">
        <v>1</v>
      </c>
      <c r="AN143" s="25" t="n">
        <v>1</v>
      </c>
      <c r="AO143" s="25" t="n">
        <v>1</v>
      </c>
      <c r="AP143" s="25" t="n">
        <v>1</v>
      </c>
      <c r="AQ143" s="25" t="n">
        <v>1</v>
      </c>
      <c r="AR143" s="25" t="n">
        <v>1</v>
      </c>
      <c r="AS143" s="25" t="n">
        <v>1</v>
      </c>
      <c r="AT143" s="25" t="n">
        <v>1</v>
      </c>
      <c r="AU143" s="25" t="n">
        <v>1</v>
      </c>
      <c r="AV143" s="25" t="n">
        <v>1</v>
      </c>
      <c r="AW143" s="25" t="n">
        <v>1</v>
      </c>
      <c r="AX143" s="25" t="n">
        <v>1</v>
      </c>
      <c r="AY143" s="25" t="n">
        <v>1</v>
      </c>
      <c r="AZ143" s="25" t="n">
        <v>1</v>
      </c>
      <c r="BA143" s="25" t="n">
        <v>1</v>
      </c>
    </row>
    <row r="144" hidden="1" outlineLevel="1">
      <c r="A144" s="14" t="inlineStr">
        <is>
          <t>etsb.s</t>
        </is>
      </c>
      <c r="B144" s="14" t="inlineStr">
        <is>
          <t>all</t>
        </is>
      </c>
      <c r="C144" s="14" t="inlineStr">
        <is>
          <t>res</t>
        </is>
      </c>
      <c r="H144" s="14">
        <f>INDEX(VarLab,MATCH($A144,VarKey,0))&amp;INDEX(MemLab,MATCH($C144&amp;"|"&amp;$B144,MemKey,0))</f>
        <v/>
      </c>
      <c r="I144" s="14">
        <f>INDEX(VarUnit,MATCH($A144,VarKey,0))</f>
        <v/>
      </c>
      <c r="J144" s="14">
        <f>INDEX(VarSrc,MATCH($A144,VarKey,0))</f>
        <v/>
      </c>
      <c r="K144" s="11">
        <f>CodePrefix&amp;$A144&amp;IF($C144="","","."&amp;$C144&amp;"."&amp;$B144)&amp;INDEX(VarEnd,MATCH($A144,VarKey,0))&amp;K$5</f>
        <v/>
      </c>
      <c r="L144" s="25" t="n">
        <v>1</v>
      </c>
      <c r="M144" s="25" t="n">
        <v>1</v>
      </c>
      <c r="N144" s="25" t="n">
        <v>1</v>
      </c>
      <c r="O144" s="25" t="n">
        <v>1</v>
      </c>
      <c r="P144" s="25" t="n">
        <v>1</v>
      </c>
      <c r="Q144" s="25" t="n">
        <v>1</v>
      </c>
      <c r="R144" s="25" t="n">
        <v>1</v>
      </c>
      <c r="S144" s="25" t="n">
        <v>1</v>
      </c>
      <c r="T144" s="25" t="n">
        <v>1</v>
      </c>
      <c r="U144" s="25" t="n">
        <v>1</v>
      </c>
      <c r="V144" s="25" t="n">
        <v>1</v>
      </c>
      <c r="W144" s="25" t="n">
        <v>1</v>
      </c>
      <c r="X144" s="25" t="n">
        <v>1</v>
      </c>
      <c r="Y144" s="25" t="n">
        <v>1</v>
      </c>
      <c r="Z144" s="25" t="n">
        <v>1</v>
      </c>
      <c r="AA144" s="25" t="n">
        <v>1</v>
      </c>
      <c r="AB144" s="25" t="n">
        <v>1</v>
      </c>
      <c r="AC144" s="25" t="n">
        <v>1</v>
      </c>
      <c r="AD144" s="25" t="n">
        <v>1</v>
      </c>
      <c r="AE144" s="25" t="n">
        <v>1</v>
      </c>
      <c r="AG144" s="11">
        <f>CodePrefix&amp;$A144&amp;IF($C144="","","."&amp;$C144&amp;"."&amp;$B144)&amp;INDEX(VarEnd,MATCH($A144,VarKey,0))&amp;AG$5</f>
        <v/>
      </c>
      <c r="AH144" s="25" t="n">
        <v>1</v>
      </c>
      <c r="AI144" s="25" t="n">
        <v>1</v>
      </c>
      <c r="AJ144" s="25" t="n">
        <v>1</v>
      </c>
      <c r="AK144" s="25" t="n">
        <v>1</v>
      </c>
      <c r="AL144" s="25" t="n">
        <v>1</v>
      </c>
      <c r="AM144" s="25" t="n">
        <v>1</v>
      </c>
      <c r="AN144" s="25" t="n">
        <v>1</v>
      </c>
      <c r="AO144" s="25" t="n">
        <v>1</v>
      </c>
      <c r="AP144" s="25" t="n">
        <v>1</v>
      </c>
      <c r="AQ144" s="25" t="n">
        <v>1</v>
      </c>
      <c r="AR144" s="25" t="n">
        <v>1</v>
      </c>
      <c r="AS144" s="25" t="n">
        <v>1</v>
      </c>
      <c r="AT144" s="25" t="n">
        <v>1</v>
      </c>
      <c r="AU144" s="25" t="n">
        <v>1</v>
      </c>
      <c r="AV144" s="25" t="n">
        <v>1</v>
      </c>
      <c r="AW144" s="25" t="n">
        <v>1</v>
      </c>
      <c r="AX144" s="25" t="n">
        <v>1</v>
      </c>
      <c r="AY144" s="25" t="n">
        <v>1</v>
      </c>
      <c r="AZ144" s="25" t="n">
        <v>1</v>
      </c>
      <c r="BA144" s="25" t="n">
        <v>1</v>
      </c>
    </row>
    <row r="145" hidden="1" outlineLevel="1">
      <c r="A145" s="14" t="inlineStr">
        <is>
          <t>etsb.s</t>
        </is>
      </c>
      <c r="B145" s="14" t="inlineStr">
        <is>
          <t>all</t>
        </is>
      </c>
      <c r="C145" s="14" t="inlineStr">
        <is>
          <t>ind</t>
        </is>
      </c>
      <c r="H145" s="14">
        <f>INDEX(VarLab,MATCH($A145,VarKey,0))&amp;INDEX(MemLab,MATCH($C145&amp;"|"&amp;$B145,MemKey,0))</f>
        <v/>
      </c>
      <c r="I145" s="14">
        <f>INDEX(VarUnit,MATCH($A145,VarKey,0))</f>
        <v/>
      </c>
      <c r="J145" s="14">
        <f>INDEX(VarSrc,MATCH($A145,VarKey,0))</f>
        <v/>
      </c>
      <c r="K145" s="11">
        <f>CodePrefix&amp;$A145&amp;IF($C145="","","."&amp;$C145&amp;"."&amp;$B145)&amp;INDEX(VarEnd,MATCH($A145,VarKey,0))&amp;K$5</f>
        <v/>
      </c>
      <c r="L145" s="25" t="n">
        <v>1</v>
      </c>
      <c r="M145" s="25" t="n">
        <v>1</v>
      </c>
      <c r="N145" s="25" t="n">
        <v>1</v>
      </c>
      <c r="O145" s="25" t="n">
        <v>1</v>
      </c>
      <c r="P145" s="25" t="n">
        <v>1</v>
      </c>
      <c r="Q145" s="25" t="n">
        <v>1</v>
      </c>
      <c r="R145" s="25" t="n">
        <v>1</v>
      </c>
      <c r="S145" s="25" t="n">
        <v>1</v>
      </c>
      <c r="T145" s="25" t="n">
        <v>1</v>
      </c>
      <c r="U145" s="25" t="n">
        <v>1</v>
      </c>
      <c r="V145" s="25" t="n">
        <v>1</v>
      </c>
      <c r="W145" s="25" t="n">
        <v>1</v>
      </c>
      <c r="X145" s="25" t="n">
        <v>1</v>
      </c>
      <c r="Y145" s="25" t="n">
        <v>1</v>
      </c>
      <c r="Z145" s="25" t="n">
        <v>1</v>
      </c>
      <c r="AA145" s="25" t="n">
        <v>1</v>
      </c>
      <c r="AB145" s="25" t="n">
        <v>1</v>
      </c>
      <c r="AC145" s="25" t="n">
        <v>1</v>
      </c>
      <c r="AD145" s="25" t="n">
        <v>1</v>
      </c>
      <c r="AE145" s="25" t="n">
        <v>1</v>
      </c>
      <c r="AG145" s="11">
        <f>CodePrefix&amp;$A145&amp;IF($C145="","","."&amp;$C145&amp;"."&amp;$B145)&amp;INDEX(VarEnd,MATCH($A145,VarKey,0))&amp;AG$5</f>
        <v/>
      </c>
      <c r="AH145" s="25" t="n">
        <v>1</v>
      </c>
      <c r="AI145" s="25" t="n">
        <v>1</v>
      </c>
      <c r="AJ145" s="25" t="n">
        <v>1</v>
      </c>
      <c r="AK145" s="25" t="n">
        <v>1</v>
      </c>
      <c r="AL145" s="25" t="n">
        <v>1</v>
      </c>
      <c r="AM145" s="25" t="n">
        <v>1</v>
      </c>
      <c r="AN145" s="25" t="n">
        <v>1</v>
      </c>
      <c r="AO145" s="25" t="n">
        <v>1</v>
      </c>
      <c r="AP145" s="25" t="n">
        <v>1</v>
      </c>
      <c r="AQ145" s="25" t="n">
        <v>1</v>
      </c>
      <c r="AR145" s="25" t="n">
        <v>1</v>
      </c>
      <c r="AS145" s="25" t="n">
        <v>1</v>
      </c>
      <c r="AT145" s="25" t="n">
        <v>1</v>
      </c>
      <c r="AU145" s="25" t="n">
        <v>1</v>
      </c>
      <c r="AV145" s="25" t="n">
        <v>1</v>
      </c>
      <c r="AW145" s="25" t="n">
        <v>1</v>
      </c>
      <c r="AX145" s="25" t="n">
        <v>1</v>
      </c>
      <c r="AY145" s="25" t="n">
        <v>1</v>
      </c>
      <c r="AZ145" s="25" t="n">
        <v>1</v>
      </c>
      <c r="BA145" s="25" t="n">
        <v>1</v>
      </c>
    </row>
    <row r="146" hidden="1" outlineLevel="1">
      <c r="A146" s="14" t="inlineStr">
        <is>
          <t>etsb.t</t>
        </is>
      </c>
      <c r="B146" s="14" t="inlineStr">
        <is>
          <t>all</t>
        </is>
      </c>
      <c r="C146" s="14" t="inlineStr">
        <is>
          <t>pow</t>
        </is>
      </c>
      <c r="H146" s="14">
        <f>INDEX(VarLab,MATCH($A146,VarKey,0))&amp;INDEX(MemLab,MATCH($C146&amp;"|"&amp;$B146,MemKey,0))</f>
        <v/>
      </c>
      <c r="I146" s="14">
        <f>INDEX(VarUnit,MATCH($A146,VarKey,0))</f>
        <v/>
      </c>
      <c r="J146" s="14">
        <f>INDEX(VarSrc,MATCH($A146,VarKey,0))</f>
        <v/>
      </c>
      <c r="K146" s="11">
        <f>CodePrefix&amp;$A146&amp;IF($C146="","","."&amp;$C146&amp;"."&amp;$B146)&amp;INDEX(VarEnd,MATCH($A146,VarKey,0))&amp;K$5</f>
        <v/>
      </c>
      <c r="L146" s="25" t="n">
        <v>0.8</v>
      </c>
      <c r="M146" s="25" t="n">
        <v>0.8</v>
      </c>
      <c r="N146" s="25" t="n">
        <v>0.8</v>
      </c>
      <c r="O146" s="25" t="n">
        <v>0.8</v>
      </c>
      <c r="P146" s="25" t="n">
        <v>0.8</v>
      </c>
      <c r="Q146" s="25" t="n">
        <v>0.8</v>
      </c>
      <c r="R146" s="25" t="n">
        <v>0.8</v>
      </c>
      <c r="S146" s="25" t="n">
        <v>0.8</v>
      </c>
      <c r="T146" s="25" t="n">
        <v>0.8</v>
      </c>
      <c r="U146" s="25" t="n">
        <v>0.8</v>
      </c>
      <c r="V146" s="25" t="n">
        <v>0.8</v>
      </c>
      <c r="W146" s="25" t="n">
        <v>0.8</v>
      </c>
      <c r="X146" s="25" t="n">
        <v>0.8</v>
      </c>
      <c r="Y146" s="25" t="n">
        <v>0.8</v>
      </c>
      <c r="Z146" s="25" t="n">
        <v>0.8</v>
      </c>
      <c r="AA146" s="25" t="n">
        <v>0.8</v>
      </c>
      <c r="AB146" s="25" t="n">
        <v>0.8</v>
      </c>
      <c r="AC146" s="25" t="n">
        <v>0.8</v>
      </c>
      <c r="AD146" s="25" t="n">
        <v>0.8</v>
      </c>
      <c r="AE146" s="25" t="n">
        <v>0.8</v>
      </c>
      <c r="AG146" s="11">
        <f>CodePrefix&amp;$A146&amp;IF($C146="","","."&amp;$C146&amp;"."&amp;$B146)&amp;INDEX(VarEnd,MATCH($A146,VarKey,0))&amp;AG$5</f>
        <v/>
      </c>
      <c r="AH146" s="25" t="n">
        <v>0.8</v>
      </c>
      <c r="AI146" s="25" t="n">
        <v>0.8</v>
      </c>
      <c r="AJ146" s="25" t="n">
        <v>0.8</v>
      </c>
      <c r="AK146" s="25" t="n">
        <v>0.8</v>
      </c>
      <c r="AL146" s="25" t="n">
        <v>0.8</v>
      </c>
      <c r="AM146" s="25" t="n">
        <v>0.8</v>
      </c>
      <c r="AN146" s="25" t="n">
        <v>0.8</v>
      </c>
      <c r="AO146" s="25" t="n">
        <v>0.8</v>
      </c>
      <c r="AP146" s="25" t="n">
        <v>0.8</v>
      </c>
      <c r="AQ146" s="25" t="n">
        <v>0.8</v>
      </c>
      <c r="AR146" s="25" t="n">
        <v>0.8</v>
      </c>
      <c r="AS146" s="25" t="n">
        <v>0.8</v>
      </c>
      <c r="AT146" s="25" t="n">
        <v>0.8</v>
      </c>
      <c r="AU146" s="25" t="n">
        <v>0.8</v>
      </c>
      <c r="AV146" s="25" t="n">
        <v>0.8</v>
      </c>
      <c r="AW146" s="25" t="n">
        <v>0.8</v>
      </c>
      <c r="AX146" s="25" t="n">
        <v>0.8</v>
      </c>
      <c r="AY146" s="25" t="n">
        <v>0.8</v>
      </c>
      <c r="AZ146" s="25" t="n">
        <v>0.8</v>
      </c>
      <c r="BA146" s="25" t="n">
        <v>0.8</v>
      </c>
    </row>
    <row r="147" hidden="1" outlineLevel="1">
      <c r="A147" s="14" t="inlineStr">
        <is>
          <t>etsb.t</t>
        </is>
      </c>
      <c r="B147" s="14" t="inlineStr">
        <is>
          <t>all</t>
        </is>
      </c>
      <c r="C147" s="14" t="inlineStr">
        <is>
          <t>tra</t>
        </is>
      </c>
      <c r="H147" s="14">
        <f>INDEX(VarLab,MATCH($A147,VarKey,0))&amp;INDEX(MemLab,MATCH($C147&amp;"|"&amp;$B147,MemKey,0))</f>
        <v/>
      </c>
      <c r="I147" s="14">
        <f>INDEX(VarUnit,MATCH($A147,VarKey,0))</f>
        <v/>
      </c>
      <c r="J147" s="14">
        <f>INDEX(VarSrc,MATCH($A147,VarKey,0))</f>
        <v/>
      </c>
      <c r="K147" s="11">
        <f>CodePrefix&amp;$A147&amp;IF($C147="","","."&amp;$C147&amp;"."&amp;$B147)&amp;INDEX(VarEnd,MATCH($A147,VarKey,0))&amp;K$5</f>
        <v/>
      </c>
      <c r="L147" s="25" t="n">
        <v>0.8</v>
      </c>
      <c r="M147" s="25" t="n">
        <v>0.8</v>
      </c>
      <c r="N147" s="25" t="n">
        <v>0.8</v>
      </c>
      <c r="O147" s="25" t="n">
        <v>0.8</v>
      </c>
      <c r="P147" s="25" t="n">
        <v>0.8</v>
      </c>
      <c r="Q147" s="25" t="n">
        <v>0.8</v>
      </c>
      <c r="R147" s="25" t="n">
        <v>0.8</v>
      </c>
      <c r="S147" s="25" t="n">
        <v>0.8</v>
      </c>
      <c r="T147" s="25" t="n">
        <v>0.8</v>
      </c>
      <c r="U147" s="25" t="n">
        <v>0.8</v>
      </c>
      <c r="V147" s="25" t="n">
        <v>0.8</v>
      </c>
      <c r="W147" s="25" t="n">
        <v>0.8</v>
      </c>
      <c r="X147" s="25" t="n">
        <v>0.8</v>
      </c>
      <c r="Y147" s="25" t="n">
        <v>0.8</v>
      </c>
      <c r="Z147" s="25" t="n">
        <v>0.8</v>
      </c>
      <c r="AA147" s="25" t="n">
        <v>0.8</v>
      </c>
      <c r="AB147" s="25" t="n">
        <v>0.8</v>
      </c>
      <c r="AC147" s="25" t="n">
        <v>0.8</v>
      </c>
      <c r="AD147" s="25" t="n">
        <v>0.8</v>
      </c>
      <c r="AE147" s="25" t="n">
        <v>0.8</v>
      </c>
      <c r="AG147" s="11">
        <f>CodePrefix&amp;$A147&amp;IF($C147="","","."&amp;$C147&amp;"."&amp;$B147)&amp;INDEX(VarEnd,MATCH($A147,VarKey,0))&amp;AG$5</f>
        <v/>
      </c>
      <c r="AH147" s="25" t="n">
        <v>0.8</v>
      </c>
      <c r="AI147" s="25" t="n">
        <v>0.8</v>
      </c>
      <c r="AJ147" s="25" t="n">
        <v>0.8</v>
      </c>
      <c r="AK147" s="25" t="n">
        <v>0.8</v>
      </c>
      <c r="AL147" s="25" t="n">
        <v>0.8</v>
      </c>
      <c r="AM147" s="25" t="n">
        <v>0.8</v>
      </c>
      <c r="AN147" s="25" t="n">
        <v>0.8</v>
      </c>
      <c r="AO147" s="25" t="n">
        <v>0.8</v>
      </c>
      <c r="AP147" s="25" t="n">
        <v>0.8</v>
      </c>
      <c r="AQ147" s="25" t="n">
        <v>0.8</v>
      </c>
      <c r="AR147" s="25" t="n">
        <v>0.8</v>
      </c>
      <c r="AS147" s="25" t="n">
        <v>0.8</v>
      </c>
      <c r="AT147" s="25" t="n">
        <v>0.8</v>
      </c>
      <c r="AU147" s="25" t="n">
        <v>0.8</v>
      </c>
      <c r="AV147" s="25" t="n">
        <v>0.8</v>
      </c>
      <c r="AW147" s="25" t="n">
        <v>0.8</v>
      </c>
      <c r="AX147" s="25" t="n">
        <v>0.8</v>
      </c>
      <c r="AY147" s="25" t="n">
        <v>0.8</v>
      </c>
      <c r="AZ147" s="25" t="n">
        <v>0.8</v>
      </c>
      <c r="BA147" s="25" t="n">
        <v>0.8</v>
      </c>
    </row>
    <row r="148" hidden="1" outlineLevel="1">
      <c r="A148" s="14" t="inlineStr">
        <is>
          <t>etsb.t</t>
        </is>
      </c>
      <c r="B148" s="14" t="inlineStr">
        <is>
          <t>all</t>
        </is>
      </c>
      <c r="C148" s="14" t="inlineStr">
        <is>
          <t>res</t>
        </is>
      </c>
      <c r="H148" s="14">
        <f>INDEX(VarLab,MATCH($A148,VarKey,0))&amp;INDEX(MemLab,MATCH($C148&amp;"|"&amp;$B148,MemKey,0))</f>
        <v/>
      </c>
      <c r="I148" s="14">
        <f>INDEX(VarUnit,MATCH($A148,VarKey,0))</f>
        <v/>
      </c>
      <c r="J148" s="14">
        <f>INDEX(VarSrc,MATCH($A148,VarKey,0))</f>
        <v/>
      </c>
      <c r="K148" s="11">
        <f>CodePrefix&amp;$A148&amp;IF($C148="","","."&amp;$C148&amp;"."&amp;$B148)&amp;INDEX(VarEnd,MATCH($A148,VarKey,0))&amp;K$5</f>
        <v/>
      </c>
      <c r="L148" s="25" t="n">
        <v>0.8</v>
      </c>
      <c r="M148" s="25" t="n">
        <v>0.8</v>
      </c>
      <c r="N148" s="25" t="n">
        <v>0.8</v>
      </c>
      <c r="O148" s="25" t="n">
        <v>0.8</v>
      </c>
      <c r="P148" s="25" t="n">
        <v>0.8</v>
      </c>
      <c r="Q148" s="25" t="n">
        <v>0.8</v>
      </c>
      <c r="R148" s="25" t="n">
        <v>0.8</v>
      </c>
      <c r="S148" s="25" t="n">
        <v>0.8</v>
      </c>
      <c r="T148" s="25" t="n">
        <v>0.8</v>
      </c>
      <c r="U148" s="25" t="n">
        <v>0.8</v>
      </c>
      <c r="V148" s="25" t="n">
        <v>0.8</v>
      </c>
      <c r="W148" s="25" t="n">
        <v>0.8</v>
      </c>
      <c r="X148" s="25" t="n">
        <v>0.8</v>
      </c>
      <c r="Y148" s="25" t="n">
        <v>0.8</v>
      </c>
      <c r="Z148" s="25" t="n">
        <v>0.8</v>
      </c>
      <c r="AA148" s="25" t="n">
        <v>0.8</v>
      </c>
      <c r="AB148" s="25" t="n">
        <v>0.8</v>
      </c>
      <c r="AC148" s="25" t="n">
        <v>0.8</v>
      </c>
      <c r="AD148" s="25" t="n">
        <v>0.8</v>
      </c>
      <c r="AE148" s="25" t="n">
        <v>0.8</v>
      </c>
      <c r="AG148" s="11">
        <f>CodePrefix&amp;$A148&amp;IF($C148="","","."&amp;$C148&amp;"."&amp;$B148)&amp;INDEX(VarEnd,MATCH($A148,VarKey,0))&amp;AG$5</f>
        <v/>
      </c>
      <c r="AH148" s="25" t="n">
        <v>0.8</v>
      </c>
      <c r="AI148" s="25" t="n">
        <v>0.8</v>
      </c>
      <c r="AJ148" s="25" t="n">
        <v>0.8</v>
      </c>
      <c r="AK148" s="25" t="n">
        <v>0.8</v>
      </c>
      <c r="AL148" s="25" t="n">
        <v>0.8</v>
      </c>
      <c r="AM148" s="25" t="n">
        <v>0.8</v>
      </c>
      <c r="AN148" s="25" t="n">
        <v>0.8</v>
      </c>
      <c r="AO148" s="25" t="n">
        <v>0.8</v>
      </c>
      <c r="AP148" s="25" t="n">
        <v>0.8</v>
      </c>
      <c r="AQ148" s="25" t="n">
        <v>0.8</v>
      </c>
      <c r="AR148" s="25" t="n">
        <v>0.8</v>
      </c>
      <c r="AS148" s="25" t="n">
        <v>0.8</v>
      </c>
      <c r="AT148" s="25" t="n">
        <v>0.8</v>
      </c>
      <c r="AU148" s="25" t="n">
        <v>0.8</v>
      </c>
      <c r="AV148" s="25" t="n">
        <v>0.8</v>
      </c>
      <c r="AW148" s="25" t="n">
        <v>0.8</v>
      </c>
      <c r="AX148" s="25" t="n">
        <v>0.8</v>
      </c>
      <c r="AY148" s="25" t="n">
        <v>0.8</v>
      </c>
      <c r="AZ148" s="25" t="n">
        <v>0.8</v>
      </c>
      <c r="BA148" s="25" t="n">
        <v>0.8</v>
      </c>
    </row>
    <row r="149" hidden="1" outlineLevel="1">
      <c r="A149" s="14" t="inlineStr">
        <is>
          <t>etsb.t</t>
        </is>
      </c>
      <c r="B149" s="14" t="inlineStr">
        <is>
          <t>all</t>
        </is>
      </c>
      <c r="C149" s="14" t="inlineStr">
        <is>
          <t>ind</t>
        </is>
      </c>
      <c r="H149" s="14">
        <f>INDEX(VarLab,MATCH($A149,VarKey,0))&amp;INDEX(MemLab,MATCH($C149&amp;"|"&amp;$B149,MemKey,0))</f>
        <v/>
      </c>
      <c r="I149" s="14">
        <f>INDEX(VarUnit,MATCH($A149,VarKey,0))</f>
        <v/>
      </c>
      <c r="J149" s="14">
        <f>INDEX(VarSrc,MATCH($A149,VarKey,0))</f>
        <v/>
      </c>
      <c r="K149" s="11">
        <f>CodePrefix&amp;$A149&amp;IF($C149="","","."&amp;$C149&amp;"."&amp;$B149)&amp;INDEX(VarEnd,MATCH($A149,VarKey,0))&amp;K$5</f>
        <v/>
      </c>
      <c r="L149" s="25" t="n">
        <v>0.8</v>
      </c>
      <c r="M149" s="25" t="n">
        <v>0.8</v>
      </c>
      <c r="N149" s="25" t="n">
        <v>0.8</v>
      </c>
      <c r="O149" s="25" t="n">
        <v>0.8</v>
      </c>
      <c r="P149" s="25" t="n">
        <v>0.8</v>
      </c>
      <c r="Q149" s="25" t="n">
        <v>0.8</v>
      </c>
      <c r="R149" s="25" t="n">
        <v>0.8</v>
      </c>
      <c r="S149" s="25" t="n">
        <v>0.8</v>
      </c>
      <c r="T149" s="25" t="n">
        <v>0.8</v>
      </c>
      <c r="U149" s="25" t="n">
        <v>0.8</v>
      </c>
      <c r="V149" s="25" t="n">
        <v>0.8</v>
      </c>
      <c r="W149" s="25" t="n">
        <v>0.8</v>
      </c>
      <c r="X149" s="25" t="n">
        <v>0.8</v>
      </c>
      <c r="Y149" s="25" t="n">
        <v>0.8</v>
      </c>
      <c r="Z149" s="25" t="n">
        <v>0.8</v>
      </c>
      <c r="AA149" s="25" t="n">
        <v>0.8</v>
      </c>
      <c r="AB149" s="25" t="n">
        <v>0.8</v>
      </c>
      <c r="AC149" s="25" t="n">
        <v>0.8</v>
      </c>
      <c r="AD149" s="25" t="n">
        <v>0.8</v>
      </c>
      <c r="AE149" s="25" t="n">
        <v>0.8</v>
      </c>
      <c r="AG149" s="11">
        <f>CodePrefix&amp;$A149&amp;IF($C149="","","."&amp;$C149&amp;"."&amp;$B149)&amp;INDEX(VarEnd,MATCH($A149,VarKey,0))&amp;AG$5</f>
        <v/>
      </c>
      <c r="AH149" s="25" t="n">
        <v>0.8</v>
      </c>
      <c r="AI149" s="25" t="n">
        <v>0.8</v>
      </c>
      <c r="AJ149" s="25" t="n">
        <v>0.8</v>
      </c>
      <c r="AK149" s="25" t="n">
        <v>0.8</v>
      </c>
      <c r="AL149" s="25" t="n">
        <v>0.8</v>
      </c>
      <c r="AM149" s="25" t="n">
        <v>0.8</v>
      </c>
      <c r="AN149" s="25" t="n">
        <v>0.8</v>
      </c>
      <c r="AO149" s="25" t="n">
        <v>0.8</v>
      </c>
      <c r="AP149" s="25" t="n">
        <v>0.8</v>
      </c>
      <c r="AQ149" s="25" t="n">
        <v>0.8</v>
      </c>
      <c r="AR149" s="25" t="n">
        <v>0.8</v>
      </c>
      <c r="AS149" s="25" t="n">
        <v>0.8</v>
      </c>
      <c r="AT149" s="25" t="n">
        <v>0.8</v>
      </c>
      <c r="AU149" s="25" t="n">
        <v>0.8</v>
      </c>
      <c r="AV149" s="25" t="n">
        <v>0.8</v>
      </c>
      <c r="AW149" s="25" t="n">
        <v>0.8</v>
      </c>
      <c r="AX149" s="25" t="n">
        <v>0.8</v>
      </c>
      <c r="AY149" s="25" t="n">
        <v>0.8</v>
      </c>
      <c r="AZ149" s="25" t="n">
        <v>0.8</v>
      </c>
      <c r="BA149" s="25" t="n">
        <v>0.8</v>
      </c>
    </row>
    <row r="150" hidden="1" outlineLevel="1">
      <c r="A150" s="1" t="inlineStr">
        <is>
          <t>etsb</t>
        </is>
      </c>
      <c r="B150" s="1" t="inlineStr">
        <is>
          <t>all</t>
        </is>
      </c>
      <c r="C150" s="1" t="inlineStr">
        <is>
          <t>pow</t>
        </is>
      </c>
      <c r="H150" s="1">
        <f>INDEX(VarLab,MATCH($A150,VarKey,0))&amp;INDEX(MemLab,MATCH($C150&amp;"|"&amp;$B150,MemKey,0))</f>
        <v/>
      </c>
      <c r="I150" s="1">
        <f>INDEX(VarUnit,MATCH($A150,VarKey,0))</f>
        <v/>
      </c>
      <c r="J150" s="1">
        <f>INDEX(VarSrc,MATCH($A150,VarKey,0))</f>
        <v/>
      </c>
      <c r="K150" s="17">
        <f>CodePrefix&amp;$A150&amp;IF($C150="","","."&amp;$C150&amp;"."&amp;$B150)&amp;INDEX(VarEnd,MATCH($A150,VarKey,0))&amp;K$5</f>
        <v/>
      </c>
      <c r="L150" s="18">
        <f>IF(L$4&lt;L$99,0,L142+(L146-L142)/MAX(L$100-L$99,1)*(MIN(L$4,L$100)-L$99))</f>
        <v/>
      </c>
      <c r="M150" s="19">
        <f>IF(M$4&lt;M$99,0,M142+(M146-M142)/MAX(M$100-M$99,1)*(MIN(M$4,M$100)-M$99))</f>
        <v/>
      </c>
      <c r="N150" s="19">
        <f>IF(N$4&lt;N$99,0,N142+(N146-N142)/MAX(N$100-N$99,1)*(MIN(N$4,N$100)-N$99))</f>
        <v/>
      </c>
      <c r="O150" s="19">
        <f>IF(O$4&lt;O$99,0,O142+(O146-O142)/MAX(O$100-O$99,1)*(MIN(O$4,O$100)-O$99))</f>
        <v/>
      </c>
      <c r="P150" s="19">
        <f>IF(P$4&lt;P$99,0,P142+(P146-P142)/MAX(P$100-P$99,1)*(MIN(P$4,P$100)-P$99))</f>
        <v/>
      </c>
      <c r="Q150" s="19">
        <f>IF(Q$4&lt;Q$99,0,Q142+(Q146-Q142)/MAX(Q$100-Q$99,1)*(MIN(Q$4,Q$100)-Q$99))</f>
        <v/>
      </c>
      <c r="R150" s="19">
        <f>IF(R$4&lt;R$99,0,R142+(R146-R142)/MAX(R$100-R$99,1)*(MIN(R$4,R$100)-R$99))</f>
        <v/>
      </c>
      <c r="S150" s="19">
        <f>IF(S$4&lt;S$99,0,S142+(S146-S142)/MAX(S$100-S$99,1)*(MIN(S$4,S$100)-S$99))</f>
        <v/>
      </c>
      <c r="T150" s="19">
        <f>IF(T$4&lt;T$99,0,T142+(T146-T142)/MAX(T$100-T$99,1)*(MIN(T$4,T$100)-T$99))</f>
        <v/>
      </c>
      <c r="U150" s="19">
        <f>IF(U$4&lt;U$99,0,U142+(U146-U142)/MAX(U$100-U$99,1)*(MIN(U$4,U$100)-U$99))</f>
        <v/>
      </c>
      <c r="V150" s="19">
        <f>IF(V$4&lt;V$99,0,V142+(V146-V142)/MAX(V$100-V$99,1)*(MIN(V$4,V$100)-V$99))</f>
        <v/>
      </c>
      <c r="W150" s="19">
        <f>IF(W$4&lt;W$99,0,W142+(W146-W142)/MAX(W$100-W$99,1)*(MIN(W$4,W$100)-W$99))</f>
        <v/>
      </c>
      <c r="X150" s="19">
        <f>IF(X$4&lt;X$99,0,X142+(X146-X142)/MAX(X$100-X$99,1)*(MIN(X$4,X$100)-X$99))</f>
        <v/>
      </c>
      <c r="Y150" s="19">
        <f>IF(Y$4&lt;Y$99,0,Y142+(Y146-Y142)/MAX(Y$100-Y$99,1)*(MIN(Y$4,Y$100)-Y$99))</f>
        <v/>
      </c>
      <c r="Z150" s="19">
        <f>IF(Z$4&lt;Z$99,0,Z142+(Z146-Z142)/MAX(Z$100-Z$99,1)*(MIN(Z$4,Z$100)-Z$99))</f>
        <v/>
      </c>
      <c r="AA150" s="19">
        <f>IF(AA$4&lt;AA$99,0,AA142+(AA146-AA142)/MAX(AA$100-AA$99,1)*(MIN(AA$4,AA$100)-AA$99))</f>
        <v/>
      </c>
      <c r="AB150" s="19">
        <f>IF(AB$4&lt;AB$99,0,AB142+(AB146-AB142)/MAX(AB$100-AB$99,1)*(MIN(AB$4,AB$100)-AB$99))</f>
        <v/>
      </c>
      <c r="AC150" s="19">
        <f>IF(AC$4&lt;AC$99,0,AC142+(AC146-AC142)/MAX(AC$100-AC$99,1)*(MIN(AC$4,AC$100)-AC$99))</f>
        <v/>
      </c>
      <c r="AD150" s="19">
        <f>IF(AD$4&lt;AD$99,0,AD142+(AD146-AD142)/MAX(AD$100-AD$99,1)*(MIN(AD$4,AD$100)-AD$99))</f>
        <v/>
      </c>
      <c r="AE150" s="20">
        <f>PATH(AE$4,AE$99,AE$100,AE142,AE146,FALSE)</f>
        <v/>
      </c>
      <c r="AG150" s="17">
        <f>CodePrefix&amp;$A150&amp;IF($C150="","","."&amp;$C150&amp;"."&amp;$B150)&amp;INDEX(VarEnd,MATCH($A150,VarKey,0))&amp;AG$5</f>
        <v/>
      </c>
      <c r="AH150" s="18">
        <f>IF(AH$4&lt;AH$99,0,AH142+(AH146-AH142)/MAX(AH$100-AH$99,1)*(MIN(AH$4,AH$100)-AH$99))</f>
        <v/>
      </c>
      <c r="AI150" s="19">
        <f>IF(AI$4&lt;AI$99,0,AI142+(AI146-AI142)/MAX(AI$100-AI$99,1)*(MIN(AI$4,AI$100)-AI$99))</f>
        <v/>
      </c>
      <c r="AJ150" s="19">
        <f>IF(AJ$4&lt;AJ$99,0,AJ142+(AJ146-AJ142)/MAX(AJ$100-AJ$99,1)*(MIN(AJ$4,AJ$100)-AJ$99))</f>
        <v/>
      </c>
      <c r="AK150" s="19">
        <f>IF(AK$4&lt;AK$99,0,AK142+(AK146-AK142)/MAX(AK$100-AK$99,1)*(MIN(AK$4,AK$100)-AK$99))</f>
        <v/>
      </c>
      <c r="AL150" s="19">
        <f>IF(AL$4&lt;AL$99,0,AL142+(AL146-AL142)/MAX(AL$100-AL$99,1)*(MIN(AL$4,AL$100)-AL$99))</f>
        <v/>
      </c>
      <c r="AM150" s="19">
        <f>IF(AM$4&lt;AM$99,0,AM142+(AM146-AM142)/MAX(AM$100-AM$99,1)*(MIN(AM$4,AM$100)-AM$99))</f>
        <v/>
      </c>
      <c r="AN150" s="19">
        <f>IF(AN$4&lt;AN$99,0,AN142+(AN146-AN142)/MAX(AN$100-AN$99,1)*(MIN(AN$4,AN$100)-AN$99))</f>
        <v/>
      </c>
      <c r="AO150" s="19">
        <f>IF(AO$4&lt;AO$99,0,AO142+(AO146-AO142)/MAX(AO$100-AO$99,1)*(MIN(AO$4,AO$100)-AO$99))</f>
        <v/>
      </c>
      <c r="AP150" s="19">
        <f>IF(AP$4&lt;AP$99,0,AP142+(AP146-AP142)/MAX(AP$100-AP$99,1)*(MIN(AP$4,AP$100)-AP$99))</f>
        <v/>
      </c>
      <c r="AQ150" s="19">
        <f>IF(AQ$4&lt;AQ$99,0,AQ142+(AQ146-AQ142)/MAX(AQ$100-AQ$99,1)*(MIN(AQ$4,AQ$100)-AQ$99))</f>
        <v/>
      </c>
      <c r="AR150" s="19">
        <f>IF(AR$4&lt;AR$99,0,AR142+(AR146-AR142)/MAX(AR$100-AR$99,1)*(MIN(AR$4,AR$100)-AR$99))</f>
        <v/>
      </c>
      <c r="AS150" s="19">
        <f>IF(AS$4&lt;AS$99,0,AS142+(AS146-AS142)/MAX(AS$100-AS$99,1)*(MIN(AS$4,AS$100)-AS$99))</f>
        <v/>
      </c>
      <c r="AT150" s="19">
        <f>IF(AT$4&lt;AT$99,0,AT142+(AT146-AT142)/MAX(AT$100-AT$99,1)*(MIN(AT$4,AT$100)-AT$99))</f>
        <v/>
      </c>
      <c r="AU150" s="19">
        <f>IF(AU$4&lt;AU$99,0,AU142+(AU146-AU142)/MAX(AU$100-AU$99,1)*(MIN(AU$4,AU$100)-AU$99))</f>
        <v/>
      </c>
      <c r="AV150" s="19">
        <f>IF(AV$4&lt;AV$99,0,AV142+(AV146-AV142)/MAX(AV$100-AV$99,1)*(MIN(AV$4,AV$100)-AV$99))</f>
        <v/>
      </c>
      <c r="AW150" s="19">
        <f>IF(AW$4&lt;AW$99,0,AW142+(AW146-AW142)/MAX(AW$100-AW$99,1)*(MIN(AW$4,AW$100)-AW$99))</f>
        <v/>
      </c>
      <c r="AX150" s="19">
        <f>IF(AX$4&lt;AX$99,0,AX142+(AX146-AX142)/MAX(AX$100-AX$99,1)*(MIN(AX$4,AX$100)-AX$99))</f>
        <v/>
      </c>
      <c r="AY150" s="19">
        <f>IF(AY$4&lt;AY$99,0,AY142+(AY146-AY142)/MAX(AY$100-AY$99,1)*(MIN(AY$4,AY$100)-AY$99))</f>
        <v/>
      </c>
      <c r="AZ150" s="19">
        <f>IF(AZ$4&lt;AZ$99,0,AZ142+(AZ146-AZ142)/MAX(AZ$100-AZ$99,1)*(MIN(AZ$4,AZ$100)-AZ$99))</f>
        <v/>
      </c>
      <c r="BA150" s="20">
        <f>PATH(BA$4,BA$99,BA$100,BA142,BA146,FALSE)</f>
        <v/>
      </c>
    </row>
    <row r="151" hidden="1" outlineLevel="1">
      <c r="A151" s="1" t="inlineStr">
        <is>
          <t>etsb</t>
        </is>
      </c>
      <c r="B151" s="1" t="inlineStr">
        <is>
          <t>all</t>
        </is>
      </c>
      <c r="C151" s="1" t="inlineStr">
        <is>
          <t>tra</t>
        </is>
      </c>
      <c r="H151" s="1">
        <f>INDEX(VarLab,MATCH($A151,VarKey,0))&amp;INDEX(MemLab,MATCH($C151&amp;"|"&amp;$B151,MemKey,0))</f>
        <v/>
      </c>
      <c r="I151" s="1">
        <f>INDEX(VarUnit,MATCH($A151,VarKey,0))</f>
        <v/>
      </c>
      <c r="J151" s="1">
        <f>INDEX(VarSrc,MATCH($A151,VarKey,0))</f>
        <v/>
      </c>
      <c r="K151" s="17">
        <f>CodePrefix&amp;$A151&amp;IF($C151="","","."&amp;$C151&amp;"."&amp;$B151)&amp;INDEX(VarEnd,MATCH($A151,VarKey,0))&amp;K$5</f>
        <v/>
      </c>
      <c r="L151" s="18">
        <f>IF(L$4&lt;L$99,0,L143+(L147-L143)/MAX(L$100-L$99,1)*(MIN(L$4,L$100)-L$99))</f>
        <v/>
      </c>
      <c r="M151" s="19">
        <f>IF(M$4&lt;M$99,0,M143+(M147-M143)/MAX(M$100-M$99,1)*(MIN(M$4,M$100)-M$99))</f>
        <v/>
      </c>
      <c r="N151" s="19">
        <f>IF(N$4&lt;N$99,0,N143+(N147-N143)/MAX(N$100-N$99,1)*(MIN(N$4,N$100)-N$99))</f>
        <v/>
      </c>
      <c r="O151" s="19">
        <f>IF(O$4&lt;O$99,0,O143+(O147-O143)/MAX(O$100-O$99,1)*(MIN(O$4,O$100)-O$99))</f>
        <v/>
      </c>
      <c r="P151" s="19">
        <f>IF(P$4&lt;P$99,0,P143+(P147-P143)/MAX(P$100-P$99,1)*(MIN(P$4,P$100)-P$99))</f>
        <v/>
      </c>
      <c r="Q151" s="19">
        <f>IF(Q$4&lt;Q$99,0,Q143+(Q147-Q143)/MAX(Q$100-Q$99,1)*(MIN(Q$4,Q$100)-Q$99))</f>
        <v/>
      </c>
      <c r="R151" s="19">
        <f>IF(R$4&lt;R$99,0,R143+(R147-R143)/MAX(R$100-R$99,1)*(MIN(R$4,R$100)-R$99))</f>
        <v/>
      </c>
      <c r="S151" s="19">
        <f>IF(S$4&lt;S$99,0,S143+(S147-S143)/MAX(S$100-S$99,1)*(MIN(S$4,S$100)-S$99))</f>
        <v/>
      </c>
      <c r="T151" s="19">
        <f>IF(T$4&lt;T$99,0,T143+(T147-T143)/MAX(T$100-T$99,1)*(MIN(T$4,T$100)-T$99))</f>
        <v/>
      </c>
      <c r="U151" s="19">
        <f>IF(U$4&lt;U$99,0,U143+(U147-U143)/MAX(U$100-U$99,1)*(MIN(U$4,U$100)-U$99))</f>
        <v/>
      </c>
      <c r="V151" s="19">
        <f>IF(V$4&lt;V$99,0,V143+(V147-V143)/MAX(V$100-V$99,1)*(MIN(V$4,V$100)-V$99))</f>
        <v/>
      </c>
      <c r="W151" s="19">
        <f>IF(W$4&lt;W$99,0,W143+(W147-W143)/MAX(W$100-W$99,1)*(MIN(W$4,W$100)-W$99))</f>
        <v/>
      </c>
      <c r="X151" s="19">
        <f>IF(X$4&lt;X$99,0,X143+(X147-X143)/MAX(X$100-X$99,1)*(MIN(X$4,X$100)-X$99))</f>
        <v/>
      </c>
      <c r="Y151" s="19">
        <f>IF(Y$4&lt;Y$99,0,Y143+(Y147-Y143)/MAX(Y$100-Y$99,1)*(MIN(Y$4,Y$100)-Y$99))</f>
        <v/>
      </c>
      <c r="Z151" s="19">
        <f>IF(Z$4&lt;Z$99,0,Z143+(Z147-Z143)/MAX(Z$100-Z$99,1)*(MIN(Z$4,Z$100)-Z$99))</f>
        <v/>
      </c>
      <c r="AA151" s="19">
        <f>IF(AA$4&lt;AA$99,0,AA143+(AA147-AA143)/MAX(AA$100-AA$99,1)*(MIN(AA$4,AA$100)-AA$99))</f>
        <v/>
      </c>
      <c r="AB151" s="19">
        <f>IF(AB$4&lt;AB$99,0,AB143+(AB147-AB143)/MAX(AB$100-AB$99,1)*(MIN(AB$4,AB$100)-AB$99))</f>
        <v/>
      </c>
      <c r="AC151" s="19">
        <f>IF(AC$4&lt;AC$99,0,AC143+(AC147-AC143)/MAX(AC$100-AC$99,1)*(MIN(AC$4,AC$100)-AC$99))</f>
        <v/>
      </c>
      <c r="AD151" s="19">
        <f>IF(AD$4&lt;AD$99,0,AD143+(AD147-AD143)/MAX(AD$100-AD$99,1)*(MIN(AD$4,AD$100)-AD$99))</f>
        <v/>
      </c>
      <c r="AE151" s="20">
        <f>PATH(AE$4,AE$99,AE$100,AE143,AE147,FALSE)</f>
        <v/>
      </c>
      <c r="AG151" s="17">
        <f>CodePrefix&amp;$A151&amp;IF($C151="","","."&amp;$C151&amp;"."&amp;$B151)&amp;INDEX(VarEnd,MATCH($A151,VarKey,0))&amp;AG$5</f>
        <v/>
      </c>
      <c r="AH151" s="18">
        <f>IF(AH$4&lt;AH$99,0,AH143+(AH147-AH143)/MAX(AH$100-AH$99,1)*(MIN(AH$4,AH$100)-AH$99))</f>
        <v/>
      </c>
      <c r="AI151" s="19">
        <f>IF(AI$4&lt;AI$99,0,AI143+(AI147-AI143)/MAX(AI$100-AI$99,1)*(MIN(AI$4,AI$100)-AI$99))</f>
        <v/>
      </c>
      <c r="AJ151" s="19">
        <f>IF(AJ$4&lt;AJ$99,0,AJ143+(AJ147-AJ143)/MAX(AJ$100-AJ$99,1)*(MIN(AJ$4,AJ$100)-AJ$99))</f>
        <v/>
      </c>
      <c r="AK151" s="19">
        <f>IF(AK$4&lt;AK$99,0,AK143+(AK147-AK143)/MAX(AK$100-AK$99,1)*(MIN(AK$4,AK$100)-AK$99))</f>
        <v/>
      </c>
      <c r="AL151" s="19">
        <f>IF(AL$4&lt;AL$99,0,AL143+(AL147-AL143)/MAX(AL$100-AL$99,1)*(MIN(AL$4,AL$100)-AL$99))</f>
        <v/>
      </c>
      <c r="AM151" s="19">
        <f>IF(AM$4&lt;AM$99,0,AM143+(AM147-AM143)/MAX(AM$100-AM$99,1)*(MIN(AM$4,AM$100)-AM$99))</f>
        <v/>
      </c>
      <c r="AN151" s="19">
        <f>IF(AN$4&lt;AN$99,0,AN143+(AN147-AN143)/MAX(AN$100-AN$99,1)*(MIN(AN$4,AN$100)-AN$99))</f>
        <v/>
      </c>
      <c r="AO151" s="19">
        <f>IF(AO$4&lt;AO$99,0,AO143+(AO147-AO143)/MAX(AO$100-AO$99,1)*(MIN(AO$4,AO$100)-AO$99))</f>
        <v/>
      </c>
      <c r="AP151" s="19">
        <f>IF(AP$4&lt;AP$99,0,AP143+(AP147-AP143)/MAX(AP$100-AP$99,1)*(MIN(AP$4,AP$100)-AP$99))</f>
        <v/>
      </c>
      <c r="AQ151" s="19">
        <f>IF(AQ$4&lt;AQ$99,0,AQ143+(AQ147-AQ143)/MAX(AQ$100-AQ$99,1)*(MIN(AQ$4,AQ$100)-AQ$99))</f>
        <v/>
      </c>
      <c r="AR151" s="19">
        <f>IF(AR$4&lt;AR$99,0,AR143+(AR147-AR143)/MAX(AR$100-AR$99,1)*(MIN(AR$4,AR$100)-AR$99))</f>
        <v/>
      </c>
      <c r="AS151" s="19">
        <f>IF(AS$4&lt;AS$99,0,AS143+(AS147-AS143)/MAX(AS$100-AS$99,1)*(MIN(AS$4,AS$100)-AS$99))</f>
        <v/>
      </c>
      <c r="AT151" s="19">
        <f>IF(AT$4&lt;AT$99,0,AT143+(AT147-AT143)/MAX(AT$100-AT$99,1)*(MIN(AT$4,AT$100)-AT$99))</f>
        <v/>
      </c>
      <c r="AU151" s="19">
        <f>IF(AU$4&lt;AU$99,0,AU143+(AU147-AU143)/MAX(AU$100-AU$99,1)*(MIN(AU$4,AU$100)-AU$99))</f>
        <v/>
      </c>
      <c r="AV151" s="19">
        <f>IF(AV$4&lt;AV$99,0,AV143+(AV147-AV143)/MAX(AV$100-AV$99,1)*(MIN(AV$4,AV$100)-AV$99))</f>
        <v/>
      </c>
      <c r="AW151" s="19">
        <f>IF(AW$4&lt;AW$99,0,AW143+(AW147-AW143)/MAX(AW$100-AW$99,1)*(MIN(AW$4,AW$100)-AW$99))</f>
        <v/>
      </c>
      <c r="AX151" s="19">
        <f>IF(AX$4&lt;AX$99,0,AX143+(AX147-AX143)/MAX(AX$100-AX$99,1)*(MIN(AX$4,AX$100)-AX$99))</f>
        <v/>
      </c>
      <c r="AY151" s="19">
        <f>IF(AY$4&lt;AY$99,0,AY143+(AY147-AY143)/MAX(AY$100-AY$99,1)*(MIN(AY$4,AY$100)-AY$99))</f>
        <v/>
      </c>
      <c r="AZ151" s="19">
        <f>IF(AZ$4&lt;AZ$99,0,AZ143+(AZ147-AZ143)/MAX(AZ$100-AZ$99,1)*(MIN(AZ$4,AZ$100)-AZ$99))</f>
        <v/>
      </c>
      <c r="BA151" s="20">
        <f>PATH(BA$4,BA$99,BA$100,BA143,BA147,FALSE)</f>
        <v/>
      </c>
    </row>
    <row r="152" hidden="1" outlineLevel="1">
      <c r="A152" s="1" t="inlineStr">
        <is>
          <t>etsb</t>
        </is>
      </c>
      <c r="B152" s="1" t="inlineStr">
        <is>
          <t>all</t>
        </is>
      </c>
      <c r="C152" s="1" t="inlineStr">
        <is>
          <t>res</t>
        </is>
      </c>
      <c r="H152" s="1">
        <f>INDEX(VarLab,MATCH($A152,VarKey,0))&amp;INDEX(MemLab,MATCH($C152&amp;"|"&amp;$B152,MemKey,0))</f>
        <v/>
      </c>
      <c r="I152" s="1">
        <f>INDEX(VarUnit,MATCH($A152,VarKey,0))</f>
        <v/>
      </c>
      <c r="J152" s="1">
        <f>INDEX(VarSrc,MATCH($A152,VarKey,0))</f>
        <v/>
      </c>
      <c r="K152" s="17">
        <f>CodePrefix&amp;$A152&amp;IF($C152="","","."&amp;$C152&amp;"."&amp;$B152)&amp;INDEX(VarEnd,MATCH($A152,VarKey,0))&amp;K$5</f>
        <v/>
      </c>
      <c r="L152" s="18">
        <f>IF(L$4&lt;L$99,0,L144+(L148-L144)/MAX(L$100-L$99,1)*(MIN(L$4,L$100)-L$99))</f>
        <v/>
      </c>
      <c r="M152" s="19">
        <f>IF(M$4&lt;M$99,0,M144+(M148-M144)/MAX(M$100-M$99,1)*(MIN(M$4,M$100)-M$99))</f>
        <v/>
      </c>
      <c r="N152" s="19">
        <f>IF(N$4&lt;N$99,0,N144+(N148-N144)/MAX(N$100-N$99,1)*(MIN(N$4,N$100)-N$99))</f>
        <v/>
      </c>
      <c r="O152" s="19">
        <f>IF(O$4&lt;O$99,0,O144+(O148-O144)/MAX(O$100-O$99,1)*(MIN(O$4,O$100)-O$99))</f>
        <v/>
      </c>
      <c r="P152" s="19">
        <f>IF(P$4&lt;P$99,0,P144+(P148-P144)/MAX(P$100-P$99,1)*(MIN(P$4,P$100)-P$99))</f>
        <v/>
      </c>
      <c r="Q152" s="19">
        <f>IF(Q$4&lt;Q$99,0,Q144+(Q148-Q144)/MAX(Q$100-Q$99,1)*(MIN(Q$4,Q$100)-Q$99))</f>
        <v/>
      </c>
      <c r="R152" s="19">
        <f>IF(R$4&lt;R$99,0,R144+(R148-R144)/MAX(R$100-R$99,1)*(MIN(R$4,R$100)-R$99))</f>
        <v/>
      </c>
      <c r="S152" s="19">
        <f>IF(S$4&lt;S$99,0,S144+(S148-S144)/MAX(S$100-S$99,1)*(MIN(S$4,S$100)-S$99))</f>
        <v/>
      </c>
      <c r="T152" s="19">
        <f>IF(T$4&lt;T$99,0,T144+(T148-T144)/MAX(T$100-T$99,1)*(MIN(T$4,T$100)-T$99))</f>
        <v/>
      </c>
      <c r="U152" s="19">
        <f>IF(U$4&lt;U$99,0,U144+(U148-U144)/MAX(U$100-U$99,1)*(MIN(U$4,U$100)-U$99))</f>
        <v/>
      </c>
      <c r="V152" s="19">
        <f>IF(V$4&lt;V$99,0,V144+(V148-V144)/MAX(V$100-V$99,1)*(MIN(V$4,V$100)-V$99))</f>
        <v/>
      </c>
      <c r="W152" s="19">
        <f>IF(W$4&lt;W$99,0,W144+(W148-W144)/MAX(W$100-W$99,1)*(MIN(W$4,W$100)-W$99))</f>
        <v/>
      </c>
      <c r="X152" s="19">
        <f>IF(X$4&lt;X$99,0,X144+(X148-X144)/MAX(X$100-X$99,1)*(MIN(X$4,X$100)-X$99))</f>
        <v/>
      </c>
      <c r="Y152" s="19">
        <f>IF(Y$4&lt;Y$99,0,Y144+(Y148-Y144)/MAX(Y$100-Y$99,1)*(MIN(Y$4,Y$100)-Y$99))</f>
        <v/>
      </c>
      <c r="Z152" s="19">
        <f>IF(Z$4&lt;Z$99,0,Z144+(Z148-Z144)/MAX(Z$100-Z$99,1)*(MIN(Z$4,Z$100)-Z$99))</f>
        <v/>
      </c>
      <c r="AA152" s="19">
        <f>IF(AA$4&lt;AA$99,0,AA144+(AA148-AA144)/MAX(AA$100-AA$99,1)*(MIN(AA$4,AA$100)-AA$99))</f>
        <v/>
      </c>
      <c r="AB152" s="19">
        <f>IF(AB$4&lt;AB$99,0,AB144+(AB148-AB144)/MAX(AB$100-AB$99,1)*(MIN(AB$4,AB$100)-AB$99))</f>
        <v/>
      </c>
      <c r="AC152" s="19">
        <f>IF(AC$4&lt;AC$99,0,AC144+(AC148-AC144)/MAX(AC$100-AC$99,1)*(MIN(AC$4,AC$100)-AC$99))</f>
        <v/>
      </c>
      <c r="AD152" s="19">
        <f>IF(AD$4&lt;AD$99,0,AD144+(AD148-AD144)/MAX(AD$100-AD$99,1)*(MIN(AD$4,AD$100)-AD$99))</f>
        <v/>
      </c>
      <c r="AE152" s="20">
        <f>PATH(AE$4,AE$99,AE$100,AE144,AE148,FALSE)</f>
        <v/>
      </c>
      <c r="AG152" s="17">
        <f>CodePrefix&amp;$A152&amp;IF($C152="","","."&amp;$C152&amp;"."&amp;$B152)&amp;INDEX(VarEnd,MATCH($A152,VarKey,0))&amp;AG$5</f>
        <v/>
      </c>
      <c r="AH152" s="18">
        <f>IF(AH$4&lt;AH$99,0,AH144+(AH148-AH144)/MAX(AH$100-AH$99,1)*(MIN(AH$4,AH$100)-AH$99))</f>
        <v/>
      </c>
      <c r="AI152" s="19">
        <f>IF(AI$4&lt;AI$99,0,AI144+(AI148-AI144)/MAX(AI$100-AI$99,1)*(MIN(AI$4,AI$100)-AI$99))</f>
        <v/>
      </c>
      <c r="AJ152" s="19">
        <f>IF(AJ$4&lt;AJ$99,0,AJ144+(AJ148-AJ144)/MAX(AJ$100-AJ$99,1)*(MIN(AJ$4,AJ$100)-AJ$99))</f>
        <v/>
      </c>
      <c r="AK152" s="19">
        <f>IF(AK$4&lt;AK$99,0,AK144+(AK148-AK144)/MAX(AK$100-AK$99,1)*(MIN(AK$4,AK$100)-AK$99))</f>
        <v/>
      </c>
      <c r="AL152" s="19">
        <f>IF(AL$4&lt;AL$99,0,AL144+(AL148-AL144)/MAX(AL$100-AL$99,1)*(MIN(AL$4,AL$100)-AL$99))</f>
        <v/>
      </c>
      <c r="AM152" s="19">
        <f>IF(AM$4&lt;AM$99,0,AM144+(AM148-AM144)/MAX(AM$100-AM$99,1)*(MIN(AM$4,AM$100)-AM$99))</f>
        <v/>
      </c>
      <c r="AN152" s="19">
        <f>IF(AN$4&lt;AN$99,0,AN144+(AN148-AN144)/MAX(AN$100-AN$99,1)*(MIN(AN$4,AN$100)-AN$99))</f>
        <v/>
      </c>
      <c r="AO152" s="19">
        <f>IF(AO$4&lt;AO$99,0,AO144+(AO148-AO144)/MAX(AO$100-AO$99,1)*(MIN(AO$4,AO$100)-AO$99))</f>
        <v/>
      </c>
      <c r="AP152" s="19">
        <f>IF(AP$4&lt;AP$99,0,AP144+(AP148-AP144)/MAX(AP$100-AP$99,1)*(MIN(AP$4,AP$100)-AP$99))</f>
        <v/>
      </c>
      <c r="AQ152" s="19">
        <f>IF(AQ$4&lt;AQ$99,0,AQ144+(AQ148-AQ144)/MAX(AQ$100-AQ$99,1)*(MIN(AQ$4,AQ$100)-AQ$99))</f>
        <v/>
      </c>
      <c r="AR152" s="19">
        <f>IF(AR$4&lt;AR$99,0,AR144+(AR148-AR144)/MAX(AR$100-AR$99,1)*(MIN(AR$4,AR$100)-AR$99))</f>
        <v/>
      </c>
      <c r="AS152" s="19">
        <f>IF(AS$4&lt;AS$99,0,AS144+(AS148-AS144)/MAX(AS$100-AS$99,1)*(MIN(AS$4,AS$100)-AS$99))</f>
        <v/>
      </c>
      <c r="AT152" s="19">
        <f>IF(AT$4&lt;AT$99,0,AT144+(AT148-AT144)/MAX(AT$100-AT$99,1)*(MIN(AT$4,AT$100)-AT$99))</f>
        <v/>
      </c>
      <c r="AU152" s="19">
        <f>IF(AU$4&lt;AU$99,0,AU144+(AU148-AU144)/MAX(AU$100-AU$99,1)*(MIN(AU$4,AU$100)-AU$99))</f>
        <v/>
      </c>
      <c r="AV152" s="19">
        <f>IF(AV$4&lt;AV$99,0,AV144+(AV148-AV144)/MAX(AV$100-AV$99,1)*(MIN(AV$4,AV$100)-AV$99))</f>
        <v/>
      </c>
      <c r="AW152" s="19">
        <f>IF(AW$4&lt;AW$99,0,AW144+(AW148-AW144)/MAX(AW$100-AW$99,1)*(MIN(AW$4,AW$100)-AW$99))</f>
        <v/>
      </c>
      <c r="AX152" s="19">
        <f>IF(AX$4&lt;AX$99,0,AX144+(AX148-AX144)/MAX(AX$100-AX$99,1)*(MIN(AX$4,AX$100)-AX$99))</f>
        <v/>
      </c>
      <c r="AY152" s="19">
        <f>IF(AY$4&lt;AY$99,0,AY144+(AY148-AY144)/MAX(AY$100-AY$99,1)*(MIN(AY$4,AY$100)-AY$99))</f>
        <v/>
      </c>
      <c r="AZ152" s="19">
        <f>IF(AZ$4&lt;AZ$99,0,AZ144+(AZ148-AZ144)/MAX(AZ$100-AZ$99,1)*(MIN(AZ$4,AZ$100)-AZ$99))</f>
        <v/>
      </c>
      <c r="BA152" s="20">
        <f>PATH(BA$4,BA$99,BA$100,BA144,BA148,FALSE)</f>
        <v/>
      </c>
    </row>
    <row r="153" hidden="1" outlineLevel="1">
      <c r="A153" s="1" t="inlineStr">
        <is>
          <t>etsb</t>
        </is>
      </c>
      <c r="B153" s="1" t="inlineStr">
        <is>
          <t>all</t>
        </is>
      </c>
      <c r="C153" s="1" t="inlineStr">
        <is>
          <t>ind</t>
        </is>
      </c>
      <c r="H153" s="1">
        <f>INDEX(VarLab,MATCH($A153,VarKey,0))&amp;INDEX(MemLab,MATCH($C153&amp;"|"&amp;$B153,MemKey,0))</f>
        <v/>
      </c>
      <c r="I153" s="1">
        <f>INDEX(VarUnit,MATCH($A153,VarKey,0))</f>
        <v/>
      </c>
      <c r="J153" s="1">
        <f>INDEX(VarSrc,MATCH($A153,VarKey,0))</f>
        <v/>
      </c>
      <c r="K153" s="17">
        <f>CodePrefix&amp;$A153&amp;IF($C153="","","."&amp;$C153&amp;"."&amp;$B153)&amp;INDEX(VarEnd,MATCH($A153,VarKey,0))&amp;K$5</f>
        <v/>
      </c>
      <c r="L153" s="18">
        <f>IF(L$4&lt;L$99,0,L145+(L149-L145)/MAX(L$100-L$99,1)*(MIN(L$4,L$100)-L$99))</f>
        <v/>
      </c>
      <c r="M153" s="19">
        <f>IF(M$4&lt;M$99,0,M145+(M149-M145)/MAX(M$100-M$99,1)*(MIN(M$4,M$100)-M$99))</f>
        <v/>
      </c>
      <c r="N153" s="19">
        <f>IF(N$4&lt;N$99,0,N145+(N149-N145)/MAX(N$100-N$99,1)*(MIN(N$4,N$100)-N$99))</f>
        <v/>
      </c>
      <c r="O153" s="19">
        <f>IF(O$4&lt;O$99,0,O145+(O149-O145)/MAX(O$100-O$99,1)*(MIN(O$4,O$100)-O$99))</f>
        <v/>
      </c>
      <c r="P153" s="19">
        <f>IF(P$4&lt;P$99,0,P145+(P149-P145)/MAX(P$100-P$99,1)*(MIN(P$4,P$100)-P$99))</f>
        <v/>
      </c>
      <c r="Q153" s="19">
        <f>IF(Q$4&lt;Q$99,0,Q145+(Q149-Q145)/MAX(Q$100-Q$99,1)*(MIN(Q$4,Q$100)-Q$99))</f>
        <v/>
      </c>
      <c r="R153" s="19">
        <f>IF(R$4&lt;R$99,0,R145+(R149-R145)/MAX(R$100-R$99,1)*(MIN(R$4,R$100)-R$99))</f>
        <v/>
      </c>
      <c r="S153" s="19">
        <f>IF(S$4&lt;S$99,0,S145+(S149-S145)/MAX(S$100-S$99,1)*(MIN(S$4,S$100)-S$99))</f>
        <v/>
      </c>
      <c r="T153" s="19">
        <f>IF(T$4&lt;T$99,0,T145+(T149-T145)/MAX(T$100-T$99,1)*(MIN(T$4,T$100)-T$99))</f>
        <v/>
      </c>
      <c r="U153" s="19">
        <f>IF(U$4&lt;U$99,0,U145+(U149-U145)/MAX(U$100-U$99,1)*(MIN(U$4,U$100)-U$99))</f>
        <v/>
      </c>
      <c r="V153" s="19">
        <f>IF(V$4&lt;V$99,0,V145+(V149-V145)/MAX(V$100-V$99,1)*(MIN(V$4,V$100)-V$99))</f>
        <v/>
      </c>
      <c r="W153" s="19">
        <f>IF(W$4&lt;W$99,0,W145+(W149-W145)/MAX(W$100-W$99,1)*(MIN(W$4,W$100)-W$99))</f>
        <v/>
      </c>
      <c r="X153" s="19">
        <f>IF(X$4&lt;X$99,0,X145+(X149-X145)/MAX(X$100-X$99,1)*(MIN(X$4,X$100)-X$99))</f>
        <v/>
      </c>
      <c r="Y153" s="19">
        <f>IF(Y$4&lt;Y$99,0,Y145+(Y149-Y145)/MAX(Y$100-Y$99,1)*(MIN(Y$4,Y$100)-Y$99))</f>
        <v/>
      </c>
      <c r="Z153" s="19">
        <f>IF(Z$4&lt;Z$99,0,Z145+(Z149-Z145)/MAX(Z$100-Z$99,1)*(MIN(Z$4,Z$100)-Z$99))</f>
        <v/>
      </c>
      <c r="AA153" s="19">
        <f>IF(AA$4&lt;AA$99,0,AA145+(AA149-AA145)/MAX(AA$100-AA$99,1)*(MIN(AA$4,AA$100)-AA$99))</f>
        <v/>
      </c>
      <c r="AB153" s="19">
        <f>IF(AB$4&lt;AB$99,0,AB145+(AB149-AB145)/MAX(AB$100-AB$99,1)*(MIN(AB$4,AB$100)-AB$99))</f>
        <v/>
      </c>
      <c r="AC153" s="19">
        <f>IF(AC$4&lt;AC$99,0,AC145+(AC149-AC145)/MAX(AC$100-AC$99,1)*(MIN(AC$4,AC$100)-AC$99))</f>
        <v/>
      </c>
      <c r="AD153" s="19">
        <f>IF(AD$4&lt;AD$99,0,AD145+(AD149-AD145)/MAX(AD$100-AD$99,1)*(MIN(AD$4,AD$100)-AD$99))</f>
        <v/>
      </c>
      <c r="AE153" s="20">
        <f>PATH(AE$4,AE$99,AE$100,AE145,AE149,FALSE)</f>
        <v/>
      </c>
      <c r="AG153" s="17">
        <f>CodePrefix&amp;$A153&amp;IF($C153="","","."&amp;$C153&amp;"."&amp;$B153)&amp;INDEX(VarEnd,MATCH($A153,VarKey,0))&amp;AG$5</f>
        <v/>
      </c>
      <c r="AH153" s="18">
        <f>IF(AH$4&lt;AH$99,0,AH145+(AH149-AH145)/MAX(AH$100-AH$99,1)*(MIN(AH$4,AH$100)-AH$99))</f>
        <v/>
      </c>
      <c r="AI153" s="19">
        <f>IF(AI$4&lt;AI$99,0,AI145+(AI149-AI145)/MAX(AI$100-AI$99,1)*(MIN(AI$4,AI$100)-AI$99))</f>
        <v/>
      </c>
      <c r="AJ153" s="19">
        <f>IF(AJ$4&lt;AJ$99,0,AJ145+(AJ149-AJ145)/MAX(AJ$100-AJ$99,1)*(MIN(AJ$4,AJ$100)-AJ$99))</f>
        <v/>
      </c>
      <c r="AK153" s="19">
        <f>IF(AK$4&lt;AK$99,0,AK145+(AK149-AK145)/MAX(AK$100-AK$99,1)*(MIN(AK$4,AK$100)-AK$99))</f>
        <v/>
      </c>
      <c r="AL153" s="19">
        <f>IF(AL$4&lt;AL$99,0,AL145+(AL149-AL145)/MAX(AL$100-AL$99,1)*(MIN(AL$4,AL$100)-AL$99))</f>
        <v/>
      </c>
      <c r="AM153" s="19">
        <f>IF(AM$4&lt;AM$99,0,AM145+(AM149-AM145)/MAX(AM$100-AM$99,1)*(MIN(AM$4,AM$100)-AM$99))</f>
        <v/>
      </c>
      <c r="AN153" s="19">
        <f>IF(AN$4&lt;AN$99,0,AN145+(AN149-AN145)/MAX(AN$100-AN$99,1)*(MIN(AN$4,AN$100)-AN$99))</f>
        <v/>
      </c>
      <c r="AO153" s="19">
        <f>IF(AO$4&lt;AO$99,0,AO145+(AO149-AO145)/MAX(AO$100-AO$99,1)*(MIN(AO$4,AO$100)-AO$99))</f>
        <v/>
      </c>
      <c r="AP153" s="19">
        <f>IF(AP$4&lt;AP$99,0,AP145+(AP149-AP145)/MAX(AP$100-AP$99,1)*(MIN(AP$4,AP$100)-AP$99))</f>
        <v/>
      </c>
      <c r="AQ153" s="19">
        <f>IF(AQ$4&lt;AQ$99,0,AQ145+(AQ149-AQ145)/MAX(AQ$100-AQ$99,1)*(MIN(AQ$4,AQ$100)-AQ$99))</f>
        <v/>
      </c>
      <c r="AR153" s="19">
        <f>IF(AR$4&lt;AR$99,0,AR145+(AR149-AR145)/MAX(AR$100-AR$99,1)*(MIN(AR$4,AR$100)-AR$99))</f>
        <v/>
      </c>
      <c r="AS153" s="19">
        <f>IF(AS$4&lt;AS$99,0,AS145+(AS149-AS145)/MAX(AS$100-AS$99,1)*(MIN(AS$4,AS$100)-AS$99))</f>
        <v/>
      </c>
      <c r="AT153" s="19">
        <f>IF(AT$4&lt;AT$99,0,AT145+(AT149-AT145)/MAX(AT$100-AT$99,1)*(MIN(AT$4,AT$100)-AT$99))</f>
        <v/>
      </c>
      <c r="AU153" s="19">
        <f>IF(AU$4&lt;AU$99,0,AU145+(AU149-AU145)/MAX(AU$100-AU$99,1)*(MIN(AU$4,AU$100)-AU$99))</f>
        <v/>
      </c>
      <c r="AV153" s="19">
        <f>IF(AV$4&lt;AV$99,0,AV145+(AV149-AV145)/MAX(AV$100-AV$99,1)*(MIN(AV$4,AV$100)-AV$99))</f>
        <v/>
      </c>
      <c r="AW153" s="19">
        <f>IF(AW$4&lt;AW$99,0,AW145+(AW149-AW145)/MAX(AW$100-AW$99,1)*(MIN(AW$4,AW$100)-AW$99))</f>
        <v/>
      </c>
      <c r="AX153" s="19">
        <f>IF(AX$4&lt;AX$99,0,AX145+(AX149-AX145)/MAX(AX$100-AX$99,1)*(MIN(AX$4,AX$100)-AX$99))</f>
        <v/>
      </c>
      <c r="AY153" s="19">
        <f>IF(AY$4&lt;AY$99,0,AY145+(AY149-AY145)/MAX(AY$100-AY$99,1)*(MIN(AY$4,AY$100)-AY$99))</f>
        <v/>
      </c>
      <c r="AZ153" s="19">
        <f>IF(AZ$4&lt;AZ$99,0,AZ145+(AZ149-AZ145)/MAX(AZ$100-AZ$99,1)*(MIN(AZ$4,AZ$100)-AZ$99))</f>
        <v/>
      </c>
      <c r="BA153" s="20">
        <f>PATH(BA$4,BA$99,BA$100,BA145,BA149,FALSE)</f>
        <v/>
      </c>
    </row>
    <row r="154" hidden="1" outlineLevel="1">
      <c r="A154" s="1" t="inlineStr">
        <is>
          <t>obr</t>
        </is>
      </c>
      <c r="B154" s="1" t="inlineStr">
        <is>
          <t>all</t>
        </is>
      </c>
      <c r="C154" s="1" t="inlineStr">
        <is>
          <t>pow</t>
        </is>
      </c>
      <c r="D154" s="26" t="n">
        <v>1</v>
      </c>
      <c r="E154" s="27" t="n">
        <v>-0.0027939</v>
      </c>
      <c r="H154" s="1">
        <f>INDEX(VarLab,MATCH($A154,VarKey,0))&amp;INDEX(MemLab,MATCH($C154&amp;"|"&amp;$B154,MemKey,0))</f>
        <v/>
      </c>
      <c r="I154" s="1">
        <f>INDEX(VarUnit,MATCH($A154,VarKey,0))</f>
        <v/>
      </c>
      <c r="J154" s="1">
        <f>INDEX(VarSrc,MATCH($A154,VarKey,0))</f>
        <v/>
      </c>
      <c r="K154" s="17">
        <f>CodePrefix&amp;$A154&amp;IF($C154="","","."&amp;$C154&amp;"."&amp;$B154)&amp;INDEX(VarEnd,MATCH($A154,VarKey,0))&amp;K$5</f>
        <v/>
      </c>
      <c r="L154" s="18">
        <f>MIN(1,MAX(0,INDEX(L$150:L$153,$D154)))</f>
        <v/>
      </c>
      <c r="M154" s="19">
        <f>MIN(1,MAX(0,INDEX(M$150:M$153,$D154)))</f>
        <v/>
      </c>
      <c r="N154" s="19">
        <f>MIN(1,MAX(0,INDEX(N$150:N$153,$D154)))</f>
        <v/>
      </c>
      <c r="O154" s="19">
        <f>MIN(1,MAX(0,INDEX(O$150:O$153,$D154)))</f>
        <v/>
      </c>
      <c r="P154" s="19">
        <f>MIN(1,MAX(0,INDEX(P$150:P$153,$D154)))</f>
        <v/>
      </c>
      <c r="Q154" s="19">
        <f>MIN(1,MAX(0,INDEX(Q$150:Q$153,$D154)))</f>
        <v/>
      </c>
      <c r="R154" s="19">
        <f>MIN(1,MAX(0,INDEX(R$150:R$153,$D154)))</f>
        <v/>
      </c>
      <c r="S154" s="19">
        <f>MIN(1,MAX(0,INDEX(S$150:S$153,$D154)))</f>
        <v/>
      </c>
      <c r="T154" s="19">
        <f>MIN(1,MAX(0,INDEX(T$150:T$153,$D154)))</f>
        <v/>
      </c>
      <c r="U154" s="19">
        <f>MIN(1,MAX(0,INDEX(U$150:U$153,$D154)))</f>
        <v/>
      </c>
      <c r="V154" s="19">
        <f>MIN(1,MAX(0,INDEX(V$150:V$153,$D154)))</f>
        <v/>
      </c>
      <c r="W154" s="19">
        <f>MIN(1,MAX(0,INDEX(W$150:W$153,$D154)))</f>
        <v/>
      </c>
      <c r="X154" s="19">
        <f>MIN(1,MAX(0,INDEX(X$150:X$153,$D154)))</f>
        <v/>
      </c>
      <c r="Y154" s="19">
        <f>MIN(1,MAX(0,INDEX(Y$150:Y$153,$D154)))</f>
        <v/>
      </c>
      <c r="Z154" s="19">
        <f>MIN(1,MAX(0,INDEX(Z$150:Z$153,$D154)))</f>
        <v/>
      </c>
      <c r="AA154" s="19">
        <f>MIN(1,MAX(0,INDEX(AA$150:AA$153,$D154)))</f>
        <v/>
      </c>
      <c r="AB154" s="19">
        <f>MIN(1,MAX(0,INDEX(AB$150:AB$153,$D154)))</f>
        <v/>
      </c>
      <c r="AC154" s="19">
        <f>MIN(1,MAX(0,INDEX(AC$150:AC$153,$D154)))</f>
        <v/>
      </c>
      <c r="AD154" s="19">
        <f>MIN(1,MAX(0,INDEX(AD$150:AD$153,$D154)))</f>
        <v/>
      </c>
      <c r="AE154" s="20">
        <f>OBRSHARE(INDEX(AE$150:AE$153,$D154))</f>
        <v/>
      </c>
      <c r="AG154" s="17">
        <f>CodePrefix&amp;$A154&amp;IF($C154="","","."&amp;$C154&amp;"."&amp;$B154)&amp;INDEX(VarEnd,MATCH($A154,VarKey,0))&amp;AG$5</f>
        <v/>
      </c>
      <c r="AH154" s="18">
        <f>MIN(1,MAX(0,INDEX(AH$150:AH$153,$D154)))</f>
        <v/>
      </c>
      <c r="AI154" s="19">
        <f>MIN(1,MAX(0,INDEX(AI$150:AI$153,$D154)))</f>
        <v/>
      </c>
      <c r="AJ154" s="19">
        <f>MIN(1,MAX(0,INDEX(AJ$150:AJ$153,$D154)))</f>
        <v/>
      </c>
      <c r="AK154" s="19">
        <f>MIN(1,MAX(0,INDEX(AK$150:AK$153,$D154)))</f>
        <v/>
      </c>
      <c r="AL154" s="19">
        <f>MIN(1,MAX(0,INDEX(AL$150:AL$153,$D154)))</f>
        <v/>
      </c>
      <c r="AM154" s="19">
        <f>MIN(1,MAX(0,INDEX(AM$150:AM$153,$D154)))</f>
        <v/>
      </c>
      <c r="AN154" s="19">
        <f>MIN(1,MAX(0,INDEX(AN$150:AN$153,$D154)))</f>
        <v/>
      </c>
      <c r="AO154" s="19">
        <f>MIN(1,MAX(0,INDEX(AO$150:AO$153,$D154)))</f>
        <v/>
      </c>
      <c r="AP154" s="19">
        <f>MIN(1,MAX(0,INDEX(AP$150:AP$153,$D154)))</f>
        <v/>
      </c>
      <c r="AQ154" s="19">
        <f>MIN(1,MAX(0,INDEX(AQ$150:AQ$153,$D154)))</f>
        <v/>
      </c>
      <c r="AR154" s="19">
        <f>MIN(1,MAX(0,INDEX(AR$150:AR$153,$D154)))</f>
        <v/>
      </c>
      <c r="AS154" s="19">
        <f>MIN(1,MAX(0,INDEX(AS$150:AS$153,$D154)))</f>
        <v/>
      </c>
      <c r="AT154" s="19">
        <f>MIN(1,MAX(0,INDEX(AT$150:AT$153,$D154)))</f>
        <v/>
      </c>
      <c r="AU154" s="19">
        <f>MIN(1,MAX(0,INDEX(AU$150:AU$153,$D154)))</f>
        <v/>
      </c>
      <c r="AV154" s="19">
        <f>MIN(1,MAX(0,INDEX(AV$150:AV$153,$D154)))</f>
        <v/>
      </c>
      <c r="AW154" s="19">
        <f>MIN(1,MAX(0,INDEX(AW$150:AW$153,$D154)))</f>
        <v/>
      </c>
      <c r="AX154" s="19">
        <f>MIN(1,MAX(0,INDEX(AX$150:AX$153,$D154)))</f>
        <v/>
      </c>
      <c r="AY154" s="19">
        <f>MIN(1,MAX(0,INDEX(AY$150:AY$153,$D154)))</f>
        <v/>
      </c>
      <c r="AZ154" s="19">
        <f>MIN(1,MAX(0,INDEX(AZ$150:AZ$153,$D154)))</f>
        <v/>
      </c>
      <c r="BA154" s="20">
        <f>OBRSHARE(INDEX(BA$150:BA$153,$D154))</f>
        <v/>
      </c>
    </row>
    <row r="155" hidden="1" outlineLevel="1">
      <c r="A155" s="1" t="inlineStr">
        <is>
          <t>obr</t>
        </is>
      </c>
      <c r="B155" s="1" t="inlineStr">
        <is>
          <t>all</t>
        </is>
      </c>
      <c r="C155" s="1" t="inlineStr">
        <is>
          <t>rod</t>
        </is>
      </c>
      <c r="D155" s="26" t="n">
        <v>2</v>
      </c>
      <c r="E155" s="27" t="n">
        <v>-0.002833</v>
      </c>
      <c r="H155" s="1">
        <f>INDEX(VarLab,MATCH($A155,VarKey,0))&amp;INDEX(MemLab,MATCH($C155&amp;"|"&amp;$B155,MemKey,0))</f>
        <v/>
      </c>
      <c r="I155" s="1">
        <f>INDEX(VarUnit,MATCH($A155,VarKey,0))</f>
        <v/>
      </c>
      <c r="J155" s="1">
        <f>INDEX(VarSrc,MATCH($A155,VarKey,0))</f>
        <v/>
      </c>
      <c r="K155" s="17">
        <f>CodePrefix&amp;$A155&amp;IF($C155="","","."&amp;$C155&amp;"."&amp;$B155)&amp;INDEX(VarEnd,MATCH($A155,VarKey,0))&amp;K$5</f>
        <v/>
      </c>
      <c r="L155" s="18">
        <f>MIN(1,MAX(0,INDEX(L$150:L$153,$D155)))</f>
        <v/>
      </c>
      <c r="M155" s="19">
        <f>MIN(1,MAX(0,INDEX(M$150:M$153,$D155)))</f>
        <v/>
      </c>
      <c r="N155" s="19">
        <f>MIN(1,MAX(0,INDEX(N$150:N$153,$D155)))</f>
        <v/>
      </c>
      <c r="O155" s="19">
        <f>MIN(1,MAX(0,INDEX(O$150:O$153,$D155)))</f>
        <v/>
      </c>
      <c r="P155" s="19">
        <f>MIN(1,MAX(0,INDEX(P$150:P$153,$D155)))</f>
        <v/>
      </c>
      <c r="Q155" s="19">
        <f>MIN(1,MAX(0,INDEX(Q$150:Q$153,$D155)))</f>
        <v/>
      </c>
      <c r="R155" s="19">
        <f>MIN(1,MAX(0,INDEX(R$150:R$153,$D155)))</f>
        <v/>
      </c>
      <c r="S155" s="19">
        <f>MIN(1,MAX(0,INDEX(S$150:S$153,$D155)))</f>
        <v/>
      </c>
      <c r="T155" s="19">
        <f>MIN(1,MAX(0,INDEX(T$150:T$153,$D155)))</f>
        <v/>
      </c>
      <c r="U155" s="19">
        <f>MIN(1,MAX(0,INDEX(U$150:U$153,$D155)))</f>
        <v/>
      </c>
      <c r="V155" s="19">
        <f>MIN(1,MAX(0,INDEX(V$150:V$153,$D155)))</f>
        <v/>
      </c>
      <c r="W155" s="19">
        <f>MIN(1,MAX(0,INDEX(W$150:W$153,$D155)))</f>
        <v/>
      </c>
      <c r="X155" s="19">
        <f>MIN(1,MAX(0,INDEX(X$150:X$153,$D155)))</f>
        <v/>
      </c>
      <c r="Y155" s="19">
        <f>MIN(1,MAX(0,INDEX(Y$150:Y$153,$D155)))</f>
        <v/>
      </c>
      <c r="Z155" s="19">
        <f>MIN(1,MAX(0,INDEX(Z$150:Z$153,$D155)))</f>
        <v/>
      </c>
      <c r="AA155" s="19">
        <f>MIN(1,MAX(0,INDEX(AA$150:AA$153,$D155)))</f>
        <v/>
      </c>
      <c r="AB155" s="19">
        <f>MIN(1,MAX(0,INDEX(AB$150:AB$153,$D155)))</f>
        <v/>
      </c>
      <c r="AC155" s="19">
        <f>MIN(1,MAX(0,INDEX(AC$150:AC$153,$D155)))</f>
        <v/>
      </c>
      <c r="AD155" s="19">
        <f>MIN(1,MAX(0,INDEX(AD$150:AD$153,$D155)))</f>
        <v/>
      </c>
      <c r="AE155" s="20">
        <f>OBRSHARE(INDEX(AE$150:AE$153,$D155))</f>
        <v/>
      </c>
      <c r="AG155" s="17">
        <f>CodePrefix&amp;$A155&amp;IF($C155="","","."&amp;$C155&amp;"."&amp;$B155)&amp;INDEX(VarEnd,MATCH($A155,VarKey,0))&amp;AG$5</f>
        <v/>
      </c>
      <c r="AH155" s="18">
        <f>MIN(1,MAX(0,INDEX(AH$150:AH$153,$D155)))</f>
        <v/>
      </c>
      <c r="AI155" s="19">
        <f>MIN(1,MAX(0,INDEX(AI$150:AI$153,$D155)))</f>
        <v/>
      </c>
      <c r="AJ155" s="19">
        <f>MIN(1,MAX(0,INDEX(AJ$150:AJ$153,$D155)))</f>
        <v/>
      </c>
      <c r="AK155" s="19">
        <f>MIN(1,MAX(0,INDEX(AK$150:AK$153,$D155)))</f>
        <v/>
      </c>
      <c r="AL155" s="19">
        <f>MIN(1,MAX(0,INDEX(AL$150:AL$153,$D155)))</f>
        <v/>
      </c>
      <c r="AM155" s="19">
        <f>MIN(1,MAX(0,INDEX(AM$150:AM$153,$D155)))</f>
        <v/>
      </c>
      <c r="AN155" s="19">
        <f>MIN(1,MAX(0,INDEX(AN$150:AN$153,$D155)))</f>
        <v/>
      </c>
      <c r="AO155" s="19">
        <f>MIN(1,MAX(0,INDEX(AO$150:AO$153,$D155)))</f>
        <v/>
      </c>
      <c r="AP155" s="19">
        <f>MIN(1,MAX(0,INDEX(AP$150:AP$153,$D155)))</f>
        <v/>
      </c>
      <c r="AQ155" s="19">
        <f>MIN(1,MAX(0,INDEX(AQ$150:AQ$153,$D155)))</f>
        <v/>
      </c>
      <c r="AR155" s="19">
        <f>MIN(1,MAX(0,INDEX(AR$150:AR$153,$D155)))</f>
        <v/>
      </c>
      <c r="AS155" s="19">
        <f>MIN(1,MAX(0,INDEX(AS$150:AS$153,$D155)))</f>
        <v/>
      </c>
      <c r="AT155" s="19">
        <f>MIN(1,MAX(0,INDEX(AT$150:AT$153,$D155)))</f>
        <v/>
      </c>
      <c r="AU155" s="19">
        <f>MIN(1,MAX(0,INDEX(AU$150:AU$153,$D155)))</f>
        <v/>
      </c>
      <c r="AV155" s="19">
        <f>MIN(1,MAX(0,INDEX(AV$150:AV$153,$D155)))</f>
        <v/>
      </c>
      <c r="AW155" s="19">
        <f>MIN(1,MAX(0,INDEX(AW$150:AW$153,$D155)))</f>
        <v/>
      </c>
      <c r="AX155" s="19">
        <f>MIN(1,MAX(0,INDEX(AX$150:AX$153,$D155)))</f>
        <v/>
      </c>
      <c r="AY155" s="19">
        <f>MIN(1,MAX(0,INDEX(AY$150:AY$153,$D155)))</f>
        <v/>
      </c>
      <c r="AZ155" s="19">
        <f>MIN(1,MAX(0,INDEX(AZ$150:AZ$153,$D155)))</f>
        <v/>
      </c>
      <c r="BA155" s="20">
        <f>OBRSHARE(INDEX(BA$150:BA$153,$D155))</f>
        <v/>
      </c>
    </row>
    <row r="156" hidden="1" outlineLevel="1">
      <c r="A156" s="1" t="inlineStr">
        <is>
          <t>obr</t>
        </is>
      </c>
      <c r="B156" s="1" t="inlineStr">
        <is>
          <t>all</t>
        </is>
      </c>
      <c r="C156" s="1" t="inlineStr">
        <is>
          <t>ral</t>
        </is>
      </c>
      <c r="D156" s="26" t="n">
        <v>2</v>
      </c>
      <c r="E156" s="27" t="n">
        <v>-0.002833</v>
      </c>
      <c r="H156" s="1">
        <f>INDEX(VarLab,MATCH($A156,VarKey,0))&amp;INDEX(MemLab,MATCH($C156&amp;"|"&amp;$B156,MemKey,0))</f>
        <v/>
      </c>
      <c r="I156" s="1">
        <f>INDEX(VarUnit,MATCH($A156,VarKey,0))</f>
        <v/>
      </c>
      <c r="J156" s="1">
        <f>INDEX(VarSrc,MATCH($A156,VarKey,0))</f>
        <v/>
      </c>
      <c r="K156" s="17">
        <f>CodePrefix&amp;$A156&amp;IF($C156="","","."&amp;$C156&amp;"."&amp;$B156)&amp;INDEX(VarEnd,MATCH($A156,VarKey,0))&amp;K$5</f>
        <v/>
      </c>
      <c r="L156" s="18">
        <f>MIN(1,MAX(0,INDEX(L$150:L$153,$D156)))</f>
        <v/>
      </c>
      <c r="M156" s="19">
        <f>MIN(1,MAX(0,INDEX(M$150:M$153,$D156)))</f>
        <v/>
      </c>
      <c r="N156" s="19">
        <f>MIN(1,MAX(0,INDEX(N$150:N$153,$D156)))</f>
        <v/>
      </c>
      <c r="O156" s="19">
        <f>MIN(1,MAX(0,INDEX(O$150:O$153,$D156)))</f>
        <v/>
      </c>
      <c r="P156" s="19">
        <f>MIN(1,MAX(0,INDEX(P$150:P$153,$D156)))</f>
        <v/>
      </c>
      <c r="Q156" s="19">
        <f>MIN(1,MAX(0,INDEX(Q$150:Q$153,$D156)))</f>
        <v/>
      </c>
      <c r="R156" s="19">
        <f>MIN(1,MAX(0,INDEX(R$150:R$153,$D156)))</f>
        <v/>
      </c>
      <c r="S156" s="19">
        <f>MIN(1,MAX(0,INDEX(S$150:S$153,$D156)))</f>
        <v/>
      </c>
      <c r="T156" s="19">
        <f>MIN(1,MAX(0,INDEX(T$150:T$153,$D156)))</f>
        <v/>
      </c>
      <c r="U156" s="19">
        <f>MIN(1,MAX(0,INDEX(U$150:U$153,$D156)))</f>
        <v/>
      </c>
      <c r="V156" s="19">
        <f>MIN(1,MAX(0,INDEX(V$150:V$153,$D156)))</f>
        <v/>
      </c>
      <c r="W156" s="19">
        <f>MIN(1,MAX(0,INDEX(W$150:W$153,$D156)))</f>
        <v/>
      </c>
      <c r="X156" s="19">
        <f>MIN(1,MAX(0,INDEX(X$150:X$153,$D156)))</f>
        <v/>
      </c>
      <c r="Y156" s="19">
        <f>MIN(1,MAX(0,INDEX(Y$150:Y$153,$D156)))</f>
        <v/>
      </c>
      <c r="Z156" s="19">
        <f>MIN(1,MAX(0,INDEX(Z$150:Z$153,$D156)))</f>
        <v/>
      </c>
      <c r="AA156" s="19">
        <f>MIN(1,MAX(0,INDEX(AA$150:AA$153,$D156)))</f>
        <v/>
      </c>
      <c r="AB156" s="19">
        <f>MIN(1,MAX(0,INDEX(AB$150:AB$153,$D156)))</f>
        <v/>
      </c>
      <c r="AC156" s="19">
        <f>MIN(1,MAX(0,INDEX(AC$150:AC$153,$D156)))</f>
        <v/>
      </c>
      <c r="AD156" s="19">
        <f>MIN(1,MAX(0,INDEX(AD$150:AD$153,$D156)))</f>
        <v/>
      </c>
      <c r="AE156" s="20">
        <f>OBRSHARE(INDEX(AE$150:AE$153,$D156))</f>
        <v/>
      </c>
      <c r="AG156" s="17">
        <f>CodePrefix&amp;$A156&amp;IF($C156="","","."&amp;$C156&amp;"."&amp;$B156)&amp;INDEX(VarEnd,MATCH($A156,VarKey,0))&amp;AG$5</f>
        <v/>
      </c>
      <c r="AH156" s="18">
        <f>MIN(1,MAX(0,INDEX(AH$150:AH$153,$D156)))</f>
        <v/>
      </c>
      <c r="AI156" s="19">
        <f>MIN(1,MAX(0,INDEX(AI$150:AI$153,$D156)))</f>
        <v/>
      </c>
      <c r="AJ156" s="19">
        <f>MIN(1,MAX(0,INDEX(AJ$150:AJ$153,$D156)))</f>
        <v/>
      </c>
      <c r="AK156" s="19">
        <f>MIN(1,MAX(0,INDEX(AK$150:AK$153,$D156)))</f>
        <v/>
      </c>
      <c r="AL156" s="19">
        <f>MIN(1,MAX(0,INDEX(AL$150:AL$153,$D156)))</f>
        <v/>
      </c>
      <c r="AM156" s="19">
        <f>MIN(1,MAX(0,INDEX(AM$150:AM$153,$D156)))</f>
        <v/>
      </c>
      <c r="AN156" s="19">
        <f>MIN(1,MAX(0,INDEX(AN$150:AN$153,$D156)))</f>
        <v/>
      </c>
      <c r="AO156" s="19">
        <f>MIN(1,MAX(0,INDEX(AO$150:AO$153,$D156)))</f>
        <v/>
      </c>
      <c r="AP156" s="19">
        <f>MIN(1,MAX(0,INDEX(AP$150:AP$153,$D156)))</f>
        <v/>
      </c>
      <c r="AQ156" s="19">
        <f>MIN(1,MAX(0,INDEX(AQ$150:AQ$153,$D156)))</f>
        <v/>
      </c>
      <c r="AR156" s="19">
        <f>MIN(1,MAX(0,INDEX(AR$150:AR$153,$D156)))</f>
        <v/>
      </c>
      <c r="AS156" s="19">
        <f>MIN(1,MAX(0,INDEX(AS$150:AS$153,$D156)))</f>
        <v/>
      </c>
      <c r="AT156" s="19">
        <f>MIN(1,MAX(0,INDEX(AT$150:AT$153,$D156)))</f>
        <v/>
      </c>
      <c r="AU156" s="19">
        <f>MIN(1,MAX(0,INDEX(AU$150:AU$153,$D156)))</f>
        <v/>
      </c>
      <c r="AV156" s="19">
        <f>MIN(1,MAX(0,INDEX(AV$150:AV$153,$D156)))</f>
        <v/>
      </c>
      <c r="AW156" s="19">
        <f>MIN(1,MAX(0,INDEX(AW$150:AW$153,$D156)))</f>
        <v/>
      </c>
      <c r="AX156" s="19">
        <f>MIN(1,MAX(0,INDEX(AX$150:AX$153,$D156)))</f>
        <v/>
      </c>
      <c r="AY156" s="19">
        <f>MIN(1,MAX(0,INDEX(AY$150:AY$153,$D156)))</f>
        <v/>
      </c>
      <c r="AZ156" s="19">
        <f>MIN(1,MAX(0,INDEX(AZ$150:AZ$153,$D156)))</f>
        <v/>
      </c>
      <c r="BA156" s="20">
        <f>OBRSHARE(INDEX(BA$150:BA$153,$D156))</f>
        <v/>
      </c>
    </row>
    <row r="157" hidden="1" outlineLevel="1">
      <c r="A157" s="1" t="inlineStr">
        <is>
          <t>obr</t>
        </is>
      </c>
      <c r="B157" s="1" t="inlineStr">
        <is>
          <t>all</t>
        </is>
      </c>
      <c r="C157" s="1" t="inlineStr">
        <is>
          <t>avi</t>
        </is>
      </c>
      <c r="D157" s="26" t="n">
        <v>2</v>
      </c>
      <c r="E157" s="27" t="n">
        <v>-0.002833</v>
      </c>
      <c r="H157" s="1">
        <f>INDEX(VarLab,MATCH($A157,VarKey,0))&amp;INDEX(MemLab,MATCH($C157&amp;"|"&amp;$B157,MemKey,0))</f>
        <v/>
      </c>
      <c r="I157" s="1">
        <f>INDEX(VarUnit,MATCH($A157,VarKey,0))</f>
        <v/>
      </c>
      <c r="J157" s="1">
        <f>INDEX(VarSrc,MATCH($A157,VarKey,0))</f>
        <v/>
      </c>
      <c r="K157" s="17">
        <f>CodePrefix&amp;$A157&amp;IF($C157="","","."&amp;$C157&amp;"."&amp;$B157)&amp;INDEX(VarEnd,MATCH($A157,VarKey,0))&amp;K$5</f>
        <v/>
      </c>
      <c r="L157" s="18">
        <f>MIN(1,MAX(0,INDEX(L$150:L$153,$D157)))</f>
        <v/>
      </c>
      <c r="M157" s="19">
        <f>MIN(1,MAX(0,INDEX(M$150:M$153,$D157)))</f>
        <v/>
      </c>
      <c r="N157" s="19">
        <f>MIN(1,MAX(0,INDEX(N$150:N$153,$D157)))</f>
        <v/>
      </c>
      <c r="O157" s="19">
        <f>MIN(1,MAX(0,INDEX(O$150:O$153,$D157)))</f>
        <v/>
      </c>
      <c r="P157" s="19">
        <f>MIN(1,MAX(0,INDEX(P$150:P$153,$D157)))</f>
        <v/>
      </c>
      <c r="Q157" s="19">
        <f>MIN(1,MAX(0,INDEX(Q$150:Q$153,$D157)))</f>
        <v/>
      </c>
      <c r="R157" s="19">
        <f>MIN(1,MAX(0,INDEX(R$150:R$153,$D157)))</f>
        <v/>
      </c>
      <c r="S157" s="19">
        <f>MIN(1,MAX(0,INDEX(S$150:S$153,$D157)))</f>
        <v/>
      </c>
      <c r="T157" s="19">
        <f>MIN(1,MAX(0,INDEX(T$150:T$153,$D157)))</f>
        <v/>
      </c>
      <c r="U157" s="19">
        <f>MIN(1,MAX(0,INDEX(U$150:U$153,$D157)))</f>
        <v/>
      </c>
      <c r="V157" s="19">
        <f>MIN(1,MAX(0,INDEX(V$150:V$153,$D157)))</f>
        <v/>
      </c>
      <c r="W157" s="19">
        <f>MIN(1,MAX(0,INDEX(W$150:W$153,$D157)))</f>
        <v/>
      </c>
      <c r="X157" s="19">
        <f>MIN(1,MAX(0,INDEX(X$150:X$153,$D157)))</f>
        <v/>
      </c>
      <c r="Y157" s="19">
        <f>MIN(1,MAX(0,INDEX(Y$150:Y$153,$D157)))</f>
        <v/>
      </c>
      <c r="Z157" s="19">
        <f>MIN(1,MAX(0,INDEX(Z$150:Z$153,$D157)))</f>
        <v/>
      </c>
      <c r="AA157" s="19">
        <f>MIN(1,MAX(0,INDEX(AA$150:AA$153,$D157)))</f>
        <v/>
      </c>
      <c r="AB157" s="19">
        <f>MIN(1,MAX(0,INDEX(AB$150:AB$153,$D157)))</f>
        <v/>
      </c>
      <c r="AC157" s="19">
        <f>MIN(1,MAX(0,INDEX(AC$150:AC$153,$D157)))</f>
        <v/>
      </c>
      <c r="AD157" s="19">
        <f>MIN(1,MAX(0,INDEX(AD$150:AD$153,$D157)))</f>
        <v/>
      </c>
      <c r="AE157" s="20">
        <f>OBRSHARE(INDEX(AE$150:AE$153,$D157))</f>
        <v/>
      </c>
      <c r="AG157" s="17">
        <f>CodePrefix&amp;$A157&amp;IF($C157="","","."&amp;$C157&amp;"."&amp;$B157)&amp;INDEX(VarEnd,MATCH($A157,VarKey,0))&amp;AG$5</f>
        <v/>
      </c>
      <c r="AH157" s="18">
        <f>MIN(1,MAX(0,INDEX(AH$150:AH$153,$D157)))</f>
        <v/>
      </c>
      <c r="AI157" s="19">
        <f>MIN(1,MAX(0,INDEX(AI$150:AI$153,$D157)))</f>
        <v/>
      </c>
      <c r="AJ157" s="19">
        <f>MIN(1,MAX(0,INDEX(AJ$150:AJ$153,$D157)))</f>
        <v/>
      </c>
      <c r="AK157" s="19">
        <f>MIN(1,MAX(0,INDEX(AK$150:AK$153,$D157)))</f>
        <v/>
      </c>
      <c r="AL157" s="19">
        <f>MIN(1,MAX(0,INDEX(AL$150:AL$153,$D157)))</f>
        <v/>
      </c>
      <c r="AM157" s="19">
        <f>MIN(1,MAX(0,INDEX(AM$150:AM$153,$D157)))</f>
        <v/>
      </c>
      <c r="AN157" s="19">
        <f>MIN(1,MAX(0,INDEX(AN$150:AN$153,$D157)))</f>
        <v/>
      </c>
      <c r="AO157" s="19">
        <f>MIN(1,MAX(0,INDEX(AO$150:AO$153,$D157)))</f>
        <v/>
      </c>
      <c r="AP157" s="19">
        <f>MIN(1,MAX(0,INDEX(AP$150:AP$153,$D157)))</f>
        <v/>
      </c>
      <c r="AQ157" s="19">
        <f>MIN(1,MAX(0,INDEX(AQ$150:AQ$153,$D157)))</f>
        <v/>
      </c>
      <c r="AR157" s="19">
        <f>MIN(1,MAX(0,INDEX(AR$150:AR$153,$D157)))</f>
        <v/>
      </c>
      <c r="AS157" s="19">
        <f>MIN(1,MAX(0,INDEX(AS$150:AS$153,$D157)))</f>
        <v/>
      </c>
      <c r="AT157" s="19">
        <f>MIN(1,MAX(0,INDEX(AT$150:AT$153,$D157)))</f>
        <v/>
      </c>
      <c r="AU157" s="19">
        <f>MIN(1,MAX(0,INDEX(AU$150:AU$153,$D157)))</f>
        <v/>
      </c>
      <c r="AV157" s="19">
        <f>MIN(1,MAX(0,INDEX(AV$150:AV$153,$D157)))</f>
        <v/>
      </c>
      <c r="AW157" s="19">
        <f>MIN(1,MAX(0,INDEX(AW$150:AW$153,$D157)))</f>
        <v/>
      </c>
      <c r="AX157" s="19">
        <f>MIN(1,MAX(0,INDEX(AX$150:AX$153,$D157)))</f>
        <v/>
      </c>
      <c r="AY157" s="19">
        <f>MIN(1,MAX(0,INDEX(AY$150:AY$153,$D157)))</f>
        <v/>
      </c>
      <c r="AZ157" s="19">
        <f>MIN(1,MAX(0,INDEX(AZ$150:AZ$153,$D157)))</f>
        <v/>
      </c>
      <c r="BA157" s="20">
        <f>OBRSHARE(INDEX(BA$150:BA$153,$D157))</f>
        <v/>
      </c>
    </row>
    <row r="158" hidden="1" outlineLevel="1">
      <c r="A158" s="1" t="inlineStr">
        <is>
          <t>obr</t>
        </is>
      </c>
      <c r="B158" s="1" t="inlineStr">
        <is>
          <t>all</t>
        </is>
      </c>
      <c r="C158" s="1" t="inlineStr">
        <is>
          <t>nav</t>
        </is>
      </c>
      <c r="D158" s="26" t="n">
        <v>2</v>
      </c>
      <c r="E158" s="27" t="n">
        <v>-0.002833</v>
      </c>
      <c r="H158" s="1">
        <f>INDEX(VarLab,MATCH($A158,VarKey,0))&amp;INDEX(MemLab,MATCH($C158&amp;"|"&amp;$B158,MemKey,0))</f>
        <v/>
      </c>
      <c r="I158" s="1">
        <f>INDEX(VarUnit,MATCH($A158,VarKey,0))</f>
        <v/>
      </c>
      <c r="J158" s="1">
        <f>INDEX(VarSrc,MATCH($A158,VarKey,0))</f>
        <v/>
      </c>
      <c r="K158" s="17">
        <f>CodePrefix&amp;$A158&amp;IF($C158="","","."&amp;$C158&amp;"."&amp;$B158)&amp;INDEX(VarEnd,MATCH($A158,VarKey,0))&amp;K$5</f>
        <v/>
      </c>
      <c r="L158" s="18">
        <f>MIN(1,MAX(0,INDEX(L$150:L$153,$D158)))</f>
        <v/>
      </c>
      <c r="M158" s="19">
        <f>MIN(1,MAX(0,INDEX(M$150:M$153,$D158)))</f>
        <v/>
      </c>
      <c r="N158" s="19">
        <f>MIN(1,MAX(0,INDEX(N$150:N$153,$D158)))</f>
        <v/>
      </c>
      <c r="O158" s="19">
        <f>MIN(1,MAX(0,INDEX(O$150:O$153,$D158)))</f>
        <v/>
      </c>
      <c r="P158" s="19">
        <f>MIN(1,MAX(0,INDEX(P$150:P$153,$D158)))</f>
        <v/>
      </c>
      <c r="Q158" s="19">
        <f>MIN(1,MAX(0,INDEX(Q$150:Q$153,$D158)))</f>
        <v/>
      </c>
      <c r="R158" s="19">
        <f>MIN(1,MAX(0,INDEX(R$150:R$153,$D158)))</f>
        <v/>
      </c>
      <c r="S158" s="19">
        <f>MIN(1,MAX(0,INDEX(S$150:S$153,$D158)))</f>
        <v/>
      </c>
      <c r="T158" s="19">
        <f>MIN(1,MAX(0,INDEX(T$150:T$153,$D158)))</f>
        <v/>
      </c>
      <c r="U158" s="19">
        <f>MIN(1,MAX(0,INDEX(U$150:U$153,$D158)))</f>
        <v/>
      </c>
      <c r="V158" s="19">
        <f>MIN(1,MAX(0,INDEX(V$150:V$153,$D158)))</f>
        <v/>
      </c>
      <c r="W158" s="19">
        <f>MIN(1,MAX(0,INDEX(W$150:W$153,$D158)))</f>
        <v/>
      </c>
      <c r="X158" s="19">
        <f>MIN(1,MAX(0,INDEX(X$150:X$153,$D158)))</f>
        <v/>
      </c>
      <c r="Y158" s="19">
        <f>MIN(1,MAX(0,INDEX(Y$150:Y$153,$D158)))</f>
        <v/>
      </c>
      <c r="Z158" s="19">
        <f>MIN(1,MAX(0,INDEX(Z$150:Z$153,$D158)))</f>
        <v/>
      </c>
      <c r="AA158" s="19">
        <f>MIN(1,MAX(0,INDEX(AA$150:AA$153,$D158)))</f>
        <v/>
      </c>
      <c r="AB158" s="19">
        <f>MIN(1,MAX(0,INDEX(AB$150:AB$153,$D158)))</f>
        <v/>
      </c>
      <c r="AC158" s="19">
        <f>MIN(1,MAX(0,INDEX(AC$150:AC$153,$D158)))</f>
        <v/>
      </c>
      <c r="AD158" s="19">
        <f>MIN(1,MAX(0,INDEX(AD$150:AD$153,$D158)))</f>
        <v/>
      </c>
      <c r="AE158" s="20">
        <f>OBRSHARE(INDEX(AE$150:AE$153,$D158))</f>
        <v/>
      </c>
      <c r="AG158" s="17">
        <f>CodePrefix&amp;$A158&amp;IF($C158="","","."&amp;$C158&amp;"."&amp;$B158)&amp;INDEX(VarEnd,MATCH($A158,VarKey,0))&amp;AG$5</f>
        <v/>
      </c>
      <c r="AH158" s="18">
        <f>MIN(1,MAX(0,INDEX(AH$150:AH$153,$D158)))</f>
        <v/>
      </c>
      <c r="AI158" s="19">
        <f>MIN(1,MAX(0,INDEX(AI$150:AI$153,$D158)))</f>
        <v/>
      </c>
      <c r="AJ158" s="19">
        <f>MIN(1,MAX(0,INDEX(AJ$150:AJ$153,$D158)))</f>
        <v/>
      </c>
      <c r="AK158" s="19">
        <f>MIN(1,MAX(0,INDEX(AK$150:AK$153,$D158)))</f>
        <v/>
      </c>
      <c r="AL158" s="19">
        <f>MIN(1,MAX(0,INDEX(AL$150:AL$153,$D158)))</f>
        <v/>
      </c>
      <c r="AM158" s="19">
        <f>MIN(1,MAX(0,INDEX(AM$150:AM$153,$D158)))</f>
        <v/>
      </c>
      <c r="AN158" s="19">
        <f>MIN(1,MAX(0,INDEX(AN$150:AN$153,$D158)))</f>
        <v/>
      </c>
      <c r="AO158" s="19">
        <f>MIN(1,MAX(0,INDEX(AO$150:AO$153,$D158)))</f>
        <v/>
      </c>
      <c r="AP158" s="19">
        <f>MIN(1,MAX(0,INDEX(AP$150:AP$153,$D158)))</f>
        <v/>
      </c>
      <c r="AQ158" s="19">
        <f>MIN(1,MAX(0,INDEX(AQ$150:AQ$153,$D158)))</f>
        <v/>
      </c>
      <c r="AR158" s="19">
        <f>MIN(1,MAX(0,INDEX(AR$150:AR$153,$D158)))</f>
        <v/>
      </c>
      <c r="AS158" s="19">
        <f>MIN(1,MAX(0,INDEX(AS$150:AS$153,$D158)))</f>
        <v/>
      </c>
      <c r="AT158" s="19">
        <f>MIN(1,MAX(0,INDEX(AT$150:AT$153,$D158)))</f>
        <v/>
      </c>
      <c r="AU158" s="19">
        <f>MIN(1,MAX(0,INDEX(AU$150:AU$153,$D158)))</f>
        <v/>
      </c>
      <c r="AV158" s="19">
        <f>MIN(1,MAX(0,INDEX(AV$150:AV$153,$D158)))</f>
        <v/>
      </c>
      <c r="AW158" s="19">
        <f>MIN(1,MAX(0,INDEX(AW$150:AW$153,$D158)))</f>
        <v/>
      </c>
      <c r="AX158" s="19">
        <f>MIN(1,MAX(0,INDEX(AX$150:AX$153,$D158)))</f>
        <v/>
      </c>
      <c r="AY158" s="19">
        <f>MIN(1,MAX(0,INDEX(AY$150:AY$153,$D158)))</f>
        <v/>
      </c>
      <c r="AZ158" s="19">
        <f>MIN(1,MAX(0,INDEX(AZ$150:AZ$153,$D158)))</f>
        <v/>
      </c>
      <c r="BA158" s="20">
        <f>OBRSHARE(INDEX(BA$150:BA$153,$D158))</f>
        <v/>
      </c>
    </row>
    <row r="159" hidden="1" outlineLevel="1">
      <c r="A159" s="1" t="inlineStr">
        <is>
          <t>obr</t>
        </is>
      </c>
      <c r="B159" s="1" t="inlineStr">
        <is>
          <t>all</t>
        </is>
      </c>
      <c r="C159" s="1" t="inlineStr">
        <is>
          <t>res</t>
        </is>
      </c>
      <c r="D159" s="26" t="n">
        <v>3</v>
      </c>
      <c r="E159" s="27" t="n">
        <v>-0.0038637</v>
      </c>
      <c r="H159" s="1">
        <f>INDEX(VarLab,MATCH($A159,VarKey,0))&amp;INDEX(MemLab,MATCH($C159&amp;"|"&amp;$B159,MemKey,0))</f>
        <v/>
      </c>
      <c r="I159" s="1">
        <f>INDEX(VarUnit,MATCH($A159,VarKey,0))</f>
        <v/>
      </c>
      <c r="J159" s="1">
        <f>INDEX(VarSrc,MATCH($A159,VarKey,0))</f>
        <v/>
      </c>
      <c r="K159" s="17">
        <f>CodePrefix&amp;$A159&amp;IF($C159="","","."&amp;$C159&amp;"."&amp;$B159)&amp;INDEX(VarEnd,MATCH($A159,VarKey,0))&amp;K$5</f>
        <v/>
      </c>
      <c r="L159" s="18">
        <f>MIN(1,MAX(0,INDEX(L$150:L$153,$D159)))</f>
        <v/>
      </c>
      <c r="M159" s="19">
        <f>MIN(1,MAX(0,INDEX(M$150:M$153,$D159)))</f>
        <v/>
      </c>
      <c r="N159" s="19">
        <f>MIN(1,MAX(0,INDEX(N$150:N$153,$D159)))</f>
        <v/>
      </c>
      <c r="O159" s="19">
        <f>MIN(1,MAX(0,INDEX(O$150:O$153,$D159)))</f>
        <v/>
      </c>
      <c r="P159" s="19">
        <f>MIN(1,MAX(0,INDEX(P$150:P$153,$D159)))</f>
        <v/>
      </c>
      <c r="Q159" s="19">
        <f>MIN(1,MAX(0,INDEX(Q$150:Q$153,$D159)))</f>
        <v/>
      </c>
      <c r="R159" s="19">
        <f>MIN(1,MAX(0,INDEX(R$150:R$153,$D159)))</f>
        <v/>
      </c>
      <c r="S159" s="19">
        <f>MIN(1,MAX(0,INDEX(S$150:S$153,$D159)))</f>
        <v/>
      </c>
      <c r="T159" s="19">
        <f>MIN(1,MAX(0,INDEX(T$150:T$153,$D159)))</f>
        <v/>
      </c>
      <c r="U159" s="19">
        <f>MIN(1,MAX(0,INDEX(U$150:U$153,$D159)))</f>
        <v/>
      </c>
      <c r="V159" s="19">
        <f>MIN(1,MAX(0,INDEX(V$150:V$153,$D159)))</f>
        <v/>
      </c>
      <c r="W159" s="19">
        <f>MIN(1,MAX(0,INDEX(W$150:W$153,$D159)))</f>
        <v/>
      </c>
      <c r="X159" s="19">
        <f>MIN(1,MAX(0,INDEX(X$150:X$153,$D159)))</f>
        <v/>
      </c>
      <c r="Y159" s="19">
        <f>MIN(1,MAX(0,INDEX(Y$150:Y$153,$D159)))</f>
        <v/>
      </c>
      <c r="Z159" s="19">
        <f>MIN(1,MAX(0,INDEX(Z$150:Z$153,$D159)))</f>
        <v/>
      </c>
      <c r="AA159" s="19">
        <f>MIN(1,MAX(0,INDEX(AA$150:AA$153,$D159)))</f>
        <v/>
      </c>
      <c r="AB159" s="19">
        <f>MIN(1,MAX(0,INDEX(AB$150:AB$153,$D159)))</f>
        <v/>
      </c>
      <c r="AC159" s="19">
        <f>MIN(1,MAX(0,INDEX(AC$150:AC$153,$D159)))</f>
        <v/>
      </c>
      <c r="AD159" s="19">
        <f>MIN(1,MAX(0,INDEX(AD$150:AD$153,$D159)))</f>
        <v/>
      </c>
      <c r="AE159" s="20">
        <f>OBRSHARE(INDEX(AE$150:AE$153,$D159))</f>
        <v/>
      </c>
      <c r="AG159" s="17">
        <f>CodePrefix&amp;$A159&amp;IF($C159="","","."&amp;$C159&amp;"."&amp;$B159)&amp;INDEX(VarEnd,MATCH($A159,VarKey,0))&amp;AG$5</f>
        <v/>
      </c>
      <c r="AH159" s="18">
        <f>MIN(1,MAX(0,INDEX(AH$150:AH$153,$D159)))</f>
        <v/>
      </c>
      <c r="AI159" s="19">
        <f>MIN(1,MAX(0,INDEX(AI$150:AI$153,$D159)))</f>
        <v/>
      </c>
      <c r="AJ159" s="19">
        <f>MIN(1,MAX(0,INDEX(AJ$150:AJ$153,$D159)))</f>
        <v/>
      </c>
      <c r="AK159" s="19">
        <f>MIN(1,MAX(0,INDEX(AK$150:AK$153,$D159)))</f>
        <v/>
      </c>
      <c r="AL159" s="19">
        <f>MIN(1,MAX(0,INDEX(AL$150:AL$153,$D159)))</f>
        <v/>
      </c>
      <c r="AM159" s="19">
        <f>MIN(1,MAX(0,INDEX(AM$150:AM$153,$D159)))</f>
        <v/>
      </c>
      <c r="AN159" s="19">
        <f>MIN(1,MAX(0,INDEX(AN$150:AN$153,$D159)))</f>
        <v/>
      </c>
      <c r="AO159" s="19">
        <f>MIN(1,MAX(0,INDEX(AO$150:AO$153,$D159)))</f>
        <v/>
      </c>
      <c r="AP159" s="19">
        <f>MIN(1,MAX(0,INDEX(AP$150:AP$153,$D159)))</f>
        <v/>
      </c>
      <c r="AQ159" s="19">
        <f>MIN(1,MAX(0,INDEX(AQ$150:AQ$153,$D159)))</f>
        <v/>
      </c>
      <c r="AR159" s="19">
        <f>MIN(1,MAX(0,INDEX(AR$150:AR$153,$D159)))</f>
        <v/>
      </c>
      <c r="AS159" s="19">
        <f>MIN(1,MAX(0,INDEX(AS$150:AS$153,$D159)))</f>
        <v/>
      </c>
      <c r="AT159" s="19">
        <f>MIN(1,MAX(0,INDEX(AT$150:AT$153,$D159)))</f>
        <v/>
      </c>
      <c r="AU159" s="19">
        <f>MIN(1,MAX(0,INDEX(AU$150:AU$153,$D159)))</f>
        <v/>
      </c>
      <c r="AV159" s="19">
        <f>MIN(1,MAX(0,INDEX(AV$150:AV$153,$D159)))</f>
        <v/>
      </c>
      <c r="AW159" s="19">
        <f>MIN(1,MAX(0,INDEX(AW$150:AW$153,$D159)))</f>
        <v/>
      </c>
      <c r="AX159" s="19">
        <f>MIN(1,MAX(0,INDEX(AX$150:AX$153,$D159)))</f>
        <v/>
      </c>
      <c r="AY159" s="19">
        <f>MIN(1,MAX(0,INDEX(AY$150:AY$153,$D159)))</f>
        <v/>
      </c>
      <c r="AZ159" s="19">
        <f>MIN(1,MAX(0,INDEX(AZ$150:AZ$153,$D159)))</f>
        <v/>
      </c>
      <c r="BA159" s="20">
        <f>OBRSHARE(INDEX(BA$150:BA$153,$D159))</f>
        <v/>
      </c>
    </row>
    <row r="160" hidden="1" outlineLevel="1">
      <c r="A160" s="1" t="inlineStr">
        <is>
          <t>obr</t>
        </is>
      </c>
      <c r="B160" s="1" t="inlineStr">
        <is>
          <t>all</t>
        </is>
      </c>
      <c r="C160" s="1" t="inlineStr">
        <is>
          <t>foo</t>
        </is>
      </c>
      <c r="D160" s="26" t="n">
        <v>3</v>
      </c>
      <c r="E160" s="27" t="n">
        <v>-0.0054897</v>
      </c>
      <c r="H160" s="1">
        <f>INDEX(VarLab,MATCH($A160,VarKey,0))&amp;INDEX(MemLab,MATCH($C160&amp;"|"&amp;$B160,MemKey,0))</f>
        <v/>
      </c>
      <c r="I160" s="1">
        <f>INDEX(VarUnit,MATCH($A160,VarKey,0))</f>
        <v/>
      </c>
      <c r="J160" s="1">
        <f>INDEX(VarSrc,MATCH($A160,VarKey,0))</f>
        <v/>
      </c>
      <c r="K160" s="17">
        <f>CodePrefix&amp;$A160&amp;IF($C160="","","."&amp;$C160&amp;"."&amp;$B160)&amp;INDEX(VarEnd,MATCH($A160,VarKey,0))&amp;K$5</f>
        <v/>
      </c>
      <c r="L160" s="18">
        <f>MIN(1,MAX(0,INDEX(L$150:L$153,$D160)))</f>
        <v/>
      </c>
      <c r="M160" s="19">
        <f>MIN(1,MAX(0,INDEX(M$150:M$153,$D160)))</f>
        <v/>
      </c>
      <c r="N160" s="19">
        <f>MIN(1,MAX(0,INDEX(N$150:N$153,$D160)))</f>
        <v/>
      </c>
      <c r="O160" s="19">
        <f>MIN(1,MAX(0,INDEX(O$150:O$153,$D160)))</f>
        <v/>
      </c>
      <c r="P160" s="19">
        <f>MIN(1,MAX(0,INDEX(P$150:P$153,$D160)))</f>
        <v/>
      </c>
      <c r="Q160" s="19">
        <f>MIN(1,MAX(0,INDEX(Q$150:Q$153,$D160)))</f>
        <v/>
      </c>
      <c r="R160" s="19">
        <f>MIN(1,MAX(0,INDEX(R$150:R$153,$D160)))</f>
        <v/>
      </c>
      <c r="S160" s="19">
        <f>MIN(1,MAX(0,INDEX(S$150:S$153,$D160)))</f>
        <v/>
      </c>
      <c r="T160" s="19">
        <f>MIN(1,MAX(0,INDEX(T$150:T$153,$D160)))</f>
        <v/>
      </c>
      <c r="U160" s="19">
        <f>MIN(1,MAX(0,INDEX(U$150:U$153,$D160)))</f>
        <v/>
      </c>
      <c r="V160" s="19">
        <f>MIN(1,MAX(0,INDEX(V$150:V$153,$D160)))</f>
        <v/>
      </c>
      <c r="W160" s="19">
        <f>MIN(1,MAX(0,INDEX(W$150:W$153,$D160)))</f>
        <v/>
      </c>
      <c r="X160" s="19">
        <f>MIN(1,MAX(0,INDEX(X$150:X$153,$D160)))</f>
        <v/>
      </c>
      <c r="Y160" s="19">
        <f>MIN(1,MAX(0,INDEX(Y$150:Y$153,$D160)))</f>
        <v/>
      </c>
      <c r="Z160" s="19">
        <f>MIN(1,MAX(0,INDEX(Z$150:Z$153,$D160)))</f>
        <v/>
      </c>
      <c r="AA160" s="19">
        <f>MIN(1,MAX(0,INDEX(AA$150:AA$153,$D160)))</f>
        <v/>
      </c>
      <c r="AB160" s="19">
        <f>MIN(1,MAX(0,INDEX(AB$150:AB$153,$D160)))</f>
        <v/>
      </c>
      <c r="AC160" s="19">
        <f>MIN(1,MAX(0,INDEX(AC$150:AC$153,$D160)))</f>
        <v/>
      </c>
      <c r="AD160" s="19">
        <f>MIN(1,MAX(0,INDEX(AD$150:AD$153,$D160)))</f>
        <v/>
      </c>
      <c r="AE160" s="20">
        <f>OBRSHARE(INDEX(AE$150:AE$153,$D160))</f>
        <v/>
      </c>
      <c r="AG160" s="17">
        <f>CodePrefix&amp;$A160&amp;IF($C160="","","."&amp;$C160&amp;"."&amp;$B160)&amp;INDEX(VarEnd,MATCH($A160,VarKey,0))&amp;AG$5</f>
        <v/>
      </c>
      <c r="AH160" s="18">
        <f>MIN(1,MAX(0,INDEX(AH$150:AH$153,$D160)))</f>
        <v/>
      </c>
      <c r="AI160" s="19">
        <f>MIN(1,MAX(0,INDEX(AI$150:AI$153,$D160)))</f>
        <v/>
      </c>
      <c r="AJ160" s="19">
        <f>MIN(1,MAX(0,INDEX(AJ$150:AJ$153,$D160)))</f>
        <v/>
      </c>
      <c r="AK160" s="19">
        <f>MIN(1,MAX(0,INDEX(AK$150:AK$153,$D160)))</f>
        <v/>
      </c>
      <c r="AL160" s="19">
        <f>MIN(1,MAX(0,INDEX(AL$150:AL$153,$D160)))</f>
        <v/>
      </c>
      <c r="AM160" s="19">
        <f>MIN(1,MAX(0,INDEX(AM$150:AM$153,$D160)))</f>
        <v/>
      </c>
      <c r="AN160" s="19">
        <f>MIN(1,MAX(0,INDEX(AN$150:AN$153,$D160)))</f>
        <v/>
      </c>
      <c r="AO160" s="19">
        <f>MIN(1,MAX(0,INDEX(AO$150:AO$153,$D160)))</f>
        <v/>
      </c>
      <c r="AP160" s="19">
        <f>MIN(1,MAX(0,INDEX(AP$150:AP$153,$D160)))</f>
        <v/>
      </c>
      <c r="AQ160" s="19">
        <f>MIN(1,MAX(0,INDEX(AQ$150:AQ$153,$D160)))</f>
        <v/>
      </c>
      <c r="AR160" s="19">
        <f>MIN(1,MAX(0,INDEX(AR$150:AR$153,$D160)))</f>
        <v/>
      </c>
      <c r="AS160" s="19">
        <f>MIN(1,MAX(0,INDEX(AS$150:AS$153,$D160)))</f>
        <v/>
      </c>
      <c r="AT160" s="19">
        <f>MIN(1,MAX(0,INDEX(AT$150:AT$153,$D160)))</f>
        <v/>
      </c>
      <c r="AU160" s="19">
        <f>MIN(1,MAX(0,INDEX(AU$150:AU$153,$D160)))</f>
        <v/>
      </c>
      <c r="AV160" s="19">
        <f>MIN(1,MAX(0,INDEX(AV$150:AV$153,$D160)))</f>
        <v/>
      </c>
      <c r="AW160" s="19">
        <f>MIN(1,MAX(0,INDEX(AW$150:AW$153,$D160)))</f>
        <v/>
      </c>
      <c r="AX160" s="19">
        <f>MIN(1,MAX(0,INDEX(AX$150:AX$153,$D160)))</f>
        <v/>
      </c>
      <c r="AY160" s="19">
        <f>MIN(1,MAX(0,INDEX(AY$150:AY$153,$D160)))</f>
        <v/>
      </c>
      <c r="AZ160" s="19">
        <f>MIN(1,MAX(0,INDEX(AZ$150:AZ$153,$D160)))</f>
        <v/>
      </c>
      <c r="BA160" s="20">
        <f>OBRSHARE(INDEX(BA$150:BA$153,$D160))</f>
        <v/>
      </c>
    </row>
    <row r="161" hidden="1" outlineLevel="1">
      <c r="A161" s="1" t="inlineStr">
        <is>
          <t>obr</t>
        </is>
      </c>
      <c r="B161" s="1" t="inlineStr">
        <is>
          <t>all</t>
        </is>
      </c>
      <c r="C161" s="1" t="inlineStr">
        <is>
          <t>srv</t>
        </is>
      </c>
      <c r="D161" s="26" t="n">
        <v>3</v>
      </c>
      <c r="E161" s="27" t="n">
        <v>-0.0054897</v>
      </c>
      <c r="H161" s="1">
        <f>INDEX(VarLab,MATCH($A161,VarKey,0))&amp;INDEX(MemLab,MATCH($C161&amp;"|"&amp;$B161,MemKey,0))</f>
        <v/>
      </c>
      <c r="I161" s="1">
        <f>INDEX(VarUnit,MATCH($A161,VarKey,0))</f>
        <v/>
      </c>
      <c r="J161" s="1">
        <f>INDEX(VarSrc,MATCH($A161,VarKey,0))</f>
        <v/>
      </c>
      <c r="K161" s="17">
        <f>CodePrefix&amp;$A161&amp;IF($C161="","","."&amp;$C161&amp;"."&amp;$B161)&amp;INDEX(VarEnd,MATCH($A161,VarKey,0))&amp;K$5</f>
        <v/>
      </c>
      <c r="L161" s="18">
        <f>MIN(1,MAX(0,INDEX(L$150:L$153,$D161)))</f>
        <v/>
      </c>
      <c r="M161" s="19">
        <f>MIN(1,MAX(0,INDEX(M$150:M$153,$D161)))</f>
        <v/>
      </c>
      <c r="N161" s="19">
        <f>MIN(1,MAX(0,INDEX(N$150:N$153,$D161)))</f>
        <v/>
      </c>
      <c r="O161" s="19">
        <f>MIN(1,MAX(0,INDEX(O$150:O$153,$D161)))</f>
        <v/>
      </c>
      <c r="P161" s="19">
        <f>MIN(1,MAX(0,INDEX(P$150:P$153,$D161)))</f>
        <v/>
      </c>
      <c r="Q161" s="19">
        <f>MIN(1,MAX(0,INDEX(Q$150:Q$153,$D161)))</f>
        <v/>
      </c>
      <c r="R161" s="19">
        <f>MIN(1,MAX(0,INDEX(R$150:R$153,$D161)))</f>
        <v/>
      </c>
      <c r="S161" s="19">
        <f>MIN(1,MAX(0,INDEX(S$150:S$153,$D161)))</f>
        <v/>
      </c>
      <c r="T161" s="19">
        <f>MIN(1,MAX(0,INDEX(T$150:T$153,$D161)))</f>
        <v/>
      </c>
      <c r="U161" s="19">
        <f>MIN(1,MAX(0,INDEX(U$150:U$153,$D161)))</f>
        <v/>
      </c>
      <c r="V161" s="19">
        <f>MIN(1,MAX(0,INDEX(V$150:V$153,$D161)))</f>
        <v/>
      </c>
      <c r="W161" s="19">
        <f>MIN(1,MAX(0,INDEX(W$150:W$153,$D161)))</f>
        <v/>
      </c>
      <c r="X161" s="19">
        <f>MIN(1,MAX(0,INDEX(X$150:X$153,$D161)))</f>
        <v/>
      </c>
      <c r="Y161" s="19">
        <f>MIN(1,MAX(0,INDEX(Y$150:Y$153,$D161)))</f>
        <v/>
      </c>
      <c r="Z161" s="19">
        <f>MIN(1,MAX(0,INDEX(Z$150:Z$153,$D161)))</f>
        <v/>
      </c>
      <c r="AA161" s="19">
        <f>MIN(1,MAX(0,INDEX(AA$150:AA$153,$D161)))</f>
        <v/>
      </c>
      <c r="AB161" s="19">
        <f>MIN(1,MAX(0,INDEX(AB$150:AB$153,$D161)))</f>
        <v/>
      </c>
      <c r="AC161" s="19">
        <f>MIN(1,MAX(0,INDEX(AC$150:AC$153,$D161)))</f>
        <v/>
      </c>
      <c r="AD161" s="19">
        <f>MIN(1,MAX(0,INDEX(AD$150:AD$153,$D161)))</f>
        <v/>
      </c>
      <c r="AE161" s="20">
        <f>OBRSHARE(INDEX(AE$150:AE$153,$D161))</f>
        <v/>
      </c>
      <c r="AG161" s="17">
        <f>CodePrefix&amp;$A161&amp;IF($C161="","","."&amp;$C161&amp;"."&amp;$B161)&amp;INDEX(VarEnd,MATCH($A161,VarKey,0))&amp;AG$5</f>
        <v/>
      </c>
      <c r="AH161" s="18">
        <f>MIN(1,MAX(0,INDEX(AH$150:AH$153,$D161)))</f>
        <v/>
      </c>
      <c r="AI161" s="19">
        <f>MIN(1,MAX(0,INDEX(AI$150:AI$153,$D161)))</f>
        <v/>
      </c>
      <c r="AJ161" s="19">
        <f>MIN(1,MAX(0,INDEX(AJ$150:AJ$153,$D161)))</f>
        <v/>
      </c>
      <c r="AK161" s="19">
        <f>MIN(1,MAX(0,INDEX(AK$150:AK$153,$D161)))</f>
        <v/>
      </c>
      <c r="AL161" s="19">
        <f>MIN(1,MAX(0,INDEX(AL$150:AL$153,$D161)))</f>
        <v/>
      </c>
      <c r="AM161" s="19">
        <f>MIN(1,MAX(0,INDEX(AM$150:AM$153,$D161)))</f>
        <v/>
      </c>
      <c r="AN161" s="19">
        <f>MIN(1,MAX(0,INDEX(AN$150:AN$153,$D161)))</f>
        <v/>
      </c>
      <c r="AO161" s="19">
        <f>MIN(1,MAX(0,INDEX(AO$150:AO$153,$D161)))</f>
        <v/>
      </c>
      <c r="AP161" s="19">
        <f>MIN(1,MAX(0,INDEX(AP$150:AP$153,$D161)))</f>
        <v/>
      </c>
      <c r="AQ161" s="19">
        <f>MIN(1,MAX(0,INDEX(AQ$150:AQ$153,$D161)))</f>
        <v/>
      </c>
      <c r="AR161" s="19">
        <f>MIN(1,MAX(0,INDEX(AR$150:AR$153,$D161)))</f>
        <v/>
      </c>
      <c r="AS161" s="19">
        <f>MIN(1,MAX(0,INDEX(AS$150:AS$153,$D161)))</f>
        <v/>
      </c>
      <c r="AT161" s="19">
        <f>MIN(1,MAX(0,INDEX(AT$150:AT$153,$D161)))</f>
        <v/>
      </c>
      <c r="AU161" s="19">
        <f>MIN(1,MAX(0,INDEX(AU$150:AU$153,$D161)))</f>
        <v/>
      </c>
      <c r="AV161" s="19">
        <f>MIN(1,MAX(0,INDEX(AV$150:AV$153,$D161)))</f>
        <v/>
      </c>
      <c r="AW161" s="19">
        <f>MIN(1,MAX(0,INDEX(AW$150:AW$153,$D161)))</f>
        <v/>
      </c>
      <c r="AX161" s="19">
        <f>MIN(1,MAX(0,INDEX(AX$150:AX$153,$D161)))</f>
        <v/>
      </c>
      <c r="AY161" s="19">
        <f>MIN(1,MAX(0,INDEX(AY$150:AY$153,$D161)))</f>
        <v/>
      </c>
      <c r="AZ161" s="19">
        <f>MIN(1,MAX(0,INDEX(AZ$150:AZ$153,$D161)))</f>
        <v/>
      </c>
      <c r="BA161" s="20">
        <f>OBRSHARE(INDEX(BA$150:BA$153,$D161))</f>
        <v/>
      </c>
    </row>
    <row r="162" hidden="1" outlineLevel="1">
      <c r="A162" s="1" t="inlineStr">
        <is>
          <t>obr</t>
        </is>
      </c>
      <c r="B162" s="1" t="inlineStr">
        <is>
          <t>all</t>
        </is>
      </c>
      <c r="C162" s="1" t="inlineStr">
        <is>
          <t>mch</t>
        </is>
      </c>
      <c r="D162" s="26" t="n">
        <v>4</v>
      </c>
      <c r="E162" s="27" t="n">
        <v>-0.0054897</v>
      </c>
      <c r="H162" s="1">
        <f>INDEX(VarLab,MATCH($A162,VarKey,0))&amp;INDEX(MemLab,MATCH($C162&amp;"|"&amp;$B162,MemKey,0))</f>
        <v/>
      </c>
      <c r="I162" s="1">
        <f>INDEX(VarUnit,MATCH($A162,VarKey,0))</f>
        <v/>
      </c>
      <c r="J162" s="1">
        <f>INDEX(VarSrc,MATCH($A162,VarKey,0))</f>
        <v/>
      </c>
      <c r="K162" s="17">
        <f>CodePrefix&amp;$A162&amp;IF($C162="","","."&amp;$C162&amp;"."&amp;$B162)&amp;INDEX(VarEnd,MATCH($A162,VarKey,0))&amp;K$5</f>
        <v/>
      </c>
      <c r="L162" s="18">
        <f>MIN(1,MAX(0,INDEX(L$150:L$153,$D162)))</f>
        <v/>
      </c>
      <c r="M162" s="19">
        <f>MIN(1,MAX(0,INDEX(M$150:M$153,$D162)))</f>
        <v/>
      </c>
      <c r="N162" s="19">
        <f>MIN(1,MAX(0,INDEX(N$150:N$153,$D162)))</f>
        <v/>
      </c>
      <c r="O162" s="19">
        <f>MIN(1,MAX(0,INDEX(O$150:O$153,$D162)))</f>
        <v/>
      </c>
      <c r="P162" s="19">
        <f>MIN(1,MAX(0,INDEX(P$150:P$153,$D162)))</f>
        <v/>
      </c>
      <c r="Q162" s="19">
        <f>MIN(1,MAX(0,INDEX(Q$150:Q$153,$D162)))</f>
        <v/>
      </c>
      <c r="R162" s="19">
        <f>MIN(1,MAX(0,INDEX(R$150:R$153,$D162)))</f>
        <v/>
      </c>
      <c r="S162" s="19">
        <f>MIN(1,MAX(0,INDEX(S$150:S$153,$D162)))</f>
        <v/>
      </c>
      <c r="T162" s="19">
        <f>MIN(1,MAX(0,INDEX(T$150:T$153,$D162)))</f>
        <v/>
      </c>
      <c r="U162" s="19">
        <f>MIN(1,MAX(0,INDEX(U$150:U$153,$D162)))</f>
        <v/>
      </c>
      <c r="V162" s="19">
        <f>MIN(1,MAX(0,INDEX(V$150:V$153,$D162)))</f>
        <v/>
      </c>
      <c r="W162" s="19">
        <f>MIN(1,MAX(0,INDEX(W$150:W$153,$D162)))</f>
        <v/>
      </c>
      <c r="X162" s="19">
        <f>MIN(1,MAX(0,INDEX(X$150:X$153,$D162)))</f>
        <v/>
      </c>
      <c r="Y162" s="19">
        <f>MIN(1,MAX(0,INDEX(Y$150:Y$153,$D162)))</f>
        <v/>
      </c>
      <c r="Z162" s="19">
        <f>MIN(1,MAX(0,INDEX(Z$150:Z$153,$D162)))</f>
        <v/>
      </c>
      <c r="AA162" s="19">
        <f>MIN(1,MAX(0,INDEX(AA$150:AA$153,$D162)))</f>
        <v/>
      </c>
      <c r="AB162" s="19">
        <f>MIN(1,MAX(0,INDEX(AB$150:AB$153,$D162)))</f>
        <v/>
      </c>
      <c r="AC162" s="19">
        <f>MIN(1,MAX(0,INDEX(AC$150:AC$153,$D162)))</f>
        <v/>
      </c>
      <c r="AD162" s="19">
        <f>MIN(1,MAX(0,INDEX(AD$150:AD$153,$D162)))</f>
        <v/>
      </c>
      <c r="AE162" s="20">
        <f>OBRSHARE(INDEX(AE$150:AE$153,$D162))</f>
        <v/>
      </c>
      <c r="AG162" s="17">
        <f>CodePrefix&amp;$A162&amp;IF($C162="","","."&amp;$C162&amp;"."&amp;$B162)&amp;INDEX(VarEnd,MATCH($A162,VarKey,0))&amp;AG$5</f>
        <v/>
      </c>
      <c r="AH162" s="18">
        <f>MIN(1,MAX(0,INDEX(AH$150:AH$153,$D162)))</f>
        <v/>
      </c>
      <c r="AI162" s="19">
        <f>MIN(1,MAX(0,INDEX(AI$150:AI$153,$D162)))</f>
        <v/>
      </c>
      <c r="AJ162" s="19">
        <f>MIN(1,MAX(0,INDEX(AJ$150:AJ$153,$D162)))</f>
        <v/>
      </c>
      <c r="AK162" s="19">
        <f>MIN(1,MAX(0,INDEX(AK$150:AK$153,$D162)))</f>
        <v/>
      </c>
      <c r="AL162" s="19">
        <f>MIN(1,MAX(0,INDEX(AL$150:AL$153,$D162)))</f>
        <v/>
      </c>
      <c r="AM162" s="19">
        <f>MIN(1,MAX(0,INDEX(AM$150:AM$153,$D162)))</f>
        <v/>
      </c>
      <c r="AN162" s="19">
        <f>MIN(1,MAX(0,INDEX(AN$150:AN$153,$D162)))</f>
        <v/>
      </c>
      <c r="AO162" s="19">
        <f>MIN(1,MAX(0,INDEX(AO$150:AO$153,$D162)))</f>
        <v/>
      </c>
      <c r="AP162" s="19">
        <f>MIN(1,MAX(0,INDEX(AP$150:AP$153,$D162)))</f>
        <v/>
      </c>
      <c r="AQ162" s="19">
        <f>MIN(1,MAX(0,INDEX(AQ$150:AQ$153,$D162)))</f>
        <v/>
      </c>
      <c r="AR162" s="19">
        <f>MIN(1,MAX(0,INDEX(AR$150:AR$153,$D162)))</f>
        <v/>
      </c>
      <c r="AS162" s="19">
        <f>MIN(1,MAX(0,INDEX(AS$150:AS$153,$D162)))</f>
        <v/>
      </c>
      <c r="AT162" s="19">
        <f>MIN(1,MAX(0,INDEX(AT$150:AT$153,$D162)))</f>
        <v/>
      </c>
      <c r="AU162" s="19">
        <f>MIN(1,MAX(0,INDEX(AU$150:AU$153,$D162)))</f>
        <v/>
      </c>
      <c r="AV162" s="19">
        <f>MIN(1,MAX(0,INDEX(AV$150:AV$153,$D162)))</f>
        <v/>
      </c>
      <c r="AW162" s="19">
        <f>MIN(1,MAX(0,INDEX(AW$150:AW$153,$D162)))</f>
        <v/>
      </c>
      <c r="AX162" s="19">
        <f>MIN(1,MAX(0,INDEX(AX$150:AX$153,$D162)))</f>
        <v/>
      </c>
      <c r="AY162" s="19">
        <f>MIN(1,MAX(0,INDEX(AY$150:AY$153,$D162)))</f>
        <v/>
      </c>
      <c r="AZ162" s="19">
        <f>MIN(1,MAX(0,INDEX(AZ$150:AZ$153,$D162)))</f>
        <v/>
      </c>
      <c r="BA162" s="20">
        <f>OBRSHARE(INDEX(BA$150:BA$153,$D162))</f>
        <v/>
      </c>
    </row>
    <row r="163" hidden="1" outlineLevel="1">
      <c r="A163" s="1" t="inlineStr">
        <is>
          <t>obr</t>
        </is>
      </c>
      <c r="B163" s="1" t="inlineStr">
        <is>
          <t>all</t>
        </is>
      </c>
      <c r="C163" s="1" t="inlineStr">
        <is>
          <t>irn</t>
        </is>
      </c>
      <c r="D163" s="26" t="n">
        <v>4</v>
      </c>
      <c r="E163" s="27" t="n">
        <v>-0.0054897</v>
      </c>
      <c r="H163" s="1">
        <f>INDEX(VarLab,MATCH($A163,VarKey,0))&amp;INDEX(MemLab,MATCH($C163&amp;"|"&amp;$B163,MemKey,0))</f>
        <v/>
      </c>
      <c r="I163" s="1">
        <f>INDEX(VarUnit,MATCH($A163,VarKey,0))</f>
        <v/>
      </c>
      <c r="J163" s="1">
        <f>INDEX(VarSrc,MATCH($A163,VarKey,0))</f>
        <v/>
      </c>
      <c r="K163" s="17">
        <f>CodePrefix&amp;$A163&amp;IF($C163="","","."&amp;$C163&amp;"."&amp;$B163)&amp;INDEX(VarEnd,MATCH($A163,VarKey,0))&amp;K$5</f>
        <v/>
      </c>
      <c r="L163" s="18">
        <f>MIN(1,MAX(0,INDEX(L$150:L$153,$D163)))</f>
        <v/>
      </c>
      <c r="M163" s="19">
        <f>MIN(1,MAX(0,INDEX(M$150:M$153,$D163)))</f>
        <v/>
      </c>
      <c r="N163" s="19">
        <f>MIN(1,MAX(0,INDEX(N$150:N$153,$D163)))</f>
        <v/>
      </c>
      <c r="O163" s="19">
        <f>MIN(1,MAX(0,INDEX(O$150:O$153,$D163)))</f>
        <v/>
      </c>
      <c r="P163" s="19">
        <f>MIN(1,MAX(0,INDEX(P$150:P$153,$D163)))</f>
        <v/>
      </c>
      <c r="Q163" s="19">
        <f>MIN(1,MAX(0,INDEX(Q$150:Q$153,$D163)))</f>
        <v/>
      </c>
      <c r="R163" s="19">
        <f>MIN(1,MAX(0,INDEX(R$150:R$153,$D163)))</f>
        <v/>
      </c>
      <c r="S163" s="19">
        <f>MIN(1,MAX(0,INDEX(S$150:S$153,$D163)))</f>
        <v/>
      </c>
      <c r="T163" s="19">
        <f>MIN(1,MAX(0,INDEX(T$150:T$153,$D163)))</f>
        <v/>
      </c>
      <c r="U163" s="19">
        <f>MIN(1,MAX(0,INDEX(U$150:U$153,$D163)))</f>
        <v/>
      </c>
      <c r="V163" s="19">
        <f>MIN(1,MAX(0,INDEX(V$150:V$153,$D163)))</f>
        <v/>
      </c>
      <c r="W163" s="19">
        <f>MIN(1,MAX(0,INDEX(W$150:W$153,$D163)))</f>
        <v/>
      </c>
      <c r="X163" s="19">
        <f>MIN(1,MAX(0,INDEX(X$150:X$153,$D163)))</f>
        <v/>
      </c>
      <c r="Y163" s="19">
        <f>MIN(1,MAX(0,INDEX(Y$150:Y$153,$D163)))</f>
        <v/>
      </c>
      <c r="Z163" s="19">
        <f>MIN(1,MAX(0,INDEX(Z$150:Z$153,$D163)))</f>
        <v/>
      </c>
      <c r="AA163" s="19">
        <f>MIN(1,MAX(0,INDEX(AA$150:AA$153,$D163)))</f>
        <v/>
      </c>
      <c r="AB163" s="19">
        <f>MIN(1,MAX(0,INDEX(AB$150:AB$153,$D163)))</f>
        <v/>
      </c>
      <c r="AC163" s="19">
        <f>MIN(1,MAX(0,INDEX(AC$150:AC$153,$D163)))</f>
        <v/>
      </c>
      <c r="AD163" s="19">
        <f>MIN(1,MAX(0,INDEX(AD$150:AD$153,$D163)))</f>
        <v/>
      </c>
      <c r="AE163" s="20">
        <f>OBRSHARE(INDEX(AE$150:AE$153,$D163))</f>
        <v/>
      </c>
      <c r="AG163" s="17">
        <f>CodePrefix&amp;$A163&amp;IF($C163="","","."&amp;$C163&amp;"."&amp;$B163)&amp;INDEX(VarEnd,MATCH($A163,VarKey,0))&amp;AG$5</f>
        <v/>
      </c>
      <c r="AH163" s="18">
        <f>MIN(1,MAX(0,INDEX(AH$150:AH$153,$D163)))</f>
        <v/>
      </c>
      <c r="AI163" s="19">
        <f>MIN(1,MAX(0,INDEX(AI$150:AI$153,$D163)))</f>
        <v/>
      </c>
      <c r="AJ163" s="19">
        <f>MIN(1,MAX(0,INDEX(AJ$150:AJ$153,$D163)))</f>
        <v/>
      </c>
      <c r="AK163" s="19">
        <f>MIN(1,MAX(0,INDEX(AK$150:AK$153,$D163)))</f>
        <v/>
      </c>
      <c r="AL163" s="19">
        <f>MIN(1,MAX(0,INDEX(AL$150:AL$153,$D163)))</f>
        <v/>
      </c>
      <c r="AM163" s="19">
        <f>MIN(1,MAX(0,INDEX(AM$150:AM$153,$D163)))</f>
        <v/>
      </c>
      <c r="AN163" s="19">
        <f>MIN(1,MAX(0,INDEX(AN$150:AN$153,$D163)))</f>
        <v/>
      </c>
      <c r="AO163" s="19">
        <f>MIN(1,MAX(0,INDEX(AO$150:AO$153,$D163)))</f>
        <v/>
      </c>
      <c r="AP163" s="19">
        <f>MIN(1,MAX(0,INDEX(AP$150:AP$153,$D163)))</f>
        <v/>
      </c>
      <c r="AQ163" s="19">
        <f>MIN(1,MAX(0,INDEX(AQ$150:AQ$153,$D163)))</f>
        <v/>
      </c>
      <c r="AR163" s="19">
        <f>MIN(1,MAX(0,INDEX(AR$150:AR$153,$D163)))</f>
        <v/>
      </c>
      <c r="AS163" s="19">
        <f>MIN(1,MAX(0,INDEX(AS$150:AS$153,$D163)))</f>
        <v/>
      </c>
      <c r="AT163" s="19">
        <f>MIN(1,MAX(0,INDEX(AT$150:AT$153,$D163)))</f>
        <v/>
      </c>
      <c r="AU163" s="19">
        <f>MIN(1,MAX(0,INDEX(AU$150:AU$153,$D163)))</f>
        <v/>
      </c>
      <c r="AV163" s="19">
        <f>MIN(1,MAX(0,INDEX(AV$150:AV$153,$D163)))</f>
        <v/>
      </c>
      <c r="AW163" s="19">
        <f>MIN(1,MAX(0,INDEX(AW$150:AW$153,$D163)))</f>
        <v/>
      </c>
      <c r="AX163" s="19">
        <f>MIN(1,MAX(0,INDEX(AX$150:AX$153,$D163)))</f>
        <v/>
      </c>
      <c r="AY163" s="19">
        <f>MIN(1,MAX(0,INDEX(AY$150:AY$153,$D163)))</f>
        <v/>
      </c>
      <c r="AZ163" s="19">
        <f>MIN(1,MAX(0,INDEX(AZ$150:AZ$153,$D163)))</f>
        <v/>
      </c>
      <c r="BA163" s="20">
        <f>OBRSHARE(INDEX(BA$150:BA$153,$D163))</f>
        <v/>
      </c>
    </row>
    <row r="164" hidden="1" outlineLevel="1">
      <c r="A164" s="1" t="inlineStr">
        <is>
          <t>obr</t>
        </is>
      </c>
      <c r="B164" s="1" t="inlineStr">
        <is>
          <t>all</t>
        </is>
      </c>
      <c r="C164" s="1" t="inlineStr">
        <is>
          <t>nfm</t>
        </is>
      </c>
      <c r="D164" s="26" t="n">
        <v>4</v>
      </c>
      <c r="E164" s="27" t="n">
        <v>-0.0054897</v>
      </c>
      <c r="H164" s="1">
        <f>INDEX(VarLab,MATCH($A164,VarKey,0))&amp;INDEX(MemLab,MATCH($C164&amp;"|"&amp;$B164,MemKey,0))</f>
        <v/>
      </c>
      <c r="I164" s="1">
        <f>INDEX(VarUnit,MATCH($A164,VarKey,0))</f>
        <v/>
      </c>
      <c r="J164" s="1">
        <f>INDEX(VarSrc,MATCH($A164,VarKey,0))</f>
        <v/>
      </c>
      <c r="K164" s="17">
        <f>CodePrefix&amp;$A164&amp;IF($C164="","","."&amp;$C164&amp;"."&amp;$B164)&amp;INDEX(VarEnd,MATCH($A164,VarKey,0))&amp;K$5</f>
        <v/>
      </c>
      <c r="L164" s="18">
        <f>MIN(1,MAX(0,INDEX(L$150:L$153,$D164)))</f>
        <v/>
      </c>
      <c r="M164" s="19">
        <f>MIN(1,MAX(0,INDEX(M$150:M$153,$D164)))</f>
        <v/>
      </c>
      <c r="N164" s="19">
        <f>MIN(1,MAX(0,INDEX(N$150:N$153,$D164)))</f>
        <v/>
      </c>
      <c r="O164" s="19">
        <f>MIN(1,MAX(0,INDEX(O$150:O$153,$D164)))</f>
        <v/>
      </c>
      <c r="P164" s="19">
        <f>MIN(1,MAX(0,INDEX(P$150:P$153,$D164)))</f>
        <v/>
      </c>
      <c r="Q164" s="19">
        <f>MIN(1,MAX(0,INDEX(Q$150:Q$153,$D164)))</f>
        <v/>
      </c>
      <c r="R164" s="19">
        <f>MIN(1,MAX(0,INDEX(R$150:R$153,$D164)))</f>
        <v/>
      </c>
      <c r="S164" s="19">
        <f>MIN(1,MAX(0,INDEX(S$150:S$153,$D164)))</f>
        <v/>
      </c>
      <c r="T164" s="19">
        <f>MIN(1,MAX(0,INDEX(T$150:T$153,$D164)))</f>
        <v/>
      </c>
      <c r="U164" s="19">
        <f>MIN(1,MAX(0,INDEX(U$150:U$153,$D164)))</f>
        <v/>
      </c>
      <c r="V164" s="19">
        <f>MIN(1,MAX(0,INDEX(V$150:V$153,$D164)))</f>
        <v/>
      </c>
      <c r="W164" s="19">
        <f>MIN(1,MAX(0,INDEX(W$150:W$153,$D164)))</f>
        <v/>
      </c>
      <c r="X164" s="19">
        <f>MIN(1,MAX(0,INDEX(X$150:X$153,$D164)))</f>
        <v/>
      </c>
      <c r="Y164" s="19">
        <f>MIN(1,MAX(0,INDEX(Y$150:Y$153,$D164)))</f>
        <v/>
      </c>
      <c r="Z164" s="19">
        <f>MIN(1,MAX(0,INDEX(Z$150:Z$153,$D164)))</f>
        <v/>
      </c>
      <c r="AA164" s="19">
        <f>MIN(1,MAX(0,INDEX(AA$150:AA$153,$D164)))</f>
        <v/>
      </c>
      <c r="AB164" s="19">
        <f>MIN(1,MAX(0,INDEX(AB$150:AB$153,$D164)))</f>
        <v/>
      </c>
      <c r="AC164" s="19">
        <f>MIN(1,MAX(0,INDEX(AC$150:AC$153,$D164)))</f>
        <v/>
      </c>
      <c r="AD164" s="19">
        <f>MIN(1,MAX(0,INDEX(AD$150:AD$153,$D164)))</f>
        <v/>
      </c>
      <c r="AE164" s="20">
        <f>OBRSHARE(INDEX(AE$150:AE$153,$D164))</f>
        <v/>
      </c>
      <c r="AG164" s="17">
        <f>CodePrefix&amp;$A164&amp;IF($C164="","","."&amp;$C164&amp;"."&amp;$B164)&amp;INDEX(VarEnd,MATCH($A164,VarKey,0))&amp;AG$5</f>
        <v/>
      </c>
      <c r="AH164" s="18">
        <f>MIN(1,MAX(0,INDEX(AH$150:AH$153,$D164)))</f>
        <v/>
      </c>
      <c r="AI164" s="19">
        <f>MIN(1,MAX(0,INDEX(AI$150:AI$153,$D164)))</f>
        <v/>
      </c>
      <c r="AJ164" s="19">
        <f>MIN(1,MAX(0,INDEX(AJ$150:AJ$153,$D164)))</f>
        <v/>
      </c>
      <c r="AK164" s="19">
        <f>MIN(1,MAX(0,INDEX(AK$150:AK$153,$D164)))</f>
        <v/>
      </c>
      <c r="AL164" s="19">
        <f>MIN(1,MAX(0,INDEX(AL$150:AL$153,$D164)))</f>
        <v/>
      </c>
      <c r="AM164" s="19">
        <f>MIN(1,MAX(0,INDEX(AM$150:AM$153,$D164)))</f>
        <v/>
      </c>
      <c r="AN164" s="19">
        <f>MIN(1,MAX(0,INDEX(AN$150:AN$153,$D164)))</f>
        <v/>
      </c>
      <c r="AO164" s="19">
        <f>MIN(1,MAX(0,INDEX(AO$150:AO$153,$D164)))</f>
        <v/>
      </c>
      <c r="AP164" s="19">
        <f>MIN(1,MAX(0,INDEX(AP$150:AP$153,$D164)))</f>
        <v/>
      </c>
      <c r="AQ164" s="19">
        <f>MIN(1,MAX(0,INDEX(AQ$150:AQ$153,$D164)))</f>
        <v/>
      </c>
      <c r="AR164" s="19">
        <f>MIN(1,MAX(0,INDEX(AR$150:AR$153,$D164)))</f>
        <v/>
      </c>
      <c r="AS164" s="19">
        <f>MIN(1,MAX(0,INDEX(AS$150:AS$153,$D164)))</f>
        <v/>
      </c>
      <c r="AT164" s="19">
        <f>MIN(1,MAX(0,INDEX(AT$150:AT$153,$D164)))</f>
        <v/>
      </c>
      <c r="AU164" s="19">
        <f>MIN(1,MAX(0,INDEX(AU$150:AU$153,$D164)))</f>
        <v/>
      </c>
      <c r="AV164" s="19">
        <f>MIN(1,MAX(0,INDEX(AV$150:AV$153,$D164)))</f>
        <v/>
      </c>
      <c r="AW164" s="19">
        <f>MIN(1,MAX(0,INDEX(AW$150:AW$153,$D164)))</f>
        <v/>
      </c>
      <c r="AX164" s="19">
        <f>MIN(1,MAX(0,INDEX(AX$150:AX$153,$D164)))</f>
        <v/>
      </c>
      <c r="AY164" s="19">
        <f>MIN(1,MAX(0,INDEX(AY$150:AY$153,$D164)))</f>
        <v/>
      </c>
      <c r="AZ164" s="19">
        <f>MIN(1,MAX(0,INDEX(AZ$150:AZ$153,$D164)))</f>
        <v/>
      </c>
      <c r="BA164" s="20">
        <f>OBRSHARE(INDEX(BA$150:BA$153,$D164))</f>
        <v/>
      </c>
    </row>
    <row r="165" hidden="1" outlineLevel="1">
      <c r="A165" s="1" t="inlineStr">
        <is>
          <t>obr</t>
        </is>
      </c>
      <c r="B165" s="1" t="inlineStr">
        <is>
          <t>all</t>
        </is>
      </c>
      <c r="C165" s="1" t="inlineStr">
        <is>
          <t>mac</t>
        </is>
      </c>
      <c r="D165" s="26" t="n">
        <v>4</v>
      </c>
      <c r="E165" s="27" t="n">
        <v>-0.0054897</v>
      </c>
      <c r="H165" s="1">
        <f>INDEX(VarLab,MATCH($A165,VarKey,0))&amp;INDEX(MemLab,MATCH($C165&amp;"|"&amp;$B165,MemKey,0))</f>
        <v/>
      </c>
      <c r="I165" s="1">
        <f>INDEX(VarUnit,MATCH($A165,VarKey,0))</f>
        <v/>
      </c>
      <c r="J165" s="1">
        <f>INDEX(VarSrc,MATCH($A165,VarKey,0))</f>
        <v/>
      </c>
      <c r="K165" s="17">
        <f>CodePrefix&amp;$A165&amp;IF($C165="","","."&amp;$C165&amp;"."&amp;$B165)&amp;INDEX(VarEnd,MATCH($A165,VarKey,0))&amp;K$5</f>
        <v/>
      </c>
      <c r="L165" s="18">
        <f>MIN(1,MAX(0,INDEX(L$150:L$153,$D165)))</f>
        <v/>
      </c>
      <c r="M165" s="19">
        <f>MIN(1,MAX(0,INDEX(M$150:M$153,$D165)))</f>
        <v/>
      </c>
      <c r="N165" s="19">
        <f>MIN(1,MAX(0,INDEX(N$150:N$153,$D165)))</f>
        <v/>
      </c>
      <c r="O165" s="19">
        <f>MIN(1,MAX(0,INDEX(O$150:O$153,$D165)))</f>
        <v/>
      </c>
      <c r="P165" s="19">
        <f>MIN(1,MAX(0,INDEX(P$150:P$153,$D165)))</f>
        <v/>
      </c>
      <c r="Q165" s="19">
        <f>MIN(1,MAX(0,INDEX(Q$150:Q$153,$D165)))</f>
        <v/>
      </c>
      <c r="R165" s="19">
        <f>MIN(1,MAX(0,INDEX(R$150:R$153,$D165)))</f>
        <v/>
      </c>
      <c r="S165" s="19">
        <f>MIN(1,MAX(0,INDEX(S$150:S$153,$D165)))</f>
        <v/>
      </c>
      <c r="T165" s="19">
        <f>MIN(1,MAX(0,INDEX(T$150:T$153,$D165)))</f>
        <v/>
      </c>
      <c r="U165" s="19">
        <f>MIN(1,MAX(0,INDEX(U$150:U$153,$D165)))</f>
        <v/>
      </c>
      <c r="V165" s="19">
        <f>MIN(1,MAX(0,INDEX(V$150:V$153,$D165)))</f>
        <v/>
      </c>
      <c r="W165" s="19">
        <f>MIN(1,MAX(0,INDEX(W$150:W$153,$D165)))</f>
        <v/>
      </c>
      <c r="X165" s="19">
        <f>MIN(1,MAX(0,INDEX(X$150:X$153,$D165)))</f>
        <v/>
      </c>
      <c r="Y165" s="19">
        <f>MIN(1,MAX(0,INDEX(Y$150:Y$153,$D165)))</f>
        <v/>
      </c>
      <c r="Z165" s="19">
        <f>MIN(1,MAX(0,INDEX(Z$150:Z$153,$D165)))</f>
        <v/>
      </c>
      <c r="AA165" s="19">
        <f>MIN(1,MAX(0,INDEX(AA$150:AA$153,$D165)))</f>
        <v/>
      </c>
      <c r="AB165" s="19">
        <f>MIN(1,MAX(0,INDEX(AB$150:AB$153,$D165)))</f>
        <v/>
      </c>
      <c r="AC165" s="19">
        <f>MIN(1,MAX(0,INDEX(AC$150:AC$153,$D165)))</f>
        <v/>
      </c>
      <c r="AD165" s="19">
        <f>MIN(1,MAX(0,INDEX(AD$150:AD$153,$D165)))</f>
        <v/>
      </c>
      <c r="AE165" s="20">
        <f>OBRSHARE(INDEX(AE$150:AE$153,$D165))</f>
        <v/>
      </c>
      <c r="AG165" s="17">
        <f>CodePrefix&amp;$A165&amp;IF($C165="","","."&amp;$C165&amp;"."&amp;$B165)&amp;INDEX(VarEnd,MATCH($A165,VarKey,0))&amp;AG$5</f>
        <v/>
      </c>
      <c r="AH165" s="18">
        <f>MIN(1,MAX(0,INDEX(AH$150:AH$153,$D165)))</f>
        <v/>
      </c>
      <c r="AI165" s="19">
        <f>MIN(1,MAX(0,INDEX(AI$150:AI$153,$D165)))</f>
        <v/>
      </c>
      <c r="AJ165" s="19">
        <f>MIN(1,MAX(0,INDEX(AJ$150:AJ$153,$D165)))</f>
        <v/>
      </c>
      <c r="AK165" s="19">
        <f>MIN(1,MAX(0,INDEX(AK$150:AK$153,$D165)))</f>
        <v/>
      </c>
      <c r="AL165" s="19">
        <f>MIN(1,MAX(0,INDEX(AL$150:AL$153,$D165)))</f>
        <v/>
      </c>
      <c r="AM165" s="19">
        <f>MIN(1,MAX(0,INDEX(AM$150:AM$153,$D165)))</f>
        <v/>
      </c>
      <c r="AN165" s="19">
        <f>MIN(1,MAX(0,INDEX(AN$150:AN$153,$D165)))</f>
        <v/>
      </c>
      <c r="AO165" s="19">
        <f>MIN(1,MAX(0,INDEX(AO$150:AO$153,$D165)))</f>
        <v/>
      </c>
      <c r="AP165" s="19">
        <f>MIN(1,MAX(0,INDEX(AP$150:AP$153,$D165)))</f>
        <v/>
      </c>
      <c r="AQ165" s="19">
        <f>MIN(1,MAX(0,INDEX(AQ$150:AQ$153,$D165)))</f>
        <v/>
      </c>
      <c r="AR165" s="19">
        <f>MIN(1,MAX(0,INDEX(AR$150:AR$153,$D165)))</f>
        <v/>
      </c>
      <c r="AS165" s="19">
        <f>MIN(1,MAX(0,INDEX(AS$150:AS$153,$D165)))</f>
        <v/>
      </c>
      <c r="AT165" s="19">
        <f>MIN(1,MAX(0,INDEX(AT$150:AT$153,$D165)))</f>
        <v/>
      </c>
      <c r="AU165" s="19">
        <f>MIN(1,MAX(0,INDEX(AU$150:AU$153,$D165)))</f>
        <v/>
      </c>
      <c r="AV165" s="19">
        <f>MIN(1,MAX(0,INDEX(AV$150:AV$153,$D165)))</f>
        <v/>
      </c>
      <c r="AW165" s="19">
        <f>MIN(1,MAX(0,INDEX(AW$150:AW$153,$D165)))</f>
        <v/>
      </c>
      <c r="AX165" s="19">
        <f>MIN(1,MAX(0,INDEX(AX$150:AX$153,$D165)))</f>
        <v/>
      </c>
      <c r="AY165" s="19">
        <f>MIN(1,MAX(0,INDEX(AY$150:AY$153,$D165)))</f>
        <v/>
      </c>
      <c r="AZ165" s="19">
        <f>MIN(1,MAX(0,INDEX(AZ$150:AZ$153,$D165)))</f>
        <v/>
      </c>
      <c r="BA165" s="20">
        <f>OBRSHARE(INDEX(BA$150:BA$153,$D165))</f>
        <v/>
      </c>
    </row>
    <row r="166" hidden="1" outlineLevel="1">
      <c r="A166" s="1" t="inlineStr">
        <is>
          <t>obr</t>
        </is>
      </c>
      <c r="B166" s="1" t="inlineStr">
        <is>
          <t>all</t>
        </is>
      </c>
      <c r="C166" s="1" t="inlineStr">
        <is>
          <t>cem</t>
        </is>
      </c>
      <c r="D166" s="26" t="n">
        <v>4</v>
      </c>
      <c r="E166" s="27" t="n">
        <v>-0.0054897</v>
      </c>
      <c r="H166" s="1">
        <f>INDEX(VarLab,MATCH($A166,VarKey,0))&amp;INDEX(MemLab,MATCH($C166&amp;"|"&amp;$B166,MemKey,0))</f>
        <v/>
      </c>
      <c r="I166" s="1">
        <f>INDEX(VarUnit,MATCH($A166,VarKey,0))</f>
        <v/>
      </c>
      <c r="J166" s="1">
        <f>INDEX(VarSrc,MATCH($A166,VarKey,0))</f>
        <v/>
      </c>
      <c r="K166" s="17">
        <f>CodePrefix&amp;$A166&amp;IF($C166="","","."&amp;$C166&amp;"."&amp;$B166)&amp;INDEX(VarEnd,MATCH($A166,VarKey,0))&amp;K$5</f>
        <v/>
      </c>
      <c r="L166" s="18">
        <f>MIN(1,MAX(0,INDEX(L$150:L$153,$D166)))</f>
        <v/>
      </c>
      <c r="M166" s="19">
        <f>MIN(1,MAX(0,INDEX(M$150:M$153,$D166)))</f>
        <v/>
      </c>
      <c r="N166" s="19">
        <f>MIN(1,MAX(0,INDEX(N$150:N$153,$D166)))</f>
        <v/>
      </c>
      <c r="O166" s="19">
        <f>MIN(1,MAX(0,INDEX(O$150:O$153,$D166)))</f>
        <v/>
      </c>
      <c r="P166" s="19">
        <f>MIN(1,MAX(0,INDEX(P$150:P$153,$D166)))</f>
        <v/>
      </c>
      <c r="Q166" s="19">
        <f>MIN(1,MAX(0,INDEX(Q$150:Q$153,$D166)))</f>
        <v/>
      </c>
      <c r="R166" s="19">
        <f>MIN(1,MAX(0,INDEX(R$150:R$153,$D166)))</f>
        <v/>
      </c>
      <c r="S166" s="19">
        <f>MIN(1,MAX(0,INDEX(S$150:S$153,$D166)))</f>
        <v/>
      </c>
      <c r="T166" s="19">
        <f>MIN(1,MAX(0,INDEX(T$150:T$153,$D166)))</f>
        <v/>
      </c>
      <c r="U166" s="19">
        <f>MIN(1,MAX(0,INDEX(U$150:U$153,$D166)))</f>
        <v/>
      </c>
      <c r="V166" s="19">
        <f>MIN(1,MAX(0,INDEX(V$150:V$153,$D166)))</f>
        <v/>
      </c>
      <c r="W166" s="19">
        <f>MIN(1,MAX(0,INDEX(W$150:W$153,$D166)))</f>
        <v/>
      </c>
      <c r="X166" s="19">
        <f>MIN(1,MAX(0,INDEX(X$150:X$153,$D166)))</f>
        <v/>
      </c>
      <c r="Y166" s="19">
        <f>MIN(1,MAX(0,INDEX(Y$150:Y$153,$D166)))</f>
        <v/>
      </c>
      <c r="Z166" s="19">
        <f>MIN(1,MAX(0,INDEX(Z$150:Z$153,$D166)))</f>
        <v/>
      </c>
      <c r="AA166" s="19">
        <f>MIN(1,MAX(0,INDEX(AA$150:AA$153,$D166)))</f>
        <v/>
      </c>
      <c r="AB166" s="19">
        <f>MIN(1,MAX(0,INDEX(AB$150:AB$153,$D166)))</f>
        <v/>
      </c>
      <c r="AC166" s="19">
        <f>MIN(1,MAX(0,INDEX(AC$150:AC$153,$D166)))</f>
        <v/>
      </c>
      <c r="AD166" s="19">
        <f>MIN(1,MAX(0,INDEX(AD$150:AD$153,$D166)))</f>
        <v/>
      </c>
      <c r="AE166" s="20">
        <f>OBRSHARE(INDEX(AE$150:AE$153,$D166))</f>
        <v/>
      </c>
      <c r="AG166" s="17">
        <f>CodePrefix&amp;$A166&amp;IF($C166="","","."&amp;$C166&amp;"."&amp;$B166)&amp;INDEX(VarEnd,MATCH($A166,VarKey,0))&amp;AG$5</f>
        <v/>
      </c>
      <c r="AH166" s="18">
        <f>MIN(1,MAX(0,INDEX(AH$150:AH$153,$D166)))</f>
        <v/>
      </c>
      <c r="AI166" s="19">
        <f>MIN(1,MAX(0,INDEX(AI$150:AI$153,$D166)))</f>
        <v/>
      </c>
      <c r="AJ166" s="19">
        <f>MIN(1,MAX(0,INDEX(AJ$150:AJ$153,$D166)))</f>
        <v/>
      </c>
      <c r="AK166" s="19">
        <f>MIN(1,MAX(0,INDEX(AK$150:AK$153,$D166)))</f>
        <v/>
      </c>
      <c r="AL166" s="19">
        <f>MIN(1,MAX(0,INDEX(AL$150:AL$153,$D166)))</f>
        <v/>
      </c>
      <c r="AM166" s="19">
        <f>MIN(1,MAX(0,INDEX(AM$150:AM$153,$D166)))</f>
        <v/>
      </c>
      <c r="AN166" s="19">
        <f>MIN(1,MAX(0,INDEX(AN$150:AN$153,$D166)))</f>
        <v/>
      </c>
      <c r="AO166" s="19">
        <f>MIN(1,MAX(0,INDEX(AO$150:AO$153,$D166)))</f>
        <v/>
      </c>
      <c r="AP166" s="19">
        <f>MIN(1,MAX(0,INDEX(AP$150:AP$153,$D166)))</f>
        <v/>
      </c>
      <c r="AQ166" s="19">
        <f>MIN(1,MAX(0,INDEX(AQ$150:AQ$153,$D166)))</f>
        <v/>
      </c>
      <c r="AR166" s="19">
        <f>MIN(1,MAX(0,INDEX(AR$150:AR$153,$D166)))</f>
        <v/>
      </c>
      <c r="AS166" s="19">
        <f>MIN(1,MAX(0,INDEX(AS$150:AS$153,$D166)))</f>
        <v/>
      </c>
      <c r="AT166" s="19">
        <f>MIN(1,MAX(0,INDEX(AT$150:AT$153,$D166)))</f>
        <v/>
      </c>
      <c r="AU166" s="19">
        <f>MIN(1,MAX(0,INDEX(AU$150:AU$153,$D166)))</f>
        <v/>
      </c>
      <c r="AV166" s="19">
        <f>MIN(1,MAX(0,INDEX(AV$150:AV$153,$D166)))</f>
        <v/>
      </c>
      <c r="AW166" s="19">
        <f>MIN(1,MAX(0,INDEX(AW$150:AW$153,$D166)))</f>
        <v/>
      </c>
      <c r="AX166" s="19">
        <f>MIN(1,MAX(0,INDEX(AX$150:AX$153,$D166)))</f>
        <v/>
      </c>
      <c r="AY166" s="19">
        <f>MIN(1,MAX(0,INDEX(AY$150:AY$153,$D166)))</f>
        <v/>
      </c>
      <c r="AZ166" s="19">
        <f>MIN(1,MAX(0,INDEX(AZ$150:AZ$153,$D166)))</f>
        <v/>
      </c>
      <c r="BA166" s="20">
        <f>OBRSHARE(INDEX(BA$150:BA$153,$D166))</f>
        <v/>
      </c>
    </row>
    <row r="167" hidden="1" outlineLevel="1">
      <c r="A167" s="1" t="inlineStr">
        <is>
          <t>obr</t>
        </is>
      </c>
      <c r="B167" s="1" t="inlineStr">
        <is>
          <t>all</t>
        </is>
      </c>
      <c r="C167" s="1" t="inlineStr">
        <is>
          <t>omn</t>
        </is>
      </c>
      <c r="D167" s="26" t="n">
        <v>4</v>
      </c>
      <c r="E167" s="27" t="n">
        <v>-0.0054897</v>
      </c>
      <c r="H167" s="1">
        <f>INDEX(VarLab,MATCH($A167,VarKey,0))&amp;INDEX(MemLab,MATCH($C167&amp;"|"&amp;$B167,MemKey,0))</f>
        <v/>
      </c>
      <c r="I167" s="1">
        <f>INDEX(VarUnit,MATCH($A167,VarKey,0))</f>
        <v/>
      </c>
      <c r="J167" s="1">
        <f>INDEX(VarSrc,MATCH($A167,VarKey,0))</f>
        <v/>
      </c>
      <c r="K167" s="17">
        <f>CodePrefix&amp;$A167&amp;IF($C167="","","."&amp;$C167&amp;"."&amp;$B167)&amp;INDEX(VarEnd,MATCH($A167,VarKey,0))&amp;K$5</f>
        <v/>
      </c>
      <c r="L167" s="18">
        <f>MIN(1,MAX(0,INDEX(L$150:L$153,$D167)))</f>
        <v/>
      </c>
      <c r="M167" s="19">
        <f>MIN(1,MAX(0,INDEX(M$150:M$153,$D167)))</f>
        <v/>
      </c>
      <c r="N167" s="19">
        <f>MIN(1,MAX(0,INDEX(N$150:N$153,$D167)))</f>
        <v/>
      </c>
      <c r="O167" s="19">
        <f>MIN(1,MAX(0,INDEX(O$150:O$153,$D167)))</f>
        <v/>
      </c>
      <c r="P167" s="19">
        <f>MIN(1,MAX(0,INDEX(P$150:P$153,$D167)))</f>
        <v/>
      </c>
      <c r="Q167" s="19">
        <f>MIN(1,MAX(0,INDEX(Q$150:Q$153,$D167)))</f>
        <v/>
      </c>
      <c r="R167" s="19">
        <f>MIN(1,MAX(0,INDEX(R$150:R$153,$D167)))</f>
        <v/>
      </c>
      <c r="S167" s="19">
        <f>MIN(1,MAX(0,INDEX(S$150:S$153,$D167)))</f>
        <v/>
      </c>
      <c r="T167" s="19">
        <f>MIN(1,MAX(0,INDEX(T$150:T$153,$D167)))</f>
        <v/>
      </c>
      <c r="U167" s="19">
        <f>MIN(1,MAX(0,INDEX(U$150:U$153,$D167)))</f>
        <v/>
      </c>
      <c r="V167" s="19">
        <f>MIN(1,MAX(0,INDEX(V$150:V$153,$D167)))</f>
        <v/>
      </c>
      <c r="W167" s="19">
        <f>MIN(1,MAX(0,INDEX(W$150:W$153,$D167)))</f>
        <v/>
      </c>
      <c r="X167" s="19">
        <f>MIN(1,MAX(0,INDEX(X$150:X$153,$D167)))</f>
        <v/>
      </c>
      <c r="Y167" s="19">
        <f>MIN(1,MAX(0,INDEX(Y$150:Y$153,$D167)))</f>
        <v/>
      </c>
      <c r="Z167" s="19">
        <f>MIN(1,MAX(0,INDEX(Z$150:Z$153,$D167)))</f>
        <v/>
      </c>
      <c r="AA167" s="19">
        <f>MIN(1,MAX(0,INDEX(AA$150:AA$153,$D167)))</f>
        <v/>
      </c>
      <c r="AB167" s="19">
        <f>MIN(1,MAX(0,INDEX(AB$150:AB$153,$D167)))</f>
        <v/>
      </c>
      <c r="AC167" s="19">
        <f>MIN(1,MAX(0,INDEX(AC$150:AC$153,$D167)))</f>
        <v/>
      </c>
      <c r="AD167" s="19">
        <f>MIN(1,MAX(0,INDEX(AD$150:AD$153,$D167)))</f>
        <v/>
      </c>
      <c r="AE167" s="20">
        <f>OBRSHARE(INDEX(AE$150:AE$153,$D167))</f>
        <v/>
      </c>
      <c r="AG167" s="17">
        <f>CodePrefix&amp;$A167&amp;IF($C167="","","."&amp;$C167&amp;"."&amp;$B167)&amp;INDEX(VarEnd,MATCH($A167,VarKey,0))&amp;AG$5</f>
        <v/>
      </c>
      <c r="AH167" s="18">
        <f>MIN(1,MAX(0,INDEX(AH$150:AH$153,$D167)))</f>
        <v/>
      </c>
      <c r="AI167" s="19">
        <f>MIN(1,MAX(0,INDEX(AI$150:AI$153,$D167)))</f>
        <v/>
      </c>
      <c r="AJ167" s="19">
        <f>MIN(1,MAX(0,INDEX(AJ$150:AJ$153,$D167)))</f>
        <v/>
      </c>
      <c r="AK167" s="19">
        <f>MIN(1,MAX(0,INDEX(AK$150:AK$153,$D167)))</f>
        <v/>
      </c>
      <c r="AL167" s="19">
        <f>MIN(1,MAX(0,INDEX(AL$150:AL$153,$D167)))</f>
        <v/>
      </c>
      <c r="AM167" s="19">
        <f>MIN(1,MAX(0,INDEX(AM$150:AM$153,$D167)))</f>
        <v/>
      </c>
      <c r="AN167" s="19">
        <f>MIN(1,MAX(0,INDEX(AN$150:AN$153,$D167)))</f>
        <v/>
      </c>
      <c r="AO167" s="19">
        <f>MIN(1,MAX(0,INDEX(AO$150:AO$153,$D167)))</f>
        <v/>
      </c>
      <c r="AP167" s="19">
        <f>MIN(1,MAX(0,INDEX(AP$150:AP$153,$D167)))</f>
        <v/>
      </c>
      <c r="AQ167" s="19">
        <f>MIN(1,MAX(0,INDEX(AQ$150:AQ$153,$D167)))</f>
        <v/>
      </c>
      <c r="AR167" s="19">
        <f>MIN(1,MAX(0,INDEX(AR$150:AR$153,$D167)))</f>
        <v/>
      </c>
      <c r="AS167" s="19">
        <f>MIN(1,MAX(0,INDEX(AS$150:AS$153,$D167)))</f>
        <v/>
      </c>
      <c r="AT167" s="19">
        <f>MIN(1,MAX(0,INDEX(AT$150:AT$153,$D167)))</f>
        <v/>
      </c>
      <c r="AU167" s="19">
        <f>MIN(1,MAX(0,INDEX(AU$150:AU$153,$D167)))</f>
        <v/>
      </c>
      <c r="AV167" s="19">
        <f>MIN(1,MAX(0,INDEX(AV$150:AV$153,$D167)))</f>
        <v/>
      </c>
      <c r="AW167" s="19">
        <f>MIN(1,MAX(0,INDEX(AW$150:AW$153,$D167)))</f>
        <v/>
      </c>
      <c r="AX167" s="19">
        <f>MIN(1,MAX(0,INDEX(AX$150:AX$153,$D167)))</f>
        <v/>
      </c>
      <c r="AY167" s="19">
        <f>MIN(1,MAX(0,INDEX(AY$150:AY$153,$D167)))</f>
        <v/>
      </c>
      <c r="AZ167" s="19">
        <f>MIN(1,MAX(0,INDEX(AZ$150:AZ$153,$D167)))</f>
        <v/>
      </c>
      <c r="BA167" s="20">
        <f>OBRSHARE(INDEX(BA$150:BA$153,$D167))</f>
        <v/>
      </c>
    </row>
    <row r="168" hidden="1" outlineLevel="1">
      <c r="A168" s="1" t="inlineStr">
        <is>
          <t>obr</t>
        </is>
      </c>
      <c r="B168" s="1" t="inlineStr">
        <is>
          <t>all</t>
        </is>
      </c>
      <c r="C168" s="1" t="inlineStr">
        <is>
          <t>cst</t>
        </is>
      </c>
      <c r="D168" s="26" t="n">
        <v>4</v>
      </c>
      <c r="E168" s="27" t="n">
        <v>-0.0054897</v>
      </c>
      <c r="H168" s="1">
        <f>INDEX(VarLab,MATCH($A168,VarKey,0))&amp;INDEX(MemLab,MATCH($C168&amp;"|"&amp;$B168,MemKey,0))</f>
        <v/>
      </c>
      <c r="I168" s="1">
        <f>INDEX(VarUnit,MATCH($A168,VarKey,0))</f>
        <v/>
      </c>
      <c r="J168" s="1">
        <f>INDEX(VarSrc,MATCH($A168,VarKey,0))</f>
        <v/>
      </c>
      <c r="K168" s="17">
        <f>CodePrefix&amp;$A168&amp;IF($C168="","","."&amp;$C168&amp;"."&amp;$B168)&amp;INDEX(VarEnd,MATCH($A168,VarKey,0))&amp;K$5</f>
        <v/>
      </c>
      <c r="L168" s="18">
        <f>MIN(1,MAX(0,INDEX(L$150:L$153,$D168)))</f>
        <v/>
      </c>
      <c r="M168" s="19">
        <f>MIN(1,MAX(0,INDEX(M$150:M$153,$D168)))</f>
        <v/>
      </c>
      <c r="N168" s="19">
        <f>MIN(1,MAX(0,INDEX(N$150:N$153,$D168)))</f>
        <v/>
      </c>
      <c r="O168" s="19">
        <f>MIN(1,MAX(0,INDEX(O$150:O$153,$D168)))</f>
        <v/>
      </c>
      <c r="P168" s="19">
        <f>MIN(1,MAX(0,INDEX(P$150:P$153,$D168)))</f>
        <v/>
      </c>
      <c r="Q168" s="19">
        <f>MIN(1,MAX(0,INDEX(Q$150:Q$153,$D168)))</f>
        <v/>
      </c>
      <c r="R168" s="19">
        <f>MIN(1,MAX(0,INDEX(R$150:R$153,$D168)))</f>
        <v/>
      </c>
      <c r="S168" s="19">
        <f>MIN(1,MAX(0,INDEX(S$150:S$153,$D168)))</f>
        <v/>
      </c>
      <c r="T168" s="19">
        <f>MIN(1,MAX(0,INDEX(T$150:T$153,$D168)))</f>
        <v/>
      </c>
      <c r="U168" s="19">
        <f>MIN(1,MAX(0,INDEX(U$150:U$153,$D168)))</f>
        <v/>
      </c>
      <c r="V168" s="19">
        <f>MIN(1,MAX(0,INDEX(V$150:V$153,$D168)))</f>
        <v/>
      </c>
      <c r="W168" s="19">
        <f>MIN(1,MAX(0,INDEX(W$150:W$153,$D168)))</f>
        <v/>
      </c>
      <c r="X168" s="19">
        <f>MIN(1,MAX(0,INDEX(X$150:X$153,$D168)))</f>
        <v/>
      </c>
      <c r="Y168" s="19">
        <f>MIN(1,MAX(0,INDEX(Y$150:Y$153,$D168)))</f>
        <v/>
      </c>
      <c r="Z168" s="19">
        <f>MIN(1,MAX(0,INDEX(Z$150:Z$153,$D168)))</f>
        <v/>
      </c>
      <c r="AA168" s="19">
        <f>MIN(1,MAX(0,INDEX(AA$150:AA$153,$D168)))</f>
        <v/>
      </c>
      <c r="AB168" s="19">
        <f>MIN(1,MAX(0,INDEX(AB$150:AB$153,$D168)))</f>
        <v/>
      </c>
      <c r="AC168" s="19">
        <f>MIN(1,MAX(0,INDEX(AC$150:AC$153,$D168)))</f>
        <v/>
      </c>
      <c r="AD168" s="19">
        <f>MIN(1,MAX(0,INDEX(AD$150:AD$153,$D168)))</f>
        <v/>
      </c>
      <c r="AE168" s="20">
        <f>OBRSHARE(INDEX(AE$150:AE$153,$D168))</f>
        <v/>
      </c>
      <c r="AG168" s="17">
        <f>CodePrefix&amp;$A168&amp;IF($C168="","","."&amp;$C168&amp;"."&amp;$B168)&amp;INDEX(VarEnd,MATCH($A168,VarKey,0))&amp;AG$5</f>
        <v/>
      </c>
      <c r="AH168" s="18">
        <f>MIN(1,MAX(0,INDEX(AH$150:AH$153,$D168)))</f>
        <v/>
      </c>
      <c r="AI168" s="19">
        <f>MIN(1,MAX(0,INDEX(AI$150:AI$153,$D168)))</f>
        <v/>
      </c>
      <c r="AJ168" s="19">
        <f>MIN(1,MAX(0,INDEX(AJ$150:AJ$153,$D168)))</f>
        <v/>
      </c>
      <c r="AK168" s="19">
        <f>MIN(1,MAX(0,INDEX(AK$150:AK$153,$D168)))</f>
        <v/>
      </c>
      <c r="AL168" s="19">
        <f>MIN(1,MAX(0,INDEX(AL$150:AL$153,$D168)))</f>
        <v/>
      </c>
      <c r="AM168" s="19">
        <f>MIN(1,MAX(0,INDEX(AM$150:AM$153,$D168)))</f>
        <v/>
      </c>
      <c r="AN168" s="19">
        <f>MIN(1,MAX(0,INDEX(AN$150:AN$153,$D168)))</f>
        <v/>
      </c>
      <c r="AO168" s="19">
        <f>MIN(1,MAX(0,INDEX(AO$150:AO$153,$D168)))</f>
        <v/>
      </c>
      <c r="AP168" s="19">
        <f>MIN(1,MAX(0,INDEX(AP$150:AP$153,$D168)))</f>
        <v/>
      </c>
      <c r="AQ168" s="19">
        <f>MIN(1,MAX(0,INDEX(AQ$150:AQ$153,$D168)))</f>
        <v/>
      </c>
      <c r="AR168" s="19">
        <f>MIN(1,MAX(0,INDEX(AR$150:AR$153,$D168)))</f>
        <v/>
      </c>
      <c r="AS168" s="19">
        <f>MIN(1,MAX(0,INDEX(AS$150:AS$153,$D168)))</f>
        <v/>
      </c>
      <c r="AT168" s="19">
        <f>MIN(1,MAX(0,INDEX(AT$150:AT$153,$D168)))</f>
        <v/>
      </c>
      <c r="AU168" s="19">
        <f>MIN(1,MAX(0,INDEX(AU$150:AU$153,$D168)))</f>
        <v/>
      </c>
      <c r="AV168" s="19">
        <f>MIN(1,MAX(0,INDEX(AV$150:AV$153,$D168)))</f>
        <v/>
      </c>
      <c r="AW168" s="19">
        <f>MIN(1,MAX(0,INDEX(AW$150:AW$153,$D168)))</f>
        <v/>
      </c>
      <c r="AX168" s="19">
        <f>MIN(1,MAX(0,INDEX(AX$150:AX$153,$D168)))</f>
        <v/>
      </c>
      <c r="AY168" s="19">
        <f>MIN(1,MAX(0,INDEX(AY$150:AY$153,$D168)))</f>
        <v/>
      </c>
      <c r="AZ168" s="19">
        <f>MIN(1,MAX(0,INDEX(AZ$150:AZ$153,$D168)))</f>
        <v/>
      </c>
      <c r="BA168" s="20">
        <f>OBRSHARE(INDEX(BA$150:BA$153,$D168))</f>
        <v/>
      </c>
    </row>
    <row r="169" hidden="1" outlineLevel="1">
      <c r="A169" s="1" t="inlineStr">
        <is>
          <t>obr</t>
        </is>
      </c>
      <c r="B169" s="1" t="inlineStr">
        <is>
          <t>all</t>
        </is>
      </c>
      <c r="C169" s="1" t="inlineStr">
        <is>
          <t>ftr</t>
        </is>
      </c>
      <c r="D169" s="26" t="n">
        <v>4</v>
      </c>
      <c r="E169" s="27" t="n">
        <v>-0.0054897</v>
      </c>
      <c r="H169" s="1">
        <f>INDEX(VarLab,MATCH($A169,VarKey,0))&amp;INDEX(MemLab,MATCH($C169&amp;"|"&amp;$B169,MemKey,0))</f>
        <v/>
      </c>
      <c r="I169" s="1">
        <f>INDEX(VarUnit,MATCH($A169,VarKey,0))</f>
        <v/>
      </c>
      <c r="J169" s="1">
        <f>INDEX(VarSrc,MATCH($A169,VarKey,0))</f>
        <v/>
      </c>
      <c r="K169" s="17">
        <f>CodePrefix&amp;$A169&amp;IF($C169="","","."&amp;$C169&amp;"."&amp;$B169)&amp;INDEX(VarEnd,MATCH($A169,VarKey,0))&amp;K$5</f>
        <v/>
      </c>
      <c r="L169" s="18">
        <f>MIN(1,MAX(0,INDEX(L$150:L$153,$D169)))</f>
        <v/>
      </c>
      <c r="M169" s="19">
        <f>MIN(1,MAX(0,INDEX(M$150:M$153,$D169)))</f>
        <v/>
      </c>
      <c r="N169" s="19">
        <f>MIN(1,MAX(0,INDEX(N$150:N$153,$D169)))</f>
        <v/>
      </c>
      <c r="O169" s="19">
        <f>MIN(1,MAX(0,INDEX(O$150:O$153,$D169)))</f>
        <v/>
      </c>
      <c r="P169" s="19">
        <f>MIN(1,MAX(0,INDEX(P$150:P$153,$D169)))</f>
        <v/>
      </c>
      <c r="Q169" s="19">
        <f>MIN(1,MAX(0,INDEX(Q$150:Q$153,$D169)))</f>
        <v/>
      </c>
      <c r="R169" s="19">
        <f>MIN(1,MAX(0,INDEX(R$150:R$153,$D169)))</f>
        <v/>
      </c>
      <c r="S169" s="19">
        <f>MIN(1,MAX(0,INDEX(S$150:S$153,$D169)))</f>
        <v/>
      </c>
      <c r="T169" s="19">
        <f>MIN(1,MAX(0,INDEX(T$150:T$153,$D169)))</f>
        <v/>
      </c>
      <c r="U169" s="19">
        <f>MIN(1,MAX(0,INDEX(U$150:U$153,$D169)))</f>
        <v/>
      </c>
      <c r="V169" s="19">
        <f>MIN(1,MAX(0,INDEX(V$150:V$153,$D169)))</f>
        <v/>
      </c>
      <c r="W169" s="19">
        <f>MIN(1,MAX(0,INDEX(W$150:W$153,$D169)))</f>
        <v/>
      </c>
      <c r="X169" s="19">
        <f>MIN(1,MAX(0,INDEX(X$150:X$153,$D169)))</f>
        <v/>
      </c>
      <c r="Y169" s="19">
        <f>MIN(1,MAX(0,INDEX(Y$150:Y$153,$D169)))</f>
        <v/>
      </c>
      <c r="Z169" s="19">
        <f>MIN(1,MAX(0,INDEX(Z$150:Z$153,$D169)))</f>
        <v/>
      </c>
      <c r="AA169" s="19">
        <f>MIN(1,MAX(0,INDEX(AA$150:AA$153,$D169)))</f>
        <v/>
      </c>
      <c r="AB169" s="19">
        <f>MIN(1,MAX(0,INDEX(AB$150:AB$153,$D169)))</f>
        <v/>
      </c>
      <c r="AC169" s="19">
        <f>MIN(1,MAX(0,INDEX(AC$150:AC$153,$D169)))</f>
        <v/>
      </c>
      <c r="AD169" s="19">
        <f>MIN(1,MAX(0,INDEX(AD$150:AD$153,$D169)))</f>
        <v/>
      </c>
      <c r="AE169" s="20">
        <f>OBRSHARE(INDEX(AE$150:AE$153,$D169))</f>
        <v/>
      </c>
      <c r="AG169" s="17">
        <f>CodePrefix&amp;$A169&amp;IF($C169="","","."&amp;$C169&amp;"."&amp;$B169)&amp;INDEX(VarEnd,MATCH($A169,VarKey,0))&amp;AG$5</f>
        <v/>
      </c>
      <c r="AH169" s="18">
        <f>MIN(1,MAX(0,INDEX(AH$150:AH$153,$D169)))</f>
        <v/>
      </c>
      <c r="AI169" s="19">
        <f>MIN(1,MAX(0,INDEX(AI$150:AI$153,$D169)))</f>
        <v/>
      </c>
      <c r="AJ169" s="19">
        <f>MIN(1,MAX(0,INDEX(AJ$150:AJ$153,$D169)))</f>
        <v/>
      </c>
      <c r="AK169" s="19">
        <f>MIN(1,MAX(0,INDEX(AK$150:AK$153,$D169)))</f>
        <v/>
      </c>
      <c r="AL169" s="19">
        <f>MIN(1,MAX(0,INDEX(AL$150:AL$153,$D169)))</f>
        <v/>
      </c>
      <c r="AM169" s="19">
        <f>MIN(1,MAX(0,INDEX(AM$150:AM$153,$D169)))</f>
        <v/>
      </c>
      <c r="AN169" s="19">
        <f>MIN(1,MAX(0,INDEX(AN$150:AN$153,$D169)))</f>
        <v/>
      </c>
      <c r="AO169" s="19">
        <f>MIN(1,MAX(0,INDEX(AO$150:AO$153,$D169)))</f>
        <v/>
      </c>
      <c r="AP169" s="19">
        <f>MIN(1,MAX(0,INDEX(AP$150:AP$153,$D169)))</f>
        <v/>
      </c>
      <c r="AQ169" s="19">
        <f>MIN(1,MAX(0,INDEX(AQ$150:AQ$153,$D169)))</f>
        <v/>
      </c>
      <c r="AR169" s="19">
        <f>MIN(1,MAX(0,INDEX(AR$150:AR$153,$D169)))</f>
        <v/>
      </c>
      <c r="AS169" s="19">
        <f>MIN(1,MAX(0,INDEX(AS$150:AS$153,$D169)))</f>
        <v/>
      </c>
      <c r="AT169" s="19">
        <f>MIN(1,MAX(0,INDEX(AT$150:AT$153,$D169)))</f>
        <v/>
      </c>
      <c r="AU169" s="19">
        <f>MIN(1,MAX(0,INDEX(AU$150:AU$153,$D169)))</f>
        <v/>
      </c>
      <c r="AV169" s="19">
        <f>MIN(1,MAX(0,INDEX(AV$150:AV$153,$D169)))</f>
        <v/>
      </c>
      <c r="AW169" s="19">
        <f>MIN(1,MAX(0,INDEX(AW$150:AW$153,$D169)))</f>
        <v/>
      </c>
      <c r="AX169" s="19">
        <f>MIN(1,MAX(0,INDEX(AX$150:AX$153,$D169)))</f>
        <v/>
      </c>
      <c r="AY169" s="19">
        <f>MIN(1,MAX(0,INDEX(AY$150:AY$153,$D169)))</f>
        <v/>
      </c>
      <c r="AZ169" s="19">
        <f>MIN(1,MAX(0,INDEX(AZ$150:AZ$153,$D169)))</f>
        <v/>
      </c>
      <c r="BA169" s="20">
        <f>OBRSHARE(INDEX(BA$150:BA$153,$D169))</f>
        <v/>
      </c>
    </row>
    <row r="170" hidden="1" outlineLevel="1">
      <c r="A170" s="1" t="inlineStr">
        <is>
          <t>obr</t>
        </is>
      </c>
      <c r="B170" s="1" t="inlineStr">
        <is>
          <t>all</t>
        </is>
      </c>
      <c r="C170" s="1" t="inlineStr">
        <is>
          <t>oen</t>
        </is>
      </c>
      <c r="D170" s="26" t="n">
        <v>4</v>
      </c>
      <c r="E170" s="27" t="n">
        <v>-0.0054897</v>
      </c>
      <c r="H170" s="1">
        <f>INDEX(VarLab,MATCH($A170,VarKey,0))&amp;INDEX(MemLab,MATCH($C170&amp;"|"&amp;$B170,MemKey,0))</f>
        <v/>
      </c>
      <c r="I170" s="1">
        <f>INDEX(VarUnit,MATCH($A170,VarKey,0))</f>
        <v/>
      </c>
      <c r="J170" s="1">
        <f>INDEX(VarSrc,MATCH($A170,VarKey,0))</f>
        <v/>
      </c>
      <c r="K170" s="17">
        <f>CodePrefix&amp;$A170&amp;IF($C170="","","."&amp;$C170&amp;"."&amp;$B170)&amp;INDEX(VarEnd,MATCH($A170,VarKey,0))&amp;K$5</f>
        <v/>
      </c>
      <c r="L170" s="18">
        <f>MIN(1,MAX(0,INDEX(L$150:L$153,$D170)))</f>
        <v/>
      </c>
      <c r="M170" s="19">
        <f>MIN(1,MAX(0,INDEX(M$150:M$153,$D170)))</f>
        <v/>
      </c>
      <c r="N170" s="19">
        <f>MIN(1,MAX(0,INDEX(N$150:N$153,$D170)))</f>
        <v/>
      </c>
      <c r="O170" s="19">
        <f>MIN(1,MAX(0,INDEX(O$150:O$153,$D170)))</f>
        <v/>
      </c>
      <c r="P170" s="19">
        <f>MIN(1,MAX(0,INDEX(P$150:P$153,$D170)))</f>
        <v/>
      </c>
      <c r="Q170" s="19">
        <f>MIN(1,MAX(0,INDEX(Q$150:Q$153,$D170)))</f>
        <v/>
      </c>
      <c r="R170" s="19">
        <f>MIN(1,MAX(0,INDEX(R$150:R$153,$D170)))</f>
        <v/>
      </c>
      <c r="S170" s="19">
        <f>MIN(1,MAX(0,INDEX(S$150:S$153,$D170)))</f>
        <v/>
      </c>
      <c r="T170" s="19">
        <f>MIN(1,MAX(0,INDEX(T$150:T$153,$D170)))</f>
        <v/>
      </c>
      <c r="U170" s="19">
        <f>MIN(1,MAX(0,INDEX(U$150:U$153,$D170)))</f>
        <v/>
      </c>
      <c r="V170" s="19">
        <f>MIN(1,MAX(0,INDEX(V$150:V$153,$D170)))</f>
        <v/>
      </c>
      <c r="W170" s="19">
        <f>MIN(1,MAX(0,INDEX(W$150:W$153,$D170)))</f>
        <v/>
      </c>
      <c r="X170" s="19">
        <f>MIN(1,MAX(0,INDEX(X$150:X$153,$D170)))</f>
        <v/>
      </c>
      <c r="Y170" s="19">
        <f>MIN(1,MAX(0,INDEX(Y$150:Y$153,$D170)))</f>
        <v/>
      </c>
      <c r="Z170" s="19">
        <f>MIN(1,MAX(0,INDEX(Z$150:Z$153,$D170)))</f>
        <v/>
      </c>
      <c r="AA170" s="19">
        <f>MIN(1,MAX(0,INDEX(AA$150:AA$153,$D170)))</f>
        <v/>
      </c>
      <c r="AB170" s="19">
        <f>MIN(1,MAX(0,INDEX(AB$150:AB$153,$D170)))</f>
        <v/>
      </c>
      <c r="AC170" s="19">
        <f>MIN(1,MAX(0,INDEX(AC$150:AC$153,$D170)))</f>
        <v/>
      </c>
      <c r="AD170" s="19">
        <f>MIN(1,MAX(0,INDEX(AD$150:AD$153,$D170)))</f>
        <v/>
      </c>
      <c r="AE170" s="20">
        <f>OBRSHARE(INDEX(AE$150:AE$153,$D170))</f>
        <v/>
      </c>
      <c r="AG170" s="17">
        <f>CodePrefix&amp;$A170&amp;IF($C170="","","."&amp;$C170&amp;"."&amp;$B170)&amp;INDEX(VarEnd,MATCH($A170,VarKey,0))&amp;AG$5</f>
        <v/>
      </c>
      <c r="AH170" s="18">
        <f>MIN(1,MAX(0,INDEX(AH$150:AH$153,$D170)))</f>
        <v/>
      </c>
      <c r="AI170" s="19">
        <f>MIN(1,MAX(0,INDEX(AI$150:AI$153,$D170)))</f>
        <v/>
      </c>
      <c r="AJ170" s="19">
        <f>MIN(1,MAX(0,INDEX(AJ$150:AJ$153,$D170)))</f>
        <v/>
      </c>
      <c r="AK170" s="19">
        <f>MIN(1,MAX(0,INDEX(AK$150:AK$153,$D170)))</f>
        <v/>
      </c>
      <c r="AL170" s="19">
        <f>MIN(1,MAX(0,INDEX(AL$150:AL$153,$D170)))</f>
        <v/>
      </c>
      <c r="AM170" s="19">
        <f>MIN(1,MAX(0,INDEX(AM$150:AM$153,$D170)))</f>
        <v/>
      </c>
      <c r="AN170" s="19">
        <f>MIN(1,MAX(0,INDEX(AN$150:AN$153,$D170)))</f>
        <v/>
      </c>
      <c r="AO170" s="19">
        <f>MIN(1,MAX(0,INDEX(AO$150:AO$153,$D170)))</f>
        <v/>
      </c>
      <c r="AP170" s="19">
        <f>MIN(1,MAX(0,INDEX(AP$150:AP$153,$D170)))</f>
        <v/>
      </c>
      <c r="AQ170" s="19">
        <f>MIN(1,MAX(0,INDEX(AQ$150:AQ$153,$D170)))</f>
        <v/>
      </c>
      <c r="AR170" s="19">
        <f>MIN(1,MAX(0,INDEX(AR$150:AR$153,$D170)))</f>
        <v/>
      </c>
      <c r="AS170" s="19">
        <f>MIN(1,MAX(0,INDEX(AS$150:AS$153,$D170)))</f>
        <v/>
      </c>
      <c r="AT170" s="19">
        <f>MIN(1,MAX(0,INDEX(AT$150:AT$153,$D170)))</f>
        <v/>
      </c>
      <c r="AU170" s="19">
        <f>MIN(1,MAX(0,INDEX(AU$150:AU$153,$D170)))</f>
        <v/>
      </c>
      <c r="AV170" s="19">
        <f>MIN(1,MAX(0,INDEX(AV$150:AV$153,$D170)))</f>
        <v/>
      </c>
      <c r="AW170" s="19">
        <f>MIN(1,MAX(0,INDEX(AW$150:AW$153,$D170)))</f>
        <v/>
      </c>
      <c r="AX170" s="19">
        <f>MIN(1,MAX(0,INDEX(AX$150:AX$153,$D170)))</f>
        <v/>
      </c>
      <c r="AY170" s="19">
        <f>MIN(1,MAX(0,INDEX(AY$150:AY$153,$D170)))</f>
        <v/>
      </c>
      <c r="AZ170" s="19">
        <f>MIN(1,MAX(0,INDEX(AZ$150:AZ$153,$D170)))</f>
        <v/>
      </c>
      <c r="BA170" s="20">
        <f>OBRSHARE(INDEX(BA$150:BA$153,$D170))</f>
        <v/>
      </c>
    </row>
    <row r="171" hidden="1" outlineLevel="1">
      <c r="H171" s="21" t="inlineStr">
        <is>
          <t>Baseline CO2 by ETS sector (MtCO2, data: values of scenario 1 rows co2.sec, section 13; refreshed by the build; check row bco2.chk)</t>
        </is>
      </c>
    </row>
    <row r="172" hidden="1" outlineLevel="1">
      <c r="A172" s="14" t="inlineStr">
        <is>
          <t>bco2</t>
        </is>
      </c>
      <c r="B172" s="14" t="inlineStr">
        <is>
          <t>all</t>
        </is>
      </c>
      <c r="C172" s="14" t="inlineStr">
        <is>
          <t>pow</t>
        </is>
      </c>
      <c r="H172" s="14">
        <f>INDEX(VarLab,MATCH($A172,VarKey,0))&amp;INDEX(MemLab,MATCH($C172&amp;"|"&amp;$B172,MemKey,0))</f>
        <v/>
      </c>
      <c r="I172" s="14">
        <f>INDEX(VarUnit,MATCH($A172,VarKey,0))</f>
        <v/>
      </c>
      <c r="J172" s="14">
        <f>INDEX(VarSrc,MATCH($A172,VarKey,0))</f>
        <v/>
      </c>
      <c r="K172" s="11">
        <f>CodePrefix&amp;$A172&amp;IF($C172="","","."&amp;$C172&amp;"."&amp;$B172)&amp;INDEX(VarEnd,MATCH($A172,VarKey,0))&amp;K$5</f>
        <v/>
      </c>
      <c r="L172" s="28" t="n">
        <v>90.0555728903077</v>
      </c>
      <c r="M172" s="28" t="n">
        <v>109.773438008111</v>
      </c>
      <c r="N172" s="28" t="n">
        <v>109.709445856162</v>
      </c>
      <c r="O172" s="28" t="n">
        <v>117.814351495904</v>
      </c>
      <c r="P172" s="28" t="n">
        <v>110.046267323691</v>
      </c>
      <c r="Q172" s="28" t="n">
        <v>111.299379989023</v>
      </c>
      <c r="R172" s="28" t="n">
        <v>109.83027738594</v>
      </c>
      <c r="S172" s="28" t="n">
        <v>114.762468591198</v>
      </c>
      <c r="T172" s="28" t="n">
        <v>116.479380553165</v>
      </c>
      <c r="U172" s="28" t="n">
        <v>119.899928619122</v>
      </c>
      <c r="V172" s="28" t="n">
        <v>122.192752653206</v>
      </c>
      <c r="W172" s="28" t="n">
        <v>125.237971819094</v>
      </c>
      <c r="X172" s="28" t="n">
        <v>127.974231265522</v>
      </c>
      <c r="Y172" s="28" t="n">
        <v>131.03206016833</v>
      </c>
      <c r="Z172" s="28" t="n">
        <v>134.031732714288</v>
      </c>
      <c r="AA172" s="28" t="n">
        <v>137.191334460068</v>
      </c>
      <c r="AB172" s="28" t="n">
        <v>140.372576359361</v>
      </c>
      <c r="AC172" s="28" t="n">
        <v>143.645073028209</v>
      </c>
      <c r="AD172" s="28" t="n">
        <v>146.911636016823</v>
      </c>
      <c r="AE172" s="28" t="n">
        <v>150.194301515909</v>
      </c>
      <c r="AG172" s="11">
        <f>CodePrefix&amp;$A172&amp;IF($C172="","","."&amp;$C172&amp;"."&amp;$B172)&amp;INDEX(VarEnd,MATCH($A172,VarKey,0))&amp;AG$5</f>
        <v/>
      </c>
      <c r="AH172" s="28" t="n">
        <v>90.0555728903077</v>
      </c>
      <c r="AI172" s="28" t="n">
        <v>109.773438008111</v>
      </c>
      <c r="AJ172" s="28" t="n">
        <v>109.709445856162</v>
      </c>
      <c r="AK172" s="28" t="n">
        <v>117.814351495904</v>
      </c>
      <c r="AL172" s="28" t="n">
        <v>110.046267323691</v>
      </c>
      <c r="AM172" s="28" t="n">
        <v>111.299379989023</v>
      </c>
      <c r="AN172" s="28" t="n">
        <v>109.83027738594</v>
      </c>
      <c r="AO172" s="28" t="n">
        <v>114.762468591198</v>
      </c>
      <c r="AP172" s="28" t="n">
        <v>116.479380553165</v>
      </c>
      <c r="AQ172" s="28" t="n">
        <v>119.899928619122</v>
      </c>
      <c r="AR172" s="28" t="n">
        <v>122.192752653206</v>
      </c>
      <c r="AS172" s="28" t="n">
        <v>125.237971819094</v>
      </c>
      <c r="AT172" s="28" t="n">
        <v>127.974231265522</v>
      </c>
      <c r="AU172" s="28" t="n">
        <v>131.03206016833</v>
      </c>
      <c r="AV172" s="28" t="n">
        <v>134.031732714288</v>
      </c>
      <c r="AW172" s="28" t="n">
        <v>137.191334460068</v>
      </c>
      <c r="AX172" s="28" t="n">
        <v>140.372576359361</v>
      </c>
      <c r="AY172" s="28" t="n">
        <v>143.645073028209</v>
      </c>
      <c r="AZ172" s="28" t="n">
        <v>146.911636016823</v>
      </c>
      <c r="BA172" s="28" t="n">
        <v>150.194301515909</v>
      </c>
    </row>
    <row r="173" hidden="1" outlineLevel="1">
      <c r="A173" s="14" t="inlineStr">
        <is>
          <t>bco2</t>
        </is>
      </c>
      <c r="B173" s="14" t="inlineStr">
        <is>
          <t>all</t>
        </is>
      </c>
      <c r="C173" s="14" t="inlineStr">
        <is>
          <t>rod</t>
        </is>
      </c>
      <c r="H173" s="14">
        <f>INDEX(VarLab,MATCH($A173,VarKey,0))&amp;INDEX(MemLab,MATCH($C173&amp;"|"&amp;$B173,MemKey,0))</f>
        <v/>
      </c>
      <c r="I173" s="14">
        <f>INDEX(VarUnit,MATCH($A173,VarKey,0))</f>
        <v/>
      </c>
      <c r="J173" s="14">
        <f>INDEX(VarSrc,MATCH($A173,VarKey,0))</f>
        <v/>
      </c>
      <c r="K173" s="11">
        <f>CodePrefix&amp;$A173&amp;IF($C173="","","."&amp;$C173&amp;"."&amp;$B173)&amp;INDEX(VarEnd,MATCH($A173,VarKey,0))&amp;K$5</f>
        <v/>
      </c>
      <c r="L173" s="28" t="n">
        <v>52.5221342744396</v>
      </c>
      <c r="M173" s="28" t="n">
        <v>66.4283044394931</v>
      </c>
      <c r="N173" s="28" t="n">
        <v>73.6038040387822</v>
      </c>
      <c r="O173" s="28" t="n">
        <v>75.1677390822651</v>
      </c>
      <c r="P173" s="28" t="n">
        <v>76.6935733874071</v>
      </c>
      <c r="Q173" s="28" t="n">
        <v>78.5339885029816</v>
      </c>
      <c r="R173" s="28" t="n">
        <v>80.7657722221003</v>
      </c>
      <c r="S173" s="28" t="n">
        <v>82.9061350982399</v>
      </c>
      <c r="T173" s="28" t="n">
        <v>84.90452904559569</v>
      </c>
      <c r="U173" s="28" t="n">
        <v>86.92359111577591</v>
      </c>
      <c r="V173" s="28" t="n">
        <v>88.96248490327071</v>
      </c>
      <c r="W173" s="28" t="n">
        <v>91.0203328843687</v>
      </c>
      <c r="X173" s="28" t="n">
        <v>93.09621654651259</v>
      </c>
      <c r="Y173" s="28" t="n">
        <v>95.18917659044</v>
      </c>
      <c r="Z173" s="28" t="n">
        <v>97.29821320661949</v>
      </c>
      <c r="AA173" s="28" t="n">
        <v>99.4222864273508</v>
      </c>
      <c r="AB173" s="28" t="n">
        <v>101.560316555756</v>
      </c>
      <c r="AC173" s="28" t="n">
        <v>103.711184672735</v>
      </c>
      <c r="AD173" s="28" t="n">
        <v>105.873733222802</v>
      </c>
      <c r="AE173" s="28" t="n">
        <v>108.046766679545</v>
      </c>
      <c r="AG173" s="11">
        <f>CodePrefix&amp;$A173&amp;IF($C173="","","."&amp;$C173&amp;"."&amp;$B173)&amp;INDEX(VarEnd,MATCH($A173,VarKey,0))&amp;AG$5</f>
        <v/>
      </c>
      <c r="AH173" s="28" t="n">
        <v>52.5221342744396</v>
      </c>
      <c r="AI173" s="28" t="n">
        <v>66.4283044394931</v>
      </c>
      <c r="AJ173" s="28" t="n">
        <v>73.6038040387822</v>
      </c>
      <c r="AK173" s="28" t="n">
        <v>75.1677390822651</v>
      </c>
      <c r="AL173" s="28" t="n">
        <v>76.6935733874071</v>
      </c>
      <c r="AM173" s="28" t="n">
        <v>78.5339885029816</v>
      </c>
      <c r="AN173" s="28" t="n">
        <v>80.7657722221003</v>
      </c>
      <c r="AO173" s="28" t="n">
        <v>82.9061350982399</v>
      </c>
      <c r="AP173" s="28" t="n">
        <v>84.90452904559569</v>
      </c>
      <c r="AQ173" s="28" t="n">
        <v>86.92359111577591</v>
      </c>
      <c r="AR173" s="28" t="n">
        <v>88.96248490327071</v>
      </c>
      <c r="AS173" s="28" t="n">
        <v>91.0203328843687</v>
      </c>
      <c r="AT173" s="28" t="n">
        <v>93.09621654651259</v>
      </c>
      <c r="AU173" s="28" t="n">
        <v>95.18917659044</v>
      </c>
      <c r="AV173" s="28" t="n">
        <v>97.29821320661949</v>
      </c>
      <c r="AW173" s="28" t="n">
        <v>99.4222864273508</v>
      </c>
      <c r="AX173" s="28" t="n">
        <v>101.560316555756</v>
      </c>
      <c r="AY173" s="28" t="n">
        <v>103.711184672735</v>
      </c>
      <c r="AZ173" s="28" t="n">
        <v>105.873733222802</v>
      </c>
      <c r="BA173" s="28" t="n">
        <v>108.046766679545</v>
      </c>
    </row>
    <row r="174" hidden="1" outlineLevel="1">
      <c r="A174" s="14" t="inlineStr">
        <is>
          <t>bco2</t>
        </is>
      </c>
      <c r="B174" s="14" t="inlineStr">
        <is>
          <t>all</t>
        </is>
      </c>
      <c r="C174" s="14" t="inlineStr">
        <is>
          <t>ral</t>
        </is>
      </c>
      <c r="H174" s="14">
        <f>INDEX(VarLab,MATCH($A174,VarKey,0))&amp;INDEX(MemLab,MATCH($C174&amp;"|"&amp;$B174,MemKey,0))</f>
        <v/>
      </c>
      <c r="I174" s="14">
        <f>INDEX(VarUnit,MATCH($A174,VarKey,0))</f>
        <v/>
      </c>
      <c r="J174" s="14">
        <f>INDEX(VarSrc,MATCH($A174,VarKey,0))</f>
        <v/>
      </c>
      <c r="K174" s="11">
        <f>CodePrefix&amp;$A174&amp;IF($C174="","","."&amp;$C174&amp;"."&amp;$B174)&amp;INDEX(VarEnd,MATCH($A174,VarKey,0))&amp;K$5</f>
        <v/>
      </c>
      <c r="L174" s="28" t="n">
        <v>0</v>
      </c>
      <c r="M174" s="28" t="n">
        <v>0</v>
      </c>
      <c r="N174" s="28" t="n">
        <v>0</v>
      </c>
      <c r="O174" s="28" t="n">
        <v>0</v>
      </c>
      <c r="P174" s="28" t="n">
        <v>0</v>
      </c>
      <c r="Q174" s="28" t="n">
        <v>0</v>
      </c>
      <c r="R174" s="28" t="n">
        <v>0</v>
      </c>
      <c r="S174" s="28" t="n">
        <v>0</v>
      </c>
      <c r="T174" s="28" t="n">
        <v>0</v>
      </c>
      <c r="U174" s="28" t="n">
        <v>0</v>
      </c>
      <c r="V174" s="28" t="n">
        <v>0</v>
      </c>
      <c r="W174" s="28" t="n">
        <v>0</v>
      </c>
      <c r="X174" s="28" t="n">
        <v>0</v>
      </c>
      <c r="Y174" s="28" t="n">
        <v>0</v>
      </c>
      <c r="Z174" s="28" t="n">
        <v>0</v>
      </c>
      <c r="AA174" s="28" t="n">
        <v>0</v>
      </c>
      <c r="AB174" s="28" t="n">
        <v>0</v>
      </c>
      <c r="AC174" s="28" t="n">
        <v>0</v>
      </c>
      <c r="AD174" s="28" t="n">
        <v>0</v>
      </c>
      <c r="AE174" s="28" t="n">
        <v>0</v>
      </c>
      <c r="AG174" s="11">
        <f>CodePrefix&amp;$A174&amp;IF($C174="","","."&amp;$C174&amp;"."&amp;$B174)&amp;INDEX(VarEnd,MATCH($A174,VarKey,0))&amp;AG$5</f>
        <v/>
      </c>
      <c r="AH174" s="28" t="n">
        <v>0</v>
      </c>
      <c r="AI174" s="28" t="n">
        <v>0</v>
      </c>
      <c r="AJ174" s="28" t="n">
        <v>0</v>
      </c>
      <c r="AK174" s="28" t="n">
        <v>0</v>
      </c>
      <c r="AL174" s="28" t="n">
        <v>0</v>
      </c>
      <c r="AM174" s="28" t="n">
        <v>0</v>
      </c>
      <c r="AN174" s="28" t="n">
        <v>0</v>
      </c>
      <c r="AO174" s="28" t="n">
        <v>0</v>
      </c>
      <c r="AP174" s="28" t="n">
        <v>0</v>
      </c>
      <c r="AQ174" s="28" t="n">
        <v>0</v>
      </c>
      <c r="AR174" s="28" t="n">
        <v>0</v>
      </c>
      <c r="AS174" s="28" t="n">
        <v>0</v>
      </c>
      <c r="AT174" s="28" t="n">
        <v>0</v>
      </c>
      <c r="AU174" s="28" t="n">
        <v>0</v>
      </c>
      <c r="AV174" s="28" t="n">
        <v>0</v>
      </c>
      <c r="AW174" s="28" t="n">
        <v>0</v>
      </c>
      <c r="AX174" s="28" t="n">
        <v>0</v>
      </c>
      <c r="AY174" s="28" t="n">
        <v>0</v>
      </c>
      <c r="AZ174" s="28" t="n">
        <v>0</v>
      </c>
      <c r="BA174" s="28" t="n">
        <v>0</v>
      </c>
    </row>
    <row r="175" hidden="1" outlineLevel="1">
      <c r="A175" s="14" t="inlineStr">
        <is>
          <t>bco2</t>
        </is>
      </c>
      <c r="B175" s="14" t="inlineStr">
        <is>
          <t>all</t>
        </is>
      </c>
      <c r="C175" s="14" t="inlineStr">
        <is>
          <t>avi</t>
        </is>
      </c>
      <c r="H175" s="14">
        <f>INDEX(VarLab,MATCH($A175,VarKey,0))&amp;INDEX(MemLab,MATCH($C175&amp;"|"&amp;$B175,MemKey,0))</f>
        <v/>
      </c>
      <c r="I175" s="14">
        <f>INDEX(VarUnit,MATCH($A175,VarKey,0))</f>
        <v/>
      </c>
      <c r="J175" s="14">
        <f>INDEX(VarSrc,MATCH($A175,VarKey,0))</f>
        <v/>
      </c>
      <c r="K175" s="11">
        <f>CodePrefix&amp;$A175&amp;IF($C175="","","."&amp;$C175&amp;"."&amp;$B175)&amp;INDEX(VarEnd,MATCH($A175,VarKey,0))&amp;K$5</f>
        <v/>
      </c>
      <c r="L175" s="28" t="n">
        <v>0</v>
      </c>
      <c r="M175" s="28" t="n">
        <v>0</v>
      </c>
      <c r="N175" s="28" t="n">
        <v>0</v>
      </c>
      <c r="O175" s="28" t="n">
        <v>0</v>
      </c>
      <c r="P175" s="28" t="n">
        <v>0</v>
      </c>
      <c r="Q175" s="28" t="n">
        <v>0</v>
      </c>
      <c r="R175" s="28" t="n">
        <v>0</v>
      </c>
      <c r="S175" s="28" t="n">
        <v>0</v>
      </c>
      <c r="T175" s="28" t="n">
        <v>0</v>
      </c>
      <c r="U175" s="28" t="n">
        <v>0</v>
      </c>
      <c r="V175" s="28" t="n">
        <v>0</v>
      </c>
      <c r="W175" s="28" t="n">
        <v>0</v>
      </c>
      <c r="X175" s="28" t="n">
        <v>0</v>
      </c>
      <c r="Y175" s="28" t="n">
        <v>0</v>
      </c>
      <c r="Z175" s="28" t="n">
        <v>0</v>
      </c>
      <c r="AA175" s="28" t="n">
        <v>0</v>
      </c>
      <c r="AB175" s="28" t="n">
        <v>0</v>
      </c>
      <c r="AC175" s="28" t="n">
        <v>0</v>
      </c>
      <c r="AD175" s="28" t="n">
        <v>0</v>
      </c>
      <c r="AE175" s="28" t="n">
        <v>0</v>
      </c>
      <c r="AG175" s="11">
        <f>CodePrefix&amp;$A175&amp;IF($C175="","","."&amp;$C175&amp;"."&amp;$B175)&amp;INDEX(VarEnd,MATCH($A175,VarKey,0))&amp;AG$5</f>
        <v/>
      </c>
      <c r="AH175" s="28" t="n">
        <v>0</v>
      </c>
      <c r="AI175" s="28" t="n">
        <v>0</v>
      </c>
      <c r="AJ175" s="28" t="n">
        <v>0</v>
      </c>
      <c r="AK175" s="28" t="n">
        <v>0</v>
      </c>
      <c r="AL175" s="28" t="n">
        <v>0</v>
      </c>
      <c r="AM175" s="28" t="n">
        <v>0</v>
      </c>
      <c r="AN175" s="28" t="n">
        <v>0</v>
      </c>
      <c r="AO175" s="28" t="n">
        <v>0</v>
      </c>
      <c r="AP175" s="28" t="n">
        <v>0</v>
      </c>
      <c r="AQ175" s="28" t="n">
        <v>0</v>
      </c>
      <c r="AR175" s="28" t="n">
        <v>0</v>
      </c>
      <c r="AS175" s="28" t="n">
        <v>0</v>
      </c>
      <c r="AT175" s="28" t="n">
        <v>0</v>
      </c>
      <c r="AU175" s="28" t="n">
        <v>0</v>
      </c>
      <c r="AV175" s="28" t="n">
        <v>0</v>
      </c>
      <c r="AW175" s="28" t="n">
        <v>0</v>
      </c>
      <c r="AX175" s="28" t="n">
        <v>0</v>
      </c>
      <c r="AY175" s="28" t="n">
        <v>0</v>
      </c>
      <c r="AZ175" s="28" t="n">
        <v>0</v>
      </c>
      <c r="BA175" s="28" t="n">
        <v>0</v>
      </c>
    </row>
    <row r="176" hidden="1" outlineLevel="1">
      <c r="A176" s="14" t="inlineStr">
        <is>
          <t>bco2</t>
        </is>
      </c>
      <c r="B176" s="14" t="inlineStr">
        <is>
          <t>all</t>
        </is>
      </c>
      <c r="C176" s="14" t="inlineStr">
        <is>
          <t>nav</t>
        </is>
      </c>
      <c r="H176" s="14">
        <f>INDEX(VarLab,MATCH($A176,VarKey,0))&amp;INDEX(MemLab,MATCH($C176&amp;"|"&amp;$B176,MemKey,0))</f>
        <v/>
      </c>
      <c r="I176" s="14">
        <f>INDEX(VarUnit,MATCH($A176,VarKey,0))</f>
        <v/>
      </c>
      <c r="J176" s="14">
        <f>INDEX(VarSrc,MATCH($A176,VarKey,0))</f>
        <v/>
      </c>
      <c r="K176" s="11">
        <f>CodePrefix&amp;$A176&amp;IF($C176="","","."&amp;$C176&amp;"."&amp;$B176)&amp;INDEX(VarEnd,MATCH($A176,VarKey,0))&amp;K$5</f>
        <v/>
      </c>
      <c r="L176" s="28" t="n">
        <v>0.861846448934145</v>
      </c>
      <c r="M176" s="28" t="n">
        <v>1.00641075806903</v>
      </c>
      <c r="N176" s="28" t="n">
        <v>1.09607563877478</v>
      </c>
      <c r="O176" s="28" t="n">
        <v>1.12655040007758</v>
      </c>
      <c r="P176" s="28" t="n">
        <v>1.15651749467657</v>
      </c>
      <c r="Q176" s="28" t="n">
        <v>1.19265030055513</v>
      </c>
      <c r="R176" s="28" t="n">
        <v>1.23653499622103</v>
      </c>
      <c r="S176" s="28" t="n">
        <v>1.27903344487792</v>
      </c>
      <c r="T176" s="28" t="n">
        <v>1.31912141002136</v>
      </c>
      <c r="U176" s="28" t="n">
        <v>1.35991413848556</v>
      </c>
      <c r="V176" s="28" t="n">
        <v>1.40139954048564</v>
      </c>
      <c r="W176" s="28" t="n">
        <v>1.44356427291846</v>
      </c>
      <c r="X176" s="28" t="n">
        <v>1.48639372222498</v>
      </c>
      <c r="Y176" s="28" t="n">
        <v>1.52987198937823</v>
      </c>
      <c r="Z176" s="28" t="n">
        <v>1.57398187710191</v>
      </c>
      <c r="AA176" s="28" t="n">
        <v>1.61870487942162</v>
      </c>
      <c r="AB176" s="28" t="n">
        <v>1.66402117364684</v>
      </c>
      <c r="AC176" s="28" t="n">
        <v>1.70990961487787</v>
      </c>
      <c r="AD176" s="28" t="n">
        <v>1.75634773312722</v>
      </c>
      <c r="AE176" s="28" t="n">
        <v>1.80331173314008</v>
      </c>
      <c r="AG176" s="11">
        <f>CodePrefix&amp;$A176&amp;IF($C176="","","."&amp;$C176&amp;"."&amp;$B176)&amp;INDEX(VarEnd,MATCH($A176,VarKey,0))&amp;AG$5</f>
        <v/>
      </c>
      <c r="AH176" s="28" t="n">
        <v>0.861846448934145</v>
      </c>
      <c r="AI176" s="28" t="n">
        <v>1.00641075806903</v>
      </c>
      <c r="AJ176" s="28" t="n">
        <v>1.09607563877478</v>
      </c>
      <c r="AK176" s="28" t="n">
        <v>1.12655040007758</v>
      </c>
      <c r="AL176" s="28" t="n">
        <v>1.15651749467657</v>
      </c>
      <c r="AM176" s="28" t="n">
        <v>1.19265030055513</v>
      </c>
      <c r="AN176" s="28" t="n">
        <v>1.23653499622103</v>
      </c>
      <c r="AO176" s="28" t="n">
        <v>1.27903344487792</v>
      </c>
      <c r="AP176" s="28" t="n">
        <v>1.31912141002136</v>
      </c>
      <c r="AQ176" s="28" t="n">
        <v>1.35991413848556</v>
      </c>
      <c r="AR176" s="28" t="n">
        <v>1.40139954048564</v>
      </c>
      <c r="AS176" s="28" t="n">
        <v>1.44356427291846</v>
      </c>
      <c r="AT176" s="28" t="n">
        <v>1.48639372222498</v>
      </c>
      <c r="AU176" s="28" t="n">
        <v>1.52987198937823</v>
      </c>
      <c r="AV176" s="28" t="n">
        <v>1.57398187710191</v>
      </c>
      <c r="AW176" s="28" t="n">
        <v>1.61870487942162</v>
      </c>
      <c r="AX176" s="28" t="n">
        <v>1.66402117364684</v>
      </c>
      <c r="AY176" s="28" t="n">
        <v>1.70990961487787</v>
      </c>
      <c r="AZ176" s="28" t="n">
        <v>1.75634773312722</v>
      </c>
      <c r="BA176" s="28" t="n">
        <v>1.80331173314008</v>
      </c>
    </row>
    <row r="177" hidden="1" outlineLevel="1">
      <c r="A177" s="14" t="inlineStr">
        <is>
          <t>bco2</t>
        </is>
      </c>
      <c r="B177" s="14" t="inlineStr">
        <is>
          <t>all</t>
        </is>
      </c>
      <c r="C177" s="14" t="inlineStr">
        <is>
          <t>res</t>
        </is>
      </c>
      <c r="H177" s="14">
        <f>INDEX(VarLab,MATCH($A177,VarKey,0))&amp;INDEX(MemLab,MATCH($C177&amp;"|"&amp;$B177,MemKey,0))</f>
        <v/>
      </c>
      <c r="I177" s="14">
        <f>INDEX(VarUnit,MATCH($A177,VarKey,0))</f>
        <v/>
      </c>
      <c r="J177" s="14">
        <f>INDEX(VarSrc,MATCH($A177,VarKey,0))</f>
        <v/>
      </c>
      <c r="K177" s="11">
        <f>CodePrefix&amp;$A177&amp;IF($C177="","","."&amp;$C177&amp;"."&amp;$B177)&amp;INDEX(VarEnd,MATCH($A177,VarKey,0))&amp;K$5</f>
        <v/>
      </c>
      <c r="L177" s="28" t="n">
        <v>13.9097651046928</v>
      </c>
      <c r="M177" s="28" t="n">
        <v>18.9260559375562</v>
      </c>
      <c r="N177" s="28" t="n">
        <v>21.7010608607895</v>
      </c>
      <c r="O177" s="28" t="n">
        <v>22.0086721356785</v>
      </c>
      <c r="P177" s="28" t="n">
        <v>22.3067647075671</v>
      </c>
      <c r="Q177" s="28" t="n">
        <v>22.6645360361588</v>
      </c>
      <c r="R177" s="28" t="n">
        <v>23.0955238836537</v>
      </c>
      <c r="S177" s="28" t="n">
        <v>23.5059255507827</v>
      </c>
      <c r="T177" s="28" t="n">
        <v>23.8866723758763</v>
      </c>
      <c r="U177" s="28" t="n">
        <v>24.2690416568405</v>
      </c>
      <c r="V177" s="28" t="n">
        <v>24.6528689224724</v>
      </c>
      <c r="W177" s="28" t="n">
        <v>25.038026950377</v>
      </c>
      <c r="X177" s="28" t="n">
        <v>25.42436377418</v>
      </c>
      <c r="Y177" s="28" t="n">
        <v>25.8117234885675</v>
      </c>
      <c r="Z177" s="28" t="n">
        <v>26.1999463193464</v>
      </c>
      <c r="AA177" s="28" t="n">
        <v>26.5888686998777</v>
      </c>
      <c r="AB177" s="28" t="n">
        <v>26.9783233539045</v>
      </c>
      <c r="AC177" s="28" t="n">
        <v>27.3681393847871</v>
      </c>
      <c r="AD177" s="28" t="n">
        <v>27.758142371143</v>
      </c>
      <c r="AE177" s="28" t="n">
        <v>28.1481544688824</v>
      </c>
      <c r="AG177" s="11">
        <f>CodePrefix&amp;$A177&amp;IF($C177="","","."&amp;$C177&amp;"."&amp;$B177)&amp;INDEX(VarEnd,MATCH($A177,VarKey,0))&amp;AG$5</f>
        <v/>
      </c>
      <c r="AH177" s="28" t="n">
        <v>13.9097651046928</v>
      </c>
      <c r="AI177" s="28" t="n">
        <v>18.9260559375562</v>
      </c>
      <c r="AJ177" s="28" t="n">
        <v>21.7010608607895</v>
      </c>
      <c r="AK177" s="28" t="n">
        <v>22.0086721356785</v>
      </c>
      <c r="AL177" s="28" t="n">
        <v>22.3067647075671</v>
      </c>
      <c r="AM177" s="28" t="n">
        <v>22.6645360361588</v>
      </c>
      <c r="AN177" s="28" t="n">
        <v>23.0955238836537</v>
      </c>
      <c r="AO177" s="28" t="n">
        <v>23.5059255507827</v>
      </c>
      <c r="AP177" s="28" t="n">
        <v>23.8866723758763</v>
      </c>
      <c r="AQ177" s="28" t="n">
        <v>24.2690416568405</v>
      </c>
      <c r="AR177" s="28" t="n">
        <v>24.6528689224724</v>
      </c>
      <c r="AS177" s="28" t="n">
        <v>25.038026950377</v>
      </c>
      <c r="AT177" s="28" t="n">
        <v>25.42436377418</v>
      </c>
      <c r="AU177" s="28" t="n">
        <v>25.8117234885675</v>
      </c>
      <c r="AV177" s="28" t="n">
        <v>26.1999463193464</v>
      </c>
      <c r="AW177" s="28" t="n">
        <v>26.5888686998777</v>
      </c>
      <c r="AX177" s="28" t="n">
        <v>26.9783233539045</v>
      </c>
      <c r="AY177" s="28" t="n">
        <v>27.3681393847871</v>
      </c>
      <c r="AZ177" s="28" t="n">
        <v>27.758142371143</v>
      </c>
      <c r="BA177" s="28" t="n">
        <v>28.1481544688824</v>
      </c>
    </row>
    <row r="178" hidden="1" outlineLevel="1">
      <c r="A178" s="14" t="inlineStr">
        <is>
          <t>bco2</t>
        </is>
      </c>
      <c r="B178" s="14" t="inlineStr">
        <is>
          <t>all</t>
        </is>
      </c>
      <c r="C178" s="14" t="inlineStr">
        <is>
          <t>foo</t>
        </is>
      </c>
      <c r="H178" s="14">
        <f>INDEX(VarLab,MATCH($A178,VarKey,0))&amp;INDEX(MemLab,MATCH($C178&amp;"|"&amp;$B178,MemKey,0))</f>
        <v/>
      </c>
      <c r="I178" s="14">
        <f>INDEX(VarUnit,MATCH($A178,VarKey,0))</f>
        <v/>
      </c>
      <c r="J178" s="14">
        <f>INDEX(VarSrc,MATCH($A178,VarKey,0))</f>
        <v/>
      </c>
      <c r="K178" s="11">
        <f>CodePrefix&amp;$A178&amp;IF($C178="","","."&amp;$C178&amp;"."&amp;$B178)&amp;INDEX(VarEnd,MATCH($A178,VarKey,0))&amp;K$5</f>
        <v/>
      </c>
      <c r="L178" s="28" t="n">
        <v>2.84982907621843</v>
      </c>
      <c r="M178" s="28" t="n">
        <v>3.80088032998096</v>
      </c>
      <c r="N178" s="28" t="n">
        <v>4.16865262755248</v>
      </c>
      <c r="O178" s="28" t="n">
        <v>4.24866243763824</v>
      </c>
      <c r="P178" s="28" t="n">
        <v>4.32703986210839</v>
      </c>
      <c r="Q178" s="28" t="n">
        <v>4.41931569173199</v>
      </c>
      <c r="R178" s="28" t="n">
        <v>4.52874627118082</v>
      </c>
      <c r="S178" s="28" t="n">
        <v>4.63409242674815</v>
      </c>
      <c r="T178" s="28" t="n">
        <v>4.73320954553406</v>
      </c>
      <c r="U178" s="28" t="n">
        <v>4.83322294235752</v>
      </c>
      <c r="V178" s="28" t="n">
        <v>4.9340997551117</v>
      </c>
      <c r="W178" s="28" t="n">
        <v>5.03580572705457</v>
      </c>
      <c r="X178" s="28" t="n">
        <v>5.13830521183808</v>
      </c>
      <c r="Y178" s="28" t="n">
        <v>5.24156118045651</v>
      </c>
      <c r="Z178" s="28" t="n">
        <v>5.34553523014637</v>
      </c>
      <c r="AA178" s="28" t="n">
        <v>5.45018759526717</v>
      </c>
      <c r="AB178" s="28" t="n">
        <v>5.55547716018965</v>
      </c>
      <c r="AC178" s="28" t="n">
        <v>5.66136147421499</v>
      </c>
      <c r="AD178" s="28" t="n">
        <v>5.76779676854536</v>
      </c>
      <c r="AE178" s="28" t="n">
        <v>5.87473797532281</v>
      </c>
      <c r="AG178" s="11">
        <f>CodePrefix&amp;$A178&amp;IF($C178="","","."&amp;$C178&amp;"."&amp;$B178)&amp;INDEX(VarEnd,MATCH($A178,VarKey,0))&amp;AG$5</f>
        <v/>
      </c>
      <c r="AH178" s="28" t="n">
        <v>2.84982907621843</v>
      </c>
      <c r="AI178" s="28" t="n">
        <v>3.80088032998096</v>
      </c>
      <c r="AJ178" s="28" t="n">
        <v>4.16865262755248</v>
      </c>
      <c r="AK178" s="28" t="n">
        <v>4.24866243763824</v>
      </c>
      <c r="AL178" s="28" t="n">
        <v>4.32703986210839</v>
      </c>
      <c r="AM178" s="28" t="n">
        <v>4.41931569173199</v>
      </c>
      <c r="AN178" s="28" t="n">
        <v>4.52874627118082</v>
      </c>
      <c r="AO178" s="28" t="n">
        <v>4.63409242674815</v>
      </c>
      <c r="AP178" s="28" t="n">
        <v>4.73320954553406</v>
      </c>
      <c r="AQ178" s="28" t="n">
        <v>4.83322294235752</v>
      </c>
      <c r="AR178" s="28" t="n">
        <v>4.9340997551117</v>
      </c>
      <c r="AS178" s="28" t="n">
        <v>5.03580572705457</v>
      </c>
      <c r="AT178" s="28" t="n">
        <v>5.13830521183808</v>
      </c>
      <c r="AU178" s="28" t="n">
        <v>5.24156118045651</v>
      </c>
      <c r="AV178" s="28" t="n">
        <v>5.34553523014637</v>
      </c>
      <c r="AW178" s="28" t="n">
        <v>5.45018759526717</v>
      </c>
      <c r="AX178" s="28" t="n">
        <v>5.55547716018965</v>
      </c>
      <c r="AY178" s="28" t="n">
        <v>5.66136147421499</v>
      </c>
      <c r="AZ178" s="28" t="n">
        <v>5.76779676854536</v>
      </c>
      <c r="BA178" s="28" t="n">
        <v>5.87473797532281</v>
      </c>
    </row>
    <row r="179" hidden="1" outlineLevel="1">
      <c r="A179" s="14" t="inlineStr">
        <is>
          <t>bco2</t>
        </is>
      </c>
      <c r="B179" s="14" t="inlineStr">
        <is>
          <t>all</t>
        </is>
      </c>
      <c r="C179" s="14" t="inlineStr">
        <is>
          <t>srv</t>
        </is>
      </c>
      <c r="H179" s="14">
        <f>INDEX(VarLab,MATCH($A179,VarKey,0))&amp;INDEX(MemLab,MATCH($C179&amp;"|"&amp;$B179,MemKey,0))</f>
        <v/>
      </c>
      <c r="I179" s="14">
        <f>INDEX(VarUnit,MATCH($A179,VarKey,0))</f>
        <v/>
      </c>
      <c r="J179" s="14">
        <f>INDEX(VarSrc,MATCH($A179,VarKey,0))</f>
        <v/>
      </c>
      <c r="K179" s="11">
        <f>CodePrefix&amp;$A179&amp;IF($C179="","","."&amp;$C179&amp;"."&amp;$B179)&amp;INDEX(VarEnd,MATCH($A179,VarKey,0))&amp;K$5</f>
        <v/>
      </c>
      <c r="L179" s="28" t="n">
        <v>0</v>
      </c>
      <c r="M179" s="28" t="n">
        <v>0</v>
      </c>
      <c r="N179" s="28" t="n">
        <v>0</v>
      </c>
      <c r="O179" s="28" t="n">
        <v>0</v>
      </c>
      <c r="P179" s="28" t="n">
        <v>0</v>
      </c>
      <c r="Q179" s="28" t="n">
        <v>0</v>
      </c>
      <c r="R179" s="28" t="n">
        <v>0</v>
      </c>
      <c r="S179" s="28" t="n">
        <v>0</v>
      </c>
      <c r="T179" s="28" t="n">
        <v>0</v>
      </c>
      <c r="U179" s="28" t="n">
        <v>0</v>
      </c>
      <c r="V179" s="28" t="n">
        <v>0</v>
      </c>
      <c r="W179" s="28" t="n">
        <v>0</v>
      </c>
      <c r="X179" s="28" t="n">
        <v>0</v>
      </c>
      <c r="Y179" s="28" t="n">
        <v>0</v>
      </c>
      <c r="Z179" s="28" t="n">
        <v>0</v>
      </c>
      <c r="AA179" s="28" t="n">
        <v>0</v>
      </c>
      <c r="AB179" s="28" t="n">
        <v>0</v>
      </c>
      <c r="AC179" s="28" t="n">
        <v>0</v>
      </c>
      <c r="AD179" s="28" t="n">
        <v>0</v>
      </c>
      <c r="AE179" s="28" t="n">
        <v>0</v>
      </c>
      <c r="AG179" s="11">
        <f>CodePrefix&amp;$A179&amp;IF($C179="","","."&amp;$C179&amp;"."&amp;$B179)&amp;INDEX(VarEnd,MATCH($A179,VarKey,0))&amp;AG$5</f>
        <v/>
      </c>
      <c r="AH179" s="28" t="n">
        <v>0</v>
      </c>
      <c r="AI179" s="28" t="n">
        <v>0</v>
      </c>
      <c r="AJ179" s="28" t="n">
        <v>0</v>
      </c>
      <c r="AK179" s="28" t="n">
        <v>0</v>
      </c>
      <c r="AL179" s="28" t="n">
        <v>0</v>
      </c>
      <c r="AM179" s="28" t="n">
        <v>0</v>
      </c>
      <c r="AN179" s="28" t="n">
        <v>0</v>
      </c>
      <c r="AO179" s="28" t="n">
        <v>0</v>
      </c>
      <c r="AP179" s="28" t="n">
        <v>0</v>
      </c>
      <c r="AQ179" s="28" t="n">
        <v>0</v>
      </c>
      <c r="AR179" s="28" t="n">
        <v>0</v>
      </c>
      <c r="AS179" s="28" t="n">
        <v>0</v>
      </c>
      <c r="AT179" s="28" t="n">
        <v>0</v>
      </c>
      <c r="AU179" s="28" t="n">
        <v>0</v>
      </c>
      <c r="AV179" s="28" t="n">
        <v>0</v>
      </c>
      <c r="AW179" s="28" t="n">
        <v>0</v>
      </c>
      <c r="AX179" s="28" t="n">
        <v>0</v>
      </c>
      <c r="AY179" s="28" t="n">
        <v>0</v>
      </c>
      <c r="AZ179" s="28" t="n">
        <v>0</v>
      </c>
      <c r="BA179" s="28" t="n">
        <v>0</v>
      </c>
    </row>
    <row r="180" hidden="1" outlineLevel="1">
      <c r="A180" s="14" t="inlineStr">
        <is>
          <t>bco2</t>
        </is>
      </c>
      <c r="B180" s="14" t="inlineStr">
        <is>
          <t>all</t>
        </is>
      </c>
      <c r="C180" s="14" t="inlineStr">
        <is>
          <t>mch</t>
        </is>
      </c>
      <c r="H180" s="14">
        <f>INDEX(VarLab,MATCH($A180,VarKey,0))&amp;INDEX(MemLab,MATCH($C180&amp;"|"&amp;$B180,MemKey,0))</f>
        <v/>
      </c>
      <c r="I180" s="14">
        <f>INDEX(VarUnit,MATCH($A180,VarKey,0))</f>
        <v/>
      </c>
      <c r="J180" s="14">
        <f>INDEX(VarSrc,MATCH($A180,VarKey,0))</f>
        <v/>
      </c>
      <c r="K180" s="11">
        <f>CodePrefix&amp;$A180&amp;IF($C180="","","."&amp;$C180&amp;"."&amp;$B180)&amp;INDEX(VarEnd,MATCH($A180,VarKey,0))&amp;K$5</f>
        <v/>
      </c>
      <c r="L180" s="28" t="n">
        <v>0</v>
      </c>
      <c r="M180" s="28" t="n">
        <v>0</v>
      </c>
      <c r="N180" s="28" t="n">
        <v>0</v>
      </c>
      <c r="O180" s="28" t="n">
        <v>0</v>
      </c>
      <c r="P180" s="28" t="n">
        <v>0</v>
      </c>
      <c r="Q180" s="28" t="n">
        <v>0</v>
      </c>
      <c r="R180" s="28" t="n">
        <v>0</v>
      </c>
      <c r="S180" s="28" t="n">
        <v>0</v>
      </c>
      <c r="T180" s="28" t="n">
        <v>0</v>
      </c>
      <c r="U180" s="28" t="n">
        <v>0</v>
      </c>
      <c r="V180" s="28" t="n">
        <v>0</v>
      </c>
      <c r="W180" s="28" t="n">
        <v>0</v>
      </c>
      <c r="X180" s="28" t="n">
        <v>0</v>
      </c>
      <c r="Y180" s="28" t="n">
        <v>0</v>
      </c>
      <c r="Z180" s="28" t="n">
        <v>0</v>
      </c>
      <c r="AA180" s="28" t="n">
        <v>0</v>
      </c>
      <c r="AB180" s="28" t="n">
        <v>0</v>
      </c>
      <c r="AC180" s="28" t="n">
        <v>0</v>
      </c>
      <c r="AD180" s="28" t="n">
        <v>0</v>
      </c>
      <c r="AE180" s="28" t="n">
        <v>0</v>
      </c>
      <c r="AG180" s="11">
        <f>CodePrefix&amp;$A180&amp;IF($C180="","","."&amp;$C180&amp;"."&amp;$B180)&amp;INDEX(VarEnd,MATCH($A180,VarKey,0))&amp;AG$5</f>
        <v/>
      </c>
      <c r="AH180" s="28" t="n">
        <v>0</v>
      </c>
      <c r="AI180" s="28" t="n">
        <v>0</v>
      </c>
      <c r="AJ180" s="28" t="n">
        <v>0</v>
      </c>
      <c r="AK180" s="28" t="n">
        <v>0</v>
      </c>
      <c r="AL180" s="28" t="n">
        <v>0</v>
      </c>
      <c r="AM180" s="28" t="n">
        <v>0</v>
      </c>
      <c r="AN180" s="28" t="n">
        <v>0</v>
      </c>
      <c r="AO180" s="28" t="n">
        <v>0</v>
      </c>
      <c r="AP180" s="28" t="n">
        <v>0</v>
      </c>
      <c r="AQ180" s="28" t="n">
        <v>0</v>
      </c>
      <c r="AR180" s="28" t="n">
        <v>0</v>
      </c>
      <c r="AS180" s="28" t="n">
        <v>0</v>
      </c>
      <c r="AT180" s="28" t="n">
        <v>0</v>
      </c>
      <c r="AU180" s="28" t="n">
        <v>0</v>
      </c>
      <c r="AV180" s="28" t="n">
        <v>0</v>
      </c>
      <c r="AW180" s="28" t="n">
        <v>0</v>
      </c>
      <c r="AX180" s="28" t="n">
        <v>0</v>
      </c>
      <c r="AY180" s="28" t="n">
        <v>0</v>
      </c>
      <c r="AZ180" s="28" t="n">
        <v>0</v>
      </c>
      <c r="BA180" s="28" t="n">
        <v>0</v>
      </c>
    </row>
    <row r="181" hidden="1" outlineLevel="1">
      <c r="A181" s="14" t="inlineStr">
        <is>
          <t>bco2</t>
        </is>
      </c>
      <c r="B181" s="14" t="inlineStr">
        <is>
          <t>all</t>
        </is>
      </c>
      <c r="C181" s="14" t="inlineStr">
        <is>
          <t>irn</t>
        </is>
      </c>
      <c r="H181" s="14">
        <f>INDEX(VarLab,MATCH($A181,VarKey,0))&amp;INDEX(MemLab,MATCH($C181&amp;"|"&amp;$B181,MemKey,0))</f>
        <v/>
      </c>
      <c r="I181" s="14">
        <f>INDEX(VarUnit,MATCH($A181,VarKey,0))</f>
        <v/>
      </c>
      <c r="J181" s="14">
        <f>INDEX(VarSrc,MATCH($A181,VarKey,0))</f>
        <v/>
      </c>
      <c r="K181" s="11">
        <f>CodePrefix&amp;$A181&amp;IF($C181="","","."&amp;$C181&amp;"."&amp;$B181)&amp;INDEX(VarEnd,MATCH($A181,VarKey,0))&amp;K$5</f>
        <v/>
      </c>
      <c r="L181" s="28" t="n">
        <v>4.87339753552894</v>
      </c>
      <c r="M181" s="28" t="n">
        <v>5.37136222929781</v>
      </c>
      <c r="N181" s="28" t="n">
        <v>5.50358633226157</v>
      </c>
      <c r="O181" s="28" t="n">
        <v>5.73625440240189</v>
      </c>
      <c r="P181" s="28" t="n">
        <v>5.89776559497432</v>
      </c>
      <c r="Q181" s="28" t="n">
        <v>6.11611217734649</v>
      </c>
      <c r="R181" s="28" t="n">
        <v>6.39010777095866</v>
      </c>
      <c r="S181" s="28" t="n">
        <v>6.65973993560075</v>
      </c>
      <c r="T181" s="28" t="n">
        <v>6.91878500193829</v>
      </c>
      <c r="U181" s="28" t="n">
        <v>7.18499181110858</v>
      </c>
      <c r="V181" s="28" t="n">
        <v>7.45508241015428</v>
      </c>
      <c r="W181" s="28" t="n">
        <v>7.73237135404564</v>
      </c>
      <c r="X181" s="28" t="n">
        <v>8.0168803640415</v>
      </c>
      <c r="Y181" s="28" t="n">
        <v>8.308621019901951</v>
      </c>
      <c r="Z181" s="28" t="n">
        <v>8.607594303272821</v>
      </c>
      <c r="AA181" s="28" t="n">
        <v>8.9137901492431</v>
      </c>
      <c r="AB181" s="28" t="n">
        <v>9.227187007838429</v>
      </c>
      <c r="AC181" s="28" t="n">
        <v>9.54775141725306</v>
      </c>
      <c r="AD181" s="28" t="n">
        <v>9.87543759065465</v>
      </c>
      <c r="AE181" s="28" t="n">
        <v>10.210187018423</v>
      </c>
      <c r="AG181" s="11">
        <f>CodePrefix&amp;$A181&amp;IF($C181="","","."&amp;$C181&amp;"."&amp;$B181)&amp;INDEX(VarEnd,MATCH($A181,VarKey,0))&amp;AG$5</f>
        <v/>
      </c>
      <c r="AH181" s="28" t="n">
        <v>4.87339753552894</v>
      </c>
      <c r="AI181" s="28" t="n">
        <v>5.37136222929781</v>
      </c>
      <c r="AJ181" s="28" t="n">
        <v>5.50358633226157</v>
      </c>
      <c r="AK181" s="28" t="n">
        <v>5.73625440240189</v>
      </c>
      <c r="AL181" s="28" t="n">
        <v>5.89776559497432</v>
      </c>
      <c r="AM181" s="28" t="n">
        <v>6.11611217734649</v>
      </c>
      <c r="AN181" s="28" t="n">
        <v>6.39010777095866</v>
      </c>
      <c r="AO181" s="28" t="n">
        <v>6.65973993560075</v>
      </c>
      <c r="AP181" s="28" t="n">
        <v>6.91878500193829</v>
      </c>
      <c r="AQ181" s="28" t="n">
        <v>7.18499181110858</v>
      </c>
      <c r="AR181" s="28" t="n">
        <v>7.45508241015428</v>
      </c>
      <c r="AS181" s="28" t="n">
        <v>7.73237135404564</v>
      </c>
      <c r="AT181" s="28" t="n">
        <v>8.0168803640415</v>
      </c>
      <c r="AU181" s="28" t="n">
        <v>8.308621019901951</v>
      </c>
      <c r="AV181" s="28" t="n">
        <v>8.607594303272821</v>
      </c>
      <c r="AW181" s="28" t="n">
        <v>8.9137901492431</v>
      </c>
      <c r="AX181" s="28" t="n">
        <v>9.227187007838429</v>
      </c>
      <c r="AY181" s="28" t="n">
        <v>9.54775141725306</v>
      </c>
      <c r="AZ181" s="28" t="n">
        <v>9.87543759065465</v>
      </c>
      <c r="BA181" s="28" t="n">
        <v>10.210187018423</v>
      </c>
    </row>
    <row r="182" hidden="1" outlineLevel="1">
      <c r="A182" s="14" t="inlineStr">
        <is>
          <t>bco2</t>
        </is>
      </c>
      <c r="B182" s="14" t="inlineStr">
        <is>
          <t>all</t>
        </is>
      </c>
      <c r="C182" s="14" t="inlineStr">
        <is>
          <t>nfm</t>
        </is>
      </c>
      <c r="H182" s="14">
        <f>INDEX(VarLab,MATCH($A182,VarKey,0))&amp;INDEX(MemLab,MATCH($C182&amp;"|"&amp;$B182,MemKey,0))</f>
        <v/>
      </c>
      <c r="I182" s="14">
        <f>INDEX(VarUnit,MATCH($A182,VarKey,0))</f>
        <v/>
      </c>
      <c r="J182" s="14">
        <f>INDEX(VarSrc,MATCH($A182,VarKey,0))</f>
        <v/>
      </c>
      <c r="K182" s="11">
        <f>CodePrefix&amp;$A182&amp;IF($C182="","","."&amp;$C182&amp;"."&amp;$B182)&amp;INDEX(VarEnd,MATCH($A182,VarKey,0))&amp;K$5</f>
        <v/>
      </c>
      <c r="L182" s="28" t="n">
        <v>0</v>
      </c>
      <c r="M182" s="28" t="n">
        <v>0</v>
      </c>
      <c r="N182" s="28" t="n">
        <v>0</v>
      </c>
      <c r="O182" s="28" t="n">
        <v>0</v>
      </c>
      <c r="P182" s="28" t="n">
        <v>0</v>
      </c>
      <c r="Q182" s="28" t="n">
        <v>0</v>
      </c>
      <c r="R182" s="28" t="n">
        <v>0</v>
      </c>
      <c r="S182" s="28" t="n">
        <v>0</v>
      </c>
      <c r="T182" s="28" t="n">
        <v>0</v>
      </c>
      <c r="U182" s="28" t="n">
        <v>0</v>
      </c>
      <c r="V182" s="28" t="n">
        <v>0</v>
      </c>
      <c r="W182" s="28" t="n">
        <v>0</v>
      </c>
      <c r="X182" s="28" t="n">
        <v>0</v>
      </c>
      <c r="Y182" s="28" t="n">
        <v>0</v>
      </c>
      <c r="Z182" s="28" t="n">
        <v>0</v>
      </c>
      <c r="AA182" s="28" t="n">
        <v>0</v>
      </c>
      <c r="AB182" s="28" t="n">
        <v>0</v>
      </c>
      <c r="AC182" s="28" t="n">
        <v>0</v>
      </c>
      <c r="AD182" s="28" t="n">
        <v>0</v>
      </c>
      <c r="AE182" s="28" t="n">
        <v>0</v>
      </c>
      <c r="AG182" s="11">
        <f>CodePrefix&amp;$A182&amp;IF($C182="","","."&amp;$C182&amp;"."&amp;$B182)&amp;INDEX(VarEnd,MATCH($A182,VarKey,0))&amp;AG$5</f>
        <v/>
      </c>
      <c r="AH182" s="28" t="n">
        <v>0</v>
      </c>
      <c r="AI182" s="28" t="n">
        <v>0</v>
      </c>
      <c r="AJ182" s="28" t="n">
        <v>0</v>
      </c>
      <c r="AK182" s="28" t="n">
        <v>0</v>
      </c>
      <c r="AL182" s="28" t="n">
        <v>0</v>
      </c>
      <c r="AM182" s="28" t="n">
        <v>0</v>
      </c>
      <c r="AN182" s="28" t="n">
        <v>0</v>
      </c>
      <c r="AO182" s="28" t="n">
        <v>0</v>
      </c>
      <c r="AP182" s="28" t="n">
        <v>0</v>
      </c>
      <c r="AQ182" s="28" t="n">
        <v>0</v>
      </c>
      <c r="AR182" s="28" t="n">
        <v>0</v>
      </c>
      <c r="AS182" s="28" t="n">
        <v>0</v>
      </c>
      <c r="AT182" s="28" t="n">
        <v>0</v>
      </c>
      <c r="AU182" s="28" t="n">
        <v>0</v>
      </c>
      <c r="AV182" s="28" t="n">
        <v>0</v>
      </c>
      <c r="AW182" s="28" t="n">
        <v>0</v>
      </c>
      <c r="AX182" s="28" t="n">
        <v>0</v>
      </c>
      <c r="AY182" s="28" t="n">
        <v>0</v>
      </c>
      <c r="AZ182" s="28" t="n">
        <v>0</v>
      </c>
      <c r="BA182" s="28" t="n">
        <v>0</v>
      </c>
    </row>
    <row r="183" hidden="1" outlineLevel="1">
      <c r="A183" s="14" t="inlineStr">
        <is>
          <t>bco2</t>
        </is>
      </c>
      <c r="B183" s="14" t="inlineStr">
        <is>
          <t>all</t>
        </is>
      </c>
      <c r="C183" s="14" t="inlineStr">
        <is>
          <t>mac</t>
        </is>
      </c>
      <c r="H183" s="14">
        <f>INDEX(VarLab,MATCH($A183,VarKey,0))&amp;INDEX(MemLab,MATCH($C183&amp;"|"&amp;$B183,MemKey,0))</f>
        <v/>
      </c>
      <c r="I183" s="14">
        <f>INDEX(VarUnit,MATCH($A183,VarKey,0))</f>
        <v/>
      </c>
      <c r="J183" s="14">
        <f>INDEX(VarSrc,MATCH($A183,VarKey,0))</f>
        <v/>
      </c>
      <c r="K183" s="11">
        <f>CodePrefix&amp;$A183&amp;IF($C183="","","."&amp;$C183&amp;"."&amp;$B183)&amp;INDEX(VarEnd,MATCH($A183,VarKey,0))&amp;K$5</f>
        <v/>
      </c>
      <c r="L183" s="28" t="n">
        <v>0</v>
      </c>
      <c r="M183" s="28" t="n">
        <v>0</v>
      </c>
      <c r="N183" s="28" t="n">
        <v>0</v>
      </c>
      <c r="O183" s="28" t="n">
        <v>0</v>
      </c>
      <c r="P183" s="28" t="n">
        <v>0</v>
      </c>
      <c r="Q183" s="28" t="n">
        <v>0</v>
      </c>
      <c r="R183" s="28" t="n">
        <v>0</v>
      </c>
      <c r="S183" s="28" t="n">
        <v>0</v>
      </c>
      <c r="T183" s="28" t="n">
        <v>0</v>
      </c>
      <c r="U183" s="28" t="n">
        <v>0</v>
      </c>
      <c r="V183" s="28" t="n">
        <v>0</v>
      </c>
      <c r="W183" s="28" t="n">
        <v>0</v>
      </c>
      <c r="X183" s="28" t="n">
        <v>0</v>
      </c>
      <c r="Y183" s="28" t="n">
        <v>0</v>
      </c>
      <c r="Z183" s="28" t="n">
        <v>0</v>
      </c>
      <c r="AA183" s="28" t="n">
        <v>0</v>
      </c>
      <c r="AB183" s="28" t="n">
        <v>0</v>
      </c>
      <c r="AC183" s="28" t="n">
        <v>0</v>
      </c>
      <c r="AD183" s="28" t="n">
        <v>0</v>
      </c>
      <c r="AE183" s="28" t="n">
        <v>0</v>
      </c>
      <c r="AG183" s="11">
        <f>CodePrefix&amp;$A183&amp;IF($C183="","","."&amp;$C183&amp;"."&amp;$B183)&amp;INDEX(VarEnd,MATCH($A183,VarKey,0))&amp;AG$5</f>
        <v/>
      </c>
      <c r="AH183" s="28" t="n">
        <v>0</v>
      </c>
      <c r="AI183" s="28" t="n">
        <v>0</v>
      </c>
      <c r="AJ183" s="28" t="n">
        <v>0</v>
      </c>
      <c r="AK183" s="28" t="n">
        <v>0</v>
      </c>
      <c r="AL183" s="28" t="n">
        <v>0</v>
      </c>
      <c r="AM183" s="28" t="n">
        <v>0</v>
      </c>
      <c r="AN183" s="28" t="n">
        <v>0</v>
      </c>
      <c r="AO183" s="28" t="n">
        <v>0</v>
      </c>
      <c r="AP183" s="28" t="n">
        <v>0</v>
      </c>
      <c r="AQ183" s="28" t="n">
        <v>0</v>
      </c>
      <c r="AR183" s="28" t="n">
        <v>0</v>
      </c>
      <c r="AS183" s="28" t="n">
        <v>0</v>
      </c>
      <c r="AT183" s="28" t="n">
        <v>0</v>
      </c>
      <c r="AU183" s="28" t="n">
        <v>0</v>
      </c>
      <c r="AV183" s="28" t="n">
        <v>0</v>
      </c>
      <c r="AW183" s="28" t="n">
        <v>0</v>
      </c>
      <c r="AX183" s="28" t="n">
        <v>0</v>
      </c>
      <c r="AY183" s="28" t="n">
        <v>0</v>
      </c>
      <c r="AZ183" s="28" t="n">
        <v>0</v>
      </c>
      <c r="BA183" s="28" t="n">
        <v>0</v>
      </c>
    </row>
    <row r="184" hidden="1" outlineLevel="1">
      <c r="A184" s="14" t="inlineStr">
        <is>
          <t>bco2</t>
        </is>
      </c>
      <c r="B184" s="14" t="inlineStr">
        <is>
          <t>all</t>
        </is>
      </c>
      <c r="C184" s="14" t="inlineStr">
        <is>
          <t>cem</t>
        </is>
      </c>
      <c r="H184" s="14">
        <f>INDEX(VarLab,MATCH($A184,VarKey,0))&amp;INDEX(MemLab,MATCH($C184&amp;"|"&amp;$B184,MemKey,0))</f>
        <v/>
      </c>
      <c r="I184" s="14">
        <f>INDEX(VarUnit,MATCH($A184,VarKey,0))</f>
        <v/>
      </c>
      <c r="J184" s="14">
        <f>INDEX(VarSrc,MATCH($A184,VarKey,0))</f>
        <v/>
      </c>
      <c r="K184" s="11">
        <f>CodePrefix&amp;$A184&amp;IF($C184="","","."&amp;$C184&amp;"."&amp;$B184)&amp;INDEX(VarEnd,MATCH($A184,VarKey,0))&amp;K$5</f>
        <v/>
      </c>
      <c r="L184" s="28" t="n">
        <v>10.2078358275608</v>
      </c>
      <c r="M184" s="28" t="n">
        <v>11.6539336075991</v>
      </c>
      <c r="N184" s="28" t="n">
        <v>12.3232470517759</v>
      </c>
      <c r="O184" s="28" t="n">
        <v>12.9229490190539</v>
      </c>
      <c r="P184" s="28" t="n">
        <v>13.0769016814641</v>
      </c>
      <c r="Q184" s="28" t="n">
        <v>13.4153403735304</v>
      </c>
      <c r="R184" s="28" t="n">
        <v>13.8831752107525</v>
      </c>
      <c r="S184" s="28" t="n">
        <v>14.3414570005372</v>
      </c>
      <c r="T184" s="28" t="n">
        <v>14.7803764402285</v>
      </c>
      <c r="U184" s="28" t="n">
        <v>15.2280929753206</v>
      </c>
      <c r="V184" s="28" t="n">
        <v>15.6637241277223</v>
      </c>
      <c r="W184" s="28" t="n">
        <v>16.1078903859395</v>
      </c>
      <c r="X184" s="28" t="n">
        <v>16.5605541540141</v>
      </c>
      <c r="Y184" s="28" t="n">
        <v>17.0216652620882</v>
      </c>
      <c r="Z184" s="28" t="n">
        <v>17.4911605136459</v>
      </c>
      <c r="AA184" s="28" t="n">
        <v>17.9689632443528</v>
      </c>
      <c r="AB184" s="28" t="n">
        <v>18.4549828943588</v>
      </c>
      <c r="AC184" s="28" t="n">
        <v>18.949114595963</v>
      </c>
      <c r="AD184" s="28" t="n">
        <v>19.4512387785697</v>
      </c>
      <c r="AE184" s="28" t="n">
        <v>19.961220792886</v>
      </c>
      <c r="AG184" s="11">
        <f>CodePrefix&amp;$A184&amp;IF($C184="","","."&amp;$C184&amp;"."&amp;$B184)&amp;INDEX(VarEnd,MATCH($A184,VarKey,0))&amp;AG$5</f>
        <v/>
      </c>
      <c r="AH184" s="28" t="n">
        <v>10.2078358275608</v>
      </c>
      <c r="AI184" s="28" t="n">
        <v>11.6539336075991</v>
      </c>
      <c r="AJ184" s="28" t="n">
        <v>12.3232470517759</v>
      </c>
      <c r="AK184" s="28" t="n">
        <v>12.9229490190539</v>
      </c>
      <c r="AL184" s="28" t="n">
        <v>13.0769016814641</v>
      </c>
      <c r="AM184" s="28" t="n">
        <v>13.4153403735304</v>
      </c>
      <c r="AN184" s="28" t="n">
        <v>13.8831752107525</v>
      </c>
      <c r="AO184" s="28" t="n">
        <v>14.3414570005372</v>
      </c>
      <c r="AP184" s="28" t="n">
        <v>14.7803764402285</v>
      </c>
      <c r="AQ184" s="28" t="n">
        <v>15.2280929753206</v>
      </c>
      <c r="AR184" s="28" t="n">
        <v>15.6637241277223</v>
      </c>
      <c r="AS184" s="28" t="n">
        <v>16.1078903859395</v>
      </c>
      <c r="AT184" s="28" t="n">
        <v>16.5605541540141</v>
      </c>
      <c r="AU184" s="28" t="n">
        <v>17.0216652620882</v>
      </c>
      <c r="AV184" s="28" t="n">
        <v>17.4911605136459</v>
      </c>
      <c r="AW184" s="28" t="n">
        <v>17.9689632443528</v>
      </c>
      <c r="AX184" s="28" t="n">
        <v>18.4549828943588</v>
      </c>
      <c r="AY184" s="28" t="n">
        <v>18.949114595963</v>
      </c>
      <c r="AZ184" s="28" t="n">
        <v>19.4512387785697</v>
      </c>
      <c r="BA184" s="28" t="n">
        <v>19.961220792886</v>
      </c>
    </row>
    <row r="185" hidden="1" outlineLevel="1">
      <c r="A185" s="14" t="inlineStr">
        <is>
          <t>bco2</t>
        </is>
      </c>
      <c r="B185" s="14" t="inlineStr">
        <is>
          <t>all</t>
        </is>
      </c>
      <c r="C185" s="14" t="inlineStr">
        <is>
          <t>omn</t>
        </is>
      </c>
      <c r="H185" s="14">
        <f>INDEX(VarLab,MATCH($A185,VarKey,0))&amp;INDEX(MemLab,MATCH($C185&amp;"|"&amp;$B185,MemKey,0))</f>
        <v/>
      </c>
      <c r="I185" s="14">
        <f>INDEX(VarUnit,MATCH($A185,VarKey,0))</f>
        <v/>
      </c>
      <c r="J185" s="14">
        <f>INDEX(VarSrc,MATCH($A185,VarKey,0))</f>
        <v/>
      </c>
      <c r="K185" s="11">
        <f>CodePrefix&amp;$A185&amp;IF($C185="","","."&amp;$C185&amp;"."&amp;$B185)&amp;INDEX(VarEnd,MATCH($A185,VarKey,0))&amp;K$5</f>
        <v/>
      </c>
      <c r="L185" s="28" t="n">
        <v>21.3324378220208</v>
      </c>
      <c r="M185" s="28" t="n">
        <v>29.1173416819179</v>
      </c>
      <c r="N185" s="28" t="n">
        <v>32.6269238610977</v>
      </c>
      <c r="O185" s="28" t="n">
        <v>33.4479177924899</v>
      </c>
      <c r="P185" s="28" t="n">
        <v>34.2592991568354</v>
      </c>
      <c r="Q185" s="28" t="n">
        <v>35.2170796147337</v>
      </c>
      <c r="R185" s="28" t="n">
        <v>36.3578746899038</v>
      </c>
      <c r="S185" s="28" t="n">
        <v>37.4684203496411</v>
      </c>
      <c r="T185" s="28" t="n">
        <v>38.5253139165108</v>
      </c>
      <c r="U185" s="28" t="n">
        <v>39.6012771336638</v>
      </c>
      <c r="V185" s="28" t="n">
        <v>40.6961764488921</v>
      </c>
      <c r="W185" s="28" t="n">
        <v>41.8098529040456</v>
      </c>
      <c r="X185" s="28" t="n">
        <v>42.9421214444922</v>
      </c>
      <c r="Y185" s="28" t="n">
        <v>44.092770253948</v>
      </c>
      <c r="Z185" s="28" t="n">
        <v>45.2615601173413</v>
      </c>
      <c r="AA185" s="28" t="n">
        <v>46.4482238143967</v>
      </c>
      <c r="AB185" s="28" t="n">
        <v>47.6524655466436</v>
      </c>
      <c r="AC185" s="28" t="n">
        <v>48.873960400563</v>
      </c>
      <c r="AD185" s="28" t="n">
        <v>50.112353849583</v>
      </c>
      <c r="AE185" s="28" t="n">
        <v>51.3672612976239</v>
      </c>
      <c r="AG185" s="11">
        <f>CodePrefix&amp;$A185&amp;IF($C185="","","."&amp;$C185&amp;"."&amp;$B185)&amp;INDEX(VarEnd,MATCH($A185,VarKey,0))&amp;AG$5</f>
        <v/>
      </c>
      <c r="AH185" s="28" t="n">
        <v>21.3324378220208</v>
      </c>
      <c r="AI185" s="28" t="n">
        <v>29.1173416819179</v>
      </c>
      <c r="AJ185" s="28" t="n">
        <v>32.6269238610977</v>
      </c>
      <c r="AK185" s="28" t="n">
        <v>33.4479177924899</v>
      </c>
      <c r="AL185" s="28" t="n">
        <v>34.2592991568354</v>
      </c>
      <c r="AM185" s="28" t="n">
        <v>35.2170796147337</v>
      </c>
      <c r="AN185" s="28" t="n">
        <v>36.3578746899038</v>
      </c>
      <c r="AO185" s="28" t="n">
        <v>37.4684203496411</v>
      </c>
      <c r="AP185" s="28" t="n">
        <v>38.5253139165108</v>
      </c>
      <c r="AQ185" s="28" t="n">
        <v>39.6012771336638</v>
      </c>
      <c r="AR185" s="28" t="n">
        <v>40.6961764488921</v>
      </c>
      <c r="AS185" s="28" t="n">
        <v>41.8098529040456</v>
      </c>
      <c r="AT185" s="28" t="n">
        <v>42.9421214444922</v>
      </c>
      <c r="AU185" s="28" t="n">
        <v>44.092770253948</v>
      </c>
      <c r="AV185" s="28" t="n">
        <v>45.2615601173413</v>
      </c>
      <c r="AW185" s="28" t="n">
        <v>46.4482238143967</v>
      </c>
      <c r="AX185" s="28" t="n">
        <v>47.6524655466436</v>
      </c>
      <c r="AY185" s="28" t="n">
        <v>48.873960400563</v>
      </c>
      <c r="AZ185" s="28" t="n">
        <v>50.112353849583</v>
      </c>
      <c r="BA185" s="28" t="n">
        <v>51.3672612976239</v>
      </c>
    </row>
    <row r="186" hidden="1" outlineLevel="1">
      <c r="A186" s="14" t="inlineStr">
        <is>
          <t>bco2</t>
        </is>
      </c>
      <c r="B186" s="14" t="inlineStr">
        <is>
          <t>all</t>
        </is>
      </c>
      <c r="C186" s="14" t="inlineStr">
        <is>
          <t>cst</t>
        </is>
      </c>
      <c r="H186" s="14">
        <f>INDEX(VarLab,MATCH($A186,VarKey,0))&amp;INDEX(MemLab,MATCH($C186&amp;"|"&amp;$B186,MemKey,0))</f>
        <v/>
      </c>
      <c r="I186" s="14">
        <f>INDEX(VarUnit,MATCH($A186,VarKey,0))</f>
        <v/>
      </c>
      <c r="J186" s="14">
        <f>INDEX(VarSrc,MATCH($A186,VarKey,0))</f>
        <v/>
      </c>
      <c r="K186" s="11">
        <f>CodePrefix&amp;$A186&amp;IF($C186="","","."&amp;$C186&amp;"."&amp;$B186)&amp;INDEX(VarEnd,MATCH($A186,VarKey,0))&amp;K$5</f>
        <v/>
      </c>
      <c r="L186" s="28" t="n">
        <v>0</v>
      </c>
      <c r="M186" s="28" t="n">
        <v>0</v>
      </c>
      <c r="N186" s="28" t="n">
        <v>0</v>
      </c>
      <c r="O186" s="28" t="n">
        <v>0</v>
      </c>
      <c r="P186" s="28" t="n">
        <v>0</v>
      </c>
      <c r="Q186" s="28" t="n">
        <v>0</v>
      </c>
      <c r="R186" s="28" t="n">
        <v>0</v>
      </c>
      <c r="S186" s="28" t="n">
        <v>0</v>
      </c>
      <c r="T186" s="28" t="n">
        <v>0</v>
      </c>
      <c r="U186" s="28" t="n">
        <v>0</v>
      </c>
      <c r="V186" s="28" t="n">
        <v>0</v>
      </c>
      <c r="W186" s="28" t="n">
        <v>0</v>
      </c>
      <c r="X186" s="28" t="n">
        <v>0</v>
      </c>
      <c r="Y186" s="28" t="n">
        <v>0</v>
      </c>
      <c r="Z186" s="28" t="n">
        <v>0</v>
      </c>
      <c r="AA186" s="28" t="n">
        <v>0</v>
      </c>
      <c r="AB186" s="28" t="n">
        <v>0</v>
      </c>
      <c r="AC186" s="28" t="n">
        <v>0</v>
      </c>
      <c r="AD186" s="28" t="n">
        <v>0</v>
      </c>
      <c r="AE186" s="28" t="n">
        <v>0</v>
      </c>
      <c r="AG186" s="11">
        <f>CodePrefix&amp;$A186&amp;IF($C186="","","."&amp;$C186&amp;"."&amp;$B186)&amp;INDEX(VarEnd,MATCH($A186,VarKey,0))&amp;AG$5</f>
        <v/>
      </c>
      <c r="AH186" s="28" t="n">
        <v>0</v>
      </c>
      <c r="AI186" s="28" t="n">
        <v>0</v>
      </c>
      <c r="AJ186" s="28" t="n">
        <v>0</v>
      </c>
      <c r="AK186" s="28" t="n">
        <v>0</v>
      </c>
      <c r="AL186" s="28" t="n">
        <v>0</v>
      </c>
      <c r="AM186" s="28" t="n">
        <v>0</v>
      </c>
      <c r="AN186" s="28" t="n">
        <v>0</v>
      </c>
      <c r="AO186" s="28" t="n">
        <v>0</v>
      </c>
      <c r="AP186" s="28" t="n">
        <v>0</v>
      </c>
      <c r="AQ186" s="28" t="n">
        <v>0</v>
      </c>
      <c r="AR186" s="28" t="n">
        <v>0</v>
      </c>
      <c r="AS186" s="28" t="n">
        <v>0</v>
      </c>
      <c r="AT186" s="28" t="n">
        <v>0</v>
      </c>
      <c r="AU186" s="28" t="n">
        <v>0</v>
      </c>
      <c r="AV186" s="28" t="n">
        <v>0</v>
      </c>
      <c r="AW186" s="28" t="n">
        <v>0</v>
      </c>
      <c r="AX186" s="28" t="n">
        <v>0</v>
      </c>
      <c r="AY186" s="28" t="n">
        <v>0</v>
      </c>
      <c r="AZ186" s="28" t="n">
        <v>0</v>
      </c>
      <c r="BA186" s="28" t="n">
        <v>0</v>
      </c>
    </row>
    <row r="187" hidden="1" outlineLevel="1">
      <c r="A187" s="14" t="inlineStr">
        <is>
          <t>bco2</t>
        </is>
      </c>
      <c r="B187" s="14" t="inlineStr">
        <is>
          <t>all</t>
        </is>
      </c>
      <c r="C187" s="14" t="inlineStr">
        <is>
          <t>ftr</t>
        </is>
      </c>
      <c r="H187" s="14">
        <f>INDEX(VarLab,MATCH($A187,VarKey,0))&amp;INDEX(MemLab,MATCH($C187&amp;"|"&amp;$B187,MemKey,0))</f>
        <v/>
      </c>
      <c r="I187" s="14">
        <f>INDEX(VarUnit,MATCH($A187,VarKey,0))</f>
        <v/>
      </c>
      <c r="J187" s="14">
        <f>INDEX(VarSrc,MATCH($A187,VarKey,0))</f>
        <v/>
      </c>
      <c r="K187" s="11">
        <f>CodePrefix&amp;$A187&amp;IF($C187="","","."&amp;$C187&amp;"."&amp;$B187)&amp;INDEX(VarEnd,MATCH($A187,VarKey,0))&amp;K$5</f>
        <v/>
      </c>
      <c r="L187" s="28" t="n">
        <v>27.9185577233879</v>
      </c>
      <c r="M187" s="28" t="n">
        <v>34.0847245725079</v>
      </c>
      <c r="N187" s="28" t="n">
        <v>36.0604323478783</v>
      </c>
      <c r="O187" s="28" t="n">
        <v>37.2895611896501</v>
      </c>
      <c r="P187" s="28" t="n">
        <v>38.51277680768</v>
      </c>
      <c r="Q187" s="28" t="n">
        <v>39.9734154884562</v>
      </c>
      <c r="R187" s="28" t="n">
        <v>41.7350880056811</v>
      </c>
      <c r="S187" s="28" t="n">
        <v>43.465398247484</v>
      </c>
      <c r="T187" s="28" t="n">
        <v>45.1247569142451</v>
      </c>
      <c r="U187" s="28" t="n">
        <v>46.828576058396</v>
      </c>
      <c r="V187" s="28" t="n">
        <v>48.577032580613</v>
      </c>
      <c r="W187" s="28" t="n">
        <v>50.3702459050947</v>
      </c>
      <c r="X187" s="28" t="n">
        <v>52.2082753483841</v>
      </c>
      <c r="Y187" s="28" t="n">
        <v>54.0911175261456</v>
      </c>
      <c r="Z187" s="28" t="n">
        <v>56.0187038072718</v>
      </c>
      <c r="AA187" s="28" t="n">
        <v>57.9908978249269</v>
      </c>
      <c r="AB187" s="28" t="n">
        <v>60.0074930543388</v>
      </c>
      <c r="AC187" s="28" t="n">
        <v>62.0682104673249</v>
      </c>
      <c r="AD187" s="28" t="n">
        <v>64.17269627367629</v>
      </c>
      <c r="AE187" s="28" t="n">
        <v>66.3205197596309</v>
      </c>
      <c r="AG187" s="11">
        <f>CodePrefix&amp;$A187&amp;IF($C187="","","."&amp;$C187&amp;"."&amp;$B187)&amp;INDEX(VarEnd,MATCH($A187,VarKey,0))&amp;AG$5</f>
        <v/>
      </c>
      <c r="AH187" s="28" t="n">
        <v>27.9185577233879</v>
      </c>
      <c r="AI187" s="28" t="n">
        <v>34.0847245725079</v>
      </c>
      <c r="AJ187" s="28" t="n">
        <v>36.0604323478783</v>
      </c>
      <c r="AK187" s="28" t="n">
        <v>37.2895611896501</v>
      </c>
      <c r="AL187" s="28" t="n">
        <v>38.51277680768</v>
      </c>
      <c r="AM187" s="28" t="n">
        <v>39.9734154884562</v>
      </c>
      <c r="AN187" s="28" t="n">
        <v>41.7350880056811</v>
      </c>
      <c r="AO187" s="28" t="n">
        <v>43.465398247484</v>
      </c>
      <c r="AP187" s="28" t="n">
        <v>45.1247569142451</v>
      </c>
      <c r="AQ187" s="28" t="n">
        <v>46.828576058396</v>
      </c>
      <c r="AR187" s="28" t="n">
        <v>48.577032580613</v>
      </c>
      <c r="AS187" s="28" t="n">
        <v>50.3702459050947</v>
      </c>
      <c r="AT187" s="28" t="n">
        <v>52.2082753483841</v>
      </c>
      <c r="AU187" s="28" t="n">
        <v>54.0911175261456</v>
      </c>
      <c r="AV187" s="28" t="n">
        <v>56.0187038072718</v>
      </c>
      <c r="AW187" s="28" t="n">
        <v>57.9908978249269</v>
      </c>
      <c r="AX187" s="28" t="n">
        <v>60.0074930543388</v>
      </c>
      <c r="AY187" s="28" t="n">
        <v>62.0682104673249</v>
      </c>
      <c r="AZ187" s="28" t="n">
        <v>64.17269627367629</v>
      </c>
      <c r="BA187" s="28" t="n">
        <v>66.3205197596309</v>
      </c>
    </row>
    <row r="188" hidden="1" outlineLevel="1">
      <c r="A188" s="14" t="inlineStr">
        <is>
          <t>bco2</t>
        </is>
      </c>
      <c r="B188" s="14" t="inlineStr">
        <is>
          <t>all</t>
        </is>
      </c>
      <c r="C188" s="14" t="inlineStr">
        <is>
          <t>oen</t>
        </is>
      </c>
      <c r="H188" s="14">
        <f>INDEX(VarLab,MATCH($A188,VarKey,0))&amp;INDEX(MemLab,MATCH($C188&amp;"|"&amp;$B188,MemKey,0))</f>
        <v/>
      </c>
      <c r="I188" s="14">
        <f>INDEX(VarUnit,MATCH($A188,VarKey,0))</f>
        <v/>
      </c>
      <c r="J188" s="14">
        <f>INDEX(VarSrc,MATCH($A188,VarKey,0))</f>
        <v/>
      </c>
      <c r="K188" s="11">
        <f>CodePrefix&amp;$A188&amp;IF($C188="","","."&amp;$C188&amp;"."&amp;$B188)&amp;INDEX(VarEnd,MATCH($A188,VarKey,0))&amp;K$5</f>
        <v/>
      </c>
      <c r="L188" s="28" t="n">
        <v>0.323307501285192</v>
      </c>
      <c r="M188" s="28" t="n">
        <v>0.384272631658594</v>
      </c>
      <c r="N188" s="28" t="n">
        <v>0.423375096226274</v>
      </c>
      <c r="O188" s="28" t="n">
        <v>0.436878561770544</v>
      </c>
      <c r="P188" s="28" t="n">
        <v>0.450285164978255</v>
      </c>
      <c r="Q188" s="28" t="n">
        <v>0.466201727883183</v>
      </c>
      <c r="R188" s="28" t="n">
        <v>0.485280112508725</v>
      </c>
      <c r="S188" s="28" t="n">
        <v>0.503956796790976</v>
      </c>
      <c r="T188" s="28" t="n">
        <v>0.521820936475194</v>
      </c>
      <c r="U188" s="28" t="n">
        <v>0.540099212707787</v>
      </c>
      <c r="V188" s="28" t="n">
        <v>0.558790932982584</v>
      </c>
      <c r="W188" s="28" t="n">
        <v>0.57789485704034</v>
      </c>
      <c r="X188" s="28" t="n">
        <v>0.597409179427876</v>
      </c>
      <c r="Y188" s="28" t="n">
        <v>0.617331512626229</v>
      </c>
      <c r="Z188" s="28" t="n">
        <v>0.637658870810869</v>
      </c>
      <c r="AA188" s="28" t="n">
        <v>0.658387654307421</v>
      </c>
      <c r="AB188" s="28" t="n">
        <v>0.679513634806528</v>
      </c>
      <c r="AC188" s="28" t="n">
        <v>0.701031941401471</v>
      </c>
      <c r="AD188" s="28" t="n">
        <v>0.722937047511932</v>
      </c>
      <c r="AE188" s="28" t="n">
        <v>0.745222758756833</v>
      </c>
      <c r="AG188" s="11">
        <f>CodePrefix&amp;$A188&amp;IF($C188="","","."&amp;$C188&amp;"."&amp;$B188)&amp;INDEX(VarEnd,MATCH($A188,VarKey,0))&amp;AG$5</f>
        <v/>
      </c>
      <c r="AH188" s="28" t="n">
        <v>0.323307501285192</v>
      </c>
      <c r="AI188" s="28" t="n">
        <v>0.384272631658594</v>
      </c>
      <c r="AJ188" s="28" t="n">
        <v>0.423375096226274</v>
      </c>
      <c r="AK188" s="28" t="n">
        <v>0.436878561770544</v>
      </c>
      <c r="AL188" s="28" t="n">
        <v>0.450285164978255</v>
      </c>
      <c r="AM188" s="28" t="n">
        <v>0.466201727883183</v>
      </c>
      <c r="AN188" s="28" t="n">
        <v>0.485280112508725</v>
      </c>
      <c r="AO188" s="28" t="n">
        <v>0.503956796790976</v>
      </c>
      <c r="AP188" s="28" t="n">
        <v>0.521820936475194</v>
      </c>
      <c r="AQ188" s="28" t="n">
        <v>0.540099212707787</v>
      </c>
      <c r="AR188" s="28" t="n">
        <v>0.558790932982584</v>
      </c>
      <c r="AS188" s="28" t="n">
        <v>0.57789485704034</v>
      </c>
      <c r="AT188" s="28" t="n">
        <v>0.597409179427876</v>
      </c>
      <c r="AU188" s="28" t="n">
        <v>0.617331512626229</v>
      </c>
      <c r="AV188" s="28" t="n">
        <v>0.637658870810869</v>
      </c>
      <c r="AW188" s="28" t="n">
        <v>0.658387654307421</v>
      </c>
      <c r="AX188" s="28" t="n">
        <v>0.679513634806528</v>
      </c>
      <c r="AY188" s="28" t="n">
        <v>0.701031941401471</v>
      </c>
      <c r="AZ188" s="28" t="n">
        <v>0.722937047511932</v>
      </c>
      <c r="BA188" s="28" t="n">
        <v>0.745222758756833</v>
      </c>
    </row>
    <row r="189" hidden="1" outlineLevel="1">
      <c r="H189" s="21" t="inlineStr">
        <is>
          <t>ETS price: volatility and impact (Settings table), volatility adjustment, baseline covered emissions, cap change path, cap, effective semi-elasticity, fast estimate, override row (pasted values), price used, tax-equivalent price, revenue factor</t>
        </is>
      </c>
    </row>
    <row r="190" hidden="1" outlineLevel="1">
      <c r="A190" s="1" t="inlineStr">
        <is>
          <t>ets.vol</t>
        </is>
      </c>
      <c r="B190" s="1" t="inlineStr"/>
      <c r="C190" s="1" t="inlineStr"/>
      <c r="H190" s="1">
        <f>INDEX(VarLab,MATCH($A190,VarKey,0))&amp;INDEX(MemLab,MATCH($C190&amp;"|"&amp;$B190,MemKey,0))</f>
        <v/>
      </c>
      <c r="I190" s="1">
        <f>INDEX(VarUnit,MATCH($A190,VarKey,0))</f>
        <v/>
      </c>
      <c r="J190" s="1">
        <f>INDEX(VarSrc,MATCH($A190,VarKey,0))</f>
        <v/>
      </c>
      <c r="K190" s="17">
        <f>CodePrefix&amp;$A190&amp;IF($C190="","","."&amp;$C190&amp;"."&amp;$B190)&amp;INDEX(VarEnd,MATCH($A190,VarKey,0))&amp;K$5</f>
        <v/>
      </c>
      <c r="L190" s="18">
        <f>INDEX(Settings!$C$17:$F$17,MATCH(SUBSTITUTE(L$102,"*",""),Settings!$C$16:$F$16,0))</f>
        <v/>
      </c>
      <c r="M190" s="19">
        <f>INDEX(Settings!$C$17:$F$17,MATCH(SUBSTITUTE(M$102,"*",""),Settings!$C$16:$F$16,0))</f>
        <v/>
      </c>
      <c r="N190" s="19">
        <f>INDEX(Settings!$C$17:$F$17,MATCH(SUBSTITUTE(N$102,"*",""),Settings!$C$16:$F$16,0))</f>
        <v/>
      </c>
      <c r="O190" s="19">
        <f>INDEX(Settings!$C$17:$F$17,MATCH(SUBSTITUTE(O$102,"*",""),Settings!$C$16:$F$16,0))</f>
        <v/>
      </c>
      <c r="P190" s="19">
        <f>INDEX(Settings!$C$17:$F$17,MATCH(SUBSTITUTE(P$102,"*",""),Settings!$C$16:$F$16,0))</f>
        <v/>
      </c>
      <c r="Q190" s="19">
        <f>INDEX(Settings!$C$17:$F$17,MATCH(SUBSTITUTE(Q$102,"*",""),Settings!$C$16:$F$16,0))</f>
        <v/>
      </c>
      <c r="R190" s="19">
        <f>INDEX(Settings!$C$17:$F$17,MATCH(SUBSTITUTE(R$102,"*",""),Settings!$C$16:$F$16,0))</f>
        <v/>
      </c>
      <c r="S190" s="19">
        <f>INDEX(Settings!$C$17:$F$17,MATCH(SUBSTITUTE(S$102,"*",""),Settings!$C$16:$F$16,0))</f>
        <v/>
      </c>
      <c r="T190" s="19">
        <f>INDEX(Settings!$C$17:$F$17,MATCH(SUBSTITUTE(T$102,"*",""),Settings!$C$16:$F$16,0))</f>
        <v/>
      </c>
      <c r="U190" s="19">
        <f>INDEX(Settings!$C$17:$F$17,MATCH(SUBSTITUTE(U$102,"*",""),Settings!$C$16:$F$16,0))</f>
        <v/>
      </c>
      <c r="V190" s="19">
        <f>INDEX(Settings!$C$17:$F$17,MATCH(SUBSTITUTE(V$102,"*",""),Settings!$C$16:$F$16,0))</f>
        <v/>
      </c>
      <c r="W190" s="19">
        <f>INDEX(Settings!$C$17:$F$17,MATCH(SUBSTITUTE(W$102,"*",""),Settings!$C$16:$F$16,0))</f>
        <v/>
      </c>
      <c r="X190" s="19">
        <f>INDEX(Settings!$C$17:$F$17,MATCH(SUBSTITUTE(X$102,"*",""),Settings!$C$16:$F$16,0))</f>
        <v/>
      </c>
      <c r="Y190" s="19">
        <f>INDEX(Settings!$C$17:$F$17,MATCH(SUBSTITUTE(Y$102,"*",""),Settings!$C$16:$F$16,0))</f>
        <v/>
      </c>
      <c r="Z190" s="19">
        <f>INDEX(Settings!$C$17:$F$17,MATCH(SUBSTITUTE(Z$102,"*",""),Settings!$C$16:$F$16,0))</f>
        <v/>
      </c>
      <c r="AA190" s="19">
        <f>INDEX(Settings!$C$17:$F$17,MATCH(SUBSTITUTE(AA$102,"*",""),Settings!$C$16:$F$16,0))</f>
        <v/>
      </c>
      <c r="AB190" s="19">
        <f>INDEX(Settings!$C$17:$F$17,MATCH(SUBSTITUTE(AB$102,"*",""),Settings!$C$16:$F$16,0))</f>
        <v/>
      </c>
      <c r="AC190" s="19">
        <f>INDEX(Settings!$C$17:$F$17,MATCH(SUBSTITUTE(AC$102,"*",""),Settings!$C$16:$F$16,0))</f>
        <v/>
      </c>
      <c r="AD190" s="19">
        <f>INDEX(Settings!$C$17:$F$17,MATCH(SUBSTITUTE(AD$102,"*",""),Settings!$C$16:$F$16,0))</f>
        <v/>
      </c>
      <c r="AE190" s="20">
        <f>VOLPICK(AE$102,Settings!$C$17:$F$17)</f>
        <v/>
      </c>
      <c r="AG190" s="17">
        <f>CodePrefix&amp;$A190&amp;IF($C190="","","."&amp;$C190&amp;"."&amp;$B190)&amp;INDEX(VarEnd,MATCH($A190,VarKey,0))&amp;AG$5</f>
        <v/>
      </c>
      <c r="AH190" s="18">
        <f>INDEX(Settings!$C$17:$F$17,MATCH(SUBSTITUTE(AH$102,"*",""),Settings!$C$16:$F$16,0))</f>
        <v/>
      </c>
      <c r="AI190" s="19">
        <f>INDEX(Settings!$C$17:$F$17,MATCH(SUBSTITUTE(AI$102,"*",""),Settings!$C$16:$F$16,0))</f>
        <v/>
      </c>
      <c r="AJ190" s="19">
        <f>INDEX(Settings!$C$17:$F$17,MATCH(SUBSTITUTE(AJ$102,"*",""),Settings!$C$16:$F$16,0))</f>
        <v/>
      </c>
      <c r="AK190" s="19">
        <f>INDEX(Settings!$C$17:$F$17,MATCH(SUBSTITUTE(AK$102,"*",""),Settings!$C$16:$F$16,0))</f>
        <v/>
      </c>
      <c r="AL190" s="19">
        <f>INDEX(Settings!$C$17:$F$17,MATCH(SUBSTITUTE(AL$102,"*",""),Settings!$C$16:$F$16,0))</f>
        <v/>
      </c>
      <c r="AM190" s="19">
        <f>INDEX(Settings!$C$17:$F$17,MATCH(SUBSTITUTE(AM$102,"*",""),Settings!$C$16:$F$16,0))</f>
        <v/>
      </c>
      <c r="AN190" s="19">
        <f>INDEX(Settings!$C$17:$F$17,MATCH(SUBSTITUTE(AN$102,"*",""),Settings!$C$16:$F$16,0))</f>
        <v/>
      </c>
      <c r="AO190" s="19">
        <f>INDEX(Settings!$C$17:$F$17,MATCH(SUBSTITUTE(AO$102,"*",""),Settings!$C$16:$F$16,0))</f>
        <v/>
      </c>
      <c r="AP190" s="19">
        <f>INDEX(Settings!$C$17:$F$17,MATCH(SUBSTITUTE(AP$102,"*",""),Settings!$C$16:$F$16,0))</f>
        <v/>
      </c>
      <c r="AQ190" s="19">
        <f>INDEX(Settings!$C$17:$F$17,MATCH(SUBSTITUTE(AQ$102,"*",""),Settings!$C$16:$F$16,0))</f>
        <v/>
      </c>
      <c r="AR190" s="19">
        <f>INDEX(Settings!$C$17:$F$17,MATCH(SUBSTITUTE(AR$102,"*",""),Settings!$C$16:$F$16,0))</f>
        <v/>
      </c>
      <c r="AS190" s="19">
        <f>INDEX(Settings!$C$17:$F$17,MATCH(SUBSTITUTE(AS$102,"*",""),Settings!$C$16:$F$16,0))</f>
        <v/>
      </c>
      <c r="AT190" s="19">
        <f>INDEX(Settings!$C$17:$F$17,MATCH(SUBSTITUTE(AT$102,"*",""),Settings!$C$16:$F$16,0))</f>
        <v/>
      </c>
      <c r="AU190" s="19">
        <f>INDEX(Settings!$C$17:$F$17,MATCH(SUBSTITUTE(AU$102,"*",""),Settings!$C$16:$F$16,0))</f>
        <v/>
      </c>
      <c r="AV190" s="19">
        <f>INDEX(Settings!$C$17:$F$17,MATCH(SUBSTITUTE(AV$102,"*",""),Settings!$C$16:$F$16,0))</f>
        <v/>
      </c>
      <c r="AW190" s="19">
        <f>INDEX(Settings!$C$17:$F$17,MATCH(SUBSTITUTE(AW$102,"*",""),Settings!$C$16:$F$16,0))</f>
        <v/>
      </c>
      <c r="AX190" s="19">
        <f>INDEX(Settings!$C$17:$F$17,MATCH(SUBSTITUTE(AX$102,"*",""),Settings!$C$16:$F$16,0))</f>
        <v/>
      </c>
      <c r="AY190" s="19">
        <f>INDEX(Settings!$C$17:$F$17,MATCH(SUBSTITUTE(AY$102,"*",""),Settings!$C$16:$F$16,0))</f>
        <v/>
      </c>
      <c r="AZ190" s="19">
        <f>INDEX(Settings!$C$17:$F$17,MATCH(SUBSTITUTE(AZ$102,"*",""),Settings!$C$16:$F$16,0))</f>
        <v/>
      </c>
      <c r="BA190" s="20">
        <f>VOLPICK(BA$102,Settings!$C$17:$F$17)</f>
        <v/>
      </c>
    </row>
    <row r="191" hidden="1" outlineLevel="1">
      <c r="A191" s="1" t="inlineStr">
        <is>
          <t>ets.imp</t>
        </is>
      </c>
      <c r="B191" s="1" t="inlineStr"/>
      <c r="C191" s="1" t="inlineStr"/>
      <c r="H191" s="1">
        <f>INDEX(VarLab,MATCH($A191,VarKey,0))&amp;INDEX(MemLab,MATCH($C191&amp;"|"&amp;$B191,MemKey,0))</f>
        <v/>
      </c>
      <c r="I191" s="1">
        <f>INDEX(VarUnit,MATCH($A191,VarKey,0))</f>
        <v/>
      </c>
      <c r="J191" s="1">
        <f>INDEX(VarSrc,MATCH($A191,VarKey,0))</f>
        <v/>
      </c>
      <c r="K191" s="17">
        <f>CodePrefix&amp;$A191&amp;IF($C191="","","."&amp;$C191&amp;"."&amp;$B191)&amp;INDEX(VarEnd,MATCH($A191,VarKey,0))&amp;K$5</f>
        <v/>
      </c>
      <c r="L191" s="18">
        <f>INDEX(Settings!$C$18:$F$18,MATCH(SUBSTITUTE(L$103,"*",""),Settings!$C$16:$F$16,0))</f>
        <v/>
      </c>
      <c r="M191" s="19">
        <f>INDEX(Settings!$C$18:$F$18,MATCH(SUBSTITUTE(M$103,"*",""),Settings!$C$16:$F$16,0))</f>
        <v/>
      </c>
      <c r="N191" s="19">
        <f>INDEX(Settings!$C$18:$F$18,MATCH(SUBSTITUTE(N$103,"*",""),Settings!$C$16:$F$16,0))</f>
        <v/>
      </c>
      <c r="O191" s="19">
        <f>INDEX(Settings!$C$18:$F$18,MATCH(SUBSTITUTE(O$103,"*",""),Settings!$C$16:$F$16,0))</f>
        <v/>
      </c>
      <c r="P191" s="19">
        <f>INDEX(Settings!$C$18:$F$18,MATCH(SUBSTITUTE(P$103,"*",""),Settings!$C$16:$F$16,0))</f>
        <v/>
      </c>
      <c r="Q191" s="19">
        <f>INDEX(Settings!$C$18:$F$18,MATCH(SUBSTITUTE(Q$103,"*",""),Settings!$C$16:$F$16,0))</f>
        <v/>
      </c>
      <c r="R191" s="19">
        <f>INDEX(Settings!$C$18:$F$18,MATCH(SUBSTITUTE(R$103,"*",""),Settings!$C$16:$F$16,0))</f>
        <v/>
      </c>
      <c r="S191" s="19">
        <f>INDEX(Settings!$C$18:$F$18,MATCH(SUBSTITUTE(S$103,"*",""),Settings!$C$16:$F$16,0))</f>
        <v/>
      </c>
      <c r="T191" s="19">
        <f>INDEX(Settings!$C$18:$F$18,MATCH(SUBSTITUTE(T$103,"*",""),Settings!$C$16:$F$16,0))</f>
        <v/>
      </c>
      <c r="U191" s="19">
        <f>INDEX(Settings!$C$18:$F$18,MATCH(SUBSTITUTE(U$103,"*",""),Settings!$C$16:$F$16,0))</f>
        <v/>
      </c>
      <c r="V191" s="19">
        <f>INDEX(Settings!$C$18:$F$18,MATCH(SUBSTITUTE(V$103,"*",""),Settings!$C$16:$F$16,0))</f>
        <v/>
      </c>
      <c r="W191" s="19">
        <f>INDEX(Settings!$C$18:$F$18,MATCH(SUBSTITUTE(W$103,"*",""),Settings!$C$16:$F$16,0))</f>
        <v/>
      </c>
      <c r="X191" s="19">
        <f>INDEX(Settings!$C$18:$F$18,MATCH(SUBSTITUTE(X$103,"*",""),Settings!$C$16:$F$16,0))</f>
        <v/>
      </c>
      <c r="Y191" s="19">
        <f>INDEX(Settings!$C$18:$F$18,MATCH(SUBSTITUTE(Y$103,"*",""),Settings!$C$16:$F$16,0))</f>
        <v/>
      </c>
      <c r="Z191" s="19">
        <f>INDEX(Settings!$C$18:$F$18,MATCH(SUBSTITUTE(Z$103,"*",""),Settings!$C$16:$F$16,0))</f>
        <v/>
      </c>
      <c r="AA191" s="19">
        <f>INDEX(Settings!$C$18:$F$18,MATCH(SUBSTITUTE(AA$103,"*",""),Settings!$C$16:$F$16,0))</f>
        <v/>
      </c>
      <c r="AB191" s="19">
        <f>INDEX(Settings!$C$18:$F$18,MATCH(SUBSTITUTE(AB$103,"*",""),Settings!$C$16:$F$16,0))</f>
        <v/>
      </c>
      <c r="AC191" s="19">
        <f>INDEX(Settings!$C$18:$F$18,MATCH(SUBSTITUTE(AC$103,"*",""),Settings!$C$16:$F$16,0))</f>
        <v/>
      </c>
      <c r="AD191" s="19">
        <f>INDEX(Settings!$C$18:$F$18,MATCH(SUBSTITUTE(AD$103,"*",""),Settings!$C$16:$F$16,0))</f>
        <v/>
      </c>
      <c r="AE191" s="20">
        <f>VOLPICK(AE$103,Settings!$C$18:$F$18)</f>
        <v/>
      </c>
      <c r="AG191" s="17">
        <f>CodePrefix&amp;$A191&amp;IF($C191="","","."&amp;$C191&amp;"."&amp;$B191)&amp;INDEX(VarEnd,MATCH($A191,VarKey,0))&amp;AG$5</f>
        <v/>
      </c>
      <c r="AH191" s="18">
        <f>INDEX(Settings!$C$18:$F$18,MATCH(SUBSTITUTE(AH$103,"*",""),Settings!$C$16:$F$16,0))</f>
        <v/>
      </c>
      <c r="AI191" s="19">
        <f>INDEX(Settings!$C$18:$F$18,MATCH(SUBSTITUTE(AI$103,"*",""),Settings!$C$16:$F$16,0))</f>
        <v/>
      </c>
      <c r="AJ191" s="19">
        <f>INDEX(Settings!$C$18:$F$18,MATCH(SUBSTITUTE(AJ$103,"*",""),Settings!$C$16:$F$16,0))</f>
        <v/>
      </c>
      <c r="AK191" s="19">
        <f>INDEX(Settings!$C$18:$F$18,MATCH(SUBSTITUTE(AK$103,"*",""),Settings!$C$16:$F$16,0))</f>
        <v/>
      </c>
      <c r="AL191" s="19">
        <f>INDEX(Settings!$C$18:$F$18,MATCH(SUBSTITUTE(AL$103,"*",""),Settings!$C$16:$F$16,0))</f>
        <v/>
      </c>
      <c r="AM191" s="19">
        <f>INDEX(Settings!$C$18:$F$18,MATCH(SUBSTITUTE(AM$103,"*",""),Settings!$C$16:$F$16,0))</f>
        <v/>
      </c>
      <c r="AN191" s="19">
        <f>INDEX(Settings!$C$18:$F$18,MATCH(SUBSTITUTE(AN$103,"*",""),Settings!$C$16:$F$16,0))</f>
        <v/>
      </c>
      <c r="AO191" s="19">
        <f>INDEX(Settings!$C$18:$F$18,MATCH(SUBSTITUTE(AO$103,"*",""),Settings!$C$16:$F$16,0))</f>
        <v/>
      </c>
      <c r="AP191" s="19">
        <f>INDEX(Settings!$C$18:$F$18,MATCH(SUBSTITUTE(AP$103,"*",""),Settings!$C$16:$F$16,0))</f>
        <v/>
      </c>
      <c r="AQ191" s="19">
        <f>INDEX(Settings!$C$18:$F$18,MATCH(SUBSTITUTE(AQ$103,"*",""),Settings!$C$16:$F$16,0))</f>
        <v/>
      </c>
      <c r="AR191" s="19">
        <f>INDEX(Settings!$C$18:$F$18,MATCH(SUBSTITUTE(AR$103,"*",""),Settings!$C$16:$F$16,0))</f>
        <v/>
      </c>
      <c r="AS191" s="19">
        <f>INDEX(Settings!$C$18:$F$18,MATCH(SUBSTITUTE(AS$103,"*",""),Settings!$C$16:$F$16,0))</f>
        <v/>
      </c>
      <c r="AT191" s="19">
        <f>INDEX(Settings!$C$18:$F$18,MATCH(SUBSTITUTE(AT$103,"*",""),Settings!$C$16:$F$16,0))</f>
        <v/>
      </c>
      <c r="AU191" s="19">
        <f>INDEX(Settings!$C$18:$F$18,MATCH(SUBSTITUTE(AU$103,"*",""),Settings!$C$16:$F$16,0))</f>
        <v/>
      </c>
      <c r="AV191" s="19">
        <f>INDEX(Settings!$C$18:$F$18,MATCH(SUBSTITUTE(AV$103,"*",""),Settings!$C$16:$F$16,0))</f>
        <v/>
      </c>
      <c r="AW191" s="19">
        <f>INDEX(Settings!$C$18:$F$18,MATCH(SUBSTITUTE(AW$103,"*",""),Settings!$C$16:$F$16,0))</f>
        <v/>
      </c>
      <c r="AX191" s="19">
        <f>INDEX(Settings!$C$18:$F$18,MATCH(SUBSTITUTE(AX$103,"*",""),Settings!$C$16:$F$16,0))</f>
        <v/>
      </c>
      <c r="AY191" s="19">
        <f>INDEX(Settings!$C$18:$F$18,MATCH(SUBSTITUTE(AY$103,"*",""),Settings!$C$16:$F$16,0))</f>
        <v/>
      </c>
      <c r="AZ191" s="19">
        <f>INDEX(Settings!$C$18:$F$18,MATCH(SUBSTITUTE(AZ$103,"*",""),Settings!$C$16:$F$16,0))</f>
        <v/>
      </c>
      <c r="BA191" s="20">
        <f>VOLPICK(BA$103,Settings!$C$18:$F$18)</f>
        <v/>
      </c>
    </row>
    <row r="192" hidden="1" outlineLevel="1">
      <c r="A192" s="1" t="inlineStr">
        <is>
          <t>ets.vadj</t>
        </is>
      </c>
      <c r="B192" s="1" t="inlineStr"/>
      <c r="C192" s="1" t="inlineStr"/>
      <c r="H192" s="1">
        <f>INDEX(VarLab,MATCH($A192,VarKey,0))&amp;INDEX(MemLab,MATCH($C192&amp;"|"&amp;$B192,MemKey,0))</f>
        <v/>
      </c>
      <c r="I192" s="1">
        <f>INDEX(VarUnit,MATCH($A192,VarKey,0))</f>
        <v/>
      </c>
      <c r="J192" s="1">
        <f>INDEX(VarSrc,MATCH($A192,VarKey,0))</f>
        <v/>
      </c>
      <c r="K192" s="17">
        <f>CodePrefix&amp;$A192&amp;IF($C192="","","."&amp;$C192&amp;"."&amp;$B192)&amp;INDEX(VarEnd,MATCH($A192,VarKey,0))&amp;K$5</f>
        <v/>
      </c>
      <c r="L192" s="18">
        <f>(1+L$104*L$191)/(1+L$190*L$191)</f>
        <v/>
      </c>
      <c r="M192" s="19">
        <f>(1+M$104*M$191)/(1+M$190*M$191)</f>
        <v/>
      </c>
      <c r="N192" s="19">
        <f>(1+N$104*N$191)/(1+N$190*N$191)</f>
        <v/>
      </c>
      <c r="O192" s="19">
        <f>(1+O$104*O$191)/(1+O$190*O$191)</f>
        <v/>
      </c>
      <c r="P192" s="19">
        <f>(1+P$104*P$191)/(1+P$190*P$191)</f>
        <v/>
      </c>
      <c r="Q192" s="19">
        <f>(1+Q$104*Q$191)/(1+Q$190*Q$191)</f>
        <v/>
      </c>
      <c r="R192" s="19">
        <f>(1+R$104*R$191)/(1+R$190*R$191)</f>
        <v/>
      </c>
      <c r="S192" s="19">
        <f>(1+S$104*S$191)/(1+S$190*S$191)</f>
        <v/>
      </c>
      <c r="T192" s="19">
        <f>(1+T$104*T$191)/(1+T$190*T$191)</f>
        <v/>
      </c>
      <c r="U192" s="19">
        <f>(1+U$104*U$191)/(1+U$190*U$191)</f>
        <v/>
      </c>
      <c r="V192" s="19">
        <f>(1+V$104*V$191)/(1+V$190*V$191)</f>
        <v/>
      </c>
      <c r="W192" s="19">
        <f>(1+W$104*W$191)/(1+W$190*W$191)</f>
        <v/>
      </c>
      <c r="X192" s="19">
        <f>(1+X$104*X$191)/(1+X$190*X$191)</f>
        <v/>
      </c>
      <c r="Y192" s="19">
        <f>(1+Y$104*Y$191)/(1+Y$190*Y$191)</f>
        <v/>
      </c>
      <c r="Z192" s="19">
        <f>(1+Z$104*Z$191)/(1+Z$190*Z$191)</f>
        <v/>
      </c>
      <c r="AA192" s="19">
        <f>(1+AA$104*AA$191)/(1+AA$190*AA$191)</f>
        <v/>
      </c>
      <c r="AB192" s="19">
        <f>(1+AB$104*AB$191)/(1+AB$190*AB$191)</f>
        <v/>
      </c>
      <c r="AC192" s="19">
        <f>(1+AC$104*AC$191)/(1+AC$190*AC$191)</f>
        <v/>
      </c>
      <c r="AD192" s="19">
        <f>(1+AD$104*AD$191)/(1+AD$190*AD$191)</f>
        <v/>
      </c>
      <c r="AE192" s="20">
        <f>VOLADJ(AE$190,AE$191,AE$104)</f>
        <v/>
      </c>
      <c r="AG192" s="17">
        <f>CodePrefix&amp;$A192&amp;IF($C192="","","."&amp;$C192&amp;"."&amp;$B192)&amp;INDEX(VarEnd,MATCH($A192,VarKey,0))&amp;AG$5</f>
        <v/>
      </c>
      <c r="AH192" s="18">
        <f>(1+AH$104*AH$191)/(1+AH$190*AH$191)</f>
        <v/>
      </c>
      <c r="AI192" s="19">
        <f>(1+AI$104*AI$191)/(1+AI$190*AI$191)</f>
        <v/>
      </c>
      <c r="AJ192" s="19">
        <f>(1+AJ$104*AJ$191)/(1+AJ$190*AJ$191)</f>
        <v/>
      </c>
      <c r="AK192" s="19">
        <f>(1+AK$104*AK$191)/(1+AK$190*AK$191)</f>
        <v/>
      </c>
      <c r="AL192" s="19">
        <f>(1+AL$104*AL$191)/(1+AL$190*AL$191)</f>
        <v/>
      </c>
      <c r="AM192" s="19">
        <f>(1+AM$104*AM$191)/(1+AM$190*AM$191)</f>
        <v/>
      </c>
      <c r="AN192" s="19">
        <f>(1+AN$104*AN$191)/(1+AN$190*AN$191)</f>
        <v/>
      </c>
      <c r="AO192" s="19">
        <f>(1+AO$104*AO$191)/(1+AO$190*AO$191)</f>
        <v/>
      </c>
      <c r="AP192" s="19">
        <f>(1+AP$104*AP$191)/(1+AP$190*AP$191)</f>
        <v/>
      </c>
      <c r="AQ192" s="19">
        <f>(1+AQ$104*AQ$191)/(1+AQ$190*AQ$191)</f>
        <v/>
      </c>
      <c r="AR192" s="19">
        <f>(1+AR$104*AR$191)/(1+AR$190*AR$191)</f>
        <v/>
      </c>
      <c r="AS192" s="19">
        <f>(1+AS$104*AS$191)/(1+AS$190*AS$191)</f>
        <v/>
      </c>
      <c r="AT192" s="19">
        <f>(1+AT$104*AT$191)/(1+AT$190*AT$191)</f>
        <v/>
      </c>
      <c r="AU192" s="19">
        <f>(1+AU$104*AU$191)/(1+AU$190*AU$191)</f>
        <v/>
      </c>
      <c r="AV192" s="19">
        <f>(1+AV$104*AV$191)/(1+AV$190*AV$191)</f>
        <v/>
      </c>
      <c r="AW192" s="19">
        <f>(1+AW$104*AW$191)/(1+AW$190*AW$191)</f>
        <v/>
      </c>
      <c r="AX192" s="19">
        <f>(1+AX$104*AX$191)/(1+AX$190*AX$191)</f>
        <v/>
      </c>
      <c r="AY192" s="19">
        <f>(1+AY$104*AY$191)/(1+AY$190*AY$191)</f>
        <v/>
      </c>
      <c r="AZ192" s="19">
        <f>(1+AZ$104*AZ$191)/(1+AZ$190*AZ$191)</f>
        <v/>
      </c>
      <c r="BA192" s="20">
        <f>VOLADJ(BA$190,BA$191,BA$104)</f>
        <v/>
      </c>
    </row>
    <row r="193" hidden="1" outlineLevel="1">
      <c r="A193" s="1" t="inlineStr">
        <is>
          <t>ets.bce</t>
        </is>
      </c>
      <c r="B193" s="1" t="inlineStr"/>
      <c r="C193" s="1" t="inlineStr"/>
      <c r="H193" s="1">
        <f>INDEX(VarLab,MATCH($A193,VarKey,0))&amp;INDEX(MemLab,MATCH($C193&amp;"|"&amp;$B193,MemKey,0))</f>
        <v/>
      </c>
      <c r="I193" s="1">
        <f>INDEX(VarUnit,MATCH($A193,VarKey,0))</f>
        <v/>
      </c>
      <c r="J193" s="1">
        <f>INDEX(VarSrc,MATCH($A193,VarKey,0))</f>
        <v/>
      </c>
      <c r="K193" s="17">
        <f>CodePrefix&amp;$A193&amp;IF($C193="","","."&amp;$C193&amp;"."&amp;$B193)&amp;INDEX(VarEnd,MATCH($A193,VarKey,0))&amp;K$5</f>
        <v/>
      </c>
      <c r="L193" s="29">
        <f>SUMPRODUCT(L$172:L$188,L$124:L$140)</f>
        <v/>
      </c>
      <c r="M193" s="30">
        <f>SUMPRODUCT(M$172:M$188,M$124:M$140)</f>
        <v/>
      </c>
      <c r="N193" s="30">
        <f>SUMPRODUCT(N$172:N$188,N$124:N$140)</f>
        <v/>
      </c>
      <c r="O193" s="30">
        <f>SUMPRODUCT(O$172:O$188,O$124:O$140)</f>
        <v/>
      </c>
      <c r="P193" s="30">
        <f>SUMPRODUCT(P$172:P$188,P$124:P$140)</f>
        <v/>
      </c>
      <c r="Q193" s="30">
        <f>SUMPRODUCT(Q$172:Q$188,Q$124:Q$140)</f>
        <v/>
      </c>
      <c r="R193" s="30">
        <f>SUMPRODUCT(R$172:R$188,R$124:R$140)</f>
        <v/>
      </c>
      <c r="S193" s="30">
        <f>SUMPRODUCT(S$172:S$188,S$124:S$140)</f>
        <v/>
      </c>
      <c r="T193" s="30">
        <f>SUMPRODUCT(T$172:T$188,T$124:T$140)</f>
        <v/>
      </c>
      <c r="U193" s="30">
        <f>SUMPRODUCT(U$172:U$188,U$124:U$140)</f>
        <v/>
      </c>
      <c r="V193" s="30">
        <f>SUMPRODUCT(V$172:V$188,V$124:V$140)</f>
        <v/>
      </c>
      <c r="W193" s="30">
        <f>SUMPRODUCT(W$172:W$188,W$124:W$140)</f>
        <v/>
      </c>
      <c r="X193" s="30">
        <f>SUMPRODUCT(X$172:X$188,X$124:X$140)</f>
        <v/>
      </c>
      <c r="Y193" s="30">
        <f>SUMPRODUCT(Y$172:Y$188,Y$124:Y$140)</f>
        <v/>
      </c>
      <c r="Z193" s="30">
        <f>SUMPRODUCT(Z$172:Z$188,Z$124:Z$140)</f>
        <v/>
      </c>
      <c r="AA193" s="30">
        <f>SUMPRODUCT(AA$172:AA$188,AA$124:AA$140)</f>
        <v/>
      </c>
      <c r="AB193" s="30">
        <f>SUMPRODUCT(AB$172:AB$188,AB$124:AB$140)</f>
        <v/>
      </c>
      <c r="AC193" s="30">
        <f>SUMPRODUCT(AC$172:AC$188,AC$124:AC$140)</f>
        <v/>
      </c>
      <c r="AD193" s="30">
        <f>SUMPRODUCT(AD$172:AD$188,AD$124:AD$140)</f>
        <v/>
      </c>
      <c r="AE193" s="31">
        <f>COVERED(AE$172:AE$188,AE$124:AE$140)</f>
        <v/>
      </c>
      <c r="AG193" s="17">
        <f>CodePrefix&amp;$A193&amp;IF($C193="","","."&amp;$C193&amp;"."&amp;$B193)&amp;INDEX(VarEnd,MATCH($A193,VarKey,0))&amp;AG$5</f>
        <v/>
      </c>
      <c r="AH193" s="29">
        <f>SUMPRODUCT(AH$172:AH$188,AH$124:AH$140)</f>
        <v/>
      </c>
      <c r="AI193" s="30">
        <f>SUMPRODUCT(AI$172:AI$188,AI$124:AI$140)</f>
        <v/>
      </c>
      <c r="AJ193" s="30">
        <f>SUMPRODUCT(AJ$172:AJ$188,AJ$124:AJ$140)</f>
        <v/>
      </c>
      <c r="AK193" s="30">
        <f>SUMPRODUCT(AK$172:AK$188,AK$124:AK$140)</f>
        <v/>
      </c>
      <c r="AL193" s="30">
        <f>SUMPRODUCT(AL$172:AL$188,AL$124:AL$140)</f>
        <v/>
      </c>
      <c r="AM193" s="30">
        <f>SUMPRODUCT(AM$172:AM$188,AM$124:AM$140)</f>
        <v/>
      </c>
      <c r="AN193" s="30">
        <f>SUMPRODUCT(AN$172:AN$188,AN$124:AN$140)</f>
        <v/>
      </c>
      <c r="AO193" s="30">
        <f>SUMPRODUCT(AO$172:AO$188,AO$124:AO$140)</f>
        <v/>
      </c>
      <c r="AP193" s="30">
        <f>SUMPRODUCT(AP$172:AP$188,AP$124:AP$140)</f>
        <v/>
      </c>
      <c r="AQ193" s="30">
        <f>SUMPRODUCT(AQ$172:AQ$188,AQ$124:AQ$140)</f>
        <v/>
      </c>
      <c r="AR193" s="30">
        <f>SUMPRODUCT(AR$172:AR$188,AR$124:AR$140)</f>
        <v/>
      </c>
      <c r="AS193" s="30">
        <f>SUMPRODUCT(AS$172:AS$188,AS$124:AS$140)</f>
        <v/>
      </c>
      <c r="AT193" s="30">
        <f>SUMPRODUCT(AT$172:AT$188,AT$124:AT$140)</f>
        <v/>
      </c>
      <c r="AU193" s="30">
        <f>SUMPRODUCT(AU$172:AU$188,AU$124:AU$140)</f>
        <v/>
      </c>
      <c r="AV193" s="30">
        <f>SUMPRODUCT(AV$172:AV$188,AV$124:AV$140)</f>
        <v/>
      </c>
      <c r="AW193" s="30">
        <f>SUMPRODUCT(AW$172:AW$188,AW$124:AW$140)</f>
        <v/>
      </c>
      <c r="AX193" s="30">
        <f>SUMPRODUCT(AX$172:AX$188,AX$124:AX$140)</f>
        <v/>
      </c>
      <c r="AY193" s="30">
        <f>SUMPRODUCT(AY$172:AY$188,AY$124:AY$140)</f>
        <v/>
      </c>
      <c r="AZ193" s="30">
        <f>SUMPRODUCT(AZ$172:AZ$188,AZ$124:AZ$140)</f>
        <v/>
      </c>
      <c r="BA193" s="31">
        <f>COVERED(BA$172:BA$188,BA$124:BA$140)</f>
        <v/>
      </c>
    </row>
    <row r="194" hidden="1" outlineLevel="1">
      <c r="A194" s="1" t="inlineStr">
        <is>
          <t>ets.chg</t>
        </is>
      </c>
      <c r="B194" s="1" t="inlineStr"/>
      <c r="C194" s="1" t="inlineStr"/>
      <c r="H194" s="1">
        <f>INDEX(VarLab,MATCH($A194,VarKey,0))&amp;INDEX(MemLab,MATCH($C194&amp;"|"&amp;$B194,MemKey,0))</f>
        <v/>
      </c>
      <c r="I194" s="1">
        <f>INDEX(VarUnit,MATCH($A194,VarKey,0))</f>
        <v/>
      </c>
      <c r="J194" s="1">
        <f>INDEX(VarSrc,MATCH($A194,VarKey,0))</f>
        <v/>
      </c>
      <c r="K194" s="17">
        <f>CodePrefix&amp;$A194&amp;IF($C194="","","."&amp;$C194&amp;"."&amp;$B194)&amp;INDEX(VarEnd,MATCH($A194,VarKey,0))&amp;K$5</f>
        <v/>
      </c>
      <c r="L194" s="18">
        <f>L$96+(L$97-L$96)/MAX(L$100-L$99,1)*(MIN(L$4,L$100)-L$99)</f>
        <v/>
      </c>
      <c r="M194" s="19">
        <f>M$96+(M$97-M$96)/MAX(M$100-M$99,1)*(MIN(M$4,M$100)-M$99)</f>
        <v/>
      </c>
      <c r="N194" s="19">
        <f>N$96+(N$97-N$96)/MAX(N$100-N$99,1)*(MIN(N$4,N$100)-N$99)</f>
        <v/>
      </c>
      <c r="O194" s="19">
        <f>O$96+(O$97-O$96)/MAX(O$100-O$99,1)*(MIN(O$4,O$100)-O$99)</f>
        <v/>
      </c>
      <c r="P194" s="19">
        <f>P$96+(P$97-P$96)/MAX(P$100-P$99,1)*(MIN(P$4,P$100)-P$99)</f>
        <v/>
      </c>
      <c r="Q194" s="19">
        <f>Q$96+(Q$97-Q$96)/MAX(Q$100-Q$99,1)*(MIN(Q$4,Q$100)-Q$99)</f>
        <v/>
      </c>
      <c r="R194" s="19">
        <f>R$96+(R$97-R$96)/MAX(R$100-R$99,1)*(MIN(R$4,R$100)-R$99)</f>
        <v/>
      </c>
      <c r="S194" s="19">
        <f>S$96+(S$97-S$96)/MAX(S$100-S$99,1)*(MIN(S$4,S$100)-S$99)</f>
        <v/>
      </c>
      <c r="T194" s="19">
        <f>T$96+(T$97-T$96)/MAX(T$100-T$99,1)*(MIN(T$4,T$100)-T$99)</f>
        <v/>
      </c>
      <c r="U194" s="19">
        <f>U$96+(U$97-U$96)/MAX(U$100-U$99,1)*(MIN(U$4,U$100)-U$99)</f>
        <v/>
      </c>
      <c r="V194" s="19">
        <f>V$96+(V$97-V$96)/MAX(V$100-V$99,1)*(MIN(V$4,V$100)-V$99)</f>
        <v/>
      </c>
      <c r="W194" s="19">
        <f>W$96+(W$97-W$96)/MAX(W$100-W$99,1)*(MIN(W$4,W$100)-W$99)</f>
        <v/>
      </c>
      <c r="X194" s="19">
        <f>X$96+(X$97-X$96)/MAX(X$100-X$99,1)*(MIN(X$4,X$100)-X$99)</f>
        <v/>
      </c>
      <c r="Y194" s="19">
        <f>Y$96+(Y$97-Y$96)/MAX(Y$100-Y$99,1)*(MIN(Y$4,Y$100)-Y$99)</f>
        <v/>
      </c>
      <c r="Z194" s="19">
        <f>Z$96+(Z$97-Z$96)/MAX(Z$100-Z$99,1)*(MIN(Z$4,Z$100)-Z$99)</f>
        <v/>
      </c>
      <c r="AA194" s="19">
        <f>AA$96+(AA$97-AA$96)/MAX(AA$100-AA$99,1)*(MIN(AA$4,AA$100)-AA$99)</f>
        <v/>
      </c>
      <c r="AB194" s="19">
        <f>AB$96+(AB$97-AB$96)/MAX(AB$100-AB$99,1)*(MIN(AB$4,AB$100)-AB$99)</f>
        <v/>
      </c>
      <c r="AC194" s="19">
        <f>AC$96+(AC$97-AC$96)/MAX(AC$100-AC$99,1)*(MIN(AC$4,AC$100)-AC$99)</f>
        <v/>
      </c>
      <c r="AD194" s="19">
        <f>AD$96+(AD$97-AD$96)/MAX(AD$100-AD$99,1)*(MIN(AD$4,AD$100)-AD$99)</f>
        <v/>
      </c>
      <c r="AE194" s="20">
        <f>CAPCHANGE(AE$4,AE$99,AE$100,AE$96,AE$97)</f>
        <v/>
      </c>
      <c r="AG194" s="17">
        <f>CodePrefix&amp;$A194&amp;IF($C194="","","."&amp;$C194&amp;"."&amp;$B194)&amp;INDEX(VarEnd,MATCH($A194,VarKey,0))&amp;AG$5</f>
        <v/>
      </c>
      <c r="AH194" s="18">
        <f>AH$96+(AH$97-AH$96)/MAX(AH$100-AH$99,1)*(MIN(AH$4,AH$100)-AH$99)</f>
        <v/>
      </c>
      <c r="AI194" s="19">
        <f>AI$96+(AI$97-AI$96)/MAX(AI$100-AI$99,1)*(MIN(AI$4,AI$100)-AI$99)</f>
        <v/>
      </c>
      <c r="AJ194" s="19">
        <f>AJ$96+(AJ$97-AJ$96)/MAX(AJ$100-AJ$99,1)*(MIN(AJ$4,AJ$100)-AJ$99)</f>
        <v/>
      </c>
      <c r="AK194" s="19">
        <f>AK$96+(AK$97-AK$96)/MAX(AK$100-AK$99,1)*(MIN(AK$4,AK$100)-AK$99)</f>
        <v/>
      </c>
      <c r="AL194" s="19">
        <f>AL$96+(AL$97-AL$96)/MAX(AL$100-AL$99,1)*(MIN(AL$4,AL$100)-AL$99)</f>
        <v/>
      </c>
      <c r="AM194" s="19">
        <f>AM$96+(AM$97-AM$96)/MAX(AM$100-AM$99,1)*(MIN(AM$4,AM$100)-AM$99)</f>
        <v/>
      </c>
      <c r="AN194" s="19">
        <f>AN$96+(AN$97-AN$96)/MAX(AN$100-AN$99,1)*(MIN(AN$4,AN$100)-AN$99)</f>
        <v/>
      </c>
      <c r="AO194" s="19">
        <f>AO$96+(AO$97-AO$96)/MAX(AO$100-AO$99,1)*(MIN(AO$4,AO$100)-AO$99)</f>
        <v/>
      </c>
      <c r="AP194" s="19">
        <f>AP$96+(AP$97-AP$96)/MAX(AP$100-AP$99,1)*(MIN(AP$4,AP$100)-AP$99)</f>
        <v/>
      </c>
      <c r="AQ194" s="19">
        <f>AQ$96+(AQ$97-AQ$96)/MAX(AQ$100-AQ$99,1)*(MIN(AQ$4,AQ$100)-AQ$99)</f>
        <v/>
      </c>
      <c r="AR194" s="19">
        <f>AR$96+(AR$97-AR$96)/MAX(AR$100-AR$99,1)*(MIN(AR$4,AR$100)-AR$99)</f>
        <v/>
      </c>
      <c r="AS194" s="19">
        <f>AS$96+(AS$97-AS$96)/MAX(AS$100-AS$99,1)*(MIN(AS$4,AS$100)-AS$99)</f>
        <v/>
      </c>
      <c r="AT194" s="19">
        <f>AT$96+(AT$97-AT$96)/MAX(AT$100-AT$99,1)*(MIN(AT$4,AT$100)-AT$99)</f>
        <v/>
      </c>
      <c r="AU194" s="19">
        <f>AU$96+(AU$97-AU$96)/MAX(AU$100-AU$99,1)*(MIN(AU$4,AU$100)-AU$99)</f>
        <v/>
      </c>
      <c r="AV194" s="19">
        <f>AV$96+(AV$97-AV$96)/MAX(AV$100-AV$99,1)*(MIN(AV$4,AV$100)-AV$99)</f>
        <v/>
      </c>
      <c r="AW194" s="19">
        <f>AW$96+(AW$97-AW$96)/MAX(AW$100-AW$99,1)*(MIN(AW$4,AW$100)-AW$99)</f>
        <v/>
      </c>
      <c r="AX194" s="19">
        <f>AX$96+(AX$97-AX$96)/MAX(AX$100-AX$99,1)*(MIN(AX$4,AX$100)-AX$99)</f>
        <v/>
      </c>
      <c r="AY194" s="19">
        <f>AY$96+(AY$97-AY$96)/MAX(AY$100-AY$99,1)*(MIN(AY$4,AY$100)-AY$99)</f>
        <v/>
      </c>
      <c r="AZ194" s="19">
        <f>AZ$96+(AZ$97-AZ$96)/MAX(AZ$100-AZ$99,1)*(MIN(AZ$4,AZ$100)-AZ$99)</f>
        <v/>
      </c>
      <c r="BA194" s="20">
        <f>CAPCHANGE(BA$4,BA$99,BA$100,BA$96,BA$97)</f>
        <v/>
      </c>
    </row>
    <row r="195" hidden="1" outlineLevel="1">
      <c r="A195" s="1" t="inlineStr">
        <is>
          <t>ets.cap</t>
        </is>
      </c>
      <c r="B195" s="1" t="inlineStr"/>
      <c r="C195" s="1" t="inlineStr"/>
      <c r="H195" s="1">
        <f>INDEX(VarLab,MATCH($A195,VarKey,0))&amp;INDEX(MemLab,MATCH($C195&amp;"|"&amp;$B195,MemKey,0))</f>
        <v/>
      </c>
      <c r="I195" s="1">
        <f>INDEX(VarUnit,MATCH($A195,VarKey,0))</f>
        <v/>
      </c>
      <c r="J195" s="1">
        <f>INDEX(VarSrc,MATCH($A195,VarKey,0))</f>
        <v/>
      </c>
      <c r="K195" s="17">
        <f>CodePrefix&amp;$A195&amp;IF($C195="","","."&amp;$C195&amp;"."&amp;$B195)&amp;INDEX(VarEnd,MATCH($A195,VarKey,0))&amp;K$5</f>
        <v/>
      </c>
      <c r="L195" s="29">
        <f>IF(L$105=1,IF(AND(L$4&gt;L$100,LEFT(L$98,8)="Constant"),K$195,L$193*(1+L$194)),0)</f>
        <v/>
      </c>
      <c r="M195" s="30">
        <f>IF(M$105=1,IF(AND(M$4&gt;M$100,LEFT(M$98,8)="Constant"),L$195,M$193*(1+M$194)),0)</f>
        <v/>
      </c>
      <c r="N195" s="30">
        <f>IF(N$105=1,IF(AND(N$4&gt;N$100,LEFT(N$98,8)="Constant"),M$195,N$193*(1+N$194)),0)</f>
        <v/>
      </c>
      <c r="O195" s="30">
        <f>IF(O$105=1,IF(AND(O$4&gt;O$100,LEFT(O$98,8)="Constant"),N$195,O$193*(1+O$194)),0)</f>
        <v/>
      </c>
      <c r="P195" s="30">
        <f>IF(P$105=1,IF(AND(P$4&gt;P$100,LEFT(P$98,8)="Constant"),O$195,P$193*(1+P$194)),0)</f>
        <v/>
      </c>
      <c r="Q195" s="30">
        <f>IF(Q$105=1,IF(AND(Q$4&gt;Q$100,LEFT(Q$98,8)="Constant"),P$195,Q$193*(1+Q$194)),0)</f>
        <v/>
      </c>
      <c r="R195" s="30">
        <f>IF(R$105=1,IF(AND(R$4&gt;R$100,LEFT(R$98,8)="Constant"),Q$195,R$193*(1+R$194)),0)</f>
        <v/>
      </c>
      <c r="S195" s="30">
        <f>IF(S$105=1,IF(AND(S$4&gt;S$100,LEFT(S$98,8)="Constant"),R$195,S$193*(1+S$194)),0)</f>
        <v/>
      </c>
      <c r="T195" s="30">
        <f>IF(T$105=1,IF(AND(T$4&gt;T$100,LEFT(T$98,8)="Constant"),S$195,T$193*(1+T$194)),0)</f>
        <v/>
      </c>
      <c r="U195" s="30">
        <f>IF(U$105=1,IF(AND(U$4&gt;U$100,LEFT(U$98,8)="Constant"),T$195,U$193*(1+U$194)),0)</f>
        <v/>
      </c>
      <c r="V195" s="30">
        <f>IF(V$105=1,IF(AND(V$4&gt;V$100,LEFT(V$98,8)="Constant"),U$195,V$193*(1+V$194)),0)</f>
        <v/>
      </c>
      <c r="W195" s="30">
        <f>IF(W$105=1,IF(AND(W$4&gt;W$100,LEFT(W$98,8)="Constant"),V$195,W$193*(1+W$194)),0)</f>
        <v/>
      </c>
      <c r="X195" s="30">
        <f>IF(X$105=1,IF(AND(X$4&gt;X$100,LEFT(X$98,8)="Constant"),W$195,X$193*(1+X$194)),0)</f>
        <v/>
      </c>
      <c r="Y195" s="30">
        <f>IF(Y$105=1,IF(AND(Y$4&gt;Y$100,LEFT(Y$98,8)="Constant"),X$195,Y$193*(1+Y$194)),0)</f>
        <v/>
      </c>
      <c r="Z195" s="30">
        <f>IF(Z$105=1,IF(AND(Z$4&gt;Z$100,LEFT(Z$98,8)="Constant"),Y$195,Z$193*(1+Z$194)),0)</f>
        <v/>
      </c>
      <c r="AA195" s="30">
        <f>IF(AA$105=1,IF(AND(AA$4&gt;AA$100,LEFT(AA$98,8)="Constant"),Z$195,AA$193*(1+AA$194)),0)</f>
        <v/>
      </c>
      <c r="AB195" s="30">
        <f>IF(AB$105=1,IF(AND(AB$4&gt;AB$100,LEFT(AB$98,8)="Constant"),AA$195,AB$193*(1+AB$194)),0)</f>
        <v/>
      </c>
      <c r="AC195" s="30">
        <f>IF(AC$105=1,IF(AND(AC$4&gt;AC$100,LEFT(AC$98,8)="Constant"),AB$195,AC$193*(1+AC$194)),0)</f>
        <v/>
      </c>
      <c r="AD195" s="30">
        <f>IF(AD$105=1,IF(AND(AD$4&gt;AD$100,LEFT(AD$98,8)="Constant"),AC$195,AD$193*(1+AD$194)),0)</f>
        <v/>
      </c>
      <c r="AE195" s="31">
        <f>ETSCAP(AE$105,AE$4,AE$100,AE$98,AE$193,AE$194,AD$195)</f>
        <v/>
      </c>
      <c r="AG195" s="17">
        <f>CodePrefix&amp;$A195&amp;IF($C195="","","."&amp;$C195&amp;"."&amp;$B195)&amp;INDEX(VarEnd,MATCH($A195,VarKey,0))&amp;AG$5</f>
        <v/>
      </c>
      <c r="AH195" s="29">
        <f>IF(AH$105=1,IF(AND(AH$4&gt;AH$100,LEFT(AH$98,8)="Constant"),AG$195,AH$193*(1+AH$194)),0)</f>
        <v/>
      </c>
      <c r="AI195" s="30">
        <f>IF(AI$105=1,IF(AND(AI$4&gt;AI$100,LEFT(AI$98,8)="Constant"),AH$195,AI$193*(1+AI$194)),0)</f>
        <v/>
      </c>
      <c r="AJ195" s="30">
        <f>IF(AJ$105=1,IF(AND(AJ$4&gt;AJ$100,LEFT(AJ$98,8)="Constant"),AI$195,AJ$193*(1+AJ$194)),0)</f>
        <v/>
      </c>
      <c r="AK195" s="30">
        <f>IF(AK$105=1,IF(AND(AK$4&gt;AK$100,LEFT(AK$98,8)="Constant"),AJ$195,AK$193*(1+AK$194)),0)</f>
        <v/>
      </c>
      <c r="AL195" s="30">
        <f>IF(AL$105=1,IF(AND(AL$4&gt;AL$100,LEFT(AL$98,8)="Constant"),AK$195,AL$193*(1+AL$194)),0)</f>
        <v/>
      </c>
      <c r="AM195" s="30">
        <f>IF(AM$105=1,IF(AND(AM$4&gt;AM$100,LEFT(AM$98,8)="Constant"),AL$195,AM$193*(1+AM$194)),0)</f>
        <v/>
      </c>
      <c r="AN195" s="30">
        <f>IF(AN$105=1,IF(AND(AN$4&gt;AN$100,LEFT(AN$98,8)="Constant"),AM$195,AN$193*(1+AN$194)),0)</f>
        <v/>
      </c>
      <c r="AO195" s="30">
        <f>IF(AO$105=1,IF(AND(AO$4&gt;AO$100,LEFT(AO$98,8)="Constant"),AN$195,AO$193*(1+AO$194)),0)</f>
        <v/>
      </c>
      <c r="AP195" s="30">
        <f>IF(AP$105=1,IF(AND(AP$4&gt;AP$100,LEFT(AP$98,8)="Constant"),AO$195,AP$193*(1+AP$194)),0)</f>
        <v/>
      </c>
      <c r="AQ195" s="30">
        <f>IF(AQ$105=1,IF(AND(AQ$4&gt;AQ$100,LEFT(AQ$98,8)="Constant"),AP$195,AQ$193*(1+AQ$194)),0)</f>
        <v/>
      </c>
      <c r="AR195" s="30">
        <f>IF(AR$105=1,IF(AND(AR$4&gt;AR$100,LEFT(AR$98,8)="Constant"),AQ$195,AR$193*(1+AR$194)),0)</f>
        <v/>
      </c>
      <c r="AS195" s="30">
        <f>IF(AS$105=1,IF(AND(AS$4&gt;AS$100,LEFT(AS$98,8)="Constant"),AR$195,AS$193*(1+AS$194)),0)</f>
        <v/>
      </c>
      <c r="AT195" s="30">
        <f>IF(AT$105=1,IF(AND(AT$4&gt;AT$100,LEFT(AT$98,8)="Constant"),AS$195,AT$193*(1+AT$194)),0)</f>
        <v/>
      </c>
      <c r="AU195" s="30">
        <f>IF(AU$105=1,IF(AND(AU$4&gt;AU$100,LEFT(AU$98,8)="Constant"),AT$195,AU$193*(1+AU$194)),0)</f>
        <v/>
      </c>
      <c r="AV195" s="30">
        <f>IF(AV$105=1,IF(AND(AV$4&gt;AV$100,LEFT(AV$98,8)="Constant"),AU$195,AV$193*(1+AV$194)),0)</f>
        <v/>
      </c>
      <c r="AW195" s="30">
        <f>IF(AW$105=1,IF(AND(AW$4&gt;AW$100,LEFT(AW$98,8)="Constant"),AV$195,AW$193*(1+AW$194)),0)</f>
        <v/>
      </c>
      <c r="AX195" s="30">
        <f>IF(AX$105=1,IF(AND(AX$4&gt;AX$100,LEFT(AX$98,8)="Constant"),AW$195,AX$193*(1+AX$194)),0)</f>
        <v/>
      </c>
      <c r="AY195" s="30">
        <f>IF(AY$105=1,IF(AND(AY$4&gt;AY$100,LEFT(AY$98,8)="Constant"),AX$195,AY$193*(1+AY$194)),0)</f>
        <v/>
      </c>
      <c r="AZ195" s="30">
        <f>IF(AZ$105=1,IF(AND(AZ$4&gt;AZ$100,LEFT(AZ$98,8)="Constant"),AY$195,AZ$193*(1+AZ$194)),0)</f>
        <v/>
      </c>
      <c r="BA195" s="31">
        <f>ETSCAP(BA$105,BA$4,BA$100,BA$98,BA$193,BA$194,AZ$195)</f>
        <v/>
      </c>
    </row>
    <row r="196" hidden="1" outlineLevel="1">
      <c r="A196" s="1" t="inlineStr">
        <is>
          <t>ets.se</t>
        </is>
      </c>
      <c r="B196" s="1" t="inlineStr"/>
      <c r="C196" s="1" t="inlineStr"/>
      <c r="H196" s="1">
        <f>INDEX(VarLab,MATCH($A196,VarKey,0))&amp;INDEX(MemLab,MATCH($C196&amp;"|"&amp;$B196,MemKey,0))</f>
        <v/>
      </c>
      <c r="I196" s="1">
        <f>INDEX(VarUnit,MATCH($A196,VarKey,0))</f>
        <v/>
      </c>
      <c r="J196" s="1">
        <f>INDEX(VarSrc,MATCH($A196,VarKey,0))</f>
        <v/>
      </c>
      <c r="K196" s="17">
        <f>CodePrefix&amp;$A196&amp;IF($C196="","","."&amp;$C196&amp;"."&amp;$B196)&amp;INDEX(VarEnd,MATCH($A196,VarKey,0))&amp;K$5</f>
        <v/>
      </c>
      <c r="L196" s="32">
        <f>IF(L$193&gt;0,SUMPRODUCT(L$172:L$188,L$124:L$140,SemiEl,1-(1-OBREff)*L$154:L$170)/L$193,0)</f>
        <v/>
      </c>
      <c r="M196" s="33">
        <f>IF(M$193&gt;0,SUMPRODUCT(M$172:M$188,M$124:M$140,SemiEl,1-(1-OBREff)*M$154:M$170)/M$193,0)</f>
        <v/>
      </c>
      <c r="N196" s="33">
        <f>IF(N$193&gt;0,SUMPRODUCT(N$172:N$188,N$124:N$140,SemiEl,1-(1-OBREff)*N$154:N$170)/N$193,0)</f>
        <v/>
      </c>
      <c r="O196" s="33">
        <f>IF(O$193&gt;0,SUMPRODUCT(O$172:O$188,O$124:O$140,SemiEl,1-(1-OBREff)*O$154:O$170)/O$193,0)</f>
        <v/>
      </c>
      <c r="P196" s="33">
        <f>IF(P$193&gt;0,SUMPRODUCT(P$172:P$188,P$124:P$140,SemiEl,1-(1-OBREff)*P$154:P$170)/P$193,0)</f>
        <v/>
      </c>
      <c r="Q196" s="33">
        <f>IF(Q$193&gt;0,SUMPRODUCT(Q$172:Q$188,Q$124:Q$140,SemiEl,1-(1-OBREff)*Q$154:Q$170)/Q$193,0)</f>
        <v/>
      </c>
      <c r="R196" s="33">
        <f>IF(R$193&gt;0,SUMPRODUCT(R$172:R$188,R$124:R$140,SemiEl,1-(1-OBREff)*R$154:R$170)/R$193,0)</f>
        <v/>
      </c>
      <c r="S196" s="33">
        <f>IF(S$193&gt;0,SUMPRODUCT(S$172:S$188,S$124:S$140,SemiEl,1-(1-OBREff)*S$154:S$170)/S$193,0)</f>
        <v/>
      </c>
      <c r="T196" s="33">
        <f>IF(T$193&gt;0,SUMPRODUCT(T$172:T$188,T$124:T$140,SemiEl,1-(1-OBREff)*T$154:T$170)/T$193,0)</f>
        <v/>
      </c>
      <c r="U196" s="33">
        <f>IF(U$193&gt;0,SUMPRODUCT(U$172:U$188,U$124:U$140,SemiEl,1-(1-OBREff)*U$154:U$170)/U$193,0)</f>
        <v/>
      </c>
      <c r="V196" s="33">
        <f>IF(V$193&gt;0,SUMPRODUCT(V$172:V$188,V$124:V$140,SemiEl,1-(1-OBREff)*V$154:V$170)/V$193,0)</f>
        <v/>
      </c>
      <c r="W196" s="33">
        <f>IF(W$193&gt;0,SUMPRODUCT(W$172:W$188,W$124:W$140,SemiEl,1-(1-OBREff)*W$154:W$170)/W$193,0)</f>
        <v/>
      </c>
      <c r="X196" s="33">
        <f>IF(X$193&gt;0,SUMPRODUCT(X$172:X$188,X$124:X$140,SemiEl,1-(1-OBREff)*X$154:X$170)/X$193,0)</f>
        <v/>
      </c>
      <c r="Y196" s="33">
        <f>IF(Y$193&gt;0,SUMPRODUCT(Y$172:Y$188,Y$124:Y$140,SemiEl,1-(1-OBREff)*Y$154:Y$170)/Y$193,0)</f>
        <v/>
      </c>
      <c r="Z196" s="33">
        <f>IF(Z$193&gt;0,SUMPRODUCT(Z$172:Z$188,Z$124:Z$140,SemiEl,1-(1-OBREff)*Z$154:Z$170)/Z$193,0)</f>
        <v/>
      </c>
      <c r="AA196" s="33">
        <f>IF(AA$193&gt;0,SUMPRODUCT(AA$172:AA$188,AA$124:AA$140,SemiEl,1-(1-OBREff)*AA$154:AA$170)/AA$193,0)</f>
        <v/>
      </c>
      <c r="AB196" s="33">
        <f>IF(AB$193&gt;0,SUMPRODUCT(AB$172:AB$188,AB$124:AB$140,SemiEl,1-(1-OBREff)*AB$154:AB$170)/AB$193,0)</f>
        <v/>
      </c>
      <c r="AC196" s="33">
        <f>IF(AC$193&gt;0,SUMPRODUCT(AC$172:AC$188,AC$124:AC$140,SemiEl,1-(1-OBREff)*AC$154:AC$170)/AC$193,0)</f>
        <v/>
      </c>
      <c r="AD196" s="33">
        <f>IF(AD$193&gt;0,SUMPRODUCT(AD$172:AD$188,AD$124:AD$140,SemiEl,1-(1-OBREff)*AD$154:AD$170)/AD$193,0)</f>
        <v/>
      </c>
      <c r="AE196" s="34">
        <f>ETSSEMI(AE$172:AE$188,AE$124:AE$140,SemiEl,AE$154:AE$170,OBREff,AE$193)</f>
        <v/>
      </c>
      <c r="AG196" s="17">
        <f>CodePrefix&amp;$A196&amp;IF($C196="","","."&amp;$C196&amp;"."&amp;$B196)&amp;INDEX(VarEnd,MATCH($A196,VarKey,0))&amp;AG$5</f>
        <v/>
      </c>
      <c r="AH196" s="32">
        <f>IF(AH$193&gt;0,SUMPRODUCT(AH$172:AH$188,AH$124:AH$140,SemiEl,1-(1-OBREff)*AH$154:AH$170)/AH$193,0)</f>
        <v/>
      </c>
      <c r="AI196" s="33">
        <f>IF(AI$193&gt;0,SUMPRODUCT(AI$172:AI$188,AI$124:AI$140,SemiEl,1-(1-OBREff)*AI$154:AI$170)/AI$193,0)</f>
        <v/>
      </c>
      <c r="AJ196" s="33">
        <f>IF(AJ$193&gt;0,SUMPRODUCT(AJ$172:AJ$188,AJ$124:AJ$140,SemiEl,1-(1-OBREff)*AJ$154:AJ$170)/AJ$193,0)</f>
        <v/>
      </c>
      <c r="AK196" s="33">
        <f>IF(AK$193&gt;0,SUMPRODUCT(AK$172:AK$188,AK$124:AK$140,SemiEl,1-(1-OBREff)*AK$154:AK$170)/AK$193,0)</f>
        <v/>
      </c>
      <c r="AL196" s="33">
        <f>IF(AL$193&gt;0,SUMPRODUCT(AL$172:AL$188,AL$124:AL$140,SemiEl,1-(1-OBREff)*AL$154:AL$170)/AL$193,0)</f>
        <v/>
      </c>
      <c r="AM196" s="33">
        <f>IF(AM$193&gt;0,SUMPRODUCT(AM$172:AM$188,AM$124:AM$140,SemiEl,1-(1-OBREff)*AM$154:AM$170)/AM$193,0)</f>
        <v/>
      </c>
      <c r="AN196" s="33">
        <f>IF(AN$193&gt;0,SUMPRODUCT(AN$172:AN$188,AN$124:AN$140,SemiEl,1-(1-OBREff)*AN$154:AN$170)/AN$193,0)</f>
        <v/>
      </c>
      <c r="AO196" s="33">
        <f>IF(AO$193&gt;0,SUMPRODUCT(AO$172:AO$188,AO$124:AO$140,SemiEl,1-(1-OBREff)*AO$154:AO$170)/AO$193,0)</f>
        <v/>
      </c>
      <c r="AP196" s="33">
        <f>IF(AP$193&gt;0,SUMPRODUCT(AP$172:AP$188,AP$124:AP$140,SemiEl,1-(1-OBREff)*AP$154:AP$170)/AP$193,0)</f>
        <v/>
      </c>
      <c r="AQ196" s="33">
        <f>IF(AQ$193&gt;0,SUMPRODUCT(AQ$172:AQ$188,AQ$124:AQ$140,SemiEl,1-(1-OBREff)*AQ$154:AQ$170)/AQ$193,0)</f>
        <v/>
      </c>
      <c r="AR196" s="33">
        <f>IF(AR$193&gt;0,SUMPRODUCT(AR$172:AR$188,AR$124:AR$140,SemiEl,1-(1-OBREff)*AR$154:AR$170)/AR$193,0)</f>
        <v/>
      </c>
      <c r="AS196" s="33">
        <f>IF(AS$193&gt;0,SUMPRODUCT(AS$172:AS$188,AS$124:AS$140,SemiEl,1-(1-OBREff)*AS$154:AS$170)/AS$193,0)</f>
        <v/>
      </c>
      <c r="AT196" s="33">
        <f>IF(AT$193&gt;0,SUMPRODUCT(AT$172:AT$188,AT$124:AT$140,SemiEl,1-(1-OBREff)*AT$154:AT$170)/AT$193,0)</f>
        <v/>
      </c>
      <c r="AU196" s="33">
        <f>IF(AU$193&gt;0,SUMPRODUCT(AU$172:AU$188,AU$124:AU$140,SemiEl,1-(1-OBREff)*AU$154:AU$170)/AU$193,0)</f>
        <v/>
      </c>
      <c r="AV196" s="33">
        <f>IF(AV$193&gt;0,SUMPRODUCT(AV$172:AV$188,AV$124:AV$140,SemiEl,1-(1-OBREff)*AV$154:AV$170)/AV$193,0)</f>
        <v/>
      </c>
      <c r="AW196" s="33">
        <f>IF(AW$193&gt;0,SUMPRODUCT(AW$172:AW$188,AW$124:AW$140,SemiEl,1-(1-OBREff)*AW$154:AW$170)/AW$193,0)</f>
        <v/>
      </c>
      <c r="AX196" s="33">
        <f>IF(AX$193&gt;0,SUMPRODUCT(AX$172:AX$188,AX$124:AX$140,SemiEl,1-(1-OBREff)*AX$154:AX$170)/AX$193,0)</f>
        <v/>
      </c>
      <c r="AY196" s="33">
        <f>IF(AY$193&gt;0,SUMPRODUCT(AY$172:AY$188,AY$124:AY$140,SemiEl,1-(1-OBREff)*AY$154:AY$170)/AY$193,0)</f>
        <v/>
      </c>
      <c r="AZ196" s="33">
        <f>IF(AZ$193&gt;0,SUMPRODUCT(AZ$172:AZ$188,AZ$124:AZ$140,SemiEl,1-(1-OBREff)*AZ$154:AZ$170)/AZ$193,0)</f>
        <v/>
      </c>
      <c r="BA196" s="34">
        <f>ETSSEMI(BA$172:BA$188,BA$124:BA$140,SemiEl,BA$154:BA$170,OBREff,BA$193)</f>
        <v/>
      </c>
    </row>
    <row r="197" hidden="1" outlineLevel="1">
      <c r="A197" s="1" t="inlineStr">
        <is>
          <t>ets.est</t>
        </is>
      </c>
      <c r="B197" s="1" t="inlineStr"/>
      <c r="C197" s="1" t="inlineStr"/>
      <c r="H197" s="1">
        <f>INDEX(VarLab,MATCH($A197,VarKey,0))&amp;INDEX(MemLab,MATCH($C197&amp;"|"&amp;$B197,MemKey,0))</f>
        <v/>
      </c>
      <c r="I197" s="1">
        <f>INDEX(VarUnit,MATCH($A197,VarKey,0))</f>
        <v/>
      </c>
      <c r="J197" s="1">
        <f>INDEX(VarSrc,MATCH($A197,VarKey,0))</f>
        <v/>
      </c>
      <c r="K197" s="17">
        <f>CodePrefix&amp;$A197&amp;IF($C197="","","."&amp;$C197&amp;"."&amp;$B197)&amp;INDEX(VarEnd,MATCH($A197,VarKey,0))&amp;K$5</f>
        <v/>
      </c>
      <c r="L197" s="18">
        <f>IF(AND(L$105=1,L$195&gt;0,L$195&lt;L$193,L$196&lt;0,L$192&gt;0),LN(L$195/L$193)/(L$196*L$192),0)</f>
        <v/>
      </c>
      <c r="M197" s="19">
        <f>IF(AND(M$105=1,M$195&gt;0,M$195&lt;M$193,M$196&lt;0,M$192&gt;0),LN(M$195/M$193)/(M$196*M$192),0)</f>
        <v/>
      </c>
      <c r="N197" s="19">
        <f>IF(AND(N$105=1,N$195&gt;0,N$195&lt;N$193,N$196&lt;0,N$192&gt;0),LN(N$195/N$193)/(N$196*N$192),0)</f>
        <v/>
      </c>
      <c r="O197" s="19">
        <f>IF(AND(O$105=1,O$195&gt;0,O$195&lt;O$193,O$196&lt;0,O$192&gt;0),LN(O$195/O$193)/(O$196*O$192),0)</f>
        <v/>
      </c>
      <c r="P197" s="19">
        <f>IF(AND(P$105=1,P$195&gt;0,P$195&lt;P$193,P$196&lt;0,P$192&gt;0),LN(P$195/P$193)/(P$196*P$192),0)</f>
        <v/>
      </c>
      <c r="Q197" s="19">
        <f>IF(AND(Q$105=1,Q$195&gt;0,Q$195&lt;Q$193,Q$196&lt;0,Q$192&gt;0),LN(Q$195/Q$193)/(Q$196*Q$192),0)</f>
        <v/>
      </c>
      <c r="R197" s="19">
        <f>IF(AND(R$105=1,R$195&gt;0,R$195&lt;R$193,R$196&lt;0,R$192&gt;0),LN(R$195/R$193)/(R$196*R$192),0)</f>
        <v/>
      </c>
      <c r="S197" s="19">
        <f>IF(AND(S$105=1,S$195&gt;0,S$195&lt;S$193,S$196&lt;0,S$192&gt;0),LN(S$195/S$193)/(S$196*S$192),0)</f>
        <v/>
      </c>
      <c r="T197" s="19">
        <f>IF(AND(T$105=1,T$195&gt;0,T$195&lt;T$193,T$196&lt;0,T$192&gt;0),LN(T$195/T$193)/(T$196*T$192),0)</f>
        <v/>
      </c>
      <c r="U197" s="19">
        <f>IF(AND(U$105=1,U$195&gt;0,U$195&lt;U$193,U$196&lt;0,U$192&gt;0),LN(U$195/U$193)/(U$196*U$192),0)</f>
        <v/>
      </c>
      <c r="V197" s="19">
        <f>IF(AND(V$105=1,V$195&gt;0,V$195&lt;V$193,V$196&lt;0,V$192&gt;0),LN(V$195/V$193)/(V$196*V$192),0)</f>
        <v/>
      </c>
      <c r="W197" s="19">
        <f>IF(AND(W$105=1,W$195&gt;0,W$195&lt;W$193,W$196&lt;0,W$192&gt;0),LN(W$195/W$193)/(W$196*W$192),0)</f>
        <v/>
      </c>
      <c r="X197" s="19">
        <f>IF(AND(X$105=1,X$195&gt;0,X$195&lt;X$193,X$196&lt;0,X$192&gt;0),LN(X$195/X$193)/(X$196*X$192),0)</f>
        <v/>
      </c>
      <c r="Y197" s="19">
        <f>IF(AND(Y$105=1,Y$195&gt;0,Y$195&lt;Y$193,Y$196&lt;0,Y$192&gt;0),LN(Y$195/Y$193)/(Y$196*Y$192),0)</f>
        <v/>
      </c>
      <c r="Z197" s="19">
        <f>IF(AND(Z$105=1,Z$195&gt;0,Z$195&lt;Z$193,Z$196&lt;0,Z$192&gt;0),LN(Z$195/Z$193)/(Z$196*Z$192),0)</f>
        <v/>
      </c>
      <c r="AA197" s="19">
        <f>IF(AND(AA$105=1,AA$195&gt;0,AA$195&lt;AA$193,AA$196&lt;0,AA$192&gt;0),LN(AA$195/AA$193)/(AA$196*AA$192),0)</f>
        <v/>
      </c>
      <c r="AB197" s="19">
        <f>IF(AND(AB$105=1,AB$195&gt;0,AB$195&lt;AB$193,AB$196&lt;0,AB$192&gt;0),LN(AB$195/AB$193)/(AB$196*AB$192),0)</f>
        <v/>
      </c>
      <c r="AC197" s="19">
        <f>IF(AND(AC$105=1,AC$195&gt;0,AC$195&lt;AC$193,AC$196&lt;0,AC$192&gt;0),LN(AC$195/AC$193)/(AC$196*AC$192),0)</f>
        <v/>
      </c>
      <c r="AD197" s="19">
        <f>IF(AND(AD$105=1,AD$195&gt;0,AD$195&lt;AD$193,AD$196&lt;0,AD$192&gt;0),LN(AD$195/AD$193)/(AD$196*AD$192),0)</f>
        <v/>
      </c>
      <c r="AE197" s="20">
        <f>ETSESTIMATE(AE$105,AE$195,AE$193,AE$196,AE$192)</f>
        <v/>
      </c>
      <c r="AG197" s="17">
        <f>CodePrefix&amp;$A197&amp;IF($C197="","","."&amp;$C197&amp;"."&amp;$B197)&amp;INDEX(VarEnd,MATCH($A197,VarKey,0))&amp;AG$5</f>
        <v/>
      </c>
      <c r="AH197" s="18">
        <f>IF(AND(AH$105=1,AH$195&gt;0,AH$195&lt;AH$193,AH$196&lt;0,AH$192&gt;0),LN(AH$195/AH$193)/(AH$196*AH$192),0)</f>
        <v/>
      </c>
      <c r="AI197" s="19">
        <f>IF(AND(AI$105=1,AI$195&gt;0,AI$195&lt;AI$193,AI$196&lt;0,AI$192&gt;0),LN(AI$195/AI$193)/(AI$196*AI$192),0)</f>
        <v/>
      </c>
      <c r="AJ197" s="19">
        <f>IF(AND(AJ$105=1,AJ$195&gt;0,AJ$195&lt;AJ$193,AJ$196&lt;0,AJ$192&gt;0),LN(AJ$195/AJ$193)/(AJ$196*AJ$192),0)</f>
        <v/>
      </c>
      <c r="AK197" s="19">
        <f>IF(AND(AK$105=1,AK$195&gt;0,AK$195&lt;AK$193,AK$196&lt;0,AK$192&gt;0),LN(AK$195/AK$193)/(AK$196*AK$192),0)</f>
        <v/>
      </c>
      <c r="AL197" s="19">
        <f>IF(AND(AL$105=1,AL$195&gt;0,AL$195&lt;AL$193,AL$196&lt;0,AL$192&gt;0),LN(AL$195/AL$193)/(AL$196*AL$192),0)</f>
        <v/>
      </c>
      <c r="AM197" s="19">
        <f>IF(AND(AM$105=1,AM$195&gt;0,AM$195&lt;AM$193,AM$196&lt;0,AM$192&gt;0),LN(AM$195/AM$193)/(AM$196*AM$192),0)</f>
        <v/>
      </c>
      <c r="AN197" s="19">
        <f>IF(AND(AN$105=1,AN$195&gt;0,AN$195&lt;AN$193,AN$196&lt;0,AN$192&gt;0),LN(AN$195/AN$193)/(AN$196*AN$192),0)</f>
        <v/>
      </c>
      <c r="AO197" s="19">
        <f>IF(AND(AO$105=1,AO$195&gt;0,AO$195&lt;AO$193,AO$196&lt;0,AO$192&gt;0),LN(AO$195/AO$193)/(AO$196*AO$192),0)</f>
        <v/>
      </c>
      <c r="AP197" s="19">
        <f>IF(AND(AP$105=1,AP$195&gt;0,AP$195&lt;AP$193,AP$196&lt;0,AP$192&gt;0),LN(AP$195/AP$193)/(AP$196*AP$192),0)</f>
        <v/>
      </c>
      <c r="AQ197" s="19">
        <f>IF(AND(AQ$105=1,AQ$195&gt;0,AQ$195&lt;AQ$193,AQ$196&lt;0,AQ$192&gt;0),LN(AQ$195/AQ$193)/(AQ$196*AQ$192),0)</f>
        <v/>
      </c>
      <c r="AR197" s="19">
        <f>IF(AND(AR$105=1,AR$195&gt;0,AR$195&lt;AR$193,AR$196&lt;0,AR$192&gt;0),LN(AR$195/AR$193)/(AR$196*AR$192),0)</f>
        <v/>
      </c>
      <c r="AS197" s="19">
        <f>IF(AND(AS$105=1,AS$195&gt;0,AS$195&lt;AS$193,AS$196&lt;0,AS$192&gt;0),LN(AS$195/AS$193)/(AS$196*AS$192),0)</f>
        <v/>
      </c>
      <c r="AT197" s="19">
        <f>IF(AND(AT$105=1,AT$195&gt;0,AT$195&lt;AT$193,AT$196&lt;0,AT$192&gt;0),LN(AT$195/AT$193)/(AT$196*AT$192),0)</f>
        <v/>
      </c>
      <c r="AU197" s="19">
        <f>IF(AND(AU$105=1,AU$195&gt;0,AU$195&lt;AU$193,AU$196&lt;0,AU$192&gt;0),LN(AU$195/AU$193)/(AU$196*AU$192),0)</f>
        <v/>
      </c>
      <c r="AV197" s="19">
        <f>IF(AND(AV$105=1,AV$195&gt;0,AV$195&lt;AV$193,AV$196&lt;0,AV$192&gt;0),LN(AV$195/AV$193)/(AV$196*AV$192),0)</f>
        <v/>
      </c>
      <c r="AW197" s="19">
        <f>IF(AND(AW$105=1,AW$195&gt;0,AW$195&lt;AW$193,AW$196&lt;0,AW$192&gt;0),LN(AW$195/AW$193)/(AW$196*AW$192),0)</f>
        <v/>
      </c>
      <c r="AX197" s="19">
        <f>IF(AND(AX$105=1,AX$195&gt;0,AX$195&lt;AX$193,AX$196&lt;0,AX$192&gt;0),LN(AX$195/AX$193)/(AX$196*AX$192),0)</f>
        <v/>
      </c>
      <c r="AY197" s="19">
        <f>IF(AND(AY$105=1,AY$195&gt;0,AY$195&lt;AY$193,AY$196&lt;0,AY$192&gt;0),LN(AY$195/AY$193)/(AY$196*AY$192),0)</f>
        <v/>
      </c>
      <c r="AZ197" s="19">
        <f>IF(AND(AZ$105=1,AZ$195&gt;0,AZ$195&lt;AZ$193,AZ$196&lt;0,AZ$192&gt;0),LN(AZ$195/AZ$193)/(AZ$196*AZ$192),0)</f>
        <v/>
      </c>
      <c r="BA197" s="20">
        <f>ETSESTIMATE(BA$105,BA$195,BA$193,BA$196,BA$192)</f>
        <v/>
      </c>
    </row>
    <row r="198" hidden="1" outlineLevel="1">
      <c r="A198" s="14" t="inlineStr">
        <is>
          <t>ets.ovr</t>
        </is>
      </c>
      <c r="B198" s="14" t="inlineStr"/>
      <c r="C198" s="14" t="inlineStr"/>
      <c r="H198" s="14">
        <f>INDEX(VarLab,MATCH($A198,VarKey,0))&amp;INDEX(MemLab,MATCH($C198&amp;"|"&amp;$B198,MemKey,0))</f>
        <v/>
      </c>
      <c r="I198" s="14">
        <f>INDEX(VarUnit,MATCH($A198,VarKey,0))</f>
        <v/>
      </c>
      <c r="J198" s="14">
        <f>INDEX(VarSrc,MATCH($A198,VarKey,0))</f>
        <v/>
      </c>
      <c r="K198" s="11">
        <f>CodePrefix&amp;$A198&amp;IF($C198="","","."&amp;$C198&amp;"."&amp;$B198)&amp;INDEX(VarEnd,MATCH($A198,VarKey,0))&amp;K$5</f>
        <v/>
      </c>
      <c r="L198" s="25" t="n"/>
      <c r="M198" s="25" t="n"/>
      <c r="N198" s="25" t="n"/>
      <c r="O198" s="25" t="n"/>
      <c r="P198" s="25" t="n"/>
      <c r="Q198" s="25" t="n"/>
      <c r="R198" s="25" t="n"/>
      <c r="S198" s="25" t="n"/>
      <c r="T198" s="25" t="n"/>
      <c r="U198" s="25" t="n"/>
      <c r="V198" s="25" t="n"/>
      <c r="W198" s="25" t="n"/>
      <c r="X198" s="25" t="n"/>
      <c r="Y198" s="25" t="n"/>
      <c r="Z198" s="25" t="n"/>
      <c r="AA198" s="25" t="n"/>
      <c r="AB198" s="25" t="n"/>
      <c r="AC198" s="25" t="n"/>
      <c r="AD198" s="25" t="n"/>
      <c r="AE198" s="25" t="n"/>
      <c r="AG198" s="11">
        <f>CodePrefix&amp;$A198&amp;IF($C198="","","."&amp;$C198&amp;"."&amp;$B198)&amp;INDEX(VarEnd,MATCH($A198,VarKey,0))&amp;AG$5</f>
        <v/>
      </c>
      <c r="AH198" s="25" t="n"/>
      <c r="AI198" s="25" t="n"/>
      <c r="AJ198" s="25" t="n"/>
      <c r="AK198" s="25" t="n"/>
      <c r="AL198" s="25" t="n"/>
      <c r="AM198" s="25" t="n"/>
      <c r="AN198" s="25" t="n"/>
      <c r="AO198" s="25" t="n"/>
      <c r="AP198" s="25" t="n"/>
      <c r="AQ198" s="25" t="n"/>
      <c r="AR198" s="25" t="n"/>
      <c r="AS198" s="25" t="n"/>
      <c r="AT198" s="25" t="n"/>
      <c r="AU198" s="25" t="n"/>
      <c r="AV198" s="25" t="n"/>
      <c r="AW198" s="25" t="n"/>
      <c r="AX198" s="25" t="n"/>
      <c r="AY198" s="25" t="n"/>
      <c r="AZ198" s="25" t="n"/>
      <c r="BA198" s="25" t="n"/>
    </row>
    <row r="199" hidden="1" outlineLevel="1">
      <c r="A199" s="1" t="inlineStr">
        <is>
          <t>ets.p</t>
        </is>
      </c>
      <c r="B199" s="1" t="inlineStr"/>
      <c r="C199" s="1" t="inlineStr"/>
      <c r="H199" s="1">
        <f>INDEX(VarLab,MATCH($A199,VarKey,0))&amp;INDEX(MemLab,MATCH($C199&amp;"|"&amp;$B199,MemKey,0))</f>
        <v/>
      </c>
      <c r="I199" s="1">
        <f>INDEX(VarUnit,MATCH($A199,VarKey,0))</f>
        <v/>
      </c>
      <c r="J199" s="1">
        <f>INDEX(VarSrc,MATCH($A199,VarKey,0))</f>
        <v/>
      </c>
      <c r="K199" s="17">
        <f>CodePrefix&amp;$A199&amp;IF($C199="","","."&amp;$C199&amp;"."&amp;$B199)&amp;INDEX(VarEnd,MATCH($A199,VarKey,0))&amp;K$5</f>
        <v/>
      </c>
      <c r="L199" s="18">
        <f>IF(L$105=1,IF(LEFT(L$101,3)="Yes",IF(L$198="",L$12,L$198),L$197),0)</f>
        <v/>
      </c>
      <c r="M199" s="19">
        <f>IF(M$105=1,IF(LEFT(M$101,3)="Yes",IF(M$198="",M$12,M$198),M$197),0)</f>
        <v/>
      </c>
      <c r="N199" s="19">
        <f>IF(N$105=1,IF(LEFT(N$101,3)="Yes",IF(N$198="",N$12,N$198),N$197),0)</f>
        <v/>
      </c>
      <c r="O199" s="19">
        <f>IF(O$105=1,IF(LEFT(O$101,3)="Yes",IF(O$198="",O$12,O$198),O$197),0)</f>
        <v/>
      </c>
      <c r="P199" s="19">
        <f>IF(P$105=1,IF(LEFT(P$101,3)="Yes",IF(P$198="",P$12,P$198),P$197),0)</f>
        <v/>
      </c>
      <c r="Q199" s="19">
        <f>IF(Q$105=1,IF(LEFT(Q$101,3)="Yes",IF(Q$198="",Q$12,Q$198),Q$197),0)</f>
        <v/>
      </c>
      <c r="R199" s="19">
        <f>IF(R$105=1,IF(LEFT(R$101,3)="Yes",IF(R$198="",R$12,R$198),R$197),0)</f>
        <v/>
      </c>
      <c r="S199" s="19">
        <f>IF(S$105=1,IF(LEFT(S$101,3)="Yes",IF(S$198="",S$12,S$198),S$197),0)</f>
        <v/>
      </c>
      <c r="T199" s="19">
        <f>IF(T$105=1,IF(LEFT(T$101,3)="Yes",IF(T$198="",T$12,T$198),T$197),0)</f>
        <v/>
      </c>
      <c r="U199" s="19">
        <f>IF(U$105=1,IF(LEFT(U$101,3)="Yes",IF(U$198="",U$12,U$198),U$197),0)</f>
        <v/>
      </c>
      <c r="V199" s="19">
        <f>IF(V$105=1,IF(LEFT(V$101,3)="Yes",IF(V$198="",V$12,V$198),V$197),0)</f>
        <v/>
      </c>
      <c r="W199" s="19">
        <f>IF(W$105=1,IF(LEFT(W$101,3)="Yes",IF(W$198="",W$12,W$198),W$197),0)</f>
        <v/>
      </c>
      <c r="X199" s="19">
        <f>IF(X$105=1,IF(LEFT(X$101,3)="Yes",IF(X$198="",X$12,X$198),X$197),0)</f>
        <v/>
      </c>
      <c r="Y199" s="19">
        <f>IF(Y$105=1,IF(LEFT(Y$101,3)="Yes",IF(Y$198="",Y$12,Y$198),Y$197),0)</f>
        <v/>
      </c>
      <c r="Z199" s="19">
        <f>IF(Z$105=1,IF(LEFT(Z$101,3)="Yes",IF(Z$198="",Z$12,Z$198),Z$197),0)</f>
        <v/>
      </c>
      <c r="AA199" s="19">
        <f>IF(AA$105=1,IF(LEFT(AA$101,3)="Yes",IF(AA$198="",AA$12,AA$198),AA$197),0)</f>
        <v/>
      </c>
      <c r="AB199" s="19">
        <f>IF(AB$105=1,IF(LEFT(AB$101,3)="Yes",IF(AB$198="",AB$12,AB$198),AB$197),0)</f>
        <v/>
      </c>
      <c r="AC199" s="19">
        <f>IF(AC$105=1,IF(LEFT(AC$101,3)="Yes",IF(AC$198="",AC$12,AC$198),AC$197),0)</f>
        <v/>
      </c>
      <c r="AD199" s="19">
        <f>IF(AD$105=1,IF(LEFT(AD$101,3)="Yes",IF(AD$198="",AD$12,AD$198),AD$197),0)</f>
        <v/>
      </c>
      <c r="AE199" s="20">
        <f>ETSPRICE(AE$105,AE$101,AE$198,AE$197,AE$12)</f>
        <v/>
      </c>
      <c r="AG199" s="17">
        <f>CodePrefix&amp;$A199&amp;IF($C199="","","."&amp;$C199&amp;"."&amp;$B199)&amp;INDEX(VarEnd,MATCH($A199,VarKey,0))&amp;AG$5</f>
        <v/>
      </c>
      <c r="AH199" s="18">
        <f>IF(AH$105=1,IF(LEFT(AH$101,3)="Yes",IF(AH$198="",AH$12,AH$198),AH$197),0)</f>
        <v/>
      </c>
      <c r="AI199" s="19">
        <f>IF(AI$105=1,IF(LEFT(AI$101,3)="Yes",IF(AI$198="",AI$12,AI$198),AI$197),0)</f>
        <v/>
      </c>
      <c r="AJ199" s="19">
        <f>IF(AJ$105=1,IF(LEFT(AJ$101,3)="Yes",IF(AJ$198="",AJ$12,AJ$198),AJ$197),0)</f>
        <v/>
      </c>
      <c r="AK199" s="19">
        <f>IF(AK$105=1,IF(LEFT(AK$101,3)="Yes",IF(AK$198="",AK$12,AK$198),AK$197),0)</f>
        <v/>
      </c>
      <c r="AL199" s="19">
        <f>IF(AL$105=1,IF(LEFT(AL$101,3)="Yes",IF(AL$198="",AL$12,AL$198),AL$197),0)</f>
        <v/>
      </c>
      <c r="AM199" s="19">
        <f>IF(AM$105=1,IF(LEFT(AM$101,3)="Yes",IF(AM$198="",AM$12,AM$198),AM$197),0)</f>
        <v/>
      </c>
      <c r="AN199" s="19">
        <f>IF(AN$105=1,IF(LEFT(AN$101,3)="Yes",IF(AN$198="",AN$12,AN$198),AN$197),0)</f>
        <v/>
      </c>
      <c r="AO199" s="19">
        <f>IF(AO$105=1,IF(LEFT(AO$101,3)="Yes",IF(AO$198="",AO$12,AO$198),AO$197),0)</f>
        <v/>
      </c>
      <c r="AP199" s="19">
        <f>IF(AP$105=1,IF(LEFT(AP$101,3)="Yes",IF(AP$198="",AP$12,AP$198),AP$197),0)</f>
        <v/>
      </c>
      <c r="AQ199" s="19">
        <f>IF(AQ$105=1,IF(LEFT(AQ$101,3)="Yes",IF(AQ$198="",AQ$12,AQ$198),AQ$197),0)</f>
        <v/>
      </c>
      <c r="AR199" s="19">
        <f>IF(AR$105=1,IF(LEFT(AR$101,3)="Yes",IF(AR$198="",AR$12,AR$198),AR$197),0)</f>
        <v/>
      </c>
      <c r="AS199" s="19">
        <f>IF(AS$105=1,IF(LEFT(AS$101,3)="Yes",IF(AS$198="",AS$12,AS$198),AS$197),0)</f>
        <v/>
      </c>
      <c r="AT199" s="19">
        <f>IF(AT$105=1,IF(LEFT(AT$101,3)="Yes",IF(AT$198="",AT$12,AT$198),AT$197),0)</f>
        <v/>
      </c>
      <c r="AU199" s="19">
        <f>IF(AU$105=1,IF(LEFT(AU$101,3)="Yes",IF(AU$198="",AU$12,AU$198),AU$197),0)</f>
        <v/>
      </c>
      <c r="AV199" s="19">
        <f>IF(AV$105=1,IF(LEFT(AV$101,3)="Yes",IF(AV$198="",AV$12,AV$198),AV$197),0)</f>
        <v/>
      </c>
      <c r="AW199" s="19">
        <f>IF(AW$105=1,IF(LEFT(AW$101,3)="Yes",IF(AW$198="",AW$12,AW$198),AW$197),0)</f>
        <v/>
      </c>
      <c r="AX199" s="19">
        <f>IF(AX$105=1,IF(LEFT(AX$101,3)="Yes",IF(AX$198="",AX$12,AX$198),AX$197),0)</f>
        <v/>
      </c>
      <c r="AY199" s="19">
        <f>IF(AY$105=1,IF(LEFT(AY$101,3)="Yes",IF(AY$198="",AY$12,AY$198),AY$197),0)</f>
        <v/>
      </c>
      <c r="AZ199" s="19">
        <f>IF(AZ$105=1,IF(LEFT(AZ$101,3)="Yes",IF(AZ$198="",AZ$12,AZ$198),AZ$197),0)</f>
        <v/>
      </c>
      <c r="BA199" s="20">
        <f>ETSPRICE(BA$105,BA$101,BA$198,BA$197,BA$12)</f>
        <v/>
      </c>
    </row>
    <row r="200" hidden="1" outlineLevel="1">
      <c r="A200" s="1" t="inlineStr">
        <is>
          <t>ets.pe</t>
        </is>
      </c>
      <c r="B200" s="1" t="inlineStr"/>
      <c r="C200" s="1" t="inlineStr"/>
      <c r="H200" s="1">
        <f>INDEX(VarLab,MATCH($A200,VarKey,0))&amp;INDEX(MemLab,MATCH($C200&amp;"|"&amp;$B200,MemKey,0))</f>
        <v/>
      </c>
      <c r="I200" s="1">
        <f>INDEX(VarUnit,MATCH($A200,VarKey,0))</f>
        <v/>
      </c>
      <c r="J200" s="1">
        <f>INDEX(VarSrc,MATCH($A200,VarKey,0))</f>
        <v/>
      </c>
      <c r="K200" s="17">
        <f>CodePrefix&amp;$A200&amp;IF($C200="","","."&amp;$C200&amp;"."&amp;$B200)&amp;INDEX(VarEnd,MATCH($A200,VarKey,0))&amp;K$5</f>
        <v/>
      </c>
      <c r="L200" s="18">
        <f>L$199*L$192</f>
        <v/>
      </c>
      <c r="M200" s="19">
        <f>M$199*M$192</f>
        <v/>
      </c>
      <c r="N200" s="19">
        <f>N$199*N$192</f>
        <v/>
      </c>
      <c r="O200" s="19">
        <f>O$199*O$192</f>
        <v/>
      </c>
      <c r="P200" s="19">
        <f>P$199*P$192</f>
        <v/>
      </c>
      <c r="Q200" s="19">
        <f>Q$199*Q$192</f>
        <v/>
      </c>
      <c r="R200" s="19">
        <f>R$199*R$192</f>
        <v/>
      </c>
      <c r="S200" s="19">
        <f>S$199*S$192</f>
        <v/>
      </c>
      <c r="T200" s="19">
        <f>T$199*T$192</f>
        <v/>
      </c>
      <c r="U200" s="19">
        <f>U$199*U$192</f>
        <v/>
      </c>
      <c r="V200" s="19">
        <f>V$199*V$192</f>
        <v/>
      </c>
      <c r="W200" s="19">
        <f>W$199*W$192</f>
        <v/>
      </c>
      <c r="X200" s="19">
        <f>X$199*X$192</f>
        <v/>
      </c>
      <c r="Y200" s="19">
        <f>Y$199*Y$192</f>
        <v/>
      </c>
      <c r="Z200" s="19">
        <f>Z$199*Z$192</f>
        <v/>
      </c>
      <c r="AA200" s="19">
        <f>AA$199*AA$192</f>
        <v/>
      </c>
      <c r="AB200" s="19">
        <f>AB$199*AB$192</f>
        <v/>
      </c>
      <c r="AC200" s="19">
        <f>AC$199*AC$192</f>
        <v/>
      </c>
      <c r="AD200" s="19">
        <f>AD$199*AD$192</f>
        <v/>
      </c>
      <c r="AE200" s="20">
        <f>TAXEQUIV(AE$199,AE$192)</f>
        <v/>
      </c>
      <c r="AG200" s="17">
        <f>CodePrefix&amp;$A200&amp;IF($C200="","","."&amp;$C200&amp;"."&amp;$B200)&amp;INDEX(VarEnd,MATCH($A200,VarKey,0))&amp;AG$5</f>
        <v/>
      </c>
      <c r="AH200" s="18">
        <f>AH$199*AH$192</f>
        <v/>
      </c>
      <c r="AI200" s="19">
        <f>AI$199*AI$192</f>
        <v/>
      </c>
      <c r="AJ200" s="19">
        <f>AJ$199*AJ$192</f>
        <v/>
      </c>
      <c r="AK200" s="19">
        <f>AK$199*AK$192</f>
        <v/>
      </c>
      <c r="AL200" s="19">
        <f>AL$199*AL$192</f>
        <v/>
      </c>
      <c r="AM200" s="19">
        <f>AM$199*AM$192</f>
        <v/>
      </c>
      <c r="AN200" s="19">
        <f>AN$199*AN$192</f>
        <v/>
      </c>
      <c r="AO200" s="19">
        <f>AO$199*AO$192</f>
        <v/>
      </c>
      <c r="AP200" s="19">
        <f>AP$199*AP$192</f>
        <v/>
      </c>
      <c r="AQ200" s="19">
        <f>AQ$199*AQ$192</f>
        <v/>
      </c>
      <c r="AR200" s="19">
        <f>AR$199*AR$192</f>
        <v/>
      </c>
      <c r="AS200" s="19">
        <f>AS$199*AS$192</f>
        <v/>
      </c>
      <c r="AT200" s="19">
        <f>AT$199*AT$192</f>
        <v/>
      </c>
      <c r="AU200" s="19">
        <f>AU$199*AU$192</f>
        <v/>
      </c>
      <c r="AV200" s="19">
        <f>AV$199*AV$192</f>
        <v/>
      </c>
      <c r="AW200" s="19">
        <f>AW$199*AW$192</f>
        <v/>
      </c>
      <c r="AX200" s="19">
        <f>AX$199*AX$192</f>
        <v/>
      </c>
      <c r="AY200" s="19">
        <f>AY$199*AY$192</f>
        <v/>
      </c>
      <c r="AZ200" s="19">
        <f>AZ$199*AZ$192</f>
        <v/>
      </c>
      <c r="BA200" s="20">
        <f>TAXEQUIV(BA$199,BA$192)</f>
        <v/>
      </c>
    </row>
    <row r="201" hidden="1" outlineLevel="1">
      <c r="A201" s="1" t="inlineStr">
        <is>
          <t>ets.rf</t>
        </is>
      </c>
      <c r="B201" s="1" t="inlineStr"/>
      <c r="C201" s="1" t="inlineStr"/>
      <c r="H201" s="1">
        <f>INDEX(VarLab,MATCH($A201,VarKey,0))&amp;INDEX(MemLab,MATCH($C201&amp;"|"&amp;$B201,MemKey,0))</f>
        <v/>
      </c>
      <c r="I201" s="1">
        <f>INDEX(VarUnit,MATCH($A201,VarKey,0))</f>
        <v/>
      </c>
      <c r="J201" s="1">
        <f>INDEX(VarSrc,MATCH($A201,VarKey,0))</f>
        <v/>
      </c>
      <c r="K201" s="17">
        <f>CodePrefix&amp;$A201&amp;IF($C201="","","."&amp;$C201&amp;"."&amp;$B201)&amp;INDEX(VarEnd,MATCH($A201,VarKey,0))&amp;K$5</f>
        <v/>
      </c>
      <c r="L201" s="18">
        <f>IF(L$192&gt;0,1/L$192,0)</f>
        <v/>
      </c>
      <c r="M201" s="19">
        <f>IF(M$192&gt;0,1/M$192,0)</f>
        <v/>
      </c>
      <c r="N201" s="19">
        <f>IF(N$192&gt;0,1/N$192,0)</f>
        <v/>
      </c>
      <c r="O201" s="19">
        <f>IF(O$192&gt;0,1/O$192,0)</f>
        <v/>
      </c>
      <c r="P201" s="19">
        <f>IF(P$192&gt;0,1/P$192,0)</f>
        <v/>
      </c>
      <c r="Q201" s="19">
        <f>IF(Q$192&gt;0,1/Q$192,0)</f>
        <v/>
      </c>
      <c r="R201" s="19">
        <f>IF(R$192&gt;0,1/R$192,0)</f>
        <v/>
      </c>
      <c r="S201" s="19">
        <f>IF(S$192&gt;0,1/S$192,0)</f>
        <v/>
      </c>
      <c r="T201" s="19">
        <f>IF(T$192&gt;0,1/T$192,0)</f>
        <v/>
      </c>
      <c r="U201" s="19">
        <f>IF(U$192&gt;0,1/U$192,0)</f>
        <v/>
      </c>
      <c r="V201" s="19">
        <f>IF(V$192&gt;0,1/V$192,0)</f>
        <v/>
      </c>
      <c r="W201" s="19">
        <f>IF(W$192&gt;0,1/W$192,0)</f>
        <v/>
      </c>
      <c r="X201" s="19">
        <f>IF(X$192&gt;0,1/X$192,0)</f>
        <v/>
      </c>
      <c r="Y201" s="19">
        <f>IF(Y$192&gt;0,1/Y$192,0)</f>
        <v/>
      </c>
      <c r="Z201" s="19">
        <f>IF(Z$192&gt;0,1/Z$192,0)</f>
        <v/>
      </c>
      <c r="AA201" s="19">
        <f>IF(AA$192&gt;0,1/AA$192,0)</f>
        <v/>
      </c>
      <c r="AB201" s="19">
        <f>IF(AB$192&gt;0,1/AB$192,0)</f>
        <v/>
      </c>
      <c r="AC201" s="19">
        <f>IF(AC$192&gt;0,1/AC$192,0)</f>
        <v/>
      </c>
      <c r="AD201" s="19">
        <f>IF(AD$192&gt;0,1/AD$192,0)</f>
        <v/>
      </c>
      <c r="AE201" s="20">
        <f>REVFACTOR(AE$192)</f>
        <v/>
      </c>
      <c r="AG201" s="17">
        <f>CodePrefix&amp;$A201&amp;IF($C201="","","."&amp;$C201&amp;"."&amp;$B201)&amp;INDEX(VarEnd,MATCH($A201,VarKey,0))&amp;AG$5</f>
        <v/>
      </c>
      <c r="AH201" s="18">
        <f>IF(AH$192&gt;0,1/AH$192,0)</f>
        <v/>
      </c>
      <c r="AI201" s="19">
        <f>IF(AI$192&gt;0,1/AI$192,0)</f>
        <v/>
      </c>
      <c r="AJ201" s="19">
        <f>IF(AJ$192&gt;0,1/AJ$192,0)</f>
        <v/>
      </c>
      <c r="AK201" s="19">
        <f>IF(AK$192&gt;0,1/AK$192,0)</f>
        <v/>
      </c>
      <c r="AL201" s="19">
        <f>IF(AL$192&gt;0,1/AL$192,0)</f>
        <v/>
      </c>
      <c r="AM201" s="19">
        <f>IF(AM$192&gt;0,1/AM$192,0)</f>
        <v/>
      </c>
      <c r="AN201" s="19">
        <f>IF(AN$192&gt;0,1/AN$192,0)</f>
        <v/>
      </c>
      <c r="AO201" s="19">
        <f>IF(AO$192&gt;0,1/AO$192,0)</f>
        <v/>
      </c>
      <c r="AP201" s="19">
        <f>IF(AP$192&gt;0,1/AP$192,0)</f>
        <v/>
      </c>
      <c r="AQ201" s="19">
        <f>IF(AQ$192&gt;0,1/AQ$192,0)</f>
        <v/>
      </c>
      <c r="AR201" s="19">
        <f>IF(AR$192&gt;0,1/AR$192,0)</f>
        <v/>
      </c>
      <c r="AS201" s="19">
        <f>IF(AS$192&gt;0,1/AS$192,0)</f>
        <v/>
      </c>
      <c r="AT201" s="19">
        <f>IF(AT$192&gt;0,1/AT$192,0)</f>
        <v/>
      </c>
      <c r="AU201" s="19">
        <f>IF(AU$192&gt;0,1/AU$192,0)</f>
        <v/>
      </c>
      <c r="AV201" s="19">
        <f>IF(AV$192&gt;0,1/AV$192,0)</f>
        <v/>
      </c>
      <c r="AW201" s="19">
        <f>IF(AW$192&gt;0,1/AW$192,0)</f>
        <v/>
      </c>
      <c r="AX201" s="19">
        <f>IF(AX$192&gt;0,1/AX$192,0)</f>
        <v/>
      </c>
      <c r="AY201" s="19">
        <f>IF(AY$192&gt;0,1/AY$192,0)</f>
        <v/>
      </c>
      <c r="AZ201" s="19">
        <f>IF(AZ$192&gt;0,1/AZ$192,0)</f>
        <v/>
      </c>
      <c r="BA201" s="20">
        <f>REVFACTOR(BA$192)</f>
        <v/>
      </c>
    </row>
    <row r="202" hidden="1" outlineLevel="1">
      <c r="H202" s="21" t="inlineStr">
        <is>
          <t>Feebates (MTInputs rows 53-64; rates in USD/tCO2)</t>
        </is>
      </c>
    </row>
    <row r="203" hidden="1" outlineLevel="1">
      <c r="A203" s="14" t="inlineStr">
        <is>
          <t>fb.yr0</t>
        </is>
      </c>
      <c r="B203" s="14" t="inlineStr"/>
      <c r="C203" s="14" t="inlineStr"/>
      <c r="D203" s="22" t="n">
        <v>53</v>
      </c>
      <c r="H203" s="14">
        <f>INDEX(VarLab,MATCH($A203,VarKey,0))&amp;INDEX(MemLab,MATCH($C203&amp;"|"&amp;$B203,MemKey,0))</f>
        <v/>
      </c>
      <c r="I203" s="14">
        <f>INDEX(VarUnit,MATCH($A203,VarKey,0))</f>
        <v/>
      </c>
      <c r="J203" s="14">
        <f>INDEX(VarSrc,MATCH($A203,VarKey,0))</f>
        <v/>
      </c>
      <c r="K203" s="11">
        <f>CodePrefix&amp;$A203&amp;IF($C203="","","."&amp;$C203&amp;"."&amp;$B203)&amp;INDEX(VarEnd,MATCH($A203,VarKey,0))&amp;K$5</f>
        <v/>
      </c>
      <c r="L203" s="9">
        <f>INDEX(MTInputs!$J$1:$AZ$415,$D203,MATCH(L$5,MTInputs!$J$5:$AZ$5,0))</f>
        <v/>
      </c>
      <c r="M203" s="10">
        <f>INDEX(MTInputs!$J$1:$AZ$415,$D203,MATCH(M$5,MTInputs!$J$5:$AZ$5,0))</f>
        <v/>
      </c>
      <c r="N203" s="10">
        <f>INDEX(MTInputs!$J$1:$AZ$415,$D203,MATCH(N$5,MTInputs!$J$5:$AZ$5,0))</f>
        <v/>
      </c>
      <c r="O203" s="10">
        <f>INDEX(MTInputs!$J$1:$AZ$415,$D203,MATCH(O$5,MTInputs!$J$5:$AZ$5,0))</f>
        <v/>
      </c>
      <c r="P203" s="10">
        <f>INDEX(MTInputs!$J$1:$AZ$415,$D203,MATCH(P$5,MTInputs!$J$5:$AZ$5,0))</f>
        <v/>
      </c>
      <c r="Q203" s="10">
        <f>INDEX(MTInputs!$J$1:$AZ$415,$D203,MATCH(Q$5,MTInputs!$J$5:$AZ$5,0))</f>
        <v/>
      </c>
      <c r="R203" s="10">
        <f>INDEX(MTInputs!$J$1:$AZ$415,$D203,MATCH(R$5,MTInputs!$J$5:$AZ$5,0))</f>
        <v/>
      </c>
      <c r="S203" s="10">
        <f>INDEX(MTInputs!$J$1:$AZ$415,$D203,MATCH(S$5,MTInputs!$J$5:$AZ$5,0))</f>
        <v/>
      </c>
      <c r="T203" s="10">
        <f>INDEX(MTInputs!$J$1:$AZ$415,$D203,MATCH(T$5,MTInputs!$J$5:$AZ$5,0))</f>
        <v/>
      </c>
      <c r="U203" s="10">
        <f>INDEX(MTInputs!$J$1:$AZ$415,$D203,MATCH(U$5,MTInputs!$J$5:$AZ$5,0))</f>
        <v/>
      </c>
      <c r="V203" s="10">
        <f>INDEX(MTInputs!$J$1:$AZ$415,$D203,MATCH(V$5,MTInputs!$J$5:$AZ$5,0))</f>
        <v/>
      </c>
      <c r="W203" s="10">
        <f>INDEX(MTInputs!$J$1:$AZ$415,$D203,MATCH(W$5,MTInputs!$J$5:$AZ$5,0))</f>
        <v/>
      </c>
      <c r="X203" s="10">
        <f>INDEX(MTInputs!$J$1:$AZ$415,$D203,MATCH(X$5,MTInputs!$J$5:$AZ$5,0))</f>
        <v/>
      </c>
      <c r="Y203" s="10">
        <f>INDEX(MTInputs!$J$1:$AZ$415,$D203,MATCH(Y$5,MTInputs!$J$5:$AZ$5,0))</f>
        <v/>
      </c>
      <c r="Z203" s="10">
        <f>INDEX(MTInputs!$J$1:$AZ$415,$D203,MATCH(Z$5,MTInputs!$J$5:$AZ$5,0))</f>
        <v/>
      </c>
      <c r="AA203" s="10">
        <f>INDEX(MTInputs!$J$1:$AZ$415,$D203,MATCH(AA$5,MTInputs!$J$5:$AZ$5,0))</f>
        <v/>
      </c>
      <c r="AB203" s="10">
        <f>INDEX(MTInputs!$J$1:$AZ$415,$D203,MATCH(AB$5,MTInputs!$J$5:$AZ$5,0))</f>
        <v/>
      </c>
      <c r="AC203" s="10">
        <f>INDEX(MTInputs!$J$1:$AZ$415,$D203,MATCH(AC$5,MTInputs!$J$5:$AZ$5,0))</f>
        <v/>
      </c>
      <c r="AD203" s="10">
        <f>INDEX(MTInputs!$J$1:$AZ$415,$D203,MATCH(AD$5,MTInputs!$J$5:$AZ$5,0))</f>
        <v/>
      </c>
      <c r="AE203" s="10">
        <f>INDEX(MTInputs!$J$1:$AZ$415,$D203,MATCH(AE$5,MTInputs!$J$5:$AZ$5,0))</f>
        <v/>
      </c>
      <c r="AG203" s="11">
        <f>CodePrefix&amp;$A203&amp;IF($C203="","","."&amp;$C203&amp;"."&amp;$B203)&amp;INDEX(VarEnd,MATCH($A203,VarKey,0))&amp;AG$5</f>
        <v/>
      </c>
      <c r="AH203" s="9">
        <f>INDEX(MTInputs!$J$1:$AZ$415,$D203,MATCH(AH$5,MTInputs!$J$5:$AZ$5,0))</f>
        <v/>
      </c>
      <c r="AI203" s="10">
        <f>INDEX(MTInputs!$J$1:$AZ$415,$D203,MATCH(AI$5,MTInputs!$J$5:$AZ$5,0))</f>
        <v/>
      </c>
      <c r="AJ203" s="10">
        <f>INDEX(MTInputs!$J$1:$AZ$415,$D203,MATCH(AJ$5,MTInputs!$J$5:$AZ$5,0))</f>
        <v/>
      </c>
      <c r="AK203" s="10">
        <f>INDEX(MTInputs!$J$1:$AZ$415,$D203,MATCH(AK$5,MTInputs!$J$5:$AZ$5,0))</f>
        <v/>
      </c>
      <c r="AL203" s="10">
        <f>INDEX(MTInputs!$J$1:$AZ$415,$D203,MATCH(AL$5,MTInputs!$J$5:$AZ$5,0))</f>
        <v/>
      </c>
      <c r="AM203" s="10">
        <f>INDEX(MTInputs!$J$1:$AZ$415,$D203,MATCH(AM$5,MTInputs!$J$5:$AZ$5,0))</f>
        <v/>
      </c>
      <c r="AN203" s="10">
        <f>INDEX(MTInputs!$J$1:$AZ$415,$D203,MATCH(AN$5,MTInputs!$J$5:$AZ$5,0))</f>
        <v/>
      </c>
      <c r="AO203" s="10">
        <f>INDEX(MTInputs!$J$1:$AZ$415,$D203,MATCH(AO$5,MTInputs!$J$5:$AZ$5,0))</f>
        <v/>
      </c>
      <c r="AP203" s="10">
        <f>INDEX(MTInputs!$J$1:$AZ$415,$D203,MATCH(AP$5,MTInputs!$J$5:$AZ$5,0))</f>
        <v/>
      </c>
      <c r="AQ203" s="10">
        <f>INDEX(MTInputs!$J$1:$AZ$415,$D203,MATCH(AQ$5,MTInputs!$J$5:$AZ$5,0))</f>
        <v/>
      </c>
      <c r="AR203" s="10">
        <f>INDEX(MTInputs!$J$1:$AZ$415,$D203,MATCH(AR$5,MTInputs!$J$5:$AZ$5,0))</f>
        <v/>
      </c>
      <c r="AS203" s="10">
        <f>INDEX(MTInputs!$J$1:$AZ$415,$D203,MATCH(AS$5,MTInputs!$J$5:$AZ$5,0))</f>
        <v/>
      </c>
      <c r="AT203" s="10">
        <f>INDEX(MTInputs!$J$1:$AZ$415,$D203,MATCH(AT$5,MTInputs!$J$5:$AZ$5,0))</f>
        <v/>
      </c>
      <c r="AU203" s="10">
        <f>INDEX(MTInputs!$J$1:$AZ$415,$D203,MATCH(AU$5,MTInputs!$J$5:$AZ$5,0))</f>
        <v/>
      </c>
      <c r="AV203" s="10">
        <f>INDEX(MTInputs!$J$1:$AZ$415,$D203,MATCH(AV$5,MTInputs!$J$5:$AZ$5,0))</f>
        <v/>
      </c>
      <c r="AW203" s="10">
        <f>INDEX(MTInputs!$J$1:$AZ$415,$D203,MATCH(AW$5,MTInputs!$J$5:$AZ$5,0))</f>
        <v/>
      </c>
      <c r="AX203" s="10">
        <f>INDEX(MTInputs!$J$1:$AZ$415,$D203,MATCH(AX$5,MTInputs!$J$5:$AZ$5,0))</f>
        <v/>
      </c>
      <c r="AY203" s="10">
        <f>INDEX(MTInputs!$J$1:$AZ$415,$D203,MATCH(AY$5,MTInputs!$J$5:$AZ$5,0))</f>
        <v/>
      </c>
      <c r="AZ203" s="10">
        <f>INDEX(MTInputs!$J$1:$AZ$415,$D203,MATCH(AZ$5,MTInputs!$J$5:$AZ$5,0))</f>
        <v/>
      </c>
      <c r="BA203" s="10">
        <f>INDEX(MTInputs!$J$1:$AZ$415,$D203,MATCH(BA$5,MTInputs!$J$5:$AZ$5,0))</f>
        <v/>
      </c>
    </row>
    <row r="204" hidden="1" outlineLevel="1">
      <c r="A204" s="14" t="inlineStr">
        <is>
          <t>fb.yr1</t>
        </is>
      </c>
      <c r="B204" s="14" t="inlineStr"/>
      <c r="C204" s="14" t="inlineStr"/>
      <c r="D204" s="22" t="n">
        <v>54</v>
      </c>
      <c r="H204" s="14">
        <f>INDEX(VarLab,MATCH($A204,VarKey,0))&amp;INDEX(MemLab,MATCH($C204&amp;"|"&amp;$B204,MemKey,0))</f>
        <v/>
      </c>
      <c r="I204" s="14">
        <f>INDEX(VarUnit,MATCH($A204,VarKey,0))</f>
        <v/>
      </c>
      <c r="J204" s="14">
        <f>INDEX(VarSrc,MATCH($A204,VarKey,0))</f>
        <v/>
      </c>
      <c r="K204" s="11">
        <f>CodePrefix&amp;$A204&amp;IF($C204="","","."&amp;$C204&amp;"."&amp;$B204)&amp;INDEX(VarEnd,MATCH($A204,VarKey,0))&amp;K$5</f>
        <v/>
      </c>
      <c r="L204" s="9">
        <f>INDEX(MTInputs!$J$1:$AZ$415,$D204,MATCH(L$5,MTInputs!$J$5:$AZ$5,0))</f>
        <v/>
      </c>
      <c r="M204" s="10">
        <f>INDEX(MTInputs!$J$1:$AZ$415,$D204,MATCH(M$5,MTInputs!$J$5:$AZ$5,0))</f>
        <v/>
      </c>
      <c r="N204" s="10">
        <f>INDEX(MTInputs!$J$1:$AZ$415,$D204,MATCH(N$5,MTInputs!$J$5:$AZ$5,0))</f>
        <v/>
      </c>
      <c r="O204" s="10">
        <f>INDEX(MTInputs!$J$1:$AZ$415,$D204,MATCH(O$5,MTInputs!$J$5:$AZ$5,0))</f>
        <v/>
      </c>
      <c r="P204" s="10">
        <f>INDEX(MTInputs!$J$1:$AZ$415,$D204,MATCH(P$5,MTInputs!$J$5:$AZ$5,0))</f>
        <v/>
      </c>
      <c r="Q204" s="10">
        <f>INDEX(MTInputs!$J$1:$AZ$415,$D204,MATCH(Q$5,MTInputs!$J$5:$AZ$5,0))</f>
        <v/>
      </c>
      <c r="R204" s="10">
        <f>INDEX(MTInputs!$J$1:$AZ$415,$D204,MATCH(R$5,MTInputs!$J$5:$AZ$5,0))</f>
        <v/>
      </c>
      <c r="S204" s="10">
        <f>INDEX(MTInputs!$J$1:$AZ$415,$D204,MATCH(S$5,MTInputs!$J$5:$AZ$5,0))</f>
        <v/>
      </c>
      <c r="T204" s="10">
        <f>INDEX(MTInputs!$J$1:$AZ$415,$D204,MATCH(T$5,MTInputs!$J$5:$AZ$5,0))</f>
        <v/>
      </c>
      <c r="U204" s="10">
        <f>INDEX(MTInputs!$J$1:$AZ$415,$D204,MATCH(U$5,MTInputs!$J$5:$AZ$5,0))</f>
        <v/>
      </c>
      <c r="V204" s="10">
        <f>INDEX(MTInputs!$J$1:$AZ$415,$D204,MATCH(V$5,MTInputs!$J$5:$AZ$5,0))</f>
        <v/>
      </c>
      <c r="W204" s="10">
        <f>INDEX(MTInputs!$J$1:$AZ$415,$D204,MATCH(W$5,MTInputs!$J$5:$AZ$5,0))</f>
        <v/>
      </c>
      <c r="X204" s="10">
        <f>INDEX(MTInputs!$J$1:$AZ$415,$D204,MATCH(X$5,MTInputs!$J$5:$AZ$5,0))</f>
        <v/>
      </c>
      <c r="Y204" s="10">
        <f>INDEX(MTInputs!$J$1:$AZ$415,$D204,MATCH(Y$5,MTInputs!$J$5:$AZ$5,0))</f>
        <v/>
      </c>
      <c r="Z204" s="10">
        <f>INDEX(MTInputs!$J$1:$AZ$415,$D204,MATCH(Z$5,MTInputs!$J$5:$AZ$5,0))</f>
        <v/>
      </c>
      <c r="AA204" s="10">
        <f>INDEX(MTInputs!$J$1:$AZ$415,$D204,MATCH(AA$5,MTInputs!$J$5:$AZ$5,0))</f>
        <v/>
      </c>
      <c r="AB204" s="10">
        <f>INDEX(MTInputs!$J$1:$AZ$415,$D204,MATCH(AB$5,MTInputs!$J$5:$AZ$5,0))</f>
        <v/>
      </c>
      <c r="AC204" s="10">
        <f>INDEX(MTInputs!$J$1:$AZ$415,$D204,MATCH(AC$5,MTInputs!$J$5:$AZ$5,0))</f>
        <v/>
      </c>
      <c r="AD204" s="10">
        <f>INDEX(MTInputs!$J$1:$AZ$415,$D204,MATCH(AD$5,MTInputs!$J$5:$AZ$5,0))</f>
        <v/>
      </c>
      <c r="AE204" s="10">
        <f>INDEX(MTInputs!$J$1:$AZ$415,$D204,MATCH(AE$5,MTInputs!$J$5:$AZ$5,0))</f>
        <v/>
      </c>
      <c r="AG204" s="11">
        <f>CodePrefix&amp;$A204&amp;IF($C204="","","."&amp;$C204&amp;"."&amp;$B204)&amp;INDEX(VarEnd,MATCH($A204,VarKey,0))&amp;AG$5</f>
        <v/>
      </c>
      <c r="AH204" s="9">
        <f>INDEX(MTInputs!$J$1:$AZ$415,$D204,MATCH(AH$5,MTInputs!$J$5:$AZ$5,0))</f>
        <v/>
      </c>
      <c r="AI204" s="10">
        <f>INDEX(MTInputs!$J$1:$AZ$415,$D204,MATCH(AI$5,MTInputs!$J$5:$AZ$5,0))</f>
        <v/>
      </c>
      <c r="AJ204" s="10">
        <f>INDEX(MTInputs!$J$1:$AZ$415,$D204,MATCH(AJ$5,MTInputs!$J$5:$AZ$5,0))</f>
        <v/>
      </c>
      <c r="AK204" s="10">
        <f>INDEX(MTInputs!$J$1:$AZ$415,$D204,MATCH(AK$5,MTInputs!$J$5:$AZ$5,0))</f>
        <v/>
      </c>
      <c r="AL204" s="10">
        <f>INDEX(MTInputs!$J$1:$AZ$415,$D204,MATCH(AL$5,MTInputs!$J$5:$AZ$5,0))</f>
        <v/>
      </c>
      <c r="AM204" s="10">
        <f>INDEX(MTInputs!$J$1:$AZ$415,$D204,MATCH(AM$5,MTInputs!$J$5:$AZ$5,0))</f>
        <v/>
      </c>
      <c r="AN204" s="10">
        <f>INDEX(MTInputs!$J$1:$AZ$415,$D204,MATCH(AN$5,MTInputs!$J$5:$AZ$5,0))</f>
        <v/>
      </c>
      <c r="AO204" s="10">
        <f>INDEX(MTInputs!$J$1:$AZ$415,$D204,MATCH(AO$5,MTInputs!$J$5:$AZ$5,0))</f>
        <v/>
      </c>
      <c r="AP204" s="10">
        <f>INDEX(MTInputs!$J$1:$AZ$415,$D204,MATCH(AP$5,MTInputs!$J$5:$AZ$5,0))</f>
        <v/>
      </c>
      <c r="AQ204" s="10">
        <f>INDEX(MTInputs!$J$1:$AZ$415,$D204,MATCH(AQ$5,MTInputs!$J$5:$AZ$5,0))</f>
        <v/>
      </c>
      <c r="AR204" s="10">
        <f>INDEX(MTInputs!$J$1:$AZ$415,$D204,MATCH(AR$5,MTInputs!$J$5:$AZ$5,0))</f>
        <v/>
      </c>
      <c r="AS204" s="10">
        <f>INDEX(MTInputs!$J$1:$AZ$415,$D204,MATCH(AS$5,MTInputs!$J$5:$AZ$5,0))</f>
        <v/>
      </c>
      <c r="AT204" s="10">
        <f>INDEX(MTInputs!$J$1:$AZ$415,$D204,MATCH(AT$5,MTInputs!$J$5:$AZ$5,0))</f>
        <v/>
      </c>
      <c r="AU204" s="10">
        <f>INDEX(MTInputs!$J$1:$AZ$415,$D204,MATCH(AU$5,MTInputs!$J$5:$AZ$5,0))</f>
        <v/>
      </c>
      <c r="AV204" s="10">
        <f>INDEX(MTInputs!$J$1:$AZ$415,$D204,MATCH(AV$5,MTInputs!$J$5:$AZ$5,0))</f>
        <v/>
      </c>
      <c r="AW204" s="10">
        <f>INDEX(MTInputs!$J$1:$AZ$415,$D204,MATCH(AW$5,MTInputs!$J$5:$AZ$5,0))</f>
        <v/>
      </c>
      <c r="AX204" s="10">
        <f>INDEX(MTInputs!$J$1:$AZ$415,$D204,MATCH(AX$5,MTInputs!$J$5:$AZ$5,0))</f>
        <v/>
      </c>
      <c r="AY204" s="10">
        <f>INDEX(MTInputs!$J$1:$AZ$415,$D204,MATCH(AY$5,MTInputs!$J$5:$AZ$5,0))</f>
        <v/>
      </c>
      <c r="AZ204" s="10">
        <f>INDEX(MTInputs!$J$1:$AZ$415,$D204,MATCH(AZ$5,MTInputs!$J$5:$AZ$5,0))</f>
        <v/>
      </c>
      <c r="BA204" s="10">
        <f>INDEX(MTInputs!$J$1:$AZ$415,$D204,MATCH(BA$5,MTInputs!$J$5:$AZ$5,0))</f>
        <v/>
      </c>
    </row>
    <row r="205" hidden="1" outlineLevel="1">
      <c r="A205" s="14" t="inlineStr">
        <is>
          <t>fb.s</t>
        </is>
      </c>
      <c r="B205" s="14" t="inlineStr">
        <is>
          <t>all</t>
        </is>
      </c>
      <c r="C205" s="14" t="inlineStr">
        <is>
          <t>pow</t>
        </is>
      </c>
      <c r="D205" s="22" t="n">
        <v>56</v>
      </c>
      <c r="H205" s="14">
        <f>INDEX(VarLab,MATCH($A205,VarKey,0))&amp;INDEX(MemLab,MATCH($C205&amp;"|"&amp;$B205,MemKey,0))</f>
        <v/>
      </c>
      <c r="I205" s="14">
        <f>INDEX(VarUnit,MATCH($A205,VarKey,0))</f>
        <v/>
      </c>
      <c r="J205" s="14">
        <f>INDEX(VarSrc,MATCH($A205,VarKey,0))</f>
        <v/>
      </c>
      <c r="K205" s="11">
        <f>CodePrefix&amp;$A205&amp;IF($C205="","","."&amp;$C205&amp;"."&amp;$B205)&amp;INDEX(VarEnd,MATCH($A205,VarKey,0))&amp;K$5</f>
        <v/>
      </c>
      <c r="L205" s="23">
        <f>INDEX(MTInputs!$J$1:$AZ$415,$D205,MATCH(L$5,MTInputs!$J$5:$AZ$5,0))</f>
        <v/>
      </c>
      <c r="M205" s="24">
        <f>INDEX(MTInputs!$J$1:$AZ$415,$D205,MATCH(M$5,MTInputs!$J$5:$AZ$5,0))</f>
        <v/>
      </c>
      <c r="N205" s="24">
        <f>INDEX(MTInputs!$J$1:$AZ$415,$D205,MATCH(N$5,MTInputs!$J$5:$AZ$5,0))</f>
        <v/>
      </c>
      <c r="O205" s="24">
        <f>INDEX(MTInputs!$J$1:$AZ$415,$D205,MATCH(O$5,MTInputs!$J$5:$AZ$5,0))</f>
        <v/>
      </c>
      <c r="P205" s="24">
        <f>INDEX(MTInputs!$J$1:$AZ$415,$D205,MATCH(P$5,MTInputs!$J$5:$AZ$5,0))</f>
        <v/>
      </c>
      <c r="Q205" s="24">
        <f>INDEX(MTInputs!$J$1:$AZ$415,$D205,MATCH(Q$5,MTInputs!$J$5:$AZ$5,0))</f>
        <v/>
      </c>
      <c r="R205" s="24">
        <f>INDEX(MTInputs!$J$1:$AZ$415,$D205,MATCH(R$5,MTInputs!$J$5:$AZ$5,0))</f>
        <v/>
      </c>
      <c r="S205" s="24">
        <f>INDEX(MTInputs!$J$1:$AZ$415,$D205,MATCH(S$5,MTInputs!$J$5:$AZ$5,0))</f>
        <v/>
      </c>
      <c r="T205" s="24">
        <f>INDEX(MTInputs!$J$1:$AZ$415,$D205,MATCH(T$5,MTInputs!$J$5:$AZ$5,0))</f>
        <v/>
      </c>
      <c r="U205" s="24">
        <f>INDEX(MTInputs!$J$1:$AZ$415,$D205,MATCH(U$5,MTInputs!$J$5:$AZ$5,0))</f>
        <v/>
      </c>
      <c r="V205" s="24">
        <f>INDEX(MTInputs!$J$1:$AZ$415,$D205,MATCH(V$5,MTInputs!$J$5:$AZ$5,0))</f>
        <v/>
      </c>
      <c r="W205" s="24">
        <f>INDEX(MTInputs!$J$1:$AZ$415,$D205,MATCH(W$5,MTInputs!$J$5:$AZ$5,0))</f>
        <v/>
      </c>
      <c r="X205" s="24">
        <f>INDEX(MTInputs!$J$1:$AZ$415,$D205,MATCH(X$5,MTInputs!$J$5:$AZ$5,0))</f>
        <v/>
      </c>
      <c r="Y205" s="24">
        <f>INDEX(MTInputs!$J$1:$AZ$415,$D205,MATCH(Y$5,MTInputs!$J$5:$AZ$5,0))</f>
        <v/>
      </c>
      <c r="Z205" s="24">
        <f>INDEX(MTInputs!$J$1:$AZ$415,$D205,MATCH(Z$5,MTInputs!$J$5:$AZ$5,0))</f>
        <v/>
      </c>
      <c r="AA205" s="24">
        <f>INDEX(MTInputs!$J$1:$AZ$415,$D205,MATCH(AA$5,MTInputs!$J$5:$AZ$5,0))</f>
        <v/>
      </c>
      <c r="AB205" s="24">
        <f>INDEX(MTInputs!$J$1:$AZ$415,$D205,MATCH(AB$5,MTInputs!$J$5:$AZ$5,0))</f>
        <v/>
      </c>
      <c r="AC205" s="24">
        <f>INDEX(MTInputs!$J$1:$AZ$415,$D205,MATCH(AC$5,MTInputs!$J$5:$AZ$5,0))</f>
        <v/>
      </c>
      <c r="AD205" s="24">
        <f>INDEX(MTInputs!$J$1:$AZ$415,$D205,MATCH(AD$5,MTInputs!$J$5:$AZ$5,0))</f>
        <v/>
      </c>
      <c r="AE205" s="24">
        <f>INDEX(MTInputs!$J$1:$AZ$415,$D205,MATCH(AE$5,MTInputs!$J$5:$AZ$5,0))</f>
        <v/>
      </c>
      <c r="AG205" s="11">
        <f>CodePrefix&amp;$A205&amp;IF($C205="","","."&amp;$C205&amp;"."&amp;$B205)&amp;INDEX(VarEnd,MATCH($A205,VarKey,0))&amp;AG$5</f>
        <v/>
      </c>
      <c r="AH205" s="23">
        <f>INDEX(MTInputs!$J$1:$AZ$415,$D205,MATCH(AH$5,MTInputs!$J$5:$AZ$5,0))</f>
        <v/>
      </c>
      <c r="AI205" s="24">
        <f>INDEX(MTInputs!$J$1:$AZ$415,$D205,MATCH(AI$5,MTInputs!$J$5:$AZ$5,0))</f>
        <v/>
      </c>
      <c r="AJ205" s="24">
        <f>INDEX(MTInputs!$J$1:$AZ$415,$D205,MATCH(AJ$5,MTInputs!$J$5:$AZ$5,0))</f>
        <v/>
      </c>
      <c r="AK205" s="24">
        <f>INDEX(MTInputs!$J$1:$AZ$415,$D205,MATCH(AK$5,MTInputs!$J$5:$AZ$5,0))</f>
        <v/>
      </c>
      <c r="AL205" s="24">
        <f>INDEX(MTInputs!$J$1:$AZ$415,$D205,MATCH(AL$5,MTInputs!$J$5:$AZ$5,0))</f>
        <v/>
      </c>
      <c r="AM205" s="24">
        <f>INDEX(MTInputs!$J$1:$AZ$415,$D205,MATCH(AM$5,MTInputs!$J$5:$AZ$5,0))</f>
        <v/>
      </c>
      <c r="AN205" s="24">
        <f>INDEX(MTInputs!$J$1:$AZ$415,$D205,MATCH(AN$5,MTInputs!$J$5:$AZ$5,0))</f>
        <v/>
      </c>
      <c r="AO205" s="24">
        <f>INDEX(MTInputs!$J$1:$AZ$415,$D205,MATCH(AO$5,MTInputs!$J$5:$AZ$5,0))</f>
        <v/>
      </c>
      <c r="AP205" s="24">
        <f>INDEX(MTInputs!$J$1:$AZ$415,$D205,MATCH(AP$5,MTInputs!$J$5:$AZ$5,0))</f>
        <v/>
      </c>
      <c r="AQ205" s="24">
        <f>INDEX(MTInputs!$J$1:$AZ$415,$D205,MATCH(AQ$5,MTInputs!$J$5:$AZ$5,0))</f>
        <v/>
      </c>
      <c r="AR205" s="24">
        <f>INDEX(MTInputs!$J$1:$AZ$415,$D205,MATCH(AR$5,MTInputs!$J$5:$AZ$5,0))</f>
        <v/>
      </c>
      <c r="AS205" s="24">
        <f>INDEX(MTInputs!$J$1:$AZ$415,$D205,MATCH(AS$5,MTInputs!$J$5:$AZ$5,0))</f>
        <v/>
      </c>
      <c r="AT205" s="24">
        <f>INDEX(MTInputs!$J$1:$AZ$415,$D205,MATCH(AT$5,MTInputs!$J$5:$AZ$5,0))</f>
        <v/>
      </c>
      <c r="AU205" s="24">
        <f>INDEX(MTInputs!$J$1:$AZ$415,$D205,MATCH(AU$5,MTInputs!$J$5:$AZ$5,0))</f>
        <v/>
      </c>
      <c r="AV205" s="24">
        <f>INDEX(MTInputs!$J$1:$AZ$415,$D205,MATCH(AV$5,MTInputs!$J$5:$AZ$5,0))</f>
        <v/>
      </c>
      <c r="AW205" s="24">
        <f>INDEX(MTInputs!$J$1:$AZ$415,$D205,MATCH(AW$5,MTInputs!$J$5:$AZ$5,0))</f>
        <v/>
      </c>
      <c r="AX205" s="24">
        <f>INDEX(MTInputs!$J$1:$AZ$415,$D205,MATCH(AX$5,MTInputs!$J$5:$AZ$5,0))</f>
        <v/>
      </c>
      <c r="AY205" s="24">
        <f>INDEX(MTInputs!$J$1:$AZ$415,$D205,MATCH(AY$5,MTInputs!$J$5:$AZ$5,0))</f>
        <v/>
      </c>
      <c r="AZ205" s="24">
        <f>INDEX(MTInputs!$J$1:$AZ$415,$D205,MATCH(AZ$5,MTInputs!$J$5:$AZ$5,0))</f>
        <v/>
      </c>
      <c r="BA205" s="24">
        <f>INDEX(MTInputs!$J$1:$AZ$415,$D205,MATCH(BA$5,MTInputs!$J$5:$AZ$5,0))</f>
        <v/>
      </c>
    </row>
    <row r="206" hidden="1" outlineLevel="1">
      <c r="A206" s="14" t="inlineStr">
        <is>
          <t>fb.s</t>
        </is>
      </c>
      <c r="B206" s="14" t="inlineStr">
        <is>
          <t>all</t>
        </is>
      </c>
      <c r="C206" s="14" t="inlineStr">
        <is>
          <t>tra</t>
        </is>
      </c>
      <c r="D206" s="22" t="n">
        <v>57</v>
      </c>
      <c r="H206" s="14">
        <f>INDEX(VarLab,MATCH($A206,VarKey,0))&amp;INDEX(MemLab,MATCH($C206&amp;"|"&amp;$B206,MemKey,0))</f>
        <v/>
      </c>
      <c r="I206" s="14">
        <f>INDEX(VarUnit,MATCH($A206,VarKey,0))</f>
        <v/>
      </c>
      <c r="J206" s="14">
        <f>INDEX(VarSrc,MATCH($A206,VarKey,0))</f>
        <v/>
      </c>
      <c r="K206" s="11">
        <f>CodePrefix&amp;$A206&amp;IF($C206="","","."&amp;$C206&amp;"."&amp;$B206)&amp;INDEX(VarEnd,MATCH($A206,VarKey,0))&amp;K$5</f>
        <v/>
      </c>
      <c r="L206" s="23">
        <f>INDEX(MTInputs!$J$1:$AZ$415,$D206,MATCH(L$5,MTInputs!$J$5:$AZ$5,0))</f>
        <v/>
      </c>
      <c r="M206" s="24">
        <f>INDEX(MTInputs!$J$1:$AZ$415,$D206,MATCH(M$5,MTInputs!$J$5:$AZ$5,0))</f>
        <v/>
      </c>
      <c r="N206" s="24">
        <f>INDEX(MTInputs!$J$1:$AZ$415,$D206,MATCH(N$5,MTInputs!$J$5:$AZ$5,0))</f>
        <v/>
      </c>
      <c r="O206" s="24">
        <f>INDEX(MTInputs!$J$1:$AZ$415,$D206,MATCH(O$5,MTInputs!$J$5:$AZ$5,0))</f>
        <v/>
      </c>
      <c r="P206" s="24">
        <f>INDEX(MTInputs!$J$1:$AZ$415,$D206,MATCH(P$5,MTInputs!$J$5:$AZ$5,0))</f>
        <v/>
      </c>
      <c r="Q206" s="24">
        <f>INDEX(MTInputs!$J$1:$AZ$415,$D206,MATCH(Q$5,MTInputs!$J$5:$AZ$5,0))</f>
        <v/>
      </c>
      <c r="R206" s="24">
        <f>INDEX(MTInputs!$J$1:$AZ$415,$D206,MATCH(R$5,MTInputs!$J$5:$AZ$5,0))</f>
        <v/>
      </c>
      <c r="S206" s="24">
        <f>INDEX(MTInputs!$J$1:$AZ$415,$D206,MATCH(S$5,MTInputs!$J$5:$AZ$5,0))</f>
        <v/>
      </c>
      <c r="T206" s="24">
        <f>INDEX(MTInputs!$J$1:$AZ$415,$D206,MATCH(T$5,MTInputs!$J$5:$AZ$5,0))</f>
        <v/>
      </c>
      <c r="U206" s="24">
        <f>INDEX(MTInputs!$J$1:$AZ$415,$D206,MATCH(U$5,MTInputs!$J$5:$AZ$5,0))</f>
        <v/>
      </c>
      <c r="V206" s="24">
        <f>INDEX(MTInputs!$J$1:$AZ$415,$D206,MATCH(V$5,MTInputs!$J$5:$AZ$5,0))</f>
        <v/>
      </c>
      <c r="W206" s="24">
        <f>INDEX(MTInputs!$J$1:$AZ$415,$D206,MATCH(W$5,MTInputs!$J$5:$AZ$5,0))</f>
        <v/>
      </c>
      <c r="X206" s="24">
        <f>INDEX(MTInputs!$J$1:$AZ$415,$D206,MATCH(X$5,MTInputs!$J$5:$AZ$5,0))</f>
        <v/>
      </c>
      <c r="Y206" s="24">
        <f>INDEX(MTInputs!$J$1:$AZ$415,$D206,MATCH(Y$5,MTInputs!$J$5:$AZ$5,0))</f>
        <v/>
      </c>
      <c r="Z206" s="24">
        <f>INDEX(MTInputs!$J$1:$AZ$415,$D206,MATCH(Z$5,MTInputs!$J$5:$AZ$5,0))</f>
        <v/>
      </c>
      <c r="AA206" s="24">
        <f>INDEX(MTInputs!$J$1:$AZ$415,$D206,MATCH(AA$5,MTInputs!$J$5:$AZ$5,0))</f>
        <v/>
      </c>
      <c r="AB206" s="24">
        <f>INDEX(MTInputs!$J$1:$AZ$415,$D206,MATCH(AB$5,MTInputs!$J$5:$AZ$5,0))</f>
        <v/>
      </c>
      <c r="AC206" s="24">
        <f>INDEX(MTInputs!$J$1:$AZ$415,$D206,MATCH(AC$5,MTInputs!$J$5:$AZ$5,0))</f>
        <v/>
      </c>
      <c r="AD206" s="24">
        <f>INDEX(MTInputs!$J$1:$AZ$415,$D206,MATCH(AD$5,MTInputs!$J$5:$AZ$5,0))</f>
        <v/>
      </c>
      <c r="AE206" s="24">
        <f>INDEX(MTInputs!$J$1:$AZ$415,$D206,MATCH(AE$5,MTInputs!$J$5:$AZ$5,0))</f>
        <v/>
      </c>
      <c r="AG206" s="11">
        <f>CodePrefix&amp;$A206&amp;IF($C206="","","."&amp;$C206&amp;"."&amp;$B206)&amp;INDEX(VarEnd,MATCH($A206,VarKey,0))&amp;AG$5</f>
        <v/>
      </c>
      <c r="AH206" s="23">
        <f>INDEX(MTInputs!$J$1:$AZ$415,$D206,MATCH(AH$5,MTInputs!$J$5:$AZ$5,0))</f>
        <v/>
      </c>
      <c r="AI206" s="24">
        <f>INDEX(MTInputs!$J$1:$AZ$415,$D206,MATCH(AI$5,MTInputs!$J$5:$AZ$5,0))</f>
        <v/>
      </c>
      <c r="AJ206" s="24">
        <f>INDEX(MTInputs!$J$1:$AZ$415,$D206,MATCH(AJ$5,MTInputs!$J$5:$AZ$5,0))</f>
        <v/>
      </c>
      <c r="AK206" s="24">
        <f>INDEX(MTInputs!$J$1:$AZ$415,$D206,MATCH(AK$5,MTInputs!$J$5:$AZ$5,0))</f>
        <v/>
      </c>
      <c r="AL206" s="24">
        <f>INDEX(MTInputs!$J$1:$AZ$415,$D206,MATCH(AL$5,MTInputs!$J$5:$AZ$5,0))</f>
        <v/>
      </c>
      <c r="AM206" s="24">
        <f>INDEX(MTInputs!$J$1:$AZ$415,$D206,MATCH(AM$5,MTInputs!$J$5:$AZ$5,0))</f>
        <v/>
      </c>
      <c r="AN206" s="24">
        <f>INDEX(MTInputs!$J$1:$AZ$415,$D206,MATCH(AN$5,MTInputs!$J$5:$AZ$5,0))</f>
        <v/>
      </c>
      <c r="AO206" s="24">
        <f>INDEX(MTInputs!$J$1:$AZ$415,$D206,MATCH(AO$5,MTInputs!$J$5:$AZ$5,0))</f>
        <v/>
      </c>
      <c r="AP206" s="24">
        <f>INDEX(MTInputs!$J$1:$AZ$415,$D206,MATCH(AP$5,MTInputs!$J$5:$AZ$5,0))</f>
        <v/>
      </c>
      <c r="AQ206" s="24">
        <f>INDEX(MTInputs!$J$1:$AZ$415,$D206,MATCH(AQ$5,MTInputs!$J$5:$AZ$5,0))</f>
        <v/>
      </c>
      <c r="AR206" s="24">
        <f>INDEX(MTInputs!$J$1:$AZ$415,$D206,MATCH(AR$5,MTInputs!$J$5:$AZ$5,0))</f>
        <v/>
      </c>
      <c r="AS206" s="24">
        <f>INDEX(MTInputs!$J$1:$AZ$415,$D206,MATCH(AS$5,MTInputs!$J$5:$AZ$5,0))</f>
        <v/>
      </c>
      <c r="AT206" s="24">
        <f>INDEX(MTInputs!$J$1:$AZ$415,$D206,MATCH(AT$5,MTInputs!$J$5:$AZ$5,0))</f>
        <v/>
      </c>
      <c r="AU206" s="24">
        <f>INDEX(MTInputs!$J$1:$AZ$415,$D206,MATCH(AU$5,MTInputs!$J$5:$AZ$5,0))</f>
        <v/>
      </c>
      <c r="AV206" s="24">
        <f>INDEX(MTInputs!$J$1:$AZ$415,$D206,MATCH(AV$5,MTInputs!$J$5:$AZ$5,0))</f>
        <v/>
      </c>
      <c r="AW206" s="24">
        <f>INDEX(MTInputs!$J$1:$AZ$415,$D206,MATCH(AW$5,MTInputs!$J$5:$AZ$5,0))</f>
        <v/>
      </c>
      <c r="AX206" s="24">
        <f>INDEX(MTInputs!$J$1:$AZ$415,$D206,MATCH(AX$5,MTInputs!$J$5:$AZ$5,0))</f>
        <v/>
      </c>
      <c r="AY206" s="24">
        <f>INDEX(MTInputs!$J$1:$AZ$415,$D206,MATCH(AY$5,MTInputs!$J$5:$AZ$5,0))</f>
        <v/>
      </c>
      <c r="AZ206" s="24">
        <f>INDEX(MTInputs!$J$1:$AZ$415,$D206,MATCH(AZ$5,MTInputs!$J$5:$AZ$5,0))</f>
        <v/>
      </c>
      <c r="BA206" s="24">
        <f>INDEX(MTInputs!$J$1:$AZ$415,$D206,MATCH(BA$5,MTInputs!$J$5:$AZ$5,0))</f>
        <v/>
      </c>
    </row>
    <row r="207" hidden="1" outlineLevel="1">
      <c r="A207" s="14" t="inlineStr">
        <is>
          <t>fb.s</t>
        </is>
      </c>
      <c r="B207" s="14" t="inlineStr">
        <is>
          <t>all</t>
        </is>
      </c>
      <c r="C207" s="14" t="inlineStr">
        <is>
          <t>res</t>
        </is>
      </c>
      <c r="D207" s="22" t="n">
        <v>58</v>
      </c>
      <c r="H207" s="14">
        <f>INDEX(VarLab,MATCH($A207,VarKey,0))&amp;INDEX(MemLab,MATCH($C207&amp;"|"&amp;$B207,MemKey,0))</f>
        <v/>
      </c>
      <c r="I207" s="14">
        <f>INDEX(VarUnit,MATCH($A207,VarKey,0))</f>
        <v/>
      </c>
      <c r="J207" s="14">
        <f>INDEX(VarSrc,MATCH($A207,VarKey,0))</f>
        <v/>
      </c>
      <c r="K207" s="11">
        <f>CodePrefix&amp;$A207&amp;IF($C207="","","."&amp;$C207&amp;"."&amp;$B207)&amp;INDEX(VarEnd,MATCH($A207,VarKey,0))&amp;K$5</f>
        <v/>
      </c>
      <c r="L207" s="23">
        <f>INDEX(MTInputs!$J$1:$AZ$415,$D207,MATCH(L$5,MTInputs!$J$5:$AZ$5,0))</f>
        <v/>
      </c>
      <c r="M207" s="24">
        <f>INDEX(MTInputs!$J$1:$AZ$415,$D207,MATCH(M$5,MTInputs!$J$5:$AZ$5,0))</f>
        <v/>
      </c>
      <c r="N207" s="24">
        <f>INDEX(MTInputs!$J$1:$AZ$415,$D207,MATCH(N$5,MTInputs!$J$5:$AZ$5,0))</f>
        <v/>
      </c>
      <c r="O207" s="24">
        <f>INDEX(MTInputs!$J$1:$AZ$415,$D207,MATCH(O$5,MTInputs!$J$5:$AZ$5,0))</f>
        <v/>
      </c>
      <c r="P207" s="24">
        <f>INDEX(MTInputs!$J$1:$AZ$415,$D207,MATCH(P$5,MTInputs!$J$5:$AZ$5,0))</f>
        <v/>
      </c>
      <c r="Q207" s="24">
        <f>INDEX(MTInputs!$J$1:$AZ$415,$D207,MATCH(Q$5,MTInputs!$J$5:$AZ$5,0))</f>
        <v/>
      </c>
      <c r="R207" s="24">
        <f>INDEX(MTInputs!$J$1:$AZ$415,$D207,MATCH(R$5,MTInputs!$J$5:$AZ$5,0))</f>
        <v/>
      </c>
      <c r="S207" s="24">
        <f>INDEX(MTInputs!$J$1:$AZ$415,$D207,MATCH(S$5,MTInputs!$J$5:$AZ$5,0))</f>
        <v/>
      </c>
      <c r="T207" s="24">
        <f>INDEX(MTInputs!$J$1:$AZ$415,$D207,MATCH(T$5,MTInputs!$J$5:$AZ$5,0))</f>
        <v/>
      </c>
      <c r="U207" s="24">
        <f>INDEX(MTInputs!$J$1:$AZ$415,$D207,MATCH(U$5,MTInputs!$J$5:$AZ$5,0))</f>
        <v/>
      </c>
      <c r="V207" s="24">
        <f>INDEX(MTInputs!$J$1:$AZ$415,$D207,MATCH(V$5,MTInputs!$J$5:$AZ$5,0))</f>
        <v/>
      </c>
      <c r="W207" s="24">
        <f>INDEX(MTInputs!$J$1:$AZ$415,$D207,MATCH(W$5,MTInputs!$J$5:$AZ$5,0))</f>
        <v/>
      </c>
      <c r="X207" s="24">
        <f>INDEX(MTInputs!$J$1:$AZ$415,$D207,MATCH(X$5,MTInputs!$J$5:$AZ$5,0))</f>
        <v/>
      </c>
      <c r="Y207" s="24">
        <f>INDEX(MTInputs!$J$1:$AZ$415,$D207,MATCH(Y$5,MTInputs!$J$5:$AZ$5,0))</f>
        <v/>
      </c>
      <c r="Z207" s="24">
        <f>INDEX(MTInputs!$J$1:$AZ$415,$D207,MATCH(Z$5,MTInputs!$J$5:$AZ$5,0))</f>
        <v/>
      </c>
      <c r="AA207" s="24">
        <f>INDEX(MTInputs!$J$1:$AZ$415,$D207,MATCH(AA$5,MTInputs!$J$5:$AZ$5,0))</f>
        <v/>
      </c>
      <c r="AB207" s="24">
        <f>INDEX(MTInputs!$J$1:$AZ$415,$D207,MATCH(AB$5,MTInputs!$J$5:$AZ$5,0))</f>
        <v/>
      </c>
      <c r="AC207" s="24">
        <f>INDEX(MTInputs!$J$1:$AZ$415,$D207,MATCH(AC$5,MTInputs!$J$5:$AZ$5,0))</f>
        <v/>
      </c>
      <c r="AD207" s="24">
        <f>INDEX(MTInputs!$J$1:$AZ$415,$D207,MATCH(AD$5,MTInputs!$J$5:$AZ$5,0))</f>
        <v/>
      </c>
      <c r="AE207" s="24">
        <f>INDEX(MTInputs!$J$1:$AZ$415,$D207,MATCH(AE$5,MTInputs!$J$5:$AZ$5,0))</f>
        <v/>
      </c>
      <c r="AG207" s="11">
        <f>CodePrefix&amp;$A207&amp;IF($C207="","","."&amp;$C207&amp;"."&amp;$B207)&amp;INDEX(VarEnd,MATCH($A207,VarKey,0))&amp;AG$5</f>
        <v/>
      </c>
      <c r="AH207" s="23">
        <f>INDEX(MTInputs!$J$1:$AZ$415,$D207,MATCH(AH$5,MTInputs!$J$5:$AZ$5,0))</f>
        <v/>
      </c>
      <c r="AI207" s="24">
        <f>INDEX(MTInputs!$J$1:$AZ$415,$D207,MATCH(AI$5,MTInputs!$J$5:$AZ$5,0))</f>
        <v/>
      </c>
      <c r="AJ207" s="24">
        <f>INDEX(MTInputs!$J$1:$AZ$415,$D207,MATCH(AJ$5,MTInputs!$J$5:$AZ$5,0))</f>
        <v/>
      </c>
      <c r="AK207" s="24">
        <f>INDEX(MTInputs!$J$1:$AZ$415,$D207,MATCH(AK$5,MTInputs!$J$5:$AZ$5,0))</f>
        <v/>
      </c>
      <c r="AL207" s="24">
        <f>INDEX(MTInputs!$J$1:$AZ$415,$D207,MATCH(AL$5,MTInputs!$J$5:$AZ$5,0))</f>
        <v/>
      </c>
      <c r="AM207" s="24">
        <f>INDEX(MTInputs!$J$1:$AZ$415,$D207,MATCH(AM$5,MTInputs!$J$5:$AZ$5,0))</f>
        <v/>
      </c>
      <c r="AN207" s="24">
        <f>INDEX(MTInputs!$J$1:$AZ$415,$D207,MATCH(AN$5,MTInputs!$J$5:$AZ$5,0))</f>
        <v/>
      </c>
      <c r="AO207" s="24">
        <f>INDEX(MTInputs!$J$1:$AZ$415,$D207,MATCH(AO$5,MTInputs!$J$5:$AZ$5,0))</f>
        <v/>
      </c>
      <c r="AP207" s="24">
        <f>INDEX(MTInputs!$J$1:$AZ$415,$D207,MATCH(AP$5,MTInputs!$J$5:$AZ$5,0))</f>
        <v/>
      </c>
      <c r="AQ207" s="24">
        <f>INDEX(MTInputs!$J$1:$AZ$415,$D207,MATCH(AQ$5,MTInputs!$J$5:$AZ$5,0))</f>
        <v/>
      </c>
      <c r="AR207" s="24">
        <f>INDEX(MTInputs!$J$1:$AZ$415,$D207,MATCH(AR$5,MTInputs!$J$5:$AZ$5,0))</f>
        <v/>
      </c>
      <c r="AS207" s="24">
        <f>INDEX(MTInputs!$J$1:$AZ$415,$D207,MATCH(AS$5,MTInputs!$J$5:$AZ$5,0))</f>
        <v/>
      </c>
      <c r="AT207" s="24">
        <f>INDEX(MTInputs!$J$1:$AZ$415,$D207,MATCH(AT$5,MTInputs!$J$5:$AZ$5,0))</f>
        <v/>
      </c>
      <c r="AU207" s="24">
        <f>INDEX(MTInputs!$J$1:$AZ$415,$D207,MATCH(AU$5,MTInputs!$J$5:$AZ$5,0))</f>
        <v/>
      </c>
      <c r="AV207" s="24">
        <f>INDEX(MTInputs!$J$1:$AZ$415,$D207,MATCH(AV$5,MTInputs!$J$5:$AZ$5,0))</f>
        <v/>
      </c>
      <c r="AW207" s="24">
        <f>INDEX(MTInputs!$J$1:$AZ$415,$D207,MATCH(AW$5,MTInputs!$J$5:$AZ$5,0))</f>
        <v/>
      </c>
      <c r="AX207" s="24">
        <f>INDEX(MTInputs!$J$1:$AZ$415,$D207,MATCH(AX$5,MTInputs!$J$5:$AZ$5,0))</f>
        <v/>
      </c>
      <c r="AY207" s="24">
        <f>INDEX(MTInputs!$J$1:$AZ$415,$D207,MATCH(AY$5,MTInputs!$J$5:$AZ$5,0))</f>
        <v/>
      </c>
      <c r="AZ207" s="24">
        <f>INDEX(MTInputs!$J$1:$AZ$415,$D207,MATCH(AZ$5,MTInputs!$J$5:$AZ$5,0))</f>
        <v/>
      </c>
      <c r="BA207" s="24">
        <f>INDEX(MTInputs!$J$1:$AZ$415,$D207,MATCH(BA$5,MTInputs!$J$5:$AZ$5,0))</f>
        <v/>
      </c>
    </row>
    <row r="208" hidden="1" outlineLevel="1">
      <c r="A208" s="14" t="inlineStr">
        <is>
          <t>fb.s</t>
        </is>
      </c>
      <c r="B208" s="14" t="inlineStr">
        <is>
          <t>all</t>
        </is>
      </c>
      <c r="C208" s="14" t="inlineStr">
        <is>
          <t>ind</t>
        </is>
      </c>
      <c r="D208" s="22" t="n">
        <v>59</v>
      </c>
      <c r="H208" s="14">
        <f>INDEX(VarLab,MATCH($A208,VarKey,0))&amp;INDEX(MemLab,MATCH($C208&amp;"|"&amp;$B208,MemKey,0))</f>
        <v/>
      </c>
      <c r="I208" s="14">
        <f>INDEX(VarUnit,MATCH($A208,VarKey,0))</f>
        <v/>
      </c>
      <c r="J208" s="14">
        <f>INDEX(VarSrc,MATCH($A208,VarKey,0))</f>
        <v/>
      </c>
      <c r="K208" s="11">
        <f>CodePrefix&amp;$A208&amp;IF($C208="","","."&amp;$C208&amp;"."&amp;$B208)&amp;INDEX(VarEnd,MATCH($A208,VarKey,0))&amp;K$5</f>
        <v/>
      </c>
      <c r="L208" s="23">
        <f>INDEX(MTInputs!$J$1:$AZ$415,$D208,MATCH(L$5,MTInputs!$J$5:$AZ$5,0))</f>
        <v/>
      </c>
      <c r="M208" s="24">
        <f>INDEX(MTInputs!$J$1:$AZ$415,$D208,MATCH(M$5,MTInputs!$J$5:$AZ$5,0))</f>
        <v/>
      </c>
      <c r="N208" s="24">
        <f>INDEX(MTInputs!$J$1:$AZ$415,$D208,MATCH(N$5,MTInputs!$J$5:$AZ$5,0))</f>
        <v/>
      </c>
      <c r="O208" s="24">
        <f>INDEX(MTInputs!$J$1:$AZ$415,$D208,MATCH(O$5,MTInputs!$J$5:$AZ$5,0))</f>
        <v/>
      </c>
      <c r="P208" s="24">
        <f>INDEX(MTInputs!$J$1:$AZ$415,$D208,MATCH(P$5,MTInputs!$J$5:$AZ$5,0))</f>
        <v/>
      </c>
      <c r="Q208" s="24">
        <f>INDEX(MTInputs!$J$1:$AZ$415,$D208,MATCH(Q$5,MTInputs!$J$5:$AZ$5,0))</f>
        <v/>
      </c>
      <c r="R208" s="24">
        <f>INDEX(MTInputs!$J$1:$AZ$415,$D208,MATCH(R$5,MTInputs!$J$5:$AZ$5,0))</f>
        <v/>
      </c>
      <c r="S208" s="24">
        <f>INDEX(MTInputs!$J$1:$AZ$415,$D208,MATCH(S$5,MTInputs!$J$5:$AZ$5,0))</f>
        <v/>
      </c>
      <c r="T208" s="24">
        <f>INDEX(MTInputs!$J$1:$AZ$415,$D208,MATCH(T$5,MTInputs!$J$5:$AZ$5,0))</f>
        <v/>
      </c>
      <c r="U208" s="24">
        <f>INDEX(MTInputs!$J$1:$AZ$415,$D208,MATCH(U$5,MTInputs!$J$5:$AZ$5,0))</f>
        <v/>
      </c>
      <c r="V208" s="24">
        <f>INDEX(MTInputs!$J$1:$AZ$415,$D208,MATCH(V$5,MTInputs!$J$5:$AZ$5,0))</f>
        <v/>
      </c>
      <c r="W208" s="24">
        <f>INDEX(MTInputs!$J$1:$AZ$415,$D208,MATCH(W$5,MTInputs!$J$5:$AZ$5,0))</f>
        <v/>
      </c>
      <c r="X208" s="24">
        <f>INDEX(MTInputs!$J$1:$AZ$415,$D208,MATCH(X$5,MTInputs!$J$5:$AZ$5,0))</f>
        <v/>
      </c>
      <c r="Y208" s="24">
        <f>INDEX(MTInputs!$J$1:$AZ$415,$D208,MATCH(Y$5,MTInputs!$J$5:$AZ$5,0))</f>
        <v/>
      </c>
      <c r="Z208" s="24">
        <f>INDEX(MTInputs!$J$1:$AZ$415,$D208,MATCH(Z$5,MTInputs!$J$5:$AZ$5,0))</f>
        <v/>
      </c>
      <c r="AA208" s="24">
        <f>INDEX(MTInputs!$J$1:$AZ$415,$D208,MATCH(AA$5,MTInputs!$J$5:$AZ$5,0))</f>
        <v/>
      </c>
      <c r="AB208" s="24">
        <f>INDEX(MTInputs!$J$1:$AZ$415,$D208,MATCH(AB$5,MTInputs!$J$5:$AZ$5,0))</f>
        <v/>
      </c>
      <c r="AC208" s="24">
        <f>INDEX(MTInputs!$J$1:$AZ$415,$D208,MATCH(AC$5,MTInputs!$J$5:$AZ$5,0))</f>
        <v/>
      </c>
      <c r="AD208" s="24">
        <f>INDEX(MTInputs!$J$1:$AZ$415,$D208,MATCH(AD$5,MTInputs!$J$5:$AZ$5,0))</f>
        <v/>
      </c>
      <c r="AE208" s="24">
        <f>INDEX(MTInputs!$J$1:$AZ$415,$D208,MATCH(AE$5,MTInputs!$J$5:$AZ$5,0))</f>
        <v/>
      </c>
      <c r="AG208" s="11">
        <f>CodePrefix&amp;$A208&amp;IF($C208="","","."&amp;$C208&amp;"."&amp;$B208)&amp;INDEX(VarEnd,MATCH($A208,VarKey,0))&amp;AG$5</f>
        <v/>
      </c>
      <c r="AH208" s="23">
        <f>INDEX(MTInputs!$J$1:$AZ$415,$D208,MATCH(AH$5,MTInputs!$J$5:$AZ$5,0))</f>
        <v/>
      </c>
      <c r="AI208" s="24">
        <f>INDEX(MTInputs!$J$1:$AZ$415,$D208,MATCH(AI$5,MTInputs!$J$5:$AZ$5,0))</f>
        <v/>
      </c>
      <c r="AJ208" s="24">
        <f>INDEX(MTInputs!$J$1:$AZ$415,$D208,MATCH(AJ$5,MTInputs!$J$5:$AZ$5,0))</f>
        <v/>
      </c>
      <c r="AK208" s="24">
        <f>INDEX(MTInputs!$J$1:$AZ$415,$D208,MATCH(AK$5,MTInputs!$J$5:$AZ$5,0))</f>
        <v/>
      </c>
      <c r="AL208" s="24">
        <f>INDEX(MTInputs!$J$1:$AZ$415,$D208,MATCH(AL$5,MTInputs!$J$5:$AZ$5,0))</f>
        <v/>
      </c>
      <c r="AM208" s="24">
        <f>INDEX(MTInputs!$J$1:$AZ$415,$D208,MATCH(AM$5,MTInputs!$J$5:$AZ$5,0))</f>
        <v/>
      </c>
      <c r="AN208" s="24">
        <f>INDEX(MTInputs!$J$1:$AZ$415,$D208,MATCH(AN$5,MTInputs!$J$5:$AZ$5,0))</f>
        <v/>
      </c>
      <c r="AO208" s="24">
        <f>INDEX(MTInputs!$J$1:$AZ$415,$D208,MATCH(AO$5,MTInputs!$J$5:$AZ$5,0))</f>
        <v/>
      </c>
      <c r="AP208" s="24">
        <f>INDEX(MTInputs!$J$1:$AZ$415,$D208,MATCH(AP$5,MTInputs!$J$5:$AZ$5,0))</f>
        <v/>
      </c>
      <c r="AQ208" s="24">
        <f>INDEX(MTInputs!$J$1:$AZ$415,$D208,MATCH(AQ$5,MTInputs!$J$5:$AZ$5,0))</f>
        <v/>
      </c>
      <c r="AR208" s="24">
        <f>INDEX(MTInputs!$J$1:$AZ$415,$D208,MATCH(AR$5,MTInputs!$J$5:$AZ$5,0))</f>
        <v/>
      </c>
      <c r="AS208" s="24">
        <f>INDEX(MTInputs!$J$1:$AZ$415,$D208,MATCH(AS$5,MTInputs!$J$5:$AZ$5,0))</f>
        <v/>
      </c>
      <c r="AT208" s="24">
        <f>INDEX(MTInputs!$J$1:$AZ$415,$D208,MATCH(AT$5,MTInputs!$J$5:$AZ$5,0))</f>
        <v/>
      </c>
      <c r="AU208" s="24">
        <f>INDEX(MTInputs!$J$1:$AZ$415,$D208,MATCH(AU$5,MTInputs!$J$5:$AZ$5,0))</f>
        <v/>
      </c>
      <c r="AV208" s="24">
        <f>INDEX(MTInputs!$J$1:$AZ$415,$D208,MATCH(AV$5,MTInputs!$J$5:$AZ$5,0))</f>
        <v/>
      </c>
      <c r="AW208" s="24">
        <f>INDEX(MTInputs!$J$1:$AZ$415,$D208,MATCH(AW$5,MTInputs!$J$5:$AZ$5,0))</f>
        <v/>
      </c>
      <c r="AX208" s="24">
        <f>INDEX(MTInputs!$J$1:$AZ$415,$D208,MATCH(AX$5,MTInputs!$J$5:$AZ$5,0))</f>
        <v/>
      </c>
      <c r="AY208" s="24">
        <f>INDEX(MTInputs!$J$1:$AZ$415,$D208,MATCH(AY$5,MTInputs!$J$5:$AZ$5,0))</f>
        <v/>
      </c>
      <c r="AZ208" s="24">
        <f>INDEX(MTInputs!$J$1:$AZ$415,$D208,MATCH(AZ$5,MTInputs!$J$5:$AZ$5,0))</f>
        <v/>
      </c>
      <c r="BA208" s="24">
        <f>INDEX(MTInputs!$J$1:$AZ$415,$D208,MATCH(BA$5,MTInputs!$J$5:$AZ$5,0))</f>
        <v/>
      </c>
    </row>
    <row r="209" hidden="1" outlineLevel="1">
      <c r="A209" s="14" t="inlineStr">
        <is>
          <t>fb.t</t>
        </is>
      </c>
      <c r="B209" s="14" t="inlineStr">
        <is>
          <t>all</t>
        </is>
      </c>
      <c r="C209" s="14" t="inlineStr">
        <is>
          <t>pow</t>
        </is>
      </c>
      <c r="D209" s="22" t="n">
        <v>61</v>
      </c>
      <c r="H209" s="14">
        <f>INDEX(VarLab,MATCH($A209,VarKey,0))&amp;INDEX(MemLab,MATCH($C209&amp;"|"&amp;$B209,MemKey,0))</f>
        <v/>
      </c>
      <c r="I209" s="14">
        <f>INDEX(VarUnit,MATCH($A209,VarKey,0))</f>
        <v/>
      </c>
      <c r="J209" s="14">
        <f>INDEX(VarSrc,MATCH($A209,VarKey,0))</f>
        <v/>
      </c>
      <c r="K209" s="11">
        <f>CodePrefix&amp;$A209&amp;IF($C209="","","."&amp;$C209&amp;"."&amp;$B209)&amp;INDEX(VarEnd,MATCH($A209,VarKey,0))&amp;K$5</f>
        <v/>
      </c>
      <c r="L209" s="23">
        <f>INDEX(MTInputs!$J$1:$AZ$415,$D209,MATCH(L$5,MTInputs!$J$5:$AZ$5,0))</f>
        <v/>
      </c>
      <c r="M209" s="24">
        <f>INDEX(MTInputs!$J$1:$AZ$415,$D209,MATCH(M$5,MTInputs!$J$5:$AZ$5,0))</f>
        <v/>
      </c>
      <c r="N209" s="24">
        <f>INDEX(MTInputs!$J$1:$AZ$415,$D209,MATCH(N$5,MTInputs!$J$5:$AZ$5,0))</f>
        <v/>
      </c>
      <c r="O209" s="24">
        <f>INDEX(MTInputs!$J$1:$AZ$415,$D209,MATCH(O$5,MTInputs!$J$5:$AZ$5,0))</f>
        <v/>
      </c>
      <c r="P209" s="24">
        <f>INDEX(MTInputs!$J$1:$AZ$415,$D209,MATCH(P$5,MTInputs!$J$5:$AZ$5,0))</f>
        <v/>
      </c>
      <c r="Q209" s="24">
        <f>INDEX(MTInputs!$J$1:$AZ$415,$D209,MATCH(Q$5,MTInputs!$J$5:$AZ$5,0))</f>
        <v/>
      </c>
      <c r="R209" s="24">
        <f>INDEX(MTInputs!$J$1:$AZ$415,$D209,MATCH(R$5,MTInputs!$J$5:$AZ$5,0))</f>
        <v/>
      </c>
      <c r="S209" s="24">
        <f>INDEX(MTInputs!$J$1:$AZ$415,$D209,MATCH(S$5,MTInputs!$J$5:$AZ$5,0))</f>
        <v/>
      </c>
      <c r="T209" s="24">
        <f>INDEX(MTInputs!$J$1:$AZ$415,$D209,MATCH(T$5,MTInputs!$J$5:$AZ$5,0))</f>
        <v/>
      </c>
      <c r="U209" s="24">
        <f>INDEX(MTInputs!$J$1:$AZ$415,$D209,MATCH(U$5,MTInputs!$J$5:$AZ$5,0))</f>
        <v/>
      </c>
      <c r="V209" s="24">
        <f>INDEX(MTInputs!$J$1:$AZ$415,$D209,MATCH(V$5,MTInputs!$J$5:$AZ$5,0))</f>
        <v/>
      </c>
      <c r="W209" s="24">
        <f>INDEX(MTInputs!$J$1:$AZ$415,$D209,MATCH(W$5,MTInputs!$J$5:$AZ$5,0))</f>
        <v/>
      </c>
      <c r="X209" s="24">
        <f>INDEX(MTInputs!$J$1:$AZ$415,$D209,MATCH(X$5,MTInputs!$J$5:$AZ$5,0))</f>
        <v/>
      </c>
      <c r="Y209" s="24">
        <f>INDEX(MTInputs!$J$1:$AZ$415,$D209,MATCH(Y$5,MTInputs!$J$5:$AZ$5,0))</f>
        <v/>
      </c>
      <c r="Z209" s="24">
        <f>INDEX(MTInputs!$J$1:$AZ$415,$D209,MATCH(Z$5,MTInputs!$J$5:$AZ$5,0))</f>
        <v/>
      </c>
      <c r="AA209" s="24">
        <f>INDEX(MTInputs!$J$1:$AZ$415,$D209,MATCH(AA$5,MTInputs!$J$5:$AZ$5,0))</f>
        <v/>
      </c>
      <c r="AB209" s="24">
        <f>INDEX(MTInputs!$J$1:$AZ$415,$D209,MATCH(AB$5,MTInputs!$J$5:$AZ$5,0))</f>
        <v/>
      </c>
      <c r="AC209" s="24">
        <f>INDEX(MTInputs!$J$1:$AZ$415,$D209,MATCH(AC$5,MTInputs!$J$5:$AZ$5,0))</f>
        <v/>
      </c>
      <c r="AD209" s="24">
        <f>INDEX(MTInputs!$J$1:$AZ$415,$D209,MATCH(AD$5,MTInputs!$J$5:$AZ$5,0))</f>
        <v/>
      </c>
      <c r="AE209" s="24">
        <f>INDEX(MTInputs!$J$1:$AZ$415,$D209,MATCH(AE$5,MTInputs!$J$5:$AZ$5,0))</f>
        <v/>
      </c>
      <c r="AG209" s="11">
        <f>CodePrefix&amp;$A209&amp;IF($C209="","","."&amp;$C209&amp;"."&amp;$B209)&amp;INDEX(VarEnd,MATCH($A209,VarKey,0))&amp;AG$5</f>
        <v/>
      </c>
      <c r="AH209" s="23">
        <f>INDEX(MTInputs!$J$1:$AZ$415,$D209,MATCH(AH$5,MTInputs!$J$5:$AZ$5,0))</f>
        <v/>
      </c>
      <c r="AI209" s="24">
        <f>INDEX(MTInputs!$J$1:$AZ$415,$D209,MATCH(AI$5,MTInputs!$J$5:$AZ$5,0))</f>
        <v/>
      </c>
      <c r="AJ209" s="24">
        <f>INDEX(MTInputs!$J$1:$AZ$415,$D209,MATCH(AJ$5,MTInputs!$J$5:$AZ$5,0))</f>
        <v/>
      </c>
      <c r="AK209" s="24">
        <f>INDEX(MTInputs!$J$1:$AZ$415,$D209,MATCH(AK$5,MTInputs!$J$5:$AZ$5,0))</f>
        <v/>
      </c>
      <c r="AL209" s="24">
        <f>INDEX(MTInputs!$J$1:$AZ$415,$D209,MATCH(AL$5,MTInputs!$J$5:$AZ$5,0))</f>
        <v/>
      </c>
      <c r="AM209" s="24">
        <f>INDEX(MTInputs!$J$1:$AZ$415,$D209,MATCH(AM$5,MTInputs!$J$5:$AZ$5,0))</f>
        <v/>
      </c>
      <c r="AN209" s="24">
        <f>INDEX(MTInputs!$J$1:$AZ$415,$D209,MATCH(AN$5,MTInputs!$J$5:$AZ$5,0))</f>
        <v/>
      </c>
      <c r="AO209" s="24">
        <f>INDEX(MTInputs!$J$1:$AZ$415,$D209,MATCH(AO$5,MTInputs!$J$5:$AZ$5,0))</f>
        <v/>
      </c>
      <c r="AP209" s="24">
        <f>INDEX(MTInputs!$J$1:$AZ$415,$D209,MATCH(AP$5,MTInputs!$J$5:$AZ$5,0))</f>
        <v/>
      </c>
      <c r="AQ209" s="24">
        <f>INDEX(MTInputs!$J$1:$AZ$415,$D209,MATCH(AQ$5,MTInputs!$J$5:$AZ$5,0))</f>
        <v/>
      </c>
      <c r="AR209" s="24">
        <f>INDEX(MTInputs!$J$1:$AZ$415,$D209,MATCH(AR$5,MTInputs!$J$5:$AZ$5,0))</f>
        <v/>
      </c>
      <c r="AS209" s="24">
        <f>INDEX(MTInputs!$J$1:$AZ$415,$D209,MATCH(AS$5,MTInputs!$J$5:$AZ$5,0))</f>
        <v/>
      </c>
      <c r="AT209" s="24">
        <f>INDEX(MTInputs!$J$1:$AZ$415,$D209,MATCH(AT$5,MTInputs!$J$5:$AZ$5,0))</f>
        <v/>
      </c>
      <c r="AU209" s="24">
        <f>INDEX(MTInputs!$J$1:$AZ$415,$D209,MATCH(AU$5,MTInputs!$J$5:$AZ$5,0))</f>
        <v/>
      </c>
      <c r="AV209" s="24">
        <f>INDEX(MTInputs!$J$1:$AZ$415,$D209,MATCH(AV$5,MTInputs!$J$5:$AZ$5,0))</f>
        <v/>
      </c>
      <c r="AW209" s="24">
        <f>INDEX(MTInputs!$J$1:$AZ$415,$D209,MATCH(AW$5,MTInputs!$J$5:$AZ$5,0))</f>
        <v/>
      </c>
      <c r="AX209" s="24">
        <f>INDEX(MTInputs!$J$1:$AZ$415,$D209,MATCH(AX$5,MTInputs!$J$5:$AZ$5,0))</f>
        <v/>
      </c>
      <c r="AY209" s="24">
        <f>INDEX(MTInputs!$J$1:$AZ$415,$D209,MATCH(AY$5,MTInputs!$J$5:$AZ$5,0))</f>
        <v/>
      </c>
      <c r="AZ209" s="24">
        <f>INDEX(MTInputs!$J$1:$AZ$415,$D209,MATCH(AZ$5,MTInputs!$J$5:$AZ$5,0))</f>
        <v/>
      </c>
      <c r="BA209" s="24">
        <f>INDEX(MTInputs!$J$1:$AZ$415,$D209,MATCH(BA$5,MTInputs!$J$5:$AZ$5,0))</f>
        <v/>
      </c>
    </row>
    <row r="210" hidden="1" outlineLevel="1">
      <c r="A210" s="14" t="inlineStr">
        <is>
          <t>fb.t</t>
        </is>
      </c>
      <c r="B210" s="14" t="inlineStr">
        <is>
          <t>all</t>
        </is>
      </c>
      <c r="C210" s="14" t="inlineStr">
        <is>
          <t>tra</t>
        </is>
      </c>
      <c r="D210" s="22" t="n">
        <v>62</v>
      </c>
      <c r="H210" s="14">
        <f>INDEX(VarLab,MATCH($A210,VarKey,0))&amp;INDEX(MemLab,MATCH($C210&amp;"|"&amp;$B210,MemKey,0))</f>
        <v/>
      </c>
      <c r="I210" s="14">
        <f>INDEX(VarUnit,MATCH($A210,VarKey,0))</f>
        <v/>
      </c>
      <c r="J210" s="14">
        <f>INDEX(VarSrc,MATCH($A210,VarKey,0))</f>
        <v/>
      </c>
      <c r="K210" s="11">
        <f>CodePrefix&amp;$A210&amp;IF($C210="","","."&amp;$C210&amp;"."&amp;$B210)&amp;INDEX(VarEnd,MATCH($A210,VarKey,0))&amp;K$5</f>
        <v/>
      </c>
      <c r="L210" s="23">
        <f>INDEX(MTInputs!$J$1:$AZ$415,$D210,MATCH(L$5,MTInputs!$J$5:$AZ$5,0))</f>
        <v/>
      </c>
      <c r="M210" s="24">
        <f>INDEX(MTInputs!$J$1:$AZ$415,$D210,MATCH(M$5,MTInputs!$J$5:$AZ$5,0))</f>
        <v/>
      </c>
      <c r="N210" s="24">
        <f>INDEX(MTInputs!$J$1:$AZ$415,$D210,MATCH(N$5,MTInputs!$J$5:$AZ$5,0))</f>
        <v/>
      </c>
      <c r="O210" s="24">
        <f>INDEX(MTInputs!$J$1:$AZ$415,$D210,MATCH(O$5,MTInputs!$J$5:$AZ$5,0))</f>
        <v/>
      </c>
      <c r="P210" s="24">
        <f>INDEX(MTInputs!$J$1:$AZ$415,$D210,MATCH(P$5,MTInputs!$J$5:$AZ$5,0))</f>
        <v/>
      </c>
      <c r="Q210" s="24">
        <f>INDEX(MTInputs!$J$1:$AZ$415,$D210,MATCH(Q$5,MTInputs!$J$5:$AZ$5,0))</f>
        <v/>
      </c>
      <c r="R210" s="24">
        <f>INDEX(MTInputs!$J$1:$AZ$415,$D210,MATCH(R$5,MTInputs!$J$5:$AZ$5,0))</f>
        <v/>
      </c>
      <c r="S210" s="24">
        <f>INDEX(MTInputs!$J$1:$AZ$415,$D210,MATCH(S$5,MTInputs!$J$5:$AZ$5,0))</f>
        <v/>
      </c>
      <c r="T210" s="24">
        <f>INDEX(MTInputs!$J$1:$AZ$415,$D210,MATCH(T$5,MTInputs!$J$5:$AZ$5,0))</f>
        <v/>
      </c>
      <c r="U210" s="24">
        <f>INDEX(MTInputs!$J$1:$AZ$415,$D210,MATCH(U$5,MTInputs!$J$5:$AZ$5,0))</f>
        <v/>
      </c>
      <c r="V210" s="24">
        <f>INDEX(MTInputs!$J$1:$AZ$415,$D210,MATCH(V$5,MTInputs!$J$5:$AZ$5,0))</f>
        <v/>
      </c>
      <c r="W210" s="24">
        <f>INDEX(MTInputs!$J$1:$AZ$415,$D210,MATCH(W$5,MTInputs!$J$5:$AZ$5,0))</f>
        <v/>
      </c>
      <c r="X210" s="24">
        <f>INDEX(MTInputs!$J$1:$AZ$415,$D210,MATCH(X$5,MTInputs!$J$5:$AZ$5,0))</f>
        <v/>
      </c>
      <c r="Y210" s="24">
        <f>INDEX(MTInputs!$J$1:$AZ$415,$D210,MATCH(Y$5,MTInputs!$J$5:$AZ$5,0))</f>
        <v/>
      </c>
      <c r="Z210" s="24">
        <f>INDEX(MTInputs!$J$1:$AZ$415,$D210,MATCH(Z$5,MTInputs!$J$5:$AZ$5,0))</f>
        <v/>
      </c>
      <c r="AA210" s="24">
        <f>INDEX(MTInputs!$J$1:$AZ$415,$D210,MATCH(AA$5,MTInputs!$J$5:$AZ$5,0))</f>
        <v/>
      </c>
      <c r="AB210" s="24">
        <f>INDEX(MTInputs!$J$1:$AZ$415,$D210,MATCH(AB$5,MTInputs!$J$5:$AZ$5,0))</f>
        <v/>
      </c>
      <c r="AC210" s="24">
        <f>INDEX(MTInputs!$J$1:$AZ$415,$D210,MATCH(AC$5,MTInputs!$J$5:$AZ$5,0))</f>
        <v/>
      </c>
      <c r="AD210" s="24">
        <f>INDEX(MTInputs!$J$1:$AZ$415,$D210,MATCH(AD$5,MTInputs!$J$5:$AZ$5,0))</f>
        <v/>
      </c>
      <c r="AE210" s="24">
        <f>INDEX(MTInputs!$J$1:$AZ$415,$D210,MATCH(AE$5,MTInputs!$J$5:$AZ$5,0))</f>
        <v/>
      </c>
      <c r="AG210" s="11">
        <f>CodePrefix&amp;$A210&amp;IF($C210="","","."&amp;$C210&amp;"."&amp;$B210)&amp;INDEX(VarEnd,MATCH($A210,VarKey,0))&amp;AG$5</f>
        <v/>
      </c>
      <c r="AH210" s="23">
        <f>INDEX(MTInputs!$J$1:$AZ$415,$D210,MATCH(AH$5,MTInputs!$J$5:$AZ$5,0))</f>
        <v/>
      </c>
      <c r="AI210" s="24">
        <f>INDEX(MTInputs!$J$1:$AZ$415,$D210,MATCH(AI$5,MTInputs!$J$5:$AZ$5,0))</f>
        <v/>
      </c>
      <c r="AJ210" s="24">
        <f>INDEX(MTInputs!$J$1:$AZ$415,$D210,MATCH(AJ$5,MTInputs!$J$5:$AZ$5,0))</f>
        <v/>
      </c>
      <c r="AK210" s="24">
        <f>INDEX(MTInputs!$J$1:$AZ$415,$D210,MATCH(AK$5,MTInputs!$J$5:$AZ$5,0))</f>
        <v/>
      </c>
      <c r="AL210" s="24">
        <f>INDEX(MTInputs!$J$1:$AZ$415,$D210,MATCH(AL$5,MTInputs!$J$5:$AZ$5,0))</f>
        <v/>
      </c>
      <c r="AM210" s="24">
        <f>INDEX(MTInputs!$J$1:$AZ$415,$D210,MATCH(AM$5,MTInputs!$J$5:$AZ$5,0))</f>
        <v/>
      </c>
      <c r="AN210" s="24">
        <f>INDEX(MTInputs!$J$1:$AZ$415,$D210,MATCH(AN$5,MTInputs!$J$5:$AZ$5,0))</f>
        <v/>
      </c>
      <c r="AO210" s="24">
        <f>INDEX(MTInputs!$J$1:$AZ$415,$D210,MATCH(AO$5,MTInputs!$J$5:$AZ$5,0))</f>
        <v/>
      </c>
      <c r="AP210" s="24">
        <f>INDEX(MTInputs!$J$1:$AZ$415,$D210,MATCH(AP$5,MTInputs!$J$5:$AZ$5,0))</f>
        <v/>
      </c>
      <c r="AQ210" s="24">
        <f>INDEX(MTInputs!$J$1:$AZ$415,$D210,MATCH(AQ$5,MTInputs!$J$5:$AZ$5,0))</f>
        <v/>
      </c>
      <c r="AR210" s="24">
        <f>INDEX(MTInputs!$J$1:$AZ$415,$D210,MATCH(AR$5,MTInputs!$J$5:$AZ$5,0))</f>
        <v/>
      </c>
      <c r="AS210" s="24">
        <f>INDEX(MTInputs!$J$1:$AZ$415,$D210,MATCH(AS$5,MTInputs!$J$5:$AZ$5,0))</f>
        <v/>
      </c>
      <c r="AT210" s="24">
        <f>INDEX(MTInputs!$J$1:$AZ$415,$D210,MATCH(AT$5,MTInputs!$J$5:$AZ$5,0))</f>
        <v/>
      </c>
      <c r="AU210" s="24">
        <f>INDEX(MTInputs!$J$1:$AZ$415,$D210,MATCH(AU$5,MTInputs!$J$5:$AZ$5,0))</f>
        <v/>
      </c>
      <c r="AV210" s="24">
        <f>INDEX(MTInputs!$J$1:$AZ$415,$D210,MATCH(AV$5,MTInputs!$J$5:$AZ$5,0))</f>
        <v/>
      </c>
      <c r="AW210" s="24">
        <f>INDEX(MTInputs!$J$1:$AZ$415,$D210,MATCH(AW$5,MTInputs!$J$5:$AZ$5,0))</f>
        <v/>
      </c>
      <c r="AX210" s="24">
        <f>INDEX(MTInputs!$J$1:$AZ$415,$D210,MATCH(AX$5,MTInputs!$J$5:$AZ$5,0))</f>
        <v/>
      </c>
      <c r="AY210" s="24">
        <f>INDEX(MTInputs!$J$1:$AZ$415,$D210,MATCH(AY$5,MTInputs!$J$5:$AZ$5,0))</f>
        <v/>
      </c>
      <c r="AZ210" s="24">
        <f>INDEX(MTInputs!$J$1:$AZ$415,$D210,MATCH(AZ$5,MTInputs!$J$5:$AZ$5,0))</f>
        <v/>
      </c>
      <c r="BA210" s="24">
        <f>INDEX(MTInputs!$J$1:$AZ$415,$D210,MATCH(BA$5,MTInputs!$J$5:$AZ$5,0))</f>
        <v/>
      </c>
    </row>
    <row r="211" hidden="1" outlineLevel="1">
      <c r="A211" s="14" t="inlineStr">
        <is>
          <t>fb.t</t>
        </is>
      </c>
      <c r="B211" s="14" t="inlineStr">
        <is>
          <t>all</t>
        </is>
      </c>
      <c r="C211" s="14" t="inlineStr">
        <is>
          <t>res</t>
        </is>
      </c>
      <c r="D211" s="22" t="n">
        <v>63</v>
      </c>
      <c r="H211" s="14">
        <f>INDEX(VarLab,MATCH($A211,VarKey,0))&amp;INDEX(MemLab,MATCH($C211&amp;"|"&amp;$B211,MemKey,0))</f>
        <v/>
      </c>
      <c r="I211" s="14">
        <f>INDEX(VarUnit,MATCH($A211,VarKey,0))</f>
        <v/>
      </c>
      <c r="J211" s="14">
        <f>INDEX(VarSrc,MATCH($A211,VarKey,0))</f>
        <v/>
      </c>
      <c r="K211" s="11">
        <f>CodePrefix&amp;$A211&amp;IF($C211="","","."&amp;$C211&amp;"."&amp;$B211)&amp;INDEX(VarEnd,MATCH($A211,VarKey,0))&amp;K$5</f>
        <v/>
      </c>
      <c r="L211" s="23">
        <f>INDEX(MTInputs!$J$1:$AZ$415,$D211,MATCH(L$5,MTInputs!$J$5:$AZ$5,0))</f>
        <v/>
      </c>
      <c r="M211" s="24">
        <f>INDEX(MTInputs!$J$1:$AZ$415,$D211,MATCH(M$5,MTInputs!$J$5:$AZ$5,0))</f>
        <v/>
      </c>
      <c r="N211" s="24">
        <f>INDEX(MTInputs!$J$1:$AZ$415,$D211,MATCH(N$5,MTInputs!$J$5:$AZ$5,0))</f>
        <v/>
      </c>
      <c r="O211" s="24">
        <f>INDEX(MTInputs!$J$1:$AZ$415,$D211,MATCH(O$5,MTInputs!$J$5:$AZ$5,0))</f>
        <v/>
      </c>
      <c r="P211" s="24">
        <f>INDEX(MTInputs!$J$1:$AZ$415,$D211,MATCH(P$5,MTInputs!$J$5:$AZ$5,0))</f>
        <v/>
      </c>
      <c r="Q211" s="24">
        <f>INDEX(MTInputs!$J$1:$AZ$415,$D211,MATCH(Q$5,MTInputs!$J$5:$AZ$5,0))</f>
        <v/>
      </c>
      <c r="R211" s="24">
        <f>INDEX(MTInputs!$J$1:$AZ$415,$D211,MATCH(R$5,MTInputs!$J$5:$AZ$5,0))</f>
        <v/>
      </c>
      <c r="S211" s="24">
        <f>INDEX(MTInputs!$J$1:$AZ$415,$D211,MATCH(S$5,MTInputs!$J$5:$AZ$5,0))</f>
        <v/>
      </c>
      <c r="T211" s="24">
        <f>INDEX(MTInputs!$J$1:$AZ$415,$D211,MATCH(T$5,MTInputs!$J$5:$AZ$5,0))</f>
        <v/>
      </c>
      <c r="U211" s="24">
        <f>INDEX(MTInputs!$J$1:$AZ$415,$D211,MATCH(U$5,MTInputs!$J$5:$AZ$5,0))</f>
        <v/>
      </c>
      <c r="V211" s="24">
        <f>INDEX(MTInputs!$J$1:$AZ$415,$D211,MATCH(V$5,MTInputs!$J$5:$AZ$5,0))</f>
        <v/>
      </c>
      <c r="W211" s="24">
        <f>INDEX(MTInputs!$J$1:$AZ$415,$D211,MATCH(W$5,MTInputs!$J$5:$AZ$5,0))</f>
        <v/>
      </c>
      <c r="X211" s="24">
        <f>INDEX(MTInputs!$J$1:$AZ$415,$D211,MATCH(X$5,MTInputs!$J$5:$AZ$5,0))</f>
        <v/>
      </c>
      <c r="Y211" s="24">
        <f>INDEX(MTInputs!$J$1:$AZ$415,$D211,MATCH(Y$5,MTInputs!$J$5:$AZ$5,0))</f>
        <v/>
      </c>
      <c r="Z211" s="24">
        <f>INDEX(MTInputs!$J$1:$AZ$415,$D211,MATCH(Z$5,MTInputs!$J$5:$AZ$5,0))</f>
        <v/>
      </c>
      <c r="AA211" s="24">
        <f>INDEX(MTInputs!$J$1:$AZ$415,$D211,MATCH(AA$5,MTInputs!$J$5:$AZ$5,0))</f>
        <v/>
      </c>
      <c r="AB211" s="24">
        <f>INDEX(MTInputs!$J$1:$AZ$415,$D211,MATCH(AB$5,MTInputs!$J$5:$AZ$5,0))</f>
        <v/>
      </c>
      <c r="AC211" s="24">
        <f>INDEX(MTInputs!$J$1:$AZ$415,$D211,MATCH(AC$5,MTInputs!$J$5:$AZ$5,0))</f>
        <v/>
      </c>
      <c r="AD211" s="24">
        <f>INDEX(MTInputs!$J$1:$AZ$415,$D211,MATCH(AD$5,MTInputs!$J$5:$AZ$5,0))</f>
        <v/>
      </c>
      <c r="AE211" s="24">
        <f>INDEX(MTInputs!$J$1:$AZ$415,$D211,MATCH(AE$5,MTInputs!$J$5:$AZ$5,0))</f>
        <v/>
      </c>
      <c r="AG211" s="11">
        <f>CodePrefix&amp;$A211&amp;IF($C211="","","."&amp;$C211&amp;"."&amp;$B211)&amp;INDEX(VarEnd,MATCH($A211,VarKey,0))&amp;AG$5</f>
        <v/>
      </c>
      <c r="AH211" s="23">
        <f>INDEX(MTInputs!$J$1:$AZ$415,$D211,MATCH(AH$5,MTInputs!$J$5:$AZ$5,0))</f>
        <v/>
      </c>
      <c r="AI211" s="24">
        <f>INDEX(MTInputs!$J$1:$AZ$415,$D211,MATCH(AI$5,MTInputs!$J$5:$AZ$5,0))</f>
        <v/>
      </c>
      <c r="AJ211" s="24">
        <f>INDEX(MTInputs!$J$1:$AZ$415,$D211,MATCH(AJ$5,MTInputs!$J$5:$AZ$5,0))</f>
        <v/>
      </c>
      <c r="AK211" s="24">
        <f>INDEX(MTInputs!$J$1:$AZ$415,$D211,MATCH(AK$5,MTInputs!$J$5:$AZ$5,0))</f>
        <v/>
      </c>
      <c r="AL211" s="24">
        <f>INDEX(MTInputs!$J$1:$AZ$415,$D211,MATCH(AL$5,MTInputs!$J$5:$AZ$5,0))</f>
        <v/>
      </c>
      <c r="AM211" s="24">
        <f>INDEX(MTInputs!$J$1:$AZ$415,$D211,MATCH(AM$5,MTInputs!$J$5:$AZ$5,0))</f>
        <v/>
      </c>
      <c r="AN211" s="24">
        <f>INDEX(MTInputs!$J$1:$AZ$415,$D211,MATCH(AN$5,MTInputs!$J$5:$AZ$5,0))</f>
        <v/>
      </c>
      <c r="AO211" s="24">
        <f>INDEX(MTInputs!$J$1:$AZ$415,$D211,MATCH(AO$5,MTInputs!$J$5:$AZ$5,0))</f>
        <v/>
      </c>
      <c r="AP211" s="24">
        <f>INDEX(MTInputs!$J$1:$AZ$415,$D211,MATCH(AP$5,MTInputs!$J$5:$AZ$5,0))</f>
        <v/>
      </c>
      <c r="AQ211" s="24">
        <f>INDEX(MTInputs!$J$1:$AZ$415,$D211,MATCH(AQ$5,MTInputs!$J$5:$AZ$5,0))</f>
        <v/>
      </c>
      <c r="AR211" s="24">
        <f>INDEX(MTInputs!$J$1:$AZ$415,$D211,MATCH(AR$5,MTInputs!$J$5:$AZ$5,0))</f>
        <v/>
      </c>
      <c r="AS211" s="24">
        <f>INDEX(MTInputs!$J$1:$AZ$415,$D211,MATCH(AS$5,MTInputs!$J$5:$AZ$5,0))</f>
        <v/>
      </c>
      <c r="AT211" s="24">
        <f>INDEX(MTInputs!$J$1:$AZ$415,$D211,MATCH(AT$5,MTInputs!$J$5:$AZ$5,0))</f>
        <v/>
      </c>
      <c r="AU211" s="24">
        <f>INDEX(MTInputs!$J$1:$AZ$415,$D211,MATCH(AU$5,MTInputs!$J$5:$AZ$5,0))</f>
        <v/>
      </c>
      <c r="AV211" s="24">
        <f>INDEX(MTInputs!$J$1:$AZ$415,$D211,MATCH(AV$5,MTInputs!$J$5:$AZ$5,0))</f>
        <v/>
      </c>
      <c r="AW211" s="24">
        <f>INDEX(MTInputs!$J$1:$AZ$415,$D211,MATCH(AW$5,MTInputs!$J$5:$AZ$5,0))</f>
        <v/>
      </c>
      <c r="AX211" s="24">
        <f>INDEX(MTInputs!$J$1:$AZ$415,$D211,MATCH(AX$5,MTInputs!$J$5:$AZ$5,0))</f>
        <v/>
      </c>
      <c r="AY211" s="24">
        <f>INDEX(MTInputs!$J$1:$AZ$415,$D211,MATCH(AY$5,MTInputs!$J$5:$AZ$5,0))</f>
        <v/>
      </c>
      <c r="AZ211" s="24">
        <f>INDEX(MTInputs!$J$1:$AZ$415,$D211,MATCH(AZ$5,MTInputs!$J$5:$AZ$5,0))</f>
        <v/>
      </c>
      <c r="BA211" s="24">
        <f>INDEX(MTInputs!$J$1:$AZ$415,$D211,MATCH(BA$5,MTInputs!$J$5:$AZ$5,0))</f>
        <v/>
      </c>
    </row>
    <row r="212" hidden="1" outlineLevel="1">
      <c r="A212" s="14" t="inlineStr">
        <is>
          <t>fb.t</t>
        </is>
      </c>
      <c r="B212" s="14" t="inlineStr">
        <is>
          <t>all</t>
        </is>
      </c>
      <c r="C212" s="14" t="inlineStr">
        <is>
          <t>ind</t>
        </is>
      </c>
      <c r="D212" s="22" t="n">
        <v>64</v>
      </c>
      <c r="H212" s="14">
        <f>INDEX(VarLab,MATCH($A212,VarKey,0))&amp;INDEX(MemLab,MATCH($C212&amp;"|"&amp;$B212,MemKey,0))</f>
        <v/>
      </c>
      <c r="I212" s="14">
        <f>INDEX(VarUnit,MATCH($A212,VarKey,0))</f>
        <v/>
      </c>
      <c r="J212" s="14">
        <f>INDEX(VarSrc,MATCH($A212,VarKey,0))</f>
        <v/>
      </c>
      <c r="K212" s="11">
        <f>CodePrefix&amp;$A212&amp;IF($C212="","","."&amp;$C212&amp;"."&amp;$B212)&amp;INDEX(VarEnd,MATCH($A212,VarKey,0))&amp;K$5</f>
        <v/>
      </c>
      <c r="L212" s="23">
        <f>INDEX(MTInputs!$J$1:$AZ$415,$D212,MATCH(L$5,MTInputs!$J$5:$AZ$5,0))</f>
        <v/>
      </c>
      <c r="M212" s="24">
        <f>INDEX(MTInputs!$J$1:$AZ$415,$D212,MATCH(M$5,MTInputs!$J$5:$AZ$5,0))</f>
        <v/>
      </c>
      <c r="N212" s="24">
        <f>INDEX(MTInputs!$J$1:$AZ$415,$D212,MATCH(N$5,MTInputs!$J$5:$AZ$5,0))</f>
        <v/>
      </c>
      <c r="O212" s="24">
        <f>INDEX(MTInputs!$J$1:$AZ$415,$D212,MATCH(O$5,MTInputs!$J$5:$AZ$5,0))</f>
        <v/>
      </c>
      <c r="P212" s="24">
        <f>INDEX(MTInputs!$J$1:$AZ$415,$D212,MATCH(P$5,MTInputs!$J$5:$AZ$5,0))</f>
        <v/>
      </c>
      <c r="Q212" s="24">
        <f>INDEX(MTInputs!$J$1:$AZ$415,$D212,MATCH(Q$5,MTInputs!$J$5:$AZ$5,0))</f>
        <v/>
      </c>
      <c r="R212" s="24">
        <f>INDEX(MTInputs!$J$1:$AZ$415,$D212,MATCH(R$5,MTInputs!$J$5:$AZ$5,0))</f>
        <v/>
      </c>
      <c r="S212" s="24">
        <f>INDEX(MTInputs!$J$1:$AZ$415,$D212,MATCH(S$5,MTInputs!$J$5:$AZ$5,0))</f>
        <v/>
      </c>
      <c r="T212" s="24">
        <f>INDEX(MTInputs!$J$1:$AZ$415,$D212,MATCH(T$5,MTInputs!$J$5:$AZ$5,0))</f>
        <v/>
      </c>
      <c r="U212" s="24">
        <f>INDEX(MTInputs!$J$1:$AZ$415,$D212,MATCH(U$5,MTInputs!$J$5:$AZ$5,0))</f>
        <v/>
      </c>
      <c r="V212" s="24">
        <f>INDEX(MTInputs!$J$1:$AZ$415,$D212,MATCH(V$5,MTInputs!$J$5:$AZ$5,0))</f>
        <v/>
      </c>
      <c r="W212" s="24">
        <f>INDEX(MTInputs!$J$1:$AZ$415,$D212,MATCH(W$5,MTInputs!$J$5:$AZ$5,0))</f>
        <v/>
      </c>
      <c r="X212" s="24">
        <f>INDEX(MTInputs!$J$1:$AZ$415,$D212,MATCH(X$5,MTInputs!$J$5:$AZ$5,0))</f>
        <v/>
      </c>
      <c r="Y212" s="24">
        <f>INDEX(MTInputs!$J$1:$AZ$415,$D212,MATCH(Y$5,MTInputs!$J$5:$AZ$5,0))</f>
        <v/>
      </c>
      <c r="Z212" s="24">
        <f>INDEX(MTInputs!$J$1:$AZ$415,$D212,MATCH(Z$5,MTInputs!$J$5:$AZ$5,0))</f>
        <v/>
      </c>
      <c r="AA212" s="24">
        <f>INDEX(MTInputs!$J$1:$AZ$415,$D212,MATCH(AA$5,MTInputs!$J$5:$AZ$5,0))</f>
        <v/>
      </c>
      <c r="AB212" s="24">
        <f>INDEX(MTInputs!$J$1:$AZ$415,$D212,MATCH(AB$5,MTInputs!$J$5:$AZ$5,0))</f>
        <v/>
      </c>
      <c r="AC212" s="24">
        <f>INDEX(MTInputs!$J$1:$AZ$415,$D212,MATCH(AC$5,MTInputs!$J$5:$AZ$5,0))</f>
        <v/>
      </c>
      <c r="AD212" s="24">
        <f>INDEX(MTInputs!$J$1:$AZ$415,$D212,MATCH(AD$5,MTInputs!$J$5:$AZ$5,0))</f>
        <v/>
      </c>
      <c r="AE212" s="24">
        <f>INDEX(MTInputs!$J$1:$AZ$415,$D212,MATCH(AE$5,MTInputs!$J$5:$AZ$5,0))</f>
        <v/>
      </c>
      <c r="AG212" s="11">
        <f>CodePrefix&amp;$A212&amp;IF($C212="","","."&amp;$C212&amp;"."&amp;$B212)&amp;INDEX(VarEnd,MATCH($A212,VarKey,0))&amp;AG$5</f>
        <v/>
      </c>
      <c r="AH212" s="23">
        <f>INDEX(MTInputs!$J$1:$AZ$415,$D212,MATCH(AH$5,MTInputs!$J$5:$AZ$5,0))</f>
        <v/>
      </c>
      <c r="AI212" s="24">
        <f>INDEX(MTInputs!$J$1:$AZ$415,$D212,MATCH(AI$5,MTInputs!$J$5:$AZ$5,0))</f>
        <v/>
      </c>
      <c r="AJ212" s="24">
        <f>INDEX(MTInputs!$J$1:$AZ$415,$D212,MATCH(AJ$5,MTInputs!$J$5:$AZ$5,0))</f>
        <v/>
      </c>
      <c r="AK212" s="24">
        <f>INDEX(MTInputs!$J$1:$AZ$415,$D212,MATCH(AK$5,MTInputs!$J$5:$AZ$5,0))</f>
        <v/>
      </c>
      <c r="AL212" s="24">
        <f>INDEX(MTInputs!$J$1:$AZ$415,$D212,MATCH(AL$5,MTInputs!$J$5:$AZ$5,0))</f>
        <v/>
      </c>
      <c r="AM212" s="24">
        <f>INDEX(MTInputs!$J$1:$AZ$415,$D212,MATCH(AM$5,MTInputs!$J$5:$AZ$5,0))</f>
        <v/>
      </c>
      <c r="AN212" s="24">
        <f>INDEX(MTInputs!$J$1:$AZ$415,$D212,MATCH(AN$5,MTInputs!$J$5:$AZ$5,0))</f>
        <v/>
      </c>
      <c r="AO212" s="24">
        <f>INDEX(MTInputs!$J$1:$AZ$415,$D212,MATCH(AO$5,MTInputs!$J$5:$AZ$5,0))</f>
        <v/>
      </c>
      <c r="AP212" s="24">
        <f>INDEX(MTInputs!$J$1:$AZ$415,$D212,MATCH(AP$5,MTInputs!$J$5:$AZ$5,0))</f>
        <v/>
      </c>
      <c r="AQ212" s="24">
        <f>INDEX(MTInputs!$J$1:$AZ$415,$D212,MATCH(AQ$5,MTInputs!$J$5:$AZ$5,0))</f>
        <v/>
      </c>
      <c r="AR212" s="24">
        <f>INDEX(MTInputs!$J$1:$AZ$415,$D212,MATCH(AR$5,MTInputs!$J$5:$AZ$5,0))</f>
        <v/>
      </c>
      <c r="AS212" s="24">
        <f>INDEX(MTInputs!$J$1:$AZ$415,$D212,MATCH(AS$5,MTInputs!$J$5:$AZ$5,0))</f>
        <v/>
      </c>
      <c r="AT212" s="24">
        <f>INDEX(MTInputs!$J$1:$AZ$415,$D212,MATCH(AT$5,MTInputs!$J$5:$AZ$5,0))</f>
        <v/>
      </c>
      <c r="AU212" s="24">
        <f>INDEX(MTInputs!$J$1:$AZ$415,$D212,MATCH(AU$5,MTInputs!$J$5:$AZ$5,0))</f>
        <v/>
      </c>
      <c r="AV212" s="24">
        <f>INDEX(MTInputs!$J$1:$AZ$415,$D212,MATCH(AV$5,MTInputs!$J$5:$AZ$5,0))</f>
        <v/>
      </c>
      <c r="AW212" s="24">
        <f>INDEX(MTInputs!$J$1:$AZ$415,$D212,MATCH(AW$5,MTInputs!$J$5:$AZ$5,0))</f>
        <v/>
      </c>
      <c r="AX212" s="24">
        <f>INDEX(MTInputs!$J$1:$AZ$415,$D212,MATCH(AX$5,MTInputs!$J$5:$AZ$5,0))</f>
        <v/>
      </c>
      <c r="AY212" s="24">
        <f>INDEX(MTInputs!$J$1:$AZ$415,$D212,MATCH(AY$5,MTInputs!$J$5:$AZ$5,0))</f>
        <v/>
      </c>
      <c r="AZ212" s="24">
        <f>INDEX(MTInputs!$J$1:$AZ$415,$D212,MATCH(AZ$5,MTInputs!$J$5:$AZ$5,0))</f>
        <v/>
      </c>
      <c r="BA212" s="24">
        <f>INDEX(MTInputs!$J$1:$AZ$415,$D212,MATCH(BA$5,MTInputs!$J$5:$AZ$5,0))</f>
        <v/>
      </c>
    </row>
    <row r="213" hidden="1" outlineLevel="1">
      <c r="A213" s="1" t="inlineStr">
        <is>
          <t>fb</t>
        </is>
      </c>
      <c r="B213" s="1" t="inlineStr">
        <is>
          <t>all</t>
        </is>
      </c>
      <c r="C213" s="1" t="inlineStr">
        <is>
          <t>pow</t>
        </is>
      </c>
      <c r="H213" s="1">
        <f>INDEX(VarLab,MATCH($A213,VarKey,0))&amp;INDEX(MemLab,MATCH($C213&amp;"|"&amp;$B213,MemKey,0))</f>
        <v/>
      </c>
      <c r="I213" s="1">
        <f>INDEX(VarUnit,MATCH($A213,VarKey,0))</f>
        <v/>
      </c>
      <c r="J213" s="1">
        <f>INDEX(VarSrc,MATCH($A213,VarKey,0))</f>
        <v/>
      </c>
      <c r="K213" s="17">
        <f>CodePrefix&amp;$A213&amp;IF($C213="","","."&amp;$C213&amp;"."&amp;$B213)&amp;INDEX(VarEnd,MATCH($A213,VarKey,0))&amp;K$5</f>
        <v/>
      </c>
      <c r="L213" s="18">
        <f>IF(L$4&lt;L$203,0,L205+(L209-L205)/MAX(L$204-L$203,1)*(L$4-L$203))</f>
        <v/>
      </c>
      <c r="M213" s="19">
        <f>IF(M$4&lt;M$203,0,M205+(M209-M205)/MAX(M$204-M$203,1)*(M$4-M$203))</f>
        <v/>
      </c>
      <c r="N213" s="19">
        <f>IF(N$4&lt;N$203,0,N205+(N209-N205)/MAX(N$204-N$203,1)*(N$4-N$203))</f>
        <v/>
      </c>
      <c r="O213" s="19">
        <f>IF(O$4&lt;O$203,0,O205+(O209-O205)/MAX(O$204-O$203,1)*(O$4-O$203))</f>
        <v/>
      </c>
      <c r="P213" s="19">
        <f>IF(P$4&lt;P$203,0,P205+(P209-P205)/MAX(P$204-P$203,1)*(P$4-P$203))</f>
        <v/>
      </c>
      <c r="Q213" s="19">
        <f>IF(Q$4&lt;Q$203,0,Q205+(Q209-Q205)/MAX(Q$204-Q$203,1)*(Q$4-Q$203))</f>
        <v/>
      </c>
      <c r="R213" s="19">
        <f>IF(R$4&lt;R$203,0,R205+(R209-R205)/MAX(R$204-R$203,1)*(R$4-R$203))</f>
        <v/>
      </c>
      <c r="S213" s="19">
        <f>IF(S$4&lt;S$203,0,S205+(S209-S205)/MAX(S$204-S$203,1)*(S$4-S$203))</f>
        <v/>
      </c>
      <c r="T213" s="19">
        <f>IF(T$4&lt;T$203,0,T205+(T209-T205)/MAX(T$204-T$203,1)*(T$4-T$203))</f>
        <v/>
      </c>
      <c r="U213" s="19">
        <f>IF(U$4&lt;U$203,0,U205+(U209-U205)/MAX(U$204-U$203,1)*(U$4-U$203))</f>
        <v/>
      </c>
      <c r="V213" s="19">
        <f>IF(V$4&lt;V$203,0,V205+(V209-V205)/MAX(V$204-V$203,1)*(V$4-V$203))</f>
        <v/>
      </c>
      <c r="W213" s="19">
        <f>IF(W$4&lt;W$203,0,W205+(W209-W205)/MAX(W$204-W$203,1)*(W$4-W$203))</f>
        <v/>
      </c>
      <c r="X213" s="19">
        <f>IF(X$4&lt;X$203,0,X205+(X209-X205)/MAX(X$204-X$203,1)*(X$4-X$203))</f>
        <v/>
      </c>
      <c r="Y213" s="19">
        <f>IF(Y$4&lt;Y$203,0,Y205+(Y209-Y205)/MAX(Y$204-Y$203,1)*(Y$4-Y$203))</f>
        <v/>
      </c>
      <c r="Z213" s="19">
        <f>IF(Z$4&lt;Z$203,0,Z205+(Z209-Z205)/MAX(Z$204-Z$203,1)*(Z$4-Z$203))</f>
        <v/>
      </c>
      <c r="AA213" s="19">
        <f>IF(AA$4&lt;AA$203,0,AA205+(AA209-AA205)/MAX(AA$204-AA$203,1)*(AA$4-AA$203))</f>
        <v/>
      </c>
      <c r="AB213" s="19">
        <f>IF(AB$4&lt;AB$203,0,AB205+(AB209-AB205)/MAX(AB$204-AB$203,1)*(AB$4-AB$203))</f>
        <v/>
      </c>
      <c r="AC213" s="19">
        <f>IF(AC$4&lt;AC$203,0,AC205+(AC209-AC205)/MAX(AC$204-AC$203,1)*(AC$4-AC$203))</f>
        <v/>
      </c>
      <c r="AD213" s="19">
        <f>IF(AD$4&lt;AD$203,0,AD205+(AD209-AD205)/MAX(AD$204-AD$203,1)*(AD$4-AD$203))</f>
        <v/>
      </c>
      <c r="AE213" s="20">
        <f>PATH(AE$4,AE$203,AE$204,AE205,AE209,TRUE)</f>
        <v/>
      </c>
      <c r="AG213" s="17">
        <f>CodePrefix&amp;$A213&amp;IF($C213="","","."&amp;$C213&amp;"."&amp;$B213)&amp;INDEX(VarEnd,MATCH($A213,VarKey,0))&amp;AG$5</f>
        <v/>
      </c>
      <c r="AH213" s="18">
        <f>IF(AH$4&lt;AH$203,0,AH205+(AH209-AH205)/MAX(AH$204-AH$203,1)*(AH$4-AH$203))</f>
        <v/>
      </c>
      <c r="AI213" s="19">
        <f>IF(AI$4&lt;AI$203,0,AI205+(AI209-AI205)/MAX(AI$204-AI$203,1)*(AI$4-AI$203))</f>
        <v/>
      </c>
      <c r="AJ213" s="19">
        <f>IF(AJ$4&lt;AJ$203,0,AJ205+(AJ209-AJ205)/MAX(AJ$204-AJ$203,1)*(AJ$4-AJ$203))</f>
        <v/>
      </c>
      <c r="AK213" s="19">
        <f>IF(AK$4&lt;AK$203,0,AK205+(AK209-AK205)/MAX(AK$204-AK$203,1)*(AK$4-AK$203))</f>
        <v/>
      </c>
      <c r="AL213" s="19">
        <f>IF(AL$4&lt;AL$203,0,AL205+(AL209-AL205)/MAX(AL$204-AL$203,1)*(AL$4-AL$203))</f>
        <v/>
      </c>
      <c r="AM213" s="19">
        <f>IF(AM$4&lt;AM$203,0,AM205+(AM209-AM205)/MAX(AM$204-AM$203,1)*(AM$4-AM$203))</f>
        <v/>
      </c>
      <c r="AN213" s="19">
        <f>IF(AN$4&lt;AN$203,0,AN205+(AN209-AN205)/MAX(AN$204-AN$203,1)*(AN$4-AN$203))</f>
        <v/>
      </c>
      <c r="AO213" s="19">
        <f>IF(AO$4&lt;AO$203,0,AO205+(AO209-AO205)/MAX(AO$204-AO$203,1)*(AO$4-AO$203))</f>
        <v/>
      </c>
      <c r="AP213" s="19">
        <f>IF(AP$4&lt;AP$203,0,AP205+(AP209-AP205)/MAX(AP$204-AP$203,1)*(AP$4-AP$203))</f>
        <v/>
      </c>
      <c r="AQ213" s="19">
        <f>IF(AQ$4&lt;AQ$203,0,AQ205+(AQ209-AQ205)/MAX(AQ$204-AQ$203,1)*(AQ$4-AQ$203))</f>
        <v/>
      </c>
      <c r="AR213" s="19">
        <f>IF(AR$4&lt;AR$203,0,AR205+(AR209-AR205)/MAX(AR$204-AR$203,1)*(AR$4-AR$203))</f>
        <v/>
      </c>
      <c r="AS213" s="19">
        <f>IF(AS$4&lt;AS$203,0,AS205+(AS209-AS205)/MAX(AS$204-AS$203,1)*(AS$4-AS$203))</f>
        <v/>
      </c>
      <c r="AT213" s="19">
        <f>IF(AT$4&lt;AT$203,0,AT205+(AT209-AT205)/MAX(AT$204-AT$203,1)*(AT$4-AT$203))</f>
        <v/>
      </c>
      <c r="AU213" s="19">
        <f>IF(AU$4&lt;AU$203,0,AU205+(AU209-AU205)/MAX(AU$204-AU$203,1)*(AU$4-AU$203))</f>
        <v/>
      </c>
      <c r="AV213" s="19">
        <f>IF(AV$4&lt;AV$203,0,AV205+(AV209-AV205)/MAX(AV$204-AV$203,1)*(AV$4-AV$203))</f>
        <v/>
      </c>
      <c r="AW213" s="19">
        <f>IF(AW$4&lt;AW$203,0,AW205+(AW209-AW205)/MAX(AW$204-AW$203,1)*(AW$4-AW$203))</f>
        <v/>
      </c>
      <c r="AX213" s="19">
        <f>IF(AX$4&lt;AX$203,0,AX205+(AX209-AX205)/MAX(AX$204-AX$203,1)*(AX$4-AX$203))</f>
        <v/>
      </c>
      <c r="AY213" s="19">
        <f>IF(AY$4&lt;AY$203,0,AY205+(AY209-AY205)/MAX(AY$204-AY$203,1)*(AY$4-AY$203))</f>
        <v/>
      </c>
      <c r="AZ213" s="19">
        <f>IF(AZ$4&lt;AZ$203,0,AZ205+(AZ209-AZ205)/MAX(AZ$204-AZ$203,1)*(AZ$4-AZ$203))</f>
        <v/>
      </c>
      <c r="BA213" s="20">
        <f>PATH(BA$4,BA$203,BA$204,BA205,BA209,TRUE)</f>
        <v/>
      </c>
    </row>
    <row r="214" hidden="1" outlineLevel="1">
      <c r="A214" s="1" t="inlineStr">
        <is>
          <t>fb</t>
        </is>
      </c>
      <c r="B214" s="1" t="inlineStr">
        <is>
          <t>all</t>
        </is>
      </c>
      <c r="C214" s="1" t="inlineStr">
        <is>
          <t>tra</t>
        </is>
      </c>
      <c r="H214" s="1">
        <f>INDEX(VarLab,MATCH($A214,VarKey,0))&amp;INDEX(MemLab,MATCH($C214&amp;"|"&amp;$B214,MemKey,0))</f>
        <v/>
      </c>
      <c r="I214" s="1">
        <f>INDEX(VarUnit,MATCH($A214,VarKey,0))</f>
        <v/>
      </c>
      <c r="J214" s="1">
        <f>INDEX(VarSrc,MATCH($A214,VarKey,0))</f>
        <v/>
      </c>
      <c r="K214" s="17">
        <f>CodePrefix&amp;$A214&amp;IF($C214="","","."&amp;$C214&amp;"."&amp;$B214)&amp;INDEX(VarEnd,MATCH($A214,VarKey,0))&amp;K$5</f>
        <v/>
      </c>
      <c r="L214" s="18">
        <f>IF(L$4&lt;L$203,0,L206+(L210-L206)/MAX(L$204-L$203,1)*(L$4-L$203))</f>
        <v/>
      </c>
      <c r="M214" s="19">
        <f>IF(M$4&lt;M$203,0,M206+(M210-M206)/MAX(M$204-M$203,1)*(M$4-M$203))</f>
        <v/>
      </c>
      <c r="N214" s="19">
        <f>IF(N$4&lt;N$203,0,N206+(N210-N206)/MAX(N$204-N$203,1)*(N$4-N$203))</f>
        <v/>
      </c>
      <c r="O214" s="19">
        <f>IF(O$4&lt;O$203,0,O206+(O210-O206)/MAX(O$204-O$203,1)*(O$4-O$203))</f>
        <v/>
      </c>
      <c r="P214" s="19">
        <f>IF(P$4&lt;P$203,0,P206+(P210-P206)/MAX(P$204-P$203,1)*(P$4-P$203))</f>
        <v/>
      </c>
      <c r="Q214" s="19">
        <f>IF(Q$4&lt;Q$203,0,Q206+(Q210-Q206)/MAX(Q$204-Q$203,1)*(Q$4-Q$203))</f>
        <v/>
      </c>
      <c r="R214" s="19">
        <f>IF(R$4&lt;R$203,0,R206+(R210-R206)/MAX(R$204-R$203,1)*(R$4-R$203))</f>
        <v/>
      </c>
      <c r="S214" s="19">
        <f>IF(S$4&lt;S$203,0,S206+(S210-S206)/MAX(S$204-S$203,1)*(S$4-S$203))</f>
        <v/>
      </c>
      <c r="T214" s="19">
        <f>IF(T$4&lt;T$203,0,T206+(T210-T206)/MAX(T$204-T$203,1)*(T$4-T$203))</f>
        <v/>
      </c>
      <c r="U214" s="19">
        <f>IF(U$4&lt;U$203,0,U206+(U210-U206)/MAX(U$204-U$203,1)*(U$4-U$203))</f>
        <v/>
      </c>
      <c r="V214" s="19">
        <f>IF(V$4&lt;V$203,0,V206+(V210-V206)/MAX(V$204-V$203,1)*(V$4-V$203))</f>
        <v/>
      </c>
      <c r="W214" s="19">
        <f>IF(W$4&lt;W$203,0,W206+(W210-W206)/MAX(W$204-W$203,1)*(W$4-W$203))</f>
        <v/>
      </c>
      <c r="X214" s="19">
        <f>IF(X$4&lt;X$203,0,X206+(X210-X206)/MAX(X$204-X$203,1)*(X$4-X$203))</f>
        <v/>
      </c>
      <c r="Y214" s="19">
        <f>IF(Y$4&lt;Y$203,0,Y206+(Y210-Y206)/MAX(Y$204-Y$203,1)*(Y$4-Y$203))</f>
        <v/>
      </c>
      <c r="Z214" s="19">
        <f>IF(Z$4&lt;Z$203,0,Z206+(Z210-Z206)/MAX(Z$204-Z$203,1)*(Z$4-Z$203))</f>
        <v/>
      </c>
      <c r="AA214" s="19">
        <f>IF(AA$4&lt;AA$203,0,AA206+(AA210-AA206)/MAX(AA$204-AA$203,1)*(AA$4-AA$203))</f>
        <v/>
      </c>
      <c r="AB214" s="19">
        <f>IF(AB$4&lt;AB$203,0,AB206+(AB210-AB206)/MAX(AB$204-AB$203,1)*(AB$4-AB$203))</f>
        <v/>
      </c>
      <c r="AC214" s="19">
        <f>IF(AC$4&lt;AC$203,0,AC206+(AC210-AC206)/MAX(AC$204-AC$203,1)*(AC$4-AC$203))</f>
        <v/>
      </c>
      <c r="AD214" s="19">
        <f>IF(AD$4&lt;AD$203,0,AD206+(AD210-AD206)/MAX(AD$204-AD$203,1)*(AD$4-AD$203))</f>
        <v/>
      </c>
      <c r="AE214" s="20">
        <f>PATH(AE$4,AE$203,AE$204,AE206,AE210,TRUE)</f>
        <v/>
      </c>
      <c r="AG214" s="17">
        <f>CodePrefix&amp;$A214&amp;IF($C214="","","."&amp;$C214&amp;"."&amp;$B214)&amp;INDEX(VarEnd,MATCH($A214,VarKey,0))&amp;AG$5</f>
        <v/>
      </c>
      <c r="AH214" s="18">
        <f>IF(AH$4&lt;AH$203,0,AH206+(AH210-AH206)/MAX(AH$204-AH$203,1)*(AH$4-AH$203))</f>
        <v/>
      </c>
      <c r="AI214" s="19">
        <f>IF(AI$4&lt;AI$203,0,AI206+(AI210-AI206)/MAX(AI$204-AI$203,1)*(AI$4-AI$203))</f>
        <v/>
      </c>
      <c r="AJ214" s="19">
        <f>IF(AJ$4&lt;AJ$203,0,AJ206+(AJ210-AJ206)/MAX(AJ$204-AJ$203,1)*(AJ$4-AJ$203))</f>
        <v/>
      </c>
      <c r="AK214" s="19">
        <f>IF(AK$4&lt;AK$203,0,AK206+(AK210-AK206)/MAX(AK$204-AK$203,1)*(AK$4-AK$203))</f>
        <v/>
      </c>
      <c r="AL214" s="19">
        <f>IF(AL$4&lt;AL$203,0,AL206+(AL210-AL206)/MAX(AL$204-AL$203,1)*(AL$4-AL$203))</f>
        <v/>
      </c>
      <c r="AM214" s="19">
        <f>IF(AM$4&lt;AM$203,0,AM206+(AM210-AM206)/MAX(AM$204-AM$203,1)*(AM$4-AM$203))</f>
        <v/>
      </c>
      <c r="AN214" s="19">
        <f>IF(AN$4&lt;AN$203,0,AN206+(AN210-AN206)/MAX(AN$204-AN$203,1)*(AN$4-AN$203))</f>
        <v/>
      </c>
      <c r="AO214" s="19">
        <f>IF(AO$4&lt;AO$203,0,AO206+(AO210-AO206)/MAX(AO$204-AO$203,1)*(AO$4-AO$203))</f>
        <v/>
      </c>
      <c r="AP214" s="19">
        <f>IF(AP$4&lt;AP$203,0,AP206+(AP210-AP206)/MAX(AP$204-AP$203,1)*(AP$4-AP$203))</f>
        <v/>
      </c>
      <c r="AQ214" s="19">
        <f>IF(AQ$4&lt;AQ$203,0,AQ206+(AQ210-AQ206)/MAX(AQ$204-AQ$203,1)*(AQ$4-AQ$203))</f>
        <v/>
      </c>
      <c r="AR214" s="19">
        <f>IF(AR$4&lt;AR$203,0,AR206+(AR210-AR206)/MAX(AR$204-AR$203,1)*(AR$4-AR$203))</f>
        <v/>
      </c>
      <c r="AS214" s="19">
        <f>IF(AS$4&lt;AS$203,0,AS206+(AS210-AS206)/MAX(AS$204-AS$203,1)*(AS$4-AS$203))</f>
        <v/>
      </c>
      <c r="AT214" s="19">
        <f>IF(AT$4&lt;AT$203,0,AT206+(AT210-AT206)/MAX(AT$204-AT$203,1)*(AT$4-AT$203))</f>
        <v/>
      </c>
      <c r="AU214" s="19">
        <f>IF(AU$4&lt;AU$203,0,AU206+(AU210-AU206)/MAX(AU$204-AU$203,1)*(AU$4-AU$203))</f>
        <v/>
      </c>
      <c r="AV214" s="19">
        <f>IF(AV$4&lt;AV$203,0,AV206+(AV210-AV206)/MAX(AV$204-AV$203,1)*(AV$4-AV$203))</f>
        <v/>
      </c>
      <c r="AW214" s="19">
        <f>IF(AW$4&lt;AW$203,0,AW206+(AW210-AW206)/MAX(AW$204-AW$203,1)*(AW$4-AW$203))</f>
        <v/>
      </c>
      <c r="AX214" s="19">
        <f>IF(AX$4&lt;AX$203,0,AX206+(AX210-AX206)/MAX(AX$204-AX$203,1)*(AX$4-AX$203))</f>
        <v/>
      </c>
      <c r="AY214" s="19">
        <f>IF(AY$4&lt;AY$203,0,AY206+(AY210-AY206)/MAX(AY$204-AY$203,1)*(AY$4-AY$203))</f>
        <v/>
      </c>
      <c r="AZ214" s="19">
        <f>IF(AZ$4&lt;AZ$203,0,AZ206+(AZ210-AZ206)/MAX(AZ$204-AZ$203,1)*(AZ$4-AZ$203))</f>
        <v/>
      </c>
      <c r="BA214" s="20">
        <f>PATH(BA$4,BA$203,BA$204,BA206,BA210,TRUE)</f>
        <v/>
      </c>
    </row>
    <row r="215" hidden="1" outlineLevel="1">
      <c r="A215" s="1" t="inlineStr">
        <is>
          <t>fb</t>
        </is>
      </c>
      <c r="B215" s="1" t="inlineStr">
        <is>
          <t>all</t>
        </is>
      </c>
      <c r="C215" s="1" t="inlineStr">
        <is>
          <t>res</t>
        </is>
      </c>
      <c r="H215" s="1">
        <f>INDEX(VarLab,MATCH($A215,VarKey,0))&amp;INDEX(MemLab,MATCH($C215&amp;"|"&amp;$B215,MemKey,0))</f>
        <v/>
      </c>
      <c r="I215" s="1">
        <f>INDEX(VarUnit,MATCH($A215,VarKey,0))</f>
        <v/>
      </c>
      <c r="J215" s="1">
        <f>INDEX(VarSrc,MATCH($A215,VarKey,0))</f>
        <v/>
      </c>
      <c r="K215" s="17">
        <f>CodePrefix&amp;$A215&amp;IF($C215="","","."&amp;$C215&amp;"."&amp;$B215)&amp;INDEX(VarEnd,MATCH($A215,VarKey,0))&amp;K$5</f>
        <v/>
      </c>
      <c r="L215" s="18">
        <f>IF(L$4&lt;L$203,0,L207+(L211-L207)/MAX(L$204-L$203,1)*(L$4-L$203))</f>
        <v/>
      </c>
      <c r="M215" s="19">
        <f>IF(M$4&lt;M$203,0,M207+(M211-M207)/MAX(M$204-M$203,1)*(M$4-M$203))</f>
        <v/>
      </c>
      <c r="N215" s="19">
        <f>IF(N$4&lt;N$203,0,N207+(N211-N207)/MAX(N$204-N$203,1)*(N$4-N$203))</f>
        <v/>
      </c>
      <c r="O215" s="19">
        <f>IF(O$4&lt;O$203,0,O207+(O211-O207)/MAX(O$204-O$203,1)*(O$4-O$203))</f>
        <v/>
      </c>
      <c r="P215" s="19">
        <f>IF(P$4&lt;P$203,0,P207+(P211-P207)/MAX(P$204-P$203,1)*(P$4-P$203))</f>
        <v/>
      </c>
      <c r="Q215" s="19">
        <f>IF(Q$4&lt;Q$203,0,Q207+(Q211-Q207)/MAX(Q$204-Q$203,1)*(Q$4-Q$203))</f>
        <v/>
      </c>
      <c r="R215" s="19">
        <f>IF(R$4&lt;R$203,0,R207+(R211-R207)/MAX(R$204-R$203,1)*(R$4-R$203))</f>
        <v/>
      </c>
      <c r="S215" s="19">
        <f>IF(S$4&lt;S$203,0,S207+(S211-S207)/MAX(S$204-S$203,1)*(S$4-S$203))</f>
        <v/>
      </c>
      <c r="T215" s="19">
        <f>IF(T$4&lt;T$203,0,T207+(T211-T207)/MAX(T$204-T$203,1)*(T$4-T$203))</f>
        <v/>
      </c>
      <c r="U215" s="19">
        <f>IF(U$4&lt;U$203,0,U207+(U211-U207)/MAX(U$204-U$203,1)*(U$4-U$203))</f>
        <v/>
      </c>
      <c r="V215" s="19">
        <f>IF(V$4&lt;V$203,0,V207+(V211-V207)/MAX(V$204-V$203,1)*(V$4-V$203))</f>
        <v/>
      </c>
      <c r="W215" s="19">
        <f>IF(W$4&lt;W$203,0,W207+(W211-W207)/MAX(W$204-W$203,1)*(W$4-W$203))</f>
        <v/>
      </c>
      <c r="X215" s="19">
        <f>IF(X$4&lt;X$203,0,X207+(X211-X207)/MAX(X$204-X$203,1)*(X$4-X$203))</f>
        <v/>
      </c>
      <c r="Y215" s="19">
        <f>IF(Y$4&lt;Y$203,0,Y207+(Y211-Y207)/MAX(Y$204-Y$203,1)*(Y$4-Y$203))</f>
        <v/>
      </c>
      <c r="Z215" s="19">
        <f>IF(Z$4&lt;Z$203,0,Z207+(Z211-Z207)/MAX(Z$204-Z$203,1)*(Z$4-Z$203))</f>
        <v/>
      </c>
      <c r="AA215" s="19">
        <f>IF(AA$4&lt;AA$203,0,AA207+(AA211-AA207)/MAX(AA$204-AA$203,1)*(AA$4-AA$203))</f>
        <v/>
      </c>
      <c r="AB215" s="19">
        <f>IF(AB$4&lt;AB$203,0,AB207+(AB211-AB207)/MAX(AB$204-AB$203,1)*(AB$4-AB$203))</f>
        <v/>
      </c>
      <c r="AC215" s="19">
        <f>IF(AC$4&lt;AC$203,0,AC207+(AC211-AC207)/MAX(AC$204-AC$203,1)*(AC$4-AC$203))</f>
        <v/>
      </c>
      <c r="AD215" s="19">
        <f>IF(AD$4&lt;AD$203,0,AD207+(AD211-AD207)/MAX(AD$204-AD$203,1)*(AD$4-AD$203))</f>
        <v/>
      </c>
      <c r="AE215" s="20">
        <f>PATH(AE$4,AE$203,AE$204,AE207,AE211,TRUE)</f>
        <v/>
      </c>
      <c r="AG215" s="17">
        <f>CodePrefix&amp;$A215&amp;IF($C215="","","."&amp;$C215&amp;"."&amp;$B215)&amp;INDEX(VarEnd,MATCH($A215,VarKey,0))&amp;AG$5</f>
        <v/>
      </c>
      <c r="AH215" s="18">
        <f>IF(AH$4&lt;AH$203,0,AH207+(AH211-AH207)/MAX(AH$204-AH$203,1)*(AH$4-AH$203))</f>
        <v/>
      </c>
      <c r="AI215" s="19">
        <f>IF(AI$4&lt;AI$203,0,AI207+(AI211-AI207)/MAX(AI$204-AI$203,1)*(AI$4-AI$203))</f>
        <v/>
      </c>
      <c r="AJ215" s="19">
        <f>IF(AJ$4&lt;AJ$203,0,AJ207+(AJ211-AJ207)/MAX(AJ$204-AJ$203,1)*(AJ$4-AJ$203))</f>
        <v/>
      </c>
      <c r="AK215" s="19">
        <f>IF(AK$4&lt;AK$203,0,AK207+(AK211-AK207)/MAX(AK$204-AK$203,1)*(AK$4-AK$203))</f>
        <v/>
      </c>
      <c r="AL215" s="19">
        <f>IF(AL$4&lt;AL$203,0,AL207+(AL211-AL207)/MAX(AL$204-AL$203,1)*(AL$4-AL$203))</f>
        <v/>
      </c>
      <c r="AM215" s="19">
        <f>IF(AM$4&lt;AM$203,0,AM207+(AM211-AM207)/MAX(AM$204-AM$203,1)*(AM$4-AM$203))</f>
        <v/>
      </c>
      <c r="AN215" s="19">
        <f>IF(AN$4&lt;AN$203,0,AN207+(AN211-AN207)/MAX(AN$204-AN$203,1)*(AN$4-AN$203))</f>
        <v/>
      </c>
      <c r="AO215" s="19">
        <f>IF(AO$4&lt;AO$203,0,AO207+(AO211-AO207)/MAX(AO$204-AO$203,1)*(AO$4-AO$203))</f>
        <v/>
      </c>
      <c r="AP215" s="19">
        <f>IF(AP$4&lt;AP$203,0,AP207+(AP211-AP207)/MAX(AP$204-AP$203,1)*(AP$4-AP$203))</f>
        <v/>
      </c>
      <c r="AQ215" s="19">
        <f>IF(AQ$4&lt;AQ$203,0,AQ207+(AQ211-AQ207)/MAX(AQ$204-AQ$203,1)*(AQ$4-AQ$203))</f>
        <v/>
      </c>
      <c r="AR215" s="19">
        <f>IF(AR$4&lt;AR$203,0,AR207+(AR211-AR207)/MAX(AR$204-AR$203,1)*(AR$4-AR$203))</f>
        <v/>
      </c>
      <c r="AS215" s="19">
        <f>IF(AS$4&lt;AS$203,0,AS207+(AS211-AS207)/MAX(AS$204-AS$203,1)*(AS$4-AS$203))</f>
        <v/>
      </c>
      <c r="AT215" s="19">
        <f>IF(AT$4&lt;AT$203,0,AT207+(AT211-AT207)/MAX(AT$204-AT$203,1)*(AT$4-AT$203))</f>
        <v/>
      </c>
      <c r="AU215" s="19">
        <f>IF(AU$4&lt;AU$203,0,AU207+(AU211-AU207)/MAX(AU$204-AU$203,1)*(AU$4-AU$203))</f>
        <v/>
      </c>
      <c r="AV215" s="19">
        <f>IF(AV$4&lt;AV$203,0,AV207+(AV211-AV207)/MAX(AV$204-AV$203,1)*(AV$4-AV$203))</f>
        <v/>
      </c>
      <c r="AW215" s="19">
        <f>IF(AW$4&lt;AW$203,0,AW207+(AW211-AW207)/MAX(AW$204-AW$203,1)*(AW$4-AW$203))</f>
        <v/>
      </c>
      <c r="AX215" s="19">
        <f>IF(AX$4&lt;AX$203,0,AX207+(AX211-AX207)/MAX(AX$204-AX$203,1)*(AX$4-AX$203))</f>
        <v/>
      </c>
      <c r="AY215" s="19">
        <f>IF(AY$4&lt;AY$203,0,AY207+(AY211-AY207)/MAX(AY$204-AY$203,1)*(AY$4-AY$203))</f>
        <v/>
      </c>
      <c r="AZ215" s="19">
        <f>IF(AZ$4&lt;AZ$203,0,AZ207+(AZ211-AZ207)/MAX(AZ$204-AZ$203,1)*(AZ$4-AZ$203))</f>
        <v/>
      </c>
      <c r="BA215" s="20">
        <f>PATH(BA$4,BA$203,BA$204,BA207,BA211,TRUE)</f>
        <v/>
      </c>
    </row>
    <row r="216" hidden="1" outlineLevel="1">
      <c r="A216" s="1" t="inlineStr">
        <is>
          <t>fb</t>
        </is>
      </c>
      <c r="B216" s="1" t="inlineStr">
        <is>
          <t>all</t>
        </is>
      </c>
      <c r="C216" s="1" t="inlineStr">
        <is>
          <t>ind</t>
        </is>
      </c>
      <c r="H216" s="1">
        <f>INDEX(VarLab,MATCH($A216,VarKey,0))&amp;INDEX(MemLab,MATCH($C216&amp;"|"&amp;$B216,MemKey,0))</f>
        <v/>
      </c>
      <c r="I216" s="1">
        <f>INDEX(VarUnit,MATCH($A216,VarKey,0))</f>
        <v/>
      </c>
      <c r="J216" s="1">
        <f>INDEX(VarSrc,MATCH($A216,VarKey,0))</f>
        <v/>
      </c>
      <c r="K216" s="17">
        <f>CodePrefix&amp;$A216&amp;IF($C216="","","."&amp;$C216&amp;"."&amp;$B216)&amp;INDEX(VarEnd,MATCH($A216,VarKey,0))&amp;K$5</f>
        <v/>
      </c>
      <c r="L216" s="18">
        <f>IF(L$4&lt;L$203,0,L208+(L212-L208)/MAX(L$204-L$203,1)*(L$4-L$203))</f>
        <v/>
      </c>
      <c r="M216" s="19">
        <f>IF(M$4&lt;M$203,0,M208+(M212-M208)/MAX(M$204-M$203,1)*(M$4-M$203))</f>
        <v/>
      </c>
      <c r="N216" s="19">
        <f>IF(N$4&lt;N$203,0,N208+(N212-N208)/MAX(N$204-N$203,1)*(N$4-N$203))</f>
        <v/>
      </c>
      <c r="O216" s="19">
        <f>IF(O$4&lt;O$203,0,O208+(O212-O208)/MAX(O$204-O$203,1)*(O$4-O$203))</f>
        <v/>
      </c>
      <c r="P216" s="19">
        <f>IF(P$4&lt;P$203,0,P208+(P212-P208)/MAX(P$204-P$203,1)*(P$4-P$203))</f>
        <v/>
      </c>
      <c r="Q216" s="19">
        <f>IF(Q$4&lt;Q$203,0,Q208+(Q212-Q208)/MAX(Q$204-Q$203,1)*(Q$4-Q$203))</f>
        <v/>
      </c>
      <c r="R216" s="19">
        <f>IF(R$4&lt;R$203,0,R208+(R212-R208)/MAX(R$204-R$203,1)*(R$4-R$203))</f>
        <v/>
      </c>
      <c r="S216" s="19">
        <f>IF(S$4&lt;S$203,0,S208+(S212-S208)/MAX(S$204-S$203,1)*(S$4-S$203))</f>
        <v/>
      </c>
      <c r="T216" s="19">
        <f>IF(T$4&lt;T$203,0,T208+(T212-T208)/MAX(T$204-T$203,1)*(T$4-T$203))</f>
        <v/>
      </c>
      <c r="U216" s="19">
        <f>IF(U$4&lt;U$203,0,U208+(U212-U208)/MAX(U$204-U$203,1)*(U$4-U$203))</f>
        <v/>
      </c>
      <c r="V216" s="19">
        <f>IF(V$4&lt;V$203,0,V208+(V212-V208)/MAX(V$204-V$203,1)*(V$4-V$203))</f>
        <v/>
      </c>
      <c r="W216" s="19">
        <f>IF(W$4&lt;W$203,0,W208+(W212-W208)/MAX(W$204-W$203,1)*(W$4-W$203))</f>
        <v/>
      </c>
      <c r="X216" s="19">
        <f>IF(X$4&lt;X$203,0,X208+(X212-X208)/MAX(X$204-X$203,1)*(X$4-X$203))</f>
        <v/>
      </c>
      <c r="Y216" s="19">
        <f>IF(Y$4&lt;Y$203,0,Y208+(Y212-Y208)/MAX(Y$204-Y$203,1)*(Y$4-Y$203))</f>
        <v/>
      </c>
      <c r="Z216" s="19">
        <f>IF(Z$4&lt;Z$203,0,Z208+(Z212-Z208)/MAX(Z$204-Z$203,1)*(Z$4-Z$203))</f>
        <v/>
      </c>
      <c r="AA216" s="19">
        <f>IF(AA$4&lt;AA$203,0,AA208+(AA212-AA208)/MAX(AA$204-AA$203,1)*(AA$4-AA$203))</f>
        <v/>
      </c>
      <c r="AB216" s="19">
        <f>IF(AB$4&lt;AB$203,0,AB208+(AB212-AB208)/MAX(AB$204-AB$203,1)*(AB$4-AB$203))</f>
        <v/>
      </c>
      <c r="AC216" s="19">
        <f>IF(AC$4&lt;AC$203,0,AC208+(AC212-AC208)/MAX(AC$204-AC$203,1)*(AC$4-AC$203))</f>
        <v/>
      </c>
      <c r="AD216" s="19">
        <f>IF(AD$4&lt;AD$203,0,AD208+(AD212-AD208)/MAX(AD$204-AD$203,1)*(AD$4-AD$203))</f>
        <v/>
      </c>
      <c r="AE216" s="20">
        <f>PATH(AE$4,AE$203,AE$204,AE208,AE212,TRUE)</f>
        <v/>
      </c>
      <c r="AG216" s="17">
        <f>CodePrefix&amp;$A216&amp;IF($C216="","","."&amp;$C216&amp;"."&amp;$B216)&amp;INDEX(VarEnd,MATCH($A216,VarKey,0))&amp;AG$5</f>
        <v/>
      </c>
      <c r="AH216" s="18">
        <f>IF(AH$4&lt;AH$203,0,AH208+(AH212-AH208)/MAX(AH$204-AH$203,1)*(AH$4-AH$203))</f>
        <v/>
      </c>
      <c r="AI216" s="19">
        <f>IF(AI$4&lt;AI$203,0,AI208+(AI212-AI208)/MAX(AI$204-AI$203,1)*(AI$4-AI$203))</f>
        <v/>
      </c>
      <c r="AJ216" s="19">
        <f>IF(AJ$4&lt;AJ$203,0,AJ208+(AJ212-AJ208)/MAX(AJ$204-AJ$203,1)*(AJ$4-AJ$203))</f>
        <v/>
      </c>
      <c r="AK216" s="19">
        <f>IF(AK$4&lt;AK$203,0,AK208+(AK212-AK208)/MAX(AK$204-AK$203,1)*(AK$4-AK$203))</f>
        <v/>
      </c>
      <c r="AL216" s="19">
        <f>IF(AL$4&lt;AL$203,0,AL208+(AL212-AL208)/MAX(AL$204-AL$203,1)*(AL$4-AL$203))</f>
        <v/>
      </c>
      <c r="AM216" s="19">
        <f>IF(AM$4&lt;AM$203,0,AM208+(AM212-AM208)/MAX(AM$204-AM$203,1)*(AM$4-AM$203))</f>
        <v/>
      </c>
      <c r="AN216" s="19">
        <f>IF(AN$4&lt;AN$203,0,AN208+(AN212-AN208)/MAX(AN$204-AN$203,1)*(AN$4-AN$203))</f>
        <v/>
      </c>
      <c r="AO216" s="19">
        <f>IF(AO$4&lt;AO$203,0,AO208+(AO212-AO208)/MAX(AO$204-AO$203,1)*(AO$4-AO$203))</f>
        <v/>
      </c>
      <c r="AP216" s="19">
        <f>IF(AP$4&lt;AP$203,0,AP208+(AP212-AP208)/MAX(AP$204-AP$203,1)*(AP$4-AP$203))</f>
        <v/>
      </c>
      <c r="AQ216" s="19">
        <f>IF(AQ$4&lt;AQ$203,0,AQ208+(AQ212-AQ208)/MAX(AQ$204-AQ$203,1)*(AQ$4-AQ$203))</f>
        <v/>
      </c>
      <c r="AR216" s="19">
        <f>IF(AR$4&lt;AR$203,0,AR208+(AR212-AR208)/MAX(AR$204-AR$203,1)*(AR$4-AR$203))</f>
        <v/>
      </c>
      <c r="AS216" s="19">
        <f>IF(AS$4&lt;AS$203,0,AS208+(AS212-AS208)/MAX(AS$204-AS$203,1)*(AS$4-AS$203))</f>
        <v/>
      </c>
      <c r="AT216" s="19">
        <f>IF(AT$4&lt;AT$203,0,AT208+(AT212-AT208)/MAX(AT$204-AT$203,1)*(AT$4-AT$203))</f>
        <v/>
      </c>
      <c r="AU216" s="19">
        <f>IF(AU$4&lt;AU$203,0,AU208+(AU212-AU208)/MAX(AU$204-AU$203,1)*(AU$4-AU$203))</f>
        <v/>
      </c>
      <c r="AV216" s="19">
        <f>IF(AV$4&lt;AV$203,0,AV208+(AV212-AV208)/MAX(AV$204-AV$203,1)*(AV$4-AV$203))</f>
        <v/>
      </c>
      <c r="AW216" s="19">
        <f>IF(AW$4&lt;AW$203,0,AW208+(AW212-AW208)/MAX(AW$204-AW$203,1)*(AW$4-AW$203))</f>
        <v/>
      </c>
      <c r="AX216" s="19">
        <f>IF(AX$4&lt;AX$203,0,AX208+(AX212-AX208)/MAX(AX$204-AX$203,1)*(AX$4-AX$203))</f>
        <v/>
      </c>
      <c r="AY216" s="19">
        <f>IF(AY$4&lt;AY$203,0,AY208+(AY212-AY208)/MAX(AY$204-AY$203,1)*(AY$4-AY$203))</f>
        <v/>
      </c>
      <c r="AZ216" s="19">
        <f>IF(AZ$4&lt;AZ$203,0,AZ208+(AZ212-AZ208)/MAX(AZ$204-AZ$203,1)*(AZ$4-AZ$203))</f>
        <v/>
      </c>
      <c r="BA216" s="20">
        <f>PATH(BA$4,BA$203,BA$204,BA208,BA212,TRUE)</f>
        <v/>
      </c>
    </row>
    <row r="217" hidden="1" outlineLevel="1">
      <c r="H217" s="21" t="inlineStr">
        <is>
          <t>Feebates sector coverage (MTInputs rows 66-82)</t>
        </is>
      </c>
    </row>
    <row r="218" hidden="1" outlineLevel="1">
      <c r="A218" s="14" t="inlineStr">
        <is>
          <t>fbcov</t>
        </is>
      </c>
      <c r="B218" s="14" t="inlineStr">
        <is>
          <t>all</t>
        </is>
      </c>
      <c r="C218" s="14" t="inlineStr">
        <is>
          <t>pow</t>
        </is>
      </c>
      <c r="D218" s="22" t="n">
        <v>66</v>
      </c>
      <c r="H218" s="14">
        <f>INDEX(VarLab,MATCH($A218,VarKey,0))&amp;INDEX(MemLab,MATCH($C218&amp;"|"&amp;$B218,MemKey,0))</f>
        <v/>
      </c>
      <c r="I218" s="14">
        <f>INDEX(VarUnit,MATCH($A218,VarKey,0))</f>
        <v/>
      </c>
      <c r="J218" s="14">
        <f>INDEX(VarSrc,MATCH($A218,VarKey,0))</f>
        <v/>
      </c>
      <c r="K218" s="11">
        <f>CodePrefix&amp;$A218&amp;IF($C218="","","."&amp;$C218&amp;"."&amp;$B218)&amp;INDEX(VarEnd,MATCH($A218,VarKey,0))&amp;K$5</f>
        <v/>
      </c>
      <c r="L218" s="23">
        <f>INDEX(MTInputs!$J$1:$AZ$415,$D218,MATCH(L$5,MTInputs!$J$5:$AZ$5,0))</f>
        <v/>
      </c>
      <c r="M218" s="24">
        <f>INDEX(MTInputs!$J$1:$AZ$415,$D218,MATCH(M$5,MTInputs!$J$5:$AZ$5,0))</f>
        <v/>
      </c>
      <c r="N218" s="24">
        <f>INDEX(MTInputs!$J$1:$AZ$415,$D218,MATCH(N$5,MTInputs!$J$5:$AZ$5,0))</f>
        <v/>
      </c>
      <c r="O218" s="24">
        <f>INDEX(MTInputs!$J$1:$AZ$415,$D218,MATCH(O$5,MTInputs!$J$5:$AZ$5,0))</f>
        <v/>
      </c>
      <c r="P218" s="24">
        <f>INDEX(MTInputs!$J$1:$AZ$415,$D218,MATCH(P$5,MTInputs!$J$5:$AZ$5,0))</f>
        <v/>
      </c>
      <c r="Q218" s="24">
        <f>INDEX(MTInputs!$J$1:$AZ$415,$D218,MATCH(Q$5,MTInputs!$J$5:$AZ$5,0))</f>
        <v/>
      </c>
      <c r="R218" s="24">
        <f>INDEX(MTInputs!$J$1:$AZ$415,$D218,MATCH(R$5,MTInputs!$J$5:$AZ$5,0))</f>
        <v/>
      </c>
      <c r="S218" s="24">
        <f>INDEX(MTInputs!$J$1:$AZ$415,$D218,MATCH(S$5,MTInputs!$J$5:$AZ$5,0))</f>
        <v/>
      </c>
      <c r="T218" s="24">
        <f>INDEX(MTInputs!$J$1:$AZ$415,$D218,MATCH(T$5,MTInputs!$J$5:$AZ$5,0))</f>
        <v/>
      </c>
      <c r="U218" s="24">
        <f>INDEX(MTInputs!$J$1:$AZ$415,$D218,MATCH(U$5,MTInputs!$J$5:$AZ$5,0))</f>
        <v/>
      </c>
      <c r="V218" s="24">
        <f>INDEX(MTInputs!$J$1:$AZ$415,$D218,MATCH(V$5,MTInputs!$J$5:$AZ$5,0))</f>
        <v/>
      </c>
      <c r="W218" s="24">
        <f>INDEX(MTInputs!$J$1:$AZ$415,$D218,MATCH(W$5,MTInputs!$J$5:$AZ$5,0))</f>
        <v/>
      </c>
      <c r="X218" s="24">
        <f>INDEX(MTInputs!$J$1:$AZ$415,$D218,MATCH(X$5,MTInputs!$J$5:$AZ$5,0))</f>
        <v/>
      </c>
      <c r="Y218" s="24">
        <f>INDEX(MTInputs!$J$1:$AZ$415,$D218,MATCH(Y$5,MTInputs!$J$5:$AZ$5,0))</f>
        <v/>
      </c>
      <c r="Z218" s="24">
        <f>INDEX(MTInputs!$J$1:$AZ$415,$D218,MATCH(Z$5,MTInputs!$J$5:$AZ$5,0))</f>
        <v/>
      </c>
      <c r="AA218" s="24">
        <f>INDEX(MTInputs!$J$1:$AZ$415,$D218,MATCH(AA$5,MTInputs!$J$5:$AZ$5,0))</f>
        <v/>
      </c>
      <c r="AB218" s="24">
        <f>INDEX(MTInputs!$J$1:$AZ$415,$D218,MATCH(AB$5,MTInputs!$J$5:$AZ$5,0))</f>
        <v/>
      </c>
      <c r="AC218" s="24">
        <f>INDEX(MTInputs!$J$1:$AZ$415,$D218,MATCH(AC$5,MTInputs!$J$5:$AZ$5,0))</f>
        <v/>
      </c>
      <c r="AD218" s="24">
        <f>INDEX(MTInputs!$J$1:$AZ$415,$D218,MATCH(AD$5,MTInputs!$J$5:$AZ$5,0))</f>
        <v/>
      </c>
      <c r="AE218" s="24">
        <f>INDEX(MTInputs!$J$1:$AZ$415,$D218,MATCH(AE$5,MTInputs!$J$5:$AZ$5,0))</f>
        <v/>
      </c>
      <c r="AG218" s="11">
        <f>CodePrefix&amp;$A218&amp;IF($C218="","","."&amp;$C218&amp;"."&amp;$B218)&amp;INDEX(VarEnd,MATCH($A218,VarKey,0))&amp;AG$5</f>
        <v/>
      </c>
      <c r="AH218" s="23">
        <f>INDEX(MTInputs!$J$1:$AZ$415,$D218,MATCH(AH$5,MTInputs!$J$5:$AZ$5,0))</f>
        <v/>
      </c>
      <c r="AI218" s="24">
        <f>INDEX(MTInputs!$J$1:$AZ$415,$D218,MATCH(AI$5,MTInputs!$J$5:$AZ$5,0))</f>
        <v/>
      </c>
      <c r="AJ218" s="24">
        <f>INDEX(MTInputs!$J$1:$AZ$415,$D218,MATCH(AJ$5,MTInputs!$J$5:$AZ$5,0))</f>
        <v/>
      </c>
      <c r="AK218" s="24">
        <f>INDEX(MTInputs!$J$1:$AZ$415,$D218,MATCH(AK$5,MTInputs!$J$5:$AZ$5,0))</f>
        <v/>
      </c>
      <c r="AL218" s="24">
        <f>INDEX(MTInputs!$J$1:$AZ$415,$D218,MATCH(AL$5,MTInputs!$J$5:$AZ$5,0))</f>
        <v/>
      </c>
      <c r="AM218" s="24">
        <f>INDEX(MTInputs!$J$1:$AZ$415,$D218,MATCH(AM$5,MTInputs!$J$5:$AZ$5,0))</f>
        <v/>
      </c>
      <c r="AN218" s="24">
        <f>INDEX(MTInputs!$J$1:$AZ$415,$D218,MATCH(AN$5,MTInputs!$J$5:$AZ$5,0))</f>
        <v/>
      </c>
      <c r="AO218" s="24">
        <f>INDEX(MTInputs!$J$1:$AZ$415,$D218,MATCH(AO$5,MTInputs!$J$5:$AZ$5,0))</f>
        <v/>
      </c>
      <c r="AP218" s="24">
        <f>INDEX(MTInputs!$J$1:$AZ$415,$D218,MATCH(AP$5,MTInputs!$J$5:$AZ$5,0))</f>
        <v/>
      </c>
      <c r="AQ218" s="24">
        <f>INDEX(MTInputs!$J$1:$AZ$415,$D218,MATCH(AQ$5,MTInputs!$J$5:$AZ$5,0))</f>
        <v/>
      </c>
      <c r="AR218" s="24">
        <f>INDEX(MTInputs!$J$1:$AZ$415,$D218,MATCH(AR$5,MTInputs!$J$5:$AZ$5,0))</f>
        <v/>
      </c>
      <c r="AS218" s="24">
        <f>INDEX(MTInputs!$J$1:$AZ$415,$D218,MATCH(AS$5,MTInputs!$J$5:$AZ$5,0))</f>
        <v/>
      </c>
      <c r="AT218" s="24">
        <f>INDEX(MTInputs!$J$1:$AZ$415,$D218,MATCH(AT$5,MTInputs!$J$5:$AZ$5,0))</f>
        <v/>
      </c>
      <c r="AU218" s="24">
        <f>INDEX(MTInputs!$J$1:$AZ$415,$D218,MATCH(AU$5,MTInputs!$J$5:$AZ$5,0))</f>
        <v/>
      </c>
      <c r="AV218" s="24">
        <f>INDEX(MTInputs!$J$1:$AZ$415,$D218,MATCH(AV$5,MTInputs!$J$5:$AZ$5,0))</f>
        <v/>
      </c>
      <c r="AW218" s="24">
        <f>INDEX(MTInputs!$J$1:$AZ$415,$D218,MATCH(AW$5,MTInputs!$J$5:$AZ$5,0))</f>
        <v/>
      </c>
      <c r="AX218" s="24">
        <f>INDEX(MTInputs!$J$1:$AZ$415,$D218,MATCH(AX$5,MTInputs!$J$5:$AZ$5,0))</f>
        <v/>
      </c>
      <c r="AY218" s="24">
        <f>INDEX(MTInputs!$J$1:$AZ$415,$D218,MATCH(AY$5,MTInputs!$J$5:$AZ$5,0))</f>
        <v/>
      </c>
      <c r="AZ218" s="24">
        <f>INDEX(MTInputs!$J$1:$AZ$415,$D218,MATCH(AZ$5,MTInputs!$J$5:$AZ$5,0))</f>
        <v/>
      </c>
      <c r="BA218" s="24">
        <f>INDEX(MTInputs!$J$1:$AZ$415,$D218,MATCH(BA$5,MTInputs!$J$5:$AZ$5,0))</f>
        <v/>
      </c>
    </row>
    <row r="219" hidden="1" outlineLevel="1">
      <c r="A219" s="14" t="inlineStr">
        <is>
          <t>fbcov</t>
        </is>
      </c>
      <c r="B219" s="14" t="inlineStr">
        <is>
          <t>all</t>
        </is>
      </c>
      <c r="C219" s="14" t="inlineStr">
        <is>
          <t>rod</t>
        </is>
      </c>
      <c r="D219" s="22" t="n">
        <v>67</v>
      </c>
      <c r="H219" s="14">
        <f>INDEX(VarLab,MATCH($A219,VarKey,0))&amp;INDEX(MemLab,MATCH($C219&amp;"|"&amp;$B219,MemKey,0))</f>
        <v/>
      </c>
      <c r="I219" s="14">
        <f>INDEX(VarUnit,MATCH($A219,VarKey,0))</f>
        <v/>
      </c>
      <c r="J219" s="14">
        <f>INDEX(VarSrc,MATCH($A219,VarKey,0))</f>
        <v/>
      </c>
      <c r="K219" s="11">
        <f>CodePrefix&amp;$A219&amp;IF($C219="","","."&amp;$C219&amp;"."&amp;$B219)&amp;INDEX(VarEnd,MATCH($A219,VarKey,0))&amp;K$5</f>
        <v/>
      </c>
      <c r="L219" s="23">
        <f>INDEX(MTInputs!$J$1:$AZ$415,$D219,MATCH(L$5,MTInputs!$J$5:$AZ$5,0))</f>
        <v/>
      </c>
      <c r="M219" s="24">
        <f>INDEX(MTInputs!$J$1:$AZ$415,$D219,MATCH(M$5,MTInputs!$J$5:$AZ$5,0))</f>
        <v/>
      </c>
      <c r="N219" s="24">
        <f>INDEX(MTInputs!$J$1:$AZ$415,$D219,MATCH(N$5,MTInputs!$J$5:$AZ$5,0))</f>
        <v/>
      </c>
      <c r="O219" s="24">
        <f>INDEX(MTInputs!$J$1:$AZ$415,$D219,MATCH(O$5,MTInputs!$J$5:$AZ$5,0))</f>
        <v/>
      </c>
      <c r="P219" s="24">
        <f>INDEX(MTInputs!$J$1:$AZ$415,$D219,MATCH(P$5,MTInputs!$J$5:$AZ$5,0))</f>
        <v/>
      </c>
      <c r="Q219" s="24">
        <f>INDEX(MTInputs!$J$1:$AZ$415,$D219,MATCH(Q$5,MTInputs!$J$5:$AZ$5,0))</f>
        <v/>
      </c>
      <c r="R219" s="24">
        <f>INDEX(MTInputs!$J$1:$AZ$415,$D219,MATCH(R$5,MTInputs!$J$5:$AZ$5,0))</f>
        <v/>
      </c>
      <c r="S219" s="24">
        <f>INDEX(MTInputs!$J$1:$AZ$415,$D219,MATCH(S$5,MTInputs!$J$5:$AZ$5,0))</f>
        <v/>
      </c>
      <c r="T219" s="24">
        <f>INDEX(MTInputs!$J$1:$AZ$415,$D219,MATCH(T$5,MTInputs!$J$5:$AZ$5,0))</f>
        <v/>
      </c>
      <c r="U219" s="24">
        <f>INDEX(MTInputs!$J$1:$AZ$415,$D219,MATCH(U$5,MTInputs!$J$5:$AZ$5,0))</f>
        <v/>
      </c>
      <c r="V219" s="24">
        <f>INDEX(MTInputs!$J$1:$AZ$415,$D219,MATCH(V$5,MTInputs!$J$5:$AZ$5,0))</f>
        <v/>
      </c>
      <c r="W219" s="24">
        <f>INDEX(MTInputs!$J$1:$AZ$415,$D219,MATCH(W$5,MTInputs!$J$5:$AZ$5,0))</f>
        <v/>
      </c>
      <c r="X219" s="24">
        <f>INDEX(MTInputs!$J$1:$AZ$415,$D219,MATCH(X$5,MTInputs!$J$5:$AZ$5,0))</f>
        <v/>
      </c>
      <c r="Y219" s="24">
        <f>INDEX(MTInputs!$J$1:$AZ$415,$D219,MATCH(Y$5,MTInputs!$J$5:$AZ$5,0))</f>
        <v/>
      </c>
      <c r="Z219" s="24">
        <f>INDEX(MTInputs!$J$1:$AZ$415,$D219,MATCH(Z$5,MTInputs!$J$5:$AZ$5,0))</f>
        <v/>
      </c>
      <c r="AA219" s="24">
        <f>INDEX(MTInputs!$J$1:$AZ$415,$D219,MATCH(AA$5,MTInputs!$J$5:$AZ$5,0))</f>
        <v/>
      </c>
      <c r="AB219" s="24">
        <f>INDEX(MTInputs!$J$1:$AZ$415,$D219,MATCH(AB$5,MTInputs!$J$5:$AZ$5,0))</f>
        <v/>
      </c>
      <c r="AC219" s="24">
        <f>INDEX(MTInputs!$J$1:$AZ$415,$D219,MATCH(AC$5,MTInputs!$J$5:$AZ$5,0))</f>
        <v/>
      </c>
      <c r="AD219" s="24">
        <f>INDEX(MTInputs!$J$1:$AZ$415,$D219,MATCH(AD$5,MTInputs!$J$5:$AZ$5,0))</f>
        <v/>
      </c>
      <c r="AE219" s="24">
        <f>INDEX(MTInputs!$J$1:$AZ$415,$D219,MATCH(AE$5,MTInputs!$J$5:$AZ$5,0))</f>
        <v/>
      </c>
      <c r="AG219" s="11">
        <f>CodePrefix&amp;$A219&amp;IF($C219="","","."&amp;$C219&amp;"."&amp;$B219)&amp;INDEX(VarEnd,MATCH($A219,VarKey,0))&amp;AG$5</f>
        <v/>
      </c>
      <c r="AH219" s="23">
        <f>INDEX(MTInputs!$J$1:$AZ$415,$D219,MATCH(AH$5,MTInputs!$J$5:$AZ$5,0))</f>
        <v/>
      </c>
      <c r="AI219" s="24">
        <f>INDEX(MTInputs!$J$1:$AZ$415,$D219,MATCH(AI$5,MTInputs!$J$5:$AZ$5,0))</f>
        <v/>
      </c>
      <c r="AJ219" s="24">
        <f>INDEX(MTInputs!$J$1:$AZ$415,$D219,MATCH(AJ$5,MTInputs!$J$5:$AZ$5,0))</f>
        <v/>
      </c>
      <c r="AK219" s="24">
        <f>INDEX(MTInputs!$J$1:$AZ$415,$D219,MATCH(AK$5,MTInputs!$J$5:$AZ$5,0))</f>
        <v/>
      </c>
      <c r="AL219" s="24">
        <f>INDEX(MTInputs!$J$1:$AZ$415,$D219,MATCH(AL$5,MTInputs!$J$5:$AZ$5,0))</f>
        <v/>
      </c>
      <c r="AM219" s="24">
        <f>INDEX(MTInputs!$J$1:$AZ$415,$D219,MATCH(AM$5,MTInputs!$J$5:$AZ$5,0))</f>
        <v/>
      </c>
      <c r="AN219" s="24">
        <f>INDEX(MTInputs!$J$1:$AZ$415,$D219,MATCH(AN$5,MTInputs!$J$5:$AZ$5,0))</f>
        <v/>
      </c>
      <c r="AO219" s="24">
        <f>INDEX(MTInputs!$J$1:$AZ$415,$D219,MATCH(AO$5,MTInputs!$J$5:$AZ$5,0))</f>
        <v/>
      </c>
      <c r="AP219" s="24">
        <f>INDEX(MTInputs!$J$1:$AZ$415,$D219,MATCH(AP$5,MTInputs!$J$5:$AZ$5,0))</f>
        <v/>
      </c>
      <c r="AQ219" s="24">
        <f>INDEX(MTInputs!$J$1:$AZ$415,$D219,MATCH(AQ$5,MTInputs!$J$5:$AZ$5,0))</f>
        <v/>
      </c>
      <c r="AR219" s="24">
        <f>INDEX(MTInputs!$J$1:$AZ$415,$D219,MATCH(AR$5,MTInputs!$J$5:$AZ$5,0))</f>
        <v/>
      </c>
      <c r="AS219" s="24">
        <f>INDEX(MTInputs!$J$1:$AZ$415,$D219,MATCH(AS$5,MTInputs!$J$5:$AZ$5,0))</f>
        <v/>
      </c>
      <c r="AT219" s="24">
        <f>INDEX(MTInputs!$J$1:$AZ$415,$D219,MATCH(AT$5,MTInputs!$J$5:$AZ$5,0))</f>
        <v/>
      </c>
      <c r="AU219" s="24">
        <f>INDEX(MTInputs!$J$1:$AZ$415,$D219,MATCH(AU$5,MTInputs!$J$5:$AZ$5,0))</f>
        <v/>
      </c>
      <c r="AV219" s="24">
        <f>INDEX(MTInputs!$J$1:$AZ$415,$D219,MATCH(AV$5,MTInputs!$J$5:$AZ$5,0))</f>
        <v/>
      </c>
      <c r="AW219" s="24">
        <f>INDEX(MTInputs!$J$1:$AZ$415,$D219,MATCH(AW$5,MTInputs!$J$5:$AZ$5,0))</f>
        <v/>
      </c>
      <c r="AX219" s="24">
        <f>INDEX(MTInputs!$J$1:$AZ$415,$D219,MATCH(AX$5,MTInputs!$J$5:$AZ$5,0))</f>
        <v/>
      </c>
      <c r="AY219" s="24">
        <f>INDEX(MTInputs!$J$1:$AZ$415,$D219,MATCH(AY$5,MTInputs!$J$5:$AZ$5,0))</f>
        <v/>
      </c>
      <c r="AZ219" s="24">
        <f>INDEX(MTInputs!$J$1:$AZ$415,$D219,MATCH(AZ$5,MTInputs!$J$5:$AZ$5,0))</f>
        <v/>
      </c>
      <c r="BA219" s="24">
        <f>INDEX(MTInputs!$J$1:$AZ$415,$D219,MATCH(BA$5,MTInputs!$J$5:$AZ$5,0))</f>
        <v/>
      </c>
    </row>
    <row r="220" hidden="1" outlineLevel="1">
      <c r="A220" s="14" t="inlineStr">
        <is>
          <t>fbcov</t>
        </is>
      </c>
      <c r="B220" s="14" t="inlineStr">
        <is>
          <t>all</t>
        </is>
      </c>
      <c r="C220" s="14" t="inlineStr">
        <is>
          <t>ral</t>
        </is>
      </c>
      <c r="D220" s="22" t="n">
        <v>68</v>
      </c>
      <c r="H220" s="14">
        <f>INDEX(VarLab,MATCH($A220,VarKey,0))&amp;INDEX(MemLab,MATCH($C220&amp;"|"&amp;$B220,MemKey,0))</f>
        <v/>
      </c>
      <c r="I220" s="14">
        <f>INDEX(VarUnit,MATCH($A220,VarKey,0))</f>
        <v/>
      </c>
      <c r="J220" s="14">
        <f>INDEX(VarSrc,MATCH($A220,VarKey,0))</f>
        <v/>
      </c>
      <c r="K220" s="11">
        <f>CodePrefix&amp;$A220&amp;IF($C220="","","."&amp;$C220&amp;"."&amp;$B220)&amp;INDEX(VarEnd,MATCH($A220,VarKey,0))&amp;K$5</f>
        <v/>
      </c>
      <c r="L220" s="23">
        <f>INDEX(MTInputs!$J$1:$AZ$415,$D220,MATCH(L$5,MTInputs!$J$5:$AZ$5,0))</f>
        <v/>
      </c>
      <c r="M220" s="24">
        <f>INDEX(MTInputs!$J$1:$AZ$415,$D220,MATCH(M$5,MTInputs!$J$5:$AZ$5,0))</f>
        <v/>
      </c>
      <c r="N220" s="24">
        <f>INDEX(MTInputs!$J$1:$AZ$415,$D220,MATCH(N$5,MTInputs!$J$5:$AZ$5,0))</f>
        <v/>
      </c>
      <c r="O220" s="24">
        <f>INDEX(MTInputs!$J$1:$AZ$415,$D220,MATCH(O$5,MTInputs!$J$5:$AZ$5,0))</f>
        <v/>
      </c>
      <c r="P220" s="24">
        <f>INDEX(MTInputs!$J$1:$AZ$415,$D220,MATCH(P$5,MTInputs!$J$5:$AZ$5,0))</f>
        <v/>
      </c>
      <c r="Q220" s="24">
        <f>INDEX(MTInputs!$J$1:$AZ$415,$D220,MATCH(Q$5,MTInputs!$J$5:$AZ$5,0))</f>
        <v/>
      </c>
      <c r="R220" s="24">
        <f>INDEX(MTInputs!$J$1:$AZ$415,$D220,MATCH(R$5,MTInputs!$J$5:$AZ$5,0))</f>
        <v/>
      </c>
      <c r="S220" s="24">
        <f>INDEX(MTInputs!$J$1:$AZ$415,$D220,MATCH(S$5,MTInputs!$J$5:$AZ$5,0))</f>
        <v/>
      </c>
      <c r="T220" s="24">
        <f>INDEX(MTInputs!$J$1:$AZ$415,$D220,MATCH(T$5,MTInputs!$J$5:$AZ$5,0))</f>
        <v/>
      </c>
      <c r="U220" s="24">
        <f>INDEX(MTInputs!$J$1:$AZ$415,$D220,MATCH(U$5,MTInputs!$J$5:$AZ$5,0))</f>
        <v/>
      </c>
      <c r="V220" s="24">
        <f>INDEX(MTInputs!$J$1:$AZ$415,$D220,MATCH(V$5,MTInputs!$J$5:$AZ$5,0))</f>
        <v/>
      </c>
      <c r="W220" s="24">
        <f>INDEX(MTInputs!$J$1:$AZ$415,$D220,MATCH(W$5,MTInputs!$J$5:$AZ$5,0))</f>
        <v/>
      </c>
      <c r="X220" s="24">
        <f>INDEX(MTInputs!$J$1:$AZ$415,$D220,MATCH(X$5,MTInputs!$J$5:$AZ$5,0))</f>
        <v/>
      </c>
      <c r="Y220" s="24">
        <f>INDEX(MTInputs!$J$1:$AZ$415,$D220,MATCH(Y$5,MTInputs!$J$5:$AZ$5,0))</f>
        <v/>
      </c>
      <c r="Z220" s="24">
        <f>INDEX(MTInputs!$J$1:$AZ$415,$D220,MATCH(Z$5,MTInputs!$J$5:$AZ$5,0))</f>
        <v/>
      </c>
      <c r="AA220" s="24">
        <f>INDEX(MTInputs!$J$1:$AZ$415,$D220,MATCH(AA$5,MTInputs!$J$5:$AZ$5,0))</f>
        <v/>
      </c>
      <c r="AB220" s="24">
        <f>INDEX(MTInputs!$J$1:$AZ$415,$D220,MATCH(AB$5,MTInputs!$J$5:$AZ$5,0))</f>
        <v/>
      </c>
      <c r="AC220" s="24">
        <f>INDEX(MTInputs!$J$1:$AZ$415,$D220,MATCH(AC$5,MTInputs!$J$5:$AZ$5,0))</f>
        <v/>
      </c>
      <c r="AD220" s="24">
        <f>INDEX(MTInputs!$J$1:$AZ$415,$D220,MATCH(AD$5,MTInputs!$J$5:$AZ$5,0))</f>
        <v/>
      </c>
      <c r="AE220" s="24">
        <f>INDEX(MTInputs!$J$1:$AZ$415,$D220,MATCH(AE$5,MTInputs!$J$5:$AZ$5,0))</f>
        <v/>
      </c>
      <c r="AG220" s="11">
        <f>CodePrefix&amp;$A220&amp;IF($C220="","","."&amp;$C220&amp;"."&amp;$B220)&amp;INDEX(VarEnd,MATCH($A220,VarKey,0))&amp;AG$5</f>
        <v/>
      </c>
      <c r="AH220" s="23">
        <f>INDEX(MTInputs!$J$1:$AZ$415,$D220,MATCH(AH$5,MTInputs!$J$5:$AZ$5,0))</f>
        <v/>
      </c>
      <c r="AI220" s="24">
        <f>INDEX(MTInputs!$J$1:$AZ$415,$D220,MATCH(AI$5,MTInputs!$J$5:$AZ$5,0))</f>
        <v/>
      </c>
      <c r="AJ220" s="24">
        <f>INDEX(MTInputs!$J$1:$AZ$415,$D220,MATCH(AJ$5,MTInputs!$J$5:$AZ$5,0))</f>
        <v/>
      </c>
      <c r="AK220" s="24">
        <f>INDEX(MTInputs!$J$1:$AZ$415,$D220,MATCH(AK$5,MTInputs!$J$5:$AZ$5,0))</f>
        <v/>
      </c>
      <c r="AL220" s="24">
        <f>INDEX(MTInputs!$J$1:$AZ$415,$D220,MATCH(AL$5,MTInputs!$J$5:$AZ$5,0))</f>
        <v/>
      </c>
      <c r="AM220" s="24">
        <f>INDEX(MTInputs!$J$1:$AZ$415,$D220,MATCH(AM$5,MTInputs!$J$5:$AZ$5,0))</f>
        <v/>
      </c>
      <c r="AN220" s="24">
        <f>INDEX(MTInputs!$J$1:$AZ$415,$D220,MATCH(AN$5,MTInputs!$J$5:$AZ$5,0))</f>
        <v/>
      </c>
      <c r="AO220" s="24">
        <f>INDEX(MTInputs!$J$1:$AZ$415,$D220,MATCH(AO$5,MTInputs!$J$5:$AZ$5,0))</f>
        <v/>
      </c>
      <c r="AP220" s="24">
        <f>INDEX(MTInputs!$J$1:$AZ$415,$D220,MATCH(AP$5,MTInputs!$J$5:$AZ$5,0))</f>
        <v/>
      </c>
      <c r="AQ220" s="24">
        <f>INDEX(MTInputs!$J$1:$AZ$415,$D220,MATCH(AQ$5,MTInputs!$J$5:$AZ$5,0))</f>
        <v/>
      </c>
      <c r="AR220" s="24">
        <f>INDEX(MTInputs!$J$1:$AZ$415,$D220,MATCH(AR$5,MTInputs!$J$5:$AZ$5,0))</f>
        <v/>
      </c>
      <c r="AS220" s="24">
        <f>INDEX(MTInputs!$J$1:$AZ$415,$D220,MATCH(AS$5,MTInputs!$J$5:$AZ$5,0))</f>
        <v/>
      </c>
      <c r="AT220" s="24">
        <f>INDEX(MTInputs!$J$1:$AZ$415,$D220,MATCH(AT$5,MTInputs!$J$5:$AZ$5,0))</f>
        <v/>
      </c>
      <c r="AU220" s="24">
        <f>INDEX(MTInputs!$J$1:$AZ$415,$D220,MATCH(AU$5,MTInputs!$J$5:$AZ$5,0))</f>
        <v/>
      </c>
      <c r="AV220" s="24">
        <f>INDEX(MTInputs!$J$1:$AZ$415,$D220,MATCH(AV$5,MTInputs!$J$5:$AZ$5,0))</f>
        <v/>
      </c>
      <c r="AW220" s="24">
        <f>INDEX(MTInputs!$J$1:$AZ$415,$D220,MATCH(AW$5,MTInputs!$J$5:$AZ$5,0))</f>
        <v/>
      </c>
      <c r="AX220" s="24">
        <f>INDEX(MTInputs!$J$1:$AZ$415,$D220,MATCH(AX$5,MTInputs!$J$5:$AZ$5,0))</f>
        <v/>
      </c>
      <c r="AY220" s="24">
        <f>INDEX(MTInputs!$J$1:$AZ$415,$D220,MATCH(AY$5,MTInputs!$J$5:$AZ$5,0))</f>
        <v/>
      </c>
      <c r="AZ220" s="24">
        <f>INDEX(MTInputs!$J$1:$AZ$415,$D220,MATCH(AZ$5,MTInputs!$J$5:$AZ$5,0))</f>
        <v/>
      </c>
      <c r="BA220" s="24">
        <f>INDEX(MTInputs!$J$1:$AZ$415,$D220,MATCH(BA$5,MTInputs!$J$5:$AZ$5,0))</f>
        <v/>
      </c>
    </row>
    <row r="221" hidden="1" outlineLevel="1">
      <c r="A221" s="14" t="inlineStr">
        <is>
          <t>fbcov</t>
        </is>
      </c>
      <c r="B221" s="14" t="inlineStr">
        <is>
          <t>all</t>
        </is>
      </c>
      <c r="C221" s="14" t="inlineStr">
        <is>
          <t>avi</t>
        </is>
      </c>
      <c r="D221" s="22" t="n">
        <v>69</v>
      </c>
      <c r="H221" s="14">
        <f>INDEX(VarLab,MATCH($A221,VarKey,0))&amp;INDEX(MemLab,MATCH($C221&amp;"|"&amp;$B221,MemKey,0))</f>
        <v/>
      </c>
      <c r="I221" s="14">
        <f>INDEX(VarUnit,MATCH($A221,VarKey,0))</f>
        <v/>
      </c>
      <c r="J221" s="14">
        <f>INDEX(VarSrc,MATCH($A221,VarKey,0))</f>
        <v/>
      </c>
      <c r="K221" s="11">
        <f>CodePrefix&amp;$A221&amp;IF($C221="","","."&amp;$C221&amp;"."&amp;$B221)&amp;INDEX(VarEnd,MATCH($A221,VarKey,0))&amp;K$5</f>
        <v/>
      </c>
      <c r="L221" s="23">
        <f>INDEX(MTInputs!$J$1:$AZ$415,$D221,MATCH(L$5,MTInputs!$J$5:$AZ$5,0))</f>
        <v/>
      </c>
      <c r="M221" s="24">
        <f>INDEX(MTInputs!$J$1:$AZ$415,$D221,MATCH(M$5,MTInputs!$J$5:$AZ$5,0))</f>
        <v/>
      </c>
      <c r="N221" s="24">
        <f>INDEX(MTInputs!$J$1:$AZ$415,$D221,MATCH(N$5,MTInputs!$J$5:$AZ$5,0))</f>
        <v/>
      </c>
      <c r="O221" s="24">
        <f>INDEX(MTInputs!$J$1:$AZ$415,$D221,MATCH(O$5,MTInputs!$J$5:$AZ$5,0))</f>
        <v/>
      </c>
      <c r="P221" s="24">
        <f>INDEX(MTInputs!$J$1:$AZ$415,$D221,MATCH(P$5,MTInputs!$J$5:$AZ$5,0))</f>
        <v/>
      </c>
      <c r="Q221" s="24">
        <f>INDEX(MTInputs!$J$1:$AZ$415,$D221,MATCH(Q$5,MTInputs!$J$5:$AZ$5,0))</f>
        <v/>
      </c>
      <c r="R221" s="24">
        <f>INDEX(MTInputs!$J$1:$AZ$415,$D221,MATCH(R$5,MTInputs!$J$5:$AZ$5,0))</f>
        <v/>
      </c>
      <c r="S221" s="24">
        <f>INDEX(MTInputs!$J$1:$AZ$415,$D221,MATCH(S$5,MTInputs!$J$5:$AZ$5,0))</f>
        <v/>
      </c>
      <c r="T221" s="24">
        <f>INDEX(MTInputs!$J$1:$AZ$415,$D221,MATCH(T$5,MTInputs!$J$5:$AZ$5,0))</f>
        <v/>
      </c>
      <c r="U221" s="24">
        <f>INDEX(MTInputs!$J$1:$AZ$415,$D221,MATCH(U$5,MTInputs!$J$5:$AZ$5,0))</f>
        <v/>
      </c>
      <c r="V221" s="24">
        <f>INDEX(MTInputs!$J$1:$AZ$415,$D221,MATCH(V$5,MTInputs!$J$5:$AZ$5,0))</f>
        <v/>
      </c>
      <c r="W221" s="24">
        <f>INDEX(MTInputs!$J$1:$AZ$415,$D221,MATCH(W$5,MTInputs!$J$5:$AZ$5,0))</f>
        <v/>
      </c>
      <c r="X221" s="24">
        <f>INDEX(MTInputs!$J$1:$AZ$415,$D221,MATCH(X$5,MTInputs!$J$5:$AZ$5,0))</f>
        <v/>
      </c>
      <c r="Y221" s="24">
        <f>INDEX(MTInputs!$J$1:$AZ$415,$D221,MATCH(Y$5,MTInputs!$J$5:$AZ$5,0))</f>
        <v/>
      </c>
      <c r="Z221" s="24">
        <f>INDEX(MTInputs!$J$1:$AZ$415,$D221,MATCH(Z$5,MTInputs!$J$5:$AZ$5,0))</f>
        <v/>
      </c>
      <c r="AA221" s="24">
        <f>INDEX(MTInputs!$J$1:$AZ$415,$D221,MATCH(AA$5,MTInputs!$J$5:$AZ$5,0))</f>
        <v/>
      </c>
      <c r="AB221" s="24">
        <f>INDEX(MTInputs!$J$1:$AZ$415,$D221,MATCH(AB$5,MTInputs!$J$5:$AZ$5,0))</f>
        <v/>
      </c>
      <c r="AC221" s="24">
        <f>INDEX(MTInputs!$J$1:$AZ$415,$D221,MATCH(AC$5,MTInputs!$J$5:$AZ$5,0))</f>
        <v/>
      </c>
      <c r="AD221" s="24">
        <f>INDEX(MTInputs!$J$1:$AZ$415,$D221,MATCH(AD$5,MTInputs!$J$5:$AZ$5,0))</f>
        <v/>
      </c>
      <c r="AE221" s="24">
        <f>INDEX(MTInputs!$J$1:$AZ$415,$D221,MATCH(AE$5,MTInputs!$J$5:$AZ$5,0))</f>
        <v/>
      </c>
      <c r="AG221" s="11">
        <f>CodePrefix&amp;$A221&amp;IF($C221="","","."&amp;$C221&amp;"."&amp;$B221)&amp;INDEX(VarEnd,MATCH($A221,VarKey,0))&amp;AG$5</f>
        <v/>
      </c>
      <c r="AH221" s="23">
        <f>INDEX(MTInputs!$J$1:$AZ$415,$D221,MATCH(AH$5,MTInputs!$J$5:$AZ$5,0))</f>
        <v/>
      </c>
      <c r="AI221" s="24">
        <f>INDEX(MTInputs!$J$1:$AZ$415,$D221,MATCH(AI$5,MTInputs!$J$5:$AZ$5,0))</f>
        <v/>
      </c>
      <c r="AJ221" s="24">
        <f>INDEX(MTInputs!$J$1:$AZ$415,$D221,MATCH(AJ$5,MTInputs!$J$5:$AZ$5,0))</f>
        <v/>
      </c>
      <c r="AK221" s="24">
        <f>INDEX(MTInputs!$J$1:$AZ$415,$D221,MATCH(AK$5,MTInputs!$J$5:$AZ$5,0))</f>
        <v/>
      </c>
      <c r="AL221" s="24">
        <f>INDEX(MTInputs!$J$1:$AZ$415,$D221,MATCH(AL$5,MTInputs!$J$5:$AZ$5,0))</f>
        <v/>
      </c>
      <c r="AM221" s="24">
        <f>INDEX(MTInputs!$J$1:$AZ$415,$D221,MATCH(AM$5,MTInputs!$J$5:$AZ$5,0))</f>
        <v/>
      </c>
      <c r="AN221" s="24">
        <f>INDEX(MTInputs!$J$1:$AZ$415,$D221,MATCH(AN$5,MTInputs!$J$5:$AZ$5,0))</f>
        <v/>
      </c>
      <c r="AO221" s="24">
        <f>INDEX(MTInputs!$J$1:$AZ$415,$D221,MATCH(AO$5,MTInputs!$J$5:$AZ$5,0))</f>
        <v/>
      </c>
      <c r="AP221" s="24">
        <f>INDEX(MTInputs!$J$1:$AZ$415,$D221,MATCH(AP$5,MTInputs!$J$5:$AZ$5,0))</f>
        <v/>
      </c>
      <c r="AQ221" s="24">
        <f>INDEX(MTInputs!$J$1:$AZ$415,$D221,MATCH(AQ$5,MTInputs!$J$5:$AZ$5,0))</f>
        <v/>
      </c>
      <c r="AR221" s="24">
        <f>INDEX(MTInputs!$J$1:$AZ$415,$D221,MATCH(AR$5,MTInputs!$J$5:$AZ$5,0))</f>
        <v/>
      </c>
      <c r="AS221" s="24">
        <f>INDEX(MTInputs!$J$1:$AZ$415,$D221,MATCH(AS$5,MTInputs!$J$5:$AZ$5,0))</f>
        <v/>
      </c>
      <c r="AT221" s="24">
        <f>INDEX(MTInputs!$J$1:$AZ$415,$D221,MATCH(AT$5,MTInputs!$J$5:$AZ$5,0))</f>
        <v/>
      </c>
      <c r="AU221" s="24">
        <f>INDEX(MTInputs!$J$1:$AZ$415,$D221,MATCH(AU$5,MTInputs!$J$5:$AZ$5,0))</f>
        <v/>
      </c>
      <c r="AV221" s="24">
        <f>INDEX(MTInputs!$J$1:$AZ$415,$D221,MATCH(AV$5,MTInputs!$J$5:$AZ$5,0))</f>
        <v/>
      </c>
      <c r="AW221" s="24">
        <f>INDEX(MTInputs!$J$1:$AZ$415,$D221,MATCH(AW$5,MTInputs!$J$5:$AZ$5,0))</f>
        <v/>
      </c>
      <c r="AX221" s="24">
        <f>INDEX(MTInputs!$J$1:$AZ$415,$D221,MATCH(AX$5,MTInputs!$J$5:$AZ$5,0))</f>
        <v/>
      </c>
      <c r="AY221" s="24">
        <f>INDEX(MTInputs!$J$1:$AZ$415,$D221,MATCH(AY$5,MTInputs!$J$5:$AZ$5,0))</f>
        <v/>
      </c>
      <c r="AZ221" s="24">
        <f>INDEX(MTInputs!$J$1:$AZ$415,$D221,MATCH(AZ$5,MTInputs!$J$5:$AZ$5,0))</f>
        <v/>
      </c>
      <c r="BA221" s="24">
        <f>INDEX(MTInputs!$J$1:$AZ$415,$D221,MATCH(BA$5,MTInputs!$J$5:$AZ$5,0))</f>
        <v/>
      </c>
    </row>
    <row r="222" hidden="1" outlineLevel="1">
      <c r="A222" s="14" t="inlineStr">
        <is>
          <t>fbcov</t>
        </is>
      </c>
      <c r="B222" s="14" t="inlineStr">
        <is>
          <t>all</t>
        </is>
      </c>
      <c r="C222" s="14" t="inlineStr">
        <is>
          <t>nav</t>
        </is>
      </c>
      <c r="D222" s="22" t="n">
        <v>70</v>
      </c>
      <c r="H222" s="14">
        <f>INDEX(VarLab,MATCH($A222,VarKey,0))&amp;INDEX(MemLab,MATCH($C222&amp;"|"&amp;$B222,MemKey,0))</f>
        <v/>
      </c>
      <c r="I222" s="14">
        <f>INDEX(VarUnit,MATCH($A222,VarKey,0))</f>
        <v/>
      </c>
      <c r="J222" s="14">
        <f>INDEX(VarSrc,MATCH($A222,VarKey,0))</f>
        <v/>
      </c>
      <c r="K222" s="11">
        <f>CodePrefix&amp;$A222&amp;IF($C222="","","."&amp;$C222&amp;"."&amp;$B222)&amp;INDEX(VarEnd,MATCH($A222,VarKey,0))&amp;K$5</f>
        <v/>
      </c>
      <c r="L222" s="23">
        <f>INDEX(MTInputs!$J$1:$AZ$415,$D222,MATCH(L$5,MTInputs!$J$5:$AZ$5,0))</f>
        <v/>
      </c>
      <c r="M222" s="24">
        <f>INDEX(MTInputs!$J$1:$AZ$415,$D222,MATCH(M$5,MTInputs!$J$5:$AZ$5,0))</f>
        <v/>
      </c>
      <c r="N222" s="24">
        <f>INDEX(MTInputs!$J$1:$AZ$415,$D222,MATCH(N$5,MTInputs!$J$5:$AZ$5,0))</f>
        <v/>
      </c>
      <c r="O222" s="24">
        <f>INDEX(MTInputs!$J$1:$AZ$415,$D222,MATCH(O$5,MTInputs!$J$5:$AZ$5,0))</f>
        <v/>
      </c>
      <c r="P222" s="24">
        <f>INDEX(MTInputs!$J$1:$AZ$415,$D222,MATCH(P$5,MTInputs!$J$5:$AZ$5,0))</f>
        <v/>
      </c>
      <c r="Q222" s="24">
        <f>INDEX(MTInputs!$J$1:$AZ$415,$D222,MATCH(Q$5,MTInputs!$J$5:$AZ$5,0))</f>
        <v/>
      </c>
      <c r="R222" s="24">
        <f>INDEX(MTInputs!$J$1:$AZ$415,$D222,MATCH(R$5,MTInputs!$J$5:$AZ$5,0))</f>
        <v/>
      </c>
      <c r="S222" s="24">
        <f>INDEX(MTInputs!$J$1:$AZ$415,$D222,MATCH(S$5,MTInputs!$J$5:$AZ$5,0))</f>
        <v/>
      </c>
      <c r="T222" s="24">
        <f>INDEX(MTInputs!$J$1:$AZ$415,$D222,MATCH(T$5,MTInputs!$J$5:$AZ$5,0))</f>
        <v/>
      </c>
      <c r="U222" s="24">
        <f>INDEX(MTInputs!$J$1:$AZ$415,$D222,MATCH(U$5,MTInputs!$J$5:$AZ$5,0))</f>
        <v/>
      </c>
      <c r="V222" s="24">
        <f>INDEX(MTInputs!$J$1:$AZ$415,$D222,MATCH(V$5,MTInputs!$J$5:$AZ$5,0))</f>
        <v/>
      </c>
      <c r="W222" s="24">
        <f>INDEX(MTInputs!$J$1:$AZ$415,$D222,MATCH(W$5,MTInputs!$J$5:$AZ$5,0))</f>
        <v/>
      </c>
      <c r="X222" s="24">
        <f>INDEX(MTInputs!$J$1:$AZ$415,$D222,MATCH(X$5,MTInputs!$J$5:$AZ$5,0))</f>
        <v/>
      </c>
      <c r="Y222" s="24">
        <f>INDEX(MTInputs!$J$1:$AZ$415,$D222,MATCH(Y$5,MTInputs!$J$5:$AZ$5,0))</f>
        <v/>
      </c>
      <c r="Z222" s="24">
        <f>INDEX(MTInputs!$J$1:$AZ$415,$D222,MATCH(Z$5,MTInputs!$J$5:$AZ$5,0))</f>
        <v/>
      </c>
      <c r="AA222" s="24">
        <f>INDEX(MTInputs!$J$1:$AZ$415,$D222,MATCH(AA$5,MTInputs!$J$5:$AZ$5,0))</f>
        <v/>
      </c>
      <c r="AB222" s="24">
        <f>INDEX(MTInputs!$J$1:$AZ$415,$D222,MATCH(AB$5,MTInputs!$J$5:$AZ$5,0))</f>
        <v/>
      </c>
      <c r="AC222" s="24">
        <f>INDEX(MTInputs!$J$1:$AZ$415,$D222,MATCH(AC$5,MTInputs!$J$5:$AZ$5,0))</f>
        <v/>
      </c>
      <c r="AD222" s="24">
        <f>INDEX(MTInputs!$J$1:$AZ$415,$D222,MATCH(AD$5,MTInputs!$J$5:$AZ$5,0))</f>
        <v/>
      </c>
      <c r="AE222" s="24">
        <f>INDEX(MTInputs!$J$1:$AZ$415,$D222,MATCH(AE$5,MTInputs!$J$5:$AZ$5,0))</f>
        <v/>
      </c>
      <c r="AG222" s="11">
        <f>CodePrefix&amp;$A222&amp;IF($C222="","","."&amp;$C222&amp;"."&amp;$B222)&amp;INDEX(VarEnd,MATCH($A222,VarKey,0))&amp;AG$5</f>
        <v/>
      </c>
      <c r="AH222" s="23">
        <f>INDEX(MTInputs!$J$1:$AZ$415,$D222,MATCH(AH$5,MTInputs!$J$5:$AZ$5,0))</f>
        <v/>
      </c>
      <c r="AI222" s="24">
        <f>INDEX(MTInputs!$J$1:$AZ$415,$D222,MATCH(AI$5,MTInputs!$J$5:$AZ$5,0))</f>
        <v/>
      </c>
      <c r="AJ222" s="24">
        <f>INDEX(MTInputs!$J$1:$AZ$415,$D222,MATCH(AJ$5,MTInputs!$J$5:$AZ$5,0))</f>
        <v/>
      </c>
      <c r="AK222" s="24">
        <f>INDEX(MTInputs!$J$1:$AZ$415,$D222,MATCH(AK$5,MTInputs!$J$5:$AZ$5,0))</f>
        <v/>
      </c>
      <c r="AL222" s="24">
        <f>INDEX(MTInputs!$J$1:$AZ$415,$D222,MATCH(AL$5,MTInputs!$J$5:$AZ$5,0))</f>
        <v/>
      </c>
      <c r="AM222" s="24">
        <f>INDEX(MTInputs!$J$1:$AZ$415,$D222,MATCH(AM$5,MTInputs!$J$5:$AZ$5,0))</f>
        <v/>
      </c>
      <c r="AN222" s="24">
        <f>INDEX(MTInputs!$J$1:$AZ$415,$D222,MATCH(AN$5,MTInputs!$J$5:$AZ$5,0))</f>
        <v/>
      </c>
      <c r="AO222" s="24">
        <f>INDEX(MTInputs!$J$1:$AZ$415,$D222,MATCH(AO$5,MTInputs!$J$5:$AZ$5,0))</f>
        <v/>
      </c>
      <c r="AP222" s="24">
        <f>INDEX(MTInputs!$J$1:$AZ$415,$D222,MATCH(AP$5,MTInputs!$J$5:$AZ$5,0))</f>
        <v/>
      </c>
      <c r="AQ222" s="24">
        <f>INDEX(MTInputs!$J$1:$AZ$415,$D222,MATCH(AQ$5,MTInputs!$J$5:$AZ$5,0))</f>
        <v/>
      </c>
      <c r="AR222" s="24">
        <f>INDEX(MTInputs!$J$1:$AZ$415,$D222,MATCH(AR$5,MTInputs!$J$5:$AZ$5,0))</f>
        <v/>
      </c>
      <c r="AS222" s="24">
        <f>INDEX(MTInputs!$J$1:$AZ$415,$D222,MATCH(AS$5,MTInputs!$J$5:$AZ$5,0))</f>
        <v/>
      </c>
      <c r="AT222" s="24">
        <f>INDEX(MTInputs!$J$1:$AZ$415,$D222,MATCH(AT$5,MTInputs!$J$5:$AZ$5,0))</f>
        <v/>
      </c>
      <c r="AU222" s="24">
        <f>INDEX(MTInputs!$J$1:$AZ$415,$D222,MATCH(AU$5,MTInputs!$J$5:$AZ$5,0))</f>
        <v/>
      </c>
      <c r="AV222" s="24">
        <f>INDEX(MTInputs!$J$1:$AZ$415,$D222,MATCH(AV$5,MTInputs!$J$5:$AZ$5,0))</f>
        <v/>
      </c>
      <c r="AW222" s="24">
        <f>INDEX(MTInputs!$J$1:$AZ$415,$D222,MATCH(AW$5,MTInputs!$J$5:$AZ$5,0))</f>
        <v/>
      </c>
      <c r="AX222" s="24">
        <f>INDEX(MTInputs!$J$1:$AZ$415,$D222,MATCH(AX$5,MTInputs!$J$5:$AZ$5,0))</f>
        <v/>
      </c>
      <c r="AY222" s="24">
        <f>INDEX(MTInputs!$J$1:$AZ$415,$D222,MATCH(AY$5,MTInputs!$J$5:$AZ$5,0))</f>
        <v/>
      </c>
      <c r="AZ222" s="24">
        <f>INDEX(MTInputs!$J$1:$AZ$415,$D222,MATCH(AZ$5,MTInputs!$J$5:$AZ$5,0))</f>
        <v/>
      </c>
      <c r="BA222" s="24">
        <f>INDEX(MTInputs!$J$1:$AZ$415,$D222,MATCH(BA$5,MTInputs!$J$5:$AZ$5,0))</f>
        <v/>
      </c>
    </row>
    <row r="223" hidden="1" outlineLevel="1">
      <c r="A223" s="14" t="inlineStr">
        <is>
          <t>fbcov</t>
        </is>
      </c>
      <c r="B223" s="14" t="inlineStr">
        <is>
          <t>all</t>
        </is>
      </c>
      <c r="C223" s="14" t="inlineStr">
        <is>
          <t>res</t>
        </is>
      </c>
      <c r="D223" s="22" t="n">
        <v>71</v>
      </c>
      <c r="H223" s="14">
        <f>INDEX(VarLab,MATCH($A223,VarKey,0))&amp;INDEX(MemLab,MATCH($C223&amp;"|"&amp;$B223,MemKey,0))</f>
        <v/>
      </c>
      <c r="I223" s="14">
        <f>INDEX(VarUnit,MATCH($A223,VarKey,0))</f>
        <v/>
      </c>
      <c r="J223" s="14">
        <f>INDEX(VarSrc,MATCH($A223,VarKey,0))</f>
        <v/>
      </c>
      <c r="K223" s="11">
        <f>CodePrefix&amp;$A223&amp;IF($C223="","","."&amp;$C223&amp;"."&amp;$B223)&amp;INDEX(VarEnd,MATCH($A223,VarKey,0))&amp;K$5</f>
        <v/>
      </c>
      <c r="L223" s="23">
        <f>INDEX(MTInputs!$J$1:$AZ$415,$D223,MATCH(L$5,MTInputs!$J$5:$AZ$5,0))</f>
        <v/>
      </c>
      <c r="M223" s="24">
        <f>INDEX(MTInputs!$J$1:$AZ$415,$D223,MATCH(M$5,MTInputs!$J$5:$AZ$5,0))</f>
        <v/>
      </c>
      <c r="N223" s="24">
        <f>INDEX(MTInputs!$J$1:$AZ$415,$D223,MATCH(N$5,MTInputs!$J$5:$AZ$5,0))</f>
        <v/>
      </c>
      <c r="O223" s="24">
        <f>INDEX(MTInputs!$J$1:$AZ$415,$D223,MATCH(O$5,MTInputs!$J$5:$AZ$5,0))</f>
        <v/>
      </c>
      <c r="P223" s="24">
        <f>INDEX(MTInputs!$J$1:$AZ$415,$D223,MATCH(P$5,MTInputs!$J$5:$AZ$5,0))</f>
        <v/>
      </c>
      <c r="Q223" s="24">
        <f>INDEX(MTInputs!$J$1:$AZ$415,$D223,MATCH(Q$5,MTInputs!$J$5:$AZ$5,0))</f>
        <v/>
      </c>
      <c r="R223" s="24">
        <f>INDEX(MTInputs!$J$1:$AZ$415,$D223,MATCH(R$5,MTInputs!$J$5:$AZ$5,0))</f>
        <v/>
      </c>
      <c r="S223" s="24">
        <f>INDEX(MTInputs!$J$1:$AZ$415,$D223,MATCH(S$5,MTInputs!$J$5:$AZ$5,0))</f>
        <v/>
      </c>
      <c r="T223" s="24">
        <f>INDEX(MTInputs!$J$1:$AZ$415,$D223,MATCH(T$5,MTInputs!$J$5:$AZ$5,0))</f>
        <v/>
      </c>
      <c r="U223" s="24">
        <f>INDEX(MTInputs!$J$1:$AZ$415,$D223,MATCH(U$5,MTInputs!$J$5:$AZ$5,0))</f>
        <v/>
      </c>
      <c r="V223" s="24">
        <f>INDEX(MTInputs!$J$1:$AZ$415,$D223,MATCH(V$5,MTInputs!$J$5:$AZ$5,0))</f>
        <v/>
      </c>
      <c r="W223" s="24">
        <f>INDEX(MTInputs!$J$1:$AZ$415,$D223,MATCH(W$5,MTInputs!$J$5:$AZ$5,0))</f>
        <v/>
      </c>
      <c r="X223" s="24">
        <f>INDEX(MTInputs!$J$1:$AZ$415,$D223,MATCH(X$5,MTInputs!$J$5:$AZ$5,0))</f>
        <v/>
      </c>
      <c r="Y223" s="24">
        <f>INDEX(MTInputs!$J$1:$AZ$415,$D223,MATCH(Y$5,MTInputs!$J$5:$AZ$5,0))</f>
        <v/>
      </c>
      <c r="Z223" s="24">
        <f>INDEX(MTInputs!$J$1:$AZ$415,$D223,MATCH(Z$5,MTInputs!$J$5:$AZ$5,0))</f>
        <v/>
      </c>
      <c r="AA223" s="24">
        <f>INDEX(MTInputs!$J$1:$AZ$415,$D223,MATCH(AA$5,MTInputs!$J$5:$AZ$5,0))</f>
        <v/>
      </c>
      <c r="AB223" s="24">
        <f>INDEX(MTInputs!$J$1:$AZ$415,$D223,MATCH(AB$5,MTInputs!$J$5:$AZ$5,0))</f>
        <v/>
      </c>
      <c r="AC223" s="24">
        <f>INDEX(MTInputs!$J$1:$AZ$415,$D223,MATCH(AC$5,MTInputs!$J$5:$AZ$5,0))</f>
        <v/>
      </c>
      <c r="AD223" s="24">
        <f>INDEX(MTInputs!$J$1:$AZ$415,$D223,MATCH(AD$5,MTInputs!$J$5:$AZ$5,0))</f>
        <v/>
      </c>
      <c r="AE223" s="24">
        <f>INDEX(MTInputs!$J$1:$AZ$415,$D223,MATCH(AE$5,MTInputs!$J$5:$AZ$5,0))</f>
        <v/>
      </c>
      <c r="AG223" s="11">
        <f>CodePrefix&amp;$A223&amp;IF($C223="","","."&amp;$C223&amp;"."&amp;$B223)&amp;INDEX(VarEnd,MATCH($A223,VarKey,0))&amp;AG$5</f>
        <v/>
      </c>
      <c r="AH223" s="23">
        <f>INDEX(MTInputs!$J$1:$AZ$415,$D223,MATCH(AH$5,MTInputs!$J$5:$AZ$5,0))</f>
        <v/>
      </c>
      <c r="AI223" s="24">
        <f>INDEX(MTInputs!$J$1:$AZ$415,$D223,MATCH(AI$5,MTInputs!$J$5:$AZ$5,0))</f>
        <v/>
      </c>
      <c r="AJ223" s="24">
        <f>INDEX(MTInputs!$J$1:$AZ$415,$D223,MATCH(AJ$5,MTInputs!$J$5:$AZ$5,0))</f>
        <v/>
      </c>
      <c r="AK223" s="24">
        <f>INDEX(MTInputs!$J$1:$AZ$415,$D223,MATCH(AK$5,MTInputs!$J$5:$AZ$5,0))</f>
        <v/>
      </c>
      <c r="AL223" s="24">
        <f>INDEX(MTInputs!$J$1:$AZ$415,$D223,MATCH(AL$5,MTInputs!$J$5:$AZ$5,0))</f>
        <v/>
      </c>
      <c r="AM223" s="24">
        <f>INDEX(MTInputs!$J$1:$AZ$415,$D223,MATCH(AM$5,MTInputs!$J$5:$AZ$5,0))</f>
        <v/>
      </c>
      <c r="AN223" s="24">
        <f>INDEX(MTInputs!$J$1:$AZ$415,$D223,MATCH(AN$5,MTInputs!$J$5:$AZ$5,0))</f>
        <v/>
      </c>
      <c r="AO223" s="24">
        <f>INDEX(MTInputs!$J$1:$AZ$415,$D223,MATCH(AO$5,MTInputs!$J$5:$AZ$5,0))</f>
        <v/>
      </c>
      <c r="AP223" s="24">
        <f>INDEX(MTInputs!$J$1:$AZ$415,$D223,MATCH(AP$5,MTInputs!$J$5:$AZ$5,0))</f>
        <v/>
      </c>
      <c r="AQ223" s="24">
        <f>INDEX(MTInputs!$J$1:$AZ$415,$D223,MATCH(AQ$5,MTInputs!$J$5:$AZ$5,0))</f>
        <v/>
      </c>
      <c r="AR223" s="24">
        <f>INDEX(MTInputs!$J$1:$AZ$415,$D223,MATCH(AR$5,MTInputs!$J$5:$AZ$5,0))</f>
        <v/>
      </c>
      <c r="AS223" s="24">
        <f>INDEX(MTInputs!$J$1:$AZ$415,$D223,MATCH(AS$5,MTInputs!$J$5:$AZ$5,0))</f>
        <v/>
      </c>
      <c r="AT223" s="24">
        <f>INDEX(MTInputs!$J$1:$AZ$415,$D223,MATCH(AT$5,MTInputs!$J$5:$AZ$5,0))</f>
        <v/>
      </c>
      <c r="AU223" s="24">
        <f>INDEX(MTInputs!$J$1:$AZ$415,$D223,MATCH(AU$5,MTInputs!$J$5:$AZ$5,0))</f>
        <v/>
      </c>
      <c r="AV223" s="24">
        <f>INDEX(MTInputs!$J$1:$AZ$415,$D223,MATCH(AV$5,MTInputs!$J$5:$AZ$5,0))</f>
        <v/>
      </c>
      <c r="AW223" s="24">
        <f>INDEX(MTInputs!$J$1:$AZ$415,$D223,MATCH(AW$5,MTInputs!$J$5:$AZ$5,0))</f>
        <v/>
      </c>
      <c r="AX223" s="24">
        <f>INDEX(MTInputs!$J$1:$AZ$415,$D223,MATCH(AX$5,MTInputs!$J$5:$AZ$5,0))</f>
        <v/>
      </c>
      <c r="AY223" s="24">
        <f>INDEX(MTInputs!$J$1:$AZ$415,$D223,MATCH(AY$5,MTInputs!$J$5:$AZ$5,0))</f>
        <v/>
      </c>
      <c r="AZ223" s="24">
        <f>INDEX(MTInputs!$J$1:$AZ$415,$D223,MATCH(AZ$5,MTInputs!$J$5:$AZ$5,0))</f>
        <v/>
      </c>
      <c r="BA223" s="24">
        <f>INDEX(MTInputs!$J$1:$AZ$415,$D223,MATCH(BA$5,MTInputs!$J$5:$AZ$5,0))</f>
        <v/>
      </c>
    </row>
    <row r="224" hidden="1" outlineLevel="1">
      <c r="A224" s="14" t="inlineStr">
        <is>
          <t>fbcov</t>
        </is>
      </c>
      <c r="B224" s="14" t="inlineStr">
        <is>
          <t>all</t>
        </is>
      </c>
      <c r="C224" s="14" t="inlineStr">
        <is>
          <t>foo</t>
        </is>
      </c>
      <c r="D224" s="22" t="n">
        <v>72</v>
      </c>
      <c r="H224" s="14">
        <f>INDEX(VarLab,MATCH($A224,VarKey,0))&amp;INDEX(MemLab,MATCH($C224&amp;"|"&amp;$B224,MemKey,0))</f>
        <v/>
      </c>
      <c r="I224" s="14">
        <f>INDEX(VarUnit,MATCH($A224,VarKey,0))</f>
        <v/>
      </c>
      <c r="J224" s="14">
        <f>INDEX(VarSrc,MATCH($A224,VarKey,0))</f>
        <v/>
      </c>
      <c r="K224" s="11">
        <f>CodePrefix&amp;$A224&amp;IF($C224="","","."&amp;$C224&amp;"."&amp;$B224)&amp;INDEX(VarEnd,MATCH($A224,VarKey,0))&amp;K$5</f>
        <v/>
      </c>
      <c r="L224" s="23">
        <f>INDEX(MTInputs!$J$1:$AZ$415,$D224,MATCH(L$5,MTInputs!$J$5:$AZ$5,0))</f>
        <v/>
      </c>
      <c r="M224" s="24">
        <f>INDEX(MTInputs!$J$1:$AZ$415,$D224,MATCH(M$5,MTInputs!$J$5:$AZ$5,0))</f>
        <v/>
      </c>
      <c r="N224" s="24">
        <f>INDEX(MTInputs!$J$1:$AZ$415,$D224,MATCH(N$5,MTInputs!$J$5:$AZ$5,0))</f>
        <v/>
      </c>
      <c r="O224" s="24">
        <f>INDEX(MTInputs!$J$1:$AZ$415,$D224,MATCH(O$5,MTInputs!$J$5:$AZ$5,0))</f>
        <v/>
      </c>
      <c r="P224" s="24">
        <f>INDEX(MTInputs!$J$1:$AZ$415,$D224,MATCH(P$5,MTInputs!$J$5:$AZ$5,0))</f>
        <v/>
      </c>
      <c r="Q224" s="24">
        <f>INDEX(MTInputs!$J$1:$AZ$415,$D224,MATCH(Q$5,MTInputs!$J$5:$AZ$5,0))</f>
        <v/>
      </c>
      <c r="R224" s="24">
        <f>INDEX(MTInputs!$J$1:$AZ$415,$D224,MATCH(R$5,MTInputs!$J$5:$AZ$5,0))</f>
        <v/>
      </c>
      <c r="S224" s="24">
        <f>INDEX(MTInputs!$J$1:$AZ$415,$D224,MATCH(S$5,MTInputs!$J$5:$AZ$5,0))</f>
        <v/>
      </c>
      <c r="T224" s="24">
        <f>INDEX(MTInputs!$J$1:$AZ$415,$D224,MATCH(T$5,MTInputs!$J$5:$AZ$5,0))</f>
        <v/>
      </c>
      <c r="U224" s="24">
        <f>INDEX(MTInputs!$J$1:$AZ$415,$D224,MATCH(U$5,MTInputs!$J$5:$AZ$5,0))</f>
        <v/>
      </c>
      <c r="V224" s="24">
        <f>INDEX(MTInputs!$J$1:$AZ$415,$D224,MATCH(V$5,MTInputs!$J$5:$AZ$5,0))</f>
        <v/>
      </c>
      <c r="W224" s="24">
        <f>INDEX(MTInputs!$J$1:$AZ$415,$D224,MATCH(W$5,MTInputs!$J$5:$AZ$5,0))</f>
        <v/>
      </c>
      <c r="X224" s="24">
        <f>INDEX(MTInputs!$J$1:$AZ$415,$D224,MATCH(X$5,MTInputs!$J$5:$AZ$5,0))</f>
        <v/>
      </c>
      <c r="Y224" s="24">
        <f>INDEX(MTInputs!$J$1:$AZ$415,$D224,MATCH(Y$5,MTInputs!$J$5:$AZ$5,0))</f>
        <v/>
      </c>
      <c r="Z224" s="24">
        <f>INDEX(MTInputs!$J$1:$AZ$415,$D224,MATCH(Z$5,MTInputs!$J$5:$AZ$5,0))</f>
        <v/>
      </c>
      <c r="AA224" s="24">
        <f>INDEX(MTInputs!$J$1:$AZ$415,$D224,MATCH(AA$5,MTInputs!$J$5:$AZ$5,0))</f>
        <v/>
      </c>
      <c r="AB224" s="24">
        <f>INDEX(MTInputs!$J$1:$AZ$415,$D224,MATCH(AB$5,MTInputs!$J$5:$AZ$5,0))</f>
        <v/>
      </c>
      <c r="AC224" s="24">
        <f>INDEX(MTInputs!$J$1:$AZ$415,$D224,MATCH(AC$5,MTInputs!$J$5:$AZ$5,0))</f>
        <v/>
      </c>
      <c r="AD224" s="24">
        <f>INDEX(MTInputs!$J$1:$AZ$415,$D224,MATCH(AD$5,MTInputs!$J$5:$AZ$5,0))</f>
        <v/>
      </c>
      <c r="AE224" s="24">
        <f>INDEX(MTInputs!$J$1:$AZ$415,$D224,MATCH(AE$5,MTInputs!$J$5:$AZ$5,0))</f>
        <v/>
      </c>
      <c r="AG224" s="11">
        <f>CodePrefix&amp;$A224&amp;IF($C224="","","."&amp;$C224&amp;"."&amp;$B224)&amp;INDEX(VarEnd,MATCH($A224,VarKey,0))&amp;AG$5</f>
        <v/>
      </c>
      <c r="AH224" s="23">
        <f>INDEX(MTInputs!$J$1:$AZ$415,$D224,MATCH(AH$5,MTInputs!$J$5:$AZ$5,0))</f>
        <v/>
      </c>
      <c r="AI224" s="24">
        <f>INDEX(MTInputs!$J$1:$AZ$415,$D224,MATCH(AI$5,MTInputs!$J$5:$AZ$5,0))</f>
        <v/>
      </c>
      <c r="AJ224" s="24">
        <f>INDEX(MTInputs!$J$1:$AZ$415,$D224,MATCH(AJ$5,MTInputs!$J$5:$AZ$5,0))</f>
        <v/>
      </c>
      <c r="AK224" s="24">
        <f>INDEX(MTInputs!$J$1:$AZ$415,$D224,MATCH(AK$5,MTInputs!$J$5:$AZ$5,0))</f>
        <v/>
      </c>
      <c r="AL224" s="24">
        <f>INDEX(MTInputs!$J$1:$AZ$415,$D224,MATCH(AL$5,MTInputs!$J$5:$AZ$5,0))</f>
        <v/>
      </c>
      <c r="AM224" s="24">
        <f>INDEX(MTInputs!$J$1:$AZ$415,$D224,MATCH(AM$5,MTInputs!$J$5:$AZ$5,0))</f>
        <v/>
      </c>
      <c r="AN224" s="24">
        <f>INDEX(MTInputs!$J$1:$AZ$415,$D224,MATCH(AN$5,MTInputs!$J$5:$AZ$5,0))</f>
        <v/>
      </c>
      <c r="AO224" s="24">
        <f>INDEX(MTInputs!$J$1:$AZ$415,$D224,MATCH(AO$5,MTInputs!$J$5:$AZ$5,0))</f>
        <v/>
      </c>
      <c r="AP224" s="24">
        <f>INDEX(MTInputs!$J$1:$AZ$415,$D224,MATCH(AP$5,MTInputs!$J$5:$AZ$5,0))</f>
        <v/>
      </c>
      <c r="AQ224" s="24">
        <f>INDEX(MTInputs!$J$1:$AZ$415,$D224,MATCH(AQ$5,MTInputs!$J$5:$AZ$5,0))</f>
        <v/>
      </c>
      <c r="AR224" s="24">
        <f>INDEX(MTInputs!$J$1:$AZ$415,$D224,MATCH(AR$5,MTInputs!$J$5:$AZ$5,0))</f>
        <v/>
      </c>
      <c r="AS224" s="24">
        <f>INDEX(MTInputs!$J$1:$AZ$415,$D224,MATCH(AS$5,MTInputs!$J$5:$AZ$5,0))</f>
        <v/>
      </c>
      <c r="AT224" s="24">
        <f>INDEX(MTInputs!$J$1:$AZ$415,$D224,MATCH(AT$5,MTInputs!$J$5:$AZ$5,0))</f>
        <v/>
      </c>
      <c r="AU224" s="24">
        <f>INDEX(MTInputs!$J$1:$AZ$415,$D224,MATCH(AU$5,MTInputs!$J$5:$AZ$5,0))</f>
        <v/>
      </c>
      <c r="AV224" s="24">
        <f>INDEX(MTInputs!$J$1:$AZ$415,$D224,MATCH(AV$5,MTInputs!$J$5:$AZ$5,0))</f>
        <v/>
      </c>
      <c r="AW224" s="24">
        <f>INDEX(MTInputs!$J$1:$AZ$415,$D224,MATCH(AW$5,MTInputs!$J$5:$AZ$5,0))</f>
        <v/>
      </c>
      <c r="AX224" s="24">
        <f>INDEX(MTInputs!$J$1:$AZ$415,$D224,MATCH(AX$5,MTInputs!$J$5:$AZ$5,0))</f>
        <v/>
      </c>
      <c r="AY224" s="24">
        <f>INDEX(MTInputs!$J$1:$AZ$415,$D224,MATCH(AY$5,MTInputs!$J$5:$AZ$5,0))</f>
        <v/>
      </c>
      <c r="AZ224" s="24">
        <f>INDEX(MTInputs!$J$1:$AZ$415,$D224,MATCH(AZ$5,MTInputs!$J$5:$AZ$5,0))</f>
        <v/>
      </c>
      <c r="BA224" s="24">
        <f>INDEX(MTInputs!$J$1:$AZ$415,$D224,MATCH(BA$5,MTInputs!$J$5:$AZ$5,0))</f>
        <v/>
      </c>
    </row>
    <row r="225" hidden="1" outlineLevel="1">
      <c r="A225" s="14" t="inlineStr">
        <is>
          <t>fbcov</t>
        </is>
      </c>
      <c r="B225" s="14" t="inlineStr">
        <is>
          <t>all</t>
        </is>
      </c>
      <c r="C225" s="14" t="inlineStr">
        <is>
          <t>srv</t>
        </is>
      </c>
      <c r="D225" s="22" t="n">
        <v>73</v>
      </c>
      <c r="H225" s="14">
        <f>INDEX(VarLab,MATCH($A225,VarKey,0))&amp;INDEX(MemLab,MATCH($C225&amp;"|"&amp;$B225,MemKey,0))</f>
        <v/>
      </c>
      <c r="I225" s="14">
        <f>INDEX(VarUnit,MATCH($A225,VarKey,0))</f>
        <v/>
      </c>
      <c r="J225" s="14">
        <f>INDEX(VarSrc,MATCH($A225,VarKey,0))</f>
        <v/>
      </c>
      <c r="K225" s="11">
        <f>CodePrefix&amp;$A225&amp;IF($C225="","","."&amp;$C225&amp;"."&amp;$B225)&amp;INDEX(VarEnd,MATCH($A225,VarKey,0))&amp;K$5</f>
        <v/>
      </c>
      <c r="L225" s="23">
        <f>INDEX(MTInputs!$J$1:$AZ$415,$D225,MATCH(L$5,MTInputs!$J$5:$AZ$5,0))</f>
        <v/>
      </c>
      <c r="M225" s="24">
        <f>INDEX(MTInputs!$J$1:$AZ$415,$D225,MATCH(M$5,MTInputs!$J$5:$AZ$5,0))</f>
        <v/>
      </c>
      <c r="N225" s="24">
        <f>INDEX(MTInputs!$J$1:$AZ$415,$D225,MATCH(N$5,MTInputs!$J$5:$AZ$5,0))</f>
        <v/>
      </c>
      <c r="O225" s="24">
        <f>INDEX(MTInputs!$J$1:$AZ$415,$D225,MATCH(O$5,MTInputs!$J$5:$AZ$5,0))</f>
        <v/>
      </c>
      <c r="P225" s="24">
        <f>INDEX(MTInputs!$J$1:$AZ$415,$D225,MATCH(P$5,MTInputs!$J$5:$AZ$5,0))</f>
        <v/>
      </c>
      <c r="Q225" s="24">
        <f>INDEX(MTInputs!$J$1:$AZ$415,$D225,MATCH(Q$5,MTInputs!$J$5:$AZ$5,0))</f>
        <v/>
      </c>
      <c r="R225" s="24">
        <f>INDEX(MTInputs!$J$1:$AZ$415,$D225,MATCH(R$5,MTInputs!$J$5:$AZ$5,0))</f>
        <v/>
      </c>
      <c r="S225" s="24">
        <f>INDEX(MTInputs!$J$1:$AZ$415,$D225,MATCH(S$5,MTInputs!$J$5:$AZ$5,0))</f>
        <v/>
      </c>
      <c r="T225" s="24">
        <f>INDEX(MTInputs!$J$1:$AZ$415,$D225,MATCH(T$5,MTInputs!$J$5:$AZ$5,0))</f>
        <v/>
      </c>
      <c r="U225" s="24">
        <f>INDEX(MTInputs!$J$1:$AZ$415,$D225,MATCH(U$5,MTInputs!$J$5:$AZ$5,0))</f>
        <v/>
      </c>
      <c r="V225" s="24">
        <f>INDEX(MTInputs!$J$1:$AZ$415,$D225,MATCH(V$5,MTInputs!$J$5:$AZ$5,0))</f>
        <v/>
      </c>
      <c r="W225" s="24">
        <f>INDEX(MTInputs!$J$1:$AZ$415,$D225,MATCH(W$5,MTInputs!$J$5:$AZ$5,0))</f>
        <v/>
      </c>
      <c r="X225" s="24">
        <f>INDEX(MTInputs!$J$1:$AZ$415,$D225,MATCH(X$5,MTInputs!$J$5:$AZ$5,0))</f>
        <v/>
      </c>
      <c r="Y225" s="24">
        <f>INDEX(MTInputs!$J$1:$AZ$415,$D225,MATCH(Y$5,MTInputs!$J$5:$AZ$5,0))</f>
        <v/>
      </c>
      <c r="Z225" s="24">
        <f>INDEX(MTInputs!$J$1:$AZ$415,$D225,MATCH(Z$5,MTInputs!$J$5:$AZ$5,0))</f>
        <v/>
      </c>
      <c r="AA225" s="24">
        <f>INDEX(MTInputs!$J$1:$AZ$415,$D225,MATCH(AA$5,MTInputs!$J$5:$AZ$5,0))</f>
        <v/>
      </c>
      <c r="AB225" s="24">
        <f>INDEX(MTInputs!$J$1:$AZ$415,$D225,MATCH(AB$5,MTInputs!$J$5:$AZ$5,0))</f>
        <v/>
      </c>
      <c r="AC225" s="24">
        <f>INDEX(MTInputs!$J$1:$AZ$415,$D225,MATCH(AC$5,MTInputs!$J$5:$AZ$5,0))</f>
        <v/>
      </c>
      <c r="AD225" s="24">
        <f>INDEX(MTInputs!$J$1:$AZ$415,$D225,MATCH(AD$5,MTInputs!$J$5:$AZ$5,0))</f>
        <v/>
      </c>
      <c r="AE225" s="24">
        <f>INDEX(MTInputs!$J$1:$AZ$415,$D225,MATCH(AE$5,MTInputs!$J$5:$AZ$5,0))</f>
        <v/>
      </c>
      <c r="AG225" s="11">
        <f>CodePrefix&amp;$A225&amp;IF($C225="","","."&amp;$C225&amp;"."&amp;$B225)&amp;INDEX(VarEnd,MATCH($A225,VarKey,0))&amp;AG$5</f>
        <v/>
      </c>
      <c r="AH225" s="23">
        <f>INDEX(MTInputs!$J$1:$AZ$415,$D225,MATCH(AH$5,MTInputs!$J$5:$AZ$5,0))</f>
        <v/>
      </c>
      <c r="AI225" s="24">
        <f>INDEX(MTInputs!$J$1:$AZ$415,$D225,MATCH(AI$5,MTInputs!$J$5:$AZ$5,0))</f>
        <v/>
      </c>
      <c r="AJ225" s="24">
        <f>INDEX(MTInputs!$J$1:$AZ$415,$D225,MATCH(AJ$5,MTInputs!$J$5:$AZ$5,0))</f>
        <v/>
      </c>
      <c r="AK225" s="24">
        <f>INDEX(MTInputs!$J$1:$AZ$415,$D225,MATCH(AK$5,MTInputs!$J$5:$AZ$5,0))</f>
        <v/>
      </c>
      <c r="AL225" s="24">
        <f>INDEX(MTInputs!$J$1:$AZ$415,$D225,MATCH(AL$5,MTInputs!$J$5:$AZ$5,0))</f>
        <v/>
      </c>
      <c r="AM225" s="24">
        <f>INDEX(MTInputs!$J$1:$AZ$415,$D225,MATCH(AM$5,MTInputs!$J$5:$AZ$5,0))</f>
        <v/>
      </c>
      <c r="AN225" s="24">
        <f>INDEX(MTInputs!$J$1:$AZ$415,$D225,MATCH(AN$5,MTInputs!$J$5:$AZ$5,0))</f>
        <v/>
      </c>
      <c r="AO225" s="24">
        <f>INDEX(MTInputs!$J$1:$AZ$415,$D225,MATCH(AO$5,MTInputs!$J$5:$AZ$5,0))</f>
        <v/>
      </c>
      <c r="AP225" s="24">
        <f>INDEX(MTInputs!$J$1:$AZ$415,$D225,MATCH(AP$5,MTInputs!$J$5:$AZ$5,0))</f>
        <v/>
      </c>
      <c r="AQ225" s="24">
        <f>INDEX(MTInputs!$J$1:$AZ$415,$D225,MATCH(AQ$5,MTInputs!$J$5:$AZ$5,0))</f>
        <v/>
      </c>
      <c r="AR225" s="24">
        <f>INDEX(MTInputs!$J$1:$AZ$415,$D225,MATCH(AR$5,MTInputs!$J$5:$AZ$5,0))</f>
        <v/>
      </c>
      <c r="AS225" s="24">
        <f>INDEX(MTInputs!$J$1:$AZ$415,$D225,MATCH(AS$5,MTInputs!$J$5:$AZ$5,0))</f>
        <v/>
      </c>
      <c r="AT225" s="24">
        <f>INDEX(MTInputs!$J$1:$AZ$415,$D225,MATCH(AT$5,MTInputs!$J$5:$AZ$5,0))</f>
        <v/>
      </c>
      <c r="AU225" s="24">
        <f>INDEX(MTInputs!$J$1:$AZ$415,$D225,MATCH(AU$5,MTInputs!$J$5:$AZ$5,0))</f>
        <v/>
      </c>
      <c r="AV225" s="24">
        <f>INDEX(MTInputs!$J$1:$AZ$415,$D225,MATCH(AV$5,MTInputs!$J$5:$AZ$5,0))</f>
        <v/>
      </c>
      <c r="AW225" s="24">
        <f>INDEX(MTInputs!$J$1:$AZ$415,$D225,MATCH(AW$5,MTInputs!$J$5:$AZ$5,0))</f>
        <v/>
      </c>
      <c r="AX225" s="24">
        <f>INDEX(MTInputs!$J$1:$AZ$415,$D225,MATCH(AX$5,MTInputs!$J$5:$AZ$5,0))</f>
        <v/>
      </c>
      <c r="AY225" s="24">
        <f>INDEX(MTInputs!$J$1:$AZ$415,$D225,MATCH(AY$5,MTInputs!$J$5:$AZ$5,0))</f>
        <v/>
      </c>
      <c r="AZ225" s="24">
        <f>INDEX(MTInputs!$J$1:$AZ$415,$D225,MATCH(AZ$5,MTInputs!$J$5:$AZ$5,0))</f>
        <v/>
      </c>
      <c r="BA225" s="24">
        <f>INDEX(MTInputs!$J$1:$AZ$415,$D225,MATCH(BA$5,MTInputs!$J$5:$AZ$5,0))</f>
        <v/>
      </c>
    </row>
    <row r="226" hidden="1" outlineLevel="1">
      <c r="A226" s="14" t="inlineStr">
        <is>
          <t>fbcov</t>
        </is>
      </c>
      <c r="B226" s="14" t="inlineStr">
        <is>
          <t>all</t>
        </is>
      </c>
      <c r="C226" s="14" t="inlineStr">
        <is>
          <t>mch</t>
        </is>
      </c>
      <c r="D226" s="22" t="n">
        <v>74</v>
      </c>
      <c r="H226" s="14">
        <f>INDEX(VarLab,MATCH($A226,VarKey,0))&amp;INDEX(MemLab,MATCH($C226&amp;"|"&amp;$B226,MemKey,0))</f>
        <v/>
      </c>
      <c r="I226" s="14">
        <f>INDEX(VarUnit,MATCH($A226,VarKey,0))</f>
        <v/>
      </c>
      <c r="J226" s="14">
        <f>INDEX(VarSrc,MATCH($A226,VarKey,0))</f>
        <v/>
      </c>
      <c r="K226" s="11">
        <f>CodePrefix&amp;$A226&amp;IF($C226="","","."&amp;$C226&amp;"."&amp;$B226)&amp;INDEX(VarEnd,MATCH($A226,VarKey,0))&amp;K$5</f>
        <v/>
      </c>
      <c r="L226" s="23">
        <f>INDEX(MTInputs!$J$1:$AZ$415,$D226,MATCH(L$5,MTInputs!$J$5:$AZ$5,0))</f>
        <v/>
      </c>
      <c r="M226" s="24">
        <f>INDEX(MTInputs!$J$1:$AZ$415,$D226,MATCH(M$5,MTInputs!$J$5:$AZ$5,0))</f>
        <v/>
      </c>
      <c r="N226" s="24">
        <f>INDEX(MTInputs!$J$1:$AZ$415,$D226,MATCH(N$5,MTInputs!$J$5:$AZ$5,0))</f>
        <v/>
      </c>
      <c r="O226" s="24">
        <f>INDEX(MTInputs!$J$1:$AZ$415,$D226,MATCH(O$5,MTInputs!$J$5:$AZ$5,0))</f>
        <v/>
      </c>
      <c r="P226" s="24">
        <f>INDEX(MTInputs!$J$1:$AZ$415,$D226,MATCH(P$5,MTInputs!$J$5:$AZ$5,0))</f>
        <v/>
      </c>
      <c r="Q226" s="24">
        <f>INDEX(MTInputs!$J$1:$AZ$415,$D226,MATCH(Q$5,MTInputs!$J$5:$AZ$5,0))</f>
        <v/>
      </c>
      <c r="R226" s="24">
        <f>INDEX(MTInputs!$J$1:$AZ$415,$D226,MATCH(R$5,MTInputs!$J$5:$AZ$5,0))</f>
        <v/>
      </c>
      <c r="S226" s="24">
        <f>INDEX(MTInputs!$J$1:$AZ$415,$D226,MATCH(S$5,MTInputs!$J$5:$AZ$5,0))</f>
        <v/>
      </c>
      <c r="T226" s="24">
        <f>INDEX(MTInputs!$J$1:$AZ$415,$D226,MATCH(T$5,MTInputs!$J$5:$AZ$5,0))</f>
        <v/>
      </c>
      <c r="U226" s="24">
        <f>INDEX(MTInputs!$J$1:$AZ$415,$D226,MATCH(U$5,MTInputs!$J$5:$AZ$5,0))</f>
        <v/>
      </c>
      <c r="V226" s="24">
        <f>INDEX(MTInputs!$J$1:$AZ$415,$D226,MATCH(V$5,MTInputs!$J$5:$AZ$5,0))</f>
        <v/>
      </c>
      <c r="W226" s="24">
        <f>INDEX(MTInputs!$J$1:$AZ$415,$D226,MATCH(W$5,MTInputs!$J$5:$AZ$5,0))</f>
        <v/>
      </c>
      <c r="X226" s="24">
        <f>INDEX(MTInputs!$J$1:$AZ$415,$D226,MATCH(X$5,MTInputs!$J$5:$AZ$5,0))</f>
        <v/>
      </c>
      <c r="Y226" s="24">
        <f>INDEX(MTInputs!$J$1:$AZ$415,$D226,MATCH(Y$5,MTInputs!$J$5:$AZ$5,0))</f>
        <v/>
      </c>
      <c r="Z226" s="24">
        <f>INDEX(MTInputs!$J$1:$AZ$415,$D226,MATCH(Z$5,MTInputs!$J$5:$AZ$5,0))</f>
        <v/>
      </c>
      <c r="AA226" s="24">
        <f>INDEX(MTInputs!$J$1:$AZ$415,$D226,MATCH(AA$5,MTInputs!$J$5:$AZ$5,0))</f>
        <v/>
      </c>
      <c r="AB226" s="24">
        <f>INDEX(MTInputs!$J$1:$AZ$415,$D226,MATCH(AB$5,MTInputs!$J$5:$AZ$5,0))</f>
        <v/>
      </c>
      <c r="AC226" s="24">
        <f>INDEX(MTInputs!$J$1:$AZ$415,$D226,MATCH(AC$5,MTInputs!$J$5:$AZ$5,0))</f>
        <v/>
      </c>
      <c r="AD226" s="24">
        <f>INDEX(MTInputs!$J$1:$AZ$415,$D226,MATCH(AD$5,MTInputs!$J$5:$AZ$5,0))</f>
        <v/>
      </c>
      <c r="AE226" s="24">
        <f>INDEX(MTInputs!$J$1:$AZ$415,$D226,MATCH(AE$5,MTInputs!$J$5:$AZ$5,0))</f>
        <v/>
      </c>
      <c r="AG226" s="11">
        <f>CodePrefix&amp;$A226&amp;IF($C226="","","."&amp;$C226&amp;"."&amp;$B226)&amp;INDEX(VarEnd,MATCH($A226,VarKey,0))&amp;AG$5</f>
        <v/>
      </c>
      <c r="AH226" s="23">
        <f>INDEX(MTInputs!$J$1:$AZ$415,$D226,MATCH(AH$5,MTInputs!$J$5:$AZ$5,0))</f>
        <v/>
      </c>
      <c r="AI226" s="24">
        <f>INDEX(MTInputs!$J$1:$AZ$415,$D226,MATCH(AI$5,MTInputs!$J$5:$AZ$5,0))</f>
        <v/>
      </c>
      <c r="AJ226" s="24">
        <f>INDEX(MTInputs!$J$1:$AZ$415,$D226,MATCH(AJ$5,MTInputs!$J$5:$AZ$5,0))</f>
        <v/>
      </c>
      <c r="AK226" s="24">
        <f>INDEX(MTInputs!$J$1:$AZ$415,$D226,MATCH(AK$5,MTInputs!$J$5:$AZ$5,0))</f>
        <v/>
      </c>
      <c r="AL226" s="24">
        <f>INDEX(MTInputs!$J$1:$AZ$415,$D226,MATCH(AL$5,MTInputs!$J$5:$AZ$5,0))</f>
        <v/>
      </c>
      <c r="AM226" s="24">
        <f>INDEX(MTInputs!$J$1:$AZ$415,$D226,MATCH(AM$5,MTInputs!$J$5:$AZ$5,0))</f>
        <v/>
      </c>
      <c r="AN226" s="24">
        <f>INDEX(MTInputs!$J$1:$AZ$415,$D226,MATCH(AN$5,MTInputs!$J$5:$AZ$5,0))</f>
        <v/>
      </c>
      <c r="AO226" s="24">
        <f>INDEX(MTInputs!$J$1:$AZ$415,$D226,MATCH(AO$5,MTInputs!$J$5:$AZ$5,0))</f>
        <v/>
      </c>
      <c r="AP226" s="24">
        <f>INDEX(MTInputs!$J$1:$AZ$415,$D226,MATCH(AP$5,MTInputs!$J$5:$AZ$5,0))</f>
        <v/>
      </c>
      <c r="AQ226" s="24">
        <f>INDEX(MTInputs!$J$1:$AZ$415,$D226,MATCH(AQ$5,MTInputs!$J$5:$AZ$5,0))</f>
        <v/>
      </c>
      <c r="AR226" s="24">
        <f>INDEX(MTInputs!$J$1:$AZ$415,$D226,MATCH(AR$5,MTInputs!$J$5:$AZ$5,0))</f>
        <v/>
      </c>
      <c r="AS226" s="24">
        <f>INDEX(MTInputs!$J$1:$AZ$415,$D226,MATCH(AS$5,MTInputs!$J$5:$AZ$5,0))</f>
        <v/>
      </c>
      <c r="AT226" s="24">
        <f>INDEX(MTInputs!$J$1:$AZ$415,$D226,MATCH(AT$5,MTInputs!$J$5:$AZ$5,0))</f>
        <v/>
      </c>
      <c r="AU226" s="24">
        <f>INDEX(MTInputs!$J$1:$AZ$415,$D226,MATCH(AU$5,MTInputs!$J$5:$AZ$5,0))</f>
        <v/>
      </c>
      <c r="AV226" s="24">
        <f>INDEX(MTInputs!$J$1:$AZ$415,$D226,MATCH(AV$5,MTInputs!$J$5:$AZ$5,0))</f>
        <v/>
      </c>
      <c r="AW226" s="24">
        <f>INDEX(MTInputs!$J$1:$AZ$415,$D226,MATCH(AW$5,MTInputs!$J$5:$AZ$5,0))</f>
        <v/>
      </c>
      <c r="AX226" s="24">
        <f>INDEX(MTInputs!$J$1:$AZ$415,$D226,MATCH(AX$5,MTInputs!$J$5:$AZ$5,0))</f>
        <v/>
      </c>
      <c r="AY226" s="24">
        <f>INDEX(MTInputs!$J$1:$AZ$415,$D226,MATCH(AY$5,MTInputs!$J$5:$AZ$5,0))</f>
        <v/>
      </c>
      <c r="AZ226" s="24">
        <f>INDEX(MTInputs!$J$1:$AZ$415,$D226,MATCH(AZ$5,MTInputs!$J$5:$AZ$5,0))</f>
        <v/>
      </c>
      <c r="BA226" s="24">
        <f>INDEX(MTInputs!$J$1:$AZ$415,$D226,MATCH(BA$5,MTInputs!$J$5:$AZ$5,0))</f>
        <v/>
      </c>
    </row>
    <row r="227" hidden="1" outlineLevel="1">
      <c r="A227" s="14" t="inlineStr">
        <is>
          <t>fbcov</t>
        </is>
      </c>
      <c r="B227" s="14" t="inlineStr">
        <is>
          <t>all</t>
        </is>
      </c>
      <c r="C227" s="14" t="inlineStr">
        <is>
          <t>irn</t>
        </is>
      </c>
      <c r="D227" s="22" t="n">
        <v>75</v>
      </c>
      <c r="H227" s="14">
        <f>INDEX(VarLab,MATCH($A227,VarKey,0))&amp;INDEX(MemLab,MATCH($C227&amp;"|"&amp;$B227,MemKey,0))</f>
        <v/>
      </c>
      <c r="I227" s="14">
        <f>INDEX(VarUnit,MATCH($A227,VarKey,0))</f>
        <v/>
      </c>
      <c r="J227" s="14">
        <f>INDEX(VarSrc,MATCH($A227,VarKey,0))</f>
        <v/>
      </c>
      <c r="K227" s="11">
        <f>CodePrefix&amp;$A227&amp;IF($C227="","","."&amp;$C227&amp;"."&amp;$B227)&amp;INDEX(VarEnd,MATCH($A227,VarKey,0))&amp;K$5</f>
        <v/>
      </c>
      <c r="L227" s="23">
        <f>INDEX(MTInputs!$J$1:$AZ$415,$D227,MATCH(L$5,MTInputs!$J$5:$AZ$5,0))</f>
        <v/>
      </c>
      <c r="M227" s="24">
        <f>INDEX(MTInputs!$J$1:$AZ$415,$D227,MATCH(M$5,MTInputs!$J$5:$AZ$5,0))</f>
        <v/>
      </c>
      <c r="N227" s="24">
        <f>INDEX(MTInputs!$J$1:$AZ$415,$D227,MATCH(N$5,MTInputs!$J$5:$AZ$5,0))</f>
        <v/>
      </c>
      <c r="O227" s="24">
        <f>INDEX(MTInputs!$J$1:$AZ$415,$D227,MATCH(O$5,MTInputs!$J$5:$AZ$5,0))</f>
        <v/>
      </c>
      <c r="P227" s="24">
        <f>INDEX(MTInputs!$J$1:$AZ$415,$D227,MATCH(P$5,MTInputs!$J$5:$AZ$5,0))</f>
        <v/>
      </c>
      <c r="Q227" s="24">
        <f>INDEX(MTInputs!$J$1:$AZ$415,$D227,MATCH(Q$5,MTInputs!$J$5:$AZ$5,0))</f>
        <v/>
      </c>
      <c r="R227" s="24">
        <f>INDEX(MTInputs!$J$1:$AZ$415,$D227,MATCH(R$5,MTInputs!$J$5:$AZ$5,0))</f>
        <v/>
      </c>
      <c r="S227" s="24">
        <f>INDEX(MTInputs!$J$1:$AZ$415,$D227,MATCH(S$5,MTInputs!$J$5:$AZ$5,0))</f>
        <v/>
      </c>
      <c r="T227" s="24">
        <f>INDEX(MTInputs!$J$1:$AZ$415,$D227,MATCH(T$5,MTInputs!$J$5:$AZ$5,0))</f>
        <v/>
      </c>
      <c r="U227" s="24">
        <f>INDEX(MTInputs!$J$1:$AZ$415,$D227,MATCH(U$5,MTInputs!$J$5:$AZ$5,0))</f>
        <v/>
      </c>
      <c r="V227" s="24">
        <f>INDEX(MTInputs!$J$1:$AZ$415,$D227,MATCH(V$5,MTInputs!$J$5:$AZ$5,0))</f>
        <v/>
      </c>
      <c r="W227" s="24">
        <f>INDEX(MTInputs!$J$1:$AZ$415,$D227,MATCH(W$5,MTInputs!$J$5:$AZ$5,0))</f>
        <v/>
      </c>
      <c r="X227" s="24">
        <f>INDEX(MTInputs!$J$1:$AZ$415,$D227,MATCH(X$5,MTInputs!$J$5:$AZ$5,0))</f>
        <v/>
      </c>
      <c r="Y227" s="24">
        <f>INDEX(MTInputs!$J$1:$AZ$415,$D227,MATCH(Y$5,MTInputs!$J$5:$AZ$5,0))</f>
        <v/>
      </c>
      <c r="Z227" s="24">
        <f>INDEX(MTInputs!$J$1:$AZ$415,$D227,MATCH(Z$5,MTInputs!$J$5:$AZ$5,0))</f>
        <v/>
      </c>
      <c r="AA227" s="24">
        <f>INDEX(MTInputs!$J$1:$AZ$415,$D227,MATCH(AA$5,MTInputs!$J$5:$AZ$5,0))</f>
        <v/>
      </c>
      <c r="AB227" s="24">
        <f>INDEX(MTInputs!$J$1:$AZ$415,$D227,MATCH(AB$5,MTInputs!$J$5:$AZ$5,0))</f>
        <v/>
      </c>
      <c r="AC227" s="24">
        <f>INDEX(MTInputs!$J$1:$AZ$415,$D227,MATCH(AC$5,MTInputs!$J$5:$AZ$5,0))</f>
        <v/>
      </c>
      <c r="AD227" s="24">
        <f>INDEX(MTInputs!$J$1:$AZ$415,$D227,MATCH(AD$5,MTInputs!$J$5:$AZ$5,0))</f>
        <v/>
      </c>
      <c r="AE227" s="24">
        <f>INDEX(MTInputs!$J$1:$AZ$415,$D227,MATCH(AE$5,MTInputs!$J$5:$AZ$5,0))</f>
        <v/>
      </c>
      <c r="AG227" s="11">
        <f>CodePrefix&amp;$A227&amp;IF($C227="","","."&amp;$C227&amp;"."&amp;$B227)&amp;INDEX(VarEnd,MATCH($A227,VarKey,0))&amp;AG$5</f>
        <v/>
      </c>
      <c r="AH227" s="23">
        <f>INDEX(MTInputs!$J$1:$AZ$415,$D227,MATCH(AH$5,MTInputs!$J$5:$AZ$5,0))</f>
        <v/>
      </c>
      <c r="AI227" s="24">
        <f>INDEX(MTInputs!$J$1:$AZ$415,$D227,MATCH(AI$5,MTInputs!$J$5:$AZ$5,0))</f>
        <v/>
      </c>
      <c r="AJ227" s="24">
        <f>INDEX(MTInputs!$J$1:$AZ$415,$D227,MATCH(AJ$5,MTInputs!$J$5:$AZ$5,0))</f>
        <v/>
      </c>
      <c r="AK227" s="24">
        <f>INDEX(MTInputs!$J$1:$AZ$415,$D227,MATCH(AK$5,MTInputs!$J$5:$AZ$5,0))</f>
        <v/>
      </c>
      <c r="AL227" s="24">
        <f>INDEX(MTInputs!$J$1:$AZ$415,$D227,MATCH(AL$5,MTInputs!$J$5:$AZ$5,0))</f>
        <v/>
      </c>
      <c r="AM227" s="24">
        <f>INDEX(MTInputs!$J$1:$AZ$415,$D227,MATCH(AM$5,MTInputs!$J$5:$AZ$5,0))</f>
        <v/>
      </c>
      <c r="AN227" s="24">
        <f>INDEX(MTInputs!$J$1:$AZ$415,$D227,MATCH(AN$5,MTInputs!$J$5:$AZ$5,0))</f>
        <v/>
      </c>
      <c r="AO227" s="24">
        <f>INDEX(MTInputs!$J$1:$AZ$415,$D227,MATCH(AO$5,MTInputs!$J$5:$AZ$5,0))</f>
        <v/>
      </c>
      <c r="AP227" s="24">
        <f>INDEX(MTInputs!$J$1:$AZ$415,$D227,MATCH(AP$5,MTInputs!$J$5:$AZ$5,0))</f>
        <v/>
      </c>
      <c r="AQ227" s="24">
        <f>INDEX(MTInputs!$J$1:$AZ$415,$D227,MATCH(AQ$5,MTInputs!$J$5:$AZ$5,0))</f>
        <v/>
      </c>
      <c r="AR227" s="24">
        <f>INDEX(MTInputs!$J$1:$AZ$415,$D227,MATCH(AR$5,MTInputs!$J$5:$AZ$5,0))</f>
        <v/>
      </c>
      <c r="AS227" s="24">
        <f>INDEX(MTInputs!$J$1:$AZ$415,$D227,MATCH(AS$5,MTInputs!$J$5:$AZ$5,0))</f>
        <v/>
      </c>
      <c r="AT227" s="24">
        <f>INDEX(MTInputs!$J$1:$AZ$415,$D227,MATCH(AT$5,MTInputs!$J$5:$AZ$5,0))</f>
        <v/>
      </c>
      <c r="AU227" s="24">
        <f>INDEX(MTInputs!$J$1:$AZ$415,$D227,MATCH(AU$5,MTInputs!$J$5:$AZ$5,0))</f>
        <v/>
      </c>
      <c r="AV227" s="24">
        <f>INDEX(MTInputs!$J$1:$AZ$415,$D227,MATCH(AV$5,MTInputs!$J$5:$AZ$5,0))</f>
        <v/>
      </c>
      <c r="AW227" s="24">
        <f>INDEX(MTInputs!$J$1:$AZ$415,$D227,MATCH(AW$5,MTInputs!$J$5:$AZ$5,0))</f>
        <v/>
      </c>
      <c r="AX227" s="24">
        <f>INDEX(MTInputs!$J$1:$AZ$415,$D227,MATCH(AX$5,MTInputs!$J$5:$AZ$5,0))</f>
        <v/>
      </c>
      <c r="AY227" s="24">
        <f>INDEX(MTInputs!$J$1:$AZ$415,$D227,MATCH(AY$5,MTInputs!$J$5:$AZ$5,0))</f>
        <v/>
      </c>
      <c r="AZ227" s="24">
        <f>INDEX(MTInputs!$J$1:$AZ$415,$D227,MATCH(AZ$5,MTInputs!$J$5:$AZ$5,0))</f>
        <v/>
      </c>
      <c r="BA227" s="24">
        <f>INDEX(MTInputs!$J$1:$AZ$415,$D227,MATCH(BA$5,MTInputs!$J$5:$AZ$5,0))</f>
        <v/>
      </c>
    </row>
    <row r="228" hidden="1" outlineLevel="1">
      <c r="A228" s="14" t="inlineStr">
        <is>
          <t>fbcov</t>
        </is>
      </c>
      <c r="B228" s="14" t="inlineStr">
        <is>
          <t>all</t>
        </is>
      </c>
      <c r="C228" s="14" t="inlineStr">
        <is>
          <t>nfm</t>
        </is>
      </c>
      <c r="D228" s="22" t="n">
        <v>76</v>
      </c>
      <c r="H228" s="14">
        <f>INDEX(VarLab,MATCH($A228,VarKey,0))&amp;INDEX(MemLab,MATCH($C228&amp;"|"&amp;$B228,MemKey,0))</f>
        <v/>
      </c>
      <c r="I228" s="14">
        <f>INDEX(VarUnit,MATCH($A228,VarKey,0))</f>
        <v/>
      </c>
      <c r="J228" s="14">
        <f>INDEX(VarSrc,MATCH($A228,VarKey,0))</f>
        <v/>
      </c>
      <c r="K228" s="11">
        <f>CodePrefix&amp;$A228&amp;IF($C228="","","."&amp;$C228&amp;"."&amp;$B228)&amp;INDEX(VarEnd,MATCH($A228,VarKey,0))&amp;K$5</f>
        <v/>
      </c>
      <c r="L228" s="23">
        <f>INDEX(MTInputs!$J$1:$AZ$415,$D228,MATCH(L$5,MTInputs!$J$5:$AZ$5,0))</f>
        <v/>
      </c>
      <c r="M228" s="24">
        <f>INDEX(MTInputs!$J$1:$AZ$415,$D228,MATCH(M$5,MTInputs!$J$5:$AZ$5,0))</f>
        <v/>
      </c>
      <c r="N228" s="24">
        <f>INDEX(MTInputs!$J$1:$AZ$415,$D228,MATCH(N$5,MTInputs!$J$5:$AZ$5,0))</f>
        <v/>
      </c>
      <c r="O228" s="24">
        <f>INDEX(MTInputs!$J$1:$AZ$415,$D228,MATCH(O$5,MTInputs!$J$5:$AZ$5,0))</f>
        <v/>
      </c>
      <c r="P228" s="24">
        <f>INDEX(MTInputs!$J$1:$AZ$415,$D228,MATCH(P$5,MTInputs!$J$5:$AZ$5,0))</f>
        <v/>
      </c>
      <c r="Q228" s="24">
        <f>INDEX(MTInputs!$J$1:$AZ$415,$D228,MATCH(Q$5,MTInputs!$J$5:$AZ$5,0))</f>
        <v/>
      </c>
      <c r="R228" s="24">
        <f>INDEX(MTInputs!$J$1:$AZ$415,$D228,MATCH(R$5,MTInputs!$J$5:$AZ$5,0))</f>
        <v/>
      </c>
      <c r="S228" s="24">
        <f>INDEX(MTInputs!$J$1:$AZ$415,$D228,MATCH(S$5,MTInputs!$J$5:$AZ$5,0))</f>
        <v/>
      </c>
      <c r="T228" s="24">
        <f>INDEX(MTInputs!$J$1:$AZ$415,$D228,MATCH(T$5,MTInputs!$J$5:$AZ$5,0))</f>
        <v/>
      </c>
      <c r="U228" s="24">
        <f>INDEX(MTInputs!$J$1:$AZ$415,$D228,MATCH(U$5,MTInputs!$J$5:$AZ$5,0))</f>
        <v/>
      </c>
      <c r="V228" s="24">
        <f>INDEX(MTInputs!$J$1:$AZ$415,$D228,MATCH(V$5,MTInputs!$J$5:$AZ$5,0))</f>
        <v/>
      </c>
      <c r="W228" s="24">
        <f>INDEX(MTInputs!$J$1:$AZ$415,$D228,MATCH(W$5,MTInputs!$J$5:$AZ$5,0))</f>
        <v/>
      </c>
      <c r="X228" s="24">
        <f>INDEX(MTInputs!$J$1:$AZ$415,$D228,MATCH(X$5,MTInputs!$J$5:$AZ$5,0))</f>
        <v/>
      </c>
      <c r="Y228" s="24">
        <f>INDEX(MTInputs!$J$1:$AZ$415,$D228,MATCH(Y$5,MTInputs!$J$5:$AZ$5,0))</f>
        <v/>
      </c>
      <c r="Z228" s="24">
        <f>INDEX(MTInputs!$J$1:$AZ$415,$D228,MATCH(Z$5,MTInputs!$J$5:$AZ$5,0))</f>
        <v/>
      </c>
      <c r="AA228" s="24">
        <f>INDEX(MTInputs!$J$1:$AZ$415,$D228,MATCH(AA$5,MTInputs!$J$5:$AZ$5,0))</f>
        <v/>
      </c>
      <c r="AB228" s="24">
        <f>INDEX(MTInputs!$J$1:$AZ$415,$D228,MATCH(AB$5,MTInputs!$J$5:$AZ$5,0))</f>
        <v/>
      </c>
      <c r="AC228" s="24">
        <f>INDEX(MTInputs!$J$1:$AZ$415,$D228,MATCH(AC$5,MTInputs!$J$5:$AZ$5,0))</f>
        <v/>
      </c>
      <c r="AD228" s="24">
        <f>INDEX(MTInputs!$J$1:$AZ$415,$D228,MATCH(AD$5,MTInputs!$J$5:$AZ$5,0))</f>
        <v/>
      </c>
      <c r="AE228" s="24">
        <f>INDEX(MTInputs!$J$1:$AZ$415,$D228,MATCH(AE$5,MTInputs!$J$5:$AZ$5,0))</f>
        <v/>
      </c>
      <c r="AG228" s="11">
        <f>CodePrefix&amp;$A228&amp;IF($C228="","","."&amp;$C228&amp;"."&amp;$B228)&amp;INDEX(VarEnd,MATCH($A228,VarKey,0))&amp;AG$5</f>
        <v/>
      </c>
      <c r="AH228" s="23">
        <f>INDEX(MTInputs!$J$1:$AZ$415,$D228,MATCH(AH$5,MTInputs!$J$5:$AZ$5,0))</f>
        <v/>
      </c>
      <c r="AI228" s="24">
        <f>INDEX(MTInputs!$J$1:$AZ$415,$D228,MATCH(AI$5,MTInputs!$J$5:$AZ$5,0))</f>
        <v/>
      </c>
      <c r="AJ228" s="24">
        <f>INDEX(MTInputs!$J$1:$AZ$415,$D228,MATCH(AJ$5,MTInputs!$J$5:$AZ$5,0))</f>
        <v/>
      </c>
      <c r="AK228" s="24">
        <f>INDEX(MTInputs!$J$1:$AZ$415,$D228,MATCH(AK$5,MTInputs!$J$5:$AZ$5,0))</f>
        <v/>
      </c>
      <c r="AL228" s="24">
        <f>INDEX(MTInputs!$J$1:$AZ$415,$D228,MATCH(AL$5,MTInputs!$J$5:$AZ$5,0))</f>
        <v/>
      </c>
      <c r="AM228" s="24">
        <f>INDEX(MTInputs!$J$1:$AZ$415,$D228,MATCH(AM$5,MTInputs!$J$5:$AZ$5,0))</f>
        <v/>
      </c>
      <c r="AN228" s="24">
        <f>INDEX(MTInputs!$J$1:$AZ$415,$D228,MATCH(AN$5,MTInputs!$J$5:$AZ$5,0))</f>
        <v/>
      </c>
      <c r="AO228" s="24">
        <f>INDEX(MTInputs!$J$1:$AZ$415,$D228,MATCH(AO$5,MTInputs!$J$5:$AZ$5,0))</f>
        <v/>
      </c>
      <c r="AP228" s="24">
        <f>INDEX(MTInputs!$J$1:$AZ$415,$D228,MATCH(AP$5,MTInputs!$J$5:$AZ$5,0))</f>
        <v/>
      </c>
      <c r="AQ228" s="24">
        <f>INDEX(MTInputs!$J$1:$AZ$415,$D228,MATCH(AQ$5,MTInputs!$J$5:$AZ$5,0))</f>
        <v/>
      </c>
      <c r="AR228" s="24">
        <f>INDEX(MTInputs!$J$1:$AZ$415,$D228,MATCH(AR$5,MTInputs!$J$5:$AZ$5,0))</f>
        <v/>
      </c>
      <c r="AS228" s="24">
        <f>INDEX(MTInputs!$J$1:$AZ$415,$D228,MATCH(AS$5,MTInputs!$J$5:$AZ$5,0))</f>
        <v/>
      </c>
      <c r="AT228" s="24">
        <f>INDEX(MTInputs!$J$1:$AZ$415,$D228,MATCH(AT$5,MTInputs!$J$5:$AZ$5,0))</f>
        <v/>
      </c>
      <c r="AU228" s="24">
        <f>INDEX(MTInputs!$J$1:$AZ$415,$D228,MATCH(AU$5,MTInputs!$J$5:$AZ$5,0))</f>
        <v/>
      </c>
      <c r="AV228" s="24">
        <f>INDEX(MTInputs!$J$1:$AZ$415,$D228,MATCH(AV$5,MTInputs!$J$5:$AZ$5,0))</f>
        <v/>
      </c>
      <c r="AW228" s="24">
        <f>INDEX(MTInputs!$J$1:$AZ$415,$D228,MATCH(AW$5,MTInputs!$J$5:$AZ$5,0))</f>
        <v/>
      </c>
      <c r="AX228" s="24">
        <f>INDEX(MTInputs!$J$1:$AZ$415,$D228,MATCH(AX$5,MTInputs!$J$5:$AZ$5,0))</f>
        <v/>
      </c>
      <c r="AY228" s="24">
        <f>INDEX(MTInputs!$J$1:$AZ$415,$D228,MATCH(AY$5,MTInputs!$J$5:$AZ$5,0))</f>
        <v/>
      </c>
      <c r="AZ228" s="24">
        <f>INDEX(MTInputs!$J$1:$AZ$415,$D228,MATCH(AZ$5,MTInputs!$J$5:$AZ$5,0))</f>
        <v/>
      </c>
      <c r="BA228" s="24">
        <f>INDEX(MTInputs!$J$1:$AZ$415,$D228,MATCH(BA$5,MTInputs!$J$5:$AZ$5,0))</f>
        <v/>
      </c>
    </row>
    <row r="229" hidden="1" outlineLevel="1">
      <c r="A229" s="14" t="inlineStr">
        <is>
          <t>fbcov</t>
        </is>
      </c>
      <c r="B229" s="14" t="inlineStr">
        <is>
          <t>all</t>
        </is>
      </c>
      <c r="C229" s="14" t="inlineStr">
        <is>
          <t>mac</t>
        </is>
      </c>
      <c r="D229" s="22" t="n">
        <v>77</v>
      </c>
      <c r="H229" s="14">
        <f>INDEX(VarLab,MATCH($A229,VarKey,0))&amp;INDEX(MemLab,MATCH($C229&amp;"|"&amp;$B229,MemKey,0))</f>
        <v/>
      </c>
      <c r="I229" s="14">
        <f>INDEX(VarUnit,MATCH($A229,VarKey,0))</f>
        <v/>
      </c>
      <c r="J229" s="14">
        <f>INDEX(VarSrc,MATCH($A229,VarKey,0))</f>
        <v/>
      </c>
      <c r="K229" s="11">
        <f>CodePrefix&amp;$A229&amp;IF($C229="","","."&amp;$C229&amp;"."&amp;$B229)&amp;INDEX(VarEnd,MATCH($A229,VarKey,0))&amp;K$5</f>
        <v/>
      </c>
      <c r="L229" s="23">
        <f>INDEX(MTInputs!$J$1:$AZ$415,$D229,MATCH(L$5,MTInputs!$J$5:$AZ$5,0))</f>
        <v/>
      </c>
      <c r="M229" s="24">
        <f>INDEX(MTInputs!$J$1:$AZ$415,$D229,MATCH(M$5,MTInputs!$J$5:$AZ$5,0))</f>
        <v/>
      </c>
      <c r="N229" s="24">
        <f>INDEX(MTInputs!$J$1:$AZ$415,$D229,MATCH(N$5,MTInputs!$J$5:$AZ$5,0))</f>
        <v/>
      </c>
      <c r="O229" s="24">
        <f>INDEX(MTInputs!$J$1:$AZ$415,$D229,MATCH(O$5,MTInputs!$J$5:$AZ$5,0))</f>
        <v/>
      </c>
      <c r="P229" s="24">
        <f>INDEX(MTInputs!$J$1:$AZ$415,$D229,MATCH(P$5,MTInputs!$J$5:$AZ$5,0))</f>
        <v/>
      </c>
      <c r="Q229" s="24">
        <f>INDEX(MTInputs!$J$1:$AZ$415,$D229,MATCH(Q$5,MTInputs!$J$5:$AZ$5,0))</f>
        <v/>
      </c>
      <c r="R229" s="24">
        <f>INDEX(MTInputs!$J$1:$AZ$415,$D229,MATCH(R$5,MTInputs!$J$5:$AZ$5,0))</f>
        <v/>
      </c>
      <c r="S229" s="24">
        <f>INDEX(MTInputs!$J$1:$AZ$415,$D229,MATCH(S$5,MTInputs!$J$5:$AZ$5,0))</f>
        <v/>
      </c>
      <c r="T229" s="24">
        <f>INDEX(MTInputs!$J$1:$AZ$415,$D229,MATCH(T$5,MTInputs!$J$5:$AZ$5,0))</f>
        <v/>
      </c>
      <c r="U229" s="24">
        <f>INDEX(MTInputs!$J$1:$AZ$415,$D229,MATCH(U$5,MTInputs!$J$5:$AZ$5,0))</f>
        <v/>
      </c>
      <c r="V229" s="24">
        <f>INDEX(MTInputs!$J$1:$AZ$415,$D229,MATCH(V$5,MTInputs!$J$5:$AZ$5,0))</f>
        <v/>
      </c>
      <c r="W229" s="24">
        <f>INDEX(MTInputs!$J$1:$AZ$415,$D229,MATCH(W$5,MTInputs!$J$5:$AZ$5,0))</f>
        <v/>
      </c>
      <c r="X229" s="24">
        <f>INDEX(MTInputs!$J$1:$AZ$415,$D229,MATCH(X$5,MTInputs!$J$5:$AZ$5,0))</f>
        <v/>
      </c>
      <c r="Y229" s="24">
        <f>INDEX(MTInputs!$J$1:$AZ$415,$D229,MATCH(Y$5,MTInputs!$J$5:$AZ$5,0))</f>
        <v/>
      </c>
      <c r="Z229" s="24">
        <f>INDEX(MTInputs!$J$1:$AZ$415,$D229,MATCH(Z$5,MTInputs!$J$5:$AZ$5,0))</f>
        <v/>
      </c>
      <c r="AA229" s="24">
        <f>INDEX(MTInputs!$J$1:$AZ$415,$D229,MATCH(AA$5,MTInputs!$J$5:$AZ$5,0))</f>
        <v/>
      </c>
      <c r="AB229" s="24">
        <f>INDEX(MTInputs!$J$1:$AZ$415,$D229,MATCH(AB$5,MTInputs!$J$5:$AZ$5,0))</f>
        <v/>
      </c>
      <c r="AC229" s="24">
        <f>INDEX(MTInputs!$J$1:$AZ$415,$D229,MATCH(AC$5,MTInputs!$J$5:$AZ$5,0))</f>
        <v/>
      </c>
      <c r="AD229" s="24">
        <f>INDEX(MTInputs!$J$1:$AZ$415,$D229,MATCH(AD$5,MTInputs!$J$5:$AZ$5,0))</f>
        <v/>
      </c>
      <c r="AE229" s="24">
        <f>INDEX(MTInputs!$J$1:$AZ$415,$D229,MATCH(AE$5,MTInputs!$J$5:$AZ$5,0))</f>
        <v/>
      </c>
      <c r="AG229" s="11">
        <f>CodePrefix&amp;$A229&amp;IF($C229="","","."&amp;$C229&amp;"."&amp;$B229)&amp;INDEX(VarEnd,MATCH($A229,VarKey,0))&amp;AG$5</f>
        <v/>
      </c>
      <c r="AH229" s="23">
        <f>INDEX(MTInputs!$J$1:$AZ$415,$D229,MATCH(AH$5,MTInputs!$J$5:$AZ$5,0))</f>
        <v/>
      </c>
      <c r="AI229" s="24">
        <f>INDEX(MTInputs!$J$1:$AZ$415,$D229,MATCH(AI$5,MTInputs!$J$5:$AZ$5,0))</f>
        <v/>
      </c>
      <c r="AJ229" s="24">
        <f>INDEX(MTInputs!$J$1:$AZ$415,$D229,MATCH(AJ$5,MTInputs!$J$5:$AZ$5,0))</f>
        <v/>
      </c>
      <c r="AK229" s="24">
        <f>INDEX(MTInputs!$J$1:$AZ$415,$D229,MATCH(AK$5,MTInputs!$J$5:$AZ$5,0))</f>
        <v/>
      </c>
      <c r="AL229" s="24">
        <f>INDEX(MTInputs!$J$1:$AZ$415,$D229,MATCH(AL$5,MTInputs!$J$5:$AZ$5,0))</f>
        <v/>
      </c>
      <c r="AM229" s="24">
        <f>INDEX(MTInputs!$J$1:$AZ$415,$D229,MATCH(AM$5,MTInputs!$J$5:$AZ$5,0))</f>
        <v/>
      </c>
      <c r="AN229" s="24">
        <f>INDEX(MTInputs!$J$1:$AZ$415,$D229,MATCH(AN$5,MTInputs!$J$5:$AZ$5,0))</f>
        <v/>
      </c>
      <c r="AO229" s="24">
        <f>INDEX(MTInputs!$J$1:$AZ$415,$D229,MATCH(AO$5,MTInputs!$J$5:$AZ$5,0))</f>
        <v/>
      </c>
      <c r="AP229" s="24">
        <f>INDEX(MTInputs!$J$1:$AZ$415,$D229,MATCH(AP$5,MTInputs!$J$5:$AZ$5,0))</f>
        <v/>
      </c>
      <c r="AQ229" s="24">
        <f>INDEX(MTInputs!$J$1:$AZ$415,$D229,MATCH(AQ$5,MTInputs!$J$5:$AZ$5,0))</f>
        <v/>
      </c>
      <c r="AR229" s="24">
        <f>INDEX(MTInputs!$J$1:$AZ$415,$D229,MATCH(AR$5,MTInputs!$J$5:$AZ$5,0))</f>
        <v/>
      </c>
      <c r="AS229" s="24">
        <f>INDEX(MTInputs!$J$1:$AZ$415,$D229,MATCH(AS$5,MTInputs!$J$5:$AZ$5,0))</f>
        <v/>
      </c>
      <c r="AT229" s="24">
        <f>INDEX(MTInputs!$J$1:$AZ$415,$D229,MATCH(AT$5,MTInputs!$J$5:$AZ$5,0))</f>
        <v/>
      </c>
      <c r="AU229" s="24">
        <f>INDEX(MTInputs!$J$1:$AZ$415,$D229,MATCH(AU$5,MTInputs!$J$5:$AZ$5,0))</f>
        <v/>
      </c>
      <c r="AV229" s="24">
        <f>INDEX(MTInputs!$J$1:$AZ$415,$D229,MATCH(AV$5,MTInputs!$J$5:$AZ$5,0))</f>
        <v/>
      </c>
      <c r="AW229" s="24">
        <f>INDEX(MTInputs!$J$1:$AZ$415,$D229,MATCH(AW$5,MTInputs!$J$5:$AZ$5,0))</f>
        <v/>
      </c>
      <c r="AX229" s="24">
        <f>INDEX(MTInputs!$J$1:$AZ$415,$D229,MATCH(AX$5,MTInputs!$J$5:$AZ$5,0))</f>
        <v/>
      </c>
      <c r="AY229" s="24">
        <f>INDEX(MTInputs!$J$1:$AZ$415,$D229,MATCH(AY$5,MTInputs!$J$5:$AZ$5,0))</f>
        <v/>
      </c>
      <c r="AZ229" s="24">
        <f>INDEX(MTInputs!$J$1:$AZ$415,$D229,MATCH(AZ$5,MTInputs!$J$5:$AZ$5,0))</f>
        <v/>
      </c>
      <c r="BA229" s="24">
        <f>INDEX(MTInputs!$J$1:$AZ$415,$D229,MATCH(BA$5,MTInputs!$J$5:$AZ$5,0))</f>
        <v/>
      </c>
    </row>
    <row r="230" hidden="1" outlineLevel="1">
      <c r="A230" s="14" t="inlineStr">
        <is>
          <t>fbcov</t>
        </is>
      </c>
      <c r="B230" s="14" t="inlineStr">
        <is>
          <t>all</t>
        </is>
      </c>
      <c r="C230" s="14" t="inlineStr">
        <is>
          <t>cem</t>
        </is>
      </c>
      <c r="D230" s="22" t="n">
        <v>78</v>
      </c>
      <c r="H230" s="14">
        <f>INDEX(VarLab,MATCH($A230,VarKey,0))&amp;INDEX(MemLab,MATCH($C230&amp;"|"&amp;$B230,MemKey,0))</f>
        <v/>
      </c>
      <c r="I230" s="14">
        <f>INDEX(VarUnit,MATCH($A230,VarKey,0))</f>
        <v/>
      </c>
      <c r="J230" s="14">
        <f>INDEX(VarSrc,MATCH($A230,VarKey,0))</f>
        <v/>
      </c>
      <c r="K230" s="11">
        <f>CodePrefix&amp;$A230&amp;IF($C230="","","."&amp;$C230&amp;"."&amp;$B230)&amp;INDEX(VarEnd,MATCH($A230,VarKey,0))&amp;K$5</f>
        <v/>
      </c>
      <c r="L230" s="23">
        <f>INDEX(MTInputs!$J$1:$AZ$415,$D230,MATCH(L$5,MTInputs!$J$5:$AZ$5,0))</f>
        <v/>
      </c>
      <c r="M230" s="24">
        <f>INDEX(MTInputs!$J$1:$AZ$415,$D230,MATCH(M$5,MTInputs!$J$5:$AZ$5,0))</f>
        <v/>
      </c>
      <c r="N230" s="24">
        <f>INDEX(MTInputs!$J$1:$AZ$415,$D230,MATCH(N$5,MTInputs!$J$5:$AZ$5,0))</f>
        <v/>
      </c>
      <c r="O230" s="24">
        <f>INDEX(MTInputs!$J$1:$AZ$415,$D230,MATCH(O$5,MTInputs!$J$5:$AZ$5,0))</f>
        <v/>
      </c>
      <c r="P230" s="24">
        <f>INDEX(MTInputs!$J$1:$AZ$415,$D230,MATCH(P$5,MTInputs!$J$5:$AZ$5,0))</f>
        <v/>
      </c>
      <c r="Q230" s="24">
        <f>INDEX(MTInputs!$J$1:$AZ$415,$D230,MATCH(Q$5,MTInputs!$J$5:$AZ$5,0))</f>
        <v/>
      </c>
      <c r="R230" s="24">
        <f>INDEX(MTInputs!$J$1:$AZ$415,$D230,MATCH(R$5,MTInputs!$J$5:$AZ$5,0))</f>
        <v/>
      </c>
      <c r="S230" s="24">
        <f>INDEX(MTInputs!$J$1:$AZ$415,$D230,MATCH(S$5,MTInputs!$J$5:$AZ$5,0))</f>
        <v/>
      </c>
      <c r="T230" s="24">
        <f>INDEX(MTInputs!$J$1:$AZ$415,$D230,MATCH(T$5,MTInputs!$J$5:$AZ$5,0))</f>
        <v/>
      </c>
      <c r="U230" s="24">
        <f>INDEX(MTInputs!$J$1:$AZ$415,$D230,MATCH(U$5,MTInputs!$J$5:$AZ$5,0))</f>
        <v/>
      </c>
      <c r="V230" s="24">
        <f>INDEX(MTInputs!$J$1:$AZ$415,$D230,MATCH(V$5,MTInputs!$J$5:$AZ$5,0))</f>
        <v/>
      </c>
      <c r="W230" s="24">
        <f>INDEX(MTInputs!$J$1:$AZ$415,$D230,MATCH(W$5,MTInputs!$J$5:$AZ$5,0))</f>
        <v/>
      </c>
      <c r="X230" s="24">
        <f>INDEX(MTInputs!$J$1:$AZ$415,$D230,MATCH(X$5,MTInputs!$J$5:$AZ$5,0))</f>
        <v/>
      </c>
      <c r="Y230" s="24">
        <f>INDEX(MTInputs!$J$1:$AZ$415,$D230,MATCH(Y$5,MTInputs!$J$5:$AZ$5,0))</f>
        <v/>
      </c>
      <c r="Z230" s="24">
        <f>INDEX(MTInputs!$J$1:$AZ$415,$D230,MATCH(Z$5,MTInputs!$J$5:$AZ$5,0))</f>
        <v/>
      </c>
      <c r="AA230" s="24">
        <f>INDEX(MTInputs!$J$1:$AZ$415,$D230,MATCH(AA$5,MTInputs!$J$5:$AZ$5,0))</f>
        <v/>
      </c>
      <c r="AB230" s="24">
        <f>INDEX(MTInputs!$J$1:$AZ$415,$D230,MATCH(AB$5,MTInputs!$J$5:$AZ$5,0))</f>
        <v/>
      </c>
      <c r="AC230" s="24">
        <f>INDEX(MTInputs!$J$1:$AZ$415,$D230,MATCH(AC$5,MTInputs!$J$5:$AZ$5,0))</f>
        <v/>
      </c>
      <c r="AD230" s="24">
        <f>INDEX(MTInputs!$J$1:$AZ$415,$D230,MATCH(AD$5,MTInputs!$J$5:$AZ$5,0))</f>
        <v/>
      </c>
      <c r="AE230" s="24">
        <f>INDEX(MTInputs!$J$1:$AZ$415,$D230,MATCH(AE$5,MTInputs!$J$5:$AZ$5,0))</f>
        <v/>
      </c>
      <c r="AG230" s="11">
        <f>CodePrefix&amp;$A230&amp;IF($C230="","","."&amp;$C230&amp;"."&amp;$B230)&amp;INDEX(VarEnd,MATCH($A230,VarKey,0))&amp;AG$5</f>
        <v/>
      </c>
      <c r="AH230" s="23">
        <f>INDEX(MTInputs!$J$1:$AZ$415,$D230,MATCH(AH$5,MTInputs!$J$5:$AZ$5,0))</f>
        <v/>
      </c>
      <c r="AI230" s="24">
        <f>INDEX(MTInputs!$J$1:$AZ$415,$D230,MATCH(AI$5,MTInputs!$J$5:$AZ$5,0))</f>
        <v/>
      </c>
      <c r="AJ230" s="24">
        <f>INDEX(MTInputs!$J$1:$AZ$415,$D230,MATCH(AJ$5,MTInputs!$J$5:$AZ$5,0))</f>
        <v/>
      </c>
      <c r="AK230" s="24">
        <f>INDEX(MTInputs!$J$1:$AZ$415,$D230,MATCH(AK$5,MTInputs!$J$5:$AZ$5,0))</f>
        <v/>
      </c>
      <c r="AL230" s="24">
        <f>INDEX(MTInputs!$J$1:$AZ$415,$D230,MATCH(AL$5,MTInputs!$J$5:$AZ$5,0))</f>
        <v/>
      </c>
      <c r="AM230" s="24">
        <f>INDEX(MTInputs!$J$1:$AZ$415,$D230,MATCH(AM$5,MTInputs!$J$5:$AZ$5,0))</f>
        <v/>
      </c>
      <c r="AN230" s="24">
        <f>INDEX(MTInputs!$J$1:$AZ$415,$D230,MATCH(AN$5,MTInputs!$J$5:$AZ$5,0))</f>
        <v/>
      </c>
      <c r="AO230" s="24">
        <f>INDEX(MTInputs!$J$1:$AZ$415,$D230,MATCH(AO$5,MTInputs!$J$5:$AZ$5,0))</f>
        <v/>
      </c>
      <c r="AP230" s="24">
        <f>INDEX(MTInputs!$J$1:$AZ$415,$D230,MATCH(AP$5,MTInputs!$J$5:$AZ$5,0))</f>
        <v/>
      </c>
      <c r="AQ230" s="24">
        <f>INDEX(MTInputs!$J$1:$AZ$415,$D230,MATCH(AQ$5,MTInputs!$J$5:$AZ$5,0))</f>
        <v/>
      </c>
      <c r="AR230" s="24">
        <f>INDEX(MTInputs!$J$1:$AZ$415,$D230,MATCH(AR$5,MTInputs!$J$5:$AZ$5,0))</f>
        <v/>
      </c>
      <c r="AS230" s="24">
        <f>INDEX(MTInputs!$J$1:$AZ$415,$D230,MATCH(AS$5,MTInputs!$J$5:$AZ$5,0))</f>
        <v/>
      </c>
      <c r="AT230" s="24">
        <f>INDEX(MTInputs!$J$1:$AZ$415,$D230,MATCH(AT$5,MTInputs!$J$5:$AZ$5,0))</f>
        <v/>
      </c>
      <c r="AU230" s="24">
        <f>INDEX(MTInputs!$J$1:$AZ$415,$D230,MATCH(AU$5,MTInputs!$J$5:$AZ$5,0))</f>
        <v/>
      </c>
      <c r="AV230" s="24">
        <f>INDEX(MTInputs!$J$1:$AZ$415,$D230,MATCH(AV$5,MTInputs!$J$5:$AZ$5,0))</f>
        <v/>
      </c>
      <c r="AW230" s="24">
        <f>INDEX(MTInputs!$J$1:$AZ$415,$D230,MATCH(AW$5,MTInputs!$J$5:$AZ$5,0))</f>
        <v/>
      </c>
      <c r="AX230" s="24">
        <f>INDEX(MTInputs!$J$1:$AZ$415,$D230,MATCH(AX$5,MTInputs!$J$5:$AZ$5,0))</f>
        <v/>
      </c>
      <c r="AY230" s="24">
        <f>INDEX(MTInputs!$J$1:$AZ$415,$D230,MATCH(AY$5,MTInputs!$J$5:$AZ$5,0))</f>
        <v/>
      </c>
      <c r="AZ230" s="24">
        <f>INDEX(MTInputs!$J$1:$AZ$415,$D230,MATCH(AZ$5,MTInputs!$J$5:$AZ$5,0))</f>
        <v/>
      </c>
      <c r="BA230" s="24">
        <f>INDEX(MTInputs!$J$1:$AZ$415,$D230,MATCH(BA$5,MTInputs!$J$5:$AZ$5,0))</f>
        <v/>
      </c>
    </row>
    <row r="231" hidden="1" outlineLevel="1">
      <c r="A231" s="14" t="inlineStr">
        <is>
          <t>fbcov</t>
        </is>
      </c>
      <c r="B231" s="14" t="inlineStr">
        <is>
          <t>all</t>
        </is>
      </c>
      <c r="C231" s="14" t="inlineStr">
        <is>
          <t>omn</t>
        </is>
      </c>
      <c r="D231" s="22" t="n">
        <v>79</v>
      </c>
      <c r="H231" s="14">
        <f>INDEX(VarLab,MATCH($A231,VarKey,0))&amp;INDEX(MemLab,MATCH($C231&amp;"|"&amp;$B231,MemKey,0))</f>
        <v/>
      </c>
      <c r="I231" s="14">
        <f>INDEX(VarUnit,MATCH($A231,VarKey,0))</f>
        <v/>
      </c>
      <c r="J231" s="14">
        <f>INDEX(VarSrc,MATCH($A231,VarKey,0))</f>
        <v/>
      </c>
      <c r="K231" s="11">
        <f>CodePrefix&amp;$A231&amp;IF($C231="","","."&amp;$C231&amp;"."&amp;$B231)&amp;INDEX(VarEnd,MATCH($A231,VarKey,0))&amp;K$5</f>
        <v/>
      </c>
      <c r="L231" s="23">
        <f>INDEX(MTInputs!$J$1:$AZ$415,$D231,MATCH(L$5,MTInputs!$J$5:$AZ$5,0))</f>
        <v/>
      </c>
      <c r="M231" s="24">
        <f>INDEX(MTInputs!$J$1:$AZ$415,$D231,MATCH(M$5,MTInputs!$J$5:$AZ$5,0))</f>
        <v/>
      </c>
      <c r="N231" s="24">
        <f>INDEX(MTInputs!$J$1:$AZ$415,$D231,MATCH(N$5,MTInputs!$J$5:$AZ$5,0))</f>
        <v/>
      </c>
      <c r="O231" s="24">
        <f>INDEX(MTInputs!$J$1:$AZ$415,$D231,MATCH(O$5,MTInputs!$J$5:$AZ$5,0))</f>
        <v/>
      </c>
      <c r="P231" s="24">
        <f>INDEX(MTInputs!$J$1:$AZ$415,$D231,MATCH(P$5,MTInputs!$J$5:$AZ$5,0))</f>
        <v/>
      </c>
      <c r="Q231" s="24">
        <f>INDEX(MTInputs!$J$1:$AZ$415,$D231,MATCH(Q$5,MTInputs!$J$5:$AZ$5,0))</f>
        <v/>
      </c>
      <c r="R231" s="24">
        <f>INDEX(MTInputs!$J$1:$AZ$415,$D231,MATCH(R$5,MTInputs!$J$5:$AZ$5,0))</f>
        <v/>
      </c>
      <c r="S231" s="24">
        <f>INDEX(MTInputs!$J$1:$AZ$415,$D231,MATCH(S$5,MTInputs!$J$5:$AZ$5,0))</f>
        <v/>
      </c>
      <c r="T231" s="24">
        <f>INDEX(MTInputs!$J$1:$AZ$415,$D231,MATCH(T$5,MTInputs!$J$5:$AZ$5,0))</f>
        <v/>
      </c>
      <c r="U231" s="24">
        <f>INDEX(MTInputs!$J$1:$AZ$415,$D231,MATCH(U$5,MTInputs!$J$5:$AZ$5,0))</f>
        <v/>
      </c>
      <c r="V231" s="24">
        <f>INDEX(MTInputs!$J$1:$AZ$415,$D231,MATCH(V$5,MTInputs!$J$5:$AZ$5,0))</f>
        <v/>
      </c>
      <c r="W231" s="24">
        <f>INDEX(MTInputs!$J$1:$AZ$415,$D231,MATCH(W$5,MTInputs!$J$5:$AZ$5,0))</f>
        <v/>
      </c>
      <c r="X231" s="24">
        <f>INDEX(MTInputs!$J$1:$AZ$415,$D231,MATCH(X$5,MTInputs!$J$5:$AZ$5,0))</f>
        <v/>
      </c>
      <c r="Y231" s="24">
        <f>INDEX(MTInputs!$J$1:$AZ$415,$D231,MATCH(Y$5,MTInputs!$J$5:$AZ$5,0))</f>
        <v/>
      </c>
      <c r="Z231" s="24">
        <f>INDEX(MTInputs!$J$1:$AZ$415,$D231,MATCH(Z$5,MTInputs!$J$5:$AZ$5,0))</f>
        <v/>
      </c>
      <c r="AA231" s="24">
        <f>INDEX(MTInputs!$J$1:$AZ$415,$D231,MATCH(AA$5,MTInputs!$J$5:$AZ$5,0))</f>
        <v/>
      </c>
      <c r="AB231" s="24">
        <f>INDEX(MTInputs!$J$1:$AZ$415,$D231,MATCH(AB$5,MTInputs!$J$5:$AZ$5,0))</f>
        <v/>
      </c>
      <c r="AC231" s="24">
        <f>INDEX(MTInputs!$J$1:$AZ$415,$D231,MATCH(AC$5,MTInputs!$J$5:$AZ$5,0))</f>
        <v/>
      </c>
      <c r="AD231" s="24">
        <f>INDEX(MTInputs!$J$1:$AZ$415,$D231,MATCH(AD$5,MTInputs!$J$5:$AZ$5,0))</f>
        <v/>
      </c>
      <c r="AE231" s="24">
        <f>INDEX(MTInputs!$J$1:$AZ$415,$D231,MATCH(AE$5,MTInputs!$J$5:$AZ$5,0))</f>
        <v/>
      </c>
      <c r="AG231" s="11">
        <f>CodePrefix&amp;$A231&amp;IF($C231="","","."&amp;$C231&amp;"."&amp;$B231)&amp;INDEX(VarEnd,MATCH($A231,VarKey,0))&amp;AG$5</f>
        <v/>
      </c>
      <c r="AH231" s="23">
        <f>INDEX(MTInputs!$J$1:$AZ$415,$D231,MATCH(AH$5,MTInputs!$J$5:$AZ$5,0))</f>
        <v/>
      </c>
      <c r="AI231" s="24">
        <f>INDEX(MTInputs!$J$1:$AZ$415,$D231,MATCH(AI$5,MTInputs!$J$5:$AZ$5,0))</f>
        <v/>
      </c>
      <c r="AJ231" s="24">
        <f>INDEX(MTInputs!$J$1:$AZ$415,$D231,MATCH(AJ$5,MTInputs!$J$5:$AZ$5,0))</f>
        <v/>
      </c>
      <c r="AK231" s="24">
        <f>INDEX(MTInputs!$J$1:$AZ$415,$D231,MATCH(AK$5,MTInputs!$J$5:$AZ$5,0))</f>
        <v/>
      </c>
      <c r="AL231" s="24">
        <f>INDEX(MTInputs!$J$1:$AZ$415,$D231,MATCH(AL$5,MTInputs!$J$5:$AZ$5,0))</f>
        <v/>
      </c>
      <c r="AM231" s="24">
        <f>INDEX(MTInputs!$J$1:$AZ$415,$D231,MATCH(AM$5,MTInputs!$J$5:$AZ$5,0))</f>
        <v/>
      </c>
      <c r="AN231" s="24">
        <f>INDEX(MTInputs!$J$1:$AZ$415,$D231,MATCH(AN$5,MTInputs!$J$5:$AZ$5,0))</f>
        <v/>
      </c>
      <c r="AO231" s="24">
        <f>INDEX(MTInputs!$J$1:$AZ$415,$D231,MATCH(AO$5,MTInputs!$J$5:$AZ$5,0))</f>
        <v/>
      </c>
      <c r="AP231" s="24">
        <f>INDEX(MTInputs!$J$1:$AZ$415,$D231,MATCH(AP$5,MTInputs!$J$5:$AZ$5,0))</f>
        <v/>
      </c>
      <c r="AQ231" s="24">
        <f>INDEX(MTInputs!$J$1:$AZ$415,$D231,MATCH(AQ$5,MTInputs!$J$5:$AZ$5,0))</f>
        <v/>
      </c>
      <c r="AR231" s="24">
        <f>INDEX(MTInputs!$J$1:$AZ$415,$D231,MATCH(AR$5,MTInputs!$J$5:$AZ$5,0))</f>
        <v/>
      </c>
      <c r="AS231" s="24">
        <f>INDEX(MTInputs!$J$1:$AZ$415,$D231,MATCH(AS$5,MTInputs!$J$5:$AZ$5,0))</f>
        <v/>
      </c>
      <c r="AT231" s="24">
        <f>INDEX(MTInputs!$J$1:$AZ$415,$D231,MATCH(AT$5,MTInputs!$J$5:$AZ$5,0))</f>
        <v/>
      </c>
      <c r="AU231" s="24">
        <f>INDEX(MTInputs!$J$1:$AZ$415,$D231,MATCH(AU$5,MTInputs!$J$5:$AZ$5,0))</f>
        <v/>
      </c>
      <c r="AV231" s="24">
        <f>INDEX(MTInputs!$J$1:$AZ$415,$D231,MATCH(AV$5,MTInputs!$J$5:$AZ$5,0))</f>
        <v/>
      </c>
      <c r="AW231" s="24">
        <f>INDEX(MTInputs!$J$1:$AZ$415,$D231,MATCH(AW$5,MTInputs!$J$5:$AZ$5,0))</f>
        <v/>
      </c>
      <c r="AX231" s="24">
        <f>INDEX(MTInputs!$J$1:$AZ$415,$D231,MATCH(AX$5,MTInputs!$J$5:$AZ$5,0))</f>
        <v/>
      </c>
      <c r="AY231" s="24">
        <f>INDEX(MTInputs!$J$1:$AZ$415,$D231,MATCH(AY$5,MTInputs!$J$5:$AZ$5,0))</f>
        <v/>
      </c>
      <c r="AZ231" s="24">
        <f>INDEX(MTInputs!$J$1:$AZ$415,$D231,MATCH(AZ$5,MTInputs!$J$5:$AZ$5,0))</f>
        <v/>
      </c>
      <c r="BA231" s="24">
        <f>INDEX(MTInputs!$J$1:$AZ$415,$D231,MATCH(BA$5,MTInputs!$J$5:$AZ$5,0))</f>
        <v/>
      </c>
    </row>
    <row r="232" hidden="1" outlineLevel="1">
      <c r="A232" s="14" t="inlineStr">
        <is>
          <t>fbcov</t>
        </is>
      </c>
      <c r="B232" s="14" t="inlineStr">
        <is>
          <t>all</t>
        </is>
      </c>
      <c r="C232" s="14" t="inlineStr">
        <is>
          <t>cst</t>
        </is>
      </c>
      <c r="D232" s="22" t="n">
        <v>80</v>
      </c>
      <c r="H232" s="14">
        <f>INDEX(VarLab,MATCH($A232,VarKey,0))&amp;INDEX(MemLab,MATCH($C232&amp;"|"&amp;$B232,MemKey,0))</f>
        <v/>
      </c>
      <c r="I232" s="14">
        <f>INDEX(VarUnit,MATCH($A232,VarKey,0))</f>
        <v/>
      </c>
      <c r="J232" s="14">
        <f>INDEX(VarSrc,MATCH($A232,VarKey,0))</f>
        <v/>
      </c>
      <c r="K232" s="11">
        <f>CodePrefix&amp;$A232&amp;IF($C232="","","."&amp;$C232&amp;"."&amp;$B232)&amp;INDEX(VarEnd,MATCH($A232,VarKey,0))&amp;K$5</f>
        <v/>
      </c>
      <c r="L232" s="23">
        <f>INDEX(MTInputs!$J$1:$AZ$415,$D232,MATCH(L$5,MTInputs!$J$5:$AZ$5,0))</f>
        <v/>
      </c>
      <c r="M232" s="24">
        <f>INDEX(MTInputs!$J$1:$AZ$415,$D232,MATCH(M$5,MTInputs!$J$5:$AZ$5,0))</f>
        <v/>
      </c>
      <c r="N232" s="24">
        <f>INDEX(MTInputs!$J$1:$AZ$415,$D232,MATCH(N$5,MTInputs!$J$5:$AZ$5,0))</f>
        <v/>
      </c>
      <c r="O232" s="24">
        <f>INDEX(MTInputs!$J$1:$AZ$415,$D232,MATCH(O$5,MTInputs!$J$5:$AZ$5,0))</f>
        <v/>
      </c>
      <c r="P232" s="24">
        <f>INDEX(MTInputs!$J$1:$AZ$415,$D232,MATCH(P$5,MTInputs!$J$5:$AZ$5,0))</f>
        <v/>
      </c>
      <c r="Q232" s="24">
        <f>INDEX(MTInputs!$J$1:$AZ$415,$D232,MATCH(Q$5,MTInputs!$J$5:$AZ$5,0))</f>
        <v/>
      </c>
      <c r="R232" s="24">
        <f>INDEX(MTInputs!$J$1:$AZ$415,$D232,MATCH(R$5,MTInputs!$J$5:$AZ$5,0))</f>
        <v/>
      </c>
      <c r="S232" s="24">
        <f>INDEX(MTInputs!$J$1:$AZ$415,$D232,MATCH(S$5,MTInputs!$J$5:$AZ$5,0))</f>
        <v/>
      </c>
      <c r="T232" s="24">
        <f>INDEX(MTInputs!$J$1:$AZ$415,$D232,MATCH(T$5,MTInputs!$J$5:$AZ$5,0))</f>
        <v/>
      </c>
      <c r="U232" s="24">
        <f>INDEX(MTInputs!$J$1:$AZ$415,$D232,MATCH(U$5,MTInputs!$J$5:$AZ$5,0))</f>
        <v/>
      </c>
      <c r="V232" s="24">
        <f>INDEX(MTInputs!$J$1:$AZ$415,$D232,MATCH(V$5,MTInputs!$J$5:$AZ$5,0))</f>
        <v/>
      </c>
      <c r="W232" s="24">
        <f>INDEX(MTInputs!$J$1:$AZ$415,$D232,MATCH(W$5,MTInputs!$J$5:$AZ$5,0))</f>
        <v/>
      </c>
      <c r="X232" s="24">
        <f>INDEX(MTInputs!$J$1:$AZ$415,$D232,MATCH(X$5,MTInputs!$J$5:$AZ$5,0))</f>
        <v/>
      </c>
      <c r="Y232" s="24">
        <f>INDEX(MTInputs!$J$1:$AZ$415,$D232,MATCH(Y$5,MTInputs!$J$5:$AZ$5,0))</f>
        <v/>
      </c>
      <c r="Z232" s="24">
        <f>INDEX(MTInputs!$J$1:$AZ$415,$D232,MATCH(Z$5,MTInputs!$J$5:$AZ$5,0))</f>
        <v/>
      </c>
      <c r="AA232" s="24">
        <f>INDEX(MTInputs!$J$1:$AZ$415,$D232,MATCH(AA$5,MTInputs!$J$5:$AZ$5,0))</f>
        <v/>
      </c>
      <c r="AB232" s="24">
        <f>INDEX(MTInputs!$J$1:$AZ$415,$D232,MATCH(AB$5,MTInputs!$J$5:$AZ$5,0))</f>
        <v/>
      </c>
      <c r="AC232" s="24">
        <f>INDEX(MTInputs!$J$1:$AZ$415,$D232,MATCH(AC$5,MTInputs!$J$5:$AZ$5,0))</f>
        <v/>
      </c>
      <c r="AD232" s="24">
        <f>INDEX(MTInputs!$J$1:$AZ$415,$D232,MATCH(AD$5,MTInputs!$J$5:$AZ$5,0))</f>
        <v/>
      </c>
      <c r="AE232" s="24">
        <f>INDEX(MTInputs!$J$1:$AZ$415,$D232,MATCH(AE$5,MTInputs!$J$5:$AZ$5,0))</f>
        <v/>
      </c>
      <c r="AG232" s="11">
        <f>CodePrefix&amp;$A232&amp;IF($C232="","","."&amp;$C232&amp;"."&amp;$B232)&amp;INDEX(VarEnd,MATCH($A232,VarKey,0))&amp;AG$5</f>
        <v/>
      </c>
      <c r="AH232" s="23">
        <f>INDEX(MTInputs!$J$1:$AZ$415,$D232,MATCH(AH$5,MTInputs!$J$5:$AZ$5,0))</f>
        <v/>
      </c>
      <c r="AI232" s="24">
        <f>INDEX(MTInputs!$J$1:$AZ$415,$D232,MATCH(AI$5,MTInputs!$J$5:$AZ$5,0))</f>
        <v/>
      </c>
      <c r="AJ232" s="24">
        <f>INDEX(MTInputs!$J$1:$AZ$415,$D232,MATCH(AJ$5,MTInputs!$J$5:$AZ$5,0))</f>
        <v/>
      </c>
      <c r="AK232" s="24">
        <f>INDEX(MTInputs!$J$1:$AZ$415,$D232,MATCH(AK$5,MTInputs!$J$5:$AZ$5,0))</f>
        <v/>
      </c>
      <c r="AL232" s="24">
        <f>INDEX(MTInputs!$J$1:$AZ$415,$D232,MATCH(AL$5,MTInputs!$J$5:$AZ$5,0))</f>
        <v/>
      </c>
      <c r="AM232" s="24">
        <f>INDEX(MTInputs!$J$1:$AZ$415,$D232,MATCH(AM$5,MTInputs!$J$5:$AZ$5,0))</f>
        <v/>
      </c>
      <c r="AN232" s="24">
        <f>INDEX(MTInputs!$J$1:$AZ$415,$D232,MATCH(AN$5,MTInputs!$J$5:$AZ$5,0))</f>
        <v/>
      </c>
      <c r="AO232" s="24">
        <f>INDEX(MTInputs!$J$1:$AZ$415,$D232,MATCH(AO$5,MTInputs!$J$5:$AZ$5,0))</f>
        <v/>
      </c>
      <c r="AP232" s="24">
        <f>INDEX(MTInputs!$J$1:$AZ$415,$D232,MATCH(AP$5,MTInputs!$J$5:$AZ$5,0))</f>
        <v/>
      </c>
      <c r="AQ232" s="24">
        <f>INDEX(MTInputs!$J$1:$AZ$415,$D232,MATCH(AQ$5,MTInputs!$J$5:$AZ$5,0))</f>
        <v/>
      </c>
      <c r="AR232" s="24">
        <f>INDEX(MTInputs!$J$1:$AZ$415,$D232,MATCH(AR$5,MTInputs!$J$5:$AZ$5,0))</f>
        <v/>
      </c>
      <c r="AS232" s="24">
        <f>INDEX(MTInputs!$J$1:$AZ$415,$D232,MATCH(AS$5,MTInputs!$J$5:$AZ$5,0))</f>
        <v/>
      </c>
      <c r="AT232" s="24">
        <f>INDEX(MTInputs!$J$1:$AZ$415,$D232,MATCH(AT$5,MTInputs!$J$5:$AZ$5,0))</f>
        <v/>
      </c>
      <c r="AU232" s="24">
        <f>INDEX(MTInputs!$J$1:$AZ$415,$D232,MATCH(AU$5,MTInputs!$J$5:$AZ$5,0))</f>
        <v/>
      </c>
      <c r="AV232" s="24">
        <f>INDEX(MTInputs!$J$1:$AZ$415,$D232,MATCH(AV$5,MTInputs!$J$5:$AZ$5,0))</f>
        <v/>
      </c>
      <c r="AW232" s="24">
        <f>INDEX(MTInputs!$J$1:$AZ$415,$D232,MATCH(AW$5,MTInputs!$J$5:$AZ$5,0))</f>
        <v/>
      </c>
      <c r="AX232" s="24">
        <f>INDEX(MTInputs!$J$1:$AZ$415,$D232,MATCH(AX$5,MTInputs!$J$5:$AZ$5,0))</f>
        <v/>
      </c>
      <c r="AY232" s="24">
        <f>INDEX(MTInputs!$J$1:$AZ$415,$D232,MATCH(AY$5,MTInputs!$J$5:$AZ$5,0))</f>
        <v/>
      </c>
      <c r="AZ232" s="24">
        <f>INDEX(MTInputs!$J$1:$AZ$415,$D232,MATCH(AZ$5,MTInputs!$J$5:$AZ$5,0))</f>
        <v/>
      </c>
      <c r="BA232" s="24">
        <f>INDEX(MTInputs!$J$1:$AZ$415,$D232,MATCH(BA$5,MTInputs!$J$5:$AZ$5,0))</f>
        <v/>
      </c>
    </row>
    <row r="233" hidden="1" outlineLevel="1">
      <c r="A233" s="14" t="inlineStr">
        <is>
          <t>fbcov</t>
        </is>
      </c>
      <c r="B233" s="14" t="inlineStr">
        <is>
          <t>all</t>
        </is>
      </c>
      <c r="C233" s="14" t="inlineStr">
        <is>
          <t>ftr</t>
        </is>
      </c>
      <c r="D233" s="22" t="n">
        <v>81</v>
      </c>
      <c r="H233" s="14">
        <f>INDEX(VarLab,MATCH($A233,VarKey,0))&amp;INDEX(MemLab,MATCH($C233&amp;"|"&amp;$B233,MemKey,0))</f>
        <v/>
      </c>
      <c r="I233" s="14">
        <f>INDEX(VarUnit,MATCH($A233,VarKey,0))</f>
        <v/>
      </c>
      <c r="J233" s="14">
        <f>INDEX(VarSrc,MATCH($A233,VarKey,0))</f>
        <v/>
      </c>
      <c r="K233" s="11">
        <f>CodePrefix&amp;$A233&amp;IF($C233="","","."&amp;$C233&amp;"."&amp;$B233)&amp;INDEX(VarEnd,MATCH($A233,VarKey,0))&amp;K$5</f>
        <v/>
      </c>
      <c r="L233" s="23">
        <f>INDEX(MTInputs!$J$1:$AZ$415,$D233,MATCH(L$5,MTInputs!$J$5:$AZ$5,0))</f>
        <v/>
      </c>
      <c r="M233" s="24">
        <f>INDEX(MTInputs!$J$1:$AZ$415,$D233,MATCH(M$5,MTInputs!$J$5:$AZ$5,0))</f>
        <v/>
      </c>
      <c r="N233" s="24">
        <f>INDEX(MTInputs!$J$1:$AZ$415,$D233,MATCH(N$5,MTInputs!$J$5:$AZ$5,0))</f>
        <v/>
      </c>
      <c r="O233" s="24">
        <f>INDEX(MTInputs!$J$1:$AZ$415,$D233,MATCH(O$5,MTInputs!$J$5:$AZ$5,0))</f>
        <v/>
      </c>
      <c r="P233" s="24">
        <f>INDEX(MTInputs!$J$1:$AZ$415,$D233,MATCH(P$5,MTInputs!$J$5:$AZ$5,0))</f>
        <v/>
      </c>
      <c r="Q233" s="24">
        <f>INDEX(MTInputs!$J$1:$AZ$415,$D233,MATCH(Q$5,MTInputs!$J$5:$AZ$5,0))</f>
        <v/>
      </c>
      <c r="R233" s="24">
        <f>INDEX(MTInputs!$J$1:$AZ$415,$D233,MATCH(R$5,MTInputs!$J$5:$AZ$5,0))</f>
        <v/>
      </c>
      <c r="S233" s="24">
        <f>INDEX(MTInputs!$J$1:$AZ$415,$D233,MATCH(S$5,MTInputs!$J$5:$AZ$5,0))</f>
        <v/>
      </c>
      <c r="T233" s="24">
        <f>INDEX(MTInputs!$J$1:$AZ$415,$D233,MATCH(T$5,MTInputs!$J$5:$AZ$5,0))</f>
        <v/>
      </c>
      <c r="U233" s="24">
        <f>INDEX(MTInputs!$J$1:$AZ$415,$D233,MATCH(U$5,MTInputs!$J$5:$AZ$5,0))</f>
        <v/>
      </c>
      <c r="V233" s="24">
        <f>INDEX(MTInputs!$J$1:$AZ$415,$D233,MATCH(V$5,MTInputs!$J$5:$AZ$5,0))</f>
        <v/>
      </c>
      <c r="W233" s="24">
        <f>INDEX(MTInputs!$J$1:$AZ$415,$D233,MATCH(W$5,MTInputs!$J$5:$AZ$5,0))</f>
        <v/>
      </c>
      <c r="X233" s="24">
        <f>INDEX(MTInputs!$J$1:$AZ$415,$D233,MATCH(X$5,MTInputs!$J$5:$AZ$5,0))</f>
        <v/>
      </c>
      <c r="Y233" s="24">
        <f>INDEX(MTInputs!$J$1:$AZ$415,$D233,MATCH(Y$5,MTInputs!$J$5:$AZ$5,0))</f>
        <v/>
      </c>
      <c r="Z233" s="24">
        <f>INDEX(MTInputs!$J$1:$AZ$415,$D233,MATCH(Z$5,MTInputs!$J$5:$AZ$5,0))</f>
        <v/>
      </c>
      <c r="AA233" s="24">
        <f>INDEX(MTInputs!$J$1:$AZ$415,$D233,MATCH(AA$5,MTInputs!$J$5:$AZ$5,0))</f>
        <v/>
      </c>
      <c r="AB233" s="24">
        <f>INDEX(MTInputs!$J$1:$AZ$415,$D233,MATCH(AB$5,MTInputs!$J$5:$AZ$5,0))</f>
        <v/>
      </c>
      <c r="AC233" s="24">
        <f>INDEX(MTInputs!$J$1:$AZ$415,$D233,MATCH(AC$5,MTInputs!$J$5:$AZ$5,0))</f>
        <v/>
      </c>
      <c r="AD233" s="24">
        <f>INDEX(MTInputs!$J$1:$AZ$415,$D233,MATCH(AD$5,MTInputs!$J$5:$AZ$5,0))</f>
        <v/>
      </c>
      <c r="AE233" s="24">
        <f>INDEX(MTInputs!$J$1:$AZ$415,$D233,MATCH(AE$5,MTInputs!$J$5:$AZ$5,0))</f>
        <v/>
      </c>
      <c r="AG233" s="11">
        <f>CodePrefix&amp;$A233&amp;IF($C233="","","."&amp;$C233&amp;"."&amp;$B233)&amp;INDEX(VarEnd,MATCH($A233,VarKey,0))&amp;AG$5</f>
        <v/>
      </c>
      <c r="AH233" s="23">
        <f>INDEX(MTInputs!$J$1:$AZ$415,$D233,MATCH(AH$5,MTInputs!$J$5:$AZ$5,0))</f>
        <v/>
      </c>
      <c r="AI233" s="24">
        <f>INDEX(MTInputs!$J$1:$AZ$415,$D233,MATCH(AI$5,MTInputs!$J$5:$AZ$5,0))</f>
        <v/>
      </c>
      <c r="AJ233" s="24">
        <f>INDEX(MTInputs!$J$1:$AZ$415,$D233,MATCH(AJ$5,MTInputs!$J$5:$AZ$5,0))</f>
        <v/>
      </c>
      <c r="AK233" s="24">
        <f>INDEX(MTInputs!$J$1:$AZ$415,$D233,MATCH(AK$5,MTInputs!$J$5:$AZ$5,0))</f>
        <v/>
      </c>
      <c r="AL233" s="24">
        <f>INDEX(MTInputs!$J$1:$AZ$415,$D233,MATCH(AL$5,MTInputs!$J$5:$AZ$5,0))</f>
        <v/>
      </c>
      <c r="AM233" s="24">
        <f>INDEX(MTInputs!$J$1:$AZ$415,$D233,MATCH(AM$5,MTInputs!$J$5:$AZ$5,0))</f>
        <v/>
      </c>
      <c r="AN233" s="24">
        <f>INDEX(MTInputs!$J$1:$AZ$415,$D233,MATCH(AN$5,MTInputs!$J$5:$AZ$5,0))</f>
        <v/>
      </c>
      <c r="AO233" s="24">
        <f>INDEX(MTInputs!$J$1:$AZ$415,$D233,MATCH(AO$5,MTInputs!$J$5:$AZ$5,0))</f>
        <v/>
      </c>
      <c r="AP233" s="24">
        <f>INDEX(MTInputs!$J$1:$AZ$415,$D233,MATCH(AP$5,MTInputs!$J$5:$AZ$5,0))</f>
        <v/>
      </c>
      <c r="AQ233" s="24">
        <f>INDEX(MTInputs!$J$1:$AZ$415,$D233,MATCH(AQ$5,MTInputs!$J$5:$AZ$5,0))</f>
        <v/>
      </c>
      <c r="AR233" s="24">
        <f>INDEX(MTInputs!$J$1:$AZ$415,$D233,MATCH(AR$5,MTInputs!$J$5:$AZ$5,0))</f>
        <v/>
      </c>
      <c r="AS233" s="24">
        <f>INDEX(MTInputs!$J$1:$AZ$415,$D233,MATCH(AS$5,MTInputs!$J$5:$AZ$5,0))</f>
        <v/>
      </c>
      <c r="AT233" s="24">
        <f>INDEX(MTInputs!$J$1:$AZ$415,$D233,MATCH(AT$5,MTInputs!$J$5:$AZ$5,0))</f>
        <v/>
      </c>
      <c r="AU233" s="24">
        <f>INDEX(MTInputs!$J$1:$AZ$415,$D233,MATCH(AU$5,MTInputs!$J$5:$AZ$5,0))</f>
        <v/>
      </c>
      <c r="AV233" s="24">
        <f>INDEX(MTInputs!$J$1:$AZ$415,$D233,MATCH(AV$5,MTInputs!$J$5:$AZ$5,0))</f>
        <v/>
      </c>
      <c r="AW233" s="24">
        <f>INDEX(MTInputs!$J$1:$AZ$415,$D233,MATCH(AW$5,MTInputs!$J$5:$AZ$5,0))</f>
        <v/>
      </c>
      <c r="AX233" s="24">
        <f>INDEX(MTInputs!$J$1:$AZ$415,$D233,MATCH(AX$5,MTInputs!$J$5:$AZ$5,0))</f>
        <v/>
      </c>
      <c r="AY233" s="24">
        <f>INDEX(MTInputs!$J$1:$AZ$415,$D233,MATCH(AY$5,MTInputs!$J$5:$AZ$5,0))</f>
        <v/>
      </c>
      <c r="AZ233" s="24">
        <f>INDEX(MTInputs!$J$1:$AZ$415,$D233,MATCH(AZ$5,MTInputs!$J$5:$AZ$5,0))</f>
        <v/>
      </c>
      <c r="BA233" s="24">
        <f>INDEX(MTInputs!$J$1:$AZ$415,$D233,MATCH(BA$5,MTInputs!$J$5:$AZ$5,0))</f>
        <v/>
      </c>
    </row>
    <row r="234" hidden="1" outlineLevel="1">
      <c r="A234" s="14" t="inlineStr">
        <is>
          <t>fbcov</t>
        </is>
      </c>
      <c r="B234" s="14" t="inlineStr">
        <is>
          <t>all</t>
        </is>
      </c>
      <c r="C234" s="14" t="inlineStr">
        <is>
          <t>oen</t>
        </is>
      </c>
      <c r="D234" s="22" t="n">
        <v>82</v>
      </c>
      <c r="H234" s="14">
        <f>INDEX(VarLab,MATCH($A234,VarKey,0))&amp;INDEX(MemLab,MATCH($C234&amp;"|"&amp;$B234,MemKey,0))</f>
        <v/>
      </c>
      <c r="I234" s="14">
        <f>INDEX(VarUnit,MATCH($A234,VarKey,0))</f>
        <v/>
      </c>
      <c r="J234" s="14">
        <f>INDEX(VarSrc,MATCH($A234,VarKey,0))</f>
        <v/>
      </c>
      <c r="K234" s="11">
        <f>CodePrefix&amp;$A234&amp;IF($C234="","","."&amp;$C234&amp;"."&amp;$B234)&amp;INDEX(VarEnd,MATCH($A234,VarKey,0))&amp;K$5</f>
        <v/>
      </c>
      <c r="L234" s="23">
        <f>INDEX(MTInputs!$J$1:$AZ$415,$D234,MATCH(L$5,MTInputs!$J$5:$AZ$5,0))</f>
        <v/>
      </c>
      <c r="M234" s="24">
        <f>INDEX(MTInputs!$J$1:$AZ$415,$D234,MATCH(M$5,MTInputs!$J$5:$AZ$5,0))</f>
        <v/>
      </c>
      <c r="N234" s="24">
        <f>INDEX(MTInputs!$J$1:$AZ$415,$D234,MATCH(N$5,MTInputs!$J$5:$AZ$5,0))</f>
        <v/>
      </c>
      <c r="O234" s="24">
        <f>INDEX(MTInputs!$J$1:$AZ$415,$D234,MATCH(O$5,MTInputs!$J$5:$AZ$5,0))</f>
        <v/>
      </c>
      <c r="P234" s="24">
        <f>INDEX(MTInputs!$J$1:$AZ$415,$D234,MATCH(P$5,MTInputs!$J$5:$AZ$5,0))</f>
        <v/>
      </c>
      <c r="Q234" s="24">
        <f>INDEX(MTInputs!$J$1:$AZ$415,$D234,MATCH(Q$5,MTInputs!$J$5:$AZ$5,0))</f>
        <v/>
      </c>
      <c r="R234" s="24">
        <f>INDEX(MTInputs!$J$1:$AZ$415,$D234,MATCH(R$5,MTInputs!$J$5:$AZ$5,0))</f>
        <v/>
      </c>
      <c r="S234" s="24">
        <f>INDEX(MTInputs!$J$1:$AZ$415,$D234,MATCH(S$5,MTInputs!$J$5:$AZ$5,0))</f>
        <v/>
      </c>
      <c r="T234" s="24">
        <f>INDEX(MTInputs!$J$1:$AZ$415,$D234,MATCH(T$5,MTInputs!$J$5:$AZ$5,0))</f>
        <v/>
      </c>
      <c r="U234" s="24">
        <f>INDEX(MTInputs!$J$1:$AZ$415,$D234,MATCH(U$5,MTInputs!$J$5:$AZ$5,0))</f>
        <v/>
      </c>
      <c r="V234" s="24">
        <f>INDEX(MTInputs!$J$1:$AZ$415,$D234,MATCH(V$5,MTInputs!$J$5:$AZ$5,0))</f>
        <v/>
      </c>
      <c r="W234" s="24">
        <f>INDEX(MTInputs!$J$1:$AZ$415,$D234,MATCH(W$5,MTInputs!$J$5:$AZ$5,0))</f>
        <v/>
      </c>
      <c r="X234" s="24">
        <f>INDEX(MTInputs!$J$1:$AZ$415,$D234,MATCH(X$5,MTInputs!$J$5:$AZ$5,0))</f>
        <v/>
      </c>
      <c r="Y234" s="24">
        <f>INDEX(MTInputs!$J$1:$AZ$415,$D234,MATCH(Y$5,MTInputs!$J$5:$AZ$5,0))</f>
        <v/>
      </c>
      <c r="Z234" s="24">
        <f>INDEX(MTInputs!$J$1:$AZ$415,$D234,MATCH(Z$5,MTInputs!$J$5:$AZ$5,0))</f>
        <v/>
      </c>
      <c r="AA234" s="24">
        <f>INDEX(MTInputs!$J$1:$AZ$415,$D234,MATCH(AA$5,MTInputs!$J$5:$AZ$5,0))</f>
        <v/>
      </c>
      <c r="AB234" s="24">
        <f>INDEX(MTInputs!$J$1:$AZ$415,$D234,MATCH(AB$5,MTInputs!$J$5:$AZ$5,0))</f>
        <v/>
      </c>
      <c r="AC234" s="24">
        <f>INDEX(MTInputs!$J$1:$AZ$415,$D234,MATCH(AC$5,MTInputs!$J$5:$AZ$5,0))</f>
        <v/>
      </c>
      <c r="AD234" s="24">
        <f>INDEX(MTInputs!$J$1:$AZ$415,$D234,MATCH(AD$5,MTInputs!$J$5:$AZ$5,0))</f>
        <v/>
      </c>
      <c r="AE234" s="24">
        <f>INDEX(MTInputs!$J$1:$AZ$415,$D234,MATCH(AE$5,MTInputs!$J$5:$AZ$5,0))</f>
        <v/>
      </c>
      <c r="AG234" s="11">
        <f>CodePrefix&amp;$A234&amp;IF($C234="","","."&amp;$C234&amp;"."&amp;$B234)&amp;INDEX(VarEnd,MATCH($A234,VarKey,0))&amp;AG$5</f>
        <v/>
      </c>
      <c r="AH234" s="23">
        <f>INDEX(MTInputs!$J$1:$AZ$415,$D234,MATCH(AH$5,MTInputs!$J$5:$AZ$5,0))</f>
        <v/>
      </c>
      <c r="AI234" s="24">
        <f>INDEX(MTInputs!$J$1:$AZ$415,$D234,MATCH(AI$5,MTInputs!$J$5:$AZ$5,0))</f>
        <v/>
      </c>
      <c r="AJ234" s="24">
        <f>INDEX(MTInputs!$J$1:$AZ$415,$D234,MATCH(AJ$5,MTInputs!$J$5:$AZ$5,0))</f>
        <v/>
      </c>
      <c r="AK234" s="24">
        <f>INDEX(MTInputs!$J$1:$AZ$415,$D234,MATCH(AK$5,MTInputs!$J$5:$AZ$5,0))</f>
        <v/>
      </c>
      <c r="AL234" s="24">
        <f>INDEX(MTInputs!$J$1:$AZ$415,$D234,MATCH(AL$5,MTInputs!$J$5:$AZ$5,0))</f>
        <v/>
      </c>
      <c r="AM234" s="24">
        <f>INDEX(MTInputs!$J$1:$AZ$415,$D234,MATCH(AM$5,MTInputs!$J$5:$AZ$5,0))</f>
        <v/>
      </c>
      <c r="AN234" s="24">
        <f>INDEX(MTInputs!$J$1:$AZ$415,$D234,MATCH(AN$5,MTInputs!$J$5:$AZ$5,0))</f>
        <v/>
      </c>
      <c r="AO234" s="24">
        <f>INDEX(MTInputs!$J$1:$AZ$415,$D234,MATCH(AO$5,MTInputs!$J$5:$AZ$5,0))</f>
        <v/>
      </c>
      <c r="AP234" s="24">
        <f>INDEX(MTInputs!$J$1:$AZ$415,$D234,MATCH(AP$5,MTInputs!$J$5:$AZ$5,0))</f>
        <v/>
      </c>
      <c r="AQ234" s="24">
        <f>INDEX(MTInputs!$J$1:$AZ$415,$D234,MATCH(AQ$5,MTInputs!$J$5:$AZ$5,0))</f>
        <v/>
      </c>
      <c r="AR234" s="24">
        <f>INDEX(MTInputs!$J$1:$AZ$415,$D234,MATCH(AR$5,MTInputs!$J$5:$AZ$5,0))</f>
        <v/>
      </c>
      <c r="AS234" s="24">
        <f>INDEX(MTInputs!$J$1:$AZ$415,$D234,MATCH(AS$5,MTInputs!$J$5:$AZ$5,0))</f>
        <v/>
      </c>
      <c r="AT234" s="24">
        <f>INDEX(MTInputs!$J$1:$AZ$415,$D234,MATCH(AT$5,MTInputs!$J$5:$AZ$5,0))</f>
        <v/>
      </c>
      <c r="AU234" s="24">
        <f>INDEX(MTInputs!$J$1:$AZ$415,$D234,MATCH(AU$5,MTInputs!$J$5:$AZ$5,0))</f>
        <v/>
      </c>
      <c r="AV234" s="24">
        <f>INDEX(MTInputs!$J$1:$AZ$415,$D234,MATCH(AV$5,MTInputs!$J$5:$AZ$5,0))</f>
        <v/>
      </c>
      <c r="AW234" s="24">
        <f>INDEX(MTInputs!$J$1:$AZ$415,$D234,MATCH(AW$5,MTInputs!$J$5:$AZ$5,0))</f>
        <v/>
      </c>
      <c r="AX234" s="24">
        <f>INDEX(MTInputs!$J$1:$AZ$415,$D234,MATCH(AX$5,MTInputs!$J$5:$AZ$5,0))</f>
        <v/>
      </c>
      <c r="AY234" s="24">
        <f>INDEX(MTInputs!$J$1:$AZ$415,$D234,MATCH(AY$5,MTInputs!$J$5:$AZ$5,0))</f>
        <v/>
      </c>
      <c r="AZ234" s="24">
        <f>INDEX(MTInputs!$J$1:$AZ$415,$D234,MATCH(AZ$5,MTInputs!$J$5:$AZ$5,0))</f>
        <v/>
      </c>
      <c r="BA234" s="24">
        <f>INDEX(MTInputs!$J$1:$AZ$415,$D234,MATCH(BA$5,MTInputs!$J$5:$AZ$5,0))</f>
        <v/>
      </c>
    </row>
    <row r="235" hidden="1" outlineLevel="1">
      <c r="H235" s="21" t="inlineStr">
        <is>
          <t>Shadow prices: regulations (placeholder), by sector ($/tCO2 = feebates + regulations; legacy rows 2345-2349) and share impacting efficiency (legacy rows 2402-2419)</t>
        </is>
      </c>
    </row>
    <row r="236" hidden="1" outlineLevel="1">
      <c r="A236" s="14" t="inlineStr">
        <is>
          <t>ssc.adj</t>
        </is>
      </c>
      <c r="B236" s="14" t="inlineStr"/>
      <c r="C236" s="14" t="inlineStr"/>
      <c r="H236" s="14">
        <f>INDEX(VarLab,MATCH($A236,VarKey,0))&amp;INDEX(MemLab,MATCH($C236&amp;"|"&amp;$B236,MemKey,0))</f>
        <v/>
      </c>
      <c r="I236" s="14">
        <f>INDEX(VarUnit,MATCH($A236,VarKey,0))</f>
        <v/>
      </c>
      <c r="J236" s="14">
        <f>INDEX(VarSrc,MATCH($A236,VarKey,0))</f>
        <v/>
      </c>
      <c r="K236" s="11">
        <f>CodePrefix&amp;$A236&amp;IF($C236="","","."&amp;$C236&amp;"."&amp;$B236)&amp;INDEX(VarEnd,MATCH($A236,VarKey,0))&amp;K$5</f>
        <v/>
      </c>
      <c r="L236" s="25" t="n">
        <v>1</v>
      </c>
      <c r="M236" s="25" t="n">
        <v>1</v>
      </c>
      <c r="N236" s="25" t="n">
        <v>1</v>
      </c>
      <c r="O236" s="25" t="n">
        <v>1</v>
      </c>
      <c r="P236" s="25" t="n">
        <v>1</v>
      </c>
      <c r="Q236" s="25" t="n">
        <v>1</v>
      </c>
      <c r="R236" s="25" t="n">
        <v>1</v>
      </c>
      <c r="S236" s="25" t="n">
        <v>1</v>
      </c>
      <c r="T236" s="25" t="n">
        <v>1</v>
      </c>
      <c r="U236" s="25" t="n">
        <v>1</v>
      </c>
      <c r="V236" s="25" t="n">
        <v>1</v>
      </c>
      <c r="W236" s="25" t="n">
        <v>1</v>
      </c>
      <c r="X236" s="25" t="n">
        <v>1</v>
      </c>
      <c r="Y236" s="25" t="n">
        <v>1</v>
      </c>
      <c r="Z236" s="25" t="n">
        <v>1</v>
      </c>
      <c r="AA236" s="25" t="n">
        <v>1</v>
      </c>
      <c r="AB236" s="25" t="n">
        <v>1</v>
      </c>
      <c r="AC236" s="25" t="n">
        <v>1</v>
      </c>
      <c r="AD236" s="25" t="n">
        <v>1</v>
      </c>
      <c r="AE236" s="25" t="n">
        <v>1</v>
      </c>
      <c r="AG236" s="11">
        <f>CodePrefix&amp;$A236&amp;IF($C236="","","."&amp;$C236&amp;"."&amp;$B236)&amp;INDEX(VarEnd,MATCH($A236,VarKey,0))&amp;AG$5</f>
        <v/>
      </c>
      <c r="AH236" s="25" t="n">
        <v>1</v>
      </c>
      <c r="AI236" s="25" t="n">
        <v>1</v>
      </c>
      <c r="AJ236" s="25" t="n">
        <v>1</v>
      </c>
      <c r="AK236" s="25" t="n">
        <v>1</v>
      </c>
      <c r="AL236" s="25" t="n">
        <v>1</v>
      </c>
      <c r="AM236" s="25" t="n">
        <v>1</v>
      </c>
      <c r="AN236" s="25" t="n">
        <v>1</v>
      </c>
      <c r="AO236" s="25" t="n">
        <v>1</v>
      </c>
      <c r="AP236" s="25" t="n">
        <v>1</v>
      </c>
      <c r="AQ236" s="25" t="n">
        <v>1</v>
      </c>
      <c r="AR236" s="25" t="n">
        <v>1</v>
      </c>
      <c r="AS236" s="25" t="n">
        <v>1</v>
      </c>
      <c r="AT236" s="25" t="n">
        <v>1</v>
      </c>
      <c r="AU236" s="25" t="n">
        <v>1</v>
      </c>
      <c r="AV236" s="25" t="n">
        <v>1</v>
      </c>
      <c r="AW236" s="25" t="n">
        <v>1</v>
      </c>
      <c r="AX236" s="25" t="n">
        <v>1</v>
      </c>
      <c r="AY236" s="25" t="n">
        <v>1</v>
      </c>
      <c r="AZ236" s="25" t="n">
        <v>1</v>
      </c>
      <c r="BA236" s="25" t="n">
        <v>1</v>
      </c>
    </row>
    <row r="237" hidden="1" outlineLevel="1">
      <c r="A237" s="14" t="inlineStr">
        <is>
          <t>reg</t>
        </is>
      </c>
      <c r="B237" s="14" t="inlineStr">
        <is>
          <t>all</t>
        </is>
      </c>
      <c r="C237" s="14" t="inlineStr">
        <is>
          <t>pow</t>
        </is>
      </c>
      <c r="H237" s="14">
        <f>INDEX(VarLab,MATCH($A237,VarKey,0))&amp;INDEX(MemLab,MATCH($C237&amp;"|"&amp;$B237,MemKey,0))</f>
        <v/>
      </c>
      <c r="I237" s="14">
        <f>INDEX(VarUnit,MATCH($A237,VarKey,0))</f>
        <v/>
      </c>
      <c r="J237" s="14">
        <f>INDEX(VarSrc,MATCH($A237,VarKey,0))</f>
        <v/>
      </c>
      <c r="K237" s="11">
        <f>CodePrefix&amp;$A237&amp;IF($C237="","","."&amp;$C237&amp;"."&amp;$B237)&amp;INDEX(VarEnd,MATCH($A237,VarKey,0))&amp;K$5</f>
        <v/>
      </c>
      <c r="L237" s="25" t="n">
        <v>0</v>
      </c>
      <c r="M237" s="25" t="n">
        <v>0</v>
      </c>
      <c r="N237" s="25" t="n">
        <v>0</v>
      </c>
      <c r="O237" s="25" t="n">
        <v>0</v>
      </c>
      <c r="P237" s="25" t="n">
        <v>0</v>
      </c>
      <c r="Q237" s="25" t="n">
        <v>0</v>
      </c>
      <c r="R237" s="25" t="n">
        <v>0</v>
      </c>
      <c r="S237" s="25" t="n">
        <v>0</v>
      </c>
      <c r="T237" s="25" t="n">
        <v>0</v>
      </c>
      <c r="U237" s="25" t="n">
        <v>0</v>
      </c>
      <c r="V237" s="25" t="n">
        <v>0</v>
      </c>
      <c r="W237" s="25" t="n">
        <v>0</v>
      </c>
      <c r="X237" s="25" t="n">
        <v>0</v>
      </c>
      <c r="Y237" s="25" t="n">
        <v>0</v>
      </c>
      <c r="Z237" s="25" t="n">
        <v>0</v>
      </c>
      <c r="AA237" s="25" t="n">
        <v>0</v>
      </c>
      <c r="AB237" s="25" t="n">
        <v>0</v>
      </c>
      <c r="AC237" s="25" t="n">
        <v>0</v>
      </c>
      <c r="AD237" s="25" t="n">
        <v>0</v>
      </c>
      <c r="AE237" s="25" t="n">
        <v>0</v>
      </c>
      <c r="AG237" s="11">
        <f>CodePrefix&amp;$A237&amp;IF($C237="","","."&amp;$C237&amp;"."&amp;$B237)&amp;INDEX(VarEnd,MATCH($A237,VarKey,0))&amp;AG$5</f>
        <v/>
      </c>
      <c r="AH237" s="25" t="n">
        <v>0</v>
      </c>
      <c r="AI237" s="25" t="n">
        <v>0</v>
      </c>
      <c r="AJ237" s="25" t="n">
        <v>0</v>
      </c>
      <c r="AK237" s="25" t="n">
        <v>0</v>
      </c>
      <c r="AL237" s="25" t="n">
        <v>0</v>
      </c>
      <c r="AM237" s="25" t="n">
        <v>0</v>
      </c>
      <c r="AN237" s="25" t="n">
        <v>0</v>
      </c>
      <c r="AO237" s="25" t="n">
        <v>0</v>
      </c>
      <c r="AP237" s="25" t="n">
        <v>0</v>
      </c>
      <c r="AQ237" s="25" t="n">
        <v>0</v>
      </c>
      <c r="AR237" s="25" t="n">
        <v>0</v>
      </c>
      <c r="AS237" s="25" t="n">
        <v>0</v>
      </c>
      <c r="AT237" s="25" t="n">
        <v>0</v>
      </c>
      <c r="AU237" s="25" t="n">
        <v>0</v>
      </c>
      <c r="AV237" s="25" t="n">
        <v>0</v>
      </c>
      <c r="AW237" s="25" t="n">
        <v>0</v>
      </c>
      <c r="AX237" s="25" t="n">
        <v>0</v>
      </c>
      <c r="AY237" s="25" t="n">
        <v>0</v>
      </c>
      <c r="AZ237" s="25" t="n">
        <v>0</v>
      </c>
      <c r="BA237" s="25" t="n">
        <v>0</v>
      </c>
    </row>
    <row r="238" hidden="1" outlineLevel="1">
      <c r="A238" s="14" t="inlineStr">
        <is>
          <t>reg</t>
        </is>
      </c>
      <c r="B238" s="14" t="inlineStr">
        <is>
          <t>all</t>
        </is>
      </c>
      <c r="C238" s="14" t="inlineStr">
        <is>
          <t>tra</t>
        </is>
      </c>
      <c r="H238" s="14">
        <f>INDEX(VarLab,MATCH($A238,VarKey,0))&amp;INDEX(MemLab,MATCH($C238&amp;"|"&amp;$B238,MemKey,0))</f>
        <v/>
      </c>
      <c r="I238" s="14">
        <f>INDEX(VarUnit,MATCH($A238,VarKey,0))</f>
        <v/>
      </c>
      <c r="J238" s="14">
        <f>INDEX(VarSrc,MATCH($A238,VarKey,0))</f>
        <v/>
      </c>
      <c r="K238" s="11">
        <f>CodePrefix&amp;$A238&amp;IF($C238="","","."&amp;$C238&amp;"."&amp;$B238)&amp;INDEX(VarEnd,MATCH($A238,VarKey,0))&amp;K$5</f>
        <v/>
      </c>
      <c r="L238" s="25" t="n">
        <v>0</v>
      </c>
      <c r="M238" s="25" t="n">
        <v>0</v>
      </c>
      <c r="N238" s="25" t="n">
        <v>0</v>
      </c>
      <c r="O238" s="25" t="n">
        <v>0</v>
      </c>
      <c r="P238" s="25" t="n">
        <v>0</v>
      </c>
      <c r="Q238" s="25" t="n">
        <v>0</v>
      </c>
      <c r="R238" s="25" t="n">
        <v>0</v>
      </c>
      <c r="S238" s="25" t="n">
        <v>0</v>
      </c>
      <c r="T238" s="25" t="n">
        <v>0</v>
      </c>
      <c r="U238" s="25" t="n">
        <v>0</v>
      </c>
      <c r="V238" s="25" t="n">
        <v>0</v>
      </c>
      <c r="W238" s="25" t="n">
        <v>0</v>
      </c>
      <c r="X238" s="25" t="n">
        <v>0</v>
      </c>
      <c r="Y238" s="25" t="n">
        <v>0</v>
      </c>
      <c r="Z238" s="25" t="n">
        <v>0</v>
      </c>
      <c r="AA238" s="25" t="n">
        <v>0</v>
      </c>
      <c r="AB238" s="25" t="n">
        <v>0</v>
      </c>
      <c r="AC238" s="25" t="n">
        <v>0</v>
      </c>
      <c r="AD238" s="25" t="n">
        <v>0</v>
      </c>
      <c r="AE238" s="25" t="n">
        <v>0</v>
      </c>
      <c r="AG238" s="11">
        <f>CodePrefix&amp;$A238&amp;IF($C238="","","."&amp;$C238&amp;"."&amp;$B238)&amp;INDEX(VarEnd,MATCH($A238,VarKey,0))&amp;AG$5</f>
        <v/>
      </c>
      <c r="AH238" s="25" t="n">
        <v>0</v>
      </c>
      <c r="AI238" s="25" t="n">
        <v>0</v>
      </c>
      <c r="AJ238" s="25" t="n">
        <v>0</v>
      </c>
      <c r="AK238" s="25" t="n">
        <v>0</v>
      </c>
      <c r="AL238" s="25" t="n">
        <v>0</v>
      </c>
      <c r="AM238" s="25" t="n">
        <v>0</v>
      </c>
      <c r="AN238" s="25" t="n">
        <v>0</v>
      </c>
      <c r="AO238" s="25" t="n">
        <v>0</v>
      </c>
      <c r="AP238" s="25" t="n">
        <v>0</v>
      </c>
      <c r="AQ238" s="25" t="n">
        <v>0</v>
      </c>
      <c r="AR238" s="25" t="n">
        <v>0</v>
      </c>
      <c r="AS238" s="25" t="n">
        <v>0</v>
      </c>
      <c r="AT238" s="25" t="n">
        <v>0</v>
      </c>
      <c r="AU238" s="25" t="n">
        <v>0</v>
      </c>
      <c r="AV238" s="25" t="n">
        <v>0</v>
      </c>
      <c r="AW238" s="25" t="n">
        <v>0</v>
      </c>
      <c r="AX238" s="25" t="n">
        <v>0</v>
      </c>
      <c r="AY238" s="25" t="n">
        <v>0</v>
      </c>
      <c r="AZ238" s="25" t="n">
        <v>0</v>
      </c>
      <c r="BA238" s="25" t="n">
        <v>0</v>
      </c>
    </row>
    <row r="239" hidden="1" outlineLevel="1">
      <c r="A239" s="14" t="inlineStr">
        <is>
          <t>reg</t>
        </is>
      </c>
      <c r="B239" s="14" t="inlineStr">
        <is>
          <t>all</t>
        </is>
      </c>
      <c r="C239" s="14" t="inlineStr">
        <is>
          <t>res</t>
        </is>
      </c>
      <c r="H239" s="14">
        <f>INDEX(VarLab,MATCH($A239,VarKey,0))&amp;INDEX(MemLab,MATCH($C239&amp;"|"&amp;$B239,MemKey,0))</f>
        <v/>
      </c>
      <c r="I239" s="14">
        <f>INDEX(VarUnit,MATCH($A239,VarKey,0))</f>
        <v/>
      </c>
      <c r="J239" s="14">
        <f>INDEX(VarSrc,MATCH($A239,VarKey,0))</f>
        <v/>
      </c>
      <c r="K239" s="11">
        <f>CodePrefix&amp;$A239&amp;IF($C239="","","."&amp;$C239&amp;"."&amp;$B239)&amp;INDEX(VarEnd,MATCH($A239,VarKey,0))&amp;K$5</f>
        <v/>
      </c>
      <c r="L239" s="25" t="n">
        <v>0</v>
      </c>
      <c r="M239" s="25" t="n">
        <v>0</v>
      </c>
      <c r="N239" s="25" t="n">
        <v>0</v>
      </c>
      <c r="O239" s="25" t="n">
        <v>0</v>
      </c>
      <c r="P239" s="25" t="n">
        <v>0</v>
      </c>
      <c r="Q239" s="25" t="n">
        <v>0</v>
      </c>
      <c r="R239" s="25" t="n">
        <v>0</v>
      </c>
      <c r="S239" s="25" t="n">
        <v>0</v>
      </c>
      <c r="T239" s="25" t="n">
        <v>0</v>
      </c>
      <c r="U239" s="25" t="n">
        <v>0</v>
      </c>
      <c r="V239" s="25" t="n">
        <v>0</v>
      </c>
      <c r="W239" s="25" t="n">
        <v>0</v>
      </c>
      <c r="X239" s="25" t="n">
        <v>0</v>
      </c>
      <c r="Y239" s="25" t="n">
        <v>0</v>
      </c>
      <c r="Z239" s="25" t="n">
        <v>0</v>
      </c>
      <c r="AA239" s="25" t="n">
        <v>0</v>
      </c>
      <c r="AB239" s="25" t="n">
        <v>0</v>
      </c>
      <c r="AC239" s="25" t="n">
        <v>0</v>
      </c>
      <c r="AD239" s="25" t="n">
        <v>0</v>
      </c>
      <c r="AE239" s="25" t="n">
        <v>0</v>
      </c>
      <c r="AG239" s="11">
        <f>CodePrefix&amp;$A239&amp;IF($C239="","","."&amp;$C239&amp;"."&amp;$B239)&amp;INDEX(VarEnd,MATCH($A239,VarKey,0))&amp;AG$5</f>
        <v/>
      </c>
      <c r="AH239" s="25" t="n">
        <v>0</v>
      </c>
      <c r="AI239" s="25" t="n">
        <v>0</v>
      </c>
      <c r="AJ239" s="25" t="n">
        <v>0</v>
      </c>
      <c r="AK239" s="25" t="n">
        <v>0</v>
      </c>
      <c r="AL239" s="25" t="n">
        <v>0</v>
      </c>
      <c r="AM239" s="25" t="n">
        <v>0</v>
      </c>
      <c r="AN239" s="25" t="n">
        <v>0</v>
      </c>
      <c r="AO239" s="25" t="n">
        <v>0</v>
      </c>
      <c r="AP239" s="25" t="n">
        <v>0</v>
      </c>
      <c r="AQ239" s="25" t="n">
        <v>0</v>
      </c>
      <c r="AR239" s="25" t="n">
        <v>0</v>
      </c>
      <c r="AS239" s="25" t="n">
        <v>0</v>
      </c>
      <c r="AT239" s="25" t="n">
        <v>0</v>
      </c>
      <c r="AU239" s="25" t="n">
        <v>0</v>
      </c>
      <c r="AV239" s="25" t="n">
        <v>0</v>
      </c>
      <c r="AW239" s="25" t="n">
        <v>0</v>
      </c>
      <c r="AX239" s="25" t="n">
        <v>0</v>
      </c>
      <c r="AY239" s="25" t="n">
        <v>0</v>
      </c>
      <c r="AZ239" s="25" t="n">
        <v>0</v>
      </c>
      <c r="BA239" s="25" t="n">
        <v>0</v>
      </c>
    </row>
    <row r="240" hidden="1" outlineLevel="1">
      <c r="A240" s="14" t="inlineStr">
        <is>
          <t>reg</t>
        </is>
      </c>
      <c r="B240" s="14" t="inlineStr">
        <is>
          <t>all</t>
        </is>
      </c>
      <c r="C240" s="14" t="inlineStr">
        <is>
          <t>ind</t>
        </is>
      </c>
      <c r="H240" s="14">
        <f>INDEX(VarLab,MATCH($A240,VarKey,0))&amp;INDEX(MemLab,MATCH($C240&amp;"|"&amp;$B240,MemKey,0))</f>
        <v/>
      </c>
      <c r="I240" s="14">
        <f>INDEX(VarUnit,MATCH($A240,VarKey,0))</f>
        <v/>
      </c>
      <c r="J240" s="14">
        <f>INDEX(VarSrc,MATCH($A240,VarKey,0))</f>
        <v/>
      </c>
      <c r="K240" s="11">
        <f>CodePrefix&amp;$A240&amp;IF($C240="","","."&amp;$C240&amp;"."&amp;$B240)&amp;INDEX(VarEnd,MATCH($A240,VarKey,0))&amp;K$5</f>
        <v/>
      </c>
      <c r="L240" s="25" t="n">
        <v>0</v>
      </c>
      <c r="M240" s="25" t="n">
        <v>0</v>
      </c>
      <c r="N240" s="25" t="n">
        <v>0</v>
      </c>
      <c r="O240" s="25" t="n">
        <v>0</v>
      </c>
      <c r="P240" s="25" t="n">
        <v>0</v>
      </c>
      <c r="Q240" s="25" t="n">
        <v>0</v>
      </c>
      <c r="R240" s="25" t="n">
        <v>0</v>
      </c>
      <c r="S240" s="25" t="n">
        <v>0</v>
      </c>
      <c r="T240" s="25" t="n">
        <v>0</v>
      </c>
      <c r="U240" s="25" t="n">
        <v>0</v>
      </c>
      <c r="V240" s="25" t="n">
        <v>0</v>
      </c>
      <c r="W240" s="25" t="n">
        <v>0</v>
      </c>
      <c r="X240" s="25" t="n">
        <v>0</v>
      </c>
      <c r="Y240" s="25" t="n">
        <v>0</v>
      </c>
      <c r="Z240" s="25" t="n">
        <v>0</v>
      </c>
      <c r="AA240" s="25" t="n">
        <v>0</v>
      </c>
      <c r="AB240" s="25" t="n">
        <v>0</v>
      </c>
      <c r="AC240" s="25" t="n">
        <v>0</v>
      </c>
      <c r="AD240" s="25" t="n">
        <v>0</v>
      </c>
      <c r="AE240" s="25" t="n">
        <v>0</v>
      </c>
      <c r="AG240" s="11">
        <f>CodePrefix&amp;$A240&amp;IF($C240="","","."&amp;$C240&amp;"."&amp;$B240)&amp;INDEX(VarEnd,MATCH($A240,VarKey,0))&amp;AG$5</f>
        <v/>
      </c>
      <c r="AH240" s="25" t="n">
        <v>0</v>
      </c>
      <c r="AI240" s="25" t="n">
        <v>0</v>
      </c>
      <c r="AJ240" s="25" t="n">
        <v>0</v>
      </c>
      <c r="AK240" s="25" t="n">
        <v>0</v>
      </c>
      <c r="AL240" s="25" t="n">
        <v>0</v>
      </c>
      <c r="AM240" s="25" t="n">
        <v>0</v>
      </c>
      <c r="AN240" s="25" t="n">
        <v>0</v>
      </c>
      <c r="AO240" s="25" t="n">
        <v>0</v>
      </c>
      <c r="AP240" s="25" t="n">
        <v>0</v>
      </c>
      <c r="AQ240" s="25" t="n">
        <v>0</v>
      </c>
      <c r="AR240" s="25" t="n">
        <v>0</v>
      </c>
      <c r="AS240" s="25" t="n">
        <v>0</v>
      </c>
      <c r="AT240" s="25" t="n">
        <v>0</v>
      </c>
      <c r="AU240" s="25" t="n">
        <v>0</v>
      </c>
      <c r="AV240" s="25" t="n">
        <v>0</v>
      </c>
      <c r="AW240" s="25" t="n">
        <v>0</v>
      </c>
      <c r="AX240" s="25" t="n">
        <v>0</v>
      </c>
      <c r="AY240" s="25" t="n">
        <v>0</v>
      </c>
      <c r="AZ240" s="25" t="n">
        <v>0</v>
      </c>
      <c r="BA240" s="25" t="n">
        <v>0</v>
      </c>
    </row>
    <row r="241" hidden="1" outlineLevel="1">
      <c r="A241" s="1" t="inlineStr">
        <is>
          <t>shps</t>
        </is>
      </c>
      <c r="B241" s="1" t="inlineStr">
        <is>
          <t>all</t>
        </is>
      </c>
      <c r="C241" s="1" t="inlineStr">
        <is>
          <t>pow</t>
        </is>
      </c>
      <c r="H241" s="1">
        <f>INDEX(VarLab,MATCH($A241,VarKey,0))&amp;INDEX(MemLab,MATCH($C241&amp;"|"&amp;$B241,MemKey,0))</f>
        <v/>
      </c>
      <c r="I241" s="1">
        <f>INDEX(VarUnit,MATCH($A241,VarKey,0))</f>
        <v/>
      </c>
      <c r="J241" s="1">
        <f>INDEX(VarSrc,MATCH($A241,VarKey,0))</f>
        <v/>
      </c>
      <c r="K241" s="17">
        <f>CodePrefix&amp;$A241&amp;IF($C241="","","."&amp;$C241&amp;"."&amp;$B241)&amp;INDEX(VarEnd,MATCH($A241,VarKey,0))&amp;K$5</f>
        <v/>
      </c>
      <c r="L241" s="18">
        <f>L213+L237</f>
        <v/>
      </c>
      <c r="M241" s="19">
        <f>M213+M237</f>
        <v/>
      </c>
      <c r="N241" s="19">
        <f>N213+N237</f>
        <v/>
      </c>
      <c r="O241" s="19">
        <f>O213+O237</f>
        <v/>
      </c>
      <c r="P241" s="19">
        <f>P213+P237</f>
        <v/>
      </c>
      <c r="Q241" s="19">
        <f>Q213+Q237</f>
        <v/>
      </c>
      <c r="R241" s="19">
        <f>R213+R237</f>
        <v/>
      </c>
      <c r="S241" s="19">
        <f>S213+S237</f>
        <v/>
      </c>
      <c r="T241" s="19">
        <f>T213+T237</f>
        <v/>
      </c>
      <c r="U241" s="19">
        <f>U213+U237</f>
        <v/>
      </c>
      <c r="V241" s="19">
        <f>V213+V237</f>
        <v/>
      </c>
      <c r="W241" s="19">
        <f>W213+W237</f>
        <v/>
      </c>
      <c r="X241" s="19">
        <f>X213+X237</f>
        <v/>
      </c>
      <c r="Y241" s="19">
        <f>Y213+Y237</f>
        <v/>
      </c>
      <c r="Z241" s="19">
        <f>Z213+Z237</f>
        <v/>
      </c>
      <c r="AA241" s="19">
        <f>AA213+AA237</f>
        <v/>
      </c>
      <c r="AB241" s="19">
        <f>AB213+AB237</f>
        <v/>
      </c>
      <c r="AC241" s="19">
        <f>AC213+AC237</f>
        <v/>
      </c>
      <c r="AD241" s="19">
        <f>AD213+AD237</f>
        <v/>
      </c>
      <c r="AE241" s="20">
        <f>SHADOWSECTOR(AE213,AE237)</f>
        <v/>
      </c>
      <c r="AG241" s="17">
        <f>CodePrefix&amp;$A241&amp;IF($C241="","","."&amp;$C241&amp;"."&amp;$B241)&amp;INDEX(VarEnd,MATCH($A241,VarKey,0))&amp;AG$5</f>
        <v/>
      </c>
      <c r="AH241" s="18">
        <f>AH213+AH237</f>
        <v/>
      </c>
      <c r="AI241" s="19">
        <f>AI213+AI237</f>
        <v/>
      </c>
      <c r="AJ241" s="19">
        <f>AJ213+AJ237</f>
        <v/>
      </c>
      <c r="AK241" s="19">
        <f>AK213+AK237</f>
        <v/>
      </c>
      <c r="AL241" s="19">
        <f>AL213+AL237</f>
        <v/>
      </c>
      <c r="AM241" s="19">
        <f>AM213+AM237</f>
        <v/>
      </c>
      <c r="AN241" s="19">
        <f>AN213+AN237</f>
        <v/>
      </c>
      <c r="AO241" s="19">
        <f>AO213+AO237</f>
        <v/>
      </c>
      <c r="AP241" s="19">
        <f>AP213+AP237</f>
        <v/>
      </c>
      <c r="AQ241" s="19">
        <f>AQ213+AQ237</f>
        <v/>
      </c>
      <c r="AR241" s="19">
        <f>AR213+AR237</f>
        <v/>
      </c>
      <c r="AS241" s="19">
        <f>AS213+AS237</f>
        <v/>
      </c>
      <c r="AT241" s="19">
        <f>AT213+AT237</f>
        <v/>
      </c>
      <c r="AU241" s="19">
        <f>AU213+AU237</f>
        <v/>
      </c>
      <c r="AV241" s="19">
        <f>AV213+AV237</f>
        <v/>
      </c>
      <c r="AW241" s="19">
        <f>AW213+AW237</f>
        <v/>
      </c>
      <c r="AX241" s="19">
        <f>AX213+AX237</f>
        <v/>
      </c>
      <c r="AY241" s="19">
        <f>AY213+AY237</f>
        <v/>
      </c>
      <c r="AZ241" s="19">
        <f>AZ213+AZ237</f>
        <v/>
      </c>
      <c r="BA241" s="20">
        <f>SHADOWSECTOR(BA213,BA237)</f>
        <v/>
      </c>
    </row>
    <row r="242" hidden="1" outlineLevel="1">
      <c r="A242" s="1" t="inlineStr">
        <is>
          <t>shps</t>
        </is>
      </c>
      <c r="B242" s="1" t="inlineStr">
        <is>
          <t>all</t>
        </is>
      </c>
      <c r="C242" s="1" t="inlineStr">
        <is>
          <t>tra</t>
        </is>
      </c>
      <c r="H242" s="1">
        <f>INDEX(VarLab,MATCH($A242,VarKey,0))&amp;INDEX(MemLab,MATCH($C242&amp;"|"&amp;$B242,MemKey,0))</f>
        <v/>
      </c>
      <c r="I242" s="1">
        <f>INDEX(VarUnit,MATCH($A242,VarKey,0))</f>
        <v/>
      </c>
      <c r="J242" s="1">
        <f>INDEX(VarSrc,MATCH($A242,VarKey,0))</f>
        <v/>
      </c>
      <c r="K242" s="17">
        <f>CodePrefix&amp;$A242&amp;IF($C242="","","."&amp;$C242&amp;"."&amp;$B242)&amp;INDEX(VarEnd,MATCH($A242,VarKey,0))&amp;K$5</f>
        <v/>
      </c>
      <c r="L242" s="18">
        <f>L214+L238</f>
        <v/>
      </c>
      <c r="M242" s="19">
        <f>M214+M238</f>
        <v/>
      </c>
      <c r="N242" s="19">
        <f>N214+N238</f>
        <v/>
      </c>
      <c r="O242" s="19">
        <f>O214+O238</f>
        <v/>
      </c>
      <c r="P242" s="19">
        <f>P214+P238</f>
        <v/>
      </c>
      <c r="Q242" s="19">
        <f>Q214+Q238</f>
        <v/>
      </c>
      <c r="R242" s="19">
        <f>R214+R238</f>
        <v/>
      </c>
      <c r="S242" s="19">
        <f>S214+S238</f>
        <v/>
      </c>
      <c r="T242" s="19">
        <f>T214+T238</f>
        <v/>
      </c>
      <c r="U242" s="19">
        <f>U214+U238</f>
        <v/>
      </c>
      <c r="V242" s="19">
        <f>V214+V238</f>
        <v/>
      </c>
      <c r="W242" s="19">
        <f>W214+W238</f>
        <v/>
      </c>
      <c r="X242" s="19">
        <f>X214+X238</f>
        <v/>
      </c>
      <c r="Y242" s="19">
        <f>Y214+Y238</f>
        <v/>
      </c>
      <c r="Z242" s="19">
        <f>Z214+Z238</f>
        <v/>
      </c>
      <c r="AA242" s="19">
        <f>AA214+AA238</f>
        <v/>
      </c>
      <c r="AB242" s="19">
        <f>AB214+AB238</f>
        <v/>
      </c>
      <c r="AC242" s="19">
        <f>AC214+AC238</f>
        <v/>
      </c>
      <c r="AD242" s="19">
        <f>AD214+AD238</f>
        <v/>
      </c>
      <c r="AE242" s="20">
        <f>SHADOWSECTOR(AE214,AE238)</f>
        <v/>
      </c>
      <c r="AG242" s="17">
        <f>CodePrefix&amp;$A242&amp;IF($C242="","","."&amp;$C242&amp;"."&amp;$B242)&amp;INDEX(VarEnd,MATCH($A242,VarKey,0))&amp;AG$5</f>
        <v/>
      </c>
      <c r="AH242" s="18">
        <f>AH214+AH238</f>
        <v/>
      </c>
      <c r="AI242" s="19">
        <f>AI214+AI238</f>
        <v/>
      </c>
      <c r="AJ242" s="19">
        <f>AJ214+AJ238</f>
        <v/>
      </c>
      <c r="AK242" s="19">
        <f>AK214+AK238</f>
        <v/>
      </c>
      <c r="AL242" s="19">
        <f>AL214+AL238</f>
        <v/>
      </c>
      <c r="AM242" s="19">
        <f>AM214+AM238</f>
        <v/>
      </c>
      <c r="AN242" s="19">
        <f>AN214+AN238</f>
        <v/>
      </c>
      <c r="AO242" s="19">
        <f>AO214+AO238</f>
        <v/>
      </c>
      <c r="AP242" s="19">
        <f>AP214+AP238</f>
        <v/>
      </c>
      <c r="AQ242" s="19">
        <f>AQ214+AQ238</f>
        <v/>
      </c>
      <c r="AR242" s="19">
        <f>AR214+AR238</f>
        <v/>
      </c>
      <c r="AS242" s="19">
        <f>AS214+AS238</f>
        <v/>
      </c>
      <c r="AT242" s="19">
        <f>AT214+AT238</f>
        <v/>
      </c>
      <c r="AU242" s="19">
        <f>AU214+AU238</f>
        <v/>
      </c>
      <c r="AV242" s="19">
        <f>AV214+AV238</f>
        <v/>
      </c>
      <c r="AW242" s="19">
        <f>AW214+AW238</f>
        <v/>
      </c>
      <c r="AX242" s="19">
        <f>AX214+AX238</f>
        <v/>
      </c>
      <c r="AY242" s="19">
        <f>AY214+AY238</f>
        <v/>
      </c>
      <c r="AZ242" s="19">
        <f>AZ214+AZ238</f>
        <v/>
      </c>
      <c r="BA242" s="20">
        <f>SHADOWSECTOR(BA214,BA238)</f>
        <v/>
      </c>
    </row>
    <row r="243" hidden="1" outlineLevel="1">
      <c r="A243" s="1" t="inlineStr">
        <is>
          <t>shps</t>
        </is>
      </c>
      <c r="B243" s="1" t="inlineStr">
        <is>
          <t>all</t>
        </is>
      </c>
      <c r="C243" s="1" t="inlineStr">
        <is>
          <t>res</t>
        </is>
      </c>
      <c r="H243" s="1">
        <f>INDEX(VarLab,MATCH($A243,VarKey,0))&amp;INDEX(MemLab,MATCH($C243&amp;"|"&amp;$B243,MemKey,0))</f>
        <v/>
      </c>
      <c r="I243" s="1">
        <f>INDEX(VarUnit,MATCH($A243,VarKey,0))</f>
        <v/>
      </c>
      <c r="J243" s="1">
        <f>INDEX(VarSrc,MATCH($A243,VarKey,0))</f>
        <v/>
      </c>
      <c r="K243" s="17">
        <f>CodePrefix&amp;$A243&amp;IF($C243="","","."&amp;$C243&amp;"."&amp;$B243)&amp;INDEX(VarEnd,MATCH($A243,VarKey,0))&amp;K$5</f>
        <v/>
      </c>
      <c r="L243" s="18">
        <f>L215+L239</f>
        <v/>
      </c>
      <c r="M243" s="19">
        <f>M215+M239</f>
        <v/>
      </c>
      <c r="N243" s="19">
        <f>N215+N239</f>
        <v/>
      </c>
      <c r="O243" s="19">
        <f>O215+O239</f>
        <v/>
      </c>
      <c r="P243" s="19">
        <f>P215+P239</f>
        <v/>
      </c>
      <c r="Q243" s="19">
        <f>Q215+Q239</f>
        <v/>
      </c>
      <c r="R243" s="19">
        <f>R215+R239</f>
        <v/>
      </c>
      <c r="S243" s="19">
        <f>S215+S239</f>
        <v/>
      </c>
      <c r="T243" s="19">
        <f>T215+T239</f>
        <v/>
      </c>
      <c r="U243" s="19">
        <f>U215+U239</f>
        <v/>
      </c>
      <c r="V243" s="19">
        <f>V215+V239</f>
        <v/>
      </c>
      <c r="W243" s="19">
        <f>W215+W239</f>
        <v/>
      </c>
      <c r="X243" s="19">
        <f>X215+X239</f>
        <v/>
      </c>
      <c r="Y243" s="19">
        <f>Y215+Y239</f>
        <v/>
      </c>
      <c r="Z243" s="19">
        <f>Z215+Z239</f>
        <v/>
      </c>
      <c r="AA243" s="19">
        <f>AA215+AA239</f>
        <v/>
      </c>
      <c r="AB243" s="19">
        <f>AB215+AB239</f>
        <v/>
      </c>
      <c r="AC243" s="19">
        <f>AC215+AC239</f>
        <v/>
      </c>
      <c r="AD243" s="19">
        <f>AD215+AD239</f>
        <v/>
      </c>
      <c r="AE243" s="20">
        <f>SHADOWSECTOR(AE215,AE239)</f>
        <v/>
      </c>
      <c r="AG243" s="17">
        <f>CodePrefix&amp;$A243&amp;IF($C243="","","."&amp;$C243&amp;"."&amp;$B243)&amp;INDEX(VarEnd,MATCH($A243,VarKey,0))&amp;AG$5</f>
        <v/>
      </c>
      <c r="AH243" s="18">
        <f>AH215+AH239</f>
        <v/>
      </c>
      <c r="AI243" s="19">
        <f>AI215+AI239</f>
        <v/>
      </c>
      <c r="AJ243" s="19">
        <f>AJ215+AJ239</f>
        <v/>
      </c>
      <c r="AK243" s="19">
        <f>AK215+AK239</f>
        <v/>
      </c>
      <c r="AL243" s="19">
        <f>AL215+AL239</f>
        <v/>
      </c>
      <c r="AM243" s="19">
        <f>AM215+AM239</f>
        <v/>
      </c>
      <c r="AN243" s="19">
        <f>AN215+AN239</f>
        <v/>
      </c>
      <c r="AO243" s="19">
        <f>AO215+AO239</f>
        <v/>
      </c>
      <c r="AP243" s="19">
        <f>AP215+AP239</f>
        <v/>
      </c>
      <c r="AQ243" s="19">
        <f>AQ215+AQ239</f>
        <v/>
      </c>
      <c r="AR243" s="19">
        <f>AR215+AR239</f>
        <v/>
      </c>
      <c r="AS243" s="19">
        <f>AS215+AS239</f>
        <v/>
      </c>
      <c r="AT243" s="19">
        <f>AT215+AT239</f>
        <v/>
      </c>
      <c r="AU243" s="19">
        <f>AU215+AU239</f>
        <v/>
      </c>
      <c r="AV243" s="19">
        <f>AV215+AV239</f>
        <v/>
      </c>
      <c r="AW243" s="19">
        <f>AW215+AW239</f>
        <v/>
      </c>
      <c r="AX243" s="19">
        <f>AX215+AX239</f>
        <v/>
      </c>
      <c r="AY243" s="19">
        <f>AY215+AY239</f>
        <v/>
      </c>
      <c r="AZ243" s="19">
        <f>AZ215+AZ239</f>
        <v/>
      </c>
      <c r="BA243" s="20">
        <f>SHADOWSECTOR(BA215,BA239)</f>
        <v/>
      </c>
    </row>
    <row r="244" hidden="1" outlineLevel="1">
      <c r="A244" s="1" t="inlineStr">
        <is>
          <t>shps</t>
        </is>
      </c>
      <c r="B244" s="1" t="inlineStr">
        <is>
          <t>all</t>
        </is>
      </c>
      <c r="C244" s="1" t="inlineStr">
        <is>
          <t>ind</t>
        </is>
      </c>
      <c r="H244" s="1">
        <f>INDEX(VarLab,MATCH($A244,VarKey,0))&amp;INDEX(MemLab,MATCH($C244&amp;"|"&amp;$B244,MemKey,0))</f>
        <v/>
      </c>
      <c r="I244" s="1">
        <f>INDEX(VarUnit,MATCH($A244,VarKey,0))</f>
        <v/>
      </c>
      <c r="J244" s="1">
        <f>INDEX(VarSrc,MATCH($A244,VarKey,0))</f>
        <v/>
      </c>
      <c r="K244" s="17">
        <f>CodePrefix&amp;$A244&amp;IF($C244="","","."&amp;$C244&amp;"."&amp;$B244)&amp;INDEX(VarEnd,MATCH($A244,VarKey,0))&amp;K$5</f>
        <v/>
      </c>
      <c r="L244" s="18">
        <f>L216+L240</f>
        <v/>
      </c>
      <c r="M244" s="19">
        <f>M216+M240</f>
        <v/>
      </c>
      <c r="N244" s="19">
        <f>N216+N240</f>
        <v/>
      </c>
      <c r="O244" s="19">
        <f>O216+O240</f>
        <v/>
      </c>
      <c r="P244" s="19">
        <f>P216+P240</f>
        <v/>
      </c>
      <c r="Q244" s="19">
        <f>Q216+Q240</f>
        <v/>
      </c>
      <c r="R244" s="19">
        <f>R216+R240</f>
        <v/>
      </c>
      <c r="S244" s="19">
        <f>S216+S240</f>
        <v/>
      </c>
      <c r="T244" s="19">
        <f>T216+T240</f>
        <v/>
      </c>
      <c r="U244" s="19">
        <f>U216+U240</f>
        <v/>
      </c>
      <c r="V244" s="19">
        <f>V216+V240</f>
        <v/>
      </c>
      <c r="W244" s="19">
        <f>W216+W240</f>
        <v/>
      </c>
      <c r="X244" s="19">
        <f>X216+X240</f>
        <v/>
      </c>
      <c r="Y244" s="19">
        <f>Y216+Y240</f>
        <v/>
      </c>
      <c r="Z244" s="19">
        <f>Z216+Z240</f>
        <v/>
      </c>
      <c r="AA244" s="19">
        <f>AA216+AA240</f>
        <v/>
      </c>
      <c r="AB244" s="19">
        <f>AB216+AB240</f>
        <v/>
      </c>
      <c r="AC244" s="19">
        <f>AC216+AC240</f>
        <v/>
      </c>
      <c r="AD244" s="19">
        <f>AD216+AD240</f>
        <v/>
      </c>
      <c r="AE244" s="20">
        <f>SHADOWSECTOR(AE216,AE240)</f>
        <v/>
      </c>
      <c r="AG244" s="17">
        <f>CodePrefix&amp;$A244&amp;IF($C244="","","."&amp;$C244&amp;"."&amp;$B244)&amp;INDEX(VarEnd,MATCH($A244,VarKey,0))&amp;AG$5</f>
        <v/>
      </c>
      <c r="AH244" s="18">
        <f>AH216+AH240</f>
        <v/>
      </c>
      <c r="AI244" s="19">
        <f>AI216+AI240</f>
        <v/>
      </c>
      <c r="AJ244" s="19">
        <f>AJ216+AJ240</f>
        <v/>
      </c>
      <c r="AK244" s="19">
        <f>AK216+AK240</f>
        <v/>
      </c>
      <c r="AL244" s="19">
        <f>AL216+AL240</f>
        <v/>
      </c>
      <c r="AM244" s="19">
        <f>AM216+AM240</f>
        <v/>
      </c>
      <c r="AN244" s="19">
        <f>AN216+AN240</f>
        <v/>
      </c>
      <c r="AO244" s="19">
        <f>AO216+AO240</f>
        <v/>
      </c>
      <c r="AP244" s="19">
        <f>AP216+AP240</f>
        <v/>
      </c>
      <c r="AQ244" s="19">
        <f>AQ216+AQ240</f>
        <v/>
      </c>
      <c r="AR244" s="19">
        <f>AR216+AR240</f>
        <v/>
      </c>
      <c r="AS244" s="19">
        <f>AS216+AS240</f>
        <v/>
      </c>
      <c r="AT244" s="19">
        <f>AT216+AT240</f>
        <v/>
      </c>
      <c r="AU244" s="19">
        <f>AU216+AU240</f>
        <v/>
      </c>
      <c r="AV244" s="19">
        <f>AV216+AV240</f>
        <v/>
      </c>
      <c r="AW244" s="19">
        <f>AW216+AW240</f>
        <v/>
      </c>
      <c r="AX244" s="19">
        <f>AX216+AX240</f>
        <v/>
      </c>
      <c r="AY244" s="19">
        <f>AY216+AY240</f>
        <v/>
      </c>
      <c r="AZ244" s="19">
        <f>AZ216+AZ240</f>
        <v/>
      </c>
      <c r="BA244" s="20">
        <f>SHADOWSECTOR(BA216,BA240)</f>
        <v/>
      </c>
    </row>
    <row r="245" hidden="1" outlineLevel="1">
      <c r="A245" s="1" t="inlineStr">
        <is>
          <t>ssc</t>
        </is>
      </c>
      <c r="B245" s="1" t="inlineStr">
        <is>
          <t>all</t>
        </is>
      </c>
      <c r="C245" s="1" t="inlineStr">
        <is>
          <t>pow</t>
        </is>
      </c>
      <c r="H245" s="1">
        <f>INDEX(VarLab,MATCH($A245,VarKey,0))&amp;INDEX(MemLab,MATCH($C245&amp;"|"&amp;$B245,MemKey,0))</f>
        <v/>
      </c>
      <c r="I245" s="1">
        <f>INDEX(VarUnit,MATCH($A245,VarKey,0))</f>
        <v/>
      </c>
      <c r="J245" s="1">
        <f>INDEX(VarSrc,MATCH($A245,VarKey,0))</f>
        <v/>
      </c>
      <c r="K245" s="17">
        <f>CodePrefix&amp;$A245&amp;IF($C245="","","."&amp;$C245&amp;"."&amp;$B245)&amp;INDEX(VarEnd,MATCH($A245,VarKey,0))&amp;K$5</f>
        <v/>
      </c>
      <c r="L245" s="18">
        <f>IF(L218,1,0)*L$236</f>
        <v/>
      </c>
      <c r="M245" s="19">
        <f>IF(M218,1,0)*M$236</f>
        <v/>
      </c>
      <c r="N245" s="19">
        <f>IF(N218,1,0)*N$236</f>
        <v/>
      </c>
      <c r="O245" s="19">
        <f>IF(O218,1,0)*O$236</f>
        <v/>
      </c>
      <c r="P245" s="19">
        <f>IF(P218,1,0)*P$236</f>
        <v/>
      </c>
      <c r="Q245" s="19">
        <f>IF(Q218,1,0)*Q$236</f>
        <v/>
      </c>
      <c r="R245" s="19">
        <f>IF(R218,1,0)*R$236</f>
        <v/>
      </c>
      <c r="S245" s="19">
        <f>IF(S218,1,0)*S$236</f>
        <v/>
      </c>
      <c r="T245" s="19">
        <f>IF(T218,1,0)*T$236</f>
        <v/>
      </c>
      <c r="U245" s="19">
        <f>IF(U218,1,0)*U$236</f>
        <v/>
      </c>
      <c r="V245" s="19">
        <f>IF(V218,1,0)*V$236</f>
        <v/>
      </c>
      <c r="W245" s="19">
        <f>IF(W218,1,0)*W$236</f>
        <v/>
      </c>
      <c r="X245" s="19">
        <f>IF(X218,1,0)*X$236</f>
        <v/>
      </c>
      <c r="Y245" s="19">
        <f>IF(Y218,1,0)*Y$236</f>
        <v/>
      </c>
      <c r="Z245" s="19">
        <f>IF(Z218,1,0)*Z$236</f>
        <v/>
      </c>
      <c r="AA245" s="19">
        <f>IF(AA218,1,0)*AA$236</f>
        <v/>
      </c>
      <c r="AB245" s="19">
        <f>IF(AB218,1,0)*AB$236</f>
        <v/>
      </c>
      <c r="AC245" s="19">
        <f>IF(AC218,1,0)*AC$236</f>
        <v/>
      </c>
      <c r="AD245" s="19">
        <f>IF(AD218,1,0)*AD$236</f>
        <v/>
      </c>
      <c r="AE245" s="20">
        <f>SHADOWSHARE(AE218,AE$236)</f>
        <v/>
      </c>
      <c r="AG245" s="17">
        <f>CodePrefix&amp;$A245&amp;IF($C245="","","."&amp;$C245&amp;"."&amp;$B245)&amp;INDEX(VarEnd,MATCH($A245,VarKey,0))&amp;AG$5</f>
        <v/>
      </c>
      <c r="AH245" s="18">
        <f>IF(AH218,1,0)*AH$236</f>
        <v/>
      </c>
      <c r="AI245" s="19">
        <f>IF(AI218,1,0)*AI$236</f>
        <v/>
      </c>
      <c r="AJ245" s="19">
        <f>IF(AJ218,1,0)*AJ$236</f>
        <v/>
      </c>
      <c r="AK245" s="19">
        <f>IF(AK218,1,0)*AK$236</f>
        <v/>
      </c>
      <c r="AL245" s="19">
        <f>IF(AL218,1,0)*AL$236</f>
        <v/>
      </c>
      <c r="AM245" s="19">
        <f>IF(AM218,1,0)*AM$236</f>
        <v/>
      </c>
      <c r="AN245" s="19">
        <f>IF(AN218,1,0)*AN$236</f>
        <v/>
      </c>
      <c r="AO245" s="19">
        <f>IF(AO218,1,0)*AO$236</f>
        <v/>
      </c>
      <c r="AP245" s="19">
        <f>IF(AP218,1,0)*AP$236</f>
        <v/>
      </c>
      <c r="AQ245" s="19">
        <f>IF(AQ218,1,0)*AQ$236</f>
        <v/>
      </c>
      <c r="AR245" s="19">
        <f>IF(AR218,1,0)*AR$236</f>
        <v/>
      </c>
      <c r="AS245" s="19">
        <f>IF(AS218,1,0)*AS$236</f>
        <v/>
      </c>
      <c r="AT245" s="19">
        <f>IF(AT218,1,0)*AT$236</f>
        <v/>
      </c>
      <c r="AU245" s="19">
        <f>IF(AU218,1,0)*AU$236</f>
        <v/>
      </c>
      <c r="AV245" s="19">
        <f>IF(AV218,1,0)*AV$236</f>
        <v/>
      </c>
      <c r="AW245" s="19">
        <f>IF(AW218,1,0)*AW$236</f>
        <v/>
      </c>
      <c r="AX245" s="19">
        <f>IF(AX218,1,0)*AX$236</f>
        <v/>
      </c>
      <c r="AY245" s="19">
        <f>IF(AY218,1,0)*AY$236</f>
        <v/>
      </c>
      <c r="AZ245" s="19">
        <f>IF(AZ218,1,0)*AZ$236</f>
        <v/>
      </c>
      <c r="BA245" s="20">
        <f>SHADOWSHARE(BA218,BA$236)</f>
        <v/>
      </c>
    </row>
    <row r="246" hidden="1" outlineLevel="1">
      <c r="A246" s="1" t="inlineStr">
        <is>
          <t>ssc</t>
        </is>
      </c>
      <c r="B246" s="1" t="inlineStr">
        <is>
          <t>all</t>
        </is>
      </c>
      <c r="C246" s="1" t="inlineStr">
        <is>
          <t>rod</t>
        </is>
      </c>
      <c r="H246" s="1">
        <f>INDEX(VarLab,MATCH($A246,VarKey,0))&amp;INDEX(MemLab,MATCH($C246&amp;"|"&amp;$B246,MemKey,0))</f>
        <v/>
      </c>
      <c r="I246" s="1">
        <f>INDEX(VarUnit,MATCH($A246,VarKey,0))</f>
        <v/>
      </c>
      <c r="J246" s="1">
        <f>INDEX(VarSrc,MATCH($A246,VarKey,0))</f>
        <v/>
      </c>
      <c r="K246" s="17">
        <f>CodePrefix&amp;$A246&amp;IF($C246="","","."&amp;$C246&amp;"."&amp;$B246)&amp;INDEX(VarEnd,MATCH($A246,VarKey,0))&amp;K$5</f>
        <v/>
      </c>
      <c r="L246" s="18">
        <f>IF(L219,1,0)*L$236</f>
        <v/>
      </c>
      <c r="M246" s="19">
        <f>IF(M219,1,0)*M$236</f>
        <v/>
      </c>
      <c r="N246" s="19">
        <f>IF(N219,1,0)*N$236</f>
        <v/>
      </c>
      <c r="O246" s="19">
        <f>IF(O219,1,0)*O$236</f>
        <v/>
      </c>
      <c r="P246" s="19">
        <f>IF(P219,1,0)*P$236</f>
        <v/>
      </c>
      <c r="Q246" s="19">
        <f>IF(Q219,1,0)*Q$236</f>
        <v/>
      </c>
      <c r="R246" s="19">
        <f>IF(R219,1,0)*R$236</f>
        <v/>
      </c>
      <c r="S246" s="19">
        <f>IF(S219,1,0)*S$236</f>
        <v/>
      </c>
      <c r="T246" s="19">
        <f>IF(T219,1,0)*T$236</f>
        <v/>
      </c>
      <c r="U246" s="19">
        <f>IF(U219,1,0)*U$236</f>
        <v/>
      </c>
      <c r="V246" s="19">
        <f>IF(V219,1,0)*V$236</f>
        <v/>
      </c>
      <c r="W246" s="19">
        <f>IF(W219,1,0)*W$236</f>
        <v/>
      </c>
      <c r="X246" s="19">
        <f>IF(X219,1,0)*X$236</f>
        <v/>
      </c>
      <c r="Y246" s="19">
        <f>IF(Y219,1,0)*Y$236</f>
        <v/>
      </c>
      <c r="Z246" s="19">
        <f>IF(Z219,1,0)*Z$236</f>
        <v/>
      </c>
      <c r="AA246" s="19">
        <f>IF(AA219,1,0)*AA$236</f>
        <v/>
      </c>
      <c r="AB246" s="19">
        <f>IF(AB219,1,0)*AB$236</f>
        <v/>
      </c>
      <c r="AC246" s="19">
        <f>IF(AC219,1,0)*AC$236</f>
        <v/>
      </c>
      <c r="AD246" s="19">
        <f>IF(AD219,1,0)*AD$236</f>
        <v/>
      </c>
      <c r="AE246" s="20">
        <f>SHADOWSHARE(AE219,AE$236)</f>
        <v/>
      </c>
      <c r="AG246" s="17">
        <f>CodePrefix&amp;$A246&amp;IF($C246="","","."&amp;$C246&amp;"."&amp;$B246)&amp;INDEX(VarEnd,MATCH($A246,VarKey,0))&amp;AG$5</f>
        <v/>
      </c>
      <c r="AH246" s="18">
        <f>IF(AH219,1,0)*AH$236</f>
        <v/>
      </c>
      <c r="AI246" s="19">
        <f>IF(AI219,1,0)*AI$236</f>
        <v/>
      </c>
      <c r="AJ246" s="19">
        <f>IF(AJ219,1,0)*AJ$236</f>
        <v/>
      </c>
      <c r="AK246" s="19">
        <f>IF(AK219,1,0)*AK$236</f>
        <v/>
      </c>
      <c r="AL246" s="19">
        <f>IF(AL219,1,0)*AL$236</f>
        <v/>
      </c>
      <c r="AM246" s="19">
        <f>IF(AM219,1,0)*AM$236</f>
        <v/>
      </c>
      <c r="AN246" s="19">
        <f>IF(AN219,1,0)*AN$236</f>
        <v/>
      </c>
      <c r="AO246" s="19">
        <f>IF(AO219,1,0)*AO$236</f>
        <v/>
      </c>
      <c r="AP246" s="19">
        <f>IF(AP219,1,0)*AP$236</f>
        <v/>
      </c>
      <c r="AQ246" s="19">
        <f>IF(AQ219,1,0)*AQ$236</f>
        <v/>
      </c>
      <c r="AR246" s="19">
        <f>IF(AR219,1,0)*AR$236</f>
        <v/>
      </c>
      <c r="AS246" s="19">
        <f>IF(AS219,1,0)*AS$236</f>
        <v/>
      </c>
      <c r="AT246" s="19">
        <f>IF(AT219,1,0)*AT$236</f>
        <v/>
      </c>
      <c r="AU246" s="19">
        <f>IF(AU219,1,0)*AU$236</f>
        <v/>
      </c>
      <c r="AV246" s="19">
        <f>IF(AV219,1,0)*AV$236</f>
        <v/>
      </c>
      <c r="AW246" s="19">
        <f>IF(AW219,1,0)*AW$236</f>
        <v/>
      </c>
      <c r="AX246" s="19">
        <f>IF(AX219,1,0)*AX$236</f>
        <v/>
      </c>
      <c r="AY246" s="19">
        <f>IF(AY219,1,0)*AY$236</f>
        <v/>
      </c>
      <c r="AZ246" s="19">
        <f>IF(AZ219,1,0)*AZ$236</f>
        <v/>
      </c>
      <c r="BA246" s="20">
        <f>SHADOWSHARE(BA219,BA$236)</f>
        <v/>
      </c>
    </row>
    <row r="247" hidden="1" outlineLevel="1">
      <c r="A247" s="1" t="inlineStr">
        <is>
          <t>ssc</t>
        </is>
      </c>
      <c r="B247" s="1" t="inlineStr">
        <is>
          <t>all</t>
        </is>
      </c>
      <c r="C247" s="1" t="inlineStr">
        <is>
          <t>ral</t>
        </is>
      </c>
      <c r="H247" s="1">
        <f>INDEX(VarLab,MATCH($A247,VarKey,0))&amp;INDEX(MemLab,MATCH($C247&amp;"|"&amp;$B247,MemKey,0))</f>
        <v/>
      </c>
      <c r="I247" s="1">
        <f>INDEX(VarUnit,MATCH($A247,VarKey,0))</f>
        <v/>
      </c>
      <c r="J247" s="1">
        <f>INDEX(VarSrc,MATCH($A247,VarKey,0))</f>
        <v/>
      </c>
      <c r="K247" s="17">
        <f>CodePrefix&amp;$A247&amp;IF($C247="","","."&amp;$C247&amp;"."&amp;$B247)&amp;INDEX(VarEnd,MATCH($A247,VarKey,0))&amp;K$5</f>
        <v/>
      </c>
      <c r="L247" s="18">
        <f>IF(L220,1,0)*L$236</f>
        <v/>
      </c>
      <c r="M247" s="19">
        <f>IF(M220,1,0)*M$236</f>
        <v/>
      </c>
      <c r="N247" s="19">
        <f>IF(N220,1,0)*N$236</f>
        <v/>
      </c>
      <c r="O247" s="19">
        <f>IF(O220,1,0)*O$236</f>
        <v/>
      </c>
      <c r="P247" s="19">
        <f>IF(P220,1,0)*P$236</f>
        <v/>
      </c>
      <c r="Q247" s="19">
        <f>IF(Q220,1,0)*Q$236</f>
        <v/>
      </c>
      <c r="R247" s="19">
        <f>IF(R220,1,0)*R$236</f>
        <v/>
      </c>
      <c r="S247" s="19">
        <f>IF(S220,1,0)*S$236</f>
        <v/>
      </c>
      <c r="T247" s="19">
        <f>IF(T220,1,0)*T$236</f>
        <v/>
      </c>
      <c r="U247" s="19">
        <f>IF(U220,1,0)*U$236</f>
        <v/>
      </c>
      <c r="V247" s="19">
        <f>IF(V220,1,0)*V$236</f>
        <v/>
      </c>
      <c r="W247" s="19">
        <f>IF(W220,1,0)*W$236</f>
        <v/>
      </c>
      <c r="X247" s="19">
        <f>IF(X220,1,0)*X$236</f>
        <v/>
      </c>
      <c r="Y247" s="19">
        <f>IF(Y220,1,0)*Y$236</f>
        <v/>
      </c>
      <c r="Z247" s="19">
        <f>IF(Z220,1,0)*Z$236</f>
        <v/>
      </c>
      <c r="AA247" s="19">
        <f>IF(AA220,1,0)*AA$236</f>
        <v/>
      </c>
      <c r="AB247" s="19">
        <f>IF(AB220,1,0)*AB$236</f>
        <v/>
      </c>
      <c r="AC247" s="19">
        <f>IF(AC220,1,0)*AC$236</f>
        <v/>
      </c>
      <c r="AD247" s="19">
        <f>IF(AD220,1,0)*AD$236</f>
        <v/>
      </c>
      <c r="AE247" s="20">
        <f>SHADOWSHARE(AE220,AE$236)</f>
        <v/>
      </c>
      <c r="AG247" s="17">
        <f>CodePrefix&amp;$A247&amp;IF($C247="","","."&amp;$C247&amp;"."&amp;$B247)&amp;INDEX(VarEnd,MATCH($A247,VarKey,0))&amp;AG$5</f>
        <v/>
      </c>
      <c r="AH247" s="18">
        <f>IF(AH220,1,0)*AH$236</f>
        <v/>
      </c>
      <c r="AI247" s="19">
        <f>IF(AI220,1,0)*AI$236</f>
        <v/>
      </c>
      <c r="AJ247" s="19">
        <f>IF(AJ220,1,0)*AJ$236</f>
        <v/>
      </c>
      <c r="AK247" s="19">
        <f>IF(AK220,1,0)*AK$236</f>
        <v/>
      </c>
      <c r="AL247" s="19">
        <f>IF(AL220,1,0)*AL$236</f>
        <v/>
      </c>
      <c r="AM247" s="19">
        <f>IF(AM220,1,0)*AM$236</f>
        <v/>
      </c>
      <c r="AN247" s="19">
        <f>IF(AN220,1,0)*AN$236</f>
        <v/>
      </c>
      <c r="AO247" s="19">
        <f>IF(AO220,1,0)*AO$236</f>
        <v/>
      </c>
      <c r="AP247" s="19">
        <f>IF(AP220,1,0)*AP$236</f>
        <v/>
      </c>
      <c r="AQ247" s="19">
        <f>IF(AQ220,1,0)*AQ$236</f>
        <v/>
      </c>
      <c r="AR247" s="19">
        <f>IF(AR220,1,0)*AR$236</f>
        <v/>
      </c>
      <c r="AS247" s="19">
        <f>IF(AS220,1,0)*AS$236</f>
        <v/>
      </c>
      <c r="AT247" s="19">
        <f>IF(AT220,1,0)*AT$236</f>
        <v/>
      </c>
      <c r="AU247" s="19">
        <f>IF(AU220,1,0)*AU$236</f>
        <v/>
      </c>
      <c r="AV247" s="19">
        <f>IF(AV220,1,0)*AV$236</f>
        <v/>
      </c>
      <c r="AW247" s="19">
        <f>IF(AW220,1,0)*AW$236</f>
        <v/>
      </c>
      <c r="AX247" s="19">
        <f>IF(AX220,1,0)*AX$236</f>
        <v/>
      </c>
      <c r="AY247" s="19">
        <f>IF(AY220,1,0)*AY$236</f>
        <v/>
      </c>
      <c r="AZ247" s="19">
        <f>IF(AZ220,1,0)*AZ$236</f>
        <v/>
      </c>
      <c r="BA247" s="20">
        <f>SHADOWSHARE(BA220,BA$236)</f>
        <v/>
      </c>
    </row>
    <row r="248" hidden="1" outlineLevel="1">
      <c r="A248" s="1" t="inlineStr">
        <is>
          <t>ssc</t>
        </is>
      </c>
      <c r="B248" s="1" t="inlineStr">
        <is>
          <t>all</t>
        </is>
      </c>
      <c r="C248" s="1" t="inlineStr">
        <is>
          <t>avi</t>
        </is>
      </c>
      <c r="H248" s="1">
        <f>INDEX(VarLab,MATCH($A248,VarKey,0))&amp;INDEX(MemLab,MATCH($C248&amp;"|"&amp;$B248,MemKey,0))</f>
        <v/>
      </c>
      <c r="I248" s="1">
        <f>INDEX(VarUnit,MATCH($A248,VarKey,0))</f>
        <v/>
      </c>
      <c r="J248" s="1">
        <f>INDEX(VarSrc,MATCH($A248,VarKey,0))</f>
        <v/>
      </c>
      <c r="K248" s="17">
        <f>CodePrefix&amp;$A248&amp;IF($C248="","","."&amp;$C248&amp;"."&amp;$B248)&amp;INDEX(VarEnd,MATCH($A248,VarKey,0))&amp;K$5</f>
        <v/>
      </c>
      <c r="L248" s="18">
        <f>IF(L221,1,0)*L$236</f>
        <v/>
      </c>
      <c r="M248" s="19">
        <f>IF(M221,1,0)*M$236</f>
        <v/>
      </c>
      <c r="N248" s="19">
        <f>IF(N221,1,0)*N$236</f>
        <v/>
      </c>
      <c r="O248" s="19">
        <f>IF(O221,1,0)*O$236</f>
        <v/>
      </c>
      <c r="P248" s="19">
        <f>IF(P221,1,0)*P$236</f>
        <v/>
      </c>
      <c r="Q248" s="19">
        <f>IF(Q221,1,0)*Q$236</f>
        <v/>
      </c>
      <c r="R248" s="19">
        <f>IF(R221,1,0)*R$236</f>
        <v/>
      </c>
      <c r="S248" s="19">
        <f>IF(S221,1,0)*S$236</f>
        <v/>
      </c>
      <c r="T248" s="19">
        <f>IF(T221,1,0)*T$236</f>
        <v/>
      </c>
      <c r="U248" s="19">
        <f>IF(U221,1,0)*U$236</f>
        <v/>
      </c>
      <c r="V248" s="19">
        <f>IF(V221,1,0)*V$236</f>
        <v/>
      </c>
      <c r="W248" s="19">
        <f>IF(W221,1,0)*W$236</f>
        <v/>
      </c>
      <c r="X248" s="19">
        <f>IF(X221,1,0)*X$236</f>
        <v/>
      </c>
      <c r="Y248" s="19">
        <f>IF(Y221,1,0)*Y$236</f>
        <v/>
      </c>
      <c r="Z248" s="19">
        <f>IF(Z221,1,0)*Z$236</f>
        <v/>
      </c>
      <c r="AA248" s="19">
        <f>IF(AA221,1,0)*AA$236</f>
        <v/>
      </c>
      <c r="AB248" s="19">
        <f>IF(AB221,1,0)*AB$236</f>
        <v/>
      </c>
      <c r="AC248" s="19">
        <f>IF(AC221,1,0)*AC$236</f>
        <v/>
      </c>
      <c r="AD248" s="19">
        <f>IF(AD221,1,0)*AD$236</f>
        <v/>
      </c>
      <c r="AE248" s="20">
        <f>SHADOWSHARE(AE221,AE$236)</f>
        <v/>
      </c>
      <c r="AG248" s="17">
        <f>CodePrefix&amp;$A248&amp;IF($C248="","","."&amp;$C248&amp;"."&amp;$B248)&amp;INDEX(VarEnd,MATCH($A248,VarKey,0))&amp;AG$5</f>
        <v/>
      </c>
      <c r="AH248" s="18">
        <f>IF(AH221,1,0)*AH$236</f>
        <v/>
      </c>
      <c r="AI248" s="19">
        <f>IF(AI221,1,0)*AI$236</f>
        <v/>
      </c>
      <c r="AJ248" s="19">
        <f>IF(AJ221,1,0)*AJ$236</f>
        <v/>
      </c>
      <c r="AK248" s="19">
        <f>IF(AK221,1,0)*AK$236</f>
        <v/>
      </c>
      <c r="AL248" s="19">
        <f>IF(AL221,1,0)*AL$236</f>
        <v/>
      </c>
      <c r="AM248" s="19">
        <f>IF(AM221,1,0)*AM$236</f>
        <v/>
      </c>
      <c r="AN248" s="19">
        <f>IF(AN221,1,0)*AN$236</f>
        <v/>
      </c>
      <c r="AO248" s="19">
        <f>IF(AO221,1,0)*AO$236</f>
        <v/>
      </c>
      <c r="AP248" s="19">
        <f>IF(AP221,1,0)*AP$236</f>
        <v/>
      </c>
      <c r="AQ248" s="19">
        <f>IF(AQ221,1,0)*AQ$236</f>
        <v/>
      </c>
      <c r="AR248" s="19">
        <f>IF(AR221,1,0)*AR$236</f>
        <v/>
      </c>
      <c r="AS248" s="19">
        <f>IF(AS221,1,0)*AS$236</f>
        <v/>
      </c>
      <c r="AT248" s="19">
        <f>IF(AT221,1,0)*AT$236</f>
        <v/>
      </c>
      <c r="AU248" s="19">
        <f>IF(AU221,1,0)*AU$236</f>
        <v/>
      </c>
      <c r="AV248" s="19">
        <f>IF(AV221,1,0)*AV$236</f>
        <v/>
      </c>
      <c r="AW248" s="19">
        <f>IF(AW221,1,0)*AW$236</f>
        <v/>
      </c>
      <c r="AX248" s="19">
        <f>IF(AX221,1,0)*AX$236</f>
        <v/>
      </c>
      <c r="AY248" s="19">
        <f>IF(AY221,1,0)*AY$236</f>
        <v/>
      </c>
      <c r="AZ248" s="19">
        <f>IF(AZ221,1,0)*AZ$236</f>
        <v/>
      </c>
      <c r="BA248" s="20">
        <f>SHADOWSHARE(BA221,BA$236)</f>
        <v/>
      </c>
    </row>
    <row r="249" hidden="1" outlineLevel="1">
      <c r="A249" s="1" t="inlineStr">
        <is>
          <t>ssc</t>
        </is>
      </c>
      <c r="B249" s="1" t="inlineStr">
        <is>
          <t>all</t>
        </is>
      </c>
      <c r="C249" s="1" t="inlineStr">
        <is>
          <t>nav</t>
        </is>
      </c>
      <c r="H249" s="1">
        <f>INDEX(VarLab,MATCH($A249,VarKey,0))&amp;INDEX(MemLab,MATCH($C249&amp;"|"&amp;$B249,MemKey,0))</f>
        <v/>
      </c>
      <c r="I249" s="1">
        <f>INDEX(VarUnit,MATCH($A249,VarKey,0))</f>
        <v/>
      </c>
      <c r="J249" s="1">
        <f>INDEX(VarSrc,MATCH($A249,VarKey,0))</f>
        <v/>
      </c>
      <c r="K249" s="17">
        <f>CodePrefix&amp;$A249&amp;IF($C249="","","."&amp;$C249&amp;"."&amp;$B249)&amp;INDEX(VarEnd,MATCH($A249,VarKey,0))&amp;K$5</f>
        <v/>
      </c>
      <c r="L249" s="18">
        <f>IF(L222,1,0)*L$236</f>
        <v/>
      </c>
      <c r="M249" s="19">
        <f>IF(M222,1,0)*M$236</f>
        <v/>
      </c>
      <c r="N249" s="19">
        <f>IF(N222,1,0)*N$236</f>
        <v/>
      </c>
      <c r="O249" s="19">
        <f>IF(O222,1,0)*O$236</f>
        <v/>
      </c>
      <c r="P249" s="19">
        <f>IF(P222,1,0)*P$236</f>
        <v/>
      </c>
      <c r="Q249" s="19">
        <f>IF(Q222,1,0)*Q$236</f>
        <v/>
      </c>
      <c r="R249" s="19">
        <f>IF(R222,1,0)*R$236</f>
        <v/>
      </c>
      <c r="S249" s="19">
        <f>IF(S222,1,0)*S$236</f>
        <v/>
      </c>
      <c r="T249" s="19">
        <f>IF(T222,1,0)*T$236</f>
        <v/>
      </c>
      <c r="U249" s="19">
        <f>IF(U222,1,0)*U$236</f>
        <v/>
      </c>
      <c r="V249" s="19">
        <f>IF(V222,1,0)*V$236</f>
        <v/>
      </c>
      <c r="W249" s="19">
        <f>IF(W222,1,0)*W$236</f>
        <v/>
      </c>
      <c r="X249" s="19">
        <f>IF(X222,1,0)*X$236</f>
        <v/>
      </c>
      <c r="Y249" s="19">
        <f>IF(Y222,1,0)*Y$236</f>
        <v/>
      </c>
      <c r="Z249" s="19">
        <f>IF(Z222,1,0)*Z$236</f>
        <v/>
      </c>
      <c r="AA249" s="19">
        <f>IF(AA222,1,0)*AA$236</f>
        <v/>
      </c>
      <c r="AB249" s="19">
        <f>IF(AB222,1,0)*AB$236</f>
        <v/>
      </c>
      <c r="AC249" s="19">
        <f>IF(AC222,1,0)*AC$236</f>
        <v/>
      </c>
      <c r="AD249" s="19">
        <f>IF(AD222,1,0)*AD$236</f>
        <v/>
      </c>
      <c r="AE249" s="20">
        <f>SHADOWSHARE(AE222,AE$236)</f>
        <v/>
      </c>
      <c r="AG249" s="17">
        <f>CodePrefix&amp;$A249&amp;IF($C249="","","."&amp;$C249&amp;"."&amp;$B249)&amp;INDEX(VarEnd,MATCH($A249,VarKey,0))&amp;AG$5</f>
        <v/>
      </c>
      <c r="AH249" s="18">
        <f>IF(AH222,1,0)*AH$236</f>
        <v/>
      </c>
      <c r="AI249" s="19">
        <f>IF(AI222,1,0)*AI$236</f>
        <v/>
      </c>
      <c r="AJ249" s="19">
        <f>IF(AJ222,1,0)*AJ$236</f>
        <v/>
      </c>
      <c r="AK249" s="19">
        <f>IF(AK222,1,0)*AK$236</f>
        <v/>
      </c>
      <c r="AL249" s="19">
        <f>IF(AL222,1,0)*AL$236</f>
        <v/>
      </c>
      <c r="AM249" s="19">
        <f>IF(AM222,1,0)*AM$236</f>
        <v/>
      </c>
      <c r="AN249" s="19">
        <f>IF(AN222,1,0)*AN$236</f>
        <v/>
      </c>
      <c r="AO249" s="19">
        <f>IF(AO222,1,0)*AO$236</f>
        <v/>
      </c>
      <c r="AP249" s="19">
        <f>IF(AP222,1,0)*AP$236</f>
        <v/>
      </c>
      <c r="AQ249" s="19">
        <f>IF(AQ222,1,0)*AQ$236</f>
        <v/>
      </c>
      <c r="AR249" s="19">
        <f>IF(AR222,1,0)*AR$236</f>
        <v/>
      </c>
      <c r="AS249" s="19">
        <f>IF(AS222,1,0)*AS$236</f>
        <v/>
      </c>
      <c r="AT249" s="19">
        <f>IF(AT222,1,0)*AT$236</f>
        <v/>
      </c>
      <c r="AU249" s="19">
        <f>IF(AU222,1,0)*AU$236</f>
        <v/>
      </c>
      <c r="AV249" s="19">
        <f>IF(AV222,1,0)*AV$236</f>
        <v/>
      </c>
      <c r="AW249" s="19">
        <f>IF(AW222,1,0)*AW$236</f>
        <v/>
      </c>
      <c r="AX249" s="19">
        <f>IF(AX222,1,0)*AX$236</f>
        <v/>
      </c>
      <c r="AY249" s="19">
        <f>IF(AY222,1,0)*AY$236</f>
        <v/>
      </c>
      <c r="AZ249" s="19">
        <f>IF(AZ222,1,0)*AZ$236</f>
        <v/>
      </c>
      <c r="BA249" s="20">
        <f>SHADOWSHARE(BA222,BA$236)</f>
        <v/>
      </c>
    </row>
    <row r="250" hidden="1" outlineLevel="1">
      <c r="A250" s="1" t="inlineStr">
        <is>
          <t>ssc</t>
        </is>
      </c>
      <c r="B250" s="1" t="inlineStr">
        <is>
          <t>all</t>
        </is>
      </c>
      <c r="C250" s="1" t="inlineStr">
        <is>
          <t>res</t>
        </is>
      </c>
      <c r="H250" s="1">
        <f>INDEX(VarLab,MATCH($A250,VarKey,0))&amp;INDEX(MemLab,MATCH($C250&amp;"|"&amp;$B250,MemKey,0))</f>
        <v/>
      </c>
      <c r="I250" s="1">
        <f>INDEX(VarUnit,MATCH($A250,VarKey,0))</f>
        <v/>
      </c>
      <c r="J250" s="1">
        <f>INDEX(VarSrc,MATCH($A250,VarKey,0))</f>
        <v/>
      </c>
      <c r="K250" s="17">
        <f>CodePrefix&amp;$A250&amp;IF($C250="","","."&amp;$C250&amp;"."&amp;$B250)&amp;INDEX(VarEnd,MATCH($A250,VarKey,0))&amp;K$5</f>
        <v/>
      </c>
      <c r="L250" s="18">
        <f>IF(L223,1,0)*L$236</f>
        <v/>
      </c>
      <c r="M250" s="19">
        <f>IF(M223,1,0)*M$236</f>
        <v/>
      </c>
      <c r="N250" s="19">
        <f>IF(N223,1,0)*N$236</f>
        <v/>
      </c>
      <c r="O250" s="19">
        <f>IF(O223,1,0)*O$236</f>
        <v/>
      </c>
      <c r="P250" s="19">
        <f>IF(P223,1,0)*P$236</f>
        <v/>
      </c>
      <c r="Q250" s="19">
        <f>IF(Q223,1,0)*Q$236</f>
        <v/>
      </c>
      <c r="R250" s="19">
        <f>IF(R223,1,0)*R$236</f>
        <v/>
      </c>
      <c r="S250" s="19">
        <f>IF(S223,1,0)*S$236</f>
        <v/>
      </c>
      <c r="T250" s="19">
        <f>IF(T223,1,0)*T$236</f>
        <v/>
      </c>
      <c r="U250" s="19">
        <f>IF(U223,1,0)*U$236</f>
        <v/>
      </c>
      <c r="V250" s="19">
        <f>IF(V223,1,0)*V$236</f>
        <v/>
      </c>
      <c r="W250" s="19">
        <f>IF(W223,1,0)*W$236</f>
        <v/>
      </c>
      <c r="X250" s="19">
        <f>IF(X223,1,0)*X$236</f>
        <v/>
      </c>
      <c r="Y250" s="19">
        <f>IF(Y223,1,0)*Y$236</f>
        <v/>
      </c>
      <c r="Z250" s="19">
        <f>IF(Z223,1,0)*Z$236</f>
        <v/>
      </c>
      <c r="AA250" s="19">
        <f>IF(AA223,1,0)*AA$236</f>
        <v/>
      </c>
      <c r="AB250" s="19">
        <f>IF(AB223,1,0)*AB$236</f>
        <v/>
      </c>
      <c r="AC250" s="19">
        <f>IF(AC223,1,0)*AC$236</f>
        <v/>
      </c>
      <c r="AD250" s="19">
        <f>IF(AD223,1,0)*AD$236</f>
        <v/>
      </c>
      <c r="AE250" s="20">
        <f>SHADOWSHARE(AE223,AE$236)</f>
        <v/>
      </c>
      <c r="AG250" s="17">
        <f>CodePrefix&amp;$A250&amp;IF($C250="","","."&amp;$C250&amp;"."&amp;$B250)&amp;INDEX(VarEnd,MATCH($A250,VarKey,0))&amp;AG$5</f>
        <v/>
      </c>
      <c r="AH250" s="18">
        <f>IF(AH223,1,0)*AH$236</f>
        <v/>
      </c>
      <c r="AI250" s="19">
        <f>IF(AI223,1,0)*AI$236</f>
        <v/>
      </c>
      <c r="AJ250" s="19">
        <f>IF(AJ223,1,0)*AJ$236</f>
        <v/>
      </c>
      <c r="AK250" s="19">
        <f>IF(AK223,1,0)*AK$236</f>
        <v/>
      </c>
      <c r="AL250" s="19">
        <f>IF(AL223,1,0)*AL$236</f>
        <v/>
      </c>
      <c r="AM250" s="19">
        <f>IF(AM223,1,0)*AM$236</f>
        <v/>
      </c>
      <c r="AN250" s="19">
        <f>IF(AN223,1,0)*AN$236</f>
        <v/>
      </c>
      <c r="AO250" s="19">
        <f>IF(AO223,1,0)*AO$236</f>
        <v/>
      </c>
      <c r="AP250" s="19">
        <f>IF(AP223,1,0)*AP$236</f>
        <v/>
      </c>
      <c r="AQ250" s="19">
        <f>IF(AQ223,1,0)*AQ$236</f>
        <v/>
      </c>
      <c r="AR250" s="19">
        <f>IF(AR223,1,0)*AR$236</f>
        <v/>
      </c>
      <c r="AS250" s="19">
        <f>IF(AS223,1,0)*AS$236</f>
        <v/>
      </c>
      <c r="AT250" s="19">
        <f>IF(AT223,1,0)*AT$236</f>
        <v/>
      </c>
      <c r="AU250" s="19">
        <f>IF(AU223,1,0)*AU$236</f>
        <v/>
      </c>
      <c r="AV250" s="19">
        <f>IF(AV223,1,0)*AV$236</f>
        <v/>
      </c>
      <c r="AW250" s="19">
        <f>IF(AW223,1,0)*AW$236</f>
        <v/>
      </c>
      <c r="AX250" s="19">
        <f>IF(AX223,1,0)*AX$236</f>
        <v/>
      </c>
      <c r="AY250" s="19">
        <f>IF(AY223,1,0)*AY$236</f>
        <v/>
      </c>
      <c r="AZ250" s="19">
        <f>IF(AZ223,1,0)*AZ$236</f>
        <v/>
      </c>
      <c r="BA250" s="20">
        <f>SHADOWSHARE(BA223,BA$236)</f>
        <v/>
      </c>
    </row>
    <row r="251" hidden="1" outlineLevel="1">
      <c r="A251" s="1" t="inlineStr">
        <is>
          <t>ssc</t>
        </is>
      </c>
      <c r="B251" s="1" t="inlineStr">
        <is>
          <t>all</t>
        </is>
      </c>
      <c r="C251" s="1" t="inlineStr">
        <is>
          <t>foo</t>
        </is>
      </c>
      <c r="H251" s="1">
        <f>INDEX(VarLab,MATCH($A251,VarKey,0))&amp;INDEX(MemLab,MATCH($C251&amp;"|"&amp;$B251,MemKey,0))</f>
        <v/>
      </c>
      <c r="I251" s="1">
        <f>INDEX(VarUnit,MATCH($A251,VarKey,0))</f>
        <v/>
      </c>
      <c r="J251" s="1">
        <f>INDEX(VarSrc,MATCH($A251,VarKey,0))</f>
        <v/>
      </c>
      <c r="K251" s="17">
        <f>CodePrefix&amp;$A251&amp;IF($C251="","","."&amp;$C251&amp;"."&amp;$B251)&amp;INDEX(VarEnd,MATCH($A251,VarKey,0))&amp;K$5</f>
        <v/>
      </c>
      <c r="L251" s="18">
        <f>IF(L224,1,0)*L$236</f>
        <v/>
      </c>
      <c r="M251" s="19">
        <f>IF(M224,1,0)*M$236</f>
        <v/>
      </c>
      <c r="N251" s="19">
        <f>IF(N224,1,0)*N$236</f>
        <v/>
      </c>
      <c r="O251" s="19">
        <f>IF(O224,1,0)*O$236</f>
        <v/>
      </c>
      <c r="P251" s="19">
        <f>IF(P224,1,0)*P$236</f>
        <v/>
      </c>
      <c r="Q251" s="19">
        <f>IF(Q224,1,0)*Q$236</f>
        <v/>
      </c>
      <c r="R251" s="19">
        <f>IF(R224,1,0)*R$236</f>
        <v/>
      </c>
      <c r="S251" s="19">
        <f>IF(S224,1,0)*S$236</f>
        <v/>
      </c>
      <c r="T251" s="19">
        <f>IF(T224,1,0)*T$236</f>
        <v/>
      </c>
      <c r="U251" s="19">
        <f>IF(U224,1,0)*U$236</f>
        <v/>
      </c>
      <c r="V251" s="19">
        <f>IF(V224,1,0)*V$236</f>
        <v/>
      </c>
      <c r="W251" s="19">
        <f>IF(W224,1,0)*W$236</f>
        <v/>
      </c>
      <c r="X251" s="19">
        <f>IF(X224,1,0)*X$236</f>
        <v/>
      </c>
      <c r="Y251" s="19">
        <f>IF(Y224,1,0)*Y$236</f>
        <v/>
      </c>
      <c r="Z251" s="19">
        <f>IF(Z224,1,0)*Z$236</f>
        <v/>
      </c>
      <c r="AA251" s="19">
        <f>IF(AA224,1,0)*AA$236</f>
        <v/>
      </c>
      <c r="AB251" s="19">
        <f>IF(AB224,1,0)*AB$236</f>
        <v/>
      </c>
      <c r="AC251" s="19">
        <f>IF(AC224,1,0)*AC$236</f>
        <v/>
      </c>
      <c r="AD251" s="19">
        <f>IF(AD224,1,0)*AD$236</f>
        <v/>
      </c>
      <c r="AE251" s="20">
        <f>SHADOWSHARE(AE224,AE$236)</f>
        <v/>
      </c>
      <c r="AG251" s="17">
        <f>CodePrefix&amp;$A251&amp;IF($C251="","","."&amp;$C251&amp;"."&amp;$B251)&amp;INDEX(VarEnd,MATCH($A251,VarKey,0))&amp;AG$5</f>
        <v/>
      </c>
      <c r="AH251" s="18">
        <f>IF(AH224,1,0)*AH$236</f>
        <v/>
      </c>
      <c r="AI251" s="19">
        <f>IF(AI224,1,0)*AI$236</f>
        <v/>
      </c>
      <c r="AJ251" s="19">
        <f>IF(AJ224,1,0)*AJ$236</f>
        <v/>
      </c>
      <c r="AK251" s="19">
        <f>IF(AK224,1,0)*AK$236</f>
        <v/>
      </c>
      <c r="AL251" s="19">
        <f>IF(AL224,1,0)*AL$236</f>
        <v/>
      </c>
      <c r="AM251" s="19">
        <f>IF(AM224,1,0)*AM$236</f>
        <v/>
      </c>
      <c r="AN251" s="19">
        <f>IF(AN224,1,0)*AN$236</f>
        <v/>
      </c>
      <c r="AO251" s="19">
        <f>IF(AO224,1,0)*AO$236</f>
        <v/>
      </c>
      <c r="AP251" s="19">
        <f>IF(AP224,1,0)*AP$236</f>
        <v/>
      </c>
      <c r="AQ251" s="19">
        <f>IF(AQ224,1,0)*AQ$236</f>
        <v/>
      </c>
      <c r="AR251" s="19">
        <f>IF(AR224,1,0)*AR$236</f>
        <v/>
      </c>
      <c r="AS251" s="19">
        <f>IF(AS224,1,0)*AS$236</f>
        <v/>
      </c>
      <c r="AT251" s="19">
        <f>IF(AT224,1,0)*AT$236</f>
        <v/>
      </c>
      <c r="AU251" s="19">
        <f>IF(AU224,1,0)*AU$236</f>
        <v/>
      </c>
      <c r="AV251" s="19">
        <f>IF(AV224,1,0)*AV$236</f>
        <v/>
      </c>
      <c r="AW251" s="19">
        <f>IF(AW224,1,0)*AW$236</f>
        <v/>
      </c>
      <c r="AX251" s="19">
        <f>IF(AX224,1,0)*AX$236</f>
        <v/>
      </c>
      <c r="AY251" s="19">
        <f>IF(AY224,1,0)*AY$236</f>
        <v/>
      </c>
      <c r="AZ251" s="19">
        <f>IF(AZ224,1,0)*AZ$236</f>
        <v/>
      </c>
      <c r="BA251" s="20">
        <f>SHADOWSHARE(BA224,BA$236)</f>
        <v/>
      </c>
    </row>
    <row r="252" hidden="1" outlineLevel="1">
      <c r="A252" s="1" t="inlineStr">
        <is>
          <t>ssc</t>
        </is>
      </c>
      <c r="B252" s="1" t="inlineStr">
        <is>
          <t>all</t>
        </is>
      </c>
      <c r="C252" s="1" t="inlineStr">
        <is>
          <t>srv</t>
        </is>
      </c>
      <c r="H252" s="1">
        <f>INDEX(VarLab,MATCH($A252,VarKey,0))&amp;INDEX(MemLab,MATCH($C252&amp;"|"&amp;$B252,MemKey,0))</f>
        <v/>
      </c>
      <c r="I252" s="1">
        <f>INDEX(VarUnit,MATCH($A252,VarKey,0))</f>
        <v/>
      </c>
      <c r="J252" s="1">
        <f>INDEX(VarSrc,MATCH($A252,VarKey,0))</f>
        <v/>
      </c>
      <c r="K252" s="17">
        <f>CodePrefix&amp;$A252&amp;IF($C252="","","."&amp;$C252&amp;"."&amp;$B252)&amp;INDEX(VarEnd,MATCH($A252,VarKey,0))&amp;K$5</f>
        <v/>
      </c>
      <c r="L252" s="18">
        <f>IF(L225,1,0)*L$236</f>
        <v/>
      </c>
      <c r="M252" s="19">
        <f>IF(M225,1,0)*M$236</f>
        <v/>
      </c>
      <c r="N252" s="19">
        <f>IF(N225,1,0)*N$236</f>
        <v/>
      </c>
      <c r="O252" s="19">
        <f>IF(O225,1,0)*O$236</f>
        <v/>
      </c>
      <c r="P252" s="19">
        <f>IF(P225,1,0)*P$236</f>
        <v/>
      </c>
      <c r="Q252" s="19">
        <f>IF(Q225,1,0)*Q$236</f>
        <v/>
      </c>
      <c r="R252" s="19">
        <f>IF(R225,1,0)*R$236</f>
        <v/>
      </c>
      <c r="S252" s="19">
        <f>IF(S225,1,0)*S$236</f>
        <v/>
      </c>
      <c r="T252" s="19">
        <f>IF(T225,1,0)*T$236</f>
        <v/>
      </c>
      <c r="U252" s="19">
        <f>IF(U225,1,0)*U$236</f>
        <v/>
      </c>
      <c r="V252" s="19">
        <f>IF(V225,1,0)*V$236</f>
        <v/>
      </c>
      <c r="W252" s="19">
        <f>IF(W225,1,0)*W$236</f>
        <v/>
      </c>
      <c r="X252" s="19">
        <f>IF(X225,1,0)*X$236</f>
        <v/>
      </c>
      <c r="Y252" s="19">
        <f>IF(Y225,1,0)*Y$236</f>
        <v/>
      </c>
      <c r="Z252" s="19">
        <f>IF(Z225,1,0)*Z$236</f>
        <v/>
      </c>
      <c r="AA252" s="19">
        <f>IF(AA225,1,0)*AA$236</f>
        <v/>
      </c>
      <c r="AB252" s="19">
        <f>IF(AB225,1,0)*AB$236</f>
        <v/>
      </c>
      <c r="AC252" s="19">
        <f>IF(AC225,1,0)*AC$236</f>
        <v/>
      </c>
      <c r="AD252" s="19">
        <f>IF(AD225,1,0)*AD$236</f>
        <v/>
      </c>
      <c r="AE252" s="20">
        <f>SHADOWSHARE(AE225,AE$236)</f>
        <v/>
      </c>
      <c r="AG252" s="17">
        <f>CodePrefix&amp;$A252&amp;IF($C252="","","."&amp;$C252&amp;"."&amp;$B252)&amp;INDEX(VarEnd,MATCH($A252,VarKey,0))&amp;AG$5</f>
        <v/>
      </c>
      <c r="AH252" s="18">
        <f>IF(AH225,1,0)*AH$236</f>
        <v/>
      </c>
      <c r="AI252" s="19">
        <f>IF(AI225,1,0)*AI$236</f>
        <v/>
      </c>
      <c r="AJ252" s="19">
        <f>IF(AJ225,1,0)*AJ$236</f>
        <v/>
      </c>
      <c r="AK252" s="19">
        <f>IF(AK225,1,0)*AK$236</f>
        <v/>
      </c>
      <c r="AL252" s="19">
        <f>IF(AL225,1,0)*AL$236</f>
        <v/>
      </c>
      <c r="AM252" s="19">
        <f>IF(AM225,1,0)*AM$236</f>
        <v/>
      </c>
      <c r="AN252" s="19">
        <f>IF(AN225,1,0)*AN$236</f>
        <v/>
      </c>
      <c r="AO252" s="19">
        <f>IF(AO225,1,0)*AO$236</f>
        <v/>
      </c>
      <c r="AP252" s="19">
        <f>IF(AP225,1,0)*AP$236</f>
        <v/>
      </c>
      <c r="AQ252" s="19">
        <f>IF(AQ225,1,0)*AQ$236</f>
        <v/>
      </c>
      <c r="AR252" s="19">
        <f>IF(AR225,1,0)*AR$236</f>
        <v/>
      </c>
      <c r="AS252" s="19">
        <f>IF(AS225,1,0)*AS$236</f>
        <v/>
      </c>
      <c r="AT252" s="19">
        <f>IF(AT225,1,0)*AT$236</f>
        <v/>
      </c>
      <c r="AU252" s="19">
        <f>IF(AU225,1,0)*AU$236</f>
        <v/>
      </c>
      <c r="AV252" s="19">
        <f>IF(AV225,1,0)*AV$236</f>
        <v/>
      </c>
      <c r="AW252" s="19">
        <f>IF(AW225,1,0)*AW$236</f>
        <v/>
      </c>
      <c r="AX252" s="19">
        <f>IF(AX225,1,0)*AX$236</f>
        <v/>
      </c>
      <c r="AY252" s="19">
        <f>IF(AY225,1,0)*AY$236</f>
        <v/>
      </c>
      <c r="AZ252" s="19">
        <f>IF(AZ225,1,0)*AZ$236</f>
        <v/>
      </c>
      <c r="BA252" s="20">
        <f>SHADOWSHARE(BA225,BA$236)</f>
        <v/>
      </c>
    </row>
    <row r="253" hidden="1" outlineLevel="1">
      <c r="A253" s="1" t="inlineStr">
        <is>
          <t>ssc</t>
        </is>
      </c>
      <c r="B253" s="1" t="inlineStr">
        <is>
          <t>all</t>
        </is>
      </c>
      <c r="C253" s="1" t="inlineStr">
        <is>
          <t>mch</t>
        </is>
      </c>
      <c r="H253" s="1">
        <f>INDEX(VarLab,MATCH($A253,VarKey,0))&amp;INDEX(MemLab,MATCH($C253&amp;"|"&amp;$B253,MemKey,0))</f>
        <v/>
      </c>
      <c r="I253" s="1">
        <f>INDEX(VarUnit,MATCH($A253,VarKey,0))</f>
        <v/>
      </c>
      <c r="J253" s="1">
        <f>INDEX(VarSrc,MATCH($A253,VarKey,0))</f>
        <v/>
      </c>
      <c r="K253" s="17">
        <f>CodePrefix&amp;$A253&amp;IF($C253="","","."&amp;$C253&amp;"."&amp;$B253)&amp;INDEX(VarEnd,MATCH($A253,VarKey,0))&amp;K$5</f>
        <v/>
      </c>
      <c r="L253" s="18">
        <f>IF(L226,1,0)*L$236</f>
        <v/>
      </c>
      <c r="M253" s="19">
        <f>IF(M226,1,0)*M$236</f>
        <v/>
      </c>
      <c r="N253" s="19">
        <f>IF(N226,1,0)*N$236</f>
        <v/>
      </c>
      <c r="O253" s="19">
        <f>IF(O226,1,0)*O$236</f>
        <v/>
      </c>
      <c r="P253" s="19">
        <f>IF(P226,1,0)*P$236</f>
        <v/>
      </c>
      <c r="Q253" s="19">
        <f>IF(Q226,1,0)*Q$236</f>
        <v/>
      </c>
      <c r="R253" s="19">
        <f>IF(R226,1,0)*R$236</f>
        <v/>
      </c>
      <c r="S253" s="19">
        <f>IF(S226,1,0)*S$236</f>
        <v/>
      </c>
      <c r="T253" s="19">
        <f>IF(T226,1,0)*T$236</f>
        <v/>
      </c>
      <c r="U253" s="19">
        <f>IF(U226,1,0)*U$236</f>
        <v/>
      </c>
      <c r="V253" s="19">
        <f>IF(V226,1,0)*V$236</f>
        <v/>
      </c>
      <c r="W253" s="19">
        <f>IF(W226,1,0)*W$236</f>
        <v/>
      </c>
      <c r="X253" s="19">
        <f>IF(X226,1,0)*X$236</f>
        <v/>
      </c>
      <c r="Y253" s="19">
        <f>IF(Y226,1,0)*Y$236</f>
        <v/>
      </c>
      <c r="Z253" s="19">
        <f>IF(Z226,1,0)*Z$236</f>
        <v/>
      </c>
      <c r="AA253" s="19">
        <f>IF(AA226,1,0)*AA$236</f>
        <v/>
      </c>
      <c r="AB253" s="19">
        <f>IF(AB226,1,0)*AB$236</f>
        <v/>
      </c>
      <c r="AC253" s="19">
        <f>IF(AC226,1,0)*AC$236</f>
        <v/>
      </c>
      <c r="AD253" s="19">
        <f>IF(AD226,1,0)*AD$236</f>
        <v/>
      </c>
      <c r="AE253" s="20">
        <f>SHADOWSHARE(AE226,AE$236)</f>
        <v/>
      </c>
      <c r="AG253" s="17">
        <f>CodePrefix&amp;$A253&amp;IF($C253="","","."&amp;$C253&amp;"."&amp;$B253)&amp;INDEX(VarEnd,MATCH($A253,VarKey,0))&amp;AG$5</f>
        <v/>
      </c>
      <c r="AH253" s="18">
        <f>IF(AH226,1,0)*AH$236</f>
        <v/>
      </c>
      <c r="AI253" s="19">
        <f>IF(AI226,1,0)*AI$236</f>
        <v/>
      </c>
      <c r="AJ253" s="19">
        <f>IF(AJ226,1,0)*AJ$236</f>
        <v/>
      </c>
      <c r="AK253" s="19">
        <f>IF(AK226,1,0)*AK$236</f>
        <v/>
      </c>
      <c r="AL253" s="19">
        <f>IF(AL226,1,0)*AL$236</f>
        <v/>
      </c>
      <c r="AM253" s="19">
        <f>IF(AM226,1,0)*AM$236</f>
        <v/>
      </c>
      <c r="AN253" s="19">
        <f>IF(AN226,1,0)*AN$236</f>
        <v/>
      </c>
      <c r="AO253" s="19">
        <f>IF(AO226,1,0)*AO$236</f>
        <v/>
      </c>
      <c r="AP253" s="19">
        <f>IF(AP226,1,0)*AP$236</f>
        <v/>
      </c>
      <c r="AQ253" s="19">
        <f>IF(AQ226,1,0)*AQ$236</f>
        <v/>
      </c>
      <c r="AR253" s="19">
        <f>IF(AR226,1,0)*AR$236</f>
        <v/>
      </c>
      <c r="AS253" s="19">
        <f>IF(AS226,1,0)*AS$236</f>
        <v/>
      </c>
      <c r="AT253" s="19">
        <f>IF(AT226,1,0)*AT$236</f>
        <v/>
      </c>
      <c r="AU253" s="19">
        <f>IF(AU226,1,0)*AU$236</f>
        <v/>
      </c>
      <c r="AV253" s="19">
        <f>IF(AV226,1,0)*AV$236</f>
        <v/>
      </c>
      <c r="AW253" s="19">
        <f>IF(AW226,1,0)*AW$236</f>
        <v/>
      </c>
      <c r="AX253" s="19">
        <f>IF(AX226,1,0)*AX$236</f>
        <v/>
      </c>
      <c r="AY253" s="19">
        <f>IF(AY226,1,0)*AY$236</f>
        <v/>
      </c>
      <c r="AZ253" s="19">
        <f>IF(AZ226,1,0)*AZ$236</f>
        <v/>
      </c>
      <c r="BA253" s="20">
        <f>SHADOWSHARE(BA226,BA$236)</f>
        <v/>
      </c>
    </row>
    <row r="254" hidden="1" outlineLevel="1">
      <c r="A254" s="1" t="inlineStr">
        <is>
          <t>ssc</t>
        </is>
      </c>
      <c r="B254" s="1" t="inlineStr">
        <is>
          <t>all</t>
        </is>
      </c>
      <c r="C254" s="1" t="inlineStr">
        <is>
          <t>irn</t>
        </is>
      </c>
      <c r="H254" s="1">
        <f>INDEX(VarLab,MATCH($A254,VarKey,0))&amp;INDEX(MemLab,MATCH($C254&amp;"|"&amp;$B254,MemKey,0))</f>
        <v/>
      </c>
      <c r="I254" s="1">
        <f>INDEX(VarUnit,MATCH($A254,VarKey,0))</f>
        <v/>
      </c>
      <c r="J254" s="1">
        <f>INDEX(VarSrc,MATCH($A254,VarKey,0))</f>
        <v/>
      </c>
      <c r="K254" s="17">
        <f>CodePrefix&amp;$A254&amp;IF($C254="","","."&amp;$C254&amp;"."&amp;$B254)&amp;INDEX(VarEnd,MATCH($A254,VarKey,0))&amp;K$5</f>
        <v/>
      </c>
      <c r="L254" s="18">
        <f>IF(L227,1,0)*L$236</f>
        <v/>
      </c>
      <c r="M254" s="19">
        <f>IF(M227,1,0)*M$236</f>
        <v/>
      </c>
      <c r="N254" s="19">
        <f>IF(N227,1,0)*N$236</f>
        <v/>
      </c>
      <c r="O254" s="19">
        <f>IF(O227,1,0)*O$236</f>
        <v/>
      </c>
      <c r="P254" s="19">
        <f>IF(P227,1,0)*P$236</f>
        <v/>
      </c>
      <c r="Q254" s="19">
        <f>IF(Q227,1,0)*Q$236</f>
        <v/>
      </c>
      <c r="R254" s="19">
        <f>IF(R227,1,0)*R$236</f>
        <v/>
      </c>
      <c r="S254" s="19">
        <f>IF(S227,1,0)*S$236</f>
        <v/>
      </c>
      <c r="T254" s="19">
        <f>IF(T227,1,0)*T$236</f>
        <v/>
      </c>
      <c r="U254" s="19">
        <f>IF(U227,1,0)*U$236</f>
        <v/>
      </c>
      <c r="V254" s="19">
        <f>IF(V227,1,0)*V$236</f>
        <v/>
      </c>
      <c r="W254" s="19">
        <f>IF(W227,1,0)*W$236</f>
        <v/>
      </c>
      <c r="X254" s="19">
        <f>IF(X227,1,0)*X$236</f>
        <v/>
      </c>
      <c r="Y254" s="19">
        <f>IF(Y227,1,0)*Y$236</f>
        <v/>
      </c>
      <c r="Z254" s="19">
        <f>IF(Z227,1,0)*Z$236</f>
        <v/>
      </c>
      <c r="AA254" s="19">
        <f>IF(AA227,1,0)*AA$236</f>
        <v/>
      </c>
      <c r="AB254" s="19">
        <f>IF(AB227,1,0)*AB$236</f>
        <v/>
      </c>
      <c r="AC254" s="19">
        <f>IF(AC227,1,0)*AC$236</f>
        <v/>
      </c>
      <c r="AD254" s="19">
        <f>IF(AD227,1,0)*AD$236</f>
        <v/>
      </c>
      <c r="AE254" s="20">
        <f>SHADOWSHARE(AE227,AE$236)</f>
        <v/>
      </c>
      <c r="AG254" s="17">
        <f>CodePrefix&amp;$A254&amp;IF($C254="","","."&amp;$C254&amp;"."&amp;$B254)&amp;INDEX(VarEnd,MATCH($A254,VarKey,0))&amp;AG$5</f>
        <v/>
      </c>
      <c r="AH254" s="18">
        <f>IF(AH227,1,0)*AH$236</f>
        <v/>
      </c>
      <c r="AI254" s="19">
        <f>IF(AI227,1,0)*AI$236</f>
        <v/>
      </c>
      <c r="AJ254" s="19">
        <f>IF(AJ227,1,0)*AJ$236</f>
        <v/>
      </c>
      <c r="AK254" s="19">
        <f>IF(AK227,1,0)*AK$236</f>
        <v/>
      </c>
      <c r="AL254" s="19">
        <f>IF(AL227,1,0)*AL$236</f>
        <v/>
      </c>
      <c r="AM254" s="19">
        <f>IF(AM227,1,0)*AM$236</f>
        <v/>
      </c>
      <c r="AN254" s="19">
        <f>IF(AN227,1,0)*AN$236</f>
        <v/>
      </c>
      <c r="AO254" s="19">
        <f>IF(AO227,1,0)*AO$236</f>
        <v/>
      </c>
      <c r="AP254" s="19">
        <f>IF(AP227,1,0)*AP$236</f>
        <v/>
      </c>
      <c r="AQ254" s="19">
        <f>IF(AQ227,1,0)*AQ$236</f>
        <v/>
      </c>
      <c r="AR254" s="19">
        <f>IF(AR227,1,0)*AR$236</f>
        <v/>
      </c>
      <c r="AS254" s="19">
        <f>IF(AS227,1,0)*AS$236</f>
        <v/>
      </c>
      <c r="AT254" s="19">
        <f>IF(AT227,1,0)*AT$236</f>
        <v/>
      </c>
      <c r="AU254" s="19">
        <f>IF(AU227,1,0)*AU$236</f>
        <v/>
      </c>
      <c r="AV254" s="19">
        <f>IF(AV227,1,0)*AV$236</f>
        <v/>
      </c>
      <c r="AW254" s="19">
        <f>IF(AW227,1,0)*AW$236</f>
        <v/>
      </c>
      <c r="AX254" s="19">
        <f>IF(AX227,1,0)*AX$236</f>
        <v/>
      </c>
      <c r="AY254" s="19">
        <f>IF(AY227,1,0)*AY$236</f>
        <v/>
      </c>
      <c r="AZ254" s="19">
        <f>IF(AZ227,1,0)*AZ$236</f>
        <v/>
      </c>
      <c r="BA254" s="20">
        <f>SHADOWSHARE(BA227,BA$236)</f>
        <v/>
      </c>
    </row>
    <row r="255" hidden="1" outlineLevel="1">
      <c r="A255" s="1" t="inlineStr">
        <is>
          <t>ssc</t>
        </is>
      </c>
      <c r="B255" s="1" t="inlineStr">
        <is>
          <t>all</t>
        </is>
      </c>
      <c r="C255" s="1" t="inlineStr">
        <is>
          <t>nfm</t>
        </is>
      </c>
      <c r="H255" s="1">
        <f>INDEX(VarLab,MATCH($A255,VarKey,0))&amp;INDEX(MemLab,MATCH($C255&amp;"|"&amp;$B255,MemKey,0))</f>
        <v/>
      </c>
      <c r="I255" s="1">
        <f>INDEX(VarUnit,MATCH($A255,VarKey,0))</f>
        <v/>
      </c>
      <c r="J255" s="1">
        <f>INDEX(VarSrc,MATCH($A255,VarKey,0))</f>
        <v/>
      </c>
      <c r="K255" s="17">
        <f>CodePrefix&amp;$A255&amp;IF($C255="","","."&amp;$C255&amp;"."&amp;$B255)&amp;INDEX(VarEnd,MATCH($A255,VarKey,0))&amp;K$5</f>
        <v/>
      </c>
      <c r="L255" s="18">
        <f>IF(L228,1,0)*L$236</f>
        <v/>
      </c>
      <c r="M255" s="19">
        <f>IF(M228,1,0)*M$236</f>
        <v/>
      </c>
      <c r="N255" s="19">
        <f>IF(N228,1,0)*N$236</f>
        <v/>
      </c>
      <c r="O255" s="19">
        <f>IF(O228,1,0)*O$236</f>
        <v/>
      </c>
      <c r="P255" s="19">
        <f>IF(P228,1,0)*P$236</f>
        <v/>
      </c>
      <c r="Q255" s="19">
        <f>IF(Q228,1,0)*Q$236</f>
        <v/>
      </c>
      <c r="R255" s="19">
        <f>IF(R228,1,0)*R$236</f>
        <v/>
      </c>
      <c r="S255" s="19">
        <f>IF(S228,1,0)*S$236</f>
        <v/>
      </c>
      <c r="T255" s="19">
        <f>IF(T228,1,0)*T$236</f>
        <v/>
      </c>
      <c r="U255" s="19">
        <f>IF(U228,1,0)*U$236</f>
        <v/>
      </c>
      <c r="V255" s="19">
        <f>IF(V228,1,0)*V$236</f>
        <v/>
      </c>
      <c r="W255" s="19">
        <f>IF(W228,1,0)*W$236</f>
        <v/>
      </c>
      <c r="X255" s="19">
        <f>IF(X228,1,0)*X$236</f>
        <v/>
      </c>
      <c r="Y255" s="19">
        <f>IF(Y228,1,0)*Y$236</f>
        <v/>
      </c>
      <c r="Z255" s="19">
        <f>IF(Z228,1,0)*Z$236</f>
        <v/>
      </c>
      <c r="AA255" s="19">
        <f>IF(AA228,1,0)*AA$236</f>
        <v/>
      </c>
      <c r="AB255" s="19">
        <f>IF(AB228,1,0)*AB$236</f>
        <v/>
      </c>
      <c r="AC255" s="19">
        <f>IF(AC228,1,0)*AC$236</f>
        <v/>
      </c>
      <c r="AD255" s="19">
        <f>IF(AD228,1,0)*AD$236</f>
        <v/>
      </c>
      <c r="AE255" s="20">
        <f>SHADOWSHARE(AE228,AE$236)</f>
        <v/>
      </c>
      <c r="AG255" s="17">
        <f>CodePrefix&amp;$A255&amp;IF($C255="","","."&amp;$C255&amp;"."&amp;$B255)&amp;INDEX(VarEnd,MATCH($A255,VarKey,0))&amp;AG$5</f>
        <v/>
      </c>
      <c r="AH255" s="18">
        <f>IF(AH228,1,0)*AH$236</f>
        <v/>
      </c>
      <c r="AI255" s="19">
        <f>IF(AI228,1,0)*AI$236</f>
        <v/>
      </c>
      <c r="AJ255" s="19">
        <f>IF(AJ228,1,0)*AJ$236</f>
        <v/>
      </c>
      <c r="AK255" s="19">
        <f>IF(AK228,1,0)*AK$236</f>
        <v/>
      </c>
      <c r="AL255" s="19">
        <f>IF(AL228,1,0)*AL$236</f>
        <v/>
      </c>
      <c r="AM255" s="19">
        <f>IF(AM228,1,0)*AM$236</f>
        <v/>
      </c>
      <c r="AN255" s="19">
        <f>IF(AN228,1,0)*AN$236</f>
        <v/>
      </c>
      <c r="AO255" s="19">
        <f>IF(AO228,1,0)*AO$236</f>
        <v/>
      </c>
      <c r="AP255" s="19">
        <f>IF(AP228,1,0)*AP$236</f>
        <v/>
      </c>
      <c r="AQ255" s="19">
        <f>IF(AQ228,1,0)*AQ$236</f>
        <v/>
      </c>
      <c r="AR255" s="19">
        <f>IF(AR228,1,0)*AR$236</f>
        <v/>
      </c>
      <c r="AS255" s="19">
        <f>IF(AS228,1,0)*AS$236</f>
        <v/>
      </c>
      <c r="AT255" s="19">
        <f>IF(AT228,1,0)*AT$236</f>
        <v/>
      </c>
      <c r="AU255" s="19">
        <f>IF(AU228,1,0)*AU$236</f>
        <v/>
      </c>
      <c r="AV255" s="19">
        <f>IF(AV228,1,0)*AV$236</f>
        <v/>
      </c>
      <c r="AW255" s="19">
        <f>IF(AW228,1,0)*AW$236</f>
        <v/>
      </c>
      <c r="AX255" s="19">
        <f>IF(AX228,1,0)*AX$236</f>
        <v/>
      </c>
      <c r="AY255" s="19">
        <f>IF(AY228,1,0)*AY$236</f>
        <v/>
      </c>
      <c r="AZ255" s="19">
        <f>IF(AZ228,1,0)*AZ$236</f>
        <v/>
      </c>
      <c r="BA255" s="20">
        <f>SHADOWSHARE(BA228,BA$236)</f>
        <v/>
      </c>
    </row>
    <row r="256" hidden="1" outlineLevel="1">
      <c r="A256" s="1" t="inlineStr">
        <is>
          <t>ssc</t>
        </is>
      </c>
      <c r="B256" s="1" t="inlineStr">
        <is>
          <t>all</t>
        </is>
      </c>
      <c r="C256" s="1" t="inlineStr">
        <is>
          <t>mac</t>
        </is>
      </c>
      <c r="H256" s="1">
        <f>INDEX(VarLab,MATCH($A256,VarKey,0))&amp;INDEX(MemLab,MATCH($C256&amp;"|"&amp;$B256,MemKey,0))</f>
        <v/>
      </c>
      <c r="I256" s="1">
        <f>INDEX(VarUnit,MATCH($A256,VarKey,0))</f>
        <v/>
      </c>
      <c r="J256" s="1">
        <f>INDEX(VarSrc,MATCH($A256,VarKey,0))</f>
        <v/>
      </c>
      <c r="K256" s="17">
        <f>CodePrefix&amp;$A256&amp;IF($C256="","","."&amp;$C256&amp;"."&amp;$B256)&amp;INDEX(VarEnd,MATCH($A256,VarKey,0))&amp;K$5</f>
        <v/>
      </c>
      <c r="L256" s="18">
        <f>IF(L229,1,0)*L$236</f>
        <v/>
      </c>
      <c r="M256" s="19">
        <f>IF(M229,1,0)*M$236</f>
        <v/>
      </c>
      <c r="N256" s="19">
        <f>IF(N229,1,0)*N$236</f>
        <v/>
      </c>
      <c r="O256" s="19">
        <f>IF(O229,1,0)*O$236</f>
        <v/>
      </c>
      <c r="P256" s="19">
        <f>IF(P229,1,0)*P$236</f>
        <v/>
      </c>
      <c r="Q256" s="19">
        <f>IF(Q229,1,0)*Q$236</f>
        <v/>
      </c>
      <c r="R256" s="19">
        <f>IF(R229,1,0)*R$236</f>
        <v/>
      </c>
      <c r="S256" s="19">
        <f>IF(S229,1,0)*S$236</f>
        <v/>
      </c>
      <c r="T256" s="19">
        <f>IF(T229,1,0)*T$236</f>
        <v/>
      </c>
      <c r="U256" s="19">
        <f>IF(U229,1,0)*U$236</f>
        <v/>
      </c>
      <c r="V256" s="19">
        <f>IF(V229,1,0)*V$236</f>
        <v/>
      </c>
      <c r="W256" s="19">
        <f>IF(W229,1,0)*W$236</f>
        <v/>
      </c>
      <c r="X256" s="19">
        <f>IF(X229,1,0)*X$236</f>
        <v/>
      </c>
      <c r="Y256" s="19">
        <f>IF(Y229,1,0)*Y$236</f>
        <v/>
      </c>
      <c r="Z256" s="19">
        <f>IF(Z229,1,0)*Z$236</f>
        <v/>
      </c>
      <c r="AA256" s="19">
        <f>IF(AA229,1,0)*AA$236</f>
        <v/>
      </c>
      <c r="AB256" s="19">
        <f>IF(AB229,1,0)*AB$236</f>
        <v/>
      </c>
      <c r="AC256" s="19">
        <f>IF(AC229,1,0)*AC$236</f>
        <v/>
      </c>
      <c r="AD256" s="19">
        <f>IF(AD229,1,0)*AD$236</f>
        <v/>
      </c>
      <c r="AE256" s="20">
        <f>SHADOWSHARE(AE229,AE$236)</f>
        <v/>
      </c>
      <c r="AG256" s="17">
        <f>CodePrefix&amp;$A256&amp;IF($C256="","","."&amp;$C256&amp;"."&amp;$B256)&amp;INDEX(VarEnd,MATCH($A256,VarKey,0))&amp;AG$5</f>
        <v/>
      </c>
      <c r="AH256" s="18">
        <f>IF(AH229,1,0)*AH$236</f>
        <v/>
      </c>
      <c r="AI256" s="19">
        <f>IF(AI229,1,0)*AI$236</f>
        <v/>
      </c>
      <c r="AJ256" s="19">
        <f>IF(AJ229,1,0)*AJ$236</f>
        <v/>
      </c>
      <c r="AK256" s="19">
        <f>IF(AK229,1,0)*AK$236</f>
        <v/>
      </c>
      <c r="AL256" s="19">
        <f>IF(AL229,1,0)*AL$236</f>
        <v/>
      </c>
      <c r="AM256" s="19">
        <f>IF(AM229,1,0)*AM$236</f>
        <v/>
      </c>
      <c r="AN256" s="19">
        <f>IF(AN229,1,0)*AN$236</f>
        <v/>
      </c>
      <c r="AO256" s="19">
        <f>IF(AO229,1,0)*AO$236</f>
        <v/>
      </c>
      <c r="AP256" s="19">
        <f>IF(AP229,1,0)*AP$236</f>
        <v/>
      </c>
      <c r="AQ256" s="19">
        <f>IF(AQ229,1,0)*AQ$236</f>
        <v/>
      </c>
      <c r="AR256" s="19">
        <f>IF(AR229,1,0)*AR$236</f>
        <v/>
      </c>
      <c r="AS256" s="19">
        <f>IF(AS229,1,0)*AS$236</f>
        <v/>
      </c>
      <c r="AT256" s="19">
        <f>IF(AT229,1,0)*AT$236</f>
        <v/>
      </c>
      <c r="AU256" s="19">
        <f>IF(AU229,1,0)*AU$236</f>
        <v/>
      </c>
      <c r="AV256" s="19">
        <f>IF(AV229,1,0)*AV$236</f>
        <v/>
      </c>
      <c r="AW256" s="19">
        <f>IF(AW229,1,0)*AW$236</f>
        <v/>
      </c>
      <c r="AX256" s="19">
        <f>IF(AX229,1,0)*AX$236</f>
        <v/>
      </c>
      <c r="AY256" s="19">
        <f>IF(AY229,1,0)*AY$236</f>
        <v/>
      </c>
      <c r="AZ256" s="19">
        <f>IF(AZ229,1,0)*AZ$236</f>
        <v/>
      </c>
      <c r="BA256" s="20">
        <f>SHADOWSHARE(BA229,BA$236)</f>
        <v/>
      </c>
    </row>
    <row r="257" hidden="1" outlineLevel="1">
      <c r="A257" s="1" t="inlineStr">
        <is>
          <t>ssc</t>
        </is>
      </c>
      <c r="B257" s="1" t="inlineStr">
        <is>
          <t>all</t>
        </is>
      </c>
      <c r="C257" s="1" t="inlineStr">
        <is>
          <t>cem</t>
        </is>
      </c>
      <c r="H257" s="1">
        <f>INDEX(VarLab,MATCH($A257,VarKey,0))&amp;INDEX(MemLab,MATCH($C257&amp;"|"&amp;$B257,MemKey,0))</f>
        <v/>
      </c>
      <c r="I257" s="1">
        <f>INDEX(VarUnit,MATCH($A257,VarKey,0))</f>
        <v/>
      </c>
      <c r="J257" s="1">
        <f>INDEX(VarSrc,MATCH($A257,VarKey,0))</f>
        <v/>
      </c>
      <c r="K257" s="17">
        <f>CodePrefix&amp;$A257&amp;IF($C257="","","."&amp;$C257&amp;"."&amp;$B257)&amp;INDEX(VarEnd,MATCH($A257,VarKey,0))&amp;K$5</f>
        <v/>
      </c>
      <c r="L257" s="18">
        <f>IF(L230,1,0)*L$236</f>
        <v/>
      </c>
      <c r="M257" s="19">
        <f>IF(M230,1,0)*M$236</f>
        <v/>
      </c>
      <c r="N257" s="19">
        <f>IF(N230,1,0)*N$236</f>
        <v/>
      </c>
      <c r="O257" s="19">
        <f>IF(O230,1,0)*O$236</f>
        <v/>
      </c>
      <c r="P257" s="19">
        <f>IF(P230,1,0)*P$236</f>
        <v/>
      </c>
      <c r="Q257" s="19">
        <f>IF(Q230,1,0)*Q$236</f>
        <v/>
      </c>
      <c r="R257" s="19">
        <f>IF(R230,1,0)*R$236</f>
        <v/>
      </c>
      <c r="S257" s="19">
        <f>IF(S230,1,0)*S$236</f>
        <v/>
      </c>
      <c r="T257" s="19">
        <f>IF(T230,1,0)*T$236</f>
        <v/>
      </c>
      <c r="U257" s="19">
        <f>IF(U230,1,0)*U$236</f>
        <v/>
      </c>
      <c r="V257" s="19">
        <f>IF(V230,1,0)*V$236</f>
        <v/>
      </c>
      <c r="W257" s="19">
        <f>IF(W230,1,0)*W$236</f>
        <v/>
      </c>
      <c r="X257" s="19">
        <f>IF(X230,1,0)*X$236</f>
        <v/>
      </c>
      <c r="Y257" s="19">
        <f>IF(Y230,1,0)*Y$236</f>
        <v/>
      </c>
      <c r="Z257" s="19">
        <f>IF(Z230,1,0)*Z$236</f>
        <v/>
      </c>
      <c r="AA257" s="19">
        <f>IF(AA230,1,0)*AA$236</f>
        <v/>
      </c>
      <c r="AB257" s="19">
        <f>IF(AB230,1,0)*AB$236</f>
        <v/>
      </c>
      <c r="AC257" s="19">
        <f>IF(AC230,1,0)*AC$236</f>
        <v/>
      </c>
      <c r="AD257" s="19">
        <f>IF(AD230,1,0)*AD$236</f>
        <v/>
      </c>
      <c r="AE257" s="20">
        <f>SHADOWSHARE(AE230,AE$236)</f>
        <v/>
      </c>
      <c r="AG257" s="17">
        <f>CodePrefix&amp;$A257&amp;IF($C257="","","."&amp;$C257&amp;"."&amp;$B257)&amp;INDEX(VarEnd,MATCH($A257,VarKey,0))&amp;AG$5</f>
        <v/>
      </c>
      <c r="AH257" s="18">
        <f>IF(AH230,1,0)*AH$236</f>
        <v/>
      </c>
      <c r="AI257" s="19">
        <f>IF(AI230,1,0)*AI$236</f>
        <v/>
      </c>
      <c r="AJ257" s="19">
        <f>IF(AJ230,1,0)*AJ$236</f>
        <v/>
      </c>
      <c r="AK257" s="19">
        <f>IF(AK230,1,0)*AK$236</f>
        <v/>
      </c>
      <c r="AL257" s="19">
        <f>IF(AL230,1,0)*AL$236</f>
        <v/>
      </c>
      <c r="AM257" s="19">
        <f>IF(AM230,1,0)*AM$236</f>
        <v/>
      </c>
      <c r="AN257" s="19">
        <f>IF(AN230,1,0)*AN$236</f>
        <v/>
      </c>
      <c r="AO257" s="19">
        <f>IF(AO230,1,0)*AO$236</f>
        <v/>
      </c>
      <c r="AP257" s="19">
        <f>IF(AP230,1,0)*AP$236</f>
        <v/>
      </c>
      <c r="AQ257" s="19">
        <f>IF(AQ230,1,0)*AQ$236</f>
        <v/>
      </c>
      <c r="AR257" s="19">
        <f>IF(AR230,1,0)*AR$236</f>
        <v/>
      </c>
      <c r="AS257" s="19">
        <f>IF(AS230,1,0)*AS$236</f>
        <v/>
      </c>
      <c r="AT257" s="19">
        <f>IF(AT230,1,0)*AT$236</f>
        <v/>
      </c>
      <c r="AU257" s="19">
        <f>IF(AU230,1,0)*AU$236</f>
        <v/>
      </c>
      <c r="AV257" s="19">
        <f>IF(AV230,1,0)*AV$236</f>
        <v/>
      </c>
      <c r="AW257" s="19">
        <f>IF(AW230,1,0)*AW$236</f>
        <v/>
      </c>
      <c r="AX257" s="19">
        <f>IF(AX230,1,0)*AX$236</f>
        <v/>
      </c>
      <c r="AY257" s="19">
        <f>IF(AY230,1,0)*AY$236</f>
        <v/>
      </c>
      <c r="AZ257" s="19">
        <f>IF(AZ230,1,0)*AZ$236</f>
        <v/>
      </c>
      <c r="BA257" s="20">
        <f>SHADOWSHARE(BA230,BA$236)</f>
        <v/>
      </c>
    </row>
    <row r="258" hidden="1" outlineLevel="1">
      <c r="A258" s="1" t="inlineStr">
        <is>
          <t>ssc</t>
        </is>
      </c>
      <c r="B258" s="1" t="inlineStr">
        <is>
          <t>all</t>
        </is>
      </c>
      <c r="C258" s="1" t="inlineStr">
        <is>
          <t>omn</t>
        </is>
      </c>
      <c r="H258" s="1">
        <f>INDEX(VarLab,MATCH($A258,VarKey,0))&amp;INDEX(MemLab,MATCH($C258&amp;"|"&amp;$B258,MemKey,0))</f>
        <v/>
      </c>
      <c r="I258" s="1">
        <f>INDEX(VarUnit,MATCH($A258,VarKey,0))</f>
        <v/>
      </c>
      <c r="J258" s="1">
        <f>INDEX(VarSrc,MATCH($A258,VarKey,0))</f>
        <v/>
      </c>
      <c r="K258" s="17">
        <f>CodePrefix&amp;$A258&amp;IF($C258="","","."&amp;$C258&amp;"."&amp;$B258)&amp;INDEX(VarEnd,MATCH($A258,VarKey,0))&amp;K$5</f>
        <v/>
      </c>
      <c r="L258" s="18">
        <f>IF(L231,1,0)*L$236</f>
        <v/>
      </c>
      <c r="M258" s="19">
        <f>IF(M231,1,0)*M$236</f>
        <v/>
      </c>
      <c r="N258" s="19">
        <f>IF(N231,1,0)*N$236</f>
        <v/>
      </c>
      <c r="O258" s="19">
        <f>IF(O231,1,0)*O$236</f>
        <v/>
      </c>
      <c r="P258" s="19">
        <f>IF(P231,1,0)*P$236</f>
        <v/>
      </c>
      <c r="Q258" s="19">
        <f>IF(Q231,1,0)*Q$236</f>
        <v/>
      </c>
      <c r="R258" s="19">
        <f>IF(R231,1,0)*R$236</f>
        <v/>
      </c>
      <c r="S258" s="19">
        <f>IF(S231,1,0)*S$236</f>
        <v/>
      </c>
      <c r="T258" s="19">
        <f>IF(T231,1,0)*T$236</f>
        <v/>
      </c>
      <c r="U258" s="19">
        <f>IF(U231,1,0)*U$236</f>
        <v/>
      </c>
      <c r="V258" s="19">
        <f>IF(V231,1,0)*V$236</f>
        <v/>
      </c>
      <c r="W258" s="19">
        <f>IF(W231,1,0)*W$236</f>
        <v/>
      </c>
      <c r="X258" s="19">
        <f>IF(X231,1,0)*X$236</f>
        <v/>
      </c>
      <c r="Y258" s="19">
        <f>IF(Y231,1,0)*Y$236</f>
        <v/>
      </c>
      <c r="Z258" s="19">
        <f>IF(Z231,1,0)*Z$236</f>
        <v/>
      </c>
      <c r="AA258" s="19">
        <f>IF(AA231,1,0)*AA$236</f>
        <v/>
      </c>
      <c r="AB258" s="19">
        <f>IF(AB231,1,0)*AB$236</f>
        <v/>
      </c>
      <c r="AC258" s="19">
        <f>IF(AC231,1,0)*AC$236</f>
        <v/>
      </c>
      <c r="AD258" s="19">
        <f>IF(AD231,1,0)*AD$236</f>
        <v/>
      </c>
      <c r="AE258" s="20">
        <f>SHADOWSHARE(AE231,AE$236)</f>
        <v/>
      </c>
      <c r="AG258" s="17">
        <f>CodePrefix&amp;$A258&amp;IF($C258="","","."&amp;$C258&amp;"."&amp;$B258)&amp;INDEX(VarEnd,MATCH($A258,VarKey,0))&amp;AG$5</f>
        <v/>
      </c>
      <c r="AH258" s="18">
        <f>IF(AH231,1,0)*AH$236</f>
        <v/>
      </c>
      <c r="AI258" s="19">
        <f>IF(AI231,1,0)*AI$236</f>
        <v/>
      </c>
      <c r="AJ258" s="19">
        <f>IF(AJ231,1,0)*AJ$236</f>
        <v/>
      </c>
      <c r="AK258" s="19">
        <f>IF(AK231,1,0)*AK$236</f>
        <v/>
      </c>
      <c r="AL258" s="19">
        <f>IF(AL231,1,0)*AL$236</f>
        <v/>
      </c>
      <c r="AM258" s="19">
        <f>IF(AM231,1,0)*AM$236</f>
        <v/>
      </c>
      <c r="AN258" s="19">
        <f>IF(AN231,1,0)*AN$236</f>
        <v/>
      </c>
      <c r="AO258" s="19">
        <f>IF(AO231,1,0)*AO$236</f>
        <v/>
      </c>
      <c r="AP258" s="19">
        <f>IF(AP231,1,0)*AP$236</f>
        <v/>
      </c>
      <c r="AQ258" s="19">
        <f>IF(AQ231,1,0)*AQ$236</f>
        <v/>
      </c>
      <c r="AR258" s="19">
        <f>IF(AR231,1,0)*AR$236</f>
        <v/>
      </c>
      <c r="AS258" s="19">
        <f>IF(AS231,1,0)*AS$236</f>
        <v/>
      </c>
      <c r="AT258" s="19">
        <f>IF(AT231,1,0)*AT$236</f>
        <v/>
      </c>
      <c r="AU258" s="19">
        <f>IF(AU231,1,0)*AU$236</f>
        <v/>
      </c>
      <c r="AV258" s="19">
        <f>IF(AV231,1,0)*AV$236</f>
        <v/>
      </c>
      <c r="AW258" s="19">
        <f>IF(AW231,1,0)*AW$236</f>
        <v/>
      </c>
      <c r="AX258" s="19">
        <f>IF(AX231,1,0)*AX$236</f>
        <v/>
      </c>
      <c r="AY258" s="19">
        <f>IF(AY231,1,0)*AY$236</f>
        <v/>
      </c>
      <c r="AZ258" s="19">
        <f>IF(AZ231,1,0)*AZ$236</f>
        <v/>
      </c>
      <c r="BA258" s="20">
        <f>SHADOWSHARE(BA231,BA$236)</f>
        <v/>
      </c>
    </row>
    <row r="259" hidden="1" outlineLevel="1">
      <c r="A259" s="1" t="inlineStr">
        <is>
          <t>ssc</t>
        </is>
      </c>
      <c r="B259" s="1" t="inlineStr">
        <is>
          <t>all</t>
        </is>
      </c>
      <c r="C259" s="1" t="inlineStr">
        <is>
          <t>cst</t>
        </is>
      </c>
      <c r="H259" s="1">
        <f>INDEX(VarLab,MATCH($A259,VarKey,0))&amp;INDEX(MemLab,MATCH($C259&amp;"|"&amp;$B259,MemKey,0))</f>
        <v/>
      </c>
      <c r="I259" s="1">
        <f>INDEX(VarUnit,MATCH($A259,VarKey,0))</f>
        <v/>
      </c>
      <c r="J259" s="1">
        <f>INDEX(VarSrc,MATCH($A259,VarKey,0))</f>
        <v/>
      </c>
      <c r="K259" s="17">
        <f>CodePrefix&amp;$A259&amp;IF($C259="","","."&amp;$C259&amp;"."&amp;$B259)&amp;INDEX(VarEnd,MATCH($A259,VarKey,0))&amp;K$5</f>
        <v/>
      </c>
      <c r="L259" s="18">
        <f>IF(L232,1,0)*L$236</f>
        <v/>
      </c>
      <c r="M259" s="19">
        <f>IF(M232,1,0)*M$236</f>
        <v/>
      </c>
      <c r="N259" s="19">
        <f>IF(N232,1,0)*N$236</f>
        <v/>
      </c>
      <c r="O259" s="19">
        <f>IF(O232,1,0)*O$236</f>
        <v/>
      </c>
      <c r="P259" s="19">
        <f>IF(P232,1,0)*P$236</f>
        <v/>
      </c>
      <c r="Q259" s="19">
        <f>IF(Q232,1,0)*Q$236</f>
        <v/>
      </c>
      <c r="R259" s="19">
        <f>IF(R232,1,0)*R$236</f>
        <v/>
      </c>
      <c r="S259" s="19">
        <f>IF(S232,1,0)*S$236</f>
        <v/>
      </c>
      <c r="T259" s="19">
        <f>IF(T232,1,0)*T$236</f>
        <v/>
      </c>
      <c r="U259" s="19">
        <f>IF(U232,1,0)*U$236</f>
        <v/>
      </c>
      <c r="V259" s="19">
        <f>IF(V232,1,0)*V$236</f>
        <v/>
      </c>
      <c r="W259" s="19">
        <f>IF(W232,1,0)*W$236</f>
        <v/>
      </c>
      <c r="X259" s="19">
        <f>IF(X232,1,0)*X$236</f>
        <v/>
      </c>
      <c r="Y259" s="19">
        <f>IF(Y232,1,0)*Y$236</f>
        <v/>
      </c>
      <c r="Z259" s="19">
        <f>IF(Z232,1,0)*Z$236</f>
        <v/>
      </c>
      <c r="AA259" s="19">
        <f>IF(AA232,1,0)*AA$236</f>
        <v/>
      </c>
      <c r="AB259" s="19">
        <f>IF(AB232,1,0)*AB$236</f>
        <v/>
      </c>
      <c r="AC259" s="19">
        <f>IF(AC232,1,0)*AC$236</f>
        <v/>
      </c>
      <c r="AD259" s="19">
        <f>IF(AD232,1,0)*AD$236</f>
        <v/>
      </c>
      <c r="AE259" s="20">
        <f>SHADOWSHARE(AE232,AE$236)</f>
        <v/>
      </c>
      <c r="AG259" s="17">
        <f>CodePrefix&amp;$A259&amp;IF($C259="","","."&amp;$C259&amp;"."&amp;$B259)&amp;INDEX(VarEnd,MATCH($A259,VarKey,0))&amp;AG$5</f>
        <v/>
      </c>
      <c r="AH259" s="18">
        <f>IF(AH232,1,0)*AH$236</f>
        <v/>
      </c>
      <c r="AI259" s="19">
        <f>IF(AI232,1,0)*AI$236</f>
        <v/>
      </c>
      <c r="AJ259" s="19">
        <f>IF(AJ232,1,0)*AJ$236</f>
        <v/>
      </c>
      <c r="AK259" s="19">
        <f>IF(AK232,1,0)*AK$236</f>
        <v/>
      </c>
      <c r="AL259" s="19">
        <f>IF(AL232,1,0)*AL$236</f>
        <v/>
      </c>
      <c r="AM259" s="19">
        <f>IF(AM232,1,0)*AM$236</f>
        <v/>
      </c>
      <c r="AN259" s="19">
        <f>IF(AN232,1,0)*AN$236</f>
        <v/>
      </c>
      <c r="AO259" s="19">
        <f>IF(AO232,1,0)*AO$236</f>
        <v/>
      </c>
      <c r="AP259" s="19">
        <f>IF(AP232,1,0)*AP$236</f>
        <v/>
      </c>
      <c r="AQ259" s="19">
        <f>IF(AQ232,1,0)*AQ$236</f>
        <v/>
      </c>
      <c r="AR259" s="19">
        <f>IF(AR232,1,0)*AR$236</f>
        <v/>
      </c>
      <c r="AS259" s="19">
        <f>IF(AS232,1,0)*AS$236</f>
        <v/>
      </c>
      <c r="AT259" s="19">
        <f>IF(AT232,1,0)*AT$236</f>
        <v/>
      </c>
      <c r="AU259" s="19">
        <f>IF(AU232,1,0)*AU$236</f>
        <v/>
      </c>
      <c r="AV259" s="19">
        <f>IF(AV232,1,0)*AV$236</f>
        <v/>
      </c>
      <c r="AW259" s="19">
        <f>IF(AW232,1,0)*AW$236</f>
        <v/>
      </c>
      <c r="AX259" s="19">
        <f>IF(AX232,1,0)*AX$236</f>
        <v/>
      </c>
      <c r="AY259" s="19">
        <f>IF(AY232,1,0)*AY$236</f>
        <v/>
      </c>
      <c r="AZ259" s="19">
        <f>IF(AZ232,1,0)*AZ$236</f>
        <v/>
      </c>
      <c r="BA259" s="20">
        <f>SHADOWSHARE(BA232,BA$236)</f>
        <v/>
      </c>
    </row>
    <row r="260" hidden="1" outlineLevel="1">
      <c r="A260" s="1" t="inlineStr">
        <is>
          <t>ssc</t>
        </is>
      </c>
      <c r="B260" s="1" t="inlineStr">
        <is>
          <t>all</t>
        </is>
      </c>
      <c r="C260" s="1" t="inlineStr">
        <is>
          <t>ftr</t>
        </is>
      </c>
      <c r="H260" s="1">
        <f>INDEX(VarLab,MATCH($A260,VarKey,0))&amp;INDEX(MemLab,MATCH($C260&amp;"|"&amp;$B260,MemKey,0))</f>
        <v/>
      </c>
      <c r="I260" s="1">
        <f>INDEX(VarUnit,MATCH($A260,VarKey,0))</f>
        <v/>
      </c>
      <c r="J260" s="1">
        <f>INDEX(VarSrc,MATCH($A260,VarKey,0))</f>
        <v/>
      </c>
      <c r="K260" s="17">
        <f>CodePrefix&amp;$A260&amp;IF($C260="","","."&amp;$C260&amp;"."&amp;$B260)&amp;INDEX(VarEnd,MATCH($A260,VarKey,0))&amp;K$5</f>
        <v/>
      </c>
      <c r="L260" s="18">
        <f>IF(L233,1,0)*L$236</f>
        <v/>
      </c>
      <c r="M260" s="19">
        <f>IF(M233,1,0)*M$236</f>
        <v/>
      </c>
      <c r="N260" s="19">
        <f>IF(N233,1,0)*N$236</f>
        <v/>
      </c>
      <c r="O260" s="19">
        <f>IF(O233,1,0)*O$236</f>
        <v/>
      </c>
      <c r="P260" s="19">
        <f>IF(P233,1,0)*P$236</f>
        <v/>
      </c>
      <c r="Q260" s="19">
        <f>IF(Q233,1,0)*Q$236</f>
        <v/>
      </c>
      <c r="R260" s="19">
        <f>IF(R233,1,0)*R$236</f>
        <v/>
      </c>
      <c r="S260" s="19">
        <f>IF(S233,1,0)*S$236</f>
        <v/>
      </c>
      <c r="T260" s="19">
        <f>IF(T233,1,0)*T$236</f>
        <v/>
      </c>
      <c r="U260" s="19">
        <f>IF(U233,1,0)*U$236</f>
        <v/>
      </c>
      <c r="V260" s="19">
        <f>IF(V233,1,0)*V$236</f>
        <v/>
      </c>
      <c r="W260" s="19">
        <f>IF(W233,1,0)*W$236</f>
        <v/>
      </c>
      <c r="X260" s="19">
        <f>IF(X233,1,0)*X$236</f>
        <v/>
      </c>
      <c r="Y260" s="19">
        <f>IF(Y233,1,0)*Y$236</f>
        <v/>
      </c>
      <c r="Z260" s="19">
        <f>IF(Z233,1,0)*Z$236</f>
        <v/>
      </c>
      <c r="AA260" s="19">
        <f>IF(AA233,1,0)*AA$236</f>
        <v/>
      </c>
      <c r="AB260" s="19">
        <f>IF(AB233,1,0)*AB$236</f>
        <v/>
      </c>
      <c r="AC260" s="19">
        <f>IF(AC233,1,0)*AC$236</f>
        <v/>
      </c>
      <c r="AD260" s="19">
        <f>IF(AD233,1,0)*AD$236</f>
        <v/>
      </c>
      <c r="AE260" s="20">
        <f>SHADOWSHARE(AE233,AE$236)</f>
        <v/>
      </c>
      <c r="AG260" s="17">
        <f>CodePrefix&amp;$A260&amp;IF($C260="","","."&amp;$C260&amp;"."&amp;$B260)&amp;INDEX(VarEnd,MATCH($A260,VarKey,0))&amp;AG$5</f>
        <v/>
      </c>
      <c r="AH260" s="18">
        <f>IF(AH233,1,0)*AH$236</f>
        <v/>
      </c>
      <c r="AI260" s="19">
        <f>IF(AI233,1,0)*AI$236</f>
        <v/>
      </c>
      <c r="AJ260" s="19">
        <f>IF(AJ233,1,0)*AJ$236</f>
        <v/>
      </c>
      <c r="AK260" s="19">
        <f>IF(AK233,1,0)*AK$236</f>
        <v/>
      </c>
      <c r="AL260" s="19">
        <f>IF(AL233,1,0)*AL$236</f>
        <v/>
      </c>
      <c r="AM260" s="19">
        <f>IF(AM233,1,0)*AM$236</f>
        <v/>
      </c>
      <c r="AN260" s="19">
        <f>IF(AN233,1,0)*AN$236</f>
        <v/>
      </c>
      <c r="AO260" s="19">
        <f>IF(AO233,1,0)*AO$236</f>
        <v/>
      </c>
      <c r="AP260" s="19">
        <f>IF(AP233,1,0)*AP$236</f>
        <v/>
      </c>
      <c r="AQ260" s="19">
        <f>IF(AQ233,1,0)*AQ$236</f>
        <v/>
      </c>
      <c r="AR260" s="19">
        <f>IF(AR233,1,0)*AR$236</f>
        <v/>
      </c>
      <c r="AS260" s="19">
        <f>IF(AS233,1,0)*AS$236</f>
        <v/>
      </c>
      <c r="AT260" s="19">
        <f>IF(AT233,1,0)*AT$236</f>
        <v/>
      </c>
      <c r="AU260" s="19">
        <f>IF(AU233,1,0)*AU$236</f>
        <v/>
      </c>
      <c r="AV260" s="19">
        <f>IF(AV233,1,0)*AV$236</f>
        <v/>
      </c>
      <c r="AW260" s="19">
        <f>IF(AW233,1,0)*AW$236</f>
        <v/>
      </c>
      <c r="AX260" s="19">
        <f>IF(AX233,1,0)*AX$236</f>
        <v/>
      </c>
      <c r="AY260" s="19">
        <f>IF(AY233,1,0)*AY$236</f>
        <v/>
      </c>
      <c r="AZ260" s="19">
        <f>IF(AZ233,1,0)*AZ$236</f>
        <v/>
      </c>
      <c r="BA260" s="20">
        <f>SHADOWSHARE(BA233,BA$236)</f>
        <v/>
      </c>
    </row>
    <row r="261" hidden="1" outlineLevel="1">
      <c r="A261" s="1" t="inlineStr">
        <is>
          <t>ssc</t>
        </is>
      </c>
      <c r="B261" s="1" t="inlineStr">
        <is>
          <t>all</t>
        </is>
      </c>
      <c r="C261" s="1" t="inlineStr">
        <is>
          <t>oen</t>
        </is>
      </c>
      <c r="H261" s="1">
        <f>INDEX(VarLab,MATCH($A261,VarKey,0))&amp;INDEX(MemLab,MATCH($C261&amp;"|"&amp;$B261,MemKey,0))</f>
        <v/>
      </c>
      <c r="I261" s="1">
        <f>INDEX(VarUnit,MATCH($A261,VarKey,0))</f>
        <v/>
      </c>
      <c r="J261" s="1">
        <f>INDEX(VarSrc,MATCH($A261,VarKey,0))</f>
        <v/>
      </c>
      <c r="K261" s="17">
        <f>CodePrefix&amp;$A261&amp;IF($C261="","","."&amp;$C261&amp;"."&amp;$B261)&amp;INDEX(VarEnd,MATCH($A261,VarKey,0))&amp;K$5</f>
        <v/>
      </c>
      <c r="L261" s="18">
        <f>IF(L234,1,0)*L$236</f>
        <v/>
      </c>
      <c r="M261" s="19">
        <f>IF(M234,1,0)*M$236</f>
        <v/>
      </c>
      <c r="N261" s="19">
        <f>IF(N234,1,0)*N$236</f>
        <v/>
      </c>
      <c r="O261" s="19">
        <f>IF(O234,1,0)*O$236</f>
        <v/>
      </c>
      <c r="P261" s="19">
        <f>IF(P234,1,0)*P$236</f>
        <v/>
      </c>
      <c r="Q261" s="19">
        <f>IF(Q234,1,0)*Q$236</f>
        <v/>
      </c>
      <c r="R261" s="19">
        <f>IF(R234,1,0)*R$236</f>
        <v/>
      </c>
      <c r="S261" s="19">
        <f>IF(S234,1,0)*S$236</f>
        <v/>
      </c>
      <c r="T261" s="19">
        <f>IF(T234,1,0)*T$236</f>
        <v/>
      </c>
      <c r="U261" s="19">
        <f>IF(U234,1,0)*U$236</f>
        <v/>
      </c>
      <c r="V261" s="19">
        <f>IF(V234,1,0)*V$236</f>
        <v/>
      </c>
      <c r="W261" s="19">
        <f>IF(W234,1,0)*W$236</f>
        <v/>
      </c>
      <c r="X261" s="19">
        <f>IF(X234,1,0)*X$236</f>
        <v/>
      </c>
      <c r="Y261" s="19">
        <f>IF(Y234,1,0)*Y$236</f>
        <v/>
      </c>
      <c r="Z261" s="19">
        <f>IF(Z234,1,0)*Z$236</f>
        <v/>
      </c>
      <c r="AA261" s="19">
        <f>IF(AA234,1,0)*AA$236</f>
        <v/>
      </c>
      <c r="AB261" s="19">
        <f>IF(AB234,1,0)*AB$236</f>
        <v/>
      </c>
      <c r="AC261" s="19">
        <f>IF(AC234,1,0)*AC$236</f>
        <v/>
      </c>
      <c r="AD261" s="19">
        <f>IF(AD234,1,0)*AD$236</f>
        <v/>
      </c>
      <c r="AE261" s="20">
        <f>SHADOWSHARE(AE234,AE$236)</f>
        <v/>
      </c>
      <c r="AG261" s="17">
        <f>CodePrefix&amp;$A261&amp;IF($C261="","","."&amp;$C261&amp;"."&amp;$B261)&amp;INDEX(VarEnd,MATCH($A261,VarKey,0))&amp;AG$5</f>
        <v/>
      </c>
      <c r="AH261" s="18">
        <f>IF(AH234,1,0)*AH$236</f>
        <v/>
      </c>
      <c r="AI261" s="19">
        <f>IF(AI234,1,0)*AI$236</f>
        <v/>
      </c>
      <c r="AJ261" s="19">
        <f>IF(AJ234,1,0)*AJ$236</f>
        <v/>
      </c>
      <c r="AK261" s="19">
        <f>IF(AK234,1,0)*AK$236</f>
        <v/>
      </c>
      <c r="AL261" s="19">
        <f>IF(AL234,1,0)*AL$236</f>
        <v/>
      </c>
      <c r="AM261" s="19">
        <f>IF(AM234,1,0)*AM$236</f>
        <v/>
      </c>
      <c r="AN261" s="19">
        <f>IF(AN234,1,0)*AN$236</f>
        <v/>
      </c>
      <c r="AO261" s="19">
        <f>IF(AO234,1,0)*AO$236</f>
        <v/>
      </c>
      <c r="AP261" s="19">
        <f>IF(AP234,1,0)*AP$236</f>
        <v/>
      </c>
      <c r="AQ261" s="19">
        <f>IF(AQ234,1,0)*AQ$236</f>
        <v/>
      </c>
      <c r="AR261" s="19">
        <f>IF(AR234,1,0)*AR$236</f>
        <v/>
      </c>
      <c r="AS261" s="19">
        <f>IF(AS234,1,0)*AS$236</f>
        <v/>
      </c>
      <c r="AT261" s="19">
        <f>IF(AT234,1,0)*AT$236</f>
        <v/>
      </c>
      <c r="AU261" s="19">
        <f>IF(AU234,1,0)*AU$236</f>
        <v/>
      </c>
      <c r="AV261" s="19">
        <f>IF(AV234,1,0)*AV$236</f>
        <v/>
      </c>
      <c r="AW261" s="19">
        <f>IF(AW234,1,0)*AW$236</f>
        <v/>
      </c>
      <c r="AX261" s="19">
        <f>IF(AX234,1,0)*AX$236</f>
        <v/>
      </c>
      <c r="AY261" s="19">
        <f>IF(AY234,1,0)*AY$236</f>
        <v/>
      </c>
      <c r="AZ261" s="19">
        <f>IF(AZ234,1,0)*AZ$236</f>
        <v/>
      </c>
      <c r="BA261" s="20">
        <f>SHADOWSHARE(BA234,BA$236)</f>
        <v/>
      </c>
    </row>
    <row r="262" hidden="1" outlineLevel="1">
      <c r="H262" s="21" t="inlineStr">
        <is>
          <t>Policy rates by sector ($/tCO2; v1.07): carbon tax (carbon price x sector coverage x (1 - ETS coverage)), ETS cost in the fuel price (tax-equivalent price x ETS coverage x (1 - OBR)), shadow price on the efficiency margin (feebates and regulations x share + ETS tax-equivalent price x ETS coverage x OBR; D: feebate sector position)</t>
        </is>
      </c>
    </row>
    <row r="263" hidden="1" outlineLevel="1">
      <c r="A263" s="1" t="inlineStr">
        <is>
          <t>ctr</t>
        </is>
      </c>
      <c r="B263" s="1" t="inlineStr">
        <is>
          <t>all</t>
        </is>
      </c>
      <c r="C263" s="1" t="inlineStr">
        <is>
          <t>pow</t>
        </is>
      </c>
      <c r="D263" s="35">
        <f>INDEX(ECPCov,MATCH("ees.pow",ECPKey,0))</f>
        <v/>
      </c>
      <c r="H263" s="1">
        <f>INDEX(VarLab,MATCH($A263,VarKey,0))&amp;INDEX(MemLab,MATCH($C263&amp;"|"&amp;$B263,MemKey,0))</f>
        <v/>
      </c>
      <c r="I263" s="1">
        <f>INDEX(VarUnit,MATCH($A263,VarKey,0))</f>
        <v/>
      </c>
      <c r="J263" s="1">
        <f>INDEX(VarSrc,MATCH($A263,VarKey,0))</f>
        <v/>
      </c>
      <c r="K263" s="17">
        <f>CodePrefix&amp;$A263&amp;IF($C263="","","."&amp;$C263&amp;"."&amp;$B263)&amp;INDEX(VarEnd,MATCH($A263,VarKey,0))&amp;K$5</f>
        <v/>
      </c>
      <c r="L263" s="18">
        <f>L$12*IF(LEFT(L$319,3)="Yes",1-$D263,L32)*(1-L124)</f>
        <v/>
      </c>
      <c r="M263" s="19">
        <f>M$12*IF(LEFT(M$319,3)="Yes",1-$D263,M32)*(1-M124)</f>
        <v/>
      </c>
      <c r="N263" s="19">
        <f>N$12*IF(LEFT(N$319,3)="Yes",1-$D263,N32)*(1-N124)</f>
        <v/>
      </c>
      <c r="O263" s="19">
        <f>O$12*IF(LEFT(O$319,3)="Yes",1-$D263,O32)*(1-O124)</f>
        <v/>
      </c>
      <c r="P263" s="19">
        <f>P$12*IF(LEFT(P$319,3)="Yes",1-$D263,P32)*(1-P124)</f>
        <v/>
      </c>
      <c r="Q263" s="19">
        <f>Q$12*IF(LEFT(Q$319,3)="Yes",1-$D263,Q32)*(1-Q124)</f>
        <v/>
      </c>
      <c r="R263" s="19">
        <f>R$12*IF(LEFT(R$319,3)="Yes",1-$D263,R32)*(1-R124)</f>
        <v/>
      </c>
      <c r="S263" s="19">
        <f>S$12*IF(LEFT(S$319,3)="Yes",1-$D263,S32)*(1-S124)</f>
        <v/>
      </c>
      <c r="T263" s="19">
        <f>T$12*IF(LEFT(T$319,3)="Yes",1-$D263,T32)*(1-T124)</f>
        <v/>
      </c>
      <c r="U263" s="19">
        <f>U$12*IF(LEFT(U$319,3)="Yes",1-$D263,U32)*(1-U124)</f>
        <v/>
      </c>
      <c r="V263" s="19">
        <f>V$12*IF(LEFT(V$319,3)="Yes",1-$D263,V32)*(1-V124)</f>
        <v/>
      </c>
      <c r="W263" s="19">
        <f>W$12*IF(LEFT(W$319,3)="Yes",1-$D263,W32)*(1-W124)</f>
        <v/>
      </c>
      <c r="X263" s="19">
        <f>X$12*IF(LEFT(X$319,3)="Yes",1-$D263,X32)*(1-X124)</f>
        <v/>
      </c>
      <c r="Y263" s="19">
        <f>Y$12*IF(LEFT(Y$319,3)="Yes",1-$D263,Y32)*(1-Y124)</f>
        <v/>
      </c>
      <c r="Z263" s="19">
        <f>Z$12*IF(LEFT(Z$319,3)="Yes",1-$D263,Z32)*(1-Z124)</f>
        <v/>
      </c>
      <c r="AA263" s="19">
        <f>AA$12*IF(LEFT(AA$319,3)="Yes",1-$D263,AA32)*(1-AA124)</f>
        <v/>
      </c>
      <c r="AB263" s="19">
        <f>AB$12*IF(LEFT(AB$319,3)="Yes",1-$D263,AB32)*(1-AB124)</f>
        <v/>
      </c>
      <c r="AC263" s="19">
        <f>AC$12*IF(LEFT(AC$319,3)="Yes",1-$D263,AC32)*(1-AC124)</f>
        <v/>
      </c>
      <c r="AD263" s="19">
        <f>AD$12*IF(LEFT(AD$319,3)="Yes",1-$D263,AD32)*(1-AD124)</f>
        <v/>
      </c>
      <c r="AE263" s="20">
        <f>SECTORTAX(AE$12,AE32,AE124,AE$319,$D263)</f>
        <v/>
      </c>
      <c r="AG263" s="17">
        <f>CodePrefix&amp;$A263&amp;IF($C263="","","."&amp;$C263&amp;"."&amp;$B263)&amp;INDEX(VarEnd,MATCH($A263,VarKey,0))&amp;AG$5</f>
        <v/>
      </c>
      <c r="AH263" s="18">
        <f>AH$12*IF(LEFT(AH$319,3)="Yes",1-$D263,AH32)*(1-AH124)</f>
        <v/>
      </c>
      <c r="AI263" s="19">
        <f>AI$12*IF(LEFT(AI$319,3)="Yes",1-$D263,AI32)*(1-AI124)</f>
        <v/>
      </c>
      <c r="AJ263" s="19">
        <f>AJ$12*IF(LEFT(AJ$319,3)="Yes",1-$D263,AJ32)*(1-AJ124)</f>
        <v/>
      </c>
      <c r="AK263" s="19">
        <f>AK$12*IF(LEFT(AK$319,3)="Yes",1-$D263,AK32)*(1-AK124)</f>
        <v/>
      </c>
      <c r="AL263" s="19">
        <f>AL$12*IF(LEFT(AL$319,3)="Yes",1-$D263,AL32)*(1-AL124)</f>
        <v/>
      </c>
      <c r="AM263" s="19">
        <f>AM$12*IF(LEFT(AM$319,3)="Yes",1-$D263,AM32)*(1-AM124)</f>
        <v/>
      </c>
      <c r="AN263" s="19">
        <f>AN$12*IF(LEFT(AN$319,3)="Yes",1-$D263,AN32)*(1-AN124)</f>
        <v/>
      </c>
      <c r="AO263" s="19">
        <f>AO$12*IF(LEFT(AO$319,3)="Yes",1-$D263,AO32)*(1-AO124)</f>
        <v/>
      </c>
      <c r="AP263" s="19">
        <f>AP$12*IF(LEFT(AP$319,3)="Yes",1-$D263,AP32)*(1-AP124)</f>
        <v/>
      </c>
      <c r="AQ263" s="19">
        <f>AQ$12*IF(LEFT(AQ$319,3)="Yes",1-$D263,AQ32)*(1-AQ124)</f>
        <v/>
      </c>
      <c r="AR263" s="19">
        <f>AR$12*IF(LEFT(AR$319,3)="Yes",1-$D263,AR32)*(1-AR124)</f>
        <v/>
      </c>
      <c r="AS263" s="19">
        <f>AS$12*IF(LEFT(AS$319,3)="Yes",1-$D263,AS32)*(1-AS124)</f>
        <v/>
      </c>
      <c r="AT263" s="19">
        <f>AT$12*IF(LEFT(AT$319,3)="Yes",1-$D263,AT32)*(1-AT124)</f>
        <v/>
      </c>
      <c r="AU263" s="19">
        <f>AU$12*IF(LEFT(AU$319,3)="Yes",1-$D263,AU32)*(1-AU124)</f>
        <v/>
      </c>
      <c r="AV263" s="19">
        <f>AV$12*IF(LEFT(AV$319,3)="Yes",1-$D263,AV32)*(1-AV124)</f>
        <v/>
      </c>
      <c r="AW263" s="19">
        <f>AW$12*IF(LEFT(AW$319,3)="Yes",1-$D263,AW32)*(1-AW124)</f>
        <v/>
      </c>
      <c r="AX263" s="19">
        <f>AX$12*IF(LEFT(AX$319,3)="Yes",1-$D263,AX32)*(1-AX124)</f>
        <v/>
      </c>
      <c r="AY263" s="19">
        <f>AY$12*IF(LEFT(AY$319,3)="Yes",1-$D263,AY32)*(1-AY124)</f>
        <v/>
      </c>
      <c r="AZ263" s="19">
        <f>AZ$12*IF(LEFT(AZ$319,3)="Yes",1-$D263,AZ32)*(1-AZ124)</f>
        <v/>
      </c>
      <c r="BA263" s="20">
        <f>SECTORTAX(BA$12,BA32,BA124,BA$319,$D263)</f>
        <v/>
      </c>
    </row>
    <row r="264" hidden="1" outlineLevel="1">
      <c r="A264" s="1" t="inlineStr">
        <is>
          <t>ctr</t>
        </is>
      </c>
      <c r="B264" s="1" t="inlineStr">
        <is>
          <t>all</t>
        </is>
      </c>
      <c r="C264" s="1" t="inlineStr">
        <is>
          <t>rod</t>
        </is>
      </c>
      <c r="D264" s="35">
        <f>INDEX(ECPCov,MATCH("ees.trs",ECPKey,0))</f>
        <v/>
      </c>
      <c r="H264" s="1">
        <f>INDEX(VarLab,MATCH($A264,VarKey,0))&amp;INDEX(MemLab,MATCH($C264&amp;"|"&amp;$B264,MemKey,0))</f>
        <v/>
      </c>
      <c r="I264" s="1">
        <f>INDEX(VarUnit,MATCH($A264,VarKey,0))</f>
        <v/>
      </c>
      <c r="J264" s="1">
        <f>INDEX(VarSrc,MATCH($A264,VarKey,0))</f>
        <v/>
      </c>
      <c r="K264" s="17">
        <f>CodePrefix&amp;$A264&amp;IF($C264="","","."&amp;$C264&amp;"."&amp;$B264)&amp;INDEX(VarEnd,MATCH($A264,VarKey,0))&amp;K$5</f>
        <v/>
      </c>
      <c r="L264" s="18">
        <f>L$12*IF(LEFT(L$319,3)="Yes",1-$D264,L33)*(1-L125)</f>
        <v/>
      </c>
      <c r="M264" s="19">
        <f>M$12*IF(LEFT(M$319,3)="Yes",1-$D264,M33)*(1-M125)</f>
        <v/>
      </c>
      <c r="N264" s="19">
        <f>N$12*IF(LEFT(N$319,3)="Yes",1-$D264,N33)*(1-N125)</f>
        <v/>
      </c>
      <c r="O264" s="19">
        <f>O$12*IF(LEFT(O$319,3)="Yes",1-$D264,O33)*(1-O125)</f>
        <v/>
      </c>
      <c r="P264" s="19">
        <f>P$12*IF(LEFT(P$319,3)="Yes",1-$D264,P33)*(1-P125)</f>
        <v/>
      </c>
      <c r="Q264" s="19">
        <f>Q$12*IF(LEFT(Q$319,3)="Yes",1-$D264,Q33)*(1-Q125)</f>
        <v/>
      </c>
      <c r="R264" s="19">
        <f>R$12*IF(LEFT(R$319,3)="Yes",1-$D264,R33)*(1-R125)</f>
        <v/>
      </c>
      <c r="S264" s="19">
        <f>S$12*IF(LEFT(S$319,3)="Yes",1-$D264,S33)*(1-S125)</f>
        <v/>
      </c>
      <c r="T264" s="19">
        <f>T$12*IF(LEFT(T$319,3)="Yes",1-$D264,T33)*(1-T125)</f>
        <v/>
      </c>
      <c r="U264" s="19">
        <f>U$12*IF(LEFT(U$319,3)="Yes",1-$D264,U33)*(1-U125)</f>
        <v/>
      </c>
      <c r="V264" s="19">
        <f>V$12*IF(LEFT(V$319,3)="Yes",1-$D264,V33)*(1-V125)</f>
        <v/>
      </c>
      <c r="W264" s="19">
        <f>W$12*IF(LEFT(W$319,3)="Yes",1-$D264,W33)*(1-W125)</f>
        <v/>
      </c>
      <c r="X264" s="19">
        <f>X$12*IF(LEFT(X$319,3)="Yes",1-$D264,X33)*(1-X125)</f>
        <v/>
      </c>
      <c r="Y264" s="19">
        <f>Y$12*IF(LEFT(Y$319,3)="Yes",1-$D264,Y33)*(1-Y125)</f>
        <v/>
      </c>
      <c r="Z264" s="19">
        <f>Z$12*IF(LEFT(Z$319,3)="Yes",1-$D264,Z33)*(1-Z125)</f>
        <v/>
      </c>
      <c r="AA264" s="19">
        <f>AA$12*IF(LEFT(AA$319,3)="Yes",1-$D264,AA33)*(1-AA125)</f>
        <v/>
      </c>
      <c r="AB264" s="19">
        <f>AB$12*IF(LEFT(AB$319,3)="Yes",1-$D264,AB33)*(1-AB125)</f>
        <v/>
      </c>
      <c r="AC264" s="19">
        <f>AC$12*IF(LEFT(AC$319,3)="Yes",1-$D264,AC33)*(1-AC125)</f>
        <v/>
      </c>
      <c r="AD264" s="19">
        <f>AD$12*IF(LEFT(AD$319,3)="Yes",1-$D264,AD33)*(1-AD125)</f>
        <v/>
      </c>
      <c r="AE264" s="20">
        <f>SECTORTAX(AE$12,AE33,AE125,AE$319,$D264)</f>
        <v/>
      </c>
      <c r="AG264" s="17">
        <f>CodePrefix&amp;$A264&amp;IF($C264="","","."&amp;$C264&amp;"."&amp;$B264)&amp;INDEX(VarEnd,MATCH($A264,VarKey,0))&amp;AG$5</f>
        <v/>
      </c>
      <c r="AH264" s="18">
        <f>AH$12*IF(LEFT(AH$319,3)="Yes",1-$D264,AH33)*(1-AH125)</f>
        <v/>
      </c>
      <c r="AI264" s="19">
        <f>AI$12*IF(LEFT(AI$319,3)="Yes",1-$D264,AI33)*(1-AI125)</f>
        <v/>
      </c>
      <c r="AJ264" s="19">
        <f>AJ$12*IF(LEFT(AJ$319,3)="Yes",1-$D264,AJ33)*(1-AJ125)</f>
        <v/>
      </c>
      <c r="AK264" s="19">
        <f>AK$12*IF(LEFT(AK$319,3)="Yes",1-$D264,AK33)*(1-AK125)</f>
        <v/>
      </c>
      <c r="AL264" s="19">
        <f>AL$12*IF(LEFT(AL$319,3)="Yes",1-$D264,AL33)*(1-AL125)</f>
        <v/>
      </c>
      <c r="AM264" s="19">
        <f>AM$12*IF(LEFT(AM$319,3)="Yes",1-$D264,AM33)*(1-AM125)</f>
        <v/>
      </c>
      <c r="AN264" s="19">
        <f>AN$12*IF(LEFT(AN$319,3)="Yes",1-$D264,AN33)*(1-AN125)</f>
        <v/>
      </c>
      <c r="AO264" s="19">
        <f>AO$12*IF(LEFT(AO$319,3)="Yes",1-$D264,AO33)*(1-AO125)</f>
        <v/>
      </c>
      <c r="AP264" s="19">
        <f>AP$12*IF(LEFT(AP$319,3)="Yes",1-$D264,AP33)*(1-AP125)</f>
        <v/>
      </c>
      <c r="AQ264" s="19">
        <f>AQ$12*IF(LEFT(AQ$319,3)="Yes",1-$D264,AQ33)*(1-AQ125)</f>
        <v/>
      </c>
      <c r="AR264" s="19">
        <f>AR$12*IF(LEFT(AR$319,3)="Yes",1-$D264,AR33)*(1-AR125)</f>
        <v/>
      </c>
      <c r="AS264" s="19">
        <f>AS$12*IF(LEFT(AS$319,3)="Yes",1-$D264,AS33)*(1-AS125)</f>
        <v/>
      </c>
      <c r="AT264" s="19">
        <f>AT$12*IF(LEFT(AT$319,3)="Yes",1-$D264,AT33)*(1-AT125)</f>
        <v/>
      </c>
      <c r="AU264" s="19">
        <f>AU$12*IF(LEFT(AU$319,3)="Yes",1-$D264,AU33)*(1-AU125)</f>
        <v/>
      </c>
      <c r="AV264" s="19">
        <f>AV$12*IF(LEFT(AV$319,3)="Yes",1-$D264,AV33)*(1-AV125)</f>
        <v/>
      </c>
      <c r="AW264" s="19">
        <f>AW$12*IF(LEFT(AW$319,3)="Yes",1-$D264,AW33)*(1-AW125)</f>
        <v/>
      </c>
      <c r="AX264" s="19">
        <f>AX$12*IF(LEFT(AX$319,3)="Yes",1-$D264,AX33)*(1-AX125)</f>
        <v/>
      </c>
      <c r="AY264" s="19">
        <f>AY$12*IF(LEFT(AY$319,3)="Yes",1-$D264,AY33)*(1-AY125)</f>
        <v/>
      </c>
      <c r="AZ264" s="19">
        <f>AZ$12*IF(LEFT(AZ$319,3)="Yes",1-$D264,AZ33)*(1-AZ125)</f>
        <v/>
      </c>
      <c r="BA264" s="20">
        <f>SECTORTAX(BA$12,BA33,BA125,BA$319,$D264)</f>
        <v/>
      </c>
    </row>
    <row r="265" hidden="1" outlineLevel="1">
      <c r="A265" s="1" t="inlineStr">
        <is>
          <t>ctr</t>
        </is>
      </c>
      <c r="B265" s="1" t="inlineStr">
        <is>
          <t>all</t>
        </is>
      </c>
      <c r="C265" s="1" t="inlineStr">
        <is>
          <t>ral</t>
        </is>
      </c>
      <c r="D265" s="35">
        <f>INDEX(ECPCov,MATCH("ees.trs",ECPKey,0))</f>
        <v/>
      </c>
      <c r="H265" s="1">
        <f>INDEX(VarLab,MATCH($A265,VarKey,0))&amp;INDEX(MemLab,MATCH($C265&amp;"|"&amp;$B265,MemKey,0))</f>
        <v/>
      </c>
      <c r="I265" s="1">
        <f>INDEX(VarUnit,MATCH($A265,VarKey,0))</f>
        <v/>
      </c>
      <c r="J265" s="1">
        <f>INDEX(VarSrc,MATCH($A265,VarKey,0))</f>
        <v/>
      </c>
      <c r="K265" s="17">
        <f>CodePrefix&amp;$A265&amp;IF($C265="","","."&amp;$C265&amp;"."&amp;$B265)&amp;INDEX(VarEnd,MATCH($A265,VarKey,0))&amp;K$5</f>
        <v/>
      </c>
      <c r="L265" s="18">
        <f>L$12*IF(LEFT(L$319,3)="Yes",1-$D265,L34)*(1-L126)</f>
        <v/>
      </c>
      <c r="M265" s="19">
        <f>M$12*IF(LEFT(M$319,3)="Yes",1-$D265,M34)*(1-M126)</f>
        <v/>
      </c>
      <c r="N265" s="19">
        <f>N$12*IF(LEFT(N$319,3)="Yes",1-$D265,N34)*(1-N126)</f>
        <v/>
      </c>
      <c r="O265" s="19">
        <f>O$12*IF(LEFT(O$319,3)="Yes",1-$D265,O34)*(1-O126)</f>
        <v/>
      </c>
      <c r="P265" s="19">
        <f>P$12*IF(LEFT(P$319,3)="Yes",1-$D265,P34)*(1-P126)</f>
        <v/>
      </c>
      <c r="Q265" s="19">
        <f>Q$12*IF(LEFT(Q$319,3)="Yes",1-$D265,Q34)*(1-Q126)</f>
        <v/>
      </c>
      <c r="R265" s="19">
        <f>R$12*IF(LEFT(R$319,3)="Yes",1-$D265,R34)*(1-R126)</f>
        <v/>
      </c>
      <c r="S265" s="19">
        <f>S$12*IF(LEFT(S$319,3)="Yes",1-$D265,S34)*(1-S126)</f>
        <v/>
      </c>
      <c r="T265" s="19">
        <f>T$12*IF(LEFT(T$319,3)="Yes",1-$D265,T34)*(1-T126)</f>
        <v/>
      </c>
      <c r="U265" s="19">
        <f>U$12*IF(LEFT(U$319,3)="Yes",1-$D265,U34)*(1-U126)</f>
        <v/>
      </c>
      <c r="V265" s="19">
        <f>V$12*IF(LEFT(V$319,3)="Yes",1-$D265,V34)*(1-V126)</f>
        <v/>
      </c>
      <c r="W265" s="19">
        <f>W$12*IF(LEFT(W$319,3)="Yes",1-$D265,W34)*(1-W126)</f>
        <v/>
      </c>
      <c r="X265" s="19">
        <f>X$12*IF(LEFT(X$319,3)="Yes",1-$D265,X34)*(1-X126)</f>
        <v/>
      </c>
      <c r="Y265" s="19">
        <f>Y$12*IF(LEFT(Y$319,3)="Yes",1-$D265,Y34)*(1-Y126)</f>
        <v/>
      </c>
      <c r="Z265" s="19">
        <f>Z$12*IF(LEFT(Z$319,3)="Yes",1-$D265,Z34)*(1-Z126)</f>
        <v/>
      </c>
      <c r="AA265" s="19">
        <f>AA$12*IF(LEFT(AA$319,3)="Yes",1-$D265,AA34)*(1-AA126)</f>
        <v/>
      </c>
      <c r="AB265" s="19">
        <f>AB$12*IF(LEFT(AB$319,3)="Yes",1-$D265,AB34)*(1-AB126)</f>
        <v/>
      </c>
      <c r="AC265" s="19">
        <f>AC$12*IF(LEFT(AC$319,3)="Yes",1-$D265,AC34)*(1-AC126)</f>
        <v/>
      </c>
      <c r="AD265" s="19">
        <f>AD$12*IF(LEFT(AD$319,3)="Yes",1-$D265,AD34)*(1-AD126)</f>
        <v/>
      </c>
      <c r="AE265" s="20">
        <f>SECTORTAX(AE$12,AE34,AE126,AE$319,$D265)</f>
        <v/>
      </c>
      <c r="AG265" s="17">
        <f>CodePrefix&amp;$A265&amp;IF($C265="","","."&amp;$C265&amp;"."&amp;$B265)&amp;INDEX(VarEnd,MATCH($A265,VarKey,0))&amp;AG$5</f>
        <v/>
      </c>
      <c r="AH265" s="18">
        <f>AH$12*IF(LEFT(AH$319,3)="Yes",1-$D265,AH34)*(1-AH126)</f>
        <v/>
      </c>
      <c r="AI265" s="19">
        <f>AI$12*IF(LEFT(AI$319,3)="Yes",1-$D265,AI34)*(1-AI126)</f>
        <v/>
      </c>
      <c r="AJ265" s="19">
        <f>AJ$12*IF(LEFT(AJ$319,3)="Yes",1-$D265,AJ34)*(1-AJ126)</f>
        <v/>
      </c>
      <c r="AK265" s="19">
        <f>AK$12*IF(LEFT(AK$319,3)="Yes",1-$D265,AK34)*(1-AK126)</f>
        <v/>
      </c>
      <c r="AL265" s="19">
        <f>AL$12*IF(LEFT(AL$319,3)="Yes",1-$D265,AL34)*(1-AL126)</f>
        <v/>
      </c>
      <c r="AM265" s="19">
        <f>AM$12*IF(LEFT(AM$319,3)="Yes",1-$D265,AM34)*(1-AM126)</f>
        <v/>
      </c>
      <c r="AN265" s="19">
        <f>AN$12*IF(LEFT(AN$319,3)="Yes",1-$D265,AN34)*(1-AN126)</f>
        <v/>
      </c>
      <c r="AO265" s="19">
        <f>AO$12*IF(LEFT(AO$319,3)="Yes",1-$D265,AO34)*(1-AO126)</f>
        <v/>
      </c>
      <c r="AP265" s="19">
        <f>AP$12*IF(LEFT(AP$319,3)="Yes",1-$D265,AP34)*(1-AP126)</f>
        <v/>
      </c>
      <c r="AQ265" s="19">
        <f>AQ$12*IF(LEFT(AQ$319,3)="Yes",1-$D265,AQ34)*(1-AQ126)</f>
        <v/>
      </c>
      <c r="AR265" s="19">
        <f>AR$12*IF(LEFT(AR$319,3)="Yes",1-$D265,AR34)*(1-AR126)</f>
        <v/>
      </c>
      <c r="AS265" s="19">
        <f>AS$12*IF(LEFT(AS$319,3)="Yes",1-$D265,AS34)*(1-AS126)</f>
        <v/>
      </c>
      <c r="AT265" s="19">
        <f>AT$12*IF(LEFT(AT$319,3)="Yes",1-$D265,AT34)*(1-AT126)</f>
        <v/>
      </c>
      <c r="AU265" s="19">
        <f>AU$12*IF(LEFT(AU$319,3)="Yes",1-$D265,AU34)*(1-AU126)</f>
        <v/>
      </c>
      <c r="AV265" s="19">
        <f>AV$12*IF(LEFT(AV$319,3)="Yes",1-$D265,AV34)*(1-AV126)</f>
        <v/>
      </c>
      <c r="AW265" s="19">
        <f>AW$12*IF(LEFT(AW$319,3)="Yes",1-$D265,AW34)*(1-AW126)</f>
        <v/>
      </c>
      <c r="AX265" s="19">
        <f>AX$12*IF(LEFT(AX$319,3)="Yes",1-$D265,AX34)*(1-AX126)</f>
        <v/>
      </c>
      <c r="AY265" s="19">
        <f>AY$12*IF(LEFT(AY$319,3)="Yes",1-$D265,AY34)*(1-AY126)</f>
        <v/>
      </c>
      <c r="AZ265" s="19">
        <f>AZ$12*IF(LEFT(AZ$319,3)="Yes",1-$D265,AZ34)*(1-AZ126)</f>
        <v/>
      </c>
      <c r="BA265" s="20">
        <f>SECTORTAX(BA$12,BA34,BA126,BA$319,$D265)</f>
        <v/>
      </c>
    </row>
    <row r="266" hidden="1" outlineLevel="1">
      <c r="A266" s="1" t="inlineStr">
        <is>
          <t>ctr</t>
        </is>
      </c>
      <c r="B266" s="1" t="inlineStr">
        <is>
          <t>all</t>
        </is>
      </c>
      <c r="C266" s="1" t="inlineStr">
        <is>
          <t>avi</t>
        </is>
      </c>
      <c r="D266" s="35">
        <f>INDEX(ECPCov,MATCH("ees.trs",ECPKey,0))</f>
        <v/>
      </c>
      <c r="H266" s="1">
        <f>INDEX(VarLab,MATCH($A266,VarKey,0))&amp;INDEX(MemLab,MATCH($C266&amp;"|"&amp;$B266,MemKey,0))</f>
        <v/>
      </c>
      <c r="I266" s="1">
        <f>INDEX(VarUnit,MATCH($A266,VarKey,0))</f>
        <v/>
      </c>
      <c r="J266" s="1">
        <f>INDEX(VarSrc,MATCH($A266,VarKey,0))</f>
        <v/>
      </c>
      <c r="K266" s="17">
        <f>CodePrefix&amp;$A266&amp;IF($C266="","","."&amp;$C266&amp;"."&amp;$B266)&amp;INDEX(VarEnd,MATCH($A266,VarKey,0))&amp;K$5</f>
        <v/>
      </c>
      <c r="L266" s="18">
        <f>L$12*IF(LEFT(L$319,3)="Yes",1-$D266,L35)*(1-L127)</f>
        <v/>
      </c>
      <c r="M266" s="19">
        <f>M$12*IF(LEFT(M$319,3)="Yes",1-$D266,M35)*(1-M127)</f>
        <v/>
      </c>
      <c r="N266" s="19">
        <f>N$12*IF(LEFT(N$319,3)="Yes",1-$D266,N35)*(1-N127)</f>
        <v/>
      </c>
      <c r="O266" s="19">
        <f>O$12*IF(LEFT(O$319,3)="Yes",1-$D266,O35)*(1-O127)</f>
        <v/>
      </c>
      <c r="P266" s="19">
        <f>P$12*IF(LEFT(P$319,3)="Yes",1-$D266,P35)*(1-P127)</f>
        <v/>
      </c>
      <c r="Q266" s="19">
        <f>Q$12*IF(LEFT(Q$319,3)="Yes",1-$D266,Q35)*(1-Q127)</f>
        <v/>
      </c>
      <c r="R266" s="19">
        <f>R$12*IF(LEFT(R$319,3)="Yes",1-$D266,R35)*(1-R127)</f>
        <v/>
      </c>
      <c r="S266" s="19">
        <f>S$12*IF(LEFT(S$319,3)="Yes",1-$D266,S35)*(1-S127)</f>
        <v/>
      </c>
      <c r="T266" s="19">
        <f>T$12*IF(LEFT(T$319,3)="Yes",1-$D266,T35)*(1-T127)</f>
        <v/>
      </c>
      <c r="U266" s="19">
        <f>U$12*IF(LEFT(U$319,3)="Yes",1-$D266,U35)*(1-U127)</f>
        <v/>
      </c>
      <c r="V266" s="19">
        <f>V$12*IF(LEFT(V$319,3)="Yes",1-$D266,V35)*(1-V127)</f>
        <v/>
      </c>
      <c r="W266" s="19">
        <f>W$12*IF(LEFT(W$319,3)="Yes",1-$D266,W35)*(1-W127)</f>
        <v/>
      </c>
      <c r="X266" s="19">
        <f>X$12*IF(LEFT(X$319,3)="Yes",1-$D266,X35)*(1-X127)</f>
        <v/>
      </c>
      <c r="Y266" s="19">
        <f>Y$12*IF(LEFT(Y$319,3)="Yes",1-$D266,Y35)*(1-Y127)</f>
        <v/>
      </c>
      <c r="Z266" s="19">
        <f>Z$12*IF(LEFT(Z$319,3)="Yes",1-$D266,Z35)*(1-Z127)</f>
        <v/>
      </c>
      <c r="AA266" s="19">
        <f>AA$12*IF(LEFT(AA$319,3)="Yes",1-$D266,AA35)*(1-AA127)</f>
        <v/>
      </c>
      <c r="AB266" s="19">
        <f>AB$12*IF(LEFT(AB$319,3)="Yes",1-$D266,AB35)*(1-AB127)</f>
        <v/>
      </c>
      <c r="AC266" s="19">
        <f>AC$12*IF(LEFT(AC$319,3)="Yes",1-$D266,AC35)*(1-AC127)</f>
        <v/>
      </c>
      <c r="AD266" s="19">
        <f>AD$12*IF(LEFT(AD$319,3)="Yes",1-$D266,AD35)*(1-AD127)</f>
        <v/>
      </c>
      <c r="AE266" s="20">
        <f>SECTORTAX(AE$12,AE35,AE127,AE$319,$D266)</f>
        <v/>
      </c>
      <c r="AG266" s="17">
        <f>CodePrefix&amp;$A266&amp;IF($C266="","","."&amp;$C266&amp;"."&amp;$B266)&amp;INDEX(VarEnd,MATCH($A266,VarKey,0))&amp;AG$5</f>
        <v/>
      </c>
      <c r="AH266" s="18">
        <f>AH$12*IF(LEFT(AH$319,3)="Yes",1-$D266,AH35)*(1-AH127)</f>
        <v/>
      </c>
      <c r="AI266" s="19">
        <f>AI$12*IF(LEFT(AI$319,3)="Yes",1-$D266,AI35)*(1-AI127)</f>
        <v/>
      </c>
      <c r="AJ266" s="19">
        <f>AJ$12*IF(LEFT(AJ$319,3)="Yes",1-$D266,AJ35)*(1-AJ127)</f>
        <v/>
      </c>
      <c r="AK266" s="19">
        <f>AK$12*IF(LEFT(AK$319,3)="Yes",1-$D266,AK35)*(1-AK127)</f>
        <v/>
      </c>
      <c r="AL266" s="19">
        <f>AL$12*IF(LEFT(AL$319,3)="Yes",1-$D266,AL35)*(1-AL127)</f>
        <v/>
      </c>
      <c r="AM266" s="19">
        <f>AM$12*IF(LEFT(AM$319,3)="Yes",1-$D266,AM35)*(1-AM127)</f>
        <v/>
      </c>
      <c r="AN266" s="19">
        <f>AN$12*IF(LEFT(AN$319,3)="Yes",1-$D266,AN35)*(1-AN127)</f>
        <v/>
      </c>
      <c r="AO266" s="19">
        <f>AO$12*IF(LEFT(AO$319,3)="Yes",1-$D266,AO35)*(1-AO127)</f>
        <v/>
      </c>
      <c r="AP266" s="19">
        <f>AP$12*IF(LEFT(AP$319,3)="Yes",1-$D266,AP35)*(1-AP127)</f>
        <v/>
      </c>
      <c r="AQ266" s="19">
        <f>AQ$12*IF(LEFT(AQ$319,3)="Yes",1-$D266,AQ35)*(1-AQ127)</f>
        <v/>
      </c>
      <c r="AR266" s="19">
        <f>AR$12*IF(LEFT(AR$319,3)="Yes",1-$D266,AR35)*(1-AR127)</f>
        <v/>
      </c>
      <c r="AS266" s="19">
        <f>AS$12*IF(LEFT(AS$319,3)="Yes",1-$D266,AS35)*(1-AS127)</f>
        <v/>
      </c>
      <c r="AT266" s="19">
        <f>AT$12*IF(LEFT(AT$319,3)="Yes",1-$D266,AT35)*(1-AT127)</f>
        <v/>
      </c>
      <c r="AU266" s="19">
        <f>AU$12*IF(LEFT(AU$319,3)="Yes",1-$D266,AU35)*(1-AU127)</f>
        <v/>
      </c>
      <c r="AV266" s="19">
        <f>AV$12*IF(LEFT(AV$319,3)="Yes",1-$D266,AV35)*(1-AV127)</f>
        <v/>
      </c>
      <c r="AW266" s="19">
        <f>AW$12*IF(LEFT(AW$319,3)="Yes",1-$D266,AW35)*(1-AW127)</f>
        <v/>
      </c>
      <c r="AX266" s="19">
        <f>AX$12*IF(LEFT(AX$319,3)="Yes",1-$D266,AX35)*(1-AX127)</f>
        <v/>
      </c>
      <c r="AY266" s="19">
        <f>AY$12*IF(LEFT(AY$319,3)="Yes",1-$D266,AY35)*(1-AY127)</f>
        <v/>
      </c>
      <c r="AZ266" s="19">
        <f>AZ$12*IF(LEFT(AZ$319,3)="Yes",1-$D266,AZ35)*(1-AZ127)</f>
        <v/>
      </c>
      <c r="BA266" s="20">
        <f>SECTORTAX(BA$12,BA35,BA127,BA$319,$D266)</f>
        <v/>
      </c>
    </row>
    <row r="267" hidden="1" outlineLevel="1">
      <c r="A267" s="1" t="inlineStr">
        <is>
          <t>ctr</t>
        </is>
      </c>
      <c r="B267" s="1" t="inlineStr">
        <is>
          <t>all</t>
        </is>
      </c>
      <c r="C267" s="1" t="inlineStr">
        <is>
          <t>nav</t>
        </is>
      </c>
      <c r="D267" s="35">
        <f>INDEX(ECPCov,MATCH("ees.trs",ECPKey,0))</f>
        <v/>
      </c>
      <c r="H267" s="1">
        <f>INDEX(VarLab,MATCH($A267,VarKey,0))&amp;INDEX(MemLab,MATCH($C267&amp;"|"&amp;$B267,MemKey,0))</f>
        <v/>
      </c>
      <c r="I267" s="1">
        <f>INDEX(VarUnit,MATCH($A267,VarKey,0))</f>
        <v/>
      </c>
      <c r="J267" s="1">
        <f>INDEX(VarSrc,MATCH($A267,VarKey,0))</f>
        <v/>
      </c>
      <c r="K267" s="17">
        <f>CodePrefix&amp;$A267&amp;IF($C267="","","."&amp;$C267&amp;"."&amp;$B267)&amp;INDEX(VarEnd,MATCH($A267,VarKey,0))&amp;K$5</f>
        <v/>
      </c>
      <c r="L267" s="18">
        <f>L$12*IF(LEFT(L$319,3)="Yes",1-$D267,L36)*(1-L128)</f>
        <v/>
      </c>
      <c r="M267" s="19">
        <f>M$12*IF(LEFT(M$319,3)="Yes",1-$D267,M36)*(1-M128)</f>
        <v/>
      </c>
      <c r="N267" s="19">
        <f>N$12*IF(LEFT(N$319,3)="Yes",1-$D267,N36)*(1-N128)</f>
        <v/>
      </c>
      <c r="O267" s="19">
        <f>O$12*IF(LEFT(O$319,3)="Yes",1-$D267,O36)*(1-O128)</f>
        <v/>
      </c>
      <c r="P267" s="19">
        <f>P$12*IF(LEFT(P$319,3)="Yes",1-$D267,P36)*(1-P128)</f>
        <v/>
      </c>
      <c r="Q267" s="19">
        <f>Q$12*IF(LEFT(Q$319,3)="Yes",1-$D267,Q36)*(1-Q128)</f>
        <v/>
      </c>
      <c r="R267" s="19">
        <f>R$12*IF(LEFT(R$319,3)="Yes",1-$D267,R36)*(1-R128)</f>
        <v/>
      </c>
      <c r="S267" s="19">
        <f>S$12*IF(LEFT(S$319,3)="Yes",1-$D267,S36)*(1-S128)</f>
        <v/>
      </c>
      <c r="T267" s="19">
        <f>T$12*IF(LEFT(T$319,3)="Yes",1-$D267,T36)*(1-T128)</f>
        <v/>
      </c>
      <c r="U267" s="19">
        <f>U$12*IF(LEFT(U$319,3)="Yes",1-$D267,U36)*(1-U128)</f>
        <v/>
      </c>
      <c r="V267" s="19">
        <f>V$12*IF(LEFT(V$319,3)="Yes",1-$D267,V36)*(1-V128)</f>
        <v/>
      </c>
      <c r="W267" s="19">
        <f>W$12*IF(LEFT(W$319,3)="Yes",1-$D267,W36)*(1-W128)</f>
        <v/>
      </c>
      <c r="X267" s="19">
        <f>X$12*IF(LEFT(X$319,3)="Yes",1-$D267,X36)*(1-X128)</f>
        <v/>
      </c>
      <c r="Y267" s="19">
        <f>Y$12*IF(LEFT(Y$319,3)="Yes",1-$D267,Y36)*(1-Y128)</f>
        <v/>
      </c>
      <c r="Z267" s="19">
        <f>Z$12*IF(LEFT(Z$319,3)="Yes",1-$D267,Z36)*(1-Z128)</f>
        <v/>
      </c>
      <c r="AA267" s="19">
        <f>AA$12*IF(LEFT(AA$319,3)="Yes",1-$D267,AA36)*(1-AA128)</f>
        <v/>
      </c>
      <c r="AB267" s="19">
        <f>AB$12*IF(LEFT(AB$319,3)="Yes",1-$D267,AB36)*(1-AB128)</f>
        <v/>
      </c>
      <c r="AC267" s="19">
        <f>AC$12*IF(LEFT(AC$319,3)="Yes",1-$D267,AC36)*(1-AC128)</f>
        <v/>
      </c>
      <c r="AD267" s="19">
        <f>AD$12*IF(LEFT(AD$319,3)="Yes",1-$D267,AD36)*(1-AD128)</f>
        <v/>
      </c>
      <c r="AE267" s="20">
        <f>SECTORTAX(AE$12,AE36,AE128,AE$319,$D267)</f>
        <v/>
      </c>
      <c r="AG267" s="17">
        <f>CodePrefix&amp;$A267&amp;IF($C267="","","."&amp;$C267&amp;"."&amp;$B267)&amp;INDEX(VarEnd,MATCH($A267,VarKey,0))&amp;AG$5</f>
        <v/>
      </c>
      <c r="AH267" s="18">
        <f>AH$12*IF(LEFT(AH$319,3)="Yes",1-$D267,AH36)*(1-AH128)</f>
        <v/>
      </c>
      <c r="AI267" s="19">
        <f>AI$12*IF(LEFT(AI$319,3)="Yes",1-$D267,AI36)*(1-AI128)</f>
        <v/>
      </c>
      <c r="AJ267" s="19">
        <f>AJ$12*IF(LEFT(AJ$319,3)="Yes",1-$D267,AJ36)*(1-AJ128)</f>
        <v/>
      </c>
      <c r="AK267" s="19">
        <f>AK$12*IF(LEFT(AK$319,3)="Yes",1-$D267,AK36)*(1-AK128)</f>
        <v/>
      </c>
      <c r="AL267" s="19">
        <f>AL$12*IF(LEFT(AL$319,3)="Yes",1-$D267,AL36)*(1-AL128)</f>
        <v/>
      </c>
      <c r="AM267" s="19">
        <f>AM$12*IF(LEFT(AM$319,3)="Yes",1-$D267,AM36)*(1-AM128)</f>
        <v/>
      </c>
      <c r="AN267" s="19">
        <f>AN$12*IF(LEFT(AN$319,3)="Yes",1-$D267,AN36)*(1-AN128)</f>
        <v/>
      </c>
      <c r="AO267" s="19">
        <f>AO$12*IF(LEFT(AO$319,3)="Yes",1-$D267,AO36)*(1-AO128)</f>
        <v/>
      </c>
      <c r="AP267" s="19">
        <f>AP$12*IF(LEFT(AP$319,3)="Yes",1-$D267,AP36)*(1-AP128)</f>
        <v/>
      </c>
      <c r="AQ267" s="19">
        <f>AQ$12*IF(LEFT(AQ$319,3)="Yes",1-$D267,AQ36)*(1-AQ128)</f>
        <v/>
      </c>
      <c r="AR267" s="19">
        <f>AR$12*IF(LEFT(AR$319,3)="Yes",1-$D267,AR36)*(1-AR128)</f>
        <v/>
      </c>
      <c r="AS267" s="19">
        <f>AS$12*IF(LEFT(AS$319,3)="Yes",1-$D267,AS36)*(1-AS128)</f>
        <v/>
      </c>
      <c r="AT267" s="19">
        <f>AT$12*IF(LEFT(AT$319,3)="Yes",1-$D267,AT36)*(1-AT128)</f>
        <v/>
      </c>
      <c r="AU267" s="19">
        <f>AU$12*IF(LEFT(AU$319,3)="Yes",1-$D267,AU36)*(1-AU128)</f>
        <v/>
      </c>
      <c r="AV267" s="19">
        <f>AV$12*IF(LEFT(AV$319,3)="Yes",1-$D267,AV36)*(1-AV128)</f>
        <v/>
      </c>
      <c r="AW267" s="19">
        <f>AW$12*IF(LEFT(AW$319,3)="Yes",1-$D267,AW36)*(1-AW128)</f>
        <v/>
      </c>
      <c r="AX267" s="19">
        <f>AX$12*IF(LEFT(AX$319,3)="Yes",1-$D267,AX36)*(1-AX128)</f>
        <v/>
      </c>
      <c r="AY267" s="19">
        <f>AY$12*IF(LEFT(AY$319,3)="Yes",1-$D267,AY36)*(1-AY128)</f>
        <v/>
      </c>
      <c r="AZ267" s="19">
        <f>AZ$12*IF(LEFT(AZ$319,3)="Yes",1-$D267,AZ36)*(1-AZ128)</f>
        <v/>
      </c>
      <c r="BA267" s="20">
        <f>SECTORTAX(BA$12,BA36,BA128,BA$319,$D267)</f>
        <v/>
      </c>
    </row>
    <row r="268" hidden="1" outlineLevel="1">
      <c r="A268" s="1" t="inlineStr">
        <is>
          <t>ctr</t>
        </is>
      </c>
      <c r="B268" s="1" t="inlineStr">
        <is>
          <t>all</t>
        </is>
      </c>
      <c r="C268" s="1" t="inlineStr">
        <is>
          <t>res</t>
        </is>
      </c>
      <c r="D268" s="35">
        <f>INDEX(ECPCov,MATCH("ees.res",ECPKey,0))</f>
        <v/>
      </c>
      <c r="H268" s="1">
        <f>INDEX(VarLab,MATCH($A268,VarKey,0))&amp;INDEX(MemLab,MATCH($C268&amp;"|"&amp;$B268,MemKey,0))</f>
        <v/>
      </c>
      <c r="I268" s="1">
        <f>INDEX(VarUnit,MATCH($A268,VarKey,0))</f>
        <v/>
      </c>
      <c r="J268" s="1">
        <f>INDEX(VarSrc,MATCH($A268,VarKey,0))</f>
        <v/>
      </c>
      <c r="K268" s="17">
        <f>CodePrefix&amp;$A268&amp;IF($C268="","","."&amp;$C268&amp;"."&amp;$B268)&amp;INDEX(VarEnd,MATCH($A268,VarKey,0))&amp;K$5</f>
        <v/>
      </c>
      <c r="L268" s="18">
        <f>L$12*IF(LEFT(L$319,3)="Yes",1-$D268,L37)*(1-L129)</f>
        <v/>
      </c>
      <c r="M268" s="19">
        <f>M$12*IF(LEFT(M$319,3)="Yes",1-$D268,M37)*(1-M129)</f>
        <v/>
      </c>
      <c r="N268" s="19">
        <f>N$12*IF(LEFT(N$319,3)="Yes",1-$D268,N37)*(1-N129)</f>
        <v/>
      </c>
      <c r="O268" s="19">
        <f>O$12*IF(LEFT(O$319,3)="Yes",1-$D268,O37)*(1-O129)</f>
        <v/>
      </c>
      <c r="P268" s="19">
        <f>P$12*IF(LEFT(P$319,3)="Yes",1-$D268,P37)*(1-P129)</f>
        <v/>
      </c>
      <c r="Q268" s="19">
        <f>Q$12*IF(LEFT(Q$319,3)="Yes",1-$D268,Q37)*(1-Q129)</f>
        <v/>
      </c>
      <c r="R268" s="19">
        <f>R$12*IF(LEFT(R$319,3)="Yes",1-$D268,R37)*(1-R129)</f>
        <v/>
      </c>
      <c r="S268" s="19">
        <f>S$12*IF(LEFT(S$319,3)="Yes",1-$D268,S37)*(1-S129)</f>
        <v/>
      </c>
      <c r="T268" s="19">
        <f>T$12*IF(LEFT(T$319,3)="Yes",1-$D268,T37)*(1-T129)</f>
        <v/>
      </c>
      <c r="U268" s="19">
        <f>U$12*IF(LEFT(U$319,3)="Yes",1-$D268,U37)*(1-U129)</f>
        <v/>
      </c>
      <c r="V268" s="19">
        <f>V$12*IF(LEFT(V$319,3)="Yes",1-$D268,V37)*(1-V129)</f>
        <v/>
      </c>
      <c r="W268" s="19">
        <f>W$12*IF(LEFT(W$319,3)="Yes",1-$D268,W37)*(1-W129)</f>
        <v/>
      </c>
      <c r="X268" s="19">
        <f>X$12*IF(LEFT(X$319,3)="Yes",1-$D268,X37)*(1-X129)</f>
        <v/>
      </c>
      <c r="Y268" s="19">
        <f>Y$12*IF(LEFT(Y$319,3)="Yes",1-$D268,Y37)*(1-Y129)</f>
        <v/>
      </c>
      <c r="Z268" s="19">
        <f>Z$12*IF(LEFT(Z$319,3)="Yes",1-$D268,Z37)*(1-Z129)</f>
        <v/>
      </c>
      <c r="AA268" s="19">
        <f>AA$12*IF(LEFT(AA$319,3)="Yes",1-$D268,AA37)*(1-AA129)</f>
        <v/>
      </c>
      <c r="AB268" s="19">
        <f>AB$12*IF(LEFT(AB$319,3)="Yes",1-$D268,AB37)*(1-AB129)</f>
        <v/>
      </c>
      <c r="AC268" s="19">
        <f>AC$12*IF(LEFT(AC$319,3)="Yes",1-$D268,AC37)*(1-AC129)</f>
        <v/>
      </c>
      <c r="AD268" s="19">
        <f>AD$12*IF(LEFT(AD$319,3)="Yes",1-$D268,AD37)*(1-AD129)</f>
        <v/>
      </c>
      <c r="AE268" s="20">
        <f>SECTORTAX(AE$12,AE37,AE129,AE$319,$D268)</f>
        <v/>
      </c>
      <c r="AG268" s="17">
        <f>CodePrefix&amp;$A268&amp;IF($C268="","","."&amp;$C268&amp;"."&amp;$B268)&amp;INDEX(VarEnd,MATCH($A268,VarKey,0))&amp;AG$5</f>
        <v/>
      </c>
      <c r="AH268" s="18">
        <f>AH$12*IF(LEFT(AH$319,3)="Yes",1-$D268,AH37)*(1-AH129)</f>
        <v/>
      </c>
      <c r="AI268" s="19">
        <f>AI$12*IF(LEFT(AI$319,3)="Yes",1-$D268,AI37)*(1-AI129)</f>
        <v/>
      </c>
      <c r="AJ268" s="19">
        <f>AJ$12*IF(LEFT(AJ$319,3)="Yes",1-$D268,AJ37)*(1-AJ129)</f>
        <v/>
      </c>
      <c r="AK268" s="19">
        <f>AK$12*IF(LEFT(AK$319,3)="Yes",1-$D268,AK37)*(1-AK129)</f>
        <v/>
      </c>
      <c r="AL268" s="19">
        <f>AL$12*IF(LEFT(AL$319,3)="Yes",1-$D268,AL37)*(1-AL129)</f>
        <v/>
      </c>
      <c r="AM268" s="19">
        <f>AM$12*IF(LEFT(AM$319,3)="Yes",1-$D268,AM37)*(1-AM129)</f>
        <v/>
      </c>
      <c r="AN268" s="19">
        <f>AN$12*IF(LEFT(AN$319,3)="Yes",1-$D268,AN37)*(1-AN129)</f>
        <v/>
      </c>
      <c r="AO268" s="19">
        <f>AO$12*IF(LEFT(AO$319,3)="Yes",1-$D268,AO37)*(1-AO129)</f>
        <v/>
      </c>
      <c r="AP268" s="19">
        <f>AP$12*IF(LEFT(AP$319,3)="Yes",1-$D268,AP37)*(1-AP129)</f>
        <v/>
      </c>
      <c r="AQ268" s="19">
        <f>AQ$12*IF(LEFT(AQ$319,3)="Yes",1-$D268,AQ37)*(1-AQ129)</f>
        <v/>
      </c>
      <c r="AR268" s="19">
        <f>AR$12*IF(LEFT(AR$319,3)="Yes",1-$D268,AR37)*(1-AR129)</f>
        <v/>
      </c>
      <c r="AS268" s="19">
        <f>AS$12*IF(LEFT(AS$319,3)="Yes",1-$D268,AS37)*(1-AS129)</f>
        <v/>
      </c>
      <c r="AT268" s="19">
        <f>AT$12*IF(LEFT(AT$319,3)="Yes",1-$D268,AT37)*(1-AT129)</f>
        <v/>
      </c>
      <c r="AU268" s="19">
        <f>AU$12*IF(LEFT(AU$319,3)="Yes",1-$D268,AU37)*(1-AU129)</f>
        <v/>
      </c>
      <c r="AV268" s="19">
        <f>AV$12*IF(LEFT(AV$319,3)="Yes",1-$D268,AV37)*(1-AV129)</f>
        <v/>
      </c>
      <c r="AW268" s="19">
        <f>AW$12*IF(LEFT(AW$319,3)="Yes",1-$D268,AW37)*(1-AW129)</f>
        <v/>
      </c>
      <c r="AX268" s="19">
        <f>AX$12*IF(LEFT(AX$319,3)="Yes",1-$D268,AX37)*(1-AX129)</f>
        <v/>
      </c>
      <c r="AY268" s="19">
        <f>AY$12*IF(LEFT(AY$319,3)="Yes",1-$D268,AY37)*(1-AY129)</f>
        <v/>
      </c>
      <c r="AZ268" s="19">
        <f>AZ$12*IF(LEFT(AZ$319,3)="Yes",1-$D268,AZ37)*(1-AZ129)</f>
        <v/>
      </c>
      <c r="BA268" s="20">
        <f>SECTORTAX(BA$12,BA37,BA129,BA$319,$D268)</f>
        <v/>
      </c>
    </row>
    <row r="269" hidden="1" outlineLevel="1">
      <c r="A269" s="1" t="inlineStr">
        <is>
          <t>ctr</t>
        </is>
      </c>
      <c r="B269" s="1" t="inlineStr">
        <is>
          <t>all</t>
        </is>
      </c>
      <c r="C269" s="1" t="inlineStr">
        <is>
          <t>foo</t>
        </is>
      </c>
      <c r="D269" s="35">
        <f>INDEX(ECPCov,MATCH("ees.res",ECPKey,0))</f>
        <v/>
      </c>
      <c r="H269" s="1">
        <f>INDEX(VarLab,MATCH($A269,VarKey,0))&amp;INDEX(MemLab,MATCH($C269&amp;"|"&amp;$B269,MemKey,0))</f>
        <v/>
      </c>
      <c r="I269" s="1">
        <f>INDEX(VarUnit,MATCH($A269,VarKey,0))</f>
        <v/>
      </c>
      <c r="J269" s="1">
        <f>INDEX(VarSrc,MATCH($A269,VarKey,0))</f>
        <v/>
      </c>
      <c r="K269" s="17">
        <f>CodePrefix&amp;$A269&amp;IF($C269="","","."&amp;$C269&amp;"."&amp;$B269)&amp;INDEX(VarEnd,MATCH($A269,VarKey,0))&amp;K$5</f>
        <v/>
      </c>
      <c r="L269" s="18">
        <f>L$12*IF(LEFT(L$319,3)="Yes",1-$D269,L38)*(1-L130)</f>
        <v/>
      </c>
      <c r="M269" s="19">
        <f>M$12*IF(LEFT(M$319,3)="Yes",1-$D269,M38)*(1-M130)</f>
        <v/>
      </c>
      <c r="N269" s="19">
        <f>N$12*IF(LEFT(N$319,3)="Yes",1-$D269,N38)*(1-N130)</f>
        <v/>
      </c>
      <c r="O269" s="19">
        <f>O$12*IF(LEFT(O$319,3)="Yes",1-$D269,O38)*(1-O130)</f>
        <v/>
      </c>
      <c r="P269" s="19">
        <f>P$12*IF(LEFT(P$319,3)="Yes",1-$D269,P38)*(1-P130)</f>
        <v/>
      </c>
      <c r="Q269" s="19">
        <f>Q$12*IF(LEFT(Q$319,3)="Yes",1-$D269,Q38)*(1-Q130)</f>
        <v/>
      </c>
      <c r="R269" s="19">
        <f>R$12*IF(LEFT(R$319,3)="Yes",1-$D269,R38)*(1-R130)</f>
        <v/>
      </c>
      <c r="S269" s="19">
        <f>S$12*IF(LEFT(S$319,3)="Yes",1-$D269,S38)*(1-S130)</f>
        <v/>
      </c>
      <c r="T269" s="19">
        <f>T$12*IF(LEFT(T$319,3)="Yes",1-$D269,T38)*(1-T130)</f>
        <v/>
      </c>
      <c r="U269" s="19">
        <f>U$12*IF(LEFT(U$319,3)="Yes",1-$D269,U38)*(1-U130)</f>
        <v/>
      </c>
      <c r="V269" s="19">
        <f>V$12*IF(LEFT(V$319,3)="Yes",1-$D269,V38)*(1-V130)</f>
        <v/>
      </c>
      <c r="W269" s="19">
        <f>W$12*IF(LEFT(W$319,3)="Yes",1-$D269,W38)*(1-W130)</f>
        <v/>
      </c>
      <c r="X269" s="19">
        <f>X$12*IF(LEFT(X$319,3)="Yes",1-$D269,X38)*(1-X130)</f>
        <v/>
      </c>
      <c r="Y269" s="19">
        <f>Y$12*IF(LEFT(Y$319,3)="Yes",1-$D269,Y38)*(1-Y130)</f>
        <v/>
      </c>
      <c r="Z269" s="19">
        <f>Z$12*IF(LEFT(Z$319,3)="Yes",1-$D269,Z38)*(1-Z130)</f>
        <v/>
      </c>
      <c r="AA269" s="19">
        <f>AA$12*IF(LEFT(AA$319,3)="Yes",1-$D269,AA38)*(1-AA130)</f>
        <v/>
      </c>
      <c r="AB269" s="19">
        <f>AB$12*IF(LEFT(AB$319,3)="Yes",1-$D269,AB38)*(1-AB130)</f>
        <v/>
      </c>
      <c r="AC269" s="19">
        <f>AC$12*IF(LEFT(AC$319,3)="Yes",1-$D269,AC38)*(1-AC130)</f>
        <v/>
      </c>
      <c r="AD269" s="19">
        <f>AD$12*IF(LEFT(AD$319,3)="Yes",1-$D269,AD38)*(1-AD130)</f>
        <v/>
      </c>
      <c r="AE269" s="20">
        <f>SECTORTAX(AE$12,AE38,AE130,AE$319,$D269)</f>
        <v/>
      </c>
      <c r="AG269" s="17">
        <f>CodePrefix&amp;$A269&amp;IF($C269="","","."&amp;$C269&amp;"."&amp;$B269)&amp;INDEX(VarEnd,MATCH($A269,VarKey,0))&amp;AG$5</f>
        <v/>
      </c>
      <c r="AH269" s="18">
        <f>AH$12*IF(LEFT(AH$319,3)="Yes",1-$D269,AH38)*(1-AH130)</f>
        <v/>
      </c>
      <c r="AI269" s="19">
        <f>AI$12*IF(LEFT(AI$319,3)="Yes",1-$D269,AI38)*(1-AI130)</f>
        <v/>
      </c>
      <c r="AJ269" s="19">
        <f>AJ$12*IF(LEFT(AJ$319,3)="Yes",1-$D269,AJ38)*(1-AJ130)</f>
        <v/>
      </c>
      <c r="AK269" s="19">
        <f>AK$12*IF(LEFT(AK$319,3)="Yes",1-$D269,AK38)*(1-AK130)</f>
        <v/>
      </c>
      <c r="AL269" s="19">
        <f>AL$12*IF(LEFT(AL$319,3)="Yes",1-$D269,AL38)*(1-AL130)</f>
        <v/>
      </c>
      <c r="AM269" s="19">
        <f>AM$12*IF(LEFT(AM$319,3)="Yes",1-$D269,AM38)*(1-AM130)</f>
        <v/>
      </c>
      <c r="AN269" s="19">
        <f>AN$12*IF(LEFT(AN$319,3)="Yes",1-$D269,AN38)*(1-AN130)</f>
        <v/>
      </c>
      <c r="AO269" s="19">
        <f>AO$12*IF(LEFT(AO$319,3)="Yes",1-$D269,AO38)*(1-AO130)</f>
        <v/>
      </c>
      <c r="AP269" s="19">
        <f>AP$12*IF(LEFT(AP$319,3)="Yes",1-$D269,AP38)*(1-AP130)</f>
        <v/>
      </c>
      <c r="AQ269" s="19">
        <f>AQ$12*IF(LEFT(AQ$319,3)="Yes",1-$D269,AQ38)*(1-AQ130)</f>
        <v/>
      </c>
      <c r="AR269" s="19">
        <f>AR$12*IF(LEFT(AR$319,3)="Yes",1-$D269,AR38)*(1-AR130)</f>
        <v/>
      </c>
      <c r="AS269" s="19">
        <f>AS$12*IF(LEFT(AS$319,3)="Yes",1-$D269,AS38)*(1-AS130)</f>
        <v/>
      </c>
      <c r="AT269" s="19">
        <f>AT$12*IF(LEFT(AT$319,3)="Yes",1-$D269,AT38)*(1-AT130)</f>
        <v/>
      </c>
      <c r="AU269" s="19">
        <f>AU$12*IF(LEFT(AU$319,3)="Yes",1-$D269,AU38)*(1-AU130)</f>
        <v/>
      </c>
      <c r="AV269" s="19">
        <f>AV$12*IF(LEFT(AV$319,3)="Yes",1-$D269,AV38)*(1-AV130)</f>
        <v/>
      </c>
      <c r="AW269" s="19">
        <f>AW$12*IF(LEFT(AW$319,3)="Yes",1-$D269,AW38)*(1-AW130)</f>
        <v/>
      </c>
      <c r="AX269" s="19">
        <f>AX$12*IF(LEFT(AX$319,3)="Yes",1-$D269,AX38)*(1-AX130)</f>
        <v/>
      </c>
      <c r="AY269" s="19">
        <f>AY$12*IF(LEFT(AY$319,3)="Yes",1-$D269,AY38)*(1-AY130)</f>
        <v/>
      </c>
      <c r="AZ269" s="19">
        <f>AZ$12*IF(LEFT(AZ$319,3)="Yes",1-$D269,AZ38)*(1-AZ130)</f>
        <v/>
      </c>
      <c r="BA269" s="20">
        <f>SECTORTAX(BA$12,BA38,BA130,BA$319,$D269)</f>
        <v/>
      </c>
    </row>
    <row r="270" hidden="1" outlineLevel="1">
      <c r="A270" s="1" t="inlineStr">
        <is>
          <t>ctr</t>
        </is>
      </c>
      <c r="B270" s="1" t="inlineStr">
        <is>
          <t>all</t>
        </is>
      </c>
      <c r="C270" s="1" t="inlineStr">
        <is>
          <t>srv</t>
        </is>
      </c>
      <c r="D270" s="35">
        <f>INDEX(ECPCov,MATCH("ees.res",ECPKey,0))</f>
        <v/>
      </c>
      <c r="H270" s="1">
        <f>INDEX(VarLab,MATCH($A270,VarKey,0))&amp;INDEX(MemLab,MATCH($C270&amp;"|"&amp;$B270,MemKey,0))</f>
        <v/>
      </c>
      <c r="I270" s="1">
        <f>INDEX(VarUnit,MATCH($A270,VarKey,0))</f>
        <v/>
      </c>
      <c r="J270" s="1">
        <f>INDEX(VarSrc,MATCH($A270,VarKey,0))</f>
        <v/>
      </c>
      <c r="K270" s="17">
        <f>CodePrefix&amp;$A270&amp;IF($C270="","","."&amp;$C270&amp;"."&amp;$B270)&amp;INDEX(VarEnd,MATCH($A270,VarKey,0))&amp;K$5</f>
        <v/>
      </c>
      <c r="L270" s="18">
        <f>L$12*IF(LEFT(L$319,3)="Yes",1-$D270,L39)*(1-L131)</f>
        <v/>
      </c>
      <c r="M270" s="19">
        <f>M$12*IF(LEFT(M$319,3)="Yes",1-$D270,M39)*(1-M131)</f>
        <v/>
      </c>
      <c r="N270" s="19">
        <f>N$12*IF(LEFT(N$319,3)="Yes",1-$D270,N39)*(1-N131)</f>
        <v/>
      </c>
      <c r="O270" s="19">
        <f>O$12*IF(LEFT(O$319,3)="Yes",1-$D270,O39)*(1-O131)</f>
        <v/>
      </c>
      <c r="P270" s="19">
        <f>P$12*IF(LEFT(P$319,3)="Yes",1-$D270,P39)*(1-P131)</f>
        <v/>
      </c>
      <c r="Q270" s="19">
        <f>Q$12*IF(LEFT(Q$319,3)="Yes",1-$D270,Q39)*(1-Q131)</f>
        <v/>
      </c>
      <c r="R270" s="19">
        <f>R$12*IF(LEFT(R$319,3)="Yes",1-$D270,R39)*(1-R131)</f>
        <v/>
      </c>
      <c r="S270" s="19">
        <f>S$12*IF(LEFT(S$319,3)="Yes",1-$D270,S39)*(1-S131)</f>
        <v/>
      </c>
      <c r="T270" s="19">
        <f>T$12*IF(LEFT(T$319,3)="Yes",1-$D270,T39)*(1-T131)</f>
        <v/>
      </c>
      <c r="U270" s="19">
        <f>U$12*IF(LEFT(U$319,3)="Yes",1-$D270,U39)*(1-U131)</f>
        <v/>
      </c>
      <c r="V270" s="19">
        <f>V$12*IF(LEFT(V$319,3)="Yes",1-$D270,V39)*(1-V131)</f>
        <v/>
      </c>
      <c r="W270" s="19">
        <f>W$12*IF(LEFT(W$319,3)="Yes",1-$D270,W39)*(1-W131)</f>
        <v/>
      </c>
      <c r="X270" s="19">
        <f>X$12*IF(LEFT(X$319,3)="Yes",1-$D270,X39)*(1-X131)</f>
        <v/>
      </c>
      <c r="Y270" s="19">
        <f>Y$12*IF(LEFT(Y$319,3)="Yes",1-$D270,Y39)*(1-Y131)</f>
        <v/>
      </c>
      <c r="Z270" s="19">
        <f>Z$12*IF(LEFT(Z$319,3)="Yes",1-$D270,Z39)*(1-Z131)</f>
        <v/>
      </c>
      <c r="AA270" s="19">
        <f>AA$12*IF(LEFT(AA$319,3)="Yes",1-$D270,AA39)*(1-AA131)</f>
        <v/>
      </c>
      <c r="AB270" s="19">
        <f>AB$12*IF(LEFT(AB$319,3)="Yes",1-$D270,AB39)*(1-AB131)</f>
        <v/>
      </c>
      <c r="AC270" s="19">
        <f>AC$12*IF(LEFT(AC$319,3)="Yes",1-$D270,AC39)*(1-AC131)</f>
        <v/>
      </c>
      <c r="AD270" s="19">
        <f>AD$12*IF(LEFT(AD$319,3)="Yes",1-$D270,AD39)*(1-AD131)</f>
        <v/>
      </c>
      <c r="AE270" s="20">
        <f>SECTORTAX(AE$12,AE39,AE131,AE$319,$D270)</f>
        <v/>
      </c>
      <c r="AG270" s="17">
        <f>CodePrefix&amp;$A270&amp;IF($C270="","","."&amp;$C270&amp;"."&amp;$B270)&amp;INDEX(VarEnd,MATCH($A270,VarKey,0))&amp;AG$5</f>
        <v/>
      </c>
      <c r="AH270" s="18">
        <f>AH$12*IF(LEFT(AH$319,3)="Yes",1-$D270,AH39)*(1-AH131)</f>
        <v/>
      </c>
      <c r="AI270" s="19">
        <f>AI$12*IF(LEFT(AI$319,3)="Yes",1-$D270,AI39)*(1-AI131)</f>
        <v/>
      </c>
      <c r="AJ270" s="19">
        <f>AJ$12*IF(LEFT(AJ$319,3)="Yes",1-$D270,AJ39)*(1-AJ131)</f>
        <v/>
      </c>
      <c r="AK270" s="19">
        <f>AK$12*IF(LEFT(AK$319,3)="Yes",1-$D270,AK39)*(1-AK131)</f>
        <v/>
      </c>
      <c r="AL270" s="19">
        <f>AL$12*IF(LEFT(AL$319,3)="Yes",1-$D270,AL39)*(1-AL131)</f>
        <v/>
      </c>
      <c r="AM270" s="19">
        <f>AM$12*IF(LEFT(AM$319,3)="Yes",1-$D270,AM39)*(1-AM131)</f>
        <v/>
      </c>
      <c r="AN270" s="19">
        <f>AN$12*IF(LEFT(AN$319,3)="Yes",1-$D270,AN39)*(1-AN131)</f>
        <v/>
      </c>
      <c r="AO270" s="19">
        <f>AO$12*IF(LEFT(AO$319,3)="Yes",1-$D270,AO39)*(1-AO131)</f>
        <v/>
      </c>
      <c r="AP270" s="19">
        <f>AP$12*IF(LEFT(AP$319,3)="Yes",1-$D270,AP39)*(1-AP131)</f>
        <v/>
      </c>
      <c r="AQ270" s="19">
        <f>AQ$12*IF(LEFT(AQ$319,3)="Yes",1-$D270,AQ39)*(1-AQ131)</f>
        <v/>
      </c>
      <c r="AR270" s="19">
        <f>AR$12*IF(LEFT(AR$319,3)="Yes",1-$D270,AR39)*(1-AR131)</f>
        <v/>
      </c>
      <c r="AS270" s="19">
        <f>AS$12*IF(LEFT(AS$319,3)="Yes",1-$D270,AS39)*(1-AS131)</f>
        <v/>
      </c>
      <c r="AT270" s="19">
        <f>AT$12*IF(LEFT(AT$319,3)="Yes",1-$D270,AT39)*(1-AT131)</f>
        <v/>
      </c>
      <c r="AU270" s="19">
        <f>AU$12*IF(LEFT(AU$319,3)="Yes",1-$D270,AU39)*(1-AU131)</f>
        <v/>
      </c>
      <c r="AV270" s="19">
        <f>AV$12*IF(LEFT(AV$319,3)="Yes",1-$D270,AV39)*(1-AV131)</f>
        <v/>
      </c>
      <c r="AW270" s="19">
        <f>AW$12*IF(LEFT(AW$319,3)="Yes",1-$D270,AW39)*(1-AW131)</f>
        <v/>
      </c>
      <c r="AX270" s="19">
        <f>AX$12*IF(LEFT(AX$319,3)="Yes",1-$D270,AX39)*(1-AX131)</f>
        <v/>
      </c>
      <c r="AY270" s="19">
        <f>AY$12*IF(LEFT(AY$319,3)="Yes",1-$D270,AY39)*(1-AY131)</f>
        <v/>
      </c>
      <c r="AZ270" s="19">
        <f>AZ$12*IF(LEFT(AZ$319,3)="Yes",1-$D270,AZ39)*(1-AZ131)</f>
        <v/>
      </c>
      <c r="BA270" s="20">
        <f>SECTORTAX(BA$12,BA39,BA131,BA$319,$D270)</f>
        <v/>
      </c>
    </row>
    <row r="271" hidden="1" outlineLevel="1">
      <c r="A271" s="1" t="inlineStr">
        <is>
          <t>ctr</t>
        </is>
      </c>
      <c r="B271" s="1" t="inlineStr">
        <is>
          <t>all</t>
        </is>
      </c>
      <c r="C271" s="1" t="inlineStr">
        <is>
          <t>mch</t>
        </is>
      </c>
      <c r="D271" s="35">
        <f>INDEX(ECPCov,MATCH("ees.ind",ECPKey,0))</f>
        <v/>
      </c>
      <c r="H271" s="1">
        <f>INDEX(VarLab,MATCH($A271,VarKey,0))&amp;INDEX(MemLab,MATCH($C271&amp;"|"&amp;$B271,MemKey,0))</f>
        <v/>
      </c>
      <c r="I271" s="1">
        <f>INDEX(VarUnit,MATCH($A271,VarKey,0))</f>
        <v/>
      </c>
      <c r="J271" s="1">
        <f>INDEX(VarSrc,MATCH($A271,VarKey,0))</f>
        <v/>
      </c>
      <c r="K271" s="17">
        <f>CodePrefix&amp;$A271&amp;IF($C271="","","."&amp;$C271&amp;"."&amp;$B271)&amp;INDEX(VarEnd,MATCH($A271,VarKey,0))&amp;K$5</f>
        <v/>
      </c>
      <c r="L271" s="18">
        <f>L$12*IF(LEFT(L$319,3)="Yes",1-$D271,L40)*(1-L132)</f>
        <v/>
      </c>
      <c r="M271" s="19">
        <f>M$12*IF(LEFT(M$319,3)="Yes",1-$D271,M40)*(1-M132)</f>
        <v/>
      </c>
      <c r="N271" s="19">
        <f>N$12*IF(LEFT(N$319,3)="Yes",1-$D271,N40)*(1-N132)</f>
        <v/>
      </c>
      <c r="O271" s="19">
        <f>O$12*IF(LEFT(O$319,3)="Yes",1-$D271,O40)*(1-O132)</f>
        <v/>
      </c>
      <c r="P271" s="19">
        <f>P$12*IF(LEFT(P$319,3)="Yes",1-$D271,P40)*(1-P132)</f>
        <v/>
      </c>
      <c r="Q271" s="19">
        <f>Q$12*IF(LEFT(Q$319,3)="Yes",1-$D271,Q40)*(1-Q132)</f>
        <v/>
      </c>
      <c r="R271" s="19">
        <f>R$12*IF(LEFT(R$319,3)="Yes",1-$D271,R40)*(1-R132)</f>
        <v/>
      </c>
      <c r="S271" s="19">
        <f>S$12*IF(LEFT(S$319,3)="Yes",1-$D271,S40)*(1-S132)</f>
        <v/>
      </c>
      <c r="T271" s="19">
        <f>T$12*IF(LEFT(T$319,3)="Yes",1-$D271,T40)*(1-T132)</f>
        <v/>
      </c>
      <c r="U271" s="19">
        <f>U$12*IF(LEFT(U$319,3)="Yes",1-$D271,U40)*(1-U132)</f>
        <v/>
      </c>
      <c r="V271" s="19">
        <f>V$12*IF(LEFT(V$319,3)="Yes",1-$D271,V40)*(1-V132)</f>
        <v/>
      </c>
      <c r="W271" s="19">
        <f>W$12*IF(LEFT(W$319,3)="Yes",1-$D271,W40)*(1-W132)</f>
        <v/>
      </c>
      <c r="X271" s="19">
        <f>X$12*IF(LEFT(X$319,3)="Yes",1-$D271,X40)*(1-X132)</f>
        <v/>
      </c>
      <c r="Y271" s="19">
        <f>Y$12*IF(LEFT(Y$319,3)="Yes",1-$D271,Y40)*(1-Y132)</f>
        <v/>
      </c>
      <c r="Z271" s="19">
        <f>Z$12*IF(LEFT(Z$319,3)="Yes",1-$D271,Z40)*(1-Z132)</f>
        <v/>
      </c>
      <c r="AA271" s="19">
        <f>AA$12*IF(LEFT(AA$319,3)="Yes",1-$D271,AA40)*(1-AA132)</f>
        <v/>
      </c>
      <c r="AB271" s="19">
        <f>AB$12*IF(LEFT(AB$319,3)="Yes",1-$D271,AB40)*(1-AB132)</f>
        <v/>
      </c>
      <c r="AC271" s="19">
        <f>AC$12*IF(LEFT(AC$319,3)="Yes",1-$D271,AC40)*(1-AC132)</f>
        <v/>
      </c>
      <c r="AD271" s="19">
        <f>AD$12*IF(LEFT(AD$319,3)="Yes",1-$D271,AD40)*(1-AD132)</f>
        <v/>
      </c>
      <c r="AE271" s="20">
        <f>SECTORTAX(AE$12,AE40,AE132,AE$319,$D271)</f>
        <v/>
      </c>
      <c r="AG271" s="17">
        <f>CodePrefix&amp;$A271&amp;IF($C271="","","."&amp;$C271&amp;"."&amp;$B271)&amp;INDEX(VarEnd,MATCH($A271,VarKey,0))&amp;AG$5</f>
        <v/>
      </c>
      <c r="AH271" s="18">
        <f>AH$12*IF(LEFT(AH$319,3)="Yes",1-$D271,AH40)*(1-AH132)</f>
        <v/>
      </c>
      <c r="AI271" s="19">
        <f>AI$12*IF(LEFT(AI$319,3)="Yes",1-$D271,AI40)*(1-AI132)</f>
        <v/>
      </c>
      <c r="AJ271" s="19">
        <f>AJ$12*IF(LEFT(AJ$319,3)="Yes",1-$D271,AJ40)*(1-AJ132)</f>
        <v/>
      </c>
      <c r="AK271" s="19">
        <f>AK$12*IF(LEFT(AK$319,3)="Yes",1-$D271,AK40)*(1-AK132)</f>
        <v/>
      </c>
      <c r="AL271" s="19">
        <f>AL$12*IF(LEFT(AL$319,3)="Yes",1-$D271,AL40)*(1-AL132)</f>
        <v/>
      </c>
      <c r="AM271" s="19">
        <f>AM$12*IF(LEFT(AM$319,3)="Yes",1-$D271,AM40)*(1-AM132)</f>
        <v/>
      </c>
      <c r="AN271" s="19">
        <f>AN$12*IF(LEFT(AN$319,3)="Yes",1-$D271,AN40)*(1-AN132)</f>
        <v/>
      </c>
      <c r="AO271" s="19">
        <f>AO$12*IF(LEFT(AO$319,3)="Yes",1-$D271,AO40)*(1-AO132)</f>
        <v/>
      </c>
      <c r="AP271" s="19">
        <f>AP$12*IF(LEFT(AP$319,3)="Yes",1-$D271,AP40)*(1-AP132)</f>
        <v/>
      </c>
      <c r="AQ271" s="19">
        <f>AQ$12*IF(LEFT(AQ$319,3)="Yes",1-$D271,AQ40)*(1-AQ132)</f>
        <v/>
      </c>
      <c r="AR271" s="19">
        <f>AR$12*IF(LEFT(AR$319,3)="Yes",1-$D271,AR40)*(1-AR132)</f>
        <v/>
      </c>
      <c r="AS271" s="19">
        <f>AS$12*IF(LEFT(AS$319,3)="Yes",1-$D271,AS40)*(1-AS132)</f>
        <v/>
      </c>
      <c r="AT271" s="19">
        <f>AT$12*IF(LEFT(AT$319,3)="Yes",1-$D271,AT40)*(1-AT132)</f>
        <v/>
      </c>
      <c r="AU271" s="19">
        <f>AU$12*IF(LEFT(AU$319,3)="Yes",1-$D271,AU40)*(1-AU132)</f>
        <v/>
      </c>
      <c r="AV271" s="19">
        <f>AV$12*IF(LEFT(AV$319,3)="Yes",1-$D271,AV40)*(1-AV132)</f>
        <v/>
      </c>
      <c r="AW271" s="19">
        <f>AW$12*IF(LEFT(AW$319,3)="Yes",1-$D271,AW40)*(1-AW132)</f>
        <v/>
      </c>
      <c r="AX271" s="19">
        <f>AX$12*IF(LEFT(AX$319,3)="Yes",1-$D271,AX40)*(1-AX132)</f>
        <v/>
      </c>
      <c r="AY271" s="19">
        <f>AY$12*IF(LEFT(AY$319,3)="Yes",1-$D271,AY40)*(1-AY132)</f>
        <v/>
      </c>
      <c r="AZ271" s="19">
        <f>AZ$12*IF(LEFT(AZ$319,3)="Yes",1-$D271,AZ40)*(1-AZ132)</f>
        <v/>
      </c>
      <c r="BA271" s="20">
        <f>SECTORTAX(BA$12,BA40,BA132,BA$319,$D271)</f>
        <v/>
      </c>
    </row>
    <row r="272" hidden="1" outlineLevel="1">
      <c r="A272" s="1" t="inlineStr">
        <is>
          <t>ctr</t>
        </is>
      </c>
      <c r="B272" s="1" t="inlineStr">
        <is>
          <t>all</t>
        </is>
      </c>
      <c r="C272" s="1" t="inlineStr">
        <is>
          <t>irn</t>
        </is>
      </c>
      <c r="D272" s="35">
        <f>INDEX(ECPCov,MATCH("ees.ind",ECPKey,0))</f>
        <v/>
      </c>
      <c r="H272" s="1">
        <f>INDEX(VarLab,MATCH($A272,VarKey,0))&amp;INDEX(MemLab,MATCH($C272&amp;"|"&amp;$B272,MemKey,0))</f>
        <v/>
      </c>
      <c r="I272" s="1">
        <f>INDEX(VarUnit,MATCH($A272,VarKey,0))</f>
        <v/>
      </c>
      <c r="J272" s="1">
        <f>INDEX(VarSrc,MATCH($A272,VarKey,0))</f>
        <v/>
      </c>
      <c r="K272" s="17">
        <f>CodePrefix&amp;$A272&amp;IF($C272="","","."&amp;$C272&amp;"."&amp;$B272)&amp;INDEX(VarEnd,MATCH($A272,VarKey,0))&amp;K$5</f>
        <v/>
      </c>
      <c r="L272" s="18">
        <f>L$12*IF(LEFT(L$319,3)="Yes",1-$D272,L41)*(1-L133)</f>
        <v/>
      </c>
      <c r="M272" s="19">
        <f>M$12*IF(LEFT(M$319,3)="Yes",1-$D272,M41)*(1-M133)</f>
        <v/>
      </c>
      <c r="N272" s="19">
        <f>N$12*IF(LEFT(N$319,3)="Yes",1-$D272,N41)*(1-N133)</f>
        <v/>
      </c>
      <c r="O272" s="19">
        <f>O$12*IF(LEFT(O$319,3)="Yes",1-$D272,O41)*(1-O133)</f>
        <v/>
      </c>
      <c r="P272" s="19">
        <f>P$12*IF(LEFT(P$319,3)="Yes",1-$D272,P41)*(1-P133)</f>
        <v/>
      </c>
      <c r="Q272" s="19">
        <f>Q$12*IF(LEFT(Q$319,3)="Yes",1-$D272,Q41)*(1-Q133)</f>
        <v/>
      </c>
      <c r="R272" s="19">
        <f>R$12*IF(LEFT(R$319,3)="Yes",1-$D272,R41)*(1-R133)</f>
        <v/>
      </c>
      <c r="S272" s="19">
        <f>S$12*IF(LEFT(S$319,3)="Yes",1-$D272,S41)*(1-S133)</f>
        <v/>
      </c>
      <c r="T272" s="19">
        <f>T$12*IF(LEFT(T$319,3)="Yes",1-$D272,T41)*(1-T133)</f>
        <v/>
      </c>
      <c r="U272" s="19">
        <f>U$12*IF(LEFT(U$319,3)="Yes",1-$D272,U41)*(1-U133)</f>
        <v/>
      </c>
      <c r="V272" s="19">
        <f>V$12*IF(LEFT(V$319,3)="Yes",1-$D272,V41)*(1-V133)</f>
        <v/>
      </c>
      <c r="W272" s="19">
        <f>W$12*IF(LEFT(W$319,3)="Yes",1-$D272,W41)*(1-W133)</f>
        <v/>
      </c>
      <c r="X272" s="19">
        <f>X$12*IF(LEFT(X$319,3)="Yes",1-$D272,X41)*(1-X133)</f>
        <v/>
      </c>
      <c r="Y272" s="19">
        <f>Y$12*IF(LEFT(Y$319,3)="Yes",1-$D272,Y41)*(1-Y133)</f>
        <v/>
      </c>
      <c r="Z272" s="19">
        <f>Z$12*IF(LEFT(Z$319,3)="Yes",1-$D272,Z41)*(1-Z133)</f>
        <v/>
      </c>
      <c r="AA272" s="19">
        <f>AA$12*IF(LEFT(AA$319,3)="Yes",1-$D272,AA41)*(1-AA133)</f>
        <v/>
      </c>
      <c r="AB272" s="19">
        <f>AB$12*IF(LEFT(AB$319,3)="Yes",1-$D272,AB41)*(1-AB133)</f>
        <v/>
      </c>
      <c r="AC272" s="19">
        <f>AC$12*IF(LEFT(AC$319,3)="Yes",1-$D272,AC41)*(1-AC133)</f>
        <v/>
      </c>
      <c r="AD272" s="19">
        <f>AD$12*IF(LEFT(AD$319,3)="Yes",1-$D272,AD41)*(1-AD133)</f>
        <v/>
      </c>
      <c r="AE272" s="20">
        <f>SECTORTAX(AE$12,AE41,AE133,AE$319,$D272)</f>
        <v/>
      </c>
      <c r="AG272" s="17">
        <f>CodePrefix&amp;$A272&amp;IF($C272="","","."&amp;$C272&amp;"."&amp;$B272)&amp;INDEX(VarEnd,MATCH($A272,VarKey,0))&amp;AG$5</f>
        <v/>
      </c>
      <c r="AH272" s="18">
        <f>AH$12*IF(LEFT(AH$319,3)="Yes",1-$D272,AH41)*(1-AH133)</f>
        <v/>
      </c>
      <c r="AI272" s="19">
        <f>AI$12*IF(LEFT(AI$319,3)="Yes",1-$D272,AI41)*(1-AI133)</f>
        <v/>
      </c>
      <c r="AJ272" s="19">
        <f>AJ$12*IF(LEFT(AJ$319,3)="Yes",1-$D272,AJ41)*(1-AJ133)</f>
        <v/>
      </c>
      <c r="AK272" s="19">
        <f>AK$12*IF(LEFT(AK$319,3)="Yes",1-$D272,AK41)*(1-AK133)</f>
        <v/>
      </c>
      <c r="AL272" s="19">
        <f>AL$12*IF(LEFT(AL$319,3)="Yes",1-$D272,AL41)*(1-AL133)</f>
        <v/>
      </c>
      <c r="AM272" s="19">
        <f>AM$12*IF(LEFT(AM$319,3)="Yes",1-$D272,AM41)*(1-AM133)</f>
        <v/>
      </c>
      <c r="AN272" s="19">
        <f>AN$12*IF(LEFT(AN$319,3)="Yes",1-$D272,AN41)*(1-AN133)</f>
        <v/>
      </c>
      <c r="AO272" s="19">
        <f>AO$12*IF(LEFT(AO$319,3)="Yes",1-$D272,AO41)*(1-AO133)</f>
        <v/>
      </c>
      <c r="AP272" s="19">
        <f>AP$12*IF(LEFT(AP$319,3)="Yes",1-$D272,AP41)*(1-AP133)</f>
        <v/>
      </c>
      <c r="AQ272" s="19">
        <f>AQ$12*IF(LEFT(AQ$319,3)="Yes",1-$D272,AQ41)*(1-AQ133)</f>
        <v/>
      </c>
      <c r="AR272" s="19">
        <f>AR$12*IF(LEFT(AR$319,3)="Yes",1-$D272,AR41)*(1-AR133)</f>
        <v/>
      </c>
      <c r="AS272" s="19">
        <f>AS$12*IF(LEFT(AS$319,3)="Yes",1-$D272,AS41)*(1-AS133)</f>
        <v/>
      </c>
      <c r="AT272" s="19">
        <f>AT$12*IF(LEFT(AT$319,3)="Yes",1-$D272,AT41)*(1-AT133)</f>
        <v/>
      </c>
      <c r="AU272" s="19">
        <f>AU$12*IF(LEFT(AU$319,3)="Yes",1-$D272,AU41)*(1-AU133)</f>
        <v/>
      </c>
      <c r="AV272" s="19">
        <f>AV$12*IF(LEFT(AV$319,3)="Yes",1-$D272,AV41)*(1-AV133)</f>
        <v/>
      </c>
      <c r="AW272" s="19">
        <f>AW$12*IF(LEFT(AW$319,3)="Yes",1-$D272,AW41)*(1-AW133)</f>
        <v/>
      </c>
      <c r="AX272" s="19">
        <f>AX$12*IF(LEFT(AX$319,3)="Yes",1-$D272,AX41)*(1-AX133)</f>
        <v/>
      </c>
      <c r="AY272" s="19">
        <f>AY$12*IF(LEFT(AY$319,3)="Yes",1-$D272,AY41)*(1-AY133)</f>
        <v/>
      </c>
      <c r="AZ272" s="19">
        <f>AZ$12*IF(LEFT(AZ$319,3)="Yes",1-$D272,AZ41)*(1-AZ133)</f>
        <v/>
      </c>
      <c r="BA272" s="20">
        <f>SECTORTAX(BA$12,BA41,BA133,BA$319,$D272)</f>
        <v/>
      </c>
    </row>
    <row r="273" hidden="1" outlineLevel="1">
      <c r="A273" s="1" t="inlineStr">
        <is>
          <t>ctr</t>
        </is>
      </c>
      <c r="B273" s="1" t="inlineStr">
        <is>
          <t>all</t>
        </is>
      </c>
      <c r="C273" s="1" t="inlineStr">
        <is>
          <t>nfm</t>
        </is>
      </c>
      <c r="D273" s="35">
        <f>INDEX(ECPCov,MATCH("ees.ind",ECPKey,0))</f>
        <v/>
      </c>
      <c r="H273" s="1">
        <f>INDEX(VarLab,MATCH($A273,VarKey,0))&amp;INDEX(MemLab,MATCH($C273&amp;"|"&amp;$B273,MemKey,0))</f>
        <v/>
      </c>
      <c r="I273" s="1">
        <f>INDEX(VarUnit,MATCH($A273,VarKey,0))</f>
        <v/>
      </c>
      <c r="J273" s="1">
        <f>INDEX(VarSrc,MATCH($A273,VarKey,0))</f>
        <v/>
      </c>
      <c r="K273" s="17">
        <f>CodePrefix&amp;$A273&amp;IF($C273="","","."&amp;$C273&amp;"."&amp;$B273)&amp;INDEX(VarEnd,MATCH($A273,VarKey,0))&amp;K$5</f>
        <v/>
      </c>
      <c r="L273" s="18">
        <f>L$12*IF(LEFT(L$319,3)="Yes",1-$D273,L42)*(1-L134)</f>
        <v/>
      </c>
      <c r="M273" s="19">
        <f>M$12*IF(LEFT(M$319,3)="Yes",1-$D273,M42)*(1-M134)</f>
        <v/>
      </c>
      <c r="N273" s="19">
        <f>N$12*IF(LEFT(N$319,3)="Yes",1-$D273,N42)*(1-N134)</f>
        <v/>
      </c>
      <c r="O273" s="19">
        <f>O$12*IF(LEFT(O$319,3)="Yes",1-$D273,O42)*(1-O134)</f>
        <v/>
      </c>
      <c r="P273" s="19">
        <f>P$12*IF(LEFT(P$319,3)="Yes",1-$D273,P42)*(1-P134)</f>
        <v/>
      </c>
      <c r="Q273" s="19">
        <f>Q$12*IF(LEFT(Q$319,3)="Yes",1-$D273,Q42)*(1-Q134)</f>
        <v/>
      </c>
      <c r="R273" s="19">
        <f>R$12*IF(LEFT(R$319,3)="Yes",1-$D273,R42)*(1-R134)</f>
        <v/>
      </c>
      <c r="S273" s="19">
        <f>S$12*IF(LEFT(S$319,3)="Yes",1-$D273,S42)*(1-S134)</f>
        <v/>
      </c>
      <c r="T273" s="19">
        <f>T$12*IF(LEFT(T$319,3)="Yes",1-$D273,T42)*(1-T134)</f>
        <v/>
      </c>
      <c r="U273" s="19">
        <f>U$12*IF(LEFT(U$319,3)="Yes",1-$D273,U42)*(1-U134)</f>
        <v/>
      </c>
      <c r="V273" s="19">
        <f>V$12*IF(LEFT(V$319,3)="Yes",1-$D273,V42)*(1-V134)</f>
        <v/>
      </c>
      <c r="W273" s="19">
        <f>W$12*IF(LEFT(W$319,3)="Yes",1-$D273,W42)*(1-W134)</f>
        <v/>
      </c>
      <c r="X273" s="19">
        <f>X$12*IF(LEFT(X$319,3)="Yes",1-$D273,X42)*(1-X134)</f>
        <v/>
      </c>
      <c r="Y273" s="19">
        <f>Y$12*IF(LEFT(Y$319,3)="Yes",1-$D273,Y42)*(1-Y134)</f>
        <v/>
      </c>
      <c r="Z273" s="19">
        <f>Z$12*IF(LEFT(Z$319,3)="Yes",1-$D273,Z42)*(1-Z134)</f>
        <v/>
      </c>
      <c r="AA273" s="19">
        <f>AA$12*IF(LEFT(AA$319,3)="Yes",1-$D273,AA42)*(1-AA134)</f>
        <v/>
      </c>
      <c r="AB273" s="19">
        <f>AB$12*IF(LEFT(AB$319,3)="Yes",1-$D273,AB42)*(1-AB134)</f>
        <v/>
      </c>
      <c r="AC273" s="19">
        <f>AC$12*IF(LEFT(AC$319,3)="Yes",1-$D273,AC42)*(1-AC134)</f>
        <v/>
      </c>
      <c r="AD273" s="19">
        <f>AD$12*IF(LEFT(AD$319,3)="Yes",1-$D273,AD42)*(1-AD134)</f>
        <v/>
      </c>
      <c r="AE273" s="20">
        <f>SECTORTAX(AE$12,AE42,AE134,AE$319,$D273)</f>
        <v/>
      </c>
      <c r="AG273" s="17">
        <f>CodePrefix&amp;$A273&amp;IF($C273="","","."&amp;$C273&amp;"."&amp;$B273)&amp;INDEX(VarEnd,MATCH($A273,VarKey,0))&amp;AG$5</f>
        <v/>
      </c>
      <c r="AH273" s="18">
        <f>AH$12*IF(LEFT(AH$319,3)="Yes",1-$D273,AH42)*(1-AH134)</f>
        <v/>
      </c>
      <c r="AI273" s="19">
        <f>AI$12*IF(LEFT(AI$319,3)="Yes",1-$D273,AI42)*(1-AI134)</f>
        <v/>
      </c>
      <c r="AJ273" s="19">
        <f>AJ$12*IF(LEFT(AJ$319,3)="Yes",1-$D273,AJ42)*(1-AJ134)</f>
        <v/>
      </c>
      <c r="AK273" s="19">
        <f>AK$12*IF(LEFT(AK$319,3)="Yes",1-$D273,AK42)*(1-AK134)</f>
        <v/>
      </c>
      <c r="AL273" s="19">
        <f>AL$12*IF(LEFT(AL$319,3)="Yes",1-$D273,AL42)*(1-AL134)</f>
        <v/>
      </c>
      <c r="AM273" s="19">
        <f>AM$12*IF(LEFT(AM$319,3)="Yes",1-$D273,AM42)*(1-AM134)</f>
        <v/>
      </c>
      <c r="AN273" s="19">
        <f>AN$12*IF(LEFT(AN$319,3)="Yes",1-$D273,AN42)*(1-AN134)</f>
        <v/>
      </c>
      <c r="AO273" s="19">
        <f>AO$12*IF(LEFT(AO$319,3)="Yes",1-$D273,AO42)*(1-AO134)</f>
        <v/>
      </c>
      <c r="AP273" s="19">
        <f>AP$12*IF(LEFT(AP$319,3)="Yes",1-$D273,AP42)*(1-AP134)</f>
        <v/>
      </c>
      <c r="AQ273" s="19">
        <f>AQ$12*IF(LEFT(AQ$319,3)="Yes",1-$D273,AQ42)*(1-AQ134)</f>
        <v/>
      </c>
      <c r="AR273" s="19">
        <f>AR$12*IF(LEFT(AR$319,3)="Yes",1-$D273,AR42)*(1-AR134)</f>
        <v/>
      </c>
      <c r="AS273" s="19">
        <f>AS$12*IF(LEFT(AS$319,3)="Yes",1-$D273,AS42)*(1-AS134)</f>
        <v/>
      </c>
      <c r="AT273" s="19">
        <f>AT$12*IF(LEFT(AT$319,3)="Yes",1-$D273,AT42)*(1-AT134)</f>
        <v/>
      </c>
      <c r="AU273" s="19">
        <f>AU$12*IF(LEFT(AU$319,3)="Yes",1-$D273,AU42)*(1-AU134)</f>
        <v/>
      </c>
      <c r="AV273" s="19">
        <f>AV$12*IF(LEFT(AV$319,3)="Yes",1-$D273,AV42)*(1-AV134)</f>
        <v/>
      </c>
      <c r="AW273" s="19">
        <f>AW$12*IF(LEFT(AW$319,3)="Yes",1-$D273,AW42)*(1-AW134)</f>
        <v/>
      </c>
      <c r="AX273" s="19">
        <f>AX$12*IF(LEFT(AX$319,3)="Yes",1-$D273,AX42)*(1-AX134)</f>
        <v/>
      </c>
      <c r="AY273" s="19">
        <f>AY$12*IF(LEFT(AY$319,3)="Yes",1-$D273,AY42)*(1-AY134)</f>
        <v/>
      </c>
      <c r="AZ273" s="19">
        <f>AZ$12*IF(LEFT(AZ$319,3)="Yes",1-$D273,AZ42)*(1-AZ134)</f>
        <v/>
      </c>
      <c r="BA273" s="20">
        <f>SECTORTAX(BA$12,BA42,BA134,BA$319,$D273)</f>
        <v/>
      </c>
    </row>
    <row r="274" hidden="1" outlineLevel="1">
      <c r="A274" s="1" t="inlineStr">
        <is>
          <t>ctr</t>
        </is>
      </c>
      <c r="B274" s="1" t="inlineStr">
        <is>
          <t>all</t>
        </is>
      </c>
      <c r="C274" s="1" t="inlineStr">
        <is>
          <t>mac</t>
        </is>
      </c>
      <c r="D274" s="35">
        <f>INDEX(ECPCov,MATCH("ees.ind",ECPKey,0))</f>
        <v/>
      </c>
      <c r="H274" s="1">
        <f>INDEX(VarLab,MATCH($A274,VarKey,0))&amp;INDEX(MemLab,MATCH($C274&amp;"|"&amp;$B274,MemKey,0))</f>
        <v/>
      </c>
      <c r="I274" s="1">
        <f>INDEX(VarUnit,MATCH($A274,VarKey,0))</f>
        <v/>
      </c>
      <c r="J274" s="1">
        <f>INDEX(VarSrc,MATCH($A274,VarKey,0))</f>
        <v/>
      </c>
      <c r="K274" s="17">
        <f>CodePrefix&amp;$A274&amp;IF($C274="","","."&amp;$C274&amp;"."&amp;$B274)&amp;INDEX(VarEnd,MATCH($A274,VarKey,0))&amp;K$5</f>
        <v/>
      </c>
      <c r="L274" s="18">
        <f>L$12*IF(LEFT(L$319,3)="Yes",1-$D274,L43)*(1-L135)</f>
        <v/>
      </c>
      <c r="M274" s="19">
        <f>M$12*IF(LEFT(M$319,3)="Yes",1-$D274,M43)*(1-M135)</f>
        <v/>
      </c>
      <c r="N274" s="19">
        <f>N$12*IF(LEFT(N$319,3)="Yes",1-$D274,N43)*(1-N135)</f>
        <v/>
      </c>
      <c r="O274" s="19">
        <f>O$12*IF(LEFT(O$319,3)="Yes",1-$D274,O43)*(1-O135)</f>
        <v/>
      </c>
      <c r="P274" s="19">
        <f>P$12*IF(LEFT(P$319,3)="Yes",1-$D274,P43)*(1-P135)</f>
        <v/>
      </c>
      <c r="Q274" s="19">
        <f>Q$12*IF(LEFT(Q$319,3)="Yes",1-$D274,Q43)*(1-Q135)</f>
        <v/>
      </c>
      <c r="R274" s="19">
        <f>R$12*IF(LEFT(R$319,3)="Yes",1-$D274,R43)*(1-R135)</f>
        <v/>
      </c>
      <c r="S274" s="19">
        <f>S$12*IF(LEFT(S$319,3)="Yes",1-$D274,S43)*(1-S135)</f>
        <v/>
      </c>
      <c r="T274" s="19">
        <f>T$12*IF(LEFT(T$319,3)="Yes",1-$D274,T43)*(1-T135)</f>
        <v/>
      </c>
      <c r="U274" s="19">
        <f>U$12*IF(LEFT(U$319,3)="Yes",1-$D274,U43)*(1-U135)</f>
        <v/>
      </c>
      <c r="V274" s="19">
        <f>V$12*IF(LEFT(V$319,3)="Yes",1-$D274,V43)*(1-V135)</f>
        <v/>
      </c>
      <c r="W274" s="19">
        <f>W$12*IF(LEFT(W$319,3)="Yes",1-$D274,W43)*(1-W135)</f>
        <v/>
      </c>
      <c r="X274" s="19">
        <f>X$12*IF(LEFT(X$319,3)="Yes",1-$D274,X43)*(1-X135)</f>
        <v/>
      </c>
      <c r="Y274" s="19">
        <f>Y$12*IF(LEFT(Y$319,3)="Yes",1-$D274,Y43)*(1-Y135)</f>
        <v/>
      </c>
      <c r="Z274" s="19">
        <f>Z$12*IF(LEFT(Z$319,3)="Yes",1-$D274,Z43)*(1-Z135)</f>
        <v/>
      </c>
      <c r="AA274" s="19">
        <f>AA$12*IF(LEFT(AA$319,3)="Yes",1-$D274,AA43)*(1-AA135)</f>
        <v/>
      </c>
      <c r="AB274" s="19">
        <f>AB$12*IF(LEFT(AB$319,3)="Yes",1-$D274,AB43)*(1-AB135)</f>
        <v/>
      </c>
      <c r="AC274" s="19">
        <f>AC$12*IF(LEFT(AC$319,3)="Yes",1-$D274,AC43)*(1-AC135)</f>
        <v/>
      </c>
      <c r="AD274" s="19">
        <f>AD$12*IF(LEFT(AD$319,3)="Yes",1-$D274,AD43)*(1-AD135)</f>
        <v/>
      </c>
      <c r="AE274" s="20">
        <f>SECTORTAX(AE$12,AE43,AE135,AE$319,$D274)</f>
        <v/>
      </c>
      <c r="AG274" s="17">
        <f>CodePrefix&amp;$A274&amp;IF($C274="","","."&amp;$C274&amp;"."&amp;$B274)&amp;INDEX(VarEnd,MATCH($A274,VarKey,0))&amp;AG$5</f>
        <v/>
      </c>
      <c r="AH274" s="18">
        <f>AH$12*IF(LEFT(AH$319,3)="Yes",1-$D274,AH43)*(1-AH135)</f>
        <v/>
      </c>
      <c r="AI274" s="19">
        <f>AI$12*IF(LEFT(AI$319,3)="Yes",1-$D274,AI43)*(1-AI135)</f>
        <v/>
      </c>
      <c r="AJ274" s="19">
        <f>AJ$12*IF(LEFT(AJ$319,3)="Yes",1-$D274,AJ43)*(1-AJ135)</f>
        <v/>
      </c>
      <c r="AK274" s="19">
        <f>AK$12*IF(LEFT(AK$319,3)="Yes",1-$D274,AK43)*(1-AK135)</f>
        <v/>
      </c>
      <c r="AL274" s="19">
        <f>AL$12*IF(LEFT(AL$319,3)="Yes",1-$D274,AL43)*(1-AL135)</f>
        <v/>
      </c>
      <c r="AM274" s="19">
        <f>AM$12*IF(LEFT(AM$319,3)="Yes",1-$D274,AM43)*(1-AM135)</f>
        <v/>
      </c>
      <c r="AN274" s="19">
        <f>AN$12*IF(LEFT(AN$319,3)="Yes",1-$D274,AN43)*(1-AN135)</f>
        <v/>
      </c>
      <c r="AO274" s="19">
        <f>AO$12*IF(LEFT(AO$319,3)="Yes",1-$D274,AO43)*(1-AO135)</f>
        <v/>
      </c>
      <c r="AP274" s="19">
        <f>AP$12*IF(LEFT(AP$319,3)="Yes",1-$D274,AP43)*(1-AP135)</f>
        <v/>
      </c>
      <c r="AQ274" s="19">
        <f>AQ$12*IF(LEFT(AQ$319,3)="Yes",1-$D274,AQ43)*(1-AQ135)</f>
        <v/>
      </c>
      <c r="AR274" s="19">
        <f>AR$12*IF(LEFT(AR$319,3)="Yes",1-$D274,AR43)*(1-AR135)</f>
        <v/>
      </c>
      <c r="AS274" s="19">
        <f>AS$12*IF(LEFT(AS$319,3)="Yes",1-$D274,AS43)*(1-AS135)</f>
        <v/>
      </c>
      <c r="AT274" s="19">
        <f>AT$12*IF(LEFT(AT$319,3)="Yes",1-$D274,AT43)*(1-AT135)</f>
        <v/>
      </c>
      <c r="AU274" s="19">
        <f>AU$12*IF(LEFT(AU$319,3)="Yes",1-$D274,AU43)*(1-AU135)</f>
        <v/>
      </c>
      <c r="AV274" s="19">
        <f>AV$12*IF(LEFT(AV$319,3)="Yes",1-$D274,AV43)*(1-AV135)</f>
        <v/>
      </c>
      <c r="AW274" s="19">
        <f>AW$12*IF(LEFT(AW$319,3)="Yes",1-$D274,AW43)*(1-AW135)</f>
        <v/>
      </c>
      <c r="AX274" s="19">
        <f>AX$12*IF(LEFT(AX$319,3)="Yes",1-$D274,AX43)*(1-AX135)</f>
        <v/>
      </c>
      <c r="AY274" s="19">
        <f>AY$12*IF(LEFT(AY$319,3)="Yes",1-$D274,AY43)*(1-AY135)</f>
        <v/>
      </c>
      <c r="AZ274" s="19">
        <f>AZ$12*IF(LEFT(AZ$319,3)="Yes",1-$D274,AZ43)*(1-AZ135)</f>
        <v/>
      </c>
      <c r="BA274" s="20">
        <f>SECTORTAX(BA$12,BA43,BA135,BA$319,$D274)</f>
        <v/>
      </c>
    </row>
    <row r="275" hidden="1" outlineLevel="1">
      <c r="A275" s="1" t="inlineStr">
        <is>
          <t>ctr</t>
        </is>
      </c>
      <c r="B275" s="1" t="inlineStr">
        <is>
          <t>all</t>
        </is>
      </c>
      <c r="C275" s="1" t="inlineStr">
        <is>
          <t>cem</t>
        </is>
      </c>
      <c r="D275" s="35">
        <f>INDEX(ECPCov,MATCH("ees.ind",ECPKey,0))</f>
        <v/>
      </c>
      <c r="H275" s="1">
        <f>INDEX(VarLab,MATCH($A275,VarKey,0))&amp;INDEX(MemLab,MATCH($C275&amp;"|"&amp;$B275,MemKey,0))</f>
        <v/>
      </c>
      <c r="I275" s="1">
        <f>INDEX(VarUnit,MATCH($A275,VarKey,0))</f>
        <v/>
      </c>
      <c r="J275" s="1">
        <f>INDEX(VarSrc,MATCH($A275,VarKey,0))</f>
        <v/>
      </c>
      <c r="K275" s="17">
        <f>CodePrefix&amp;$A275&amp;IF($C275="","","."&amp;$C275&amp;"."&amp;$B275)&amp;INDEX(VarEnd,MATCH($A275,VarKey,0))&amp;K$5</f>
        <v/>
      </c>
      <c r="L275" s="18">
        <f>L$12*IF(LEFT(L$319,3)="Yes",1-$D275,L44)*(1-L136)</f>
        <v/>
      </c>
      <c r="M275" s="19">
        <f>M$12*IF(LEFT(M$319,3)="Yes",1-$D275,M44)*(1-M136)</f>
        <v/>
      </c>
      <c r="N275" s="19">
        <f>N$12*IF(LEFT(N$319,3)="Yes",1-$D275,N44)*(1-N136)</f>
        <v/>
      </c>
      <c r="O275" s="19">
        <f>O$12*IF(LEFT(O$319,3)="Yes",1-$D275,O44)*(1-O136)</f>
        <v/>
      </c>
      <c r="P275" s="19">
        <f>P$12*IF(LEFT(P$319,3)="Yes",1-$D275,P44)*(1-P136)</f>
        <v/>
      </c>
      <c r="Q275" s="19">
        <f>Q$12*IF(LEFT(Q$319,3)="Yes",1-$D275,Q44)*(1-Q136)</f>
        <v/>
      </c>
      <c r="R275" s="19">
        <f>R$12*IF(LEFT(R$319,3)="Yes",1-$D275,R44)*(1-R136)</f>
        <v/>
      </c>
      <c r="S275" s="19">
        <f>S$12*IF(LEFT(S$319,3)="Yes",1-$D275,S44)*(1-S136)</f>
        <v/>
      </c>
      <c r="T275" s="19">
        <f>T$12*IF(LEFT(T$319,3)="Yes",1-$D275,T44)*(1-T136)</f>
        <v/>
      </c>
      <c r="U275" s="19">
        <f>U$12*IF(LEFT(U$319,3)="Yes",1-$D275,U44)*(1-U136)</f>
        <v/>
      </c>
      <c r="V275" s="19">
        <f>V$12*IF(LEFT(V$319,3)="Yes",1-$D275,V44)*(1-V136)</f>
        <v/>
      </c>
      <c r="W275" s="19">
        <f>W$12*IF(LEFT(W$319,3)="Yes",1-$D275,W44)*(1-W136)</f>
        <v/>
      </c>
      <c r="X275" s="19">
        <f>X$12*IF(LEFT(X$319,3)="Yes",1-$D275,X44)*(1-X136)</f>
        <v/>
      </c>
      <c r="Y275" s="19">
        <f>Y$12*IF(LEFT(Y$319,3)="Yes",1-$D275,Y44)*(1-Y136)</f>
        <v/>
      </c>
      <c r="Z275" s="19">
        <f>Z$12*IF(LEFT(Z$319,3)="Yes",1-$D275,Z44)*(1-Z136)</f>
        <v/>
      </c>
      <c r="AA275" s="19">
        <f>AA$12*IF(LEFT(AA$319,3)="Yes",1-$D275,AA44)*(1-AA136)</f>
        <v/>
      </c>
      <c r="AB275" s="19">
        <f>AB$12*IF(LEFT(AB$319,3)="Yes",1-$D275,AB44)*(1-AB136)</f>
        <v/>
      </c>
      <c r="AC275" s="19">
        <f>AC$12*IF(LEFT(AC$319,3)="Yes",1-$D275,AC44)*(1-AC136)</f>
        <v/>
      </c>
      <c r="AD275" s="19">
        <f>AD$12*IF(LEFT(AD$319,3)="Yes",1-$D275,AD44)*(1-AD136)</f>
        <v/>
      </c>
      <c r="AE275" s="20">
        <f>SECTORTAX(AE$12,AE44,AE136,AE$319,$D275)</f>
        <v/>
      </c>
      <c r="AG275" s="17">
        <f>CodePrefix&amp;$A275&amp;IF($C275="","","."&amp;$C275&amp;"."&amp;$B275)&amp;INDEX(VarEnd,MATCH($A275,VarKey,0))&amp;AG$5</f>
        <v/>
      </c>
      <c r="AH275" s="18">
        <f>AH$12*IF(LEFT(AH$319,3)="Yes",1-$D275,AH44)*(1-AH136)</f>
        <v/>
      </c>
      <c r="AI275" s="19">
        <f>AI$12*IF(LEFT(AI$319,3)="Yes",1-$D275,AI44)*(1-AI136)</f>
        <v/>
      </c>
      <c r="AJ275" s="19">
        <f>AJ$12*IF(LEFT(AJ$319,3)="Yes",1-$D275,AJ44)*(1-AJ136)</f>
        <v/>
      </c>
      <c r="AK275" s="19">
        <f>AK$12*IF(LEFT(AK$319,3)="Yes",1-$D275,AK44)*(1-AK136)</f>
        <v/>
      </c>
      <c r="AL275" s="19">
        <f>AL$12*IF(LEFT(AL$319,3)="Yes",1-$D275,AL44)*(1-AL136)</f>
        <v/>
      </c>
      <c r="AM275" s="19">
        <f>AM$12*IF(LEFT(AM$319,3)="Yes",1-$D275,AM44)*(1-AM136)</f>
        <v/>
      </c>
      <c r="AN275" s="19">
        <f>AN$12*IF(LEFT(AN$319,3)="Yes",1-$D275,AN44)*(1-AN136)</f>
        <v/>
      </c>
      <c r="AO275" s="19">
        <f>AO$12*IF(LEFT(AO$319,3)="Yes",1-$D275,AO44)*(1-AO136)</f>
        <v/>
      </c>
      <c r="AP275" s="19">
        <f>AP$12*IF(LEFT(AP$319,3)="Yes",1-$D275,AP44)*(1-AP136)</f>
        <v/>
      </c>
      <c r="AQ275" s="19">
        <f>AQ$12*IF(LEFT(AQ$319,3)="Yes",1-$D275,AQ44)*(1-AQ136)</f>
        <v/>
      </c>
      <c r="AR275" s="19">
        <f>AR$12*IF(LEFT(AR$319,3)="Yes",1-$D275,AR44)*(1-AR136)</f>
        <v/>
      </c>
      <c r="AS275" s="19">
        <f>AS$12*IF(LEFT(AS$319,3)="Yes",1-$D275,AS44)*(1-AS136)</f>
        <v/>
      </c>
      <c r="AT275" s="19">
        <f>AT$12*IF(LEFT(AT$319,3)="Yes",1-$D275,AT44)*(1-AT136)</f>
        <v/>
      </c>
      <c r="AU275" s="19">
        <f>AU$12*IF(LEFT(AU$319,3)="Yes",1-$D275,AU44)*(1-AU136)</f>
        <v/>
      </c>
      <c r="AV275" s="19">
        <f>AV$12*IF(LEFT(AV$319,3)="Yes",1-$D275,AV44)*(1-AV136)</f>
        <v/>
      </c>
      <c r="AW275" s="19">
        <f>AW$12*IF(LEFT(AW$319,3)="Yes",1-$D275,AW44)*(1-AW136)</f>
        <v/>
      </c>
      <c r="AX275" s="19">
        <f>AX$12*IF(LEFT(AX$319,3)="Yes",1-$D275,AX44)*(1-AX136)</f>
        <v/>
      </c>
      <c r="AY275" s="19">
        <f>AY$12*IF(LEFT(AY$319,3)="Yes",1-$D275,AY44)*(1-AY136)</f>
        <v/>
      </c>
      <c r="AZ275" s="19">
        <f>AZ$12*IF(LEFT(AZ$319,3)="Yes",1-$D275,AZ44)*(1-AZ136)</f>
        <v/>
      </c>
      <c r="BA275" s="20">
        <f>SECTORTAX(BA$12,BA44,BA136,BA$319,$D275)</f>
        <v/>
      </c>
    </row>
    <row r="276" hidden="1" outlineLevel="1">
      <c r="A276" s="1" t="inlineStr">
        <is>
          <t>ctr</t>
        </is>
      </c>
      <c r="B276" s="1" t="inlineStr">
        <is>
          <t>all</t>
        </is>
      </c>
      <c r="C276" s="1" t="inlineStr">
        <is>
          <t>omn</t>
        </is>
      </c>
      <c r="D276" s="35">
        <f>INDEX(ECPCov,MATCH("ees.ind",ECPKey,0))</f>
        <v/>
      </c>
      <c r="H276" s="1">
        <f>INDEX(VarLab,MATCH($A276,VarKey,0))&amp;INDEX(MemLab,MATCH($C276&amp;"|"&amp;$B276,MemKey,0))</f>
        <v/>
      </c>
      <c r="I276" s="1">
        <f>INDEX(VarUnit,MATCH($A276,VarKey,0))</f>
        <v/>
      </c>
      <c r="J276" s="1">
        <f>INDEX(VarSrc,MATCH($A276,VarKey,0))</f>
        <v/>
      </c>
      <c r="K276" s="17">
        <f>CodePrefix&amp;$A276&amp;IF($C276="","","."&amp;$C276&amp;"."&amp;$B276)&amp;INDEX(VarEnd,MATCH($A276,VarKey,0))&amp;K$5</f>
        <v/>
      </c>
      <c r="L276" s="18">
        <f>L$12*IF(LEFT(L$319,3)="Yes",1-$D276,L45)*(1-L137)</f>
        <v/>
      </c>
      <c r="M276" s="19">
        <f>M$12*IF(LEFT(M$319,3)="Yes",1-$D276,M45)*(1-M137)</f>
        <v/>
      </c>
      <c r="N276" s="19">
        <f>N$12*IF(LEFT(N$319,3)="Yes",1-$D276,N45)*(1-N137)</f>
        <v/>
      </c>
      <c r="O276" s="19">
        <f>O$12*IF(LEFT(O$319,3)="Yes",1-$D276,O45)*(1-O137)</f>
        <v/>
      </c>
      <c r="P276" s="19">
        <f>P$12*IF(LEFT(P$319,3)="Yes",1-$D276,P45)*(1-P137)</f>
        <v/>
      </c>
      <c r="Q276" s="19">
        <f>Q$12*IF(LEFT(Q$319,3)="Yes",1-$D276,Q45)*(1-Q137)</f>
        <v/>
      </c>
      <c r="R276" s="19">
        <f>R$12*IF(LEFT(R$319,3)="Yes",1-$D276,R45)*(1-R137)</f>
        <v/>
      </c>
      <c r="S276" s="19">
        <f>S$12*IF(LEFT(S$319,3)="Yes",1-$D276,S45)*(1-S137)</f>
        <v/>
      </c>
      <c r="T276" s="19">
        <f>T$12*IF(LEFT(T$319,3)="Yes",1-$D276,T45)*(1-T137)</f>
        <v/>
      </c>
      <c r="U276" s="19">
        <f>U$12*IF(LEFT(U$319,3)="Yes",1-$D276,U45)*(1-U137)</f>
        <v/>
      </c>
      <c r="V276" s="19">
        <f>V$12*IF(LEFT(V$319,3)="Yes",1-$D276,V45)*(1-V137)</f>
        <v/>
      </c>
      <c r="W276" s="19">
        <f>W$12*IF(LEFT(W$319,3)="Yes",1-$D276,W45)*(1-W137)</f>
        <v/>
      </c>
      <c r="X276" s="19">
        <f>X$12*IF(LEFT(X$319,3)="Yes",1-$D276,X45)*(1-X137)</f>
        <v/>
      </c>
      <c r="Y276" s="19">
        <f>Y$12*IF(LEFT(Y$319,3)="Yes",1-$D276,Y45)*(1-Y137)</f>
        <v/>
      </c>
      <c r="Z276" s="19">
        <f>Z$12*IF(LEFT(Z$319,3)="Yes",1-$D276,Z45)*(1-Z137)</f>
        <v/>
      </c>
      <c r="AA276" s="19">
        <f>AA$12*IF(LEFT(AA$319,3)="Yes",1-$D276,AA45)*(1-AA137)</f>
        <v/>
      </c>
      <c r="AB276" s="19">
        <f>AB$12*IF(LEFT(AB$319,3)="Yes",1-$D276,AB45)*(1-AB137)</f>
        <v/>
      </c>
      <c r="AC276" s="19">
        <f>AC$12*IF(LEFT(AC$319,3)="Yes",1-$D276,AC45)*(1-AC137)</f>
        <v/>
      </c>
      <c r="AD276" s="19">
        <f>AD$12*IF(LEFT(AD$319,3)="Yes",1-$D276,AD45)*(1-AD137)</f>
        <v/>
      </c>
      <c r="AE276" s="20">
        <f>SECTORTAX(AE$12,AE45,AE137,AE$319,$D276)</f>
        <v/>
      </c>
      <c r="AG276" s="17">
        <f>CodePrefix&amp;$A276&amp;IF($C276="","","."&amp;$C276&amp;"."&amp;$B276)&amp;INDEX(VarEnd,MATCH($A276,VarKey,0))&amp;AG$5</f>
        <v/>
      </c>
      <c r="AH276" s="18">
        <f>AH$12*IF(LEFT(AH$319,3)="Yes",1-$D276,AH45)*(1-AH137)</f>
        <v/>
      </c>
      <c r="AI276" s="19">
        <f>AI$12*IF(LEFT(AI$319,3)="Yes",1-$D276,AI45)*(1-AI137)</f>
        <v/>
      </c>
      <c r="AJ276" s="19">
        <f>AJ$12*IF(LEFT(AJ$319,3)="Yes",1-$D276,AJ45)*(1-AJ137)</f>
        <v/>
      </c>
      <c r="AK276" s="19">
        <f>AK$12*IF(LEFT(AK$319,3)="Yes",1-$D276,AK45)*(1-AK137)</f>
        <v/>
      </c>
      <c r="AL276" s="19">
        <f>AL$12*IF(LEFT(AL$319,3)="Yes",1-$D276,AL45)*(1-AL137)</f>
        <v/>
      </c>
      <c r="AM276" s="19">
        <f>AM$12*IF(LEFT(AM$319,3)="Yes",1-$D276,AM45)*(1-AM137)</f>
        <v/>
      </c>
      <c r="AN276" s="19">
        <f>AN$12*IF(LEFT(AN$319,3)="Yes",1-$D276,AN45)*(1-AN137)</f>
        <v/>
      </c>
      <c r="AO276" s="19">
        <f>AO$12*IF(LEFT(AO$319,3)="Yes",1-$D276,AO45)*(1-AO137)</f>
        <v/>
      </c>
      <c r="AP276" s="19">
        <f>AP$12*IF(LEFT(AP$319,3)="Yes",1-$D276,AP45)*(1-AP137)</f>
        <v/>
      </c>
      <c r="AQ276" s="19">
        <f>AQ$12*IF(LEFT(AQ$319,3)="Yes",1-$D276,AQ45)*(1-AQ137)</f>
        <v/>
      </c>
      <c r="AR276" s="19">
        <f>AR$12*IF(LEFT(AR$319,3)="Yes",1-$D276,AR45)*(1-AR137)</f>
        <v/>
      </c>
      <c r="AS276" s="19">
        <f>AS$12*IF(LEFT(AS$319,3)="Yes",1-$D276,AS45)*(1-AS137)</f>
        <v/>
      </c>
      <c r="AT276" s="19">
        <f>AT$12*IF(LEFT(AT$319,3)="Yes",1-$D276,AT45)*(1-AT137)</f>
        <v/>
      </c>
      <c r="AU276" s="19">
        <f>AU$12*IF(LEFT(AU$319,3)="Yes",1-$D276,AU45)*(1-AU137)</f>
        <v/>
      </c>
      <c r="AV276" s="19">
        <f>AV$12*IF(LEFT(AV$319,3)="Yes",1-$D276,AV45)*(1-AV137)</f>
        <v/>
      </c>
      <c r="AW276" s="19">
        <f>AW$12*IF(LEFT(AW$319,3)="Yes",1-$D276,AW45)*(1-AW137)</f>
        <v/>
      </c>
      <c r="AX276" s="19">
        <f>AX$12*IF(LEFT(AX$319,3)="Yes",1-$D276,AX45)*(1-AX137)</f>
        <v/>
      </c>
      <c r="AY276" s="19">
        <f>AY$12*IF(LEFT(AY$319,3)="Yes",1-$D276,AY45)*(1-AY137)</f>
        <v/>
      </c>
      <c r="AZ276" s="19">
        <f>AZ$12*IF(LEFT(AZ$319,3)="Yes",1-$D276,AZ45)*(1-AZ137)</f>
        <v/>
      </c>
      <c r="BA276" s="20">
        <f>SECTORTAX(BA$12,BA45,BA137,BA$319,$D276)</f>
        <v/>
      </c>
    </row>
    <row r="277" hidden="1" outlineLevel="1">
      <c r="A277" s="1" t="inlineStr">
        <is>
          <t>ctr</t>
        </is>
      </c>
      <c r="B277" s="1" t="inlineStr">
        <is>
          <t>all</t>
        </is>
      </c>
      <c r="C277" s="1" t="inlineStr">
        <is>
          <t>cst</t>
        </is>
      </c>
      <c r="D277" s="35">
        <f>INDEX(ECPCov,MATCH("ees.ind",ECPKey,0))</f>
        <v/>
      </c>
      <c r="H277" s="1">
        <f>INDEX(VarLab,MATCH($A277,VarKey,0))&amp;INDEX(MemLab,MATCH($C277&amp;"|"&amp;$B277,MemKey,0))</f>
        <v/>
      </c>
      <c r="I277" s="1">
        <f>INDEX(VarUnit,MATCH($A277,VarKey,0))</f>
        <v/>
      </c>
      <c r="J277" s="1">
        <f>INDEX(VarSrc,MATCH($A277,VarKey,0))</f>
        <v/>
      </c>
      <c r="K277" s="17">
        <f>CodePrefix&amp;$A277&amp;IF($C277="","","."&amp;$C277&amp;"."&amp;$B277)&amp;INDEX(VarEnd,MATCH($A277,VarKey,0))&amp;K$5</f>
        <v/>
      </c>
      <c r="L277" s="18">
        <f>L$12*IF(LEFT(L$319,3)="Yes",1-$D277,L46)*(1-L138)</f>
        <v/>
      </c>
      <c r="M277" s="19">
        <f>M$12*IF(LEFT(M$319,3)="Yes",1-$D277,M46)*(1-M138)</f>
        <v/>
      </c>
      <c r="N277" s="19">
        <f>N$12*IF(LEFT(N$319,3)="Yes",1-$D277,N46)*(1-N138)</f>
        <v/>
      </c>
      <c r="O277" s="19">
        <f>O$12*IF(LEFT(O$319,3)="Yes",1-$D277,O46)*(1-O138)</f>
        <v/>
      </c>
      <c r="P277" s="19">
        <f>P$12*IF(LEFT(P$319,3)="Yes",1-$D277,P46)*(1-P138)</f>
        <v/>
      </c>
      <c r="Q277" s="19">
        <f>Q$12*IF(LEFT(Q$319,3)="Yes",1-$D277,Q46)*(1-Q138)</f>
        <v/>
      </c>
      <c r="R277" s="19">
        <f>R$12*IF(LEFT(R$319,3)="Yes",1-$D277,R46)*(1-R138)</f>
        <v/>
      </c>
      <c r="S277" s="19">
        <f>S$12*IF(LEFT(S$319,3)="Yes",1-$D277,S46)*(1-S138)</f>
        <v/>
      </c>
      <c r="T277" s="19">
        <f>T$12*IF(LEFT(T$319,3)="Yes",1-$D277,T46)*(1-T138)</f>
        <v/>
      </c>
      <c r="U277" s="19">
        <f>U$12*IF(LEFT(U$319,3)="Yes",1-$D277,U46)*(1-U138)</f>
        <v/>
      </c>
      <c r="V277" s="19">
        <f>V$12*IF(LEFT(V$319,3)="Yes",1-$D277,V46)*(1-V138)</f>
        <v/>
      </c>
      <c r="W277" s="19">
        <f>W$12*IF(LEFT(W$319,3)="Yes",1-$D277,W46)*(1-W138)</f>
        <v/>
      </c>
      <c r="X277" s="19">
        <f>X$12*IF(LEFT(X$319,3)="Yes",1-$D277,X46)*(1-X138)</f>
        <v/>
      </c>
      <c r="Y277" s="19">
        <f>Y$12*IF(LEFT(Y$319,3)="Yes",1-$D277,Y46)*(1-Y138)</f>
        <v/>
      </c>
      <c r="Z277" s="19">
        <f>Z$12*IF(LEFT(Z$319,3)="Yes",1-$D277,Z46)*(1-Z138)</f>
        <v/>
      </c>
      <c r="AA277" s="19">
        <f>AA$12*IF(LEFT(AA$319,3)="Yes",1-$D277,AA46)*(1-AA138)</f>
        <v/>
      </c>
      <c r="AB277" s="19">
        <f>AB$12*IF(LEFT(AB$319,3)="Yes",1-$D277,AB46)*(1-AB138)</f>
        <v/>
      </c>
      <c r="AC277" s="19">
        <f>AC$12*IF(LEFT(AC$319,3)="Yes",1-$D277,AC46)*(1-AC138)</f>
        <v/>
      </c>
      <c r="AD277" s="19">
        <f>AD$12*IF(LEFT(AD$319,3)="Yes",1-$D277,AD46)*(1-AD138)</f>
        <v/>
      </c>
      <c r="AE277" s="20">
        <f>SECTORTAX(AE$12,AE46,AE138,AE$319,$D277)</f>
        <v/>
      </c>
      <c r="AG277" s="17">
        <f>CodePrefix&amp;$A277&amp;IF($C277="","","."&amp;$C277&amp;"."&amp;$B277)&amp;INDEX(VarEnd,MATCH($A277,VarKey,0))&amp;AG$5</f>
        <v/>
      </c>
      <c r="AH277" s="18">
        <f>AH$12*IF(LEFT(AH$319,3)="Yes",1-$D277,AH46)*(1-AH138)</f>
        <v/>
      </c>
      <c r="AI277" s="19">
        <f>AI$12*IF(LEFT(AI$319,3)="Yes",1-$D277,AI46)*(1-AI138)</f>
        <v/>
      </c>
      <c r="AJ277" s="19">
        <f>AJ$12*IF(LEFT(AJ$319,3)="Yes",1-$D277,AJ46)*(1-AJ138)</f>
        <v/>
      </c>
      <c r="AK277" s="19">
        <f>AK$12*IF(LEFT(AK$319,3)="Yes",1-$D277,AK46)*(1-AK138)</f>
        <v/>
      </c>
      <c r="AL277" s="19">
        <f>AL$12*IF(LEFT(AL$319,3)="Yes",1-$D277,AL46)*(1-AL138)</f>
        <v/>
      </c>
      <c r="AM277" s="19">
        <f>AM$12*IF(LEFT(AM$319,3)="Yes",1-$D277,AM46)*(1-AM138)</f>
        <v/>
      </c>
      <c r="AN277" s="19">
        <f>AN$12*IF(LEFT(AN$319,3)="Yes",1-$D277,AN46)*(1-AN138)</f>
        <v/>
      </c>
      <c r="AO277" s="19">
        <f>AO$12*IF(LEFT(AO$319,3)="Yes",1-$D277,AO46)*(1-AO138)</f>
        <v/>
      </c>
      <c r="AP277" s="19">
        <f>AP$12*IF(LEFT(AP$319,3)="Yes",1-$D277,AP46)*(1-AP138)</f>
        <v/>
      </c>
      <c r="AQ277" s="19">
        <f>AQ$12*IF(LEFT(AQ$319,3)="Yes",1-$D277,AQ46)*(1-AQ138)</f>
        <v/>
      </c>
      <c r="AR277" s="19">
        <f>AR$12*IF(LEFT(AR$319,3)="Yes",1-$D277,AR46)*(1-AR138)</f>
        <v/>
      </c>
      <c r="AS277" s="19">
        <f>AS$12*IF(LEFT(AS$319,3)="Yes",1-$D277,AS46)*(1-AS138)</f>
        <v/>
      </c>
      <c r="AT277" s="19">
        <f>AT$12*IF(LEFT(AT$319,3)="Yes",1-$D277,AT46)*(1-AT138)</f>
        <v/>
      </c>
      <c r="AU277" s="19">
        <f>AU$12*IF(LEFT(AU$319,3)="Yes",1-$D277,AU46)*(1-AU138)</f>
        <v/>
      </c>
      <c r="AV277" s="19">
        <f>AV$12*IF(LEFT(AV$319,3)="Yes",1-$D277,AV46)*(1-AV138)</f>
        <v/>
      </c>
      <c r="AW277" s="19">
        <f>AW$12*IF(LEFT(AW$319,3)="Yes",1-$D277,AW46)*(1-AW138)</f>
        <v/>
      </c>
      <c r="AX277" s="19">
        <f>AX$12*IF(LEFT(AX$319,3)="Yes",1-$D277,AX46)*(1-AX138)</f>
        <v/>
      </c>
      <c r="AY277" s="19">
        <f>AY$12*IF(LEFT(AY$319,3)="Yes",1-$D277,AY46)*(1-AY138)</f>
        <v/>
      </c>
      <c r="AZ277" s="19">
        <f>AZ$12*IF(LEFT(AZ$319,3)="Yes",1-$D277,AZ46)*(1-AZ138)</f>
        <v/>
      </c>
      <c r="BA277" s="20">
        <f>SECTORTAX(BA$12,BA46,BA138,BA$319,$D277)</f>
        <v/>
      </c>
    </row>
    <row r="278" hidden="1" outlineLevel="1">
      <c r="A278" s="1" t="inlineStr">
        <is>
          <t>ctr</t>
        </is>
      </c>
      <c r="B278" s="1" t="inlineStr">
        <is>
          <t>all</t>
        </is>
      </c>
      <c r="C278" s="1" t="inlineStr">
        <is>
          <t>ftr</t>
        </is>
      </c>
      <c r="D278" s="35">
        <f>INDEX(ECPCov,MATCH("ees.ind",ECPKey,0))</f>
        <v/>
      </c>
      <c r="H278" s="1">
        <f>INDEX(VarLab,MATCH($A278,VarKey,0))&amp;INDEX(MemLab,MATCH($C278&amp;"|"&amp;$B278,MemKey,0))</f>
        <v/>
      </c>
      <c r="I278" s="1">
        <f>INDEX(VarUnit,MATCH($A278,VarKey,0))</f>
        <v/>
      </c>
      <c r="J278" s="1">
        <f>INDEX(VarSrc,MATCH($A278,VarKey,0))</f>
        <v/>
      </c>
      <c r="K278" s="17">
        <f>CodePrefix&amp;$A278&amp;IF($C278="","","."&amp;$C278&amp;"."&amp;$B278)&amp;INDEX(VarEnd,MATCH($A278,VarKey,0))&amp;K$5</f>
        <v/>
      </c>
      <c r="L278" s="18">
        <f>L$12*IF(LEFT(L$319,3)="Yes",1-$D278,L47)*(1-L139)</f>
        <v/>
      </c>
      <c r="M278" s="19">
        <f>M$12*IF(LEFT(M$319,3)="Yes",1-$D278,M47)*(1-M139)</f>
        <v/>
      </c>
      <c r="N278" s="19">
        <f>N$12*IF(LEFT(N$319,3)="Yes",1-$D278,N47)*(1-N139)</f>
        <v/>
      </c>
      <c r="O278" s="19">
        <f>O$12*IF(LEFT(O$319,3)="Yes",1-$D278,O47)*(1-O139)</f>
        <v/>
      </c>
      <c r="P278" s="19">
        <f>P$12*IF(LEFT(P$319,3)="Yes",1-$D278,P47)*(1-P139)</f>
        <v/>
      </c>
      <c r="Q278" s="19">
        <f>Q$12*IF(LEFT(Q$319,3)="Yes",1-$D278,Q47)*(1-Q139)</f>
        <v/>
      </c>
      <c r="R278" s="19">
        <f>R$12*IF(LEFT(R$319,3)="Yes",1-$D278,R47)*(1-R139)</f>
        <v/>
      </c>
      <c r="S278" s="19">
        <f>S$12*IF(LEFT(S$319,3)="Yes",1-$D278,S47)*(1-S139)</f>
        <v/>
      </c>
      <c r="T278" s="19">
        <f>T$12*IF(LEFT(T$319,3)="Yes",1-$D278,T47)*(1-T139)</f>
        <v/>
      </c>
      <c r="U278" s="19">
        <f>U$12*IF(LEFT(U$319,3)="Yes",1-$D278,U47)*(1-U139)</f>
        <v/>
      </c>
      <c r="V278" s="19">
        <f>V$12*IF(LEFT(V$319,3)="Yes",1-$D278,V47)*(1-V139)</f>
        <v/>
      </c>
      <c r="W278" s="19">
        <f>W$12*IF(LEFT(W$319,3)="Yes",1-$D278,W47)*(1-W139)</f>
        <v/>
      </c>
      <c r="X278" s="19">
        <f>X$12*IF(LEFT(X$319,3)="Yes",1-$D278,X47)*(1-X139)</f>
        <v/>
      </c>
      <c r="Y278" s="19">
        <f>Y$12*IF(LEFT(Y$319,3)="Yes",1-$D278,Y47)*(1-Y139)</f>
        <v/>
      </c>
      <c r="Z278" s="19">
        <f>Z$12*IF(LEFT(Z$319,3)="Yes",1-$D278,Z47)*(1-Z139)</f>
        <v/>
      </c>
      <c r="AA278" s="19">
        <f>AA$12*IF(LEFT(AA$319,3)="Yes",1-$D278,AA47)*(1-AA139)</f>
        <v/>
      </c>
      <c r="AB278" s="19">
        <f>AB$12*IF(LEFT(AB$319,3)="Yes",1-$D278,AB47)*(1-AB139)</f>
        <v/>
      </c>
      <c r="AC278" s="19">
        <f>AC$12*IF(LEFT(AC$319,3)="Yes",1-$D278,AC47)*(1-AC139)</f>
        <v/>
      </c>
      <c r="AD278" s="19">
        <f>AD$12*IF(LEFT(AD$319,3)="Yes",1-$D278,AD47)*(1-AD139)</f>
        <v/>
      </c>
      <c r="AE278" s="20">
        <f>SECTORTAX(AE$12,AE47,AE139,AE$319,$D278)</f>
        <v/>
      </c>
      <c r="AG278" s="17">
        <f>CodePrefix&amp;$A278&amp;IF($C278="","","."&amp;$C278&amp;"."&amp;$B278)&amp;INDEX(VarEnd,MATCH($A278,VarKey,0))&amp;AG$5</f>
        <v/>
      </c>
      <c r="AH278" s="18">
        <f>AH$12*IF(LEFT(AH$319,3)="Yes",1-$D278,AH47)*(1-AH139)</f>
        <v/>
      </c>
      <c r="AI278" s="19">
        <f>AI$12*IF(LEFT(AI$319,3)="Yes",1-$D278,AI47)*(1-AI139)</f>
        <v/>
      </c>
      <c r="AJ278" s="19">
        <f>AJ$12*IF(LEFT(AJ$319,3)="Yes",1-$D278,AJ47)*(1-AJ139)</f>
        <v/>
      </c>
      <c r="AK278" s="19">
        <f>AK$12*IF(LEFT(AK$319,3)="Yes",1-$D278,AK47)*(1-AK139)</f>
        <v/>
      </c>
      <c r="AL278" s="19">
        <f>AL$12*IF(LEFT(AL$319,3)="Yes",1-$D278,AL47)*(1-AL139)</f>
        <v/>
      </c>
      <c r="AM278" s="19">
        <f>AM$12*IF(LEFT(AM$319,3)="Yes",1-$D278,AM47)*(1-AM139)</f>
        <v/>
      </c>
      <c r="AN278" s="19">
        <f>AN$12*IF(LEFT(AN$319,3)="Yes",1-$D278,AN47)*(1-AN139)</f>
        <v/>
      </c>
      <c r="AO278" s="19">
        <f>AO$12*IF(LEFT(AO$319,3)="Yes",1-$D278,AO47)*(1-AO139)</f>
        <v/>
      </c>
      <c r="AP278" s="19">
        <f>AP$12*IF(LEFT(AP$319,3)="Yes",1-$D278,AP47)*(1-AP139)</f>
        <v/>
      </c>
      <c r="AQ278" s="19">
        <f>AQ$12*IF(LEFT(AQ$319,3)="Yes",1-$D278,AQ47)*(1-AQ139)</f>
        <v/>
      </c>
      <c r="AR278" s="19">
        <f>AR$12*IF(LEFT(AR$319,3)="Yes",1-$D278,AR47)*(1-AR139)</f>
        <v/>
      </c>
      <c r="AS278" s="19">
        <f>AS$12*IF(LEFT(AS$319,3)="Yes",1-$D278,AS47)*(1-AS139)</f>
        <v/>
      </c>
      <c r="AT278" s="19">
        <f>AT$12*IF(LEFT(AT$319,3)="Yes",1-$D278,AT47)*(1-AT139)</f>
        <v/>
      </c>
      <c r="AU278" s="19">
        <f>AU$12*IF(LEFT(AU$319,3)="Yes",1-$D278,AU47)*(1-AU139)</f>
        <v/>
      </c>
      <c r="AV278" s="19">
        <f>AV$12*IF(LEFT(AV$319,3)="Yes",1-$D278,AV47)*(1-AV139)</f>
        <v/>
      </c>
      <c r="AW278" s="19">
        <f>AW$12*IF(LEFT(AW$319,3)="Yes",1-$D278,AW47)*(1-AW139)</f>
        <v/>
      </c>
      <c r="AX278" s="19">
        <f>AX$12*IF(LEFT(AX$319,3)="Yes",1-$D278,AX47)*(1-AX139)</f>
        <v/>
      </c>
      <c r="AY278" s="19">
        <f>AY$12*IF(LEFT(AY$319,3)="Yes",1-$D278,AY47)*(1-AY139)</f>
        <v/>
      </c>
      <c r="AZ278" s="19">
        <f>AZ$12*IF(LEFT(AZ$319,3)="Yes",1-$D278,AZ47)*(1-AZ139)</f>
        <v/>
      </c>
      <c r="BA278" s="20">
        <f>SECTORTAX(BA$12,BA47,BA139,BA$319,$D278)</f>
        <v/>
      </c>
    </row>
    <row r="279" hidden="1" outlineLevel="1">
      <c r="A279" s="1" t="inlineStr">
        <is>
          <t>ctr</t>
        </is>
      </c>
      <c r="B279" s="1" t="inlineStr">
        <is>
          <t>all</t>
        </is>
      </c>
      <c r="C279" s="1" t="inlineStr">
        <is>
          <t>oen</t>
        </is>
      </c>
      <c r="D279" s="35">
        <f>INDEX(ECPCov,MATCH("ees.ind",ECPKey,0))</f>
        <v/>
      </c>
      <c r="H279" s="1">
        <f>INDEX(VarLab,MATCH($A279,VarKey,0))&amp;INDEX(MemLab,MATCH($C279&amp;"|"&amp;$B279,MemKey,0))</f>
        <v/>
      </c>
      <c r="I279" s="1">
        <f>INDEX(VarUnit,MATCH($A279,VarKey,0))</f>
        <v/>
      </c>
      <c r="J279" s="1">
        <f>INDEX(VarSrc,MATCH($A279,VarKey,0))</f>
        <v/>
      </c>
      <c r="K279" s="17">
        <f>CodePrefix&amp;$A279&amp;IF($C279="","","."&amp;$C279&amp;"."&amp;$B279)&amp;INDEX(VarEnd,MATCH($A279,VarKey,0))&amp;K$5</f>
        <v/>
      </c>
      <c r="L279" s="18">
        <f>L$12*IF(LEFT(L$319,3)="Yes",1-$D279,L48)*(1-L140)</f>
        <v/>
      </c>
      <c r="M279" s="19">
        <f>M$12*IF(LEFT(M$319,3)="Yes",1-$D279,M48)*(1-M140)</f>
        <v/>
      </c>
      <c r="N279" s="19">
        <f>N$12*IF(LEFT(N$319,3)="Yes",1-$D279,N48)*(1-N140)</f>
        <v/>
      </c>
      <c r="O279" s="19">
        <f>O$12*IF(LEFT(O$319,3)="Yes",1-$D279,O48)*(1-O140)</f>
        <v/>
      </c>
      <c r="P279" s="19">
        <f>P$12*IF(LEFT(P$319,3)="Yes",1-$D279,P48)*(1-P140)</f>
        <v/>
      </c>
      <c r="Q279" s="19">
        <f>Q$12*IF(LEFT(Q$319,3)="Yes",1-$D279,Q48)*(1-Q140)</f>
        <v/>
      </c>
      <c r="R279" s="19">
        <f>R$12*IF(LEFT(R$319,3)="Yes",1-$D279,R48)*(1-R140)</f>
        <v/>
      </c>
      <c r="S279" s="19">
        <f>S$12*IF(LEFT(S$319,3)="Yes",1-$D279,S48)*(1-S140)</f>
        <v/>
      </c>
      <c r="T279" s="19">
        <f>T$12*IF(LEFT(T$319,3)="Yes",1-$D279,T48)*(1-T140)</f>
        <v/>
      </c>
      <c r="U279" s="19">
        <f>U$12*IF(LEFT(U$319,3)="Yes",1-$D279,U48)*(1-U140)</f>
        <v/>
      </c>
      <c r="V279" s="19">
        <f>V$12*IF(LEFT(V$319,3)="Yes",1-$D279,V48)*(1-V140)</f>
        <v/>
      </c>
      <c r="W279" s="19">
        <f>W$12*IF(LEFT(W$319,3)="Yes",1-$D279,W48)*(1-W140)</f>
        <v/>
      </c>
      <c r="X279" s="19">
        <f>X$12*IF(LEFT(X$319,3)="Yes",1-$D279,X48)*(1-X140)</f>
        <v/>
      </c>
      <c r="Y279" s="19">
        <f>Y$12*IF(LEFT(Y$319,3)="Yes",1-$D279,Y48)*(1-Y140)</f>
        <v/>
      </c>
      <c r="Z279" s="19">
        <f>Z$12*IF(LEFT(Z$319,3)="Yes",1-$D279,Z48)*(1-Z140)</f>
        <v/>
      </c>
      <c r="AA279" s="19">
        <f>AA$12*IF(LEFT(AA$319,3)="Yes",1-$D279,AA48)*(1-AA140)</f>
        <v/>
      </c>
      <c r="AB279" s="19">
        <f>AB$12*IF(LEFT(AB$319,3)="Yes",1-$D279,AB48)*(1-AB140)</f>
        <v/>
      </c>
      <c r="AC279" s="19">
        <f>AC$12*IF(LEFT(AC$319,3)="Yes",1-$D279,AC48)*(1-AC140)</f>
        <v/>
      </c>
      <c r="AD279" s="19">
        <f>AD$12*IF(LEFT(AD$319,3)="Yes",1-$D279,AD48)*(1-AD140)</f>
        <v/>
      </c>
      <c r="AE279" s="20">
        <f>SECTORTAX(AE$12,AE48,AE140,AE$319,$D279)</f>
        <v/>
      </c>
      <c r="AG279" s="17">
        <f>CodePrefix&amp;$A279&amp;IF($C279="","","."&amp;$C279&amp;"."&amp;$B279)&amp;INDEX(VarEnd,MATCH($A279,VarKey,0))&amp;AG$5</f>
        <v/>
      </c>
      <c r="AH279" s="18">
        <f>AH$12*IF(LEFT(AH$319,3)="Yes",1-$D279,AH48)*(1-AH140)</f>
        <v/>
      </c>
      <c r="AI279" s="19">
        <f>AI$12*IF(LEFT(AI$319,3)="Yes",1-$D279,AI48)*(1-AI140)</f>
        <v/>
      </c>
      <c r="AJ279" s="19">
        <f>AJ$12*IF(LEFT(AJ$319,3)="Yes",1-$D279,AJ48)*(1-AJ140)</f>
        <v/>
      </c>
      <c r="AK279" s="19">
        <f>AK$12*IF(LEFT(AK$319,3)="Yes",1-$D279,AK48)*(1-AK140)</f>
        <v/>
      </c>
      <c r="AL279" s="19">
        <f>AL$12*IF(LEFT(AL$319,3)="Yes",1-$D279,AL48)*(1-AL140)</f>
        <v/>
      </c>
      <c r="AM279" s="19">
        <f>AM$12*IF(LEFT(AM$319,3)="Yes",1-$D279,AM48)*(1-AM140)</f>
        <v/>
      </c>
      <c r="AN279" s="19">
        <f>AN$12*IF(LEFT(AN$319,3)="Yes",1-$D279,AN48)*(1-AN140)</f>
        <v/>
      </c>
      <c r="AO279" s="19">
        <f>AO$12*IF(LEFT(AO$319,3)="Yes",1-$D279,AO48)*(1-AO140)</f>
        <v/>
      </c>
      <c r="AP279" s="19">
        <f>AP$12*IF(LEFT(AP$319,3)="Yes",1-$D279,AP48)*(1-AP140)</f>
        <v/>
      </c>
      <c r="AQ279" s="19">
        <f>AQ$12*IF(LEFT(AQ$319,3)="Yes",1-$D279,AQ48)*(1-AQ140)</f>
        <v/>
      </c>
      <c r="AR279" s="19">
        <f>AR$12*IF(LEFT(AR$319,3)="Yes",1-$D279,AR48)*(1-AR140)</f>
        <v/>
      </c>
      <c r="AS279" s="19">
        <f>AS$12*IF(LEFT(AS$319,3)="Yes",1-$D279,AS48)*(1-AS140)</f>
        <v/>
      </c>
      <c r="AT279" s="19">
        <f>AT$12*IF(LEFT(AT$319,3)="Yes",1-$D279,AT48)*(1-AT140)</f>
        <v/>
      </c>
      <c r="AU279" s="19">
        <f>AU$12*IF(LEFT(AU$319,3)="Yes",1-$D279,AU48)*(1-AU140)</f>
        <v/>
      </c>
      <c r="AV279" s="19">
        <f>AV$12*IF(LEFT(AV$319,3)="Yes",1-$D279,AV48)*(1-AV140)</f>
        <v/>
      </c>
      <c r="AW279" s="19">
        <f>AW$12*IF(LEFT(AW$319,3)="Yes",1-$D279,AW48)*(1-AW140)</f>
        <v/>
      </c>
      <c r="AX279" s="19">
        <f>AX$12*IF(LEFT(AX$319,3)="Yes",1-$D279,AX48)*(1-AX140)</f>
        <v/>
      </c>
      <c r="AY279" s="19">
        <f>AY$12*IF(LEFT(AY$319,3)="Yes",1-$D279,AY48)*(1-AY140)</f>
        <v/>
      </c>
      <c r="AZ279" s="19">
        <f>AZ$12*IF(LEFT(AZ$319,3)="Yes",1-$D279,AZ48)*(1-AZ140)</f>
        <v/>
      </c>
      <c r="BA279" s="20">
        <f>SECTORTAX(BA$12,BA48,BA140,BA$319,$D279)</f>
        <v/>
      </c>
    </row>
    <row r="280" hidden="1" outlineLevel="1">
      <c r="A280" s="1" t="inlineStr">
        <is>
          <t>etr</t>
        </is>
      </c>
      <c r="B280" s="1" t="inlineStr">
        <is>
          <t>all</t>
        </is>
      </c>
      <c r="C280" s="1" t="inlineStr">
        <is>
          <t>pow</t>
        </is>
      </c>
      <c r="H280" s="1">
        <f>INDEX(VarLab,MATCH($A280,VarKey,0))&amp;INDEX(MemLab,MATCH($C280&amp;"|"&amp;$B280,MemKey,0))</f>
        <v/>
      </c>
      <c r="I280" s="1">
        <f>INDEX(VarUnit,MATCH($A280,VarKey,0))</f>
        <v/>
      </c>
      <c r="J280" s="1">
        <f>INDEX(VarSrc,MATCH($A280,VarKey,0))</f>
        <v/>
      </c>
      <c r="K280" s="17">
        <f>CodePrefix&amp;$A280&amp;IF($C280="","","."&amp;$C280&amp;"."&amp;$B280)&amp;INDEX(VarEnd,MATCH($A280,VarKey,0))&amp;K$5</f>
        <v/>
      </c>
      <c r="L280" s="18">
        <f>L$200*L124*(1-L154)</f>
        <v/>
      </c>
      <c r="M280" s="19">
        <f>M$200*M124*(1-M154)</f>
        <v/>
      </c>
      <c r="N280" s="19">
        <f>N$200*N124*(1-N154)</f>
        <v/>
      </c>
      <c r="O280" s="19">
        <f>O$200*O124*(1-O154)</f>
        <v/>
      </c>
      <c r="P280" s="19">
        <f>P$200*P124*(1-P154)</f>
        <v/>
      </c>
      <c r="Q280" s="19">
        <f>Q$200*Q124*(1-Q154)</f>
        <v/>
      </c>
      <c r="R280" s="19">
        <f>R$200*R124*(1-R154)</f>
        <v/>
      </c>
      <c r="S280" s="19">
        <f>S$200*S124*(1-S154)</f>
        <v/>
      </c>
      <c r="T280" s="19">
        <f>T$200*T124*(1-T154)</f>
        <v/>
      </c>
      <c r="U280" s="19">
        <f>U$200*U124*(1-U154)</f>
        <v/>
      </c>
      <c r="V280" s="19">
        <f>V$200*V124*(1-V154)</f>
        <v/>
      </c>
      <c r="W280" s="19">
        <f>W$200*W124*(1-W154)</f>
        <v/>
      </c>
      <c r="X280" s="19">
        <f>X$200*X124*(1-X154)</f>
        <v/>
      </c>
      <c r="Y280" s="19">
        <f>Y$200*Y124*(1-Y154)</f>
        <v/>
      </c>
      <c r="Z280" s="19">
        <f>Z$200*Z124*(1-Z154)</f>
        <v/>
      </c>
      <c r="AA280" s="19">
        <f>AA$200*AA124*(1-AA154)</f>
        <v/>
      </c>
      <c r="AB280" s="19">
        <f>AB$200*AB124*(1-AB154)</f>
        <v/>
      </c>
      <c r="AC280" s="19">
        <f>AC$200*AC124*(1-AC154)</f>
        <v/>
      </c>
      <c r="AD280" s="19">
        <f>AD$200*AD124*(1-AD154)</f>
        <v/>
      </c>
      <c r="AE280" s="20">
        <f>SECTORETS(AE$200,AE124,AE154)</f>
        <v/>
      </c>
      <c r="AG280" s="17">
        <f>CodePrefix&amp;$A280&amp;IF($C280="","","."&amp;$C280&amp;"."&amp;$B280)&amp;INDEX(VarEnd,MATCH($A280,VarKey,0))&amp;AG$5</f>
        <v/>
      </c>
      <c r="AH280" s="18">
        <f>AH$200*AH124*(1-AH154)</f>
        <v/>
      </c>
      <c r="AI280" s="19">
        <f>AI$200*AI124*(1-AI154)</f>
        <v/>
      </c>
      <c r="AJ280" s="19">
        <f>AJ$200*AJ124*(1-AJ154)</f>
        <v/>
      </c>
      <c r="AK280" s="19">
        <f>AK$200*AK124*(1-AK154)</f>
        <v/>
      </c>
      <c r="AL280" s="19">
        <f>AL$200*AL124*(1-AL154)</f>
        <v/>
      </c>
      <c r="AM280" s="19">
        <f>AM$200*AM124*(1-AM154)</f>
        <v/>
      </c>
      <c r="AN280" s="19">
        <f>AN$200*AN124*(1-AN154)</f>
        <v/>
      </c>
      <c r="AO280" s="19">
        <f>AO$200*AO124*(1-AO154)</f>
        <v/>
      </c>
      <c r="AP280" s="19">
        <f>AP$200*AP124*(1-AP154)</f>
        <v/>
      </c>
      <c r="AQ280" s="19">
        <f>AQ$200*AQ124*(1-AQ154)</f>
        <v/>
      </c>
      <c r="AR280" s="19">
        <f>AR$200*AR124*(1-AR154)</f>
        <v/>
      </c>
      <c r="AS280" s="19">
        <f>AS$200*AS124*(1-AS154)</f>
        <v/>
      </c>
      <c r="AT280" s="19">
        <f>AT$200*AT124*(1-AT154)</f>
        <v/>
      </c>
      <c r="AU280" s="19">
        <f>AU$200*AU124*(1-AU154)</f>
        <v/>
      </c>
      <c r="AV280" s="19">
        <f>AV$200*AV124*(1-AV154)</f>
        <v/>
      </c>
      <c r="AW280" s="19">
        <f>AW$200*AW124*(1-AW154)</f>
        <v/>
      </c>
      <c r="AX280" s="19">
        <f>AX$200*AX124*(1-AX154)</f>
        <v/>
      </c>
      <c r="AY280" s="19">
        <f>AY$200*AY124*(1-AY154)</f>
        <v/>
      </c>
      <c r="AZ280" s="19">
        <f>AZ$200*AZ124*(1-AZ154)</f>
        <v/>
      </c>
      <c r="BA280" s="20">
        <f>SECTORETS(BA$200,BA124,BA154)</f>
        <v/>
      </c>
    </row>
    <row r="281" hidden="1" outlineLevel="1">
      <c r="A281" s="1" t="inlineStr">
        <is>
          <t>etr</t>
        </is>
      </c>
      <c r="B281" s="1" t="inlineStr">
        <is>
          <t>all</t>
        </is>
      </c>
      <c r="C281" s="1" t="inlineStr">
        <is>
          <t>rod</t>
        </is>
      </c>
      <c r="H281" s="1">
        <f>INDEX(VarLab,MATCH($A281,VarKey,0))&amp;INDEX(MemLab,MATCH($C281&amp;"|"&amp;$B281,MemKey,0))</f>
        <v/>
      </c>
      <c r="I281" s="1">
        <f>INDEX(VarUnit,MATCH($A281,VarKey,0))</f>
        <v/>
      </c>
      <c r="J281" s="1">
        <f>INDEX(VarSrc,MATCH($A281,VarKey,0))</f>
        <v/>
      </c>
      <c r="K281" s="17">
        <f>CodePrefix&amp;$A281&amp;IF($C281="","","."&amp;$C281&amp;"."&amp;$B281)&amp;INDEX(VarEnd,MATCH($A281,VarKey,0))&amp;K$5</f>
        <v/>
      </c>
      <c r="L281" s="18">
        <f>L$200*L125*(1-L155)</f>
        <v/>
      </c>
      <c r="M281" s="19">
        <f>M$200*M125*(1-M155)</f>
        <v/>
      </c>
      <c r="N281" s="19">
        <f>N$200*N125*(1-N155)</f>
        <v/>
      </c>
      <c r="O281" s="19">
        <f>O$200*O125*(1-O155)</f>
        <v/>
      </c>
      <c r="P281" s="19">
        <f>P$200*P125*(1-P155)</f>
        <v/>
      </c>
      <c r="Q281" s="19">
        <f>Q$200*Q125*(1-Q155)</f>
        <v/>
      </c>
      <c r="R281" s="19">
        <f>R$200*R125*(1-R155)</f>
        <v/>
      </c>
      <c r="S281" s="19">
        <f>S$200*S125*(1-S155)</f>
        <v/>
      </c>
      <c r="T281" s="19">
        <f>T$200*T125*(1-T155)</f>
        <v/>
      </c>
      <c r="U281" s="19">
        <f>U$200*U125*(1-U155)</f>
        <v/>
      </c>
      <c r="V281" s="19">
        <f>V$200*V125*(1-V155)</f>
        <v/>
      </c>
      <c r="W281" s="19">
        <f>W$200*W125*(1-W155)</f>
        <v/>
      </c>
      <c r="X281" s="19">
        <f>X$200*X125*(1-X155)</f>
        <v/>
      </c>
      <c r="Y281" s="19">
        <f>Y$200*Y125*(1-Y155)</f>
        <v/>
      </c>
      <c r="Z281" s="19">
        <f>Z$200*Z125*(1-Z155)</f>
        <v/>
      </c>
      <c r="AA281" s="19">
        <f>AA$200*AA125*(1-AA155)</f>
        <v/>
      </c>
      <c r="AB281" s="19">
        <f>AB$200*AB125*(1-AB155)</f>
        <v/>
      </c>
      <c r="AC281" s="19">
        <f>AC$200*AC125*(1-AC155)</f>
        <v/>
      </c>
      <c r="AD281" s="19">
        <f>AD$200*AD125*(1-AD155)</f>
        <v/>
      </c>
      <c r="AE281" s="20">
        <f>SECTORETS(AE$200,AE125,AE155)</f>
        <v/>
      </c>
      <c r="AG281" s="17">
        <f>CodePrefix&amp;$A281&amp;IF($C281="","","."&amp;$C281&amp;"."&amp;$B281)&amp;INDEX(VarEnd,MATCH($A281,VarKey,0))&amp;AG$5</f>
        <v/>
      </c>
      <c r="AH281" s="18">
        <f>AH$200*AH125*(1-AH155)</f>
        <v/>
      </c>
      <c r="AI281" s="19">
        <f>AI$200*AI125*(1-AI155)</f>
        <v/>
      </c>
      <c r="AJ281" s="19">
        <f>AJ$200*AJ125*(1-AJ155)</f>
        <v/>
      </c>
      <c r="AK281" s="19">
        <f>AK$200*AK125*(1-AK155)</f>
        <v/>
      </c>
      <c r="AL281" s="19">
        <f>AL$200*AL125*(1-AL155)</f>
        <v/>
      </c>
      <c r="AM281" s="19">
        <f>AM$200*AM125*(1-AM155)</f>
        <v/>
      </c>
      <c r="AN281" s="19">
        <f>AN$200*AN125*(1-AN155)</f>
        <v/>
      </c>
      <c r="AO281" s="19">
        <f>AO$200*AO125*(1-AO155)</f>
        <v/>
      </c>
      <c r="AP281" s="19">
        <f>AP$200*AP125*(1-AP155)</f>
        <v/>
      </c>
      <c r="AQ281" s="19">
        <f>AQ$200*AQ125*(1-AQ155)</f>
        <v/>
      </c>
      <c r="AR281" s="19">
        <f>AR$200*AR125*(1-AR155)</f>
        <v/>
      </c>
      <c r="AS281" s="19">
        <f>AS$200*AS125*(1-AS155)</f>
        <v/>
      </c>
      <c r="AT281" s="19">
        <f>AT$200*AT125*(1-AT155)</f>
        <v/>
      </c>
      <c r="AU281" s="19">
        <f>AU$200*AU125*(1-AU155)</f>
        <v/>
      </c>
      <c r="AV281" s="19">
        <f>AV$200*AV125*(1-AV155)</f>
        <v/>
      </c>
      <c r="AW281" s="19">
        <f>AW$200*AW125*(1-AW155)</f>
        <v/>
      </c>
      <c r="AX281" s="19">
        <f>AX$200*AX125*(1-AX155)</f>
        <v/>
      </c>
      <c r="AY281" s="19">
        <f>AY$200*AY125*(1-AY155)</f>
        <v/>
      </c>
      <c r="AZ281" s="19">
        <f>AZ$200*AZ125*(1-AZ155)</f>
        <v/>
      </c>
      <c r="BA281" s="20">
        <f>SECTORETS(BA$200,BA125,BA155)</f>
        <v/>
      </c>
    </row>
    <row r="282" hidden="1" outlineLevel="1">
      <c r="A282" s="1" t="inlineStr">
        <is>
          <t>etr</t>
        </is>
      </c>
      <c r="B282" s="1" t="inlineStr">
        <is>
          <t>all</t>
        </is>
      </c>
      <c r="C282" s="1" t="inlineStr">
        <is>
          <t>ral</t>
        </is>
      </c>
      <c r="H282" s="1">
        <f>INDEX(VarLab,MATCH($A282,VarKey,0))&amp;INDEX(MemLab,MATCH($C282&amp;"|"&amp;$B282,MemKey,0))</f>
        <v/>
      </c>
      <c r="I282" s="1">
        <f>INDEX(VarUnit,MATCH($A282,VarKey,0))</f>
        <v/>
      </c>
      <c r="J282" s="1">
        <f>INDEX(VarSrc,MATCH($A282,VarKey,0))</f>
        <v/>
      </c>
      <c r="K282" s="17">
        <f>CodePrefix&amp;$A282&amp;IF($C282="","","."&amp;$C282&amp;"."&amp;$B282)&amp;INDEX(VarEnd,MATCH($A282,VarKey,0))&amp;K$5</f>
        <v/>
      </c>
      <c r="L282" s="18">
        <f>L$200*L126*(1-L156)</f>
        <v/>
      </c>
      <c r="M282" s="19">
        <f>M$200*M126*(1-M156)</f>
        <v/>
      </c>
      <c r="N282" s="19">
        <f>N$200*N126*(1-N156)</f>
        <v/>
      </c>
      <c r="O282" s="19">
        <f>O$200*O126*(1-O156)</f>
        <v/>
      </c>
      <c r="P282" s="19">
        <f>P$200*P126*(1-P156)</f>
        <v/>
      </c>
      <c r="Q282" s="19">
        <f>Q$200*Q126*(1-Q156)</f>
        <v/>
      </c>
      <c r="R282" s="19">
        <f>R$200*R126*(1-R156)</f>
        <v/>
      </c>
      <c r="S282" s="19">
        <f>S$200*S126*(1-S156)</f>
        <v/>
      </c>
      <c r="T282" s="19">
        <f>T$200*T126*(1-T156)</f>
        <v/>
      </c>
      <c r="U282" s="19">
        <f>U$200*U126*(1-U156)</f>
        <v/>
      </c>
      <c r="V282" s="19">
        <f>V$200*V126*(1-V156)</f>
        <v/>
      </c>
      <c r="W282" s="19">
        <f>W$200*W126*(1-W156)</f>
        <v/>
      </c>
      <c r="X282" s="19">
        <f>X$200*X126*(1-X156)</f>
        <v/>
      </c>
      <c r="Y282" s="19">
        <f>Y$200*Y126*(1-Y156)</f>
        <v/>
      </c>
      <c r="Z282" s="19">
        <f>Z$200*Z126*(1-Z156)</f>
        <v/>
      </c>
      <c r="AA282" s="19">
        <f>AA$200*AA126*(1-AA156)</f>
        <v/>
      </c>
      <c r="AB282" s="19">
        <f>AB$200*AB126*(1-AB156)</f>
        <v/>
      </c>
      <c r="AC282" s="19">
        <f>AC$200*AC126*(1-AC156)</f>
        <v/>
      </c>
      <c r="AD282" s="19">
        <f>AD$200*AD126*(1-AD156)</f>
        <v/>
      </c>
      <c r="AE282" s="20">
        <f>SECTORETS(AE$200,AE126,AE156)</f>
        <v/>
      </c>
      <c r="AG282" s="17">
        <f>CodePrefix&amp;$A282&amp;IF($C282="","","."&amp;$C282&amp;"."&amp;$B282)&amp;INDEX(VarEnd,MATCH($A282,VarKey,0))&amp;AG$5</f>
        <v/>
      </c>
      <c r="AH282" s="18">
        <f>AH$200*AH126*(1-AH156)</f>
        <v/>
      </c>
      <c r="AI282" s="19">
        <f>AI$200*AI126*(1-AI156)</f>
        <v/>
      </c>
      <c r="AJ282" s="19">
        <f>AJ$200*AJ126*(1-AJ156)</f>
        <v/>
      </c>
      <c r="AK282" s="19">
        <f>AK$200*AK126*(1-AK156)</f>
        <v/>
      </c>
      <c r="AL282" s="19">
        <f>AL$200*AL126*(1-AL156)</f>
        <v/>
      </c>
      <c r="AM282" s="19">
        <f>AM$200*AM126*(1-AM156)</f>
        <v/>
      </c>
      <c r="AN282" s="19">
        <f>AN$200*AN126*(1-AN156)</f>
        <v/>
      </c>
      <c r="AO282" s="19">
        <f>AO$200*AO126*(1-AO156)</f>
        <v/>
      </c>
      <c r="AP282" s="19">
        <f>AP$200*AP126*(1-AP156)</f>
        <v/>
      </c>
      <c r="AQ282" s="19">
        <f>AQ$200*AQ126*(1-AQ156)</f>
        <v/>
      </c>
      <c r="AR282" s="19">
        <f>AR$200*AR126*(1-AR156)</f>
        <v/>
      </c>
      <c r="AS282" s="19">
        <f>AS$200*AS126*(1-AS156)</f>
        <v/>
      </c>
      <c r="AT282" s="19">
        <f>AT$200*AT126*(1-AT156)</f>
        <v/>
      </c>
      <c r="AU282" s="19">
        <f>AU$200*AU126*(1-AU156)</f>
        <v/>
      </c>
      <c r="AV282" s="19">
        <f>AV$200*AV126*(1-AV156)</f>
        <v/>
      </c>
      <c r="AW282" s="19">
        <f>AW$200*AW126*(1-AW156)</f>
        <v/>
      </c>
      <c r="AX282" s="19">
        <f>AX$200*AX126*(1-AX156)</f>
        <v/>
      </c>
      <c r="AY282" s="19">
        <f>AY$200*AY126*(1-AY156)</f>
        <v/>
      </c>
      <c r="AZ282" s="19">
        <f>AZ$200*AZ126*(1-AZ156)</f>
        <v/>
      </c>
      <c r="BA282" s="20">
        <f>SECTORETS(BA$200,BA126,BA156)</f>
        <v/>
      </c>
    </row>
    <row r="283" hidden="1" outlineLevel="1">
      <c r="A283" s="1" t="inlineStr">
        <is>
          <t>etr</t>
        </is>
      </c>
      <c r="B283" s="1" t="inlineStr">
        <is>
          <t>all</t>
        </is>
      </c>
      <c r="C283" s="1" t="inlineStr">
        <is>
          <t>avi</t>
        </is>
      </c>
      <c r="H283" s="1">
        <f>INDEX(VarLab,MATCH($A283,VarKey,0))&amp;INDEX(MemLab,MATCH($C283&amp;"|"&amp;$B283,MemKey,0))</f>
        <v/>
      </c>
      <c r="I283" s="1">
        <f>INDEX(VarUnit,MATCH($A283,VarKey,0))</f>
        <v/>
      </c>
      <c r="J283" s="1">
        <f>INDEX(VarSrc,MATCH($A283,VarKey,0))</f>
        <v/>
      </c>
      <c r="K283" s="17">
        <f>CodePrefix&amp;$A283&amp;IF($C283="","","."&amp;$C283&amp;"."&amp;$B283)&amp;INDEX(VarEnd,MATCH($A283,VarKey,0))&amp;K$5</f>
        <v/>
      </c>
      <c r="L283" s="18">
        <f>L$200*L127*(1-L157)</f>
        <v/>
      </c>
      <c r="M283" s="19">
        <f>M$200*M127*(1-M157)</f>
        <v/>
      </c>
      <c r="N283" s="19">
        <f>N$200*N127*(1-N157)</f>
        <v/>
      </c>
      <c r="O283" s="19">
        <f>O$200*O127*(1-O157)</f>
        <v/>
      </c>
      <c r="P283" s="19">
        <f>P$200*P127*(1-P157)</f>
        <v/>
      </c>
      <c r="Q283" s="19">
        <f>Q$200*Q127*(1-Q157)</f>
        <v/>
      </c>
      <c r="R283" s="19">
        <f>R$200*R127*(1-R157)</f>
        <v/>
      </c>
      <c r="S283" s="19">
        <f>S$200*S127*(1-S157)</f>
        <v/>
      </c>
      <c r="T283" s="19">
        <f>T$200*T127*(1-T157)</f>
        <v/>
      </c>
      <c r="U283" s="19">
        <f>U$200*U127*(1-U157)</f>
        <v/>
      </c>
      <c r="V283" s="19">
        <f>V$200*V127*(1-V157)</f>
        <v/>
      </c>
      <c r="W283" s="19">
        <f>W$200*W127*(1-W157)</f>
        <v/>
      </c>
      <c r="X283" s="19">
        <f>X$200*X127*(1-X157)</f>
        <v/>
      </c>
      <c r="Y283" s="19">
        <f>Y$200*Y127*(1-Y157)</f>
        <v/>
      </c>
      <c r="Z283" s="19">
        <f>Z$200*Z127*(1-Z157)</f>
        <v/>
      </c>
      <c r="AA283" s="19">
        <f>AA$200*AA127*(1-AA157)</f>
        <v/>
      </c>
      <c r="AB283" s="19">
        <f>AB$200*AB127*(1-AB157)</f>
        <v/>
      </c>
      <c r="AC283" s="19">
        <f>AC$200*AC127*(1-AC157)</f>
        <v/>
      </c>
      <c r="AD283" s="19">
        <f>AD$200*AD127*(1-AD157)</f>
        <v/>
      </c>
      <c r="AE283" s="20">
        <f>SECTORETS(AE$200,AE127,AE157)</f>
        <v/>
      </c>
      <c r="AG283" s="17">
        <f>CodePrefix&amp;$A283&amp;IF($C283="","","."&amp;$C283&amp;"."&amp;$B283)&amp;INDEX(VarEnd,MATCH($A283,VarKey,0))&amp;AG$5</f>
        <v/>
      </c>
      <c r="AH283" s="18">
        <f>AH$200*AH127*(1-AH157)</f>
        <v/>
      </c>
      <c r="AI283" s="19">
        <f>AI$200*AI127*(1-AI157)</f>
        <v/>
      </c>
      <c r="AJ283" s="19">
        <f>AJ$200*AJ127*(1-AJ157)</f>
        <v/>
      </c>
      <c r="AK283" s="19">
        <f>AK$200*AK127*(1-AK157)</f>
        <v/>
      </c>
      <c r="AL283" s="19">
        <f>AL$200*AL127*(1-AL157)</f>
        <v/>
      </c>
      <c r="AM283" s="19">
        <f>AM$200*AM127*(1-AM157)</f>
        <v/>
      </c>
      <c r="AN283" s="19">
        <f>AN$200*AN127*(1-AN157)</f>
        <v/>
      </c>
      <c r="AO283" s="19">
        <f>AO$200*AO127*(1-AO157)</f>
        <v/>
      </c>
      <c r="AP283" s="19">
        <f>AP$200*AP127*(1-AP157)</f>
        <v/>
      </c>
      <c r="AQ283" s="19">
        <f>AQ$200*AQ127*(1-AQ157)</f>
        <v/>
      </c>
      <c r="AR283" s="19">
        <f>AR$200*AR127*(1-AR157)</f>
        <v/>
      </c>
      <c r="AS283" s="19">
        <f>AS$200*AS127*(1-AS157)</f>
        <v/>
      </c>
      <c r="AT283" s="19">
        <f>AT$200*AT127*(1-AT157)</f>
        <v/>
      </c>
      <c r="AU283" s="19">
        <f>AU$200*AU127*(1-AU157)</f>
        <v/>
      </c>
      <c r="AV283" s="19">
        <f>AV$200*AV127*(1-AV157)</f>
        <v/>
      </c>
      <c r="AW283" s="19">
        <f>AW$200*AW127*(1-AW157)</f>
        <v/>
      </c>
      <c r="AX283" s="19">
        <f>AX$200*AX127*(1-AX157)</f>
        <v/>
      </c>
      <c r="AY283" s="19">
        <f>AY$200*AY127*(1-AY157)</f>
        <v/>
      </c>
      <c r="AZ283" s="19">
        <f>AZ$200*AZ127*(1-AZ157)</f>
        <v/>
      </c>
      <c r="BA283" s="20">
        <f>SECTORETS(BA$200,BA127,BA157)</f>
        <v/>
      </c>
    </row>
    <row r="284" hidden="1" outlineLevel="1">
      <c r="A284" s="1" t="inlineStr">
        <is>
          <t>etr</t>
        </is>
      </c>
      <c r="B284" s="1" t="inlineStr">
        <is>
          <t>all</t>
        </is>
      </c>
      <c r="C284" s="1" t="inlineStr">
        <is>
          <t>nav</t>
        </is>
      </c>
      <c r="H284" s="1">
        <f>INDEX(VarLab,MATCH($A284,VarKey,0))&amp;INDEX(MemLab,MATCH($C284&amp;"|"&amp;$B284,MemKey,0))</f>
        <v/>
      </c>
      <c r="I284" s="1">
        <f>INDEX(VarUnit,MATCH($A284,VarKey,0))</f>
        <v/>
      </c>
      <c r="J284" s="1">
        <f>INDEX(VarSrc,MATCH($A284,VarKey,0))</f>
        <v/>
      </c>
      <c r="K284" s="17">
        <f>CodePrefix&amp;$A284&amp;IF($C284="","","."&amp;$C284&amp;"."&amp;$B284)&amp;INDEX(VarEnd,MATCH($A284,VarKey,0))&amp;K$5</f>
        <v/>
      </c>
      <c r="L284" s="18">
        <f>L$200*L128*(1-L158)</f>
        <v/>
      </c>
      <c r="M284" s="19">
        <f>M$200*M128*(1-M158)</f>
        <v/>
      </c>
      <c r="N284" s="19">
        <f>N$200*N128*(1-N158)</f>
        <v/>
      </c>
      <c r="O284" s="19">
        <f>O$200*O128*(1-O158)</f>
        <v/>
      </c>
      <c r="P284" s="19">
        <f>P$200*P128*(1-P158)</f>
        <v/>
      </c>
      <c r="Q284" s="19">
        <f>Q$200*Q128*(1-Q158)</f>
        <v/>
      </c>
      <c r="R284" s="19">
        <f>R$200*R128*(1-R158)</f>
        <v/>
      </c>
      <c r="S284" s="19">
        <f>S$200*S128*(1-S158)</f>
        <v/>
      </c>
      <c r="T284" s="19">
        <f>T$200*T128*(1-T158)</f>
        <v/>
      </c>
      <c r="U284" s="19">
        <f>U$200*U128*(1-U158)</f>
        <v/>
      </c>
      <c r="V284" s="19">
        <f>V$200*V128*(1-V158)</f>
        <v/>
      </c>
      <c r="W284" s="19">
        <f>W$200*W128*(1-W158)</f>
        <v/>
      </c>
      <c r="X284" s="19">
        <f>X$200*X128*(1-X158)</f>
        <v/>
      </c>
      <c r="Y284" s="19">
        <f>Y$200*Y128*(1-Y158)</f>
        <v/>
      </c>
      <c r="Z284" s="19">
        <f>Z$200*Z128*(1-Z158)</f>
        <v/>
      </c>
      <c r="AA284" s="19">
        <f>AA$200*AA128*(1-AA158)</f>
        <v/>
      </c>
      <c r="AB284" s="19">
        <f>AB$200*AB128*(1-AB158)</f>
        <v/>
      </c>
      <c r="AC284" s="19">
        <f>AC$200*AC128*(1-AC158)</f>
        <v/>
      </c>
      <c r="AD284" s="19">
        <f>AD$200*AD128*(1-AD158)</f>
        <v/>
      </c>
      <c r="AE284" s="20">
        <f>SECTORETS(AE$200,AE128,AE158)</f>
        <v/>
      </c>
      <c r="AG284" s="17">
        <f>CodePrefix&amp;$A284&amp;IF($C284="","","."&amp;$C284&amp;"."&amp;$B284)&amp;INDEX(VarEnd,MATCH($A284,VarKey,0))&amp;AG$5</f>
        <v/>
      </c>
      <c r="AH284" s="18">
        <f>AH$200*AH128*(1-AH158)</f>
        <v/>
      </c>
      <c r="AI284" s="19">
        <f>AI$200*AI128*(1-AI158)</f>
        <v/>
      </c>
      <c r="AJ284" s="19">
        <f>AJ$200*AJ128*(1-AJ158)</f>
        <v/>
      </c>
      <c r="AK284" s="19">
        <f>AK$200*AK128*(1-AK158)</f>
        <v/>
      </c>
      <c r="AL284" s="19">
        <f>AL$200*AL128*(1-AL158)</f>
        <v/>
      </c>
      <c r="AM284" s="19">
        <f>AM$200*AM128*(1-AM158)</f>
        <v/>
      </c>
      <c r="AN284" s="19">
        <f>AN$200*AN128*(1-AN158)</f>
        <v/>
      </c>
      <c r="AO284" s="19">
        <f>AO$200*AO128*(1-AO158)</f>
        <v/>
      </c>
      <c r="AP284" s="19">
        <f>AP$200*AP128*(1-AP158)</f>
        <v/>
      </c>
      <c r="AQ284" s="19">
        <f>AQ$200*AQ128*(1-AQ158)</f>
        <v/>
      </c>
      <c r="AR284" s="19">
        <f>AR$200*AR128*(1-AR158)</f>
        <v/>
      </c>
      <c r="AS284" s="19">
        <f>AS$200*AS128*(1-AS158)</f>
        <v/>
      </c>
      <c r="AT284" s="19">
        <f>AT$200*AT128*(1-AT158)</f>
        <v/>
      </c>
      <c r="AU284" s="19">
        <f>AU$200*AU128*(1-AU158)</f>
        <v/>
      </c>
      <c r="AV284" s="19">
        <f>AV$200*AV128*(1-AV158)</f>
        <v/>
      </c>
      <c r="AW284" s="19">
        <f>AW$200*AW128*(1-AW158)</f>
        <v/>
      </c>
      <c r="AX284" s="19">
        <f>AX$200*AX128*(1-AX158)</f>
        <v/>
      </c>
      <c r="AY284" s="19">
        <f>AY$200*AY128*(1-AY158)</f>
        <v/>
      </c>
      <c r="AZ284" s="19">
        <f>AZ$200*AZ128*(1-AZ158)</f>
        <v/>
      </c>
      <c r="BA284" s="20">
        <f>SECTORETS(BA$200,BA128,BA158)</f>
        <v/>
      </c>
    </row>
    <row r="285" hidden="1" outlineLevel="1">
      <c r="A285" s="1" t="inlineStr">
        <is>
          <t>etr</t>
        </is>
      </c>
      <c r="B285" s="1" t="inlineStr">
        <is>
          <t>all</t>
        </is>
      </c>
      <c r="C285" s="1" t="inlineStr">
        <is>
          <t>res</t>
        </is>
      </c>
      <c r="H285" s="1">
        <f>INDEX(VarLab,MATCH($A285,VarKey,0))&amp;INDEX(MemLab,MATCH($C285&amp;"|"&amp;$B285,MemKey,0))</f>
        <v/>
      </c>
      <c r="I285" s="1">
        <f>INDEX(VarUnit,MATCH($A285,VarKey,0))</f>
        <v/>
      </c>
      <c r="J285" s="1">
        <f>INDEX(VarSrc,MATCH($A285,VarKey,0))</f>
        <v/>
      </c>
      <c r="K285" s="17">
        <f>CodePrefix&amp;$A285&amp;IF($C285="","","."&amp;$C285&amp;"."&amp;$B285)&amp;INDEX(VarEnd,MATCH($A285,VarKey,0))&amp;K$5</f>
        <v/>
      </c>
      <c r="L285" s="18">
        <f>L$200*L129*(1-L159)</f>
        <v/>
      </c>
      <c r="M285" s="19">
        <f>M$200*M129*(1-M159)</f>
        <v/>
      </c>
      <c r="N285" s="19">
        <f>N$200*N129*(1-N159)</f>
        <v/>
      </c>
      <c r="O285" s="19">
        <f>O$200*O129*(1-O159)</f>
        <v/>
      </c>
      <c r="P285" s="19">
        <f>P$200*P129*(1-P159)</f>
        <v/>
      </c>
      <c r="Q285" s="19">
        <f>Q$200*Q129*(1-Q159)</f>
        <v/>
      </c>
      <c r="R285" s="19">
        <f>R$200*R129*(1-R159)</f>
        <v/>
      </c>
      <c r="S285" s="19">
        <f>S$200*S129*(1-S159)</f>
        <v/>
      </c>
      <c r="T285" s="19">
        <f>T$200*T129*(1-T159)</f>
        <v/>
      </c>
      <c r="U285" s="19">
        <f>U$200*U129*(1-U159)</f>
        <v/>
      </c>
      <c r="V285" s="19">
        <f>V$200*V129*(1-V159)</f>
        <v/>
      </c>
      <c r="W285" s="19">
        <f>W$200*W129*(1-W159)</f>
        <v/>
      </c>
      <c r="X285" s="19">
        <f>X$200*X129*(1-X159)</f>
        <v/>
      </c>
      <c r="Y285" s="19">
        <f>Y$200*Y129*(1-Y159)</f>
        <v/>
      </c>
      <c r="Z285" s="19">
        <f>Z$200*Z129*(1-Z159)</f>
        <v/>
      </c>
      <c r="AA285" s="19">
        <f>AA$200*AA129*(1-AA159)</f>
        <v/>
      </c>
      <c r="AB285" s="19">
        <f>AB$200*AB129*(1-AB159)</f>
        <v/>
      </c>
      <c r="AC285" s="19">
        <f>AC$200*AC129*(1-AC159)</f>
        <v/>
      </c>
      <c r="AD285" s="19">
        <f>AD$200*AD129*(1-AD159)</f>
        <v/>
      </c>
      <c r="AE285" s="20">
        <f>SECTORETS(AE$200,AE129,AE159)</f>
        <v/>
      </c>
      <c r="AG285" s="17">
        <f>CodePrefix&amp;$A285&amp;IF($C285="","","."&amp;$C285&amp;"."&amp;$B285)&amp;INDEX(VarEnd,MATCH($A285,VarKey,0))&amp;AG$5</f>
        <v/>
      </c>
      <c r="AH285" s="18">
        <f>AH$200*AH129*(1-AH159)</f>
        <v/>
      </c>
      <c r="AI285" s="19">
        <f>AI$200*AI129*(1-AI159)</f>
        <v/>
      </c>
      <c r="AJ285" s="19">
        <f>AJ$200*AJ129*(1-AJ159)</f>
        <v/>
      </c>
      <c r="AK285" s="19">
        <f>AK$200*AK129*(1-AK159)</f>
        <v/>
      </c>
      <c r="AL285" s="19">
        <f>AL$200*AL129*(1-AL159)</f>
        <v/>
      </c>
      <c r="AM285" s="19">
        <f>AM$200*AM129*(1-AM159)</f>
        <v/>
      </c>
      <c r="AN285" s="19">
        <f>AN$200*AN129*(1-AN159)</f>
        <v/>
      </c>
      <c r="AO285" s="19">
        <f>AO$200*AO129*(1-AO159)</f>
        <v/>
      </c>
      <c r="AP285" s="19">
        <f>AP$200*AP129*(1-AP159)</f>
        <v/>
      </c>
      <c r="AQ285" s="19">
        <f>AQ$200*AQ129*(1-AQ159)</f>
        <v/>
      </c>
      <c r="AR285" s="19">
        <f>AR$200*AR129*(1-AR159)</f>
        <v/>
      </c>
      <c r="AS285" s="19">
        <f>AS$200*AS129*(1-AS159)</f>
        <v/>
      </c>
      <c r="AT285" s="19">
        <f>AT$200*AT129*(1-AT159)</f>
        <v/>
      </c>
      <c r="AU285" s="19">
        <f>AU$200*AU129*(1-AU159)</f>
        <v/>
      </c>
      <c r="AV285" s="19">
        <f>AV$200*AV129*(1-AV159)</f>
        <v/>
      </c>
      <c r="AW285" s="19">
        <f>AW$200*AW129*(1-AW159)</f>
        <v/>
      </c>
      <c r="AX285" s="19">
        <f>AX$200*AX129*(1-AX159)</f>
        <v/>
      </c>
      <c r="AY285" s="19">
        <f>AY$200*AY129*(1-AY159)</f>
        <v/>
      </c>
      <c r="AZ285" s="19">
        <f>AZ$200*AZ129*(1-AZ159)</f>
        <v/>
      </c>
      <c r="BA285" s="20">
        <f>SECTORETS(BA$200,BA129,BA159)</f>
        <v/>
      </c>
    </row>
    <row r="286" hidden="1" outlineLevel="1">
      <c r="A286" s="1" t="inlineStr">
        <is>
          <t>etr</t>
        </is>
      </c>
      <c r="B286" s="1" t="inlineStr">
        <is>
          <t>all</t>
        </is>
      </c>
      <c r="C286" s="1" t="inlineStr">
        <is>
          <t>foo</t>
        </is>
      </c>
      <c r="H286" s="1">
        <f>INDEX(VarLab,MATCH($A286,VarKey,0))&amp;INDEX(MemLab,MATCH($C286&amp;"|"&amp;$B286,MemKey,0))</f>
        <v/>
      </c>
      <c r="I286" s="1">
        <f>INDEX(VarUnit,MATCH($A286,VarKey,0))</f>
        <v/>
      </c>
      <c r="J286" s="1">
        <f>INDEX(VarSrc,MATCH($A286,VarKey,0))</f>
        <v/>
      </c>
      <c r="K286" s="17">
        <f>CodePrefix&amp;$A286&amp;IF($C286="","","."&amp;$C286&amp;"."&amp;$B286)&amp;INDEX(VarEnd,MATCH($A286,VarKey,0))&amp;K$5</f>
        <v/>
      </c>
      <c r="L286" s="18">
        <f>L$200*L130*(1-L160)</f>
        <v/>
      </c>
      <c r="M286" s="19">
        <f>M$200*M130*(1-M160)</f>
        <v/>
      </c>
      <c r="N286" s="19">
        <f>N$200*N130*(1-N160)</f>
        <v/>
      </c>
      <c r="O286" s="19">
        <f>O$200*O130*(1-O160)</f>
        <v/>
      </c>
      <c r="P286" s="19">
        <f>P$200*P130*(1-P160)</f>
        <v/>
      </c>
      <c r="Q286" s="19">
        <f>Q$200*Q130*(1-Q160)</f>
        <v/>
      </c>
      <c r="R286" s="19">
        <f>R$200*R130*(1-R160)</f>
        <v/>
      </c>
      <c r="S286" s="19">
        <f>S$200*S130*(1-S160)</f>
        <v/>
      </c>
      <c r="T286" s="19">
        <f>T$200*T130*(1-T160)</f>
        <v/>
      </c>
      <c r="U286" s="19">
        <f>U$200*U130*(1-U160)</f>
        <v/>
      </c>
      <c r="V286" s="19">
        <f>V$200*V130*(1-V160)</f>
        <v/>
      </c>
      <c r="W286" s="19">
        <f>W$200*W130*(1-W160)</f>
        <v/>
      </c>
      <c r="X286" s="19">
        <f>X$200*X130*(1-X160)</f>
        <v/>
      </c>
      <c r="Y286" s="19">
        <f>Y$200*Y130*(1-Y160)</f>
        <v/>
      </c>
      <c r="Z286" s="19">
        <f>Z$200*Z130*(1-Z160)</f>
        <v/>
      </c>
      <c r="AA286" s="19">
        <f>AA$200*AA130*(1-AA160)</f>
        <v/>
      </c>
      <c r="AB286" s="19">
        <f>AB$200*AB130*(1-AB160)</f>
        <v/>
      </c>
      <c r="AC286" s="19">
        <f>AC$200*AC130*(1-AC160)</f>
        <v/>
      </c>
      <c r="AD286" s="19">
        <f>AD$200*AD130*(1-AD160)</f>
        <v/>
      </c>
      <c r="AE286" s="20">
        <f>SECTORETS(AE$200,AE130,AE160)</f>
        <v/>
      </c>
      <c r="AG286" s="17">
        <f>CodePrefix&amp;$A286&amp;IF($C286="","","."&amp;$C286&amp;"."&amp;$B286)&amp;INDEX(VarEnd,MATCH($A286,VarKey,0))&amp;AG$5</f>
        <v/>
      </c>
      <c r="AH286" s="18">
        <f>AH$200*AH130*(1-AH160)</f>
        <v/>
      </c>
      <c r="AI286" s="19">
        <f>AI$200*AI130*(1-AI160)</f>
        <v/>
      </c>
      <c r="AJ286" s="19">
        <f>AJ$200*AJ130*(1-AJ160)</f>
        <v/>
      </c>
      <c r="AK286" s="19">
        <f>AK$200*AK130*(1-AK160)</f>
        <v/>
      </c>
      <c r="AL286" s="19">
        <f>AL$200*AL130*(1-AL160)</f>
        <v/>
      </c>
      <c r="AM286" s="19">
        <f>AM$200*AM130*(1-AM160)</f>
        <v/>
      </c>
      <c r="AN286" s="19">
        <f>AN$200*AN130*(1-AN160)</f>
        <v/>
      </c>
      <c r="AO286" s="19">
        <f>AO$200*AO130*(1-AO160)</f>
        <v/>
      </c>
      <c r="AP286" s="19">
        <f>AP$200*AP130*(1-AP160)</f>
        <v/>
      </c>
      <c r="AQ286" s="19">
        <f>AQ$200*AQ130*(1-AQ160)</f>
        <v/>
      </c>
      <c r="AR286" s="19">
        <f>AR$200*AR130*(1-AR160)</f>
        <v/>
      </c>
      <c r="AS286" s="19">
        <f>AS$200*AS130*(1-AS160)</f>
        <v/>
      </c>
      <c r="AT286" s="19">
        <f>AT$200*AT130*(1-AT160)</f>
        <v/>
      </c>
      <c r="AU286" s="19">
        <f>AU$200*AU130*(1-AU160)</f>
        <v/>
      </c>
      <c r="AV286" s="19">
        <f>AV$200*AV130*(1-AV160)</f>
        <v/>
      </c>
      <c r="AW286" s="19">
        <f>AW$200*AW130*(1-AW160)</f>
        <v/>
      </c>
      <c r="AX286" s="19">
        <f>AX$200*AX130*(1-AX160)</f>
        <v/>
      </c>
      <c r="AY286" s="19">
        <f>AY$200*AY130*(1-AY160)</f>
        <v/>
      </c>
      <c r="AZ286" s="19">
        <f>AZ$200*AZ130*(1-AZ160)</f>
        <v/>
      </c>
      <c r="BA286" s="20">
        <f>SECTORETS(BA$200,BA130,BA160)</f>
        <v/>
      </c>
    </row>
    <row r="287" hidden="1" outlineLevel="1">
      <c r="A287" s="1" t="inlineStr">
        <is>
          <t>etr</t>
        </is>
      </c>
      <c r="B287" s="1" t="inlineStr">
        <is>
          <t>all</t>
        </is>
      </c>
      <c r="C287" s="1" t="inlineStr">
        <is>
          <t>srv</t>
        </is>
      </c>
      <c r="H287" s="1">
        <f>INDEX(VarLab,MATCH($A287,VarKey,0))&amp;INDEX(MemLab,MATCH($C287&amp;"|"&amp;$B287,MemKey,0))</f>
        <v/>
      </c>
      <c r="I287" s="1">
        <f>INDEX(VarUnit,MATCH($A287,VarKey,0))</f>
        <v/>
      </c>
      <c r="J287" s="1">
        <f>INDEX(VarSrc,MATCH($A287,VarKey,0))</f>
        <v/>
      </c>
      <c r="K287" s="17">
        <f>CodePrefix&amp;$A287&amp;IF($C287="","","."&amp;$C287&amp;"."&amp;$B287)&amp;INDEX(VarEnd,MATCH($A287,VarKey,0))&amp;K$5</f>
        <v/>
      </c>
      <c r="L287" s="18">
        <f>L$200*L131*(1-L161)</f>
        <v/>
      </c>
      <c r="M287" s="19">
        <f>M$200*M131*(1-M161)</f>
        <v/>
      </c>
      <c r="N287" s="19">
        <f>N$200*N131*(1-N161)</f>
        <v/>
      </c>
      <c r="O287" s="19">
        <f>O$200*O131*(1-O161)</f>
        <v/>
      </c>
      <c r="P287" s="19">
        <f>P$200*P131*(1-P161)</f>
        <v/>
      </c>
      <c r="Q287" s="19">
        <f>Q$200*Q131*(1-Q161)</f>
        <v/>
      </c>
      <c r="R287" s="19">
        <f>R$200*R131*(1-R161)</f>
        <v/>
      </c>
      <c r="S287" s="19">
        <f>S$200*S131*(1-S161)</f>
        <v/>
      </c>
      <c r="T287" s="19">
        <f>T$200*T131*(1-T161)</f>
        <v/>
      </c>
      <c r="U287" s="19">
        <f>U$200*U131*(1-U161)</f>
        <v/>
      </c>
      <c r="V287" s="19">
        <f>V$200*V131*(1-V161)</f>
        <v/>
      </c>
      <c r="W287" s="19">
        <f>W$200*W131*(1-W161)</f>
        <v/>
      </c>
      <c r="X287" s="19">
        <f>X$200*X131*(1-X161)</f>
        <v/>
      </c>
      <c r="Y287" s="19">
        <f>Y$200*Y131*(1-Y161)</f>
        <v/>
      </c>
      <c r="Z287" s="19">
        <f>Z$200*Z131*(1-Z161)</f>
        <v/>
      </c>
      <c r="AA287" s="19">
        <f>AA$200*AA131*(1-AA161)</f>
        <v/>
      </c>
      <c r="AB287" s="19">
        <f>AB$200*AB131*(1-AB161)</f>
        <v/>
      </c>
      <c r="AC287" s="19">
        <f>AC$200*AC131*(1-AC161)</f>
        <v/>
      </c>
      <c r="AD287" s="19">
        <f>AD$200*AD131*(1-AD161)</f>
        <v/>
      </c>
      <c r="AE287" s="20">
        <f>SECTORETS(AE$200,AE131,AE161)</f>
        <v/>
      </c>
      <c r="AG287" s="17">
        <f>CodePrefix&amp;$A287&amp;IF($C287="","","."&amp;$C287&amp;"."&amp;$B287)&amp;INDEX(VarEnd,MATCH($A287,VarKey,0))&amp;AG$5</f>
        <v/>
      </c>
      <c r="AH287" s="18">
        <f>AH$200*AH131*(1-AH161)</f>
        <v/>
      </c>
      <c r="AI287" s="19">
        <f>AI$200*AI131*(1-AI161)</f>
        <v/>
      </c>
      <c r="AJ287" s="19">
        <f>AJ$200*AJ131*(1-AJ161)</f>
        <v/>
      </c>
      <c r="AK287" s="19">
        <f>AK$200*AK131*(1-AK161)</f>
        <v/>
      </c>
      <c r="AL287" s="19">
        <f>AL$200*AL131*(1-AL161)</f>
        <v/>
      </c>
      <c r="AM287" s="19">
        <f>AM$200*AM131*(1-AM161)</f>
        <v/>
      </c>
      <c r="AN287" s="19">
        <f>AN$200*AN131*(1-AN161)</f>
        <v/>
      </c>
      <c r="AO287" s="19">
        <f>AO$200*AO131*(1-AO161)</f>
        <v/>
      </c>
      <c r="AP287" s="19">
        <f>AP$200*AP131*(1-AP161)</f>
        <v/>
      </c>
      <c r="AQ287" s="19">
        <f>AQ$200*AQ131*(1-AQ161)</f>
        <v/>
      </c>
      <c r="AR287" s="19">
        <f>AR$200*AR131*(1-AR161)</f>
        <v/>
      </c>
      <c r="AS287" s="19">
        <f>AS$200*AS131*(1-AS161)</f>
        <v/>
      </c>
      <c r="AT287" s="19">
        <f>AT$200*AT131*(1-AT161)</f>
        <v/>
      </c>
      <c r="AU287" s="19">
        <f>AU$200*AU131*(1-AU161)</f>
        <v/>
      </c>
      <c r="AV287" s="19">
        <f>AV$200*AV131*(1-AV161)</f>
        <v/>
      </c>
      <c r="AW287" s="19">
        <f>AW$200*AW131*(1-AW161)</f>
        <v/>
      </c>
      <c r="AX287" s="19">
        <f>AX$200*AX131*(1-AX161)</f>
        <v/>
      </c>
      <c r="AY287" s="19">
        <f>AY$200*AY131*(1-AY161)</f>
        <v/>
      </c>
      <c r="AZ287" s="19">
        <f>AZ$200*AZ131*(1-AZ161)</f>
        <v/>
      </c>
      <c r="BA287" s="20">
        <f>SECTORETS(BA$200,BA131,BA161)</f>
        <v/>
      </c>
    </row>
    <row r="288" hidden="1" outlineLevel="1">
      <c r="A288" s="1" t="inlineStr">
        <is>
          <t>etr</t>
        </is>
      </c>
      <c r="B288" s="1" t="inlineStr">
        <is>
          <t>all</t>
        </is>
      </c>
      <c r="C288" s="1" t="inlineStr">
        <is>
          <t>mch</t>
        </is>
      </c>
      <c r="H288" s="1">
        <f>INDEX(VarLab,MATCH($A288,VarKey,0))&amp;INDEX(MemLab,MATCH($C288&amp;"|"&amp;$B288,MemKey,0))</f>
        <v/>
      </c>
      <c r="I288" s="1">
        <f>INDEX(VarUnit,MATCH($A288,VarKey,0))</f>
        <v/>
      </c>
      <c r="J288" s="1">
        <f>INDEX(VarSrc,MATCH($A288,VarKey,0))</f>
        <v/>
      </c>
      <c r="K288" s="17">
        <f>CodePrefix&amp;$A288&amp;IF($C288="","","."&amp;$C288&amp;"."&amp;$B288)&amp;INDEX(VarEnd,MATCH($A288,VarKey,0))&amp;K$5</f>
        <v/>
      </c>
      <c r="L288" s="18">
        <f>L$200*L132*(1-L162)</f>
        <v/>
      </c>
      <c r="M288" s="19">
        <f>M$200*M132*(1-M162)</f>
        <v/>
      </c>
      <c r="N288" s="19">
        <f>N$200*N132*(1-N162)</f>
        <v/>
      </c>
      <c r="O288" s="19">
        <f>O$200*O132*(1-O162)</f>
        <v/>
      </c>
      <c r="P288" s="19">
        <f>P$200*P132*(1-P162)</f>
        <v/>
      </c>
      <c r="Q288" s="19">
        <f>Q$200*Q132*(1-Q162)</f>
        <v/>
      </c>
      <c r="R288" s="19">
        <f>R$200*R132*(1-R162)</f>
        <v/>
      </c>
      <c r="S288" s="19">
        <f>S$200*S132*(1-S162)</f>
        <v/>
      </c>
      <c r="T288" s="19">
        <f>T$200*T132*(1-T162)</f>
        <v/>
      </c>
      <c r="U288" s="19">
        <f>U$200*U132*(1-U162)</f>
        <v/>
      </c>
      <c r="V288" s="19">
        <f>V$200*V132*(1-V162)</f>
        <v/>
      </c>
      <c r="W288" s="19">
        <f>W$200*W132*(1-W162)</f>
        <v/>
      </c>
      <c r="X288" s="19">
        <f>X$200*X132*(1-X162)</f>
        <v/>
      </c>
      <c r="Y288" s="19">
        <f>Y$200*Y132*(1-Y162)</f>
        <v/>
      </c>
      <c r="Z288" s="19">
        <f>Z$200*Z132*(1-Z162)</f>
        <v/>
      </c>
      <c r="AA288" s="19">
        <f>AA$200*AA132*(1-AA162)</f>
        <v/>
      </c>
      <c r="AB288" s="19">
        <f>AB$200*AB132*(1-AB162)</f>
        <v/>
      </c>
      <c r="AC288" s="19">
        <f>AC$200*AC132*(1-AC162)</f>
        <v/>
      </c>
      <c r="AD288" s="19">
        <f>AD$200*AD132*(1-AD162)</f>
        <v/>
      </c>
      <c r="AE288" s="20">
        <f>SECTORETS(AE$200,AE132,AE162)</f>
        <v/>
      </c>
      <c r="AG288" s="17">
        <f>CodePrefix&amp;$A288&amp;IF($C288="","","."&amp;$C288&amp;"."&amp;$B288)&amp;INDEX(VarEnd,MATCH($A288,VarKey,0))&amp;AG$5</f>
        <v/>
      </c>
      <c r="AH288" s="18">
        <f>AH$200*AH132*(1-AH162)</f>
        <v/>
      </c>
      <c r="AI288" s="19">
        <f>AI$200*AI132*(1-AI162)</f>
        <v/>
      </c>
      <c r="AJ288" s="19">
        <f>AJ$200*AJ132*(1-AJ162)</f>
        <v/>
      </c>
      <c r="AK288" s="19">
        <f>AK$200*AK132*(1-AK162)</f>
        <v/>
      </c>
      <c r="AL288" s="19">
        <f>AL$200*AL132*(1-AL162)</f>
        <v/>
      </c>
      <c r="AM288" s="19">
        <f>AM$200*AM132*(1-AM162)</f>
        <v/>
      </c>
      <c r="AN288" s="19">
        <f>AN$200*AN132*(1-AN162)</f>
        <v/>
      </c>
      <c r="AO288" s="19">
        <f>AO$200*AO132*(1-AO162)</f>
        <v/>
      </c>
      <c r="AP288" s="19">
        <f>AP$200*AP132*(1-AP162)</f>
        <v/>
      </c>
      <c r="AQ288" s="19">
        <f>AQ$200*AQ132*(1-AQ162)</f>
        <v/>
      </c>
      <c r="AR288" s="19">
        <f>AR$200*AR132*(1-AR162)</f>
        <v/>
      </c>
      <c r="AS288" s="19">
        <f>AS$200*AS132*(1-AS162)</f>
        <v/>
      </c>
      <c r="AT288" s="19">
        <f>AT$200*AT132*(1-AT162)</f>
        <v/>
      </c>
      <c r="AU288" s="19">
        <f>AU$200*AU132*(1-AU162)</f>
        <v/>
      </c>
      <c r="AV288" s="19">
        <f>AV$200*AV132*(1-AV162)</f>
        <v/>
      </c>
      <c r="AW288" s="19">
        <f>AW$200*AW132*(1-AW162)</f>
        <v/>
      </c>
      <c r="AX288" s="19">
        <f>AX$200*AX132*(1-AX162)</f>
        <v/>
      </c>
      <c r="AY288" s="19">
        <f>AY$200*AY132*(1-AY162)</f>
        <v/>
      </c>
      <c r="AZ288" s="19">
        <f>AZ$200*AZ132*(1-AZ162)</f>
        <v/>
      </c>
      <c r="BA288" s="20">
        <f>SECTORETS(BA$200,BA132,BA162)</f>
        <v/>
      </c>
    </row>
    <row r="289" hidden="1" outlineLevel="1">
      <c r="A289" s="1" t="inlineStr">
        <is>
          <t>etr</t>
        </is>
      </c>
      <c r="B289" s="1" t="inlineStr">
        <is>
          <t>all</t>
        </is>
      </c>
      <c r="C289" s="1" t="inlineStr">
        <is>
          <t>irn</t>
        </is>
      </c>
      <c r="H289" s="1">
        <f>INDEX(VarLab,MATCH($A289,VarKey,0))&amp;INDEX(MemLab,MATCH($C289&amp;"|"&amp;$B289,MemKey,0))</f>
        <v/>
      </c>
      <c r="I289" s="1">
        <f>INDEX(VarUnit,MATCH($A289,VarKey,0))</f>
        <v/>
      </c>
      <c r="J289" s="1">
        <f>INDEX(VarSrc,MATCH($A289,VarKey,0))</f>
        <v/>
      </c>
      <c r="K289" s="17">
        <f>CodePrefix&amp;$A289&amp;IF($C289="","","."&amp;$C289&amp;"."&amp;$B289)&amp;INDEX(VarEnd,MATCH($A289,VarKey,0))&amp;K$5</f>
        <v/>
      </c>
      <c r="L289" s="18">
        <f>L$200*L133*(1-L163)</f>
        <v/>
      </c>
      <c r="M289" s="19">
        <f>M$200*M133*(1-M163)</f>
        <v/>
      </c>
      <c r="N289" s="19">
        <f>N$200*N133*(1-N163)</f>
        <v/>
      </c>
      <c r="O289" s="19">
        <f>O$200*O133*(1-O163)</f>
        <v/>
      </c>
      <c r="P289" s="19">
        <f>P$200*P133*(1-P163)</f>
        <v/>
      </c>
      <c r="Q289" s="19">
        <f>Q$200*Q133*(1-Q163)</f>
        <v/>
      </c>
      <c r="R289" s="19">
        <f>R$200*R133*(1-R163)</f>
        <v/>
      </c>
      <c r="S289" s="19">
        <f>S$200*S133*(1-S163)</f>
        <v/>
      </c>
      <c r="T289" s="19">
        <f>T$200*T133*(1-T163)</f>
        <v/>
      </c>
      <c r="U289" s="19">
        <f>U$200*U133*(1-U163)</f>
        <v/>
      </c>
      <c r="V289" s="19">
        <f>V$200*V133*(1-V163)</f>
        <v/>
      </c>
      <c r="W289" s="19">
        <f>W$200*W133*(1-W163)</f>
        <v/>
      </c>
      <c r="X289" s="19">
        <f>X$200*X133*(1-X163)</f>
        <v/>
      </c>
      <c r="Y289" s="19">
        <f>Y$200*Y133*(1-Y163)</f>
        <v/>
      </c>
      <c r="Z289" s="19">
        <f>Z$200*Z133*(1-Z163)</f>
        <v/>
      </c>
      <c r="AA289" s="19">
        <f>AA$200*AA133*(1-AA163)</f>
        <v/>
      </c>
      <c r="AB289" s="19">
        <f>AB$200*AB133*(1-AB163)</f>
        <v/>
      </c>
      <c r="AC289" s="19">
        <f>AC$200*AC133*(1-AC163)</f>
        <v/>
      </c>
      <c r="AD289" s="19">
        <f>AD$200*AD133*(1-AD163)</f>
        <v/>
      </c>
      <c r="AE289" s="20">
        <f>SECTORETS(AE$200,AE133,AE163)</f>
        <v/>
      </c>
      <c r="AG289" s="17">
        <f>CodePrefix&amp;$A289&amp;IF($C289="","","."&amp;$C289&amp;"."&amp;$B289)&amp;INDEX(VarEnd,MATCH($A289,VarKey,0))&amp;AG$5</f>
        <v/>
      </c>
      <c r="AH289" s="18">
        <f>AH$200*AH133*(1-AH163)</f>
        <v/>
      </c>
      <c r="AI289" s="19">
        <f>AI$200*AI133*(1-AI163)</f>
        <v/>
      </c>
      <c r="AJ289" s="19">
        <f>AJ$200*AJ133*(1-AJ163)</f>
        <v/>
      </c>
      <c r="AK289" s="19">
        <f>AK$200*AK133*(1-AK163)</f>
        <v/>
      </c>
      <c r="AL289" s="19">
        <f>AL$200*AL133*(1-AL163)</f>
        <v/>
      </c>
      <c r="AM289" s="19">
        <f>AM$200*AM133*(1-AM163)</f>
        <v/>
      </c>
      <c r="AN289" s="19">
        <f>AN$200*AN133*(1-AN163)</f>
        <v/>
      </c>
      <c r="AO289" s="19">
        <f>AO$200*AO133*(1-AO163)</f>
        <v/>
      </c>
      <c r="AP289" s="19">
        <f>AP$200*AP133*(1-AP163)</f>
        <v/>
      </c>
      <c r="AQ289" s="19">
        <f>AQ$200*AQ133*(1-AQ163)</f>
        <v/>
      </c>
      <c r="AR289" s="19">
        <f>AR$200*AR133*(1-AR163)</f>
        <v/>
      </c>
      <c r="AS289" s="19">
        <f>AS$200*AS133*(1-AS163)</f>
        <v/>
      </c>
      <c r="AT289" s="19">
        <f>AT$200*AT133*(1-AT163)</f>
        <v/>
      </c>
      <c r="AU289" s="19">
        <f>AU$200*AU133*(1-AU163)</f>
        <v/>
      </c>
      <c r="AV289" s="19">
        <f>AV$200*AV133*(1-AV163)</f>
        <v/>
      </c>
      <c r="AW289" s="19">
        <f>AW$200*AW133*(1-AW163)</f>
        <v/>
      </c>
      <c r="AX289" s="19">
        <f>AX$200*AX133*(1-AX163)</f>
        <v/>
      </c>
      <c r="AY289" s="19">
        <f>AY$200*AY133*(1-AY163)</f>
        <v/>
      </c>
      <c r="AZ289" s="19">
        <f>AZ$200*AZ133*(1-AZ163)</f>
        <v/>
      </c>
      <c r="BA289" s="20">
        <f>SECTORETS(BA$200,BA133,BA163)</f>
        <v/>
      </c>
    </row>
    <row r="290" hidden="1" outlineLevel="1">
      <c r="A290" s="1" t="inlineStr">
        <is>
          <t>etr</t>
        </is>
      </c>
      <c r="B290" s="1" t="inlineStr">
        <is>
          <t>all</t>
        </is>
      </c>
      <c r="C290" s="1" t="inlineStr">
        <is>
          <t>nfm</t>
        </is>
      </c>
      <c r="H290" s="1">
        <f>INDEX(VarLab,MATCH($A290,VarKey,0))&amp;INDEX(MemLab,MATCH($C290&amp;"|"&amp;$B290,MemKey,0))</f>
        <v/>
      </c>
      <c r="I290" s="1">
        <f>INDEX(VarUnit,MATCH($A290,VarKey,0))</f>
        <v/>
      </c>
      <c r="J290" s="1">
        <f>INDEX(VarSrc,MATCH($A290,VarKey,0))</f>
        <v/>
      </c>
      <c r="K290" s="17">
        <f>CodePrefix&amp;$A290&amp;IF($C290="","","."&amp;$C290&amp;"."&amp;$B290)&amp;INDEX(VarEnd,MATCH($A290,VarKey,0))&amp;K$5</f>
        <v/>
      </c>
      <c r="L290" s="18">
        <f>L$200*L134*(1-L164)</f>
        <v/>
      </c>
      <c r="M290" s="19">
        <f>M$200*M134*(1-M164)</f>
        <v/>
      </c>
      <c r="N290" s="19">
        <f>N$200*N134*(1-N164)</f>
        <v/>
      </c>
      <c r="O290" s="19">
        <f>O$200*O134*(1-O164)</f>
        <v/>
      </c>
      <c r="P290" s="19">
        <f>P$200*P134*(1-P164)</f>
        <v/>
      </c>
      <c r="Q290" s="19">
        <f>Q$200*Q134*(1-Q164)</f>
        <v/>
      </c>
      <c r="R290" s="19">
        <f>R$200*R134*(1-R164)</f>
        <v/>
      </c>
      <c r="S290" s="19">
        <f>S$200*S134*(1-S164)</f>
        <v/>
      </c>
      <c r="T290" s="19">
        <f>T$200*T134*(1-T164)</f>
        <v/>
      </c>
      <c r="U290" s="19">
        <f>U$200*U134*(1-U164)</f>
        <v/>
      </c>
      <c r="V290" s="19">
        <f>V$200*V134*(1-V164)</f>
        <v/>
      </c>
      <c r="W290" s="19">
        <f>W$200*W134*(1-W164)</f>
        <v/>
      </c>
      <c r="X290" s="19">
        <f>X$200*X134*(1-X164)</f>
        <v/>
      </c>
      <c r="Y290" s="19">
        <f>Y$200*Y134*(1-Y164)</f>
        <v/>
      </c>
      <c r="Z290" s="19">
        <f>Z$200*Z134*(1-Z164)</f>
        <v/>
      </c>
      <c r="AA290" s="19">
        <f>AA$200*AA134*(1-AA164)</f>
        <v/>
      </c>
      <c r="AB290" s="19">
        <f>AB$200*AB134*(1-AB164)</f>
        <v/>
      </c>
      <c r="AC290" s="19">
        <f>AC$200*AC134*(1-AC164)</f>
        <v/>
      </c>
      <c r="AD290" s="19">
        <f>AD$200*AD134*(1-AD164)</f>
        <v/>
      </c>
      <c r="AE290" s="20">
        <f>SECTORETS(AE$200,AE134,AE164)</f>
        <v/>
      </c>
      <c r="AG290" s="17">
        <f>CodePrefix&amp;$A290&amp;IF($C290="","","."&amp;$C290&amp;"."&amp;$B290)&amp;INDEX(VarEnd,MATCH($A290,VarKey,0))&amp;AG$5</f>
        <v/>
      </c>
      <c r="AH290" s="18">
        <f>AH$200*AH134*(1-AH164)</f>
        <v/>
      </c>
      <c r="AI290" s="19">
        <f>AI$200*AI134*(1-AI164)</f>
        <v/>
      </c>
      <c r="AJ290" s="19">
        <f>AJ$200*AJ134*(1-AJ164)</f>
        <v/>
      </c>
      <c r="AK290" s="19">
        <f>AK$200*AK134*(1-AK164)</f>
        <v/>
      </c>
      <c r="AL290" s="19">
        <f>AL$200*AL134*(1-AL164)</f>
        <v/>
      </c>
      <c r="AM290" s="19">
        <f>AM$200*AM134*(1-AM164)</f>
        <v/>
      </c>
      <c r="AN290" s="19">
        <f>AN$200*AN134*(1-AN164)</f>
        <v/>
      </c>
      <c r="AO290" s="19">
        <f>AO$200*AO134*(1-AO164)</f>
        <v/>
      </c>
      <c r="AP290" s="19">
        <f>AP$200*AP134*(1-AP164)</f>
        <v/>
      </c>
      <c r="AQ290" s="19">
        <f>AQ$200*AQ134*(1-AQ164)</f>
        <v/>
      </c>
      <c r="AR290" s="19">
        <f>AR$200*AR134*(1-AR164)</f>
        <v/>
      </c>
      <c r="AS290" s="19">
        <f>AS$200*AS134*(1-AS164)</f>
        <v/>
      </c>
      <c r="AT290" s="19">
        <f>AT$200*AT134*(1-AT164)</f>
        <v/>
      </c>
      <c r="AU290" s="19">
        <f>AU$200*AU134*(1-AU164)</f>
        <v/>
      </c>
      <c r="AV290" s="19">
        <f>AV$200*AV134*(1-AV164)</f>
        <v/>
      </c>
      <c r="AW290" s="19">
        <f>AW$200*AW134*(1-AW164)</f>
        <v/>
      </c>
      <c r="AX290" s="19">
        <f>AX$200*AX134*(1-AX164)</f>
        <v/>
      </c>
      <c r="AY290" s="19">
        <f>AY$200*AY134*(1-AY164)</f>
        <v/>
      </c>
      <c r="AZ290" s="19">
        <f>AZ$200*AZ134*(1-AZ164)</f>
        <v/>
      </c>
      <c r="BA290" s="20">
        <f>SECTORETS(BA$200,BA134,BA164)</f>
        <v/>
      </c>
    </row>
    <row r="291" hidden="1" outlineLevel="1">
      <c r="A291" s="1" t="inlineStr">
        <is>
          <t>etr</t>
        </is>
      </c>
      <c r="B291" s="1" t="inlineStr">
        <is>
          <t>all</t>
        </is>
      </c>
      <c r="C291" s="1" t="inlineStr">
        <is>
          <t>mac</t>
        </is>
      </c>
      <c r="H291" s="1">
        <f>INDEX(VarLab,MATCH($A291,VarKey,0))&amp;INDEX(MemLab,MATCH($C291&amp;"|"&amp;$B291,MemKey,0))</f>
        <v/>
      </c>
      <c r="I291" s="1">
        <f>INDEX(VarUnit,MATCH($A291,VarKey,0))</f>
        <v/>
      </c>
      <c r="J291" s="1">
        <f>INDEX(VarSrc,MATCH($A291,VarKey,0))</f>
        <v/>
      </c>
      <c r="K291" s="17">
        <f>CodePrefix&amp;$A291&amp;IF($C291="","","."&amp;$C291&amp;"."&amp;$B291)&amp;INDEX(VarEnd,MATCH($A291,VarKey,0))&amp;K$5</f>
        <v/>
      </c>
      <c r="L291" s="18">
        <f>L$200*L135*(1-L165)</f>
        <v/>
      </c>
      <c r="M291" s="19">
        <f>M$200*M135*(1-M165)</f>
        <v/>
      </c>
      <c r="N291" s="19">
        <f>N$200*N135*(1-N165)</f>
        <v/>
      </c>
      <c r="O291" s="19">
        <f>O$200*O135*(1-O165)</f>
        <v/>
      </c>
      <c r="P291" s="19">
        <f>P$200*P135*(1-P165)</f>
        <v/>
      </c>
      <c r="Q291" s="19">
        <f>Q$200*Q135*(1-Q165)</f>
        <v/>
      </c>
      <c r="R291" s="19">
        <f>R$200*R135*(1-R165)</f>
        <v/>
      </c>
      <c r="S291" s="19">
        <f>S$200*S135*(1-S165)</f>
        <v/>
      </c>
      <c r="T291" s="19">
        <f>T$200*T135*(1-T165)</f>
        <v/>
      </c>
      <c r="U291" s="19">
        <f>U$200*U135*(1-U165)</f>
        <v/>
      </c>
      <c r="V291" s="19">
        <f>V$200*V135*(1-V165)</f>
        <v/>
      </c>
      <c r="W291" s="19">
        <f>W$200*W135*(1-W165)</f>
        <v/>
      </c>
      <c r="X291" s="19">
        <f>X$200*X135*(1-X165)</f>
        <v/>
      </c>
      <c r="Y291" s="19">
        <f>Y$200*Y135*(1-Y165)</f>
        <v/>
      </c>
      <c r="Z291" s="19">
        <f>Z$200*Z135*(1-Z165)</f>
        <v/>
      </c>
      <c r="AA291" s="19">
        <f>AA$200*AA135*(1-AA165)</f>
        <v/>
      </c>
      <c r="AB291" s="19">
        <f>AB$200*AB135*(1-AB165)</f>
        <v/>
      </c>
      <c r="AC291" s="19">
        <f>AC$200*AC135*(1-AC165)</f>
        <v/>
      </c>
      <c r="AD291" s="19">
        <f>AD$200*AD135*(1-AD165)</f>
        <v/>
      </c>
      <c r="AE291" s="20">
        <f>SECTORETS(AE$200,AE135,AE165)</f>
        <v/>
      </c>
      <c r="AG291" s="17">
        <f>CodePrefix&amp;$A291&amp;IF($C291="","","."&amp;$C291&amp;"."&amp;$B291)&amp;INDEX(VarEnd,MATCH($A291,VarKey,0))&amp;AG$5</f>
        <v/>
      </c>
      <c r="AH291" s="18">
        <f>AH$200*AH135*(1-AH165)</f>
        <v/>
      </c>
      <c r="AI291" s="19">
        <f>AI$200*AI135*(1-AI165)</f>
        <v/>
      </c>
      <c r="AJ291" s="19">
        <f>AJ$200*AJ135*(1-AJ165)</f>
        <v/>
      </c>
      <c r="AK291" s="19">
        <f>AK$200*AK135*(1-AK165)</f>
        <v/>
      </c>
      <c r="AL291" s="19">
        <f>AL$200*AL135*(1-AL165)</f>
        <v/>
      </c>
      <c r="AM291" s="19">
        <f>AM$200*AM135*(1-AM165)</f>
        <v/>
      </c>
      <c r="AN291" s="19">
        <f>AN$200*AN135*(1-AN165)</f>
        <v/>
      </c>
      <c r="AO291" s="19">
        <f>AO$200*AO135*(1-AO165)</f>
        <v/>
      </c>
      <c r="AP291" s="19">
        <f>AP$200*AP135*(1-AP165)</f>
        <v/>
      </c>
      <c r="AQ291" s="19">
        <f>AQ$200*AQ135*(1-AQ165)</f>
        <v/>
      </c>
      <c r="AR291" s="19">
        <f>AR$200*AR135*(1-AR165)</f>
        <v/>
      </c>
      <c r="AS291" s="19">
        <f>AS$200*AS135*(1-AS165)</f>
        <v/>
      </c>
      <c r="AT291" s="19">
        <f>AT$200*AT135*(1-AT165)</f>
        <v/>
      </c>
      <c r="AU291" s="19">
        <f>AU$200*AU135*(1-AU165)</f>
        <v/>
      </c>
      <c r="AV291" s="19">
        <f>AV$200*AV135*(1-AV165)</f>
        <v/>
      </c>
      <c r="AW291" s="19">
        <f>AW$200*AW135*(1-AW165)</f>
        <v/>
      </c>
      <c r="AX291" s="19">
        <f>AX$200*AX135*(1-AX165)</f>
        <v/>
      </c>
      <c r="AY291" s="19">
        <f>AY$200*AY135*(1-AY165)</f>
        <v/>
      </c>
      <c r="AZ291" s="19">
        <f>AZ$200*AZ135*(1-AZ165)</f>
        <v/>
      </c>
      <c r="BA291" s="20">
        <f>SECTORETS(BA$200,BA135,BA165)</f>
        <v/>
      </c>
    </row>
    <row r="292" hidden="1" outlineLevel="1">
      <c r="A292" s="1" t="inlineStr">
        <is>
          <t>etr</t>
        </is>
      </c>
      <c r="B292" s="1" t="inlineStr">
        <is>
          <t>all</t>
        </is>
      </c>
      <c r="C292" s="1" t="inlineStr">
        <is>
          <t>cem</t>
        </is>
      </c>
      <c r="H292" s="1">
        <f>INDEX(VarLab,MATCH($A292,VarKey,0))&amp;INDEX(MemLab,MATCH($C292&amp;"|"&amp;$B292,MemKey,0))</f>
        <v/>
      </c>
      <c r="I292" s="1">
        <f>INDEX(VarUnit,MATCH($A292,VarKey,0))</f>
        <v/>
      </c>
      <c r="J292" s="1">
        <f>INDEX(VarSrc,MATCH($A292,VarKey,0))</f>
        <v/>
      </c>
      <c r="K292" s="17">
        <f>CodePrefix&amp;$A292&amp;IF($C292="","","."&amp;$C292&amp;"."&amp;$B292)&amp;INDEX(VarEnd,MATCH($A292,VarKey,0))&amp;K$5</f>
        <v/>
      </c>
      <c r="L292" s="18">
        <f>L$200*L136*(1-L166)</f>
        <v/>
      </c>
      <c r="M292" s="19">
        <f>M$200*M136*(1-M166)</f>
        <v/>
      </c>
      <c r="N292" s="19">
        <f>N$200*N136*(1-N166)</f>
        <v/>
      </c>
      <c r="O292" s="19">
        <f>O$200*O136*(1-O166)</f>
        <v/>
      </c>
      <c r="P292" s="19">
        <f>P$200*P136*(1-P166)</f>
        <v/>
      </c>
      <c r="Q292" s="19">
        <f>Q$200*Q136*(1-Q166)</f>
        <v/>
      </c>
      <c r="R292" s="19">
        <f>R$200*R136*(1-R166)</f>
        <v/>
      </c>
      <c r="S292" s="19">
        <f>S$200*S136*(1-S166)</f>
        <v/>
      </c>
      <c r="T292" s="19">
        <f>T$200*T136*(1-T166)</f>
        <v/>
      </c>
      <c r="U292" s="19">
        <f>U$200*U136*(1-U166)</f>
        <v/>
      </c>
      <c r="V292" s="19">
        <f>V$200*V136*(1-V166)</f>
        <v/>
      </c>
      <c r="W292" s="19">
        <f>W$200*W136*(1-W166)</f>
        <v/>
      </c>
      <c r="X292" s="19">
        <f>X$200*X136*(1-X166)</f>
        <v/>
      </c>
      <c r="Y292" s="19">
        <f>Y$200*Y136*(1-Y166)</f>
        <v/>
      </c>
      <c r="Z292" s="19">
        <f>Z$200*Z136*(1-Z166)</f>
        <v/>
      </c>
      <c r="AA292" s="19">
        <f>AA$200*AA136*(1-AA166)</f>
        <v/>
      </c>
      <c r="AB292" s="19">
        <f>AB$200*AB136*(1-AB166)</f>
        <v/>
      </c>
      <c r="AC292" s="19">
        <f>AC$200*AC136*(1-AC166)</f>
        <v/>
      </c>
      <c r="AD292" s="19">
        <f>AD$200*AD136*(1-AD166)</f>
        <v/>
      </c>
      <c r="AE292" s="20">
        <f>SECTORETS(AE$200,AE136,AE166)</f>
        <v/>
      </c>
      <c r="AG292" s="17">
        <f>CodePrefix&amp;$A292&amp;IF($C292="","","."&amp;$C292&amp;"."&amp;$B292)&amp;INDEX(VarEnd,MATCH($A292,VarKey,0))&amp;AG$5</f>
        <v/>
      </c>
      <c r="AH292" s="18">
        <f>AH$200*AH136*(1-AH166)</f>
        <v/>
      </c>
      <c r="AI292" s="19">
        <f>AI$200*AI136*(1-AI166)</f>
        <v/>
      </c>
      <c r="AJ292" s="19">
        <f>AJ$200*AJ136*(1-AJ166)</f>
        <v/>
      </c>
      <c r="AK292" s="19">
        <f>AK$200*AK136*(1-AK166)</f>
        <v/>
      </c>
      <c r="AL292" s="19">
        <f>AL$200*AL136*(1-AL166)</f>
        <v/>
      </c>
      <c r="AM292" s="19">
        <f>AM$200*AM136*(1-AM166)</f>
        <v/>
      </c>
      <c r="AN292" s="19">
        <f>AN$200*AN136*(1-AN166)</f>
        <v/>
      </c>
      <c r="AO292" s="19">
        <f>AO$200*AO136*(1-AO166)</f>
        <v/>
      </c>
      <c r="AP292" s="19">
        <f>AP$200*AP136*(1-AP166)</f>
        <v/>
      </c>
      <c r="AQ292" s="19">
        <f>AQ$200*AQ136*(1-AQ166)</f>
        <v/>
      </c>
      <c r="AR292" s="19">
        <f>AR$200*AR136*(1-AR166)</f>
        <v/>
      </c>
      <c r="AS292" s="19">
        <f>AS$200*AS136*(1-AS166)</f>
        <v/>
      </c>
      <c r="AT292" s="19">
        <f>AT$200*AT136*(1-AT166)</f>
        <v/>
      </c>
      <c r="AU292" s="19">
        <f>AU$200*AU136*(1-AU166)</f>
        <v/>
      </c>
      <c r="AV292" s="19">
        <f>AV$200*AV136*(1-AV166)</f>
        <v/>
      </c>
      <c r="AW292" s="19">
        <f>AW$200*AW136*(1-AW166)</f>
        <v/>
      </c>
      <c r="AX292" s="19">
        <f>AX$200*AX136*(1-AX166)</f>
        <v/>
      </c>
      <c r="AY292" s="19">
        <f>AY$200*AY136*(1-AY166)</f>
        <v/>
      </c>
      <c r="AZ292" s="19">
        <f>AZ$200*AZ136*(1-AZ166)</f>
        <v/>
      </c>
      <c r="BA292" s="20">
        <f>SECTORETS(BA$200,BA136,BA166)</f>
        <v/>
      </c>
    </row>
    <row r="293" hidden="1" outlineLevel="1">
      <c r="A293" s="1" t="inlineStr">
        <is>
          <t>etr</t>
        </is>
      </c>
      <c r="B293" s="1" t="inlineStr">
        <is>
          <t>all</t>
        </is>
      </c>
      <c r="C293" s="1" t="inlineStr">
        <is>
          <t>omn</t>
        </is>
      </c>
      <c r="H293" s="1">
        <f>INDEX(VarLab,MATCH($A293,VarKey,0))&amp;INDEX(MemLab,MATCH($C293&amp;"|"&amp;$B293,MemKey,0))</f>
        <v/>
      </c>
      <c r="I293" s="1">
        <f>INDEX(VarUnit,MATCH($A293,VarKey,0))</f>
        <v/>
      </c>
      <c r="J293" s="1">
        <f>INDEX(VarSrc,MATCH($A293,VarKey,0))</f>
        <v/>
      </c>
      <c r="K293" s="17">
        <f>CodePrefix&amp;$A293&amp;IF($C293="","","."&amp;$C293&amp;"."&amp;$B293)&amp;INDEX(VarEnd,MATCH($A293,VarKey,0))&amp;K$5</f>
        <v/>
      </c>
      <c r="L293" s="18">
        <f>L$200*L137*(1-L167)</f>
        <v/>
      </c>
      <c r="M293" s="19">
        <f>M$200*M137*(1-M167)</f>
        <v/>
      </c>
      <c r="N293" s="19">
        <f>N$200*N137*(1-N167)</f>
        <v/>
      </c>
      <c r="O293" s="19">
        <f>O$200*O137*(1-O167)</f>
        <v/>
      </c>
      <c r="P293" s="19">
        <f>P$200*P137*(1-P167)</f>
        <v/>
      </c>
      <c r="Q293" s="19">
        <f>Q$200*Q137*(1-Q167)</f>
        <v/>
      </c>
      <c r="R293" s="19">
        <f>R$200*R137*(1-R167)</f>
        <v/>
      </c>
      <c r="S293" s="19">
        <f>S$200*S137*(1-S167)</f>
        <v/>
      </c>
      <c r="T293" s="19">
        <f>T$200*T137*(1-T167)</f>
        <v/>
      </c>
      <c r="U293" s="19">
        <f>U$200*U137*(1-U167)</f>
        <v/>
      </c>
      <c r="V293" s="19">
        <f>V$200*V137*(1-V167)</f>
        <v/>
      </c>
      <c r="W293" s="19">
        <f>W$200*W137*(1-W167)</f>
        <v/>
      </c>
      <c r="X293" s="19">
        <f>X$200*X137*(1-X167)</f>
        <v/>
      </c>
      <c r="Y293" s="19">
        <f>Y$200*Y137*(1-Y167)</f>
        <v/>
      </c>
      <c r="Z293" s="19">
        <f>Z$200*Z137*(1-Z167)</f>
        <v/>
      </c>
      <c r="AA293" s="19">
        <f>AA$200*AA137*(1-AA167)</f>
        <v/>
      </c>
      <c r="AB293" s="19">
        <f>AB$200*AB137*(1-AB167)</f>
        <v/>
      </c>
      <c r="AC293" s="19">
        <f>AC$200*AC137*(1-AC167)</f>
        <v/>
      </c>
      <c r="AD293" s="19">
        <f>AD$200*AD137*(1-AD167)</f>
        <v/>
      </c>
      <c r="AE293" s="20">
        <f>SECTORETS(AE$200,AE137,AE167)</f>
        <v/>
      </c>
      <c r="AG293" s="17">
        <f>CodePrefix&amp;$A293&amp;IF($C293="","","."&amp;$C293&amp;"."&amp;$B293)&amp;INDEX(VarEnd,MATCH($A293,VarKey,0))&amp;AG$5</f>
        <v/>
      </c>
      <c r="AH293" s="18">
        <f>AH$200*AH137*(1-AH167)</f>
        <v/>
      </c>
      <c r="AI293" s="19">
        <f>AI$200*AI137*(1-AI167)</f>
        <v/>
      </c>
      <c r="AJ293" s="19">
        <f>AJ$200*AJ137*(1-AJ167)</f>
        <v/>
      </c>
      <c r="AK293" s="19">
        <f>AK$200*AK137*(1-AK167)</f>
        <v/>
      </c>
      <c r="AL293" s="19">
        <f>AL$200*AL137*(1-AL167)</f>
        <v/>
      </c>
      <c r="AM293" s="19">
        <f>AM$200*AM137*(1-AM167)</f>
        <v/>
      </c>
      <c r="AN293" s="19">
        <f>AN$200*AN137*(1-AN167)</f>
        <v/>
      </c>
      <c r="AO293" s="19">
        <f>AO$200*AO137*(1-AO167)</f>
        <v/>
      </c>
      <c r="AP293" s="19">
        <f>AP$200*AP137*(1-AP167)</f>
        <v/>
      </c>
      <c r="AQ293" s="19">
        <f>AQ$200*AQ137*(1-AQ167)</f>
        <v/>
      </c>
      <c r="AR293" s="19">
        <f>AR$200*AR137*(1-AR167)</f>
        <v/>
      </c>
      <c r="AS293" s="19">
        <f>AS$200*AS137*(1-AS167)</f>
        <v/>
      </c>
      <c r="AT293" s="19">
        <f>AT$200*AT137*(1-AT167)</f>
        <v/>
      </c>
      <c r="AU293" s="19">
        <f>AU$200*AU137*(1-AU167)</f>
        <v/>
      </c>
      <c r="AV293" s="19">
        <f>AV$200*AV137*(1-AV167)</f>
        <v/>
      </c>
      <c r="AW293" s="19">
        <f>AW$200*AW137*(1-AW167)</f>
        <v/>
      </c>
      <c r="AX293" s="19">
        <f>AX$200*AX137*(1-AX167)</f>
        <v/>
      </c>
      <c r="AY293" s="19">
        <f>AY$200*AY137*(1-AY167)</f>
        <v/>
      </c>
      <c r="AZ293" s="19">
        <f>AZ$200*AZ137*(1-AZ167)</f>
        <v/>
      </c>
      <c r="BA293" s="20">
        <f>SECTORETS(BA$200,BA137,BA167)</f>
        <v/>
      </c>
    </row>
    <row r="294" hidden="1" outlineLevel="1">
      <c r="A294" s="1" t="inlineStr">
        <is>
          <t>etr</t>
        </is>
      </c>
      <c r="B294" s="1" t="inlineStr">
        <is>
          <t>all</t>
        </is>
      </c>
      <c r="C294" s="1" t="inlineStr">
        <is>
          <t>cst</t>
        </is>
      </c>
      <c r="H294" s="1">
        <f>INDEX(VarLab,MATCH($A294,VarKey,0))&amp;INDEX(MemLab,MATCH($C294&amp;"|"&amp;$B294,MemKey,0))</f>
        <v/>
      </c>
      <c r="I294" s="1">
        <f>INDEX(VarUnit,MATCH($A294,VarKey,0))</f>
        <v/>
      </c>
      <c r="J294" s="1">
        <f>INDEX(VarSrc,MATCH($A294,VarKey,0))</f>
        <v/>
      </c>
      <c r="K294" s="17">
        <f>CodePrefix&amp;$A294&amp;IF($C294="","","."&amp;$C294&amp;"."&amp;$B294)&amp;INDEX(VarEnd,MATCH($A294,VarKey,0))&amp;K$5</f>
        <v/>
      </c>
      <c r="L294" s="18">
        <f>L$200*L138*(1-L168)</f>
        <v/>
      </c>
      <c r="M294" s="19">
        <f>M$200*M138*(1-M168)</f>
        <v/>
      </c>
      <c r="N294" s="19">
        <f>N$200*N138*(1-N168)</f>
        <v/>
      </c>
      <c r="O294" s="19">
        <f>O$200*O138*(1-O168)</f>
        <v/>
      </c>
      <c r="P294" s="19">
        <f>P$200*P138*(1-P168)</f>
        <v/>
      </c>
      <c r="Q294" s="19">
        <f>Q$200*Q138*(1-Q168)</f>
        <v/>
      </c>
      <c r="R294" s="19">
        <f>R$200*R138*(1-R168)</f>
        <v/>
      </c>
      <c r="S294" s="19">
        <f>S$200*S138*(1-S168)</f>
        <v/>
      </c>
      <c r="T294" s="19">
        <f>T$200*T138*(1-T168)</f>
        <v/>
      </c>
      <c r="U294" s="19">
        <f>U$200*U138*(1-U168)</f>
        <v/>
      </c>
      <c r="V294" s="19">
        <f>V$200*V138*(1-V168)</f>
        <v/>
      </c>
      <c r="W294" s="19">
        <f>W$200*W138*(1-W168)</f>
        <v/>
      </c>
      <c r="X294" s="19">
        <f>X$200*X138*(1-X168)</f>
        <v/>
      </c>
      <c r="Y294" s="19">
        <f>Y$200*Y138*(1-Y168)</f>
        <v/>
      </c>
      <c r="Z294" s="19">
        <f>Z$200*Z138*(1-Z168)</f>
        <v/>
      </c>
      <c r="AA294" s="19">
        <f>AA$200*AA138*(1-AA168)</f>
        <v/>
      </c>
      <c r="AB294" s="19">
        <f>AB$200*AB138*(1-AB168)</f>
        <v/>
      </c>
      <c r="AC294" s="19">
        <f>AC$200*AC138*(1-AC168)</f>
        <v/>
      </c>
      <c r="AD294" s="19">
        <f>AD$200*AD138*(1-AD168)</f>
        <v/>
      </c>
      <c r="AE294" s="20">
        <f>SECTORETS(AE$200,AE138,AE168)</f>
        <v/>
      </c>
      <c r="AG294" s="17">
        <f>CodePrefix&amp;$A294&amp;IF($C294="","","."&amp;$C294&amp;"."&amp;$B294)&amp;INDEX(VarEnd,MATCH($A294,VarKey,0))&amp;AG$5</f>
        <v/>
      </c>
      <c r="AH294" s="18">
        <f>AH$200*AH138*(1-AH168)</f>
        <v/>
      </c>
      <c r="AI294" s="19">
        <f>AI$200*AI138*(1-AI168)</f>
        <v/>
      </c>
      <c r="AJ294" s="19">
        <f>AJ$200*AJ138*(1-AJ168)</f>
        <v/>
      </c>
      <c r="AK294" s="19">
        <f>AK$200*AK138*(1-AK168)</f>
        <v/>
      </c>
      <c r="AL294" s="19">
        <f>AL$200*AL138*(1-AL168)</f>
        <v/>
      </c>
      <c r="AM294" s="19">
        <f>AM$200*AM138*(1-AM168)</f>
        <v/>
      </c>
      <c r="AN294" s="19">
        <f>AN$200*AN138*(1-AN168)</f>
        <v/>
      </c>
      <c r="AO294" s="19">
        <f>AO$200*AO138*(1-AO168)</f>
        <v/>
      </c>
      <c r="AP294" s="19">
        <f>AP$200*AP138*(1-AP168)</f>
        <v/>
      </c>
      <c r="AQ294" s="19">
        <f>AQ$200*AQ138*(1-AQ168)</f>
        <v/>
      </c>
      <c r="AR294" s="19">
        <f>AR$200*AR138*(1-AR168)</f>
        <v/>
      </c>
      <c r="AS294" s="19">
        <f>AS$200*AS138*(1-AS168)</f>
        <v/>
      </c>
      <c r="AT294" s="19">
        <f>AT$200*AT138*(1-AT168)</f>
        <v/>
      </c>
      <c r="AU294" s="19">
        <f>AU$200*AU138*(1-AU168)</f>
        <v/>
      </c>
      <c r="AV294" s="19">
        <f>AV$200*AV138*(1-AV168)</f>
        <v/>
      </c>
      <c r="AW294" s="19">
        <f>AW$200*AW138*(1-AW168)</f>
        <v/>
      </c>
      <c r="AX294" s="19">
        <f>AX$200*AX138*(1-AX168)</f>
        <v/>
      </c>
      <c r="AY294" s="19">
        <f>AY$200*AY138*(1-AY168)</f>
        <v/>
      </c>
      <c r="AZ294" s="19">
        <f>AZ$200*AZ138*(1-AZ168)</f>
        <v/>
      </c>
      <c r="BA294" s="20">
        <f>SECTORETS(BA$200,BA138,BA168)</f>
        <v/>
      </c>
    </row>
    <row r="295" hidden="1" outlineLevel="1">
      <c r="A295" s="1" t="inlineStr">
        <is>
          <t>etr</t>
        </is>
      </c>
      <c r="B295" s="1" t="inlineStr">
        <is>
          <t>all</t>
        </is>
      </c>
      <c r="C295" s="1" t="inlineStr">
        <is>
          <t>ftr</t>
        </is>
      </c>
      <c r="H295" s="1">
        <f>INDEX(VarLab,MATCH($A295,VarKey,0))&amp;INDEX(MemLab,MATCH($C295&amp;"|"&amp;$B295,MemKey,0))</f>
        <v/>
      </c>
      <c r="I295" s="1">
        <f>INDEX(VarUnit,MATCH($A295,VarKey,0))</f>
        <v/>
      </c>
      <c r="J295" s="1">
        <f>INDEX(VarSrc,MATCH($A295,VarKey,0))</f>
        <v/>
      </c>
      <c r="K295" s="17">
        <f>CodePrefix&amp;$A295&amp;IF($C295="","","."&amp;$C295&amp;"."&amp;$B295)&amp;INDEX(VarEnd,MATCH($A295,VarKey,0))&amp;K$5</f>
        <v/>
      </c>
      <c r="L295" s="18">
        <f>L$200*L139*(1-L169)</f>
        <v/>
      </c>
      <c r="M295" s="19">
        <f>M$200*M139*(1-M169)</f>
        <v/>
      </c>
      <c r="N295" s="19">
        <f>N$200*N139*(1-N169)</f>
        <v/>
      </c>
      <c r="O295" s="19">
        <f>O$200*O139*(1-O169)</f>
        <v/>
      </c>
      <c r="P295" s="19">
        <f>P$200*P139*(1-P169)</f>
        <v/>
      </c>
      <c r="Q295" s="19">
        <f>Q$200*Q139*(1-Q169)</f>
        <v/>
      </c>
      <c r="R295" s="19">
        <f>R$200*R139*(1-R169)</f>
        <v/>
      </c>
      <c r="S295" s="19">
        <f>S$200*S139*(1-S169)</f>
        <v/>
      </c>
      <c r="T295" s="19">
        <f>T$200*T139*(1-T169)</f>
        <v/>
      </c>
      <c r="U295" s="19">
        <f>U$200*U139*(1-U169)</f>
        <v/>
      </c>
      <c r="V295" s="19">
        <f>V$200*V139*(1-V169)</f>
        <v/>
      </c>
      <c r="W295" s="19">
        <f>W$200*W139*(1-W169)</f>
        <v/>
      </c>
      <c r="X295" s="19">
        <f>X$200*X139*(1-X169)</f>
        <v/>
      </c>
      <c r="Y295" s="19">
        <f>Y$200*Y139*(1-Y169)</f>
        <v/>
      </c>
      <c r="Z295" s="19">
        <f>Z$200*Z139*(1-Z169)</f>
        <v/>
      </c>
      <c r="AA295" s="19">
        <f>AA$200*AA139*(1-AA169)</f>
        <v/>
      </c>
      <c r="AB295" s="19">
        <f>AB$200*AB139*(1-AB169)</f>
        <v/>
      </c>
      <c r="AC295" s="19">
        <f>AC$200*AC139*(1-AC169)</f>
        <v/>
      </c>
      <c r="AD295" s="19">
        <f>AD$200*AD139*(1-AD169)</f>
        <v/>
      </c>
      <c r="AE295" s="20">
        <f>SECTORETS(AE$200,AE139,AE169)</f>
        <v/>
      </c>
      <c r="AG295" s="17">
        <f>CodePrefix&amp;$A295&amp;IF($C295="","","."&amp;$C295&amp;"."&amp;$B295)&amp;INDEX(VarEnd,MATCH($A295,VarKey,0))&amp;AG$5</f>
        <v/>
      </c>
      <c r="AH295" s="18">
        <f>AH$200*AH139*(1-AH169)</f>
        <v/>
      </c>
      <c r="AI295" s="19">
        <f>AI$200*AI139*(1-AI169)</f>
        <v/>
      </c>
      <c r="AJ295" s="19">
        <f>AJ$200*AJ139*(1-AJ169)</f>
        <v/>
      </c>
      <c r="AK295" s="19">
        <f>AK$200*AK139*(1-AK169)</f>
        <v/>
      </c>
      <c r="AL295" s="19">
        <f>AL$200*AL139*(1-AL169)</f>
        <v/>
      </c>
      <c r="AM295" s="19">
        <f>AM$200*AM139*(1-AM169)</f>
        <v/>
      </c>
      <c r="AN295" s="19">
        <f>AN$200*AN139*(1-AN169)</f>
        <v/>
      </c>
      <c r="AO295" s="19">
        <f>AO$200*AO139*(1-AO169)</f>
        <v/>
      </c>
      <c r="AP295" s="19">
        <f>AP$200*AP139*(1-AP169)</f>
        <v/>
      </c>
      <c r="AQ295" s="19">
        <f>AQ$200*AQ139*(1-AQ169)</f>
        <v/>
      </c>
      <c r="AR295" s="19">
        <f>AR$200*AR139*(1-AR169)</f>
        <v/>
      </c>
      <c r="AS295" s="19">
        <f>AS$200*AS139*(1-AS169)</f>
        <v/>
      </c>
      <c r="AT295" s="19">
        <f>AT$200*AT139*(1-AT169)</f>
        <v/>
      </c>
      <c r="AU295" s="19">
        <f>AU$200*AU139*(1-AU169)</f>
        <v/>
      </c>
      <c r="AV295" s="19">
        <f>AV$200*AV139*(1-AV169)</f>
        <v/>
      </c>
      <c r="AW295" s="19">
        <f>AW$200*AW139*(1-AW169)</f>
        <v/>
      </c>
      <c r="AX295" s="19">
        <f>AX$200*AX139*(1-AX169)</f>
        <v/>
      </c>
      <c r="AY295" s="19">
        <f>AY$200*AY139*(1-AY169)</f>
        <v/>
      </c>
      <c r="AZ295" s="19">
        <f>AZ$200*AZ139*(1-AZ169)</f>
        <v/>
      </c>
      <c r="BA295" s="20">
        <f>SECTORETS(BA$200,BA139,BA169)</f>
        <v/>
      </c>
    </row>
    <row r="296" hidden="1" outlineLevel="1">
      <c r="A296" s="1" t="inlineStr">
        <is>
          <t>etr</t>
        </is>
      </c>
      <c r="B296" s="1" t="inlineStr">
        <is>
          <t>all</t>
        </is>
      </c>
      <c r="C296" s="1" t="inlineStr">
        <is>
          <t>oen</t>
        </is>
      </c>
      <c r="H296" s="1">
        <f>INDEX(VarLab,MATCH($A296,VarKey,0))&amp;INDEX(MemLab,MATCH($C296&amp;"|"&amp;$B296,MemKey,0))</f>
        <v/>
      </c>
      <c r="I296" s="1">
        <f>INDEX(VarUnit,MATCH($A296,VarKey,0))</f>
        <v/>
      </c>
      <c r="J296" s="1">
        <f>INDEX(VarSrc,MATCH($A296,VarKey,0))</f>
        <v/>
      </c>
      <c r="K296" s="17">
        <f>CodePrefix&amp;$A296&amp;IF($C296="","","."&amp;$C296&amp;"."&amp;$B296)&amp;INDEX(VarEnd,MATCH($A296,VarKey,0))&amp;K$5</f>
        <v/>
      </c>
      <c r="L296" s="18">
        <f>L$200*L140*(1-L170)</f>
        <v/>
      </c>
      <c r="M296" s="19">
        <f>M$200*M140*(1-M170)</f>
        <v/>
      </c>
      <c r="N296" s="19">
        <f>N$200*N140*(1-N170)</f>
        <v/>
      </c>
      <c r="O296" s="19">
        <f>O$200*O140*(1-O170)</f>
        <v/>
      </c>
      <c r="P296" s="19">
        <f>P$200*P140*(1-P170)</f>
        <v/>
      </c>
      <c r="Q296" s="19">
        <f>Q$200*Q140*(1-Q170)</f>
        <v/>
      </c>
      <c r="R296" s="19">
        <f>R$200*R140*(1-R170)</f>
        <v/>
      </c>
      <c r="S296" s="19">
        <f>S$200*S140*(1-S170)</f>
        <v/>
      </c>
      <c r="T296" s="19">
        <f>T$200*T140*(1-T170)</f>
        <v/>
      </c>
      <c r="U296" s="19">
        <f>U$200*U140*(1-U170)</f>
        <v/>
      </c>
      <c r="V296" s="19">
        <f>V$200*V140*(1-V170)</f>
        <v/>
      </c>
      <c r="W296" s="19">
        <f>W$200*W140*(1-W170)</f>
        <v/>
      </c>
      <c r="X296" s="19">
        <f>X$200*X140*(1-X170)</f>
        <v/>
      </c>
      <c r="Y296" s="19">
        <f>Y$200*Y140*(1-Y170)</f>
        <v/>
      </c>
      <c r="Z296" s="19">
        <f>Z$200*Z140*(1-Z170)</f>
        <v/>
      </c>
      <c r="AA296" s="19">
        <f>AA$200*AA140*(1-AA170)</f>
        <v/>
      </c>
      <c r="AB296" s="19">
        <f>AB$200*AB140*(1-AB170)</f>
        <v/>
      </c>
      <c r="AC296" s="19">
        <f>AC$200*AC140*(1-AC170)</f>
        <v/>
      </c>
      <c r="AD296" s="19">
        <f>AD$200*AD140*(1-AD170)</f>
        <v/>
      </c>
      <c r="AE296" s="20">
        <f>SECTORETS(AE$200,AE140,AE170)</f>
        <v/>
      </c>
      <c r="AG296" s="17">
        <f>CodePrefix&amp;$A296&amp;IF($C296="","","."&amp;$C296&amp;"."&amp;$B296)&amp;INDEX(VarEnd,MATCH($A296,VarKey,0))&amp;AG$5</f>
        <v/>
      </c>
      <c r="AH296" s="18">
        <f>AH$200*AH140*(1-AH170)</f>
        <v/>
      </c>
      <c r="AI296" s="19">
        <f>AI$200*AI140*(1-AI170)</f>
        <v/>
      </c>
      <c r="AJ296" s="19">
        <f>AJ$200*AJ140*(1-AJ170)</f>
        <v/>
      </c>
      <c r="AK296" s="19">
        <f>AK$200*AK140*(1-AK170)</f>
        <v/>
      </c>
      <c r="AL296" s="19">
        <f>AL$200*AL140*(1-AL170)</f>
        <v/>
      </c>
      <c r="AM296" s="19">
        <f>AM$200*AM140*(1-AM170)</f>
        <v/>
      </c>
      <c r="AN296" s="19">
        <f>AN$200*AN140*(1-AN170)</f>
        <v/>
      </c>
      <c r="AO296" s="19">
        <f>AO$200*AO140*(1-AO170)</f>
        <v/>
      </c>
      <c r="AP296" s="19">
        <f>AP$200*AP140*(1-AP170)</f>
        <v/>
      </c>
      <c r="AQ296" s="19">
        <f>AQ$200*AQ140*(1-AQ170)</f>
        <v/>
      </c>
      <c r="AR296" s="19">
        <f>AR$200*AR140*(1-AR170)</f>
        <v/>
      </c>
      <c r="AS296" s="19">
        <f>AS$200*AS140*(1-AS170)</f>
        <v/>
      </c>
      <c r="AT296" s="19">
        <f>AT$200*AT140*(1-AT170)</f>
        <v/>
      </c>
      <c r="AU296" s="19">
        <f>AU$200*AU140*(1-AU170)</f>
        <v/>
      </c>
      <c r="AV296" s="19">
        <f>AV$200*AV140*(1-AV170)</f>
        <v/>
      </c>
      <c r="AW296" s="19">
        <f>AW$200*AW140*(1-AW170)</f>
        <v/>
      </c>
      <c r="AX296" s="19">
        <f>AX$200*AX140*(1-AX170)</f>
        <v/>
      </c>
      <c r="AY296" s="19">
        <f>AY$200*AY140*(1-AY170)</f>
        <v/>
      </c>
      <c r="AZ296" s="19">
        <f>AZ$200*AZ140*(1-AZ170)</f>
        <v/>
      </c>
      <c r="BA296" s="20">
        <f>SECTORETS(BA$200,BA140,BA170)</f>
        <v/>
      </c>
    </row>
    <row r="297" hidden="1" outlineLevel="1">
      <c r="A297" s="1" t="inlineStr">
        <is>
          <t>shpx</t>
        </is>
      </c>
      <c r="B297" s="1" t="inlineStr">
        <is>
          <t>all</t>
        </is>
      </c>
      <c r="C297" s="1" t="inlineStr">
        <is>
          <t>pow</t>
        </is>
      </c>
      <c r="D297" s="26" t="n">
        <v>1</v>
      </c>
      <c r="H297" s="1">
        <f>INDEX(VarLab,MATCH($A297,VarKey,0))&amp;INDEX(MemLab,MATCH($C297&amp;"|"&amp;$B297,MemKey,0))</f>
        <v/>
      </c>
      <c r="I297" s="1">
        <f>INDEX(VarUnit,MATCH($A297,VarKey,0))</f>
        <v/>
      </c>
      <c r="J297" s="1">
        <f>INDEX(VarSrc,MATCH($A297,VarKey,0))</f>
        <v/>
      </c>
      <c r="K297" s="17">
        <f>CodePrefix&amp;$A297&amp;IF($C297="","","."&amp;$C297&amp;"."&amp;$B297)&amp;INDEX(VarEnd,MATCH($A297,VarKey,0))&amp;K$5</f>
        <v/>
      </c>
      <c r="L297" s="18">
        <f>INDEX(L$241:L$244,$D297)*L245+L$200*L124*L154</f>
        <v/>
      </c>
      <c r="M297" s="19">
        <f>INDEX(M$241:M$244,$D297)*M245+M$200*M124*M154</f>
        <v/>
      </c>
      <c r="N297" s="19">
        <f>INDEX(N$241:N$244,$D297)*N245+N$200*N124*N154</f>
        <v/>
      </c>
      <c r="O297" s="19">
        <f>INDEX(O$241:O$244,$D297)*O245+O$200*O124*O154</f>
        <v/>
      </c>
      <c r="P297" s="19">
        <f>INDEX(P$241:P$244,$D297)*P245+P$200*P124*P154</f>
        <v/>
      </c>
      <c r="Q297" s="19">
        <f>INDEX(Q$241:Q$244,$D297)*Q245+Q$200*Q124*Q154</f>
        <v/>
      </c>
      <c r="R297" s="19">
        <f>INDEX(R$241:R$244,$D297)*R245+R$200*R124*R154</f>
        <v/>
      </c>
      <c r="S297" s="19">
        <f>INDEX(S$241:S$244,$D297)*S245+S$200*S124*S154</f>
        <v/>
      </c>
      <c r="T297" s="19">
        <f>INDEX(T$241:T$244,$D297)*T245+T$200*T124*T154</f>
        <v/>
      </c>
      <c r="U297" s="19">
        <f>INDEX(U$241:U$244,$D297)*U245+U$200*U124*U154</f>
        <v/>
      </c>
      <c r="V297" s="19">
        <f>INDEX(V$241:V$244,$D297)*V245+V$200*V124*V154</f>
        <v/>
      </c>
      <c r="W297" s="19">
        <f>INDEX(W$241:W$244,$D297)*W245+W$200*W124*W154</f>
        <v/>
      </c>
      <c r="X297" s="19">
        <f>INDEX(X$241:X$244,$D297)*X245+X$200*X124*X154</f>
        <v/>
      </c>
      <c r="Y297" s="19">
        <f>INDEX(Y$241:Y$244,$D297)*Y245+Y$200*Y124*Y154</f>
        <v/>
      </c>
      <c r="Z297" s="19">
        <f>INDEX(Z$241:Z$244,$D297)*Z245+Z$200*Z124*Z154</f>
        <v/>
      </c>
      <c r="AA297" s="19">
        <f>INDEX(AA$241:AA$244,$D297)*AA245+AA$200*AA124*AA154</f>
        <v/>
      </c>
      <c r="AB297" s="19">
        <f>INDEX(AB$241:AB$244,$D297)*AB245+AB$200*AB124*AB154</f>
        <v/>
      </c>
      <c r="AC297" s="19">
        <f>INDEX(AC$241:AC$244,$D297)*AC245+AC$200*AC124*AC154</f>
        <v/>
      </c>
      <c r="AD297" s="19">
        <f>INDEX(AD$241:AD$244,$D297)*AD245+AD$200*AD124*AD154</f>
        <v/>
      </c>
      <c r="AE297" s="20">
        <f>SHADOWTOTAL(INDEX(AE$241:AE$244,$D297),AE245,AE$200,AE124,AE154)</f>
        <v/>
      </c>
      <c r="AG297" s="17">
        <f>CodePrefix&amp;$A297&amp;IF($C297="","","."&amp;$C297&amp;"."&amp;$B297)&amp;INDEX(VarEnd,MATCH($A297,VarKey,0))&amp;AG$5</f>
        <v/>
      </c>
      <c r="AH297" s="18">
        <f>INDEX(AH$241:AH$244,$D297)*AH245+AH$200*AH124*AH154</f>
        <v/>
      </c>
      <c r="AI297" s="19">
        <f>INDEX(AI$241:AI$244,$D297)*AI245+AI$200*AI124*AI154</f>
        <v/>
      </c>
      <c r="AJ297" s="19">
        <f>INDEX(AJ$241:AJ$244,$D297)*AJ245+AJ$200*AJ124*AJ154</f>
        <v/>
      </c>
      <c r="AK297" s="19">
        <f>INDEX(AK$241:AK$244,$D297)*AK245+AK$200*AK124*AK154</f>
        <v/>
      </c>
      <c r="AL297" s="19">
        <f>INDEX(AL$241:AL$244,$D297)*AL245+AL$200*AL124*AL154</f>
        <v/>
      </c>
      <c r="AM297" s="19">
        <f>INDEX(AM$241:AM$244,$D297)*AM245+AM$200*AM124*AM154</f>
        <v/>
      </c>
      <c r="AN297" s="19">
        <f>INDEX(AN$241:AN$244,$D297)*AN245+AN$200*AN124*AN154</f>
        <v/>
      </c>
      <c r="AO297" s="19">
        <f>INDEX(AO$241:AO$244,$D297)*AO245+AO$200*AO124*AO154</f>
        <v/>
      </c>
      <c r="AP297" s="19">
        <f>INDEX(AP$241:AP$244,$D297)*AP245+AP$200*AP124*AP154</f>
        <v/>
      </c>
      <c r="AQ297" s="19">
        <f>INDEX(AQ$241:AQ$244,$D297)*AQ245+AQ$200*AQ124*AQ154</f>
        <v/>
      </c>
      <c r="AR297" s="19">
        <f>INDEX(AR$241:AR$244,$D297)*AR245+AR$200*AR124*AR154</f>
        <v/>
      </c>
      <c r="AS297" s="19">
        <f>INDEX(AS$241:AS$244,$D297)*AS245+AS$200*AS124*AS154</f>
        <v/>
      </c>
      <c r="AT297" s="19">
        <f>INDEX(AT$241:AT$244,$D297)*AT245+AT$200*AT124*AT154</f>
        <v/>
      </c>
      <c r="AU297" s="19">
        <f>INDEX(AU$241:AU$244,$D297)*AU245+AU$200*AU124*AU154</f>
        <v/>
      </c>
      <c r="AV297" s="19">
        <f>INDEX(AV$241:AV$244,$D297)*AV245+AV$200*AV124*AV154</f>
        <v/>
      </c>
      <c r="AW297" s="19">
        <f>INDEX(AW$241:AW$244,$D297)*AW245+AW$200*AW124*AW154</f>
        <v/>
      </c>
      <c r="AX297" s="19">
        <f>INDEX(AX$241:AX$244,$D297)*AX245+AX$200*AX124*AX154</f>
        <v/>
      </c>
      <c r="AY297" s="19">
        <f>INDEX(AY$241:AY$244,$D297)*AY245+AY$200*AY124*AY154</f>
        <v/>
      </c>
      <c r="AZ297" s="19">
        <f>INDEX(AZ$241:AZ$244,$D297)*AZ245+AZ$200*AZ124*AZ154</f>
        <v/>
      </c>
      <c r="BA297" s="20">
        <f>SHADOWTOTAL(INDEX(BA$241:BA$244,$D297),BA245,BA$200,BA124,BA154)</f>
        <v/>
      </c>
    </row>
    <row r="298" hidden="1" outlineLevel="1">
      <c r="A298" s="1" t="inlineStr">
        <is>
          <t>shpx</t>
        </is>
      </c>
      <c r="B298" s="1" t="inlineStr">
        <is>
          <t>all</t>
        </is>
      </c>
      <c r="C298" s="1" t="inlineStr">
        <is>
          <t>rod</t>
        </is>
      </c>
      <c r="D298" s="26" t="n">
        <v>2</v>
      </c>
      <c r="H298" s="1">
        <f>INDEX(VarLab,MATCH($A298,VarKey,0))&amp;INDEX(MemLab,MATCH($C298&amp;"|"&amp;$B298,MemKey,0))</f>
        <v/>
      </c>
      <c r="I298" s="1">
        <f>INDEX(VarUnit,MATCH($A298,VarKey,0))</f>
        <v/>
      </c>
      <c r="J298" s="1">
        <f>INDEX(VarSrc,MATCH($A298,VarKey,0))</f>
        <v/>
      </c>
      <c r="K298" s="17">
        <f>CodePrefix&amp;$A298&amp;IF($C298="","","."&amp;$C298&amp;"."&amp;$B298)&amp;INDEX(VarEnd,MATCH($A298,VarKey,0))&amp;K$5</f>
        <v/>
      </c>
      <c r="L298" s="18">
        <f>INDEX(L$241:L$244,$D298)*L246+L$200*L125*L155</f>
        <v/>
      </c>
      <c r="M298" s="19">
        <f>INDEX(M$241:M$244,$D298)*M246+M$200*M125*M155</f>
        <v/>
      </c>
      <c r="N298" s="19">
        <f>INDEX(N$241:N$244,$D298)*N246+N$200*N125*N155</f>
        <v/>
      </c>
      <c r="O298" s="19">
        <f>INDEX(O$241:O$244,$D298)*O246+O$200*O125*O155</f>
        <v/>
      </c>
      <c r="P298" s="19">
        <f>INDEX(P$241:P$244,$D298)*P246+P$200*P125*P155</f>
        <v/>
      </c>
      <c r="Q298" s="19">
        <f>INDEX(Q$241:Q$244,$D298)*Q246+Q$200*Q125*Q155</f>
        <v/>
      </c>
      <c r="R298" s="19">
        <f>INDEX(R$241:R$244,$D298)*R246+R$200*R125*R155</f>
        <v/>
      </c>
      <c r="S298" s="19">
        <f>INDEX(S$241:S$244,$D298)*S246+S$200*S125*S155</f>
        <v/>
      </c>
      <c r="T298" s="19">
        <f>INDEX(T$241:T$244,$D298)*T246+T$200*T125*T155</f>
        <v/>
      </c>
      <c r="U298" s="19">
        <f>INDEX(U$241:U$244,$D298)*U246+U$200*U125*U155</f>
        <v/>
      </c>
      <c r="V298" s="19">
        <f>INDEX(V$241:V$244,$D298)*V246+V$200*V125*V155</f>
        <v/>
      </c>
      <c r="W298" s="19">
        <f>INDEX(W$241:W$244,$D298)*W246+W$200*W125*W155</f>
        <v/>
      </c>
      <c r="X298" s="19">
        <f>INDEX(X$241:X$244,$D298)*X246+X$200*X125*X155</f>
        <v/>
      </c>
      <c r="Y298" s="19">
        <f>INDEX(Y$241:Y$244,$D298)*Y246+Y$200*Y125*Y155</f>
        <v/>
      </c>
      <c r="Z298" s="19">
        <f>INDEX(Z$241:Z$244,$D298)*Z246+Z$200*Z125*Z155</f>
        <v/>
      </c>
      <c r="AA298" s="19">
        <f>INDEX(AA$241:AA$244,$D298)*AA246+AA$200*AA125*AA155</f>
        <v/>
      </c>
      <c r="AB298" s="19">
        <f>INDEX(AB$241:AB$244,$D298)*AB246+AB$200*AB125*AB155</f>
        <v/>
      </c>
      <c r="AC298" s="19">
        <f>INDEX(AC$241:AC$244,$D298)*AC246+AC$200*AC125*AC155</f>
        <v/>
      </c>
      <c r="AD298" s="19">
        <f>INDEX(AD$241:AD$244,$D298)*AD246+AD$200*AD125*AD155</f>
        <v/>
      </c>
      <c r="AE298" s="20">
        <f>SHADOWTOTAL(INDEX(AE$241:AE$244,$D298),AE246,AE$200,AE125,AE155)</f>
        <v/>
      </c>
      <c r="AG298" s="17">
        <f>CodePrefix&amp;$A298&amp;IF($C298="","","."&amp;$C298&amp;"."&amp;$B298)&amp;INDEX(VarEnd,MATCH($A298,VarKey,0))&amp;AG$5</f>
        <v/>
      </c>
      <c r="AH298" s="18">
        <f>INDEX(AH$241:AH$244,$D298)*AH246+AH$200*AH125*AH155</f>
        <v/>
      </c>
      <c r="AI298" s="19">
        <f>INDEX(AI$241:AI$244,$D298)*AI246+AI$200*AI125*AI155</f>
        <v/>
      </c>
      <c r="AJ298" s="19">
        <f>INDEX(AJ$241:AJ$244,$D298)*AJ246+AJ$200*AJ125*AJ155</f>
        <v/>
      </c>
      <c r="AK298" s="19">
        <f>INDEX(AK$241:AK$244,$D298)*AK246+AK$200*AK125*AK155</f>
        <v/>
      </c>
      <c r="AL298" s="19">
        <f>INDEX(AL$241:AL$244,$D298)*AL246+AL$200*AL125*AL155</f>
        <v/>
      </c>
      <c r="AM298" s="19">
        <f>INDEX(AM$241:AM$244,$D298)*AM246+AM$200*AM125*AM155</f>
        <v/>
      </c>
      <c r="AN298" s="19">
        <f>INDEX(AN$241:AN$244,$D298)*AN246+AN$200*AN125*AN155</f>
        <v/>
      </c>
      <c r="AO298" s="19">
        <f>INDEX(AO$241:AO$244,$D298)*AO246+AO$200*AO125*AO155</f>
        <v/>
      </c>
      <c r="AP298" s="19">
        <f>INDEX(AP$241:AP$244,$D298)*AP246+AP$200*AP125*AP155</f>
        <v/>
      </c>
      <c r="AQ298" s="19">
        <f>INDEX(AQ$241:AQ$244,$D298)*AQ246+AQ$200*AQ125*AQ155</f>
        <v/>
      </c>
      <c r="AR298" s="19">
        <f>INDEX(AR$241:AR$244,$D298)*AR246+AR$200*AR125*AR155</f>
        <v/>
      </c>
      <c r="AS298" s="19">
        <f>INDEX(AS$241:AS$244,$D298)*AS246+AS$200*AS125*AS155</f>
        <v/>
      </c>
      <c r="AT298" s="19">
        <f>INDEX(AT$241:AT$244,$D298)*AT246+AT$200*AT125*AT155</f>
        <v/>
      </c>
      <c r="AU298" s="19">
        <f>INDEX(AU$241:AU$244,$D298)*AU246+AU$200*AU125*AU155</f>
        <v/>
      </c>
      <c r="AV298" s="19">
        <f>INDEX(AV$241:AV$244,$D298)*AV246+AV$200*AV125*AV155</f>
        <v/>
      </c>
      <c r="AW298" s="19">
        <f>INDEX(AW$241:AW$244,$D298)*AW246+AW$200*AW125*AW155</f>
        <v/>
      </c>
      <c r="AX298" s="19">
        <f>INDEX(AX$241:AX$244,$D298)*AX246+AX$200*AX125*AX155</f>
        <v/>
      </c>
      <c r="AY298" s="19">
        <f>INDEX(AY$241:AY$244,$D298)*AY246+AY$200*AY125*AY155</f>
        <v/>
      </c>
      <c r="AZ298" s="19">
        <f>INDEX(AZ$241:AZ$244,$D298)*AZ246+AZ$200*AZ125*AZ155</f>
        <v/>
      </c>
      <c r="BA298" s="20">
        <f>SHADOWTOTAL(INDEX(BA$241:BA$244,$D298),BA246,BA$200,BA125,BA155)</f>
        <v/>
      </c>
    </row>
    <row r="299" hidden="1" outlineLevel="1">
      <c r="A299" s="1" t="inlineStr">
        <is>
          <t>shpx</t>
        </is>
      </c>
      <c r="B299" s="1" t="inlineStr">
        <is>
          <t>all</t>
        </is>
      </c>
      <c r="C299" s="1" t="inlineStr">
        <is>
          <t>ral</t>
        </is>
      </c>
      <c r="D299" s="26" t="n">
        <v>2</v>
      </c>
      <c r="H299" s="1">
        <f>INDEX(VarLab,MATCH($A299,VarKey,0))&amp;INDEX(MemLab,MATCH($C299&amp;"|"&amp;$B299,MemKey,0))</f>
        <v/>
      </c>
      <c r="I299" s="1">
        <f>INDEX(VarUnit,MATCH($A299,VarKey,0))</f>
        <v/>
      </c>
      <c r="J299" s="1">
        <f>INDEX(VarSrc,MATCH($A299,VarKey,0))</f>
        <v/>
      </c>
      <c r="K299" s="17">
        <f>CodePrefix&amp;$A299&amp;IF($C299="","","."&amp;$C299&amp;"."&amp;$B299)&amp;INDEX(VarEnd,MATCH($A299,VarKey,0))&amp;K$5</f>
        <v/>
      </c>
      <c r="L299" s="18">
        <f>INDEX(L$241:L$244,$D299)*L247+L$200*L126*L156</f>
        <v/>
      </c>
      <c r="M299" s="19">
        <f>INDEX(M$241:M$244,$D299)*M247+M$200*M126*M156</f>
        <v/>
      </c>
      <c r="N299" s="19">
        <f>INDEX(N$241:N$244,$D299)*N247+N$200*N126*N156</f>
        <v/>
      </c>
      <c r="O299" s="19">
        <f>INDEX(O$241:O$244,$D299)*O247+O$200*O126*O156</f>
        <v/>
      </c>
      <c r="P299" s="19">
        <f>INDEX(P$241:P$244,$D299)*P247+P$200*P126*P156</f>
        <v/>
      </c>
      <c r="Q299" s="19">
        <f>INDEX(Q$241:Q$244,$D299)*Q247+Q$200*Q126*Q156</f>
        <v/>
      </c>
      <c r="R299" s="19">
        <f>INDEX(R$241:R$244,$D299)*R247+R$200*R126*R156</f>
        <v/>
      </c>
      <c r="S299" s="19">
        <f>INDEX(S$241:S$244,$D299)*S247+S$200*S126*S156</f>
        <v/>
      </c>
      <c r="T299" s="19">
        <f>INDEX(T$241:T$244,$D299)*T247+T$200*T126*T156</f>
        <v/>
      </c>
      <c r="U299" s="19">
        <f>INDEX(U$241:U$244,$D299)*U247+U$200*U126*U156</f>
        <v/>
      </c>
      <c r="V299" s="19">
        <f>INDEX(V$241:V$244,$D299)*V247+V$200*V126*V156</f>
        <v/>
      </c>
      <c r="W299" s="19">
        <f>INDEX(W$241:W$244,$D299)*W247+W$200*W126*W156</f>
        <v/>
      </c>
      <c r="X299" s="19">
        <f>INDEX(X$241:X$244,$D299)*X247+X$200*X126*X156</f>
        <v/>
      </c>
      <c r="Y299" s="19">
        <f>INDEX(Y$241:Y$244,$D299)*Y247+Y$200*Y126*Y156</f>
        <v/>
      </c>
      <c r="Z299" s="19">
        <f>INDEX(Z$241:Z$244,$D299)*Z247+Z$200*Z126*Z156</f>
        <v/>
      </c>
      <c r="AA299" s="19">
        <f>INDEX(AA$241:AA$244,$D299)*AA247+AA$200*AA126*AA156</f>
        <v/>
      </c>
      <c r="AB299" s="19">
        <f>INDEX(AB$241:AB$244,$D299)*AB247+AB$200*AB126*AB156</f>
        <v/>
      </c>
      <c r="AC299" s="19">
        <f>INDEX(AC$241:AC$244,$D299)*AC247+AC$200*AC126*AC156</f>
        <v/>
      </c>
      <c r="AD299" s="19">
        <f>INDEX(AD$241:AD$244,$D299)*AD247+AD$200*AD126*AD156</f>
        <v/>
      </c>
      <c r="AE299" s="20">
        <f>SHADOWTOTAL(INDEX(AE$241:AE$244,$D299),AE247,AE$200,AE126,AE156)</f>
        <v/>
      </c>
      <c r="AG299" s="17">
        <f>CodePrefix&amp;$A299&amp;IF($C299="","","."&amp;$C299&amp;"."&amp;$B299)&amp;INDEX(VarEnd,MATCH($A299,VarKey,0))&amp;AG$5</f>
        <v/>
      </c>
      <c r="AH299" s="18">
        <f>INDEX(AH$241:AH$244,$D299)*AH247+AH$200*AH126*AH156</f>
        <v/>
      </c>
      <c r="AI299" s="19">
        <f>INDEX(AI$241:AI$244,$D299)*AI247+AI$200*AI126*AI156</f>
        <v/>
      </c>
      <c r="AJ299" s="19">
        <f>INDEX(AJ$241:AJ$244,$D299)*AJ247+AJ$200*AJ126*AJ156</f>
        <v/>
      </c>
      <c r="AK299" s="19">
        <f>INDEX(AK$241:AK$244,$D299)*AK247+AK$200*AK126*AK156</f>
        <v/>
      </c>
      <c r="AL299" s="19">
        <f>INDEX(AL$241:AL$244,$D299)*AL247+AL$200*AL126*AL156</f>
        <v/>
      </c>
      <c r="AM299" s="19">
        <f>INDEX(AM$241:AM$244,$D299)*AM247+AM$200*AM126*AM156</f>
        <v/>
      </c>
      <c r="AN299" s="19">
        <f>INDEX(AN$241:AN$244,$D299)*AN247+AN$200*AN126*AN156</f>
        <v/>
      </c>
      <c r="AO299" s="19">
        <f>INDEX(AO$241:AO$244,$D299)*AO247+AO$200*AO126*AO156</f>
        <v/>
      </c>
      <c r="AP299" s="19">
        <f>INDEX(AP$241:AP$244,$D299)*AP247+AP$200*AP126*AP156</f>
        <v/>
      </c>
      <c r="AQ299" s="19">
        <f>INDEX(AQ$241:AQ$244,$D299)*AQ247+AQ$200*AQ126*AQ156</f>
        <v/>
      </c>
      <c r="AR299" s="19">
        <f>INDEX(AR$241:AR$244,$D299)*AR247+AR$200*AR126*AR156</f>
        <v/>
      </c>
      <c r="AS299" s="19">
        <f>INDEX(AS$241:AS$244,$D299)*AS247+AS$200*AS126*AS156</f>
        <v/>
      </c>
      <c r="AT299" s="19">
        <f>INDEX(AT$241:AT$244,$D299)*AT247+AT$200*AT126*AT156</f>
        <v/>
      </c>
      <c r="AU299" s="19">
        <f>INDEX(AU$241:AU$244,$D299)*AU247+AU$200*AU126*AU156</f>
        <v/>
      </c>
      <c r="AV299" s="19">
        <f>INDEX(AV$241:AV$244,$D299)*AV247+AV$200*AV126*AV156</f>
        <v/>
      </c>
      <c r="AW299" s="19">
        <f>INDEX(AW$241:AW$244,$D299)*AW247+AW$200*AW126*AW156</f>
        <v/>
      </c>
      <c r="AX299" s="19">
        <f>INDEX(AX$241:AX$244,$D299)*AX247+AX$200*AX126*AX156</f>
        <v/>
      </c>
      <c r="AY299" s="19">
        <f>INDEX(AY$241:AY$244,$D299)*AY247+AY$200*AY126*AY156</f>
        <v/>
      </c>
      <c r="AZ299" s="19">
        <f>INDEX(AZ$241:AZ$244,$D299)*AZ247+AZ$200*AZ126*AZ156</f>
        <v/>
      </c>
      <c r="BA299" s="20">
        <f>SHADOWTOTAL(INDEX(BA$241:BA$244,$D299),BA247,BA$200,BA126,BA156)</f>
        <v/>
      </c>
    </row>
    <row r="300" hidden="1" outlineLevel="1">
      <c r="A300" s="1" t="inlineStr">
        <is>
          <t>shpx</t>
        </is>
      </c>
      <c r="B300" s="1" t="inlineStr">
        <is>
          <t>all</t>
        </is>
      </c>
      <c r="C300" s="1" t="inlineStr">
        <is>
          <t>avi</t>
        </is>
      </c>
      <c r="D300" s="26" t="n">
        <v>2</v>
      </c>
      <c r="H300" s="1">
        <f>INDEX(VarLab,MATCH($A300,VarKey,0))&amp;INDEX(MemLab,MATCH($C300&amp;"|"&amp;$B300,MemKey,0))</f>
        <v/>
      </c>
      <c r="I300" s="1">
        <f>INDEX(VarUnit,MATCH($A300,VarKey,0))</f>
        <v/>
      </c>
      <c r="J300" s="1">
        <f>INDEX(VarSrc,MATCH($A300,VarKey,0))</f>
        <v/>
      </c>
      <c r="K300" s="17">
        <f>CodePrefix&amp;$A300&amp;IF($C300="","","."&amp;$C300&amp;"."&amp;$B300)&amp;INDEX(VarEnd,MATCH($A300,VarKey,0))&amp;K$5</f>
        <v/>
      </c>
      <c r="L300" s="18">
        <f>INDEX(L$241:L$244,$D300)*L248+L$200*L127*L157</f>
        <v/>
      </c>
      <c r="M300" s="19">
        <f>INDEX(M$241:M$244,$D300)*M248+M$200*M127*M157</f>
        <v/>
      </c>
      <c r="N300" s="19">
        <f>INDEX(N$241:N$244,$D300)*N248+N$200*N127*N157</f>
        <v/>
      </c>
      <c r="O300" s="19">
        <f>INDEX(O$241:O$244,$D300)*O248+O$200*O127*O157</f>
        <v/>
      </c>
      <c r="P300" s="19">
        <f>INDEX(P$241:P$244,$D300)*P248+P$200*P127*P157</f>
        <v/>
      </c>
      <c r="Q300" s="19">
        <f>INDEX(Q$241:Q$244,$D300)*Q248+Q$200*Q127*Q157</f>
        <v/>
      </c>
      <c r="R300" s="19">
        <f>INDEX(R$241:R$244,$D300)*R248+R$200*R127*R157</f>
        <v/>
      </c>
      <c r="S300" s="19">
        <f>INDEX(S$241:S$244,$D300)*S248+S$200*S127*S157</f>
        <v/>
      </c>
      <c r="T300" s="19">
        <f>INDEX(T$241:T$244,$D300)*T248+T$200*T127*T157</f>
        <v/>
      </c>
      <c r="U300" s="19">
        <f>INDEX(U$241:U$244,$D300)*U248+U$200*U127*U157</f>
        <v/>
      </c>
      <c r="V300" s="19">
        <f>INDEX(V$241:V$244,$D300)*V248+V$200*V127*V157</f>
        <v/>
      </c>
      <c r="W300" s="19">
        <f>INDEX(W$241:W$244,$D300)*W248+W$200*W127*W157</f>
        <v/>
      </c>
      <c r="X300" s="19">
        <f>INDEX(X$241:X$244,$D300)*X248+X$200*X127*X157</f>
        <v/>
      </c>
      <c r="Y300" s="19">
        <f>INDEX(Y$241:Y$244,$D300)*Y248+Y$200*Y127*Y157</f>
        <v/>
      </c>
      <c r="Z300" s="19">
        <f>INDEX(Z$241:Z$244,$D300)*Z248+Z$200*Z127*Z157</f>
        <v/>
      </c>
      <c r="AA300" s="19">
        <f>INDEX(AA$241:AA$244,$D300)*AA248+AA$200*AA127*AA157</f>
        <v/>
      </c>
      <c r="AB300" s="19">
        <f>INDEX(AB$241:AB$244,$D300)*AB248+AB$200*AB127*AB157</f>
        <v/>
      </c>
      <c r="AC300" s="19">
        <f>INDEX(AC$241:AC$244,$D300)*AC248+AC$200*AC127*AC157</f>
        <v/>
      </c>
      <c r="AD300" s="19">
        <f>INDEX(AD$241:AD$244,$D300)*AD248+AD$200*AD127*AD157</f>
        <v/>
      </c>
      <c r="AE300" s="20">
        <f>SHADOWTOTAL(INDEX(AE$241:AE$244,$D300),AE248,AE$200,AE127,AE157)</f>
        <v/>
      </c>
      <c r="AG300" s="17">
        <f>CodePrefix&amp;$A300&amp;IF($C300="","","."&amp;$C300&amp;"."&amp;$B300)&amp;INDEX(VarEnd,MATCH($A300,VarKey,0))&amp;AG$5</f>
        <v/>
      </c>
      <c r="AH300" s="18">
        <f>INDEX(AH$241:AH$244,$D300)*AH248+AH$200*AH127*AH157</f>
        <v/>
      </c>
      <c r="AI300" s="19">
        <f>INDEX(AI$241:AI$244,$D300)*AI248+AI$200*AI127*AI157</f>
        <v/>
      </c>
      <c r="AJ300" s="19">
        <f>INDEX(AJ$241:AJ$244,$D300)*AJ248+AJ$200*AJ127*AJ157</f>
        <v/>
      </c>
      <c r="AK300" s="19">
        <f>INDEX(AK$241:AK$244,$D300)*AK248+AK$200*AK127*AK157</f>
        <v/>
      </c>
      <c r="AL300" s="19">
        <f>INDEX(AL$241:AL$244,$D300)*AL248+AL$200*AL127*AL157</f>
        <v/>
      </c>
      <c r="AM300" s="19">
        <f>INDEX(AM$241:AM$244,$D300)*AM248+AM$200*AM127*AM157</f>
        <v/>
      </c>
      <c r="AN300" s="19">
        <f>INDEX(AN$241:AN$244,$D300)*AN248+AN$200*AN127*AN157</f>
        <v/>
      </c>
      <c r="AO300" s="19">
        <f>INDEX(AO$241:AO$244,$D300)*AO248+AO$200*AO127*AO157</f>
        <v/>
      </c>
      <c r="AP300" s="19">
        <f>INDEX(AP$241:AP$244,$D300)*AP248+AP$200*AP127*AP157</f>
        <v/>
      </c>
      <c r="AQ300" s="19">
        <f>INDEX(AQ$241:AQ$244,$D300)*AQ248+AQ$200*AQ127*AQ157</f>
        <v/>
      </c>
      <c r="AR300" s="19">
        <f>INDEX(AR$241:AR$244,$D300)*AR248+AR$200*AR127*AR157</f>
        <v/>
      </c>
      <c r="AS300" s="19">
        <f>INDEX(AS$241:AS$244,$D300)*AS248+AS$200*AS127*AS157</f>
        <v/>
      </c>
      <c r="AT300" s="19">
        <f>INDEX(AT$241:AT$244,$D300)*AT248+AT$200*AT127*AT157</f>
        <v/>
      </c>
      <c r="AU300" s="19">
        <f>INDEX(AU$241:AU$244,$D300)*AU248+AU$200*AU127*AU157</f>
        <v/>
      </c>
      <c r="AV300" s="19">
        <f>INDEX(AV$241:AV$244,$D300)*AV248+AV$200*AV127*AV157</f>
        <v/>
      </c>
      <c r="AW300" s="19">
        <f>INDEX(AW$241:AW$244,$D300)*AW248+AW$200*AW127*AW157</f>
        <v/>
      </c>
      <c r="AX300" s="19">
        <f>INDEX(AX$241:AX$244,$D300)*AX248+AX$200*AX127*AX157</f>
        <v/>
      </c>
      <c r="AY300" s="19">
        <f>INDEX(AY$241:AY$244,$D300)*AY248+AY$200*AY127*AY157</f>
        <v/>
      </c>
      <c r="AZ300" s="19">
        <f>INDEX(AZ$241:AZ$244,$D300)*AZ248+AZ$200*AZ127*AZ157</f>
        <v/>
      </c>
      <c r="BA300" s="20">
        <f>SHADOWTOTAL(INDEX(BA$241:BA$244,$D300),BA248,BA$200,BA127,BA157)</f>
        <v/>
      </c>
    </row>
    <row r="301" hidden="1" outlineLevel="1">
      <c r="A301" s="1" t="inlineStr">
        <is>
          <t>shpx</t>
        </is>
      </c>
      <c r="B301" s="1" t="inlineStr">
        <is>
          <t>all</t>
        </is>
      </c>
      <c r="C301" s="1" t="inlineStr">
        <is>
          <t>nav</t>
        </is>
      </c>
      <c r="D301" s="26" t="n">
        <v>2</v>
      </c>
      <c r="H301" s="1">
        <f>INDEX(VarLab,MATCH($A301,VarKey,0))&amp;INDEX(MemLab,MATCH($C301&amp;"|"&amp;$B301,MemKey,0))</f>
        <v/>
      </c>
      <c r="I301" s="1">
        <f>INDEX(VarUnit,MATCH($A301,VarKey,0))</f>
        <v/>
      </c>
      <c r="J301" s="1">
        <f>INDEX(VarSrc,MATCH($A301,VarKey,0))</f>
        <v/>
      </c>
      <c r="K301" s="17">
        <f>CodePrefix&amp;$A301&amp;IF($C301="","","."&amp;$C301&amp;"."&amp;$B301)&amp;INDEX(VarEnd,MATCH($A301,VarKey,0))&amp;K$5</f>
        <v/>
      </c>
      <c r="L301" s="18">
        <f>INDEX(L$241:L$244,$D301)*L249+L$200*L128*L158</f>
        <v/>
      </c>
      <c r="M301" s="19">
        <f>INDEX(M$241:M$244,$D301)*M249+M$200*M128*M158</f>
        <v/>
      </c>
      <c r="N301" s="19">
        <f>INDEX(N$241:N$244,$D301)*N249+N$200*N128*N158</f>
        <v/>
      </c>
      <c r="O301" s="19">
        <f>INDEX(O$241:O$244,$D301)*O249+O$200*O128*O158</f>
        <v/>
      </c>
      <c r="P301" s="19">
        <f>INDEX(P$241:P$244,$D301)*P249+P$200*P128*P158</f>
        <v/>
      </c>
      <c r="Q301" s="19">
        <f>INDEX(Q$241:Q$244,$D301)*Q249+Q$200*Q128*Q158</f>
        <v/>
      </c>
      <c r="R301" s="19">
        <f>INDEX(R$241:R$244,$D301)*R249+R$200*R128*R158</f>
        <v/>
      </c>
      <c r="S301" s="19">
        <f>INDEX(S$241:S$244,$D301)*S249+S$200*S128*S158</f>
        <v/>
      </c>
      <c r="T301" s="19">
        <f>INDEX(T$241:T$244,$D301)*T249+T$200*T128*T158</f>
        <v/>
      </c>
      <c r="U301" s="19">
        <f>INDEX(U$241:U$244,$D301)*U249+U$200*U128*U158</f>
        <v/>
      </c>
      <c r="V301" s="19">
        <f>INDEX(V$241:V$244,$D301)*V249+V$200*V128*V158</f>
        <v/>
      </c>
      <c r="W301" s="19">
        <f>INDEX(W$241:W$244,$D301)*W249+W$200*W128*W158</f>
        <v/>
      </c>
      <c r="X301" s="19">
        <f>INDEX(X$241:X$244,$D301)*X249+X$200*X128*X158</f>
        <v/>
      </c>
      <c r="Y301" s="19">
        <f>INDEX(Y$241:Y$244,$D301)*Y249+Y$200*Y128*Y158</f>
        <v/>
      </c>
      <c r="Z301" s="19">
        <f>INDEX(Z$241:Z$244,$D301)*Z249+Z$200*Z128*Z158</f>
        <v/>
      </c>
      <c r="AA301" s="19">
        <f>INDEX(AA$241:AA$244,$D301)*AA249+AA$200*AA128*AA158</f>
        <v/>
      </c>
      <c r="AB301" s="19">
        <f>INDEX(AB$241:AB$244,$D301)*AB249+AB$200*AB128*AB158</f>
        <v/>
      </c>
      <c r="AC301" s="19">
        <f>INDEX(AC$241:AC$244,$D301)*AC249+AC$200*AC128*AC158</f>
        <v/>
      </c>
      <c r="AD301" s="19">
        <f>INDEX(AD$241:AD$244,$D301)*AD249+AD$200*AD128*AD158</f>
        <v/>
      </c>
      <c r="AE301" s="20">
        <f>SHADOWTOTAL(INDEX(AE$241:AE$244,$D301),AE249,AE$200,AE128,AE158)</f>
        <v/>
      </c>
      <c r="AG301" s="17">
        <f>CodePrefix&amp;$A301&amp;IF($C301="","","."&amp;$C301&amp;"."&amp;$B301)&amp;INDEX(VarEnd,MATCH($A301,VarKey,0))&amp;AG$5</f>
        <v/>
      </c>
      <c r="AH301" s="18">
        <f>INDEX(AH$241:AH$244,$D301)*AH249+AH$200*AH128*AH158</f>
        <v/>
      </c>
      <c r="AI301" s="19">
        <f>INDEX(AI$241:AI$244,$D301)*AI249+AI$200*AI128*AI158</f>
        <v/>
      </c>
      <c r="AJ301" s="19">
        <f>INDEX(AJ$241:AJ$244,$D301)*AJ249+AJ$200*AJ128*AJ158</f>
        <v/>
      </c>
      <c r="AK301" s="19">
        <f>INDEX(AK$241:AK$244,$D301)*AK249+AK$200*AK128*AK158</f>
        <v/>
      </c>
      <c r="AL301" s="19">
        <f>INDEX(AL$241:AL$244,$D301)*AL249+AL$200*AL128*AL158</f>
        <v/>
      </c>
      <c r="AM301" s="19">
        <f>INDEX(AM$241:AM$244,$D301)*AM249+AM$200*AM128*AM158</f>
        <v/>
      </c>
      <c r="AN301" s="19">
        <f>INDEX(AN$241:AN$244,$D301)*AN249+AN$200*AN128*AN158</f>
        <v/>
      </c>
      <c r="AO301" s="19">
        <f>INDEX(AO$241:AO$244,$D301)*AO249+AO$200*AO128*AO158</f>
        <v/>
      </c>
      <c r="AP301" s="19">
        <f>INDEX(AP$241:AP$244,$D301)*AP249+AP$200*AP128*AP158</f>
        <v/>
      </c>
      <c r="AQ301" s="19">
        <f>INDEX(AQ$241:AQ$244,$D301)*AQ249+AQ$200*AQ128*AQ158</f>
        <v/>
      </c>
      <c r="AR301" s="19">
        <f>INDEX(AR$241:AR$244,$D301)*AR249+AR$200*AR128*AR158</f>
        <v/>
      </c>
      <c r="AS301" s="19">
        <f>INDEX(AS$241:AS$244,$D301)*AS249+AS$200*AS128*AS158</f>
        <v/>
      </c>
      <c r="AT301" s="19">
        <f>INDEX(AT$241:AT$244,$D301)*AT249+AT$200*AT128*AT158</f>
        <v/>
      </c>
      <c r="AU301" s="19">
        <f>INDEX(AU$241:AU$244,$D301)*AU249+AU$200*AU128*AU158</f>
        <v/>
      </c>
      <c r="AV301" s="19">
        <f>INDEX(AV$241:AV$244,$D301)*AV249+AV$200*AV128*AV158</f>
        <v/>
      </c>
      <c r="AW301" s="19">
        <f>INDEX(AW$241:AW$244,$D301)*AW249+AW$200*AW128*AW158</f>
        <v/>
      </c>
      <c r="AX301" s="19">
        <f>INDEX(AX$241:AX$244,$D301)*AX249+AX$200*AX128*AX158</f>
        <v/>
      </c>
      <c r="AY301" s="19">
        <f>INDEX(AY$241:AY$244,$D301)*AY249+AY$200*AY128*AY158</f>
        <v/>
      </c>
      <c r="AZ301" s="19">
        <f>INDEX(AZ$241:AZ$244,$D301)*AZ249+AZ$200*AZ128*AZ158</f>
        <v/>
      </c>
      <c r="BA301" s="20">
        <f>SHADOWTOTAL(INDEX(BA$241:BA$244,$D301),BA249,BA$200,BA128,BA158)</f>
        <v/>
      </c>
    </row>
    <row r="302" hidden="1" outlineLevel="1">
      <c r="A302" s="1" t="inlineStr">
        <is>
          <t>shpx</t>
        </is>
      </c>
      <c r="B302" s="1" t="inlineStr">
        <is>
          <t>all</t>
        </is>
      </c>
      <c r="C302" s="1" t="inlineStr">
        <is>
          <t>res</t>
        </is>
      </c>
      <c r="D302" s="26" t="n">
        <v>3</v>
      </c>
      <c r="H302" s="1">
        <f>INDEX(VarLab,MATCH($A302,VarKey,0))&amp;INDEX(MemLab,MATCH($C302&amp;"|"&amp;$B302,MemKey,0))</f>
        <v/>
      </c>
      <c r="I302" s="1">
        <f>INDEX(VarUnit,MATCH($A302,VarKey,0))</f>
        <v/>
      </c>
      <c r="J302" s="1">
        <f>INDEX(VarSrc,MATCH($A302,VarKey,0))</f>
        <v/>
      </c>
      <c r="K302" s="17">
        <f>CodePrefix&amp;$A302&amp;IF($C302="","","."&amp;$C302&amp;"."&amp;$B302)&amp;INDEX(VarEnd,MATCH($A302,VarKey,0))&amp;K$5</f>
        <v/>
      </c>
      <c r="L302" s="18">
        <f>INDEX(L$241:L$244,$D302)*L250+L$200*L129*L159</f>
        <v/>
      </c>
      <c r="M302" s="19">
        <f>INDEX(M$241:M$244,$D302)*M250+M$200*M129*M159</f>
        <v/>
      </c>
      <c r="N302" s="19">
        <f>INDEX(N$241:N$244,$D302)*N250+N$200*N129*N159</f>
        <v/>
      </c>
      <c r="O302" s="19">
        <f>INDEX(O$241:O$244,$D302)*O250+O$200*O129*O159</f>
        <v/>
      </c>
      <c r="P302" s="19">
        <f>INDEX(P$241:P$244,$D302)*P250+P$200*P129*P159</f>
        <v/>
      </c>
      <c r="Q302" s="19">
        <f>INDEX(Q$241:Q$244,$D302)*Q250+Q$200*Q129*Q159</f>
        <v/>
      </c>
      <c r="R302" s="19">
        <f>INDEX(R$241:R$244,$D302)*R250+R$200*R129*R159</f>
        <v/>
      </c>
      <c r="S302" s="19">
        <f>INDEX(S$241:S$244,$D302)*S250+S$200*S129*S159</f>
        <v/>
      </c>
      <c r="T302" s="19">
        <f>INDEX(T$241:T$244,$D302)*T250+T$200*T129*T159</f>
        <v/>
      </c>
      <c r="U302" s="19">
        <f>INDEX(U$241:U$244,$D302)*U250+U$200*U129*U159</f>
        <v/>
      </c>
      <c r="V302" s="19">
        <f>INDEX(V$241:V$244,$D302)*V250+V$200*V129*V159</f>
        <v/>
      </c>
      <c r="W302" s="19">
        <f>INDEX(W$241:W$244,$D302)*W250+W$200*W129*W159</f>
        <v/>
      </c>
      <c r="X302" s="19">
        <f>INDEX(X$241:X$244,$D302)*X250+X$200*X129*X159</f>
        <v/>
      </c>
      <c r="Y302" s="19">
        <f>INDEX(Y$241:Y$244,$D302)*Y250+Y$200*Y129*Y159</f>
        <v/>
      </c>
      <c r="Z302" s="19">
        <f>INDEX(Z$241:Z$244,$D302)*Z250+Z$200*Z129*Z159</f>
        <v/>
      </c>
      <c r="AA302" s="19">
        <f>INDEX(AA$241:AA$244,$D302)*AA250+AA$200*AA129*AA159</f>
        <v/>
      </c>
      <c r="AB302" s="19">
        <f>INDEX(AB$241:AB$244,$D302)*AB250+AB$200*AB129*AB159</f>
        <v/>
      </c>
      <c r="AC302" s="19">
        <f>INDEX(AC$241:AC$244,$D302)*AC250+AC$200*AC129*AC159</f>
        <v/>
      </c>
      <c r="AD302" s="19">
        <f>INDEX(AD$241:AD$244,$D302)*AD250+AD$200*AD129*AD159</f>
        <v/>
      </c>
      <c r="AE302" s="20">
        <f>SHADOWTOTAL(INDEX(AE$241:AE$244,$D302),AE250,AE$200,AE129,AE159)</f>
        <v/>
      </c>
      <c r="AG302" s="17">
        <f>CodePrefix&amp;$A302&amp;IF($C302="","","."&amp;$C302&amp;"."&amp;$B302)&amp;INDEX(VarEnd,MATCH($A302,VarKey,0))&amp;AG$5</f>
        <v/>
      </c>
      <c r="AH302" s="18">
        <f>INDEX(AH$241:AH$244,$D302)*AH250+AH$200*AH129*AH159</f>
        <v/>
      </c>
      <c r="AI302" s="19">
        <f>INDEX(AI$241:AI$244,$D302)*AI250+AI$200*AI129*AI159</f>
        <v/>
      </c>
      <c r="AJ302" s="19">
        <f>INDEX(AJ$241:AJ$244,$D302)*AJ250+AJ$200*AJ129*AJ159</f>
        <v/>
      </c>
      <c r="AK302" s="19">
        <f>INDEX(AK$241:AK$244,$D302)*AK250+AK$200*AK129*AK159</f>
        <v/>
      </c>
      <c r="AL302" s="19">
        <f>INDEX(AL$241:AL$244,$D302)*AL250+AL$200*AL129*AL159</f>
        <v/>
      </c>
      <c r="AM302" s="19">
        <f>INDEX(AM$241:AM$244,$D302)*AM250+AM$200*AM129*AM159</f>
        <v/>
      </c>
      <c r="AN302" s="19">
        <f>INDEX(AN$241:AN$244,$D302)*AN250+AN$200*AN129*AN159</f>
        <v/>
      </c>
      <c r="AO302" s="19">
        <f>INDEX(AO$241:AO$244,$D302)*AO250+AO$200*AO129*AO159</f>
        <v/>
      </c>
      <c r="AP302" s="19">
        <f>INDEX(AP$241:AP$244,$D302)*AP250+AP$200*AP129*AP159</f>
        <v/>
      </c>
      <c r="AQ302" s="19">
        <f>INDEX(AQ$241:AQ$244,$D302)*AQ250+AQ$200*AQ129*AQ159</f>
        <v/>
      </c>
      <c r="AR302" s="19">
        <f>INDEX(AR$241:AR$244,$D302)*AR250+AR$200*AR129*AR159</f>
        <v/>
      </c>
      <c r="AS302" s="19">
        <f>INDEX(AS$241:AS$244,$D302)*AS250+AS$200*AS129*AS159</f>
        <v/>
      </c>
      <c r="AT302" s="19">
        <f>INDEX(AT$241:AT$244,$D302)*AT250+AT$200*AT129*AT159</f>
        <v/>
      </c>
      <c r="AU302" s="19">
        <f>INDEX(AU$241:AU$244,$D302)*AU250+AU$200*AU129*AU159</f>
        <v/>
      </c>
      <c r="AV302" s="19">
        <f>INDEX(AV$241:AV$244,$D302)*AV250+AV$200*AV129*AV159</f>
        <v/>
      </c>
      <c r="AW302" s="19">
        <f>INDEX(AW$241:AW$244,$D302)*AW250+AW$200*AW129*AW159</f>
        <v/>
      </c>
      <c r="AX302" s="19">
        <f>INDEX(AX$241:AX$244,$D302)*AX250+AX$200*AX129*AX159</f>
        <v/>
      </c>
      <c r="AY302" s="19">
        <f>INDEX(AY$241:AY$244,$D302)*AY250+AY$200*AY129*AY159</f>
        <v/>
      </c>
      <c r="AZ302" s="19">
        <f>INDEX(AZ$241:AZ$244,$D302)*AZ250+AZ$200*AZ129*AZ159</f>
        <v/>
      </c>
      <c r="BA302" s="20">
        <f>SHADOWTOTAL(INDEX(BA$241:BA$244,$D302),BA250,BA$200,BA129,BA159)</f>
        <v/>
      </c>
    </row>
    <row r="303" hidden="1" outlineLevel="1">
      <c r="A303" s="1" t="inlineStr">
        <is>
          <t>shpx</t>
        </is>
      </c>
      <c r="B303" s="1" t="inlineStr">
        <is>
          <t>all</t>
        </is>
      </c>
      <c r="C303" s="1" t="inlineStr">
        <is>
          <t>foo</t>
        </is>
      </c>
      <c r="D303" s="26" t="n">
        <v>3</v>
      </c>
      <c r="H303" s="1">
        <f>INDEX(VarLab,MATCH($A303,VarKey,0))&amp;INDEX(MemLab,MATCH($C303&amp;"|"&amp;$B303,MemKey,0))</f>
        <v/>
      </c>
      <c r="I303" s="1">
        <f>INDEX(VarUnit,MATCH($A303,VarKey,0))</f>
        <v/>
      </c>
      <c r="J303" s="1">
        <f>INDEX(VarSrc,MATCH($A303,VarKey,0))</f>
        <v/>
      </c>
      <c r="K303" s="17">
        <f>CodePrefix&amp;$A303&amp;IF($C303="","","."&amp;$C303&amp;"."&amp;$B303)&amp;INDEX(VarEnd,MATCH($A303,VarKey,0))&amp;K$5</f>
        <v/>
      </c>
      <c r="L303" s="18">
        <f>INDEX(L$241:L$244,$D303)*L251+L$200*L130*L160</f>
        <v/>
      </c>
      <c r="M303" s="19">
        <f>INDEX(M$241:M$244,$D303)*M251+M$200*M130*M160</f>
        <v/>
      </c>
      <c r="N303" s="19">
        <f>INDEX(N$241:N$244,$D303)*N251+N$200*N130*N160</f>
        <v/>
      </c>
      <c r="O303" s="19">
        <f>INDEX(O$241:O$244,$D303)*O251+O$200*O130*O160</f>
        <v/>
      </c>
      <c r="P303" s="19">
        <f>INDEX(P$241:P$244,$D303)*P251+P$200*P130*P160</f>
        <v/>
      </c>
      <c r="Q303" s="19">
        <f>INDEX(Q$241:Q$244,$D303)*Q251+Q$200*Q130*Q160</f>
        <v/>
      </c>
      <c r="R303" s="19">
        <f>INDEX(R$241:R$244,$D303)*R251+R$200*R130*R160</f>
        <v/>
      </c>
      <c r="S303" s="19">
        <f>INDEX(S$241:S$244,$D303)*S251+S$200*S130*S160</f>
        <v/>
      </c>
      <c r="T303" s="19">
        <f>INDEX(T$241:T$244,$D303)*T251+T$200*T130*T160</f>
        <v/>
      </c>
      <c r="U303" s="19">
        <f>INDEX(U$241:U$244,$D303)*U251+U$200*U130*U160</f>
        <v/>
      </c>
      <c r="V303" s="19">
        <f>INDEX(V$241:V$244,$D303)*V251+V$200*V130*V160</f>
        <v/>
      </c>
      <c r="W303" s="19">
        <f>INDEX(W$241:W$244,$D303)*W251+W$200*W130*W160</f>
        <v/>
      </c>
      <c r="X303" s="19">
        <f>INDEX(X$241:X$244,$D303)*X251+X$200*X130*X160</f>
        <v/>
      </c>
      <c r="Y303" s="19">
        <f>INDEX(Y$241:Y$244,$D303)*Y251+Y$200*Y130*Y160</f>
        <v/>
      </c>
      <c r="Z303" s="19">
        <f>INDEX(Z$241:Z$244,$D303)*Z251+Z$200*Z130*Z160</f>
        <v/>
      </c>
      <c r="AA303" s="19">
        <f>INDEX(AA$241:AA$244,$D303)*AA251+AA$200*AA130*AA160</f>
        <v/>
      </c>
      <c r="AB303" s="19">
        <f>INDEX(AB$241:AB$244,$D303)*AB251+AB$200*AB130*AB160</f>
        <v/>
      </c>
      <c r="AC303" s="19">
        <f>INDEX(AC$241:AC$244,$D303)*AC251+AC$200*AC130*AC160</f>
        <v/>
      </c>
      <c r="AD303" s="19">
        <f>INDEX(AD$241:AD$244,$D303)*AD251+AD$200*AD130*AD160</f>
        <v/>
      </c>
      <c r="AE303" s="20">
        <f>SHADOWTOTAL(INDEX(AE$241:AE$244,$D303),AE251,AE$200,AE130,AE160)</f>
        <v/>
      </c>
      <c r="AG303" s="17">
        <f>CodePrefix&amp;$A303&amp;IF($C303="","","."&amp;$C303&amp;"."&amp;$B303)&amp;INDEX(VarEnd,MATCH($A303,VarKey,0))&amp;AG$5</f>
        <v/>
      </c>
      <c r="AH303" s="18">
        <f>INDEX(AH$241:AH$244,$D303)*AH251+AH$200*AH130*AH160</f>
        <v/>
      </c>
      <c r="AI303" s="19">
        <f>INDEX(AI$241:AI$244,$D303)*AI251+AI$200*AI130*AI160</f>
        <v/>
      </c>
      <c r="AJ303" s="19">
        <f>INDEX(AJ$241:AJ$244,$D303)*AJ251+AJ$200*AJ130*AJ160</f>
        <v/>
      </c>
      <c r="AK303" s="19">
        <f>INDEX(AK$241:AK$244,$D303)*AK251+AK$200*AK130*AK160</f>
        <v/>
      </c>
      <c r="AL303" s="19">
        <f>INDEX(AL$241:AL$244,$D303)*AL251+AL$200*AL130*AL160</f>
        <v/>
      </c>
      <c r="AM303" s="19">
        <f>INDEX(AM$241:AM$244,$D303)*AM251+AM$200*AM130*AM160</f>
        <v/>
      </c>
      <c r="AN303" s="19">
        <f>INDEX(AN$241:AN$244,$D303)*AN251+AN$200*AN130*AN160</f>
        <v/>
      </c>
      <c r="AO303" s="19">
        <f>INDEX(AO$241:AO$244,$D303)*AO251+AO$200*AO130*AO160</f>
        <v/>
      </c>
      <c r="AP303" s="19">
        <f>INDEX(AP$241:AP$244,$D303)*AP251+AP$200*AP130*AP160</f>
        <v/>
      </c>
      <c r="AQ303" s="19">
        <f>INDEX(AQ$241:AQ$244,$D303)*AQ251+AQ$200*AQ130*AQ160</f>
        <v/>
      </c>
      <c r="AR303" s="19">
        <f>INDEX(AR$241:AR$244,$D303)*AR251+AR$200*AR130*AR160</f>
        <v/>
      </c>
      <c r="AS303" s="19">
        <f>INDEX(AS$241:AS$244,$D303)*AS251+AS$200*AS130*AS160</f>
        <v/>
      </c>
      <c r="AT303" s="19">
        <f>INDEX(AT$241:AT$244,$D303)*AT251+AT$200*AT130*AT160</f>
        <v/>
      </c>
      <c r="AU303" s="19">
        <f>INDEX(AU$241:AU$244,$D303)*AU251+AU$200*AU130*AU160</f>
        <v/>
      </c>
      <c r="AV303" s="19">
        <f>INDEX(AV$241:AV$244,$D303)*AV251+AV$200*AV130*AV160</f>
        <v/>
      </c>
      <c r="AW303" s="19">
        <f>INDEX(AW$241:AW$244,$D303)*AW251+AW$200*AW130*AW160</f>
        <v/>
      </c>
      <c r="AX303" s="19">
        <f>INDEX(AX$241:AX$244,$D303)*AX251+AX$200*AX130*AX160</f>
        <v/>
      </c>
      <c r="AY303" s="19">
        <f>INDEX(AY$241:AY$244,$D303)*AY251+AY$200*AY130*AY160</f>
        <v/>
      </c>
      <c r="AZ303" s="19">
        <f>INDEX(AZ$241:AZ$244,$D303)*AZ251+AZ$200*AZ130*AZ160</f>
        <v/>
      </c>
      <c r="BA303" s="20">
        <f>SHADOWTOTAL(INDEX(BA$241:BA$244,$D303),BA251,BA$200,BA130,BA160)</f>
        <v/>
      </c>
    </row>
    <row r="304" hidden="1" outlineLevel="1">
      <c r="A304" s="1" t="inlineStr">
        <is>
          <t>shpx</t>
        </is>
      </c>
      <c r="B304" s="1" t="inlineStr">
        <is>
          <t>all</t>
        </is>
      </c>
      <c r="C304" s="1" t="inlineStr">
        <is>
          <t>srv</t>
        </is>
      </c>
      <c r="D304" s="26" t="n">
        <v>3</v>
      </c>
      <c r="H304" s="1">
        <f>INDEX(VarLab,MATCH($A304,VarKey,0))&amp;INDEX(MemLab,MATCH($C304&amp;"|"&amp;$B304,MemKey,0))</f>
        <v/>
      </c>
      <c r="I304" s="1">
        <f>INDEX(VarUnit,MATCH($A304,VarKey,0))</f>
        <v/>
      </c>
      <c r="J304" s="1">
        <f>INDEX(VarSrc,MATCH($A304,VarKey,0))</f>
        <v/>
      </c>
      <c r="K304" s="17">
        <f>CodePrefix&amp;$A304&amp;IF($C304="","","."&amp;$C304&amp;"."&amp;$B304)&amp;INDEX(VarEnd,MATCH($A304,VarKey,0))&amp;K$5</f>
        <v/>
      </c>
      <c r="L304" s="18">
        <f>INDEX(L$241:L$244,$D304)*L252+L$200*L131*L161</f>
        <v/>
      </c>
      <c r="M304" s="19">
        <f>INDEX(M$241:M$244,$D304)*M252+M$200*M131*M161</f>
        <v/>
      </c>
      <c r="N304" s="19">
        <f>INDEX(N$241:N$244,$D304)*N252+N$200*N131*N161</f>
        <v/>
      </c>
      <c r="O304" s="19">
        <f>INDEX(O$241:O$244,$D304)*O252+O$200*O131*O161</f>
        <v/>
      </c>
      <c r="P304" s="19">
        <f>INDEX(P$241:P$244,$D304)*P252+P$200*P131*P161</f>
        <v/>
      </c>
      <c r="Q304" s="19">
        <f>INDEX(Q$241:Q$244,$D304)*Q252+Q$200*Q131*Q161</f>
        <v/>
      </c>
      <c r="R304" s="19">
        <f>INDEX(R$241:R$244,$D304)*R252+R$200*R131*R161</f>
        <v/>
      </c>
      <c r="S304" s="19">
        <f>INDEX(S$241:S$244,$D304)*S252+S$200*S131*S161</f>
        <v/>
      </c>
      <c r="T304" s="19">
        <f>INDEX(T$241:T$244,$D304)*T252+T$200*T131*T161</f>
        <v/>
      </c>
      <c r="U304" s="19">
        <f>INDEX(U$241:U$244,$D304)*U252+U$200*U131*U161</f>
        <v/>
      </c>
      <c r="V304" s="19">
        <f>INDEX(V$241:V$244,$D304)*V252+V$200*V131*V161</f>
        <v/>
      </c>
      <c r="W304" s="19">
        <f>INDEX(W$241:W$244,$D304)*W252+W$200*W131*W161</f>
        <v/>
      </c>
      <c r="X304" s="19">
        <f>INDEX(X$241:X$244,$D304)*X252+X$200*X131*X161</f>
        <v/>
      </c>
      <c r="Y304" s="19">
        <f>INDEX(Y$241:Y$244,$D304)*Y252+Y$200*Y131*Y161</f>
        <v/>
      </c>
      <c r="Z304" s="19">
        <f>INDEX(Z$241:Z$244,$D304)*Z252+Z$200*Z131*Z161</f>
        <v/>
      </c>
      <c r="AA304" s="19">
        <f>INDEX(AA$241:AA$244,$D304)*AA252+AA$200*AA131*AA161</f>
        <v/>
      </c>
      <c r="AB304" s="19">
        <f>INDEX(AB$241:AB$244,$D304)*AB252+AB$200*AB131*AB161</f>
        <v/>
      </c>
      <c r="AC304" s="19">
        <f>INDEX(AC$241:AC$244,$D304)*AC252+AC$200*AC131*AC161</f>
        <v/>
      </c>
      <c r="AD304" s="19">
        <f>INDEX(AD$241:AD$244,$D304)*AD252+AD$200*AD131*AD161</f>
        <v/>
      </c>
      <c r="AE304" s="20">
        <f>SHADOWTOTAL(INDEX(AE$241:AE$244,$D304),AE252,AE$200,AE131,AE161)</f>
        <v/>
      </c>
      <c r="AG304" s="17">
        <f>CodePrefix&amp;$A304&amp;IF($C304="","","."&amp;$C304&amp;"."&amp;$B304)&amp;INDEX(VarEnd,MATCH($A304,VarKey,0))&amp;AG$5</f>
        <v/>
      </c>
      <c r="AH304" s="18">
        <f>INDEX(AH$241:AH$244,$D304)*AH252+AH$200*AH131*AH161</f>
        <v/>
      </c>
      <c r="AI304" s="19">
        <f>INDEX(AI$241:AI$244,$D304)*AI252+AI$200*AI131*AI161</f>
        <v/>
      </c>
      <c r="AJ304" s="19">
        <f>INDEX(AJ$241:AJ$244,$D304)*AJ252+AJ$200*AJ131*AJ161</f>
        <v/>
      </c>
      <c r="AK304" s="19">
        <f>INDEX(AK$241:AK$244,$D304)*AK252+AK$200*AK131*AK161</f>
        <v/>
      </c>
      <c r="AL304" s="19">
        <f>INDEX(AL$241:AL$244,$D304)*AL252+AL$200*AL131*AL161</f>
        <v/>
      </c>
      <c r="AM304" s="19">
        <f>INDEX(AM$241:AM$244,$D304)*AM252+AM$200*AM131*AM161</f>
        <v/>
      </c>
      <c r="AN304" s="19">
        <f>INDEX(AN$241:AN$244,$D304)*AN252+AN$200*AN131*AN161</f>
        <v/>
      </c>
      <c r="AO304" s="19">
        <f>INDEX(AO$241:AO$244,$D304)*AO252+AO$200*AO131*AO161</f>
        <v/>
      </c>
      <c r="AP304" s="19">
        <f>INDEX(AP$241:AP$244,$D304)*AP252+AP$200*AP131*AP161</f>
        <v/>
      </c>
      <c r="AQ304" s="19">
        <f>INDEX(AQ$241:AQ$244,$D304)*AQ252+AQ$200*AQ131*AQ161</f>
        <v/>
      </c>
      <c r="AR304" s="19">
        <f>INDEX(AR$241:AR$244,$D304)*AR252+AR$200*AR131*AR161</f>
        <v/>
      </c>
      <c r="AS304" s="19">
        <f>INDEX(AS$241:AS$244,$D304)*AS252+AS$200*AS131*AS161</f>
        <v/>
      </c>
      <c r="AT304" s="19">
        <f>INDEX(AT$241:AT$244,$D304)*AT252+AT$200*AT131*AT161</f>
        <v/>
      </c>
      <c r="AU304" s="19">
        <f>INDEX(AU$241:AU$244,$D304)*AU252+AU$200*AU131*AU161</f>
        <v/>
      </c>
      <c r="AV304" s="19">
        <f>INDEX(AV$241:AV$244,$D304)*AV252+AV$200*AV131*AV161</f>
        <v/>
      </c>
      <c r="AW304" s="19">
        <f>INDEX(AW$241:AW$244,$D304)*AW252+AW$200*AW131*AW161</f>
        <v/>
      </c>
      <c r="AX304" s="19">
        <f>INDEX(AX$241:AX$244,$D304)*AX252+AX$200*AX131*AX161</f>
        <v/>
      </c>
      <c r="AY304" s="19">
        <f>INDEX(AY$241:AY$244,$D304)*AY252+AY$200*AY131*AY161</f>
        <v/>
      </c>
      <c r="AZ304" s="19">
        <f>INDEX(AZ$241:AZ$244,$D304)*AZ252+AZ$200*AZ131*AZ161</f>
        <v/>
      </c>
      <c r="BA304" s="20">
        <f>SHADOWTOTAL(INDEX(BA$241:BA$244,$D304),BA252,BA$200,BA131,BA161)</f>
        <v/>
      </c>
    </row>
    <row r="305" hidden="1" outlineLevel="1">
      <c r="A305" s="1" t="inlineStr">
        <is>
          <t>shpx</t>
        </is>
      </c>
      <c r="B305" s="1" t="inlineStr">
        <is>
          <t>all</t>
        </is>
      </c>
      <c r="C305" s="1" t="inlineStr">
        <is>
          <t>mch</t>
        </is>
      </c>
      <c r="D305" s="26" t="n">
        <v>4</v>
      </c>
      <c r="H305" s="1">
        <f>INDEX(VarLab,MATCH($A305,VarKey,0))&amp;INDEX(MemLab,MATCH($C305&amp;"|"&amp;$B305,MemKey,0))</f>
        <v/>
      </c>
      <c r="I305" s="1">
        <f>INDEX(VarUnit,MATCH($A305,VarKey,0))</f>
        <v/>
      </c>
      <c r="J305" s="1">
        <f>INDEX(VarSrc,MATCH($A305,VarKey,0))</f>
        <v/>
      </c>
      <c r="K305" s="17">
        <f>CodePrefix&amp;$A305&amp;IF($C305="","","."&amp;$C305&amp;"."&amp;$B305)&amp;INDEX(VarEnd,MATCH($A305,VarKey,0))&amp;K$5</f>
        <v/>
      </c>
      <c r="L305" s="18">
        <f>INDEX(L$241:L$244,$D305)*L253+L$200*L132*L162</f>
        <v/>
      </c>
      <c r="M305" s="19">
        <f>INDEX(M$241:M$244,$D305)*M253+M$200*M132*M162</f>
        <v/>
      </c>
      <c r="N305" s="19">
        <f>INDEX(N$241:N$244,$D305)*N253+N$200*N132*N162</f>
        <v/>
      </c>
      <c r="O305" s="19">
        <f>INDEX(O$241:O$244,$D305)*O253+O$200*O132*O162</f>
        <v/>
      </c>
      <c r="P305" s="19">
        <f>INDEX(P$241:P$244,$D305)*P253+P$200*P132*P162</f>
        <v/>
      </c>
      <c r="Q305" s="19">
        <f>INDEX(Q$241:Q$244,$D305)*Q253+Q$200*Q132*Q162</f>
        <v/>
      </c>
      <c r="R305" s="19">
        <f>INDEX(R$241:R$244,$D305)*R253+R$200*R132*R162</f>
        <v/>
      </c>
      <c r="S305" s="19">
        <f>INDEX(S$241:S$244,$D305)*S253+S$200*S132*S162</f>
        <v/>
      </c>
      <c r="T305" s="19">
        <f>INDEX(T$241:T$244,$D305)*T253+T$200*T132*T162</f>
        <v/>
      </c>
      <c r="U305" s="19">
        <f>INDEX(U$241:U$244,$D305)*U253+U$200*U132*U162</f>
        <v/>
      </c>
      <c r="V305" s="19">
        <f>INDEX(V$241:V$244,$D305)*V253+V$200*V132*V162</f>
        <v/>
      </c>
      <c r="W305" s="19">
        <f>INDEX(W$241:W$244,$D305)*W253+W$200*W132*W162</f>
        <v/>
      </c>
      <c r="X305" s="19">
        <f>INDEX(X$241:X$244,$D305)*X253+X$200*X132*X162</f>
        <v/>
      </c>
      <c r="Y305" s="19">
        <f>INDEX(Y$241:Y$244,$D305)*Y253+Y$200*Y132*Y162</f>
        <v/>
      </c>
      <c r="Z305" s="19">
        <f>INDEX(Z$241:Z$244,$D305)*Z253+Z$200*Z132*Z162</f>
        <v/>
      </c>
      <c r="AA305" s="19">
        <f>INDEX(AA$241:AA$244,$D305)*AA253+AA$200*AA132*AA162</f>
        <v/>
      </c>
      <c r="AB305" s="19">
        <f>INDEX(AB$241:AB$244,$D305)*AB253+AB$200*AB132*AB162</f>
        <v/>
      </c>
      <c r="AC305" s="19">
        <f>INDEX(AC$241:AC$244,$D305)*AC253+AC$200*AC132*AC162</f>
        <v/>
      </c>
      <c r="AD305" s="19">
        <f>INDEX(AD$241:AD$244,$D305)*AD253+AD$200*AD132*AD162</f>
        <v/>
      </c>
      <c r="AE305" s="20">
        <f>SHADOWTOTAL(INDEX(AE$241:AE$244,$D305),AE253,AE$200,AE132,AE162)</f>
        <v/>
      </c>
      <c r="AG305" s="17">
        <f>CodePrefix&amp;$A305&amp;IF($C305="","","."&amp;$C305&amp;"."&amp;$B305)&amp;INDEX(VarEnd,MATCH($A305,VarKey,0))&amp;AG$5</f>
        <v/>
      </c>
      <c r="AH305" s="18">
        <f>INDEX(AH$241:AH$244,$D305)*AH253+AH$200*AH132*AH162</f>
        <v/>
      </c>
      <c r="AI305" s="19">
        <f>INDEX(AI$241:AI$244,$D305)*AI253+AI$200*AI132*AI162</f>
        <v/>
      </c>
      <c r="AJ305" s="19">
        <f>INDEX(AJ$241:AJ$244,$D305)*AJ253+AJ$200*AJ132*AJ162</f>
        <v/>
      </c>
      <c r="AK305" s="19">
        <f>INDEX(AK$241:AK$244,$D305)*AK253+AK$200*AK132*AK162</f>
        <v/>
      </c>
      <c r="AL305" s="19">
        <f>INDEX(AL$241:AL$244,$D305)*AL253+AL$200*AL132*AL162</f>
        <v/>
      </c>
      <c r="AM305" s="19">
        <f>INDEX(AM$241:AM$244,$D305)*AM253+AM$200*AM132*AM162</f>
        <v/>
      </c>
      <c r="AN305" s="19">
        <f>INDEX(AN$241:AN$244,$D305)*AN253+AN$200*AN132*AN162</f>
        <v/>
      </c>
      <c r="AO305" s="19">
        <f>INDEX(AO$241:AO$244,$D305)*AO253+AO$200*AO132*AO162</f>
        <v/>
      </c>
      <c r="AP305" s="19">
        <f>INDEX(AP$241:AP$244,$D305)*AP253+AP$200*AP132*AP162</f>
        <v/>
      </c>
      <c r="AQ305" s="19">
        <f>INDEX(AQ$241:AQ$244,$D305)*AQ253+AQ$200*AQ132*AQ162</f>
        <v/>
      </c>
      <c r="AR305" s="19">
        <f>INDEX(AR$241:AR$244,$D305)*AR253+AR$200*AR132*AR162</f>
        <v/>
      </c>
      <c r="AS305" s="19">
        <f>INDEX(AS$241:AS$244,$D305)*AS253+AS$200*AS132*AS162</f>
        <v/>
      </c>
      <c r="AT305" s="19">
        <f>INDEX(AT$241:AT$244,$D305)*AT253+AT$200*AT132*AT162</f>
        <v/>
      </c>
      <c r="AU305" s="19">
        <f>INDEX(AU$241:AU$244,$D305)*AU253+AU$200*AU132*AU162</f>
        <v/>
      </c>
      <c r="AV305" s="19">
        <f>INDEX(AV$241:AV$244,$D305)*AV253+AV$200*AV132*AV162</f>
        <v/>
      </c>
      <c r="AW305" s="19">
        <f>INDEX(AW$241:AW$244,$D305)*AW253+AW$200*AW132*AW162</f>
        <v/>
      </c>
      <c r="AX305" s="19">
        <f>INDEX(AX$241:AX$244,$D305)*AX253+AX$200*AX132*AX162</f>
        <v/>
      </c>
      <c r="AY305" s="19">
        <f>INDEX(AY$241:AY$244,$D305)*AY253+AY$200*AY132*AY162</f>
        <v/>
      </c>
      <c r="AZ305" s="19">
        <f>INDEX(AZ$241:AZ$244,$D305)*AZ253+AZ$200*AZ132*AZ162</f>
        <v/>
      </c>
      <c r="BA305" s="20">
        <f>SHADOWTOTAL(INDEX(BA$241:BA$244,$D305),BA253,BA$200,BA132,BA162)</f>
        <v/>
      </c>
    </row>
    <row r="306" hidden="1" outlineLevel="1">
      <c r="A306" s="1" t="inlineStr">
        <is>
          <t>shpx</t>
        </is>
      </c>
      <c r="B306" s="1" t="inlineStr">
        <is>
          <t>all</t>
        </is>
      </c>
      <c r="C306" s="1" t="inlineStr">
        <is>
          <t>irn</t>
        </is>
      </c>
      <c r="D306" s="26" t="n">
        <v>4</v>
      </c>
      <c r="H306" s="1">
        <f>INDEX(VarLab,MATCH($A306,VarKey,0))&amp;INDEX(MemLab,MATCH($C306&amp;"|"&amp;$B306,MemKey,0))</f>
        <v/>
      </c>
      <c r="I306" s="1">
        <f>INDEX(VarUnit,MATCH($A306,VarKey,0))</f>
        <v/>
      </c>
      <c r="J306" s="1">
        <f>INDEX(VarSrc,MATCH($A306,VarKey,0))</f>
        <v/>
      </c>
      <c r="K306" s="17">
        <f>CodePrefix&amp;$A306&amp;IF($C306="","","."&amp;$C306&amp;"."&amp;$B306)&amp;INDEX(VarEnd,MATCH($A306,VarKey,0))&amp;K$5</f>
        <v/>
      </c>
      <c r="L306" s="18">
        <f>INDEX(L$241:L$244,$D306)*L254+L$200*L133*L163</f>
        <v/>
      </c>
      <c r="M306" s="19">
        <f>INDEX(M$241:M$244,$D306)*M254+M$200*M133*M163</f>
        <v/>
      </c>
      <c r="N306" s="19">
        <f>INDEX(N$241:N$244,$D306)*N254+N$200*N133*N163</f>
        <v/>
      </c>
      <c r="O306" s="19">
        <f>INDEX(O$241:O$244,$D306)*O254+O$200*O133*O163</f>
        <v/>
      </c>
      <c r="P306" s="19">
        <f>INDEX(P$241:P$244,$D306)*P254+P$200*P133*P163</f>
        <v/>
      </c>
      <c r="Q306" s="19">
        <f>INDEX(Q$241:Q$244,$D306)*Q254+Q$200*Q133*Q163</f>
        <v/>
      </c>
      <c r="R306" s="19">
        <f>INDEX(R$241:R$244,$D306)*R254+R$200*R133*R163</f>
        <v/>
      </c>
      <c r="S306" s="19">
        <f>INDEX(S$241:S$244,$D306)*S254+S$200*S133*S163</f>
        <v/>
      </c>
      <c r="T306" s="19">
        <f>INDEX(T$241:T$244,$D306)*T254+T$200*T133*T163</f>
        <v/>
      </c>
      <c r="U306" s="19">
        <f>INDEX(U$241:U$244,$D306)*U254+U$200*U133*U163</f>
        <v/>
      </c>
      <c r="V306" s="19">
        <f>INDEX(V$241:V$244,$D306)*V254+V$200*V133*V163</f>
        <v/>
      </c>
      <c r="W306" s="19">
        <f>INDEX(W$241:W$244,$D306)*W254+W$200*W133*W163</f>
        <v/>
      </c>
      <c r="X306" s="19">
        <f>INDEX(X$241:X$244,$D306)*X254+X$200*X133*X163</f>
        <v/>
      </c>
      <c r="Y306" s="19">
        <f>INDEX(Y$241:Y$244,$D306)*Y254+Y$200*Y133*Y163</f>
        <v/>
      </c>
      <c r="Z306" s="19">
        <f>INDEX(Z$241:Z$244,$D306)*Z254+Z$200*Z133*Z163</f>
        <v/>
      </c>
      <c r="AA306" s="19">
        <f>INDEX(AA$241:AA$244,$D306)*AA254+AA$200*AA133*AA163</f>
        <v/>
      </c>
      <c r="AB306" s="19">
        <f>INDEX(AB$241:AB$244,$D306)*AB254+AB$200*AB133*AB163</f>
        <v/>
      </c>
      <c r="AC306" s="19">
        <f>INDEX(AC$241:AC$244,$D306)*AC254+AC$200*AC133*AC163</f>
        <v/>
      </c>
      <c r="AD306" s="19">
        <f>INDEX(AD$241:AD$244,$D306)*AD254+AD$200*AD133*AD163</f>
        <v/>
      </c>
      <c r="AE306" s="20">
        <f>SHADOWTOTAL(INDEX(AE$241:AE$244,$D306),AE254,AE$200,AE133,AE163)</f>
        <v/>
      </c>
      <c r="AG306" s="17">
        <f>CodePrefix&amp;$A306&amp;IF($C306="","","."&amp;$C306&amp;"."&amp;$B306)&amp;INDEX(VarEnd,MATCH($A306,VarKey,0))&amp;AG$5</f>
        <v/>
      </c>
      <c r="AH306" s="18">
        <f>INDEX(AH$241:AH$244,$D306)*AH254+AH$200*AH133*AH163</f>
        <v/>
      </c>
      <c r="AI306" s="19">
        <f>INDEX(AI$241:AI$244,$D306)*AI254+AI$200*AI133*AI163</f>
        <v/>
      </c>
      <c r="AJ306" s="19">
        <f>INDEX(AJ$241:AJ$244,$D306)*AJ254+AJ$200*AJ133*AJ163</f>
        <v/>
      </c>
      <c r="AK306" s="19">
        <f>INDEX(AK$241:AK$244,$D306)*AK254+AK$200*AK133*AK163</f>
        <v/>
      </c>
      <c r="AL306" s="19">
        <f>INDEX(AL$241:AL$244,$D306)*AL254+AL$200*AL133*AL163</f>
        <v/>
      </c>
      <c r="AM306" s="19">
        <f>INDEX(AM$241:AM$244,$D306)*AM254+AM$200*AM133*AM163</f>
        <v/>
      </c>
      <c r="AN306" s="19">
        <f>INDEX(AN$241:AN$244,$D306)*AN254+AN$200*AN133*AN163</f>
        <v/>
      </c>
      <c r="AO306" s="19">
        <f>INDEX(AO$241:AO$244,$D306)*AO254+AO$200*AO133*AO163</f>
        <v/>
      </c>
      <c r="AP306" s="19">
        <f>INDEX(AP$241:AP$244,$D306)*AP254+AP$200*AP133*AP163</f>
        <v/>
      </c>
      <c r="AQ306" s="19">
        <f>INDEX(AQ$241:AQ$244,$D306)*AQ254+AQ$200*AQ133*AQ163</f>
        <v/>
      </c>
      <c r="AR306" s="19">
        <f>INDEX(AR$241:AR$244,$D306)*AR254+AR$200*AR133*AR163</f>
        <v/>
      </c>
      <c r="AS306" s="19">
        <f>INDEX(AS$241:AS$244,$D306)*AS254+AS$200*AS133*AS163</f>
        <v/>
      </c>
      <c r="AT306" s="19">
        <f>INDEX(AT$241:AT$244,$D306)*AT254+AT$200*AT133*AT163</f>
        <v/>
      </c>
      <c r="AU306" s="19">
        <f>INDEX(AU$241:AU$244,$D306)*AU254+AU$200*AU133*AU163</f>
        <v/>
      </c>
      <c r="AV306" s="19">
        <f>INDEX(AV$241:AV$244,$D306)*AV254+AV$200*AV133*AV163</f>
        <v/>
      </c>
      <c r="AW306" s="19">
        <f>INDEX(AW$241:AW$244,$D306)*AW254+AW$200*AW133*AW163</f>
        <v/>
      </c>
      <c r="AX306" s="19">
        <f>INDEX(AX$241:AX$244,$D306)*AX254+AX$200*AX133*AX163</f>
        <v/>
      </c>
      <c r="AY306" s="19">
        <f>INDEX(AY$241:AY$244,$D306)*AY254+AY$200*AY133*AY163</f>
        <v/>
      </c>
      <c r="AZ306" s="19">
        <f>INDEX(AZ$241:AZ$244,$D306)*AZ254+AZ$200*AZ133*AZ163</f>
        <v/>
      </c>
      <c r="BA306" s="20">
        <f>SHADOWTOTAL(INDEX(BA$241:BA$244,$D306),BA254,BA$200,BA133,BA163)</f>
        <v/>
      </c>
    </row>
    <row r="307" hidden="1" outlineLevel="1">
      <c r="A307" s="1" t="inlineStr">
        <is>
          <t>shpx</t>
        </is>
      </c>
      <c r="B307" s="1" t="inlineStr">
        <is>
          <t>all</t>
        </is>
      </c>
      <c r="C307" s="1" t="inlineStr">
        <is>
          <t>nfm</t>
        </is>
      </c>
      <c r="D307" s="26" t="n">
        <v>4</v>
      </c>
      <c r="H307" s="1">
        <f>INDEX(VarLab,MATCH($A307,VarKey,0))&amp;INDEX(MemLab,MATCH($C307&amp;"|"&amp;$B307,MemKey,0))</f>
        <v/>
      </c>
      <c r="I307" s="1">
        <f>INDEX(VarUnit,MATCH($A307,VarKey,0))</f>
        <v/>
      </c>
      <c r="J307" s="1">
        <f>INDEX(VarSrc,MATCH($A307,VarKey,0))</f>
        <v/>
      </c>
      <c r="K307" s="17">
        <f>CodePrefix&amp;$A307&amp;IF($C307="","","."&amp;$C307&amp;"."&amp;$B307)&amp;INDEX(VarEnd,MATCH($A307,VarKey,0))&amp;K$5</f>
        <v/>
      </c>
      <c r="L307" s="18">
        <f>INDEX(L$241:L$244,$D307)*L255+L$200*L134*L164</f>
        <v/>
      </c>
      <c r="M307" s="19">
        <f>INDEX(M$241:M$244,$D307)*M255+M$200*M134*M164</f>
        <v/>
      </c>
      <c r="N307" s="19">
        <f>INDEX(N$241:N$244,$D307)*N255+N$200*N134*N164</f>
        <v/>
      </c>
      <c r="O307" s="19">
        <f>INDEX(O$241:O$244,$D307)*O255+O$200*O134*O164</f>
        <v/>
      </c>
      <c r="P307" s="19">
        <f>INDEX(P$241:P$244,$D307)*P255+P$200*P134*P164</f>
        <v/>
      </c>
      <c r="Q307" s="19">
        <f>INDEX(Q$241:Q$244,$D307)*Q255+Q$200*Q134*Q164</f>
        <v/>
      </c>
      <c r="R307" s="19">
        <f>INDEX(R$241:R$244,$D307)*R255+R$200*R134*R164</f>
        <v/>
      </c>
      <c r="S307" s="19">
        <f>INDEX(S$241:S$244,$D307)*S255+S$200*S134*S164</f>
        <v/>
      </c>
      <c r="T307" s="19">
        <f>INDEX(T$241:T$244,$D307)*T255+T$200*T134*T164</f>
        <v/>
      </c>
      <c r="U307" s="19">
        <f>INDEX(U$241:U$244,$D307)*U255+U$200*U134*U164</f>
        <v/>
      </c>
      <c r="V307" s="19">
        <f>INDEX(V$241:V$244,$D307)*V255+V$200*V134*V164</f>
        <v/>
      </c>
      <c r="W307" s="19">
        <f>INDEX(W$241:W$244,$D307)*W255+W$200*W134*W164</f>
        <v/>
      </c>
      <c r="X307" s="19">
        <f>INDEX(X$241:X$244,$D307)*X255+X$200*X134*X164</f>
        <v/>
      </c>
      <c r="Y307" s="19">
        <f>INDEX(Y$241:Y$244,$D307)*Y255+Y$200*Y134*Y164</f>
        <v/>
      </c>
      <c r="Z307" s="19">
        <f>INDEX(Z$241:Z$244,$D307)*Z255+Z$200*Z134*Z164</f>
        <v/>
      </c>
      <c r="AA307" s="19">
        <f>INDEX(AA$241:AA$244,$D307)*AA255+AA$200*AA134*AA164</f>
        <v/>
      </c>
      <c r="AB307" s="19">
        <f>INDEX(AB$241:AB$244,$D307)*AB255+AB$200*AB134*AB164</f>
        <v/>
      </c>
      <c r="AC307" s="19">
        <f>INDEX(AC$241:AC$244,$D307)*AC255+AC$200*AC134*AC164</f>
        <v/>
      </c>
      <c r="AD307" s="19">
        <f>INDEX(AD$241:AD$244,$D307)*AD255+AD$200*AD134*AD164</f>
        <v/>
      </c>
      <c r="AE307" s="20">
        <f>SHADOWTOTAL(INDEX(AE$241:AE$244,$D307),AE255,AE$200,AE134,AE164)</f>
        <v/>
      </c>
      <c r="AG307" s="17">
        <f>CodePrefix&amp;$A307&amp;IF($C307="","","."&amp;$C307&amp;"."&amp;$B307)&amp;INDEX(VarEnd,MATCH($A307,VarKey,0))&amp;AG$5</f>
        <v/>
      </c>
      <c r="AH307" s="18">
        <f>INDEX(AH$241:AH$244,$D307)*AH255+AH$200*AH134*AH164</f>
        <v/>
      </c>
      <c r="AI307" s="19">
        <f>INDEX(AI$241:AI$244,$D307)*AI255+AI$200*AI134*AI164</f>
        <v/>
      </c>
      <c r="AJ307" s="19">
        <f>INDEX(AJ$241:AJ$244,$D307)*AJ255+AJ$200*AJ134*AJ164</f>
        <v/>
      </c>
      <c r="AK307" s="19">
        <f>INDEX(AK$241:AK$244,$D307)*AK255+AK$200*AK134*AK164</f>
        <v/>
      </c>
      <c r="AL307" s="19">
        <f>INDEX(AL$241:AL$244,$D307)*AL255+AL$200*AL134*AL164</f>
        <v/>
      </c>
      <c r="AM307" s="19">
        <f>INDEX(AM$241:AM$244,$D307)*AM255+AM$200*AM134*AM164</f>
        <v/>
      </c>
      <c r="AN307" s="19">
        <f>INDEX(AN$241:AN$244,$D307)*AN255+AN$200*AN134*AN164</f>
        <v/>
      </c>
      <c r="AO307" s="19">
        <f>INDEX(AO$241:AO$244,$D307)*AO255+AO$200*AO134*AO164</f>
        <v/>
      </c>
      <c r="AP307" s="19">
        <f>INDEX(AP$241:AP$244,$D307)*AP255+AP$200*AP134*AP164</f>
        <v/>
      </c>
      <c r="AQ307" s="19">
        <f>INDEX(AQ$241:AQ$244,$D307)*AQ255+AQ$200*AQ134*AQ164</f>
        <v/>
      </c>
      <c r="AR307" s="19">
        <f>INDEX(AR$241:AR$244,$D307)*AR255+AR$200*AR134*AR164</f>
        <v/>
      </c>
      <c r="AS307" s="19">
        <f>INDEX(AS$241:AS$244,$D307)*AS255+AS$200*AS134*AS164</f>
        <v/>
      </c>
      <c r="AT307" s="19">
        <f>INDEX(AT$241:AT$244,$D307)*AT255+AT$200*AT134*AT164</f>
        <v/>
      </c>
      <c r="AU307" s="19">
        <f>INDEX(AU$241:AU$244,$D307)*AU255+AU$200*AU134*AU164</f>
        <v/>
      </c>
      <c r="AV307" s="19">
        <f>INDEX(AV$241:AV$244,$D307)*AV255+AV$200*AV134*AV164</f>
        <v/>
      </c>
      <c r="AW307" s="19">
        <f>INDEX(AW$241:AW$244,$D307)*AW255+AW$200*AW134*AW164</f>
        <v/>
      </c>
      <c r="AX307" s="19">
        <f>INDEX(AX$241:AX$244,$D307)*AX255+AX$200*AX134*AX164</f>
        <v/>
      </c>
      <c r="AY307" s="19">
        <f>INDEX(AY$241:AY$244,$D307)*AY255+AY$200*AY134*AY164</f>
        <v/>
      </c>
      <c r="AZ307" s="19">
        <f>INDEX(AZ$241:AZ$244,$D307)*AZ255+AZ$200*AZ134*AZ164</f>
        <v/>
      </c>
      <c r="BA307" s="20">
        <f>SHADOWTOTAL(INDEX(BA$241:BA$244,$D307),BA255,BA$200,BA134,BA164)</f>
        <v/>
      </c>
    </row>
    <row r="308" hidden="1" outlineLevel="1">
      <c r="A308" s="1" t="inlineStr">
        <is>
          <t>shpx</t>
        </is>
      </c>
      <c r="B308" s="1" t="inlineStr">
        <is>
          <t>all</t>
        </is>
      </c>
      <c r="C308" s="1" t="inlineStr">
        <is>
          <t>mac</t>
        </is>
      </c>
      <c r="D308" s="26" t="n">
        <v>4</v>
      </c>
      <c r="H308" s="1">
        <f>INDEX(VarLab,MATCH($A308,VarKey,0))&amp;INDEX(MemLab,MATCH($C308&amp;"|"&amp;$B308,MemKey,0))</f>
        <v/>
      </c>
      <c r="I308" s="1">
        <f>INDEX(VarUnit,MATCH($A308,VarKey,0))</f>
        <v/>
      </c>
      <c r="J308" s="1">
        <f>INDEX(VarSrc,MATCH($A308,VarKey,0))</f>
        <v/>
      </c>
      <c r="K308" s="17">
        <f>CodePrefix&amp;$A308&amp;IF($C308="","","."&amp;$C308&amp;"."&amp;$B308)&amp;INDEX(VarEnd,MATCH($A308,VarKey,0))&amp;K$5</f>
        <v/>
      </c>
      <c r="L308" s="18">
        <f>INDEX(L$241:L$244,$D308)*L256+L$200*L135*L165</f>
        <v/>
      </c>
      <c r="M308" s="19">
        <f>INDEX(M$241:M$244,$D308)*M256+M$200*M135*M165</f>
        <v/>
      </c>
      <c r="N308" s="19">
        <f>INDEX(N$241:N$244,$D308)*N256+N$200*N135*N165</f>
        <v/>
      </c>
      <c r="O308" s="19">
        <f>INDEX(O$241:O$244,$D308)*O256+O$200*O135*O165</f>
        <v/>
      </c>
      <c r="P308" s="19">
        <f>INDEX(P$241:P$244,$D308)*P256+P$200*P135*P165</f>
        <v/>
      </c>
      <c r="Q308" s="19">
        <f>INDEX(Q$241:Q$244,$D308)*Q256+Q$200*Q135*Q165</f>
        <v/>
      </c>
      <c r="R308" s="19">
        <f>INDEX(R$241:R$244,$D308)*R256+R$200*R135*R165</f>
        <v/>
      </c>
      <c r="S308" s="19">
        <f>INDEX(S$241:S$244,$D308)*S256+S$200*S135*S165</f>
        <v/>
      </c>
      <c r="T308" s="19">
        <f>INDEX(T$241:T$244,$D308)*T256+T$200*T135*T165</f>
        <v/>
      </c>
      <c r="U308" s="19">
        <f>INDEX(U$241:U$244,$D308)*U256+U$200*U135*U165</f>
        <v/>
      </c>
      <c r="V308" s="19">
        <f>INDEX(V$241:V$244,$D308)*V256+V$200*V135*V165</f>
        <v/>
      </c>
      <c r="W308" s="19">
        <f>INDEX(W$241:W$244,$D308)*W256+W$200*W135*W165</f>
        <v/>
      </c>
      <c r="X308" s="19">
        <f>INDEX(X$241:X$244,$D308)*X256+X$200*X135*X165</f>
        <v/>
      </c>
      <c r="Y308" s="19">
        <f>INDEX(Y$241:Y$244,$D308)*Y256+Y$200*Y135*Y165</f>
        <v/>
      </c>
      <c r="Z308" s="19">
        <f>INDEX(Z$241:Z$244,$D308)*Z256+Z$200*Z135*Z165</f>
        <v/>
      </c>
      <c r="AA308" s="19">
        <f>INDEX(AA$241:AA$244,$D308)*AA256+AA$200*AA135*AA165</f>
        <v/>
      </c>
      <c r="AB308" s="19">
        <f>INDEX(AB$241:AB$244,$D308)*AB256+AB$200*AB135*AB165</f>
        <v/>
      </c>
      <c r="AC308" s="19">
        <f>INDEX(AC$241:AC$244,$D308)*AC256+AC$200*AC135*AC165</f>
        <v/>
      </c>
      <c r="AD308" s="19">
        <f>INDEX(AD$241:AD$244,$D308)*AD256+AD$200*AD135*AD165</f>
        <v/>
      </c>
      <c r="AE308" s="20">
        <f>SHADOWTOTAL(INDEX(AE$241:AE$244,$D308),AE256,AE$200,AE135,AE165)</f>
        <v/>
      </c>
      <c r="AG308" s="17">
        <f>CodePrefix&amp;$A308&amp;IF($C308="","","."&amp;$C308&amp;"."&amp;$B308)&amp;INDEX(VarEnd,MATCH($A308,VarKey,0))&amp;AG$5</f>
        <v/>
      </c>
      <c r="AH308" s="18">
        <f>INDEX(AH$241:AH$244,$D308)*AH256+AH$200*AH135*AH165</f>
        <v/>
      </c>
      <c r="AI308" s="19">
        <f>INDEX(AI$241:AI$244,$D308)*AI256+AI$200*AI135*AI165</f>
        <v/>
      </c>
      <c r="AJ308" s="19">
        <f>INDEX(AJ$241:AJ$244,$D308)*AJ256+AJ$200*AJ135*AJ165</f>
        <v/>
      </c>
      <c r="AK308" s="19">
        <f>INDEX(AK$241:AK$244,$D308)*AK256+AK$200*AK135*AK165</f>
        <v/>
      </c>
      <c r="AL308" s="19">
        <f>INDEX(AL$241:AL$244,$D308)*AL256+AL$200*AL135*AL165</f>
        <v/>
      </c>
      <c r="AM308" s="19">
        <f>INDEX(AM$241:AM$244,$D308)*AM256+AM$200*AM135*AM165</f>
        <v/>
      </c>
      <c r="AN308" s="19">
        <f>INDEX(AN$241:AN$244,$D308)*AN256+AN$200*AN135*AN165</f>
        <v/>
      </c>
      <c r="AO308" s="19">
        <f>INDEX(AO$241:AO$244,$D308)*AO256+AO$200*AO135*AO165</f>
        <v/>
      </c>
      <c r="AP308" s="19">
        <f>INDEX(AP$241:AP$244,$D308)*AP256+AP$200*AP135*AP165</f>
        <v/>
      </c>
      <c r="AQ308" s="19">
        <f>INDEX(AQ$241:AQ$244,$D308)*AQ256+AQ$200*AQ135*AQ165</f>
        <v/>
      </c>
      <c r="AR308" s="19">
        <f>INDEX(AR$241:AR$244,$D308)*AR256+AR$200*AR135*AR165</f>
        <v/>
      </c>
      <c r="AS308" s="19">
        <f>INDEX(AS$241:AS$244,$D308)*AS256+AS$200*AS135*AS165</f>
        <v/>
      </c>
      <c r="AT308" s="19">
        <f>INDEX(AT$241:AT$244,$D308)*AT256+AT$200*AT135*AT165</f>
        <v/>
      </c>
      <c r="AU308" s="19">
        <f>INDEX(AU$241:AU$244,$D308)*AU256+AU$200*AU135*AU165</f>
        <v/>
      </c>
      <c r="AV308" s="19">
        <f>INDEX(AV$241:AV$244,$D308)*AV256+AV$200*AV135*AV165</f>
        <v/>
      </c>
      <c r="AW308" s="19">
        <f>INDEX(AW$241:AW$244,$D308)*AW256+AW$200*AW135*AW165</f>
        <v/>
      </c>
      <c r="AX308" s="19">
        <f>INDEX(AX$241:AX$244,$D308)*AX256+AX$200*AX135*AX165</f>
        <v/>
      </c>
      <c r="AY308" s="19">
        <f>INDEX(AY$241:AY$244,$D308)*AY256+AY$200*AY135*AY165</f>
        <v/>
      </c>
      <c r="AZ308" s="19">
        <f>INDEX(AZ$241:AZ$244,$D308)*AZ256+AZ$200*AZ135*AZ165</f>
        <v/>
      </c>
      <c r="BA308" s="20">
        <f>SHADOWTOTAL(INDEX(BA$241:BA$244,$D308),BA256,BA$200,BA135,BA165)</f>
        <v/>
      </c>
    </row>
    <row r="309" hidden="1" outlineLevel="1">
      <c r="A309" s="1" t="inlineStr">
        <is>
          <t>shpx</t>
        </is>
      </c>
      <c r="B309" s="1" t="inlineStr">
        <is>
          <t>all</t>
        </is>
      </c>
      <c r="C309" s="1" t="inlineStr">
        <is>
          <t>cem</t>
        </is>
      </c>
      <c r="D309" s="26" t="n">
        <v>4</v>
      </c>
      <c r="H309" s="1">
        <f>INDEX(VarLab,MATCH($A309,VarKey,0))&amp;INDEX(MemLab,MATCH($C309&amp;"|"&amp;$B309,MemKey,0))</f>
        <v/>
      </c>
      <c r="I309" s="1">
        <f>INDEX(VarUnit,MATCH($A309,VarKey,0))</f>
        <v/>
      </c>
      <c r="J309" s="1">
        <f>INDEX(VarSrc,MATCH($A309,VarKey,0))</f>
        <v/>
      </c>
      <c r="K309" s="17">
        <f>CodePrefix&amp;$A309&amp;IF($C309="","","."&amp;$C309&amp;"."&amp;$B309)&amp;INDEX(VarEnd,MATCH($A309,VarKey,0))&amp;K$5</f>
        <v/>
      </c>
      <c r="L309" s="18">
        <f>INDEX(L$241:L$244,$D309)*L257+L$200*L136*L166</f>
        <v/>
      </c>
      <c r="M309" s="19">
        <f>INDEX(M$241:M$244,$D309)*M257+M$200*M136*M166</f>
        <v/>
      </c>
      <c r="N309" s="19">
        <f>INDEX(N$241:N$244,$D309)*N257+N$200*N136*N166</f>
        <v/>
      </c>
      <c r="O309" s="19">
        <f>INDEX(O$241:O$244,$D309)*O257+O$200*O136*O166</f>
        <v/>
      </c>
      <c r="P309" s="19">
        <f>INDEX(P$241:P$244,$D309)*P257+P$200*P136*P166</f>
        <v/>
      </c>
      <c r="Q309" s="19">
        <f>INDEX(Q$241:Q$244,$D309)*Q257+Q$200*Q136*Q166</f>
        <v/>
      </c>
      <c r="R309" s="19">
        <f>INDEX(R$241:R$244,$D309)*R257+R$200*R136*R166</f>
        <v/>
      </c>
      <c r="S309" s="19">
        <f>INDEX(S$241:S$244,$D309)*S257+S$200*S136*S166</f>
        <v/>
      </c>
      <c r="T309" s="19">
        <f>INDEX(T$241:T$244,$D309)*T257+T$200*T136*T166</f>
        <v/>
      </c>
      <c r="U309" s="19">
        <f>INDEX(U$241:U$244,$D309)*U257+U$200*U136*U166</f>
        <v/>
      </c>
      <c r="V309" s="19">
        <f>INDEX(V$241:V$244,$D309)*V257+V$200*V136*V166</f>
        <v/>
      </c>
      <c r="W309" s="19">
        <f>INDEX(W$241:W$244,$D309)*W257+W$200*W136*W166</f>
        <v/>
      </c>
      <c r="X309" s="19">
        <f>INDEX(X$241:X$244,$D309)*X257+X$200*X136*X166</f>
        <v/>
      </c>
      <c r="Y309" s="19">
        <f>INDEX(Y$241:Y$244,$D309)*Y257+Y$200*Y136*Y166</f>
        <v/>
      </c>
      <c r="Z309" s="19">
        <f>INDEX(Z$241:Z$244,$D309)*Z257+Z$200*Z136*Z166</f>
        <v/>
      </c>
      <c r="AA309" s="19">
        <f>INDEX(AA$241:AA$244,$D309)*AA257+AA$200*AA136*AA166</f>
        <v/>
      </c>
      <c r="AB309" s="19">
        <f>INDEX(AB$241:AB$244,$D309)*AB257+AB$200*AB136*AB166</f>
        <v/>
      </c>
      <c r="AC309" s="19">
        <f>INDEX(AC$241:AC$244,$D309)*AC257+AC$200*AC136*AC166</f>
        <v/>
      </c>
      <c r="AD309" s="19">
        <f>INDEX(AD$241:AD$244,$D309)*AD257+AD$200*AD136*AD166</f>
        <v/>
      </c>
      <c r="AE309" s="20">
        <f>SHADOWTOTAL(INDEX(AE$241:AE$244,$D309),AE257,AE$200,AE136,AE166)</f>
        <v/>
      </c>
      <c r="AG309" s="17">
        <f>CodePrefix&amp;$A309&amp;IF($C309="","","."&amp;$C309&amp;"."&amp;$B309)&amp;INDEX(VarEnd,MATCH($A309,VarKey,0))&amp;AG$5</f>
        <v/>
      </c>
      <c r="AH309" s="18">
        <f>INDEX(AH$241:AH$244,$D309)*AH257+AH$200*AH136*AH166</f>
        <v/>
      </c>
      <c r="AI309" s="19">
        <f>INDEX(AI$241:AI$244,$D309)*AI257+AI$200*AI136*AI166</f>
        <v/>
      </c>
      <c r="AJ309" s="19">
        <f>INDEX(AJ$241:AJ$244,$D309)*AJ257+AJ$200*AJ136*AJ166</f>
        <v/>
      </c>
      <c r="AK309" s="19">
        <f>INDEX(AK$241:AK$244,$D309)*AK257+AK$200*AK136*AK166</f>
        <v/>
      </c>
      <c r="AL309" s="19">
        <f>INDEX(AL$241:AL$244,$D309)*AL257+AL$200*AL136*AL166</f>
        <v/>
      </c>
      <c r="AM309" s="19">
        <f>INDEX(AM$241:AM$244,$D309)*AM257+AM$200*AM136*AM166</f>
        <v/>
      </c>
      <c r="AN309" s="19">
        <f>INDEX(AN$241:AN$244,$D309)*AN257+AN$200*AN136*AN166</f>
        <v/>
      </c>
      <c r="AO309" s="19">
        <f>INDEX(AO$241:AO$244,$D309)*AO257+AO$200*AO136*AO166</f>
        <v/>
      </c>
      <c r="AP309" s="19">
        <f>INDEX(AP$241:AP$244,$D309)*AP257+AP$200*AP136*AP166</f>
        <v/>
      </c>
      <c r="AQ309" s="19">
        <f>INDEX(AQ$241:AQ$244,$D309)*AQ257+AQ$200*AQ136*AQ166</f>
        <v/>
      </c>
      <c r="AR309" s="19">
        <f>INDEX(AR$241:AR$244,$D309)*AR257+AR$200*AR136*AR166</f>
        <v/>
      </c>
      <c r="AS309" s="19">
        <f>INDEX(AS$241:AS$244,$D309)*AS257+AS$200*AS136*AS166</f>
        <v/>
      </c>
      <c r="AT309" s="19">
        <f>INDEX(AT$241:AT$244,$D309)*AT257+AT$200*AT136*AT166</f>
        <v/>
      </c>
      <c r="AU309" s="19">
        <f>INDEX(AU$241:AU$244,$D309)*AU257+AU$200*AU136*AU166</f>
        <v/>
      </c>
      <c r="AV309" s="19">
        <f>INDEX(AV$241:AV$244,$D309)*AV257+AV$200*AV136*AV166</f>
        <v/>
      </c>
      <c r="AW309" s="19">
        <f>INDEX(AW$241:AW$244,$D309)*AW257+AW$200*AW136*AW166</f>
        <v/>
      </c>
      <c r="AX309" s="19">
        <f>INDEX(AX$241:AX$244,$D309)*AX257+AX$200*AX136*AX166</f>
        <v/>
      </c>
      <c r="AY309" s="19">
        <f>INDEX(AY$241:AY$244,$D309)*AY257+AY$200*AY136*AY166</f>
        <v/>
      </c>
      <c r="AZ309" s="19">
        <f>INDEX(AZ$241:AZ$244,$D309)*AZ257+AZ$200*AZ136*AZ166</f>
        <v/>
      </c>
      <c r="BA309" s="20">
        <f>SHADOWTOTAL(INDEX(BA$241:BA$244,$D309),BA257,BA$200,BA136,BA166)</f>
        <v/>
      </c>
    </row>
    <row r="310" hidden="1" outlineLevel="1">
      <c r="A310" s="1" t="inlineStr">
        <is>
          <t>shpx</t>
        </is>
      </c>
      <c r="B310" s="1" t="inlineStr">
        <is>
          <t>all</t>
        </is>
      </c>
      <c r="C310" s="1" t="inlineStr">
        <is>
          <t>omn</t>
        </is>
      </c>
      <c r="D310" s="26" t="n">
        <v>4</v>
      </c>
      <c r="H310" s="1">
        <f>INDEX(VarLab,MATCH($A310,VarKey,0))&amp;INDEX(MemLab,MATCH($C310&amp;"|"&amp;$B310,MemKey,0))</f>
        <v/>
      </c>
      <c r="I310" s="1">
        <f>INDEX(VarUnit,MATCH($A310,VarKey,0))</f>
        <v/>
      </c>
      <c r="J310" s="1">
        <f>INDEX(VarSrc,MATCH($A310,VarKey,0))</f>
        <v/>
      </c>
      <c r="K310" s="17">
        <f>CodePrefix&amp;$A310&amp;IF($C310="","","."&amp;$C310&amp;"."&amp;$B310)&amp;INDEX(VarEnd,MATCH($A310,VarKey,0))&amp;K$5</f>
        <v/>
      </c>
      <c r="L310" s="18">
        <f>INDEX(L$241:L$244,$D310)*L258+L$200*L137*L167</f>
        <v/>
      </c>
      <c r="M310" s="19">
        <f>INDEX(M$241:M$244,$D310)*M258+M$200*M137*M167</f>
        <v/>
      </c>
      <c r="N310" s="19">
        <f>INDEX(N$241:N$244,$D310)*N258+N$200*N137*N167</f>
        <v/>
      </c>
      <c r="O310" s="19">
        <f>INDEX(O$241:O$244,$D310)*O258+O$200*O137*O167</f>
        <v/>
      </c>
      <c r="P310" s="19">
        <f>INDEX(P$241:P$244,$D310)*P258+P$200*P137*P167</f>
        <v/>
      </c>
      <c r="Q310" s="19">
        <f>INDEX(Q$241:Q$244,$D310)*Q258+Q$200*Q137*Q167</f>
        <v/>
      </c>
      <c r="R310" s="19">
        <f>INDEX(R$241:R$244,$D310)*R258+R$200*R137*R167</f>
        <v/>
      </c>
      <c r="S310" s="19">
        <f>INDEX(S$241:S$244,$D310)*S258+S$200*S137*S167</f>
        <v/>
      </c>
      <c r="T310" s="19">
        <f>INDEX(T$241:T$244,$D310)*T258+T$200*T137*T167</f>
        <v/>
      </c>
      <c r="U310" s="19">
        <f>INDEX(U$241:U$244,$D310)*U258+U$200*U137*U167</f>
        <v/>
      </c>
      <c r="V310" s="19">
        <f>INDEX(V$241:V$244,$D310)*V258+V$200*V137*V167</f>
        <v/>
      </c>
      <c r="W310" s="19">
        <f>INDEX(W$241:W$244,$D310)*W258+W$200*W137*W167</f>
        <v/>
      </c>
      <c r="X310" s="19">
        <f>INDEX(X$241:X$244,$D310)*X258+X$200*X137*X167</f>
        <v/>
      </c>
      <c r="Y310" s="19">
        <f>INDEX(Y$241:Y$244,$D310)*Y258+Y$200*Y137*Y167</f>
        <v/>
      </c>
      <c r="Z310" s="19">
        <f>INDEX(Z$241:Z$244,$D310)*Z258+Z$200*Z137*Z167</f>
        <v/>
      </c>
      <c r="AA310" s="19">
        <f>INDEX(AA$241:AA$244,$D310)*AA258+AA$200*AA137*AA167</f>
        <v/>
      </c>
      <c r="AB310" s="19">
        <f>INDEX(AB$241:AB$244,$D310)*AB258+AB$200*AB137*AB167</f>
        <v/>
      </c>
      <c r="AC310" s="19">
        <f>INDEX(AC$241:AC$244,$D310)*AC258+AC$200*AC137*AC167</f>
        <v/>
      </c>
      <c r="AD310" s="19">
        <f>INDEX(AD$241:AD$244,$D310)*AD258+AD$200*AD137*AD167</f>
        <v/>
      </c>
      <c r="AE310" s="20">
        <f>SHADOWTOTAL(INDEX(AE$241:AE$244,$D310),AE258,AE$200,AE137,AE167)</f>
        <v/>
      </c>
      <c r="AG310" s="17">
        <f>CodePrefix&amp;$A310&amp;IF($C310="","","."&amp;$C310&amp;"."&amp;$B310)&amp;INDEX(VarEnd,MATCH($A310,VarKey,0))&amp;AG$5</f>
        <v/>
      </c>
      <c r="AH310" s="18">
        <f>INDEX(AH$241:AH$244,$D310)*AH258+AH$200*AH137*AH167</f>
        <v/>
      </c>
      <c r="AI310" s="19">
        <f>INDEX(AI$241:AI$244,$D310)*AI258+AI$200*AI137*AI167</f>
        <v/>
      </c>
      <c r="AJ310" s="19">
        <f>INDEX(AJ$241:AJ$244,$D310)*AJ258+AJ$200*AJ137*AJ167</f>
        <v/>
      </c>
      <c r="AK310" s="19">
        <f>INDEX(AK$241:AK$244,$D310)*AK258+AK$200*AK137*AK167</f>
        <v/>
      </c>
      <c r="AL310" s="19">
        <f>INDEX(AL$241:AL$244,$D310)*AL258+AL$200*AL137*AL167</f>
        <v/>
      </c>
      <c r="AM310" s="19">
        <f>INDEX(AM$241:AM$244,$D310)*AM258+AM$200*AM137*AM167</f>
        <v/>
      </c>
      <c r="AN310" s="19">
        <f>INDEX(AN$241:AN$244,$D310)*AN258+AN$200*AN137*AN167</f>
        <v/>
      </c>
      <c r="AO310" s="19">
        <f>INDEX(AO$241:AO$244,$D310)*AO258+AO$200*AO137*AO167</f>
        <v/>
      </c>
      <c r="AP310" s="19">
        <f>INDEX(AP$241:AP$244,$D310)*AP258+AP$200*AP137*AP167</f>
        <v/>
      </c>
      <c r="AQ310" s="19">
        <f>INDEX(AQ$241:AQ$244,$D310)*AQ258+AQ$200*AQ137*AQ167</f>
        <v/>
      </c>
      <c r="AR310" s="19">
        <f>INDEX(AR$241:AR$244,$D310)*AR258+AR$200*AR137*AR167</f>
        <v/>
      </c>
      <c r="AS310" s="19">
        <f>INDEX(AS$241:AS$244,$D310)*AS258+AS$200*AS137*AS167</f>
        <v/>
      </c>
      <c r="AT310" s="19">
        <f>INDEX(AT$241:AT$244,$D310)*AT258+AT$200*AT137*AT167</f>
        <v/>
      </c>
      <c r="AU310" s="19">
        <f>INDEX(AU$241:AU$244,$D310)*AU258+AU$200*AU137*AU167</f>
        <v/>
      </c>
      <c r="AV310" s="19">
        <f>INDEX(AV$241:AV$244,$D310)*AV258+AV$200*AV137*AV167</f>
        <v/>
      </c>
      <c r="AW310" s="19">
        <f>INDEX(AW$241:AW$244,$D310)*AW258+AW$200*AW137*AW167</f>
        <v/>
      </c>
      <c r="AX310" s="19">
        <f>INDEX(AX$241:AX$244,$D310)*AX258+AX$200*AX137*AX167</f>
        <v/>
      </c>
      <c r="AY310" s="19">
        <f>INDEX(AY$241:AY$244,$D310)*AY258+AY$200*AY137*AY167</f>
        <v/>
      </c>
      <c r="AZ310" s="19">
        <f>INDEX(AZ$241:AZ$244,$D310)*AZ258+AZ$200*AZ137*AZ167</f>
        <v/>
      </c>
      <c r="BA310" s="20">
        <f>SHADOWTOTAL(INDEX(BA$241:BA$244,$D310),BA258,BA$200,BA137,BA167)</f>
        <v/>
      </c>
    </row>
    <row r="311" hidden="1" outlineLevel="1">
      <c r="A311" s="1" t="inlineStr">
        <is>
          <t>shpx</t>
        </is>
      </c>
      <c r="B311" s="1" t="inlineStr">
        <is>
          <t>all</t>
        </is>
      </c>
      <c r="C311" s="1" t="inlineStr">
        <is>
          <t>cst</t>
        </is>
      </c>
      <c r="D311" s="26" t="n">
        <v>4</v>
      </c>
      <c r="H311" s="1">
        <f>INDEX(VarLab,MATCH($A311,VarKey,0))&amp;INDEX(MemLab,MATCH($C311&amp;"|"&amp;$B311,MemKey,0))</f>
        <v/>
      </c>
      <c r="I311" s="1">
        <f>INDEX(VarUnit,MATCH($A311,VarKey,0))</f>
        <v/>
      </c>
      <c r="J311" s="1">
        <f>INDEX(VarSrc,MATCH($A311,VarKey,0))</f>
        <v/>
      </c>
      <c r="K311" s="17">
        <f>CodePrefix&amp;$A311&amp;IF($C311="","","."&amp;$C311&amp;"."&amp;$B311)&amp;INDEX(VarEnd,MATCH($A311,VarKey,0))&amp;K$5</f>
        <v/>
      </c>
      <c r="L311" s="18">
        <f>INDEX(L$241:L$244,$D311)*L259+L$200*L138*L168</f>
        <v/>
      </c>
      <c r="M311" s="19">
        <f>INDEX(M$241:M$244,$D311)*M259+M$200*M138*M168</f>
        <v/>
      </c>
      <c r="N311" s="19">
        <f>INDEX(N$241:N$244,$D311)*N259+N$200*N138*N168</f>
        <v/>
      </c>
      <c r="O311" s="19">
        <f>INDEX(O$241:O$244,$D311)*O259+O$200*O138*O168</f>
        <v/>
      </c>
      <c r="P311" s="19">
        <f>INDEX(P$241:P$244,$D311)*P259+P$200*P138*P168</f>
        <v/>
      </c>
      <c r="Q311" s="19">
        <f>INDEX(Q$241:Q$244,$D311)*Q259+Q$200*Q138*Q168</f>
        <v/>
      </c>
      <c r="R311" s="19">
        <f>INDEX(R$241:R$244,$D311)*R259+R$200*R138*R168</f>
        <v/>
      </c>
      <c r="S311" s="19">
        <f>INDEX(S$241:S$244,$D311)*S259+S$200*S138*S168</f>
        <v/>
      </c>
      <c r="T311" s="19">
        <f>INDEX(T$241:T$244,$D311)*T259+T$200*T138*T168</f>
        <v/>
      </c>
      <c r="U311" s="19">
        <f>INDEX(U$241:U$244,$D311)*U259+U$200*U138*U168</f>
        <v/>
      </c>
      <c r="V311" s="19">
        <f>INDEX(V$241:V$244,$D311)*V259+V$200*V138*V168</f>
        <v/>
      </c>
      <c r="W311" s="19">
        <f>INDEX(W$241:W$244,$D311)*W259+W$200*W138*W168</f>
        <v/>
      </c>
      <c r="X311" s="19">
        <f>INDEX(X$241:X$244,$D311)*X259+X$200*X138*X168</f>
        <v/>
      </c>
      <c r="Y311" s="19">
        <f>INDEX(Y$241:Y$244,$D311)*Y259+Y$200*Y138*Y168</f>
        <v/>
      </c>
      <c r="Z311" s="19">
        <f>INDEX(Z$241:Z$244,$D311)*Z259+Z$200*Z138*Z168</f>
        <v/>
      </c>
      <c r="AA311" s="19">
        <f>INDEX(AA$241:AA$244,$D311)*AA259+AA$200*AA138*AA168</f>
        <v/>
      </c>
      <c r="AB311" s="19">
        <f>INDEX(AB$241:AB$244,$D311)*AB259+AB$200*AB138*AB168</f>
        <v/>
      </c>
      <c r="AC311" s="19">
        <f>INDEX(AC$241:AC$244,$D311)*AC259+AC$200*AC138*AC168</f>
        <v/>
      </c>
      <c r="AD311" s="19">
        <f>INDEX(AD$241:AD$244,$D311)*AD259+AD$200*AD138*AD168</f>
        <v/>
      </c>
      <c r="AE311" s="20">
        <f>SHADOWTOTAL(INDEX(AE$241:AE$244,$D311),AE259,AE$200,AE138,AE168)</f>
        <v/>
      </c>
      <c r="AG311" s="17">
        <f>CodePrefix&amp;$A311&amp;IF($C311="","","."&amp;$C311&amp;"."&amp;$B311)&amp;INDEX(VarEnd,MATCH($A311,VarKey,0))&amp;AG$5</f>
        <v/>
      </c>
      <c r="AH311" s="18">
        <f>INDEX(AH$241:AH$244,$D311)*AH259+AH$200*AH138*AH168</f>
        <v/>
      </c>
      <c r="AI311" s="19">
        <f>INDEX(AI$241:AI$244,$D311)*AI259+AI$200*AI138*AI168</f>
        <v/>
      </c>
      <c r="AJ311" s="19">
        <f>INDEX(AJ$241:AJ$244,$D311)*AJ259+AJ$200*AJ138*AJ168</f>
        <v/>
      </c>
      <c r="AK311" s="19">
        <f>INDEX(AK$241:AK$244,$D311)*AK259+AK$200*AK138*AK168</f>
        <v/>
      </c>
      <c r="AL311" s="19">
        <f>INDEX(AL$241:AL$244,$D311)*AL259+AL$200*AL138*AL168</f>
        <v/>
      </c>
      <c r="AM311" s="19">
        <f>INDEX(AM$241:AM$244,$D311)*AM259+AM$200*AM138*AM168</f>
        <v/>
      </c>
      <c r="AN311" s="19">
        <f>INDEX(AN$241:AN$244,$D311)*AN259+AN$200*AN138*AN168</f>
        <v/>
      </c>
      <c r="AO311" s="19">
        <f>INDEX(AO$241:AO$244,$D311)*AO259+AO$200*AO138*AO168</f>
        <v/>
      </c>
      <c r="AP311" s="19">
        <f>INDEX(AP$241:AP$244,$D311)*AP259+AP$200*AP138*AP168</f>
        <v/>
      </c>
      <c r="AQ311" s="19">
        <f>INDEX(AQ$241:AQ$244,$D311)*AQ259+AQ$200*AQ138*AQ168</f>
        <v/>
      </c>
      <c r="AR311" s="19">
        <f>INDEX(AR$241:AR$244,$D311)*AR259+AR$200*AR138*AR168</f>
        <v/>
      </c>
      <c r="AS311" s="19">
        <f>INDEX(AS$241:AS$244,$D311)*AS259+AS$200*AS138*AS168</f>
        <v/>
      </c>
      <c r="AT311" s="19">
        <f>INDEX(AT$241:AT$244,$D311)*AT259+AT$200*AT138*AT168</f>
        <v/>
      </c>
      <c r="AU311" s="19">
        <f>INDEX(AU$241:AU$244,$D311)*AU259+AU$200*AU138*AU168</f>
        <v/>
      </c>
      <c r="AV311" s="19">
        <f>INDEX(AV$241:AV$244,$D311)*AV259+AV$200*AV138*AV168</f>
        <v/>
      </c>
      <c r="AW311" s="19">
        <f>INDEX(AW$241:AW$244,$D311)*AW259+AW$200*AW138*AW168</f>
        <v/>
      </c>
      <c r="AX311" s="19">
        <f>INDEX(AX$241:AX$244,$D311)*AX259+AX$200*AX138*AX168</f>
        <v/>
      </c>
      <c r="AY311" s="19">
        <f>INDEX(AY$241:AY$244,$D311)*AY259+AY$200*AY138*AY168</f>
        <v/>
      </c>
      <c r="AZ311" s="19">
        <f>INDEX(AZ$241:AZ$244,$D311)*AZ259+AZ$200*AZ138*AZ168</f>
        <v/>
      </c>
      <c r="BA311" s="20">
        <f>SHADOWTOTAL(INDEX(BA$241:BA$244,$D311),BA259,BA$200,BA138,BA168)</f>
        <v/>
      </c>
    </row>
    <row r="312" hidden="1" outlineLevel="1">
      <c r="A312" s="1" t="inlineStr">
        <is>
          <t>shpx</t>
        </is>
      </c>
      <c r="B312" s="1" t="inlineStr">
        <is>
          <t>all</t>
        </is>
      </c>
      <c r="C312" s="1" t="inlineStr">
        <is>
          <t>ftr</t>
        </is>
      </c>
      <c r="D312" s="26" t="n">
        <v>4</v>
      </c>
      <c r="H312" s="1">
        <f>INDEX(VarLab,MATCH($A312,VarKey,0))&amp;INDEX(MemLab,MATCH($C312&amp;"|"&amp;$B312,MemKey,0))</f>
        <v/>
      </c>
      <c r="I312" s="1">
        <f>INDEX(VarUnit,MATCH($A312,VarKey,0))</f>
        <v/>
      </c>
      <c r="J312" s="1">
        <f>INDEX(VarSrc,MATCH($A312,VarKey,0))</f>
        <v/>
      </c>
      <c r="K312" s="17">
        <f>CodePrefix&amp;$A312&amp;IF($C312="","","."&amp;$C312&amp;"."&amp;$B312)&amp;INDEX(VarEnd,MATCH($A312,VarKey,0))&amp;K$5</f>
        <v/>
      </c>
      <c r="L312" s="18">
        <f>INDEX(L$241:L$244,$D312)*L260+L$200*L139*L169</f>
        <v/>
      </c>
      <c r="M312" s="19">
        <f>INDEX(M$241:M$244,$D312)*M260+M$200*M139*M169</f>
        <v/>
      </c>
      <c r="N312" s="19">
        <f>INDEX(N$241:N$244,$D312)*N260+N$200*N139*N169</f>
        <v/>
      </c>
      <c r="O312" s="19">
        <f>INDEX(O$241:O$244,$D312)*O260+O$200*O139*O169</f>
        <v/>
      </c>
      <c r="P312" s="19">
        <f>INDEX(P$241:P$244,$D312)*P260+P$200*P139*P169</f>
        <v/>
      </c>
      <c r="Q312" s="19">
        <f>INDEX(Q$241:Q$244,$D312)*Q260+Q$200*Q139*Q169</f>
        <v/>
      </c>
      <c r="R312" s="19">
        <f>INDEX(R$241:R$244,$D312)*R260+R$200*R139*R169</f>
        <v/>
      </c>
      <c r="S312" s="19">
        <f>INDEX(S$241:S$244,$D312)*S260+S$200*S139*S169</f>
        <v/>
      </c>
      <c r="T312" s="19">
        <f>INDEX(T$241:T$244,$D312)*T260+T$200*T139*T169</f>
        <v/>
      </c>
      <c r="U312" s="19">
        <f>INDEX(U$241:U$244,$D312)*U260+U$200*U139*U169</f>
        <v/>
      </c>
      <c r="V312" s="19">
        <f>INDEX(V$241:V$244,$D312)*V260+V$200*V139*V169</f>
        <v/>
      </c>
      <c r="W312" s="19">
        <f>INDEX(W$241:W$244,$D312)*W260+W$200*W139*W169</f>
        <v/>
      </c>
      <c r="X312" s="19">
        <f>INDEX(X$241:X$244,$D312)*X260+X$200*X139*X169</f>
        <v/>
      </c>
      <c r="Y312" s="19">
        <f>INDEX(Y$241:Y$244,$D312)*Y260+Y$200*Y139*Y169</f>
        <v/>
      </c>
      <c r="Z312" s="19">
        <f>INDEX(Z$241:Z$244,$D312)*Z260+Z$200*Z139*Z169</f>
        <v/>
      </c>
      <c r="AA312" s="19">
        <f>INDEX(AA$241:AA$244,$D312)*AA260+AA$200*AA139*AA169</f>
        <v/>
      </c>
      <c r="AB312" s="19">
        <f>INDEX(AB$241:AB$244,$D312)*AB260+AB$200*AB139*AB169</f>
        <v/>
      </c>
      <c r="AC312" s="19">
        <f>INDEX(AC$241:AC$244,$D312)*AC260+AC$200*AC139*AC169</f>
        <v/>
      </c>
      <c r="AD312" s="19">
        <f>INDEX(AD$241:AD$244,$D312)*AD260+AD$200*AD139*AD169</f>
        <v/>
      </c>
      <c r="AE312" s="20">
        <f>SHADOWTOTAL(INDEX(AE$241:AE$244,$D312),AE260,AE$200,AE139,AE169)</f>
        <v/>
      </c>
      <c r="AG312" s="17">
        <f>CodePrefix&amp;$A312&amp;IF($C312="","","."&amp;$C312&amp;"."&amp;$B312)&amp;INDEX(VarEnd,MATCH($A312,VarKey,0))&amp;AG$5</f>
        <v/>
      </c>
      <c r="AH312" s="18">
        <f>INDEX(AH$241:AH$244,$D312)*AH260+AH$200*AH139*AH169</f>
        <v/>
      </c>
      <c r="AI312" s="19">
        <f>INDEX(AI$241:AI$244,$D312)*AI260+AI$200*AI139*AI169</f>
        <v/>
      </c>
      <c r="AJ312" s="19">
        <f>INDEX(AJ$241:AJ$244,$D312)*AJ260+AJ$200*AJ139*AJ169</f>
        <v/>
      </c>
      <c r="AK312" s="19">
        <f>INDEX(AK$241:AK$244,$D312)*AK260+AK$200*AK139*AK169</f>
        <v/>
      </c>
      <c r="AL312" s="19">
        <f>INDEX(AL$241:AL$244,$D312)*AL260+AL$200*AL139*AL169</f>
        <v/>
      </c>
      <c r="AM312" s="19">
        <f>INDEX(AM$241:AM$244,$D312)*AM260+AM$200*AM139*AM169</f>
        <v/>
      </c>
      <c r="AN312" s="19">
        <f>INDEX(AN$241:AN$244,$D312)*AN260+AN$200*AN139*AN169</f>
        <v/>
      </c>
      <c r="AO312" s="19">
        <f>INDEX(AO$241:AO$244,$D312)*AO260+AO$200*AO139*AO169</f>
        <v/>
      </c>
      <c r="AP312" s="19">
        <f>INDEX(AP$241:AP$244,$D312)*AP260+AP$200*AP139*AP169</f>
        <v/>
      </c>
      <c r="AQ312" s="19">
        <f>INDEX(AQ$241:AQ$244,$D312)*AQ260+AQ$200*AQ139*AQ169</f>
        <v/>
      </c>
      <c r="AR312" s="19">
        <f>INDEX(AR$241:AR$244,$D312)*AR260+AR$200*AR139*AR169</f>
        <v/>
      </c>
      <c r="AS312" s="19">
        <f>INDEX(AS$241:AS$244,$D312)*AS260+AS$200*AS139*AS169</f>
        <v/>
      </c>
      <c r="AT312" s="19">
        <f>INDEX(AT$241:AT$244,$D312)*AT260+AT$200*AT139*AT169</f>
        <v/>
      </c>
      <c r="AU312" s="19">
        <f>INDEX(AU$241:AU$244,$D312)*AU260+AU$200*AU139*AU169</f>
        <v/>
      </c>
      <c r="AV312" s="19">
        <f>INDEX(AV$241:AV$244,$D312)*AV260+AV$200*AV139*AV169</f>
        <v/>
      </c>
      <c r="AW312" s="19">
        <f>INDEX(AW$241:AW$244,$D312)*AW260+AW$200*AW139*AW169</f>
        <v/>
      </c>
      <c r="AX312" s="19">
        <f>INDEX(AX$241:AX$244,$D312)*AX260+AX$200*AX139*AX169</f>
        <v/>
      </c>
      <c r="AY312" s="19">
        <f>INDEX(AY$241:AY$244,$D312)*AY260+AY$200*AY139*AY169</f>
        <v/>
      </c>
      <c r="AZ312" s="19">
        <f>INDEX(AZ$241:AZ$244,$D312)*AZ260+AZ$200*AZ139*AZ169</f>
        <v/>
      </c>
      <c r="BA312" s="20">
        <f>SHADOWTOTAL(INDEX(BA$241:BA$244,$D312),BA260,BA$200,BA139,BA169)</f>
        <v/>
      </c>
    </row>
    <row r="313" hidden="1" outlineLevel="1">
      <c r="A313" s="1" t="inlineStr">
        <is>
          <t>shpx</t>
        </is>
      </c>
      <c r="B313" s="1" t="inlineStr">
        <is>
          <t>all</t>
        </is>
      </c>
      <c r="C313" s="1" t="inlineStr">
        <is>
          <t>oen</t>
        </is>
      </c>
      <c r="D313" s="26" t="n">
        <v>4</v>
      </c>
      <c r="H313" s="1">
        <f>INDEX(VarLab,MATCH($A313,VarKey,0))&amp;INDEX(MemLab,MATCH($C313&amp;"|"&amp;$B313,MemKey,0))</f>
        <v/>
      </c>
      <c r="I313" s="1">
        <f>INDEX(VarUnit,MATCH($A313,VarKey,0))</f>
        <v/>
      </c>
      <c r="J313" s="1">
        <f>INDEX(VarSrc,MATCH($A313,VarKey,0))</f>
        <v/>
      </c>
      <c r="K313" s="17">
        <f>CodePrefix&amp;$A313&amp;IF($C313="","","."&amp;$C313&amp;"."&amp;$B313)&amp;INDEX(VarEnd,MATCH($A313,VarKey,0))&amp;K$5</f>
        <v/>
      </c>
      <c r="L313" s="18">
        <f>INDEX(L$241:L$244,$D313)*L261+L$200*L140*L170</f>
        <v/>
      </c>
      <c r="M313" s="19">
        <f>INDEX(M$241:M$244,$D313)*M261+M$200*M140*M170</f>
        <v/>
      </c>
      <c r="N313" s="19">
        <f>INDEX(N$241:N$244,$D313)*N261+N$200*N140*N170</f>
        <v/>
      </c>
      <c r="O313" s="19">
        <f>INDEX(O$241:O$244,$D313)*O261+O$200*O140*O170</f>
        <v/>
      </c>
      <c r="P313" s="19">
        <f>INDEX(P$241:P$244,$D313)*P261+P$200*P140*P170</f>
        <v/>
      </c>
      <c r="Q313" s="19">
        <f>INDEX(Q$241:Q$244,$D313)*Q261+Q$200*Q140*Q170</f>
        <v/>
      </c>
      <c r="R313" s="19">
        <f>INDEX(R$241:R$244,$D313)*R261+R$200*R140*R170</f>
        <v/>
      </c>
      <c r="S313" s="19">
        <f>INDEX(S$241:S$244,$D313)*S261+S$200*S140*S170</f>
        <v/>
      </c>
      <c r="T313" s="19">
        <f>INDEX(T$241:T$244,$D313)*T261+T$200*T140*T170</f>
        <v/>
      </c>
      <c r="U313" s="19">
        <f>INDEX(U$241:U$244,$D313)*U261+U$200*U140*U170</f>
        <v/>
      </c>
      <c r="V313" s="19">
        <f>INDEX(V$241:V$244,$D313)*V261+V$200*V140*V170</f>
        <v/>
      </c>
      <c r="W313" s="19">
        <f>INDEX(W$241:W$244,$D313)*W261+W$200*W140*W170</f>
        <v/>
      </c>
      <c r="X313" s="19">
        <f>INDEX(X$241:X$244,$D313)*X261+X$200*X140*X170</f>
        <v/>
      </c>
      <c r="Y313" s="19">
        <f>INDEX(Y$241:Y$244,$D313)*Y261+Y$200*Y140*Y170</f>
        <v/>
      </c>
      <c r="Z313" s="19">
        <f>INDEX(Z$241:Z$244,$D313)*Z261+Z$200*Z140*Z170</f>
        <v/>
      </c>
      <c r="AA313" s="19">
        <f>INDEX(AA$241:AA$244,$D313)*AA261+AA$200*AA140*AA170</f>
        <v/>
      </c>
      <c r="AB313" s="19">
        <f>INDEX(AB$241:AB$244,$D313)*AB261+AB$200*AB140*AB170</f>
        <v/>
      </c>
      <c r="AC313" s="19">
        <f>INDEX(AC$241:AC$244,$D313)*AC261+AC$200*AC140*AC170</f>
        <v/>
      </c>
      <c r="AD313" s="19">
        <f>INDEX(AD$241:AD$244,$D313)*AD261+AD$200*AD140*AD170</f>
        <v/>
      </c>
      <c r="AE313" s="20">
        <f>SHADOWTOTAL(INDEX(AE$241:AE$244,$D313),AE261,AE$200,AE140,AE170)</f>
        <v/>
      </c>
      <c r="AG313" s="17">
        <f>CodePrefix&amp;$A313&amp;IF($C313="","","."&amp;$C313&amp;"."&amp;$B313)&amp;INDEX(VarEnd,MATCH($A313,VarKey,0))&amp;AG$5</f>
        <v/>
      </c>
      <c r="AH313" s="18">
        <f>INDEX(AH$241:AH$244,$D313)*AH261+AH$200*AH140*AH170</f>
        <v/>
      </c>
      <c r="AI313" s="19">
        <f>INDEX(AI$241:AI$244,$D313)*AI261+AI$200*AI140*AI170</f>
        <v/>
      </c>
      <c r="AJ313" s="19">
        <f>INDEX(AJ$241:AJ$244,$D313)*AJ261+AJ$200*AJ140*AJ170</f>
        <v/>
      </c>
      <c r="AK313" s="19">
        <f>INDEX(AK$241:AK$244,$D313)*AK261+AK$200*AK140*AK170</f>
        <v/>
      </c>
      <c r="AL313" s="19">
        <f>INDEX(AL$241:AL$244,$D313)*AL261+AL$200*AL140*AL170</f>
        <v/>
      </c>
      <c r="AM313" s="19">
        <f>INDEX(AM$241:AM$244,$D313)*AM261+AM$200*AM140*AM170</f>
        <v/>
      </c>
      <c r="AN313" s="19">
        <f>INDEX(AN$241:AN$244,$D313)*AN261+AN$200*AN140*AN170</f>
        <v/>
      </c>
      <c r="AO313" s="19">
        <f>INDEX(AO$241:AO$244,$D313)*AO261+AO$200*AO140*AO170</f>
        <v/>
      </c>
      <c r="AP313" s="19">
        <f>INDEX(AP$241:AP$244,$D313)*AP261+AP$200*AP140*AP170</f>
        <v/>
      </c>
      <c r="AQ313" s="19">
        <f>INDEX(AQ$241:AQ$244,$D313)*AQ261+AQ$200*AQ140*AQ170</f>
        <v/>
      </c>
      <c r="AR313" s="19">
        <f>INDEX(AR$241:AR$244,$D313)*AR261+AR$200*AR140*AR170</f>
        <v/>
      </c>
      <c r="AS313" s="19">
        <f>INDEX(AS$241:AS$244,$D313)*AS261+AS$200*AS140*AS170</f>
        <v/>
      </c>
      <c r="AT313" s="19">
        <f>INDEX(AT$241:AT$244,$D313)*AT261+AT$200*AT140*AT170</f>
        <v/>
      </c>
      <c r="AU313" s="19">
        <f>INDEX(AU$241:AU$244,$D313)*AU261+AU$200*AU140*AU170</f>
        <v/>
      </c>
      <c r="AV313" s="19">
        <f>INDEX(AV$241:AV$244,$D313)*AV261+AV$200*AV140*AV170</f>
        <v/>
      </c>
      <c r="AW313" s="19">
        <f>INDEX(AW$241:AW$244,$D313)*AW261+AW$200*AW140*AW170</f>
        <v/>
      </c>
      <c r="AX313" s="19">
        <f>INDEX(AX$241:AX$244,$D313)*AX261+AX$200*AX140*AX170</f>
        <v/>
      </c>
      <c r="AY313" s="19">
        <f>INDEX(AY$241:AY$244,$D313)*AY261+AY$200*AY140*AY170</f>
        <v/>
      </c>
      <c r="AZ313" s="19">
        <f>INDEX(AZ$241:AZ$244,$D313)*AZ261+AZ$200*AZ140*AZ170</f>
        <v/>
      </c>
      <c r="BA313" s="20">
        <f>SHADOWTOTAL(INDEX(BA$241:BA$244,$D313),BA261,BA$200,BA140,BA170)</f>
        <v/>
      </c>
    </row>
    <row r="314" hidden="1" outlineLevel="1">
      <c r="H314" s="21" t="inlineStr">
        <is>
          <t>Existing carbon pricing (v1.09; MTInputs rows 208-214, sheet ECP): switches and growth, carbon tax and ETS price (data of the year, real; last data year x (1 + growth) after; used = data x switch; embedded = level in the price data, held after the last historical price year)</t>
        </is>
      </c>
    </row>
    <row r="315" hidden="1" outlineLevel="1">
      <c r="A315" s="14" t="inlineStr">
        <is>
          <t>ExistingCTApply</t>
        </is>
      </c>
      <c r="B315" s="14" t="inlineStr"/>
      <c r="C315" s="14" t="inlineStr"/>
      <c r="D315" s="22" t="n">
        <v>213</v>
      </c>
      <c r="H315" s="14">
        <f>INDEX(VarLab,MATCH($A315,VarKey,0))&amp;INDEX(MemLab,MATCH($C315&amp;"|"&amp;$B315,MemKey,0))</f>
        <v/>
      </c>
      <c r="I315" s="14">
        <f>INDEX(VarUnit,MATCH($A315,VarKey,0))</f>
        <v/>
      </c>
      <c r="J315" s="14">
        <f>INDEX(VarSrc,MATCH($A315,VarKey,0))</f>
        <v/>
      </c>
      <c r="K315" s="11">
        <f>CodePrefix&amp;$A315&amp;IF($C315="","","."&amp;$C315&amp;"."&amp;$B315)&amp;INDEX(VarEnd,MATCH($A315,VarKey,0))&amp;K$5</f>
        <v/>
      </c>
      <c r="L315" s="36">
        <f>INDEX(MTInputs!$J$1:$AZ$415,$D315,MATCH(L$5,MTInputs!$J$5:$AZ$5,0))</f>
        <v/>
      </c>
      <c r="M315" s="14">
        <f>INDEX(MTInputs!$J$1:$AZ$415,$D315,MATCH(M$5,MTInputs!$J$5:$AZ$5,0))</f>
        <v/>
      </c>
      <c r="N315" s="14">
        <f>INDEX(MTInputs!$J$1:$AZ$415,$D315,MATCH(N$5,MTInputs!$J$5:$AZ$5,0))</f>
        <v/>
      </c>
      <c r="O315" s="14">
        <f>INDEX(MTInputs!$J$1:$AZ$415,$D315,MATCH(O$5,MTInputs!$J$5:$AZ$5,0))</f>
        <v/>
      </c>
      <c r="P315" s="14">
        <f>INDEX(MTInputs!$J$1:$AZ$415,$D315,MATCH(P$5,MTInputs!$J$5:$AZ$5,0))</f>
        <v/>
      </c>
      <c r="Q315" s="14">
        <f>INDEX(MTInputs!$J$1:$AZ$415,$D315,MATCH(Q$5,MTInputs!$J$5:$AZ$5,0))</f>
        <v/>
      </c>
      <c r="R315" s="14">
        <f>INDEX(MTInputs!$J$1:$AZ$415,$D315,MATCH(R$5,MTInputs!$J$5:$AZ$5,0))</f>
        <v/>
      </c>
      <c r="S315" s="14">
        <f>INDEX(MTInputs!$J$1:$AZ$415,$D315,MATCH(S$5,MTInputs!$J$5:$AZ$5,0))</f>
        <v/>
      </c>
      <c r="T315" s="14">
        <f>INDEX(MTInputs!$J$1:$AZ$415,$D315,MATCH(T$5,MTInputs!$J$5:$AZ$5,0))</f>
        <v/>
      </c>
      <c r="U315" s="14">
        <f>INDEX(MTInputs!$J$1:$AZ$415,$D315,MATCH(U$5,MTInputs!$J$5:$AZ$5,0))</f>
        <v/>
      </c>
      <c r="V315" s="14">
        <f>INDEX(MTInputs!$J$1:$AZ$415,$D315,MATCH(V$5,MTInputs!$J$5:$AZ$5,0))</f>
        <v/>
      </c>
      <c r="W315" s="14">
        <f>INDEX(MTInputs!$J$1:$AZ$415,$D315,MATCH(W$5,MTInputs!$J$5:$AZ$5,0))</f>
        <v/>
      </c>
      <c r="X315" s="14">
        <f>INDEX(MTInputs!$J$1:$AZ$415,$D315,MATCH(X$5,MTInputs!$J$5:$AZ$5,0))</f>
        <v/>
      </c>
      <c r="Y315" s="14">
        <f>INDEX(MTInputs!$J$1:$AZ$415,$D315,MATCH(Y$5,MTInputs!$J$5:$AZ$5,0))</f>
        <v/>
      </c>
      <c r="Z315" s="14">
        <f>INDEX(MTInputs!$J$1:$AZ$415,$D315,MATCH(Z$5,MTInputs!$J$5:$AZ$5,0))</f>
        <v/>
      </c>
      <c r="AA315" s="14">
        <f>INDEX(MTInputs!$J$1:$AZ$415,$D315,MATCH(AA$5,MTInputs!$J$5:$AZ$5,0))</f>
        <v/>
      </c>
      <c r="AB315" s="14">
        <f>INDEX(MTInputs!$J$1:$AZ$415,$D315,MATCH(AB$5,MTInputs!$J$5:$AZ$5,0))</f>
        <v/>
      </c>
      <c r="AC315" s="14">
        <f>INDEX(MTInputs!$J$1:$AZ$415,$D315,MATCH(AC$5,MTInputs!$J$5:$AZ$5,0))</f>
        <v/>
      </c>
      <c r="AD315" s="14">
        <f>INDEX(MTInputs!$J$1:$AZ$415,$D315,MATCH(AD$5,MTInputs!$J$5:$AZ$5,0))</f>
        <v/>
      </c>
      <c r="AE315" s="14">
        <f>INDEX(MTInputs!$J$1:$AZ$415,$D315,MATCH(AE$5,MTInputs!$J$5:$AZ$5,0))</f>
        <v/>
      </c>
      <c r="AG315" s="11">
        <f>CodePrefix&amp;$A315&amp;IF($C315="","","."&amp;$C315&amp;"."&amp;$B315)&amp;INDEX(VarEnd,MATCH($A315,VarKey,0))&amp;AG$5</f>
        <v/>
      </c>
      <c r="AH315" s="36">
        <f>INDEX(MTInputs!$J$1:$AZ$415,$D315,MATCH(AH$5,MTInputs!$J$5:$AZ$5,0))</f>
        <v/>
      </c>
      <c r="AI315" s="14">
        <f>INDEX(MTInputs!$J$1:$AZ$415,$D315,MATCH(AI$5,MTInputs!$J$5:$AZ$5,0))</f>
        <v/>
      </c>
      <c r="AJ315" s="14">
        <f>INDEX(MTInputs!$J$1:$AZ$415,$D315,MATCH(AJ$5,MTInputs!$J$5:$AZ$5,0))</f>
        <v/>
      </c>
      <c r="AK315" s="14">
        <f>INDEX(MTInputs!$J$1:$AZ$415,$D315,MATCH(AK$5,MTInputs!$J$5:$AZ$5,0))</f>
        <v/>
      </c>
      <c r="AL315" s="14">
        <f>INDEX(MTInputs!$J$1:$AZ$415,$D315,MATCH(AL$5,MTInputs!$J$5:$AZ$5,0))</f>
        <v/>
      </c>
      <c r="AM315" s="14">
        <f>INDEX(MTInputs!$J$1:$AZ$415,$D315,MATCH(AM$5,MTInputs!$J$5:$AZ$5,0))</f>
        <v/>
      </c>
      <c r="AN315" s="14">
        <f>INDEX(MTInputs!$J$1:$AZ$415,$D315,MATCH(AN$5,MTInputs!$J$5:$AZ$5,0))</f>
        <v/>
      </c>
      <c r="AO315" s="14">
        <f>INDEX(MTInputs!$J$1:$AZ$415,$D315,MATCH(AO$5,MTInputs!$J$5:$AZ$5,0))</f>
        <v/>
      </c>
      <c r="AP315" s="14">
        <f>INDEX(MTInputs!$J$1:$AZ$415,$D315,MATCH(AP$5,MTInputs!$J$5:$AZ$5,0))</f>
        <v/>
      </c>
      <c r="AQ315" s="14">
        <f>INDEX(MTInputs!$J$1:$AZ$415,$D315,MATCH(AQ$5,MTInputs!$J$5:$AZ$5,0))</f>
        <v/>
      </c>
      <c r="AR315" s="14">
        <f>INDEX(MTInputs!$J$1:$AZ$415,$D315,MATCH(AR$5,MTInputs!$J$5:$AZ$5,0))</f>
        <v/>
      </c>
      <c r="AS315" s="14">
        <f>INDEX(MTInputs!$J$1:$AZ$415,$D315,MATCH(AS$5,MTInputs!$J$5:$AZ$5,0))</f>
        <v/>
      </c>
      <c r="AT315" s="14">
        <f>INDEX(MTInputs!$J$1:$AZ$415,$D315,MATCH(AT$5,MTInputs!$J$5:$AZ$5,0))</f>
        <v/>
      </c>
      <c r="AU315" s="14">
        <f>INDEX(MTInputs!$J$1:$AZ$415,$D315,MATCH(AU$5,MTInputs!$J$5:$AZ$5,0))</f>
        <v/>
      </c>
      <c r="AV315" s="14">
        <f>INDEX(MTInputs!$J$1:$AZ$415,$D315,MATCH(AV$5,MTInputs!$J$5:$AZ$5,0))</f>
        <v/>
      </c>
      <c r="AW315" s="14">
        <f>INDEX(MTInputs!$J$1:$AZ$415,$D315,MATCH(AW$5,MTInputs!$J$5:$AZ$5,0))</f>
        <v/>
      </c>
      <c r="AX315" s="14">
        <f>INDEX(MTInputs!$J$1:$AZ$415,$D315,MATCH(AX$5,MTInputs!$J$5:$AZ$5,0))</f>
        <v/>
      </c>
      <c r="AY315" s="14">
        <f>INDEX(MTInputs!$J$1:$AZ$415,$D315,MATCH(AY$5,MTInputs!$J$5:$AZ$5,0))</f>
        <v/>
      </c>
      <c r="AZ315" s="14">
        <f>INDEX(MTInputs!$J$1:$AZ$415,$D315,MATCH(AZ$5,MTInputs!$J$5:$AZ$5,0))</f>
        <v/>
      </c>
      <c r="BA315" s="14">
        <f>INDEX(MTInputs!$J$1:$AZ$415,$D315,MATCH(BA$5,MTInputs!$J$5:$AZ$5,0))</f>
        <v/>
      </c>
    </row>
    <row r="316" hidden="1" outlineLevel="1">
      <c r="A316" s="14" t="inlineStr">
        <is>
          <t>ExistingCTGrowth</t>
        </is>
      </c>
      <c r="B316" s="14" t="inlineStr"/>
      <c r="C316" s="14" t="inlineStr"/>
      <c r="D316" s="22" t="n">
        <v>214</v>
      </c>
      <c r="H316" s="14">
        <f>INDEX(VarLab,MATCH($A316,VarKey,0))&amp;INDEX(MemLab,MATCH($C316&amp;"|"&amp;$B316,MemKey,0))</f>
        <v/>
      </c>
      <c r="I316" s="14">
        <f>INDEX(VarUnit,MATCH($A316,VarKey,0))</f>
        <v/>
      </c>
      <c r="J316" s="14">
        <f>INDEX(VarSrc,MATCH($A316,VarKey,0))</f>
        <v/>
      </c>
      <c r="K316" s="11">
        <f>CodePrefix&amp;$A316&amp;IF($C316="","","."&amp;$C316&amp;"."&amp;$B316)&amp;INDEX(VarEnd,MATCH($A316,VarKey,0))&amp;K$5</f>
        <v/>
      </c>
      <c r="L316" s="12">
        <f>INDEX(MTInputs!$J$1:$AZ$415,$D316,MATCH(L$5,MTInputs!$J$5:$AZ$5,0))</f>
        <v/>
      </c>
      <c r="M316" s="13">
        <f>INDEX(MTInputs!$J$1:$AZ$415,$D316,MATCH(M$5,MTInputs!$J$5:$AZ$5,0))</f>
        <v/>
      </c>
      <c r="N316" s="13">
        <f>INDEX(MTInputs!$J$1:$AZ$415,$D316,MATCH(N$5,MTInputs!$J$5:$AZ$5,0))</f>
        <v/>
      </c>
      <c r="O316" s="13">
        <f>INDEX(MTInputs!$J$1:$AZ$415,$D316,MATCH(O$5,MTInputs!$J$5:$AZ$5,0))</f>
        <v/>
      </c>
      <c r="P316" s="13">
        <f>INDEX(MTInputs!$J$1:$AZ$415,$D316,MATCH(P$5,MTInputs!$J$5:$AZ$5,0))</f>
        <v/>
      </c>
      <c r="Q316" s="13">
        <f>INDEX(MTInputs!$J$1:$AZ$415,$D316,MATCH(Q$5,MTInputs!$J$5:$AZ$5,0))</f>
        <v/>
      </c>
      <c r="R316" s="13">
        <f>INDEX(MTInputs!$J$1:$AZ$415,$D316,MATCH(R$5,MTInputs!$J$5:$AZ$5,0))</f>
        <v/>
      </c>
      <c r="S316" s="13">
        <f>INDEX(MTInputs!$J$1:$AZ$415,$D316,MATCH(S$5,MTInputs!$J$5:$AZ$5,0))</f>
        <v/>
      </c>
      <c r="T316" s="13">
        <f>INDEX(MTInputs!$J$1:$AZ$415,$D316,MATCH(T$5,MTInputs!$J$5:$AZ$5,0))</f>
        <v/>
      </c>
      <c r="U316" s="13">
        <f>INDEX(MTInputs!$J$1:$AZ$415,$D316,MATCH(U$5,MTInputs!$J$5:$AZ$5,0))</f>
        <v/>
      </c>
      <c r="V316" s="13">
        <f>INDEX(MTInputs!$J$1:$AZ$415,$D316,MATCH(V$5,MTInputs!$J$5:$AZ$5,0))</f>
        <v/>
      </c>
      <c r="W316" s="13">
        <f>INDEX(MTInputs!$J$1:$AZ$415,$D316,MATCH(W$5,MTInputs!$J$5:$AZ$5,0))</f>
        <v/>
      </c>
      <c r="X316" s="13">
        <f>INDEX(MTInputs!$J$1:$AZ$415,$D316,MATCH(X$5,MTInputs!$J$5:$AZ$5,0))</f>
        <v/>
      </c>
      <c r="Y316" s="13">
        <f>INDEX(MTInputs!$J$1:$AZ$415,$D316,MATCH(Y$5,MTInputs!$J$5:$AZ$5,0))</f>
        <v/>
      </c>
      <c r="Z316" s="13">
        <f>INDEX(MTInputs!$J$1:$AZ$415,$D316,MATCH(Z$5,MTInputs!$J$5:$AZ$5,0))</f>
        <v/>
      </c>
      <c r="AA316" s="13">
        <f>INDEX(MTInputs!$J$1:$AZ$415,$D316,MATCH(AA$5,MTInputs!$J$5:$AZ$5,0))</f>
        <v/>
      </c>
      <c r="AB316" s="13">
        <f>INDEX(MTInputs!$J$1:$AZ$415,$D316,MATCH(AB$5,MTInputs!$J$5:$AZ$5,0))</f>
        <v/>
      </c>
      <c r="AC316" s="13">
        <f>INDEX(MTInputs!$J$1:$AZ$415,$D316,MATCH(AC$5,MTInputs!$J$5:$AZ$5,0))</f>
        <v/>
      </c>
      <c r="AD316" s="13">
        <f>INDEX(MTInputs!$J$1:$AZ$415,$D316,MATCH(AD$5,MTInputs!$J$5:$AZ$5,0))</f>
        <v/>
      </c>
      <c r="AE316" s="13">
        <f>INDEX(MTInputs!$J$1:$AZ$415,$D316,MATCH(AE$5,MTInputs!$J$5:$AZ$5,0))</f>
        <v/>
      </c>
      <c r="AG316" s="11">
        <f>CodePrefix&amp;$A316&amp;IF($C316="","","."&amp;$C316&amp;"."&amp;$B316)&amp;INDEX(VarEnd,MATCH($A316,VarKey,0))&amp;AG$5</f>
        <v/>
      </c>
      <c r="AH316" s="12">
        <f>INDEX(MTInputs!$J$1:$AZ$415,$D316,MATCH(AH$5,MTInputs!$J$5:$AZ$5,0))</f>
        <v/>
      </c>
      <c r="AI316" s="13">
        <f>INDEX(MTInputs!$J$1:$AZ$415,$D316,MATCH(AI$5,MTInputs!$J$5:$AZ$5,0))</f>
        <v/>
      </c>
      <c r="AJ316" s="13">
        <f>INDEX(MTInputs!$J$1:$AZ$415,$D316,MATCH(AJ$5,MTInputs!$J$5:$AZ$5,0))</f>
        <v/>
      </c>
      <c r="AK316" s="13">
        <f>INDEX(MTInputs!$J$1:$AZ$415,$D316,MATCH(AK$5,MTInputs!$J$5:$AZ$5,0))</f>
        <v/>
      </c>
      <c r="AL316" s="13">
        <f>INDEX(MTInputs!$J$1:$AZ$415,$D316,MATCH(AL$5,MTInputs!$J$5:$AZ$5,0))</f>
        <v/>
      </c>
      <c r="AM316" s="13">
        <f>INDEX(MTInputs!$J$1:$AZ$415,$D316,MATCH(AM$5,MTInputs!$J$5:$AZ$5,0))</f>
        <v/>
      </c>
      <c r="AN316" s="13">
        <f>INDEX(MTInputs!$J$1:$AZ$415,$D316,MATCH(AN$5,MTInputs!$J$5:$AZ$5,0))</f>
        <v/>
      </c>
      <c r="AO316" s="13">
        <f>INDEX(MTInputs!$J$1:$AZ$415,$D316,MATCH(AO$5,MTInputs!$J$5:$AZ$5,0))</f>
        <v/>
      </c>
      <c r="AP316" s="13">
        <f>INDEX(MTInputs!$J$1:$AZ$415,$D316,MATCH(AP$5,MTInputs!$J$5:$AZ$5,0))</f>
        <v/>
      </c>
      <c r="AQ316" s="13">
        <f>INDEX(MTInputs!$J$1:$AZ$415,$D316,MATCH(AQ$5,MTInputs!$J$5:$AZ$5,0))</f>
        <v/>
      </c>
      <c r="AR316" s="13">
        <f>INDEX(MTInputs!$J$1:$AZ$415,$D316,MATCH(AR$5,MTInputs!$J$5:$AZ$5,0))</f>
        <v/>
      </c>
      <c r="AS316" s="13">
        <f>INDEX(MTInputs!$J$1:$AZ$415,$D316,MATCH(AS$5,MTInputs!$J$5:$AZ$5,0))</f>
        <v/>
      </c>
      <c r="AT316" s="13">
        <f>INDEX(MTInputs!$J$1:$AZ$415,$D316,MATCH(AT$5,MTInputs!$J$5:$AZ$5,0))</f>
        <v/>
      </c>
      <c r="AU316" s="13">
        <f>INDEX(MTInputs!$J$1:$AZ$415,$D316,MATCH(AU$5,MTInputs!$J$5:$AZ$5,0))</f>
        <v/>
      </c>
      <c r="AV316" s="13">
        <f>INDEX(MTInputs!$J$1:$AZ$415,$D316,MATCH(AV$5,MTInputs!$J$5:$AZ$5,0))</f>
        <v/>
      </c>
      <c r="AW316" s="13">
        <f>INDEX(MTInputs!$J$1:$AZ$415,$D316,MATCH(AW$5,MTInputs!$J$5:$AZ$5,0))</f>
        <v/>
      </c>
      <c r="AX316" s="13">
        <f>INDEX(MTInputs!$J$1:$AZ$415,$D316,MATCH(AX$5,MTInputs!$J$5:$AZ$5,0))</f>
        <v/>
      </c>
      <c r="AY316" s="13">
        <f>INDEX(MTInputs!$J$1:$AZ$415,$D316,MATCH(AY$5,MTInputs!$J$5:$AZ$5,0))</f>
        <v/>
      </c>
      <c r="AZ316" s="13">
        <f>INDEX(MTInputs!$J$1:$AZ$415,$D316,MATCH(AZ$5,MTInputs!$J$5:$AZ$5,0))</f>
        <v/>
      </c>
      <c r="BA316" s="13">
        <f>INDEX(MTInputs!$J$1:$AZ$415,$D316,MATCH(BA$5,MTInputs!$J$5:$AZ$5,0))</f>
        <v/>
      </c>
    </row>
    <row r="317" hidden="1" outlineLevel="1">
      <c r="A317" s="14" t="inlineStr">
        <is>
          <t>ExistingETSApply</t>
        </is>
      </c>
      <c r="B317" s="14" t="inlineStr"/>
      <c r="C317" s="14" t="inlineStr"/>
      <c r="D317" s="22" t="n">
        <v>208</v>
      </c>
      <c r="H317" s="14">
        <f>INDEX(VarLab,MATCH($A317,VarKey,0))&amp;INDEX(MemLab,MATCH($C317&amp;"|"&amp;$B317,MemKey,0))</f>
        <v/>
      </c>
      <c r="I317" s="14">
        <f>INDEX(VarUnit,MATCH($A317,VarKey,0))</f>
        <v/>
      </c>
      <c r="J317" s="14">
        <f>INDEX(VarSrc,MATCH($A317,VarKey,0))</f>
        <v/>
      </c>
      <c r="K317" s="11">
        <f>CodePrefix&amp;$A317&amp;IF($C317="","","."&amp;$C317&amp;"."&amp;$B317)&amp;INDEX(VarEnd,MATCH($A317,VarKey,0))&amp;K$5</f>
        <v/>
      </c>
      <c r="L317" s="36">
        <f>INDEX(MTInputs!$J$1:$AZ$415,$D317,MATCH(L$5,MTInputs!$J$5:$AZ$5,0))</f>
        <v/>
      </c>
      <c r="M317" s="14">
        <f>INDEX(MTInputs!$J$1:$AZ$415,$D317,MATCH(M$5,MTInputs!$J$5:$AZ$5,0))</f>
        <v/>
      </c>
      <c r="N317" s="14">
        <f>INDEX(MTInputs!$J$1:$AZ$415,$D317,MATCH(N$5,MTInputs!$J$5:$AZ$5,0))</f>
        <v/>
      </c>
      <c r="O317" s="14">
        <f>INDEX(MTInputs!$J$1:$AZ$415,$D317,MATCH(O$5,MTInputs!$J$5:$AZ$5,0))</f>
        <v/>
      </c>
      <c r="P317" s="14">
        <f>INDEX(MTInputs!$J$1:$AZ$415,$D317,MATCH(P$5,MTInputs!$J$5:$AZ$5,0))</f>
        <v/>
      </c>
      <c r="Q317" s="14">
        <f>INDEX(MTInputs!$J$1:$AZ$415,$D317,MATCH(Q$5,MTInputs!$J$5:$AZ$5,0))</f>
        <v/>
      </c>
      <c r="R317" s="14">
        <f>INDEX(MTInputs!$J$1:$AZ$415,$D317,MATCH(R$5,MTInputs!$J$5:$AZ$5,0))</f>
        <v/>
      </c>
      <c r="S317" s="14">
        <f>INDEX(MTInputs!$J$1:$AZ$415,$D317,MATCH(S$5,MTInputs!$J$5:$AZ$5,0))</f>
        <v/>
      </c>
      <c r="T317" s="14">
        <f>INDEX(MTInputs!$J$1:$AZ$415,$D317,MATCH(T$5,MTInputs!$J$5:$AZ$5,0))</f>
        <v/>
      </c>
      <c r="U317" s="14">
        <f>INDEX(MTInputs!$J$1:$AZ$415,$D317,MATCH(U$5,MTInputs!$J$5:$AZ$5,0))</f>
        <v/>
      </c>
      <c r="V317" s="14">
        <f>INDEX(MTInputs!$J$1:$AZ$415,$D317,MATCH(V$5,MTInputs!$J$5:$AZ$5,0))</f>
        <v/>
      </c>
      <c r="W317" s="14">
        <f>INDEX(MTInputs!$J$1:$AZ$415,$D317,MATCH(W$5,MTInputs!$J$5:$AZ$5,0))</f>
        <v/>
      </c>
      <c r="X317" s="14">
        <f>INDEX(MTInputs!$J$1:$AZ$415,$D317,MATCH(X$5,MTInputs!$J$5:$AZ$5,0))</f>
        <v/>
      </c>
      <c r="Y317" s="14">
        <f>INDEX(MTInputs!$J$1:$AZ$415,$D317,MATCH(Y$5,MTInputs!$J$5:$AZ$5,0))</f>
        <v/>
      </c>
      <c r="Z317" s="14">
        <f>INDEX(MTInputs!$J$1:$AZ$415,$D317,MATCH(Z$5,MTInputs!$J$5:$AZ$5,0))</f>
        <v/>
      </c>
      <c r="AA317" s="14">
        <f>INDEX(MTInputs!$J$1:$AZ$415,$D317,MATCH(AA$5,MTInputs!$J$5:$AZ$5,0))</f>
        <v/>
      </c>
      <c r="AB317" s="14">
        <f>INDEX(MTInputs!$J$1:$AZ$415,$D317,MATCH(AB$5,MTInputs!$J$5:$AZ$5,0))</f>
        <v/>
      </c>
      <c r="AC317" s="14">
        <f>INDEX(MTInputs!$J$1:$AZ$415,$D317,MATCH(AC$5,MTInputs!$J$5:$AZ$5,0))</f>
        <v/>
      </c>
      <c r="AD317" s="14">
        <f>INDEX(MTInputs!$J$1:$AZ$415,$D317,MATCH(AD$5,MTInputs!$J$5:$AZ$5,0))</f>
        <v/>
      </c>
      <c r="AE317" s="14">
        <f>INDEX(MTInputs!$J$1:$AZ$415,$D317,MATCH(AE$5,MTInputs!$J$5:$AZ$5,0))</f>
        <v/>
      </c>
      <c r="AG317" s="11">
        <f>CodePrefix&amp;$A317&amp;IF($C317="","","."&amp;$C317&amp;"."&amp;$B317)&amp;INDEX(VarEnd,MATCH($A317,VarKey,0))&amp;AG$5</f>
        <v/>
      </c>
      <c r="AH317" s="36">
        <f>INDEX(MTInputs!$J$1:$AZ$415,$D317,MATCH(AH$5,MTInputs!$J$5:$AZ$5,0))</f>
        <v/>
      </c>
      <c r="AI317" s="14">
        <f>INDEX(MTInputs!$J$1:$AZ$415,$D317,MATCH(AI$5,MTInputs!$J$5:$AZ$5,0))</f>
        <v/>
      </c>
      <c r="AJ317" s="14">
        <f>INDEX(MTInputs!$J$1:$AZ$415,$D317,MATCH(AJ$5,MTInputs!$J$5:$AZ$5,0))</f>
        <v/>
      </c>
      <c r="AK317" s="14">
        <f>INDEX(MTInputs!$J$1:$AZ$415,$D317,MATCH(AK$5,MTInputs!$J$5:$AZ$5,0))</f>
        <v/>
      </c>
      <c r="AL317" s="14">
        <f>INDEX(MTInputs!$J$1:$AZ$415,$D317,MATCH(AL$5,MTInputs!$J$5:$AZ$5,0))</f>
        <v/>
      </c>
      <c r="AM317" s="14">
        <f>INDEX(MTInputs!$J$1:$AZ$415,$D317,MATCH(AM$5,MTInputs!$J$5:$AZ$5,0))</f>
        <v/>
      </c>
      <c r="AN317" s="14">
        <f>INDEX(MTInputs!$J$1:$AZ$415,$D317,MATCH(AN$5,MTInputs!$J$5:$AZ$5,0))</f>
        <v/>
      </c>
      <c r="AO317" s="14">
        <f>INDEX(MTInputs!$J$1:$AZ$415,$D317,MATCH(AO$5,MTInputs!$J$5:$AZ$5,0))</f>
        <v/>
      </c>
      <c r="AP317" s="14">
        <f>INDEX(MTInputs!$J$1:$AZ$415,$D317,MATCH(AP$5,MTInputs!$J$5:$AZ$5,0))</f>
        <v/>
      </c>
      <c r="AQ317" s="14">
        <f>INDEX(MTInputs!$J$1:$AZ$415,$D317,MATCH(AQ$5,MTInputs!$J$5:$AZ$5,0))</f>
        <v/>
      </c>
      <c r="AR317" s="14">
        <f>INDEX(MTInputs!$J$1:$AZ$415,$D317,MATCH(AR$5,MTInputs!$J$5:$AZ$5,0))</f>
        <v/>
      </c>
      <c r="AS317" s="14">
        <f>INDEX(MTInputs!$J$1:$AZ$415,$D317,MATCH(AS$5,MTInputs!$J$5:$AZ$5,0))</f>
        <v/>
      </c>
      <c r="AT317" s="14">
        <f>INDEX(MTInputs!$J$1:$AZ$415,$D317,MATCH(AT$5,MTInputs!$J$5:$AZ$5,0))</f>
        <v/>
      </c>
      <c r="AU317" s="14">
        <f>INDEX(MTInputs!$J$1:$AZ$415,$D317,MATCH(AU$5,MTInputs!$J$5:$AZ$5,0))</f>
        <v/>
      </c>
      <c r="AV317" s="14">
        <f>INDEX(MTInputs!$J$1:$AZ$415,$D317,MATCH(AV$5,MTInputs!$J$5:$AZ$5,0))</f>
        <v/>
      </c>
      <c r="AW317" s="14">
        <f>INDEX(MTInputs!$J$1:$AZ$415,$D317,MATCH(AW$5,MTInputs!$J$5:$AZ$5,0))</f>
        <v/>
      </c>
      <c r="AX317" s="14">
        <f>INDEX(MTInputs!$J$1:$AZ$415,$D317,MATCH(AX$5,MTInputs!$J$5:$AZ$5,0))</f>
        <v/>
      </c>
      <c r="AY317" s="14">
        <f>INDEX(MTInputs!$J$1:$AZ$415,$D317,MATCH(AY$5,MTInputs!$J$5:$AZ$5,0))</f>
        <v/>
      </c>
      <c r="AZ317" s="14">
        <f>INDEX(MTInputs!$J$1:$AZ$415,$D317,MATCH(AZ$5,MTInputs!$J$5:$AZ$5,0))</f>
        <v/>
      </c>
      <c r="BA317" s="14">
        <f>INDEX(MTInputs!$J$1:$AZ$415,$D317,MATCH(BA$5,MTInputs!$J$5:$AZ$5,0))</f>
        <v/>
      </c>
    </row>
    <row r="318" hidden="1" outlineLevel="1">
      <c r="A318" s="14" t="inlineStr">
        <is>
          <t>ExistingETSGrowth</t>
        </is>
      </c>
      <c r="B318" s="14" t="inlineStr"/>
      <c r="C318" s="14" t="inlineStr"/>
      <c r="D318" s="22" t="n">
        <v>209</v>
      </c>
      <c r="H318" s="14">
        <f>INDEX(VarLab,MATCH($A318,VarKey,0))&amp;INDEX(MemLab,MATCH($C318&amp;"|"&amp;$B318,MemKey,0))</f>
        <v/>
      </c>
      <c r="I318" s="14">
        <f>INDEX(VarUnit,MATCH($A318,VarKey,0))</f>
        <v/>
      </c>
      <c r="J318" s="14">
        <f>INDEX(VarSrc,MATCH($A318,VarKey,0))</f>
        <v/>
      </c>
      <c r="K318" s="11">
        <f>CodePrefix&amp;$A318&amp;IF($C318="","","."&amp;$C318&amp;"."&amp;$B318)&amp;INDEX(VarEnd,MATCH($A318,VarKey,0))&amp;K$5</f>
        <v/>
      </c>
      <c r="L318" s="12">
        <f>INDEX(MTInputs!$J$1:$AZ$415,$D318,MATCH(L$5,MTInputs!$J$5:$AZ$5,0))</f>
        <v/>
      </c>
      <c r="M318" s="13">
        <f>INDEX(MTInputs!$J$1:$AZ$415,$D318,MATCH(M$5,MTInputs!$J$5:$AZ$5,0))</f>
        <v/>
      </c>
      <c r="N318" s="13">
        <f>INDEX(MTInputs!$J$1:$AZ$415,$D318,MATCH(N$5,MTInputs!$J$5:$AZ$5,0))</f>
        <v/>
      </c>
      <c r="O318" s="13">
        <f>INDEX(MTInputs!$J$1:$AZ$415,$D318,MATCH(O$5,MTInputs!$J$5:$AZ$5,0))</f>
        <v/>
      </c>
      <c r="P318" s="13">
        <f>INDEX(MTInputs!$J$1:$AZ$415,$D318,MATCH(P$5,MTInputs!$J$5:$AZ$5,0))</f>
        <v/>
      </c>
      <c r="Q318" s="13">
        <f>INDEX(MTInputs!$J$1:$AZ$415,$D318,MATCH(Q$5,MTInputs!$J$5:$AZ$5,0))</f>
        <v/>
      </c>
      <c r="R318" s="13">
        <f>INDEX(MTInputs!$J$1:$AZ$415,$D318,MATCH(R$5,MTInputs!$J$5:$AZ$5,0))</f>
        <v/>
      </c>
      <c r="S318" s="13">
        <f>INDEX(MTInputs!$J$1:$AZ$415,$D318,MATCH(S$5,MTInputs!$J$5:$AZ$5,0))</f>
        <v/>
      </c>
      <c r="T318" s="13">
        <f>INDEX(MTInputs!$J$1:$AZ$415,$D318,MATCH(T$5,MTInputs!$J$5:$AZ$5,0))</f>
        <v/>
      </c>
      <c r="U318" s="13">
        <f>INDEX(MTInputs!$J$1:$AZ$415,$D318,MATCH(U$5,MTInputs!$J$5:$AZ$5,0))</f>
        <v/>
      </c>
      <c r="V318" s="13">
        <f>INDEX(MTInputs!$J$1:$AZ$415,$D318,MATCH(V$5,MTInputs!$J$5:$AZ$5,0))</f>
        <v/>
      </c>
      <c r="W318" s="13">
        <f>INDEX(MTInputs!$J$1:$AZ$415,$D318,MATCH(W$5,MTInputs!$J$5:$AZ$5,0))</f>
        <v/>
      </c>
      <c r="X318" s="13">
        <f>INDEX(MTInputs!$J$1:$AZ$415,$D318,MATCH(X$5,MTInputs!$J$5:$AZ$5,0))</f>
        <v/>
      </c>
      <c r="Y318" s="13">
        <f>INDEX(MTInputs!$J$1:$AZ$415,$D318,MATCH(Y$5,MTInputs!$J$5:$AZ$5,0))</f>
        <v/>
      </c>
      <c r="Z318" s="13">
        <f>INDEX(MTInputs!$J$1:$AZ$415,$D318,MATCH(Z$5,MTInputs!$J$5:$AZ$5,0))</f>
        <v/>
      </c>
      <c r="AA318" s="13">
        <f>INDEX(MTInputs!$J$1:$AZ$415,$D318,MATCH(AA$5,MTInputs!$J$5:$AZ$5,0))</f>
        <v/>
      </c>
      <c r="AB318" s="13">
        <f>INDEX(MTInputs!$J$1:$AZ$415,$D318,MATCH(AB$5,MTInputs!$J$5:$AZ$5,0))</f>
        <v/>
      </c>
      <c r="AC318" s="13">
        <f>INDEX(MTInputs!$J$1:$AZ$415,$D318,MATCH(AC$5,MTInputs!$J$5:$AZ$5,0))</f>
        <v/>
      </c>
      <c r="AD318" s="13">
        <f>INDEX(MTInputs!$J$1:$AZ$415,$D318,MATCH(AD$5,MTInputs!$J$5:$AZ$5,0))</f>
        <v/>
      </c>
      <c r="AE318" s="13">
        <f>INDEX(MTInputs!$J$1:$AZ$415,$D318,MATCH(AE$5,MTInputs!$J$5:$AZ$5,0))</f>
        <v/>
      </c>
      <c r="AG318" s="11">
        <f>CodePrefix&amp;$A318&amp;IF($C318="","","."&amp;$C318&amp;"."&amp;$B318)&amp;INDEX(VarEnd,MATCH($A318,VarKey,0))&amp;AG$5</f>
        <v/>
      </c>
      <c r="AH318" s="12">
        <f>INDEX(MTInputs!$J$1:$AZ$415,$D318,MATCH(AH$5,MTInputs!$J$5:$AZ$5,0))</f>
        <v/>
      </c>
      <c r="AI318" s="13">
        <f>INDEX(MTInputs!$J$1:$AZ$415,$D318,MATCH(AI$5,MTInputs!$J$5:$AZ$5,0))</f>
        <v/>
      </c>
      <c r="AJ318" s="13">
        <f>INDEX(MTInputs!$J$1:$AZ$415,$D318,MATCH(AJ$5,MTInputs!$J$5:$AZ$5,0))</f>
        <v/>
      </c>
      <c r="AK318" s="13">
        <f>INDEX(MTInputs!$J$1:$AZ$415,$D318,MATCH(AK$5,MTInputs!$J$5:$AZ$5,0))</f>
        <v/>
      </c>
      <c r="AL318" s="13">
        <f>INDEX(MTInputs!$J$1:$AZ$415,$D318,MATCH(AL$5,MTInputs!$J$5:$AZ$5,0))</f>
        <v/>
      </c>
      <c r="AM318" s="13">
        <f>INDEX(MTInputs!$J$1:$AZ$415,$D318,MATCH(AM$5,MTInputs!$J$5:$AZ$5,0))</f>
        <v/>
      </c>
      <c r="AN318" s="13">
        <f>INDEX(MTInputs!$J$1:$AZ$415,$D318,MATCH(AN$5,MTInputs!$J$5:$AZ$5,0))</f>
        <v/>
      </c>
      <c r="AO318" s="13">
        <f>INDEX(MTInputs!$J$1:$AZ$415,$D318,MATCH(AO$5,MTInputs!$J$5:$AZ$5,0))</f>
        <v/>
      </c>
      <c r="AP318" s="13">
        <f>INDEX(MTInputs!$J$1:$AZ$415,$D318,MATCH(AP$5,MTInputs!$J$5:$AZ$5,0))</f>
        <v/>
      </c>
      <c r="AQ318" s="13">
        <f>INDEX(MTInputs!$J$1:$AZ$415,$D318,MATCH(AQ$5,MTInputs!$J$5:$AZ$5,0))</f>
        <v/>
      </c>
      <c r="AR318" s="13">
        <f>INDEX(MTInputs!$J$1:$AZ$415,$D318,MATCH(AR$5,MTInputs!$J$5:$AZ$5,0))</f>
        <v/>
      </c>
      <c r="AS318" s="13">
        <f>INDEX(MTInputs!$J$1:$AZ$415,$D318,MATCH(AS$5,MTInputs!$J$5:$AZ$5,0))</f>
        <v/>
      </c>
      <c r="AT318" s="13">
        <f>INDEX(MTInputs!$J$1:$AZ$415,$D318,MATCH(AT$5,MTInputs!$J$5:$AZ$5,0))</f>
        <v/>
      </c>
      <c r="AU318" s="13">
        <f>INDEX(MTInputs!$J$1:$AZ$415,$D318,MATCH(AU$5,MTInputs!$J$5:$AZ$5,0))</f>
        <v/>
      </c>
      <c r="AV318" s="13">
        <f>INDEX(MTInputs!$J$1:$AZ$415,$D318,MATCH(AV$5,MTInputs!$J$5:$AZ$5,0))</f>
        <v/>
      </c>
      <c r="AW318" s="13">
        <f>INDEX(MTInputs!$J$1:$AZ$415,$D318,MATCH(AW$5,MTInputs!$J$5:$AZ$5,0))</f>
        <v/>
      </c>
      <c r="AX318" s="13">
        <f>INDEX(MTInputs!$J$1:$AZ$415,$D318,MATCH(AX$5,MTInputs!$J$5:$AZ$5,0))</f>
        <v/>
      </c>
      <c r="AY318" s="13">
        <f>INDEX(MTInputs!$J$1:$AZ$415,$D318,MATCH(AY$5,MTInputs!$J$5:$AZ$5,0))</f>
        <v/>
      </c>
      <c r="AZ318" s="13">
        <f>INDEX(MTInputs!$J$1:$AZ$415,$D318,MATCH(AZ$5,MTInputs!$J$5:$AZ$5,0))</f>
        <v/>
      </c>
      <c r="BA318" s="13">
        <f>INDEX(MTInputs!$J$1:$AZ$415,$D318,MATCH(BA$5,MTInputs!$J$5:$AZ$5,0))</f>
        <v/>
      </c>
    </row>
    <row r="319" hidden="1" outlineLevel="1">
      <c r="A319" s="14" t="inlineStr">
        <is>
          <t>CTaxComplimentaryToETS</t>
        </is>
      </c>
      <c r="B319" s="14" t="inlineStr"/>
      <c r="C319" s="14" t="inlineStr"/>
      <c r="D319" s="22" t="n">
        <v>210</v>
      </c>
      <c r="H319" s="14">
        <f>INDEX(VarLab,MATCH($A319,VarKey,0))&amp;INDEX(MemLab,MATCH($C319&amp;"|"&amp;$B319,MemKey,0))</f>
        <v/>
      </c>
      <c r="I319" s="14">
        <f>INDEX(VarUnit,MATCH($A319,VarKey,0))</f>
        <v/>
      </c>
      <c r="J319" s="14">
        <f>INDEX(VarSrc,MATCH($A319,VarKey,0))</f>
        <v/>
      </c>
      <c r="K319" s="11">
        <f>CodePrefix&amp;$A319&amp;IF($C319="","","."&amp;$C319&amp;"."&amp;$B319)&amp;INDEX(VarEnd,MATCH($A319,VarKey,0))&amp;K$5</f>
        <v/>
      </c>
      <c r="L319" s="36">
        <f>INDEX(MTInputs!$J$1:$AZ$415,$D319,MATCH(L$5,MTInputs!$J$5:$AZ$5,0))</f>
        <v/>
      </c>
      <c r="M319" s="14">
        <f>INDEX(MTInputs!$J$1:$AZ$415,$D319,MATCH(M$5,MTInputs!$J$5:$AZ$5,0))</f>
        <v/>
      </c>
      <c r="N319" s="14">
        <f>INDEX(MTInputs!$J$1:$AZ$415,$D319,MATCH(N$5,MTInputs!$J$5:$AZ$5,0))</f>
        <v/>
      </c>
      <c r="O319" s="14">
        <f>INDEX(MTInputs!$J$1:$AZ$415,$D319,MATCH(O$5,MTInputs!$J$5:$AZ$5,0))</f>
        <v/>
      </c>
      <c r="P319" s="14">
        <f>INDEX(MTInputs!$J$1:$AZ$415,$D319,MATCH(P$5,MTInputs!$J$5:$AZ$5,0))</f>
        <v/>
      </c>
      <c r="Q319" s="14">
        <f>INDEX(MTInputs!$J$1:$AZ$415,$D319,MATCH(Q$5,MTInputs!$J$5:$AZ$5,0))</f>
        <v/>
      </c>
      <c r="R319" s="14">
        <f>INDEX(MTInputs!$J$1:$AZ$415,$D319,MATCH(R$5,MTInputs!$J$5:$AZ$5,0))</f>
        <v/>
      </c>
      <c r="S319" s="14">
        <f>INDEX(MTInputs!$J$1:$AZ$415,$D319,MATCH(S$5,MTInputs!$J$5:$AZ$5,0))</f>
        <v/>
      </c>
      <c r="T319" s="14">
        <f>INDEX(MTInputs!$J$1:$AZ$415,$D319,MATCH(T$5,MTInputs!$J$5:$AZ$5,0))</f>
        <v/>
      </c>
      <c r="U319" s="14">
        <f>INDEX(MTInputs!$J$1:$AZ$415,$D319,MATCH(U$5,MTInputs!$J$5:$AZ$5,0))</f>
        <v/>
      </c>
      <c r="V319" s="14">
        <f>INDEX(MTInputs!$J$1:$AZ$415,$D319,MATCH(V$5,MTInputs!$J$5:$AZ$5,0))</f>
        <v/>
      </c>
      <c r="W319" s="14">
        <f>INDEX(MTInputs!$J$1:$AZ$415,$D319,MATCH(W$5,MTInputs!$J$5:$AZ$5,0))</f>
        <v/>
      </c>
      <c r="X319" s="14">
        <f>INDEX(MTInputs!$J$1:$AZ$415,$D319,MATCH(X$5,MTInputs!$J$5:$AZ$5,0))</f>
        <v/>
      </c>
      <c r="Y319" s="14">
        <f>INDEX(MTInputs!$J$1:$AZ$415,$D319,MATCH(Y$5,MTInputs!$J$5:$AZ$5,0))</f>
        <v/>
      </c>
      <c r="Z319" s="14">
        <f>INDEX(MTInputs!$J$1:$AZ$415,$D319,MATCH(Z$5,MTInputs!$J$5:$AZ$5,0))</f>
        <v/>
      </c>
      <c r="AA319" s="14">
        <f>INDEX(MTInputs!$J$1:$AZ$415,$D319,MATCH(AA$5,MTInputs!$J$5:$AZ$5,0))</f>
        <v/>
      </c>
      <c r="AB319" s="14">
        <f>INDEX(MTInputs!$J$1:$AZ$415,$D319,MATCH(AB$5,MTInputs!$J$5:$AZ$5,0))</f>
        <v/>
      </c>
      <c r="AC319" s="14">
        <f>INDEX(MTInputs!$J$1:$AZ$415,$D319,MATCH(AC$5,MTInputs!$J$5:$AZ$5,0))</f>
        <v/>
      </c>
      <c r="AD319" s="14">
        <f>INDEX(MTInputs!$J$1:$AZ$415,$D319,MATCH(AD$5,MTInputs!$J$5:$AZ$5,0))</f>
        <v/>
      </c>
      <c r="AE319" s="14">
        <f>INDEX(MTInputs!$J$1:$AZ$415,$D319,MATCH(AE$5,MTInputs!$J$5:$AZ$5,0))</f>
        <v/>
      </c>
      <c r="AG319" s="11">
        <f>CodePrefix&amp;$A319&amp;IF($C319="","","."&amp;$C319&amp;"."&amp;$B319)&amp;INDEX(VarEnd,MATCH($A319,VarKey,0))&amp;AG$5</f>
        <v/>
      </c>
      <c r="AH319" s="36">
        <f>INDEX(MTInputs!$J$1:$AZ$415,$D319,MATCH(AH$5,MTInputs!$J$5:$AZ$5,0))</f>
        <v/>
      </c>
      <c r="AI319" s="14">
        <f>INDEX(MTInputs!$J$1:$AZ$415,$D319,MATCH(AI$5,MTInputs!$J$5:$AZ$5,0))</f>
        <v/>
      </c>
      <c r="AJ319" s="14">
        <f>INDEX(MTInputs!$J$1:$AZ$415,$D319,MATCH(AJ$5,MTInputs!$J$5:$AZ$5,0))</f>
        <v/>
      </c>
      <c r="AK319" s="14">
        <f>INDEX(MTInputs!$J$1:$AZ$415,$D319,MATCH(AK$5,MTInputs!$J$5:$AZ$5,0))</f>
        <v/>
      </c>
      <c r="AL319" s="14">
        <f>INDEX(MTInputs!$J$1:$AZ$415,$D319,MATCH(AL$5,MTInputs!$J$5:$AZ$5,0))</f>
        <v/>
      </c>
      <c r="AM319" s="14">
        <f>INDEX(MTInputs!$J$1:$AZ$415,$D319,MATCH(AM$5,MTInputs!$J$5:$AZ$5,0))</f>
        <v/>
      </c>
      <c r="AN319" s="14">
        <f>INDEX(MTInputs!$J$1:$AZ$415,$D319,MATCH(AN$5,MTInputs!$J$5:$AZ$5,0))</f>
        <v/>
      </c>
      <c r="AO319" s="14">
        <f>INDEX(MTInputs!$J$1:$AZ$415,$D319,MATCH(AO$5,MTInputs!$J$5:$AZ$5,0))</f>
        <v/>
      </c>
      <c r="AP319" s="14">
        <f>INDEX(MTInputs!$J$1:$AZ$415,$D319,MATCH(AP$5,MTInputs!$J$5:$AZ$5,0))</f>
        <v/>
      </c>
      <c r="AQ319" s="14">
        <f>INDEX(MTInputs!$J$1:$AZ$415,$D319,MATCH(AQ$5,MTInputs!$J$5:$AZ$5,0))</f>
        <v/>
      </c>
      <c r="AR319" s="14">
        <f>INDEX(MTInputs!$J$1:$AZ$415,$D319,MATCH(AR$5,MTInputs!$J$5:$AZ$5,0))</f>
        <v/>
      </c>
      <c r="AS319" s="14">
        <f>INDEX(MTInputs!$J$1:$AZ$415,$D319,MATCH(AS$5,MTInputs!$J$5:$AZ$5,0))</f>
        <v/>
      </c>
      <c r="AT319" s="14">
        <f>INDEX(MTInputs!$J$1:$AZ$415,$D319,MATCH(AT$5,MTInputs!$J$5:$AZ$5,0))</f>
        <v/>
      </c>
      <c r="AU319" s="14">
        <f>INDEX(MTInputs!$J$1:$AZ$415,$D319,MATCH(AU$5,MTInputs!$J$5:$AZ$5,0))</f>
        <v/>
      </c>
      <c r="AV319" s="14">
        <f>INDEX(MTInputs!$J$1:$AZ$415,$D319,MATCH(AV$5,MTInputs!$J$5:$AZ$5,0))</f>
        <v/>
      </c>
      <c r="AW319" s="14">
        <f>INDEX(MTInputs!$J$1:$AZ$415,$D319,MATCH(AW$5,MTInputs!$J$5:$AZ$5,0))</f>
        <v/>
      </c>
      <c r="AX319" s="14">
        <f>INDEX(MTInputs!$J$1:$AZ$415,$D319,MATCH(AX$5,MTInputs!$J$5:$AZ$5,0))</f>
        <v/>
      </c>
      <c r="AY319" s="14">
        <f>INDEX(MTInputs!$J$1:$AZ$415,$D319,MATCH(AY$5,MTInputs!$J$5:$AZ$5,0))</f>
        <v/>
      </c>
      <c r="AZ319" s="14">
        <f>INDEX(MTInputs!$J$1:$AZ$415,$D319,MATCH(AZ$5,MTInputs!$J$5:$AZ$5,0))</f>
        <v/>
      </c>
      <c r="BA319" s="14">
        <f>INDEX(MTInputs!$J$1:$AZ$415,$D319,MATCH(BA$5,MTInputs!$J$5:$AZ$5,0))</f>
        <v/>
      </c>
    </row>
    <row r="320" hidden="1" outlineLevel="1">
      <c r="A320" s="14" t="inlineStr">
        <is>
          <t>xct.d</t>
        </is>
      </c>
      <c r="B320" s="14" t="inlineStr"/>
      <c r="C320" s="14" t="inlineStr"/>
      <c r="H320" s="14">
        <f>INDEX(VarLab,MATCH($A320,VarKey,0))&amp;INDEX(MemLab,MATCH($C320&amp;"|"&amp;$B320,MemKey,0))</f>
        <v/>
      </c>
      <c r="I320" s="14">
        <f>INDEX(VarUnit,MATCH($A320,VarKey,0))</f>
        <v/>
      </c>
      <c r="J320" s="14">
        <f>INDEX(VarSrc,MATCH($A320,VarKey,0))</f>
        <v/>
      </c>
      <c r="K320" s="11">
        <f>CodePrefix&amp;$A320&amp;IF($C320="","","."&amp;$C320&amp;"."&amp;$B320)&amp;INDEX(VarEnd,MATCH($A320,VarKey,0))&amp;K$5</f>
        <v/>
      </c>
      <c r="L320" s="23">
        <f>INDEX(ECPVal,MATCH("ecr.all",ECPKey,0),MATCH(MIN(L$4,ECPLast),ECPYear,0))</f>
        <v/>
      </c>
      <c r="M320" s="24">
        <f>INDEX(ECPVal,MATCH("ecr.all",ECPKey,0),MATCH(MIN(M$4,ECPLast),ECPYear,0))</f>
        <v/>
      </c>
      <c r="N320" s="24">
        <f>INDEX(ECPVal,MATCH("ecr.all",ECPKey,0),MATCH(MIN(N$4,ECPLast),ECPYear,0))</f>
        <v/>
      </c>
      <c r="O320" s="24">
        <f>INDEX(ECPVal,MATCH("ecr.all",ECPKey,0),MATCH(MIN(O$4,ECPLast),ECPYear,0))</f>
        <v/>
      </c>
      <c r="P320" s="24">
        <f>INDEX(ECPVal,MATCH("ecr.all",ECPKey,0),MATCH(MIN(P$4,ECPLast),ECPYear,0))</f>
        <v/>
      </c>
      <c r="Q320" s="24">
        <f>INDEX(ECPVal,MATCH("ecr.all",ECPKey,0),MATCH(MIN(Q$4,ECPLast),ECPYear,0))</f>
        <v/>
      </c>
      <c r="R320" s="24">
        <f>INDEX(ECPVal,MATCH("ecr.all",ECPKey,0),MATCH(MIN(R$4,ECPLast),ECPYear,0))</f>
        <v/>
      </c>
      <c r="S320" s="24">
        <f>INDEX(ECPVal,MATCH("ecr.all",ECPKey,0),MATCH(MIN(S$4,ECPLast),ECPYear,0))</f>
        <v/>
      </c>
      <c r="T320" s="24">
        <f>INDEX(ECPVal,MATCH("ecr.all",ECPKey,0),MATCH(MIN(T$4,ECPLast),ECPYear,0))</f>
        <v/>
      </c>
      <c r="U320" s="24">
        <f>INDEX(ECPVal,MATCH("ecr.all",ECPKey,0),MATCH(MIN(U$4,ECPLast),ECPYear,0))</f>
        <v/>
      </c>
      <c r="V320" s="24">
        <f>INDEX(ECPVal,MATCH("ecr.all",ECPKey,0),MATCH(MIN(V$4,ECPLast),ECPYear,0))</f>
        <v/>
      </c>
      <c r="W320" s="24">
        <f>INDEX(ECPVal,MATCH("ecr.all",ECPKey,0),MATCH(MIN(W$4,ECPLast),ECPYear,0))</f>
        <v/>
      </c>
      <c r="X320" s="24">
        <f>INDEX(ECPVal,MATCH("ecr.all",ECPKey,0),MATCH(MIN(X$4,ECPLast),ECPYear,0))</f>
        <v/>
      </c>
      <c r="Y320" s="24">
        <f>INDEX(ECPVal,MATCH("ecr.all",ECPKey,0),MATCH(MIN(Y$4,ECPLast),ECPYear,0))</f>
        <v/>
      </c>
      <c r="Z320" s="24">
        <f>INDEX(ECPVal,MATCH("ecr.all",ECPKey,0),MATCH(MIN(Z$4,ECPLast),ECPYear,0))</f>
        <v/>
      </c>
      <c r="AA320" s="24">
        <f>INDEX(ECPVal,MATCH("ecr.all",ECPKey,0),MATCH(MIN(AA$4,ECPLast),ECPYear,0))</f>
        <v/>
      </c>
      <c r="AB320" s="24">
        <f>INDEX(ECPVal,MATCH("ecr.all",ECPKey,0),MATCH(MIN(AB$4,ECPLast),ECPYear,0))</f>
        <v/>
      </c>
      <c r="AC320" s="24">
        <f>INDEX(ECPVal,MATCH("ecr.all",ECPKey,0),MATCH(MIN(AC$4,ECPLast),ECPYear,0))</f>
        <v/>
      </c>
      <c r="AD320" s="24">
        <f>INDEX(ECPVal,MATCH("ecr.all",ECPKey,0),MATCH(MIN(AD$4,ECPLast),ECPYear,0))</f>
        <v/>
      </c>
      <c r="AE320" s="24">
        <f>INDEX(ECPVal,MATCH("ecr.all",ECPKey,0),MATCH(MIN(AE$4,ECPLast),ECPYear,0))</f>
        <v/>
      </c>
      <c r="AG320" s="11">
        <f>CodePrefix&amp;$A320&amp;IF($C320="","","."&amp;$C320&amp;"."&amp;$B320)&amp;INDEX(VarEnd,MATCH($A320,VarKey,0))&amp;AG$5</f>
        <v/>
      </c>
      <c r="AH320" s="23">
        <f>INDEX(ECPVal,MATCH("ecr.all",ECPKey,0),MATCH(MIN(AH$4,ECPLast),ECPYear,0))</f>
        <v/>
      </c>
      <c r="AI320" s="24">
        <f>INDEX(ECPVal,MATCH("ecr.all",ECPKey,0),MATCH(MIN(AI$4,ECPLast),ECPYear,0))</f>
        <v/>
      </c>
      <c r="AJ320" s="24">
        <f>INDEX(ECPVal,MATCH("ecr.all",ECPKey,0),MATCH(MIN(AJ$4,ECPLast),ECPYear,0))</f>
        <v/>
      </c>
      <c r="AK320" s="24">
        <f>INDEX(ECPVal,MATCH("ecr.all",ECPKey,0),MATCH(MIN(AK$4,ECPLast),ECPYear,0))</f>
        <v/>
      </c>
      <c r="AL320" s="24">
        <f>INDEX(ECPVal,MATCH("ecr.all",ECPKey,0),MATCH(MIN(AL$4,ECPLast),ECPYear,0))</f>
        <v/>
      </c>
      <c r="AM320" s="24">
        <f>INDEX(ECPVal,MATCH("ecr.all",ECPKey,0),MATCH(MIN(AM$4,ECPLast),ECPYear,0))</f>
        <v/>
      </c>
      <c r="AN320" s="24">
        <f>INDEX(ECPVal,MATCH("ecr.all",ECPKey,0),MATCH(MIN(AN$4,ECPLast),ECPYear,0))</f>
        <v/>
      </c>
      <c r="AO320" s="24">
        <f>INDEX(ECPVal,MATCH("ecr.all",ECPKey,0),MATCH(MIN(AO$4,ECPLast),ECPYear,0))</f>
        <v/>
      </c>
      <c r="AP320" s="24">
        <f>INDEX(ECPVal,MATCH("ecr.all",ECPKey,0),MATCH(MIN(AP$4,ECPLast),ECPYear,0))</f>
        <v/>
      </c>
      <c r="AQ320" s="24">
        <f>INDEX(ECPVal,MATCH("ecr.all",ECPKey,0),MATCH(MIN(AQ$4,ECPLast),ECPYear,0))</f>
        <v/>
      </c>
      <c r="AR320" s="24">
        <f>INDEX(ECPVal,MATCH("ecr.all",ECPKey,0),MATCH(MIN(AR$4,ECPLast),ECPYear,0))</f>
        <v/>
      </c>
      <c r="AS320" s="24">
        <f>INDEX(ECPVal,MATCH("ecr.all",ECPKey,0),MATCH(MIN(AS$4,ECPLast),ECPYear,0))</f>
        <v/>
      </c>
      <c r="AT320" s="24">
        <f>INDEX(ECPVal,MATCH("ecr.all",ECPKey,0),MATCH(MIN(AT$4,ECPLast),ECPYear,0))</f>
        <v/>
      </c>
      <c r="AU320" s="24">
        <f>INDEX(ECPVal,MATCH("ecr.all",ECPKey,0),MATCH(MIN(AU$4,ECPLast),ECPYear,0))</f>
        <v/>
      </c>
      <c r="AV320" s="24">
        <f>INDEX(ECPVal,MATCH("ecr.all",ECPKey,0),MATCH(MIN(AV$4,ECPLast),ECPYear,0))</f>
        <v/>
      </c>
      <c r="AW320" s="24">
        <f>INDEX(ECPVal,MATCH("ecr.all",ECPKey,0),MATCH(MIN(AW$4,ECPLast),ECPYear,0))</f>
        <v/>
      </c>
      <c r="AX320" s="24">
        <f>INDEX(ECPVal,MATCH("ecr.all",ECPKey,0),MATCH(MIN(AX$4,ECPLast),ECPYear,0))</f>
        <v/>
      </c>
      <c r="AY320" s="24">
        <f>INDEX(ECPVal,MATCH("ecr.all",ECPKey,0),MATCH(MIN(AY$4,ECPLast),ECPYear,0))</f>
        <v/>
      </c>
      <c r="AZ320" s="24">
        <f>INDEX(ECPVal,MATCH("ecr.all",ECPKey,0),MATCH(MIN(AZ$4,ECPLast),ECPYear,0))</f>
        <v/>
      </c>
      <c r="BA320" s="24">
        <f>INDEX(ECPVal,MATCH("ecr.all",ECPKey,0),MATCH(MIN(BA$4,ECPLast),ECPYear,0))</f>
        <v/>
      </c>
    </row>
    <row r="321" hidden="1" outlineLevel="1">
      <c r="A321" s="1" t="inlineStr">
        <is>
          <t>xct.p</t>
        </is>
      </c>
      <c r="B321" s="1" t="inlineStr"/>
      <c r="C321" s="1" t="inlineStr"/>
      <c r="H321" s="1">
        <f>INDEX(VarLab,MATCH($A321,VarKey,0))&amp;INDEX(MemLab,MATCH($C321&amp;"|"&amp;$B321,MemKey,0))</f>
        <v/>
      </c>
      <c r="I321" s="1">
        <f>INDEX(VarUnit,MATCH($A321,VarKey,0))</f>
        <v/>
      </c>
      <c r="J321" s="1">
        <f>INDEX(VarSrc,MATCH($A321,VarKey,0))</f>
        <v/>
      </c>
      <c r="K321" s="17">
        <f>CodePrefix&amp;$A321&amp;IF($C321="","","."&amp;$C321&amp;"."&amp;$B321)&amp;INDEX(VarEnd,MATCH($A321,VarKey,0))&amp;K$5</f>
        <v/>
      </c>
      <c r="L321" s="18">
        <f>IF(LEFT(L$315,3)="Yes",L$320*(1+L$316)^MAX(0,L$4-ECPLast),0)</f>
        <v/>
      </c>
      <c r="M321" s="19">
        <f>IF(LEFT(M$315,3)="Yes",M$320*(1+M$316)^MAX(0,M$4-ECPLast),0)</f>
        <v/>
      </c>
      <c r="N321" s="19">
        <f>IF(LEFT(N$315,3)="Yes",N$320*(1+N$316)^MAX(0,N$4-ECPLast),0)</f>
        <v/>
      </c>
      <c r="O321" s="19">
        <f>IF(LEFT(O$315,3)="Yes",O$320*(1+O$316)^MAX(0,O$4-ECPLast),0)</f>
        <v/>
      </c>
      <c r="P321" s="19">
        <f>IF(LEFT(P$315,3)="Yes",P$320*(1+P$316)^MAX(0,P$4-ECPLast),0)</f>
        <v/>
      </c>
      <c r="Q321" s="19">
        <f>IF(LEFT(Q$315,3)="Yes",Q$320*(1+Q$316)^MAX(0,Q$4-ECPLast),0)</f>
        <v/>
      </c>
      <c r="R321" s="19">
        <f>IF(LEFT(R$315,3)="Yes",R$320*(1+R$316)^MAX(0,R$4-ECPLast),0)</f>
        <v/>
      </c>
      <c r="S321" s="19">
        <f>IF(LEFT(S$315,3)="Yes",S$320*(1+S$316)^MAX(0,S$4-ECPLast),0)</f>
        <v/>
      </c>
      <c r="T321" s="19">
        <f>IF(LEFT(T$315,3)="Yes",T$320*(1+T$316)^MAX(0,T$4-ECPLast),0)</f>
        <v/>
      </c>
      <c r="U321" s="19">
        <f>IF(LEFT(U$315,3)="Yes",U$320*(1+U$316)^MAX(0,U$4-ECPLast),0)</f>
        <v/>
      </c>
      <c r="V321" s="19">
        <f>IF(LEFT(V$315,3)="Yes",V$320*(1+V$316)^MAX(0,V$4-ECPLast),0)</f>
        <v/>
      </c>
      <c r="W321" s="19">
        <f>IF(LEFT(W$315,3)="Yes",W$320*(1+W$316)^MAX(0,W$4-ECPLast),0)</f>
        <v/>
      </c>
      <c r="X321" s="19">
        <f>IF(LEFT(X$315,3)="Yes",X$320*(1+X$316)^MAX(0,X$4-ECPLast),0)</f>
        <v/>
      </c>
      <c r="Y321" s="19">
        <f>IF(LEFT(Y$315,3)="Yes",Y$320*(1+Y$316)^MAX(0,Y$4-ECPLast),0)</f>
        <v/>
      </c>
      <c r="Z321" s="19">
        <f>IF(LEFT(Z$315,3)="Yes",Z$320*(1+Z$316)^MAX(0,Z$4-ECPLast),0)</f>
        <v/>
      </c>
      <c r="AA321" s="19">
        <f>IF(LEFT(AA$315,3)="Yes",AA$320*(1+AA$316)^MAX(0,AA$4-ECPLast),0)</f>
        <v/>
      </c>
      <c r="AB321" s="19">
        <f>IF(LEFT(AB$315,3)="Yes",AB$320*(1+AB$316)^MAX(0,AB$4-ECPLast),0)</f>
        <v/>
      </c>
      <c r="AC321" s="19">
        <f>IF(LEFT(AC$315,3)="Yes",AC$320*(1+AC$316)^MAX(0,AC$4-ECPLast),0)</f>
        <v/>
      </c>
      <c r="AD321" s="19">
        <f>IF(LEFT(AD$315,3)="Yes",AD$320*(1+AD$316)^MAX(0,AD$4-ECPLast),0)</f>
        <v/>
      </c>
      <c r="AE321" s="20">
        <f>ECPPRICE(AE$315,AE$320,AE$316,AE$4)</f>
        <v/>
      </c>
      <c r="AG321" s="17">
        <f>CodePrefix&amp;$A321&amp;IF($C321="","","."&amp;$C321&amp;"."&amp;$B321)&amp;INDEX(VarEnd,MATCH($A321,VarKey,0))&amp;AG$5</f>
        <v/>
      </c>
      <c r="AH321" s="18">
        <f>IF(LEFT(AH$315,3)="Yes",AH$320*(1+AH$316)^MAX(0,AH$4-ECPLast),0)</f>
        <v/>
      </c>
      <c r="AI321" s="19">
        <f>IF(LEFT(AI$315,3)="Yes",AI$320*(1+AI$316)^MAX(0,AI$4-ECPLast),0)</f>
        <v/>
      </c>
      <c r="AJ321" s="19">
        <f>IF(LEFT(AJ$315,3)="Yes",AJ$320*(1+AJ$316)^MAX(0,AJ$4-ECPLast),0)</f>
        <v/>
      </c>
      <c r="AK321" s="19">
        <f>IF(LEFT(AK$315,3)="Yes",AK$320*(1+AK$316)^MAX(0,AK$4-ECPLast),0)</f>
        <v/>
      </c>
      <c r="AL321" s="19">
        <f>IF(LEFT(AL$315,3)="Yes",AL$320*(1+AL$316)^MAX(0,AL$4-ECPLast),0)</f>
        <v/>
      </c>
      <c r="AM321" s="19">
        <f>IF(LEFT(AM$315,3)="Yes",AM$320*(1+AM$316)^MAX(0,AM$4-ECPLast),0)</f>
        <v/>
      </c>
      <c r="AN321" s="19">
        <f>IF(LEFT(AN$315,3)="Yes",AN$320*(1+AN$316)^MAX(0,AN$4-ECPLast),0)</f>
        <v/>
      </c>
      <c r="AO321" s="19">
        <f>IF(LEFT(AO$315,3)="Yes",AO$320*(1+AO$316)^MAX(0,AO$4-ECPLast),0)</f>
        <v/>
      </c>
      <c r="AP321" s="19">
        <f>IF(LEFT(AP$315,3)="Yes",AP$320*(1+AP$316)^MAX(0,AP$4-ECPLast),0)</f>
        <v/>
      </c>
      <c r="AQ321" s="19">
        <f>IF(LEFT(AQ$315,3)="Yes",AQ$320*(1+AQ$316)^MAX(0,AQ$4-ECPLast),0)</f>
        <v/>
      </c>
      <c r="AR321" s="19">
        <f>IF(LEFT(AR$315,3)="Yes",AR$320*(1+AR$316)^MAX(0,AR$4-ECPLast),0)</f>
        <v/>
      </c>
      <c r="AS321" s="19">
        <f>IF(LEFT(AS$315,3)="Yes",AS$320*(1+AS$316)^MAX(0,AS$4-ECPLast),0)</f>
        <v/>
      </c>
      <c r="AT321" s="19">
        <f>IF(LEFT(AT$315,3)="Yes",AT$320*(1+AT$316)^MAX(0,AT$4-ECPLast),0)</f>
        <v/>
      </c>
      <c r="AU321" s="19">
        <f>IF(LEFT(AU$315,3)="Yes",AU$320*(1+AU$316)^MAX(0,AU$4-ECPLast),0)</f>
        <v/>
      </c>
      <c r="AV321" s="19">
        <f>IF(LEFT(AV$315,3)="Yes",AV$320*(1+AV$316)^MAX(0,AV$4-ECPLast),0)</f>
        <v/>
      </c>
      <c r="AW321" s="19">
        <f>IF(LEFT(AW$315,3)="Yes",AW$320*(1+AW$316)^MAX(0,AW$4-ECPLast),0)</f>
        <v/>
      </c>
      <c r="AX321" s="19">
        <f>IF(LEFT(AX$315,3)="Yes",AX$320*(1+AX$316)^MAX(0,AX$4-ECPLast),0)</f>
        <v/>
      </c>
      <c r="AY321" s="19">
        <f>IF(LEFT(AY$315,3)="Yes",AY$320*(1+AY$316)^MAX(0,AY$4-ECPLast),0)</f>
        <v/>
      </c>
      <c r="AZ321" s="19">
        <f>IF(LEFT(AZ$315,3)="Yes",AZ$320*(1+AZ$316)^MAX(0,AZ$4-ECPLast),0)</f>
        <v/>
      </c>
      <c r="BA321" s="20">
        <f>ECPPRICE(BA$315,BA$320,BA$316,BA$4)</f>
        <v/>
      </c>
    </row>
    <row r="322" hidden="1" outlineLevel="1">
      <c r="A322" s="14" t="inlineStr">
        <is>
          <t>xct.p0</t>
        </is>
      </c>
      <c r="B322" s="14" t="inlineStr"/>
      <c r="C322" s="14" t="inlineStr"/>
      <c r="H322" s="14">
        <f>INDEX(VarLab,MATCH($A322,VarKey,0))&amp;INDEX(MemLab,MATCH($C322&amp;"|"&amp;$B322,MemKey,0))</f>
        <v/>
      </c>
      <c r="I322" s="14">
        <f>INDEX(VarUnit,MATCH($A322,VarKey,0))</f>
        <v/>
      </c>
      <c r="J322" s="14">
        <f>INDEX(VarSrc,MATCH($A322,VarKey,0))</f>
        <v/>
      </c>
      <c r="K322" s="11">
        <f>CodePrefix&amp;$A322&amp;IF($C322="","","."&amp;$C322&amp;"."&amp;$B322)&amp;INDEX(VarEnd,MATCH($A322,VarKey,0))&amp;K$5</f>
        <v/>
      </c>
      <c r="L322" s="23">
        <f>INDEX(ECPVal,MATCH("ecr.all",ECPKey,0),MATCH(MIN(L$4,ECPLast,Settings!$C$10),ECPYear,0))</f>
        <v/>
      </c>
      <c r="M322" s="24">
        <f>INDEX(ECPVal,MATCH("ecr.all",ECPKey,0),MATCH(MIN(M$4,ECPLast,Settings!$C$10),ECPYear,0))</f>
        <v/>
      </c>
      <c r="N322" s="24">
        <f>INDEX(ECPVal,MATCH("ecr.all",ECPKey,0),MATCH(MIN(N$4,ECPLast,Settings!$C$10),ECPYear,0))</f>
        <v/>
      </c>
      <c r="O322" s="24">
        <f>INDEX(ECPVal,MATCH("ecr.all",ECPKey,0),MATCH(MIN(O$4,ECPLast,Settings!$C$10),ECPYear,0))</f>
        <v/>
      </c>
      <c r="P322" s="24">
        <f>INDEX(ECPVal,MATCH("ecr.all",ECPKey,0),MATCH(MIN(P$4,ECPLast,Settings!$C$10),ECPYear,0))</f>
        <v/>
      </c>
      <c r="Q322" s="24">
        <f>INDEX(ECPVal,MATCH("ecr.all",ECPKey,0),MATCH(MIN(Q$4,ECPLast,Settings!$C$10),ECPYear,0))</f>
        <v/>
      </c>
      <c r="R322" s="24">
        <f>INDEX(ECPVal,MATCH("ecr.all",ECPKey,0),MATCH(MIN(R$4,ECPLast,Settings!$C$10),ECPYear,0))</f>
        <v/>
      </c>
      <c r="S322" s="24">
        <f>INDEX(ECPVal,MATCH("ecr.all",ECPKey,0),MATCH(MIN(S$4,ECPLast,Settings!$C$10),ECPYear,0))</f>
        <v/>
      </c>
      <c r="T322" s="24">
        <f>INDEX(ECPVal,MATCH("ecr.all",ECPKey,0),MATCH(MIN(T$4,ECPLast,Settings!$C$10),ECPYear,0))</f>
        <v/>
      </c>
      <c r="U322" s="24">
        <f>INDEX(ECPVal,MATCH("ecr.all",ECPKey,0),MATCH(MIN(U$4,ECPLast,Settings!$C$10),ECPYear,0))</f>
        <v/>
      </c>
      <c r="V322" s="24">
        <f>INDEX(ECPVal,MATCH("ecr.all",ECPKey,0),MATCH(MIN(V$4,ECPLast,Settings!$C$10),ECPYear,0))</f>
        <v/>
      </c>
      <c r="W322" s="24">
        <f>INDEX(ECPVal,MATCH("ecr.all",ECPKey,0),MATCH(MIN(W$4,ECPLast,Settings!$C$10),ECPYear,0))</f>
        <v/>
      </c>
      <c r="X322" s="24">
        <f>INDEX(ECPVal,MATCH("ecr.all",ECPKey,0),MATCH(MIN(X$4,ECPLast,Settings!$C$10),ECPYear,0))</f>
        <v/>
      </c>
      <c r="Y322" s="24">
        <f>INDEX(ECPVal,MATCH("ecr.all",ECPKey,0),MATCH(MIN(Y$4,ECPLast,Settings!$C$10),ECPYear,0))</f>
        <v/>
      </c>
      <c r="Z322" s="24">
        <f>INDEX(ECPVal,MATCH("ecr.all",ECPKey,0),MATCH(MIN(Z$4,ECPLast,Settings!$C$10),ECPYear,0))</f>
        <v/>
      </c>
      <c r="AA322" s="24">
        <f>INDEX(ECPVal,MATCH("ecr.all",ECPKey,0),MATCH(MIN(AA$4,ECPLast,Settings!$C$10),ECPYear,0))</f>
        <v/>
      </c>
      <c r="AB322" s="24">
        <f>INDEX(ECPVal,MATCH("ecr.all",ECPKey,0),MATCH(MIN(AB$4,ECPLast,Settings!$C$10),ECPYear,0))</f>
        <v/>
      </c>
      <c r="AC322" s="24">
        <f>INDEX(ECPVal,MATCH("ecr.all",ECPKey,0),MATCH(MIN(AC$4,ECPLast,Settings!$C$10),ECPYear,0))</f>
        <v/>
      </c>
      <c r="AD322" s="24">
        <f>INDEX(ECPVal,MATCH("ecr.all",ECPKey,0),MATCH(MIN(AD$4,ECPLast,Settings!$C$10),ECPYear,0))</f>
        <v/>
      </c>
      <c r="AE322" s="24">
        <f>INDEX(ECPVal,MATCH("ecr.all",ECPKey,0),MATCH(MIN(AE$4,ECPLast,Settings!$C$10),ECPYear,0))</f>
        <v/>
      </c>
      <c r="AG322" s="11">
        <f>CodePrefix&amp;$A322&amp;IF($C322="","","."&amp;$C322&amp;"."&amp;$B322)&amp;INDEX(VarEnd,MATCH($A322,VarKey,0))&amp;AG$5</f>
        <v/>
      </c>
      <c r="AH322" s="23">
        <f>INDEX(ECPVal,MATCH("ecr.all",ECPKey,0),MATCH(MIN(AH$4,ECPLast,Settings!$C$10),ECPYear,0))</f>
        <v/>
      </c>
      <c r="AI322" s="24">
        <f>INDEX(ECPVal,MATCH("ecr.all",ECPKey,0),MATCH(MIN(AI$4,ECPLast,Settings!$C$10),ECPYear,0))</f>
        <v/>
      </c>
      <c r="AJ322" s="24">
        <f>INDEX(ECPVal,MATCH("ecr.all",ECPKey,0),MATCH(MIN(AJ$4,ECPLast,Settings!$C$10),ECPYear,0))</f>
        <v/>
      </c>
      <c r="AK322" s="24">
        <f>INDEX(ECPVal,MATCH("ecr.all",ECPKey,0),MATCH(MIN(AK$4,ECPLast,Settings!$C$10),ECPYear,0))</f>
        <v/>
      </c>
      <c r="AL322" s="24">
        <f>INDEX(ECPVal,MATCH("ecr.all",ECPKey,0),MATCH(MIN(AL$4,ECPLast,Settings!$C$10),ECPYear,0))</f>
        <v/>
      </c>
      <c r="AM322" s="24">
        <f>INDEX(ECPVal,MATCH("ecr.all",ECPKey,0),MATCH(MIN(AM$4,ECPLast,Settings!$C$10),ECPYear,0))</f>
        <v/>
      </c>
      <c r="AN322" s="24">
        <f>INDEX(ECPVal,MATCH("ecr.all",ECPKey,0),MATCH(MIN(AN$4,ECPLast,Settings!$C$10),ECPYear,0))</f>
        <v/>
      </c>
      <c r="AO322" s="24">
        <f>INDEX(ECPVal,MATCH("ecr.all",ECPKey,0),MATCH(MIN(AO$4,ECPLast,Settings!$C$10),ECPYear,0))</f>
        <v/>
      </c>
      <c r="AP322" s="24">
        <f>INDEX(ECPVal,MATCH("ecr.all",ECPKey,0),MATCH(MIN(AP$4,ECPLast,Settings!$C$10),ECPYear,0))</f>
        <v/>
      </c>
      <c r="AQ322" s="24">
        <f>INDEX(ECPVal,MATCH("ecr.all",ECPKey,0),MATCH(MIN(AQ$4,ECPLast,Settings!$C$10),ECPYear,0))</f>
        <v/>
      </c>
      <c r="AR322" s="24">
        <f>INDEX(ECPVal,MATCH("ecr.all",ECPKey,0),MATCH(MIN(AR$4,ECPLast,Settings!$C$10),ECPYear,0))</f>
        <v/>
      </c>
      <c r="AS322" s="24">
        <f>INDEX(ECPVal,MATCH("ecr.all",ECPKey,0),MATCH(MIN(AS$4,ECPLast,Settings!$C$10),ECPYear,0))</f>
        <v/>
      </c>
      <c r="AT322" s="24">
        <f>INDEX(ECPVal,MATCH("ecr.all",ECPKey,0),MATCH(MIN(AT$4,ECPLast,Settings!$C$10),ECPYear,0))</f>
        <v/>
      </c>
      <c r="AU322" s="24">
        <f>INDEX(ECPVal,MATCH("ecr.all",ECPKey,0),MATCH(MIN(AU$4,ECPLast,Settings!$C$10),ECPYear,0))</f>
        <v/>
      </c>
      <c r="AV322" s="24">
        <f>INDEX(ECPVal,MATCH("ecr.all",ECPKey,0),MATCH(MIN(AV$4,ECPLast,Settings!$C$10),ECPYear,0))</f>
        <v/>
      </c>
      <c r="AW322" s="24">
        <f>INDEX(ECPVal,MATCH("ecr.all",ECPKey,0),MATCH(MIN(AW$4,ECPLast,Settings!$C$10),ECPYear,0))</f>
        <v/>
      </c>
      <c r="AX322" s="24">
        <f>INDEX(ECPVal,MATCH("ecr.all",ECPKey,0),MATCH(MIN(AX$4,ECPLast,Settings!$C$10),ECPYear,0))</f>
        <v/>
      </c>
      <c r="AY322" s="24">
        <f>INDEX(ECPVal,MATCH("ecr.all",ECPKey,0),MATCH(MIN(AY$4,ECPLast,Settings!$C$10),ECPYear,0))</f>
        <v/>
      </c>
      <c r="AZ322" s="24">
        <f>INDEX(ECPVal,MATCH("ecr.all",ECPKey,0),MATCH(MIN(AZ$4,ECPLast,Settings!$C$10),ECPYear,0))</f>
        <v/>
      </c>
      <c r="BA322" s="24">
        <f>INDEX(ECPVal,MATCH("ecr.all",ECPKey,0),MATCH(MIN(BA$4,ECPLast,Settings!$C$10),ECPYear,0))</f>
        <v/>
      </c>
    </row>
    <row r="323" hidden="1" outlineLevel="1">
      <c r="A323" s="14" t="inlineStr">
        <is>
          <t>xets.d</t>
        </is>
      </c>
      <c r="B323" s="14" t="inlineStr"/>
      <c r="C323" s="14" t="inlineStr"/>
      <c r="H323" s="14">
        <f>INDEX(VarLab,MATCH($A323,VarKey,0))&amp;INDEX(MemLab,MATCH($C323&amp;"|"&amp;$B323,MemKey,0))</f>
        <v/>
      </c>
      <c r="I323" s="14">
        <f>INDEX(VarUnit,MATCH($A323,VarKey,0))</f>
        <v/>
      </c>
      <c r="J323" s="14">
        <f>INDEX(VarSrc,MATCH($A323,VarKey,0))</f>
        <v/>
      </c>
      <c r="K323" s="11">
        <f>CodePrefix&amp;$A323&amp;IF($C323="","","."&amp;$C323&amp;"."&amp;$B323)&amp;INDEX(VarEnd,MATCH($A323,VarKey,0))&amp;K$5</f>
        <v/>
      </c>
      <c r="L323" s="23">
        <f>INDEX(ECPVal,MATCH("eer.all",ECPKey,0),MATCH(MIN(L$4,ECPLast),ECPYear,0))</f>
        <v/>
      </c>
      <c r="M323" s="24">
        <f>INDEX(ECPVal,MATCH("eer.all",ECPKey,0),MATCH(MIN(M$4,ECPLast),ECPYear,0))</f>
        <v/>
      </c>
      <c r="N323" s="24">
        <f>INDEX(ECPVal,MATCH("eer.all",ECPKey,0),MATCH(MIN(N$4,ECPLast),ECPYear,0))</f>
        <v/>
      </c>
      <c r="O323" s="24">
        <f>INDEX(ECPVal,MATCH("eer.all",ECPKey,0),MATCH(MIN(O$4,ECPLast),ECPYear,0))</f>
        <v/>
      </c>
      <c r="P323" s="24">
        <f>INDEX(ECPVal,MATCH("eer.all",ECPKey,0),MATCH(MIN(P$4,ECPLast),ECPYear,0))</f>
        <v/>
      </c>
      <c r="Q323" s="24">
        <f>INDEX(ECPVal,MATCH("eer.all",ECPKey,0),MATCH(MIN(Q$4,ECPLast),ECPYear,0))</f>
        <v/>
      </c>
      <c r="R323" s="24">
        <f>INDEX(ECPVal,MATCH("eer.all",ECPKey,0),MATCH(MIN(R$4,ECPLast),ECPYear,0))</f>
        <v/>
      </c>
      <c r="S323" s="24">
        <f>INDEX(ECPVal,MATCH("eer.all",ECPKey,0),MATCH(MIN(S$4,ECPLast),ECPYear,0))</f>
        <v/>
      </c>
      <c r="T323" s="24">
        <f>INDEX(ECPVal,MATCH("eer.all",ECPKey,0),MATCH(MIN(T$4,ECPLast),ECPYear,0))</f>
        <v/>
      </c>
      <c r="U323" s="24">
        <f>INDEX(ECPVal,MATCH("eer.all",ECPKey,0),MATCH(MIN(U$4,ECPLast),ECPYear,0))</f>
        <v/>
      </c>
      <c r="V323" s="24">
        <f>INDEX(ECPVal,MATCH("eer.all",ECPKey,0),MATCH(MIN(V$4,ECPLast),ECPYear,0))</f>
        <v/>
      </c>
      <c r="W323" s="24">
        <f>INDEX(ECPVal,MATCH("eer.all",ECPKey,0),MATCH(MIN(W$4,ECPLast),ECPYear,0))</f>
        <v/>
      </c>
      <c r="X323" s="24">
        <f>INDEX(ECPVal,MATCH("eer.all",ECPKey,0),MATCH(MIN(X$4,ECPLast),ECPYear,0))</f>
        <v/>
      </c>
      <c r="Y323" s="24">
        <f>INDEX(ECPVal,MATCH("eer.all",ECPKey,0),MATCH(MIN(Y$4,ECPLast),ECPYear,0))</f>
        <v/>
      </c>
      <c r="Z323" s="24">
        <f>INDEX(ECPVal,MATCH("eer.all",ECPKey,0),MATCH(MIN(Z$4,ECPLast),ECPYear,0))</f>
        <v/>
      </c>
      <c r="AA323" s="24">
        <f>INDEX(ECPVal,MATCH("eer.all",ECPKey,0),MATCH(MIN(AA$4,ECPLast),ECPYear,0))</f>
        <v/>
      </c>
      <c r="AB323" s="24">
        <f>INDEX(ECPVal,MATCH("eer.all",ECPKey,0),MATCH(MIN(AB$4,ECPLast),ECPYear,0))</f>
        <v/>
      </c>
      <c r="AC323" s="24">
        <f>INDEX(ECPVal,MATCH("eer.all",ECPKey,0),MATCH(MIN(AC$4,ECPLast),ECPYear,0))</f>
        <v/>
      </c>
      <c r="AD323" s="24">
        <f>INDEX(ECPVal,MATCH("eer.all",ECPKey,0),MATCH(MIN(AD$4,ECPLast),ECPYear,0))</f>
        <v/>
      </c>
      <c r="AE323" s="24">
        <f>INDEX(ECPVal,MATCH("eer.all",ECPKey,0),MATCH(MIN(AE$4,ECPLast),ECPYear,0))</f>
        <v/>
      </c>
      <c r="AG323" s="11">
        <f>CodePrefix&amp;$A323&amp;IF($C323="","","."&amp;$C323&amp;"."&amp;$B323)&amp;INDEX(VarEnd,MATCH($A323,VarKey,0))&amp;AG$5</f>
        <v/>
      </c>
      <c r="AH323" s="23">
        <f>INDEX(ECPVal,MATCH("eer.all",ECPKey,0),MATCH(MIN(AH$4,ECPLast),ECPYear,0))</f>
        <v/>
      </c>
      <c r="AI323" s="24">
        <f>INDEX(ECPVal,MATCH("eer.all",ECPKey,0),MATCH(MIN(AI$4,ECPLast),ECPYear,0))</f>
        <v/>
      </c>
      <c r="AJ323" s="24">
        <f>INDEX(ECPVal,MATCH("eer.all",ECPKey,0),MATCH(MIN(AJ$4,ECPLast),ECPYear,0))</f>
        <v/>
      </c>
      <c r="AK323" s="24">
        <f>INDEX(ECPVal,MATCH("eer.all",ECPKey,0),MATCH(MIN(AK$4,ECPLast),ECPYear,0))</f>
        <v/>
      </c>
      <c r="AL323" s="24">
        <f>INDEX(ECPVal,MATCH("eer.all",ECPKey,0),MATCH(MIN(AL$4,ECPLast),ECPYear,0))</f>
        <v/>
      </c>
      <c r="AM323" s="24">
        <f>INDEX(ECPVal,MATCH("eer.all",ECPKey,0),MATCH(MIN(AM$4,ECPLast),ECPYear,0))</f>
        <v/>
      </c>
      <c r="AN323" s="24">
        <f>INDEX(ECPVal,MATCH("eer.all",ECPKey,0),MATCH(MIN(AN$4,ECPLast),ECPYear,0))</f>
        <v/>
      </c>
      <c r="AO323" s="24">
        <f>INDEX(ECPVal,MATCH("eer.all",ECPKey,0),MATCH(MIN(AO$4,ECPLast),ECPYear,0))</f>
        <v/>
      </c>
      <c r="AP323" s="24">
        <f>INDEX(ECPVal,MATCH("eer.all",ECPKey,0),MATCH(MIN(AP$4,ECPLast),ECPYear,0))</f>
        <v/>
      </c>
      <c r="AQ323" s="24">
        <f>INDEX(ECPVal,MATCH("eer.all",ECPKey,0),MATCH(MIN(AQ$4,ECPLast),ECPYear,0))</f>
        <v/>
      </c>
      <c r="AR323" s="24">
        <f>INDEX(ECPVal,MATCH("eer.all",ECPKey,0),MATCH(MIN(AR$4,ECPLast),ECPYear,0))</f>
        <v/>
      </c>
      <c r="AS323" s="24">
        <f>INDEX(ECPVal,MATCH("eer.all",ECPKey,0),MATCH(MIN(AS$4,ECPLast),ECPYear,0))</f>
        <v/>
      </c>
      <c r="AT323" s="24">
        <f>INDEX(ECPVal,MATCH("eer.all",ECPKey,0),MATCH(MIN(AT$4,ECPLast),ECPYear,0))</f>
        <v/>
      </c>
      <c r="AU323" s="24">
        <f>INDEX(ECPVal,MATCH("eer.all",ECPKey,0),MATCH(MIN(AU$4,ECPLast),ECPYear,0))</f>
        <v/>
      </c>
      <c r="AV323" s="24">
        <f>INDEX(ECPVal,MATCH("eer.all",ECPKey,0),MATCH(MIN(AV$4,ECPLast),ECPYear,0))</f>
        <v/>
      </c>
      <c r="AW323" s="24">
        <f>INDEX(ECPVal,MATCH("eer.all",ECPKey,0),MATCH(MIN(AW$4,ECPLast),ECPYear,0))</f>
        <v/>
      </c>
      <c r="AX323" s="24">
        <f>INDEX(ECPVal,MATCH("eer.all",ECPKey,0),MATCH(MIN(AX$4,ECPLast),ECPYear,0))</f>
        <v/>
      </c>
      <c r="AY323" s="24">
        <f>INDEX(ECPVal,MATCH("eer.all",ECPKey,0),MATCH(MIN(AY$4,ECPLast),ECPYear,0))</f>
        <v/>
      </c>
      <c r="AZ323" s="24">
        <f>INDEX(ECPVal,MATCH("eer.all",ECPKey,0),MATCH(MIN(AZ$4,ECPLast),ECPYear,0))</f>
        <v/>
      </c>
      <c r="BA323" s="24">
        <f>INDEX(ECPVal,MATCH("eer.all",ECPKey,0),MATCH(MIN(BA$4,ECPLast),ECPYear,0))</f>
        <v/>
      </c>
    </row>
    <row r="324" hidden="1" outlineLevel="1">
      <c r="A324" s="1" t="inlineStr">
        <is>
          <t>xets.p</t>
        </is>
      </c>
      <c r="B324" s="1" t="inlineStr"/>
      <c r="C324" s="1" t="inlineStr"/>
      <c r="H324" s="1">
        <f>INDEX(VarLab,MATCH($A324,VarKey,0))&amp;INDEX(MemLab,MATCH($C324&amp;"|"&amp;$B324,MemKey,0))</f>
        <v/>
      </c>
      <c r="I324" s="1">
        <f>INDEX(VarUnit,MATCH($A324,VarKey,0))</f>
        <v/>
      </c>
      <c r="J324" s="1">
        <f>INDEX(VarSrc,MATCH($A324,VarKey,0))</f>
        <v/>
      </c>
      <c r="K324" s="17">
        <f>CodePrefix&amp;$A324&amp;IF($C324="","","."&amp;$C324&amp;"."&amp;$B324)&amp;INDEX(VarEnd,MATCH($A324,VarKey,0))&amp;K$5</f>
        <v/>
      </c>
      <c r="L324" s="18">
        <f>IF(LEFT(L$317,3)="Yes",L$323*(1+L$318)^MAX(0,L$4-ECPLast),0)</f>
        <v/>
      </c>
      <c r="M324" s="19">
        <f>IF(LEFT(M$317,3)="Yes",M$323*(1+M$318)^MAX(0,M$4-ECPLast),0)</f>
        <v/>
      </c>
      <c r="N324" s="19">
        <f>IF(LEFT(N$317,3)="Yes",N$323*(1+N$318)^MAX(0,N$4-ECPLast),0)</f>
        <v/>
      </c>
      <c r="O324" s="19">
        <f>IF(LEFT(O$317,3)="Yes",O$323*(1+O$318)^MAX(0,O$4-ECPLast),0)</f>
        <v/>
      </c>
      <c r="P324" s="19">
        <f>IF(LEFT(P$317,3)="Yes",P$323*(1+P$318)^MAX(0,P$4-ECPLast),0)</f>
        <v/>
      </c>
      <c r="Q324" s="19">
        <f>IF(LEFT(Q$317,3)="Yes",Q$323*(1+Q$318)^MAX(0,Q$4-ECPLast),0)</f>
        <v/>
      </c>
      <c r="R324" s="19">
        <f>IF(LEFT(R$317,3)="Yes",R$323*(1+R$318)^MAX(0,R$4-ECPLast),0)</f>
        <v/>
      </c>
      <c r="S324" s="19">
        <f>IF(LEFT(S$317,3)="Yes",S$323*(1+S$318)^MAX(0,S$4-ECPLast),0)</f>
        <v/>
      </c>
      <c r="T324" s="19">
        <f>IF(LEFT(T$317,3)="Yes",T$323*(1+T$318)^MAX(0,T$4-ECPLast),0)</f>
        <v/>
      </c>
      <c r="U324" s="19">
        <f>IF(LEFT(U$317,3)="Yes",U$323*(1+U$318)^MAX(0,U$4-ECPLast),0)</f>
        <v/>
      </c>
      <c r="V324" s="19">
        <f>IF(LEFT(V$317,3)="Yes",V$323*(1+V$318)^MAX(0,V$4-ECPLast),0)</f>
        <v/>
      </c>
      <c r="W324" s="19">
        <f>IF(LEFT(W$317,3)="Yes",W$323*(1+W$318)^MAX(0,W$4-ECPLast),0)</f>
        <v/>
      </c>
      <c r="X324" s="19">
        <f>IF(LEFT(X$317,3)="Yes",X$323*(1+X$318)^MAX(0,X$4-ECPLast),0)</f>
        <v/>
      </c>
      <c r="Y324" s="19">
        <f>IF(LEFT(Y$317,3)="Yes",Y$323*(1+Y$318)^MAX(0,Y$4-ECPLast),0)</f>
        <v/>
      </c>
      <c r="Z324" s="19">
        <f>IF(LEFT(Z$317,3)="Yes",Z$323*(1+Z$318)^MAX(0,Z$4-ECPLast),0)</f>
        <v/>
      </c>
      <c r="AA324" s="19">
        <f>IF(LEFT(AA$317,3)="Yes",AA$323*(1+AA$318)^MAX(0,AA$4-ECPLast),0)</f>
        <v/>
      </c>
      <c r="AB324" s="19">
        <f>IF(LEFT(AB$317,3)="Yes",AB$323*(1+AB$318)^MAX(0,AB$4-ECPLast),0)</f>
        <v/>
      </c>
      <c r="AC324" s="19">
        <f>IF(LEFT(AC$317,3)="Yes",AC$323*(1+AC$318)^MAX(0,AC$4-ECPLast),0)</f>
        <v/>
      </c>
      <c r="AD324" s="19">
        <f>IF(LEFT(AD$317,3)="Yes",AD$323*(1+AD$318)^MAX(0,AD$4-ECPLast),0)</f>
        <v/>
      </c>
      <c r="AE324" s="20">
        <f>ECPPRICE(AE$317,AE$323,AE$318,AE$4)</f>
        <v/>
      </c>
      <c r="AG324" s="17">
        <f>CodePrefix&amp;$A324&amp;IF($C324="","","."&amp;$C324&amp;"."&amp;$B324)&amp;INDEX(VarEnd,MATCH($A324,VarKey,0))&amp;AG$5</f>
        <v/>
      </c>
      <c r="AH324" s="18">
        <f>IF(LEFT(AH$317,3)="Yes",AH$323*(1+AH$318)^MAX(0,AH$4-ECPLast),0)</f>
        <v/>
      </c>
      <c r="AI324" s="19">
        <f>IF(LEFT(AI$317,3)="Yes",AI$323*(1+AI$318)^MAX(0,AI$4-ECPLast),0)</f>
        <v/>
      </c>
      <c r="AJ324" s="19">
        <f>IF(LEFT(AJ$317,3)="Yes",AJ$323*(1+AJ$318)^MAX(0,AJ$4-ECPLast),0)</f>
        <v/>
      </c>
      <c r="AK324" s="19">
        <f>IF(LEFT(AK$317,3)="Yes",AK$323*(1+AK$318)^MAX(0,AK$4-ECPLast),0)</f>
        <v/>
      </c>
      <c r="AL324" s="19">
        <f>IF(LEFT(AL$317,3)="Yes",AL$323*(1+AL$318)^MAX(0,AL$4-ECPLast),0)</f>
        <v/>
      </c>
      <c r="AM324" s="19">
        <f>IF(LEFT(AM$317,3)="Yes",AM$323*(1+AM$318)^MAX(0,AM$4-ECPLast),0)</f>
        <v/>
      </c>
      <c r="AN324" s="19">
        <f>IF(LEFT(AN$317,3)="Yes",AN$323*(1+AN$318)^MAX(0,AN$4-ECPLast),0)</f>
        <v/>
      </c>
      <c r="AO324" s="19">
        <f>IF(LEFT(AO$317,3)="Yes",AO$323*(1+AO$318)^MAX(0,AO$4-ECPLast),0)</f>
        <v/>
      </c>
      <c r="AP324" s="19">
        <f>IF(LEFT(AP$317,3)="Yes",AP$323*(1+AP$318)^MAX(0,AP$4-ECPLast),0)</f>
        <v/>
      </c>
      <c r="AQ324" s="19">
        <f>IF(LEFT(AQ$317,3)="Yes",AQ$323*(1+AQ$318)^MAX(0,AQ$4-ECPLast),0)</f>
        <v/>
      </c>
      <c r="AR324" s="19">
        <f>IF(LEFT(AR$317,3)="Yes",AR$323*(1+AR$318)^MAX(0,AR$4-ECPLast),0)</f>
        <v/>
      </c>
      <c r="AS324" s="19">
        <f>IF(LEFT(AS$317,3)="Yes",AS$323*(1+AS$318)^MAX(0,AS$4-ECPLast),0)</f>
        <v/>
      </c>
      <c r="AT324" s="19">
        <f>IF(LEFT(AT$317,3)="Yes",AT$323*(1+AT$318)^MAX(0,AT$4-ECPLast),0)</f>
        <v/>
      </c>
      <c r="AU324" s="19">
        <f>IF(LEFT(AU$317,3)="Yes",AU$323*(1+AU$318)^MAX(0,AU$4-ECPLast),0)</f>
        <v/>
      </c>
      <c r="AV324" s="19">
        <f>IF(LEFT(AV$317,3)="Yes",AV$323*(1+AV$318)^MAX(0,AV$4-ECPLast),0)</f>
        <v/>
      </c>
      <c r="AW324" s="19">
        <f>IF(LEFT(AW$317,3)="Yes",AW$323*(1+AW$318)^MAX(0,AW$4-ECPLast),0)</f>
        <v/>
      </c>
      <c r="AX324" s="19">
        <f>IF(LEFT(AX$317,3)="Yes",AX$323*(1+AX$318)^MAX(0,AX$4-ECPLast),0)</f>
        <v/>
      </c>
      <c r="AY324" s="19">
        <f>IF(LEFT(AY$317,3)="Yes",AY$323*(1+AY$318)^MAX(0,AY$4-ECPLast),0)</f>
        <v/>
      </c>
      <c r="AZ324" s="19">
        <f>IF(LEFT(AZ$317,3)="Yes",AZ$323*(1+AZ$318)^MAX(0,AZ$4-ECPLast),0)</f>
        <v/>
      </c>
      <c r="BA324" s="20">
        <f>ECPPRICE(BA$317,BA$323,BA$318,BA$4)</f>
        <v/>
      </c>
    </row>
    <row r="325" hidden="1" outlineLevel="1">
      <c r="A325" s="14" t="inlineStr">
        <is>
          <t>xets.p0</t>
        </is>
      </c>
      <c r="B325" s="14" t="inlineStr"/>
      <c r="C325" s="14" t="inlineStr"/>
      <c r="H325" s="14">
        <f>INDEX(VarLab,MATCH($A325,VarKey,0))&amp;INDEX(MemLab,MATCH($C325&amp;"|"&amp;$B325,MemKey,0))</f>
        <v/>
      </c>
      <c r="I325" s="14">
        <f>INDEX(VarUnit,MATCH($A325,VarKey,0))</f>
        <v/>
      </c>
      <c r="J325" s="14">
        <f>INDEX(VarSrc,MATCH($A325,VarKey,0))</f>
        <v/>
      </c>
      <c r="K325" s="11">
        <f>CodePrefix&amp;$A325&amp;IF($C325="","","."&amp;$C325&amp;"."&amp;$B325)&amp;INDEX(VarEnd,MATCH($A325,VarKey,0))&amp;K$5</f>
        <v/>
      </c>
      <c r="L325" s="23">
        <f>INDEX(ECPVal,MATCH("eer.all",ECPKey,0),MATCH(MIN(L$4,ECPLast,Settings!$C$10),ECPYear,0))</f>
        <v/>
      </c>
      <c r="M325" s="24">
        <f>INDEX(ECPVal,MATCH("eer.all",ECPKey,0),MATCH(MIN(M$4,ECPLast,Settings!$C$10),ECPYear,0))</f>
        <v/>
      </c>
      <c r="N325" s="24">
        <f>INDEX(ECPVal,MATCH("eer.all",ECPKey,0),MATCH(MIN(N$4,ECPLast,Settings!$C$10),ECPYear,0))</f>
        <v/>
      </c>
      <c r="O325" s="24">
        <f>INDEX(ECPVal,MATCH("eer.all",ECPKey,0),MATCH(MIN(O$4,ECPLast,Settings!$C$10),ECPYear,0))</f>
        <v/>
      </c>
      <c r="P325" s="24">
        <f>INDEX(ECPVal,MATCH("eer.all",ECPKey,0),MATCH(MIN(P$4,ECPLast,Settings!$C$10),ECPYear,0))</f>
        <v/>
      </c>
      <c r="Q325" s="24">
        <f>INDEX(ECPVal,MATCH("eer.all",ECPKey,0),MATCH(MIN(Q$4,ECPLast,Settings!$C$10),ECPYear,0))</f>
        <v/>
      </c>
      <c r="R325" s="24">
        <f>INDEX(ECPVal,MATCH("eer.all",ECPKey,0),MATCH(MIN(R$4,ECPLast,Settings!$C$10),ECPYear,0))</f>
        <v/>
      </c>
      <c r="S325" s="24">
        <f>INDEX(ECPVal,MATCH("eer.all",ECPKey,0),MATCH(MIN(S$4,ECPLast,Settings!$C$10),ECPYear,0))</f>
        <v/>
      </c>
      <c r="T325" s="24">
        <f>INDEX(ECPVal,MATCH("eer.all",ECPKey,0),MATCH(MIN(T$4,ECPLast,Settings!$C$10),ECPYear,0))</f>
        <v/>
      </c>
      <c r="U325" s="24">
        <f>INDEX(ECPVal,MATCH("eer.all",ECPKey,0),MATCH(MIN(U$4,ECPLast,Settings!$C$10),ECPYear,0))</f>
        <v/>
      </c>
      <c r="V325" s="24">
        <f>INDEX(ECPVal,MATCH("eer.all",ECPKey,0),MATCH(MIN(V$4,ECPLast,Settings!$C$10),ECPYear,0))</f>
        <v/>
      </c>
      <c r="W325" s="24">
        <f>INDEX(ECPVal,MATCH("eer.all",ECPKey,0),MATCH(MIN(W$4,ECPLast,Settings!$C$10),ECPYear,0))</f>
        <v/>
      </c>
      <c r="X325" s="24">
        <f>INDEX(ECPVal,MATCH("eer.all",ECPKey,0),MATCH(MIN(X$4,ECPLast,Settings!$C$10),ECPYear,0))</f>
        <v/>
      </c>
      <c r="Y325" s="24">
        <f>INDEX(ECPVal,MATCH("eer.all",ECPKey,0),MATCH(MIN(Y$4,ECPLast,Settings!$C$10),ECPYear,0))</f>
        <v/>
      </c>
      <c r="Z325" s="24">
        <f>INDEX(ECPVal,MATCH("eer.all",ECPKey,0),MATCH(MIN(Z$4,ECPLast,Settings!$C$10),ECPYear,0))</f>
        <v/>
      </c>
      <c r="AA325" s="24">
        <f>INDEX(ECPVal,MATCH("eer.all",ECPKey,0),MATCH(MIN(AA$4,ECPLast,Settings!$C$10),ECPYear,0))</f>
        <v/>
      </c>
      <c r="AB325" s="24">
        <f>INDEX(ECPVal,MATCH("eer.all",ECPKey,0),MATCH(MIN(AB$4,ECPLast,Settings!$C$10),ECPYear,0))</f>
        <v/>
      </c>
      <c r="AC325" s="24">
        <f>INDEX(ECPVal,MATCH("eer.all",ECPKey,0),MATCH(MIN(AC$4,ECPLast,Settings!$C$10),ECPYear,0))</f>
        <v/>
      </c>
      <c r="AD325" s="24">
        <f>INDEX(ECPVal,MATCH("eer.all",ECPKey,0),MATCH(MIN(AD$4,ECPLast,Settings!$C$10),ECPYear,0))</f>
        <v/>
      </c>
      <c r="AE325" s="24">
        <f>INDEX(ECPVal,MATCH("eer.all",ECPKey,0),MATCH(MIN(AE$4,ECPLast,Settings!$C$10),ECPYear,0))</f>
        <v/>
      </c>
      <c r="AG325" s="11">
        <f>CodePrefix&amp;$A325&amp;IF($C325="","","."&amp;$C325&amp;"."&amp;$B325)&amp;INDEX(VarEnd,MATCH($A325,VarKey,0))&amp;AG$5</f>
        <v/>
      </c>
      <c r="AH325" s="23">
        <f>INDEX(ECPVal,MATCH("eer.all",ECPKey,0),MATCH(MIN(AH$4,ECPLast,Settings!$C$10),ECPYear,0))</f>
        <v/>
      </c>
      <c r="AI325" s="24">
        <f>INDEX(ECPVal,MATCH("eer.all",ECPKey,0),MATCH(MIN(AI$4,ECPLast,Settings!$C$10),ECPYear,0))</f>
        <v/>
      </c>
      <c r="AJ325" s="24">
        <f>INDEX(ECPVal,MATCH("eer.all",ECPKey,0),MATCH(MIN(AJ$4,ECPLast,Settings!$C$10),ECPYear,0))</f>
        <v/>
      </c>
      <c r="AK325" s="24">
        <f>INDEX(ECPVal,MATCH("eer.all",ECPKey,0),MATCH(MIN(AK$4,ECPLast,Settings!$C$10),ECPYear,0))</f>
        <v/>
      </c>
      <c r="AL325" s="24">
        <f>INDEX(ECPVal,MATCH("eer.all",ECPKey,0),MATCH(MIN(AL$4,ECPLast,Settings!$C$10),ECPYear,0))</f>
        <v/>
      </c>
      <c r="AM325" s="24">
        <f>INDEX(ECPVal,MATCH("eer.all",ECPKey,0),MATCH(MIN(AM$4,ECPLast,Settings!$C$10),ECPYear,0))</f>
        <v/>
      </c>
      <c r="AN325" s="24">
        <f>INDEX(ECPVal,MATCH("eer.all",ECPKey,0),MATCH(MIN(AN$4,ECPLast,Settings!$C$10),ECPYear,0))</f>
        <v/>
      </c>
      <c r="AO325" s="24">
        <f>INDEX(ECPVal,MATCH("eer.all",ECPKey,0),MATCH(MIN(AO$4,ECPLast,Settings!$C$10),ECPYear,0))</f>
        <v/>
      </c>
      <c r="AP325" s="24">
        <f>INDEX(ECPVal,MATCH("eer.all",ECPKey,0),MATCH(MIN(AP$4,ECPLast,Settings!$C$10),ECPYear,0))</f>
        <v/>
      </c>
      <c r="AQ325" s="24">
        <f>INDEX(ECPVal,MATCH("eer.all",ECPKey,0),MATCH(MIN(AQ$4,ECPLast,Settings!$C$10),ECPYear,0))</f>
        <v/>
      </c>
      <c r="AR325" s="24">
        <f>INDEX(ECPVal,MATCH("eer.all",ECPKey,0),MATCH(MIN(AR$4,ECPLast,Settings!$C$10),ECPYear,0))</f>
        <v/>
      </c>
      <c r="AS325" s="24">
        <f>INDEX(ECPVal,MATCH("eer.all",ECPKey,0),MATCH(MIN(AS$4,ECPLast,Settings!$C$10),ECPYear,0))</f>
        <v/>
      </c>
      <c r="AT325" s="24">
        <f>INDEX(ECPVal,MATCH("eer.all",ECPKey,0),MATCH(MIN(AT$4,ECPLast,Settings!$C$10),ECPYear,0))</f>
        <v/>
      </c>
      <c r="AU325" s="24">
        <f>INDEX(ECPVal,MATCH("eer.all",ECPKey,0),MATCH(MIN(AU$4,ECPLast,Settings!$C$10),ECPYear,0))</f>
        <v/>
      </c>
      <c r="AV325" s="24">
        <f>INDEX(ECPVal,MATCH("eer.all",ECPKey,0),MATCH(MIN(AV$4,ECPLast,Settings!$C$10),ECPYear,0))</f>
        <v/>
      </c>
      <c r="AW325" s="24">
        <f>INDEX(ECPVal,MATCH("eer.all",ECPKey,0),MATCH(MIN(AW$4,ECPLast,Settings!$C$10),ECPYear,0))</f>
        <v/>
      </c>
      <c r="AX325" s="24">
        <f>INDEX(ECPVal,MATCH("eer.all",ECPKey,0),MATCH(MIN(AX$4,ECPLast,Settings!$C$10),ECPYear,0))</f>
        <v/>
      </c>
      <c r="AY325" s="24">
        <f>INDEX(ECPVal,MATCH("eer.all",ECPKey,0),MATCH(MIN(AY$4,ECPLast,Settings!$C$10),ECPYear,0))</f>
        <v/>
      </c>
      <c r="AZ325" s="24">
        <f>INDEX(ECPVal,MATCH("eer.all",ECPKey,0),MATCH(MIN(AZ$4,ECPLast,Settings!$C$10),ECPYear,0))</f>
        <v/>
      </c>
      <c r="BA325" s="24">
        <f>INDEX(ECPVal,MATCH("eer.all",ECPKey,0),MATCH(MIN(BA$4,ECPLast,Settings!$C$10),ECPYear,0))</f>
        <v/>
      </c>
    </row>
    <row r="326" collapsed="1"/>
    <row r="327">
      <c r="A327" s="4" t="inlineStr">
        <is>
          <t>2. Retail energy prices before new policies (real $/GJ of ResultsYear; by price fuel; legacy method, PriceProjection_Method_v2_3.md)</t>
        </is>
      </c>
      <c r="B327" s="5" t="n"/>
      <c r="C327" s="5" t="n"/>
      <c r="D327" s="5" t="n"/>
      <c r="E327" s="5" t="n"/>
      <c r="F327" s="5" t="n"/>
      <c r="G327" s="5" t="n"/>
      <c r="H327" s="5" t="n"/>
      <c r="I327" s="5" t="n"/>
      <c r="J327" s="5" t="n"/>
      <c r="K327" s="5" t="n"/>
      <c r="L327" s="5" t="n"/>
      <c r="M327" s="5" t="n"/>
      <c r="N327" s="5" t="n"/>
      <c r="O327" s="5" t="n"/>
      <c r="P327" s="5" t="n"/>
      <c r="Q327" s="5" t="n"/>
      <c r="R327" s="5" t="n"/>
      <c r="S327" s="5" t="n"/>
      <c r="T327" s="5" t="n"/>
      <c r="U327" s="5" t="n"/>
      <c r="V327" s="5" t="n"/>
      <c r="W327" s="5" t="n"/>
      <c r="X327" s="5" t="n"/>
      <c r="Y327" s="5" t="n"/>
      <c r="Z327" s="5" t="n"/>
      <c r="AA327" s="5" t="n"/>
      <c r="AB327" s="5" t="n"/>
      <c r="AC327" s="5" t="n"/>
      <c r="AD327" s="5" t="n"/>
      <c r="AE327" s="5" t="n"/>
      <c r="AF327" s="5" t="n"/>
      <c r="AG327" s="5" t="n"/>
      <c r="AH327" s="5" t="n"/>
      <c r="AI327" s="5" t="n"/>
      <c r="AJ327" s="5" t="n"/>
      <c r="AK327" s="5" t="n"/>
      <c r="AL327" s="5" t="n"/>
      <c r="AM327" s="5" t="n"/>
      <c r="AN327" s="5" t="n"/>
      <c r="AO327" s="5" t="n"/>
      <c r="AP327" s="5" t="n"/>
      <c r="AQ327" s="5" t="n"/>
      <c r="AR327" s="5" t="n"/>
      <c r="AS327" s="5" t="n"/>
      <c r="AT327" s="5" t="n"/>
      <c r="AU327" s="5" t="n"/>
      <c r="AV327" s="5" t="n"/>
      <c r="AW327" s="5" t="n"/>
      <c r="AX327" s="5" t="n"/>
      <c r="AY327" s="5" t="n"/>
      <c r="AZ327" s="5" t="n"/>
      <c r="BA327" s="5" t="n"/>
      <c r="BB327" s="5" t="n"/>
    </row>
    <row r="328" hidden="1" outlineLevel="1">
      <c r="H328" s="21" t="inlineStr">
        <is>
          <t>International energy prices (MTInputs rows 220, 258; real via the deflator index; only ratios are used)</t>
        </is>
      </c>
    </row>
    <row r="329" hidden="1" outlineLevel="1">
      <c r="A329" s="14" t="inlineStr">
        <is>
          <t>IntEnerPricForeSource</t>
        </is>
      </c>
      <c r="B329" s="14" t="inlineStr"/>
      <c r="C329" s="14" t="inlineStr"/>
      <c r="D329" s="22" t="n">
        <v>220</v>
      </c>
      <c r="H329" s="14">
        <f>INDEX(VarLab,MATCH($A329,VarKey,0))&amp;INDEX(MemLab,MATCH($C329&amp;"|"&amp;$B329,MemKey,0))</f>
        <v/>
      </c>
      <c r="I329" s="14">
        <f>INDEX(VarUnit,MATCH($A329,VarKey,0))</f>
        <v/>
      </c>
      <c r="J329" s="14">
        <f>INDEX(VarSrc,MATCH($A329,VarKey,0))</f>
        <v/>
      </c>
      <c r="K329" s="11">
        <f>CodePrefix&amp;$A329&amp;IF($C329="","","."&amp;$C329&amp;"."&amp;$B329)&amp;INDEX(VarEnd,MATCH($A329,VarKey,0))&amp;K$5</f>
        <v/>
      </c>
      <c r="L329" s="36">
        <f>INDEX(MTInputs!$J$1:$AZ$415,$D329,MATCH(L$5,MTInputs!$J$5:$AZ$5,0))</f>
        <v/>
      </c>
      <c r="M329" s="14">
        <f>INDEX(MTInputs!$J$1:$AZ$415,$D329,MATCH(M$5,MTInputs!$J$5:$AZ$5,0))</f>
        <v/>
      </c>
      <c r="N329" s="14">
        <f>INDEX(MTInputs!$J$1:$AZ$415,$D329,MATCH(N$5,MTInputs!$J$5:$AZ$5,0))</f>
        <v/>
      </c>
      <c r="O329" s="14">
        <f>INDEX(MTInputs!$J$1:$AZ$415,$D329,MATCH(O$5,MTInputs!$J$5:$AZ$5,0))</f>
        <v/>
      </c>
      <c r="P329" s="14">
        <f>INDEX(MTInputs!$J$1:$AZ$415,$D329,MATCH(P$5,MTInputs!$J$5:$AZ$5,0))</f>
        <v/>
      </c>
      <c r="Q329" s="14">
        <f>INDEX(MTInputs!$J$1:$AZ$415,$D329,MATCH(Q$5,MTInputs!$J$5:$AZ$5,0))</f>
        <v/>
      </c>
      <c r="R329" s="14">
        <f>INDEX(MTInputs!$J$1:$AZ$415,$D329,MATCH(R$5,MTInputs!$J$5:$AZ$5,0))</f>
        <v/>
      </c>
      <c r="S329" s="14">
        <f>INDEX(MTInputs!$J$1:$AZ$415,$D329,MATCH(S$5,MTInputs!$J$5:$AZ$5,0))</f>
        <v/>
      </c>
      <c r="T329" s="14">
        <f>INDEX(MTInputs!$J$1:$AZ$415,$D329,MATCH(T$5,MTInputs!$J$5:$AZ$5,0))</f>
        <v/>
      </c>
      <c r="U329" s="14">
        <f>INDEX(MTInputs!$J$1:$AZ$415,$D329,MATCH(U$5,MTInputs!$J$5:$AZ$5,0))</f>
        <v/>
      </c>
      <c r="V329" s="14">
        <f>INDEX(MTInputs!$J$1:$AZ$415,$D329,MATCH(V$5,MTInputs!$J$5:$AZ$5,0))</f>
        <v/>
      </c>
      <c r="W329" s="14">
        <f>INDEX(MTInputs!$J$1:$AZ$415,$D329,MATCH(W$5,MTInputs!$J$5:$AZ$5,0))</f>
        <v/>
      </c>
      <c r="X329" s="14">
        <f>INDEX(MTInputs!$J$1:$AZ$415,$D329,MATCH(X$5,MTInputs!$J$5:$AZ$5,0))</f>
        <v/>
      </c>
      <c r="Y329" s="14">
        <f>INDEX(MTInputs!$J$1:$AZ$415,$D329,MATCH(Y$5,MTInputs!$J$5:$AZ$5,0))</f>
        <v/>
      </c>
      <c r="Z329" s="14">
        <f>INDEX(MTInputs!$J$1:$AZ$415,$D329,MATCH(Z$5,MTInputs!$J$5:$AZ$5,0))</f>
        <v/>
      </c>
      <c r="AA329" s="14">
        <f>INDEX(MTInputs!$J$1:$AZ$415,$D329,MATCH(AA$5,MTInputs!$J$5:$AZ$5,0))</f>
        <v/>
      </c>
      <c r="AB329" s="14">
        <f>INDEX(MTInputs!$J$1:$AZ$415,$D329,MATCH(AB$5,MTInputs!$J$5:$AZ$5,0))</f>
        <v/>
      </c>
      <c r="AC329" s="14">
        <f>INDEX(MTInputs!$J$1:$AZ$415,$D329,MATCH(AC$5,MTInputs!$J$5:$AZ$5,0))</f>
        <v/>
      </c>
      <c r="AD329" s="14">
        <f>INDEX(MTInputs!$J$1:$AZ$415,$D329,MATCH(AD$5,MTInputs!$J$5:$AZ$5,0))</f>
        <v/>
      </c>
      <c r="AE329" s="14">
        <f>INDEX(MTInputs!$J$1:$AZ$415,$D329,MATCH(AE$5,MTInputs!$J$5:$AZ$5,0))</f>
        <v/>
      </c>
      <c r="AG329" s="11">
        <f>CodePrefix&amp;$A329&amp;IF($C329="","","."&amp;$C329&amp;"."&amp;$B329)&amp;INDEX(VarEnd,MATCH($A329,VarKey,0))&amp;AG$5</f>
        <v/>
      </c>
      <c r="AH329" s="36">
        <f>INDEX(MTInputs!$J$1:$AZ$415,$D329,MATCH(AH$5,MTInputs!$J$5:$AZ$5,0))</f>
        <v/>
      </c>
      <c r="AI329" s="14">
        <f>INDEX(MTInputs!$J$1:$AZ$415,$D329,MATCH(AI$5,MTInputs!$J$5:$AZ$5,0))</f>
        <v/>
      </c>
      <c r="AJ329" s="14">
        <f>INDEX(MTInputs!$J$1:$AZ$415,$D329,MATCH(AJ$5,MTInputs!$J$5:$AZ$5,0))</f>
        <v/>
      </c>
      <c r="AK329" s="14">
        <f>INDEX(MTInputs!$J$1:$AZ$415,$D329,MATCH(AK$5,MTInputs!$J$5:$AZ$5,0))</f>
        <v/>
      </c>
      <c r="AL329" s="14">
        <f>INDEX(MTInputs!$J$1:$AZ$415,$D329,MATCH(AL$5,MTInputs!$J$5:$AZ$5,0))</f>
        <v/>
      </c>
      <c r="AM329" s="14">
        <f>INDEX(MTInputs!$J$1:$AZ$415,$D329,MATCH(AM$5,MTInputs!$J$5:$AZ$5,0))</f>
        <v/>
      </c>
      <c r="AN329" s="14">
        <f>INDEX(MTInputs!$J$1:$AZ$415,$D329,MATCH(AN$5,MTInputs!$J$5:$AZ$5,0))</f>
        <v/>
      </c>
      <c r="AO329" s="14">
        <f>INDEX(MTInputs!$J$1:$AZ$415,$D329,MATCH(AO$5,MTInputs!$J$5:$AZ$5,0))</f>
        <v/>
      </c>
      <c r="AP329" s="14">
        <f>INDEX(MTInputs!$J$1:$AZ$415,$D329,MATCH(AP$5,MTInputs!$J$5:$AZ$5,0))</f>
        <v/>
      </c>
      <c r="AQ329" s="14">
        <f>INDEX(MTInputs!$J$1:$AZ$415,$D329,MATCH(AQ$5,MTInputs!$J$5:$AZ$5,0))</f>
        <v/>
      </c>
      <c r="AR329" s="14">
        <f>INDEX(MTInputs!$J$1:$AZ$415,$D329,MATCH(AR$5,MTInputs!$J$5:$AZ$5,0))</f>
        <v/>
      </c>
      <c r="AS329" s="14">
        <f>INDEX(MTInputs!$J$1:$AZ$415,$D329,MATCH(AS$5,MTInputs!$J$5:$AZ$5,0))</f>
        <v/>
      </c>
      <c r="AT329" s="14">
        <f>INDEX(MTInputs!$J$1:$AZ$415,$D329,MATCH(AT$5,MTInputs!$J$5:$AZ$5,0))</f>
        <v/>
      </c>
      <c r="AU329" s="14">
        <f>INDEX(MTInputs!$J$1:$AZ$415,$D329,MATCH(AU$5,MTInputs!$J$5:$AZ$5,0))</f>
        <v/>
      </c>
      <c r="AV329" s="14">
        <f>INDEX(MTInputs!$J$1:$AZ$415,$D329,MATCH(AV$5,MTInputs!$J$5:$AZ$5,0))</f>
        <v/>
      </c>
      <c r="AW329" s="14">
        <f>INDEX(MTInputs!$J$1:$AZ$415,$D329,MATCH(AW$5,MTInputs!$J$5:$AZ$5,0))</f>
        <v/>
      </c>
      <c r="AX329" s="14">
        <f>INDEX(MTInputs!$J$1:$AZ$415,$D329,MATCH(AX$5,MTInputs!$J$5:$AZ$5,0))</f>
        <v/>
      </c>
      <c r="AY329" s="14">
        <f>INDEX(MTInputs!$J$1:$AZ$415,$D329,MATCH(AY$5,MTInputs!$J$5:$AZ$5,0))</f>
        <v/>
      </c>
      <c r="AZ329" s="14">
        <f>INDEX(MTInputs!$J$1:$AZ$415,$D329,MATCH(AZ$5,MTInputs!$J$5:$AZ$5,0))</f>
        <v/>
      </c>
      <c r="BA329" s="14">
        <f>INDEX(MTInputs!$J$1:$AZ$415,$D329,MATCH(BA$5,MTInputs!$J$5:$AZ$5,0))</f>
        <v/>
      </c>
    </row>
    <row r="330" hidden="1" outlineLevel="1">
      <c r="A330" s="14" t="inlineStr">
        <is>
          <t>IntEnerPricForecastAdjustment</t>
        </is>
      </c>
      <c r="B330" s="14" t="inlineStr"/>
      <c r="C330" s="14" t="inlineStr"/>
      <c r="D330" s="22" t="n">
        <v>258</v>
      </c>
      <c r="H330" s="14">
        <f>INDEX(VarLab,MATCH($A330,VarKey,0))&amp;INDEX(MemLab,MATCH($C330&amp;"|"&amp;$B330,MemKey,0))</f>
        <v/>
      </c>
      <c r="I330" s="14">
        <f>INDEX(VarUnit,MATCH($A330,VarKey,0))</f>
        <v/>
      </c>
      <c r="J330" s="14">
        <f>INDEX(VarSrc,MATCH($A330,VarKey,0))</f>
        <v/>
      </c>
      <c r="K330" s="11">
        <f>CodePrefix&amp;$A330&amp;IF($C330="","","."&amp;$C330&amp;"."&amp;$B330)&amp;INDEX(VarEnd,MATCH($A330,VarKey,0))&amp;K$5</f>
        <v/>
      </c>
      <c r="L330" s="36">
        <f>INDEX(MTInputs!$J$1:$AZ$415,$D330,MATCH(L$5,MTInputs!$J$5:$AZ$5,0))</f>
        <v/>
      </c>
      <c r="M330" s="14">
        <f>INDEX(MTInputs!$J$1:$AZ$415,$D330,MATCH(M$5,MTInputs!$J$5:$AZ$5,0))</f>
        <v/>
      </c>
      <c r="N330" s="14">
        <f>INDEX(MTInputs!$J$1:$AZ$415,$D330,MATCH(N$5,MTInputs!$J$5:$AZ$5,0))</f>
        <v/>
      </c>
      <c r="O330" s="14">
        <f>INDEX(MTInputs!$J$1:$AZ$415,$D330,MATCH(O$5,MTInputs!$J$5:$AZ$5,0))</f>
        <v/>
      </c>
      <c r="P330" s="14">
        <f>INDEX(MTInputs!$J$1:$AZ$415,$D330,MATCH(P$5,MTInputs!$J$5:$AZ$5,0))</f>
        <v/>
      </c>
      <c r="Q330" s="14">
        <f>INDEX(MTInputs!$J$1:$AZ$415,$D330,MATCH(Q$5,MTInputs!$J$5:$AZ$5,0))</f>
        <v/>
      </c>
      <c r="R330" s="14">
        <f>INDEX(MTInputs!$J$1:$AZ$415,$D330,MATCH(R$5,MTInputs!$J$5:$AZ$5,0))</f>
        <v/>
      </c>
      <c r="S330" s="14">
        <f>INDEX(MTInputs!$J$1:$AZ$415,$D330,MATCH(S$5,MTInputs!$J$5:$AZ$5,0))</f>
        <v/>
      </c>
      <c r="T330" s="14">
        <f>INDEX(MTInputs!$J$1:$AZ$415,$D330,MATCH(T$5,MTInputs!$J$5:$AZ$5,0))</f>
        <v/>
      </c>
      <c r="U330" s="14">
        <f>INDEX(MTInputs!$J$1:$AZ$415,$D330,MATCH(U$5,MTInputs!$J$5:$AZ$5,0))</f>
        <v/>
      </c>
      <c r="V330" s="14">
        <f>INDEX(MTInputs!$J$1:$AZ$415,$D330,MATCH(V$5,MTInputs!$J$5:$AZ$5,0))</f>
        <v/>
      </c>
      <c r="W330" s="14">
        <f>INDEX(MTInputs!$J$1:$AZ$415,$D330,MATCH(W$5,MTInputs!$J$5:$AZ$5,0))</f>
        <v/>
      </c>
      <c r="X330" s="14">
        <f>INDEX(MTInputs!$J$1:$AZ$415,$D330,MATCH(X$5,MTInputs!$J$5:$AZ$5,0))</f>
        <v/>
      </c>
      <c r="Y330" s="14">
        <f>INDEX(MTInputs!$J$1:$AZ$415,$D330,MATCH(Y$5,MTInputs!$J$5:$AZ$5,0))</f>
        <v/>
      </c>
      <c r="Z330" s="14">
        <f>INDEX(MTInputs!$J$1:$AZ$415,$D330,MATCH(Z$5,MTInputs!$J$5:$AZ$5,0))</f>
        <v/>
      </c>
      <c r="AA330" s="14">
        <f>INDEX(MTInputs!$J$1:$AZ$415,$D330,MATCH(AA$5,MTInputs!$J$5:$AZ$5,0))</f>
        <v/>
      </c>
      <c r="AB330" s="14">
        <f>INDEX(MTInputs!$J$1:$AZ$415,$D330,MATCH(AB$5,MTInputs!$J$5:$AZ$5,0))</f>
        <v/>
      </c>
      <c r="AC330" s="14">
        <f>INDEX(MTInputs!$J$1:$AZ$415,$D330,MATCH(AC$5,MTInputs!$J$5:$AZ$5,0))</f>
        <v/>
      </c>
      <c r="AD330" s="14">
        <f>INDEX(MTInputs!$J$1:$AZ$415,$D330,MATCH(AD$5,MTInputs!$J$5:$AZ$5,0))</f>
        <v/>
      </c>
      <c r="AE330" s="14">
        <f>INDEX(MTInputs!$J$1:$AZ$415,$D330,MATCH(AE$5,MTInputs!$J$5:$AZ$5,0))</f>
        <v/>
      </c>
      <c r="AG330" s="11">
        <f>CodePrefix&amp;$A330&amp;IF($C330="","","."&amp;$C330&amp;"."&amp;$B330)&amp;INDEX(VarEnd,MATCH($A330,VarKey,0))&amp;AG$5</f>
        <v/>
      </c>
      <c r="AH330" s="36">
        <f>INDEX(MTInputs!$J$1:$AZ$415,$D330,MATCH(AH$5,MTInputs!$J$5:$AZ$5,0))</f>
        <v/>
      </c>
      <c r="AI330" s="14">
        <f>INDEX(MTInputs!$J$1:$AZ$415,$D330,MATCH(AI$5,MTInputs!$J$5:$AZ$5,0))</f>
        <v/>
      </c>
      <c r="AJ330" s="14">
        <f>INDEX(MTInputs!$J$1:$AZ$415,$D330,MATCH(AJ$5,MTInputs!$J$5:$AZ$5,0))</f>
        <v/>
      </c>
      <c r="AK330" s="14">
        <f>INDEX(MTInputs!$J$1:$AZ$415,$D330,MATCH(AK$5,MTInputs!$J$5:$AZ$5,0))</f>
        <v/>
      </c>
      <c r="AL330" s="14">
        <f>INDEX(MTInputs!$J$1:$AZ$415,$D330,MATCH(AL$5,MTInputs!$J$5:$AZ$5,0))</f>
        <v/>
      </c>
      <c r="AM330" s="14">
        <f>INDEX(MTInputs!$J$1:$AZ$415,$D330,MATCH(AM$5,MTInputs!$J$5:$AZ$5,0))</f>
        <v/>
      </c>
      <c r="AN330" s="14">
        <f>INDEX(MTInputs!$J$1:$AZ$415,$D330,MATCH(AN$5,MTInputs!$J$5:$AZ$5,0))</f>
        <v/>
      </c>
      <c r="AO330" s="14">
        <f>INDEX(MTInputs!$J$1:$AZ$415,$D330,MATCH(AO$5,MTInputs!$J$5:$AZ$5,0))</f>
        <v/>
      </c>
      <c r="AP330" s="14">
        <f>INDEX(MTInputs!$J$1:$AZ$415,$D330,MATCH(AP$5,MTInputs!$J$5:$AZ$5,0))</f>
        <v/>
      </c>
      <c r="AQ330" s="14">
        <f>INDEX(MTInputs!$J$1:$AZ$415,$D330,MATCH(AQ$5,MTInputs!$J$5:$AZ$5,0))</f>
        <v/>
      </c>
      <c r="AR330" s="14">
        <f>INDEX(MTInputs!$J$1:$AZ$415,$D330,MATCH(AR$5,MTInputs!$J$5:$AZ$5,0))</f>
        <v/>
      </c>
      <c r="AS330" s="14">
        <f>INDEX(MTInputs!$J$1:$AZ$415,$D330,MATCH(AS$5,MTInputs!$J$5:$AZ$5,0))</f>
        <v/>
      </c>
      <c r="AT330" s="14">
        <f>INDEX(MTInputs!$J$1:$AZ$415,$D330,MATCH(AT$5,MTInputs!$J$5:$AZ$5,0))</f>
        <v/>
      </c>
      <c r="AU330" s="14">
        <f>INDEX(MTInputs!$J$1:$AZ$415,$D330,MATCH(AU$5,MTInputs!$J$5:$AZ$5,0))</f>
        <v/>
      </c>
      <c r="AV330" s="14">
        <f>INDEX(MTInputs!$J$1:$AZ$415,$D330,MATCH(AV$5,MTInputs!$J$5:$AZ$5,0))</f>
        <v/>
      </c>
      <c r="AW330" s="14">
        <f>INDEX(MTInputs!$J$1:$AZ$415,$D330,MATCH(AW$5,MTInputs!$J$5:$AZ$5,0))</f>
        <v/>
      </c>
      <c r="AX330" s="14">
        <f>INDEX(MTInputs!$J$1:$AZ$415,$D330,MATCH(AX$5,MTInputs!$J$5:$AZ$5,0))</f>
        <v/>
      </c>
      <c r="AY330" s="14">
        <f>INDEX(MTInputs!$J$1:$AZ$415,$D330,MATCH(AY$5,MTInputs!$J$5:$AZ$5,0))</f>
        <v/>
      </c>
      <c r="AZ330" s="14">
        <f>INDEX(MTInputs!$J$1:$AZ$415,$D330,MATCH(AZ$5,MTInputs!$J$5:$AZ$5,0))</f>
        <v/>
      </c>
      <c r="BA330" s="14">
        <f>INDEX(MTInputs!$J$1:$AZ$415,$D330,MATCH(BA$5,MTInputs!$J$5:$AZ$5,0))</f>
        <v/>
      </c>
    </row>
    <row r="331" hidden="1" outlineLevel="1">
      <c r="A331" s="14" t="inlineStr">
        <is>
          <t>gp.src</t>
        </is>
      </c>
      <c r="B331" s="14" t="inlineStr"/>
      <c r="C331" s="14" t="inlineStr"/>
      <c r="H331" s="14">
        <f>INDEX(VarLab,MATCH($A331,VarKey,0))&amp;INDEX(MemLab,MATCH($C331&amp;"|"&amp;$B331,MemKey,0))</f>
        <v/>
      </c>
      <c r="I331" s="14">
        <f>INDEX(VarUnit,MATCH($A331,VarKey,0))</f>
        <v/>
      </c>
      <c r="J331" s="14">
        <f>INDEX(VarSrc,MATCH($A331,VarKey,0))</f>
        <v/>
      </c>
      <c r="K331" s="11">
        <f>CodePrefix&amp;$A331&amp;IF($C331="","","."&amp;$C331&amp;"."&amp;$B331)&amp;INDEX(VarEnd,MATCH($A331,VarKey,0))&amp;K$5</f>
        <v/>
      </c>
      <c r="L331" s="37">
        <f>SUBSTITUTE(L$329,"*","")</f>
        <v/>
      </c>
      <c r="M331" s="38">
        <f>SUBSTITUTE(M$329,"*","")</f>
        <v/>
      </c>
      <c r="N331" s="38">
        <f>SUBSTITUTE(N$329,"*","")</f>
        <v/>
      </c>
      <c r="O331" s="38">
        <f>SUBSTITUTE(O$329,"*","")</f>
        <v/>
      </c>
      <c r="P331" s="38">
        <f>SUBSTITUTE(P$329,"*","")</f>
        <v/>
      </c>
      <c r="Q331" s="38">
        <f>SUBSTITUTE(Q$329,"*","")</f>
        <v/>
      </c>
      <c r="R331" s="38">
        <f>SUBSTITUTE(R$329,"*","")</f>
        <v/>
      </c>
      <c r="S331" s="38">
        <f>SUBSTITUTE(S$329,"*","")</f>
        <v/>
      </c>
      <c r="T331" s="38">
        <f>SUBSTITUTE(T$329,"*","")</f>
        <v/>
      </c>
      <c r="U331" s="38">
        <f>SUBSTITUTE(U$329,"*","")</f>
        <v/>
      </c>
      <c r="V331" s="38">
        <f>SUBSTITUTE(V$329,"*","")</f>
        <v/>
      </c>
      <c r="W331" s="38">
        <f>SUBSTITUTE(W$329,"*","")</f>
        <v/>
      </c>
      <c r="X331" s="38">
        <f>SUBSTITUTE(X$329,"*","")</f>
        <v/>
      </c>
      <c r="Y331" s="38">
        <f>SUBSTITUTE(Y$329,"*","")</f>
        <v/>
      </c>
      <c r="Z331" s="38">
        <f>SUBSTITUTE(Z$329,"*","")</f>
        <v/>
      </c>
      <c r="AA331" s="38">
        <f>SUBSTITUTE(AA$329,"*","")</f>
        <v/>
      </c>
      <c r="AB331" s="38">
        <f>SUBSTITUTE(AB$329,"*","")</f>
        <v/>
      </c>
      <c r="AC331" s="38">
        <f>SUBSTITUTE(AC$329,"*","")</f>
        <v/>
      </c>
      <c r="AD331" s="38">
        <f>SUBSTITUTE(AD$329,"*","")</f>
        <v/>
      </c>
      <c r="AE331" s="38">
        <f>SUBSTITUTE(AE$329,"*","")</f>
        <v/>
      </c>
      <c r="AG331" s="11">
        <f>CodePrefix&amp;$A331&amp;IF($C331="","","."&amp;$C331&amp;"."&amp;$B331)&amp;INDEX(VarEnd,MATCH($A331,VarKey,0))&amp;AG$5</f>
        <v/>
      </c>
      <c r="AH331" s="37">
        <f>SUBSTITUTE(AH$329,"*","")</f>
        <v/>
      </c>
      <c r="AI331" s="38">
        <f>SUBSTITUTE(AI$329,"*","")</f>
        <v/>
      </c>
      <c r="AJ331" s="38">
        <f>SUBSTITUTE(AJ$329,"*","")</f>
        <v/>
      </c>
      <c r="AK331" s="38">
        <f>SUBSTITUTE(AK$329,"*","")</f>
        <v/>
      </c>
      <c r="AL331" s="38">
        <f>SUBSTITUTE(AL$329,"*","")</f>
        <v/>
      </c>
      <c r="AM331" s="38">
        <f>SUBSTITUTE(AM$329,"*","")</f>
        <v/>
      </c>
      <c r="AN331" s="38">
        <f>SUBSTITUTE(AN$329,"*","")</f>
        <v/>
      </c>
      <c r="AO331" s="38">
        <f>SUBSTITUTE(AO$329,"*","")</f>
        <v/>
      </c>
      <c r="AP331" s="38">
        <f>SUBSTITUTE(AP$329,"*","")</f>
        <v/>
      </c>
      <c r="AQ331" s="38">
        <f>SUBSTITUTE(AQ$329,"*","")</f>
        <v/>
      </c>
      <c r="AR331" s="38">
        <f>SUBSTITUTE(AR$329,"*","")</f>
        <v/>
      </c>
      <c r="AS331" s="38">
        <f>SUBSTITUTE(AS$329,"*","")</f>
        <v/>
      </c>
      <c r="AT331" s="38">
        <f>SUBSTITUTE(AT$329,"*","")</f>
        <v/>
      </c>
      <c r="AU331" s="38">
        <f>SUBSTITUTE(AU$329,"*","")</f>
        <v/>
      </c>
      <c r="AV331" s="38">
        <f>SUBSTITUTE(AV$329,"*","")</f>
        <v/>
      </c>
      <c r="AW331" s="38">
        <f>SUBSTITUTE(AW$329,"*","")</f>
        <v/>
      </c>
      <c r="AX331" s="38">
        <f>SUBSTITUTE(AX$329,"*","")</f>
        <v/>
      </c>
      <c r="AY331" s="38">
        <f>SUBSTITUTE(AY$329,"*","")</f>
        <v/>
      </c>
      <c r="AZ331" s="38">
        <f>SUBSTITUTE(AZ$329,"*","")</f>
        <v/>
      </c>
      <c r="BA331" s="38">
        <f>SUBSTITUTE(BA$329,"*","")</f>
        <v/>
      </c>
    </row>
    <row r="332" hidden="1" outlineLevel="1">
      <c r="A332" s="14" t="inlineStr">
        <is>
          <t>gp.adj</t>
        </is>
      </c>
      <c r="B332" s="14" t="inlineStr"/>
      <c r="C332" s="14" t="inlineStr"/>
      <c r="H332" s="14">
        <f>INDEX(VarLab,MATCH($A332,VarKey,0))&amp;INDEX(MemLab,MATCH($C332&amp;"|"&amp;$B332,MemKey,0))</f>
        <v/>
      </c>
      <c r="I332" s="14">
        <f>INDEX(VarUnit,MATCH($A332,VarKey,0))</f>
        <v/>
      </c>
      <c r="J332" s="14">
        <f>INDEX(VarSrc,MATCH($A332,VarKey,0))</f>
        <v/>
      </c>
      <c r="K332" s="11">
        <f>CodePrefix&amp;$A332&amp;IF($C332="","","."&amp;$C332&amp;"."&amp;$B332)&amp;INDEX(VarEnd,MATCH($A332,VarKey,0))&amp;K$5</f>
        <v/>
      </c>
      <c r="L332" s="9">
        <f>IF(LEFT(L$330,4)="High",2,IF(LEFT(L$330,3)="Low",3,1))</f>
        <v/>
      </c>
      <c r="M332" s="10">
        <f>IF(LEFT(M$330,4)="High",2,IF(LEFT(M$330,3)="Low",3,1))</f>
        <v/>
      </c>
      <c r="N332" s="10">
        <f>IF(LEFT(N$330,4)="High",2,IF(LEFT(N$330,3)="Low",3,1))</f>
        <v/>
      </c>
      <c r="O332" s="10">
        <f>IF(LEFT(O$330,4)="High",2,IF(LEFT(O$330,3)="Low",3,1))</f>
        <v/>
      </c>
      <c r="P332" s="10">
        <f>IF(LEFT(P$330,4)="High",2,IF(LEFT(P$330,3)="Low",3,1))</f>
        <v/>
      </c>
      <c r="Q332" s="10">
        <f>IF(LEFT(Q$330,4)="High",2,IF(LEFT(Q$330,3)="Low",3,1))</f>
        <v/>
      </c>
      <c r="R332" s="10">
        <f>IF(LEFT(R$330,4)="High",2,IF(LEFT(R$330,3)="Low",3,1))</f>
        <v/>
      </c>
      <c r="S332" s="10">
        <f>IF(LEFT(S$330,4)="High",2,IF(LEFT(S$330,3)="Low",3,1))</f>
        <v/>
      </c>
      <c r="T332" s="10">
        <f>IF(LEFT(T$330,4)="High",2,IF(LEFT(T$330,3)="Low",3,1))</f>
        <v/>
      </c>
      <c r="U332" s="10">
        <f>IF(LEFT(U$330,4)="High",2,IF(LEFT(U$330,3)="Low",3,1))</f>
        <v/>
      </c>
      <c r="V332" s="10">
        <f>IF(LEFT(V$330,4)="High",2,IF(LEFT(V$330,3)="Low",3,1))</f>
        <v/>
      </c>
      <c r="W332" s="10">
        <f>IF(LEFT(W$330,4)="High",2,IF(LEFT(W$330,3)="Low",3,1))</f>
        <v/>
      </c>
      <c r="X332" s="10">
        <f>IF(LEFT(X$330,4)="High",2,IF(LEFT(X$330,3)="Low",3,1))</f>
        <v/>
      </c>
      <c r="Y332" s="10">
        <f>IF(LEFT(Y$330,4)="High",2,IF(LEFT(Y$330,3)="Low",3,1))</f>
        <v/>
      </c>
      <c r="Z332" s="10">
        <f>IF(LEFT(Z$330,4)="High",2,IF(LEFT(Z$330,3)="Low",3,1))</f>
        <v/>
      </c>
      <c r="AA332" s="10">
        <f>IF(LEFT(AA$330,4)="High",2,IF(LEFT(AA$330,3)="Low",3,1))</f>
        <v/>
      </c>
      <c r="AB332" s="10">
        <f>IF(LEFT(AB$330,4)="High",2,IF(LEFT(AB$330,3)="Low",3,1))</f>
        <v/>
      </c>
      <c r="AC332" s="10">
        <f>IF(LEFT(AC$330,4)="High",2,IF(LEFT(AC$330,3)="Low",3,1))</f>
        <v/>
      </c>
      <c r="AD332" s="10">
        <f>IF(LEFT(AD$330,4)="High",2,IF(LEFT(AD$330,3)="Low",3,1))</f>
        <v/>
      </c>
      <c r="AE332" s="10">
        <f>IF(LEFT(AE$330,4)="High",2,IF(LEFT(AE$330,3)="Low",3,1))</f>
        <v/>
      </c>
      <c r="AG332" s="11">
        <f>CodePrefix&amp;$A332&amp;IF($C332="","","."&amp;$C332&amp;"."&amp;$B332)&amp;INDEX(VarEnd,MATCH($A332,VarKey,0))&amp;AG$5</f>
        <v/>
      </c>
      <c r="AH332" s="9">
        <f>IF(LEFT(AH$330,4)="High",2,IF(LEFT(AH$330,3)="Low",3,1))</f>
        <v/>
      </c>
      <c r="AI332" s="10">
        <f>IF(LEFT(AI$330,4)="High",2,IF(LEFT(AI$330,3)="Low",3,1))</f>
        <v/>
      </c>
      <c r="AJ332" s="10">
        <f>IF(LEFT(AJ$330,4)="High",2,IF(LEFT(AJ$330,3)="Low",3,1))</f>
        <v/>
      </c>
      <c r="AK332" s="10">
        <f>IF(LEFT(AK$330,4)="High",2,IF(LEFT(AK$330,3)="Low",3,1))</f>
        <v/>
      </c>
      <c r="AL332" s="10">
        <f>IF(LEFT(AL$330,4)="High",2,IF(LEFT(AL$330,3)="Low",3,1))</f>
        <v/>
      </c>
      <c r="AM332" s="10">
        <f>IF(LEFT(AM$330,4)="High",2,IF(LEFT(AM$330,3)="Low",3,1))</f>
        <v/>
      </c>
      <c r="AN332" s="10">
        <f>IF(LEFT(AN$330,4)="High",2,IF(LEFT(AN$330,3)="Low",3,1))</f>
        <v/>
      </c>
      <c r="AO332" s="10">
        <f>IF(LEFT(AO$330,4)="High",2,IF(LEFT(AO$330,3)="Low",3,1))</f>
        <v/>
      </c>
      <c r="AP332" s="10">
        <f>IF(LEFT(AP$330,4)="High",2,IF(LEFT(AP$330,3)="Low",3,1))</f>
        <v/>
      </c>
      <c r="AQ332" s="10">
        <f>IF(LEFT(AQ$330,4)="High",2,IF(LEFT(AQ$330,3)="Low",3,1))</f>
        <v/>
      </c>
      <c r="AR332" s="10">
        <f>IF(LEFT(AR$330,4)="High",2,IF(LEFT(AR$330,3)="Low",3,1))</f>
        <v/>
      </c>
      <c r="AS332" s="10">
        <f>IF(LEFT(AS$330,4)="High",2,IF(LEFT(AS$330,3)="Low",3,1))</f>
        <v/>
      </c>
      <c r="AT332" s="10">
        <f>IF(LEFT(AT$330,4)="High",2,IF(LEFT(AT$330,3)="Low",3,1))</f>
        <v/>
      </c>
      <c r="AU332" s="10">
        <f>IF(LEFT(AU$330,4)="High",2,IF(LEFT(AU$330,3)="Low",3,1))</f>
        <v/>
      </c>
      <c r="AV332" s="10">
        <f>IF(LEFT(AV$330,4)="High",2,IF(LEFT(AV$330,3)="Low",3,1))</f>
        <v/>
      </c>
      <c r="AW332" s="10">
        <f>IF(LEFT(AW$330,4)="High",2,IF(LEFT(AW$330,3)="Low",3,1))</f>
        <v/>
      </c>
      <c r="AX332" s="10">
        <f>IF(LEFT(AX$330,4)="High",2,IF(LEFT(AX$330,3)="Low",3,1))</f>
        <v/>
      </c>
      <c r="AY332" s="10">
        <f>IF(LEFT(AY$330,4)="High",2,IF(LEFT(AY$330,3)="Low",3,1))</f>
        <v/>
      </c>
      <c r="AZ332" s="10">
        <f>IF(LEFT(AZ$330,4)="High",2,IF(LEFT(AZ$330,3)="Low",3,1))</f>
        <v/>
      </c>
      <c r="BA332" s="10">
        <f>IF(LEFT(BA$330,4)="High",2,IF(LEFT(BA$330,3)="Low",3,1))</f>
        <v/>
      </c>
    </row>
    <row r="333" hidden="1" outlineLevel="1">
      <c r="A333" s="14" t="inlineStr">
        <is>
          <t>gpn</t>
        </is>
      </c>
      <c r="B333" s="14" t="inlineStr">
        <is>
          <t>oil</t>
        </is>
      </c>
      <c r="C333" s="14" t="inlineStr">
        <is>
          <t>int</t>
        </is>
      </c>
      <c r="D333" s="22" t="inlineStr">
        <is>
          <t>oil</t>
        </is>
      </c>
      <c r="E333" s="39" t="n"/>
      <c r="F333" s="39" t="n"/>
      <c r="G333" s="39" t="n"/>
      <c r="H333" s="14">
        <f>INDEX(VarLab,MATCH($A333,VarKey,0))&amp;INDEX(MemLab,MATCH($C333&amp;"|"&amp;$B333,MemKey,0))</f>
        <v/>
      </c>
      <c r="I333" s="14">
        <f>INDEX(VarUnit,MATCH($A333,VarKey,0))</f>
        <v/>
      </c>
      <c r="J333" s="14">
        <f>INDEX(VarSrc,MATCH($A333,VarKey,0))</f>
        <v/>
      </c>
      <c r="K333" s="11">
        <f>CodePrefix&amp;$A333&amp;IF($C333="","","."&amp;$C333&amp;"."&amp;$B333)&amp;INDEX(VarEnd,MATCH($A333,VarKey,0))&amp;K$5</f>
        <v/>
      </c>
      <c r="L333" s="23">
        <f>IF($D333="",1,INDEX(PIntVal,MATCH(L$331&amp;"|"&amp;$D333,PIntKey,0),MATCH(L$4,PIntYear,0)))</f>
        <v/>
      </c>
      <c r="M333" s="24">
        <f>IF($D333="",1,INDEX(PIntVal,MATCH(M$331&amp;"|"&amp;$D333,PIntKey,0),MATCH(M$4,PIntYear,0)))</f>
        <v/>
      </c>
      <c r="N333" s="24">
        <f>IF($D333="",1,INDEX(PIntVal,MATCH(N$331&amp;"|"&amp;$D333,PIntKey,0),MATCH(N$4,PIntYear,0)))</f>
        <v/>
      </c>
      <c r="O333" s="24">
        <f>IF($D333="",1,INDEX(PIntVal,MATCH(O$331&amp;"|"&amp;$D333,PIntKey,0),MATCH(O$4,PIntYear,0)))</f>
        <v/>
      </c>
      <c r="P333" s="24">
        <f>IF($D333="",1,INDEX(PIntVal,MATCH(P$331&amp;"|"&amp;$D333,PIntKey,0),MATCH(P$4,PIntYear,0)))</f>
        <v/>
      </c>
      <c r="Q333" s="24">
        <f>IF($D333="",1,INDEX(PIntVal,MATCH(Q$331&amp;"|"&amp;$D333,PIntKey,0),MATCH(Q$4,PIntYear,0)))</f>
        <v/>
      </c>
      <c r="R333" s="24">
        <f>IF($D333="",1,INDEX(PIntVal,MATCH(R$331&amp;"|"&amp;$D333,PIntKey,0),MATCH(R$4,PIntYear,0)))</f>
        <v/>
      </c>
      <c r="S333" s="24">
        <f>IF($D333="",1,INDEX(PIntVal,MATCH(S$331&amp;"|"&amp;$D333,PIntKey,0),MATCH(S$4,PIntYear,0)))</f>
        <v/>
      </c>
      <c r="T333" s="24">
        <f>IF($D333="",1,INDEX(PIntVal,MATCH(T$331&amp;"|"&amp;$D333,PIntKey,0),MATCH(T$4,PIntYear,0)))</f>
        <v/>
      </c>
      <c r="U333" s="24">
        <f>IF($D333="",1,INDEX(PIntVal,MATCH(U$331&amp;"|"&amp;$D333,PIntKey,0),MATCH(U$4,PIntYear,0)))</f>
        <v/>
      </c>
      <c r="V333" s="24">
        <f>IF($D333="",1,INDEX(PIntVal,MATCH(V$331&amp;"|"&amp;$D333,PIntKey,0),MATCH(V$4,PIntYear,0)))</f>
        <v/>
      </c>
      <c r="W333" s="24">
        <f>IF($D333="",1,INDEX(PIntVal,MATCH(W$331&amp;"|"&amp;$D333,PIntKey,0),MATCH(W$4,PIntYear,0)))</f>
        <v/>
      </c>
      <c r="X333" s="24">
        <f>IF($D333="",1,INDEX(PIntVal,MATCH(X$331&amp;"|"&amp;$D333,PIntKey,0),MATCH(X$4,PIntYear,0)))</f>
        <v/>
      </c>
      <c r="Y333" s="24">
        <f>IF($D333="",1,INDEX(PIntVal,MATCH(Y$331&amp;"|"&amp;$D333,PIntKey,0),MATCH(Y$4,PIntYear,0)))</f>
        <v/>
      </c>
      <c r="Z333" s="24">
        <f>IF($D333="",1,INDEX(PIntVal,MATCH(Z$331&amp;"|"&amp;$D333,PIntKey,0),MATCH(Z$4,PIntYear,0)))</f>
        <v/>
      </c>
      <c r="AA333" s="24">
        <f>IF($D333="",1,INDEX(PIntVal,MATCH(AA$331&amp;"|"&amp;$D333,PIntKey,0),MATCH(AA$4,PIntYear,0)))</f>
        <v/>
      </c>
      <c r="AB333" s="24">
        <f>IF($D333="",1,INDEX(PIntVal,MATCH(AB$331&amp;"|"&amp;$D333,PIntKey,0),MATCH(AB$4,PIntYear,0)))</f>
        <v/>
      </c>
      <c r="AC333" s="24">
        <f>IF($D333="",1,INDEX(PIntVal,MATCH(AC$331&amp;"|"&amp;$D333,PIntKey,0),MATCH(AC$4,PIntYear,0)))</f>
        <v/>
      </c>
      <c r="AD333" s="24">
        <f>IF($D333="",1,INDEX(PIntVal,MATCH(AD$331&amp;"|"&amp;$D333,PIntKey,0),MATCH(AD$4,PIntYear,0)))</f>
        <v/>
      </c>
      <c r="AE333" s="24">
        <f>IF($D333="",1,INDEX(PIntVal,MATCH(AE$331&amp;"|"&amp;$D333,PIntKey,0),MATCH(AE$4,PIntYear,0)))</f>
        <v/>
      </c>
      <c r="AG333" s="11">
        <f>CodePrefix&amp;$A333&amp;IF($C333="","","."&amp;$C333&amp;"."&amp;$B333)&amp;INDEX(VarEnd,MATCH($A333,VarKey,0))&amp;AG$5</f>
        <v/>
      </c>
      <c r="AH333" s="23">
        <f>IF($D333="",1,INDEX(PIntVal,MATCH(AH$331&amp;"|"&amp;$D333,PIntKey,0),MATCH(AH$4,PIntYear,0)))</f>
        <v/>
      </c>
      <c r="AI333" s="24">
        <f>IF($D333="",1,INDEX(PIntVal,MATCH(AI$331&amp;"|"&amp;$D333,PIntKey,0),MATCH(AI$4,PIntYear,0)))</f>
        <v/>
      </c>
      <c r="AJ333" s="24">
        <f>IF($D333="",1,INDEX(PIntVal,MATCH(AJ$331&amp;"|"&amp;$D333,PIntKey,0),MATCH(AJ$4,PIntYear,0)))</f>
        <v/>
      </c>
      <c r="AK333" s="24">
        <f>IF($D333="",1,INDEX(PIntVal,MATCH(AK$331&amp;"|"&amp;$D333,PIntKey,0),MATCH(AK$4,PIntYear,0)))</f>
        <v/>
      </c>
      <c r="AL333" s="24">
        <f>IF($D333="",1,INDEX(PIntVal,MATCH(AL$331&amp;"|"&amp;$D333,PIntKey,0),MATCH(AL$4,PIntYear,0)))</f>
        <v/>
      </c>
      <c r="AM333" s="24">
        <f>IF($D333="",1,INDEX(PIntVal,MATCH(AM$331&amp;"|"&amp;$D333,PIntKey,0),MATCH(AM$4,PIntYear,0)))</f>
        <v/>
      </c>
      <c r="AN333" s="24">
        <f>IF($D333="",1,INDEX(PIntVal,MATCH(AN$331&amp;"|"&amp;$D333,PIntKey,0),MATCH(AN$4,PIntYear,0)))</f>
        <v/>
      </c>
      <c r="AO333" s="24">
        <f>IF($D333="",1,INDEX(PIntVal,MATCH(AO$331&amp;"|"&amp;$D333,PIntKey,0),MATCH(AO$4,PIntYear,0)))</f>
        <v/>
      </c>
      <c r="AP333" s="24">
        <f>IF($D333="",1,INDEX(PIntVal,MATCH(AP$331&amp;"|"&amp;$D333,PIntKey,0),MATCH(AP$4,PIntYear,0)))</f>
        <v/>
      </c>
      <c r="AQ333" s="24">
        <f>IF($D333="",1,INDEX(PIntVal,MATCH(AQ$331&amp;"|"&amp;$D333,PIntKey,0),MATCH(AQ$4,PIntYear,0)))</f>
        <v/>
      </c>
      <c r="AR333" s="24">
        <f>IF($D333="",1,INDEX(PIntVal,MATCH(AR$331&amp;"|"&amp;$D333,PIntKey,0),MATCH(AR$4,PIntYear,0)))</f>
        <v/>
      </c>
      <c r="AS333" s="24">
        <f>IF($D333="",1,INDEX(PIntVal,MATCH(AS$331&amp;"|"&amp;$D333,PIntKey,0),MATCH(AS$4,PIntYear,0)))</f>
        <v/>
      </c>
      <c r="AT333" s="24">
        <f>IF($D333="",1,INDEX(PIntVal,MATCH(AT$331&amp;"|"&amp;$D333,PIntKey,0),MATCH(AT$4,PIntYear,0)))</f>
        <v/>
      </c>
      <c r="AU333" s="24">
        <f>IF($D333="",1,INDEX(PIntVal,MATCH(AU$331&amp;"|"&amp;$D333,PIntKey,0),MATCH(AU$4,PIntYear,0)))</f>
        <v/>
      </c>
      <c r="AV333" s="24">
        <f>IF($D333="",1,INDEX(PIntVal,MATCH(AV$331&amp;"|"&amp;$D333,PIntKey,0),MATCH(AV$4,PIntYear,0)))</f>
        <v/>
      </c>
      <c r="AW333" s="24">
        <f>IF($D333="",1,INDEX(PIntVal,MATCH(AW$331&amp;"|"&amp;$D333,PIntKey,0),MATCH(AW$4,PIntYear,0)))</f>
        <v/>
      </c>
      <c r="AX333" s="24">
        <f>IF($D333="",1,INDEX(PIntVal,MATCH(AX$331&amp;"|"&amp;$D333,PIntKey,0),MATCH(AX$4,PIntYear,0)))</f>
        <v/>
      </c>
      <c r="AY333" s="24">
        <f>IF($D333="",1,INDEX(PIntVal,MATCH(AY$331&amp;"|"&amp;$D333,PIntKey,0),MATCH(AY$4,PIntYear,0)))</f>
        <v/>
      </c>
      <c r="AZ333" s="24">
        <f>IF($D333="",1,INDEX(PIntVal,MATCH(AZ$331&amp;"|"&amp;$D333,PIntKey,0),MATCH(AZ$4,PIntYear,0)))</f>
        <v/>
      </c>
      <c r="BA333" s="24">
        <f>IF($D333="",1,INDEX(PIntVal,MATCH(BA$331&amp;"|"&amp;$D333,PIntKey,0),MATCH(BA$4,PIntYear,0)))</f>
        <v/>
      </c>
    </row>
    <row r="334" hidden="1" outlineLevel="1">
      <c r="A334" s="14" t="inlineStr">
        <is>
          <t>gpn</t>
        </is>
      </c>
      <c r="B334" s="14" t="inlineStr">
        <is>
          <t>coa</t>
        </is>
      </c>
      <c r="C334" s="14" t="inlineStr">
        <is>
          <t>int</t>
        </is>
      </c>
      <c r="D334" s="22" t="inlineStr">
        <is>
          <t>coa</t>
        </is>
      </c>
      <c r="E334" s="39" t="n"/>
      <c r="F334" s="39" t="n"/>
      <c r="G334" s="39" t="n"/>
      <c r="H334" s="14">
        <f>INDEX(VarLab,MATCH($A334,VarKey,0))&amp;INDEX(MemLab,MATCH($C334&amp;"|"&amp;$B334,MemKey,0))</f>
        <v/>
      </c>
      <c r="I334" s="14">
        <f>INDEX(VarUnit,MATCH($A334,VarKey,0))</f>
        <v/>
      </c>
      <c r="J334" s="14">
        <f>INDEX(VarSrc,MATCH($A334,VarKey,0))</f>
        <v/>
      </c>
      <c r="K334" s="11">
        <f>CodePrefix&amp;$A334&amp;IF($C334="","","."&amp;$C334&amp;"."&amp;$B334)&amp;INDEX(VarEnd,MATCH($A334,VarKey,0))&amp;K$5</f>
        <v/>
      </c>
      <c r="L334" s="23">
        <f>IF($D334="",1,INDEX(PIntVal,MATCH(L$331&amp;"|"&amp;$D334,PIntKey,0),MATCH(L$4,PIntYear,0)))</f>
        <v/>
      </c>
      <c r="M334" s="24">
        <f>IF($D334="",1,INDEX(PIntVal,MATCH(M$331&amp;"|"&amp;$D334,PIntKey,0),MATCH(M$4,PIntYear,0)))</f>
        <v/>
      </c>
      <c r="N334" s="24">
        <f>IF($D334="",1,INDEX(PIntVal,MATCH(N$331&amp;"|"&amp;$D334,PIntKey,0),MATCH(N$4,PIntYear,0)))</f>
        <v/>
      </c>
      <c r="O334" s="24">
        <f>IF($D334="",1,INDEX(PIntVal,MATCH(O$331&amp;"|"&amp;$D334,PIntKey,0),MATCH(O$4,PIntYear,0)))</f>
        <v/>
      </c>
      <c r="P334" s="24">
        <f>IF($D334="",1,INDEX(PIntVal,MATCH(P$331&amp;"|"&amp;$D334,PIntKey,0),MATCH(P$4,PIntYear,0)))</f>
        <v/>
      </c>
      <c r="Q334" s="24">
        <f>IF($D334="",1,INDEX(PIntVal,MATCH(Q$331&amp;"|"&amp;$D334,PIntKey,0),MATCH(Q$4,PIntYear,0)))</f>
        <v/>
      </c>
      <c r="R334" s="24">
        <f>IF($D334="",1,INDEX(PIntVal,MATCH(R$331&amp;"|"&amp;$D334,PIntKey,0),MATCH(R$4,PIntYear,0)))</f>
        <v/>
      </c>
      <c r="S334" s="24">
        <f>IF($D334="",1,INDEX(PIntVal,MATCH(S$331&amp;"|"&amp;$D334,PIntKey,0),MATCH(S$4,PIntYear,0)))</f>
        <v/>
      </c>
      <c r="T334" s="24">
        <f>IF($D334="",1,INDEX(PIntVal,MATCH(T$331&amp;"|"&amp;$D334,PIntKey,0),MATCH(T$4,PIntYear,0)))</f>
        <v/>
      </c>
      <c r="U334" s="24">
        <f>IF($D334="",1,INDEX(PIntVal,MATCH(U$331&amp;"|"&amp;$D334,PIntKey,0),MATCH(U$4,PIntYear,0)))</f>
        <v/>
      </c>
      <c r="V334" s="24">
        <f>IF($D334="",1,INDEX(PIntVal,MATCH(V$331&amp;"|"&amp;$D334,PIntKey,0),MATCH(V$4,PIntYear,0)))</f>
        <v/>
      </c>
      <c r="W334" s="24">
        <f>IF($D334="",1,INDEX(PIntVal,MATCH(W$331&amp;"|"&amp;$D334,PIntKey,0),MATCH(W$4,PIntYear,0)))</f>
        <v/>
      </c>
      <c r="X334" s="24">
        <f>IF($D334="",1,INDEX(PIntVal,MATCH(X$331&amp;"|"&amp;$D334,PIntKey,0),MATCH(X$4,PIntYear,0)))</f>
        <v/>
      </c>
      <c r="Y334" s="24">
        <f>IF($D334="",1,INDEX(PIntVal,MATCH(Y$331&amp;"|"&amp;$D334,PIntKey,0),MATCH(Y$4,PIntYear,0)))</f>
        <v/>
      </c>
      <c r="Z334" s="24">
        <f>IF($D334="",1,INDEX(PIntVal,MATCH(Z$331&amp;"|"&amp;$D334,PIntKey,0),MATCH(Z$4,PIntYear,0)))</f>
        <v/>
      </c>
      <c r="AA334" s="24">
        <f>IF($D334="",1,INDEX(PIntVal,MATCH(AA$331&amp;"|"&amp;$D334,PIntKey,0),MATCH(AA$4,PIntYear,0)))</f>
        <v/>
      </c>
      <c r="AB334" s="24">
        <f>IF($D334="",1,INDEX(PIntVal,MATCH(AB$331&amp;"|"&amp;$D334,PIntKey,0),MATCH(AB$4,PIntYear,0)))</f>
        <v/>
      </c>
      <c r="AC334" s="24">
        <f>IF($D334="",1,INDEX(PIntVal,MATCH(AC$331&amp;"|"&amp;$D334,PIntKey,0),MATCH(AC$4,PIntYear,0)))</f>
        <v/>
      </c>
      <c r="AD334" s="24">
        <f>IF($D334="",1,INDEX(PIntVal,MATCH(AD$331&amp;"|"&amp;$D334,PIntKey,0),MATCH(AD$4,PIntYear,0)))</f>
        <v/>
      </c>
      <c r="AE334" s="24">
        <f>IF($D334="",1,INDEX(PIntVal,MATCH(AE$331&amp;"|"&amp;$D334,PIntKey,0),MATCH(AE$4,PIntYear,0)))</f>
        <v/>
      </c>
      <c r="AG334" s="11">
        <f>CodePrefix&amp;$A334&amp;IF($C334="","","."&amp;$C334&amp;"."&amp;$B334)&amp;INDEX(VarEnd,MATCH($A334,VarKey,0))&amp;AG$5</f>
        <v/>
      </c>
      <c r="AH334" s="23">
        <f>IF($D334="",1,INDEX(PIntVal,MATCH(AH$331&amp;"|"&amp;$D334,PIntKey,0),MATCH(AH$4,PIntYear,0)))</f>
        <v/>
      </c>
      <c r="AI334" s="24">
        <f>IF($D334="",1,INDEX(PIntVal,MATCH(AI$331&amp;"|"&amp;$D334,PIntKey,0),MATCH(AI$4,PIntYear,0)))</f>
        <v/>
      </c>
      <c r="AJ334" s="24">
        <f>IF($D334="",1,INDEX(PIntVal,MATCH(AJ$331&amp;"|"&amp;$D334,PIntKey,0),MATCH(AJ$4,PIntYear,0)))</f>
        <v/>
      </c>
      <c r="AK334" s="24">
        <f>IF($D334="",1,INDEX(PIntVal,MATCH(AK$331&amp;"|"&amp;$D334,PIntKey,0),MATCH(AK$4,PIntYear,0)))</f>
        <v/>
      </c>
      <c r="AL334" s="24">
        <f>IF($D334="",1,INDEX(PIntVal,MATCH(AL$331&amp;"|"&amp;$D334,PIntKey,0),MATCH(AL$4,PIntYear,0)))</f>
        <v/>
      </c>
      <c r="AM334" s="24">
        <f>IF($D334="",1,INDEX(PIntVal,MATCH(AM$331&amp;"|"&amp;$D334,PIntKey,0),MATCH(AM$4,PIntYear,0)))</f>
        <v/>
      </c>
      <c r="AN334" s="24">
        <f>IF($D334="",1,INDEX(PIntVal,MATCH(AN$331&amp;"|"&amp;$D334,PIntKey,0),MATCH(AN$4,PIntYear,0)))</f>
        <v/>
      </c>
      <c r="AO334" s="24">
        <f>IF($D334="",1,INDEX(PIntVal,MATCH(AO$331&amp;"|"&amp;$D334,PIntKey,0),MATCH(AO$4,PIntYear,0)))</f>
        <v/>
      </c>
      <c r="AP334" s="24">
        <f>IF($D334="",1,INDEX(PIntVal,MATCH(AP$331&amp;"|"&amp;$D334,PIntKey,0),MATCH(AP$4,PIntYear,0)))</f>
        <v/>
      </c>
      <c r="AQ334" s="24">
        <f>IF($D334="",1,INDEX(PIntVal,MATCH(AQ$331&amp;"|"&amp;$D334,PIntKey,0),MATCH(AQ$4,PIntYear,0)))</f>
        <v/>
      </c>
      <c r="AR334" s="24">
        <f>IF($D334="",1,INDEX(PIntVal,MATCH(AR$331&amp;"|"&amp;$D334,PIntKey,0),MATCH(AR$4,PIntYear,0)))</f>
        <v/>
      </c>
      <c r="AS334" s="24">
        <f>IF($D334="",1,INDEX(PIntVal,MATCH(AS$331&amp;"|"&amp;$D334,PIntKey,0),MATCH(AS$4,PIntYear,0)))</f>
        <v/>
      </c>
      <c r="AT334" s="24">
        <f>IF($D334="",1,INDEX(PIntVal,MATCH(AT$331&amp;"|"&amp;$D334,PIntKey,0),MATCH(AT$4,PIntYear,0)))</f>
        <v/>
      </c>
      <c r="AU334" s="24">
        <f>IF($D334="",1,INDEX(PIntVal,MATCH(AU$331&amp;"|"&amp;$D334,PIntKey,0),MATCH(AU$4,PIntYear,0)))</f>
        <v/>
      </c>
      <c r="AV334" s="24">
        <f>IF($D334="",1,INDEX(PIntVal,MATCH(AV$331&amp;"|"&amp;$D334,PIntKey,0),MATCH(AV$4,PIntYear,0)))</f>
        <v/>
      </c>
      <c r="AW334" s="24">
        <f>IF($D334="",1,INDEX(PIntVal,MATCH(AW$331&amp;"|"&amp;$D334,PIntKey,0),MATCH(AW$4,PIntYear,0)))</f>
        <v/>
      </c>
      <c r="AX334" s="24">
        <f>IF($D334="",1,INDEX(PIntVal,MATCH(AX$331&amp;"|"&amp;$D334,PIntKey,0),MATCH(AX$4,PIntYear,0)))</f>
        <v/>
      </c>
      <c r="AY334" s="24">
        <f>IF($D334="",1,INDEX(PIntVal,MATCH(AY$331&amp;"|"&amp;$D334,PIntKey,0),MATCH(AY$4,PIntYear,0)))</f>
        <v/>
      </c>
      <c r="AZ334" s="24">
        <f>IF($D334="",1,INDEX(PIntVal,MATCH(AZ$331&amp;"|"&amp;$D334,PIntKey,0),MATCH(AZ$4,PIntYear,0)))</f>
        <v/>
      </c>
      <c r="BA334" s="24">
        <f>IF($D334="",1,INDEX(PIntVal,MATCH(BA$331&amp;"|"&amp;$D334,PIntKey,0),MATCH(BA$4,PIntYear,0)))</f>
        <v/>
      </c>
    </row>
    <row r="335" hidden="1" outlineLevel="1">
      <c r="A335" s="14" t="inlineStr">
        <is>
          <t>gpn</t>
        </is>
      </c>
      <c r="B335" s="14" t="inlineStr">
        <is>
          <t>nga</t>
        </is>
      </c>
      <c r="C335" s="14" t="inlineStr">
        <is>
          <t>int</t>
        </is>
      </c>
      <c r="D335" s="22">
        <f>"nga."&amp;Settings!$C$12</f>
        <v/>
      </c>
      <c r="E335" s="39" t="n"/>
      <c r="F335" s="39" t="n"/>
      <c r="G335" s="39" t="n"/>
      <c r="H335" s="14">
        <f>INDEX(VarLab,MATCH($A335,VarKey,0))&amp;INDEX(MemLab,MATCH($C335&amp;"|"&amp;$B335,MemKey,0))</f>
        <v/>
      </c>
      <c r="I335" s="14">
        <f>INDEX(VarUnit,MATCH($A335,VarKey,0))</f>
        <v/>
      </c>
      <c r="J335" s="14">
        <f>INDEX(VarSrc,MATCH($A335,VarKey,0))</f>
        <v/>
      </c>
      <c r="K335" s="11">
        <f>CodePrefix&amp;$A335&amp;IF($C335="","","."&amp;$C335&amp;"."&amp;$B335)&amp;INDEX(VarEnd,MATCH($A335,VarKey,0))&amp;K$5</f>
        <v/>
      </c>
      <c r="L335" s="23">
        <f>IF($D335="",1,INDEX(PIntVal,MATCH(L$331&amp;"|"&amp;$D335,PIntKey,0),MATCH(L$4,PIntYear,0)))</f>
        <v/>
      </c>
      <c r="M335" s="24">
        <f>IF($D335="",1,INDEX(PIntVal,MATCH(M$331&amp;"|"&amp;$D335,PIntKey,0),MATCH(M$4,PIntYear,0)))</f>
        <v/>
      </c>
      <c r="N335" s="24">
        <f>IF($D335="",1,INDEX(PIntVal,MATCH(N$331&amp;"|"&amp;$D335,PIntKey,0),MATCH(N$4,PIntYear,0)))</f>
        <v/>
      </c>
      <c r="O335" s="24">
        <f>IF($D335="",1,INDEX(PIntVal,MATCH(O$331&amp;"|"&amp;$D335,PIntKey,0),MATCH(O$4,PIntYear,0)))</f>
        <v/>
      </c>
      <c r="P335" s="24">
        <f>IF($D335="",1,INDEX(PIntVal,MATCH(P$331&amp;"|"&amp;$D335,PIntKey,0),MATCH(P$4,PIntYear,0)))</f>
        <v/>
      </c>
      <c r="Q335" s="24">
        <f>IF($D335="",1,INDEX(PIntVal,MATCH(Q$331&amp;"|"&amp;$D335,PIntKey,0),MATCH(Q$4,PIntYear,0)))</f>
        <v/>
      </c>
      <c r="R335" s="24">
        <f>IF($D335="",1,INDEX(PIntVal,MATCH(R$331&amp;"|"&amp;$D335,PIntKey,0),MATCH(R$4,PIntYear,0)))</f>
        <v/>
      </c>
      <c r="S335" s="24">
        <f>IF($D335="",1,INDEX(PIntVal,MATCH(S$331&amp;"|"&amp;$D335,PIntKey,0),MATCH(S$4,PIntYear,0)))</f>
        <v/>
      </c>
      <c r="T335" s="24">
        <f>IF($D335="",1,INDEX(PIntVal,MATCH(T$331&amp;"|"&amp;$D335,PIntKey,0),MATCH(T$4,PIntYear,0)))</f>
        <v/>
      </c>
      <c r="U335" s="24">
        <f>IF($D335="",1,INDEX(PIntVal,MATCH(U$331&amp;"|"&amp;$D335,PIntKey,0),MATCH(U$4,PIntYear,0)))</f>
        <v/>
      </c>
      <c r="V335" s="24">
        <f>IF($D335="",1,INDEX(PIntVal,MATCH(V$331&amp;"|"&amp;$D335,PIntKey,0),MATCH(V$4,PIntYear,0)))</f>
        <v/>
      </c>
      <c r="W335" s="24">
        <f>IF($D335="",1,INDEX(PIntVal,MATCH(W$331&amp;"|"&amp;$D335,PIntKey,0),MATCH(W$4,PIntYear,0)))</f>
        <v/>
      </c>
      <c r="X335" s="24">
        <f>IF($D335="",1,INDEX(PIntVal,MATCH(X$331&amp;"|"&amp;$D335,PIntKey,0),MATCH(X$4,PIntYear,0)))</f>
        <v/>
      </c>
      <c r="Y335" s="24">
        <f>IF($D335="",1,INDEX(PIntVal,MATCH(Y$331&amp;"|"&amp;$D335,PIntKey,0),MATCH(Y$4,PIntYear,0)))</f>
        <v/>
      </c>
      <c r="Z335" s="24">
        <f>IF($D335="",1,INDEX(PIntVal,MATCH(Z$331&amp;"|"&amp;$D335,PIntKey,0),MATCH(Z$4,PIntYear,0)))</f>
        <v/>
      </c>
      <c r="AA335" s="24">
        <f>IF($D335="",1,INDEX(PIntVal,MATCH(AA$331&amp;"|"&amp;$D335,PIntKey,0),MATCH(AA$4,PIntYear,0)))</f>
        <v/>
      </c>
      <c r="AB335" s="24">
        <f>IF($D335="",1,INDEX(PIntVal,MATCH(AB$331&amp;"|"&amp;$D335,PIntKey,0),MATCH(AB$4,PIntYear,0)))</f>
        <v/>
      </c>
      <c r="AC335" s="24">
        <f>IF($D335="",1,INDEX(PIntVal,MATCH(AC$331&amp;"|"&amp;$D335,PIntKey,0),MATCH(AC$4,PIntYear,0)))</f>
        <v/>
      </c>
      <c r="AD335" s="24">
        <f>IF($D335="",1,INDEX(PIntVal,MATCH(AD$331&amp;"|"&amp;$D335,PIntKey,0),MATCH(AD$4,PIntYear,0)))</f>
        <v/>
      </c>
      <c r="AE335" s="24">
        <f>IF($D335="",1,INDEX(PIntVal,MATCH(AE$331&amp;"|"&amp;$D335,PIntKey,0),MATCH(AE$4,PIntYear,0)))</f>
        <v/>
      </c>
      <c r="AG335" s="11">
        <f>CodePrefix&amp;$A335&amp;IF($C335="","","."&amp;$C335&amp;"."&amp;$B335)&amp;INDEX(VarEnd,MATCH($A335,VarKey,0))&amp;AG$5</f>
        <v/>
      </c>
      <c r="AH335" s="23">
        <f>IF($D335="",1,INDEX(PIntVal,MATCH(AH$331&amp;"|"&amp;$D335,PIntKey,0),MATCH(AH$4,PIntYear,0)))</f>
        <v/>
      </c>
      <c r="AI335" s="24">
        <f>IF($D335="",1,INDEX(PIntVal,MATCH(AI$331&amp;"|"&amp;$D335,PIntKey,0),MATCH(AI$4,PIntYear,0)))</f>
        <v/>
      </c>
      <c r="AJ335" s="24">
        <f>IF($D335="",1,INDEX(PIntVal,MATCH(AJ$331&amp;"|"&amp;$D335,PIntKey,0),MATCH(AJ$4,PIntYear,0)))</f>
        <v/>
      </c>
      <c r="AK335" s="24">
        <f>IF($D335="",1,INDEX(PIntVal,MATCH(AK$331&amp;"|"&amp;$D335,PIntKey,0),MATCH(AK$4,PIntYear,0)))</f>
        <v/>
      </c>
      <c r="AL335" s="24">
        <f>IF($D335="",1,INDEX(PIntVal,MATCH(AL$331&amp;"|"&amp;$D335,PIntKey,0),MATCH(AL$4,PIntYear,0)))</f>
        <v/>
      </c>
      <c r="AM335" s="24">
        <f>IF($D335="",1,INDEX(PIntVal,MATCH(AM$331&amp;"|"&amp;$D335,PIntKey,0),MATCH(AM$4,PIntYear,0)))</f>
        <v/>
      </c>
      <c r="AN335" s="24">
        <f>IF($D335="",1,INDEX(PIntVal,MATCH(AN$331&amp;"|"&amp;$D335,PIntKey,0),MATCH(AN$4,PIntYear,0)))</f>
        <v/>
      </c>
      <c r="AO335" s="24">
        <f>IF($D335="",1,INDEX(PIntVal,MATCH(AO$331&amp;"|"&amp;$D335,PIntKey,0),MATCH(AO$4,PIntYear,0)))</f>
        <v/>
      </c>
      <c r="AP335" s="24">
        <f>IF($D335="",1,INDEX(PIntVal,MATCH(AP$331&amp;"|"&amp;$D335,PIntKey,0),MATCH(AP$4,PIntYear,0)))</f>
        <v/>
      </c>
      <c r="AQ335" s="24">
        <f>IF($D335="",1,INDEX(PIntVal,MATCH(AQ$331&amp;"|"&amp;$D335,PIntKey,0),MATCH(AQ$4,PIntYear,0)))</f>
        <v/>
      </c>
      <c r="AR335" s="24">
        <f>IF($D335="",1,INDEX(PIntVal,MATCH(AR$331&amp;"|"&amp;$D335,PIntKey,0),MATCH(AR$4,PIntYear,0)))</f>
        <v/>
      </c>
      <c r="AS335" s="24">
        <f>IF($D335="",1,INDEX(PIntVal,MATCH(AS$331&amp;"|"&amp;$D335,PIntKey,0),MATCH(AS$4,PIntYear,0)))</f>
        <v/>
      </c>
      <c r="AT335" s="24">
        <f>IF($D335="",1,INDEX(PIntVal,MATCH(AT$331&amp;"|"&amp;$D335,PIntKey,0),MATCH(AT$4,PIntYear,0)))</f>
        <v/>
      </c>
      <c r="AU335" s="24">
        <f>IF($D335="",1,INDEX(PIntVal,MATCH(AU$331&amp;"|"&amp;$D335,PIntKey,0),MATCH(AU$4,PIntYear,0)))</f>
        <v/>
      </c>
      <c r="AV335" s="24">
        <f>IF($D335="",1,INDEX(PIntVal,MATCH(AV$331&amp;"|"&amp;$D335,PIntKey,0),MATCH(AV$4,PIntYear,0)))</f>
        <v/>
      </c>
      <c r="AW335" s="24">
        <f>IF($D335="",1,INDEX(PIntVal,MATCH(AW$331&amp;"|"&amp;$D335,PIntKey,0),MATCH(AW$4,PIntYear,0)))</f>
        <v/>
      </c>
      <c r="AX335" s="24">
        <f>IF($D335="",1,INDEX(PIntVal,MATCH(AX$331&amp;"|"&amp;$D335,PIntKey,0),MATCH(AX$4,PIntYear,0)))</f>
        <v/>
      </c>
      <c r="AY335" s="24">
        <f>IF($D335="",1,INDEX(PIntVal,MATCH(AY$331&amp;"|"&amp;$D335,PIntKey,0),MATCH(AY$4,PIntYear,0)))</f>
        <v/>
      </c>
      <c r="AZ335" s="24">
        <f>IF($D335="",1,INDEX(PIntVal,MATCH(AZ$331&amp;"|"&amp;$D335,PIntKey,0),MATCH(AZ$4,PIntYear,0)))</f>
        <v/>
      </c>
      <c r="BA335" s="24">
        <f>IF($D335="",1,INDEX(PIntVal,MATCH(BA$331&amp;"|"&amp;$D335,PIntKey,0),MATCH(BA$4,PIntYear,0)))</f>
        <v/>
      </c>
    </row>
    <row r="336" hidden="1" outlineLevel="1">
      <c r="A336" s="14" t="inlineStr">
        <is>
          <t>gpn</t>
        </is>
      </c>
      <c r="B336" s="14" t="inlineStr">
        <is>
          <t>one</t>
        </is>
      </c>
      <c r="C336" s="14" t="inlineStr">
        <is>
          <t>int</t>
        </is>
      </c>
      <c r="D336" s="39" t="n"/>
      <c r="E336" s="39" t="n"/>
      <c r="F336" s="39" t="n"/>
      <c r="G336" s="39" t="n"/>
      <c r="H336" s="14">
        <f>INDEX(VarLab,MATCH($A336,VarKey,0))&amp;INDEX(MemLab,MATCH($C336&amp;"|"&amp;$B336,MemKey,0))</f>
        <v/>
      </c>
      <c r="I336" s="14">
        <f>INDEX(VarUnit,MATCH($A336,VarKey,0))</f>
        <v/>
      </c>
      <c r="J336" s="14">
        <f>INDEX(VarSrc,MATCH($A336,VarKey,0))</f>
        <v/>
      </c>
      <c r="K336" s="11">
        <f>CodePrefix&amp;$A336&amp;IF($C336="","","."&amp;$C336&amp;"."&amp;$B336)&amp;INDEX(VarEnd,MATCH($A336,VarKey,0))&amp;K$5</f>
        <v/>
      </c>
      <c r="L336" s="23">
        <f>IF($D336="",1,INDEX(PIntVal,MATCH(L$331&amp;"|"&amp;$D336,PIntKey,0),MATCH(L$4,PIntYear,0)))</f>
        <v/>
      </c>
      <c r="M336" s="24">
        <f>IF($D336="",1,INDEX(PIntVal,MATCH(M$331&amp;"|"&amp;$D336,PIntKey,0),MATCH(M$4,PIntYear,0)))</f>
        <v/>
      </c>
      <c r="N336" s="24">
        <f>IF($D336="",1,INDEX(PIntVal,MATCH(N$331&amp;"|"&amp;$D336,PIntKey,0),MATCH(N$4,PIntYear,0)))</f>
        <v/>
      </c>
      <c r="O336" s="24">
        <f>IF($D336="",1,INDEX(PIntVal,MATCH(O$331&amp;"|"&amp;$D336,PIntKey,0),MATCH(O$4,PIntYear,0)))</f>
        <v/>
      </c>
      <c r="P336" s="24">
        <f>IF($D336="",1,INDEX(PIntVal,MATCH(P$331&amp;"|"&amp;$D336,PIntKey,0),MATCH(P$4,PIntYear,0)))</f>
        <v/>
      </c>
      <c r="Q336" s="24">
        <f>IF($D336="",1,INDEX(PIntVal,MATCH(Q$331&amp;"|"&amp;$D336,PIntKey,0),MATCH(Q$4,PIntYear,0)))</f>
        <v/>
      </c>
      <c r="R336" s="24">
        <f>IF($D336="",1,INDEX(PIntVal,MATCH(R$331&amp;"|"&amp;$D336,PIntKey,0),MATCH(R$4,PIntYear,0)))</f>
        <v/>
      </c>
      <c r="S336" s="24">
        <f>IF($D336="",1,INDEX(PIntVal,MATCH(S$331&amp;"|"&amp;$D336,PIntKey,0),MATCH(S$4,PIntYear,0)))</f>
        <v/>
      </c>
      <c r="T336" s="24">
        <f>IF($D336="",1,INDEX(PIntVal,MATCH(T$331&amp;"|"&amp;$D336,PIntKey,0),MATCH(T$4,PIntYear,0)))</f>
        <v/>
      </c>
      <c r="U336" s="24">
        <f>IF($D336="",1,INDEX(PIntVal,MATCH(U$331&amp;"|"&amp;$D336,PIntKey,0),MATCH(U$4,PIntYear,0)))</f>
        <v/>
      </c>
      <c r="V336" s="24">
        <f>IF($D336="",1,INDEX(PIntVal,MATCH(V$331&amp;"|"&amp;$D336,PIntKey,0),MATCH(V$4,PIntYear,0)))</f>
        <v/>
      </c>
      <c r="W336" s="24">
        <f>IF($D336="",1,INDEX(PIntVal,MATCH(W$331&amp;"|"&amp;$D336,PIntKey,0),MATCH(W$4,PIntYear,0)))</f>
        <v/>
      </c>
      <c r="X336" s="24">
        <f>IF($D336="",1,INDEX(PIntVal,MATCH(X$331&amp;"|"&amp;$D336,PIntKey,0),MATCH(X$4,PIntYear,0)))</f>
        <v/>
      </c>
      <c r="Y336" s="24">
        <f>IF($D336="",1,INDEX(PIntVal,MATCH(Y$331&amp;"|"&amp;$D336,PIntKey,0),MATCH(Y$4,PIntYear,0)))</f>
        <v/>
      </c>
      <c r="Z336" s="24">
        <f>IF($D336="",1,INDEX(PIntVal,MATCH(Z$331&amp;"|"&amp;$D336,PIntKey,0),MATCH(Z$4,PIntYear,0)))</f>
        <v/>
      </c>
      <c r="AA336" s="24">
        <f>IF($D336="",1,INDEX(PIntVal,MATCH(AA$331&amp;"|"&amp;$D336,PIntKey,0),MATCH(AA$4,PIntYear,0)))</f>
        <v/>
      </c>
      <c r="AB336" s="24">
        <f>IF($D336="",1,INDEX(PIntVal,MATCH(AB$331&amp;"|"&amp;$D336,PIntKey,0),MATCH(AB$4,PIntYear,0)))</f>
        <v/>
      </c>
      <c r="AC336" s="24">
        <f>IF($D336="",1,INDEX(PIntVal,MATCH(AC$331&amp;"|"&amp;$D336,PIntKey,0),MATCH(AC$4,PIntYear,0)))</f>
        <v/>
      </c>
      <c r="AD336" s="24">
        <f>IF($D336="",1,INDEX(PIntVal,MATCH(AD$331&amp;"|"&amp;$D336,PIntKey,0),MATCH(AD$4,PIntYear,0)))</f>
        <v/>
      </c>
      <c r="AE336" s="24">
        <f>IF($D336="",1,INDEX(PIntVal,MATCH(AE$331&amp;"|"&amp;$D336,PIntKey,0),MATCH(AE$4,PIntYear,0)))</f>
        <v/>
      </c>
      <c r="AG336" s="11">
        <f>CodePrefix&amp;$A336&amp;IF($C336="","","."&amp;$C336&amp;"."&amp;$B336)&amp;INDEX(VarEnd,MATCH($A336,VarKey,0))&amp;AG$5</f>
        <v/>
      </c>
      <c r="AH336" s="23">
        <f>IF($D336="",1,INDEX(PIntVal,MATCH(AH$331&amp;"|"&amp;$D336,PIntKey,0),MATCH(AH$4,PIntYear,0)))</f>
        <v/>
      </c>
      <c r="AI336" s="24">
        <f>IF($D336="",1,INDEX(PIntVal,MATCH(AI$331&amp;"|"&amp;$D336,PIntKey,0),MATCH(AI$4,PIntYear,0)))</f>
        <v/>
      </c>
      <c r="AJ336" s="24">
        <f>IF($D336="",1,INDEX(PIntVal,MATCH(AJ$331&amp;"|"&amp;$D336,PIntKey,0),MATCH(AJ$4,PIntYear,0)))</f>
        <v/>
      </c>
      <c r="AK336" s="24">
        <f>IF($D336="",1,INDEX(PIntVal,MATCH(AK$331&amp;"|"&amp;$D336,PIntKey,0),MATCH(AK$4,PIntYear,0)))</f>
        <v/>
      </c>
      <c r="AL336" s="24">
        <f>IF($D336="",1,INDEX(PIntVal,MATCH(AL$331&amp;"|"&amp;$D336,PIntKey,0),MATCH(AL$4,PIntYear,0)))</f>
        <v/>
      </c>
      <c r="AM336" s="24">
        <f>IF($D336="",1,INDEX(PIntVal,MATCH(AM$331&amp;"|"&amp;$D336,PIntKey,0),MATCH(AM$4,PIntYear,0)))</f>
        <v/>
      </c>
      <c r="AN336" s="24">
        <f>IF($D336="",1,INDEX(PIntVal,MATCH(AN$331&amp;"|"&amp;$D336,PIntKey,0),MATCH(AN$4,PIntYear,0)))</f>
        <v/>
      </c>
      <c r="AO336" s="24">
        <f>IF($D336="",1,INDEX(PIntVal,MATCH(AO$331&amp;"|"&amp;$D336,PIntKey,0),MATCH(AO$4,PIntYear,0)))</f>
        <v/>
      </c>
      <c r="AP336" s="24">
        <f>IF($D336="",1,INDEX(PIntVal,MATCH(AP$331&amp;"|"&amp;$D336,PIntKey,0),MATCH(AP$4,PIntYear,0)))</f>
        <v/>
      </c>
      <c r="AQ336" s="24">
        <f>IF($D336="",1,INDEX(PIntVal,MATCH(AQ$331&amp;"|"&amp;$D336,PIntKey,0),MATCH(AQ$4,PIntYear,0)))</f>
        <v/>
      </c>
      <c r="AR336" s="24">
        <f>IF($D336="",1,INDEX(PIntVal,MATCH(AR$331&amp;"|"&amp;$D336,PIntKey,0),MATCH(AR$4,PIntYear,0)))</f>
        <v/>
      </c>
      <c r="AS336" s="24">
        <f>IF($D336="",1,INDEX(PIntVal,MATCH(AS$331&amp;"|"&amp;$D336,PIntKey,0),MATCH(AS$4,PIntYear,0)))</f>
        <v/>
      </c>
      <c r="AT336" s="24">
        <f>IF($D336="",1,INDEX(PIntVal,MATCH(AT$331&amp;"|"&amp;$D336,PIntKey,0),MATCH(AT$4,PIntYear,0)))</f>
        <v/>
      </c>
      <c r="AU336" s="24">
        <f>IF($D336="",1,INDEX(PIntVal,MATCH(AU$331&amp;"|"&amp;$D336,PIntKey,0),MATCH(AU$4,PIntYear,0)))</f>
        <v/>
      </c>
      <c r="AV336" s="24">
        <f>IF($D336="",1,INDEX(PIntVal,MATCH(AV$331&amp;"|"&amp;$D336,PIntKey,0),MATCH(AV$4,PIntYear,0)))</f>
        <v/>
      </c>
      <c r="AW336" s="24">
        <f>IF($D336="",1,INDEX(PIntVal,MATCH(AW$331&amp;"|"&amp;$D336,PIntKey,0),MATCH(AW$4,PIntYear,0)))</f>
        <v/>
      </c>
      <c r="AX336" s="24">
        <f>IF($D336="",1,INDEX(PIntVal,MATCH(AX$331&amp;"|"&amp;$D336,PIntKey,0),MATCH(AX$4,PIntYear,0)))</f>
        <v/>
      </c>
      <c r="AY336" s="24">
        <f>IF($D336="",1,INDEX(PIntVal,MATCH(AY$331&amp;"|"&amp;$D336,PIntKey,0),MATCH(AY$4,PIntYear,0)))</f>
        <v/>
      </c>
      <c r="AZ336" s="24">
        <f>IF($D336="",1,INDEX(PIntVal,MATCH(AZ$331&amp;"|"&amp;$D336,PIntKey,0),MATCH(AZ$4,PIntYear,0)))</f>
        <v/>
      </c>
      <c r="BA336" s="24">
        <f>IF($D336="",1,INDEX(PIntVal,MATCH(BA$331&amp;"|"&amp;$D336,PIntKey,0),MATCH(BA$4,PIntYear,0)))</f>
        <v/>
      </c>
    </row>
    <row r="337" hidden="1" outlineLevel="1">
      <c r="A337" s="14" t="inlineStr">
        <is>
          <t>gp</t>
        </is>
      </c>
      <c r="B337" s="14" t="inlineStr">
        <is>
          <t>oil</t>
        </is>
      </c>
      <c r="C337" s="14" t="inlineStr">
        <is>
          <t>int</t>
        </is>
      </c>
      <c r="D337" s="22" t="inlineStr">
        <is>
          <t>oil</t>
        </is>
      </c>
      <c r="E337" s="22" t="n">
        <v>1.5</v>
      </c>
      <c r="F337" s="22" t="n">
        <v>0.5</v>
      </c>
      <c r="G337" s="39" t="n"/>
      <c r="H337" s="14">
        <f>INDEX(VarLab,MATCH($A337,VarKey,0))&amp;INDEX(MemLab,MATCH($C337&amp;"|"&amp;$B337,MemKey,0))</f>
        <v/>
      </c>
      <c r="I337" s="14">
        <f>INDEX(VarUnit,MATCH($A337,VarKey,0))</f>
        <v/>
      </c>
      <c r="J337" s="14">
        <f>INDEX(VarSrc,MATCH($A337,VarKey,0))</f>
        <v/>
      </c>
      <c r="K337" s="11">
        <f>CodePrefix&amp;$A337&amp;IF($C337="","","."&amp;$C337&amp;"."&amp;$B337)&amp;INDEX(VarEnd,MATCH($A337,VarKey,0))&amp;K$5</f>
        <v/>
      </c>
      <c r="L337" s="23">
        <f>IF($D337="",1,L333*L$9*IF(L$4&gt;Settings!$C$10,CHOOSE(L$332,1,$E337,$F337),1))</f>
        <v/>
      </c>
      <c r="M337" s="24">
        <f>IF($D337="",1,M333*M$9*IF(M$4&gt;Settings!$C$10,CHOOSE(M$332,1,$E337,$F337),1))</f>
        <v/>
      </c>
      <c r="N337" s="24">
        <f>IF($D337="",1,N333*N$9*IF(N$4&gt;Settings!$C$10,CHOOSE(N$332,1,$E337,$F337),1))</f>
        <v/>
      </c>
      <c r="O337" s="24">
        <f>IF($D337="",1,O333*O$9*IF(O$4&gt;Settings!$C$10,CHOOSE(O$332,1,$E337,$F337),1))</f>
        <v/>
      </c>
      <c r="P337" s="24">
        <f>IF($D337="",1,P333*P$9*IF(P$4&gt;Settings!$C$10,CHOOSE(P$332,1,$E337,$F337),1))</f>
        <v/>
      </c>
      <c r="Q337" s="24">
        <f>IF($D337="",1,Q333*Q$9*IF(Q$4&gt;Settings!$C$10,CHOOSE(Q$332,1,$E337,$F337),1))</f>
        <v/>
      </c>
      <c r="R337" s="24">
        <f>IF($D337="",1,R333*R$9*IF(R$4&gt;Settings!$C$10,CHOOSE(R$332,1,$E337,$F337),1))</f>
        <v/>
      </c>
      <c r="S337" s="24">
        <f>IF($D337="",1,S333*S$9*IF(S$4&gt;Settings!$C$10,CHOOSE(S$332,1,$E337,$F337),1))</f>
        <v/>
      </c>
      <c r="T337" s="24">
        <f>IF($D337="",1,T333*T$9*IF(T$4&gt;Settings!$C$10,CHOOSE(T$332,1,$E337,$F337),1))</f>
        <v/>
      </c>
      <c r="U337" s="24">
        <f>IF($D337="",1,U333*U$9*IF(U$4&gt;Settings!$C$10,CHOOSE(U$332,1,$E337,$F337),1))</f>
        <v/>
      </c>
      <c r="V337" s="24">
        <f>IF($D337="",1,V333*V$9*IF(V$4&gt;Settings!$C$10,CHOOSE(V$332,1,$E337,$F337),1))</f>
        <v/>
      </c>
      <c r="W337" s="24">
        <f>IF($D337="",1,W333*W$9*IF(W$4&gt;Settings!$C$10,CHOOSE(W$332,1,$E337,$F337),1))</f>
        <v/>
      </c>
      <c r="X337" s="24">
        <f>IF($D337="",1,X333*X$9*IF(X$4&gt;Settings!$C$10,CHOOSE(X$332,1,$E337,$F337),1))</f>
        <v/>
      </c>
      <c r="Y337" s="24">
        <f>IF($D337="",1,Y333*Y$9*IF(Y$4&gt;Settings!$C$10,CHOOSE(Y$332,1,$E337,$F337),1))</f>
        <v/>
      </c>
      <c r="Z337" s="24">
        <f>IF($D337="",1,Z333*Z$9*IF(Z$4&gt;Settings!$C$10,CHOOSE(Z$332,1,$E337,$F337),1))</f>
        <v/>
      </c>
      <c r="AA337" s="24">
        <f>IF($D337="",1,AA333*AA$9*IF(AA$4&gt;Settings!$C$10,CHOOSE(AA$332,1,$E337,$F337),1))</f>
        <v/>
      </c>
      <c r="AB337" s="24">
        <f>IF($D337="",1,AB333*AB$9*IF(AB$4&gt;Settings!$C$10,CHOOSE(AB$332,1,$E337,$F337),1))</f>
        <v/>
      </c>
      <c r="AC337" s="24">
        <f>IF($D337="",1,AC333*AC$9*IF(AC$4&gt;Settings!$C$10,CHOOSE(AC$332,1,$E337,$F337),1))</f>
        <v/>
      </c>
      <c r="AD337" s="24">
        <f>IF($D337="",1,AD333*AD$9*IF(AD$4&gt;Settings!$C$10,CHOOSE(AD$332,1,$E337,$F337),1))</f>
        <v/>
      </c>
      <c r="AE337" s="24">
        <f>IF($D337="",1,AE333*AE$9*IF(AE$4&gt;Settings!$C$10,CHOOSE(AE$332,1,$E337,$F337),1))</f>
        <v/>
      </c>
      <c r="AG337" s="11">
        <f>CodePrefix&amp;$A337&amp;IF($C337="","","."&amp;$C337&amp;"."&amp;$B337)&amp;INDEX(VarEnd,MATCH($A337,VarKey,0))&amp;AG$5</f>
        <v/>
      </c>
      <c r="AH337" s="23">
        <f>IF($D337="",1,AH333*AH$9*IF(AH$4&gt;Settings!$C$10,CHOOSE(AH$332,1,$E337,$F337),1))</f>
        <v/>
      </c>
      <c r="AI337" s="24">
        <f>IF($D337="",1,AI333*AI$9*IF(AI$4&gt;Settings!$C$10,CHOOSE(AI$332,1,$E337,$F337),1))</f>
        <v/>
      </c>
      <c r="AJ337" s="24">
        <f>IF($D337="",1,AJ333*AJ$9*IF(AJ$4&gt;Settings!$C$10,CHOOSE(AJ$332,1,$E337,$F337),1))</f>
        <v/>
      </c>
      <c r="AK337" s="24">
        <f>IF($D337="",1,AK333*AK$9*IF(AK$4&gt;Settings!$C$10,CHOOSE(AK$332,1,$E337,$F337),1))</f>
        <v/>
      </c>
      <c r="AL337" s="24">
        <f>IF($D337="",1,AL333*AL$9*IF(AL$4&gt;Settings!$C$10,CHOOSE(AL$332,1,$E337,$F337),1))</f>
        <v/>
      </c>
      <c r="AM337" s="24">
        <f>IF($D337="",1,AM333*AM$9*IF(AM$4&gt;Settings!$C$10,CHOOSE(AM$332,1,$E337,$F337),1))</f>
        <v/>
      </c>
      <c r="AN337" s="24">
        <f>IF($D337="",1,AN333*AN$9*IF(AN$4&gt;Settings!$C$10,CHOOSE(AN$332,1,$E337,$F337),1))</f>
        <v/>
      </c>
      <c r="AO337" s="24">
        <f>IF($D337="",1,AO333*AO$9*IF(AO$4&gt;Settings!$C$10,CHOOSE(AO$332,1,$E337,$F337),1))</f>
        <v/>
      </c>
      <c r="AP337" s="24">
        <f>IF($D337="",1,AP333*AP$9*IF(AP$4&gt;Settings!$C$10,CHOOSE(AP$332,1,$E337,$F337),1))</f>
        <v/>
      </c>
      <c r="AQ337" s="24">
        <f>IF($D337="",1,AQ333*AQ$9*IF(AQ$4&gt;Settings!$C$10,CHOOSE(AQ$332,1,$E337,$F337),1))</f>
        <v/>
      </c>
      <c r="AR337" s="24">
        <f>IF($D337="",1,AR333*AR$9*IF(AR$4&gt;Settings!$C$10,CHOOSE(AR$332,1,$E337,$F337),1))</f>
        <v/>
      </c>
      <c r="AS337" s="24">
        <f>IF($D337="",1,AS333*AS$9*IF(AS$4&gt;Settings!$C$10,CHOOSE(AS$332,1,$E337,$F337),1))</f>
        <v/>
      </c>
      <c r="AT337" s="24">
        <f>IF($D337="",1,AT333*AT$9*IF(AT$4&gt;Settings!$C$10,CHOOSE(AT$332,1,$E337,$F337),1))</f>
        <v/>
      </c>
      <c r="AU337" s="24">
        <f>IF($D337="",1,AU333*AU$9*IF(AU$4&gt;Settings!$C$10,CHOOSE(AU$332,1,$E337,$F337),1))</f>
        <v/>
      </c>
      <c r="AV337" s="24">
        <f>IF($D337="",1,AV333*AV$9*IF(AV$4&gt;Settings!$C$10,CHOOSE(AV$332,1,$E337,$F337),1))</f>
        <v/>
      </c>
      <c r="AW337" s="24">
        <f>IF($D337="",1,AW333*AW$9*IF(AW$4&gt;Settings!$C$10,CHOOSE(AW$332,1,$E337,$F337),1))</f>
        <v/>
      </c>
      <c r="AX337" s="24">
        <f>IF($D337="",1,AX333*AX$9*IF(AX$4&gt;Settings!$C$10,CHOOSE(AX$332,1,$E337,$F337),1))</f>
        <v/>
      </c>
      <c r="AY337" s="24">
        <f>IF($D337="",1,AY333*AY$9*IF(AY$4&gt;Settings!$C$10,CHOOSE(AY$332,1,$E337,$F337),1))</f>
        <v/>
      </c>
      <c r="AZ337" s="24">
        <f>IF($D337="",1,AZ333*AZ$9*IF(AZ$4&gt;Settings!$C$10,CHOOSE(AZ$332,1,$E337,$F337),1))</f>
        <v/>
      </c>
      <c r="BA337" s="24">
        <f>IF($D337="",1,BA333*BA$9*IF(BA$4&gt;Settings!$C$10,CHOOSE(BA$332,1,$E337,$F337),1))</f>
        <v/>
      </c>
    </row>
    <row r="338" hidden="1" outlineLevel="1">
      <c r="A338" s="14" t="inlineStr">
        <is>
          <t>gp</t>
        </is>
      </c>
      <c r="B338" s="14" t="inlineStr">
        <is>
          <t>coa</t>
        </is>
      </c>
      <c r="C338" s="14" t="inlineStr">
        <is>
          <t>int</t>
        </is>
      </c>
      <c r="D338" s="22" t="inlineStr">
        <is>
          <t>coa</t>
        </is>
      </c>
      <c r="E338" s="22" t="n">
        <v>1.25</v>
      </c>
      <c r="F338" s="22" t="n">
        <v>0.75</v>
      </c>
      <c r="G338" s="39" t="n"/>
      <c r="H338" s="14">
        <f>INDEX(VarLab,MATCH($A338,VarKey,0))&amp;INDEX(MemLab,MATCH($C338&amp;"|"&amp;$B338,MemKey,0))</f>
        <v/>
      </c>
      <c r="I338" s="14">
        <f>INDEX(VarUnit,MATCH($A338,VarKey,0))</f>
        <v/>
      </c>
      <c r="J338" s="14">
        <f>INDEX(VarSrc,MATCH($A338,VarKey,0))</f>
        <v/>
      </c>
      <c r="K338" s="11">
        <f>CodePrefix&amp;$A338&amp;IF($C338="","","."&amp;$C338&amp;"."&amp;$B338)&amp;INDEX(VarEnd,MATCH($A338,VarKey,0))&amp;K$5</f>
        <v/>
      </c>
      <c r="L338" s="23">
        <f>IF($D338="",1,L334*L$9*IF(L$4&gt;Settings!$C$10,CHOOSE(L$332,1,$E338,$F338),1))</f>
        <v/>
      </c>
      <c r="M338" s="24">
        <f>IF($D338="",1,M334*M$9*IF(M$4&gt;Settings!$C$10,CHOOSE(M$332,1,$E338,$F338),1))</f>
        <v/>
      </c>
      <c r="N338" s="24">
        <f>IF($D338="",1,N334*N$9*IF(N$4&gt;Settings!$C$10,CHOOSE(N$332,1,$E338,$F338),1))</f>
        <v/>
      </c>
      <c r="O338" s="24">
        <f>IF($D338="",1,O334*O$9*IF(O$4&gt;Settings!$C$10,CHOOSE(O$332,1,$E338,$F338),1))</f>
        <v/>
      </c>
      <c r="P338" s="24">
        <f>IF($D338="",1,P334*P$9*IF(P$4&gt;Settings!$C$10,CHOOSE(P$332,1,$E338,$F338),1))</f>
        <v/>
      </c>
      <c r="Q338" s="24">
        <f>IF($D338="",1,Q334*Q$9*IF(Q$4&gt;Settings!$C$10,CHOOSE(Q$332,1,$E338,$F338),1))</f>
        <v/>
      </c>
      <c r="R338" s="24">
        <f>IF($D338="",1,R334*R$9*IF(R$4&gt;Settings!$C$10,CHOOSE(R$332,1,$E338,$F338),1))</f>
        <v/>
      </c>
      <c r="S338" s="24">
        <f>IF($D338="",1,S334*S$9*IF(S$4&gt;Settings!$C$10,CHOOSE(S$332,1,$E338,$F338),1))</f>
        <v/>
      </c>
      <c r="T338" s="24">
        <f>IF($D338="",1,T334*T$9*IF(T$4&gt;Settings!$C$10,CHOOSE(T$332,1,$E338,$F338),1))</f>
        <v/>
      </c>
      <c r="U338" s="24">
        <f>IF($D338="",1,U334*U$9*IF(U$4&gt;Settings!$C$10,CHOOSE(U$332,1,$E338,$F338),1))</f>
        <v/>
      </c>
      <c r="V338" s="24">
        <f>IF($D338="",1,V334*V$9*IF(V$4&gt;Settings!$C$10,CHOOSE(V$332,1,$E338,$F338),1))</f>
        <v/>
      </c>
      <c r="W338" s="24">
        <f>IF($D338="",1,W334*W$9*IF(W$4&gt;Settings!$C$10,CHOOSE(W$332,1,$E338,$F338),1))</f>
        <v/>
      </c>
      <c r="X338" s="24">
        <f>IF($D338="",1,X334*X$9*IF(X$4&gt;Settings!$C$10,CHOOSE(X$332,1,$E338,$F338),1))</f>
        <v/>
      </c>
      <c r="Y338" s="24">
        <f>IF($D338="",1,Y334*Y$9*IF(Y$4&gt;Settings!$C$10,CHOOSE(Y$332,1,$E338,$F338),1))</f>
        <v/>
      </c>
      <c r="Z338" s="24">
        <f>IF($D338="",1,Z334*Z$9*IF(Z$4&gt;Settings!$C$10,CHOOSE(Z$332,1,$E338,$F338),1))</f>
        <v/>
      </c>
      <c r="AA338" s="24">
        <f>IF($D338="",1,AA334*AA$9*IF(AA$4&gt;Settings!$C$10,CHOOSE(AA$332,1,$E338,$F338),1))</f>
        <v/>
      </c>
      <c r="AB338" s="24">
        <f>IF($D338="",1,AB334*AB$9*IF(AB$4&gt;Settings!$C$10,CHOOSE(AB$332,1,$E338,$F338),1))</f>
        <v/>
      </c>
      <c r="AC338" s="24">
        <f>IF($D338="",1,AC334*AC$9*IF(AC$4&gt;Settings!$C$10,CHOOSE(AC$332,1,$E338,$F338),1))</f>
        <v/>
      </c>
      <c r="AD338" s="24">
        <f>IF($D338="",1,AD334*AD$9*IF(AD$4&gt;Settings!$C$10,CHOOSE(AD$332,1,$E338,$F338),1))</f>
        <v/>
      </c>
      <c r="AE338" s="24">
        <f>IF($D338="",1,AE334*AE$9*IF(AE$4&gt;Settings!$C$10,CHOOSE(AE$332,1,$E338,$F338),1))</f>
        <v/>
      </c>
      <c r="AG338" s="11">
        <f>CodePrefix&amp;$A338&amp;IF($C338="","","."&amp;$C338&amp;"."&amp;$B338)&amp;INDEX(VarEnd,MATCH($A338,VarKey,0))&amp;AG$5</f>
        <v/>
      </c>
      <c r="AH338" s="23">
        <f>IF($D338="",1,AH334*AH$9*IF(AH$4&gt;Settings!$C$10,CHOOSE(AH$332,1,$E338,$F338),1))</f>
        <v/>
      </c>
      <c r="AI338" s="24">
        <f>IF($D338="",1,AI334*AI$9*IF(AI$4&gt;Settings!$C$10,CHOOSE(AI$332,1,$E338,$F338),1))</f>
        <v/>
      </c>
      <c r="AJ338" s="24">
        <f>IF($D338="",1,AJ334*AJ$9*IF(AJ$4&gt;Settings!$C$10,CHOOSE(AJ$332,1,$E338,$F338),1))</f>
        <v/>
      </c>
      <c r="AK338" s="24">
        <f>IF($D338="",1,AK334*AK$9*IF(AK$4&gt;Settings!$C$10,CHOOSE(AK$332,1,$E338,$F338),1))</f>
        <v/>
      </c>
      <c r="AL338" s="24">
        <f>IF($D338="",1,AL334*AL$9*IF(AL$4&gt;Settings!$C$10,CHOOSE(AL$332,1,$E338,$F338),1))</f>
        <v/>
      </c>
      <c r="AM338" s="24">
        <f>IF($D338="",1,AM334*AM$9*IF(AM$4&gt;Settings!$C$10,CHOOSE(AM$332,1,$E338,$F338),1))</f>
        <v/>
      </c>
      <c r="AN338" s="24">
        <f>IF($D338="",1,AN334*AN$9*IF(AN$4&gt;Settings!$C$10,CHOOSE(AN$332,1,$E338,$F338),1))</f>
        <v/>
      </c>
      <c r="AO338" s="24">
        <f>IF($D338="",1,AO334*AO$9*IF(AO$4&gt;Settings!$C$10,CHOOSE(AO$332,1,$E338,$F338),1))</f>
        <v/>
      </c>
      <c r="AP338" s="24">
        <f>IF($D338="",1,AP334*AP$9*IF(AP$4&gt;Settings!$C$10,CHOOSE(AP$332,1,$E338,$F338),1))</f>
        <v/>
      </c>
      <c r="AQ338" s="24">
        <f>IF($D338="",1,AQ334*AQ$9*IF(AQ$4&gt;Settings!$C$10,CHOOSE(AQ$332,1,$E338,$F338),1))</f>
        <v/>
      </c>
      <c r="AR338" s="24">
        <f>IF($D338="",1,AR334*AR$9*IF(AR$4&gt;Settings!$C$10,CHOOSE(AR$332,1,$E338,$F338),1))</f>
        <v/>
      </c>
      <c r="AS338" s="24">
        <f>IF($D338="",1,AS334*AS$9*IF(AS$4&gt;Settings!$C$10,CHOOSE(AS$332,1,$E338,$F338),1))</f>
        <v/>
      </c>
      <c r="AT338" s="24">
        <f>IF($D338="",1,AT334*AT$9*IF(AT$4&gt;Settings!$C$10,CHOOSE(AT$332,1,$E338,$F338),1))</f>
        <v/>
      </c>
      <c r="AU338" s="24">
        <f>IF($D338="",1,AU334*AU$9*IF(AU$4&gt;Settings!$C$10,CHOOSE(AU$332,1,$E338,$F338),1))</f>
        <v/>
      </c>
      <c r="AV338" s="24">
        <f>IF($D338="",1,AV334*AV$9*IF(AV$4&gt;Settings!$C$10,CHOOSE(AV$332,1,$E338,$F338),1))</f>
        <v/>
      </c>
      <c r="AW338" s="24">
        <f>IF($D338="",1,AW334*AW$9*IF(AW$4&gt;Settings!$C$10,CHOOSE(AW$332,1,$E338,$F338),1))</f>
        <v/>
      </c>
      <c r="AX338" s="24">
        <f>IF($D338="",1,AX334*AX$9*IF(AX$4&gt;Settings!$C$10,CHOOSE(AX$332,1,$E338,$F338),1))</f>
        <v/>
      </c>
      <c r="AY338" s="24">
        <f>IF($D338="",1,AY334*AY$9*IF(AY$4&gt;Settings!$C$10,CHOOSE(AY$332,1,$E338,$F338),1))</f>
        <v/>
      </c>
      <c r="AZ338" s="24">
        <f>IF($D338="",1,AZ334*AZ$9*IF(AZ$4&gt;Settings!$C$10,CHOOSE(AZ$332,1,$E338,$F338),1))</f>
        <v/>
      </c>
      <c r="BA338" s="24">
        <f>IF($D338="",1,BA334*BA$9*IF(BA$4&gt;Settings!$C$10,CHOOSE(BA$332,1,$E338,$F338),1))</f>
        <v/>
      </c>
    </row>
    <row r="339" hidden="1" outlineLevel="1">
      <c r="A339" s="14" t="inlineStr">
        <is>
          <t>gp</t>
        </is>
      </c>
      <c r="B339" s="14" t="inlineStr">
        <is>
          <t>nga</t>
        </is>
      </c>
      <c r="C339" s="14" t="inlineStr">
        <is>
          <t>int</t>
        </is>
      </c>
      <c r="D339" s="22">
        <f>"nga."&amp;Settings!$C$12</f>
        <v/>
      </c>
      <c r="E339" s="22" t="n">
        <v>1.25</v>
      </c>
      <c r="F339" s="22" t="n">
        <v>0.75</v>
      </c>
      <c r="G339" s="39" t="n"/>
      <c r="H339" s="14">
        <f>INDEX(VarLab,MATCH($A339,VarKey,0))&amp;INDEX(MemLab,MATCH($C339&amp;"|"&amp;$B339,MemKey,0))</f>
        <v/>
      </c>
      <c r="I339" s="14">
        <f>INDEX(VarUnit,MATCH($A339,VarKey,0))</f>
        <v/>
      </c>
      <c r="J339" s="14">
        <f>INDEX(VarSrc,MATCH($A339,VarKey,0))</f>
        <v/>
      </c>
      <c r="K339" s="11">
        <f>CodePrefix&amp;$A339&amp;IF($C339="","","."&amp;$C339&amp;"."&amp;$B339)&amp;INDEX(VarEnd,MATCH($A339,VarKey,0))&amp;K$5</f>
        <v/>
      </c>
      <c r="L339" s="23">
        <f>IF($D339="",1,L335*L$9*IF(L$4&gt;Settings!$C$10,CHOOSE(L$332,1,$E339,$F339),1))</f>
        <v/>
      </c>
      <c r="M339" s="24">
        <f>IF($D339="",1,M335*M$9*IF(M$4&gt;Settings!$C$10,CHOOSE(M$332,1,$E339,$F339),1))</f>
        <v/>
      </c>
      <c r="N339" s="24">
        <f>IF($D339="",1,N335*N$9*IF(N$4&gt;Settings!$C$10,CHOOSE(N$332,1,$E339,$F339),1))</f>
        <v/>
      </c>
      <c r="O339" s="24">
        <f>IF($D339="",1,O335*O$9*IF(O$4&gt;Settings!$C$10,CHOOSE(O$332,1,$E339,$F339),1))</f>
        <v/>
      </c>
      <c r="P339" s="24">
        <f>IF($D339="",1,P335*P$9*IF(P$4&gt;Settings!$C$10,CHOOSE(P$332,1,$E339,$F339),1))</f>
        <v/>
      </c>
      <c r="Q339" s="24">
        <f>IF($D339="",1,Q335*Q$9*IF(Q$4&gt;Settings!$C$10,CHOOSE(Q$332,1,$E339,$F339),1))</f>
        <v/>
      </c>
      <c r="R339" s="24">
        <f>IF($D339="",1,R335*R$9*IF(R$4&gt;Settings!$C$10,CHOOSE(R$332,1,$E339,$F339),1))</f>
        <v/>
      </c>
      <c r="S339" s="24">
        <f>IF($D339="",1,S335*S$9*IF(S$4&gt;Settings!$C$10,CHOOSE(S$332,1,$E339,$F339),1))</f>
        <v/>
      </c>
      <c r="T339" s="24">
        <f>IF($D339="",1,T335*T$9*IF(T$4&gt;Settings!$C$10,CHOOSE(T$332,1,$E339,$F339),1))</f>
        <v/>
      </c>
      <c r="U339" s="24">
        <f>IF($D339="",1,U335*U$9*IF(U$4&gt;Settings!$C$10,CHOOSE(U$332,1,$E339,$F339),1))</f>
        <v/>
      </c>
      <c r="V339" s="24">
        <f>IF($D339="",1,V335*V$9*IF(V$4&gt;Settings!$C$10,CHOOSE(V$332,1,$E339,$F339),1))</f>
        <v/>
      </c>
      <c r="W339" s="24">
        <f>IF($D339="",1,W335*W$9*IF(W$4&gt;Settings!$C$10,CHOOSE(W$332,1,$E339,$F339),1))</f>
        <v/>
      </c>
      <c r="X339" s="24">
        <f>IF($D339="",1,X335*X$9*IF(X$4&gt;Settings!$C$10,CHOOSE(X$332,1,$E339,$F339),1))</f>
        <v/>
      </c>
      <c r="Y339" s="24">
        <f>IF($D339="",1,Y335*Y$9*IF(Y$4&gt;Settings!$C$10,CHOOSE(Y$332,1,$E339,$F339),1))</f>
        <v/>
      </c>
      <c r="Z339" s="24">
        <f>IF($D339="",1,Z335*Z$9*IF(Z$4&gt;Settings!$C$10,CHOOSE(Z$332,1,$E339,$F339),1))</f>
        <v/>
      </c>
      <c r="AA339" s="24">
        <f>IF($D339="",1,AA335*AA$9*IF(AA$4&gt;Settings!$C$10,CHOOSE(AA$332,1,$E339,$F339),1))</f>
        <v/>
      </c>
      <c r="AB339" s="24">
        <f>IF($D339="",1,AB335*AB$9*IF(AB$4&gt;Settings!$C$10,CHOOSE(AB$332,1,$E339,$F339),1))</f>
        <v/>
      </c>
      <c r="AC339" s="24">
        <f>IF($D339="",1,AC335*AC$9*IF(AC$4&gt;Settings!$C$10,CHOOSE(AC$332,1,$E339,$F339),1))</f>
        <v/>
      </c>
      <c r="AD339" s="24">
        <f>IF($D339="",1,AD335*AD$9*IF(AD$4&gt;Settings!$C$10,CHOOSE(AD$332,1,$E339,$F339),1))</f>
        <v/>
      </c>
      <c r="AE339" s="24">
        <f>IF($D339="",1,AE335*AE$9*IF(AE$4&gt;Settings!$C$10,CHOOSE(AE$332,1,$E339,$F339),1))</f>
        <v/>
      </c>
      <c r="AG339" s="11">
        <f>CodePrefix&amp;$A339&amp;IF($C339="","","."&amp;$C339&amp;"."&amp;$B339)&amp;INDEX(VarEnd,MATCH($A339,VarKey,0))&amp;AG$5</f>
        <v/>
      </c>
      <c r="AH339" s="23">
        <f>IF($D339="",1,AH335*AH$9*IF(AH$4&gt;Settings!$C$10,CHOOSE(AH$332,1,$E339,$F339),1))</f>
        <v/>
      </c>
      <c r="AI339" s="24">
        <f>IF($D339="",1,AI335*AI$9*IF(AI$4&gt;Settings!$C$10,CHOOSE(AI$332,1,$E339,$F339),1))</f>
        <v/>
      </c>
      <c r="AJ339" s="24">
        <f>IF($D339="",1,AJ335*AJ$9*IF(AJ$4&gt;Settings!$C$10,CHOOSE(AJ$332,1,$E339,$F339),1))</f>
        <v/>
      </c>
      <c r="AK339" s="24">
        <f>IF($D339="",1,AK335*AK$9*IF(AK$4&gt;Settings!$C$10,CHOOSE(AK$332,1,$E339,$F339),1))</f>
        <v/>
      </c>
      <c r="AL339" s="24">
        <f>IF($D339="",1,AL335*AL$9*IF(AL$4&gt;Settings!$C$10,CHOOSE(AL$332,1,$E339,$F339),1))</f>
        <v/>
      </c>
      <c r="AM339" s="24">
        <f>IF($D339="",1,AM335*AM$9*IF(AM$4&gt;Settings!$C$10,CHOOSE(AM$332,1,$E339,$F339),1))</f>
        <v/>
      </c>
      <c r="AN339" s="24">
        <f>IF($D339="",1,AN335*AN$9*IF(AN$4&gt;Settings!$C$10,CHOOSE(AN$332,1,$E339,$F339),1))</f>
        <v/>
      </c>
      <c r="AO339" s="24">
        <f>IF($D339="",1,AO335*AO$9*IF(AO$4&gt;Settings!$C$10,CHOOSE(AO$332,1,$E339,$F339),1))</f>
        <v/>
      </c>
      <c r="AP339" s="24">
        <f>IF($D339="",1,AP335*AP$9*IF(AP$4&gt;Settings!$C$10,CHOOSE(AP$332,1,$E339,$F339),1))</f>
        <v/>
      </c>
      <c r="AQ339" s="24">
        <f>IF($D339="",1,AQ335*AQ$9*IF(AQ$4&gt;Settings!$C$10,CHOOSE(AQ$332,1,$E339,$F339),1))</f>
        <v/>
      </c>
      <c r="AR339" s="24">
        <f>IF($D339="",1,AR335*AR$9*IF(AR$4&gt;Settings!$C$10,CHOOSE(AR$332,1,$E339,$F339),1))</f>
        <v/>
      </c>
      <c r="AS339" s="24">
        <f>IF($D339="",1,AS335*AS$9*IF(AS$4&gt;Settings!$C$10,CHOOSE(AS$332,1,$E339,$F339),1))</f>
        <v/>
      </c>
      <c r="AT339" s="24">
        <f>IF($D339="",1,AT335*AT$9*IF(AT$4&gt;Settings!$C$10,CHOOSE(AT$332,1,$E339,$F339),1))</f>
        <v/>
      </c>
      <c r="AU339" s="24">
        <f>IF($D339="",1,AU335*AU$9*IF(AU$4&gt;Settings!$C$10,CHOOSE(AU$332,1,$E339,$F339),1))</f>
        <v/>
      </c>
      <c r="AV339" s="24">
        <f>IF($D339="",1,AV335*AV$9*IF(AV$4&gt;Settings!$C$10,CHOOSE(AV$332,1,$E339,$F339),1))</f>
        <v/>
      </c>
      <c r="AW339" s="24">
        <f>IF($D339="",1,AW335*AW$9*IF(AW$4&gt;Settings!$C$10,CHOOSE(AW$332,1,$E339,$F339),1))</f>
        <v/>
      </c>
      <c r="AX339" s="24">
        <f>IF($D339="",1,AX335*AX$9*IF(AX$4&gt;Settings!$C$10,CHOOSE(AX$332,1,$E339,$F339),1))</f>
        <v/>
      </c>
      <c r="AY339" s="24">
        <f>IF($D339="",1,AY335*AY$9*IF(AY$4&gt;Settings!$C$10,CHOOSE(AY$332,1,$E339,$F339),1))</f>
        <v/>
      </c>
      <c r="AZ339" s="24">
        <f>IF($D339="",1,AZ335*AZ$9*IF(AZ$4&gt;Settings!$C$10,CHOOSE(AZ$332,1,$E339,$F339),1))</f>
        <v/>
      </c>
      <c r="BA339" s="24">
        <f>IF($D339="",1,BA335*BA$9*IF(BA$4&gt;Settings!$C$10,CHOOSE(BA$332,1,$E339,$F339),1))</f>
        <v/>
      </c>
    </row>
    <row r="340" hidden="1" outlineLevel="1">
      <c r="A340" s="14" t="inlineStr">
        <is>
          <t>gp</t>
        </is>
      </c>
      <c r="B340" s="14" t="inlineStr">
        <is>
          <t>one</t>
        </is>
      </c>
      <c r="C340" s="14" t="inlineStr">
        <is>
          <t>int</t>
        </is>
      </c>
      <c r="D340" s="39" t="n"/>
      <c r="E340" s="22" t="n">
        <v>1</v>
      </c>
      <c r="F340" s="22" t="n">
        <v>1</v>
      </c>
      <c r="G340" s="39" t="n"/>
      <c r="H340" s="14">
        <f>INDEX(VarLab,MATCH($A340,VarKey,0))&amp;INDEX(MemLab,MATCH($C340&amp;"|"&amp;$B340,MemKey,0))</f>
        <v/>
      </c>
      <c r="I340" s="14">
        <f>INDEX(VarUnit,MATCH($A340,VarKey,0))</f>
        <v/>
      </c>
      <c r="J340" s="14">
        <f>INDEX(VarSrc,MATCH($A340,VarKey,0))</f>
        <v/>
      </c>
      <c r="K340" s="11">
        <f>CodePrefix&amp;$A340&amp;IF($C340="","","."&amp;$C340&amp;"."&amp;$B340)&amp;INDEX(VarEnd,MATCH($A340,VarKey,0))&amp;K$5</f>
        <v/>
      </c>
      <c r="L340" s="23">
        <f>IF($D340="",1,L336*L$9*IF(L$4&gt;Settings!$C$10,CHOOSE(L$332,1,$E340,$F340),1))</f>
        <v/>
      </c>
      <c r="M340" s="24">
        <f>IF($D340="",1,M336*M$9*IF(M$4&gt;Settings!$C$10,CHOOSE(M$332,1,$E340,$F340),1))</f>
        <v/>
      </c>
      <c r="N340" s="24">
        <f>IF($D340="",1,N336*N$9*IF(N$4&gt;Settings!$C$10,CHOOSE(N$332,1,$E340,$F340),1))</f>
        <v/>
      </c>
      <c r="O340" s="24">
        <f>IF($D340="",1,O336*O$9*IF(O$4&gt;Settings!$C$10,CHOOSE(O$332,1,$E340,$F340),1))</f>
        <v/>
      </c>
      <c r="P340" s="24">
        <f>IF($D340="",1,P336*P$9*IF(P$4&gt;Settings!$C$10,CHOOSE(P$332,1,$E340,$F340),1))</f>
        <v/>
      </c>
      <c r="Q340" s="24">
        <f>IF($D340="",1,Q336*Q$9*IF(Q$4&gt;Settings!$C$10,CHOOSE(Q$332,1,$E340,$F340),1))</f>
        <v/>
      </c>
      <c r="R340" s="24">
        <f>IF($D340="",1,R336*R$9*IF(R$4&gt;Settings!$C$10,CHOOSE(R$332,1,$E340,$F340),1))</f>
        <v/>
      </c>
      <c r="S340" s="24">
        <f>IF($D340="",1,S336*S$9*IF(S$4&gt;Settings!$C$10,CHOOSE(S$332,1,$E340,$F340),1))</f>
        <v/>
      </c>
      <c r="T340" s="24">
        <f>IF($D340="",1,T336*T$9*IF(T$4&gt;Settings!$C$10,CHOOSE(T$332,1,$E340,$F340),1))</f>
        <v/>
      </c>
      <c r="U340" s="24">
        <f>IF($D340="",1,U336*U$9*IF(U$4&gt;Settings!$C$10,CHOOSE(U$332,1,$E340,$F340),1))</f>
        <v/>
      </c>
      <c r="V340" s="24">
        <f>IF($D340="",1,V336*V$9*IF(V$4&gt;Settings!$C$10,CHOOSE(V$332,1,$E340,$F340),1))</f>
        <v/>
      </c>
      <c r="W340" s="24">
        <f>IF($D340="",1,W336*W$9*IF(W$4&gt;Settings!$C$10,CHOOSE(W$332,1,$E340,$F340),1))</f>
        <v/>
      </c>
      <c r="X340" s="24">
        <f>IF($D340="",1,X336*X$9*IF(X$4&gt;Settings!$C$10,CHOOSE(X$332,1,$E340,$F340),1))</f>
        <v/>
      </c>
      <c r="Y340" s="24">
        <f>IF($D340="",1,Y336*Y$9*IF(Y$4&gt;Settings!$C$10,CHOOSE(Y$332,1,$E340,$F340),1))</f>
        <v/>
      </c>
      <c r="Z340" s="24">
        <f>IF($D340="",1,Z336*Z$9*IF(Z$4&gt;Settings!$C$10,CHOOSE(Z$332,1,$E340,$F340),1))</f>
        <v/>
      </c>
      <c r="AA340" s="24">
        <f>IF($D340="",1,AA336*AA$9*IF(AA$4&gt;Settings!$C$10,CHOOSE(AA$332,1,$E340,$F340),1))</f>
        <v/>
      </c>
      <c r="AB340" s="24">
        <f>IF($D340="",1,AB336*AB$9*IF(AB$4&gt;Settings!$C$10,CHOOSE(AB$332,1,$E340,$F340),1))</f>
        <v/>
      </c>
      <c r="AC340" s="24">
        <f>IF($D340="",1,AC336*AC$9*IF(AC$4&gt;Settings!$C$10,CHOOSE(AC$332,1,$E340,$F340),1))</f>
        <v/>
      </c>
      <c r="AD340" s="24">
        <f>IF($D340="",1,AD336*AD$9*IF(AD$4&gt;Settings!$C$10,CHOOSE(AD$332,1,$E340,$F340),1))</f>
        <v/>
      </c>
      <c r="AE340" s="24">
        <f>IF($D340="",1,AE336*AE$9*IF(AE$4&gt;Settings!$C$10,CHOOSE(AE$332,1,$E340,$F340),1))</f>
        <v/>
      </c>
      <c r="AG340" s="11">
        <f>CodePrefix&amp;$A340&amp;IF($C340="","","."&amp;$C340&amp;"."&amp;$B340)&amp;INDEX(VarEnd,MATCH($A340,VarKey,0))&amp;AG$5</f>
        <v/>
      </c>
      <c r="AH340" s="23">
        <f>IF($D340="",1,AH336*AH$9*IF(AH$4&gt;Settings!$C$10,CHOOSE(AH$332,1,$E340,$F340),1))</f>
        <v/>
      </c>
      <c r="AI340" s="24">
        <f>IF($D340="",1,AI336*AI$9*IF(AI$4&gt;Settings!$C$10,CHOOSE(AI$332,1,$E340,$F340),1))</f>
        <v/>
      </c>
      <c r="AJ340" s="24">
        <f>IF($D340="",1,AJ336*AJ$9*IF(AJ$4&gt;Settings!$C$10,CHOOSE(AJ$332,1,$E340,$F340),1))</f>
        <v/>
      </c>
      <c r="AK340" s="24">
        <f>IF($D340="",1,AK336*AK$9*IF(AK$4&gt;Settings!$C$10,CHOOSE(AK$332,1,$E340,$F340),1))</f>
        <v/>
      </c>
      <c r="AL340" s="24">
        <f>IF($D340="",1,AL336*AL$9*IF(AL$4&gt;Settings!$C$10,CHOOSE(AL$332,1,$E340,$F340),1))</f>
        <v/>
      </c>
      <c r="AM340" s="24">
        <f>IF($D340="",1,AM336*AM$9*IF(AM$4&gt;Settings!$C$10,CHOOSE(AM$332,1,$E340,$F340),1))</f>
        <v/>
      </c>
      <c r="AN340" s="24">
        <f>IF($D340="",1,AN336*AN$9*IF(AN$4&gt;Settings!$C$10,CHOOSE(AN$332,1,$E340,$F340),1))</f>
        <v/>
      </c>
      <c r="AO340" s="24">
        <f>IF($D340="",1,AO336*AO$9*IF(AO$4&gt;Settings!$C$10,CHOOSE(AO$332,1,$E340,$F340),1))</f>
        <v/>
      </c>
      <c r="AP340" s="24">
        <f>IF($D340="",1,AP336*AP$9*IF(AP$4&gt;Settings!$C$10,CHOOSE(AP$332,1,$E340,$F340),1))</f>
        <v/>
      </c>
      <c r="AQ340" s="24">
        <f>IF($D340="",1,AQ336*AQ$9*IF(AQ$4&gt;Settings!$C$10,CHOOSE(AQ$332,1,$E340,$F340),1))</f>
        <v/>
      </c>
      <c r="AR340" s="24">
        <f>IF($D340="",1,AR336*AR$9*IF(AR$4&gt;Settings!$C$10,CHOOSE(AR$332,1,$E340,$F340),1))</f>
        <v/>
      </c>
      <c r="AS340" s="24">
        <f>IF($D340="",1,AS336*AS$9*IF(AS$4&gt;Settings!$C$10,CHOOSE(AS$332,1,$E340,$F340),1))</f>
        <v/>
      </c>
      <c r="AT340" s="24">
        <f>IF($D340="",1,AT336*AT$9*IF(AT$4&gt;Settings!$C$10,CHOOSE(AT$332,1,$E340,$F340),1))</f>
        <v/>
      </c>
      <c r="AU340" s="24">
        <f>IF($D340="",1,AU336*AU$9*IF(AU$4&gt;Settings!$C$10,CHOOSE(AU$332,1,$E340,$F340),1))</f>
        <v/>
      </c>
      <c r="AV340" s="24">
        <f>IF($D340="",1,AV336*AV$9*IF(AV$4&gt;Settings!$C$10,CHOOSE(AV$332,1,$E340,$F340),1))</f>
        <v/>
      </c>
      <c r="AW340" s="24">
        <f>IF($D340="",1,AW336*AW$9*IF(AW$4&gt;Settings!$C$10,CHOOSE(AW$332,1,$E340,$F340),1))</f>
        <v/>
      </c>
      <c r="AX340" s="24">
        <f>IF($D340="",1,AX336*AX$9*IF(AX$4&gt;Settings!$C$10,CHOOSE(AX$332,1,$E340,$F340),1))</f>
        <v/>
      </c>
      <c r="AY340" s="24">
        <f>IF($D340="",1,AY336*AY$9*IF(AY$4&gt;Settings!$C$10,CHOOSE(AY$332,1,$E340,$F340),1))</f>
        <v/>
      </c>
      <c r="AZ340" s="24">
        <f>IF($D340="",1,AZ336*AZ$9*IF(AZ$4&gt;Settings!$C$10,CHOOSE(AZ$332,1,$E340,$F340),1))</f>
        <v/>
      </c>
      <c r="BA340" s="24">
        <f>IF($D340="",1,BA336*BA$9*IF(BA$4&gt;Settings!$C$10,CHOOSE(BA$332,1,$E340,$F340),1))</f>
        <v/>
      </c>
    </row>
    <row r="341" hidden="1" outlineLevel="1">
      <c r="H341" s="21" t="inlineStr">
        <is>
          <t>Domestic prices by price fuel: supply cost sp, excise and other taxes txo, retail price before new policies rpb</t>
        </is>
      </c>
    </row>
    <row r="342" hidden="1" outlineLevel="1">
      <c r="A342" s="14" t="inlineStr">
        <is>
          <t>sp</t>
        </is>
      </c>
      <c r="B342" s="14" t="inlineStr">
        <is>
          <t>coa</t>
        </is>
      </c>
      <c r="C342" s="14" t="inlineStr">
        <is>
          <t>pow</t>
        </is>
      </c>
      <c r="D342" s="35">
        <f>INDEX(Inputs_prices!$O$7:$O$18,MATCH($B342&amp;"."&amp;$C342,Inputs_prices!$A$7:$A$18,0))</f>
        <v/>
      </c>
      <c r="E342" s="35">
        <f>INDEX(Inputs_prices!$F$7:$F$18,MATCH($B342&amp;"."&amp;$C342,Inputs_prices!$A$7:$A$18,0))</f>
        <v/>
      </c>
      <c r="F342" s="35">
        <f>INDEX(Inputs_prices!$E$7:$E$18,MATCH($B342&amp;"."&amp;$C342,Inputs_prices!$A$7:$A$18,0))</f>
        <v/>
      </c>
      <c r="G342" s="39" t="n"/>
      <c r="H342" s="14">
        <f>INDEX(VarLab,MATCH($A342,VarKey,0))&amp;INDEX(MemLab,MATCH($C342&amp;"|"&amp;$B342,MemKey,0))</f>
        <v/>
      </c>
      <c r="I342" s="14">
        <f>INDEX(VarUnit,MATCH($A342,VarKey,0))</f>
        <v/>
      </c>
      <c r="J342" s="14">
        <f>INDEX(VarSrc,MATCH($A342,VarKey,0))</f>
        <v/>
      </c>
      <c r="K342" s="11">
        <f>CodePrefix&amp;$A342&amp;IF($C342="","","."&amp;$C342&amp;"."&amp;$B342)&amp;INDEX(VarEnd,MATCH($A342,VarKey,0))&amp;K$5</f>
        <v/>
      </c>
      <c r="L342" s="40">
        <f>INDEX(Inputs_prices!$U$7:$X$18,$F342,MATCH(L$4,Inputs_prices!$U$6:$X$6,0))</f>
        <v/>
      </c>
      <c r="M342" s="41">
        <f>INDEX(Inputs_prices!$U$7:$X$18,$F342,MATCH(M$4,Inputs_prices!$U$6:$X$6,0))</f>
        <v/>
      </c>
      <c r="N342" s="41">
        <f>INDEX(Inputs_prices!$U$7:$X$18,$F342,MATCH(N$4,Inputs_prices!$U$6:$X$6,0))</f>
        <v/>
      </c>
      <c r="O342" s="35">
        <f>$D342+(N342-$D342)*INDEX(O$337:O$340,$E342)/INDEX(N$337:N$340,$E342)</f>
        <v/>
      </c>
      <c r="P342" s="35">
        <f>$D342+(O342-$D342)*INDEX(P$337:P$340,$E342)/INDEX(O$337:O$340,$E342)</f>
        <v/>
      </c>
      <c r="Q342" s="35">
        <f>$D342+(P342-$D342)*INDEX(Q$337:Q$340,$E342)/INDEX(P$337:P$340,$E342)</f>
        <v/>
      </c>
      <c r="R342" s="35">
        <f>$D342+(Q342-$D342)*INDEX(R$337:R$340,$E342)/INDEX(Q$337:Q$340,$E342)</f>
        <v/>
      </c>
      <c r="S342" s="35">
        <f>$D342+(R342-$D342)*INDEX(S$337:S$340,$E342)/INDEX(R$337:R$340,$E342)</f>
        <v/>
      </c>
      <c r="T342" s="35">
        <f>$D342+(S342-$D342)*INDEX(T$337:T$340,$E342)/INDEX(S$337:S$340,$E342)</f>
        <v/>
      </c>
      <c r="U342" s="35">
        <f>$D342+(T342-$D342)*INDEX(U$337:U$340,$E342)/INDEX(T$337:T$340,$E342)</f>
        <v/>
      </c>
      <c r="V342" s="35">
        <f>$D342+(U342-$D342)*INDEX(V$337:V$340,$E342)/INDEX(U$337:U$340,$E342)</f>
        <v/>
      </c>
      <c r="W342" s="35">
        <f>$D342+(V342-$D342)*INDEX(W$337:W$340,$E342)/INDEX(V$337:V$340,$E342)</f>
        <v/>
      </c>
      <c r="X342" s="35">
        <f>$D342+(W342-$D342)*INDEX(X$337:X$340,$E342)/INDEX(W$337:W$340,$E342)</f>
        <v/>
      </c>
      <c r="Y342" s="35">
        <f>$D342+(X342-$D342)*INDEX(Y$337:Y$340,$E342)/INDEX(X$337:X$340,$E342)</f>
        <v/>
      </c>
      <c r="Z342" s="35">
        <f>$D342+(Y342-$D342)*INDEX(Z$337:Z$340,$E342)/INDEX(Y$337:Y$340,$E342)</f>
        <v/>
      </c>
      <c r="AA342" s="35">
        <f>$D342+(Z342-$D342)*INDEX(AA$337:AA$340,$E342)/INDEX(Z$337:Z$340,$E342)</f>
        <v/>
      </c>
      <c r="AB342" s="35">
        <f>$D342+(AA342-$D342)*INDEX(AB$337:AB$340,$E342)/INDEX(AA$337:AA$340,$E342)</f>
        <v/>
      </c>
      <c r="AC342" s="35">
        <f>$D342+(AB342-$D342)*INDEX(AC$337:AC$340,$E342)/INDEX(AB$337:AB$340,$E342)</f>
        <v/>
      </c>
      <c r="AD342" s="35">
        <f>$D342+(AC342-$D342)*INDEX(AD$337:AD$340,$E342)/INDEX(AC$337:AC$340,$E342)</f>
        <v/>
      </c>
      <c r="AE342" s="42">
        <f>SUPPLYCOST(AE$4,$F342,$D342,AD342,INDEX(AE$337:AE$340,$E342),INDEX(AD$337:AD$340,$E342))</f>
        <v/>
      </c>
      <c r="AG342" s="11">
        <f>CodePrefix&amp;$A342&amp;IF($C342="","","."&amp;$C342&amp;"."&amp;$B342)&amp;INDEX(VarEnd,MATCH($A342,VarKey,0))&amp;AG$5</f>
        <v/>
      </c>
      <c r="AH342" s="40">
        <f>INDEX(Inputs_prices!$U$7:$X$18,$F342,MATCH(AH$4,Inputs_prices!$U$6:$X$6,0))</f>
        <v/>
      </c>
      <c r="AI342" s="41">
        <f>INDEX(Inputs_prices!$U$7:$X$18,$F342,MATCH(AI$4,Inputs_prices!$U$6:$X$6,0))</f>
        <v/>
      </c>
      <c r="AJ342" s="41">
        <f>INDEX(Inputs_prices!$U$7:$X$18,$F342,MATCH(AJ$4,Inputs_prices!$U$6:$X$6,0))</f>
        <v/>
      </c>
      <c r="AK342" s="35">
        <f>$D342+(AJ342-$D342)*INDEX(AK$337:AK$340,$E342)/INDEX(AJ$337:AJ$340,$E342)</f>
        <v/>
      </c>
      <c r="AL342" s="35">
        <f>$D342+(AK342-$D342)*INDEX(AL$337:AL$340,$E342)/INDEX(AK$337:AK$340,$E342)</f>
        <v/>
      </c>
      <c r="AM342" s="35">
        <f>$D342+(AL342-$D342)*INDEX(AM$337:AM$340,$E342)/INDEX(AL$337:AL$340,$E342)</f>
        <v/>
      </c>
      <c r="AN342" s="35">
        <f>$D342+(AM342-$D342)*INDEX(AN$337:AN$340,$E342)/INDEX(AM$337:AM$340,$E342)</f>
        <v/>
      </c>
      <c r="AO342" s="35">
        <f>$D342+(AN342-$D342)*INDEX(AO$337:AO$340,$E342)/INDEX(AN$337:AN$340,$E342)</f>
        <v/>
      </c>
      <c r="AP342" s="35">
        <f>$D342+(AO342-$D342)*INDEX(AP$337:AP$340,$E342)/INDEX(AO$337:AO$340,$E342)</f>
        <v/>
      </c>
      <c r="AQ342" s="35">
        <f>$D342+(AP342-$D342)*INDEX(AQ$337:AQ$340,$E342)/INDEX(AP$337:AP$340,$E342)</f>
        <v/>
      </c>
      <c r="AR342" s="35">
        <f>$D342+(AQ342-$D342)*INDEX(AR$337:AR$340,$E342)/INDEX(AQ$337:AQ$340,$E342)</f>
        <v/>
      </c>
      <c r="AS342" s="35">
        <f>$D342+(AR342-$D342)*INDEX(AS$337:AS$340,$E342)/INDEX(AR$337:AR$340,$E342)</f>
        <v/>
      </c>
      <c r="AT342" s="35">
        <f>$D342+(AS342-$D342)*INDEX(AT$337:AT$340,$E342)/INDEX(AS$337:AS$340,$E342)</f>
        <v/>
      </c>
      <c r="AU342" s="35">
        <f>$D342+(AT342-$D342)*INDEX(AU$337:AU$340,$E342)/INDEX(AT$337:AT$340,$E342)</f>
        <v/>
      </c>
      <c r="AV342" s="35">
        <f>$D342+(AU342-$D342)*INDEX(AV$337:AV$340,$E342)/INDEX(AU$337:AU$340,$E342)</f>
        <v/>
      </c>
      <c r="AW342" s="35">
        <f>$D342+(AV342-$D342)*INDEX(AW$337:AW$340,$E342)/INDEX(AV$337:AV$340,$E342)</f>
        <v/>
      </c>
      <c r="AX342" s="35">
        <f>$D342+(AW342-$D342)*INDEX(AX$337:AX$340,$E342)/INDEX(AW$337:AW$340,$E342)</f>
        <v/>
      </c>
      <c r="AY342" s="35">
        <f>$D342+(AX342-$D342)*INDEX(AY$337:AY$340,$E342)/INDEX(AX$337:AX$340,$E342)</f>
        <v/>
      </c>
      <c r="AZ342" s="35">
        <f>$D342+(AY342-$D342)*INDEX(AZ$337:AZ$340,$E342)/INDEX(AY$337:AY$340,$E342)</f>
        <v/>
      </c>
      <c r="BA342" s="42">
        <f>SUPPLYCOST(BA$4,$F342,$D342,AZ342,INDEX(BA$337:BA$340,$E342),INDEX(AZ$337:AZ$340,$E342))</f>
        <v/>
      </c>
    </row>
    <row r="343" hidden="1" outlineLevel="1">
      <c r="A343" s="14" t="inlineStr">
        <is>
          <t>sp</t>
        </is>
      </c>
      <c r="B343" s="14" t="inlineStr">
        <is>
          <t>coa</t>
        </is>
      </c>
      <c r="C343" s="14" t="inlineStr">
        <is>
          <t>res</t>
        </is>
      </c>
      <c r="D343" s="35">
        <f>INDEX(Inputs_prices!$O$7:$O$18,MATCH($B343&amp;"."&amp;$C343,Inputs_prices!$A$7:$A$18,0))</f>
        <v/>
      </c>
      <c r="E343" s="35">
        <f>INDEX(Inputs_prices!$F$7:$F$18,MATCH($B343&amp;"."&amp;$C343,Inputs_prices!$A$7:$A$18,0))</f>
        <v/>
      </c>
      <c r="F343" s="35">
        <f>INDEX(Inputs_prices!$E$7:$E$18,MATCH($B343&amp;"."&amp;$C343,Inputs_prices!$A$7:$A$18,0))</f>
        <v/>
      </c>
      <c r="G343" s="39" t="n"/>
      <c r="H343" s="14">
        <f>INDEX(VarLab,MATCH($A343,VarKey,0))&amp;INDEX(MemLab,MATCH($C343&amp;"|"&amp;$B343,MemKey,0))</f>
        <v/>
      </c>
      <c r="I343" s="14">
        <f>INDEX(VarUnit,MATCH($A343,VarKey,0))</f>
        <v/>
      </c>
      <c r="J343" s="14">
        <f>INDEX(VarSrc,MATCH($A343,VarKey,0))</f>
        <v/>
      </c>
      <c r="K343" s="11">
        <f>CodePrefix&amp;$A343&amp;IF($C343="","","."&amp;$C343&amp;"."&amp;$B343)&amp;INDEX(VarEnd,MATCH($A343,VarKey,0))&amp;K$5</f>
        <v/>
      </c>
      <c r="L343" s="40">
        <f>INDEX(Inputs_prices!$U$7:$X$18,$F343,MATCH(L$4,Inputs_prices!$U$6:$X$6,0))</f>
        <v/>
      </c>
      <c r="M343" s="41">
        <f>INDEX(Inputs_prices!$U$7:$X$18,$F343,MATCH(M$4,Inputs_prices!$U$6:$X$6,0))</f>
        <v/>
      </c>
      <c r="N343" s="41">
        <f>INDEX(Inputs_prices!$U$7:$X$18,$F343,MATCH(N$4,Inputs_prices!$U$6:$X$6,0))</f>
        <v/>
      </c>
      <c r="O343" s="35">
        <f>$D343+(N343-$D343)*INDEX(O$337:O$340,$E343)/INDEX(N$337:N$340,$E343)</f>
        <v/>
      </c>
      <c r="P343" s="35">
        <f>$D343+(O343-$D343)*INDEX(P$337:P$340,$E343)/INDEX(O$337:O$340,$E343)</f>
        <v/>
      </c>
      <c r="Q343" s="35">
        <f>$D343+(P343-$D343)*INDEX(Q$337:Q$340,$E343)/INDEX(P$337:P$340,$E343)</f>
        <v/>
      </c>
      <c r="R343" s="35">
        <f>$D343+(Q343-$D343)*INDEX(R$337:R$340,$E343)/INDEX(Q$337:Q$340,$E343)</f>
        <v/>
      </c>
      <c r="S343" s="35">
        <f>$D343+(R343-$D343)*INDEX(S$337:S$340,$E343)/INDEX(R$337:R$340,$E343)</f>
        <v/>
      </c>
      <c r="T343" s="35">
        <f>$D343+(S343-$D343)*INDEX(T$337:T$340,$E343)/INDEX(S$337:S$340,$E343)</f>
        <v/>
      </c>
      <c r="U343" s="35">
        <f>$D343+(T343-$D343)*INDEX(U$337:U$340,$E343)/INDEX(T$337:T$340,$E343)</f>
        <v/>
      </c>
      <c r="V343" s="35">
        <f>$D343+(U343-$D343)*INDEX(V$337:V$340,$E343)/INDEX(U$337:U$340,$E343)</f>
        <v/>
      </c>
      <c r="W343" s="35">
        <f>$D343+(V343-$D343)*INDEX(W$337:W$340,$E343)/INDEX(V$337:V$340,$E343)</f>
        <v/>
      </c>
      <c r="X343" s="35">
        <f>$D343+(W343-$D343)*INDEX(X$337:X$340,$E343)/INDEX(W$337:W$340,$E343)</f>
        <v/>
      </c>
      <c r="Y343" s="35">
        <f>$D343+(X343-$D343)*INDEX(Y$337:Y$340,$E343)/INDEX(X$337:X$340,$E343)</f>
        <v/>
      </c>
      <c r="Z343" s="35">
        <f>$D343+(Y343-$D343)*INDEX(Z$337:Z$340,$E343)/INDEX(Y$337:Y$340,$E343)</f>
        <v/>
      </c>
      <c r="AA343" s="35">
        <f>$D343+(Z343-$D343)*INDEX(AA$337:AA$340,$E343)/INDEX(Z$337:Z$340,$E343)</f>
        <v/>
      </c>
      <c r="AB343" s="35">
        <f>$D343+(AA343-$D343)*INDEX(AB$337:AB$340,$E343)/INDEX(AA$337:AA$340,$E343)</f>
        <v/>
      </c>
      <c r="AC343" s="35">
        <f>$D343+(AB343-$D343)*INDEX(AC$337:AC$340,$E343)/INDEX(AB$337:AB$340,$E343)</f>
        <v/>
      </c>
      <c r="AD343" s="35">
        <f>$D343+(AC343-$D343)*INDEX(AD$337:AD$340,$E343)/INDEX(AC$337:AC$340,$E343)</f>
        <v/>
      </c>
      <c r="AE343" s="42">
        <f>SUPPLYCOST(AE$4,$F343,$D343,AD343,INDEX(AE$337:AE$340,$E343),INDEX(AD$337:AD$340,$E343))</f>
        <v/>
      </c>
      <c r="AG343" s="11">
        <f>CodePrefix&amp;$A343&amp;IF($C343="","","."&amp;$C343&amp;"."&amp;$B343)&amp;INDEX(VarEnd,MATCH($A343,VarKey,0))&amp;AG$5</f>
        <v/>
      </c>
      <c r="AH343" s="40">
        <f>INDEX(Inputs_prices!$U$7:$X$18,$F343,MATCH(AH$4,Inputs_prices!$U$6:$X$6,0))</f>
        <v/>
      </c>
      <c r="AI343" s="41">
        <f>INDEX(Inputs_prices!$U$7:$X$18,$F343,MATCH(AI$4,Inputs_prices!$U$6:$X$6,0))</f>
        <v/>
      </c>
      <c r="AJ343" s="41">
        <f>INDEX(Inputs_prices!$U$7:$X$18,$F343,MATCH(AJ$4,Inputs_prices!$U$6:$X$6,0))</f>
        <v/>
      </c>
      <c r="AK343" s="35">
        <f>$D343+(AJ343-$D343)*INDEX(AK$337:AK$340,$E343)/INDEX(AJ$337:AJ$340,$E343)</f>
        <v/>
      </c>
      <c r="AL343" s="35">
        <f>$D343+(AK343-$D343)*INDEX(AL$337:AL$340,$E343)/INDEX(AK$337:AK$340,$E343)</f>
        <v/>
      </c>
      <c r="AM343" s="35">
        <f>$D343+(AL343-$D343)*INDEX(AM$337:AM$340,$E343)/INDEX(AL$337:AL$340,$E343)</f>
        <v/>
      </c>
      <c r="AN343" s="35">
        <f>$D343+(AM343-$D343)*INDEX(AN$337:AN$340,$E343)/INDEX(AM$337:AM$340,$E343)</f>
        <v/>
      </c>
      <c r="AO343" s="35">
        <f>$D343+(AN343-$D343)*INDEX(AO$337:AO$340,$E343)/INDEX(AN$337:AN$340,$E343)</f>
        <v/>
      </c>
      <c r="AP343" s="35">
        <f>$D343+(AO343-$D343)*INDEX(AP$337:AP$340,$E343)/INDEX(AO$337:AO$340,$E343)</f>
        <v/>
      </c>
      <c r="AQ343" s="35">
        <f>$D343+(AP343-$D343)*INDEX(AQ$337:AQ$340,$E343)/INDEX(AP$337:AP$340,$E343)</f>
        <v/>
      </c>
      <c r="AR343" s="35">
        <f>$D343+(AQ343-$D343)*INDEX(AR$337:AR$340,$E343)/INDEX(AQ$337:AQ$340,$E343)</f>
        <v/>
      </c>
      <c r="AS343" s="35">
        <f>$D343+(AR343-$D343)*INDEX(AS$337:AS$340,$E343)/INDEX(AR$337:AR$340,$E343)</f>
        <v/>
      </c>
      <c r="AT343" s="35">
        <f>$D343+(AS343-$D343)*INDEX(AT$337:AT$340,$E343)/INDEX(AS$337:AS$340,$E343)</f>
        <v/>
      </c>
      <c r="AU343" s="35">
        <f>$D343+(AT343-$D343)*INDEX(AU$337:AU$340,$E343)/INDEX(AT$337:AT$340,$E343)</f>
        <v/>
      </c>
      <c r="AV343" s="35">
        <f>$D343+(AU343-$D343)*INDEX(AV$337:AV$340,$E343)/INDEX(AU$337:AU$340,$E343)</f>
        <v/>
      </c>
      <c r="AW343" s="35">
        <f>$D343+(AV343-$D343)*INDEX(AW$337:AW$340,$E343)/INDEX(AV$337:AV$340,$E343)</f>
        <v/>
      </c>
      <c r="AX343" s="35">
        <f>$D343+(AW343-$D343)*INDEX(AX$337:AX$340,$E343)/INDEX(AW$337:AW$340,$E343)</f>
        <v/>
      </c>
      <c r="AY343" s="35">
        <f>$D343+(AX343-$D343)*INDEX(AY$337:AY$340,$E343)/INDEX(AX$337:AX$340,$E343)</f>
        <v/>
      </c>
      <c r="AZ343" s="35">
        <f>$D343+(AY343-$D343)*INDEX(AZ$337:AZ$340,$E343)/INDEX(AY$337:AY$340,$E343)</f>
        <v/>
      </c>
      <c r="BA343" s="42">
        <f>SUPPLYCOST(BA$4,$F343,$D343,AZ343,INDEX(BA$337:BA$340,$E343),INDEX(AZ$337:AZ$340,$E343))</f>
        <v/>
      </c>
    </row>
    <row r="344" hidden="1" outlineLevel="1">
      <c r="A344" s="14" t="inlineStr">
        <is>
          <t>sp</t>
        </is>
      </c>
      <c r="B344" s="14" t="inlineStr">
        <is>
          <t>coa</t>
        </is>
      </c>
      <c r="C344" s="14" t="inlineStr">
        <is>
          <t>ind</t>
        </is>
      </c>
      <c r="D344" s="35">
        <f>INDEX(Inputs_prices!$O$7:$O$18,MATCH($B344&amp;"."&amp;$C344,Inputs_prices!$A$7:$A$18,0))</f>
        <v/>
      </c>
      <c r="E344" s="35">
        <f>INDEX(Inputs_prices!$F$7:$F$18,MATCH($B344&amp;"."&amp;$C344,Inputs_prices!$A$7:$A$18,0))</f>
        <v/>
      </c>
      <c r="F344" s="35">
        <f>INDEX(Inputs_prices!$E$7:$E$18,MATCH($B344&amp;"."&amp;$C344,Inputs_prices!$A$7:$A$18,0))</f>
        <v/>
      </c>
      <c r="G344" s="39" t="n"/>
      <c r="H344" s="14">
        <f>INDEX(VarLab,MATCH($A344,VarKey,0))&amp;INDEX(MemLab,MATCH($C344&amp;"|"&amp;$B344,MemKey,0))</f>
        <v/>
      </c>
      <c r="I344" s="14">
        <f>INDEX(VarUnit,MATCH($A344,VarKey,0))</f>
        <v/>
      </c>
      <c r="J344" s="14">
        <f>INDEX(VarSrc,MATCH($A344,VarKey,0))</f>
        <v/>
      </c>
      <c r="K344" s="11">
        <f>CodePrefix&amp;$A344&amp;IF($C344="","","."&amp;$C344&amp;"."&amp;$B344)&amp;INDEX(VarEnd,MATCH($A344,VarKey,0))&amp;K$5</f>
        <v/>
      </c>
      <c r="L344" s="40">
        <f>INDEX(Inputs_prices!$U$7:$X$18,$F344,MATCH(L$4,Inputs_prices!$U$6:$X$6,0))</f>
        <v/>
      </c>
      <c r="M344" s="41">
        <f>INDEX(Inputs_prices!$U$7:$X$18,$F344,MATCH(M$4,Inputs_prices!$U$6:$X$6,0))</f>
        <v/>
      </c>
      <c r="N344" s="41">
        <f>INDEX(Inputs_prices!$U$7:$X$18,$F344,MATCH(N$4,Inputs_prices!$U$6:$X$6,0))</f>
        <v/>
      </c>
      <c r="O344" s="35">
        <f>$D344+(N344-$D344)*INDEX(O$337:O$340,$E344)/INDEX(N$337:N$340,$E344)</f>
        <v/>
      </c>
      <c r="P344" s="35">
        <f>$D344+(O344-$D344)*INDEX(P$337:P$340,$E344)/INDEX(O$337:O$340,$E344)</f>
        <v/>
      </c>
      <c r="Q344" s="35">
        <f>$D344+(P344-$D344)*INDEX(Q$337:Q$340,$E344)/INDEX(P$337:P$340,$E344)</f>
        <v/>
      </c>
      <c r="R344" s="35">
        <f>$D344+(Q344-$D344)*INDEX(R$337:R$340,$E344)/INDEX(Q$337:Q$340,$E344)</f>
        <v/>
      </c>
      <c r="S344" s="35">
        <f>$D344+(R344-$D344)*INDEX(S$337:S$340,$E344)/INDEX(R$337:R$340,$E344)</f>
        <v/>
      </c>
      <c r="T344" s="35">
        <f>$D344+(S344-$D344)*INDEX(T$337:T$340,$E344)/INDEX(S$337:S$340,$E344)</f>
        <v/>
      </c>
      <c r="U344" s="35">
        <f>$D344+(T344-$D344)*INDEX(U$337:U$340,$E344)/INDEX(T$337:T$340,$E344)</f>
        <v/>
      </c>
      <c r="V344" s="35">
        <f>$D344+(U344-$D344)*INDEX(V$337:V$340,$E344)/INDEX(U$337:U$340,$E344)</f>
        <v/>
      </c>
      <c r="W344" s="35">
        <f>$D344+(V344-$D344)*INDEX(W$337:W$340,$E344)/INDEX(V$337:V$340,$E344)</f>
        <v/>
      </c>
      <c r="X344" s="35">
        <f>$D344+(W344-$D344)*INDEX(X$337:X$340,$E344)/INDEX(W$337:W$340,$E344)</f>
        <v/>
      </c>
      <c r="Y344" s="35">
        <f>$D344+(X344-$D344)*INDEX(Y$337:Y$340,$E344)/INDEX(X$337:X$340,$E344)</f>
        <v/>
      </c>
      <c r="Z344" s="35">
        <f>$D344+(Y344-$D344)*INDEX(Z$337:Z$340,$E344)/INDEX(Y$337:Y$340,$E344)</f>
        <v/>
      </c>
      <c r="AA344" s="35">
        <f>$D344+(Z344-$D344)*INDEX(AA$337:AA$340,$E344)/INDEX(Z$337:Z$340,$E344)</f>
        <v/>
      </c>
      <c r="AB344" s="35">
        <f>$D344+(AA344-$D344)*INDEX(AB$337:AB$340,$E344)/INDEX(AA$337:AA$340,$E344)</f>
        <v/>
      </c>
      <c r="AC344" s="35">
        <f>$D344+(AB344-$D344)*INDEX(AC$337:AC$340,$E344)/INDEX(AB$337:AB$340,$E344)</f>
        <v/>
      </c>
      <c r="AD344" s="35">
        <f>$D344+(AC344-$D344)*INDEX(AD$337:AD$340,$E344)/INDEX(AC$337:AC$340,$E344)</f>
        <v/>
      </c>
      <c r="AE344" s="42">
        <f>SUPPLYCOST(AE$4,$F344,$D344,AD344,INDEX(AE$337:AE$340,$E344),INDEX(AD$337:AD$340,$E344))</f>
        <v/>
      </c>
      <c r="AG344" s="11">
        <f>CodePrefix&amp;$A344&amp;IF($C344="","","."&amp;$C344&amp;"."&amp;$B344)&amp;INDEX(VarEnd,MATCH($A344,VarKey,0))&amp;AG$5</f>
        <v/>
      </c>
      <c r="AH344" s="40">
        <f>INDEX(Inputs_prices!$U$7:$X$18,$F344,MATCH(AH$4,Inputs_prices!$U$6:$X$6,0))</f>
        <v/>
      </c>
      <c r="AI344" s="41">
        <f>INDEX(Inputs_prices!$U$7:$X$18,$F344,MATCH(AI$4,Inputs_prices!$U$6:$X$6,0))</f>
        <v/>
      </c>
      <c r="AJ344" s="41">
        <f>INDEX(Inputs_prices!$U$7:$X$18,$F344,MATCH(AJ$4,Inputs_prices!$U$6:$X$6,0))</f>
        <v/>
      </c>
      <c r="AK344" s="35">
        <f>$D344+(AJ344-$D344)*INDEX(AK$337:AK$340,$E344)/INDEX(AJ$337:AJ$340,$E344)</f>
        <v/>
      </c>
      <c r="AL344" s="35">
        <f>$D344+(AK344-$D344)*INDEX(AL$337:AL$340,$E344)/INDEX(AK$337:AK$340,$E344)</f>
        <v/>
      </c>
      <c r="AM344" s="35">
        <f>$D344+(AL344-$D344)*INDEX(AM$337:AM$340,$E344)/INDEX(AL$337:AL$340,$E344)</f>
        <v/>
      </c>
      <c r="AN344" s="35">
        <f>$D344+(AM344-$D344)*INDEX(AN$337:AN$340,$E344)/INDEX(AM$337:AM$340,$E344)</f>
        <v/>
      </c>
      <c r="AO344" s="35">
        <f>$D344+(AN344-$D344)*INDEX(AO$337:AO$340,$E344)/INDEX(AN$337:AN$340,$E344)</f>
        <v/>
      </c>
      <c r="AP344" s="35">
        <f>$D344+(AO344-$D344)*INDEX(AP$337:AP$340,$E344)/INDEX(AO$337:AO$340,$E344)</f>
        <v/>
      </c>
      <c r="AQ344" s="35">
        <f>$D344+(AP344-$D344)*INDEX(AQ$337:AQ$340,$E344)/INDEX(AP$337:AP$340,$E344)</f>
        <v/>
      </c>
      <c r="AR344" s="35">
        <f>$D344+(AQ344-$D344)*INDEX(AR$337:AR$340,$E344)/INDEX(AQ$337:AQ$340,$E344)</f>
        <v/>
      </c>
      <c r="AS344" s="35">
        <f>$D344+(AR344-$D344)*INDEX(AS$337:AS$340,$E344)/INDEX(AR$337:AR$340,$E344)</f>
        <v/>
      </c>
      <c r="AT344" s="35">
        <f>$D344+(AS344-$D344)*INDEX(AT$337:AT$340,$E344)/INDEX(AS$337:AS$340,$E344)</f>
        <v/>
      </c>
      <c r="AU344" s="35">
        <f>$D344+(AT344-$D344)*INDEX(AU$337:AU$340,$E344)/INDEX(AT$337:AT$340,$E344)</f>
        <v/>
      </c>
      <c r="AV344" s="35">
        <f>$D344+(AU344-$D344)*INDEX(AV$337:AV$340,$E344)/INDEX(AU$337:AU$340,$E344)</f>
        <v/>
      </c>
      <c r="AW344" s="35">
        <f>$D344+(AV344-$D344)*INDEX(AW$337:AW$340,$E344)/INDEX(AV$337:AV$340,$E344)</f>
        <v/>
      </c>
      <c r="AX344" s="35">
        <f>$D344+(AW344-$D344)*INDEX(AX$337:AX$340,$E344)/INDEX(AW$337:AW$340,$E344)</f>
        <v/>
      </c>
      <c r="AY344" s="35">
        <f>$D344+(AX344-$D344)*INDEX(AY$337:AY$340,$E344)/INDEX(AX$337:AX$340,$E344)</f>
        <v/>
      </c>
      <c r="AZ344" s="35">
        <f>$D344+(AY344-$D344)*INDEX(AZ$337:AZ$340,$E344)/INDEX(AY$337:AY$340,$E344)</f>
        <v/>
      </c>
      <c r="BA344" s="42">
        <f>SUPPLYCOST(BA$4,$F344,$D344,AZ344,INDEX(BA$337:BA$340,$E344),INDEX(AZ$337:AZ$340,$E344))</f>
        <v/>
      </c>
    </row>
    <row r="345" hidden="1" outlineLevel="1">
      <c r="A345" s="14" t="inlineStr">
        <is>
          <t>sp</t>
        </is>
      </c>
      <c r="B345" s="14" t="inlineStr">
        <is>
          <t>nga</t>
        </is>
      </c>
      <c r="C345" s="14" t="inlineStr">
        <is>
          <t>pow</t>
        </is>
      </c>
      <c r="D345" s="35">
        <f>INDEX(Inputs_prices!$O$7:$O$18,MATCH($B345&amp;"."&amp;$C345,Inputs_prices!$A$7:$A$18,0))</f>
        <v/>
      </c>
      <c r="E345" s="35">
        <f>INDEX(Inputs_prices!$F$7:$F$18,MATCH($B345&amp;"."&amp;$C345,Inputs_prices!$A$7:$A$18,0))</f>
        <v/>
      </c>
      <c r="F345" s="35">
        <f>INDEX(Inputs_prices!$E$7:$E$18,MATCH($B345&amp;"."&amp;$C345,Inputs_prices!$A$7:$A$18,0))</f>
        <v/>
      </c>
      <c r="G345" s="39" t="n"/>
      <c r="H345" s="14">
        <f>INDEX(VarLab,MATCH($A345,VarKey,0))&amp;INDEX(MemLab,MATCH($C345&amp;"|"&amp;$B345,MemKey,0))</f>
        <v/>
      </c>
      <c r="I345" s="14">
        <f>INDEX(VarUnit,MATCH($A345,VarKey,0))</f>
        <v/>
      </c>
      <c r="J345" s="14">
        <f>INDEX(VarSrc,MATCH($A345,VarKey,0))</f>
        <v/>
      </c>
      <c r="K345" s="11">
        <f>CodePrefix&amp;$A345&amp;IF($C345="","","."&amp;$C345&amp;"."&amp;$B345)&amp;INDEX(VarEnd,MATCH($A345,VarKey,0))&amp;K$5</f>
        <v/>
      </c>
      <c r="L345" s="40">
        <f>INDEX(Inputs_prices!$U$7:$X$18,$F345,MATCH(L$4,Inputs_prices!$U$6:$X$6,0))</f>
        <v/>
      </c>
      <c r="M345" s="41">
        <f>INDEX(Inputs_prices!$U$7:$X$18,$F345,MATCH(M$4,Inputs_prices!$U$6:$X$6,0))</f>
        <v/>
      </c>
      <c r="N345" s="41">
        <f>INDEX(Inputs_prices!$U$7:$X$18,$F345,MATCH(N$4,Inputs_prices!$U$6:$X$6,0))</f>
        <v/>
      </c>
      <c r="O345" s="35">
        <f>$D345+(N345-$D345)*INDEX(O$337:O$340,$E345)/INDEX(N$337:N$340,$E345)</f>
        <v/>
      </c>
      <c r="P345" s="35">
        <f>$D345+(O345-$D345)*INDEX(P$337:P$340,$E345)/INDEX(O$337:O$340,$E345)</f>
        <v/>
      </c>
      <c r="Q345" s="35">
        <f>$D345+(P345-$D345)*INDEX(Q$337:Q$340,$E345)/INDEX(P$337:P$340,$E345)</f>
        <v/>
      </c>
      <c r="R345" s="35">
        <f>$D345+(Q345-$D345)*INDEX(R$337:R$340,$E345)/INDEX(Q$337:Q$340,$E345)</f>
        <v/>
      </c>
      <c r="S345" s="35">
        <f>$D345+(R345-$D345)*INDEX(S$337:S$340,$E345)/INDEX(R$337:R$340,$E345)</f>
        <v/>
      </c>
      <c r="T345" s="35">
        <f>$D345+(S345-$D345)*INDEX(T$337:T$340,$E345)/INDEX(S$337:S$340,$E345)</f>
        <v/>
      </c>
      <c r="U345" s="35">
        <f>$D345+(T345-$D345)*INDEX(U$337:U$340,$E345)/INDEX(T$337:T$340,$E345)</f>
        <v/>
      </c>
      <c r="V345" s="35">
        <f>$D345+(U345-$D345)*INDEX(V$337:V$340,$E345)/INDEX(U$337:U$340,$E345)</f>
        <v/>
      </c>
      <c r="W345" s="35">
        <f>$D345+(V345-$D345)*INDEX(W$337:W$340,$E345)/INDEX(V$337:V$340,$E345)</f>
        <v/>
      </c>
      <c r="X345" s="35">
        <f>$D345+(W345-$D345)*INDEX(X$337:X$340,$E345)/INDEX(W$337:W$340,$E345)</f>
        <v/>
      </c>
      <c r="Y345" s="35">
        <f>$D345+(X345-$D345)*INDEX(Y$337:Y$340,$E345)/INDEX(X$337:X$340,$E345)</f>
        <v/>
      </c>
      <c r="Z345" s="35">
        <f>$D345+(Y345-$D345)*INDEX(Z$337:Z$340,$E345)/INDEX(Y$337:Y$340,$E345)</f>
        <v/>
      </c>
      <c r="AA345" s="35">
        <f>$D345+(Z345-$D345)*INDEX(AA$337:AA$340,$E345)/INDEX(Z$337:Z$340,$E345)</f>
        <v/>
      </c>
      <c r="AB345" s="35">
        <f>$D345+(AA345-$D345)*INDEX(AB$337:AB$340,$E345)/INDEX(AA$337:AA$340,$E345)</f>
        <v/>
      </c>
      <c r="AC345" s="35">
        <f>$D345+(AB345-$D345)*INDEX(AC$337:AC$340,$E345)/INDEX(AB$337:AB$340,$E345)</f>
        <v/>
      </c>
      <c r="AD345" s="35">
        <f>$D345+(AC345-$D345)*INDEX(AD$337:AD$340,$E345)/INDEX(AC$337:AC$340,$E345)</f>
        <v/>
      </c>
      <c r="AE345" s="42">
        <f>SUPPLYCOST(AE$4,$F345,$D345,AD345,INDEX(AE$337:AE$340,$E345),INDEX(AD$337:AD$340,$E345))</f>
        <v/>
      </c>
      <c r="AG345" s="11">
        <f>CodePrefix&amp;$A345&amp;IF($C345="","","."&amp;$C345&amp;"."&amp;$B345)&amp;INDEX(VarEnd,MATCH($A345,VarKey,0))&amp;AG$5</f>
        <v/>
      </c>
      <c r="AH345" s="40">
        <f>INDEX(Inputs_prices!$U$7:$X$18,$F345,MATCH(AH$4,Inputs_prices!$U$6:$X$6,0))</f>
        <v/>
      </c>
      <c r="AI345" s="41">
        <f>INDEX(Inputs_prices!$U$7:$X$18,$F345,MATCH(AI$4,Inputs_prices!$U$6:$X$6,0))</f>
        <v/>
      </c>
      <c r="AJ345" s="41">
        <f>INDEX(Inputs_prices!$U$7:$X$18,$F345,MATCH(AJ$4,Inputs_prices!$U$6:$X$6,0))</f>
        <v/>
      </c>
      <c r="AK345" s="35">
        <f>$D345+(AJ345-$D345)*INDEX(AK$337:AK$340,$E345)/INDEX(AJ$337:AJ$340,$E345)</f>
        <v/>
      </c>
      <c r="AL345" s="35">
        <f>$D345+(AK345-$D345)*INDEX(AL$337:AL$340,$E345)/INDEX(AK$337:AK$340,$E345)</f>
        <v/>
      </c>
      <c r="AM345" s="35">
        <f>$D345+(AL345-$D345)*INDEX(AM$337:AM$340,$E345)/INDEX(AL$337:AL$340,$E345)</f>
        <v/>
      </c>
      <c r="AN345" s="35">
        <f>$D345+(AM345-$D345)*INDEX(AN$337:AN$340,$E345)/INDEX(AM$337:AM$340,$E345)</f>
        <v/>
      </c>
      <c r="AO345" s="35">
        <f>$D345+(AN345-$D345)*INDEX(AO$337:AO$340,$E345)/INDEX(AN$337:AN$340,$E345)</f>
        <v/>
      </c>
      <c r="AP345" s="35">
        <f>$D345+(AO345-$D345)*INDEX(AP$337:AP$340,$E345)/INDEX(AO$337:AO$340,$E345)</f>
        <v/>
      </c>
      <c r="AQ345" s="35">
        <f>$D345+(AP345-$D345)*INDEX(AQ$337:AQ$340,$E345)/INDEX(AP$337:AP$340,$E345)</f>
        <v/>
      </c>
      <c r="AR345" s="35">
        <f>$D345+(AQ345-$D345)*INDEX(AR$337:AR$340,$E345)/INDEX(AQ$337:AQ$340,$E345)</f>
        <v/>
      </c>
      <c r="AS345" s="35">
        <f>$D345+(AR345-$D345)*INDEX(AS$337:AS$340,$E345)/INDEX(AR$337:AR$340,$E345)</f>
        <v/>
      </c>
      <c r="AT345" s="35">
        <f>$D345+(AS345-$D345)*INDEX(AT$337:AT$340,$E345)/INDEX(AS$337:AS$340,$E345)</f>
        <v/>
      </c>
      <c r="AU345" s="35">
        <f>$D345+(AT345-$D345)*INDEX(AU$337:AU$340,$E345)/INDEX(AT$337:AT$340,$E345)</f>
        <v/>
      </c>
      <c r="AV345" s="35">
        <f>$D345+(AU345-$D345)*INDEX(AV$337:AV$340,$E345)/INDEX(AU$337:AU$340,$E345)</f>
        <v/>
      </c>
      <c r="AW345" s="35">
        <f>$D345+(AV345-$D345)*INDEX(AW$337:AW$340,$E345)/INDEX(AV$337:AV$340,$E345)</f>
        <v/>
      </c>
      <c r="AX345" s="35">
        <f>$D345+(AW345-$D345)*INDEX(AX$337:AX$340,$E345)/INDEX(AW$337:AW$340,$E345)</f>
        <v/>
      </c>
      <c r="AY345" s="35">
        <f>$D345+(AX345-$D345)*INDEX(AY$337:AY$340,$E345)/INDEX(AX$337:AX$340,$E345)</f>
        <v/>
      </c>
      <c r="AZ345" s="35">
        <f>$D345+(AY345-$D345)*INDEX(AZ$337:AZ$340,$E345)/INDEX(AY$337:AY$340,$E345)</f>
        <v/>
      </c>
      <c r="BA345" s="42">
        <f>SUPPLYCOST(BA$4,$F345,$D345,AZ345,INDEX(BA$337:BA$340,$E345),INDEX(AZ$337:AZ$340,$E345))</f>
        <v/>
      </c>
    </row>
    <row r="346" hidden="1" outlineLevel="1">
      <c r="A346" s="14" t="inlineStr">
        <is>
          <t>sp</t>
        </is>
      </c>
      <c r="B346" s="14" t="inlineStr">
        <is>
          <t>nga</t>
        </is>
      </c>
      <c r="C346" s="14" t="inlineStr">
        <is>
          <t>res</t>
        </is>
      </c>
      <c r="D346" s="35">
        <f>INDEX(Inputs_prices!$O$7:$O$18,MATCH($B346&amp;"."&amp;$C346,Inputs_prices!$A$7:$A$18,0))</f>
        <v/>
      </c>
      <c r="E346" s="35">
        <f>INDEX(Inputs_prices!$F$7:$F$18,MATCH($B346&amp;"."&amp;$C346,Inputs_prices!$A$7:$A$18,0))</f>
        <v/>
      </c>
      <c r="F346" s="35">
        <f>INDEX(Inputs_prices!$E$7:$E$18,MATCH($B346&amp;"."&amp;$C346,Inputs_prices!$A$7:$A$18,0))</f>
        <v/>
      </c>
      <c r="G346" s="39" t="n"/>
      <c r="H346" s="14">
        <f>INDEX(VarLab,MATCH($A346,VarKey,0))&amp;INDEX(MemLab,MATCH($C346&amp;"|"&amp;$B346,MemKey,0))</f>
        <v/>
      </c>
      <c r="I346" s="14">
        <f>INDEX(VarUnit,MATCH($A346,VarKey,0))</f>
        <v/>
      </c>
      <c r="J346" s="14">
        <f>INDEX(VarSrc,MATCH($A346,VarKey,0))</f>
        <v/>
      </c>
      <c r="K346" s="11">
        <f>CodePrefix&amp;$A346&amp;IF($C346="","","."&amp;$C346&amp;"."&amp;$B346)&amp;INDEX(VarEnd,MATCH($A346,VarKey,0))&amp;K$5</f>
        <v/>
      </c>
      <c r="L346" s="40">
        <f>INDEX(Inputs_prices!$U$7:$X$18,$F346,MATCH(L$4,Inputs_prices!$U$6:$X$6,0))</f>
        <v/>
      </c>
      <c r="M346" s="41">
        <f>INDEX(Inputs_prices!$U$7:$X$18,$F346,MATCH(M$4,Inputs_prices!$U$6:$X$6,0))</f>
        <v/>
      </c>
      <c r="N346" s="41">
        <f>INDEX(Inputs_prices!$U$7:$X$18,$F346,MATCH(N$4,Inputs_prices!$U$6:$X$6,0))</f>
        <v/>
      </c>
      <c r="O346" s="35">
        <f>$D346+(N346-$D346)*INDEX(O$337:O$340,$E346)/INDEX(N$337:N$340,$E346)</f>
        <v/>
      </c>
      <c r="P346" s="35">
        <f>$D346+(O346-$D346)*INDEX(P$337:P$340,$E346)/INDEX(O$337:O$340,$E346)</f>
        <v/>
      </c>
      <c r="Q346" s="35">
        <f>$D346+(P346-$D346)*INDEX(Q$337:Q$340,$E346)/INDEX(P$337:P$340,$E346)</f>
        <v/>
      </c>
      <c r="R346" s="35">
        <f>$D346+(Q346-$D346)*INDEX(R$337:R$340,$E346)/INDEX(Q$337:Q$340,$E346)</f>
        <v/>
      </c>
      <c r="S346" s="35">
        <f>$D346+(R346-$D346)*INDEX(S$337:S$340,$E346)/INDEX(R$337:R$340,$E346)</f>
        <v/>
      </c>
      <c r="T346" s="35">
        <f>$D346+(S346-$D346)*INDEX(T$337:T$340,$E346)/INDEX(S$337:S$340,$E346)</f>
        <v/>
      </c>
      <c r="U346" s="35">
        <f>$D346+(T346-$D346)*INDEX(U$337:U$340,$E346)/INDEX(T$337:T$340,$E346)</f>
        <v/>
      </c>
      <c r="V346" s="35">
        <f>$D346+(U346-$D346)*INDEX(V$337:V$340,$E346)/INDEX(U$337:U$340,$E346)</f>
        <v/>
      </c>
      <c r="W346" s="35">
        <f>$D346+(V346-$D346)*INDEX(W$337:W$340,$E346)/INDEX(V$337:V$340,$E346)</f>
        <v/>
      </c>
      <c r="X346" s="35">
        <f>$D346+(W346-$D346)*INDEX(X$337:X$340,$E346)/INDEX(W$337:W$340,$E346)</f>
        <v/>
      </c>
      <c r="Y346" s="35">
        <f>$D346+(X346-$D346)*INDEX(Y$337:Y$340,$E346)/INDEX(X$337:X$340,$E346)</f>
        <v/>
      </c>
      <c r="Z346" s="35">
        <f>$D346+(Y346-$D346)*INDEX(Z$337:Z$340,$E346)/INDEX(Y$337:Y$340,$E346)</f>
        <v/>
      </c>
      <c r="AA346" s="35">
        <f>$D346+(Z346-$D346)*INDEX(AA$337:AA$340,$E346)/INDEX(Z$337:Z$340,$E346)</f>
        <v/>
      </c>
      <c r="AB346" s="35">
        <f>$D346+(AA346-$D346)*INDEX(AB$337:AB$340,$E346)/INDEX(AA$337:AA$340,$E346)</f>
        <v/>
      </c>
      <c r="AC346" s="35">
        <f>$D346+(AB346-$D346)*INDEX(AC$337:AC$340,$E346)/INDEX(AB$337:AB$340,$E346)</f>
        <v/>
      </c>
      <c r="AD346" s="35">
        <f>$D346+(AC346-$D346)*INDEX(AD$337:AD$340,$E346)/INDEX(AC$337:AC$340,$E346)</f>
        <v/>
      </c>
      <c r="AE346" s="42">
        <f>SUPPLYCOST(AE$4,$F346,$D346,AD346,INDEX(AE$337:AE$340,$E346),INDEX(AD$337:AD$340,$E346))</f>
        <v/>
      </c>
      <c r="AG346" s="11">
        <f>CodePrefix&amp;$A346&amp;IF($C346="","","."&amp;$C346&amp;"."&amp;$B346)&amp;INDEX(VarEnd,MATCH($A346,VarKey,0))&amp;AG$5</f>
        <v/>
      </c>
      <c r="AH346" s="40">
        <f>INDEX(Inputs_prices!$U$7:$X$18,$F346,MATCH(AH$4,Inputs_prices!$U$6:$X$6,0))</f>
        <v/>
      </c>
      <c r="AI346" s="41">
        <f>INDEX(Inputs_prices!$U$7:$X$18,$F346,MATCH(AI$4,Inputs_prices!$U$6:$X$6,0))</f>
        <v/>
      </c>
      <c r="AJ346" s="41">
        <f>INDEX(Inputs_prices!$U$7:$X$18,$F346,MATCH(AJ$4,Inputs_prices!$U$6:$X$6,0))</f>
        <v/>
      </c>
      <c r="AK346" s="35">
        <f>$D346+(AJ346-$D346)*INDEX(AK$337:AK$340,$E346)/INDEX(AJ$337:AJ$340,$E346)</f>
        <v/>
      </c>
      <c r="AL346" s="35">
        <f>$D346+(AK346-$D346)*INDEX(AL$337:AL$340,$E346)/INDEX(AK$337:AK$340,$E346)</f>
        <v/>
      </c>
      <c r="AM346" s="35">
        <f>$D346+(AL346-$D346)*INDEX(AM$337:AM$340,$E346)/INDEX(AL$337:AL$340,$E346)</f>
        <v/>
      </c>
      <c r="AN346" s="35">
        <f>$D346+(AM346-$D346)*INDEX(AN$337:AN$340,$E346)/INDEX(AM$337:AM$340,$E346)</f>
        <v/>
      </c>
      <c r="AO346" s="35">
        <f>$D346+(AN346-$D346)*INDEX(AO$337:AO$340,$E346)/INDEX(AN$337:AN$340,$E346)</f>
        <v/>
      </c>
      <c r="AP346" s="35">
        <f>$D346+(AO346-$D346)*INDEX(AP$337:AP$340,$E346)/INDEX(AO$337:AO$340,$E346)</f>
        <v/>
      </c>
      <c r="AQ346" s="35">
        <f>$D346+(AP346-$D346)*INDEX(AQ$337:AQ$340,$E346)/INDEX(AP$337:AP$340,$E346)</f>
        <v/>
      </c>
      <c r="AR346" s="35">
        <f>$D346+(AQ346-$D346)*INDEX(AR$337:AR$340,$E346)/INDEX(AQ$337:AQ$340,$E346)</f>
        <v/>
      </c>
      <c r="AS346" s="35">
        <f>$D346+(AR346-$D346)*INDEX(AS$337:AS$340,$E346)/INDEX(AR$337:AR$340,$E346)</f>
        <v/>
      </c>
      <c r="AT346" s="35">
        <f>$D346+(AS346-$D346)*INDEX(AT$337:AT$340,$E346)/INDEX(AS$337:AS$340,$E346)</f>
        <v/>
      </c>
      <c r="AU346" s="35">
        <f>$D346+(AT346-$D346)*INDEX(AU$337:AU$340,$E346)/INDEX(AT$337:AT$340,$E346)</f>
        <v/>
      </c>
      <c r="AV346" s="35">
        <f>$D346+(AU346-$D346)*INDEX(AV$337:AV$340,$E346)/INDEX(AU$337:AU$340,$E346)</f>
        <v/>
      </c>
      <c r="AW346" s="35">
        <f>$D346+(AV346-$D346)*INDEX(AW$337:AW$340,$E346)/INDEX(AV$337:AV$340,$E346)</f>
        <v/>
      </c>
      <c r="AX346" s="35">
        <f>$D346+(AW346-$D346)*INDEX(AX$337:AX$340,$E346)/INDEX(AW$337:AW$340,$E346)</f>
        <v/>
      </c>
      <c r="AY346" s="35">
        <f>$D346+(AX346-$D346)*INDEX(AY$337:AY$340,$E346)/INDEX(AX$337:AX$340,$E346)</f>
        <v/>
      </c>
      <c r="AZ346" s="35">
        <f>$D346+(AY346-$D346)*INDEX(AZ$337:AZ$340,$E346)/INDEX(AY$337:AY$340,$E346)</f>
        <v/>
      </c>
      <c r="BA346" s="42">
        <f>SUPPLYCOST(BA$4,$F346,$D346,AZ346,INDEX(BA$337:BA$340,$E346),INDEX(AZ$337:AZ$340,$E346))</f>
        <v/>
      </c>
    </row>
    <row r="347" hidden="1" outlineLevel="1">
      <c r="A347" s="14" t="inlineStr">
        <is>
          <t>sp</t>
        </is>
      </c>
      <c r="B347" s="14" t="inlineStr">
        <is>
          <t>nga</t>
        </is>
      </c>
      <c r="C347" s="14" t="inlineStr">
        <is>
          <t>ind</t>
        </is>
      </c>
      <c r="D347" s="35">
        <f>INDEX(Inputs_prices!$O$7:$O$18,MATCH($B347&amp;"."&amp;$C347,Inputs_prices!$A$7:$A$18,0))</f>
        <v/>
      </c>
      <c r="E347" s="35">
        <f>INDEX(Inputs_prices!$F$7:$F$18,MATCH($B347&amp;"."&amp;$C347,Inputs_prices!$A$7:$A$18,0))</f>
        <v/>
      </c>
      <c r="F347" s="35">
        <f>INDEX(Inputs_prices!$E$7:$E$18,MATCH($B347&amp;"."&amp;$C347,Inputs_prices!$A$7:$A$18,0))</f>
        <v/>
      </c>
      <c r="G347" s="39" t="n"/>
      <c r="H347" s="14">
        <f>INDEX(VarLab,MATCH($A347,VarKey,0))&amp;INDEX(MemLab,MATCH($C347&amp;"|"&amp;$B347,MemKey,0))</f>
        <v/>
      </c>
      <c r="I347" s="14">
        <f>INDEX(VarUnit,MATCH($A347,VarKey,0))</f>
        <v/>
      </c>
      <c r="J347" s="14">
        <f>INDEX(VarSrc,MATCH($A347,VarKey,0))</f>
        <v/>
      </c>
      <c r="K347" s="11">
        <f>CodePrefix&amp;$A347&amp;IF($C347="","","."&amp;$C347&amp;"."&amp;$B347)&amp;INDEX(VarEnd,MATCH($A347,VarKey,0))&amp;K$5</f>
        <v/>
      </c>
      <c r="L347" s="40">
        <f>INDEX(Inputs_prices!$U$7:$X$18,$F347,MATCH(L$4,Inputs_prices!$U$6:$X$6,0))</f>
        <v/>
      </c>
      <c r="M347" s="41">
        <f>INDEX(Inputs_prices!$U$7:$X$18,$F347,MATCH(M$4,Inputs_prices!$U$6:$X$6,0))</f>
        <v/>
      </c>
      <c r="N347" s="41">
        <f>INDEX(Inputs_prices!$U$7:$X$18,$F347,MATCH(N$4,Inputs_prices!$U$6:$X$6,0))</f>
        <v/>
      </c>
      <c r="O347" s="35">
        <f>$D347+(N347-$D347)*INDEX(O$337:O$340,$E347)/INDEX(N$337:N$340,$E347)</f>
        <v/>
      </c>
      <c r="P347" s="35">
        <f>$D347+(O347-$D347)*INDEX(P$337:P$340,$E347)/INDEX(O$337:O$340,$E347)</f>
        <v/>
      </c>
      <c r="Q347" s="35">
        <f>$D347+(P347-$D347)*INDEX(Q$337:Q$340,$E347)/INDEX(P$337:P$340,$E347)</f>
        <v/>
      </c>
      <c r="R347" s="35">
        <f>$D347+(Q347-$D347)*INDEX(R$337:R$340,$E347)/INDEX(Q$337:Q$340,$E347)</f>
        <v/>
      </c>
      <c r="S347" s="35">
        <f>$D347+(R347-$D347)*INDEX(S$337:S$340,$E347)/INDEX(R$337:R$340,$E347)</f>
        <v/>
      </c>
      <c r="T347" s="35">
        <f>$D347+(S347-$D347)*INDEX(T$337:T$340,$E347)/INDEX(S$337:S$340,$E347)</f>
        <v/>
      </c>
      <c r="U347" s="35">
        <f>$D347+(T347-$D347)*INDEX(U$337:U$340,$E347)/INDEX(T$337:T$340,$E347)</f>
        <v/>
      </c>
      <c r="V347" s="35">
        <f>$D347+(U347-$D347)*INDEX(V$337:V$340,$E347)/INDEX(U$337:U$340,$E347)</f>
        <v/>
      </c>
      <c r="W347" s="35">
        <f>$D347+(V347-$D347)*INDEX(W$337:W$340,$E347)/INDEX(V$337:V$340,$E347)</f>
        <v/>
      </c>
      <c r="X347" s="35">
        <f>$D347+(W347-$D347)*INDEX(X$337:X$340,$E347)/INDEX(W$337:W$340,$E347)</f>
        <v/>
      </c>
      <c r="Y347" s="35">
        <f>$D347+(X347-$D347)*INDEX(Y$337:Y$340,$E347)/INDEX(X$337:X$340,$E347)</f>
        <v/>
      </c>
      <c r="Z347" s="35">
        <f>$D347+(Y347-$D347)*INDEX(Z$337:Z$340,$E347)/INDEX(Y$337:Y$340,$E347)</f>
        <v/>
      </c>
      <c r="AA347" s="35">
        <f>$D347+(Z347-$D347)*INDEX(AA$337:AA$340,$E347)/INDEX(Z$337:Z$340,$E347)</f>
        <v/>
      </c>
      <c r="AB347" s="35">
        <f>$D347+(AA347-$D347)*INDEX(AB$337:AB$340,$E347)/INDEX(AA$337:AA$340,$E347)</f>
        <v/>
      </c>
      <c r="AC347" s="35">
        <f>$D347+(AB347-$D347)*INDEX(AC$337:AC$340,$E347)/INDEX(AB$337:AB$340,$E347)</f>
        <v/>
      </c>
      <c r="AD347" s="35">
        <f>$D347+(AC347-$D347)*INDEX(AD$337:AD$340,$E347)/INDEX(AC$337:AC$340,$E347)</f>
        <v/>
      </c>
      <c r="AE347" s="42">
        <f>SUPPLYCOST(AE$4,$F347,$D347,AD347,INDEX(AE$337:AE$340,$E347),INDEX(AD$337:AD$340,$E347))</f>
        <v/>
      </c>
      <c r="AG347" s="11">
        <f>CodePrefix&amp;$A347&amp;IF($C347="","","."&amp;$C347&amp;"."&amp;$B347)&amp;INDEX(VarEnd,MATCH($A347,VarKey,0))&amp;AG$5</f>
        <v/>
      </c>
      <c r="AH347" s="40">
        <f>INDEX(Inputs_prices!$U$7:$X$18,$F347,MATCH(AH$4,Inputs_prices!$U$6:$X$6,0))</f>
        <v/>
      </c>
      <c r="AI347" s="41">
        <f>INDEX(Inputs_prices!$U$7:$X$18,$F347,MATCH(AI$4,Inputs_prices!$U$6:$X$6,0))</f>
        <v/>
      </c>
      <c r="AJ347" s="41">
        <f>INDEX(Inputs_prices!$U$7:$X$18,$F347,MATCH(AJ$4,Inputs_prices!$U$6:$X$6,0))</f>
        <v/>
      </c>
      <c r="AK347" s="35">
        <f>$D347+(AJ347-$D347)*INDEX(AK$337:AK$340,$E347)/INDEX(AJ$337:AJ$340,$E347)</f>
        <v/>
      </c>
      <c r="AL347" s="35">
        <f>$D347+(AK347-$D347)*INDEX(AL$337:AL$340,$E347)/INDEX(AK$337:AK$340,$E347)</f>
        <v/>
      </c>
      <c r="AM347" s="35">
        <f>$D347+(AL347-$D347)*INDEX(AM$337:AM$340,$E347)/INDEX(AL$337:AL$340,$E347)</f>
        <v/>
      </c>
      <c r="AN347" s="35">
        <f>$D347+(AM347-$D347)*INDEX(AN$337:AN$340,$E347)/INDEX(AM$337:AM$340,$E347)</f>
        <v/>
      </c>
      <c r="AO347" s="35">
        <f>$D347+(AN347-$D347)*INDEX(AO$337:AO$340,$E347)/INDEX(AN$337:AN$340,$E347)</f>
        <v/>
      </c>
      <c r="AP347" s="35">
        <f>$D347+(AO347-$D347)*INDEX(AP$337:AP$340,$E347)/INDEX(AO$337:AO$340,$E347)</f>
        <v/>
      </c>
      <c r="AQ347" s="35">
        <f>$D347+(AP347-$D347)*INDEX(AQ$337:AQ$340,$E347)/INDEX(AP$337:AP$340,$E347)</f>
        <v/>
      </c>
      <c r="AR347" s="35">
        <f>$D347+(AQ347-$D347)*INDEX(AR$337:AR$340,$E347)/INDEX(AQ$337:AQ$340,$E347)</f>
        <v/>
      </c>
      <c r="AS347" s="35">
        <f>$D347+(AR347-$D347)*INDEX(AS$337:AS$340,$E347)/INDEX(AR$337:AR$340,$E347)</f>
        <v/>
      </c>
      <c r="AT347" s="35">
        <f>$D347+(AS347-$D347)*INDEX(AT$337:AT$340,$E347)/INDEX(AS$337:AS$340,$E347)</f>
        <v/>
      </c>
      <c r="AU347" s="35">
        <f>$D347+(AT347-$D347)*INDEX(AU$337:AU$340,$E347)/INDEX(AT$337:AT$340,$E347)</f>
        <v/>
      </c>
      <c r="AV347" s="35">
        <f>$D347+(AU347-$D347)*INDEX(AV$337:AV$340,$E347)/INDEX(AU$337:AU$340,$E347)</f>
        <v/>
      </c>
      <c r="AW347" s="35">
        <f>$D347+(AV347-$D347)*INDEX(AW$337:AW$340,$E347)/INDEX(AV$337:AV$340,$E347)</f>
        <v/>
      </c>
      <c r="AX347" s="35">
        <f>$D347+(AW347-$D347)*INDEX(AX$337:AX$340,$E347)/INDEX(AW$337:AW$340,$E347)</f>
        <v/>
      </c>
      <c r="AY347" s="35">
        <f>$D347+(AX347-$D347)*INDEX(AY$337:AY$340,$E347)/INDEX(AX$337:AX$340,$E347)</f>
        <v/>
      </c>
      <c r="AZ347" s="35">
        <f>$D347+(AY347-$D347)*INDEX(AZ$337:AZ$340,$E347)/INDEX(AY$337:AY$340,$E347)</f>
        <v/>
      </c>
      <c r="BA347" s="42">
        <f>SUPPLYCOST(BA$4,$F347,$D347,AZ347,INDEX(BA$337:BA$340,$E347),INDEX(AZ$337:AZ$340,$E347))</f>
        <v/>
      </c>
    </row>
    <row r="348" hidden="1" outlineLevel="1">
      <c r="A348" s="14" t="inlineStr">
        <is>
          <t>sp</t>
        </is>
      </c>
      <c r="B348" s="14" t="inlineStr">
        <is>
          <t>gso</t>
        </is>
      </c>
      <c r="C348" s="14" t="inlineStr">
        <is>
          <t>all</t>
        </is>
      </c>
      <c r="D348" s="35">
        <f>INDEX(Inputs_prices!$O$7:$O$18,MATCH($B348&amp;"."&amp;$C348,Inputs_prices!$A$7:$A$18,0))</f>
        <v/>
      </c>
      <c r="E348" s="35">
        <f>INDEX(Inputs_prices!$F$7:$F$18,MATCH($B348&amp;"."&amp;$C348,Inputs_prices!$A$7:$A$18,0))</f>
        <v/>
      </c>
      <c r="F348" s="35">
        <f>INDEX(Inputs_prices!$E$7:$E$18,MATCH($B348&amp;"."&amp;$C348,Inputs_prices!$A$7:$A$18,0))</f>
        <v/>
      </c>
      <c r="G348" s="39" t="n"/>
      <c r="H348" s="14">
        <f>INDEX(VarLab,MATCH($A348,VarKey,0))&amp;INDEX(MemLab,MATCH($C348&amp;"|"&amp;$B348,MemKey,0))</f>
        <v/>
      </c>
      <c r="I348" s="14">
        <f>INDEX(VarUnit,MATCH($A348,VarKey,0))</f>
        <v/>
      </c>
      <c r="J348" s="14">
        <f>INDEX(VarSrc,MATCH($A348,VarKey,0))</f>
        <v/>
      </c>
      <c r="K348" s="11">
        <f>CodePrefix&amp;$A348&amp;IF($C348="","","."&amp;$C348&amp;"."&amp;$B348)&amp;INDEX(VarEnd,MATCH($A348,VarKey,0))&amp;K$5</f>
        <v/>
      </c>
      <c r="L348" s="40">
        <f>INDEX(Inputs_prices!$U$7:$X$18,$F348,MATCH(L$4,Inputs_prices!$U$6:$X$6,0))</f>
        <v/>
      </c>
      <c r="M348" s="41">
        <f>INDEX(Inputs_prices!$U$7:$X$18,$F348,MATCH(M$4,Inputs_prices!$U$6:$X$6,0))</f>
        <v/>
      </c>
      <c r="N348" s="41">
        <f>INDEX(Inputs_prices!$U$7:$X$18,$F348,MATCH(N$4,Inputs_prices!$U$6:$X$6,0))</f>
        <v/>
      </c>
      <c r="O348" s="35">
        <f>$D348+(N348-$D348)*INDEX(O$337:O$340,$E348)/INDEX(N$337:N$340,$E348)</f>
        <v/>
      </c>
      <c r="P348" s="35">
        <f>$D348+(O348-$D348)*INDEX(P$337:P$340,$E348)/INDEX(O$337:O$340,$E348)</f>
        <v/>
      </c>
      <c r="Q348" s="35">
        <f>$D348+(P348-$D348)*INDEX(Q$337:Q$340,$E348)/INDEX(P$337:P$340,$E348)</f>
        <v/>
      </c>
      <c r="R348" s="35">
        <f>$D348+(Q348-$D348)*INDEX(R$337:R$340,$E348)/INDEX(Q$337:Q$340,$E348)</f>
        <v/>
      </c>
      <c r="S348" s="35">
        <f>$D348+(R348-$D348)*INDEX(S$337:S$340,$E348)/INDEX(R$337:R$340,$E348)</f>
        <v/>
      </c>
      <c r="T348" s="35">
        <f>$D348+(S348-$D348)*INDEX(T$337:T$340,$E348)/INDEX(S$337:S$340,$E348)</f>
        <v/>
      </c>
      <c r="U348" s="35">
        <f>$D348+(T348-$D348)*INDEX(U$337:U$340,$E348)/INDEX(T$337:T$340,$E348)</f>
        <v/>
      </c>
      <c r="V348" s="35">
        <f>$D348+(U348-$D348)*INDEX(V$337:V$340,$E348)/INDEX(U$337:U$340,$E348)</f>
        <v/>
      </c>
      <c r="W348" s="35">
        <f>$D348+(V348-$D348)*INDEX(W$337:W$340,$E348)/INDEX(V$337:V$340,$E348)</f>
        <v/>
      </c>
      <c r="X348" s="35">
        <f>$D348+(W348-$D348)*INDEX(X$337:X$340,$E348)/INDEX(W$337:W$340,$E348)</f>
        <v/>
      </c>
      <c r="Y348" s="35">
        <f>$D348+(X348-$D348)*INDEX(Y$337:Y$340,$E348)/INDEX(X$337:X$340,$E348)</f>
        <v/>
      </c>
      <c r="Z348" s="35">
        <f>$D348+(Y348-$D348)*INDEX(Z$337:Z$340,$E348)/INDEX(Y$337:Y$340,$E348)</f>
        <v/>
      </c>
      <c r="AA348" s="35">
        <f>$D348+(Z348-$D348)*INDEX(AA$337:AA$340,$E348)/INDEX(Z$337:Z$340,$E348)</f>
        <v/>
      </c>
      <c r="AB348" s="35">
        <f>$D348+(AA348-$D348)*INDEX(AB$337:AB$340,$E348)/INDEX(AA$337:AA$340,$E348)</f>
        <v/>
      </c>
      <c r="AC348" s="35">
        <f>$D348+(AB348-$D348)*INDEX(AC$337:AC$340,$E348)/INDEX(AB$337:AB$340,$E348)</f>
        <v/>
      </c>
      <c r="AD348" s="35">
        <f>$D348+(AC348-$D348)*INDEX(AD$337:AD$340,$E348)/INDEX(AC$337:AC$340,$E348)</f>
        <v/>
      </c>
      <c r="AE348" s="42">
        <f>SUPPLYCOST(AE$4,$F348,$D348,AD348,INDEX(AE$337:AE$340,$E348),INDEX(AD$337:AD$340,$E348))</f>
        <v/>
      </c>
      <c r="AG348" s="11">
        <f>CodePrefix&amp;$A348&amp;IF($C348="","","."&amp;$C348&amp;"."&amp;$B348)&amp;INDEX(VarEnd,MATCH($A348,VarKey,0))&amp;AG$5</f>
        <v/>
      </c>
      <c r="AH348" s="40">
        <f>INDEX(Inputs_prices!$U$7:$X$18,$F348,MATCH(AH$4,Inputs_prices!$U$6:$X$6,0))</f>
        <v/>
      </c>
      <c r="AI348" s="41">
        <f>INDEX(Inputs_prices!$U$7:$X$18,$F348,MATCH(AI$4,Inputs_prices!$U$6:$X$6,0))</f>
        <v/>
      </c>
      <c r="AJ348" s="41">
        <f>INDEX(Inputs_prices!$U$7:$X$18,$F348,MATCH(AJ$4,Inputs_prices!$U$6:$X$6,0))</f>
        <v/>
      </c>
      <c r="AK348" s="35">
        <f>$D348+(AJ348-$D348)*INDEX(AK$337:AK$340,$E348)/INDEX(AJ$337:AJ$340,$E348)</f>
        <v/>
      </c>
      <c r="AL348" s="35">
        <f>$D348+(AK348-$D348)*INDEX(AL$337:AL$340,$E348)/INDEX(AK$337:AK$340,$E348)</f>
        <v/>
      </c>
      <c r="AM348" s="35">
        <f>$D348+(AL348-$D348)*INDEX(AM$337:AM$340,$E348)/INDEX(AL$337:AL$340,$E348)</f>
        <v/>
      </c>
      <c r="AN348" s="35">
        <f>$D348+(AM348-$D348)*INDEX(AN$337:AN$340,$E348)/INDEX(AM$337:AM$340,$E348)</f>
        <v/>
      </c>
      <c r="AO348" s="35">
        <f>$D348+(AN348-$D348)*INDEX(AO$337:AO$340,$E348)/INDEX(AN$337:AN$340,$E348)</f>
        <v/>
      </c>
      <c r="AP348" s="35">
        <f>$D348+(AO348-$D348)*INDEX(AP$337:AP$340,$E348)/INDEX(AO$337:AO$340,$E348)</f>
        <v/>
      </c>
      <c r="AQ348" s="35">
        <f>$D348+(AP348-$D348)*INDEX(AQ$337:AQ$340,$E348)/INDEX(AP$337:AP$340,$E348)</f>
        <v/>
      </c>
      <c r="AR348" s="35">
        <f>$D348+(AQ348-$D348)*INDEX(AR$337:AR$340,$E348)/INDEX(AQ$337:AQ$340,$E348)</f>
        <v/>
      </c>
      <c r="AS348" s="35">
        <f>$D348+(AR348-$D348)*INDEX(AS$337:AS$340,$E348)/INDEX(AR$337:AR$340,$E348)</f>
        <v/>
      </c>
      <c r="AT348" s="35">
        <f>$D348+(AS348-$D348)*INDEX(AT$337:AT$340,$E348)/INDEX(AS$337:AS$340,$E348)</f>
        <v/>
      </c>
      <c r="AU348" s="35">
        <f>$D348+(AT348-$D348)*INDEX(AU$337:AU$340,$E348)/INDEX(AT$337:AT$340,$E348)</f>
        <v/>
      </c>
      <c r="AV348" s="35">
        <f>$D348+(AU348-$D348)*INDEX(AV$337:AV$340,$E348)/INDEX(AU$337:AU$340,$E348)</f>
        <v/>
      </c>
      <c r="AW348" s="35">
        <f>$D348+(AV348-$D348)*INDEX(AW$337:AW$340,$E348)/INDEX(AV$337:AV$340,$E348)</f>
        <v/>
      </c>
      <c r="AX348" s="35">
        <f>$D348+(AW348-$D348)*INDEX(AX$337:AX$340,$E348)/INDEX(AW$337:AW$340,$E348)</f>
        <v/>
      </c>
      <c r="AY348" s="35">
        <f>$D348+(AX348-$D348)*INDEX(AY$337:AY$340,$E348)/INDEX(AX$337:AX$340,$E348)</f>
        <v/>
      </c>
      <c r="AZ348" s="35">
        <f>$D348+(AY348-$D348)*INDEX(AZ$337:AZ$340,$E348)/INDEX(AY$337:AY$340,$E348)</f>
        <v/>
      </c>
      <c r="BA348" s="42">
        <f>SUPPLYCOST(BA$4,$F348,$D348,AZ348,INDEX(BA$337:BA$340,$E348),INDEX(AZ$337:AZ$340,$E348))</f>
        <v/>
      </c>
    </row>
    <row r="349" hidden="1" outlineLevel="1">
      <c r="A349" s="14" t="inlineStr">
        <is>
          <t>sp</t>
        </is>
      </c>
      <c r="B349" s="14" t="inlineStr">
        <is>
          <t>die</t>
        </is>
      </c>
      <c r="C349" s="14" t="inlineStr">
        <is>
          <t>all</t>
        </is>
      </c>
      <c r="D349" s="35">
        <f>INDEX(Inputs_prices!$O$7:$O$18,MATCH($B349&amp;"."&amp;$C349,Inputs_prices!$A$7:$A$18,0))</f>
        <v/>
      </c>
      <c r="E349" s="35">
        <f>INDEX(Inputs_prices!$F$7:$F$18,MATCH($B349&amp;"."&amp;$C349,Inputs_prices!$A$7:$A$18,0))</f>
        <v/>
      </c>
      <c r="F349" s="35">
        <f>INDEX(Inputs_prices!$E$7:$E$18,MATCH($B349&amp;"."&amp;$C349,Inputs_prices!$A$7:$A$18,0))</f>
        <v/>
      </c>
      <c r="G349" s="39" t="n"/>
      <c r="H349" s="14">
        <f>INDEX(VarLab,MATCH($A349,VarKey,0))&amp;INDEX(MemLab,MATCH($C349&amp;"|"&amp;$B349,MemKey,0))</f>
        <v/>
      </c>
      <c r="I349" s="14">
        <f>INDEX(VarUnit,MATCH($A349,VarKey,0))</f>
        <v/>
      </c>
      <c r="J349" s="14">
        <f>INDEX(VarSrc,MATCH($A349,VarKey,0))</f>
        <v/>
      </c>
      <c r="K349" s="11">
        <f>CodePrefix&amp;$A349&amp;IF($C349="","","."&amp;$C349&amp;"."&amp;$B349)&amp;INDEX(VarEnd,MATCH($A349,VarKey,0))&amp;K$5</f>
        <v/>
      </c>
      <c r="L349" s="40">
        <f>INDEX(Inputs_prices!$U$7:$X$18,$F349,MATCH(L$4,Inputs_prices!$U$6:$X$6,0))</f>
        <v/>
      </c>
      <c r="M349" s="41">
        <f>INDEX(Inputs_prices!$U$7:$X$18,$F349,MATCH(M$4,Inputs_prices!$U$6:$X$6,0))</f>
        <v/>
      </c>
      <c r="N349" s="41">
        <f>INDEX(Inputs_prices!$U$7:$X$18,$F349,MATCH(N$4,Inputs_prices!$U$6:$X$6,0))</f>
        <v/>
      </c>
      <c r="O349" s="35">
        <f>$D349+(N349-$D349)*INDEX(O$337:O$340,$E349)/INDEX(N$337:N$340,$E349)</f>
        <v/>
      </c>
      <c r="P349" s="35">
        <f>$D349+(O349-$D349)*INDEX(P$337:P$340,$E349)/INDEX(O$337:O$340,$E349)</f>
        <v/>
      </c>
      <c r="Q349" s="35">
        <f>$D349+(P349-$D349)*INDEX(Q$337:Q$340,$E349)/INDEX(P$337:P$340,$E349)</f>
        <v/>
      </c>
      <c r="R349" s="35">
        <f>$D349+(Q349-$D349)*INDEX(R$337:R$340,$E349)/INDEX(Q$337:Q$340,$E349)</f>
        <v/>
      </c>
      <c r="S349" s="35">
        <f>$D349+(R349-$D349)*INDEX(S$337:S$340,$E349)/INDEX(R$337:R$340,$E349)</f>
        <v/>
      </c>
      <c r="T349" s="35">
        <f>$D349+(S349-$D349)*INDEX(T$337:T$340,$E349)/INDEX(S$337:S$340,$E349)</f>
        <v/>
      </c>
      <c r="U349" s="35">
        <f>$D349+(T349-$D349)*INDEX(U$337:U$340,$E349)/INDEX(T$337:T$340,$E349)</f>
        <v/>
      </c>
      <c r="V349" s="35">
        <f>$D349+(U349-$D349)*INDEX(V$337:V$340,$E349)/INDEX(U$337:U$340,$E349)</f>
        <v/>
      </c>
      <c r="W349" s="35">
        <f>$D349+(V349-$D349)*INDEX(W$337:W$340,$E349)/INDEX(V$337:V$340,$E349)</f>
        <v/>
      </c>
      <c r="X349" s="35">
        <f>$D349+(W349-$D349)*INDEX(X$337:X$340,$E349)/INDEX(W$337:W$340,$E349)</f>
        <v/>
      </c>
      <c r="Y349" s="35">
        <f>$D349+(X349-$D349)*INDEX(Y$337:Y$340,$E349)/INDEX(X$337:X$340,$E349)</f>
        <v/>
      </c>
      <c r="Z349" s="35">
        <f>$D349+(Y349-$D349)*INDEX(Z$337:Z$340,$E349)/INDEX(Y$337:Y$340,$E349)</f>
        <v/>
      </c>
      <c r="AA349" s="35">
        <f>$D349+(Z349-$D349)*INDEX(AA$337:AA$340,$E349)/INDEX(Z$337:Z$340,$E349)</f>
        <v/>
      </c>
      <c r="AB349" s="35">
        <f>$D349+(AA349-$D349)*INDEX(AB$337:AB$340,$E349)/INDEX(AA$337:AA$340,$E349)</f>
        <v/>
      </c>
      <c r="AC349" s="35">
        <f>$D349+(AB349-$D349)*INDEX(AC$337:AC$340,$E349)/INDEX(AB$337:AB$340,$E349)</f>
        <v/>
      </c>
      <c r="AD349" s="35">
        <f>$D349+(AC349-$D349)*INDEX(AD$337:AD$340,$E349)/INDEX(AC$337:AC$340,$E349)</f>
        <v/>
      </c>
      <c r="AE349" s="42">
        <f>SUPPLYCOST(AE$4,$F349,$D349,AD349,INDEX(AE$337:AE$340,$E349),INDEX(AD$337:AD$340,$E349))</f>
        <v/>
      </c>
      <c r="AG349" s="11">
        <f>CodePrefix&amp;$A349&amp;IF($C349="","","."&amp;$C349&amp;"."&amp;$B349)&amp;INDEX(VarEnd,MATCH($A349,VarKey,0))&amp;AG$5</f>
        <v/>
      </c>
      <c r="AH349" s="40">
        <f>INDEX(Inputs_prices!$U$7:$X$18,$F349,MATCH(AH$4,Inputs_prices!$U$6:$X$6,0))</f>
        <v/>
      </c>
      <c r="AI349" s="41">
        <f>INDEX(Inputs_prices!$U$7:$X$18,$F349,MATCH(AI$4,Inputs_prices!$U$6:$X$6,0))</f>
        <v/>
      </c>
      <c r="AJ349" s="41">
        <f>INDEX(Inputs_prices!$U$7:$X$18,$F349,MATCH(AJ$4,Inputs_prices!$U$6:$X$6,0))</f>
        <v/>
      </c>
      <c r="AK349" s="35">
        <f>$D349+(AJ349-$D349)*INDEX(AK$337:AK$340,$E349)/INDEX(AJ$337:AJ$340,$E349)</f>
        <v/>
      </c>
      <c r="AL349" s="35">
        <f>$D349+(AK349-$D349)*INDEX(AL$337:AL$340,$E349)/INDEX(AK$337:AK$340,$E349)</f>
        <v/>
      </c>
      <c r="AM349" s="35">
        <f>$D349+(AL349-$D349)*INDEX(AM$337:AM$340,$E349)/INDEX(AL$337:AL$340,$E349)</f>
        <v/>
      </c>
      <c r="AN349" s="35">
        <f>$D349+(AM349-$D349)*INDEX(AN$337:AN$340,$E349)/INDEX(AM$337:AM$340,$E349)</f>
        <v/>
      </c>
      <c r="AO349" s="35">
        <f>$D349+(AN349-$D349)*INDEX(AO$337:AO$340,$E349)/INDEX(AN$337:AN$340,$E349)</f>
        <v/>
      </c>
      <c r="AP349" s="35">
        <f>$D349+(AO349-$D349)*INDEX(AP$337:AP$340,$E349)/INDEX(AO$337:AO$340,$E349)</f>
        <v/>
      </c>
      <c r="AQ349" s="35">
        <f>$D349+(AP349-$D349)*INDEX(AQ$337:AQ$340,$E349)/INDEX(AP$337:AP$340,$E349)</f>
        <v/>
      </c>
      <c r="AR349" s="35">
        <f>$D349+(AQ349-$D349)*INDEX(AR$337:AR$340,$E349)/INDEX(AQ$337:AQ$340,$E349)</f>
        <v/>
      </c>
      <c r="AS349" s="35">
        <f>$D349+(AR349-$D349)*INDEX(AS$337:AS$340,$E349)/INDEX(AR$337:AR$340,$E349)</f>
        <v/>
      </c>
      <c r="AT349" s="35">
        <f>$D349+(AS349-$D349)*INDEX(AT$337:AT$340,$E349)/INDEX(AS$337:AS$340,$E349)</f>
        <v/>
      </c>
      <c r="AU349" s="35">
        <f>$D349+(AT349-$D349)*INDEX(AU$337:AU$340,$E349)/INDEX(AT$337:AT$340,$E349)</f>
        <v/>
      </c>
      <c r="AV349" s="35">
        <f>$D349+(AU349-$D349)*INDEX(AV$337:AV$340,$E349)/INDEX(AU$337:AU$340,$E349)</f>
        <v/>
      </c>
      <c r="AW349" s="35">
        <f>$D349+(AV349-$D349)*INDEX(AW$337:AW$340,$E349)/INDEX(AV$337:AV$340,$E349)</f>
        <v/>
      </c>
      <c r="AX349" s="35">
        <f>$D349+(AW349-$D349)*INDEX(AX$337:AX$340,$E349)/INDEX(AW$337:AW$340,$E349)</f>
        <v/>
      </c>
      <c r="AY349" s="35">
        <f>$D349+(AX349-$D349)*INDEX(AY$337:AY$340,$E349)/INDEX(AX$337:AX$340,$E349)</f>
        <v/>
      </c>
      <c r="AZ349" s="35">
        <f>$D349+(AY349-$D349)*INDEX(AZ$337:AZ$340,$E349)/INDEX(AY$337:AY$340,$E349)</f>
        <v/>
      </c>
      <c r="BA349" s="42">
        <f>SUPPLYCOST(BA$4,$F349,$D349,AZ349,INDEX(BA$337:BA$340,$E349),INDEX(AZ$337:AZ$340,$E349))</f>
        <v/>
      </c>
    </row>
    <row r="350" hidden="1" outlineLevel="1">
      <c r="A350" s="14" t="inlineStr">
        <is>
          <t>sp</t>
        </is>
      </c>
      <c r="B350" s="14" t="inlineStr">
        <is>
          <t>lpg</t>
        </is>
      </c>
      <c r="C350" s="14" t="inlineStr">
        <is>
          <t>all</t>
        </is>
      </c>
      <c r="D350" s="35">
        <f>INDEX(Inputs_prices!$O$7:$O$18,MATCH($B350&amp;"."&amp;$C350,Inputs_prices!$A$7:$A$18,0))</f>
        <v/>
      </c>
      <c r="E350" s="35">
        <f>INDEX(Inputs_prices!$F$7:$F$18,MATCH($B350&amp;"."&amp;$C350,Inputs_prices!$A$7:$A$18,0))</f>
        <v/>
      </c>
      <c r="F350" s="35">
        <f>INDEX(Inputs_prices!$E$7:$E$18,MATCH($B350&amp;"."&amp;$C350,Inputs_prices!$A$7:$A$18,0))</f>
        <v/>
      </c>
      <c r="G350" s="39" t="n"/>
      <c r="H350" s="14">
        <f>INDEX(VarLab,MATCH($A350,VarKey,0))&amp;INDEX(MemLab,MATCH($C350&amp;"|"&amp;$B350,MemKey,0))</f>
        <v/>
      </c>
      <c r="I350" s="14">
        <f>INDEX(VarUnit,MATCH($A350,VarKey,0))</f>
        <v/>
      </c>
      <c r="J350" s="14">
        <f>INDEX(VarSrc,MATCH($A350,VarKey,0))</f>
        <v/>
      </c>
      <c r="K350" s="11">
        <f>CodePrefix&amp;$A350&amp;IF($C350="","","."&amp;$C350&amp;"."&amp;$B350)&amp;INDEX(VarEnd,MATCH($A350,VarKey,0))&amp;K$5</f>
        <v/>
      </c>
      <c r="L350" s="40">
        <f>INDEX(Inputs_prices!$U$7:$X$18,$F350,MATCH(L$4,Inputs_prices!$U$6:$X$6,0))</f>
        <v/>
      </c>
      <c r="M350" s="41">
        <f>INDEX(Inputs_prices!$U$7:$X$18,$F350,MATCH(M$4,Inputs_prices!$U$6:$X$6,0))</f>
        <v/>
      </c>
      <c r="N350" s="41">
        <f>INDEX(Inputs_prices!$U$7:$X$18,$F350,MATCH(N$4,Inputs_prices!$U$6:$X$6,0))</f>
        <v/>
      </c>
      <c r="O350" s="35">
        <f>$D350+(N350-$D350)*INDEX(O$337:O$340,$E350)/INDEX(N$337:N$340,$E350)</f>
        <v/>
      </c>
      <c r="P350" s="35">
        <f>$D350+(O350-$D350)*INDEX(P$337:P$340,$E350)/INDEX(O$337:O$340,$E350)</f>
        <v/>
      </c>
      <c r="Q350" s="35">
        <f>$D350+(P350-$D350)*INDEX(Q$337:Q$340,$E350)/INDEX(P$337:P$340,$E350)</f>
        <v/>
      </c>
      <c r="R350" s="35">
        <f>$D350+(Q350-$D350)*INDEX(R$337:R$340,$E350)/INDEX(Q$337:Q$340,$E350)</f>
        <v/>
      </c>
      <c r="S350" s="35">
        <f>$D350+(R350-$D350)*INDEX(S$337:S$340,$E350)/INDEX(R$337:R$340,$E350)</f>
        <v/>
      </c>
      <c r="T350" s="35">
        <f>$D350+(S350-$D350)*INDEX(T$337:T$340,$E350)/INDEX(S$337:S$340,$E350)</f>
        <v/>
      </c>
      <c r="U350" s="35">
        <f>$D350+(T350-$D350)*INDEX(U$337:U$340,$E350)/INDEX(T$337:T$340,$E350)</f>
        <v/>
      </c>
      <c r="V350" s="35">
        <f>$D350+(U350-$D350)*INDEX(V$337:V$340,$E350)/INDEX(U$337:U$340,$E350)</f>
        <v/>
      </c>
      <c r="W350" s="35">
        <f>$D350+(V350-$D350)*INDEX(W$337:W$340,$E350)/INDEX(V$337:V$340,$E350)</f>
        <v/>
      </c>
      <c r="X350" s="35">
        <f>$D350+(W350-$D350)*INDEX(X$337:X$340,$E350)/INDEX(W$337:W$340,$E350)</f>
        <v/>
      </c>
      <c r="Y350" s="35">
        <f>$D350+(X350-$D350)*INDEX(Y$337:Y$340,$E350)/INDEX(X$337:X$340,$E350)</f>
        <v/>
      </c>
      <c r="Z350" s="35">
        <f>$D350+(Y350-$D350)*INDEX(Z$337:Z$340,$E350)/INDEX(Y$337:Y$340,$E350)</f>
        <v/>
      </c>
      <c r="AA350" s="35">
        <f>$D350+(Z350-$D350)*INDEX(AA$337:AA$340,$E350)/INDEX(Z$337:Z$340,$E350)</f>
        <v/>
      </c>
      <c r="AB350" s="35">
        <f>$D350+(AA350-$D350)*INDEX(AB$337:AB$340,$E350)/INDEX(AA$337:AA$340,$E350)</f>
        <v/>
      </c>
      <c r="AC350" s="35">
        <f>$D350+(AB350-$D350)*INDEX(AC$337:AC$340,$E350)/INDEX(AB$337:AB$340,$E350)</f>
        <v/>
      </c>
      <c r="AD350" s="35">
        <f>$D350+(AC350-$D350)*INDEX(AD$337:AD$340,$E350)/INDEX(AC$337:AC$340,$E350)</f>
        <v/>
      </c>
      <c r="AE350" s="42">
        <f>SUPPLYCOST(AE$4,$F350,$D350,AD350,INDEX(AE$337:AE$340,$E350),INDEX(AD$337:AD$340,$E350))</f>
        <v/>
      </c>
      <c r="AG350" s="11">
        <f>CodePrefix&amp;$A350&amp;IF($C350="","","."&amp;$C350&amp;"."&amp;$B350)&amp;INDEX(VarEnd,MATCH($A350,VarKey,0))&amp;AG$5</f>
        <v/>
      </c>
      <c r="AH350" s="40">
        <f>INDEX(Inputs_prices!$U$7:$X$18,$F350,MATCH(AH$4,Inputs_prices!$U$6:$X$6,0))</f>
        <v/>
      </c>
      <c r="AI350" s="41">
        <f>INDEX(Inputs_prices!$U$7:$X$18,$F350,MATCH(AI$4,Inputs_prices!$U$6:$X$6,0))</f>
        <v/>
      </c>
      <c r="AJ350" s="41">
        <f>INDEX(Inputs_prices!$U$7:$X$18,$F350,MATCH(AJ$4,Inputs_prices!$U$6:$X$6,0))</f>
        <v/>
      </c>
      <c r="AK350" s="35">
        <f>$D350+(AJ350-$D350)*INDEX(AK$337:AK$340,$E350)/INDEX(AJ$337:AJ$340,$E350)</f>
        <v/>
      </c>
      <c r="AL350" s="35">
        <f>$D350+(AK350-$D350)*INDEX(AL$337:AL$340,$E350)/INDEX(AK$337:AK$340,$E350)</f>
        <v/>
      </c>
      <c r="AM350" s="35">
        <f>$D350+(AL350-$D350)*INDEX(AM$337:AM$340,$E350)/INDEX(AL$337:AL$340,$E350)</f>
        <v/>
      </c>
      <c r="AN350" s="35">
        <f>$D350+(AM350-$D350)*INDEX(AN$337:AN$340,$E350)/INDEX(AM$337:AM$340,$E350)</f>
        <v/>
      </c>
      <c r="AO350" s="35">
        <f>$D350+(AN350-$D350)*INDEX(AO$337:AO$340,$E350)/INDEX(AN$337:AN$340,$E350)</f>
        <v/>
      </c>
      <c r="AP350" s="35">
        <f>$D350+(AO350-$D350)*INDEX(AP$337:AP$340,$E350)/INDEX(AO$337:AO$340,$E350)</f>
        <v/>
      </c>
      <c r="AQ350" s="35">
        <f>$D350+(AP350-$D350)*INDEX(AQ$337:AQ$340,$E350)/INDEX(AP$337:AP$340,$E350)</f>
        <v/>
      </c>
      <c r="AR350" s="35">
        <f>$D350+(AQ350-$D350)*INDEX(AR$337:AR$340,$E350)/INDEX(AQ$337:AQ$340,$E350)</f>
        <v/>
      </c>
      <c r="AS350" s="35">
        <f>$D350+(AR350-$D350)*INDEX(AS$337:AS$340,$E350)/INDEX(AR$337:AR$340,$E350)</f>
        <v/>
      </c>
      <c r="AT350" s="35">
        <f>$D350+(AS350-$D350)*INDEX(AT$337:AT$340,$E350)/INDEX(AS$337:AS$340,$E350)</f>
        <v/>
      </c>
      <c r="AU350" s="35">
        <f>$D350+(AT350-$D350)*INDEX(AU$337:AU$340,$E350)/INDEX(AT$337:AT$340,$E350)</f>
        <v/>
      </c>
      <c r="AV350" s="35">
        <f>$D350+(AU350-$D350)*INDEX(AV$337:AV$340,$E350)/INDEX(AU$337:AU$340,$E350)</f>
        <v/>
      </c>
      <c r="AW350" s="35">
        <f>$D350+(AV350-$D350)*INDEX(AW$337:AW$340,$E350)/INDEX(AV$337:AV$340,$E350)</f>
        <v/>
      </c>
      <c r="AX350" s="35">
        <f>$D350+(AW350-$D350)*INDEX(AX$337:AX$340,$E350)/INDEX(AW$337:AW$340,$E350)</f>
        <v/>
      </c>
      <c r="AY350" s="35">
        <f>$D350+(AX350-$D350)*INDEX(AY$337:AY$340,$E350)/INDEX(AX$337:AX$340,$E350)</f>
        <v/>
      </c>
      <c r="AZ350" s="35">
        <f>$D350+(AY350-$D350)*INDEX(AZ$337:AZ$340,$E350)/INDEX(AY$337:AY$340,$E350)</f>
        <v/>
      </c>
      <c r="BA350" s="42">
        <f>SUPPLYCOST(BA$4,$F350,$D350,AZ350,INDEX(BA$337:BA$340,$E350),INDEX(AZ$337:AZ$340,$E350))</f>
        <v/>
      </c>
    </row>
    <row r="351" hidden="1" outlineLevel="1">
      <c r="A351" s="14" t="inlineStr">
        <is>
          <t>sp</t>
        </is>
      </c>
      <c r="B351" s="14" t="inlineStr">
        <is>
          <t>ker</t>
        </is>
      </c>
      <c r="C351" s="14" t="inlineStr">
        <is>
          <t>all</t>
        </is>
      </c>
      <c r="D351" s="35">
        <f>INDEX(Inputs_prices!$O$7:$O$18,MATCH($B351&amp;"."&amp;$C351,Inputs_prices!$A$7:$A$18,0))</f>
        <v/>
      </c>
      <c r="E351" s="35">
        <f>INDEX(Inputs_prices!$F$7:$F$18,MATCH($B351&amp;"."&amp;$C351,Inputs_prices!$A$7:$A$18,0))</f>
        <v/>
      </c>
      <c r="F351" s="35">
        <f>INDEX(Inputs_prices!$E$7:$E$18,MATCH($B351&amp;"."&amp;$C351,Inputs_prices!$A$7:$A$18,0))</f>
        <v/>
      </c>
      <c r="G351" s="39" t="n"/>
      <c r="H351" s="14">
        <f>INDEX(VarLab,MATCH($A351,VarKey,0))&amp;INDEX(MemLab,MATCH($C351&amp;"|"&amp;$B351,MemKey,0))</f>
        <v/>
      </c>
      <c r="I351" s="14">
        <f>INDEX(VarUnit,MATCH($A351,VarKey,0))</f>
        <v/>
      </c>
      <c r="J351" s="14">
        <f>INDEX(VarSrc,MATCH($A351,VarKey,0))</f>
        <v/>
      </c>
      <c r="K351" s="11">
        <f>CodePrefix&amp;$A351&amp;IF($C351="","","."&amp;$C351&amp;"."&amp;$B351)&amp;INDEX(VarEnd,MATCH($A351,VarKey,0))&amp;K$5</f>
        <v/>
      </c>
      <c r="L351" s="40">
        <f>INDEX(Inputs_prices!$U$7:$X$18,$F351,MATCH(L$4,Inputs_prices!$U$6:$X$6,0))</f>
        <v/>
      </c>
      <c r="M351" s="41">
        <f>INDEX(Inputs_prices!$U$7:$X$18,$F351,MATCH(M$4,Inputs_prices!$U$6:$X$6,0))</f>
        <v/>
      </c>
      <c r="N351" s="41">
        <f>INDEX(Inputs_prices!$U$7:$X$18,$F351,MATCH(N$4,Inputs_prices!$U$6:$X$6,0))</f>
        <v/>
      </c>
      <c r="O351" s="35">
        <f>$D351+(N351-$D351)*INDEX(O$337:O$340,$E351)/INDEX(N$337:N$340,$E351)</f>
        <v/>
      </c>
      <c r="P351" s="35">
        <f>$D351+(O351-$D351)*INDEX(P$337:P$340,$E351)/INDEX(O$337:O$340,$E351)</f>
        <v/>
      </c>
      <c r="Q351" s="35">
        <f>$D351+(P351-$D351)*INDEX(Q$337:Q$340,$E351)/INDEX(P$337:P$340,$E351)</f>
        <v/>
      </c>
      <c r="R351" s="35">
        <f>$D351+(Q351-$D351)*INDEX(R$337:R$340,$E351)/INDEX(Q$337:Q$340,$E351)</f>
        <v/>
      </c>
      <c r="S351" s="35">
        <f>$D351+(R351-$D351)*INDEX(S$337:S$340,$E351)/INDEX(R$337:R$340,$E351)</f>
        <v/>
      </c>
      <c r="T351" s="35">
        <f>$D351+(S351-$D351)*INDEX(T$337:T$340,$E351)/INDEX(S$337:S$340,$E351)</f>
        <v/>
      </c>
      <c r="U351" s="35">
        <f>$D351+(T351-$D351)*INDEX(U$337:U$340,$E351)/INDEX(T$337:T$340,$E351)</f>
        <v/>
      </c>
      <c r="V351" s="35">
        <f>$D351+(U351-$D351)*INDEX(V$337:V$340,$E351)/INDEX(U$337:U$340,$E351)</f>
        <v/>
      </c>
      <c r="W351" s="35">
        <f>$D351+(V351-$D351)*INDEX(W$337:W$340,$E351)/INDEX(V$337:V$340,$E351)</f>
        <v/>
      </c>
      <c r="X351" s="35">
        <f>$D351+(W351-$D351)*INDEX(X$337:X$340,$E351)/INDEX(W$337:W$340,$E351)</f>
        <v/>
      </c>
      <c r="Y351" s="35">
        <f>$D351+(X351-$D351)*INDEX(Y$337:Y$340,$E351)/INDEX(X$337:X$340,$E351)</f>
        <v/>
      </c>
      <c r="Z351" s="35">
        <f>$D351+(Y351-$D351)*INDEX(Z$337:Z$340,$E351)/INDEX(Y$337:Y$340,$E351)</f>
        <v/>
      </c>
      <c r="AA351" s="35">
        <f>$D351+(Z351-$D351)*INDEX(AA$337:AA$340,$E351)/INDEX(Z$337:Z$340,$E351)</f>
        <v/>
      </c>
      <c r="AB351" s="35">
        <f>$D351+(AA351-$D351)*INDEX(AB$337:AB$340,$E351)/INDEX(AA$337:AA$340,$E351)</f>
        <v/>
      </c>
      <c r="AC351" s="35">
        <f>$D351+(AB351-$D351)*INDEX(AC$337:AC$340,$E351)/INDEX(AB$337:AB$340,$E351)</f>
        <v/>
      </c>
      <c r="AD351" s="35">
        <f>$D351+(AC351-$D351)*INDEX(AD$337:AD$340,$E351)/INDEX(AC$337:AC$340,$E351)</f>
        <v/>
      </c>
      <c r="AE351" s="42">
        <f>SUPPLYCOST(AE$4,$F351,$D351,AD351,INDEX(AE$337:AE$340,$E351),INDEX(AD$337:AD$340,$E351))</f>
        <v/>
      </c>
      <c r="AG351" s="11">
        <f>CodePrefix&amp;$A351&amp;IF($C351="","","."&amp;$C351&amp;"."&amp;$B351)&amp;INDEX(VarEnd,MATCH($A351,VarKey,0))&amp;AG$5</f>
        <v/>
      </c>
      <c r="AH351" s="40">
        <f>INDEX(Inputs_prices!$U$7:$X$18,$F351,MATCH(AH$4,Inputs_prices!$U$6:$X$6,0))</f>
        <v/>
      </c>
      <c r="AI351" s="41">
        <f>INDEX(Inputs_prices!$U$7:$X$18,$F351,MATCH(AI$4,Inputs_prices!$U$6:$X$6,0))</f>
        <v/>
      </c>
      <c r="AJ351" s="41">
        <f>INDEX(Inputs_prices!$U$7:$X$18,$F351,MATCH(AJ$4,Inputs_prices!$U$6:$X$6,0))</f>
        <v/>
      </c>
      <c r="AK351" s="35">
        <f>$D351+(AJ351-$D351)*INDEX(AK$337:AK$340,$E351)/INDEX(AJ$337:AJ$340,$E351)</f>
        <v/>
      </c>
      <c r="AL351" s="35">
        <f>$D351+(AK351-$D351)*INDEX(AL$337:AL$340,$E351)/INDEX(AK$337:AK$340,$E351)</f>
        <v/>
      </c>
      <c r="AM351" s="35">
        <f>$D351+(AL351-$D351)*INDEX(AM$337:AM$340,$E351)/INDEX(AL$337:AL$340,$E351)</f>
        <v/>
      </c>
      <c r="AN351" s="35">
        <f>$D351+(AM351-$D351)*INDEX(AN$337:AN$340,$E351)/INDEX(AM$337:AM$340,$E351)</f>
        <v/>
      </c>
      <c r="AO351" s="35">
        <f>$D351+(AN351-$D351)*INDEX(AO$337:AO$340,$E351)/INDEX(AN$337:AN$340,$E351)</f>
        <v/>
      </c>
      <c r="AP351" s="35">
        <f>$D351+(AO351-$D351)*INDEX(AP$337:AP$340,$E351)/INDEX(AO$337:AO$340,$E351)</f>
        <v/>
      </c>
      <c r="AQ351" s="35">
        <f>$D351+(AP351-$D351)*INDEX(AQ$337:AQ$340,$E351)/INDEX(AP$337:AP$340,$E351)</f>
        <v/>
      </c>
      <c r="AR351" s="35">
        <f>$D351+(AQ351-$D351)*INDEX(AR$337:AR$340,$E351)/INDEX(AQ$337:AQ$340,$E351)</f>
        <v/>
      </c>
      <c r="AS351" s="35">
        <f>$D351+(AR351-$D351)*INDEX(AS$337:AS$340,$E351)/INDEX(AR$337:AR$340,$E351)</f>
        <v/>
      </c>
      <c r="AT351" s="35">
        <f>$D351+(AS351-$D351)*INDEX(AT$337:AT$340,$E351)/INDEX(AS$337:AS$340,$E351)</f>
        <v/>
      </c>
      <c r="AU351" s="35">
        <f>$D351+(AT351-$D351)*INDEX(AU$337:AU$340,$E351)/INDEX(AT$337:AT$340,$E351)</f>
        <v/>
      </c>
      <c r="AV351" s="35">
        <f>$D351+(AU351-$D351)*INDEX(AV$337:AV$340,$E351)/INDEX(AU$337:AU$340,$E351)</f>
        <v/>
      </c>
      <c r="AW351" s="35">
        <f>$D351+(AV351-$D351)*INDEX(AW$337:AW$340,$E351)/INDEX(AV$337:AV$340,$E351)</f>
        <v/>
      </c>
      <c r="AX351" s="35">
        <f>$D351+(AW351-$D351)*INDEX(AX$337:AX$340,$E351)/INDEX(AW$337:AW$340,$E351)</f>
        <v/>
      </c>
      <c r="AY351" s="35">
        <f>$D351+(AX351-$D351)*INDEX(AY$337:AY$340,$E351)/INDEX(AX$337:AX$340,$E351)</f>
        <v/>
      </c>
      <c r="AZ351" s="35">
        <f>$D351+(AY351-$D351)*INDEX(AZ$337:AZ$340,$E351)/INDEX(AY$337:AY$340,$E351)</f>
        <v/>
      </c>
      <c r="BA351" s="42">
        <f>SUPPLYCOST(BA$4,$F351,$D351,AZ351,INDEX(BA$337:BA$340,$E351),INDEX(AZ$337:AZ$340,$E351))</f>
        <v/>
      </c>
    </row>
    <row r="352" hidden="1" outlineLevel="1">
      <c r="A352" s="14" t="inlineStr">
        <is>
          <t>sp</t>
        </is>
      </c>
      <c r="B352" s="14" t="inlineStr">
        <is>
          <t>oop</t>
        </is>
      </c>
      <c r="C352" s="14" t="inlineStr">
        <is>
          <t>all</t>
        </is>
      </c>
      <c r="D352" s="35">
        <f>INDEX(Inputs_prices!$O$7:$O$18,MATCH($B352&amp;"."&amp;$C352,Inputs_prices!$A$7:$A$18,0))</f>
        <v/>
      </c>
      <c r="E352" s="35">
        <f>INDEX(Inputs_prices!$F$7:$F$18,MATCH($B352&amp;"."&amp;$C352,Inputs_prices!$A$7:$A$18,0))</f>
        <v/>
      </c>
      <c r="F352" s="35">
        <f>INDEX(Inputs_prices!$E$7:$E$18,MATCH($B352&amp;"."&amp;$C352,Inputs_prices!$A$7:$A$18,0))</f>
        <v/>
      </c>
      <c r="G352" s="39" t="n"/>
      <c r="H352" s="14">
        <f>INDEX(VarLab,MATCH($A352,VarKey,0))&amp;INDEX(MemLab,MATCH($C352&amp;"|"&amp;$B352,MemKey,0))</f>
        <v/>
      </c>
      <c r="I352" s="14">
        <f>INDEX(VarUnit,MATCH($A352,VarKey,0))</f>
        <v/>
      </c>
      <c r="J352" s="14">
        <f>INDEX(VarSrc,MATCH($A352,VarKey,0))</f>
        <v/>
      </c>
      <c r="K352" s="11">
        <f>CodePrefix&amp;$A352&amp;IF($C352="","","."&amp;$C352&amp;"."&amp;$B352)&amp;INDEX(VarEnd,MATCH($A352,VarKey,0))&amp;K$5</f>
        <v/>
      </c>
      <c r="L352" s="40">
        <f>INDEX(Inputs_prices!$U$7:$X$18,$F352,MATCH(L$4,Inputs_prices!$U$6:$X$6,0))</f>
        <v/>
      </c>
      <c r="M352" s="41">
        <f>INDEX(Inputs_prices!$U$7:$X$18,$F352,MATCH(M$4,Inputs_prices!$U$6:$X$6,0))</f>
        <v/>
      </c>
      <c r="N352" s="41">
        <f>INDEX(Inputs_prices!$U$7:$X$18,$F352,MATCH(N$4,Inputs_prices!$U$6:$X$6,0))</f>
        <v/>
      </c>
      <c r="O352" s="35">
        <f>$D352+(N352-$D352)*INDEX(O$337:O$340,$E352)/INDEX(N$337:N$340,$E352)</f>
        <v/>
      </c>
      <c r="P352" s="35">
        <f>$D352+(O352-$D352)*INDEX(P$337:P$340,$E352)/INDEX(O$337:O$340,$E352)</f>
        <v/>
      </c>
      <c r="Q352" s="35">
        <f>$D352+(P352-$D352)*INDEX(Q$337:Q$340,$E352)/INDEX(P$337:P$340,$E352)</f>
        <v/>
      </c>
      <c r="R352" s="35">
        <f>$D352+(Q352-$D352)*INDEX(R$337:R$340,$E352)/INDEX(Q$337:Q$340,$E352)</f>
        <v/>
      </c>
      <c r="S352" s="35">
        <f>$D352+(R352-$D352)*INDEX(S$337:S$340,$E352)/INDEX(R$337:R$340,$E352)</f>
        <v/>
      </c>
      <c r="T352" s="35">
        <f>$D352+(S352-$D352)*INDEX(T$337:T$340,$E352)/INDEX(S$337:S$340,$E352)</f>
        <v/>
      </c>
      <c r="U352" s="35">
        <f>$D352+(T352-$D352)*INDEX(U$337:U$340,$E352)/INDEX(T$337:T$340,$E352)</f>
        <v/>
      </c>
      <c r="V352" s="35">
        <f>$D352+(U352-$D352)*INDEX(V$337:V$340,$E352)/INDEX(U$337:U$340,$E352)</f>
        <v/>
      </c>
      <c r="W352" s="35">
        <f>$D352+(V352-$D352)*INDEX(W$337:W$340,$E352)/INDEX(V$337:V$340,$E352)</f>
        <v/>
      </c>
      <c r="X352" s="35">
        <f>$D352+(W352-$D352)*INDEX(X$337:X$340,$E352)/INDEX(W$337:W$340,$E352)</f>
        <v/>
      </c>
      <c r="Y352" s="35">
        <f>$D352+(X352-$D352)*INDEX(Y$337:Y$340,$E352)/INDEX(X$337:X$340,$E352)</f>
        <v/>
      </c>
      <c r="Z352" s="35">
        <f>$D352+(Y352-$D352)*INDEX(Z$337:Z$340,$E352)/INDEX(Y$337:Y$340,$E352)</f>
        <v/>
      </c>
      <c r="AA352" s="35">
        <f>$D352+(Z352-$D352)*INDEX(AA$337:AA$340,$E352)/INDEX(Z$337:Z$340,$E352)</f>
        <v/>
      </c>
      <c r="AB352" s="35">
        <f>$D352+(AA352-$D352)*INDEX(AB$337:AB$340,$E352)/INDEX(AA$337:AA$340,$E352)</f>
        <v/>
      </c>
      <c r="AC352" s="35">
        <f>$D352+(AB352-$D352)*INDEX(AC$337:AC$340,$E352)/INDEX(AB$337:AB$340,$E352)</f>
        <v/>
      </c>
      <c r="AD352" s="35">
        <f>$D352+(AC352-$D352)*INDEX(AD$337:AD$340,$E352)/INDEX(AC$337:AC$340,$E352)</f>
        <v/>
      </c>
      <c r="AE352" s="42">
        <f>SUPPLYCOST(AE$4,$F352,$D352,AD352,INDEX(AE$337:AE$340,$E352),INDEX(AD$337:AD$340,$E352))</f>
        <v/>
      </c>
      <c r="AG352" s="11">
        <f>CodePrefix&amp;$A352&amp;IF($C352="","","."&amp;$C352&amp;"."&amp;$B352)&amp;INDEX(VarEnd,MATCH($A352,VarKey,0))&amp;AG$5</f>
        <v/>
      </c>
      <c r="AH352" s="40">
        <f>INDEX(Inputs_prices!$U$7:$X$18,$F352,MATCH(AH$4,Inputs_prices!$U$6:$X$6,0))</f>
        <v/>
      </c>
      <c r="AI352" s="41">
        <f>INDEX(Inputs_prices!$U$7:$X$18,$F352,MATCH(AI$4,Inputs_prices!$U$6:$X$6,0))</f>
        <v/>
      </c>
      <c r="AJ352" s="41">
        <f>INDEX(Inputs_prices!$U$7:$X$18,$F352,MATCH(AJ$4,Inputs_prices!$U$6:$X$6,0))</f>
        <v/>
      </c>
      <c r="AK352" s="35">
        <f>$D352+(AJ352-$D352)*INDEX(AK$337:AK$340,$E352)/INDEX(AJ$337:AJ$340,$E352)</f>
        <v/>
      </c>
      <c r="AL352" s="35">
        <f>$D352+(AK352-$D352)*INDEX(AL$337:AL$340,$E352)/INDEX(AK$337:AK$340,$E352)</f>
        <v/>
      </c>
      <c r="AM352" s="35">
        <f>$D352+(AL352-$D352)*INDEX(AM$337:AM$340,$E352)/INDEX(AL$337:AL$340,$E352)</f>
        <v/>
      </c>
      <c r="AN352" s="35">
        <f>$D352+(AM352-$D352)*INDEX(AN$337:AN$340,$E352)/INDEX(AM$337:AM$340,$E352)</f>
        <v/>
      </c>
      <c r="AO352" s="35">
        <f>$D352+(AN352-$D352)*INDEX(AO$337:AO$340,$E352)/INDEX(AN$337:AN$340,$E352)</f>
        <v/>
      </c>
      <c r="AP352" s="35">
        <f>$D352+(AO352-$D352)*INDEX(AP$337:AP$340,$E352)/INDEX(AO$337:AO$340,$E352)</f>
        <v/>
      </c>
      <c r="AQ352" s="35">
        <f>$D352+(AP352-$D352)*INDEX(AQ$337:AQ$340,$E352)/INDEX(AP$337:AP$340,$E352)</f>
        <v/>
      </c>
      <c r="AR352" s="35">
        <f>$D352+(AQ352-$D352)*INDEX(AR$337:AR$340,$E352)/INDEX(AQ$337:AQ$340,$E352)</f>
        <v/>
      </c>
      <c r="AS352" s="35">
        <f>$D352+(AR352-$D352)*INDEX(AS$337:AS$340,$E352)/INDEX(AR$337:AR$340,$E352)</f>
        <v/>
      </c>
      <c r="AT352" s="35">
        <f>$D352+(AS352-$D352)*INDEX(AT$337:AT$340,$E352)/INDEX(AS$337:AS$340,$E352)</f>
        <v/>
      </c>
      <c r="AU352" s="35">
        <f>$D352+(AT352-$D352)*INDEX(AU$337:AU$340,$E352)/INDEX(AT$337:AT$340,$E352)</f>
        <v/>
      </c>
      <c r="AV352" s="35">
        <f>$D352+(AU352-$D352)*INDEX(AV$337:AV$340,$E352)/INDEX(AU$337:AU$340,$E352)</f>
        <v/>
      </c>
      <c r="AW352" s="35">
        <f>$D352+(AV352-$D352)*INDEX(AW$337:AW$340,$E352)/INDEX(AV$337:AV$340,$E352)</f>
        <v/>
      </c>
      <c r="AX352" s="35">
        <f>$D352+(AW352-$D352)*INDEX(AX$337:AX$340,$E352)/INDEX(AW$337:AW$340,$E352)</f>
        <v/>
      </c>
      <c r="AY352" s="35">
        <f>$D352+(AX352-$D352)*INDEX(AY$337:AY$340,$E352)/INDEX(AX$337:AX$340,$E352)</f>
        <v/>
      </c>
      <c r="AZ352" s="35">
        <f>$D352+(AY352-$D352)*INDEX(AZ$337:AZ$340,$E352)/INDEX(AY$337:AY$340,$E352)</f>
        <v/>
      </c>
      <c r="BA352" s="42">
        <f>SUPPLYCOST(BA$4,$F352,$D352,AZ352,INDEX(BA$337:BA$340,$E352),INDEX(AZ$337:AZ$340,$E352))</f>
        <v/>
      </c>
    </row>
    <row r="353" hidden="1" outlineLevel="1">
      <c r="A353" s="14" t="inlineStr">
        <is>
          <t>sp</t>
        </is>
      </c>
      <c r="B353" s="14" t="inlineStr">
        <is>
          <t>bio</t>
        </is>
      </c>
      <c r="C353" s="14" t="inlineStr">
        <is>
          <t>all</t>
        </is>
      </c>
      <c r="D353" s="35">
        <f>INDEX(Inputs_prices!$O$7:$O$18,MATCH($B353&amp;"."&amp;$C353,Inputs_prices!$A$7:$A$18,0))</f>
        <v/>
      </c>
      <c r="E353" s="35">
        <f>INDEX(Inputs_prices!$F$7:$F$18,MATCH($B353&amp;"."&amp;$C353,Inputs_prices!$A$7:$A$18,0))</f>
        <v/>
      </c>
      <c r="F353" s="35">
        <f>INDEX(Inputs_prices!$E$7:$E$18,MATCH($B353&amp;"."&amp;$C353,Inputs_prices!$A$7:$A$18,0))</f>
        <v/>
      </c>
      <c r="G353" s="39" t="n"/>
      <c r="H353" s="14">
        <f>INDEX(VarLab,MATCH($A353,VarKey,0))&amp;INDEX(MemLab,MATCH($C353&amp;"|"&amp;$B353,MemKey,0))</f>
        <v/>
      </c>
      <c r="I353" s="14">
        <f>INDEX(VarUnit,MATCH($A353,VarKey,0))</f>
        <v/>
      </c>
      <c r="J353" s="14">
        <f>INDEX(VarSrc,MATCH($A353,VarKey,0))</f>
        <v/>
      </c>
      <c r="K353" s="11">
        <f>CodePrefix&amp;$A353&amp;IF($C353="","","."&amp;$C353&amp;"."&amp;$B353)&amp;INDEX(VarEnd,MATCH($A353,VarKey,0))&amp;K$5</f>
        <v/>
      </c>
      <c r="L353" s="40">
        <f>INDEX(Inputs_prices!$U$7:$X$18,$F353,MATCH(L$4,Inputs_prices!$U$6:$X$6,0))</f>
        <v/>
      </c>
      <c r="M353" s="41">
        <f>INDEX(Inputs_prices!$U$7:$X$18,$F353,MATCH(M$4,Inputs_prices!$U$6:$X$6,0))</f>
        <v/>
      </c>
      <c r="N353" s="41">
        <f>INDEX(Inputs_prices!$U$7:$X$18,$F353,MATCH(N$4,Inputs_prices!$U$6:$X$6,0))</f>
        <v/>
      </c>
      <c r="O353" s="35">
        <f>$D353+(N353-$D353)*INDEX(O$337:O$340,$E353)/INDEX(N$337:N$340,$E353)</f>
        <v/>
      </c>
      <c r="P353" s="35">
        <f>$D353+(O353-$D353)*INDEX(P$337:P$340,$E353)/INDEX(O$337:O$340,$E353)</f>
        <v/>
      </c>
      <c r="Q353" s="35">
        <f>$D353+(P353-$D353)*INDEX(Q$337:Q$340,$E353)/INDEX(P$337:P$340,$E353)</f>
        <v/>
      </c>
      <c r="R353" s="35">
        <f>$D353+(Q353-$D353)*INDEX(R$337:R$340,$E353)/INDEX(Q$337:Q$340,$E353)</f>
        <v/>
      </c>
      <c r="S353" s="35">
        <f>$D353+(R353-$D353)*INDEX(S$337:S$340,$E353)/INDEX(R$337:R$340,$E353)</f>
        <v/>
      </c>
      <c r="T353" s="35">
        <f>$D353+(S353-$D353)*INDEX(T$337:T$340,$E353)/INDEX(S$337:S$340,$E353)</f>
        <v/>
      </c>
      <c r="U353" s="35">
        <f>$D353+(T353-$D353)*INDEX(U$337:U$340,$E353)/INDEX(T$337:T$340,$E353)</f>
        <v/>
      </c>
      <c r="V353" s="35">
        <f>$D353+(U353-$D353)*INDEX(V$337:V$340,$E353)/INDEX(U$337:U$340,$E353)</f>
        <v/>
      </c>
      <c r="W353" s="35">
        <f>$D353+(V353-$D353)*INDEX(W$337:W$340,$E353)/INDEX(V$337:V$340,$E353)</f>
        <v/>
      </c>
      <c r="X353" s="35">
        <f>$D353+(W353-$D353)*INDEX(X$337:X$340,$E353)/INDEX(W$337:W$340,$E353)</f>
        <v/>
      </c>
      <c r="Y353" s="35">
        <f>$D353+(X353-$D353)*INDEX(Y$337:Y$340,$E353)/INDEX(X$337:X$340,$E353)</f>
        <v/>
      </c>
      <c r="Z353" s="35">
        <f>$D353+(Y353-$D353)*INDEX(Z$337:Z$340,$E353)/INDEX(Y$337:Y$340,$E353)</f>
        <v/>
      </c>
      <c r="AA353" s="35">
        <f>$D353+(Z353-$D353)*INDEX(AA$337:AA$340,$E353)/INDEX(Z$337:Z$340,$E353)</f>
        <v/>
      </c>
      <c r="AB353" s="35">
        <f>$D353+(AA353-$D353)*INDEX(AB$337:AB$340,$E353)/INDEX(AA$337:AA$340,$E353)</f>
        <v/>
      </c>
      <c r="AC353" s="35">
        <f>$D353+(AB353-$D353)*INDEX(AC$337:AC$340,$E353)/INDEX(AB$337:AB$340,$E353)</f>
        <v/>
      </c>
      <c r="AD353" s="35">
        <f>$D353+(AC353-$D353)*INDEX(AD$337:AD$340,$E353)/INDEX(AC$337:AC$340,$E353)</f>
        <v/>
      </c>
      <c r="AE353" s="42">
        <f>SUPPLYCOST(AE$4,$F353,$D353,AD353,INDEX(AE$337:AE$340,$E353),INDEX(AD$337:AD$340,$E353))</f>
        <v/>
      </c>
      <c r="AG353" s="11">
        <f>CodePrefix&amp;$A353&amp;IF($C353="","","."&amp;$C353&amp;"."&amp;$B353)&amp;INDEX(VarEnd,MATCH($A353,VarKey,0))&amp;AG$5</f>
        <v/>
      </c>
      <c r="AH353" s="40">
        <f>INDEX(Inputs_prices!$U$7:$X$18,$F353,MATCH(AH$4,Inputs_prices!$U$6:$X$6,0))</f>
        <v/>
      </c>
      <c r="AI353" s="41">
        <f>INDEX(Inputs_prices!$U$7:$X$18,$F353,MATCH(AI$4,Inputs_prices!$U$6:$X$6,0))</f>
        <v/>
      </c>
      <c r="AJ353" s="41">
        <f>INDEX(Inputs_prices!$U$7:$X$18,$F353,MATCH(AJ$4,Inputs_prices!$U$6:$X$6,0))</f>
        <v/>
      </c>
      <c r="AK353" s="35">
        <f>$D353+(AJ353-$D353)*INDEX(AK$337:AK$340,$E353)/INDEX(AJ$337:AJ$340,$E353)</f>
        <v/>
      </c>
      <c r="AL353" s="35">
        <f>$D353+(AK353-$D353)*INDEX(AL$337:AL$340,$E353)/INDEX(AK$337:AK$340,$E353)</f>
        <v/>
      </c>
      <c r="AM353" s="35">
        <f>$D353+(AL353-$D353)*INDEX(AM$337:AM$340,$E353)/INDEX(AL$337:AL$340,$E353)</f>
        <v/>
      </c>
      <c r="AN353" s="35">
        <f>$D353+(AM353-$D353)*INDEX(AN$337:AN$340,$E353)/INDEX(AM$337:AM$340,$E353)</f>
        <v/>
      </c>
      <c r="AO353" s="35">
        <f>$D353+(AN353-$D353)*INDEX(AO$337:AO$340,$E353)/INDEX(AN$337:AN$340,$E353)</f>
        <v/>
      </c>
      <c r="AP353" s="35">
        <f>$D353+(AO353-$D353)*INDEX(AP$337:AP$340,$E353)/INDEX(AO$337:AO$340,$E353)</f>
        <v/>
      </c>
      <c r="AQ353" s="35">
        <f>$D353+(AP353-$D353)*INDEX(AQ$337:AQ$340,$E353)/INDEX(AP$337:AP$340,$E353)</f>
        <v/>
      </c>
      <c r="AR353" s="35">
        <f>$D353+(AQ353-$D353)*INDEX(AR$337:AR$340,$E353)/INDEX(AQ$337:AQ$340,$E353)</f>
        <v/>
      </c>
      <c r="AS353" s="35">
        <f>$D353+(AR353-$D353)*INDEX(AS$337:AS$340,$E353)/INDEX(AR$337:AR$340,$E353)</f>
        <v/>
      </c>
      <c r="AT353" s="35">
        <f>$D353+(AS353-$D353)*INDEX(AT$337:AT$340,$E353)/INDEX(AS$337:AS$340,$E353)</f>
        <v/>
      </c>
      <c r="AU353" s="35">
        <f>$D353+(AT353-$D353)*INDEX(AU$337:AU$340,$E353)/INDEX(AT$337:AT$340,$E353)</f>
        <v/>
      </c>
      <c r="AV353" s="35">
        <f>$D353+(AU353-$D353)*INDEX(AV$337:AV$340,$E353)/INDEX(AU$337:AU$340,$E353)</f>
        <v/>
      </c>
      <c r="AW353" s="35">
        <f>$D353+(AV353-$D353)*INDEX(AW$337:AW$340,$E353)/INDEX(AV$337:AV$340,$E353)</f>
        <v/>
      </c>
      <c r="AX353" s="35">
        <f>$D353+(AW353-$D353)*INDEX(AX$337:AX$340,$E353)/INDEX(AW$337:AW$340,$E353)</f>
        <v/>
      </c>
      <c r="AY353" s="35">
        <f>$D353+(AX353-$D353)*INDEX(AY$337:AY$340,$E353)/INDEX(AX$337:AX$340,$E353)</f>
        <v/>
      </c>
      <c r="AZ353" s="35">
        <f>$D353+(AY353-$D353)*INDEX(AZ$337:AZ$340,$E353)/INDEX(AY$337:AY$340,$E353)</f>
        <v/>
      </c>
      <c r="BA353" s="42">
        <f>SUPPLYCOST(BA$4,$F353,$D353,AZ353,INDEX(BA$337:BA$340,$E353),INDEX(AZ$337:AZ$340,$E353))</f>
        <v/>
      </c>
    </row>
    <row r="354" hidden="1" outlineLevel="1"/>
    <row r="355" hidden="1" outlineLevel="1">
      <c r="A355" s="14" t="inlineStr">
        <is>
          <t>txf</t>
        </is>
      </c>
      <c r="B355" s="14" t="inlineStr">
        <is>
          <t>coa</t>
        </is>
      </c>
      <c r="C355" s="14" t="inlineStr">
        <is>
          <t>pow</t>
        </is>
      </c>
      <c r="D355" s="35">
        <f>INDEX(Inputs_prices!$T$7:$T$18,MATCH($B355&amp;"."&amp;$C355,Inputs_prices!$A$7:$A$18,0))</f>
        <v/>
      </c>
      <c r="E355" s="35">
        <f>INDEX(Inputs_prices!$S$7:$S$18,MATCH($B355&amp;"."&amp;$C355,Inputs_prices!$A$7:$A$18,0))</f>
        <v/>
      </c>
      <c r="F355" s="35">
        <f>INDEX(Inputs_prices!$K$7:$K$18,MATCH($B355&amp;"."&amp;$C355,Inputs_prices!$A$7:$A$18,0))</f>
        <v/>
      </c>
      <c r="G355" s="39" t="n"/>
      <c r="H355" s="14">
        <f>INDEX(VarLab,MATCH($A355,VarKey,0))&amp;INDEX(MemLab,MATCH($C355&amp;"|"&amp;$B355,MemKey,0))</f>
        <v/>
      </c>
      <c r="I355" s="14">
        <f>INDEX(VarUnit,MATCH($A355,VarKey,0))</f>
        <v/>
      </c>
      <c r="J355" s="14">
        <f>INDEX(VarSrc,MATCH($A355,VarKey,0))</f>
        <v/>
      </c>
      <c r="K355" s="11">
        <f>CodePrefix&amp;$A355&amp;IF($C355="","","."&amp;$C355&amp;"."&amp;$B355)&amp;INDEX(VarEnd,MATCH($A355,VarKey,0))&amp;K$5</f>
        <v/>
      </c>
      <c r="L355" s="40">
        <f>($E355-L342+$D355*(1-$F355))*(1-$F355)</f>
        <v/>
      </c>
      <c r="M355" s="35">
        <f>($E355-M342+$D355*(1-$F355))*(1-$F355)</f>
        <v/>
      </c>
      <c r="N355" s="35">
        <f>($E355-N342+$D355*(1-$F355))*(1-$F355)</f>
        <v/>
      </c>
      <c r="O355" s="35">
        <f>($E355-O342+$D355*(1-$F355))*(1-$F355)</f>
        <v/>
      </c>
      <c r="P355" s="35">
        <f>($E355-P342+$D355*(1-$F355))*(1-$F355)</f>
        <v/>
      </c>
      <c r="Q355" s="35">
        <f>($E355-Q342+$D355*(1-$F355))*(1-$F355)</f>
        <v/>
      </c>
      <c r="R355" s="35">
        <f>($E355-R342+$D355*(1-$F355))*(1-$F355)</f>
        <v/>
      </c>
      <c r="S355" s="35">
        <f>($E355-S342+$D355*(1-$F355))*(1-$F355)</f>
        <v/>
      </c>
      <c r="T355" s="35">
        <f>($E355-T342+$D355*(1-$F355))*(1-$F355)</f>
        <v/>
      </c>
      <c r="U355" s="35">
        <f>($E355-U342+$D355*(1-$F355))*(1-$F355)</f>
        <v/>
      </c>
      <c r="V355" s="35">
        <f>($E355-V342+$D355*(1-$F355))*(1-$F355)</f>
        <v/>
      </c>
      <c r="W355" s="35">
        <f>($E355-W342+$D355*(1-$F355))*(1-$F355)</f>
        <v/>
      </c>
      <c r="X355" s="35">
        <f>($E355-X342+$D355*(1-$F355))*(1-$F355)</f>
        <v/>
      </c>
      <c r="Y355" s="35">
        <f>($E355-Y342+$D355*(1-$F355))*(1-$F355)</f>
        <v/>
      </c>
      <c r="Z355" s="35">
        <f>($E355-Z342+$D355*(1-$F355))*(1-$F355)</f>
        <v/>
      </c>
      <c r="AA355" s="35">
        <f>($E355-AA342+$D355*(1-$F355))*(1-$F355)</f>
        <v/>
      </c>
      <c r="AB355" s="35">
        <f>($E355-AB342+$D355*(1-$F355))*(1-$F355)</f>
        <v/>
      </c>
      <c r="AC355" s="35">
        <f>($E355-AC342+$D355*(1-$F355))*(1-$F355)</f>
        <v/>
      </c>
      <c r="AD355" s="35">
        <f>($E355-AD342+$D355*(1-$F355))*(1-$F355)</f>
        <v/>
      </c>
      <c r="AE355" s="42">
        <f>FLOATTAX($D355,$E355,AE342,$F355)</f>
        <v/>
      </c>
      <c r="AG355" s="11">
        <f>CodePrefix&amp;$A355&amp;IF($C355="","","."&amp;$C355&amp;"."&amp;$B355)&amp;INDEX(VarEnd,MATCH($A355,VarKey,0))&amp;AG$5</f>
        <v/>
      </c>
      <c r="AH355" s="40">
        <f>($E355-AH342+$D355*(1-$F355))*(1-$F355)</f>
        <v/>
      </c>
      <c r="AI355" s="35">
        <f>($E355-AI342+$D355*(1-$F355))*(1-$F355)</f>
        <v/>
      </c>
      <c r="AJ355" s="35">
        <f>($E355-AJ342+$D355*(1-$F355))*(1-$F355)</f>
        <v/>
      </c>
      <c r="AK355" s="35">
        <f>($E355-AK342+$D355*(1-$F355))*(1-$F355)</f>
        <v/>
      </c>
      <c r="AL355" s="35">
        <f>($E355-AL342+$D355*(1-$F355))*(1-$F355)</f>
        <v/>
      </c>
      <c r="AM355" s="35">
        <f>($E355-AM342+$D355*(1-$F355))*(1-$F355)</f>
        <v/>
      </c>
      <c r="AN355" s="35">
        <f>($E355-AN342+$D355*(1-$F355))*(1-$F355)</f>
        <v/>
      </c>
      <c r="AO355" s="35">
        <f>($E355-AO342+$D355*(1-$F355))*(1-$F355)</f>
        <v/>
      </c>
      <c r="AP355" s="35">
        <f>($E355-AP342+$D355*(1-$F355))*(1-$F355)</f>
        <v/>
      </c>
      <c r="AQ355" s="35">
        <f>($E355-AQ342+$D355*(1-$F355))*(1-$F355)</f>
        <v/>
      </c>
      <c r="AR355" s="35">
        <f>($E355-AR342+$D355*(1-$F355))*(1-$F355)</f>
        <v/>
      </c>
      <c r="AS355" s="35">
        <f>($E355-AS342+$D355*(1-$F355))*(1-$F355)</f>
        <v/>
      </c>
      <c r="AT355" s="35">
        <f>($E355-AT342+$D355*(1-$F355))*(1-$F355)</f>
        <v/>
      </c>
      <c r="AU355" s="35">
        <f>($E355-AU342+$D355*(1-$F355))*(1-$F355)</f>
        <v/>
      </c>
      <c r="AV355" s="35">
        <f>($E355-AV342+$D355*(1-$F355))*(1-$F355)</f>
        <v/>
      </c>
      <c r="AW355" s="35">
        <f>($E355-AW342+$D355*(1-$F355))*(1-$F355)</f>
        <v/>
      </c>
      <c r="AX355" s="35">
        <f>($E355-AX342+$D355*(1-$F355))*(1-$F355)</f>
        <v/>
      </c>
      <c r="AY355" s="35">
        <f>($E355-AY342+$D355*(1-$F355))*(1-$F355)</f>
        <v/>
      </c>
      <c r="AZ355" s="35">
        <f>($E355-AZ342+$D355*(1-$F355))*(1-$F355)</f>
        <v/>
      </c>
      <c r="BA355" s="42">
        <f>FLOATTAX($D355,$E355,BA342,$F355)</f>
        <v/>
      </c>
    </row>
    <row r="356" hidden="1" outlineLevel="1">
      <c r="A356" s="14" t="inlineStr">
        <is>
          <t>txf</t>
        </is>
      </c>
      <c r="B356" s="14" t="inlineStr">
        <is>
          <t>coa</t>
        </is>
      </c>
      <c r="C356" s="14" t="inlineStr">
        <is>
          <t>res</t>
        </is>
      </c>
      <c r="D356" s="35">
        <f>INDEX(Inputs_prices!$T$7:$T$18,MATCH($B356&amp;"."&amp;$C356,Inputs_prices!$A$7:$A$18,0))</f>
        <v/>
      </c>
      <c r="E356" s="35">
        <f>INDEX(Inputs_prices!$S$7:$S$18,MATCH($B356&amp;"."&amp;$C356,Inputs_prices!$A$7:$A$18,0))</f>
        <v/>
      </c>
      <c r="F356" s="35">
        <f>INDEX(Inputs_prices!$K$7:$K$18,MATCH($B356&amp;"."&amp;$C356,Inputs_prices!$A$7:$A$18,0))</f>
        <v/>
      </c>
      <c r="G356" s="39" t="n"/>
      <c r="H356" s="14">
        <f>INDEX(VarLab,MATCH($A356,VarKey,0))&amp;INDEX(MemLab,MATCH($C356&amp;"|"&amp;$B356,MemKey,0))</f>
        <v/>
      </c>
      <c r="I356" s="14">
        <f>INDEX(VarUnit,MATCH($A356,VarKey,0))</f>
        <v/>
      </c>
      <c r="J356" s="14">
        <f>INDEX(VarSrc,MATCH($A356,VarKey,0))</f>
        <v/>
      </c>
      <c r="K356" s="11">
        <f>CodePrefix&amp;$A356&amp;IF($C356="","","."&amp;$C356&amp;"."&amp;$B356)&amp;INDEX(VarEnd,MATCH($A356,VarKey,0))&amp;K$5</f>
        <v/>
      </c>
      <c r="L356" s="40">
        <f>($E356-L343+$D356*(1-$F356))*(1-$F356)</f>
        <v/>
      </c>
      <c r="M356" s="35">
        <f>($E356-M343+$D356*(1-$F356))*(1-$F356)</f>
        <v/>
      </c>
      <c r="N356" s="35">
        <f>($E356-N343+$D356*(1-$F356))*(1-$F356)</f>
        <v/>
      </c>
      <c r="O356" s="35">
        <f>($E356-O343+$D356*(1-$F356))*(1-$F356)</f>
        <v/>
      </c>
      <c r="P356" s="35">
        <f>($E356-P343+$D356*(1-$F356))*(1-$F356)</f>
        <v/>
      </c>
      <c r="Q356" s="35">
        <f>($E356-Q343+$D356*(1-$F356))*(1-$F356)</f>
        <v/>
      </c>
      <c r="R356" s="35">
        <f>($E356-R343+$D356*(1-$F356))*(1-$F356)</f>
        <v/>
      </c>
      <c r="S356" s="35">
        <f>($E356-S343+$D356*(1-$F356))*(1-$F356)</f>
        <v/>
      </c>
      <c r="T356" s="35">
        <f>($E356-T343+$D356*(1-$F356))*(1-$F356)</f>
        <v/>
      </c>
      <c r="U356" s="35">
        <f>($E356-U343+$D356*(1-$F356))*(1-$F356)</f>
        <v/>
      </c>
      <c r="V356" s="35">
        <f>($E356-V343+$D356*(1-$F356))*(1-$F356)</f>
        <v/>
      </c>
      <c r="W356" s="35">
        <f>($E356-W343+$D356*(1-$F356))*(1-$F356)</f>
        <v/>
      </c>
      <c r="X356" s="35">
        <f>($E356-X343+$D356*(1-$F356))*(1-$F356)</f>
        <v/>
      </c>
      <c r="Y356" s="35">
        <f>($E356-Y343+$D356*(1-$F356))*(1-$F356)</f>
        <v/>
      </c>
      <c r="Z356" s="35">
        <f>($E356-Z343+$D356*(1-$F356))*(1-$F356)</f>
        <v/>
      </c>
      <c r="AA356" s="35">
        <f>($E356-AA343+$D356*(1-$F356))*(1-$F356)</f>
        <v/>
      </c>
      <c r="AB356" s="35">
        <f>($E356-AB343+$D356*(1-$F356))*(1-$F356)</f>
        <v/>
      </c>
      <c r="AC356" s="35">
        <f>($E356-AC343+$D356*(1-$F356))*(1-$F356)</f>
        <v/>
      </c>
      <c r="AD356" s="35">
        <f>($E356-AD343+$D356*(1-$F356))*(1-$F356)</f>
        <v/>
      </c>
      <c r="AE356" s="42">
        <f>FLOATTAX($D356,$E356,AE343,$F356)</f>
        <v/>
      </c>
      <c r="AG356" s="11">
        <f>CodePrefix&amp;$A356&amp;IF($C356="","","."&amp;$C356&amp;"."&amp;$B356)&amp;INDEX(VarEnd,MATCH($A356,VarKey,0))&amp;AG$5</f>
        <v/>
      </c>
      <c r="AH356" s="40">
        <f>($E356-AH343+$D356*(1-$F356))*(1-$F356)</f>
        <v/>
      </c>
      <c r="AI356" s="35">
        <f>($E356-AI343+$D356*(1-$F356))*(1-$F356)</f>
        <v/>
      </c>
      <c r="AJ356" s="35">
        <f>($E356-AJ343+$D356*(1-$F356))*(1-$F356)</f>
        <v/>
      </c>
      <c r="AK356" s="35">
        <f>($E356-AK343+$D356*(1-$F356))*(1-$F356)</f>
        <v/>
      </c>
      <c r="AL356" s="35">
        <f>($E356-AL343+$D356*(1-$F356))*(1-$F356)</f>
        <v/>
      </c>
      <c r="AM356" s="35">
        <f>($E356-AM343+$D356*(1-$F356))*(1-$F356)</f>
        <v/>
      </c>
      <c r="AN356" s="35">
        <f>($E356-AN343+$D356*(1-$F356))*(1-$F356)</f>
        <v/>
      </c>
      <c r="AO356" s="35">
        <f>($E356-AO343+$D356*(1-$F356))*(1-$F356)</f>
        <v/>
      </c>
      <c r="AP356" s="35">
        <f>($E356-AP343+$D356*(1-$F356))*(1-$F356)</f>
        <v/>
      </c>
      <c r="AQ356" s="35">
        <f>($E356-AQ343+$D356*(1-$F356))*(1-$F356)</f>
        <v/>
      </c>
      <c r="AR356" s="35">
        <f>($E356-AR343+$D356*(1-$F356))*(1-$F356)</f>
        <v/>
      </c>
      <c r="AS356" s="35">
        <f>($E356-AS343+$D356*(1-$F356))*(1-$F356)</f>
        <v/>
      </c>
      <c r="AT356" s="35">
        <f>($E356-AT343+$D356*(1-$F356))*(1-$F356)</f>
        <v/>
      </c>
      <c r="AU356" s="35">
        <f>($E356-AU343+$D356*(1-$F356))*(1-$F356)</f>
        <v/>
      </c>
      <c r="AV356" s="35">
        <f>($E356-AV343+$D356*(1-$F356))*(1-$F356)</f>
        <v/>
      </c>
      <c r="AW356" s="35">
        <f>($E356-AW343+$D356*(1-$F356))*(1-$F356)</f>
        <v/>
      </c>
      <c r="AX356" s="35">
        <f>($E356-AX343+$D356*(1-$F356))*(1-$F356)</f>
        <v/>
      </c>
      <c r="AY356" s="35">
        <f>($E356-AY343+$D356*(1-$F356))*(1-$F356)</f>
        <v/>
      </c>
      <c r="AZ356" s="35">
        <f>($E356-AZ343+$D356*(1-$F356))*(1-$F356)</f>
        <v/>
      </c>
      <c r="BA356" s="42">
        <f>FLOATTAX($D356,$E356,BA343,$F356)</f>
        <v/>
      </c>
    </row>
    <row r="357" hidden="1" outlineLevel="1">
      <c r="A357" s="14" t="inlineStr">
        <is>
          <t>txf</t>
        </is>
      </c>
      <c r="B357" s="14" t="inlineStr">
        <is>
          <t>coa</t>
        </is>
      </c>
      <c r="C357" s="14" t="inlineStr">
        <is>
          <t>ind</t>
        </is>
      </c>
      <c r="D357" s="35">
        <f>INDEX(Inputs_prices!$T$7:$T$18,MATCH($B357&amp;"."&amp;$C357,Inputs_prices!$A$7:$A$18,0))</f>
        <v/>
      </c>
      <c r="E357" s="35">
        <f>INDEX(Inputs_prices!$S$7:$S$18,MATCH($B357&amp;"."&amp;$C357,Inputs_prices!$A$7:$A$18,0))</f>
        <v/>
      </c>
      <c r="F357" s="35">
        <f>INDEX(Inputs_prices!$K$7:$K$18,MATCH($B357&amp;"."&amp;$C357,Inputs_prices!$A$7:$A$18,0))</f>
        <v/>
      </c>
      <c r="G357" s="39" t="n"/>
      <c r="H357" s="14">
        <f>INDEX(VarLab,MATCH($A357,VarKey,0))&amp;INDEX(MemLab,MATCH($C357&amp;"|"&amp;$B357,MemKey,0))</f>
        <v/>
      </c>
      <c r="I357" s="14">
        <f>INDEX(VarUnit,MATCH($A357,VarKey,0))</f>
        <v/>
      </c>
      <c r="J357" s="14">
        <f>INDEX(VarSrc,MATCH($A357,VarKey,0))</f>
        <v/>
      </c>
      <c r="K357" s="11">
        <f>CodePrefix&amp;$A357&amp;IF($C357="","","."&amp;$C357&amp;"."&amp;$B357)&amp;INDEX(VarEnd,MATCH($A357,VarKey,0))&amp;K$5</f>
        <v/>
      </c>
      <c r="L357" s="40">
        <f>($E357-L344+$D357*(1-$F357))*(1-$F357)</f>
        <v/>
      </c>
      <c r="M357" s="35">
        <f>($E357-M344+$D357*(1-$F357))*(1-$F357)</f>
        <v/>
      </c>
      <c r="N357" s="35">
        <f>($E357-N344+$D357*(1-$F357))*(1-$F357)</f>
        <v/>
      </c>
      <c r="O357" s="35">
        <f>($E357-O344+$D357*(1-$F357))*(1-$F357)</f>
        <v/>
      </c>
      <c r="P357" s="35">
        <f>($E357-P344+$D357*(1-$F357))*(1-$F357)</f>
        <v/>
      </c>
      <c r="Q357" s="35">
        <f>($E357-Q344+$D357*(1-$F357))*(1-$F357)</f>
        <v/>
      </c>
      <c r="R357" s="35">
        <f>($E357-R344+$D357*(1-$F357))*(1-$F357)</f>
        <v/>
      </c>
      <c r="S357" s="35">
        <f>($E357-S344+$D357*(1-$F357))*(1-$F357)</f>
        <v/>
      </c>
      <c r="T357" s="35">
        <f>($E357-T344+$D357*(1-$F357))*(1-$F357)</f>
        <v/>
      </c>
      <c r="U357" s="35">
        <f>($E357-U344+$D357*(1-$F357))*(1-$F357)</f>
        <v/>
      </c>
      <c r="V357" s="35">
        <f>($E357-V344+$D357*(1-$F357))*(1-$F357)</f>
        <v/>
      </c>
      <c r="W357" s="35">
        <f>($E357-W344+$D357*(1-$F357))*(1-$F357)</f>
        <v/>
      </c>
      <c r="X357" s="35">
        <f>($E357-X344+$D357*(1-$F357))*(1-$F357)</f>
        <v/>
      </c>
      <c r="Y357" s="35">
        <f>($E357-Y344+$D357*(1-$F357))*(1-$F357)</f>
        <v/>
      </c>
      <c r="Z357" s="35">
        <f>($E357-Z344+$D357*(1-$F357))*(1-$F357)</f>
        <v/>
      </c>
      <c r="AA357" s="35">
        <f>($E357-AA344+$D357*(1-$F357))*(1-$F357)</f>
        <v/>
      </c>
      <c r="AB357" s="35">
        <f>($E357-AB344+$D357*(1-$F357))*(1-$F357)</f>
        <v/>
      </c>
      <c r="AC357" s="35">
        <f>($E357-AC344+$D357*(1-$F357))*(1-$F357)</f>
        <v/>
      </c>
      <c r="AD357" s="35">
        <f>($E357-AD344+$D357*(1-$F357))*(1-$F357)</f>
        <v/>
      </c>
      <c r="AE357" s="42">
        <f>FLOATTAX($D357,$E357,AE344,$F357)</f>
        <v/>
      </c>
      <c r="AG357" s="11">
        <f>CodePrefix&amp;$A357&amp;IF($C357="","","."&amp;$C357&amp;"."&amp;$B357)&amp;INDEX(VarEnd,MATCH($A357,VarKey,0))&amp;AG$5</f>
        <v/>
      </c>
      <c r="AH357" s="40">
        <f>($E357-AH344+$D357*(1-$F357))*(1-$F357)</f>
        <v/>
      </c>
      <c r="AI357" s="35">
        <f>($E357-AI344+$D357*(1-$F357))*(1-$F357)</f>
        <v/>
      </c>
      <c r="AJ357" s="35">
        <f>($E357-AJ344+$D357*(1-$F357))*(1-$F357)</f>
        <v/>
      </c>
      <c r="AK357" s="35">
        <f>($E357-AK344+$D357*(1-$F357))*(1-$F357)</f>
        <v/>
      </c>
      <c r="AL357" s="35">
        <f>($E357-AL344+$D357*(1-$F357))*(1-$F357)</f>
        <v/>
      </c>
      <c r="AM357" s="35">
        <f>($E357-AM344+$D357*(1-$F357))*(1-$F357)</f>
        <v/>
      </c>
      <c r="AN357" s="35">
        <f>($E357-AN344+$D357*(1-$F357))*(1-$F357)</f>
        <v/>
      </c>
      <c r="AO357" s="35">
        <f>($E357-AO344+$D357*(1-$F357))*(1-$F357)</f>
        <v/>
      </c>
      <c r="AP357" s="35">
        <f>($E357-AP344+$D357*(1-$F357))*(1-$F357)</f>
        <v/>
      </c>
      <c r="AQ357" s="35">
        <f>($E357-AQ344+$D357*(1-$F357))*(1-$F357)</f>
        <v/>
      </c>
      <c r="AR357" s="35">
        <f>($E357-AR344+$D357*(1-$F357))*(1-$F357)</f>
        <v/>
      </c>
      <c r="AS357" s="35">
        <f>($E357-AS344+$D357*(1-$F357))*(1-$F357)</f>
        <v/>
      </c>
      <c r="AT357" s="35">
        <f>($E357-AT344+$D357*(1-$F357))*(1-$F357)</f>
        <v/>
      </c>
      <c r="AU357" s="35">
        <f>($E357-AU344+$D357*(1-$F357))*(1-$F357)</f>
        <v/>
      </c>
      <c r="AV357" s="35">
        <f>($E357-AV344+$D357*(1-$F357))*(1-$F357)</f>
        <v/>
      </c>
      <c r="AW357" s="35">
        <f>($E357-AW344+$D357*(1-$F357))*(1-$F357)</f>
        <v/>
      </c>
      <c r="AX357" s="35">
        <f>($E357-AX344+$D357*(1-$F357))*(1-$F357)</f>
        <v/>
      </c>
      <c r="AY357" s="35">
        <f>($E357-AY344+$D357*(1-$F357))*(1-$F357)</f>
        <v/>
      </c>
      <c r="AZ357" s="35">
        <f>($E357-AZ344+$D357*(1-$F357))*(1-$F357)</f>
        <v/>
      </c>
      <c r="BA357" s="42">
        <f>FLOATTAX($D357,$E357,BA344,$F357)</f>
        <v/>
      </c>
    </row>
    <row r="358" hidden="1" outlineLevel="1">
      <c r="A358" s="14" t="inlineStr">
        <is>
          <t>txf</t>
        </is>
      </c>
      <c r="B358" s="14" t="inlineStr">
        <is>
          <t>nga</t>
        </is>
      </c>
      <c r="C358" s="14" t="inlineStr">
        <is>
          <t>pow</t>
        </is>
      </c>
      <c r="D358" s="35">
        <f>INDEX(Inputs_prices!$T$7:$T$18,MATCH($B358&amp;"."&amp;$C358,Inputs_prices!$A$7:$A$18,0))</f>
        <v/>
      </c>
      <c r="E358" s="35">
        <f>INDEX(Inputs_prices!$S$7:$S$18,MATCH($B358&amp;"."&amp;$C358,Inputs_prices!$A$7:$A$18,0))</f>
        <v/>
      </c>
      <c r="F358" s="35">
        <f>INDEX(Inputs_prices!$K$7:$K$18,MATCH($B358&amp;"."&amp;$C358,Inputs_prices!$A$7:$A$18,0))</f>
        <v/>
      </c>
      <c r="G358" s="39" t="n"/>
      <c r="H358" s="14">
        <f>INDEX(VarLab,MATCH($A358,VarKey,0))&amp;INDEX(MemLab,MATCH($C358&amp;"|"&amp;$B358,MemKey,0))</f>
        <v/>
      </c>
      <c r="I358" s="14">
        <f>INDEX(VarUnit,MATCH($A358,VarKey,0))</f>
        <v/>
      </c>
      <c r="J358" s="14">
        <f>INDEX(VarSrc,MATCH($A358,VarKey,0))</f>
        <v/>
      </c>
      <c r="K358" s="11">
        <f>CodePrefix&amp;$A358&amp;IF($C358="","","."&amp;$C358&amp;"."&amp;$B358)&amp;INDEX(VarEnd,MATCH($A358,VarKey,0))&amp;K$5</f>
        <v/>
      </c>
      <c r="L358" s="40">
        <f>($E358-L345+$D358*(1-$F358))*(1-$F358)</f>
        <v/>
      </c>
      <c r="M358" s="35">
        <f>($E358-M345+$D358*(1-$F358))*(1-$F358)</f>
        <v/>
      </c>
      <c r="N358" s="35">
        <f>($E358-N345+$D358*(1-$F358))*(1-$F358)</f>
        <v/>
      </c>
      <c r="O358" s="35">
        <f>($E358-O345+$D358*(1-$F358))*(1-$F358)</f>
        <v/>
      </c>
      <c r="P358" s="35">
        <f>($E358-P345+$D358*(1-$F358))*(1-$F358)</f>
        <v/>
      </c>
      <c r="Q358" s="35">
        <f>($E358-Q345+$D358*(1-$F358))*(1-$F358)</f>
        <v/>
      </c>
      <c r="R358" s="35">
        <f>($E358-R345+$D358*(1-$F358))*(1-$F358)</f>
        <v/>
      </c>
      <c r="S358" s="35">
        <f>($E358-S345+$D358*(1-$F358))*(1-$F358)</f>
        <v/>
      </c>
      <c r="T358" s="35">
        <f>($E358-T345+$D358*(1-$F358))*(1-$F358)</f>
        <v/>
      </c>
      <c r="U358" s="35">
        <f>($E358-U345+$D358*(1-$F358))*(1-$F358)</f>
        <v/>
      </c>
      <c r="V358" s="35">
        <f>($E358-V345+$D358*(1-$F358))*(1-$F358)</f>
        <v/>
      </c>
      <c r="W358" s="35">
        <f>($E358-W345+$D358*(1-$F358))*(1-$F358)</f>
        <v/>
      </c>
      <c r="X358" s="35">
        <f>($E358-X345+$D358*(1-$F358))*(1-$F358)</f>
        <v/>
      </c>
      <c r="Y358" s="35">
        <f>($E358-Y345+$D358*(1-$F358))*(1-$F358)</f>
        <v/>
      </c>
      <c r="Z358" s="35">
        <f>($E358-Z345+$D358*(1-$F358))*(1-$F358)</f>
        <v/>
      </c>
      <c r="AA358" s="35">
        <f>($E358-AA345+$D358*(1-$F358))*(1-$F358)</f>
        <v/>
      </c>
      <c r="AB358" s="35">
        <f>($E358-AB345+$D358*(1-$F358))*(1-$F358)</f>
        <v/>
      </c>
      <c r="AC358" s="35">
        <f>($E358-AC345+$D358*(1-$F358))*(1-$F358)</f>
        <v/>
      </c>
      <c r="AD358" s="35">
        <f>($E358-AD345+$D358*(1-$F358))*(1-$F358)</f>
        <v/>
      </c>
      <c r="AE358" s="42">
        <f>FLOATTAX($D358,$E358,AE345,$F358)</f>
        <v/>
      </c>
      <c r="AG358" s="11">
        <f>CodePrefix&amp;$A358&amp;IF($C358="","","."&amp;$C358&amp;"."&amp;$B358)&amp;INDEX(VarEnd,MATCH($A358,VarKey,0))&amp;AG$5</f>
        <v/>
      </c>
      <c r="AH358" s="40">
        <f>($E358-AH345+$D358*(1-$F358))*(1-$F358)</f>
        <v/>
      </c>
      <c r="AI358" s="35">
        <f>($E358-AI345+$D358*(1-$F358))*(1-$F358)</f>
        <v/>
      </c>
      <c r="AJ358" s="35">
        <f>($E358-AJ345+$D358*(1-$F358))*(1-$F358)</f>
        <v/>
      </c>
      <c r="AK358" s="35">
        <f>($E358-AK345+$D358*(1-$F358))*(1-$F358)</f>
        <v/>
      </c>
      <c r="AL358" s="35">
        <f>($E358-AL345+$D358*(1-$F358))*(1-$F358)</f>
        <v/>
      </c>
      <c r="AM358" s="35">
        <f>($E358-AM345+$D358*(1-$F358))*(1-$F358)</f>
        <v/>
      </c>
      <c r="AN358" s="35">
        <f>($E358-AN345+$D358*(1-$F358))*(1-$F358)</f>
        <v/>
      </c>
      <c r="AO358" s="35">
        <f>($E358-AO345+$D358*(1-$F358))*(1-$F358)</f>
        <v/>
      </c>
      <c r="AP358" s="35">
        <f>($E358-AP345+$D358*(1-$F358))*(1-$F358)</f>
        <v/>
      </c>
      <c r="AQ358" s="35">
        <f>($E358-AQ345+$D358*(1-$F358))*(1-$F358)</f>
        <v/>
      </c>
      <c r="AR358" s="35">
        <f>($E358-AR345+$D358*(1-$F358))*(1-$F358)</f>
        <v/>
      </c>
      <c r="AS358" s="35">
        <f>($E358-AS345+$D358*(1-$F358))*(1-$F358)</f>
        <v/>
      </c>
      <c r="AT358" s="35">
        <f>($E358-AT345+$D358*(1-$F358))*(1-$F358)</f>
        <v/>
      </c>
      <c r="AU358" s="35">
        <f>($E358-AU345+$D358*(1-$F358))*(1-$F358)</f>
        <v/>
      </c>
      <c r="AV358" s="35">
        <f>($E358-AV345+$D358*(1-$F358))*(1-$F358)</f>
        <v/>
      </c>
      <c r="AW358" s="35">
        <f>($E358-AW345+$D358*(1-$F358))*(1-$F358)</f>
        <v/>
      </c>
      <c r="AX358" s="35">
        <f>($E358-AX345+$D358*(1-$F358))*(1-$F358)</f>
        <v/>
      </c>
      <c r="AY358" s="35">
        <f>($E358-AY345+$D358*(1-$F358))*(1-$F358)</f>
        <v/>
      </c>
      <c r="AZ358" s="35">
        <f>($E358-AZ345+$D358*(1-$F358))*(1-$F358)</f>
        <v/>
      </c>
      <c r="BA358" s="42">
        <f>FLOATTAX($D358,$E358,BA345,$F358)</f>
        <v/>
      </c>
    </row>
    <row r="359" hidden="1" outlineLevel="1">
      <c r="A359" s="14" t="inlineStr">
        <is>
          <t>txf</t>
        </is>
      </c>
      <c r="B359" s="14" t="inlineStr">
        <is>
          <t>nga</t>
        </is>
      </c>
      <c r="C359" s="14" t="inlineStr">
        <is>
          <t>res</t>
        </is>
      </c>
      <c r="D359" s="35">
        <f>INDEX(Inputs_prices!$T$7:$T$18,MATCH($B359&amp;"."&amp;$C359,Inputs_prices!$A$7:$A$18,0))</f>
        <v/>
      </c>
      <c r="E359" s="35">
        <f>INDEX(Inputs_prices!$S$7:$S$18,MATCH($B359&amp;"."&amp;$C359,Inputs_prices!$A$7:$A$18,0))</f>
        <v/>
      </c>
      <c r="F359" s="35">
        <f>INDEX(Inputs_prices!$K$7:$K$18,MATCH($B359&amp;"."&amp;$C359,Inputs_prices!$A$7:$A$18,0))</f>
        <v/>
      </c>
      <c r="G359" s="39" t="n"/>
      <c r="H359" s="14">
        <f>INDEX(VarLab,MATCH($A359,VarKey,0))&amp;INDEX(MemLab,MATCH($C359&amp;"|"&amp;$B359,MemKey,0))</f>
        <v/>
      </c>
      <c r="I359" s="14">
        <f>INDEX(VarUnit,MATCH($A359,VarKey,0))</f>
        <v/>
      </c>
      <c r="J359" s="14">
        <f>INDEX(VarSrc,MATCH($A359,VarKey,0))</f>
        <v/>
      </c>
      <c r="K359" s="11">
        <f>CodePrefix&amp;$A359&amp;IF($C359="","","."&amp;$C359&amp;"."&amp;$B359)&amp;INDEX(VarEnd,MATCH($A359,VarKey,0))&amp;K$5</f>
        <v/>
      </c>
      <c r="L359" s="40">
        <f>($E359-L346+$D359*(1-$F359))*(1-$F359)</f>
        <v/>
      </c>
      <c r="M359" s="35">
        <f>($E359-M346+$D359*(1-$F359))*(1-$F359)</f>
        <v/>
      </c>
      <c r="N359" s="35">
        <f>($E359-N346+$D359*(1-$F359))*(1-$F359)</f>
        <v/>
      </c>
      <c r="O359" s="35">
        <f>($E359-O346+$D359*(1-$F359))*(1-$F359)</f>
        <v/>
      </c>
      <c r="P359" s="35">
        <f>($E359-P346+$D359*(1-$F359))*(1-$F359)</f>
        <v/>
      </c>
      <c r="Q359" s="35">
        <f>($E359-Q346+$D359*(1-$F359))*(1-$F359)</f>
        <v/>
      </c>
      <c r="R359" s="35">
        <f>($E359-R346+$D359*(1-$F359))*(1-$F359)</f>
        <v/>
      </c>
      <c r="S359" s="35">
        <f>($E359-S346+$D359*(1-$F359))*(1-$F359)</f>
        <v/>
      </c>
      <c r="T359" s="35">
        <f>($E359-T346+$D359*(1-$F359))*(1-$F359)</f>
        <v/>
      </c>
      <c r="U359" s="35">
        <f>($E359-U346+$D359*(1-$F359))*(1-$F359)</f>
        <v/>
      </c>
      <c r="V359" s="35">
        <f>($E359-V346+$D359*(1-$F359))*(1-$F359)</f>
        <v/>
      </c>
      <c r="W359" s="35">
        <f>($E359-W346+$D359*(1-$F359))*(1-$F359)</f>
        <v/>
      </c>
      <c r="X359" s="35">
        <f>($E359-X346+$D359*(1-$F359))*(1-$F359)</f>
        <v/>
      </c>
      <c r="Y359" s="35">
        <f>($E359-Y346+$D359*(1-$F359))*(1-$F359)</f>
        <v/>
      </c>
      <c r="Z359" s="35">
        <f>($E359-Z346+$D359*(1-$F359))*(1-$F359)</f>
        <v/>
      </c>
      <c r="AA359" s="35">
        <f>($E359-AA346+$D359*(1-$F359))*(1-$F359)</f>
        <v/>
      </c>
      <c r="AB359" s="35">
        <f>($E359-AB346+$D359*(1-$F359))*(1-$F359)</f>
        <v/>
      </c>
      <c r="AC359" s="35">
        <f>($E359-AC346+$D359*(1-$F359))*(1-$F359)</f>
        <v/>
      </c>
      <c r="AD359" s="35">
        <f>($E359-AD346+$D359*(1-$F359))*(1-$F359)</f>
        <v/>
      </c>
      <c r="AE359" s="42">
        <f>FLOATTAX($D359,$E359,AE346,$F359)</f>
        <v/>
      </c>
      <c r="AG359" s="11">
        <f>CodePrefix&amp;$A359&amp;IF($C359="","","."&amp;$C359&amp;"."&amp;$B359)&amp;INDEX(VarEnd,MATCH($A359,VarKey,0))&amp;AG$5</f>
        <v/>
      </c>
      <c r="AH359" s="40">
        <f>($E359-AH346+$D359*(1-$F359))*(1-$F359)</f>
        <v/>
      </c>
      <c r="AI359" s="35">
        <f>($E359-AI346+$D359*(1-$F359))*(1-$F359)</f>
        <v/>
      </c>
      <c r="AJ359" s="35">
        <f>($E359-AJ346+$D359*(1-$F359))*(1-$F359)</f>
        <v/>
      </c>
      <c r="AK359" s="35">
        <f>($E359-AK346+$D359*(1-$F359))*(1-$F359)</f>
        <v/>
      </c>
      <c r="AL359" s="35">
        <f>($E359-AL346+$D359*(1-$F359))*(1-$F359)</f>
        <v/>
      </c>
      <c r="AM359" s="35">
        <f>($E359-AM346+$D359*(1-$F359))*(1-$F359)</f>
        <v/>
      </c>
      <c r="AN359" s="35">
        <f>($E359-AN346+$D359*(1-$F359))*(1-$F359)</f>
        <v/>
      </c>
      <c r="AO359" s="35">
        <f>($E359-AO346+$D359*(1-$F359))*(1-$F359)</f>
        <v/>
      </c>
      <c r="AP359" s="35">
        <f>($E359-AP346+$D359*(1-$F359))*(1-$F359)</f>
        <v/>
      </c>
      <c r="AQ359" s="35">
        <f>($E359-AQ346+$D359*(1-$F359))*(1-$F359)</f>
        <v/>
      </c>
      <c r="AR359" s="35">
        <f>($E359-AR346+$D359*(1-$F359))*(1-$F359)</f>
        <v/>
      </c>
      <c r="AS359" s="35">
        <f>($E359-AS346+$D359*(1-$F359))*(1-$F359)</f>
        <v/>
      </c>
      <c r="AT359" s="35">
        <f>($E359-AT346+$D359*(1-$F359))*(1-$F359)</f>
        <v/>
      </c>
      <c r="AU359" s="35">
        <f>($E359-AU346+$D359*(1-$F359))*(1-$F359)</f>
        <v/>
      </c>
      <c r="AV359" s="35">
        <f>($E359-AV346+$D359*(1-$F359))*(1-$F359)</f>
        <v/>
      </c>
      <c r="AW359" s="35">
        <f>($E359-AW346+$D359*(1-$F359))*(1-$F359)</f>
        <v/>
      </c>
      <c r="AX359" s="35">
        <f>($E359-AX346+$D359*(1-$F359))*(1-$F359)</f>
        <v/>
      </c>
      <c r="AY359" s="35">
        <f>($E359-AY346+$D359*(1-$F359))*(1-$F359)</f>
        <v/>
      </c>
      <c r="AZ359" s="35">
        <f>($E359-AZ346+$D359*(1-$F359))*(1-$F359)</f>
        <v/>
      </c>
      <c r="BA359" s="42">
        <f>FLOATTAX($D359,$E359,BA346,$F359)</f>
        <v/>
      </c>
    </row>
    <row r="360" hidden="1" outlineLevel="1">
      <c r="A360" s="14" t="inlineStr">
        <is>
          <t>txf</t>
        </is>
      </c>
      <c r="B360" s="14" t="inlineStr">
        <is>
          <t>nga</t>
        </is>
      </c>
      <c r="C360" s="14" t="inlineStr">
        <is>
          <t>ind</t>
        </is>
      </c>
      <c r="D360" s="35">
        <f>INDEX(Inputs_prices!$T$7:$T$18,MATCH($B360&amp;"."&amp;$C360,Inputs_prices!$A$7:$A$18,0))</f>
        <v/>
      </c>
      <c r="E360" s="35">
        <f>INDEX(Inputs_prices!$S$7:$S$18,MATCH($B360&amp;"."&amp;$C360,Inputs_prices!$A$7:$A$18,0))</f>
        <v/>
      </c>
      <c r="F360" s="35">
        <f>INDEX(Inputs_prices!$K$7:$K$18,MATCH($B360&amp;"."&amp;$C360,Inputs_prices!$A$7:$A$18,0))</f>
        <v/>
      </c>
      <c r="G360" s="39" t="n"/>
      <c r="H360" s="14">
        <f>INDEX(VarLab,MATCH($A360,VarKey,0))&amp;INDEX(MemLab,MATCH($C360&amp;"|"&amp;$B360,MemKey,0))</f>
        <v/>
      </c>
      <c r="I360" s="14">
        <f>INDEX(VarUnit,MATCH($A360,VarKey,0))</f>
        <v/>
      </c>
      <c r="J360" s="14">
        <f>INDEX(VarSrc,MATCH($A360,VarKey,0))</f>
        <v/>
      </c>
      <c r="K360" s="11">
        <f>CodePrefix&amp;$A360&amp;IF($C360="","","."&amp;$C360&amp;"."&amp;$B360)&amp;INDEX(VarEnd,MATCH($A360,VarKey,0))&amp;K$5</f>
        <v/>
      </c>
      <c r="L360" s="40">
        <f>($E360-L347+$D360*(1-$F360))*(1-$F360)</f>
        <v/>
      </c>
      <c r="M360" s="35">
        <f>($E360-M347+$D360*(1-$F360))*(1-$F360)</f>
        <v/>
      </c>
      <c r="N360" s="35">
        <f>($E360-N347+$D360*(1-$F360))*(1-$F360)</f>
        <v/>
      </c>
      <c r="O360" s="35">
        <f>($E360-O347+$D360*(1-$F360))*(1-$F360)</f>
        <v/>
      </c>
      <c r="P360" s="35">
        <f>($E360-P347+$D360*(1-$F360))*(1-$F360)</f>
        <v/>
      </c>
      <c r="Q360" s="35">
        <f>($E360-Q347+$D360*(1-$F360))*(1-$F360)</f>
        <v/>
      </c>
      <c r="R360" s="35">
        <f>($E360-R347+$D360*(1-$F360))*(1-$F360)</f>
        <v/>
      </c>
      <c r="S360" s="35">
        <f>($E360-S347+$D360*(1-$F360))*(1-$F360)</f>
        <v/>
      </c>
      <c r="T360" s="35">
        <f>($E360-T347+$D360*(1-$F360))*(1-$F360)</f>
        <v/>
      </c>
      <c r="U360" s="35">
        <f>($E360-U347+$D360*(1-$F360))*(1-$F360)</f>
        <v/>
      </c>
      <c r="V360" s="35">
        <f>($E360-V347+$D360*(1-$F360))*(1-$F360)</f>
        <v/>
      </c>
      <c r="W360" s="35">
        <f>($E360-W347+$D360*(1-$F360))*(1-$F360)</f>
        <v/>
      </c>
      <c r="X360" s="35">
        <f>($E360-X347+$D360*(1-$F360))*(1-$F360)</f>
        <v/>
      </c>
      <c r="Y360" s="35">
        <f>($E360-Y347+$D360*(1-$F360))*(1-$F360)</f>
        <v/>
      </c>
      <c r="Z360" s="35">
        <f>($E360-Z347+$D360*(1-$F360))*(1-$F360)</f>
        <v/>
      </c>
      <c r="AA360" s="35">
        <f>($E360-AA347+$D360*(1-$F360))*(1-$F360)</f>
        <v/>
      </c>
      <c r="AB360" s="35">
        <f>($E360-AB347+$D360*(1-$F360))*(1-$F360)</f>
        <v/>
      </c>
      <c r="AC360" s="35">
        <f>($E360-AC347+$D360*(1-$F360))*(1-$F360)</f>
        <v/>
      </c>
      <c r="AD360" s="35">
        <f>($E360-AD347+$D360*(1-$F360))*(1-$F360)</f>
        <v/>
      </c>
      <c r="AE360" s="42">
        <f>FLOATTAX($D360,$E360,AE347,$F360)</f>
        <v/>
      </c>
      <c r="AG360" s="11">
        <f>CodePrefix&amp;$A360&amp;IF($C360="","","."&amp;$C360&amp;"."&amp;$B360)&amp;INDEX(VarEnd,MATCH($A360,VarKey,0))&amp;AG$5</f>
        <v/>
      </c>
      <c r="AH360" s="40">
        <f>($E360-AH347+$D360*(1-$F360))*(1-$F360)</f>
        <v/>
      </c>
      <c r="AI360" s="35">
        <f>($E360-AI347+$D360*(1-$F360))*(1-$F360)</f>
        <v/>
      </c>
      <c r="AJ360" s="35">
        <f>($E360-AJ347+$D360*(1-$F360))*(1-$F360)</f>
        <v/>
      </c>
      <c r="AK360" s="35">
        <f>($E360-AK347+$D360*(1-$F360))*(1-$F360)</f>
        <v/>
      </c>
      <c r="AL360" s="35">
        <f>($E360-AL347+$D360*(1-$F360))*(1-$F360)</f>
        <v/>
      </c>
      <c r="AM360" s="35">
        <f>($E360-AM347+$D360*(1-$F360))*(1-$F360)</f>
        <v/>
      </c>
      <c r="AN360" s="35">
        <f>($E360-AN347+$D360*(1-$F360))*(1-$F360)</f>
        <v/>
      </c>
      <c r="AO360" s="35">
        <f>($E360-AO347+$D360*(1-$F360))*(1-$F360)</f>
        <v/>
      </c>
      <c r="AP360" s="35">
        <f>($E360-AP347+$D360*(1-$F360))*(1-$F360)</f>
        <v/>
      </c>
      <c r="AQ360" s="35">
        <f>($E360-AQ347+$D360*(1-$F360))*(1-$F360)</f>
        <v/>
      </c>
      <c r="AR360" s="35">
        <f>($E360-AR347+$D360*(1-$F360))*(1-$F360)</f>
        <v/>
      </c>
      <c r="AS360" s="35">
        <f>($E360-AS347+$D360*(1-$F360))*(1-$F360)</f>
        <v/>
      </c>
      <c r="AT360" s="35">
        <f>($E360-AT347+$D360*(1-$F360))*(1-$F360)</f>
        <v/>
      </c>
      <c r="AU360" s="35">
        <f>($E360-AU347+$D360*(1-$F360))*(1-$F360)</f>
        <v/>
      </c>
      <c r="AV360" s="35">
        <f>($E360-AV347+$D360*(1-$F360))*(1-$F360)</f>
        <v/>
      </c>
      <c r="AW360" s="35">
        <f>($E360-AW347+$D360*(1-$F360))*(1-$F360)</f>
        <v/>
      </c>
      <c r="AX360" s="35">
        <f>($E360-AX347+$D360*(1-$F360))*(1-$F360)</f>
        <v/>
      </c>
      <c r="AY360" s="35">
        <f>($E360-AY347+$D360*(1-$F360))*(1-$F360)</f>
        <v/>
      </c>
      <c r="AZ360" s="35">
        <f>($E360-AZ347+$D360*(1-$F360))*(1-$F360)</f>
        <v/>
      </c>
      <c r="BA360" s="42">
        <f>FLOATTAX($D360,$E360,BA347,$F360)</f>
        <v/>
      </c>
    </row>
    <row r="361" hidden="1" outlineLevel="1">
      <c r="A361" s="14" t="inlineStr">
        <is>
          <t>txf</t>
        </is>
      </c>
      <c r="B361" s="14" t="inlineStr">
        <is>
          <t>gso</t>
        </is>
      </c>
      <c r="C361" s="14" t="inlineStr">
        <is>
          <t>all</t>
        </is>
      </c>
      <c r="D361" s="35">
        <f>INDEX(Inputs_prices!$T$7:$T$18,MATCH($B361&amp;"."&amp;$C361,Inputs_prices!$A$7:$A$18,0))</f>
        <v/>
      </c>
      <c r="E361" s="35">
        <f>INDEX(Inputs_prices!$S$7:$S$18,MATCH($B361&amp;"."&amp;$C361,Inputs_prices!$A$7:$A$18,0))</f>
        <v/>
      </c>
      <c r="F361" s="35">
        <f>INDEX(Inputs_prices!$K$7:$K$18,MATCH($B361&amp;"."&amp;$C361,Inputs_prices!$A$7:$A$18,0))</f>
        <v/>
      </c>
      <c r="G361" s="39" t="n"/>
      <c r="H361" s="14">
        <f>INDEX(VarLab,MATCH($A361,VarKey,0))&amp;INDEX(MemLab,MATCH($C361&amp;"|"&amp;$B361,MemKey,0))</f>
        <v/>
      </c>
      <c r="I361" s="14">
        <f>INDEX(VarUnit,MATCH($A361,VarKey,0))</f>
        <v/>
      </c>
      <c r="J361" s="14">
        <f>INDEX(VarSrc,MATCH($A361,VarKey,0))</f>
        <v/>
      </c>
      <c r="K361" s="11">
        <f>CodePrefix&amp;$A361&amp;IF($C361="","","."&amp;$C361&amp;"."&amp;$B361)&amp;INDEX(VarEnd,MATCH($A361,VarKey,0))&amp;K$5</f>
        <v/>
      </c>
      <c r="L361" s="40">
        <f>($E361-L348+$D361*(1-$F361))*(1-$F361)</f>
        <v/>
      </c>
      <c r="M361" s="35">
        <f>($E361-M348+$D361*(1-$F361))*(1-$F361)</f>
        <v/>
      </c>
      <c r="N361" s="35">
        <f>($E361-N348+$D361*(1-$F361))*(1-$F361)</f>
        <v/>
      </c>
      <c r="O361" s="35">
        <f>($E361-O348+$D361*(1-$F361))*(1-$F361)</f>
        <v/>
      </c>
      <c r="P361" s="35">
        <f>($E361-P348+$D361*(1-$F361))*(1-$F361)</f>
        <v/>
      </c>
      <c r="Q361" s="35">
        <f>($E361-Q348+$D361*(1-$F361))*(1-$F361)</f>
        <v/>
      </c>
      <c r="R361" s="35">
        <f>($E361-R348+$D361*(1-$F361))*(1-$F361)</f>
        <v/>
      </c>
      <c r="S361" s="35">
        <f>($E361-S348+$D361*(1-$F361))*(1-$F361)</f>
        <v/>
      </c>
      <c r="T361" s="35">
        <f>($E361-T348+$D361*(1-$F361))*(1-$F361)</f>
        <v/>
      </c>
      <c r="U361" s="35">
        <f>($E361-U348+$D361*(1-$F361))*(1-$F361)</f>
        <v/>
      </c>
      <c r="V361" s="35">
        <f>($E361-V348+$D361*(1-$F361))*(1-$F361)</f>
        <v/>
      </c>
      <c r="W361" s="35">
        <f>($E361-W348+$D361*(1-$F361))*(1-$F361)</f>
        <v/>
      </c>
      <c r="X361" s="35">
        <f>($E361-X348+$D361*(1-$F361))*(1-$F361)</f>
        <v/>
      </c>
      <c r="Y361" s="35">
        <f>($E361-Y348+$D361*(1-$F361))*(1-$F361)</f>
        <v/>
      </c>
      <c r="Z361" s="35">
        <f>($E361-Z348+$D361*(1-$F361))*(1-$F361)</f>
        <v/>
      </c>
      <c r="AA361" s="35">
        <f>($E361-AA348+$D361*(1-$F361))*(1-$F361)</f>
        <v/>
      </c>
      <c r="AB361" s="35">
        <f>($E361-AB348+$D361*(1-$F361))*(1-$F361)</f>
        <v/>
      </c>
      <c r="AC361" s="35">
        <f>($E361-AC348+$D361*(1-$F361))*(1-$F361)</f>
        <v/>
      </c>
      <c r="AD361" s="35">
        <f>($E361-AD348+$D361*(1-$F361))*(1-$F361)</f>
        <v/>
      </c>
      <c r="AE361" s="42">
        <f>FLOATTAX($D361,$E361,AE348,$F361)</f>
        <v/>
      </c>
      <c r="AG361" s="11">
        <f>CodePrefix&amp;$A361&amp;IF($C361="","","."&amp;$C361&amp;"."&amp;$B361)&amp;INDEX(VarEnd,MATCH($A361,VarKey,0))&amp;AG$5</f>
        <v/>
      </c>
      <c r="AH361" s="40">
        <f>($E361-AH348+$D361*(1-$F361))*(1-$F361)</f>
        <v/>
      </c>
      <c r="AI361" s="35">
        <f>($E361-AI348+$D361*(1-$F361))*(1-$F361)</f>
        <v/>
      </c>
      <c r="AJ361" s="35">
        <f>($E361-AJ348+$D361*(1-$F361))*(1-$F361)</f>
        <v/>
      </c>
      <c r="AK361" s="35">
        <f>($E361-AK348+$D361*(1-$F361))*(1-$F361)</f>
        <v/>
      </c>
      <c r="AL361" s="35">
        <f>($E361-AL348+$D361*(1-$F361))*(1-$F361)</f>
        <v/>
      </c>
      <c r="AM361" s="35">
        <f>($E361-AM348+$D361*(1-$F361))*(1-$F361)</f>
        <v/>
      </c>
      <c r="AN361" s="35">
        <f>($E361-AN348+$D361*(1-$F361))*(1-$F361)</f>
        <v/>
      </c>
      <c r="AO361" s="35">
        <f>($E361-AO348+$D361*(1-$F361))*(1-$F361)</f>
        <v/>
      </c>
      <c r="AP361" s="35">
        <f>($E361-AP348+$D361*(1-$F361))*(1-$F361)</f>
        <v/>
      </c>
      <c r="AQ361" s="35">
        <f>($E361-AQ348+$D361*(1-$F361))*(1-$F361)</f>
        <v/>
      </c>
      <c r="AR361" s="35">
        <f>($E361-AR348+$D361*(1-$F361))*(1-$F361)</f>
        <v/>
      </c>
      <c r="AS361" s="35">
        <f>($E361-AS348+$D361*(1-$F361))*(1-$F361)</f>
        <v/>
      </c>
      <c r="AT361" s="35">
        <f>($E361-AT348+$D361*(1-$F361))*(1-$F361)</f>
        <v/>
      </c>
      <c r="AU361" s="35">
        <f>($E361-AU348+$D361*(1-$F361))*(1-$F361)</f>
        <v/>
      </c>
      <c r="AV361" s="35">
        <f>($E361-AV348+$D361*(1-$F361))*(1-$F361)</f>
        <v/>
      </c>
      <c r="AW361" s="35">
        <f>($E361-AW348+$D361*(1-$F361))*(1-$F361)</f>
        <v/>
      </c>
      <c r="AX361" s="35">
        <f>($E361-AX348+$D361*(1-$F361))*(1-$F361)</f>
        <v/>
      </c>
      <c r="AY361" s="35">
        <f>($E361-AY348+$D361*(1-$F361))*(1-$F361)</f>
        <v/>
      </c>
      <c r="AZ361" s="35">
        <f>($E361-AZ348+$D361*(1-$F361))*(1-$F361)</f>
        <v/>
      </c>
      <c r="BA361" s="42">
        <f>FLOATTAX($D361,$E361,BA348,$F361)</f>
        <v/>
      </c>
    </row>
    <row r="362" hidden="1" outlineLevel="1">
      <c r="A362" s="14" t="inlineStr">
        <is>
          <t>txf</t>
        </is>
      </c>
      <c r="B362" s="14" t="inlineStr">
        <is>
          <t>die</t>
        </is>
      </c>
      <c r="C362" s="14" t="inlineStr">
        <is>
          <t>all</t>
        </is>
      </c>
      <c r="D362" s="35">
        <f>INDEX(Inputs_prices!$T$7:$T$18,MATCH($B362&amp;"."&amp;$C362,Inputs_prices!$A$7:$A$18,0))</f>
        <v/>
      </c>
      <c r="E362" s="35">
        <f>INDEX(Inputs_prices!$S$7:$S$18,MATCH($B362&amp;"."&amp;$C362,Inputs_prices!$A$7:$A$18,0))</f>
        <v/>
      </c>
      <c r="F362" s="35">
        <f>INDEX(Inputs_prices!$K$7:$K$18,MATCH($B362&amp;"."&amp;$C362,Inputs_prices!$A$7:$A$18,0))</f>
        <v/>
      </c>
      <c r="G362" s="39" t="n"/>
      <c r="H362" s="14">
        <f>INDEX(VarLab,MATCH($A362,VarKey,0))&amp;INDEX(MemLab,MATCH($C362&amp;"|"&amp;$B362,MemKey,0))</f>
        <v/>
      </c>
      <c r="I362" s="14">
        <f>INDEX(VarUnit,MATCH($A362,VarKey,0))</f>
        <v/>
      </c>
      <c r="J362" s="14">
        <f>INDEX(VarSrc,MATCH($A362,VarKey,0))</f>
        <v/>
      </c>
      <c r="K362" s="11">
        <f>CodePrefix&amp;$A362&amp;IF($C362="","","."&amp;$C362&amp;"."&amp;$B362)&amp;INDEX(VarEnd,MATCH($A362,VarKey,0))&amp;K$5</f>
        <v/>
      </c>
      <c r="L362" s="40">
        <f>($E362-L349+$D362*(1-$F362))*(1-$F362)</f>
        <v/>
      </c>
      <c r="M362" s="35">
        <f>($E362-M349+$D362*(1-$F362))*(1-$F362)</f>
        <v/>
      </c>
      <c r="N362" s="35">
        <f>($E362-N349+$D362*(1-$F362))*(1-$F362)</f>
        <v/>
      </c>
      <c r="O362" s="35">
        <f>($E362-O349+$D362*(1-$F362))*(1-$F362)</f>
        <v/>
      </c>
      <c r="P362" s="35">
        <f>($E362-P349+$D362*(1-$F362))*(1-$F362)</f>
        <v/>
      </c>
      <c r="Q362" s="35">
        <f>($E362-Q349+$D362*(1-$F362))*(1-$F362)</f>
        <v/>
      </c>
      <c r="R362" s="35">
        <f>($E362-R349+$D362*(1-$F362))*(1-$F362)</f>
        <v/>
      </c>
      <c r="S362" s="35">
        <f>($E362-S349+$D362*(1-$F362))*(1-$F362)</f>
        <v/>
      </c>
      <c r="T362" s="35">
        <f>($E362-T349+$D362*(1-$F362))*(1-$F362)</f>
        <v/>
      </c>
      <c r="U362" s="35">
        <f>($E362-U349+$D362*(1-$F362))*(1-$F362)</f>
        <v/>
      </c>
      <c r="V362" s="35">
        <f>($E362-V349+$D362*(1-$F362))*(1-$F362)</f>
        <v/>
      </c>
      <c r="W362" s="35">
        <f>($E362-W349+$D362*(1-$F362))*(1-$F362)</f>
        <v/>
      </c>
      <c r="X362" s="35">
        <f>($E362-X349+$D362*(1-$F362))*(1-$F362)</f>
        <v/>
      </c>
      <c r="Y362" s="35">
        <f>($E362-Y349+$D362*(1-$F362))*(1-$F362)</f>
        <v/>
      </c>
      <c r="Z362" s="35">
        <f>($E362-Z349+$D362*(1-$F362))*(1-$F362)</f>
        <v/>
      </c>
      <c r="AA362" s="35">
        <f>($E362-AA349+$D362*(1-$F362))*(1-$F362)</f>
        <v/>
      </c>
      <c r="AB362" s="35">
        <f>($E362-AB349+$D362*(1-$F362))*(1-$F362)</f>
        <v/>
      </c>
      <c r="AC362" s="35">
        <f>($E362-AC349+$D362*(1-$F362))*(1-$F362)</f>
        <v/>
      </c>
      <c r="AD362" s="35">
        <f>($E362-AD349+$D362*(1-$F362))*(1-$F362)</f>
        <v/>
      </c>
      <c r="AE362" s="42">
        <f>FLOATTAX($D362,$E362,AE349,$F362)</f>
        <v/>
      </c>
      <c r="AG362" s="11">
        <f>CodePrefix&amp;$A362&amp;IF($C362="","","."&amp;$C362&amp;"."&amp;$B362)&amp;INDEX(VarEnd,MATCH($A362,VarKey,0))&amp;AG$5</f>
        <v/>
      </c>
      <c r="AH362" s="40">
        <f>($E362-AH349+$D362*(1-$F362))*(1-$F362)</f>
        <v/>
      </c>
      <c r="AI362" s="35">
        <f>($E362-AI349+$D362*(1-$F362))*(1-$F362)</f>
        <v/>
      </c>
      <c r="AJ362" s="35">
        <f>($E362-AJ349+$D362*(1-$F362))*(1-$F362)</f>
        <v/>
      </c>
      <c r="AK362" s="35">
        <f>($E362-AK349+$D362*(1-$F362))*(1-$F362)</f>
        <v/>
      </c>
      <c r="AL362" s="35">
        <f>($E362-AL349+$D362*(1-$F362))*(1-$F362)</f>
        <v/>
      </c>
      <c r="AM362" s="35">
        <f>($E362-AM349+$D362*(1-$F362))*(1-$F362)</f>
        <v/>
      </c>
      <c r="AN362" s="35">
        <f>($E362-AN349+$D362*(1-$F362))*(1-$F362)</f>
        <v/>
      </c>
      <c r="AO362" s="35">
        <f>($E362-AO349+$D362*(1-$F362))*(1-$F362)</f>
        <v/>
      </c>
      <c r="AP362" s="35">
        <f>($E362-AP349+$D362*(1-$F362))*(1-$F362)</f>
        <v/>
      </c>
      <c r="AQ362" s="35">
        <f>($E362-AQ349+$D362*(1-$F362))*(1-$F362)</f>
        <v/>
      </c>
      <c r="AR362" s="35">
        <f>($E362-AR349+$D362*(1-$F362))*(1-$F362)</f>
        <v/>
      </c>
      <c r="AS362" s="35">
        <f>($E362-AS349+$D362*(1-$F362))*(1-$F362)</f>
        <v/>
      </c>
      <c r="AT362" s="35">
        <f>($E362-AT349+$D362*(1-$F362))*(1-$F362)</f>
        <v/>
      </c>
      <c r="AU362" s="35">
        <f>($E362-AU349+$D362*(1-$F362))*(1-$F362)</f>
        <v/>
      </c>
      <c r="AV362" s="35">
        <f>($E362-AV349+$D362*(1-$F362))*(1-$F362)</f>
        <v/>
      </c>
      <c r="AW362" s="35">
        <f>($E362-AW349+$D362*(1-$F362))*(1-$F362)</f>
        <v/>
      </c>
      <c r="AX362" s="35">
        <f>($E362-AX349+$D362*(1-$F362))*(1-$F362)</f>
        <v/>
      </c>
      <c r="AY362" s="35">
        <f>($E362-AY349+$D362*(1-$F362))*(1-$F362)</f>
        <v/>
      </c>
      <c r="AZ362" s="35">
        <f>($E362-AZ349+$D362*(1-$F362))*(1-$F362)</f>
        <v/>
      </c>
      <c r="BA362" s="42">
        <f>FLOATTAX($D362,$E362,BA349,$F362)</f>
        <v/>
      </c>
    </row>
    <row r="363" hidden="1" outlineLevel="1">
      <c r="A363" s="14" t="inlineStr">
        <is>
          <t>txf</t>
        </is>
      </c>
      <c r="B363" s="14" t="inlineStr">
        <is>
          <t>lpg</t>
        </is>
      </c>
      <c r="C363" s="14" t="inlineStr">
        <is>
          <t>all</t>
        </is>
      </c>
      <c r="D363" s="35">
        <f>INDEX(Inputs_prices!$T$7:$T$18,MATCH($B363&amp;"."&amp;$C363,Inputs_prices!$A$7:$A$18,0))</f>
        <v/>
      </c>
      <c r="E363" s="35">
        <f>INDEX(Inputs_prices!$S$7:$S$18,MATCH($B363&amp;"."&amp;$C363,Inputs_prices!$A$7:$A$18,0))</f>
        <v/>
      </c>
      <c r="F363" s="35">
        <f>INDEX(Inputs_prices!$K$7:$K$18,MATCH($B363&amp;"."&amp;$C363,Inputs_prices!$A$7:$A$18,0))</f>
        <v/>
      </c>
      <c r="G363" s="39" t="n"/>
      <c r="H363" s="14">
        <f>INDEX(VarLab,MATCH($A363,VarKey,0))&amp;INDEX(MemLab,MATCH($C363&amp;"|"&amp;$B363,MemKey,0))</f>
        <v/>
      </c>
      <c r="I363" s="14">
        <f>INDEX(VarUnit,MATCH($A363,VarKey,0))</f>
        <v/>
      </c>
      <c r="J363" s="14">
        <f>INDEX(VarSrc,MATCH($A363,VarKey,0))</f>
        <v/>
      </c>
      <c r="K363" s="11">
        <f>CodePrefix&amp;$A363&amp;IF($C363="","","."&amp;$C363&amp;"."&amp;$B363)&amp;INDEX(VarEnd,MATCH($A363,VarKey,0))&amp;K$5</f>
        <v/>
      </c>
      <c r="L363" s="40">
        <f>($E363-L350+$D363*(1-$F363))*(1-$F363)</f>
        <v/>
      </c>
      <c r="M363" s="35">
        <f>($E363-M350+$D363*(1-$F363))*(1-$F363)</f>
        <v/>
      </c>
      <c r="N363" s="35">
        <f>($E363-N350+$D363*(1-$F363))*(1-$F363)</f>
        <v/>
      </c>
      <c r="O363" s="35">
        <f>($E363-O350+$D363*(1-$F363))*(1-$F363)</f>
        <v/>
      </c>
      <c r="P363" s="35">
        <f>($E363-P350+$D363*(1-$F363))*(1-$F363)</f>
        <v/>
      </c>
      <c r="Q363" s="35">
        <f>($E363-Q350+$D363*(1-$F363))*(1-$F363)</f>
        <v/>
      </c>
      <c r="R363" s="35">
        <f>($E363-R350+$D363*(1-$F363))*(1-$F363)</f>
        <v/>
      </c>
      <c r="S363" s="35">
        <f>($E363-S350+$D363*(1-$F363))*(1-$F363)</f>
        <v/>
      </c>
      <c r="T363" s="35">
        <f>($E363-T350+$D363*(1-$F363))*(1-$F363)</f>
        <v/>
      </c>
      <c r="U363" s="35">
        <f>($E363-U350+$D363*(1-$F363))*(1-$F363)</f>
        <v/>
      </c>
      <c r="V363" s="35">
        <f>($E363-V350+$D363*(1-$F363))*(1-$F363)</f>
        <v/>
      </c>
      <c r="W363" s="35">
        <f>($E363-W350+$D363*(1-$F363))*(1-$F363)</f>
        <v/>
      </c>
      <c r="X363" s="35">
        <f>($E363-X350+$D363*(1-$F363))*(1-$F363)</f>
        <v/>
      </c>
      <c r="Y363" s="35">
        <f>($E363-Y350+$D363*(1-$F363))*(1-$F363)</f>
        <v/>
      </c>
      <c r="Z363" s="35">
        <f>($E363-Z350+$D363*(1-$F363))*(1-$F363)</f>
        <v/>
      </c>
      <c r="AA363" s="35">
        <f>($E363-AA350+$D363*(1-$F363))*(1-$F363)</f>
        <v/>
      </c>
      <c r="AB363" s="35">
        <f>($E363-AB350+$D363*(1-$F363))*(1-$F363)</f>
        <v/>
      </c>
      <c r="AC363" s="35">
        <f>($E363-AC350+$D363*(1-$F363))*(1-$F363)</f>
        <v/>
      </c>
      <c r="AD363" s="35">
        <f>($E363-AD350+$D363*(1-$F363))*(1-$F363)</f>
        <v/>
      </c>
      <c r="AE363" s="42">
        <f>FLOATTAX($D363,$E363,AE350,$F363)</f>
        <v/>
      </c>
      <c r="AG363" s="11">
        <f>CodePrefix&amp;$A363&amp;IF($C363="","","."&amp;$C363&amp;"."&amp;$B363)&amp;INDEX(VarEnd,MATCH($A363,VarKey,0))&amp;AG$5</f>
        <v/>
      </c>
      <c r="AH363" s="40">
        <f>($E363-AH350+$D363*(1-$F363))*(1-$F363)</f>
        <v/>
      </c>
      <c r="AI363" s="35">
        <f>($E363-AI350+$D363*(1-$F363))*(1-$F363)</f>
        <v/>
      </c>
      <c r="AJ363" s="35">
        <f>($E363-AJ350+$D363*(1-$F363))*(1-$F363)</f>
        <v/>
      </c>
      <c r="AK363" s="35">
        <f>($E363-AK350+$D363*(1-$F363))*(1-$F363)</f>
        <v/>
      </c>
      <c r="AL363" s="35">
        <f>($E363-AL350+$D363*(1-$F363))*(1-$F363)</f>
        <v/>
      </c>
      <c r="AM363" s="35">
        <f>($E363-AM350+$D363*(1-$F363))*(1-$F363)</f>
        <v/>
      </c>
      <c r="AN363" s="35">
        <f>($E363-AN350+$D363*(1-$F363))*(1-$F363)</f>
        <v/>
      </c>
      <c r="AO363" s="35">
        <f>($E363-AO350+$D363*(1-$F363))*(1-$F363)</f>
        <v/>
      </c>
      <c r="AP363" s="35">
        <f>($E363-AP350+$D363*(1-$F363))*(1-$F363)</f>
        <v/>
      </c>
      <c r="AQ363" s="35">
        <f>($E363-AQ350+$D363*(1-$F363))*(1-$F363)</f>
        <v/>
      </c>
      <c r="AR363" s="35">
        <f>($E363-AR350+$D363*(1-$F363))*(1-$F363)</f>
        <v/>
      </c>
      <c r="AS363" s="35">
        <f>($E363-AS350+$D363*(1-$F363))*(1-$F363)</f>
        <v/>
      </c>
      <c r="AT363" s="35">
        <f>($E363-AT350+$D363*(1-$F363))*(1-$F363)</f>
        <v/>
      </c>
      <c r="AU363" s="35">
        <f>($E363-AU350+$D363*(1-$F363))*(1-$F363)</f>
        <v/>
      </c>
      <c r="AV363" s="35">
        <f>($E363-AV350+$D363*(1-$F363))*(1-$F363)</f>
        <v/>
      </c>
      <c r="AW363" s="35">
        <f>($E363-AW350+$D363*(1-$F363))*(1-$F363)</f>
        <v/>
      </c>
      <c r="AX363" s="35">
        <f>($E363-AX350+$D363*(1-$F363))*(1-$F363)</f>
        <v/>
      </c>
      <c r="AY363" s="35">
        <f>($E363-AY350+$D363*(1-$F363))*(1-$F363)</f>
        <v/>
      </c>
      <c r="AZ363" s="35">
        <f>($E363-AZ350+$D363*(1-$F363))*(1-$F363)</f>
        <v/>
      </c>
      <c r="BA363" s="42">
        <f>FLOATTAX($D363,$E363,BA350,$F363)</f>
        <v/>
      </c>
    </row>
    <row r="364" hidden="1" outlineLevel="1">
      <c r="A364" s="14" t="inlineStr">
        <is>
          <t>txf</t>
        </is>
      </c>
      <c r="B364" s="14" t="inlineStr">
        <is>
          <t>ker</t>
        </is>
      </c>
      <c r="C364" s="14" t="inlineStr">
        <is>
          <t>all</t>
        </is>
      </c>
      <c r="D364" s="35">
        <f>INDEX(Inputs_prices!$T$7:$T$18,MATCH($B364&amp;"."&amp;$C364,Inputs_prices!$A$7:$A$18,0))</f>
        <v/>
      </c>
      <c r="E364" s="35">
        <f>INDEX(Inputs_prices!$S$7:$S$18,MATCH($B364&amp;"."&amp;$C364,Inputs_prices!$A$7:$A$18,0))</f>
        <v/>
      </c>
      <c r="F364" s="35">
        <f>INDEX(Inputs_prices!$K$7:$K$18,MATCH($B364&amp;"."&amp;$C364,Inputs_prices!$A$7:$A$18,0))</f>
        <v/>
      </c>
      <c r="G364" s="39" t="n"/>
      <c r="H364" s="14">
        <f>INDEX(VarLab,MATCH($A364,VarKey,0))&amp;INDEX(MemLab,MATCH($C364&amp;"|"&amp;$B364,MemKey,0))</f>
        <v/>
      </c>
      <c r="I364" s="14">
        <f>INDEX(VarUnit,MATCH($A364,VarKey,0))</f>
        <v/>
      </c>
      <c r="J364" s="14">
        <f>INDEX(VarSrc,MATCH($A364,VarKey,0))</f>
        <v/>
      </c>
      <c r="K364" s="11">
        <f>CodePrefix&amp;$A364&amp;IF($C364="","","."&amp;$C364&amp;"."&amp;$B364)&amp;INDEX(VarEnd,MATCH($A364,VarKey,0))&amp;K$5</f>
        <v/>
      </c>
      <c r="L364" s="40">
        <f>($E364-L351+$D364*(1-$F364))*(1-$F364)</f>
        <v/>
      </c>
      <c r="M364" s="35">
        <f>($E364-M351+$D364*(1-$F364))*(1-$F364)</f>
        <v/>
      </c>
      <c r="N364" s="35">
        <f>($E364-N351+$D364*(1-$F364))*(1-$F364)</f>
        <v/>
      </c>
      <c r="O364" s="35">
        <f>($E364-O351+$D364*(1-$F364))*(1-$F364)</f>
        <v/>
      </c>
      <c r="P364" s="35">
        <f>($E364-P351+$D364*(1-$F364))*(1-$F364)</f>
        <v/>
      </c>
      <c r="Q364" s="35">
        <f>($E364-Q351+$D364*(1-$F364))*(1-$F364)</f>
        <v/>
      </c>
      <c r="R364" s="35">
        <f>($E364-R351+$D364*(1-$F364))*(1-$F364)</f>
        <v/>
      </c>
      <c r="S364" s="35">
        <f>($E364-S351+$D364*(1-$F364))*(1-$F364)</f>
        <v/>
      </c>
      <c r="T364" s="35">
        <f>($E364-T351+$D364*(1-$F364))*(1-$F364)</f>
        <v/>
      </c>
      <c r="U364" s="35">
        <f>($E364-U351+$D364*(1-$F364))*(1-$F364)</f>
        <v/>
      </c>
      <c r="V364" s="35">
        <f>($E364-V351+$D364*(1-$F364))*(1-$F364)</f>
        <v/>
      </c>
      <c r="W364" s="35">
        <f>($E364-W351+$D364*(1-$F364))*(1-$F364)</f>
        <v/>
      </c>
      <c r="X364" s="35">
        <f>($E364-X351+$D364*(1-$F364))*(1-$F364)</f>
        <v/>
      </c>
      <c r="Y364" s="35">
        <f>($E364-Y351+$D364*(1-$F364))*(1-$F364)</f>
        <v/>
      </c>
      <c r="Z364" s="35">
        <f>($E364-Z351+$D364*(1-$F364))*(1-$F364)</f>
        <v/>
      </c>
      <c r="AA364" s="35">
        <f>($E364-AA351+$D364*(1-$F364))*(1-$F364)</f>
        <v/>
      </c>
      <c r="AB364" s="35">
        <f>($E364-AB351+$D364*(1-$F364))*(1-$F364)</f>
        <v/>
      </c>
      <c r="AC364" s="35">
        <f>($E364-AC351+$D364*(1-$F364))*(1-$F364)</f>
        <v/>
      </c>
      <c r="AD364" s="35">
        <f>($E364-AD351+$D364*(1-$F364))*(1-$F364)</f>
        <v/>
      </c>
      <c r="AE364" s="42">
        <f>FLOATTAX($D364,$E364,AE351,$F364)</f>
        <v/>
      </c>
      <c r="AG364" s="11">
        <f>CodePrefix&amp;$A364&amp;IF($C364="","","."&amp;$C364&amp;"."&amp;$B364)&amp;INDEX(VarEnd,MATCH($A364,VarKey,0))&amp;AG$5</f>
        <v/>
      </c>
      <c r="AH364" s="40">
        <f>($E364-AH351+$D364*(1-$F364))*(1-$F364)</f>
        <v/>
      </c>
      <c r="AI364" s="35">
        <f>($E364-AI351+$D364*(1-$F364))*(1-$F364)</f>
        <v/>
      </c>
      <c r="AJ364" s="35">
        <f>($E364-AJ351+$D364*(1-$F364))*(1-$F364)</f>
        <v/>
      </c>
      <c r="AK364" s="35">
        <f>($E364-AK351+$D364*(1-$F364))*(1-$F364)</f>
        <v/>
      </c>
      <c r="AL364" s="35">
        <f>($E364-AL351+$D364*(1-$F364))*(1-$F364)</f>
        <v/>
      </c>
      <c r="AM364" s="35">
        <f>($E364-AM351+$D364*(1-$F364))*(1-$F364)</f>
        <v/>
      </c>
      <c r="AN364" s="35">
        <f>($E364-AN351+$D364*(1-$F364))*(1-$F364)</f>
        <v/>
      </c>
      <c r="AO364" s="35">
        <f>($E364-AO351+$D364*(1-$F364))*(1-$F364)</f>
        <v/>
      </c>
      <c r="AP364" s="35">
        <f>($E364-AP351+$D364*(1-$F364))*(1-$F364)</f>
        <v/>
      </c>
      <c r="AQ364" s="35">
        <f>($E364-AQ351+$D364*(1-$F364))*(1-$F364)</f>
        <v/>
      </c>
      <c r="AR364" s="35">
        <f>($E364-AR351+$D364*(1-$F364))*(1-$F364)</f>
        <v/>
      </c>
      <c r="AS364" s="35">
        <f>($E364-AS351+$D364*(1-$F364))*(1-$F364)</f>
        <v/>
      </c>
      <c r="AT364" s="35">
        <f>($E364-AT351+$D364*(1-$F364))*(1-$F364)</f>
        <v/>
      </c>
      <c r="AU364" s="35">
        <f>($E364-AU351+$D364*(1-$F364))*(1-$F364)</f>
        <v/>
      </c>
      <c r="AV364" s="35">
        <f>($E364-AV351+$D364*(1-$F364))*(1-$F364)</f>
        <v/>
      </c>
      <c r="AW364" s="35">
        <f>($E364-AW351+$D364*(1-$F364))*(1-$F364)</f>
        <v/>
      </c>
      <c r="AX364" s="35">
        <f>($E364-AX351+$D364*(1-$F364))*(1-$F364)</f>
        <v/>
      </c>
      <c r="AY364" s="35">
        <f>($E364-AY351+$D364*(1-$F364))*(1-$F364)</f>
        <v/>
      </c>
      <c r="AZ364" s="35">
        <f>($E364-AZ351+$D364*(1-$F364))*(1-$F364)</f>
        <v/>
      </c>
      <c r="BA364" s="42">
        <f>FLOATTAX($D364,$E364,BA351,$F364)</f>
        <v/>
      </c>
    </row>
    <row r="365" hidden="1" outlineLevel="1">
      <c r="A365" s="14" t="inlineStr">
        <is>
          <t>txf</t>
        </is>
      </c>
      <c r="B365" s="14" t="inlineStr">
        <is>
          <t>oop</t>
        </is>
      </c>
      <c r="C365" s="14" t="inlineStr">
        <is>
          <t>all</t>
        </is>
      </c>
      <c r="D365" s="35">
        <f>INDEX(Inputs_prices!$T$7:$T$18,MATCH($B365&amp;"."&amp;$C365,Inputs_prices!$A$7:$A$18,0))</f>
        <v/>
      </c>
      <c r="E365" s="35">
        <f>INDEX(Inputs_prices!$S$7:$S$18,MATCH($B365&amp;"."&amp;$C365,Inputs_prices!$A$7:$A$18,0))</f>
        <v/>
      </c>
      <c r="F365" s="35">
        <f>INDEX(Inputs_prices!$K$7:$K$18,MATCH($B365&amp;"."&amp;$C365,Inputs_prices!$A$7:$A$18,0))</f>
        <v/>
      </c>
      <c r="G365" s="39" t="n"/>
      <c r="H365" s="14">
        <f>INDEX(VarLab,MATCH($A365,VarKey,0))&amp;INDEX(MemLab,MATCH($C365&amp;"|"&amp;$B365,MemKey,0))</f>
        <v/>
      </c>
      <c r="I365" s="14">
        <f>INDEX(VarUnit,MATCH($A365,VarKey,0))</f>
        <v/>
      </c>
      <c r="J365" s="14">
        <f>INDEX(VarSrc,MATCH($A365,VarKey,0))</f>
        <v/>
      </c>
      <c r="K365" s="11">
        <f>CodePrefix&amp;$A365&amp;IF($C365="","","."&amp;$C365&amp;"."&amp;$B365)&amp;INDEX(VarEnd,MATCH($A365,VarKey,0))&amp;K$5</f>
        <v/>
      </c>
      <c r="L365" s="40">
        <f>($E365-L352+$D365*(1-$F365))*(1-$F365)</f>
        <v/>
      </c>
      <c r="M365" s="35">
        <f>($E365-M352+$D365*(1-$F365))*(1-$F365)</f>
        <v/>
      </c>
      <c r="N365" s="35">
        <f>($E365-N352+$D365*(1-$F365))*(1-$F365)</f>
        <v/>
      </c>
      <c r="O365" s="35">
        <f>($E365-O352+$D365*(1-$F365))*(1-$F365)</f>
        <v/>
      </c>
      <c r="P365" s="35">
        <f>($E365-P352+$D365*(1-$F365))*(1-$F365)</f>
        <v/>
      </c>
      <c r="Q365" s="35">
        <f>($E365-Q352+$D365*(1-$F365))*(1-$F365)</f>
        <v/>
      </c>
      <c r="R365" s="35">
        <f>($E365-R352+$D365*(1-$F365))*(1-$F365)</f>
        <v/>
      </c>
      <c r="S365" s="35">
        <f>($E365-S352+$D365*(1-$F365))*(1-$F365)</f>
        <v/>
      </c>
      <c r="T365" s="35">
        <f>($E365-T352+$D365*(1-$F365))*(1-$F365)</f>
        <v/>
      </c>
      <c r="U365" s="35">
        <f>($E365-U352+$D365*(1-$F365))*(1-$F365)</f>
        <v/>
      </c>
      <c r="V365" s="35">
        <f>($E365-V352+$D365*(1-$F365))*(1-$F365)</f>
        <v/>
      </c>
      <c r="W365" s="35">
        <f>($E365-W352+$D365*(1-$F365))*(1-$F365)</f>
        <v/>
      </c>
      <c r="X365" s="35">
        <f>($E365-X352+$D365*(1-$F365))*(1-$F365)</f>
        <v/>
      </c>
      <c r="Y365" s="35">
        <f>($E365-Y352+$D365*(1-$F365))*(1-$F365)</f>
        <v/>
      </c>
      <c r="Z365" s="35">
        <f>($E365-Z352+$D365*(1-$F365))*(1-$F365)</f>
        <v/>
      </c>
      <c r="AA365" s="35">
        <f>($E365-AA352+$D365*(1-$F365))*(1-$F365)</f>
        <v/>
      </c>
      <c r="AB365" s="35">
        <f>($E365-AB352+$D365*(1-$F365))*(1-$F365)</f>
        <v/>
      </c>
      <c r="AC365" s="35">
        <f>($E365-AC352+$D365*(1-$F365))*(1-$F365)</f>
        <v/>
      </c>
      <c r="AD365" s="35">
        <f>($E365-AD352+$D365*(1-$F365))*(1-$F365)</f>
        <v/>
      </c>
      <c r="AE365" s="42">
        <f>FLOATTAX($D365,$E365,AE352,$F365)</f>
        <v/>
      </c>
      <c r="AG365" s="11">
        <f>CodePrefix&amp;$A365&amp;IF($C365="","","."&amp;$C365&amp;"."&amp;$B365)&amp;INDEX(VarEnd,MATCH($A365,VarKey,0))&amp;AG$5</f>
        <v/>
      </c>
      <c r="AH365" s="40">
        <f>($E365-AH352+$D365*(1-$F365))*(1-$F365)</f>
        <v/>
      </c>
      <c r="AI365" s="35">
        <f>($E365-AI352+$D365*(1-$F365))*(1-$F365)</f>
        <v/>
      </c>
      <c r="AJ365" s="35">
        <f>($E365-AJ352+$D365*(1-$F365))*(1-$F365)</f>
        <v/>
      </c>
      <c r="AK365" s="35">
        <f>($E365-AK352+$D365*(1-$F365))*(1-$F365)</f>
        <v/>
      </c>
      <c r="AL365" s="35">
        <f>($E365-AL352+$D365*(1-$F365))*(1-$F365)</f>
        <v/>
      </c>
      <c r="AM365" s="35">
        <f>($E365-AM352+$D365*(1-$F365))*(1-$F365)</f>
        <v/>
      </c>
      <c r="AN365" s="35">
        <f>($E365-AN352+$D365*(1-$F365))*(1-$F365)</f>
        <v/>
      </c>
      <c r="AO365" s="35">
        <f>($E365-AO352+$D365*(1-$F365))*(1-$F365)</f>
        <v/>
      </c>
      <c r="AP365" s="35">
        <f>($E365-AP352+$D365*(1-$F365))*(1-$F365)</f>
        <v/>
      </c>
      <c r="AQ365" s="35">
        <f>($E365-AQ352+$D365*(1-$F365))*(1-$F365)</f>
        <v/>
      </c>
      <c r="AR365" s="35">
        <f>($E365-AR352+$D365*(1-$F365))*(1-$F365)</f>
        <v/>
      </c>
      <c r="AS365" s="35">
        <f>($E365-AS352+$D365*(1-$F365))*(1-$F365)</f>
        <v/>
      </c>
      <c r="AT365" s="35">
        <f>($E365-AT352+$D365*(1-$F365))*(1-$F365)</f>
        <v/>
      </c>
      <c r="AU365" s="35">
        <f>($E365-AU352+$D365*(1-$F365))*(1-$F365)</f>
        <v/>
      </c>
      <c r="AV365" s="35">
        <f>($E365-AV352+$D365*(1-$F365))*(1-$F365)</f>
        <v/>
      </c>
      <c r="AW365" s="35">
        <f>($E365-AW352+$D365*(1-$F365))*(1-$F365)</f>
        <v/>
      </c>
      <c r="AX365" s="35">
        <f>($E365-AX352+$D365*(1-$F365))*(1-$F365)</f>
        <v/>
      </c>
      <c r="AY365" s="35">
        <f>($E365-AY352+$D365*(1-$F365))*(1-$F365)</f>
        <v/>
      </c>
      <c r="AZ365" s="35">
        <f>($E365-AZ352+$D365*(1-$F365))*(1-$F365)</f>
        <v/>
      </c>
      <c r="BA365" s="42">
        <f>FLOATTAX($D365,$E365,BA352,$F365)</f>
        <v/>
      </c>
    </row>
    <row r="366" hidden="1" outlineLevel="1">
      <c r="A366" s="14" t="inlineStr">
        <is>
          <t>txf</t>
        </is>
      </c>
      <c r="B366" s="14" t="inlineStr">
        <is>
          <t>bio</t>
        </is>
      </c>
      <c r="C366" s="14" t="inlineStr">
        <is>
          <t>all</t>
        </is>
      </c>
      <c r="D366" s="35">
        <f>INDEX(Inputs_prices!$T$7:$T$18,MATCH($B366&amp;"."&amp;$C366,Inputs_prices!$A$7:$A$18,0))</f>
        <v/>
      </c>
      <c r="E366" s="35">
        <f>INDEX(Inputs_prices!$S$7:$S$18,MATCH($B366&amp;"."&amp;$C366,Inputs_prices!$A$7:$A$18,0))</f>
        <v/>
      </c>
      <c r="F366" s="35">
        <f>INDEX(Inputs_prices!$K$7:$K$18,MATCH($B366&amp;"."&amp;$C366,Inputs_prices!$A$7:$A$18,0))</f>
        <v/>
      </c>
      <c r="G366" s="39" t="n"/>
      <c r="H366" s="14">
        <f>INDEX(VarLab,MATCH($A366,VarKey,0))&amp;INDEX(MemLab,MATCH($C366&amp;"|"&amp;$B366,MemKey,0))</f>
        <v/>
      </c>
      <c r="I366" s="14">
        <f>INDEX(VarUnit,MATCH($A366,VarKey,0))</f>
        <v/>
      </c>
      <c r="J366" s="14">
        <f>INDEX(VarSrc,MATCH($A366,VarKey,0))</f>
        <v/>
      </c>
      <c r="K366" s="11">
        <f>CodePrefix&amp;$A366&amp;IF($C366="","","."&amp;$C366&amp;"."&amp;$B366)&amp;INDEX(VarEnd,MATCH($A366,VarKey,0))&amp;K$5</f>
        <v/>
      </c>
      <c r="L366" s="40">
        <f>($E366-L353+$D366*(1-$F366))*(1-$F366)</f>
        <v/>
      </c>
      <c r="M366" s="35">
        <f>($E366-M353+$D366*(1-$F366))*(1-$F366)</f>
        <v/>
      </c>
      <c r="N366" s="35">
        <f>($E366-N353+$D366*(1-$F366))*(1-$F366)</f>
        <v/>
      </c>
      <c r="O366" s="35">
        <f>($E366-O353+$D366*(1-$F366))*(1-$F366)</f>
        <v/>
      </c>
      <c r="P366" s="35">
        <f>($E366-P353+$D366*(1-$F366))*(1-$F366)</f>
        <v/>
      </c>
      <c r="Q366" s="35">
        <f>($E366-Q353+$D366*(1-$F366))*(1-$F366)</f>
        <v/>
      </c>
      <c r="R366" s="35">
        <f>($E366-R353+$D366*(1-$F366))*(1-$F366)</f>
        <v/>
      </c>
      <c r="S366" s="35">
        <f>($E366-S353+$D366*(1-$F366))*(1-$F366)</f>
        <v/>
      </c>
      <c r="T366" s="35">
        <f>($E366-T353+$D366*(1-$F366))*(1-$F366)</f>
        <v/>
      </c>
      <c r="U366" s="35">
        <f>($E366-U353+$D366*(1-$F366))*(1-$F366)</f>
        <v/>
      </c>
      <c r="V366" s="35">
        <f>($E366-V353+$D366*(1-$F366))*(1-$F366)</f>
        <v/>
      </c>
      <c r="W366" s="35">
        <f>($E366-W353+$D366*(1-$F366))*(1-$F366)</f>
        <v/>
      </c>
      <c r="X366" s="35">
        <f>($E366-X353+$D366*(1-$F366))*(1-$F366)</f>
        <v/>
      </c>
      <c r="Y366" s="35">
        <f>($E366-Y353+$D366*(1-$F366))*(1-$F366)</f>
        <v/>
      </c>
      <c r="Z366" s="35">
        <f>($E366-Z353+$D366*(1-$F366))*(1-$F366)</f>
        <v/>
      </c>
      <c r="AA366" s="35">
        <f>($E366-AA353+$D366*(1-$F366))*(1-$F366)</f>
        <v/>
      </c>
      <c r="AB366" s="35">
        <f>($E366-AB353+$D366*(1-$F366))*(1-$F366)</f>
        <v/>
      </c>
      <c r="AC366" s="35">
        <f>($E366-AC353+$D366*(1-$F366))*(1-$F366)</f>
        <v/>
      </c>
      <c r="AD366" s="35">
        <f>($E366-AD353+$D366*(1-$F366))*(1-$F366)</f>
        <v/>
      </c>
      <c r="AE366" s="42">
        <f>FLOATTAX($D366,$E366,AE353,$F366)</f>
        <v/>
      </c>
      <c r="AG366" s="11">
        <f>CodePrefix&amp;$A366&amp;IF($C366="","","."&amp;$C366&amp;"."&amp;$B366)&amp;INDEX(VarEnd,MATCH($A366,VarKey,0))&amp;AG$5</f>
        <v/>
      </c>
      <c r="AH366" s="40">
        <f>($E366-AH353+$D366*(1-$F366))*(1-$F366)</f>
        <v/>
      </c>
      <c r="AI366" s="35">
        <f>($E366-AI353+$D366*(1-$F366))*(1-$F366)</f>
        <v/>
      </c>
      <c r="AJ366" s="35">
        <f>($E366-AJ353+$D366*(1-$F366))*(1-$F366)</f>
        <v/>
      </c>
      <c r="AK366" s="35">
        <f>($E366-AK353+$D366*(1-$F366))*(1-$F366)</f>
        <v/>
      </c>
      <c r="AL366" s="35">
        <f>($E366-AL353+$D366*(1-$F366))*(1-$F366)</f>
        <v/>
      </c>
      <c r="AM366" s="35">
        <f>($E366-AM353+$D366*(1-$F366))*(1-$F366)</f>
        <v/>
      </c>
      <c r="AN366" s="35">
        <f>($E366-AN353+$D366*(1-$F366))*(1-$F366)</f>
        <v/>
      </c>
      <c r="AO366" s="35">
        <f>($E366-AO353+$D366*(1-$F366))*(1-$F366)</f>
        <v/>
      </c>
      <c r="AP366" s="35">
        <f>($E366-AP353+$D366*(1-$F366))*(1-$F366)</f>
        <v/>
      </c>
      <c r="AQ366" s="35">
        <f>($E366-AQ353+$D366*(1-$F366))*(1-$F366)</f>
        <v/>
      </c>
      <c r="AR366" s="35">
        <f>($E366-AR353+$D366*(1-$F366))*(1-$F366)</f>
        <v/>
      </c>
      <c r="AS366" s="35">
        <f>($E366-AS353+$D366*(1-$F366))*(1-$F366)</f>
        <v/>
      </c>
      <c r="AT366" s="35">
        <f>($E366-AT353+$D366*(1-$F366))*(1-$F366)</f>
        <v/>
      </c>
      <c r="AU366" s="35">
        <f>($E366-AU353+$D366*(1-$F366))*(1-$F366)</f>
        <v/>
      </c>
      <c r="AV366" s="35">
        <f>($E366-AV353+$D366*(1-$F366))*(1-$F366)</f>
        <v/>
      </c>
      <c r="AW366" s="35">
        <f>($E366-AW353+$D366*(1-$F366))*(1-$F366)</f>
        <v/>
      </c>
      <c r="AX366" s="35">
        <f>($E366-AX353+$D366*(1-$F366))*(1-$F366)</f>
        <v/>
      </c>
      <c r="AY366" s="35">
        <f>($E366-AY353+$D366*(1-$F366))*(1-$F366)</f>
        <v/>
      </c>
      <c r="AZ366" s="35">
        <f>($E366-AZ353+$D366*(1-$F366))*(1-$F366)</f>
        <v/>
      </c>
      <c r="BA366" s="42">
        <f>FLOATTAX($D366,$E366,BA353,$F366)</f>
        <v/>
      </c>
    </row>
    <row r="367" hidden="1" outlineLevel="1"/>
    <row r="368" hidden="1" outlineLevel="1">
      <c r="A368" s="14" t="inlineStr">
        <is>
          <t>txo</t>
        </is>
      </c>
      <c r="B368" s="14" t="inlineStr">
        <is>
          <t>coa</t>
        </is>
      </c>
      <c r="C368" s="14" t="inlineStr">
        <is>
          <t>pow</t>
        </is>
      </c>
      <c r="D368" s="35">
        <f>INDEX(Inputs_prices!$T$7:$T$18,MATCH($B368&amp;"."&amp;$C368,Inputs_prices!$A$7:$A$18,0))</f>
        <v/>
      </c>
      <c r="E368" s="35">
        <f>INDEX(Inputs_prices!$S$7:$S$18,MATCH($B368&amp;"."&amp;$C368,Inputs_prices!$A$7:$A$18,0))</f>
        <v/>
      </c>
      <c r="F368" s="35">
        <f>INDEX(Inputs_prices!$K$7:$K$18,MATCH($B368&amp;"."&amp;$C368,Inputs_prices!$A$7:$A$18,0))</f>
        <v/>
      </c>
      <c r="G368" s="35">
        <f>INDEX(Inputs_prices!$E$7:$E$18,MATCH($B368&amp;"."&amp;$C368,Inputs_prices!$A$7:$A$18,0))</f>
        <v/>
      </c>
      <c r="H368" s="14">
        <f>INDEX(VarLab,MATCH($A368,VarKey,0))&amp;INDEX(MemLab,MATCH($C368&amp;"|"&amp;$B368,MemKey,0))</f>
        <v/>
      </c>
      <c r="I368" s="14">
        <f>INDEX(VarUnit,MATCH($A368,VarKey,0))</f>
        <v/>
      </c>
      <c r="J368" s="14">
        <f>INDEX(VarSrc,MATCH($A368,VarKey,0))</f>
        <v/>
      </c>
      <c r="K368" s="11">
        <f>CodePrefix&amp;$A368&amp;IF($C368="","","."&amp;$C368&amp;"."&amp;$B368)&amp;INDEX(VarEnd,MATCH($A368,VarKey,0))&amp;K$5</f>
        <v/>
      </c>
      <c r="L368" s="40">
        <f>INDEX(Inputs_prices!$Y$7:$AB$18,$G368,MATCH(L$4,Inputs_prices!$Y$6:$AB$6,0))</f>
        <v/>
      </c>
      <c r="M368" s="41">
        <f>INDEX(Inputs_prices!$Y$7:$AB$18,$G368,MATCH(M$4,Inputs_prices!$Y$6:$AB$6,0))</f>
        <v/>
      </c>
      <c r="N368" s="41">
        <f>INDEX(Inputs_prices!$Y$7:$AB$18,$G368,MATCH(N$4,Inputs_prices!$Y$6:$AB$6,0))</f>
        <v/>
      </c>
      <c r="O368" s="35">
        <f>$D368*$F368+IF($D368*(1-$F368)&gt;=0,MAX($D368*(1-$F368),O355),O355)</f>
        <v/>
      </c>
      <c r="P368" s="35">
        <f>$D368*$F368+IF($D368*(1-$F368)&gt;=0,MAX($D368*(1-$F368),P355),P355)</f>
        <v/>
      </c>
      <c r="Q368" s="35">
        <f>$D368*$F368+IF($D368*(1-$F368)&gt;=0,MAX($D368*(1-$F368),Q355),Q355)</f>
        <v/>
      </c>
      <c r="R368" s="35">
        <f>$D368*$F368+IF($D368*(1-$F368)&gt;=0,MAX($D368*(1-$F368),R355),R355)</f>
        <v/>
      </c>
      <c r="S368" s="35">
        <f>$D368*$F368+IF($D368*(1-$F368)&gt;=0,MAX($D368*(1-$F368),S355),S355)</f>
        <v/>
      </c>
      <c r="T368" s="35">
        <f>$D368*$F368+IF($D368*(1-$F368)&gt;=0,MAX($D368*(1-$F368),T355),T355)</f>
        <v/>
      </c>
      <c r="U368" s="35">
        <f>$D368*$F368+IF($D368*(1-$F368)&gt;=0,MAX($D368*(1-$F368),U355),U355)</f>
        <v/>
      </c>
      <c r="V368" s="35">
        <f>$D368*$F368+IF($D368*(1-$F368)&gt;=0,MAX($D368*(1-$F368),V355),V355)</f>
        <v/>
      </c>
      <c r="W368" s="35">
        <f>$D368*$F368+IF($D368*(1-$F368)&gt;=0,MAX($D368*(1-$F368),W355),W355)</f>
        <v/>
      </c>
      <c r="X368" s="35">
        <f>$D368*$F368+IF($D368*(1-$F368)&gt;=0,MAX($D368*(1-$F368),X355),X355)</f>
        <v/>
      </c>
      <c r="Y368" s="35">
        <f>$D368*$F368+IF($D368*(1-$F368)&gt;=0,MAX($D368*(1-$F368),Y355),Y355)</f>
        <v/>
      </c>
      <c r="Z368" s="35">
        <f>$D368*$F368+IF($D368*(1-$F368)&gt;=0,MAX($D368*(1-$F368),Z355),Z355)</f>
        <v/>
      </c>
      <c r="AA368" s="35">
        <f>$D368*$F368+IF($D368*(1-$F368)&gt;=0,MAX($D368*(1-$F368),AA355),AA355)</f>
        <v/>
      </c>
      <c r="AB368" s="35">
        <f>$D368*$F368+IF($D368*(1-$F368)&gt;=0,MAX($D368*(1-$F368),AB355),AB355)</f>
        <v/>
      </c>
      <c r="AC368" s="35">
        <f>$D368*$F368+IF($D368*(1-$F368)&gt;=0,MAX($D368*(1-$F368),AC355),AC355)</f>
        <v/>
      </c>
      <c r="AD368" s="35">
        <f>$D368*$F368+IF($D368*(1-$F368)&gt;=0,MAX($D368*(1-$F368),AD355),AD355)</f>
        <v/>
      </c>
      <c r="AE368" s="42">
        <f>OTHERTAX(AE$4,$G368,$D368,$E368,AE342,$F368)</f>
        <v/>
      </c>
      <c r="AG368" s="11">
        <f>CodePrefix&amp;$A368&amp;IF($C368="","","."&amp;$C368&amp;"."&amp;$B368)&amp;INDEX(VarEnd,MATCH($A368,VarKey,0))&amp;AG$5</f>
        <v/>
      </c>
      <c r="AH368" s="40">
        <f>INDEX(Inputs_prices!$Y$7:$AB$18,$G368,MATCH(AH$4,Inputs_prices!$Y$6:$AB$6,0))</f>
        <v/>
      </c>
      <c r="AI368" s="41">
        <f>INDEX(Inputs_prices!$Y$7:$AB$18,$G368,MATCH(AI$4,Inputs_prices!$Y$6:$AB$6,0))</f>
        <v/>
      </c>
      <c r="AJ368" s="41">
        <f>INDEX(Inputs_prices!$Y$7:$AB$18,$G368,MATCH(AJ$4,Inputs_prices!$Y$6:$AB$6,0))</f>
        <v/>
      </c>
      <c r="AK368" s="35">
        <f>$D368*$F368+IF($D368*(1-$F368)&gt;=0,MAX($D368*(1-$F368),AK355),AK355)</f>
        <v/>
      </c>
      <c r="AL368" s="35">
        <f>$D368*$F368+IF($D368*(1-$F368)&gt;=0,MAX($D368*(1-$F368),AL355),AL355)</f>
        <v/>
      </c>
      <c r="AM368" s="35">
        <f>$D368*$F368+IF($D368*(1-$F368)&gt;=0,MAX($D368*(1-$F368),AM355),AM355)</f>
        <v/>
      </c>
      <c r="AN368" s="35">
        <f>$D368*$F368+IF($D368*(1-$F368)&gt;=0,MAX($D368*(1-$F368),AN355),AN355)</f>
        <v/>
      </c>
      <c r="AO368" s="35">
        <f>$D368*$F368+IF($D368*(1-$F368)&gt;=0,MAX($D368*(1-$F368),AO355),AO355)</f>
        <v/>
      </c>
      <c r="AP368" s="35">
        <f>$D368*$F368+IF($D368*(1-$F368)&gt;=0,MAX($D368*(1-$F368),AP355),AP355)</f>
        <v/>
      </c>
      <c r="AQ368" s="35">
        <f>$D368*$F368+IF($D368*(1-$F368)&gt;=0,MAX($D368*(1-$F368),AQ355),AQ355)</f>
        <v/>
      </c>
      <c r="AR368" s="35">
        <f>$D368*$F368+IF($D368*(1-$F368)&gt;=0,MAX($D368*(1-$F368),AR355),AR355)</f>
        <v/>
      </c>
      <c r="AS368" s="35">
        <f>$D368*$F368+IF($D368*(1-$F368)&gt;=0,MAX($D368*(1-$F368),AS355),AS355)</f>
        <v/>
      </c>
      <c r="AT368" s="35">
        <f>$D368*$F368+IF($D368*(1-$F368)&gt;=0,MAX($D368*(1-$F368),AT355),AT355)</f>
        <v/>
      </c>
      <c r="AU368" s="35">
        <f>$D368*$F368+IF($D368*(1-$F368)&gt;=0,MAX($D368*(1-$F368),AU355),AU355)</f>
        <v/>
      </c>
      <c r="AV368" s="35">
        <f>$D368*$F368+IF($D368*(1-$F368)&gt;=0,MAX($D368*(1-$F368),AV355),AV355)</f>
        <v/>
      </c>
      <c r="AW368" s="35">
        <f>$D368*$F368+IF($D368*(1-$F368)&gt;=0,MAX($D368*(1-$F368),AW355),AW355)</f>
        <v/>
      </c>
      <c r="AX368" s="35">
        <f>$D368*$F368+IF($D368*(1-$F368)&gt;=0,MAX($D368*(1-$F368),AX355),AX355)</f>
        <v/>
      </c>
      <c r="AY368" s="35">
        <f>$D368*$F368+IF($D368*(1-$F368)&gt;=0,MAX($D368*(1-$F368),AY355),AY355)</f>
        <v/>
      </c>
      <c r="AZ368" s="35">
        <f>$D368*$F368+IF($D368*(1-$F368)&gt;=0,MAX($D368*(1-$F368),AZ355),AZ355)</f>
        <v/>
      </c>
      <c r="BA368" s="42">
        <f>OTHERTAX(BA$4,$G368,$D368,$E368,BA342,$F368)</f>
        <v/>
      </c>
    </row>
    <row r="369" hidden="1" outlineLevel="1">
      <c r="A369" s="14" t="inlineStr">
        <is>
          <t>txo</t>
        </is>
      </c>
      <c r="B369" s="14" t="inlineStr">
        <is>
          <t>coa</t>
        </is>
      </c>
      <c r="C369" s="14" t="inlineStr">
        <is>
          <t>res</t>
        </is>
      </c>
      <c r="D369" s="35">
        <f>INDEX(Inputs_prices!$T$7:$T$18,MATCH($B369&amp;"."&amp;$C369,Inputs_prices!$A$7:$A$18,0))</f>
        <v/>
      </c>
      <c r="E369" s="35">
        <f>INDEX(Inputs_prices!$S$7:$S$18,MATCH($B369&amp;"."&amp;$C369,Inputs_prices!$A$7:$A$18,0))</f>
        <v/>
      </c>
      <c r="F369" s="35">
        <f>INDEX(Inputs_prices!$K$7:$K$18,MATCH($B369&amp;"."&amp;$C369,Inputs_prices!$A$7:$A$18,0))</f>
        <v/>
      </c>
      <c r="G369" s="35">
        <f>INDEX(Inputs_prices!$E$7:$E$18,MATCH($B369&amp;"."&amp;$C369,Inputs_prices!$A$7:$A$18,0))</f>
        <v/>
      </c>
      <c r="H369" s="14">
        <f>INDEX(VarLab,MATCH($A369,VarKey,0))&amp;INDEX(MemLab,MATCH($C369&amp;"|"&amp;$B369,MemKey,0))</f>
        <v/>
      </c>
      <c r="I369" s="14">
        <f>INDEX(VarUnit,MATCH($A369,VarKey,0))</f>
        <v/>
      </c>
      <c r="J369" s="14">
        <f>INDEX(VarSrc,MATCH($A369,VarKey,0))</f>
        <v/>
      </c>
      <c r="K369" s="11">
        <f>CodePrefix&amp;$A369&amp;IF($C369="","","."&amp;$C369&amp;"."&amp;$B369)&amp;INDEX(VarEnd,MATCH($A369,VarKey,0))&amp;K$5</f>
        <v/>
      </c>
      <c r="L369" s="40">
        <f>INDEX(Inputs_prices!$Y$7:$AB$18,$G369,MATCH(L$4,Inputs_prices!$Y$6:$AB$6,0))</f>
        <v/>
      </c>
      <c r="M369" s="41">
        <f>INDEX(Inputs_prices!$Y$7:$AB$18,$G369,MATCH(M$4,Inputs_prices!$Y$6:$AB$6,0))</f>
        <v/>
      </c>
      <c r="N369" s="41">
        <f>INDEX(Inputs_prices!$Y$7:$AB$18,$G369,MATCH(N$4,Inputs_prices!$Y$6:$AB$6,0))</f>
        <v/>
      </c>
      <c r="O369" s="35">
        <f>$D369*$F369+IF($D369*(1-$F369)&gt;=0,MAX($D369*(1-$F369),O356),O356)</f>
        <v/>
      </c>
      <c r="P369" s="35">
        <f>$D369*$F369+IF($D369*(1-$F369)&gt;=0,MAX($D369*(1-$F369),P356),P356)</f>
        <v/>
      </c>
      <c r="Q369" s="35">
        <f>$D369*$F369+IF($D369*(1-$F369)&gt;=0,MAX($D369*(1-$F369),Q356),Q356)</f>
        <v/>
      </c>
      <c r="R369" s="35">
        <f>$D369*$F369+IF($D369*(1-$F369)&gt;=0,MAX($D369*(1-$F369),R356),R356)</f>
        <v/>
      </c>
      <c r="S369" s="35">
        <f>$D369*$F369+IF($D369*(1-$F369)&gt;=0,MAX($D369*(1-$F369),S356),S356)</f>
        <v/>
      </c>
      <c r="T369" s="35">
        <f>$D369*$F369+IF($D369*(1-$F369)&gt;=0,MAX($D369*(1-$F369),T356),T356)</f>
        <v/>
      </c>
      <c r="U369" s="35">
        <f>$D369*$F369+IF($D369*(1-$F369)&gt;=0,MAX($D369*(1-$F369),U356),U356)</f>
        <v/>
      </c>
      <c r="V369" s="35">
        <f>$D369*$F369+IF($D369*(1-$F369)&gt;=0,MAX($D369*(1-$F369),V356),V356)</f>
        <v/>
      </c>
      <c r="W369" s="35">
        <f>$D369*$F369+IF($D369*(1-$F369)&gt;=0,MAX($D369*(1-$F369),W356),W356)</f>
        <v/>
      </c>
      <c r="X369" s="35">
        <f>$D369*$F369+IF($D369*(1-$F369)&gt;=0,MAX($D369*(1-$F369),X356),X356)</f>
        <v/>
      </c>
      <c r="Y369" s="35">
        <f>$D369*$F369+IF($D369*(1-$F369)&gt;=0,MAX($D369*(1-$F369),Y356),Y356)</f>
        <v/>
      </c>
      <c r="Z369" s="35">
        <f>$D369*$F369+IF($D369*(1-$F369)&gt;=0,MAX($D369*(1-$F369),Z356),Z356)</f>
        <v/>
      </c>
      <c r="AA369" s="35">
        <f>$D369*$F369+IF($D369*(1-$F369)&gt;=0,MAX($D369*(1-$F369),AA356),AA356)</f>
        <v/>
      </c>
      <c r="AB369" s="35">
        <f>$D369*$F369+IF($D369*(1-$F369)&gt;=0,MAX($D369*(1-$F369),AB356),AB356)</f>
        <v/>
      </c>
      <c r="AC369" s="35">
        <f>$D369*$F369+IF($D369*(1-$F369)&gt;=0,MAX($D369*(1-$F369),AC356),AC356)</f>
        <v/>
      </c>
      <c r="AD369" s="35">
        <f>$D369*$F369+IF($D369*(1-$F369)&gt;=0,MAX($D369*(1-$F369),AD356),AD356)</f>
        <v/>
      </c>
      <c r="AE369" s="42">
        <f>OTHERTAX(AE$4,$G369,$D369,$E369,AE343,$F369)</f>
        <v/>
      </c>
      <c r="AG369" s="11">
        <f>CodePrefix&amp;$A369&amp;IF($C369="","","."&amp;$C369&amp;"."&amp;$B369)&amp;INDEX(VarEnd,MATCH($A369,VarKey,0))&amp;AG$5</f>
        <v/>
      </c>
      <c r="AH369" s="40">
        <f>INDEX(Inputs_prices!$Y$7:$AB$18,$G369,MATCH(AH$4,Inputs_prices!$Y$6:$AB$6,0))</f>
        <v/>
      </c>
      <c r="AI369" s="41">
        <f>INDEX(Inputs_prices!$Y$7:$AB$18,$G369,MATCH(AI$4,Inputs_prices!$Y$6:$AB$6,0))</f>
        <v/>
      </c>
      <c r="AJ369" s="41">
        <f>INDEX(Inputs_prices!$Y$7:$AB$18,$G369,MATCH(AJ$4,Inputs_prices!$Y$6:$AB$6,0))</f>
        <v/>
      </c>
      <c r="AK369" s="35">
        <f>$D369*$F369+IF($D369*(1-$F369)&gt;=0,MAX($D369*(1-$F369),AK356),AK356)</f>
        <v/>
      </c>
      <c r="AL369" s="35">
        <f>$D369*$F369+IF($D369*(1-$F369)&gt;=0,MAX($D369*(1-$F369),AL356),AL356)</f>
        <v/>
      </c>
      <c r="AM369" s="35">
        <f>$D369*$F369+IF($D369*(1-$F369)&gt;=0,MAX($D369*(1-$F369),AM356),AM356)</f>
        <v/>
      </c>
      <c r="AN369" s="35">
        <f>$D369*$F369+IF($D369*(1-$F369)&gt;=0,MAX($D369*(1-$F369),AN356),AN356)</f>
        <v/>
      </c>
      <c r="AO369" s="35">
        <f>$D369*$F369+IF($D369*(1-$F369)&gt;=0,MAX($D369*(1-$F369),AO356),AO356)</f>
        <v/>
      </c>
      <c r="AP369" s="35">
        <f>$D369*$F369+IF($D369*(1-$F369)&gt;=0,MAX($D369*(1-$F369),AP356),AP356)</f>
        <v/>
      </c>
      <c r="AQ369" s="35">
        <f>$D369*$F369+IF($D369*(1-$F369)&gt;=0,MAX($D369*(1-$F369),AQ356),AQ356)</f>
        <v/>
      </c>
      <c r="AR369" s="35">
        <f>$D369*$F369+IF($D369*(1-$F369)&gt;=0,MAX($D369*(1-$F369),AR356),AR356)</f>
        <v/>
      </c>
      <c r="AS369" s="35">
        <f>$D369*$F369+IF($D369*(1-$F369)&gt;=0,MAX($D369*(1-$F369),AS356),AS356)</f>
        <v/>
      </c>
      <c r="AT369" s="35">
        <f>$D369*$F369+IF($D369*(1-$F369)&gt;=0,MAX($D369*(1-$F369),AT356),AT356)</f>
        <v/>
      </c>
      <c r="AU369" s="35">
        <f>$D369*$F369+IF($D369*(1-$F369)&gt;=0,MAX($D369*(1-$F369),AU356),AU356)</f>
        <v/>
      </c>
      <c r="AV369" s="35">
        <f>$D369*$F369+IF($D369*(1-$F369)&gt;=0,MAX($D369*(1-$F369),AV356),AV356)</f>
        <v/>
      </c>
      <c r="AW369" s="35">
        <f>$D369*$F369+IF($D369*(1-$F369)&gt;=0,MAX($D369*(1-$F369),AW356),AW356)</f>
        <v/>
      </c>
      <c r="AX369" s="35">
        <f>$D369*$F369+IF($D369*(1-$F369)&gt;=0,MAX($D369*(1-$F369),AX356),AX356)</f>
        <v/>
      </c>
      <c r="AY369" s="35">
        <f>$D369*$F369+IF($D369*(1-$F369)&gt;=0,MAX($D369*(1-$F369),AY356),AY356)</f>
        <v/>
      </c>
      <c r="AZ369" s="35">
        <f>$D369*$F369+IF($D369*(1-$F369)&gt;=0,MAX($D369*(1-$F369),AZ356),AZ356)</f>
        <v/>
      </c>
      <c r="BA369" s="42">
        <f>OTHERTAX(BA$4,$G369,$D369,$E369,BA343,$F369)</f>
        <v/>
      </c>
    </row>
    <row r="370" hidden="1" outlineLevel="1">
      <c r="A370" s="14" t="inlineStr">
        <is>
          <t>txo</t>
        </is>
      </c>
      <c r="B370" s="14" t="inlineStr">
        <is>
          <t>coa</t>
        </is>
      </c>
      <c r="C370" s="14" t="inlineStr">
        <is>
          <t>ind</t>
        </is>
      </c>
      <c r="D370" s="35">
        <f>INDEX(Inputs_prices!$T$7:$T$18,MATCH($B370&amp;"."&amp;$C370,Inputs_prices!$A$7:$A$18,0))</f>
        <v/>
      </c>
      <c r="E370" s="35">
        <f>INDEX(Inputs_prices!$S$7:$S$18,MATCH($B370&amp;"."&amp;$C370,Inputs_prices!$A$7:$A$18,0))</f>
        <v/>
      </c>
      <c r="F370" s="35">
        <f>INDEX(Inputs_prices!$K$7:$K$18,MATCH($B370&amp;"."&amp;$C370,Inputs_prices!$A$7:$A$18,0))</f>
        <v/>
      </c>
      <c r="G370" s="35">
        <f>INDEX(Inputs_prices!$E$7:$E$18,MATCH($B370&amp;"."&amp;$C370,Inputs_prices!$A$7:$A$18,0))</f>
        <v/>
      </c>
      <c r="H370" s="14">
        <f>INDEX(VarLab,MATCH($A370,VarKey,0))&amp;INDEX(MemLab,MATCH($C370&amp;"|"&amp;$B370,MemKey,0))</f>
        <v/>
      </c>
      <c r="I370" s="14">
        <f>INDEX(VarUnit,MATCH($A370,VarKey,0))</f>
        <v/>
      </c>
      <c r="J370" s="14">
        <f>INDEX(VarSrc,MATCH($A370,VarKey,0))</f>
        <v/>
      </c>
      <c r="K370" s="11">
        <f>CodePrefix&amp;$A370&amp;IF($C370="","","."&amp;$C370&amp;"."&amp;$B370)&amp;INDEX(VarEnd,MATCH($A370,VarKey,0))&amp;K$5</f>
        <v/>
      </c>
      <c r="L370" s="40">
        <f>INDEX(Inputs_prices!$Y$7:$AB$18,$G370,MATCH(L$4,Inputs_prices!$Y$6:$AB$6,0))</f>
        <v/>
      </c>
      <c r="M370" s="41">
        <f>INDEX(Inputs_prices!$Y$7:$AB$18,$G370,MATCH(M$4,Inputs_prices!$Y$6:$AB$6,0))</f>
        <v/>
      </c>
      <c r="N370" s="41">
        <f>INDEX(Inputs_prices!$Y$7:$AB$18,$G370,MATCH(N$4,Inputs_prices!$Y$6:$AB$6,0))</f>
        <v/>
      </c>
      <c r="O370" s="35">
        <f>$D370*$F370+IF($D370*(1-$F370)&gt;=0,MAX($D370*(1-$F370),O357),O357)</f>
        <v/>
      </c>
      <c r="P370" s="35">
        <f>$D370*$F370+IF($D370*(1-$F370)&gt;=0,MAX($D370*(1-$F370),P357),P357)</f>
        <v/>
      </c>
      <c r="Q370" s="35">
        <f>$D370*$F370+IF($D370*(1-$F370)&gt;=0,MAX($D370*(1-$F370),Q357),Q357)</f>
        <v/>
      </c>
      <c r="R370" s="35">
        <f>$D370*$F370+IF($D370*(1-$F370)&gt;=0,MAX($D370*(1-$F370),R357),R357)</f>
        <v/>
      </c>
      <c r="S370" s="35">
        <f>$D370*$F370+IF($D370*(1-$F370)&gt;=0,MAX($D370*(1-$F370),S357),S357)</f>
        <v/>
      </c>
      <c r="T370" s="35">
        <f>$D370*$F370+IF($D370*(1-$F370)&gt;=0,MAX($D370*(1-$F370),T357),T357)</f>
        <v/>
      </c>
      <c r="U370" s="35">
        <f>$D370*$F370+IF($D370*(1-$F370)&gt;=0,MAX($D370*(1-$F370),U357),U357)</f>
        <v/>
      </c>
      <c r="V370" s="35">
        <f>$D370*$F370+IF($D370*(1-$F370)&gt;=0,MAX($D370*(1-$F370),V357),V357)</f>
        <v/>
      </c>
      <c r="W370" s="35">
        <f>$D370*$F370+IF($D370*(1-$F370)&gt;=0,MAX($D370*(1-$F370),W357),W357)</f>
        <v/>
      </c>
      <c r="X370" s="35">
        <f>$D370*$F370+IF($D370*(1-$F370)&gt;=0,MAX($D370*(1-$F370),X357),X357)</f>
        <v/>
      </c>
      <c r="Y370" s="35">
        <f>$D370*$F370+IF($D370*(1-$F370)&gt;=0,MAX($D370*(1-$F370),Y357),Y357)</f>
        <v/>
      </c>
      <c r="Z370" s="35">
        <f>$D370*$F370+IF($D370*(1-$F370)&gt;=0,MAX($D370*(1-$F370),Z357),Z357)</f>
        <v/>
      </c>
      <c r="AA370" s="35">
        <f>$D370*$F370+IF($D370*(1-$F370)&gt;=0,MAX($D370*(1-$F370),AA357),AA357)</f>
        <v/>
      </c>
      <c r="AB370" s="35">
        <f>$D370*$F370+IF($D370*(1-$F370)&gt;=0,MAX($D370*(1-$F370),AB357),AB357)</f>
        <v/>
      </c>
      <c r="AC370" s="35">
        <f>$D370*$F370+IF($D370*(1-$F370)&gt;=0,MAX($D370*(1-$F370),AC357),AC357)</f>
        <v/>
      </c>
      <c r="AD370" s="35">
        <f>$D370*$F370+IF($D370*(1-$F370)&gt;=0,MAX($D370*(1-$F370),AD357),AD357)</f>
        <v/>
      </c>
      <c r="AE370" s="42">
        <f>OTHERTAX(AE$4,$G370,$D370,$E370,AE344,$F370)</f>
        <v/>
      </c>
      <c r="AG370" s="11">
        <f>CodePrefix&amp;$A370&amp;IF($C370="","","."&amp;$C370&amp;"."&amp;$B370)&amp;INDEX(VarEnd,MATCH($A370,VarKey,0))&amp;AG$5</f>
        <v/>
      </c>
      <c r="AH370" s="40">
        <f>INDEX(Inputs_prices!$Y$7:$AB$18,$G370,MATCH(AH$4,Inputs_prices!$Y$6:$AB$6,0))</f>
        <v/>
      </c>
      <c r="AI370" s="41">
        <f>INDEX(Inputs_prices!$Y$7:$AB$18,$G370,MATCH(AI$4,Inputs_prices!$Y$6:$AB$6,0))</f>
        <v/>
      </c>
      <c r="AJ370" s="41">
        <f>INDEX(Inputs_prices!$Y$7:$AB$18,$G370,MATCH(AJ$4,Inputs_prices!$Y$6:$AB$6,0))</f>
        <v/>
      </c>
      <c r="AK370" s="35">
        <f>$D370*$F370+IF($D370*(1-$F370)&gt;=0,MAX($D370*(1-$F370),AK357),AK357)</f>
        <v/>
      </c>
      <c r="AL370" s="35">
        <f>$D370*$F370+IF($D370*(1-$F370)&gt;=0,MAX($D370*(1-$F370),AL357),AL357)</f>
        <v/>
      </c>
      <c r="AM370" s="35">
        <f>$D370*$F370+IF($D370*(1-$F370)&gt;=0,MAX($D370*(1-$F370),AM357),AM357)</f>
        <v/>
      </c>
      <c r="AN370" s="35">
        <f>$D370*$F370+IF($D370*(1-$F370)&gt;=0,MAX($D370*(1-$F370),AN357),AN357)</f>
        <v/>
      </c>
      <c r="AO370" s="35">
        <f>$D370*$F370+IF($D370*(1-$F370)&gt;=0,MAX($D370*(1-$F370),AO357),AO357)</f>
        <v/>
      </c>
      <c r="AP370" s="35">
        <f>$D370*$F370+IF($D370*(1-$F370)&gt;=0,MAX($D370*(1-$F370),AP357),AP357)</f>
        <v/>
      </c>
      <c r="AQ370" s="35">
        <f>$D370*$F370+IF($D370*(1-$F370)&gt;=0,MAX($D370*(1-$F370),AQ357),AQ357)</f>
        <v/>
      </c>
      <c r="AR370" s="35">
        <f>$D370*$F370+IF($D370*(1-$F370)&gt;=0,MAX($D370*(1-$F370),AR357),AR357)</f>
        <v/>
      </c>
      <c r="AS370" s="35">
        <f>$D370*$F370+IF($D370*(1-$F370)&gt;=0,MAX($D370*(1-$F370),AS357),AS357)</f>
        <v/>
      </c>
      <c r="AT370" s="35">
        <f>$D370*$F370+IF($D370*(1-$F370)&gt;=0,MAX($D370*(1-$F370),AT357),AT357)</f>
        <v/>
      </c>
      <c r="AU370" s="35">
        <f>$D370*$F370+IF($D370*(1-$F370)&gt;=0,MAX($D370*(1-$F370),AU357),AU357)</f>
        <v/>
      </c>
      <c r="AV370" s="35">
        <f>$D370*$F370+IF($D370*(1-$F370)&gt;=0,MAX($D370*(1-$F370),AV357),AV357)</f>
        <v/>
      </c>
      <c r="AW370" s="35">
        <f>$D370*$F370+IF($D370*(1-$F370)&gt;=0,MAX($D370*(1-$F370),AW357),AW357)</f>
        <v/>
      </c>
      <c r="AX370" s="35">
        <f>$D370*$F370+IF($D370*(1-$F370)&gt;=0,MAX($D370*(1-$F370),AX357),AX357)</f>
        <v/>
      </c>
      <c r="AY370" s="35">
        <f>$D370*$F370+IF($D370*(1-$F370)&gt;=0,MAX($D370*(1-$F370),AY357),AY357)</f>
        <v/>
      </c>
      <c r="AZ370" s="35">
        <f>$D370*$F370+IF($D370*(1-$F370)&gt;=0,MAX($D370*(1-$F370),AZ357),AZ357)</f>
        <v/>
      </c>
      <c r="BA370" s="42">
        <f>OTHERTAX(BA$4,$G370,$D370,$E370,BA344,$F370)</f>
        <v/>
      </c>
    </row>
    <row r="371" hidden="1" outlineLevel="1">
      <c r="A371" s="14" t="inlineStr">
        <is>
          <t>txo</t>
        </is>
      </c>
      <c r="B371" s="14" t="inlineStr">
        <is>
          <t>nga</t>
        </is>
      </c>
      <c r="C371" s="14" t="inlineStr">
        <is>
          <t>pow</t>
        </is>
      </c>
      <c r="D371" s="35">
        <f>INDEX(Inputs_prices!$T$7:$T$18,MATCH($B371&amp;"."&amp;$C371,Inputs_prices!$A$7:$A$18,0))</f>
        <v/>
      </c>
      <c r="E371" s="35">
        <f>INDEX(Inputs_prices!$S$7:$S$18,MATCH($B371&amp;"."&amp;$C371,Inputs_prices!$A$7:$A$18,0))</f>
        <v/>
      </c>
      <c r="F371" s="35">
        <f>INDEX(Inputs_prices!$K$7:$K$18,MATCH($B371&amp;"."&amp;$C371,Inputs_prices!$A$7:$A$18,0))</f>
        <v/>
      </c>
      <c r="G371" s="35">
        <f>INDEX(Inputs_prices!$E$7:$E$18,MATCH($B371&amp;"."&amp;$C371,Inputs_prices!$A$7:$A$18,0))</f>
        <v/>
      </c>
      <c r="H371" s="14">
        <f>INDEX(VarLab,MATCH($A371,VarKey,0))&amp;INDEX(MemLab,MATCH($C371&amp;"|"&amp;$B371,MemKey,0))</f>
        <v/>
      </c>
      <c r="I371" s="14">
        <f>INDEX(VarUnit,MATCH($A371,VarKey,0))</f>
        <v/>
      </c>
      <c r="J371" s="14">
        <f>INDEX(VarSrc,MATCH($A371,VarKey,0))</f>
        <v/>
      </c>
      <c r="K371" s="11">
        <f>CodePrefix&amp;$A371&amp;IF($C371="","","."&amp;$C371&amp;"."&amp;$B371)&amp;INDEX(VarEnd,MATCH($A371,VarKey,0))&amp;K$5</f>
        <v/>
      </c>
      <c r="L371" s="40">
        <f>INDEX(Inputs_prices!$Y$7:$AB$18,$G371,MATCH(L$4,Inputs_prices!$Y$6:$AB$6,0))</f>
        <v/>
      </c>
      <c r="M371" s="41">
        <f>INDEX(Inputs_prices!$Y$7:$AB$18,$G371,MATCH(M$4,Inputs_prices!$Y$6:$AB$6,0))</f>
        <v/>
      </c>
      <c r="N371" s="41">
        <f>INDEX(Inputs_prices!$Y$7:$AB$18,$G371,MATCH(N$4,Inputs_prices!$Y$6:$AB$6,0))</f>
        <v/>
      </c>
      <c r="O371" s="35">
        <f>$D371*$F371+IF($D371*(1-$F371)&gt;=0,MAX($D371*(1-$F371),O358),O358)</f>
        <v/>
      </c>
      <c r="P371" s="35">
        <f>$D371*$F371+IF($D371*(1-$F371)&gt;=0,MAX($D371*(1-$F371),P358),P358)</f>
        <v/>
      </c>
      <c r="Q371" s="35">
        <f>$D371*$F371+IF($D371*(1-$F371)&gt;=0,MAX($D371*(1-$F371),Q358),Q358)</f>
        <v/>
      </c>
      <c r="R371" s="35">
        <f>$D371*$F371+IF($D371*(1-$F371)&gt;=0,MAX($D371*(1-$F371),R358),R358)</f>
        <v/>
      </c>
      <c r="S371" s="35">
        <f>$D371*$F371+IF($D371*(1-$F371)&gt;=0,MAX($D371*(1-$F371),S358),S358)</f>
        <v/>
      </c>
      <c r="T371" s="35">
        <f>$D371*$F371+IF($D371*(1-$F371)&gt;=0,MAX($D371*(1-$F371),T358),T358)</f>
        <v/>
      </c>
      <c r="U371" s="35">
        <f>$D371*$F371+IF($D371*(1-$F371)&gt;=0,MAX($D371*(1-$F371),U358),U358)</f>
        <v/>
      </c>
      <c r="V371" s="35">
        <f>$D371*$F371+IF($D371*(1-$F371)&gt;=0,MAX($D371*(1-$F371),V358),V358)</f>
        <v/>
      </c>
      <c r="W371" s="35">
        <f>$D371*$F371+IF($D371*(1-$F371)&gt;=0,MAX($D371*(1-$F371),W358),W358)</f>
        <v/>
      </c>
      <c r="X371" s="35">
        <f>$D371*$F371+IF($D371*(1-$F371)&gt;=0,MAX($D371*(1-$F371),X358),X358)</f>
        <v/>
      </c>
      <c r="Y371" s="35">
        <f>$D371*$F371+IF($D371*(1-$F371)&gt;=0,MAX($D371*(1-$F371),Y358),Y358)</f>
        <v/>
      </c>
      <c r="Z371" s="35">
        <f>$D371*$F371+IF($D371*(1-$F371)&gt;=0,MAX($D371*(1-$F371),Z358),Z358)</f>
        <v/>
      </c>
      <c r="AA371" s="35">
        <f>$D371*$F371+IF($D371*(1-$F371)&gt;=0,MAX($D371*(1-$F371),AA358),AA358)</f>
        <v/>
      </c>
      <c r="AB371" s="35">
        <f>$D371*$F371+IF($D371*(1-$F371)&gt;=0,MAX($D371*(1-$F371),AB358),AB358)</f>
        <v/>
      </c>
      <c r="AC371" s="35">
        <f>$D371*$F371+IF($D371*(1-$F371)&gt;=0,MAX($D371*(1-$F371),AC358),AC358)</f>
        <v/>
      </c>
      <c r="AD371" s="35">
        <f>$D371*$F371+IF($D371*(1-$F371)&gt;=0,MAX($D371*(1-$F371),AD358),AD358)</f>
        <v/>
      </c>
      <c r="AE371" s="42">
        <f>OTHERTAX(AE$4,$G371,$D371,$E371,AE345,$F371)</f>
        <v/>
      </c>
      <c r="AG371" s="11">
        <f>CodePrefix&amp;$A371&amp;IF($C371="","","."&amp;$C371&amp;"."&amp;$B371)&amp;INDEX(VarEnd,MATCH($A371,VarKey,0))&amp;AG$5</f>
        <v/>
      </c>
      <c r="AH371" s="40">
        <f>INDEX(Inputs_prices!$Y$7:$AB$18,$G371,MATCH(AH$4,Inputs_prices!$Y$6:$AB$6,0))</f>
        <v/>
      </c>
      <c r="AI371" s="41">
        <f>INDEX(Inputs_prices!$Y$7:$AB$18,$G371,MATCH(AI$4,Inputs_prices!$Y$6:$AB$6,0))</f>
        <v/>
      </c>
      <c r="AJ371" s="41">
        <f>INDEX(Inputs_prices!$Y$7:$AB$18,$G371,MATCH(AJ$4,Inputs_prices!$Y$6:$AB$6,0))</f>
        <v/>
      </c>
      <c r="AK371" s="35">
        <f>$D371*$F371+IF($D371*(1-$F371)&gt;=0,MAX($D371*(1-$F371),AK358),AK358)</f>
        <v/>
      </c>
      <c r="AL371" s="35">
        <f>$D371*$F371+IF($D371*(1-$F371)&gt;=0,MAX($D371*(1-$F371),AL358),AL358)</f>
        <v/>
      </c>
      <c r="AM371" s="35">
        <f>$D371*$F371+IF($D371*(1-$F371)&gt;=0,MAX($D371*(1-$F371),AM358),AM358)</f>
        <v/>
      </c>
      <c r="AN371" s="35">
        <f>$D371*$F371+IF($D371*(1-$F371)&gt;=0,MAX($D371*(1-$F371),AN358),AN358)</f>
        <v/>
      </c>
      <c r="AO371" s="35">
        <f>$D371*$F371+IF($D371*(1-$F371)&gt;=0,MAX($D371*(1-$F371),AO358),AO358)</f>
        <v/>
      </c>
      <c r="AP371" s="35">
        <f>$D371*$F371+IF($D371*(1-$F371)&gt;=0,MAX($D371*(1-$F371),AP358),AP358)</f>
        <v/>
      </c>
      <c r="AQ371" s="35">
        <f>$D371*$F371+IF($D371*(1-$F371)&gt;=0,MAX($D371*(1-$F371),AQ358),AQ358)</f>
        <v/>
      </c>
      <c r="AR371" s="35">
        <f>$D371*$F371+IF($D371*(1-$F371)&gt;=0,MAX($D371*(1-$F371),AR358),AR358)</f>
        <v/>
      </c>
      <c r="AS371" s="35">
        <f>$D371*$F371+IF($D371*(1-$F371)&gt;=0,MAX($D371*(1-$F371),AS358),AS358)</f>
        <v/>
      </c>
      <c r="AT371" s="35">
        <f>$D371*$F371+IF($D371*(1-$F371)&gt;=0,MAX($D371*(1-$F371),AT358),AT358)</f>
        <v/>
      </c>
      <c r="AU371" s="35">
        <f>$D371*$F371+IF($D371*(1-$F371)&gt;=0,MAX($D371*(1-$F371),AU358),AU358)</f>
        <v/>
      </c>
      <c r="AV371" s="35">
        <f>$D371*$F371+IF($D371*(1-$F371)&gt;=0,MAX($D371*(1-$F371),AV358),AV358)</f>
        <v/>
      </c>
      <c r="AW371" s="35">
        <f>$D371*$F371+IF($D371*(1-$F371)&gt;=0,MAX($D371*(1-$F371),AW358),AW358)</f>
        <v/>
      </c>
      <c r="AX371" s="35">
        <f>$D371*$F371+IF($D371*(1-$F371)&gt;=0,MAX($D371*(1-$F371),AX358),AX358)</f>
        <v/>
      </c>
      <c r="AY371" s="35">
        <f>$D371*$F371+IF($D371*(1-$F371)&gt;=0,MAX($D371*(1-$F371),AY358),AY358)</f>
        <v/>
      </c>
      <c r="AZ371" s="35">
        <f>$D371*$F371+IF($D371*(1-$F371)&gt;=0,MAX($D371*(1-$F371),AZ358),AZ358)</f>
        <v/>
      </c>
      <c r="BA371" s="42">
        <f>OTHERTAX(BA$4,$G371,$D371,$E371,BA345,$F371)</f>
        <v/>
      </c>
    </row>
    <row r="372" hidden="1" outlineLevel="1">
      <c r="A372" s="14" t="inlineStr">
        <is>
          <t>txo</t>
        </is>
      </c>
      <c r="B372" s="14" t="inlineStr">
        <is>
          <t>nga</t>
        </is>
      </c>
      <c r="C372" s="14" t="inlineStr">
        <is>
          <t>res</t>
        </is>
      </c>
      <c r="D372" s="35">
        <f>INDEX(Inputs_prices!$T$7:$T$18,MATCH($B372&amp;"."&amp;$C372,Inputs_prices!$A$7:$A$18,0))</f>
        <v/>
      </c>
      <c r="E372" s="35">
        <f>INDEX(Inputs_prices!$S$7:$S$18,MATCH($B372&amp;"."&amp;$C372,Inputs_prices!$A$7:$A$18,0))</f>
        <v/>
      </c>
      <c r="F372" s="35">
        <f>INDEX(Inputs_prices!$K$7:$K$18,MATCH($B372&amp;"."&amp;$C372,Inputs_prices!$A$7:$A$18,0))</f>
        <v/>
      </c>
      <c r="G372" s="35">
        <f>INDEX(Inputs_prices!$E$7:$E$18,MATCH($B372&amp;"."&amp;$C372,Inputs_prices!$A$7:$A$18,0))</f>
        <v/>
      </c>
      <c r="H372" s="14">
        <f>INDEX(VarLab,MATCH($A372,VarKey,0))&amp;INDEX(MemLab,MATCH($C372&amp;"|"&amp;$B372,MemKey,0))</f>
        <v/>
      </c>
      <c r="I372" s="14">
        <f>INDEX(VarUnit,MATCH($A372,VarKey,0))</f>
        <v/>
      </c>
      <c r="J372" s="14">
        <f>INDEX(VarSrc,MATCH($A372,VarKey,0))</f>
        <v/>
      </c>
      <c r="K372" s="11">
        <f>CodePrefix&amp;$A372&amp;IF($C372="","","."&amp;$C372&amp;"."&amp;$B372)&amp;INDEX(VarEnd,MATCH($A372,VarKey,0))&amp;K$5</f>
        <v/>
      </c>
      <c r="L372" s="40">
        <f>INDEX(Inputs_prices!$Y$7:$AB$18,$G372,MATCH(L$4,Inputs_prices!$Y$6:$AB$6,0))</f>
        <v/>
      </c>
      <c r="M372" s="41">
        <f>INDEX(Inputs_prices!$Y$7:$AB$18,$G372,MATCH(M$4,Inputs_prices!$Y$6:$AB$6,0))</f>
        <v/>
      </c>
      <c r="N372" s="41">
        <f>INDEX(Inputs_prices!$Y$7:$AB$18,$G372,MATCH(N$4,Inputs_prices!$Y$6:$AB$6,0))</f>
        <v/>
      </c>
      <c r="O372" s="35">
        <f>$D372*$F372+IF($D372*(1-$F372)&gt;=0,MAX($D372*(1-$F372),O359),O359)</f>
        <v/>
      </c>
      <c r="P372" s="35">
        <f>$D372*$F372+IF($D372*(1-$F372)&gt;=0,MAX($D372*(1-$F372),P359),P359)</f>
        <v/>
      </c>
      <c r="Q372" s="35">
        <f>$D372*$F372+IF($D372*(1-$F372)&gt;=0,MAX($D372*(1-$F372),Q359),Q359)</f>
        <v/>
      </c>
      <c r="R372" s="35">
        <f>$D372*$F372+IF($D372*(1-$F372)&gt;=0,MAX($D372*(1-$F372),R359),R359)</f>
        <v/>
      </c>
      <c r="S372" s="35">
        <f>$D372*$F372+IF($D372*(1-$F372)&gt;=0,MAX($D372*(1-$F372),S359),S359)</f>
        <v/>
      </c>
      <c r="T372" s="35">
        <f>$D372*$F372+IF($D372*(1-$F372)&gt;=0,MAX($D372*(1-$F372),T359),T359)</f>
        <v/>
      </c>
      <c r="U372" s="35">
        <f>$D372*$F372+IF($D372*(1-$F372)&gt;=0,MAX($D372*(1-$F372),U359),U359)</f>
        <v/>
      </c>
      <c r="V372" s="35">
        <f>$D372*$F372+IF($D372*(1-$F372)&gt;=0,MAX($D372*(1-$F372),V359),V359)</f>
        <v/>
      </c>
      <c r="W372" s="35">
        <f>$D372*$F372+IF($D372*(1-$F372)&gt;=0,MAX($D372*(1-$F372),W359),W359)</f>
        <v/>
      </c>
      <c r="X372" s="35">
        <f>$D372*$F372+IF($D372*(1-$F372)&gt;=0,MAX($D372*(1-$F372),X359),X359)</f>
        <v/>
      </c>
      <c r="Y372" s="35">
        <f>$D372*$F372+IF($D372*(1-$F372)&gt;=0,MAX($D372*(1-$F372),Y359),Y359)</f>
        <v/>
      </c>
      <c r="Z372" s="35">
        <f>$D372*$F372+IF($D372*(1-$F372)&gt;=0,MAX($D372*(1-$F372),Z359),Z359)</f>
        <v/>
      </c>
      <c r="AA372" s="35">
        <f>$D372*$F372+IF($D372*(1-$F372)&gt;=0,MAX($D372*(1-$F372),AA359),AA359)</f>
        <v/>
      </c>
      <c r="AB372" s="35">
        <f>$D372*$F372+IF($D372*(1-$F372)&gt;=0,MAX($D372*(1-$F372),AB359),AB359)</f>
        <v/>
      </c>
      <c r="AC372" s="35">
        <f>$D372*$F372+IF($D372*(1-$F372)&gt;=0,MAX($D372*(1-$F372),AC359),AC359)</f>
        <v/>
      </c>
      <c r="AD372" s="35">
        <f>$D372*$F372+IF($D372*(1-$F372)&gt;=0,MAX($D372*(1-$F372),AD359),AD359)</f>
        <v/>
      </c>
      <c r="AE372" s="42">
        <f>OTHERTAX(AE$4,$G372,$D372,$E372,AE346,$F372)</f>
        <v/>
      </c>
      <c r="AG372" s="11">
        <f>CodePrefix&amp;$A372&amp;IF($C372="","","."&amp;$C372&amp;"."&amp;$B372)&amp;INDEX(VarEnd,MATCH($A372,VarKey,0))&amp;AG$5</f>
        <v/>
      </c>
      <c r="AH372" s="40">
        <f>INDEX(Inputs_prices!$Y$7:$AB$18,$G372,MATCH(AH$4,Inputs_prices!$Y$6:$AB$6,0))</f>
        <v/>
      </c>
      <c r="AI372" s="41">
        <f>INDEX(Inputs_prices!$Y$7:$AB$18,$G372,MATCH(AI$4,Inputs_prices!$Y$6:$AB$6,0))</f>
        <v/>
      </c>
      <c r="AJ372" s="41">
        <f>INDEX(Inputs_prices!$Y$7:$AB$18,$G372,MATCH(AJ$4,Inputs_prices!$Y$6:$AB$6,0))</f>
        <v/>
      </c>
      <c r="AK372" s="35">
        <f>$D372*$F372+IF($D372*(1-$F372)&gt;=0,MAX($D372*(1-$F372),AK359),AK359)</f>
        <v/>
      </c>
      <c r="AL372" s="35">
        <f>$D372*$F372+IF($D372*(1-$F372)&gt;=0,MAX($D372*(1-$F372),AL359),AL359)</f>
        <v/>
      </c>
      <c r="AM372" s="35">
        <f>$D372*$F372+IF($D372*(1-$F372)&gt;=0,MAX($D372*(1-$F372),AM359),AM359)</f>
        <v/>
      </c>
      <c r="AN372" s="35">
        <f>$D372*$F372+IF($D372*(1-$F372)&gt;=0,MAX($D372*(1-$F372),AN359),AN359)</f>
        <v/>
      </c>
      <c r="AO372" s="35">
        <f>$D372*$F372+IF($D372*(1-$F372)&gt;=0,MAX($D372*(1-$F372),AO359),AO359)</f>
        <v/>
      </c>
      <c r="AP372" s="35">
        <f>$D372*$F372+IF($D372*(1-$F372)&gt;=0,MAX($D372*(1-$F372),AP359),AP359)</f>
        <v/>
      </c>
      <c r="AQ372" s="35">
        <f>$D372*$F372+IF($D372*(1-$F372)&gt;=0,MAX($D372*(1-$F372),AQ359),AQ359)</f>
        <v/>
      </c>
      <c r="AR372" s="35">
        <f>$D372*$F372+IF($D372*(1-$F372)&gt;=0,MAX($D372*(1-$F372),AR359),AR359)</f>
        <v/>
      </c>
      <c r="AS372" s="35">
        <f>$D372*$F372+IF($D372*(1-$F372)&gt;=0,MAX($D372*(1-$F372),AS359),AS359)</f>
        <v/>
      </c>
      <c r="AT372" s="35">
        <f>$D372*$F372+IF($D372*(1-$F372)&gt;=0,MAX($D372*(1-$F372),AT359),AT359)</f>
        <v/>
      </c>
      <c r="AU372" s="35">
        <f>$D372*$F372+IF($D372*(1-$F372)&gt;=0,MAX($D372*(1-$F372),AU359),AU359)</f>
        <v/>
      </c>
      <c r="AV372" s="35">
        <f>$D372*$F372+IF($D372*(1-$F372)&gt;=0,MAX($D372*(1-$F372),AV359),AV359)</f>
        <v/>
      </c>
      <c r="AW372" s="35">
        <f>$D372*$F372+IF($D372*(1-$F372)&gt;=0,MAX($D372*(1-$F372),AW359),AW359)</f>
        <v/>
      </c>
      <c r="AX372" s="35">
        <f>$D372*$F372+IF($D372*(1-$F372)&gt;=0,MAX($D372*(1-$F372),AX359),AX359)</f>
        <v/>
      </c>
      <c r="AY372" s="35">
        <f>$D372*$F372+IF($D372*(1-$F372)&gt;=0,MAX($D372*(1-$F372),AY359),AY359)</f>
        <v/>
      </c>
      <c r="AZ372" s="35">
        <f>$D372*$F372+IF($D372*(1-$F372)&gt;=0,MAX($D372*(1-$F372),AZ359),AZ359)</f>
        <v/>
      </c>
      <c r="BA372" s="42">
        <f>OTHERTAX(BA$4,$G372,$D372,$E372,BA346,$F372)</f>
        <v/>
      </c>
    </row>
    <row r="373" hidden="1" outlineLevel="1">
      <c r="A373" s="14" t="inlineStr">
        <is>
          <t>txo</t>
        </is>
      </c>
      <c r="B373" s="14" t="inlineStr">
        <is>
          <t>nga</t>
        </is>
      </c>
      <c r="C373" s="14" t="inlineStr">
        <is>
          <t>ind</t>
        </is>
      </c>
      <c r="D373" s="35">
        <f>INDEX(Inputs_prices!$T$7:$T$18,MATCH($B373&amp;"."&amp;$C373,Inputs_prices!$A$7:$A$18,0))</f>
        <v/>
      </c>
      <c r="E373" s="35">
        <f>INDEX(Inputs_prices!$S$7:$S$18,MATCH($B373&amp;"."&amp;$C373,Inputs_prices!$A$7:$A$18,0))</f>
        <v/>
      </c>
      <c r="F373" s="35">
        <f>INDEX(Inputs_prices!$K$7:$K$18,MATCH($B373&amp;"."&amp;$C373,Inputs_prices!$A$7:$A$18,0))</f>
        <v/>
      </c>
      <c r="G373" s="35">
        <f>INDEX(Inputs_prices!$E$7:$E$18,MATCH($B373&amp;"."&amp;$C373,Inputs_prices!$A$7:$A$18,0))</f>
        <v/>
      </c>
      <c r="H373" s="14">
        <f>INDEX(VarLab,MATCH($A373,VarKey,0))&amp;INDEX(MemLab,MATCH($C373&amp;"|"&amp;$B373,MemKey,0))</f>
        <v/>
      </c>
      <c r="I373" s="14">
        <f>INDEX(VarUnit,MATCH($A373,VarKey,0))</f>
        <v/>
      </c>
      <c r="J373" s="14">
        <f>INDEX(VarSrc,MATCH($A373,VarKey,0))</f>
        <v/>
      </c>
      <c r="K373" s="11">
        <f>CodePrefix&amp;$A373&amp;IF($C373="","","."&amp;$C373&amp;"."&amp;$B373)&amp;INDEX(VarEnd,MATCH($A373,VarKey,0))&amp;K$5</f>
        <v/>
      </c>
      <c r="L373" s="40">
        <f>INDEX(Inputs_prices!$Y$7:$AB$18,$G373,MATCH(L$4,Inputs_prices!$Y$6:$AB$6,0))</f>
        <v/>
      </c>
      <c r="M373" s="41">
        <f>INDEX(Inputs_prices!$Y$7:$AB$18,$G373,MATCH(M$4,Inputs_prices!$Y$6:$AB$6,0))</f>
        <v/>
      </c>
      <c r="N373" s="41">
        <f>INDEX(Inputs_prices!$Y$7:$AB$18,$G373,MATCH(N$4,Inputs_prices!$Y$6:$AB$6,0))</f>
        <v/>
      </c>
      <c r="O373" s="35">
        <f>$D373*$F373+IF($D373*(1-$F373)&gt;=0,MAX($D373*(1-$F373),O360),O360)</f>
        <v/>
      </c>
      <c r="P373" s="35">
        <f>$D373*$F373+IF($D373*(1-$F373)&gt;=0,MAX($D373*(1-$F373),P360),P360)</f>
        <v/>
      </c>
      <c r="Q373" s="35">
        <f>$D373*$F373+IF($D373*(1-$F373)&gt;=0,MAX($D373*(1-$F373),Q360),Q360)</f>
        <v/>
      </c>
      <c r="R373" s="35">
        <f>$D373*$F373+IF($D373*(1-$F373)&gt;=0,MAX($D373*(1-$F373),R360),R360)</f>
        <v/>
      </c>
      <c r="S373" s="35">
        <f>$D373*$F373+IF($D373*(1-$F373)&gt;=0,MAX($D373*(1-$F373),S360),S360)</f>
        <v/>
      </c>
      <c r="T373" s="35">
        <f>$D373*$F373+IF($D373*(1-$F373)&gt;=0,MAX($D373*(1-$F373),T360),T360)</f>
        <v/>
      </c>
      <c r="U373" s="35">
        <f>$D373*$F373+IF($D373*(1-$F373)&gt;=0,MAX($D373*(1-$F373),U360),U360)</f>
        <v/>
      </c>
      <c r="V373" s="35">
        <f>$D373*$F373+IF($D373*(1-$F373)&gt;=0,MAX($D373*(1-$F373),V360),V360)</f>
        <v/>
      </c>
      <c r="W373" s="35">
        <f>$D373*$F373+IF($D373*(1-$F373)&gt;=0,MAX($D373*(1-$F373),W360),W360)</f>
        <v/>
      </c>
      <c r="X373" s="35">
        <f>$D373*$F373+IF($D373*(1-$F373)&gt;=0,MAX($D373*(1-$F373),X360),X360)</f>
        <v/>
      </c>
      <c r="Y373" s="35">
        <f>$D373*$F373+IF($D373*(1-$F373)&gt;=0,MAX($D373*(1-$F373),Y360),Y360)</f>
        <v/>
      </c>
      <c r="Z373" s="35">
        <f>$D373*$F373+IF($D373*(1-$F373)&gt;=0,MAX($D373*(1-$F373),Z360),Z360)</f>
        <v/>
      </c>
      <c r="AA373" s="35">
        <f>$D373*$F373+IF($D373*(1-$F373)&gt;=0,MAX($D373*(1-$F373),AA360),AA360)</f>
        <v/>
      </c>
      <c r="AB373" s="35">
        <f>$D373*$F373+IF($D373*(1-$F373)&gt;=0,MAX($D373*(1-$F373),AB360),AB360)</f>
        <v/>
      </c>
      <c r="AC373" s="35">
        <f>$D373*$F373+IF($D373*(1-$F373)&gt;=0,MAX($D373*(1-$F373),AC360),AC360)</f>
        <v/>
      </c>
      <c r="AD373" s="35">
        <f>$D373*$F373+IF($D373*(1-$F373)&gt;=0,MAX($D373*(1-$F373),AD360),AD360)</f>
        <v/>
      </c>
      <c r="AE373" s="42">
        <f>OTHERTAX(AE$4,$G373,$D373,$E373,AE347,$F373)</f>
        <v/>
      </c>
      <c r="AG373" s="11">
        <f>CodePrefix&amp;$A373&amp;IF($C373="","","."&amp;$C373&amp;"."&amp;$B373)&amp;INDEX(VarEnd,MATCH($A373,VarKey,0))&amp;AG$5</f>
        <v/>
      </c>
      <c r="AH373" s="40">
        <f>INDEX(Inputs_prices!$Y$7:$AB$18,$G373,MATCH(AH$4,Inputs_prices!$Y$6:$AB$6,0))</f>
        <v/>
      </c>
      <c r="AI373" s="41">
        <f>INDEX(Inputs_prices!$Y$7:$AB$18,$G373,MATCH(AI$4,Inputs_prices!$Y$6:$AB$6,0))</f>
        <v/>
      </c>
      <c r="AJ373" s="41">
        <f>INDEX(Inputs_prices!$Y$7:$AB$18,$G373,MATCH(AJ$4,Inputs_prices!$Y$6:$AB$6,0))</f>
        <v/>
      </c>
      <c r="AK373" s="35">
        <f>$D373*$F373+IF($D373*(1-$F373)&gt;=0,MAX($D373*(1-$F373),AK360),AK360)</f>
        <v/>
      </c>
      <c r="AL373" s="35">
        <f>$D373*$F373+IF($D373*(1-$F373)&gt;=0,MAX($D373*(1-$F373),AL360),AL360)</f>
        <v/>
      </c>
      <c r="AM373" s="35">
        <f>$D373*$F373+IF($D373*(1-$F373)&gt;=0,MAX($D373*(1-$F373),AM360),AM360)</f>
        <v/>
      </c>
      <c r="AN373" s="35">
        <f>$D373*$F373+IF($D373*(1-$F373)&gt;=0,MAX($D373*(1-$F373),AN360),AN360)</f>
        <v/>
      </c>
      <c r="AO373" s="35">
        <f>$D373*$F373+IF($D373*(1-$F373)&gt;=0,MAX($D373*(1-$F373),AO360),AO360)</f>
        <v/>
      </c>
      <c r="AP373" s="35">
        <f>$D373*$F373+IF($D373*(1-$F373)&gt;=0,MAX($D373*(1-$F373),AP360),AP360)</f>
        <v/>
      </c>
      <c r="AQ373" s="35">
        <f>$D373*$F373+IF($D373*(1-$F373)&gt;=0,MAX($D373*(1-$F373),AQ360),AQ360)</f>
        <v/>
      </c>
      <c r="AR373" s="35">
        <f>$D373*$F373+IF($D373*(1-$F373)&gt;=0,MAX($D373*(1-$F373),AR360),AR360)</f>
        <v/>
      </c>
      <c r="AS373" s="35">
        <f>$D373*$F373+IF($D373*(1-$F373)&gt;=0,MAX($D373*(1-$F373),AS360),AS360)</f>
        <v/>
      </c>
      <c r="AT373" s="35">
        <f>$D373*$F373+IF($D373*(1-$F373)&gt;=0,MAX($D373*(1-$F373),AT360),AT360)</f>
        <v/>
      </c>
      <c r="AU373" s="35">
        <f>$D373*$F373+IF($D373*(1-$F373)&gt;=0,MAX($D373*(1-$F373),AU360),AU360)</f>
        <v/>
      </c>
      <c r="AV373" s="35">
        <f>$D373*$F373+IF($D373*(1-$F373)&gt;=0,MAX($D373*(1-$F373),AV360),AV360)</f>
        <v/>
      </c>
      <c r="AW373" s="35">
        <f>$D373*$F373+IF($D373*(1-$F373)&gt;=0,MAX($D373*(1-$F373),AW360),AW360)</f>
        <v/>
      </c>
      <c r="AX373" s="35">
        <f>$D373*$F373+IF($D373*(1-$F373)&gt;=0,MAX($D373*(1-$F373),AX360),AX360)</f>
        <v/>
      </c>
      <c r="AY373" s="35">
        <f>$D373*$F373+IF($D373*(1-$F373)&gt;=0,MAX($D373*(1-$F373),AY360),AY360)</f>
        <v/>
      </c>
      <c r="AZ373" s="35">
        <f>$D373*$F373+IF($D373*(1-$F373)&gt;=0,MAX($D373*(1-$F373),AZ360),AZ360)</f>
        <v/>
      </c>
      <c r="BA373" s="42">
        <f>OTHERTAX(BA$4,$G373,$D373,$E373,BA347,$F373)</f>
        <v/>
      </c>
    </row>
    <row r="374" hidden="1" outlineLevel="1">
      <c r="A374" s="14" t="inlineStr">
        <is>
          <t>txo</t>
        </is>
      </c>
      <c r="B374" s="14" t="inlineStr">
        <is>
          <t>gso</t>
        </is>
      </c>
      <c r="C374" s="14" t="inlineStr">
        <is>
          <t>all</t>
        </is>
      </c>
      <c r="D374" s="35">
        <f>INDEX(Inputs_prices!$T$7:$T$18,MATCH($B374&amp;"."&amp;$C374,Inputs_prices!$A$7:$A$18,0))</f>
        <v/>
      </c>
      <c r="E374" s="35">
        <f>INDEX(Inputs_prices!$S$7:$S$18,MATCH($B374&amp;"."&amp;$C374,Inputs_prices!$A$7:$A$18,0))</f>
        <v/>
      </c>
      <c r="F374" s="35">
        <f>INDEX(Inputs_prices!$K$7:$K$18,MATCH($B374&amp;"."&amp;$C374,Inputs_prices!$A$7:$A$18,0))</f>
        <v/>
      </c>
      <c r="G374" s="35">
        <f>INDEX(Inputs_prices!$E$7:$E$18,MATCH($B374&amp;"."&amp;$C374,Inputs_prices!$A$7:$A$18,0))</f>
        <v/>
      </c>
      <c r="H374" s="14">
        <f>INDEX(VarLab,MATCH($A374,VarKey,0))&amp;INDEX(MemLab,MATCH($C374&amp;"|"&amp;$B374,MemKey,0))</f>
        <v/>
      </c>
      <c r="I374" s="14">
        <f>INDEX(VarUnit,MATCH($A374,VarKey,0))</f>
        <v/>
      </c>
      <c r="J374" s="14">
        <f>INDEX(VarSrc,MATCH($A374,VarKey,0))</f>
        <v/>
      </c>
      <c r="K374" s="11">
        <f>CodePrefix&amp;$A374&amp;IF($C374="","","."&amp;$C374&amp;"."&amp;$B374)&amp;INDEX(VarEnd,MATCH($A374,VarKey,0))&amp;K$5</f>
        <v/>
      </c>
      <c r="L374" s="40">
        <f>INDEX(Inputs_prices!$Y$7:$AB$18,$G374,MATCH(L$4,Inputs_prices!$Y$6:$AB$6,0))</f>
        <v/>
      </c>
      <c r="M374" s="41">
        <f>INDEX(Inputs_prices!$Y$7:$AB$18,$G374,MATCH(M$4,Inputs_prices!$Y$6:$AB$6,0))</f>
        <v/>
      </c>
      <c r="N374" s="41">
        <f>INDEX(Inputs_prices!$Y$7:$AB$18,$G374,MATCH(N$4,Inputs_prices!$Y$6:$AB$6,0))</f>
        <v/>
      </c>
      <c r="O374" s="35">
        <f>$D374*$F374+IF($D374*(1-$F374)&gt;=0,MAX($D374*(1-$F374),O361),O361)</f>
        <v/>
      </c>
      <c r="P374" s="35">
        <f>$D374*$F374+IF($D374*(1-$F374)&gt;=0,MAX($D374*(1-$F374),P361),P361)</f>
        <v/>
      </c>
      <c r="Q374" s="35">
        <f>$D374*$F374+IF($D374*(1-$F374)&gt;=0,MAX($D374*(1-$F374),Q361),Q361)</f>
        <v/>
      </c>
      <c r="R374" s="35">
        <f>$D374*$F374+IF($D374*(1-$F374)&gt;=0,MAX($D374*(1-$F374),R361),R361)</f>
        <v/>
      </c>
      <c r="S374" s="35">
        <f>$D374*$F374+IF($D374*(1-$F374)&gt;=0,MAX($D374*(1-$F374),S361),S361)</f>
        <v/>
      </c>
      <c r="T374" s="35">
        <f>$D374*$F374+IF($D374*(1-$F374)&gt;=0,MAX($D374*(1-$F374),T361),T361)</f>
        <v/>
      </c>
      <c r="U374" s="35">
        <f>$D374*$F374+IF($D374*(1-$F374)&gt;=0,MAX($D374*(1-$F374),U361),U361)</f>
        <v/>
      </c>
      <c r="V374" s="35">
        <f>$D374*$F374+IF($D374*(1-$F374)&gt;=0,MAX($D374*(1-$F374),V361),V361)</f>
        <v/>
      </c>
      <c r="W374" s="35">
        <f>$D374*$F374+IF($D374*(1-$F374)&gt;=0,MAX($D374*(1-$F374),W361),W361)</f>
        <v/>
      </c>
      <c r="X374" s="35">
        <f>$D374*$F374+IF($D374*(1-$F374)&gt;=0,MAX($D374*(1-$F374),X361),X361)</f>
        <v/>
      </c>
      <c r="Y374" s="35">
        <f>$D374*$F374+IF($D374*(1-$F374)&gt;=0,MAX($D374*(1-$F374),Y361),Y361)</f>
        <v/>
      </c>
      <c r="Z374" s="35">
        <f>$D374*$F374+IF($D374*(1-$F374)&gt;=0,MAX($D374*(1-$F374),Z361),Z361)</f>
        <v/>
      </c>
      <c r="AA374" s="35">
        <f>$D374*$F374+IF($D374*(1-$F374)&gt;=0,MAX($D374*(1-$F374),AA361),AA361)</f>
        <v/>
      </c>
      <c r="AB374" s="35">
        <f>$D374*$F374+IF($D374*(1-$F374)&gt;=0,MAX($D374*(1-$F374),AB361),AB361)</f>
        <v/>
      </c>
      <c r="AC374" s="35">
        <f>$D374*$F374+IF($D374*(1-$F374)&gt;=0,MAX($D374*(1-$F374),AC361),AC361)</f>
        <v/>
      </c>
      <c r="AD374" s="35">
        <f>$D374*$F374+IF($D374*(1-$F374)&gt;=0,MAX($D374*(1-$F374),AD361),AD361)</f>
        <v/>
      </c>
      <c r="AE374" s="42">
        <f>OTHERTAX(AE$4,$G374,$D374,$E374,AE348,$F374)</f>
        <v/>
      </c>
      <c r="AG374" s="11">
        <f>CodePrefix&amp;$A374&amp;IF($C374="","","."&amp;$C374&amp;"."&amp;$B374)&amp;INDEX(VarEnd,MATCH($A374,VarKey,0))&amp;AG$5</f>
        <v/>
      </c>
      <c r="AH374" s="40">
        <f>INDEX(Inputs_prices!$Y$7:$AB$18,$G374,MATCH(AH$4,Inputs_prices!$Y$6:$AB$6,0))</f>
        <v/>
      </c>
      <c r="AI374" s="41">
        <f>INDEX(Inputs_prices!$Y$7:$AB$18,$G374,MATCH(AI$4,Inputs_prices!$Y$6:$AB$6,0))</f>
        <v/>
      </c>
      <c r="AJ374" s="41">
        <f>INDEX(Inputs_prices!$Y$7:$AB$18,$G374,MATCH(AJ$4,Inputs_prices!$Y$6:$AB$6,0))</f>
        <v/>
      </c>
      <c r="AK374" s="35">
        <f>$D374*$F374+IF($D374*(1-$F374)&gt;=0,MAX($D374*(1-$F374),AK361),AK361)</f>
        <v/>
      </c>
      <c r="AL374" s="35">
        <f>$D374*$F374+IF($D374*(1-$F374)&gt;=0,MAX($D374*(1-$F374),AL361),AL361)</f>
        <v/>
      </c>
      <c r="AM374" s="35">
        <f>$D374*$F374+IF($D374*(1-$F374)&gt;=0,MAX($D374*(1-$F374),AM361),AM361)</f>
        <v/>
      </c>
      <c r="AN374" s="35">
        <f>$D374*$F374+IF($D374*(1-$F374)&gt;=0,MAX($D374*(1-$F374),AN361),AN361)</f>
        <v/>
      </c>
      <c r="AO374" s="35">
        <f>$D374*$F374+IF($D374*(1-$F374)&gt;=0,MAX($D374*(1-$F374),AO361),AO361)</f>
        <v/>
      </c>
      <c r="AP374" s="35">
        <f>$D374*$F374+IF($D374*(1-$F374)&gt;=0,MAX($D374*(1-$F374),AP361),AP361)</f>
        <v/>
      </c>
      <c r="AQ374" s="35">
        <f>$D374*$F374+IF($D374*(1-$F374)&gt;=0,MAX($D374*(1-$F374),AQ361),AQ361)</f>
        <v/>
      </c>
      <c r="AR374" s="35">
        <f>$D374*$F374+IF($D374*(1-$F374)&gt;=0,MAX($D374*(1-$F374),AR361),AR361)</f>
        <v/>
      </c>
      <c r="AS374" s="35">
        <f>$D374*$F374+IF($D374*(1-$F374)&gt;=0,MAX($D374*(1-$F374),AS361),AS361)</f>
        <v/>
      </c>
      <c r="AT374" s="35">
        <f>$D374*$F374+IF($D374*(1-$F374)&gt;=0,MAX($D374*(1-$F374),AT361),AT361)</f>
        <v/>
      </c>
      <c r="AU374" s="35">
        <f>$D374*$F374+IF($D374*(1-$F374)&gt;=0,MAX($D374*(1-$F374),AU361),AU361)</f>
        <v/>
      </c>
      <c r="AV374" s="35">
        <f>$D374*$F374+IF($D374*(1-$F374)&gt;=0,MAX($D374*(1-$F374),AV361),AV361)</f>
        <v/>
      </c>
      <c r="AW374" s="35">
        <f>$D374*$F374+IF($D374*(1-$F374)&gt;=0,MAX($D374*(1-$F374),AW361),AW361)</f>
        <v/>
      </c>
      <c r="AX374" s="35">
        <f>$D374*$F374+IF($D374*(1-$F374)&gt;=0,MAX($D374*(1-$F374),AX361),AX361)</f>
        <v/>
      </c>
      <c r="AY374" s="35">
        <f>$D374*$F374+IF($D374*(1-$F374)&gt;=0,MAX($D374*(1-$F374),AY361),AY361)</f>
        <v/>
      </c>
      <c r="AZ374" s="35">
        <f>$D374*$F374+IF($D374*(1-$F374)&gt;=0,MAX($D374*(1-$F374),AZ361),AZ361)</f>
        <v/>
      </c>
      <c r="BA374" s="42">
        <f>OTHERTAX(BA$4,$G374,$D374,$E374,BA348,$F374)</f>
        <v/>
      </c>
    </row>
    <row r="375" hidden="1" outlineLevel="1">
      <c r="A375" s="14" t="inlineStr">
        <is>
          <t>txo</t>
        </is>
      </c>
      <c r="B375" s="14" t="inlineStr">
        <is>
          <t>die</t>
        </is>
      </c>
      <c r="C375" s="14" t="inlineStr">
        <is>
          <t>all</t>
        </is>
      </c>
      <c r="D375" s="35">
        <f>INDEX(Inputs_prices!$T$7:$T$18,MATCH($B375&amp;"."&amp;$C375,Inputs_prices!$A$7:$A$18,0))</f>
        <v/>
      </c>
      <c r="E375" s="35">
        <f>INDEX(Inputs_prices!$S$7:$S$18,MATCH($B375&amp;"."&amp;$C375,Inputs_prices!$A$7:$A$18,0))</f>
        <v/>
      </c>
      <c r="F375" s="35">
        <f>INDEX(Inputs_prices!$K$7:$K$18,MATCH($B375&amp;"."&amp;$C375,Inputs_prices!$A$7:$A$18,0))</f>
        <v/>
      </c>
      <c r="G375" s="35">
        <f>INDEX(Inputs_prices!$E$7:$E$18,MATCH($B375&amp;"."&amp;$C375,Inputs_prices!$A$7:$A$18,0))</f>
        <v/>
      </c>
      <c r="H375" s="14">
        <f>INDEX(VarLab,MATCH($A375,VarKey,0))&amp;INDEX(MemLab,MATCH($C375&amp;"|"&amp;$B375,MemKey,0))</f>
        <v/>
      </c>
      <c r="I375" s="14">
        <f>INDEX(VarUnit,MATCH($A375,VarKey,0))</f>
        <v/>
      </c>
      <c r="J375" s="14">
        <f>INDEX(VarSrc,MATCH($A375,VarKey,0))</f>
        <v/>
      </c>
      <c r="K375" s="11">
        <f>CodePrefix&amp;$A375&amp;IF($C375="","","."&amp;$C375&amp;"."&amp;$B375)&amp;INDEX(VarEnd,MATCH($A375,VarKey,0))&amp;K$5</f>
        <v/>
      </c>
      <c r="L375" s="40">
        <f>INDEX(Inputs_prices!$Y$7:$AB$18,$G375,MATCH(L$4,Inputs_prices!$Y$6:$AB$6,0))</f>
        <v/>
      </c>
      <c r="M375" s="41">
        <f>INDEX(Inputs_prices!$Y$7:$AB$18,$G375,MATCH(M$4,Inputs_prices!$Y$6:$AB$6,0))</f>
        <v/>
      </c>
      <c r="N375" s="41">
        <f>INDEX(Inputs_prices!$Y$7:$AB$18,$G375,MATCH(N$4,Inputs_prices!$Y$6:$AB$6,0))</f>
        <v/>
      </c>
      <c r="O375" s="35">
        <f>$D375*$F375+IF($D375*(1-$F375)&gt;=0,MAX($D375*(1-$F375),O362),O362)</f>
        <v/>
      </c>
      <c r="P375" s="35">
        <f>$D375*$F375+IF($D375*(1-$F375)&gt;=0,MAX($D375*(1-$F375),P362),P362)</f>
        <v/>
      </c>
      <c r="Q375" s="35">
        <f>$D375*$F375+IF($D375*(1-$F375)&gt;=0,MAX($D375*(1-$F375),Q362),Q362)</f>
        <v/>
      </c>
      <c r="R375" s="35">
        <f>$D375*$F375+IF($D375*(1-$F375)&gt;=0,MAX($D375*(1-$F375),R362),R362)</f>
        <v/>
      </c>
      <c r="S375" s="35">
        <f>$D375*$F375+IF($D375*(1-$F375)&gt;=0,MAX($D375*(1-$F375),S362),S362)</f>
        <v/>
      </c>
      <c r="T375" s="35">
        <f>$D375*$F375+IF($D375*(1-$F375)&gt;=0,MAX($D375*(1-$F375),T362),T362)</f>
        <v/>
      </c>
      <c r="U375" s="35">
        <f>$D375*$F375+IF($D375*(1-$F375)&gt;=0,MAX($D375*(1-$F375),U362),U362)</f>
        <v/>
      </c>
      <c r="V375" s="35">
        <f>$D375*$F375+IF($D375*(1-$F375)&gt;=0,MAX($D375*(1-$F375),V362),V362)</f>
        <v/>
      </c>
      <c r="W375" s="35">
        <f>$D375*$F375+IF($D375*(1-$F375)&gt;=0,MAX($D375*(1-$F375),W362),W362)</f>
        <v/>
      </c>
      <c r="X375" s="35">
        <f>$D375*$F375+IF($D375*(1-$F375)&gt;=0,MAX($D375*(1-$F375),X362),X362)</f>
        <v/>
      </c>
      <c r="Y375" s="35">
        <f>$D375*$F375+IF($D375*(1-$F375)&gt;=0,MAX($D375*(1-$F375),Y362),Y362)</f>
        <v/>
      </c>
      <c r="Z375" s="35">
        <f>$D375*$F375+IF($D375*(1-$F375)&gt;=0,MAX($D375*(1-$F375),Z362),Z362)</f>
        <v/>
      </c>
      <c r="AA375" s="35">
        <f>$D375*$F375+IF($D375*(1-$F375)&gt;=0,MAX($D375*(1-$F375),AA362),AA362)</f>
        <v/>
      </c>
      <c r="AB375" s="35">
        <f>$D375*$F375+IF($D375*(1-$F375)&gt;=0,MAX($D375*(1-$F375),AB362),AB362)</f>
        <v/>
      </c>
      <c r="AC375" s="35">
        <f>$D375*$F375+IF($D375*(1-$F375)&gt;=0,MAX($D375*(1-$F375),AC362),AC362)</f>
        <v/>
      </c>
      <c r="AD375" s="35">
        <f>$D375*$F375+IF($D375*(1-$F375)&gt;=0,MAX($D375*(1-$F375),AD362),AD362)</f>
        <v/>
      </c>
      <c r="AE375" s="42">
        <f>OTHERTAX(AE$4,$G375,$D375,$E375,AE349,$F375)</f>
        <v/>
      </c>
      <c r="AG375" s="11">
        <f>CodePrefix&amp;$A375&amp;IF($C375="","","."&amp;$C375&amp;"."&amp;$B375)&amp;INDEX(VarEnd,MATCH($A375,VarKey,0))&amp;AG$5</f>
        <v/>
      </c>
      <c r="AH375" s="40">
        <f>INDEX(Inputs_prices!$Y$7:$AB$18,$G375,MATCH(AH$4,Inputs_prices!$Y$6:$AB$6,0))</f>
        <v/>
      </c>
      <c r="AI375" s="41">
        <f>INDEX(Inputs_prices!$Y$7:$AB$18,$G375,MATCH(AI$4,Inputs_prices!$Y$6:$AB$6,0))</f>
        <v/>
      </c>
      <c r="AJ375" s="41">
        <f>INDEX(Inputs_prices!$Y$7:$AB$18,$G375,MATCH(AJ$4,Inputs_prices!$Y$6:$AB$6,0))</f>
        <v/>
      </c>
      <c r="AK375" s="35">
        <f>$D375*$F375+IF($D375*(1-$F375)&gt;=0,MAX($D375*(1-$F375),AK362),AK362)</f>
        <v/>
      </c>
      <c r="AL375" s="35">
        <f>$D375*$F375+IF($D375*(1-$F375)&gt;=0,MAX($D375*(1-$F375),AL362),AL362)</f>
        <v/>
      </c>
      <c r="AM375" s="35">
        <f>$D375*$F375+IF($D375*(1-$F375)&gt;=0,MAX($D375*(1-$F375),AM362),AM362)</f>
        <v/>
      </c>
      <c r="AN375" s="35">
        <f>$D375*$F375+IF($D375*(1-$F375)&gt;=0,MAX($D375*(1-$F375),AN362),AN362)</f>
        <v/>
      </c>
      <c r="AO375" s="35">
        <f>$D375*$F375+IF($D375*(1-$F375)&gt;=0,MAX($D375*(1-$F375),AO362),AO362)</f>
        <v/>
      </c>
      <c r="AP375" s="35">
        <f>$D375*$F375+IF($D375*(1-$F375)&gt;=0,MAX($D375*(1-$F375),AP362),AP362)</f>
        <v/>
      </c>
      <c r="AQ375" s="35">
        <f>$D375*$F375+IF($D375*(1-$F375)&gt;=0,MAX($D375*(1-$F375),AQ362),AQ362)</f>
        <v/>
      </c>
      <c r="AR375" s="35">
        <f>$D375*$F375+IF($D375*(1-$F375)&gt;=0,MAX($D375*(1-$F375),AR362),AR362)</f>
        <v/>
      </c>
      <c r="AS375" s="35">
        <f>$D375*$F375+IF($D375*(1-$F375)&gt;=0,MAX($D375*(1-$F375),AS362),AS362)</f>
        <v/>
      </c>
      <c r="AT375" s="35">
        <f>$D375*$F375+IF($D375*(1-$F375)&gt;=0,MAX($D375*(1-$F375),AT362),AT362)</f>
        <v/>
      </c>
      <c r="AU375" s="35">
        <f>$D375*$F375+IF($D375*(1-$F375)&gt;=0,MAX($D375*(1-$F375),AU362),AU362)</f>
        <v/>
      </c>
      <c r="AV375" s="35">
        <f>$D375*$F375+IF($D375*(1-$F375)&gt;=0,MAX($D375*(1-$F375),AV362),AV362)</f>
        <v/>
      </c>
      <c r="AW375" s="35">
        <f>$D375*$F375+IF($D375*(1-$F375)&gt;=0,MAX($D375*(1-$F375),AW362),AW362)</f>
        <v/>
      </c>
      <c r="AX375" s="35">
        <f>$D375*$F375+IF($D375*(1-$F375)&gt;=0,MAX($D375*(1-$F375),AX362),AX362)</f>
        <v/>
      </c>
      <c r="AY375" s="35">
        <f>$D375*$F375+IF($D375*(1-$F375)&gt;=0,MAX($D375*(1-$F375),AY362),AY362)</f>
        <v/>
      </c>
      <c r="AZ375" s="35">
        <f>$D375*$F375+IF($D375*(1-$F375)&gt;=0,MAX($D375*(1-$F375),AZ362),AZ362)</f>
        <v/>
      </c>
      <c r="BA375" s="42">
        <f>OTHERTAX(BA$4,$G375,$D375,$E375,BA349,$F375)</f>
        <v/>
      </c>
    </row>
    <row r="376" hidden="1" outlineLevel="1">
      <c r="A376" s="14" t="inlineStr">
        <is>
          <t>txo</t>
        </is>
      </c>
      <c r="B376" s="14" t="inlineStr">
        <is>
          <t>lpg</t>
        </is>
      </c>
      <c r="C376" s="14" t="inlineStr">
        <is>
          <t>all</t>
        </is>
      </c>
      <c r="D376" s="35">
        <f>INDEX(Inputs_prices!$T$7:$T$18,MATCH($B376&amp;"."&amp;$C376,Inputs_prices!$A$7:$A$18,0))</f>
        <v/>
      </c>
      <c r="E376" s="35">
        <f>INDEX(Inputs_prices!$S$7:$S$18,MATCH($B376&amp;"."&amp;$C376,Inputs_prices!$A$7:$A$18,0))</f>
        <v/>
      </c>
      <c r="F376" s="35">
        <f>INDEX(Inputs_prices!$K$7:$K$18,MATCH($B376&amp;"."&amp;$C376,Inputs_prices!$A$7:$A$18,0))</f>
        <v/>
      </c>
      <c r="G376" s="35">
        <f>INDEX(Inputs_prices!$E$7:$E$18,MATCH($B376&amp;"."&amp;$C376,Inputs_prices!$A$7:$A$18,0))</f>
        <v/>
      </c>
      <c r="H376" s="14">
        <f>INDEX(VarLab,MATCH($A376,VarKey,0))&amp;INDEX(MemLab,MATCH($C376&amp;"|"&amp;$B376,MemKey,0))</f>
        <v/>
      </c>
      <c r="I376" s="14">
        <f>INDEX(VarUnit,MATCH($A376,VarKey,0))</f>
        <v/>
      </c>
      <c r="J376" s="14">
        <f>INDEX(VarSrc,MATCH($A376,VarKey,0))</f>
        <v/>
      </c>
      <c r="K376" s="11">
        <f>CodePrefix&amp;$A376&amp;IF($C376="","","."&amp;$C376&amp;"."&amp;$B376)&amp;INDEX(VarEnd,MATCH($A376,VarKey,0))&amp;K$5</f>
        <v/>
      </c>
      <c r="L376" s="40">
        <f>INDEX(Inputs_prices!$Y$7:$AB$18,$G376,MATCH(L$4,Inputs_prices!$Y$6:$AB$6,0))</f>
        <v/>
      </c>
      <c r="M376" s="41">
        <f>INDEX(Inputs_prices!$Y$7:$AB$18,$G376,MATCH(M$4,Inputs_prices!$Y$6:$AB$6,0))</f>
        <v/>
      </c>
      <c r="N376" s="41">
        <f>INDEX(Inputs_prices!$Y$7:$AB$18,$G376,MATCH(N$4,Inputs_prices!$Y$6:$AB$6,0))</f>
        <v/>
      </c>
      <c r="O376" s="35">
        <f>$D376*$F376+IF($D376*(1-$F376)&gt;=0,MAX($D376*(1-$F376),O363),O363)</f>
        <v/>
      </c>
      <c r="P376" s="35">
        <f>$D376*$F376+IF($D376*(1-$F376)&gt;=0,MAX($D376*(1-$F376),P363),P363)</f>
        <v/>
      </c>
      <c r="Q376" s="35">
        <f>$D376*$F376+IF($D376*(1-$F376)&gt;=0,MAX($D376*(1-$F376),Q363),Q363)</f>
        <v/>
      </c>
      <c r="R376" s="35">
        <f>$D376*$F376+IF($D376*(1-$F376)&gt;=0,MAX($D376*(1-$F376),R363),R363)</f>
        <v/>
      </c>
      <c r="S376" s="35">
        <f>$D376*$F376+IF($D376*(1-$F376)&gt;=0,MAX($D376*(1-$F376),S363),S363)</f>
        <v/>
      </c>
      <c r="T376" s="35">
        <f>$D376*$F376+IF($D376*(1-$F376)&gt;=0,MAX($D376*(1-$F376),T363),T363)</f>
        <v/>
      </c>
      <c r="U376" s="35">
        <f>$D376*$F376+IF($D376*(1-$F376)&gt;=0,MAX($D376*(1-$F376),U363),U363)</f>
        <v/>
      </c>
      <c r="V376" s="35">
        <f>$D376*$F376+IF($D376*(1-$F376)&gt;=0,MAX($D376*(1-$F376),V363),V363)</f>
        <v/>
      </c>
      <c r="W376" s="35">
        <f>$D376*$F376+IF($D376*(1-$F376)&gt;=0,MAX($D376*(1-$F376),W363),W363)</f>
        <v/>
      </c>
      <c r="X376" s="35">
        <f>$D376*$F376+IF($D376*(1-$F376)&gt;=0,MAX($D376*(1-$F376),X363),X363)</f>
        <v/>
      </c>
      <c r="Y376" s="35">
        <f>$D376*$F376+IF($D376*(1-$F376)&gt;=0,MAX($D376*(1-$F376),Y363),Y363)</f>
        <v/>
      </c>
      <c r="Z376" s="35">
        <f>$D376*$F376+IF($D376*(1-$F376)&gt;=0,MAX($D376*(1-$F376),Z363),Z363)</f>
        <v/>
      </c>
      <c r="AA376" s="35">
        <f>$D376*$F376+IF($D376*(1-$F376)&gt;=0,MAX($D376*(1-$F376),AA363),AA363)</f>
        <v/>
      </c>
      <c r="AB376" s="35">
        <f>$D376*$F376+IF($D376*(1-$F376)&gt;=0,MAX($D376*(1-$F376),AB363),AB363)</f>
        <v/>
      </c>
      <c r="AC376" s="35">
        <f>$D376*$F376+IF($D376*(1-$F376)&gt;=0,MAX($D376*(1-$F376),AC363),AC363)</f>
        <v/>
      </c>
      <c r="AD376" s="35">
        <f>$D376*$F376+IF($D376*(1-$F376)&gt;=0,MAX($D376*(1-$F376),AD363),AD363)</f>
        <v/>
      </c>
      <c r="AE376" s="42">
        <f>OTHERTAX(AE$4,$G376,$D376,$E376,AE350,$F376)</f>
        <v/>
      </c>
      <c r="AG376" s="11">
        <f>CodePrefix&amp;$A376&amp;IF($C376="","","."&amp;$C376&amp;"."&amp;$B376)&amp;INDEX(VarEnd,MATCH($A376,VarKey,0))&amp;AG$5</f>
        <v/>
      </c>
      <c r="AH376" s="40">
        <f>INDEX(Inputs_prices!$Y$7:$AB$18,$G376,MATCH(AH$4,Inputs_prices!$Y$6:$AB$6,0))</f>
        <v/>
      </c>
      <c r="AI376" s="41">
        <f>INDEX(Inputs_prices!$Y$7:$AB$18,$G376,MATCH(AI$4,Inputs_prices!$Y$6:$AB$6,0))</f>
        <v/>
      </c>
      <c r="AJ376" s="41">
        <f>INDEX(Inputs_prices!$Y$7:$AB$18,$G376,MATCH(AJ$4,Inputs_prices!$Y$6:$AB$6,0))</f>
        <v/>
      </c>
      <c r="AK376" s="35">
        <f>$D376*$F376+IF($D376*(1-$F376)&gt;=0,MAX($D376*(1-$F376),AK363),AK363)</f>
        <v/>
      </c>
      <c r="AL376" s="35">
        <f>$D376*$F376+IF($D376*(1-$F376)&gt;=0,MAX($D376*(1-$F376),AL363),AL363)</f>
        <v/>
      </c>
      <c r="AM376" s="35">
        <f>$D376*$F376+IF($D376*(1-$F376)&gt;=0,MAX($D376*(1-$F376),AM363),AM363)</f>
        <v/>
      </c>
      <c r="AN376" s="35">
        <f>$D376*$F376+IF($D376*(1-$F376)&gt;=0,MAX($D376*(1-$F376),AN363),AN363)</f>
        <v/>
      </c>
      <c r="AO376" s="35">
        <f>$D376*$F376+IF($D376*(1-$F376)&gt;=0,MAX($D376*(1-$F376),AO363),AO363)</f>
        <v/>
      </c>
      <c r="AP376" s="35">
        <f>$D376*$F376+IF($D376*(1-$F376)&gt;=0,MAX($D376*(1-$F376),AP363),AP363)</f>
        <v/>
      </c>
      <c r="AQ376" s="35">
        <f>$D376*$F376+IF($D376*(1-$F376)&gt;=0,MAX($D376*(1-$F376),AQ363),AQ363)</f>
        <v/>
      </c>
      <c r="AR376" s="35">
        <f>$D376*$F376+IF($D376*(1-$F376)&gt;=0,MAX($D376*(1-$F376),AR363),AR363)</f>
        <v/>
      </c>
      <c r="AS376" s="35">
        <f>$D376*$F376+IF($D376*(1-$F376)&gt;=0,MAX($D376*(1-$F376),AS363),AS363)</f>
        <v/>
      </c>
      <c r="AT376" s="35">
        <f>$D376*$F376+IF($D376*(1-$F376)&gt;=0,MAX($D376*(1-$F376),AT363),AT363)</f>
        <v/>
      </c>
      <c r="AU376" s="35">
        <f>$D376*$F376+IF($D376*(1-$F376)&gt;=0,MAX($D376*(1-$F376),AU363),AU363)</f>
        <v/>
      </c>
      <c r="AV376" s="35">
        <f>$D376*$F376+IF($D376*(1-$F376)&gt;=0,MAX($D376*(1-$F376),AV363),AV363)</f>
        <v/>
      </c>
      <c r="AW376" s="35">
        <f>$D376*$F376+IF($D376*(1-$F376)&gt;=0,MAX($D376*(1-$F376),AW363),AW363)</f>
        <v/>
      </c>
      <c r="AX376" s="35">
        <f>$D376*$F376+IF($D376*(1-$F376)&gt;=0,MAX($D376*(1-$F376),AX363),AX363)</f>
        <v/>
      </c>
      <c r="AY376" s="35">
        <f>$D376*$F376+IF($D376*(1-$F376)&gt;=0,MAX($D376*(1-$F376),AY363),AY363)</f>
        <v/>
      </c>
      <c r="AZ376" s="35">
        <f>$D376*$F376+IF($D376*(1-$F376)&gt;=0,MAX($D376*(1-$F376),AZ363),AZ363)</f>
        <v/>
      </c>
      <c r="BA376" s="42">
        <f>OTHERTAX(BA$4,$G376,$D376,$E376,BA350,$F376)</f>
        <v/>
      </c>
    </row>
    <row r="377" hidden="1" outlineLevel="1">
      <c r="A377" s="14" t="inlineStr">
        <is>
          <t>txo</t>
        </is>
      </c>
      <c r="B377" s="14" t="inlineStr">
        <is>
          <t>ker</t>
        </is>
      </c>
      <c r="C377" s="14" t="inlineStr">
        <is>
          <t>all</t>
        </is>
      </c>
      <c r="D377" s="35">
        <f>INDEX(Inputs_prices!$T$7:$T$18,MATCH($B377&amp;"."&amp;$C377,Inputs_prices!$A$7:$A$18,0))</f>
        <v/>
      </c>
      <c r="E377" s="35">
        <f>INDEX(Inputs_prices!$S$7:$S$18,MATCH($B377&amp;"."&amp;$C377,Inputs_prices!$A$7:$A$18,0))</f>
        <v/>
      </c>
      <c r="F377" s="35">
        <f>INDEX(Inputs_prices!$K$7:$K$18,MATCH($B377&amp;"."&amp;$C377,Inputs_prices!$A$7:$A$18,0))</f>
        <v/>
      </c>
      <c r="G377" s="35">
        <f>INDEX(Inputs_prices!$E$7:$E$18,MATCH($B377&amp;"."&amp;$C377,Inputs_prices!$A$7:$A$18,0))</f>
        <v/>
      </c>
      <c r="H377" s="14">
        <f>INDEX(VarLab,MATCH($A377,VarKey,0))&amp;INDEX(MemLab,MATCH($C377&amp;"|"&amp;$B377,MemKey,0))</f>
        <v/>
      </c>
      <c r="I377" s="14">
        <f>INDEX(VarUnit,MATCH($A377,VarKey,0))</f>
        <v/>
      </c>
      <c r="J377" s="14">
        <f>INDEX(VarSrc,MATCH($A377,VarKey,0))</f>
        <v/>
      </c>
      <c r="K377" s="11">
        <f>CodePrefix&amp;$A377&amp;IF($C377="","","."&amp;$C377&amp;"."&amp;$B377)&amp;INDEX(VarEnd,MATCH($A377,VarKey,0))&amp;K$5</f>
        <v/>
      </c>
      <c r="L377" s="40">
        <f>INDEX(Inputs_prices!$Y$7:$AB$18,$G377,MATCH(L$4,Inputs_prices!$Y$6:$AB$6,0))</f>
        <v/>
      </c>
      <c r="M377" s="41">
        <f>INDEX(Inputs_prices!$Y$7:$AB$18,$G377,MATCH(M$4,Inputs_prices!$Y$6:$AB$6,0))</f>
        <v/>
      </c>
      <c r="N377" s="41">
        <f>INDEX(Inputs_prices!$Y$7:$AB$18,$G377,MATCH(N$4,Inputs_prices!$Y$6:$AB$6,0))</f>
        <v/>
      </c>
      <c r="O377" s="35">
        <f>$D377*$F377+IF($D377*(1-$F377)&gt;=0,MAX($D377*(1-$F377),O364),O364)</f>
        <v/>
      </c>
      <c r="P377" s="35">
        <f>$D377*$F377+IF($D377*(1-$F377)&gt;=0,MAX($D377*(1-$F377),P364),P364)</f>
        <v/>
      </c>
      <c r="Q377" s="35">
        <f>$D377*$F377+IF($D377*(1-$F377)&gt;=0,MAX($D377*(1-$F377),Q364),Q364)</f>
        <v/>
      </c>
      <c r="R377" s="35">
        <f>$D377*$F377+IF($D377*(1-$F377)&gt;=0,MAX($D377*(1-$F377),R364),R364)</f>
        <v/>
      </c>
      <c r="S377" s="35">
        <f>$D377*$F377+IF($D377*(1-$F377)&gt;=0,MAX($D377*(1-$F377),S364),S364)</f>
        <v/>
      </c>
      <c r="T377" s="35">
        <f>$D377*$F377+IF($D377*(1-$F377)&gt;=0,MAX($D377*(1-$F377),T364),T364)</f>
        <v/>
      </c>
      <c r="U377" s="35">
        <f>$D377*$F377+IF($D377*(1-$F377)&gt;=0,MAX($D377*(1-$F377),U364),U364)</f>
        <v/>
      </c>
      <c r="V377" s="35">
        <f>$D377*$F377+IF($D377*(1-$F377)&gt;=0,MAX($D377*(1-$F377),V364),V364)</f>
        <v/>
      </c>
      <c r="W377" s="35">
        <f>$D377*$F377+IF($D377*(1-$F377)&gt;=0,MAX($D377*(1-$F377),W364),W364)</f>
        <v/>
      </c>
      <c r="X377" s="35">
        <f>$D377*$F377+IF($D377*(1-$F377)&gt;=0,MAX($D377*(1-$F377),X364),X364)</f>
        <v/>
      </c>
      <c r="Y377" s="35">
        <f>$D377*$F377+IF($D377*(1-$F377)&gt;=0,MAX($D377*(1-$F377),Y364),Y364)</f>
        <v/>
      </c>
      <c r="Z377" s="35">
        <f>$D377*$F377+IF($D377*(1-$F377)&gt;=0,MAX($D377*(1-$F377),Z364),Z364)</f>
        <v/>
      </c>
      <c r="AA377" s="35">
        <f>$D377*$F377+IF($D377*(1-$F377)&gt;=0,MAX($D377*(1-$F377),AA364),AA364)</f>
        <v/>
      </c>
      <c r="AB377" s="35">
        <f>$D377*$F377+IF($D377*(1-$F377)&gt;=0,MAX($D377*(1-$F377),AB364),AB364)</f>
        <v/>
      </c>
      <c r="AC377" s="35">
        <f>$D377*$F377+IF($D377*(1-$F377)&gt;=0,MAX($D377*(1-$F377),AC364),AC364)</f>
        <v/>
      </c>
      <c r="AD377" s="35">
        <f>$D377*$F377+IF($D377*(1-$F377)&gt;=0,MAX($D377*(1-$F377),AD364),AD364)</f>
        <v/>
      </c>
      <c r="AE377" s="42">
        <f>OTHERTAX(AE$4,$G377,$D377,$E377,AE351,$F377)</f>
        <v/>
      </c>
      <c r="AG377" s="11">
        <f>CodePrefix&amp;$A377&amp;IF($C377="","","."&amp;$C377&amp;"."&amp;$B377)&amp;INDEX(VarEnd,MATCH($A377,VarKey,0))&amp;AG$5</f>
        <v/>
      </c>
      <c r="AH377" s="40">
        <f>INDEX(Inputs_prices!$Y$7:$AB$18,$G377,MATCH(AH$4,Inputs_prices!$Y$6:$AB$6,0))</f>
        <v/>
      </c>
      <c r="AI377" s="41">
        <f>INDEX(Inputs_prices!$Y$7:$AB$18,$G377,MATCH(AI$4,Inputs_prices!$Y$6:$AB$6,0))</f>
        <v/>
      </c>
      <c r="AJ377" s="41">
        <f>INDEX(Inputs_prices!$Y$7:$AB$18,$G377,MATCH(AJ$4,Inputs_prices!$Y$6:$AB$6,0))</f>
        <v/>
      </c>
      <c r="AK377" s="35">
        <f>$D377*$F377+IF($D377*(1-$F377)&gt;=0,MAX($D377*(1-$F377),AK364),AK364)</f>
        <v/>
      </c>
      <c r="AL377" s="35">
        <f>$D377*$F377+IF($D377*(1-$F377)&gt;=0,MAX($D377*(1-$F377),AL364),AL364)</f>
        <v/>
      </c>
      <c r="AM377" s="35">
        <f>$D377*$F377+IF($D377*(1-$F377)&gt;=0,MAX($D377*(1-$F377),AM364),AM364)</f>
        <v/>
      </c>
      <c r="AN377" s="35">
        <f>$D377*$F377+IF($D377*(1-$F377)&gt;=0,MAX($D377*(1-$F377),AN364),AN364)</f>
        <v/>
      </c>
      <c r="AO377" s="35">
        <f>$D377*$F377+IF($D377*(1-$F377)&gt;=0,MAX($D377*(1-$F377),AO364),AO364)</f>
        <v/>
      </c>
      <c r="AP377" s="35">
        <f>$D377*$F377+IF($D377*(1-$F377)&gt;=0,MAX($D377*(1-$F377),AP364),AP364)</f>
        <v/>
      </c>
      <c r="AQ377" s="35">
        <f>$D377*$F377+IF($D377*(1-$F377)&gt;=0,MAX($D377*(1-$F377),AQ364),AQ364)</f>
        <v/>
      </c>
      <c r="AR377" s="35">
        <f>$D377*$F377+IF($D377*(1-$F377)&gt;=0,MAX($D377*(1-$F377),AR364),AR364)</f>
        <v/>
      </c>
      <c r="AS377" s="35">
        <f>$D377*$F377+IF($D377*(1-$F377)&gt;=0,MAX($D377*(1-$F377),AS364),AS364)</f>
        <v/>
      </c>
      <c r="AT377" s="35">
        <f>$D377*$F377+IF($D377*(1-$F377)&gt;=0,MAX($D377*(1-$F377),AT364),AT364)</f>
        <v/>
      </c>
      <c r="AU377" s="35">
        <f>$D377*$F377+IF($D377*(1-$F377)&gt;=0,MAX($D377*(1-$F377),AU364),AU364)</f>
        <v/>
      </c>
      <c r="AV377" s="35">
        <f>$D377*$F377+IF($D377*(1-$F377)&gt;=0,MAX($D377*(1-$F377),AV364),AV364)</f>
        <v/>
      </c>
      <c r="AW377" s="35">
        <f>$D377*$F377+IF($D377*(1-$F377)&gt;=0,MAX($D377*(1-$F377),AW364),AW364)</f>
        <v/>
      </c>
      <c r="AX377" s="35">
        <f>$D377*$F377+IF($D377*(1-$F377)&gt;=0,MAX($D377*(1-$F377),AX364),AX364)</f>
        <v/>
      </c>
      <c r="AY377" s="35">
        <f>$D377*$F377+IF($D377*(1-$F377)&gt;=0,MAX($D377*(1-$F377),AY364),AY364)</f>
        <v/>
      </c>
      <c r="AZ377" s="35">
        <f>$D377*$F377+IF($D377*(1-$F377)&gt;=0,MAX($D377*(1-$F377),AZ364),AZ364)</f>
        <v/>
      </c>
      <c r="BA377" s="42">
        <f>OTHERTAX(BA$4,$G377,$D377,$E377,BA351,$F377)</f>
        <v/>
      </c>
    </row>
    <row r="378" hidden="1" outlineLevel="1">
      <c r="A378" s="14" t="inlineStr">
        <is>
          <t>txo</t>
        </is>
      </c>
      <c r="B378" s="14" t="inlineStr">
        <is>
          <t>oop</t>
        </is>
      </c>
      <c r="C378" s="14" t="inlineStr">
        <is>
          <t>all</t>
        </is>
      </c>
      <c r="D378" s="35">
        <f>INDEX(Inputs_prices!$T$7:$T$18,MATCH($B378&amp;"."&amp;$C378,Inputs_prices!$A$7:$A$18,0))</f>
        <v/>
      </c>
      <c r="E378" s="35">
        <f>INDEX(Inputs_prices!$S$7:$S$18,MATCH($B378&amp;"."&amp;$C378,Inputs_prices!$A$7:$A$18,0))</f>
        <v/>
      </c>
      <c r="F378" s="35">
        <f>INDEX(Inputs_prices!$K$7:$K$18,MATCH($B378&amp;"."&amp;$C378,Inputs_prices!$A$7:$A$18,0))</f>
        <v/>
      </c>
      <c r="G378" s="35">
        <f>INDEX(Inputs_prices!$E$7:$E$18,MATCH($B378&amp;"."&amp;$C378,Inputs_prices!$A$7:$A$18,0))</f>
        <v/>
      </c>
      <c r="H378" s="14">
        <f>INDEX(VarLab,MATCH($A378,VarKey,0))&amp;INDEX(MemLab,MATCH($C378&amp;"|"&amp;$B378,MemKey,0))</f>
        <v/>
      </c>
      <c r="I378" s="14">
        <f>INDEX(VarUnit,MATCH($A378,VarKey,0))</f>
        <v/>
      </c>
      <c r="J378" s="14">
        <f>INDEX(VarSrc,MATCH($A378,VarKey,0))</f>
        <v/>
      </c>
      <c r="K378" s="11">
        <f>CodePrefix&amp;$A378&amp;IF($C378="","","."&amp;$C378&amp;"."&amp;$B378)&amp;INDEX(VarEnd,MATCH($A378,VarKey,0))&amp;K$5</f>
        <v/>
      </c>
      <c r="L378" s="40">
        <f>INDEX(Inputs_prices!$Y$7:$AB$18,$G378,MATCH(L$4,Inputs_prices!$Y$6:$AB$6,0))</f>
        <v/>
      </c>
      <c r="M378" s="41">
        <f>INDEX(Inputs_prices!$Y$7:$AB$18,$G378,MATCH(M$4,Inputs_prices!$Y$6:$AB$6,0))</f>
        <v/>
      </c>
      <c r="N378" s="41">
        <f>INDEX(Inputs_prices!$Y$7:$AB$18,$G378,MATCH(N$4,Inputs_prices!$Y$6:$AB$6,0))</f>
        <v/>
      </c>
      <c r="O378" s="35">
        <f>$D378*$F378+IF($D378*(1-$F378)&gt;=0,MAX($D378*(1-$F378),O365),O365)</f>
        <v/>
      </c>
      <c r="P378" s="35">
        <f>$D378*$F378+IF($D378*(1-$F378)&gt;=0,MAX($D378*(1-$F378),P365),P365)</f>
        <v/>
      </c>
      <c r="Q378" s="35">
        <f>$D378*$F378+IF($D378*(1-$F378)&gt;=0,MAX($D378*(1-$F378),Q365),Q365)</f>
        <v/>
      </c>
      <c r="R378" s="35">
        <f>$D378*$F378+IF($D378*(1-$F378)&gt;=0,MAX($D378*(1-$F378),R365),R365)</f>
        <v/>
      </c>
      <c r="S378" s="35">
        <f>$D378*$F378+IF($D378*(1-$F378)&gt;=0,MAX($D378*(1-$F378),S365),S365)</f>
        <v/>
      </c>
      <c r="T378" s="35">
        <f>$D378*$F378+IF($D378*(1-$F378)&gt;=0,MAX($D378*(1-$F378),T365),T365)</f>
        <v/>
      </c>
      <c r="U378" s="35">
        <f>$D378*$F378+IF($D378*(1-$F378)&gt;=0,MAX($D378*(1-$F378),U365),U365)</f>
        <v/>
      </c>
      <c r="V378" s="35">
        <f>$D378*$F378+IF($D378*(1-$F378)&gt;=0,MAX($D378*(1-$F378),V365),V365)</f>
        <v/>
      </c>
      <c r="W378" s="35">
        <f>$D378*$F378+IF($D378*(1-$F378)&gt;=0,MAX($D378*(1-$F378),W365),W365)</f>
        <v/>
      </c>
      <c r="X378" s="35">
        <f>$D378*$F378+IF($D378*(1-$F378)&gt;=0,MAX($D378*(1-$F378),X365),X365)</f>
        <v/>
      </c>
      <c r="Y378" s="35">
        <f>$D378*$F378+IF($D378*(1-$F378)&gt;=0,MAX($D378*(1-$F378),Y365),Y365)</f>
        <v/>
      </c>
      <c r="Z378" s="35">
        <f>$D378*$F378+IF($D378*(1-$F378)&gt;=0,MAX($D378*(1-$F378),Z365),Z365)</f>
        <v/>
      </c>
      <c r="AA378" s="35">
        <f>$D378*$F378+IF($D378*(1-$F378)&gt;=0,MAX($D378*(1-$F378),AA365),AA365)</f>
        <v/>
      </c>
      <c r="AB378" s="35">
        <f>$D378*$F378+IF($D378*(1-$F378)&gt;=0,MAX($D378*(1-$F378),AB365),AB365)</f>
        <v/>
      </c>
      <c r="AC378" s="35">
        <f>$D378*$F378+IF($D378*(1-$F378)&gt;=0,MAX($D378*(1-$F378),AC365),AC365)</f>
        <v/>
      </c>
      <c r="AD378" s="35">
        <f>$D378*$F378+IF($D378*(1-$F378)&gt;=0,MAX($D378*(1-$F378),AD365),AD365)</f>
        <v/>
      </c>
      <c r="AE378" s="42">
        <f>OTHERTAX(AE$4,$G378,$D378,$E378,AE352,$F378)</f>
        <v/>
      </c>
      <c r="AG378" s="11">
        <f>CodePrefix&amp;$A378&amp;IF($C378="","","."&amp;$C378&amp;"."&amp;$B378)&amp;INDEX(VarEnd,MATCH($A378,VarKey,0))&amp;AG$5</f>
        <v/>
      </c>
      <c r="AH378" s="40">
        <f>INDEX(Inputs_prices!$Y$7:$AB$18,$G378,MATCH(AH$4,Inputs_prices!$Y$6:$AB$6,0))</f>
        <v/>
      </c>
      <c r="AI378" s="41">
        <f>INDEX(Inputs_prices!$Y$7:$AB$18,$G378,MATCH(AI$4,Inputs_prices!$Y$6:$AB$6,0))</f>
        <v/>
      </c>
      <c r="AJ378" s="41">
        <f>INDEX(Inputs_prices!$Y$7:$AB$18,$G378,MATCH(AJ$4,Inputs_prices!$Y$6:$AB$6,0))</f>
        <v/>
      </c>
      <c r="AK378" s="35">
        <f>$D378*$F378+IF($D378*(1-$F378)&gt;=0,MAX($D378*(1-$F378),AK365),AK365)</f>
        <v/>
      </c>
      <c r="AL378" s="35">
        <f>$D378*$F378+IF($D378*(1-$F378)&gt;=0,MAX($D378*(1-$F378),AL365),AL365)</f>
        <v/>
      </c>
      <c r="AM378" s="35">
        <f>$D378*$F378+IF($D378*(1-$F378)&gt;=0,MAX($D378*(1-$F378),AM365),AM365)</f>
        <v/>
      </c>
      <c r="AN378" s="35">
        <f>$D378*$F378+IF($D378*(1-$F378)&gt;=0,MAX($D378*(1-$F378),AN365),AN365)</f>
        <v/>
      </c>
      <c r="AO378" s="35">
        <f>$D378*$F378+IF($D378*(1-$F378)&gt;=0,MAX($D378*(1-$F378),AO365),AO365)</f>
        <v/>
      </c>
      <c r="AP378" s="35">
        <f>$D378*$F378+IF($D378*(1-$F378)&gt;=0,MAX($D378*(1-$F378),AP365),AP365)</f>
        <v/>
      </c>
      <c r="AQ378" s="35">
        <f>$D378*$F378+IF($D378*(1-$F378)&gt;=0,MAX($D378*(1-$F378),AQ365),AQ365)</f>
        <v/>
      </c>
      <c r="AR378" s="35">
        <f>$D378*$F378+IF($D378*(1-$F378)&gt;=0,MAX($D378*(1-$F378),AR365),AR365)</f>
        <v/>
      </c>
      <c r="AS378" s="35">
        <f>$D378*$F378+IF($D378*(1-$F378)&gt;=0,MAX($D378*(1-$F378),AS365),AS365)</f>
        <v/>
      </c>
      <c r="AT378" s="35">
        <f>$D378*$F378+IF($D378*(1-$F378)&gt;=0,MAX($D378*(1-$F378),AT365),AT365)</f>
        <v/>
      </c>
      <c r="AU378" s="35">
        <f>$D378*$F378+IF($D378*(1-$F378)&gt;=0,MAX($D378*(1-$F378),AU365),AU365)</f>
        <v/>
      </c>
      <c r="AV378" s="35">
        <f>$D378*$F378+IF($D378*(1-$F378)&gt;=0,MAX($D378*(1-$F378),AV365),AV365)</f>
        <v/>
      </c>
      <c r="AW378" s="35">
        <f>$D378*$F378+IF($D378*(1-$F378)&gt;=0,MAX($D378*(1-$F378),AW365),AW365)</f>
        <v/>
      </c>
      <c r="AX378" s="35">
        <f>$D378*$F378+IF($D378*(1-$F378)&gt;=0,MAX($D378*(1-$F378),AX365),AX365)</f>
        <v/>
      </c>
      <c r="AY378" s="35">
        <f>$D378*$F378+IF($D378*(1-$F378)&gt;=0,MAX($D378*(1-$F378),AY365),AY365)</f>
        <v/>
      </c>
      <c r="AZ378" s="35">
        <f>$D378*$F378+IF($D378*(1-$F378)&gt;=0,MAX($D378*(1-$F378),AZ365),AZ365)</f>
        <v/>
      </c>
      <c r="BA378" s="42">
        <f>OTHERTAX(BA$4,$G378,$D378,$E378,BA352,$F378)</f>
        <v/>
      </c>
    </row>
    <row r="379" hidden="1" outlineLevel="1">
      <c r="A379" s="14" t="inlineStr">
        <is>
          <t>txo</t>
        </is>
      </c>
      <c r="B379" s="14" t="inlineStr">
        <is>
          <t>bio</t>
        </is>
      </c>
      <c r="C379" s="14" t="inlineStr">
        <is>
          <t>all</t>
        </is>
      </c>
      <c r="D379" s="35">
        <f>INDEX(Inputs_prices!$T$7:$T$18,MATCH($B379&amp;"."&amp;$C379,Inputs_prices!$A$7:$A$18,0))</f>
        <v/>
      </c>
      <c r="E379" s="35">
        <f>INDEX(Inputs_prices!$S$7:$S$18,MATCH($B379&amp;"."&amp;$C379,Inputs_prices!$A$7:$A$18,0))</f>
        <v/>
      </c>
      <c r="F379" s="35">
        <f>INDEX(Inputs_prices!$K$7:$K$18,MATCH($B379&amp;"."&amp;$C379,Inputs_prices!$A$7:$A$18,0))</f>
        <v/>
      </c>
      <c r="G379" s="35">
        <f>INDEX(Inputs_prices!$E$7:$E$18,MATCH($B379&amp;"."&amp;$C379,Inputs_prices!$A$7:$A$18,0))</f>
        <v/>
      </c>
      <c r="H379" s="14">
        <f>INDEX(VarLab,MATCH($A379,VarKey,0))&amp;INDEX(MemLab,MATCH($C379&amp;"|"&amp;$B379,MemKey,0))</f>
        <v/>
      </c>
      <c r="I379" s="14">
        <f>INDEX(VarUnit,MATCH($A379,VarKey,0))</f>
        <v/>
      </c>
      <c r="J379" s="14">
        <f>INDEX(VarSrc,MATCH($A379,VarKey,0))</f>
        <v/>
      </c>
      <c r="K379" s="11">
        <f>CodePrefix&amp;$A379&amp;IF($C379="","","."&amp;$C379&amp;"."&amp;$B379)&amp;INDEX(VarEnd,MATCH($A379,VarKey,0))&amp;K$5</f>
        <v/>
      </c>
      <c r="L379" s="40">
        <f>INDEX(Inputs_prices!$Y$7:$AB$18,$G379,MATCH(L$4,Inputs_prices!$Y$6:$AB$6,0))</f>
        <v/>
      </c>
      <c r="M379" s="41">
        <f>INDEX(Inputs_prices!$Y$7:$AB$18,$G379,MATCH(M$4,Inputs_prices!$Y$6:$AB$6,0))</f>
        <v/>
      </c>
      <c r="N379" s="41">
        <f>INDEX(Inputs_prices!$Y$7:$AB$18,$G379,MATCH(N$4,Inputs_prices!$Y$6:$AB$6,0))</f>
        <v/>
      </c>
      <c r="O379" s="35">
        <f>$D379*$F379+IF($D379*(1-$F379)&gt;=0,MAX($D379*(1-$F379),O366),O366)</f>
        <v/>
      </c>
      <c r="P379" s="35">
        <f>$D379*$F379+IF($D379*(1-$F379)&gt;=0,MAX($D379*(1-$F379),P366),P366)</f>
        <v/>
      </c>
      <c r="Q379" s="35">
        <f>$D379*$F379+IF($D379*(1-$F379)&gt;=0,MAX($D379*(1-$F379),Q366),Q366)</f>
        <v/>
      </c>
      <c r="R379" s="35">
        <f>$D379*$F379+IF($D379*(1-$F379)&gt;=0,MAX($D379*(1-$F379),R366),R366)</f>
        <v/>
      </c>
      <c r="S379" s="35">
        <f>$D379*$F379+IF($D379*(1-$F379)&gt;=0,MAX($D379*(1-$F379),S366),S366)</f>
        <v/>
      </c>
      <c r="T379" s="35">
        <f>$D379*$F379+IF($D379*(1-$F379)&gt;=0,MAX($D379*(1-$F379),T366),T366)</f>
        <v/>
      </c>
      <c r="U379" s="35">
        <f>$D379*$F379+IF($D379*(1-$F379)&gt;=0,MAX($D379*(1-$F379),U366),U366)</f>
        <v/>
      </c>
      <c r="V379" s="35">
        <f>$D379*$F379+IF($D379*(1-$F379)&gt;=0,MAX($D379*(1-$F379),V366),V366)</f>
        <v/>
      </c>
      <c r="W379" s="35">
        <f>$D379*$F379+IF($D379*(1-$F379)&gt;=0,MAX($D379*(1-$F379),W366),W366)</f>
        <v/>
      </c>
      <c r="X379" s="35">
        <f>$D379*$F379+IF($D379*(1-$F379)&gt;=0,MAX($D379*(1-$F379),X366),X366)</f>
        <v/>
      </c>
      <c r="Y379" s="35">
        <f>$D379*$F379+IF($D379*(1-$F379)&gt;=0,MAX($D379*(1-$F379),Y366),Y366)</f>
        <v/>
      </c>
      <c r="Z379" s="35">
        <f>$D379*$F379+IF($D379*(1-$F379)&gt;=0,MAX($D379*(1-$F379),Z366),Z366)</f>
        <v/>
      </c>
      <c r="AA379" s="35">
        <f>$D379*$F379+IF($D379*(1-$F379)&gt;=0,MAX($D379*(1-$F379),AA366),AA366)</f>
        <v/>
      </c>
      <c r="AB379" s="35">
        <f>$D379*$F379+IF($D379*(1-$F379)&gt;=0,MAX($D379*(1-$F379),AB366),AB366)</f>
        <v/>
      </c>
      <c r="AC379" s="35">
        <f>$D379*$F379+IF($D379*(1-$F379)&gt;=0,MAX($D379*(1-$F379),AC366),AC366)</f>
        <v/>
      </c>
      <c r="AD379" s="35">
        <f>$D379*$F379+IF($D379*(1-$F379)&gt;=0,MAX($D379*(1-$F379),AD366),AD366)</f>
        <v/>
      </c>
      <c r="AE379" s="42">
        <f>OTHERTAX(AE$4,$G379,$D379,$E379,AE353,$F379)</f>
        <v/>
      </c>
      <c r="AG379" s="11">
        <f>CodePrefix&amp;$A379&amp;IF($C379="","","."&amp;$C379&amp;"."&amp;$B379)&amp;INDEX(VarEnd,MATCH($A379,VarKey,0))&amp;AG$5</f>
        <v/>
      </c>
      <c r="AH379" s="40">
        <f>INDEX(Inputs_prices!$Y$7:$AB$18,$G379,MATCH(AH$4,Inputs_prices!$Y$6:$AB$6,0))</f>
        <v/>
      </c>
      <c r="AI379" s="41">
        <f>INDEX(Inputs_prices!$Y$7:$AB$18,$G379,MATCH(AI$4,Inputs_prices!$Y$6:$AB$6,0))</f>
        <v/>
      </c>
      <c r="AJ379" s="41">
        <f>INDEX(Inputs_prices!$Y$7:$AB$18,$G379,MATCH(AJ$4,Inputs_prices!$Y$6:$AB$6,0))</f>
        <v/>
      </c>
      <c r="AK379" s="35">
        <f>$D379*$F379+IF($D379*(1-$F379)&gt;=0,MAX($D379*(1-$F379),AK366),AK366)</f>
        <v/>
      </c>
      <c r="AL379" s="35">
        <f>$D379*$F379+IF($D379*(1-$F379)&gt;=0,MAX($D379*(1-$F379),AL366),AL366)</f>
        <v/>
      </c>
      <c r="AM379" s="35">
        <f>$D379*$F379+IF($D379*(1-$F379)&gt;=0,MAX($D379*(1-$F379),AM366),AM366)</f>
        <v/>
      </c>
      <c r="AN379" s="35">
        <f>$D379*$F379+IF($D379*(1-$F379)&gt;=0,MAX($D379*(1-$F379),AN366),AN366)</f>
        <v/>
      </c>
      <c r="AO379" s="35">
        <f>$D379*$F379+IF($D379*(1-$F379)&gt;=0,MAX($D379*(1-$F379),AO366),AO366)</f>
        <v/>
      </c>
      <c r="AP379" s="35">
        <f>$D379*$F379+IF($D379*(1-$F379)&gt;=0,MAX($D379*(1-$F379),AP366),AP366)</f>
        <v/>
      </c>
      <c r="AQ379" s="35">
        <f>$D379*$F379+IF($D379*(1-$F379)&gt;=0,MAX($D379*(1-$F379),AQ366),AQ366)</f>
        <v/>
      </c>
      <c r="AR379" s="35">
        <f>$D379*$F379+IF($D379*(1-$F379)&gt;=0,MAX($D379*(1-$F379),AR366),AR366)</f>
        <v/>
      </c>
      <c r="AS379" s="35">
        <f>$D379*$F379+IF($D379*(1-$F379)&gt;=0,MAX($D379*(1-$F379),AS366),AS366)</f>
        <v/>
      </c>
      <c r="AT379" s="35">
        <f>$D379*$F379+IF($D379*(1-$F379)&gt;=0,MAX($D379*(1-$F379),AT366),AT366)</f>
        <v/>
      </c>
      <c r="AU379" s="35">
        <f>$D379*$F379+IF($D379*(1-$F379)&gt;=0,MAX($D379*(1-$F379),AU366),AU366)</f>
        <v/>
      </c>
      <c r="AV379" s="35">
        <f>$D379*$F379+IF($D379*(1-$F379)&gt;=0,MAX($D379*(1-$F379),AV366),AV366)</f>
        <v/>
      </c>
      <c r="AW379" s="35">
        <f>$D379*$F379+IF($D379*(1-$F379)&gt;=0,MAX($D379*(1-$F379),AW366),AW366)</f>
        <v/>
      </c>
      <c r="AX379" s="35">
        <f>$D379*$F379+IF($D379*(1-$F379)&gt;=0,MAX($D379*(1-$F379),AX366),AX366)</f>
        <v/>
      </c>
      <c r="AY379" s="35">
        <f>$D379*$F379+IF($D379*(1-$F379)&gt;=0,MAX($D379*(1-$F379),AY366),AY366)</f>
        <v/>
      </c>
      <c r="AZ379" s="35">
        <f>$D379*$F379+IF($D379*(1-$F379)&gt;=0,MAX($D379*(1-$F379),AZ366),AZ366)</f>
        <v/>
      </c>
      <c r="BA379" s="42">
        <f>OTHERTAX(BA$4,$G379,$D379,$E379,BA353,$F379)</f>
        <v/>
      </c>
    </row>
    <row r="380" hidden="1" outlineLevel="1"/>
    <row r="381" collapsed="1">
      <c r="A381" s="14" t="inlineStr">
        <is>
          <t>rpb</t>
        </is>
      </c>
      <c r="B381" s="14" t="inlineStr">
        <is>
          <t>coa</t>
        </is>
      </c>
      <c r="C381" s="14" t="inlineStr">
        <is>
          <t>pow</t>
        </is>
      </c>
      <c r="D381" s="35">
        <f>INDEX(Inputs_prices!$R$7:$R$18,MATCH($B381&amp;"."&amp;$C381,Inputs_prices!$A$7:$A$18,0))</f>
        <v/>
      </c>
      <c r="E381" s="39" t="n"/>
      <c r="F381" s="39" t="n"/>
      <c r="G381" s="39" t="n"/>
      <c r="H381" s="14">
        <f>INDEX(VarLab,MATCH($A381,VarKey,0))&amp;INDEX(MemLab,MATCH($C381&amp;"|"&amp;$B381,MemKey,0))</f>
        <v/>
      </c>
      <c r="I381" s="14">
        <f>INDEX(VarUnit,MATCH($A381,VarKey,0))</f>
        <v/>
      </c>
      <c r="J381" s="14">
        <f>INDEX(VarSrc,MATCH($A381,VarKey,0))</f>
        <v/>
      </c>
      <c r="K381" s="11">
        <f>CodePrefix&amp;$A381&amp;IF($C381="","","."&amp;$C381&amp;"."&amp;$B381)&amp;INDEX(VarEnd,MATCH($A381,VarKey,0))&amp;K$5</f>
        <v/>
      </c>
      <c r="L381" s="40">
        <f>(L342+L368)*(1+$D381)</f>
        <v/>
      </c>
      <c r="M381" s="35">
        <f>(M342+M368)*(1+$D381)</f>
        <v/>
      </c>
      <c r="N381" s="35">
        <f>(N342+N368)*(1+$D381)</f>
        <v/>
      </c>
      <c r="O381" s="35">
        <f>(O342+O368)*(1+$D381)</f>
        <v/>
      </c>
      <c r="P381" s="35">
        <f>(P342+P368)*(1+$D381)</f>
        <v/>
      </c>
      <c r="Q381" s="35">
        <f>(Q342+Q368)*(1+$D381)</f>
        <v/>
      </c>
      <c r="R381" s="35">
        <f>(R342+R368)*(1+$D381)</f>
        <v/>
      </c>
      <c r="S381" s="35">
        <f>(S342+S368)*(1+$D381)</f>
        <v/>
      </c>
      <c r="T381" s="35">
        <f>(T342+T368)*(1+$D381)</f>
        <v/>
      </c>
      <c r="U381" s="35">
        <f>(U342+U368)*(1+$D381)</f>
        <v/>
      </c>
      <c r="V381" s="35">
        <f>(V342+V368)*(1+$D381)</f>
        <v/>
      </c>
      <c r="W381" s="35">
        <f>(W342+W368)*(1+$D381)</f>
        <v/>
      </c>
      <c r="X381" s="35">
        <f>(X342+X368)*(1+$D381)</f>
        <v/>
      </c>
      <c r="Y381" s="35">
        <f>(Y342+Y368)*(1+$D381)</f>
        <v/>
      </c>
      <c r="Z381" s="35">
        <f>(Z342+Z368)*(1+$D381)</f>
        <v/>
      </c>
      <c r="AA381" s="35">
        <f>(AA342+AA368)*(1+$D381)</f>
        <v/>
      </c>
      <c r="AB381" s="35">
        <f>(AB342+AB368)*(1+$D381)</f>
        <v/>
      </c>
      <c r="AC381" s="35">
        <f>(AC342+AC368)*(1+$D381)</f>
        <v/>
      </c>
      <c r="AD381" s="35">
        <f>(AD342+AD368)*(1+$D381)</f>
        <v/>
      </c>
      <c r="AE381" s="42">
        <f>RETAILPRICE(AE342,AE368,$D381)</f>
        <v/>
      </c>
      <c r="AG381" s="11">
        <f>CodePrefix&amp;$A381&amp;IF($C381="","","."&amp;$C381&amp;"."&amp;$B381)&amp;INDEX(VarEnd,MATCH($A381,VarKey,0))&amp;AG$5</f>
        <v/>
      </c>
      <c r="AH381" s="40">
        <f>(AH342+AH368)*(1+$D381)</f>
        <v/>
      </c>
      <c r="AI381" s="35">
        <f>(AI342+AI368)*(1+$D381)</f>
        <v/>
      </c>
      <c r="AJ381" s="35">
        <f>(AJ342+AJ368)*(1+$D381)</f>
        <v/>
      </c>
      <c r="AK381" s="35">
        <f>(AK342+AK368)*(1+$D381)</f>
        <v/>
      </c>
      <c r="AL381" s="35">
        <f>(AL342+AL368)*(1+$D381)</f>
        <v/>
      </c>
      <c r="AM381" s="35">
        <f>(AM342+AM368)*(1+$D381)</f>
        <v/>
      </c>
      <c r="AN381" s="35">
        <f>(AN342+AN368)*(1+$D381)</f>
        <v/>
      </c>
      <c r="AO381" s="35">
        <f>(AO342+AO368)*(1+$D381)</f>
        <v/>
      </c>
      <c r="AP381" s="35">
        <f>(AP342+AP368)*(1+$D381)</f>
        <v/>
      </c>
      <c r="AQ381" s="35">
        <f>(AQ342+AQ368)*(1+$D381)</f>
        <v/>
      </c>
      <c r="AR381" s="35">
        <f>(AR342+AR368)*(1+$D381)</f>
        <v/>
      </c>
      <c r="AS381" s="35">
        <f>(AS342+AS368)*(1+$D381)</f>
        <v/>
      </c>
      <c r="AT381" s="35">
        <f>(AT342+AT368)*(1+$D381)</f>
        <v/>
      </c>
      <c r="AU381" s="35">
        <f>(AU342+AU368)*(1+$D381)</f>
        <v/>
      </c>
      <c r="AV381" s="35">
        <f>(AV342+AV368)*(1+$D381)</f>
        <v/>
      </c>
      <c r="AW381" s="35">
        <f>(AW342+AW368)*(1+$D381)</f>
        <v/>
      </c>
      <c r="AX381" s="35">
        <f>(AX342+AX368)*(1+$D381)</f>
        <v/>
      </c>
      <c r="AY381" s="35">
        <f>(AY342+AY368)*(1+$D381)</f>
        <v/>
      </c>
      <c r="AZ381" s="35">
        <f>(AZ342+AZ368)*(1+$D381)</f>
        <v/>
      </c>
      <c r="BA381" s="42">
        <f>RETAILPRICE(BA342,BA368,$D381)</f>
        <v/>
      </c>
    </row>
    <row r="382">
      <c r="A382" s="14" t="inlineStr">
        <is>
          <t>rpb</t>
        </is>
      </c>
      <c r="B382" s="14" t="inlineStr">
        <is>
          <t>coa</t>
        </is>
      </c>
      <c r="C382" s="14" t="inlineStr">
        <is>
          <t>res</t>
        </is>
      </c>
      <c r="D382" s="35">
        <f>INDEX(Inputs_prices!$R$7:$R$18,MATCH($B382&amp;"."&amp;$C382,Inputs_prices!$A$7:$A$18,0))</f>
        <v/>
      </c>
      <c r="E382" s="39" t="n"/>
      <c r="F382" s="39" t="n"/>
      <c r="G382" s="39" t="n"/>
      <c r="H382" s="14">
        <f>INDEX(VarLab,MATCH($A382,VarKey,0))&amp;INDEX(MemLab,MATCH($C382&amp;"|"&amp;$B382,MemKey,0))</f>
        <v/>
      </c>
      <c r="I382" s="14">
        <f>INDEX(VarUnit,MATCH($A382,VarKey,0))</f>
        <v/>
      </c>
      <c r="J382" s="14">
        <f>INDEX(VarSrc,MATCH($A382,VarKey,0))</f>
        <v/>
      </c>
      <c r="K382" s="11">
        <f>CodePrefix&amp;$A382&amp;IF($C382="","","."&amp;$C382&amp;"."&amp;$B382)&amp;INDEX(VarEnd,MATCH($A382,VarKey,0))&amp;K$5</f>
        <v/>
      </c>
      <c r="L382" s="40">
        <f>(L343+L369)*(1+$D382)</f>
        <v/>
      </c>
      <c r="M382" s="35">
        <f>(M343+M369)*(1+$D382)</f>
        <v/>
      </c>
      <c r="N382" s="35">
        <f>(N343+N369)*(1+$D382)</f>
        <v/>
      </c>
      <c r="O382" s="35">
        <f>(O343+O369)*(1+$D382)</f>
        <v/>
      </c>
      <c r="P382" s="35">
        <f>(P343+P369)*(1+$D382)</f>
        <v/>
      </c>
      <c r="Q382" s="35">
        <f>(Q343+Q369)*(1+$D382)</f>
        <v/>
      </c>
      <c r="R382" s="35">
        <f>(R343+R369)*(1+$D382)</f>
        <v/>
      </c>
      <c r="S382" s="35">
        <f>(S343+S369)*(1+$D382)</f>
        <v/>
      </c>
      <c r="T382" s="35">
        <f>(T343+T369)*(1+$D382)</f>
        <v/>
      </c>
      <c r="U382" s="35">
        <f>(U343+U369)*(1+$D382)</f>
        <v/>
      </c>
      <c r="V382" s="35">
        <f>(V343+V369)*(1+$D382)</f>
        <v/>
      </c>
      <c r="W382" s="35">
        <f>(W343+W369)*(1+$D382)</f>
        <v/>
      </c>
      <c r="X382" s="35">
        <f>(X343+X369)*(1+$D382)</f>
        <v/>
      </c>
      <c r="Y382" s="35">
        <f>(Y343+Y369)*(1+$D382)</f>
        <v/>
      </c>
      <c r="Z382" s="35">
        <f>(Z343+Z369)*(1+$D382)</f>
        <v/>
      </c>
      <c r="AA382" s="35">
        <f>(AA343+AA369)*(1+$D382)</f>
        <v/>
      </c>
      <c r="AB382" s="35">
        <f>(AB343+AB369)*(1+$D382)</f>
        <v/>
      </c>
      <c r="AC382" s="35">
        <f>(AC343+AC369)*(1+$D382)</f>
        <v/>
      </c>
      <c r="AD382" s="35">
        <f>(AD343+AD369)*(1+$D382)</f>
        <v/>
      </c>
      <c r="AE382" s="42">
        <f>RETAILPRICE(AE343,AE369,$D382)</f>
        <v/>
      </c>
      <c r="AG382" s="11">
        <f>CodePrefix&amp;$A382&amp;IF($C382="","","."&amp;$C382&amp;"."&amp;$B382)&amp;INDEX(VarEnd,MATCH($A382,VarKey,0))&amp;AG$5</f>
        <v/>
      </c>
      <c r="AH382" s="40">
        <f>(AH343+AH369)*(1+$D382)</f>
        <v/>
      </c>
      <c r="AI382" s="35">
        <f>(AI343+AI369)*(1+$D382)</f>
        <v/>
      </c>
      <c r="AJ382" s="35">
        <f>(AJ343+AJ369)*(1+$D382)</f>
        <v/>
      </c>
      <c r="AK382" s="35">
        <f>(AK343+AK369)*(1+$D382)</f>
        <v/>
      </c>
      <c r="AL382" s="35">
        <f>(AL343+AL369)*(1+$D382)</f>
        <v/>
      </c>
      <c r="AM382" s="35">
        <f>(AM343+AM369)*(1+$D382)</f>
        <v/>
      </c>
      <c r="AN382" s="35">
        <f>(AN343+AN369)*(1+$D382)</f>
        <v/>
      </c>
      <c r="AO382" s="35">
        <f>(AO343+AO369)*(1+$D382)</f>
        <v/>
      </c>
      <c r="AP382" s="35">
        <f>(AP343+AP369)*(1+$D382)</f>
        <v/>
      </c>
      <c r="AQ382" s="35">
        <f>(AQ343+AQ369)*(1+$D382)</f>
        <v/>
      </c>
      <c r="AR382" s="35">
        <f>(AR343+AR369)*(1+$D382)</f>
        <v/>
      </c>
      <c r="AS382" s="35">
        <f>(AS343+AS369)*(1+$D382)</f>
        <v/>
      </c>
      <c r="AT382" s="35">
        <f>(AT343+AT369)*(1+$D382)</f>
        <v/>
      </c>
      <c r="AU382" s="35">
        <f>(AU343+AU369)*(1+$D382)</f>
        <v/>
      </c>
      <c r="AV382" s="35">
        <f>(AV343+AV369)*(1+$D382)</f>
        <v/>
      </c>
      <c r="AW382" s="35">
        <f>(AW343+AW369)*(1+$D382)</f>
        <v/>
      </c>
      <c r="AX382" s="35">
        <f>(AX343+AX369)*(1+$D382)</f>
        <v/>
      </c>
      <c r="AY382" s="35">
        <f>(AY343+AY369)*(1+$D382)</f>
        <v/>
      </c>
      <c r="AZ382" s="35">
        <f>(AZ343+AZ369)*(1+$D382)</f>
        <v/>
      </c>
      <c r="BA382" s="42">
        <f>RETAILPRICE(BA343,BA369,$D382)</f>
        <v/>
      </c>
    </row>
    <row r="383">
      <c r="A383" s="14" t="inlineStr">
        <is>
          <t>rpb</t>
        </is>
      </c>
      <c r="B383" s="14" t="inlineStr">
        <is>
          <t>coa</t>
        </is>
      </c>
      <c r="C383" s="14" t="inlineStr">
        <is>
          <t>ind</t>
        </is>
      </c>
      <c r="D383" s="35">
        <f>INDEX(Inputs_prices!$R$7:$R$18,MATCH($B383&amp;"."&amp;$C383,Inputs_prices!$A$7:$A$18,0))</f>
        <v/>
      </c>
      <c r="E383" s="39" t="n"/>
      <c r="F383" s="39" t="n"/>
      <c r="G383" s="39" t="n"/>
      <c r="H383" s="14">
        <f>INDEX(VarLab,MATCH($A383,VarKey,0))&amp;INDEX(MemLab,MATCH($C383&amp;"|"&amp;$B383,MemKey,0))</f>
        <v/>
      </c>
      <c r="I383" s="14">
        <f>INDEX(VarUnit,MATCH($A383,VarKey,0))</f>
        <v/>
      </c>
      <c r="J383" s="14">
        <f>INDEX(VarSrc,MATCH($A383,VarKey,0))</f>
        <v/>
      </c>
      <c r="K383" s="11">
        <f>CodePrefix&amp;$A383&amp;IF($C383="","","."&amp;$C383&amp;"."&amp;$B383)&amp;INDEX(VarEnd,MATCH($A383,VarKey,0))&amp;K$5</f>
        <v/>
      </c>
      <c r="L383" s="40">
        <f>(L344+L370)*(1+$D383)</f>
        <v/>
      </c>
      <c r="M383" s="35">
        <f>(M344+M370)*(1+$D383)</f>
        <v/>
      </c>
      <c r="N383" s="35">
        <f>(N344+N370)*(1+$D383)</f>
        <v/>
      </c>
      <c r="O383" s="35">
        <f>(O344+O370)*(1+$D383)</f>
        <v/>
      </c>
      <c r="P383" s="35">
        <f>(P344+P370)*(1+$D383)</f>
        <v/>
      </c>
      <c r="Q383" s="35">
        <f>(Q344+Q370)*(1+$D383)</f>
        <v/>
      </c>
      <c r="R383" s="35">
        <f>(R344+R370)*(1+$D383)</f>
        <v/>
      </c>
      <c r="S383" s="35">
        <f>(S344+S370)*(1+$D383)</f>
        <v/>
      </c>
      <c r="T383" s="35">
        <f>(T344+T370)*(1+$D383)</f>
        <v/>
      </c>
      <c r="U383" s="35">
        <f>(U344+U370)*(1+$D383)</f>
        <v/>
      </c>
      <c r="V383" s="35">
        <f>(V344+V370)*(1+$D383)</f>
        <v/>
      </c>
      <c r="W383" s="35">
        <f>(W344+W370)*(1+$D383)</f>
        <v/>
      </c>
      <c r="X383" s="35">
        <f>(X344+X370)*(1+$D383)</f>
        <v/>
      </c>
      <c r="Y383" s="35">
        <f>(Y344+Y370)*(1+$D383)</f>
        <v/>
      </c>
      <c r="Z383" s="35">
        <f>(Z344+Z370)*(1+$D383)</f>
        <v/>
      </c>
      <c r="AA383" s="35">
        <f>(AA344+AA370)*(1+$D383)</f>
        <v/>
      </c>
      <c r="AB383" s="35">
        <f>(AB344+AB370)*(1+$D383)</f>
        <v/>
      </c>
      <c r="AC383" s="35">
        <f>(AC344+AC370)*(1+$D383)</f>
        <v/>
      </c>
      <c r="AD383" s="35">
        <f>(AD344+AD370)*(1+$D383)</f>
        <v/>
      </c>
      <c r="AE383" s="42">
        <f>RETAILPRICE(AE344,AE370,$D383)</f>
        <v/>
      </c>
      <c r="AG383" s="11">
        <f>CodePrefix&amp;$A383&amp;IF($C383="","","."&amp;$C383&amp;"."&amp;$B383)&amp;INDEX(VarEnd,MATCH($A383,VarKey,0))&amp;AG$5</f>
        <v/>
      </c>
      <c r="AH383" s="40">
        <f>(AH344+AH370)*(1+$D383)</f>
        <v/>
      </c>
      <c r="AI383" s="35">
        <f>(AI344+AI370)*(1+$D383)</f>
        <v/>
      </c>
      <c r="AJ383" s="35">
        <f>(AJ344+AJ370)*(1+$D383)</f>
        <v/>
      </c>
      <c r="AK383" s="35">
        <f>(AK344+AK370)*(1+$D383)</f>
        <v/>
      </c>
      <c r="AL383" s="35">
        <f>(AL344+AL370)*(1+$D383)</f>
        <v/>
      </c>
      <c r="AM383" s="35">
        <f>(AM344+AM370)*(1+$D383)</f>
        <v/>
      </c>
      <c r="AN383" s="35">
        <f>(AN344+AN370)*(1+$D383)</f>
        <v/>
      </c>
      <c r="AO383" s="35">
        <f>(AO344+AO370)*(1+$D383)</f>
        <v/>
      </c>
      <c r="AP383" s="35">
        <f>(AP344+AP370)*(1+$D383)</f>
        <v/>
      </c>
      <c r="AQ383" s="35">
        <f>(AQ344+AQ370)*(1+$D383)</f>
        <v/>
      </c>
      <c r="AR383" s="35">
        <f>(AR344+AR370)*(1+$D383)</f>
        <v/>
      </c>
      <c r="AS383" s="35">
        <f>(AS344+AS370)*(1+$D383)</f>
        <v/>
      </c>
      <c r="AT383" s="35">
        <f>(AT344+AT370)*(1+$D383)</f>
        <v/>
      </c>
      <c r="AU383" s="35">
        <f>(AU344+AU370)*(1+$D383)</f>
        <v/>
      </c>
      <c r="AV383" s="35">
        <f>(AV344+AV370)*(1+$D383)</f>
        <v/>
      </c>
      <c r="AW383" s="35">
        <f>(AW344+AW370)*(1+$D383)</f>
        <v/>
      </c>
      <c r="AX383" s="35">
        <f>(AX344+AX370)*(1+$D383)</f>
        <v/>
      </c>
      <c r="AY383" s="35">
        <f>(AY344+AY370)*(1+$D383)</f>
        <v/>
      </c>
      <c r="AZ383" s="35">
        <f>(AZ344+AZ370)*(1+$D383)</f>
        <v/>
      </c>
      <c r="BA383" s="42">
        <f>RETAILPRICE(BA344,BA370,$D383)</f>
        <v/>
      </c>
    </row>
    <row r="384">
      <c r="A384" s="14" t="inlineStr">
        <is>
          <t>rpb</t>
        </is>
      </c>
      <c r="B384" s="14" t="inlineStr">
        <is>
          <t>nga</t>
        </is>
      </c>
      <c r="C384" s="14" t="inlineStr">
        <is>
          <t>pow</t>
        </is>
      </c>
      <c r="D384" s="35">
        <f>INDEX(Inputs_prices!$R$7:$R$18,MATCH($B384&amp;"."&amp;$C384,Inputs_prices!$A$7:$A$18,0))</f>
        <v/>
      </c>
      <c r="E384" s="39" t="n"/>
      <c r="F384" s="39" t="n"/>
      <c r="G384" s="39" t="n"/>
      <c r="H384" s="14">
        <f>INDEX(VarLab,MATCH($A384,VarKey,0))&amp;INDEX(MemLab,MATCH($C384&amp;"|"&amp;$B384,MemKey,0))</f>
        <v/>
      </c>
      <c r="I384" s="14">
        <f>INDEX(VarUnit,MATCH($A384,VarKey,0))</f>
        <v/>
      </c>
      <c r="J384" s="14">
        <f>INDEX(VarSrc,MATCH($A384,VarKey,0))</f>
        <v/>
      </c>
      <c r="K384" s="11">
        <f>CodePrefix&amp;$A384&amp;IF($C384="","","."&amp;$C384&amp;"."&amp;$B384)&amp;INDEX(VarEnd,MATCH($A384,VarKey,0))&amp;K$5</f>
        <v/>
      </c>
      <c r="L384" s="40">
        <f>(L345+L371)*(1+$D384)</f>
        <v/>
      </c>
      <c r="M384" s="35">
        <f>(M345+M371)*(1+$D384)</f>
        <v/>
      </c>
      <c r="N384" s="35">
        <f>(N345+N371)*(1+$D384)</f>
        <v/>
      </c>
      <c r="O384" s="35">
        <f>(O345+O371)*(1+$D384)</f>
        <v/>
      </c>
      <c r="P384" s="35">
        <f>(P345+P371)*(1+$D384)</f>
        <v/>
      </c>
      <c r="Q384" s="35">
        <f>(Q345+Q371)*(1+$D384)</f>
        <v/>
      </c>
      <c r="R384" s="35">
        <f>(R345+R371)*(1+$D384)</f>
        <v/>
      </c>
      <c r="S384" s="35">
        <f>(S345+S371)*(1+$D384)</f>
        <v/>
      </c>
      <c r="T384" s="35">
        <f>(T345+T371)*(1+$D384)</f>
        <v/>
      </c>
      <c r="U384" s="35">
        <f>(U345+U371)*(1+$D384)</f>
        <v/>
      </c>
      <c r="V384" s="35">
        <f>(V345+V371)*(1+$D384)</f>
        <v/>
      </c>
      <c r="W384" s="35">
        <f>(W345+W371)*(1+$D384)</f>
        <v/>
      </c>
      <c r="X384" s="35">
        <f>(X345+X371)*(1+$D384)</f>
        <v/>
      </c>
      <c r="Y384" s="35">
        <f>(Y345+Y371)*(1+$D384)</f>
        <v/>
      </c>
      <c r="Z384" s="35">
        <f>(Z345+Z371)*(1+$D384)</f>
        <v/>
      </c>
      <c r="AA384" s="35">
        <f>(AA345+AA371)*(1+$D384)</f>
        <v/>
      </c>
      <c r="AB384" s="35">
        <f>(AB345+AB371)*(1+$D384)</f>
        <v/>
      </c>
      <c r="AC384" s="35">
        <f>(AC345+AC371)*(1+$D384)</f>
        <v/>
      </c>
      <c r="AD384" s="35">
        <f>(AD345+AD371)*(1+$D384)</f>
        <v/>
      </c>
      <c r="AE384" s="42">
        <f>RETAILPRICE(AE345,AE371,$D384)</f>
        <v/>
      </c>
      <c r="AG384" s="11">
        <f>CodePrefix&amp;$A384&amp;IF($C384="","","."&amp;$C384&amp;"."&amp;$B384)&amp;INDEX(VarEnd,MATCH($A384,VarKey,0))&amp;AG$5</f>
        <v/>
      </c>
      <c r="AH384" s="40">
        <f>(AH345+AH371)*(1+$D384)</f>
        <v/>
      </c>
      <c r="AI384" s="35">
        <f>(AI345+AI371)*(1+$D384)</f>
        <v/>
      </c>
      <c r="AJ384" s="35">
        <f>(AJ345+AJ371)*(1+$D384)</f>
        <v/>
      </c>
      <c r="AK384" s="35">
        <f>(AK345+AK371)*(1+$D384)</f>
        <v/>
      </c>
      <c r="AL384" s="35">
        <f>(AL345+AL371)*(1+$D384)</f>
        <v/>
      </c>
      <c r="AM384" s="35">
        <f>(AM345+AM371)*(1+$D384)</f>
        <v/>
      </c>
      <c r="AN384" s="35">
        <f>(AN345+AN371)*(1+$D384)</f>
        <v/>
      </c>
      <c r="AO384" s="35">
        <f>(AO345+AO371)*(1+$D384)</f>
        <v/>
      </c>
      <c r="AP384" s="35">
        <f>(AP345+AP371)*(1+$D384)</f>
        <v/>
      </c>
      <c r="AQ384" s="35">
        <f>(AQ345+AQ371)*(1+$D384)</f>
        <v/>
      </c>
      <c r="AR384" s="35">
        <f>(AR345+AR371)*(1+$D384)</f>
        <v/>
      </c>
      <c r="AS384" s="35">
        <f>(AS345+AS371)*(1+$D384)</f>
        <v/>
      </c>
      <c r="AT384" s="35">
        <f>(AT345+AT371)*(1+$D384)</f>
        <v/>
      </c>
      <c r="AU384" s="35">
        <f>(AU345+AU371)*(1+$D384)</f>
        <v/>
      </c>
      <c r="AV384" s="35">
        <f>(AV345+AV371)*(1+$D384)</f>
        <v/>
      </c>
      <c r="AW384" s="35">
        <f>(AW345+AW371)*(1+$D384)</f>
        <v/>
      </c>
      <c r="AX384" s="35">
        <f>(AX345+AX371)*(1+$D384)</f>
        <v/>
      </c>
      <c r="AY384" s="35">
        <f>(AY345+AY371)*(1+$D384)</f>
        <v/>
      </c>
      <c r="AZ384" s="35">
        <f>(AZ345+AZ371)*(1+$D384)</f>
        <v/>
      </c>
      <c r="BA384" s="42">
        <f>RETAILPRICE(BA345,BA371,$D384)</f>
        <v/>
      </c>
    </row>
    <row r="385">
      <c r="A385" s="14" t="inlineStr">
        <is>
          <t>rpb</t>
        </is>
      </c>
      <c r="B385" s="14" t="inlineStr">
        <is>
          <t>nga</t>
        </is>
      </c>
      <c r="C385" s="14" t="inlineStr">
        <is>
          <t>res</t>
        </is>
      </c>
      <c r="D385" s="35">
        <f>INDEX(Inputs_prices!$R$7:$R$18,MATCH($B385&amp;"."&amp;$C385,Inputs_prices!$A$7:$A$18,0))</f>
        <v/>
      </c>
      <c r="E385" s="39" t="n"/>
      <c r="F385" s="39" t="n"/>
      <c r="G385" s="39" t="n"/>
      <c r="H385" s="14">
        <f>INDEX(VarLab,MATCH($A385,VarKey,0))&amp;INDEX(MemLab,MATCH($C385&amp;"|"&amp;$B385,MemKey,0))</f>
        <v/>
      </c>
      <c r="I385" s="14">
        <f>INDEX(VarUnit,MATCH($A385,VarKey,0))</f>
        <v/>
      </c>
      <c r="J385" s="14">
        <f>INDEX(VarSrc,MATCH($A385,VarKey,0))</f>
        <v/>
      </c>
      <c r="K385" s="11">
        <f>CodePrefix&amp;$A385&amp;IF($C385="","","."&amp;$C385&amp;"."&amp;$B385)&amp;INDEX(VarEnd,MATCH($A385,VarKey,0))&amp;K$5</f>
        <v/>
      </c>
      <c r="L385" s="40">
        <f>(L346+L372)*(1+$D385)</f>
        <v/>
      </c>
      <c r="M385" s="35">
        <f>(M346+M372)*(1+$D385)</f>
        <v/>
      </c>
      <c r="N385" s="35">
        <f>(N346+N372)*(1+$D385)</f>
        <v/>
      </c>
      <c r="O385" s="35">
        <f>(O346+O372)*(1+$D385)</f>
        <v/>
      </c>
      <c r="P385" s="35">
        <f>(P346+P372)*(1+$D385)</f>
        <v/>
      </c>
      <c r="Q385" s="35">
        <f>(Q346+Q372)*(1+$D385)</f>
        <v/>
      </c>
      <c r="R385" s="35">
        <f>(R346+R372)*(1+$D385)</f>
        <v/>
      </c>
      <c r="S385" s="35">
        <f>(S346+S372)*(1+$D385)</f>
        <v/>
      </c>
      <c r="T385" s="35">
        <f>(T346+T372)*(1+$D385)</f>
        <v/>
      </c>
      <c r="U385" s="35">
        <f>(U346+U372)*(1+$D385)</f>
        <v/>
      </c>
      <c r="V385" s="35">
        <f>(V346+V372)*(1+$D385)</f>
        <v/>
      </c>
      <c r="W385" s="35">
        <f>(W346+W372)*(1+$D385)</f>
        <v/>
      </c>
      <c r="X385" s="35">
        <f>(X346+X372)*(1+$D385)</f>
        <v/>
      </c>
      <c r="Y385" s="35">
        <f>(Y346+Y372)*(1+$D385)</f>
        <v/>
      </c>
      <c r="Z385" s="35">
        <f>(Z346+Z372)*(1+$D385)</f>
        <v/>
      </c>
      <c r="AA385" s="35">
        <f>(AA346+AA372)*(1+$D385)</f>
        <v/>
      </c>
      <c r="AB385" s="35">
        <f>(AB346+AB372)*(1+$D385)</f>
        <v/>
      </c>
      <c r="AC385" s="35">
        <f>(AC346+AC372)*(1+$D385)</f>
        <v/>
      </c>
      <c r="AD385" s="35">
        <f>(AD346+AD372)*(1+$D385)</f>
        <v/>
      </c>
      <c r="AE385" s="42">
        <f>RETAILPRICE(AE346,AE372,$D385)</f>
        <v/>
      </c>
      <c r="AG385" s="11">
        <f>CodePrefix&amp;$A385&amp;IF($C385="","","."&amp;$C385&amp;"."&amp;$B385)&amp;INDEX(VarEnd,MATCH($A385,VarKey,0))&amp;AG$5</f>
        <v/>
      </c>
      <c r="AH385" s="40">
        <f>(AH346+AH372)*(1+$D385)</f>
        <v/>
      </c>
      <c r="AI385" s="35">
        <f>(AI346+AI372)*(1+$D385)</f>
        <v/>
      </c>
      <c r="AJ385" s="35">
        <f>(AJ346+AJ372)*(1+$D385)</f>
        <v/>
      </c>
      <c r="AK385" s="35">
        <f>(AK346+AK372)*(1+$D385)</f>
        <v/>
      </c>
      <c r="AL385" s="35">
        <f>(AL346+AL372)*(1+$D385)</f>
        <v/>
      </c>
      <c r="AM385" s="35">
        <f>(AM346+AM372)*(1+$D385)</f>
        <v/>
      </c>
      <c r="AN385" s="35">
        <f>(AN346+AN372)*(1+$D385)</f>
        <v/>
      </c>
      <c r="AO385" s="35">
        <f>(AO346+AO372)*(1+$D385)</f>
        <v/>
      </c>
      <c r="AP385" s="35">
        <f>(AP346+AP372)*(1+$D385)</f>
        <v/>
      </c>
      <c r="AQ385" s="35">
        <f>(AQ346+AQ372)*(1+$D385)</f>
        <v/>
      </c>
      <c r="AR385" s="35">
        <f>(AR346+AR372)*(1+$D385)</f>
        <v/>
      </c>
      <c r="AS385" s="35">
        <f>(AS346+AS372)*(1+$D385)</f>
        <v/>
      </c>
      <c r="AT385" s="35">
        <f>(AT346+AT372)*(1+$D385)</f>
        <v/>
      </c>
      <c r="AU385" s="35">
        <f>(AU346+AU372)*(1+$D385)</f>
        <v/>
      </c>
      <c r="AV385" s="35">
        <f>(AV346+AV372)*(1+$D385)</f>
        <v/>
      </c>
      <c r="AW385" s="35">
        <f>(AW346+AW372)*(1+$D385)</f>
        <v/>
      </c>
      <c r="AX385" s="35">
        <f>(AX346+AX372)*(1+$D385)</f>
        <v/>
      </c>
      <c r="AY385" s="35">
        <f>(AY346+AY372)*(1+$D385)</f>
        <v/>
      </c>
      <c r="AZ385" s="35">
        <f>(AZ346+AZ372)*(1+$D385)</f>
        <v/>
      </c>
      <c r="BA385" s="42">
        <f>RETAILPRICE(BA346,BA372,$D385)</f>
        <v/>
      </c>
    </row>
    <row r="386">
      <c r="A386" s="14" t="inlineStr">
        <is>
          <t>rpb</t>
        </is>
      </c>
      <c r="B386" s="14" t="inlineStr">
        <is>
          <t>nga</t>
        </is>
      </c>
      <c r="C386" s="14" t="inlineStr">
        <is>
          <t>ind</t>
        </is>
      </c>
      <c r="D386" s="35">
        <f>INDEX(Inputs_prices!$R$7:$R$18,MATCH($B386&amp;"."&amp;$C386,Inputs_prices!$A$7:$A$18,0))</f>
        <v/>
      </c>
      <c r="E386" s="39" t="n"/>
      <c r="F386" s="39" t="n"/>
      <c r="G386" s="39" t="n"/>
      <c r="H386" s="14">
        <f>INDEX(VarLab,MATCH($A386,VarKey,0))&amp;INDEX(MemLab,MATCH($C386&amp;"|"&amp;$B386,MemKey,0))</f>
        <v/>
      </c>
      <c r="I386" s="14">
        <f>INDEX(VarUnit,MATCH($A386,VarKey,0))</f>
        <v/>
      </c>
      <c r="J386" s="14">
        <f>INDEX(VarSrc,MATCH($A386,VarKey,0))</f>
        <v/>
      </c>
      <c r="K386" s="11">
        <f>CodePrefix&amp;$A386&amp;IF($C386="","","."&amp;$C386&amp;"."&amp;$B386)&amp;INDEX(VarEnd,MATCH($A386,VarKey,0))&amp;K$5</f>
        <v/>
      </c>
      <c r="L386" s="40">
        <f>(L347+L373)*(1+$D386)</f>
        <v/>
      </c>
      <c r="M386" s="35">
        <f>(M347+M373)*(1+$D386)</f>
        <v/>
      </c>
      <c r="N386" s="35">
        <f>(N347+N373)*(1+$D386)</f>
        <v/>
      </c>
      <c r="O386" s="35">
        <f>(O347+O373)*(1+$D386)</f>
        <v/>
      </c>
      <c r="P386" s="35">
        <f>(P347+P373)*(1+$D386)</f>
        <v/>
      </c>
      <c r="Q386" s="35">
        <f>(Q347+Q373)*(1+$D386)</f>
        <v/>
      </c>
      <c r="R386" s="35">
        <f>(R347+R373)*(1+$D386)</f>
        <v/>
      </c>
      <c r="S386" s="35">
        <f>(S347+S373)*(1+$D386)</f>
        <v/>
      </c>
      <c r="T386" s="35">
        <f>(T347+T373)*(1+$D386)</f>
        <v/>
      </c>
      <c r="U386" s="35">
        <f>(U347+U373)*(1+$D386)</f>
        <v/>
      </c>
      <c r="V386" s="35">
        <f>(V347+V373)*(1+$D386)</f>
        <v/>
      </c>
      <c r="W386" s="35">
        <f>(W347+W373)*(1+$D386)</f>
        <v/>
      </c>
      <c r="X386" s="35">
        <f>(X347+X373)*(1+$D386)</f>
        <v/>
      </c>
      <c r="Y386" s="35">
        <f>(Y347+Y373)*(1+$D386)</f>
        <v/>
      </c>
      <c r="Z386" s="35">
        <f>(Z347+Z373)*(1+$D386)</f>
        <v/>
      </c>
      <c r="AA386" s="35">
        <f>(AA347+AA373)*(1+$D386)</f>
        <v/>
      </c>
      <c r="AB386" s="35">
        <f>(AB347+AB373)*(1+$D386)</f>
        <v/>
      </c>
      <c r="AC386" s="35">
        <f>(AC347+AC373)*(1+$D386)</f>
        <v/>
      </c>
      <c r="AD386" s="35">
        <f>(AD347+AD373)*(1+$D386)</f>
        <v/>
      </c>
      <c r="AE386" s="42">
        <f>RETAILPRICE(AE347,AE373,$D386)</f>
        <v/>
      </c>
      <c r="AG386" s="11">
        <f>CodePrefix&amp;$A386&amp;IF($C386="","","."&amp;$C386&amp;"."&amp;$B386)&amp;INDEX(VarEnd,MATCH($A386,VarKey,0))&amp;AG$5</f>
        <v/>
      </c>
      <c r="AH386" s="40">
        <f>(AH347+AH373)*(1+$D386)</f>
        <v/>
      </c>
      <c r="AI386" s="35">
        <f>(AI347+AI373)*(1+$D386)</f>
        <v/>
      </c>
      <c r="AJ386" s="35">
        <f>(AJ347+AJ373)*(1+$D386)</f>
        <v/>
      </c>
      <c r="AK386" s="35">
        <f>(AK347+AK373)*(1+$D386)</f>
        <v/>
      </c>
      <c r="AL386" s="35">
        <f>(AL347+AL373)*(1+$D386)</f>
        <v/>
      </c>
      <c r="AM386" s="35">
        <f>(AM347+AM373)*(1+$D386)</f>
        <v/>
      </c>
      <c r="AN386" s="35">
        <f>(AN347+AN373)*(1+$D386)</f>
        <v/>
      </c>
      <c r="AO386" s="35">
        <f>(AO347+AO373)*(1+$D386)</f>
        <v/>
      </c>
      <c r="AP386" s="35">
        <f>(AP347+AP373)*(1+$D386)</f>
        <v/>
      </c>
      <c r="AQ386" s="35">
        <f>(AQ347+AQ373)*(1+$D386)</f>
        <v/>
      </c>
      <c r="AR386" s="35">
        <f>(AR347+AR373)*(1+$D386)</f>
        <v/>
      </c>
      <c r="AS386" s="35">
        <f>(AS347+AS373)*(1+$D386)</f>
        <v/>
      </c>
      <c r="AT386" s="35">
        <f>(AT347+AT373)*(1+$D386)</f>
        <v/>
      </c>
      <c r="AU386" s="35">
        <f>(AU347+AU373)*(1+$D386)</f>
        <v/>
      </c>
      <c r="AV386" s="35">
        <f>(AV347+AV373)*(1+$D386)</f>
        <v/>
      </c>
      <c r="AW386" s="35">
        <f>(AW347+AW373)*(1+$D386)</f>
        <v/>
      </c>
      <c r="AX386" s="35">
        <f>(AX347+AX373)*(1+$D386)</f>
        <v/>
      </c>
      <c r="AY386" s="35">
        <f>(AY347+AY373)*(1+$D386)</f>
        <v/>
      </c>
      <c r="AZ386" s="35">
        <f>(AZ347+AZ373)*(1+$D386)</f>
        <v/>
      </c>
      <c r="BA386" s="42">
        <f>RETAILPRICE(BA347,BA373,$D386)</f>
        <v/>
      </c>
    </row>
    <row r="387">
      <c r="A387" s="14" t="inlineStr">
        <is>
          <t>rpb</t>
        </is>
      </c>
      <c r="B387" s="14" t="inlineStr">
        <is>
          <t>gso</t>
        </is>
      </c>
      <c r="C387" s="14" t="inlineStr">
        <is>
          <t>all</t>
        </is>
      </c>
      <c r="D387" s="35">
        <f>INDEX(Inputs_prices!$R$7:$R$18,MATCH($B387&amp;"."&amp;$C387,Inputs_prices!$A$7:$A$18,0))</f>
        <v/>
      </c>
      <c r="E387" s="39" t="n"/>
      <c r="F387" s="39" t="n"/>
      <c r="G387" s="39" t="n"/>
      <c r="H387" s="14">
        <f>INDEX(VarLab,MATCH($A387,VarKey,0))&amp;INDEX(MemLab,MATCH($C387&amp;"|"&amp;$B387,MemKey,0))</f>
        <v/>
      </c>
      <c r="I387" s="14">
        <f>INDEX(VarUnit,MATCH($A387,VarKey,0))</f>
        <v/>
      </c>
      <c r="J387" s="14">
        <f>INDEX(VarSrc,MATCH($A387,VarKey,0))</f>
        <v/>
      </c>
      <c r="K387" s="11">
        <f>CodePrefix&amp;$A387&amp;IF($C387="","","."&amp;$C387&amp;"."&amp;$B387)&amp;INDEX(VarEnd,MATCH($A387,VarKey,0))&amp;K$5</f>
        <v/>
      </c>
      <c r="L387" s="40">
        <f>(L348+L374)*(1+$D387)</f>
        <v/>
      </c>
      <c r="M387" s="35">
        <f>(M348+M374)*(1+$D387)</f>
        <v/>
      </c>
      <c r="N387" s="35">
        <f>(N348+N374)*(1+$D387)</f>
        <v/>
      </c>
      <c r="O387" s="35">
        <f>(O348+O374)*(1+$D387)</f>
        <v/>
      </c>
      <c r="P387" s="35">
        <f>(P348+P374)*(1+$D387)</f>
        <v/>
      </c>
      <c r="Q387" s="35">
        <f>(Q348+Q374)*(1+$D387)</f>
        <v/>
      </c>
      <c r="R387" s="35">
        <f>(R348+R374)*(1+$D387)</f>
        <v/>
      </c>
      <c r="S387" s="35">
        <f>(S348+S374)*(1+$D387)</f>
        <v/>
      </c>
      <c r="T387" s="35">
        <f>(T348+T374)*(1+$D387)</f>
        <v/>
      </c>
      <c r="U387" s="35">
        <f>(U348+U374)*(1+$D387)</f>
        <v/>
      </c>
      <c r="V387" s="35">
        <f>(V348+V374)*(1+$D387)</f>
        <v/>
      </c>
      <c r="W387" s="35">
        <f>(W348+W374)*(1+$D387)</f>
        <v/>
      </c>
      <c r="X387" s="35">
        <f>(X348+X374)*(1+$D387)</f>
        <v/>
      </c>
      <c r="Y387" s="35">
        <f>(Y348+Y374)*(1+$D387)</f>
        <v/>
      </c>
      <c r="Z387" s="35">
        <f>(Z348+Z374)*(1+$D387)</f>
        <v/>
      </c>
      <c r="AA387" s="35">
        <f>(AA348+AA374)*(1+$D387)</f>
        <v/>
      </c>
      <c r="AB387" s="35">
        <f>(AB348+AB374)*(1+$D387)</f>
        <v/>
      </c>
      <c r="AC387" s="35">
        <f>(AC348+AC374)*(1+$D387)</f>
        <v/>
      </c>
      <c r="AD387" s="35">
        <f>(AD348+AD374)*(1+$D387)</f>
        <v/>
      </c>
      <c r="AE387" s="42">
        <f>RETAILPRICE(AE348,AE374,$D387)</f>
        <v/>
      </c>
      <c r="AG387" s="11">
        <f>CodePrefix&amp;$A387&amp;IF($C387="","","."&amp;$C387&amp;"."&amp;$B387)&amp;INDEX(VarEnd,MATCH($A387,VarKey,0))&amp;AG$5</f>
        <v/>
      </c>
      <c r="AH387" s="40">
        <f>(AH348+AH374)*(1+$D387)</f>
        <v/>
      </c>
      <c r="AI387" s="35">
        <f>(AI348+AI374)*(1+$D387)</f>
        <v/>
      </c>
      <c r="AJ387" s="35">
        <f>(AJ348+AJ374)*(1+$D387)</f>
        <v/>
      </c>
      <c r="AK387" s="35">
        <f>(AK348+AK374)*(1+$D387)</f>
        <v/>
      </c>
      <c r="AL387" s="35">
        <f>(AL348+AL374)*(1+$D387)</f>
        <v/>
      </c>
      <c r="AM387" s="35">
        <f>(AM348+AM374)*(1+$D387)</f>
        <v/>
      </c>
      <c r="AN387" s="35">
        <f>(AN348+AN374)*(1+$D387)</f>
        <v/>
      </c>
      <c r="AO387" s="35">
        <f>(AO348+AO374)*(1+$D387)</f>
        <v/>
      </c>
      <c r="AP387" s="35">
        <f>(AP348+AP374)*(1+$D387)</f>
        <v/>
      </c>
      <c r="AQ387" s="35">
        <f>(AQ348+AQ374)*(1+$D387)</f>
        <v/>
      </c>
      <c r="AR387" s="35">
        <f>(AR348+AR374)*(1+$D387)</f>
        <v/>
      </c>
      <c r="AS387" s="35">
        <f>(AS348+AS374)*(1+$D387)</f>
        <v/>
      </c>
      <c r="AT387" s="35">
        <f>(AT348+AT374)*(1+$D387)</f>
        <v/>
      </c>
      <c r="AU387" s="35">
        <f>(AU348+AU374)*(1+$D387)</f>
        <v/>
      </c>
      <c r="AV387" s="35">
        <f>(AV348+AV374)*(1+$D387)</f>
        <v/>
      </c>
      <c r="AW387" s="35">
        <f>(AW348+AW374)*(1+$D387)</f>
        <v/>
      </c>
      <c r="AX387" s="35">
        <f>(AX348+AX374)*(1+$D387)</f>
        <v/>
      </c>
      <c r="AY387" s="35">
        <f>(AY348+AY374)*(1+$D387)</f>
        <v/>
      </c>
      <c r="AZ387" s="35">
        <f>(AZ348+AZ374)*(1+$D387)</f>
        <v/>
      </c>
      <c r="BA387" s="42">
        <f>RETAILPRICE(BA348,BA374,$D387)</f>
        <v/>
      </c>
    </row>
    <row r="388">
      <c r="A388" s="14" t="inlineStr">
        <is>
          <t>rpb</t>
        </is>
      </c>
      <c r="B388" s="14" t="inlineStr">
        <is>
          <t>die</t>
        </is>
      </c>
      <c r="C388" s="14" t="inlineStr">
        <is>
          <t>all</t>
        </is>
      </c>
      <c r="D388" s="35">
        <f>INDEX(Inputs_prices!$R$7:$R$18,MATCH($B388&amp;"."&amp;$C388,Inputs_prices!$A$7:$A$18,0))</f>
        <v/>
      </c>
      <c r="E388" s="39" t="n"/>
      <c r="F388" s="39" t="n"/>
      <c r="G388" s="39" t="n"/>
      <c r="H388" s="14">
        <f>INDEX(VarLab,MATCH($A388,VarKey,0))&amp;INDEX(MemLab,MATCH($C388&amp;"|"&amp;$B388,MemKey,0))</f>
        <v/>
      </c>
      <c r="I388" s="14">
        <f>INDEX(VarUnit,MATCH($A388,VarKey,0))</f>
        <v/>
      </c>
      <c r="J388" s="14">
        <f>INDEX(VarSrc,MATCH($A388,VarKey,0))</f>
        <v/>
      </c>
      <c r="K388" s="11">
        <f>CodePrefix&amp;$A388&amp;IF($C388="","","."&amp;$C388&amp;"."&amp;$B388)&amp;INDEX(VarEnd,MATCH($A388,VarKey,0))&amp;K$5</f>
        <v/>
      </c>
      <c r="L388" s="40">
        <f>(L349+L375)*(1+$D388)</f>
        <v/>
      </c>
      <c r="M388" s="35">
        <f>(M349+M375)*(1+$D388)</f>
        <v/>
      </c>
      <c r="N388" s="35">
        <f>(N349+N375)*(1+$D388)</f>
        <v/>
      </c>
      <c r="O388" s="35">
        <f>(O349+O375)*(1+$D388)</f>
        <v/>
      </c>
      <c r="P388" s="35">
        <f>(P349+P375)*(1+$D388)</f>
        <v/>
      </c>
      <c r="Q388" s="35">
        <f>(Q349+Q375)*(1+$D388)</f>
        <v/>
      </c>
      <c r="R388" s="35">
        <f>(R349+R375)*(1+$D388)</f>
        <v/>
      </c>
      <c r="S388" s="35">
        <f>(S349+S375)*(1+$D388)</f>
        <v/>
      </c>
      <c r="T388" s="35">
        <f>(T349+T375)*(1+$D388)</f>
        <v/>
      </c>
      <c r="U388" s="35">
        <f>(U349+U375)*(1+$D388)</f>
        <v/>
      </c>
      <c r="V388" s="35">
        <f>(V349+V375)*(1+$D388)</f>
        <v/>
      </c>
      <c r="W388" s="35">
        <f>(W349+W375)*(1+$D388)</f>
        <v/>
      </c>
      <c r="X388" s="35">
        <f>(X349+X375)*(1+$D388)</f>
        <v/>
      </c>
      <c r="Y388" s="35">
        <f>(Y349+Y375)*(1+$D388)</f>
        <v/>
      </c>
      <c r="Z388" s="35">
        <f>(Z349+Z375)*(1+$D388)</f>
        <v/>
      </c>
      <c r="AA388" s="35">
        <f>(AA349+AA375)*(1+$D388)</f>
        <v/>
      </c>
      <c r="AB388" s="35">
        <f>(AB349+AB375)*(1+$D388)</f>
        <v/>
      </c>
      <c r="AC388" s="35">
        <f>(AC349+AC375)*(1+$D388)</f>
        <v/>
      </c>
      <c r="AD388" s="35">
        <f>(AD349+AD375)*(1+$D388)</f>
        <v/>
      </c>
      <c r="AE388" s="42">
        <f>RETAILPRICE(AE349,AE375,$D388)</f>
        <v/>
      </c>
      <c r="AG388" s="11">
        <f>CodePrefix&amp;$A388&amp;IF($C388="","","."&amp;$C388&amp;"."&amp;$B388)&amp;INDEX(VarEnd,MATCH($A388,VarKey,0))&amp;AG$5</f>
        <v/>
      </c>
      <c r="AH388" s="40">
        <f>(AH349+AH375)*(1+$D388)</f>
        <v/>
      </c>
      <c r="AI388" s="35">
        <f>(AI349+AI375)*(1+$D388)</f>
        <v/>
      </c>
      <c r="AJ388" s="35">
        <f>(AJ349+AJ375)*(1+$D388)</f>
        <v/>
      </c>
      <c r="AK388" s="35">
        <f>(AK349+AK375)*(1+$D388)</f>
        <v/>
      </c>
      <c r="AL388" s="35">
        <f>(AL349+AL375)*(1+$D388)</f>
        <v/>
      </c>
      <c r="AM388" s="35">
        <f>(AM349+AM375)*(1+$D388)</f>
        <v/>
      </c>
      <c r="AN388" s="35">
        <f>(AN349+AN375)*(1+$D388)</f>
        <v/>
      </c>
      <c r="AO388" s="35">
        <f>(AO349+AO375)*(1+$D388)</f>
        <v/>
      </c>
      <c r="AP388" s="35">
        <f>(AP349+AP375)*(1+$D388)</f>
        <v/>
      </c>
      <c r="AQ388" s="35">
        <f>(AQ349+AQ375)*(1+$D388)</f>
        <v/>
      </c>
      <c r="AR388" s="35">
        <f>(AR349+AR375)*(1+$D388)</f>
        <v/>
      </c>
      <c r="AS388" s="35">
        <f>(AS349+AS375)*(1+$D388)</f>
        <v/>
      </c>
      <c r="AT388" s="35">
        <f>(AT349+AT375)*(1+$D388)</f>
        <v/>
      </c>
      <c r="AU388" s="35">
        <f>(AU349+AU375)*(1+$D388)</f>
        <v/>
      </c>
      <c r="AV388" s="35">
        <f>(AV349+AV375)*(1+$D388)</f>
        <v/>
      </c>
      <c r="AW388" s="35">
        <f>(AW349+AW375)*(1+$D388)</f>
        <v/>
      </c>
      <c r="AX388" s="35">
        <f>(AX349+AX375)*(1+$D388)</f>
        <v/>
      </c>
      <c r="AY388" s="35">
        <f>(AY349+AY375)*(1+$D388)</f>
        <v/>
      </c>
      <c r="AZ388" s="35">
        <f>(AZ349+AZ375)*(1+$D388)</f>
        <v/>
      </c>
      <c r="BA388" s="42">
        <f>RETAILPRICE(BA349,BA375,$D388)</f>
        <v/>
      </c>
    </row>
    <row r="389">
      <c r="A389" s="14" t="inlineStr">
        <is>
          <t>rpb</t>
        </is>
      </c>
      <c r="B389" s="14" t="inlineStr">
        <is>
          <t>lpg</t>
        </is>
      </c>
      <c r="C389" s="14" t="inlineStr">
        <is>
          <t>all</t>
        </is>
      </c>
      <c r="D389" s="35">
        <f>INDEX(Inputs_prices!$R$7:$R$18,MATCH($B389&amp;"."&amp;$C389,Inputs_prices!$A$7:$A$18,0))</f>
        <v/>
      </c>
      <c r="E389" s="39" t="n"/>
      <c r="F389" s="39" t="n"/>
      <c r="G389" s="39" t="n"/>
      <c r="H389" s="14">
        <f>INDEX(VarLab,MATCH($A389,VarKey,0))&amp;INDEX(MemLab,MATCH($C389&amp;"|"&amp;$B389,MemKey,0))</f>
        <v/>
      </c>
      <c r="I389" s="14">
        <f>INDEX(VarUnit,MATCH($A389,VarKey,0))</f>
        <v/>
      </c>
      <c r="J389" s="14">
        <f>INDEX(VarSrc,MATCH($A389,VarKey,0))</f>
        <v/>
      </c>
      <c r="K389" s="11">
        <f>CodePrefix&amp;$A389&amp;IF($C389="","","."&amp;$C389&amp;"."&amp;$B389)&amp;INDEX(VarEnd,MATCH($A389,VarKey,0))&amp;K$5</f>
        <v/>
      </c>
      <c r="L389" s="40">
        <f>(L350+L376)*(1+$D389)</f>
        <v/>
      </c>
      <c r="M389" s="35">
        <f>(M350+M376)*(1+$D389)</f>
        <v/>
      </c>
      <c r="N389" s="35">
        <f>(N350+N376)*(1+$D389)</f>
        <v/>
      </c>
      <c r="O389" s="35">
        <f>(O350+O376)*(1+$D389)</f>
        <v/>
      </c>
      <c r="P389" s="35">
        <f>(P350+P376)*(1+$D389)</f>
        <v/>
      </c>
      <c r="Q389" s="35">
        <f>(Q350+Q376)*(1+$D389)</f>
        <v/>
      </c>
      <c r="R389" s="35">
        <f>(R350+R376)*(1+$D389)</f>
        <v/>
      </c>
      <c r="S389" s="35">
        <f>(S350+S376)*(1+$D389)</f>
        <v/>
      </c>
      <c r="T389" s="35">
        <f>(T350+T376)*(1+$D389)</f>
        <v/>
      </c>
      <c r="U389" s="35">
        <f>(U350+U376)*(1+$D389)</f>
        <v/>
      </c>
      <c r="V389" s="35">
        <f>(V350+V376)*(1+$D389)</f>
        <v/>
      </c>
      <c r="W389" s="35">
        <f>(W350+W376)*(1+$D389)</f>
        <v/>
      </c>
      <c r="X389" s="35">
        <f>(X350+X376)*(1+$D389)</f>
        <v/>
      </c>
      <c r="Y389" s="35">
        <f>(Y350+Y376)*(1+$D389)</f>
        <v/>
      </c>
      <c r="Z389" s="35">
        <f>(Z350+Z376)*(1+$D389)</f>
        <v/>
      </c>
      <c r="AA389" s="35">
        <f>(AA350+AA376)*(1+$D389)</f>
        <v/>
      </c>
      <c r="AB389" s="35">
        <f>(AB350+AB376)*(1+$D389)</f>
        <v/>
      </c>
      <c r="AC389" s="35">
        <f>(AC350+AC376)*(1+$D389)</f>
        <v/>
      </c>
      <c r="AD389" s="35">
        <f>(AD350+AD376)*(1+$D389)</f>
        <v/>
      </c>
      <c r="AE389" s="42">
        <f>RETAILPRICE(AE350,AE376,$D389)</f>
        <v/>
      </c>
      <c r="AG389" s="11">
        <f>CodePrefix&amp;$A389&amp;IF($C389="","","."&amp;$C389&amp;"."&amp;$B389)&amp;INDEX(VarEnd,MATCH($A389,VarKey,0))&amp;AG$5</f>
        <v/>
      </c>
      <c r="AH389" s="40">
        <f>(AH350+AH376)*(1+$D389)</f>
        <v/>
      </c>
      <c r="AI389" s="35">
        <f>(AI350+AI376)*(1+$D389)</f>
        <v/>
      </c>
      <c r="AJ389" s="35">
        <f>(AJ350+AJ376)*(1+$D389)</f>
        <v/>
      </c>
      <c r="AK389" s="35">
        <f>(AK350+AK376)*(1+$D389)</f>
        <v/>
      </c>
      <c r="AL389" s="35">
        <f>(AL350+AL376)*(1+$D389)</f>
        <v/>
      </c>
      <c r="AM389" s="35">
        <f>(AM350+AM376)*(1+$D389)</f>
        <v/>
      </c>
      <c r="AN389" s="35">
        <f>(AN350+AN376)*(1+$D389)</f>
        <v/>
      </c>
      <c r="AO389" s="35">
        <f>(AO350+AO376)*(1+$D389)</f>
        <v/>
      </c>
      <c r="AP389" s="35">
        <f>(AP350+AP376)*(1+$D389)</f>
        <v/>
      </c>
      <c r="AQ389" s="35">
        <f>(AQ350+AQ376)*(1+$D389)</f>
        <v/>
      </c>
      <c r="AR389" s="35">
        <f>(AR350+AR376)*(1+$D389)</f>
        <v/>
      </c>
      <c r="AS389" s="35">
        <f>(AS350+AS376)*(1+$D389)</f>
        <v/>
      </c>
      <c r="AT389" s="35">
        <f>(AT350+AT376)*(1+$D389)</f>
        <v/>
      </c>
      <c r="AU389" s="35">
        <f>(AU350+AU376)*(1+$D389)</f>
        <v/>
      </c>
      <c r="AV389" s="35">
        <f>(AV350+AV376)*(1+$D389)</f>
        <v/>
      </c>
      <c r="AW389" s="35">
        <f>(AW350+AW376)*(1+$D389)</f>
        <v/>
      </c>
      <c r="AX389" s="35">
        <f>(AX350+AX376)*(1+$D389)</f>
        <v/>
      </c>
      <c r="AY389" s="35">
        <f>(AY350+AY376)*(1+$D389)</f>
        <v/>
      </c>
      <c r="AZ389" s="35">
        <f>(AZ350+AZ376)*(1+$D389)</f>
        <v/>
      </c>
      <c r="BA389" s="42">
        <f>RETAILPRICE(BA350,BA376,$D389)</f>
        <v/>
      </c>
    </row>
    <row r="390">
      <c r="A390" s="14" t="inlineStr">
        <is>
          <t>rpb</t>
        </is>
      </c>
      <c r="B390" s="14" t="inlineStr">
        <is>
          <t>ker</t>
        </is>
      </c>
      <c r="C390" s="14" t="inlineStr">
        <is>
          <t>all</t>
        </is>
      </c>
      <c r="D390" s="35">
        <f>INDEX(Inputs_prices!$R$7:$R$18,MATCH($B390&amp;"."&amp;$C390,Inputs_prices!$A$7:$A$18,0))</f>
        <v/>
      </c>
      <c r="E390" s="39" t="n"/>
      <c r="F390" s="39" t="n"/>
      <c r="G390" s="39" t="n"/>
      <c r="H390" s="14">
        <f>INDEX(VarLab,MATCH($A390,VarKey,0))&amp;INDEX(MemLab,MATCH($C390&amp;"|"&amp;$B390,MemKey,0))</f>
        <v/>
      </c>
      <c r="I390" s="14">
        <f>INDEX(VarUnit,MATCH($A390,VarKey,0))</f>
        <v/>
      </c>
      <c r="J390" s="14">
        <f>INDEX(VarSrc,MATCH($A390,VarKey,0))</f>
        <v/>
      </c>
      <c r="K390" s="11">
        <f>CodePrefix&amp;$A390&amp;IF($C390="","","."&amp;$C390&amp;"."&amp;$B390)&amp;INDEX(VarEnd,MATCH($A390,VarKey,0))&amp;K$5</f>
        <v/>
      </c>
      <c r="L390" s="40">
        <f>(L351+L377)*(1+$D390)</f>
        <v/>
      </c>
      <c r="M390" s="35">
        <f>(M351+M377)*(1+$D390)</f>
        <v/>
      </c>
      <c r="N390" s="35">
        <f>(N351+N377)*(1+$D390)</f>
        <v/>
      </c>
      <c r="O390" s="35">
        <f>(O351+O377)*(1+$D390)</f>
        <v/>
      </c>
      <c r="P390" s="35">
        <f>(P351+P377)*(1+$D390)</f>
        <v/>
      </c>
      <c r="Q390" s="35">
        <f>(Q351+Q377)*(1+$D390)</f>
        <v/>
      </c>
      <c r="R390" s="35">
        <f>(R351+R377)*(1+$D390)</f>
        <v/>
      </c>
      <c r="S390" s="35">
        <f>(S351+S377)*(1+$D390)</f>
        <v/>
      </c>
      <c r="T390" s="35">
        <f>(T351+T377)*(1+$D390)</f>
        <v/>
      </c>
      <c r="U390" s="35">
        <f>(U351+U377)*(1+$D390)</f>
        <v/>
      </c>
      <c r="V390" s="35">
        <f>(V351+V377)*(1+$D390)</f>
        <v/>
      </c>
      <c r="W390" s="35">
        <f>(W351+W377)*(1+$D390)</f>
        <v/>
      </c>
      <c r="X390" s="35">
        <f>(X351+X377)*(1+$D390)</f>
        <v/>
      </c>
      <c r="Y390" s="35">
        <f>(Y351+Y377)*(1+$D390)</f>
        <v/>
      </c>
      <c r="Z390" s="35">
        <f>(Z351+Z377)*(1+$D390)</f>
        <v/>
      </c>
      <c r="AA390" s="35">
        <f>(AA351+AA377)*(1+$D390)</f>
        <v/>
      </c>
      <c r="AB390" s="35">
        <f>(AB351+AB377)*(1+$D390)</f>
        <v/>
      </c>
      <c r="AC390" s="35">
        <f>(AC351+AC377)*(1+$D390)</f>
        <v/>
      </c>
      <c r="AD390" s="35">
        <f>(AD351+AD377)*(1+$D390)</f>
        <v/>
      </c>
      <c r="AE390" s="42">
        <f>RETAILPRICE(AE351,AE377,$D390)</f>
        <v/>
      </c>
      <c r="AG390" s="11">
        <f>CodePrefix&amp;$A390&amp;IF($C390="","","."&amp;$C390&amp;"."&amp;$B390)&amp;INDEX(VarEnd,MATCH($A390,VarKey,0))&amp;AG$5</f>
        <v/>
      </c>
      <c r="AH390" s="40">
        <f>(AH351+AH377)*(1+$D390)</f>
        <v/>
      </c>
      <c r="AI390" s="35">
        <f>(AI351+AI377)*(1+$D390)</f>
        <v/>
      </c>
      <c r="AJ390" s="35">
        <f>(AJ351+AJ377)*(1+$D390)</f>
        <v/>
      </c>
      <c r="AK390" s="35">
        <f>(AK351+AK377)*(1+$D390)</f>
        <v/>
      </c>
      <c r="AL390" s="35">
        <f>(AL351+AL377)*(1+$D390)</f>
        <v/>
      </c>
      <c r="AM390" s="35">
        <f>(AM351+AM377)*(1+$D390)</f>
        <v/>
      </c>
      <c r="AN390" s="35">
        <f>(AN351+AN377)*(1+$D390)</f>
        <v/>
      </c>
      <c r="AO390" s="35">
        <f>(AO351+AO377)*(1+$D390)</f>
        <v/>
      </c>
      <c r="AP390" s="35">
        <f>(AP351+AP377)*(1+$D390)</f>
        <v/>
      </c>
      <c r="AQ390" s="35">
        <f>(AQ351+AQ377)*(1+$D390)</f>
        <v/>
      </c>
      <c r="AR390" s="35">
        <f>(AR351+AR377)*(1+$D390)</f>
        <v/>
      </c>
      <c r="AS390" s="35">
        <f>(AS351+AS377)*(1+$D390)</f>
        <v/>
      </c>
      <c r="AT390" s="35">
        <f>(AT351+AT377)*(1+$D390)</f>
        <v/>
      </c>
      <c r="AU390" s="35">
        <f>(AU351+AU377)*(1+$D390)</f>
        <v/>
      </c>
      <c r="AV390" s="35">
        <f>(AV351+AV377)*(1+$D390)</f>
        <v/>
      </c>
      <c r="AW390" s="35">
        <f>(AW351+AW377)*(1+$D390)</f>
        <v/>
      </c>
      <c r="AX390" s="35">
        <f>(AX351+AX377)*(1+$D390)</f>
        <v/>
      </c>
      <c r="AY390" s="35">
        <f>(AY351+AY377)*(1+$D390)</f>
        <v/>
      </c>
      <c r="AZ390" s="35">
        <f>(AZ351+AZ377)*(1+$D390)</f>
        <v/>
      </c>
      <c r="BA390" s="42">
        <f>RETAILPRICE(BA351,BA377,$D390)</f>
        <v/>
      </c>
    </row>
    <row r="391">
      <c r="A391" s="14" t="inlineStr">
        <is>
          <t>rpb</t>
        </is>
      </c>
      <c r="B391" s="14" t="inlineStr">
        <is>
          <t>oop</t>
        </is>
      </c>
      <c r="C391" s="14" t="inlineStr">
        <is>
          <t>all</t>
        </is>
      </c>
      <c r="D391" s="35">
        <f>INDEX(Inputs_prices!$R$7:$R$18,MATCH($B391&amp;"."&amp;$C391,Inputs_prices!$A$7:$A$18,0))</f>
        <v/>
      </c>
      <c r="E391" s="39" t="n"/>
      <c r="F391" s="39" t="n"/>
      <c r="G391" s="39" t="n"/>
      <c r="H391" s="14">
        <f>INDEX(VarLab,MATCH($A391,VarKey,0))&amp;INDEX(MemLab,MATCH($C391&amp;"|"&amp;$B391,MemKey,0))</f>
        <v/>
      </c>
      <c r="I391" s="14">
        <f>INDEX(VarUnit,MATCH($A391,VarKey,0))</f>
        <v/>
      </c>
      <c r="J391" s="14">
        <f>INDEX(VarSrc,MATCH($A391,VarKey,0))</f>
        <v/>
      </c>
      <c r="K391" s="11">
        <f>CodePrefix&amp;$A391&amp;IF($C391="","","."&amp;$C391&amp;"."&amp;$B391)&amp;INDEX(VarEnd,MATCH($A391,VarKey,0))&amp;K$5</f>
        <v/>
      </c>
      <c r="L391" s="40">
        <f>(L352+L378)*(1+$D391)</f>
        <v/>
      </c>
      <c r="M391" s="35">
        <f>(M352+M378)*(1+$D391)</f>
        <v/>
      </c>
      <c r="N391" s="35">
        <f>(N352+N378)*(1+$D391)</f>
        <v/>
      </c>
      <c r="O391" s="35">
        <f>(O352+O378)*(1+$D391)</f>
        <v/>
      </c>
      <c r="P391" s="35">
        <f>(P352+P378)*(1+$D391)</f>
        <v/>
      </c>
      <c r="Q391" s="35">
        <f>(Q352+Q378)*(1+$D391)</f>
        <v/>
      </c>
      <c r="R391" s="35">
        <f>(R352+R378)*(1+$D391)</f>
        <v/>
      </c>
      <c r="S391" s="35">
        <f>(S352+S378)*(1+$D391)</f>
        <v/>
      </c>
      <c r="T391" s="35">
        <f>(T352+T378)*(1+$D391)</f>
        <v/>
      </c>
      <c r="U391" s="35">
        <f>(U352+U378)*(1+$D391)</f>
        <v/>
      </c>
      <c r="V391" s="35">
        <f>(V352+V378)*(1+$D391)</f>
        <v/>
      </c>
      <c r="W391" s="35">
        <f>(W352+W378)*(1+$D391)</f>
        <v/>
      </c>
      <c r="X391" s="35">
        <f>(X352+X378)*(1+$D391)</f>
        <v/>
      </c>
      <c r="Y391" s="35">
        <f>(Y352+Y378)*(1+$D391)</f>
        <v/>
      </c>
      <c r="Z391" s="35">
        <f>(Z352+Z378)*(1+$D391)</f>
        <v/>
      </c>
      <c r="AA391" s="35">
        <f>(AA352+AA378)*(1+$D391)</f>
        <v/>
      </c>
      <c r="AB391" s="35">
        <f>(AB352+AB378)*(1+$D391)</f>
        <v/>
      </c>
      <c r="AC391" s="35">
        <f>(AC352+AC378)*(1+$D391)</f>
        <v/>
      </c>
      <c r="AD391" s="35">
        <f>(AD352+AD378)*(1+$D391)</f>
        <v/>
      </c>
      <c r="AE391" s="42">
        <f>RETAILPRICE(AE352,AE378,$D391)</f>
        <v/>
      </c>
      <c r="AG391" s="11">
        <f>CodePrefix&amp;$A391&amp;IF($C391="","","."&amp;$C391&amp;"."&amp;$B391)&amp;INDEX(VarEnd,MATCH($A391,VarKey,0))&amp;AG$5</f>
        <v/>
      </c>
      <c r="AH391" s="40">
        <f>(AH352+AH378)*(1+$D391)</f>
        <v/>
      </c>
      <c r="AI391" s="35">
        <f>(AI352+AI378)*(1+$D391)</f>
        <v/>
      </c>
      <c r="AJ391" s="35">
        <f>(AJ352+AJ378)*(1+$D391)</f>
        <v/>
      </c>
      <c r="AK391" s="35">
        <f>(AK352+AK378)*(1+$D391)</f>
        <v/>
      </c>
      <c r="AL391" s="35">
        <f>(AL352+AL378)*(1+$D391)</f>
        <v/>
      </c>
      <c r="AM391" s="35">
        <f>(AM352+AM378)*(1+$D391)</f>
        <v/>
      </c>
      <c r="AN391" s="35">
        <f>(AN352+AN378)*(1+$D391)</f>
        <v/>
      </c>
      <c r="AO391" s="35">
        <f>(AO352+AO378)*(1+$D391)</f>
        <v/>
      </c>
      <c r="AP391" s="35">
        <f>(AP352+AP378)*(1+$D391)</f>
        <v/>
      </c>
      <c r="AQ391" s="35">
        <f>(AQ352+AQ378)*(1+$D391)</f>
        <v/>
      </c>
      <c r="AR391" s="35">
        <f>(AR352+AR378)*(1+$D391)</f>
        <v/>
      </c>
      <c r="AS391" s="35">
        <f>(AS352+AS378)*(1+$D391)</f>
        <v/>
      </c>
      <c r="AT391" s="35">
        <f>(AT352+AT378)*(1+$D391)</f>
        <v/>
      </c>
      <c r="AU391" s="35">
        <f>(AU352+AU378)*(1+$D391)</f>
        <v/>
      </c>
      <c r="AV391" s="35">
        <f>(AV352+AV378)*(1+$D391)</f>
        <v/>
      </c>
      <c r="AW391" s="35">
        <f>(AW352+AW378)*(1+$D391)</f>
        <v/>
      </c>
      <c r="AX391" s="35">
        <f>(AX352+AX378)*(1+$D391)</f>
        <v/>
      </c>
      <c r="AY391" s="35">
        <f>(AY352+AY378)*(1+$D391)</f>
        <v/>
      </c>
      <c r="AZ391" s="35">
        <f>(AZ352+AZ378)*(1+$D391)</f>
        <v/>
      </c>
      <c r="BA391" s="42">
        <f>RETAILPRICE(BA352,BA378,$D391)</f>
        <v/>
      </c>
    </row>
    <row r="392">
      <c r="A392" s="14" t="inlineStr">
        <is>
          <t>rpb</t>
        </is>
      </c>
      <c r="B392" s="14" t="inlineStr">
        <is>
          <t>bio</t>
        </is>
      </c>
      <c r="C392" s="14" t="inlineStr">
        <is>
          <t>all</t>
        </is>
      </c>
      <c r="D392" s="35">
        <f>INDEX(Inputs_prices!$R$7:$R$18,MATCH($B392&amp;"."&amp;$C392,Inputs_prices!$A$7:$A$18,0))</f>
        <v/>
      </c>
      <c r="E392" s="39" t="n"/>
      <c r="F392" s="39" t="n"/>
      <c r="G392" s="39" t="n"/>
      <c r="H392" s="14">
        <f>INDEX(VarLab,MATCH($A392,VarKey,0))&amp;INDEX(MemLab,MATCH($C392&amp;"|"&amp;$B392,MemKey,0))</f>
        <v/>
      </c>
      <c r="I392" s="14">
        <f>INDEX(VarUnit,MATCH($A392,VarKey,0))</f>
        <v/>
      </c>
      <c r="J392" s="14">
        <f>INDEX(VarSrc,MATCH($A392,VarKey,0))</f>
        <v/>
      </c>
      <c r="K392" s="11">
        <f>CodePrefix&amp;$A392&amp;IF($C392="","","."&amp;$C392&amp;"."&amp;$B392)&amp;INDEX(VarEnd,MATCH($A392,VarKey,0))&amp;K$5</f>
        <v/>
      </c>
      <c r="L392" s="40">
        <f>(L353+L379)*(1+$D392)</f>
        <v/>
      </c>
      <c r="M392" s="35">
        <f>(M353+M379)*(1+$D392)</f>
        <v/>
      </c>
      <c r="N392" s="35">
        <f>(N353+N379)*(1+$D392)</f>
        <v/>
      </c>
      <c r="O392" s="35">
        <f>(O353+O379)*(1+$D392)</f>
        <v/>
      </c>
      <c r="P392" s="35">
        <f>(P353+P379)*(1+$D392)</f>
        <v/>
      </c>
      <c r="Q392" s="35">
        <f>(Q353+Q379)*(1+$D392)</f>
        <v/>
      </c>
      <c r="R392" s="35">
        <f>(R353+R379)*(1+$D392)</f>
        <v/>
      </c>
      <c r="S392" s="35">
        <f>(S353+S379)*(1+$D392)</f>
        <v/>
      </c>
      <c r="T392" s="35">
        <f>(T353+T379)*(1+$D392)</f>
        <v/>
      </c>
      <c r="U392" s="35">
        <f>(U353+U379)*(1+$D392)</f>
        <v/>
      </c>
      <c r="V392" s="35">
        <f>(V353+V379)*(1+$D392)</f>
        <v/>
      </c>
      <c r="W392" s="35">
        <f>(W353+W379)*(1+$D392)</f>
        <v/>
      </c>
      <c r="X392" s="35">
        <f>(X353+X379)*(1+$D392)</f>
        <v/>
      </c>
      <c r="Y392" s="35">
        <f>(Y353+Y379)*(1+$D392)</f>
        <v/>
      </c>
      <c r="Z392" s="35">
        <f>(Z353+Z379)*(1+$D392)</f>
        <v/>
      </c>
      <c r="AA392" s="35">
        <f>(AA353+AA379)*(1+$D392)</f>
        <v/>
      </c>
      <c r="AB392" s="35">
        <f>(AB353+AB379)*(1+$D392)</f>
        <v/>
      </c>
      <c r="AC392" s="35">
        <f>(AC353+AC379)*(1+$D392)</f>
        <v/>
      </c>
      <c r="AD392" s="35">
        <f>(AD353+AD379)*(1+$D392)</f>
        <v/>
      </c>
      <c r="AE392" s="42">
        <f>RETAILPRICE(AE353,AE379,$D392)</f>
        <v/>
      </c>
      <c r="AG392" s="11">
        <f>CodePrefix&amp;$A392&amp;IF($C392="","","."&amp;$C392&amp;"."&amp;$B392)&amp;INDEX(VarEnd,MATCH($A392,VarKey,0))&amp;AG$5</f>
        <v/>
      </c>
      <c r="AH392" s="40">
        <f>(AH353+AH379)*(1+$D392)</f>
        <v/>
      </c>
      <c r="AI392" s="35">
        <f>(AI353+AI379)*(1+$D392)</f>
        <v/>
      </c>
      <c r="AJ392" s="35">
        <f>(AJ353+AJ379)*(1+$D392)</f>
        <v/>
      </c>
      <c r="AK392" s="35">
        <f>(AK353+AK379)*(1+$D392)</f>
        <v/>
      </c>
      <c r="AL392" s="35">
        <f>(AL353+AL379)*(1+$D392)</f>
        <v/>
      </c>
      <c r="AM392" s="35">
        <f>(AM353+AM379)*(1+$D392)</f>
        <v/>
      </c>
      <c r="AN392" s="35">
        <f>(AN353+AN379)*(1+$D392)</f>
        <v/>
      </c>
      <c r="AO392" s="35">
        <f>(AO353+AO379)*(1+$D392)</f>
        <v/>
      </c>
      <c r="AP392" s="35">
        <f>(AP353+AP379)*(1+$D392)</f>
        <v/>
      </c>
      <c r="AQ392" s="35">
        <f>(AQ353+AQ379)*(1+$D392)</f>
        <v/>
      </c>
      <c r="AR392" s="35">
        <f>(AR353+AR379)*(1+$D392)</f>
        <v/>
      </c>
      <c r="AS392" s="35">
        <f>(AS353+AS379)*(1+$D392)</f>
        <v/>
      </c>
      <c r="AT392" s="35">
        <f>(AT353+AT379)*(1+$D392)</f>
        <v/>
      </c>
      <c r="AU392" s="35">
        <f>(AU353+AU379)*(1+$D392)</f>
        <v/>
      </c>
      <c r="AV392" s="35">
        <f>(AV353+AV379)*(1+$D392)</f>
        <v/>
      </c>
      <c r="AW392" s="35">
        <f>(AW353+AW379)*(1+$D392)</f>
        <v/>
      </c>
      <c r="AX392" s="35">
        <f>(AX353+AX379)*(1+$D392)</f>
        <v/>
      </c>
      <c r="AY392" s="35">
        <f>(AY353+AY379)*(1+$D392)</f>
        <v/>
      </c>
      <c r="AZ392" s="35">
        <f>(AZ353+AZ379)*(1+$D392)</f>
        <v/>
      </c>
      <c r="BA392" s="42">
        <f>RETAILPRICE(BA353,BA379,$D392)</f>
        <v/>
      </c>
    </row>
    <row r="393" hidden="1" outlineLevel="1"/>
    <row r="394" hidden="1" outlineLevel="1">
      <c r="A394" s="14" t="inlineStr">
        <is>
          <t>vat</t>
        </is>
      </c>
      <c r="B394" s="14" t="inlineStr">
        <is>
          <t>coa</t>
        </is>
      </c>
      <c r="C394" s="14" t="inlineStr">
        <is>
          <t>pow</t>
        </is>
      </c>
      <c r="D394" s="35">
        <f>INDEX(Inputs_prices!$R$7:$R$18,MATCH($B394&amp;"."&amp;$C394,Inputs_prices!$A$7:$A$18,0))</f>
        <v/>
      </c>
      <c r="E394" s="39" t="n"/>
      <c r="F394" s="39" t="n"/>
      <c r="G394" s="39" t="n"/>
      <c r="H394" s="14">
        <f>INDEX(VarLab,MATCH($A394,VarKey,0))&amp;INDEX(MemLab,MATCH($C394&amp;"|"&amp;$B394,MemKey,0))</f>
        <v/>
      </c>
      <c r="I394" s="14">
        <f>INDEX(VarUnit,MATCH($A394,VarKey,0))</f>
        <v/>
      </c>
      <c r="J394" s="14">
        <f>INDEX(VarSrc,MATCH($A394,VarKey,0))</f>
        <v/>
      </c>
      <c r="K394" s="11">
        <f>CodePrefix&amp;$A394&amp;IF($C394="","","."&amp;$C394&amp;"."&amp;$B394)&amp;INDEX(VarEnd,MATCH($A394,VarKey,0))&amp;K$5</f>
        <v/>
      </c>
      <c r="L394" s="40">
        <f>(L342+L368)*$D394</f>
        <v/>
      </c>
      <c r="M394" s="35">
        <f>(M342+M368)*$D394</f>
        <v/>
      </c>
      <c r="N394" s="35">
        <f>(N342+N368)*$D394</f>
        <v/>
      </c>
      <c r="O394" s="35">
        <f>(O342+O368)*$D394</f>
        <v/>
      </c>
      <c r="P394" s="35">
        <f>(P342+P368)*$D394</f>
        <v/>
      </c>
      <c r="Q394" s="35">
        <f>(Q342+Q368)*$D394</f>
        <v/>
      </c>
      <c r="R394" s="35">
        <f>(R342+R368)*$D394</f>
        <v/>
      </c>
      <c r="S394" s="35">
        <f>(S342+S368)*$D394</f>
        <v/>
      </c>
      <c r="T394" s="35">
        <f>(T342+T368)*$D394</f>
        <v/>
      </c>
      <c r="U394" s="35">
        <f>(U342+U368)*$D394</f>
        <v/>
      </c>
      <c r="V394" s="35">
        <f>(V342+V368)*$D394</f>
        <v/>
      </c>
      <c r="W394" s="35">
        <f>(W342+W368)*$D394</f>
        <v/>
      </c>
      <c r="X394" s="35">
        <f>(X342+X368)*$D394</f>
        <v/>
      </c>
      <c r="Y394" s="35">
        <f>(Y342+Y368)*$D394</f>
        <v/>
      </c>
      <c r="Z394" s="35">
        <f>(Z342+Z368)*$D394</f>
        <v/>
      </c>
      <c r="AA394" s="35">
        <f>(AA342+AA368)*$D394</f>
        <v/>
      </c>
      <c r="AB394" s="35">
        <f>(AB342+AB368)*$D394</f>
        <v/>
      </c>
      <c r="AC394" s="35">
        <f>(AC342+AC368)*$D394</f>
        <v/>
      </c>
      <c r="AD394" s="35">
        <f>(AD342+AD368)*$D394</f>
        <v/>
      </c>
      <c r="AE394" s="42">
        <f>VATPAY(AE342,AE368,$D394)</f>
        <v/>
      </c>
      <c r="AG394" s="11">
        <f>CodePrefix&amp;$A394&amp;IF($C394="","","."&amp;$C394&amp;"."&amp;$B394)&amp;INDEX(VarEnd,MATCH($A394,VarKey,0))&amp;AG$5</f>
        <v/>
      </c>
      <c r="AH394" s="40">
        <f>(AH342+AH368)*$D394</f>
        <v/>
      </c>
      <c r="AI394" s="35">
        <f>(AI342+AI368)*$D394</f>
        <v/>
      </c>
      <c r="AJ394" s="35">
        <f>(AJ342+AJ368)*$D394</f>
        <v/>
      </c>
      <c r="AK394" s="35">
        <f>(AK342+AK368)*$D394</f>
        <v/>
      </c>
      <c r="AL394" s="35">
        <f>(AL342+AL368)*$D394</f>
        <v/>
      </c>
      <c r="AM394" s="35">
        <f>(AM342+AM368)*$D394</f>
        <v/>
      </c>
      <c r="AN394" s="35">
        <f>(AN342+AN368)*$D394</f>
        <v/>
      </c>
      <c r="AO394" s="35">
        <f>(AO342+AO368)*$D394</f>
        <v/>
      </c>
      <c r="AP394" s="35">
        <f>(AP342+AP368)*$D394</f>
        <v/>
      </c>
      <c r="AQ394" s="35">
        <f>(AQ342+AQ368)*$D394</f>
        <v/>
      </c>
      <c r="AR394" s="35">
        <f>(AR342+AR368)*$D394</f>
        <v/>
      </c>
      <c r="AS394" s="35">
        <f>(AS342+AS368)*$D394</f>
        <v/>
      </c>
      <c r="AT394" s="35">
        <f>(AT342+AT368)*$D394</f>
        <v/>
      </c>
      <c r="AU394" s="35">
        <f>(AU342+AU368)*$D394</f>
        <v/>
      </c>
      <c r="AV394" s="35">
        <f>(AV342+AV368)*$D394</f>
        <v/>
      </c>
      <c r="AW394" s="35">
        <f>(AW342+AW368)*$D394</f>
        <v/>
      </c>
      <c r="AX394" s="35">
        <f>(AX342+AX368)*$D394</f>
        <v/>
      </c>
      <c r="AY394" s="35">
        <f>(AY342+AY368)*$D394</f>
        <v/>
      </c>
      <c r="AZ394" s="35">
        <f>(AZ342+AZ368)*$D394</f>
        <v/>
      </c>
      <c r="BA394" s="42">
        <f>VATPAY(BA342,BA368,$D394)</f>
        <v/>
      </c>
    </row>
    <row r="395" hidden="1" outlineLevel="1">
      <c r="A395" s="14" t="inlineStr">
        <is>
          <t>vat</t>
        </is>
      </c>
      <c r="B395" s="14" t="inlineStr">
        <is>
          <t>coa</t>
        </is>
      </c>
      <c r="C395" s="14" t="inlineStr">
        <is>
          <t>res</t>
        </is>
      </c>
      <c r="D395" s="35">
        <f>INDEX(Inputs_prices!$R$7:$R$18,MATCH($B395&amp;"."&amp;$C395,Inputs_prices!$A$7:$A$18,0))</f>
        <v/>
      </c>
      <c r="E395" s="39" t="n"/>
      <c r="F395" s="39" t="n"/>
      <c r="G395" s="39" t="n"/>
      <c r="H395" s="14">
        <f>INDEX(VarLab,MATCH($A395,VarKey,0))&amp;INDEX(MemLab,MATCH($C395&amp;"|"&amp;$B395,MemKey,0))</f>
        <v/>
      </c>
      <c r="I395" s="14">
        <f>INDEX(VarUnit,MATCH($A395,VarKey,0))</f>
        <v/>
      </c>
      <c r="J395" s="14">
        <f>INDEX(VarSrc,MATCH($A395,VarKey,0))</f>
        <v/>
      </c>
      <c r="K395" s="11">
        <f>CodePrefix&amp;$A395&amp;IF($C395="","","."&amp;$C395&amp;"."&amp;$B395)&amp;INDEX(VarEnd,MATCH($A395,VarKey,0))&amp;K$5</f>
        <v/>
      </c>
      <c r="L395" s="40">
        <f>(L343+L369)*$D395</f>
        <v/>
      </c>
      <c r="M395" s="35">
        <f>(M343+M369)*$D395</f>
        <v/>
      </c>
      <c r="N395" s="35">
        <f>(N343+N369)*$D395</f>
        <v/>
      </c>
      <c r="O395" s="35">
        <f>(O343+O369)*$D395</f>
        <v/>
      </c>
      <c r="P395" s="35">
        <f>(P343+P369)*$D395</f>
        <v/>
      </c>
      <c r="Q395" s="35">
        <f>(Q343+Q369)*$D395</f>
        <v/>
      </c>
      <c r="R395" s="35">
        <f>(R343+R369)*$D395</f>
        <v/>
      </c>
      <c r="S395" s="35">
        <f>(S343+S369)*$D395</f>
        <v/>
      </c>
      <c r="T395" s="35">
        <f>(T343+T369)*$D395</f>
        <v/>
      </c>
      <c r="U395" s="35">
        <f>(U343+U369)*$D395</f>
        <v/>
      </c>
      <c r="V395" s="35">
        <f>(V343+V369)*$D395</f>
        <v/>
      </c>
      <c r="W395" s="35">
        <f>(W343+W369)*$D395</f>
        <v/>
      </c>
      <c r="X395" s="35">
        <f>(X343+X369)*$D395</f>
        <v/>
      </c>
      <c r="Y395" s="35">
        <f>(Y343+Y369)*$D395</f>
        <v/>
      </c>
      <c r="Z395" s="35">
        <f>(Z343+Z369)*$D395</f>
        <v/>
      </c>
      <c r="AA395" s="35">
        <f>(AA343+AA369)*$D395</f>
        <v/>
      </c>
      <c r="AB395" s="35">
        <f>(AB343+AB369)*$D395</f>
        <v/>
      </c>
      <c r="AC395" s="35">
        <f>(AC343+AC369)*$D395</f>
        <v/>
      </c>
      <c r="AD395" s="35">
        <f>(AD343+AD369)*$D395</f>
        <v/>
      </c>
      <c r="AE395" s="42">
        <f>VATPAY(AE343,AE369,$D395)</f>
        <v/>
      </c>
      <c r="AG395" s="11">
        <f>CodePrefix&amp;$A395&amp;IF($C395="","","."&amp;$C395&amp;"."&amp;$B395)&amp;INDEX(VarEnd,MATCH($A395,VarKey,0))&amp;AG$5</f>
        <v/>
      </c>
      <c r="AH395" s="40">
        <f>(AH343+AH369)*$D395</f>
        <v/>
      </c>
      <c r="AI395" s="35">
        <f>(AI343+AI369)*$D395</f>
        <v/>
      </c>
      <c r="AJ395" s="35">
        <f>(AJ343+AJ369)*$D395</f>
        <v/>
      </c>
      <c r="AK395" s="35">
        <f>(AK343+AK369)*$D395</f>
        <v/>
      </c>
      <c r="AL395" s="35">
        <f>(AL343+AL369)*$D395</f>
        <v/>
      </c>
      <c r="AM395" s="35">
        <f>(AM343+AM369)*$D395</f>
        <v/>
      </c>
      <c r="AN395" s="35">
        <f>(AN343+AN369)*$D395</f>
        <v/>
      </c>
      <c r="AO395" s="35">
        <f>(AO343+AO369)*$D395</f>
        <v/>
      </c>
      <c r="AP395" s="35">
        <f>(AP343+AP369)*$D395</f>
        <v/>
      </c>
      <c r="AQ395" s="35">
        <f>(AQ343+AQ369)*$D395</f>
        <v/>
      </c>
      <c r="AR395" s="35">
        <f>(AR343+AR369)*$D395</f>
        <v/>
      </c>
      <c r="AS395" s="35">
        <f>(AS343+AS369)*$D395</f>
        <v/>
      </c>
      <c r="AT395" s="35">
        <f>(AT343+AT369)*$D395</f>
        <v/>
      </c>
      <c r="AU395" s="35">
        <f>(AU343+AU369)*$D395</f>
        <v/>
      </c>
      <c r="AV395" s="35">
        <f>(AV343+AV369)*$D395</f>
        <v/>
      </c>
      <c r="AW395" s="35">
        <f>(AW343+AW369)*$D395</f>
        <v/>
      </c>
      <c r="AX395" s="35">
        <f>(AX343+AX369)*$D395</f>
        <v/>
      </c>
      <c r="AY395" s="35">
        <f>(AY343+AY369)*$D395</f>
        <v/>
      </c>
      <c r="AZ395" s="35">
        <f>(AZ343+AZ369)*$D395</f>
        <v/>
      </c>
      <c r="BA395" s="42">
        <f>VATPAY(BA343,BA369,$D395)</f>
        <v/>
      </c>
    </row>
    <row r="396" hidden="1" outlineLevel="1">
      <c r="A396" s="14" t="inlineStr">
        <is>
          <t>vat</t>
        </is>
      </c>
      <c r="B396" s="14" t="inlineStr">
        <is>
          <t>coa</t>
        </is>
      </c>
      <c r="C396" s="14" t="inlineStr">
        <is>
          <t>ind</t>
        </is>
      </c>
      <c r="D396" s="35">
        <f>INDEX(Inputs_prices!$R$7:$R$18,MATCH($B396&amp;"."&amp;$C396,Inputs_prices!$A$7:$A$18,0))</f>
        <v/>
      </c>
      <c r="E396" s="39" t="n"/>
      <c r="F396" s="39" t="n"/>
      <c r="G396" s="39" t="n"/>
      <c r="H396" s="14">
        <f>INDEX(VarLab,MATCH($A396,VarKey,0))&amp;INDEX(MemLab,MATCH($C396&amp;"|"&amp;$B396,MemKey,0))</f>
        <v/>
      </c>
      <c r="I396" s="14">
        <f>INDEX(VarUnit,MATCH($A396,VarKey,0))</f>
        <v/>
      </c>
      <c r="J396" s="14">
        <f>INDEX(VarSrc,MATCH($A396,VarKey,0))</f>
        <v/>
      </c>
      <c r="K396" s="11">
        <f>CodePrefix&amp;$A396&amp;IF($C396="","","."&amp;$C396&amp;"."&amp;$B396)&amp;INDEX(VarEnd,MATCH($A396,VarKey,0))&amp;K$5</f>
        <v/>
      </c>
      <c r="L396" s="40">
        <f>(L344+L370)*$D396</f>
        <v/>
      </c>
      <c r="M396" s="35">
        <f>(M344+M370)*$D396</f>
        <v/>
      </c>
      <c r="N396" s="35">
        <f>(N344+N370)*$D396</f>
        <v/>
      </c>
      <c r="O396" s="35">
        <f>(O344+O370)*$D396</f>
        <v/>
      </c>
      <c r="P396" s="35">
        <f>(P344+P370)*$D396</f>
        <v/>
      </c>
      <c r="Q396" s="35">
        <f>(Q344+Q370)*$D396</f>
        <v/>
      </c>
      <c r="R396" s="35">
        <f>(R344+R370)*$D396</f>
        <v/>
      </c>
      <c r="S396" s="35">
        <f>(S344+S370)*$D396</f>
        <v/>
      </c>
      <c r="T396" s="35">
        <f>(T344+T370)*$D396</f>
        <v/>
      </c>
      <c r="U396" s="35">
        <f>(U344+U370)*$D396</f>
        <v/>
      </c>
      <c r="V396" s="35">
        <f>(V344+V370)*$D396</f>
        <v/>
      </c>
      <c r="W396" s="35">
        <f>(W344+W370)*$D396</f>
        <v/>
      </c>
      <c r="X396" s="35">
        <f>(X344+X370)*$D396</f>
        <v/>
      </c>
      <c r="Y396" s="35">
        <f>(Y344+Y370)*$D396</f>
        <v/>
      </c>
      <c r="Z396" s="35">
        <f>(Z344+Z370)*$D396</f>
        <v/>
      </c>
      <c r="AA396" s="35">
        <f>(AA344+AA370)*$D396</f>
        <v/>
      </c>
      <c r="AB396" s="35">
        <f>(AB344+AB370)*$D396</f>
        <v/>
      </c>
      <c r="AC396" s="35">
        <f>(AC344+AC370)*$D396</f>
        <v/>
      </c>
      <c r="AD396" s="35">
        <f>(AD344+AD370)*$D396</f>
        <v/>
      </c>
      <c r="AE396" s="42">
        <f>VATPAY(AE344,AE370,$D396)</f>
        <v/>
      </c>
      <c r="AG396" s="11">
        <f>CodePrefix&amp;$A396&amp;IF($C396="","","."&amp;$C396&amp;"."&amp;$B396)&amp;INDEX(VarEnd,MATCH($A396,VarKey,0))&amp;AG$5</f>
        <v/>
      </c>
      <c r="AH396" s="40">
        <f>(AH344+AH370)*$D396</f>
        <v/>
      </c>
      <c r="AI396" s="35">
        <f>(AI344+AI370)*$D396</f>
        <v/>
      </c>
      <c r="AJ396" s="35">
        <f>(AJ344+AJ370)*$D396</f>
        <v/>
      </c>
      <c r="AK396" s="35">
        <f>(AK344+AK370)*$D396</f>
        <v/>
      </c>
      <c r="AL396" s="35">
        <f>(AL344+AL370)*$D396</f>
        <v/>
      </c>
      <c r="AM396" s="35">
        <f>(AM344+AM370)*$D396</f>
        <v/>
      </c>
      <c r="AN396" s="35">
        <f>(AN344+AN370)*$D396</f>
        <v/>
      </c>
      <c r="AO396" s="35">
        <f>(AO344+AO370)*$D396</f>
        <v/>
      </c>
      <c r="AP396" s="35">
        <f>(AP344+AP370)*$D396</f>
        <v/>
      </c>
      <c r="AQ396" s="35">
        <f>(AQ344+AQ370)*$D396</f>
        <v/>
      </c>
      <c r="AR396" s="35">
        <f>(AR344+AR370)*$D396</f>
        <v/>
      </c>
      <c r="AS396" s="35">
        <f>(AS344+AS370)*$D396</f>
        <v/>
      </c>
      <c r="AT396" s="35">
        <f>(AT344+AT370)*$D396</f>
        <v/>
      </c>
      <c r="AU396" s="35">
        <f>(AU344+AU370)*$D396</f>
        <v/>
      </c>
      <c r="AV396" s="35">
        <f>(AV344+AV370)*$D396</f>
        <v/>
      </c>
      <c r="AW396" s="35">
        <f>(AW344+AW370)*$D396</f>
        <v/>
      </c>
      <c r="AX396" s="35">
        <f>(AX344+AX370)*$D396</f>
        <v/>
      </c>
      <c r="AY396" s="35">
        <f>(AY344+AY370)*$D396</f>
        <v/>
      </c>
      <c r="AZ396" s="35">
        <f>(AZ344+AZ370)*$D396</f>
        <v/>
      </c>
      <c r="BA396" s="42">
        <f>VATPAY(BA344,BA370,$D396)</f>
        <v/>
      </c>
    </row>
    <row r="397" hidden="1" outlineLevel="1">
      <c r="A397" s="14" t="inlineStr">
        <is>
          <t>vat</t>
        </is>
      </c>
      <c r="B397" s="14" t="inlineStr">
        <is>
          <t>nga</t>
        </is>
      </c>
      <c r="C397" s="14" t="inlineStr">
        <is>
          <t>pow</t>
        </is>
      </c>
      <c r="D397" s="35">
        <f>INDEX(Inputs_prices!$R$7:$R$18,MATCH($B397&amp;"."&amp;$C397,Inputs_prices!$A$7:$A$18,0))</f>
        <v/>
      </c>
      <c r="E397" s="39" t="n"/>
      <c r="F397" s="39" t="n"/>
      <c r="G397" s="39" t="n"/>
      <c r="H397" s="14">
        <f>INDEX(VarLab,MATCH($A397,VarKey,0))&amp;INDEX(MemLab,MATCH($C397&amp;"|"&amp;$B397,MemKey,0))</f>
        <v/>
      </c>
      <c r="I397" s="14">
        <f>INDEX(VarUnit,MATCH($A397,VarKey,0))</f>
        <v/>
      </c>
      <c r="J397" s="14">
        <f>INDEX(VarSrc,MATCH($A397,VarKey,0))</f>
        <v/>
      </c>
      <c r="K397" s="11">
        <f>CodePrefix&amp;$A397&amp;IF($C397="","","."&amp;$C397&amp;"."&amp;$B397)&amp;INDEX(VarEnd,MATCH($A397,VarKey,0))&amp;K$5</f>
        <v/>
      </c>
      <c r="L397" s="40">
        <f>(L345+L371)*$D397</f>
        <v/>
      </c>
      <c r="M397" s="35">
        <f>(M345+M371)*$D397</f>
        <v/>
      </c>
      <c r="N397" s="35">
        <f>(N345+N371)*$D397</f>
        <v/>
      </c>
      <c r="O397" s="35">
        <f>(O345+O371)*$D397</f>
        <v/>
      </c>
      <c r="P397" s="35">
        <f>(P345+P371)*$D397</f>
        <v/>
      </c>
      <c r="Q397" s="35">
        <f>(Q345+Q371)*$D397</f>
        <v/>
      </c>
      <c r="R397" s="35">
        <f>(R345+R371)*$D397</f>
        <v/>
      </c>
      <c r="S397" s="35">
        <f>(S345+S371)*$D397</f>
        <v/>
      </c>
      <c r="T397" s="35">
        <f>(T345+T371)*$D397</f>
        <v/>
      </c>
      <c r="U397" s="35">
        <f>(U345+U371)*$D397</f>
        <v/>
      </c>
      <c r="V397" s="35">
        <f>(V345+V371)*$D397</f>
        <v/>
      </c>
      <c r="W397" s="35">
        <f>(W345+W371)*$D397</f>
        <v/>
      </c>
      <c r="X397" s="35">
        <f>(X345+X371)*$D397</f>
        <v/>
      </c>
      <c r="Y397" s="35">
        <f>(Y345+Y371)*$D397</f>
        <v/>
      </c>
      <c r="Z397" s="35">
        <f>(Z345+Z371)*$D397</f>
        <v/>
      </c>
      <c r="AA397" s="35">
        <f>(AA345+AA371)*$D397</f>
        <v/>
      </c>
      <c r="AB397" s="35">
        <f>(AB345+AB371)*$D397</f>
        <v/>
      </c>
      <c r="AC397" s="35">
        <f>(AC345+AC371)*$D397</f>
        <v/>
      </c>
      <c r="AD397" s="35">
        <f>(AD345+AD371)*$D397</f>
        <v/>
      </c>
      <c r="AE397" s="42">
        <f>VATPAY(AE345,AE371,$D397)</f>
        <v/>
      </c>
      <c r="AG397" s="11">
        <f>CodePrefix&amp;$A397&amp;IF($C397="","","."&amp;$C397&amp;"."&amp;$B397)&amp;INDEX(VarEnd,MATCH($A397,VarKey,0))&amp;AG$5</f>
        <v/>
      </c>
      <c r="AH397" s="40">
        <f>(AH345+AH371)*$D397</f>
        <v/>
      </c>
      <c r="AI397" s="35">
        <f>(AI345+AI371)*$D397</f>
        <v/>
      </c>
      <c r="AJ397" s="35">
        <f>(AJ345+AJ371)*$D397</f>
        <v/>
      </c>
      <c r="AK397" s="35">
        <f>(AK345+AK371)*$D397</f>
        <v/>
      </c>
      <c r="AL397" s="35">
        <f>(AL345+AL371)*$D397</f>
        <v/>
      </c>
      <c r="AM397" s="35">
        <f>(AM345+AM371)*$D397</f>
        <v/>
      </c>
      <c r="AN397" s="35">
        <f>(AN345+AN371)*$D397</f>
        <v/>
      </c>
      <c r="AO397" s="35">
        <f>(AO345+AO371)*$D397</f>
        <v/>
      </c>
      <c r="AP397" s="35">
        <f>(AP345+AP371)*$D397</f>
        <v/>
      </c>
      <c r="AQ397" s="35">
        <f>(AQ345+AQ371)*$D397</f>
        <v/>
      </c>
      <c r="AR397" s="35">
        <f>(AR345+AR371)*$D397</f>
        <v/>
      </c>
      <c r="AS397" s="35">
        <f>(AS345+AS371)*$D397</f>
        <v/>
      </c>
      <c r="AT397" s="35">
        <f>(AT345+AT371)*$D397</f>
        <v/>
      </c>
      <c r="AU397" s="35">
        <f>(AU345+AU371)*$D397</f>
        <v/>
      </c>
      <c r="AV397" s="35">
        <f>(AV345+AV371)*$D397</f>
        <v/>
      </c>
      <c r="AW397" s="35">
        <f>(AW345+AW371)*$D397</f>
        <v/>
      </c>
      <c r="AX397" s="35">
        <f>(AX345+AX371)*$D397</f>
        <v/>
      </c>
      <c r="AY397" s="35">
        <f>(AY345+AY371)*$D397</f>
        <v/>
      </c>
      <c r="AZ397" s="35">
        <f>(AZ345+AZ371)*$D397</f>
        <v/>
      </c>
      <c r="BA397" s="42">
        <f>VATPAY(BA345,BA371,$D397)</f>
        <v/>
      </c>
    </row>
    <row r="398" hidden="1" outlineLevel="1">
      <c r="A398" s="14" t="inlineStr">
        <is>
          <t>vat</t>
        </is>
      </c>
      <c r="B398" s="14" t="inlineStr">
        <is>
          <t>nga</t>
        </is>
      </c>
      <c r="C398" s="14" t="inlineStr">
        <is>
          <t>res</t>
        </is>
      </c>
      <c r="D398" s="35">
        <f>INDEX(Inputs_prices!$R$7:$R$18,MATCH($B398&amp;"."&amp;$C398,Inputs_prices!$A$7:$A$18,0))</f>
        <v/>
      </c>
      <c r="E398" s="39" t="n"/>
      <c r="F398" s="39" t="n"/>
      <c r="G398" s="39" t="n"/>
      <c r="H398" s="14">
        <f>INDEX(VarLab,MATCH($A398,VarKey,0))&amp;INDEX(MemLab,MATCH($C398&amp;"|"&amp;$B398,MemKey,0))</f>
        <v/>
      </c>
      <c r="I398" s="14">
        <f>INDEX(VarUnit,MATCH($A398,VarKey,0))</f>
        <v/>
      </c>
      <c r="J398" s="14">
        <f>INDEX(VarSrc,MATCH($A398,VarKey,0))</f>
        <v/>
      </c>
      <c r="K398" s="11">
        <f>CodePrefix&amp;$A398&amp;IF($C398="","","."&amp;$C398&amp;"."&amp;$B398)&amp;INDEX(VarEnd,MATCH($A398,VarKey,0))&amp;K$5</f>
        <v/>
      </c>
      <c r="L398" s="40">
        <f>(L346+L372)*$D398</f>
        <v/>
      </c>
      <c r="M398" s="35">
        <f>(M346+M372)*$D398</f>
        <v/>
      </c>
      <c r="N398" s="35">
        <f>(N346+N372)*$D398</f>
        <v/>
      </c>
      <c r="O398" s="35">
        <f>(O346+O372)*$D398</f>
        <v/>
      </c>
      <c r="P398" s="35">
        <f>(P346+P372)*$D398</f>
        <v/>
      </c>
      <c r="Q398" s="35">
        <f>(Q346+Q372)*$D398</f>
        <v/>
      </c>
      <c r="R398" s="35">
        <f>(R346+R372)*$D398</f>
        <v/>
      </c>
      <c r="S398" s="35">
        <f>(S346+S372)*$D398</f>
        <v/>
      </c>
      <c r="T398" s="35">
        <f>(T346+T372)*$D398</f>
        <v/>
      </c>
      <c r="U398" s="35">
        <f>(U346+U372)*$D398</f>
        <v/>
      </c>
      <c r="V398" s="35">
        <f>(V346+V372)*$D398</f>
        <v/>
      </c>
      <c r="W398" s="35">
        <f>(W346+W372)*$D398</f>
        <v/>
      </c>
      <c r="X398" s="35">
        <f>(X346+X372)*$D398</f>
        <v/>
      </c>
      <c r="Y398" s="35">
        <f>(Y346+Y372)*$D398</f>
        <v/>
      </c>
      <c r="Z398" s="35">
        <f>(Z346+Z372)*$D398</f>
        <v/>
      </c>
      <c r="AA398" s="35">
        <f>(AA346+AA372)*$D398</f>
        <v/>
      </c>
      <c r="AB398" s="35">
        <f>(AB346+AB372)*$D398</f>
        <v/>
      </c>
      <c r="AC398" s="35">
        <f>(AC346+AC372)*$D398</f>
        <v/>
      </c>
      <c r="AD398" s="35">
        <f>(AD346+AD372)*$D398</f>
        <v/>
      </c>
      <c r="AE398" s="42">
        <f>VATPAY(AE346,AE372,$D398)</f>
        <v/>
      </c>
      <c r="AG398" s="11">
        <f>CodePrefix&amp;$A398&amp;IF($C398="","","."&amp;$C398&amp;"."&amp;$B398)&amp;INDEX(VarEnd,MATCH($A398,VarKey,0))&amp;AG$5</f>
        <v/>
      </c>
      <c r="AH398" s="40">
        <f>(AH346+AH372)*$D398</f>
        <v/>
      </c>
      <c r="AI398" s="35">
        <f>(AI346+AI372)*$D398</f>
        <v/>
      </c>
      <c r="AJ398" s="35">
        <f>(AJ346+AJ372)*$D398</f>
        <v/>
      </c>
      <c r="AK398" s="35">
        <f>(AK346+AK372)*$D398</f>
        <v/>
      </c>
      <c r="AL398" s="35">
        <f>(AL346+AL372)*$D398</f>
        <v/>
      </c>
      <c r="AM398" s="35">
        <f>(AM346+AM372)*$D398</f>
        <v/>
      </c>
      <c r="AN398" s="35">
        <f>(AN346+AN372)*$D398</f>
        <v/>
      </c>
      <c r="AO398" s="35">
        <f>(AO346+AO372)*$D398</f>
        <v/>
      </c>
      <c r="AP398" s="35">
        <f>(AP346+AP372)*$D398</f>
        <v/>
      </c>
      <c r="AQ398" s="35">
        <f>(AQ346+AQ372)*$D398</f>
        <v/>
      </c>
      <c r="AR398" s="35">
        <f>(AR346+AR372)*$D398</f>
        <v/>
      </c>
      <c r="AS398" s="35">
        <f>(AS346+AS372)*$D398</f>
        <v/>
      </c>
      <c r="AT398" s="35">
        <f>(AT346+AT372)*$D398</f>
        <v/>
      </c>
      <c r="AU398" s="35">
        <f>(AU346+AU372)*$D398</f>
        <v/>
      </c>
      <c r="AV398" s="35">
        <f>(AV346+AV372)*$D398</f>
        <v/>
      </c>
      <c r="AW398" s="35">
        <f>(AW346+AW372)*$D398</f>
        <v/>
      </c>
      <c r="AX398" s="35">
        <f>(AX346+AX372)*$D398</f>
        <v/>
      </c>
      <c r="AY398" s="35">
        <f>(AY346+AY372)*$D398</f>
        <v/>
      </c>
      <c r="AZ398" s="35">
        <f>(AZ346+AZ372)*$D398</f>
        <v/>
      </c>
      <c r="BA398" s="42">
        <f>VATPAY(BA346,BA372,$D398)</f>
        <v/>
      </c>
    </row>
    <row r="399" hidden="1" outlineLevel="1">
      <c r="A399" s="14" t="inlineStr">
        <is>
          <t>vat</t>
        </is>
      </c>
      <c r="B399" s="14" t="inlineStr">
        <is>
          <t>nga</t>
        </is>
      </c>
      <c r="C399" s="14" t="inlineStr">
        <is>
          <t>ind</t>
        </is>
      </c>
      <c r="D399" s="35">
        <f>INDEX(Inputs_prices!$R$7:$R$18,MATCH($B399&amp;"."&amp;$C399,Inputs_prices!$A$7:$A$18,0))</f>
        <v/>
      </c>
      <c r="E399" s="39" t="n"/>
      <c r="F399" s="39" t="n"/>
      <c r="G399" s="39" t="n"/>
      <c r="H399" s="14">
        <f>INDEX(VarLab,MATCH($A399,VarKey,0))&amp;INDEX(MemLab,MATCH($C399&amp;"|"&amp;$B399,MemKey,0))</f>
        <v/>
      </c>
      <c r="I399" s="14">
        <f>INDEX(VarUnit,MATCH($A399,VarKey,0))</f>
        <v/>
      </c>
      <c r="J399" s="14">
        <f>INDEX(VarSrc,MATCH($A399,VarKey,0))</f>
        <v/>
      </c>
      <c r="K399" s="11">
        <f>CodePrefix&amp;$A399&amp;IF($C399="","","."&amp;$C399&amp;"."&amp;$B399)&amp;INDEX(VarEnd,MATCH($A399,VarKey,0))&amp;K$5</f>
        <v/>
      </c>
      <c r="L399" s="40">
        <f>(L347+L373)*$D399</f>
        <v/>
      </c>
      <c r="M399" s="35">
        <f>(M347+M373)*$D399</f>
        <v/>
      </c>
      <c r="N399" s="35">
        <f>(N347+N373)*$D399</f>
        <v/>
      </c>
      <c r="O399" s="35">
        <f>(O347+O373)*$D399</f>
        <v/>
      </c>
      <c r="P399" s="35">
        <f>(P347+P373)*$D399</f>
        <v/>
      </c>
      <c r="Q399" s="35">
        <f>(Q347+Q373)*$D399</f>
        <v/>
      </c>
      <c r="R399" s="35">
        <f>(R347+R373)*$D399</f>
        <v/>
      </c>
      <c r="S399" s="35">
        <f>(S347+S373)*$D399</f>
        <v/>
      </c>
      <c r="T399" s="35">
        <f>(T347+T373)*$D399</f>
        <v/>
      </c>
      <c r="U399" s="35">
        <f>(U347+U373)*$D399</f>
        <v/>
      </c>
      <c r="V399" s="35">
        <f>(V347+V373)*$D399</f>
        <v/>
      </c>
      <c r="W399" s="35">
        <f>(W347+W373)*$D399</f>
        <v/>
      </c>
      <c r="X399" s="35">
        <f>(X347+X373)*$D399</f>
        <v/>
      </c>
      <c r="Y399" s="35">
        <f>(Y347+Y373)*$D399</f>
        <v/>
      </c>
      <c r="Z399" s="35">
        <f>(Z347+Z373)*$D399</f>
        <v/>
      </c>
      <c r="AA399" s="35">
        <f>(AA347+AA373)*$D399</f>
        <v/>
      </c>
      <c r="AB399" s="35">
        <f>(AB347+AB373)*$D399</f>
        <v/>
      </c>
      <c r="AC399" s="35">
        <f>(AC347+AC373)*$D399</f>
        <v/>
      </c>
      <c r="AD399" s="35">
        <f>(AD347+AD373)*$D399</f>
        <v/>
      </c>
      <c r="AE399" s="42">
        <f>VATPAY(AE347,AE373,$D399)</f>
        <v/>
      </c>
      <c r="AG399" s="11">
        <f>CodePrefix&amp;$A399&amp;IF($C399="","","."&amp;$C399&amp;"."&amp;$B399)&amp;INDEX(VarEnd,MATCH($A399,VarKey,0))&amp;AG$5</f>
        <v/>
      </c>
      <c r="AH399" s="40">
        <f>(AH347+AH373)*$D399</f>
        <v/>
      </c>
      <c r="AI399" s="35">
        <f>(AI347+AI373)*$D399</f>
        <v/>
      </c>
      <c r="AJ399" s="35">
        <f>(AJ347+AJ373)*$D399</f>
        <v/>
      </c>
      <c r="AK399" s="35">
        <f>(AK347+AK373)*$D399</f>
        <v/>
      </c>
      <c r="AL399" s="35">
        <f>(AL347+AL373)*$D399</f>
        <v/>
      </c>
      <c r="AM399" s="35">
        <f>(AM347+AM373)*$D399</f>
        <v/>
      </c>
      <c r="AN399" s="35">
        <f>(AN347+AN373)*$D399</f>
        <v/>
      </c>
      <c r="AO399" s="35">
        <f>(AO347+AO373)*$D399</f>
        <v/>
      </c>
      <c r="AP399" s="35">
        <f>(AP347+AP373)*$D399</f>
        <v/>
      </c>
      <c r="AQ399" s="35">
        <f>(AQ347+AQ373)*$D399</f>
        <v/>
      </c>
      <c r="AR399" s="35">
        <f>(AR347+AR373)*$D399</f>
        <v/>
      </c>
      <c r="AS399" s="35">
        <f>(AS347+AS373)*$D399</f>
        <v/>
      </c>
      <c r="AT399" s="35">
        <f>(AT347+AT373)*$D399</f>
        <v/>
      </c>
      <c r="AU399" s="35">
        <f>(AU347+AU373)*$D399</f>
        <v/>
      </c>
      <c r="AV399" s="35">
        <f>(AV347+AV373)*$D399</f>
        <v/>
      </c>
      <c r="AW399" s="35">
        <f>(AW347+AW373)*$D399</f>
        <v/>
      </c>
      <c r="AX399" s="35">
        <f>(AX347+AX373)*$D399</f>
        <v/>
      </c>
      <c r="AY399" s="35">
        <f>(AY347+AY373)*$D399</f>
        <v/>
      </c>
      <c r="AZ399" s="35">
        <f>(AZ347+AZ373)*$D399</f>
        <v/>
      </c>
      <c r="BA399" s="42">
        <f>VATPAY(BA347,BA373,$D399)</f>
        <v/>
      </c>
    </row>
    <row r="400" hidden="1" outlineLevel="1">
      <c r="A400" s="14" t="inlineStr">
        <is>
          <t>vat</t>
        </is>
      </c>
      <c r="B400" s="14" t="inlineStr">
        <is>
          <t>gso</t>
        </is>
      </c>
      <c r="C400" s="14" t="inlineStr">
        <is>
          <t>all</t>
        </is>
      </c>
      <c r="D400" s="35">
        <f>INDEX(Inputs_prices!$R$7:$R$18,MATCH($B400&amp;"."&amp;$C400,Inputs_prices!$A$7:$A$18,0))</f>
        <v/>
      </c>
      <c r="E400" s="39" t="n"/>
      <c r="F400" s="39" t="n"/>
      <c r="G400" s="39" t="n"/>
      <c r="H400" s="14">
        <f>INDEX(VarLab,MATCH($A400,VarKey,0))&amp;INDEX(MemLab,MATCH($C400&amp;"|"&amp;$B400,MemKey,0))</f>
        <v/>
      </c>
      <c r="I400" s="14">
        <f>INDEX(VarUnit,MATCH($A400,VarKey,0))</f>
        <v/>
      </c>
      <c r="J400" s="14">
        <f>INDEX(VarSrc,MATCH($A400,VarKey,0))</f>
        <v/>
      </c>
      <c r="K400" s="11">
        <f>CodePrefix&amp;$A400&amp;IF($C400="","","."&amp;$C400&amp;"."&amp;$B400)&amp;INDEX(VarEnd,MATCH($A400,VarKey,0))&amp;K$5</f>
        <v/>
      </c>
      <c r="L400" s="40">
        <f>(L348+L374)*$D400</f>
        <v/>
      </c>
      <c r="M400" s="35">
        <f>(M348+M374)*$D400</f>
        <v/>
      </c>
      <c r="N400" s="35">
        <f>(N348+N374)*$D400</f>
        <v/>
      </c>
      <c r="O400" s="35">
        <f>(O348+O374)*$D400</f>
        <v/>
      </c>
      <c r="P400" s="35">
        <f>(P348+P374)*$D400</f>
        <v/>
      </c>
      <c r="Q400" s="35">
        <f>(Q348+Q374)*$D400</f>
        <v/>
      </c>
      <c r="R400" s="35">
        <f>(R348+R374)*$D400</f>
        <v/>
      </c>
      <c r="S400" s="35">
        <f>(S348+S374)*$D400</f>
        <v/>
      </c>
      <c r="T400" s="35">
        <f>(T348+T374)*$D400</f>
        <v/>
      </c>
      <c r="U400" s="35">
        <f>(U348+U374)*$D400</f>
        <v/>
      </c>
      <c r="V400" s="35">
        <f>(V348+V374)*$D400</f>
        <v/>
      </c>
      <c r="W400" s="35">
        <f>(W348+W374)*$D400</f>
        <v/>
      </c>
      <c r="X400" s="35">
        <f>(X348+X374)*$D400</f>
        <v/>
      </c>
      <c r="Y400" s="35">
        <f>(Y348+Y374)*$D400</f>
        <v/>
      </c>
      <c r="Z400" s="35">
        <f>(Z348+Z374)*$D400</f>
        <v/>
      </c>
      <c r="AA400" s="35">
        <f>(AA348+AA374)*$D400</f>
        <v/>
      </c>
      <c r="AB400" s="35">
        <f>(AB348+AB374)*$D400</f>
        <v/>
      </c>
      <c r="AC400" s="35">
        <f>(AC348+AC374)*$D400</f>
        <v/>
      </c>
      <c r="AD400" s="35">
        <f>(AD348+AD374)*$D400</f>
        <v/>
      </c>
      <c r="AE400" s="42">
        <f>VATPAY(AE348,AE374,$D400)</f>
        <v/>
      </c>
      <c r="AG400" s="11">
        <f>CodePrefix&amp;$A400&amp;IF($C400="","","."&amp;$C400&amp;"."&amp;$B400)&amp;INDEX(VarEnd,MATCH($A400,VarKey,0))&amp;AG$5</f>
        <v/>
      </c>
      <c r="AH400" s="40">
        <f>(AH348+AH374)*$D400</f>
        <v/>
      </c>
      <c r="AI400" s="35">
        <f>(AI348+AI374)*$D400</f>
        <v/>
      </c>
      <c r="AJ400" s="35">
        <f>(AJ348+AJ374)*$D400</f>
        <v/>
      </c>
      <c r="AK400" s="35">
        <f>(AK348+AK374)*$D400</f>
        <v/>
      </c>
      <c r="AL400" s="35">
        <f>(AL348+AL374)*$D400</f>
        <v/>
      </c>
      <c r="AM400" s="35">
        <f>(AM348+AM374)*$D400</f>
        <v/>
      </c>
      <c r="AN400" s="35">
        <f>(AN348+AN374)*$D400</f>
        <v/>
      </c>
      <c r="AO400" s="35">
        <f>(AO348+AO374)*$D400</f>
        <v/>
      </c>
      <c r="AP400" s="35">
        <f>(AP348+AP374)*$D400</f>
        <v/>
      </c>
      <c r="AQ400" s="35">
        <f>(AQ348+AQ374)*$D400</f>
        <v/>
      </c>
      <c r="AR400" s="35">
        <f>(AR348+AR374)*$D400</f>
        <v/>
      </c>
      <c r="AS400" s="35">
        <f>(AS348+AS374)*$D400</f>
        <v/>
      </c>
      <c r="AT400" s="35">
        <f>(AT348+AT374)*$D400</f>
        <v/>
      </c>
      <c r="AU400" s="35">
        <f>(AU348+AU374)*$D400</f>
        <v/>
      </c>
      <c r="AV400" s="35">
        <f>(AV348+AV374)*$D400</f>
        <v/>
      </c>
      <c r="AW400" s="35">
        <f>(AW348+AW374)*$D400</f>
        <v/>
      </c>
      <c r="AX400" s="35">
        <f>(AX348+AX374)*$D400</f>
        <v/>
      </c>
      <c r="AY400" s="35">
        <f>(AY348+AY374)*$D400</f>
        <v/>
      </c>
      <c r="AZ400" s="35">
        <f>(AZ348+AZ374)*$D400</f>
        <v/>
      </c>
      <c r="BA400" s="42">
        <f>VATPAY(BA348,BA374,$D400)</f>
        <v/>
      </c>
    </row>
    <row r="401" hidden="1" outlineLevel="1">
      <c r="A401" s="14" t="inlineStr">
        <is>
          <t>vat</t>
        </is>
      </c>
      <c r="B401" s="14" t="inlineStr">
        <is>
          <t>die</t>
        </is>
      </c>
      <c r="C401" s="14" t="inlineStr">
        <is>
          <t>all</t>
        </is>
      </c>
      <c r="D401" s="35">
        <f>INDEX(Inputs_prices!$R$7:$R$18,MATCH($B401&amp;"."&amp;$C401,Inputs_prices!$A$7:$A$18,0))</f>
        <v/>
      </c>
      <c r="E401" s="39" t="n"/>
      <c r="F401" s="39" t="n"/>
      <c r="G401" s="39" t="n"/>
      <c r="H401" s="14">
        <f>INDEX(VarLab,MATCH($A401,VarKey,0))&amp;INDEX(MemLab,MATCH($C401&amp;"|"&amp;$B401,MemKey,0))</f>
        <v/>
      </c>
      <c r="I401" s="14">
        <f>INDEX(VarUnit,MATCH($A401,VarKey,0))</f>
        <v/>
      </c>
      <c r="J401" s="14">
        <f>INDEX(VarSrc,MATCH($A401,VarKey,0))</f>
        <v/>
      </c>
      <c r="K401" s="11">
        <f>CodePrefix&amp;$A401&amp;IF($C401="","","."&amp;$C401&amp;"."&amp;$B401)&amp;INDEX(VarEnd,MATCH($A401,VarKey,0))&amp;K$5</f>
        <v/>
      </c>
      <c r="L401" s="40">
        <f>(L349+L375)*$D401</f>
        <v/>
      </c>
      <c r="M401" s="35">
        <f>(M349+M375)*$D401</f>
        <v/>
      </c>
      <c r="N401" s="35">
        <f>(N349+N375)*$D401</f>
        <v/>
      </c>
      <c r="O401" s="35">
        <f>(O349+O375)*$D401</f>
        <v/>
      </c>
      <c r="P401" s="35">
        <f>(P349+P375)*$D401</f>
        <v/>
      </c>
      <c r="Q401" s="35">
        <f>(Q349+Q375)*$D401</f>
        <v/>
      </c>
      <c r="R401" s="35">
        <f>(R349+R375)*$D401</f>
        <v/>
      </c>
      <c r="S401" s="35">
        <f>(S349+S375)*$D401</f>
        <v/>
      </c>
      <c r="T401" s="35">
        <f>(T349+T375)*$D401</f>
        <v/>
      </c>
      <c r="U401" s="35">
        <f>(U349+U375)*$D401</f>
        <v/>
      </c>
      <c r="V401" s="35">
        <f>(V349+V375)*$D401</f>
        <v/>
      </c>
      <c r="W401" s="35">
        <f>(W349+W375)*$D401</f>
        <v/>
      </c>
      <c r="X401" s="35">
        <f>(X349+X375)*$D401</f>
        <v/>
      </c>
      <c r="Y401" s="35">
        <f>(Y349+Y375)*$D401</f>
        <v/>
      </c>
      <c r="Z401" s="35">
        <f>(Z349+Z375)*$D401</f>
        <v/>
      </c>
      <c r="AA401" s="35">
        <f>(AA349+AA375)*$D401</f>
        <v/>
      </c>
      <c r="AB401" s="35">
        <f>(AB349+AB375)*$D401</f>
        <v/>
      </c>
      <c r="AC401" s="35">
        <f>(AC349+AC375)*$D401</f>
        <v/>
      </c>
      <c r="AD401" s="35">
        <f>(AD349+AD375)*$D401</f>
        <v/>
      </c>
      <c r="AE401" s="42">
        <f>VATPAY(AE349,AE375,$D401)</f>
        <v/>
      </c>
      <c r="AG401" s="11">
        <f>CodePrefix&amp;$A401&amp;IF($C401="","","."&amp;$C401&amp;"."&amp;$B401)&amp;INDEX(VarEnd,MATCH($A401,VarKey,0))&amp;AG$5</f>
        <v/>
      </c>
      <c r="AH401" s="40">
        <f>(AH349+AH375)*$D401</f>
        <v/>
      </c>
      <c r="AI401" s="35">
        <f>(AI349+AI375)*$D401</f>
        <v/>
      </c>
      <c r="AJ401" s="35">
        <f>(AJ349+AJ375)*$D401</f>
        <v/>
      </c>
      <c r="AK401" s="35">
        <f>(AK349+AK375)*$D401</f>
        <v/>
      </c>
      <c r="AL401" s="35">
        <f>(AL349+AL375)*$D401</f>
        <v/>
      </c>
      <c r="AM401" s="35">
        <f>(AM349+AM375)*$D401</f>
        <v/>
      </c>
      <c r="AN401" s="35">
        <f>(AN349+AN375)*$D401</f>
        <v/>
      </c>
      <c r="AO401" s="35">
        <f>(AO349+AO375)*$D401</f>
        <v/>
      </c>
      <c r="AP401" s="35">
        <f>(AP349+AP375)*$D401</f>
        <v/>
      </c>
      <c r="AQ401" s="35">
        <f>(AQ349+AQ375)*$D401</f>
        <v/>
      </c>
      <c r="AR401" s="35">
        <f>(AR349+AR375)*$D401</f>
        <v/>
      </c>
      <c r="AS401" s="35">
        <f>(AS349+AS375)*$D401</f>
        <v/>
      </c>
      <c r="AT401" s="35">
        <f>(AT349+AT375)*$D401</f>
        <v/>
      </c>
      <c r="AU401" s="35">
        <f>(AU349+AU375)*$D401</f>
        <v/>
      </c>
      <c r="AV401" s="35">
        <f>(AV349+AV375)*$D401</f>
        <v/>
      </c>
      <c r="AW401" s="35">
        <f>(AW349+AW375)*$D401</f>
        <v/>
      </c>
      <c r="AX401" s="35">
        <f>(AX349+AX375)*$D401</f>
        <v/>
      </c>
      <c r="AY401" s="35">
        <f>(AY349+AY375)*$D401</f>
        <v/>
      </c>
      <c r="AZ401" s="35">
        <f>(AZ349+AZ375)*$D401</f>
        <v/>
      </c>
      <c r="BA401" s="42">
        <f>VATPAY(BA349,BA375,$D401)</f>
        <v/>
      </c>
    </row>
    <row r="402" hidden="1" outlineLevel="1">
      <c r="A402" s="14" t="inlineStr">
        <is>
          <t>vat</t>
        </is>
      </c>
      <c r="B402" s="14" t="inlineStr">
        <is>
          <t>lpg</t>
        </is>
      </c>
      <c r="C402" s="14" t="inlineStr">
        <is>
          <t>all</t>
        </is>
      </c>
      <c r="D402" s="35">
        <f>INDEX(Inputs_prices!$R$7:$R$18,MATCH($B402&amp;"."&amp;$C402,Inputs_prices!$A$7:$A$18,0))</f>
        <v/>
      </c>
      <c r="E402" s="39" t="n"/>
      <c r="F402" s="39" t="n"/>
      <c r="G402" s="39" t="n"/>
      <c r="H402" s="14">
        <f>INDEX(VarLab,MATCH($A402,VarKey,0))&amp;INDEX(MemLab,MATCH($C402&amp;"|"&amp;$B402,MemKey,0))</f>
        <v/>
      </c>
      <c r="I402" s="14">
        <f>INDEX(VarUnit,MATCH($A402,VarKey,0))</f>
        <v/>
      </c>
      <c r="J402" s="14">
        <f>INDEX(VarSrc,MATCH($A402,VarKey,0))</f>
        <v/>
      </c>
      <c r="K402" s="11">
        <f>CodePrefix&amp;$A402&amp;IF($C402="","","."&amp;$C402&amp;"."&amp;$B402)&amp;INDEX(VarEnd,MATCH($A402,VarKey,0))&amp;K$5</f>
        <v/>
      </c>
      <c r="L402" s="40">
        <f>(L350+L376)*$D402</f>
        <v/>
      </c>
      <c r="M402" s="35">
        <f>(M350+M376)*$D402</f>
        <v/>
      </c>
      <c r="N402" s="35">
        <f>(N350+N376)*$D402</f>
        <v/>
      </c>
      <c r="O402" s="35">
        <f>(O350+O376)*$D402</f>
        <v/>
      </c>
      <c r="P402" s="35">
        <f>(P350+P376)*$D402</f>
        <v/>
      </c>
      <c r="Q402" s="35">
        <f>(Q350+Q376)*$D402</f>
        <v/>
      </c>
      <c r="R402" s="35">
        <f>(R350+R376)*$D402</f>
        <v/>
      </c>
      <c r="S402" s="35">
        <f>(S350+S376)*$D402</f>
        <v/>
      </c>
      <c r="T402" s="35">
        <f>(T350+T376)*$D402</f>
        <v/>
      </c>
      <c r="U402" s="35">
        <f>(U350+U376)*$D402</f>
        <v/>
      </c>
      <c r="V402" s="35">
        <f>(V350+V376)*$D402</f>
        <v/>
      </c>
      <c r="W402" s="35">
        <f>(W350+W376)*$D402</f>
        <v/>
      </c>
      <c r="X402" s="35">
        <f>(X350+X376)*$D402</f>
        <v/>
      </c>
      <c r="Y402" s="35">
        <f>(Y350+Y376)*$D402</f>
        <v/>
      </c>
      <c r="Z402" s="35">
        <f>(Z350+Z376)*$D402</f>
        <v/>
      </c>
      <c r="AA402" s="35">
        <f>(AA350+AA376)*$D402</f>
        <v/>
      </c>
      <c r="AB402" s="35">
        <f>(AB350+AB376)*$D402</f>
        <v/>
      </c>
      <c r="AC402" s="35">
        <f>(AC350+AC376)*$D402</f>
        <v/>
      </c>
      <c r="AD402" s="35">
        <f>(AD350+AD376)*$D402</f>
        <v/>
      </c>
      <c r="AE402" s="42">
        <f>VATPAY(AE350,AE376,$D402)</f>
        <v/>
      </c>
      <c r="AG402" s="11">
        <f>CodePrefix&amp;$A402&amp;IF($C402="","","."&amp;$C402&amp;"."&amp;$B402)&amp;INDEX(VarEnd,MATCH($A402,VarKey,0))&amp;AG$5</f>
        <v/>
      </c>
      <c r="AH402" s="40">
        <f>(AH350+AH376)*$D402</f>
        <v/>
      </c>
      <c r="AI402" s="35">
        <f>(AI350+AI376)*$D402</f>
        <v/>
      </c>
      <c r="AJ402" s="35">
        <f>(AJ350+AJ376)*$D402</f>
        <v/>
      </c>
      <c r="AK402" s="35">
        <f>(AK350+AK376)*$D402</f>
        <v/>
      </c>
      <c r="AL402" s="35">
        <f>(AL350+AL376)*$D402</f>
        <v/>
      </c>
      <c r="AM402" s="35">
        <f>(AM350+AM376)*$D402</f>
        <v/>
      </c>
      <c r="AN402" s="35">
        <f>(AN350+AN376)*$D402</f>
        <v/>
      </c>
      <c r="AO402" s="35">
        <f>(AO350+AO376)*$D402</f>
        <v/>
      </c>
      <c r="AP402" s="35">
        <f>(AP350+AP376)*$D402</f>
        <v/>
      </c>
      <c r="AQ402" s="35">
        <f>(AQ350+AQ376)*$D402</f>
        <v/>
      </c>
      <c r="AR402" s="35">
        <f>(AR350+AR376)*$D402</f>
        <v/>
      </c>
      <c r="AS402" s="35">
        <f>(AS350+AS376)*$D402</f>
        <v/>
      </c>
      <c r="AT402" s="35">
        <f>(AT350+AT376)*$D402</f>
        <v/>
      </c>
      <c r="AU402" s="35">
        <f>(AU350+AU376)*$D402</f>
        <v/>
      </c>
      <c r="AV402" s="35">
        <f>(AV350+AV376)*$D402</f>
        <v/>
      </c>
      <c r="AW402" s="35">
        <f>(AW350+AW376)*$D402</f>
        <v/>
      </c>
      <c r="AX402" s="35">
        <f>(AX350+AX376)*$D402</f>
        <v/>
      </c>
      <c r="AY402" s="35">
        <f>(AY350+AY376)*$D402</f>
        <v/>
      </c>
      <c r="AZ402" s="35">
        <f>(AZ350+AZ376)*$D402</f>
        <v/>
      </c>
      <c r="BA402" s="42">
        <f>VATPAY(BA350,BA376,$D402)</f>
        <v/>
      </c>
    </row>
    <row r="403" hidden="1" outlineLevel="1">
      <c r="A403" s="14" t="inlineStr">
        <is>
          <t>vat</t>
        </is>
      </c>
      <c r="B403" s="14" t="inlineStr">
        <is>
          <t>ker</t>
        </is>
      </c>
      <c r="C403" s="14" t="inlineStr">
        <is>
          <t>all</t>
        </is>
      </c>
      <c r="D403" s="35">
        <f>INDEX(Inputs_prices!$R$7:$R$18,MATCH($B403&amp;"."&amp;$C403,Inputs_prices!$A$7:$A$18,0))</f>
        <v/>
      </c>
      <c r="E403" s="39" t="n"/>
      <c r="F403" s="39" t="n"/>
      <c r="G403" s="39" t="n"/>
      <c r="H403" s="14">
        <f>INDEX(VarLab,MATCH($A403,VarKey,0))&amp;INDEX(MemLab,MATCH($C403&amp;"|"&amp;$B403,MemKey,0))</f>
        <v/>
      </c>
      <c r="I403" s="14">
        <f>INDEX(VarUnit,MATCH($A403,VarKey,0))</f>
        <v/>
      </c>
      <c r="J403" s="14">
        <f>INDEX(VarSrc,MATCH($A403,VarKey,0))</f>
        <v/>
      </c>
      <c r="K403" s="11">
        <f>CodePrefix&amp;$A403&amp;IF($C403="","","."&amp;$C403&amp;"."&amp;$B403)&amp;INDEX(VarEnd,MATCH($A403,VarKey,0))&amp;K$5</f>
        <v/>
      </c>
      <c r="L403" s="40">
        <f>(L351+L377)*$D403</f>
        <v/>
      </c>
      <c r="M403" s="35">
        <f>(M351+M377)*$D403</f>
        <v/>
      </c>
      <c r="N403" s="35">
        <f>(N351+N377)*$D403</f>
        <v/>
      </c>
      <c r="O403" s="35">
        <f>(O351+O377)*$D403</f>
        <v/>
      </c>
      <c r="P403" s="35">
        <f>(P351+P377)*$D403</f>
        <v/>
      </c>
      <c r="Q403" s="35">
        <f>(Q351+Q377)*$D403</f>
        <v/>
      </c>
      <c r="R403" s="35">
        <f>(R351+R377)*$D403</f>
        <v/>
      </c>
      <c r="S403" s="35">
        <f>(S351+S377)*$D403</f>
        <v/>
      </c>
      <c r="T403" s="35">
        <f>(T351+T377)*$D403</f>
        <v/>
      </c>
      <c r="U403" s="35">
        <f>(U351+U377)*$D403</f>
        <v/>
      </c>
      <c r="V403" s="35">
        <f>(V351+V377)*$D403</f>
        <v/>
      </c>
      <c r="W403" s="35">
        <f>(W351+W377)*$D403</f>
        <v/>
      </c>
      <c r="X403" s="35">
        <f>(X351+X377)*$D403</f>
        <v/>
      </c>
      <c r="Y403" s="35">
        <f>(Y351+Y377)*$D403</f>
        <v/>
      </c>
      <c r="Z403" s="35">
        <f>(Z351+Z377)*$D403</f>
        <v/>
      </c>
      <c r="AA403" s="35">
        <f>(AA351+AA377)*$D403</f>
        <v/>
      </c>
      <c r="AB403" s="35">
        <f>(AB351+AB377)*$D403</f>
        <v/>
      </c>
      <c r="AC403" s="35">
        <f>(AC351+AC377)*$D403</f>
        <v/>
      </c>
      <c r="AD403" s="35">
        <f>(AD351+AD377)*$D403</f>
        <v/>
      </c>
      <c r="AE403" s="42">
        <f>VATPAY(AE351,AE377,$D403)</f>
        <v/>
      </c>
      <c r="AG403" s="11">
        <f>CodePrefix&amp;$A403&amp;IF($C403="","","."&amp;$C403&amp;"."&amp;$B403)&amp;INDEX(VarEnd,MATCH($A403,VarKey,0))&amp;AG$5</f>
        <v/>
      </c>
      <c r="AH403" s="40">
        <f>(AH351+AH377)*$D403</f>
        <v/>
      </c>
      <c r="AI403" s="35">
        <f>(AI351+AI377)*$D403</f>
        <v/>
      </c>
      <c r="AJ403" s="35">
        <f>(AJ351+AJ377)*$D403</f>
        <v/>
      </c>
      <c r="AK403" s="35">
        <f>(AK351+AK377)*$D403</f>
        <v/>
      </c>
      <c r="AL403" s="35">
        <f>(AL351+AL377)*$D403</f>
        <v/>
      </c>
      <c r="AM403" s="35">
        <f>(AM351+AM377)*$D403</f>
        <v/>
      </c>
      <c r="AN403" s="35">
        <f>(AN351+AN377)*$D403</f>
        <v/>
      </c>
      <c r="AO403" s="35">
        <f>(AO351+AO377)*$D403</f>
        <v/>
      </c>
      <c r="AP403" s="35">
        <f>(AP351+AP377)*$D403</f>
        <v/>
      </c>
      <c r="AQ403" s="35">
        <f>(AQ351+AQ377)*$D403</f>
        <v/>
      </c>
      <c r="AR403" s="35">
        <f>(AR351+AR377)*$D403</f>
        <v/>
      </c>
      <c r="AS403" s="35">
        <f>(AS351+AS377)*$D403</f>
        <v/>
      </c>
      <c r="AT403" s="35">
        <f>(AT351+AT377)*$D403</f>
        <v/>
      </c>
      <c r="AU403" s="35">
        <f>(AU351+AU377)*$D403</f>
        <v/>
      </c>
      <c r="AV403" s="35">
        <f>(AV351+AV377)*$D403</f>
        <v/>
      </c>
      <c r="AW403" s="35">
        <f>(AW351+AW377)*$D403</f>
        <v/>
      </c>
      <c r="AX403" s="35">
        <f>(AX351+AX377)*$D403</f>
        <v/>
      </c>
      <c r="AY403" s="35">
        <f>(AY351+AY377)*$D403</f>
        <v/>
      </c>
      <c r="AZ403" s="35">
        <f>(AZ351+AZ377)*$D403</f>
        <v/>
      </c>
      <c r="BA403" s="42">
        <f>VATPAY(BA351,BA377,$D403)</f>
        <v/>
      </c>
    </row>
    <row r="404" hidden="1" outlineLevel="1">
      <c r="A404" s="14" t="inlineStr">
        <is>
          <t>vat</t>
        </is>
      </c>
      <c r="B404" s="14" t="inlineStr">
        <is>
          <t>oop</t>
        </is>
      </c>
      <c r="C404" s="14" t="inlineStr">
        <is>
          <t>all</t>
        </is>
      </c>
      <c r="D404" s="35">
        <f>INDEX(Inputs_prices!$R$7:$R$18,MATCH($B404&amp;"."&amp;$C404,Inputs_prices!$A$7:$A$18,0))</f>
        <v/>
      </c>
      <c r="E404" s="39" t="n"/>
      <c r="F404" s="39" t="n"/>
      <c r="G404" s="39" t="n"/>
      <c r="H404" s="14">
        <f>INDEX(VarLab,MATCH($A404,VarKey,0))&amp;INDEX(MemLab,MATCH($C404&amp;"|"&amp;$B404,MemKey,0))</f>
        <v/>
      </c>
      <c r="I404" s="14">
        <f>INDEX(VarUnit,MATCH($A404,VarKey,0))</f>
        <v/>
      </c>
      <c r="J404" s="14">
        <f>INDEX(VarSrc,MATCH($A404,VarKey,0))</f>
        <v/>
      </c>
      <c r="K404" s="11">
        <f>CodePrefix&amp;$A404&amp;IF($C404="","","."&amp;$C404&amp;"."&amp;$B404)&amp;INDEX(VarEnd,MATCH($A404,VarKey,0))&amp;K$5</f>
        <v/>
      </c>
      <c r="L404" s="40">
        <f>(L352+L378)*$D404</f>
        <v/>
      </c>
      <c r="M404" s="35">
        <f>(M352+M378)*$D404</f>
        <v/>
      </c>
      <c r="N404" s="35">
        <f>(N352+N378)*$D404</f>
        <v/>
      </c>
      <c r="O404" s="35">
        <f>(O352+O378)*$D404</f>
        <v/>
      </c>
      <c r="P404" s="35">
        <f>(P352+P378)*$D404</f>
        <v/>
      </c>
      <c r="Q404" s="35">
        <f>(Q352+Q378)*$D404</f>
        <v/>
      </c>
      <c r="R404" s="35">
        <f>(R352+R378)*$D404</f>
        <v/>
      </c>
      <c r="S404" s="35">
        <f>(S352+S378)*$D404</f>
        <v/>
      </c>
      <c r="T404" s="35">
        <f>(T352+T378)*$D404</f>
        <v/>
      </c>
      <c r="U404" s="35">
        <f>(U352+U378)*$D404</f>
        <v/>
      </c>
      <c r="V404" s="35">
        <f>(V352+V378)*$D404</f>
        <v/>
      </c>
      <c r="W404" s="35">
        <f>(W352+W378)*$D404</f>
        <v/>
      </c>
      <c r="X404" s="35">
        <f>(X352+X378)*$D404</f>
        <v/>
      </c>
      <c r="Y404" s="35">
        <f>(Y352+Y378)*$D404</f>
        <v/>
      </c>
      <c r="Z404" s="35">
        <f>(Z352+Z378)*$D404</f>
        <v/>
      </c>
      <c r="AA404" s="35">
        <f>(AA352+AA378)*$D404</f>
        <v/>
      </c>
      <c r="AB404" s="35">
        <f>(AB352+AB378)*$D404</f>
        <v/>
      </c>
      <c r="AC404" s="35">
        <f>(AC352+AC378)*$D404</f>
        <v/>
      </c>
      <c r="AD404" s="35">
        <f>(AD352+AD378)*$D404</f>
        <v/>
      </c>
      <c r="AE404" s="42">
        <f>VATPAY(AE352,AE378,$D404)</f>
        <v/>
      </c>
      <c r="AG404" s="11">
        <f>CodePrefix&amp;$A404&amp;IF($C404="","","."&amp;$C404&amp;"."&amp;$B404)&amp;INDEX(VarEnd,MATCH($A404,VarKey,0))&amp;AG$5</f>
        <v/>
      </c>
      <c r="AH404" s="40">
        <f>(AH352+AH378)*$D404</f>
        <v/>
      </c>
      <c r="AI404" s="35">
        <f>(AI352+AI378)*$D404</f>
        <v/>
      </c>
      <c r="AJ404" s="35">
        <f>(AJ352+AJ378)*$D404</f>
        <v/>
      </c>
      <c r="AK404" s="35">
        <f>(AK352+AK378)*$D404</f>
        <v/>
      </c>
      <c r="AL404" s="35">
        <f>(AL352+AL378)*$D404</f>
        <v/>
      </c>
      <c r="AM404" s="35">
        <f>(AM352+AM378)*$D404</f>
        <v/>
      </c>
      <c r="AN404" s="35">
        <f>(AN352+AN378)*$D404</f>
        <v/>
      </c>
      <c r="AO404" s="35">
        <f>(AO352+AO378)*$D404</f>
        <v/>
      </c>
      <c r="AP404" s="35">
        <f>(AP352+AP378)*$D404</f>
        <v/>
      </c>
      <c r="AQ404" s="35">
        <f>(AQ352+AQ378)*$D404</f>
        <v/>
      </c>
      <c r="AR404" s="35">
        <f>(AR352+AR378)*$D404</f>
        <v/>
      </c>
      <c r="AS404" s="35">
        <f>(AS352+AS378)*$D404</f>
        <v/>
      </c>
      <c r="AT404" s="35">
        <f>(AT352+AT378)*$D404</f>
        <v/>
      </c>
      <c r="AU404" s="35">
        <f>(AU352+AU378)*$D404</f>
        <v/>
      </c>
      <c r="AV404" s="35">
        <f>(AV352+AV378)*$D404</f>
        <v/>
      </c>
      <c r="AW404" s="35">
        <f>(AW352+AW378)*$D404</f>
        <v/>
      </c>
      <c r="AX404" s="35">
        <f>(AX352+AX378)*$D404</f>
        <v/>
      </c>
      <c r="AY404" s="35">
        <f>(AY352+AY378)*$D404</f>
        <v/>
      </c>
      <c r="AZ404" s="35">
        <f>(AZ352+AZ378)*$D404</f>
        <v/>
      </c>
      <c r="BA404" s="42">
        <f>VATPAY(BA352,BA378,$D404)</f>
        <v/>
      </c>
    </row>
    <row r="405" hidden="1" outlineLevel="1">
      <c r="A405" s="14" t="inlineStr">
        <is>
          <t>vat</t>
        </is>
      </c>
      <c r="B405" s="14" t="inlineStr">
        <is>
          <t>bio</t>
        </is>
      </c>
      <c r="C405" s="14" t="inlineStr">
        <is>
          <t>all</t>
        </is>
      </c>
      <c r="D405" s="35">
        <f>INDEX(Inputs_prices!$R$7:$R$18,MATCH($B405&amp;"."&amp;$C405,Inputs_prices!$A$7:$A$18,0))</f>
        <v/>
      </c>
      <c r="E405" s="39" t="n"/>
      <c r="F405" s="39" t="n"/>
      <c r="G405" s="39" t="n"/>
      <c r="H405" s="14">
        <f>INDEX(VarLab,MATCH($A405,VarKey,0))&amp;INDEX(MemLab,MATCH($C405&amp;"|"&amp;$B405,MemKey,0))</f>
        <v/>
      </c>
      <c r="I405" s="14">
        <f>INDEX(VarUnit,MATCH($A405,VarKey,0))</f>
        <v/>
      </c>
      <c r="J405" s="14">
        <f>INDEX(VarSrc,MATCH($A405,VarKey,0))</f>
        <v/>
      </c>
      <c r="K405" s="11">
        <f>CodePrefix&amp;$A405&amp;IF($C405="","","."&amp;$C405&amp;"."&amp;$B405)&amp;INDEX(VarEnd,MATCH($A405,VarKey,0))&amp;K$5</f>
        <v/>
      </c>
      <c r="L405" s="40">
        <f>(L353+L379)*$D405</f>
        <v/>
      </c>
      <c r="M405" s="35">
        <f>(M353+M379)*$D405</f>
        <v/>
      </c>
      <c r="N405" s="35">
        <f>(N353+N379)*$D405</f>
        <v/>
      </c>
      <c r="O405" s="35">
        <f>(O353+O379)*$D405</f>
        <v/>
      </c>
      <c r="P405" s="35">
        <f>(P353+P379)*$D405</f>
        <v/>
      </c>
      <c r="Q405" s="35">
        <f>(Q353+Q379)*$D405</f>
        <v/>
      </c>
      <c r="R405" s="35">
        <f>(R353+R379)*$D405</f>
        <v/>
      </c>
      <c r="S405" s="35">
        <f>(S353+S379)*$D405</f>
        <v/>
      </c>
      <c r="T405" s="35">
        <f>(T353+T379)*$D405</f>
        <v/>
      </c>
      <c r="U405" s="35">
        <f>(U353+U379)*$D405</f>
        <v/>
      </c>
      <c r="V405" s="35">
        <f>(V353+V379)*$D405</f>
        <v/>
      </c>
      <c r="W405" s="35">
        <f>(W353+W379)*$D405</f>
        <v/>
      </c>
      <c r="X405" s="35">
        <f>(X353+X379)*$D405</f>
        <v/>
      </c>
      <c r="Y405" s="35">
        <f>(Y353+Y379)*$D405</f>
        <v/>
      </c>
      <c r="Z405" s="35">
        <f>(Z353+Z379)*$D405</f>
        <v/>
      </c>
      <c r="AA405" s="35">
        <f>(AA353+AA379)*$D405</f>
        <v/>
      </c>
      <c r="AB405" s="35">
        <f>(AB353+AB379)*$D405</f>
        <v/>
      </c>
      <c r="AC405" s="35">
        <f>(AC353+AC379)*$D405</f>
        <v/>
      </c>
      <c r="AD405" s="35">
        <f>(AD353+AD379)*$D405</f>
        <v/>
      </c>
      <c r="AE405" s="42">
        <f>VATPAY(AE353,AE379,$D405)</f>
        <v/>
      </c>
      <c r="AG405" s="11">
        <f>CodePrefix&amp;$A405&amp;IF($C405="","","."&amp;$C405&amp;"."&amp;$B405)&amp;INDEX(VarEnd,MATCH($A405,VarKey,0))&amp;AG$5</f>
        <v/>
      </c>
      <c r="AH405" s="40">
        <f>(AH353+AH379)*$D405</f>
        <v/>
      </c>
      <c r="AI405" s="35">
        <f>(AI353+AI379)*$D405</f>
        <v/>
      </c>
      <c r="AJ405" s="35">
        <f>(AJ353+AJ379)*$D405</f>
        <v/>
      </c>
      <c r="AK405" s="35">
        <f>(AK353+AK379)*$D405</f>
        <v/>
      </c>
      <c r="AL405" s="35">
        <f>(AL353+AL379)*$D405</f>
        <v/>
      </c>
      <c r="AM405" s="35">
        <f>(AM353+AM379)*$D405</f>
        <v/>
      </c>
      <c r="AN405" s="35">
        <f>(AN353+AN379)*$D405</f>
        <v/>
      </c>
      <c r="AO405" s="35">
        <f>(AO353+AO379)*$D405</f>
        <v/>
      </c>
      <c r="AP405" s="35">
        <f>(AP353+AP379)*$D405</f>
        <v/>
      </c>
      <c r="AQ405" s="35">
        <f>(AQ353+AQ379)*$D405</f>
        <v/>
      </c>
      <c r="AR405" s="35">
        <f>(AR353+AR379)*$D405</f>
        <v/>
      </c>
      <c r="AS405" s="35">
        <f>(AS353+AS379)*$D405</f>
        <v/>
      </c>
      <c r="AT405" s="35">
        <f>(AT353+AT379)*$D405</f>
        <v/>
      </c>
      <c r="AU405" s="35">
        <f>(AU353+AU379)*$D405</f>
        <v/>
      </c>
      <c r="AV405" s="35">
        <f>(AV353+AV379)*$D405</f>
        <v/>
      </c>
      <c r="AW405" s="35">
        <f>(AW353+AW379)*$D405</f>
        <v/>
      </c>
      <c r="AX405" s="35">
        <f>(AX353+AX379)*$D405</f>
        <v/>
      </c>
      <c r="AY405" s="35">
        <f>(AY353+AY379)*$D405</f>
        <v/>
      </c>
      <c r="AZ405" s="35">
        <f>(AZ353+AZ379)*$D405</f>
        <v/>
      </c>
      <c r="BA405" s="42">
        <f>VATPAY(BA353,BA379,$D405)</f>
        <v/>
      </c>
    </row>
    <row r="406" hidden="1" outlineLevel="1"/>
    <row r="407" hidden="1" outlineLevel="1">
      <c r="A407" s="14" t="inlineStr">
        <is>
          <t>etx</t>
        </is>
      </c>
      <c r="B407" s="14" t="inlineStr">
        <is>
          <t>coa</t>
        </is>
      </c>
      <c r="C407" s="14" t="inlineStr">
        <is>
          <t>pow</t>
        </is>
      </c>
      <c r="D407" s="39" t="n"/>
      <c r="E407" s="39" t="n"/>
      <c r="F407" s="39" t="n"/>
      <c r="G407" s="39" t="n"/>
      <c r="H407" s="14">
        <f>INDEX(VarLab,MATCH($A407,VarKey,0))&amp;INDEX(MemLab,MATCH($C407&amp;"|"&amp;$B407,MemKey,0))</f>
        <v/>
      </c>
      <c r="I407" s="14">
        <f>INDEX(VarUnit,MATCH($A407,VarKey,0))</f>
        <v/>
      </c>
      <c r="J407" s="14">
        <f>INDEX(VarSrc,MATCH($A407,VarKey,0))</f>
        <v/>
      </c>
      <c r="K407" s="11">
        <f>CodePrefix&amp;$A407&amp;IF($C407="","","."&amp;$C407&amp;"."&amp;$B407)&amp;INDEX(VarEnd,MATCH($A407,VarKey,0))&amp;K$5</f>
        <v/>
      </c>
      <c r="L407" s="40">
        <f>MAX(L368,0)</f>
        <v/>
      </c>
      <c r="M407" s="35">
        <f>MAX(M368,0)</f>
        <v/>
      </c>
      <c r="N407" s="35">
        <f>MAX(N368,0)</f>
        <v/>
      </c>
      <c r="O407" s="35">
        <f>MAX(O368,0)</f>
        <v/>
      </c>
      <c r="P407" s="35">
        <f>MAX(P368,0)</f>
        <v/>
      </c>
      <c r="Q407" s="35">
        <f>MAX(Q368,0)</f>
        <v/>
      </c>
      <c r="R407" s="35">
        <f>MAX(R368,0)</f>
        <v/>
      </c>
      <c r="S407" s="35">
        <f>MAX(S368,0)</f>
        <v/>
      </c>
      <c r="T407" s="35">
        <f>MAX(T368,0)</f>
        <v/>
      </c>
      <c r="U407" s="35">
        <f>MAX(U368,0)</f>
        <v/>
      </c>
      <c r="V407" s="35">
        <f>MAX(V368,0)</f>
        <v/>
      </c>
      <c r="W407" s="35">
        <f>MAX(W368,0)</f>
        <v/>
      </c>
      <c r="X407" s="35">
        <f>MAX(X368,0)</f>
        <v/>
      </c>
      <c r="Y407" s="35">
        <f>MAX(Y368,0)</f>
        <v/>
      </c>
      <c r="Z407" s="35">
        <f>MAX(Z368,0)</f>
        <v/>
      </c>
      <c r="AA407" s="35">
        <f>MAX(AA368,0)</f>
        <v/>
      </c>
      <c r="AB407" s="35">
        <f>MAX(AB368,0)</f>
        <v/>
      </c>
      <c r="AC407" s="35">
        <f>MAX(AC368,0)</f>
        <v/>
      </c>
      <c r="AD407" s="35">
        <f>MAX(AD368,0)</f>
        <v/>
      </c>
      <c r="AE407" s="42">
        <f>TAXPART(AE368)</f>
        <v/>
      </c>
      <c r="AG407" s="11">
        <f>CodePrefix&amp;$A407&amp;IF($C407="","","."&amp;$C407&amp;"."&amp;$B407)&amp;INDEX(VarEnd,MATCH($A407,VarKey,0))&amp;AG$5</f>
        <v/>
      </c>
      <c r="AH407" s="40">
        <f>MAX(AH368,0)</f>
        <v/>
      </c>
      <c r="AI407" s="35">
        <f>MAX(AI368,0)</f>
        <v/>
      </c>
      <c r="AJ407" s="35">
        <f>MAX(AJ368,0)</f>
        <v/>
      </c>
      <c r="AK407" s="35">
        <f>MAX(AK368,0)</f>
        <v/>
      </c>
      <c r="AL407" s="35">
        <f>MAX(AL368,0)</f>
        <v/>
      </c>
      <c r="AM407" s="35">
        <f>MAX(AM368,0)</f>
        <v/>
      </c>
      <c r="AN407" s="35">
        <f>MAX(AN368,0)</f>
        <v/>
      </c>
      <c r="AO407" s="35">
        <f>MAX(AO368,0)</f>
        <v/>
      </c>
      <c r="AP407" s="35">
        <f>MAX(AP368,0)</f>
        <v/>
      </c>
      <c r="AQ407" s="35">
        <f>MAX(AQ368,0)</f>
        <v/>
      </c>
      <c r="AR407" s="35">
        <f>MAX(AR368,0)</f>
        <v/>
      </c>
      <c r="AS407" s="35">
        <f>MAX(AS368,0)</f>
        <v/>
      </c>
      <c r="AT407" s="35">
        <f>MAX(AT368,0)</f>
        <v/>
      </c>
      <c r="AU407" s="35">
        <f>MAX(AU368,0)</f>
        <v/>
      </c>
      <c r="AV407" s="35">
        <f>MAX(AV368,0)</f>
        <v/>
      </c>
      <c r="AW407" s="35">
        <f>MAX(AW368,0)</f>
        <v/>
      </c>
      <c r="AX407" s="35">
        <f>MAX(AX368,0)</f>
        <v/>
      </c>
      <c r="AY407" s="35">
        <f>MAX(AY368,0)</f>
        <v/>
      </c>
      <c r="AZ407" s="35">
        <f>MAX(AZ368,0)</f>
        <v/>
      </c>
      <c r="BA407" s="42">
        <f>TAXPART(BA368)</f>
        <v/>
      </c>
    </row>
    <row r="408" hidden="1" outlineLevel="1">
      <c r="A408" s="14" t="inlineStr">
        <is>
          <t>etx</t>
        </is>
      </c>
      <c r="B408" s="14" t="inlineStr">
        <is>
          <t>coa</t>
        </is>
      </c>
      <c r="C408" s="14" t="inlineStr">
        <is>
          <t>res</t>
        </is>
      </c>
      <c r="D408" s="39" t="n"/>
      <c r="E408" s="39" t="n"/>
      <c r="F408" s="39" t="n"/>
      <c r="G408" s="39" t="n"/>
      <c r="H408" s="14">
        <f>INDEX(VarLab,MATCH($A408,VarKey,0))&amp;INDEX(MemLab,MATCH($C408&amp;"|"&amp;$B408,MemKey,0))</f>
        <v/>
      </c>
      <c r="I408" s="14">
        <f>INDEX(VarUnit,MATCH($A408,VarKey,0))</f>
        <v/>
      </c>
      <c r="J408" s="14">
        <f>INDEX(VarSrc,MATCH($A408,VarKey,0))</f>
        <v/>
      </c>
      <c r="K408" s="11">
        <f>CodePrefix&amp;$A408&amp;IF($C408="","","."&amp;$C408&amp;"."&amp;$B408)&amp;INDEX(VarEnd,MATCH($A408,VarKey,0))&amp;K$5</f>
        <v/>
      </c>
      <c r="L408" s="40">
        <f>MAX(L369,0)</f>
        <v/>
      </c>
      <c r="M408" s="35">
        <f>MAX(M369,0)</f>
        <v/>
      </c>
      <c r="N408" s="35">
        <f>MAX(N369,0)</f>
        <v/>
      </c>
      <c r="O408" s="35">
        <f>MAX(O369,0)</f>
        <v/>
      </c>
      <c r="P408" s="35">
        <f>MAX(P369,0)</f>
        <v/>
      </c>
      <c r="Q408" s="35">
        <f>MAX(Q369,0)</f>
        <v/>
      </c>
      <c r="R408" s="35">
        <f>MAX(R369,0)</f>
        <v/>
      </c>
      <c r="S408" s="35">
        <f>MAX(S369,0)</f>
        <v/>
      </c>
      <c r="T408" s="35">
        <f>MAX(T369,0)</f>
        <v/>
      </c>
      <c r="U408" s="35">
        <f>MAX(U369,0)</f>
        <v/>
      </c>
      <c r="V408" s="35">
        <f>MAX(V369,0)</f>
        <v/>
      </c>
      <c r="W408" s="35">
        <f>MAX(W369,0)</f>
        <v/>
      </c>
      <c r="X408" s="35">
        <f>MAX(X369,0)</f>
        <v/>
      </c>
      <c r="Y408" s="35">
        <f>MAX(Y369,0)</f>
        <v/>
      </c>
      <c r="Z408" s="35">
        <f>MAX(Z369,0)</f>
        <v/>
      </c>
      <c r="AA408" s="35">
        <f>MAX(AA369,0)</f>
        <v/>
      </c>
      <c r="AB408" s="35">
        <f>MAX(AB369,0)</f>
        <v/>
      </c>
      <c r="AC408" s="35">
        <f>MAX(AC369,0)</f>
        <v/>
      </c>
      <c r="AD408" s="35">
        <f>MAX(AD369,0)</f>
        <v/>
      </c>
      <c r="AE408" s="42">
        <f>TAXPART(AE369)</f>
        <v/>
      </c>
      <c r="AG408" s="11">
        <f>CodePrefix&amp;$A408&amp;IF($C408="","","."&amp;$C408&amp;"."&amp;$B408)&amp;INDEX(VarEnd,MATCH($A408,VarKey,0))&amp;AG$5</f>
        <v/>
      </c>
      <c r="AH408" s="40">
        <f>MAX(AH369,0)</f>
        <v/>
      </c>
      <c r="AI408" s="35">
        <f>MAX(AI369,0)</f>
        <v/>
      </c>
      <c r="AJ408" s="35">
        <f>MAX(AJ369,0)</f>
        <v/>
      </c>
      <c r="AK408" s="35">
        <f>MAX(AK369,0)</f>
        <v/>
      </c>
      <c r="AL408" s="35">
        <f>MAX(AL369,0)</f>
        <v/>
      </c>
      <c r="AM408" s="35">
        <f>MAX(AM369,0)</f>
        <v/>
      </c>
      <c r="AN408" s="35">
        <f>MAX(AN369,0)</f>
        <v/>
      </c>
      <c r="AO408" s="35">
        <f>MAX(AO369,0)</f>
        <v/>
      </c>
      <c r="AP408" s="35">
        <f>MAX(AP369,0)</f>
        <v/>
      </c>
      <c r="AQ408" s="35">
        <f>MAX(AQ369,0)</f>
        <v/>
      </c>
      <c r="AR408" s="35">
        <f>MAX(AR369,0)</f>
        <v/>
      </c>
      <c r="AS408" s="35">
        <f>MAX(AS369,0)</f>
        <v/>
      </c>
      <c r="AT408" s="35">
        <f>MAX(AT369,0)</f>
        <v/>
      </c>
      <c r="AU408" s="35">
        <f>MAX(AU369,0)</f>
        <v/>
      </c>
      <c r="AV408" s="35">
        <f>MAX(AV369,0)</f>
        <v/>
      </c>
      <c r="AW408" s="35">
        <f>MAX(AW369,0)</f>
        <v/>
      </c>
      <c r="AX408" s="35">
        <f>MAX(AX369,0)</f>
        <v/>
      </c>
      <c r="AY408" s="35">
        <f>MAX(AY369,0)</f>
        <v/>
      </c>
      <c r="AZ408" s="35">
        <f>MAX(AZ369,0)</f>
        <v/>
      </c>
      <c r="BA408" s="42">
        <f>TAXPART(BA369)</f>
        <v/>
      </c>
    </row>
    <row r="409" hidden="1" outlineLevel="1">
      <c r="A409" s="14" t="inlineStr">
        <is>
          <t>etx</t>
        </is>
      </c>
      <c r="B409" s="14" t="inlineStr">
        <is>
          <t>coa</t>
        </is>
      </c>
      <c r="C409" s="14" t="inlineStr">
        <is>
          <t>ind</t>
        </is>
      </c>
      <c r="D409" s="39" t="n"/>
      <c r="E409" s="39" t="n"/>
      <c r="F409" s="39" t="n"/>
      <c r="G409" s="39" t="n"/>
      <c r="H409" s="14">
        <f>INDEX(VarLab,MATCH($A409,VarKey,0))&amp;INDEX(MemLab,MATCH($C409&amp;"|"&amp;$B409,MemKey,0))</f>
        <v/>
      </c>
      <c r="I409" s="14">
        <f>INDEX(VarUnit,MATCH($A409,VarKey,0))</f>
        <v/>
      </c>
      <c r="J409" s="14">
        <f>INDEX(VarSrc,MATCH($A409,VarKey,0))</f>
        <v/>
      </c>
      <c r="K409" s="11">
        <f>CodePrefix&amp;$A409&amp;IF($C409="","","."&amp;$C409&amp;"."&amp;$B409)&amp;INDEX(VarEnd,MATCH($A409,VarKey,0))&amp;K$5</f>
        <v/>
      </c>
      <c r="L409" s="40">
        <f>MAX(L370,0)</f>
        <v/>
      </c>
      <c r="M409" s="35">
        <f>MAX(M370,0)</f>
        <v/>
      </c>
      <c r="N409" s="35">
        <f>MAX(N370,0)</f>
        <v/>
      </c>
      <c r="O409" s="35">
        <f>MAX(O370,0)</f>
        <v/>
      </c>
      <c r="P409" s="35">
        <f>MAX(P370,0)</f>
        <v/>
      </c>
      <c r="Q409" s="35">
        <f>MAX(Q370,0)</f>
        <v/>
      </c>
      <c r="R409" s="35">
        <f>MAX(R370,0)</f>
        <v/>
      </c>
      <c r="S409" s="35">
        <f>MAX(S370,0)</f>
        <v/>
      </c>
      <c r="T409" s="35">
        <f>MAX(T370,0)</f>
        <v/>
      </c>
      <c r="U409" s="35">
        <f>MAX(U370,0)</f>
        <v/>
      </c>
      <c r="V409" s="35">
        <f>MAX(V370,0)</f>
        <v/>
      </c>
      <c r="W409" s="35">
        <f>MAX(W370,0)</f>
        <v/>
      </c>
      <c r="X409" s="35">
        <f>MAX(X370,0)</f>
        <v/>
      </c>
      <c r="Y409" s="35">
        <f>MAX(Y370,0)</f>
        <v/>
      </c>
      <c r="Z409" s="35">
        <f>MAX(Z370,0)</f>
        <v/>
      </c>
      <c r="AA409" s="35">
        <f>MAX(AA370,0)</f>
        <v/>
      </c>
      <c r="AB409" s="35">
        <f>MAX(AB370,0)</f>
        <v/>
      </c>
      <c r="AC409" s="35">
        <f>MAX(AC370,0)</f>
        <v/>
      </c>
      <c r="AD409" s="35">
        <f>MAX(AD370,0)</f>
        <v/>
      </c>
      <c r="AE409" s="42">
        <f>TAXPART(AE370)</f>
        <v/>
      </c>
      <c r="AG409" s="11">
        <f>CodePrefix&amp;$A409&amp;IF($C409="","","."&amp;$C409&amp;"."&amp;$B409)&amp;INDEX(VarEnd,MATCH($A409,VarKey,0))&amp;AG$5</f>
        <v/>
      </c>
      <c r="AH409" s="40">
        <f>MAX(AH370,0)</f>
        <v/>
      </c>
      <c r="AI409" s="35">
        <f>MAX(AI370,0)</f>
        <v/>
      </c>
      <c r="AJ409" s="35">
        <f>MAX(AJ370,0)</f>
        <v/>
      </c>
      <c r="AK409" s="35">
        <f>MAX(AK370,0)</f>
        <v/>
      </c>
      <c r="AL409" s="35">
        <f>MAX(AL370,0)</f>
        <v/>
      </c>
      <c r="AM409" s="35">
        <f>MAX(AM370,0)</f>
        <v/>
      </c>
      <c r="AN409" s="35">
        <f>MAX(AN370,0)</f>
        <v/>
      </c>
      <c r="AO409" s="35">
        <f>MAX(AO370,0)</f>
        <v/>
      </c>
      <c r="AP409" s="35">
        <f>MAX(AP370,0)</f>
        <v/>
      </c>
      <c r="AQ409" s="35">
        <f>MAX(AQ370,0)</f>
        <v/>
      </c>
      <c r="AR409" s="35">
        <f>MAX(AR370,0)</f>
        <v/>
      </c>
      <c r="AS409" s="35">
        <f>MAX(AS370,0)</f>
        <v/>
      </c>
      <c r="AT409" s="35">
        <f>MAX(AT370,0)</f>
        <v/>
      </c>
      <c r="AU409" s="35">
        <f>MAX(AU370,0)</f>
        <v/>
      </c>
      <c r="AV409" s="35">
        <f>MAX(AV370,0)</f>
        <v/>
      </c>
      <c r="AW409" s="35">
        <f>MAX(AW370,0)</f>
        <v/>
      </c>
      <c r="AX409" s="35">
        <f>MAX(AX370,0)</f>
        <v/>
      </c>
      <c r="AY409" s="35">
        <f>MAX(AY370,0)</f>
        <v/>
      </c>
      <c r="AZ409" s="35">
        <f>MAX(AZ370,0)</f>
        <v/>
      </c>
      <c r="BA409" s="42">
        <f>TAXPART(BA370)</f>
        <v/>
      </c>
    </row>
    <row r="410" hidden="1" outlineLevel="1">
      <c r="A410" s="14" t="inlineStr">
        <is>
          <t>etx</t>
        </is>
      </c>
      <c r="B410" s="14" t="inlineStr">
        <is>
          <t>nga</t>
        </is>
      </c>
      <c r="C410" s="14" t="inlineStr">
        <is>
          <t>pow</t>
        </is>
      </c>
      <c r="D410" s="39" t="n"/>
      <c r="E410" s="39" t="n"/>
      <c r="F410" s="39" t="n"/>
      <c r="G410" s="39" t="n"/>
      <c r="H410" s="14">
        <f>INDEX(VarLab,MATCH($A410,VarKey,0))&amp;INDEX(MemLab,MATCH($C410&amp;"|"&amp;$B410,MemKey,0))</f>
        <v/>
      </c>
      <c r="I410" s="14">
        <f>INDEX(VarUnit,MATCH($A410,VarKey,0))</f>
        <v/>
      </c>
      <c r="J410" s="14">
        <f>INDEX(VarSrc,MATCH($A410,VarKey,0))</f>
        <v/>
      </c>
      <c r="K410" s="11">
        <f>CodePrefix&amp;$A410&amp;IF($C410="","","."&amp;$C410&amp;"."&amp;$B410)&amp;INDEX(VarEnd,MATCH($A410,VarKey,0))&amp;K$5</f>
        <v/>
      </c>
      <c r="L410" s="40">
        <f>MAX(L371,0)</f>
        <v/>
      </c>
      <c r="M410" s="35">
        <f>MAX(M371,0)</f>
        <v/>
      </c>
      <c r="N410" s="35">
        <f>MAX(N371,0)</f>
        <v/>
      </c>
      <c r="O410" s="35">
        <f>MAX(O371,0)</f>
        <v/>
      </c>
      <c r="P410" s="35">
        <f>MAX(P371,0)</f>
        <v/>
      </c>
      <c r="Q410" s="35">
        <f>MAX(Q371,0)</f>
        <v/>
      </c>
      <c r="R410" s="35">
        <f>MAX(R371,0)</f>
        <v/>
      </c>
      <c r="S410" s="35">
        <f>MAX(S371,0)</f>
        <v/>
      </c>
      <c r="T410" s="35">
        <f>MAX(T371,0)</f>
        <v/>
      </c>
      <c r="U410" s="35">
        <f>MAX(U371,0)</f>
        <v/>
      </c>
      <c r="V410" s="35">
        <f>MAX(V371,0)</f>
        <v/>
      </c>
      <c r="W410" s="35">
        <f>MAX(W371,0)</f>
        <v/>
      </c>
      <c r="X410" s="35">
        <f>MAX(X371,0)</f>
        <v/>
      </c>
      <c r="Y410" s="35">
        <f>MAX(Y371,0)</f>
        <v/>
      </c>
      <c r="Z410" s="35">
        <f>MAX(Z371,0)</f>
        <v/>
      </c>
      <c r="AA410" s="35">
        <f>MAX(AA371,0)</f>
        <v/>
      </c>
      <c r="AB410" s="35">
        <f>MAX(AB371,0)</f>
        <v/>
      </c>
      <c r="AC410" s="35">
        <f>MAX(AC371,0)</f>
        <v/>
      </c>
      <c r="AD410" s="35">
        <f>MAX(AD371,0)</f>
        <v/>
      </c>
      <c r="AE410" s="42">
        <f>TAXPART(AE371)</f>
        <v/>
      </c>
      <c r="AG410" s="11">
        <f>CodePrefix&amp;$A410&amp;IF($C410="","","."&amp;$C410&amp;"."&amp;$B410)&amp;INDEX(VarEnd,MATCH($A410,VarKey,0))&amp;AG$5</f>
        <v/>
      </c>
      <c r="AH410" s="40">
        <f>MAX(AH371,0)</f>
        <v/>
      </c>
      <c r="AI410" s="35">
        <f>MAX(AI371,0)</f>
        <v/>
      </c>
      <c r="AJ410" s="35">
        <f>MAX(AJ371,0)</f>
        <v/>
      </c>
      <c r="AK410" s="35">
        <f>MAX(AK371,0)</f>
        <v/>
      </c>
      <c r="AL410" s="35">
        <f>MAX(AL371,0)</f>
        <v/>
      </c>
      <c r="AM410" s="35">
        <f>MAX(AM371,0)</f>
        <v/>
      </c>
      <c r="AN410" s="35">
        <f>MAX(AN371,0)</f>
        <v/>
      </c>
      <c r="AO410" s="35">
        <f>MAX(AO371,0)</f>
        <v/>
      </c>
      <c r="AP410" s="35">
        <f>MAX(AP371,0)</f>
        <v/>
      </c>
      <c r="AQ410" s="35">
        <f>MAX(AQ371,0)</f>
        <v/>
      </c>
      <c r="AR410" s="35">
        <f>MAX(AR371,0)</f>
        <v/>
      </c>
      <c r="AS410" s="35">
        <f>MAX(AS371,0)</f>
        <v/>
      </c>
      <c r="AT410" s="35">
        <f>MAX(AT371,0)</f>
        <v/>
      </c>
      <c r="AU410" s="35">
        <f>MAX(AU371,0)</f>
        <v/>
      </c>
      <c r="AV410" s="35">
        <f>MAX(AV371,0)</f>
        <v/>
      </c>
      <c r="AW410" s="35">
        <f>MAX(AW371,0)</f>
        <v/>
      </c>
      <c r="AX410" s="35">
        <f>MAX(AX371,0)</f>
        <v/>
      </c>
      <c r="AY410" s="35">
        <f>MAX(AY371,0)</f>
        <v/>
      </c>
      <c r="AZ410" s="35">
        <f>MAX(AZ371,0)</f>
        <v/>
      </c>
      <c r="BA410" s="42">
        <f>TAXPART(BA371)</f>
        <v/>
      </c>
    </row>
    <row r="411" hidden="1" outlineLevel="1">
      <c r="A411" s="14" t="inlineStr">
        <is>
          <t>etx</t>
        </is>
      </c>
      <c r="B411" s="14" t="inlineStr">
        <is>
          <t>nga</t>
        </is>
      </c>
      <c r="C411" s="14" t="inlineStr">
        <is>
          <t>res</t>
        </is>
      </c>
      <c r="D411" s="39" t="n"/>
      <c r="E411" s="39" t="n"/>
      <c r="F411" s="39" t="n"/>
      <c r="G411" s="39" t="n"/>
      <c r="H411" s="14">
        <f>INDEX(VarLab,MATCH($A411,VarKey,0))&amp;INDEX(MemLab,MATCH($C411&amp;"|"&amp;$B411,MemKey,0))</f>
        <v/>
      </c>
      <c r="I411" s="14">
        <f>INDEX(VarUnit,MATCH($A411,VarKey,0))</f>
        <v/>
      </c>
      <c r="J411" s="14">
        <f>INDEX(VarSrc,MATCH($A411,VarKey,0))</f>
        <v/>
      </c>
      <c r="K411" s="11">
        <f>CodePrefix&amp;$A411&amp;IF($C411="","","."&amp;$C411&amp;"."&amp;$B411)&amp;INDEX(VarEnd,MATCH($A411,VarKey,0))&amp;K$5</f>
        <v/>
      </c>
      <c r="L411" s="40">
        <f>MAX(L372,0)</f>
        <v/>
      </c>
      <c r="M411" s="35">
        <f>MAX(M372,0)</f>
        <v/>
      </c>
      <c r="N411" s="35">
        <f>MAX(N372,0)</f>
        <v/>
      </c>
      <c r="O411" s="35">
        <f>MAX(O372,0)</f>
        <v/>
      </c>
      <c r="P411" s="35">
        <f>MAX(P372,0)</f>
        <v/>
      </c>
      <c r="Q411" s="35">
        <f>MAX(Q372,0)</f>
        <v/>
      </c>
      <c r="R411" s="35">
        <f>MAX(R372,0)</f>
        <v/>
      </c>
      <c r="S411" s="35">
        <f>MAX(S372,0)</f>
        <v/>
      </c>
      <c r="T411" s="35">
        <f>MAX(T372,0)</f>
        <v/>
      </c>
      <c r="U411" s="35">
        <f>MAX(U372,0)</f>
        <v/>
      </c>
      <c r="V411" s="35">
        <f>MAX(V372,0)</f>
        <v/>
      </c>
      <c r="W411" s="35">
        <f>MAX(W372,0)</f>
        <v/>
      </c>
      <c r="X411" s="35">
        <f>MAX(X372,0)</f>
        <v/>
      </c>
      <c r="Y411" s="35">
        <f>MAX(Y372,0)</f>
        <v/>
      </c>
      <c r="Z411" s="35">
        <f>MAX(Z372,0)</f>
        <v/>
      </c>
      <c r="AA411" s="35">
        <f>MAX(AA372,0)</f>
        <v/>
      </c>
      <c r="AB411" s="35">
        <f>MAX(AB372,0)</f>
        <v/>
      </c>
      <c r="AC411" s="35">
        <f>MAX(AC372,0)</f>
        <v/>
      </c>
      <c r="AD411" s="35">
        <f>MAX(AD372,0)</f>
        <v/>
      </c>
      <c r="AE411" s="42">
        <f>TAXPART(AE372)</f>
        <v/>
      </c>
      <c r="AG411" s="11">
        <f>CodePrefix&amp;$A411&amp;IF($C411="","","."&amp;$C411&amp;"."&amp;$B411)&amp;INDEX(VarEnd,MATCH($A411,VarKey,0))&amp;AG$5</f>
        <v/>
      </c>
      <c r="AH411" s="40">
        <f>MAX(AH372,0)</f>
        <v/>
      </c>
      <c r="AI411" s="35">
        <f>MAX(AI372,0)</f>
        <v/>
      </c>
      <c r="AJ411" s="35">
        <f>MAX(AJ372,0)</f>
        <v/>
      </c>
      <c r="AK411" s="35">
        <f>MAX(AK372,0)</f>
        <v/>
      </c>
      <c r="AL411" s="35">
        <f>MAX(AL372,0)</f>
        <v/>
      </c>
      <c r="AM411" s="35">
        <f>MAX(AM372,0)</f>
        <v/>
      </c>
      <c r="AN411" s="35">
        <f>MAX(AN372,0)</f>
        <v/>
      </c>
      <c r="AO411" s="35">
        <f>MAX(AO372,0)</f>
        <v/>
      </c>
      <c r="AP411" s="35">
        <f>MAX(AP372,0)</f>
        <v/>
      </c>
      <c r="AQ411" s="35">
        <f>MAX(AQ372,0)</f>
        <v/>
      </c>
      <c r="AR411" s="35">
        <f>MAX(AR372,0)</f>
        <v/>
      </c>
      <c r="AS411" s="35">
        <f>MAX(AS372,0)</f>
        <v/>
      </c>
      <c r="AT411" s="35">
        <f>MAX(AT372,0)</f>
        <v/>
      </c>
      <c r="AU411" s="35">
        <f>MAX(AU372,0)</f>
        <v/>
      </c>
      <c r="AV411" s="35">
        <f>MAX(AV372,0)</f>
        <v/>
      </c>
      <c r="AW411" s="35">
        <f>MAX(AW372,0)</f>
        <v/>
      </c>
      <c r="AX411" s="35">
        <f>MAX(AX372,0)</f>
        <v/>
      </c>
      <c r="AY411" s="35">
        <f>MAX(AY372,0)</f>
        <v/>
      </c>
      <c r="AZ411" s="35">
        <f>MAX(AZ372,0)</f>
        <v/>
      </c>
      <c r="BA411" s="42">
        <f>TAXPART(BA372)</f>
        <v/>
      </c>
    </row>
    <row r="412" hidden="1" outlineLevel="1">
      <c r="A412" s="14" t="inlineStr">
        <is>
          <t>etx</t>
        </is>
      </c>
      <c r="B412" s="14" t="inlineStr">
        <is>
          <t>nga</t>
        </is>
      </c>
      <c r="C412" s="14" t="inlineStr">
        <is>
          <t>ind</t>
        </is>
      </c>
      <c r="D412" s="39" t="n"/>
      <c r="E412" s="39" t="n"/>
      <c r="F412" s="39" t="n"/>
      <c r="G412" s="39" t="n"/>
      <c r="H412" s="14">
        <f>INDEX(VarLab,MATCH($A412,VarKey,0))&amp;INDEX(MemLab,MATCH($C412&amp;"|"&amp;$B412,MemKey,0))</f>
        <v/>
      </c>
      <c r="I412" s="14">
        <f>INDEX(VarUnit,MATCH($A412,VarKey,0))</f>
        <v/>
      </c>
      <c r="J412" s="14">
        <f>INDEX(VarSrc,MATCH($A412,VarKey,0))</f>
        <v/>
      </c>
      <c r="K412" s="11">
        <f>CodePrefix&amp;$A412&amp;IF($C412="","","."&amp;$C412&amp;"."&amp;$B412)&amp;INDEX(VarEnd,MATCH($A412,VarKey,0))&amp;K$5</f>
        <v/>
      </c>
      <c r="L412" s="40">
        <f>MAX(L373,0)</f>
        <v/>
      </c>
      <c r="M412" s="35">
        <f>MAX(M373,0)</f>
        <v/>
      </c>
      <c r="N412" s="35">
        <f>MAX(N373,0)</f>
        <v/>
      </c>
      <c r="O412" s="35">
        <f>MAX(O373,0)</f>
        <v/>
      </c>
      <c r="P412" s="35">
        <f>MAX(P373,0)</f>
        <v/>
      </c>
      <c r="Q412" s="35">
        <f>MAX(Q373,0)</f>
        <v/>
      </c>
      <c r="R412" s="35">
        <f>MAX(R373,0)</f>
        <v/>
      </c>
      <c r="S412" s="35">
        <f>MAX(S373,0)</f>
        <v/>
      </c>
      <c r="T412" s="35">
        <f>MAX(T373,0)</f>
        <v/>
      </c>
      <c r="U412" s="35">
        <f>MAX(U373,0)</f>
        <v/>
      </c>
      <c r="V412" s="35">
        <f>MAX(V373,0)</f>
        <v/>
      </c>
      <c r="W412" s="35">
        <f>MAX(W373,0)</f>
        <v/>
      </c>
      <c r="X412" s="35">
        <f>MAX(X373,0)</f>
        <v/>
      </c>
      <c r="Y412" s="35">
        <f>MAX(Y373,0)</f>
        <v/>
      </c>
      <c r="Z412" s="35">
        <f>MAX(Z373,0)</f>
        <v/>
      </c>
      <c r="AA412" s="35">
        <f>MAX(AA373,0)</f>
        <v/>
      </c>
      <c r="AB412" s="35">
        <f>MAX(AB373,0)</f>
        <v/>
      </c>
      <c r="AC412" s="35">
        <f>MAX(AC373,0)</f>
        <v/>
      </c>
      <c r="AD412" s="35">
        <f>MAX(AD373,0)</f>
        <v/>
      </c>
      <c r="AE412" s="42">
        <f>TAXPART(AE373)</f>
        <v/>
      </c>
      <c r="AG412" s="11">
        <f>CodePrefix&amp;$A412&amp;IF($C412="","","."&amp;$C412&amp;"."&amp;$B412)&amp;INDEX(VarEnd,MATCH($A412,VarKey,0))&amp;AG$5</f>
        <v/>
      </c>
      <c r="AH412" s="40">
        <f>MAX(AH373,0)</f>
        <v/>
      </c>
      <c r="AI412" s="35">
        <f>MAX(AI373,0)</f>
        <v/>
      </c>
      <c r="AJ412" s="35">
        <f>MAX(AJ373,0)</f>
        <v/>
      </c>
      <c r="AK412" s="35">
        <f>MAX(AK373,0)</f>
        <v/>
      </c>
      <c r="AL412" s="35">
        <f>MAX(AL373,0)</f>
        <v/>
      </c>
      <c r="AM412" s="35">
        <f>MAX(AM373,0)</f>
        <v/>
      </c>
      <c r="AN412" s="35">
        <f>MAX(AN373,0)</f>
        <v/>
      </c>
      <c r="AO412" s="35">
        <f>MAX(AO373,0)</f>
        <v/>
      </c>
      <c r="AP412" s="35">
        <f>MAX(AP373,0)</f>
        <v/>
      </c>
      <c r="AQ412" s="35">
        <f>MAX(AQ373,0)</f>
        <v/>
      </c>
      <c r="AR412" s="35">
        <f>MAX(AR373,0)</f>
        <v/>
      </c>
      <c r="AS412" s="35">
        <f>MAX(AS373,0)</f>
        <v/>
      </c>
      <c r="AT412" s="35">
        <f>MAX(AT373,0)</f>
        <v/>
      </c>
      <c r="AU412" s="35">
        <f>MAX(AU373,0)</f>
        <v/>
      </c>
      <c r="AV412" s="35">
        <f>MAX(AV373,0)</f>
        <v/>
      </c>
      <c r="AW412" s="35">
        <f>MAX(AW373,0)</f>
        <v/>
      </c>
      <c r="AX412" s="35">
        <f>MAX(AX373,0)</f>
        <v/>
      </c>
      <c r="AY412" s="35">
        <f>MAX(AY373,0)</f>
        <v/>
      </c>
      <c r="AZ412" s="35">
        <f>MAX(AZ373,0)</f>
        <v/>
      </c>
      <c r="BA412" s="42">
        <f>TAXPART(BA373)</f>
        <v/>
      </c>
    </row>
    <row r="413" hidden="1" outlineLevel="1">
      <c r="A413" s="14" t="inlineStr">
        <is>
          <t>etx</t>
        </is>
      </c>
      <c r="B413" s="14" t="inlineStr">
        <is>
          <t>gso</t>
        </is>
      </c>
      <c r="C413" s="14" t="inlineStr">
        <is>
          <t>all</t>
        </is>
      </c>
      <c r="D413" s="39" t="n"/>
      <c r="E413" s="39" t="n"/>
      <c r="F413" s="39" t="n"/>
      <c r="G413" s="39" t="n"/>
      <c r="H413" s="14">
        <f>INDEX(VarLab,MATCH($A413,VarKey,0))&amp;INDEX(MemLab,MATCH($C413&amp;"|"&amp;$B413,MemKey,0))</f>
        <v/>
      </c>
      <c r="I413" s="14">
        <f>INDEX(VarUnit,MATCH($A413,VarKey,0))</f>
        <v/>
      </c>
      <c r="J413" s="14">
        <f>INDEX(VarSrc,MATCH($A413,VarKey,0))</f>
        <v/>
      </c>
      <c r="K413" s="11">
        <f>CodePrefix&amp;$A413&amp;IF($C413="","","."&amp;$C413&amp;"."&amp;$B413)&amp;INDEX(VarEnd,MATCH($A413,VarKey,0))&amp;K$5</f>
        <v/>
      </c>
      <c r="L413" s="40">
        <f>MAX(L374,0)</f>
        <v/>
      </c>
      <c r="M413" s="35">
        <f>MAX(M374,0)</f>
        <v/>
      </c>
      <c r="N413" s="35">
        <f>MAX(N374,0)</f>
        <v/>
      </c>
      <c r="O413" s="35">
        <f>MAX(O374,0)</f>
        <v/>
      </c>
      <c r="P413" s="35">
        <f>MAX(P374,0)</f>
        <v/>
      </c>
      <c r="Q413" s="35">
        <f>MAX(Q374,0)</f>
        <v/>
      </c>
      <c r="R413" s="35">
        <f>MAX(R374,0)</f>
        <v/>
      </c>
      <c r="S413" s="35">
        <f>MAX(S374,0)</f>
        <v/>
      </c>
      <c r="T413" s="35">
        <f>MAX(T374,0)</f>
        <v/>
      </c>
      <c r="U413" s="35">
        <f>MAX(U374,0)</f>
        <v/>
      </c>
      <c r="V413" s="35">
        <f>MAX(V374,0)</f>
        <v/>
      </c>
      <c r="W413" s="35">
        <f>MAX(W374,0)</f>
        <v/>
      </c>
      <c r="X413" s="35">
        <f>MAX(X374,0)</f>
        <v/>
      </c>
      <c r="Y413" s="35">
        <f>MAX(Y374,0)</f>
        <v/>
      </c>
      <c r="Z413" s="35">
        <f>MAX(Z374,0)</f>
        <v/>
      </c>
      <c r="AA413" s="35">
        <f>MAX(AA374,0)</f>
        <v/>
      </c>
      <c r="AB413" s="35">
        <f>MAX(AB374,0)</f>
        <v/>
      </c>
      <c r="AC413" s="35">
        <f>MAX(AC374,0)</f>
        <v/>
      </c>
      <c r="AD413" s="35">
        <f>MAX(AD374,0)</f>
        <v/>
      </c>
      <c r="AE413" s="42">
        <f>TAXPART(AE374)</f>
        <v/>
      </c>
      <c r="AG413" s="11">
        <f>CodePrefix&amp;$A413&amp;IF($C413="","","."&amp;$C413&amp;"."&amp;$B413)&amp;INDEX(VarEnd,MATCH($A413,VarKey,0))&amp;AG$5</f>
        <v/>
      </c>
      <c r="AH413" s="40">
        <f>MAX(AH374,0)</f>
        <v/>
      </c>
      <c r="AI413" s="35">
        <f>MAX(AI374,0)</f>
        <v/>
      </c>
      <c r="AJ413" s="35">
        <f>MAX(AJ374,0)</f>
        <v/>
      </c>
      <c r="AK413" s="35">
        <f>MAX(AK374,0)</f>
        <v/>
      </c>
      <c r="AL413" s="35">
        <f>MAX(AL374,0)</f>
        <v/>
      </c>
      <c r="AM413" s="35">
        <f>MAX(AM374,0)</f>
        <v/>
      </c>
      <c r="AN413" s="35">
        <f>MAX(AN374,0)</f>
        <v/>
      </c>
      <c r="AO413" s="35">
        <f>MAX(AO374,0)</f>
        <v/>
      </c>
      <c r="AP413" s="35">
        <f>MAX(AP374,0)</f>
        <v/>
      </c>
      <c r="AQ413" s="35">
        <f>MAX(AQ374,0)</f>
        <v/>
      </c>
      <c r="AR413" s="35">
        <f>MAX(AR374,0)</f>
        <v/>
      </c>
      <c r="AS413" s="35">
        <f>MAX(AS374,0)</f>
        <v/>
      </c>
      <c r="AT413" s="35">
        <f>MAX(AT374,0)</f>
        <v/>
      </c>
      <c r="AU413" s="35">
        <f>MAX(AU374,0)</f>
        <v/>
      </c>
      <c r="AV413" s="35">
        <f>MAX(AV374,0)</f>
        <v/>
      </c>
      <c r="AW413" s="35">
        <f>MAX(AW374,0)</f>
        <v/>
      </c>
      <c r="AX413" s="35">
        <f>MAX(AX374,0)</f>
        <v/>
      </c>
      <c r="AY413" s="35">
        <f>MAX(AY374,0)</f>
        <v/>
      </c>
      <c r="AZ413" s="35">
        <f>MAX(AZ374,0)</f>
        <v/>
      </c>
      <c r="BA413" s="42">
        <f>TAXPART(BA374)</f>
        <v/>
      </c>
    </row>
    <row r="414" hidden="1" outlineLevel="1">
      <c r="A414" s="14" t="inlineStr">
        <is>
          <t>etx</t>
        </is>
      </c>
      <c r="B414" s="14" t="inlineStr">
        <is>
          <t>die</t>
        </is>
      </c>
      <c r="C414" s="14" t="inlineStr">
        <is>
          <t>all</t>
        </is>
      </c>
      <c r="D414" s="39" t="n"/>
      <c r="E414" s="39" t="n"/>
      <c r="F414" s="39" t="n"/>
      <c r="G414" s="39" t="n"/>
      <c r="H414" s="14">
        <f>INDEX(VarLab,MATCH($A414,VarKey,0))&amp;INDEX(MemLab,MATCH($C414&amp;"|"&amp;$B414,MemKey,0))</f>
        <v/>
      </c>
      <c r="I414" s="14">
        <f>INDEX(VarUnit,MATCH($A414,VarKey,0))</f>
        <v/>
      </c>
      <c r="J414" s="14">
        <f>INDEX(VarSrc,MATCH($A414,VarKey,0))</f>
        <v/>
      </c>
      <c r="K414" s="11">
        <f>CodePrefix&amp;$A414&amp;IF($C414="","","."&amp;$C414&amp;"."&amp;$B414)&amp;INDEX(VarEnd,MATCH($A414,VarKey,0))&amp;K$5</f>
        <v/>
      </c>
      <c r="L414" s="40">
        <f>MAX(L375,0)</f>
        <v/>
      </c>
      <c r="M414" s="35">
        <f>MAX(M375,0)</f>
        <v/>
      </c>
      <c r="N414" s="35">
        <f>MAX(N375,0)</f>
        <v/>
      </c>
      <c r="O414" s="35">
        <f>MAX(O375,0)</f>
        <v/>
      </c>
      <c r="P414" s="35">
        <f>MAX(P375,0)</f>
        <v/>
      </c>
      <c r="Q414" s="35">
        <f>MAX(Q375,0)</f>
        <v/>
      </c>
      <c r="R414" s="35">
        <f>MAX(R375,0)</f>
        <v/>
      </c>
      <c r="S414" s="35">
        <f>MAX(S375,0)</f>
        <v/>
      </c>
      <c r="T414" s="35">
        <f>MAX(T375,0)</f>
        <v/>
      </c>
      <c r="U414" s="35">
        <f>MAX(U375,0)</f>
        <v/>
      </c>
      <c r="V414" s="35">
        <f>MAX(V375,0)</f>
        <v/>
      </c>
      <c r="W414" s="35">
        <f>MAX(W375,0)</f>
        <v/>
      </c>
      <c r="X414" s="35">
        <f>MAX(X375,0)</f>
        <v/>
      </c>
      <c r="Y414" s="35">
        <f>MAX(Y375,0)</f>
        <v/>
      </c>
      <c r="Z414" s="35">
        <f>MAX(Z375,0)</f>
        <v/>
      </c>
      <c r="AA414" s="35">
        <f>MAX(AA375,0)</f>
        <v/>
      </c>
      <c r="AB414" s="35">
        <f>MAX(AB375,0)</f>
        <v/>
      </c>
      <c r="AC414" s="35">
        <f>MAX(AC375,0)</f>
        <v/>
      </c>
      <c r="AD414" s="35">
        <f>MAX(AD375,0)</f>
        <v/>
      </c>
      <c r="AE414" s="42">
        <f>TAXPART(AE375)</f>
        <v/>
      </c>
      <c r="AG414" s="11">
        <f>CodePrefix&amp;$A414&amp;IF($C414="","","."&amp;$C414&amp;"."&amp;$B414)&amp;INDEX(VarEnd,MATCH($A414,VarKey,0))&amp;AG$5</f>
        <v/>
      </c>
      <c r="AH414" s="40">
        <f>MAX(AH375,0)</f>
        <v/>
      </c>
      <c r="AI414" s="35">
        <f>MAX(AI375,0)</f>
        <v/>
      </c>
      <c r="AJ414" s="35">
        <f>MAX(AJ375,0)</f>
        <v/>
      </c>
      <c r="AK414" s="35">
        <f>MAX(AK375,0)</f>
        <v/>
      </c>
      <c r="AL414" s="35">
        <f>MAX(AL375,0)</f>
        <v/>
      </c>
      <c r="AM414" s="35">
        <f>MAX(AM375,0)</f>
        <v/>
      </c>
      <c r="AN414" s="35">
        <f>MAX(AN375,0)</f>
        <v/>
      </c>
      <c r="AO414" s="35">
        <f>MAX(AO375,0)</f>
        <v/>
      </c>
      <c r="AP414" s="35">
        <f>MAX(AP375,0)</f>
        <v/>
      </c>
      <c r="AQ414" s="35">
        <f>MAX(AQ375,0)</f>
        <v/>
      </c>
      <c r="AR414" s="35">
        <f>MAX(AR375,0)</f>
        <v/>
      </c>
      <c r="AS414" s="35">
        <f>MAX(AS375,0)</f>
        <v/>
      </c>
      <c r="AT414" s="35">
        <f>MAX(AT375,0)</f>
        <v/>
      </c>
      <c r="AU414" s="35">
        <f>MAX(AU375,0)</f>
        <v/>
      </c>
      <c r="AV414" s="35">
        <f>MAX(AV375,0)</f>
        <v/>
      </c>
      <c r="AW414" s="35">
        <f>MAX(AW375,0)</f>
        <v/>
      </c>
      <c r="AX414" s="35">
        <f>MAX(AX375,0)</f>
        <v/>
      </c>
      <c r="AY414" s="35">
        <f>MAX(AY375,0)</f>
        <v/>
      </c>
      <c r="AZ414" s="35">
        <f>MAX(AZ375,0)</f>
        <v/>
      </c>
      <c r="BA414" s="42">
        <f>TAXPART(BA375)</f>
        <v/>
      </c>
    </row>
    <row r="415" hidden="1" outlineLevel="1">
      <c r="A415" s="14" t="inlineStr">
        <is>
          <t>etx</t>
        </is>
      </c>
      <c r="B415" s="14" t="inlineStr">
        <is>
          <t>lpg</t>
        </is>
      </c>
      <c r="C415" s="14" t="inlineStr">
        <is>
          <t>all</t>
        </is>
      </c>
      <c r="D415" s="39" t="n"/>
      <c r="E415" s="39" t="n"/>
      <c r="F415" s="39" t="n"/>
      <c r="G415" s="39" t="n"/>
      <c r="H415" s="14">
        <f>INDEX(VarLab,MATCH($A415,VarKey,0))&amp;INDEX(MemLab,MATCH($C415&amp;"|"&amp;$B415,MemKey,0))</f>
        <v/>
      </c>
      <c r="I415" s="14">
        <f>INDEX(VarUnit,MATCH($A415,VarKey,0))</f>
        <v/>
      </c>
      <c r="J415" s="14">
        <f>INDEX(VarSrc,MATCH($A415,VarKey,0))</f>
        <v/>
      </c>
      <c r="K415" s="11">
        <f>CodePrefix&amp;$A415&amp;IF($C415="","","."&amp;$C415&amp;"."&amp;$B415)&amp;INDEX(VarEnd,MATCH($A415,VarKey,0))&amp;K$5</f>
        <v/>
      </c>
      <c r="L415" s="40">
        <f>MAX(L376,0)</f>
        <v/>
      </c>
      <c r="M415" s="35">
        <f>MAX(M376,0)</f>
        <v/>
      </c>
      <c r="N415" s="35">
        <f>MAX(N376,0)</f>
        <v/>
      </c>
      <c r="O415" s="35">
        <f>MAX(O376,0)</f>
        <v/>
      </c>
      <c r="P415" s="35">
        <f>MAX(P376,0)</f>
        <v/>
      </c>
      <c r="Q415" s="35">
        <f>MAX(Q376,0)</f>
        <v/>
      </c>
      <c r="R415" s="35">
        <f>MAX(R376,0)</f>
        <v/>
      </c>
      <c r="S415" s="35">
        <f>MAX(S376,0)</f>
        <v/>
      </c>
      <c r="T415" s="35">
        <f>MAX(T376,0)</f>
        <v/>
      </c>
      <c r="U415" s="35">
        <f>MAX(U376,0)</f>
        <v/>
      </c>
      <c r="V415" s="35">
        <f>MAX(V376,0)</f>
        <v/>
      </c>
      <c r="W415" s="35">
        <f>MAX(W376,0)</f>
        <v/>
      </c>
      <c r="X415" s="35">
        <f>MAX(X376,0)</f>
        <v/>
      </c>
      <c r="Y415" s="35">
        <f>MAX(Y376,0)</f>
        <v/>
      </c>
      <c r="Z415" s="35">
        <f>MAX(Z376,0)</f>
        <v/>
      </c>
      <c r="AA415" s="35">
        <f>MAX(AA376,0)</f>
        <v/>
      </c>
      <c r="AB415" s="35">
        <f>MAX(AB376,0)</f>
        <v/>
      </c>
      <c r="AC415" s="35">
        <f>MAX(AC376,0)</f>
        <v/>
      </c>
      <c r="AD415" s="35">
        <f>MAX(AD376,0)</f>
        <v/>
      </c>
      <c r="AE415" s="42">
        <f>TAXPART(AE376)</f>
        <v/>
      </c>
      <c r="AG415" s="11">
        <f>CodePrefix&amp;$A415&amp;IF($C415="","","."&amp;$C415&amp;"."&amp;$B415)&amp;INDEX(VarEnd,MATCH($A415,VarKey,0))&amp;AG$5</f>
        <v/>
      </c>
      <c r="AH415" s="40">
        <f>MAX(AH376,0)</f>
        <v/>
      </c>
      <c r="AI415" s="35">
        <f>MAX(AI376,0)</f>
        <v/>
      </c>
      <c r="AJ415" s="35">
        <f>MAX(AJ376,0)</f>
        <v/>
      </c>
      <c r="AK415" s="35">
        <f>MAX(AK376,0)</f>
        <v/>
      </c>
      <c r="AL415" s="35">
        <f>MAX(AL376,0)</f>
        <v/>
      </c>
      <c r="AM415" s="35">
        <f>MAX(AM376,0)</f>
        <v/>
      </c>
      <c r="AN415" s="35">
        <f>MAX(AN376,0)</f>
        <v/>
      </c>
      <c r="AO415" s="35">
        <f>MAX(AO376,0)</f>
        <v/>
      </c>
      <c r="AP415" s="35">
        <f>MAX(AP376,0)</f>
        <v/>
      </c>
      <c r="AQ415" s="35">
        <f>MAX(AQ376,0)</f>
        <v/>
      </c>
      <c r="AR415" s="35">
        <f>MAX(AR376,0)</f>
        <v/>
      </c>
      <c r="AS415" s="35">
        <f>MAX(AS376,0)</f>
        <v/>
      </c>
      <c r="AT415" s="35">
        <f>MAX(AT376,0)</f>
        <v/>
      </c>
      <c r="AU415" s="35">
        <f>MAX(AU376,0)</f>
        <v/>
      </c>
      <c r="AV415" s="35">
        <f>MAX(AV376,0)</f>
        <v/>
      </c>
      <c r="AW415" s="35">
        <f>MAX(AW376,0)</f>
        <v/>
      </c>
      <c r="AX415" s="35">
        <f>MAX(AX376,0)</f>
        <v/>
      </c>
      <c r="AY415" s="35">
        <f>MAX(AY376,0)</f>
        <v/>
      </c>
      <c r="AZ415" s="35">
        <f>MAX(AZ376,0)</f>
        <v/>
      </c>
      <c r="BA415" s="42">
        <f>TAXPART(BA376)</f>
        <v/>
      </c>
    </row>
    <row r="416" hidden="1" outlineLevel="1">
      <c r="A416" s="14" t="inlineStr">
        <is>
          <t>etx</t>
        </is>
      </c>
      <c r="B416" s="14" t="inlineStr">
        <is>
          <t>ker</t>
        </is>
      </c>
      <c r="C416" s="14" t="inlineStr">
        <is>
          <t>all</t>
        </is>
      </c>
      <c r="D416" s="39" t="n"/>
      <c r="E416" s="39" t="n"/>
      <c r="F416" s="39" t="n"/>
      <c r="G416" s="39" t="n"/>
      <c r="H416" s="14">
        <f>INDEX(VarLab,MATCH($A416,VarKey,0))&amp;INDEX(MemLab,MATCH($C416&amp;"|"&amp;$B416,MemKey,0))</f>
        <v/>
      </c>
      <c r="I416" s="14">
        <f>INDEX(VarUnit,MATCH($A416,VarKey,0))</f>
        <v/>
      </c>
      <c r="J416" s="14">
        <f>INDEX(VarSrc,MATCH($A416,VarKey,0))</f>
        <v/>
      </c>
      <c r="K416" s="11">
        <f>CodePrefix&amp;$A416&amp;IF($C416="","","."&amp;$C416&amp;"."&amp;$B416)&amp;INDEX(VarEnd,MATCH($A416,VarKey,0))&amp;K$5</f>
        <v/>
      </c>
      <c r="L416" s="40">
        <f>MAX(L377,0)</f>
        <v/>
      </c>
      <c r="M416" s="35">
        <f>MAX(M377,0)</f>
        <v/>
      </c>
      <c r="N416" s="35">
        <f>MAX(N377,0)</f>
        <v/>
      </c>
      <c r="O416" s="35">
        <f>MAX(O377,0)</f>
        <v/>
      </c>
      <c r="P416" s="35">
        <f>MAX(P377,0)</f>
        <v/>
      </c>
      <c r="Q416" s="35">
        <f>MAX(Q377,0)</f>
        <v/>
      </c>
      <c r="R416" s="35">
        <f>MAX(R377,0)</f>
        <v/>
      </c>
      <c r="S416" s="35">
        <f>MAX(S377,0)</f>
        <v/>
      </c>
      <c r="T416" s="35">
        <f>MAX(T377,0)</f>
        <v/>
      </c>
      <c r="U416" s="35">
        <f>MAX(U377,0)</f>
        <v/>
      </c>
      <c r="V416" s="35">
        <f>MAX(V377,0)</f>
        <v/>
      </c>
      <c r="W416" s="35">
        <f>MAX(W377,0)</f>
        <v/>
      </c>
      <c r="X416" s="35">
        <f>MAX(X377,0)</f>
        <v/>
      </c>
      <c r="Y416" s="35">
        <f>MAX(Y377,0)</f>
        <v/>
      </c>
      <c r="Z416" s="35">
        <f>MAX(Z377,0)</f>
        <v/>
      </c>
      <c r="AA416" s="35">
        <f>MAX(AA377,0)</f>
        <v/>
      </c>
      <c r="AB416" s="35">
        <f>MAX(AB377,0)</f>
        <v/>
      </c>
      <c r="AC416" s="35">
        <f>MAX(AC377,0)</f>
        <v/>
      </c>
      <c r="AD416" s="35">
        <f>MAX(AD377,0)</f>
        <v/>
      </c>
      <c r="AE416" s="42">
        <f>TAXPART(AE377)</f>
        <v/>
      </c>
      <c r="AG416" s="11">
        <f>CodePrefix&amp;$A416&amp;IF($C416="","","."&amp;$C416&amp;"."&amp;$B416)&amp;INDEX(VarEnd,MATCH($A416,VarKey,0))&amp;AG$5</f>
        <v/>
      </c>
      <c r="AH416" s="40">
        <f>MAX(AH377,0)</f>
        <v/>
      </c>
      <c r="AI416" s="35">
        <f>MAX(AI377,0)</f>
        <v/>
      </c>
      <c r="AJ416" s="35">
        <f>MAX(AJ377,0)</f>
        <v/>
      </c>
      <c r="AK416" s="35">
        <f>MAX(AK377,0)</f>
        <v/>
      </c>
      <c r="AL416" s="35">
        <f>MAX(AL377,0)</f>
        <v/>
      </c>
      <c r="AM416" s="35">
        <f>MAX(AM377,0)</f>
        <v/>
      </c>
      <c r="AN416" s="35">
        <f>MAX(AN377,0)</f>
        <v/>
      </c>
      <c r="AO416" s="35">
        <f>MAX(AO377,0)</f>
        <v/>
      </c>
      <c r="AP416" s="35">
        <f>MAX(AP377,0)</f>
        <v/>
      </c>
      <c r="AQ416" s="35">
        <f>MAX(AQ377,0)</f>
        <v/>
      </c>
      <c r="AR416" s="35">
        <f>MAX(AR377,0)</f>
        <v/>
      </c>
      <c r="AS416" s="35">
        <f>MAX(AS377,0)</f>
        <v/>
      </c>
      <c r="AT416" s="35">
        <f>MAX(AT377,0)</f>
        <v/>
      </c>
      <c r="AU416" s="35">
        <f>MAX(AU377,0)</f>
        <v/>
      </c>
      <c r="AV416" s="35">
        <f>MAX(AV377,0)</f>
        <v/>
      </c>
      <c r="AW416" s="35">
        <f>MAX(AW377,0)</f>
        <v/>
      </c>
      <c r="AX416" s="35">
        <f>MAX(AX377,0)</f>
        <v/>
      </c>
      <c r="AY416" s="35">
        <f>MAX(AY377,0)</f>
        <v/>
      </c>
      <c r="AZ416" s="35">
        <f>MAX(AZ377,0)</f>
        <v/>
      </c>
      <c r="BA416" s="42">
        <f>TAXPART(BA377)</f>
        <v/>
      </c>
    </row>
    <row r="417" hidden="1" outlineLevel="1">
      <c r="A417" s="14" t="inlineStr">
        <is>
          <t>etx</t>
        </is>
      </c>
      <c r="B417" s="14" t="inlineStr">
        <is>
          <t>oop</t>
        </is>
      </c>
      <c r="C417" s="14" t="inlineStr">
        <is>
          <t>all</t>
        </is>
      </c>
      <c r="D417" s="39" t="n"/>
      <c r="E417" s="39" t="n"/>
      <c r="F417" s="39" t="n"/>
      <c r="G417" s="39" t="n"/>
      <c r="H417" s="14">
        <f>INDEX(VarLab,MATCH($A417,VarKey,0))&amp;INDEX(MemLab,MATCH($C417&amp;"|"&amp;$B417,MemKey,0))</f>
        <v/>
      </c>
      <c r="I417" s="14">
        <f>INDEX(VarUnit,MATCH($A417,VarKey,0))</f>
        <v/>
      </c>
      <c r="J417" s="14">
        <f>INDEX(VarSrc,MATCH($A417,VarKey,0))</f>
        <v/>
      </c>
      <c r="K417" s="11">
        <f>CodePrefix&amp;$A417&amp;IF($C417="","","."&amp;$C417&amp;"."&amp;$B417)&amp;INDEX(VarEnd,MATCH($A417,VarKey,0))&amp;K$5</f>
        <v/>
      </c>
      <c r="L417" s="40">
        <f>MAX(L378,0)</f>
        <v/>
      </c>
      <c r="M417" s="35">
        <f>MAX(M378,0)</f>
        <v/>
      </c>
      <c r="N417" s="35">
        <f>MAX(N378,0)</f>
        <v/>
      </c>
      <c r="O417" s="35">
        <f>MAX(O378,0)</f>
        <v/>
      </c>
      <c r="P417" s="35">
        <f>MAX(P378,0)</f>
        <v/>
      </c>
      <c r="Q417" s="35">
        <f>MAX(Q378,0)</f>
        <v/>
      </c>
      <c r="R417" s="35">
        <f>MAX(R378,0)</f>
        <v/>
      </c>
      <c r="S417" s="35">
        <f>MAX(S378,0)</f>
        <v/>
      </c>
      <c r="T417" s="35">
        <f>MAX(T378,0)</f>
        <v/>
      </c>
      <c r="U417" s="35">
        <f>MAX(U378,0)</f>
        <v/>
      </c>
      <c r="V417" s="35">
        <f>MAX(V378,0)</f>
        <v/>
      </c>
      <c r="W417" s="35">
        <f>MAX(W378,0)</f>
        <v/>
      </c>
      <c r="X417" s="35">
        <f>MAX(X378,0)</f>
        <v/>
      </c>
      <c r="Y417" s="35">
        <f>MAX(Y378,0)</f>
        <v/>
      </c>
      <c r="Z417" s="35">
        <f>MAX(Z378,0)</f>
        <v/>
      </c>
      <c r="AA417" s="35">
        <f>MAX(AA378,0)</f>
        <v/>
      </c>
      <c r="AB417" s="35">
        <f>MAX(AB378,0)</f>
        <v/>
      </c>
      <c r="AC417" s="35">
        <f>MAX(AC378,0)</f>
        <v/>
      </c>
      <c r="AD417" s="35">
        <f>MAX(AD378,0)</f>
        <v/>
      </c>
      <c r="AE417" s="42">
        <f>TAXPART(AE378)</f>
        <v/>
      </c>
      <c r="AG417" s="11">
        <f>CodePrefix&amp;$A417&amp;IF($C417="","","."&amp;$C417&amp;"."&amp;$B417)&amp;INDEX(VarEnd,MATCH($A417,VarKey,0))&amp;AG$5</f>
        <v/>
      </c>
      <c r="AH417" s="40">
        <f>MAX(AH378,0)</f>
        <v/>
      </c>
      <c r="AI417" s="35">
        <f>MAX(AI378,0)</f>
        <v/>
      </c>
      <c r="AJ417" s="35">
        <f>MAX(AJ378,0)</f>
        <v/>
      </c>
      <c r="AK417" s="35">
        <f>MAX(AK378,0)</f>
        <v/>
      </c>
      <c r="AL417" s="35">
        <f>MAX(AL378,0)</f>
        <v/>
      </c>
      <c r="AM417" s="35">
        <f>MAX(AM378,0)</f>
        <v/>
      </c>
      <c r="AN417" s="35">
        <f>MAX(AN378,0)</f>
        <v/>
      </c>
      <c r="AO417" s="35">
        <f>MAX(AO378,0)</f>
        <v/>
      </c>
      <c r="AP417" s="35">
        <f>MAX(AP378,0)</f>
        <v/>
      </c>
      <c r="AQ417" s="35">
        <f>MAX(AQ378,0)</f>
        <v/>
      </c>
      <c r="AR417" s="35">
        <f>MAX(AR378,0)</f>
        <v/>
      </c>
      <c r="AS417" s="35">
        <f>MAX(AS378,0)</f>
        <v/>
      </c>
      <c r="AT417" s="35">
        <f>MAX(AT378,0)</f>
        <v/>
      </c>
      <c r="AU417" s="35">
        <f>MAX(AU378,0)</f>
        <v/>
      </c>
      <c r="AV417" s="35">
        <f>MAX(AV378,0)</f>
        <v/>
      </c>
      <c r="AW417" s="35">
        <f>MAX(AW378,0)</f>
        <v/>
      </c>
      <c r="AX417" s="35">
        <f>MAX(AX378,0)</f>
        <v/>
      </c>
      <c r="AY417" s="35">
        <f>MAX(AY378,0)</f>
        <v/>
      </c>
      <c r="AZ417" s="35">
        <f>MAX(AZ378,0)</f>
        <v/>
      </c>
      <c r="BA417" s="42">
        <f>TAXPART(BA378)</f>
        <v/>
      </c>
    </row>
    <row r="418" hidden="1" outlineLevel="1">
      <c r="A418" s="14" t="inlineStr">
        <is>
          <t>etx</t>
        </is>
      </c>
      <c r="B418" s="14" t="inlineStr">
        <is>
          <t>bio</t>
        </is>
      </c>
      <c r="C418" s="14" t="inlineStr">
        <is>
          <t>all</t>
        </is>
      </c>
      <c r="D418" s="39" t="n"/>
      <c r="E418" s="39" t="n"/>
      <c r="F418" s="39" t="n"/>
      <c r="G418" s="39" t="n"/>
      <c r="H418" s="14">
        <f>INDEX(VarLab,MATCH($A418,VarKey,0))&amp;INDEX(MemLab,MATCH($C418&amp;"|"&amp;$B418,MemKey,0))</f>
        <v/>
      </c>
      <c r="I418" s="14">
        <f>INDEX(VarUnit,MATCH($A418,VarKey,0))</f>
        <v/>
      </c>
      <c r="J418" s="14">
        <f>INDEX(VarSrc,MATCH($A418,VarKey,0))</f>
        <v/>
      </c>
      <c r="K418" s="11">
        <f>CodePrefix&amp;$A418&amp;IF($C418="","","."&amp;$C418&amp;"."&amp;$B418)&amp;INDEX(VarEnd,MATCH($A418,VarKey,0))&amp;K$5</f>
        <v/>
      </c>
      <c r="L418" s="40">
        <f>MAX(L379,0)</f>
        <v/>
      </c>
      <c r="M418" s="35">
        <f>MAX(M379,0)</f>
        <v/>
      </c>
      <c r="N418" s="35">
        <f>MAX(N379,0)</f>
        <v/>
      </c>
      <c r="O418" s="35">
        <f>MAX(O379,0)</f>
        <v/>
      </c>
      <c r="P418" s="35">
        <f>MAX(P379,0)</f>
        <v/>
      </c>
      <c r="Q418" s="35">
        <f>MAX(Q379,0)</f>
        <v/>
      </c>
      <c r="R418" s="35">
        <f>MAX(R379,0)</f>
        <v/>
      </c>
      <c r="S418" s="35">
        <f>MAX(S379,0)</f>
        <v/>
      </c>
      <c r="T418" s="35">
        <f>MAX(T379,0)</f>
        <v/>
      </c>
      <c r="U418" s="35">
        <f>MAX(U379,0)</f>
        <v/>
      </c>
      <c r="V418" s="35">
        <f>MAX(V379,0)</f>
        <v/>
      </c>
      <c r="W418" s="35">
        <f>MAX(W379,0)</f>
        <v/>
      </c>
      <c r="X418" s="35">
        <f>MAX(X379,0)</f>
        <v/>
      </c>
      <c r="Y418" s="35">
        <f>MAX(Y379,0)</f>
        <v/>
      </c>
      <c r="Z418" s="35">
        <f>MAX(Z379,0)</f>
        <v/>
      </c>
      <c r="AA418" s="35">
        <f>MAX(AA379,0)</f>
        <v/>
      </c>
      <c r="AB418" s="35">
        <f>MAX(AB379,0)</f>
        <v/>
      </c>
      <c r="AC418" s="35">
        <f>MAX(AC379,0)</f>
        <v/>
      </c>
      <c r="AD418" s="35">
        <f>MAX(AD379,0)</f>
        <v/>
      </c>
      <c r="AE418" s="42">
        <f>TAXPART(AE379)</f>
        <v/>
      </c>
      <c r="AG418" s="11">
        <f>CodePrefix&amp;$A418&amp;IF($C418="","","."&amp;$C418&amp;"."&amp;$B418)&amp;INDEX(VarEnd,MATCH($A418,VarKey,0))&amp;AG$5</f>
        <v/>
      </c>
      <c r="AH418" s="40">
        <f>MAX(AH379,0)</f>
        <v/>
      </c>
      <c r="AI418" s="35">
        <f>MAX(AI379,0)</f>
        <v/>
      </c>
      <c r="AJ418" s="35">
        <f>MAX(AJ379,0)</f>
        <v/>
      </c>
      <c r="AK418" s="35">
        <f>MAX(AK379,0)</f>
        <v/>
      </c>
      <c r="AL418" s="35">
        <f>MAX(AL379,0)</f>
        <v/>
      </c>
      <c r="AM418" s="35">
        <f>MAX(AM379,0)</f>
        <v/>
      </c>
      <c r="AN418" s="35">
        <f>MAX(AN379,0)</f>
        <v/>
      </c>
      <c r="AO418" s="35">
        <f>MAX(AO379,0)</f>
        <v/>
      </c>
      <c r="AP418" s="35">
        <f>MAX(AP379,0)</f>
        <v/>
      </c>
      <c r="AQ418" s="35">
        <f>MAX(AQ379,0)</f>
        <v/>
      </c>
      <c r="AR418" s="35">
        <f>MAX(AR379,0)</f>
        <v/>
      </c>
      <c r="AS418" s="35">
        <f>MAX(AS379,0)</f>
        <v/>
      </c>
      <c r="AT418" s="35">
        <f>MAX(AT379,0)</f>
        <v/>
      </c>
      <c r="AU418" s="35">
        <f>MAX(AU379,0)</f>
        <v/>
      </c>
      <c r="AV418" s="35">
        <f>MAX(AV379,0)</f>
        <v/>
      </c>
      <c r="AW418" s="35">
        <f>MAX(AW379,0)</f>
        <v/>
      </c>
      <c r="AX418" s="35">
        <f>MAX(AX379,0)</f>
        <v/>
      </c>
      <c r="AY418" s="35">
        <f>MAX(AY379,0)</f>
        <v/>
      </c>
      <c r="AZ418" s="35">
        <f>MAX(AZ379,0)</f>
        <v/>
      </c>
      <c r="BA418" s="42">
        <f>TAXPART(BA379)</f>
        <v/>
      </c>
    </row>
    <row r="419" hidden="1" outlineLevel="1"/>
    <row r="420" hidden="1" outlineLevel="1">
      <c r="A420" s="14" t="inlineStr">
        <is>
          <t>esub</t>
        </is>
      </c>
      <c r="B420" s="14" t="inlineStr">
        <is>
          <t>coa</t>
        </is>
      </c>
      <c r="C420" s="14" t="inlineStr">
        <is>
          <t>pow</t>
        </is>
      </c>
      <c r="D420" s="39" t="n"/>
      <c r="E420" s="39" t="n"/>
      <c r="F420" s="39" t="n"/>
      <c r="G420" s="39" t="n"/>
      <c r="H420" s="14">
        <f>INDEX(VarLab,MATCH($A420,VarKey,0))&amp;INDEX(MemLab,MATCH($C420&amp;"|"&amp;$B420,MemKey,0))</f>
        <v/>
      </c>
      <c r="I420" s="14">
        <f>INDEX(VarUnit,MATCH($A420,VarKey,0))</f>
        <v/>
      </c>
      <c r="J420" s="14">
        <f>INDEX(VarSrc,MATCH($A420,VarKey,0))</f>
        <v/>
      </c>
      <c r="K420" s="11">
        <f>CodePrefix&amp;$A420&amp;IF($C420="","","."&amp;$C420&amp;"."&amp;$B420)&amp;INDEX(VarEnd,MATCH($A420,VarKey,0))&amp;K$5</f>
        <v/>
      </c>
      <c r="L420" s="40">
        <f>MAX(-L368,0)</f>
        <v/>
      </c>
      <c r="M420" s="35">
        <f>MAX(-M368,0)</f>
        <v/>
      </c>
      <c r="N420" s="35">
        <f>MAX(-N368,0)</f>
        <v/>
      </c>
      <c r="O420" s="35">
        <f>MAX(-O368,0)</f>
        <v/>
      </c>
      <c r="P420" s="35">
        <f>MAX(-P368,0)</f>
        <v/>
      </c>
      <c r="Q420" s="35">
        <f>MAX(-Q368,0)</f>
        <v/>
      </c>
      <c r="R420" s="35">
        <f>MAX(-R368,0)</f>
        <v/>
      </c>
      <c r="S420" s="35">
        <f>MAX(-S368,0)</f>
        <v/>
      </c>
      <c r="T420" s="35">
        <f>MAX(-T368,0)</f>
        <v/>
      </c>
      <c r="U420" s="35">
        <f>MAX(-U368,0)</f>
        <v/>
      </c>
      <c r="V420" s="35">
        <f>MAX(-V368,0)</f>
        <v/>
      </c>
      <c r="W420" s="35">
        <f>MAX(-W368,0)</f>
        <v/>
      </c>
      <c r="X420" s="35">
        <f>MAX(-X368,0)</f>
        <v/>
      </c>
      <c r="Y420" s="35">
        <f>MAX(-Y368,0)</f>
        <v/>
      </c>
      <c r="Z420" s="35">
        <f>MAX(-Z368,0)</f>
        <v/>
      </c>
      <c r="AA420" s="35">
        <f>MAX(-AA368,0)</f>
        <v/>
      </c>
      <c r="AB420" s="35">
        <f>MAX(-AB368,0)</f>
        <v/>
      </c>
      <c r="AC420" s="35">
        <f>MAX(-AC368,0)</f>
        <v/>
      </c>
      <c r="AD420" s="35">
        <f>MAX(-AD368,0)</f>
        <v/>
      </c>
      <c r="AE420" s="42">
        <f>SUBSIDYPART(AE368)</f>
        <v/>
      </c>
      <c r="AG420" s="11">
        <f>CodePrefix&amp;$A420&amp;IF($C420="","","."&amp;$C420&amp;"."&amp;$B420)&amp;INDEX(VarEnd,MATCH($A420,VarKey,0))&amp;AG$5</f>
        <v/>
      </c>
      <c r="AH420" s="40">
        <f>MAX(-AH368,0)</f>
        <v/>
      </c>
      <c r="AI420" s="35">
        <f>MAX(-AI368,0)</f>
        <v/>
      </c>
      <c r="AJ420" s="35">
        <f>MAX(-AJ368,0)</f>
        <v/>
      </c>
      <c r="AK420" s="35">
        <f>MAX(-AK368,0)</f>
        <v/>
      </c>
      <c r="AL420" s="35">
        <f>MAX(-AL368,0)</f>
        <v/>
      </c>
      <c r="AM420" s="35">
        <f>MAX(-AM368,0)</f>
        <v/>
      </c>
      <c r="AN420" s="35">
        <f>MAX(-AN368,0)</f>
        <v/>
      </c>
      <c r="AO420" s="35">
        <f>MAX(-AO368,0)</f>
        <v/>
      </c>
      <c r="AP420" s="35">
        <f>MAX(-AP368,0)</f>
        <v/>
      </c>
      <c r="AQ420" s="35">
        <f>MAX(-AQ368,0)</f>
        <v/>
      </c>
      <c r="AR420" s="35">
        <f>MAX(-AR368,0)</f>
        <v/>
      </c>
      <c r="AS420" s="35">
        <f>MAX(-AS368,0)</f>
        <v/>
      </c>
      <c r="AT420" s="35">
        <f>MAX(-AT368,0)</f>
        <v/>
      </c>
      <c r="AU420" s="35">
        <f>MAX(-AU368,0)</f>
        <v/>
      </c>
      <c r="AV420" s="35">
        <f>MAX(-AV368,0)</f>
        <v/>
      </c>
      <c r="AW420" s="35">
        <f>MAX(-AW368,0)</f>
        <v/>
      </c>
      <c r="AX420" s="35">
        <f>MAX(-AX368,0)</f>
        <v/>
      </c>
      <c r="AY420" s="35">
        <f>MAX(-AY368,0)</f>
        <v/>
      </c>
      <c r="AZ420" s="35">
        <f>MAX(-AZ368,0)</f>
        <v/>
      </c>
      <c r="BA420" s="42">
        <f>SUBSIDYPART(BA368)</f>
        <v/>
      </c>
    </row>
    <row r="421" hidden="1" outlineLevel="1">
      <c r="A421" s="14" t="inlineStr">
        <is>
          <t>esub</t>
        </is>
      </c>
      <c r="B421" s="14" t="inlineStr">
        <is>
          <t>coa</t>
        </is>
      </c>
      <c r="C421" s="14" t="inlineStr">
        <is>
          <t>res</t>
        </is>
      </c>
      <c r="D421" s="39" t="n"/>
      <c r="E421" s="39" t="n"/>
      <c r="F421" s="39" t="n"/>
      <c r="G421" s="39" t="n"/>
      <c r="H421" s="14">
        <f>INDEX(VarLab,MATCH($A421,VarKey,0))&amp;INDEX(MemLab,MATCH($C421&amp;"|"&amp;$B421,MemKey,0))</f>
        <v/>
      </c>
      <c r="I421" s="14">
        <f>INDEX(VarUnit,MATCH($A421,VarKey,0))</f>
        <v/>
      </c>
      <c r="J421" s="14">
        <f>INDEX(VarSrc,MATCH($A421,VarKey,0))</f>
        <v/>
      </c>
      <c r="K421" s="11">
        <f>CodePrefix&amp;$A421&amp;IF($C421="","","."&amp;$C421&amp;"."&amp;$B421)&amp;INDEX(VarEnd,MATCH($A421,VarKey,0))&amp;K$5</f>
        <v/>
      </c>
      <c r="L421" s="40">
        <f>MAX(-L369,0)</f>
        <v/>
      </c>
      <c r="M421" s="35">
        <f>MAX(-M369,0)</f>
        <v/>
      </c>
      <c r="N421" s="35">
        <f>MAX(-N369,0)</f>
        <v/>
      </c>
      <c r="O421" s="35">
        <f>MAX(-O369,0)</f>
        <v/>
      </c>
      <c r="P421" s="35">
        <f>MAX(-P369,0)</f>
        <v/>
      </c>
      <c r="Q421" s="35">
        <f>MAX(-Q369,0)</f>
        <v/>
      </c>
      <c r="R421" s="35">
        <f>MAX(-R369,0)</f>
        <v/>
      </c>
      <c r="S421" s="35">
        <f>MAX(-S369,0)</f>
        <v/>
      </c>
      <c r="T421" s="35">
        <f>MAX(-T369,0)</f>
        <v/>
      </c>
      <c r="U421" s="35">
        <f>MAX(-U369,0)</f>
        <v/>
      </c>
      <c r="V421" s="35">
        <f>MAX(-V369,0)</f>
        <v/>
      </c>
      <c r="W421" s="35">
        <f>MAX(-W369,0)</f>
        <v/>
      </c>
      <c r="X421" s="35">
        <f>MAX(-X369,0)</f>
        <v/>
      </c>
      <c r="Y421" s="35">
        <f>MAX(-Y369,0)</f>
        <v/>
      </c>
      <c r="Z421" s="35">
        <f>MAX(-Z369,0)</f>
        <v/>
      </c>
      <c r="AA421" s="35">
        <f>MAX(-AA369,0)</f>
        <v/>
      </c>
      <c r="AB421" s="35">
        <f>MAX(-AB369,0)</f>
        <v/>
      </c>
      <c r="AC421" s="35">
        <f>MAX(-AC369,0)</f>
        <v/>
      </c>
      <c r="AD421" s="35">
        <f>MAX(-AD369,0)</f>
        <v/>
      </c>
      <c r="AE421" s="42">
        <f>SUBSIDYPART(AE369)</f>
        <v/>
      </c>
      <c r="AG421" s="11">
        <f>CodePrefix&amp;$A421&amp;IF($C421="","","."&amp;$C421&amp;"."&amp;$B421)&amp;INDEX(VarEnd,MATCH($A421,VarKey,0))&amp;AG$5</f>
        <v/>
      </c>
      <c r="AH421" s="40">
        <f>MAX(-AH369,0)</f>
        <v/>
      </c>
      <c r="AI421" s="35">
        <f>MAX(-AI369,0)</f>
        <v/>
      </c>
      <c r="AJ421" s="35">
        <f>MAX(-AJ369,0)</f>
        <v/>
      </c>
      <c r="AK421" s="35">
        <f>MAX(-AK369,0)</f>
        <v/>
      </c>
      <c r="AL421" s="35">
        <f>MAX(-AL369,0)</f>
        <v/>
      </c>
      <c r="AM421" s="35">
        <f>MAX(-AM369,0)</f>
        <v/>
      </c>
      <c r="AN421" s="35">
        <f>MAX(-AN369,0)</f>
        <v/>
      </c>
      <c r="AO421" s="35">
        <f>MAX(-AO369,0)</f>
        <v/>
      </c>
      <c r="AP421" s="35">
        <f>MAX(-AP369,0)</f>
        <v/>
      </c>
      <c r="AQ421" s="35">
        <f>MAX(-AQ369,0)</f>
        <v/>
      </c>
      <c r="AR421" s="35">
        <f>MAX(-AR369,0)</f>
        <v/>
      </c>
      <c r="AS421" s="35">
        <f>MAX(-AS369,0)</f>
        <v/>
      </c>
      <c r="AT421" s="35">
        <f>MAX(-AT369,0)</f>
        <v/>
      </c>
      <c r="AU421" s="35">
        <f>MAX(-AU369,0)</f>
        <v/>
      </c>
      <c r="AV421" s="35">
        <f>MAX(-AV369,0)</f>
        <v/>
      </c>
      <c r="AW421" s="35">
        <f>MAX(-AW369,0)</f>
        <v/>
      </c>
      <c r="AX421" s="35">
        <f>MAX(-AX369,0)</f>
        <v/>
      </c>
      <c r="AY421" s="35">
        <f>MAX(-AY369,0)</f>
        <v/>
      </c>
      <c r="AZ421" s="35">
        <f>MAX(-AZ369,0)</f>
        <v/>
      </c>
      <c r="BA421" s="42">
        <f>SUBSIDYPART(BA369)</f>
        <v/>
      </c>
    </row>
    <row r="422" hidden="1" outlineLevel="1">
      <c r="A422" s="14" t="inlineStr">
        <is>
          <t>esub</t>
        </is>
      </c>
      <c r="B422" s="14" t="inlineStr">
        <is>
          <t>coa</t>
        </is>
      </c>
      <c r="C422" s="14" t="inlineStr">
        <is>
          <t>ind</t>
        </is>
      </c>
      <c r="D422" s="39" t="n"/>
      <c r="E422" s="39" t="n"/>
      <c r="F422" s="39" t="n"/>
      <c r="G422" s="39" t="n"/>
      <c r="H422" s="14">
        <f>INDEX(VarLab,MATCH($A422,VarKey,0))&amp;INDEX(MemLab,MATCH($C422&amp;"|"&amp;$B422,MemKey,0))</f>
        <v/>
      </c>
      <c r="I422" s="14">
        <f>INDEX(VarUnit,MATCH($A422,VarKey,0))</f>
        <v/>
      </c>
      <c r="J422" s="14">
        <f>INDEX(VarSrc,MATCH($A422,VarKey,0))</f>
        <v/>
      </c>
      <c r="K422" s="11">
        <f>CodePrefix&amp;$A422&amp;IF($C422="","","."&amp;$C422&amp;"."&amp;$B422)&amp;INDEX(VarEnd,MATCH($A422,VarKey,0))&amp;K$5</f>
        <v/>
      </c>
      <c r="L422" s="40">
        <f>MAX(-L370,0)</f>
        <v/>
      </c>
      <c r="M422" s="35">
        <f>MAX(-M370,0)</f>
        <v/>
      </c>
      <c r="N422" s="35">
        <f>MAX(-N370,0)</f>
        <v/>
      </c>
      <c r="O422" s="35">
        <f>MAX(-O370,0)</f>
        <v/>
      </c>
      <c r="P422" s="35">
        <f>MAX(-P370,0)</f>
        <v/>
      </c>
      <c r="Q422" s="35">
        <f>MAX(-Q370,0)</f>
        <v/>
      </c>
      <c r="R422" s="35">
        <f>MAX(-R370,0)</f>
        <v/>
      </c>
      <c r="S422" s="35">
        <f>MAX(-S370,0)</f>
        <v/>
      </c>
      <c r="T422" s="35">
        <f>MAX(-T370,0)</f>
        <v/>
      </c>
      <c r="U422" s="35">
        <f>MAX(-U370,0)</f>
        <v/>
      </c>
      <c r="V422" s="35">
        <f>MAX(-V370,0)</f>
        <v/>
      </c>
      <c r="W422" s="35">
        <f>MAX(-W370,0)</f>
        <v/>
      </c>
      <c r="X422" s="35">
        <f>MAX(-X370,0)</f>
        <v/>
      </c>
      <c r="Y422" s="35">
        <f>MAX(-Y370,0)</f>
        <v/>
      </c>
      <c r="Z422" s="35">
        <f>MAX(-Z370,0)</f>
        <v/>
      </c>
      <c r="AA422" s="35">
        <f>MAX(-AA370,0)</f>
        <v/>
      </c>
      <c r="AB422" s="35">
        <f>MAX(-AB370,0)</f>
        <v/>
      </c>
      <c r="AC422" s="35">
        <f>MAX(-AC370,0)</f>
        <v/>
      </c>
      <c r="AD422" s="35">
        <f>MAX(-AD370,0)</f>
        <v/>
      </c>
      <c r="AE422" s="42">
        <f>SUBSIDYPART(AE370)</f>
        <v/>
      </c>
      <c r="AG422" s="11">
        <f>CodePrefix&amp;$A422&amp;IF($C422="","","."&amp;$C422&amp;"."&amp;$B422)&amp;INDEX(VarEnd,MATCH($A422,VarKey,0))&amp;AG$5</f>
        <v/>
      </c>
      <c r="AH422" s="40">
        <f>MAX(-AH370,0)</f>
        <v/>
      </c>
      <c r="AI422" s="35">
        <f>MAX(-AI370,0)</f>
        <v/>
      </c>
      <c r="AJ422" s="35">
        <f>MAX(-AJ370,0)</f>
        <v/>
      </c>
      <c r="AK422" s="35">
        <f>MAX(-AK370,0)</f>
        <v/>
      </c>
      <c r="AL422" s="35">
        <f>MAX(-AL370,0)</f>
        <v/>
      </c>
      <c r="AM422" s="35">
        <f>MAX(-AM370,0)</f>
        <v/>
      </c>
      <c r="AN422" s="35">
        <f>MAX(-AN370,0)</f>
        <v/>
      </c>
      <c r="AO422" s="35">
        <f>MAX(-AO370,0)</f>
        <v/>
      </c>
      <c r="AP422" s="35">
        <f>MAX(-AP370,0)</f>
        <v/>
      </c>
      <c r="AQ422" s="35">
        <f>MAX(-AQ370,0)</f>
        <v/>
      </c>
      <c r="AR422" s="35">
        <f>MAX(-AR370,0)</f>
        <v/>
      </c>
      <c r="AS422" s="35">
        <f>MAX(-AS370,0)</f>
        <v/>
      </c>
      <c r="AT422" s="35">
        <f>MAX(-AT370,0)</f>
        <v/>
      </c>
      <c r="AU422" s="35">
        <f>MAX(-AU370,0)</f>
        <v/>
      </c>
      <c r="AV422" s="35">
        <f>MAX(-AV370,0)</f>
        <v/>
      </c>
      <c r="AW422" s="35">
        <f>MAX(-AW370,0)</f>
        <v/>
      </c>
      <c r="AX422" s="35">
        <f>MAX(-AX370,0)</f>
        <v/>
      </c>
      <c r="AY422" s="35">
        <f>MAX(-AY370,0)</f>
        <v/>
      </c>
      <c r="AZ422" s="35">
        <f>MAX(-AZ370,0)</f>
        <v/>
      </c>
      <c r="BA422" s="42">
        <f>SUBSIDYPART(BA370)</f>
        <v/>
      </c>
    </row>
    <row r="423" hidden="1" outlineLevel="1">
      <c r="A423" s="14" t="inlineStr">
        <is>
          <t>esub</t>
        </is>
      </c>
      <c r="B423" s="14" t="inlineStr">
        <is>
          <t>nga</t>
        </is>
      </c>
      <c r="C423" s="14" t="inlineStr">
        <is>
          <t>pow</t>
        </is>
      </c>
      <c r="D423" s="39" t="n"/>
      <c r="E423" s="39" t="n"/>
      <c r="F423" s="39" t="n"/>
      <c r="G423" s="39" t="n"/>
      <c r="H423" s="14">
        <f>INDEX(VarLab,MATCH($A423,VarKey,0))&amp;INDEX(MemLab,MATCH($C423&amp;"|"&amp;$B423,MemKey,0))</f>
        <v/>
      </c>
      <c r="I423" s="14">
        <f>INDEX(VarUnit,MATCH($A423,VarKey,0))</f>
        <v/>
      </c>
      <c r="J423" s="14">
        <f>INDEX(VarSrc,MATCH($A423,VarKey,0))</f>
        <v/>
      </c>
      <c r="K423" s="11">
        <f>CodePrefix&amp;$A423&amp;IF($C423="","","."&amp;$C423&amp;"."&amp;$B423)&amp;INDEX(VarEnd,MATCH($A423,VarKey,0))&amp;K$5</f>
        <v/>
      </c>
      <c r="L423" s="40">
        <f>MAX(-L371,0)</f>
        <v/>
      </c>
      <c r="M423" s="35">
        <f>MAX(-M371,0)</f>
        <v/>
      </c>
      <c r="N423" s="35">
        <f>MAX(-N371,0)</f>
        <v/>
      </c>
      <c r="O423" s="35">
        <f>MAX(-O371,0)</f>
        <v/>
      </c>
      <c r="P423" s="35">
        <f>MAX(-P371,0)</f>
        <v/>
      </c>
      <c r="Q423" s="35">
        <f>MAX(-Q371,0)</f>
        <v/>
      </c>
      <c r="R423" s="35">
        <f>MAX(-R371,0)</f>
        <v/>
      </c>
      <c r="S423" s="35">
        <f>MAX(-S371,0)</f>
        <v/>
      </c>
      <c r="T423" s="35">
        <f>MAX(-T371,0)</f>
        <v/>
      </c>
      <c r="U423" s="35">
        <f>MAX(-U371,0)</f>
        <v/>
      </c>
      <c r="V423" s="35">
        <f>MAX(-V371,0)</f>
        <v/>
      </c>
      <c r="W423" s="35">
        <f>MAX(-W371,0)</f>
        <v/>
      </c>
      <c r="X423" s="35">
        <f>MAX(-X371,0)</f>
        <v/>
      </c>
      <c r="Y423" s="35">
        <f>MAX(-Y371,0)</f>
        <v/>
      </c>
      <c r="Z423" s="35">
        <f>MAX(-Z371,0)</f>
        <v/>
      </c>
      <c r="AA423" s="35">
        <f>MAX(-AA371,0)</f>
        <v/>
      </c>
      <c r="AB423" s="35">
        <f>MAX(-AB371,0)</f>
        <v/>
      </c>
      <c r="AC423" s="35">
        <f>MAX(-AC371,0)</f>
        <v/>
      </c>
      <c r="AD423" s="35">
        <f>MAX(-AD371,0)</f>
        <v/>
      </c>
      <c r="AE423" s="42">
        <f>SUBSIDYPART(AE371)</f>
        <v/>
      </c>
      <c r="AG423" s="11">
        <f>CodePrefix&amp;$A423&amp;IF($C423="","","."&amp;$C423&amp;"."&amp;$B423)&amp;INDEX(VarEnd,MATCH($A423,VarKey,0))&amp;AG$5</f>
        <v/>
      </c>
      <c r="AH423" s="40">
        <f>MAX(-AH371,0)</f>
        <v/>
      </c>
      <c r="AI423" s="35">
        <f>MAX(-AI371,0)</f>
        <v/>
      </c>
      <c r="AJ423" s="35">
        <f>MAX(-AJ371,0)</f>
        <v/>
      </c>
      <c r="AK423" s="35">
        <f>MAX(-AK371,0)</f>
        <v/>
      </c>
      <c r="AL423" s="35">
        <f>MAX(-AL371,0)</f>
        <v/>
      </c>
      <c r="AM423" s="35">
        <f>MAX(-AM371,0)</f>
        <v/>
      </c>
      <c r="AN423" s="35">
        <f>MAX(-AN371,0)</f>
        <v/>
      </c>
      <c r="AO423" s="35">
        <f>MAX(-AO371,0)</f>
        <v/>
      </c>
      <c r="AP423" s="35">
        <f>MAX(-AP371,0)</f>
        <v/>
      </c>
      <c r="AQ423" s="35">
        <f>MAX(-AQ371,0)</f>
        <v/>
      </c>
      <c r="AR423" s="35">
        <f>MAX(-AR371,0)</f>
        <v/>
      </c>
      <c r="AS423" s="35">
        <f>MAX(-AS371,0)</f>
        <v/>
      </c>
      <c r="AT423" s="35">
        <f>MAX(-AT371,0)</f>
        <v/>
      </c>
      <c r="AU423" s="35">
        <f>MAX(-AU371,0)</f>
        <v/>
      </c>
      <c r="AV423" s="35">
        <f>MAX(-AV371,0)</f>
        <v/>
      </c>
      <c r="AW423" s="35">
        <f>MAX(-AW371,0)</f>
        <v/>
      </c>
      <c r="AX423" s="35">
        <f>MAX(-AX371,0)</f>
        <v/>
      </c>
      <c r="AY423" s="35">
        <f>MAX(-AY371,0)</f>
        <v/>
      </c>
      <c r="AZ423" s="35">
        <f>MAX(-AZ371,0)</f>
        <v/>
      </c>
      <c r="BA423" s="42">
        <f>SUBSIDYPART(BA371)</f>
        <v/>
      </c>
    </row>
    <row r="424" hidden="1" outlineLevel="1">
      <c r="A424" s="14" t="inlineStr">
        <is>
          <t>esub</t>
        </is>
      </c>
      <c r="B424" s="14" t="inlineStr">
        <is>
          <t>nga</t>
        </is>
      </c>
      <c r="C424" s="14" t="inlineStr">
        <is>
          <t>res</t>
        </is>
      </c>
      <c r="D424" s="39" t="n"/>
      <c r="E424" s="39" t="n"/>
      <c r="F424" s="39" t="n"/>
      <c r="G424" s="39" t="n"/>
      <c r="H424" s="14">
        <f>INDEX(VarLab,MATCH($A424,VarKey,0))&amp;INDEX(MemLab,MATCH($C424&amp;"|"&amp;$B424,MemKey,0))</f>
        <v/>
      </c>
      <c r="I424" s="14">
        <f>INDEX(VarUnit,MATCH($A424,VarKey,0))</f>
        <v/>
      </c>
      <c r="J424" s="14">
        <f>INDEX(VarSrc,MATCH($A424,VarKey,0))</f>
        <v/>
      </c>
      <c r="K424" s="11">
        <f>CodePrefix&amp;$A424&amp;IF($C424="","","."&amp;$C424&amp;"."&amp;$B424)&amp;INDEX(VarEnd,MATCH($A424,VarKey,0))&amp;K$5</f>
        <v/>
      </c>
      <c r="L424" s="40">
        <f>MAX(-L372,0)</f>
        <v/>
      </c>
      <c r="M424" s="35">
        <f>MAX(-M372,0)</f>
        <v/>
      </c>
      <c r="N424" s="35">
        <f>MAX(-N372,0)</f>
        <v/>
      </c>
      <c r="O424" s="35">
        <f>MAX(-O372,0)</f>
        <v/>
      </c>
      <c r="P424" s="35">
        <f>MAX(-P372,0)</f>
        <v/>
      </c>
      <c r="Q424" s="35">
        <f>MAX(-Q372,0)</f>
        <v/>
      </c>
      <c r="R424" s="35">
        <f>MAX(-R372,0)</f>
        <v/>
      </c>
      <c r="S424" s="35">
        <f>MAX(-S372,0)</f>
        <v/>
      </c>
      <c r="T424" s="35">
        <f>MAX(-T372,0)</f>
        <v/>
      </c>
      <c r="U424" s="35">
        <f>MAX(-U372,0)</f>
        <v/>
      </c>
      <c r="V424" s="35">
        <f>MAX(-V372,0)</f>
        <v/>
      </c>
      <c r="W424" s="35">
        <f>MAX(-W372,0)</f>
        <v/>
      </c>
      <c r="X424" s="35">
        <f>MAX(-X372,0)</f>
        <v/>
      </c>
      <c r="Y424" s="35">
        <f>MAX(-Y372,0)</f>
        <v/>
      </c>
      <c r="Z424" s="35">
        <f>MAX(-Z372,0)</f>
        <v/>
      </c>
      <c r="AA424" s="35">
        <f>MAX(-AA372,0)</f>
        <v/>
      </c>
      <c r="AB424" s="35">
        <f>MAX(-AB372,0)</f>
        <v/>
      </c>
      <c r="AC424" s="35">
        <f>MAX(-AC372,0)</f>
        <v/>
      </c>
      <c r="AD424" s="35">
        <f>MAX(-AD372,0)</f>
        <v/>
      </c>
      <c r="AE424" s="42">
        <f>SUBSIDYPART(AE372)</f>
        <v/>
      </c>
      <c r="AG424" s="11">
        <f>CodePrefix&amp;$A424&amp;IF($C424="","","."&amp;$C424&amp;"."&amp;$B424)&amp;INDEX(VarEnd,MATCH($A424,VarKey,0))&amp;AG$5</f>
        <v/>
      </c>
      <c r="AH424" s="40">
        <f>MAX(-AH372,0)</f>
        <v/>
      </c>
      <c r="AI424" s="35">
        <f>MAX(-AI372,0)</f>
        <v/>
      </c>
      <c r="AJ424" s="35">
        <f>MAX(-AJ372,0)</f>
        <v/>
      </c>
      <c r="AK424" s="35">
        <f>MAX(-AK372,0)</f>
        <v/>
      </c>
      <c r="AL424" s="35">
        <f>MAX(-AL372,0)</f>
        <v/>
      </c>
      <c r="AM424" s="35">
        <f>MAX(-AM372,0)</f>
        <v/>
      </c>
      <c r="AN424" s="35">
        <f>MAX(-AN372,0)</f>
        <v/>
      </c>
      <c r="AO424" s="35">
        <f>MAX(-AO372,0)</f>
        <v/>
      </c>
      <c r="AP424" s="35">
        <f>MAX(-AP372,0)</f>
        <v/>
      </c>
      <c r="AQ424" s="35">
        <f>MAX(-AQ372,0)</f>
        <v/>
      </c>
      <c r="AR424" s="35">
        <f>MAX(-AR372,0)</f>
        <v/>
      </c>
      <c r="AS424" s="35">
        <f>MAX(-AS372,0)</f>
        <v/>
      </c>
      <c r="AT424" s="35">
        <f>MAX(-AT372,0)</f>
        <v/>
      </c>
      <c r="AU424" s="35">
        <f>MAX(-AU372,0)</f>
        <v/>
      </c>
      <c r="AV424" s="35">
        <f>MAX(-AV372,0)</f>
        <v/>
      </c>
      <c r="AW424" s="35">
        <f>MAX(-AW372,0)</f>
        <v/>
      </c>
      <c r="AX424" s="35">
        <f>MAX(-AX372,0)</f>
        <v/>
      </c>
      <c r="AY424" s="35">
        <f>MAX(-AY372,0)</f>
        <v/>
      </c>
      <c r="AZ424" s="35">
        <f>MAX(-AZ372,0)</f>
        <v/>
      </c>
      <c r="BA424" s="42">
        <f>SUBSIDYPART(BA372)</f>
        <v/>
      </c>
    </row>
    <row r="425" hidden="1" outlineLevel="1">
      <c r="A425" s="14" t="inlineStr">
        <is>
          <t>esub</t>
        </is>
      </c>
      <c r="B425" s="14" t="inlineStr">
        <is>
          <t>nga</t>
        </is>
      </c>
      <c r="C425" s="14" t="inlineStr">
        <is>
          <t>ind</t>
        </is>
      </c>
      <c r="D425" s="39" t="n"/>
      <c r="E425" s="39" t="n"/>
      <c r="F425" s="39" t="n"/>
      <c r="G425" s="39" t="n"/>
      <c r="H425" s="14">
        <f>INDEX(VarLab,MATCH($A425,VarKey,0))&amp;INDEX(MemLab,MATCH($C425&amp;"|"&amp;$B425,MemKey,0))</f>
        <v/>
      </c>
      <c r="I425" s="14">
        <f>INDEX(VarUnit,MATCH($A425,VarKey,0))</f>
        <v/>
      </c>
      <c r="J425" s="14">
        <f>INDEX(VarSrc,MATCH($A425,VarKey,0))</f>
        <v/>
      </c>
      <c r="K425" s="11">
        <f>CodePrefix&amp;$A425&amp;IF($C425="","","."&amp;$C425&amp;"."&amp;$B425)&amp;INDEX(VarEnd,MATCH($A425,VarKey,0))&amp;K$5</f>
        <v/>
      </c>
      <c r="L425" s="40">
        <f>MAX(-L373,0)</f>
        <v/>
      </c>
      <c r="M425" s="35">
        <f>MAX(-M373,0)</f>
        <v/>
      </c>
      <c r="N425" s="35">
        <f>MAX(-N373,0)</f>
        <v/>
      </c>
      <c r="O425" s="35">
        <f>MAX(-O373,0)</f>
        <v/>
      </c>
      <c r="P425" s="35">
        <f>MAX(-P373,0)</f>
        <v/>
      </c>
      <c r="Q425" s="35">
        <f>MAX(-Q373,0)</f>
        <v/>
      </c>
      <c r="R425" s="35">
        <f>MAX(-R373,0)</f>
        <v/>
      </c>
      <c r="S425" s="35">
        <f>MAX(-S373,0)</f>
        <v/>
      </c>
      <c r="T425" s="35">
        <f>MAX(-T373,0)</f>
        <v/>
      </c>
      <c r="U425" s="35">
        <f>MAX(-U373,0)</f>
        <v/>
      </c>
      <c r="V425" s="35">
        <f>MAX(-V373,0)</f>
        <v/>
      </c>
      <c r="W425" s="35">
        <f>MAX(-W373,0)</f>
        <v/>
      </c>
      <c r="X425" s="35">
        <f>MAX(-X373,0)</f>
        <v/>
      </c>
      <c r="Y425" s="35">
        <f>MAX(-Y373,0)</f>
        <v/>
      </c>
      <c r="Z425" s="35">
        <f>MAX(-Z373,0)</f>
        <v/>
      </c>
      <c r="AA425" s="35">
        <f>MAX(-AA373,0)</f>
        <v/>
      </c>
      <c r="AB425" s="35">
        <f>MAX(-AB373,0)</f>
        <v/>
      </c>
      <c r="AC425" s="35">
        <f>MAX(-AC373,0)</f>
        <v/>
      </c>
      <c r="AD425" s="35">
        <f>MAX(-AD373,0)</f>
        <v/>
      </c>
      <c r="AE425" s="42">
        <f>SUBSIDYPART(AE373)</f>
        <v/>
      </c>
      <c r="AG425" s="11">
        <f>CodePrefix&amp;$A425&amp;IF($C425="","","."&amp;$C425&amp;"."&amp;$B425)&amp;INDEX(VarEnd,MATCH($A425,VarKey,0))&amp;AG$5</f>
        <v/>
      </c>
      <c r="AH425" s="40">
        <f>MAX(-AH373,0)</f>
        <v/>
      </c>
      <c r="AI425" s="35">
        <f>MAX(-AI373,0)</f>
        <v/>
      </c>
      <c r="AJ425" s="35">
        <f>MAX(-AJ373,0)</f>
        <v/>
      </c>
      <c r="AK425" s="35">
        <f>MAX(-AK373,0)</f>
        <v/>
      </c>
      <c r="AL425" s="35">
        <f>MAX(-AL373,0)</f>
        <v/>
      </c>
      <c r="AM425" s="35">
        <f>MAX(-AM373,0)</f>
        <v/>
      </c>
      <c r="AN425" s="35">
        <f>MAX(-AN373,0)</f>
        <v/>
      </c>
      <c r="AO425" s="35">
        <f>MAX(-AO373,0)</f>
        <v/>
      </c>
      <c r="AP425" s="35">
        <f>MAX(-AP373,0)</f>
        <v/>
      </c>
      <c r="AQ425" s="35">
        <f>MAX(-AQ373,0)</f>
        <v/>
      </c>
      <c r="AR425" s="35">
        <f>MAX(-AR373,0)</f>
        <v/>
      </c>
      <c r="AS425" s="35">
        <f>MAX(-AS373,0)</f>
        <v/>
      </c>
      <c r="AT425" s="35">
        <f>MAX(-AT373,0)</f>
        <v/>
      </c>
      <c r="AU425" s="35">
        <f>MAX(-AU373,0)</f>
        <v/>
      </c>
      <c r="AV425" s="35">
        <f>MAX(-AV373,0)</f>
        <v/>
      </c>
      <c r="AW425" s="35">
        <f>MAX(-AW373,0)</f>
        <v/>
      </c>
      <c r="AX425" s="35">
        <f>MAX(-AX373,0)</f>
        <v/>
      </c>
      <c r="AY425" s="35">
        <f>MAX(-AY373,0)</f>
        <v/>
      </c>
      <c r="AZ425" s="35">
        <f>MAX(-AZ373,0)</f>
        <v/>
      </c>
      <c r="BA425" s="42">
        <f>SUBSIDYPART(BA373)</f>
        <v/>
      </c>
    </row>
    <row r="426" hidden="1" outlineLevel="1">
      <c r="A426" s="14" t="inlineStr">
        <is>
          <t>esub</t>
        </is>
      </c>
      <c r="B426" s="14" t="inlineStr">
        <is>
          <t>gso</t>
        </is>
      </c>
      <c r="C426" s="14" t="inlineStr">
        <is>
          <t>all</t>
        </is>
      </c>
      <c r="D426" s="39" t="n"/>
      <c r="E426" s="39" t="n"/>
      <c r="F426" s="39" t="n"/>
      <c r="G426" s="39" t="n"/>
      <c r="H426" s="14">
        <f>INDEX(VarLab,MATCH($A426,VarKey,0))&amp;INDEX(MemLab,MATCH($C426&amp;"|"&amp;$B426,MemKey,0))</f>
        <v/>
      </c>
      <c r="I426" s="14">
        <f>INDEX(VarUnit,MATCH($A426,VarKey,0))</f>
        <v/>
      </c>
      <c r="J426" s="14">
        <f>INDEX(VarSrc,MATCH($A426,VarKey,0))</f>
        <v/>
      </c>
      <c r="K426" s="11">
        <f>CodePrefix&amp;$A426&amp;IF($C426="","","."&amp;$C426&amp;"."&amp;$B426)&amp;INDEX(VarEnd,MATCH($A426,VarKey,0))&amp;K$5</f>
        <v/>
      </c>
      <c r="L426" s="40">
        <f>MAX(-L374,0)</f>
        <v/>
      </c>
      <c r="M426" s="35">
        <f>MAX(-M374,0)</f>
        <v/>
      </c>
      <c r="N426" s="35">
        <f>MAX(-N374,0)</f>
        <v/>
      </c>
      <c r="O426" s="35">
        <f>MAX(-O374,0)</f>
        <v/>
      </c>
      <c r="P426" s="35">
        <f>MAX(-P374,0)</f>
        <v/>
      </c>
      <c r="Q426" s="35">
        <f>MAX(-Q374,0)</f>
        <v/>
      </c>
      <c r="R426" s="35">
        <f>MAX(-R374,0)</f>
        <v/>
      </c>
      <c r="S426" s="35">
        <f>MAX(-S374,0)</f>
        <v/>
      </c>
      <c r="T426" s="35">
        <f>MAX(-T374,0)</f>
        <v/>
      </c>
      <c r="U426" s="35">
        <f>MAX(-U374,0)</f>
        <v/>
      </c>
      <c r="V426" s="35">
        <f>MAX(-V374,0)</f>
        <v/>
      </c>
      <c r="W426" s="35">
        <f>MAX(-W374,0)</f>
        <v/>
      </c>
      <c r="X426" s="35">
        <f>MAX(-X374,0)</f>
        <v/>
      </c>
      <c r="Y426" s="35">
        <f>MAX(-Y374,0)</f>
        <v/>
      </c>
      <c r="Z426" s="35">
        <f>MAX(-Z374,0)</f>
        <v/>
      </c>
      <c r="AA426" s="35">
        <f>MAX(-AA374,0)</f>
        <v/>
      </c>
      <c r="AB426" s="35">
        <f>MAX(-AB374,0)</f>
        <v/>
      </c>
      <c r="AC426" s="35">
        <f>MAX(-AC374,0)</f>
        <v/>
      </c>
      <c r="AD426" s="35">
        <f>MAX(-AD374,0)</f>
        <v/>
      </c>
      <c r="AE426" s="42">
        <f>SUBSIDYPART(AE374)</f>
        <v/>
      </c>
      <c r="AG426" s="11">
        <f>CodePrefix&amp;$A426&amp;IF($C426="","","."&amp;$C426&amp;"."&amp;$B426)&amp;INDEX(VarEnd,MATCH($A426,VarKey,0))&amp;AG$5</f>
        <v/>
      </c>
      <c r="AH426" s="40">
        <f>MAX(-AH374,0)</f>
        <v/>
      </c>
      <c r="AI426" s="35">
        <f>MAX(-AI374,0)</f>
        <v/>
      </c>
      <c r="AJ426" s="35">
        <f>MAX(-AJ374,0)</f>
        <v/>
      </c>
      <c r="AK426" s="35">
        <f>MAX(-AK374,0)</f>
        <v/>
      </c>
      <c r="AL426" s="35">
        <f>MAX(-AL374,0)</f>
        <v/>
      </c>
      <c r="AM426" s="35">
        <f>MAX(-AM374,0)</f>
        <v/>
      </c>
      <c r="AN426" s="35">
        <f>MAX(-AN374,0)</f>
        <v/>
      </c>
      <c r="AO426" s="35">
        <f>MAX(-AO374,0)</f>
        <v/>
      </c>
      <c r="AP426" s="35">
        <f>MAX(-AP374,0)</f>
        <v/>
      </c>
      <c r="AQ426" s="35">
        <f>MAX(-AQ374,0)</f>
        <v/>
      </c>
      <c r="AR426" s="35">
        <f>MAX(-AR374,0)</f>
        <v/>
      </c>
      <c r="AS426" s="35">
        <f>MAX(-AS374,0)</f>
        <v/>
      </c>
      <c r="AT426" s="35">
        <f>MAX(-AT374,0)</f>
        <v/>
      </c>
      <c r="AU426" s="35">
        <f>MAX(-AU374,0)</f>
        <v/>
      </c>
      <c r="AV426" s="35">
        <f>MAX(-AV374,0)</f>
        <v/>
      </c>
      <c r="AW426" s="35">
        <f>MAX(-AW374,0)</f>
        <v/>
      </c>
      <c r="AX426" s="35">
        <f>MAX(-AX374,0)</f>
        <v/>
      </c>
      <c r="AY426" s="35">
        <f>MAX(-AY374,0)</f>
        <v/>
      </c>
      <c r="AZ426" s="35">
        <f>MAX(-AZ374,0)</f>
        <v/>
      </c>
      <c r="BA426" s="42">
        <f>SUBSIDYPART(BA374)</f>
        <v/>
      </c>
    </row>
    <row r="427" hidden="1" outlineLevel="1">
      <c r="A427" s="14" t="inlineStr">
        <is>
          <t>esub</t>
        </is>
      </c>
      <c r="B427" s="14" t="inlineStr">
        <is>
          <t>die</t>
        </is>
      </c>
      <c r="C427" s="14" t="inlineStr">
        <is>
          <t>all</t>
        </is>
      </c>
      <c r="D427" s="39" t="n"/>
      <c r="E427" s="39" t="n"/>
      <c r="F427" s="39" t="n"/>
      <c r="G427" s="39" t="n"/>
      <c r="H427" s="14">
        <f>INDEX(VarLab,MATCH($A427,VarKey,0))&amp;INDEX(MemLab,MATCH($C427&amp;"|"&amp;$B427,MemKey,0))</f>
        <v/>
      </c>
      <c r="I427" s="14">
        <f>INDEX(VarUnit,MATCH($A427,VarKey,0))</f>
        <v/>
      </c>
      <c r="J427" s="14">
        <f>INDEX(VarSrc,MATCH($A427,VarKey,0))</f>
        <v/>
      </c>
      <c r="K427" s="11">
        <f>CodePrefix&amp;$A427&amp;IF($C427="","","."&amp;$C427&amp;"."&amp;$B427)&amp;INDEX(VarEnd,MATCH($A427,VarKey,0))&amp;K$5</f>
        <v/>
      </c>
      <c r="L427" s="40">
        <f>MAX(-L375,0)</f>
        <v/>
      </c>
      <c r="M427" s="35">
        <f>MAX(-M375,0)</f>
        <v/>
      </c>
      <c r="N427" s="35">
        <f>MAX(-N375,0)</f>
        <v/>
      </c>
      <c r="O427" s="35">
        <f>MAX(-O375,0)</f>
        <v/>
      </c>
      <c r="P427" s="35">
        <f>MAX(-P375,0)</f>
        <v/>
      </c>
      <c r="Q427" s="35">
        <f>MAX(-Q375,0)</f>
        <v/>
      </c>
      <c r="R427" s="35">
        <f>MAX(-R375,0)</f>
        <v/>
      </c>
      <c r="S427" s="35">
        <f>MAX(-S375,0)</f>
        <v/>
      </c>
      <c r="T427" s="35">
        <f>MAX(-T375,0)</f>
        <v/>
      </c>
      <c r="U427" s="35">
        <f>MAX(-U375,0)</f>
        <v/>
      </c>
      <c r="V427" s="35">
        <f>MAX(-V375,0)</f>
        <v/>
      </c>
      <c r="W427" s="35">
        <f>MAX(-W375,0)</f>
        <v/>
      </c>
      <c r="X427" s="35">
        <f>MAX(-X375,0)</f>
        <v/>
      </c>
      <c r="Y427" s="35">
        <f>MAX(-Y375,0)</f>
        <v/>
      </c>
      <c r="Z427" s="35">
        <f>MAX(-Z375,0)</f>
        <v/>
      </c>
      <c r="AA427" s="35">
        <f>MAX(-AA375,0)</f>
        <v/>
      </c>
      <c r="AB427" s="35">
        <f>MAX(-AB375,0)</f>
        <v/>
      </c>
      <c r="AC427" s="35">
        <f>MAX(-AC375,0)</f>
        <v/>
      </c>
      <c r="AD427" s="35">
        <f>MAX(-AD375,0)</f>
        <v/>
      </c>
      <c r="AE427" s="42">
        <f>SUBSIDYPART(AE375)</f>
        <v/>
      </c>
      <c r="AG427" s="11">
        <f>CodePrefix&amp;$A427&amp;IF($C427="","","."&amp;$C427&amp;"."&amp;$B427)&amp;INDEX(VarEnd,MATCH($A427,VarKey,0))&amp;AG$5</f>
        <v/>
      </c>
      <c r="AH427" s="40">
        <f>MAX(-AH375,0)</f>
        <v/>
      </c>
      <c r="AI427" s="35">
        <f>MAX(-AI375,0)</f>
        <v/>
      </c>
      <c r="AJ427" s="35">
        <f>MAX(-AJ375,0)</f>
        <v/>
      </c>
      <c r="AK427" s="35">
        <f>MAX(-AK375,0)</f>
        <v/>
      </c>
      <c r="AL427" s="35">
        <f>MAX(-AL375,0)</f>
        <v/>
      </c>
      <c r="AM427" s="35">
        <f>MAX(-AM375,0)</f>
        <v/>
      </c>
      <c r="AN427" s="35">
        <f>MAX(-AN375,0)</f>
        <v/>
      </c>
      <c r="AO427" s="35">
        <f>MAX(-AO375,0)</f>
        <v/>
      </c>
      <c r="AP427" s="35">
        <f>MAX(-AP375,0)</f>
        <v/>
      </c>
      <c r="AQ427" s="35">
        <f>MAX(-AQ375,0)</f>
        <v/>
      </c>
      <c r="AR427" s="35">
        <f>MAX(-AR375,0)</f>
        <v/>
      </c>
      <c r="AS427" s="35">
        <f>MAX(-AS375,0)</f>
        <v/>
      </c>
      <c r="AT427" s="35">
        <f>MAX(-AT375,0)</f>
        <v/>
      </c>
      <c r="AU427" s="35">
        <f>MAX(-AU375,0)</f>
        <v/>
      </c>
      <c r="AV427" s="35">
        <f>MAX(-AV375,0)</f>
        <v/>
      </c>
      <c r="AW427" s="35">
        <f>MAX(-AW375,0)</f>
        <v/>
      </c>
      <c r="AX427" s="35">
        <f>MAX(-AX375,0)</f>
        <v/>
      </c>
      <c r="AY427" s="35">
        <f>MAX(-AY375,0)</f>
        <v/>
      </c>
      <c r="AZ427" s="35">
        <f>MAX(-AZ375,0)</f>
        <v/>
      </c>
      <c r="BA427" s="42">
        <f>SUBSIDYPART(BA375)</f>
        <v/>
      </c>
    </row>
    <row r="428" hidden="1" outlineLevel="1">
      <c r="A428" s="14" t="inlineStr">
        <is>
          <t>esub</t>
        </is>
      </c>
      <c r="B428" s="14" t="inlineStr">
        <is>
          <t>lpg</t>
        </is>
      </c>
      <c r="C428" s="14" t="inlineStr">
        <is>
          <t>all</t>
        </is>
      </c>
      <c r="D428" s="39" t="n"/>
      <c r="E428" s="39" t="n"/>
      <c r="F428" s="39" t="n"/>
      <c r="G428" s="39" t="n"/>
      <c r="H428" s="14">
        <f>INDEX(VarLab,MATCH($A428,VarKey,0))&amp;INDEX(MemLab,MATCH($C428&amp;"|"&amp;$B428,MemKey,0))</f>
        <v/>
      </c>
      <c r="I428" s="14">
        <f>INDEX(VarUnit,MATCH($A428,VarKey,0))</f>
        <v/>
      </c>
      <c r="J428" s="14">
        <f>INDEX(VarSrc,MATCH($A428,VarKey,0))</f>
        <v/>
      </c>
      <c r="K428" s="11">
        <f>CodePrefix&amp;$A428&amp;IF($C428="","","."&amp;$C428&amp;"."&amp;$B428)&amp;INDEX(VarEnd,MATCH($A428,VarKey,0))&amp;K$5</f>
        <v/>
      </c>
      <c r="L428" s="40">
        <f>MAX(-L376,0)</f>
        <v/>
      </c>
      <c r="M428" s="35">
        <f>MAX(-M376,0)</f>
        <v/>
      </c>
      <c r="N428" s="35">
        <f>MAX(-N376,0)</f>
        <v/>
      </c>
      <c r="O428" s="35">
        <f>MAX(-O376,0)</f>
        <v/>
      </c>
      <c r="P428" s="35">
        <f>MAX(-P376,0)</f>
        <v/>
      </c>
      <c r="Q428" s="35">
        <f>MAX(-Q376,0)</f>
        <v/>
      </c>
      <c r="R428" s="35">
        <f>MAX(-R376,0)</f>
        <v/>
      </c>
      <c r="S428" s="35">
        <f>MAX(-S376,0)</f>
        <v/>
      </c>
      <c r="T428" s="35">
        <f>MAX(-T376,0)</f>
        <v/>
      </c>
      <c r="U428" s="35">
        <f>MAX(-U376,0)</f>
        <v/>
      </c>
      <c r="V428" s="35">
        <f>MAX(-V376,0)</f>
        <v/>
      </c>
      <c r="W428" s="35">
        <f>MAX(-W376,0)</f>
        <v/>
      </c>
      <c r="X428" s="35">
        <f>MAX(-X376,0)</f>
        <v/>
      </c>
      <c r="Y428" s="35">
        <f>MAX(-Y376,0)</f>
        <v/>
      </c>
      <c r="Z428" s="35">
        <f>MAX(-Z376,0)</f>
        <v/>
      </c>
      <c r="AA428" s="35">
        <f>MAX(-AA376,0)</f>
        <v/>
      </c>
      <c r="AB428" s="35">
        <f>MAX(-AB376,0)</f>
        <v/>
      </c>
      <c r="AC428" s="35">
        <f>MAX(-AC376,0)</f>
        <v/>
      </c>
      <c r="AD428" s="35">
        <f>MAX(-AD376,0)</f>
        <v/>
      </c>
      <c r="AE428" s="42">
        <f>SUBSIDYPART(AE376)</f>
        <v/>
      </c>
      <c r="AG428" s="11">
        <f>CodePrefix&amp;$A428&amp;IF($C428="","","."&amp;$C428&amp;"."&amp;$B428)&amp;INDEX(VarEnd,MATCH($A428,VarKey,0))&amp;AG$5</f>
        <v/>
      </c>
      <c r="AH428" s="40">
        <f>MAX(-AH376,0)</f>
        <v/>
      </c>
      <c r="AI428" s="35">
        <f>MAX(-AI376,0)</f>
        <v/>
      </c>
      <c r="AJ428" s="35">
        <f>MAX(-AJ376,0)</f>
        <v/>
      </c>
      <c r="AK428" s="35">
        <f>MAX(-AK376,0)</f>
        <v/>
      </c>
      <c r="AL428" s="35">
        <f>MAX(-AL376,0)</f>
        <v/>
      </c>
      <c r="AM428" s="35">
        <f>MAX(-AM376,0)</f>
        <v/>
      </c>
      <c r="AN428" s="35">
        <f>MAX(-AN376,0)</f>
        <v/>
      </c>
      <c r="AO428" s="35">
        <f>MAX(-AO376,0)</f>
        <v/>
      </c>
      <c r="AP428" s="35">
        <f>MAX(-AP376,0)</f>
        <v/>
      </c>
      <c r="AQ428" s="35">
        <f>MAX(-AQ376,0)</f>
        <v/>
      </c>
      <c r="AR428" s="35">
        <f>MAX(-AR376,0)</f>
        <v/>
      </c>
      <c r="AS428" s="35">
        <f>MAX(-AS376,0)</f>
        <v/>
      </c>
      <c r="AT428" s="35">
        <f>MAX(-AT376,0)</f>
        <v/>
      </c>
      <c r="AU428" s="35">
        <f>MAX(-AU376,0)</f>
        <v/>
      </c>
      <c r="AV428" s="35">
        <f>MAX(-AV376,0)</f>
        <v/>
      </c>
      <c r="AW428" s="35">
        <f>MAX(-AW376,0)</f>
        <v/>
      </c>
      <c r="AX428" s="35">
        <f>MAX(-AX376,0)</f>
        <v/>
      </c>
      <c r="AY428" s="35">
        <f>MAX(-AY376,0)</f>
        <v/>
      </c>
      <c r="AZ428" s="35">
        <f>MAX(-AZ376,0)</f>
        <v/>
      </c>
      <c r="BA428" s="42">
        <f>SUBSIDYPART(BA376)</f>
        <v/>
      </c>
    </row>
    <row r="429" hidden="1" outlineLevel="1">
      <c r="A429" s="14" t="inlineStr">
        <is>
          <t>esub</t>
        </is>
      </c>
      <c r="B429" s="14" t="inlineStr">
        <is>
          <t>ker</t>
        </is>
      </c>
      <c r="C429" s="14" t="inlineStr">
        <is>
          <t>all</t>
        </is>
      </c>
      <c r="D429" s="39" t="n"/>
      <c r="E429" s="39" t="n"/>
      <c r="F429" s="39" t="n"/>
      <c r="G429" s="39" t="n"/>
      <c r="H429" s="14">
        <f>INDEX(VarLab,MATCH($A429,VarKey,0))&amp;INDEX(MemLab,MATCH($C429&amp;"|"&amp;$B429,MemKey,0))</f>
        <v/>
      </c>
      <c r="I429" s="14">
        <f>INDEX(VarUnit,MATCH($A429,VarKey,0))</f>
        <v/>
      </c>
      <c r="J429" s="14">
        <f>INDEX(VarSrc,MATCH($A429,VarKey,0))</f>
        <v/>
      </c>
      <c r="K429" s="11">
        <f>CodePrefix&amp;$A429&amp;IF($C429="","","."&amp;$C429&amp;"."&amp;$B429)&amp;INDEX(VarEnd,MATCH($A429,VarKey,0))&amp;K$5</f>
        <v/>
      </c>
      <c r="L429" s="40">
        <f>MAX(-L377,0)</f>
        <v/>
      </c>
      <c r="M429" s="35">
        <f>MAX(-M377,0)</f>
        <v/>
      </c>
      <c r="N429" s="35">
        <f>MAX(-N377,0)</f>
        <v/>
      </c>
      <c r="O429" s="35">
        <f>MAX(-O377,0)</f>
        <v/>
      </c>
      <c r="P429" s="35">
        <f>MAX(-P377,0)</f>
        <v/>
      </c>
      <c r="Q429" s="35">
        <f>MAX(-Q377,0)</f>
        <v/>
      </c>
      <c r="R429" s="35">
        <f>MAX(-R377,0)</f>
        <v/>
      </c>
      <c r="S429" s="35">
        <f>MAX(-S377,0)</f>
        <v/>
      </c>
      <c r="T429" s="35">
        <f>MAX(-T377,0)</f>
        <v/>
      </c>
      <c r="U429" s="35">
        <f>MAX(-U377,0)</f>
        <v/>
      </c>
      <c r="V429" s="35">
        <f>MAX(-V377,0)</f>
        <v/>
      </c>
      <c r="W429" s="35">
        <f>MAX(-W377,0)</f>
        <v/>
      </c>
      <c r="X429" s="35">
        <f>MAX(-X377,0)</f>
        <v/>
      </c>
      <c r="Y429" s="35">
        <f>MAX(-Y377,0)</f>
        <v/>
      </c>
      <c r="Z429" s="35">
        <f>MAX(-Z377,0)</f>
        <v/>
      </c>
      <c r="AA429" s="35">
        <f>MAX(-AA377,0)</f>
        <v/>
      </c>
      <c r="AB429" s="35">
        <f>MAX(-AB377,0)</f>
        <v/>
      </c>
      <c r="AC429" s="35">
        <f>MAX(-AC377,0)</f>
        <v/>
      </c>
      <c r="AD429" s="35">
        <f>MAX(-AD377,0)</f>
        <v/>
      </c>
      <c r="AE429" s="42">
        <f>SUBSIDYPART(AE377)</f>
        <v/>
      </c>
      <c r="AG429" s="11">
        <f>CodePrefix&amp;$A429&amp;IF($C429="","","."&amp;$C429&amp;"."&amp;$B429)&amp;INDEX(VarEnd,MATCH($A429,VarKey,0))&amp;AG$5</f>
        <v/>
      </c>
      <c r="AH429" s="40">
        <f>MAX(-AH377,0)</f>
        <v/>
      </c>
      <c r="AI429" s="35">
        <f>MAX(-AI377,0)</f>
        <v/>
      </c>
      <c r="AJ429" s="35">
        <f>MAX(-AJ377,0)</f>
        <v/>
      </c>
      <c r="AK429" s="35">
        <f>MAX(-AK377,0)</f>
        <v/>
      </c>
      <c r="AL429" s="35">
        <f>MAX(-AL377,0)</f>
        <v/>
      </c>
      <c r="AM429" s="35">
        <f>MAX(-AM377,0)</f>
        <v/>
      </c>
      <c r="AN429" s="35">
        <f>MAX(-AN377,0)</f>
        <v/>
      </c>
      <c r="AO429" s="35">
        <f>MAX(-AO377,0)</f>
        <v/>
      </c>
      <c r="AP429" s="35">
        <f>MAX(-AP377,0)</f>
        <v/>
      </c>
      <c r="AQ429" s="35">
        <f>MAX(-AQ377,0)</f>
        <v/>
      </c>
      <c r="AR429" s="35">
        <f>MAX(-AR377,0)</f>
        <v/>
      </c>
      <c r="AS429" s="35">
        <f>MAX(-AS377,0)</f>
        <v/>
      </c>
      <c r="AT429" s="35">
        <f>MAX(-AT377,0)</f>
        <v/>
      </c>
      <c r="AU429" s="35">
        <f>MAX(-AU377,0)</f>
        <v/>
      </c>
      <c r="AV429" s="35">
        <f>MAX(-AV377,0)</f>
        <v/>
      </c>
      <c r="AW429" s="35">
        <f>MAX(-AW377,0)</f>
        <v/>
      </c>
      <c r="AX429" s="35">
        <f>MAX(-AX377,0)</f>
        <v/>
      </c>
      <c r="AY429" s="35">
        <f>MAX(-AY377,0)</f>
        <v/>
      </c>
      <c r="AZ429" s="35">
        <f>MAX(-AZ377,0)</f>
        <v/>
      </c>
      <c r="BA429" s="42">
        <f>SUBSIDYPART(BA377)</f>
        <v/>
      </c>
    </row>
    <row r="430" hidden="1" outlineLevel="1">
      <c r="A430" s="14" t="inlineStr">
        <is>
          <t>esub</t>
        </is>
      </c>
      <c r="B430" s="14" t="inlineStr">
        <is>
          <t>oop</t>
        </is>
      </c>
      <c r="C430" s="14" t="inlineStr">
        <is>
          <t>all</t>
        </is>
      </c>
      <c r="D430" s="39" t="n"/>
      <c r="E430" s="39" t="n"/>
      <c r="F430" s="39" t="n"/>
      <c r="G430" s="39" t="n"/>
      <c r="H430" s="14">
        <f>INDEX(VarLab,MATCH($A430,VarKey,0))&amp;INDEX(MemLab,MATCH($C430&amp;"|"&amp;$B430,MemKey,0))</f>
        <v/>
      </c>
      <c r="I430" s="14">
        <f>INDEX(VarUnit,MATCH($A430,VarKey,0))</f>
        <v/>
      </c>
      <c r="J430" s="14">
        <f>INDEX(VarSrc,MATCH($A430,VarKey,0))</f>
        <v/>
      </c>
      <c r="K430" s="11">
        <f>CodePrefix&amp;$A430&amp;IF($C430="","","."&amp;$C430&amp;"."&amp;$B430)&amp;INDEX(VarEnd,MATCH($A430,VarKey,0))&amp;K$5</f>
        <v/>
      </c>
      <c r="L430" s="40">
        <f>MAX(-L378,0)</f>
        <v/>
      </c>
      <c r="M430" s="35">
        <f>MAX(-M378,0)</f>
        <v/>
      </c>
      <c r="N430" s="35">
        <f>MAX(-N378,0)</f>
        <v/>
      </c>
      <c r="O430" s="35">
        <f>MAX(-O378,0)</f>
        <v/>
      </c>
      <c r="P430" s="35">
        <f>MAX(-P378,0)</f>
        <v/>
      </c>
      <c r="Q430" s="35">
        <f>MAX(-Q378,0)</f>
        <v/>
      </c>
      <c r="R430" s="35">
        <f>MAX(-R378,0)</f>
        <v/>
      </c>
      <c r="S430" s="35">
        <f>MAX(-S378,0)</f>
        <v/>
      </c>
      <c r="T430" s="35">
        <f>MAX(-T378,0)</f>
        <v/>
      </c>
      <c r="U430" s="35">
        <f>MAX(-U378,0)</f>
        <v/>
      </c>
      <c r="V430" s="35">
        <f>MAX(-V378,0)</f>
        <v/>
      </c>
      <c r="W430" s="35">
        <f>MAX(-W378,0)</f>
        <v/>
      </c>
      <c r="X430" s="35">
        <f>MAX(-X378,0)</f>
        <v/>
      </c>
      <c r="Y430" s="35">
        <f>MAX(-Y378,0)</f>
        <v/>
      </c>
      <c r="Z430" s="35">
        <f>MAX(-Z378,0)</f>
        <v/>
      </c>
      <c r="AA430" s="35">
        <f>MAX(-AA378,0)</f>
        <v/>
      </c>
      <c r="AB430" s="35">
        <f>MAX(-AB378,0)</f>
        <v/>
      </c>
      <c r="AC430" s="35">
        <f>MAX(-AC378,0)</f>
        <v/>
      </c>
      <c r="AD430" s="35">
        <f>MAX(-AD378,0)</f>
        <v/>
      </c>
      <c r="AE430" s="42">
        <f>SUBSIDYPART(AE378)</f>
        <v/>
      </c>
      <c r="AG430" s="11">
        <f>CodePrefix&amp;$A430&amp;IF($C430="","","."&amp;$C430&amp;"."&amp;$B430)&amp;INDEX(VarEnd,MATCH($A430,VarKey,0))&amp;AG$5</f>
        <v/>
      </c>
      <c r="AH430" s="40">
        <f>MAX(-AH378,0)</f>
        <v/>
      </c>
      <c r="AI430" s="35">
        <f>MAX(-AI378,0)</f>
        <v/>
      </c>
      <c r="AJ430" s="35">
        <f>MAX(-AJ378,0)</f>
        <v/>
      </c>
      <c r="AK430" s="35">
        <f>MAX(-AK378,0)</f>
        <v/>
      </c>
      <c r="AL430" s="35">
        <f>MAX(-AL378,0)</f>
        <v/>
      </c>
      <c r="AM430" s="35">
        <f>MAX(-AM378,0)</f>
        <v/>
      </c>
      <c r="AN430" s="35">
        <f>MAX(-AN378,0)</f>
        <v/>
      </c>
      <c r="AO430" s="35">
        <f>MAX(-AO378,0)</f>
        <v/>
      </c>
      <c r="AP430" s="35">
        <f>MAX(-AP378,0)</f>
        <v/>
      </c>
      <c r="AQ430" s="35">
        <f>MAX(-AQ378,0)</f>
        <v/>
      </c>
      <c r="AR430" s="35">
        <f>MAX(-AR378,0)</f>
        <v/>
      </c>
      <c r="AS430" s="35">
        <f>MAX(-AS378,0)</f>
        <v/>
      </c>
      <c r="AT430" s="35">
        <f>MAX(-AT378,0)</f>
        <v/>
      </c>
      <c r="AU430" s="35">
        <f>MAX(-AU378,0)</f>
        <v/>
      </c>
      <c r="AV430" s="35">
        <f>MAX(-AV378,0)</f>
        <v/>
      </c>
      <c r="AW430" s="35">
        <f>MAX(-AW378,0)</f>
        <v/>
      </c>
      <c r="AX430" s="35">
        <f>MAX(-AX378,0)</f>
        <v/>
      </c>
      <c r="AY430" s="35">
        <f>MAX(-AY378,0)</f>
        <v/>
      </c>
      <c r="AZ430" s="35">
        <f>MAX(-AZ378,0)</f>
        <v/>
      </c>
      <c r="BA430" s="42">
        <f>SUBSIDYPART(BA378)</f>
        <v/>
      </c>
    </row>
    <row r="431" hidden="1" outlineLevel="1">
      <c r="A431" s="14" t="inlineStr">
        <is>
          <t>esub</t>
        </is>
      </c>
      <c r="B431" s="14" t="inlineStr">
        <is>
          <t>bio</t>
        </is>
      </c>
      <c r="C431" s="14" t="inlineStr">
        <is>
          <t>all</t>
        </is>
      </c>
      <c r="D431" s="39" t="n"/>
      <c r="E431" s="39" t="n"/>
      <c r="F431" s="39" t="n"/>
      <c r="G431" s="39" t="n"/>
      <c r="H431" s="14">
        <f>INDEX(VarLab,MATCH($A431,VarKey,0))&amp;INDEX(MemLab,MATCH($C431&amp;"|"&amp;$B431,MemKey,0))</f>
        <v/>
      </c>
      <c r="I431" s="14">
        <f>INDEX(VarUnit,MATCH($A431,VarKey,0))</f>
        <v/>
      </c>
      <c r="J431" s="14">
        <f>INDEX(VarSrc,MATCH($A431,VarKey,0))</f>
        <v/>
      </c>
      <c r="K431" s="11">
        <f>CodePrefix&amp;$A431&amp;IF($C431="","","."&amp;$C431&amp;"."&amp;$B431)&amp;INDEX(VarEnd,MATCH($A431,VarKey,0))&amp;K$5</f>
        <v/>
      </c>
      <c r="L431" s="40">
        <f>MAX(-L379,0)</f>
        <v/>
      </c>
      <c r="M431" s="35">
        <f>MAX(-M379,0)</f>
        <v/>
      </c>
      <c r="N431" s="35">
        <f>MAX(-N379,0)</f>
        <v/>
      </c>
      <c r="O431" s="35">
        <f>MAX(-O379,0)</f>
        <v/>
      </c>
      <c r="P431" s="35">
        <f>MAX(-P379,0)</f>
        <v/>
      </c>
      <c r="Q431" s="35">
        <f>MAX(-Q379,0)</f>
        <v/>
      </c>
      <c r="R431" s="35">
        <f>MAX(-R379,0)</f>
        <v/>
      </c>
      <c r="S431" s="35">
        <f>MAX(-S379,0)</f>
        <v/>
      </c>
      <c r="T431" s="35">
        <f>MAX(-T379,0)</f>
        <v/>
      </c>
      <c r="U431" s="35">
        <f>MAX(-U379,0)</f>
        <v/>
      </c>
      <c r="V431" s="35">
        <f>MAX(-V379,0)</f>
        <v/>
      </c>
      <c r="W431" s="35">
        <f>MAX(-W379,0)</f>
        <v/>
      </c>
      <c r="X431" s="35">
        <f>MAX(-X379,0)</f>
        <v/>
      </c>
      <c r="Y431" s="35">
        <f>MAX(-Y379,0)</f>
        <v/>
      </c>
      <c r="Z431" s="35">
        <f>MAX(-Z379,0)</f>
        <v/>
      </c>
      <c r="AA431" s="35">
        <f>MAX(-AA379,0)</f>
        <v/>
      </c>
      <c r="AB431" s="35">
        <f>MAX(-AB379,0)</f>
        <v/>
      </c>
      <c r="AC431" s="35">
        <f>MAX(-AC379,0)</f>
        <v/>
      </c>
      <c r="AD431" s="35">
        <f>MAX(-AD379,0)</f>
        <v/>
      </c>
      <c r="AE431" s="42">
        <f>SUBSIDYPART(AE379)</f>
        <v/>
      </c>
      <c r="AG431" s="11">
        <f>CodePrefix&amp;$A431&amp;IF($C431="","","."&amp;$C431&amp;"."&amp;$B431)&amp;INDEX(VarEnd,MATCH($A431,VarKey,0))&amp;AG$5</f>
        <v/>
      </c>
      <c r="AH431" s="40">
        <f>MAX(-AH379,0)</f>
        <v/>
      </c>
      <c r="AI431" s="35">
        <f>MAX(-AI379,0)</f>
        <v/>
      </c>
      <c r="AJ431" s="35">
        <f>MAX(-AJ379,0)</f>
        <v/>
      </c>
      <c r="AK431" s="35">
        <f>MAX(-AK379,0)</f>
        <v/>
      </c>
      <c r="AL431" s="35">
        <f>MAX(-AL379,0)</f>
        <v/>
      </c>
      <c r="AM431" s="35">
        <f>MAX(-AM379,0)</f>
        <v/>
      </c>
      <c r="AN431" s="35">
        <f>MAX(-AN379,0)</f>
        <v/>
      </c>
      <c r="AO431" s="35">
        <f>MAX(-AO379,0)</f>
        <v/>
      </c>
      <c r="AP431" s="35">
        <f>MAX(-AP379,0)</f>
        <v/>
      </c>
      <c r="AQ431" s="35">
        <f>MAX(-AQ379,0)</f>
        <v/>
      </c>
      <c r="AR431" s="35">
        <f>MAX(-AR379,0)</f>
        <v/>
      </c>
      <c r="AS431" s="35">
        <f>MAX(-AS379,0)</f>
        <v/>
      </c>
      <c r="AT431" s="35">
        <f>MAX(-AT379,0)</f>
        <v/>
      </c>
      <c r="AU431" s="35">
        <f>MAX(-AU379,0)</f>
        <v/>
      </c>
      <c r="AV431" s="35">
        <f>MAX(-AV379,0)</f>
        <v/>
      </c>
      <c r="AW431" s="35">
        <f>MAX(-AW379,0)</f>
        <v/>
      </c>
      <c r="AX431" s="35">
        <f>MAX(-AX379,0)</f>
        <v/>
      </c>
      <c r="AY431" s="35">
        <f>MAX(-AY379,0)</f>
        <v/>
      </c>
      <c r="AZ431" s="35">
        <f>MAX(-AZ379,0)</f>
        <v/>
      </c>
      <c r="BA431" s="42">
        <f>SUBSIDYPART(BA379)</f>
        <v/>
      </c>
    </row>
    <row r="432" hidden="1" outlineLevel="1"/>
    <row r="433" hidden="1" outlineLevel="1">
      <c r="A433" s="14" t="inlineStr">
        <is>
          <t>esubpu</t>
        </is>
      </c>
      <c r="B433" s="14" t="inlineStr">
        <is>
          <t>coa</t>
        </is>
      </c>
      <c r="C433" s="14" t="inlineStr">
        <is>
          <t>pow</t>
        </is>
      </c>
      <c r="D433" s="35">
        <f>INDEX(Inputs_prices!$G$7:$G$18,MATCH($B433&amp;"."&amp;$C433,Inputs_prices!$A$7:$A$18,0))</f>
        <v/>
      </c>
      <c r="E433" s="39" t="n"/>
      <c r="F433" s="39" t="n"/>
      <c r="G433" s="39" t="n"/>
      <c r="H433" s="14">
        <f>INDEX(VarLab,MATCH($A433,VarKey,0))&amp;INDEX(MemLab,MATCH($C433&amp;"|"&amp;$B433,MemKey,0))</f>
        <v/>
      </c>
      <c r="I433" s="14">
        <f>INDEX(VarUnit,MATCH($A433,VarKey,0))</f>
        <v/>
      </c>
      <c r="J433" s="14">
        <f>INDEX(VarSrc,MATCH($A433,VarKey,0))</f>
        <v/>
      </c>
      <c r="K433" s="11">
        <f>CodePrefix&amp;$A433&amp;IF($C433="","","."&amp;$C433&amp;"."&amp;$B433)&amp;INDEX(VarEnd,MATCH($A433,VarKey,0))&amp;K$5</f>
        <v/>
      </c>
      <c r="L433" s="40">
        <f>L420*$D433</f>
        <v/>
      </c>
      <c r="M433" s="35">
        <f>M420*$D433</f>
        <v/>
      </c>
      <c r="N433" s="35">
        <f>N420*$D433</f>
        <v/>
      </c>
      <c r="O433" s="35">
        <f>O420*$D433</f>
        <v/>
      </c>
      <c r="P433" s="35">
        <f>P420*$D433</f>
        <v/>
      </c>
      <c r="Q433" s="35">
        <f>Q420*$D433</f>
        <v/>
      </c>
      <c r="R433" s="35">
        <f>R420*$D433</f>
        <v/>
      </c>
      <c r="S433" s="35">
        <f>S420*$D433</f>
        <v/>
      </c>
      <c r="T433" s="35">
        <f>T420*$D433</f>
        <v/>
      </c>
      <c r="U433" s="35">
        <f>U420*$D433</f>
        <v/>
      </c>
      <c r="V433" s="35">
        <f>V420*$D433</f>
        <v/>
      </c>
      <c r="W433" s="35">
        <f>W420*$D433</f>
        <v/>
      </c>
      <c r="X433" s="35">
        <f>X420*$D433</f>
        <v/>
      </c>
      <c r="Y433" s="35">
        <f>Y420*$D433</f>
        <v/>
      </c>
      <c r="Z433" s="35">
        <f>Z420*$D433</f>
        <v/>
      </c>
      <c r="AA433" s="35">
        <f>AA420*$D433</f>
        <v/>
      </c>
      <c r="AB433" s="35">
        <f>AB420*$D433</f>
        <v/>
      </c>
      <c r="AC433" s="35">
        <f>AC420*$D433</f>
        <v/>
      </c>
      <c r="AD433" s="35">
        <f>AD420*$D433</f>
        <v/>
      </c>
      <c r="AE433" s="42">
        <f>PERUNIT(AE420,$D433)</f>
        <v/>
      </c>
      <c r="AG433" s="11">
        <f>CodePrefix&amp;$A433&amp;IF($C433="","","."&amp;$C433&amp;"."&amp;$B433)&amp;INDEX(VarEnd,MATCH($A433,VarKey,0))&amp;AG$5</f>
        <v/>
      </c>
      <c r="AH433" s="40">
        <f>AH420*$D433</f>
        <v/>
      </c>
      <c r="AI433" s="35">
        <f>AI420*$D433</f>
        <v/>
      </c>
      <c r="AJ433" s="35">
        <f>AJ420*$D433</f>
        <v/>
      </c>
      <c r="AK433" s="35">
        <f>AK420*$D433</f>
        <v/>
      </c>
      <c r="AL433" s="35">
        <f>AL420*$D433</f>
        <v/>
      </c>
      <c r="AM433" s="35">
        <f>AM420*$D433</f>
        <v/>
      </c>
      <c r="AN433" s="35">
        <f>AN420*$D433</f>
        <v/>
      </c>
      <c r="AO433" s="35">
        <f>AO420*$D433</f>
        <v/>
      </c>
      <c r="AP433" s="35">
        <f>AP420*$D433</f>
        <v/>
      </c>
      <c r="AQ433" s="35">
        <f>AQ420*$D433</f>
        <v/>
      </c>
      <c r="AR433" s="35">
        <f>AR420*$D433</f>
        <v/>
      </c>
      <c r="AS433" s="35">
        <f>AS420*$D433</f>
        <v/>
      </c>
      <c r="AT433" s="35">
        <f>AT420*$D433</f>
        <v/>
      </c>
      <c r="AU433" s="35">
        <f>AU420*$D433</f>
        <v/>
      </c>
      <c r="AV433" s="35">
        <f>AV420*$D433</f>
        <v/>
      </c>
      <c r="AW433" s="35">
        <f>AW420*$D433</f>
        <v/>
      </c>
      <c r="AX433" s="35">
        <f>AX420*$D433</f>
        <v/>
      </c>
      <c r="AY433" s="35">
        <f>AY420*$D433</f>
        <v/>
      </c>
      <c r="AZ433" s="35">
        <f>AZ420*$D433</f>
        <v/>
      </c>
      <c r="BA433" s="42">
        <f>PERUNIT(BA420,$D433)</f>
        <v/>
      </c>
    </row>
    <row r="434" hidden="1" outlineLevel="1">
      <c r="A434" s="14" t="inlineStr">
        <is>
          <t>esubpu</t>
        </is>
      </c>
      <c r="B434" s="14" t="inlineStr">
        <is>
          <t>coa</t>
        </is>
      </c>
      <c r="C434" s="14" t="inlineStr">
        <is>
          <t>res</t>
        </is>
      </c>
      <c r="D434" s="35">
        <f>INDEX(Inputs_prices!$G$7:$G$18,MATCH($B434&amp;"."&amp;$C434,Inputs_prices!$A$7:$A$18,0))</f>
        <v/>
      </c>
      <c r="E434" s="39" t="n"/>
      <c r="F434" s="39" t="n"/>
      <c r="G434" s="39" t="n"/>
      <c r="H434" s="14">
        <f>INDEX(VarLab,MATCH($A434,VarKey,0))&amp;INDEX(MemLab,MATCH($C434&amp;"|"&amp;$B434,MemKey,0))</f>
        <v/>
      </c>
      <c r="I434" s="14">
        <f>INDEX(VarUnit,MATCH($A434,VarKey,0))</f>
        <v/>
      </c>
      <c r="J434" s="14">
        <f>INDEX(VarSrc,MATCH($A434,VarKey,0))</f>
        <v/>
      </c>
      <c r="K434" s="11">
        <f>CodePrefix&amp;$A434&amp;IF($C434="","","."&amp;$C434&amp;"."&amp;$B434)&amp;INDEX(VarEnd,MATCH($A434,VarKey,0))&amp;K$5</f>
        <v/>
      </c>
      <c r="L434" s="40">
        <f>L421*$D434</f>
        <v/>
      </c>
      <c r="M434" s="35">
        <f>M421*$D434</f>
        <v/>
      </c>
      <c r="N434" s="35">
        <f>N421*$D434</f>
        <v/>
      </c>
      <c r="O434" s="35">
        <f>O421*$D434</f>
        <v/>
      </c>
      <c r="P434" s="35">
        <f>P421*$D434</f>
        <v/>
      </c>
      <c r="Q434" s="35">
        <f>Q421*$D434</f>
        <v/>
      </c>
      <c r="R434" s="35">
        <f>R421*$D434</f>
        <v/>
      </c>
      <c r="S434" s="35">
        <f>S421*$D434</f>
        <v/>
      </c>
      <c r="T434" s="35">
        <f>T421*$D434</f>
        <v/>
      </c>
      <c r="U434" s="35">
        <f>U421*$D434</f>
        <v/>
      </c>
      <c r="V434" s="35">
        <f>V421*$D434</f>
        <v/>
      </c>
      <c r="W434" s="35">
        <f>W421*$D434</f>
        <v/>
      </c>
      <c r="X434" s="35">
        <f>X421*$D434</f>
        <v/>
      </c>
      <c r="Y434" s="35">
        <f>Y421*$D434</f>
        <v/>
      </c>
      <c r="Z434" s="35">
        <f>Z421*$D434</f>
        <v/>
      </c>
      <c r="AA434" s="35">
        <f>AA421*$D434</f>
        <v/>
      </c>
      <c r="AB434" s="35">
        <f>AB421*$D434</f>
        <v/>
      </c>
      <c r="AC434" s="35">
        <f>AC421*$D434</f>
        <v/>
      </c>
      <c r="AD434" s="35">
        <f>AD421*$D434</f>
        <v/>
      </c>
      <c r="AE434" s="42">
        <f>PERUNIT(AE421,$D434)</f>
        <v/>
      </c>
      <c r="AG434" s="11">
        <f>CodePrefix&amp;$A434&amp;IF($C434="","","."&amp;$C434&amp;"."&amp;$B434)&amp;INDEX(VarEnd,MATCH($A434,VarKey,0))&amp;AG$5</f>
        <v/>
      </c>
      <c r="AH434" s="40">
        <f>AH421*$D434</f>
        <v/>
      </c>
      <c r="AI434" s="35">
        <f>AI421*$D434</f>
        <v/>
      </c>
      <c r="AJ434" s="35">
        <f>AJ421*$D434</f>
        <v/>
      </c>
      <c r="AK434" s="35">
        <f>AK421*$D434</f>
        <v/>
      </c>
      <c r="AL434" s="35">
        <f>AL421*$D434</f>
        <v/>
      </c>
      <c r="AM434" s="35">
        <f>AM421*$D434</f>
        <v/>
      </c>
      <c r="AN434" s="35">
        <f>AN421*$D434</f>
        <v/>
      </c>
      <c r="AO434" s="35">
        <f>AO421*$D434</f>
        <v/>
      </c>
      <c r="AP434" s="35">
        <f>AP421*$D434</f>
        <v/>
      </c>
      <c r="AQ434" s="35">
        <f>AQ421*$D434</f>
        <v/>
      </c>
      <c r="AR434" s="35">
        <f>AR421*$D434</f>
        <v/>
      </c>
      <c r="AS434" s="35">
        <f>AS421*$D434</f>
        <v/>
      </c>
      <c r="AT434" s="35">
        <f>AT421*$D434</f>
        <v/>
      </c>
      <c r="AU434" s="35">
        <f>AU421*$D434</f>
        <v/>
      </c>
      <c r="AV434" s="35">
        <f>AV421*$D434</f>
        <v/>
      </c>
      <c r="AW434" s="35">
        <f>AW421*$D434</f>
        <v/>
      </c>
      <c r="AX434" s="35">
        <f>AX421*$D434</f>
        <v/>
      </c>
      <c r="AY434" s="35">
        <f>AY421*$D434</f>
        <v/>
      </c>
      <c r="AZ434" s="35">
        <f>AZ421*$D434</f>
        <v/>
      </c>
      <c r="BA434" s="42">
        <f>PERUNIT(BA421,$D434)</f>
        <v/>
      </c>
    </row>
    <row r="435" hidden="1" outlineLevel="1">
      <c r="A435" s="14" t="inlineStr">
        <is>
          <t>esubpu</t>
        </is>
      </c>
      <c r="B435" s="14" t="inlineStr">
        <is>
          <t>coa</t>
        </is>
      </c>
      <c r="C435" s="14" t="inlineStr">
        <is>
          <t>ind</t>
        </is>
      </c>
      <c r="D435" s="35">
        <f>INDEX(Inputs_prices!$G$7:$G$18,MATCH($B435&amp;"."&amp;$C435,Inputs_prices!$A$7:$A$18,0))</f>
        <v/>
      </c>
      <c r="E435" s="39" t="n"/>
      <c r="F435" s="39" t="n"/>
      <c r="G435" s="39" t="n"/>
      <c r="H435" s="14">
        <f>INDEX(VarLab,MATCH($A435,VarKey,0))&amp;INDEX(MemLab,MATCH($C435&amp;"|"&amp;$B435,MemKey,0))</f>
        <v/>
      </c>
      <c r="I435" s="14">
        <f>INDEX(VarUnit,MATCH($A435,VarKey,0))</f>
        <v/>
      </c>
      <c r="J435" s="14">
        <f>INDEX(VarSrc,MATCH($A435,VarKey,0))</f>
        <v/>
      </c>
      <c r="K435" s="11">
        <f>CodePrefix&amp;$A435&amp;IF($C435="","","."&amp;$C435&amp;"."&amp;$B435)&amp;INDEX(VarEnd,MATCH($A435,VarKey,0))&amp;K$5</f>
        <v/>
      </c>
      <c r="L435" s="40">
        <f>L422*$D435</f>
        <v/>
      </c>
      <c r="M435" s="35">
        <f>M422*$D435</f>
        <v/>
      </c>
      <c r="N435" s="35">
        <f>N422*$D435</f>
        <v/>
      </c>
      <c r="O435" s="35">
        <f>O422*$D435</f>
        <v/>
      </c>
      <c r="P435" s="35">
        <f>P422*$D435</f>
        <v/>
      </c>
      <c r="Q435" s="35">
        <f>Q422*$D435</f>
        <v/>
      </c>
      <c r="R435" s="35">
        <f>R422*$D435</f>
        <v/>
      </c>
      <c r="S435" s="35">
        <f>S422*$D435</f>
        <v/>
      </c>
      <c r="T435" s="35">
        <f>T422*$D435</f>
        <v/>
      </c>
      <c r="U435" s="35">
        <f>U422*$D435</f>
        <v/>
      </c>
      <c r="V435" s="35">
        <f>V422*$D435</f>
        <v/>
      </c>
      <c r="W435" s="35">
        <f>W422*$D435</f>
        <v/>
      </c>
      <c r="X435" s="35">
        <f>X422*$D435</f>
        <v/>
      </c>
      <c r="Y435" s="35">
        <f>Y422*$D435</f>
        <v/>
      </c>
      <c r="Z435" s="35">
        <f>Z422*$D435</f>
        <v/>
      </c>
      <c r="AA435" s="35">
        <f>AA422*$D435</f>
        <v/>
      </c>
      <c r="AB435" s="35">
        <f>AB422*$D435</f>
        <v/>
      </c>
      <c r="AC435" s="35">
        <f>AC422*$D435</f>
        <v/>
      </c>
      <c r="AD435" s="35">
        <f>AD422*$D435</f>
        <v/>
      </c>
      <c r="AE435" s="42">
        <f>PERUNIT(AE422,$D435)</f>
        <v/>
      </c>
      <c r="AG435" s="11">
        <f>CodePrefix&amp;$A435&amp;IF($C435="","","."&amp;$C435&amp;"."&amp;$B435)&amp;INDEX(VarEnd,MATCH($A435,VarKey,0))&amp;AG$5</f>
        <v/>
      </c>
      <c r="AH435" s="40">
        <f>AH422*$D435</f>
        <v/>
      </c>
      <c r="AI435" s="35">
        <f>AI422*$D435</f>
        <v/>
      </c>
      <c r="AJ435" s="35">
        <f>AJ422*$D435</f>
        <v/>
      </c>
      <c r="AK435" s="35">
        <f>AK422*$D435</f>
        <v/>
      </c>
      <c r="AL435" s="35">
        <f>AL422*$D435</f>
        <v/>
      </c>
      <c r="AM435" s="35">
        <f>AM422*$D435</f>
        <v/>
      </c>
      <c r="AN435" s="35">
        <f>AN422*$D435</f>
        <v/>
      </c>
      <c r="AO435" s="35">
        <f>AO422*$D435</f>
        <v/>
      </c>
      <c r="AP435" s="35">
        <f>AP422*$D435</f>
        <v/>
      </c>
      <c r="AQ435" s="35">
        <f>AQ422*$D435</f>
        <v/>
      </c>
      <c r="AR435" s="35">
        <f>AR422*$D435</f>
        <v/>
      </c>
      <c r="AS435" s="35">
        <f>AS422*$D435</f>
        <v/>
      </c>
      <c r="AT435" s="35">
        <f>AT422*$D435</f>
        <v/>
      </c>
      <c r="AU435" s="35">
        <f>AU422*$D435</f>
        <v/>
      </c>
      <c r="AV435" s="35">
        <f>AV422*$D435</f>
        <v/>
      </c>
      <c r="AW435" s="35">
        <f>AW422*$D435</f>
        <v/>
      </c>
      <c r="AX435" s="35">
        <f>AX422*$D435</f>
        <v/>
      </c>
      <c r="AY435" s="35">
        <f>AY422*$D435</f>
        <v/>
      </c>
      <c r="AZ435" s="35">
        <f>AZ422*$D435</f>
        <v/>
      </c>
      <c r="BA435" s="42">
        <f>PERUNIT(BA422,$D435)</f>
        <v/>
      </c>
    </row>
    <row r="436" hidden="1" outlineLevel="1">
      <c r="A436" s="14" t="inlineStr">
        <is>
          <t>esubpu</t>
        </is>
      </c>
      <c r="B436" s="14" t="inlineStr">
        <is>
          <t>nga</t>
        </is>
      </c>
      <c r="C436" s="14" t="inlineStr">
        <is>
          <t>pow</t>
        </is>
      </c>
      <c r="D436" s="35">
        <f>INDEX(Inputs_prices!$G$7:$G$18,MATCH($B436&amp;"."&amp;$C436,Inputs_prices!$A$7:$A$18,0))</f>
        <v/>
      </c>
      <c r="E436" s="39" t="n"/>
      <c r="F436" s="39" t="n"/>
      <c r="G436" s="39" t="n"/>
      <c r="H436" s="14">
        <f>INDEX(VarLab,MATCH($A436,VarKey,0))&amp;INDEX(MemLab,MATCH($C436&amp;"|"&amp;$B436,MemKey,0))</f>
        <v/>
      </c>
      <c r="I436" s="14">
        <f>INDEX(VarUnit,MATCH($A436,VarKey,0))</f>
        <v/>
      </c>
      <c r="J436" s="14">
        <f>INDEX(VarSrc,MATCH($A436,VarKey,0))</f>
        <v/>
      </c>
      <c r="K436" s="11">
        <f>CodePrefix&amp;$A436&amp;IF($C436="","","."&amp;$C436&amp;"."&amp;$B436)&amp;INDEX(VarEnd,MATCH($A436,VarKey,0))&amp;K$5</f>
        <v/>
      </c>
      <c r="L436" s="40">
        <f>L423*$D436</f>
        <v/>
      </c>
      <c r="M436" s="35">
        <f>M423*$D436</f>
        <v/>
      </c>
      <c r="N436" s="35">
        <f>N423*$D436</f>
        <v/>
      </c>
      <c r="O436" s="35">
        <f>O423*$D436</f>
        <v/>
      </c>
      <c r="P436" s="35">
        <f>P423*$D436</f>
        <v/>
      </c>
      <c r="Q436" s="35">
        <f>Q423*$D436</f>
        <v/>
      </c>
      <c r="R436" s="35">
        <f>R423*$D436</f>
        <v/>
      </c>
      <c r="S436" s="35">
        <f>S423*$D436</f>
        <v/>
      </c>
      <c r="T436" s="35">
        <f>T423*$D436</f>
        <v/>
      </c>
      <c r="U436" s="35">
        <f>U423*$D436</f>
        <v/>
      </c>
      <c r="V436" s="35">
        <f>V423*$D436</f>
        <v/>
      </c>
      <c r="W436" s="35">
        <f>W423*$D436</f>
        <v/>
      </c>
      <c r="X436" s="35">
        <f>X423*$D436</f>
        <v/>
      </c>
      <c r="Y436" s="35">
        <f>Y423*$D436</f>
        <v/>
      </c>
      <c r="Z436" s="35">
        <f>Z423*$D436</f>
        <v/>
      </c>
      <c r="AA436" s="35">
        <f>AA423*$D436</f>
        <v/>
      </c>
      <c r="AB436" s="35">
        <f>AB423*$D436</f>
        <v/>
      </c>
      <c r="AC436" s="35">
        <f>AC423*$D436</f>
        <v/>
      </c>
      <c r="AD436" s="35">
        <f>AD423*$D436</f>
        <v/>
      </c>
      <c r="AE436" s="42">
        <f>PERUNIT(AE423,$D436)</f>
        <v/>
      </c>
      <c r="AG436" s="11">
        <f>CodePrefix&amp;$A436&amp;IF($C436="","","."&amp;$C436&amp;"."&amp;$B436)&amp;INDEX(VarEnd,MATCH($A436,VarKey,0))&amp;AG$5</f>
        <v/>
      </c>
      <c r="AH436" s="40">
        <f>AH423*$D436</f>
        <v/>
      </c>
      <c r="AI436" s="35">
        <f>AI423*$D436</f>
        <v/>
      </c>
      <c r="AJ436" s="35">
        <f>AJ423*$D436</f>
        <v/>
      </c>
      <c r="AK436" s="35">
        <f>AK423*$D436</f>
        <v/>
      </c>
      <c r="AL436" s="35">
        <f>AL423*$D436</f>
        <v/>
      </c>
      <c r="AM436" s="35">
        <f>AM423*$D436</f>
        <v/>
      </c>
      <c r="AN436" s="35">
        <f>AN423*$D436</f>
        <v/>
      </c>
      <c r="AO436" s="35">
        <f>AO423*$D436</f>
        <v/>
      </c>
      <c r="AP436" s="35">
        <f>AP423*$D436</f>
        <v/>
      </c>
      <c r="AQ436" s="35">
        <f>AQ423*$D436</f>
        <v/>
      </c>
      <c r="AR436" s="35">
        <f>AR423*$D436</f>
        <v/>
      </c>
      <c r="AS436" s="35">
        <f>AS423*$D436</f>
        <v/>
      </c>
      <c r="AT436" s="35">
        <f>AT423*$D436</f>
        <v/>
      </c>
      <c r="AU436" s="35">
        <f>AU423*$D436</f>
        <v/>
      </c>
      <c r="AV436" s="35">
        <f>AV423*$D436</f>
        <v/>
      </c>
      <c r="AW436" s="35">
        <f>AW423*$D436</f>
        <v/>
      </c>
      <c r="AX436" s="35">
        <f>AX423*$D436</f>
        <v/>
      </c>
      <c r="AY436" s="35">
        <f>AY423*$D436</f>
        <v/>
      </c>
      <c r="AZ436" s="35">
        <f>AZ423*$D436</f>
        <v/>
      </c>
      <c r="BA436" s="42">
        <f>PERUNIT(BA423,$D436)</f>
        <v/>
      </c>
    </row>
    <row r="437" hidden="1" outlineLevel="1">
      <c r="A437" s="14" t="inlineStr">
        <is>
          <t>esubpu</t>
        </is>
      </c>
      <c r="B437" s="14" t="inlineStr">
        <is>
          <t>nga</t>
        </is>
      </c>
      <c r="C437" s="14" t="inlineStr">
        <is>
          <t>res</t>
        </is>
      </c>
      <c r="D437" s="35">
        <f>INDEX(Inputs_prices!$G$7:$G$18,MATCH($B437&amp;"."&amp;$C437,Inputs_prices!$A$7:$A$18,0))</f>
        <v/>
      </c>
      <c r="E437" s="39" t="n"/>
      <c r="F437" s="39" t="n"/>
      <c r="G437" s="39" t="n"/>
      <c r="H437" s="14">
        <f>INDEX(VarLab,MATCH($A437,VarKey,0))&amp;INDEX(MemLab,MATCH($C437&amp;"|"&amp;$B437,MemKey,0))</f>
        <v/>
      </c>
      <c r="I437" s="14">
        <f>INDEX(VarUnit,MATCH($A437,VarKey,0))</f>
        <v/>
      </c>
      <c r="J437" s="14">
        <f>INDEX(VarSrc,MATCH($A437,VarKey,0))</f>
        <v/>
      </c>
      <c r="K437" s="11">
        <f>CodePrefix&amp;$A437&amp;IF($C437="","","."&amp;$C437&amp;"."&amp;$B437)&amp;INDEX(VarEnd,MATCH($A437,VarKey,0))&amp;K$5</f>
        <v/>
      </c>
      <c r="L437" s="40">
        <f>L424*$D437</f>
        <v/>
      </c>
      <c r="M437" s="35">
        <f>M424*$D437</f>
        <v/>
      </c>
      <c r="N437" s="35">
        <f>N424*$D437</f>
        <v/>
      </c>
      <c r="O437" s="35">
        <f>O424*$D437</f>
        <v/>
      </c>
      <c r="P437" s="35">
        <f>P424*$D437</f>
        <v/>
      </c>
      <c r="Q437" s="35">
        <f>Q424*$D437</f>
        <v/>
      </c>
      <c r="R437" s="35">
        <f>R424*$D437</f>
        <v/>
      </c>
      <c r="S437" s="35">
        <f>S424*$D437</f>
        <v/>
      </c>
      <c r="T437" s="35">
        <f>T424*$D437</f>
        <v/>
      </c>
      <c r="U437" s="35">
        <f>U424*$D437</f>
        <v/>
      </c>
      <c r="V437" s="35">
        <f>V424*$D437</f>
        <v/>
      </c>
      <c r="W437" s="35">
        <f>W424*$D437</f>
        <v/>
      </c>
      <c r="X437" s="35">
        <f>X424*$D437</f>
        <v/>
      </c>
      <c r="Y437" s="35">
        <f>Y424*$D437</f>
        <v/>
      </c>
      <c r="Z437" s="35">
        <f>Z424*$D437</f>
        <v/>
      </c>
      <c r="AA437" s="35">
        <f>AA424*$D437</f>
        <v/>
      </c>
      <c r="AB437" s="35">
        <f>AB424*$D437</f>
        <v/>
      </c>
      <c r="AC437" s="35">
        <f>AC424*$D437</f>
        <v/>
      </c>
      <c r="AD437" s="35">
        <f>AD424*$D437</f>
        <v/>
      </c>
      <c r="AE437" s="42">
        <f>PERUNIT(AE424,$D437)</f>
        <v/>
      </c>
      <c r="AG437" s="11">
        <f>CodePrefix&amp;$A437&amp;IF($C437="","","."&amp;$C437&amp;"."&amp;$B437)&amp;INDEX(VarEnd,MATCH($A437,VarKey,0))&amp;AG$5</f>
        <v/>
      </c>
      <c r="AH437" s="40">
        <f>AH424*$D437</f>
        <v/>
      </c>
      <c r="AI437" s="35">
        <f>AI424*$D437</f>
        <v/>
      </c>
      <c r="AJ437" s="35">
        <f>AJ424*$D437</f>
        <v/>
      </c>
      <c r="AK437" s="35">
        <f>AK424*$D437</f>
        <v/>
      </c>
      <c r="AL437" s="35">
        <f>AL424*$D437</f>
        <v/>
      </c>
      <c r="AM437" s="35">
        <f>AM424*$D437</f>
        <v/>
      </c>
      <c r="AN437" s="35">
        <f>AN424*$D437</f>
        <v/>
      </c>
      <c r="AO437" s="35">
        <f>AO424*$D437</f>
        <v/>
      </c>
      <c r="AP437" s="35">
        <f>AP424*$D437</f>
        <v/>
      </c>
      <c r="AQ437" s="35">
        <f>AQ424*$D437</f>
        <v/>
      </c>
      <c r="AR437" s="35">
        <f>AR424*$D437</f>
        <v/>
      </c>
      <c r="AS437" s="35">
        <f>AS424*$D437</f>
        <v/>
      </c>
      <c r="AT437" s="35">
        <f>AT424*$D437</f>
        <v/>
      </c>
      <c r="AU437" s="35">
        <f>AU424*$D437</f>
        <v/>
      </c>
      <c r="AV437" s="35">
        <f>AV424*$D437</f>
        <v/>
      </c>
      <c r="AW437" s="35">
        <f>AW424*$D437</f>
        <v/>
      </c>
      <c r="AX437" s="35">
        <f>AX424*$D437</f>
        <v/>
      </c>
      <c r="AY437" s="35">
        <f>AY424*$D437</f>
        <v/>
      </c>
      <c r="AZ437" s="35">
        <f>AZ424*$D437</f>
        <v/>
      </c>
      <c r="BA437" s="42">
        <f>PERUNIT(BA424,$D437)</f>
        <v/>
      </c>
    </row>
    <row r="438" hidden="1" outlineLevel="1">
      <c r="A438" s="14" t="inlineStr">
        <is>
          <t>esubpu</t>
        </is>
      </c>
      <c r="B438" s="14" t="inlineStr">
        <is>
          <t>nga</t>
        </is>
      </c>
      <c r="C438" s="14" t="inlineStr">
        <is>
          <t>ind</t>
        </is>
      </c>
      <c r="D438" s="35">
        <f>INDEX(Inputs_prices!$G$7:$G$18,MATCH($B438&amp;"."&amp;$C438,Inputs_prices!$A$7:$A$18,0))</f>
        <v/>
      </c>
      <c r="E438" s="39" t="n"/>
      <c r="F438" s="39" t="n"/>
      <c r="G438" s="39" t="n"/>
      <c r="H438" s="14">
        <f>INDEX(VarLab,MATCH($A438,VarKey,0))&amp;INDEX(MemLab,MATCH($C438&amp;"|"&amp;$B438,MemKey,0))</f>
        <v/>
      </c>
      <c r="I438" s="14">
        <f>INDEX(VarUnit,MATCH($A438,VarKey,0))</f>
        <v/>
      </c>
      <c r="J438" s="14">
        <f>INDEX(VarSrc,MATCH($A438,VarKey,0))</f>
        <v/>
      </c>
      <c r="K438" s="11">
        <f>CodePrefix&amp;$A438&amp;IF($C438="","","."&amp;$C438&amp;"."&amp;$B438)&amp;INDEX(VarEnd,MATCH($A438,VarKey,0))&amp;K$5</f>
        <v/>
      </c>
      <c r="L438" s="40">
        <f>L425*$D438</f>
        <v/>
      </c>
      <c r="M438" s="35">
        <f>M425*$D438</f>
        <v/>
      </c>
      <c r="N438" s="35">
        <f>N425*$D438</f>
        <v/>
      </c>
      <c r="O438" s="35">
        <f>O425*$D438</f>
        <v/>
      </c>
      <c r="P438" s="35">
        <f>P425*$D438</f>
        <v/>
      </c>
      <c r="Q438" s="35">
        <f>Q425*$D438</f>
        <v/>
      </c>
      <c r="R438" s="35">
        <f>R425*$D438</f>
        <v/>
      </c>
      <c r="S438" s="35">
        <f>S425*$D438</f>
        <v/>
      </c>
      <c r="T438" s="35">
        <f>T425*$D438</f>
        <v/>
      </c>
      <c r="U438" s="35">
        <f>U425*$D438</f>
        <v/>
      </c>
      <c r="V438" s="35">
        <f>V425*$D438</f>
        <v/>
      </c>
      <c r="W438" s="35">
        <f>W425*$D438</f>
        <v/>
      </c>
      <c r="X438" s="35">
        <f>X425*$D438</f>
        <v/>
      </c>
      <c r="Y438" s="35">
        <f>Y425*$D438</f>
        <v/>
      </c>
      <c r="Z438" s="35">
        <f>Z425*$D438</f>
        <v/>
      </c>
      <c r="AA438" s="35">
        <f>AA425*$D438</f>
        <v/>
      </c>
      <c r="AB438" s="35">
        <f>AB425*$D438</f>
        <v/>
      </c>
      <c r="AC438" s="35">
        <f>AC425*$D438</f>
        <v/>
      </c>
      <c r="AD438" s="35">
        <f>AD425*$D438</f>
        <v/>
      </c>
      <c r="AE438" s="42">
        <f>PERUNIT(AE425,$D438)</f>
        <v/>
      </c>
      <c r="AG438" s="11">
        <f>CodePrefix&amp;$A438&amp;IF($C438="","","."&amp;$C438&amp;"."&amp;$B438)&amp;INDEX(VarEnd,MATCH($A438,VarKey,0))&amp;AG$5</f>
        <v/>
      </c>
      <c r="AH438" s="40">
        <f>AH425*$D438</f>
        <v/>
      </c>
      <c r="AI438" s="35">
        <f>AI425*$D438</f>
        <v/>
      </c>
      <c r="AJ438" s="35">
        <f>AJ425*$D438</f>
        <v/>
      </c>
      <c r="AK438" s="35">
        <f>AK425*$D438</f>
        <v/>
      </c>
      <c r="AL438" s="35">
        <f>AL425*$D438</f>
        <v/>
      </c>
      <c r="AM438" s="35">
        <f>AM425*$D438</f>
        <v/>
      </c>
      <c r="AN438" s="35">
        <f>AN425*$D438</f>
        <v/>
      </c>
      <c r="AO438" s="35">
        <f>AO425*$D438</f>
        <v/>
      </c>
      <c r="AP438" s="35">
        <f>AP425*$D438</f>
        <v/>
      </c>
      <c r="AQ438" s="35">
        <f>AQ425*$D438</f>
        <v/>
      </c>
      <c r="AR438" s="35">
        <f>AR425*$D438</f>
        <v/>
      </c>
      <c r="AS438" s="35">
        <f>AS425*$D438</f>
        <v/>
      </c>
      <c r="AT438" s="35">
        <f>AT425*$D438</f>
        <v/>
      </c>
      <c r="AU438" s="35">
        <f>AU425*$D438</f>
        <v/>
      </c>
      <c r="AV438" s="35">
        <f>AV425*$D438</f>
        <v/>
      </c>
      <c r="AW438" s="35">
        <f>AW425*$D438</f>
        <v/>
      </c>
      <c r="AX438" s="35">
        <f>AX425*$D438</f>
        <v/>
      </c>
      <c r="AY438" s="35">
        <f>AY425*$D438</f>
        <v/>
      </c>
      <c r="AZ438" s="35">
        <f>AZ425*$D438</f>
        <v/>
      </c>
      <c r="BA438" s="42">
        <f>PERUNIT(BA425,$D438)</f>
        <v/>
      </c>
    </row>
    <row r="439" hidden="1" outlineLevel="1">
      <c r="A439" s="14" t="inlineStr">
        <is>
          <t>esubpu</t>
        </is>
      </c>
      <c r="B439" s="14" t="inlineStr">
        <is>
          <t>gso</t>
        </is>
      </c>
      <c r="C439" s="14" t="inlineStr">
        <is>
          <t>all</t>
        </is>
      </c>
      <c r="D439" s="35">
        <f>INDEX(Inputs_prices!$G$7:$G$18,MATCH($B439&amp;"."&amp;$C439,Inputs_prices!$A$7:$A$18,0))</f>
        <v/>
      </c>
      <c r="E439" s="39" t="n"/>
      <c r="F439" s="39" t="n"/>
      <c r="G439" s="39" t="n"/>
      <c r="H439" s="14">
        <f>INDEX(VarLab,MATCH($A439,VarKey,0))&amp;INDEX(MemLab,MATCH($C439&amp;"|"&amp;$B439,MemKey,0))</f>
        <v/>
      </c>
      <c r="I439" s="14">
        <f>INDEX(VarUnit,MATCH($A439,VarKey,0))</f>
        <v/>
      </c>
      <c r="J439" s="14">
        <f>INDEX(VarSrc,MATCH($A439,VarKey,0))</f>
        <v/>
      </c>
      <c r="K439" s="11">
        <f>CodePrefix&amp;$A439&amp;IF($C439="","","."&amp;$C439&amp;"."&amp;$B439)&amp;INDEX(VarEnd,MATCH($A439,VarKey,0))&amp;K$5</f>
        <v/>
      </c>
      <c r="L439" s="40">
        <f>L426*$D439</f>
        <v/>
      </c>
      <c r="M439" s="35">
        <f>M426*$D439</f>
        <v/>
      </c>
      <c r="N439" s="35">
        <f>N426*$D439</f>
        <v/>
      </c>
      <c r="O439" s="35">
        <f>O426*$D439</f>
        <v/>
      </c>
      <c r="P439" s="35">
        <f>P426*$D439</f>
        <v/>
      </c>
      <c r="Q439" s="35">
        <f>Q426*$D439</f>
        <v/>
      </c>
      <c r="R439" s="35">
        <f>R426*$D439</f>
        <v/>
      </c>
      <c r="S439" s="35">
        <f>S426*$D439</f>
        <v/>
      </c>
      <c r="T439" s="35">
        <f>T426*$D439</f>
        <v/>
      </c>
      <c r="U439" s="35">
        <f>U426*$D439</f>
        <v/>
      </c>
      <c r="V439" s="35">
        <f>V426*$D439</f>
        <v/>
      </c>
      <c r="W439" s="35">
        <f>W426*$D439</f>
        <v/>
      </c>
      <c r="X439" s="35">
        <f>X426*$D439</f>
        <v/>
      </c>
      <c r="Y439" s="35">
        <f>Y426*$D439</f>
        <v/>
      </c>
      <c r="Z439" s="35">
        <f>Z426*$D439</f>
        <v/>
      </c>
      <c r="AA439" s="35">
        <f>AA426*$D439</f>
        <v/>
      </c>
      <c r="AB439" s="35">
        <f>AB426*$D439</f>
        <v/>
      </c>
      <c r="AC439" s="35">
        <f>AC426*$D439</f>
        <v/>
      </c>
      <c r="AD439" s="35">
        <f>AD426*$D439</f>
        <v/>
      </c>
      <c r="AE439" s="42">
        <f>PERUNIT(AE426,$D439)</f>
        <v/>
      </c>
      <c r="AG439" s="11">
        <f>CodePrefix&amp;$A439&amp;IF($C439="","","."&amp;$C439&amp;"."&amp;$B439)&amp;INDEX(VarEnd,MATCH($A439,VarKey,0))&amp;AG$5</f>
        <v/>
      </c>
      <c r="AH439" s="40">
        <f>AH426*$D439</f>
        <v/>
      </c>
      <c r="AI439" s="35">
        <f>AI426*$D439</f>
        <v/>
      </c>
      <c r="AJ439" s="35">
        <f>AJ426*$D439</f>
        <v/>
      </c>
      <c r="AK439" s="35">
        <f>AK426*$D439</f>
        <v/>
      </c>
      <c r="AL439" s="35">
        <f>AL426*$D439</f>
        <v/>
      </c>
      <c r="AM439" s="35">
        <f>AM426*$D439</f>
        <v/>
      </c>
      <c r="AN439" s="35">
        <f>AN426*$D439</f>
        <v/>
      </c>
      <c r="AO439" s="35">
        <f>AO426*$D439</f>
        <v/>
      </c>
      <c r="AP439" s="35">
        <f>AP426*$D439</f>
        <v/>
      </c>
      <c r="AQ439" s="35">
        <f>AQ426*$D439</f>
        <v/>
      </c>
      <c r="AR439" s="35">
        <f>AR426*$D439</f>
        <v/>
      </c>
      <c r="AS439" s="35">
        <f>AS426*$D439</f>
        <v/>
      </c>
      <c r="AT439" s="35">
        <f>AT426*$D439</f>
        <v/>
      </c>
      <c r="AU439" s="35">
        <f>AU426*$D439</f>
        <v/>
      </c>
      <c r="AV439" s="35">
        <f>AV426*$D439</f>
        <v/>
      </c>
      <c r="AW439" s="35">
        <f>AW426*$D439</f>
        <v/>
      </c>
      <c r="AX439" s="35">
        <f>AX426*$D439</f>
        <v/>
      </c>
      <c r="AY439" s="35">
        <f>AY426*$D439</f>
        <v/>
      </c>
      <c r="AZ439" s="35">
        <f>AZ426*$D439</f>
        <v/>
      </c>
      <c r="BA439" s="42">
        <f>PERUNIT(BA426,$D439)</f>
        <v/>
      </c>
    </row>
    <row r="440" hidden="1" outlineLevel="1">
      <c r="A440" s="14" t="inlineStr">
        <is>
          <t>esubpu</t>
        </is>
      </c>
      <c r="B440" s="14" t="inlineStr">
        <is>
          <t>die</t>
        </is>
      </c>
      <c r="C440" s="14" t="inlineStr">
        <is>
          <t>all</t>
        </is>
      </c>
      <c r="D440" s="35">
        <f>INDEX(Inputs_prices!$G$7:$G$18,MATCH($B440&amp;"."&amp;$C440,Inputs_prices!$A$7:$A$18,0))</f>
        <v/>
      </c>
      <c r="E440" s="39" t="n"/>
      <c r="F440" s="39" t="n"/>
      <c r="G440" s="39" t="n"/>
      <c r="H440" s="14">
        <f>INDEX(VarLab,MATCH($A440,VarKey,0))&amp;INDEX(MemLab,MATCH($C440&amp;"|"&amp;$B440,MemKey,0))</f>
        <v/>
      </c>
      <c r="I440" s="14">
        <f>INDEX(VarUnit,MATCH($A440,VarKey,0))</f>
        <v/>
      </c>
      <c r="J440" s="14">
        <f>INDEX(VarSrc,MATCH($A440,VarKey,0))</f>
        <v/>
      </c>
      <c r="K440" s="11">
        <f>CodePrefix&amp;$A440&amp;IF($C440="","","."&amp;$C440&amp;"."&amp;$B440)&amp;INDEX(VarEnd,MATCH($A440,VarKey,0))&amp;K$5</f>
        <v/>
      </c>
      <c r="L440" s="40">
        <f>L427*$D440</f>
        <v/>
      </c>
      <c r="M440" s="35">
        <f>M427*$D440</f>
        <v/>
      </c>
      <c r="N440" s="35">
        <f>N427*$D440</f>
        <v/>
      </c>
      <c r="O440" s="35">
        <f>O427*$D440</f>
        <v/>
      </c>
      <c r="P440" s="35">
        <f>P427*$D440</f>
        <v/>
      </c>
      <c r="Q440" s="35">
        <f>Q427*$D440</f>
        <v/>
      </c>
      <c r="R440" s="35">
        <f>R427*$D440</f>
        <v/>
      </c>
      <c r="S440" s="35">
        <f>S427*$D440</f>
        <v/>
      </c>
      <c r="T440" s="35">
        <f>T427*$D440</f>
        <v/>
      </c>
      <c r="U440" s="35">
        <f>U427*$D440</f>
        <v/>
      </c>
      <c r="V440" s="35">
        <f>V427*$D440</f>
        <v/>
      </c>
      <c r="W440" s="35">
        <f>W427*$D440</f>
        <v/>
      </c>
      <c r="X440" s="35">
        <f>X427*$D440</f>
        <v/>
      </c>
      <c r="Y440" s="35">
        <f>Y427*$D440</f>
        <v/>
      </c>
      <c r="Z440" s="35">
        <f>Z427*$D440</f>
        <v/>
      </c>
      <c r="AA440" s="35">
        <f>AA427*$D440</f>
        <v/>
      </c>
      <c r="AB440" s="35">
        <f>AB427*$D440</f>
        <v/>
      </c>
      <c r="AC440" s="35">
        <f>AC427*$D440</f>
        <v/>
      </c>
      <c r="AD440" s="35">
        <f>AD427*$D440</f>
        <v/>
      </c>
      <c r="AE440" s="42">
        <f>PERUNIT(AE427,$D440)</f>
        <v/>
      </c>
      <c r="AG440" s="11">
        <f>CodePrefix&amp;$A440&amp;IF($C440="","","."&amp;$C440&amp;"."&amp;$B440)&amp;INDEX(VarEnd,MATCH($A440,VarKey,0))&amp;AG$5</f>
        <v/>
      </c>
      <c r="AH440" s="40">
        <f>AH427*$D440</f>
        <v/>
      </c>
      <c r="AI440" s="35">
        <f>AI427*$D440</f>
        <v/>
      </c>
      <c r="AJ440" s="35">
        <f>AJ427*$D440</f>
        <v/>
      </c>
      <c r="AK440" s="35">
        <f>AK427*$D440</f>
        <v/>
      </c>
      <c r="AL440" s="35">
        <f>AL427*$D440</f>
        <v/>
      </c>
      <c r="AM440" s="35">
        <f>AM427*$D440</f>
        <v/>
      </c>
      <c r="AN440" s="35">
        <f>AN427*$D440</f>
        <v/>
      </c>
      <c r="AO440" s="35">
        <f>AO427*$D440</f>
        <v/>
      </c>
      <c r="AP440" s="35">
        <f>AP427*$D440</f>
        <v/>
      </c>
      <c r="AQ440" s="35">
        <f>AQ427*$D440</f>
        <v/>
      </c>
      <c r="AR440" s="35">
        <f>AR427*$D440</f>
        <v/>
      </c>
      <c r="AS440" s="35">
        <f>AS427*$D440</f>
        <v/>
      </c>
      <c r="AT440" s="35">
        <f>AT427*$D440</f>
        <v/>
      </c>
      <c r="AU440" s="35">
        <f>AU427*$D440</f>
        <v/>
      </c>
      <c r="AV440" s="35">
        <f>AV427*$D440</f>
        <v/>
      </c>
      <c r="AW440" s="35">
        <f>AW427*$D440</f>
        <v/>
      </c>
      <c r="AX440" s="35">
        <f>AX427*$D440</f>
        <v/>
      </c>
      <c r="AY440" s="35">
        <f>AY427*$D440</f>
        <v/>
      </c>
      <c r="AZ440" s="35">
        <f>AZ427*$D440</f>
        <v/>
      </c>
      <c r="BA440" s="42">
        <f>PERUNIT(BA427,$D440)</f>
        <v/>
      </c>
    </row>
    <row r="441" hidden="1" outlineLevel="1">
      <c r="A441" s="14" t="inlineStr">
        <is>
          <t>esubpu</t>
        </is>
      </c>
      <c r="B441" s="14" t="inlineStr">
        <is>
          <t>lpg</t>
        </is>
      </c>
      <c r="C441" s="14" t="inlineStr">
        <is>
          <t>all</t>
        </is>
      </c>
      <c r="D441" s="35">
        <f>INDEX(Inputs_prices!$G$7:$G$18,MATCH($B441&amp;"."&amp;$C441,Inputs_prices!$A$7:$A$18,0))</f>
        <v/>
      </c>
      <c r="E441" s="39" t="n"/>
      <c r="F441" s="39" t="n"/>
      <c r="G441" s="39" t="n"/>
      <c r="H441" s="14">
        <f>INDEX(VarLab,MATCH($A441,VarKey,0))&amp;INDEX(MemLab,MATCH($C441&amp;"|"&amp;$B441,MemKey,0))</f>
        <v/>
      </c>
      <c r="I441" s="14">
        <f>INDEX(VarUnit,MATCH($A441,VarKey,0))</f>
        <v/>
      </c>
      <c r="J441" s="14">
        <f>INDEX(VarSrc,MATCH($A441,VarKey,0))</f>
        <v/>
      </c>
      <c r="K441" s="11">
        <f>CodePrefix&amp;$A441&amp;IF($C441="","","."&amp;$C441&amp;"."&amp;$B441)&amp;INDEX(VarEnd,MATCH($A441,VarKey,0))&amp;K$5</f>
        <v/>
      </c>
      <c r="L441" s="40">
        <f>L428*$D441</f>
        <v/>
      </c>
      <c r="M441" s="35">
        <f>M428*$D441</f>
        <v/>
      </c>
      <c r="N441" s="35">
        <f>N428*$D441</f>
        <v/>
      </c>
      <c r="O441" s="35">
        <f>O428*$D441</f>
        <v/>
      </c>
      <c r="P441" s="35">
        <f>P428*$D441</f>
        <v/>
      </c>
      <c r="Q441" s="35">
        <f>Q428*$D441</f>
        <v/>
      </c>
      <c r="R441" s="35">
        <f>R428*$D441</f>
        <v/>
      </c>
      <c r="S441" s="35">
        <f>S428*$D441</f>
        <v/>
      </c>
      <c r="T441" s="35">
        <f>T428*$D441</f>
        <v/>
      </c>
      <c r="U441" s="35">
        <f>U428*$D441</f>
        <v/>
      </c>
      <c r="V441" s="35">
        <f>V428*$D441</f>
        <v/>
      </c>
      <c r="W441" s="35">
        <f>W428*$D441</f>
        <v/>
      </c>
      <c r="X441" s="35">
        <f>X428*$D441</f>
        <v/>
      </c>
      <c r="Y441" s="35">
        <f>Y428*$D441</f>
        <v/>
      </c>
      <c r="Z441" s="35">
        <f>Z428*$D441</f>
        <v/>
      </c>
      <c r="AA441" s="35">
        <f>AA428*$D441</f>
        <v/>
      </c>
      <c r="AB441" s="35">
        <f>AB428*$D441</f>
        <v/>
      </c>
      <c r="AC441" s="35">
        <f>AC428*$D441</f>
        <v/>
      </c>
      <c r="AD441" s="35">
        <f>AD428*$D441</f>
        <v/>
      </c>
      <c r="AE441" s="42">
        <f>PERUNIT(AE428,$D441)</f>
        <v/>
      </c>
      <c r="AG441" s="11">
        <f>CodePrefix&amp;$A441&amp;IF($C441="","","."&amp;$C441&amp;"."&amp;$B441)&amp;INDEX(VarEnd,MATCH($A441,VarKey,0))&amp;AG$5</f>
        <v/>
      </c>
      <c r="AH441" s="40">
        <f>AH428*$D441</f>
        <v/>
      </c>
      <c r="AI441" s="35">
        <f>AI428*$D441</f>
        <v/>
      </c>
      <c r="AJ441" s="35">
        <f>AJ428*$D441</f>
        <v/>
      </c>
      <c r="AK441" s="35">
        <f>AK428*$D441</f>
        <v/>
      </c>
      <c r="AL441" s="35">
        <f>AL428*$D441</f>
        <v/>
      </c>
      <c r="AM441" s="35">
        <f>AM428*$D441</f>
        <v/>
      </c>
      <c r="AN441" s="35">
        <f>AN428*$D441</f>
        <v/>
      </c>
      <c r="AO441" s="35">
        <f>AO428*$D441</f>
        <v/>
      </c>
      <c r="AP441" s="35">
        <f>AP428*$D441</f>
        <v/>
      </c>
      <c r="AQ441" s="35">
        <f>AQ428*$D441</f>
        <v/>
      </c>
      <c r="AR441" s="35">
        <f>AR428*$D441</f>
        <v/>
      </c>
      <c r="AS441" s="35">
        <f>AS428*$D441</f>
        <v/>
      </c>
      <c r="AT441" s="35">
        <f>AT428*$D441</f>
        <v/>
      </c>
      <c r="AU441" s="35">
        <f>AU428*$D441</f>
        <v/>
      </c>
      <c r="AV441" s="35">
        <f>AV428*$D441</f>
        <v/>
      </c>
      <c r="AW441" s="35">
        <f>AW428*$D441</f>
        <v/>
      </c>
      <c r="AX441" s="35">
        <f>AX428*$D441</f>
        <v/>
      </c>
      <c r="AY441" s="35">
        <f>AY428*$D441</f>
        <v/>
      </c>
      <c r="AZ441" s="35">
        <f>AZ428*$D441</f>
        <v/>
      </c>
      <c r="BA441" s="42">
        <f>PERUNIT(BA428,$D441)</f>
        <v/>
      </c>
    </row>
    <row r="442" hidden="1" outlineLevel="1">
      <c r="A442" s="14" t="inlineStr">
        <is>
          <t>esubpu</t>
        </is>
      </c>
      <c r="B442" s="14" t="inlineStr">
        <is>
          <t>ker</t>
        </is>
      </c>
      <c r="C442" s="14" t="inlineStr">
        <is>
          <t>all</t>
        </is>
      </c>
      <c r="D442" s="35">
        <f>INDEX(Inputs_prices!$G$7:$G$18,MATCH($B442&amp;"."&amp;$C442,Inputs_prices!$A$7:$A$18,0))</f>
        <v/>
      </c>
      <c r="E442" s="39" t="n"/>
      <c r="F442" s="39" t="n"/>
      <c r="G442" s="39" t="n"/>
      <c r="H442" s="14">
        <f>INDEX(VarLab,MATCH($A442,VarKey,0))&amp;INDEX(MemLab,MATCH($C442&amp;"|"&amp;$B442,MemKey,0))</f>
        <v/>
      </c>
      <c r="I442" s="14">
        <f>INDEX(VarUnit,MATCH($A442,VarKey,0))</f>
        <v/>
      </c>
      <c r="J442" s="14">
        <f>INDEX(VarSrc,MATCH($A442,VarKey,0))</f>
        <v/>
      </c>
      <c r="K442" s="11">
        <f>CodePrefix&amp;$A442&amp;IF($C442="","","."&amp;$C442&amp;"."&amp;$B442)&amp;INDEX(VarEnd,MATCH($A442,VarKey,0))&amp;K$5</f>
        <v/>
      </c>
      <c r="L442" s="40">
        <f>L429*$D442</f>
        <v/>
      </c>
      <c r="M442" s="35">
        <f>M429*$D442</f>
        <v/>
      </c>
      <c r="N442" s="35">
        <f>N429*$D442</f>
        <v/>
      </c>
      <c r="O442" s="35">
        <f>O429*$D442</f>
        <v/>
      </c>
      <c r="P442" s="35">
        <f>P429*$D442</f>
        <v/>
      </c>
      <c r="Q442" s="35">
        <f>Q429*$D442</f>
        <v/>
      </c>
      <c r="R442" s="35">
        <f>R429*$D442</f>
        <v/>
      </c>
      <c r="S442" s="35">
        <f>S429*$D442</f>
        <v/>
      </c>
      <c r="T442" s="35">
        <f>T429*$D442</f>
        <v/>
      </c>
      <c r="U442" s="35">
        <f>U429*$D442</f>
        <v/>
      </c>
      <c r="V442" s="35">
        <f>V429*$D442</f>
        <v/>
      </c>
      <c r="W442" s="35">
        <f>W429*$D442</f>
        <v/>
      </c>
      <c r="X442" s="35">
        <f>X429*$D442</f>
        <v/>
      </c>
      <c r="Y442" s="35">
        <f>Y429*$D442</f>
        <v/>
      </c>
      <c r="Z442" s="35">
        <f>Z429*$D442</f>
        <v/>
      </c>
      <c r="AA442" s="35">
        <f>AA429*$D442</f>
        <v/>
      </c>
      <c r="AB442" s="35">
        <f>AB429*$D442</f>
        <v/>
      </c>
      <c r="AC442" s="35">
        <f>AC429*$D442</f>
        <v/>
      </c>
      <c r="AD442" s="35">
        <f>AD429*$D442</f>
        <v/>
      </c>
      <c r="AE442" s="42">
        <f>PERUNIT(AE429,$D442)</f>
        <v/>
      </c>
      <c r="AG442" s="11">
        <f>CodePrefix&amp;$A442&amp;IF($C442="","","."&amp;$C442&amp;"."&amp;$B442)&amp;INDEX(VarEnd,MATCH($A442,VarKey,0))&amp;AG$5</f>
        <v/>
      </c>
      <c r="AH442" s="40">
        <f>AH429*$D442</f>
        <v/>
      </c>
      <c r="AI442" s="35">
        <f>AI429*$D442</f>
        <v/>
      </c>
      <c r="AJ442" s="35">
        <f>AJ429*$D442</f>
        <v/>
      </c>
      <c r="AK442" s="35">
        <f>AK429*$D442</f>
        <v/>
      </c>
      <c r="AL442" s="35">
        <f>AL429*$D442</f>
        <v/>
      </c>
      <c r="AM442" s="35">
        <f>AM429*$D442</f>
        <v/>
      </c>
      <c r="AN442" s="35">
        <f>AN429*$D442</f>
        <v/>
      </c>
      <c r="AO442" s="35">
        <f>AO429*$D442</f>
        <v/>
      </c>
      <c r="AP442" s="35">
        <f>AP429*$D442</f>
        <v/>
      </c>
      <c r="AQ442" s="35">
        <f>AQ429*$D442</f>
        <v/>
      </c>
      <c r="AR442" s="35">
        <f>AR429*$D442</f>
        <v/>
      </c>
      <c r="AS442" s="35">
        <f>AS429*$D442</f>
        <v/>
      </c>
      <c r="AT442" s="35">
        <f>AT429*$D442</f>
        <v/>
      </c>
      <c r="AU442" s="35">
        <f>AU429*$D442</f>
        <v/>
      </c>
      <c r="AV442" s="35">
        <f>AV429*$D442</f>
        <v/>
      </c>
      <c r="AW442" s="35">
        <f>AW429*$D442</f>
        <v/>
      </c>
      <c r="AX442" s="35">
        <f>AX429*$D442</f>
        <v/>
      </c>
      <c r="AY442" s="35">
        <f>AY429*$D442</f>
        <v/>
      </c>
      <c r="AZ442" s="35">
        <f>AZ429*$D442</f>
        <v/>
      </c>
      <c r="BA442" s="42">
        <f>PERUNIT(BA429,$D442)</f>
        <v/>
      </c>
    </row>
    <row r="443" hidden="1" outlineLevel="1">
      <c r="A443" s="14" t="inlineStr">
        <is>
          <t>esubpu</t>
        </is>
      </c>
      <c r="B443" s="14" t="inlineStr">
        <is>
          <t>oop</t>
        </is>
      </c>
      <c r="C443" s="14" t="inlineStr">
        <is>
          <t>all</t>
        </is>
      </c>
      <c r="D443" s="35">
        <f>INDEX(Inputs_prices!$G$7:$G$18,MATCH($B443&amp;"."&amp;$C443,Inputs_prices!$A$7:$A$18,0))</f>
        <v/>
      </c>
      <c r="E443" s="39" t="n"/>
      <c r="F443" s="39" t="n"/>
      <c r="G443" s="39" t="n"/>
      <c r="H443" s="14">
        <f>INDEX(VarLab,MATCH($A443,VarKey,0))&amp;INDEX(MemLab,MATCH($C443&amp;"|"&amp;$B443,MemKey,0))</f>
        <v/>
      </c>
      <c r="I443" s="14">
        <f>INDEX(VarUnit,MATCH($A443,VarKey,0))</f>
        <v/>
      </c>
      <c r="J443" s="14">
        <f>INDEX(VarSrc,MATCH($A443,VarKey,0))</f>
        <v/>
      </c>
      <c r="K443" s="11">
        <f>CodePrefix&amp;$A443&amp;IF($C443="","","."&amp;$C443&amp;"."&amp;$B443)&amp;INDEX(VarEnd,MATCH($A443,VarKey,0))&amp;K$5</f>
        <v/>
      </c>
      <c r="L443" s="40">
        <f>L430*$D443</f>
        <v/>
      </c>
      <c r="M443" s="35">
        <f>M430*$D443</f>
        <v/>
      </c>
      <c r="N443" s="35">
        <f>N430*$D443</f>
        <v/>
      </c>
      <c r="O443" s="35">
        <f>O430*$D443</f>
        <v/>
      </c>
      <c r="P443" s="35">
        <f>P430*$D443</f>
        <v/>
      </c>
      <c r="Q443" s="35">
        <f>Q430*$D443</f>
        <v/>
      </c>
      <c r="R443" s="35">
        <f>R430*$D443</f>
        <v/>
      </c>
      <c r="S443" s="35">
        <f>S430*$D443</f>
        <v/>
      </c>
      <c r="T443" s="35">
        <f>T430*$D443</f>
        <v/>
      </c>
      <c r="U443" s="35">
        <f>U430*$D443</f>
        <v/>
      </c>
      <c r="V443" s="35">
        <f>V430*$D443</f>
        <v/>
      </c>
      <c r="W443" s="35">
        <f>W430*$D443</f>
        <v/>
      </c>
      <c r="X443" s="35">
        <f>X430*$D443</f>
        <v/>
      </c>
      <c r="Y443" s="35">
        <f>Y430*$D443</f>
        <v/>
      </c>
      <c r="Z443" s="35">
        <f>Z430*$D443</f>
        <v/>
      </c>
      <c r="AA443" s="35">
        <f>AA430*$D443</f>
        <v/>
      </c>
      <c r="AB443" s="35">
        <f>AB430*$D443</f>
        <v/>
      </c>
      <c r="AC443" s="35">
        <f>AC430*$D443</f>
        <v/>
      </c>
      <c r="AD443" s="35">
        <f>AD430*$D443</f>
        <v/>
      </c>
      <c r="AE443" s="42">
        <f>PERUNIT(AE430,$D443)</f>
        <v/>
      </c>
      <c r="AG443" s="11">
        <f>CodePrefix&amp;$A443&amp;IF($C443="","","."&amp;$C443&amp;"."&amp;$B443)&amp;INDEX(VarEnd,MATCH($A443,VarKey,0))&amp;AG$5</f>
        <v/>
      </c>
      <c r="AH443" s="40">
        <f>AH430*$D443</f>
        <v/>
      </c>
      <c r="AI443" s="35">
        <f>AI430*$D443</f>
        <v/>
      </c>
      <c r="AJ443" s="35">
        <f>AJ430*$D443</f>
        <v/>
      </c>
      <c r="AK443" s="35">
        <f>AK430*$D443</f>
        <v/>
      </c>
      <c r="AL443" s="35">
        <f>AL430*$D443</f>
        <v/>
      </c>
      <c r="AM443" s="35">
        <f>AM430*$D443</f>
        <v/>
      </c>
      <c r="AN443" s="35">
        <f>AN430*$D443</f>
        <v/>
      </c>
      <c r="AO443" s="35">
        <f>AO430*$D443</f>
        <v/>
      </c>
      <c r="AP443" s="35">
        <f>AP430*$D443</f>
        <v/>
      </c>
      <c r="AQ443" s="35">
        <f>AQ430*$D443</f>
        <v/>
      </c>
      <c r="AR443" s="35">
        <f>AR430*$D443</f>
        <v/>
      </c>
      <c r="AS443" s="35">
        <f>AS430*$D443</f>
        <v/>
      </c>
      <c r="AT443" s="35">
        <f>AT430*$D443</f>
        <v/>
      </c>
      <c r="AU443" s="35">
        <f>AU430*$D443</f>
        <v/>
      </c>
      <c r="AV443" s="35">
        <f>AV430*$D443</f>
        <v/>
      </c>
      <c r="AW443" s="35">
        <f>AW430*$D443</f>
        <v/>
      </c>
      <c r="AX443" s="35">
        <f>AX430*$D443</f>
        <v/>
      </c>
      <c r="AY443" s="35">
        <f>AY430*$D443</f>
        <v/>
      </c>
      <c r="AZ443" s="35">
        <f>AZ430*$D443</f>
        <v/>
      </c>
      <c r="BA443" s="42">
        <f>PERUNIT(BA430,$D443)</f>
        <v/>
      </c>
    </row>
    <row r="444" hidden="1" outlineLevel="1">
      <c r="A444" s="14" t="inlineStr">
        <is>
          <t>esubpu</t>
        </is>
      </c>
      <c r="B444" s="14" t="inlineStr">
        <is>
          <t>bio</t>
        </is>
      </c>
      <c r="C444" s="14" t="inlineStr">
        <is>
          <t>all</t>
        </is>
      </c>
      <c r="D444" s="35">
        <f>INDEX(Inputs_prices!$G$7:$G$18,MATCH($B444&amp;"."&amp;$C444,Inputs_prices!$A$7:$A$18,0))</f>
        <v/>
      </c>
      <c r="E444" s="39" t="n"/>
      <c r="F444" s="39" t="n"/>
      <c r="G444" s="39" t="n"/>
      <c r="H444" s="14">
        <f>INDEX(VarLab,MATCH($A444,VarKey,0))&amp;INDEX(MemLab,MATCH($C444&amp;"|"&amp;$B444,MemKey,0))</f>
        <v/>
      </c>
      <c r="I444" s="14">
        <f>INDEX(VarUnit,MATCH($A444,VarKey,0))</f>
        <v/>
      </c>
      <c r="J444" s="14">
        <f>INDEX(VarSrc,MATCH($A444,VarKey,0))</f>
        <v/>
      </c>
      <c r="K444" s="11">
        <f>CodePrefix&amp;$A444&amp;IF($C444="","","."&amp;$C444&amp;"."&amp;$B444)&amp;INDEX(VarEnd,MATCH($A444,VarKey,0))&amp;K$5</f>
        <v/>
      </c>
      <c r="L444" s="40">
        <f>L431*$D444</f>
        <v/>
      </c>
      <c r="M444" s="35">
        <f>M431*$D444</f>
        <v/>
      </c>
      <c r="N444" s="35">
        <f>N431*$D444</f>
        <v/>
      </c>
      <c r="O444" s="35">
        <f>O431*$D444</f>
        <v/>
      </c>
      <c r="P444" s="35">
        <f>P431*$D444</f>
        <v/>
      </c>
      <c r="Q444" s="35">
        <f>Q431*$D444</f>
        <v/>
      </c>
      <c r="R444" s="35">
        <f>R431*$D444</f>
        <v/>
      </c>
      <c r="S444" s="35">
        <f>S431*$D444</f>
        <v/>
      </c>
      <c r="T444" s="35">
        <f>T431*$D444</f>
        <v/>
      </c>
      <c r="U444" s="35">
        <f>U431*$D444</f>
        <v/>
      </c>
      <c r="V444" s="35">
        <f>V431*$D444</f>
        <v/>
      </c>
      <c r="W444" s="35">
        <f>W431*$D444</f>
        <v/>
      </c>
      <c r="X444" s="35">
        <f>X431*$D444</f>
        <v/>
      </c>
      <c r="Y444" s="35">
        <f>Y431*$D444</f>
        <v/>
      </c>
      <c r="Z444" s="35">
        <f>Z431*$D444</f>
        <v/>
      </c>
      <c r="AA444" s="35">
        <f>AA431*$D444</f>
        <v/>
      </c>
      <c r="AB444" s="35">
        <f>AB431*$D444</f>
        <v/>
      </c>
      <c r="AC444" s="35">
        <f>AC431*$D444</f>
        <v/>
      </c>
      <c r="AD444" s="35">
        <f>AD431*$D444</f>
        <v/>
      </c>
      <c r="AE444" s="42">
        <f>PERUNIT(AE431,$D444)</f>
        <v/>
      </c>
      <c r="AG444" s="11">
        <f>CodePrefix&amp;$A444&amp;IF($C444="","","."&amp;$C444&amp;"."&amp;$B444)&amp;INDEX(VarEnd,MATCH($A444,VarKey,0))&amp;AG$5</f>
        <v/>
      </c>
      <c r="AH444" s="40">
        <f>AH431*$D444</f>
        <v/>
      </c>
      <c r="AI444" s="35">
        <f>AI431*$D444</f>
        <v/>
      </c>
      <c r="AJ444" s="35">
        <f>AJ431*$D444</f>
        <v/>
      </c>
      <c r="AK444" s="35">
        <f>AK431*$D444</f>
        <v/>
      </c>
      <c r="AL444" s="35">
        <f>AL431*$D444</f>
        <v/>
      </c>
      <c r="AM444" s="35">
        <f>AM431*$D444</f>
        <v/>
      </c>
      <c r="AN444" s="35">
        <f>AN431*$D444</f>
        <v/>
      </c>
      <c r="AO444" s="35">
        <f>AO431*$D444</f>
        <v/>
      </c>
      <c r="AP444" s="35">
        <f>AP431*$D444</f>
        <v/>
      </c>
      <c r="AQ444" s="35">
        <f>AQ431*$D444</f>
        <v/>
      </c>
      <c r="AR444" s="35">
        <f>AR431*$D444</f>
        <v/>
      </c>
      <c r="AS444" s="35">
        <f>AS431*$D444</f>
        <v/>
      </c>
      <c r="AT444" s="35">
        <f>AT431*$D444</f>
        <v/>
      </c>
      <c r="AU444" s="35">
        <f>AU431*$D444</f>
        <v/>
      </c>
      <c r="AV444" s="35">
        <f>AV431*$D444</f>
        <v/>
      </c>
      <c r="AW444" s="35">
        <f>AW431*$D444</f>
        <v/>
      </c>
      <c r="AX444" s="35">
        <f>AX431*$D444</f>
        <v/>
      </c>
      <c r="AY444" s="35">
        <f>AY431*$D444</f>
        <v/>
      </c>
      <c r="AZ444" s="35">
        <f>AZ431*$D444</f>
        <v/>
      </c>
      <c r="BA444" s="42">
        <f>PERUNIT(BA431,$D444)</f>
        <v/>
      </c>
    </row>
    <row r="445" hidden="1" outlineLevel="1"/>
    <row r="446" collapsed="1"/>
    <row r="447">
      <c r="A447" s="4" t="inlineStr">
        <is>
          <t>3. Power sector: engineer model (demand, dispatch, retirement, investment) with generation costs and electricity prices (legacy section 4, sub-tables A-M; PowerModel_Method_v2_3.md)</t>
        </is>
      </c>
      <c r="B447" s="5" t="n"/>
      <c r="C447" s="5" t="n"/>
      <c r="D447" s="5" t="n"/>
      <c r="E447" s="5" t="n"/>
      <c r="F447" s="5" t="n"/>
      <c r="G447" s="5" t="n"/>
      <c r="H447" s="5" t="n"/>
      <c r="I447" s="5" t="n"/>
      <c r="J447" s="5" t="n"/>
      <c r="K447" s="5" t="n"/>
      <c r="L447" s="5" t="n"/>
      <c r="M447" s="5" t="n"/>
      <c r="N447" s="5" t="n"/>
      <c r="O447" s="5" t="n"/>
      <c r="P447" s="5" t="n"/>
      <c r="Q447" s="5" t="n"/>
      <c r="R447" s="5" t="n"/>
      <c r="S447" s="5" t="n"/>
      <c r="T447" s="5" t="n"/>
      <c r="U447" s="5" t="n"/>
      <c r="V447" s="5" t="n"/>
      <c r="W447" s="5" t="n"/>
      <c r="X447" s="5" t="n"/>
      <c r="Y447" s="5" t="n"/>
      <c r="Z447" s="5" t="n"/>
      <c r="AA447" s="5" t="n"/>
      <c r="AB447" s="5" t="n"/>
      <c r="AC447" s="5" t="n"/>
      <c r="AD447" s="5" t="n"/>
      <c r="AE447" s="5" t="n"/>
      <c r="AF447" s="5" t="n"/>
      <c r="AG447" s="5" t="n"/>
      <c r="AH447" s="5" t="n"/>
      <c r="AI447" s="5" t="n"/>
      <c r="AJ447" s="5" t="n"/>
      <c r="AK447" s="5" t="n"/>
      <c r="AL447" s="5" t="n"/>
      <c r="AM447" s="5" t="n"/>
      <c r="AN447" s="5" t="n"/>
      <c r="AO447" s="5" t="n"/>
      <c r="AP447" s="5" t="n"/>
      <c r="AQ447" s="5" t="n"/>
      <c r="AR447" s="5" t="n"/>
      <c r="AS447" s="5" t="n"/>
      <c r="AT447" s="5" t="n"/>
      <c r="AU447" s="5" t="n"/>
      <c r="AV447" s="5" t="n"/>
      <c r="AW447" s="5" t="n"/>
      <c r="AX447" s="5" t="n"/>
      <c r="AY447" s="5" t="n"/>
      <c r="AZ447" s="5" t="n"/>
      <c r="BA447" s="5" t="n"/>
      <c r="BB447" s="5" t="n"/>
    </row>
    <row r="448" hidden="1" outlineLevel="1">
      <c r="H448" s="21" t="inlineStr">
        <is>
          <t>A. Inputs: capex time factor, storage cost paths, income factor on GDP elasticities, exogenous demand shock</t>
        </is>
      </c>
    </row>
    <row r="449" hidden="1" outlineLevel="1">
      <c r="A449" s="14" t="inlineStr">
        <is>
          <t>tcf</t>
        </is>
      </c>
      <c r="B449" s="14" t="inlineStr">
        <is>
          <t>coa</t>
        </is>
      </c>
      <c r="C449" s="14" t="inlineStr">
        <is>
          <t>pow</t>
        </is>
      </c>
      <c r="D449" s="14">
        <f>$A449&amp;"|"&amp;$B449</f>
        <v/>
      </c>
      <c r="E449" s="39" t="n"/>
      <c r="F449" s="39" t="n"/>
      <c r="G449" s="39" t="n"/>
      <c r="H449" s="14">
        <f>INDEX(VarLab,MATCH($A449,VarKey,0))&amp;INDEX(MemLab,MATCH($C449&amp;"|"&amp;$B449,MemKey,0))</f>
        <v/>
      </c>
      <c r="I449" s="14">
        <f>INDEX(VarUnit,MATCH($A449,VarKey,0))</f>
        <v/>
      </c>
      <c r="J449" s="14">
        <f>INDEX(VarSrc,MATCH($A449,VarKey,0))</f>
        <v/>
      </c>
      <c r="K449" s="11">
        <f>CodePrefix&amp;$A449&amp;IF($C449="","","."&amp;$C449&amp;"."&amp;$B449)&amp;INDEX(VarEnd,MATCH($A449,VarKey,0))&amp;K$5</f>
        <v/>
      </c>
      <c r="L449" s="40">
        <f>INDEX(PPathVal,MATCH($D449,PPathKey,0),MATCH(L$4,PPathYear,0))</f>
        <v/>
      </c>
      <c r="M449" s="35">
        <f>INDEX(PPathVal,MATCH($D449,PPathKey,0),MATCH(M$4,PPathYear,0))</f>
        <v/>
      </c>
      <c r="N449" s="35">
        <f>INDEX(PPathVal,MATCH($D449,PPathKey,0),MATCH(N$4,PPathYear,0))</f>
        <v/>
      </c>
      <c r="O449" s="35">
        <f>INDEX(PPathVal,MATCH($D449,PPathKey,0),MATCH(O$4,PPathYear,0))</f>
        <v/>
      </c>
      <c r="P449" s="35">
        <f>INDEX(PPathVal,MATCH($D449,PPathKey,0),MATCH(P$4,PPathYear,0))</f>
        <v/>
      </c>
      <c r="Q449" s="35">
        <f>INDEX(PPathVal,MATCH($D449,PPathKey,0),MATCH(Q$4,PPathYear,0))</f>
        <v/>
      </c>
      <c r="R449" s="35">
        <f>INDEX(PPathVal,MATCH($D449,PPathKey,0),MATCH(R$4,PPathYear,0))</f>
        <v/>
      </c>
      <c r="S449" s="35">
        <f>INDEX(PPathVal,MATCH($D449,PPathKey,0),MATCH(S$4,PPathYear,0))</f>
        <v/>
      </c>
      <c r="T449" s="35">
        <f>INDEX(PPathVal,MATCH($D449,PPathKey,0),MATCH(T$4,PPathYear,0))</f>
        <v/>
      </c>
      <c r="U449" s="35">
        <f>INDEX(PPathVal,MATCH($D449,PPathKey,0),MATCH(U$4,PPathYear,0))</f>
        <v/>
      </c>
      <c r="V449" s="35">
        <f>INDEX(PPathVal,MATCH($D449,PPathKey,0),MATCH(V$4,PPathYear,0))</f>
        <v/>
      </c>
      <c r="W449" s="35">
        <f>INDEX(PPathVal,MATCH($D449,PPathKey,0),MATCH(W$4,PPathYear,0))</f>
        <v/>
      </c>
      <c r="X449" s="35">
        <f>INDEX(PPathVal,MATCH($D449,PPathKey,0),MATCH(X$4,PPathYear,0))</f>
        <v/>
      </c>
      <c r="Y449" s="35">
        <f>INDEX(PPathVal,MATCH($D449,PPathKey,0),MATCH(Y$4,PPathYear,0))</f>
        <v/>
      </c>
      <c r="Z449" s="35">
        <f>INDEX(PPathVal,MATCH($D449,PPathKey,0),MATCH(Z$4,PPathYear,0))</f>
        <v/>
      </c>
      <c r="AA449" s="35">
        <f>INDEX(PPathVal,MATCH($D449,PPathKey,0),MATCH(AA$4,PPathYear,0))</f>
        <v/>
      </c>
      <c r="AB449" s="35">
        <f>INDEX(PPathVal,MATCH($D449,PPathKey,0),MATCH(AB$4,PPathYear,0))</f>
        <v/>
      </c>
      <c r="AC449" s="35">
        <f>INDEX(PPathVal,MATCH($D449,PPathKey,0),MATCH(AC$4,PPathYear,0))</f>
        <v/>
      </c>
      <c r="AD449" s="35">
        <f>INDEX(PPathVal,MATCH($D449,PPathKey,0),MATCH(AD$4,PPathYear,0))</f>
        <v/>
      </c>
      <c r="AE449" s="35">
        <f>INDEX(PPathVal,MATCH($D449,PPathKey,0),MATCH(AE$4,PPathYear,0))</f>
        <v/>
      </c>
      <c r="AG449" s="11">
        <f>CodePrefix&amp;$A449&amp;IF($C449="","","."&amp;$C449&amp;"."&amp;$B449)&amp;INDEX(VarEnd,MATCH($A449,VarKey,0))&amp;AG$5</f>
        <v/>
      </c>
      <c r="AH449" s="40">
        <f>INDEX(PPathVal,MATCH($D449,PPathKey,0),MATCH(AH$4,PPathYear,0))</f>
        <v/>
      </c>
      <c r="AI449" s="35">
        <f>INDEX(PPathVal,MATCH($D449,PPathKey,0),MATCH(AI$4,PPathYear,0))</f>
        <v/>
      </c>
      <c r="AJ449" s="35">
        <f>INDEX(PPathVal,MATCH($D449,PPathKey,0),MATCH(AJ$4,PPathYear,0))</f>
        <v/>
      </c>
      <c r="AK449" s="35">
        <f>INDEX(PPathVal,MATCH($D449,PPathKey,0),MATCH(AK$4,PPathYear,0))</f>
        <v/>
      </c>
      <c r="AL449" s="35">
        <f>INDEX(PPathVal,MATCH($D449,PPathKey,0),MATCH(AL$4,PPathYear,0))</f>
        <v/>
      </c>
      <c r="AM449" s="35">
        <f>INDEX(PPathVal,MATCH($D449,PPathKey,0),MATCH(AM$4,PPathYear,0))</f>
        <v/>
      </c>
      <c r="AN449" s="35">
        <f>INDEX(PPathVal,MATCH($D449,PPathKey,0),MATCH(AN$4,PPathYear,0))</f>
        <v/>
      </c>
      <c r="AO449" s="35">
        <f>INDEX(PPathVal,MATCH($D449,PPathKey,0),MATCH(AO$4,PPathYear,0))</f>
        <v/>
      </c>
      <c r="AP449" s="35">
        <f>INDEX(PPathVal,MATCH($D449,PPathKey,0),MATCH(AP$4,PPathYear,0))</f>
        <v/>
      </c>
      <c r="AQ449" s="35">
        <f>INDEX(PPathVal,MATCH($D449,PPathKey,0),MATCH(AQ$4,PPathYear,0))</f>
        <v/>
      </c>
      <c r="AR449" s="35">
        <f>INDEX(PPathVal,MATCH($D449,PPathKey,0),MATCH(AR$4,PPathYear,0))</f>
        <v/>
      </c>
      <c r="AS449" s="35">
        <f>INDEX(PPathVal,MATCH($D449,PPathKey,0),MATCH(AS$4,PPathYear,0))</f>
        <v/>
      </c>
      <c r="AT449" s="35">
        <f>INDEX(PPathVal,MATCH($D449,PPathKey,0),MATCH(AT$4,PPathYear,0))</f>
        <v/>
      </c>
      <c r="AU449" s="35">
        <f>INDEX(PPathVal,MATCH($D449,PPathKey,0),MATCH(AU$4,PPathYear,0))</f>
        <v/>
      </c>
      <c r="AV449" s="35">
        <f>INDEX(PPathVal,MATCH($D449,PPathKey,0),MATCH(AV$4,PPathYear,0))</f>
        <v/>
      </c>
      <c r="AW449" s="35">
        <f>INDEX(PPathVal,MATCH($D449,PPathKey,0),MATCH(AW$4,PPathYear,0))</f>
        <v/>
      </c>
      <c r="AX449" s="35">
        <f>INDEX(PPathVal,MATCH($D449,PPathKey,0),MATCH(AX$4,PPathYear,0))</f>
        <v/>
      </c>
      <c r="AY449" s="35">
        <f>INDEX(PPathVal,MATCH($D449,PPathKey,0),MATCH(AY$4,PPathYear,0))</f>
        <v/>
      </c>
      <c r="AZ449" s="35">
        <f>INDEX(PPathVal,MATCH($D449,PPathKey,0),MATCH(AZ$4,PPathYear,0))</f>
        <v/>
      </c>
      <c r="BA449" s="35">
        <f>INDEX(PPathVal,MATCH($D449,PPathKey,0),MATCH(BA$4,PPathYear,0))</f>
        <v/>
      </c>
    </row>
    <row r="450" hidden="1" outlineLevel="1">
      <c r="A450" s="14" t="inlineStr">
        <is>
          <t>tcf</t>
        </is>
      </c>
      <c r="B450" s="14" t="inlineStr">
        <is>
          <t>nga</t>
        </is>
      </c>
      <c r="C450" s="14" t="inlineStr">
        <is>
          <t>pow</t>
        </is>
      </c>
      <c r="D450" s="14">
        <f>$A450&amp;"|"&amp;$B450</f>
        <v/>
      </c>
      <c r="E450" s="39" t="n"/>
      <c r="F450" s="39" t="n"/>
      <c r="G450" s="39" t="n"/>
      <c r="H450" s="14">
        <f>INDEX(VarLab,MATCH($A450,VarKey,0))&amp;INDEX(MemLab,MATCH($C450&amp;"|"&amp;$B450,MemKey,0))</f>
        <v/>
      </c>
      <c r="I450" s="14">
        <f>INDEX(VarUnit,MATCH($A450,VarKey,0))</f>
        <v/>
      </c>
      <c r="J450" s="14">
        <f>INDEX(VarSrc,MATCH($A450,VarKey,0))</f>
        <v/>
      </c>
      <c r="K450" s="11">
        <f>CodePrefix&amp;$A450&amp;IF($C450="","","."&amp;$C450&amp;"."&amp;$B450)&amp;INDEX(VarEnd,MATCH($A450,VarKey,0))&amp;K$5</f>
        <v/>
      </c>
      <c r="L450" s="40">
        <f>INDEX(PPathVal,MATCH($D450,PPathKey,0),MATCH(L$4,PPathYear,0))</f>
        <v/>
      </c>
      <c r="M450" s="35">
        <f>INDEX(PPathVal,MATCH($D450,PPathKey,0),MATCH(M$4,PPathYear,0))</f>
        <v/>
      </c>
      <c r="N450" s="35">
        <f>INDEX(PPathVal,MATCH($D450,PPathKey,0),MATCH(N$4,PPathYear,0))</f>
        <v/>
      </c>
      <c r="O450" s="35">
        <f>INDEX(PPathVal,MATCH($D450,PPathKey,0),MATCH(O$4,PPathYear,0))</f>
        <v/>
      </c>
      <c r="P450" s="35">
        <f>INDEX(PPathVal,MATCH($D450,PPathKey,0),MATCH(P$4,PPathYear,0))</f>
        <v/>
      </c>
      <c r="Q450" s="35">
        <f>INDEX(PPathVal,MATCH($D450,PPathKey,0),MATCH(Q$4,PPathYear,0))</f>
        <v/>
      </c>
      <c r="R450" s="35">
        <f>INDEX(PPathVal,MATCH($D450,PPathKey,0),MATCH(R$4,PPathYear,0))</f>
        <v/>
      </c>
      <c r="S450" s="35">
        <f>INDEX(PPathVal,MATCH($D450,PPathKey,0),MATCH(S$4,PPathYear,0))</f>
        <v/>
      </c>
      <c r="T450" s="35">
        <f>INDEX(PPathVal,MATCH($D450,PPathKey,0),MATCH(T$4,PPathYear,0))</f>
        <v/>
      </c>
      <c r="U450" s="35">
        <f>INDEX(PPathVal,MATCH($D450,PPathKey,0),MATCH(U$4,PPathYear,0))</f>
        <v/>
      </c>
      <c r="V450" s="35">
        <f>INDEX(PPathVal,MATCH($D450,PPathKey,0),MATCH(V$4,PPathYear,0))</f>
        <v/>
      </c>
      <c r="W450" s="35">
        <f>INDEX(PPathVal,MATCH($D450,PPathKey,0),MATCH(W$4,PPathYear,0))</f>
        <v/>
      </c>
      <c r="X450" s="35">
        <f>INDEX(PPathVal,MATCH($D450,PPathKey,0),MATCH(X$4,PPathYear,0))</f>
        <v/>
      </c>
      <c r="Y450" s="35">
        <f>INDEX(PPathVal,MATCH($D450,PPathKey,0),MATCH(Y$4,PPathYear,0))</f>
        <v/>
      </c>
      <c r="Z450" s="35">
        <f>INDEX(PPathVal,MATCH($D450,PPathKey,0),MATCH(Z$4,PPathYear,0))</f>
        <v/>
      </c>
      <c r="AA450" s="35">
        <f>INDEX(PPathVal,MATCH($D450,PPathKey,0),MATCH(AA$4,PPathYear,0))</f>
        <v/>
      </c>
      <c r="AB450" s="35">
        <f>INDEX(PPathVal,MATCH($D450,PPathKey,0),MATCH(AB$4,PPathYear,0))</f>
        <v/>
      </c>
      <c r="AC450" s="35">
        <f>INDEX(PPathVal,MATCH($D450,PPathKey,0),MATCH(AC$4,PPathYear,0))</f>
        <v/>
      </c>
      <c r="AD450" s="35">
        <f>INDEX(PPathVal,MATCH($D450,PPathKey,0),MATCH(AD$4,PPathYear,0))</f>
        <v/>
      </c>
      <c r="AE450" s="35">
        <f>INDEX(PPathVal,MATCH($D450,PPathKey,0),MATCH(AE$4,PPathYear,0))</f>
        <v/>
      </c>
      <c r="AG450" s="11">
        <f>CodePrefix&amp;$A450&amp;IF($C450="","","."&amp;$C450&amp;"."&amp;$B450)&amp;INDEX(VarEnd,MATCH($A450,VarKey,0))&amp;AG$5</f>
        <v/>
      </c>
      <c r="AH450" s="40">
        <f>INDEX(PPathVal,MATCH($D450,PPathKey,0),MATCH(AH$4,PPathYear,0))</f>
        <v/>
      </c>
      <c r="AI450" s="35">
        <f>INDEX(PPathVal,MATCH($D450,PPathKey,0),MATCH(AI$4,PPathYear,0))</f>
        <v/>
      </c>
      <c r="AJ450" s="35">
        <f>INDEX(PPathVal,MATCH($D450,PPathKey,0),MATCH(AJ$4,PPathYear,0))</f>
        <v/>
      </c>
      <c r="AK450" s="35">
        <f>INDEX(PPathVal,MATCH($D450,PPathKey,0),MATCH(AK$4,PPathYear,0))</f>
        <v/>
      </c>
      <c r="AL450" s="35">
        <f>INDEX(PPathVal,MATCH($D450,PPathKey,0),MATCH(AL$4,PPathYear,0))</f>
        <v/>
      </c>
      <c r="AM450" s="35">
        <f>INDEX(PPathVal,MATCH($D450,PPathKey,0),MATCH(AM$4,PPathYear,0))</f>
        <v/>
      </c>
      <c r="AN450" s="35">
        <f>INDEX(PPathVal,MATCH($D450,PPathKey,0),MATCH(AN$4,PPathYear,0))</f>
        <v/>
      </c>
      <c r="AO450" s="35">
        <f>INDEX(PPathVal,MATCH($D450,PPathKey,0),MATCH(AO$4,PPathYear,0))</f>
        <v/>
      </c>
      <c r="AP450" s="35">
        <f>INDEX(PPathVal,MATCH($D450,PPathKey,0),MATCH(AP$4,PPathYear,0))</f>
        <v/>
      </c>
      <c r="AQ450" s="35">
        <f>INDEX(PPathVal,MATCH($D450,PPathKey,0),MATCH(AQ$4,PPathYear,0))</f>
        <v/>
      </c>
      <c r="AR450" s="35">
        <f>INDEX(PPathVal,MATCH($D450,PPathKey,0),MATCH(AR$4,PPathYear,0))</f>
        <v/>
      </c>
      <c r="AS450" s="35">
        <f>INDEX(PPathVal,MATCH($D450,PPathKey,0),MATCH(AS$4,PPathYear,0))</f>
        <v/>
      </c>
      <c r="AT450" s="35">
        <f>INDEX(PPathVal,MATCH($D450,PPathKey,0),MATCH(AT$4,PPathYear,0))</f>
        <v/>
      </c>
      <c r="AU450" s="35">
        <f>INDEX(PPathVal,MATCH($D450,PPathKey,0),MATCH(AU$4,PPathYear,0))</f>
        <v/>
      </c>
      <c r="AV450" s="35">
        <f>INDEX(PPathVal,MATCH($D450,PPathKey,0),MATCH(AV$4,PPathYear,0))</f>
        <v/>
      </c>
      <c r="AW450" s="35">
        <f>INDEX(PPathVal,MATCH($D450,PPathKey,0),MATCH(AW$4,PPathYear,0))</f>
        <v/>
      </c>
      <c r="AX450" s="35">
        <f>INDEX(PPathVal,MATCH($D450,PPathKey,0),MATCH(AX$4,PPathYear,0))</f>
        <v/>
      </c>
      <c r="AY450" s="35">
        <f>INDEX(PPathVal,MATCH($D450,PPathKey,0),MATCH(AY$4,PPathYear,0))</f>
        <v/>
      </c>
      <c r="AZ450" s="35">
        <f>INDEX(PPathVal,MATCH($D450,PPathKey,0),MATCH(AZ$4,PPathYear,0))</f>
        <v/>
      </c>
      <c r="BA450" s="35">
        <f>INDEX(PPathVal,MATCH($D450,PPathKey,0),MATCH(BA$4,PPathYear,0))</f>
        <v/>
      </c>
    </row>
    <row r="451" hidden="1" outlineLevel="1">
      <c r="A451" s="14" t="inlineStr">
        <is>
          <t>tcf</t>
        </is>
      </c>
      <c r="B451" s="14" t="inlineStr">
        <is>
          <t>oop</t>
        </is>
      </c>
      <c r="C451" s="14" t="inlineStr">
        <is>
          <t>pow</t>
        </is>
      </c>
      <c r="D451" s="14">
        <f>$A451&amp;"|"&amp;$B451</f>
        <v/>
      </c>
      <c r="E451" s="39" t="n"/>
      <c r="F451" s="39" t="n"/>
      <c r="G451" s="39" t="n"/>
      <c r="H451" s="14">
        <f>INDEX(VarLab,MATCH($A451,VarKey,0))&amp;INDEX(MemLab,MATCH($C451&amp;"|"&amp;$B451,MemKey,0))</f>
        <v/>
      </c>
      <c r="I451" s="14">
        <f>INDEX(VarUnit,MATCH($A451,VarKey,0))</f>
        <v/>
      </c>
      <c r="J451" s="14">
        <f>INDEX(VarSrc,MATCH($A451,VarKey,0))</f>
        <v/>
      </c>
      <c r="K451" s="11">
        <f>CodePrefix&amp;$A451&amp;IF($C451="","","."&amp;$C451&amp;"."&amp;$B451)&amp;INDEX(VarEnd,MATCH($A451,VarKey,0))&amp;K$5</f>
        <v/>
      </c>
      <c r="L451" s="40">
        <f>INDEX(PPathVal,MATCH($D451,PPathKey,0),MATCH(L$4,PPathYear,0))</f>
        <v/>
      </c>
      <c r="M451" s="35">
        <f>INDEX(PPathVal,MATCH($D451,PPathKey,0),MATCH(M$4,PPathYear,0))</f>
        <v/>
      </c>
      <c r="N451" s="35">
        <f>INDEX(PPathVal,MATCH($D451,PPathKey,0),MATCH(N$4,PPathYear,0))</f>
        <v/>
      </c>
      <c r="O451" s="35">
        <f>INDEX(PPathVal,MATCH($D451,PPathKey,0),MATCH(O$4,PPathYear,0))</f>
        <v/>
      </c>
      <c r="P451" s="35">
        <f>INDEX(PPathVal,MATCH($D451,PPathKey,0),MATCH(P$4,PPathYear,0))</f>
        <v/>
      </c>
      <c r="Q451" s="35">
        <f>INDEX(PPathVal,MATCH($D451,PPathKey,0),MATCH(Q$4,PPathYear,0))</f>
        <v/>
      </c>
      <c r="R451" s="35">
        <f>INDEX(PPathVal,MATCH($D451,PPathKey,0),MATCH(R$4,PPathYear,0))</f>
        <v/>
      </c>
      <c r="S451" s="35">
        <f>INDEX(PPathVal,MATCH($D451,PPathKey,0),MATCH(S$4,PPathYear,0))</f>
        <v/>
      </c>
      <c r="T451" s="35">
        <f>INDEX(PPathVal,MATCH($D451,PPathKey,0),MATCH(T$4,PPathYear,0))</f>
        <v/>
      </c>
      <c r="U451" s="35">
        <f>INDEX(PPathVal,MATCH($D451,PPathKey,0),MATCH(U$4,PPathYear,0))</f>
        <v/>
      </c>
      <c r="V451" s="35">
        <f>INDEX(PPathVal,MATCH($D451,PPathKey,0),MATCH(V$4,PPathYear,0))</f>
        <v/>
      </c>
      <c r="W451" s="35">
        <f>INDEX(PPathVal,MATCH($D451,PPathKey,0),MATCH(W$4,PPathYear,0))</f>
        <v/>
      </c>
      <c r="X451" s="35">
        <f>INDEX(PPathVal,MATCH($D451,PPathKey,0),MATCH(X$4,PPathYear,0))</f>
        <v/>
      </c>
      <c r="Y451" s="35">
        <f>INDEX(PPathVal,MATCH($D451,PPathKey,0),MATCH(Y$4,PPathYear,0))</f>
        <v/>
      </c>
      <c r="Z451" s="35">
        <f>INDEX(PPathVal,MATCH($D451,PPathKey,0),MATCH(Z$4,PPathYear,0))</f>
        <v/>
      </c>
      <c r="AA451" s="35">
        <f>INDEX(PPathVal,MATCH($D451,PPathKey,0),MATCH(AA$4,PPathYear,0))</f>
        <v/>
      </c>
      <c r="AB451" s="35">
        <f>INDEX(PPathVal,MATCH($D451,PPathKey,0),MATCH(AB$4,PPathYear,0))</f>
        <v/>
      </c>
      <c r="AC451" s="35">
        <f>INDEX(PPathVal,MATCH($D451,PPathKey,0),MATCH(AC$4,PPathYear,0))</f>
        <v/>
      </c>
      <c r="AD451" s="35">
        <f>INDEX(PPathVal,MATCH($D451,PPathKey,0),MATCH(AD$4,PPathYear,0))</f>
        <v/>
      </c>
      <c r="AE451" s="35">
        <f>INDEX(PPathVal,MATCH($D451,PPathKey,0),MATCH(AE$4,PPathYear,0))</f>
        <v/>
      </c>
      <c r="AG451" s="11">
        <f>CodePrefix&amp;$A451&amp;IF($C451="","","."&amp;$C451&amp;"."&amp;$B451)&amp;INDEX(VarEnd,MATCH($A451,VarKey,0))&amp;AG$5</f>
        <v/>
      </c>
      <c r="AH451" s="40">
        <f>INDEX(PPathVal,MATCH($D451,PPathKey,0),MATCH(AH$4,PPathYear,0))</f>
        <v/>
      </c>
      <c r="AI451" s="35">
        <f>INDEX(PPathVal,MATCH($D451,PPathKey,0),MATCH(AI$4,PPathYear,0))</f>
        <v/>
      </c>
      <c r="AJ451" s="35">
        <f>INDEX(PPathVal,MATCH($D451,PPathKey,0),MATCH(AJ$4,PPathYear,0))</f>
        <v/>
      </c>
      <c r="AK451" s="35">
        <f>INDEX(PPathVal,MATCH($D451,PPathKey,0),MATCH(AK$4,PPathYear,0))</f>
        <v/>
      </c>
      <c r="AL451" s="35">
        <f>INDEX(PPathVal,MATCH($D451,PPathKey,0),MATCH(AL$4,PPathYear,0))</f>
        <v/>
      </c>
      <c r="AM451" s="35">
        <f>INDEX(PPathVal,MATCH($D451,PPathKey,0),MATCH(AM$4,PPathYear,0))</f>
        <v/>
      </c>
      <c r="AN451" s="35">
        <f>INDEX(PPathVal,MATCH($D451,PPathKey,0),MATCH(AN$4,PPathYear,0))</f>
        <v/>
      </c>
      <c r="AO451" s="35">
        <f>INDEX(PPathVal,MATCH($D451,PPathKey,0),MATCH(AO$4,PPathYear,0))</f>
        <v/>
      </c>
      <c r="AP451" s="35">
        <f>INDEX(PPathVal,MATCH($D451,PPathKey,0),MATCH(AP$4,PPathYear,0))</f>
        <v/>
      </c>
      <c r="AQ451" s="35">
        <f>INDEX(PPathVal,MATCH($D451,PPathKey,0),MATCH(AQ$4,PPathYear,0))</f>
        <v/>
      </c>
      <c r="AR451" s="35">
        <f>INDEX(PPathVal,MATCH($D451,PPathKey,0),MATCH(AR$4,PPathYear,0))</f>
        <v/>
      </c>
      <c r="AS451" s="35">
        <f>INDEX(PPathVal,MATCH($D451,PPathKey,0),MATCH(AS$4,PPathYear,0))</f>
        <v/>
      </c>
      <c r="AT451" s="35">
        <f>INDEX(PPathVal,MATCH($D451,PPathKey,0),MATCH(AT$4,PPathYear,0))</f>
        <v/>
      </c>
      <c r="AU451" s="35">
        <f>INDEX(PPathVal,MATCH($D451,PPathKey,0),MATCH(AU$4,PPathYear,0))</f>
        <v/>
      </c>
      <c r="AV451" s="35">
        <f>INDEX(PPathVal,MATCH($D451,PPathKey,0),MATCH(AV$4,PPathYear,0))</f>
        <v/>
      </c>
      <c r="AW451" s="35">
        <f>INDEX(PPathVal,MATCH($D451,PPathKey,0),MATCH(AW$4,PPathYear,0))</f>
        <v/>
      </c>
      <c r="AX451" s="35">
        <f>INDEX(PPathVal,MATCH($D451,PPathKey,0),MATCH(AX$4,PPathYear,0))</f>
        <v/>
      </c>
      <c r="AY451" s="35">
        <f>INDEX(PPathVal,MATCH($D451,PPathKey,0),MATCH(AY$4,PPathYear,0))</f>
        <v/>
      </c>
      <c r="AZ451" s="35">
        <f>INDEX(PPathVal,MATCH($D451,PPathKey,0),MATCH(AZ$4,PPathYear,0))</f>
        <v/>
      </c>
      <c r="BA451" s="35">
        <f>INDEX(PPathVal,MATCH($D451,PPathKey,0),MATCH(BA$4,PPathYear,0))</f>
        <v/>
      </c>
    </row>
    <row r="452" hidden="1" outlineLevel="1">
      <c r="A452" s="14" t="inlineStr">
        <is>
          <t>tcf</t>
        </is>
      </c>
      <c r="B452" s="14" t="inlineStr">
        <is>
          <t>nuc</t>
        </is>
      </c>
      <c r="C452" s="14" t="inlineStr">
        <is>
          <t>pow</t>
        </is>
      </c>
      <c r="D452" s="14">
        <f>$A452&amp;"|"&amp;$B452</f>
        <v/>
      </c>
      <c r="E452" s="39" t="n"/>
      <c r="F452" s="39" t="n"/>
      <c r="G452" s="39" t="n"/>
      <c r="H452" s="14">
        <f>INDEX(VarLab,MATCH($A452,VarKey,0))&amp;INDEX(MemLab,MATCH($C452&amp;"|"&amp;$B452,MemKey,0))</f>
        <v/>
      </c>
      <c r="I452" s="14">
        <f>INDEX(VarUnit,MATCH($A452,VarKey,0))</f>
        <v/>
      </c>
      <c r="J452" s="14">
        <f>INDEX(VarSrc,MATCH($A452,VarKey,0))</f>
        <v/>
      </c>
      <c r="K452" s="11">
        <f>CodePrefix&amp;$A452&amp;IF($C452="","","."&amp;$C452&amp;"."&amp;$B452)&amp;INDEX(VarEnd,MATCH($A452,VarKey,0))&amp;K$5</f>
        <v/>
      </c>
      <c r="L452" s="40">
        <f>INDEX(PPathVal,MATCH($D452,PPathKey,0),MATCH(L$4,PPathYear,0))</f>
        <v/>
      </c>
      <c r="M452" s="35">
        <f>INDEX(PPathVal,MATCH($D452,PPathKey,0),MATCH(M$4,PPathYear,0))</f>
        <v/>
      </c>
      <c r="N452" s="35">
        <f>INDEX(PPathVal,MATCH($D452,PPathKey,0),MATCH(N$4,PPathYear,0))</f>
        <v/>
      </c>
      <c r="O452" s="35">
        <f>INDEX(PPathVal,MATCH($D452,PPathKey,0),MATCH(O$4,PPathYear,0))</f>
        <v/>
      </c>
      <c r="P452" s="35">
        <f>INDEX(PPathVal,MATCH($D452,PPathKey,0),MATCH(P$4,PPathYear,0))</f>
        <v/>
      </c>
      <c r="Q452" s="35">
        <f>INDEX(PPathVal,MATCH($D452,PPathKey,0),MATCH(Q$4,PPathYear,0))</f>
        <v/>
      </c>
      <c r="R452" s="35">
        <f>INDEX(PPathVal,MATCH($D452,PPathKey,0),MATCH(R$4,PPathYear,0))</f>
        <v/>
      </c>
      <c r="S452" s="35">
        <f>INDEX(PPathVal,MATCH($D452,PPathKey,0),MATCH(S$4,PPathYear,0))</f>
        <v/>
      </c>
      <c r="T452" s="35">
        <f>INDEX(PPathVal,MATCH($D452,PPathKey,0),MATCH(T$4,PPathYear,0))</f>
        <v/>
      </c>
      <c r="U452" s="35">
        <f>INDEX(PPathVal,MATCH($D452,PPathKey,0),MATCH(U$4,PPathYear,0))</f>
        <v/>
      </c>
      <c r="V452" s="35">
        <f>INDEX(PPathVal,MATCH($D452,PPathKey,0),MATCH(V$4,PPathYear,0))</f>
        <v/>
      </c>
      <c r="W452" s="35">
        <f>INDEX(PPathVal,MATCH($D452,PPathKey,0),MATCH(W$4,PPathYear,0))</f>
        <v/>
      </c>
      <c r="X452" s="35">
        <f>INDEX(PPathVal,MATCH($D452,PPathKey,0),MATCH(X$4,PPathYear,0))</f>
        <v/>
      </c>
      <c r="Y452" s="35">
        <f>INDEX(PPathVal,MATCH($D452,PPathKey,0),MATCH(Y$4,PPathYear,0))</f>
        <v/>
      </c>
      <c r="Z452" s="35">
        <f>INDEX(PPathVal,MATCH($D452,PPathKey,0),MATCH(Z$4,PPathYear,0))</f>
        <v/>
      </c>
      <c r="AA452" s="35">
        <f>INDEX(PPathVal,MATCH($D452,PPathKey,0),MATCH(AA$4,PPathYear,0))</f>
        <v/>
      </c>
      <c r="AB452" s="35">
        <f>INDEX(PPathVal,MATCH($D452,PPathKey,0),MATCH(AB$4,PPathYear,0))</f>
        <v/>
      </c>
      <c r="AC452" s="35">
        <f>INDEX(PPathVal,MATCH($D452,PPathKey,0),MATCH(AC$4,PPathYear,0))</f>
        <v/>
      </c>
      <c r="AD452" s="35">
        <f>INDEX(PPathVal,MATCH($D452,PPathKey,0),MATCH(AD$4,PPathYear,0))</f>
        <v/>
      </c>
      <c r="AE452" s="35">
        <f>INDEX(PPathVal,MATCH($D452,PPathKey,0),MATCH(AE$4,PPathYear,0))</f>
        <v/>
      </c>
      <c r="AG452" s="11">
        <f>CodePrefix&amp;$A452&amp;IF($C452="","","."&amp;$C452&amp;"."&amp;$B452)&amp;INDEX(VarEnd,MATCH($A452,VarKey,0))&amp;AG$5</f>
        <v/>
      </c>
      <c r="AH452" s="40">
        <f>INDEX(PPathVal,MATCH($D452,PPathKey,0),MATCH(AH$4,PPathYear,0))</f>
        <v/>
      </c>
      <c r="AI452" s="35">
        <f>INDEX(PPathVal,MATCH($D452,PPathKey,0),MATCH(AI$4,PPathYear,0))</f>
        <v/>
      </c>
      <c r="AJ452" s="35">
        <f>INDEX(PPathVal,MATCH($D452,PPathKey,0),MATCH(AJ$4,PPathYear,0))</f>
        <v/>
      </c>
      <c r="AK452" s="35">
        <f>INDEX(PPathVal,MATCH($D452,PPathKey,0),MATCH(AK$4,PPathYear,0))</f>
        <v/>
      </c>
      <c r="AL452" s="35">
        <f>INDEX(PPathVal,MATCH($D452,PPathKey,0),MATCH(AL$4,PPathYear,0))</f>
        <v/>
      </c>
      <c r="AM452" s="35">
        <f>INDEX(PPathVal,MATCH($D452,PPathKey,0),MATCH(AM$4,PPathYear,0))</f>
        <v/>
      </c>
      <c r="AN452" s="35">
        <f>INDEX(PPathVal,MATCH($D452,PPathKey,0),MATCH(AN$4,PPathYear,0))</f>
        <v/>
      </c>
      <c r="AO452" s="35">
        <f>INDEX(PPathVal,MATCH($D452,PPathKey,0),MATCH(AO$4,PPathYear,0))</f>
        <v/>
      </c>
      <c r="AP452" s="35">
        <f>INDEX(PPathVal,MATCH($D452,PPathKey,0),MATCH(AP$4,PPathYear,0))</f>
        <v/>
      </c>
      <c r="AQ452" s="35">
        <f>INDEX(PPathVal,MATCH($D452,PPathKey,0),MATCH(AQ$4,PPathYear,0))</f>
        <v/>
      </c>
      <c r="AR452" s="35">
        <f>INDEX(PPathVal,MATCH($D452,PPathKey,0),MATCH(AR$4,PPathYear,0))</f>
        <v/>
      </c>
      <c r="AS452" s="35">
        <f>INDEX(PPathVal,MATCH($D452,PPathKey,0),MATCH(AS$4,PPathYear,0))</f>
        <v/>
      </c>
      <c r="AT452" s="35">
        <f>INDEX(PPathVal,MATCH($D452,PPathKey,0),MATCH(AT$4,PPathYear,0))</f>
        <v/>
      </c>
      <c r="AU452" s="35">
        <f>INDEX(PPathVal,MATCH($D452,PPathKey,0),MATCH(AU$4,PPathYear,0))</f>
        <v/>
      </c>
      <c r="AV452" s="35">
        <f>INDEX(PPathVal,MATCH($D452,PPathKey,0),MATCH(AV$4,PPathYear,0))</f>
        <v/>
      </c>
      <c r="AW452" s="35">
        <f>INDEX(PPathVal,MATCH($D452,PPathKey,0),MATCH(AW$4,PPathYear,0))</f>
        <v/>
      </c>
      <c r="AX452" s="35">
        <f>INDEX(PPathVal,MATCH($D452,PPathKey,0),MATCH(AX$4,PPathYear,0))</f>
        <v/>
      </c>
      <c r="AY452" s="35">
        <f>INDEX(PPathVal,MATCH($D452,PPathKey,0),MATCH(AY$4,PPathYear,0))</f>
        <v/>
      </c>
      <c r="AZ452" s="35">
        <f>INDEX(PPathVal,MATCH($D452,PPathKey,0),MATCH(AZ$4,PPathYear,0))</f>
        <v/>
      </c>
      <c r="BA452" s="35">
        <f>INDEX(PPathVal,MATCH($D452,PPathKey,0),MATCH(BA$4,PPathYear,0))</f>
        <v/>
      </c>
    </row>
    <row r="453" hidden="1" outlineLevel="1">
      <c r="A453" s="14" t="inlineStr">
        <is>
          <t>tcf</t>
        </is>
      </c>
      <c r="B453" s="14" t="inlineStr">
        <is>
          <t>wnd</t>
        </is>
      </c>
      <c r="C453" s="14" t="inlineStr">
        <is>
          <t>pow</t>
        </is>
      </c>
      <c r="D453" s="14">
        <f>$A453&amp;"|"&amp;$B453</f>
        <v/>
      </c>
      <c r="E453" s="39" t="n"/>
      <c r="F453" s="39" t="n"/>
      <c r="G453" s="39" t="n"/>
      <c r="H453" s="14">
        <f>INDEX(VarLab,MATCH($A453,VarKey,0))&amp;INDEX(MemLab,MATCH($C453&amp;"|"&amp;$B453,MemKey,0))</f>
        <v/>
      </c>
      <c r="I453" s="14">
        <f>INDEX(VarUnit,MATCH($A453,VarKey,0))</f>
        <v/>
      </c>
      <c r="J453" s="14">
        <f>INDEX(VarSrc,MATCH($A453,VarKey,0))</f>
        <v/>
      </c>
      <c r="K453" s="11">
        <f>CodePrefix&amp;$A453&amp;IF($C453="","","."&amp;$C453&amp;"."&amp;$B453)&amp;INDEX(VarEnd,MATCH($A453,VarKey,0))&amp;K$5</f>
        <v/>
      </c>
      <c r="L453" s="40">
        <f>INDEX(PPathVal,MATCH($D453,PPathKey,0),MATCH(L$4,PPathYear,0))</f>
        <v/>
      </c>
      <c r="M453" s="35">
        <f>INDEX(PPathVal,MATCH($D453,PPathKey,0),MATCH(M$4,PPathYear,0))</f>
        <v/>
      </c>
      <c r="N453" s="35">
        <f>INDEX(PPathVal,MATCH($D453,PPathKey,0),MATCH(N$4,PPathYear,0))</f>
        <v/>
      </c>
      <c r="O453" s="35">
        <f>INDEX(PPathVal,MATCH($D453,PPathKey,0),MATCH(O$4,PPathYear,0))</f>
        <v/>
      </c>
      <c r="P453" s="35">
        <f>INDEX(PPathVal,MATCH($D453,PPathKey,0),MATCH(P$4,PPathYear,0))</f>
        <v/>
      </c>
      <c r="Q453" s="35">
        <f>INDEX(PPathVal,MATCH($D453,PPathKey,0),MATCH(Q$4,PPathYear,0))</f>
        <v/>
      </c>
      <c r="R453" s="35">
        <f>INDEX(PPathVal,MATCH($D453,PPathKey,0),MATCH(R$4,PPathYear,0))</f>
        <v/>
      </c>
      <c r="S453" s="35">
        <f>INDEX(PPathVal,MATCH($D453,PPathKey,0),MATCH(S$4,PPathYear,0))</f>
        <v/>
      </c>
      <c r="T453" s="35">
        <f>INDEX(PPathVal,MATCH($D453,PPathKey,0),MATCH(T$4,PPathYear,0))</f>
        <v/>
      </c>
      <c r="U453" s="35">
        <f>INDEX(PPathVal,MATCH($D453,PPathKey,0),MATCH(U$4,PPathYear,0))</f>
        <v/>
      </c>
      <c r="V453" s="35">
        <f>INDEX(PPathVal,MATCH($D453,PPathKey,0),MATCH(V$4,PPathYear,0))</f>
        <v/>
      </c>
      <c r="W453" s="35">
        <f>INDEX(PPathVal,MATCH($D453,PPathKey,0),MATCH(W$4,PPathYear,0))</f>
        <v/>
      </c>
      <c r="X453" s="35">
        <f>INDEX(PPathVal,MATCH($D453,PPathKey,0),MATCH(X$4,PPathYear,0))</f>
        <v/>
      </c>
      <c r="Y453" s="35">
        <f>INDEX(PPathVal,MATCH($D453,PPathKey,0),MATCH(Y$4,PPathYear,0))</f>
        <v/>
      </c>
      <c r="Z453" s="35">
        <f>INDEX(PPathVal,MATCH($D453,PPathKey,0),MATCH(Z$4,PPathYear,0))</f>
        <v/>
      </c>
      <c r="AA453" s="35">
        <f>INDEX(PPathVal,MATCH($D453,PPathKey,0),MATCH(AA$4,PPathYear,0))</f>
        <v/>
      </c>
      <c r="AB453" s="35">
        <f>INDEX(PPathVal,MATCH($D453,PPathKey,0),MATCH(AB$4,PPathYear,0))</f>
        <v/>
      </c>
      <c r="AC453" s="35">
        <f>INDEX(PPathVal,MATCH($D453,PPathKey,0),MATCH(AC$4,PPathYear,0))</f>
        <v/>
      </c>
      <c r="AD453" s="35">
        <f>INDEX(PPathVal,MATCH($D453,PPathKey,0),MATCH(AD$4,PPathYear,0))</f>
        <v/>
      </c>
      <c r="AE453" s="35">
        <f>INDEX(PPathVal,MATCH($D453,PPathKey,0),MATCH(AE$4,PPathYear,0))</f>
        <v/>
      </c>
      <c r="AG453" s="11">
        <f>CodePrefix&amp;$A453&amp;IF($C453="","","."&amp;$C453&amp;"."&amp;$B453)&amp;INDEX(VarEnd,MATCH($A453,VarKey,0))&amp;AG$5</f>
        <v/>
      </c>
      <c r="AH453" s="40">
        <f>INDEX(PPathVal,MATCH($D453,PPathKey,0),MATCH(AH$4,PPathYear,0))</f>
        <v/>
      </c>
      <c r="AI453" s="35">
        <f>INDEX(PPathVal,MATCH($D453,PPathKey,0),MATCH(AI$4,PPathYear,0))</f>
        <v/>
      </c>
      <c r="AJ453" s="35">
        <f>INDEX(PPathVal,MATCH($D453,PPathKey,0),MATCH(AJ$4,PPathYear,0))</f>
        <v/>
      </c>
      <c r="AK453" s="35">
        <f>INDEX(PPathVal,MATCH($D453,PPathKey,0),MATCH(AK$4,PPathYear,0))</f>
        <v/>
      </c>
      <c r="AL453" s="35">
        <f>INDEX(PPathVal,MATCH($D453,PPathKey,0),MATCH(AL$4,PPathYear,0))</f>
        <v/>
      </c>
      <c r="AM453" s="35">
        <f>INDEX(PPathVal,MATCH($D453,PPathKey,0),MATCH(AM$4,PPathYear,0))</f>
        <v/>
      </c>
      <c r="AN453" s="35">
        <f>INDEX(PPathVal,MATCH($D453,PPathKey,0),MATCH(AN$4,PPathYear,0))</f>
        <v/>
      </c>
      <c r="AO453" s="35">
        <f>INDEX(PPathVal,MATCH($D453,PPathKey,0),MATCH(AO$4,PPathYear,0))</f>
        <v/>
      </c>
      <c r="AP453" s="35">
        <f>INDEX(PPathVal,MATCH($D453,PPathKey,0),MATCH(AP$4,PPathYear,0))</f>
        <v/>
      </c>
      <c r="AQ453" s="35">
        <f>INDEX(PPathVal,MATCH($D453,PPathKey,0),MATCH(AQ$4,PPathYear,0))</f>
        <v/>
      </c>
      <c r="AR453" s="35">
        <f>INDEX(PPathVal,MATCH($D453,PPathKey,0),MATCH(AR$4,PPathYear,0))</f>
        <v/>
      </c>
      <c r="AS453" s="35">
        <f>INDEX(PPathVal,MATCH($D453,PPathKey,0),MATCH(AS$4,PPathYear,0))</f>
        <v/>
      </c>
      <c r="AT453" s="35">
        <f>INDEX(PPathVal,MATCH($D453,PPathKey,0),MATCH(AT$4,PPathYear,0))</f>
        <v/>
      </c>
      <c r="AU453" s="35">
        <f>INDEX(PPathVal,MATCH($D453,PPathKey,0),MATCH(AU$4,PPathYear,0))</f>
        <v/>
      </c>
      <c r="AV453" s="35">
        <f>INDEX(PPathVal,MATCH($D453,PPathKey,0),MATCH(AV$4,PPathYear,0))</f>
        <v/>
      </c>
      <c r="AW453" s="35">
        <f>INDEX(PPathVal,MATCH($D453,PPathKey,0),MATCH(AW$4,PPathYear,0))</f>
        <v/>
      </c>
      <c r="AX453" s="35">
        <f>INDEX(PPathVal,MATCH($D453,PPathKey,0),MATCH(AX$4,PPathYear,0))</f>
        <v/>
      </c>
      <c r="AY453" s="35">
        <f>INDEX(PPathVal,MATCH($D453,PPathKey,0),MATCH(AY$4,PPathYear,0))</f>
        <v/>
      </c>
      <c r="AZ453" s="35">
        <f>INDEX(PPathVal,MATCH($D453,PPathKey,0),MATCH(AZ$4,PPathYear,0))</f>
        <v/>
      </c>
      <c r="BA453" s="35">
        <f>INDEX(PPathVal,MATCH($D453,PPathKey,0),MATCH(BA$4,PPathYear,0))</f>
        <v/>
      </c>
    </row>
    <row r="454" hidden="1" outlineLevel="1">
      <c r="A454" s="14" t="inlineStr">
        <is>
          <t>tcf</t>
        </is>
      </c>
      <c r="B454" s="14" t="inlineStr">
        <is>
          <t>sol</t>
        </is>
      </c>
      <c r="C454" s="14" t="inlineStr">
        <is>
          <t>pow</t>
        </is>
      </c>
      <c r="D454" s="14">
        <f>$A454&amp;"|"&amp;$B454</f>
        <v/>
      </c>
      <c r="E454" s="39" t="n"/>
      <c r="F454" s="39" t="n"/>
      <c r="G454" s="39" t="n"/>
      <c r="H454" s="14">
        <f>INDEX(VarLab,MATCH($A454,VarKey,0))&amp;INDEX(MemLab,MATCH($C454&amp;"|"&amp;$B454,MemKey,0))</f>
        <v/>
      </c>
      <c r="I454" s="14">
        <f>INDEX(VarUnit,MATCH($A454,VarKey,0))</f>
        <v/>
      </c>
      <c r="J454" s="14">
        <f>INDEX(VarSrc,MATCH($A454,VarKey,0))</f>
        <v/>
      </c>
      <c r="K454" s="11">
        <f>CodePrefix&amp;$A454&amp;IF($C454="","","."&amp;$C454&amp;"."&amp;$B454)&amp;INDEX(VarEnd,MATCH($A454,VarKey,0))&amp;K$5</f>
        <v/>
      </c>
      <c r="L454" s="40">
        <f>INDEX(PPathVal,MATCH($D454,PPathKey,0),MATCH(L$4,PPathYear,0))</f>
        <v/>
      </c>
      <c r="M454" s="35">
        <f>INDEX(PPathVal,MATCH($D454,PPathKey,0),MATCH(M$4,PPathYear,0))</f>
        <v/>
      </c>
      <c r="N454" s="35">
        <f>INDEX(PPathVal,MATCH($D454,PPathKey,0),MATCH(N$4,PPathYear,0))</f>
        <v/>
      </c>
      <c r="O454" s="35">
        <f>INDEX(PPathVal,MATCH($D454,PPathKey,0),MATCH(O$4,PPathYear,0))</f>
        <v/>
      </c>
      <c r="P454" s="35">
        <f>INDEX(PPathVal,MATCH($D454,PPathKey,0),MATCH(P$4,PPathYear,0))</f>
        <v/>
      </c>
      <c r="Q454" s="35">
        <f>INDEX(PPathVal,MATCH($D454,PPathKey,0),MATCH(Q$4,PPathYear,0))</f>
        <v/>
      </c>
      <c r="R454" s="35">
        <f>INDEX(PPathVal,MATCH($D454,PPathKey,0),MATCH(R$4,PPathYear,0))</f>
        <v/>
      </c>
      <c r="S454" s="35">
        <f>INDEX(PPathVal,MATCH($D454,PPathKey,0),MATCH(S$4,PPathYear,0))</f>
        <v/>
      </c>
      <c r="T454" s="35">
        <f>INDEX(PPathVal,MATCH($D454,PPathKey,0),MATCH(T$4,PPathYear,0))</f>
        <v/>
      </c>
      <c r="U454" s="35">
        <f>INDEX(PPathVal,MATCH($D454,PPathKey,0),MATCH(U$4,PPathYear,0))</f>
        <v/>
      </c>
      <c r="V454" s="35">
        <f>INDEX(PPathVal,MATCH($D454,PPathKey,0),MATCH(V$4,PPathYear,0))</f>
        <v/>
      </c>
      <c r="W454" s="35">
        <f>INDEX(PPathVal,MATCH($D454,PPathKey,0),MATCH(W$4,PPathYear,0))</f>
        <v/>
      </c>
      <c r="X454" s="35">
        <f>INDEX(PPathVal,MATCH($D454,PPathKey,0),MATCH(X$4,PPathYear,0))</f>
        <v/>
      </c>
      <c r="Y454" s="35">
        <f>INDEX(PPathVal,MATCH($D454,PPathKey,0),MATCH(Y$4,PPathYear,0))</f>
        <v/>
      </c>
      <c r="Z454" s="35">
        <f>INDEX(PPathVal,MATCH($D454,PPathKey,0),MATCH(Z$4,PPathYear,0))</f>
        <v/>
      </c>
      <c r="AA454" s="35">
        <f>INDEX(PPathVal,MATCH($D454,PPathKey,0),MATCH(AA$4,PPathYear,0))</f>
        <v/>
      </c>
      <c r="AB454" s="35">
        <f>INDEX(PPathVal,MATCH($D454,PPathKey,0),MATCH(AB$4,PPathYear,0))</f>
        <v/>
      </c>
      <c r="AC454" s="35">
        <f>INDEX(PPathVal,MATCH($D454,PPathKey,0),MATCH(AC$4,PPathYear,0))</f>
        <v/>
      </c>
      <c r="AD454" s="35">
        <f>INDEX(PPathVal,MATCH($D454,PPathKey,0),MATCH(AD$4,PPathYear,0))</f>
        <v/>
      </c>
      <c r="AE454" s="35">
        <f>INDEX(PPathVal,MATCH($D454,PPathKey,0),MATCH(AE$4,PPathYear,0))</f>
        <v/>
      </c>
      <c r="AG454" s="11">
        <f>CodePrefix&amp;$A454&amp;IF($C454="","","."&amp;$C454&amp;"."&amp;$B454)&amp;INDEX(VarEnd,MATCH($A454,VarKey,0))&amp;AG$5</f>
        <v/>
      </c>
      <c r="AH454" s="40">
        <f>INDEX(PPathVal,MATCH($D454,PPathKey,0),MATCH(AH$4,PPathYear,0))</f>
        <v/>
      </c>
      <c r="AI454" s="35">
        <f>INDEX(PPathVal,MATCH($D454,PPathKey,0),MATCH(AI$4,PPathYear,0))</f>
        <v/>
      </c>
      <c r="AJ454" s="35">
        <f>INDEX(PPathVal,MATCH($D454,PPathKey,0),MATCH(AJ$4,PPathYear,0))</f>
        <v/>
      </c>
      <c r="AK454" s="35">
        <f>INDEX(PPathVal,MATCH($D454,PPathKey,0),MATCH(AK$4,PPathYear,0))</f>
        <v/>
      </c>
      <c r="AL454" s="35">
        <f>INDEX(PPathVal,MATCH($D454,PPathKey,0),MATCH(AL$4,PPathYear,0))</f>
        <v/>
      </c>
      <c r="AM454" s="35">
        <f>INDEX(PPathVal,MATCH($D454,PPathKey,0),MATCH(AM$4,PPathYear,0))</f>
        <v/>
      </c>
      <c r="AN454" s="35">
        <f>INDEX(PPathVal,MATCH($D454,PPathKey,0),MATCH(AN$4,PPathYear,0))</f>
        <v/>
      </c>
      <c r="AO454" s="35">
        <f>INDEX(PPathVal,MATCH($D454,PPathKey,0),MATCH(AO$4,PPathYear,0))</f>
        <v/>
      </c>
      <c r="AP454" s="35">
        <f>INDEX(PPathVal,MATCH($D454,PPathKey,0),MATCH(AP$4,PPathYear,0))</f>
        <v/>
      </c>
      <c r="AQ454" s="35">
        <f>INDEX(PPathVal,MATCH($D454,PPathKey,0),MATCH(AQ$4,PPathYear,0))</f>
        <v/>
      </c>
      <c r="AR454" s="35">
        <f>INDEX(PPathVal,MATCH($D454,PPathKey,0),MATCH(AR$4,PPathYear,0))</f>
        <v/>
      </c>
      <c r="AS454" s="35">
        <f>INDEX(PPathVal,MATCH($D454,PPathKey,0),MATCH(AS$4,PPathYear,0))</f>
        <v/>
      </c>
      <c r="AT454" s="35">
        <f>INDEX(PPathVal,MATCH($D454,PPathKey,0),MATCH(AT$4,PPathYear,0))</f>
        <v/>
      </c>
      <c r="AU454" s="35">
        <f>INDEX(PPathVal,MATCH($D454,PPathKey,0),MATCH(AU$4,PPathYear,0))</f>
        <v/>
      </c>
      <c r="AV454" s="35">
        <f>INDEX(PPathVal,MATCH($D454,PPathKey,0),MATCH(AV$4,PPathYear,0))</f>
        <v/>
      </c>
      <c r="AW454" s="35">
        <f>INDEX(PPathVal,MATCH($D454,PPathKey,0),MATCH(AW$4,PPathYear,0))</f>
        <v/>
      </c>
      <c r="AX454" s="35">
        <f>INDEX(PPathVal,MATCH($D454,PPathKey,0),MATCH(AX$4,PPathYear,0))</f>
        <v/>
      </c>
      <c r="AY454" s="35">
        <f>INDEX(PPathVal,MATCH($D454,PPathKey,0),MATCH(AY$4,PPathYear,0))</f>
        <v/>
      </c>
      <c r="AZ454" s="35">
        <f>INDEX(PPathVal,MATCH($D454,PPathKey,0),MATCH(AZ$4,PPathYear,0))</f>
        <v/>
      </c>
      <c r="BA454" s="35">
        <f>INDEX(PPathVal,MATCH($D454,PPathKey,0),MATCH(BA$4,PPathYear,0))</f>
        <v/>
      </c>
    </row>
    <row r="455" hidden="1" outlineLevel="1">
      <c r="A455" s="14" t="inlineStr">
        <is>
          <t>tcf</t>
        </is>
      </c>
      <c r="B455" s="14" t="inlineStr">
        <is>
          <t>hyd</t>
        </is>
      </c>
      <c r="C455" s="14" t="inlineStr">
        <is>
          <t>pow</t>
        </is>
      </c>
      <c r="D455" s="14">
        <f>$A455&amp;"|"&amp;$B455</f>
        <v/>
      </c>
      <c r="E455" s="39" t="n"/>
      <c r="F455" s="39" t="n"/>
      <c r="G455" s="39" t="n"/>
      <c r="H455" s="14">
        <f>INDEX(VarLab,MATCH($A455,VarKey,0))&amp;INDEX(MemLab,MATCH($C455&amp;"|"&amp;$B455,MemKey,0))</f>
        <v/>
      </c>
      <c r="I455" s="14">
        <f>INDEX(VarUnit,MATCH($A455,VarKey,0))</f>
        <v/>
      </c>
      <c r="J455" s="14">
        <f>INDEX(VarSrc,MATCH($A455,VarKey,0))</f>
        <v/>
      </c>
      <c r="K455" s="11">
        <f>CodePrefix&amp;$A455&amp;IF($C455="","","."&amp;$C455&amp;"."&amp;$B455)&amp;INDEX(VarEnd,MATCH($A455,VarKey,0))&amp;K$5</f>
        <v/>
      </c>
      <c r="L455" s="40">
        <f>INDEX(PPathVal,MATCH($D455,PPathKey,0),MATCH(L$4,PPathYear,0))</f>
        <v/>
      </c>
      <c r="M455" s="35">
        <f>INDEX(PPathVal,MATCH($D455,PPathKey,0),MATCH(M$4,PPathYear,0))</f>
        <v/>
      </c>
      <c r="N455" s="35">
        <f>INDEX(PPathVal,MATCH($D455,PPathKey,0),MATCH(N$4,PPathYear,0))</f>
        <v/>
      </c>
      <c r="O455" s="35">
        <f>INDEX(PPathVal,MATCH($D455,PPathKey,0),MATCH(O$4,PPathYear,0))</f>
        <v/>
      </c>
      <c r="P455" s="35">
        <f>INDEX(PPathVal,MATCH($D455,PPathKey,0),MATCH(P$4,PPathYear,0))</f>
        <v/>
      </c>
      <c r="Q455" s="35">
        <f>INDEX(PPathVal,MATCH($D455,PPathKey,0),MATCH(Q$4,PPathYear,0))</f>
        <v/>
      </c>
      <c r="R455" s="35">
        <f>INDEX(PPathVal,MATCH($D455,PPathKey,0),MATCH(R$4,PPathYear,0))</f>
        <v/>
      </c>
      <c r="S455" s="35">
        <f>INDEX(PPathVal,MATCH($D455,PPathKey,0),MATCH(S$4,PPathYear,0))</f>
        <v/>
      </c>
      <c r="T455" s="35">
        <f>INDEX(PPathVal,MATCH($D455,PPathKey,0),MATCH(T$4,PPathYear,0))</f>
        <v/>
      </c>
      <c r="U455" s="35">
        <f>INDEX(PPathVal,MATCH($D455,PPathKey,0),MATCH(U$4,PPathYear,0))</f>
        <v/>
      </c>
      <c r="V455" s="35">
        <f>INDEX(PPathVal,MATCH($D455,PPathKey,0),MATCH(V$4,PPathYear,0))</f>
        <v/>
      </c>
      <c r="W455" s="35">
        <f>INDEX(PPathVal,MATCH($D455,PPathKey,0),MATCH(W$4,PPathYear,0))</f>
        <v/>
      </c>
      <c r="X455" s="35">
        <f>INDEX(PPathVal,MATCH($D455,PPathKey,0),MATCH(X$4,PPathYear,0))</f>
        <v/>
      </c>
      <c r="Y455" s="35">
        <f>INDEX(PPathVal,MATCH($D455,PPathKey,0),MATCH(Y$4,PPathYear,0))</f>
        <v/>
      </c>
      <c r="Z455" s="35">
        <f>INDEX(PPathVal,MATCH($D455,PPathKey,0),MATCH(Z$4,PPathYear,0))</f>
        <v/>
      </c>
      <c r="AA455" s="35">
        <f>INDEX(PPathVal,MATCH($D455,PPathKey,0),MATCH(AA$4,PPathYear,0))</f>
        <v/>
      </c>
      <c r="AB455" s="35">
        <f>INDEX(PPathVal,MATCH($D455,PPathKey,0),MATCH(AB$4,PPathYear,0))</f>
        <v/>
      </c>
      <c r="AC455" s="35">
        <f>INDEX(PPathVal,MATCH($D455,PPathKey,0),MATCH(AC$4,PPathYear,0))</f>
        <v/>
      </c>
      <c r="AD455" s="35">
        <f>INDEX(PPathVal,MATCH($D455,PPathKey,0),MATCH(AD$4,PPathYear,0))</f>
        <v/>
      </c>
      <c r="AE455" s="35">
        <f>INDEX(PPathVal,MATCH($D455,PPathKey,0),MATCH(AE$4,PPathYear,0))</f>
        <v/>
      </c>
      <c r="AG455" s="11">
        <f>CodePrefix&amp;$A455&amp;IF($C455="","","."&amp;$C455&amp;"."&amp;$B455)&amp;INDEX(VarEnd,MATCH($A455,VarKey,0))&amp;AG$5</f>
        <v/>
      </c>
      <c r="AH455" s="40">
        <f>INDEX(PPathVal,MATCH($D455,PPathKey,0),MATCH(AH$4,PPathYear,0))</f>
        <v/>
      </c>
      <c r="AI455" s="35">
        <f>INDEX(PPathVal,MATCH($D455,PPathKey,0),MATCH(AI$4,PPathYear,0))</f>
        <v/>
      </c>
      <c r="AJ455" s="35">
        <f>INDEX(PPathVal,MATCH($D455,PPathKey,0),MATCH(AJ$4,PPathYear,0))</f>
        <v/>
      </c>
      <c r="AK455" s="35">
        <f>INDEX(PPathVal,MATCH($D455,PPathKey,0),MATCH(AK$4,PPathYear,0))</f>
        <v/>
      </c>
      <c r="AL455" s="35">
        <f>INDEX(PPathVal,MATCH($D455,PPathKey,0),MATCH(AL$4,PPathYear,0))</f>
        <v/>
      </c>
      <c r="AM455" s="35">
        <f>INDEX(PPathVal,MATCH($D455,PPathKey,0),MATCH(AM$4,PPathYear,0))</f>
        <v/>
      </c>
      <c r="AN455" s="35">
        <f>INDEX(PPathVal,MATCH($D455,PPathKey,0),MATCH(AN$4,PPathYear,0))</f>
        <v/>
      </c>
      <c r="AO455" s="35">
        <f>INDEX(PPathVal,MATCH($D455,PPathKey,0),MATCH(AO$4,PPathYear,0))</f>
        <v/>
      </c>
      <c r="AP455" s="35">
        <f>INDEX(PPathVal,MATCH($D455,PPathKey,0),MATCH(AP$4,PPathYear,0))</f>
        <v/>
      </c>
      <c r="AQ455" s="35">
        <f>INDEX(PPathVal,MATCH($D455,PPathKey,0),MATCH(AQ$4,PPathYear,0))</f>
        <v/>
      </c>
      <c r="AR455" s="35">
        <f>INDEX(PPathVal,MATCH($D455,PPathKey,0),MATCH(AR$4,PPathYear,0))</f>
        <v/>
      </c>
      <c r="AS455" s="35">
        <f>INDEX(PPathVal,MATCH($D455,PPathKey,0),MATCH(AS$4,PPathYear,0))</f>
        <v/>
      </c>
      <c r="AT455" s="35">
        <f>INDEX(PPathVal,MATCH($D455,PPathKey,0),MATCH(AT$4,PPathYear,0))</f>
        <v/>
      </c>
      <c r="AU455" s="35">
        <f>INDEX(PPathVal,MATCH($D455,PPathKey,0),MATCH(AU$4,PPathYear,0))</f>
        <v/>
      </c>
      <c r="AV455" s="35">
        <f>INDEX(PPathVal,MATCH($D455,PPathKey,0),MATCH(AV$4,PPathYear,0))</f>
        <v/>
      </c>
      <c r="AW455" s="35">
        <f>INDEX(PPathVal,MATCH($D455,PPathKey,0),MATCH(AW$4,PPathYear,0))</f>
        <v/>
      </c>
      <c r="AX455" s="35">
        <f>INDEX(PPathVal,MATCH($D455,PPathKey,0),MATCH(AX$4,PPathYear,0))</f>
        <v/>
      </c>
      <c r="AY455" s="35">
        <f>INDEX(PPathVal,MATCH($D455,PPathKey,0),MATCH(AY$4,PPathYear,0))</f>
        <v/>
      </c>
      <c r="AZ455" s="35">
        <f>INDEX(PPathVal,MATCH($D455,PPathKey,0),MATCH(AZ$4,PPathYear,0))</f>
        <v/>
      </c>
      <c r="BA455" s="35">
        <f>INDEX(PPathVal,MATCH($D455,PPathKey,0),MATCH(BA$4,PPathYear,0))</f>
        <v/>
      </c>
    </row>
    <row r="456" hidden="1" outlineLevel="1">
      <c r="A456" s="14" t="inlineStr">
        <is>
          <t>tcf</t>
        </is>
      </c>
      <c r="B456" s="14" t="inlineStr">
        <is>
          <t>ore</t>
        </is>
      </c>
      <c r="C456" s="14" t="inlineStr">
        <is>
          <t>pow</t>
        </is>
      </c>
      <c r="D456" s="14">
        <f>$A456&amp;"|"&amp;$B456</f>
        <v/>
      </c>
      <c r="E456" s="39" t="n"/>
      <c r="F456" s="39" t="n"/>
      <c r="G456" s="39" t="n"/>
      <c r="H456" s="14">
        <f>INDEX(VarLab,MATCH($A456,VarKey,0))&amp;INDEX(MemLab,MATCH($C456&amp;"|"&amp;$B456,MemKey,0))</f>
        <v/>
      </c>
      <c r="I456" s="14">
        <f>INDEX(VarUnit,MATCH($A456,VarKey,0))</f>
        <v/>
      </c>
      <c r="J456" s="14">
        <f>INDEX(VarSrc,MATCH($A456,VarKey,0))</f>
        <v/>
      </c>
      <c r="K456" s="11">
        <f>CodePrefix&amp;$A456&amp;IF($C456="","","."&amp;$C456&amp;"."&amp;$B456)&amp;INDEX(VarEnd,MATCH($A456,VarKey,0))&amp;K$5</f>
        <v/>
      </c>
      <c r="L456" s="40">
        <f>INDEX(PPathVal,MATCH($D456,PPathKey,0),MATCH(L$4,PPathYear,0))</f>
        <v/>
      </c>
      <c r="M456" s="35">
        <f>INDEX(PPathVal,MATCH($D456,PPathKey,0),MATCH(M$4,PPathYear,0))</f>
        <v/>
      </c>
      <c r="N456" s="35">
        <f>INDEX(PPathVal,MATCH($D456,PPathKey,0),MATCH(N$4,PPathYear,0))</f>
        <v/>
      </c>
      <c r="O456" s="35">
        <f>INDEX(PPathVal,MATCH($D456,PPathKey,0),MATCH(O$4,PPathYear,0))</f>
        <v/>
      </c>
      <c r="P456" s="35">
        <f>INDEX(PPathVal,MATCH($D456,PPathKey,0),MATCH(P$4,PPathYear,0))</f>
        <v/>
      </c>
      <c r="Q456" s="35">
        <f>INDEX(PPathVal,MATCH($D456,PPathKey,0),MATCH(Q$4,PPathYear,0))</f>
        <v/>
      </c>
      <c r="R456" s="35">
        <f>INDEX(PPathVal,MATCH($D456,PPathKey,0),MATCH(R$4,PPathYear,0))</f>
        <v/>
      </c>
      <c r="S456" s="35">
        <f>INDEX(PPathVal,MATCH($D456,PPathKey,0),MATCH(S$4,PPathYear,0))</f>
        <v/>
      </c>
      <c r="T456" s="35">
        <f>INDEX(PPathVal,MATCH($D456,PPathKey,0),MATCH(T$4,PPathYear,0))</f>
        <v/>
      </c>
      <c r="U456" s="35">
        <f>INDEX(PPathVal,MATCH($D456,PPathKey,0),MATCH(U$4,PPathYear,0))</f>
        <v/>
      </c>
      <c r="V456" s="35">
        <f>INDEX(PPathVal,MATCH($D456,PPathKey,0),MATCH(V$4,PPathYear,0))</f>
        <v/>
      </c>
      <c r="W456" s="35">
        <f>INDEX(PPathVal,MATCH($D456,PPathKey,0),MATCH(W$4,PPathYear,0))</f>
        <v/>
      </c>
      <c r="X456" s="35">
        <f>INDEX(PPathVal,MATCH($D456,PPathKey,0),MATCH(X$4,PPathYear,0))</f>
        <v/>
      </c>
      <c r="Y456" s="35">
        <f>INDEX(PPathVal,MATCH($D456,PPathKey,0),MATCH(Y$4,PPathYear,0))</f>
        <v/>
      </c>
      <c r="Z456" s="35">
        <f>INDEX(PPathVal,MATCH($D456,PPathKey,0),MATCH(Z$4,PPathYear,0))</f>
        <v/>
      </c>
      <c r="AA456" s="35">
        <f>INDEX(PPathVal,MATCH($D456,PPathKey,0),MATCH(AA$4,PPathYear,0))</f>
        <v/>
      </c>
      <c r="AB456" s="35">
        <f>INDEX(PPathVal,MATCH($D456,PPathKey,0),MATCH(AB$4,PPathYear,0))</f>
        <v/>
      </c>
      <c r="AC456" s="35">
        <f>INDEX(PPathVal,MATCH($D456,PPathKey,0),MATCH(AC$4,PPathYear,0))</f>
        <v/>
      </c>
      <c r="AD456" s="35">
        <f>INDEX(PPathVal,MATCH($D456,PPathKey,0),MATCH(AD$4,PPathYear,0))</f>
        <v/>
      </c>
      <c r="AE456" s="35">
        <f>INDEX(PPathVal,MATCH($D456,PPathKey,0),MATCH(AE$4,PPathYear,0))</f>
        <v/>
      </c>
      <c r="AG456" s="11">
        <f>CodePrefix&amp;$A456&amp;IF($C456="","","."&amp;$C456&amp;"."&amp;$B456)&amp;INDEX(VarEnd,MATCH($A456,VarKey,0))&amp;AG$5</f>
        <v/>
      </c>
      <c r="AH456" s="40">
        <f>INDEX(PPathVal,MATCH($D456,PPathKey,0),MATCH(AH$4,PPathYear,0))</f>
        <v/>
      </c>
      <c r="AI456" s="35">
        <f>INDEX(PPathVal,MATCH($D456,PPathKey,0),MATCH(AI$4,PPathYear,0))</f>
        <v/>
      </c>
      <c r="AJ456" s="35">
        <f>INDEX(PPathVal,MATCH($D456,PPathKey,0),MATCH(AJ$4,PPathYear,0))</f>
        <v/>
      </c>
      <c r="AK456" s="35">
        <f>INDEX(PPathVal,MATCH($D456,PPathKey,0),MATCH(AK$4,PPathYear,0))</f>
        <v/>
      </c>
      <c r="AL456" s="35">
        <f>INDEX(PPathVal,MATCH($D456,PPathKey,0),MATCH(AL$4,PPathYear,0))</f>
        <v/>
      </c>
      <c r="AM456" s="35">
        <f>INDEX(PPathVal,MATCH($D456,PPathKey,0),MATCH(AM$4,PPathYear,0))</f>
        <v/>
      </c>
      <c r="AN456" s="35">
        <f>INDEX(PPathVal,MATCH($D456,PPathKey,0),MATCH(AN$4,PPathYear,0))</f>
        <v/>
      </c>
      <c r="AO456" s="35">
        <f>INDEX(PPathVal,MATCH($D456,PPathKey,0),MATCH(AO$4,PPathYear,0))</f>
        <v/>
      </c>
      <c r="AP456" s="35">
        <f>INDEX(PPathVal,MATCH($D456,PPathKey,0),MATCH(AP$4,PPathYear,0))</f>
        <v/>
      </c>
      <c r="AQ456" s="35">
        <f>INDEX(PPathVal,MATCH($D456,PPathKey,0),MATCH(AQ$4,PPathYear,0))</f>
        <v/>
      </c>
      <c r="AR456" s="35">
        <f>INDEX(PPathVal,MATCH($D456,PPathKey,0),MATCH(AR$4,PPathYear,0))</f>
        <v/>
      </c>
      <c r="AS456" s="35">
        <f>INDEX(PPathVal,MATCH($D456,PPathKey,0),MATCH(AS$4,PPathYear,0))</f>
        <v/>
      </c>
      <c r="AT456" s="35">
        <f>INDEX(PPathVal,MATCH($D456,PPathKey,0),MATCH(AT$4,PPathYear,0))</f>
        <v/>
      </c>
      <c r="AU456" s="35">
        <f>INDEX(PPathVal,MATCH($D456,PPathKey,0),MATCH(AU$4,PPathYear,0))</f>
        <v/>
      </c>
      <c r="AV456" s="35">
        <f>INDEX(PPathVal,MATCH($D456,PPathKey,0),MATCH(AV$4,PPathYear,0))</f>
        <v/>
      </c>
      <c r="AW456" s="35">
        <f>INDEX(PPathVal,MATCH($D456,PPathKey,0),MATCH(AW$4,PPathYear,0))</f>
        <v/>
      </c>
      <c r="AX456" s="35">
        <f>INDEX(PPathVal,MATCH($D456,PPathKey,0),MATCH(AX$4,PPathYear,0))</f>
        <v/>
      </c>
      <c r="AY456" s="35">
        <f>INDEX(PPathVal,MATCH($D456,PPathKey,0),MATCH(AY$4,PPathYear,0))</f>
        <v/>
      </c>
      <c r="AZ456" s="35">
        <f>INDEX(PPathVal,MATCH($D456,PPathKey,0),MATCH(AZ$4,PPathYear,0))</f>
        <v/>
      </c>
      <c r="BA456" s="35">
        <f>INDEX(PPathVal,MATCH($D456,PPathKey,0),MATCH(BA$4,PPathYear,0))</f>
        <v/>
      </c>
    </row>
    <row r="457" hidden="1" outlineLevel="1">
      <c r="A457" s="14" t="inlineStr">
        <is>
          <t>tcf</t>
        </is>
      </c>
      <c r="B457" s="14" t="inlineStr">
        <is>
          <t>bio</t>
        </is>
      </c>
      <c r="C457" s="14" t="inlineStr">
        <is>
          <t>pow</t>
        </is>
      </c>
      <c r="D457" s="14">
        <f>$A457&amp;"|"&amp;$B457</f>
        <v/>
      </c>
      <c r="E457" s="39" t="n"/>
      <c r="F457" s="39" t="n"/>
      <c r="G457" s="39" t="n"/>
      <c r="H457" s="14">
        <f>INDEX(VarLab,MATCH($A457,VarKey,0))&amp;INDEX(MemLab,MATCH($C457&amp;"|"&amp;$B457,MemKey,0))</f>
        <v/>
      </c>
      <c r="I457" s="14">
        <f>INDEX(VarUnit,MATCH($A457,VarKey,0))</f>
        <v/>
      </c>
      <c r="J457" s="14">
        <f>INDEX(VarSrc,MATCH($A457,VarKey,0))</f>
        <v/>
      </c>
      <c r="K457" s="11">
        <f>CodePrefix&amp;$A457&amp;IF($C457="","","."&amp;$C457&amp;"."&amp;$B457)&amp;INDEX(VarEnd,MATCH($A457,VarKey,0))&amp;K$5</f>
        <v/>
      </c>
      <c r="L457" s="40">
        <f>INDEX(PPathVal,MATCH($D457,PPathKey,0),MATCH(L$4,PPathYear,0))</f>
        <v/>
      </c>
      <c r="M457" s="35">
        <f>INDEX(PPathVal,MATCH($D457,PPathKey,0),MATCH(M$4,PPathYear,0))</f>
        <v/>
      </c>
      <c r="N457" s="35">
        <f>INDEX(PPathVal,MATCH($D457,PPathKey,0),MATCH(N$4,PPathYear,0))</f>
        <v/>
      </c>
      <c r="O457" s="35">
        <f>INDEX(PPathVal,MATCH($D457,PPathKey,0),MATCH(O$4,PPathYear,0))</f>
        <v/>
      </c>
      <c r="P457" s="35">
        <f>INDEX(PPathVal,MATCH($D457,PPathKey,0),MATCH(P$4,PPathYear,0))</f>
        <v/>
      </c>
      <c r="Q457" s="35">
        <f>INDEX(PPathVal,MATCH($D457,PPathKey,0),MATCH(Q$4,PPathYear,0))</f>
        <v/>
      </c>
      <c r="R457" s="35">
        <f>INDEX(PPathVal,MATCH($D457,PPathKey,0),MATCH(R$4,PPathYear,0))</f>
        <v/>
      </c>
      <c r="S457" s="35">
        <f>INDEX(PPathVal,MATCH($D457,PPathKey,0),MATCH(S$4,PPathYear,0))</f>
        <v/>
      </c>
      <c r="T457" s="35">
        <f>INDEX(PPathVal,MATCH($D457,PPathKey,0),MATCH(T$4,PPathYear,0))</f>
        <v/>
      </c>
      <c r="U457" s="35">
        <f>INDEX(PPathVal,MATCH($D457,PPathKey,0),MATCH(U$4,PPathYear,0))</f>
        <v/>
      </c>
      <c r="V457" s="35">
        <f>INDEX(PPathVal,MATCH($D457,PPathKey,0),MATCH(V$4,PPathYear,0))</f>
        <v/>
      </c>
      <c r="W457" s="35">
        <f>INDEX(PPathVal,MATCH($D457,PPathKey,0),MATCH(W$4,PPathYear,0))</f>
        <v/>
      </c>
      <c r="X457" s="35">
        <f>INDEX(PPathVal,MATCH($D457,PPathKey,0),MATCH(X$4,PPathYear,0))</f>
        <v/>
      </c>
      <c r="Y457" s="35">
        <f>INDEX(PPathVal,MATCH($D457,PPathKey,0),MATCH(Y$4,PPathYear,0))</f>
        <v/>
      </c>
      <c r="Z457" s="35">
        <f>INDEX(PPathVal,MATCH($D457,PPathKey,0),MATCH(Z$4,PPathYear,0))</f>
        <v/>
      </c>
      <c r="AA457" s="35">
        <f>INDEX(PPathVal,MATCH($D457,PPathKey,0),MATCH(AA$4,PPathYear,0))</f>
        <v/>
      </c>
      <c r="AB457" s="35">
        <f>INDEX(PPathVal,MATCH($D457,PPathKey,0),MATCH(AB$4,PPathYear,0))</f>
        <v/>
      </c>
      <c r="AC457" s="35">
        <f>INDEX(PPathVal,MATCH($D457,PPathKey,0),MATCH(AC$4,PPathYear,0))</f>
        <v/>
      </c>
      <c r="AD457" s="35">
        <f>INDEX(PPathVal,MATCH($D457,PPathKey,0),MATCH(AD$4,PPathYear,0))</f>
        <v/>
      </c>
      <c r="AE457" s="35">
        <f>INDEX(PPathVal,MATCH($D457,PPathKey,0),MATCH(AE$4,PPathYear,0))</f>
        <v/>
      </c>
      <c r="AG457" s="11">
        <f>CodePrefix&amp;$A457&amp;IF($C457="","","."&amp;$C457&amp;"."&amp;$B457)&amp;INDEX(VarEnd,MATCH($A457,VarKey,0))&amp;AG$5</f>
        <v/>
      </c>
      <c r="AH457" s="40">
        <f>INDEX(PPathVal,MATCH($D457,PPathKey,0),MATCH(AH$4,PPathYear,0))</f>
        <v/>
      </c>
      <c r="AI457" s="35">
        <f>INDEX(PPathVal,MATCH($D457,PPathKey,0),MATCH(AI$4,PPathYear,0))</f>
        <v/>
      </c>
      <c r="AJ457" s="35">
        <f>INDEX(PPathVal,MATCH($D457,PPathKey,0),MATCH(AJ$4,PPathYear,0))</f>
        <v/>
      </c>
      <c r="AK457" s="35">
        <f>INDEX(PPathVal,MATCH($D457,PPathKey,0),MATCH(AK$4,PPathYear,0))</f>
        <v/>
      </c>
      <c r="AL457" s="35">
        <f>INDEX(PPathVal,MATCH($D457,PPathKey,0),MATCH(AL$4,PPathYear,0))</f>
        <v/>
      </c>
      <c r="AM457" s="35">
        <f>INDEX(PPathVal,MATCH($D457,PPathKey,0),MATCH(AM$4,PPathYear,0))</f>
        <v/>
      </c>
      <c r="AN457" s="35">
        <f>INDEX(PPathVal,MATCH($D457,PPathKey,0),MATCH(AN$4,PPathYear,0))</f>
        <v/>
      </c>
      <c r="AO457" s="35">
        <f>INDEX(PPathVal,MATCH($D457,PPathKey,0),MATCH(AO$4,PPathYear,0))</f>
        <v/>
      </c>
      <c r="AP457" s="35">
        <f>INDEX(PPathVal,MATCH($D457,PPathKey,0),MATCH(AP$4,PPathYear,0))</f>
        <v/>
      </c>
      <c r="AQ457" s="35">
        <f>INDEX(PPathVal,MATCH($D457,PPathKey,0),MATCH(AQ$4,PPathYear,0))</f>
        <v/>
      </c>
      <c r="AR457" s="35">
        <f>INDEX(PPathVal,MATCH($D457,PPathKey,0),MATCH(AR$4,PPathYear,0))</f>
        <v/>
      </c>
      <c r="AS457" s="35">
        <f>INDEX(PPathVal,MATCH($D457,PPathKey,0),MATCH(AS$4,PPathYear,0))</f>
        <v/>
      </c>
      <c r="AT457" s="35">
        <f>INDEX(PPathVal,MATCH($D457,PPathKey,0),MATCH(AT$4,PPathYear,0))</f>
        <v/>
      </c>
      <c r="AU457" s="35">
        <f>INDEX(PPathVal,MATCH($D457,PPathKey,0),MATCH(AU$4,PPathYear,0))</f>
        <v/>
      </c>
      <c r="AV457" s="35">
        <f>INDEX(PPathVal,MATCH($D457,PPathKey,0),MATCH(AV$4,PPathYear,0))</f>
        <v/>
      </c>
      <c r="AW457" s="35">
        <f>INDEX(PPathVal,MATCH($D457,PPathKey,0),MATCH(AW$4,PPathYear,0))</f>
        <v/>
      </c>
      <c r="AX457" s="35">
        <f>INDEX(PPathVal,MATCH($D457,PPathKey,0),MATCH(AX$4,PPathYear,0))</f>
        <v/>
      </c>
      <c r="AY457" s="35">
        <f>INDEX(PPathVal,MATCH($D457,PPathKey,0),MATCH(AY$4,PPathYear,0))</f>
        <v/>
      </c>
      <c r="AZ457" s="35">
        <f>INDEX(PPathVal,MATCH($D457,PPathKey,0),MATCH(AZ$4,PPathYear,0))</f>
        <v/>
      </c>
      <c r="BA457" s="35">
        <f>INDEX(PPathVal,MATCH($D457,PPathKey,0),MATCH(BA$4,PPathYear,0))</f>
        <v/>
      </c>
    </row>
    <row r="458" hidden="1" outlineLevel="1"/>
    <row r="459" hidden="1" outlineLevel="1">
      <c r="A459" s="14" t="inlineStr">
        <is>
          <t>cbat</t>
        </is>
      </c>
      <c r="B459" s="14" t="inlineStr"/>
      <c r="C459" s="14" t="inlineStr"/>
      <c r="D459" s="14">
        <f>$A459</f>
        <v/>
      </c>
      <c r="E459" s="39" t="n"/>
      <c r="F459" s="39" t="n"/>
      <c r="G459" s="39" t="n"/>
      <c r="H459" s="14">
        <f>INDEX(VarLab,MATCH($A459,VarKey,0))&amp;INDEX(MemLab,MATCH($C459&amp;"|"&amp;$B459,MemKey,0))</f>
        <v/>
      </c>
      <c r="I459" s="14">
        <f>INDEX(VarUnit,MATCH($A459,VarKey,0))</f>
        <v/>
      </c>
      <c r="J459" s="14">
        <f>INDEX(VarSrc,MATCH($A459,VarKey,0))</f>
        <v/>
      </c>
      <c r="K459" s="11">
        <f>CodePrefix&amp;$A459&amp;IF($C459="","","."&amp;$C459&amp;"."&amp;$B459)&amp;INDEX(VarEnd,MATCH($A459,VarKey,0))&amp;K$5</f>
        <v/>
      </c>
      <c r="L459" s="43">
        <f>INDEX(PPathVal,MATCH($D459,PPathKey,0),MATCH(L$4,PPathYear,0))</f>
        <v/>
      </c>
      <c r="M459" s="44">
        <f>INDEX(PPathVal,MATCH($D459,PPathKey,0),MATCH(M$4,PPathYear,0))</f>
        <v/>
      </c>
      <c r="N459" s="44">
        <f>INDEX(PPathVal,MATCH($D459,PPathKey,0),MATCH(N$4,PPathYear,0))</f>
        <v/>
      </c>
      <c r="O459" s="44">
        <f>INDEX(PPathVal,MATCH($D459,PPathKey,0),MATCH(O$4,PPathYear,0))</f>
        <v/>
      </c>
      <c r="P459" s="44">
        <f>INDEX(PPathVal,MATCH($D459,PPathKey,0),MATCH(P$4,PPathYear,0))</f>
        <v/>
      </c>
      <c r="Q459" s="44">
        <f>INDEX(PPathVal,MATCH($D459,PPathKey,0),MATCH(Q$4,PPathYear,0))</f>
        <v/>
      </c>
      <c r="R459" s="44">
        <f>INDEX(PPathVal,MATCH($D459,PPathKey,0),MATCH(R$4,PPathYear,0))</f>
        <v/>
      </c>
      <c r="S459" s="44">
        <f>INDEX(PPathVal,MATCH($D459,PPathKey,0),MATCH(S$4,PPathYear,0))</f>
        <v/>
      </c>
      <c r="T459" s="44">
        <f>INDEX(PPathVal,MATCH($D459,PPathKey,0),MATCH(T$4,PPathYear,0))</f>
        <v/>
      </c>
      <c r="U459" s="44">
        <f>INDEX(PPathVal,MATCH($D459,PPathKey,0),MATCH(U$4,PPathYear,0))</f>
        <v/>
      </c>
      <c r="V459" s="44">
        <f>INDEX(PPathVal,MATCH($D459,PPathKey,0),MATCH(V$4,PPathYear,0))</f>
        <v/>
      </c>
      <c r="W459" s="44">
        <f>INDEX(PPathVal,MATCH($D459,PPathKey,0),MATCH(W$4,PPathYear,0))</f>
        <v/>
      </c>
      <c r="X459" s="44">
        <f>INDEX(PPathVal,MATCH($D459,PPathKey,0),MATCH(X$4,PPathYear,0))</f>
        <v/>
      </c>
      <c r="Y459" s="44">
        <f>INDEX(PPathVal,MATCH($D459,PPathKey,0),MATCH(Y$4,PPathYear,0))</f>
        <v/>
      </c>
      <c r="Z459" s="44">
        <f>INDEX(PPathVal,MATCH($D459,PPathKey,0),MATCH(Z$4,PPathYear,0))</f>
        <v/>
      </c>
      <c r="AA459" s="44">
        <f>INDEX(PPathVal,MATCH($D459,PPathKey,0),MATCH(AA$4,PPathYear,0))</f>
        <v/>
      </c>
      <c r="AB459" s="44">
        <f>INDEX(PPathVal,MATCH($D459,PPathKey,0),MATCH(AB$4,PPathYear,0))</f>
        <v/>
      </c>
      <c r="AC459" s="44">
        <f>INDEX(PPathVal,MATCH($D459,PPathKey,0),MATCH(AC$4,PPathYear,0))</f>
        <v/>
      </c>
      <c r="AD459" s="44">
        <f>INDEX(PPathVal,MATCH($D459,PPathKey,0),MATCH(AD$4,PPathYear,0))</f>
        <v/>
      </c>
      <c r="AE459" s="44">
        <f>INDEX(PPathVal,MATCH($D459,PPathKey,0),MATCH(AE$4,PPathYear,0))</f>
        <v/>
      </c>
      <c r="AG459" s="11">
        <f>CodePrefix&amp;$A459&amp;IF($C459="","","."&amp;$C459&amp;"."&amp;$B459)&amp;INDEX(VarEnd,MATCH($A459,VarKey,0))&amp;AG$5</f>
        <v/>
      </c>
      <c r="AH459" s="43">
        <f>INDEX(PPathVal,MATCH($D459,PPathKey,0),MATCH(AH$4,PPathYear,0))</f>
        <v/>
      </c>
      <c r="AI459" s="44">
        <f>INDEX(PPathVal,MATCH($D459,PPathKey,0),MATCH(AI$4,PPathYear,0))</f>
        <v/>
      </c>
      <c r="AJ459" s="44">
        <f>INDEX(PPathVal,MATCH($D459,PPathKey,0),MATCH(AJ$4,PPathYear,0))</f>
        <v/>
      </c>
      <c r="AK459" s="44">
        <f>INDEX(PPathVal,MATCH($D459,PPathKey,0),MATCH(AK$4,PPathYear,0))</f>
        <v/>
      </c>
      <c r="AL459" s="44">
        <f>INDEX(PPathVal,MATCH($D459,PPathKey,0),MATCH(AL$4,PPathYear,0))</f>
        <v/>
      </c>
      <c r="AM459" s="44">
        <f>INDEX(PPathVal,MATCH($D459,PPathKey,0),MATCH(AM$4,PPathYear,0))</f>
        <v/>
      </c>
      <c r="AN459" s="44">
        <f>INDEX(PPathVal,MATCH($D459,PPathKey,0),MATCH(AN$4,PPathYear,0))</f>
        <v/>
      </c>
      <c r="AO459" s="44">
        <f>INDEX(PPathVal,MATCH($D459,PPathKey,0),MATCH(AO$4,PPathYear,0))</f>
        <v/>
      </c>
      <c r="AP459" s="44">
        <f>INDEX(PPathVal,MATCH($D459,PPathKey,0),MATCH(AP$4,PPathYear,0))</f>
        <v/>
      </c>
      <c r="AQ459" s="44">
        <f>INDEX(PPathVal,MATCH($D459,PPathKey,0),MATCH(AQ$4,PPathYear,0))</f>
        <v/>
      </c>
      <c r="AR459" s="44">
        <f>INDEX(PPathVal,MATCH($D459,PPathKey,0),MATCH(AR$4,PPathYear,0))</f>
        <v/>
      </c>
      <c r="AS459" s="44">
        <f>INDEX(PPathVal,MATCH($D459,PPathKey,0),MATCH(AS$4,PPathYear,0))</f>
        <v/>
      </c>
      <c r="AT459" s="44">
        <f>INDEX(PPathVal,MATCH($D459,PPathKey,0),MATCH(AT$4,PPathYear,0))</f>
        <v/>
      </c>
      <c r="AU459" s="44">
        <f>INDEX(PPathVal,MATCH($D459,PPathKey,0),MATCH(AU$4,PPathYear,0))</f>
        <v/>
      </c>
      <c r="AV459" s="44">
        <f>INDEX(PPathVal,MATCH($D459,PPathKey,0),MATCH(AV$4,PPathYear,0))</f>
        <v/>
      </c>
      <c r="AW459" s="44">
        <f>INDEX(PPathVal,MATCH($D459,PPathKey,0),MATCH(AW$4,PPathYear,0))</f>
        <v/>
      </c>
      <c r="AX459" s="44">
        <f>INDEX(PPathVal,MATCH($D459,PPathKey,0),MATCH(AX$4,PPathYear,0))</f>
        <v/>
      </c>
      <c r="AY459" s="44">
        <f>INDEX(PPathVal,MATCH($D459,PPathKey,0),MATCH(AY$4,PPathYear,0))</f>
        <v/>
      </c>
      <c r="AZ459" s="44">
        <f>INDEX(PPathVal,MATCH($D459,PPathKey,0),MATCH(AZ$4,PPathYear,0))</f>
        <v/>
      </c>
      <c r="BA459" s="44">
        <f>INDEX(PPathVal,MATCH($D459,PPathKey,0),MATCH(BA$4,PPathYear,0))</f>
        <v/>
      </c>
    </row>
    <row r="460" hidden="1" outlineLevel="1">
      <c r="A460" s="14" t="inlineStr">
        <is>
          <t>cint</t>
        </is>
      </c>
      <c r="B460" s="14" t="inlineStr"/>
      <c r="C460" s="14" t="inlineStr"/>
      <c r="D460" s="14">
        <f>$A460</f>
        <v/>
      </c>
      <c r="E460" s="39" t="n"/>
      <c r="F460" s="39" t="n"/>
      <c r="G460" s="39" t="n"/>
      <c r="H460" s="14">
        <f>INDEX(VarLab,MATCH($A460,VarKey,0))&amp;INDEX(MemLab,MATCH($C460&amp;"|"&amp;$B460,MemKey,0))</f>
        <v/>
      </c>
      <c r="I460" s="14">
        <f>INDEX(VarUnit,MATCH($A460,VarKey,0))</f>
        <v/>
      </c>
      <c r="J460" s="14">
        <f>INDEX(VarSrc,MATCH($A460,VarKey,0))</f>
        <v/>
      </c>
      <c r="K460" s="11">
        <f>CodePrefix&amp;$A460&amp;IF($C460="","","."&amp;$C460&amp;"."&amp;$B460)&amp;INDEX(VarEnd,MATCH($A460,VarKey,0))&amp;K$5</f>
        <v/>
      </c>
      <c r="L460" s="43">
        <f>INDEX(PPathVal,MATCH($D460,PPathKey,0),MATCH(L$4,PPathYear,0))</f>
        <v/>
      </c>
      <c r="M460" s="44">
        <f>INDEX(PPathVal,MATCH($D460,PPathKey,0),MATCH(M$4,PPathYear,0))</f>
        <v/>
      </c>
      <c r="N460" s="44">
        <f>INDEX(PPathVal,MATCH($D460,PPathKey,0),MATCH(N$4,PPathYear,0))</f>
        <v/>
      </c>
      <c r="O460" s="44">
        <f>INDEX(PPathVal,MATCH($D460,PPathKey,0),MATCH(O$4,PPathYear,0))</f>
        <v/>
      </c>
      <c r="P460" s="44">
        <f>INDEX(PPathVal,MATCH($D460,PPathKey,0),MATCH(P$4,PPathYear,0))</f>
        <v/>
      </c>
      <c r="Q460" s="44">
        <f>INDEX(PPathVal,MATCH($D460,PPathKey,0),MATCH(Q$4,PPathYear,0))</f>
        <v/>
      </c>
      <c r="R460" s="44">
        <f>INDEX(PPathVal,MATCH($D460,PPathKey,0),MATCH(R$4,PPathYear,0))</f>
        <v/>
      </c>
      <c r="S460" s="44">
        <f>INDEX(PPathVal,MATCH($D460,PPathKey,0),MATCH(S$4,PPathYear,0))</f>
        <v/>
      </c>
      <c r="T460" s="44">
        <f>INDEX(PPathVal,MATCH($D460,PPathKey,0),MATCH(T$4,PPathYear,0))</f>
        <v/>
      </c>
      <c r="U460" s="44">
        <f>INDEX(PPathVal,MATCH($D460,PPathKey,0),MATCH(U$4,PPathYear,0))</f>
        <v/>
      </c>
      <c r="V460" s="44">
        <f>INDEX(PPathVal,MATCH($D460,PPathKey,0),MATCH(V$4,PPathYear,0))</f>
        <v/>
      </c>
      <c r="W460" s="44">
        <f>INDEX(PPathVal,MATCH($D460,PPathKey,0),MATCH(W$4,PPathYear,0))</f>
        <v/>
      </c>
      <c r="X460" s="44">
        <f>INDEX(PPathVal,MATCH($D460,PPathKey,0),MATCH(X$4,PPathYear,0))</f>
        <v/>
      </c>
      <c r="Y460" s="44">
        <f>INDEX(PPathVal,MATCH($D460,PPathKey,0),MATCH(Y$4,PPathYear,0))</f>
        <v/>
      </c>
      <c r="Z460" s="44">
        <f>INDEX(PPathVal,MATCH($D460,PPathKey,0),MATCH(Z$4,PPathYear,0))</f>
        <v/>
      </c>
      <c r="AA460" s="44">
        <f>INDEX(PPathVal,MATCH($D460,PPathKey,0),MATCH(AA$4,PPathYear,0))</f>
        <v/>
      </c>
      <c r="AB460" s="44">
        <f>INDEX(PPathVal,MATCH($D460,PPathKey,0),MATCH(AB$4,PPathYear,0))</f>
        <v/>
      </c>
      <c r="AC460" s="44">
        <f>INDEX(PPathVal,MATCH($D460,PPathKey,0),MATCH(AC$4,PPathYear,0))</f>
        <v/>
      </c>
      <c r="AD460" s="44">
        <f>INDEX(PPathVal,MATCH($D460,PPathKey,0),MATCH(AD$4,PPathYear,0))</f>
        <v/>
      </c>
      <c r="AE460" s="44">
        <f>INDEX(PPathVal,MATCH($D460,PPathKey,0),MATCH(AE$4,PPathYear,0))</f>
        <v/>
      </c>
      <c r="AG460" s="11">
        <f>CodePrefix&amp;$A460&amp;IF($C460="","","."&amp;$C460&amp;"."&amp;$B460)&amp;INDEX(VarEnd,MATCH($A460,VarKey,0))&amp;AG$5</f>
        <v/>
      </c>
      <c r="AH460" s="43">
        <f>INDEX(PPathVal,MATCH($D460,PPathKey,0),MATCH(AH$4,PPathYear,0))</f>
        <v/>
      </c>
      <c r="AI460" s="44">
        <f>INDEX(PPathVal,MATCH($D460,PPathKey,0),MATCH(AI$4,PPathYear,0))</f>
        <v/>
      </c>
      <c r="AJ460" s="44">
        <f>INDEX(PPathVal,MATCH($D460,PPathKey,0),MATCH(AJ$4,PPathYear,0))</f>
        <v/>
      </c>
      <c r="AK460" s="44">
        <f>INDEX(PPathVal,MATCH($D460,PPathKey,0),MATCH(AK$4,PPathYear,0))</f>
        <v/>
      </c>
      <c r="AL460" s="44">
        <f>INDEX(PPathVal,MATCH($D460,PPathKey,0),MATCH(AL$4,PPathYear,0))</f>
        <v/>
      </c>
      <c r="AM460" s="44">
        <f>INDEX(PPathVal,MATCH($D460,PPathKey,0),MATCH(AM$4,PPathYear,0))</f>
        <v/>
      </c>
      <c r="AN460" s="44">
        <f>INDEX(PPathVal,MATCH($D460,PPathKey,0),MATCH(AN$4,PPathYear,0))</f>
        <v/>
      </c>
      <c r="AO460" s="44">
        <f>INDEX(PPathVal,MATCH($D460,PPathKey,0),MATCH(AO$4,PPathYear,0))</f>
        <v/>
      </c>
      <c r="AP460" s="44">
        <f>INDEX(PPathVal,MATCH($D460,PPathKey,0),MATCH(AP$4,PPathYear,0))</f>
        <v/>
      </c>
      <c r="AQ460" s="44">
        <f>INDEX(PPathVal,MATCH($D460,PPathKey,0),MATCH(AQ$4,PPathYear,0))</f>
        <v/>
      </c>
      <c r="AR460" s="44">
        <f>INDEX(PPathVal,MATCH($D460,PPathKey,0),MATCH(AR$4,PPathYear,0))</f>
        <v/>
      </c>
      <c r="AS460" s="44">
        <f>INDEX(PPathVal,MATCH($D460,PPathKey,0),MATCH(AS$4,PPathYear,0))</f>
        <v/>
      </c>
      <c r="AT460" s="44">
        <f>INDEX(PPathVal,MATCH($D460,PPathKey,0),MATCH(AT$4,PPathYear,0))</f>
        <v/>
      </c>
      <c r="AU460" s="44">
        <f>INDEX(PPathVal,MATCH($D460,PPathKey,0),MATCH(AU$4,PPathYear,0))</f>
        <v/>
      </c>
      <c r="AV460" s="44">
        <f>INDEX(PPathVal,MATCH($D460,PPathKey,0),MATCH(AV$4,PPathYear,0))</f>
        <v/>
      </c>
      <c r="AW460" s="44">
        <f>INDEX(PPathVal,MATCH($D460,PPathKey,0),MATCH(AW$4,PPathYear,0))</f>
        <v/>
      </c>
      <c r="AX460" s="44">
        <f>INDEX(PPathVal,MATCH($D460,PPathKey,0),MATCH(AX$4,PPathYear,0))</f>
        <v/>
      </c>
      <c r="AY460" s="44">
        <f>INDEX(PPathVal,MATCH($D460,PPathKey,0),MATCH(AY$4,PPathYear,0))</f>
        <v/>
      </c>
      <c r="AZ460" s="44">
        <f>INDEX(PPathVal,MATCH($D460,PPathKey,0),MATCH(AZ$4,PPathYear,0))</f>
        <v/>
      </c>
      <c r="BA460" s="44">
        <f>INDEX(PPathVal,MATCH($D460,PPathKey,0),MATCH(BA$4,PPathYear,0))</f>
        <v/>
      </c>
    </row>
    <row r="461" hidden="1" outlineLevel="1">
      <c r="A461" s="14" t="inlineStr">
        <is>
          <t>obat</t>
        </is>
      </c>
      <c r="B461" s="14" t="inlineStr"/>
      <c r="C461" s="14" t="inlineStr"/>
      <c r="D461" s="14">
        <f>$A461</f>
        <v/>
      </c>
      <c r="E461" s="39" t="n"/>
      <c r="F461" s="39" t="n"/>
      <c r="G461" s="39" t="n"/>
      <c r="H461" s="14">
        <f>INDEX(VarLab,MATCH($A461,VarKey,0))&amp;INDEX(MemLab,MATCH($C461&amp;"|"&amp;$B461,MemKey,0))</f>
        <v/>
      </c>
      <c r="I461" s="14">
        <f>INDEX(VarUnit,MATCH($A461,VarKey,0))</f>
        <v/>
      </c>
      <c r="J461" s="14">
        <f>INDEX(VarSrc,MATCH($A461,VarKey,0))</f>
        <v/>
      </c>
      <c r="K461" s="11">
        <f>CodePrefix&amp;$A461&amp;IF($C461="","","."&amp;$C461&amp;"."&amp;$B461)&amp;INDEX(VarEnd,MATCH($A461,VarKey,0))&amp;K$5</f>
        <v/>
      </c>
      <c r="L461" s="23">
        <f>INDEX(PPathVal,MATCH($D461,PPathKey,0),MATCH(L$4,PPathYear,0))</f>
        <v/>
      </c>
      <c r="M461" s="24">
        <f>INDEX(PPathVal,MATCH($D461,PPathKey,0),MATCH(M$4,PPathYear,0))</f>
        <v/>
      </c>
      <c r="N461" s="24">
        <f>INDEX(PPathVal,MATCH($D461,PPathKey,0),MATCH(N$4,PPathYear,0))</f>
        <v/>
      </c>
      <c r="O461" s="24">
        <f>INDEX(PPathVal,MATCH($D461,PPathKey,0),MATCH(O$4,PPathYear,0))</f>
        <v/>
      </c>
      <c r="P461" s="24">
        <f>INDEX(PPathVal,MATCH($D461,PPathKey,0),MATCH(P$4,PPathYear,0))</f>
        <v/>
      </c>
      <c r="Q461" s="24">
        <f>INDEX(PPathVal,MATCH($D461,PPathKey,0),MATCH(Q$4,PPathYear,0))</f>
        <v/>
      </c>
      <c r="R461" s="24">
        <f>INDEX(PPathVal,MATCH($D461,PPathKey,0),MATCH(R$4,PPathYear,0))</f>
        <v/>
      </c>
      <c r="S461" s="24">
        <f>INDEX(PPathVal,MATCH($D461,PPathKey,0),MATCH(S$4,PPathYear,0))</f>
        <v/>
      </c>
      <c r="T461" s="24">
        <f>INDEX(PPathVal,MATCH($D461,PPathKey,0),MATCH(T$4,PPathYear,0))</f>
        <v/>
      </c>
      <c r="U461" s="24">
        <f>INDEX(PPathVal,MATCH($D461,PPathKey,0),MATCH(U$4,PPathYear,0))</f>
        <v/>
      </c>
      <c r="V461" s="24">
        <f>INDEX(PPathVal,MATCH($D461,PPathKey,0),MATCH(V$4,PPathYear,0))</f>
        <v/>
      </c>
      <c r="W461" s="24">
        <f>INDEX(PPathVal,MATCH($D461,PPathKey,0),MATCH(W$4,PPathYear,0))</f>
        <v/>
      </c>
      <c r="X461" s="24">
        <f>INDEX(PPathVal,MATCH($D461,PPathKey,0),MATCH(X$4,PPathYear,0))</f>
        <v/>
      </c>
      <c r="Y461" s="24">
        <f>INDEX(PPathVal,MATCH($D461,PPathKey,0),MATCH(Y$4,PPathYear,0))</f>
        <v/>
      </c>
      <c r="Z461" s="24">
        <f>INDEX(PPathVal,MATCH($D461,PPathKey,0),MATCH(Z$4,PPathYear,0))</f>
        <v/>
      </c>
      <c r="AA461" s="24">
        <f>INDEX(PPathVal,MATCH($D461,PPathKey,0),MATCH(AA$4,PPathYear,0))</f>
        <v/>
      </c>
      <c r="AB461" s="24">
        <f>INDEX(PPathVal,MATCH($D461,PPathKey,0),MATCH(AB$4,PPathYear,0))</f>
        <v/>
      </c>
      <c r="AC461" s="24">
        <f>INDEX(PPathVal,MATCH($D461,PPathKey,0),MATCH(AC$4,PPathYear,0))</f>
        <v/>
      </c>
      <c r="AD461" s="24">
        <f>INDEX(PPathVal,MATCH($D461,PPathKey,0),MATCH(AD$4,PPathYear,0))</f>
        <v/>
      </c>
      <c r="AE461" s="24">
        <f>INDEX(PPathVal,MATCH($D461,PPathKey,0),MATCH(AE$4,PPathYear,0))</f>
        <v/>
      </c>
      <c r="AG461" s="11">
        <f>CodePrefix&amp;$A461&amp;IF($C461="","","."&amp;$C461&amp;"."&amp;$B461)&amp;INDEX(VarEnd,MATCH($A461,VarKey,0))&amp;AG$5</f>
        <v/>
      </c>
      <c r="AH461" s="23">
        <f>INDEX(PPathVal,MATCH($D461,PPathKey,0),MATCH(AH$4,PPathYear,0))</f>
        <v/>
      </c>
      <c r="AI461" s="24">
        <f>INDEX(PPathVal,MATCH($D461,PPathKey,0),MATCH(AI$4,PPathYear,0))</f>
        <v/>
      </c>
      <c r="AJ461" s="24">
        <f>INDEX(PPathVal,MATCH($D461,PPathKey,0),MATCH(AJ$4,PPathYear,0))</f>
        <v/>
      </c>
      <c r="AK461" s="24">
        <f>INDEX(PPathVal,MATCH($D461,PPathKey,0),MATCH(AK$4,PPathYear,0))</f>
        <v/>
      </c>
      <c r="AL461" s="24">
        <f>INDEX(PPathVal,MATCH($D461,PPathKey,0),MATCH(AL$4,PPathYear,0))</f>
        <v/>
      </c>
      <c r="AM461" s="24">
        <f>INDEX(PPathVal,MATCH($D461,PPathKey,0),MATCH(AM$4,PPathYear,0))</f>
        <v/>
      </c>
      <c r="AN461" s="24">
        <f>INDEX(PPathVal,MATCH($D461,PPathKey,0),MATCH(AN$4,PPathYear,0))</f>
        <v/>
      </c>
      <c r="AO461" s="24">
        <f>INDEX(PPathVal,MATCH($D461,PPathKey,0),MATCH(AO$4,PPathYear,0))</f>
        <v/>
      </c>
      <c r="AP461" s="24">
        <f>INDEX(PPathVal,MATCH($D461,PPathKey,0),MATCH(AP$4,PPathYear,0))</f>
        <v/>
      </c>
      <c r="AQ461" s="24">
        <f>INDEX(PPathVal,MATCH($D461,PPathKey,0),MATCH(AQ$4,PPathYear,0))</f>
        <v/>
      </c>
      <c r="AR461" s="24">
        <f>INDEX(PPathVal,MATCH($D461,PPathKey,0),MATCH(AR$4,PPathYear,0))</f>
        <v/>
      </c>
      <c r="AS461" s="24">
        <f>INDEX(PPathVal,MATCH($D461,PPathKey,0),MATCH(AS$4,PPathYear,0))</f>
        <v/>
      </c>
      <c r="AT461" s="24">
        <f>INDEX(PPathVal,MATCH($D461,PPathKey,0),MATCH(AT$4,PPathYear,0))</f>
        <v/>
      </c>
      <c r="AU461" s="24">
        <f>INDEX(PPathVal,MATCH($D461,PPathKey,0),MATCH(AU$4,PPathYear,0))</f>
        <v/>
      </c>
      <c r="AV461" s="24">
        <f>INDEX(PPathVal,MATCH($D461,PPathKey,0),MATCH(AV$4,PPathYear,0))</f>
        <v/>
      </c>
      <c r="AW461" s="24">
        <f>INDEX(PPathVal,MATCH($D461,PPathKey,0),MATCH(AW$4,PPathYear,0))</f>
        <v/>
      </c>
      <c r="AX461" s="24">
        <f>INDEX(PPathVal,MATCH($D461,PPathKey,0),MATCH(AX$4,PPathYear,0))</f>
        <v/>
      </c>
      <c r="AY461" s="24">
        <f>INDEX(PPathVal,MATCH($D461,PPathKey,0),MATCH(AY$4,PPathYear,0))</f>
        <v/>
      </c>
      <c r="AZ461" s="24">
        <f>INDEX(PPathVal,MATCH($D461,PPathKey,0),MATCH(AZ$4,PPathYear,0))</f>
        <v/>
      </c>
      <c r="BA461" s="24">
        <f>INDEX(PPathVal,MATCH($D461,PPathKey,0),MATCH(BA$4,PPathYear,0))</f>
        <v/>
      </c>
    </row>
    <row r="462" hidden="1" outlineLevel="1">
      <c r="A462" s="14" t="inlineStr">
        <is>
          <t>cel</t>
        </is>
      </c>
      <c r="B462" s="14" t="inlineStr"/>
      <c r="C462" s="14" t="inlineStr"/>
      <c r="D462" s="14">
        <f>$A462</f>
        <v/>
      </c>
      <c r="E462" s="39" t="n"/>
      <c r="F462" s="39" t="n"/>
      <c r="G462" s="39" t="n"/>
      <c r="H462" s="14">
        <f>INDEX(VarLab,MATCH($A462,VarKey,0))&amp;INDEX(MemLab,MATCH($C462&amp;"|"&amp;$B462,MemKey,0))</f>
        <v/>
      </c>
      <c r="I462" s="14">
        <f>INDEX(VarUnit,MATCH($A462,VarKey,0))</f>
        <v/>
      </c>
      <c r="J462" s="14">
        <f>INDEX(VarSrc,MATCH($A462,VarKey,0))</f>
        <v/>
      </c>
      <c r="K462" s="11">
        <f>CodePrefix&amp;$A462&amp;IF($C462="","","."&amp;$C462&amp;"."&amp;$B462)&amp;INDEX(VarEnd,MATCH($A462,VarKey,0))&amp;K$5</f>
        <v/>
      </c>
      <c r="L462" s="15">
        <f>INDEX(PPathVal,MATCH($D462,PPathKey,0),MATCH(L$4,PPathYear,0))</f>
        <v/>
      </c>
      <c r="M462" s="16">
        <f>INDEX(PPathVal,MATCH($D462,PPathKey,0),MATCH(M$4,PPathYear,0))</f>
        <v/>
      </c>
      <c r="N462" s="16">
        <f>INDEX(PPathVal,MATCH($D462,PPathKey,0),MATCH(N$4,PPathYear,0))</f>
        <v/>
      </c>
      <c r="O462" s="16">
        <f>INDEX(PPathVal,MATCH($D462,PPathKey,0),MATCH(O$4,PPathYear,0))</f>
        <v/>
      </c>
      <c r="P462" s="16">
        <f>INDEX(PPathVal,MATCH($D462,PPathKey,0),MATCH(P$4,PPathYear,0))</f>
        <v/>
      </c>
      <c r="Q462" s="16">
        <f>INDEX(PPathVal,MATCH($D462,PPathKey,0),MATCH(Q$4,PPathYear,0))</f>
        <v/>
      </c>
      <c r="R462" s="16">
        <f>INDEX(PPathVal,MATCH($D462,PPathKey,0),MATCH(R$4,PPathYear,0))</f>
        <v/>
      </c>
      <c r="S462" s="16">
        <f>INDEX(PPathVal,MATCH($D462,PPathKey,0),MATCH(S$4,PPathYear,0))</f>
        <v/>
      </c>
      <c r="T462" s="16">
        <f>INDEX(PPathVal,MATCH($D462,PPathKey,0),MATCH(T$4,PPathYear,0))</f>
        <v/>
      </c>
      <c r="U462" s="16">
        <f>INDEX(PPathVal,MATCH($D462,PPathKey,0),MATCH(U$4,PPathYear,0))</f>
        <v/>
      </c>
      <c r="V462" s="16">
        <f>INDEX(PPathVal,MATCH($D462,PPathKey,0),MATCH(V$4,PPathYear,0))</f>
        <v/>
      </c>
      <c r="W462" s="16">
        <f>INDEX(PPathVal,MATCH($D462,PPathKey,0),MATCH(W$4,PPathYear,0))</f>
        <v/>
      </c>
      <c r="X462" s="16">
        <f>INDEX(PPathVal,MATCH($D462,PPathKey,0),MATCH(X$4,PPathYear,0))</f>
        <v/>
      </c>
      <c r="Y462" s="16">
        <f>INDEX(PPathVal,MATCH($D462,PPathKey,0),MATCH(Y$4,PPathYear,0))</f>
        <v/>
      </c>
      <c r="Z462" s="16">
        <f>INDEX(PPathVal,MATCH($D462,PPathKey,0),MATCH(Z$4,PPathYear,0))</f>
        <v/>
      </c>
      <c r="AA462" s="16">
        <f>INDEX(PPathVal,MATCH($D462,PPathKey,0),MATCH(AA$4,PPathYear,0))</f>
        <v/>
      </c>
      <c r="AB462" s="16">
        <f>INDEX(PPathVal,MATCH($D462,PPathKey,0),MATCH(AB$4,PPathYear,0))</f>
        <v/>
      </c>
      <c r="AC462" s="16">
        <f>INDEX(PPathVal,MATCH($D462,PPathKey,0),MATCH(AC$4,PPathYear,0))</f>
        <v/>
      </c>
      <c r="AD462" s="16">
        <f>INDEX(PPathVal,MATCH($D462,PPathKey,0),MATCH(AD$4,PPathYear,0))</f>
        <v/>
      </c>
      <c r="AE462" s="16">
        <f>INDEX(PPathVal,MATCH($D462,PPathKey,0),MATCH(AE$4,PPathYear,0))</f>
        <v/>
      </c>
      <c r="AG462" s="11">
        <f>CodePrefix&amp;$A462&amp;IF($C462="","","."&amp;$C462&amp;"."&amp;$B462)&amp;INDEX(VarEnd,MATCH($A462,VarKey,0))&amp;AG$5</f>
        <v/>
      </c>
      <c r="AH462" s="15">
        <f>INDEX(PPathVal,MATCH($D462,PPathKey,0),MATCH(AH$4,PPathYear,0))</f>
        <v/>
      </c>
      <c r="AI462" s="16">
        <f>INDEX(PPathVal,MATCH($D462,PPathKey,0),MATCH(AI$4,PPathYear,0))</f>
        <v/>
      </c>
      <c r="AJ462" s="16">
        <f>INDEX(PPathVal,MATCH($D462,PPathKey,0),MATCH(AJ$4,PPathYear,0))</f>
        <v/>
      </c>
      <c r="AK462" s="16">
        <f>INDEX(PPathVal,MATCH($D462,PPathKey,0),MATCH(AK$4,PPathYear,0))</f>
        <v/>
      </c>
      <c r="AL462" s="16">
        <f>INDEX(PPathVal,MATCH($D462,PPathKey,0),MATCH(AL$4,PPathYear,0))</f>
        <v/>
      </c>
      <c r="AM462" s="16">
        <f>INDEX(PPathVal,MATCH($D462,PPathKey,0),MATCH(AM$4,PPathYear,0))</f>
        <v/>
      </c>
      <c r="AN462" s="16">
        <f>INDEX(PPathVal,MATCH($D462,PPathKey,0),MATCH(AN$4,PPathYear,0))</f>
        <v/>
      </c>
      <c r="AO462" s="16">
        <f>INDEX(PPathVal,MATCH($D462,PPathKey,0),MATCH(AO$4,PPathYear,0))</f>
        <v/>
      </c>
      <c r="AP462" s="16">
        <f>INDEX(PPathVal,MATCH($D462,PPathKey,0),MATCH(AP$4,PPathYear,0))</f>
        <v/>
      </c>
      <c r="AQ462" s="16">
        <f>INDEX(PPathVal,MATCH($D462,PPathKey,0),MATCH(AQ$4,PPathYear,0))</f>
        <v/>
      </c>
      <c r="AR462" s="16">
        <f>INDEX(PPathVal,MATCH($D462,PPathKey,0),MATCH(AR$4,PPathYear,0))</f>
        <v/>
      </c>
      <c r="AS462" s="16">
        <f>INDEX(PPathVal,MATCH($D462,PPathKey,0),MATCH(AS$4,PPathYear,0))</f>
        <v/>
      </c>
      <c r="AT462" s="16">
        <f>INDEX(PPathVal,MATCH($D462,PPathKey,0),MATCH(AT$4,PPathYear,0))</f>
        <v/>
      </c>
      <c r="AU462" s="16">
        <f>INDEX(PPathVal,MATCH($D462,PPathKey,0),MATCH(AU$4,PPathYear,0))</f>
        <v/>
      </c>
      <c r="AV462" s="16">
        <f>INDEX(PPathVal,MATCH($D462,PPathKey,0),MATCH(AV$4,PPathYear,0))</f>
        <v/>
      </c>
      <c r="AW462" s="16">
        <f>INDEX(PPathVal,MATCH($D462,PPathKey,0),MATCH(AW$4,PPathYear,0))</f>
        <v/>
      </c>
      <c r="AX462" s="16">
        <f>INDEX(PPathVal,MATCH($D462,PPathKey,0),MATCH(AX$4,PPathYear,0))</f>
        <v/>
      </c>
      <c r="AY462" s="16">
        <f>INDEX(PPathVal,MATCH($D462,PPathKey,0),MATCH(AY$4,PPathYear,0))</f>
        <v/>
      </c>
      <c r="AZ462" s="16">
        <f>INDEX(PPathVal,MATCH($D462,PPathKey,0),MATCH(AZ$4,PPathYear,0))</f>
        <v/>
      </c>
      <c r="BA462" s="16">
        <f>INDEX(PPathVal,MATCH($D462,PPathKey,0),MATCH(BA$4,PPathYear,0))</f>
        <v/>
      </c>
    </row>
    <row r="463" hidden="1" outlineLevel="1">
      <c r="A463" s="14" t="inlineStr">
        <is>
          <t>incf</t>
        </is>
      </c>
      <c r="B463" s="14" t="inlineStr"/>
      <c r="C463" s="14" t="inlineStr"/>
      <c r="D463" s="14">
        <f>$A463</f>
        <v/>
      </c>
      <c r="E463" s="39" t="n"/>
      <c r="F463" s="39" t="n"/>
      <c r="G463" s="39" t="n"/>
      <c r="H463" s="14">
        <f>INDEX(VarLab,MATCH($A463,VarKey,0))&amp;INDEX(MemLab,MATCH($C463&amp;"|"&amp;$B463,MemKey,0))</f>
        <v/>
      </c>
      <c r="I463" s="14">
        <f>INDEX(VarUnit,MATCH($A463,VarKey,0))</f>
        <v/>
      </c>
      <c r="J463" s="14">
        <f>INDEX(VarSrc,MATCH($A463,VarKey,0))</f>
        <v/>
      </c>
      <c r="K463" s="11">
        <f>CodePrefix&amp;$A463&amp;IF($C463="","","."&amp;$C463&amp;"."&amp;$B463)&amp;INDEX(VarEnd,MATCH($A463,VarKey,0))&amp;K$5</f>
        <v/>
      </c>
      <c r="L463" s="15">
        <f>INDEX(PPathVal,MATCH($D463,PPathKey,0),MATCH(L$4,PPathYear,0))</f>
        <v/>
      </c>
      <c r="M463" s="16">
        <f>INDEX(PPathVal,MATCH($D463,PPathKey,0),MATCH(M$4,PPathYear,0))</f>
        <v/>
      </c>
      <c r="N463" s="16">
        <f>INDEX(PPathVal,MATCH($D463,PPathKey,0),MATCH(N$4,PPathYear,0))</f>
        <v/>
      </c>
      <c r="O463" s="16">
        <f>INDEX(PPathVal,MATCH($D463,PPathKey,0),MATCH(O$4,PPathYear,0))</f>
        <v/>
      </c>
      <c r="P463" s="16">
        <f>INDEX(PPathVal,MATCH($D463,PPathKey,0),MATCH(P$4,PPathYear,0))</f>
        <v/>
      </c>
      <c r="Q463" s="16">
        <f>INDEX(PPathVal,MATCH($D463,PPathKey,0),MATCH(Q$4,PPathYear,0))</f>
        <v/>
      </c>
      <c r="R463" s="16">
        <f>INDEX(PPathVal,MATCH($D463,PPathKey,0),MATCH(R$4,PPathYear,0))</f>
        <v/>
      </c>
      <c r="S463" s="16">
        <f>INDEX(PPathVal,MATCH($D463,PPathKey,0),MATCH(S$4,PPathYear,0))</f>
        <v/>
      </c>
      <c r="T463" s="16">
        <f>INDEX(PPathVal,MATCH($D463,PPathKey,0),MATCH(T$4,PPathYear,0))</f>
        <v/>
      </c>
      <c r="U463" s="16">
        <f>INDEX(PPathVal,MATCH($D463,PPathKey,0),MATCH(U$4,PPathYear,0))</f>
        <v/>
      </c>
      <c r="V463" s="16">
        <f>INDEX(PPathVal,MATCH($D463,PPathKey,0),MATCH(V$4,PPathYear,0))</f>
        <v/>
      </c>
      <c r="W463" s="16">
        <f>INDEX(PPathVal,MATCH($D463,PPathKey,0),MATCH(W$4,PPathYear,0))</f>
        <v/>
      </c>
      <c r="X463" s="16">
        <f>INDEX(PPathVal,MATCH($D463,PPathKey,0),MATCH(X$4,PPathYear,0))</f>
        <v/>
      </c>
      <c r="Y463" s="16">
        <f>INDEX(PPathVal,MATCH($D463,PPathKey,0),MATCH(Y$4,PPathYear,0))</f>
        <v/>
      </c>
      <c r="Z463" s="16">
        <f>INDEX(PPathVal,MATCH($D463,PPathKey,0),MATCH(Z$4,PPathYear,0))</f>
        <v/>
      </c>
      <c r="AA463" s="16">
        <f>INDEX(PPathVal,MATCH($D463,PPathKey,0),MATCH(AA$4,PPathYear,0))</f>
        <v/>
      </c>
      <c r="AB463" s="16">
        <f>INDEX(PPathVal,MATCH($D463,PPathKey,0),MATCH(AB$4,PPathYear,0))</f>
        <v/>
      </c>
      <c r="AC463" s="16">
        <f>INDEX(PPathVal,MATCH($D463,PPathKey,0),MATCH(AC$4,PPathYear,0))</f>
        <v/>
      </c>
      <c r="AD463" s="16">
        <f>INDEX(PPathVal,MATCH($D463,PPathKey,0),MATCH(AD$4,PPathYear,0))</f>
        <v/>
      </c>
      <c r="AE463" s="16">
        <f>INDEX(PPathVal,MATCH($D463,PPathKey,0),MATCH(AE$4,PPathYear,0))</f>
        <v/>
      </c>
      <c r="AG463" s="11">
        <f>CodePrefix&amp;$A463&amp;IF($C463="","","."&amp;$C463&amp;"."&amp;$B463)&amp;INDEX(VarEnd,MATCH($A463,VarKey,0))&amp;AG$5</f>
        <v/>
      </c>
      <c r="AH463" s="15">
        <f>INDEX(PPathVal,MATCH($D463,PPathKey,0),MATCH(AH$4,PPathYear,0))</f>
        <v/>
      </c>
      <c r="AI463" s="16">
        <f>INDEX(PPathVal,MATCH($D463,PPathKey,0),MATCH(AI$4,PPathYear,0))</f>
        <v/>
      </c>
      <c r="AJ463" s="16">
        <f>INDEX(PPathVal,MATCH($D463,PPathKey,0),MATCH(AJ$4,PPathYear,0))</f>
        <v/>
      </c>
      <c r="AK463" s="16">
        <f>INDEX(PPathVal,MATCH($D463,PPathKey,0),MATCH(AK$4,PPathYear,0))</f>
        <v/>
      </c>
      <c r="AL463" s="16">
        <f>INDEX(PPathVal,MATCH($D463,PPathKey,0),MATCH(AL$4,PPathYear,0))</f>
        <v/>
      </c>
      <c r="AM463" s="16">
        <f>INDEX(PPathVal,MATCH($D463,PPathKey,0),MATCH(AM$4,PPathYear,0))</f>
        <v/>
      </c>
      <c r="AN463" s="16">
        <f>INDEX(PPathVal,MATCH($D463,PPathKey,0),MATCH(AN$4,PPathYear,0))</f>
        <v/>
      </c>
      <c r="AO463" s="16">
        <f>INDEX(PPathVal,MATCH($D463,PPathKey,0),MATCH(AO$4,PPathYear,0))</f>
        <v/>
      </c>
      <c r="AP463" s="16">
        <f>INDEX(PPathVal,MATCH($D463,PPathKey,0),MATCH(AP$4,PPathYear,0))</f>
        <v/>
      </c>
      <c r="AQ463" s="16">
        <f>INDEX(PPathVal,MATCH($D463,PPathKey,0),MATCH(AQ$4,PPathYear,0))</f>
        <v/>
      </c>
      <c r="AR463" s="16">
        <f>INDEX(PPathVal,MATCH($D463,PPathKey,0),MATCH(AR$4,PPathYear,0))</f>
        <v/>
      </c>
      <c r="AS463" s="16">
        <f>INDEX(PPathVal,MATCH($D463,PPathKey,0),MATCH(AS$4,PPathYear,0))</f>
        <v/>
      </c>
      <c r="AT463" s="16">
        <f>INDEX(PPathVal,MATCH($D463,PPathKey,0),MATCH(AT$4,PPathYear,0))</f>
        <v/>
      </c>
      <c r="AU463" s="16">
        <f>INDEX(PPathVal,MATCH($D463,PPathKey,0),MATCH(AU$4,PPathYear,0))</f>
        <v/>
      </c>
      <c r="AV463" s="16">
        <f>INDEX(PPathVal,MATCH($D463,PPathKey,0),MATCH(AV$4,PPathYear,0))</f>
        <v/>
      </c>
      <c r="AW463" s="16">
        <f>INDEX(PPathVal,MATCH($D463,PPathKey,0),MATCH(AW$4,PPathYear,0))</f>
        <v/>
      </c>
      <c r="AX463" s="16">
        <f>INDEX(PPathVal,MATCH($D463,PPathKey,0),MATCH(AX$4,PPathYear,0))</f>
        <v/>
      </c>
      <c r="AY463" s="16">
        <f>INDEX(PPathVal,MATCH($D463,PPathKey,0),MATCH(AY$4,PPathYear,0))</f>
        <v/>
      </c>
      <c r="AZ463" s="16">
        <f>INDEX(PPathVal,MATCH($D463,PPathKey,0),MATCH(AZ$4,PPathYear,0))</f>
        <v/>
      </c>
      <c r="BA463" s="16">
        <f>INDEX(PPathVal,MATCH($D463,PPathKey,0),MATCH(BA$4,PPathYear,0))</f>
        <v/>
      </c>
    </row>
    <row r="464" hidden="1" outlineLevel="1">
      <c r="A464" s="14" t="inlineStr">
        <is>
          <t>shock</t>
        </is>
      </c>
      <c r="B464" s="14" t="inlineStr"/>
      <c r="C464" s="14" t="inlineStr"/>
      <c r="D464" s="14">
        <f>$A464</f>
        <v/>
      </c>
      <c r="E464" s="39" t="n"/>
      <c r="F464" s="39" t="n"/>
      <c r="G464" s="39" t="n"/>
      <c r="H464" s="14">
        <f>INDEX(VarLab,MATCH($A464,VarKey,0))&amp;INDEX(MemLab,MATCH($C464&amp;"|"&amp;$B464,MemKey,0))</f>
        <v/>
      </c>
      <c r="I464" s="14">
        <f>INDEX(VarUnit,MATCH($A464,VarKey,0))</f>
        <v/>
      </c>
      <c r="J464" s="14">
        <f>INDEX(VarSrc,MATCH($A464,VarKey,0))</f>
        <v/>
      </c>
      <c r="K464" s="11">
        <f>CodePrefix&amp;$A464&amp;IF($C464="","","."&amp;$C464&amp;"."&amp;$B464)&amp;INDEX(VarEnd,MATCH($A464,VarKey,0))&amp;K$5</f>
        <v/>
      </c>
      <c r="L464" s="12">
        <f>INDEX(PPathVal,MATCH($D464,PPathKey,0),MATCH(L$4,PPathYear,0))</f>
        <v/>
      </c>
      <c r="M464" s="13">
        <f>INDEX(PPathVal,MATCH($D464,PPathKey,0),MATCH(M$4,PPathYear,0))</f>
        <v/>
      </c>
      <c r="N464" s="13">
        <f>INDEX(PPathVal,MATCH($D464,PPathKey,0),MATCH(N$4,PPathYear,0))</f>
        <v/>
      </c>
      <c r="O464" s="13">
        <f>INDEX(PPathVal,MATCH($D464,PPathKey,0),MATCH(O$4,PPathYear,0))</f>
        <v/>
      </c>
      <c r="P464" s="13">
        <f>INDEX(PPathVal,MATCH($D464,PPathKey,0),MATCH(P$4,PPathYear,0))</f>
        <v/>
      </c>
      <c r="Q464" s="13">
        <f>INDEX(PPathVal,MATCH($D464,PPathKey,0),MATCH(Q$4,PPathYear,0))</f>
        <v/>
      </c>
      <c r="R464" s="13">
        <f>INDEX(PPathVal,MATCH($D464,PPathKey,0),MATCH(R$4,PPathYear,0))</f>
        <v/>
      </c>
      <c r="S464" s="13">
        <f>INDEX(PPathVal,MATCH($D464,PPathKey,0),MATCH(S$4,PPathYear,0))</f>
        <v/>
      </c>
      <c r="T464" s="13">
        <f>INDEX(PPathVal,MATCH($D464,PPathKey,0),MATCH(T$4,PPathYear,0))</f>
        <v/>
      </c>
      <c r="U464" s="13">
        <f>INDEX(PPathVal,MATCH($D464,PPathKey,0),MATCH(U$4,PPathYear,0))</f>
        <v/>
      </c>
      <c r="V464" s="13">
        <f>INDEX(PPathVal,MATCH($D464,PPathKey,0),MATCH(V$4,PPathYear,0))</f>
        <v/>
      </c>
      <c r="W464" s="13">
        <f>INDEX(PPathVal,MATCH($D464,PPathKey,0),MATCH(W$4,PPathYear,0))</f>
        <v/>
      </c>
      <c r="X464" s="13">
        <f>INDEX(PPathVal,MATCH($D464,PPathKey,0),MATCH(X$4,PPathYear,0))</f>
        <v/>
      </c>
      <c r="Y464" s="13">
        <f>INDEX(PPathVal,MATCH($D464,PPathKey,0),MATCH(Y$4,PPathYear,0))</f>
        <v/>
      </c>
      <c r="Z464" s="13">
        <f>INDEX(PPathVal,MATCH($D464,PPathKey,0),MATCH(Z$4,PPathYear,0))</f>
        <v/>
      </c>
      <c r="AA464" s="13">
        <f>INDEX(PPathVal,MATCH($D464,PPathKey,0),MATCH(AA$4,PPathYear,0))</f>
        <v/>
      </c>
      <c r="AB464" s="13">
        <f>INDEX(PPathVal,MATCH($D464,PPathKey,0),MATCH(AB$4,PPathYear,0))</f>
        <v/>
      </c>
      <c r="AC464" s="13">
        <f>INDEX(PPathVal,MATCH($D464,PPathKey,0),MATCH(AC$4,PPathYear,0))</f>
        <v/>
      </c>
      <c r="AD464" s="13">
        <f>INDEX(PPathVal,MATCH($D464,PPathKey,0),MATCH(AD$4,PPathYear,0))</f>
        <v/>
      </c>
      <c r="AE464" s="13">
        <f>INDEX(PPathVal,MATCH($D464,PPathKey,0),MATCH(AE$4,PPathYear,0))</f>
        <v/>
      </c>
      <c r="AG464" s="11">
        <f>CodePrefix&amp;$A464&amp;IF($C464="","","."&amp;$C464&amp;"."&amp;$B464)&amp;INDEX(VarEnd,MATCH($A464,VarKey,0))&amp;AG$5</f>
        <v/>
      </c>
      <c r="AH464" s="12">
        <f>INDEX(PPathVal,MATCH($D464,PPathKey,0),MATCH(AH$4,PPathYear,0))</f>
        <v/>
      </c>
      <c r="AI464" s="13">
        <f>INDEX(PPathVal,MATCH($D464,PPathKey,0),MATCH(AI$4,PPathYear,0))</f>
        <v/>
      </c>
      <c r="AJ464" s="13">
        <f>INDEX(PPathVal,MATCH($D464,PPathKey,0),MATCH(AJ$4,PPathYear,0))</f>
        <v/>
      </c>
      <c r="AK464" s="13">
        <f>INDEX(PPathVal,MATCH($D464,PPathKey,0),MATCH(AK$4,PPathYear,0))</f>
        <v/>
      </c>
      <c r="AL464" s="13">
        <f>INDEX(PPathVal,MATCH($D464,PPathKey,0),MATCH(AL$4,PPathYear,0))</f>
        <v/>
      </c>
      <c r="AM464" s="13">
        <f>INDEX(PPathVal,MATCH($D464,PPathKey,0),MATCH(AM$4,PPathYear,0))</f>
        <v/>
      </c>
      <c r="AN464" s="13">
        <f>INDEX(PPathVal,MATCH($D464,PPathKey,0),MATCH(AN$4,PPathYear,0))</f>
        <v/>
      </c>
      <c r="AO464" s="13">
        <f>INDEX(PPathVal,MATCH($D464,PPathKey,0),MATCH(AO$4,PPathYear,0))</f>
        <v/>
      </c>
      <c r="AP464" s="13">
        <f>INDEX(PPathVal,MATCH($D464,PPathKey,0),MATCH(AP$4,PPathYear,0))</f>
        <v/>
      </c>
      <c r="AQ464" s="13">
        <f>INDEX(PPathVal,MATCH($D464,PPathKey,0),MATCH(AQ$4,PPathYear,0))</f>
        <v/>
      </c>
      <c r="AR464" s="13">
        <f>INDEX(PPathVal,MATCH($D464,PPathKey,0),MATCH(AR$4,PPathYear,0))</f>
        <v/>
      </c>
      <c r="AS464" s="13">
        <f>INDEX(PPathVal,MATCH($D464,PPathKey,0),MATCH(AS$4,PPathYear,0))</f>
        <v/>
      </c>
      <c r="AT464" s="13">
        <f>INDEX(PPathVal,MATCH($D464,PPathKey,0),MATCH(AT$4,PPathYear,0))</f>
        <v/>
      </c>
      <c r="AU464" s="13">
        <f>INDEX(PPathVal,MATCH($D464,PPathKey,0),MATCH(AU$4,PPathYear,0))</f>
        <v/>
      </c>
      <c r="AV464" s="13">
        <f>INDEX(PPathVal,MATCH($D464,PPathKey,0),MATCH(AV$4,PPathYear,0))</f>
        <v/>
      </c>
      <c r="AW464" s="13">
        <f>INDEX(PPathVal,MATCH($D464,PPathKey,0),MATCH(AW$4,PPathYear,0))</f>
        <v/>
      </c>
      <c r="AX464" s="13">
        <f>INDEX(PPathVal,MATCH($D464,PPathKey,0),MATCH(AX$4,PPathYear,0))</f>
        <v/>
      </c>
      <c r="AY464" s="13">
        <f>INDEX(PPathVal,MATCH($D464,PPathKey,0),MATCH(AY$4,PPathYear,0))</f>
        <v/>
      </c>
      <c r="AZ464" s="13">
        <f>INDEX(PPathVal,MATCH($D464,PPathKey,0),MATCH(AZ$4,PPathYear,0))</f>
        <v/>
      </c>
      <c r="BA464" s="13">
        <f>INDEX(PPathVal,MATCH($D464,PPathKey,0),MATCH(BA$4,PPathYear,0))</f>
        <v/>
      </c>
    </row>
    <row r="465" hidden="1" outlineLevel="1"/>
    <row r="466" hidden="1" outlineLevel="1">
      <c r="H466" s="21" t="inlineStr">
        <is>
          <t>B. Amortised fixed costs of the existing stock ($/kWh): capital cost, vintage averages of capital and storage cost (investment share of the previous year, from L)</t>
        </is>
      </c>
    </row>
    <row r="467" hidden="1" outlineLevel="1">
      <c r="A467" s="14" t="inlineStr">
        <is>
          <t>cax</t>
        </is>
      </c>
      <c r="B467" s="14" t="inlineStr">
        <is>
          <t>coa</t>
        </is>
      </c>
      <c r="C467" s="14" t="inlineStr">
        <is>
          <t>pow</t>
        </is>
      </c>
      <c r="D467" s="45">
        <f>INDEX(Inputs_power!$C$5:$C$13,MATCH($B467,Inputs_power!$A$5:$A$13,0))</f>
        <v/>
      </c>
      <c r="E467" s="39" t="n"/>
      <c r="F467" s="39" t="n"/>
      <c r="G467" s="39" t="n"/>
      <c r="H467" s="14">
        <f>INDEX(VarLab,MATCH($A467,VarKey,0))&amp;INDEX(MemLab,MATCH($C467&amp;"|"&amp;$B467,MemKey,0))</f>
        <v/>
      </c>
      <c r="I467" s="14">
        <f>INDEX(VarUnit,MATCH($A467,VarKey,0))</f>
        <v/>
      </c>
      <c r="J467" s="14">
        <f>INDEX(VarSrc,MATCH($A467,VarKey,0))</f>
        <v/>
      </c>
      <c r="K467" s="11">
        <f>CodePrefix&amp;$A467&amp;IF($C467="","","."&amp;$C467&amp;"."&amp;$B467)&amp;INDEX(VarEnd,MATCH($A467,VarKey,0))&amp;K$5</f>
        <v/>
      </c>
      <c r="L467" s="46">
        <f>$D467*L449</f>
        <v/>
      </c>
      <c r="M467" s="47">
        <f>$D467*M449</f>
        <v/>
      </c>
      <c r="N467" s="47">
        <f>$D467*N449</f>
        <v/>
      </c>
      <c r="O467" s="47">
        <f>$D467*O449</f>
        <v/>
      </c>
      <c r="P467" s="47">
        <f>$D467*P449</f>
        <v/>
      </c>
      <c r="Q467" s="47">
        <f>$D467*Q449</f>
        <v/>
      </c>
      <c r="R467" s="47">
        <f>$D467*R449</f>
        <v/>
      </c>
      <c r="S467" s="47">
        <f>$D467*S449</f>
        <v/>
      </c>
      <c r="T467" s="47">
        <f>$D467*T449</f>
        <v/>
      </c>
      <c r="U467" s="47">
        <f>$D467*U449</f>
        <v/>
      </c>
      <c r="V467" s="47">
        <f>$D467*V449</f>
        <v/>
      </c>
      <c r="W467" s="47">
        <f>$D467*W449</f>
        <v/>
      </c>
      <c r="X467" s="47">
        <f>$D467*X449</f>
        <v/>
      </c>
      <c r="Y467" s="47">
        <f>$D467*Y449</f>
        <v/>
      </c>
      <c r="Z467" s="47">
        <f>$D467*Z449</f>
        <v/>
      </c>
      <c r="AA467" s="47">
        <f>$D467*AA449</f>
        <v/>
      </c>
      <c r="AB467" s="47">
        <f>$D467*AB449</f>
        <v/>
      </c>
      <c r="AC467" s="47">
        <f>$D467*AC449</f>
        <v/>
      </c>
      <c r="AD467" s="47">
        <f>$D467*AD449</f>
        <v/>
      </c>
      <c r="AE467" s="48">
        <f>CAPEX($D467,AE449)</f>
        <v/>
      </c>
      <c r="AG467" s="11">
        <f>CodePrefix&amp;$A467&amp;IF($C467="","","."&amp;$C467&amp;"."&amp;$B467)&amp;INDEX(VarEnd,MATCH($A467,VarKey,0))&amp;AG$5</f>
        <v/>
      </c>
      <c r="AH467" s="46">
        <f>$D467*AH449</f>
        <v/>
      </c>
      <c r="AI467" s="47">
        <f>$D467*AI449</f>
        <v/>
      </c>
      <c r="AJ467" s="47">
        <f>$D467*AJ449</f>
        <v/>
      </c>
      <c r="AK467" s="47">
        <f>$D467*AK449</f>
        <v/>
      </c>
      <c r="AL467" s="47">
        <f>$D467*AL449</f>
        <v/>
      </c>
      <c r="AM467" s="47">
        <f>$D467*AM449</f>
        <v/>
      </c>
      <c r="AN467" s="47">
        <f>$D467*AN449</f>
        <v/>
      </c>
      <c r="AO467" s="47">
        <f>$D467*AO449</f>
        <v/>
      </c>
      <c r="AP467" s="47">
        <f>$D467*AP449</f>
        <v/>
      </c>
      <c r="AQ467" s="47">
        <f>$D467*AQ449</f>
        <v/>
      </c>
      <c r="AR467" s="47">
        <f>$D467*AR449</f>
        <v/>
      </c>
      <c r="AS467" s="47">
        <f>$D467*AS449</f>
        <v/>
      </c>
      <c r="AT467" s="47">
        <f>$D467*AT449</f>
        <v/>
      </c>
      <c r="AU467" s="47">
        <f>$D467*AU449</f>
        <v/>
      </c>
      <c r="AV467" s="47">
        <f>$D467*AV449</f>
        <v/>
      </c>
      <c r="AW467" s="47">
        <f>$D467*AW449</f>
        <v/>
      </c>
      <c r="AX467" s="47">
        <f>$D467*AX449</f>
        <v/>
      </c>
      <c r="AY467" s="47">
        <f>$D467*AY449</f>
        <v/>
      </c>
      <c r="AZ467" s="47">
        <f>$D467*AZ449</f>
        <v/>
      </c>
      <c r="BA467" s="48">
        <f>CAPEX($D467,BA449)</f>
        <v/>
      </c>
    </row>
    <row r="468" hidden="1" outlineLevel="1">
      <c r="A468" s="14" t="inlineStr">
        <is>
          <t>cax</t>
        </is>
      </c>
      <c r="B468" s="14" t="inlineStr">
        <is>
          <t>nga</t>
        </is>
      </c>
      <c r="C468" s="14" t="inlineStr">
        <is>
          <t>pow</t>
        </is>
      </c>
      <c r="D468" s="45">
        <f>INDEX(Inputs_power!$C$5:$C$13,MATCH($B468,Inputs_power!$A$5:$A$13,0))</f>
        <v/>
      </c>
      <c r="E468" s="39" t="n"/>
      <c r="F468" s="39" t="n"/>
      <c r="G468" s="39" t="n"/>
      <c r="H468" s="14">
        <f>INDEX(VarLab,MATCH($A468,VarKey,0))&amp;INDEX(MemLab,MATCH($C468&amp;"|"&amp;$B468,MemKey,0))</f>
        <v/>
      </c>
      <c r="I468" s="14">
        <f>INDEX(VarUnit,MATCH($A468,VarKey,0))</f>
        <v/>
      </c>
      <c r="J468" s="14">
        <f>INDEX(VarSrc,MATCH($A468,VarKey,0))</f>
        <v/>
      </c>
      <c r="K468" s="11">
        <f>CodePrefix&amp;$A468&amp;IF($C468="","","."&amp;$C468&amp;"."&amp;$B468)&amp;INDEX(VarEnd,MATCH($A468,VarKey,0))&amp;K$5</f>
        <v/>
      </c>
      <c r="L468" s="46">
        <f>$D468*L450</f>
        <v/>
      </c>
      <c r="M468" s="47">
        <f>$D468*M450</f>
        <v/>
      </c>
      <c r="N468" s="47">
        <f>$D468*N450</f>
        <v/>
      </c>
      <c r="O468" s="47">
        <f>$D468*O450</f>
        <v/>
      </c>
      <c r="P468" s="47">
        <f>$D468*P450</f>
        <v/>
      </c>
      <c r="Q468" s="47">
        <f>$D468*Q450</f>
        <v/>
      </c>
      <c r="R468" s="47">
        <f>$D468*R450</f>
        <v/>
      </c>
      <c r="S468" s="47">
        <f>$D468*S450</f>
        <v/>
      </c>
      <c r="T468" s="47">
        <f>$D468*T450</f>
        <v/>
      </c>
      <c r="U468" s="47">
        <f>$D468*U450</f>
        <v/>
      </c>
      <c r="V468" s="47">
        <f>$D468*V450</f>
        <v/>
      </c>
      <c r="W468" s="47">
        <f>$D468*W450</f>
        <v/>
      </c>
      <c r="X468" s="47">
        <f>$D468*X450</f>
        <v/>
      </c>
      <c r="Y468" s="47">
        <f>$D468*Y450</f>
        <v/>
      </c>
      <c r="Z468" s="47">
        <f>$D468*Z450</f>
        <v/>
      </c>
      <c r="AA468" s="47">
        <f>$D468*AA450</f>
        <v/>
      </c>
      <c r="AB468" s="47">
        <f>$D468*AB450</f>
        <v/>
      </c>
      <c r="AC468" s="47">
        <f>$D468*AC450</f>
        <v/>
      </c>
      <c r="AD468" s="47">
        <f>$D468*AD450</f>
        <v/>
      </c>
      <c r="AE468" s="48">
        <f>CAPEX($D468,AE450)</f>
        <v/>
      </c>
      <c r="AG468" s="11">
        <f>CodePrefix&amp;$A468&amp;IF($C468="","","."&amp;$C468&amp;"."&amp;$B468)&amp;INDEX(VarEnd,MATCH($A468,VarKey,0))&amp;AG$5</f>
        <v/>
      </c>
      <c r="AH468" s="46">
        <f>$D468*AH450</f>
        <v/>
      </c>
      <c r="AI468" s="47">
        <f>$D468*AI450</f>
        <v/>
      </c>
      <c r="AJ468" s="47">
        <f>$D468*AJ450</f>
        <v/>
      </c>
      <c r="AK468" s="47">
        <f>$D468*AK450</f>
        <v/>
      </c>
      <c r="AL468" s="47">
        <f>$D468*AL450</f>
        <v/>
      </c>
      <c r="AM468" s="47">
        <f>$D468*AM450</f>
        <v/>
      </c>
      <c r="AN468" s="47">
        <f>$D468*AN450</f>
        <v/>
      </c>
      <c r="AO468" s="47">
        <f>$D468*AO450</f>
        <v/>
      </c>
      <c r="AP468" s="47">
        <f>$D468*AP450</f>
        <v/>
      </c>
      <c r="AQ468" s="47">
        <f>$D468*AQ450</f>
        <v/>
      </c>
      <c r="AR468" s="47">
        <f>$D468*AR450</f>
        <v/>
      </c>
      <c r="AS468" s="47">
        <f>$D468*AS450</f>
        <v/>
      </c>
      <c r="AT468" s="47">
        <f>$D468*AT450</f>
        <v/>
      </c>
      <c r="AU468" s="47">
        <f>$D468*AU450</f>
        <v/>
      </c>
      <c r="AV468" s="47">
        <f>$D468*AV450</f>
        <v/>
      </c>
      <c r="AW468" s="47">
        <f>$D468*AW450</f>
        <v/>
      </c>
      <c r="AX468" s="47">
        <f>$D468*AX450</f>
        <v/>
      </c>
      <c r="AY468" s="47">
        <f>$D468*AY450</f>
        <v/>
      </c>
      <c r="AZ468" s="47">
        <f>$D468*AZ450</f>
        <v/>
      </c>
      <c r="BA468" s="48">
        <f>CAPEX($D468,BA450)</f>
        <v/>
      </c>
    </row>
    <row r="469" hidden="1" outlineLevel="1">
      <c r="A469" s="14" t="inlineStr">
        <is>
          <t>cax</t>
        </is>
      </c>
      <c r="B469" s="14" t="inlineStr">
        <is>
          <t>oop</t>
        </is>
      </c>
      <c r="C469" s="14" t="inlineStr">
        <is>
          <t>pow</t>
        </is>
      </c>
      <c r="D469" s="45">
        <f>INDEX(Inputs_power!$C$5:$C$13,MATCH($B469,Inputs_power!$A$5:$A$13,0))</f>
        <v/>
      </c>
      <c r="E469" s="39" t="n"/>
      <c r="F469" s="39" t="n"/>
      <c r="G469" s="39" t="n"/>
      <c r="H469" s="14">
        <f>INDEX(VarLab,MATCH($A469,VarKey,0))&amp;INDEX(MemLab,MATCH($C469&amp;"|"&amp;$B469,MemKey,0))</f>
        <v/>
      </c>
      <c r="I469" s="14">
        <f>INDEX(VarUnit,MATCH($A469,VarKey,0))</f>
        <v/>
      </c>
      <c r="J469" s="14">
        <f>INDEX(VarSrc,MATCH($A469,VarKey,0))</f>
        <v/>
      </c>
      <c r="K469" s="11">
        <f>CodePrefix&amp;$A469&amp;IF($C469="","","."&amp;$C469&amp;"."&amp;$B469)&amp;INDEX(VarEnd,MATCH($A469,VarKey,0))&amp;K$5</f>
        <v/>
      </c>
      <c r="L469" s="46">
        <f>$D469*L451</f>
        <v/>
      </c>
      <c r="M469" s="47">
        <f>$D469*M451</f>
        <v/>
      </c>
      <c r="N469" s="47">
        <f>$D469*N451</f>
        <v/>
      </c>
      <c r="O469" s="47">
        <f>$D469*O451</f>
        <v/>
      </c>
      <c r="P469" s="47">
        <f>$D469*P451</f>
        <v/>
      </c>
      <c r="Q469" s="47">
        <f>$D469*Q451</f>
        <v/>
      </c>
      <c r="R469" s="47">
        <f>$D469*R451</f>
        <v/>
      </c>
      <c r="S469" s="47">
        <f>$D469*S451</f>
        <v/>
      </c>
      <c r="T469" s="47">
        <f>$D469*T451</f>
        <v/>
      </c>
      <c r="U469" s="47">
        <f>$D469*U451</f>
        <v/>
      </c>
      <c r="V469" s="47">
        <f>$D469*V451</f>
        <v/>
      </c>
      <c r="W469" s="47">
        <f>$D469*W451</f>
        <v/>
      </c>
      <c r="X469" s="47">
        <f>$D469*X451</f>
        <v/>
      </c>
      <c r="Y469" s="47">
        <f>$D469*Y451</f>
        <v/>
      </c>
      <c r="Z469" s="47">
        <f>$D469*Z451</f>
        <v/>
      </c>
      <c r="AA469" s="47">
        <f>$D469*AA451</f>
        <v/>
      </c>
      <c r="AB469" s="47">
        <f>$D469*AB451</f>
        <v/>
      </c>
      <c r="AC469" s="47">
        <f>$D469*AC451</f>
        <v/>
      </c>
      <c r="AD469" s="47">
        <f>$D469*AD451</f>
        <v/>
      </c>
      <c r="AE469" s="48">
        <f>CAPEX($D469,AE451)</f>
        <v/>
      </c>
      <c r="AG469" s="11">
        <f>CodePrefix&amp;$A469&amp;IF($C469="","","."&amp;$C469&amp;"."&amp;$B469)&amp;INDEX(VarEnd,MATCH($A469,VarKey,0))&amp;AG$5</f>
        <v/>
      </c>
      <c r="AH469" s="46">
        <f>$D469*AH451</f>
        <v/>
      </c>
      <c r="AI469" s="47">
        <f>$D469*AI451</f>
        <v/>
      </c>
      <c r="AJ469" s="47">
        <f>$D469*AJ451</f>
        <v/>
      </c>
      <c r="AK469" s="47">
        <f>$D469*AK451</f>
        <v/>
      </c>
      <c r="AL469" s="47">
        <f>$D469*AL451</f>
        <v/>
      </c>
      <c r="AM469" s="47">
        <f>$D469*AM451</f>
        <v/>
      </c>
      <c r="AN469" s="47">
        <f>$D469*AN451</f>
        <v/>
      </c>
      <c r="AO469" s="47">
        <f>$D469*AO451</f>
        <v/>
      </c>
      <c r="AP469" s="47">
        <f>$D469*AP451</f>
        <v/>
      </c>
      <c r="AQ469" s="47">
        <f>$D469*AQ451</f>
        <v/>
      </c>
      <c r="AR469" s="47">
        <f>$D469*AR451</f>
        <v/>
      </c>
      <c r="AS469" s="47">
        <f>$D469*AS451</f>
        <v/>
      </c>
      <c r="AT469" s="47">
        <f>$D469*AT451</f>
        <v/>
      </c>
      <c r="AU469" s="47">
        <f>$D469*AU451</f>
        <v/>
      </c>
      <c r="AV469" s="47">
        <f>$D469*AV451</f>
        <v/>
      </c>
      <c r="AW469" s="47">
        <f>$D469*AW451</f>
        <v/>
      </c>
      <c r="AX469" s="47">
        <f>$D469*AX451</f>
        <v/>
      </c>
      <c r="AY469" s="47">
        <f>$D469*AY451</f>
        <v/>
      </c>
      <c r="AZ469" s="47">
        <f>$D469*AZ451</f>
        <v/>
      </c>
      <c r="BA469" s="48">
        <f>CAPEX($D469,BA451)</f>
        <v/>
      </c>
    </row>
    <row r="470" hidden="1" outlineLevel="1">
      <c r="A470" s="14" t="inlineStr">
        <is>
          <t>cax</t>
        </is>
      </c>
      <c r="B470" s="14" t="inlineStr">
        <is>
          <t>nuc</t>
        </is>
      </c>
      <c r="C470" s="14" t="inlineStr">
        <is>
          <t>pow</t>
        </is>
      </c>
      <c r="D470" s="45">
        <f>INDEX(Inputs_power!$C$5:$C$13,MATCH($B470,Inputs_power!$A$5:$A$13,0))</f>
        <v/>
      </c>
      <c r="E470" s="39" t="n"/>
      <c r="F470" s="39" t="n"/>
      <c r="G470" s="39" t="n"/>
      <c r="H470" s="14">
        <f>INDEX(VarLab,MATCH($A470,VarKey,0))&amp;INDEX(MemLab,MATCH($C470&amp;"|"&amp;$B470,MemKey,0))</f>
        <v/>
      </c>
      <c r="I470" s="14">
        <f>INDEX(VarUnit,MATCH($A470,VarKey,0))</f>
        <v/>
      </c>
      <c r="J470" s="14">
        <f>INDEX(VarSrc,MATCH($A470,VarKey,0))</f>
        <v/>
      </c>
      <c r="K470" s="11">
        <f>CodePrefix&amp;$A470&amp;IF($C470="","","."&amp;$C470&amp;"."&amp;$B470)&amp;INDEX(VarEnd,MATCH($A470,VarKey,0))&amp;K$5</f>
        <v/>
      </c>
      <c r="L470" s="46">
        <f>$D470*L452</f>
        <v/>
      </c>
      <c r="M470" s="47">
        <f>$D470*M452</f>
        <v/>
      </c>
      <c r="N470" s="47">
        <f>$D470*N452</f>
        <v/>
      </c>
      <c r="O470" s="47">
        <f>$D470*O452</f>
        <v/>
      </c>
      <c r="P470" s="47">
        <f>$D470*P452</f>
        <v/>
      </c>
      <c r="Q470" s="47">
        <f>$D470*Q452</f>
        <v/>
      </c>
      <c r="R470" s="47">
        <f>$D470*R452</f>
        <v/>
      </c>
      <c r="S470" s="47">
        <f>$D470*S452</f>
        <v/>
      </c>
      <c r="T470" s="47">
        <f>$D470*T452</f>
        <v/>
      </c>
      <c r="U470" s="47">
        <f>$D470*U452</f>
        <v/>
      </c>
      <c r="V470" s="47">
        <f>$D470*V452</f>
        <v/>
      </c>
      <c r="W470" s="47">
        <f>$D470*W452</f>
        <v/>
      </c>
      <c r="X470" s="47">
        <f>$D470*X452</f>
        <v/>
      </c>
      <c r="Y470" s="47">
        <f>$D470*Y452</f>
        <v/>
      </c>
      <c r="Z470" s="47">
        <f>$D470*Z452</f>
        <v/>
      </c>
      <c r="AA470" s="47">
        <f>$D470*AA452</f>
        <v/>
      </c>
      <c r="AB470" s="47">
        <f>$D470*AB452</f>
        <v/>
      </c>
      <c r="AC470" s="47">
        <f>$D470*AC452</f>
        <v/>
      </c>
      <c r="AD470" s="47">
        <f>$D470*AD452</f>
        <v/>
      </c>
      <c r="AE470" s="48">
        <f>CAPEX($D470,AE452)</f>
        <v/>
      </c>
      <c r="AG470" s="11">
        <f>CodePrefix&amp;$A470&amp;IF($C470="","","."&amp;$C470&amp;"."&amp;$B470)&amp;INDEX(VarEnd,MATCH($A470,VarKey,0))&amp;AG$5</f>
        <v/>
      </c>
      <c r="AH470" s="46">
        <f>$D470*AH452</f>
        <v/>
      </c>
      <c r="AI470" s="47">
        <f>$D470*AI452</f>
        <v/>
      </c>
      <c r="AJ470" s="47">
        <f>$D470*AJ452</f>
        <v/>
      </c>
      <c r="AK470" s="47">
        <f>$D470*AK452</f>
        <v/>
      </c>
      <c r="AL470" s="47">
        <f>$D470*AL452</f>
        <v/>
      </c>
      <c r="AM470" s="47">
        <f>$D470*AM452</f>
        <v/>
      </c>
      <c r="AN470" s="47">
        <f>$D470*AN452</f>
        <v/>
      </c>
      <c r="AO470" s="47">
        <f>$D470*AO452</f>
        <v/>
      </c>
      <c r="AP470" s="47">
        <f>$D470*AP452</f>
        <v/>
      </c>
      <c r="AQ470" s="47">
        <f>$D470*AQ452</f>
        <v/>
      </c>
      <c r="AR470" s="47">
        <f>$D470*AR452</f>
        <v/>
      </c>
      <c r="AS470" s="47">
        <f>$D470*AS452</f>
        <v/>
      </c>
      <c r="AT470" s="47">
        <f>$D470*AT452</f>
        <v/>
      </c>
      <c r="AU470" s="47">
        <f>$D470*AU452</f>
        <v/>
      </c>
      <c r="AV470" s="47">
        <f>$D470*AV452</f>
        <v/>
      </c>
      <c r="AW470" s="47">
        <f>$D470*AW452</f>
        <v/>
      </c>
      <c r="AX470" s="47">
        <f>$D470*AX452</f>
        <v/>
      </c>
      <c r="AY470" s="47">
        <f>$D470*AY452</f>
        <v/>
      </c>
      <c r="AZ470" s="47">
        <f>$D470*AZ452</f>
        <v/>
      </c>
      <c r="BA470" s="48">
        <f>CAPEX($D470,BA452)</f>
        <v/>
      </c>
    </row>
    <row r="471" hidden="1" outlineLevel="1">
      <c r="A471" s="14" t="inlineStr">
        <is>
          <t>cax</t>
        </is>
      </c>
      <c r="B471" s="14" t="inlineStr">
        <is>
          <t>wnd</t>
        </is>
      </c>
      <c r="C471" s="14" t="inlineStr">
        <is>
          <t>pow</t>
        </is>
      </c>
      <c r="D471" s="45">
        <f>INDEX(Inputs_power!$C$5:$C$13,MATCH($B471,Inputs_power!$A$5:$A$13,0))</f>
        <v/>
      </c>
      <c r="E471" s="39" t="n"/>
      <c r="F471" s="39" t="n"/>
      <c r="G471" s="39" t="n"/>
      <c r="H471" s="14">
        <f>INDEX(VarLab,MATCH($A471,VarKey,0))&amp;INDEX(MemLab,MATCH($C471&amp;"|"&amp;$B471,MemKey,0))</f>
        <v/>
      </c>
      <c r="I471" s="14">
        <f>INDEX(VarUnit,MATCH($A471,VarKey,0))</f>
        <v/>
      </c>
      <c r="J471" s="14">
        <f>INDEX(VarSrc,MATCH($A471,VarKey,0))</f>
        <v/>
      </c>
      <c r="K471" s="11">
        <f>CodePrefix&amp;$A471&amp;IF($C471="","","."&amp;$C471&amp;"."&amp;$B471)&amp;INDEX(VarEnd,MATCH($A471,VarKey,0))&amp;K$5</f>
        <v/>
      </c>
      <c r="L471" s="46">
        <f>$D471*L453</f>
        <v/>
      </c>
      <c r="M471" s="47">
        <f>$D471*M453</f>
        <v/>
      </c>
      <c r="N471" s="47">
        <f>$D471*N453</f>
        <v/>
      </c>
      <c r="O471" s="47">
        <f>$D471*O453</f>
        <v/>
      </c>
      <c r="P471" s="47">
        <f>$D471*P453</f>
        <v/>
      </c>
      <c r="Q471" s="47">
        <f>$D471*Q453</f>
        <v/>
      </c>
      <c r="R471" s="47">
        <f>$D471*R453</f>
        <v/>
      </c>
      <c r="S471" s="47">
        <f>$D471*S453</f>
        <v/>
      </c>
      <c r="T471" s="47">
        <f>$D471*T453</f>
        <v/>
      </c>
      <c r="U471" s="47">
        <f>$D471*U453</f>
        <v/>
      </c>
      <c r="V471" s="47">
        <f>$D471*V453</f>
        <v/>
      </c>
      <c r="W471" s="47">
        <f>$D471*W453</f>
        <v/>
      </c>
      <c r="X471" s="47">
        <f>$D471*X453</f>
        <v/>
      </c>
      <c r="Y471" s="47">
        <f>$D471*Y453</f>
        <v/>
      </c>
      <c r="Z471" s="47">
        <f>$D471*Z453</f>
        <v/>
      </c>
      <c r="AA471" s="47">
        <f>$D471*AA453</f>
        <v/>
      </c>
      <c r="AB471" s="47">
        <f>$D471*AB453</f>
        <v/>
      </c>
      <c r="AC471" s="47">
        <f>$D471*AC453</f>
        <v/>
      </c>
      <c r="AD471" s="47">
        <f>$D471*AD453</f>
        <v/>
      </c>
      <c r="AE471" s="48">
        <f>CAPEX($D471,AE453)</f>
        <v/>
      </c>
      <c r="AG471" s="11">
        <f>CodePrefix&amp;$A471&amp;IF($C471="","","."&amp;$C471&amp;"."&amp;$B471)&amp;INDEX(VarEnd,MATCH($A471,VarKey,0))&amp;AG$5</f>
        <v/>
      </c>
      <c r="AH471" s="46">
        <f>$D471*AH453</f>
        <v/>
      </c>
      <c r="AI471" s="47">
        <f>$D471*AI453</f>
        <v/>
      </c>
      <c r="AJ471" s="47">
        <f>$D471*AJ453</f>
        <v/>
      </c>
      <c r="AK471" s="47">
        <f>$D471*AK453</f>
        <v/>
      </c>
      <c r="AL471" s="47">
        <f>$D471*AL453</f>
        <v/>
      </c>
      <c r="AM471" s="47">
        <f>$D471*AM453</f>
        <v/>
      </c>
      <c r="AN471" s="47">
        <f>$D471*AN453</f>
        <v/>
      </c>
      <c r="AO471" s="47">
        <f>$D471*AO453</f>
        <v/>
      </c>
      <c r="AP471" s="47">
        <f>$D471*AP453</f>
        <v/>
      </c>
      <c r="AQ471" s="47">
        <f>$D471*AQ453</f>
        <v/>
      </c>
      <c r="AR471" s="47">
        <f>$D471*AR453</f>
        <v/>
      </c>
      <c r="AS471" s="47">
        <f>$D471*AS453</f>
        <v/>
      </c>
      <c r="AT471" s="47">
        <f>$D471*AT453</f>
        <v/>
      </c>
      <c r="AU471" s="47">
        <f>$D471*AU453</f>
        <v/>
      </c>
      <c r="AV471" s="47">
        <f>$D471*AV453</f>
        <v/>
      </c>
      <c r="AW471" s="47">
        <f>$D471*AW453</f>
        <v/>
      </c>
      <c r="AX471" s="47">
        <f>$D471*AX453</f>
        <v/>
      </c>
      <c r="AY471" s="47">
        <f>$D471*AY453</f>
        <v/>
      </c>
      <c r="AZ471" s="47">
        <f>$D471*AZ453</f>
        <v/>
      </c>
      <c r="BA471" s="48">
        <f>CAPEX($D471,BA453)</f>
        <v/>
      </c>
    </row>
    <row r="472" hidden="1" outlineLevel="1">
      <c r="A472" s="14" t="inlineStr">
        <is>
          <t>cax</t>
        </is>
      </c>
      <c r="B472" s="14" t="inlineStr">
        <is>
          <t>sol</t>
        </is>
      </c>
      <c r="C472" s="14" t="inlineStr">
        <is>
          <t>pow</t>
        </is>
      </c>
      <c r="D472" s="45">
        <f>INDEX(Inputs_power!$C$5:$C$13,MATCH($B472,Inputs_power!$A$5:$A$13,0))</f>
        <v/>
      </c>
      <c r="E472" s="39" t="n"/>
      <c r="F472" s="39" t="n"/>
      <c r="G472" s="39" t="n"/>
      <c r="H472" s="14">
        <f>INDEX(VarLab,MATCH($A472,VarKey,0))&amp;INDEX(MemLab,MATCH($C472&amp;"|"&amp;$B472,MemKey,0))</f>
        <v/>
      </c>
      <c r="I472" s="14">
        <f>INDEX(VarUnit,MATCH($A472,VarKey,0))</f>
        <v/>
      </c>
      <c r="J472" s="14">
        <f>INDEX(VarSrc,MATCH($A472,VarKey,0))</f>
        <v/>
      </c>
      <c r="K472" s="11">
        <f>CodePrefix&amp;$A472&amp;IF($C472="","","."&amp;$C472&amp;"."&amp;$B472)&amp;INDEX(VarEnd,MATCH($A472,VarKey,0))&amp;K$5</f>
        <v/>
      </c>
      <c r="L472" s="46">
        <f>$D472*L454</f>
        <v/>
      </c>
      <c r="M472" s="47">
        <f>$D472*M454</f>
        <v/>
      </c>
      <c r="N472" s="47">
        <f>$D472*N454</f>
        <v/>
      </c>
      <c r="O472" s="47">
        <f>$D472*O454</f>
        <v/>
      </c>
      <c r="P472" s="47">
        <f>$D472*P454</f>
        <v/>
      </c>
      <c r="Q472" s="47">
        <f>$D472*Q454</f>
        <v/>
      </c>
      <c r="R472" s="47">
        <f>$D472*R454</f>
        <v/>
      </c>
      <c r="S472" s="47">
        <f>$D472*S454</f>
        <v/>
      </c>
      <c r="T472" s="47">
        <f>$D472*T454</f>
        <v/>
      </c>
      <c r="U472" s="47">
        <f>$D472*U454</f>
        <v/>
      </c>
      <c r="V472" s="47">
        <f>$D472*V454</f>
        <v/>
      </c>
      <c r="W472" s="47">
        <f>$D472*W454</f>
        <v/>
      </c>
      <c r="X472" s="47">
        <f>$D472*X454</f>
        <v/>
      </c>
      <c r="Y472" s="47">
        <f>$D472*Y454</f>
        <v/>
      </c>
      <c r="Z472" s="47">
        <f>$D472*Z454</f>
        <v/>
      </c>
      <c r="AA472" s="47">
        <f>$D472*AA454</f>
        <v/>
      </c>
      <c r="AB472" s="47">
        <f>$D472*AB454</f>
        <v/>
      </c>
      <c r="AC472" s="47">
        <f>$D472*AC454</f>
        <v/>
      </c>
      <c r="AD472" s="47">
        <f>$D472*AD454</f>
        <v/>
      </c>
      <c r="AE472" s="48">
        <f>CAPEX($D472,AE454)</f>
        <v/>
      </c>
      <c r="AG472" s="11">
        <f>CodePrefix&amp;$A472&amp;IF($C472="","","."&amp;$C472&amp;"."&amp;$B472)&amp;INDEX(VarEnd,MATCH($A472,VarKey,0))&amp;AG$5</f>
        <v/>
      </c>
      <c r="AH472" s="46">
        <f>$D472*AH454</f>
        <v/>
      </c>
      <c r="AI472" s="47">
        <f>$D472*AI454</f>
        <v/>
      </c>
      <c r="AJ472" s="47">
        <f>$D472*AJ454</f>
        <v/>
      </c>
      <c r="AK472" s="47">
        <f>$D472*AK454</f>
        <v/>
      </c>
      <c r="AL472" s="47">
        <f>$D472*AL454</f>
        <v/>
      </c>
      <c r="AM472" s="47">
        <f>$D472*AM454</f>
        <v/>
      </c>
      <c r="AN472" s="47">
        <f>$D472*AN454</f>
        <v/>
      </c>
      <c r="AO472" s="47">
        <f>$D472*AO454</f>
        <v/>
      </c>
      <c r="AP472" s="47">
        <f>$D472*AP454</f>
        <v/>
      </c>
      <c r="AQ472" s="47">
        <f>$D472*AQ454</f>
        <v/>
      </c>
      <c r="AR472" s="47">
        <f>$D472*AR454</f>
        <v/>
      </c>
      <c r="AS472" s="47">
        <f>$D472*AS454</f>
        <v/>
      </c>
      <c r="AT472" s="47">
        <f>$D472*AT454</f>
        <v/>
      </c>
      <c r="AU472" s="47">
        <f>$D472*AU454</f>
        <v/>
      </c>
      <c r="AV472" s="47">
        <f>$D472*AV454</f>
        <v/>
      </c>
      <c r="AW472" s="47">
        <f>$D472*AW454</f>
        <v/>
      </c>
      <c r="AX472" s="47">
        <f>$D472*AX454</f>
        <v/>
      </c>
      <c r="AY472" s="47">
        <f>$D472*AY454</f>
        <v/>
      </c>
      <c r="AZ472" s="47">
        <f>$D472*AZ454</f>
        <v/>
      </c>
      <c r="BA472" s="48">
        <f>CAPEX($D472,BA454)</f>
        <v/>
      </c>
    </row>
    <row r="473" hidden="1" outlineLevel="1">
      <c r="A473" s="14" t="inlineStr">
        <is>
          <t>cax</t>
        </is>
      </c>
      <c r="B473" s="14" t="inlineStr">
        <is>
          <t>hyd</t>
        </is>
      </c>
      <c r="C473" s="14" t="inlineStr">
        <is>
          <t>pow</t>
        </is>
      </c>
      <c r="D473" s="45">
        <f>INDEX(Inputs_power!$C$5:$C$13,MATCH($B473,Inputs_power!$A$5:$A$13,0))</f>
        <v/>
      </c>
      <c r="E473" s="39" t="n"/>
      <c r="F473" s="39" t="n"/>
      <c r="G473" s="39" t="n"/>
      <c r="H473" s="14">
        <f>INDEX(VarLab,MATCH($A473,VarKey,0))&amp;INDEX(MemLab,MATCH($C473&amp;"|"&amp;$B473,MemKey,0))</f>
        <v/>
      </c>
      <c r="I473" s="14">
        <f>INDEX(VarUnit,MATCH($A473,VarKey,0))</f>
        <v/>
      </c>
      <c r="J473" s="14">
        <f>INDEX(VarSrc,MATCH($A473,VarKey,0))</f>
        <v/>
      </c>
      <c r="K473" s="11">
        <f>CodePrefix&amp;$A473&amp;IF($C473="","","."&amp;$C473&amp;"."&amp;$B473)&amp;INDEX(VarEnd,MATCH($A473,VarKey,0))&amp;K$5</f>
        <v/>
      </c>
      <c r="L473" s="46">
        <f>$D473*L455</f>
        <v/>
      </c>
      <c r="M473" s="47">
        <f>$D473*M455</f>
        <v/>
      </c>
      <c r="N473" s="47">
        <f>$D473*N455</f>
        <v/>
      </c>
      <c r="O473" s="47">
        <f>$D473*O455</f>
        <v/>
      </c>
      <c r="P473" s="47">
        <f>$D473*P455</f>
        <v/>
      </c>
      <c r="Q473" s="47">
        <f>$D473*Q455</f>
        <v/>
      </c>
      <c r="R473" s="47">
        <f>$D473*R455</f>
        <v/>
      </c>
      <c r="S473" s="47">
        <f>$D473*S455</f>
        <v/>
      </c>
      <c r="T473" s="47">
        <f>$D473*T455</f>
        <v/>
      </c>
      <c r="U473" s="47">
        <f>$D473*U455</f>
        <v/>
      </c>
      <c r="V473" s="47">
        <f>$D473*V455</f>
        <v/>
      </c>
      <c r="W473" s="47">
        <f>$D473*W455</f>
        <v/>
      </c>
      <c r="X473" s="47">
        <f>$D473*X455</f>
        <v/>
      </c>
      <c r="Y473" s="47">
        <f>$D473*Y455</f>
        <v/>
      </c>
      <c r="Z473" s="47">
        <f>$D473*Z455</f>
        <v/>
      </c>
      <c r="AA473" s="47">
        <f>$D473*AA455</f>
        <v/>
      </c>
      <c r="AB473" s="47">
        <f>$D473*AB455</f>
        <v/>
      </c>
      <c r="AC473" s="47">
        <f>$D473*AC455</f>
        <v/>
      </c>
      <c r="AD473" s="47">
        <f>$D473*AD455</f>
        <v/>
      </c>
      <c r="AE473" s="48">
        <f>CAPEX($D473,AE455)</f>
        <v/>
      </c>
      <c r="AG473" s="11">
        <f>CodePrefix&amp;$A473&amp;IF($C473="","","."&amp;$C473&amp;"."&amp;$B473)&amp;INDEX(VarEnd,MATCH($A473,VarKey,0))&amp;AG$5</f>
        <v/>
      </c>
      <c r="AH473" s="46">
        <f>$D473*AH455</f>
        <v/>
      </c>
      <c r="AI473" s="47">
        <f>$D473*AI455</f>
        <v/>
      </c>
      <c r="AJ473" s="47">
        <f>$D473*AJ455</f>
        <v/>
      </c>
      <c r="AK473" s="47">
        <f>$D473*AK455</f>
        <v/>
      </c>
      <c r="AL473" s="47">
        <f>$D473*AL455</f>
        <v/>
      </c>
      <c r="AM473" s="47">
        <f>$D473*AM455</f>
        <v/>
      </c>
      <c r="AN473" s="47">
        <f>$D473*AN455</f>
        <v/>
      </c>
      <c r="AO473" s="47">
        <f>$D473*AO455</f>
        <v/>
      </c>
      <c r="AP473" s="47">
        <f>$D473*AP455</f>
        <v/>
      </c>
      <c r="AQ473" s="47">
        <f>$D473*AQ455</f>
        <v/>
      </c>
      <c r="AR473" s="47">
        <f>$D473*AR455</f>
        <v/>
      </c>
      <c r="AS473" s="47">
        <f>$D473*AS455</f>
        <v/>
      </c>
      <c r="AT473" s="47">
        <f>$D473*AT455</f>
        <v/>
      </c>
      <c r="AU473" s="47">
        <f>$D473*AU455</f>
        <v/>
      </c>
      <c r="AV473" s="47">
        <f>$D473*AV455</f>
        <v/>
      </c>
      <c r="AW473" s="47">
        <f>$D473*AW455</f>
        <v/>
      </c>
      <c r="AX473" s="47">
        <f>$D473*AX455</f>
        <v/>
      </c>
      <c r="AY473" s="47">
        <f>$D473*AY455</f>
        <v/>
      </c>
      <c r="AZ473" s="47">
        <f>$D473*AZ455</f>
        <v/>
      </c>
      <c r="BA473" s="48">
        <f>CAPEX($D473,BA455)</f>
        <v/>
      </c>
    </row>
    <row r="474" hidden="1" outlineLevel="1">
      <c r="A474" s="14" t="inlineStr">
        <is>
          <t>cax</t>
        </is>
      </c>
      <c r="B474" s="14" t="inlineStr">
        <is>
          <t>ore</t>
        </is>
      </c>
      <c r="C474" s="14" t="inlineStr">
        <is>
          <t>pow</t>
        </is>
      </c>
      <c r="D474" s="45">
        <f>INDEX(Inputs_power!$C$5:$C$13,MATCH($B474,Inputs_power!$A$5:$A$13,0))</f>
        <v/>
      </c>
      <c r="E474" s="39" t="n"/>
      <c r="F474" s="39" t="n"/>
      <c r="G474" s="39" t="n"/>
      <c r="H474" s="14">
        <f>INDEX(VarLab,MATCH($A474,VarKey,0))&amp;INDEX(MemLab,MATCH($C474&amp;"|"&amp;$B474,MemKey,0))</f>
        <v/>
      </c>
      <c r="I474" s="14">
        <f>INDEX(VarUnit,MATCH($A474,VarKey,0))</f>
        <v/>
      </c>
      <c r="J474" s="14">
        <f>INDEX(VarSrc,MATCH($A474,VarKey,0))</f>
        <v/>
      </c>
      <c r="K474" s="11">
        <f>CodePrefix&amp;$A474&amp;IF($C474="","","."&amp;$C474&amp;"."&amp;$B474)&amp;INDEX(VarEnd,MATCH($A474,VarKey,0))&amp;K$5</f>
        <v/>
      </c>
      <c r="L474" s="46">
        <f>$D474*L456</f>
        <v/>
      </c>
      <c r="M474" s="47">
        <f>$D474*M456</f>
        <v/>
      </c>
      <c r="N474" s="47">
        <f>$D474*N456</f>
        <v/>
      </c>
      <c r="O474" s="47">
        <f>$D474*O456</f>
        <v/>
      </c>
      <c r="P474" s="47">
        <f>$D474*P456</f>
        <v/>
      </c>
      <c r="Q474" s="47">
        <f>$D474*Q456</f>
        <v/>
      </c>
      <c r="R474" s="47">
        <f>$D474*R456</f>
        <v/>
      </c>
      <c r="S474" s="47">
        <f>$D474*S456</f>
        <v/>
      </c>
      <c r="T474" s="47">
        <f>$D474*T456</f>
        <v/>
      </c>
      <c r="U474" s="47">
        <f>$D474*U456</f>
        <v/>
      </c>
      <c r="V474" s="47">
        <f>$D474*V456</f>
        <v/>
      </c>
      <c r="W474" s="47">
        <f>$D474*W456</f>
        <v/>
      </c>
      <c r="X474" s="47">
        <f>$D474*X456</f>
        <v/>
      </c>
      <c r="Y474" s="47">
        <f>$D474*Y456</f>
        <v/>
      </c>
      <c r="Z474" s="47">
        <f>$D474*Z456</f>
        <v/>
      </c>
      <c r="AA474" s="47">
        <f>$D474*AA456</f>
        <v/>
      </c>
      <c r="AB474" s="47">
        <f>$D474*AB456</f>
        <v/>
      </c>
      <c r="AC474" s="47">
        <f>$D474*AC456</f>
        <v/>
      </c>
      <c r="AD474" s="47">
        <f>$D474*AD456</f>
        <v/>
      </c>
      <c r="AE474" s="48">
        <f>CAPEX($D474,AE456)</f>
        <v/>
      </c>
      <c r="AG474" s="11">
        <f>CodePrefix&amp;$A474&amp;IF($C474="","","."&amp;$C474&amp;"."&amp;$B474)&amp;INDEX(VarEnd,MATCH($A474,VarKey,0))&amp;AG$5</f>
        <v/>
      </c>
      <c r="AH474" s="46">
        <f>$D474*AH456</f>
        <v/>
      </c>
      <c r="AI474" s="47">
        <f>$D474*AI456</f>
        <v/>
      </c>
      <c r="AJ474" s="47">
        <f>$D474*AJ456</f>
        <v/>
      </c>
      <c r="AK474" s="47">
        <f>$D474*AK456</f>
        <v/>
      </c>
      <c r="AL474" s="47">
        <f>$D474*AL456</f>
        <v/>
      </c>
      <c r="AM474" s="47">
        <f>$D474*AM456</f>
        <v/>
      </c>
      <c r="AN474" s="47">
        <f>$D474*AN456</f>
        <v/>
      </c>
      <c r="AO474" s="47">
        <f>$D474*AO456</f>
        <v/>
      </c>
      <c r="AP474" s="47">
        <f>$D474*AP456</f>
        <v/>
      </c>
      <c r="AQ474" s="47">
        <f>$D474*AQ456</f>
        <v/>
      </c>
      <c r="AR474" s="47">
        <f>$D474*AR456</f>
        <v/>
      </c>
      <c r="AS474" s="47">
        <f>$D474*AS456</f>
        <v/>
      </c>
      <c r="AT474" s="47">
        <f>$D474*AT456</f>
        <v/>
      </c>
      <c r="AU474" s="47">
        <f>$D474*AU456</f>
        <v/>
      </c>
      <c r="AV474" s="47">
        <f>$D474*AV456</f>
        <v/>
      </c>
      <c r="AW474" s="47">
        <f>$D474*AW456</f>
        <v/>
      </c>
      <c r="AX474" s="47">
        <f>$D474*AX456</f>
        <v/>
      </c>
      <c r="AY474" s="47">
        <f>$D474*AY456</f>
        <v/>
      </c>
      <c r="AZ474" s="47">
        <f>$D474*AZ456</f>
        <v/>
      </c>
      <c r="BA474" s="48">
        <f>CAPEX($D474,BA456)</f>
        <v/>
      </c>
    </row>
    <row r="475" hidden="1" outlineLevel="1">
      <c r="A475" s="14" t="inlineStr">
        <is>
          <t>cax</t>
        </is>
      </c>
      <c r="B475" s="14" t="inlineStr">
        <is>
          <t>bio</t>
        </is>
      </c>
      <c r="C475" s="14" t="inlineStr">
        <is>
          <t>pow</t>
        </is>
      </c>
      <c r="D475" s="45">
        <f>INDEX(Inputs_power!$C$5:$C$13,MATCH($B475,Inputs_power!$A$5:$A$13,0))</f>
        <v/>
      </c>
      <c r="E475" s="39" t="n"/>
      <c r="F475" s="39" t="n"/>
      <c r="G475" s="39" t="n"/>
      <c r="H475" s="14">
        <f>INDEX(VarLab,MATCH($A475,VarKey,0))&amp;INDEX(MemLab,MATCH($C475&amp;"|"&amp;$B475,MemKey,0))</f>
        <v/>
      </c>
      <c r="I475" s="14">
        <f>INDEX(VarUnit,MATCH($A475,VarKey,0))</f>
        <v/>
      </c>
      <c r="J475" s="14">
        <f>INDEX(VarSrc,MATCH($A475,VarKey,0))</f>
        <v/>
      </c>
      <c r="K475" s="11">
        <f>CodePrefix&amp;$A475&amp;IF($C475="","","."&amp;$C475&amp;"."&amp;$B475)&amp;INDEX(VarEnd,MATCH($A475,VarKey,0))&amp;K$5</f>
        <v/>
      </c>
      <c r="L475" s="46">
        <f>$D475*L457</f>
        <v/>
      </c>
      <c r="M475" s="47">
        <f>$D475*M457</f>
        <v/>
      </c>
      <c r="N475" s="47">
        <f>$D475*N457</f>
        <v/>
      </c>
      <c r="O475" s="47">
        <f>$D475*O457</f>
        <v/>
      </c>
      <c r="P475" s="47">
        <f>$D475*P457</f>
        <v/>
      </c>
      <c r="Q475" s="47">
        <f>$D475*Q457</f>
        <v/>
      </c>
      <c r="R475" s="47">
        <f>$D475*R457</f>
        <v/>
      </c>
      <c r="S475" s="47">
        <f>$D475*S457</f>
        <v/>
      </c>
      <c r="T475" s="47">
        <f>$D475*T457</f>
        <v/>
      </c>
      <c r="U475" s="47">
        <f>$D475*U457</f>
        <v/>
      </c>
      <c r="V475" s="47">
        <f>$D475*V457</f>
        <v/>
      </c>
      <c r="W475" s="47">
        <f>$D475*W457</f>
        <v/>
      </c>
      <c r="X475" s="47">
        <f>$D475*X457</f>
        <v/>
      </c>
      <c r="Y475" s="47">
        <f>$D475*Y457</f>
        <v/>
      </c>
      <c r="Z475" s="47">
        <f>$D475*Z457</f>
        <v/>
      </c>
      <c r="AA475" s="47">
        <f>$D475*AA457</f>
        <v/>
      </c>
      <c r="AB475" s="47">
        <f>$D475*AB457</f>
        <v/>
      </c>
      <c r="AC475" s="47">
        <f>$D475*AC457</f>
        <v/>
      </c>
      <c r="AD475" s="47">
        <f>$D475*AD457</f>
        <v/>
      </c>
      <c r="AE475" s="48">
        <f>CAPEX($D475,AE457)</f>
        <v/>
      </c>
      <c r="AG475" s="11">
        <f>CodePrefix&amp;$A475&amp;IF($C475="","","."&amp;$C475&amp;"."&amp;$B475)&amp;INDEX(VarEnd,MATCH($A475,VarKey,0))&amp;AG$5</f>
        <v/>
      </c>
      <c r="AH475" s="46">
        <f>$D475*AH457</f>
        <v/>
      </c>
      <c r="AI475" s="47">
        <f>$D475*AI457</f>
        <v/>
      </c>
      <c r="AJ475" s="47">
        <f>$D475*AJ457</f>
        <v/>
      </c>
      <c r="AK475" s="47">
        <f>$D475*AK457</f>
        <v/>
      </c>
      <c r="AL475" s="47">
        <f>$D475*AL457</f>
        <v/>
      </c>
      <c r="AM475" s="47">
        <f>$D475*AM457</f>
        <v/>
      </c>
      <c r="AN475" s="47">
        <f>$D475*AN457</f>
        <v/>
      </c>
      <c r="AO475" s="47">
        <f>$D475*AO457</f>
        <v/>
      </c>
      <c r="AP475" s="47">
        <f>$D475*AP457</f>
        <v/>
      </c>
      <c r="AQ475" s="47">
        <f>$D475*AQ457</f>
        <v/>
      </c>
      <c r="AR475" s="47">
        <f>$D475*AR457</f>
        <v/>
      </c>
      <c r="AS475" s="47">
        <f>$D475*AS457</f>
        <v/>
      </c>
      <c r="AT475" s="47">
        <f>$D475*AT457</f>
        <v/>
      </c>
      <c r="AU475" s="47">
        <f>$D475*AU457</f>
        <v/>
      </c>
      <c r="AV475" s="47">
        <f>$D475*AV457</f>
        <v/>
      </c>
      <c r="AW475" s="47">
        <f>$D475*AW457</f>
        <v/>
      </c>
      <c r="AX475" s="47">
        <f>$D475*AX457</f>
        <v/>
      </c>
      <c r="AY475" s="47">
        <f>$D475*AY457</f>
        <v/>
      </c>
      <c r="AZ475" s="47">
        <f>$D475*AZ457</f>
        <v/>
      </c>
      <c r="BA475" s="48">
        <f>CAPEX($D475,BA457)</f>
        <v/>
      </c>
    </row>
    <row r="476" hidden="1" outlineLevel="1"/>
    <row r="477" hidden="1" outlineLevel="1">
      <c r="A477" s="14" t="inlineStr">
        <is>
          <t>caxav</t>
        </is>
      </c>
      <c r="B477" s="14" t="inlineStr">
        <is>
          <t>coa</t>
        </is>
      </c>
      <c r="C477" s="14" t="inlineStr">
        <is>
          <t>pow</t>
        </is>
      </c>
      <c r="D477" s="39" t="n"/>
      <c r="E477" s="39" t="n"/>
      <c r="F477" s="39" t="n"/>
      <c r="G477" s="39" t="n"/>
      <c r="H477" s="14">
        <f>INDEX(VarLab,MATCH($A477,VarKey,0))&amp;INDEX(MemLab,MATCH($C477&amp;"|"&amp;$B477,MemKey,0))</f>
        <v/>
      </c>
      <c r="I477" s="14">
        <f>INDEX(VarUnit,MATCH($A477,VarKey,0))</f>
        <v/>
      </c>
      <c r="J477" s="14">
        <f>INDEX(VarSrc,MATCH($A477,VarKey,0))</f>
        <v/>
      </c>
      <c r="K477" s="11">
        <f>CodePrefix&amp;$A477&amp;IF($C477="","","."&amp;$C477&amp;"."&amp;$B477)&amp;INDEX(VarEnd,MATCH($A477,VarKey,0))&amp;K$5</f>
        <v/>
      </c>
      <c r="L477" s="46">
        <f>L467</f>
        <v/>
      </c>
      <c r="M477" s="47">
        <f>L477*(1-L939)+L467*L939</f>
        <v/>
      </c>
      <c r="N477" s="47">
        <f>M477*(1-M939)+M467*M939</f>
        <v/>
      </c>
      <c r="O477" s="47">
        <f>N477*(1-N939)+N467*N939</f>
        <v/>
      </c>
      <c r="P477" s="47">
        <f>O477*(1-O939)+O467*O939</f>
        <v/>
      </c>
      <c r="Q477" s="47">
        <f>P477*(1-P939)+P467*P939</f>
        <v/>
      </c>
      <c r="R477" s="47">
        <f>Q477*(1-Q939)+Q467*Q939</f>
        <v/>
      </c>
      <c r="S477" s="47">
        <f>R477*(1-R939)+R467*R939</f>
        <v/>
      </c>
      <c r="T477" s="47">
        <f>S477*(1-S939)+S467*S939</f>
        <v/>
      </c>
      <c r="U477" s="47">
        <f>T477*(1-T939)+T467*T939</f>
        <v/>
      </c>
      <c r="V477" s="47">
        <f>U477*(1-U939)+U467*U939</f>
        <v/>
      </c>
      <c r="W477" s="47">
        <f>V477*(1-V939)+V467*V939</f>
        <v/>
      </c>
      <c r="X477" s="47">
        <f>W477*(1-W939)+W467*W939</f>
        <v/>
      </c>
      <c r="Y477" s="47">
        <f>X477*(1-X939)+X467*X939</f>
        <v/>
      </c>
      <c r="Z477" s="47">
        <f>Y477*(1-Y939)+Y467*Y939</f>
        <v/>
      </c>
      <c r="AA477" s="47">
        <f>Z477*(1-Z939)+Z467*Z939</f>
        <v/>
      </c>
      <c r="AB477" s="47">
        <f>AA477*(1-AA939)+AA467*AA939</f>
        <v/>
      </c>
      <c r="AC477" s="47">
        <f>AB477*(1-AB939)+AB467*AB939</f>
        <v/>
      </c>
      <c r="AD477" s="47">
        <f>AC477*(1-AC939)+AC467*AC939</f>
        <v/>
      </c>
      <c r="AE477" s="48">
        <f>VINTAGE(AD477,AD467,AD939)</f>
        <v/>
      </c>
      <c r="AG477" s="11">
        <f>CodePrefix&amp;$A477&amp;IF($C477="","","."&amp;$C477&amp;"."&amp;$B477)&amp;INDEX(VarEnd,MATCH($A477,VarKey,0))&amp;AG$5</f>
        <v/>
      </c>
      <c r="AH477" s="46">
        <f>AH467</f>
        <v/>
      </c>
      <c r="AI477" s="47">
        <f>AH477*(1-AH939)+AH467*AH939</f>
        <v/>
      </c>
      <c r="AJ477" s="47">
        <f>AI477*(1-AI939)+AI467*AI939</f>
        <v/>
      </c>
      <c r="AK477" s="47">
        <f>AJ477*(1-AJ939)+AJ467*AJ939</f>
        <v/>
      </c>
      <c r="AL477" s="47">
        <f>AK477*(1-AK939)+AK467*AK939</f>
        <v/>
      </c>
      <c r="AM477" s="47">
        <f>AL477*(1-AL939)+AL467*AL939</f>
        <v/>
      </c>
      <c r="AN477" s="47">
        <f>AM477*(1-AM939)+AM467*AM939</f>
        <v/>
      </c>
      <c r="AO477" s="47">
        <f>AN477*(1-AN939)+AN467*AN939</f>
        <v/>
      </c>
      <c r="AP477" s="47">
        <f>AO477*(1-AO939)+AO467*AO939</f>
        <v/>
      </c>
      <c r="AQ477" s="47">
        <f>AP477*(1-AP939)+AP467*AP939</f>
        <v/>
      </c>
      <c r="AR477" s="47">
        <f>AQ477*(1-AQ939)+AQ467*AQ939</f>
        <v/>
      </c>
      <c r="AS477" s="47">
        <f>AR477*(1-AR939)+AR467*AR939</f>
        <v/>
      </c>
      <c r="AT477" s="47">
        <f>AS477*(1-AS939)+AS467*AS939</f>
        <v/>
      </c>
      <c r="AU477" s="47">
        <f>AT477*(1-AT939)+AT467*AT939</f>
        <v/>
      </c>
      <c r="AV477" s="47">
        <f>AU477*(1-AU939)+AU467*AU939</f>
        <v/>
      </c>
      <c r="AW477" s="47">
        <f>AV477*(1-AV939)+AV467*AV939</f>
        <v/>
      </c>
      <c r="AX477" s="47">
        <f>AW477*(1-AW939)+AW467*AW939</f>
        <v/>
      </c>
      <c r="AY477" s="47">
        <f>AX477*(1-AX939)+AX467*AX939</f>
        <v/>
      </c>
      <c r="AZ477" s="47">
        <f>AY477*(1-AY939)+AY467*AY939</f>
        <v/>
      </c>
      <c r="BA477" s="48">
        <f>VINTAGE(AZ477,AZ467,AZ939)</f>
        <v/>
      </c>
    </row>
    <row r="478" hidden="1" outlineLevel="1">
      <c r="A478" s="14" t="inlineStr">
        <is>
          <t>caxav</t>
        </is>
      </c>
      <c r="B478" s="14" t="inlineStr">
        <is>
          <t>nga</t>
        </is>
      </c>
      <c r="C478" s="14" t="inlineStr">
        <is>
          <t>pow</t>
        </is>
      </c>
      <c r="D478" s="39" t="n"/>
      <c r="E478" s="39" t="n"/>
      <c r="F478" s="39" t="n"/>
      <c r="G478" s="39" t="n"/>
      <c r="H478" s="14">
        <f>INDEX(VarLab,MATCH($A478,VarKey,0))&amp;INDEX(MemLab,MATCH($C478&amp;"|"&amp;$B478,MemKey,0))</f>
        <v/>
      </c>
      <c r="I478" s="14">
        <f>INDEX(VarUnit,MATCH($A478,VarKey,0))</f>
        <v/>
      </c>
      <c r="J478" s="14">
        <f>INDEX(VarSrc,MATCH($A478,VarKey,0))</f>
        <v/>
      </c>
      <c r="K478" s="11">
        <f>CodePrefix&amp;$A478&amp;IF($C478="","","."&amp;$C478&amp;"."&amp;$B478)&amp;INDEX(VarEnd,MATCH($A478,VarKey,0))&amp;K$5</f>
        <v/>
      </c>
      <c r="L478" s="46">
        <f>L468</f>
        <v/>
      </c>
      <c r="M478" s="47">
        <f>L478*(1-L940)+L468*L940</f>
        <v/>
      </c>
      <c r="N478" s="47">
        <f>M478*(1-M940)+M468*M940</f>
        <v/>
      </c>
      <c r="O478" s="47">
        <f>N478*(1-N940)+N468*N940</f>
        <v/>
      </c>
      <c r="P478" s="47">
        <f>O478*(1-O940)+O468*O940</f>
        <v/>
      </c>
      <c r="Q478" s="47">
        <f>P478*(1-P940)+P468*P940</f>
        <v/>
      </c>
      <c r="R478" s="47">
        <f>Q478*(1-Q940)+Q468*Q940</f>
        <v/>
      </c>
      <c r="S478" s="47">
        <f>R478*(1-R940)+R468*R940</f>
        <v/>
      </c>
      <c r="T478" s="47">
        <f>S478*(1-S940)+S468*S940</f>
        <v/>
      </c>
      <c r="U478" s="47">
        <f>T478*(1-T940)+T468*T940</f>
        <v/>
      </c>
      <c r="V478" s="47">
        <f>U478*(1-U940)+U468*U940</f>
        <v/>
      </c>
      <c r="W478" s="47">
        <f>V478*(1-V940)+V468*V940</f>
        <v/>
      </c>
      <c r="X478" s="47">
        <f>W478*(1-W940)+W468*W940</f>
        <v/>
      </c>
      <c r="Y478" s="47">
        <f>X478*(1-X940)+X468*X940</f>
        <v/>
      </c>
      <c r="Z478" s="47">
        <f>Y478*(1-Y940)+Y468*Y940</f>
        <v/>
      </c>
      <c r="AA478" s="47">
        <f>Z478*(1-Z940)+Z468*Z940</f>
        <v/>
      </c>
      <c r="AB478" s="47">
        <f>AA478*(1-AA940)+AA468*AA940</f>
        <v/>
      </c>
      <c r="AC478" s="47">
        <f>AB478*(1-AB940)+AB468*AB940</f>
        <v/>
      </c>
      <c r="AD478" s="47">
        <f>AC478*(1-AC940)+AC468*AC940</f>
        <v/>
      </c>
      <c r="AE478" s="48">
        <f>VINTAGE(AD478,AD468,AD940)</f>
        <v/>
      </c>
      <c r="AG478" s="11">
        <f>CodePrefix&amp;$A478&amp;IF($C478="","","."&amp;$C478&amp;"."&amp;$B478)&amp;INDEX(VarEnd,MATCH($A478,VarKey,0))&amp;AG$5</f>
        <v/>
      </c>
      <c r="AH478" s="46">
        <f>AH468</f>
        <v/>
      </c>
      <c r="AI478" s="47">
        <f>AH478*(1-AH940)+AH468*AH940</f>
        <v/>
      </c>
      <c r="AJ478" s="47">
        <f>AI478*(1-AI940)+AI468*AI940</f>
        <v/>
      </c>
      <c r="AK478" s="47">
        <f>AJ478*(1-AJ940)+AJ468*AJ940</f>
        <v/>
      </c>
      <c r="AL478" s="47">
        <f>AK478*(1-AK940)+AK468*AK940</f>
        <v/>
      </c>
      <c r="AM478" s="47">
        <f>AL478*(1-AL940)+AL468*AL940</f>
        <v/>
      </c>
      <c r="AN478" s="47">
        <f>AM478*(1-AM940)+AM468*AM940</f>
        <v/>
      </c>
      <c r="AO478" s="47">
        <f>AN478*(1-AN940)+AN468*AN940</f>
        <v/>
      </c>
      <c r="AP478" s="47">
        <f>AO478*(1-AO940)+AO468*AO940</f>
        <v/>
      </c>
      <c r="AQ478" s="47">
        <f>AP478*(1-AP940)+AP468*AP940</f>
        <v/>
      </c>
      <c r="AR478" s="47">
        <f>AQ478*(1-AQ940)+AQ468*AQ940</f>
        <v/>
      </c>
      <c r="AS478" s="47">
        <f>AR478*(1-AR940)+AR468*AR940</f>
        <v/>
      </c>
      <c r="AT478" s="47">
        <f>AS478*(1-AS940)+AS468*AS940</f>
        <v/>
      </c>
      <c r="AU478" s="47">
        <f>AT478*(1-AT940)+AT468*AT940</f>
        <v/>
      </c>
      <c r="AV478" s="47">
        <f>AU478*(1-AU940)+AU468*AU940</f>
        <v/>
      </c>
      <c r="AW478" s="47">
        <f>AV478*(1-AV940)+AV468*AV940</f>
        <v/>
      </c>
      <c r="AX478" s="47">
        <f>AW478*(1-AW940)+AW468*AW940</f>
        <v/>
      </c>
      <c r="AY478" s="47">
        <f>AX478*(1-AX940)+AX468*AX940</f>
        <v/>
      </c>
      <c r="AZ478" s="47">
        <f>AY478*(1-AY940)+AY468*AY940</f>
        <v/>
      </c>
      <c r="BA478" s="48">
        <f>VINTAGE(AZ478,AZ468,AZ940)</f>
        <v/>
      </c>
    </row>
    <row r="479" hidden="1" outlineLevel="1">
      <c r="A479" s="14" t="inlineStr">
        <is>
          <t>caxav</t>
        </is>
      </c>
      <c r="B479" s="14" t="inlineStr">
        <is>
          <t>oop</t>
        </is>
      </c>
      <c r="C479" s="14" t="inlineStr">
        <is>
          <t>pow</t>
        </is>
      </c>
      <c r="D479" s="39" t="n"/>
      <c r="E479" s="39" t="n"/>
      <c r="F479" s="39" t="n"/>
      <c r="G479" s="39" t="n"/>
      <c r="H479" s="14">
        <f>INDEX(VarLab,MATCH($A479,VarKey,0))&amp;INDEX(MemLab,MATCH($C479&amp;"|"&amp;$B479,MemKey,0))</f>
        <v/>
      </c>
      <c r="I479" s="14">
        <f>INDEX(VarUnit,MATCH($A479,VarKey,0))</f>
        <v/>
      </c>
      <c r="J479" s="14">
        <f>INDEX(VarSrc,MATCH($A479,VarKey,0))</f>
        <v/>
      </c>
      <c r="K479" s="11">
        <f>CodePrefix&amp;$A479&amp;IF($C479="","","."&amp;$C479&amp;"."&amp;$B479)&amp;INDEX(VarEnd,MATCH($A479,VarKey,0))&amp;K$5</f>
        <v/>
      </c>
      <c r="L479" s="46">
        <f>L469</f>
        <v/>
      </c>
      <c r="M479" s="47">
        <f>L479*(1-L941)+L469*L941</f>
        <v/>
      </c>
      <c r="N479" s="47">
        <f>M479*(1-M941)+M469*M941</f>
        <v/>
      </c>
      <c r="O479" s="47">
        <f>N479*(1-N941)+N469*N941</f>
        <v/>
      </c>
      <c r="P479" s="47">
        <f>O479*(1-O941)+O469*O941</f>
        <v/>
      </c>
      <c r="Q479" s="47">
        <f>P479*(1-P941)+P469*P941</f>
        <v/>
      </c>
      <c r="R479" s="47">
        <f>Q479*(1-Q941)+Q469*Q941</f>
        <v/>
      </c>
      <c r="S479" s="47">
        <f>R479*(1-R941)+R469*R941</f>
        <v/>
      </c>
      <c r="T479" s="47">
        <f>S479*(1-S941)+S469*S941</f>
        <v/>
      </c>
      <c r="U479" s="47">
        <f>T479*(1-T941)+T469*T941</f>
        <v/>
      </c>
      <c r="V479" s="47">
        <f>U479*(1-U941)+U469*U941</f>
        <v/>
      </c>
      <c r="W479" s="47">
        <f>V479*(1-V941)+V469*V941</f>
        <v/>
      </c>
      <c r="X479" s="47">
        <f>W479*(1-W941)+W469*W941</f>
        <v/>
      </c>
      <c r="Y479" s="47">
        <f>X479*(1-X941)+X469*X941</f>
        <v/>
      </c>
      <c r="Z479" s="47">
        <f>Y479*(1-Y941)+Y469*Y941</f>
        <v/>
      </c>
      <c r="AA479" s="47">
        <f>Z479*(1-Z941)+Z469*Z941</f>
        <v/>
      </c>
      <c r="AB479" s="47">
        <f>AA479*(1-AA941)+AA469*AA941</f>
        <v/>
      </c>
      <c r="AC479" s="47">
        <f>AB479*(1-AB941)+AB469*AB941</f>
        <v/>
      </c>
      <c r="AD479" s="47">
        <f>AC479*(1-AC941)+AC469*AC941</f>
        <v/>
      </c>
      <c r="AE479" s="48">
        <f>VINTAGE(AD479,AD469,AD941)</f>
        <v/>
      </c>
      <c r="AG479" s="11">
        <f>CodePrefix&amp;$A479&amp;IF($C479="","","."&amp;$C479&amp;"."&amp;$B479)&amp;INDEX(VarEnd,MATCH($A479,VarKey,0))&amp;AG$5</f>
        <v/>
      </c>
      <c r="AH479" s="46">
        <f>AH469</f>
        <v/>
      </c>
      <c r="AI479" s="47">
        <f>AH479*(1-AH941)+AH469*AH941</f>
        <v/>
      </c>
      <c r="AJ479" s="47">
        <f>AI479*(1-AI941)+AI469*AI941</f>
        <v/>
      </c>
      <c r="AK479" s="47">
        <f>AJ479*(1-AJ941)+AJ469*AJ941</f>
        <v/>
      </c>
      <c r="AL479" s="47">
        <f>AK479*(1-AK941)+AK469*AK941</f>
        <v/>
      </c>
      <c r="AM479" s="47">
        <f>AL479*(1-AL941)+AL469*AL941</f>
        <v/>
      </c>
      <c r="AN479" s="47">
        <f>AM479*(1-AM941)+AM469*AM941</f>
        <v/>
      </c>
      <c r="AO479" s="47">
        <f>AN479*(1-AN941)+AN469*AN941</f>
        <v/>
      </c>
      <c r="AP479" s="47">
        <f>AO479*(1-AO941)+AO469*AO941</f>
        <v/>
      </c>
      <c r="AQ479" s="47">
        <f>AP479*(1-AP941)+AP469*AP941</f>
        <v/>
      </c>
      <c r="AR479" s="47">
        <f>AQ479*(1-AQ941)+AQ469*AQ941</f>
        <v/>
      </c>
      <c r="AS479" s="47">
        <f>AR479*(1-AR941)+AR469*AR941</f>
        <v/>
      </c>
      <c r="AT479" s="47">
        <f>AS479*(1-AS941)+AS469*AS941</f>
        <v/>
      </c>
      <c r="AU479" s="47">
        <f>AT479*(1-AT941)+AT469*AT941</f>
        <v/>
      </c>
      <c r="AV479" s="47">
        <f>AU479*(1-AU941)+AU469*AU941</f>
        <v/>
      </c>
      <c r="AW479" s="47">
        <f>AV479*(1-AV941)+AV469*AV941</f>
        <v/>
      </c>
      <c r="AX479" s="47">
        <f>AW479*(1-AW941)+AW469*AW941</f>
        <v/>
      </c>
      <c r="AY479" s="47">
        <f>AX479*(1-AX941)+AX469*AX941</f>
        <v/>
      </c>
      <c r="AZ479" s="47">
        <f>AY479*(1-AY941)+AY469*AY941</f>
        <v/>
      </c>
      <c r="BA479" s="48">
        <f>VINTAGE(AZ479,AZ469,AZ941)</f>
        <v/>
      </c>
    </row>
    <row r="480" hidden="1" outlineLevel="1">
      <c r="A480" s="14" t="inlineStr">
        <is>
          <t>caxav</t>
        </is>
      </c>
      <c r="B480" s="14" t="inlineStr">
        <is>
          <t>nuc</t>
        </is>
      </c>
      <c r="C480" s="14" t="inlineStr">
        <is>
          <t>pow</t>
        </is>
      </c>
      <c r="D480" s="39" t="n"/>
      <c r="E480" s="39" t="n"/>
      <c r="F480" s="39" t="n"/>
      <c r="G480" s="39" t="n"/>
      <c r="H480" s="14">
        <f>INDEX(VarLab,MATCH($A480,VarKey,0))&amp;INDEX(MemLab,MATCH($C480&amp;"|"&amp;$B480,MemKey,0))</f>
        <v/>
      </c>
      <c r="I480" s="14">
        <f>INDEX(VarUnit,MATCH($A480,VarKey,0))</f>
        <v/>
      </c>
      <c r="J480" s="14">
        <f>INDEX(VarSrc,MATCH($A480,VarKey,0))</f>
        <v/>
      </c>
      <c r="K480" s="11">
        <f>CodePrefix&amp;$A480&amp;IF($C480="","","."&amp;$C480&amp;"."&amp;$B480)&amp;INDEX(VarEnd,MATCH($A480,VarKey,0))&amp;K$5</f>
        <v/>
      </c>
      <c r="L480" s="46">
        <f>L470</f>
        <v/>
      </c>
      <c r="M480" s="47">
        <f>L480*(1-L942)+L470*L942</f>
        <v/>
      </c>
      <c r="N480" s="47">
        <f>M480*(1-M942)+M470*M942</f>
        <v/>
      </c>
      <c r="O480" s="47">
        <f>N480*(1-N942)+N470*N942</f>
        <v/>
      </c>
      <c r="P480" s="47">
        <f>O480*(1-O942)+O470*O942</f>
        <v/>
      </c>
      <c r="Q480" s="47">
        <f>P480*(1-P942)+P470*P942</f>
        <v/>
      </c>
      <c r="R480" s="47">
        <f>Q480*(1-Q942)+Q470*Q942</f>
        <v/>
      </c>
      <c r="S480" s="47">
        <f>R480*(1-R942)+R470*R942</f>
        <v/>
      </c>
      <c r="T480" s="47">
        <f>S480*(1-S942)+S470*S942</f>
        <v/>
      </c>
      <c r="U480" s="47">
        <f>T480*(1-T942)+T470*T942</f>
        <v/>
      </c>
      <c r="V480" s="47">
        <f>U480*(1-U942)+U470*U942</f>
        <v/>
      </c>
      <c r="W480" s="47">
        <f>V480*(1-V942)+V470*V942</f>
        <v/>
      </c>
      <c r="X480" s="47">
        <f>W480*(1-W942)+W470*W942</f>
        <v/>
      </c>
      <c r="Y480" s="47">
        <f>X480*(1-X942)+X470*X942</f>
        <v/>
      </c>
      <c r="Z480" s="47">
        <f>Y480*(1-Y942)+Y470*Y942</f>
        <v/>
      </c>
      <c r="AA480" s="47">
        <f>Z480*(1-Z942)+Z470*Z942</f>
        <v/>
      </c>
      <c r="AB480" s="47">
        <f>AA480*(1-AA942)+AA470*AA942</f>
        <v/>
      </c>
      <c r="AC480" s="47">
        <f>AB480*(1-AB942)+AB470*AB942</f>
        <v/>
      </c>
      <c r="AD480" s="47">
        <f>AC480*(1-AC942)+AC470*AC942</f>
        <v/>
      </c>
      <c r="AE480" s="48">
        <f>VINTAGE(AD480,AD470,AD942)</f>
        <v/>
      </c>
      <c r="AG480" s="11">
        <f>CodePrefix&amp;$A480&amp;IF($C480="","","."&amp;$C480&amp;"."&amp;$B480)&amp;INDEX(VarEnd,MATCH($A480,VarKey,0))&amp;AG$5</f>
        <v/>
      </c>
      <c r="AH480" s="46">
        <f>AH470</f>
        <v/>
      </c>
      <c r="AI480" s="47">
        <f>AH480*(1-AH942)+AH470*AH942</f>
        <v/>
      </c>
      <c r="AJ480" s="47">
        <f>AI480*(1-AI942)+AI470*AI942</f>
        <v/>
      </c>
      <c r="AK480" s="47">
        <f>AJ480*(1-AJ942)+AJ470*AJ942</f>
        <v/>
      </c>
      <c r="AL480" s="47">
        <f>AK480*(1-AK942)+AK470*AK942</f>
        <v/>
      </c>
      <c r="AM480" s="47">
        <f>AL480*(1-AL942)+AL470*AL942</f>
        <v/>
      </c>
      <c r="AN480" s="47">
        <f>AM480*(1-AM942)+AM470*AM942</f>
        <v/>
      </c>
      <c r="AO480" s="47">
        <f>AN480*(1-AN942)+AN470*AN942</f>
        <v/>
      </c>
      <c r="AP480" s="47">
        <f>AO480*(1-AO942)+AO470*AO942</f>
        <v/>
      </c>
      <c r="AQ480" s="47">
        <f>AP480*(1-AP942)+AP470*AP942</f>
        <v/>
      </c>
      <c r="AR480" s="47">
        <f>AQ480*(1-AQ942)+AQ470*AQ942</f>
        <v/>
      </c>
      <c r="AS480" s="47">
        <f>AR480*(1-AR942)+AR470*AR942</f>
        <v/>
      </c>
      <c r="AT480" s="47">
        <f>AS480*(1-AS942)+AS470*AS942</f>
        <v/>
      </c>
      <c r="AU480" s="47">
        <f>AT480*(1-AT942)+AT470*AT942</f>
        <v/>
      </c>
      <c r="AV480" s="47">
        <f>AU480*(1-AU942)+AU470*AU942</f>
        <v/>
      </c>
      <c r="AW480" s="47">
        <f>AV480*(1-AV942)+AV470*AV942</f>
        <v/>
      </c>
      <c r="AX480" s="47">
        <f>AW480*(1-AW942)+AW470*AW942</f>
        <v/>
      </c>
      <c r="AY480" s="47">
        <f>AX480*(1-AX942)+AX470*AX942</f>
        <v/>
      </c>
      <c r="AZ480" s="47">
        <f>AY480*(1-AY942)+AY470*AY942</f>
        <v/>
      </c>
      <c r="BA480" s="48">
        <f>VINTAGE(AZ480,AZ470,AZ942)</f>
        <v/>
      </c>
    </row>
    <row r="481" hidden="1" outlineLevel="1">
      <c r="A481" s="14" t="inlineStr">
        <is>
          <t>caxav</t>
        </is>
      </c>
      <c r="B481" s="14" t="inlineStr">
        <is>
          <t>wnd</t>
        </is>
      </c>
      <c r="C481" s="14" t="inlineStr">
        <is>
          <t>pow</t>
        </is>
      </c>
      <c r="D481" s="39" t="n"/>
      <c r="E481" s="39" t="n"/>
      <c r="F481" s="39" t="n"/>
      <c r="G481" s="39" t="n"/>
      <c r="H481" s="14">
        <f>INDEX(VarLab,MATCH($A481,VarKey,0))&amp;INDEX(MemLab,MATCH($C481&amp;"|"&amp;$B481,MemKey,0))</f>
        <v/>
      </c>
      <c r="I481" s="14">
        <f>INDEX(VarUnit,MATCH($A481,VarKey,0))</f>
        <v/>
      </c>
      <c r="J481" s="14">
        <f>INDEX(VarSrc,MATCH($A481,VarKey,0))</f>
        <v/>
      </c>
      <c r="K481" s="11">
        <f>CodePrefix&amp;$A481&amp;IF($C481="","","."&amp;$C481&amp;"."&amp;$B481)&amp;INDEX(VarEnd,MATCH($A481,VarKey,0))&amp;K$5</f>
        <v/>
      </c>
      <c r="L481" s="46">
        <f>L471</f>
        <v/>
      </c>
      <c r="M481" s="47">
        <f>L481*(1-L943)+L471*L943</f>
        <v/>
      </c>
      <c r="N481" s="47">
        <f>M481*(1-M943)+M471*M943</f>
        <v/>
      </c>
      <c r="O481" s="47">
        <f>N481*(1-N943)+N471*N943</f>
        <v/>
      </c>
      <c r="P481" s="47">
        <f>O481*(1-O943)+O471*O943</f>
        <v/>
      </c>
      <c r="Q481" s="47">
        <f>P481*(1-P943)+P471*P943</f>
        <v/>
      </c>
      <c r="R481" s="47">
        <f>Q481*(1-Q943)+Q471*Q943</f>
        <v/>
      </c>
      <c r="S481" s="47">
        <f>R481*(1-R943)+R471*R943</f>
        <v/>
      </c>
      <c r="T481" s="47">
        <f>S481*(1-S943)+S471*S943</f>
        <v/>
      </c>
      <c r="U481" s="47">
        <f>T481*(1-T943)+T471*T943</f>
        <v/>
      </c>
      <c r="V481" s="47">
        <f>U481*(1-U943)+U471*U943</f>
        <v/>
      </c>
      <c r="W481" s="47">
        <f>V481*(1-V943)+V471*V943</f>
        <v/>
      </c>
      <c r="X481" s="47">
        <f>W481*(1-W943)+W471*W943</f>
        <v/>
      </c>
      <c r="Y481" s="47">
        <f>X481*(1-X943)+X471*X943</f>
        <v/>
      </c>
      <c r="Z481" s="47">
        <f>Y481*(1-Y943)+Y471*Y943</f>
        <v/>
      </c>
      <c r="AA481" s="47">
        <f>Z481*(1-Z943)+Z471*Z943</f>
        <v/>
      </c>
      <c r="AB481" s="47">
        <f>AA481*(1-AA943)+AA471*AA943</f>
        <v/>
      </c>
      <c r="AC481" s="47">
        <f>AB481*(1-AB943)+AB471*AB943</f>
        <v/>
      </c>
      <c r="AD481" s="47">
        <f>AC481*(1-AC943)+AC471*AC943</f>
        <v/>
      </c>
      <c r="AE481" s="48">
        <f>VINTAGE(AD481,AD471,AD943)</f>
        <v/>
      </c>
      <c r="AG481" s="11">
        <f>CodePrefix&amp;$A481&amp;IF($C481="","","."&amp;$C481&amp;"."&amp;$B481)&amp;INDEX(VarEnd,MATCH($A481,VarKey,0))&amp;AG$5</f>
        <v/>
      </c>
      <c r="AH481" s="46">
        <f>AH471</f>
        <v/>
      </c>
      <c r="AI481" s="47">
        <f>AH481*(1-AH943)+AH471*AH943</f>
        <v/>
      </c>
      <c r="AJ481" s="47">
        <f>AI481*(1-AI943)+AI471*AI943</f>
        <v/>
      </c>
      <c r="AK481" s="47">
        <f>AJ481*(1-AJ943)+AJ471*AJ943</f>
        <v/>
      </c>
      <c r="AL481" s="47">
        <f>AK481*(1-AK943)+AK471*AK943</f>
        <v/>
      </c>
      <c r="AM481" s="47">
        <f>AL481*(1-AL943)+AL471*AL943</f>
        <v/>
      </c>
      <c r="AN481" s="47">
        <f>AM481*(1-AM943)+AM471*AM943</f>
        <v/>
      </c>
      <c r="AO481" s="47">
        <f>AN481*(1-AN943)+AN471*AN943</f>
        <v/>
      </c>
      <c r="AP481" s="47">
        <f>AO481*(1-AO943)+AO471*AO943</f>
        <v/>
      </c>
      <c r="AQ481" s="47">
        <f>AP481*(1-AP943)+AP471*AP943</f>
        <v/>
      </c>
      <c r="AR481" s="47">
        <f>AQ481*(1-AQ943)+AQ471*AQ943</f>
        <v/>
      </c>
      <c r="AS481" s="47">
        <f>AR481*(1-AR943)+AR471*AR943</f>
        <v/>
      </c>
      <c r="AT481" s="47">
        <f>AS481*(1-AS943)+AS471*AS943</f>
        <v/>
      </c>
      <c r="AU481" s="47">
        <f>AT481*(1-AT943)+AT471*AT943</f>
        <v/>
      </c>
      <c r="AV481" s="47">
        <f>AU481*(1-AU943)+AU471*AU943</f>
        <v/>
      </c>
      <c r="AW481" s="47">
        <f>AV481*(1-AV943)+AV471*AV943</f>
        <v/>
      </c>
      <c r="AX481" s="47">
        <f>AW481*(1-AW943)+AW471*AW943</f>
        <v/>
      </c>
      <c r="AY481" s="47">
        <f>AX481*(1-AX943)+AX471*AX943</f>
        <v/>
      </c>
      <c r="AZ481" s="47">
        <f>AY481*(1-AY943)+AY471*AY943</f>
        <v/>
      </c>
      <c r="BA481" s="48">
        <f>VINTAGE(AZ481,AZ471,AZ943)</f>
        <v/>
      </c>
    </row>
    <row r="482" hidden="1" outlineLevel="1">
      <c r="A482" s="14" t="inlineStr">
        <is>
          <t>caxav</t>
        </is>
      </c>
      <c r="B482" s="14" t="inlineStr">
        <is>
          <t>sol</t>
        </is>
      </c>
      <c r="C482" s="14" t="inlineStr">
        <is>
          <t>pow</t>
        </is>
      </c>
      <c r="D482" s="39" t="n"/>
      <c r="E482" s="39" t="n"/>
      <c r="F482" s="39" t="n"/>
      <c r="G482" s="39" t="n"/>
      <c r="H482" s="14">
        <f>INDEX(VarLab,MATCH($A482,VarKey,0))&amp;INDEX(MemLab,MATCH($C482&amp;"|"&amp;$B482,MemKey,0))</f>
        <v/>
      </c>
      <c r="I482" s="14">
        <f>INDEX(VarUnit,MATCH($A482,VarKey,0))</f>
        <v/>
      </c>
      <c r="J482" s="14">
        <f>INDEX(VarSrc,MATCH($A482,VarKey,0))</f>
        <v/>
      </c>
      <c r="K482" s="11">
        <f>CodePrefix&amp;$A482&amp;IF($C482="","","."&amp;$C482&amp;"."&amp;$B482)&amp;INDEX(VarEnd,MATCH($A482,VarKey,0))&amp;K$5</f>
        <v/>
      </c>
      <c r="L482" s="46">
        <f>L472</f>
        <v/>
      </c>
      <c r="M482" s="47">
        <f>L482*(1-L944)+L472*L944</f>
        <v/>
      </c>
      <c r="N482" s="47">
        <f>M482*(1-M944)+M472*M944</f>
        <v/>
      </c>
      <c r="O482" s="47">
        <f>N482*(1-N944)+N472*N944</f>
        <v/>
      </c>
      <c r="P482" s="47">
        <f>O482*(1-O944)+O472*O944</f>
        <v/>
      </c>
      <c r="Q482" s="47">
        <f>P482*(1-P944)+P472*P944</f>
        <v/>
      </c>
      <c r="R482" s="47">
        <f>Q482*(1-Q944)+Q472*Q944</f>
        <v/>
      </c>
      <c r="S482" s="47">
        <f>R482*(1-R944)+R472*R944</f>
        <v/>
      </c>
      <c r="T482" s="47">
        <f>S482*(1-S944)+S472*S944</f>
        <v/>
      </c>
      <c r="U482" s="47">
        <f>T482*(1-T944)+T472*T944</f>
        <v/>
      </c>
      <c r="V482" s="47">
        <f>U482*(1-U944)+U472*U944</f>
        <v/>
      </c>
      <c r="W482" s="47">
        <f>V482*(1-V944)+V472*V944</f>
        <v/>
      </c>
      <c r="X482" s="47">
        <f>W482*(1-W944)+W472*W944</f>
        <v/>
      </c>
      <c r="Y482" s="47">
        <f>X482*(1-X944)+X472*X944</f>
        <v/>
      </c>
      <c r="Z482" s="47">
        <f>Y482*(1-Y944)+Y472*Y944</f>
        <v/>
      </c>
      <c r="AA482" s="47">
        <f>Z482*(1-Z944)+Z472*Z944</f>
        <v/>
      </c>
      <c r="AB482" s="47">
        <f>AA482*(1-AA944)+AA472*AA944</f>
        <v/>
      </c>
      <c r="AC482" s="47">
        <f>AB482*(1-AB944)+AB472*AB944</f>
        <v/>
      </c>
      <c r="AD482" s="47">
        <f>AC482*(1-AC944)+AC472*AC944</f>
        <v/>
      </c>
      <c r="AE482" s="48">
        <f>VINTAGE(AD482,AD472,AD944)</f>
        <v/>
      </c>
      <c r="AG482" s="11">
        <f>CodePrefix&amp;$A482&amp;IF($C482="","","."&amp;$C482&amp;"."&amp;$B482)&amp;INDEX(VarEnd,MATCH($A482,VarKey,0))&amp;AG$5</f>
        <v/>
      </c>
      <c r="AH482" s="46">
        <f>AH472</f>
        <v/>
      </c>
      <c r="AI482" s="47">
        <f>AH482*(1-AH944)+AH472*AH944</f>
        <v/>
      </c>
      <c r="AJ482" s="47">
        <f>AI482*(1-AI944)+AI472*AI944</f>
        <v/>
      </c>
      <c r="AK482" s="47">
        <f>AJ482*(1-AJ944)+AJ472*AJ944</f>
        <v/>
      </c>
      <c r="AL482" s="47">
        <f>AK482*(1-AK944)+AK472*AK944</f>
        <v/>
      </c>
      <c r="AM482" s="47">
        <f>AL482*(1-AL944)+AL472*AL944</f>
        <v/>
      </c>
      <c r="AN482" s="47">
        <f>AM482*(1-AM944)+AM472*AM944</f>
        <v/>
      </c>
      <c r="AO482" s="47">
        <f>AN482*(1-AN944)+AN472*AN944</f>
        <v/>
      </c>
      <c r="AP482" s="47">
        <f>AO482*(1-AO944)+AO472*AO944</f>
        <v/>
      </c>
      <c r="AQ482" s="47">
        <f>AP482*(1-AP944)+AP472*AP944</f>
        <v/>
      </c>
      <c r="AR482" s="47">
        <f>AQ482*(1-AQ944)+AQ472*AQ944</f>
        <v/>
      </c>
      <c r="AS482" s="47">
        <f>AR482*(1-AR944)+AR472*AR944</f>
        <v/>
      </c>
      <c r="AT482" s="47">
        <f>AS482*(1-AS944)+AS472*AS944</f>
        <v/>
      </c>
      <c r="AU482" s="47">
        <f>AT482*(1-AT944)+AT472*AT944</f>
        <v/>
      </c>
      <c r="AV482" s="47">
        <f>AU482*(1-AU944)+AU472*AU944</f>
        <v/>
      </c>
      <c r="AW482" s="47">
        <f>AV482*(1-AV944)+AV472*AV944</f>
        <v/>
      </c>
      <c r="AX482" s="47">
        <f>AW482*(1-AW944)+AW472*AW944</f>
        <v/>
      </c>
      <c r="AY482" s="47">
        <f>AX482*(1-AX944)+AX472*AX944</f>
        <v/>
      </c>
      <c r="AZ482" s="47">
        <f>AY482*(1-AY944)+AY472*AY944</f>
        <v/>
      </c>
      <c r="BA482" s="48">
        <f>VINTAGE(AZ482,AZ472,AZ944)</f>
        <v/>
      </c>
    </row>
    <row r="483" hidden="1" outlineLevel="1">
      <c r="A483" s="14" t="inlineStr">
        <is>
          <t>caxav</t>
        </is>
      </c>
      <c r="B483" s="14" t="inlineStr">
        <is>
          <t>hyd</t>
        </is>
      </c>
      <c r="C483" s="14" t="inlineStr">
        <is>
          <t>pow</t>
        </is>
      </c>
      <c r="D483" s="39" t="n"/>
      <c r="E483" s="39" t="n"/>
      <c r="F483" s="39" t="n"/>
      <c r="G483" s="39" t="n"/>
      <c r="H483" s="14">
        <f>INDEX(VarLab,MATCH($A483,VarKey,0))&amp;INDEX(MemLab,MATCH($C483&amp;"|"&amp;$B483,MemKey,0))</f>
        <v/>
      </c>
      <c r="I483" s="14">
        <f>INDEX(VarUnit,MATCH($A483,VarKey,0))</f>
        <v/>
      </c>
      <c r="J483" s="14">
        <f>INDEX(VarSrc,MATCH($A483,VarKey,0))</f>
        <v/>
      </c>
      <c r="K483" s="11">
        <f>CodePrefix&amp;$A483&amp;IF($C483="","","."&amp;$C483&amp;"."&amp;$B483)&amp;INDEX(VarEnd,MATCH($A483,VarKey,0))&amp;K$5</f>
        <v/>
      </c>
      <c r="L483" s="46">
        <f>L473</f>
        <v/>
      </c>
      <c r="M483" s="47">
        <f>L483*(1-L945)+L473*L945</f>
        <v/>
      </c>
      <c r="N483" s="47">
        <f>M483*(1-M945)+M473*M945</f>
        <v/>
      </c>
      <c r="O483" s="47">
        <f>N483*(1-N945)+N473*N945</f>
        <v/>
      </c>
      <c r="P483" s="47">
        <f>O483*(1-O945)+O473*O945</f>
        <v/>
      </c>
      <c r="Q483" s="47">
        <f>P483*(1-P945)+P473*P945</f>
        <v/>
      </c>
      <c r="R483" s="47">
        <f>Q483*(1-Q945)+Q473*Q945</f>
        <v/>
      </c>
      <c r="S483" s="47">
        <f>R483*(1-R945)+R473*R945</f>
        <v/>
      </c>
      <c r="T483" s="47">
        <f>S483*(1-S945)+S473*S945</f>
        <v/>
      </c>
      <c r="U483" s="47">
        <f>T483*(1-T945)+T473*T945</f>
        <v/>
      </c>
      <c r="V483" s="47">
        <f>U483*(1-U945)+U473*U945</f>
        <v/>
      </c>
      <c r="W483" s="47">
        <f>V483*(1-V945)+V473*V945</f>
        <v/>
      </c>
      <c r="X483" s="47">
        <f>W483*(1-W945)+W473*W945</f>
        <v/>
      </c>
      <c r="Y483" s="47">
        <f>X483*(1-X945)+X473*X945</f>
        <v/>
      </c>
      <c r="Z483" s="47">
        <f>Y483*(1-Y945)+Y473*Y945</f>
        <v/>
      </c>
      <c r="AA483" s="47">
        <f>Z483*(1-Z945)+Z473*Z945</f>
        <v/>
      </c>
      <c r="AB483" s="47">
        <f>AA483*(1-AA945)+AA473*AA945</f>
        <v/>
      </c>
      <c r="AC483" s="47">
        <f>AB483*(1-AB945)+AB473*AB945</f>
        <v/>
      </c>
      <c r="AD483" s="47">
        <f>AC483*(1-AC945)+AC473*AC945</f>
        <v/>
      </c>
      <c r="AE483" s="48">
        <f>VINTAGE(AD483,AD473,AD945)</f>
        <v/>
      </c>
      <c r="AG483" s="11">
        <f>CodePrefix&amp;$A483&amp;IF($C483="","","."&amp;$C483&amp;"."&amp;$B483)&amp;INDEX(VarEnd,MATCH($A483,VarKey,0))&amp;AG$5</f>
        <v/>
      </c>
      <c r="AH483" s="46">
        <f>AH473</f>
        <v/>
      </c>
      <c r="AI483" s="47">
        <f>AH483*(1-AH945)+AH473*AH945</f>
        <v/>
      </c>
      <c r="AJ483" s="47">
        <f>AI483*(1-AI945)+AI473*AI945</f>
        <v/>
      </c>
      <c r="AK483" s="47">
        <f>AJ483*(1-AJ945)+AJ473*AJ945</f>
        <v/>
      </c>
      <c r="AL483" s="47">
        <f>AK483*(1-AK945)+AK473*AK945</f>
        <v/>
      </c>
      <c r="AM483" s="47">
        <f>AL483*(1-AL945)+AL473*AL945</f>
        <v/>
      </c>
      <c r="AN483" s="47">
        <f>AM483*(1-AM945)+AM473*AM945</f>
        <v/>
      </c>
      <c r="AO483" s="47">
        <f>AN483*(1-AN945)+AN473*AN945</f>
        <v/>
      </c>
      <c r="AP483" s="47">
        <f>AO483*(1-AO945)+AO473*AO945</f>
        <v/>
      </c>
      <c r="AQ483" s="47">
        <f>AP483*(1-AP945)+AP473*AP945</f>
        <v/>
      </c>
      <c r="AR483" s="47">
        <f>AQ483*(1-AQ945)+AQ473*AQ945</f>
        <v/>
      </c>
      <c r="AS483" s="47">
        <f>AR483*(1-AR945)+AR473*AR945</f>
        <v/>
      </c>
      <c r="AT483" s="47">
        <f>AS483*(1-AS945)+AS473*AS945</f>
        <v/>
      </c>
      <c r="AU483" s="47">
        <f>AT483*(1-AT945)+AT473*AT945</f>
        <v/>
      </c>
      <c r="AV483" s="47">
        <f>AU483*(1-AU945)+AU473*AU945</f>
        <v/>
      </c>
      <c r="AW483" s="47">
        <f>AV483*(1-AV945)+AV473*AV945</f>
        <v/>
      </c>
      <c r="AX483" s="47">
        <f>AW483*(1-AW945)+AW473*AW945</f>
        <v/>
      </c>
      <c r="AY483" s="47">
        <f>AX483*(1-AX945)+AX473*AX945</f>
        <v/>
      </c>
      <c r="AZ483" s="47">
        <f>AY483*(1-AY945)+AY473*AY945</f>
        <v/>
      </c>
      <c r="BA483" s="48">
        <f>VINTAGE(AZ483,AZ473,AZ945)</f>
        <v/>
      </c>
    </row>
    <row r="484" hidden="1" outlineLevel="1">
      <c r="A484" s="14" t="inlineStr">
        <is>
          <t>caxav</t>
        </is>
      </c>
      <c r="B484" s="14" t="inlineStr">
        <is>
          <t>ore</t>
        </is>
      </c>
      <c r="C484" s="14" t="inlineStr">
        <is>
          <t>pow</t>
        </is>
      </c>
      <c r="D484" s="39" t="n"/>
      <c r="E484" s="39" t="n"/>
      <c r="F484" s="39" t="n"/>
      <c r="G484" s="39" t="n"/>
      <c r="H484" s="14">
        <f>INDEX(VarLab,MATCH($A484,VarKey,0))&amp;INDEX(MemLab,MATCH($C484&amp;"|"&amp;$B484,MemKey,0))</f>
        <v/>
      </c>
      <c r="I484" s="14">
        <f>INDEX(VarUnit,MATCH($A484,VarKey,0))</f>
        <v/>
      </c>
      <c r="J484" s="14">
        <f>INDEX(VarSrc,MATCH($A484,VarKey,0))</f>
        <v/>
      </c>
      <c r="K484" s="11">
        <f>CodePrefix&amp;$A484&amp;IF($C484="","","."&amp;$C484&amp;"."&amp;$B484)&amp;INDEX(VarEnd,MATCH($A484,VarKey,0))&amp;K$5</f>
        <v/>
      </c>
      <c r="L484" s="46">
        <f>L474</f>
        <v/>
      </c>
      <c r="M484" s="47">
        <f>L484*(1-L946)+L474*L946</f>
        <v/>
      </c>
      <c r="N484" s="47">
        <f>M484*(1-M946)+M474*M946</f>
        <v/>
      </c>
      <c r="O484" s="47">
        <f>N484*(1-N946)+N474*N946</f>
        <v/>
      </c>
      <c r="P484" s="47">
        <f>O484*(1-O946)+O474*O946</f>
        <v/>
      </c>
      <c r="Q484" s="47">
        <f>P484*(1-P946)+P474*P946</f>
        <v/>
      </c>
      <c r="R484" s="47">
        <f>Q484*(1-Q946)+Q474*Q946</f>
        <v/>
      </c>
      <c r="S484" s="47">
        <f>R484*(1-R946)+R474*R946</f>
        <v/>
      </c>
      <c r="T484" s="47">
        <f>S484*(1-S946)+S474*S946</f>
        <v/>
      </c>
      <c r="U484" s="47">
        <f>T484*(1-T946)+T474*T946</f>
        <v/>
      </c>
      <c r="V484" s="47">
        <f>U484*(1-U946)+U474*U946</f>
        <v/>
      </c>
      <c r="W484" s="47">
        <f>V484*(1-V946)+V474*V946</f>
        <v/>
      </c>
      <c r="X484" s="47">
        <f>W484*(1-W946)+W474*W946</f>
        <v/>
      </c>
      <c r="Y484" s="47">
        <f>X484*(1-X946)+X474*X946</f>
        <v/>
      </c>
      <c r="Z484" s="47">
        <f>Y484*(1-Y946)+Y474*Y946</f>
        <v/>
      </c>
      <c r="AA484" s="47">
        <f>Z484*(1-Z946)+Z474*Z946</f>
        <v/>
      </c>
      <c r="AB484" s="47">
        <f>AA484*(1-AA946)+AA474*AA946</f>
        <v/>
      </c>
      <c r="AC484" s="47">
        <f>AB484*(1-AB946)+AB474*AB946</f>
        <v/>
      </c>
      <c r="AD484" s="47">
        <f>AC484*(1-AC946)+AC474*AC946</f>
        <v/>
      </c>
      <c r="AE484" s="48">
        <f>VINTAGE(AD484,AD474,AD946)</f>
        <v/>
      </c>
      <c r="AG484" s="11">
        <f>CodePrefix&amp;$A484&amp;IF($C484="","","."&amp;$C484&amp;"."&amp;$B484)&amp;INDEX(VarEnd,MATCH($A484,VarKey,0))&amp;AG$5</f>
        <v/>
      </c>
      <c r="AH484" s="46">
        <f>AH474</f>
        <v/>
      </c>
      <c r="AI484" s="47">
        <f>AH484*(1-AH946)+AH474*AH946</f>
        <v/>
      </c>
      <c r="AJ484" s="47">
        <f>AI484*(1-AI946)+AI474*AI946</f>
        <v/>
      </c>
      <c r="AK484" s="47">
        <f>AJ484*(1-AJ946)+AJ474*AJ946</f>
        <v/>
      </c>
      <c r="AL484" s="47">
        <f>AK484*(1-AK946)+AK474*AK946</f>
        <v/>
      </c>
      <c r="AM484" s="47">
        <f>AL484*(1-AL946)+AL474*AL946</f>
        <v/>
      </c>
      <c r="AN484" s="47">
        <f>AM484*(1-AM946)+AM474*AM946</f>
        <v/>
      </c>
      <c r="AO484" s="47">
        <f>AN484*(1-AN946)+AN474*AN946</f>
        <v/>
      </c>
      <c r="AP484" s="47">
        <f>AO484*(1-AO946)+AO474*AO946</f>
        <v/>
      </c>
      <c r="AQ484" s="47">
        <f>AP484*(1-AP946)+AP474*AP946</f>
        <v/>
      </c>
      <c r="AR484" s="47">
        <f>AQ484*(1-AQ946)+AQ474*AQ946</f>
        <v/>
      </c>
      <c r="AS484" s="47">
        <f>AR484*(1-AR946)+AR474*AR946</f>
        <v/>
      </c>
      <c r="AT484" s="47">
        <f>AS484*(1-AS946)+AS474*AS946</f>
        <v/>
      </c>
      <c r="AU484" s="47">
        <f>AT484*(1-AT946)+AT474*AT946</f>
        <v/>
      </c>
      <c r="AV484" s="47">
        <f>AU484*(1-AU946)+AU474*AU946</f>
        <v/>
      </c>
      <c r="AW484" s="47">
        <f>AV484*(1-AV946)+AV474*AV946</f>
        <v/>
      </c>
      <c r="AX484" s="47">
        <f>AW484*(1-AW946)+AW474*AW946</f>
        <v/>
      </c>
      <c r="AY484" s="47">
        <f>AX484*(1-AX946)+AX474*AX946</f>
        <v/>
      </c>
      <c r="AZ484" s="47">
        <f>AY484*(1-AY946)+AY474*AY946</f>
        <v/>
      </c>
      <c r="BA484" s="48">
        <f>VINTAGE(AZ484,AZ474,AZ946)</f>
        <v/>
      </c>
    </row>
    <row r="485" hidden="1" outlineLevel="1">
      <c r="A485" s="14" t="inlineStr">
        <is>
          <t>caxav</t>
        </is>
      </c>
      <c r="B485" s="14" t="inlineStr">
        <is>
          <t>bio</t>
        </is>
      </c>
      <c r="C485" s="14" t="inlineStr">
        <is>
          <t>pow</t>
        </is>
      </c>
      <c r="D485" s="39" t="n"/>
      <c r="E485" s="39" t="n"/>
      <c r="F485" s="39" t="n"/>
      <c r="G485" s="39" t="n"/>
      <c r="H485" s="14">
        <f>INDEX(VarLab,MATCH($A485,VarKey,0))&amp;INDEX(MemLab,MATCH($C485&amp;"|"&amp;$B485,MemKey,0))</f>
        <v/>
      </c>
      <c r="I485" s="14">
        <f>INDEX(VarUnit,MATCH($A485,VarKey,0))</f>
        <v/>
      </c>
      <c r="J485" s="14">
        <f>INDEX(VarSrc,MATCH($A485,VarKey,0))</f>
        <v/>
      </c>
      <c r="K485" s="11">
        <f>CodePrefix&amp;$A485&amp;IF($C485="","","."&amp;$C485&amp;"."&amp;$B485)&amp;INDEX(VarEnd,MATCH($A485,VarKey,0))&amp;K$5</f>
        <v/>
      </c>
      <c r="L485" s="46">
        <f>L475</f>
        <v/>
      </c>
      <c r="M485" s="47">
        <f>L485*(1-L947)+L475*L947</f>
        <v/>
      </c>
      <c r="N485" s="47">
        <f>M485*(1-M947)+M475*M947</f>
        <v/>
      </c>
      <c r="O485" s="47">
        <f>N485*(1-N947)+N475*N947</f>
        <v/>
      </c>
      <c r="P485" s="47">
        <f>O485*(1-O947)+O475*O947</f>
        <v/>
      </c>
      <c r="Q485" s="47">
        <f>P485*(1-P947)+P475*P947</f>
        <v/>
      </c>
      <c r="R485" s="47">
        <f>Q485*(1-Q947)+Q475*Q947</f>
        <v/>
      </c>
      <c r="S485" s="47">
        <f>R485*(1-R947)+R475*R947</f>
        <v/>
      </c>
      <c r="T485" s="47">
        <f>S485*(1-S947)+S475*S947</f>
        <v/>
      </c>
      <c r="U485" s="47">
        <f>T485*(1-T947)+T475*T947</f>
        <v/>
      </c>
      <c r="V485" s="47">
        <f>U485*(1-U947)+U475*U947</f>
        <v/>
      </c>
      <c r="W485" s="47">
        <f>V485*(1-V947)+V475*V947</f>
        <v/>
      </c>
      <c r="X485" s="47">
        <f>W485*(1-W947)+W475*W947</f>
        <v/>
      </c>
      <c r="Y485" s="47">
        <f>X485*(1-X947)+X475*X947</f>
        <v/>
      </c>
      <c r="Z485" s="47">
        <f>Y485*(1-Y947)+Y475*Y947</f>
        <v/>
      </c>
      <c r="AA485" s="47">
        <f>Z485*(1-Z947)+Z475*Z947</f>
        <v/>
      </c>
      <c r="AB485" s="47">
        <f>AA485*(1-AA947)+AA475*AA947</f>
        <v/>
      </c>
      <c r="AC485" s="47">
        <f>AB485*(1-AB947)+AB475*AB947</f>
        <v/>
      </c>
      <c r="AD485" s="47">
        <f>AC485*(1-AC947)+AC475*AC947</f>
        <v/>
      </c>
      <c r="AE485" s="48">
        <f>VINTAGE(AD485,AD475,AD947)</f>
        <v/>
      </c>
      <c r="AG485" s="11">
        <f>CodePrefix&amp;$A485&amp;IF($C485="","","."&amp;$C485&amp;"."&amp;$B485)&amp;INDEX(VarEnd,MATCH($A485,VarKey,0))&amp;AG$5</f>
        <v/>
      </c>
      <c r="AH485" s="46">
        <f>AH475</f>
        <v/>
      </c>
      <c r="AI485" s="47">
        <f>AH485*(1-AH947)+AH475*AH947</f>
        <v/>
      </c>
      <c r="AJ485" s="47">
        <f>AI485*(1-AI947)+AI475*AI947</f>
        <v/>
      </c>
      <c r="AK485" s="47">
        <f>AJ485*(1-AJ947)+AJ475*AJ947</f>
        <v/>
      </c>
      <c r="AL485" s="47">
        <f>AK485*(1-AK947)+AK475*AK947</f>
        <v/>
      </c>
      <c r="AM485" s="47">
        <f>AL485*(1-AL947)+AL475*AL947</f>
        <v/>
      </c>
      <c r="AN485" s="47">
        <f>AM485*(1-AM947)+AM475*AM947</f>
        <v/>
      </c>
      <c r="AO485" s="47">
        <f>AN485*(1-AN947)+AN475*AN947</f>
        <v/>
      </c>
      <c r="AP485" s="47">
        <f>AO485*(1-AO947)+AO475*AO947</f>
        <v/>
      </c>
      <c r="AQ485" s="47">
        <f>AP485*(1-AP947)+AP475*AP947</f>
        <v/>
      </c>
      <c r="AR485" s="47">
        <f>AQ485*(1-AQ947)+AQ475*AQ947</f>
        <v/>
      </c>
      <c r="AS485" s="47">
        <f>AR485*(1-AR947)+AR475*AR947</f>
        <v/>
      </c>
      <c r="AT485" s="47">
        <f>AS485*(1-AS947)+AS475*AS947</f>
        <v/>
      </c>
      <c r="AU485" s="47">
        <f>AT485*(1-AT947)+AT475*AT947</f>
        <v/>
      </c>
      <c r="AV485" s="47">
        <f>AU485*(1-AU947)+AU475*AU947</f>
        <v/>
      </c>
      <c r="AW485" s="47">
        <f>AV485*(1-AV947)+AV475*AV947</f>
        <v/>
      </c>
      <c r="AX485" s="47">
        <f>AW485*(1-AW947)+AW475*AW947</f>
        <v/>
      </c>
      <c r="AY485" s="47">
        <f>AX485*(1-AX947)+AX475*AX947</f>
        <v/>
      </c>
      <c r="AZ485" s="47">
        <f>AY485*(1-AY947)+AY475*AY947</f>
        <v/>
      </c>
      <c r="BA485" s="48">
        <f>VINTAGE(AZ485,AZ475,AZ947)</f>
        <v/>
      </c>
    </row>
    <row r="486" hidden="1" outlineLevel="1"/>
    <row r="487" hidden="1" outlineLevel="1">
      <c r="A487" s="14" t="inlineStr">
        <is>
          <t>stoav</t>
        </is>
      </c>
      <c r="B487" s="14" t="inlineStr">
        <is>
          <t>coa</t>
        </is>
      </c>
      <c r="C487" s="14" t="inlineStr">
        <is>
          <t>pow</t>
        </is>
      </c>
      <c r="D487" s="45">
        <f>INDEX(Inputs_power!$O$5:$O$13,MATCH($B487,Inputs_power!$A$5:$A$13,0))</f>
        <v/>
      </c>
      <c r="E487" s="39" t="n"/>
      <c r="F487" s="39" t="n"/>
      <c r="G487" s="39" t="n"/>
      <c r="H487" s="14">
        <f>INDEX(VarLab,MATCH($A487,VarKey,0))&amp;INDEX(MemLab,MATCH($C487&amp;"|"&amp;$B487,MemKey,0))</f>
        <v/>
      </c>
      <c r="I487" s="14">
        <f>INDEX(VarUnit,MATCH($A487,VarKey,0))</f>
        <v/>
      </c>
      <c r="J487" s="14">
        <f>INDEX(VarSrc,MATCH($A487,VarKey,0))</f>
        <v/>
      </c>
      <c r="K487" s="11">
        <f>CodePrefix&amp;$A487&amp;IF($C487="","","."&amp;$C487&amp;"."&amp;$B487)&amp;INDEX(VarEnd,MATCH($A487,VarKey,0))&amp;K$5</f>
        <v/>
      </c>
      <c r="L487" s="15">
        <f>$D487*L$769</f>
        <v/>
      </c>
      <c r="M487" s="16">
        <f>L487*(1-L939)+$D487*M$769*L939</f>
        <v/>
      </c>
      <c r="N487" s="16">
        <f>M487*(1-M939)+$D487*N$769*M939</f>
        <v/>
      </c>
      <c r="O487" s="16">
        <f>N487*(1-N939)+$D487*O$769*N939</f>
        <v/>
      </c>
      <c r="P487" s="16">
        <f>O487*(1-O939)+$D487*P$769*O939</f>
        <v/>
      </c>
      <c r="Q487" s="16">
        <f>P487*(1-P939)+$D487*Q$769*P939</f>
        <v/>
      </c>
      <c r="R487" s="16">
        <f>Q487*(1-Q939)+$D487*R$769*Q939</f>
        <v/>
      </c>
      <c r="S487" s="16">
        <f>R487*(1-R939)+$D487*S$769*R939</f>
        <v/>
      </c>
      <c r="T487" s="16">
        <f>S487*(1-S939)+$D487*T$769*S939</f>
        <v/>
      </c>
      <c r="U487" s="16">
        <f>T487*(1-T939)+$D487*U$769*T939</f>
        <v/>
      </c>
      <c r="V487" s="16">
        <f>U487*(1-U939)+$D487*V$769*U939</f>
        <v/>
      </c>
      <c r="W487" s="16">
        <f>V487*(1-V939)+$D487*W$769*V939</f>
        <v/>
      </c>
      <c r="X487" s="16">
        <f>W487*(1-W939)+$D487*X$769*W939</f>
        <v/>
      </c>
      <c r="Y487" s="16">
        <f>X487*(1-X939)+$D487*Y$769*X939</f>
        <v/>
      </c>
      <c r="Z487" s="16">
        <f>Y487*(1-Y939)+$D487*Z$769*Y939</f>
        <v/>
      </c>
      <c r="AA487" s="16">
        <f>Z487*(1-Z939)+$D487*AA$769*Z939</f>
        <v/>
      </c>
      <c r="AB487" s="16">
        <f>AA487*(1-AA939)+$D487*AB$769*AA939</f>
        <v/>
      </c>
      <c r="AC487" s="16">
        <f>AB487*(1-AB939)+$D487*AC$769*AB939</f>
        <v/>
      </c>
      <c r="AD487" s="16">
        <f>AC487*(1-AC939)+$D487*AD$769*AC939</f>
        <v/>
      </c>
      <c r="AE487" s="49">
        <f>VINTAGE(AD487,$D487*AE$769,AD939)</f>
        <v/>
      </c>
      <c r="AG487" s="11">
        <f>CodePrefix&amp;$A487&amp;IF($C487="","","."&amp;$C487&amp;"."&amp;$B487)&amp;INDEX(VarEnd,MATCH($A487,VarKey,0))&amp;AG$5</f>
        <v/>
      </c>
      <c r="AH487" s="15">
        <f>$D487*AH$769</f>
        <v/>
      </c>
      <c r="AI487" s="16">
        <f>AH487*(1-AH939)+$D487*AI$769*AH939</f>
        <v/>
      </c>
      <c r="AJ487" s="16">
        <f>AI487*(1-AI939)+$D487*AJ$769*AI939</f>
        <v/>
      </c>
      <c r="AK487" s="16">
        <f>AJ487*(1-AJ939)+$D487*AK$769*AJ939</f>
        <v/>
      </c>
      <c r="AL487" s="16">
        <f>AK487*(1-AK939)+$D487*AL$769*AK939</f>
        <v/>
      </c>
      <c r="AM487" s="16">
        <f>AL487*(1-AL939)+$D487*AM$769*AL939</f>
        <v/>
      </c>
      <c r="AN487" s="16">
        <f>AM487*(1-AM939)+$D487*AN$769*AM939</f>
        <v/>
      </c>
      <c r="AO487" s="16">
        <f>AN487*(1-AN939)+$D487*AO$769*AN939</f>
        <v/>
      </c>
      <c r="AP487" s="16">
        <f>AO487*(1-AO939)+$D487*AP$769*AO939</f>
        <v/>
      </c>
      <c r="AQ487" s="16">
        <f>AP487*(1-AP939)+$D487*AQ$769*AP939</f>
        <v/>
      </c>
      <c r="AR487" s="16">
        <f>AQ487*(1-AQ939)+$D487*AR$769*AQ939</f>
        <v/>
      </c>
      <c r="AS487" s="16">
        <f>AR487*(1-AR939)+$D487*AS$769*AR939</f>
        <v/>
      </c>
      <c r="AT487" s="16">
        <f>AS487*(1-AS939)+$D487*AT$769*AS939</f>
        <v/>
      </c>
      <c r="AU487" s="16">
        <f>AT487*(1-AT939)+$D487*AU$769*AT939</f>
        <v/>
      </c>
      <c r="AV487" s="16">
        <f>AU487*(1-AU939)+$D487*AV$769*AU939</f>
        <v/>
      </c>
      <c r="AW487" s="16">
        <f>AV487*(1-AV939)+$D487*AW$769*AV939</f>
        <v/>
      </c>
      <c r="AX487" s="16">
        <f>AW487*(1-AW939)+$D487*AX$769*AW939</f>
        <v/>
      </c>
      <c r="AY487" s="16">
        <f>AX487*(1-AX939)+$D487*AY$769*AX939</f>
        <v/>
      </c>
      <c r="AZ487" s="16">
        <f>AY487*(1-AY939)+$D487*AZ$769*AY939</f>
        <v/>
      </c>
      <c r="BA487" s="49">
        <f>VINTAGE(AZ487,$D487*BA$769,AZ939)</f>
        <v/>
      </c>
    </row>
    <row r="488" hidden="1" outlineLevel="1">
      <c r="A488" s="14" t="inlineStr">
        <is>
          <t>stoav</t>
        </is>
      </c>
      <c r="B488" s="14" t="inlineStr">
        <is>
          <t>nga</t>
        </is>
      </c>
      <c r="C488" s="14" t="inlineStr">
        <is>
          <t>pow</t>
        </is>
      </c>
      <c r="D488" s="45">
        <f>INDEX(Inputs_power!$O$5:$O$13,MATCH($B488,Inputs_power!$A$5:$A$13,0))</f>
        <v/>
      </c>
      <c r="E488" s="39" t="n"/>
      <c r="F488" s="39" t="n"/>
      <c r="G488" s="39" t="n"/>
      <c r="H488" s="14">
        <f>INDEX(VarLab,MATCH($A488,VarKey,0))&amp;INDEX(MemLab,MATCH($C488&amp;"|"&amp;$B488,MemKey,0))</f>
        <v/>
      </c>
      <c r="I488" s="14">
        <f>INDEX(VarUnit,MATCH($A488,VarKey,0))</f>
        <v/>
      </c>
      <c r="J488" s="14">
        <f>INDEX(VarSrc,MATCH($A488,VarKey,0))</f>
        <v/>
      </c>
      <c r="K488" s="11">
        <f>CodePrefix&amp;$A488&amp;IF($C488="","","."&amp;$C488&amp;"."&amp;$B488)&amp;INDEX(VarEnd,MATCH($A488,VarKey,0))&amp;K$5</f>
        <v/>
      </c>
      <c r="L488" s="15">
        <f>$D488*L$769</f>
        <v/>
      </c>
      <c r="M488" s="16">
        <f>L488*(1-L940)+$D488*M$769*L940</f>
        <v/>
      </c>
      <c r="N488" s="16">
        <f>M488*(1-M940)+$D488*N$769*M940</f>
        <v/>
      </c>
      <c r="O488" s="16">
        <f>N488*(1-N940)+$D488*O$769*N940</f>
        <v/>
      </c>
      <c r="P488" s="16">
        <f>O488*(1-O940)+$D488*P$769*O940</f>
        <v/>
      </c>
      <c r="Q488" s="16">
        <f>P488*(1-P940)+$D488*Q$769*P940</f>
        <v/>
      </c>
      <c r="R488" s="16">
        <f>Q488*(1-Q940)+$D488*R$769*Q940</f>
        <v/>
      </c>
      <c r="S488" s="16">
        <f>R488*(1-R940)+$D488*S$769*R940</f>
        <v/>
      </c>
      <c r="T488" s="16">
        <f>S488*(1-S940)+$D488*T$769*S940</f>
        <v/>
      </c>
      <c r="U488" s="16">
        <f>T488*(1-T940)+$D488*U$769*T940</f>
        <v/>
      </c>
      <c r="V488" s="16">
        <f>U488*(1-U940)+$D488*V$769*U940</f>
        <v/>
      </c>
      <c r="W488" s="16">
        <f>V488*(1-V940)+$D488*W$769*V940</f>
        <v/>
      </c>
      <c r="X488" s="16">
        <f>W488*(1-W940)+$D488*X$769*W940</f>
        <v/>
      </c>
      <c r="Y488" s="16">
        <f>X488*(1-X940)+$D488*Y$769*X940</f>
        <v/>
      </c>
      <c r="Z488" s="16">
        <f>Y488*(1-Y940)+$D488*Z$769*Y940</f>
        <v/>
      </c>
      <c r="AA488" s="16">
        <f>Z488*(1-Z940)+$D488*AA$769*Z940</f>
        <v/>
      </c>
      <c r="AB488" s="16">
        <f>AA488*(1-AA940)+$D488*AB$769*AA940</f>
        <v/>
      </c>
      <c r="AC488" s="16">
        <f>AB488*(1-AB940)+$D488*AC$769*AB940</f>
        <v/>
      </c>
      <c r="AD488" s="16">
        <f>AC488*(1-AC940)+$D488*AD$769*AC940</f>
        <v/>
      </c>
      <c r="AE488" s="49">
        <f>VINTAGE(AD488,$D488*AE$769,AD940)</f>
        <v/>
      </c>
      <c r="AG488" s="11">
        <f>CodePrefix&amp;$A488&amp;IF($C488="","","."&amp;$C488&amp;"."&amp;$B488)&amp;INDEX(VarEnd,MATCH($A488,VarKey,0))&amp;AG$5</f>
        <v/>
      </c>
      <c r="AH488" s="15">
        <f>$D488*AH$769</f>
        <v/>
      </c>
      <c r="AI488" s="16">
        <f>AH488*(1-AH940)+$D488*AI$769*AH940</f>
        <v/>
      </c>
      <c r="AJ488" s="16">
        <f>AI488*(1-AI940)+$D488*AJ$769*AI940</f>
        <v/>
      </c>
      <c r="AK488" s="16">
        <f>AJ488*(1-AJ940)+$D488*AK$769*AJ940</f>
        <v/>
      </c>
      <c r="AL488" s="16">
        <f>AK488*(1-AK940)+$D488*AL$769*AK940</f>
        <v/>
      </c>
      <c r="AM488" s="16">
        <f>AL488*(1-AL940)+$D488*AM$769*AL940</f>
        <v/>
      </c>
      <c r="AN488" s="16">
        <f>AM488*(1-AM940)+$D488*AN$769*AM940</f>
        <v/>
      </c>
      <c r="AO488" s="16">
        <f>AN488*(1-AN940)+$D488*AO$769*AN940</f>
        <v/>
      </c>
      <c r="AP488" s="16">
        <f>AO488*(1-AO940)+$D488*AP$769*AO940</f>
        <v/>
      </c>
      <c r="AQ488" s="16">
        <f>AP488*(1-AP940)+$D488*AQ$769*AP940</f>
        <v/>
      </c>
      <c r="AR488" s="16">
        <f>AQ488*(1-AQ940)+$D488*AR$769*AQ940</f>
        <v/>
      </c>
      <c r="AS488" s="16">
        <f>AR488*(1-AR940)+$D488*AS$769*AR940</f>
        <v/>
      </c>
      <c r="AT488" s="16">
        <f>AS488*(1-AS940)+$D488*AT$769*AS940</f>
        <v/>
      </c>
      <c r="AU488" s="16">
        <f>AT488*(1-AT940)+$D488*AU$769*AT940</f>
        <v/>
      </c>
      <c r="AV488" s="16">
        <f>AU488*(1-AU940)+$D488*AV$769*AU940</f>
        <v/>
      </c>
      <c r="AW488" s="16">
        <f>AV488*(1-AV940)+$D488*AW$769*AV940</f>
        <v/>
      </c>
      <c r="AX488" s="16">
        <f>AW488*(1-AW940)+$D488*AX$769*AW940</f>
        <v/>
      </c>
      <c r="AY488" s="16">
        <f>AX488*(1-AX940)+$D488*AY$769*AX940</f>
        <v/>
      </c>
      <c r="AZ488" s="16">
        <f>AY488*(1-AY940)+$D488*AZ$769*AY940</f>
        <v/>
      </c>
      <c r="BA488" s="49">
        <f>VINTAGE(AZ488,$D488*BA$769,AZ940)</f>
        <v/>
      </c>
    </row>
    <row r="489" hidden="1" outlineLevel="1">
      <c r="A489" s="14" t="inlineStr">
        <is>
          <t>stoav</t>
        </is>
      </c>
      <c r="B489" s="14" t="inlineStr">
        <is>
          <t>oop</t>
        </is>
      </c>
      <c r="C489" s="14" t="inlineStr">
        <is>
          <t>pow</t>
        </is>
      </c>
      <c r="D489" s="45">
        <f>INDEX(Inputs_power!$O$5:$O$13,MATCH($B489,Inputs_power!$A$5:$A$13,0))</f>
        <v/>
      </c>
      <c r="E489" s="39" t="n"/>
      <c r="F489" s="39" t="n"/>
      <c r="G489" s="39" t="n"/>
      <c r="H489" s="14">
        <f>INDEX(VarLab,MATCH($A489,VarKey,0))&amp;INDEX(MemLab,MATCH($C489&amp;"|"&amp;$B489,MemKey,0))</f>
        <v/>
      </c>
      <c r="I489" s="14">
        <f>INDEX(VarUnit,MATCH($A489,VarKey,0))</f>
        <v/>
      </c>
      <c r="J489" s="14">
        <f>INDEX(VarSrc,MATCH($A489,VarKey,0))</f>
        <v/>
      </c>
      <c r="K489" s="11">
        <f>CodePrefix&amp;$A489&amp;IF($C489="","","."&amp;$C489&amp;"."&amp;$B489)&amp;INDEX(VarEnd,MATCH($A489,VarKey,0))&amp;K$5</f>
        <v/>
      </c>
      <c r="L489" s="15">
        <f>$D489*L$769</f>
        <v/>
      </c>
      <c r="M489" s="16">
        <f>L489*(1-L941)+$D489*M$769*L941</f>
        <v/>
      </c>
      <c r="N489" s="16">
        <f>M489*(1-M941)+$D489*N$769*M941</f>
        <v/>
      </c>
      <c r="O489" s="16">
        <f>N489*(1-N941)+$D489*O$769*N941</f>
        <v/>
      </c>
      <c r="P489" s="16">
        <f>O489*(1-O941)+$D489*P$769*O941</f>
        <v/>
      </c>
      <c r="Q489" s="16">
        <f>P489*(1-P941)+$D489*Q$769*P941</f>
        <v/>
      </c>
      <c r="R489" s="16">
        <f>Q489*(1-Q941)+$D489*R$769*Q941</f>
        <v/>
      </c>
      <c r="S489" s="16">
        <f>R489*(1-R941)+$D489*S$769*R941</f>
        <v/>
      </c>
      <c r="T489" s="16">
        <f>S489*(1-S941)+$D489*T$769*S941</f>
        <v/>
      </c>
      <c r="U489" s="16">
        <f>T489*(1-T941)+$D489*U$769*T941</f>
        <v/>
      </c>
      <c r="V489" s="16">
        <f>U489*(1-U941)+$D489*V$769*U941</f>
        <v/>
      </c>
      <c r="W489" s="16">
        <f>V489*(1-V941)+$D489*W$769*V941</f>
        <v/>
      </c>
      <c r="X489" s="16">
        <f>W489*(1-W941)+$D489*X$769*W941</f>
        <v/>
      </c>
      <c r="Y489" s="16">
        <f>X489*(1-X941)+$D489*Y$769*X941</f>
        <v/>
      </c>
      <c r="Z489" s="16">
        <f>Y489*(1-Y941)+$D489*Z$769*Y941</f>
        <v/>
      </c>
      <c r="AA489" s="16">
        <f>Z489*(1-Z941)+$D489*AA$769*Z941</f>
        <v/>
      </c>
      <c r="AB489" s="16">
        <f>AA489*(1-AA941)+$D489*AB$769*AA941</f>
        <v/>
      </c>
      <c r="AC489" s="16">
        <f>AB489*(1-AB941)+$D489*AC$769*AB941</f>
        <v/>
      </c>
      <c r="AD489" s="16">
        <f>AC489*(1-AC941)+$D489*AD$769*AC941</f>
        <v/>
      </c>
      <c r="AE489" s="49">
        <f>VINTAGE(AD489,$D489*AE$769,AD941)</f>
        <v/>
      </c>
      <c r="AG489" s="11">
        <f>CodePrefix&amp;$A489&amp;IF($C489="","","."&amp;$C489&amp;"."&amp;$B489)&amp;INDEX(VarEnd,MATCH($A489,VarKey,0))&amp;AG$5</f>
        <v/>
      </c>
      <c r="AH489" s="15">
        <f>$D489*AH$769</f>
        <v/>
      </c>
      <c r="AI489" s="16">
        <f>AH489*(1-AH941)+$D489*AI$769*AH941</f>
        <v/>
      </c>
      <c r="AJ489" s="16">
        <f>AI489*(1-AI941)+$D489*AJ$769*AI941</f>
        <v/>
      </c>
      <c r="AK489" s="16">
        <f>AJ489*(1-AJ941)+$D489*AK$769*AJ941</f>
        <v/>
      </c>
      <c r="AL489" s="16">
        <f>AK489*(1-AK941)+$D489*AL$769*AK941</f>
        <v/>
      </c>
      <c r="AM489" s="16">
        <f>AL489*(1-AL941)+$D489*AM$769*AL941</f>
        <v/>
      </c>
      <c r="AN489" s="16">
        <f>AM489*(1-AM941)+$D489*AN$769*AM941</f>
        <v/>
      </c>
      <c r="AO489" s="16">
        <f>AN489*(1-AN941)+$D489*AO$769*AN941</f>
        <v/>
      </c>
      <c r="AP489" s="16">
        <f>AO489*(1-AO941)+$D489*AP$769*AO941</f>
        <v/>
      </c>
      <c r="AQ489" s="16">
        <f>AP489*(1-AP941)+$D489*AQ$769*AP941</f>
        <v/>
      </c>
      <c r="AR489" s="16">
        <f>AQ489*(1-AQ941)+$D489*AR$769*AQ941</f>
        <v/>
      </c>
      <c r="AS489" s="16">
        <f>AR489*(1-AR941)+$D489*AS$769*AR941</f>
        <v/>
      </c>
      <c r="AT489" s="16">
        <f>AS489*(1-AS941)+$D489*AT$769*AS941</f>
        <v/>
      </c>
      <c r="AU489" s="16">
        <f>AT489*(1-AT941)+$D489*AU$769*AT941</f>
        <v/>
      </c>
      <c r="AV489" s="16">
        <f>AU489*(1-AU941)+$D489*AV$769*AU941</f>
        <v/>
      </c>
      <c r="AW489" s="16">
        <f>AV489*(1-AV941)+$D489*AW$769*AV941</f>
        <v/>
      </c>
      <c r="AX489" s="16">
        <f>AW489*(1-AW941)+$D489*AX$769*AW941</f>
        <v/>
      </c>
      <c r="AY489" s="16">
        <f>AX489*(1-AX941)+$D489*AY$769*AX941</f>
        <v/>
      </c>
      <c r="AZ489" s="16">
        <f>AY489*(1-AY941)+$D489*AZ$769*AY941</f>
        <v/>
      </c>
      <c r="BA489" s="49">
        <f>VINTAGE(AZ489,$D489*BA$769,AZ941)</f>
        <v/>
      </c>
    </row>
    <row r="490" hidden="1" outlineLevel="1">
      <c r="A490" s="14" t="inlineStr">
        <is>
          <t>stoav</t>
        </is>
      </c>
      <c r="B490" s="14" t="inlineStr">
        <is>
          <t>nuc</t>
        </is>
      </c>
      <c r="C490" s="14" t="inlineStr">
        <is>
          <t>pow</t>
        </is>
      </c>
      <c r="D490" s="45">
        <f>INDEX(Inputs_power!$O$5:$O$13,MATCH($B490,Inputs_power!$A$5:$A$13,0))</f>
        <v/>
      </c>
      <c r="E490" s="39" t="n"/>
      <c r="F490" s="39" t="n"/>
      <c r="G490" s="39" t="n"/>
      <c r="H490" s="14">
        <f>INDEX(VarLab,MATCH($A490,VarKey,0))&amp;INDEX(MemLab,MATCH($C490&amp;"|"&amp;$B490,MemKey,0))</f>
        <v/>
      </c>
      <c r="I490" s="14">
        <f>INDEX(VarUnit,MATCH($A490,VarKey,0))</f>
        <v/>
      </c>
      <c r="J490" s="14">
        <f>INDEX(VarSrc,MATCH($A490,VarKey,0))</f>
        <v/>
      </c>
      <c r="K490" s="11">
        <f>CodePrefix&amp;$A490&amp;IF($C490="","","."&amp;$C490&amp;"."&amp;$B490)&amp;INDEX(VarEnd,MATCH($A490,VarKey,0))&amp;K$5</f>
        <v/>
      </c>
      <c r="L490" s="15">
        <f>$D490*L$769</f>
        <v/>
      </c>
      <c r="M490" s="16">
        <f>L490*(1-L942)+$D490*M$769*L942</f>
        <v/>
      </c>
      <c r="N490" s="16">
        <f>M490*(1-M942)+$D490*N$769*M942</f>
        <v/>
      </c>
      <c r="O490" s="16">
        <f>N490*(1-N942)+$D490*O$769*N942</f>
        <v/>
      </c>
      <c r="P490" s="16">
        <f>O490*(1-O942)+$D490*P$769*O942</f>
        <v/>
      </c>
      <c r="Q490" s="16">
        <f>P490*(1-P942)+$D490*Q$769*P942</f>
        <v/>
      </c>
      <c r="R490" s="16">
        <f>Q490*(1-Q942)+$D490*R$769*Q942</f>
        <v/>
      </c>
      <c r="S490" s="16">
        <f>R490*(1-R942)+$D490*S$769*R942</f>
        <v/>
      </c>
      <c r="T490" s="16">
        <f>S490*(1-S942)+$D490*T$769*S942</f>
        <v/>
      </c>
      <c r="U490" s="16">
        <f>T490*(1-T942)+$D490*U$769*T942</f>
        <v/>
      </c>
      <c r="V490" s="16">
        <f>U490*(1-U942)+$D490*V$769*U942</f>
        <v/>
      </c>
      <c r="W490" s="16">
        <f>V490*(1-V942)+$D490*W$769*V942</f>
        <v/>
      </c>
      <c r="X490" s="16">
        <f>W490*(1-W942)+$D490*X$769*W942</f>
        <v/>
      </c>
      <c r="Y490" s="16">
        <f>X490*(1-X942)+$D490*Y$769*X942</f>
        <v/>
      </c>
      <c r="Z490" s="16">
        <f>Y490*(1-Y942)+$D490*Z$769*Y942</f>
        <v/>
      </c>
      <c r="AA490" s="16">
        <f>Z490*(1-Z942)+$D490*AA$769*Z942</f>
        <v/>
      </c>
      <c r="AB490" s="16">
        <f>AA490*(1-AA942)+$D490*AB$769*AA942</f>
        <v/>
      </c>
      <c r="AC490" s="16">
        <f>AB490*(1-AB942)+$D490*AC$769*AB942</f>
        <v/>
      </c>
      <c r="AD490" s="16">
        <f>AC490*(1-AC942)+$D490*AD$769*AC942</f>
        <v/>
      </c>
      <c r="AE490" s="49">
        <f>VINTAGE(AD490,$D490*AE$769,AD942)</f>
        <v/>
      </c>
      <c r="AG490" s="11">
        <f>CodePrefix&amp;$A490&amp;IF($C490="","","."&amp;$C490&amp;"."&amp;$B490)&amp;INDEX(VarEnd,MATCH($A490,VarKey,0))&amp;AG$5</f>
        <v/>
      </c>
      <c r="AH490" s="15">
        <f>$D490*AH$769</f>
        <v/>
      </c>
      <c r="AI490" s="16">
        <f>AH490*(1-AH942)+$D490*AI$769*AH942</f>
        <v/>
      </c>
      <c r="AJ490" s="16">
        <f>AI490*(1-AI942)+$D490*AJ$769*AI942</f>
        <v/>
      </c>
      <c r="AK490" s="16">
        <f>AJ490*(1-AJ942)+$D490*AK$769*AJ942</f>
        <v/>
      </c>
      <c r="AL490" s="16">
        <f>AK490*(1-AK942)+$D490*AL$769*AK942</f>
        <v/>
      </c>
      <c r="AM490" s="16">
        <f>AL490*(1-AL942)+$D490*AM$769*AL942</f>
        <v/>
      </c>
      <c r="AN490" s="16">
        <f>AM490*(1-AM942)+$D490*AN$769*AM942</f>
        <v/>
      </c>
      <c r="AO490" s="16">
        <f>AN490*(1-AN942)+$D490*AO$769*AN942</f>
        <v/>
      </c>
      <c r="AP490" s="16">
        <f>AO490*(1-AO942)+$D490*AP$769*AO942</f>
        <v/>
      </c>
      <c r="AQ490" s="16">
        <f>AP490*(1-AP942)+$D490*AQ$769*AP942</f>
        <v/>
      </c>
      <c r="AR490" s="16">
        <f>AQ490*(1-AQ942)+$D490*AR$769*AQ942</f>
        <v/>
      </c>
      <c r="AS490" s="16">
        <f>AR490*(1-AR942)+$D490*AS$769*AR942</f>
        <v/>
      </c>
      <c r="AT490" s="16">
        <f>AS490*(1-AS942)+$D490*AT$769*AS942</f>
        <v/>
      </c>
      <c r="AU490" s="16">
        <f>AT490*(1-AT942)+$D490*AU$769*AT942</f>
        <v/>
      </c>
      <c r="AV490" s="16">
        <f>AU490*(1-AU942)+$D490*AV$769*AU942</f>
        <v/>
      </c>
      <c r="AW490" s="16">
        <f>AV490*(1-AV942)+$D490*AW$769*AV942</f>
        <v/>
      </c>
      <c r="AX490" s="16">
        <f>AW490*(1-AW942)+$D490*AX$769*AW942</f>
        <v/>
      </c>
      <c r="AY490" s="16">
        <f>AX490*(1-AX942)+$D490*AY$769*AX942</f>
        <v/>
      </c>
      <c r="AZ490" s="16">
        <f>AY490*(1-AY942)+$D490*AZ$769*AY942</f>
        <v/>
      </c>
      <c r="BA490" s="49">
        <f>VINTAGE(AZ490,$D490*BA$769,AZ942)</f>
        <v/>
      </c>
    </row>
    <row r="491" hidden="1" outlineLevel="1">
      <c r="A491" s="14" t="inlineStr">
        <is>
          <t>stoav</t>
        </is>
      </c>
      <c r="B491" s="14" t="inlineStr">
        <is>
          <t>wnd</t>
        </is>
      </c>
      <c r="C491" s="14" t="inlineStr">
        <is>
          <t>pow</t>
        </is>
      </c>
      <c r="D491" s="45">
        <f>INDEX(Inputs_power!$O$5:$O$13,MATCH($B491,Inputs_power!$A$5:$A$13,0))</f>
        <v/>
      </c>
      <c r="E491" s="39" t="n"/>
      <c r="F491" s="39" t="n"/>
      <c r="G491" s="39" t="n"/>
      <c r="H491" s="14">
        <f>INDEX(VarLab,MATCH($A491,VarKey,0))&amp;INDEX(MemLab,MATCH($C491&amp;"|"&amp;$B491,MemKey,0))</f>
        <v/>
      </c>
      <c r="I491" s="14">
        <f>INDEX(VarUnit,MATCH($A491,VarKey,0))</f>
        <v/>
      </c>
      <c r="J491" s="14">
        <f>INDEX(VarSrc,MATCH($A491,VarKey,0))</f>
        <v/>
      </c>
      <c r="K491" s="11">
        <f>CodePrefix&amp;$A491&amp;IF($C491="","","."&amp;$C491&amp;"."&amp;$B491)&amp;INDEX(VarEnd,MATCH($A491,VarKey,0))&amp;K$5</f>
        <v/>
      </c>
      <c r="L491" s="15">
        <f>$D491*L$769</f>
        <v/>
      </c>
      <c r="M491" s="16">
        <f>L491*(1-L943)+$D491*M$769*L943</f>
        <v/>
      </c>
      <c r="N491" s="16">
        <f>M491*(1-M943)+$D491*N$769*M943</f>
        <v/>
      </c>
      <c r="O491" s="16">
        <f>N491*(1-N943)+$D491*O$769*N943</f>
        <v/>
      </c>
      <c r="P491" s="16">
        <f>O491*(1-O943)+$D491*P$769*O943</f>
        <v/>
      </c>
      <c r="Q491" s="16">
        <f>P491*(1-P943)+$D491*Q$769*P943</f>
        <v/>
      </c>
      <c r="R491" s="16">
        <f>Q491*(1-Q943)+$D491*R$769*Q943</f>
        <v/>
      </c>
      <c r="S491" s="16">
        <f>R491*(1-R943)+$D491*S$769*R943</f>
        <v/>
      </c>
      <c r="T491" s="16">
        <f>S491*(1-S943)+$D491*T$769*S943</f>
        <v/>
      </c>
      <c r="U491" s="16">
        <f>T491*(1-T943)+$D491*U$769*T943</f>
        <v/>
      </c>
      <c r="V491" s="16">
        <f>U491*(1-U943)+$D491*V$769*U943</f>
        <v/>
      </c>
      <c r="W491" s="16">
        <f>V491*(1-V943)+$D491*W$769*V943</f>
        <v/>
      </c>
      <c r="X491" s="16">
        <f>W491*(1-W943)+$D491*X$769*W943</f>
        <v/>
      </c>
      <c r="Y491" s="16">
        <f>X491*(1-X943)+$D491*Y$769*X943</f>
        <v/>
      </c>
      <c r="Z491" s="16">
        <f>Y491*(1-Y943)+$D491*Z$769*Y943</f>
        <v/>
      </c>
      <c r="AA491" s="16">
        <f>Z491*(1-Z943)+$D491*AA$769*Z943</f>
        <v/>
      </c>
      <c r="AB491" s="16">
        <f>AA491*(1-AA943)+$D491*AB$769*AA943</f>
        <v/>
      </c>
      <c r="AC491" s="16">
        <f>AB491*(1-AB943)+$D491*AC$769*AB943</f>
        <v/>
      </c>
      <c r="AD491" s="16">
        <f>AC491*(1-AC943)+$D491*AD$769*AC943</f>
        <v/>
      </c>
      <c r="AE491" s="49">
        <f>VINTAGE(AD491,$D491*AE$769,AD943)</f>
        <v/>
      </c>
      <c r="AG491" s="11">
        <f>CodePrefix&amp;$A491&amp;IF($C491="","","."&amp;$C491&amp;"."&amp;$B491)&amp;INDEX(VarEnd,MATCH($A491,VarKey,0))&amp;AG$5</f>
        <v/>
      </c>
      <c r="AH491" s="15">
        <f>$D491*AH$769</f>
        <v/>
      </c>
      <c r="AI491" s="16">
        <f>AH491*(1-AH943)+$D491*AI$769*AH943</f>
        <v/>
      </c>
      <c r="AJ491" s="16">
        <f>AI491*(1-AI943)+$D491*AJ$769*AI943</f>
        <v/>
      </c>
      <c r="AK491" s="16">
        <f>AJ491*(1-AJ943)+$D491*AK$769*AJ943</f>
        <v/>
      </c>
      <c r="AL491" s="16">
        <f>AK491*(1-AK943)+$D491*AL$769*AK943</f>
        <v/>
      </c>
      <c r="AM491" s="16">
        <f>AL491*(1-AL943)+$D491*AM$769*AL943</f>
        <v/>
      </c>
      <c r="AN491" s="16">
        <f>AM491*(1-AM943)+$D491*AN$769*AM943</f>
        <v/>
      </c>
      <c r="AO491" s="16">
        <f>AN491*(1-AN943)+$D491*AO$769*AN943</f>
        <v/>
      </c>
      <c r="AP491" s="16">
        <f>AO491*(1-AO943)+$D491*AP$769*AO943</f>
        <v/>
      </c>
      <c r="AQ491" s="16">
        <f>AP491*(1-AP943)+$D491*AQ$769*AP943</f>
        <v/>
      </c>
      <c r="AR491" s="16">
        <f>AQ491*(1-AQ943)+$D491*AR$769*AQ943</f>
        <v/>
      </c>
      <c r="AS491" s="16">
        <f>AR491*(1-AR943)+$D491*AS$769*AR943</f>
        <v/>
      </c>
      <c r="AT491" s="16">
        <f>AS491*(1-AS943)+$D491*AT$769*AS943</f>
        <v/>
      </c>
      <c r="AU491" s="16">
        <f>AT491*(1-AT943)+$D491*AU$769*AT943</f>
        <v/>
      </c>
      <c r="AV491" s="16">
        <f>AU491*(1-AU943)+$D491*AV$769*AU943</f>
        <v/>
      </c>
      <c r="AW491" s="16">
        <f>AV491*(1-AV943)+$D491*AW$769*AV943</f>
        <v/>
      </c>
      <c r="AX491" s="16">
        <f>AW491*(1-AW943)+$D491*AX$769*AW943</f>
        <v/>
      </c>
      <c r="AY491" s="16">
        <f>AX491*(1-AX943)+$D491*AY$769*AX943</f>
        <v/>
      </c>
      <c r="AZ491" s="16">
        <f>AY491*(1-AY943)+$D491*AZ$769*AY943</f>
        <v/>
      </c>
      <c r="BA491" s="49">
        <f>VINTAGE(AZ491,$D491*BA$769,AZ943)</f>
        <v/>
      </c>
    </row>
    <row r="492" hidden="1" outlineLevel="1">
      <c r="A492" s="14" t="inlineStr">
        <is>
          <t>stoav</t>
        </is>
      </c>
      <c r="B492" s="14" t="inlineStr">
        <is>
          <t>sol</t>
        </is>
      </c>
      <c r="C492" s="14" t="inlineStr">
        <is>
          <t>pow</t>
        </is>
      </c>
      <c r="D492" s="45">
        <f>INDEX(Inputs_power!$O$5:$O$13,MATCH($B492,Inputs_power!$A$5:$A$13,0))</f>
        <v/>
      </c>
      <c r="E492" s="39" t="n"/>
      <c r="F492" s="39" t="n"/>
      <c r="G492" s="39" t="n"/>
      <c r="H492" s="14">
        <f>INDEX(VarLab,MATCH($A492,VarKey,0))&amp;INDEX(MemLab,MATCH($C492&amp;"|"&amp;$B492,MemKey,0))</f>
        <v/>
      </c>
      <c r="I492" s="14">
        <f>INDEX(VarUnit,MATCH($A492,VarKey,0))</f>
        <v/>
      </c>
      <c r="J492" s="14">
        <f>INDEX(VarSrc,MATCH($A492,VarKey,0))</f>
        <v/>
      </c>
      <c r="K492" s="11">
        <f>CodePrefix&amp;$A492&amp;IF($C492="","","."&amp;$C492&amp;"."&amp;$B492)&amp;INDEX(VarEnd,MATCH($A492,VarKey,0))&amp;K$5</f>
        <v/>
      </c>
      <c r="L492" s="15">
        <f>$D492*L$769</f>
        <v/>
      </c>
      <c r="M492" s="16">
        <f>L492*(1-L944)+$D492*M$769*L944</f>
        <v/>
      </c>
      <c r="N492" s="16">
        <f>M492*(1-M944)+$D492*N$769*M944</f>
        <v/>
      </c>
      <c r="O492" s="16">
        <f>N492*(1-N944)+$D492*O$769*N944</f>
        <v/>
      </c>
      <c r="P492" s="16">
        <f>O492*(1-O944)+$D492*P$769*O944</f>
        <v/>
      </c>
      <c r="Q492" s="16">
        <f>P492*(1-P944)+$D492*Q$769*P944</f>
        <v/>
      </c>
      <c r="R492" s="16">
        <f>Q492*(1-Q944)+$D492*R$769*Q944</f>
        <v/>
      </c>
      <c r="S492" s="16">
        <f>R492*(1-R944)+$D492*S$769*R944</f>
        <v/>
      </c>
      <c r="T492" s="16">
        <f>S492*(1-S944)+$D492*T$769*S944</f>
        <v/>
      </c>
      <c r="U492" s="16">
        <f>T492*(1-T944)+$D492*U$769*T944</f>
        <v/>
      </c>
      <c r="V492" s="16">
        <f>U492*(1-U944)+$D492*V$769*U944</f>
        <v/>
      </c>
      <c r="W492" s="16">
        <f>V492*(1-V944)+$D492*W$769*V944</f>
        <v/>
      </c>
      <c r="X492" s="16">
        <f>W492*(1-W944)+$D492*X$769*W944</f>
        <v/>
      </c>
      <c r="Y492" s="16">
        <f>X492*(1-X944)+$D492*Y$769*X944</f>
        <v/>
      </c>
      <c r="Z492" s="16">
        <f>Y492*(1-Y944)+$D492*Z$769*Y944</f>
        <v/>
      </c>
      <c r="AA492" s="16">
        <f>Z492*(1-Z944)+$D492*AA$769*Z944</f>
        <v/>
      </c>
      <c r="AB492" s="16">
        <f>AA492*(1-AA944)+$D492*AB$769*AA944</f>
        <v/>
      </c>
      <c r="AC492" s="16">
        <f>AB492*(1-AB944)+$D492*AC$769*AB944</f>
        <v/>
      </c>
      <c r="AD492" s="16">
        <f>AC492*(1-AC944)+$D492*AD$769*AC944</f>
        <v/>
      </c>
      <c r="AE492" s="49">
        <f>VINTAGE(AD492,$D492*AE$769,AD944)</f>
        <v/>
      </c>
      <c r="AG492" s="11">
        <f>CodePrefix&amp;$A492&amp;IF($C492="","","."&amp;$C492&amp;"."&amp;$B492)&amp;INDEX(VarEnd,MATCH($A492,VarKey,0))&amp;AG$5</f>
        <v/>
      </c>
      <c r="AH492" s="15">
        <f>$D492*AH$769</f>
        <v/>
      </c>
      <c r="AI492" s="16">
        <f>AH492*(1-AH944)+$D492*AI$769*AH944</f>
        <v/>
      </c>
      <c r="AJ492" s="16">
        <f>AI492*(1-AI944)+$D492*AJ$769*AI944</f>
        <v/>
      </c>
      <c r="AK492" s="16">
        <f>AJ492*(1-AJ944)+$D492*AK$769*AJ944</f>
        <v/>
      </c>
      <c r="AL492" s="16">
        <f>AK492*(1-AK944)+$D492*AL$769*AK944</f>
        <v/>
      </c>
      <c r="AM492" s="16">
        <f>AL492*(1-AL944)+$D492*AM$769*AL944</f>
        <v/>
      </c>
      <c r="AN492" s="16">
        <f>AM492*(1-AM944)+$D492*AN$769*AM944</f>
        <v/>
      </c>
      <c r="AO492" s="16">
        <f>AN492*(1-AN944)+$D492*AO$769*AN944</f>
        <v/>
      </c>
      <c r="AP492" s="16">
        <f>AO492*(1-AO944)+$D492*AP$769*AO944</f>
        <v/>
      </c>
      <c r="AQ492" s="16">
        <f>AP492*(1-AP944)+$D492*AQ$769*AP944</f>
        <v/>
      </c>
      <c r="AR492" s="16">
        <f>AQ492*(1-AQ944)+$D492*AR$769*AQ944</f>
        <v/>
      </c>
      <c r="AS492" s="16">
        <f>AR492*(1-AR944)+$D492*AS$769*AR944</f>
        <v/>
      </c>
      <c r="AT492" s="16">
        <f>AS492*(1-AS944)+$D492*AT$769*AS944</f>
        <v/>
      </c>
      <c r="AU492" s="16">
        <f>AT492*(1-AT944)+$D492*AU$769*AT944</f>
        <v/>
      </c>
      <c r="AV492" s="16">
        <f>AU492*(1-AU944)+$D492*AV$769*AU944</f>
        <v/>
      </c>
      <c r="AW492" s="16">
        <f>AV492*(1-AV944)+$D492*AW$769*AV944</f>
        <v/>
      </c>
      <c r="AX492" s="16">
        <f>AW492*(1-AW944)+$D492*AX$769*AW944</f>
        <v/>
      </c>
      <c r="AY492" s="16">
        <f>AX492*(1-AX944)+$D492*AY$769*AX944</f>
        <v/>
      </c>
      <c r="AZ492" s="16">
        <f>AY492*(1-AY944)+$D492*AZ$769*AY944</f>
        <v/>
      </c>
      <c r="BA492" s="49">
        <f>VINTAGE(AZ492,$D492*BA$769,AZ944)</f>
        <v/>
      </c>
    </row>
    <row r="493" hidden="1" outlineLevel="1">
      <c r="A493" s="14" t="inlineStr">
        <is>
          <t>stoav</t>
        </is>
      </c>
      <c r="B493" s="14" t="inlineStr">
        <is>
          <t>hyd</t>
        </is>
      </c>
      <c r="C493" s="14" t="inlineStr">
        <is>
          <t>pow</t>
        </is>
      </c>
      <c r="D493" s="45">
        <f>INDEX(Inputs_power!$O$5:$O$13,MATCH($B493,Inputs_power!$A$5:$A$13,0))</f>
        <v/>
      </c>
      <c r="E493" s="39" t="n"/>
      <c r="F493" s="39" t="n"/>
      <c r="G493" s="39" t="n"/>
      <c r="H493" s="14">
        <f>INDEX(VarLab,MATCH($A493,VarKey,0))&amp;INDEX(MemLab,MATCH($C493&amp;"|"&amp;$B493,MemKey,0))</f>
        <v/>
      </c>
      <c r="I493" s="14">
        <f>INDEX(VarUnit,MATCH($A493,VarKey,0))</f>
        <v/>
      </c>
      <c r="J493" s="14">
        <f>INDEX(VarSrc,MATCH($A493,VarKey,0))</f>
        <v/>
      </c>
      <c r="K493" s="11">
        <f>CodePrefix&amp;$A493&amp;IF($C493="","","."&amp;$C493&amp;"."&amp;$B493)&amp;INDEX(VarEnd,MATCH($A493,VarKey,0))&amp;K$5</f>
        <v/>
      </c>
      <c r="L493" s="15">
        <f>$D493*L$769</f>
        <v/>
      </c>
      <c r="M493" s="16">
        <f>L493*(1-L945)+$D493*M$769*L945</f>
        <v/>
      </c>
      <c r="N493" s="16">
        <f>M493*(1-M945)+$D493*N$769*M945</f>
        <v/>
      </c>
      <c r="O493" s="16">
        <f>N493*(1-N945)+$D493*O$769*N945</f>
        <v/>
      </c>
      <c r="P493" s="16">
        <f>O493*(1-O945)+$D493*P$769*O945</f>
        <v/>
      </c>
      <c r="Q493" s="16">
        <f>P493*(1-P945)+$D493*Q$769*P945</f>
        <v/>
      </c>
      <c r="R493" s="16">
        <f>Q493*(1-Q945)+$D493*R$769*Q945</f>
        <v/>
      </c>
      <c r="S493" s="16">
        <f>R493*(1-R945)+$D493*S$769*R945</f>
        <v/>
      </c>
      <c r="T493" s="16">
        <f>S493*(1-S945)+$D493*T$769*S945</f>
        <v/>
      </c>
      <c r="U493" s="16">
        <f>T493*(1-T945)+$D493*U$769*T945</f>
        <v/>
      </c>
      <c r="V493" s="16">
        <f>U493*(1-U945)+$D493*V$769*U945</f>
        <v/>
      </c>
      <c r="W493" s="16">
        <f>V493*(1-V945)+$D493*W$769*V945</f>
        <v/>
      </c>
      <c r="X493" s="16">
        <f>W493*(1-W945)+$D493*X$769*W945</f>
        <v/>
      </c>
      <c r="Y493" s="16">
        <f>X493*(1-X945)+$D493*Y$769*X945</f>
        <v/>
      </c>
      <c r="Z493" s="16">
        <f>Y493*(1-Y945)+$D493*Z$769*Y945</f>
        <v/>
      </c>
      <c r="AA493" s="16">
        <f>Z493*(1-Z945)+$D493*AA$769*Z945</f>
        <v/>
      </c>
      <c r="AB493" s="16">
        <f>AA493*(1-AA945)+$D493*AB$769*AA945</f>
        <v/>
      </c>
      <c r="AC493" s="16">
        <f>AB493*(1-AB945)+$D493*AC$769*AB945</f>
        <v/>
      </c>
      <c r="AD493" s="16">
        <f>AC493*(1-AC945)+$D493*AD$769*AC945</f>
        <v/>
      </c>
      <c r="AE493" s="49">
        <f>VINTAGE(AD493,$D493*AE$769,AD945)</f>
        <v/>
      </c>
      <c r="AG493" s="11">
        <f>CodePrefix&amp;$A493&amp;IF($C493="","","."&amp;$C493&amp;"."&amp;$B493)&amp;INDEX(VarEnd,MATCH($A493,VarKey,0))&amp;AG$5</f>
        <v/>
      </c>
      <c r="AH493" s="15">
        <f>$D493*AH$769</f>
        <v/>
      </c>
      <c r="AI493" s="16">
        <f>AH493*(1-AH945)+$D493*AI$769*AH945</f>
        <v/>
      </c>
      <c r="AJ493" s="16">
        <f>AI493*(1-AI945)+$D493*AJ$769*AI945</f>
        <v/>
      </c>
      <c r="AK493" s="16">
        <f>AJ493*(1-AJ945)+$D493*AK$769*AJ945</f>
        <v/>
      </c>
      <c r="AL493" s="16">
        <f>AK493*(1-AK945)+$D493*AL$769*AK945</f>
        <v/>
      </c>
      <c r="AM493" s="16">
        <f>AL493*(1-AL945)+$D493*AM$769*AL945</f>
        <v/>
      </c>
      <c r="AN493" s="16">
        <f>AM493*(1-AM945)+$D493*AN$769*AM945</f>
        <v/>
      </c>
      <c r="AO493" s="16">
        <f>AN493*(1-AN945)+$D493*AO$769*AN945</f>
        <v/>
      </c>
      <c r="AP493" s="16">
        <f>AO493*(1-AO945)+$D493*AP$769*AO945</f>
        <v/>
      </c>
      <c r="AQ493" s="16">
        <f>AP493*(1-AP945)+$D493*AQ$769*AP945</f>
        <v/>
      </c>
      <c r="AR493" s="16">
        <f>AQ493*(1-AQ945)+$D493*AR$769*AQ945</f>
        <v/>
      </c>
      <c r="AS493" s="16">
        <f>AR493*(1-AR945)+$D493*AS$769*AR945</f>
        <v/>
      </c>
      <c r="AT493" s="16">
        <f>AS493*(1-AS945)+$D493*AT$769*AS945</f>
        <v/>
      </c>
      <c r="AU493" s="16">
        <f>AT493*(1-AT945)+$D493*AU$769*AT945</f>
        <v/>
      </c>
      <c r="AV493" s="16">
        <f>AU493*(1-AU945)+$D493*AV$769*AU945</f>
        <v/>
      </c>
      <c r="AW493" s="16">
        <f>AV493*(1-AV945)+$D493*AW$769*AV945</f>
        <v/>
      </c>
      <c r="AX493" s="16">
        <f>AW493*(1-AW945)+$D493*AX$769*AW945</f>
        <v/>
      </c>
      <c r="AY493" s="16">
        <f>AX493*(1-AX945)+$D493*AY$769*AX945</f>
        <v/>
      </c>
      <c r="AZ493" s="16">
        <f>AY493*(1-AY945)+$D493*AZ$769*AY945</f>
        <v/>
      </c>
      <c r="BA493" s="49">
        <f>VINTAGE(AZ493,$D493*BA$769,AZ945)</f>
        <v/>
      </c>
    </row>
    <row r="494" hidden="1" outlineLevel="1">
      <c r="A494" s="14" t="inlineStr">
        <is>
          <t>stoav</t>
        </is>
      </c>
      <c r="B494" s="14" t="inlineStr">
        <is>
          <t>ore</t>
        </is>
      </c>
      <c r="C494" s="14" t="inlineStr">
        <is>
          <t>pow</t>
        </is>
      </c>
      <c r="D494" s="45">
        <f>INDEX(Inputs_power!$O$5:$O$13,MATCH($B494,Inputs_power!$A$5:$A$13,0))</f>
        <v/>
      </c>
      <c r="E494" s="39" t="n"/>
      <c r="F494" s="39" t="n"/>
      <c r="G494" s="39" t="n"/>
      <c r="H494" s="14">
        <f>INDEX(VarLab,MATCH($A494,VarKey,0))&amp;INDEX(MemLab,MATCH($C494&amp;"|"&amp;$B494,MemKey,0))</f>
        <v/>
      </c>
      <c r="I494" s="14">
        <f>INDEX(VarUnit,MATCH($A494,VarKey,0))</f>
        <v/>
      </c>
      <c r="J494" s="14">
        <f>INDEX(VarSrc,MATCH($A494,VarKey,0))</f>
        <v/>
      </c>
      <c r="K494" s="11">
        <f>CodePrefix&amp;$A494&amp;IF($C494="","","."&amp;$C494&amp;"."&amp;$B494)&amp;INDEX(VarEnd,MATCH($A494,VarKey,0))&amp;K$5</f>
        <v/>
      </c>
      <c r="L494" s="15">
        <f>$D494*L$769</f>
        <v/>
      </c>
      <c r="M494" s="16">
        <f>L494*(1-L946)+$D494*M$769*L946</f>
        <v/>
      </c>
      <c r="N494" s="16">
        <f>M494*(1-M946)+$D494*N$769*M946</f>
        <v/>
      </c>
      <c r="O494" s="16">
        <f>N494*(1-N946)+$D494*O$769*N946</f>
        <v/>
      </c>
      <c r="P494" s="16">
        <f>O494*(1-O946)+$D494*P$769*O946</f>
        <v/>
      </c>
      <c r="Q494" s="16">
        <f>P494*(1-P946)+$D494*Q$769*P946</f>
        <v/>
      </c>
      <c r="R494" s="16">
        <f>Q494*(1-Q946)+$D494*R$769*Q946</f>
        <v/>
      </c>
      <c r="S494" s="16">
        <f>R494*(1-R946)+$D494*S$769*R946</f>
        <v/>
      </c>
      <c r="T494" s="16">
        <f>S494*(1-S946)+$D494*T$769*S946</f>
        <v/>
      </c>
      <c r="U494" s="16">
        <f>T494*(1-T946)+$D494*U$769*T946</f>
        <v/>
      </c>
      <c r="V494" s="16">
        <f>U494*(1-U946)+$D494*V$769*U946</f>
        <v/>
      </c>
      <c r="W494" s="16">
        <f>V494*(1-V946)+$D494*W$769*V946</f>
        <v/>
      </c>
      <c r="X494" s="16">
        <f>W494*(1-W946)+$D494*X$769*W946</f>
        <v/>
      </c>
      <c r="Y494" s="16">
        <f>X494*(1-X946)+$D494*Y$769*X946</f>
        <v/>
      </c>
      <c r="Z494" s="16">
        <f>Y494*(1-Y946)+$D494*Z$769*Y946</f>
        <v/>
      </c>
      <c r="AA494" s="16">
        <f>Z494*(1-Z946)+$D494*AA$769*Z946</f>
        <v/>
      </c>
      <c r="AB494" s="16">
        <f>AA494*(1-AA946)+$D494*AB$769*AA946</f>
        <v/>
      </c>
      <c r="AC494" s="16">
        <f>AB494*(1-AB946)+$D494*AC$769*AB946</f>
        <v/>
      </c>
      <c r="AD494" s="16">
        <f>AC494*(1-AC946)+$D494*AD$769*AC946</f>
        <v/>
      </c>
      <c r="AE494" s="49">
        <f>VINTAGE(AD494,$D494*AE$769,AD946)</f>
        <v/>
      </c>
      <c r="AG494" s="11">
        <f>CodePrefix&amp;$A494&amp;IF($C494="","","."&amp;$C494&amp;"."&amp;$B494)&amp;INDEX(VarEnd,MATCH($A494,VarKey,0))&amp;AG$5</f>
        <v/>
      </c>
      <c r="AH494" s="15">
        <f>$D494*AH$769</f>
        <v/>
      </c>
      <c r="AI494" s="16">
        <f>AH494*(1-AH946)+$D494*AI$769*AH946</f>
        <v/>
      </c>
      <c r="AJ494" s="16">
        <f>AI494*(1-AI946)+$D494*AJ$769*AI946</f>
        <v/>
      </c>
      <c r="AK494" s="16">
        <f>AJ494*(1-AJ946)+$D494*AK$769*AJ946</f>
        <v/>
      </c>
      <c r="AL494" s="16">
        <f>AK494*(1-AK946)+$D494*AL$769*AK946</f>
        <v/>
      </c>
      <c r="AM494" s="16">
        <f>AL494*(1-AL946)+$D494*AM$769*AL946</f>
        <v/>
      </c>
      <c r="AN494" s="16">
        <f>AM494*(1-AM946)+$D494*AN$769*AM946</f>
        <v/>
      </c>
      <c r="AO494" s="16">
        <f>AN494*(1-AN946)+$D494*AO$769*AN946</f>
        <v/>
      </c>
      <c r="AP494" s="16">
        <f>AO494*(1-AO946)+$D494*AP$769*AO946</f>
        <v/>
      </c>
      <c r="AQ494" s="16">
        <f>AP494*(1-AP946)+$D494*AQ$769*AP946</f>
        <v/>
      </c>
      <c r="AR494" s="16">
        <f>AQ494*(1-AQ946)+$D494*AR$769*AQ946</f>
        <v/>
      </c>
      <c r="AS494" s="16">
        <f>AR494*(1-AR946)+$D494*AS$769*AR946</f>
        <v/>
      </c>
      <c r="AT494" s="16">
        <f>AS494*(1-AS946)+$D494*AT$769*AS946</f>
        <v/>
      </c>
      <c r="AU494" s="16">
        <f>AT494*(1-AT946)+$D494*AU$769*AT946</f>
        <v/>
      </c>
      <c r="AV494" s="16">
        <f>AU494*(1-AU946)+$D494*AV$769*AU946</f>
        <v/>
      </c>
      <c r="AW494" s="16">
        <f>AV494*(1-AV946)+$D494*AW$769*AV946</f>
        <v/>
      </c>
      <c r="AX494" s="16">
        <f>AW494*(1-AW946)+$D494*AX$769*AW946</f>
        <v/>
      </c>
      <c r="AY494" s="16">
        <f>AX494*(1-AX946)+$D494*AY$769*AX946</f>
        <v/>
      </c>
      <c r="AZ494" s="16">
        <f>AY494*(1-AY946)+$D494*AZ$769*AY946</f>
        <v/>
      </c>
      <c r="BA494" s="49">
        <f>VINTAGE(AZ494,$D494*BA$769,AZ946)</f>
        <v/>
      </c>
    </row>
    <row r="495" hidden="1" outlineLevel="1">
      <c r="A495" s="14" t="inlineStr">
        <is>
          <t>stoav</t>
        </is>
      </c>
      <c r="B495" s="14" t="inlineStr">
        <is>
          <t>bio</t>
        </is>
      </c>
      <c r="C495" s="14" t="inlineStr">
        <is>
          <t>pow</t>
        </is>
      </c>
      <c r="D495" s="45">
        <f>INDEX(Inputs_power!$O$5:$O$13,MATCH($B495,Inputs_power!$A$5:$A$13,0))</f>
        <v/>
      </c>
      <c r="E495" s="39" t="n"/>
      <c r="F495" s="39" t="n"/>
      <c r="G495" s="39" t="n"/>
      <c r="H495" s="14">
        <f>INDEX(VarLab,MATCH($A495,VarKey,0))&amp;INDEX(MemLab,MATCH($C495&amp;"|"&amp;$B495,MemKey,0))</f>
        <v/>
      </c>
      <c r="I495" s="14">
        <f>INDEX(VarUnit,MATCH($A495,VarKey,0))</f>
        <v/>
      </c>
      <c r="J495" s="14">
        <f>INDEX(VarSrc,MATCH($A495,VarKey,0))</f>
        <v/>
      </c>
      <c r="K495" s="11">
        <f>CodePrefix&amp;$A495&amp;IF($C495="","","."&amp;$C495&amp;"."&amp;$B495)&amp;INDEX(VarEnd,MATCH($A495,VarKey,0))&amp;K$5</f>
        <v/>
      </c>
      <c r="L495" s="15">
        <f>$D495*L$769</f>
        <v/>
      </c>
      <c r="M495" s="16">
        <f>L495*(1-L947)+$D495*M$769*L947</f>
        <v/>
      </c>
      <c r="N495" s="16">
        <f>M495*(1-M947)+$D495*N$769*M947</f>
        <v/>
      </c>
      <c r="O495" s="16">
        <f>N495*(1-N947)+$D495*O$769*N947</f>
        <v/>
      </c>
      <c r="P495" s="16">
        <f>O495*(1-O947)+$D495*P$769*O947</f>
        <v/>
      </c>
      <c r="Q495" s="16">
        <f>P495*(1-P947)+$D495*Q$769*P947</f>
        <v/>
      </c>
      <c r="R495" s="16">
        <f>Q495*(1-Q947)+$D495*R$769*Q947</f>
        <v/>
      </c>
      <c r="S495" s="16">
        <f>R495*(1-R947)+$D495*S$769*R947</f>
        <v/>
      </c>
      <c r="T495" s="16">
        <f>S495*(1-S947)+$D495*T$769*S947</f>
        <v/>
      </c>
      <c r="U495" s="16">
        <f>T495*(1-T947)+$D495*U$769*T947</f>
        <v/>
      </c>
      <c r="V495" s="16">
        <f>U495*(1-U947)+$D495*V$769*U947</f>
        <v/>
      </c>
      <c r="W495" s="16">
        <f>V495*(1-V947)+$D495*W$769*V947</f>
        <v/>
      </c>
      <c r="X495" s="16">
        <f>W495*(1-W947)+$D495*X$769*W947</f>
        <v/>
      </c>
      <c r="Y495" s="16">
        <f>X495*(1-X947)+$D495*Y$769*X947</f>
        <v/>
      </c>
      <c r="Z495" s="16">
        <f>Y495*(1-Y947)+$D495*Z$769*Y947</f>
        <v/>
      </c>
      <c r="AA495" s="16">
        <f>Z495*(1-Z947)+$D495*AA$769*Z947</f>
        <v/>
      </c>
      <c r="AB495" s="16">
        <f>AA495*(1-AA947)+$D495*AB$769*AA947</f>
        <v/>
      </c>
      <c r="AC495" s="16">
        <f>AB495*(1-AB947)+$D495*AC$769*AB947</f>
        <v/>
      </c>
      <c r="AD495" s="16">
        <f>AC495*(1-AC947)+$D495*AD$769*AC947</f>
        <v/>
      </c>
      <c r="AE495" s="49">
        <f>VINTAGE(AD495,$D495*AE$769,AD947)</f>
        <v/>
      </c>
      <c r="AG495" s="11">
        <f>CodePrefix&amp;$A495&amp;IF($C495="","","."&amp;$C495&amp;"."&amp;$B495)&amp;INDEX(VarEnd,MATCH($A495,VarKey,0))&amp;AG$5</f>
        <v/>
      </c>
      <c r="AH495" s="15">
        <f>$D495*AH$769</f>
        <v/>
      </c>
      <c r="AI495" s="16">
        <f>AH495*(1-AH947)+$D495*AI$769*AH947</f>
        <v/>
      </c>
      <c r="AJ495" s="16">
        <f>AI495*(1-AI947)+$D495*AJ$769*AI947</f>
        <v/>
      </c>
      <c r="AK495" s="16">
        <f>AJ495*(1-AJ947)+$D495*AK$769*AJ947</f>
        <v/>
      </c>
      <c r="AL495" s="16">
        <f>AK495*(1-AK947)+$D495*AL$769*AK947</f>
        <v/>
      </c>
      <c r="AM495" s="16">
        <f>AL495*(1-AL947)+$D495*AM$769*AL947</f>
        <v/>
      </c>
      <c r="AN495" s="16">
        <f>AM495*(1-AM947)+$D495*AN$769*AM947</f>
        <v/>
      </c>
      <c r="AO495" s="16">
        <f>AN495*(1-AN947)+$D495*AO$769*AN947</f>
        <v/>
      </c>
      <c r="AP495" s="16">
        <f>AO495*(1-AO947)+$D495*AP$769*AO947</f>
        <v/>
      </c>
      <c r="AQ495" s="16">
        <f>AP495*(1-AP947)+$D495*AQ$769*AP947</f>
        <v/>
      </c>
      <c r="AR495" s="16">
        <f>AQ495*(1-AQ947)+$D495*AR$769*AQ947</f>
        <v/>
      </c>
      <c r="AS495" s="16">
        <f>AR495*(1-AR947)+$D495*AS$769*AR947</f>
        <v/>
      </c>
      <c r="AT495" s="16">
        <f>AS495*(1-AS947)+$D495*AT$769*AS947</f>
        <v/>
      </c>
      <c r="AU495" s="16">
        <f>AT495*(1-AT947)+$D495*AU$769*AT947</f>
        <v/>
      </c>
      <c r="AV495" s="16">
        <f>AU495*(1-AU947)+$D495*AV$769*AU947</f>
        <v/>
      </c>
      <c r="AW495" s="16">
        <f>AV495*(1-AV947)+$D495*AW$769*AV947</f>
        <v/>
      </c>
      <c r="AX495" s="16">
        <f>AW495*(1-AW947)+$D495*AX$769*AW947</f>
        <v/>
      </c>
      <c r="AY495" s="16">
        <f>AX495*(1-AX947)+$D495*AY$769*AX947</f>
        <v/>
      </c>
      <c r="AZ495" s="16">
        <f>AY495*(1-AY947)+$D495*AZ$769*AY947</f>
        <v/>
      </c>
      <c r="BA495" s="49">
        <f>VINTAGE(AZ495,$D495*BA$769,AZ947)</f>
        <v/>
      </c>
    </row>
    <row r="496" hidden="1" outlineLevel="1"/>
    <row r="497" hidden="1" outlineLevel="1">
      <c r="A497" s="14" t="inlineStr">
        <is>
          <t>fix</t>
        </is>
      </c>
      <c r="B497" s="14" t="inlineStr">
        <is>
          <t>coa</t>
        </is>
      </c>
      <c r="C497" s="14" t="inlineStr">
        <is>
          <t>pow</t>
        </is>
      </c>
      <c r="D497" s="45">
        <f>INDEX(Inputs_power!$R$5:$R$13,MATCH($B497,Inputs_power!$A$5:$A$13,0))</f>
        <v/>
      </c>
      <c r="E497" s="45">
        <f>INDEX(Inputs_power!$S$5:$S$13,MATCH($B497,Inputs_power!$A$5:$A$13,0))</f>
        <v/>
      </c>
      <c r="F497" s="39" t="n"/>
      <c r="G497" s="39" t="n"/>
      <c r="H497" s="14">
        <f>INDEX(VarLab,MATCH($A497,VarKey,0))&amp;INDEX(MemLab,MATCH($C497&amp;"|"&amp;$B497,MemKey,0))</f>
        <v/>
      </c>
      <c r="I497" s="14">
        <f>INDEX(VarUnit,MATCH($A497,VarKey,0))</f>
        <v/>
      </c>
      <c r="J497" s="14">
        <f>INDEX(VarSrc,MATCH($A497,VarKey,0))</f>
        <v/>
      </c>
      <c r="K497" s="11">
        <f>CodePrefix&amp;$A497&amp;IF($C497="","","."&amp;$C497&amp;"."&amp;$B497)&amp;INDEX(VarEnd,MATCH($A497,VarKey,0))&amp;K$5</f>
        <v/>
      </c>
      <c r="L497" s="15">
        <f>L477*$D497+$E497+L487</f>
        <v/>
      </c>
      <c r="M497" s="16">
        <f>M477*$D497+$E497+M487</f>
        <v/>
      </c>
      <c r="N497" s="16">
        <f>N477*$D497+$E497+N487</f>
        <v/>
      </c>
      <c r="O497" s="16">
        <f>O477*$D497+$E497+O487</f>
        <v/>
      </c>
      <c r="P497" s="16">
        <f>P477*$D497+$E497+P487</f>
        <v/>
      </c>
      <c r="Q497" s="16">
        <f>Q477*$D497+$E497+Q487</f>
        <v/>
      </c>
      <c r="R497" s="16">
        <f>R477*$D497+$E497+R487</f>
        <v/>
      </c>
      <c r="S497" s="16">
        <f>S477*$D497+$E497+S487</f>
        <v/>
      </c>
      <c r="T497" s="16">
        <f>T477*$D497+$E497+T487</f>
        <v/>
      </c>
      <c r="U497" s="16">
        <f>U477*$D497+$E497+U487</f>
        <v/>
      </c>
      <c r="V497" s="16">
        <f>V477*$D497+$E497+V487</f>
        <v/>
      </c>
      <c r="W497" s="16">
        <f>W477*$D497+$E497+W487</f>
        <v/>
      </c>
      <c r="X497" s="16">
        <f>X477*$D497+$E497+X487</f>
        <v/>
      </c>
      <c r="Y497" s="16">
        <f>Y477*$D497+$E497+Y487</f>
        <v/>
      </c>
      <c r="Z497" s="16">
        <f>Z477*$D497+$E497+Z487</f>
        <v/>
      </c>
      <c r="AA497" s="16">
        <f>AA477*$D497+$E497+AA487</f>
        <v/>
      </c>
      <c r="AB497" s="16">
        <f>AB477*$D497+$E497+AB487</f>
        <v/>
      </c>
      <c r="AC497" s="16">
        <f>AC477*$D497+$E497+AC487</f>
        <v/>
      </c>
      <c r="AD497" s="16">
        <f>AD477*$D497+$E497+AD487</f>
        <v/>
      </c>
      <c r="AE497" s="49">
        <f>AMORTISED(AE477,$D497,$E497,AE487)</f>
        <v/>
      </c>
      <c r="AG497" s="11">
        <f>CodePrefix&amp;$A497&amp;IF($C497="","","."&amp;$C497&amp;"."&amp;$B497)&amp;INDEX(VarEnd,MATCH($A497,VarKey,0))&amp;AG$5</f>
        <v/>
      </c>
      <c r="AH497" s="15">
        <f>AH477*$D497+$E497+AH487</f>
        <v/>
      </c>
      <c r="AI497" s="16">
        <f>AI477*$D497+$E497+AI487</f>
        <v/>
      </c>
      <c r="AJ497" s="16">
        <f>AJ477*$D497+$E497+AJ487</f>
        <v/>
      </c>
      <c r="AK497" s="16">
        <f>AK477*$D497+$E497+AK487</f>
        <v/>
      </c>
      <c r="AL497" s="16">
        <f>AL477*$D497+$E497+AL487</f>
        <v/>
      </c>
      <c r="AM497" s="16">
        <f>AM477*$D497+$E497+AM487</f>
        <v/>
      </c>
      <c r="AN497" s="16">
        <f>AN477*$D497+$E497+AN487</f>
        <v/>
      </c>
      <c r="AO497" s="16">
        <f>AO477*$D497+$E497+AO487</f>
        <v/>
      </c>
      <c r="AP497" s="16">
        <f>AP477*$D497+$E497+AP487</f>
        <v/>
      </c>
      <c r="AQ497" s="16">
        <f>AQ477*$D497+$E497+AQ487</f>
        <v/>
      </c>
      <c r="AR497" s="16">
        <f>AR477*$D497+$E497+AR487</f>
        <v/>
      </c>
      <c r="AS497" s="16">
        <f>AS477*$D497+$E497+AS487</f>
        <v/>
      </c>
      <c r="AT497" s="16">
        <f>AT477*$D497+$E497+AT487</f>
        <v/>
      </c>
      <c r="AU497" s="16">
        <f>AU477*$D497+$E497+AU487</f>
        <v/>
      </c>
      <c r="AV497" s="16">
        <f>AV477*$D497+$E497+AV487</f>
        <v/>
      </c>
      <c r="AW497" s="16">
        <f>AW477*$D497+$E497+AW487</f>
        <v/>
      </c>
      <c r="AX497" s="16">
        <f>AX477*$D497+$E497+AX487</f>
        <v/>
      </c>
      <c r="AY497" s="16">
        <f>AY477*$D497+$E497+AY487</f>
        <v/>
      </c>
      <c r="AZ497" s="16">
        <f>AZ477*$D497+$E497+AZ487</f>
        <v/>
      </c>
      <c r="BA497" s="49">
        <f>AMORTISED(BA477,$D497,$E497,BA487)</f>
        <v/>
      </c>
    </row>
    <row r="498" hidden="1" outlineLevel="1">
      <c r="A498" s="14" t="inlineStr">
        <is>
          <t>fix</t>
        </is>
      </c>
      <c r="B498" s="14" t="inlineStr">
        <is>
          <t>nga</t>
        </is>
      </c>
      <c r="C498" s="14" t="inlineStr">
        <is>
          <t>pow</t>
        </is>
      </c>
      <c r="D498" s="45">
        <f>INDEX(Inputs_power!$R$5:$R$13,MATCH($B498,Inputs_power!$A$5:$A$13,0))</f>
        <v/>
      </c>
      <c r="E498" s="45">
        <f>INDEX(Inputs_power!$S$5:$S$13,MATCH($B498,Inputs_power!$A$5:$A$13,0))</f>
        <v/>
      </c>
      <c r="F498" s="39" t="n"/>
      <c r="G498" s="39" t="n"/>
      <c r="H498" s="14">
        <f>INDEX(VarLab,MATCH($A498,VarKey,0))&amp;INDEX(MemLab,MATCH($C498&amp;"|"&amp;$B498,MemKey,0))</f>
        <v/>
      </c>
      <c r="I498" s="14">
        <f>INDEX(VarUnit,MATCH($A498,VarKey,0))</f>
        <v/>
      </c>
      <c r="J498" s="14">
        <f>INDEX(VarSrc,MATCH($A498,VarKey,0))</f>
        <v/>
      </c>
      <c r="K498" s="11">
        <f>CodePrefix&amp;$A498&amp;IF($C498="","","."&amp;$C498&amp;"."&amp;$B498)&amp;INDEX(VarEnd,MATCH($A498,VarKey,0))&amp;K$5</f>
        <v/>
      </c>
      <c r="L498" s="15">
        <f>L478*$D498+$E498+L488</f>
        <v/>
      </c>
      <c r="M498" s="16">
        <f>M478*$D498+$E498+M488</f>
        <v/>
      </c>
      <c r="N498" s="16">
        <f>N478*$D498+$E498+N488</f>
        <v/>
      </c>
      <c r="O498" s="16">
        <f>O478*$D498+$E498+O488</f>
        <v/>
      </c>
      <c r="P498" s="16">
        <f>P478*$D498+$E498+P488</f>
        <v/>
      </c>
      <c r="Q498" s="16">
        <f>Q478*$D498+$E498+Q488</f>
        <v/>
      </c>
      <c r="R498" s="16">
        <f>R478*$D498+$E498+R488</f>
        <v/>
      </c>
      <c r="S498" s="16">
        <f>S478*$D498+$E498+S488</f>
        <v/>
      </c>
      <c r="T498" s="16">
        <f>T478*$D498+$E498+T488</f>
        <v/>
      </c>
      <c r="U498" s="16">
        <f>U478*$D498+$E498+U488</f>
        <v/>
      </c>
      <c r="V498" s="16">
        <f>V478*$D498+$E498+V488</f>
        <v/>
      </c>
      <c r="W498" s="16">
        <f>W478*$D498+$E498+W488</f>
        <v/>
      </c>
      <c r="X498" s="16">
        <f>X478*$D498+$E498+X488</f>
        <v/>
      </c>
      <c r="Y498" s="16">
        <f>Y478*$D498+$E498+Y488</f>
        <v/>
      </c>
      <c r="Z498" s="16">
        <f>Z478*$D498+$E498+Z488</f>
        <v/>
      </c>
      <c r="AA498" s="16">
        <f>AA478*$D498+$E498+AA488</f>
        <v/>
      </c>
      <c r="AB498" s="16">
        <f>AB478*$D498+$E498+AB488</f>
        <v/>
      </c>
      <c r="AC498" s="16">
        <f>AC478*$D498+$E498+AC488</f>
        <v/>
      </c>
      <c r="AD498" s="16">
        <f>AD478*$D498+$E498+AD488</f>
        <v/>
      </c>
      <c r="AE498" s="49">
        <f>AMORTISED(AE478,$D498,$E498,AE488)</f>
        <v/>
      </c>
      <c r="AG498" s="11">
        <f>CodePrefix&amp;$A498&amp;IF($C498="","","."&amp;$C498&amp;"."&amp;$B498)&amp;INDEX(VarEnd,MATCH($A498,VarKey,0))&amp;AG$5</f>
        <v/>
      </c>
      <c r="AH498" s="15">
        <f>AH478*$D498+$E498+AH488</f>
        <v/>
      </c>
      <c r="AI498" s="16">
        <f>AI478*$D498+$E498+AI488</f>
        <v/>
      </c>
      <c r="AJ498" s="16">
        <f>AJ478*$D498+$E498+AJ488</f>
        <v/>
      </c>
      <c r="AK498" s="16">
        <f>AK478*$D498+$E498+AK488</f>
        <v/>
      </c>
      <c r="AL498" s="16">
        <f>AL478*$D498+$E498+AL488</f>
        <v/>
      </c>
      <c r="AM498" s="16">
        <f>AM478*$D498+$E498+AM488</f>
        <v/>
      </c>
      <c r="AN498" s="16">
        <f>AN478*$D498+$E498+AN488</f>
        <v/>
      </c>
      <c r="AO498" s="16">
        <f>AO478*$D498+$E498+AO488</f>
        <v/>
      </c>
      <c r="AP498" s="16">
        <f>AP478*$D498+$E498+AP488</f>
        <v/>
      </c>
      <c r="AQ498" s="16">
        <f>AQ478*$D498+$E498+AQ488</f>
        <v/>
      </c>
      <c r="AR498" s="16">
        <f>AR478*$D498+$E498+AR488</f>
        <v/>
      </c>
      <c r="AS498" s="16">
        <f>AS478*$D498+$E498+AS488</f>
        <v/>
      </c>
      <c r="AT498" s="16">
        <f>AT478*$D498+$E498+AT488</f>
        <v/>
      </c>
      <c r="AU498" s="16">
        <f>AU478*$D498+$E498+AU488</f>
        <v/>
      </c>
      <c r="AV498" s="16">
        <f>AV478*$D498+$E498+AV488</f>
        <v/>
      </c>
      <c r="AW498" s="16">
        <f>AW478*$D498+$E498+AW488</f>
        <v/>
      </c>
      <c r="AX498" s="16">
        <f>AX478*$D498+$E498+AX488</f>
        <v/>
      </c>
      <c r="AY498" s="16">
        <f>AY478*$D498+$E498+AY488</f>
        <v/>
      </c>
      <c r="AZ498" s="16">
        <f>AZ478*$D498+$E498+AZ488</f>
        <v/>
      </c>
      <c r="BA498" s="49">
        <f>AMORTISED(BA478,$D498,$E498,BA488)</f>
        <v/>
      </c>
    </row>
    <row r="499" hidden="1" outlineLevel="1">
      <c r="A499" s="14" t="inlineStr">
        <is>
          <t>fix</t>
        </is>
      </c>
      <c r="B499" s="14" t="inlineStr">
        <is>
          <t>oop</t>
        </is>
      </c>
      <c r="C499" s="14" t="inlineStr">
        <is>
          <t>pow</t>
        </is>
      </c>
      <c r="D499" s="45">
        <f>INDEX(Inputs_power!$R$5:$R$13,MATCH($B499,Inputs_power!$A$5:$A$13,0))</f>
        <v/>
      </c>
      <c r="E499" s="45">
        <f>INDEX(Inputs_power!$S$5:$S$13,MATCH($B499,Inputs_power!$A$5:$A$13,0))</f>
        <v/>
      </c>
      <c r="F499" s="39" t="n"/>
      <c r="G499" s="39" t="n"/>
      <c r="H499" s="14">
        <f>INDEX(VarLab,MATCH($A499,VarKey,0))&amp;INDEX(MemLab,MATCH($C499&amp;"|"&amp;$B499,MemKey,0))</f>
        <v/>
      </c>
      <c r="I499" s="14">
        <f>INDEX(VarUnit,MATCH($A499,VarKey,0))</f>
        <v/>
      </c>
      <c r="J499" s="14">
        <f>INDEX(VarSrc,MATCH($A499,VarKey,0))</f>
        <v/>
      </c>
      <c r="K499" s="11">
        <f>CodePrefix&amp;$A499&amp;IF($C499="","","."&amp;$C499&amp;"."&amp;$B499)&amp;INDEX(VarEnd,MATCH($A499,VarKey,0))&amp;K$5</f>
        <v/>
      </c>
      <c r="L499" s="15">
        <f>L479*$D499+$E499+L489</f>
        <v/>
      </c>
      <c r="M499" s="16">
        <f>M479*$D499+$E499+M489</f>
        <v/>
      </c>
      <c r="N499" s="16">
        <f>N479*$D499+$E499+N489</f>
        <v/>
      </c>
      <c r="O499" s="16">
        <f>O479*$D499+$E499+O489</f>
        <v/>
      </c>
      <c r="P499" s="16">
        <f>P479*$D499+$E499+P489</f>
        <v/>
      </c>
      <c r="Q499" s="16">
        <f>Q479*$D499+$E499+Q489</f>
        <v/>
      </c>
      <c r="R499" s="16">
        <f>R479*$D499+$E499+R489</f>
        <v/>
      </c>
      <c r="S499" s="16">
        <f>S479*$D499+$E499+S489</f>
        <v/>
      </c>
      <c r="T499" s="16">
        <f>T479*$D499+$E499+T489</f>
        <v/>
      </c>
      <c r="U499" s="16">
        <f>U479*$D499+$E499+U489</f>
        <v/>
      </c>
      <c r="V499" s="16">
        <f>V479*$D499+$E499+V489</f>
        <v/>
      </c>
      <c r="W499" s="16">
        <f>W479*$D499+$E499+W489</f>
        <v/>
      </c>
      <c r="X499" s="16">
        <f>X479*$D499+$E499+X489</f>
        <v/>
      </c>
      <c r="Y499" s="16">
        <f>Y479*$D499+$E499+Y489</f>
        <v/>
      </c>
      <c r="Z499" s="16">
        <f>Z479*$D499+$E499+Z489</f>
        <v/>
      </c>
      <c r="AA499" s="16">
        <f>AA479*$D499+$E499+AA489</f>
        <v/>
      </c>
      <c r="AB499" s="16">
        <f>AB479*$D499+$E499+AB489</f>
        <v/>
      </c>
      <c r="AC499" s="16">
        <f>AC479*$D499+$E499+AC489</f>
        <v/>
      </c>
      <c r="AD499" s="16">
        <f>AD479*$D499+$E499+AD489</f>
        <v/>
      </c>
      <c r="AE499" s="49">
        <f>AMORTISED(AE479,$D499,$E499,AE489)</f>
        <v/>
      </c>
      <c r="AG499" s="11">
        <f>CodePrefix&amp;$A499&amp;IF($C499="","","."&amp;$C499&amp;"."&amp;$B499)&amp;INDEX(VarEnd,MATCH($A499,VarKey,0))&amp;AG$5</f>
        <v/>
      </c>
      <c r="AH499" s="15">
        <f>AH479*$D499+$E499+AH489</f>
        <v/>
      </c>
      <c r="AI499" s="16">
        <f>AI479*$D499+$E499+AI489</f>
        <v/>
      </c>
      <c r="AJ499" s="16">
        <f>AJ479*$D499+$E499+AJ489</f>
        <v/>
      </c>
      <c r="AK499" s="16">
        <f>AK479*$D499+$E499+AK489</f>
        <v/>
      </c>
      <c r="AL499" s="16">
        <f>AL479*$D499+$E499+AL489</f>
        <v/>
      </c>
      <c r="AM499" s="16">
        <f>AM479*$D499+$E499+AM489</f>
        <v/>
      </c>
      <c r="AN499" s="16">
        <f>AN479*$D499+$E499+AN489</f>
        <v/>
      </c>
      <c r="AO499" s="16">
        <f>AO479*$D499+$E499+AO489</f>
        <v/>
      </c>
      <c r="AP499" s="16">
        <f>AP479*$D499+$E499+AP489</f>
        <v/>
      </c>
      <c r="AQ499" s="16">
        <f>AQ479*$D499+$E499+AQ489</f>
        <v/>
      </c>
      <c r="AR499" s="16">
        <f>AR479*$D499+$E499+AR489</f>
        <v/>
      </c>
      <c r="AS499" s="16">
        <f>AS479*$D499+$E499+AS489</f>
        <v/>
      </c>
      <c r="AT499" s="16">
        <f>AT479*$D499+$E499+AT489</f>
        <v/>
      </c>
      <c r="AU499" s="16">
        <f>AU479*$D499+$E499+AU489</f>
        <v/>
      </c>
      <c r="AV499" s="16">
        <f>AV479*$D499+$E499+AV489</f>
        <v/>
      </c>
      <c r="AW499" s="16">
        <f>AW479*$D499+$E499+AW489</f>
        <v/>
      </c>
      <c r="AX499" s="16">
        <f>AX479*$D499+$E499+AX489</f>
        <v/>
      </c>
      <c r="AY499" s="16">
        <f>AY479*$D499+$E499+AY489</f>
        <v/>
      </c>
      <c r="AZ499" s="16">
        <f>AZ479*$D499+$E499+AZ489</f>
        <v/>
      </c>
      <c r="BA499" s="49">
        <f>AMORTISED(BA479,$D499,$E499,BA489)</f>
        <v/>
      </c>
    </row>
    <row r="500" hidden="1" outlineLevel="1">
      <c r="A500" s="14" t="inlineStr">
        <is>
          <t>fix</t>
        </is>
      </c>
      <c r="B500" s="14" t="inlineStr">
        <is>
          <t>nuc</t>
        </is>
      </c>
      <c r="C500" s="14" t="inlineStr">
        <is>
          <t>pow</t>
        </is>
      </c>
      <c r="D500" s="45">
        <f>INDEX(Inputs_power!$R$5:$R$13,MATCH($B500,Inputs_power!$A$5:$A$13,0))</f>
        <v/>
      </c>
      <c r="E500" s="45">
        <f>INDEX(Inputs_power!$S$5:$S$13,MATCH($B500,Inputs_power!$A$5:$A$13,0))</f>
        <v/>
      </c>
      <c r="F500" s="39" t="n"/>
      <c r="G500" s="39" t="n"/>
      <c r="H500" s="14">
        <f>INDEX(VarLab,MATCH($A500,VarKey,0))&amp;INDEX(MemLab,MATCH($C500&amp;"|"&amp;$B500,MemKey,0))</f>
        <v/>
      </c>
      <c r="I500" s="14">
        <f>INDEX(VarUnit,MATCH($A500,VarKey,0))</f>
        <v/>
      </c>
      <c r="J500" s="14">
        <f>INDEX(VarSrc,MATCH($A500,VarKey,0))</f>
        <v/>
      </c>
      <c r="K500" s="11">
        <f>CodePrefix&amp;$A500&amp;IF($C500="","","."&amp;$C500&amp;"."&amp;$B500)&amp;INDEX(VarEnd,MATCH($A500,VarKey,0))&amp;K$5</f>
        <v/>
      </c>
      <c r="L500" s="15">
        <f>L480*$D500+$E500+L490</f>
        <v/>
      </c>
      <c r="M500" s="16">
        <f>M480*$D500+$E500+M490</f>
        <v/>
      </c>
      <c r="N500" s="16">
        <f>N480*$D500+$E500+N490</f>
        <v/>
      </c>
      <c r="O500" s="16">
        <f>O480*$D500+$E500+O490</f>
        <v/>
      </c>
      <c r="P500" s="16">
        <f>P480*$D500+$E500+P490</f>
        <v/>
      </c>
      <c r="Q500" s="16">
        <f>Q480*$D500+$E500+Q490</f>
        <v/>
      </c>
      <c r="R500" s="16">
        <f>R480*$D500+$E500+R490</f>
        <v/>
      </c>
      <c r="S500" s="16">
        <f>S480*$D500+$E500+S490</f>
        <v/>
      </c>
      <c r="T500" s="16">
        <f>T480*$D500+$E500+T490</f>
        <v/>
      </c>
      <c r="U500" s="16">
        <f>U480*$D500+$E500+U490</f>
        <v/>
      </c>
      <c r="V500" s="16">
        <f>V480*$D500+$E500+V490</f>
        <v/>
      </c>
      <c r="W500" s="16">
        <f>W480*$D500+$E500+W490</f>
        <v/>
      </c>
      <c r="X500" s="16">
        <f>X480*$D500+$E500+X490</f>
        <v/>
      </c>
      <c r="Y500" s="16">
        <f>Y480*$D500+$E500+Y490</f>
        <v/>
      </c>
      <c r="Z500" s="16">
        <f>Z480*$D500+$E500+Z490</f>
        <v/>
      </c>
      <c r="AA500" s="16">
        <f>AA480*$D500+$E500+AA490</f>
        <v/>
      </c>
      <c r="AB500" s="16">
        <f>AB480*$D500+$E500+AB490</f>
        <v/>
      </c>
      <c r="AC500" s="16">
        <f>AC480*$D500+$E500+AC490</f>
        <v/>
      </c>
      <c r="AD500" s="16">
        <f>AD480*$D500+$E500+AD490</f>
        <v/>
      </c>
      <c r="AE500" s="49">
        <f>AMORTISED(AE480,$D500,$E500,AE490)</f>
        <v/>
      </c>
      <c r="AG500" s="11">
        <f>CodePrefix&amp;$A500&amp;IF($C500="","","."&amp;$C500&amp;"."&amp;$B500)&amp;INDEX(VarEnd,MATCH($A500,VarKey,0))&amp;AG$5</f>
        <v/>
      </c>
      <c r="AH500" s="15">
        <f>AH480*$D500+$E500+AH490</f>
        <v/>
      </c>
      <c r="AI500" s="16">
        <f>AI480*$D500+$E500+AI490</f>
        <v/>
      </c>
      <c r="AJ500" s="16">
        <f>AJ480*$D500+$E500+AJ490</f>
        <v/>
      </c>
      <c r="AK500" s="16">
        <f>AK480*$D500+$E500+AK490</f>
        <v/>
      </c>
      <c r="AL500" s="16">
        <f>AL480*$D500+$E500+AL490</f>
        <v/>
      </c>
      <c r="AM500" s="16">
        <f>AM480*$D500+$E500+AM490</f>
        <v/>
      </c>
      <c r="AN500" s="16">
        <f>AN480*$D500+$E500+AN490</f>
        <v/>
      </c>
      <c r="AO500" s="16">
        <f>AO480*$D500+$E500+AO490</f>
        <v/>
      </c>
      <c r="AP500" s="16">
        <f>AP480*$D500+$E500+AP490</f>
        <v/>
      </c>
      <c r="AQ500" s="16">
        <f>AQ480*$D500+$E500+AQ490</f>
        <v/>
      </c>
      <c r="AR500" s="16">
        <f>AR480*$D500+$E500+AR490</f>
        <v/>
      </c>
      <c r="AS500" s="16">
        <f>AS480*$D500+$E500+AS490</f>
        <v/>
      </c>
      <c r="AT500" s="16">
        <f>AT480*$D500+$E500+AT490</f>
        <v/>
      </c>
      <c r="AU500" s="16">
        <f>AU480*$D500+$E500+AU490</f>
        <v/>
      </c>
      <c r="AV500" s="16">
        <f>AV480*$D500+$E500+AV490</f>
        <v/>
      </c>
      <c r="AW500" s="16">
        <f>AW480*$D500+$E500+AW490</f>
        <v/>
      </c>
      <c r="AX500" s="16">
        <f>AX480*$D500+$E500+AX490</f>
        <v/>
      </c>
      <c r="AY500" s="16">
        <f>AY480*$D500+$E500+AY490</f>
        <v/>
      </c>
      <c r="AZ500" s="16">
        <f>AZ480*$D500+$E500+AZ490</f>
        <v/>
      </c>
      <c r="BA500" s="49">
        <f>AMORTISED(BA480,$D500,$E500,BA490)</f>
        <v/>
      </c>
    </row>
    <row r="501" hidden="1" outlineLevel="1">
      <c r="A501" s="14" t="inlineStr">
        <is>
          <t>fix</t>
        </is>
      </c>
      <c r="B501" s="14" t="inlineStr">
        <is>
          <t>wnd</t>
        </is>
      </c>
      <c r="C501" s="14" t="inlineStr">
        <is>
          <t>pow</t>
        </is>
      </c>
      <c r="D501" s="45">
        <f>INDEX(Inputs_power!$R$5:$R$13,MATCH($B501,Inputs_power!$A$5:$A$13,0))</f>
        <v/>
      </c>
      <c r="E501" s="45">
        <f>INDEX(Inputs_power!$S$5:$S$13,MATCH($B501,Inputs_power!$A$5:$A$13,0))</f>
        <v/>
      </c>
      <c r="F501" s="39" t="n"/>
      <c r="G501" s="39" t="n"/>
      <c r="H501" s="14">
        <f>INDEX(VarLab,MATCH($A501,VarKey,0))&amp;INDEX(MemLab,MATCH($C501&amp;"|"&amp;$B501,MemKey,0))</f>
        <v/>
      </c>
      <c r="I501" s="14">
        <f>INDEX(VarUnit,MATCH($A501,VarKey,0))</f>
        <v/>
      </c>
      <c r="J501" s="14">
        <f>INDEX(VarSrc,MATCH($A501,VarKey,0))</f>
        <v/>
      </c>
      <c r="K501" s="11">
        <f>CodePrefix&amp;$A501&amp;IF($C501="","","."&amp;$C501&amp;"."&amp;$B501)&amp;INDEX(VarEnd,MATCH($A501,VarKey,0))&amp;K$5</f>
        <v/>
      </c>
      <c r="L501" s="15">
        <f>L481*$D501+$E501+L491</f>
        <v/>
      </c>
      <c r="M501" s="16">
        <f>M481*$D501+$E501+M491</f>
        <v/>
      </c>
      <c r="N501" s="16">
        <f>N481*$D501+$E501+N491</f>
        <v/>
      </c>
      <c r="O501" s="16">
        <f>O481*$D501+$E501+O491</f>
        <v/>
      </c>
      <c r="P501" s="16">
        <f>P481*$D501+$E501+P491</f>
        <v/>
      </c>
      <c r="Q501" s="16">
        <f>Q481*$D501+$E501+Q491</f>
        <v/>
      </c>
      <c r="R501" s="16">
        <f>R481*$D501+$E501+R491</f>
        <v/>
      </c>
      <c r="S501" s="16">
        <f>S481*$D501+$E501+S491</f>
        <v/>
      </c>
      <c r="T501" s="16">
        <f>T481*$D501+$E501+T491</f>
        <v/>
      </c>
      <c r="U501" s="16">
        <f>U481*$D501+$E501+U491</f>
        <v/>
      </c>
      <c r="V501" s="16">
        <f>V481*$D501+$E501+V491</f>
        <v/>
      </c>
      <c r="W501" s="16">
        <f>W481*$D501+$E501+W491</f>
        <v/>
      </c>
      <c r="X501" s="16">
        <f>X481*$D501+$E501+X491</f>
        <v/>
      </c>
      <c r="Y501" s="16">
        <f>Y481*$D501+$E501+Y491</f>
        <v/>
      </c>
      <c r="Z501" s="16">
        <f>Z481*$D501+$E501+Z491</f>
        <v/>
      </c>
      <c r="AA501" s="16">
        <f>AA481*$D501+$E501+AA491</f>
        <v/>
      </c>
      <c r="AB501" s="16">
        <f>AB481*$D501+$E501+AB491</f>
        <v/>
      </c>
      <c r="AC501" s="16">
        <f>AC481*$D501+$E501+AC491</f>
        <v/>
      </c>
      <c r="AD501" s="16">
        <f>AD481*$D501+$E501+AD491</f>
        <v/>
      </c>
      <c r="AE501" s="49">
        <f>AMORTISED(AE481,$D501,$E501,AE491)</f>
        <v/>
      </c>
      <c r="AG501" s="11">
        <f>CodePrefix&amp;$A501&amp;IF($C501="","","."&amp;$C501&amp;"."&amp;$B501)&amp;INDEX(VarEnd,MATCH($A501,VarKey,0))&amp;AG$5</f>
        <v/>
      </c>
      <c r="AH501" s="15">
        <f>AH481*$D501+$E501+AH491</f>
        <v/>
      </c>
      <c r="AI501" s="16">
        <f>AI481*$D501+$E501+AI491</f>
        <v/>
      </c>
      <c r="AJ501" s="16">
        <f>AJ481*$D501+$E501+AJ491</f>
        <v/>
      </c>
      <c r="AK501" s="16">
        <f>AK481*$D501+$E501+AK491</f>
        <v/>
      </c>
      <c r="AL501" s="16">
        <f>AL481*$D501+$E501+AL491</f>
        <v/>
      </c>
      <c r="AM501" s="16">
        <f>AM481*$D501+$E501+AM491</f>
        <v/>
      </c>
      <c r="AN501" s="16">
        <f>AN481*$D501+$E501+AN491</f>
        <v/>
      </c>
      <c r="AO501" s="16">
        <f>AO481*$D501+$E501+AO491</f>
        <v/>
      </c>
      <c r="AP501" s="16">
        <f>AP481*$D501+$E501+AP491</f>
        <v/>
      </c>
      <c r="AQ501" s="16">
        <f>AQ481*$D501+$E501+AQ491</f>
        <v/>
      </c>
      <c r="AR501" s="16">
        <f>AR481*$D501+$E501+AR491</f>
        <v/>
      </c>
      <c r="AS501" s="16">
        <f>AS481*$D501+$E501+AS491</f>
        <v/>
      </c>
      <c r="AT501" s="16">
        <f>AT481*$D501+$E501+AT491</f>
        <v/>
      </c>
      <c r="AU501" s="16">
        <f>AU481*$D501+$E501+AU491</f>
        <v/>
      </c>
      <c r="AV501" s="16">
        <f>AV481*$D501+$E501+AV491</f>
        <v/>
      </c>
      <c r="AW501" s="16">
        <f>AW481*$D501+$E501+AW491</f>
        <v/>
      </c>
      <c r="AX501" s="16">
        <f>AX481*$D501+$E501+AX491</f>
        <v/>
      </c>
      <c r="AY501" s="16">
        <f>AY481*$D501+$E501+AY491</f>
        <v/>
      </c>
      <c r="AZ501" s="16">
        <f>AZ481*$D501+$E501+AZ491</f>
        <v/>
      </c>
      <c r="BA501" s="49">
        <f>AMORTISED(BA481,$D501,$E501,BA491)</f>
        <v/>
      </c>
    </row>
    <row r="502" hidden="1" outlineLevel="1">
      <c r="A502" s="14" t="inlineStr">
        <is>
          <t>fix</t>
        </is>
      </c>
      <c r="B502" s="14" t="inlineStr">
        <is>
          <t>sol</t>
        </is>
      </c>
      <c r="C502" s="14" t="inlineStr">
        <is>
          <t>pow</t>
        </is>
      </c>
      <c r="D502" s="45">
        <f>INDEX(Inputs_power!$R$5:$R$13,MATCH($B502,Inputs_power!$A$5:$A$13,0))</f>
        <v/>
      </c>
      <c r="E502" s="45">
        <f>INDEX(Inputs_power!$S$5:$S$13,MATCH($B502,Inputs_power!$A$5:$A$13,0))</f>
        <v/>
      </c>
      <c r="F502" s="39" t="n"/>
      <c r="G502" s="39" t="n"/>
      <c r="H502" s="14">
        <f>INDEX(VarLab,MATCH($A502,VarKey,0))&amp;INDEX(MemLab,MATCH($C502&amp;"|"&amp;$B502,MemKey,0))</f>
        <v/>
      </c>
      <c r="I502" s="14">
        <f>INDEX(VarUnit,MATCH($A502,VarKey,0))</f>
        <v/>
      </c>
      <c r="J502" s="14">
        <f>INDEX(VarSrc,MATCH($A502,VarKey,0))</f>
        <v/>
      </c>
      <c r="K502" s="11">
        <f>CodePrefix&amp;$A502&amp;IF($C502="","","."&amp;$C502&amp;"."&amp;$B502)&amp;INDEX(VarEnd,MATCH($A502,VarKey,0))&amp;K$5</f>
        <v/>
      </c>
      <c r="L502" s="15">
        <f>L482*$D502+$E502+L492</f>
        <v/>
      </c>
      <c r="M502" s="16">
        <f>M482*$D502+$E502+M492</f>
        <v/>
      </c>
      <c r="N502" s="16">
        <f>N482*$D502+$E502+N492</f>
        <v/>
      </c>
      <c r="O502" s="16">
        <f>O482*$D502+$E502+O492</f>
        <v/>
      </c>
      <c r="P502" s="16">
        <f>P482*$D502+$E502+P492</f>
        <v/>
      </c>
      <c r="Q502" s="16">
        <f>Q482*$D502+$E502+Q492</f>
        <v/>
      </c>
      <c r="R502" s="16">
        <f>R482*$D502+$E502+R492</f>
        <v/>
      </c>
      <c r="S502" s="16">
        <f>S482*$D502+$E502+S492</f>
        <v/>
      </c>
      <c r="T502" s="16">
        <f>T482*$D502+$E502+T492</f>
        <v/>
      </c>
      <c r="U502" s="16">
        <f>U482*$D502+$E502+U492</f>
        <v/>
      </c>
      <c r="V502" s="16">
        <f>V482*$D502+$E502+V492</f>
        <v/>
      </c>
      <c r="W502" s="16">
        <f>W482*$D502+$E502+W492</f>
        <v/>
      </c>
      <c r="X502" s="16">
        <f>X482*$D502+$E502+X492</f>
        <v/>
      </c>
      <c r="Y502" s="16">
        <f>Y482*$D502+$E502+Y492</f>
        <v/>
      </c>
      <c r="Z502" s="16">
        <f>Z482*$D502+$E502+Z492</f>
        <v/>
      </c>
      <c r="AA502" s="16">
        <f>AA482*$D502+$E502+AA492</f>
        <v/>
      </c>
      <c r="AB502" s="16">
        <f>AB482*$D502+$E502+AB492</f>
        <v/>
      </c>
      <c r="AC502" s="16">
        <f>AC482*$D502+$E502+AC492</f>
        <v/>
      </c>
      <c r="AD502" s="16">
        <f>AD482*$D502+$E502+AD492</f>
        <v/>
      </c>
      <c r="AE502" s="49">
        <f>AMORTISED(AE482,$D502,$E502,AE492)</f>
        <v/>
      </c>
      <c r="AG502" s="11">
        <f>CodePrefix&amp;$A502&amp;IF($C502="","","."&amp;$C502&amp;"."&amp;$B502)&amp;INDEX(VarEnd,MATCH($A502,VarKey,0))&amp;AG$5</f>
        <v/>
      </c>
      <c r="AH502" s="15">
        <f>AH482*$D502+$E502+AH492</f>
        <v/>
      </c>
      <c r="AI502" s="16">
        <f>AI482*$D502+$E502+AI492</f>
        <v/>
      </c>
      <c r="AJ502" s="16">
        <f>AJ482*$D502+$E502+AJ492</f>
        <v/>
      </c>
      <c r="AK502" s="16">
        <f>AK482*$D502+$E502+AK492</f>
        <v/>
      </c>
      <c r="AL502" s="16">
        <f>AL482*$D502+$E502+AL492</f>
        <v/>
      </c>
      <c r="AM502" s="16">
        <f>AM482*$D502+$E502+AM492</f>
        <v/>
      </c>
      <c r="AN502" s="16">
        <f>AN482*$D502+$E502+AN492</f>
        <v/>
      </c>
      <c r="AO502" s="16">
        <f>AO482*$D502+$E502+AO492</f>
        <v/>
      </c>
      <c r="AP502" s="16">
        <f>AP482*$D502+$E502+AP492</f>
        <v/>
      </c>
      <c r="AQ502" s="16">
        <f>AQ482*$D502+$E502+AQ492</f>
        <v/>
      </c>
      <c r="AR502" s="16">
        <f>AR482*$D502+$E502+AR492</f>
        <v/>
      </c>
      <c r="AS502" s="16">
        <f>AS482*$D502+$E502+AS492</f>
        <v/>
      </c>
      <c r="AT502" s="16">
        <f>AT482*$D502+$E502+AT492</f>
        <v/>
      </c>
      <c r="AU502" s="16">
        <f>AU482*$D502+$E502+AU492</f>
        <v/>
      </c>
      <c r="AV502" s="16">
        <f>AV482*$D502+$E502+AV492</f>
        <v/>
      </c>
      <c r="AW502" s="16">
        <f>AW482*$D502+$E502+AW492</f>
        <v/>
      </c>
      <c r="AX502" s="16">
        <f>AX482*$D502+$E502+AX492</f>
        <v/>
      </c>
      <c r="AY502" s="16">
        <f>AY482*$D502+$E502+AY492</f>
        <v/>
      </c>
      <c r="AZ502" s="16">
        <f>AZ482*$D502+$E502+AZ492</f>
        <v/>
      </c>
      <c r="BA502" s="49">
        <f>AMORTISED(BA482,$D502,$E502,BA492)</f>
        <v/>
      </c>
    </row>
    <row r="503" hidden="1" outlineLevel="1">
      <c r="A503" s="14" t="inlineStr">
        <is>
          <t>fix</t>
        </is>
      </c>
      <c r="B503" s="14" t="inlineStr">
        <is>
          <t>hyd</t>
        </is>
      </c>
      <c r="C503" s="14" t="inlineStr">
        <is>
          <t>pow</t>
        </is>
      </c>
      <c r="D503" s="45">
        <f>INDEX(Inputs_power!$R$5:$R$13,MATCH($B503,Inputs_power!$A$5:$A$13,0))</f>
        <v/>
      </c>
      <c r="E503" s="45">
        <f>INDEX(Inputs_power!$S$5:$S$13,MATCH($B503,Inputs_power!$A$5:$A$13,0))</f>
        <v/>
      </c>
      <c r="F503" s="39" t="n"/>
      <c r="G503" s="39" t="n"/>
      <c r="H503" s="14">
        <f>INDEX(VarLab,MATCH($A503,VarKey,0))&amp;INDEX(MemLab,MATCH($C503&amp;"|"&amp;$B503,MemKey,0))</f>
        <v/>
      </c>
      <c r="I503" s="14">
        <f>INDEX(VarUnit,MATCH($A503,VarKey,0))</f>
        <v/>
      </c>
      <c r="J503" s="14">
        <f>INDEX(VarSrc,MATCH($A503,VarKey,0))</f>
        <v/>
      </c>
      <c r="K503" s="11">
        <f>CodePrefix&amp;$A503&amp;IF($C503="","","."&amp;$C503&amp;"."&amp;$B503)&amp;INDEX(VarEnd,MATCH($A503,VarKey,0))&amp;K$5</f>
        <v/>
      </c>
      <c r="L503" s="15">
        <f>L483*$D503+$E503+L493</f>
        <v/>
      </c>
      <c r="M503" s="16">
        <f>M483*$D503+$E503+M493</f>
        <v/>
      </c>
      <c r="N503" s="16">
        <f>N483*$D503+$E503+N493</f>
        <v/>
      </c>
      <c r="O503" s="16">
        <f>O483*$D503+$E503+O493</f>
        <v/>
      </c>
      <c r="P503" s="16">
        <f>P483*$D503+$E503+P493</f>
        <v/>
      </c>
      <c r="Q503" s="16">
        <f>Q483*$D503+$E503+Q493</f>
        <v/>
      </c>
      <c r="R503" s="16">
        <f>R483*$D503+$E503+R493</f>
        <v/>
      </c>
      <c r="S503" s="16">
        <f>S483*$D503+$E503+S493</f>
        <v/>
      </c>
      <c r="T503" s="16">
        <f>T483*$D503+$E503+T493</f>
        <v/>
      </c>
      <c r="U503" s="16">
        <f>U483*$D503+$E503+U493</f>
        <v/>
      </c>
      <c r="V503" s="16">
        <f>V483*$D503+$E503+V493</f>
        <v/>
      </c>
      <c r="W503" s="16">
        <f>W483*$D503+$E503+W493</f>
        <v/>
      </c>
      <c r="X503" s="16">
        <f>X483*$D503+$E503+X493</f>
        <v/>
      </c>
      <c r="Y503" s="16">
        <f>Y483*$D503+$E503+Y493</f>
        <v/>
      </c>
      <c r="Z503" s="16">
        <f>Z483*$D503+$E503+Z493</f>
        <v/>
      </c>
      <c r="AA503" s="16">
        <f>AA483*$D503+$E503+AA493</f>
        <v/>
      </c>
      <c r="AB503" s="16">
        <f>AB483*$D503+$E503+AB493</f>
        <v/>
      </c>
      <c r="AC503" s="16">
        <f>AC483*$D503+$E503+AC493</f>
        <v/>
      </c>
      <c r="AD503" s="16">
        <f>AD483*$D503+$E503+AD493</f>
        <v/>
      </c>
      <c r="AE503" s="49">
        <f>AMORTISED(AE483,$D503,$E503,AE493)</f>
        <v/>
      </c>
      <c r="AG503" s="11">
        <f>CodePrefix&amp;$A503&amp;IF($C503="","","."&amp;$C503&amp;"."&amp;$B503)&amp;INDEX(VarEnd,MATCH($A503,VarKey,0))&amp;AG$5</f>
        <v/>
      </c>
      <c r="AH503" s="15">
        <f>AH483*$D503+$E503+AH493</f>
        <v/>
      </c>
      <c r="AI503" s="16">
        <f>AI483*$D503+$E503+AI493</f>
        <v/>
      </c>
      <c r="AJ503" s="16">
        <f>AJ483*$D503+$E503+AJ493</f>
        <v/>
      </c>
      <c r="AK503" s="16">
        <f>AK483*$D503+$E503+AK493</f>
        <v/>
      </c>
      <c r="AL503" s="16">
        <f>AL483*$D503+$E503+AL493</f>
        <v/>
      </c>
      <c r="AM503" s="16">
        <f>AM483*$D503+$E503+AM493</f>
        <v/>
      </c>
      <c r="AN503" s="16">
        <f>AN483*$D503+$E503+AN493</f>
        <v/>
      </c>
      <c r="AO503" s="16">
        <f>AO483*$D503+$E503+AO493</f>
        <v/>
      </c>
      <c r="AP503" s="16">
        <f>AP483*$D503+$E503+AP493</f>
        <v/>
      </c>
      <c r="AQ503" s="16">
        <f>AQ483*$D503+$E503+AQ493</f>
        <v/>
      </c>
      <c r="AR503" s="16">
        <f>AR483*$D503+$E503+AR493</f>
        <v/>
      </c>
      <c r="AS503" s="16">
        <f>AS483*$D503+$E503+AS493</f>
        <v/>
      </c>
      <c r="AT503" s="16">
        <f>AT483*$D503+$E503+AT493</f>
        <v/>
      </c>
      <c r="AU503" s="16">
        <f>AU483*$D503+$E503+AU493</f>
        <v/>
      </c>
      <c r="AV503" s="16">
        <f>AV483*$D503+$E503+AV493</f>
        <v/>
      </c>
      <c r="AW503" s="16">
        <f>AW483*$D503+$E503+AW493</f>
        <v/>
      </c>
      <c r="AX503" s="16">
        <f>AX483*$D503+$E503+AX493</f>
        <v/>
      </c>
      <c r="AY503" s="16">
        <f>AY483*$D503+$E503+AY493</f>
        <v/>
      </c>
      <c r="AZ503" s="16">
        <f>AZ483*$D503+$E503+AZ493</f>
        <v/>
      </c>
      <c r="BA503" s="49">
        <f>AMORTISED(BA483,$D503,$E503,BA493)</f>
        <v/>
      </c>
    </row>
    <row r="504" hidden="1" outlineLevel="1">
      <c r="A504" s="14" t="inlineStr">
        <is>
          <t>fix</t>
        </is>
      </c>
      <c r="B504" s="14" t="inlineStr">
        <is>
          <t>ore</t>
        </is>
      </c>
      <c r="C504" s="14" t="inlineStr">
        <is>
          <t>pow</t>
        </is>
      </c>
      <c r="D504" s="45">
        <f>INDEX(Inputs_power!$R$5:$R$13,MATCH($B504,Inputs_power!$A$5:$A$13,0))</f>
        <v/>
      </c>
      <c r="E504" s="45">
        <f>INDEX(Inputs_power!$S$5:$S$13,MATCH($B504,Inputs_power!$A$5:$A$13,0))</f>
        <v/>
      </c>
      <c r="F504" s="39" t="n"/>
      <c r="G504" s="39" t="n"/>
      <c r="H504" s="14">
        <f>INDEX(VarLab,MATCH($A504,VarKey,0))&amp;INDEX(MemLab,MATCH($C504&amp;"|"&amp;$B504,MemKey,0))</f>
        <v/>
      </c>
      <c r="I504" s="14">
        <f>INDEX(VarUnit,MATCH($A504,VarKey,0))</f>
        <v/>
      </c>
      <c r="J504" s="14">
        <f>INDEX(VarSrc,MATCH($A504,VarKey,0))</f>
        <v/>
      </c>
      <c r="K504" s="11">
        <f>CodePrefix&amp;$A504&amp;IF($C504="","","."&amp;$C504&amp;"."&amp;$B504)&amp;INDEX(VarEnd,MATCH($A504,VarKey,0))&amp;K$5</f>
        <v/>
      </c>
      <c r="L504" s="15">
        <f>L484*$D504+$E504+L494</f>
        <v/>
      </c>
      <c r="M504" s="16">
        <f>M484*$D504+$E504+M494</f>
        <v/>
      </c>
      <c r="N504" s="16">
        <f>N484*$D504+$E504+N494</f>
        <v/>
      </c>
      <c r="O504" s="16">
        <f>O484*$D504+$E504+O494</f>
        <v/>
      </c>
      <c r="P504" s="16">
        <f>P484*$D504+$E504+P494</f>
        <v/>
      </c>
      <c r="Q504" s="16">
        <f>Q484*$D504+$E504+Q494</f>
        <v/>
      </c>
      <c r="R504" s="16">
        <f>R484*$D504+$E504+R494</f>
        <v/>
      </c>
      <c r="S504" s="16">
        <f>S484*$D504+$E504+S494</f>
        <v/>
      </c>
      <c r="T504" s="16">
        <f>T484*$D504+$E504+T494</f>
        <v/>
      </c>
      <c r="U504" s="16">
        <f>U484*$D504+$E504+U494</f>
        <v/>
      </c>
      <c r="V504" s="16">
        <f>V484*$D504+$E504+V494</f>
        <v/>
      </c>
      <c r="W504" s="16">
        <f>W484*$D504+$E504+W494</f>
        <v/>
      </c>
      <c r="X504" s="16">
        <f>X484*$D504+$E504+X494</f>
        <v/>
      </c>
      <c r="Y504" s="16">
        <f>Y484*$D504+$E504+Y494</f>
        <v/>
      </c>
      <c r="Z504" s="16">
        <f>Z484*$D504+$E504+Z494</f>
        <v/>
      </c>
      <c r="AA504" s="16">
        <f>AA484*$D504+$E504+AA494</f>
        <v/>
      </c>
      <c r="AB504" s="16">
        <f>AB484*$D504+$E504+AB494</f>
        <v/>
      </c>
      <c r="AC504" s="16">
        <f>AC484*$D504+$E504+AC494</f>
        <v/>
      </c>
      <c r="AD504" s="16">
        <f>AD484*$D504+$E504+AD494</f>
        <v/>
      </c>
      <c r="AE504" s="49">
        <f>AMORTISED(AE484,$D504,$E504,AE494)</f>
        <v/>
      </c>
      <c r="AG504" s="11">
        <f>CodePrefix&amp;$A504&amp;IF($C504="","","."&amp;$C504&amp;"."&amp;$B504)&amp;INDEX(VarEnd,MATCH($A504,VarKey,0))&amp;AG$5</f>
        <v/>
      </c>
      <c r="AH504" s="15">
        <f>AH484*$D504+$E504+AH494</f>
        <v/>
      </c>
      <c r="AI504" s="16">
        <f>AI484*$D504+$E504+AI494</f>
        <v/>
      </c>
      <c r="AJ504" s="16">
        <f>AJ484*$D504+$E504+AJ494</f>
        <v/>
      </c>
      <c r="AK504" s="16">
        <f>AK484*$D504+$E504+AK494</f>
        <v/>
      </c>
      <c r="AL504" s="16">
        <f>AL484*$D504+$E504+AL494</f>
        <v/>
      </c>
      <c r="AM504" s="16">
        <f>AM484*$D504+$E504+AM494</f>
        <v/>
      </c>
      <c r="AN504" s="16">
        <f>AN484*$D504+$E504+AN494</f>
        <v/>
      </c>
      <c r="AO504" s="16">
        <f>AO484*$D504+$E504+AO494</f>
        <v/>
      </c>
      <c r="AP504" s="16">
        <f>AP484*$D504+$E504+AP494</f>
        <v/>
      </c>
      <c r="AQ504" s="16">
        <f>AQ484*$D504+$E504+AQ494</f>
        <v/>
      </c>
      <c r="AR504" s="16">
        <f>AR484*$D504+$E504+AR494</f>
        <v/>
      </c>
      <c r="AS504" s="16">
        <f>AS484*$D504+$E504+AS494</f>
        <v/>
      </c>
      <c r="AT504" s="16">
        <f>AT484*$D504+$E504+AT494</f>
        <v/>
      </c>
      <c r="AU504" s="16">
        <f>AU484*$D504+$E504+AU494</f>
        <v/>
      </c>
      <c r="AV504" s="16">
        <f>AV484*$D504+$E504+AV494</f>
        <v/>
      </c>
      <c r="AW504" s="16">
        <f>AW484*$D504+$E504+AW494</f>
        <v/>
      </c>
      <c r="AX504" s="16">
        <f>AX484*$D504+$E504+AX494</f>
        <v/>
      </c>
      <c r="AY504" s="16">
        <f>AY484*$D504+$E504+AY494</f>
        <v/>
      </c>
      <c r="AZ504" s="16">
        <f>AZ484*$D504+$E504+AZ494</f>
        <v/>
      </c>
      <c r="BA504" s="49">
        <f>AMORTISED(BA484,$D504,$E504,BA494)</f>
        <v/>
      </c>
    </row>
    <row r="505" hidden="1" outlineLevel="1">
      <c r="A505" s="14" t="inlineStr">
        <is>
          <t>fix</t>
        </is>
      </c>
      <c r="B505" s="14" t="inlineStr">
        <is>
          <t>bio</t>
        </is>
      </c>
      <c r="C505" s="14" t="inlineStr">
        <is>
          <t>pow</t>
        </is>
      </c>
      <c r="D505" s="45">
        <f>INDEX(Inputs_power!$R$5:$R$13,MATCH($B505,Inputs_power!$A$5:$A$13,0))</f>
        <v/>
      </c>
      <c r="E505" s="45">
        <f>INDEX(Inputs_power!$S$5:$S$13,MATCH($B505,Inputs_power!$A$5:$A$13,0))</f>
        <v/>
      </c>
      <c r="F505" s="39" t="n"/>
      <c r="G505" s="39" t="n"/>
      <c r="H505" s="14">
        <f>INDEX(VarLab,MATCH($A505,VarKey,0))&amp;INDEX(MemLab,MATCH($C505&amp;"|"&amp;$B505,MemKey,0))</f>
        <v/>
      </c>
      <c r="I505" s="14">
        <f>INDEX(VarUnit,MATCH($A505,VarKey,0))</f>
        <v/>
      </c>
      <c r="J505" s="14">
        <f>INDEX(VarSrc,MATCH($A505,VarKey,0))</f>
        <v/>
      </c>
      <c r="K505" s="11">
        <f>CodePrefix&amp;$A505&amp;IF($C505="","","."&amp;$C505&amp;"."&amp;$B505)&amp;INDEX(VarEnd,MATCH($A505,VarKey,0))&amp;K$5</f>
        <v/>
      </c>
      <c r="L505" s="15">
        <f>L485*$D505+$E505+L495</f>
        <v/>
      </c>
      <c r="M505" s="16">
        <f>M485*$D505+$E505+M495</f>
        <v/>
      </c>
      <c r="N505" s="16">
        <f>N485*$D505+$E505+N495</f>
        <v/>
      </c>
      <c r="O505" s="16">
        <f>O485*$D505+$E505+O495</f>
        <v/>
      </c>
      <c r="P505" s="16">
        <f>P485*$D505+$E505+P495</f>
        <v/>
      </c>
      <c r="Q505" s="16">
        <f>Q485*$D505+$E505+Q495</f>
        <v/>
      </c>
      <c r="R505" s="16">
        <f>R485*$D505+$E505+R495</f>
        <v/>
      </c>
      <c r="S505" s="16">
        <f>S485*$D505+$E505+S495</f>
        <v/>
      </c>
      <c r="T505" s="16">
        <f>T485*$D505+$E505+T495</f>
        <v/>
      </c>
      <c r="U505" s="16">
        <f>U485*$D505+$E505+U495</f>
        <v/>
      </c>
      <c r="V505" s="16">
        <f>V485*$D505+$E505+V495</f>
        <v/>
      </c>
      <c r="W505" s="16">
        <f>W485*$D505+$E505+W495</f>
        <v/>
      </c>
      <c r="X505" s="16">
        <f>X485*$D505+$E505+X495</f>
        <v/>
      </c>
      <c r="Y505" s="16">
        <f>Y485*$D505+$E505+Y495</f>
        <v/>
      </c>
      <c r="Z505" s="16">
        <f>Z485*$D505+$E505+Z495</f>
        <v/>
      </c>
      <c r="AA505" s="16">
        <f>AA485*$D505+$E505+AA495</f>
        <v/>
      </c>
      <c r="AB505" s="16">
        <f>AB485*$D505+$E505+AB495</f>
        <v/>
      </c>
      <c r="AC505" s="16">
        <f>AC485*$D505+$E505+AC495</f>
        <v/>
      </c>
      <c r="AD505" s="16">
        <f>AD485*$D505+$E505+AD495</f>
        <v/>
      </c>
      <c r="AE505" s="49">
        <f>AMORTISED(AE485,$D505,$E505,AE495)</f>
        <v/>
      </c>
      <c r="AG505" s="11">
        <f>CodePrefix&amp;$A505&amp;IF($C505="","","."&amp;$C505&amp;"."&amp;$B505)&amp;INDEX(VarEnd,MATCH($A505,VarKey,0))&amp;AG$5</f>
        <v/>
      </c>
      <c r="AH505" s="15">
        <f>AH485*$D505+$E505+AH495</f>
        <v/>
      </c>
      <c r="AI505" s="16">
        <f>AI485*$D505+$E505+AI495</f>
        <v/>
      </c>
      <c r="AJ505" s="16">
        <f>AJ485*$D505+$E505+AJ495</f>
        <v/>
      </c>
      <c r="AK505" s="16">
        <f>AK485*$D505+$E505+AK495</f>
        <v/>
      </c>
      <c r="AL505" s="16">
        <f>AL485*$D505+$E505+AL495</f>
        <v/>
      </c>
      <c r="AM505" s="16">
        <f>AM485*$D505+$E505+AM495</f>
        <v/>
      </c>
      <c r="AN505" s="16">
        <f>AN485*$D505+$E505+AN495</f>
        <v/>
      </c>
      <c r="AO505" s="16">
        <f>AO485*$D505+$E505+AO495</f>
        <v/>
      </c>
      <c r="AP505" s="16">
        <f>AP485*$D505+$E505+AP495</f>
        <v/>
      </c>
      <c r="AQ505" s="16">
        <f>AQ485*$D505+$E505+AQ495</f>
        <v/>
      </c>
      <c r="AR505" s="16">
        <f>AR485*$D505+$E505+AR495</f>
        <v/>
      </c>
      <c r="AS505" s="16">
        <f>AS485*$D505+$E505+AS495</f>
        <v/>
      </c>
      <c r="AT505" s="16">
        <f>AT485*$D505+$E505+AT495</f>
        <v/>
      </c>
      <c r="AU505" s="16">
        <f>AU485*$D505+$E505+AU495</f>
        <v/>
      </c>
      <c r="AV505" s="16">
        <f>AV485*$D505+$E505+AV495</f>
        <v/>
      </c>
      <c r="AW505" s="16">
        <f>AW485*$D505+$E505+AW495</f>
        <v/>
      </c>
      <c r="AX505" s="16">
        <f>AX485*$D505+$E505+AX495</f>
        <v/>
      </c>
      <c r="AY505" s="16">
        <f>AY485*$D505+$E505+AY495</f>
        <v/>
      </c>
      <c r="AZ505" s="16">
        <f>AZ485*$D505+$E505+AZ495</f>
        <v/>
      </c>
      <c r="BA505" s="49">
        <f>AMORTISED(BA485,$D505,$E505,BA495)</f>
        <v/>
      </c>
    </row>
    <row r="506" hidden="1" outlineLevel="1"/>
    <row r="507" hidden="1" outlineLevel="1">
      <c r="H507" s="21" t="inlineStr">
        <is>
          <t>C. Levelised fixed costs of new plants ($/kWh; for investment decisions, not for prices)</t>
        </is>
      </c>
    </row>
    <row r="508" hidden="1" outlineLevel="1">
      <c r="A508" s="14" t="inlineStr">
        <is>
          <t>lfx</t>
        </is>
      </c>
      <c r="B508" s="14" t="inlineStr">
        <is>
          <t>coa</t>
        </is>
      </c>
      <c r="C508" s="14" t="inlineStr">
        <is>
          <t>pow</t>
        </is>
      </c>
      <c r="D508" s="45">
        <f>INDEX(Inputs_power!$T$5:$T$13,MATCH($B508,Inputs_power!$A$5:$A$13,0))</f>
        <v/>
      </c>
      <c r="E508" s="45">
        <f>INDEX(Inputs_power!$U$5:$U$13,MATCH($B508,Inputs_power!$A$5:$A$13,0))</f>
        <v/>
      </c>
      <c r="F508" s="45">
        <f>INDEX(Inputs_power!$O$5:$O$13,MATCH($B508,Inputs_power!$A$5:$A$13,0))</f>
        <v/>
      </c>
      <c r="G508" s="39" t="n"/>
      <c r="H508" s="14">
        <f>INDEX(VarLab,MATCH($A508,VarKey,0))&amp;INDEX(MemLab,MATCH($C508&amp;"|"&amp;$B508,MemKey,0))</f>
        <v/>
      </c>
      <c r="I508" s="14">
        <f>INDEX(VarUnit,MATCH($A508,VarKey,0))</f>
        <v/>
      </c>
      <c r="J508" s="14">
        <f>INDEX(VarSrc,MATCH($A508,VarKey,0))</f>
        <v/>
      </c>
      <c r="K508" s="11">
        <f>CodePrefix&amp;$A508&amp;IF($C508="","","."&amp;$C508&amp;"."&amp;$B508)&amp;INDEX(VarEnd,MATCH($A508,VarKey,0))&amp;K$5</f>
        <v/>
      </c>
      <c r="L508" s="15">
        <f>L467*$D508+$E508+$F508*L$769</f>
        <v/>
      </c>
      <c r="M508" s="16">
        <f>M467*$D508+$E508+$F508*M$769</f>
        <v/>
      </c>
      <c r="N508" s="16">
        <f>N467*$D508+$E508+$F508*N$769</f>
        <v/>
      </c>
      <c r="O508" s="16">
        <f>O467*$D508+$E508+$F508*O$769</f>
        <v/>
      </c>
      <c r="P508" s="16">
        <f>P467*$D508+$E508+$F508*P$769</f>
        <v/>
      </c>
      <c r="Q508" s="16">
        <f>Q467*$D508+$E508+$F508*Q$769</f>
        <v/>
      </c>
      <c r="R508" s="16">
        <f>R467*$D508+$E508+$F508*R$769</f>
        <v/>
      </c>
      <c r="S508" s="16">
        <f>S467*$D508+$E508+$F508*S$769</f>
        <v/>
      </c>
      <c r="T508" s="16">
        <f>T467*$D508+$E508+$F508*T$769</f>
        <v/>
      </c>
      <c r="U508" s="16">
        <f>U467*$D508+$E508+$F508*U$769</f>
        <v/>
      </c>
      <c r="V508" s="16">
        <f>V467*$D508+$E508+$F508*V$769</f>
        <v/>
      </c>
      <c r="W508" s="16">
        <f>W467*$D508+$E508+$F508*W$769</f>
        <v/>
      </c>
      <c r="X508" s="16">
        <f>X467*$D508+$E508+$F508*X$769</f>
        <v/>
      </c>
      <c r="Y508" s="16">
        <f>Y467*$D508+$E508+$F508*Y$769</f>
        <v/>
      </c>
      <c r="Z508" s="16">
        <f>Z467*$D508+$E508+$F508*Z$769</f>
        <v/>
      </c>
      <c r="AA508" s="16">
        <f>AA467*$D508+$E508+$F508*AA$769</f>
        <v/>
      </c>
      <c r="AB508" s="16">
        <f>AB467*$D508+$E508+$F508*AB$769</f>
        <v/>
      </c>
      <c r="AC508" s="16">
        <f>AC467*$D508+$E508+$F508*AC$769</f>
        <v/>
      </c>
      <c r="AD508" s="16">
        <f>AD467*$D508+$E508+$F508*AD$769</f>
        <v/>
      </c>
      <c r="AE508" s="49">
        <f>LEVELISED(AE467,$D508,$E508,$F508,AE$769)</f>
        <v/>
      </c>
      <c r="AG508" s="11">
        <f>CodePrefix&amp;$A508&amp;IF($C508="","","."&amp;$C508&amp;"."&amp;$B508)&amp;INDEX(VarEnd,MATCH($A508,VarKey,0))&amp;AG$5</f>
        <v/>
      </c>
      <c r="AH508" s="15">
        <f>AH467*$D508+$E508+$F508*AH$769</f>
        <v/>
      </c>
      <c r="AI508" s="16">
        <f>AI467*$D508+$E508+$F508*AI$769</f>
        <v/>
      </c>
      <c r="AJ508" s="16">
        <f>AJ467*$D508+$E508+$F508*AJ$769</f>
        <v/>
      </c>
      <c r="AK508" s="16">
        <f>AK467*$D508+$E508+$F508*AK$769</f>
        <v/>
      </c>
      <c r="AL508" s="16">
        <f>AL467*$D508+$E508+$F508*AL$769</f>
        <v/>
      </c>
      <c r="AM508" s="16">
        <f>AM467*$D508+$E508+$F508*AM$769</f>
        <v/>
      </c>
      <c r="AN508" s="16">
        <f>AN467*$D508+$E508+$F508*AN$769</f>
        <v/>
      </c>
      <c r="AO508" s="16">
        <f>AO467*$D508+$E508+$F508*AO$769</f>
        <v/>
      </c>
      <c r="AP508" s="16">
        <f>AP467*$D508+$E508+$F508*AP$769</f>
        <v/>
      </c>
      <c r="AQ508" s="16">
        <f>AQ467*$D508+$E508+$F508*AQ$769</f>
        <v/>
      </c>
      <c r="AR508" s="16">
        <f>AR467*$D508+$E508+$F508*AR$769</f>
        <v/>
      </c>
      <c r="AS508" s="16">
        <f>AS467*$D508+$E508+$F508*AS$769</f>
        <v/>
      </c>
      <c r="AT508" s="16">
        <f>AT467*$D508+$E508+$F508*AT$769</f>
        <v/>
      </c>
      <c r="AU508" s="16">
        <f>AU467*$D508+$E508+$F508*AU$769</f>
        <v/>
      </c>
      <c r="AV508" s="16">
        <f>AV467*$D508+$E508+$F508*AV$769</f>
        <v/>
      </c>
      <c r="AW508" s="16">
        <f>AW467*$D508+$E508+$F508*AW$769</f>
        <v/>
      </c>
      <c r="AX508" s="16">
        <f>AX467*$D508+$E508+$F508*AX$769</f>
        <v/>
      </c>
      <c r="AY508" s="16">
        <f>AY467*$D508+$E508+$F508*AY$769</f>
        <v/>
      </c>
      <c r="AZ508" s="16">
        <f>AZ467*$D508+$E508+$F508*AZ$769</f>
        <v/>
      </c>
      <c r="BA508" s="49">
        <f>LEVELISED(BA467,$D508,$E508,$F508,BA$769)</f>
        <v/>
      </c>
    </row>
    <row r="509" hidden="1" outlineLevel="1">
      <c r="A509" s="14" t="inlineStr">
        <is>
          <t>lfx</t>
        </is>
      </c>
      <c r="B509" s="14" t="inlineStr">
        <is>
          <t>nga</t>
        </is>
      </c>
      <c r="C509" s="14" t="inlineStr">
        <is>
          <t>pow</t>
        </is>
      </c>
      <c r="D509" s="45">
        <f>INDEX(Inputs_power!$T$5:$T$13,MATCH($B509,Inputs_power!$A$5:$A$13,0))</f>
        <v/>
      </c>
      <c r="E509" s="45">
        <f>INDEX(Inputs_power!$U$5:$U$13,MATCH($B509,Inputs_power!$A$5:$A$13,0))</f>
        <v/>
      </c>
      <c r="F509" s="45">
        <f>INDEX(Inputs_power!$O$5:$O$13,MATCH($B509,Inputs_power!$A$5:$A$13,0))</f>
        <v/>
      </c>
      <c r="G509" s="39" t="n"/>
      <c r="H509" s="14">
        <f>INDEX(VarLab,MATCH($A509,VarKey,0))&amp;INDEX(MemLab,MATCH($C509&amp;"|"&amp;$B509,MemKey,0))</f>
        <v/>
      </c>
      <c r="I509" s="14">
        <f>INDEX(VarUnit,MATCH($A509,VarKey,0))</f>
        <v/>
      </c>
      <c r="J509" s="14">
        <f>INDEX(VarSrc,MATCH($A509,VarKey,0))</f>
        <v/>
      </c>
      <c r="K509" s="11">
        <f>CodePrefix&amp;$A509&amp;IF($C509="","","."&amp;$C509&amp;"."&amp;$B509)&amp;INDEX(VarEnd,MATCH($A509,VarKey,0))&amp;K$5</f>
        <v/>
      </c>
      <c r="L509" s="15">
        <f>L468*$D509+$E509+$F509*L$769</f>
        <v/>
      </c>
      <c r="M509" s="16">
        <f>M468*$D509+$E509+$F509*M$769</f>
        <v/>
      </c>
      <c r="N509" s="16">
        <f>N468*$D509+$E509+$F509*N$769</f>
        <v/>
      </c>
      <c r="O509" s="16">
        <f>O468*$D509+$E509+$F509*O$769</f>
        <v/>
      </c>
      <c r="P509" s="16">
        <f>P468*$D509+$E509+$F509*P$769</f>
        <v/>
      </c>
      <c r="Q509" s="16">
        <f>Q468*$D509+$E509+$F509*Q$769</f>
        <v/>
      </c>
      <c r="R509" s="16">
        <f>R468*$D509+$E509+$F509*R$769</f>
        <v/>
      </c>
      <c r="S509" s="16">
        <f>S468*$D509+$E509+$F509*S$769</f>
        <v/>
      </c>
      <c r="T509" s="16">
        <f>T468*$D509+$E509+$F509*T$769</f>
        <v/>
      </c>
      <c r="U509" s="16">
        <f>U468*$D509+$E509+$F509*U$769</f>
        <v/>
      </c>
      <c r="V509" s="16">
        <f>V468*$D509+$E509+$F509*V$769</f>
        <v/>
      </c>
      <c r="W509" s="16">
        <f>W468*$D509+$E509+$F509*W$769</f>
        <v/>
      </c>
      <c r="X509" s="16">
        <f>X468*$D509+$E509+$F509*X$769</f>
        <v/>
      </c>
      <c r="Y509" s="16">
        <f>Y468*$D509+$E509+$F509*Y$769</f>
        <v/>
      </c>
      <c r="Z509" s="16">
        <f>Z468*$D509+$E509+$F509*Z$769</f>
        <v/>
      </c>
      <c r="AA509" s="16">
        <f>AA468*$D509+$E509+$F509*AA$769</f>
        <v/>
      </c>
      <c r="AB509" s="16">
        <f>AB468*$D509+$E509+$F509*AB$769</f>
        <v/>
      </c>
      <c r="AC509" s="16">
        <f>AC468*$D509+$E509+$F509*AC$769</f>
        <v/>
      </c>
      <c r="AD509" s="16">
        <f>AD468*$D509+$E509+$F509*AD$769</f>
        <v/>
      </c>
      <c r="AE509" s="49">
        <f>LEVELISED(AE468,$D509,$E509,$F509,AE$769)</f>
        <v/>
      </c>
      <c r="AG509" s="11">
        <f>CodePrefix&amp;$A509&amp;IF($C509="","","."&amp;$C509&amp;"."&amp;$B509)&amp;INDEX(VarEnd,MATCH($A509,VarKey,0))&amp;AG$5</f>
        <v/>
      </c>
      <c r="AH509" s="15">
        <f>AH468*$D509+$E509+$F509*AH$769</f>
        <v/>
      </c>
      <c r="AI509" s="16">
        <f>AI468*$D509+$E509+$F509*AI$769</f>
        <v/>
      </c>
      <c r="AJ509" s="16">
        <f>AJ468*$D509+$E509+$F509*AJ$769</f>
        <v/>
      </c>
      <c r="AK509" s="16">
        <f>AK468*$D509+$E509+$F509*AK$769</f>
        <v/>
      </c>
      <c r="AL509" s="16">
        <f>AL468*$D509+$E509+$F509*AL$769</f>
        <v/>
      </c>
      <c r="AM509" s="16">
        <f>AM468*$D509+$E509+$F509*AM$769</f>
        <v/>
      </c>
      <c r="AN509" s="16">
        <f>AN468*$D509+$E509+$F509*AN$769</f>
        <v/>
      </c>
      <c r="AO509" s="16">
        <f>AO468*$D509+$E509+$F509*AO$769</f>
        <v/>
      </c>
      <c r="AP509" s="16">
        <f>AP468*$D509+$E509+$F509*AP$769</f>
        <v/>
      </c>
      <c r="AQ509" s="16">
        <f>AQ468*$D509+$E509+$F509*AQ$769</f>
        <v/>
      </c>
      <c r="AR509" s="16">
        <f>AR468*$D509+$E509+$F509*AR$769</f>
        <v/>
      </c>
      <c r="AS509" s="16">
        <f>AS468*$D509+$E509+$F509*AS$769</f>
        <v/>
      </c>
      <c r="AT509" s="16">
        <f>AT468*$D509+$E509+$F509*AT$769</f>
        <v/>
      </c>
      <c r="AU509" s="16">
        <f>AU468*$D509+$E509+$F509*AU$769</f>
        <v/>
      </c>
      <c r="AV509" s="16">
        <f>AV468*$D509+$E509+$F509*AV$769</f>
        <v/>
      </c>
      <c r="AW509" s="16">
        <f>AW468*$D509+$E509+$F509*AW$769</f>
        <v/>
      </c>
      <c r="AX509" s="16">
        <f>AX468*$D509+$E509+$F509*AX$769</f>
        <v/>
      </c>
      <c r="AY509" s="16">
        <f>AY468*$D509+$E509+$F509*AY$769</f>
        <v/>
      </c>
      <c r="AZ509" s="16">
        <f>AZ468*$D509+$E509+$F509*AZ$769</f>
        <v/>
      </c>
      <c r="BA509" s="49">
        <f>LEVELISED(BA468,$D509,$E509,$F509,BA$769)</f>
        <v/>
      </c>
    </row>
    <row r="510" hidden="1" outlineLevel="1">
      <c r="A510" s="14" t="inlineStr">
        <is>
          <t>lfx</t>
        </is>
      </c>
      <c r="B510" s="14" t="inlineStr">
        <is>
          <t>oop</t>
        </is>
      </c>
      <c r="C510" s="14" t="inlineStr">
        <is>
          <t>pow</t>
        </is>
      </c>
      <c r="D510" s="45">
        <f>INDEX(Inputs_power!$T$5:$T$13,MATCH($B510,Inputs_power!$A$5:$A$13,0))</f>
        <v/>
      </c>
      <c r="E510" s="45">
        <f>INDEX(Inputs_power!$U$5:$U$13,MATCH($B510,Inputs_power!$A$5:$A$13,0))</f>
        <v/>
      </c>
      <c r="F510" s="45">
        <f>INDEX(Inputs_power!$O$5:$O$13,MATCH($B510,Inputs_power!$A$5:$A$13,0))</f>
        <v/>
      </c>
      <c r="G510" s="39" t="n"/>
      <c r="H510" s="14">
        <f>INDEX(VarLab,MATCH($A510,VarKey,0))&amp;INDEX(MemLab,MATCH($C510&amp;"|"&amp;$B510,MemKey,0))</f>
        <v/>
      </c>
      <c r="I510" s="14">
        <f>INDEX(VarUnit,MATCH($A510,VarKey,0))</f>
        <v/>
      </c>
      <c r="J510" s="14">
        <f>INDEX(VarSrc,MATCH($A510,VarKey,0))</f>
        <v/>
      </c>
      <c r="K510" s="11">
        <f>CodePrefix&amp;$A510&amp;IF($C510="","","."&amp;$C510&amp;"."&amp;$B510)&amp;INDEX(VarEnd,MATCH($A510,VarKey,0))&amp;K$5</f>
        <v/>
      </c>
      <c r="L510" s="15">
        <f>L469*$D510+$E510+$F510*L$769</f>
        <v/>
      </c>
      <c r="M510" s="16">
        <f>M469*$D510+$E510+$F510*M$769</f>
        <v/>
      </c>
      <c r="N510" s="16">
        <f>N469*$D510+$E510+$F510*N$769</f>
        <v/>
      </c>
      <c r="O510" s="16">
        <f>O469*$D510+$E510+$F510*O$769</f>
        <v/>
      </c>
      <c r="P510" s="16">
        <f>P469*$D510+$E510+$F510*P$769</f>
        <v/>
      </c>
      <c r="Q510" s="16">
        <f>Q469*$D510+$E510+$F510*Q$769</f>
        <v/>
      </c>
      <c r="R510" s="16">
        <f>R469*$D510+$E510+$F510*R$769</f>
        <v/>
      </c>
      <c r="S510" s="16">
        <f>S469*$D510+$E510+$F510*S$769</f>
        <v/>
      </c>
      <c r="T510" s="16">
        <f>T469*$D510+$E510+$F510*T$769</f>
        <v/>
      </c>
      <c r="U510" s="16">
        <f>U469*$D510+$E510+$F510*U$769</f>
        <v/>
      </c>
      <c r="V510" s="16">
        <f>V469*$D510+$E510+$F510*V$769</f>
        <v/>
      </c>
      <c r="W510" s="16">
        <f>W469*$D510+$E510+$F510*W$769</f>
        <v/>
      </c>
      <c r="X510" s="16">
        <f>X469*$D510+$E510+$F510*X$769</f>
        <v/>
      </c>
      <c r="Y510" s="16">
        <f>Y469*$D510+$E510+$F510*Y$769</f>
        <v/>
      </c>
      <c r="Z510" s="16">
        <f>Z469*$D510+$E510+$F510*Z$769</f>
        <v/>
      </c>
      <c r="AA510" s="16">
        <f>AA469*$D510+$E510+$F510*AA$769</f>
        <v/>
      </c>
      <c r="AB510" s="16">
        <f>AB469*$D510+$E510+$F510*AB$769</f>
        <v/>
      </c>
      <c r="AC510" s="16">
        <f>AC469*$D510+$E510+$F510*AC$769</f>
        <v/>
      </c>
      <c r="AD510" s="16">
        <f>AD469*$D510+$E510+$F510*AD$769</f>
        <v/>
      </c>
      <c r="AE510" s="49">
        <f>LEVELISED(AE469,$D510,$E510,$F510,AE$769)</f>
        <v/>
      </c>
      <c r="AG510" s="11">
        <f>CodePrefix&amp;$A510&amp;IF($C510="","","."&amp;$C510&amp;"."&amp;$B510)&amp;INDEX(VarEnd,MATCH($A510,VarKey,0))&amp;AG$5</f>
        <v/>
      </c>
      <c r="AH510" s="15">
        <f>AH469*$D510+$E510+$F510*AH$769</f>
        <v/>
      </c>
      <c r="AI510" s="16">
        <f>AI469*$D510+$E510+$F510*AI$769</f>
        <v/>
      </c>
      <c r="AJ510" s="16">
        <f>AJ469*$D510+$E510+$F510*AJ$769</f>
        <v/>
      </c>
      <c r="AK510" s="16">
        <f>AK469*$D510+$E510+$F510*AK$769</f>
        <v/>
      </c>
      <c r="AL510" s="16">
        <f>AL469*$D510+$E510+$F510*AL$769</f>
        <v/>
      </c>
      <c r="AM510" s="16">
        <f>AM469*$D510+$E510+$F510*AM$769</f>
        <v/>
      </c>
      <c r="AN510" s="16">
        <f>AN469*$D510+$E510+$F510*AN$769</f>
        <v/>
      </c>
      <c r="AO510" s="16">
        <f>AO469*$D510+$E510+$F510*AO$769</f>
        <v/>
      </c>
      <c r="AP510" s="16">
        <f>AP469*$D510+$E510+$F510*AP$769</f>
        <v/>
      </c>
      <c r="AQ510" s="16">
        <f>AQ469*$D510+$E510+$F510*AQ$769</f>
        <v/>
      </c>
      <c r="AR510" s="16">
        <f>AR469*$D510+$E510+$F510*AR$769</f>
        <v/>
      </c>
      <c r="AS510" s="16">
        <f>AS469*$D510+$E510+$F510*AS$769</f>
        <v/>
      </c>
      <c r="AT510" s="16">
        <f>AT469*$D510+$E510+$F510*AT$769</f>
        <v/>
      </c>
      <c r="AU510" s="16">
        <f>AU469*$D510+$E510+$F510*AU$769</f>
        <v/>
      </c>
      <c r="AV510" s="16">
        <f>AV469*$D510+$E510+$F510*AV$769</f>
        <v/>
      </c>
      <c r="AW510" s="16">
        <f>AW469*$D510+$E510+$F510*AW$769</f>
        <v/>
      </c>
      <c r="AX510" s="16">
        <f>AX469*$D510+$E510+$F510*AX$769</f>
        <v/>
      </c>
      <c r="AY510" s="16">
        <f>AY469*$D510+$E510+$F510*AY$769</f>
        <v/>
      </c>
      <c r="AZ510" s="16">
        <f>AZ469*$D510+$E510+$F510*AZ$769</f>
        <v/>
      </c>
      <c r="BA510" s="49">
        <f>LEVELISED(BA469,$D510,$E510,$F510,BA$769)</f>
        <v/>
      </c>
    </row>
    <row r="511" hidden="1" outlineLevel="1">
      <c r="A511" s="14" t="inlineStr">
        <is>
          <t>lfx</t>
        </is>
      </c>
      <c r="B511" s="14" t="inlineStr">
        <is>
          <t>nuc</t>
        </is>
      </c>
      <c r="C511" s="14" t="inlineStr">
        <is>
          <t>pow</t>
        </is>
      </c>
      <c r="D511" s="45">
        <f>INDEX(Inputs_power!$T$5:$T$13,MATCH($B511,Inputs_power!$A$5:$A$13,0))</f>
        <v/>
      </c>
      <c r="E511" s="45">
        <f>INDEX(Inputs_power!$U$5:$U$13,MATCH($B511,Inputs_power!$A$5:$A$13,0))</f>
        <v/>
      </c>
      <c r="F511" s="45">
        <f>INDEX(Inputs_power!$O$5:$O$13,MATCH($B511,Inputs_power!$A$5:$A$13,0))</f>
        <v/>
      </c>
      <c r="G511" s="39" t="n"/>
      <c r="H511" s="14">
        <f>INDEX(VarLab,MATCH($A511,VarKey,0))&amp;INDEX(MemLab,MATCH($C511&amp;"|"&amp;$B511,MemKey,0))</f>
        <v/>
      </c>
      <c r="I511" s="14">
        <f>INDEX(VarUnit,MATCH($A511,VarKey,0))</f>
        <v/>
      </c>
      <c r="J511" s="14">
        <f>INDEX(VarSrc,MATCH($A511,VarKey,0))</f>
        <v/>
      </c>
      <c r="K511" s="11">
        <f>CodePrefix&amp;$A511&amp;IF($C511="","","."&amp;$C511&amp;"."&amp;$B511)&amp;INDEX(VarEnd,MATCH($A511,VarKey,0))&amp;K$5</f>
        <v/>
      </c>
      <c r="L511" s="15">
        <f>L470*$D511+$E511+$F511*L$769</f>
        <v/>
      </c>
      <c r="M511" s="16">
        <f>M470*$D511+$E511+$F511*M$769</f>
        <v/>
      </c>
      <c r="N511" s="16">
        <f>N470*$D511+$E511+$F511*N$769</f>
        <v/>
      </c>
      <c r="O511" s="16">
        <f>O470*$D511+$E511+$F511*O$769</f>
        <v/>
      </c>
      <c r="P511" s="16">
        <f>P470*$D511+$E511+$F511*P$769</f>
        <v/>
      </c>
      <c r="Q511" s="16">
        <f>Q470*$D511+$E511+$F511*Q$769</f>
        <v/>
      </c>
      <c r="R511" s="16">
        <f>R470*$D511+$E511+$F511*R$769</f>
        <v/>
      </c>
      <c r="S511" s="16">
        <f>S470*$D511+$E511+$F511*S$769</f>
        <v/>
      </c>
      <c r="T511" s="16">
        <f>T470*$D511+$E511+$F511*T$769</f>
        <v/>
      </c>
      <c r="U511" s="16">
        <f>U470*$D511+$E511+$F511*U$769</f>
        <v/>
      </c>
      <c r="V511" s="16">
        <f>V470*$D511+$E511+$F511*V$769</f>
        <v/>
      </c>
      <c r="W511" s="16">
        <f>W470*$D511+$E511+$F511*W$769</f>
        <v/>
      </c>
      <c r="X511" s="16">
        <f>X470*$D511+$E511+$F511*X$769</f>
        <v/>
      </c>
      <c r="Y511" s="16">
        <f>Y470*$D511+$E511+$F511*Y$769</f>
        <v/>
      </c>
      <c r="Z511" s="16">
        <f>Z470*$D511+$E511+$F511*Z$769</f>
        <v/>
      </c>
      <c r="AA511" s="16">
        <f>AA470*$D511+$E511+$F511*AA$769</f>
        <v/>
      </c>
      <c r="AB511" s="16">
        <f>AB470*$D511+$E511+$F511*AB$769</f>
        <v/>
      </c>
      <c r="AC511" s="16">
        <f>AC470*$D511+$E511+$F511*AC$769</f>
        <v/>
      </c>
      <c r="AD511" s="16">
        <f>AD470*$D511+$E511+$F511*AD$769</f>
        <v/>
      </c>
      <c r="AE511" s="49">
        <f>LEVELISED(AE470,$D511,$E511,$F511,AE$769)</f>
        <v/>
      </c>
      <c r="AG511" s="11">
        <f>CodePrefix&amp;$A511&amp;IF($C511="","","."&amp;$C511&amp;"."&amp;$B511)&amp;INDEX(VarEnd,MATCH($A511,VarKey,0))&amp;AG$5</f>
        <v/>
      </c>
      <c r="AH511" s="15">
        <f>AH470*$D511+$E511+$F511*AH$769</f>
        <v/>
      </c>
      <c r="AI511" s="16">
        <f>AI470*$D511+$E511+$F511*AI$769</f>
        <v/>
      </c>
      <c r="AJ511" s="16">
        <f>AJ470*$D511+$E511+$F511*AJ$769</f>
        <v/>
      </c>
      <c r="AK511" s="16">
        <f>AK470*$D511+$E511+$F511*AK$769</f>
        <v/>
      </c>
      <c r="AL511" s="16">
        <f>AL470*$D511+$E511+$F511*AL$769</f>
        <v/>
      </c>
      <c r="AM511" s="16">
        <f>AM470*$D511+$E511+$F511*AM$769</f>
        <v/>
      </c>
      <c r="AN511" s="16">
        <f>AN470*$D511+$E511+$F511*AN$769</f>
        <v/>
      </c>
      <c r="AO511" s="16">
        <f>AO470*$D511+$E511+$F511*AO$769</f>
        <v/>
      </c>
      <c r="AP511" s="16">
        <f>AP470*$D511+$E511+$F511*AP$769</f>
        <v/>
      </c>
      <c r="AQ511" s="16">
        <f>AQ470*$D511+$E511+$F511*AQ$769</f>
        <v/>
      </c>
      <c r="AR511" s="16">
        <f>AR470*$D511+$E511+$F511*AR$769</f>
        <v/>
      </c>
      <c r="AS511" s="16">
        <f>AS470*$D511+$E511+$F511*AS$769</f>
        <v/>
      </c>
      <c r="AT511" s="16">
        <f>AT470*$D511+$E511+$F511*AT$769</f>
        <v/>
      </c>
      <c r="AU511" s="16">
        <f>AU470*$D511+$E511+$F511*AU$769</f>
        <v/>
      </c>
      <c r="AV511" s="16">
        <f>AV470*$D511+$E511+$F511*AV$769</f>
        <v/>
      </c>
      <c r="AW511" s="16">
        <f>AW470*$D511+$E511+$F511*AW$769</f>
        <v/>
      </c>
      <c r="AX511" s="16">
        <f>AX470*$D511+$E511+$F511*AX$769</f>
        <v/>
      </c>
      <c r="AY511" s="16">
        <f>AY470*$D511+$E511+$F511*AY$769</f>
        <v/>
      </c>
      <c r="AZ511" s="16">
        <f>AZ470*$D511+$E511+$F511*AZ$769</f>
        <v/>
      </c>
      <c r="BA511" s="49">
        <f>LEVELISED(BA470,$D511,$E511,$F511,BA$769)</f>
        <v/>
      </c>
    </row>
    <row r="512" hidden="1" outlineLevel="1">
      <c r="A512" s="14" t="inlineStr">
        <is>
          <t>lfx</t>
        </is>
      </c>
      <c r="B512" s="14" t="inlineStr">
        <is>
          <t>wnd</t>
        </is>
      </c>
      <c r="C512" s="14" t="inlineStr">
        <is>
          <t>pow</t>
        </is>
      </c>
      <c r="D512" s="45">
        <f>INDEX(Inputs_power!$T$5:$T$13,MATCH($B512,Inputs_power!$A$5:$A$13,0))</f>
        <v/>
      </c>
      <c r="E512" s="45">
        <f>INDEX(Inputs_power!$U$5:$U$13,MATCH($B512,Inputs_power!$A$5:$A$13,0))</f>
        <v/>
      </c>
      <c r="F512" s="45">
        <f>INDEX(Inputs_power!$O$5:$O$13,MATCH($B512,Inputs_power!$A$5:$A$13,0))</f>
        <v/>
      </c>
      <c r="G512" s="39" t="n"/>
      <c r="H512" s="14">
        <f>INDEX(VarLab,MATCH($A512,VarKey,0))&amp;INDEX(MemLab,MATCH($C512&amp;"|"&amp;$B512,MemKey,0))</f>
        <v/>
      </c>
      <c r="I512" s="14">
        <f>INDEX(VarUnit,MATCH($A512,VarKey,0))</f>
        <v/>
      </c>
      <c r="J512" s="14">
        <f>INDEX(VarSrc,MATCH($A512,VarKey,0))</f>
        <v/>
      </c>
      <c r="K512" s="11">
        <f>CodePrefix&amp;$A512&amp;IF($C512="","","."&amp;$C512&amp;"."&amp;$B512)&amp;INDEX(VarEnd,MATCH($A512,VarKey,0))&amp;K$5</f>
        <v/>
      </c>
      <c r="L512" s="15">
        <f>L471*$D512+$E512+$F512*L$769</f>
        <v/>
      </c>
      <c r="M512" s="16">
        <f>M471*$D512+$E512+$F512*M$769</f>
        <v/>
      </c>
      <c r="N512" s="16">
        <f>N471*$D512+$E512+$F512*N$769</f>
        <v/>
      </c>
      <c r="O512" s="16">
        <f>O471*$D512+$E512+$F512*O$769</f>
        <v/>
      </c>
      <c r="P512" s="16">
        <f>P471*$D512+$E512+$F512*P$769</f>
        <v/>
      </c>
      <c r="Q512" s="16">
        <f>Q471*$D512+$E512+$F512*Q$769</f>
        <v/>
      </c>
      <c r="R512" s="16">
        <f>R471*$D512+$E512+$F512*R$769</f>
        <v/>
      </c>
      <c r="S512" s="16">
        <f>S471*$D512+$E512+$F512*S$769</f>
        <v/>
      </c>
      <c r="T512" s="16">
        <f>T471*$D512+$E512+$F512*T$769</f>
        <v/>
      </c>
      <c r="U512" s="16">
        <f>U471*$D512+$E512+$F512*U$769</f>
        <v/>
      </c>
      <c r="V512" s="16">
        <f>V471*$D512+$E512+$F512*V$769</f>
        <v/>
      </c>
      <c r="W512" s="16">
        <f>W471*$D512+$E512+$F512*W$769</f>
        <v/>
      </c>
      <c r="X512" s="16">
        <f>X471*$D512+$E512+$F512*X$769</f>
        <v/>
      </c>
      <c r="Y512" s="16">
        <f>Y471*$D512+$E512+$F512*Y$769</f>
        <v/>
      </c>
      <c r="Z512" s="16">
        <f>Z471*$D512+$E512+$F512*Z$769</f>
        <v/>
      </c>
      <c r="AA512" s="16">
        <f>AA471*$D512+$E512+$F512*AA$769</f>
        <v/>
      </c>
      <c r="AB512" s="16">
        <f>AB471*$D512+$E512+$F512*AB$769</f>
        <v/>
      </c>
      <c r="AC512" s="16">
        <f>AC471*$D512+$E512+$F512*AC$769</f>
        <v/>
      </c>
      <c r="AD512" s="16">
        <f>AD471*$D512+$E512+$F512*AD$769</f>
        <v/>
      </c>
      <c r="AE512" s="49">
        <f>LEVELISED(AE471,$D512,$E512,$F512,AE$769)</f>
        <v/>
      </c>
      <c r="AG512" s="11">
        <f>CodePrefix&amp;$A512&amp;IF($C512="","","."&amp;$C512&amp;"."&amp;$B512)&amp;INDEX(VarEnd,MATCH($A512,VarKey,0))&amp;AG$5</f>
        <v/>
      </c>
      <c r="AH512" s="15">
        <f>AH471*$D512+$E512+$F512*AH$769</f>
        <v/>
      </c>
      <c r="AI512" s="16">
        <f>AI471*$D512+$E512+$F512*AI$769</f>
        <v/>
      </c>
      <c r="AJ512" s="16">
        <f>AJ471*$D512+$E512+$F512*AJ$769</f>
        <v/>
      </c>
      <c r="AK512" s="16">
        <f>AK471*$D512+$E512+$F512*AK$769</f>
        <v/>
      </c>
      <c r="AL512" s="16">
        <f>AL471*$D512+$E512+$F512*AL$769</f>
        <v/>
      </c>
      <c r="AM512" s="16">
        <f>AM471*$D512+$E512+$F512*AM$769</f>
        <v/>
      </c>
      <c r="AN512" s="16">
        <f>AN471*$D512+$E512+$F512*AN$769</f>
        <v/>
      </c>
      <c r="AO512" s="16">
        <f>AO471*$D512+$E512+$F512*AO$769</f>
        <v/>
      </c>
      <c r="AP512" s="16">
        <f>AP471*$D512+$E512+$F512*AP$769</f>
        <v/>
      </c>
      <c r="AQ512" s="16">
        <f>AQ471*$D512+$E512+$F512*AQ$769</f>
        <v/>
      </c>
      <c r="AR512" s="16">
        <f>AR471*$D512+$E512+$F512*AR$769</f>
        <v/>
      </c>
      <c r="AS512" s="16">
        <f>AS471*$D512+$E512+$F512*AS$769</f>
        <v/>
      </c>
      <c r="AT512" s="16">
        <f>AT471*$D512+$E512+$F512*AT$769</f>
        <v/>
      </c>
      <c r="AU512" s="16">
        <f>AU471*$D512+$E512+$F512*AU$769</f>
        <v/>
      </c>
      <c r="AV512" s="16">
        <f>AV471*$D512+$E512+$F512*AV$769</f>
        <v/>
      </c>
      <c r="AW512" s="16">
        <f>AW471*$D512+$E512+$F512*AW$769</f>
        <v/>
      </c>
      <c r="AX512" s="16">
        <f>AX471*$D512+$E512+$F512*AX$769</f>
        <v/>
      </c>
      <c r="AY512" s="16">
        <f>AY471*$D512+$E512+$F512*AY$769</f>
        <v/>
      </c>
      <c r="AZ512" s="16">
        <f>AZ471*$D512+$E512+$F512*AZ$769</f>
        <v/>
      </c>
      <c r="BA512" s="49">
        <f>LEVELISED(BA471,$D512,$E512,$F512,BA$769)</f>
        <v/>
      </c>
    </row>
    <row r="513" hidden="1" outlineLevel="1">
      <c r="A513" s="14" t="inlineStr">
        <is>
          <t>lfx</t>
        </is>
      </c>
      <c r="B513" s="14" t="inlineStr">
        <is>
          <t>sol</t>
        </is>
      </c>
      <c r="C513" s="14" t="inlineStr">
        <is>
          <t>pow</t>
        </is>
      </c>
      <c r="D513" s="45">
        <f>INDEX(Inputs_power!$T$5:$T$13,MATCH($B513,Inputs_power!$A$5:$A$13,0))</f>
        <v/>
      </c>
      <c r="E513" s="45">
        <f>INDEX(Inputs_power!$U$5:$U$13,MATCH($B513,Inputs_power!$A$5:$A$13,0))</f>
        <v/>
      </c>
      <c r="F513" s="45">
        <f>INDEX(Inputs_power!$O$5:$O$13,MATCH($B513,Inputs_power!$A$5:$A$13,0))</f>
        <v/>
      </c>
      <c r="G513" s="39" t="n"/>
      <c r="H513" s="14">
        <f>INDEX(VarLab,MATCH($A513,VarKey,0))&amp;INDEX(MemLab,MATCH($C513&amp;"|"&amp;$B513,MemKey,0))</f>
        <v/>
      </c>
      <c r="I513" s="14">
        <f>INDEX(VarUnit,MATCH($A513,VarKey,0))</f>
        <v/>
      </c>
      <c r="J513" s="14">
        <f>INDEX(VarSrc,MATCH($A513,VarKey,0))</f>
        <v/>
      </c>
      <c r="K513" s="11">
        <f>CodePrefix&amp;$A513&amp;IF($C513="","","."&amp;$C513&amp;"."&amp;$B513)&amp;INDEX(VarEnd,MATCH($A513,VarKey,0))&amp;K$5</f>
        <v/>
      </c>
      <c r="L513" s="15">
        <f>L472*$D513+$E513+$F513*L$769</f>
        <v/>
      </c>
      <c r="M513" s="16">
        <f>M472*$D513+$E513+$F513*M$769</f>
        <v/>
      </c>
      <c r="N513" s="16">
        <f>N472*$D513+$E513+$F513*N$769</f>
        <v/>
      </c>
      <c r="O513" s="16">
        <f>O472*$D513+$E513+$F513*O$769</f>
        <v/>
      </c>
      <c r="P513" s="16">
        <f>P472*$D513+$E513+$F513*P$769</f>
        <v/>
      </c>
      <c r="Q513" s="16">
        <f>Q472*$D513+$E513+$F513*Q$769</f>
        <v/>
      </c>
      <c r="R513" s="16">
        <f>R472*$D513+$E513+$F513*R$769</f>
        <v/>
      </c>
      <c r="S513" s="16">
        <f>S472*$D513+$E513+$F513*S$769</f>
        <v/>
      </c>
      <c r="T513" s="16">
        <f>T472*$D513+$E513+$F513*T$769</f>
        <v/>
      </c>
      <c r="U513" s="16">
        <f>U472*$D513+$E513+$F513*U$769</f>
        <v/>
      </c>
      <c r="V513" s="16">
        <f>V472*$D513+$E513+$F513*V$769</f>
        <v/>
      </c>
      <c r="W513" s="16">
        <f>W472*$D513+$E513+$F513*W$769</f>
        <v/>
      </c>
      <c r="X513" s="16">
        <f>X472*$D513+$E513+$F513*X$769</f>
        <v/>
      </c>
      <c r="Y513" s="16">
        <f>Y472*$D513+$E513+$F513*Y$769</f>
        <v/>
      </c>
      <c r="Z513" s="16">
        <f>Z472*$D513+$E513+$F513*Z$769</f>
        <v/>
      </c>
      <c r="AA513" s="16">
        <f>AA472*$D513+$E513+$F513*AA$769</f>
        <v/>
      </c>
      <c r="AB513" s="16">
        <f>AB472*$D513+$E513+$F513*AB$769</f>
        <v/>
      </c>
      <c r="AC513" s="16">
        <f>AC472*$D513+$E513+$F513*AC$769</f>
        <v/>
      </c>
      <c r="AD513" s="16">
        <f>AD472*$D513+$E513+$F513*AD$769</f>
        <v/>
      </c>
      <c r="AE513" s="49">
        <f>LEVELISED(AE472,$D513,$E513,$F513,AE$769)</f>
        <v/>
      </c>
      <c r="AG513" s="11">
        <f>CodePrefix&amp;$A513&amp;IF($C513="","","."&amp;$C513&amp;"."&amp;$B513)&amp;INDEX(VarEnd,MATCH($A513,VarKey,0))&amp;AG$5</f>
        <v/>
      </c>
      <c r="AH513" s="15">
        <f>AH472*$D513+$E513+$F513*AH$769</f>
        <v/>
      </c>
      <c r="AI513" s="16">
        <f>AI472*$D513+$E513+$F513*AI$769</f>
        <v/>
      </c>
      <c r="AJ513" s="16">
        <f>AJ472*$D513+$E513+$F513*AJ$769</f>
        <v/>
      </c>
      <c r="AK513" s="16">
        <f>AK472*$D513+$E513+$F513*AK$769</f>
        <v/>
      </c>
      <c r="AL513" s="16">
        <f>AL472*$D513+$E513+$F513*AL$769</f>
        <v/>
      </c>
      <c r="AM513" s="16">
        <f>AM472*$D513+$E513+$F513*AM$769</f>
        <v/>
      </c>
      <c r="AN513" s="16">
        <f>AN472*$D513+$E513+$F513*AN$769</f>
        <v/>
      </c>
      <c r="AO513" s="16">
        <f>AO472*$D513+$E513+$F513*AO$769</f>
        <v/>
      </c>
      <c r="AP513" s="16">
        <f>AP472*$D513+$E513+$F513*AP$769</f>
        <v/>
      </c>
      <c r="AQ513" s="16">
        <f>AQ472*$D513+$E513+$F513*AQ$769</f>
        <v/>
      </c>
      <c r="AR513" s="16">
        <f>AR472*$D513+$E513+$F513*AR$769</f>
        <v/>
      </c>
      <c r="AS513" s="16">
        <f>AS472*$D513+$E513+$F513*AS$769</f>
        <v/>
      </c>
      <c r="AT513" s="16">
        <f>AT472*$D513+$E513+$F513*AT$769</f>
        <v/>
      </c>
      <c r="AU513" s="16">
        <f>AU472*$D513+$E513+$F513*AU$769</f>
        <v/>
      </c>
      <c r="AV513" s="16">
        <f>AV472*$D513+$E513+$F513*AV$769</f>
        <v/>
      </c>
      <c r="AW513" s="16">
        <f>AW472*$D513+$E513+$F513*AW$769</f>
        <v/>
      </c>
      <c r="AX513" s="16">
        <f>AX472*$D513+$E513+$F513*AX$769</f>
        <v/>
      </c>
      <c r="AY513" s="16">
        <f>AY472*$D513+$E513+$F513*AY$769</f>
        <v/>
      </c>
      <c r="AZ513" s="16">
        <f>AZ472*$D513+$E513+$F513*AZ$769</f>
        <v/>
      </c>
      <c r="BA513" s="49">
        <f>LEVELISED(BA472,$D513,$E513,$F513,BA$769)</f>
        <v/>
      </c>
    </row>
    <row r="514" hidden="1" outlineLevel="1">
      <c r="A514" s="14" t="inlineStr">
        <is>
          <t>lfx</t>
        </is>
      </c>
      <c r="B514" s="14" t="inlineStr">
        <is>
          <t>hyd</t>
        </is>
      </c>
      <c r="C514" s="14" t="inlineStr">
        <is>
          <t>pow</t>
        </is>
      </c>
      <c r="D514" s="45">
        <f>INDEX(Inputs_power!$T$5:$T$13,MATCH($B514,Inputs_power!$A$5:$A$13,0))</f>
        <v/>
      </c>
      <c r="E514" s="45">
        <f>INDEX(Inputs_power!$U$5:$U$13,MATCH($B514,Inputs_power!$A$5:$A$13,0))</f>
        <v/>
      </c>
      <c r="F514" s="45">
        <f>INDEX(Inputs_power!$O$5:$O$13,MATCH($B514,Inputs_power!$A$5:$A$13,0))</f>
        <v/>
      </c>
      <c r="G514" s="39" t="n"/>
      <c r="H514" s="14">
        <f>INDEX(VarLab,MATCH($A514,VarKey,0))&amp;INDEX(MemLab,MATCH($C514&amp;"|"&amp;$B514,MemKey,0))</f>
        <v/>
      </c>
      <c r="I514" s="14">
        <f>INDEX(VarUnit,MATCH($A514,VarKey,0))</f>
        <v/>
      </c>
      <c r="J514" s="14">
        <f>INDEX(VarSrc,MATCH($A514,VarKey,0))</f>
        <v/>
      </c>
      <c r="K514" s="11">
        <f>CodePrefix&amp;$A514&amp;IF($C514="","","."&amp;$C514&amp;"."&amp;$B514)&amp;INDEX(VarEnd,MATCH($A514,VarKey,0))&amp;K$5</f>
        <v/>
      </c>
      <c r="L514" s="15">
        <f>L473*$D514+$E514+$F514*L$769</f>
        <v/>
      </c>
      <c r="M514" s="16">
        <f>M473*$D514+$E514+$F514*M$769</f>
        <v/>
      </c>
      <c r="N514" s="16">
        <f>N473*$D514+$E514+$F514*N$769</f>
        <v/>
      </c>
      <c r="O514" s="16">
        <f>O473*$D514+$E514+$F514*O$769</f>
        <v/>
      </c>
      <c r="P514" s="16">
        <f>P473*$D514+$E514+$F514*P$769</f>
        <v/>
      </c>
      <c r="Q514" s="16">
        <f>Q473*$D514+$E514+$F514*Q$769</f>
        <v/>
      </c>
      <c r="R514" s="16">
        <f>R473*$D514+$E514+$F514*R$769</f>
        <v/>
      </c>
      <c r="S514" s="16">
        <f>S473*$D514+$E514+$F514*S$769</f>
        <v/>
      </c>
      <c r="T514" s="16">
        <f>T473*$D514+$E514+$F514*T$769</f>
        <v/>
      </c>
      <c r="U514" s="16">
        <f>U473*$D514+$E514+$F514*U$769</f>
        <v/>
      </c>
      <c r="V514" s="16">
        <f>V473*$D514+$E514+$F514*V$769</f>
        <v/>
      </c>
      <c r="W514" s="16">
        <f>W473*$D514+$E514+$F514*W$769</f>
        <v/>
      </c>
      <c r="X514" s="16">
        <f>X473*$D514+$E514+$F514*X$769</f>
        <v/>
      </c>
      <c r="Y514" s="16">
        <f>Y473*$D514+$E514+$F514*Y$769</f>
        <v/>
      </c>
      <c r="Z514" s="16">
        <f>Z473*$D514+$E514+$F514*Z$769</f>
        <v/>
      </c>
      <c r="AA514" s="16">
        <f>AA473*$D514+$E514+$F514*AA$769</f>
        <v/>
      </c>
      <c r="AB514" s="16">
        <f>AB473*$D514+$E514+$F514*AB$769</f>
        <v/>
      </c>
      <c r="AC514" s="16">
        <f>AC473*$D514+$E514+$F514*AC$769</f>
        <v/>
      </c>
      <c r="AD514" s="16">
        <f>AD473*$D514+$E514+$F514*AD$769</f>
        <v/>
      </c>
      <c r="AE514" s="49">
        <f>LEVELISED(AE473,$D514,$E514,$F514,AE$769)</f>
        <v/>
      </c>
      <c r="AG514" s="11">
        <f>CodePrefix&amp;$A514&amp;IF($C514="","","."&amp;$C514&amp;"."&amp;$B514)&amp;INDEX(VarEnd,MATCH($A514,VarKey,0))&amp;AG$5</f>
        <v/>
      </c>
      <c r="AH514" s="15">
        <f>AH473*$D514+$E514+$F514*AH$769</f>
        <v/>
      </c>
      <c r="AI514" s="16">
        <f>AI473*$D514+$E514+$F514*AI$769</f>
        <v/>
      </c>
      <c r="AJ514" s="16">
        <f>AJ473*$D514+$E514+$F514*AJ$769</f>
        <v/>
      </c>
      <c r="AK514" s="16">
        <f>AK473*$D514+$E514+$F514*AK$769</f>
        <v/>
      </c>
      <c r="AL514" s="16">
        <f>AL473*$D514+$E514+$F514*AL$769</f>
        <v/>
      </c>
      <c r="AM514" s="16">
        <f>AM473*$D514+$E514+$F514*AM$769</f>
        <v/>
      </c>
      <c r="AN514" s="16">
        <f>AN473*$D514+$E514+$F514*AN$769</f>
        <v/>
      </c>
      <c r="AO514" s="16">
        <f>AO473*$D514+$E514+$F514*AO$769</f>
        <v/>
      </c>
      <c r="AP514" s="16">
        <f>AP473*$D514+$E514+$F514*AP$769</f>
        <v/>
      </c>
      <c r="AQ514" s="16">
        <f>AQ473*$D514+$E514+$F514*AQ$769</f>
        <v/>
      </c>
      <c r="AR514" s="16">
        <f>AR473*$D514+$E514+$F514*AR$769</f>
        <v/>
      </c>
      <c r="AS514" s="16">
        <f>AS473*$D514+$E514+$F514*AS$769</f>
        <v/>
      </c>
      <c r="AT514" s="16">
        <f>AT473*$D514+$E514+$F514*AT$769</f>
        <v/>
      </c>
      <c r="AU514" s="16">
        <f>AU473*$D514+$E514+$F514*AU$769</f>
        <v/>
      </c>
      <c r="AV514" s="16">
        <f>AV473*$D514+$E514+$F514*AV$769</f>
        <v/>
      </c>
      <c r="AW514" s="16">
        <f>AW473*$D514+$E514+$F514*AW$769</f>
        <v/>
      </c>
      <c r="AX514" s="16">
        <f>AX473*$D514+$E514+$F514*AX$769</f>
        <v/>
      </c>
      <c r="AY514" s="16">
        <f>AY473*$D514+$E514+$F514*AY$769</f>
        <v/>
      </c>
      <c r="AZ514" s="16">
        <f>AZ473*$D514+$E514+$F514*AZ$769</f>
        <v/>
      </c>
      <c r="BA514" s="49">
        <f>LEVELISED(BA473,$D514,$E514,$F514,BA$769)</f>
        <v/>
      </c>
    </row>
    <row r="515" hidden="1" outlineLevel="1">
      <c r="A515" s="14" t="inlineStr">
        <is>
          <t>lfx</t>
        </is>
      </c>
      <c r="B515" s="14" t="inlineStr">
        <is>
          <t>ore</t>
        </is>
      </c>
      <c r="C515" s="14" t="inlineStr">
        <is>
          <t>pow</t>
        </is>
      </c>
      <c r="D515" s="45">
        <f>INDEX(Inputs_power!$T$5:$T$13,MATCH($B515,Inputs_power!$A$5:$A$13,0))</f>
        <v/>
      </c>
      <c r="E515" s="45">
        <f>INDEX(Inputs_power!$U$5:$U$13,MATCH($B515,Inputs_power!$A$5:$A$13,0))</f>
        <v/>
      </c>
      <c r="F515" s="45">
        <f>INDEX(Inputs_power!$O$5:$O$13,MATCH($B515,Inputs_power!$A$5:$A$13,0))</f>
        <v/>
      </c>
      <c r="G515" s="39" t="n"/>
      <c r="H515" s="14">
        <f>INDEX(VarLab,MATCH($A515,VarKey,0))&amp;INDEX(MemLab,MATCH($C515&amp;"|"&amp;$B515,MemKey,0))</f>
        <v/>
      </c>
      <c r="I515" s="14">
        <f>INDEX(VarUnit,MATCH($A515,VarKey,0))</f>
        <v/>
      </c>
      <c r="J515" s="14">
        <f>INDEX(VarSrc,MATCH($A515,VarKey,0))</f>
        <v/>
      </c>
      <c r="K515" s="11">
        <f>CodePrefix&amp;$A515&amp;IF($C515="","","."&amp;$C515&amp;"."&amp;$B515)&amp;INDEX(VarEnd,MATCH($A515,VarKey,0))&amp;K$5</f>
        <v/>
      </c>
      <c r="L515" s="15">
        <f>L474*$D515+$E515+$F515*L$769</f>
        <v/>
      </c>
      <c r="M515" s="16">
        <f>M474*$D515+$E515+$F515*M$769</f>
        <v/>
      </c>
      <c r="N515" s="16">
        <f>N474*$D515+$E515+$F515*N$769</f>
        <v/>
      </c>
      <c r="O515" s="16">
        <f>O474*$D515+$E515+$F515*O$769</f>
        <v/>
      </c>
      <c r="P515" s="16">
        <f>P474*$D515+$E515+$F515*P$769</f>
        <v/>
      </c>
      <c r="Q515" s="16">
        <f>Q474*$D515+$E515+$F515*Q$769</f>
        <v/>
      </c>
      <c r="R515" s="16">
        <f>R474*$D515+$E515+$F515*R$769</f>
        <v/>
      </c>
      <c r="S515" s="16">
        <f>S474*$D515+$E515+$F515*S$769</f>
        <v/>
      </c>
      <c r="T515" s="16">
        <f>T474*$D515+$E515+$F515*T$769</f>
        <v/>
      </c>
      <c r="U515" s="16">
        <f>U474*$D515+$E515+$F515*U$769</f>
        <v/>
      </c>
      <c r="V515" s="16">
        <f>V474*$D515+$E515+$F515*V$769</f>
        <v/>
      </c>
      <c r="W515" s="16">
        <f>W474*$D515+$E515+$F515*W$769</f>
        <v/>
      </c>
      <c r="X515" s="16">
        <f>X474*$D515+$E515+$F515*X$769</f>
        <v/>
      </c>
      <c r="Y515" s="16">
        <f>Y474*$D515+$E515+$F515*Y$769</f>
        <v/>
      </c>
      <c r="Z515" s="16">
        <f>Z474*$D515+$E515+$F515*Z$769</f>
        <v/>
      </c>
      <c r="AA515" s="16">
        <f>AA474*$D515+$E515+$F515*AA$769</f>
        <v/>
      </c>
      <c r="AB515" s="16">
        <f>AB474*$D515+$E515+$F515*AB$769</f>
        <v/>
      </c>
      <c r="AC515" s="16">
        <f>AC474*$D515+$E515+$F515*AC$769</f>
        <v/>
      </c>
      <c r="AD515" s="16">
        <f>AD474*$D515+$E515+$F515*AD$769</f>
        <v/>
      </c>
      <c r="AE515" s="49">
        <f>LEVELISED(AE474,$D515,$E515,$F515,AE$769)</f>
        <v/>
      </c>
      <c r="AG515" s="11">
        <f>CodePrefix&amp;$A515&amp;IF($C515="","","."&amp;$C515&amp;"."&amp;$B515)&amp;INDEX(VarEnd,MATCH($A515,VarKey,0))&amp;AG$5</f>
        <v/>
      </c>
      <c r="AH515" s="15">
        <f>AH474*$D515+$E515+$F515*AH$769</f>
        <v/>
      </c>
      <c r="AI515" s="16">
        <f>AI474*$D515+$E515+$F515*AI$769</f>
        <v/>
      </c>
      <c r="AJ515" s="16">
        <f>AJ474*$D515+$E515+$F515*AJ$769</f>
        <v/>
      </c>
      <c r="AK515" s="16">
        <f>AK474*$D515+$E515+$F515*AK$769</f>
        <v/>
      </c>
      <c r="AL515" s="16">
        <f>AL474*$D515+$E515+$F515*AL$769</f>
        <v/>
      </c>
      <c r="AM515" s="16">
        <f>AM474*$D515+$E515+$F515*AM$769</f>
        <v/>
      </c>
      <c r="AN515" s="16">
        <f>AN474*$D515+$E515+$F515*AN$769</f>
        <v/>
      </c>
      <c r="AO515" s="16">
        <f>AO474*$D515+$E515+$F515*AO$769</f>
        <v/>
      </c>
      <c r="AP515" s="16">
        <f>AP474*$D515+$E515+$F515*AP$769</f>
        <v/>
      </c>
      <c r="AQ515" s="16">
        <f>AQ474*$D515+$E515+$F515*AQ$769</f>
        <v/>
      </c>
      <c r="AR515" s="16">
        <f>AR474*$D515+$E515+$F515*AR$769</f>
        <v/>
      </c>
      <c r="AS515" s="16">
        <f>AS474*$D515+$E515+$F515*AS$769</f>
        <v/>
      </c>
      <c r="AT515" s="16">
        <f>AT474*$D515+$E515+$F515*AT$769</f>
        <v/>
      </c>
      <c r="AU515" s="16">
        <f>AU474*$D515+$E515+$F515*AU$769</f>
        <v/>
      </c>
      <c r="AV515" s="16">
        <f>AV474*$D515+$E515+$F515*AV$769</f>
        <v/>
      </c>
      <c r="AW515" s="16">
        <f>AW474*$D515+$E515+$F515*AW$769</f>
        <v/>
      </c>
      <c r="AX515" s="16">
        <f>AX474*$D515+$E515+$F515*AX$769</f>
        <v/>
      </c>
      <c r="AY515" s="16">
        <f>AY474*$D515+$E515+$F515*AY$769</f>
        <v/>
      </c>
      <c r="AZ515" s="16">
        <f>AZ474*$D515+$E515+$F515*AZ$769</f>
        <v/>
      </c>
      <c r="BA515" s="49">
        <f>LEVELISED(BA474,$D515,$E515,$F515,BA$769)</f>
        <v/>
      </c>
    </row>
    <row r="516" hidden="1" outlineLevel="1">
      <c r="A516" s="14" t="inlineStr">
        <is>
          <t>lfx</t>
        </is>
      </c>
      <c r="B516" s="14" t="inlineStr">
        <is>
          <t>bio</t>
        </is>
      </c>
      <c r="C516" s="14" t="inlineStr">
        <is>
          <t>pow</t>
        </is>
      </c>
      <c r="D516" s="45">
        <f>INDEX(Inputs_power!$T$5:$T$13,MATCH($B516,Inputs_power!$A$5:$A$13,0))</f>
        <v/>
      </c>
      <c r="E516" s="45">
        <f>INDEX(Inputs_power!$U$5:$U$13,MATCH($B516,Inputs_power!$A$5:$A$13,0))</f>
        <v/>
      </c>
      <c r="F516" s="45">
        <f>INDEX(Inputs_power!$O$5:$O$13,MATCH($B516,Inputs_power!$A$5:$A$13,0))</f>
        <v/>
      </c>
      <c r="G516" s="39" t="n"/>
      <c r="H516" s="14">
        <f>INDEX(VarLab,MATCH($A516,VarKey,0))&amp;INDEX(MemLab,MATCH($C516&amp;"|"&amp;$B516,MemKey,0))</f>
        <v/>
      </c>
      <c r="I516" s="14">
        <f>INDEX(VarUnit,MATCH($A516,VarKey,0))</f>
        <v/>
      </c>
      <c r="J516" s="14">
        <f>INDEX(VarSrc,MATCH($A516,VarKey,0))</f>
        <v/>
      </c>
      <c r="K516" s="11">
        <f>CodePrefix&amp;$A516&amp;IF($C516="","","."&amp;$C516&amp;"."&amp;$B516)&amp;INDEX(VarEnd,MATCH($A516,VarKey,0))&amp;K$5</f>
        <v/>
      </c>
      <c r="L516" s="15">
        <f>L475*$D516+$E516+$F516*L$769</f>
        <v/>
      </c>
      <c r="M516" s="16">
        <f>M475*$D516+$E516+$F516*M$769</f>
        <v/>
      </c>
      <c r="N516" s="16">
        <f>N475*$D516+$E516+$F516*N$769</f>
        <v/>
      </c>
      <c r="O516" s="16">
        <f>O475*$D516+$E516+$F516*O$769</f>
        <v/>
      </c>
      <c r="P516" s="16">
        <f>P475*$D516+$E516+$F516*P$769</f>
        <v/>
      </c>
      <c r="Q516" s="16">
        <f>Q475*$D516+$E516+$F516*Q$769</f>
        <v/>
      </c>
      <c r="R516" s="16">
        <f>R475*$D516+$E516+$F516*R$769</f>
        <v/>
      </c>
      <c r="S516" s="16">
        <f>S475*$D516+$E516+$F516*S$769</f>
        <v/>
      </c>
      <c r="T516" s="16">
        <f>T475*$D516+$E516+$F516*T$769</f>
        <v/>
      </c>
      <c r="U516" s="16">
        <f>U475*$D516+$E516+$F516*U$769</f>
        <v/>
      </c>
      <c r="V516" s="16">
        <f>V475*$D516+$E516+$F516*V$769</f>
        <v/>
      </c>
      <c r="W516" s="16">
        <f>W475*$D516+$E516+$F516*W$769</f>
        <v/>
      </c>
      <c r="X516" s="16">
        <f>X475*$D516+$E516+$F516*X$769</f>
        <v/>
      </c>
      <c r="Y516" s="16">
        <f>Y475*$D516+$E516+$F516*Y$769</f>
        <v/>
      </c>
      <c r="Z516" s="16">
        <f>Z475*$D516+$E516+$F516*Z$769</f>
        <v/>
      </c>
      <c r="AA516" s="16">
        <f>AA475*$D516+$E516+$F516*AA$769</f>
        <v/>
      </c>
      <c r="AB516" s="16">
        <f>AB475*$D516+$E516+$F516*AB$769</f>
        <v/>
      </c>
      <c r="AC516" s="16">
        <f>AC475*$D516+$E516+$F516*AC$769</f>
        <v/>
      </c>
      <c r="AD516" s="16">
        <f>AD475*$D516+$E516+$F516*AD$769</f>
        <v/>
      </c>
      <c r="AE516" s="49">
        <f>LEVELISED(AE475,$D516,$E516,$F516,AE$769)</f>
        <v/>
      </c>
      <c r="AG516" s="11">
        <f>CodePrefix&amp;$A516&amp;IF($C516="","","."&amp;$C516&amp;"."&amp;$B516)&amp;INDEX(VarEnd,MATCH($A516,VarKey,0))&amp;AG$5</f>
        <v/>
      </c>
      <c r="AH516" s="15">
        <f>AH475*$D516+$E516+$F516*AH$769</f>
        <v/>
      </c>
      <c r="AI516" s="16">
        <f>AI475*$D516+$E516+$F516*AI$769</f>
        <v/>
      </c>
      <c r="AJ516" s="16">
        <f>AJ475*$D516+$E516+$F516*AJ$769</f>
        <v/>
      </c>
      <c r="AK516" s="16">
        <f>AK475*$D516+$E516+$F516*AK$769</f>
        <v/>
      </c>
      <c r="AL516" s="16">
        <f>AL475*$D516+$E516+$F516*AL$769</f>
        <v/>
      </c>
      <c r="AM516" s="16">
        <f>AM475*$D516+$E516+$F516*AM$769</f>
        <v/>
      </c>
      <c r="AN516" s="16">
        <f>AN475*$D516+$E516+$F516*AN$769</f>
        <v/>
      </c>
      <c r="AO516" s="16">
        <f>AO475*$D516+$E516+$F516*AO$769</f>
        <v/>
      </c>
      <c r="AP516" s="16">
        <f>AP475*$D516+$E516+$F516*AP$769</f>
        <v/>
      </c>
      <c r="AQ516" s="16">
        <f>AQ475*$D516+$E516+$F516*AQ$769</f>
        <v/>
      </c>
      <c r="AR516" s="16">
        <f>AR475*$D516+$E516+$F516*AR$769</f>
        <v/>
      </c>
      <c r="AS516" s="16">
        <f>AS475*$D516+$E516+$F516*AS$769</f>
        <v/>
      </c>
      <c r="AT516" s="16">
        <f>AT475*$D516+$E516+$F516*AT$769</f>
        <v/>
      </c>
      <c r="AU516" s="16">
        <f>AU475*$D516+$E516+$F516*AU$769</f>
        <v/>
      </c>
      <c r="AV516" s="16">
        <f>AV475*$D516+$E516+$F516*AV$769</f>
        <v/>
      </c>
      <c r="AW516" s="16">
        <f>AW475*$D516+$E516+$F516*AW$769</f>
        <v/>
      </c>
      <c r="AX516" s="16">
        <f>AX475*$D516+$E516+$F516*AX$769</f>
        <v/>
      </c>
      <c r="AY516" s="16">
        <f>AY475*$D516+$E516+$F516*AY$769</f>
        <v/>
      </c>
      <c r="AZ516" s="16">
        <f>AZ475*$D516+$E516+$F516*AZ$769</f>
        <v/>
      </c>
      <c r="BA516" s="49">
        <f>LEVELISED(BA475,$D516,$E516,$F516,BA$769)</f>
        <v/>
      </c>
    </row>
    <row r="517" hidden="1" outlineLevel="1"/>
    <row r="518" hidden="1" outlineLevel="1">
      <c r="H518" s="21" t="inlineStr">
        <is>
          <t>D. Variable costs ($/kWh): fuel price for power ($/GJ; centred 5-year moving average as legacy A18, or spot), change in existing carbon pricing against the price data (in the cost before new policies), before new policies, new policy cost, shadow price and rebate (feebates, ETS output-based part), total; levelised variable cost to the end of the horizon 2041 (D9)</t>
        </is>
      </c>
    </row>
    <row r="519" hidden="1" outlineLevel="1">
      <c r="A519" s="14" t="inlineStr">
        <is>
          <t>fpp</t>
        </is>
      </c>
      <c r="B519" s="14" t="inlineStr">
        <is>
          <t>coa</t>
        </is>
      </c>
      <c r="C519" s="14" t="inlineStr">
        <is>
          <t>pow</t>
        </is>
      </c>
      <c r="D519" s="45">
        <f>INDEX(Inputs_power!$X$5:$X$13,MATCH($B519,Inputs_power!$A$5:$A$13,0))</f>
        <v/>
      </c>
      <c r="E519" s="39" t="n"/>
      <c r="F519" s="39" t="n"/>
      <c r="G519" s="39" t="n"/>
      <c r="H519" s="14">
        <f>INDEX(VarLab,MATCH($A519,VarKey,0))&amp;INDEX(MemLab,MATCH($C519&amp;"|"&amp;$B519,MemKey,0))</f>
        <v/>
      </c>
      <c r="I519" s="14">
        <f>INDEX(VarUnit,MATCH($A519,VarKey,0))</f>
        <v/>
      </c>
      <c r="J519" s="14">
        <f>INDEX(VarSrc,MATCH($A519,VarKey,0))</f>
        <v/>
      </c>
      <c r="K519" s="11">
        <f>CodePrefix&amp;$A519&amp;IF($C519="","","."&amp;$C519&amp;"."&amp;$B519)&amp;INDEX(VarEnd,MATCH($A519,VarKey,0))&amp;K$5</f>
        <v/>
      </c>
      <c r="L519" s="40">
        <f>IF(SpotPow="Yes",INDEX(L$381:L$392,$D519),_xlfn.AGGREGATE(1,6,INDEX(J$381:N$392,$D519,0)))</f>
        <v/>
      </c>
      <c r="M519" s="35">
        <f>IF(SpotPow="Yes",INDEX(M$381:M$392,$D519),_xlfn.AGGREGATE(1,6,INDEX(K$381:O$392,$D519,0)))</f>
        <v/>
      </c>
      <c r="N519" s="35">
        <f>IF(SpotPow="Yes",INDEX(N$381:N$392,$D519),_xlfn.AGGREGATE(1,6,INDEX(L$381:P$392,$D519,0)))</f>
        <v/>
      </c>
      <c r="O519" s="35">
        <f>IF(SpotPow="Yes",INDEX(O$381:O$392,$D519),_xlfn.AGGREGATE(1,6,INDEX(M$381:Q$392,$D519,0)))</f>
        <v/>
      </c>
      <c r="P519" s="35">
        <f>IF(SpotPow="Yes",INDEX(P$381:P$392,$D519),_xlfn.AGGREGATE(1,6,INDEX(N$381:R$392,$D519,0)))</f>
        <v/>
      </c>
      <c r="Q519" s="35">
        <f>IF(SpotPow="Yes",INDEX(Q$381:Q$392,$D519),_xlfn.AGGREGATE(1,6,INDEX(O$381:S$392,$D519,0)))</f>
        <v/>
      </c>
      <c r="R519" s="35">
        <f>IF(SpotPow="Yes",INDEX(R$381:R$392,$D519),_xlfn.AGGREGATE(1,6,INDEX(P$381:T$392,$D519,0)))</f>
        <v/>
      </c>
      <c r="S519" s="35">
        <f>IF(SpotPow="Yes",INDEX(S$381:S$392,$D519),_xlfn.AGGREGATE(1,6,INDEX(Q$381:U$392,$D519,0)))</f>
        <v/>
      </c>
      <c r="T519" s="35">
        <f>IF(SpotPow="Yes",INDEX(T$381:T$392,$D519),_xlfn.AGGREGATE(1,6,INDEX(R$381:V$392,$D519,0)))</f>
        <v/>
      </c>
      <c r="U519" s="35">
        <f>IF(SpotPow="Yes",INDEX(U$381:U$392,$D519),_xlfn.AGGREGATE(1,6,INDEX(S$381:W$392,$D519,0)))</f>
        <v/>
      </c>
      <c r="V519" s="35">
        <f>IF(SpotPow="Yes",INDEX(V$381:V$392,$D519),_xlfn.AGGREGATE(1,6,INDEX(T$381:X$392,$D519,0)))</f>
        <v/>
      </c>
      <c r="W519" s="35">
        <f>IF(SpotPow="Yes",INDEX(W$381:W$392,$D519),_xlfn.AGGREGATE(1,6,INDEX(U$381:Y$392,$D519,0)))</f>
        <v/>
      </c>
      <c r="X519" s="35">
        <f>IF(SpotPow="Yes",INDEX(X$381:X$392,$D519),_xlfn.AGGREGATE(1,6,INDEX(V$381:Z$392,$D519,0)))</f>
        <v/>
      </c>
      <c r="Y519" s="35">
        <f>IF(SpotPow="Yes",INDEX(Y$381:Y$392,$D519),_xlfn.AGGREGATE(1,6,INDEX(W$381:AA$392,$D519,0)))</f>
        <v/>
      </c>
      <c r="Z519" s="35">
        <f>IF(SpotPow="Yes",INDEX(Z$381:Z$392,$D519),_xlfn.AGGREGATE(1,6,INDEX(X$381:AB$392,$D519,0)))</f>
        <v/>
      </c>
      <c r="AA519" s="35">
        <f>IF(SpotPow="Yes",INDEX(AA$381:AA$392,$D519),_xlfn.AGGREGATE(1,6,INDEX(Y$381:AC$392,$D519,0)))</f>
        <v/>
      </c>
      <c r="AB519" s="35">
        <f>IF(SpotPow="Yes",INDEX(AB$381:AB$392,$D519),_xlfn.AGGREGATE(1,6,INDEX(Z$381:AD$392,$D519,0)))</f>
        <v/>
      </c>
      <c r="AC519" s="35">
        <f>IF(SpotPow="Yes",INDEX(AC$381:AC$392,$D519),_xlfn.AGGREGATE(1,6,INDEX(AA$381:AE$392,$D519,0)))</f>
        <v/>
      </c>
      <c r="AD519" s="35">
        <f>IF(SpotPow="Yes",INDEX(AD$381:AD$392,$D519),_xlfn.AGGREGATE(1,6,INDEX(AB$381:AF$392,$D519,0)))</f>
        <v/>
      </c>
      <c r="AE519" s="42">
        <f>POWFUELPRICE(SpotPow,INDEX(AE$381:AE$392,$D519),INDEX(AC$381:AG$392,$D519,0))</f>
        <v/>
      </c>
      <c r="AG519" s="11">
        <f>CodePrefix&amp;$A519&amp;IF($C519="","","."&amp;$C519&amp;"."&amp;$B519)&amp;INDEX(VarEnd,MATCH($A519,VarKey,0))&amp;AG$5</f>
        <v/>
      </c>
      <c r="AH519" s="40">
        <f>IF(SpotPow="Yes",INDEX(AH$381:AH$392,$D519),_xlfn.AGGREGATE(1,6,INDEX(AF$381:AJ$392,$D519,0)))</f>
        <v/>
      </c>
      <c r="AI519" s="35">
        <f>IF(SpotPow="Yes",INDEX(AI$381:AI$392,$D519),_xlfn.AGGREGATE(1,6,INDEX(AG$381:AK$392,$D519,0)))</f>
        <v/>
      </c>
      <c r="AJ519" s="35">
        <f>IF(SpotPow="Yes",INDEX(AJ$381:AJ$392,$D519),_xlfn.AGGREGATE(1,6,INDEX(AH$381:AL$392,$D519,0)))</f>
        <v/>
      </c>
      <c r="AK519" s="35">
        <f>IF(SpotPow="Yes",INDEX(AK$381:AK$392,$D519),_xlfn.AGGREGATE(1,6,INDEX(AI$381:AM$392,$D519,0)))</f>
        <v/>
      </c>
      <c r="AL519" s="35">
        <f>IF(SpotPow="Yes",INDEX(AL$381:AL$392,$D519),_xlfn.AGGREGATE(1,6,INDEX(AJ$381:AN$392,$D519,0)))</f>
        <v/>
      </c>
      <c r="AM519" s="35">
        <f>IF(SpotPow="Yes",INDEX(AM$381:AM$392,$D519),_xlfn.AGGREGATE(1,6,INDEX(AK$381:AO$392,$D519,0)))</f>
        <v/>
      </c>
      <c r="AN519" s="35">
        <f>IF(SpotPow="Yes",INDEX(AN$381:AN$392,$D519),_xlfn.AGGREGATE(1,6,INDEX(AL$381:AP$392,$D519,0)))</f>
        <v/>
      </c>
      <c r="AO519" s="35">
        <f>IF(SpotPow="Yes",INDEX(AO$381:AO$392,$D519),_xlfn.AGGREGATE(1,6,INDEX(AM$381:AQ$392,$D519,0)))</f>
        <v/>
      </c>
      <c r="AP519" s="35">
        <f>IF(SpotPow="Yes",INDEX(AP$381:AP$392,$D519),_xlfn.AGGREGATE(1,6,INDEX(AN$381:AR$392,$D519,0)))</f>
        <v/>
      </c>
      <c r="AQ519" s="35">
        <f>IF(SpotPow="Yes",INDEX(AQ$381:AQ$392,$D519),_xlfn.AGGREGATE(1,6,INDEX(AO$381:AS$392,$D519,0)))</f>
        <v/>
      </c>
      <c r="AR519" s="35">
        <f>IF(SpotPow="Yes",INDEX(AR$381:AR$392,$D519),_xlfn.AGGREGATE(1,6,INDEX(AP$381:AT$392,$D519,0)))</f>
        <v/>
      </c>
      <c r="AS519" s="35">
        <f>IF(SpotPow="Yes",INDEX(AS$381:AS$392,$D519),_xlfn.AGGREGATE(1,6,INDEX(AQ$381:AU$392,$D519,0)))</f>
        <v/>
      </c>
      <c r="AT519" s="35">
        <f>IF(SpotPow="Yes",INDEX(AT$381:AT$392,$D519),_xlfn.AGGREGATE(1,6,INDEX(AR$381:AV$392,$D519,0)))</f>
        <v/>
      </c>
      <c r="AU519" s="35">
        <f>IF(SpotPow="Yes",INDEX(AU$381:AU$392,$D519),_xlfn.AGGREGATE(1,6,INDEX(AS$381:AW$392,$D519,0)))</f>
        <v/>
      </c>
      <c r="AV519" s="35">
        <f>IF(SpotPow="Yes",INDEX(AV$381:AV$392,$D519),_xlfn.AGGREGATE(1,6,INDEX(AT$381:AX$392,$D519,0)))</f>
        <v/>
      </c>
      <c r="AW519" s="35">
        <f>IF(SpotPow="Yes",INDEX(AW$381:AW$392,$D519),_xlfn.AGGREGATE(1,6,INDEX(AU$381:AY$392,$D519,0)))</f>
        <v/>
      </c>
      <c r="AX519" s="35">
        <f>IF(SpotPow="Yes",INDEX(AX$381:AX$392,$D519),_xlfn.AGGREGATE(1,6,INDEX(AV$381:AZ$392,$D519,0)))</f>
        <v/>
      </c>
      <c r="AY519" s="35">
        <f>IF(SpotPow="Yes",INDEX(AY$381:AY$392,$D519),_xlfn.AGGREGATE(1,6,INDEX(AW$381:BA$392,$D519,0)))</f>
        <v/>
      </c>
      <c r="AZ519" s="35">
        <f>IF(SpotPow="Yes",INDEX(AZ$381:AZ$392,$D519),_xlfn.AGGREGATE(1,6,INDEX(AX$381:BB$392,$D519,0)))</f>
        <v/>
      </c>
      <c r="BA519" s="42">
        <f>POWFUELPRICE(SpotPow,INDEX(BA$381:BA$392,$D519),INDEX(AY$381:BC$392,$D519,0))</f>
        <v/>
      </c>
    </row>
    <row r="520" hidden="1" outlineLevel="1">
      <c r="A520" s="14" t="inlineStr">
        <is>
          <t>fpp</t>
        </is>
      </c>
      <c r="B520" s="14" t="inlineStr">
        <is>
          <t>nga</t>
        </is>
      </c>
      <c r="C520" s="14" t="inlineStr">
        <is>
          <t>pow</t>
        </is>
      </c>
      <c r="D520" s="45">
        <f>INDEX(Inputs_power!$X$5:$X$13,MATCH($B520,Inputs_power!$A$5:$A$13,0))</f>
        <v/>
      </c>
      <c r="E520" s="39" t="n"/>
      <c r="F520" s="39" t="n"/>
      <c r="G520" s="39" t="n"/>
      <c r="H520" s="14">
        <f>INDEX(VarLab,MATCH($A520,VarKey,0))&amp;INDEX(MemLab,MATCH($C520&amp;"|"&amp;$B520,MemKey,0))</f>
        <v/>
      </c>
      <c r="I520" s="14">
        <f>INDEX(VarUnit,MATCH($A520,VarKey,0))</f>
        <v/>
      </c>
      <c r="J520" s="14">
        <f>INDEX(VarSrc,MATCH($A520,VarKey,0))</f>
        <v/>
      </c>
      <c r="K520" s="11">
        <f>CodePrefix&amp;$A520&amp;IF($C520="","","."&amp;$C520&amp;"."&amp;$B520)&amp;INDEX(VarEnd,MATCH($A520,VarKey,0))&amp;K$5</f>
        <v/>
      </c>
      <c r="L520" s="40">
        <f>IF(SpotPow="Yes",INDEX(L$381:L$392,$D520),_xlfn.AGGREGATE(1,6,INDEX(J$381:N$392,$D520,0)))</f>
        <v/>
      </c>
      <c r="M520" s="35">
        <f>IF(SpotPow="Yes",INDEX(M$381:M$392,$D520),_xlfn.AGGREGATE(1,6,INDEX(K$381:O$392,$D520,0)))</f>
        <v/>
      </c>
      <c r="N520" s="35">
        <f>IF(SpotPow="Yes",INDEX(N$381:N$392,$D520),_xlfn.AGGREGATE(1,6,INDEX(L$381:P$392,$D520,0)))</f>
        <v/>
      </c>
      <c r="O520" s="35">
        <f>IF(SpotPow="Yes",INDEX(O$381:O$392,$D520),_xlfn.AGGREGATE(1,6,INDEX(M$381:Q$392,$D520,0)))</f>
        <v/>
      </c>
      <c r="P520" s="35">
        <f>IF(SpotPow="Yes",INDEX(P$381:P$392,$D520),_xlfn.AGGREGATE(1,6,INDEX(N$381:R$392,$D520,0)))</f>
        <v/>
      </c>
      <c r="Q520" s="35">
        <f>IF(SpotPow="Yes",INDEX(Q$381:Q$392,$D520),_xlfn.AGGREGATE(1,6,INDEX(O$381:S$392,$D520,0)))</f>
        <v/>
      </c>
      <c r="R520" s="35">
        <f>IF(SpotPow="Yes",INDEX(R$381:R$392,$D520),_xlfn.AGGREGATE(1,6,INDEX(P$381:T$392,$D520,0)))</f>
        <v/>
      </c>
      <c r="S520" s="35">
        <f>IF(SpotPow="Yes",INDEX(S$381:S$392,$D520),_xlfn.AGGREGATE(1,6,INDEX(Q$381:U$392,$D520,0)))</f>
        <v/>
      </c>
      <c r="T520" s="35">
        <f>IF(SpotPow="Yes",INDEX(T$381:T$392,$D520),_xlfn.AGGREGATE(1,6,INDEX(R$381:V$392,$D520,0)))</f>
        <v/>
      </c>
      <c r="U520" s="35">
        <f>IF(SpotPow="Yes",INDEX(U$381:U$392,$D520),_xlfn.AGGREGATE(1,6,INDEX(S$381:W$392,$D520,0)))</f>
        <v/>
      </c>
      <c r="V520" s="35">
        <f>IF(SpotPow="Yes",INDEX(V$381:V$392,$D520),_xlfn.AGGREGATE(1,6,INDEX(T$381:X$392,$D520,0)))</f>
        <v/>
      </c>
      <c r="W520" s="35">
        <f>IF(SpotPow="Yes",INDEX(W$381:W$392,$D520),_xlfn.AGGREGATE(1,6,INDEX(U$381:Y$392,$D520,0)))</f>
        <v/>
      </c>
      <c r="X520" s="35">
        <f>IF(SpotPow="Yes",INDEX(X$381:X$392,$D520),_xlfn.AGGREGATE(1,6,INDEX(V$381:Z$392,$D520,0)))</f>
        <v/>
      </c>
      <c r="Y520" s="35">
        <f>IF(SpotPow="Yes",INDEX(Y$381:Y$392,$D520),_xlfn.AGGREGATE(1,6,INDEX(W$381:AA$392,$D520,0)))</f>
        <v/>
      </c>
      <c r="Z520" s="35">
        <f>IF(SpotPow="Yes",INDEX(Z$381:Z$392,$D520),_xlfn.AGGREGATE(1,6,INDEX(X$381:AB$392,$D520,0)))</f>
        <v/>
      </c>
      <c r="AA520" s="35">
        <f>IF(SpotPow="Yes",INDEX(AA$381:AA$392,$D520),_xlfn.AGGREGATE(1,6,INDEX(Y$381:AC$392,$D520,0)))</f>
        <v/>
      </c>
      <c r="AB520" s="35">
        <f>IF(SpotPow="Yes",INDEX(AB$381:AB$392,$D520),_xlfn.AGGREGATE(1,6,INDEX(Z$381:AD$392,$D520,0)))</f>
        <v/>
      </c>
      <c r="AC520" s="35">
        <f>IF(SpotPow="Yes",INDEX(AC$381:AC$392,$D520),_xlfn.AGGREGATE(1,6,INDEX(AA$381:AE$392,$D520,0)))</f>
        <v/>
      </c>
      <c r="AD520" s="35">
        <f>IF(SpotPow="Yes",INDEX(AD$381:AD$392,$D520),_xlfn.AGGREGATE(1,6,INDEX(AB$381:AF$392,$D520,0)))</f>
        <v/>
      </c>
      <c r="AE520" s="42">
        <f>POWFUELPRICE(SpotPow,INDEX(AE$381:AE$392,$D520),INDEX(AC$381:AG$392,$D520,0))</f>
        <v/>
      </c>
      <c r="AG520" s="11">
        <f>CodePrefix&amp;$A520&amp;IF($C520="","","."&amp;$C520&amp;"."&amp;$B520)&amp;INDEX(VarEnd,MATCH($A520,VarKey,0))&amp;AG$5</f>
        <v/>
      </c>
      <c r="AH520" s="40">
        <f>IF(SpotPow="Yes",INDEX(AH$381:AH$392,$D520),_xlfn.AGGREGATE(1,6,INDEX(AF$381:AJ$392,$D520,0)))</f>
        <v/>
      </c>
      <c r="AI520" s="35">
        <f>IF(SpotPow="Yes",INDEX(AI$381:AI$392,$D520),_xlfn.AGGREGATE(1,6,INDEX(AG$381:AK$392,$D520,0)))</f>
        <v/>
      </c>
      <c r="AJ520" s="35">
        <f>IF(SpotPow="Yes",INDEX(AJ$381:AJ$392,$D520),_xlfn.AGGREGATE(1,6,INDEX(AH$381:AL$392,$D520,0)))</f>
        <v/>
      </c>
      <c r="AK520" s="35">
        <f>IF(SpotPow="Yes",INDEX(AK$381:AK$392,$D520),_xlfn.AGGREGATE(1,6,INDEX(AI$381:AM$392,$D520,0)))</f>
        <v/>
      </c>
      <c r="AL520" s="35">
        <f>IF(SpotPow="Yes",INDEX(AL$381:AL$392,$D520),_xlfn.AGGREGATE(1,6,INDEX(AJ$381:AN$392,$D520,0)))</f>
        <v/>
      </c>
      <c r="AM520" s="35">
        <f>IF(SpotPow="Yes",INDEX(AM$381:AM$392,$D520),_xlfn.AGGREGATE(1,6,INDEX(AK$381:AO$392,$D520,0)))</f>
        <v/>
      </c>
      <c r="AN520" s="35">
        <f>IF(SpotPow="Yes",INDEX(AN$381:AN$392,$D520),_xlfn.AGGREGATE(1,6,INDEX(AL$381:AP$392,$D520,0)))</f>
        <v/>
      </c>
      <c r="AO520" s="35">
        <f>IF(SpotPow="Yes",INDEX(AO$381:AO$392,$D520),_xlfn.AGGREGATE(1,6,INDEX(AM$381:AQ$392,$D520,0)))</f>
        <v/>
      </c>
      <c r="AP520" s="35">
        <f>IF(SpotPow="Yes",INDEX(AP$381:AP$392,$D520),_xlfn.AGGREGATE(1,6,INDEX(AN$381:AR$392,$D520,0)))</f>
        <v/>
      </c>
      <c r="AQ520" s="35">
        <f>IF(SpotPow="Yes",INDEX(AQ$381:AQ$392,$D520),_xlfn.AGGREGATE(1,6,INDEX(AO$381:AS$392,$D520,0)))</f>
        <v/>
      </c>
      <c r="AR520" s="35">
        <f>IF(SpotPow="Yes",INDEX(AR$381:AR$392,$D520),_xlfn.AGGREGATE(1,6,INDEX(AP$381:AT$392,$D520,0)))</f>
        <v/>
      </c>
      <c r="AS520" s="35">
        <f>IF(SpotPow="Yes",INDEX(AS$381:AS$392,$D520),_xlfn.AGGREGATE(1,6,INDEX(AQ$381:AU$392,$D520,0)))</f>
        <v/>
      </c>
      <c r="AT520" s="35">
        <f>IF(SpotPow="Yes",INDEX(AT$381:AT$392,$D520),_xlfn.AGGREGATE(1,6,INDEX(AR$381:AV$392,$D520,0)))</f>
        <v/>
      </c>
      <c r="AU520" s="35">
        <f>IF(SpotPow="Yes",INDEX(AU$381:AU$392,$D520),_xlfn.AGGREGATE(1,6,INDEX(AS$381:AW$392,$D520,0)))</f>
        <v/>
      </c>
      <c r="AV520" s="35">
        <f>IF(SpotPow="Yes",INDEX(AV$381:AV$392,$D520),_xlfn.AGGREGATE(1,6,INDEX(AT$381:AX$392,$D520,0)))</f>
        <v/>
      </c>
      <c r="AW520" s="35">
        <f>IF(SpotPow="Yes",INDEX(AW$381:AW$392,$D520),_xlfn.AGGREGATE(1,6,INDEX(AU$381:AY$392,$D520,0)))</f>
        <v/>
      </c>
      <c r="AX520" s="35">
        <f>IF(SpotPow="Yes",INDEX(AX$381:AX$392,$D520),_xlfn.AGGREGATE(1,6,INDEX(AV$381:AZ$392,$D520,0)))</f>
        <v/>
      </c>
      <c r="AY520" s="35">
        <f>IF(SpotPow="Yes",INDEX(AY$381:AY$392,$D520),_xlfn.AGGREGATE(1,6,INDEX(AW$381:BA$392,$D520,0)))</f>
        <v/>
      </c>
      <c r="AZ520" s="35">
        <f>IF(SpotPow="Yes",INDEX(AZ$381:AZ$392,$D520),_xlfn.AGGREGATE(1,6,INDEX(AX$381:BB$392,$D520,0)))</f>
        <v/>
      </c>
      <c r="BA520" s="42">
        <f>POWFUELPRICE(SpotPow,INDEX(BA$381:BA$392,$D520),INDEX(AY$381:BC$392,$D520,0))</f>
        <v/>
      </c>
    </row>
    <row r="521" hidden="1" outlineLevel="1">
      <c r="A521" s="14" t="inlineStr">
        <is>
          <t>fpp</t>
        </is>
      </c>
      <c r="B521" s="14" t="inlineStr">
        <is>
          <t>oop</t>
        </is>
      </c>
      <c r="C521" s="14" t="inlineStr">
        <is>
          <t>pow</t>
        </is>
      </c>
      <c r="D521" s="45">
        <f>INDEX(Inputs_power!$X$5:$X$13,MATCH($B521,Inputs_power!$A$5:$A$13,0))</f>
        <v/>
      </c>
      <c r="E521" s="39" t="n"/>
      <c r="F521" s="39" t="n"/>
      <c r="G521" s="39" t="n"/>
      <c r="H521" s="14">
        <f>INDEX(VarLab,MATCH($A521,VarKey,0))&amp;INDEX(MemLab,MATCH($C521&amp;"|"&amp;$B521,MemKey,0))</f>
        <v/>
      </c>
      <c r="I521" s="14">
        <f>INDEX(VarUnit,MATCH($A521,VarKey,0))</f>
        <v/>
      </c>
      <c r="J521" s="14">
        <f>INDEX(VarSrc,MATCH($A521,VarKey,0))</f>
        <v/>
      </c>
      <c r="K521" s="11">
        <f>CodePrefix&amp;$A521&amp;IF($C521="","","."&amp;$C521&amp;"."&amp;$B521)&amp;INDEX(VarEnd,MATCH($A521,VarKey,0))&amp;K$5</f>
        <v/>
      </c>
      <c r="L521" s="40">
        <f>IF(SpotPow="Yes",INDEX(L$381:L$392,$D521),_xlfn.AGGREGATE(1,6,INDEX(J$381:N$392,$D521,0)))</f>
        <v/>
      </c>
      <c r="M521" s="35">
        <f>IF(SpotPow="Yes",INDEX(M$381:M$392,$D521),_xlfn.AGGREGATE(1,6,INDEX(K$381:O$392,$D521,0)))</f>
        <v/>
      </c>
      <c r="N521" s="35">
        <f>IF(SpotPow="Yes",INDEX(N$381:N$392,$D521),_xlfn.AGGREGATE(1,6,INDEX(L$381:P$392,$D521,0)))</f>
        <v/>
      </c>
      <c r="O521" s="35">
        <f>IF(SpotPow="Yes",INDEX(O$381:O$392,$D521),_xlfn.AGGREGATE(1,6,INDEX(M$381:Q$392,$D521,0)))</f>
        <v/>
      </c>
      <c r="P521" s="35">
        <f>IF(SpotPow="Yes",INDEX(P$381:P$392,$D521),_xlfn.AGGREGATE(1,6,INDEX(N$381:R$392,$D521,0)))</f>
        <v/>
      </c>
      <c r="Q521" s="35">
        <f>IF(SpotPow="Yes",INDEX(Q$381:Q$392,$D521),_xlfn.AGGREGATE(1,6,INDEX(O$381:S$392,$D521,0)))</f>
        <v/>
      </c>
      <c r="R521" s="35">
        <f>IF(SpotPow="Yes",INDEX(R$381:R$392,$D521),_xlfn.AGGREGATE(1,6,INDEX(P$381:T$392,$D521,0)))</f>
        <v/>
      </c>
      <c r="S521" s="35">
        <f>IF(SpotPow="Yes",INDEX(S$381:S$392,$D521),_xlfn.AGGREGATE(1,6,INDEX(Q$381:U$392,$D521,0)))</f>
        <v/>
      </c>
      <c r="T521" s="35">
        <f>IF(SpotPow="Yes",INDEX(T$381:T$392,$D521),_xlfn.AGGREGATE(1,6,INDEX(R$381:V$392,$D521,0)))</f>
        <v/>
      </c>
      <c r="U521" s="35">
        <f>IF(SpotPow="Yes",INDEX(U$381:U$392,$D521),_xlfn.AGGREGATE(1,6,INDEX(S$381:W$392,$D521,0)))</f>
        <v/>
      </c>
      <c r="V521" s="35">
        <f>IF(SpotPow="Yes",INDEX(V$381:V$392,$D521),_xlfn.AGGREGATE(1,6,INDEX(T$381:X$392,$D521,0)))</f>
        <v/>
      </c>
      <c r="W521" s="35">
        <f>IF(SpotPow="Yes",INDEX(W$381:W$392,$D521),_xlfn.AGGREGATE(1,6,INDEX(U$381:Y$392,$D521,0)))</f>
        <v/>
      </c>
      <c r="X521" s="35">
        <f>IF(SpotPow="Yes",INDEX(X$381:X$392,$D521),_xlfn.AGGREGATE(1,6,INDEX(V$381:Z$392,$D521,0)))</f>
        <v/>
      </c>
      <c r="Y521" s="35">
        <f>IF(SpotPow="Yes",INDEX(Y$381:Y$392,$D521),_xlfn.AGGREGATE(1,6,INDEX(W$381:AA$392,$D521,0)))</f>
        <v/>
      </c>
      <c r="Z521" s="35">
        <f>IF(SpotPow="Yes",INDEX(Z$381:Z$392,$D521),_xlfn.AGGREGATE(1,6,INDEX(X$381:AB$392,$D521,0)))</f>
        <v/>
      </c>
      <c r="AA521" s="35">
        <f>IF(SpotPow="Yes",INDEX(AA$381:AA$392,$D521),_xlfn.AGGREGATE(1,6,INDEX(Y$381:AC$392,$D521,0)))</f>
        <v/>
      </c>
      <c r="AB521" s="35">
        <f>IF(SpotPow="Yes",INDEX(AB$381:AB$392,$D521),_xlfn.AGGREGATE(1,6,INDEX(Z$381:AD$392,$D521,0)))</f>
        <v/>
      </c>
      <c r="AC521" s="35">
        <f>IF(SpotPow="Yes",INDEX(AC$381:AC$392,$D521),_xlfn.AGGREGATE(1,6,INDEX(AA$381:AE$392,$D521,0)))</f>
        <v/>
      </c>
      <c r="AD521" s="35">
        <f>IF(SpotPow="Yes",INDEX(AD$381:AD$392,$D521),_xlfn.AGGREGATE(1,6,INDEX(AB$381:AF$392,$D521,0)))</f>
        <v/>
      </c>
      <c r="AE521" s="42">
        <f>POWFUELPRICE(SpotPow,INDEX(AE$381:AE$392,$D521),INDEX(AC$381:AG$392,$D521,0))</f>
        <v/>
      </c>
      <c r="AG521" s="11">
        <f>CodePrefix&amp;$A521&amp;IF($C521="","","."&amp;$C521&amp;"."&amp;$B521)&amp;INDEX(VarEnd,MATCH($A521,VarKey,0))&amp;AG$5</f>
        <v/>
      </c>
      <c r="AH521" s="40">
        <f>IF(SpotPow="Yes",INDEX(AH$381:AH$392,$D521),_xlfn.AGGREGATE(1,6,INDEX(AF$381:AJ$392,$D521,0)))</f>
        <v/>
      </c>
      <c r="AI521" s="35">
        <f>IF(SpotPow="Yes",INDEX(AI$381:AI$392,$D521),_xlfn.AGGREGATE(1,6,INDEX(AG$381:AK$392,$D521,0)))</f>
        <v/>
      </c>
      <c r="AJ521" s="35">
        <f>IF(SpotPow="Yes",INDEX(AJ$381:AJ$392,$D521),_xlfn.AGGREGATE(1,6,INDEX(AH$381:AL$392,$D521,0)))</f>
        <v/>
      </c>
      <c r="AK521" s="35">
        <f>IF(SpotPow="Yes",INDEX(AK$381:AK$392,$D521),_xlfn.AGGREGATE(1,6,INDEX(AI$381:AM$392,$D521,0)))</f>
        <v/>
      </c>
      <c r="AL521" s="35">
        <f>IF(SpotPow="Yes",INDEX(AL$381:AL$392,$D521),_xlfn.AGGREGATE(1,6,INDEX(AJ$381:AN$392,$D521,0)))</f>
        <v/>
      </c>
      <c r="AM521" s="35">
        <f>IF(SpotPow="Yes",INDEX(AM$381:AM$392,$D521),_xlfn.AGGREGATE(1,6,INDEX(AK$381:AO$392,$D521,0)))</f>
        <v/>
      </c>
      <c r="AN521" s="35">
        <f>IF(SpotPow="Yes",INDEX(AN$381:AN$392,$D521),_xlfn.AGGREGATE(1,6,INDEX(AL$381:AP$392,$D521,0)))</f>
        <v/>
      </c>
      <c r="AO521" s="35">
        <f>IF(SpotPow="Yes",INDEX(AO$381:AO$392,$D521),_xlfn.AGGREGATE(1,6,INDEX(AM$381:AQ$392,$D521,0)))</f>
        <v/>
      </c>
      <c r="AP521" s="35">
        <f>IF(SpotPow="Yes",INDEX(AP$381:AP$392,$D521),_xlfn.AGGREGATE(1,6,INDEX(AN$381:AR$392,$D521,0)))</f>
        <v/>
      </c>
      <c r="AQ521" s="35">
        <f>IF(SpotPow="Yes",INDEX(AQ$381:AQ$392,$D521),_xlfn.AGGREGATE(1,6,INDEX(AO$381:AS$392,$D521,0)))</f>
        <v/>
      </c>
      <c r="AR521" s="35">
        <f>IF(SpotPow="Yes",INDEX(AR$381:AR$392,$D521),_xlfn.AGGREGATE(1,6,INDEX(AP$381:AT$392,$D521,0)))</f>
        <v/>
      </c>
      <c r="AS521" s="35">
        <f>IF(SpotPow="Yes",INDEX(AS$381:AS$392,$D521),_xlfn.AGGREGATE(1,6,INDEX(AQ$381:AU$392,$D521,0)))</f>
        <v/>
      </c>
      <c r="AT521" s="35">
        <f>IF(SpotPow="Yes",INDEX(AT$381:AT$392,$D521),_xlfn.AGGREGATE(1,6,INDEX(AR$381:AV$392,$D521,0)))</f>
        <v/>
      </c>
      <c r="AU521" s="35">
        <f>IF(SpotPow="Yes",INDEX(AU$381:AU$392,$D521),_xlfn.AGGREGATE(1,6,INDEX(AS$381:AW$392,$D521,0)))</f>
        <v/>
      </c>
      <c r="AV521" s="35">
        <f>IF(SpotPow="Yes",INDEX(AV$381:AV$392,$D521),_xlfn.AGGREGATE(1,6,INDEX(AT$381:AX$392,$D521,0)))</f>
        <v/>
      </c>
      <c r="AW521" s="35">
        <f>IF(SpotPow="Yes",INDEX(AW$381:AW$392,$D521),_xlfn.AGGREGATE(1,6,INDEX(AU$381:AY$392,$D521,0)))</f>
        <v/>
      </c>
      <c r="AX521" s="35">
        <f>IF(SpotPow="Yes",INDEX(AX$381:AX$392,$D521),_xlfn.AGGREGATE(1,6,INDEX(AV$381:AZ$392,$D521,0)))</f>
        <v/>
      </c>
      <c r="AY521" s="35">
        <f>IF(SpotPow="Yes",INDEX(AY$381:AY$392,$D521),_xlfn.AGGREGATE(1,6,INDEX(AW$381:BA$392,$D521,0)))</f>
        <v/>
      </c>
      <c r="AZ521" s="35">
        <f>IF(SpotPow="Yes",INDEX(AZ$381:AZ$392,$D521),_xlfn.AGGREGATE(1,6,INDEX(AX$381:BB$392,$D521,0)))</f>
        <v/>
      </c>
      <c r="BA521" s="42">
        <f>POWFUELPRICE(SpotPow,INDEX(BA$381:BA$392,$D521),INDEX(AY$381:BC$392,$D521,0))</f>
        <v/>
      </c>
    </row>
    <row r="522" hidden="1" outlineLevel="1">
      <c r="A522" s="14" t="inlineStr">
        <is>
          <t>fpp</t>
        </is>
      </c>
      <c r="B522" s="14" t="inlineStr">
        <is>
          <t>nuc</t>
        </is>
      </c>
      <c r="C522" s="14" t="inlineStr">
        <is>
          <t>pow</t>
        </is>
      </c>
      <c r="D522" s="45">
        <f>INDEX(Inputs_power!$X$5:$X$13,MATCH($B522,Inputs_power!$A$5:$A$13,0))</f>
        <v/>
      </c>
      <c r="E522" s="39" t="n"/>
      <c r="F522" s="39" t="n"/>
      <c r="G522" s="39" t="n"/>
      <c r="H522" s="14">
        <f>INDEX(VarLab,MATCH($A522,VarKey,0))&amp;INDEX(MemLab,MATCH($C522&amp;"|"&amp;$B522,MemKey,0))</f>
        <v/>
      </c>
      <c r="I522" s="14">
        <f>INDEX(VarUnit,MATCH($A522,VarKey,0))</f>
        <v/>
      </c>
      <c r="J522" s="14">
        <f>INDEX(VarSrc,MATCH($A522,VarKey,0))</f>
        <v/>
      </c>
      <c r="K522" s="11">
        <f>CodePrefix&amp;$A522&amp;IF($C522="","","."&amp;$C522&amp;"."&amp;$B522)&amp;INDEX(VarEnd,MATCH($A522,VarKey,0))&amp;K$5</f>
        <v/>
      </c>
      <c r="L522" s="40">
        <f>IF(SpotPow="Yes",INDEX(L$381:L$392,$D522),_xlfn.AGGREGATE(1,6,INDEX(J$381:N$392,$D522,0)))</f>
        <v/>
      </c>
      <c r="M522" s="35">
        <f>IF(SpotPow="Yes",INDEX(M$381:M$392,$D522),_xlfn.AGGREGATE(1,6,INDEX(K$381:O$392,$D522,0)))</f>
        <v/>
      </c>
      <c r="N522" s="35">
        <f>IF(SpotPow="Yes",INDEX(N$381:N$392,$D522),_xlfn.AGGREGATE(1,6,INDEX(L$381:P$392,$D522,0)))</f>
        <v/>
      </c>
      <c r="O522" s="35">
        <f>IF(SpotPow="Yes",INDEX(O$381:O$392,$D522),_xlfn.AGGREGATE(1,6,INDEX(M$381:Q$392,$D522,0)))</f>
        <v/>
      </c>
      <c r="P522" s="35">
        <f>IF(SpotPow="Yes",INDEX(P$381:P$392,$D522),_xlfn.AGGREGATE(1,6,INDEX(N$381:R$392,$D522,0)))</f>
        <v/>
      </c>
      <c r="Q522" s="35">
        <f>IF(SpotPow="Yes",INDEX(Q$381:Q$392,$D522),_xlfn.AGGREGATE(1,6,INDEX(O$381:S$392,$D522,0)))</f>
        <v/>
      </c>
      <c r="R522" s="35">
        <f>IF(SpotPow="Yes",INDEX(R$381:R$392,$D522),_xlfn.AGGREGATE(1,6,INDEX(P$381:T$392,$D522,0)))</f>
        <v/>
      </c>
      <c r="S522" s="35">
        <f>IF(SpotPow="Yes",INDEX(S$381:S$392,$D522),_xlfn.AGGREGATE(1,6,INDEX(Q$381:U$392,$D522,0)))</f>
        <v/>
      </c>
      <c r="T522" s="35">
        <f>IF(SpotPow="Yes",INDEX(T$381:T$392,$D522),_xlfn.AGGREGATE(1,6,INDEX(R$381:V$392,$D522,0)))</f>
        <v/>
      </c>
      <c r="U522" s="35">
        <f>IF(SpotPow="Yes",INDEX(U$381:U$392,$D522),_xlfn.AGGREGATE(1,6,INDEX(S$381:W$392,$D522,0)))</f>
        <v/>
      </c>
      <c r="V522" s="35">
        <f>IF(SpotPow="Yes",INDEX(V$381:V$392,$D522),_xlfn.AGGREGATE(1,6,INDEX(T$381:X$392,$D522,0)))</f>
        <v/>
      </c>
      <c r="W522" s="35">
        <f>IF(SpotPow="Yes",INDEX(W$381:W$392,$D522),_xlfn.AGGREGATE(1,6,INDEX(U$381:Y$392,$D522,0)))</f>
        <v/>
      </c>
      <c r="X522" s="35">
        <f>IF(SpotPow="Yes",INDEX(X$381:X$392,$D522),_xlfn.AGGREGATE(1,6,INDEX(V$381:Z$392,$D522,0)))</f>
        <v/>
      </c>
      <c r="Y522" s="35">
        <f>IF(SpotPow="Yes",INDEX(Y$381:Y$392,$D522),_xlfn.AGGREGATE(1,6,INDEX(W$381:AA$392,$D522,0)))</f>
        <v/>
      </c>
      <c r="Z522" s="35">
        <f>IF(SpotPow="Yes",INDEX(Z$381:Z$392,$D522),_xlfn.AGGREGATE(1,6,INDEX(X$381:AB$392,$D522,0)))</f>
        <v/>
      </c>
      <c r="AA522" s="35">
        <f>IF(SpotPow="Yes",INDEX(AA$381:AA$392,$D522),_xlfn.AGGREGATE(1,6,INDEX(Y$381:AC$392,$D522,0)))</f>
        <v/>
      </c>
      <c r="AB522" s="35">
        <f>IF(SpotPow="Yes",INDEX(AB$381:AB$392,$D522),_xlfn.AGGREGATE(1,6,INDEX(Z$381:AD$392,$D522,0)))</f>
        <v/>
      </c>
      <c r="AC522" s="35">
        <f>IF(SpotPow="Yes",INDEX(AC$381:AC$392,$D522),_xlfn.AGGREGATE(1,6,INDEX(AA$381:AE$392,$D522,0)))</f>
        <v/>
      </c>
      <c r="AD522" s="35">
        <f>IF(SpotPow="Yes",INDEX(AD$381:AD$392,$D522),_xlfn.AGGREGATE(1,6,INDEX(AB$381:AF$392,$D522,0)))</f>
        <v/>
      </c>
      <c r="AE522" s="42">
        <f>POWFUELPRICE(SpotPow,INDEX(AE$381:AE$392,$D522),INDEX(AC$381:AG$392,$D522,0))</f>
        <v/>
      </c>
      <c r="AG522" s="11">
        <f>CodePrefix&amp;$A522&amp;IF($C522="","","."&amp;$C522&amp;"."&amp;$B522)&amp;INDEX(VarEnd,MATCH($A522,VarKey,0))&amp;AG$5</f>
        <v/>
      </c>
      <c r="AH522" s="40">
        <f>IF(SpotPow="Yes",INDEX(AH$381:AH$392,$D522),_xlfn.AGGREGATE(1,6,INDEX(AF$381:AJ$392,$D522,0)))</f>
        <v/>
      </c>
      <c r="AI522" s="35">
        <f>IF(SpotPow="Yes",INDEX(AI$381:AI$392,$D522),_xlfn.AGGREGATE(1,6,INDEX(AG$381:AK$392,$D522,0)))</f>
        <v/>
      </c>
      <c r="AJ522" s="35">
        <f>IF(SpotPow="Yes",INDEX(AJ$381:AJ$392,$D522),_xlfn.AGGREGATE(1,6,INDEX(AH$381:AL$392,$D522,0)))</f>
        <v/>
      </c>
      <c r="AK522" s="35">
        <f>IF(SpotPow="Yes",INDEX(AK$381:AK$392,$D522),_xlfn.AGGREGATE(1,6,INDEX(AI$381:AM$392,$D522,0)))</f>
        <v/>
      </c>
      <c r="AL522" s="35">
        <f>IF(SpotPow="Yes",INDEX(AL$381:AL$392,$D522),_xlfn.AGGREGATE(1,6,INDEX(AJ$381:AN$392,$D522,0)))</f>
        <v/>
      </c>
      <c r="AM522" s="35">
        <f>IF(SpotPow="Yes",INDEX(AM$381:AM$392,$D522),_xlfn.AGGREGATE(1,6,INDEX(AK$381:AO$392,$D522,0)))</f>
        <v/>
      </c>
      <c r="AN522" s="35">
        <f>IF(SpotPow="Yes",INDEX(AN$381:AN$392,$D522),_xlfn.AGGREGATE(1,6,INDEX(AL$381:AP$392,$D522,0)))</f>
        <v/>
      </c>
      <c r="AO522" s="35">
        <f>IF(SpotPow="Yes",INDEX(AO$381:AO$392,$D522),_xlfn.AGGREGATE(1,6,INDEX(AM$381:AQ$392,$D522,0)))</f>
        <v/>
      </c>
      <c r="AP522" s="35">
        <f>IF(SpotPow="Yes",INDEX(AP$381:AP$392,$D522),_xlfn.AGGREGATE(1,6,INDEX(AN$381:AR$392,$D522,0)))</f>
        <v/>
      </c>
      <c r="AQ522" s="35">
        <f>IF(SpotPow="Yes",INDEX(AQ$381:AQ$392,$D522),_xlfn.AGGREGATE(1,6,INDEX(AO$381:AS$392,$D522,0)))</f>
        <v/>
      </c>
      <c r="AR522" s="35">
        <f>IF(SpotPow="Yes",INDEX(AR$381:AR$392,$D522),_xlfn.AGGREGATE(1,6,INDEX(AP$381:AT$392,$D522,0)))</f>
        <v/>
      </c>
      <c r="AS522" s="35">
        <f>IF(SpotPow="Yes",INDEX(AS$381:AS$392,$D522),_xlfn.AGGREGATE(1,6,INDEX(AQ$381:AU$392,$D522,0)))</f>
        <v/>
      </c>
      <c r="AT522" s="35">
        <f>IF(SpotPow="Yes",INDEX(AT$381:AT$392,$D522),_xlfn.AGGREGATE(1,6,INDEX(AR$381:AV$392,$D522,0)))</f>
        <v/>
      </c>
      <c r="AU522" s="35">
        <f>IF(SpotPow="Yes",INDEX(AU$381:AU$392,$D522),_xlfn.AGGREGATE(1,6,INDEX(AS$381:AW$392,$D522,0)))</f>
        <v/>
      </c>
      <c r="AV522" s="35">
        <f>IF(SpotPow="Yes",INDEX(AV$381:AV$392,$D522),_xlfn.AGGREGATE(1,6,INDEX(AT$381:AX$392,$D522,0)))</f>
        <v/>
      </c>
      <c r="AW522" s="35">
        <f>IF(SpotPow="Yes",INDEX(AW$381:AW$392,$D522),_xlfn.AGGREGATE(1,6,INDEX(AU$381:AY$392,$D522,0)))</f>
        <v/>
      </c>
      <c r="AX522" s="35">
        <f>IF(SpotPow="Yes",INDEX(AX$381:AX$392,$D522),_xlfn.AGGREGATE(1,6,INDEX(AV$381:AZ$392,$D522,0)))</f>
        <v/>
      </c>
      <c r="AY522" s="35">
        <f>IF(SpotPow="Yes",INDEX(AY$381:AY$392,$D522),_xlfn.AGGREGATE(1,6,INDEX(AW$381:BA$392,$D522,0)))</f>
        <v/>
      </c>
      <c r="AZ522" s="35">
        <f>IF(SpotPow="Yes",INDEX(AZ$381:AZ$392,$D522),_xlfn.AGGREGATE(1,6,INDEX(AX$381:BB$392,$D522,0)))</f>
        <v/>
      </c>
      <c r="BA522" s="42">
        <f>POWFUELPRICE(SpotPow,INDEX(BA$381:BA$392,$D522),INDEX(AY$381:BC$392,$D522,0))</f>
        <v/>
      </c>
    </row>
    <row r="523" hidden="1" outlineLevel="1">
      <c r="A523" s="14" t="inlineStr">
        <is>
          <t>fpp</t>
        </is>
      </c>
      <c r="B523" s="14" t="inlineStr">
        <is>
          <t>wnd</t>
        </is>
      </c>
      <c r="C523" s="14" t="inlineStr">
        <is>
          <t>pow</t>
        </is>
      </c>
      <c r="D523" s="45">
        <f>INDEX(Inputs_power!$X$5:$X$13,MATCH($B523,Inputs_power!$A$5:$A$13,0))</f>
        <v/>
      </c>
      <c r="E523" s="39" t="n"/>
      <c r="F523" s="39" t="n"/>
      <c r="G523" s="39" t="n"/>
      <c r="H523" s="14">
        <f>INDEX(VarLab,MATCH($A523,VarKey,0))&amp;INDEX(MemLab,MATCH($C523&amp;"|"&amp;$B523,MemKey,0))</f>
        <v/>
      </c>
      <c r="I523" s="14">
        <f>INDEX(VarUnit,MATCH($A523,VarKey,0))</f>
        <v/>
      </c>
      <c r="J523" s="14">
        <f>INDEX(VarSrc,MATCH($A523,VarKey,0))</f>
        <v/>
      </c>
      <c r="K523" s="11">
        <f>CodePrefix&amp;$A523&amp;IF($C523="","","."&amp;$C523&amp;"."&amp;$B523)&amp;INDEX(VarEnd,MATCH($A523,VarKey,0))&amp;K$5</f>
        <v/>
      </c>
      <c r="L523" s="40">
        <f>IF(SpotPow="Yes",INDEX(L$381:L$392,$D523),_xlfn.AGGREGATE(1,6,INDEX(J$381:N$392,$D523,0)))</f>
        <v/>
      </c>
      <c r="M523" s="35">
        <f>IF(SpotPow="Yes",INDEX(M$381:M$392,$D523),_xlfn.AGGREGATE(1,6,INDEX(K$381:O$392,$D523,0)))</f>
        <v/>
      </c>
      <c r="N523" s="35">
        <f>IF(SpotPow="Yes",INDEX(N$381:N$392,$D523),_xlfn.AGGREGATE(1,6,INDEX(L$381:P$392,$D523,0)))</f>
        <v/>
      </c>
      <c r="O523" s="35">
        <f>IF(SpotPow="Yes",INDEX(O$381:O$392,$D523),_xlfn.AGGREGATE(1,6,INDEX(M$381:Q$392,$D523,0)))</f>
        <v/>
      </c>
      <c r="P523" s="35">
        <f>IF(SpotPow="Yes",INDEX(P$381:P$392,$D523),_xlfn.AGGREGATE(1,6,INDEX(N$381:R$392,$D523,0)))</f>
        <v/>
      </c>
      <c r="Q523" s="35">
        <f>IF(SpotPow="Yes",INDEX(Q$381:Q$392,$D523),_xlfn.AGGREGATE(1,6,INDEX(O$381:S$392,$D523,0)))</f>
        <v/>
      </c>
      <c r="R523" s="35">
        <f>IF(SpotPow="Yes",INDEX(R$381:R$392,$D523),_xlfn.AGGREGATE(1,6,INDEX(P$381:T$392,$D523,0)))</f>
        <v/>
      </c>
      <c r="S523" s="35">
        <f>IF(SpotPow="Yes",INDEX(S$381:S$392,$D523),_xlfn.AGGREGATE(1,6,INDEX(Q$381:U$392,$D523,0)))</f>
        <v/>
      </c>
      <c r="T523" s="35">
        <f>IF(SpotPow="Yes",INDEX(T$381:T$392,$D523),_xlfn.AGGREGATE(1,6,INDEX(R$381:V$392,$D523,0)))</f>
        <v/>
      </c>
      <c r="U523" s="35">
        <f>IF(SpotPow="Yes",INDEX(U$381:U$392,$D523),_xlfn.AGGREGATE(1,6,INDEX(S$381:W$392,$D523,0)))</f>
        <v/>
      </c>
      <c r="V523" s="35">
        <f>IF(SpotPow="Yes",INDEX(V$381:V$392,$D523),_xlfn.AGGREGATE(1,6,INDEX(T$381:X$392,$D523,0)))</f>
        <v/>
      </c>
      <c r="W523" s="35">
        <f>IF(SpotPow="Yes",INDEX(W$381:W$392,$D523),_xlfn.AGGREGATE(1,6,INDEX(U$381:Y$392,$D523,0)))</f>
        <v/>
      </c>
      <c r="X523" s="35">
        <f>IF(SpotPow="Yes",INDEX(X$381:X$392,$D523),_xlfn.AGGREGATE(1,6,INDEX(V$381:Z$392,$D523,0)))</f>
        <v/>
      </c>
      <c r="Y523" s="35">
        <f>IF(SpotPow="Yes",INDEX(Y$381:Y$392,$D523),_xlfn.AGGREGATE(1,6,INDEX(W$381:AA$392,$D523,0)))</f>
        <v/>
      </c>
      <c r="Z523" s="35">
        <f>IF(SpotPow="Yes",INDEX(Z$381:Z$392,$D523),_xlfn.AGGREGATE(1,6,INDEX(X$381:AB$392,$D523,0)))</f>
        <v/>
      </c>
      <c r="AA523" s="35">
        <f>IF(SpotPow="Yes",INDEX(AA$381:AA$392,$D523),_xlfn.AGGREGATE(1,6,INDEX(Y$381:AC$392,$D523,0)))</f>
        <v/>
      </c>
      <c r="AB523" s="35">
        <f>IF(SpotPow="Yes",INDEX(AB$381:AB$392,$D523),_xlfn.AGGREGATE(1,6,INDEX(Z$381:AD$392,$D523,0)))</f>
        <v/>
      </c>
      <c r="AC523" s="35">
        <f>IF(SpotPow="Yes",INDEX(AC$381:AC$392,$D523),_xlfn.AGGREGATE(1,6,INDEX(AA$381:AE$392,$D523,0)))</f>
        <v/>
      </c>
      <c r="AD523" s="35">
        <f>IF(SpotPow="Yes",INDEX(AD$381:AD$392,$D523),_xlfn.AGGREGATE(1,6,INDEX(AB$381:AF$392,$D523,0)))</f>
        <v/>
      </c>
      <c r="AE523" s="42">
        <f>POWFUELPRICE(SpotPow,INDEX(AE$381:AE$392,$D523),INDEX(AC$381:AG$392,$D523,0))</f>
        <v/>
      </c>
      <c r="AG523" s="11">
        <f>CodePrefix&amp;$A523&amp;IF($C523="","","."&amp;$C523&amp;"."&amp;$B523)&amp;INDEX(VarEnd,MATCH($A523,VarKey,0))&amp;AG$5</f>
        <v/>
      </c>
      <c r="AH523" s="40">
        <f>IF(SpotPow="Yes",INDEX(AH$381:AH$392,$D523),_xlfn.AGGREGATE(1,6,INDEX(AF$381:AJ$392,$D523,0)))</f>
        <v/>
      </c>
      <c r="AI523" s="35">
        <f>IF(SpotPow="Yes",INDEX(AI$381:AI$392,$D523),_xlfn.AGGREGATE(1,6,INDEX(AG$381:AK$392,$D523,0)))</f>
        <v/>
      </c>
      <c r="AJ523" s="35">
        <f>IF(SpotPow="Yes",INDEX(AJ$381:AJ$392,$D523),_xlfn.AGGREGATE(1,6,INDEX(AH$381:AL$392,$D523,0)))</f>
        <v/>
      </c>
      <c r="AK523" s="35">
        <f>IF(SpotPow="Yes",INDEX(AK$381:AK$392,$D523),_xlfn.AGGREGATE(1,6,INDEX(AI$381:AM$392,$D523,0)))</f>
        <v/>
      </c>
      <c r="AL523" s="35">
        <f>IF(SpotPow="Yes",INDEX(AL$381:AL$392,$D523),_xlfn.AGGREGATE(1,6,INDEX(AJ$381:AN$392,$D523,0)))</f>
        <v/>
      </c>
      <c r="AM523" s="35">
        <f>IF(SpotPow="Yes",INDEX(AM$381:AM$392,$D523),_xlfn.AGGREGATE(1,6,INDEX(AK$381:AO$392,$D523,0)))</f>
        <v/>
      </c>
      <c r="AN523" s="35">
        <f>IF(SpotPow="Yes",INDEX(AN$381:AN$392,$D523),_xlfn.AGGREGATE(1,6,INDEX(AL$381:AP$392,$D523,0)))</f>
        <v/>
      </c>
      <c r="AO523" s="35">
        <f>IF(SpotPow="Yes",INDEX(AO$381:AO$392,$D523),_xlfn.AGGREGATE(1,6,INDEX(AM$381:AQ$392,$D523,0)))</f>
        <v/>
      </c>
      <c r="AP523" s="35">
        <f>IF(SpotPow="Yes",INDEX(AP$381:AP$392,$D523),_xlfn.AGGREGATE(1,6,INDEX(AN$381:AR$392,$D523,0)))</f>
        <v/>
      </c>
      <c r="AQ523" s="35">
        <f>IF(SpotPow="Yes",INDEX(AQ$381:AQ$392,$D523),_xlfn.AGGREGATE(1,6,INDEX(AO$381:AS$392,$D523,0)))</f>
        <v/>
      </c>
      <c r="AR523" s="35">
        <f>IF(SpotPow="Yes",INDEX(AR$381:AR$392,$D523),_xlfn.AGGREGATE(1,6,INDEX(AP$381:AT$392,$D523,0)))</f>
        <v/>
      </c>
      <c r="AS523" s="35">
        <f>IF(SpotPow="Yes",INDEX(AS$381:AS$392,$D523),_xlfn.AGGREGATE(1,6,INDEX(AQ$381:AU$392,$D523,0)))</f>
        <v/>
      </c>
      <c r="AT523" s="35">
        <f>IF(SpotPow="Yes",INDEX(AT$381:AT$392,$D523),_xlfn.AGGREGATE(1,6,INDEX(AR$381:AV$392,$D523,0)))</f>
        <v/>
      </c>
      <c r="AU523" s="35">
        <f>IF(SpotPow="Yes",INDEX(AU$381:AU$392,$D523),_xlfn.AGGREGATE(1,6,INDEX(AS$381:AW$392,$D523,0)))</f>
        <v/>
      </c>
      <c r="AV523" s="35">
        <f>IF(SpotPow="Yes",INDEX(AV$381:AV$392,$D523),_xlfn.AGGREGATE(1,6,INDEX(AT$381:AX$392,$D523,0)))</f>
        <v/>
      </c>
      <c r="AW523" s="35">
        <f>IF(SpotPow="Yes",INDEX(AW$381:AW$392,$D523),_xlfn.AGGREGATE(1,6,INDEX(AU$381:AY$392,$D523,0)))</f>
        <v/>
      </c>
      <c r="AX523" s="35">
        <f>IF(SpotPow="Yes",INDEX(AX$381:AX$392,$D523),_xlfn.AGGREGATE(1,6,INDEX(AV$381:AZ$392,$D523,0)))</f>
        <v/>
      </c>
      <c r="AY523" s="35">
        <f>IF(SpotPow="Yes",INDEX(AY$381:AY$392,$D523),_xlfn.AGGREGATE(1,6,INDEX(AW$381:BA$392,$D523,0)))</f>
        <v/>
      </c>
      <c r="AZ523" s="35">
        <f>IF(SpotPow="Yes",INDEX(AZ$381:AZ$392,$D523),_xlfn.AGGREGATE(1,6,INDEX(AX$381:BB$392,$D523,0)))</f>
        <v/>
      </c>
      <c r="BA523" s="42">
        <f>POWFUELPRICE(SpotPow,INDEX(BA$381:BA$392,$D523),INDEX(AY$381:BC$392,$D523,0))</f>
        <v/>
      </c>
    </row>
    <row r="524" hidden="1" outlineLevel="1">
      <c r="A524" s="14" t="inlineStr">
        <is>
          <t>fpp</t>
        </is>
      </c>
      <c r="B524" s="14" t="inlineStr">
        <is>
          <t>sol</t>
        </is>
      </c>
      <c r="C524" s="14" t="inlineStr">
        <is>
          <t>pow</t>
        </is>
      </c>
      <c r="D524" s="45">
        <f>INDEX(Inputs_power!$X$5:$X$13,MATCH($B524,Inputs_power!$A$5:$A$13,0))</f>
        <v/>
      </c>
      <c r="E524" s="39" t="n"/>
      <c r="F524" s="39" t="n"/>
      <c r="G524" s="39" t="n"/>
      <c r="H524" s="14">
        <f>INDEX(VarLab,MATCH($A524,VarKey,0))&amp;INDEX(MemLab,MATCH($C524&amp;"|"&amp;$B524,MemKey,0))</f>
        <v/>
      </c>
      <c r="I524" s="14">
        <f>INDEX(VarUnit,MATCH($A524,VarKey,0))</f>
        <v/>
      </c>
      <c r="J524" s="14">
        <f>INDEX(VarSrc,MATCH($A524,VarKey,0))</f>
        <v/>
      </c>
      <c r="K524" s="11">
        <f>CodePrefix&amp;$A524&amp;IF($C524="","","."&amp;$C524&amp;"."&amp;$B524)&amp;INDEX(VarEnd,MATCH($A524,VarKey,0))&amp;K$5</f>
        <v/>
      </c>
      <c r="L524" s="40">
        <f>IF(SpotPow="Yes",INDEX(L$381:L$392,$D524),_xlfn.AGGREGATE(1,6,INDEX(J$381:N$392,$D524,0)))</f>
        <v/>
      </c>
      <c r="M524" s="35">
        <f>IF(SpotPow="Yes",INDEX(M$381:M$392,$D524),_xlfn.AGGREGATE(1,6,INDEX(K$381:O$392,$D524,0)))</f>
        <v/>
      </c>
      <c r="N524" s="35">
        <f>IF(SpotPow="Yes",INDEX(N$381:N$392,$D524),_xlfn.AGGREGATE(1,6,INDEX(L$381:P$392,$D524,0)))</f>
        <v/>
      </c>
      <c r="O524" s="35">
        <f>IF(SpotPow="Yes",INDEX(O$381:O$392,$D524),_xlfn.AGGREGATE(1,6,INDEX(M$381:Q$392,$D524,0)))</f>
        <v/>
      </c>
      <c r="P524" s="35">
        <f>IF(SpotPow="Yes",INDEX(P$381:P$392,$D524),_xlfn.AGGREGATE(1,6,INDEX(N$381:R$392,$D524,0)))</f>
        <v/>
      </c>
      <c r="Q524" s="35">
        <f>IF(SpotPow="Yes",INDEX(Q$381:Q$392,$D524),_xlfn.AGGREGATE(1,6,INDEX(O$381:S$392,$D524,0)))</f>
        <v/>
      </c>
      <c r="R524" s="35">
        <f>IF(SpotPow="Yes",INDEX(R$381:R$392,$D524),_xlfn.AGGREGATE(1,6,INDEX(P$381:T$392,$D524,0)))</f>
        <v/>
      </c>
      <c r="S524" s="35">
        <f>IF(SpotPow="Yes",INDEX(S$381:S$392,$D524),_xlfn.AGGREGATE(1,6,INDEX(Q$381:U$392,$D524,0)))</f>
        <v/>
      </c>
      <c r="T524" s="35">
        <f>IF(SpotPow="Yes",INDEX(T$381:T$392,$D524),_xlfn.AGGREGATE(1,6,INDEX(R$381:V$392,$D524,0)))</f>
        <v/>
      </c>
      <c r="U524" s="35">
        <f>IF(SpotPow="Yes",INDEX(U$381:U$392,$D524),_xlfn.AGGREGATE(1,6,INDEX(S$381:W$392,$D524,0)))</f>
        <v/>
      </c>
      <c r="V524" s="35">
        <f>IF(SpotPow="Yes",INDEX(V$381:V$392,$D524),_xlfn.AGGREGATE(1,6,INDEX(T$381:X$392,$D524,0)))</f>
        <v/>
      </c>
      <c r="W524" s="35">
        <f>IF(SpotPow="Yes",INDEX(W$381:W$392,$D524),_xlfn.AGGREGATE(1,6,INDEX(U$381:Y$392,$D524,0)))</f>
        <v/>
      </c>
      <c r="X524" s="35">
        <f>IF(SpotPow="Yes",INDEX(X$381:X$392,$D524),_xlfn.AGGREGATE(1,6,INDEX(V$381:Z$392,$D524,0)))</f>
        <v/>
      </c>
      <c r="Y524" s="35">
        <f>IF(SpotPow="Yes",INDEX(Y$381:Y$392,$D524),_xlfn.AGGREGATE(1,6,INDEX(W$381:AA$392,$D524,0)))</f>
        <v/>
      </c>
      <c r="Z524" s="35">
        <f>IF(SpotPow="Yes",INDEX(Z$381:Z$392,$D524),_xlfn.AGGREGATE(1,6,INDEX(X$381:AB$392,$D524,0)))</f>
        <v/>
      </c>
      <c r="AA524" s="35">
        <f>IF(SpotPow="Yes",INDEX(AA$381:AA$392,$D524),_xlfn.AGGREGATE(1,6,INDEX(Y$381:AC$392,$D524,0)))</f>
        <v/>
      </c>
      <c r="AB524" s="35">
        <f>IF(SpotPow="Yes",INDEX(AB$381:AB$392,$D524),_xlfn.AGGREGATE(1,6,INDEX(Z$381:AD$392,$D524,0)))</f>
        <v/>
      </c>
      <c r="AC524" s="35">
        <f>IF(SpotPow="Yes",INDEX(AC$381:AC$392,$D524),_xlfn.AGGREGATE(1,6,INDEX(AA$381:AE$392,$D524,0)))</f>
        <v/>
      </c>
      <c r="AD524" s="35">
        <f>IF(SpotPow="Yes",INDEX(AD$381:AD$392,$D524),_xlfn.AGGREGATE(1,6,INDEX(AB$381:AF$392,$D524,0)))</f>
        <v/>
      </c>
      <c r="AE524" s="42">
        <f>POWFUELPRICE(SpotPow,INDEX(AE$381:AE$392,$D524),INDEX(AC$381:AG$392,$D524,0))</f>
        <v/>
      </c>
      <c r="AG524" s="11">
        <f>CodePrefix&amp;$A524&amp;IF($C524="","","."&amp;$C524&amp;"."&amp;$B524)&amp;INDEX(VarEnd,MATCH($A524,VarKey,0))&amp;AG$5</f>
        <v/>
      </c>
      <c r="AH524" s="40">
        <f>IF(SpotPow="Yes",INDEX(AH$381:AH$392,$D524),_xlfn.AGGREGATE(1,6,INDEX(AF$381:AJ$392,$D524,0)))</f>
        <v/>
      </c>
      <c r="AI524" s="35">
        <f>IF(SpotPow="Yes",INDEX(AI$381:AI$392,$D524),_xlfn.AGGREGATE(1,6,INDEX(AG$381:AK$392,$D524,0)))</f>
        <v/>
      </c>
      <c r="AJ524" s="35">
        <f>IF(SpotPow="Yes",INDEX(AJ$381:AJ$392,$D524),_xlfn.AGGREGATE(1,6,INDEX(AH$381:AL$392,$D524,0)))</f>
        <v/>
      </c>
      <c r="AK524" s="35">
        <f>IF(SpotPow="Yes",INDEX(AK$381:AK$392,$D524),_xlfn.AGGREGATE(1,6,INDEX(AI$381:AM$392,$D524,0)))</f>
        <v/>
      </c>
      <c r="AL524" s="35">
        <f>IF(SpotPow="Yes",INDEX(AL$381:AL$392,$D524),_xlfn.AGGREGATE(1,6,INDEX(AJ$381:AN$392,$D524,0)))</f>
        <v/>
      </c>
      <c r="AM524" s="35">
        <f>IF(SpotPow="Yes",INDEX(AM$381:AM$392,$D524),_xlfn.AGGREGATE(1,6,INDEX(AK$381:AO$392,$D524,0)))</f>
        <v/>
      </c>
      <c r="AN524" s="35">
        <f>IF(SpotPow="Yes",INDEX(AN$381:AN$392,$D524),_xlfn.AGGREGATE(1,6,INDEX(AL$381:AP$392,$D524,0)))</f>
        <v/>
      </c>
      <c r="AO524" s="35">
        <f>IF(SpotPow="Yes",INDEX(AO$381:AO$392,$D524),_xlfn.AGGREGATE(1,6,INDEX(AM$381:AQ$392,$D524,0)))</f>
        <v/>
      </c>
      <c r="AP524" s="35">
        <f>IF(SpotPow="Yes",INDEX(AP$381:AP$392,$D524),_xlfn.AGGREGATE(1,6,INDEX(AN$381:AR$392,$D524,0)))</f>
        <v/>
      </c>
      <c r="AQ524" s="35">
        <f>IF(SpotPow="Yes",INDEX(AQ$381:AQ$392,$D524),_xlfn.AGGREGATE(1,6,INDEX(AO$381:AS$392,$D524,0)))</f>
        <v/>
      </c>
      <c r="AR524" s="35">
        <f>IF(SpotPow="Yes",INDEX(AR$381:AR$392,$D524),_xlfn.AGGREGATE(1,6,INDEX(AP$381:AT$392,$D524,0)))</f>
        <v/>
      </c>
      <c r="AS524" s="35">
        <f>IF(SpotPow="Yes",INDEX(AS$381:AS$392,$D524),_xlfn.AGGREGATE(1,6,INDEX(AQ$381:AU$392,$D524,0)))</f>
        <v/>
      </c>
      <c r="AT524" s="35">
        <f>IF(SpotPow="Yes",INDEX(AT$381:AT$392,$D524),_xlfn.AGGREGATE(1,6,INDEX(AR$381:AV$392,$D524,0)))</f>
        <v/>
      </c>
      <c r="AU524" s="35">
        <f>IF(SpotPow="Yes",INDEX(AU$381:AU$392,$D524),_xlfn.AGGREGATE(1,6,INDEX(AS$381:AW$392,$D524,0)))</f>
        <v/>
      </c>
      <c r="AV524" s="35">
        <f>IF(SpotPow="Yes",INDEX(AV$381:AV$392,$D524),_xlfn.AGGREGATE(1,6,INDEX(AT$381:AX$392,$D524,0)))</f>
        <v/>
      </c>
      <c r="AW524" s="35">
        <f>IF(SpotPow="Yes",INDEX(AW$381:AW$392,$D524),_xlfn.AGGREGATE(1,6,INDEX(AU$381:AY$392,$D524,0)))</f>
        <v/>
      </c>
      <c r="AX524" s="35">
        <f>IF(SpotPow="Yes",INDEX(AX$381:AX$392,$D524),_xlfn.AGGREGATE(1,6,INDEX(AV$381:AZ$392,$D524,0)))</f>
        <v/>
      </c>
      <c r="AY524" s="35">
        <f>IF(SpotPow="Yes",INDEX(AY$381:AY$392,$D524),_xlfn.AGGREGATE(1,6,INDEX(AW$381:BA$392,$D524,0)))</f>
        <v/>
      </c>
      <c r="AZ524" s="35">
        <f>IF(SpotPow="Yes",INDEX(AZ$381:AZ$392,$D524),_xlfn.AGGREGATE(1,6,INDEX(AX$381:BB$392,$D524,0)))</f>
        <v/>
      </c>
      <c r="BA524" s="42">
        <f>POWFUELPRICE(SpotPow,INDEX(BA$381:BA$392,$D524),INDEX(AY$381:BC$392,$D524,0))</f>
        <v/>
      </c>
    </row>
    <row r="525" hidden="1" outlineLevel="1">
      <c r="A525" s="14" t="inlineStr">
        <is>
          <t>fpp</t>
        </is>
      </c>
      <c r="B525" s="14" t="inlineStr">
        <is>
          <t>hyd</t>
        </is>
      </c>
      <c r="C525" s="14" t="inlineStr">
        <is>
          <t>pow</t>
        </is>
      </c>
      <c r="D525" s="45">
        <f>INDEX(Inputs_power!$X$5:$X$13,MATCH($B525,Inputs_power!$A$5:$A$13,0))</f>
        <v/>
      </c>
      <c r="E525" s="39" t="n"/>
      <c r="F525" s="39" t="n"/>
      <c r="G525" s="39" t="n"/>
      <c r="H525" s="14">
        <f>INDEX(VarLab,MATCH($A525,VarKey,0))&amp;INDEX(MemLab,MATCH($C525&amp;"|"&amp;$B525,MemKey,0))</f>
        <v/>
      </c>
      <c r="I525" s="14">
        <f>INDEX(VarUnit,MATCH($A525,VarKey,0))</f>
        <v/>
      </c>
      <c r="J525" s="14">
        <f>INDEX(VarSrc,MATCH($A525,VarKey,0))</f>
        <v/>
      </c>
      <c r="K525" s="11">
        <f>CodePrefix&amp;$A525&amp;IF($C525="","","."&amp;$C525&amp;"."&amp;$B525)&amp;INDEX(VarEnd,MATCH($A525,VarKey,0))&amp;K$5</f>
        <v/>
      </c>
      <c r="L525" s="40">
        <f>IF(SpotPow="Yes",INDEX(L$381:L$392,$D525),_xlfn.AGGREGATE(1,6,INDEX(J$381:N$392,$D525,0)))</f>
        <v/>
      </c>
      <c r="M525" s="35">
        <f>IF(SpotPow="Yes",INDEX(M$381:M$392,$D525),_xlfn.AGGREGATE(1,6,INDEX(K$381:O$392,$D525,0)))</f>
        <v/>
      </c>
      <c r="N525" s="35">
        <f>IF(SpotPow="Yes",INDEX(N$381:N$392,$D525),_xlfn.AGGREGATE(1,6,INDEX(L$381:P$392,$D525,0)))</f>
        <v/>
      </c>
      <c r="O525" s="35">
        <f>IF(SpotPow="Yes",INDEX(O$381:O$392,$D525),_xlfn.AGGREGATE(1,6,INDEX(M$381:Q$392,$D525,0)))</f>
        <v/>
      </c>
      <c r="P525" s="35">
        <f>IF(SpotPow="Yes",INDEX(P$381:P$392,$D525),_xlfn.AGGREGATE(1,6,INDEX(N$381:R$392,$D525,0)))</f>
        <v/>
      </c>
      <c r="Q525" s="35">
        <f>IF(SpotPow="Yes",INDEX(Q$381:Q$392,$D525),_xlfn.AGGREGATE(1,6,INDEX(O$381:S$392,$D525,0)))</f>
        <v/>
      </c>
      <c r="R525" s="35">
        <f>IF(SpotPow="Yes",INDEX(R$381:R$392,$D525),_xlfn.AGGREGATE(1,6,INDEX(P$381:T$392,$D525,0)))</f>
        <v/>
      </c>
      <c r="S525" s="35">
        <f>IF(SpotPow="Yes",INDEX(S$381:S$392,$D525),_xlfn.AGGREGATE(1,6,INDEX(Q$381:U$392,$D525,0)))</f>
        <v/>
      </c>
      <c r="T525" s="35">
        <f>IF(SpotPow="Yes",INDEX(T$381:T$392,$D525),_xlfn.AGGREGATE(1,6,INDEX(R$381:V$392,$D525,0)))</f>
        <v/>
      </c>
      <c r="U525" s="35">
        <f>IF(SpotPow="Yes",INDEX(U$381:U$392,$D525),_xlfn.AGGREGATE(1,6,INDEX(S$381:W$392,$D525,0)))</f>
        <v/>
      </c>
      <c r="V525" s="35">
        <f>IF(SpotPow="Yes",INDEX(V$381:V$392,$D525),_xlfn.AGGREGATE(1,6,INDEX(T$381:X$392,$D525,0)))</f>
        <v/>
      </c>
      <c r="W525" s="35">
        <f>IF(SpotPow="Yes",INDEX(W$381:W$392,$D525),_xlfn.AGGREGATE(1,6,INDEX(U$381:Y$392,$D525,0)))</f>
        <v/>
      </c>
      <c r="X525" s="35">
        <f>IF(SpotPow="Yes",INDEX(X$381:X$392,$D525),_xlfn.AGGREGATE(1,6,INDEX(V$381:Z$392,$D525,0)))</f>
        <v/>
      </c>
      <c r="Y525" s="35">
        <f>IF(SpotPow="Yes",INDEX(Y$381:Y$392,$D525),_xlfn.AGGREGATE(1,6,INDEX(W$381:AA$392,$D525,0)))</f>
        <v/>
      </c>
      <c r="Z525" s="35">
        <f>IF(SpotPow="Yes",INDEX(Z$381:Z$392,$D525),_xlfn.AGGREGATE(1,6,INDEX(X$381:AB$392,$D525,0)))</f>
        <v/>
      </c>
      <c r="AA525" s="35">
        <f>IF(SpotPow="Yes",INDEX(AA$381:AA$392,$D525),_xlfn.AGGREGATE(1,6,INDEX(Y$381:AC$392,$D525,0)))</f>
        <v/>
      </c>
      <c r="AB525" s="35">
        <f>IF(SpotPow="Yes",INDEX(AB$381:AB$392,$D525),_xlfn.AGGREGATE(1,6,INDEX(Z$381:AD$392,$D525,0)))</f>
        <v/>
      </c>
      <c r="AC525" s="35">
        <f>IF(SpotPow="Yes",INDEX(AC$381:AC$392,$D525),_xlfn.AGGREGATE(1,6,INDEX(AA$381:AE$392,$D525,0)))</f>
        <v/>
      </c>
      <c r="AD525" s="35">
        <f>IF(SpotPow="Yes",INDEX(AD$381:AD$392,$D525),_xlfn.AGGREGATE(1,6,INDEX(AB$381:AF$392,$D525,0)))</f>
        <v/>
      </c>
      <c r="AE525" s="42">
        <f>POWFUELPRICE(SpotPow,INDEX(AE$381:AE$392,$D525),INDEX(AC$381:AG$392,$D525,0))</f>
        <v/>
      </c>
      <c r="AG525" s="11">
        <f>CodePrefix&amp;$A525&amp;IF($C525="","","."&amp;$C525&amp;"."&amp;$B525)&amp;INDEX(VarEnd,MATCH($A525,VarKey,0))&amp;AG$5</f>
        <v/>
      </c>
      <c r="AH525" s="40">
        <f>IF(SpotPow="Yes",INDEX(AH$381:AH$392,$D525),_xlfn.AGGREGATE(1,6,INDEX(AF$381:AJ$392,$D525,0)))</f>
        <v/>
      </c>
      <c r="AI525" s="35">
        <f>IF(SpotPow="Yes",INDEX(AI$381:AI$392,$D525),_xlfn.AGGREGATE(1,6,INDEX(AG$381:AK$392,$D525,0)))</f>
        <v/>
      </c>
      <c r="AJ525" s="35">
        <f>IF(SpotPow="Yes",INDEX(AJ$381:AJ$392,$D525),_xlfn.AGGREGATE(1,6,INDEX(AH$381:AL$392,$D525,0)))</f>
        <v/>
      </c>
      <c r="AK525" s="35">
        <f>IF(SpotPow="Yes",INDEX(AK$381:AK$392,$D525),_xlfn.AGGREGATE(1,6,INDEX(AI$381:AM$392,$D525,0)))</f>
        <v/>
      </c>
      <c r="AL525" s="35">
        <f>IF(SpotPow="Yes",INDEX(AL$381:AL$392,$D525),_xlfn.AGGREGATE(1,6,INDEX(AJ$381:AN$392,$D525,0)))</f>
        <v/>
      </c>
      <c r="AM525" s="35">
        <f>IF(SpotPow="Yes",INDEX(AM$381:AM$392,$D525),_xlfn.AGGREGATE(1,6,INDEX(AK$381:AO$392,$D525,0)))</f>
        <v/>
      </c>
      <c r="AN525" s="35">
        <f>IF(SpotPow="Yes",INDEX(AN$381:AN$392,$D525),_xlfn.AGGREGATE(1,6,INDEX(AL$381:AP$392,$D525,0)))</f>
        <v/>
      </c>
      <c r="AO525" s="35">
        <f>IF(SpotPow="Yes",INDEX(AO$381:AO$392,$D525),_xlfn.AGGREGATE(1,6,INDEX(AM$381:AQ$392,$D525,0)))</f>
        <v/>
      </c>
      <c r="AP525" s="35">
        <f>IF(SpotPow="Yes",INDEX(AP$381:AP$392,$D525),_xlfn.AGGREGATE(1,6,INDEX(AN$381:AR$392,$D525,0)))</f>
        <v/>
      </c>
      <c r="AQ525" s="35">
        <f>IF(SpotPow="Yes",INDEX(AQ$381:AQ$392,$D525),_xlfn.AGGREGATE(1,6,INDEX(AO$381:AS$392,$D525,0)))</f>
        <v/>
      </c>
      <c r="AR525" s="35">
        <f>IF(SpotPow="Yes",INDEX(AR$381:AR$392,$D525),_xlfn.AGGREGATE(1,6,INDEX(AP$381:AT$392,$D525,0)))</f>
        <v/>
      </c>
      <c r="AS525" s="35">
        <f>IF(SpotPow="Yes",INDEX(AS$381:AS$392,$D525),_xlfn.AGGREGATE(1,6,INDEX(AQ$381:AU$392,$D525,0)))</f>
        <v/>
      </c>
      <c r="AT525" s="35">
        <f>IF(SpotPow="Yes",INDEX(AT$381:AT$392,$D525),_xlfn.AGGREGATE(1,6,INDEX(AR$381:AV$392,$D525,0)))</f>
        <v/>
      </c>
      <c r="AU525" s="35">
        <f>IF(SpotPow="Yes",INDEX(AU$381:AU$392,$D525),_xlfn.AGGREGATE(1,6,INDEX(AS$381:AW$392,$D525,0)))</f>
        <v/>
      </c>
      <c r="AV525" s="35">
        <f>IF(SpotPow="Yes",INDEX(AV$381:AV$392,$D525),_xlfn.AGGREGATE(1,6,INDEX(AT$381:AX$392,$D525,0)))</f>
        <v/>
      </c>
      <c r="AW525" s="35">
        <f>IF(SpotPow="Yes",INDEX(AW$381:AW$392,$D525),_xlfn.AGGREGATE(1,6,INDEX(AU$381:AY$392,$D525,0)))</f>
        <v/>
      </c>
      <c r="AX525" s="35">
        <f>IF(SpotPow="Yes",INDEX(AX$381:AX$392,$D525),_xlfn.AGGREGATE(1,6,INDEX(AV$381:AZ$392,$D525,0)))</f>
        <v/>
      </c>
      <c r="AY525" s="35">
        <f>IF(SpotPow="Yes",INDEX(AY$381:AY$392,$D525),_xlfn.AGGREGATE(1,6,INDEX(AW$381:BA$392,$D525,0)))</f>
        <v/>
      </c>
      <c r="AZ525" s="35">
        <f>IF(SpotPow="Yes",INDEX(AZ$381:AZ$392,$D525),_xlfn.AGGREGATE(1,6,INDEX(AX$381:BB$392,$D525,0)))</f>
        <v/>
      </c>
      <c r="BA525" s="42">
        <f>POWFUELPRICE(SpotPow,INDEX(BA$381:BA$392,$D525),INDEX(AY$381:BC$392,$D525,0))</f>
        <v/>
      </c>
    </row>
    <row r="526" hidden="1" outlineLevel="1">
      <c r="A526" s="14" t="inlineStr">
        <is>
          <t>fpp</t>
        </is>
      </c>
      <c r="B526" s="14" t="inlineStr">
        <is>
          <t>ore</t>
        </is>
      </c>
      <c r="C526" s="14" t="inlineStr">
        <is>
          <t>pow</t>
        </is>
      </c>
      <c r="D526" s="45">
        <f>INDEX(Inputs_power!$X$5:$X$13,MATCH($B526,Inputs_power!$A$5:$A$13,0))</f>
        <v/>
      </c>
      <c r="E526" s="39" t="n"/>
      <c r="F526" s="39" t="n"/>
      <c r="G526" s="39" t="n"/>
      <c r="H526" s="14">
        <f>INDEX(VarLab,MATCH($A526,VarKey,0))&amp;INDEX(MemLab,MATCH($C526&amp;"|"&amp;$B526,MemKey,0))</f>
        <v/>
      </c>
      <c r="I526" s="14">
        <f>INDEX(VarUnit,MATCH($A526,VarKey,0))</f>
        <v/>
      </c>
      <c r="J526" s="14">
        <f>INDEX(VarSrc,MATCH($A526,VarKey,0))</f>
        <v/>
      </c>
      <c r="K526" s="11">
        <f>CodePrefix&amp;$A526&amp;IF($C526="","","."&amp;$C526&amp;"."&amp;$B526)&amp;INDEX(VarEnd,MATCH($A526,VarKey,0))&amp;K$5</f>
        <v/>
      </c>
      <c r="L526" s="40">
        <f>IF(SpotPow="Yes",INDEX(L$381:L$392,$D526),_xlfn.AGGREGATE(1,6,INDEX(J$381:N$392,$D526,0)))</f>
        <v/>
      </c>
      <c r="M526" s="35">
        <f>IF(SpotPow="Yes",INDEX(M$381:M$392,$D526),_xlfn.AGGREGATE(1,6,INDEX(K$381:O$392,$D526,0)))</f>
        <v/>
      </c>
      <c r="N526" s="35">
        <f>IF(SpotPow="Yes",INDEX(N$381:N$392,$D526),_xlfn.AGGREGATE(1,6,INDEX(L$381:P$392,$D526,0)))</f>
        <v/>
      </c>
      <c r="O526" s="35">
        <f>IF(SpotPow="Yes",INDEX(O$381:O$392,$D526),_xlfn.AGGREGATE(1,6,INDEX(M$381:Q$392,$D526,0)))</f>
        <v/>
      </c>
      <c r="P526" s="35">
        <f>IF(SpotPow="Yes",INDEX(P$381:P$392,$D526),_xlfn.AGGREGATE(1,6,INDEX(N$381:R$392,$D526,0)))</f>
        <v/>
      </c>
      <c r="Q526" s="35">
        <f>IF(SpotPow="Yes",INDEX(Q$381:Q$392,$D526),_xlfn.AGGREGATE(1,6,INDEX(O$381:S$392,$D526,0)))</f>
        <v/>
      </c>
      <c r="R526" s="35">
        <f>IF(SpotPow="Yes",INDEX(R$381:R$392,$D526),_xlfn.AGGREGATE(1,6,INDEX(P$381:T$392,$D526,0)))</f>
        <v/>
      </c>
      <c r="S526" s="35">
        <f>IF(SpotPow="Yes",INDEX(S$381:S$392,$D526),_xlfn.AGGREGATE(1,6,INDEX(Q$381:U$392,$D526,0)))</f>
        <v/>
      </c>
      <c r="T526" s="35">
        <f>IF(SpotPow="Yes",INDEX(T$381:T$392,$D526),_xlfn.AGGREGATE(1,6,INDEX(R$381:V$392,$D526,0)))</f>
        <v/>
      </c>
      <c r="U526" s="35">
        <f>IF(SpotPow="Yes",INDEX(U$381:U$392,$D526),_xlfn.AGGREGATE(1,6,INDEX(S$381:W$392,$D526,0)))</f>
        <v/>
      </c>
      <c r="V526" s="35">
        <f>IF(SpotPow="Yes",INDEX(V$381:V$392,$D526),_xlfn.AGGREGATE(1,6,INDEX(T$381:X$392,$D526,0)))</f>
        <v/>
      </c>
      <c r="W526" s="35">
        <f>IF(SpotPow="Yes",INDEX(W$381:W$392,$D526),_xlfn.AGGREGATE(1,6,INDEX(U$381:Y$392,$D526,0)))</f>
        <v/>
      </c>
      <c r="X526" s="35">
        <f>IF(SpotPow="Yes",INDEX(X$381:X$392,$D526),_xlfn.AGGREGATE(1,6,INDEX(V$381:Z$392,$D526,0)))</f>
        <v/>
      </c>
      <c r="Y526" s="35">
        <f>IF(SpotPow="Yes",INDEX(Y$381:Y$392,$D526),_xlfn.AGGREGATE(1,6,INDEX(W$381:AA$392,$D526,0)))</f>
        <v/>
      </c>
      <c r="Z526" s="35">
        <f>IF(SpotPow="Yes",INDEX(Z$381:Z$392,$D526),_xlfn.AGGREGATE(1,6,INDEX(X$381:AB$392,$D526,0)))</f>
        <v/>
      </c>
      <c r="AA526" s="35">
        <f>IF(SpotPow="Yes",INDEX(AA$381:AA$392,$D526),_xlfn.AGGREGATE(1,6,INDEX(Y$381:AC$392,$D526,0)))</f>
        <v/>
      </c>
      <c r="AB526" s="35">
        <f>IF(SpotPow="Yes",INDEX(AB$381:AB$392,$D526),_xlfn.AGGREGATE(1,6,INDEX(Z$381:AD$392,$D526,0)))</f>
        <v/>
      </c>
      <c r="AC526" s="35">
        <f>IF(SpotPow="Yes",INDEX(AC$381:AC$392,$D526),_xlfn.AGGREGATE(1,6,INDEX(AA$381:AE$392,$D526,0)))</f>
        <v/>
      </c>
      <c r="AD526" s="35">
        <f>IF(SpotPow="Yes",INDEX(AD$381:AD$392,$D526),_xlfn.AGGREGATE(1,6,INDEX(AB$381:AF$392,$D526,0)))</f>
        <v/>
      </c>
      <c r="AE526" s="42">
        <f>POWFUELPRICE(SpotPow,INDEX(AE$381:AE$392,$D526),INDEX(AC$381:AG$392,$D526,0))</f>
        <v/>
      </c>
      <c r="AG526" s="11">
        <f>CodePrefix&amp;$A526&amp;IF($C526="","","."&amp;$C526&amp;"."&amp;$B526)&amp;INDEX(VarEnd,MATCH($A526,VarKey,0))&amp;AG$5</f>
        <v/>
      </c>
      <c r="AH526" s="40">
        <f>IF(SpotPow="Yes",INDEX(AH$381:AH$392,$D526),_xlfn.AGGREGATE(1,6,INDEX(AF$381:AJ$392,$D526,0)))</f>
        <v/>
      </c>
      <c r="AI526" s="35">
        <f>IF(SpotPow="Yes",INDEX(AI$381:AI$392,$D526),_xlfn.AGGREGATE(1,6,INDEX(AG$381:AK$392,$D526,0)))</f>
        <v/>
      </c>
      <c r="AJ526" s="35">
        <f>IF(SpotPow="Yes",INDEX(AJ$381:AJ$392,$D526),_xlfn.AGGREGATE(1,6,INDEX(AH$381:AL$392,$D526,0)))</f>
        <v/>
      </c>
      <c r="AK526" s="35">
        <f>IF(SpotPow="Yes",INDEX(AK$381:AK$392,$D526),_xlfn.AGGREGATE(1,6,INDEX(AI$381:AM$392,$D526,0)))</f>
        <v/>
      </c>
      <c r="AL526" s="35">
        <f>IF(SpotPow="Yes",INDEX(AL$381:AL$392,$D526),_xlfn.AGGREGATE(1,6,INDEX(AJ$381:AN$392,$D526,0)))</f>
        <v/>
      </c>
      <c r="AM526" s="35">
        <f>IF(SpotPow="Yes",INDEX(AM$381:AM$392,$D526),_xlfn.AGGREGATE(1,6,INDEX(AK$381:AO$392,$D526,0)))</f>
        <v/>
      </c>
      <c r="AN526" s="35">
        <f>IF(SpotPow="Yes",INDEX(AN$381:AN$392,$D526),_xlfn.AGGREGATE(1,6,INDEX(AL$381:AP$392,$D526,0)))</f>
        <v/>
      </c>
      <c r="AO526" s="35">
        <f>IF(SpotPow="Yes",INDEX(AO$381:AO$392,$D526),_xlfn.AGGREGATE(1,6,INDEX(AM$381:AQ$392,$D526,0)))</f>
        <v/>
      </c>
      <c r="AP526" s="35">
        <f>IF(SpotPow="Yes",INDEX(AP$381:AP$392,$D526),_xlfn.AGGREGATE(1,6,INDEX(AN$381:AR$392,$D526,0)))</f>
        <v/>
      </c>
      <c r="AQ526" s="35">
        <f>IF(SpotPow="Yes",INDEX(AQ$381:AQ$392,$D526),_xlfn.AGGREGATE(1,6,INDEX(AO$381:AS$392,$D526,0)))</f>
        <v/>
      </c>
      <c r="AR526" s="35">
        <f>IF(SpotPow="Yes",INDEX(AR$381:AR$392,$D526),_xlfn.AGGREGATE(1,6,INDEX(AP$381:AT$392,$D526,0)))</f>
        <v/>
      </c>
      <c r="AS526" s="35">
        <f>IF(SpotPow="Yes",INDEX(AS$381:AS$392,$D526),_xlfn.AGGREGATE(1,6,INDEX(AQ$381:AU$392,$D526,0)))</f>
        <v/>
      </c>
      <c r="AT526" s="35">
        <f>IF(SpotPow="Yes",INDEX(AT$381:AT$392,$D526),_xlfn.AGGREGATE(1,6,INDEX(AR$381:AV$392,$D526,0)))</f>
        <v/>
      </c>
      <c r="AU526" s="35">
        <f>IF(SpotPow="Yes",INDEX(AU$381:AU$392,$D526),_xlfn.AGGREGATE(1,6,INDEX(AS$381:AW$392,$D526,0)))</f>
        <v/>
      </c>
      <c r="AV526" s="35">
        <f>IF(SpotPow="Yes",INDEX(AV$381:AV$392,$D526),_xlfn.AGGREGATE(1,6,INDEX(AT$381:AX$392,$D526,0)))</f>
        <v/>
      </c>
      <c r="AW526" s="35">
        <f>IF(SpotPow="Yes",INDEX(AW$381:AW$392,$D526),_xlfn.AGGREGATE(1,6,INDEX(AU$381:AY$392,$D526,0)))</f>
        <v/>
      </c>
      <c r="AX526" s="35">
        <f>IF(SpotPow="Yes",INDEX(AX$381:AX$392,$D526),_xlfn.AGGREGATE(1,6,INDEX(AV$381:AZ$392,$D526,0)))</f>
        <v/>
      </c>
      <c r="AY526" s="35">
        <f>IF(SpotPow="Yes",INDEX(AY$381:AY$392,$D526),_xlfn.AGGREGATE(1,6,INDEX(AW$381:BA$392,$D526,0)))</f>
        <v/>
      </c>
      <c r="AZ526" s="35">
        <f>IF(SpotPow="Yes",INDEX(AZ$381:AZ$392,$D526),_xlfn.AGGREGATE(1,6,INDEX(AX$381:BB$392,$D526,0)))</f>
        <v/>
      </c>
      <c r="BA526" s="42">
        <f>POWFUELPRICE(SpotPow,INDEX(BA$381:BA$392,$D526),INDEX(AY$381:BC$392,$D526,0))</f>
        <v/>
      </c>
    </row>
    <row r="527" hidden="1" outlineLevel="1">
      <c r="A527" s="14" t="inlineStr">
        <is>
          <t>fpp</t>
        </is>
      </c>
      <c r="B527" s="14" t="inlineStr">
        <is>
          <t>bio</t>
        </is>
      </c>
      <c r="C527" s="14" t="inlineStr">
        <is>
          <t>pow</t>
        </is>
      </c>
      <c r="D527" s="45">
        <f>INDEX(Inputs_power!$X$5:$X$13,MATCH($B527,Inputs_power!$A$5:$A$13,0))</f>
        <v/>
      </c>
      <c r="E527" s="39" t="n"/>
      <c r="F527" s="39" t="n"/>
      <c r="G527" s="39" t="n"/>
      <c r="H527" s="14">
        <f>INDEX(VarLab,MATCH($A527,VarKey,0))&amp;INDEX(MemLab,MATCH($C527&amp;"|"&amp;$B527,MemKey,0))</f>
        <v/>
      </c>
      <c r="I527" s="14">
        <f>INDEX(VarUnit,MATCH($A527,VarKey,0))</f>
        <v/>
      </c>
      <c r="J527" s="14">
        <f>INDEX(VarSrc,MATCH($A527,VarKey,0))</f>
        <v/>
      </c>
      <c r="K527" s="11">
        <f>CodePrefix&amp;$A527&amp;IF($C527="","","."&amp;$C527&amp;"."&amp;$B527)&amp;INDEX(VarEnd,MATCH($A527,VarKey,0))&amp;K$5</f>
        <v/>
      </c>
      <c r="L527" s="40">
        <f>IF(SpotPow="Yes",INDEX(L$381:L$392,$D527),_xlfn.AGGREGATE(1,6,INDEX(J$381:N$392,$D527,0)))</f>
        <v/>
      </c>
      <c r="M527" s="35">
        <f>IF(SpotPow="Yes",INDEX(M$381:M$392,$D527),_xlfn.AGGREGATE(1,6,INDEX(K$381:O$392,$D527,0)))</f>
        <v/>
      </c>
      <c r="N527" s="35">
        <f>IF(SpotPow="Yes",INDEX(N$381:N$392,$D527),_xlfn.AGGREGATE(1,6,INDEX(L$381:P$392,$D527,0)))</f>
        <v/>
      </c>
      <c r="O527" s="35">
        <f>IF(SpotPow="Yes",INDEX(O$381:O$392,$D527),_xlfn.AGGREGATE(1,6,INDEX(M$381:Q$392,$D527,0)))</f>
        <v/>
      </c>
      <c r="P527" s="35">
        <f>IF(SpotPow="Yes",INDEX(P$381:P$392,$D527),_xlfn.AGGREGATE(1,6,INDEX(N$381:R$392,$D527,0)))</f>
        <v/>
      </c>
      <c r="Q527" s="35">
        <f>IF(SpotPow="Yes",INDEX(Q$381:Q$392,$D527),_xlfn.AGGREGATE(1,6,INDEX(O$381:S$392,$D527,0)))</f>
        <v/>
      </c>
      <c r="R527" s="35">
        <f>IF(SpotPow="Yes",INDEX(R$381:R$392,$D527),_xlfn.AGGREGATE(1,6,INDEX(P$381:T$392,$D527,0)))</f>
        <v/>
      </c>
      <c r="S527" s="35">
        <f>IF(SpotPow="Yes",INDEX(S$381:S$392,$D527),_xlfn.AGGREGATE(1,6,INDEX(Q$381:U$392,$D527,0)))</f>
        <v/>
      </c>
      <c r="T527" s="35">
        <f>IF(SpotPow="Yes",INDEX(T$381:T$392,$D527),_xlfn.AGGREGATE(1,6,INDEX(R$381:V$392,$D527,0)))</f>
        <v/>
      </c>
      <c r="U527" s="35">
        <f>IF(SpotPow="Yes",INDEX(U$381:U$392,$D527),_xlfn.AGGREGATE(1,6,INDEX(S$381:W$392,$D527,0)))</f>
        <v/>
      </c>
      <c r="V527" s="35">
        <f>IF(SpotPow="Yes",INDEX(V$381:V$392,$D527),_xlfn.AGGREGATE(1,6,INDEX(T$381:X$392,$D527,0)))</f>
        <v/>
      </c>
      <c r="W527" s="35">
        <f>IF(SpotPow="Yes",INDEX(W$381:W$392,$D527),_xlfn.AGGREGATE(1,6,INDEX(U$381:Y$392,$D527,0)))</f>
        <v/>
      </c>
      <c r="X527" s="35">
        <f>IF(SpotPow="Yes",INDEX(X$381:X$392,$D527),_xlfn.AGGREGATE(1,6,INDEX(V$381:Z$392,$D527,0)))</f>
        <v/>
      </c>
      <c r="Y527" s="35">
        <f>IF(SpotPow="Yes",INDEX(Y$381:Y$392,$D527),_xlfn.AGGREGATE(1,6,INDEX(W$381:AA$392,$D527,0)))</f>
        <v/>
      </c>
      <c r="Z527" s="35">
        <f>IF(SpotPow="Yes",INDEX(Z$381:Z$392,$D527),_xlfn.AGGREGATE(1,6,INDEX(X$381:AB$392,$D527,0)))</f>
        <v/>
      </c>
      <c r="AA527" s="35">
        <f>IF(SpotPow="Yes",INDEX(AA$381:AA$392,$D527),_xlfn.AGGREGATE(1,6,INDEX(Y$381:AC$392,$D527,0)))</f>
        <v/>
      </c>
      <c r="AB527" s="35">
        <f>IF(SpotPow="Yes",INDEX(AB$381:AB$392,$D527),_xlfn.AGGREGATE(1,6,INDEX(Z$381:AD$392,$D527,0)))</f>
        <v/>
      </c>
      <c r="AC527" s="35">
        <f>IF(SpotPow="Yes",INDEX(AC$381:AC$392,$D527),_xlfn.AGGREGATE(1,6,INDEX(AA$381:AE$392,$D527,0)))</f>
        <v/>
      </c>
      <c r="AD527" s="35">
        <f>IF(SpotPow="Yes",INDEX(AD$381:AD$392,$D527),_xlfn.AGGREGATE(1,6,INDEX(AB$381:AF$392,$D527,0)))</f>
        <v/>
      </c>
      <c r="AE527" s="42">
        <f>POWFUELPRICE(SpotPow,INDEX(AE$381:AE$392,$D527),INDEX(AC$381:AG$392,$D527,0))</f>
        <v/>
      </c>
      <c r="AG527" s="11">
        <f>CodePrefix&amp;$A527&amp;IF($C527="","","."&amp;$C527&amp;"."&amp;$B527)&amp;INDEX(VarEnd,MATCH($A527,VarKey,0))&amp;AG$5</f>
        <v/>
      </c>
      <c r="AH527" s="40">
        <f>IF(SpotPow="Yes",INDEX(AH$381:AH$392,$D527),_xlfn.AGGREGATE(1,6,INDEX(AF$381:AJ$392,$D527,0)))</f>
        <v/>
      </c>
      <c r="AI527" s="35">
        <f>IF(SpotPow="Yes",INDEX(AI$381:AI$392,$D527),_xlfn.AGGREGATE(1,6,INDEX(AG$381:AK$392,$D527,0)))</f>
        <v/>
      </c>
      <c r="AJ527" s="35">
        <f>IF(SpotPow="Yes",INDEX(AJ$381:AJ$392,$D527),_xlfn.AGGREGATE(1,6,INDEX(AH$381:AL$392,$D527,0)))</f>
        <v/>
      </c>
      <c r="AK527" s="35">
        <f>IF(SpotPow="Yes",INDEX(AK$381:AK$392,$D527),_xlfn.AGGREGATE(1,6,INDEX(AI$381:AM$392,$D527,0)))</f>
        <v/>
      </c>
      <c r="AL527" s="35">
        <f>IF(SpotPow="Yes",INDEX(AL$381:AL$392,$D527),_xlfn.AGGREGATE(1,6,INDEX(AJ$381:AN$392,$D527,0)))</f>
        <v/>
      </c>
      <c r="AM527" s="35">
        <f>IF(SpotPow="Yes",INDEX(AM$381:AM$392,$D527),_xlfn.AGGREGATE(1,6,INDEX(AK$381:AO$392,$D527,0)))</f>
        <v/>
      </c>
      <c r="AN527" s="35">
        <f>IF(SpotPow="Yes",INDEX(AN$381:AN$392,$D527),_xlfn.AGGREGATE(1,6,INDEX(AL$381:AP$392,$D527,0)))</f>
        <v/>
      </c>
      <c r="AO527" s="35">
        <f>IF(SpotPow="Yes",INDEX(AO$381:AO$392,$D527),_xlfn.AGGREGATE(1,6,INDEX(AM$381:AQ$392,$D527,0)))</f>
        <v/>
      </c>
      <c r="AP527" s="35">
        <f>IF(SpotPow="Yes",INDEX(AP$381:AP$392,$D527),_xlfn.AGGREGATE(1,6,INDEX(AN$381:AR$392,$D527,0)))</f>
        <v/>
      </c>
      <c r="AQ527" s="35">
        <f>IF(SpotPow="Yes",INDEX(AQ$381:AQ$392,$D527),_xlfn.AGGREGATE(1,6,INDEX(AO$381:AS$392,$D527,0)))</f>
        <v/>
      </c>
      <c r="AR527" s="35">
        <f>IF(SpotPow="Yes",INDEX(AR$381:AR$392,$D527),_xlfn.AGGREGATE(1,6,INDEX(AP$381:AT$392,$D527,0)))</f>
        <v/>
      </c>
      <c r="AS527" s="35">
        <f>IF(SpotPow="Yes",INDEX(AS$381:AS$392,$D527),_xlfn.AGGREGATE(1,6,INDEX(AQ$381:AU$392,$D527,0)))</f>
        <v/>
      </c>
      <c r="AT527" s="35">
        <f>IF(SpotPow="Yes",INDEX(AT$381:AT$392,$D527),_xlfn.AGGREGATE(1,6,INDEX(AR$381:AV$392,$D527,0)))</f>
        <v/>
      </c>
      <c r="AU527" s="35">
        <f>IF(SpotPow="Yes",INDEX(AU$381:AU$392,$D527),_xlfn.AGGREGATE(1,6,INDEX(AS$381:AW$392,$D527,0)))</f>
        <v/>
      </c>
      <c r="AV527" s="35">
        <f>IF(SpotPow="Yes",INDEX(AV$381:AV$392,$D527),_xlfn.AGGREGATE(1,6,INDEX(AT$381:AX$392,$D527,0)))</f>
        <v/>
      </c>
      <c r="AW527" s="35">
        <f>IF(SpotPow="Yes",INDEX(AW$381:AW$392,$D527),_xlfn.AGGREGATE(1,6,INDEX(AU$381:AY$392,$D527,0)))</f>
        <v/>
      </c>
      <c r="AX527" s="35">
        <f>IF(SpotPow="Yes",INDEX(AX$381:AX$392,$D527),_xlfn.AGGREGATE(1,6,INDEX(AV$381:AZ$392,$D527,0)))</f>
        <v/>
      </c>
      <c r="AY527" s="35">
        <f>IF(SpotPow="Yes",INDEX(AY$381:AY$392,$D527),_xlfn.AGGREGATE(1,6,INDEX(AW$381:BA$392,$D527,0)))</f>
        <v/>
      </c>
      <c r="AZ527" s="35">
        <f>IF(SpotPow="Yes",INDEX(AZ$381:AZ$392,$D527),_xlfn.AGGREGATE(1,6,INDEX(AX$381:BB$392,$D527,0)))</f>
        <v/>
      </c>
      <c r="BA527" s="42">
        <f>POWFUELPRICE(SpotPow,INDEX(BA$381:BA$392,$D527),INDEX(AY$381:BC$392,$D527,0))</f>
        <v/>
      </c>
    </row>
    <row r="528" hidden="1" outlineLevel="1"/>
    <row r="529" hidden="1" outlineLevel="1">
      <c r="A529" s="14" t="inlineStr">
        <is>
          <t>xck</t>
        </is>
      </c>
      <c r="B529" s="14" t="inlineStr">
        <is>
          <t>coa</t>
        </is>
      </c>
      <c r="C529" s="14" t="inlineStr">
        <is>
          <t>pow</t>
        </is>
      </c>
      <c r="D529" s="45">
        <f>INDEX(Inputs_power!$Z$5:$Z$13,MATCH($B529,Inputs_power!$A$5:$A$13,0))</f>
        <v/>
      </c>
      <c r="E529" s="45">
        <f>INDEX(Inputs_power!$AU$5:$AU$13,MATCH($B529,Inputs_power!$A$5:$A$13,0))</f>
        <v/>
      </c>
      <c r="F529" s="45">
        <f>INDEX(Inputs_power!$AV$5:$AV$13,MATCH($B529,Inputs_power!$A$5:$A$13,0))</f>
        <v/>
      </c>
      <c r="G529" s="39" t="n"/>
      <c r="H529" s="14">
        <f>INDEX(VarLab,MATCH($A529,VarKey,0))&amp;INDEX(MemLab,MATCH($C529&amp;"|"&amp;$B529,MemKey,0))</f>
        <v/>
      </c>
      <c r="I529" s="14">
        <f>INDEX(VarUnit,MATCH($A529,VarKey,0))</f>
        <v/>
      </c>
      <c r="J529" s="14">
        <f>INDEX(VarSrc,MATCH($A529,VarKey,0))</f>
        <v/>
      </c>
      <c r="K529" s="11">
        <f>CodePrefix&amp;$A529&amp;IF($C529="","","."&amp;$C529&amp;"."&amp;$B529)&amp;INDEX(VarEnd,MATCH($A529,VarKey,0))&amp;K$5</f>
        <v/>
      </c>
      <c r="L529" s="50">
        <f>$D529*($E529*(L$321-L$322)+$F529*(L$324-L$325))</f>
        <v/>
      </c>
      <c r="M529" s="51">
        <f>$D529*($E529*(M$321-M$322)+$F529*(M$324-M$325))</f>
        <v/>
      </c>
      <c r="N529" s="51">
        <f>$D529*($E529*(N$321-N$322)+$F529*(N$324-N$325))</f>
        <v/>
      </c>
      <c r="O529" s="51">
        <f>$D529*($E529*(O$321-O$322)+$F529*(O$324-O$325))</f>
        <v/>
      </c>
      <c r="P529" s="51">
        <f>$D529*($E529*(P$321-P$322)+$F529*(P$324-P$325))</f>
        <v/>
      </c>
      <c r="Q529" s="51">
        <f>$D529*($E529*(Q$321-Q$322)+$F529*(Q$324-Q$325))</f>
        <v/>
      </c>
      <c r="R529" s="51">
        <f>$D529*($E529*(R$321-R$322)+$F529*(R$324-R$325))</f>
        <v/>
      </c>
      <c r="S529" s="51">
        <f>$D529*($E529*(S$321-S$322)+$F529*(S$324-S$325))</f>
        <v/>
      </c>
      <c r="T529" s="51">
        <f>$D529*($E529*(T$321-T$322)+$F529*(T$324-T$325))</f>
        <v/>
      </c>
      <c r="U529" s="51">
        <f>$D529*($E529*(U$321-U$322)+$F529*(U$324-U$325))</f>
        <v/>
      </c>
      <c r="V529" s="51">
        <f>$D529*($E529*(V$321-V$322)+$F529*(V$324-V$325))</f>
        <v/>
      </c>
      <c r="W529" s="51">
        <f>$D529*($E529*(W$321-W$322)+$F529*(W$324-W$325))</f>
        <v/>
      </c>
      <c r="X529" s="51">
        <f>$D529*($E529*(X$321-X$322)+$F529*(X$324-X$325))</f>
        <v/>
      </c>
      <c r="Y529" s="51">
        <f>$D529*($E529*(Y$321-Y$322)+$F529*(Y$324-Y$325))</f>
        <v/>
      </c>
      <c r="Z529" s="51">
        <f>$D529*($E529*(Z$321-Z$322)+$F529*(Z$324-Z$325))</f>
        <v/>
      </c>
      <c r="AA529" s="51">
        <f>$D529*($E529*(AA$321-AA$322)+$F529*(AA$324-AA$325))</f>
        <v/>
      </c>
      <c r="AB529" s="51">
        <f>$D529*($E529*(AB$321-AB$322)+$F529*(AB$324-AB$325))</f>
        <v/>
      </c>
      <c r="AC529" s="51">
        <f>$D529*($E529*(AC$321-AC$322)+$F529*(AC$324-AC$325))</f>
        <v/>
      </c>
      <c r="AD529" s="51">
        <f>$D529*($E529*(AD$321-AD$322)+$F529*(AD$324-AD$325))</f>
        <v/>
      </c>
      <c r="AE529" s="52">
        <f>XCARBON($D529,$E529,(AE$321-AE$322),$F529,(AE$324-AE$325))</f>
        <v/>
      </c>
      <c r="AG529" s="11">
        <f>CodePrefix&amp;$A529&amp;IF($C529="","","."&amp;$C529&amp;"."&amp;$B529)&amp;INDEX(VarEnd,MATCH($A529,VarKey,0))&amp;AG$5</f>
        <v/>
      </c>
      <c r="AH529" s="50">
        <f>$D529*($E529*(AH$321-AH$322)+$F529*(AH$324-AH$325))</f>
        <v/>
      </c>
      <c r="AI529" s="51">
        <f>$D529*($E529*(AI$321-AI$322)+$F529*(AI$324-AI$325))</f>
        <v/>
      </c>
      <c r="AJ529" s="51">
        <f>$D529*($E529*(AJ$321-AJ$322)+$F529*(AJ$324-AJ$325))</f>
        <v/>
      </c>
      <c r="AK529" s="51">
        <f>$D529*($E529*(AK$321-AK$322)+$F529*(AK$324-AK$325))</f>
        <v/>
      </c>
      <c r="AL529" s="51">
        <f>$D529*($E529*(AL$321-AL$322)+$F529*(AL$324-AL$325))</f>
        <v/>
      </c>
      <c r="AM529" s="51">
        <f>$D529*($E529*(AM$321-AM$322)+$F529*(AM$324-AM$325))</f>
        <v/>
      </c>
      <c r="AN529" s="51">
        <f>$D529*($E529*(AN$321-AN$322)+$F529*(AN$324-AN$325))</f>
        <v/>
      </c>
      <c r="AO529" s="51">
        <f>$D529*($E529*(AO$321-AO$322)+$F529*(AO$324-AO$325))</f>
        <v/>
      </c>
      <c r="AP529" s="51">
        <f>$D529*($E529*(AP$321-AP$322)+$F529*(AP$324-AP$325))</f>
        <v/>
      </c>
      <c r="AQ529" s="51">
        <f>$D529*($E529*(AQ$321-AQ$322)+$F529*(AQ$324-AQ$325))</f>
        <v/>
      </c>
      <c r="AR529" s="51">
        <f>$D529*($E529*(AR$321-AR$322)+$F529*(AR$324-AR$325))</f>
        <v/>
      </c>
      <c r="AS529" s="51">
        <f>$D529*($E529*(AS$321-AS$322)+$F529*(AS$324-AS$325))</f>
        <v/>
      </c>
      <c r="AT529" s="51">
        <f>$D529*($E529*(AT$321-AT$322)+$F529*(AT$324-AT$325))</f>
        <v/>
      </c>
      <c r="AU529" s="51">
        <f>$D529*($E529*(AU$321-AU$322)+$F529*(AU$324-AU$325))</f>
        <v/>
      </c>
      <c r="AV529" s="51">
        <f>$D529*($E529*(AV$321-AV$322)+$F529*(AV$324-AV$325))</f>
        <v/>
      </c>
      <c r="AW529" s="51">
        <f>$D529*($E529*(AW$321-AW$322)+$F529*(AW$324-AW$325))</f>
        <v/>
      </c>
      <c r="AX529" s="51">
        <f>$D529*($E529*(AX$321-AX$322)+$F529*(AX$324-AX$325))</f>
        <v/>
      </c>
      <c r="AY529" s="51">
        <f>$D529*($E529*(AY$321-AY$322)+$F529*(AY$324-AY$325))</f>
        <v/>
      </c>
      <c r="AZ529" s="51">
        <f>$D529*($E529*(AZ$321-AZ$322)+$F529*(AZ$324-AZ$325))</f>
        <v/>
      </c>
      <c r="BA529" s="52">
        <f>XCARBON($D529,$E529,(BA$321-BA$322),$F529,(BA$324-BA$325))</f>
        <v/>
      </c>
    </row>
    <row r="530" hidden="1" outlineLevel="1">
      <c r="A530" s="14" t="inlineStr">
        <is>
          <t>xck</t>
        </is>
      </c>
      <c r="B530" s="14" t="inlineStr">
        <is>
          <t>nga</t>
        </is>
      </c>
      <c r="C530" s="14" t="inlineStr">
        <is>
          <t>pow</t>
        </is>
      </c>
      <c r="D530" s="45">
        <f>INDEX(Inputs_power!$Z$5:$Z$13,MATCH($B530,Inputs_power!$A$5:$A$13,0))</f>
        <v/>
      </c>
      <c r="E530" s="45">
        <f>INDEX(Inputs_power!$AU$5:$AU$13,MATCH($B530,Inputs_power!$A$5:$A$13,0))</f>
        <v/>
      </c>
      <c r="F530" s="45">
        <f>INDEX(Inputs_power!$AV$5:$AV$13,MATCH($B530,Inputs_power!$A$5:$A$13,0))</f>
        <v/>
      </c>
      <c r="G530" s="39" t="n"/>
      <c r="H530" s="14">
        <f>INDEX(VarLab,MATCH($A530,VarKey,0))&amp;INDEX(MemLab,MATCH($C530&amp;"|"&amp;$B530,MemKey,0))</f>
        <v/>
      </c>
      <c r="I530" s="14">
        <f>INDEX(VarUnit,MATCH($A530,VarKey,0))</f>
        <v/>
      </c>
      <c r="J530" s="14">
        <f>INDEX(VarSrc,MATCH($A530,VarKey,0))</f>
        <v/>
      </c>
      <c r="K530" s="11">
        <f>CodePrefix&amp;$A530&amp;IF($C530="","","."&amp;$C530&amp;"."&amp;$B530)&amp;INDEX(VarEnd,MATCH($A530,VarKey,0))&amp;K$5</f>
        <v/>
      </c>
      <c r="L530" s="50">
        <f>$D530*($E530*(L$321-L$322)+$F530*(L$324-L$325))</f>
        <v/>
      </c>
      <c r="M530" s="51">
        <f>$D530*($E530*(M$321-M$322)+$F530*(M$324-M$325))</f>
        <v/>
      </c>
      <c r="N530" s="51">
        <f>$D530*($E530*(N$321-N$322)+$F530*(N$324-N$325))</f>
        <v/>
      </c>
      <c r="O530" s="51">
        <f>$D530*($E530*(O$321-O$322)+$F530*(O$324-O$325))</f>
        <v/>
      </c>
      <c r="P530" s="51">
        <f>$D530*($E530*(P$321-P$322)+$F530*(P$324-P$325))</f>
        <v/>
      </c>
      <c r="Q530" s="51">
        <f>$D530*($E530*(Q$321-Q$322)+$F530*(Q$324-Q$325))</f>
        <v/>
      </c>
      <c r="R530" s="51">
        <f>$D530*($E530*(R$321-R$322)+$F530*(R$324-R$325))</f>
        <v/>
      </c>
      <c r="S530" s="51">
        <f>$D530*($E530*(S$321-S$322)+$F530*(S$324-S$325))</f>
        <v/>
      </c>
      <c r="T530" s="51">
        <f>$D530*($E530*(T$321-T$322)+$F530*(T$324-T$325))</f>
        <v/>
      </c>
      <c r="U530" s="51">
        <f>$D530*($E530*(U$321-U$322)+$F530*(U$324-U$325))</f>
        <v/>
      </c>
      <c r="V530" s="51">
        <f>$D530*($E530*(V$321-V$322)+$F530*(V$324-V$325))</f>
        <v/>
      </c>
      <c r="W530" s="51">
        <f>$D530*($E530*(W$321-W$322)+$F530*(W$324-W$325))</f>
        <v/>
      </c>
      <c r="X530" s="51">
        <f>$D530*($E530*(X$321-X$322)+$F530*(X$324-X$325))</f>
        <v/>
      </c>
      <c r="Y530" s="51">
        <f>$D530*($E530*(Y$321-Y$322)+$F530*(Y$324-Y$325))</f>
        <v/>
      </c>
      <c r="Z530" s="51">
        <f>$D530*($E530*(Z$321-Z$322)+$F530*(Z$324-Z$325))</f>
        <v/>
      </c>
      <c r="AA530" s="51">
        <f>$D530*($E530*(AA$321-AA$322)+$F530*(AA$324-AA$325))</f>
        <v/>
      </c>
      <c r="AB530" s="51">
        <f>$D530*($E530*(AB$321-AB$322)+$F530*(AB$324-AB$325))</f>
        <v/>
      </c>
      <c r="AC530" s="51">
        <f>$D530*($E530*(AC$321-AC$322)+$F530*(AC$324-AC$325))</f>
        <v/>
      </c>
      <c r="AD530" s="51">
        <f>$D530*($E530*(AD$321-AD$322)+$F530*(AD$324-AD$325))</f>
        <v/>
      </c>
      <c r="AE530" s="52">
        <f>XCARBON($D530,$E530,(AE$321-AE$322),$F530,(AE$324-AE$325))</f>
        <v/>
      </c>
      <c r="AG530" s="11">
        <f>CodePrefix&amp;$A530&amp;IF($C530="","","."&amp;$C530&amp;"."&amp;$B530)&amp;INDEX(VarEnd,MATCH($A530,VarKey,0))&amp;AG$5</f>
        <v/>
      </c>
      <c r="AH530" s="50">
        <f>$D530*($E530*(AH$321-AH$322)+$F530*(AH$324-AH$325))</f>
        <v/>
      </c>
      <c r="AI530" s="51">
        <f>$D530*($E530*(AI$321-AI$322)+$F530*(AI$324-AI$325))</f>
        <v/>
      </c>
      <c r="AJ530" s="51">
        <f>$D530*($E530*(AJ$321-AJ$322)+$F530*(AJ$324-AJ$325))</f>
        <v/>
      </c>
      <c r="AK530" s="51">
        <f>$D530*($E530*(AK$321-AK$322)+$F530*(AK$324-AK$325))</f>
        <v/>
      </c>
      <c r="AL530" s="51">
        <f>$D530*($E530*(AL$321-AL$322)+$F530*(AL$324-AL$325))</f>
        <v/>
      </c>
      <c r="AM530" s="51">
        <f>$D530*($E530*(AM$321-AM$322)+$F530*(AM$324-AM$325))</f>
        <v/>
      </c>
      <c r="AN530" s="51">
        <f>$D530*($E530*(AN$321-AN$322)+$F530*(AN$324-AN$325))</f>
        <v/>
      </c>
      <c r="AO530" s="51">
        <f>$D530*($E530*(AO$321-AO$322)+$F530*(AO$324-AO$325))</f>
        <v/>
      </c>
      <c r="AP530" s="51">
        <f>$D530*($E530*(AP$321-AP$322)+$F530*(AP$324-AP$325))</f>
        <v/>
      </c>
      <c r="AQ530" s="51">
        <f>$D530*($E530*(AQ$321-AQ$322)+$F530*(AQ$324-AQ$325))</f>
        <v/>
      </c>
      <c r="AR530" s="51">
        <f>$D530*($E530*(AR$321-AR$322)+$F530*(AR$324-AR$325))</f>
        <v/>
      </c>
      <c r="AS530" s="51">
        <f>$D530*($E530*(AS$321-AS$322)+$F530*(AS$324-AS$325))</f>
        <v/>
      </c>
      <c r="AT530" s="51">
        <f>$D530*($E530*(AT$321-AT$322)+$F530*(AT$324-AT$325))</f>
        <v/>
      </c>
      <c r="AU530" s="51">
        <f>$D530*($E530*(AU$321-AU$322)+$F530*(AU$324-AU$325))</f>
        <v/>
      </c>
      <c r="AV530" s="51">
        <f>$D530*($E530*(AV$321-AV$322)+$F530*(AV$324-AV$325))</f>
        <v/>
      </c>
      <c r="AW530" s="51">
        <f>$D530*($E530*(AW$321-AW$322)+$F530*(AW$324-AW$325))</f>
        <v/>
      </c>
      <c r="AX530" s="51">
        <f>$D530*($E530*(AX$321-AX$322)+$F530*(AX$324-AX$325))</f>
        <v/>
      </c>
      <c r="AY530" s="51">
        <f>$D530*($E530*(AY$321-AY$322)+$F530*(AY$324-AY$325))</f>
        <v/>
      </c>
      <c r="AZ530" s="51">
        <f>$D530*($E530*(AZ$321-AZ$322)+$F530*(AZ$324-AZ$325))</f>
        <v/>
      </c>
      <c r="BA530" s="52">
        <f>XCARBON($D530,$E530,(BA$321-BA$322),$F530,(BA$324-BA$325))</f>
        <v/>
      </c>
    </row>
    <row r="531" hidden="1" outlineLevel="1">
      <c r="A531" s="14" t="inlineStr">
        <is>
          <t>xck</t>
        </is>
      </c>
      <c r="B531" s="14" t="inlineStr">
        <is>
          <t>oop</t>
        </is>
      </c>
      <c r="C531" s="14" t="inlineStr">
        <is>
          <t>pow</t>
        </is>
      </c>
      <c r="D531" s="45">
        <f>INDEX(Inputs_power!$Z$5:$Z$13,MATCH($B531,Inputs_power!$A$5:$A$13,0))</f>
        <v/>
      </c>
      <c r="E531" s="45">
        <f>INDEX(Inputs_power!$AU$5:$AU$13,MATCH($B531,Inputs_power!$A$5:$A$13,0))</f>
        <v/>
      </c>
      <c r="F531" s="45">
        <f>INDEX(Inputs_power!$AV$5:$AV$13,MATCH($B531,Inputs_power!$A$5:$A$13,0))</f>
        <v/>
      </c>
      <c r="G531" s="39" t="n"/>
      <c r="H531" s="14">
        <f>INDEX(VarLab,MATCH($A531,VarKey,0))&amp;INDEX(MemLab,MATCH($C531&amp;"|"&amp;$B531,MemKey,0))</f>
        <v/>
      </c>
      <c r="I531" s="14">
        <f>INDEX(VarUnit,MATCH($A531,VarKey,0))</f>
        <v/>
      </c>
      <c r="J531" s="14">
        <f>INDEX(VarSrc,MATCH($A531,VarKey,0))</f>
        <v/>
      </c>
      <c r="K531" s="11">
        <f>CodePrefix&amp;$A531&amp;IF($C531="","","."&amp;$C531&amp;"."&amp;$B531)&amp;INDEX(VarEnd,MATCH($A531,VarKey,0))&amp;K$5</f>
        <v/>
      </c>
      <c r="L531" s="50">
        <f>$D531*($E531*(L$321-L$322)+$F531*(L$324-L$325))</f>
        <v/>
      </c>
      <c r="M531" s="51">
        <f>$D531*($E531*(M$321-M$322)+$F531*(M$324-M$325))</f>
        <v/>
      </c>
      <c r="N531" s="51">
        <f>$D531*($E531*(N$321-N$322)+$F531*(N$324-N$325))</f>
        <v/>
      </c>
      <c r="O531" s="51">
        <f>$D531*($E531*(O$321-O$322)+$F531*(O$324-O$325))</f>
        <v/>
      </c>
      <c r="P531" s="51">
        <f>$D531*($E531*(P$321-P$322)+$F531*(P$324-P$325))</f>
        <v/>
      </c>
      <c r="Q531" s="51">
        <f>$D531*($E531*(Q$321-Q$322)+$F531*(Q$324-Q$325))</f>
        <v/>
      </c>
      <c r="R531" s="51">
        <f>$D531*($E531*(R$321-R$322)+$F531*(R$324-R$325))</f>
        <v/>
      </c>
      <c r="S531" s="51">
        <f>$D531*($E531*(S$321-S$322)+$F531*(S$324-S$325))</f>
        <v/>
      </c>
      <c r="T531" s="51">
        <f>$D531*($E531*(T$321-T$322)+$F531*(T$324-T$325))</f>
        <v/>
      </c>
      <c r="U531" s="51">
        <f>$D531*($E531*(U$321-U$322)+$F531*(U$324-U$325))</f>
        <v/>
      </c>
      <c r="V531" s="51">
        <f>$D531*($E531*(V$321-V$322)+$F531*(V$324-V$325))</f>
        <v/>
      </c>
      <c r="W531" s="51">
        <f>$D531*($E531*(W$321-W$322)+$F531*(W$324-W$325))</f>
        <v/>
      </c>
      <c r="X531" s="51">
        <f>$D531*($E531*(X$321-X$322)+$F531*(X$324-X$325))</f>
        <v/>
      </c>
      <c r="Y531" s="51">
        <f>$D531*($E531*(Y$321-Y$322)+$F531*(Y$324-Y$325))</f>
        <v/>
      </c>
      <c r="Z531" s="51">
        <f>$D531*($E531*(Z$321-Z$322)+$F531*(Z$324-Z$325))</f>
        <v/>
      </c>
      <c r="AA531" s="51">
        <f>$D531*($E531*(AA$321-AA$322)+$F531*(AA$324-AA$325))</f>
        <v/>
      </c>
      <c r="AB531" s="51">
        <f>$D531*($E531*(AB$321-AB$322)+$F531*(AB$324-AB$325))</f>
        <v/>
      </c>
      <c r="AC531" s="51">
        <f>$D531*($E531*(AC$321-AC$322)+$F531*(AC$324-AC$325))</f>
        <v/>
      </c>
      <c r="AD531" s="51">
        <f>$D531*($E531*(AD$321-AD$322)+$F531*(AD$324-AD$325))</f>
        <v/>
      </c>
      <c r="AE531" s="52">
        <f>XCARBON($D531,$E531,(AE$321-AE$322),$F531,(AE$324-AE$325))</f>
        <v/>
      </c>
      <c r="AG531" s="11">
        <f>CodePrefix&amp;$A531&amp;IF($C531="","","."&amp;$C531&amp;"."&amp;$B531)&amp;INDEX(VarEnd,MATCH($A531,VarKey,0))&amp;AG$5</f>
        <v/>
      </c>
      <c r="AH531" s="50">
        <f>$D531*($E531*(AH$321-AH$322)+$F531*(AH$324-AH$325))</f>
        <v/>
      </c>
      <c r="AI531" s="51">
        <f>$D531*($E531*(AI$321-AI$322)+$F531*(AI$324-AI$325))</f>
        <v/>
      </c>
      <c r="AJ531" s="51">
        <f>$D531*($E531*(AJ$321-AJ$322)+$F531*(AJ$324-AJ$325))</f>
        <v/>
      </c>
      <c r="AK531" s="51">
        <f>$D531*($E531*(AK$321-AK$322)+$F531*(AK$324-AK$325))</f>
        <v/>
      </c>
      <c r="AL531" s="51">
        <f>$D531*($E531*(AL$321-AL$322)+$F531*(AL$324-AL$325))</f>
        <v/>
      </c>
      <c r="AM531" s="51">
        <f>$D531*($E531*(AM$321-AM$322)+$F531*(AM$324-AM$325))</f>
        <v/>
      </c>
      <c r="AN531" s="51">
        <f>$D531*($E531*(AN$321-AN$322)+$F531*(AN$324-AN$325))</f>
        <v/>
      </c>
      <c r="AO531" s="51">
        <f>$D531*($E531*(AO$321-AO$322)+$F531*(AO$324-AO$325))</f>
        <v/>
      </c>
      <c r="AP531" s="51">
        <f>$D531*($E531*(AP$321-AP$322)+$F531*(AP$324-AP$325))</f>
        <v/>
      </c>
      <c r="AQ531" s="51">
        <f>$D531*($E531*(AQ$321-AQ$322)+$F531*(AQ$324-AQ$325))</f>
        <v/>
      </c>
      <c r="AR531" s="51">
        <f>$D531*($E531*(AR$321-AR$322)+$F531*(AR$324-AR$325))</f>
        <v/>
      </c>
      <c r="AS531" s="51">
        <f>$D531*($E531*(AS$321-AS$322)+$F531*(AS$324-AS$325))</f>
        <v/>
      </c>
      <c r="AT531" s="51">
        <f>$D531*($E531*(AT$321-AT$322)+$F531*(AT$324-AT$325))</f>
        <v/>
      </c>
      <c r="AU531" s="51">
        <f>$D531*($E531*(AU$321-AU$322)+$F531*(AU$324-AU$325))</f>
        <v/>
      </c>
      <c r="AV531" s="51">
        <f>$D531*($E531*(AV$321-AV$322)+$F531*(AV$324-AV$325))</f>
        <v/>
      </c>
      <c r="AW531" s="51">
        <f>$D531*($E531*(AW$321-AW$322)+$F531*(AW$324-AW$325))</f>
        <v/>
      </c>
      <c r="AX531" s="51">
        <f>$D531*($E531*(AX$321-AX$322)+$F531*(AX$324-AX$325))</f>
        <v/>
      </c>
      <c r="AY531" s="51">
        <f>$D531*($E531*(AY$321-AY$322)+$F531*(AY$324-AY$325))</f>
        <v/>
      </c>
      <c r="AZ531" s="51">
        <f>$D531*($E531*(AZ$321-AZ$322)+$F531*(AZ$324-AZ$325))</f>
        <v/>
      </c>
      <c r="BA531" s="52">
        <f>XCARBON($D531,$E531,(BA$321-BA$322),$F531,(BA$324-BA$325))</f>
        <v/>
      </c>
    </row>
    <row r="532" hidden="1" outlineLevel="1">
      <c r="A532" s="14" t="inlineStr">
        <is>
          <t>xck</t>
        </is>
      </c>
      <c r="B532" s="14" t="inlineStr">
        <is>
          <t>nuc</t>
        </is>
      </c>
      <c r="C532" s="14" t="inlineStr">
        <is>
          <t>pow</t>
        </is>
      </c>
      <c r="D532" s="45">
        <f>INDEX(Inputs_power!$Z$5:$Z$13,MATCH($B532,Inputs_power!$A$5:$A$13,0))</f>
        <v/>
      </c>
      <c r="E532" s="45">
        <f>INDEX(Inputs_power!$AU$5:$AU$13,MATCH($B532,Inputs_power!$A$5:$A$13,0))</f>
        <v/>
      </c>
      <c r="F532" s="45">
        <f>INDEX(Inputs_power!$AV$5:$AV$13,MATCH($B532,Inputs_power!$A$5:$A$13,0))</f>
        <v/>
      </c>
      <c r="G532" s="39" t="n"/>
      <c r="H532" s="14">
        <f>INDEX(VarLab,MATCH($A532,VarKey,0))&amp;INDEX(MemLab,MATCH($C532&amp;"|"&amp;$B532,MemKey,0))</f>
        <v/>
      </c>
      <c r="I532" s="14">
        <f>INDEX(VarUnit,MATCH($A532,VarKey,0))</f>
        <v/>
      </c>
      <c r="J532" s="14">
        <f>INDEX(VarSrc,MATCH($A532,VarKey,0))</f>
        <v/>
      </c>
      <c r="K532" s="11">
        <f>CodePrefix&amp;$A532&amp;IF($C532="","","."&amp;$C532&amp;"."&amp;$B532)&amp;INDEX(VarEnd,MATCH($A532,VarKey,0))&amp;K$5</f>
        <v/>
      </c>
      <c r="L532" s="50">
        <f>$D532*($E532*(L$321-L$322)+$F532*(L$324-L$325))</f>
        <v/>
      </c>
      <c r="M532" s="51">
        <f>$D532*($E532*(M$321-M$322)+$F532*(M$324-M$325))</f>
        <v/>
      </c>
      <c r="N532" s="51">
        <f>$D532*($E532*(N$321-N$322)+$F532*(N$324-N$325))</f>
        <v/>
      </c>
      <c r="O532" s="51">
        <f>$D532*($E532*(O$321-O$322)+$F532*(O$324-O$325))</f>
        <v/>
      </c>
      <c r="P532" s="51">
        <f>$D532*($E532*(P$321-P$322)+$F532*(P$324-P$325))</f>
        <v/>
      </c>
      <c r="Q532" s="51">
        <f>$D532*($E532*(Q$321-Q$322)+$F532*(Q$324-Q$325))</f>
        <v/>
      </c>
      <c r="R532" s="51">
        <f>$D532*($E532*(R$321-R$322)+$F532*(R$324-R$325))</f>
        <v/>
      </c>
      <c r="S532" s="51">
        <f>$D532*($E532*(S$321-S$322)+$F532*(S$324-S$325))</f>
        <v/>
      </c>
      <c r="T532" s="51">
        <f>$D532*($E532*(T$321-T$322)+$F532*(T$324-T$325))</f>
        <v/>
      </c>
      <c r="U532" s="51">
        <f>$D532*($E532*(U$321-U$322)+$F532*(U$324-U$325))</f>
        <v/>
      </c>
      <c r="V532" s="51">
        <f>$D532*($E532*(V$321-V$322)+$F532*(V$324-V$325))</f>
        <v/>
      </c>
      <c r="W532" s="51">
        <f>$D532*($E532*(W$321-W$322)+$F532*(W$324-W$325))</f>
        <v/>
      </c>
      <c r="X532" s="51">
        <f>$D532*($E532*(X$321-X$322)+$F532*(X$324-X$325))</f>
        <v/>
      </c>
      <c r="Y532" s="51">
        <f>$D532*($E532*(Y$321-Y$322)+$F532*(Y$324-Y$325))</f>
        <v/>
      </c>
      <c r="Z532" s="51">
        <f>$D532*($E532*(Z$321-Z$322)+$F532*(Z$324-Z$325))</f>
        <v/>
      </c>
      <c r="AA532" s="51">
        <f>$D532*($E532*(AA$321-AA$322)+$F532*(AA$324-AA$325))</f>
        <v/>
      </c>
      <c r="AB532" s="51">
        <f>$D532*($E532*(AB$321-AB$322)+$F532*(AB$324-AB$325))</f>
        <v/>
      </c>
      <c r="AC532" s="51">
        <f>$D532*($E532*(AC$321-AC$322)+$F532*(AC$324-AC$325))</f>
        <v/>
      </c>
      <c r="AD532" s="51">
        <f>$D532*($E532*(AD$321-AD$322)+$F532*(AD$324-AD$325))</f>
        <v/>
      </c>
      <c r="AE532" s="52">
        <f>XCARBON($D532,$E532,(AE$321-AE$322),$F532,(AE$324-AE$325))</f>
        <v/>
      </c>
      <c r="AG532" s="11">
        <f>CodePrefix&amp;$A532&amp;IF($C532="","","."&amp;$C532&amp;"."&amp;$B532)&amp;INDEX(VarEnd,MATCH($A532,VarKey,0))&amp;AG$5</f>
        <v/>
      </c>
      <c r="AH532" s="50">
        <f>$D532*($E532*(AH$321-AH$322)+$F532*(AH$324-AH$325))</f>
        <v/>
      </c>
      <c r="AI532" s="51">
        <f>$D532*($E532*(AI$321-AI$322)+$F532*(AI$324-AI$325))</f>
        <v/>
      </c>
      <c r="AJ532" s="51">
        <f>$D532*($E532*(AJ$321-AJ$322)+$F532*(AJ$324-AJ$325))</f>
        <v/>
      </c>
      <c r="AK532" s="51">
        <f>$D532*($E532*(AK$321-AK$322)+$F532*(AK$324-AK$325))</f>
        <v/>
      </c>
      <c r="AL532" s="51">
        <f>$D532*($E532*(AL$321-AL$322)+$F532*(AL$324-AL$325))</f>
        <v/>
      </c>
      <c r="AM532" s="51">
        <f>$D532*($E532*(AM$321-AM$322)+$F532*(AM$324-AM$325))</f>
        <v/>
      </c>
      <c r="AN532" s="51">
        <f>$D532*($E532*(AN$321-AN$322)+$F532*(AN$324-AN$325))</f>
        <v/>
      </c>
      <c r="AO532" s="51">
        <f>$D532*($E532*(AO$321-AO$322)+$F532*(AO$324-AO$325))</f>
        <v/>
      </c>
      <c r="AP532" s="51">
        <f>$D532*($E532*(AP$321-AP$322)+$F532*(AP$324-AP$325))</f>
        <v/>
      </c>
      <c r="AQ532" s="51">
        <f>$D532*($E532*(AQ$321-AQ$322)+$F532*(AQ$324-AQ$325))</f>
        <v/>
      </c>
      <c r="AR532" s="51">
        <f>$D532*($E532*(AR$321-AR$322)+$F532*(AR$324-AR$325))</f>
        <v/>
      </c>
      <c r="AS532" s="51">
        <f>$D532*($E532*(AS$321-AS$322)+$F532*(AS$324-AS$325))</f>
        <v/>
      </c>
      <c r="AT532" s="51">
        <f>$D532*($E532*(AT$321-AT$322)+$F532*(AT$324-AT$325))</f>
        <v/>
      </c>
      <c r="AU532" s="51">
        <f>$D532*($E532*(AU$321-AU$322)+$F532*(AU$324-AU$325))</f>
        <v/>
      </c>
      <c r="AV532" s="51">
        <f>$D532*($E532*(AV$321-AV$322)+$F532*(AV$324-AV$325))</f>
        <v/>
      </c>
      <c r="AW532" s="51">
        <f>$D532*($E532*(AW$321-AW$322)+$F532*(AW$324-AW$325))</f>
        <v/>
      </c>
      <c r="AX532" s="51">
        <f>$D532*($E532*(AX$321-AX$322)+$F532*(AX$324-AX$325))</f>
        <v/>
      </c>
      <c r="AY532" s="51">
        <f>$D532*($E532*(AY$321-AY$322)+$F532*(AY$324-AY$325))</f>
        <v/>
      </c>
      <c r="AZ532" s="51">
        <f>$D532*($E532*(AZ$321-AZ$322)+$F532*(AZ$324-AZ$325))</f>
        <v/>
      </c>
      <c r="BA532" s="52">
        <f>XCARBON($D532,$E532,(BA$321-BA$322),$F532,(BA$324-BA$325))</f>
        <v/>
      </c>
    </row>
    <row r="533" hidden="1" outlineLevel="1">
      <c r="A533" s="14" t="inlineStr">
        <is>
          <t>xck</t>
        </is>
      </c>
      <c r="B533" s="14" t="inlineStr">
        <is>
          <t>wnd</t>
        </is>
      </c>
      <c r="C533" s="14" t="inlineStr">
        <is>
          <t>pow</t>
        </is>
      </c>
      <c r="D533" s="45">
        <f>INDEX(Inputs_power!$Z$5:$Z$13,MATCH($B533,Inputs_power!$A$5:$A$13,0))</f>
        <v/>
      </c>
      <c r="E533" s="45">
        <f>INDEX(Inputs_power!$AU$5:$AU$13,MATCH($B533,Inputs_power!$A$5:$A$13,0))</f>
        <v/>
      </c>
      <c r="F533" s="45">
        <f>INDEX(Inputs_power!$AV$5:$AV$13,MATCH($B533,Inputs_power!$A$5:$A$13,0))</f>
        <v/>
      </c>
      <c r="G533" s="39" t="n"/>
      <c r="H533" s="14">
        <f>INDEX(VarLab,MATCH($A533,VarKey,0))&amp;INDEX(MemLab,MATCH($C533&amp;"|"&amp;$B533,MemKey,0))</f>
        <v/>
      </c>
      <c r="I533" s="14">
        <f>INDEX(VarUnit,MATCH($A533,VarKey,0))</f>
        <v/>
      </c>
      <c r="J533" s="14">
        <f>INDEX(VarSrc,MATCH($A533,VarKey,0))</f>
        <v/>
      </c>
      <c r="K533" s="11">
        <f>CodePrefix&amp;$A533&amp;IF($C533="","","."&amp;$C533&amp;"."&amp;$B533)&amp;INDEX(VarEnd,MATCH($A533,VarKey,0))&amp;K$5</f>
        <v/>
      </c>
      <c r="L533" s="50">
        <f>$D533*($E533*(L$321-L$322)+$F533*(L$324-L$325))</f>
        <v/>
      </c>
      <c r="M533" s="51">
        <f>$D533*($E533*(M$321-M$322)+$F533*(M$324-M$325))</f>
        <v/>
      </c>
      <c r="N533" s="51">
        <f>$D533*($E533*(N$321-N$322)+$F533*(N$324-N$325))</f>
        <v/>
      </c>
      <c r="O533" s="51">
        <f>$D533*($E533*(O$321-O$322)+$F533*(O$324-O$325))</f>
        <v/>
      </c>
      <c r="P533" s="51">
        <f>$D533*($E533*(P$321-P$322)+$F533*(P$324-P$325))</f>
        <v/>
      </c>
      <c r="Q533" s="51">
        <f>$D533*($E533*(Q$321-Q$322)+$F533*(Q$324-Q$325))</f>
        <v/>
      </c>
      <c r="R533" s="51">
        <f>$D533*($E533*(R$321-R$322)+$F533*(R$324-R$325))</f>
        <v/>
      </c>
      <c r="S533" s="51">
        <f>$D533*($E533*(S$321-S$322)+$F533*(S$324-S$325))</f>
        <v/>
      </c>
      <c r="T533" s="51">
        <f>$D533*($E533*(T$321-T$322)+$F533*(T$324-T$325))</f>
        <v/>
      </c>
      <c r="U533" s="51">
        <f>$D533*($E533*(U$321-U$322)+$F533*(U$324-U$325))</f>
        <v/>
      </c>
      <c r="V533" s="51">
        <f>$D533*($E533*(V$321-V$322)+$F533*(V$324-V$325))</f>
        <v/>
      </c>
      <c r="W533" s="51">
        <f>$D533*($E533*(W$321-W$322)+$F533*(W$324-W$325))</f>
        <v/>
      </c>
      <c r="X533" s="51">
        <f>$D533*($E533*(X$321-X$322)+$F533*(X$324-X$325))</f>
        <v/>
      </c>
      <c r="Y533" s="51">
        <f>$D533*($E533*(Y$321-Y$322)+$F533*(Y$324-Y$325))</f>
        <v/>
      </c>
      <c r="Z533" s="51">
        <f>$D533*($E533*(Z$321-Z$322)+$F533*(Z$324-Z$325))</f>
        <v/>
      </c>
      <c r="AA533" s="51">
        <f>$D533*($E533*(AA$321-AA$322)+$F533*(AA$324-AA$325))</f>
        <v/>
      </c>
      <c r="AB533" s="51">
        <f>$D533*($E533*(AB$321-AB$322)+$F533*(AB$324-AB$325))</f>
        <v/>
      </c>
      <c r="AC533" s="51">
        <f>$D533*($E533*(AC$321-AC$322)+$F533*(AC$324-AC$325))</f>
        <v/>
      </c>
      <c r="AD533" s="51">
        <f>$D533*($E533*(AD$321-AD$322)+$F533*(AD$324-AD$325))</f>
        <v/>
      </c>
      <c r="AE533" s="52">
        <f>XCARBON($D533,$E533,(AE$321-AE$322),$F533,(AE$324-AE$325))</f>
        <v/>
      </c>
      <c r="AG533" s="11">
        <f>CodePrefix&amp;$A533&amp;IF($C533="","","."&amp;$C533&amp;"."&amp;$B533)&amp;INDEX(VarEnd,MATCH($A533,VarKey,0))&amp;AG$5</f>
        <v/>
      </c>
      <c r="AH533" s="50">
        <f>$D533*($E533*(AH$321-AH$322)+$F533*(AH$324-AH$325))</f>
        <v/>
      </c>
      <c r="AI533" s="51">
        <f>$D533*($E533*(AI$321-AI$322)+$F533*(AI$324-AI$325))</f>
        <v/>
      </c>
      <c r="AJ533" s="51">
        <f>$D533*($E533*(AJ$321-AJ$322)+$F533*(AJ$324-AJ$325))</f>
        <v/>
      </c>
      <c r="AK533" s="51">
        <f>$D533*($E533*(AK$321-AK$322)+$F533*(AK$324-AK$325))</f>
        <v/>
      </c>
      <c r="AL533" s="51">
        <f>$D533*($E533*(AL$321-AL$322)+$F533*(AL$324-AL$325))</f>
        <v/>
      </c>
      <c r="AM533" s="51">
        <f>$D533*($E533*(AM$321-AM$322)+$F533*(AM$324-AM$325))</f>
        <v/>
      </c>
      <c r="AN533" s="51">
        <f>$D533*($E533*(AN$321-AN$322)+$F533*(AN$324-AN$325))</f>
        <v/>
      </c>
      <c r="AO533" s="51">
        <f>$D533*($E533*(AO$321-AO$322)+$F533*(AO$324-AO$325))</f>
        <v/>
      </c>
      <c r="AP533" s="51">
        <f>$D533*($E533*(AP$321-AP$322)+$F533*(AP$324-AP$325))</f>
        <v/>
      </c>
      <c r="AQ533" s="51">
        <f>$D533*($E533*(AQ$321-AQ$322)+$F533*(AQ$324-AQ$325))</f>
        <v/>
      </c>
      <c r="AR533" s="51">
        <f>$D533*($E533*(AR$321-AR$322)+$F533*(AR$324-AR$325))</f>
        <v/>
      </c>
      <c r="AS533" s="51">
        <f>$D533*($E533*(AS$321-AS$322)+$F533*(AS$324-AS$325))</f>
        <v/>
      </c>
      <c r="AT533" s="51">
        <f>$D533*($E533*(AT$321-AT$322)+$F533*(AT$324-AT$325))</f>
        <v/>
      </c>
      <c r="AU533" s="51">
        <f>$D533*($E533*(AU$321-AU$322)+$F533*(AU$324-AU$325))</f>
        <v/>
      </c>
      <c r="AV533" s="51">
        <f>$D533*($E533*(AV$321-AV$322)+$F533*(AV$324-AV$325))</f>
        <v/>
      </c>
      <c r="AW533" s="51">
        <f>$D533*($E533*(AW$321-AW$322)+$F533*(AW$324-AW$325))</f>
        <v/>
      </c>
      <c r="AX533" s="51">
        <f>$D533*($E533*(AX$321-AX$322)+$F533*(AX$324-AX$325))</f>
        <v/>
      </c>
      <c r="AY533" s="51">
        <f>$D533*($E533*(AY$321-AY$322)+$F533*(AY$324-AY$325))</f>
        <v/>
      </c>
      <c r="AZ533" s="51">
        <f>$D533*($E533*(AZ$321-AZ$322)+$F533*(AZ$324-AZ$325))</f>
        <v/>
      </c>
      <c r="BA533" s="52">
        <f>XCARBON($D533,$E533,(BA$321-BA$322),$F533,(BA$324-BA$325))</f>
        <v/>
      </c>
    </row>
    <row r="534" hidden="1" outlineLevel="1">
      <c r="A534" s="14" t="inlineStr">
        <is>
          <t>xck</t>
        </is>
      </c>
      <c r="B534" s="14" t="inlineStr">
        <is>
          <t>sol</t>
        </is>
      </c>
      <c r="C534" s="14" t="inlineStr">
        <is>
          <t>pow</t>
        </is>
      </c>
      <c r="D534" s="45">
        <f>INDEX(Inputs_power!$Z$5:$Z$13,MATCH($B534,Inputs_power!$A$5:$A$13,0))</f>
        <v/>
      </c>
      <c r="E534" s="45">
        <f>INDEX(Inputs_power!$AU$5:$AU$13,MATCH($B534,Inputs_power!$A$5:$A$13,0))</f>
        <v/>
      </c>
      <c r="F534" s="45">
        <f>INDEX(Inputs_power!$AV$5:$AV$13,MATCH($B534,Inputs_power!$A$5:$A$13,0))</f>
        <v/>
      </c>
      <c r="G534" s="39" t="n"/>
      <c r="H534" s="14">
        <f>INDEX(VarLab,MATCH($A534,VarKey,0))&amp;INDEX(MemLab,MATCH($C534&amp;"|"&amp;$B534,MemKey,0))</f>
        <v/>
      </c>
      <c r="I534" s="14">
        <f>INDEX(VarUnit,MATCH($A534,VarKey,0))</f>
        <v/>
      </c>
      <c r="J534" s="14">
        <f>INDEX(VarSrc,MATCH($A534,VarKey,0))</f>
        <v/>
      </c>
      <c r="K534" s="11">
        <f>CodePrefix&amp;$A534&amp;IF($C534="","","."&amp;$C534&amp;"."&amp;$B534)&amp;INDEX(VarEnd,MATCH($A534,VarKey,0))&amp;K$5</f>
        <v/>
      </c>
      <c r="L534" s="50">
        <f>$D534*($E534*(L$321-L$322)+$F534*(L$324-L$325))</f>
        <v/>
      </c>
      <c r="M534" s="51">
        <f>$D534*($E534*(M$321-M$322)+$F534*(M$324-M$325))</f>
        <v/>
      </c>
      <c r="N534" s="51">
        <f>$D534*($E534*(N$321-N$322)+$F534*(N$324-N$325))</f>
        <v/>
      </c>
      <c r="O534" s="51">
        <f>$D534*($E534*(O$321-O$322)+$F534*(O$324-O$325))</f>
        <v/>
      </c>
      <c r="P534" s="51">
        <f>$D534*($E534*(P$321-P$322)+$F534*(P$324-P$325))</f>
        <v/>
      </c>
      <c r="Q534" s="51">
        <f>$D534*($E534*(Q$321-Q$322)+$F534*(Q$324-Q$325))</f>
        <v/>
      </c>
      <c r="R534" s="51">
        <f>$D534*($E534*(R$321-R$322)+$F534*(R$324-R$325))</f>
        <v/>
      </c>
      <c r="S534" s="51">
        <f>$D534*($E534*(S$321-S$322)+$F534*(S$324-S$325))</f>
        <v/>
      </c>
      <c r="T534" s="51">
        <f>$D534*($E534*(T$321-T$322)+$F534*(T$324-T$325))</f>
        <v/>
      </c>
      <c r="U534" s="51">
        <f>$D534*($E534*(U$321-U$322)+$F534*(U$324-U$325))</f>
        <v/>
      </c>
      <c r="V534" s="51">
        <f>$D534*($E534*(V$321-V$322)+$F534*(V$324-V$325))</f>
        <v/>
      </c>
      <c r="W534" s="51">
        <f>$D534*($E534*(W$321-W$322)+$F534*(W$324-W$325))</f>
        <v/>
      </c>
      <c r="X534" s="51">
        <f>$D534*($E534*(X$321-X$322)+$F534*(X$324-X$325))</f>
        <v/>
      </c>
      <c r="Y534" s="51">
        <f>$D534*($E534*(Y$321-Y$322)+$F534*(Y$324-Y$325))</f>
        <v/>
      </c>
      <c r="Z534" s="51">
        <f>$D534*($E534*(Z$321-Z$322)+$F534*(Z$324-Z$325))</f>
        <v/>
      </c>
      <c r="AA534" s="51">
        <f>$D534*($E534*(AA$321-AA$322)+$F534*(AA$324-AA$325))</f>
        <v/>
      </c>
      <c r="AB534" s="51">
        <f>$D534*($E534*(AB$321-AB$322)+$F534*(AB$324-AB$325))</f>
        <v/>
      </c>
      <c r="AC534" s="51">
        <f>$D534*($E534*(AC$321-AC$322)+$F534*(AC$324-AC$325))</f>
        <v/>
      </c>
      <c r="AD534" s="51">
        <f>$D534*($E534*(AD$321-AD$322)+$F534*(AD$324-AD$325))</f>
        <v/>
      </c>
      <c r="AE534" s="52">
        <f>XCARBON($D534,$E534,(AE$321-AE$322),$F534,(AE$324-AE$325))</f>
        <v/>
      </c>
      <c r="AG534" s="11">
        <f>CodePrefix&amp;$A534&amp;IF($C534="","","."&amp;$C534&amp;"."&amp;$B534)&amp;INDEX(VarEnd,MATCH($A534,VarKey,0))&amp;AG$5</f>
        <v/>
      </c>
      <c r="AH534" s="50">
        <f>$D534*($E534*(AH$321-AH$322)+$F534*(AH$324-AH$325))</f>
        <v/>
      </c>
      <c r="AI534" s="51">
        <f>$D534*($E534*(AI$321-AI$322)+$F534*(AI$324-AI$325))</f>
        <v/>
      </c>
      <c r="AJ534" s="51">
        <f>$D534*($E534*(AJ$321-AJ$322)+$F534*(AJ$324-AJ$325))</f>
        <v/>
      </c>
      <c r="AK534" s="51">
        <f>$D534*($E534*(AK$321-AK$322)+$F534*(AK$324-AK$325))</f>
        <v/>
      </c>
      <c r="AL534" s="51">
        <f>$D534*($E534*(AL$321-AL$322)+$F534*(AL$324-AL$325))</f>
        <v/>
      </c>
      <c r="AM534" s="51">
        <f>$D534*($E534*(AM$321-AM$322)+$F534*(AM$324-AM$325))</f>
        <v/>
      </c>
      <c r="AN534" s="51">
        <f>$D534*($E534*(AN$321-AN$322)+$F534*(AN$324-AN$325))</f>
        <v/>
      </c>
      <c r="AO534" s="51">
        <f>$D534*($E534*(AO$321-AO$322)+$F534*(AO$324-AO$325))</f>
        <v/>
      </c>
      <c r="AP534" s="51">
        <f>$D534*($E534*(AP$321-AP$322)+$F534*(AP$324-AP$325))</f>
        <v/>
      </c>
      <c r="AQ534" s="51">
        <f>$D534*($E534*(AQ$321-AQ$322)+$F534*(AQ$324-AQ$325))</f>
        <v/>
      </c>
      <c r="AR534" s="51">
        <f>$D534*($E534*(AR$321-AR$322)+$F534*(AR$324-AR$325))</f>
        <v/>
      </c>
      <c r="AS534" s="51">
        <f>$D534*($E534*(AS$321-AS$322)+$F534*(AS$324-AS$325))</f>
        <v/>
      </c>
      <c r="AT534" s="51">
        <f>$D534*($E534*(AT$321-AT$322)+$F534*(AT$324-AT$325))</f>
        <v/>
      </c>
      <c r="AU534" s="51">
        <f>$D534*($E534*(AU$321-AU$322)+$F534*(AU$324-AU$325))</f>
        <v/>
      </c>
      <c r="AV534" s="51">
        <f>$D534*($E534*(AV$321-AV$322)+$F534*(AV$324-AV$325))</f>
        <v/>
      </c>
      <c r="AW534" s="51">
        <f>$D534*($E534*(AW$321-AW$322)+$F534*(AW$324-AW$325))</f>
        <v/>
      </c>
      <c r="AX534" s="51">
        <f>$D534*($E534*(AX$321-AX$322)+$F534*(AX$324-AX$325))</f>
        <v/>
      </c>
      <c r="AY534" s="51">
        <f>$D534*($E534*(AY$321-AY$322)+$F534*(AY$324-AY$325))</f>
        <v/>
      </c>
      <c r="AZ534" s="51">
        <f>$D534*($E534*(AZ$321-AZ$322)+$F534*(AZ$324-AZ$325))</f>
        <v/>
      </c>
      <c r="BA534" s="52">
        <f>XCARBON($D534,$E534,(BA$321-BA$322),$F534,(BA$324-BA$325))</f>
        <v/>
      </c>
    </row>
    <row r="535" hidden="1" outlineLevel="1">
      <c r="A535" s="14" t="inlineStr">
        <is>
          <t>xck</t>
        </is>
      </c>
      <c r="B535" s="14" t="inlineStr">
        <is>
          <t>hyd</t>
        </is>
      </c>
      <c r="C535" s="14" t="inlineStr">
        <is>
          <t>pow</t>
        </is>
      </c>
      <c r="D535" s="45">
        <f>INDEX(Inputs_power!$Z$5:$Z$13,MATCH($B535,Inputs_power!$A$5:$A$13,0))</f>
        <v/>
      </c>
      <c r="E535" s="45">
        <f>INDEX(Inputs_power!$AU$5:$AU$13,MATCH($B535,Inputs_power!$A$5:$A$13,0))</f>
        <v/>
      </c>
      <c r="F535" s="45">
        <f>INDEX(Inputs_power!$AV$5:$AV$13,MATCH($B535,Inputs_power!$A$5:$A$13,0))</f>
        <v/>
      </c>
      <c r="G535" s="39" t="n"/>
      <c r="H535" s="14">
        <f>INDEX(VarLab,MATCH($A535,VarKey,0))&amp;INDEX(MemLab,MATCH($C535&amp;"|"&amp;$B535,MemKey,0))</f>
        <v/>
      </c>
      <c r="I535" s="14">
        <f>INDEX(VarUnit,MATCH($A535,VarKey,0))</f>
        <v/>
      </c>
      <c r="J535" s="14">
        <f>INDEX(VarSrc,MATCH($A535,VarKey,0))</f>
        <v/>
      </c>
      <c r="K535" s="11">
        <f>CodePrefix&amp;$A535&amp;IF($C535="","","."&amp;$C535&amp;"."&amp;$B535)&amp;INDEX(VarEnd,MATCH($A535,VarKey,0))&amp;K$5</f>
        <v/>
      </c>
      <c r="L535" s="50">
        <f>$D535*($E535*(L$321-L$322)+$F535*(L$324-L$325))</f>
        <v/>
      </c>
      <c r="M535" s="51">
        <f>$D535*($E535*(M$321-M$322)+$F535*(M$324-M$325))</f>
        <v/>
      </c>
      <c r="N535" s="51">
        <f>$D535*($E535*(N$321-N$322)+$F535*(N$324-N$325))</f>
        <v/>
      </c>
      <c r="O535" s="51">
        <f>$D535*($E535*(O$321-O$322)+$F535*(O$324-O$325))</f>
        <v/>
      </c>
      <c r="P535" s="51">
        <f>$D535*($E535*(P$321-P$322)+$F535*(P$324-P$325))</f>
        <v/>
      </c>
      <c r="Q535" s="51">
        <f>$D535*($E535*(Q$321-Q$322)+$F535*(Q$324-Q$325))</f>
        <v/>
      </c>
      <c r="R535" s="51">
        <f>$D535*($E535*(R$321-R$322)+$F535*(R$324-R$325))</f>
        <v/>
      </c>
      <c r="S535" s="51">
        <f>$D535*($E535*(S$321-S$322)+$F535*(S$324-S$325))</f>
        <v/>
      </c>
      <c r="T535" s="51">
        <f>$D535*($E535*(T$321-T$322)+$F535*(T$324-T$325))</f>
        <v/>
      </c>
      <c r="U535" s="51">
        <f>$D535*($E535*(U$321-U$322)+$F535*(U$324-U$325))</f>
        <v/>
      </c>
      <c r="V535" s="51">
        <f>$D535*($E535*(V$321-V$322)+$F535*(V$324-V$325))</f>
        <v/>
      </c>
      <c r="W535" s="51">
        <f>$D535*($E535*(W$321-W$322)+$F535*(W$324-W$325))</f>
        <v/>
      </c>
      <c r="X535" s="51">
        <f>$D535*($E535*(X$321-X$322)+$F535*(X$324-X$325))</f>
        <v/>
      </c>
      <c r="Y535" s="51">
        <f>$D535*($E535*(Y$321-Y$322)+$F535*(Y$324-Y$325))</f>
        <v/>
      </c>
      <c r="Z535" s="51">
        <f>$D535*($E535*(Z$321-Z$322)+$F535*(Z$324-Z$325))</f>
        <v/>
      </c>
      <c r="AA535" s="51">
        <f>$D535*($E535*(AA$321-AA$322)+$F535*(AA$324-AA$325))</f>
        <v/>
      </c>
      <c r="AB535" s="51">
        <f>$D535*($E535*(AB$321-AB$322)+$F535*(AB$324-AB$325))</f>
        <v/>
      </c>
      <c r="AC535" s="51">
        <f>$D535*($E535*(AC$321-AC$322)+$F535*(AC$324-AC$325))</f>
        <v/>
      </c>
      <c r="AD535" s="51">
        <f>$D535*($E535*(AD$321-AD$322)+$F535*(AD$324-AD$325))</f>
        <v/>
      </c>
      <c r="AE535" s="52">
        <f>XCARBON($D535,$E535,(AE$321-AE$322),$F535,(AE$324-AE$325))</f>
        <v/>
      </c>
      <c r="AG535" s="11">
        <f>CodePrefix&amp;$A535&amp;IF($C535="","","."&amp;$C535&amp;"."&amp;$B535)&amp;INDEX(VarEnd,MATCH($A535,VarKey,0))&amp;AG$5</f>
        <v/>
      </c>
      <c r="AH535" s="50">
        <f>$D535*($E535*(AH$321-AH$322)+$F535*(AH$324-AH$325))</f>
        <v/>
      </c>
      <c r="AI535" s="51">
        <f>$D535*($E535*(AI$321-AI$322)+$F535*(AI$324-AI$325))</f>
        <v/>
      </c>
      <c r="AJ535" s="51">
        <f>$D535*($E535*(AJ$321-AJ$322)+$F535*(AJ$324-AJ$325))</f>
        <v/>
      </c>
      <c r="AK535" s="51">
        <f>$D535*($E535*(AK$321-AK$322)+$F535*(AK$324-AK$325))</f>
        <v/>
      </c>
      <c r="AL535" s="51">
        <f>$D535*($E535*(AL$321-AL$322)+$F535*(AL$324-AL$325))</f>
        <v/>
      </c>
      <c r="AM535" s="51">
        <f>$D535*($E535*(AM$321-AM$322)+$F535*(AM$324-AM$325))</f>
        <v/>
      </c>
      <c r="AN535" s="51">
        <f>$D535*($E535*(AN$321-AN$322)+$F535*(AN$324-AN$325))</f>
        <v/>
      </c>
      <c r="AO535" s="51">
        <f>$D535*($E535*(AO$321-AO$322)+$F535*(AO$324-AO$325))</f>
        <v/>
      </c>
      <c r="AP535" s="51">
        <f>$D535*($E535*(AP$321-AP$322)+$F535*(AP$324-AP$325))</f>
        <v/>
      </c>
      <c r="AQ535" s="51">
        <f>$D535*($E535*(AQ$321-AQ$322)+$F535*(AQ$324-AQ$325))</f>
        <v/>
      </c>
      <c r="AR535" s="51">
        <f>$D535*($E535*(AR$321-AR$322)+$F535*(AR$324-AR$325))</f>
        <v/>
      </c>
      <c r="AS535" s="51">
        <f>$D535*($E535*(AS$321-AS$322)+$F535*(AS$324-AS$325))</f>
        <v/>
      </c>
      <c r="AT535" s="51">
        <f>$D535*($E535*(AT$321-AT$322)+$F535*(AT$324-AT$325))</f>
        <v/>
      </c>
      <c r="AU535" s="51">
        <f>$D535*($E535*(AU$321-AU$322)+$F535*(AU$324-AU$325))</f>
        <v/>
      </c>
      <c r="AV535" s="51">
        <f>$D535*($E535*(AV$321-AV$322)+$F535*(AV$324-AV$325))</f>
        <v/>
      </c>
      <c r="AW535" s="51">
        <f>$D535*($E535*(AW$321-AW$322)+$F535*(AW$324-AW$325))</f>
        <v/>
      </c>
      <c r="AX535" s="51">
        <f>$D535*($E535*(AX$321-AX$322)+$F535*(AX$324-AX$325))</f>
        <v/>
      </c>
      <c r="AY535" s="51">
        <f>$D535*($E535*(AY$321-AY$322)+$F535*(AY$324-AY$325))</f>
        <v/>
      </c>
      <c r="AZ535" s="51">
        <f>$D535*($E535*(AZ$321-AZ$322)+$F535*(AZ$324-AZ$325))</f>
        <v/>
      </c>
      <c r="BA535" s="52">
        <f>XCARBON($D535,$E535,(BA$321-BA$322),$F535,(BA$324-BA$325))</f>
        <v/>
      </c>
    </row>
    <row r="536" hidden="1" outlineLevel="1">
      <c r="A536" s="14" t="inlineStr">
        <is>
          <t>xck</t>
        </is>
      </c>
      <c r="B536" s="14" t="inlineStr">
        <is>
          <t>ore</t>
        </is>
      </c>
      <c r="C536" s="14" t="inlineStr">
        <is>
          <t>pow</t>
        </is>
      </c>
      <c r="D536" s="45">
        <f>INDEX(Inputs_power!$Z$5:$Z$13,MATCH($B536,Inputs_power!$A$5:$A$13,0))</f>
        <v/>
      </c>
      <c r="E536" s="45">
        <f>INDEX(Inputs_power!$AU$5:$AU$13,MATCH($B536,Inputs_power!$A$5:$A$13,0))</f>
        <v/>
      </c>
      <c r="F536" s="45">
        <f>INDEX(Inputs_power!$AV$5:$AV$13,MATCH($B536,Inputs_power!$A$5:$A$13,0))</f>
        <v/>
      </c>
      <c r="G536" s="39" t="n"/>
      <c r="H536" s="14">
        <f>INDEX(VarLab,MATCH($A536,VarKey,0))&amp;INDEX(MemLab,MATCH($C536&amp;"|"&amp;$B536,MemKey,0))</f>
        <v/>
      </c>
      <c r="I536" s="14">
        <f>INDEX(VarUnit,MATCH($A536,VarKey,0))</f>
        <v/>
      </c>
      <c r="J536" s="14">
        <f>INDEX(VarSrc,MATCH($A536,VarKey,0))</f>
        <v/>
      </c>
      <c r="K536" s="11">
        <f>CodePrefix&amp;$A536&amp;IF($C536="","","."&amp;$C536&amp;"."&amp;$B536)&amp;INDEX(VarEnd,MATCH($A536,VarKey,0))&amp;K$5</f>
        <v/>
      </c>
      <c r="L536" s="50">
        <f>$D536*($E536*(L$321-L$322)+$F536*(L$324-L$325))</f>
        <v/>
      </c>
      <c r="M536" s="51">
        <f>$D536*($E536*(M$321-M$322)+$F536*(M$324-M$325))</f>
        <v/>
      </c>
      <c r="N536" s="51">
        <f>$D536*($E536*(N$321-N$322)+$F536*(N$324-N$325))</f>
        <v/>
      </c>
      <c r="O536" s="51">
        <f>$D536*($E536*(O$321-O$322)+$F536*(O$324-O$325))</f>
        <v/>
      </c>
      <c r="P536" s="51">
        <f>$D536*($E536*(P$321-P$322)+$F536*(P$324-P$325))</f>
        <v/>
      </c>
      <c r="Q536" s="51">
        <f>$D536*($E536*(Q$321-Q$322)+$F536*(Q$324-Q$325))</f>
        <v/>
      </c>
      <c r="R536" s="51">
        <f>$D536*($E536*(R$321-R$322)+$F536*(R$324-R$325))</f>
        <v/>
      </c>
      <c r="S536" s="51">
        <f>$D536*($E536*(S$321-S$322)+$F536*(S$324-S$325))</f>
        <v/>
      </c>
      <c r="T536" s="51">
        <f>$D536*($E536*(T$321-T$322)+$F536*(T$324-T$325))</f>
        <v/>
      </c>
      <c r="U536" s="51">
        <f>$D536*($E536*(U$321-U$322)+$F536*(U$324-U$325))</f>
        <v/>
      </c>
      <c r="V536" s="51">
        <f>$D536*($E536*(V$321-V$322)+$F536*(V$324-V$325))</f>
        <v/>
      </c>
      <c r="W536" s="51">
        <f>$D536*($E536*(W$321-W$322)+$F536*(W$324-W$325))</f>
        <v/>
      </c>
      <c r="X536" s="51">
        <f>$D536*($E536*(X$321-X$322)+$F536*(X$324-X$325))</f>
        <v/>
      </c>
      <c r="Y536" s="51">
        <f>$D536*($E536*(Y$321-Y$322)+$F536*(Y$324-Y$325))</f>
        <v/>
      </c>
      <c r="Z536" s="51">
        <f>$D536*($E536*(Z$321-Z$322)+$F536*(Z$324-Z$325))</f>
        <v/>
      </c>
      <c r="AA536" s="51">
        <f>$D536*($E536*(AA$321-AA$322)+$F536*(AA$324-AA$325))</f>
        <v/>
      </c>
      <c r="AB536" s="51">
        <f>$D536*($E536*(AB$321-AB$322)+$F536*(AB$324-AB$325))</f>
        <v/>
      </c>
      <c r="AC536" s="51">
        <f>$D536*($E536*(AC$321-AC$322)+$F536*(AC$324-AC$325))</f>
        <v/>
      </c>
      <c r="AD536" s="51">
        <f>$D536*($E536*(AD$321-AD$322)+$F536*(AD$324-AD$325))</f>
        <v/>
      </c>
      <c r="AE536" s="52">
        <f>XCARBON($D536,$E536,(AE$321-AE$322),$F536,(AE$324-AE$325))</f>
        <v/>
      </c>
      <c r="AG536" s="11">
        <f>CodePrefix&amp;$A536&amp;IF($C536="","","."&amp;$C536&amp;"."&amp;$B536)&amp;INDEX(VarEnd,MATCH($A536,VarKey,0))&amp;AG$5</f>
        <v/>
      </c>
      <c r="AH536" s="50">
        <f>$D536*($E536*(AH$321-AH$322)+$F536*(AH$324-AH$325))</f>
        <v/>
      </c>
      <c r="AI536" s="51">
        <f>$D536*($E536*(AI$321-AI$322)+$F536*(AI$324-AI$325))</f>
        <v/>
      </c>
      <c r="AJ536" s="51">
        <f>$D536*($E536*(AJ$321-AJ$322)+$F536*(AJ$324-AJ$325))</f>
        <v/>
      </c>
      <c r="AK536" s="51">
        <f>$D536*($E536*(AK$321-AK$322)+$F536*(AK$324-AK$325))</f>
        <v/>
      </c>
      <c r="AL536" s="51">
        <f>$D536*($E536*(AL$321-AL$322)+$F536*(AL$324-AL$325))</f>
        <v/>
      </c>
      <c r="AM536" s="51">
        <f>$D536*($E536*(AM$321-AM$322)+$F536*(AM$324-AM$325))</f>
        <v/>
      </c>
      <c r="AN536" s="51">
        <f>$D536*($E536*(AN$321-AN$322)+$F536*(AN$324-AN$325))</f>
        <v/>
      </c>
      <c r="AO536" s="51">
        <f>$D536*($E536*(AO$321-AO$322)+$F536*(AO$324-AO$325))</f>
        <v/>
      </c>
      <c r="AP536" s="51">
        <f>$D536*($E536*(AP$321-AP$322)+$F536*(AP$324-AP$325))</f>
        <v/>
      </c>
      <c r="AQ536" s="51">
        <f>$D536*($E536*(AQ$321-AQ$322)+$F536*(AQ$324-AQ$325))</f>
        <v/>
      </c>
      <c r="AR536" s="51">
        <f>$D536*($E536*(AR$321-AR$322)+$F536*(AR$324-AR$325))</f>
        <v/>
      </c>
      <c r="AS536" s="51">
        <f>$D536*($E536*(AS$321-AS$322)+$F536*(AS$324-AS$325))</f>
        <v/>
      </c>
      <c r="AT536" s="51">
        <f>$D536*($E536*(AT$321-AT$322)+$F536*(AT$324-AT$325))</f>
        <v/>
      </c>
      <c r="AU536" s="51">
        <f>$D536*($E536*(AU$321-AU$322)+$F536*(AU$324-AU$325))</f>
        <v/>
      </c>
      <c r="AV536" s="51">
        <f>$D536*($E536*(AV$321-AV$322)+$F536*(AV$324-AV$325))</f>
        <v/>
      </c>
      <c r="AW536" s="51">
        <f>$D536*($E536*(AW$321-AW$322)+$F536*(AW$324-AW$325))</f>
        <v/>
      </c>
      <c r="AX536" s="51">
        <f>$D536*($E536*(AX$321-AX$322)+$F536*(AX$324-AX$325))</f>
        <v/>
      </c>
      <c r="AY536" s="51">
        <f>$D536*($E536*(AY$321-AY$322)+$F536*(AY$324-AY$325))</f>
        <v/>
      </c>
      <c r="AZ536" s="51">
        <f>$D536*($E536*(AZ$321-AZ$322)+$F536*(AZ$324-AZ$325))</f>
        <v/>
      </c>
      <c r="BA536" s="52">
        <f>XCARBON($D536,$E536,(BA$321-BA$322),$F536,(BA$324-BA$325))</f>
        <v/>
      </c>
    </row>
    <row r="537" hidden="1" outlineLevel="1">
      <c r="A537" s="14" t="inlineStr">
        <is>
          <t>xck</t>
        </is>
      </c>
      <c r="B537" s="14" t="inlineStr">
        <is>
          <t>bio</t>
        </is>
      </c>
      <c r="C537" s="14" t="inlineStr">
        <is>
          <t>pow</t>
        </is>
      </c>
      <c r="D537" s="45">
        <f>INDEX(Inputs_power!$Z$5:$Z$13,MATCH($B537,Inputs_power!$A$5:$A$13,0))</f>
        <v/>
      </c>
      <c r="E537" s="45">
        <f>INDEX(Inputs_power!$AU$5:$AU$13,MATCH($B537,Inputs_power!$A$5:$A$13,0))</f>
        <v/>
      </c>
      <c r="F537" s="45">
        <f>INDEX(Inputs_power!$AV$5:$AV$13,MATCH($B537,Inputs_power!$A$5:$A$13,0))</f>
        <v/>
      </c>
      <c r="G537" s="39" t="n"/>
      <c r="H537" s="14">
        <f>INDEX(VarLab,MATCH($A537,VarKey,0))&amp;INDEX(MemLab,MATCH($C537&amp;"|"&amp;$B537,MemKey,0))</f>
        <v/>
      </c>
      <c r="I537" s="14">
        <f>INDEX(VarUnit,MATCH($A537,VarKey,0))</f>
        <v/>
      </c>
      <c r="J537" s="14">
        <f>INDEX(VarSrc,MATCH($A537,VarKey,0))</f>
        <v/>
      </c>
      <c r="K537" s="11">
        <f>CodePrefix&amp;$A537&amp;IF($C537="","","."&amp;$C537&amp;"."&amp;$B537)&amp;INDEX(VarEnd,MATCH($A537,VarKey,0))&amp;K$5</f>
        <v/>
      </c>
      <c r="L537" s="50">
        <f>$D537*($E537*(L$321-L$322)+$F537*(L$324-L$325))</f>
        <v/>
      </c>
      <c r="M537" s="51">
        <f>$D537*($E537*(M$321-M$322)+$F537*(M$324-M$325))</f>
        <v/>
      </c>
      <c r="N537" s="51">
        <f>$D537*($E537*(N$321-N$322)+$F537*(N$324-N$325))</f>
        <v/>
      </c>
      <c r="O537" s="51">
        <f>$D537*($E537*(O$321-O$322)+$F537*(O$324-O$325))</f>
        <v/>
      </c>
      <c r="P537" s="51">
        <f>$D537*($E537*(P$321-P$322)+$F537*(P$324-P$325))</f>
        <v/>
      </c>
      <c r="Q537" s="51">
        <f>$D537*($E537*(Q$321-Q$322)+$F537*(Q$324-Q$325))</f>
        <v/>
      </c>
      <c r="R537" s="51">
        <f>$D537*($E537*(R$321-R$322)+$F537*(R$324-R$325))</f>
        <v/>
      </c>
      <c r="S537" s="51">
        <f>$D537*($E537*(S$321-S$322)+$F537*(S$324-S$325))</f>
        <v/>
      </c>
      <c r="T537" s="51">
        <f>$D537*($E537*(T$321-T$322)+$F537*(T$324-T$325))</f>
        <v/>
      </c>
      <c r="U537" s="51">
        <f>$D537*($E537*(U$321-U$322)+$F537*(U$324-U$325))</f>
        <v/>
      </c>
      <c r="V537" s="51">
        <f>$D537*($E537*(V$321-V$322)+$F537*(V$324-V$325))</f>
        <v/>
      </c>
      <c r="W537" s="51">
        <f>$D537*($E537*(W$321-W$322)+$F537*(W$324-W$325))</f>
        <v/>
      </c>
      <c r="X537" s="51">
        <f>$D537*($E537*(X$321-X$322)+$F537*(X$324-X$325))</f>
        <v/>
      </c>
      <c r="Y537" s="51">
        <f>$D537*($E537*(Y$321-Y$322)+$F537*(Y$324-Y$325))</f>
        <v/>
      </c>
      <c r="Z537" s="51">
        <f>$D537*($E537*(Z$321-Z$322)+$F537*(Z$324-Z$325))</f>
        <v/>
      </c>
      <c r="AA537" s="51">
        <f>$D537*($E537*(AA$321-AA$322)+$F537*(AA$324-AA$325))</f>
        <v/>
      </c>
      <c r="AB537" s="51">
        <f>$D537*($E537*(AB$321-AB$322)+$F537*(AB$324-AB$325))</f>
        <v/>
      </c>
      <c r="AC537" s="51">
        <f>$D537*($E537*(AC$321-AC$322)+$F537*(AC$324-AC$325))</f>
        <v/>
      </c>
      <c r="AD537" s="51">
        <f>$D537*($E537*(AD$321-AD$322)+$F537*(AD$324-AD$325))</f>
        <v/>
      </c>
      <c r="AE537" s="52">
        <f>XCARBON($D537,$E537,(AE$321-AE$322),$F537,(AE$324-AE$325))</f>
        <v/>
      </c>
      <c r="AG537" s="11">
        <f>CodePrefix&amp;$A537&amp;IF($C537="","","."&amp;$C537&amp;"."&amp;$B537)&amp;INDEX(VarEnd,MATCH($A537,VarKey,0))&amp;AG$5</f>
        <v/>
      </c>
      <c r="AH537" s="50">
        <f>$D537*($E537*(AH$321-AH$322)+$F537*(AH$324-AH$325))</f>
        <v/>
      </c>
      <c r="AI537" s="51">
        <f>$D537*($E537*(AI$321-AI$322)+$F537*(AI$324-AI$325))</f>
        <v/>
      </c>
      <c r="AJ537" s="51">
        <f>$D537*($E537*(AJ$321-AJ$322)+$F537*(AJ$324-AJ$325))</f>
        <v/>
      </c>
      <c r="AK537" s="51">
        <f>$D537*($E537*(AK$321-AK$322)+$F537*(AK$324-AK$325))</f>
        <v/>
      </c>
      <c r="AL537" s="51">
        <f>$D537*($E537*(AL$321-AL$322)+$F537*(AL$324-AL$325))</f>
        <v/>
      </c>
      <c r="AM537" s="51">
        <f>$D537*($E537*(AM$321-AM$322)+$F537*(AM$324-AM$325))</f>
        <v/>
      </c>
      <c r="AN537" s="51">
        <f>$D537*($E537*(AN$321-AN$322)+$F537*(AN$324-AN$325))</f>
        <v/>
      </c>
      <c r="AO537" s="51">
        <f>$D537*($E537*(AO$321-AO$322)+$F537*(AO$324-AO$325))</f>
        <v/>
      </c>
      <c r="AP537" s="51">
        <f>$D537*($E537*(AP$321-AP$322)+$F537*(AP$324-AP$325))</f>
        <v/>
      </c>
      <c r="AQ537" s="51">
        <f>$D537*($E537*(AQ$321-AQ$322)+$F537*(AQ$324-AQ$325))</f>
        <v/>
      </c>
      <c r="AR537" s="51">
        <f>$D537*($E537*(AR$321-AR$322)+$F537*(AR$324-AR$325))</f>
        <v/>
      </c>
      <c r="AS537" s="51">
        <f>$D537*($E537*(AS$321-AS$322)+$F537*(AS$324-AS$325))</f>
        <v/>
      </c>
      <c r="AT537" s="51">
        <f>$D537*($E537*(AT$321-AT$322)+$F537*(AT$324-AT$325))</f>
        <v/>
      </c>
      <c r="AU537" s="51">
        <f>$D537*($E537*(AU$321-AU$322)+$F537*(AU$324-AU$325))</f>
        <v/>
      </c>
      <c r="AV537" s="51">
        <f>$D537*($E537*(AV$321-AV$322)+$F537*(AV$324-AV$325))</f>
        <v/>
      </c>
      <c r="AW537" s="51">
        <f>$D537*($E537*(AW$321-AW$322)+$F537*(AW$324-AW$325))</f>
        <v/>
      </c>
      <c r="AX537" s="51">
        <f>$D537*($E537*(AX$321-AX$322)+$F537*(AX$324-AX$325))</f>
        <v/>
      </c>
      <c r="AY537" s="51">
        <f>$D537*($E537*(AY$321-AY$322)+$F537*(AY$324-AY$325))</f>
        <v/>
      </c>
      <c r="AZ537" s="51">
        <f>$D537*($E537*(AZ$321-AZ$322)+$F537*(AZ$324-AZ$325))</f>
        <v/>
      </c>
      <c r="BA537" s="52">
        <f>XCARBON($D537,$E537,(BA$321-BA$322),$F537,(BA$324-BA$325))</f>
        <v/>
      </c>
    </row>
    <row r="538" hidden="1" outlineLevel="1"/>
    <row r="539" hidden="1" outlineLevel="1">
      <c r="A539" s="14" t="inlineStr">
        <is>
          <t>vbc</t>
        </is>
      </c>
      <c r="B539" s="14" t="inlineStr">
        <is>
          <t>coa</t>
        </is>
      </c>
      <c r="C539" s="14" t="inlineStr">
        <is>
          <t>pow</t>
        </is>
      </c>
      <c r="D539" s="45">
        <f>INDEX(Inputs_power!$V$5:$V$13,MATCH($B539,Inputs_power!$A$5:$A$13,0))</f>
        <v/>
      </c>
      <c r="E539" s="45">
        <f>INDEX(Inputs_power!$X$5:$X$13,MATCH($B539,Inputs_power!$A$5:$A$13,0))</f>
        <v/>
      </c>
      <c r="F539" s="45">
        <f>INDEX(Inputs_power!$W$5:$W$13,MATCH($B539,Inputs_power!$A$5:$A$13,0))</f>
        <v/>
      </c>
      <c r="G539" s="39" t="n"/>
      <c r="H539" s="14">
        <f>INDEX(VarLab,MATCH($A539,VarKey,0))&amp;INDEX(MemLab,MATCH($C539&amp;"|"&amp;$B539,MemKey,0))</f>
        <v/>
      </c>
      <c r="I539" s="14">
        <f>INDEX(VarUnit,MATCH($A539,VarKey,0))</f>
        <v/>
      </c>
      <c r="J539" s="14">
        <f>INDEX(VarSrc,MATCH($A539,VarKey,0))</f>
        <v/>
      </c>
      <c r="K539" s="11">
        <f>CodePrefix&amp;$A539&amp;IF($C539="","","."&amp;$C539&amp;"."&amp;$B539)&amp;INDEX(VarEnd,MATCH($A539,VarKey,0))&amp;K$5</f>
        <v/>
      </c>
      <c r="L539" s="15">
        <f>$D539+L519*$F539+L529</f>
        <v/>
      </c>
      <c r="M539" s="16">
        <f>$D539+M519*$F539+M529</f>
        <v/>
      </c>
      <c r="N539" s="16">
        <f>$D539+N519*$F539+N529</f>
        <v/>
      </c>
      <c r="O539" s="16">
        <f>$D539+O519*$F539+O529</f>
        <v/>
      </c>
      <c r="P539" s="16">
        <f>$D539+P519*$F539+P529</f>
        <v/>
      </c>
      <c r="Q539" s="16">
        <f>$D539+Q519*$F539+Q529</f>
        <v/>
      </c>
      <c r="R539" s="16">
        <f>$D539+R519*$F539+R529</f>
        <v/>
      </c>
      <c r="S539" s="16">
        <f>$D539+S519*$F539+S529</f>
        <v/>
      </c>
      <c r="T539" s="16">
        <f>$D539+T519*$F539+T529</f>
        <v/>
      </c>
      <c r="U539" s="16">
        <f>$D539+U519*$F539+U529</f>
        <v/>
      </c>
      <c r="V539" s="16">
        <f>$D539+V519*$F539+V529</f>
        <v/>
      </c>
      <c r="W539" s="16">
        <f>$D539+W519*$F539+W529</f>
        <v/>
      </c>
      <c r="X539" s="16">
        <f>$D539+X519*$F539+X529</f>
        <v/>
      </c>
      <c r="Y539" s="16">
        <f>$D539+Y519*$F539+Y529</f>
        <v/>
      </c>
      <c r="Z539" s="16">
        <f>$D539+Z519*$F539+Z529</f>
        <v/>
      </c>
      <c r="AA539" s="16">
        <f>$D539+AA519*$F539+AA529</f>
        <v/>
      </c>
      <c r="AB539" s="16">
        <f>$D539+AB519*$F539+AB529</f>
        <v/>
      </c>
      <c r="AC539" s="16">
        <f>$D539+AC519*$F539+AC529</f>
        <v/>
      </c>
      <c r="AD539" s="16">
        <f>$D539+AD519*$F539+AD529</f>
        <v/>
      </c>
      <c r="AE539" s="49">
        <f>VARCOST($D539,AE519,$F539,AE529)</f>
        <v/>
      </c>
      <c r="AG539" s="11">
        <f>CodePrefix&amp;$A539&amp;IF($C539="","","."&amp;$C539&amp;"."&amp;$B539)&amp;INDEX(VarEnd,MATCH($A539,VarKey,0))&amp;AG$5</f>
        <v/>
      </c>
      <c r="AH539" s="15">
        <f>$D539+AH519*$F539+AH529</f>
        <v/>
      </c>
      <c r="AI539" s="16">
        <f>$D539+AI519*$F539+AI529</f>
        <v/>
      </c>
      <c r="AJ539" s="16">
        <f>$D539+AJ519*$F539+AJ529</f>
        <v/>
      </c>
      <c r="AK539" s="16">
        <f>$D539+AK519*$F539+AK529</f>
        <v/>
      </c>
      <c r="AL539" s="16">
        <f>$D539+AL519*$F539+AL529</f>
        <v/>
      </c>
      <c r="AM539" s="16">
        <f>$D539+AM519*$F539+AM529</f>
        <v/>
      </c>
      <c r="AN539" s="16">
        <f>$D539+AN519*$F539+AN529</f>
        <v/>
      </c>
      <c r="AO539" s="16">
        <f>$D539+AO519*$F539+AO529</f>
        <v/>
      </c>
      <c r="AP539" s="16">
        <f>$D539+AP519*$F539+AP529</f>
        <v/>
      </c>
      <c r="AQ539" s="16">
        <f>$D539+AQ519*$F539+AQ529</f>
        <v/>
      </c>
      <c r="AR539" s="16">
        <f>$D539+AR519*$F539+AR529</f>
        <v/>
      </c>
      <c r="AS539" s="16">
        <f>$D539+AS519*$F539+AS529</f>
        <v/>
      </c>
      <c r="AT539" s="16">
        <f>$D539+AT519*$F539+AT529</f>
        <v/>
      </c>
      <c r="AU539" s="16">
        <f>$D539+AU519*$F539+AU529</f>
        <v/>
      </c>
      <c r="AV539" s="16">
        <f>$D539+AV519*$F539+AV529</f>
        <v/>
      </c>
      <c r="AW539" s="16">
        <f>$D539+AW519*$F539+AW529</f>
        <v/>
      </c>
      <c r="AX539" s="16">
        <f>$D539+AX519*$F539+AX529</f>
        <v/>
      </c>
      <c r="AY539" s="16">
        <f>$D539+AY519*$F539+AY529</f>
        <v/>
      </c>
      <c r="AZ539" s="16">
        <f>$D539+AZ519*$F539+AZ529</f>
        <v/>
      </c>
      <c r="BA539" s="49">
        <f>VARCOST($D539,BA519,$F539,BA529)</f>
        <v/>
      </c>
    </row>
    <row r="540" hidden="1" outlineLevel="1">
      <c r="A540" s="14" t="inlineStr">
        <is>
          <t>vbc</t>
        </is>
      </c>
      <c r="B540" s="14" t="inlineStr">
        <is>
          <t>nga</t>
        </is>
      </c>
      <c r="C540" s="14" t="inlineStr">
        <is>
          <t>pow</t>
        </is>
      </c>
      <c r="D540" s="45">
        <f>INDEX(Inputs_power!$V$5:$V$13,MATCH($B540,Inputs_power!$A$5:$A$13,0))</f>
        <v/>
      </c>
      <c r="E540" s="45">
        <f>INDEX(Inputs_power!$X$5:$X$13,MATCH($B540,Inputs_power!$A$5:$A$13,0))</f>
        <v/>
      </c>
      <c r="F540" s="45">
        <f>INDEX(Inputs_power!$W$5:$W$13,MATCH($B540,Inputs_power!$A$5:$A$13,0))</f>
        <v/>
      </c>
      <c r="G540" s="39" t="n"/>
      <c r="H540" s="14">
        <f>INDEX(VarLab,MATCH($A540,VarKey,0))&amp;INDEX(MemLab,MATCH($C540&amp;"|"&amp;$B540,MemKey,0))</f>
        <v/>
      </c>
      <c r="I540" s="14">
        <f>INDEX(VarUnit,MATCH($A540,VarKey,0))</f>
        <v/>
      </c>
      <c r="J540" s="14">
        <f>INDEX(VarSrc,MATCH($A540,VarKey,0))</f>
        <v/>
      </c>
      <c r="K540" s="11">
        <f>CodePrefix&amp;$A540&amp;IF($C540="","","."&amp;$C540&amp;"."&amp;$B540)&amp;INDEX(VarEnd,MATCH($A540,VarKey,0))&amp;K$5</f>
        <v/>
      </c>
      <c r="L540" s="15">
        <f>$D540+L520*$F540+L530</f>
        <v/>
      </c>
      <c r="M540" s="16">
        <f>$D540+M520*$F540+M530</f>
        <v/>
      </c>
      <c r="N540" s="16">
        <f>$D540+N520*$F540+N530</f>
        <v/>
      </c>
      <c r="O540" s="16">
        <f>$D540+O520*$F540+O530</f>
        <v/>
      </c>
      <c r="P540" s="16">
        <f>$D540+P520*$F540+P530</f>
        <v/>
      </c>
      <c r="Q540" s="16">
        <f>$D540+Q520*$F540+Q530</f>
        <v/>
      </c>
      <c r="R540" s="16">
        <f>$D540+R520*$F540+R530</f>
        <v/>
      </c>
      <c r="S540" s="16">
        <f>$D540+S520*$F540+S530</f>
        <v/>
      </c>
      <c r="T540" s="16">
        <f>$D540+T520*$F540+T530</f>
        <v/>
      </c>
      <c r="U540" s="16">
        <f>$D540+U520*$F540+U530</f>
        <v/>
      </c>
      <c r="V540" s="16">
        <f>$D540+V520*$F540+V530</f>
        <v/>
      </c>
      <c r="W540" s="16">
        <f>$D540+W520*$F540+W530</f>
        <v/>
      </c>
      <c r="X540" s="16">
        <f>$D540+X520*$F540+X530</f>
        <v/>
      </c>
      <c r="Y540" s="16">
        <f>$D540+Y520*$F540+Y530</f>
        <v/>
      </c>
      <c r="Z540" s="16">
        <f>$D540+Z520*$F540+Z530</f>
        <v/>
      </c>
      <c r="AA540" s="16">
        <f>$D540+AA520*$F540+AA530</f>
        <v/>
      </c>
      <c r="AB540" s="16">
        <f>$D540+AB520*$F540+AB530</f>
        <v/>
      </c>
      <c r="AC540" s="16">
        <f>$D540+AC520*$F540+AC530</f>
        <v/>
      </c>
      <c r="AD540" s="16">
        <f>$D540+AD520*$F540+AD530</f>
        <v/>
      </c>
      <c r="AE540" s="49">
        <f>VARCOST($D540,AE520,$F540,AE530)</f>
        <v/>
      </c>
      <c r="AG540" s="11">
        <f>CodePrefix&amp;$A540&amp;IF($C540="","","."&amp;$C540&amp;"."&amp;$B540)&amp;INDEX(VarEnd,MATCH($A540,VarKey,0))&amp;AG$5</f>
        <v/>
      </c>
      <c r="AH540" s="15">
        <f>$D540+AH520*$F540+AH530</f>
        <v/>
      </c>
      <c r="AI540" s="16">
        <f>$D540+AI520*$F540+AI530</f>
        <v/>
      </c>
      <c r="AJ540" s="16">
        <f>$D540+AJ520*$F540+AJ530</f>
        <v/>
      </c>
      <c r="AK540" s="16">
        <f>$D540+AK520*$F540+AK530</f>
        <v/>
      </c>
      <c r="AL540" s="16">
        <f>$D540+AL520*$F540+AL530</f>
        <v/>
      </c>
      <c r="AM540" s="16">
        <f>$D540+AM520*$F540+AM530</f>
        <v/>
      </c>
      <c r="AN540" s="16">
        <f>$D540+AN520*$F540+AN530</f>
        <v/>
      </c>
      <c r="AO540" s="16">
        <f>$D540+AO520*$F540+AO530</f>
        <v/>
      </c>
      <c r="AP540" s="16">
        <f>$D540+AP520*$F540+AP530</f>
        <v/>
      </c>
      <c r="AQ540" s="16">
        <f>$D540+AQ520*$F540+AQ530</f>
        <v/>
      </c>
      <c r="AR540" s="16">
        <f>$D540+AR520*$F540+AR530</f>
        <v/>
      </c>
      <c r="AS540" s="16">
        <f>$D540+AS520*$F540+AS530</f>
        <v/>
      </c>
      <c r="AT540" s="16">
        <f>$D540+AT520*$F540+AT530</f>
        <v/>
      </c>
      <c r="AU540" s="16">
        <f>$D540+AU520*$F540+AU530</f>
        <v/>
      </c>
      <c r="AV540" s="16">
        <f>$D540+AV520*$F540+AV530</f>
        <v/>
      </c>
      <c r="AW540" s="16">
        <f>$D540+AW520*$F540+AW530</f>
        <v/>
      </c>
      <c r="AX540" s="16">
        <f>$D540+AX520*$F540+AX530</f>
        <v/>
      </c>
      <c r="AY540" s="16">
        <f>$D540+AY520*$F540+AY530</f>
        <v/>
      </c>
      <c r="AZ540" s="16">
        <f>$D540+AZ520*$F540+AZ530</f>
        <v/>
      </c>
      <c r="BA540" s="49">
        <f>VARCOST($D540,BA520,$F540,BA530)</f>
        <v/>
      </c>
    </row>
    <row r="541" hidden="1" outlineLevel="1">
      <c r="A541" s="14" t="inlineStr">
        <is>
          <t>vbc</t>
        </is>
      </c>
      <c r="B541" s="14" t="inlineStr">
        <is>
          <t>oop</t>
        </is>
      </c>
      <c r="C541" s="14" t="inlineStr">
        <is>
          <t>pow</t>
        </is>
      </c>
      <c r="D541" s="45">
        <f>INDEX(Inputs_power!$V$5:$V$13,MATCH($B541,Inputs_power!$A$5:$A$13,0))</f>
        <v/>
      </c>
      <c r="E541" s="45">
        <f>INDEX(Inputs_power!$X$5:$X$13,MATCH($B541,Inputs_power!$A$5:$A$13,0))</f>
        <v/>
      </c>
      <c r="F541" s="45">
        <f>INDEX(Inputs_power!$W$5:$W$13,MATCH($B541,Inputs_power!$A$5:$A$13,0))</f>
        <v/>
      </c>
      <c r="G541" s="39" t="n"/>
      <c r="H541" s="14">
        <f>INDEX(VarLab,MATCH($A541,VarKey,0))&amp;INDEX(MemLab,MATCH($C541&amp;"|"&amp;$B541,MemKey,0))</f>
        <v/>
      </c>
      <c r="I541" s="14">
        <f>INDEX(VarUnit,MATCH($A541,VarKey,0))</f>
        <v/>
      </c>
      <c r="J541" s="14">
        <f>INDEX(VarSrc,MATCH($A541,VarKey,0))</f>
        <v/>
      </c>
      <c r="K541" s="11">
        <f>CodePrefix&amp;$A541&amp;IF($C541="","","."&amp;$C541&amp;"."&amp;$B541)&amp;INDEX(VarEnd,MATCH($A541,VarKey,0))&amp;K$5</f>
        <v/>
      </c>
      <c r="L541" s="15">
        <f>$D541+L521*$F541+L531</f>
        <v/>
      </c>
      <c r="M541" s="16">
        <f>$D541+M521*$F541+M531</f>
        <v/>
      </c>
      <c r="N541" s="16">
        <f>$D541+N521*$F541+N531</f>
        <v/>
      </c>
      <c r="O541" s="16">
        <f>$D541+O521*$F541+O531</f>
        <v/>
      </c>
      <c r="P541" s="16">
        <f>$D541+P521*$F541+P531</f>
        <v/>
      </c>
      <c r="Q541" s="16">
        <f>$D541+Q521*$F541+Q531</f>
        <v/>
      </c>
      <c r="R541" s="16">
        <f>$D541+R521*$F541+R531</f>
        <v/>
      </c>
      <c r="S541" s="16">
        <f>$D541+S521*$F541+S531</f>
        <v/>
      </c>
      <c r="T541" s="16">
        <f>$D541+T521*$F541+T531</f>
        <v/>
      </c>
      <c r="U541" s="16">
        <f>$D541+U521*$F541+U531</f>
        <v/>
      </c>
      <c r="V541" s="16">
        <f>$D541+V521*$F541+V531</f>
        <v/>
      </c>
      <c r="W541" s="16">
        <f>$D541+W521*$F541+W531</f>
        <v/>
      </c>
      <c r="X541" s="16">
        <f>$D541+X521*$F541+X531</f>
        <v/>
      </c>
      <c r="Y541" s="16">
        <f>$D541+Y521*$F541+Y531</f>
        <v/>
      </c>
      <c r="Z541" s="16">
        <f>$D541+Z521*$F541+Z531</f>
        <v/>
      </c>
      <c r="AA541" s="16">
        <f>$D541+AA521*$F541+AA531</f>
        <v/>
      </c>
      <c r="AB541" s="16">
        <f>$D541+AB521*$F541+AB531</f>
        <v/>
      </c>
      <c r="AC541" s="16">
        <f>$D541+AC521*$F541+AC531</f>
        <v/>
      </c>
      <c r="AD541" s="16">
        <f>$D541+AD521*$F541+AD531</f>
        <v/>
      </c>
      <c r="AE541" s="49">
        <f>VARCOST($D541,AE521,$F541,AE531)</f>
        <v/>
      </c>
      <c r="AG541" s="11">
        <f>CodePrefix&amp;$A541&amp;IF($C541="","","."&amp;$C541&amp;"."&amp;$B541)&amp;INDEX(VarEnd,MATCH($A541,VarKey,0))&amp;AG$5</f>
        <v/>
      </c>
      <c r="AH541" s="15">
        <f>$D541+AH521*$F541+AH531</f>
        <v/>
      </c>
      <c r="AI541" s="16">
        <f>$D541+AI521*$F541+AI531</f>
        <v/>
      </c>
      <c r="AJ541" s="16">
        <f>$D541+AJ521*$F541+AJ531</f>
        <v/>
      </c>
      <c r="AK541" s="16">
        <f>$D541+AK521*$F541+AK531</f>
        <v/>
      </c>
      <c r="AL541" s="16">
        <f>$D541+AL521*$F541+AL531</f>
        <v/>
      </c>
      <c r="AM541" s="16">
        <f>$D541+AM521*$F541+AM531</f>
        <v/>
      </c>
      <c r="AN541" s="16">
        <f>$D541+AN521*$F541+AN531</f>
        <v/>
      </c>
      <c r="AO541" s="16">
        <f>$D541+AO521*$F541+AO531</f>
        <v/>
      </c>
      <c r="AP541" s="16">
        <f>$D541+AP521*$F541+AP531</f>
        <v/>
      </c>
      <c r="AQ541" s="16">
        <f>$D541+AQ521*$F541+AQ531</f>
        <v/>
      </c>
      <c r="AR541" s="16">
        <f>$D541+AR521*$F541+AR531</f>
        <v/>
      </c>
      <c r="AS541" s="16">
        <f>$D541+AS521*$F541+AS531</f>
        <v/>
      </c>
      <c r="AT541" s="16">
        <f>$D541+AT521*$F541+AT531</f>
        <v/>
      </c>
      <c r="AU541" s="16">
        <f>$D541+AU521*$F541+AU531</f>
        <v/>
      </c>
      <c r="AV541" s="16">
        <f>$D541+AV521*$F541+AV531</f>
        <v/>
      </c>
      <c r="AW541" s="16">
        <f>$D541+AW521*$F541+AW531</f>
        <v/>
      </c>
      <c r="AX541" s="16">
        <f>$D541+AX521*$F541+AX531</f>
        <v/>
      </c>
      <c r="AY541" s="16">
        <f>$D541+AY521*$F541+AY531</f>
        <v/>
      </c>
      <c r="AZ541" s="16">
        <f>$D541+AZ521*$F541+AZ531</f>
        <v/>
      </c>
      <c r="BA541" s="49">
        <f>VARCOST($D541,BA521,$F541,BA531)</f>
        <v/>
      </c>
    </row>
    <row r="542" hidden="1" outlineLevel="1">
      <c r="A542" s="14" t="inlineStr">
        <is>
          <t>vbc</t>
        </is>
      </c>
      <c r="B542" s="14" t="inlineStr">
        <is>
          <t>nuc</t>
        </is>
      </c>
      <c r="C542" s="14" t="inlineStr">
        <is>
          <t>pow</t>
        </is>
      </c>
      <c r="D542" s="45">
        <f>INDEX(Inputs_power!$V$5:$V$13,MATCH($B542,Inputs_power!$A$5:$A$13,0))</f>
        <v/>
      </c>
      <c r="E542" s="45">
        <f>INDEX(Inputs_power!$X$5:$X$13,MATCH($B542,Inputs_power!$A$5:$A$13,0))</f>
        <v/>
      </c>
      <c r="F542" s="45">
        <f>INDEX(Inputs_power!$W$5:$W$13,MATCH($B542,Inputs_power!$A$5:$A$13,0))</f>
        <v/>
      </c>
      <c r="G542" s="39" t="n"/>
      <c r="H542" s="14">
        <f>INDEX(VarLab,MATCH($A542,VarKey,0))&amp;INDEX(MemLab,MATCH($C542&amp;"|"&amp;$B542,MemKey,0))</f>
        <v/>
      </c>
      <c r="I542" s="14">
        <f>INDEX(VarUnit,MATCH($A542,VarKey,0))</f>
        <v/>
      </c>
      <c r="J542" s="14">
        <f>INDEX(VarSrc,MATCH($A542,VarKey,0))</f>
        <v/>
      </c>
      <c r="K542" s="11">
        <f>CodePrefix&amp;$A542&amp;IF($C542="","","."&amp;$C542&amp;"."&amp;$B542)&amp;INDEX(VarEnd,MATCH($A542,VarKey,0))&amp;K$5</f>
        <v/>
      </c>
      <c r="L542" s="15">
        <f>$D542+L522*$F542+L532</f>
        <v/>
      </c>
      <c r="M542" s="16">
        <f>$D542+M522*$F542+M532</f>
        <v/>
      </c>
      <c r="N542" s="16">
        <f>$D542+N522*$F542+N532</f>
        <v/>
      </c>
      <c r="O542" s="16">
        <f>$D542+O522*$F542+O532</f>
        <v/>
      </c>
      <c r="P542" s="16">
        <f>$D542+P522*$F542+P532</f>
        <v/>
      </c>
      <c r="Q542" s="16">
        <f>$D542+Q522*$F542+Q532</f>
        <v/>
      </c>
      <c r="R542" s="16">
        <f>$D542+R522*$F542+R532</f>
        <v/>
      </c>
      <c r="S542" s="16">
        <f>$D542+S522*$F542+S532</f>
        <v/>
      </c>
      <c r="T542" s="16">
        <f>$D542+T522*$F542+T532</f>
        <v/>
      </c>
      <c r="U542" s="16">
        <f>$D542+U522*$F542+U532</f>
        <v/>
      </c>
      <c r="V542" s="16">
        <f>$D542+V522*$F542+V532</f>
        <v/>
      </c>
      <c r="W542" s="16">
        <f>$D542+W522*$F542+W532</f>
        <v/>
      </c>
      <c r="X542" s="16">
        <f>$D542+X522*$F542+X532</f>
        <v/>
      </c>
      <c r="Y542" s="16">
        <f>$D542+Y522*$F542+Y532</f>
        <v/>
      </c>
      <c r="Z542" s="16">
        <f>$D542+Z522*$F542+Z532</f>
        <v/>
      </c>
      <c r="AA542" s="16">
        <f>$D542+AA522*$F542+AA532</f>
        <v/>
      </c>
      <c r="AB542" s="16">
        <f>$D542+AB522*$F542+AB532</f>
        <v/>
      </c>
      <c r="AC542" s="16">
        <f>$D542+AC522*$F542+AC532</f>
        <v/>
      </c>
      <c r="AD542" s="16">
        <f>$D542+AD522*$F542+AD532</f>
        <v/>
      </c>
      <c r="AE542" s="49">
        <f>VARCOST($D542,AE522,$F542,AE532)</f>
        <v/>
      </c>
      <c r="AG542" s="11">
        <f>CodePrefix&amp;$A542&amp;IF($C542="","","."&amp;$C542&amp;"."&amp;$B542)&amp;INDEX(VarEnd,MATCH($A542,VarKey,0))&amp;AG$5</f>
        <v/>
      </c>
      <c r="AH542" s="15">
        <f>$D542+AH522*$F542+AH532</f>
        <v/>
      </c>
      <c r="AI542" s="16">
        <f>$D542+AI522*$F542+AI532</f>
        <v/>
      </c>
      <c r="AJ542" s="16">
        <f>$D542+AJ522*$F542+AJ532</f>
        <v/>
      </c>
      <c r="AK542" s="16">
        <f>$D542+AK522*$F542+AK532</f>
        <v/>
      </c>
      <c r="AL542" s="16">
        <f>$D542+AL522*$F542+AL532</f>
        <v/>
      </c>
      <c r="AM542" s="16">
        <f>$D542+AM522*$F542+AM532</f>
        <v/>
      </c>
      <c r="AN542" s="16">
        <f>$D542+AN522*$F542+AN532</f>
        <v/>
      </c>
      <c r="AO542" s="16">
        <f>$D542+AO522*$F542+AO532</f>
        <v/>
      </c>
      <c r="AP542" s="16">
        <f>$D542+AP522*$F542+AP532</f>
        <v/>
      </c>
      <c r="AQ542" s="16">
        <f>$D542+AQ522*$F542+AQ532</f>
        <v/>
      </c>
      <c r="AR542" s="16">
        <f>$D542+AR522*$F542+AR532</f>
        <v/>
      </c>
      <c r="AS542" s="16">
        <f>$D542+AS522*$F542+AS532</f>
        <v/>
      </c>
      <c r="AT542" s="16">
        <f>$D542+AT522*$F542+AT532</f>
        <v/>
      </c>
      <c r="AU542" s="16">
        <f>$D542+AU522*$F542+AU532</f>
        <v/>
      </c>
      <c r="AV542" s="16">
        <f>$D542+AV522*$F542+AV532</f>
        <v/>
      </c>
      <c r="AW542" s="16">
        <f>$D542+AW522*$F542+AW532</f>
        <v/>
      </c>
      <c r="AX542" s="16">
        <f>$D542+AX522*$F542+AX532</f>
        <v/>
      </c>
      <c r="AY542" s="16">
        <f>$D542+AY522*$F542+AY532</f>
        <v/>
      </c>
      <c r="AZ542" s="16">
        <f>$D542+AZ522*$F542+AZ532</f>
        <v/>
      </c>
      <c r="BA542" s="49">
        <f>VARCOST($D542,BA522,$F542,BA532)</f>
        <v/>
      </c>
    </row>
    <row r="543" hidden="1" outlineLevel="1">
      <c r="A543" s="14" t="inlineStr">
        <is>
          <t>vbc</t>
        </is>
      </c>
      <c r="B543" s="14" t="inlineStr">
        <is>
          <t>wnd</t>
        </is>
      </c>
      <c r="C543" s="14" t="inlineStr">
        <is>
          <t>pow</t>
        </is>
      </c>
      <c r="D543" s="45">
        <f>INDEX(Inputs_power!$V$5:$V$13,MATCH($B543,Inputs_power!$A$5:$A$13,0))</f>
        <v/>
      </c>
      <c r="E543" s="45">
        <f>INDEX(Inputs_power!$X$5:$X$13,MATCH($B543,Inputs_power!$A$5:$A$13,0))</f>
        <v/>
      </c>
      <c r="F543" s="45">
        <f>INDEX(Inputs_power!$W$5:$W$13,MATCH($B543,Inputs_power!$A$5:$A$13,0))</f>
        <v/>
      </c>
      <c r="G543" s="39" t="n"/>
      <c r="H543" s="14">
        <f>INDEX(VarLab,MATCH($A543,VarKey,0))&amp;INDEX(MemLab,MATCH($C543&amp;"|"&amp;$B543,MemKey,0))</f>
        <v/>
      </c>
      <c r="I543" s="14">
        <f>INDEX(VarUnit,MATCH($A543,VarKey,0))</f>
        <v/>
      </c>
      <c r="J543" s="14">
        <f>INDEX(VarSrc,MATCH($A543,VarKey,0))</f>
        <v/>
      </c>
      <c r="K543" s="11">
        <f>CodePrefix&amp;$A543&amp;IF($C543="","","."&amp;$C543&amp;"."&amp;$B543)&amp;INDEX(VarEnd,MATCH($A543,VarKey,0))&amp;K$5</f>
        <v/>
      </c>
      <c r="L543" s="15">
        <f>$D543+L523*$F543+L533</f>
        <v/>
      </c>
      <c r="M543" s="16">
        <f>$D543+M523*$F543+M533</f>
        <v/>
      </c>
      <c r="N543" s="16">
        <f>$D543+N523*$F543+N533</f>
        <v/>
      </c>
      <c r="O543" s="16">
        <f>$D543+O523*$F543+O533</f>
        <v/>
      </c>
      <c r="P543" s="16">
        <f>$D543+P523*$F543+P533</f>
        <v/>
      </c>
      <c r="Q543" s="16">
        <f>$D543+Q523*$F543+Q533</f>
        <v/>
      </c>
      <c r="R543" s="16">
        <f>$D543+R523*$F543+R533</f>
        <v/>
      </c>
      <c r="S543" s="16">
        <f>$D543+S523*$F543+S533</f>
        <v/>
      </c>
      <c r="T543" s="16">
        <f>$D543+T523*$F543+T533</f>
        <v/>
      </c>
      <c r="U543" s="16">
        <f>$D543+U523*$F543+U533</f>
        <v/>
      </c>
      <c r="V543" s="16">
        <f>$D543+V523*$F543+V533</f>
        <v/>
      </c>
      <c r="W543" s="16">
        <f>$D543+W523*$F543+W533</f>
        <v/>
      </c>
      <c r="X543" s="16">
        <f>$D543+X523*$F543+X533</f>
        <v/>
      </c>
      <c r="Y543" s="16">
        <f>$D543+Y523*$F543+Y533</f>
        <v/>
      </c>
      <c r="Z543" s="16">
        <f>$D543+Z523*$F543+Z533</f>
        <v/>
      </c>
      <c r="AA543" s="16">
        <f>$D543+AA523*$F543+AA533</f>
        <v/>
      </c>
      <c r="AB543" s="16">
        <f>$D543+AB523*$F543+AB533</f>
        <v/>
      </c>
      <c r="AC543" s="16">
        <f>$D543+AC523*$F543+AC533</f>
        <v/>
      </c>
      <c r="AD543" s="16">
        <f>$D543+AD523*$F543+AD533</f>
        <v/>
      </c>
      <c r="AE543" s="49">
        <f>VARCOST($D543,AE523,$F543,AE533)</f>
        <v/>
      </c>
      <c r="AG543" s="11">
        <f>CodePrefix&amp;$A543&amp;IF($C543="","","."&amp;$C543&amp;"."&amp;$B543)&amp;INDEX(VarEnd,MATCH($A543,VarKey,0))&amp;AG$5</f>
        <v/>
      </c>
      <c r="AH543" s="15">
        <f>$D543+AH523*$F543+AH533</f>
        <v/>
      </c>
      <c r="AI543" s="16">
        <f>$D543+AI523*$F543+AI533</f>
        <v/>
      </c>
      <c r="AJ543" s="16">
        <f>$D543+AJ523*$F543+AJ533</f>
        <v/>
      </c>
      <c r="AK543" s="16">
        <f>$D543+AK523*$F543+AK533</f>
        <v/>
      </c>
      <c r="AL543" s="16">
        <f>$D543+AL523*$F543+AL533</f>
        <v/>
      </c>
      <c r="AM543" s="16">
        <f>$D543+AM523*$F543+AM533</f>
        <v/>
      </c>
      <c r="AN543" s="16">
        <f>$D543+AN523*$F543+AN533</f>
        <v/>
      </c>
      <c r="AO543" s="16">
        <f>$D543+AO523*$F543+AO533</f>
        <v/>
      </c>
      <c r="AP543" s="16">
        <f>$D543+AP523*$F543+AP533</f>
        <v/>
      </c>
      <c r="AQ543" s="16">
        <f>$D543+AQ523*$F543+AQ533</f>
        <v/>
      </c>
      <c r="AR543" s="16">
        <f>$D543+AR523*$F543+AR533</f>
        <v/>
      </c>
      <c r="AS543" s="16">
        <f>$D543+AS523*$F543+AS533</f>
        <v/>
      </c>
      <c r="AT543" s="16">
        <f>$D543+AT523*$F543+AT533</f>
        <v/>
      </c>
      <c r="AU543" s="16">
        <f>$D543+AU523*$F543+AU533</f>
        <v/>
      </c>
      <c r="AV543" s="16">
        <f>$D543+AV523*$F543+AV533</f>
        <v/>
      </c>
      <c r="AW543" s="16">
        <f>$D543+AW523*$F543+AW533</f>
        <v/>
      </c>
      <c r="AX543" s="16">
        <f>$D543+AX523*$F543+AX533</f>
        <v/>
      </c>
      <c r="AY543" s="16">
        <f>$D543+AY523*$F543+AY533</f>
        <v/>
      </c>
      <c r="AZ543" s="16">
        <f>$D543+AZ523*$F543+AZ533</f>
        <v/>
      </c>
      <c r="BA543" s="49">
        <f>VARCOST($D543,BA523,$F543,BA533)</f>
        <v/>
      </c>
    </row>
    <row r="544" hidden="1" outlineLevel="1">
      <c r="A544" s="14" t="inlineStr">
        <is>
          <t>vbc</t>
        </is>
      </c>
      <c r="B544" s="14" t="inlineStr">
        <is>
          <t>sol</t>
        </is>
      </c>
      <c r="C544" s="14" t="inlineStr">
        <is>
          <t>pow</t>
        </is>
      </c>
      <c r="D544" s="45">
        <f>INDEX(Inputs_power!$V$5:$V$13,MATCH($B544,Inputs_power!$A$5:$A$13,0))</f>
        <v/>
      </c>
      <c r="E544" s="45">
        <f>INDEX(Inputs_power!$X$5:$X$13,MATCH($B544,Inputs_power!$A$5:$A$13,0))</f>
        <v/>
      </c>
      <c r="F544" s="45">
        <f>INDEX(Inputs_power!$W$5:$W$13,MATCH($B544,Inputs_power!$A$5:$A$13,0))</f>
        <v/>
      </c>
      <c r="G544" s="39" t="n"/>
      <c r="H544" s="14">
        <f>INDEX(VarLab,MATCH($A544,VarKey,0))&amp;INDEX(MemLab,MATCH($C544&amp;"|"&amp;$B544,MemKey,0))</f>
        <v/>
      </c>
      <c r="I544" s="14">
        <f>INDEX(VarUnit,MATCH($A544,VarKey,0))</f>
        <v/>
      </c>
      <c r="J544" s="14">
        <f>INDEX(VarSrc,MATCH($A544,VarKey,0))</f>
        <v/>
      </c>
      <c r="K544" s="11">
        <f>CodePrefix&amp;$A544&amp;IF($C544="","","."&amp;$C544&amp;"."&amp;$B544)&amp;INDEX(VarEnd,MATCH($A544,VarKey,0))&amp;K$5</f>
        <v/>
      </c>
      <c r="L544" s="15">
        <f>$D544+L524*$F544+L534</f>
        <v/>
      </c>
      <c r="M544" s="16">
        <f>$D544+M524*$F544+M534</f>
        <v/>
      </c>
      <c r="N544" s="16">
        <f>$D544+N524*$F544+N534</f>
        <v/>
      </c>
      <c r="O544" s="16">
        <f>$D544+O524*$F544+O534</f>
        <v/>
      </c>
      <c r="P544" s="16">
        <f>$D544+P524*$F544+P534</f>
        <v/>
      </c>
      <c r="Q544" s="16">
        <f>$D544+Q524*$F544+Q534</f>
        <v/>
      </c>
      <c r="R544" s="16">
        <f>$D544+R524*$F544+R534</f>
        <v/>
      </c>
      <c r="S544" s="16">
        <f>$D544+S524*$F544+S534</f>
        <v/>
      </c>
      <c r="T544" s="16">
        <f>$D544+T524*$F544+T534</f>
        <v/>
      </c>
      <c r="U544" s="16">
        <f>$D544+U524*$F544+U534</f>
        <v/>
      </c>
      <c r="V544" s="16">
        <f>$D544+V524*$F544+V534</f>
        <v/>
      </c>
      <c r="W544" s="16">
        <f>$D544+W524*$F544+W534</f>
        <v/>
      </c>
      <c r="X544" s="16">
        <f>$D544+X524*$F544+X534</f>
        <v/>
      </c>
      <c r="Y544" s="16">
        <f>$D544+Y524*$F544+Y534</f>
        <v/>
      </c>
      <c r="Z544" s="16">
        <f>$D544+Z524*$F544+Z534</f>
        <v/>
      </c>
      <c r="AA544" s="16">
        <f>$D544+AA524*$F544+AA534</f>
        <v/>
      </c>
      <c r="AB544" s="16">
        <f>$D544+AB524*$F544+AB534</f>
        <v/>
      </c>
      <c r="AC544" s="16">
        <f>$D544+AC524*$F544+AC534</f>
        <v/>
      </c>
      <c r="AD544" s="16">
        <f>$D544+AD524*$F544+AD534</f>
        <v/>
      </c>
      <c r="AE544" s="49">
        <f>VARCOST($D544,AE524,$F544,AE534)</f>
        <v/>
      </c>
      <c r="AG544" s="11">
        <f>CodePrefix&amp;$A544&amp;IF($C544="","","."&amp;$C544&amp;"."&amp;$B544)&amp;INDEX(VarEnd,MATCH($A544,VarKey,0))&amp;AG$5</f>
        <v/>
      </c>
      <c r="AH544" s="15">
        <f>$D544+AH524*$F544+AH534</f>
        <v/>
      </c>
      <c r="AI544" s="16">
        <f>$D544+AI524*$F544+AI534</f>
        <v/>
      </c>
      <c r="AJ544" s="16">
        <f>$D544+AJ524*$F544+AJ534</f>
        <v/>
      </c>
      <c r="AK544" s="16">
        <f>$D544+AK524*$F544+AK534</f>
        <v/>
      </c>
      <c r="AL544" s="16">
        <f>$D544+AL524*$F544+AL534</f>
        <v/>
      </c>
      <c r="AM544" s="16">
        <f>$D544+AM524*$F544+AM534</f>
        <v/>
      </c>
      <c r="AN544" s="16">
        <f>$D544+AN524*$F544+AN534</f>
        <v/>
      </c>
      <c r="AO544" s="16">
        <f>$D544+AO524*$F544+AO534</f>
        <v/>
      </c>
      <c r="AP544" s="16">
        <f>$D544+AP524*$F544+AP534</f>
        <v/>
      </c>
      <c r="AQ544" s="16">
        <f>$D544+AQ524*$F544+AQ534</f>
        <v/>
      </c>
      <c r="AR544" s="16">
        <f>$D544+AR524*$F544+AR534</f>
        <v/>
      </c>
      <c r="AS544" s="16">
        <f>$D544+AS524*$F544+AS534</f>
        <v/>
      </c>
      <c r="AT544" s="16">
        <f>$D544+AT524*$F544+AT534</f>
        <v/>
      </c>
      <c r="AU544" s="16">
        <f>$D544+AU524*$F544+AU534</f>
        <v/>
      </c>
      <c r="AV544" s="16">
        <f>$D544+AV524*$F544+AV534</f>
        <v/>
      </c>
      <c r="AW544" s="16">
        <f>$D544+AW524*$F544+AW534</f>
        <v/>
      </c>
      <c r="AX544" s="16">
        <f>$D544+AX524*$F544+AX534</f>
        <v/>
      </c>
      <c r="AY544" s="16">
        <f>$D544+AY524*$F544+AY534</f>
        <v/>
      </c>
      <c r="AZ544" s="16">
        <f>$D544+AZ524*$F544+AZ534</f>
        <v/>
      </c>
      <c r="BA544" s="49">
        <f>VARCOST($D544,BA524,$F544,BA534)</f>
        <v/>
      </c>
    </row>
    <row r="545" hidden="1" outlineLevel="1">
      <c r="A545" s="14" t="inlineStr">
        <is>
          <t>vbc</t>
        </is>
      </c>
      <c r="B545" s="14" t="inlineStr">
        <is>
          <t>hyd</t>
        </is>
      </c>
      <c r="C545" s="14" t="inlineStr">
        <is>
          <t>pow</t>
        </is>
      </c>
      <c r="D545" s="45">
        <f>INDEX(Inputs_power!$V$5:$V$13,MATCH($B545,Inputs_power!$A$5:$A$13,0))</f>
        <v/>
      </c>
      <c r="E545" s="45">
        <f>INDEX(Inputs_power!$X$5:$X$13,MATCH($B545,Inputs_power!$A$5:$A$13,0))</f>
        <v/>
      </c>
      <c r="F545" s="45">
        <f>INDEX(Inputs_power!$W$5:$W$13,MATCH($B545,Inputs_power!$A$5:$A$13,0))</f>
        <v/>
      </c>
      <c r="G545" s="39" t="n"/>
      <c r="H545" s="14">
        <f>INDEX(VarLab,MATCH($A545,VarKey,0))&amp;INDEX(MemLab,MATCH($C545&amp;"|"&amp;$B545,MemKey,0))</f>
        <v/>
      </c>
      <c r="I545" s="14">
        <f>INDEX(VarUnit,MATCH($A545,VarKey,0))</f>
        <v/>
      </c>
      <c r="J545" s="14">
        <f>INDEX(VarSrc,MATCH($A545,VarKey,0))</f>
        <v/>
      </c>
      <c r="K545" s="11">
        <f>CodePrefix&amp;$A545&amp;IF($C545="","","."&amp;$C545&amp;"."&amp;$B545)&amp;INDEX(VarEnd,MATCH($A545,VarKey,0))&amp;K$5</f>
        <v/>
      </c>
      <c r="L545" s="15">
        <f>$D545+L525*$F545+L535</f>
        <v/>
      </c>
      <c r="M545" s="16">
        <f>$D545+M525*$F545+M535</f>
        <v/>
      </c>
      <c r="N545" s="16">
        <f>$D545+N525*$F545+N535</f>
        <v/>
      </c>
      <c r="O545" s="16">
        <f>$D545+O525*$F545+O535</f>
        <v/>
      </c>
      <c r="P545" s="16">
        <f>$D545+P525*$F545+P535</f>
        <v/>
      </c>
      <c r="Q545" s="16">
        <f>$D545+Q525*$F545+Q535</f>
        <v/>
      </c>
      <c r="R545" s="16">
        <f>$D545+R525*$F545+R535</f>
        <v/>
      </c>
      <c r="S545" s="16">
        <f>$D545+S525*$F545+S535</f>
        <v/>
      </c>
      <c r="T545" s="16">
        <f>$D545+T525*$F545+T535</f>
        <v/>
      </c>
      <c r="U545" s="16">
        <f>$D545+U525*$F545+U535</f>
        <v/>
      </c>
      <c r="V545" s="16">
        <f>$D545+V525*$F545+V535</f>
        <v/>
      </c>
      <c r="W545" s="16">
        <f>$D545+W525*$F545+W535</f>
        <v/>
      </c>
      <c r="X545" s="16">
        <f>$D545+X525*$F545+X535</f>
        <v/>
      </c>
      <c r="Y545" s="16">
        <f>$D545+Y525*$F545+Y535</f>
        <v/>
      </c>
      <c r="Z545" s="16">
        <f>$D545+Z525*$F545+Z535</f>
        <v/>
      </c>
      <c r="AA545" s="16">
        <f>$D545+AA525*$F545+AA535</f>
        <v/>
      </c>
      <c r="AB545" s="16">
        <f>$D545+AB525*$F545+AB535</f>
        <v/>
      </c>
      <c r="AC545" s="16">
        <f>$D545+AC525*$F545+AC535</f>
        <v/>
      </c>
      <c r="AD545" s="16">
        <f>$D545+AD525*$F545+AD535</f>
        <v/>
      </c>
      <c r="AE545" s="49">
        <f>VARCOST($D545,AE525,$F545,AE535)</f>
        <v/>
      </c>
      <c r="AG545" s="11">
        <f>CodePrefix&amp;$A545&amp;IF($C545="","","."&amp;$C545&amp;"."&amp;$B545)&amp;INDEX(VarEnd,MATCH($A545,VarKey,0))&amp;AG$5</f>
        <v/>
      </c>
      <c r="AH545" s="15">
        <f>$D545+AH525*$F545+AH535</f>
        <v/>
      </c>
      <c r="AI545" s="16">
        <f>$D545+AI525*$F545+AI535</f>
        <v/>
      </c>
      <c r="AJ545" s="16">
        <f>$D545+AJ525*$F545+AJ535</f>
        <v/>
      </c>
      <c r="AK545" s="16">
        <f>$D545+AK525*$F545+AK535</f>
        <v/>
      </c>
      <c r="AL545" s="16">
        <f>$D545+AL525*$F545+AL535</f>
        <v/>
      </c>
      <c r="AM545" s="16">
        <f>$D545+AM525*$F545+AM535</f>
        <v/>
      </c>
      <c r="AN545" s="16">
        <f>$D545+AN525*$F545+AN535</f>
        <v/>
      </c>
      <c r="AO545" s="16">
        <f>$D545+AO525*$F545+AO535</f>
        <v/>
      </c>
      <c r="AP545" s="16">
        <f>$D545+AP525*$F545+AP535</f>
        <v/>
      </c>
      <c r="AQ545" s="16">
        <f>$D545+AQ525*$F545+AQ535</f>
        <v/>
      </c>
      <c r="AR545" s="16">
        <f>$D545+AR525*$F545+AR535</f>
        <v/>
      </c>
      <c r="AS545" s="16">
        <f>$D545+AS525*$F545+AS535</f>
        <v/>
      </c>
      <c r="AT545" s="16">
        <f>$D545+AT525*$F545+AT535</f>
        <v/>
      </c>
      <c r="AU545" s="16">
        <f>$D545+AU525*$F545+AU535</f>
        <v/>
      </c>
      <c r="AV545" s="16">
        <f>$D545+AV525*$F545+AV535</f>
        <v/>
      </c>
      <c r="AW545" s="16">
        <f>$D545+AW525*$F545+AW535</f>
        <v/>
      </c>
      <c r="AX545" s="16">
        <f>$D545+AX525*$F545+AX535</f>
        <v/>
      </c>
      <c r="AY545" s="16">
        <f>$D545+AY525*$F545+AY535</f>
        <v/>
      </c>
      <c r="AZ545" s="16">
        <f>$D545+AZ525*$F545+AZ535</f>
        <v/>
      </c>
      <c r="BA545" s="49">
        <f>VARCOST($D545,BA525,$F545,BA535)</f>
        <v/>
      </c>
    </row>
    <row r="546" hidden="1" outlineLevel="1">
      <c r="A546" s="14" t="inlineStr">
        <is>
          <t>vbc</t>
        </is>
      </c>
      <c r="B546" s="14" t="inlineStr">
        <is>
          <t>ore</t>
        </is>
      </c>
      <c r="C546" s="14" t="inlineStr">
        <is>
          <t>pow</t>
        </is>
      </c>
      <c r="D546" s="45">
        <f>INDEX(Inputs_power!$V$5:$V$13,MATCH($B546,Inputs_power!$A$5:$A$13,0))</f>
        <v/>
      </c>
      <c r="E546" s="45">
        <f>INDEX(Inputs_power!$X$5:$X$13,MATCH($B546,Inputs_power!$A$5:$A$13,0))</f>
        <v/>
      </c>
      <c r="F546" s="45">
        <f>INDEX(Inputs_power!$W$5:$W$13,MATCH($B546,Inputs_power!$A$5:$A$13,0))</f>
        <v/>
      </c>
      <c r="G546" s="39" t="n"/>
      <c r="H546" s="14">
        <f>INDEX(VarLab,MATCH($A546,VarKey,0))&amp;INDEX(MemLab,MATCH($C546&amp;"|"&amp;$B546,MemKey,0))</f>
        <v/>
      </c>
      <c r="I546" s="14">
        <f>INDEX(VarUnit,MATCH($A546,VarKey,0))</f>
        <v/>
      </c>
      <c r="J546" s="14">
        <f>INDEX(VarSrc,MATCH($A546,VarKey,0))</f>
        <v/>
      </c>
      <c r="K546" s="11">
        <f>CodePrefix&amp;$A546&amp;IF($C546="","","."&amp;$C546&amp;"."&amp;$B546)&amp;INDEX(VarEnd,MATCH($A546,VarKey,0))&amp;K$5</f>
        <v/>
      </c>
      <c r="L546" s="15">
        <f>$D546+L526*$F546+L536</f>
        <v/>
      </c>
      <c r="M546" s="16">
        <f>$D546+M526*$F546+M536</f>
        <v/>
      </c>
      <c r="N546" s="16">
        <f>$D546+N526*$F546+N536</f>
        <v/>
      </c>
      <c r="O546" s="16">
        <f>$D546+O526*$F546+O536</f>
        <v/>
      </c>
      <c r="P546" s="16">
        <f>$D546+P526*$F546+P536</f>
        <v/>
      </c>
      <c r="Q546" s="16">
        <f>$D546+Q526*$F546+Q536</f>
        <v/>
      </c>
      <c r="R546" s="16">
        <f>$D546+R526*$F546+R536</f>
        <v/>
      </c>
      <c r="S546" s="16">
        <f>$D546+S526*$F546+S536</f>
        <v/>
      </c>
      <c r="T546" s="16">
        <f>$D546+T526*$F546+T536</f>
        <v/>
      </c>
      <c r="U546" s="16">
        <f>$D546+U526*$F546+U536</f>
        <v/>
      </c>
      <c r="V546" s="16">
        <f>$D546+V526*$F546+V536</f>
        <v/>
      </c>
      <c r="W546" s="16">
        <f>$D546+W526*$F546+W536</f>
        <v/>
      </c>
      <c r="X546" s="16">
        <f>$D546+X526*$F546+X536</f>
        <v/>
      </c>
      <c r="Y546" s="16">
        <f>$D546+Y526*$F546+Y536</f>
        <v/>
      </c>
      <c r="Z546" s="16">
        <f>$D546+Z526*$F546+Z536</f>
        <v/>
      </c>
      <c r="AA546" s="16">
        <f>$D546+AA526*$F546+AA536</f>
        <v/>
      </c>
      <c r="AB546" s="16">
        <f>$D546+AB526*$F546+AB536</f>
        <v/>
      </c>
      <c r="AC546" s="16">
        <f>$D546+AC526*$F546+AC536</f>
        <v/>
      </c>
      <c r="AD546" s="16">
        <f>$D546+AD526*$F546+AD536</f>
        <v/>
      </c>
      <c r="AE546" s="49">
        <f>VARCOST($D546,AE526,$F546,AE536)</f>
        <v/>
      </c>
      <c r="AG546" s="11">
        <f>CodePrefix&amp;$A546&amp;IF($C546="","","."&amp;$C546&amp;"."&amp;$B546)&amp;INDEX(VarEnd,MATCH($A546,VarKey,0))&amp;AG$5</f>
        <v/>
      </c>
      <c r="AH546" s="15">
        <f>$D546+AH526*$F546+AH536</f>
        <v/>
      </c>
      <c r="AI546" s="16">
        <f>$D546+AI526*$F546+AI536</f>
        <v/>
      </c>
      <c r="AJ546" s="16">
        <f>$D546+AJ526*$F546+AJ536</f>
        <v/>
      </c>
      <c r="AK546" s="16">
        <f>$D546+AK526*$F546+AK536</f>
        <v/>
      </c>
      <c r="AL546" s="16">
        <f>$D546+AL526*$F546+AL536</f>
        <v/>
      </c>
      <c r="AM546" s="16">
        <f>$D546+AM526*$F546+AM536</f>
        <v/>
      </c>
      <c r="AN546" s="16">
        <f>$D546+AN526*$F546+AN536</f>
        <v/>
      </c>
      <c r="AO546" s="16">
        <f>$D546+AO526*$F546+AO536</f>
        <v/>
      </c>
      <c r="AP546" s="16">
        <f>$D546+AP526*$F546+AP536</f>
        <v/>
      </c>
      <c r="AQ546" s="16">
        <f>$D546+AQ526*$F546+AQ536</f>
        <v/>
      </c>
      <c r="AR546" s="16">
        <f>$D546+AR526*$F546+AR536</f>
        <v/>
      </c>
      <c r="AS546" s="16">
        <f>$D546+AS526*$F546+AS536</f>
        <v/>
      </c>
      <c r="AT546" s="16">
        <f>$D546+AT526*$F546+AT536</f>
        <v/>
      </c>
      <c r="AU546" s="16">
        <f>$D546+AU526*$F546+AU536</f>
        <v/>
      </c>
      <c r="AV546" s="16">
        <f>$D546+AV526*$F546+AV536</f>
        <v/>
      </c>
      <c r="AW546" s="16">
        <f>$D546+AW526*$F546+AW536</f>
        <v/>
      </c>
      <c r="AX546" s="16">
        <f>$D546+AX526*$F546+AX536</f>
        <v/>
      </c>
      <c r="AY546" s="16">
        <f>$D546+AY526*$F546+AY536</f>
        <v/>
      </c>
      <c r="AZ546" s="16">
        <f>$D546+AZ526*$F546+AZ536</f>
        <v/>
      </c>
      <c r="BA546" s="49">
        <f>VARCOST($D546,BA526,$F546,BA536)</f>
        <v/>
      </c>
    </row>
    <row r="547" hidden="1" outlineLevel="1">
      <c r="A547" s="14" t="inlineStr">
        <is>
          <t>vbc</t>
        </is>
      </c>
      <c r="B547" s="14" t="inlineStr">
        <is>
          <t>bio</t>
        </is>
      </c>
      <c r="C547" s="14" t="inlineStr">
        <is>
          <t>pow</t>
        </is>
      </c>
      <c r="D547" s="45">
        <f>INDEX(Inputs_power!$V$5:$V$13,MATCH($B547,Inputs_power!$A$5:$A$13,0))</f>
        <v/>
      </c>
      <c r="E547" s="45">
        <f>INDEX(Inputs_power!$X$5:$X$13,MATCH($B547,Inputs_power!$A$5:$A$13,0))</f>
        <v/>
      </c>
      <c r="F547" s="45">
        <f>INDEX(Inputs_power!$W$5:$W$13,MATCH($B547,Inputs_power!$A$5:$A$13,0))</f>
        <v/>
      </c>
      <c r="G547" s="39" t="n"/>
      <c r="H547" s="14">
        <f>INDEX(VarLab,MATCH($A547,VarKey,0))&amp;INDEX(MemLab,MATCH($C547&amp;"|"&amp;$B547,MemKey,0))</f>
        <v/>
      </c>
      <c r="I547" s="14">
        <f>INDEX(VarUnit,MATCH($A547,VarKey,0))</f>
        <v/>
      </c>
      <c r="J547" s="14">
        <f>INDEX(VarSrc,MATCH($A547,VarKey,0))</f>
        <v/>
      </c>
      <c r="K547" s="11">
        <f>CodePrefix&amp;$A547&amp;IF($C547="","","."&amp;$C547&amp;"."&amp;$B547)&amp;INDEX(VarEnd,MATCH($A547,VarKey,0))&amp;K$5</f>
        <v/>
      </c>
      <c r="L547" s="15">
        <f>$D547+L527*$F547+L537</f>
        <v/>
      </c>
      <c r="M547" s="16">
        <f>$D547+M527*$F547+M537</f>
        <v/>
      </c>
      <c r="N547" s="16">
        <f>$D547+N527*$F547+N537</f>
        <v/>
      </c>
      <c r="O547" s="16">
        <f>$D547+O527*$F547+O537</f>
        <v/>
      </c>
      <c r="P547" s="16">
        <f>$D547+P527*$F547+P537</f>
        <v/>
      </c>
      <c r="Q547" s="16">
        <f>$D547+Q527*$F547+Q537</f>
        <v/>
      </c>
      <c r="R547" s="16">
        <f>$D547+R527*$F547+R537</f>
        <v/>
      </c>
      <c r="S547" s="16">
        <f>$D547+S527*$F547+S537</f>
        <v/>
      </c>
      <c r="T547" s="16">
        <f>$D547+T527*$F547+T537</f>
        <v/>
      </c>
      <c r="U547" s="16">
        <f>$D547+U527*$F547+U537</f>
        <v/>
      </c>
      <c r="V547" s="16">
        <f>$D547+V527*$F547+V537</f>
        <v/>
      </c>
      <c r="W547" s="16">
        <f>$D547+W527*$F547+W537</f>
        <v/>
      </c>
      <c r="X547" s="16">
        <f>$D547+X527*$F547+X537</f>
        <v/>
      </c>
      <c r="Y547" s="16">
        <f>$D547+Y527*$F547+Y537</f>
        <v/>
      </c>
      <c r="Z547" s="16">
        <f>$D547+Z527*$F547+Z537</f>
        <v/>
      </c>
      <c r="AA547" s="16">
        <f>$D547+AA527*$F547+AA537</f>
        <v/>
      </c>
      <c r="AB547" s="16">
        <f>$D547+AB527*$F547+AB537</f>
        <v/>
      </c>
      <c r="AC547" s="16">
        <f>$D547+AC527*$F547+AC537</f>
        <v/>
      </c>
      <c r="AD547" s="16">
        <f>$D547+AD527*$F547+AD537</f>
        <v/>
      </c>
      <c r="AE547" s="49">
        <f>VARCOST($D547,AE527,$F547,AE537)</f>
        <v/>
      </c>
      <c r="AG547" s="11">
        <f>CodePrefix&amp;$A547&amp;IF($C547="","","."&amp;$C547&amp;"."&amp;$B547)&amp;INDEX(VarEnd,MATCH($A547,VarKey,0))&amp;AG$5</f>
        <v/>
      </c>
      <c r="AH547" s="15">
        <f>$D547+AH527*$F547+AH537</f>
        <v/>
      </c>
      <c r="AI547" s="16">
        <f>$D547+AI527*$F547+AI537</f>
        <v/>
      </c>
      <c r="AJ547" s="16">
        <f>$D547+AJ527*$F547+AJ537</f>
        <v/>
      </c>
      <c r="AK547" s="16">
        <f>$D547+AK527*$F547+AK537</f>
        <v/>
      </c>
      <c r="AL547" s="16">
        <f>$D547+AL527*$F547+AL537</f>
        <v/>
      </c>
      <c r="AM547" s="16">
        <f>$D547+AM527*$F547+AM537</f>
        <v/>
      </c>
      <c r="AN547" s="16">
        <f>$D547+AN527*$F547+AN537</f>
        <v/>
      </c>
      <c r="AO547" s="16">
        <f>$D547+AO527*$F547+AO537</f>
        <v/>
      </c>
      <c r="AP547" s="16">
        <f>$D547+AP527*$F547+AP537</f>
        <v/>
      </c>
      <c r="AQ547" s="16">
        <f>$D547+AQ527*$F547+AQ537</f>
        <v/>
      </c>
      <c r="AR547" s="16">
        <f>$D547+AR527*$F547+AR537</f>
        <v/>
      </c>
      <c r="AS547" s="16">
        <f>$D547+AS527*$F547+AS537</f>
        <v/>
      </c>
      <c r="AT547" s="16">
        <f>$D547+AT527*$F547+AT537</f>
        <v/>
      </c>
      <c r="AU547" s="16">
        <f>$D547+AU527*$F547+AU537</f>
        <v/>
      </c>
      <c r="AV547" s="16">
        <f>$D547+AV527*$F547+AV537</f>
        <v/>
      </c>
      <c r="AW547" s="16">
        <f>$D547+AW527*$F547+AW537</f>
        <v/>
      </c>
      <c r="AX547" s="16">
        <f>$D547+AX527*$F547+AX537</f>
        <v/>
      </c>
      <c r="AY547" s="16">
        <f>$D547+AY527*$F547+AY537</f>
        <v/>
      </c>
      <c r="AZ547" s="16">
        <f>$D547+AZ527*$F547+AZ537</f>
        <v/>
      </c>
      <c r="BA547" s="49">
        <f>VARCOST($D547,BA527,$F547,BA537)</f>
        <v/>
      </c>
    </row>
    <row r="548" hidden="1" outlineLevel="1"/>
    <row r="549" hidden="1" outlineLevel="1">
      <c r="A549" s="14" t="inlineStr">
        <is>
          <t>ccp</t>
        </is>
      </c>
      <c r="B549" s="14" t="inlineStr">
        <is>
          <t>coa</t>
        </is>
      </c>
      <c r="C549" s="14" t="inlineStr">
        <is>
          <t>pow</t>
        </is>
      </c>
      <c r="D549" s="45">
        <f>INDEX(Inputs_power!$Z$5:$Z$13,MATCH($B549,Inputs_power!$A$5:$A$13,0))</f>
        <v/>
      </c>
      <c r="E549" s="45">
        <f>INDEX(Inputs_power!$AA$5:$AA$13,MATCH($B549,Inputs_power!$A$5:$A$13,0))</f>
        <v/>
      </c>
      <c r="F549" s="45">
        <f>INDEX(Inputs_power!$AB$5:$AB$13,MATCH($B549,Inputs_power!$A$5:$A$13,0))</f>
        <v/>
      </c>
      <c r="G549" s="45">
        <f>INDEX(Inputs_power!$AD$5:$AD$13,MATCH($B549,Inputs_power!$A$5:$A$13,0))</f>
        <v/>
      </c>
      <c r="H549" s="14">
        <f>INDEX(VarLab,MATCH($A549,VarKey,0))&amp;INDEX(MemLab,MATCH($C549&amp;"|"&amp;$B549,MemKey,0))</f>
        <v/>
      </c>
      <c r="I549" s="14">
        <f>INDEX(VarUnit,MATCH($A549,VarKey,0))</f>
        <v/>
      </c>
      <c r="J549" s="14">
        <f>INDEX(VarSrc,MATCH($A549,VarKey,0))</f>
        <v/>
      </c>
      <c r="K549" s="11">
        <f>CodePrefix&amp;$A549&amp;IF($C549="","","."&amp;$C549&amp;"."&amp;$B549)&amp;INDEX(VarEnd,MATCH($A549,VarKey,0))&amp;K$5</f>
        <v/>
      </c>
      <c r="L549" s="15">
        <f>$D549*(L$263*INDEX(L$23:L$30,$E549)+L$280)+INDEX(L$80:L$93,$F549)*$G549</f>
        <v/>
      </c>
      <c r="M549" s="16">
        <f>$D549*(M$263*INDEX(M$23:M$30,$E549)+M$280)+INDEX(M$80:M$93,$F549)*$G549</f>
        <v/>
      </c>
      <c r="N549" s="16">
        <f>$D549*(N$263*INDEX(N$23:N$30,$E549)+N$280)+INDEX(N$80:N$93,$F549)*$G549</f>
        <v/>
      </c>
      <c r="O549" s="16">
        <f>$D549*(O$263*INDEX(O$23:O$30,$E549)+O$280)+INDEX(O$80:O$93,$F549)*$G549</f>
        <v/>
      </c>
      <c r="P549" s="16">
        <f>$D549*(P$263*INDEX(P$23:P$30,$E549)+P$280)+INDEX(P$80:P$93,$F549)*$G549</f>
        <v/>
      </c>
      <c r="Q549" s="16">
        <f>$D549*(Q$263*INDEX(Q$23:Q$30,$E549)+Q$280)+INDEX(Q$80:Q$93,$F549)*$G549</f>
        <v/>
      </c>
      <c r="R549" s="16">
        <f>$D549*(R$263*INDEX(R$23:R$30,$E549)+R$280)+INDEX(R$80:R$93,$F549)*$G549</f>
        <v/>
      </c>
      <c r="S549" s="16">
        <f>$D549*(S$263*INDEX(S$23:S$30,$E549)+S$280)+INDEX(S$80:S$93,$F549)*$G549</f>
        <v/>
      </c>
      <c r="T549" s="16">
        <f>$D549*(T$263*INDEX(T$23:T$30,$E549)+T$280)+INDEX(T$80:T$93,$F549)*$G549</f>
        <v/>
      </c>
      <c r="U549" s="16">
        <f>$D549*(U$263*INDEX(U$23:U$30,$E549)+U$280)+INDEX(U$80:U$93,$F549)*$G549</f>
        <v/>
      </c>
      <c r="V549" s="16">
        <f>$D549*(V$263*INDEX(V$23:V$30,$E549)+V$280)+INDEX(V$80:V$93,$F549)*$G549</f>
        <v/>
      </c>
      <c r="W549" s="16">
        <f>$D549*(W$263*INDEX(W$23:W$30,$E549)+W$280)+INDEX(W$80:W$93,$F549)*$G549</f>
        <v/>
      </c>
      <c r="X549" s="16">
        <f>$D549*(X$263*INDEX(X$23:X$30,$E549)+X$280)+INDEX(X$80:X$93,$F549)*$G549</f>
        <v/>
      </c>
      <c r="Y549" s="16">
        <f>$D549*(Y$263*INDEX(Y$23:Y$30,$E549)+Y$280)+INDEX(Y$80:Y$93,$F549)*$G549</f>
        <v/>
      </c>
      <c r="Z549" s="16">
        <f>$D549*(Z$263*INDEX(Z$23:Z$30,$E549)+Z$280)+INDEX(Z$80:Z$93,$F549)*$G549</f>
        <v/>
      </c>
      <c r="AA549" s="16">
        <f>$D549*(AA$263*INDEX(AA$23:AA$30,$E549)+AA$280)+INDEX(AA$80:AA$93,$F549)*$G549</f>
        <v/>
      </c>
      <c r="AB549" s="16">
        <f>$D549*(AB$263*INDEX(AB$23:AB$30,$E549)+AB$280)+INDEX(AB$80:AB$93,$F549)*$G549</f>
        <v/>
      </c>
      <c r="AC549" s="16">
        <f>$D549*(AC$263*INDEX(AC$23:AC$30,$E549)+AC$280)+INDEX(AC$80:AC$93,$F549)*$G549</f>
        <v/>
      </c>
      <c r="AD549" s="16">
        <f>$D549*(AD$263*INDEX(AD$23:AD$30,$E549)+AD$280)+INDEX(AD$80:AD$93,$F549)*$G549</f>
        <v/>
      </c>
      <c r="AE549" s="49">
        <f>KWHPOLICY($D549,AE$263,INDEX(AE$23:AE$30,$E549),AE$280,INDEX(AE$80:AE$93,$F549),$G549)</f>
        <v/>
      </c>
      <c r="AG549" s="11">
        <f>CodePrefix&amp;$A549&amp;IF($C549="","","."&amp;$C549&amp;"."&amp;$B549)&amp;INDEX(VarEnd,MATCH($A549,VarKey,0))&amp;AG$5</f>
        <v/>
      </c>
      <c r="AH549" s="15">
        <f>$D549*(AH$263*INDEX(AH$23:AH$30,$E549)+AH$280)+INDEX(AH$80:AH$93,$F549)*$G549</f>
        <v/>
      </c>
      <c r="AI549" s="16">
        <f>$D549*(AI$263*INDEX(AI$23:AI$30,$E549)+AI$280)+INDEX(AI$80:AI$93,$F549)*$G549</f>
        <v/>
      </c>
      <c r="AJ549" s="16">
        <f>$D549*(AJ$263*INDEX(AJ$23:AJ$30,$E549)+AJ$280)+INDEX(AJ$80:AJ$93,$F549)*$G549</f>
        <v/>
      </c>
      <c r="AK549" s="16">
        <f>$D549*(AK$263*INDEX(AK$23:AK$30,$E549)+AK$280)+INDEX(AK$80:AK$93,$F549)*$G549</f>
        <v/>
      </c>
      <c r="AL549" s="16">
        <f>$D549*(AL$263*INDEX(AL$23:AL$30,$E549)+AL$280)+INDEX(AL$80:AL$93,$F549)*$G549</f>
        <v/>
      </c>
      <c r="AM549" s="16">
        <f>$D549*(AM$263*INDEX(AM$23:AM$30,$E549)+AM$280)+INDEX(AM$80:AM$93,$F549)*$G549</f>
        <v/>
      </c>
      <c r="AN549" s="16">
        <f>$D549*(AN$263*INDEX(AN$23:AN$30,$E549)+AN$280)+INDEX(AN$80:AN$93,$F549)*$G549</f>
        <v/>
      </c>
      <c r="AO549" s="16">
        <f>$D549*(AO$263*INDEX(AO$23:AO$30,$E549)+AO$280)+INDEX(AO$80:AO$93,$F549)*$G549</f>
        <v/>
      </c>
      <c r="AP549" s="16">
        <f>$D549*(AP$263*INDEX(AP$23:AP$30,$E549)+AP$280)+INDEX(AP$80:AP$93,$F549)*$G549</f>
        <v/>
      </c>
      <c r="AQ549" s="16">
        <f>$D549*(AQ$263*INDEX(AQ$23:AQ$30,$E549)+AQ$280)+INDEX(AQ$80:AQ$93,$F549)*$G549</f>
        <v/>
      </c>
      <c r="AR549" s="16">
        <f>$D549*(AR$263*INDEX(AR$23:AR$30,$E549)+AR$280)+INDEX(AR$80:AR$93,$F549)*$G549</f>
        <v/>
      </c>
      <c r="AS549" s="16">
        <f>$D549*(AS$263*INDEX(AS$23:AS$30,$E549)+AS$280)+INDEX(AS$80:AS$93,$F549)*$G549</f>
        <v/>
      </c>
      <c r="AT549" s="16">
        <f>$D549*(AT$263*INDEX(AT$23:AT$30,$E549)+AT$280)+INDEX(AT$80:AT$93,$F549)*$G549</f>
        <v/>
      </c>
      <c r="AU549" s="16">
        <f>$D549*(AU$263*INDEX(AU$23:AU$30,$E549)+AU$280)+INDEX(AU$80:AU$93,$F549)*$G549</f>
        <v/>
      </c>
      <c r="AV549" s="16">
        <f>$D549*(AV$263*INDEX(AV$23:AV$30,$E549)+AV$280)+INDEX(AV$80:AV$93,$F549)*$G549</f>
        <v/>
      </c>
      <c r="AW549" s="16">
        <f>$D549*(AW$263*INDEX(AW$23:AW$30,$E549)+AW$280)+INDEX(AW$80:AW$93,$F549)*$G549</f>
        <v/>
      </c>
      <c r="AX549" s="16">
        <f>$D549*(AX$263*INDEX(AX$23:AX$30,$E549)+AX$280)+INDEX(AX$80:AX$93,$F549)*$G549</f>
        <v/>
      </c>
      <c r="AY549" s="16">
        <f>$D549*(AY$263*INDEX(AY$23:AY$30,$E549)+AY$280)+INDEX(AY$80:AY$93,$F549)*$G549</f>
        <v/>
      </c>
      <c r="AZ549" s="16">
        <f>$D549*(AZ$263*INDEX(AZ$23:AZ$30,$E549)+AZ$280)+INDEX(AZ$80:AZ$93,$F549)*$G549</f>
        <v/>
      </c>
      <c r="BA549" s="49">
        <f>KWHPOLICY($D549,BA$263,INDEX(BA$23:BA$30,$E549),BA$280,INDEX(BA$80:BA$93,$F549),$G549)</f>
        <v/>
      </c>
    </row>
    <row r="550" hidden="1" outlineLevel="1">
      <c r="A550" s="14" t="inlineStr">
        <is>
          <t>ccp</t>
        </is>
      </c>
      <c r="B550" s="14" t="inlineStr">
        <is>
          <t>nga</t>
        </is>
      </c>
      <c r="C550" s="14" t="inlineStr">
        <is>
          <t>pow</t>
        </is>
      </c>
      <c r="D550" s="45">
        <f>INDEX(Inputs_power!$Z$5:$Z$13,MATCH($B550,Inputs_power!$A$5:$A$13,0))</f>
        <v/>
      </c>
      <c r="E550" s="45">
        <f>INDEX(Inputs_power!$AA$5:$AA$13,MATCH($B550,Inputs_power!$A$5:$A$13,0))</f>
        <v/>
      </c>
      <c r="F550" s="45">
        <f>INDEX(Inputs_power!$AB$5:$AB$13,MATCH($B550,Inputs_power!$A$5:$A$13,0))</f>
        <v/>
      </c>
      <c r="G550" s="45">
        <f>INDEX(Inputs_power!$AD$5:$AD$13,MATCH($B550,Inputs_power!$A$5:$A$13,0))</f>
        <v/>
      </c>
      <c r="H550" s="14">
        <f>INDEX(VarLab,MATCH($A550,VarKey,0))&amp;INDEX(MemLab,MATCH($C550&amp;"|"&amp;$B550,MemKey,0))</f>
        <v/>
      </c>
      <c r="I550" s="14">
        <f>INDEX(VarUnit,MATCH($A550,VarKey,0))</f>
        <v/>
      </c>
      <c r="J550" s="14">
        <f>INDEX(VarSrc,MATCH($A550,VarKey,0))</f>
        <v/>
      </c>
      <c r="K550" s="11">
        <f>CodePrefix&amp;$A550&amp;IF($C550="","","."&amp;$C550&amp;"."&amp;$B550)&amp;INDEX(VarEnd,MATCH($A550,VarKey,0))&amp;K$5</f>
        <v/>
      </c>
      <c r="L550" s="15">
        <f>$D550*(L$263*INDEX(L$23:L$30,$E550)+L$280)+INDEX(L$80:L$93,$F550)*$G550</f>
        <v/>
      </c>
      <c r="M550" s="16">
        <f>$D550*(M$263*INDEX(M$23:M$30,$E550)+M$280)+INDEX(M$80:M$93,$F550)*$G550</f>
        <v/>
      </c>
      <c r="N550" s="16">
        <f>$D550*(N$263*INDEX(N$23:N$30,$E550)+N$280)+INDEX(N$80:N$93,$F550)*$G550</f>
        <v/>
      </c>
      <c r="O550" s="16">
        <f>$D550*(O$263*INDEX(O$23:O$30,$E550)+O$280)+INDEX(O$80:O$93,$F550)*$G550</f>
        <v/>
      </c>
      <c r="P550" s="16">
        <f>$D550*(P$263*INDEX(P$23:P$30,$E550)+P$280)+INDEX(P$80:P$93,$F550)*$G550</f>
        <v/>
      </c>
      <c r="Q550" s="16">
        <f>$D550*(Q$263*INDEX(Q$23:Q$30,$E550)+Q$280)+INDEX(Q$80:Q$93,$F550)*$G550</f>
        <v/>
      </c>
      <c r="R550" s="16">
        <f>$D550*(R$263*INDEX(R$23:R$30,$E550)+R$280)+INDEX(R$80:R$93,$F550)*$G550</f>
        <v/>
      </c>
      <c r="S550" s="16">
        <f>$D550*(S$263*INDEX(S$23:S$30,$E550)+S$280)+INDEX(S$80:S$93,$F550)*$G550</f>
        <v/>
      </c>
      <c r="T550" s="16">
        <f>$D550*(T$263*INDEX(T$23:T$30,$E550)+T$280)+INDEX(T$80:T$93,$F550)*$G550</f>
        <v/>
      </c>
      <c r="U550" s="16">
        <f>$D550*(U$263*INDEX(U$23:U$30,$E550)+U$280)+INDEX(U$80:U$93,$F550)*$G550</f>
        <v/>
      </c>
      <c r="V550" s="16">
        <f>$D550*(V$263*INDEX(V$23:V$30,$E550)+V$280)+INDEX(V$80:V$93,$F550)*$G550</f>
        <v/>
      </c>
      <c r="W550" s="16">
        <f>$D550*(W$263*INDEX(W$23:W$30,$E550)+W$280)+INDEX(W$80:W$93,$F550)*$G550</f>
        <v/>
      </c>
      <c r="X550" s="16">
        <f>$D550*(X$263*INDEX(X$23:X$30,$E550)+X$280)+INDEX(X$80:X$93,$F550)*$G550</f>
        <v/>
      </c>
      <c r="Y550" s="16">
        <f>$D550*(Y$263*INDEX(Y$23:Y$30,$E550)+Y$280)+INDEX(Y$80:Y$93,$F550)*$G550</f>
        <v/>
      </c>
      <c r="Z550" s="16">
        <f>$D550*(Z$263*INDEX(Z$23:Z$30,$E550)+Z$280)+INDEX(Z$80:Z$93,$F550)*$G550</f>
        <v/>
      </c>
      <c r="AA550" s="16">
        <f>$D550*(AA$263*INDEX(AA$23:AA$30,$E550)+AA$280)+INDEX(AA$80:AA$93,$F550)*$G550</f>
        <v/>
      </c>
      <c r="AB550" s="16">
        <f>$D550*(AB$263*INDEX(AB$23:AB$30,$E550)+AB$280)+INDEX(AB$80:AB$93,$F550)*$G550</f>
        <v/>
      </c>
      <c r="AC550" s="16">
        <f>$D550*(AC$263*INDEX(AC$23:AC$30,$E550)+AC$280)+INDEX(AC$80:AC$93,$F550)*$G550</f>
        <v/>
      </c>
      <c r="AD550" s="16">
        <f>$D550*(AD$263*INDEX(AD$23:AD$30,$E550)+AD$280)+INDEX(AD$80:AD$93,$F550)*$G550</f>
        <v/>
      </c>
      <c r="AE550" s="49">
        <f>KWHPOLICY($D550,AE$263,INDEX(AE$23:AE$30,$E550),AE$280,INDEX(AE$80:AE$93,$F550),$G550)</f>
        <v/>
      </c>
      <c r="AG550" s="11">
        <f>CodePrefix&amp;$A550&amp;IF($C550="","","."&amp;$C550&amp;"."&amp;$B550)&amp;INDEX(VarEnd,MATCH($A550,VarKey,0))&amp;AG$5</f>
        <v/>
      </c>
      <c r="AH550" s="15">
        <f>$D550*(AH$263*INDEX(AH$23:AH$30,$E550)+AH$280)+INDEX(AH$80:AH$93,$F550)*$G550</f>
        <v/>
      </c>
      <c r="AI550" s="16">
        <f>$D550*(AI$263*INDEX(AI$23:AI$30,$E550)+AI$280)+INDEX(AI$80:AI$93,$F550)*$G550</f>
        <v/>
      </c>
      <c r="AJ550" s="16">
        <f>$D550*(AJ$263*INDEX(AJ$23:AJ$30,$E550)+AJ$280)+INDEX(AJ$80:AJ$93,$F550)*$G550</f>
        <v/>
      </c>
      <c r="AK550" s="16">
        <f>$D550*(AK$263*INDEX(AK$23:AK$30,$E550)+AK$280)+INDEX(AK$80:AK$93,$F550)*$G550</f>
        <v/>
      </c>
      <c r="AL550" s="16">
        <f>$D550*(AL$263*INDEX(AL$23:AL$30,$E550)+AL$280)+INDEX(AL$80:AL$93,$F550)*$G550</f>
        <v/>
      </c>
      <c r="AM550" s="16">
        <f>$D550*(AM$263*INDEX(AM$23:AM$30,$E550)+AM$280)+INDEX(AM$80:AM$93,$F550)*$G550</f>
        <v/>
      </c>
      <c r="AN550" s="16">
        <f>$D550*(AN$263*INDEX(AN$23:AN$30,$E550)+AN$280)+INDEX(AN$80:AN$93,$F550)*$G550</f>
        <v/>
      </c>
      <c r="AO550" s="16">
        <f>$D550*(AO$263*INDEX(AO$23:AO$30,$E550)+AO$280)+INDEX(AO$80:AO$93,$F550)*$G550</f>
        <v/>
      </c>
      <c r="AP550" s="16">
        <f>$D550*(AP$263*INDEX(AP$23:AP$30,$E550)+AP$280)+INDEX(AP$80:AP$93,$F550)*$G550</f>
        <v/>
      </c>
      <c r="AQ550" s="16">
        <f>$D550*(AQ$263*INDEX(AQ$23:AQ$30,$E550)+AQ$280)+INDEX(AQ$80:AQ$93,$F550)*$G550</f>
        <v/>
      </c>
      <c r="AR550" s="16">
        <f>$D550*(AR$263*INDEX(AR$23:AR$30,$E550)+AR$280)+INDEX(AR$80:AR$93,$F550)*$G550</f>
        <v/>
      </c>
      <c r="AS550" s="16">
        <f>$D550*(AS$263*INDEX(AS$23:AS$30,$E550)+AS$280)+INDEX(AS$80:AS$93,$F550)*$G550</f>
        <v/>
      </c>
      <c r="AT550" s="16">
        <f>$D550*(AT$263*INDEX(AT$23:AT$30,$E550)+AT$280)+INDEX(AT$80:AT$93,$F550)*$G550</f>
        <v/>
      </c>
      <c r="AU550" s="16">
        <f>$D550*(AU$263*INDEX(AU$23:AU$30,$E550)+AU$280)+INDEX(AU$80:AU$93,$F550)*$G550</f>
        <v/>
      </c>
      <c r="AV550" s="16">
        <f>$D550*(AV$263*INDEX(AV$23:AV$30,$E550)+AV$280)+INDEX(AV$80:AV$93,$F550)*$G550</f>
        <v/>
      </c>
      <c r="AW550" s="16">
        <f>$D550*(AW$263*INDEX(AW$23:AW$30,$E550)+AW$280)+INDEX(AW$80:AW$93,$F550)*$G550</f>
        <v/>
      </c>
      <c r="AX550" s="16">
        <f>$D550*(AX$263*INDEX(AX$23:AX$30,$E550)+AX$280)+INDEX(AX$80:AX$93,$F550)*$G550</f>
        <v/>
      </c>
      <c r="AY550" s="16">
        <f>$D550*(AY$263*INDEX(AY$23:AY$30,$E550)+AY$280)+INDEX(AY$80:AY$93,$F550)*$G550</f>
        <v/>
      </c>
      <c r="AZ550" s="16">
        <f>$D550*(AZ$263*INDEX(AZ$23:AZ$30,$E550)+AZ$280)+INDEX(AZ$80:AZ$93,$F550)*$G550</f>
        <v/>
      </c>
      <c r="BA550" s="49">
        <f>KWHPOLICY($D550,BA$263,INDEX(BA$23:BA$30,$E550),BA$280,INDEX(BA$80:BA$93,$F550),$G550)</f>
        <v/>
      </c>
    </row>
    <row r="551" hidden="1" outlineLevel="1">
      <c r="A551" s="14" t="inlineStr">
        <is>
          <t>ccp</t>
        </is>
      </c>
      <c r="B551" s="14" t="inlineStr">
        <is>
          <t>oop</t>
        </is>
      </c>
      <c r="C551" s="14" t="inlineStr">
        <is>
          <t>pow</t>
        </is>
      </c>
      <c r="D551" s="45">
        <f>INDEX(Inputs_power!$Z$5:$Z$13,MATCH($B551,Inputs_power!$A$5:$A$13,0))</f>
        <v/>
      </c>
      <c r="E551" s="45">
        <f>INDEX(Inputs_power!$AA$5:$AA$13,MATCH($B551,Inputs_power!$A$5:$A$13,0))</f>
        <v/>
      </c>
      <c r="F551" s="45">
        <f>INDEX(Inputs_power!$AB$5:$AB$13,MATCH($B551,Inputs_power!$A$5:$A$13,0))</f>
        <v/>
      </c>
      <c r="G551" s="45">
        <f>INDEX(Inputs_power!$AD$5:$AD$13,MATCH($B551,Inputs_power!$A$5:$A$13,0))</f>
        <v/>
      </c>
      <c r="H551" s="14">
        <f>INDEX(VarLab,MATCH($A551,VarKey,0))&amp;INDEX(MemLab,MATCH($C551&amp;"|"&amp;$B551,MemKey,0))</f>
        <v/>
      </c>
      <c r="I551" s="14">
        <f>INDEX(VarUnit,MATCH($A551,VarKey,0))</f>
        <v/>
      </c>
      <c r="J551" s="14">
        <f>INDEX(VarSrc,MATCH($A551,VarKey,0))</f>
        <v/>
      </c>
      <c r="K551" s="11">
        <f>CodePrefix&amp;$A551&amp;IF($C551="","","."&amp;$C551&amp;"."&amp;$B551)&amp;INDEX(VarEnd,MATCH($A551,VarKey,0))&amp;K$5</f>
        <v/>
      </c>
      <c r="L551" s="15">
        <f>$D551*(L$263*INDEX(L$23:L$30,$E551)+L$280)+INDEX(L$80:L$93,$F551)*$G551</f>
        <v/>
      </c>
      <c r="M551" s="16">
        <f>$D551*(M$263*INDEX(M$23:M$30,$E551)+M$280)+INDEX(M$80:M$93,$F551)*$G551</f>
        <v/>
      </c>
      <c r="N551" s="16">
        <f>$D551*(N$263*INDEX(N$23:N$30,$E551)+N$280)+INDEX(N$80:N$93,$F551)*$G551</f>
        <v/>
      </c>
      <c r="O551" s="16">
        <f>$D551*(O$263*INDEX(O$23:O$30,$E551)+O$280)+INDEX(O$80:O$93,$F551)*$G551</f>
        <v/>
      </c>
      <c r="P551" s="16">
        <f>$D551*(P$263*INDEX(P$23:P$30,$E551)+P$280)+INDEX(P$80:P$93,$F551)*$G551</f>
        <v/>
      </c>
      <c r="Q551" s="16">
        <f>$D551*(Q$263*INDEX(Q$23:Q$30,$E551)+Q$280)+INDEX(Q$80:Q$93,$F551)*$G551</f>
        <v/>
      </c>
      <c r="R551" s="16">
        <f>$D551*(R$263*INDEX(R$23:R$30,$E551)+R$280)+INDEX(R$80:R$93,$F551)*$G551</f>
        <v/>
      </c>
      <c r="S551" s="16">
        <f>$D551*(S$263*INDEX(S$23:S$30,$E551)+S$280)+INDEX(S$80:S$93,$F551)*$G551</f>
        <v/>
      </c>
      <c r="T551" s="16">
        <f>$D551*(T$263*INDEX(T$23:T$30,$E551)+T$280)+INDEX(T$80:T$93,$F551)*$G551</f>
        <v/>
      </c>
      <c r="U551" s="16">
        <f>$D551*(U$263*INDEX(U$23:U$30,$E551)+U$280)+INDEX(U$80:U$93,$F551)*$G551</f>
        <v/>
      </c>
      <c r="V551" s="16">
        <f>$D551*(V$263*INDEX(V$23:V$30,$E551)+V$280)+INDEX(V$80:V$93,$F551)*$G551</f>
        <v/>
      </c>
      <c r="W551" s="16">
        <f>$D551*(W$263*INDEX(W$23:W$30,$E551)+W$280)+INDEX(W$80:W$93,$F551)*$G551</f>
        <v/>
      </c>
      <c r="X551" s="16">
        <f>$D551*(X$263*INDEX(X$23:X$30,$E551)+X$280)+INDEX(X$80:X$93,$F551)*$G551</f>
        <v/>
      </c>
      <c r="Y551" s="16">
        <f>$D551*(Y$263*INDEX(Y$23:Y$30,$E551)+Y$280)+INDEX(Y$80:Y$93,$F551)*$G551</f>
        <v/>
      </c>
      <c r="Z551" s="16">
        <f>$D551*(Z$263*INDEX(Z$23:Z$30,$E551)+Z$280)+INDEX(Z$80:Z$93,$F551)*$G551</f>
        <v/>
      </c>
      <c r="AA551" s="16">
        <f>$D551*(AA$263*INDEX(AA$23:AA$30,$E551)+AA$280)+INDEX(AA$80:AA$93,$F551)*$G551</f>
        <v/>
      </c>
      <c r="AB551" s="16">
        <f>$D551*(AB$263*INDEX(AB$23:AB$30,$E551)+AB$280)+INDEX(AB$80:AB$93,$F551)*$G551</f>
        <v/>
      </c>
      <c r="AC551" s="16">
        <f>$D551*(AC$263*INDEX(AC$23:AC$30,$E551)+AC$280)+INDEX(AC$80:AC$93,$F551)*$G551</f>
        <v/>
      </c>
      <c r="AD551" s="16">
        <f>$D551*(AD$263*INDEX(AD$23:AD$30,$E551)+AD$280)+INDEX(AD$80:AD$93,$F551)*$G551</f>
        <v/>
      </c>
      <c r="AE551" s="49">
        <f>KWHPOLICY($D551,AE$263,INDEX(AE$23:AE$30,$E551),AE$280,INDEX(AE$80:AE$93,$F551),$G551)</f>
        <v/>
      </c>
      <c r="AG551" s="11">
        <f>CodePrefix&amp;$A551&amp;IF($C551="","","."&amp;$C551&amp;"."&amp;$B551)&amp;INDEX(VarEnd,MATCH($A551,VarKey,0))&amp;AG$5</f>
        <v/>
      </c>
      <c r="AH551" s="15">
        <f>$D551*(AH$263*INDEX(AH$23:AH$30,$E551)+AH$280)+INDEX(AH$80:AH$93,$F551)*$G551</f>
        <v/>
      </c>
      <c r="AI551" s="16">
        <f>$D551*(AI$263*INDEX(AI$23:AI$30,$E551)+AI$280)+INDEX(AI$80:AI$93,$F551)*$G551</f>
        <v/>
      </c>
      <c r="AJ551" s="16">
        <f>$D551*(AJ$263*INDEX(AJ$23:AJ$30,$E551)+AJ$280)+INDEX(AJ$80:AJ$93,$F551)*$G551</f>
        <v/>
      </c>
      <c r="AK551" s="16">
        <f>$D551*(AK$263*INDEX(AK$23:AK$30,$E551)+AK$280)+INDEX(AK$80:AK$93,$F551)*$G551</f>
        <v/>
      </c>
      <c r="AL551" s="16">
        <f>$D551*(AL$263*INDEX(AL$23:AL$30,$E551)+AL$280)+INDEX(AL$80:AL$93,$F551)*$G551</f>
        <v/>
      </c>
      <c r="AM551" s="16">
        <f>$D551*(AM$263*INDEX(AM$23:AM$30,$E551)+AM$280)+INDEX(AM$80:AM$93,$F551)*$G551</f>
        <v/>
      </c>
      <c r="AN551" s="16">
        <f>$D551*(AN$263*INDEX(AN$23:AN$30,$E551)+AN$280)+INDEX(AN$80:AN$93,$F551)*$G551</f>
        <v/>
      </c>
      <c r="AO551" s="16">
        <f>$D551*(AO$263*INDEX(AO$23:AO$30,$E551)+AO$280)+INDEX(AO$80:AO$93,$F551)*$G551</f>
        <v/>
      </c>
      <c r="AP551" s="16">
        <f>$D551*(AP$263*INDEX(AP$23:AP$30,$E551)+AP$280)+INDEX(AP$80:AP$93,$F551)*$G551</f>
        <v/>
      </c>
      <c r="AQ551" s="16">
        <f>$D551*(AQ$263*INDEX(AQ$23:AQ$30,$E551)+AQ$280)+INDEX(AQ$80:AQ$93,$F551)*$G551</f>
        <v/>
      </c>
      <c r="AR551" s="16">
        <f>$D551*(AR$263*INDEX(AR$23:AR$30,$E551)+AR$280)+INDEX(AR$80:AR$93,$F551)*$G551</f>
        <v/>
      </c>
      <c r="AS551" s="16">
        <f>$D551*(AS$263*INDEX(AS$23:AS$30,$E551)+AS$280)+INDEX(AS$80:AS$93,$F551)*$G551</f>
        <v/>
      </c>
      <c r="AT551" s="16">
        <f>$D551*(AT$263*INDEX(AT$23:AT$30,$E551)+AT$280)+INDEX(AT$80:AT$93,$F551)*$G551</f>
        <v/>
      </c>
      <c r="AU551" s="16">
        <f>$D551*(AU$263*INDEX(AU$23:AU$30,$E551)+AU$280)+INDEX(AU$80:AU$93,$F551)*$G551</f>
        <v/>
      </c>
      <c r="AV551" s="16">
        <f>$D551*(AV$263*INDEX(AV$23:AV$30,$E551)+AV$280)+INDEX(AV$80:AV$93,$F551)*$G551</f>
        <v/>
      </c>
      <c r="AW551" s="16">
        <f>$D551*(AW$263*INDEX(AW$23:AW$30,$E551)+AW$280)+INDEX(AW$80:AW$93,$F551)*$G551</f>
        <v/>
      </c>
      <c r="AX551" s="16">
        <f>$D551*(AX$263*INDEX(AX$23:AX$30,$E551)+AX$280)+INDEX(AX$80:AX$93,$F551)*$G551</f>
        <v/>
      </c>
      <c r="AY551" s="16">
        <f>$D551*(AY$263*INDEX(AY$23:AY$30,$E551)+AY$280)+INDEX(AY$80:AY$93,$F551)*$G551</f>
        <v/>
      </c>
      <c r="AZ551" s="16">
        <f>$D551*(AZ$263*INDEX(AZ$23:AZ$30,$E551)+AZ$280)+INDEX(AZ$80:AZ$93,$F551)*$G551</f>
        <v/>
      </c>
      <c r="BA551" s="49">
        <f>KWHPOLICY($D551,BA$263,INDEX(BA$23:BA$30,$E551),BA$280,INDEX(BA$80:BA$93,$F551),$G551)</f>
        <v/>
      </c>
    </row>
    <row r="552" hidden="1" outlineLevel="1">
      <c r="A552" s="14" t="inlineStr">
        <is>
          <t>ccp</t>
        </is>
      </c>
      <c r="B552" s="14" t="inlineStr">
        <is>
          <t>nuc</t>
        </is>
      </c>
      <c r="C552" s="14" t="inlineStr">
        <is>
          <t>pow</t>
        </is>
      </c>
      <c r="D552" s="45">
        <f>INDEX(Inputs_power!$Z$5:$Z$13,MATCH($B552,Inputs_power!$A$5:$A$13,0))</f>
        <v/>
      </c>
      <c r="E552" s="45">
        <f>INDEX(Inputs_power!$AA$5:$AA$13,MATCH($B552,Inputs_power!$A$5:$A$13,0))</f>
        <v/>
      </c>
      <c r="F552" s="45">
        <f>INDEX(Inputs_power!$AB$5:$AB$13,MATCH($B552,Inputs_power!$A$5:$A$13,0))</f>
        <v/>
      </c>
      <c r="G552" s="45">
        <f>INDEX(Inputs_power!$AD$5:$AD$13,MATCH($B552,Inputs_power!$A$5:$A$13,0))</f>
        <v/>
      </c>
      <c r="H552" s="14">
        <f>INDEX(VarLab,MATCH($A552,VarKey,0))&amp;INDEX(MemLab,MATCH($C552&amp;"|"&amp;$B552,MemKey,0))</f>
        <v/>
      </c>
      <c r="I552" s="14">
        <f>INDEX(VarUnit,MATCH($A552,VarKey,0))</f>
        <v/>
      </c>
      <c r="J552" s="14">
        <f>INDEX(VarSrc,MATCH($A552,VarKey,0))</f>
        <v/>
      </c>
      <c r="K552" s="11">
        <f>CodePrefix&amp;$A552&amp;IF($C552="","","."&amp;$C552&amp;"."&amp;$B552)&amp;INDEX(VarEnd,MATCH($A552,VarKey,0))&amp;K$5</f>
        <v/>
      </c>
      <c r="L552" s="15">
        <f>$D552*(L$263*INDEX(L$23:L$30,$E552)+L$280)+INDEX(L$80:L$93,$F552)*$G552</f>
        <v/>
      </c>
      <c r="M552" s="16">
        <f>$D552*(M$263*INDEX(M$23:M$30,$E552)+M$280)+INDEX(M$80:M$93,$F552)*$G552</f>
        <v/>
      </c>
      <c r="N552" s="16">
        <f>$D552*(N$263*INDEX(N$23:N$30,$E552)+N$280)+INDEX(N$80:N$93,$F552)*$G552</f>
        <v/>
      </c>
      <c r="O552" s="16">
        <f>$D552*(O$263*INDEX(O$23:O$30,$E552)+O$280)+INDEX(O$80:O$93,$F552)*$G552</f>
        <v/>
      </c>
      <c r="P552" s="16">
        <f>$D552*(P$263*INDEX(P$23:P$30,$E552)+P$280)+INDEX(P$80:P$93,$F552)*$G552</f>
        <v/>
      </c>
      <c r="Q552" s="16">
        <f>$D552*(Q$263*INDEX(Q$23:Q$30,$E552)+Q$280)+INDEX(Q$80:Q$93,$F552)*$G552</f>
        <v/>
      </c>
      <c r="R552" s="16">
        <f>$D552*(R$263*INDEX(R$23:R$30,$E552)+R$280)+INDEX(R$80:R$93,$F552)*$G552</f>
        <v/>
      </c>
      <c r="S552" s="16">
        <f>$D552*(S$263*INDEX(S$23:S$30,$E552)+S$280)+INDEX(S$80:S$93,$F552)*$G552</f>
        <v/>
      </c>
      <c r="T552" s="16">
        <f>$D552*(T$263*INDEX(T$23:T$30,$E552)+T$280)+INDEX(T$80:T$93,$F552)*$G552</f>
        <v/>
      </c>
      <c r="U552" s="16">
        <f>$D552*(U$263*INDEX(U$23:U$30,$E552)+U$280)+INDEX(U$80:U$93,$F552)*$G552</f>
        <v/>
      </c>
      <c r="V552" s="16">
        <f>$D552*(V$263*INDEX(V$23:V$30,$E552)+V$280)+INDEX(V$80:V$93,$F552)*$G552</f>
        <v/>
      </c>
      <c r="W552" s="16">
        <f>$D552*(W$263*INDEX(W$23:W$30,$E552)+W$280)+INDEX(W$80:W$93,$F552)*$G552</f>
        <v/>
      </c>
      <c r="X552" s="16">
        <f>$D552*(X$263*INDEX(X$23:X$30,$E552)+X$280)+INDEX(X$80:X$93,$F552)*$G552</f>
        <v/>
      </c>
      <c r="Y552" s="16">
        <f>$D552*(Y$263*INDEX(Y$23:Y$30,$E552)+Y$280)+INDEX(Y$80:Y$93,$F552)*$G552</f>
        <v/>
      </c>
      <c r="Z552" s="16">
        <f>$D552*(Z$263*INDEX(Z$23:Z$30,$E552)+Z$280)+INDEX(Z$80:Z$93,$F552)*$G552</f>
        <v/>
      </c>
      <c r="AA552" s="16">
        <f>$D552*(AA$263*INDEX(AA$23:AA$30,$E552)+AA$280)+INDEX(AA$80:AA$93,$F552)*$G552</f>
        <v/>
      </c>
      <c r="AB552" s="16">
        <f>$D552*(AB$263*INDEX(AB$23:AB$30,$E552)+AB$280)+INDEX(AB$80:AB$93,$F552)*$G552</f>
        <v/>
      </c>
      <c r="AC552" s="16">
        <f>$D552*(AC$263*INDEX(AC$23:AC$30,$E552)+AC$280)+INDEX(AC$80:AC$93,$F552)*$G552</f>
        <v/>
      </c>
      <c r="AD552" s="16">
        <f>$D552*(AD$263*INDEX(AD$23:AD$30,$E552)+AD$280)+INDEX(AD$80:AD$93,$F552)*$G552</f>
        <v/>
      </c>
      <c r="AE552" s="49">
        <f>KWHPOLICY($D552,AE$263,INDEX(AE$23:AE$30,$E552),AE$280,INDEX(AE$80:AE$93,$F552),$G552)</f>
        <v/>
      </c>
      <c r="AG552" s="11">
        <f>CodePrefix&amp;$A552&amp;IF($C552="","","."&amp;$C552&amp;"."&amp;$B552)&amp;INDEX(VarEnd,MATCH($A552,VarKey,0))&amp;AG$5</f>
        <v/>
      </c>
      <c r="AH552" s="15">
        <f>$D552*(AH$263*INDEX(AH$23:AH$30,$E552)+AH$280)+INDEX(AH$80:AH$93,$F552)*$G552</f>
        <v/>
      </c>
      <c r="AI552" s="16">
        <f>$D552*(AI$263*INDEX(AI$23:AI$30,$E552)+AI$280)+INDEX(AI$80:AI$93,$F552)*$G552</f>
        <v/>
      </c>
      <c r="AJ552" s="16">
        <f>$D552*(AJ$263*INDEX(AJ$23:AJ$30,$E552)+AJ$280)+INDEX(AJ$80:AJ$93,$F552)*$G552</f>
        <v/>
      </c>
      <c r="AK552" s="16">
        <f>$D552*(AK$263*INDEX(AK$23:AK$30,$E552)+AK$280)+INDEX(AK$80:AK$93,$F552)*$G552</f>
        <v/>
      </c>
      <c r="AL552" s="16">
        <f>$D552*(AL$263*INDEX(AL$23:AL$30,$E552)+AL$280)+INDEX(AL$80:AL$93,$F552)*$G552</f>
        <v/>
      </c>
      <c r="AM552" s="16">
        <f>$D552*(AM$263*INDEX(AM$23:AM$30,$E552)+AM$280)+INDEX(AM$80:AM$93,$F552)*$G552</f>
        <v/>
      </c>
      <c r="AN552" s="16">
        <f>$D552*(AN$263*INDEX(AN$23:AN$30,$E552)+AN$280)+INDEX(AN$80:AN$93,$F552)*$G552</f>
        <v/>
      </c>
      <c r="AO552" s="16">
        <f>$D552*(AO$263*INDEX(AO$23:AO$30,$E552)+AO$280)+INDEX(AO$80:AO$93,$F552)*$G552</f>
        <v/>
      </c>
      <c r="AP552" s="16">
        <f>$D552*(AP$263*INDEX(AP$23:AP$30,$E552)+AP$280)+INDEX(AP$80:AP$93,$F552)*$G552</f>
        <v/>
      </c>
      <c r="AQ552" s="16">
        <f>$D552*(AQ$263*INDEX(AQ$23:AQ$30,$E552)+AQ$280)+INDEX(AQ$80:AQ$93,$F552)*$G552</f>
        <v/>
      </c>
      <c r="AR552" s="16">
        <f>$D552*(AR$263*INDEX(AR$23:AR$30,$E552)+AR$280)+INDEX(AR$80:AR$93,$F552)*$G552</f>
        <v/>
      </c>
      <c r="AS552" s="16">
        <f>$D552*(AS$263*INDEX(AS$23:AS$30,$E552)+AS$280)+INDEX(AS$80:AS$93,$F552)*$G552</f>
        <v/>
      </c>
      <c r="AT552" s="16">
        <f>$D552*(AT$263*INDEX(AT$23:AT$30,$E552)+AT$280)+INDEX(AT$80:AT$93,$F552)*$G552</f>
        <v/>
      </c>
      <c r="AU552" s="16">
        <f>$D552*(AU$263*INDEX(AU$23:AU$30,$E552)+AU$280)+INDEX(AU$80:AU$93,$F552)*$G552</f>
        <v/>
      </c>
      <c r="AV552" s="16">
        <f>$D552*(AV$263*INDEX(AV$23:AV$30,$E552)+AV$280)+INDEX(AV$80:AV$93,$F552)*$G552</f>
        <v/>
      </c>
      <c r="AW552" s="16">
        <f>$D552*(AW$263*INDEX(AW$23:AW$30,$E552)+AW$280)+INDEX(AW$80:AW$93,$F552)*$G552</f>
        <v/>
      </c>
      <c r="AX552" s="16">
        <f>$D552*(AX$263*INDEX(AX$23:AX$30,$E552)+AX$280)+INDEX(AX$80:AX$93,$F552)*$G552</f>
        <v/>
      </c>
      <c r="AY552" s="16">
        <f>$D552*(AY$263*INDEX(AY$23:AY$30,$E552)+AY$280)+INDEX(AY$80:AY$93,$F552)*$G552</f>
        <v/>
      </c>
      <c r="AZ552" s="16">
        <f>$D552*(AZ$263*INDEX(AZ$23:AZ$30,$E552)+AZ$280)+INDEX(AZ$80:AZ$93,$F552)*$G552</f>
        <v/>
      </c>
      <c r="BA552" s="49">
        <f>KWHPOLICY($D552,BA$263,INDEX(BA$23:BA$30,$E552),BA$280,INDEX(BA$80:BA$93,$F552),$G552)</f>
        <v/>
      </c>
    </row>
    <row r="553" hidden="1" outlineLevel="1">
      <c r="A553" s="14" t="inlineStr">
        <is>
          <t>ccp</t>
        </is>
      </c>
      <c r="B553" s="14" t="inlineStr">
        <is>
          <t>wnd</t>
        </is>
      </c>
      <c r="C553" s="14" t="inlineStr">
        <is>
          <t>pow</t>
        </is>
      </c>
      <c r="D553" s="45">
        <f>INDEX(Inputs_power!$Z$5:$Z$13,MATCH($B553,Inputs_power!$A$5:$A$13,0))</f>
        <v/>
      </c>
      <c r="E553" s="45">
        <f>INDEX(Inputs_power!$AA$5:$AA$13,MATCH($B553,Inputs_power!$A$5:$A$13,0))</f>
        <v/>
      </c>
      <c r="F553" s="45">
        <f>INDEX(Inputs_power!$AB$5:$AB$13,MATCH($B553,Inputs_power!$A$5:$A$13,0))</f>
        <v/>
      </c>
      <c r="G553" s="45">
        <f>INDEX(Inputs_power!$AD$5:$AD$13,MATCH($B553,Inputs_power!$A$5:$A$13,0))</f>
        <v/>
      </c>
      <c r="H553" s="14">
        <f>INDEX(VarLab,MATCH($A553,VarKey,0))&amp;INDEX(MemLab,MATCH($C553&amp;"|"&amp;$B553,MemKey,0))</f>
        <v/>
      </c>
      <c r="I553" s="14">
        <f>INDEX(VarUnit,MATCH($A553,VarKey,0))</f>
        <v/>
      </c>
      <c r="J553" s="14">
        <f>INDEX(VarSrc,MATCH($A553,VarKey,0))</f>
        <v/>
      </c>
      <c r="K553" s="11">
        <f>CodePrefix&amp;$A553&amp;IF($C553="","","."&amp;$C553&amp;"."&amp;$B553)&amp;INDEX(VarEnd,MATCH($A553,VarKey,0))&amp;K$5</f>
        <v/>
      </c>
      <c r="L553" s="15">
        <f>$D553*(L$263*INDEX(L$23:L$30,$E553)+L$280)+INDEX(L$80:L$93,$F553)*$G553</f>
        <v/>
      </c>
      <c r="M553" s="16">
        <f>$D553*(M$263*INDEX(M$23:M$30,$E553)+M$280)+INDEX(M$80:M$93,$F553)*$G553</f>
        <v/>
      </c>
      <c r="N553" s="16">
        <f>$D553*(N$263*INDEX(N$23:N$30,$E553)+N$280)+INDEX(N$80:N$93,$F553)*$G553</f>
        <v/>
      </c>
      <c r="O553" s="16">
        <f>$D553*(O$263*INDEX(O$23:O$30,$E553)+O$280)+INDEX(O$80:O$93,$F553)*$G553</f>
        <v/>
      </c>
      <c r="P553" s="16">
        <f>$D553*(P$263*INDEX(P$23:P$30,$E553)+P$280)+INDEX(P$80:P$93,$F553)*$G553</f>
        <v/>
      </c>
      <c r="Q553" s="16">
        <f>$D553*(Q$263*INDEX(Q$23:Q$30,$E553)+Q$280)+INDEX(Q$80:Q$93,$F553)*$G553</f>
        <v/>
      </c>
      <c r="R553" s="16">
        <f>$D553*(R$263*INDEX(R$23:R$30,$E553)+R$280)+INDEX(R$80:R$93,$F553)*$G553</f>
        <v/>
      </c>
      <c r="S553" s="16">
        <f>$D553*(S$263*INDEX(S$23:S$30,$E553)+S$280)+INDEX(S$80:S$93,$F553)*$G553</f>
        <v/>
      </c>
      <c r="T553" s="16">
        <f>$D553*(T$263*INDEX(T$23:T$30,$E553)+T$280)+INDEX(T$80:T$93,$F553)*$G553</f>
        <v/>
      </c>
      <c r="U553" s="16">
        <f>$D553*(U$263*INDEX(U$23:U$30,$E553)+U$280)+INDEX(U$80:U$93,$F553)*$G553</f>
        <v/>
      </c>
      <c r="V553" s="16">
        <f>$D553*(V$263*INDEX(V$23:V$30,$E553)+V$280)+INDEX(V$80:V$93,$F553)*$G553</f>
        <v/>
      </c>
      <c r="W553" s="16">
        <f>$D553*(W$263*INDEX(W$23:W$30,$E553)+W$280)+INDEX(W$80:W$93,$F553)*$G553</f>
        <v/>
      </c>
      <c r="X553" s="16">
        <f>$D553*(X$263*INDEX(X$23:X$30,$E553)+X$280)+INDEX(X$80:X$93,$F553)*$G553</f>
        <v/>
      </c>
      <c r="Y553" s="16">
        <f>$D553*(Y$263*INDEX(Y$23:Y$30,$E553)+Y$280)+INDEX(Y$80:Y$93,$F553)*$G553</f>
        <v/>
      </c>
      <c r="Z553" s="16">
        <f>$D553*(Z$263*INDEX(Z$23:Z$30,$E553)+Z$280)+INDEX(Z$80:Z$93,$F553)*$G553</f>
        <v/>
      </c>
      <c r="AA553" s="16">
        <f>$D553*(AA$263*INDEX(AA$23:AA$30,$E553)+AA$280)+INDEX(AA$80:AA$93,$F553)*$G553</f>
        <v/>
      </c>
      <c r="AB553" s="16">
        <f>$D553*(AB$263*INDEX(AB$23:AB$30,$E553)+AB$280)+INDEX(AB$80:AB$93,$F553)*$G553</f>
        <v/>
      </c>
      <c r="AC553" s="16">
        <f>$D553*(AC$263*INDEX(AC$23:AC$30,$E553)+AC$280)+INDEX(AC$80:AC$93,$F553)*$G553</f>
        <v/>
      </c>
      <c r="AD553" s="16">
        <f>$D553*(AD$263*INDEX(AD$23:AD$30,$E553)+AD$280)+INDEX(AD$80:AD$93,$F553)*$G553</f>
        <v/>
      </c>
      <c r="AE553" s="49">
        <f>KWHPOLICY($D553,AE$263,INDEX(AE$23:AE$30,$E553),AE$280,INDEX(AE$80:AE$93,$F553),$G553)</f>
        <v/>
      </c>
      <c r="AG553" s="11">
        <f>CodePrefix&amp;$A553&amp;IF($C553="","","."&amp;$C553&amp;"."&amp;$B553)&amp;INDEX(VarEnd,MATCH($A553,VarKey,0))&amp;AG$5</f>
        <v/>
      </c>
      <c r="AH553" s="15">
        <f>$D553*(AH$263*INDEX(AH$23:AH$30,$E553)+AH$280)+INDEX(AH$80:AH$93,$F553)*$G553</f>
        <v/>
      </c>
      <c r="AI553" s="16">
        <f>$D553*(AI$263*INDEX(AI$23:AI$30,$E553)+AI$280)+INDEX(AI$80:AI$93,$F553)*$G553</f>
        <v/>
      </c>
      <c r="AJ553" s="16">
        <f>$D553*(AJ$263*INDEX(AJ$23:AJ$30,$E553)+AJ$280)+INDEX(AJ$80:AJ$93,$F553)*$G553</f>
        <v/>
      </c>
      <c r="AK553" s="16">
        <f>$D553*(AK$263*INDEX(AK$23:AK$30,$E553)+AK$280)+INDEX(AK$80:AK$93,$F553)*$G553</f>
        <v/>
      </c>
      <c r="AL553" s="16">
        <f>$D553*(AL$263*INDEX(AL$23:AL$30,$E553)+AL$280)+INDEX(AL$80:AL$93,$F553)*$G553</f>
        <v/>
      </c>
      <c r="AM553" s="16">
        <f>$D553*(AM$263*INDEX(AM$23:AM$30,$E553)+AM$280)+INDEX(AM$80:AM$93,$F553)*$G553</f>
        <v/>
      </c>
      <c r="AN553" s="16">
        <f>$D553*(AN$263*INDEX(AN$23:AN$30,$E553)+AN$280)+INDEX(AN$80:AN$93,$F553)*$G553</f>
        <v/>
      </c>
      <c r="AO553" s="16">
        <f>$D553*(AO$263*INDEX(AO$23:AO$30,$E553)+AO$280)+INDEX(AO$80:AO$93,$F553)*$G553</f>
        <v/>
      </c>
      <c r="AP553" s="16">
        <f>$D553*(AP$263*INDEX(AP$23:AP$30,$E553)+AP$280)+INDEX(AP$80:AP$93,$F553)*$G553</f>
        <v/>
      </c>
      <c r="AQ553" s="16">
        <f>$D553*(AQ$263*INDEX(AQ$23:AQ$30,$E553)+AQ$280)+INDEX(AQ$80:AQ$93,$F553)*$G553</f>
        <v/>
      </c>
      <c r="AR553" s="16">
        <f>$D553*(AR$263*INDEX(AR$23:AR$30,$E553)+AR$280)+INDEX(AR$80:AR$93,$F553)*$G553</f>
        <v/>
      </c>
      <c r="AS553" s="16">
        <f>$D553*(AS$263*INDEX(AS$23:AS$30,$E553)+AS$280)+INDEX(AS$80:AS$93,$F553)*$G553</f>
        <v/>
      </c>
      <c r="AT553" s="16">
        <f>$D553*(AT$263*INDEX(AT$23:AT$30,$E553)+AT$280)+INDEX(AT$80:AT$93,$F553)*$G553</f>
        <v/>
      </c>
      <c r="AU553" s="16">
        <f>$D553*(AU$263*INDEX(AU$23:AU$30,$E553)+AU$280)+INDEX(AU$80:AU$93,$F553)*$G553</f>
        <v/>
      </c>
      <c r="AV553" s="16">
        <f>$D553*(AV$263*INDEX(AV$23:AV$30,$E553)+AV$280)+INDEX(AV$80:AV$93,$F553)*$G553</f>
        <v/>
      </c>
      <c r="AW553" s="16">
        <f>$D553*(AW$263*INDEX(AW$23:AW$30,$E553)+AW$280)+INDEX(AW$80:AW$93,$F553)*$G553</f>
        <v/>
      </c>
      <c r="AX553" s="16">
        <f>$D553*(AX$263*INDEX(AX$23:AX$30,$E553)+AX$280)+INDEX(AX$80:AX$93,$F553)*$G553</f>
        <v/>
      </c>
      <c r="AY553" s="16">
        <f>$D553*(AY$263*INDEX(AY$23:AY$30,$E553)+AY$280)+INDEX(AY$80:AY$93,$F553)*$G553</f>
        <v/>
      </c>
      <c r="AZ553" s="16">
        <f>$D553*(AZ$263*INDEX(AZ$23:AZ$30,$E553)+AZ$280)+INDEX(AZ$80:AZ$93,$F553)*$G553</f>
        <v/>
      </c>
      <c r="BA553" s="49">
        <f>KWHPOLICY($D553,BA$263,INDEX(BA$23:BA$30,$E553),BA$280,INDEX(BA$80:BA$93,$F553),$G553)</f>
        <v/>
      </c>
    </row>
    <row r="554" hidden="1" outlineLevel="1">
      <c r="A554" s="14" t="inlineStr">
        <is>
          <t>ccp</t>
        </is>
      </c>
      <c r="B554" s="14" t="inlineStr">
        <is>
          <t>sol</t>
        </is>
      </c>
      <c r="C554" s="14" t="inlineStr">
        <is>
          <t>pow</t>
        </is>
      </c>
      <c r="D554" s="45">
        <f>INDEX(Inputs_power!$Z$5:$Z$13,MATCH($B554,Inputs_power!$A$5:$A$13,0))</f>
        <v/>
      </c>
      <c r="E554" s="45">
        <f>INDEX(Inputs_power!$AA$5:$AA$13,MATCH($B554,Inputs_power!$A$5:$A$13,0))</f>
        <v/>
      </c>
      <c r="F554" s="45">
        <f>INDEX(Inputs_power!$AB$5:$AB$13,MATCH($B554,Inputs_power!$A$5:$A$13,0))</f>
        <v/>
      </c>
      <c r="G554" s="45">
        <f>INDEX(Inputs_power!$AD$5:$AD$13,MATCH($B554,Inputs_power!$A$5:$A$13,0))</f>
        <v/>
      </c>
      <c r="H554" s="14">
        <f>INDEX(VarLab,MATCH($A554,VarKey,0))&amp;INDEX(MemLab,MATCH($C554&amp;"|"&amp;$B554,MemKey,0))</f>
        <v/>
      </c>
      <c r="I554" s="14">
        <f>INDEX(VarUnit,MATCH($A554,VarKey,0))</f>
        <v/>
      </c>
      <c r="J554" s="14">
        <f>INDEX(VarSrc,MATCH($A554,VarKey,0))</f>
        <v/>
      </c>
      <c r="K554" s="11">
        <f>CodePrefix&amp;$A554&amp;IF($C554="","","."&amp;$C554&amp;"."&amp;$B554)&amp;INDEX(VarEnd,MATCH($A554,VarKey,0))&amp;K$5</f>
        <v/>
      </c>
      <c r="L554" s="15">
        <f>$D554*(L$263*INDEX(L$23:L$30,$E554)+L$280)+INDEX(L$80:L$93,$F554)*$G554</f>
        <v/>
      </c>
      <c r="M554" s="16">
        <f>$D554*(M$263*INDEX(M$23:M$30,$E554)+M$280)+INDEX(M$80:M$93,$F554)*$G554</f>
        <v/>
      </c>
      <c r="N554" s="16">
        <f>$D554*(N$263*INDEX(N$23:N$30,$E554)+N$280)+INDEX(N$80:N$93,$F554)*$G554</f>
        <v/>
      </c>
      <c r="O554" s="16">
        <f>$D554*(O$263*INDEX(O$23:O$30,$E554)+O$280)+INDEX(O$80:O$93,$F554)*$G554</f>
        <v/>
      </c>
      <c r="P554" s="16">
        <f>$D554*(P$263*INDEX(P$23:P$30,$E554)+P$280)+INDEX(P$80:P$93,$F554)*$G554</f>
        <v/>
      </c>
      <c r="Q554" s="16">
        <f>$D554*(Q$263*INDEX(Q$23:Q$30,$E554)+Q$280)+INDEX(Q$80:Q$93,$F554)*$G554</f>
        <v/>
      </c>
      <c r="R554" s="16">
        <f>$D554*(R$263*INDEX(R$23:R$30,$E554)+R$280)+INDEX(R$80:R$93,$F554)*$G554</f>
        <v/>
      </c>
      <c r="S554" s="16">
        <f>$D554*(S$263*INDEX(S$23:S$30,$E554)+S$280)+INDEX(S$80:S$93,$F554)*$G554</f>
        <v/>
      </c>
      <c r="T554" s="16">
        <f>$D554*(T$263*INDEX(T$23:T$30,$E554)+T$280)+INDEX(T$80:T$93,$F554)*$G554</f>
        <v/>
      </c>
      <c r="U554" s="16">
        <f>$D554*(U$263*INDEX(U$23:U$30,$E554)+U$280)+INDEX(U$80:U$93,$F554)*$G554</f>
        <v/>
      </c>
      <c r="V554" s="16">
        <f>$D554*(V$263*INDEX(V$23:V$30,$E554)+V$280)+INDEX(V$80:V$93,$F554)*$G554</f>
        <v/>
      </c>
      <c r="W554" s="16">
        <f>$D554*(W$263*INDEX(W$23:W$30,$E554)+W$280)+INDEX(W$80:W$93,$F554)*$G554</f>
        <v/>
      </c>
      <c r="X554" s="16">
        <f>$D554*(X$263*INDEX(X$23:X$30,$E554)+X$280)+INDEX(X$80:X$93,$F554)*$G554</f>
        <v/>
      </c>
      <c r="Y554" s="16">
        <f>$D554*(Y$263*INDEX(Y$23:Y$30,$E554)+Y$280)+INDEX(Y$80:Y$93,$F554)*$G554</f>
        <v/>
      </c>
      <c r="Z554" s="16">
        <f>$D554*(Z$263*INDEX(Z$23:Z$30,$E554)+Z$280)+INDEX(Z$80:Z$93,$F554)*$G554</f>
        <v/>
      </c>
      <c r="AA554" s="16">
        <f>$D554*(AA$263*INDEX(AA$23:AA$30,$E554)+AA$280)+INDEX(AA$80:AA$93,$F554)*$G554</f>
        <v/>
      </c>
      <c r="AB554" s="16">
        <f>$D554*(AB$263*INDEX(AB$23:AB$30,$E554)+AB$280)+INDEX(AB$80:AB$93,$F554)*$G554</f>
        <v/>
      </c>
      <c r="AC554" s="16">
        <f>$D554*(AC$263*INDEX(AC$23:AC$30,$E554)+AC$280)+INDEX(AC$80:AC$93,$F554)*$G554</f>
        <v/>
      </c>
      <c r="AD554" s="16">
        <f>$D554*(AD$263*INDEX(AD$23:AD$30,$E554)+AD$280)+INDEX(AD$80:AD$93,$F554)*$G554</f>
        <v/>
      </c>
      <c r="AE554" s="49">
        <f>KWHPOLICY($D554,AE$263,INDEX(AE$23:AE$30,$E554),AE$280,INDEX(AE$80:AE$93,$F554),$G554)</f>
        <v/>
      </c>
      <c r="AG554" s="11">
        <f>CodePrefix&amp;$A554&amp;IF($C554="","","."&amp;$C554&amp;"."&amp;$B554)&amp;INDEX(VarEnd,MATCH($A554,VarKey,0))&amp;AG$5</f>
        <v/>
      </c>
      <c r="AH554" s="15">
        <f>$D554*(AH$263*INDEX(AH$23:AH$30,$E554)+AH$280)+INDEX(AH$80:AH$93,$F554)*$G554</f>
        <v/>
      </c>
      <c r="AI554" s="16">
        <f>$D554*(AI$263*INDEX(AI$23:AI$30,$E554)+AI$280)+INDEX(AI$80:AI$93,$F554)*$G554</f>
        <v/>
      </c>
      <c r="AJ554" s="16">
        <f>$D554*(AJ$263*INDEX(AJ$23:AJ$30,$E554)+AJ$280)+INDEX(AJ$80:AJ$93,$F554)*$G554</f>
        <v/>
      </c>
      <c r="AK554" s="16">
        <f>$D554*(AK$263*INDEX(AK$23:AK$30,$E554)+AK$280)+INDEX(AK$80:AK$93,$F554)*$G554</f>
        <v/>
      </c>
      <c r="AL554" s="16">
        <f>$D554*(AL$263*INDEX(AL$23:AL$30,$E554)+AL$280)+INDEX(AL$80:AL$93,$F554)*$G554</f>
        <v/>
      </c>
      <c r="AM554" s="16">
        <f>$D554*(AM$263*INDEX(AM$23:AM$30,$E554)+AM$280)+INDEX(AM$80:AM$93,$F554)*$G554</f>
        <v/>
      </c>
      <c r="AN554" s="16">
        <f>$D554*(AN$263*INDEX(AN$23:AN$30,$E554)+AN$280)+INDEX(AN$80:AN$93,$F554)*$G554</f>
        <v/>
      </c>
      <c r="AO554" s="16">
        <f>$D554*(AO$263*INDEX(AO$23:AO$30,$E554)+AO$280)+INDEX(AO$80:AO$93,$F554)*$G554</f>
        <v/>
      </c>
      <c r="AP554" s="16">
        <f>$D554*(AP$263*INDEX(AP$23:AP$30,$E554)+AP$280)+INDEX(AP$80:AP$93,$F554)*$G554</f>
        <v/>
      </c>
      <c r="AQ554" s="16">
        <f>$D554*(AQ$263*INDEX(AQ$23:AQ$30,$E554)+AQ$280)+INDEX(AQ$80:AQ$93,$F554)*$G554</f>
        <v/>
      </c>
      <c r="AR554" s="16">
        <f>$D554*(AR$263*INDEX(AR$23:AR$30,$E554)+AR$280)+INDEX(AR$80:AR$93,$F554)*$G554</f>
        <v/>
      </c>
      <c r="AS554" s="16">
        <f>$D554*(AS$263*INDEX(AS$23:AS$30,$E554)+AS$280)+INDEX(AS$80:AS$93,$F554)*$G554</f>
        <v/>
      </c>
      <c r="AT554" s="16">
        <f>$D554*(AT$263*INDEX(AT$23:AT$30,$E554)+AT$280)+INDEX(AT$80:AT$93,$F554)*$G554</f>
        <v/>
      </c>
      <c r="AU554" s="16">
        <f>$D554*(AU$263*INDEX(AU$23:AU$30,$E554)+AU$280)+INDEX(AU$80:AU$93,$F554)*$G554</f>
        <v/>
      </c>
      <c r="AV554" s="16">
        <f>$D554*(AV$263*INDEX(AV$23:AV$30,$E554)+AV$280)+INDEX(AV$80:AV$93,$F554)*$G554</f>
        <v/>
      </c>
      <c r="AW554" s="16">
        <f>$D554*(AW$263*INDEX(AW$23:AW$30,$E554)+AW$280)+INDEX(AW$80:AW$93,$F554)*$G554</f>
        <v/>
      </c>
      <c r="AX554" s="16">
        <f>$D554*(AX$263*INDEX(AX$23:AX$30,$E554)+AX$280)+INDEX(AX$80:AX$93,$F554)*$G554</f>
        <v/>
      </c>
      <c r="AY554" s="16">
        <f>$D554*(AY$263*INDEX(AY$23:AY$30,$E554)+AY$280)+INDEX(AY$80:AY$93,$F554)*$G554</f>
        <v/>
      </c>
      <c r="AZ554" s="16">
        <f>$D554*(AZ$263*INDEX(AZ$23:AZ$30,$E554)+AZ$280)+INDEX(AZ$80:AZ$93,$F554)*$G554</f>
        <v/>
      </c>
      <c r="BA554" s="49">
        <f>KWHPOLICY($D554,BA$263,INDEX(BA$23:BA$30,$E554),BA$280,INDEX(BA$80:BA$93,$F554),$G554)</f>
        <v/>
      </c>
    </row>
    <row r="555" hidden="1" outlineLevel="1">
      <c r="A555" s="14" t="inlineStr">
        <is>
          <t>ccp</t>
        </is>
      </c>
      <c r="B555" s="14" t="inlineStr">
        <is>
          <t>hyd</t>
        </is>
      </c>
      <c r="C555" s="14" t="inlineStr">
        <is>
          <t>pow</t>
        </is>
      </c>
      <c r="D555" s="45">
        <f>INDEX(Inputs_power!$Z$5:$Z$13,MATCH($B555,Inputs_power!$A$5:$A$13,0))</f>
        <v/>
      </c>
      <c r="E555" s="45">
        <f>INDEX(Inputs_power!$AA$5:$AA$13,MATCH($B555,Inputs_power!$A$5:$A$13,0))</f>
        <v/>
      </c>
      <c r="F555" s="45">
        <f>INDEX(Inputs_power!$AB$5:$AB$13,MATCH($B555,Inputs_power!$A$5:$A$13,0))</f>
        <v/>
      </c>
      <c r="G555" s="45">
        <f>INDEX(Inputs_power!$AD$5:$AD$13,MATCH($B555,Inputs_power!$A$5:$A$13,0))</f>
        <v/>
      </c>
      <c r="H555" s="14">
        <f>INDEX(VarLab,MATCH($A555,VarKey,0))&amp;INDEX(MemLab,MATCH($C555&amp;"|"&amp;$B555,MemKey,0))</f>
        <v/>
      </c>
      <c r="I555" s="14">
        <f>INDEX(VarUnit,MATCH($A555,VarKey,0))</f>
        <v/>
      </c>
      <c r="J555" s="14">
        <f>INDEX(VarSrc,MATCH($A555,VarKey,0))</f>
        <v/>
      </c>
      <c r="K555" s="11">
        <f>CodePrefix&amp;$A555&amp;IF($C555="","","."&amp;$C555&amp;"."&amp;$B555)&amp;INDEX(VarEnd,MATCH($A555,VarKey,0))&amp;K$5</f>
        <v/>
      </c>
      <c r="L555" s="15">
        <f>$D555*(L$263*INDEX(L$23:L$30,$E555)+L$280)+INDEX(L$80:L$93,$F555)*$G555</f>
        <v/>
      </c>
      <c r="M555" s="16">
        <f>$D555*(M$263*INDEX(M$23:M$30,$E555)+M$280)+INDEX(M$80:M$93,$F555)*$G555</f>
        <v/>
      </c>
      <c r="N555" s="16">
        <f>$D555*(N$263*INDEX(N$23:N$30,$E555)+N$280)+INDEX(N$80:N$93,$F555)*$G555</f>
        <v/>
      </c>
      <c r="O555" s="16">
        <f>$D555*(O$263*INDEX(O$23:O$30,$E555)+O$280)+INDEX(O$80:O$93,$F555)*$G555</f>
        <v/>
      </c>
      <c r="P555" s="16">
        <f>$D555*(P$263*INDEX(P$23:P$30,$E555)+P$280)+INDEX(P$80:P$93,$F555)*$G555</f>
        <v/>
      </c>
      <c r="Q555" s="16">
        <f>$D555*(Q$263*INDEX(Q$23:Q$30,$E555)+Q$280)+INDEX(Q$80:Q$93,$F555)*$G555</f>
        <v/>
      </c>
      <c r="R555" s="16">
        <f>$D555*(R$263*INDEX(R$23:R$30,$E555)+R$280)+INDEX(R$80:R$93,$F555)*$G555</f>
        <v/>
      </c>
      <c r="S555" s="16">
        <f>$D555*(S$263*INDEX(S$23:S$30,$E555)+S$280)+INDEX(S$80:S$93,$F555)*$G555</f>
        <v/>
      </c>
      <c r="T555" s="16">
        <f>$D555*(T$263*INDEX(T$23:T$30,$E555)+T$280)+INDEX(T$80:T$93,$F555)*$G555</f>
        <v/>
      </c>
      <c r="U555" s="16">
        <f>$D555*(U$263*INDEX(U$23:U$30,$E555)+U$280)+INDEX(U$80:U$93,$F555)*$G555</f>
        <v/>
      </c>
      <c r="V555" s="16">
        <f>$D555*(V$263*INDEX(V$23:V$30,$E555)+V$280)+INDEX(V$80:V$93,$F555)*$G555</f>
        <v/>
      </c>
      <c r="W555" s="16">
        <f>$D555*(W$263*INDEX(W$23:W$30,$E555)+W$280)+INDEX(W$80:W$93,$F555)*$G555</f>
        <v/>
      </c>
      <c r="X555" s="16">
        <f>$D555*(X$263*INDEX(X$23:X$30,$E555)+X$280)+INDEX(X$80:X$93,$F555)*$G555</f>
        <v/>
      </c>
      <c r="Y555" s="16">
        <f>$D555*(Y$263*INDEX(Y$23:Y$30,$E555)+Y$280)+INDEX(Y$80:Y$93,$F555)*$G555</f>
        <v/>
      </c>
      <c r="Z555" s="16">
        <f>$D555*(Z$263*INDEX(Z$23:Z$30,$E555)+Z$280)+INDEX(Z$80:Z$93,$F555)*$G555</f>
        <v/>
      </c>
      <c r="AA555" s="16">
        <f>$D555*(AA$263*INDEX(AA$23:AA$30,$E555)+AA$280)+INDEX(AA$80:AA$93,$F555)*$G555</f>
        <v/>
      </c>
      <c r="AB555" s="16">
        <f>$D555*(AB$263*INDEX(AB$23:AB$30,$E555)+AB$280)+INDEX(AB$80:AB$93,$F555)*$G555</f>
        <v/>
      </c>
      <c r="AC555" s="16">
        <f>$D555*(AC$263*INDEX(AC$23:AC$30,$E555)+AC$280)+INDEX(AC$80:AC$93,$F555)*$G555</f>
        <v/>
      </c>
      <c r="AD555" s="16">
        <f>$D555*(AD$263*INDEX(AD$23:AD$30,$E555)+AD$280)+INDEX(AD$80:AD$93,$F555)*$G555</f>
        <v/>
      </c>
      <c r="AE555" s="49">
        <f>KWHPOLICY($D555,AE$263,INDEX(AE$23:AE$30,$E555),AE$280,INDEX(AE$80:AE$93,$F555),$G555)</f>
        <v/>
      </c>
      <c r="AG555" s="11">
        <f>CodePrefix&amp;$A555&amp;IF($C555="","","."&amp;$C555&amp;"."&amp;$B555)&amp;INDEX(VarEnd,MATCH($A555,VarKey,0))&amp;AG$5</f>
        <v/>
      </c>
      <c r="AH555" s="15">
        <f>$D555*(AH$263*INDEX(AH$23:AH$30,$E555)+AH$280)+INDEX(AH$80:AH$93,$F555)*$G555</f>
        <v/>
      </c>
      <c r="AI555" s="16">
        <f>$D555*(AI$263*INDEX(AI$23:AI$30,$E555)+AI$280)+INDEX(AI$80:AI$93,$F555)*$G555</f>
        <v/>
      </c>
      <c r="AJ555" s="16">
        <f>$D555*(AJ$263*INDEX(AJ$23:AJ$30,$E555)+AJ$280)+INDEX(AJ$80:AJ$93,$F555)*$G555</f>
        <v/>
      </c>
      <c r="AK555" s="16">
        <f>$D555*(AK$263*INDEX(AK$23:AK$30,$E555)+AK$280)+INDEX(AK$80:AK$93,$F555)*$G555</f>
        <v/>
      </c>
      <c r="AL555" s="16">
        <f>$D555*(AL$263*INDEX(AL$23:AL$30,$E555)+AL$280)+INDEX(AL$80:AL$93,$F555)*$G555</f>
        <v/>
      </c>
      <c r="AM555" s="16">
        <f>$D555*(AM$263*INDEX(AM$23:AM$30,$E555)+AM$280)+INDEX(AM$80:AM$93,$F555)*$G555</f>
        <v/>
      </c>
      <c r="AN555" s="16">
        <f>$D555*(AN$263*INDEX(AN$23:AN$30,$E555)+AN$280)+INDEX(AN$80:AN$93,$F555)*$G555</f>
        <v/>
      </c>
      <c r="AO555" s="16">
        <f>$D555*(AO$263*INDEX(AO$23:AO$30,$E555)+AO$280)+INDEX(AO$80:AO$93,$F555)*$G555</f>
        <v/>
      </c>
      <c r="AP555" s="16">
        <f>$D555*(AP$263*INDEX(AP$23:AP$30,$E555)+AP$280)+INDEX(AP$80:AP$93,$F555)*$G555</f>
        <v/>
      </c>
      <c r="AQ555" s="16">
        <f>$D555*(AQ$263*INDEX(AQ$23:AQ$30,$E555)+AQ$280)+INDEX(AQ$80:AQ$93,$F555)*$G555</f>
        <v/>
      </c>
      <c r="AR555" s="16">
        <f>$D555*(AR$263*INDEX(AR$23:AR$30,$E555)+AR$280)+INDEX(AR$80:AR$93,$F555)*$G555</f>
        <v/>
      </c>
      <c r="AS555" s="16">
        <f>$D555*(AS$263*INDEX(AS$23:AS$30,$E555)+AS$280)+INDEX(AS$80:AS$93,$F555)*$G555</f>
        <v/>
      </c>
      <c r="AT555" s="16">
        <f>$D555*(AT$263*INDEX(AT$23:AT$30,$E555)+AT$280)+INDEX(AT$80:AT$93,$F555)*$G555</f>
        <v/>
      </c>
      <c r="AU555" s="16">
        <f>$D555*(AU$263*INDEX(AU$23:AU$30,$E555)+AU$280)+INDEX(AU$80:AU$93,$F555)*$G555</f>
        <v/>
      </c>
      <c r="AV555" s="16">
        <f>$D555*(AV$263*INDEX(AV$23:AV$30,$E555)+AV$280)+INDEX(AV$80:AV$93,$F555)*$G555</f>
        <v/>
      </c>
      <c r="AW555" s="16">
        <f>$D555*(AW$263*INDEX(AW$23:AW$30,$E555)+AW$280)+INDEX(AW$80:AW$93,$F555)*$G555</f>
        <v/>
      </c>
      <c r="AX555" s="16">
        <f>$D555*(AX$263*INDEX(AX$23:AX$30,$E555)+AX$280)+INDEX(AX$80:AX$93,$F555)*$G555</f>
        <v/>
      </c>
      <c r="AY555" s="16">
        <f>$D555*(AY$263*INDEX(AY$23:AY$30,$E555)+AY$280)+INDEX(AY$80:AY$93,$F555)*$G555</f>
        <v/>
      </c>
      <c r="AZ555" s="16">
        <f>$D555*(AZ$263*INDEX(AZ$23:AZ$30,$E555)+AZ$280)+INDEX(AZ$80:AZ$93,$F555)*$G555</f>
        <v/>
      </c>
      <c r="BA555" s="49">
        <f>KWHPOLICY($D555,BA$263,INDEX(BA$23:BA$30,$E555),BA$280,INDEX(BA$80:BA$93,$F555),$G555)</f>
        <v/>
      </c>
    </row>
    <row r="556" hidden="1" outlineLevel="1">
      <c r="A556" s="14" t="inlineStr">
        <is>
          <t>ccp</t>
        </is>
      </c>
      <c r="B556" s="14" t="inlineStr">
        <is>
          <t>ore</t>
        </is>
      </c>
      <c r="C556" s="14" t="inlineStr">
        <is>
          <t>pow</t>
        </is>
      </c>
      <c r="D556" s="45">
        <f>INDEX(Inputs_power!$Z$5:$Z$13,MATCH($B556,Inputs_power!$A$5:$A$13,0))</f>
        <v/>
      </c>
      <c r="E556" s="45">
        <f>INDEX(Inputs_power!$AA$5:$AA$13,MATCH($B556,Inputs_power!$A$5:$A$13,0))</f>
        <v/>
      </c>
      <c r="F556" s="45">
        <f>INDEX(Inputs_power!$AB$5:$AB$13,MATCH($B556,Inputs_power!$A$5:$A$13,0))</f>
        <v/>
      </c>
      <c r="G556" s="45">
        <f>INDEX(Inputs_power!$AD$5:$AD$13,MATCH($B556,Inputs_power!$A$5:$A$13,0))</f>
        <v/>
      </c>
      <c r="H556" s="14">
        <f>INDEX(VarLab,MATCH($A556,VarKey,0))&amp;INDEX(MemLab,MATCH($C556&amp;"|"&amp;$B556,MemKey,0))</f>
        <v/>
      </c>
      <c r="I556" s="14">
        <f>INDEX(VarUnit,MATCH($A556,VarKey,0))</f>
        <v/>
      </c>
      <c r="J556" s="14">
        <f>INDEX(VarSrc,MATCH($A556,VarKey,0))</f>
        <v/>
      </c>
      <c r="K556" s="11">
        <f>CodePrefix&amp;$A556&amp;IF($C556="","","."&amp;$C556&amp;"."&amp;$B556)&amp;INDEX(VarEnd,MATCH($A556,VarKey,0))&amp;K$5</f>
        <v/>
      </c>
      <c r="L556" s="15">
        <f>$D556*(L$263*INDEX(L$23:L$30,$E556)+L$280)+INDEX(L$80:L$93,$F556)*$G556</f>
        <v/>
      </c>
      <c r="M556" s="16">
        <f>$D556*(M$263*INDEX(M$23:M$30,$E556)+M$280)+INDEX(M$80:M$93,$F556)*$G556</f>
        <v/>
      </c>
      <c r="N556" s="16">
        <f>$D556*(N$263*INDEX(N$23:N$30,$E556)+N$280)+INDEX(N$80:N$93,$F556)*$G556</f>
        <v/>
      </c>
      <c r="O556" s="16">
        <f>$D556*(O$263*INDEX(O$23:O$30,$E556)+O$280)+INDEX(O$80:O$93,$F556)*$G556</f>
        <v/>
      </c>
      <c r="P556" s="16">
        <f>$D556*(P$263*INDEX(P$23:P$30,$E556)+P$280)+INDEX(P$80:P$93,$F556)*$G556</f>
        <v/>
      </c>
      <c r="Q556" s="16">
        <f>$D556*(Q$263*INDEX(Q$23:Q$30,$E556)+Q$280)+INDEX(Q$80:Q$93,$F556)*$G556</f>
        <v/>
      </c>
      <c r="R556" s="16">
        <f>$D556*(R$263*INDEX(R$23:R$30,$E556)+R$280)+INDEX(R$80:R$93,$F556)*$G556</f>
        <v/>
      </c>
      <c r="S556" s="16">
        <f>$D556*(S$263*INDEX(S$23:S$30,$E556)+S$280)+INDEX(S$80:S$93,$F556)*$G556</f>
        <v/>
      </c>
      <c r="T556" s="16">
        <f>$D556*(T$263*INDEX(T$23:T$30,$E556)+T$280)+INDEX(T$80:T$93,$F556)*$G556</f>
        <v/>
      </c>
      <c r="U556" s="16">
        <f>$D556*(U$263*INDEX(U$23:U$30,$E556)+U$280)+INDEX(U$80:U$93,$F556)*$G556</f>
        <v/>
      </c>
      <c r="V556" s="16">
        <f>$D556*(V$263*INDEX(V$23:V$30,$E556)+V$280)+INDEX(V$80:V$93,$F556)*$G556</f>
        <v/>
      </c>
      <c r="W556" s="16">
        <f>$D556*(W$263*INDEX(W$23:W$30,$E556)+W$280)+INDEX(W$80:W$93,$F556)*$G556</f>
        <v/>
      </c>
      <c r="X556" s="16">
        <f>$D556*(X$263*INDEX(X$23:X$30,$E556)+X$280)+INDEX(X$80:X$93,$F556)*$G556</f>
        <v/>
      </c>
      <c r="Y556" s="16">
        <f>$D556*(Y$263*INDEX(Y$23:Y$30,$E556)+Y$280)+INDEX(Y$80:Y$93,$F556)*$G556</f>
        <v/>
      </c>
      <c r="Z556" s="16">
        <f>$D556*(Z$263*INDEX(Z$23:Z$30,$E556)+Z$280)+INDEX(Z$80:Z$93,$F556)*$G556</f>
        <v/>
      </c>
      <c r="AA556" s="16">
        <f>$D556*(AA$263*INDEX(AA$23:AA$30,$E556)+AA$280)+INDEX(AA$80:AA$93,$F556)*$G556</f>
        <v/>
      </c>
      <c r="AB556" s="16">
        <f>$D556*(AB$263*INDEX(AB$23:AB$30,$E556)+AB$280)+INDEX(AB$80:AB$93,$F556)*$G556</f>
        <v/>
      </c>
      <c r="AC556" s="16">
        <f>$D556*(AC$263*INDEX(AC$23:AC$30,$E556)+AC$280)+INDEX(AC$80:AC$93,$F556)*$G556</f>
        <v/>
      </c>
      <c r="AD556" s="16">
        <f>$D556*(AD$263*INDEX(AD$23:AD$30,$E556)+AD$280)+INDEX(AD$80:AD$93,$F556)*$G556</f>
        <v/>
      </c>
      <c r="AE556" s="49">
        <f>KWHPOLICY($D556,AE$263,INDEX(AE$23:AE$30,$E556),AE$280,INDEX(AE$80:AE$93,$F556),$G556)</f>
        <v/>
      </c>
      <c r="AG556" s="11">
        <f>CodePrefix&amp;$A556&amp;IF($C556="","","."&amp;$C556&amp;"."&amp;$B556)&amp;INDEX(VarEnd,MATCH($A556,VarKey,0))&amp;AG$5</f>
        <v/>
      </c>
      <c r="AH556" s="15">
        <f>$D556*(AH$263*INDEX(AH$23:AH$30,$E556)+AH$280)+INDEX(AH$80:AH$93,$F556)*$G556</f>
        <v/>
      </c>
      <c r="AI556" s="16">
        <f>$D556*(AI$263*INDEX(AI$23:AI$30,$E556)+AI$280)+INDEX(AI$80:AI$93,$F556)*$G556</f>
        <v/>
      </c>
      <c r="AJ556" s="16">
        <f>$D556*(AJ$263*INDEX(AJ$23:AJ$30,$E556)+AJ$280)+INDEX(AJ$80:AJ$93,$F556)*$G556</f>
        <v/>
      </c>
      <c r="AK556" s="16">
        <f>$D556*(AK$263*INDEX(AK$23:AK$30,$E556)+AK$280)+INDEX(AK$80:AK$93,$F556)*$G556</f>
        <v/>
      </c>
      <c r="AL556" s="16">
        <f>$D556*(AL$263*INDEX(AL$23:AL$30,$E556)+AL$280)+INDEX(AL$80:AL$93,$F556)*$G556</f>
        <v/>
      </c>
      <c r="AM556" s="16">
        <f>$D556*(AM$263*INDEX(AM$23:AM$30,$E556)+AM$280)+INDEX(AM$80:AM$93,$F556)*$G556</f>
        <v/>
      </c>
      <c r="AN556" s="16">
        <f>$D556*(AN$263*INDEX(AN$23:AN$30,$E556)+AN$280)+INDEX(AN$80:AN$93,$F556)*$G556</f>
        <v/>
      </c>
      <c r="AO556" s="16">
        <f>$D556*(AO$263*INDEX(AO$23:AO$30,$E556)+AO$280)+INDEX(AO$80:AO$93,$F556)*$G556</f>
        <v/>
      </c>
      <c r="AP556" s="16">
        <f>$D556*(AP$263*INDEX(AP$23:AP$30,$E556)+AP$280)+INDEX(AP$80:AP$93,$F556)*$G556</f>
        <v/>
      </c>
      <c r="AQ556" s="16">
        <f>$D556*(AQ$263*INDEX(AQ$23:AQ$30,$E556)+AQ$280)+INDEX(AQ$80:AQ$93,$F556)*$G556</f>
        <v/>
      </c>
      <c r="AR556" s="16">
        <f>$D556*(AR$263*INDEX(AR$23:AR$30,$E556)+AR$280)+INDEX(AR$80:AR$93,$F556)*$G556</f>
        <v/>
      </c>
      <c r="AS556" s="16">
        <f>$D556*(AS$263*INDEX(AS$23:AS$30,$E556)+AS$280)+INDEX(AS$80:AS$93,$F556)*$G556</f>
        <v/>
      </c>
      <c r="AT556" s="16">
        <f>$D556*(AT$263*INDEX(AT$23:AT$30,$E556)+AT$280)+INDEX(AT$80:AT$93,$F556)*$G556</f>
        <v/>
      </c>
      <c r="AU556" s="16">
        <f>$D556*(AU$263*INDEX(AU$23:AU$30,$E556)+AU$280)+INDEX(AU$80:AU$93,$F556)*$G556</f>
        <v/>
      </c>
      <c r="AV556" s="16">
        <f>$D556*(AV$263*INDEX(AV$23:AV$30,$E556)+AV$280)+INDEX(AV$80:AV$93,$F556)*$G556</f>
        <v/>
      </c>
      <c r="AW556" s="16">
        <f>$D556*(AW$263*INDEX(AW$23:AW$30,$E556)+AW$280)+INDEX(AW$80:AW$93,$F556)*$G556</f>
        <v/>
      </c>
      <c r="AX556" s="16">
        <f>$D556*(AX$263*INDEX(AX$23:AX$30,$E556)+AX$280)+INDEX(AX$80:AX$93,$F556)*$G556</f>
        <v/>
      </c>
      <c r="AY556" s="16">
        <f>$D556*(AY$263*INDEX(AY$23:AY$30,$E556)+AY$280)+INDEX(AY$80:AY$93,$F556)*$G556</f>
        <v/>
      </c>
      <c r="AZ556" s="16">
        <f>$D556*(AZ$263*INDEX(AZ$23:AZ$30,$E556)+AZ$280)+INDEX(AZ$80:AZ$93,$F556)*$G556</f>
        <v/>
      </c>
      <c r="BA556" s="49">
        <f>KWHPOLICY($D556,BA$263,INDEX(BA$23:BA$30,$E556),BA$280,INDEX(BA$80:BA$93,$F556),$G556)</f>
        <v/>
      </c>
    </row>
    <row r="557" hidden="1" outlineLevel="1">
      <c r="A557" s="14" t="inlineStr">
        <is>
          <t>ccp</t>
        </is>
      </c>
      <c r="B557" s="14" t="inlineStr">
        <is>
          <t>bio</t>
        </is>
      </c>
      <c r="C557" s="14" t="inlineStr">
        <is>
          <t>pow</t>
        </is>
      </c>
      <c r="D557" s="45">
        <f>INDEX(Inputs_power!$Z$5:$Z$13,MATCH($B557,Inputs_power!$A$5:$A$13,0))</f>
        <v/>
      </c>
      <c r="E557" s="45">
        <f>INDEX(Inputs_power!$AA$5:$AA$13,MATCH($B557,Inputs_power!$A$5:$A$13,0))</f>
        <v/>
      </c>
      <c r="F557" s="45">
        <f>INDEX(Inputs_power!$AB$5:$AB$13,MATCH($B557,Inputs_power!$A$5:$A$13,0))</f>
        <v/>
      </c>
      <c r="G557" s="45">
        <f>INDEX(Inputs_power!$AD$5:$AD$13,MATCH($B557,Inputs_power!$A$5:$A$13,0))</f>
        <v/>
      </c>
      <c r="H557" s="14">
        <f>INDEX(VarLab,MATCH($A557,VarKey,0))&amp;INDEX(MemLab,MATCH($C557&amp;"|"&amp;$B557,MemKey,0))</f>
        <v/>
      </c>
      <c r="I557" s="14">
        <f>INDEX(VarUnit,MATCH($A557,VarKey,0))</f>
        <v/>
      </c>
      <c r="J557" s="14">
        <f>INDEX(VarSrc,MATCH($A557,VarKey,0))</f>
        <v/>
      </c>
      <c r="K557" s="11">
        <f>CodePrefix&amp;$A557&amp;IF($C557="","","."&amp;$C557&amp;"."&amp;$B557)&amp;INDEX(VarEnd,MATCH($A557,VarKey,0))&amp;K$5</f>
        <v/>
      </c>
      <c r="L557" s="15">
        <f>$D557*(L$263*INDEX(L$23:L$30,$E557)+L$280)+INDEX(L$80:L$93,$F557)*$G557</f>
        <v/>
      </c>
      <c r="M557" s="16">
        <f>$D557*(M$263*INDEX(M$23:M$30,$E557)+M$280)+INDEX(M$80:M$93,$F557)*$G557</f>
        <v/>
      </c>
      <c r="N557" s="16">
        <f>$D557*(N$263*INDEX(N$23:N$30,$E557)+N$280)+INDEX(N$80:N$93,$F557)*$G557</f>
        <v/>
      </c>
      <c r="O557" s="16">
        <f>$D557*(O$263*INDEX(O$23:O$30,$E557)+O$280)+INDEX(O$80:O$93,$F557)*$G557</f>
        <v/>
      </c>
      <c r="P557" s="16">
        <f>$D557*(P$263*INDEX(P$23:P$30,$E557)+P$280)+INDEX(P$80:P$93,$F557)*$G557</f>
        <v/>
      </c>
      <c r="Q557" s="16">
        <f>$D557*(Q$263*INDEX(Q$23:Q$30,$E557)+Q$280)+INDEX(Q$80:Q$93,$F557)*$G557</f>
        <v/>
      </c>
      <c r="R557" s="16">
        <f>$D557*(R$263*INDEX(R$23:R$30,$E557)+R$280)+INDEX(R$80:R$93,$F557)*$G557</f>
        <v/>
      </c>
      <c r="S557" s="16">
        <f>$D557*(S$263*INDEX(S$23:S$30,$E557)+S$280)+INDEX(S$80:S$93,$F557)*$G557</f>
        <v/>
      </c>
      <c r="T557" s="16">
        <f>$D557*(T$263*INDEX(T$23:T$30,$E557)+T$280)+INDEX(T$80:T$93,$F557)*$G557</f>
        <v/>
      </c>
      <c r="U557" s="16">
        <f>$D557*(U$263*INDEX(U$23:U$30,$E557)+U$280)+INDEX(U$80:U$93,$F557)*$G557</f>
        <v/>
      </c>
      <c r="V557" s="16">
        <f>$D557*(V$263*INDEX(V$23:V$30,$E557)+V$280)+INDEX(V$80:V$93,$F557)*$G557</f>
        <v/>
      </c>
      <c r="W557" s="16">
        <f>$D557*(W$263*INDEX(W$23:W$30,$E557)+W$280)+INDEX(W$80:W$93,$F557)*$G557</f>
        <v/>
      </c>
      <c r="X557" s="16">
        <f>$D557*(X$263*INDEX(X$23:X$30,$E557)+X$280)+INDEX(X$80:X$93,$F557)*$G557</f>
        <v/>
      </c>
      <c r="Y557" s="16">
        <f>$D557*(Y$263*INDEX(Y$23:Y$30,$E557)+Y$280)+INDEX(Y$80:Y$93,$F557)*$G557</f>
        <v/>
      </c>
      <c r="Z557" s="16">
        <f>$D557*(Z$263*INDEX(Z$23:Z$30,$E557)+Z$280)+INDEX(Z$80:Z$93,$F557)*$G557</f>
        <v/>
      </c>
      <c r="AA557" s="16">
        <f>$D557*(AA$263*INDEX(AA$23:AA$30,$E557)+AA$280)+INDEX(AA$80:AA$93,$F557)*$G557</f>
        <v/>
      </c>
      <c r="AB557" s="16">
        <f>$D557*(AB$263*INDEX(AB$23:AB$30,$E557)+AB$280)+INDEX(AB$80:AB$93,$F557)*$G557</f>
        <v/>
      </c>
      <c r="AC557" s="16">
        <f>$D557*(AC$263*INDEX(AC$23:AC$30,$E557)+AC$280)+INDEX(AC$80:AC$93,$F557)*$G557</f>
        <v/>
      </c>
      <c r="AD557" s="16">
        <f>$D557*(AD$263*INDEX(AD$23:AD$30,$E557)+AD$280)+INDEX(AD$80:AD$93,$F557)*$G557</f>
        <v/>
      </c>
      <c r="AE557" s="49">
        <f>KWHPOLICY($D557,AE$263,INDEX(AE$23:AE$30,$E557),AE$280,INDEX(AE$80:AE$93,$F557),$G557)</f>
        <v/>
      </c>
      <c r="AG557" s="11">
        <f>CodePrefix&amp;$A557&amp;IF($C557="","","."&amp;$C557&amp;"."&amp;$B557)&amp;INDEX(VarEnd,MATCH($A557,VarKey,0))&amp;AG$5</f>
        <v/>
      </c>
      <c r="AH557" s="15">
        <f>$D557*(AH$263*INDEX(AH$23:AH$30,$E557)+AH$280)+INDEX(AH$80:AH$93,$F557)*$G557</f>
        <v/>
      </c>
      <c r="AI557" s="16">
        <f>$D557*(AI$263*INDEX(AI$23:AI$30,$E557)+AI$280)+INDEX(AI$80:AI$93,$F557)*$G557</f>
        <v/>
      </c>
      <c r="AJ557" s="16">
        <f>$D557*(AJ$263*INDEX(AJ$23:AJ$30,$E557)+AJ$280)+INDEX(AJ$80:AJ$93,$F557)*$G557</f>
        <v/>
      </c>
      <c r="AK557" s="16">
        <f>$D557*(AK$263*INDEX(AK$23:AK$30,$E557)+AK$280)+INDEX(AK$80:AK$93,$F557)*$G557</f>
        <v/>
      </c>
      <c r="AL557" s="16">
        <f>$D557*(AL$263*INDEX(AL$23:AL$30,$E557)+AL$280)+INDEX(AL$80:AL$93,$F557)*$G557</f>
        <v/>
      </c>
      <c r="AM557" s="16">
        <f>$D557*(AM$263*INDEX(AM$23:AM$30,$E557)+AM$280)+INDEX(AM$80:AM$93,$F557)*$G557</f>
        <v/>
      </c>
      <c r="AN557" s="16">
        <f>$D557*(AN$263*INDEX(AN$23:AN$30,$E557)+AN$280)+INDEX(AN$80:AN$93,$F557)*$G557</f>
        <v/>
      </c>
      <c r="AO557" s="16">
        <f>$D557*(AO$263*INDEX(AO$23:AO$30,$E557)+AO$280)+INDEX(AO$80:AO$93,$F557)*$G557</f>
        <v/>
      </c>
      <c r="AP557" s="16">
        <f>$D557*(AP$263*INDEX(AP$23:AP$30,$E557)+AP$280)+INDEX(AP$80:AP$93,$F557)*$G557</f>
        <v/>
      </c>
      <c r="AQ557" s="16">
        <f>$D557*(AQ$263*INDEX(AQ$23:AQ$30,$E557)+AQ$280)+INDEX(AQ$80:AQ$93,$F557)*$G557</f>
        <v/>
      </c>
      <c r="AR557" s="16">
        <f>$D557*(AR$263*INDEX(AR$23:AR$30,$E557)+AR$280)+INDEX(AR$80:AR$93,$F557)*$G557</f>
        <v/>
      </c>
      <c r="AS557" s="16">
        <f>$D557*(AS$263*INDEX(AS$23:AS$30,$E557)+AS$280)+INDEX(AS$80:AS$93,$F557)*$G557</f>
        <v/>
      </c>
      <c r="AT557" s="16">
        <f>$D557*(AT$263*INDEX(AT$23:AT$30,$E557)+AT$280)+INDEX(AT$80:AT$93,$F557)*$G557</f>
        <v/>
      </c>
      <c r="AU557" s="16">
        <f>$D557*(AU$263*INDEX(AU$23:AU$30,$E557)+AU$280)+INDEX(AU$80:AU$93,$F557)*$G557</f>
        <v/>
      </c>
      <c r="AV557" s="16">
        <f>$D557*(AV$263*INDEX(AV$23:AV$30,$E557)+AV$280)+INDEX(AV$80:AV$93,$F557)*$G557</f>
        <v/>
      </c>
      <c r="AW557" s="16">
        <f>$D557*(AW$263*INDEX(AW$23:AW$30,$E557)+AW$280)+INDEX(AW$80:AW$93,$F557)*$G557</f>
        <v/>
      </c>
      <c r="AX557" s="16">
        <f>$D557*(AX$263*INDEX(AX$23:AX$30,$E557)+AX$280)+INDEX(AX$80:AX$93,$F557)*$G557</f>
        <v/>
      </c>
      <c r="AY557" s="16">
        <f>$D557*(AY$263*INDEX(AY$23:AY$30,$E557)+AY$280)+INDEX(AY$80:AY$93,$F557)*$G557</f>
        <v/>
      </c>
      <c r="AZ557" s="16">
        <f>$D557*(AZ$263*INDEX(AZ$23:AZ$30,$E557)+AZ$280)+INDEX(AZ$80:AZ$93,$F557)*$G557</f>
        <v/>
      </c>
      <c r="BA557" s="49">
        <f>KWHPOLICY($D557,BA$263,INDEX(BA$23:BA$30,$E557),BA$280,INDEX(BA$80:BA$93,$F557),$G557)</f>
        <v/>
      </c>
    </row>
    <row r="558" hidden="1" outlineLevel="1"/>
    <row r="559" hidden="1" outlineLevel="1">
      <c r="A559" s="14" t="inlineStr">
        <is>
          <t>shk</t>
        </is>
      </c>
      <c r="B559" s="14" t="inlineStr">
        <is>
          <t>coa</t>
        </is>
      </c>
      <c r="C559" s="14" t="inlineStr">
        <is>
          <t>pow</t>
        </is>
      </c>
      <c r="D559" s="45">
        <f>INDEX(Inputs_power!$Z$5:$Z$13,MATCH($B559,Inputs_power!$A$5:$A$13,0))</f>
        <v/>
      </c>
      <c r="E559" s="45">
        <f>INDEX(Inputs_power!$AQ$5:$AQ$13,MATCH($B559,Inputs_power!$A$5:$A$13,0))</f>
        <v/>
      </c>
      <c r="F559" s="39" t="n"/>
      <c r="G559" s="39" t="n"/>
      <c r="H559" s="14">
        <f>INDEX(VarLab,MATCH($A559,VarKey,0))&amp;INDEX(MemLab,MATCH($C559&amp;"|"&amp;$B559,MemKey,0))</f>
        <v/>
      </c>
      <c r="I559" s="14">
        <f>INDEX(VarUnit,MATCH($A559,VarKey,0))</f>
        <v/>
      </c>
      <c r="J559" s="14">
        <f>INDEX(VarSrc,MATCH($A559,VarKey,0))</f>
        <v/>
      </c>
      <c r="K559" s="11">
        <f>CodePrefix&amp;$A559&amp;IF($C559="","","."&amp;$C559&amp;"."&amp;$B559)&amp;INDEX(VarEnd,MATCH($A559,VarKey,0))&amp;K$5</f>
        <v/>
      </c>
      <c r="L559" s="15">
        <f>L$297*$D559</f>
        <v/>
      </c>
      <c r="M559" s="16">
        <f>M$297*$D559</f>
        <v/>
      </c>
      <c r="N559" s="16">
        <f>N$297*$D559</f>
        <v/>
      </c>
      <c r="O559" s="16">
        <f>O$297*$D559</f>
        <v/>
      </c>
      <c r="P559" s="16">
        <f>P$297*$D559</f>
        <v/>
      </c>
      <c r="Q559" s="16">
        <f>Q$297*$D559</f>
        <v/>
      </c>
      <c r="R559" s="16">
        <f>R$297*$D559</f>
        <v/>
      </c>
      <c r="S559" s="16">
        <f>S$297*$D559</f>
        <v/>
      </c>
      <c r="T559" s="16">
        <f>T$297*$D559</f>
        <v/>
      </c>
      <c r="U559" s="16">
        <f>U$297*$D559</f>
        <v/>
      </c>
      <c r="V559" s="16">
        <f>V$297*$D559</f>
        <v/>
      </c>
      <c r="W559" s="16">
        <f>W$297*$D559</f>
        <v/>
      </c>
      <c r="X559" s="16">
        <f>X$297*$D559</f>
        <v/>
      </c>
      <c r="Y559" s="16">
        <f>Y$297*$D559</f>
        <v/>
      </c>
      <c r="Z559" s="16">
        <f>Z$297*$D559</f>
        <v/>
      </c>
      <c r="AA559" s="16">
        <f>AA$297*$D559</f>
        <v/>
      </c>
      <c r="AB559" s="16">
        <f>AB$297*$D559</f>
        <v/>
      </c>
      <c r="AC559" s="16">
        <f>AC$297*$D559</f>
        <v/>
      </c>
      <c r="AD559" s="16">
        <f>AD$297*$D559</f>
        <v/>
      </c>
      <c r="AE559" s="49">
        <f>SHADOWGJ(AE$297,$D559)</f>
        <v/>
      </c>
      <c r="AG559" s="11">
        <f>CodePrefix&amp;$A559&amp;IF($C559="","","."&amp;$C559&amp;"."&amp;$B559)&amp;INDEX(VarEnd,MATCH($A559,VarKey,0))&amp;AG$5</f>
        <v/>
      </c>
      <c r="AH559" s="15">
        <f>AH$297*$D559</f>
        <v/>
      </c>
      <c r="AI559" s="16">
        <f>AI$297*$D559</f>
        <v/>
      </c>
      <c r="AJ559" s="16">
        <f>AJ$297*$D559</f>
        <v/>
      </c>
      <c r="AK559" s="16">
        <f>AK$297*$D559</f>
        <v/>
      </c>
      <c r="AL559" s="16">
        <f>AL$297*$D559</f>
        <v/>
      </c>
      <c r="AM559" s="16">
        <f>AM$297*$D559</f>
        <v/>
      </c>
      <c r="AN559" s="16">
        <f>AN$297*$D559</f>
        <v/>
      </c>
      <c r="AO559" s="16">
        <f>AO$297*$D559</f>
        <v/>
      </c>
      <c r="AP559" s="16">
        <f>AP$297*$D559</f>
        <v/>
      </c>
      <c r="AQ559" s="16">
        <f>AQ$297*$D559</f>
        <v/>
      </c>
      <c r="AR559" s="16">
        <f>AR$297*$D559</f>
        <v/>
      </c>
      <c r="AS559" s="16">
        <f>AS$297*$D559</f>
        <v/>
      </c>
      <c r="AT559" s="16">
        <f>AT$297*$D559</f>
        <v/>
      </c>
      <c r="AU559" s="16">
        <f>AU$297*$D559</f>
        <v/>
      </c>
      <c r="AV559" s="16">
        <f>AV$297*$D559</f>
        <v/>
      </c>
      <c r="AW559" s="16">
        <f>AW$297*$D559</f>
        <v/>
      </c>
      <c r="AX559" s="16">
        <f>AX$297*$D559</f>
        <v/>
      </c>
      <c r="AY559" s="16">
        <f>AY$297*$D559</f>
        <v/>
      </c>
      <c r="AZ559" s="16">
        <f>AZ$297*$D559</f>
        <v/>
      </c>
      <c r="BA559" s="49">
        <f>SHADOWGJ(BA$297,$D559)</f>
        <v/>
      </c>
    </row>
    <row r="560" hidden="1" outlineLevel="1">
      <c r="A560" s="14" t="inlineStr">
        <is>
          <t>shk</t>
        </is>
      </c>
      <c r="B560" s="14" t="inlineStr">
        <is>
          <t>nga</t>
        </is>
      </c>
      <c r="C560" s="14" t="inlineStr">
        <is>
          <t>pow</t>
        </is>
      </c>
      <c r="D560" s="45">
        <f>INDEX(Inputs_power!$Z$5:$Z$13,MATCH($B560,Inputs_power!$A$5:$A$13,0))</f>
        <v/>
      </c>
      <c r="E560" s="45">
        <f>INDEX(Inputs_power!$AQ$5:$AQ$13,MATCH($B560,Inputs_power!$A$5:$A$13,0))</f>
        <v/>
      </c>
      <c r="F560" s="39" t="n"/>
      <c r="G560" s="39" t="n"/>
      <c r="H560" s="14">
        <f>INDEX(VarLab,MATCH($A560,VarKey,0))&amp;INDEX(MemLab,MATCH($C560&amp;"|"&amp;$B560,MemKey,0))</f>
        <v/>
      </c>
      <c r="I560" s="14">
        <f>INDEX(VarUnit,MATCH($A560,VarKey,0))</f>
        <v/>
      </c>
      <c r="J560" s="14">
        <f>INDEX(VarSrc,MATCH($A560,VarKey,0))</f>
        <v/>
      </c>
      <c r="K560" s="11">
        <f>CodePrefix&amp;$A560&amp;IF($C560="","","."&amp;$C560&amp;"."&amp;$B560)&amp;INDEX(VarEnd,MATCH($A560,VarKey,0))&amp;K$5</f>
        <v/>
      </c>
      <c r="L560" s="15">
        <f>L$297*$D560</f>
        <v/>
      </c>
      <c r="M560" s="16">
        <f>M$297*$D560</f>
        <v/>
      </c>
      <c r="N560" s="16">
        <f>N$297*$D560</f>
        <v/>
      </c>
      <c r="O560" s="16">
        <f>O$297*$D560</f>
        <v/>
      </c>
      <c r="P560" s="16">
        <f>P$297*$D560</f>
        <v/>
      </c>
      <c r="Q560" s="16">
        <f>Q$297*$D560</f>
        <v/>
      </c>
      <c r="R560" s="16">
        <f>R$297*$D560</f>
        <v/>
      </c>
      <c r="S560" s="16">
        <f>S$297*$D560</f>
        <v/>
      </c>
      <c r="T560" s="16">
        <f>T$297*$D560</f>
        <v/>
      </c>
      <c r="U560" s="16">
        <f>U$297*$D560</f>
        <v/>
      </c>
      <c r="V560" s="16">
        <f>V$297*$D560</f>
        <v/>
      </c>
      <c r="W560" s="16">
        <f>W$297*$D560</f>
        <v/>
      </c>
      <c r="X560" s="16">
        <f>X$297*$D560</f>
        <v/>
      </c>
      <c r="Y560" s="16">
        <f>Y$297*$D560</f>
        <v/>
      </c>
      <c r="Z560" s="16">
        <f>Z$297*$D560</f>
        <v/>
      </c>
      <c r="AA560" s="16">
        <f>AA$297*$D560</f>
        <v/>
      </c>
      <c r="AB560" s="16">
        <f>AB$297*$D560</f>
        <v/>
      </c>
      <c r="AC560" s="16">
        <f>AC$297*$D560</f>
        <v/>
      </c>
      <c r="AD560" s="16">
        <f>AD$297*$D560</f>
        <v/>
      </c>
      <c r="AE560" s="49">
        <f>SHADOWGJ(AE$297,$D560)</f>
        <v/>
      </c>
      <c r="AG560" s="11">
        <f>CodePrefix&amp;$A560&amp;IF($C560="","","."&amp;$C560&amp;"."&amp;$B560)&amp;INDEX(VarEnd,MATCH($A560,VarKey,0))&amp;AG$5</f>
        <v/>
      </c>
      <c r="AH560" s="15">
        <f>AH$297*$D560</f>
        <v/>
      </c>
      <c r="AI560" s="16">
        <f>AI$297*$D560</f>
        <v/>
      </c>
      <c r="AJ560" s="16">
        <f>AJ$297*$D560</f>
        <v/>
      </c>
      <c r="AK560" s="16">
        <f>AK$297*$D560</f>
        <v/>
      </c>
      <c r="AL560" s="16">
        <f>AL$297*$D560</f>
        <v/>
      </c>
      <c r="AM560" s="16">
        <f>AM$297*$D560</f>
        <v/>
      </c>
      <c r="AN560" s="16">
        <f>AN$297*$D560</f>
        <v/>
      </c>
      <c r="AO560" s="16">
        <f>AO$297*$D560</f>
        <v/>
      </c>
      <c r="AP560" s="16">
        <f>AP$297*$D560</f>
        <v/>
      </c>
      <c r="AQ560" s="16">
        <f>AQ$297*$D560</f>
        <v/>
      </c>
      <c r="AR560" s="16">
        <f>AR$297*$D560</f>
        <v/>
      </c>
      <c r="AS560" s="16">
        <f>AS$297*$D560</f>
        <v/>
      </c>
      <c r="AT560" s="16">
        <f>AT$297*$D560</f>
        <v/>
      </c>
      <c r="AU560" s="16">
        <f>AU$297*$D560</f>
        <v/>
      </c>
      <c r="AV560" s="16">
        <f>AV$297*$D560</f>
        <v/>
      </c>
      <c r="AW560" s="16">
        <f>AW$297*$D560</f>
        <v/>
      </c>
      <c r="AX560" s="16">
        <f>AX$297*$D560</f>
        <v/>
      </c>
      <c r="AY560" s="16">
        <f>AY$297*$D560</f>
        <v/>
      </c>
      <c r="AZ560" s="16">
        <f>AZ$297*$D560</f>
        <v/>
      </c>
      <c r="BA560" s="49">
        <f>SHADOWGJ(BA$297,$D560)</f>
        <v/>
      </c>
    </row>
    <row r="561" hidden="1" outlineLevel="1">
      <c r="A561" s="14" t="inlineStr">
        <is>
          <t>shk</t>
        </is>
      </c>
      <c r="B561" s="14" t="inlineStr">
        <is>
          <t>oop</t>
        </is>
      </c>
      <c r="C561" s="14" t="inlineStr">
        <is>
          <t>pow</t>
        </is>
      </c>
      <c r="D561" s="45">
        <f>INDEX(Inputs_power!$Z$5:$Z$13,MATCH($B561,Inputs_power!$A$5:$A$13,0))</f>
        <v/>
      </c>
      <c r="E561" s="45">
        <f>INDEX(Inputs_power!$AQ$5:$AQ$13,MATCH($B561,Inputs_power!$A$5:$A$13,0))</f>
        <v/>
      </c>
      <c r="F561" s="39" t="n"/>
      <c r="G561" s="39" t="n"/>
      <c r="H561" s="14">
        <f>INDEX(VarLab,MATCH($A561,VarKey,0))&amp;INDEX(MemLab,MATCH($C561&amp;"|"&amp;$B561,MemKey,0))</f>
        <v/>
      </c>
      <c r="I561" s="14">
        <f>INDEX(VarUnit,MATCH($A561,VarKey,0))</f>
        <v/>
      </c>
      <c r="J561" s="14">
        <f>INDEX(VarSrc,MATCH($A561,VarKey,0))</f>
        <v/>
      </c>
      <c r="K561" s="11">
        <f>CodePrefix&amp;$A561&amp;IF($C561="","","."&amp;$C561&amp;"."&amp;$B561)&amp;INDEX(VarEnd,MATCH($A561,VarKey,0))&amp;K$5</f>
        <v/>
      </c>
      <c r="L561" s="15">
        <f>L$297*$D561</f>
        <v/>
      </c>
      <c r="M561" s="16">
        <f>M$297*$D561</f>
        <v/>
      </c>
      <c r="N561" s="16">
        <f>N$297*$D561</f>
        <v/>
      </c>
      <c r="O561" s="16">
        <f>O$297*$D561</f>
        <v/>
      </c>
      <c r="P561" s="16">
        <f>P$297*$D561</f>
        <v/>
      </c>
      <c r="Q561" s="16">
        <f>Q$297*$D561</f>
        <v/>
      </c>
      <c r="R561" s="16">
        <f>R$297*$D561</f>
        <v/>
      </c>
      <c r="S561" s="16">
        <f>S$297*$D561</f>
        <v/>
      </c>
      <c r="T561" s="16">
        <f>T$297*$D561</f>
        <v/>
      </c>
      <c r="U561" s="16">
        <f>U$297*$D561</f>
        <v/>
      </c>
      <c r="V561" s="16">
        <f>V$297*$D561</f>
        <v/>
      </c>
      <c r="W561" s="16">
        <f>W$297*$D561</f>
        <v/>
      </c>
      <c r="X561" s="16">
        <f>X$297*$D561</f>
        <v/>
      </c>
      <c r="Y561" s="16">
        <f>Y$297*$D561</f>
        <v/>
      </c>
      <c r="Z561" s="16">
        <f>Z$297*$D561</f>
        <v/>
      </c>
      <c r="AA561" s="16">
        <f>AA$297*$D561</f>
        <v/>
      </c>
      <c r="AB561" s="16">
        <f>AB$297*$D561</f>
        <v/>
      </c>
      <c r="AC561" s="16">
        <f>AC$297*$D561</f>
        <v/>
      </c>
      <c r="AD561" s="16">
        <f>AD$297*$D561</f>
        <v/>
      </c>
      <c r="AE561" s="49">
        <f>SHADOWGJ(AE$297,$D561)</f>
        <v/>
      </c>
      <c r="AG561" s="11">
        <f>CodePrefix&amp;$A561&amp;IF($C561="","","."&amp;$C561&amp;"."&amp;$B561)&amp;INDEX(VarEnd,MATCH($A561,VarKey,0))&amp;AG$5</f>
        <v/>
      </c>
      <c r="AH561" s="15">
        <f>AH$297*$D561</f>
        <v/>
      </c>
      <c r="AI561" s="16">
        <f>AI$297*$D561</f>
        <v/>
      </c>
      <c r="AJ561" s="16">
        <f>AJ$297*$D561</f>
        <v/>
      </c>
      <c r="AK561" s="16">
        <f>AK$297*$D561</f>
        <v/>
      </c>
      <c r="AL561" s="16">
        <f>AL$297*$D561</f>
        <v/>
      </c>
      <c r="AM561" s="16">
        <f>AM$297*$D561</f>
        <v/>
      </c>
      <c r="AN561" s="16">
        <f>AN$297*$D561</f>
        <v/>
      </c>
      <c r="AO561" s="16">
        <f>AO$297*$D561</f>
        <v/>
      </c>
      <c r="AP561" s="16">
        <f>AP$297*$D561</f>
        <v/>
      </c>
      <c r="AQ561" s="16">
        <f>AQ$297*$D561</f>
        <v/>
      </c>
      <c r="AR561" s="16">
        <f>AR$297*$D561</f>
        <v/>
      </c>
      <c r="AS561" s="16">
        <f>AS$297*$D561</f>
        <v/>
      </c>
      <c r="AT561" s="16">
        <f>AT$297*$D561</f>
        <v/>
      </c>
      <c r="AU561" s="16">
        <f>AU$297*$D561</f>
        <v/>
      </c>
      <c r="AV561" s="16">
        <f>AV$297*$D561</f>
        <v/>
      </c>
      <c r="AW561" s="16">
        <f>AW$297*$D561</f>
        <v/>
      </c>
      <c r="AX561" s="16">
        <f>AX$297*$D561</f>
        <v/>
      </c>
      <c r="AY561" s="16">
        <f>AY$297*$D561</f>
        <v/>
      </c>
      <c r="AZ561" s="16">
        <f>AZ$297*$D561</f>
        <v/>
      </c>
      <c r="BA561" s="49">
        <f>SHADOWGJ(BA$297,$D561)</f>
        <v/>
      </c>
    </row>
    <row r="562" hidden="1" outlineLevel="1">
      <c r="A562" s="14" t="inlineStr">
        <is>
          <t>shk</t>
        </is>
      </c>
      <c r="B562" s="14" t="inlineStr">
        <is>
          <t>nuc</t>
        </is>
      </c>
      <c r="C562" s="14" t="inlineStr">
        <is>
          <t>pow</t>
        </is>
      </c>
      <c r="D562" s="45">
        <f>INDEX(Inputs_power!$Z$5:$Z$13,MATCH($B562,Inputs_power!$A$5:$A$13,0))</f>
        <v/>
      </c>
      <c r="E562" s="45">
        <f>INDEX(Inputs_power!$AQ$5:$AQ$13,MATCH($B562,Inputs_power!$A$5:$A$13,0))</f>
        <v/>
      </c>
      <c r="F562" s="39" t="n"/>
      <c r="G562" s="39" t="n"/>
      <c r="H562" s="14">
        <f>INDEX(VarLab,MATCH($A562,VarKey,0))&amp;INDEX(MemLab,MATCH($C562&amp;"|"&amp;$B562,MemKey,0))</f>
        <v/>
      </c>
      <c r="I562" s="14">
        <f>INDEX(VarUnit,MATCH($A562,VarKey,0))</f>
        <v/>
      </c>
      <c r="J562" s="14">
        <f>INDEX(VarSrc,MATCH($A562,VarKey,0))</f>
        <v/>
      </c>
      <c r="K562" s="11">
        <f>CodePrefix&amp;$A562&amp;IF($C562="","","."&amp;$C562&amp;"."&amp;$B562)&amp;INDEX(VarEnd,MATCH($A562,VarKey,0))&amp;K$5</f>
        <v/>
      </c>
      <c r="L562" s="15">
        <f>L$297*$D562</f>
        <v/>
      </c>
      <c r="M562" s="16">
        <f>M$297*$D562</f>
        <v/>
      </c>
      <c r="N562" s="16">
        <f>N$297*$D562</f>
        <v/>
      </c>
      <c r="O562" s="16">
        <f>O$297*$D562</f>
        <v/>
      </c>
      <c r="P562" s="16">
        <f>P$297*$D562</f>
        <v/>
      </c>
      <c r="Q562" s="16">
        <f>Q$297*$D562</f>
        <v/>
      </c>
      <c r="R562" s="16">
        <f>R$297*$D562</f>
        <v/>
      </c>
      <c r="S562" s="16">
        <f>S$297*$D562</f>
        <v/>
      </c>
      <c r="T562" s="16">
        <f>T$297*$D562</f>
        <v/>
      </c>
      <c r="U562" s="16">
        <f>U$297*$D562</f>
        <v/>
      </c>
      <c r="V562" s="16">
        <f>V$297*$D562</f>
        <v/>
      </c>
      <c r="W562" s="16">
        <f>W$297*$D562</f>
        <v/>
      </c>
      <c r="X562" s="16">
        <f>X$297*$D562</f>
        <v/>
      </c>
      <c r="Y562" s="16">
        <f>Y$297*$D562</f>
        <v/>
      </c>
      <c r="Z562" s="16">
        <f>Z$297*$D562</f>
        <v/>
      </c>
      <c r="AA562" s="16">
        <f>AA$297*$D562</f>
        <v/>
      </c>
      <c r="AB562" s="16">
        <f>AB$297*$D562</f>
        <v/>
      </c>
      <c r="AC562" s="16">
        <f>AC$297*$D562</f>
        <v/>
      </c>
      <c r="AD562" s="16">
        <f>AD$297*$D562</f>
        <v/>
      </c>
      <c r="AE562" s="49">
        <f>SHADOWGJ(AE$297,$D562)</f>
        <v/>
      </c>
      <c r="AG562" s="11">
        <f>CodePrefix&amp;$A562&amp;IF($C562="","","."&amp;$C562&amp;"."&amp;$B562)&amp;INDEX(VarEnd,MATCH($A562,VarKey,0))&amp;AG$5</f>
        <v/>
      </c>
      <c r="AH562" s="15">
        <f>AH$297*$D562</f>
        <v/>
      </c>
      <c r="AI562" s="16">
        <f>AI$297*$D562</f>
        <v/>
      </c>
      <c r="AJ562" s="16">
        <f>AJ$297*$D562</f>
        <v/>
      </c>
      <c r="AK562" s="16">
        <f>AK$297*$D562</f>
        <v/>
      </c>
      <c r="AL562" s="16">
        <f>AL$297*$D562</f>
        <v/>
      </c>
      <c r="AM562" s="16">
        <f>AM$297*$D562</f>
        <v/>
      </c>
      <c r="AN562" s="16">
        <f>AN$297*$D562</f>
        <v/>
      </c>
      <c r="AO562" s="16">
        <f>AO$297*$D562</f>
        <v/>
      </c>
      <c r="AP562" s="16">
        <f>AP$297*$D562</f>
        <v/>
      </c>
      <c r="AQ562" s="16">
        <f>AQ$297*$D562</f>
        <v/>
      </c>
      <c r="AR562" s="16">
        <f>AR$297*$D562</f>
        <v/>
      </c>
      <c r="AS562" s="16">
        <f>AS$297*$D562</f>
        <v/>
      </c>
      <c r="AT562" s="16">
        <f>AT$297*$D562</f>
        <v/>
      </c>
      <c r="AU562" s="16">
        <f>AU$297*$D562</f>
        <v/>
      </c>
      <c r="AV562" s="16">
        <f>AV$297*$D562</f>
        <v/>
      </c>
      <c r="AW562" s="16">
        <f>AW$297*$D562</f>
        <v/>
      </c>
      <c r="AX562" s="16">
        <f>AX$297*$D562</f>
        <v/>
      </c>
      <c r="AY562" s="16">
        <f>AY$297*$D562</f>
        <v/>
      </c>
      <c r="AZ562" s="16">
        <f>AZ$297*$D562</f>
        <v/>
      </c>
      <c r="BA562" s="49">
        <f>SHADOWGJ(BA$297,$D562)</f>
        <v/>
      </c>
    </row>
    <row r="563" hidden="1" outlineLevel="1">
      <c r="A563" s="14" t="inlineStr">
        <is>
          <t>shk</t>
        </is>
      </c>
      <c r="B563" s="14" t="inlineStr">
        <is>
          <t>wnd</t>
        </is>
      </c>
      <c r="C563" s="14" t="inlineStr">
        <is>
          <t>pow</t>
        </is>
      </c>
      <c r="D563" s="45">
        <f>INDEX(Inputs_power!$Z$5:$Z$13,MATCH($B563,Inputs_power!$A$5:$A$13,0))</f>
        <v/>
      </c>
      <c r="E563" s="45">
        <f>INDEX(Inputs_power!$AQ$5:$AQ$13,MATCH($B563,Inputs_power!$A$5:$A$13,0))</f>
        <v/>
      </c>
      <c r="F563" s="39" t="n"/>
      <c r="G563" s="39" t="n"/>
      <c r="H563" s="14">
        <f>INDEX(VarLab,MATCH($A563,VarKey,0))&amp;INDEX(MemLab,MATCH($C563&amp;"|"&amp;$B563,MemKey,0))</f>
        <v/>
      </c>
      <c r="I563" s="14">
        <f>INDEX(VarUnit,MATCH($A563,VarKey,0))</f>
        <v/>
      </c>
      <c r="J563" s="14">
        <f>INDEX(VarSrc,MATCH($A563,VarKey,0))</f>
        <v/>
      </c>
      <c r="K563" s="11">
        <f>CodePrefix&amp;$A563&amp;IF($C563="","","."&amp;$C563&amp;"."&amp;$B563)&amp;INDEX(VarEnd,MATCH($A563,VarKey,0))&amp;K$5</f>
        <v/>
      </c>
      <c r="L563" s="15">
        <f>L$297*$D563</f>
        <v/>
      </c>
      <c r="M563" s="16">
        <f>M$297*$D563</f>
        <v/>
      </c>
      <c r="N563" s="16">
        <f>N$297*$D563</f>
        <v/>
      </c>
      <c r="O563" s="16">
        <f>O$297*$D563</f>
        <v/>
      </c>
      <c r="P563" s="16">
        <f>P$297*$D563</f>
        <v/>
      </c>
      <c r="Q563" s="16">
        <f>Q$297*$D563</f>
        <v/>
      </c>
      <c r="R563" s="16">
        <f>R$297*$D563</f>
        <v/>
      </c>
      <c r="S563" s="16">
        <f>S$297*$D563</f>
        <v/>
      </c>
      <c r="T563" s="16">
        <f>T$297*$D563</f>
        <v/>
      </c>
      <c r="U563" s="16">
        <f>U$297*$D563</f>
        <v/>
      </c>
      <c r="V563" s="16">
        <f>V$297*$D563</f>
        <v/>
      </c>
      <c r="W563" s="16">
        <f>W$297*$D563</f>
        <v/>
      </c>
      <c r="X563" s="16">
        <f>X$297*$D563</f>
        <v/>
      </c>
      <c r="Y563" s="16">
        <f>Y$297*$D563</f>
        <v/>
      </c>
      <c r="Z563" s="16">
        <f>Z$297*$D563</f>
        <v/>
      </c>
      <c r="AA563" s="16">
        <f>AA$297*$D563</f>
        <v/>
      </c>
      <c r="AB563" s="16">
        <f>AB$297*$D563</f>
        <v/>
      </c>
      <c r="AC563" s="16">
        <f>AC$297*$D563</f>
        <v/>
      </c>
      <c r="AD563" s="16">
        <f>AD$297*$D563</f>
        <v/>
      </c>
      <c r="AE563" s="49">
        <f>SHADOWGJ(AE$297,$D563)</f>
        <v/>
      </c>
      <c r="AG563" s="11">
        <f>CodePrefix&amp;$A563&amp;IF($C563="","","."&amp;$C563&amp;"."&amp;$B563)&amp;INDEX(VarEnd,MATCH($A563,VarKey,0))&amp;AG$5</f>
        <v/>
      </c>
      <c r="AH563" s="15">
        <f>AH$297*$D563</f>
        <v/>
      </c>
      <c r="AI563" s="16">
        <f>AI$297*$D563</f>
        <v/>
      </c>
      <c r="AJ563" s="16">
        <f>AJ$297*$D563</f>
        <v/>
      </c>
      <c r="AK563" s="16">
        <f>AK$297*$D563</f>
        <v/>
      </c>
      <c r="AL563" s="16">
        <f>AL$297*$D563</f>
        <v/>
      </c>
      <c r="AM563" s="16">
        <f>AM$297*$D563</f>
        <v/>
      </c>
      <c r="AN563" s="16">
        <f>AN$297*$D563</f>
        <v/>
      </c>
      <c r="AO563" s="16">
        <f>AO$297*$D563</f>
        <v/>
      </c>
      <c r="AP563" s="16">
        <f>AP$297*$D563</f>
        <v/>
      </c>
      <c r="AQ563" s="16">
        <f>AQ$297*$D563</f>
        <v/>
      </c>
      <c r="AR563" s="16">
        <f>AR$297*$D563</f>
        <v/>
      </c>
      <c r="AS563" s="16">
        <f>AS$297*$D563</f>
        <v/>
      </c>
      <c r="AT563" s="16">
        <f>AT$297*$D563</f>
        <v/>
      </c>
      <c r="AU563" s="16">
        <f>AU$297*$D563</f>
        <v/>
      </c>
      <c r="AV563" s="16">
        <f>AV$297*$D563</f>
        <v/>
      </c>
      <c r="AW563" s="16">
        <f>AW$297*$D563</f>
        <v/>
      </c>
      <c r="AX563" s="16">
        <f>AX$297*$D563</f>
        <v/>
      </c>
      <c r="AY563" s="16">
        <f>AY$297*$D563</f>
        <v/>
      </c>
      <c r="AZ563" s="16">
        <f>AZ$297*$D563</f>
        <v/>
      </c>
      <c r="BA563" s="49">
        <f>SHADOWGJ(BA$297,$D563)</f>
        <v/>
      </c>
    </row>
    <row r="564" hidden="1" outlineLevel="1">
      <c r="A564" s="14" t="inlineStr">
        <is>
          <t>shk</t>
        </is>
      </c>
      <c r="B564" s="14" t="inlineStr">
        <is>
          <t>sol</t>
        </is>
      </c>
      <c r="C564" s="14" t="inlineStr">
        <is>
          <t>pow</t>
        </is>
      </c>
      <c r="D564" s="45">
        <f>INDEX(Inputs_power!$Z$5:$Z$13,MATCH($B564,Inputs_power!$A$5:$A$13,0))</f>
        <v/>
      </c>
      <c r="E564" s="45">
        <f>INDEX(Inputs_power!$AQ$5:$AQ$13,MATCH($B564,Inputs_power!$A$5:$A$13,0))</f>
        <v/>
      </c>
      <c r="F564" s="39" t="n"/>
      <c r="G564" s="39" t="n"/>
      <c r="H564" s="14">
        <f>INDEX(VarLab,MATCH($A564,VarKey,0))&amp;INDEX(MemLab,MATCH($C564&amp;"|"&amp;$B564,MemKey,0))</f>
        <v/>
      </c>
      <c r="I564" s="14">
        <f>INDEX(VarUnit,MATCH($A564,VarKey,0))</f>
        <v/>
      </c>
      <c r="J564" s="14">
        <f>INDEX(VarSrc,MATCH($A564,VarKey,0))</f>
        <v/>
      </c>
      <c r="K564" s="11">
        <f>CodePrefix&amp;$A564&amp;IF($C564="","","."&amp;$C564&amp;"."&amp;$B564)&amp;INDEX(VarEnd,MATCH($A564,VarKey,0))&amp;K$5</f>
        <v/>
      </c>
      <c r="L564" s="15">
        <f>L$297*$D564</f>
        <v/>
      </c>
      <c r="M564" s="16">
        <f>M$297*$D564</f>
        <v/>
      </c>
      <c r="N564" s="16">
        <f>N$297*$D564</f>
        <v/>
      </c>
      <c r="O564" s="16">
        <f>O$297*$D564</f>
        <v/>
      </c>
      <c r="P564" s="16">
        <f>P$297*$D564</f>
        <v/>
      </c>
      <c r="Q564" s="16">
        <f>Q$297*$D564</f>
        <v/>
      </c>
      <c r="R564" s="16">
        <f>R$297*$D564</f>
        <v/>
      </c>
      <c r="S564" s="16">
        <f>S$297*$D564</f>
        <v/>
      </c>
      <c r="T564" s="16">
        <f>T$297*$D564</f>
        <v/>
      </c>
      <c r="U564" s="16">
        <f>U$297*$D564</f>
        <v/>
      </c>
      <c r="V564" s="16">
        <f>V$297*$D564</f>
        <v/>
      </c>
      <c r="W564" s="16">
        <f>W$297*$D564</f>
        <v/>
      </c>
      <c r="X564" s="16">
        <f>X$297*$D564</f>
        <v/>
      </c>
      <c r="Y564" s="16">
        <f>Y$297*$D564</f>
        <v/>
      </c>
      <c r="Z564" s="16">
        <f>Z$297*$D564</f>
        <v/>
      </c>
      <c r="AA564" s="16">
        <f>AA$297*$D564</f>
        <v/>
      </c>
      <c r="AB564" s="16">
        <f>AB$297*$D564</f>
        <v/>
      </c>
      <c r="AC564" s="16">
        <f>AC$297*$D564</f>
        <v/>
      </c>
      <c r="AD564" s="16">
        <f>AD$297*$D564</f>
        <v/>
      </c>
      <c r="AE564" s="49">
        <f>SHADOWGJ(AE$297,$D564)</f>
        <v/>
      </c>
      <c r="AG564" s="11">
        <f>CodePrefix&amp;$A564&amp;IF($C564="","","."&amp;$C564&amp;"."&amp;$B564)&amp;INDEX(VarEnd,MATCH($A564,VarKey,0))&amp;AG$5</f>
        <v/>
      </c>
      <c r="AH564" s="15">
        <f>AH$297*$D564</f>
        <v/>
      </c>
      <c r="AI564" s="16">
        <f>AI$297*$D564</f>
        <v/>
      </c>
      <c r="AJ564" s="16">
        <f>AJ$297*$D564</f>
        <v/>
      </c>
      <c r="AK564" s="16">
        <f>AK$297*$D564</f>
        <v/>
      </c>
      <c r="AL564" s="16">
        <f>AL$297*$D564</f>
        <v/>
      </c>
      <c r="AM564" s="16">
        <f>AM$297*$D564</f>
        <v/>
      </c>
      <c r="AN564" s="16">
        <f>AN$297*$D564</f>
        <v/>
      </c>
      <c r="AO564" s="16">
        <f>AO$297*$D564</f>
        <v/>
      </c>
      <c r="AP564" s="16">
        <f>AP$297*$D564</f>
        <v/>
      </c>
      <c r="AQ564" s="16">
        <f>AQ$297*$D564</f>
        <v/>
      </c>
      <c r="AR564" s="16">
        <f>AR$297*$D564</f>
        <v/>
      </c>
      <c r="AS564" s="16">
        <f>AS$297*$D564</f>
        <v/>
      </c>
      <c r="AT564" s="16">
        <f>AT$297*$D564</f>
        <v/>
      </c>
      <c r="AU564" s="16">
        <f>AU$297*$D564</f>
        <v/>
      </c>
      <c r="AV564" s="16">
        <f>AV$297*$D564</f>
        <v/>
      </c>
      <c r="AW564" s="16">
        <f>AW$297*$D564</f>
        <v/>
      </c>
      <c r="AX564" s="16">
        <f>AX$297*$D564</f>
        <v/>
      </c>
      <c r="AY564" s="16">
        <f>AY$297*$D564</f>
        <v/>
      </c>
      <c r="AZ564" s="16">
        <f>AZ$297*$D564</f>
        <v/>
      </c>
      <c r="BA564" s="49">
        <f>SHADOWGJ(BA$297,$D564)</f>
        <v/>
      </c>
    </row>
    <row r="565" hidden="1" outlineLevel="1">
      <c r="A565" s="14" t="inlineStr">
        <is>
          <t>shk</t>
        </is>
      </c>
      <c r="B565" s="14" t="inlineStr">
        <is>
          <t>hyd</t>
        </is>
      </c>
      <c r="C565" s="14" t="inlineStr">
        <is>
          <t>pow</t>
        </is>
      </c>
      <c r="D565" s="45">
        <f>INDEX(Inputs_power!$Z$5:$Z$13,MATCH($B565,Inputs_power!$A$5:$A$13,0))</f>
        <v/>
      </c>
      <c r="E565" s="45">
        <f>INDEX(Inputs_power!$AQ$5:$AQ$13,MATCH($B565,Inputs_power!$A$5:$A$13,0))</f>
        <v/>
      </c>
      <c r="F565" s="39" t="n"/>
      <c r="G565" s="39" t="n"/>
      <c r="H565" s="14">
        <f>INDEX(VarLab,MATCH($A565,VarKey,0))&amp;INDEX(MemLab,MATCH($C565&amp;"|"&amp;$B565,MemKey,0))</f>
        <v/>
      </c>
      <c r="I565" s="14">
        <f>INDEX(VarUnit,MATCH($A565,VarKey,0))</f>
        <v/>
      </c>
      <c r="J565" s="14">
        <f>INDEX(VarSrc,MATCH($A565,VarKey,0))</f>
        <v/>
      </c>
      <c r="K565" s="11">
        <f>CodePrefix&amp;$A565&amp;IF($C565="","","."&amp;$C565&amp;"."&amp;$B565)&amp;INDEX(VarEnd,MATCH($A565,VarKey,0))&amp;K$5</f>
        <v/>
      </c>
      <c r="L565" s="15">
        <f>L$297*$D565</f>
        <v/>
      </c>
      <c r="M565" s="16">
        <f>M$297*$D565</f>
        <v/>
      </c>
      <c r="N565" s="16">
        <f>N$297*$D565</f>
        <v/>
      </c>
      <c r="O565" s="16">
        <f>O$297*$D565</f>
        <v/>
      </c>
      <c r="P565" s="16">
        <f>P$297*$D565</f>
        <v/>
      </c>
      <c r="Q565" s="16">
        <f>Q$297*$D565</f>
        <v/>
      </c>
      <c r="R565" s="16">
        <f>R$297*$D565</f>
        <v/>
      </c>
      <c r="S565" s="16">
        <f>S$297*$D565</f>
        <v/>
      </c>
      <c r="T565" s="16">
        <f>T$297*$D565</f>
        <v/>
      </c>
      <c r="U565" s="16">
        <f>U$297*$D565</f>
        <v/>
      </c>
      <c r="V565" s="16">
        <f>V$297*$D565</f>
        <v/>
      </c>
      <c r="W565" s="16">
        <f>W$297*$D565</f>
        <v/>
      </c>
      <c r="X565" s="16">
        <f>X$297*$D565</f>
        <v/>
      </c>
      <c r="Y565" s="16">
        <f>Y$297*$D565</f>
        <v/>
      </c>
      <c r="Z565" s="16">
        <f>Z$297*$D565</f>
        <v/>
      </c>
      <c r="AA565" s="16">
        <f>AA$297*$D565</f>
        <v/>
      </c>
      <c r="AB565" s="16">
        <f>AB$297*$D565</f>
        <v/>
      </c>
      <c r="AC565" s="16">
        <f>AC$297*$D565</f>
        <v/>
      </c>
      <c r="AD565" s="16">
        <f>AD$297*$D565</f>
        <v/>
      </c>
      <c r="AE565" s="49">
        <f>SHADOWGJ(AE$297,$D565)</f>
        <v/>
      </c>
      <c r="AG565" s="11">
        <f>CodePrefix&amp;$A565&amp;IF($C565="","","."&amp;$C565&amp;"."&amp;$B565)&amp;INDEX(VarEnd,MATCH($A565,VarKey,0))&amp;AG$5</f>
        <v/>
      </c>
      <c r="AH565" s="15">
        <f>AH$297*$D565</f>
        <v/>
      </c>
      <c r="AI565" s="16">
        <f>AI$297*$D565</f>
        <v/>
      </c>
      <c r="AJ565" s="16">
        <f>AJ$297*$D565</f>
        <v/>
      </c>
      <c r="AK565" s="16">
        <f>AK$297*$D565</f>
        <v/>
      </c>
      <c r="AL565" s="16">
        <f>AL$297*$D565</f>
        <v/>
      </c>
      <c r="AM565" s="16">
        <f>AM$297*$D565</f>
        <v/>
      </c>
      <c r="AN565" s="16">
        <f>AN$297*$D565</f>
        <v/>
      </c>
      <c r="AO565" s="16">
        <f>AO$297*$D565</f>
        <v/>
      </c>
      <c r="AP565" s="16">
        <f>AP$297*$D565</f>
        <v/>
      </c>
      <c r="AQ565" s="16">
        <f>AQ$297*$D565</f>
        <v/>
      </c>
      <c r="AR565" s="16">
        <f>AR$297*$D565</f>
        <v/>
      </c>
      <c r="AS565" s="16">
        <f>AS$297*$D565</f>
        <v/>
      </c>
      <c r="AT565" s="16">
        <f>AT$297*$D565</f>
        <v/>
      </c>
      <c r="AU565" s="16">
        <f>AU$297*$D565</f>
        <v/>
      </c>
      <c r="AV565" s="16">
        <f>AV$297*$D565</f>
        <v/>
      </c>
      <c r="AW565" s="16">
        <f>AW$297*$D565</f>
        <v/>
      </c>
      <c r="AX565" s="16">
        <f>AX$297*$D565</f>
        <v/>
      </c>
      <c r="AY565" s="16">
        <f>AY$297*$D565</f>
        <v/>
      </c>
      <c r="AZ565" s="16">
        <f>AZ$297*$D565</f>
        <v/>
      </c>
      <c r="BA565" s="49">
        <f>SHADOWGJ(BA$297,$D565)</f>
        <v/>
      </c>
    </row>
    <row r="566" hidden="1" outlineLevel="1">
      <c r="A566" s="14" t="inlineStr">
        <is>
          <t>shk</t>
        </is>
      </c>
      <c r="B566" s="14" t="inlineStr">
        <is>
          <t>ore</t>
        </is>
      </c>
      <c r="C566" s="14" t="inlineStr">
        <is>
          <t>pow</t>
        </is>
      </c>
      <c r="D566" s="45">
        <f>INDEX(Inputs_power!$Z$5:$Z$13,MATCH($B566,Inputs_power!$A$5:$A$13,0))</f>
        <v/>
      </c>
      <c r="E566" s="45">
        <f>INDEX(Inputs_power!$AQ$5:$AQ$13,MATCH($B566,Inputs_power!$A$5:$A$13,0))</f>
        <v/>
      </c>
      <c r="F566" s="39" t="n"/>
      <c r="G566" s="39" t="n"/>
      <c r="H566" s="14">
        <f>INDEX(VarLab,MATCH($A566,VarKey,0))&amp;INDEX(MemLab,MATCH($C566&amp;"|"&amp;$B566,MemKey,0))</f>
        <v/>
      </c>
      <c r="I566" s="14">
        <f>INDEX(VarUnit,MATCH($A566,VarKey,0))</f>
        <v/>
      </c>
      <c r="J566" s="14">
        <f>INDEX(VarSrc,MATCH($A566,VarKey,0))</f>
        <v/>
      </c>
      <c r="K566" s="11">
        <f>CodePrefix&amp;$A566&amp;IF($C566="","","."&amp;$C566&amp;"."&amp;$B566)&amp;INDEX(VarEnd,MATCH($A566,VarKey,0))&amp;K$5</f>
        <v/>
      </c>
      <c r="L566" s="15">
        <f>L$297*$D566</f>
        <v/>
      </c>
      <c r="M566" s="16">
        <f>M$297*$D566</f>
        <v/>
      </c>
      <c r="N566" s="16">
        <f>N$297*$D566</f>
        <v/>
      </c>
      <c r="O566" s="16">
        <f>O$297*$D566</f>
        <v/>
      </c>
      <c r="P566" s="16">
        <f>P$297*$D566</f>
        <v/>
      </c>
      <c r="Q566" s="16">
        <f>Q$297*$D566</f>
        <v/>
      </c>
      <c r="R566" s="16">
        <f>R$297*$D566</f>
        <v/>
      </c>
      <c r="S566" s="16">
        <f>S$297*$D566</f>
        <v/>
      </c>
      <c r="T566" s="16">
        <f>T$297*$D566</f>
        <v/>
      </c>
      <c r="U566" s="16">
        <f>U$297*$D566</f>
        <v/>
      </c>
      <c r="V566" s="16">
        <f>V$297*$D566</f>
        <v/>
      </c>
      <c r="W566" s="16">
        <f>W$297*$D566</f>
        <v/>
      </c>
      <c r="X566" s="16">
        <f>X$297*$D566</f>
        <v/>
      </c>
      <c r="Y566" s="16">
        <f>Y$297*$D566</f>
        <v/>
      </c>
      <c r="Z566" s="16">
        <f>Z$297*$D566</f>
        <v/>
      </c>
      <c r="AA566" s="16">
        <f>AA$297*$D566</f>
        <v/>
      </c>
      <c r="AB566" s="16">
        <f>AB$297*$D566</f>
        <v/>
      </c>
      <c r="AC566" s="16">
        <f>AC$297*$D566</f>
        <v/>
      </c>
      <c r="AD566" s="16">
        <f>AD$297*$D566</f>
        <v/>
      </c>
      <c r="AE566" s="49">
        <f>SHADOWGJ(AE$297,$D566)</f>
        <v/>
      </c>
      <c r="AG566" s="11">
        <f>CodePrefix&amp;$A566&amp;IF($C566="","","."&amp;$C566&amp;"."&amp;$B566)&amp;INDEX(VarEnd,MATCH($A566,VarKey,0))&amp;AG$5</f>
        <v/>
      </c>
      <c r="AH566" s="15">
        <f>AH$297*$D566</f>
        <v/>
      </c>
      <c r="AI566" s="16">
        <f>AI$297*$D566</f>
        <v/>
      </c>
      <c r="AJ566" s="16">
        <f>AJ$297*$D566</f>
        <v/>
      </c>
      <c r="AK566" s="16">
        <f>AK$297*$D566</f>
        <v/>
      </c>
      <c r="AL566" s="16">
        <f>AL$297*$D566</f>
        <v/>
      </c>
      <c r="AM566" s="16">
        <f>AM$297*$D566</f>
        <v/>
      </c>
      <c r="AN566" s="16">
        <f>AN$297*$D566</f>
        <v/>
      </c>
      <c r="AO566" s="16">
        <f>AO$297*$D566</f>
        <v/>
      </c>
      <c r="AP566" s="16">
        <f>AP$297*$D566</f>
        <v/>
      </c>
      <c r="AQ566" s="16">
        <f>AQ$297*$D566</f>
        <v/>
      </c>
      <c r="AR566" s="16">
        <f>AR$297*$D566</f>
        <v/>
      </c>
      <c r="AS566" s="16">
        <f>AS$297*$D566</f>
        <v/>
      </c>
      <c r="AT566" s="16">
        <f>AT$297*$D566</f>
        <v/>
      </c>
      <c r="AU566" s="16">
        <f>AU$297*$D566</f>
        <v/>
      </c>
      <c r="AV566" s="16">
        <f>AV$297*$D566</f>
        <v/>
      </c>
      <c r="AW566" s="16">
        <f>AW$297*$D566</f>
        <v/>
      </c>
      <c r="AX566" s="16">
        <f>AX$297*$D566</f>
        <v/>
      </c>
      <c r="AY566" s="16">
        <f>AY$297*$D566</f>
        <v/>
      </c>
      <c r="AZ566" s="16">
        <f>AZ$297*$D566</f>
        <v/>
      </c>
      <c r="BA566" s="49">
        <f>SHADOWGJ(BA$297,$D566)</f>
        <v/>
      </c>
    </row>
    <row r="567" hidden="1" outlineLevel="1">
      <c r="A567" s="14" t="inlineStr">
        <is>
          <t>shk</t>
        </is>
      </c>
      <c r="B567" s="14" t="inlineStr">
        <is>
          <t>bio</t>
        </is>
      </c>
      <c r="C567" s="14" t="inlineStr">
        <is>
          <t>pow</t>
        </is>
      </c>
      <c r="D567" s="45">
        <f>INDEX(Inputs_power!$Z$5:$Z$13,MATCH($B567,Inputs_power!$A$5:$A$13,0))</f>
        <v/>
      </c>
      <c r="E567" s="45">
        <f>INDEX(Inputs_power!$AQ$5:$AQ$13,MATCH($B567,Inputs_power!$A$5:$A$13,0))</f>
        <v/>
      </c>
      <c r="F567" s="39" t="n"/>
      <c r="G567" s="39" t="n"/>
      <c r="H567" s="14">
        <f>INDEX(VarLab,MATCH($A567,VarKey,0))&amp;INDEX(MemLab,MATCH($C567&amp;"|"&amp;$B567,MemKey,0))</f>
        <v/>
      </c>
      <c r="I567" s="14">
        <f>INDEX(VarUnit,MATCH($A567,VarKey,0))</f>
        <v/>
      </c>
      <c r="J567" s="14">
        <f>INDEX(VarSrc,MATCH($A567,VarKey,0))</f>
        <v/>
      </c>
      <c r="K567" s="11">
        <f>CodePrefix&amp;$A567&amp;IF($C567="","","."&amp;$C567&amp;"."&amp;$B567)&amp;INDEX(VarEnd,MATCH($A567,VarKey,0))&amp;K$5</f>
        <v/>
      </c>
      <c r="L567" s="15">
        <f>L$297*$D567</f>
        <v/>
      </c>
      <c r="M567" s="16">
        <f>M$297*$D567</f>
        <v/>
      </c>
      <c r="N567" s="16">
        <f>N$297*$D567</f>
        <v/>
      </c>
      <c r="O567" s="16">
        <f>O$297*$D567</f>
        <v/>
      </c>
      <c r="P567" s="16">
        <f>P$297*$D567</f>
        <v/>
      </c>
      <c r="Q567" s="16">
        <f>Q$297*$D567</f>
        <v/>
      </c>
      <c r="R567" s="16">
        <f>R$297*$D567</f>
        <v/>
      </c>
      <c r="S567" s="16">
        <f>S$297*$D567</f>
        <v/>
      </c>
      <c r="T567" s="16">
        <f>T$297*$D567</f>
        <v/>
      </c>
      <c r="U567" s="16">
        <f>U$297*$D567</f>
        <v/>
      </c>
      <c r="V567" s="16">
        <f>V$297*$D567</f>
        <v/>
      </c>
      <c r="W567" s="16">
        <f>W$297*$D567</f>
        <v/>
      </c>
      <c r="X567" s="16">
        <f>X$297*$D567</f>
        <v/>
      </c>
      <c r="Y567" s="16">
        <f>Y$297*$D567</f>
        <v/>
      </c>
      <c r="Z567" s="16">
        <f>Z$297*$D567</f>
        <v/>
      </c>
      <c r="AA567" s="16">
        <f>AA$297*$D567</f>
        <v/>
      </c>
      <c r="AB567" s="16">
        <f>AB$297*$D567</f>
        <v/>
      </c>
      <c r="AC567" s="16">
        <f>AC$297*$D567</f>
        <v/>
      </c>
      <c r="AD567" s="16">
        <f>AD$297*$D567</f>
        <v/>
      </c>
      <c r="AE567" s="49">
        <f>SHADOWGJ(AE$297,$D567)</f>
        <v/>
      </c>
      <c r="AG567" s="11">
        <f>CodePrefix&amp;$A567&amp;IF($C567="","","."&amp;$C567&amp;"."&amp;$B567)&amp;INDEX(VarEnd,MATCH($A567,VarKey,0))&amp;AG$5</f>
        <v/>
      </c>
      <c r="AH567" s="15">
        <f>AH$297*$D567</f>
        <v/>
      </c>
      <c r="AI567" s="16">
        <f>AI$297*$D567</f>
        <v/>
      </c>
      <c r="AJ567" s="16">
        <f>AJ$297*$D567</f>
        <v/>
      </c>
      <c r="AK567" s="16">
        <f>AK$297*$D567</f>
        <v/>
      </c>
      <c r="AL567" s="16">
        <f>AL$297*$D567</f>
        <v/>
      </c>
      <c r="AM567" s="16">
        <f>AM$297*$D567</f>
        <v/>
      </c>
      <c r="AN567" s="16">
        <f>AN$297*$D567</f>
        <v/>
      </c>
      <c r="AO567" s="16">
        <f>AO$297*$D567</f>
        <v/>
      </c>
      <c r="AP567" s="16">
        <f>AP$297*$D567</f>
        <v/>
      </c>
      <c r="AQ567" s="16">
        <f>AQ$297*$D567</f>
        <v/>
      </c>
      <c r="AR567" s="16">
        <f>AR$297*$D567</f>
        <v/>
      </c>
      <c r="AS567" s="16">
        <f>AS$297*$D567</f>
        <v/>
      </c>
      <c r="AT567" s="16">
        <f>AT$297*$D567</f>
        <v/>
      </c>
      <c r="AU567" s="16">
        <f>AU$297*$D567</f>
        <v/>
      </c>
      <c r="AV567" s="16">
        <f>AV$297*$D567</f>
        <v/>
      </c>
      <c r="AW567" s="16">
        <f>AW$297*$D567</f>
        <v/>
      </c>
      <c r="AX567" s="16">
        <f>AX$297*$D567</f>
        <v/>
      </c>
      <c r="AY567" s="16">
        <f>AY$297*$D567</f>
        <v/>
      </c>
      <c r="AZ567" s="16">
        <f>AZ$297*$D567</f>
        <v/>
      </c>
      <c r="BA567" s="49">
        <f>SHADOWGJ(BA$297,$D567)</f>
        <v/>
      </c>
    </row>
    <row r="568" hidden="1" outlineLevel="1"/>
    <row r="569" hidden="1" outlineLevel="1">
      <c r="A569" s="14" t="inlineStr">
        <is>
          <t>reb</t>
        </is>
      </c>
      <c r="B569" s="14" t="inlineStr"/>
      <c r="C569" s="14" t="inlineStr"/>
      <c r="D569" s="39" t="n"/>
      <c r="E569" s="39" t="n"/>
      <c r="F569" s="39" t="n"/>
      <c r="G569" s="39" t="n"/>
      <c r="H569" s="14">
        <f>INDEX(VarLab,MATCH($A569,VarKey,0))&amp;INDEX(MemLab,MATCH($C569&amp;"|"&amp;$B569,MemKey,0))</f>
        <v/>
      </c>
      <c r="I569" s="14">
        <f>INDEX(VarUnit,MATCH($A569,VarKey,0))</f>
        <v/>
      </c>
      <c r="J569" s="14">
        <f>INDEX(VarSrc,MATCH($A569,VarKey,0))</f>
        <v/>
      </c>
      <c r="K569" s="11">
        <f>CodePrefix&amp;$A569&amp;IF($C569="","","."&amp;$C569&amp;"."&amp;$B569)&amp;INDEX(VarEnd,MATCH($A569,VarKey,0))&amp;K$5</f>
        <v/>
      </c>
      <c r="L569" s="15">
        <f>0</f>
        <v/>
      </c>
      <c r="M569" s="16">
        <f>-SUMPRODUCT(M$559:M$567,$E$559:$E$567)</f>
        <v/>
      </c>
      <c r="N569" s="16">
        <f>-SUMPRODUCT(N$559:N$567,$E$559:$E$567)</f>
        <v/>
      </c>
      <c r="O569" s="16">
        <f>-SUMPRODUCT(O$559:O$567,$E$559:$E$567)</f>
        <v/>
      </c>
      <c r="P569" s="16">
        <f>-SUMPRODUCT(P$559:P$567,$E$559:$E$567)</f>
        <v/>
      </c>
      <c r="Q569" s="16">
        <f>-SUMPRODUCT(Q$559:Q$567,$E$559:$E$567)</f>
        <v/>
      </c>
      <c r="R569" s="16">
        <f>-SUMPRODUCT(R$559:R$567,$E$559:$E$567)</f>
        <v/>
      </c>
      <c r="S569" s="16">
        <f>-SUMPRODUCT(S$559:S$567,$E$559:$E$567)</f>
        <v/>
      </c>
      <c r="T569" s="16">
        <f>-SUMPRODUCT(T$559:T$567,$E$559:$E$567)</f>
        <v/>
      </c>
      <c r="U569" s="16">
        <f>-SUMPRODUCT(U$559:U$567,$E$559:$E$567)</f>
        <v/>
      </c>
      <c r="V569" s="16">
        <f>-SUMPRODUCT(V$559:V$567,$E$559:$E$567)</f>
        <v/>
      </c>
      <c r="W569" s="16">
        <f>-SUMPRODUCT(W$559:W$567,$E$559:$E$567)</f>
        <v/>
      </c>
      <c r="X569" s="16">
        <f>-SUMPRODUCT(X$559:X$567,$E$559:$E$567)</f>
        <v/>
      </c>
      <c r="Y569" s="16">
        <f>-SUMPRODUCT(Y$559:Y$567,$E$559:$E$567)</f>
        <v/>
      </c>
      <c r="Z569" s="16">
        <f>-SUMPRODUCT(Z$559:Z$567,$E$559:$E$567)</f>
        <v/>
      </c>
      <c r="AA569" s="16">
        <f>-SUMPRODUCT(AA$559:AA$567,$E$559:$E$567)</f>
        <v/>
      </c>
      <c r="AB569" s="16">
        <f>-SUMPRODUCT(AB$559:AB$567,$E$559:$E$567)</f>
        <v/>
      </c>
      <c r="AC569" s="16">
        <f>-SUMPRODUCT(AC$559:AC$567,$E$559:$E$567)</f>
        <v/>
      </c>
      <c r="AD569" s="16">
        <f>-SUMPRODUCT(AD$559:AD$567,$E$559:$E$567)</f>
        <v/>
      </c>
      <c r="AE569" s="49">
        <f>REBATE(AE$559:AE$567,$E$559:$E$567)</f>
        <v/>
      </c>
      <c r="AG569" s="11">
        <f>CodePrefix&amp;$A569&amp;IF($C569="","","."&amp;$C569&amp;"."&amp;$B569)&amp;INDEX(VarEnd,MATCH($A569,VarKey,0))&amp;AG$5</f>
        <v/>
      </c>
      <c r="AH569" s="15">
        <f>0</f>
        <v/>
      </c>
      <c r="AI569" s="16">
        <f>-SUMPRODUCT(AI$559:AI$567,$E$559:$E$567)</f>
        <v/>
      </c>
      <c r="AJ569" s="16">
        <f>-SUMPRODUCT(AJ$559:AJ$567,$E$559:$E$567)</f>
        <v/>
      </c>
      <c r="AK569" s="16">
        <f>-SUMPRODUCT(AK$559:AK$567,$E$559:$E$567)</f>
        <v/>
      </c>
      <c r="AL569" s="16">
        <f>-SUMPRODUCT(AL$559:AL$567,$E$559:$E$567)</f>
        <v/>
      </c>
      <c r="AM569" s="16">
        <f>-SUMPRODUCT(AM$559:AM$567,$E$559:$E$567)</f>
        <v/>
      </c>
      <c r="AN569" s="16">
        <f>-SUMPRODUCT(AN$559:AN$567,$E$559:$E$567)</f>
        <v/>
      </c>
      <c r="AO569" s="16">
        <f>-SUMPRODUCT(AO$559:AO$567,$E$559:$E$567)</f>
        <v/>
      </c>
      <c r="AP569" s="16">
        <f>-SUMPRODUCT(AP$559:AP$567,$E$559:$E$567)</f>
        <v/>
      </c>
      <c r="AQ569" s="16">
        <f>-SUMPRODUCT(AQ$559:AQ$567,$E$559:$E$567)</f>
        <v/>
      </c>
      <c r="AR569" s="16">
        <f>-SUMPRODUCT(AR$559:AR$567,$E$559:$E$567)</f>
        <v/>
      </c>
      <c r="AS569" s="16">
        <f>-SUMPRODUCT(AS$559:AS$567,$E$559:$E$567)</f>
        <v/>
      </c>
      <c r="AT569" s="16">
        <f>-SUMPRODUCT(AT$559:AT$567,$E$559:$E$567)</f>
        <v/>
      </c>
      <c r="AU569" s="16">
        <f>-SUMPRODUCT(AU$559:AU$567,$E$559:$E$567)</f>
        <v/>
      </c>
      <c r="AV569" s="16">
        <f>-SUMPRODUCT(AV$559:AV$567,$E$559:$E$567)</f>
        <v/>
      </c>
      <c r="AW569" s="16">
        <f>-SUMPRODUCT(AW$559:AW$567,$E$559:$E$567)</f>
        <v/>
      </c>
      <c r="AX569" s="16">
        <f>-SUMPRODUCT(AX$559:AX$567,$E$559:$E$567)</f>
        <v/>
      </c>
      <c r="AY569" s="16">
        <f>-SUMPRODUCT(AY$559:AY$567,$E$559:$E$567)</f>
        <v/>
      </c>
      <c r="AZ569" s="16">
        <f>-SUMPRODUCT(AZ$559:AZ$567,$E$559:$E$567)</f>
        <v/>
      </c>
      <c r="BA569" s="49">
        <f>REBATE(BA$559:BA$567,$E$559:$E$567)</f>
        <v/>
      </c>
    </row>
    <row r="570" hidden="1" outlineLevel="1"/>
    <row r="571" hidden="1" outlineLevel="1">
      <c r="A571" s="14" t="inlineStr">
        <is>
          <t>tvc</t>
        </is>
      </c>
      <c r="B571" s="14" t="inlineStr">
        <is>
          <t>coa</t>
        </is>
      </c>
      <c r="C571" s="14" t="inlineStr">
        <is>
          <t>pow</t>
        </is>
      </c>
      <c r="D571" s="39" t="n"/>
      <c r="E571" s="39" t="n"/>
      <c r="F571" s="39" t="n"/>
      <c r="G571" s="39" t="n"/>
      <c r="H571" s="14">
        <f>INDEX(VarLab,MATCH($A571,VarKey,0))&amp;INDEX(MemLab,MATCH($C571&amp;"|"&amp;$B571,MemKey,0))</f>
        <v/>
      </c>
      <c r="I571" s="14">
        <f>INDEX(VarUnit,MATCH($A571,VarKey,0))</f>
        <v/>
      </c>
      <c r="J571" s="14">
        <f>INDEX(VarSrc,MATCH($A571,VarKey,0))</f>
        <v/>
      </c>
      <c r="K571" s="11">
        <f>CodePrefix&amp;$A571&amp;IF($C571="","","."&amp;$C571&amp;"."&amp;$B571)&amp;INDEX(VarEnd,MATCH($A571,VarKey,0))&amp;K$5</f>
        <v/>
      </c>
      <c r="L571" s="15">
        <f>L539+L549+L559+L$569</f>
        <v/>
      </c>
      <c r="M571" s="16">
        <f>M539+M549+M559+M$569</f>
        <v/>
      </c>
      <c r="N571" s="16">
        <f>N539+N549+N559+N$569</f>
        <v/>
      </c>
      <c r="O571" s="16">
        <f>O539+O549+O559+O$569</f>
        <v/>
      </c>
      <c r="P571" s="16">
        <f>P539+P549+P559+P$569</f>
        <v/>
      </c>
      <c r="Q571" s="16">
        <f>Q539+Q549+Q559+Q$569</f>
        <v/>
      </c>
      <c r="R571" s="16">
        <f>R539+R549+R559+R$569</f>
        <v/>
      </c>
      <c r="S571" s="16">
        <f>S539+S549+S559+S$569</f>
        <v/>
      </c>
      <c r="T571" s="16">
        <f>T539+T549+T559+T$569</f>
        <v/>
      </c>
      <c r="U571" s="16">
        <f>U539+U549+U559+U$569</f>
        <v/>
      </c>
      <c r="V571" s="16">
        <f>V539+V549+V559+V$569</f>
        <v/>
      </c>
      <c r="W571" s="16">
        <f>W539+W549+W559+W$569</f>
        <v/>
      </c>
      <c r="X571" s="16">
        <f>X539+X549+X559+X$569</f>
        <v/>
      </c>
      <c r="Y571" s="16">
        <f>Y539+Y549+Y559+Y$569</f>
        <v/>
      </c>
      <c r="Z571" s="16">
        <f>Z539+Z549+Z559+Z$569</f>
        <v/>
      </c>
      <c r="AA571" s="16">
        <f>AA539+AA549+AA559+AA$569</f>
        <v/>
      </c>
      <c r="AB571" s="16">
        <f>AB539+AB549+AB559+AB$569</f>
        <v/>
      </c>
      <c r="AC571" s="16">
        <f>AC539+AC549+AC559+AC$569</f>
        <v/>
      </c>
      <c r="AD571" s="16">
        <f>AD539+AD549+AD559+AD$569</f>
        <v/>
      </c>
      <c r="AE571" s="49">
        <f>VARTOTAL(AE539,AE549,AE559,AE$569)</f>
        <v/>
      </c>
      <c r="AG571" s="11">
        <f>CodePrefix&amp;$A571&amp;IF($C571="","","."&amp;$C571&amp;"."&amp;$B571)&amp;INDEX(VarEnd,MATCH($A571,VarKey,0))&amp;AG$5</f>
        <v/>
      </c>
      <c r="AH571" s="15">
        <f>AH539+AH549+AH559+AH$569</f>
        <v/>
      </c>
      <c r="AI571" s="16">
        <f>AI539+AI549+AI559+AI$569</f>
        <v/>
      </c>
      <c r="AJ571" s="16">
        <f>AJ539+AJ549+AJ559+AJ$569</f>
        <v/>
      </c>
      <c r="AK571" s="16">
        <f>AK539+AK549+AK559+AK$569</f>
        <v/>
      </c>
      <c r="AL571" s="16">
        <f>AL539+AL549+AL559+AL$569</f>
        <v/>
      </c>
      <c r="AM571" s="16">
        <f>AM539+AM549+AM559+AM$569</f>
        <v/>
      </c>
      <c r="AN571" s="16">
        <f>AN539+AN549+AN559+AN$569</f>
        <v/>
      </c>
      <c r="AO571" s="16">
        <f>AO539+AO549+AO559+AO$569</f>
        <v/>
      </c>
      <c r="AP571" s="16">
        <f>AP539+AP549+AP559+AP$569</f>
        <v/>
      </c>
      <c r="AQ571" s="16">
        <f>AQ539+AQ549+AQ559+AQ$569</f>
        <v/>
      </c>
      <c r="AR571" s="16">
        <f>AR539+AR549+AR559+AR$569</f>
        <v/>
      </c>
      <c r="AS571" s="16">
        <f>AS539+AS549+AS559+AS$569</f>
        <v/>
      </c>
      <c r="AT571" s="16">
        <f>AT539+AT549+AT559+AT$569</f>
        <v/>
      </c>
      <c r="AU571" s="16">
        <f>AU539+AU549+AU559+AU$569</f>
        <v/>
      </c>
      <c r="AV571" s="16">
        <f>AV539+AV549+AV559+AV$569</f>
        <v/>
      </c>
      <c r="AW571" s="16">
        <f>AW539+AW549+AW559+AW$569</f>
        <v/>
      </c>
      <c r="AX571" s="16">
        <f>AX539+AX549+AX559+AX$569</f>
        <v/>
      </c>
      <c r="AY571" s="16">
        <f>AY539+AY549+AY559+AY$569</f>
        <v/>
      </c>
      <c r="AZ571" s="16">
        <f>AZ539+AZ549+AZ559+AZ$569</f>
        <v/>
      </c>
      <c r="BA571" s="49">
        <f>VARTOTAL(BA539,BA549,BA559,BA$569)</f>
        <v/>
      </c>
    </row>
    <row r="572" hidden="1" outlineLevel="1">
      <c r="A572" s="14" t="inlineStr">
        <is>
          <t>tvc</t>
        </is>
      </c>
      <c r="B572" s="14" t="inlineStr">
        <is>
          <t>nga</t>
        </is>
      </c>
      <c r="C572" s="14" t="inlineStr">
        <is>
          <t>pow</t>
        </is>
      </c>
      <c r="D572" s="39" t="n"/>
      <c r="E572" s="39" t="n"/>
      <c r="F572" s="39" t="n"/>
      <c r="G572" s="39" t="n"/>
      <c r="H572" s="14">
        <f>INDEX(VarLab,MATCH($A572,VarKey,0))&amp;INDEX(MemLab,MATCH($C572&amp;"|"&amp;$B572,MemKey,0))</f>
        <v/>
      </c>
      <c r="I572" s="14">
        <f>INDEX(VarUnit,MATCH($A572,VarKey,0))</f>
        <v/>
      </c>
      <c r="J572" s="14">
        <f>INDEX(VarSrc,MATCH($A572,VarKey,0))</f>
        <v/>
      </c>
      <c r="K572" s="11">
        <f>CodePrefix&amp;$A572&amp;IF($C572="","","."&amp;$C572&amp;"."&amp;$B572)&amp;INDEX(VarEnd,MATCH($A572,VarKey,0))&amp;K$5</f>
        <v/>
      </c>
      <c r="L572" s="15">
        <f>L540+L550+L560+L$569</f>
        <v/>
      </c>
      <c r="M572" s="16">
        <f>M540+M550+M560+M$569</f>
        <v/>
      </c>
      <c r="N572" s="16">
        <f>N540+N550+N560+N$569</f>
        <v/>
      </c>
      <c r="O572" s="16">
        <f>O540+O550+O560+O$569</f>
        <v/>
      </c>
      <c r="P572" s="16">
        <f>P540+P550+P560+P$569</f>
        <v/>
      </c>
      <c r="Q572" s="16">
        <f>Q540+Q550+Q560+Q$569</f>
        <v/>
      </c>
      <c r="R572" s="16">
        <f>R540+R550+R560+R$569</f>
        <v/>
      </c>
      <c r="S572" s="16">
        <f>S540+S550+S560+S$569</f>
        <v/>
      </c>
      <c r="T572" s="16">
        <f>T540+T550+T560+T$569</f>
        <v/>
      </c>
      <c r="U572" s="16">
        <f>U540+U550+U560+U$569</f>
        <v/>
      </c>
      <c r="V572" s="16">
        <f>V540+V550+V560+V$569</f>
        <v/>
      </c>
      <c r="W572" s="16">
        <f>W540+W550+W560+W$569</f>
        <v/>
      </c>
      <c r="X572" s="16">
        <f>X540+X550+X560+X$569</f>
        <v/>
      </c>
      <c r="Y572" s="16">
        <f>Y540+Y550+Y560+Y$569</f>
        <v/>
      </c>
      <c r="Z572" s="16">
        <f>Z540+Z550+Z560+Z$569</f>
        <v/>
      </c>
      <c r="AA572" s="16">
        <f>AA540+AA550+AA560+AA$569</f>
        <v/>
      </c>
      <c r="AB572" s="16">
        <f>AB540+AB550+AB560+AB$569</f>
        <v/>
      </c>
      <c r="AC572" s="16">
        <f>AC540+AC550+AC560+AC$569</f>
        <v/>
      </c>
      <c r="AD572" s="16">
        <f>AD540+AD550+AD560+AD$569</f>
        <v/>
      </c>
      <c r="AE572" s="49">
        <f>VARTOTAL(AE540,AE550,AE560,AE$569)</f>
        <v/>
      </c>
      <c r="AG572" s="11">
        <f>CodePrefix&amp;$A572&amp;IF($C572="","","."&amp;$C572&amp;"."&amp;$B572)&amp;INDEX(VarEnd,MATCH($A572,VarKey,0))&amp;AG$5</f>
        <v/>
      </c>
      <c r="AH572" s="15">
        <f>AH540+AH550+AH560+AH$569</f>
        <v/>
      </c>
      <c r="AI572" s="16">
        <f>AI540+AI550+AI560+AI$569</f>
        <v/>
      </c>
      <c r="AJ572" s="16">
        <f>AJ540+AJ550+AJ560+AJ$569</f>
        <v/>
      </c>
      <c r="AK572" s="16">
        <f>AK540+AK550+AK560+AK$569</f>
        <v/>
      </c>
      <c r="AL572" s="16">
        <f>AL540+AL550+AL560+AL$569</f>
        <v/>
      </c>
      <c r="AM572" s="16">
        <f>AM540+AM550+AM560+AM$569</f>
        <v/>
      </c>
      <c r="AN572" s="16">
        <f>AN540+AN550+AN560+AN$569</f>
        <v/>
      </c>
      <c r="AO572" s="16">
        <f>AO540+AO550+AO560+AO$569</f>
        <v/>
      </c>
      <c r="AP572" s="16">
        <f>AP540+AP550+AP560+AP$569</f>
        <v/>
      </c>
      <c r="AQ572" s="16">
        <f>AQ540+AQ550+AQ560+AQ$569</f>
        <v/>
      </c>
      <c r="AR572" s="16">
        <f>AR540+AR550+AR560+AR$569</f>
        <v/>
      </c>
      <c r="AS572" s="16">
        <f>AS540+AS550+AS560+AS$569</f>
        <v/>
      </c>
      <c r="AT572" s="16">
        <f>AT540+AT550+AT560+AT$569</f>
        <v/>
      </c>
      <c r="AU572" s="16">
        <f>AU540+AU550+AU560+AU$569</f>
        <v/>
      </c>
      <c r="AV572" s="16">
        <f>AV540+AV550+AV560+AV$569</f>
        <v/>
      </c>
      <c r="AW572" s="16">
        <f>AW540+AW550+AW560+AW$569</f>
        <v/>
      </c>
      <c r="AX572" s="16">
        <f>AX540+AX550+AX560+AX$569</f>
        <v/>
      </c>
      <c r="AY572" s="16">
        <f>AY540+AY550+AY560+AY$569</f>
        <v/>
      </c>
      <c r="AZ572" s="16">
        <f>AZ540+AZ550+AZ560+AZ$569</f>
        <v/>
      </c>
      <c r="BA572" s="49">
        <f>VARTOTAL(BA540,BA550,BA560,BA$569)</f>
        <v/>
      </c>
    </row>
    <row r="573" hidden="1" outlineLevel="1">
      <c r="A573" s="14" t="inlineStr">
        <is>
          <t>tvc</t>
        </is>
      </c>
      <c r="B573" s="14" t="inlineStr">
        <is>
          <t>oop</t>
        </is>
      </c>
      <c r="C573" s="14" t="inlineStr">
        <is>
          <t>pow</t>
        </is>
      </c>
      <c r="D573" s="39" t="n"/>
      <c r="E573" s="39" t="n"/>
      <c r="F573" s="39" t="n"/>
      <c r="G573" s="39" t="n"/>
      <c r="H573" s="14">
        <f>INDEX(VarLab,MATCH($A573,VarKey,0))&amp;INDEX(MemLab,MATCH($C573&amp;"|"&amp;$B573,MemKey,0))</f>
        <v/>
      </c>
      <c r="I573" s="14">
        <f>INDEX(VarUnit,MATCH($A573,VarKey,0))</f>
        <v/>
      </c>
      <c r="J573" s="14">
        <f>INDEX(VarSrc,MATCH($A573,VarKey,0))</f>
        <v/>
      </c>
      <c r="K573" s="11">
        <f>CodePrefix&amp;$A573&amp;IF($C573="","","."&amp;$C573&amp;"."&amp;$B573)&amp;INDEX(VarEnd,MATCH($A573,VarKey,0))&amp;K$5</f>
        <v/>
      </c>
      <c r="L573" s="15">
        <f>L541+L551+L561+L$569</f>
        <v/>
      </c>
      <c r="M573" s="16">
        <f>M541+M551+M561+M$569</f>
        <v/>
      </c>
      <c r="N573" s="16">
        <f>N541+N551+N561+N$569</f>
        <v/>
      </c>
      <c r="O573" s="16">
        <f>O541+O551+O561+O$569</f>
        <v/>
      </c>
      <c r="P573" s="16">
        <f>P541+P551+P561+P$569</f>
        <v/>
      </c>
      <c r="Q573" s="16">
        <f>Q541+Q551+Q561+Q$569</f>
        <v/>
      </c>
      <c r="R573" s="16">
        <f>R541+R551+R561+R$569</f>
        <v/>
      </c>
      <c r="S573" s="16">
        <f>S541+S551+S561+S$569</f>
        <v/>
      </c>
      <c r="T573" s="16">
        <f>T541+T551+T561+T$569</f>
        <v/>
      </c>
      <c r="U573" s="16">
        <f>U541+U551+U561+U$569</f>
        <v/>
      </c>
      <c r="V573" s="16">
        <f>V541+V551+V561+V$569</f>
        <v/>
      </c>
      <c r="W573" s="16">
        <f>W541+W551+W561+W$569</f>
        <v/>
      </c>
      <c r="X573" s="16">
        <f>X541+X551+X561+X$569</f>
        <v/>
      </c>
      <c r="Y573" s="16">
        <f>Y541+Y551+Y561+Y$569</f>
        <v/>
      </c>
      <c r="Z573" s="16">
        <f>Z541+Z551+Z561+Z$569</f>
        <v/>
      </c>
      <c r="AA573" s="16">
        <f>AA541+AA551+AA561+AA$569</f>
        <v/>
      </c>
      <c r="AB573" s="16">
        <f>AB541+AB551+AB561+AB$569</f>
        <v/>
      </c>
      <c r="AC573" s="16">
        <f>AC541+AC551+AC561+AC$569</f>
        <v/>
      </c>
      <c r="AD573" s="16">
        <f>AD541+AD551+AD561+AD$569</f>
        <v/>
      </c>
      <c r="AE573" s="49">
        <f>VARTOTAL(AE541,AE551,AE561,AE$569)</f>
        <v/>
      </c>
      <c r="AG573" s="11">
        <f>CodePrefix&amp;$A573&amp;IF($C573="","","."&amp;$C573&amp;"."&amp;$B573)&amp;INDEX(VarEnd,MATCH($A573,VarKey,0))&amp;AG$5</f>
        <v/>
      </c>
      <c r="AH573" s="15">
        <f>AH541+AH551+AH561+AH$569</f>
        <v/>
      </c>
      <c r="AI573" s="16">
        <f>AI541+AI551+AI561+AI$569</f>
        <v/>
      </c>
      <c r="AJ573" s="16">
        <f>AJ541+AJ551+AJ561+AJ$569</f>
        <v/>
      </c>
      <c r="AK573" s="16">
        <f>AK541+AK551+AK561+AK$569</f>
        <v/>
      </c>
      <c r="AL573" s="16">
        <f>AL541+AL551+AL561+AL$569</f>
        <v/>
      </c>
      <c r="AM573" s="16">
        <f>AM541+AM551+AM561+AM$569</f>
        <v/>
      </c>
      <c r="AN573" s="16">
        <f>AN541+AN551+AN561+AN$569</f>
        <v/>
      </c>
      <c r="AO573" s="16">
        <f>AO541+AO551+AO561+AO$569</f>
        <v/>
      </c>
      <c r="AP573" s="16">
        <f>AP541+AP551+AP561+AP$569</f>
        <v/>
      </c>
      <c r="AQ573" s="16">
        <f>AQ541+AQ551+AQ561+AQ$569</f>
        <v/>
      </c>
      <c r="AR573" s="16">
        <f>AR541+AR551+AR561+AR$569</f>
        <v/>
      </c>
      <c r="AS573" s="16">
        <f>AS541+AS551+AS561+AS$569</f>
        <v/>
      </c>
      <c r="AT573" s="16">
        <f>AT541+AT551+AT561+AT$569</f>
        <v/>
      </c>
      <c r="AU573" s="16">
        <f>AU541+AU551+AU561+AU$569</f>
        <v/>
      </c>
      <c r="AV573" s="16">
        <f>AV541+AV551+AV561+AV$569</f>
        <v/>
      </c>
      <c r="AW573" s="16">
        <f>AW541+AW551+AW561+AW$569</f>
        <v/>
      </c>
      <c r="AX573" s="16">
        <f>AX541+AX551+AX561+AX$569</f>
        <v/>
      </c>
      <c r="AY573" s="16">
        <f>AY541+AY551+AY561+AY$569</f>
        <v/>
      </c>
      <c r="AZ573" s="16">
        <f>AZ541+AZ551+AZ561+AZ$569</f>
        <v/>
      </c>
      <c r="BA573" s="49">
        <f>VARTOTAL(BA541,BA551,BA561,BA$569)</f>
        <v/>
      </c>
    </row>
    <row r="574" hidden="1" outlineLevel="1">
      <c r="A574" s="14" t="inlineStr">
        <is>
          <t>tvc</t>
        </is>
      </c>
      <c r="B574" s="14" t="inlineStr">
        <is>
          <t>nuc</t>
        </is>
      </c>
      <c r="C574" s="14" t="inlineStr">
        <is>
          <t>pow</t>
        </is>
      </c>
      <c r="D574" s="39" t="n"/>
      <c r="E574" s="39" t="n"/>
      <c r="F574" s="39" t="n"/>
      <c r="G574" s="39" t="n"/>
      <c r="H574" s="14">
        <f>INDEX(VarLab,MATCH($A574,VarKey,0))&amp;INDEX(MemLab,MATCH($C574&amp;"|"&amp;$B574,MemKey,0))</f>
        <v/>
      </c>
      <c r="I574" s="14">
        <f>INDEX(VarUnit,MATCH($A574,VarKey,0))</f>
        <v/>
      </c>
      <c r="J574" s="14">
        <f>INDEX(VarSrc,MATCH($A574,VarKey,0))</f>
        <v/>
      </c>
      <c r="K574" s="11">
        <f>CodePrefix&amp;$A574&amp;IF($C574="","","."&amp;$C574&amp;"."&amp;$B574)&amp;INDEX(VarEnd,MATCH($A574,VarKey,0))&amp;K$5</f>
        <v/>
      </c>
      <c r="L574" s="15">
        <f>L542+L552+L562+L$569</f>
        <v/>
      </c>
      <c r="M574" s="16">
        <f>M542+M552+M562+M$569</f>
        <v/>
      </c>
      <c r="N574" s="16">
        <f>N542+N552+N562+N$569</f>
        <v/>
      </c>
      <c r="O574" s="16">
        <f>O542+O552+O562+O$569</f>
        <v/>
      </c>
      <c r="P574" s="16">
        <f>P542+P552+P562+P$569</f>
        <v/>
      </c>
      <c r="Q574" s="16">
        <f>Q542+Q552+Q562+Q$569</f>
        <v/>
      </c>
      <c r="R574" s="16">
        <f>R542+R552+R562+R$569</f>
        <v/>
      </c>
      <c r="S574" s="16">
        <f>S542+S552+S562+S$569</f>
        <v/>
      </c>
      <c r="T574" s="16">
        <f>T542+T552+T562+T$569</f>
        <v/>
      </c>
      <c r="U574" s="16">
        <f>U542+U552+U562+U$569</f>
        <v/>
      </c>
      <c r="V574" s="16">
        <f>V542+V552+V562+V$569</f>
        <v/>
      </c>
      <c r="W574" s="16">
        <f>W542+W552+W562+W$569</f>
        <v/>
      </c>
      <c r="X574" s="16">
        <f>X542+X552+X562+X$569</f>
        <v/>
      </c>
      <c r="Y574" s="16">
        <f>Y542+Y552+Y562+Y$569</f>
        <v/>
      </c>
      <c r="Z574" s="16">
        <f>Z542+Z552+Z562+Z$569</f>
        <v/>
      </c>
      <c r="AA574" s="16">
        <f>AA542+AA552+AA562+AA$569</f>
        <v/>
      </c>
      <c r="AB574" s="16">
        <f>AB542+AB552+AB562+AB$569</f>
        <v/>
      </c>
      <c r="AC574" s="16">
        <f>AC542+AC552+AC562+AC$569</f>
        <v/>
      </c>
      <c r="AD574" s="16">
        <f>AD542+AD552+AD562+AD$569</f>
        <v/>
      </c>
      <c r="AE574" s="49">
        <f>VARTOTAL(AE542,AE552,AE562,AE$569)</f>
        <v/>
      </c>
      <c r="AG574" s="11">
        <f>CodePrefix&amp;$A574&amp;IF($C574="","","."&amp;$C574&amp;"."&amp;$B574)&amp;INDEX(VarEnd,MATCH($A574,VarKey,0))&amp;AG$5</f>
        <v/>
      </c>
      <c r="AH574" s="15">
        <f>AH542+AH552+AH562+AH$569</f>
        <v/>
      </c>
      <c r="AI574" s="16">
        <f>AI542+AI552+AI562+AI$569</f>
        <v/>
      </c>
      <c r="AJ574" s="16">
        <f>AJ542+AJ552+AJ562+AJ$569</f>
        <v/>
      </c>
      <c r="AK574" s="16">
        <f>AK542+AK552+AK562+AK$569</f>
        <v/>
      </c>
      <c r="AL574" s="16">
        <f>AL542+AL552+AL562+AL$569</f>
        <v/>
      </c>
      <c r="AM574" s="16">
        <f>AM542+AM552+AM562+AM$569</f>
        <v/>
      </c>
      <c r="AN574" s="16">
        <f>AN542+AN552+AN562+AN$569</f>
        <v/>
      </c>
      <c r="AO574" s="16">
        <f>AO542+AO552+AO562+AO$569</f>
        <v/>
      </c>
      <c r="AP574" s="16">
        <f>AP542+AP552+AP562+AP$569</f>
        <v/>
      </c>
      <c r="AQ574" s="16">
        <f>AQ542+AQ552+AQ562+AQ$569</f>
        <v/>
      </c>
      <c r="AR574" s="16">
        <f>AR542+AR552+AR562+AR$569</f>
        <v/>
      </c>
      <c r="AS574" s="16">
        <f>AS542+AS552+AS562+AS$569</f>
        <v/>
      </c>
      <c r="AT574" s="16">
        <f>AT542+AT552+AT562+AT$569</f>
        <v/>
      </c>
      <c r="AU574" s="16">
        <f>AU542+AU552+AU562+AU$569</f>
        <v/>
      </c>
      <c r="AV574" s="16">
        <f>AV542+AV552+AV562+AV$569</f>
        <v/>
      </c>
      <c r="AW574" s="16">
        <f>AW542+AW552+AW562+AW$569</f>
        <v/>
      </c>
      <c r="AX574" s="16">
        <f>AX542+AX552+AX562+AX$569</f>
        <v/>
      </c>
      <c r="AY574" s="16">
        <f>AY542+AY552+AY562+AY$569</f>
        <v/>
      </c>
      <c r="AZ574" s="16">
        <f>AZ542+AZ552+AZ562+AZ$569</f>
        <v/>
      </c>
      <c r="BA574" s="49">
        <f>VARTOTAL(BA542,BA552,BA562,BA$569)</f>
        <v/>
      </c>
    </row>
    <row r="575" hidden="1" outlineLevel="1">
      <c r="A575" s="14" t="inlineStr">
        <is>
          <t>tvc</t>
        </is>
      </c>
      <c r="B575" s="14" t="inlineStr">
        <is>
          <t>wnd</t>
        </is>
      </c>
      <c r="C575" s="14" t="inlineStr">
        <is>
          <t>pow</t>
        </is>
      </c>
      <c r="D575" s="39" t="n"/>
      <c r="E575" s="39" t="n"/>
      <c r="F575" s="39" t="n"/>
      <c r="G575" s="39" t="n"/>
      <c r="H575" s="14">
        <f>INDEX(VarLab,MATCH($A575,VarKey,0))&amp;INDEX(MemLab,MATCH($C575&amp;"|"&amp;$B575,MemKey,0))</f>
        <v/>
      </c>
      <c r="I575" s="14">
        <f>INDEX(VarUnit,MATCH($A575,VarKey,0))</f>
        <v/>
      </c>
      <c r="J575" s="14">
        <f>INDEX(VarSrc,MATCH($A575,VarKey,0))</f>
        <v/>
      </c>
      <c r="K575" s="11">
        <f>CodePrefix&amp;$A575&amp;IF($C575="","","."&amp;$C575&amp;"."&amp;$B575)&amp;INDEX(VarEnd,MATCH($A575,VarKey,0))&amp;K$5</f>
        <v/>
      </c>
      <c r="L575" s="15">
        <f>L543+L553+L563+L$569</f>
        <v/>
      </c>
      <c r="M575" s="16">
        <f>M543+M553+M563+M$569</f>
        <v/>
      </c>
      <c r="N575" s="16">
        <f>N543+N553+N563+N$569</f>
        <v/>
      </c>
      <c r="O575" s="16">
        <f>O543+O553+O563+O$569</f>
        <v/>
      </c>
      <c r="P575" s="16">
        <f>P543+P553+P563+P$569</f>
        <v/>
      </c>
      <c r="Q575" s="16">
        <f>Q543+Q553+Q563+Q$569</f>
        <v/>
      </c>
      <c r="R575" s="16">
        <f>R543+R553+R563+R$569</f>
        <v/>
      </c>
      <c r="S575" s="16">
        <f>S543+S553+S563+S$569</f>
        <v/>
      </c>
      <c r="T575" s="16">
        <f>T543+T553+T563+T$569</f>
        <v/>
      </c>
      <c r="U575" s="16">
        <f>U543+U553+U563+U$569</f>
        <v/>
      </c>
      <c r="V575" s="16">
        <f>V543+V553+V563+V$569</f>
        <v/>
      </c>
      <c r="W575" s="16">
        <f>W543+W553+W563+W$569</f>
        <v/>
      </c>
      <c r="X575" s="16">
        <f>X543+X553+X563+X$569</f>
        <v/>
      </c>
      <c r="Y575" s="16">
        <f>Y543+Y553+Y563+Y$569</f>
        <v/>
      </c>
      <c r="Z575" s="16">
        <f>Z543+Z553+Z563+Z$569</f>
        <v/>
      </c>
      <c r="AA575" s="16">
        <f>AA543+AA553+AA563+AA$569</f>
        <v/>
      </c>
      <c r="AB575" s="16">
        <f>AB543+AB553+AB563+AB$569</f>
        <v/>
      </c>
      <c r="AC575" s="16">
        <f>AC543+AC553+AC563+AC$569</f>
        <v/>
      </c>
      <c r="AD575" s="16">
        <f>AD543+AD553+AD563+AD$569</f>
        <v/>
      </c>
      <c r="AE575" s="49">
        <f>VARTOTAL(AE543,AE553,AE563,AE$569)</f>
        <v/>
      </c>
      <c r="AG575" s="11">
        <f>CodePrefix&amp;$A575&amp;IF($C575="","","."&amp;$C575&amp;"."&amp;$B575)&amp;INDEX(VarEnd,MATCH($A575,VarKey,0))&amp;AG$5</f>
        <v/>
      </c>
      <c r="AH575" s="15">
        <f>AH543+AH553+AH563+AH$569</f>
        <v/>
      </c>
      <c r="AI575" s="16">
        <f>AI543+AI553+AI563+AI$569</f>
        <v/>
      </c>
      <c r="AJ575" s="16">
        <f>AJ543+AJ553+AJ563+AJ$569</f>
        <v/>
      </c>
      <c r="AK575" s="16">
        <f>AK543+AK553+AK563+AK$569</f>
        <v/>
      </c>
      <c r="AL575" s="16">
        <f>AL543+AL553+AL563+AL$569</f>
        <v/>
      </c>
      <c r="AM575" s="16">
        <f>AM543+AM553+AM563+AM$569</f>
        <v/>
      </c>
      <c r="AN575" s="16">
        <f>AN543+AN553+AN563+AN$569</f>
        <v/>
      </c>
      <c r="AO575" s="16">
        <f>AO543+AO553+AO563+AO$569</f>
        <v/>
      </c>
      <c r="AP575" s="16">
        <f>AP543+AP553+AP563+AP$569</f>
        <v/>
      </c>
      <c r="AQ575" s="16">
        <f>AQ543+AQ553+AQ563+AQ$569</f>
        <v/>
      </c>
      <c r="AR575" s="16">
        <f>AR543+AR553+AR563+AR$569</f>
        <v/>
      </c>
      <c r="AS575" s="16">
        <f>AS543+AS553+AS563+AS$569</f>
        <v/>
      </c>
      <c r="AT575" s="16">
        <f>AT543+AT553+AT563+AT$569</f>
        <v/>
      </c>
      <c r="AU575" s="16">
        <f>AU543+AU553+AU563+AU$569</f>
        <v/>
      </c>
      <c r="AV575" s="16">
        <f>AV543+AV553+AV563+AV$569</f>
        <v/>
      </c>
      <c r="AW575" s="16">
        <f>AW543+AW553+AW563+AW$569</f>
        <v/>
      </c>
      <c r="AX575" s="16">
        <f>AX543+AX553+AX563+AX$569</f>
        <v/>
      </c>
      <c r="AY575" s="16">
        <f>AY543+AY553+AY563+AY$569</f>
        <v/>
      </c>
      <c r="AZ575" s="16">
        <f>AZ543+AZ553+AZ563+AZ$569</f>
        <v/>
      </c>
      <c r="BA575" s="49">
        <f>VARTOTAL(BA543,BA553,BA563,BA$569)</f>
        <v/>
      </c>
    </row>
    <row r="576" hidden="1" outlineLevel="1">
      <c r="A576" s="14" t="inlineStr">
        <is>
          <t>tvc</t>
        </is>
      </c>
      <c r="B576" s="14" t="inlineStr">
        <is>
          <t>sol</t>
        </is>
      </c>
      <c r="C576" s="14" t="inlineStr">
        <is>
          <t>pow</t>
        </is>
      </c>
      <c r="D576" s="39" t="n"/>
      <c r="E576" s="39" t="n"/>
      <c r="F576" s="39" t="n"/>
      <c r="G576" s="39" t="n"/>
      <c r="H576" s="14">
        <f>INDEX(VarLab,MATCH($A576,VarKey,0))&amp;INDEX(MemLab,MATCH($C576&amp;"|"&amp;$B576,MemKey,0))</f>
        <v/>
      </c>
      <c r="I576" s="14">
        <f>INDEX(VarUnit,MATCH($A576,VarKey,0))</f>
        <v/>
      </c>
      <c r="J576" s="14">
        <f>INDEX(VarSrc,MATCH($A576,VarKey,0))</f>
        <v/>
      </c>
      <c r="K576" s="11">
        <f>CodePrefix&amp;$A576&amp;IF($C576="","","."&amp;$C576&amp;"."&amp;$B576)&amp;INDEX(VarEnd,MATCH($A576,VarKey,0))&amp;K$5</f>
        <v/>
      </c>
      <c r="L576" s="15">
        <f>L544+L554+L564+L$569</f>
        <v/>
      </c>
      <c r="M576" s="16">
        <f>M544+M554+M564+M$569</f>
        <v/>
      </c>
      <c r="N576" s="16">
        <f>N544+N554+N564+N$569</f>
        <v/>
      </c>
      <c r="O576" s="16">
        <f>O544+O554+O564+O$569</f>
        <v/>
      </c>
      <c r="P576" s="16">
        <f>P544+P554+P564+P$569</f>
        <v/>
      </c>
      <c r="Q576" s="16">
        <f>Q544+Q554+Q564+Q$569</f>
        <v/>
      </c>
      <c r="R576" s="16">
        <f>R544+R554+R564+R$569</f>
        <v/>
      </c>
      <c r="S576" s="16">
        <f>S544+S554+S564+S$569</f>
        <v/>
      </c>
      <c r="T576" s="16">
        <f>T544+T554+T564+T$569</f>
        <v/>
      </c>
      <c r="U576" s="16">
        <f>U544+U554+U564+U$569</f>
        <v/>
      </c>
      <c r="V576" s="16">
        <f>V544+V554+V564+V$569</f>
        <v/>
      </c>
      <c r="W576" s="16">
        <f>W544+W554+W564+W$569</f>
        <v/>
      </c>
      <c r="X576" s="16">
        <f>X544+X554+X564+X$569</f>
        <v/>
      </c>
      <c r="Y576" s="16">
        <f>Y544+Y554+Y564+Y$569</f>
        <v/>
      </c>
      <c r="Z576" s="16">
        <f>Z544+Z554+Z564+Z$569</f>
        <v/>
      </c>
      <c r="AA576" s="16">
        <f>AA544+AA554+AA564+AA$569</f>
        <v/>
      </c>
      <c r="AB576" s="16">
        <f>AB544+AB554+AB564+AB$569</f>
        <v/>
      </c>
      <c r="AC576" s="16">
        <f>AC544+AC554+AC564+AC$569</f>
        <v/>
      </c>
      <c r="AD576" s="16">
        <f>AD544+AD554+AD564+AD$569</f>
        <v/>
      </c>
      <c r="AE576" s="49">
        <f>VARTOTAL(AE544,AE554,AE564,AE$569)</f>
        <v/>
      </c>
      <c r="AG576" s="11">
        <f>CodePrefix&amp;$A576&amp;IF($C576="","","."&amp;$C576&amp;"."&amp;$B576)&amp;INDEX(VarEnd,MATCH($A576,VarKey,0))&amp;AG$5</f>
        <v/>
      </c>
      <c r="AH576" s="15">
        <f>AH544+AH554+AH564+AH$569</f>
        <v/>
      </c>
      <c r="AI576" s="16">
        <f>AI544+AI554+AI564+AI$569</f>
        <v/>
      </c>
      <c r="AJ576" s="16">
        <f>AJ544+AJ554+AJ564+AJ$569</f>
        <v/>
      </c>
      <c r="AK576" s="16">
        <f>AK544+AK554+AK564+AK$569</f>
        <v/>
      </c>
      <c r="AL576" s="16">
        <f>AL544+AL554+AL564+AL$569</f>
        <v/>
      </c>
      <c r="AM576" s="16">
        <f>AM544+AM554+AM564+AM$569</f>
        <v/>
      </c>
      <c r="AN576" s="16">
        <f>AN544+AN554+AN564+AN$569</f>
        <v/>
      </c>
      <c r="AO576" s="16">
        <f>AO544+AO554+AO564+AO$569</f>
        <v/>
      </c>
      <c r="AP576" s="16">
        <f>AP544+AP554+AP564+AP$569</f>
        <v/>
      </c>
      <c r="AQ576" s="16">
        <f>AQ544+AQ554+AQ564+AQ$569</f>
        <v/>
      </c>
      <c r="AR576" s="16">
        <f>AR544+AR554+AR564+AR$569</f>
        <v/>
      </c>
      <c r="AS576" s="16">
        <f>AS544+AS554+AS564+AS$569</f>
        <v/>
      </c>
      <c r="AT576" s="16">
        <f>AT544+AT554+AT564+AT$569</f>
        <v/>
      </c>
      <c r="AU576" s="16">
        <f>AU544+AU554+AU564+AU$569</f>
        <v/>
      </c>
      <c r="AV576" s="16">
        <f>AV544+AV554+AV564+AV$569</f>
        <v/>
      </c>
      <c r="AW576" s="16">
        <f>AW544+AW554+AW564+AW$569</f>
        <v/>
      </c>
      <c r="AX576" s="16">
        <f>AX544+AX554+AX564+AX$569</f>
        <v/>
      </c>
      <c r="AY576" s="16">
        <f>AY544+AY554+AY564+AY$569</f>
        <v/>
      </c>
      <c r="AZ576" s="16">
        <f>AZ544+AZ554+AZ564+AZ$569</f>
        <v/>
      </c>
      <c r="BA576" s="49">
        <f>VARTOTAL(BA544,BA554,BA564,BA$569)</f>
        <v/>
      </c>
    </row>
    <row r="577" hidden="1" outlineLevel="1">
      <c r="A577" s="14" t="inlineStr">
        <is>
          <t>tvc</t>
        </is>
      </c>
      <c r="B577" s="14" t="inlineStr">
        <is>
          <t>hyd</t>
        </is>
      </c>
      <c r="C577" s="14" t="inlineStr">
        <is>
          <t>pow</t>
        </is>
      </c>
      <c r="D577" s="39" t="n"/>
      <c r="E577" s="39" t="n"/>
      <c r="F577" s="39" t="n"/>
      <c r="G577" s="39" t="n"/>
      <c r="H577" s="14">
        <f>INDEX(VarLab,MATCH($A577,VarKey,0))&amp;INDEX(MemLab,MATCH($C577&amp;"|"&amp;$B577,MemKey,0))</f>
        <v/>
      </c>
      <c r="I577" s="14">
        <f>INDEX(VarUnit,MATCH($A577,VarKey,0))</f>
        <v/>
      </c>
      <c r="J577" s="14">
        <f>INDEX(VarSrc,MATCH($A577,VarKey,0))</f>
        <v/>
      </c>
      <c r="K577" s="11">
        <f>CodePrefix&amp;$A577&amp;IF($C577="","","."&amp;$C577&amp;"."&amp;$B577)&amp;INDEX(VarEnd,MATCH($A577,VarKey,0))&amp;K$5</f>
        <v/>
      </c>
      <c r="L577" s="15">
        <f>L545+L555+L565+L$569</f>
        <v/>
      </c>
      <c r="M577" s="16">
        <f>M545+M555+M565+M$569</f>
        <v/>
      </c>
      <c r="N577" s="16">
        <f>N545+N555+N565+N$569</f>
        <v/>
      </c>
      <c r="O577" s="16">
        <f>O545+O555+O565+O$569</f>
        <v/>
      </c>
      <c r="P577" s="16">
        <f>P545+P555+P565+P$569</f>
        <v/>
      </c>
      <c r="Q577" s="16">
        <f>Q545+Q555+Q565+Q$569</f>
        <v/>
      </c>
      <c r="R577" s="16">
        <f>R545+R555+R565+R$569</f>
        <v/>
      </c>
      <c r="S577" s="16">
        <f>S545+S555+S565+S$569</f>
        <v/>
      </c>
      <c r="T577" s="16">
        <f>T545+T555+T565+T$569</f>
        <v/>
      </c>
      <c r="U577" s="16">
        <f>U545+U555+U565+U$569</f>
        <v/>
      </c>
      <c r="V577" s="16">
        <f>V545+V555+V565+V$569</f>
        <v/>
      </c>
      <c r="W577" s="16">
        <f>W545+W555+W565+W$569</f>
        <v/>
      </c>
      <c r="X577" s="16">
        <f>X545+X555+X565+X$569</f>
        <v/>
      </c>
      <c r="Y577" s="16">
        <f>Y545+Y555+Y565+Y$569</f>
        <v/>
      </c>
      <c r="Z577" s="16">
        <f>Z545+Z555+Z565+Z$569</f>
        <v/>
      </c>
      <c r="AA577" s="16">
        <f>AA545+AA555+AA565+AA$569</f>
        <v/>
      </c>
      <c r="AB577" s="16">
        <f>AB545+AB555+AB565+AB$569</f>
        <v/>
      </c>
      <c r="AC577" s="16">
        <f>AC545+AC555+AC565+AC$569</f>
        <v/>
      </c>
      <c r="AD577" s="16">
        <f>AD545+AD555+AD565+AD$569</f>
        <v/>
      </c>
      <c r="AE577" s="49">
        <f>VARTOTAL(AE545,AE555,AE565,AE$569)</f>
        <v/>
      </c>
      <c r="AG577" s="11">
        <f>CodePrefix&amp;$A577&amp;IF($C577="","","."&amp;$C577&amp;"."&amp;$B577)&amp;INDEX(VarEnd,MATCH($A577,VarKey,0))&amp;AG$5</f>
        <v/>
      </c>
      <c r="AH577" s="15">
        <f>AH545+AH555+AH565+AH$569</f>
        <v/>
      </c>
      <c r="AI577" s="16">
        <f>AI545+AI555+AI565+AI$569</f>
        <v/>
      </c>
      <c r="AJ577" s="16">
        <f>AJ545+AJ555+AJ565+AJ$569</f>
        <v/>
      </c>
      <c r="AK577" s="16">
        <f>AK545+AK555+AK565+AK$569</f>
        <v/>
      </c>
      <c r="AL577" s="16">
        <f>AL545+AL555+AL565+AL$569</f>
        <v/>
      </c>
      <c r="AM577" s="16">
        <f>AM545+AM555+AM565+AM$569</f>
        <v/>
      </c>
      <c r="AN577" s="16">
        <f>AN545+AN555+AN565+AN$569</f>
        <v/>
      </c>
      <c r="AO577" s="16">
        <f>AO545+AO555+AO565+AO$569</f>
        <v/>
      </c>
      <c r="AP577" s="16">
        <f>AP545+AP555+AP565+AP$569</f>
        <v/>
      </c>
      <c r="AQ577" s="16">
        <f>AQ545+AQ555+AQ565+AQ$569</f>
        <v/>
      </c>
      <c r="AR577" s="16">
        <f>AR545+AR555+AR565+AR$569</f>
        <v/>
      </c>
      <c r="AS577" s="16">
        <f>AS545+AS555+AS565+AS$569</f>
        <v/>
      </c>
      <c r="AT577" s="16">
        <f>AT545+AT555+AT565+AT$569</f>
        <v/>
      </c>
      <c r="AU577" s="16">
        <f>AU545+AU555+AU565+AU$569</f>
        <v/>
      </c>
      <c r="AV577" s="16">
        <f>AV545+AV555+AV565+AV$569</f>
        <v/>
      </c>
      <c r="AW577" s="16">
        <f>AW545+AW555+AW565+AW$569</f>
        <v/>
      </c>
      <c r="AX577" s="16">
        <f>AX545+AX555+AX565+AX$569</f>
        <v/>
      </c>
      <c r="AY577" s="16">
        <f>AY545+AY555+AY565+AY$569</f>
        <v/>
      </c>
      <c r="AZ577" s="16">
        <f>AZ545+AZ555+AZ565+AZ$569</f>
        <v/>
      </c>
      <c r="BA577" s="49">
        <f>VARTOTAL(BA545,BA555,BA565,BA$569)</f>
        <v/>
      </c>
    </row>
    <row r="578" hidden="1" outlineLevel="1">
      <c r="A578" s="14" t="inlineStr">
        <is>
          <t>tvc</t>
        </is>
      </c>
      <c r="B578" s="14" t="inlineStr">
        <is>
          <t>ore</t>
        </is>
      </c>
      <c r="C578" s="14" t="inlineStr">
        <is>
          <t>pow</t>
        </is>
      </c>
      <c r="D578" s="39" t="n"/>
      <c r="E578" s="39" t="n"/>
      <c r="F578" s="39" t="n"/>
      <c r="G578" s="39" t="n"/>
      <c r="H578" s="14">
        <f>INDEX(VarLab,MATCH($A578,VarKey,0))&amp;INDEX(MemLab,MATCH($C578&amp;"|"&amp;$B578,MemKey,0))</f>
        <v/>
      </c>
      <c r="I578" s="14">
        <f>INDEX(VarUnit,MATCH($A578,VarKey,0))</f>
        <v/>
      </c>
      <c r="J578" s="14">
        <f>INDEX(VarSrc,MATCH($A578,VarKey,0))</f>
        <v/>
      </c>
      <c r="K578" s="11">
        <f>CodePrefix&amp;$A578&amp;IF($C578="","","."&amp;$C578&amp;"."&amp;$B578)&amp;INDEX(VarEnd,MATCH($A578,VarKey,0))&amp;K$5</f>
        <v/>
      </c>
      <c r="L578" s="15">
        <f>L546+L556+L566+L$569</f>
        <v/>
      </c>
      <c r="M578" s="16">
        <f>M546+M556+M566+M$569</f>
        <v/>
      </c>
      <c r="N578" s="16">
        <f>N546+N556+N566+N$569</f>
        <v/>
      </c>
      <c r="O578" s="16">
        <f>O546+O556+O566+O$569</f>
        <v/>
      </c>
      <c r="P578" s="16">
        <f>P546+P556+P566+P$569</f>
        <v/>
      </c>
      <c r="Q578" s="16">
        <f>Q546+Q556+Q566+Q$569</f>
        <v/>
      </c>
      <c r="R578" s="16">
        <f>R546+R556+R566+R$569</f>
        <v/>
      </c>
      <c r="S578" s="16">
        <f>S546+S556+S566+S$569</f>
        <v/>
      </c>
      <c r="T578" s="16">
        <f>T546+T556+T566+T$569</f>
        <v/>
      </c>
      <c r="U578" s="16">
        <f>U546+U556+U566+U$569</f>
        <v/>
      </c>
      <c r="V578" s="16">
        <f>V546+V556+V566+V$569</f>
        <v/>
      </c>
      <c r="W578" s="16">
        <f>W546+W556+W566+W$569</f>
        <v/>
      </c>
      <c r="X578" s="16">
        <f>X546+X556+X566+X$569</f>
        <v/>
      </c>
      <c r="Y578" s="16">
        <f>Y546+Y556+Y566+Y$569</f>
        <v/>
      </c>
      <c r="Z578" s="16">
        <f>Z546+Z556+Z566+Z$569</f>
        <v/>
      </c>
      <c r="AA578" s="16">
        <f>AA546+AA556+AA566+AA$569</f>
        <v/>
      </c>
      <c r="AB578" s="16">
        <f>AB546+AB556+AB566+AB$569</f>
        <v/>
      </c>
      <c r="AC578" s="16">
        <f>AC546+AC556+AC566+AC$569</f>
        <v/>
      </c>
      <c r="AD578" s="16">
        <f>AD546+AD556+AD566+AD$569</f>
        <v/>
      </c>
      <c r="AE578" s="49">
        <f>VARTOTAL(AE546,AE556,AE566,AE$569)</f>
        <v/>
      </c>
      <c r="AG578" s="11">
        <f>CodePrefix&amp;$A578&amp;IF($C578="","","."&amp;$C578&amp;"."&amp;$B578)&amp;INDEX(VarEnd,MATCH($A578,VarKey,0))&amp;AG$5</f>
        <v/>
      </c>
      <c r="AH578" s="15">
        <f>AH546+AH556+AH566+AH$569</f>
        <v/>
      </c>
      <c r="AI578" s="16">
        <f>AI546+AI556+AI566+AI$569</f>
        <v/>
      </c>
      <c r="AJ578" s="16">
        <f>AJ546+AJ556+AJ566+AJ$569</f>
        <v/>
      </c>
      <c r="AK578" s="16">
        <f>AK546+AK556+AK566+AK$569</f>
        <v/>
      </c>
      <c r="AL578" s="16">
        <f>AL546+AL556+AL566+AL$569</f>
        <v/>
      </c>
      <c r="AM578" s="16">
        <f>AM546+AM556+AM566+AM$569</f>
        <v/>
      </c>
      <c r="AN578" s="16">
        <f>AN546+AN556+AN566+AN$569</f>
        <v/>
      </c>
      <c r="AO578" s="16">
        <f>AO546+AO556+AO566+AO$569</f>
        <v/>
      </c>
      <c r="AP578" s="16">
        <f>AP546+AP556+AP566+AP$569</f>
        <v/>
      </c>
      <c r="AQ578" s="16">
        <f>AQ546+AQ556+AQ566+AQ$569</f>
        <v/>
      </c>
      <c r="AR578" s="16">
        <f>AR546+AR556+AR566+AR$569</f>
        <v/>
      </c>
      <c r="AS578" s="16">
        <f>AS546+AS556+AS566+AS$569</f>
        <v/>
      </c>
      <c r="AT578" s="16">
        <f>AT546+AT556+AT566+AT$569</f>
        <v/>
      </c>
      <c r="AU578" s="16">
        <f>AU546+AU556+AU566+AU$569</f>
        <v/>
      </c>
      <c r="AV578" s="16">
        <f>AV546+AV556+AV566+AV$569</f>
        <v/>
      </c>
      <c r="AW578" s="16">
        <f>AW546+AW556+AW566+AW$569</f>
        <v/>
      </c>
      <c r="AX578" s="16">
        <f>AX546+AX556+AX566+AX$569</f>
        <v/>
      </c>
      <c r="AY578" s="16">
        <f>AY546+AY556+AY566+AY$569</f>
        <v/>
      </c>
      <c r="AZ578" s="16">
        <f>AZ546+AZ556+AZ566+AZ$569</f>
        <v/>
      </c>
      <c r="BA578" s="49">
        <f>VARTOTAL(BA546,BA556,BA566,BA$569)</f>
        <v/>
      </c>
    </row>
    <row r="579" hidden="1" outlineLevel="1">
      <c r="A579" s="14" t="inlineStr">
        <is>
          <t>tvc</t>
        </is>
      </c>
      <c r="B579" s="14" t="inlineStr">
        <is>
          <t>bio</t>
        </is>
      </c>
      <c r="C579" s="14" t="inlineStr">
        <is>
          <t>pow</t>
        </is>
      </c>
      <c r="D579" s="39" t="n"/>
      <c r="E579" s="39" t="n"/>
      <c r="F579" s="39" t="n"/>
      <c r="G579" s="39" t="n"/>
      <c r="H579" s="14">
        <f>INDEX(VarLab,MATCH($A579,VarKey,0))&amp;INDEX(MemLab,MATCH($C579&amp;"|"&amp;$B579,MemKey,0))</f>
        <v/>
      </c>
      <c r="I579" s="14">
        <f>INDEX(VarUnit,MATCH($A579,VarKey,0))</f>
        <v/>
      </c>
      <c r="J579" s="14">
        <f>INDEX(VarSrc,MATCH($A579,VarKey,0))</f>
        <v/>
      </c>
      <c r="K579" s="11">
        <f>CodePrefix&amp;$A579&amp;IF($C579="","","."&amp;$C579&amp;"."&amp;$B579)&amp;INDEX(VarEnd,MATCH($A579,VarKey,0))&amp;K$5</f>
        <v/>
      </c>
      <c r="L579" s="15">
        <f>L547+L557+L567+L$569</f>
        <v/>
      </c>
      <c r="M579" s="16">
        <f>M547+M557+M567+M$569</f>
        <v/>
      </c>
      <c r="N579" s="16">
        <f>N547+N557+N567+N$569</f>
        <v/>
      </c>
      <c r="O579" s="16">
        <f>O547+O557+O567+O$569</f>
        <v/>
      </c>
      <c r="P579" s="16">
        <f>P547+P557+P567+P$569</f>
        <v/>
      </c>
      <c r="Q579" s="16">
        <f>Q547+Q557+Q567+Q$569</f>
        <v/>
      </c>
      <c r="R579" s="16">
        <f>R547+R557+R567+R$569</f>
        <v/>
      </c>
      <c r="S579" s="16">
        <f>S547+S557+S567+S$569</f>
        <v/>
      </c>
      <c r="T579" s="16">
        <f>T547+T557+T567+T$569</f>
        <v/>
      </c>
      <c r="U579" s="16">
        <f>U547+U557+U567+U$569</f>
        <v/>
      </c>
      <c r="V579" s="16">
        <f>V547+V557+V567+V$569</f>
        <v/>
      </c>
      <c r="W579" s="16">
        <f>W547+W557+W567+W$569</f>
        <v/>
      </c>
      <c r="X579" s="16">
        <f>X547+X557+X567+X$569</f>
        <v/>
      </c>
      <c r="Y579" s="16">
        <f>Y547+Y557+Y567+Y$569</f>
        <v/>
      </c>
      <c r="Z579" s="16">
        <f>Z547+Z557+Z567+Z$569</f>
        <v/>
      </c>
      <c r="AA579" s="16">
        <f>AA547+AA557+AA567+AA$569</f>
        <v/>
      </c>
      <c r="AB579" s="16">
        <f>AB547+AB557+AB567+AB$569</f>
        <v/>
      </c>
      <c r="AC579" s="16">
        <f>AC547+AC557+AC567+AC$569</f>
        <v/>
      </c>
      <c r="AD579" s="16">
        <f>AD547+AD557+AD567+AD$569</f>
        <v/>
      </c>
      <c r="AE579" s="49">
        <f>VARTOTAL(AE547,AE557,AE567,AE$569)</f>
        <v/>
      </c>
      <c r="AG579" s="11">
        <f>CodePrefix&amp;$A579&amp;IF($C579="","","."&amp;$C579&amp;"."&amp;$B579)&amp;INDEX(VarEnd,MATCH($A579,VarKey,0))&amp;AG$5</f>
        <v/>
      </c>
      <c r="AH579" s="15">
        <f>AH547+AH557+AH567+AH$569</f>
        <v/>
      </c>
      <c r="AI579" s="16">
        <f>AI547+AI557+AI567+AI$569</f>
        <v/>
      </c>
      <c r="AJ579" s="16">
        <f>AJ547+AJ557+AJ567+AJ$569</f>
        <v/>
      </c>
      <c r="AK579" s="16">
        <f>AK547+AK557+AK567+AK$569</f>
        <v/>
      </c>
      <c r="AL579" s="16">
        <f>AL547+AL557+AL567+AL$569</f>
        <v/>
      </c>
      <c r="AM579" s="16">
        <f>AM547+AM557+AM567+AM$569</f>
        <v/>
      </c>
      <c r="AN579" s="16">
        <f>AN547+AN557+AN567+AN$569</f>
        <v/>
      </c>
      <c r="AO579" s="16">
        <f>AO547+AO557+AO567+AO$569</f>
        <v/>
      </c>
      <c r="AP579" s="16">
        <f>AP547+AP557+AP567+AP$569</f>
        <v/>
      </c>
      <c r="AQ579" s="16">
        <f>AQ547+AQ557+AQ567+AQ$569</f>
        <v/>
      </c>
      <c r="AR579" s="16">
        <f>AR547+AR557+AR567+AR$569</f>
        <v/>
      </c>
      <c r="AS579" s="16">
        <f>AS547+AS557+AS567+AS$569</f>
        <v/>
      </c>
      <c r="AT579" s="16">
        <f>AT547+AT557+AT567+AT$569</f>
        <v/>
      </c>
      <c r="AU579" s="16">
        <f>AU547+AU557+AU567+AU$569</f>
        <v/>
      </c>
      <c r="AV579" s="16">
        <f>AV547+AV557+AV567+AV$569</f>
        <v/>
      </c>
      <c r="AW579" s="16">
        <f>AW547+AW557+AW567+AW$569</f>
        <v/>
      </c>
      <c r="AX579" s="16">
        <f>AX547+AX557+AX567+AX$569</f>
        <v/>
      </c>
      <c r="AY579" s="16">
        <f>AY547+AY557+AY567+AY$569</f>
        <v/>
      </c>
      <c r="AZ579" s="16">
        <f>AZ547+AZ557+AZ567+AZ$569</f>
        <v/>
      </c>
      <c r="BA579" s="49">
        <f>VARTOTAL(BA547,BA557,BA567,BA$569)</f>
        <v/>
      </c>
    </row>
    <row r="580" hidden="1" outlineLevel="1"/>
    <row r="581" hidden="1" outlineLevel="1">
      <c r="A581" s="14" t="inlineStr">
        <is>
          <t>tvcx</t>
        </is>
      </c>
      <c r="B581" s="14" t="inlineStr">
        <is>
          <t>coa</t>
        </is>
      </c>
      <c r="C581" s="14" t="inlineStr">
        <is>
          <t>pow</t>
        </is>
      </c>
      <c r="D581" s="39" t="n"/>
      <c r="E581" s="39" t="n"/>
      <c r="F581" s="39" t="n"/>
      <c r="G581" s="39" t="n"/>
      <c r="H581" s="14">
        <f>INDEX(VarLab,MATCH($A581,VarKey,0))&amp;INDEX(MemLab,MATCH($C581&amp;"|"&amp;$B581,MemKey,0))</f>
        <v/>
      </c>
      <c r="I581" s="14">
        <f>INDEX(VarUnit,MATCH($A581,VarKey,0))</f>
        <v/>
      </c>
      <c r="J581" s="14">
        <f>INDEX(VarSrc,MATCH($A581,VarKey,0))</f>
        <v/>
      </c>
      <c r="K581" s="11">
        <f>CodePrefix&amp;$A581&amp;IF($C581="","","."&amp;$C581&amp;"."&amp;$B581)&amp;INDEX(VarEnd,MATCH($A581,VarKey,0))&amp;K$5</f>
        <v/>
      </c>
      <c r="L581" s="15">
        <f>IFERROR(L571,K571)</f>
        <v/>
      </c>
      <c r="M581" s="16">
        <f>IFERROR(M571,L571)</f>
        <v/>
      </c>
      <c r="N581" s="16">
        <f>IFERROR(N571,M571)</f>
        <v/>
      </c>
      <c r="O581" s="16">
        <f>IFERROR(O571,N571)</f>
        <v/>
      </c>
      <c r="P581" s="16">
        <f>IFERROR(P571,O571)</f>
        <v/>
      </c>
      <c r="Q581" s="16">
        <f>IFERROR(Q571,P571)</f>
        <v/>
      </c>
      <c r="R581" s="16">
        <f>IFERROR(R571,Q571)</f>
        <v/>
      </c>
      <c r="S581" s="16">
        <f>IFERROR(S571,R571)</f>
        <v/>
      </c>
      <c r="T581" s="16">
        <f>IFERROR(T571,S571)</f>
        <v/>
      </c>
      <c r="U581" s="16">
        <f>IFERROR(U571,T571)</f>
        <v/>
      </c>
      <c r="V581" s="16">
        <f>IFERROR(V571,U571)</f>
        <v/>
      </c>
      <c r="W581" s="16">
        <f>IFERROR(W571,V571)</f>
        <v/>
      </c>
      <c r="X581" s="16">
        <f>IFERROR(X571,W571)</f>
        <v/>
      </c>
      <c r="Y581" s="16">
        <f>IFERROR(Y571,X571)</f>
        <v/>
      </c>
      <c r="Z581" s="16">
        <f>IFERROR(Z571,Y571)</f>
        <v/>
      </c>
      <c r="AA581" s="16">
        <f>IFERROR(AA571,Z571)</f>
        <v/>
      </c>
      <c r="AB581" s="16">
        <f>IFERROR(AB571,AA571)</f>
        <v/>
      </c>
      <c r="AC581" s="16">
        <f>IFERROR(AC571,AB571)</f>
        <v/>
      </c>
      <c r="AD581" s="16">
        <f>IFERROR(AD571,AC571)</f>
        <v/>
      </c>
      <c r="AE581" s="16">
        <f>IFERROR(AE571,AD571)</f>
        <v/>
      </c>
      <c r="AG581" s="11">
        <f>CodePrefix&amp;$A581&amp;IF($C581="","","."&amp;$C581&amp;"."&amp;$B581)&amp;INDEX(VarEnd,MATCH($A581,VarKey,0))&amp;AG$5</f>
        <v/>
      </c>
      <c r="AH581" s="15">
        <f>IFERROR(AH571,AG571)</f>
        <v/>
      </c>
      <c r="AI581" s="16">
        <f>IFERROR(AI571,AH571)</f>
        <v/>
      </c>
      <c r="AJ581" s="16">
        <f>IFERROR(AJ571,AI571)</f>
        <v/>
      </c>
      <c r="AK581" s="16">
        <f>IFERROR(AK571,AJ571)</f>
        <v/>
      </c>
      <c r="AL581" s="16">
        <f>IFERROR(AL571,AK571)</f>
        <v/>
      </c>
      <c r="AM581" s="16">
        <f>IFERROR(AM571,AL571)</f>
        <v/>
      </c>
      <c r="AN581" s="16">
        <f>IFERROR(AN571,AM571)</f>
        <v/>
      </c>
      <c r="AO581" s="16">
        <f>IFERROR(AO571,AN571)</f>
        <v/>
      </c>
      <c r="AP581" s="16">
        <f>IFERROR(AP571,AO571)</f>
        <v/>
      </c>
      <c r="AQ581" s="16">
        <f>IFERROR(AQ571,AP571)</f>
        <v/>
      </c>
      <c r="AR581" s="16">
        <f>IFERROR(AR571,AQ571)</f>
        <v/>
      </c>
      <c r="AS581" s="16">
        <f>IFERROR(AS571,AR571)</f>
        <v/>
      </c>
      <c r="AT581" s="16">
        <f>IFERROR(AT571,AS571)</f>
        <v/>
      </c>
      <c r="AU581" s="16">
        <f>IFERROR(AU571,AT571)</f>
        <v/>
      </c>
      <c r="AV581" s="16">
        <f>IFERROR(AV571,AU571)</f>
        <v/>
      </c>
      <c r="AW581" s="16">
        <f>IFERROR(AW571,AV571)</f>
        <v/>
      </c>
      <c r="AX581" s="16">
        <f>IFERROR(AX571,AW571)</f>
        <v/>
      </c>
      <c r="AY581" s="16">
        <f>IFERROR(AY571,AX571)</f>
        <v/>
      </c>
      <c r="AZ581" s="16">
        <f>IFERROR(AZ571,AY571)</f>
        <v/>
      </c>
      <c r="BA581" s="16">
        <f>IFERROR(BA571,AZ571)</f>
        <v/>
      </c>
    </row>
    <row r="582" hidden="1" outlineLevel="1">
      <c r="A582" s="14" t="inlineStr">
        <is>
          <t>tvcx</t>
        </is>
      </c>
      <c r="B582" s="14" t="inlineStr">
        <is>
          <t>nga</t>
        </is>
      </c>
      <c r="C582" s="14" t="inlineStr">
        <is>
          <t>pow</t>
        </is>
      </c>
      <c r="D582" s="39" t="n"/>
      <c r="E582" s="39" t="n"/>
      <c r="F582" s="39" t="n"/>
      <c r="G582" s="39" t="n"/>
      <c r="H582" s="14">
        <f>INDEX(VarLab,MATCH($A582,VarKey,0))&amp;INDEX(MemLab,MATCH($C582&amp;"|"&amp;$B582,MemKey,0))</f>
        <v/>
      </c>
      <c r="I582" s="14">
        <f>INDEX(VarUnit,MATCH($A582,VarKey,0))</f>
        <v/>
      </c>
      <c r="J582" s="14">
        <f>INDEX(VarSrc,MATCH($A582,VarKey,0))</f>
        <v/>
      </c>
      <c r="K582" s="11">
        <f>CodePrefix&amp;$A582&amp;IF($C582="","","."&amp;$C582&amp;"."&amp;$B582)&amp;INDEX(VarEnd,MATCH($A582,VarKey,0))&amp;K$5</f>
        <v/>
      </c>
      <c r="L582" s="15">
        <f>IFERROR(L572,K572)</f>
        <v/>
      </c>
      <c r="M582" s="16">
        <f>IFERROR(M572,L572)</f>
        <v/>
      </c>
      <c r="N582" s="16">
        <f>IFERROR(N572,M572)</f>
        <v/>
      </c>
      <c r="O582" s="16">
        <f>IFERROR(O572,N572)</f>
        <v/>
      </c>
      <c r="P582" s="16">
        <f>IFERROR(P572,O572)</f>
        <v/>
      </c>
      <c r="Q582" s="16">
        <f>IFERROR(Q572,P572)</f>
        <v/>
      </c>
      <c r="R582" s="16">
        <f>IFERROR(R572,Q572)</f>
        <v/>
      </c>
      <c r="S582" s="16">
        <f>IFERROR(S572,R572)</f>
        <v/>
      </c>
      <c r="T582" s="16">
        <f>IFERROR(T572,S572)</f>
        <v/>
      </c>
      <c r="U582" s="16">
        <f>IFERROR(U572,T572)</f>
        <v/>
      </c>
      <c r="V582" s="16">
        <f>IFERROR(V572,U572)</f>
        <v/>
      </c>
      <c r="W582" s="16">
        <f>IFERROR(W572,V572)</f>
        <v/>
      </c>
      <c r="X582" s="16">
        <f>IFERROR(X572,W572)</f>
        <v/>
      </c>
      <c r="Y582" s="16">
        <f>IFERROR(Y572,X572)</f>
        <v/>
      </c>
      <c r="Z582" s="16">
        <f>IFERROR(Z572,Y572)</f>
        <v/>
      </c>
      <c r="AA582" s="16">
        <f>IFERROR(AA572,Z572)</f>
        <v/>
      </c>
      <c r="AB582" s="16">
        <f>IFERROR(AB572,AA572)</f>
        <v/>
      </c>
      <c r="AC582" s="16">
        <f>IFERROR(AC572,AB572)</f>
        <v/>
      </c>
      <c r="AD582" s="16">
        <f>IFERROR(AD572,AC572)</f>
        <v/>
      </c>
      <c r="AE582" s="16">
        <f>IFERROR(AE572,AD572)</f>
        <v/>
      </c>
      <c r="AG582" s="11">
        <f>CodePrefix&amp;$A582&amp;IF($C582="","","."&amp;$C582&amp;"."&amp;$B582)&amp;INDEX(VarEnd,MATCH($A582,VarKey,0))&amp;AG$5</f>
        <v/>
      </c>
      <c r="AH582" s="15">
        <f>IFERROR(AH572,AG572)</f>
        <v/>
      </c>
      <c r="AI582" s="16">
        <f>IFERROR(AI572,AH572)</f>
        <v/>
      </c>
      <c r="AJ582" s="16">
        <f>IFERROR(AJ572,AI572)</f>
        <v/>
      </c>
      <c r="AK582" s="16">
        <f>IFERROR(AK572,AJ572)</f>
        <v/>
      </c>
      <c r="AL582" s="16">
        <f>IFERROR(AL572,AK572)</f>
        <v/>
      </c>
      <c r="AM582" s="16">
        <f>IFERROR(AM572,AL572)</f>
        <v/>
      </c>
      <c r="AN582" s="16">
        <f>IFERROR(AN572,AM572)</f>
        <v/>
      </c>
      <c r="AO582" s="16">
        <f>IFERROR(AO572,AN572)</f>
        <v/>
      </c>
      <c r="AP582" s="16">
        <f>IFERROR(AP572,AO572)</f>
        <v/>
      </c>
      <c r="AQ582" s="16">
        <f>IFERROR(AQ572,AP572)</f>
        <v/>
      </c>
      <c r="AR582" s="16">
        <f>IFERROR(AR572,AQ572)</f>
        <v/>
      </c>
      <c r="AS582" s="16">
        <f>IFERROR(AS572,AR572)</f>
        <v/>
      </c>
      <c r="AT582" s="16">
        <f>IFERROR(AT572,AS572)</f>
        <v/>
      </c>
      <c r="AU582" s="16">
        <f>IFERROR(AU572,AT572)</f>
        <v/>
      </c>
      <c r="AV582" s="16">
        <f>IFERROR(AV572,AU572)</f>
        <v/>
      </c>
      <c r="AW582" s="16">
        <f>IFERROR(AW572,AV572)</f>
        <v/>
      </c>
      <c r="AX582" s="16">
        <f>IFERROR(AX572,AW572)</f>
        <v/>
      </c>
      <c r="AY582" s="16">
        <f>IFERROR(AY572,AX572)</f>
        <v/>
      </c>
      <c r="AZ582" s="16">
        <f>IFERROR(AZ572,AY572)</f>
        <v/>
      </c>
      <c r="BA582" s="16">
        <f>IFERROR(BA572,AZ572)</f>
        <v/>
      </c>
    </row>
    <row r="583" hidden="1" outlineLevel="1">
      <c r="A583" s="14" t="inlineStr">
        <is>
          <t>tvcx</t>
        </is>
      </c>
      <c r="B583" s="14" t="inlineStr">
        <is>
          <t>oop</t>
        </is>
      </c>
      <c r="C583" s="14" t="inlineStr">
        <is>
          <t>pow</t>
        </is>
      </c>
      <c r="D583" s="39" t="n"/>
      <c r="E583" s="39" t="n"/>
      <c r="F583" s="39" t="n"/>
      <c r="G583" s="39" t="n"/>
      <c r="H583" s="14">
        <f>INDEX(VarLab,MATCH($A583,VarKey,0))&amp;INDEX(MemLab,MATCH($C583&amp;"|"&amp;$B583,MemKey,0))</f>
        <v/>
      </c>
      <c r="I583" s="14">
        <f>INDEX(VarUnit,MATCH($A583,VarKey,0))</f>
        <v/>
      </c>
      <c r="J583" s="14">
        <f>INDEX(VarSrc,MATCH($A583,VarKey,0))</f>
        <v/>
      </c>
      <c r="K583" s="11">
        <f>CodePrefix&amp;$A583&amp;IF($C583="","","."&amp;$C583&amp;"."&amp;$B583)&amp;INDEX(VarEnd,MATCH($A583,VarKey,0))&amp;K$5</f>
        <v/>
      </c>
      <c r="L583" s="15">
        <f>IFERROR(L573,K573)</f>
        <v/>
      </c>
      <c r="M583" s="16">
        <f>IFERROR(M573,L573)</f>
        <v/>
      </c>
      <c r="N583" s="16">
        <f>IFERROR(N573,M573)</f>
        <v/>
      </c>
      <c r="O583" s="16">
        <f>IFERROR(O573,N573)</f>
        <v/>
      </c>
      <c r="P583" s="16">
        <f>IFERROR(P573,O573)</f>
        <v/>
      </c>
      <c r="Q583" s="16">
        <f>IFERROR(Q573,P573)</f>
        <v/>
      </c>
      <c r="R583" s="16">
        <f>IFERROR(R573,Q573)</f>
        <v/>
      </c>
      <c r="S583" s="16">
        <f>IFERROR(S573,R573)</f>
        <v/>
      </c>
      <c r="T583" s="16">
        <f>IFERROR(T573,S573)</f>
        <v/>
      </c>
      <c r="U583" s="16">
        <f>IFERROR(U573,T573)</f>
        <v/>
      </c>
      <c r="V583" s="16">
        <f>IFERROR(V573,U573)</f>
        <v/>
      </c>
      <c r="W583" s="16">
        <f>IFERROR(W573,V573)</f>
        <v/>
      </c>
      <c r="X583" s="16">
        <f>IFERROR(X573,W573)</f>
        <v/>
      </c>
      <c r="Y583" s="16">
        <f>IFERROR(Y573,X573)</f>
        <v/>
      </c>
      <c r="Z583" s="16">
        <f>IFERROR(Z573,Y573)</f>
        <v/>
      </c>
      <c r="AA583" s="16">
        <f>IFERROR(AA573,Z573)</f>
        <v/>
      </c>
      <c r="AB583" s="16">
        <f>IFERROR(AB573,AA573)</f>
        <v/>
      </c>
      <c r="AC583" s="16">
        <f>IFERROR(AC573,AB573)</f>
        <v/>
      </c>
      <c r="AD583" s="16">
        <f>IFERROR(AD573,AC573)</f>
        <v/>
      </c>
      <c r="AE583" s="16">
        <f>IFERROR(AE573,AD573)</f>
        <v/>
      </c>
      <c r="AG583" s="11">
        <f>CodePrefix&amp;$A583&amp;IF($C583="","","."&amp;$C583&amp;"."&amp;$B583)&amp;INDEX(VarEnd,MATCH($A583,VarKey,0))&amp;AG$5</f>
        <v/>
      </c>
      <c r="AH583" s="15">
        <f>IFERROR(AH573,AG573)</f>
        <v/>
      </c>
      <c r="AI583" s="16">
        <f>IFERROR(AI573,AH573)</f>
        <v/>
      </c>
      <c r="AJ583" s="16">
        <f>IFERROR(AJ573,AI573)</f>
        <v/>
      </c>
      <c r="AK583" s="16">
        <f>IFERROR(AK573,AJ573)</f>
        <v/>
      </c>
      <c r="AL583" s="16">
        <f>IFERROR(AL573,AK573)</f>
        <v/>
      </c>
      <c r="AM583" s="16">
        <f>IFERROR(AM573,AL573)</f>
        <v/>
      </c>
      <c r="AN583" s="16">
        <f>IFERROR(AN573,AM573)</f>
        <v/>
      </c>
      <c r="AO583" s="16">
        <f>IFERROR(AO573,AN573)</f>
        <v/>
      </c>
      <c r="AP583" s="16">
        <f>IFERROR(AP573,AO573)</f>
        <v/>
      </c>
      <c r="AQ583" s="16">
        <f>IFERROR(AQ573,AP573)</f>
        <v/>
      </c>
      <c r="AR583" s="16">
        <f>IFERROR(AR573,AQ573)</f>
        <v/>
      </c>
      <c r="AS583" s="16">
        <f>IFERROR(AS573,AR573)</f>
        <v/>
      </c>
      <c r="AT583" s="16">
        <f>IFERROR(AT573,AS573)</f>
        <v/>
      </c>
      <c r="AU583" s="16">
        <f>IFERROR(AU573,AT573)</f>
        <v/>
      </c>
      <c r="AV583" s="16">
        <f>IFERROR(AV573,AU573)</f>
        <v/>
      </c>
      <c r="AW583" s="16">
        <f>IFERROR(AW573,AV573)</f>
        <v/>
      </c>
      <c r="AX583" s="16">
        <f>IFERROR(AX573,AW573)</f>
        <v/>
      </c>
      <c r="AY583" s="16">
        <f>IFERROR(AY573,AX573)</f>
        <v/>
      </c>
      <c r="AZ583" s="16">
        <f>IFERROR(AZ573,AY573)</f>
        <v/>
      </c>
      <c r="BA583" s="16">
        <f>IFERROR(BA573,AZ573)</f>
        <v/>
      </c>
    </row>
    <row r="584" hidden="1" outlineLevel="1">
      <c r="A584" s="14" t="inlineStr">
        <is>
          <t>tvcx</t>
        </is>
      </c>
      <c r="B584" s="14" t="inlineStr">
        <is>
          <t>nuc</t>
        </is>
      </c>
      <c r="C584" s="14" t="inlineStr">
        <is>
          <t>pow</t>
        </is>
      </c>
      <c r="D584" s="39" t="n"/>
      <c r="E584" s="39" t="n"/>
      <c r="F584" s="39" t="n"/>
      <c r="G584" s="39" t="n"/>
      <c r="H584" s="14">
        <f>INDEX(VarLab,MATCH($A584,VarKey,0))&amp;INDEX(MemLab,MATCH($C584&amp;"|"&amp;$B584,MemKey,0))</f>
        <v/>
      </c>
      <c r="I584" s="14">
        <f>INDEX(VarUnit,MATCH($A584,VarKey,0))</f>
        <v/>
      </c>
      <c r="J584" s="14">
        <f>INDEX(VarSrc,MATCH($A584,VarKey,0))</f>
        <v/>
      </c>
      <c r="K584" s="11">
        <f>CodePrefix&amp;$A584&amp;IF($C584="","","."&amp;$C584&amp;"."&amp;$B584)&amp;INDEX(VarEnd,MATCH($A584,VarKey,0))&amp;K$5</f>
        <v/>
      </c>
      <c r="L584" s="15">
        <f>IFERROR(L574,K574)</f>
        <v/>
      </c>
      <c r="M584" s="16">
        <f>IFERROR(M574,L574)</f>
        <v/>
      </c>
      <c r="N584" s="16">
        <f>IFERROR(N574,M574)</f>
        <v/>
      </c>
      <c r="O584" s="16">
        <f>IFERROR(O574,N574)</f>
        <v/>
      </c>
      <c r="P584" s="16">
        <f>IFERROR(P574,O574)</f>
        <v/>
      </c>
      <c r="Q584" s="16">
        <f>IFERROR(Q574,P574)</f>
        <v/>
      </c>
      <c r="R584" s="16">
        <f>IFERROR(R574,Q574)</f>
        <v/>
      </c>
      <c r="S584" s="16">
        <f>IFERROR(S574,R574)</f>
        <v/>
      </c>
      <c r="T584" s="16">
        <f>IFERROR(T574,S574)</f>
        <v/>
      </c>
      <c r="U584" s="16">
        <f>IFERROR(U574,T574)</f>
        <v/>
      </c>
      <c r="V584" s="16">
        <f>IFERROR(V574,U574)</f>
        <v/>
      </c>
      <c r="W584" s="16">
        <f>IFERROR(W574,V574)</f>
        <v/>
      </c>
      <c r="X584" s="16">
        <f>IFERROR(X574,W574)</f>
        <v/>
      </c>
      <c r="Y584" s="16">
        <f>IFERROR(Y574,X574)</f>
        <v/>
      </c>
      <c r="Z584" s="16">
        <f>IFERROR(Z574,Y574)</f>
        <v/>
      </c>
      <c r="AA584" s="16">
        <f>IFERROR(AA574,Z574)</f>
        <v/>
      </c>
      <c r="AB584" s="16">
        <f>IFERROR(AB574,AA574)</f>
        <v/>
      </c>
      <c r="AC584" s="16">
        <f>IFERROR(AC574,AB574)</f>
        <v/>
      </c>
      <c r="AD584" s="16">
        <f>IFERROR(AD574,AC574)</f>
        <v/>
      </c>
      <c r="AE584" s="16">
        <f>IFERROR(AE574,AD574)</f>
        <v/>
      </c>
      <c r="AG584" s="11">
        <f>CodePrefix&amp;$A584&amp;IF($C584="","","."&amp;$C584&amp;"."&amp;$B584)&amp;INDEX(VarEnd,MATCH($A584,VarKey,0))&amp;AG$5</f>
        <v/>
      </c>
      <c r="AH584" s="15">
        <f>IFERROR(AH574,AG574)</f>
        <v/>
      </c>
      <c r="AI584" s="16">
        <f>IFERROR(AI574,AH574)</f>
        <v/>
      </c>
      <c r="AJ584" s="16">
        <f>IFERROR(AJ574,AI574)</f>
        <v/>
      </c>
      <c r="AK584" s="16">
        <f>IFERROR(AK574,AJ574)</f>
        <v/>
      </c>
      <c r="AL584" s="16">
        <f>IFERROR(AL574,AK574)</f>
        <v/>
      </c>
      <c r="AM584" s="16">
        <f>IFERROR(AM574,AL574)</f>
        <v/>
      </c>
      <c r="AN584" s="16">
        <f>IFERROR(AN574,AM574)</f>
        <v/>
      </c>
      <c r="AO584" s="16">
        <f>IFERROR(AO574,AN574)</f>
        <v/>
      </c>
      <c r="AP584" s="16">
        <f>IFERROR(AP574,AO574)</f>
        <v/>
      </c>
      <c r="AQ584" s="16">
        <f>IFERROR(AQ574,AP574)</f>
        <v/>
      </c>
      <c r="AR584" s="16">
        <f>IFERROR(AR574,AQ574)</f>
        <v/>
      </c>
      <c r="AS584" s="16">
        <f>IFERROR(AS574,AR574)</f>
        <v/>
      </c>
      <c r="AT584" s="16">
        <f>IFERROR(AT574,AS574)</f>
        <v/>
      </c>
      <c r="AU584" s="16">
        <f>IFERROR(AU574,AT574)</f>
        <v/>
      </c>
      <c r="AV584" s="16">
        <f>IFERROR(AV574,AU574)</f>
        <v/>
      </c>
      <c r="AW584" s="16">
        <f>IFERROR(AW574,AV574)</f>
        <v/>
      </c>
      <c r="AX584" s="16">
        <f>IFERROR(AX574,AW574)</f>
        <v/>
      </c>
      <c r="AY584" s="16">
        <f>IFERROR(AY574,AX574)</f>
        <v/>
      </c>
      <c r="AZ584" s="16">
        <f>IFERROR(AZ574,AY574)</f>
        <v/>
      </c>
      <c r="BA584" s="16">
        <f>IFERROR(BA574,AZ574)</f>
        <v/>
      </c>
    </row>
    <row r="585" hidden="1" outlineLevel="1">
      <c r="A585" s="14" t="inlineStr">
        <is>
          <t>tvcx</t>
        </is>
      </c>
      <c r="B585" s="14" t="inlineStr">
        <is>
          <t>wnd</t>
        </is>
      </c>
      <c r="C585" s="14" t="inlineStr">
        <is>
          <t>pow</t>
        </is>
      </c>
      <c r="D585" s="39" t="n"/>
      <c r="E585" s="39" t="n"/>
      <c r="F585" s="39" t="n"/>
      <c r="G585" s="39" t="n"/>
      <c r="H585" s="14">
        <f>INDEX(VarLab,MATCH($A585,VarKey,0))&amp;INDEX(MemLab,MATCH($C585&amp;"|"&amp;$B585,MemKey,0))</f>
        <v/>
      </c>
      <c r="I585" s="14">
        <f>INDEX(VarUnit,MATCH($A585,VarKey,0))</f>
        <v/>
      </c>
      <c r="J585" s="14">
        <f>INDEX(VarSrc,MATCH($A585,VarKey,0))</f>
        <v/>
      </c>
      <c r="K585" s="11">
        <f>CodePrefix&amp;$A585&amp;IF($C585="","","."&amp;$C585&amp;"."&amp;$B585)&amp;INDEX(VarEnd,MATCH($A585,VarKey,0))&amp;K$5</f>
        <v/>
      </c>
      <c r="L585" s="15">
        <f>IFERROR(L575,K575)</f>
        <v/>
      </c>
      <c r="M585" s="16">
        <f>IFERROR(M575,L575)</f>
        <v/>
      </c>
      <c r="N585" s="16">
        <f>IFERROR(N575,M575)</f>
        <v/>
      </c>
      <c r="O585" s="16">
        <f>IFERROR(O575,N575)</f>
        <v/>
      </c>
      <c r="P585" s="16">
        <f>IFERROR(P575,O575)</f>
        <v/>
      </c>
      <c r="Q585" s="16">
        <f>IFERROR(Q575,P575)</f>
        <v/>
      </c>
      <c r="R585" s="16">
        <f>IFERROR(R575,Q575)</f>
        <v/>
      </c>
      <c r="S585" s="16">
        <f>IFERROR(S575,R575)</f>
        <v/>
      </c>
      <c r="T585" s="16">
        <f>IFERROR(T575,S575)</f>
        <v/>
      </c>
      <c r="U585" s="16">
        <f>IFERROR(U575,T575)</f>
        <v/>
      </c>
      <c r="V585" s="16">
        <f>IFERROR(V575,U575)</f>
        <v/>
      </c>
      <c r="W585" s="16">
        <f>IFERROR(W575,V575)</f>
        <v/>
      </c>
      <c r="X585" s="16">
        <f>IFERROR(X575,W575)</f>
        <v/>
      </c>
      <c r="Y585" s="16">
        <f>IFERROR(Y575,X575)</f>
        <v/>
      </c>
      <c r="Z585" s="16">
        <f>IFERROR(Z575,Y575)</f>
        <v/>
      </c>
      <c r="AA585" s="16">
        <f>IFERROR(AA575,Z575)</f>
        <v/>
      </c>
      <c r="AB585" s="16">
        <f>IFERROR(AB575,AA575)</f>
        <v/>
      </c>
      <c r="AC585" s="16">
        <f>IFERROR(AC575,AB575)</f>
        <v/>
      </c>
      <c r="AD585" s="16">
        <f>IFERROR(AD575,AC575)</f>
        <v/>
      </c>
      <c r="AE585" s="16">
        <f>IFERROR(AE575,AD575)</f>
        <v/>
      </c>
      <c r="AG585" s="11">
        <f>CodePrefix&amp;$A585&amp;IF($C585="","","."&amp;$C585&amp;"."&amp;$B585)&amp;INDEX(VarEnd,MATCH($A585,VarKey,0))&amp;AG$5</f>
        <v/>
      </c>
      <c r="AH585" s="15">
        <f>IFERROR(AH575,AG575)</f>
        <v/>
      </c>
      <c r="AI585" s="16">
        <f>IFERROR(AI575,AH575)</f>
        <v/>
      </c>
      <c r="AJ585" s="16">
        <f>IFERROR(AJ575,AI575)</f>
        <v/>
      </c>
      <c r="AK585" s="16">
        <f>IFERROR(AK575,AJ575)</f>
        <v/>
      </c>
      <c r="AL585" s="16">
        <f>IFERROR(AL575,AK575)</f>
        <v/>
      </c>
      <c r="AM585" s="16">
        <f>IFERROR(AM575,AL575)</f>
        <v/>
      </c>
      <c r="AN585" s="16">
        <f>IFERROR(AN575,AM575)</f>
        <v/>
      </c>
      <c r="AO585" s="16">
        <f>IFERROR(AO575,AN575)</f>
        <v/>
      </c>
      <c r="AP585" s="16">
        <f>IFERROR(AP575,AO575)</f>
        <v/>
      </c>
      <c r="AQ585" s="16">
        <f>IFERROR(AQ575,AP575)</f>
        <v/>
      </c>
      <c r="AR585" s="16">
        <f>IFERROR(AR575,AQ575)</f>
        <v/>
      </c>
      <c r="AS585" s="16">
        <f>IFERROR(AS575,AR575)</f>
        <v/>
      </c>
      <c r="AT585" s="16">
        <f>IFERROR(AT575,AS575)</f>
        <v/>
      </c>
      <c r="AU585" s="16">
        <f>IFERROR(AU575,AT575)</f>
        <v/>
      </c>
      <c r="AV585" s="16">
        <f>IFERROR(AV575,AU575)</f>
        <v/>
      </c>
      <c r="AW585" s="16">
        <f>IFERROR(AW575,AV575)</f>
        <v/>
      </c>
      <c r="AX585" s="16">
        <f>IFERROR(AX575,AW575)</f>
        <v/>
      </c>
      <c r="AY585" s="16">
        <f>IFERROR(AY575,AX575)</f>
        <v/>
      </c>
      <c r="AZ585" s="16">
        <f>IFERROR(AZ575,AY575)</f>
        <v/>
      </c>
      <c r="BA585" s="16">
        <f>IFERROR(BA575,AZ575)</f>
        <v/>
      </c>
    </row>
    <row r="586" hidden="1" outlineLevel="1">
      <c r="A586" s="14" t="inlineStr">
        <is>
          <t>tvcx</t>
        </is>
      </c>
      <c r="B586" s="14" t="inlineStr">
        <is>
          <t>sol</t>
        </is>
      </c>
      <c r="C586" s="14" t="inlineStr">
        <is>
          <t>pow</t>
        </is>
      </c>
      <c r="D586" s="39" t="n"/>
      <c r="E586" s="39" t="n"/>
      <c r="F586" s="39" t="n"/>
      <c r="G586" s="39" t="n"/>
      <c r="H586" s="14">
        <f>INDEX(VarLab,MATCH($A586,VarKey,0))&amp;INDEX(MemLab,MATCH($C586&amp;"|"&amp;$B586,MemKey,0))</f>
        <v/>
      </c>
      <c r="I586" s="14">
        <f>INDEX(VarUnit,MATCH($A586,VarKey,0))</f>
        <v/>
      </c>
      <c r="J586" s="14">
        <f>INDEX(VarSrc,MATCH($A586,VarKey,0))</f>
        <v/>
      </c>
      <c r="K586" s="11">
        <f>CodePrefix&amp;$A586&amp;IF($C586="","","."&amp;$C586&amp;"."&amp;$B586)&amp;INDEX(VarEnd,MATCH($A586,VarKey,0))&amp;K$5</f>
        <v/>
      </c>
      <c r="L586" s="15">
        <f>IFERROR(L576,K576)</f>
        <v/>
      </c>
      <c r="M586" s="16">
        <f>IFERROR(M576,L576)</f>
        <v/>
      </c>
      <c r="N586" s="16">
        <f>IFERROR(N576,M576)</f>
        <v/>
      </c>
      <c r="O586" s="16">
        <f>IFERROR(O576,N576)</f>
        <v/>
      </c>
      <c r="P586" s="16">
        <f>IFERROR(P576,O576)</f>
        <v/>
      </c>
      <c r="Q586" s="16">
        <f>IFERROR(Q576,P576)</f>
        <v/>
      </c>
      <c r="R586" s="16">
        <f>IFERROR(R576,Q576)</f>
        <v/>
      </c>
      <c r="S586" s="16">
        <f>IFERROR(S576,R576)</f>
        <v/>
      </c>
      <c r="T586" s="16">
        <f>IFERROR(T576,S576)</f>
        <v/>
      </c>
      <c r="U586" s="16">
        <f>IFERROR(U576,T576)</f>
        <v/>
      </c>
      <c r="V586" s="16">
        <f>IFERROR(V576,U576)</f>
        <v/>
      </c>
      <c r="W586" s="16">
        <f>IFERROR(W576,V576)</f>
        <v/>
      </c>
      <c r="X586" s="16">
        <f>IFERROR(X576,W576)</f>
        <v/>
      </c>
      <c r="Y586" s="16">
        <f>IFERROR(Y576,X576)</f>
        <v/>
      </c>
      <c r="Z586" s="16">
        <f>IFERROR(Z576,Y576)</f>
        <v/>
      </c>
      <c r="AA586" s="16">
        <f>IFERROR(AA576,Z576)</f>
        <v/>
      </c>
      <c r="AB586" s="16">
        <f>IFERROR(AB576,AA576)</f>
        <v/>
      </c>
      <c r="AC586" s="16">
        <f>IFERROR(AC576,AB576)</f>
        <v/>
      </c>
      <c r="AD586" s="16">
        <f>IFERROR(AD576,AC576)</f>
        <v/>
      </c>
      <c r="AE586" s="16">
        <f>IFERROR(AE576,AD576)</f>
        <v/>
      </c>
      <c r="AG586" s="11">
        <f>CodePrefix&amp;$A586&amp;IF($C586="","","."&amp;$C586&amp;"."&amp;$B586)&amp;INDEX(VarEnd,MATCH($A586,VarKey,0))&amp;AG$5</f>
        <v/>
      </c>
      <c r="AH586" s="15">
        <f>IFERROR(AH576,AG576)</f>
        <v/>
      </c>
      <c r="AI586" s="16">
        <f>IFERROR(AI576,AH576)</f>
        <v/>
      </c>
      <c r="AJ586" s="16">
        <f>IFERROR(AJ576,AI576)</f>
        <v/>
      </c>
      <c r="AK586" s="16">
        <f>IFERROR(AK576,AJ576)</f>
        <v/>
      </c>
      <c r="AL586" s="16">
        <f>IFERROR(AL576,AK576)</f>
        <v/>
      </c>
      <c r="AM586" s="16">
        <f>IFERROR(AM576,AL576)</f>
        <v/>
      </c>
      <c r="AN586" s="16">
        <f>IFERROR(AN576,AM576)</f>
        <v/>
      </c>
      <c r="AO586" s="16">
        <f>IFERROR(AO576,AN576)</f>
        <v/>
      </c>
      <c r="AP586" s="16">
        <f>IFERROR(AP576,AO576)</f>
        <v/>
      </c>
      <c r="AQ586" s="16">
        <f>IFERROR(AQ576,AP576)</f>
        <v/>
      </c>
      <c r="AR586" s="16">
        <f>IFERROR(AR576,AQ576)</f>
        <v/>
      </c>
      <c r="AS586" s="16">
        <f>IFERROR(AS576,AR576)</f>
        <v/>
      </c>
      <c r="AT586" s="16">
        <f>IFERROR(AT576,AS576)</f>
        <v/>
      </c>
      <c r="AU586" s="16">
        <f>IFERROR(AU576,AT576)</f>
        <v/>
      </c>
      <c r="AV586" s="16">
        <f>IFERROR(AV576,AU576)</f>
        <v/>
      </c>
      <c r="AW586" s="16">
        <f>IFERROR(AW576,AV576)</f>
        <v/>
      </c>
      <c r="AX586" s="16">
        <f>IFERROR(AX576,AW576)</f>
        <v/>
      </c>
      <c r="AY586" s="16">
        <f>IFERROR(AY576,AX576)</f>
        <v/>
      </c>
      <c r="AZ586" s="16">
        <f>IFERROR(AZ576,AY576)</f>
        <v/>
      </c>
      <c r="BA586" s="16">
        <f>IFERROR(BA576,AZ576)</f>
        <v/>
      </c>
    </row>
    <row r="587" hidden="1" outlineLevel="1">
      <c r="A587" s="14" t="inlineStr">
        <is>
          <t>tvcx</t>
        </is>
      </c>
      <c r="B587" s="14" t="inlineStr">
        <is>
          <t>hyd</t>
        </is>
      </c>
      <c r="C587" s="14" t="inlineStr">
        <is>
          <t>pow</t>
        </is>
      </c>
      <c r="D587" s="39" t="n"/>
      <c r="E587" s="39" t="n"/>
      <c r="F587" s="39" t="n"/>
      <c r="G587" s="39" t="n"/>
      <c r="H587" s="14">
        <f>INDEX(VarLab,MATCH($A587,VarKey,0))&amp;INDEX(MemLab,MATCH($C587&amp;"|"&amp;$B587,MemKey,0))</f>
        <v/>
      </c>
      <c r="I587" s="14">
        <f>INDEX(VarUnit,MATCH($A587,VarKey,0))</f>
        <v/>
      </c>
      <c r="J587" s="14">
        <f>INDEX(VarSrc,MATCH($A587,VarKey,0))</f>
        <v/>
      </c>
      <c r="K587" s="11">
        <f>CodePrefix&amp;$A587&amp;IF($C587="","","."&amp;$C587&amp;"."&amp;$B587)&amp;INDEX(VarEnd,MATCH($A587,VarKey,0))&amp;K$5</f>
        <v/>
      </c>
      <c r="L587" s="15">
        <f>IFERROR(L577,K577)</f>
        <v/>
      </c>
      <c r="M587" s="16">
        <f>IFERROR(M577,L577)</f>
        <v/>
      </c>
      <c r="N587" s="16">
        <f>IFERROR(N577,M577)</f>
        <v/>
      </c>
      <c r="O587" s="16">
        <f>IFERROR(O577,N577)</f>
        <v/>
      </c>
      <c r="P587" s="16">
        <f>IFERROR(P577,O577)</f>
        <v/>
      </c>
      <c r="Q587" s="16">
        <f>IFERROR(Q577,P577)</f>
        <v/>
      </c>
      <c r="R587" s="16">
        <f>IFERROR(R577,Q577)</f>
        <v/>
      </c>
      <c r="S587" s="16">
        <f>IFERROR(S577,R577)</f>
        <v/>
      </c>
      <c r="T587" s="16">
        <f>IFERROR(T577,S577)</f>
        <v/>
      </c>
      <c r="U587" s="16">
        <f>IFERROR(U577,T577)</f>
        <v/>
      </c>
      <c r="V587" s="16">
        <f>IFERROR(V577,U577)</f>
        <v/>
      </c>
      <c r="W587" s="16">
        <f>IFERROR(W577,V577)</f>
        <v/>
      </c>
      <c r="X587" s="16">
        <f>IFERROR(X577,W577)</f>
        <v/>
      </c>
      <c r="Y587" s="16">
        <f>IFERROR(Y577,X577)</f>
        <v/>
      </c>
      <c r="Z587" s="16">
        <f>IFERROR(Z577,Y577)</f>
        <v/>
      </c>
      <c r="AA587" s="16">
        <f>IFERROR(AA577,Z577)</f>
        <v/>
      </c>
      <c r="AB587" s="16">
        <f>IFERROR(AB577,AA577)</f>
        <v/>
      </c>
      <c r="AC587" s="16">
        <f>IFERROR(AC577,AB577)</f>
        <v/>
      </c>
      <c r="AD587" s="16">
        <f>IFERROR(AD577,AC577)</f>
        <v/>
      </c>
      <c r="AE587" s="16">
        <f>IFERROR(AE577,AD577)</f>
        <v/>
      </c>
      <c r="AG587" s="11">
        <f>CodePrefix&amp;$A587&amp;IF($C587="","","."&amp;$C587&amp;"."&amp;$B587)&amp;INDEX(VarEnd,MATCH($A587,VarKey,0))&amp;AG$5</f>
        <v/>
      </c>
      <c r="AH587" s="15">
        <f>IFERROR(AH577,AG577)</f>
        <v/>
      </c>
      <c r="AI587" s="16">
        <f>IFERROR(AI577,AH577)</f>
        <v/>
      </c>
      <c r="AJ587" s="16">
        <f>IFERROR(AJ577,AI577)</f>
        <v/>
      </c>
      <c r="AK587" s="16">
        <f>IFERROR(AK577,AJ577)</f>
        <v/>
      </c>
      <c r="AL587" s="16">
        <f>IFERROR(AL577,AK577)</f>
        <v/>
      </c>
      <c r="AM587" s="16">
        <f>IFERROR(AM577,AL577)</f>
        <v/>
      </c>
      <c r="AN587" s="16">
        <f>IFERROR(AN577,AM577)</f>
        <v/>
      </c>
      <c r="AO587" s="16">
        <f>IFERROR(AO577,AN577)</f>
        <v/>
      </c>
      <c r="AP587" s="16">
        <f>IFERROR(AP577,AO577)</f>
        <v/>
      </c>
      <c r="AQ587" s="16">
        <f>IFERROR(AQ577,AP577)</f>
        <v/>
      </c>
      <c r="AR587" s="16">
        <f>IFERROR(AR577,AQ577)</f>
        <v/>
      </c>
      <c r="AS587" s="16">
        <f>IFERROR(AS577,AR577)</f>
        <v/>
      </c>
      <c r="AT587" s="16">
        <f>IFERROR(AT577,AS577)</f>
        <v/>
      </c>
      <c r="AU587" s="16">
        <f>IFERROR(AU577,AT577)</f>
        <v/>
      </c>
      <c r="AV587" s="16">
        <f>IFERROR(AV577,AU577)</f>
        <v/>
      </c>
      <c r="AW587" s="16">
        <f>IFERROR(AW577,AV577)</f>
        <v/>
      </c>
      <c r="AX587" s="16">
        <f>IFERROR(AX577,AW577)</f>
        <v/>
      </c>
      <c r="AY587" s="16">
        <f>IFERROR(AY577,AX577)</f>
        <v/>
      </c>
      <c r="AZ587" s="16">
        <f>IFERROR(AZ577,AY577)</f>
        <v/>
      </c>
      <c r="BA587" s="16">
        <f>IFERROR(BA577,AZ577)</f>
        <v/>
      </c>
    </row>
    <row r="588" hidden="1" outlineLevel="1">
      <c r="A588" s="14" t="inlineStr">
        <is>
          <t>tvcx</t>
        </is>
      </c>
      <c r="B588" s="14" t="inlineStr">
        <is>
          <t>ore</t>
        </is>
      </c>
      <c r="C588" s="14" t="inlineStr">
        <is>
          <t>pow</t>
        </is>
      </c>
      <c r="D588" s="39" t="n"/>
      <c r="E588" s="39" t="n"/>
      <c r="F588" s="39" t="n"/>
      <c r="G588" s="39" t="n"/>
      <c r="H588" s="14">
        <f>INDEX(VarLab,MATCH($A588,VarKey,0))&amp;INDEX(MemLab,MATCH($C588&amp;"|"&amp;$B588,MemKey,0))</f>
        <v/>
      </c>
      <c r="I588" s="14">
        <f>INDEX(VarUnit,MATCH($A588,VarKey,0))</f>
        <v/>
      </c>
      <c r="J588" s="14">
        <f>INDEX(VarSrc,MATCH($A588,VarKey,0))</f>
        <v/>
      </c>
      <c r="K588" s="11">
        <f>CodePrefix&amp;$A588&amp;IF($C588="","","."&amp;$C588&amp;"."&amp;$B588)&amp;INDEX(VarEnd,MATCH($A588,VarKey,0))&amp;K$5</f>
        <v/>
      </c>
      <c r="L588" s="15">
        <f>IFERROR(L578,K578)</f>
        <v/>
      </c>
      <c r="M588" s="16">
        <f>IFERROR(M578,L578)</f>
        <v/>
      </c>
      <c r="N588" s="16">
        <f>IFERROR(N578,M578)</f>
        <v/>
      </c>
      <c r="O588" s="16">
        <f>IFERROR(O578,N578)</f>
        <v/>
      </c>
      <c r="P588" s="16">
        <f>IFERROR(P578,O578)</f>
        <v/>
      </c>
      <c r="Q588" s="16">
        <f>IFERROR(Q578,P578)</f>
        <v/>
      </c>
      <c r="R588" s="16">
        <f>IFERROR(R578,Q578)</f>
        <v/>
      </c>
      <c r="S588" s="16">
        <f>IFERROR(S578,R578)</f>
        <v/>
      </c>
      <c r="T588" s="16">
        <f>IFERROR(T578,S578)</f>
        <v/>
      </c>
      <c r="U588" s="16">
        <f>IFERROR(U578,T578)</f>
        <v/>
      </c>
      <c r="V588" s="16">
        <f>IFERROR(V578,U578)</f>
        <v/>
      </c>
      <c r="W588" s="16">
        <f>IFERROR(W578,V578)</f>
        <v/>
      </c>
      <c r="X588" s="16">
        <f>IFERROR(X578,W578)</f>
        <v/>
      </c>
      <c r="Y588" s="16">
        <f>IFERROR(Y578,X578)</f>
        <v/>
      </c>
      <c r="Z588" s="16">
        <f>IFERROR(Z578,Y578)</f>
        <v/>
      </c>
      <c r="AA588" s="16">
        <f>IFERROR(AA578,Z578)</f>
        <v/>
      </c>
      <c r="AB588" s="16">
        <f>IFERROR(AB578,AA578)</f>
        <v/>
      </c>
      <c r="AC588" s="16">
        <f>IFERROR(AC578,AB578)</f>
        <v/>
      </c>
      <c r="AD588" s="16">
        <f>IFERROR(AD578,AC578)</f>
        <v/>
      </c>
      <c r="AE588" s="16">
        <f>IFERROR(AE578,AD578)</f>
        <v/>
      </c>
      <c r="AG588" s="11">
        <f>CodePrefix&amp;$A588&amp;IF($C588="","","."&amp;$C588&amp;"."&amp;$B588)&amp;INDEX(VarEnd,MATCH($A588,VarKey,0))&amp;AG$5</f>
        <v/>
      </c>
      <c r="AH588" s="15">
        <f>IFERROR(AH578,AG578)</f>
        <v/>
      </c>
      <c r="AI588" s="16">
        <f>IFERROR(AI578,AH578)</f>
        <v/>
      </c>
      <c r="AJ588" s="16">
        <f>IFERROR(AJ578,AI578)</f>
        <v/>
      </c>
      <c r="AK588" s="16">
        <f>IFERROR(AK578,AJ578)</f>
        <v/>
      </c>
      <c r="AL588" s="16">
        <f>IFERROR(AL578,AK578)</f>
        <v/>
      </c>
      <c r="AM588" s="16">
        <f>IFERROR(AM578,AL578)</f>
        <v/>
      </c>
      <c r="AN588" s="16">
        <f>IFERROR(AN578,AM578)</f>
        <v/>
      </c>
      <c r="AO588" s="16">
        <f>IFERROR(AO578,AN578)</f>
        <v/>
      </c>
      <c r="AP588" s="16">
        <f>IFERROR(AP578,AO578)</f>
        <v/>
      </c>
      <c r="AQ588" s="16">
        <f>IFERROR(AQ578,AP578)</f>
        <v/>
      </c>
      <c r="AR588" s="16">
        <f>IFERROR(AR578,AQ578)</f>
        <v/>
      </c>
      <c r="AS588" s="16">
        <f>IFERROR(AS578,AR578)</f>
        <v/>
      </c>
      <c r="AT588" s="16">
        <f>IFERROR(AT578,AS578)</f>
        <v/>
      </c>
      <c r="AU588" s="16">
        <f>IFERROR(AU578,AT578)</f>
        <v/>
      </c>
      <c r="AV588" s="16">
        <f>IFERROR(AV578,AU578)</f>
        <v/>
      </c>
      <c r="AW588" s="16">
        <f>IFERROR(AW578,AV578)</f>
        <v/>
      </c>
      <c r="AX588" s="16">
        <f>IFERROR(AX578,AW578)</f>
        <v/>
      </c>
      <c r="AY588" s="16">
        <f>IFERROR(AY578,AX578)</f>
        <v/>
      </c>
      <c r="AZ588" s="16">
        <f>IFERROR(AZ578,AY578)</f>
        <v/>
      </c>
      <c r="BA588" s="16">
        <f>IFERROR(BA578,AZ578)</f>
        <v/>
      </c>
    </row>
    <row r="589" hidden="1" outlineLevel="1">
      <c r="A589" s="14" t="inlineStr">
        <is>
          <t>tvcx</t>
        </is>
      </c>
      <c r="B589" s="14" t="inlineStr">
        <is>
          <t>bio</t>
        </is>
      </c>
      <c r="C589" s="14" t="inlineStr">
        <is>
          <t>pow</t>
        </is>
      </c>
      <c r="D589" s="39" t="n"/>
      <c r="E589" s="39" t="n"/>
      <c r="F589" s="39" t="n"/>
      <c r="G589" s="39" t="n"/>
      <c r="H589" s="14">
        <f>INDEX(VarLab,MATCH($A589,VarKey,0))&amp;INDEX(MemLab,MATCH($C589&amp;"|"&amp;$B589,MemKey,0))</f>
        <v/>
      </c>
      <c r="I589" s="14">
        <f>INDEX(VarUnit,MATCH($A589,VarKey,0))</f>
        <v/>
      </c>
      <c r="J589" s="14">
        <f>INDEX(VarSrc,MATCH($A589,VarKey,0))</f>
        <v/>
      </c>
      <c r="K589" s="11">
        <f>CodePrefix&amp;$A589&amp;IF($C589="","","."&amp;$C589&amp;"."&amp;$B589)&amp;INDEX(VarEnd,MATCH($A589,VarKey,0))&amp;K$5</f>
        <v/>
      </c>
      <c r="L589" s="15">
        <f>IFERROR(L579,K579)</f>
        <v/>
      </c>
      <c r="M589" s="16">
        <f>IFERROR(M579,L579)</f>
        <v/>
      </c>
      <c r="N589" s="16">
        <f>IFERROR(N579,M579)</f>
        <v/>
      </c>
      <c r="O589" s="16">
        <f>IFERROR(O579,N579)</f>
        <v/>
      </c>
      <c r="P589" s="16">
        <f>IFERROR(P579,O579)</f>
        <v/>
      </c>
      <c r="Q589" s="16">
        <f>IFERROR(Q579,P579)</f>
        <v/>
      </c>
      <c r="R589" s="16">
        <f>IFERROR(R579,Q579)</f>
        <v/>
      </c>
      <c r="S589" s="16">
        <f>IFERROR(S579,R579)</f>
        <v/>
      </c>
      <c r="T589" s="16">
        <f>IFERROR(T579,S579)</f>
        <v/>
      </c>
      <c r="U589" s="16">
        <f>IFERROR(U579,T579)</f>
        <v/>
      </c>
      <c r="V589" s="16">
        <f>IFERROR(V579,U579)</f>
        <v/>
      </c>
      <c r="W589" s="16">
        <f>IFERROR(W579,V579)</f>
        <v/>
      </c>
      <c r="X589" s="16">
        <f>IFERROR(X579,W579)</f>
        <v/>
      </c>
      <c r="Y589" s="16">
        <f>IFERROR(Y579,X579)</f>
        <v/>
      </c>
      <c r="Z589" s="16">
        <f>IFERROR(Z579,Y579)</f>
        <v/>
      </c>
      <c r="AA589" s="16">
        <f>IFERROR(AA579,Z579)</f>
        <v/>
      </c>
      <c r="AB589" s="16">
        <f>IFERROR(AB579,AA579)</f>
        <v/>
      </c>
      <c r="AC589" s="16">
        <f>IFERROR(AC579,AB579)</f>
        <v/>
      </c>
      <c r="AD589" s="16">
        <f>IFERROR(AD579,AC579)</f>
        <v/>
      </c>
      <c r="AE589" s="16">
        <f>IFERROR(AE579,AD579)</f>
        <v/>
      </c>
      <c r="AG589" s="11">
        <f>CodePrefix&amp;$A589&amp;IF($C589="","","."&amp;$C589&amp;"."&amp;$B589)&amp;INDEX(VarEnd,MATCH($A589,VarKey,0))&amp;AG$5</f>
        <v/>
      </c>
      <c r="AH589" s="15">
        <f>IFERROR(AH579,AG579)</f>
        <v/>
      </c>
      <c r="AI589" s="16">
        <f>IFERROR(AI579,AH579)</f>
        <v/>
      </c>
      <c r="AJ589" s="16">
        <f>IFERROR(AJ579,AI579)</f>
        <v/>
      </c>
      <c r="AK589" s="16">
        <f>IFERROR(AK579,AJ579)</f>
        <v/>
      </c>
      <c r="AL589" s="16">
        <f>IFERROR(AL579,AK579)</f>
        <v/>
      </c>
      <c r="AM589" s="16">
        <f>IFERROR(AM579,AL579)</f>
        <v/>
      </c>
      <c r="AN589" s="16">
        <f>IFERROR(AN579,AM579)</f>
        <v/>
      </c>
      <c r="AO589" s="16">
        <f>IFERROR(AO579,AN579)</f>
        <v/>
      </c>
      <c r="AP589" s="16">
        <f>IFERROR(AP579,AO579)</f>
        <v/>
      </c>
      <c r="AQ589" s="16">
        <f>IFERROR(AQ579,AP579)</f>
        <v/>
      </c>
      <c r="AR589" s="16">
        <f>IFERROR(AR579,AQ579)</f>
        <v/>
      </c>
      <c r="AS589" s="16">
        <f>IFERROR(AS579,AR579)</f>
        <v/>
      </c>
      <c r="AT589" s="16">
        <f>IFERROR(AT579,AS579)</f>
        <v/>
      </c>
      <c r="AU589" s="16">
        <f>IFERROR(AU579,AT579)</f>
        <v/>
      </c>
      <c r="AV589" s="16">
        <f>IFERROR(AV579,AU579)</f>
        <v/>
      </c>
      <c r="AW589" s="16">
        <f>IFERROR(AW579,AV579)</f>
        <v/>
      </c>
      <c r="AX589" s="16">
        <f>IFERROR(AX579,AW579)</f>
        <v/>
      </c>
      <c r="AY589" s="16">
        <f>IFERROR(AY579,AX579)</f>
        <v/>
      </c>
      <c r="AZ589" s="16">
        <f>IFERROR(AZ579,AY579)</f>
        <v/>
      </c>
      <c r="BA589" s="16">
        <f>IFERROR(BA579,AZ579)</f>
        <v/>
      </c>
    </row>
    <row r="590" hidden="1" outlineLevel="1"/>
    <row r="591" hidden="1" outlineLevel="1">
      <c r="A591" s="14" t="inlineStr">
        <is>
          <t>dsum</t>
        </is>
      </c>
      <c r="B591" s="14" t="inlineStr">
        <is>
          <t>coa</t>
        </is>
      </c>
      <c r="C591" s="14" t="inlineStr">
        <is>
          <t>pow</t>
        </is>
      </c>
      <c r="D591" s="45">
        <f>INDEX(Inputs_power!$G$5:$G$13,MATCH($B591,Inputs_power!$A$5:$A$13,0))</f>
        <v/>
      </c>
      <c r="E591" s="39" t="n"/>
      <c r="F591" s="39" t="n"/>
      <c r="G591" s="39" t="n"/>
      <c r="H591" s="14">
        <f>INDEX(VarLab,MATCH($A591,VarKey,0))&amp;INDEX(MemLab,MATCH($C591&amp;"|"&amp;$B591,MemKey,0))</f>
        <v/>
      </c>
      <c r="I591" s="14">
        <f>INDEX(VarUnit,MATCH($A591,VarKey,0))</f>
        <v/>
      </c>
      <c r="J591" s="14">
        <f>INDEX(VarSrc,MATCH($A591,VarKey,0))</f>
        <v/>
      </c>
      <c r="K591" s="11">
        <f>CodePrefix&amp;$A591&amp;IF($C591="","","."&amp;$C591&amp;"."&amp;$B591)&amp;INDEX(VarEnd,MATCH($A591,VarKey,0))&amp;K$5</f>
        <v/>
      </c>
      <c r="L591" s="40">
        <f>(1+$D591)^(Settings!$C$7-L$4)+M591</f>
        <v/>
      </c>
      <c r="M591" s="35">
        <f>(1+$D591)^(Settings!$C$7-M$4)+N591</f>
        <v/>
      </c>
      <c r="N591" s="35">
        <f>(1+$D591)^(Settings!$C$7-N$4)+O591</f>
        <v/>
      </c>
      <c r="O591" s="35">
        <f>(1+$D591)^(Settings!$C$7-O$4)+P591</f>
        <v/>
      </c>
      <c r="P591" s="35">
        <f>(1+$D591)^(Settings!$C$7-P$4)+Q591</f>
        <v/>
      </c>
      <c r="Q591" s="35">
        <f>(1+$D591)^(Settings!$C$7-Q$4)+R591</f>
        <v/>
      </c>
      <c r="R591" s="35">
        <f>(1+$D591)^(Settings!$C$7-R$4)+S591</f>
        <v/>
      </c>
      <c r="S591" s="35">
        <f>(1+$D591)^(Settings!$C$7-S$4)+T591</f>
        <v/>
      </c>
      <c r="T591" s="35">
        <f>(1+$D591)^(Settings!$C$7-T$4)+U591</f>
        <v/>
      </c>
      <c r="U591" s="35">
        <f>(1+$D591)^(Settings!$C$7-U$4)+V591</f>
        <v/>
      </c>
      <c r="V591" s="35">
        <f>(1+$D591)^(Settings!$C$7-V$4)+W591</f>
        <v/>
      </c>
      <c r="W591" s="35">
        <f>(1+$D591)^(Settings!$C$7-W$4)+X591</f>
        <v/>
      </c>
      <c r="X591" s="35">
        <f>(1+$D591)^(Settings!$C$7-X$4)+Y591</f>
        <v/>
      </c>
      <c r="Y591" s="35">
        <f>(1+$D591)^(Settings!$C$7-Y$4)+Z591</f>
        <v/>
      </c>
      <c r="Z591" s="35">
        <f>(1+$D591)^(Settings!$C$7-Z$4)+AA591</f>
        <v/>
      </c>
      <c r="AA591" s="35">
        <f>(1+$D591)^(Settings!$C$7-AA$4)+AB591</f>
        <v/>
      </c>
      <c r="AB591" s="35">
        <f>(1+$D591)^(Settings!$C$7-AB$4)+AC591</f>
        <v/>
      </c>
      <c r="AC591" s="35">
        <f>(1+$D591)^(Settings!$C$7-AC$4)+AD591</f>
        <v/>
      </c>
      <c r="AD591" s="35">
        <f>(1+$D591)^(Settings!$C$7-AD$4)+AE591</f>
        <v/>
      </c>
      <c r="AE591" s="35">
        <f>(1+$D591)^(Settings!$C$7-AE$4)+AF591</f>
        <v/>
      </c>
      <c r="AG591" s="11">
        <f>CodePrefix&amp;$A591&amp;IF($C591="","","."&amp;$C591&amp;"."&amp;$B591)&amp;INDEX(VarEnd,MATCH($A591,VarKey,0))&amp;AG$5</f>
        <v/>
      </c>
      <c r="AH591" s="40">
        <f>(1+$D591)^(Settings!$C$7-AH$4)+AI591</f>
        <v/>
      </c>
      <c r="AI591" s="35">
        <f>(1+$D591)^(Settings!$C$7-AI$4)+AJ591</f>
        <v/>
      </c>
      <c r="AJ591" s="35">
        <f>(1+$D591)^(Settings!$C$7-AJ$4)+AK591</f>
        <v/>
      </c>
      <c r="AK591" s="35">
        <f>(1+$D591)^(Settings!$C$7-AK$4)+AL591</f>
        <v/>
      </c>
      <c r="AL591" s="35">
        <f>(1+$D591)^(Settings!$C$7-AL$4)+AM591</f>
        <v/>
      </c>
      <c r="AM591" s="35">
        <f>(1+$D591)^(Settings!$C$7-AM$4)+AN591</f>
        <v/>
      </c>
      <c r="AN591" s="35">
        <f>(1+$D591)^(Settings!$C$7-AN$4)+AO591</f>
        <v/>
      </c>
      <c r="AO591" s="35">
        <f>(1+$D591)^(Settings!$C$7-AO$4)+AP591</f>
        <v/>
      </c>
      <c r="AP591" s="35">
        <f>(1+$D591)^(Settings!$C$7-AP$4)+AQ591</f>
        <v/>
      </c>
      <c r="AQ591" s="35">
        <f>(1+$D591)^(Settings!$C$7-AQ$4)+AR591</f>
        <v/>
      </c>
      <c r="AR591" s="35">
        <f>(1+$D591)^(Settings!$C$7-AR$4)+AS591</f>
        <v/>
      </c>
      <c r="AS591" s="35">
        <f>(1+$D591)^(Settings!$C$7-AS$4)+AT591</f>
        <v/>
      </c>
      <c r="AT591" s="35">
        <f>(1+$D591)^(Settings!$C$7-AT$4)+AU591</f>
        <v/>
      </c>
      <c r="AU591" s="35">
        <f>(1+$D591)^(Settings!$C$7-AU$4)+AV591</f>
        <v/>
      </c>
      <c r="AV591" s="35">
        <f>(1+$D591)^(Settings!$C$7-AV$4)+AW591</f>
        <v/>
      </c>
      <c r="AW591" s="35">
        <f>(1+$D591)^(Settings!$C$7-AW$4)+AX591</f>
        <v/>
      </c>
      <c r="AX591" s="35">
        <f>(1+$D591)^(Settings!$C$7-AX$4)+AY591</f>
        <v/>
      </c>
      <c r="AY591" s="35">
        <f>(1+$D591)^(Settings!$C$7-AY$4)+AZ591</f>
        <v/>
      </c>
      <c r="AZ591" s="35">
        <f>(1+$D591)^(Settings!$C$7-AZ$4)+BA591</f>
        <v/>
      </c>
      <c r="BA591" s="35">
        <f>(1+$D591)^(Settings!$C$7-BA$4)+BB591</f>
        <v/>
      </c>
    </row>
    <row r="592" hidden="1" outlineLevel="1">
      <c r="A592" s="14" t="inlineStr">
        <is>
          <t>dsum</t>
        </is>
      </c>
      <c r="B592" s="14" t="inlineStr">
        <is>
          <t>nga</t>
        </is>
      </c>
      <c r="C592" s="14" t="inlineStr">
        <is>
          <t>pow</t>
        </is>
      </c>
      <c r="D592" s="45">
        <f>INDEX(Inputs_power!$G$5:$G$13,MATCH($B592,Inputs_power!$A$5:$A$13,0))</f>
        <v/>
      </c>
      <c r="E592" s="39" t="n"/>
      <c r="F592" s="39" t="n"/>
      <c r="G592" s="39" t="n"/>
      <c r="H592" s="14">
        <f>INDEX(VarLab,MATCH($A592,VarKey,0))&amp;INDEX(MemLab,MATCH($C592&amp;"|"&amp;$B592,MemKey,0))</f>
        <v/>
      </c>
      <c r="I592" s="14">
        <f>INDEX(VarUnit,MATCH($A592,VarKey,0))</f>
        <v/>
      </c>
      <c r="J592" s="14">
        <f>INDEX(VarSrc,MATCH($A592,VarKey,0))</f>
        <v/>
      </c>
      <c r="K592" s="11">
        <f>CodePrefix&amp;$A592&amp;IF($C592="","","."&amp;$C592&amp;"."&amp;$B592)&amp;INDEX(VarEnd,MATCH($A592,VarKey,0))&amp;K$5</f>
        <v/>
      </c>
      <c r="L592" s="40">
        <f>(1+$D592)^(Settings!$C$7-L$4)+M592</f>
        <v/>
      </c>
      <c r="M592" s="35">
        <f>(1+$D592)^(Settings!$C$7-M$4)+N592</f>
        <v/>
      </c>
      <c r="N592" s="35">
        <f>(1+$D592)^(Settings!$C$7-N$4)+O592</f>
        <v/>
      </c>
      <c r="O592" s="35">
        <f>(1+$D592)^(Settings!$C$7-O$4)+P592</f>
        <v/>
      </c>
      <c r="P592" s="35">
        <f>(1+$D592)^(Settings!$C$7-P$4)+Q592</f>
        <v/>
      </c>
      <c r="Q592" s="35">
        <f>(1+$D592)^(Settings!$C$7-Q$4)+R592</f>
        <v/>
      </c>
      <c r="R592" s="35">
        <f>(1+$D592)^(Settings!$C$7-R$4)+S592</f>
        <v/>
      </c>
      <c r="S592" s="35">
        <f>(1+$D592)^(Settings!$C$7-S$4)+T592</f>
        <v/>
      </c>
      <c r="T592" s="35">
        <f>(1+$D592)^(Settings!$C$7-T$4)+U592</f>
        <v/>
      </c>
      <c r="U592" s="35">
        <f>(1+$D592)^(Settings!$C$7-U$4)+V592</f>
        <v/>
      </c>
      <c r="V592" s="35">
        <f>(1+$D592)^(Settings!$C$7-V$4)+W592</f>
        <v/>
      </c>
      <c r="W592" s="35">
        <f>(1+$D592)^(Settings!$C$7-W$4)+X592</f>
        <v/>
      </c>
      <c r="X592" s="35">
        <f>(1+$D592)^(Settings!$C$7-X$4)+Y592</f>
        <v/>
      </c>
      <c r="Y592" s="35">
        <f>(1+$D592)^(Settings!$C$7-Y$4)+Z592</f>
        <v/>
      </c>
      <c r="Z592" s="35">
        <f>(1+$D592)^(Settings!$C$7-Z$4)+AA592</f>
        <v/>
      </c>
      <c r="AA592" s="35">
        <f>(1+$D592)^(Settings!$C$7-AA$4)+AB592</f>
        <v/>
      </c>
      <c r="AB592" s="35">
        <f>(1+$D592)^(Settings!$C$7-AB$4)+AC592</f>
        <v/>
      </c>
      <c r="AC592" s="35">
        <f>(1+$D592)^(Settings!$C$7-AC$4)+AD592</f>
        <v/>
      </c>
      <c r="AD592" s="35">
        <f>(1+$D592)^(Settings!$C$7-AD$4)+AE592</f>
        <v/>
      </c>
      <c r="AE592" s="35">
        <f>(1+$D592)^(Settings!$C$7-AE$4)+AF592</f>
        <v/>
      </c>
      <c r="AG592" s="11">
        <f>CodePrefix&amp;$A592&amp;IF($C592="","","."&amp;$C592&amp;"."&amp;$B592)&amp;INDEX(VarEnd,MATCH($A592,VarKey,0))&amp;AG$5</f>
        <v/>
      </c>
      <c r="AH592" s="40">
        <f>(1+$D592)^(Settings!$C$7-AH$4)+AI592</f>
        <v/>
      </c>
      <c r="AI592" s="35">
        <f>(1+$D592)^(Settings!$C$7-AI$4)+AJ592</f>
        <v/>
      </c>
      <c r="AJ592" s="35">
        <f>(1+$D592)^(Settings!$C$7-AJ$4)+AK592</f>
        <v/>
      </c>
      <c r="AK592" s="35">
        <f>(1+$D592)^(Settings!$C$7-AK$4)+AL592</f>
        <v/>
      </c>
      <c r="AL592" s="35">
        <f>(1+$D592)^(Settings!$C$7-AL$4)+AM592</f>
        <v/>
      </c>
      <c r="AM592" s="35">
        <f>(1+$D592)^(Settings!$C$7-AM$4)+AN592</f>
        <v/>
      </c>
      <c r="AN592" s="35">
        <f>(1+$D592)^(Settings!$C$7-AN$4)+AO592</f>
        <v/>
      </c>
      <c r="AO592" s="35">
        <f>(1+$D592)^(Settings!$C$7-AO$4)+AP592</f>
        <v/>
      </c>
      <c r="AP592" s="35">
        <f>(1+$D592)^(Settings!$C$7-AP$4)+AQ592</f>
        <v/>
      </c>
      <c r="AQ592" s="35">
        <f>(1+$D592)^(Settings!$C$7-AQ$4)+AR592</f>
        <v/>
      </c>
      <c r="AR592" s="35">
        <f>(1+$D592)^(Settings!$C$7-AR$4)+AS592</f>
        <v/>
      </c>
      <c r="AS592" s="35">
        <f>(1+$D592)^(Settings!$C$7-AS$4)+AT592</f>
        <v/>
      </c>
      <c r="AT592" s="35">
        <f>(1+$D592)^(Settings!$C$7-AT$4)+AU592</f>
        <v/>
      </c>
      <c r="AU592" s="35">
        <f>(1+$D592)^(Settings!$C$7-AU$4)+AV592</f>
        <v/>
      </c>
      <c r="AV592" s="35">
        <f>(1+$D592)^(Settings!$C$7-AV$4)+AW592</f>
        <v/>
      </c>
      <c r="AW592" s="35">
        <f>(1+$D592)^(Settings!$C$7-AW$4)+AX592</f>
        <v/>
      </c>
      <c r="AX592" s="35">
        <f>(1+$D592)^(Settings!$C$7-AX$4)+AY592</f>
        <v/>
      </c>
      <c r="AY592" s="35">
        <f>(1+$D592)^(Settings!$C$7-AY$4)+AZ592</f>
        <v/>
      </c>
      <c r="AZ592" s="35">
        <f>(1+$D592)^(Settings!$C$7-AZ$4)+BA592</f>
        <v/>
      </c>
      <c r="BA592" s="35">
        <f>(1+$D592)^(Settings!$C$7-BA$4)+BB592</f>
        <v/>
      </c>
    </row>
    <row r="593" hidden="1" outlineLevel="1">
      <c r="A593" s="14" t="inlineStr">
        <is>
          <t>dsum</t>
        </is>
      </c>
      <c r="B593" s="14" t="inlineStr">
        <is>
          <t>oop</t>
        </is>
      </c>
      <c r="C593" s="14" t="inlineStr">
        <is>
          <t>pow</t>
        </is>
      </c>
      <c r="D593" s="45">
        <f>INDEX(Inputs_power!$G$5:$G$13,MATCH($B593,Inputs_power!$A$5:$A$13,0))</f>
        <v/>
      </c>
      <c r="E593" s="39" t="n"/>
      <c r="F593" s="39" t="n"/>
      <c r="G593" s="39" t="n"/>
      <c r="H593" s="14">
        <f>INDEX(VarLab,MATCH($A593,VarKey,0))&amp;INDEX(MemLab,MATCH($C593&amp;"|"&amp;$B593,MemKey,0))</f>
        <v/>
      </c>
      <c r="I593" s="14">
        <f>INDEX(VarUnit,MATCH($A593,VarKey,0))</f>
        <v/>
      </c>
      <c r="J593" s="14">
        <f>INDEX(VarSrc,MATCH($A593,VarKey,0))</f>
        <v/>
      </c>
      <c r="K593" s="11">
        <f>CodePrefix&amp;$A593&amp;IF($C593="","","."&amp;$C593&amp;"."&amp;$B593)&amp;INDEX(VarEnd,MATCH($A593,VarKey,0))&amp;K$5</f>
        <v/>
      </c>
      <c r="L593" s="40">
        <f>(1+$D593)^(Settings!$C$7-L$4)+M593</f>
        <v/>
      </c>
      <c r="M593" s="35">
        <f>(1+$D593)^(Settings!$C$7-M$4)+N593</f>
        <v/>
      </c>
      <c r="N593" s="35">
        <f>(1+$D593)^(Settings!$C$7-N$4)+O593</f>
        <v/>
      </c>
      <c r="O593" s="35">
        <f>(1+$D593)^(Settings!$C$7-O$4)+P593</f>
        <v/>
      </c>
      <c r="P593" s="35">
        <f>(1+$D593)^(Settings!$C$7-P$4)+Q593</f>
        <v/>
      </c>
      <c r="Q593" s="35">
        <f>(1+$D593)^(Settings!$C$7-Q$4)+R593</f>
        <v/>
      </c>
      <c r="R593" s="35">
        <f>(1+$D593)^(Settings!$C$7-R$4)+S593</f>
        <v/>
      </c>
      <c r="S593" s="35">
        <f>(1+$D593)^(Settings!$C$7-S$4)+T593</f>
        <v/>
      </c>
      <c r="T593" s="35">
        <f>(1+$D593)^(Settings!$C$7-T$4)+U593</f>
        <v/>
      </c>
      <c r="U593" s="35">
        <f>(1+$D593)^(Settings!$C$7-U$4)+V593</f>
        <v/>
      </c>
      <c r="V593" s="35">
        <f>(1+$D593)^(Settings!$C$7-V$4)+W593</f>
        <v/>
      </c>
      <c r="W593" s="35">
        <f>(1+$D593)^(Settings!$C$7-W$4)+X593</f>
        <v/>
      </c>
      <c r="X593" s="35">
        <f>(1+$D593)^(Settings!$C$7-X$4)+Y593</f>
        <v/>
      </c>
      <c r="Y593" s="35">
        <f>(1+$D593)^(Settings!$C$7-Y$4)+Z593</f>
        <v/>
      </c>
      <c r="Z593" s="35">
        <f>(1+$D593)^(Settings!$C$7-Z$4)+AA593</f>
        <v/>
      </c>
      <c r="AA593" s="35">
        <f>(1+$D593)^(Settings!$C$7-AA$4)+AB593</f>
        <v/>
      </c>
      <c r="AB593" s="35">
        <f>(1+$D593)^(Settings!$C$7-AB$4)+AC593</f>
        <v/>
      </c>
      <c r="AC593" s="35">
        <f>(1+$D593)^(Settings!$C$7-AC$4)+AD593</f>
        <v/>
      </c>
      <c r="AD593" s="35">
        <f>(1+$D593)^(Settings!$C$7-AD$4)+AE593</f>
        <v/>
      </c>
      <c r="AE593" s="35">
        <f>(1+$D593)^(Settings!$C$7-AE$4)+AF593</f>
        <v/>
      </c>
      <c r="AG593" s="11">
        <f>CodePrefix&amp;$A593&amp;IF($C593="","","."&amp;$C593&amp;"."&amp;$B593)&amp;INDEX(VarEnd,MATCH($A593,VarKey,0))&amp;AG$5</f>
        <v/>
      </c>
      <c r="AH593" s="40">
        <f>(1+$D593)^(Settings!$C$7-AH$4)+AI593</f>
        <v/>
      </c>
      <c r="AI593" s="35">
        <f>(1+$D593)^(Settings!$C$7-AI$4)+AJ593</f>
        <v/>
      </c>
      <c r="AJ593" s="35">
        <f>(1+$D593)^(Settings!$C$7-AJ$4)+AK593</f>
        <v/>
      </c>
      <c r="AK593" s="35">
        <f>(1+$D593)^(Settings!$C$7-AK$4)+AL593</f>
        <v/>
      </c>
      <c r="AL593" s="35">
        <f>(1+$D593)^(Settings!$C$7-AL$4)+AM593</f>
        <v/>
      </c>
      <c r="AM593" s="35">
        <f>(1+$D593)^(Settings!$C$7-AM$4)+AN593</f>
        <v/>
      </c>
      <c r="AN593" s="35">
        <f>(1+$D593)^(Settings!$C$7-AN$4)+AO593</f>
        <v/>
      </c>
      <c r="AO593" s="35">
        <f>(1+$D593)^(Settings!$C$7-AO$4)+AP593</f>
        <v/>
      </c>
      <c r="AP593" s="35">
        <f>(1+$D593)^(Settings!$C$7-AP$4)+AQ593</f>
        <v/>
      </c>
      <c r="AQ593" s="35">
        <f>(1+$D593)^(Settings!$C$7-AQ$4)+AR593</f>
        <v/>
      </c>
      <c r="AR593" s="35">
        <f>(1+$D593)^(Settings!$C$7-AR$4)+AS593</f>
        <v/>
      </c>
      <c r="AS593" s="35">
        <f>(1+$D593)^(Settings!$C$7-AS$4)+AT593</f>
        <v/>
      </c>
      <c r="AT593" s="35">
        <f>(1+$D593)^(Settings!$C$7-AT$4)+AU593</f>
        <v/>
      </c>
      <c r="AU593" s="35">
        <f>(1+$D593)^(Settings!$C$7-AU$4)+AV593</f>
        <v/>
      </c>
      <c r="AV593" s="35">
        <f>(1+$D593)^(Settings!$C$7-AV$4)+AW593</f>
        <v/>
      </c>
      <c r="AW593" s="35">
        <f>(1+$D593)^(Settings!$C$7-AW$4)+AX593</f>
        <v/>
      </c>
      <c r="AX593" s="35">
        <f>(1+$D593)^(Settings!$C$7-AX$4)+AY593</f>
        <v/>
      </c>
      <c r="AY593" s="35">
        <f>(1+$D593)^(Settings!$C$7-AY$4)+AZ593</f>
        <v/>
      </c>
      <c r="AZ593" s="35">
        <f>(1+$D593)^(Settings!$C$7-AZ$4)+BA593</f>
        <v/>
      </c>
      <c r="BA593" s="35">
        <f>(1+$D593)^(Settings!$C$7-BA$4)+BB593</f>
        <v/>
      </c>
    </row>
    <row r="594" hidden="1" outlineLevel="1">
      <c r="A594" s="14" t="inlineStr">
        <is>
          <t>dsum</t>
        </is>
      </c>
      <c r="B594" s="14" t="inlineStr">
        <is>
          <t>nuc</t>
        </is>
      </c>
      <c r="C594" s="14" t="inlineStr">
        <is>
          <t>pow</t>
        </is>
      </c>
      <c r="D594" s="45">
        <f>INDEX(Inputs_power!$G$5:$G$13,MATCH($B594,Inputs_power!$A$5:$A$13,0))</f>
        <v/>
      </c>
      <c r="E594" s="39" t="n"/>
      <c r="F594" s="39" t="n"/>
      <c r="G594" s="39" t="n"/>
      <c r="H594" s="14">
        <f>INDEX(VarLab,MATCH($A594,VarKey,0))&amp;INDEX(MemLab,MATCH($C594&amp;"|"&amp;$B594,MemKey,0))</f>
        <v/>
      </c>
      <c r="I594" s="14">
        <f>INDEX(VarUnit,MATCH($A594,VarKey,0))</f>
        <v/>
      </c>
      <c r="J594" s="14">
        <f>INDEX(VarSrc,MATCH($A594,VarKey,0))</f>
        <v/>
      </c>
      <c r="K594" s="11">
        <f>CodePrefix&amp;$A594&amp;IF($C594="","","."&amp;$C594&amp;"."&amp;$B594)&amp;INDEX(VarEnd,MATCH($A594,VarKey,0))&amp;K$5</f>
        <v/>
      </c>
      <c r="L594" s="40">
        <f>(1+$D594)^(Settings!$C$7-L$4)+M594</f>
        <v/>
      </c>
      <c r="M594" s="35">
        <f>(1+$D594)^(Settings!$C$7-M$4)+N594</f>
        <v/>
      </c>
      <c r="N594" s="35">
        <f>(1+$D594)^(Settings!$C$7-N$4)+O594</f>
        <v/>
      </c>
      <c r="O594" s="35">
        <f>(1+$D594)^(Settings!$C$7-O$4)+P594</f>
        <v/>
      </c>
      <c r="P594" s="35">
        <f>(1+$D594)^(Settings!$C$7-P$4)+Q594</f>
        <v/>
      </c>
      <c r="Q594" s="35">
        <f>(1+$D594)^(Settings!$C$7-Q$4)+R594</f>
        <v/>
      </c>
      <c r="R594" s="35">
        <f>(1+$D594)^(Settings!$C$7-R$4)+S594</f>
        <v/>
      </c>
      <c r="S594" s="35">
        <f>(1+$D594)^(Settings!$C$7-S$4)+T594</f>
        <v/>
      </c>
      <c r="T594" s="35">
        <f>(1+$D594)^(Settings!$C$7-T$4)+U594</f>
        <v/>
      </c>
      <c r="U594" s="35">
        <f>(1+$D594)^(Settings!$C$7-U$4)+V594</f>
        <v/>
      </c>
      <c r="V594" s="35">
        <f>(1+$D594)^(Settings!$C$7-V$4)+W594</f>
        <v/>
      </c>
      <c r="W594" s="35">
        <f>(1+$D594)^(Settings!$C$7-W$4)+X594</f>
        <v/>
      </c>
      <c r="X594" s="35">
        <f>(1+$D594)^(Settings!$C$7-X$4)+Y594</f>
        <v/>
      </c>
      <c r="Y594" s="35">
        <f>(1+$D594)^(Settings!$C$7-Y$4)+Z594</f>
        <v/>
      </c>
      <c r="Z594" s="35">
        <f>(1+$D594)^(Settings!$C$7-Z$4)+AA594</f>
        <v/>
      </c>
      <c r="AA594" s="35">
        <f>(1+$D594)^(Settings!$C$7-AA$4)+AB594</f>
        <v/>
      </c>
      <c r="AB594" s="35">
        <f>(1+$D594)^(Settings!$C$7-AB$4)+AC594</f>
        <v/>
      </c>
      <c r="AC594" s="35">
        <f>(1+$D594)^(Settings!$C$7-AC$4)+AD594</f>
        <v/>
      </c>
      <c r="AD594" s="35">
        <f>(1+$D594)^(Settings!$C$7-AD$4)+AE594</f>
        <v/>
      </c>
      <c r="AE594" s="35">
        <f>(1+$D594)^(Settings!$C$7-AE$4)+AF594</f>
        <v/>
      </c>
      <c r="AG594" s="11">
        <f>CodePrefix&amp;$A594&amp;IF($C594="","","."&amp;$C594&amp;"."&amp;$B594)&amp;INDEX(VarEnd,MATCH($A594,VarKey,0))&amp;AG$5</f>
        <v/>
      </c>
      <c r="AH594" s="40">
        <f>(1+$D594)^(Settings!$C$7-AH$4)+AI594</f>
        <v/>
      </c>
      <c r="AI594" s="35">
        <f>(1+$D594)^(Settings!$C$7-AI$4)+AJ594</f>
        <v/>
      </c>
      <c r="AJ594" s="35">
        <f>(1+$D594)^(Settings!$C$7-AJ$4)+AK594</f>
        <v/>
      </c>
      <c r="AK594" s="35">
        <f>(1+$D594)^(Settings!$C$7-AK$4)+AL594</f>
        <v/>
      </c>
      <c r="AL594" s="35">
        <f>(1+$D594)^(Settings!$C$7-AL$4)+AM594</f>
        <v/>
      </c>
      <c r="AM594" s="35">
        <f>(1+$D594)^(Settings!$C$7-AM$4)+AN594</f>
        <v/>
      </c>
      <c r="AN594" s="35">
        <f>(1+$D594)^(Settings!$C$7-AN$4)+AO594</f>
        <v/>
      </c>
      <c r="AO594" s="35">
        <f>(1+$D594)^(Settings!$C$7-AO$4)+AP594</f>
        <v/>
      </c>
      <c r="AP594" s="35">
        <f>(1+$D594)^(Settings!$C$7-AP$4)+AQ594</f>
        <v/>
      </c>
      <c r="AQ594" s="35">
        <f>(1+$D594)^(Settings!$C$7-AQ$4)+AR594</f>
        <v/>
      </c>
      <c r="AR594" s="35">
        <f>(1+$D594)^(Settings!$C$7-AR$4)+AS594</f>
        <v/>
      </c>
      <c r="AS594" s="35">
        <f>(1+$D594)^(Settings!$C$7-AS$4)+AT594</f>
        <v/>
      </c>
      <c r="AT594" s="35">
        <f>(1+$D594)^(Settings!$C$7-AT$4)+AU594</f>
        <v/>
      </c>
      <c r="AU594" s="35">
        <f>(1+$D594)^(Settings!$C$7-AU$4)+AV594</f>
        <v/>
      </c>
      <c r="AV594" s="35">
        <f>(1+$D594)^(Settings!$C$7-AV$4)+AW594</f>
        <v/>
      </c>
      <c r="AW594" s="35">
        <f>(1+$D594)^(Settings!$C$7-AW$4)+AX594</f>
        <v/>
      </c>
      <c r="AX594" s="35">
        <f>(1+$D594)^(Settings!$C$7-AX$4)+AY594</f>
        <v/>
      </c>
      <c r="AY594" s="35">
        <f>(1+$D594)^(Settings!$C$7-AY$4)+AZ594</f>
        <v/>
      </c>
      <c r="AZ594" s="35">
        <f>(1+$D594)^(Settings!$C$7-AZ$4)+BA594</f>
        <v/>
      </c>
      <c r="BA594" s="35">
        <f>(1+$D594)^(Settings!$C$7-BA$4)+BB594</f>
        <v/>
      </c>
    </row>
    <row r="595" hidden="1" outlineLevel="1">
      <c r="A595" s="14" t="inlineStr">
        <is>
          <t>dsum</t>
        </is>
      </c>
      <c r="B595" s="14" t="inlineStr">
        <is>
          <t>wnd</t>
        </is>
      </c>
      <c r="C595" s="14" t="inlineStr">
        <is>
          <t>pow</t>
        </is>
      </c>
      <c r="D595" s="45">
        <f>INDEX(Inputs_power!$G$5:$G$13,MATCH($B595,Inputs_power!$A$5:$A$13,0))</f>
        <v/>
      </c>
      <c r="E595" s="39" t="n"/>
      <c r="F595" s="39" t="n"/>
      <c r="G595" s="39" t="n"/>
      <c r="H595" s="14">
        <f>INDEX(VarLab,MATCH($A595,VarKey,0))&amp;INDEX(MemLab,MATCH($C595&amp;"|"&amp;$B595,MemKey,0))</f>
        <v/>
      </c>
      <c r="I595" s="14">
        <f>INDEX(VarUnit,MATCH($A595,VarKey,0))</f>
        <v/>
      </c>
      <c r="J595" s="14">
        <f>INDEX(VarSrc,MATCH($A595,VarKey,0))</f>
        <v/>
      </c>
      <c r="K595" s="11">
        <f>CodePrefix&amp;$A595&amp;IF($C595="","","."&amp;$C595&amp;"."&amp;$B595)&amp;INDEX(VarEnd,MATCH($A595,VarKey,0))&amp;K$5</f>
        <v/>
      </c>
      <c r="L595" s="40">
        <f>(1+$D595)^(Settings!$C$7-L$4)+M595</f>
        <v/>
      </c>
      <c r="M595" s="35">
        <f>(1+$D595)^(Settings!$C$7-M$4)+N595</f>
        <v/>
      </c>
      <c r="N595" s="35">
        <f>(1+$D595)^(Settings!$C$7-N$4)+O595</f>
        <v/>
      </c>
      <c r="O595" s="35">
        <f>(1+$D595)^(Settings!$C$7-O$4)+P595</f>
        <v/>
      </c>
      <c r="P595" s="35">
        <f>(1+$D595)^(Settings!$C$7-P$4)+Q595</f>
        <v/>
      </c>
      <c r="Q595" s="35">
        <f>(1+$D595)^(Settings!$C$7-Q$4)+R595</f>
        <v/>
      </c>
      <c r="R595" s="35">
        <f>(1+$D595)^(Settings!$C$7-R$4)+S595</f>
        <v/>
      </c>
      <c r="S595" s="35">
        <f>(1+$D595)^(Settings!$C$7-S$4)+T595</f>
        <v/>
      </c>
      <c r="T595" s="35">
        <f>(1+$D595)^(Settings!$C$7-T$4)+U595</f>
        <v/>
      </c>
      <c r="U595" s="35">
        <f>(1+$D595)^(Settings!$C$7-U$4)+V595</f>
        <v/>
      </c>
      <c r="V595" s="35">
        <f>(1+$D595)^(Settings!$C$7-V$4)+W595</f>
        <v/>
      </c>
      <c r="W595" s="35">
        <f>(1+$D595)^(Settings!$C$7-W$4)+X595</f>
        <v/>
      </c>
      <c r="X595" s="35">
        <f>(1+$D595)^(Settings!$C$7-X$4)+Y595</f>
        <v/>
      </c>
      <c r="Y595" s="35">
        <f>(1+$D595)^(Settings!$C$7-Y$4)+Z595</f>
        <v/>
      </c>
      <c r="Z595" s="35">
        <f>(1+$D595)^(Settings!$C$7-Z$4)+AA595</f>
        <v/>
      </c>
      <c r="AA595" s="35">
        <f>(1+$D595)^(Settings!$C$7-AA$4)+AB595</f>
        <v/>
      </c>
      <c r="AB595" s="35">
        <f>(1+$D595)^(Settings!$C$7-AB$4)+AC595</f>
        <v/>
      </c>
      <c r="AC595" s="35">
        <f>(1+$D595)^(Settings!$C$7-AC$4)+AD595</f>
        <v/>
      </c>
      <c r="AD595" s="35">
        <f>(1+$D595)^(Settings!$C$7-AD$4)+AE595</f>
        <v/>
      </c>
      <c r="AE595" s="35">
        <f>(1+$D595)^(Settings!$C$7-AE$4)+AF595</f>
        <v/>
      </c>
      <c r="AG595" s="11">
        <f>CodePrefix&amp;$A595&amp;IF($C595="","","."&amp;$C595&amp;"."&amp;$B595)&amp;INDEX(VarEnd,MATCH($A595,VarKey,0))&amp;AG$5</f>
        <v/>
      </c>
      <c r="AH595" s="40">
        <f>(1+$D595)^(Settings!$C$7-AH$4)+AI595</f>
        <v/>
      </c>
      <c r="AI595" s="35">
        <f>(1+$D595)^(Settings!$C$7-AI$4)+AJ595</f>
        <v/>
      </c>
      <c r="AJ595" s="35">
        <f>(1+$D595)^(Settings!$C$7-AJ$4)+AK595</f>
        <v/>
      </c>
      <c r="AK595" s="35">
        <f>(1+$D595)^(Settings!$C$7-AK$4)+AL595</f>
        <v/>
      </c>
      <c r="AL595" s="35">
        <f>(1+$D595)^(Settings!$C$7-AL$4)+AM595</f>
        <v/>
      </c>
      <c r="AM595" s="35">
        <f>(1+$D595)^(Settings!$C$7-AM$4)+AN595</f>
        <v/>
      </c>
      <c r="AN595" s="35">
        <f>(1+$D595)^(Settings!$C$7-AN$4)+AO595</f>
        <v/>
      </c>
      <c r="AO595" s="35">
        <f>(1+$D595)^(Settings!$C$7-AO$4)+AP595</f>
        <v/>
      </c>
      <c r="AP595" s="35">
        <f>(1+$D595)^(Settings!$C$7-AP$4)+AQ595</f>
        <v/>
      </c>
      <c r="AQ595" s="35">
        <f>(1+$D595)^(Settings!$C$7-AQ$4)+AR595</f>
        <v/>
      </c>
      <c r="AR595" s="35">
        <f>(1+$D595)^(Settings!$C$7-AR$4)+AS595</f>
        <v/>
      </c>
      <c r="AS595" s="35">
        <f>(1+$D595)^(Settings!$C$7-AS$4)+AT595</f>
        <v/>
      </c>
      <c r="AT595" s="35">
        <f>(1+$D595)^(Settings!$C$7-AT$4)+AU595</f>
        <v/>
      </c>
      <c r="AU595" s="35">
        <f>(1+$D595)^(Settings!$C$7-AU$4)+AV595</f>
        <v/>
      </c>
      <c r="AV595" s="35">
        <f>(1+$D595)^(Settings!$C$7-AV$4)+AW595</f>
        <v/>
      </c>
      <c r="AW595" s="35">
        <f>(1+$D595)^(Settings!$C$7-AW$4)+AX595</f>
        <v/>
      </c>
      <c r="AX595" s="35">
        <f>(1+$D595)^(Settings!$C$7-AX$4)+AY595</f>
        <v/>
      </c>
      <c r="AY595" s="35">
        <f>(1+$D595)^(Settings!$C$7-AY$4)+AZ595</f>
        <v/>
      </c>
      <c r="AZ595" s="35">
        <f>(1+$D595)^(Settings!$C$7-AZ$4)+BA595</f>
        <v/>
      </c>
      <c r="BA595" s="35">
        <f>(1+$D595)^(Settings!$C$7-BA$4)+BB595</f>
        <v/>
      </c>
    </row>
    <row r="596" hidden="1" outlineLevel="1">
      <c r="A596" s="14" t="inlineStr">
        <is>
          <t>dsum</t>
        </is>
      </c>
      <c r="B596" s="14" t="inlineStr">
        <is>
          <t>sol</t>
        </is>
      </c>
      <c r="C596" s="14" t="inlineStr">
        <is>
          <t>pow</t>
        </is>
      </c>
      <c r="D596" s="45">
        <f>INDEX(Inputs_power!$G$5:$G$13,MATCH($B596,Inputs_power!$A$5:$A$13,0))</f>
        <v/>
      </c>
      <c r="E596" s="39" t="n"/>
      <c r="F596" s="39" t="n"/>
      <c r="G596" s="39" t="n"/>
      <c r="H596" s="14">
        <f>INDEX(VarLab,MATCH($A596,VarKey,0))&amp;INDEX(MemLab,MATCH($C596&amp;"|"&amp;$B596,MemKey,0))</f>
        <v/>
      </c>
      <c r="I596" s="14">
        <f>INDEX(VarUnit,MATCH($A596,VarKey,0))</f>
        <v/>
      </c>
      <c r="J596" s="14">
        <f>INDEX(VarSrc,MATCH($A596,VarKey,0))</f>
        <v/>
      </c>
      <c r="K596" s="11">
        <f>CodePrefix&amp;$A596&amp;IF($C596="","","."&amp;$C596&amp;"."&amp;$B596)&amp;INDEX(VarEnd,MATCH($A596,VarKey,0))&amp;K$5</f>
        <v/>
      </c>
      <c r="L596" s="40">
        <f>(1+$D596)^(Settings!$C$7-L$4)+M596</f>
        <v/>
      </c>
      <c r="M596" s="35">
        <f>(1+$D596)^(Settings!$C$7-M$4)+N596</f>
        <v/>
      </c>
      <c r="N596" s="35">
        <f>(1+$D596)^(Settings!$C$7-N$4)+O596</f>
        <v/>
      </c>
      <c r="O596" s="35">
        <f>(1+$D596)^(Settings!$C$7-O$4)+P596</f>
        <v/>
      </c>
      <c r="P596" s="35">
        <f>(1+$D596)^(Settings!$C$7-P$4)+Q596</f>
        <v/>
      </c>
      <c r="Q596" s="35">
        <f>(1+$D596)^(Settings!$C$7-Q$4)+R596</f>
        <v/>
      </c>
      <c r="R596" s="35">
        <f>(1+$D596)^(Settings!$C$7-R$4)+S596</f>
        <v/>
      </c>
      <c r="S596" s="35">
        <f>(1+$D596)^(Settings!$C$7-S$4)+T596</f>
        <v/>
      </c>
      <c r="T596" s="35">
        <f>(1+$D596)^(Settings!$C$7-T$4)+U596</f>
        <v/>
      </c>
      <c r="U596" s="35">
        <f>(1+$D596)^(Settings!$C$7-U$4)+V596</f>
        <v/>
      </c>
      <c r="V596" s="35">
        <f>(1+$D596)^(Settings!$C$7-V$4)+W596</f>
        <v/>
      </c>
      <c r="W596" s="35">
        <f>(1+$D596)^(Settings!$C$7-W$4)+X596</f>
        <v/>
      </c>
      <c r="X596" s="35">
        <f>(1+$D596)^(Settings!$C$7-X$4)+Y596</f>
        <v/>
      </c>
      <c r="Y596" s="35">
        <f>(1+$D596)^(Settings!$C$7-Y$4)+Z596</f>
        <v/>
      </c>
      <c r="Z596" s="35">
        <f>(1+$D596)^(Settings!$C$7-Z$4)+AA596</f>
        <v/>
      </c>
      <c r="AA596" s="35">
        <f>(1+$D596)^(Settings!$C$7-AA$4)+AB596</f>
        <v/>
      </c>
      <c r="AB596" s="35">
        <f>(1+$D596)^(Settings!$C$7-AB$4)+AC596</f>
        <v/>
      </c>
      <c r="AC596" s="35">
        <f>(1+$D596)^(Settings!$C$7-AC$4)+AD596</f>
        <v/>
      </c>
      <c r="AD596" s="35">
        <f>(1+$D596)^(Settings!$C$7-AD$4)+AE596</f>
        <v/>
      </c>
      <c r="AE596" s="35">
        <f>(1+$D596)^(Settings!$C$7-AE$4)+AF596</f>
        <v/>
      </c>
      <c r="AG596" s="11">
        <f>CodePrefix&amp;$A596&amp;IF($C596="","","."&amp;$C596&amp;"."&amp;$B596)&amp;INDEX(VarEnd,MATCH($A596,VarKey,0))&amp;AG$5</f>
        <v/>
      </c>
      <c r="AH596" s="40">
        <f>(1+$D596)^(Settings!$C$7-AH$4)+AI596</f>
        <v/>
      </c>
      <c r="AI596" s="35">
        <f>(1+$D596)^(Settings!$C$7-AI$4)+AJ596</f>
        <v/>
      </c>
      <c r="AJ596" s="35">
        <f>(1+$D596)^(Settings!$C$7-AJ$4)+AK596</f>
        <v/>
      </c>
      <c r="AK596" s="35">
        <f>(1+$D596)^(Settings!$C$7-AK$4)+AL596</f>
        <v/>
      </c>
      <c r="AL596" s="35">
        <f>(1+$D596)^(Settings!$C$7-AL$4)+AM596</f>
        <v/>
      </c>
      <c r="AM596" s="35">
        <f>(1+$D596)^(Settings!$C$7-AM$4)+AN596</f>
        <v/>
      </c>
      <c r="AN596" s="35">
        <f>(1+$D596)^(Settings!$C$7-AN$4)+AO596</f>
        <v/>
      </c>
      <c r="AO596" s="35">
        <f>(1+$D596)^(Settings!$C$7-AO$4)+AP596</f>
        <v/>
      </c>
      <c r="AP596" s="35">
        <f>(1+$D596)^(Settings!$C$7-AP$4)+AQ596</f>
        <v/>
      </c>
      <c r="AQ596" s="35">
        <f>(1+$D596)^(Settings!$C$7-AQ$4)+AR596</f>
        <v/>
      </c>
      <c r="AR596" s="35">
        <f>(1+$D596)^(Settings!$C$7-AR$4)+AS596</f>
        <v/>
      </c>
      <c r="AS596" s="35">
        <f>(1+$D596)^(Settings!$C$7-AS$4)+AT596</f>
        <v/>
      </c>
      <c r="AT596" s="35">
        <f>(1+$D596)^(Settings!$C$7-AT$4)+AU596</f>
        <v/>
      </c>
      <c r="AU596" s="35">
        <f>(1+$D596)^(Settings!$C$7-AU$4)+AV596</f>
        <v/>
      </c>
      <c r="AV596" s="35">
        <f>(1+$D596)^(Settings!$C$7-AV$4)+AW596</f>
        <v/>
      </c>
      <c r="AW596" s="35">
        <f>(1+$D596)^(Settings!$C$7-AW$4)+AX596</f>
        <v/>
      </c>
      <c r="AX596" s="35">
        <f>(1+$D596)^(Settings!$C$7-AX$4)+AY596</f>
        <v/>
      </c>
      <c r="AY596" s="35">
        <f>(1+$D596)^(Settings!$C$7-AY$4)+AZ596</f>
        <v/>
      </c>
      <c r="AZ596" s="35">
        <f>(1+$D596)^(Settings!$C$7-AZ$4)+BA596</f>
        <v/>
      </c>
      <c r="BA596" s="35">
        <f>(1+$D596)^(Settings!$C$7-BA$4)+BB596</f>
        <v/>
      </c>
    </row>
    <row r="597" hidden="1" outlineLevel="1">
      <c r="A597" s="14" t="inlineStr">
        <is>
          <t>dsum</t>
        </is>
      </c>
      <c r="B597" s="14" t="inlineStr">
        <is>
          <t>hyd</t>
        </is>
      </c>
      <c r="C597" s="14" t="inlineStr">
        <is>
          <t>pow</t>
        </is>
      </c>
      <c r="D597" s="45">
        <f>INDEX(Inputs_power!$G$5:$G$13,MATCH($B597,Inputs_power!$A$5:$A$13,0))</f>
        <v/>
      </c>
      <c r="E597" s="39" t="n"/>
      <c r="F597" s="39" t="n"/>
      <c r="G597" s="39" t="n"/>
      <c r="H597" s="14">
        <f>INDEX(VarLab,MATCH($A597,VarKey,0))&amp;INDEX(MemLab,MATCH($C597&amp;"|"&amp;$B597,MemKey,0))</f>
        <v/>
      </c>
      <c r="I597" s="14">
        <f>INDEX(VarUnit,MATCH($A597,VarKey,0))</f>
        <v/>
      </c>
      <c r="J597" s="14">
        <f>INDEX(VarSrc,MATCH($A597,VarKey,0))</f>
        <v/>
      </c>
      <c r="K597" s="11">
        <f>CodePrefix&amp;$A597&amp;IF($C597="","","."&amp;$C597&amp;"."&amp;$B597)&amp;INDEX(VarEnd,MATCH($A597,VarKey,0))&amp;K$5</f>
        <v/>
      </c>
      <c r="L597" s="40">
        <f>(1+$D597)^(Settings!$C$7-L$4)+M597</f>
        <v/>
      </c>
      <c r="M597" s="35">
        <f>(1+$D597)^(Settings!$C$7-M$4)+N597</f>
        <v/>
      </c>
      <c r="N597" s="35">
        <f>(1+$D597)^(Settings!$C$7-N$4)+O597</f>
        <v/>
      </c>
      <c r="O597" s="35">
        <f>(1+$D597)^(Settings!$C$7-O$4)+P597</f>
        <v/>
      </c>
      <c r="P597" s="35">
        <f>(1+$D597)^(Settings!$C$7-P$4)+Q597</f>
        <v/>
      </c>
      <c r="Q597" s="35">
        <f>(1+$D597)^(Settings!$C$7-Q$4)+R597</f>
        <v/>
      </c>
      <c r="R597" s="35">
        <f>(1+$D597)^(Settings!$C$7-R$4)+S597</f>
        <v/>
      </c>
      <c r="S597" s="35">
        <f>(1+$D597)^(Settings!$C$7-S$4)+T597</f>
        <v/>
      </c>
      <c r="T597" s="35">
        <f>(1+$D597)^(Settings!$C$7-T$4)+U597</f>
        <v/>
      </c>
      <c r="U597" s="35">
        <f>(1+$D597)^(Settings!$C$7-U$4)+V597</f>
        <v/>
      </c>
      <c r="V597" s="35">
        <f>(1+$D597)^(Settings!$C$7-V$4)+W597</f>
        <v/>
      </c>
      <c r="W597" s="35">
        <f>(1+$D597)^(Settings!$C$7-W$4)+X597</f>
        <v/>
      </c>
      <c r="X597" s="35">
        <f>(1+$D597)^(Settings!$C$7-X$4)+Y597</f>
        <v/>
      </c>
      <c r="Y597" s="35">
        <f>(1+$D597)^(Settings!$C$7-Y$4)+Z597</f>
        <v/>
      </c>
      <c r="Z597" s="35">
        <f>(1+$D597)^(Settings!$C$7-Z$4)+AA597</f>
        <v/>
      </c>
      <c r="AA597" s="35">
        <f>(1+$D597)^(Settings!$C$7-AA$4)+AB597</f>
        <v/>
      </c>
      <c r="AB597" s="35">
        <f>(1+$D597)^(Settings!$C$7-AB$4)+AC597</f>
        <v/>
      </c>
      <c r="AC597" s="35">
        <f>(1+$D597)^(Settings!$C$7-AC$4)+AD597</f>
        <v/>
      </c>
      <c r="AD597" s="35">
        <f>(1+$D597)^(Settings!$C$7-AD$4)+AE597</f>
        <v/>
      </c>
      <c r="AE597" s="35">
        <f>(1+$D597)^(Settings!$C$7-AE$4)+AF597</f>
        <v/>
      </c>
      <c r="AG597" s="11">
        <f>CodePrefix&amp;$A597&amp;IF($C597="","","."&amp;$C597&amp;"."&amp;$B597)&amp;INDEX(VarEnd,MATCH($A597,VarKey,0))&amp;AG$5</f>
        <v/>
      </c>
      <c r="AH597" s="40">
        <f>(1+$D597)^(Settings!$C$7-AH$4)+AI597</f>
        <v/>
      </c>
      <c r="AI597" s="35">
        <f>(1+$D597)^(Settings!$C$7-AI$4)+AJ597</f>
        <v/>
      </c>
      <c r="AJ597" s="35">
        <f>(1+$D597)^(Settings!$C$7-AJ$4)+AK597</f>
        <v/>
      </c>
      <c r="AK597" s="35">
        <f>(1+$D597)^(Settings!$C$7-AK$4)+AL597</f>
        <v/>
      </c>
      <c r="AL597" s="35">
        <f>(1+$D597)^(Settings!$C$7-AL$4)+AM597</f>
        <v/>
      </c>
      <c r="AM597" s="35">
        <f>(1+$D597)^(Settings!$C$7-AM$4)+AN597</f>
        <v/>
      </c>
      <c r="AN597" s="35">
        <f>(1+$D597)^(Settings!$C$7-AN$4)+AO597</f>
        <v/>
      </c>
      <c r="AO597" s="35">
        <f>(1+$D597)^(Settings!$C$7-AO$4)+AP597</f>
        <v/>
      </c>
      <c r="AP597" s="35">
        <f>(1+$D597)^(Settings!$C$7-AP$4)+AQ597</f>
        <v/>
      </c>
      <c r="AQ597" s="35">
        <f>(1+$D597)^(Settings!$C$7-AQ$4)+AR597</f>
        <v/>
      </c>
      <c r="AR597" s="35">
        <f>(1+$D597)^(Settings!$C$7-AR$4)+AS597</f>
        <v/>
      </c>
      <c r="AS597" s="35">
        <f>(1+$D597)^(Settings!$C$7-AS$4)+AT597</f>
        <v/>
      </c>
      <c r="AT597" s="35">
        <f>(1+$D597)^(Settings!$C$7-AT$4)+AU597</f>
        <v/>
      </c>
      <c r="AU597" s="35">
        <f>(1+$D597)^(Settings!$C$7-AU$4)+AV597</f>
        <v/>
      </c>
      <c r="AV597" s="35">
        <f>(1+$D597)^(Settings!$C$7-AV$4)+AW597</f>
        <v/>
      </c>
      <c r="AW597" s="35">
        <f>(1+$D597)^(Settings!$C$7-AW$4)+AX597</f>
        <v/>
      </c>
      <c r="AX597" s="35">
        <f>(1+$D597)^(Settings!$C$7-AX$4)+AY597</f>
        <v/>
      </c>
      <c r="AY597" s="35">
        <f>(1+$D597)^(Settings!$C$7-AY$4)+AZ597</f>
        <v/>
      </c>
      <c r="AZ597" s="35">
        <f>(1+$D597)^(Settings!$C$7-AZ$4)+BA597</f>
        <v/>
      </c>
      <c r="BA597" s="35">
        <f>(1+$D597)^(Settings!$C$7-BA$4)+BB597</f>
        <v/>
      </c>
    </row>
    <row r="598" hidden="1" outlineLevel="1">
      <c r="A598" s="14" t="inlineStr">
        <is>
          <t>dsum</t>
        </is>
      </c>
      <c r="B598" s="14" t="inlineStr">
        <is>
          <t>ore</t>
        </is>
      </c>
      <c r="C598" s="14" t="inlineStr">
        <is>
          <t>pow</t>
        </is>
      </c>
      <c r="D598" s="45">
        <f>INDEX(Inputs_power!$G$5:$G$13,MATCH($B598,Inputs_power!$A$5:$A$13,0))</f>
        <v/>
      </c>
      <c r="E598" s="39" t="n"/>
      <c r="F598" s="39" t="n"/>
      <c r="G598" s="39" t="n"/>
      <c r="H598" s="14">
        <f>INDEX(VarLab,MATCH($A598,VarKey,0))&amp;INDEX(MemLab,MATCH($C598&amp;"|"&amp;$B598,MemKey,0))</f>
        <v/>
      </c>
      <c r="I598" s="14">
        <f>INDEX(VarUnit,MATCH($A598,VarKey,0))</f>
        <v/>
      </c>
      <c r="J598" s="14">
        <f>INDEX(VarSrc,MATCH($A598,VarKey,0))</f>
        <v/>
      </c>
      <c r="K598" s="11">
        <f>CodePrefix&amp;$A598&amp;IF($C598="","","."&amp;$C598&amp;"."&amp;$B598)&amp;INDEX(VarEnd,MATCH($A598,VarKey,0))&amp;K$5</f>
        <v/>
      </c>
      <c r="L598" s="40">
        <f>(1+$D598)^(Settings!$C$7-L$4)+M598</f>
        <v/>
      </c>
      <c r="M598" s="35">
        <f>(1+$D598)^(Settings!$C$7-M$4)+N598</f>
        <v/>
      </c>
      <c r="N598" s="35">
        <f>(1+$D598)^(Settings!$C$7-N$4)+O598</f>
        <v/>
      </c>
      <c r="O598" s="35">
        <f>(1+$D598)^(Settings!$C$7-O$4)+P598</f>
        <v/>
      </c>
      <c r="P598" s="35">
        <f>(1+$D598)^(Settings!$C$7-P$4)+Q598</f>
        <v/>
      </c>
      <c r="Q598" s="35">
        <f>(1+$D598)^(Settings!$C$7-Q$4)+R598</f>
        <v/>
      </c>
      <c r="R598" s="35">
        <f>(1+$D598)^(Settings!$C$7-R$4)+S598</f>
        <v/>
      </c>
      <c r="S598" s="35">
        <f>(1+$D598)^(Settings!$C$7-S$4)+T598</f>
        <v/>
      </c>
      <c r="T598" s="35">
        <f>(1+$D598)^(Settings!$C$7-T$4)+U598</f>
        <v/>
      </c>
      <c r="U598" s="35">
        <f>(1+$D598)^(Settings!$C$7-U$4)+V598</f>
        <v/>
      </c>
      <c r="V598" s="35">
        <f>(1+$D598)^(Settings!$C$7-V$4)+W598</f>
        <v/>
      </c>
      <c r="W598" s="35">
        <f>(1+$D598)^(Settings!$C$7-W$4)+X598</f>
        <v/>
      </c>
      <c r="X598" s="35">
        <f>(1+$D598)^(Settings!$C$7-X$4)+Y598</f>
        <v/>
      </c>
      <c r="Y598" s="35">
        <f>(1+$D598)^(Settings!$C$7-Y$4)+Z598</f>
        <v/>
      </c>
      <c r="Z598" s="35">
        <f>(1+$D598)^(Settings!$C$7-Z$4)+AA598</f>
        <v/>
      </c>
      <c r="AA598" s="35">
        <f>(1+$D598)^(Settings!$C$7-AA$4)+AB598</f>
        <v/>
      </c>
      <c r="AB598" s="35">
        <f>(1+$D598)^(Settings!$C$7-AB$4)+AC598</f>
        <v/>
      </c>
      <c r="AC598" s="35">
        <f>(1+$D598)^(Settings!$C$7-AC$4)+AD598</f>
        <v/>
      </c>
      <c r="AD598" s="35">
        <f>(1+$D598)^(Settings!$C$7-AD$4)+AE598</f>
        <v/>
      </c>
      <c r="AE598" s="35">
        <f>(1+$D598)^(Settings!$C$7-AE$4)+AF598</f>
        <v/>
      </c>
      <c r="AG598" s="11">
        <f>CodePrefix&amp;$A598&amp;IF($C598="","","."&amp;$C598&amp;"."&amp;$B598)&amp;INDEX(VarEnd,MATCH($A598,VarKey,0))&amp;AG$5</f>
        <v/>
      </c>
      <c r="AH598" s="40">
        <f>(1+$D598)^(Settings!$C$7-AH$4)+AI598</f>
        <v/>
      </c>
      <c r="AI598" s="35">
        <f>(1+$D598)^(Settings!$C$7-AI$4)+AJ598</f>
        <v/>
      </c>
      <c r="AJ598" s="35">
        <f>(1+$D598)^(Settings!$C$7-AJ$4)+AK598</f>
        <v/>
      </c>
      <c r="AK598" s="35">
        <f>(1+$D598)^(Settings!$C$7-AK$4)+AL598</f>
        <v/>
      </c>
      <c r="AL598" s="35">
        <f>(1+$D598)^(Settings!$C$7-AL$4)+AM598</f>
        <v/>
      </c>
      <c r="AM598" s="35">
        <f>(1+$D598)^(Settings!$C$7-AM$4)+AN598</f>
        <v/>
      </c>
      <c r="AN598" s="35">
        <f>(1+$D598)^(Settings!$C$7-AN$4)+AO598</f>
        <v/>
      </c>
      <c r="AO598" s="35">
        <f>(1+$D598)^(Settings!$C$7-AO$4)+AP598</f>
        <v/>
      </c>
      <c r="AP598" s="35">
        <f>(1+$D598)^(Settings!$C$7-AP$4)+AQ598</f>
        <v/>
      </c>
      <c r="AQ598" s="35">
        <f>(1+$D598)^(Settings!$C$7-AQ$4)+AR598</f>
        <v/>
      </c>
      <c r="AR598" s="35">
        <f>(1+$D598)^(Settings!$C$7-AR$4)+AS598</f>
        <v/>
      </c>
      <c r="AS598" s="35">
        <f>(1+$D598)^(Settings!$C$7-AS$4)+AT598</f>
        <v/>
      </c>
      <c r="AT598" s="35">
        <f>(1+$D598)^(Settings!$C$7-AT$4)+AU598</f>
        <v/>
      </c>
      <c r="AU598" s="35">
        <f>(1+$D598)^(Settings!$C$7-AU$4)+AV598</f>
        <v/>
      </c>
      <c r="AV598" s="35">
        <f>(1+$D598)^(Settings!$C$7-AV$4)+AW598</f>
        <v/>
      </c>
      <c r="AW598" s="35">
        <f>(1+$D598)^(Settings!$C$7-AW$4)+AX598</f>
        <v/>
      </c>
      <c r="AX598" s="35">
        <f>(1+$D598)^(Settings!$C$7-AX$4)+AY598</f>
        <v/>
      </c>
      <c r="AY598" s="35">
        <f>(1+$D598)^(Settings!$C$7-AY$4)+AZ598</f>
        <v/>
      </c>
      <c r="AZ598" s="35">
        <f>(1+$D598)^(Settings!$C$7-AZ$4)+BA598</f>
        <v/>
      </c>
      <c r="BA598" s="35">
        <f>(1+$D598)^(Settings!$C$7-BA$4)+BB598</f>
        <v/>
      </c>
    </row>
    <row r="599" hidden="1" outlineLevel="1">
      <c r="A599" s="14" t="inlineStr">
        <is>
          <t>dsum</t>
        </is>
      </c>
      <c r="B599" s="14" t="inlineStr">
        <is>
          <t>bio</t>
        </is>
      </c>
      <c r="C599" s="14" t="inlineStr">
        <is>
          <t>pow</t>
        </is>
      </c>
      <c r="D599" s="45">
        <f>INDEX(Inputs_power!$G$5:$G$13,MATCH($B599,Inputs_power!$A$5:$A$13,0))</f>
        <v/>
      </c>
      <c r="E599" s="39" t="n"/>
      <c r="F599" s="39" t="n"/>
      <c r="G599" s="39" t="n"/>
      <c r="H599" s="14">
        <f>INDEX(VarLab,MATCH($A599,VarKey,0))&amp;INDEX(MemLab,MATCH($C599&amp;"|"&amp;$B599,MemKey,0))</f>
        <v/>
      </c>
      <c r="I599" s="14">
        <f>INDEX(VarUnit,MATCH($A599,VarKey,0))</f>
        <v/>
      </c>
      <c r="J599" s="14">
        <f>INDEX(VarSrc,MATCH($A599,VarKey,0))</f>
        <v/>
      </c>
      <c r="K599" s="11">
        <f>CodePrefix&amp;$A599&amp;IF($C599="","","."&amp;$C599&amp;"."&amp;$B599)&amp;INDEX(VarEnd,MATCH($A599,VarKey,0))&amp;K$5</f>
        <v/>
      </c>
      <c r="L599" s="40">
        <f>(1+$D599)^(Settings!$C$7-L$4)+M599</f>
        <v/>
      </c>
      <c r="M599" s="35">
        <f>(1+$D599)^(Settings!$C$7-M$4)+N599</f>
        <v/>
      </c>
      <c r="N599" s="35">
        <f>(1+$D599)^(Settings!$C$7-N$4)+O599</f>
        <v/>
      </c>
      <c r="O599" s="35">
        <f>(1+$D599)^(Settings!$C$7-O$4)+P599</f>
        <v/>
      </c>
      <c r="P599" s="35">
        <f>(1+$D599)^(Settings!$C$7-P$4)+Q599</f>
        <v/>
      </c>
      <c r="Q599" s="35">
        <f>(1+$D599)^(Settings!$C$7-Q$4)+R599</f>
        <v/>
      </c>
      <c r="R599" s="35">
        <f>(1+$D599)^(Settings!$C$7-R$4)+S599</f>
        <v/>
      </c>
      <c r="S599" s="35">
        <f>(1+$D599)^(Settings!$C$7-S$4)+T599</f>
        <v/>
      </c>
      <c r="T599" s="35">
        <f>(1+$D599)^(Settings!$C$7-T$4)+U599</f>
        <v/>
      </c>
      <c r="U599" s="35">
        <f>(1+$D599)^(Settings!$C$7-U$4)+V599</f>
        <v/>
      </c>
      <c r="V599" s="35">
        <f>(1+$D599)^(Settings!$C$7-V$4)+W599</f>
        <v/>
      </c>
      <c r="W599" s="35">
        <f>(1+$D599)^(Settings!$C$7-W$4)+X599</f>
        <v/>
      </c>
      <c r="X599" s="35">
        <f>(1+$D599)^(Settings!$C$7-X$4)+Y599</f>
        <v/>
      </c>
      <c r="Y599" s="35">
        <f>(1+$D599)^(Settings!$C$7-Y$4)+Z599</f>
        <v/>
      </c>
      <c r="Z599" s="35">
        <f>(1+$D599)^(Settings!$C$7-Z$4)+AA599</f>
        <v/>
      </c>
      <c r="AA599" s="35">
        <f>(1+$D599)^(Settings!$C$7-AA$4)+AB599</f>
        <v/>
      </c>
      <c r="AB599" s="35">
        <f>(1+$D599)^(Settings!$C$7-AB$4)+AC599</f>
        <v/>
      </c>
      <c r="AC599" s="35">
        <f>(1+$D599)^(Settings!$C$7-AC$4)+AD599</f>
        <v/>
      </c>
      <c r="AD599" s="35">
        <f>(1+$D599)^(Settings!$C$7-AD$4)+AE599</f>
        <v/>
      </c>
      <c r="AE599" s="35">
        <f>(1+$D599)^(Settings!$C$7-AE$4)+AF599</f>
        <v/>
      </c>
      <c r="AG599" s="11">
        <f>CodePrefix&amp;$A599&amp;IF($C599="","","."&amp;$C599&amp;"."&amp;$B599)&amp;INDEX(VarEnd,MATCH($A599,VarKey,0))&amp;AG$5</f>
        <v/>
      </c>
      <c r="AH599" s="40">
        <f>(1+$D599)^(Settings!$C$7-AH$4)+AI599</f>
        <v/>
      </c>
      <c r="AI599" s="35">
        <f>(1+$D599)^(Settings!$C$7-AI$4)+AJ599</f>
        <v/>
      </c>
      <c r="AJ599" s="35">
        <f>(1+$D599)^(Settings!$C$7-AJ$4)+AK599</f>
        <v/>
      </c>
      <c r="AK599" s="35">
        <f>(1+$D599)^(Settings!$C$7-AK$4)+AL599</f>
        <v/>
      </c>
      <c r="AL599" s="35">
        <f>(1+$D599)^(Settings!$C$7-AL$4)+AM599</f>
        <v/>
      </c>
      <c r="AM599" s="35">
        <f>(1+$D599)^(Settings!$C$7-AM$4)+AN599</f>
        <v/>
      </c>
      <c r="AN599" s="35">
        <f>(1+$D599)^(Settings!$C$7-AN$4)+AO599</f>
        <v/>
      </c>
      <c r="AO599" s="35">
        <f>(1+$D599)^(Settings!$C$7-AO$4)+AP599</f>
        <v/>
      </c>
      <c r="AP599" s="35">
        <f>(1+$D599)^(Settings!$C$7-AP$4)+AQ599</f>
        <v/>
      </c>
      <c r="AQ599" s="35">
        <f>(1+$D599)^(Settings!$C$7-AQ$4)+AR599</f>
        <v/>
      </c>
      <c r="AR599" s="35">
        <f>(1+$D599)^(Settings!$C$7-AR$4)+AS599</f>
        <v/>
      </c>
      <c r="AS599" s="35">
        <f>(1+$D599)^(Settings!$C$7-AS$4)+AT599</f>
        <v/>
      </c>
      <c r="AT599" s="35">
        <f>(1+$D599)^(Settings!$C$7-AT$4)+AU599</f>
        <v/>
      </c>
      <c r="AU599" s="35">
        <f>(1+$D599)^(Settings!$C$7-AU$4)+AV599</f>
        <v/>
      </c>
      <c r="AV599" s="35">
        <f>(1+$D599)^(Settings!$C$7-AV$4)+AW599</f>
        <v/>
      </c>
      <c r="AW599" s="35">
        <f>(1+$D599)^(Settings!$C$7-AW$4)+AX599</f>
        <v/>
      </c>
      <c r="AX599" s="35">
        <f>(1+$D599)^(Settings!$C$7-AX$4)+AY599</f>
        <v/>
      </c>
      <c r="AY599" s="35">
        <f>(1+$D599)^(Settings!$C$7-AY$4)+AZ599</f>
        <v/>
      </c>
      <c r="AZ599" s="35">
        <f>(1+$D599)^(Settings!$C$7-AZ$4)+BA599</f>
        <v/>
      </c>
      <c r="BA599" s="35">
        <f>(1+$D599)^(Settings!$C$7-BA$4)+BB599</f>
        <v/>
      </c>
    </row>
    <row r="600" hidden="1" outlineLevel="1"/>
    <row r="601" hidden="1" outlineLevel="1">
      <c r="A601" s="14" t="inlineStr">
        <is>
          <t>lvc</t>
        </is>
      </c>
      <c r="B601" s="14" t="inlineStr">
        <is>
          <t>coa</t>
        </is>
      </c>
      <c r="C601" s="14" t="inlineStr">
        <is>
          <t>pow</t>
        </is>
      </c>
      <c r="D601" s="45">
        <f>INDEX(Inputs_power!$G$5:$G$13,MATCH($B601,Inputs_power!$A$5:$A$13,0))</f>
        <v/>
      </c>
      <c r="E601" s="39" t="n"/>
      <c r="F601" s="39" t="n"/>
      <c r="G601" s="39" t="n"/>
      <c r="H601" s="14">
        <f>INDEX(VarLab,MATCH($A601,VarKey,0))&amp;INDEX(MemLab,MATCH($C601&amp;"|"&amp;$B601,MemKey,0))</f>
        <v/>
      </c>
      <c r="I601" s="14">
        <f>INDEX(VarUnit,MATCH($A601,VarKey,0))</f>
        <v/>
      </c>
      <c r="J601" s="14">
        <f>INDEX(VarSrc,MATCH($A601,VarKey,0))</f>
        <v/>
      </c>
      <c r="K601" s="11">
        <f>CodePrefix&amp;$A601&amp;IF($C601="","","."&amp;$C601&amp;"."&amp;$B601)&amp;INDEX(VarEnd,MATCH($A601,VarKey,0))&amp;K$5</f>
        <v/>
      </c>
      <c r="L601" s="15">
        <f>((1+$D601)^(Settings!$C$7-L$4)*L581+(L591-(1+$D601)^(Settings!$C$7-L$4))*M601)/L591</f>
        <v/>
      </c>
      <c r="M601" s="16">
        <f>((1+$D601)^(Settings!$C$7-M$4)*M581+(M591-(1+$D601)^(Settings!$C$7-M$4))*N601)/M591</f>
        <v/>
      </c>
      <c r="N601" s="16">
        <f>((1+$D601)^(Settings!$C$7-N$4)*N581+(N591-(1+$D601)^(Settings!$C$7-N$4))*O601)/N591</f>
        <v/>
      </c>
      <c r="O601" s="16">
        <f>((1+$D601)^(Settings!$C$7-O$4)*O581+(O591-(1+$D601)^(Settings!$C$7-O$4))*P601)/O591</f>
        <v/>
      </c>
      <c r="P601" s="16">
        <f>((1+$D601)^(Settings!$C$7-P$4)*P581+(P591-(1+$D601)^(Settings!$C$7-P$4))*Q601)/P591</f>
        <v/>
      </c>
      <c r="Q601" s="16">
        <f>((1+$D601)^(Settings!$C$7-Q$4)*Q581+(Q591-(1+$D601)^(Settings!$C$7-Q$4))*R601)/Q591</f>
        <v/>
      </c>
      <c r="R601" s="16">
        <f>((1+$D601)^(Settings!$C$7-R$4)*R581+(R591-(1+$D601)^(Settings!$C$7-R$4))*S601)/R591</f>
        <v/>
      </c>
      <c r="S601" s="16">
        <f>((1+$D601)^(Settings!$C$7-S$4)*S581+(S591-(1+$D601)^(Settings!$C$7-S$4))*T601)/S591</f>
        <v/>
      </c>
      <c r="T601" s="16">
        <f>((1+$D601)^(Settings!$C$7-T$4)*T581+(T591-(1+$D601)^(Settings!$C$7-T$4))*U601)/T591</f>
        <v/>
      </c>
      <c r="U601" s="16">
        <f>((1+$D601)^(Settings!$C$7-U$4)*U581+(U591-(1+$D601)^(Settings!$C$7-U$4))*V601)/U591</f>
        <v/>
      </c>
      <c r="V601" s="16">
        <f>((1+$D601)^(Settings!$C$7-V$4)*V581+(V591-(1+$D601)^(Settings!$C$7-V$4))*W601)/V591</f>
        <v/>
      </c>
      <c r="W601" s="16">
        <f>((1+$D601)^(Settings!$C$7-W$4)*W581+(W591-(1+$D601)^(Settings!$C$7-W$4))*X601)/W591</f>
        <v/>
      </c>
      <c r="X601" s="16">
        <f>((1+$D601)^(Settings!$C$7-X$4)*X581+(X591-(1+$D601)^(Settings!$C$7-X$4))*Y601)/X591</f>
        <v/>
      </c>
      <c r="Y601" s="16">
        <f>((1+$D601)^(Settings!$C$7-Y$4)*Y581+(Y591-(1+$D601)^(Settings!$C$7-Y$4))*Z601)/Y591</f>
        <v/>
      </c>
      <c r="Z601" s="16">
        <f>((1+$D601)^(Settings!$C$7-Z$4)*Z581+(Z591-(1+$D601)^(Settings!$C$7-Z$4))*AA601)/Z591</f>
        <v/>
      </c>
      <c r="AA601" s="16">
        <f>((1+$D601)^(Settings!$C$7-AA$4)*AA581+(AA591-(1+$D601)^(Settings!$C$7-AA$4))*AB601)/AA591</f>
        <v/>
      </c>
      <c r="AB601" s="16">
        <f>((1+$D601)^(Settings!$C$7-AB$4)*AB581+(AB591-(1+$D601)^(Settings!$C$7-AB$4))*AC601)/AB591</f>
        <v/>
      </c>
      <c r="AC601" s="16">
        <f>((1+$D601)^(Settings!$C$7-AC$4)*AC581+(AC591-(1+$D601)^(Settings!$C$7-AC$4))*AD601)/AC591</f>
        <v/>
      </c>
      <c r="AD601" s="16">
        <f>((1+$D601)^(Settings!$C$7-AD$4)*AD581+(AD591-(1+$D601)^(Settings!$C$7-AD$4))*AE601)/AD591</f>
        <v/>
      </c>
      <c r="AE601" s="16">
        <f>((1+$D601)^(Settings!$C$7-AE$4)*AE581+(AE591-(1+$D601)^(Settings!$C$7-AE$4))*AF601)/AE591</f>
        <v/>
      </c>
      <c r="AG601" s="11">
        <f>CodePrefix&amp;$A601&amp;IF($C601="","","."&amp;$C601&amp;"."&amp;$B601)&amp;INDEX(VarEnd,MATCH($A601,VarKey,0))&amp;AG$5</f>
        <v/>
      </c>
      <c r="AH601" s="15">
        <f>((1+$D601)^(Settings!$C$7-AH$4)*AH581+(AH591-(1+$D601)^(Settings!$C$7-AH$4))*AI601)/AH591</f>
        <v/>
      </c>
      <c r="AI601" s="16">
        <f>((1+$D601)^(Settings!$C$7-AI$4)*AI581+(AI591-(1+$D601)^(Settings!$C$7-AI$4))*AJ601)/AI591</f>
        <v/>
      </c>
      <c r="AJ601" s="16">
        <f>((1+$D601)^(Settings!$C$7-AJ$4)*AJ581+(AJ591-(1+$D601)^(Settings!$C$7-AJ$4))*AK601)/AJ591</f>
        <v/>
      </c>
      <c r="AK601" s="16">
        <f>((1+$D601)^(Settings!$C$7-AK$4)*AK581+(AK591-(1+$D601)^(Settings!$C$7-AK$4))*AL601)/AK591</f>
        <v/>
      </c>
      <c r="AL601" s="16">
        <f>((1+$D601)^(Settings!$C$7-AL$4)*AL581+(AL591-(1+$D601)^(Settings!$C$7-AL$4))*AM601)/AL591</f>
        <v/>
      </c>
      <c r="AM601" s="16">
        <f>((1+$D601)^(Settings!$C$7-AM$4)*AM581+(AM591-(1+$D601)^(Settings!$C$7-AM$4))*AN601)/AM591</f>
        <v/>
      </c>
      <c r="AN601" s="16">
        <f>((1+$D601)^(Settings!$C$7-AN$4)*AN581+(AN591-(1+$D601)^(Settings!$C$7-AN$4))*AO601)/AN591</f>
        <v/>
      </c>
      <c r="AO601" s="16">
        <f>((1+$D601)^(Settings!$C$7-AO$4)*AO581+(AO591-(1+$D601)^(Settings!$C$7-AO$4))*AP601)/AO591</f>
        <v/>
      </c>
      <c r="AP601" s="16">
        <f>((1+$D601)^(Settings!$C$7-AP$4)*AP581+(AP591-(1+$D601)^(Settings!$C$7-AP$4))*AQ601)/AP591</f>
        <v/>
      </c>
      <c r="AQ601" s="16">
        <f>((1+$D601)^(Settings!$C$7-AQ$4)*AQ581+(AQ591-(1+$D601)^(Settings!$C$7-AQ$4))*AR601)/AQ591</f>
        <v/>
      </c>
      <c r="AR601" s="16">
        <f>((1+$D601)^(Settings!$C$7-AR$4)*AR581+(AR591-(1+$D601)^(Settings!$C$7-AR$4))*AS601)/AR591</f>
        <v/>
      </c>
      <c r="AS601" s="16">
        <f>((1+$D601)^(Settings!$C$7-AS$4)*AS581+(AS591-(1+$D601)^(Settings!$C$7-AS$4))*AT601)/AS591</f>
        <v/>
      </c>
      <c r="AT601" s="16">
        <f>((1+$D601)^(Settings!$C$7-AT$4)*AT581+(AT591-(1+$D601)^(Settings!$C$7-AT$4))*AU601)/AT591</f>
        <v/>
      </c>
      <c r="AU601" s="16">
        <f>((1+$D601)^(Settings!$C$7-AU$4)*AU581+(AU591-(1+$D601)^(Settings!$C$7-AU$4))*AV601)/AU591</f>
        <v/>
      </c>
      <c r="AV601" s="16">
        <f>((1+$D601)^(Settings!$C$7-AV$4)*AV581+(AV591-(1+$D601)^(Settings!$C$7-AV$4))*AW601)/AV591</f>
        <v/>
      </c>
      <c r="AW601" s="16">
        <f>((1+$D601)^(Settings!$C$7-AW$4)*AW581+(AW591-(1+$D601)^(Settings!$C$7-AW$4))*AX601)/AW591</f>
        <v/>
      </c>
      <c r="AX601" s="16">
        <f>((1+$D601)^(Settings!$C$7-AX$4)*AX581+(AX591-(1+$D601)^(Settings!$C$7-AX$4))*AY601)/AX591</f>
        <v/>
      </c>
      <c r="AY601" s="16">
        <f>((1+$D601)^(Settings!$C$7-AY$4)*AY581+(AY591-(1+$D601)^(Settings!$C$7-AY$4))*AZ601)/AY591</f>
        <v/>
      </c>
      <c r="AZ601" s="16">
        <f>((1+$D601)^(Settings!$C$7-AZ$4)*AZ581+(AZ591-(1+$D601)^(Settings!$C$7-AZ$4))*BA601)/AZ591</f>
        <v/>
      </c>
      <c r="BA601" s="16">
        <f>((1+$D601)^(Settings!$C$7-BA$4)*BA581+(BA591-(1+$D601)^(Settings!$C$7-BA$4))*BB601)/BA591</f>
        <v/>
      </c>
    </row>
    <row r="602" hidden="1" outlineLevel="1">
      <c r="A602" s="14" t="inlineStr">
        <is>
          <t>lvc</t>
        </is>
      </c>
      <c r="B602" s="14" t="inlineStr">
        <is>
          <t>nga</t>
        </is>
      </c>
      <c r="C602" s="14" t="inlineStr">
        <is>
          <t>pow</t>
        </is>
      </c>
      <c r="D602" s="45">
        <f>INDEX(Inputs_power!$G$5:$G$13,MATCH($B602,Inputs_power!$A$5:$A$13,0))</f>
        <v/>
      </c>
      <c r="E602" s="39" t="n"/>
      <c r="F602" s="39" t="n"/>
      <c r="G602" s="39" t="n"/>
      <c r="H602" s="14">
        <f>INDEX(VarLab,MATCH($A602,VarKey,0))&amp;INDEX(MemLab,MATCH($C602&amp;"|"&amp;$B602,MemKey,0))</f>
        <v/>
      </c>
      <c r="I602" s="14">
        <f>INDEX(VarUnit,MATCH($A602,VarKey,0))</f>
        <v/>
      </c>
      <c r="J602" s="14">
        <f>INDEX(VarSrc,MATCH($A602,VarKey,0))</f>
        <v/>
      </c>
      <c r="K602" s="11">
        <f>CodePrefix&amp;$A602&amp;IF($C602="","","."&amp;$C602&amp;"."&amp;$B602)&amp;INDEX(VarEnd,MATCH($A602,VarKey,0))&amp;K$5</f>
        <v/>
      </c>
      <c r="L602" s="15">
        <f>((1+$D602)^(Settings!$C$7-L$4)*L582+(L592-(1+$D602)^(Settings!$C$7-L$4))*M602)/L592</f>
        <v/>
      </c>
      <c r="M602" s="16">
        <f>((1+$D602)^(Settings!$C$7-M$4)*M582+(M592-(1+$D602)^(Settings!$C$7-M$4))*N602)/M592</f>
        <v/>
      </c>
      <c r="N602" s="16">
        <f>((1+$D602)^(Settings!$C$7-N$4)*N582+(N592-(1+$D602)^(Settings!$C$7-N$4))*O602)/N592</f>
        <v/>
      </c>
      <c r="O602" s="16">
        <f>((1+$D602)^(Settings!$C$7-O$4)*O582+(O592-(1+$D602)^(Settings!$C$7-O$4))*P602)/O592</f>
        <v/>
      </c>
      <c r="P602" s="16">
        <f>((1+$D602)^(Settings!$C$7-P$4)*P582+(P592-(1+$D602)^(Settings!$C$7-P$4))*Q602)/P592</f>
        <v/>
      </c>
      <c r="Q602" s="16">
        <f>((1+$D602)^(Settings!$C$7-Q$4)*Q582+(Q592-(1+$D602)^(Settings!$C$7-Q$4))*R602)/Q592</f>
        <v/>
      </c>
      <c r="R602" s="16">
        <f>((1+$D602)^(Settings!$C$7-R$4)*R582+(R592-(1+$D602)^(Settings!$C$7-R$4))*S602)/R592</f>
        <v/>
      </c>
      <c r="S602" s="16">
        <f>((1+$D602)^(Settings!$C$7-S$4)*S582+(S592-(1+$D602)^(Settings!$C$7-S$4))*T602)/S592</f>
        <v/>
      </c>
      <c r="T602" s="16">
        <f>((1+$D602)^(Settings!$C$7-T$4)*T582+(T592-(1+$D602)^(Settings!$C$7-T$4))*U602)/T592</f>
        <v/>
      </c>
      <c r="U602" s="16">
        <f>((1+$D602)^(Settings!$C$7-U$4)*U582+(U592-(1+$D602)^(Settings!$C$7-U$4))*V602)/U592</f>
        <v/>
      </c>
      <c r="V602" s="16">
        <f>((1+$D602)^(Settings!$C$7-V$4)*V582+(V592-(1+$D602)^(Settings!$C$7-V$4))*W602)/V592</f>
        <v/>
      </c>
      <c r="W602" s="16">
        <f>((1+$D602)^(Settings!$C$7-W$4)*W582+(W592-(1+$D602)^(Settings!$C$7-W$4))*X602)/W592</f>
        <v/>
      </c>
      <c r="X602" s="16">
        <f>((1+$D602)^(Settings!$C$7-X$4)*X582+(X592-(1+$D602)^(Settings!$C$7-X$4))*Y602)/X592</f>
        <v/>
      </c>
      <c r="Y602" s="16">
        <f>((1+$D602)^(Settings!$C$7-Y$4)*Y582+(Y592-(1+$D602)^(Settings!$C$7-Y$4))*Z602)/Y592</f>
        <v/>
      </c>
      <c r="Z602" s="16">
        <f>((1+$D602)^(Settings!$C$7-Z$4)*Z582+(Z592-(1+$D602)^(Settings!$C$7-Z$4))*AA602)/Z592</f>
        <v/>
      </c>
      <c r="AA602" s="16">
        <f>((1+$D602)^(Settings!$C$7-AA$4)*AA582+(AA592-(1+$D602)^(Settings!$C$7-AA$4))*AB602)/AA592</f>
        <v/>
      </c>
      <c r="AB602" s="16">
        <f>((1+$D602)^(Settings!$C$7-AB$4)*AB582+(AB592-(1+$D602)^(Settings!$C$7-AB$4))*AC602)/AB592</f>
        <v/>
      </c>
      <c r="AC602" s="16">
        <f>((1+$D602)^(Settings!$C$7-AC$4)*AC582+(AC592-(1+$D602)^(Settings!$C$7-AC$4))*AD602)/AC592</f>
        <v/>
      </c>
      <c r="AD602" s="16">
        <f>((1+$D602)^(Settings!$C$7-AD$4)*AD582+(AD592-(1+$D602)^(Settings!$C$7-AD$4))*AE602)/AD592</f>
        <v/>
      </c>
      <c r="AE602" s="16">
        <f>((1+$D602)^(Settings!$C$7-AE$4)*AE582+(AE592-(1+$D602)^(Settings!$C$7-AE$4))*AF602)/AE592</f>
        <v/>
      </c>
      <c r="AG602" s="11">
        <f>CodePrefix&amp;$A602&amp;IF($C602="","","."&amp;$C602&amp;"."&amp;$B602)&amp;INDEX(VarEnd,MATCH($A602,VarKey,0))&amp;AG$5</f>
        <v/>
      </c>
      <c r="AH602" s="15">
        <f>((1+$D602)^(Settings!$C$7-AH$4)*AH582+(AH592-(1+$D602)^(Settings!$C$7-AH$4))*AI602)/AH592</f>
        <v/>
      </c>
      <c r="AI602" s="16">
        <f>((1+$D602)^(Settings!$C$7-AI$4)*AI582+(AI592-(1+$D602)^(Settings!$C$7-AI$4))*AJ602)/AI592</f>
        <v/>
      </c>
      <c r="AJ602" s="16">
        <f>((1+$D602)^(Settings!$C$7-AJ$4)*AJ582+(AJ592-(1+$D602)^(Settings!$C$7-AJ$4))*AK602)/AJ592</f>
        <v/>
      </c>
      <c r="AK602" s="16">
        <f>((1+$D602)^(Settings!$C$7-AK$4)*AK582+(AK592-(1+$D602)^(Settings!$C$7-AK$4))*AL602)/AK592</f>
        <v/>
      </c>
      <c r="AL602" s="16">
        <f>((1+$D602)^(Settings!$C$7-AL$4)*AL582+(AL592-(1+$D602)^(Settings!$C$7-AL$4))*AM602)/AL592</f>
        <v/>
      </c>
      <c r="AM602" s="16">
        <f>((1+$D602)^(Settings!$C$7-AM$4)*AM582+(AM592-(1+$D602)^(Settings!$C$7-AM$4))*AN602)/AM592</f>
        <v/>
      </c>
      <c r="AN602" s="16">
        <f>((1+$D602)^(Settings!$C$7-AN$4)*AN582+(AN592-(1+$D602)^(Settings!$C$7-AN$4))*AO602)/AN592</f>
        <v/>
      </c>
      <c r="AO602" s="16">
        <f>((1+$D602)^(Settings!$C$7-AO$4)*AO582+(AO592-(1+$D602)^(Settings!$C$7-AO$4))*AP602)/AO592</f>
        <v/>
      </c>
      <c r="AP602" s="16">
        <f>((1+$D602)^(Settings!$C$7-AP$4)*AP582+(AP592-(1+$D602)^(Settings!$C$7-AP$4))*AQ602)/AP592</f>
        <v/>
      </c>
      <c r="AQ602" s="16">
        <f>((1+$D602)^(Settings!$C$7-AQ$4)*AQ582+(AQ592-(1+$D602)^(Settings!$C$7-AQ$4))*AR602)/AQ592</f>
        <v/>
      </c>
      <c r="AR602" s="16">
        <f>((1+$D602)^(Settings!$C$7-AR$4)*AR582+(AR592-(1+$D602)^(Settings!$C$7-AR$4))*AS602)/AR592</f>
        <v/>
      </c>
      <c r="AS602" s="16">
        <f>((1+$D602)^(Settings!$C$7-AS$4)*AS582+(AS592-(1+$D602)^(Settings!$C$7-AS$4))*AT602)/AS592</f>
        <v/>
      </c>
      <c r="AT602" s="16">
        <f>((1+$D602)^(Settings!$C$7-AT$4)*AT582+(AT592-(1+$D602)^(Settings!$C$7-AT$4))*AU602)/AT592</f>
        <v/>
      </c>
      <c r="AU602" s="16">
        <f>((1+$D602)^(Settings!$C$7-AU$4)*AU582+(AU592-(1+$D602)^(Settings!$C$7-AU$4))*AV602)/AU592</f>
        <v/>
      </c>
      <c r="AV602" s="16">
        <f>((1+$D602)^(Settings!$C$7-AV$4)*AV582+(AV592-(1+$D602)^(Settings!$C$7-AV$4))*AW602)/AV592</f>
        <v/>
      </c>
      <c r="AW602" s="16">
        <f>((1+$D602)^(Settings!$C$7-AW$4)*AW582+(AW592-(1+$D602)^(Settings!$C$7-AW$4))*AX602)/AW592</f>
        <v/>
      </c>
      <c r="AX602" s="16">
        <f>((1+$D602)^(Settings!$C$7-AX$4)*AX582+(AX592-(1+$D602)^(Settings!$C$7-AX$4))*AY602)/AX592</f>
        <v/>
      </c>
      <c r="AY602" s="16">
        <f>((1+$D602)^(Settings!$C$7-AY$4)*AY582+(AY592-(1+$D602)^(Settings!$C$7-AY$4))*AZ602)/AY592</f>
        <v/>
      </c>
      <c r="AZ602" s="16">
        <f>((1+$D602)^(Settings!$C$7-AZ$4)*AZ582+(AZ592-(1+$D602)^(Settings!$C$7-AZ$4))*BA602)/AZ592</f>
        <v/>
      </c>
      <c r="BA602" s="16">
        <f>((1+$D602)^(Settings!$C$7-BA$4)*BA582+(BA592-(1+$D602)^(Settings!$C$7-BA$4))*BB602)/BA592</f>
        <v/>
      </c>
    </row>
    <row r="603" hidden="1" outlineLevel="1">
      <c r="A603" s="14" t="inlineStr">
        <is>
          <t>lvc</t>
        </is>
      </c>
      <c r="B603" s="14" t="inlineStr">
        <is>
          <t>oop</t>
        </is>
      </c>
      <c r="C603" s="14" t="inlineStr">
        <is>
          <t>pow</t>
        </is>
      </c>
      <c r="D603" s="45">
        <f>INDEX(Inputs_power!$G$5:$G$13,MATCH($B603,Inputs_power!$A$5:$A$13,0))</f>
        <v/>
      </c>
      <c r="E603" s="39" t="n"/>
      <c r="F603" s="39" t="n"/>
      <c r="G603" s="39" t="n"/>
      <c r="H603" s="14">
        <f>INDEX(VarLab,MATCH($A603,VarKey,0))&amp;INDEX(MemLab,MATCH($C603&amp;"|"&amp;$B603,MemKey,0))</f>
        <v/>
      </c>
      <c r="I603" s="14">
        <f>INDEX(VarUnit,MATCH($A603,VarKey,0))</f>
        <v/>
      </c>
      <c r="J603" s="14">
        <f>INDEX(VarSrc,MATCH($A603,VarKey,0))</f>
        <v/>
      </c>
      <c r="K603" s="11">
        <f>CodePrefix&amp;$A603&amp;IF($C603="","","."&amp;$C603&amp;"."&amp;$B603)&amp;INDEX(VarEnd,MATCH($A603,VarKey,0))&amp;K$5</f>
        <v/>
      </c>
      <c r="L603" s="15">
        <f>((1+$D603)^(Settings!$C$7-L$4)*L583+(L593-(1+$D603)^(Settings!$C$7-L$4))*M603)/L593</f>
        <v/>
      </c>
      <c r="M603" s="16">
        <f>((1+$D603)^(Settings!$C$7-M$4)*M583+(M593-(1+$D603)^(Settings!$C$7-M$4))*N603)/M593</f>
        <v/>
      </c>
      <c r="N603" s="16">
        <f>((1+$D603)^(Settings!$C$7-N$4)*N583+(N593-(1+$D603)^(Settings!$C$7-N$4))*O603)/N593</f>
        <v/>
      </c>
      <c r="O603" s="16">
        <f>((1+$D603)^(Settings!$C$7-O$4)*O583+(O593-(1+$D603)^(Settings!$C$7-O$4))*P603)/O593</f>
        <v/>
      </c>
      <c r="P603" s="16">
        <f>((1+$D603)^(Settings!$C$7-P$4)*P583+(P593-(1+$D603)^(Settings!$C$7-P$4))*Q603)/P593</f>
        <v/>
      </c>
      <c r="Q603" s="16">
        <f>((1+$D603)^(Settings!$C$7-Q$4)*Q583+(Q593-(1+$D603)^(Settings!$C$7-Q$4))*R603)/Q593</f>
        <v/>
      </c>
      <c r="R603" s="16">
        <f>((1+$D603)^(Settings!$C$7-R$4)*R583+(R593-(1+$D603)^(Settings!$C$7-R$4))*S603)/R593</f>
        <v/>
      </c>
      <c r="S603" s="16">
        <f>((1+$D603)^(Settings!$C$7-S$4)*S583+(S593-(1+$D603)^(Settings!$C$7-S$4))*T603)/S593</f>
        <v/>
      </c>
      <c r="T603" s="16">
        <f>((1+$D603)^(Settings!$C$7-T$4)*T583+(T593-(1+$D603)^(Settings!$C$7-T$4))*U603)/T593</f>
        <v/>
      </c>
      <c r="U603" s="16">
        <f>((1+$D603)^(Settings!$C$7-U$4)*U583+(U593-(1+$D603)^(Settings!$C$7-U$4))*V603)/U593</f>
        <v/>
      </c>
      <c r="V603" s="16">
        <f>((1+$D603)^(Settings!$C$7-V$4)*V583+(V593-(1+$D603)^(Settings!$C$7-V$4))*W603)/V593</f>
        <v/>
      </c>
      <c r="W603" s="16">
        <f>((1+$D603)^(Settings!$C$7-W$4)*W583+(W593-(1+$D603)^(Settings!$C$7-W$4))*X603)/W593</f>
        <v/>
      </c>
      <c r="X603" s="16">
        <f>((1+$D603)^(Settings!$C$7-X$4)*X583+(X593-(1+$D603)^(Settings!$C$7-X$4))*Y603)/X593</f>
        <v/>
      </c>
      <c r="Y603" s="16">
        <f>((1+$D603)^(Settings!$C$7-Y$4)*Y583+(Y593-(1+$D603)^(Settings!$C$7-Y$4))*Z603)/Y593</f>
        <v/>
      </c>
      <c r="Z603" s="16">
        <f>((1+$D603)^(Settings!$C$7-Z$4)*Z583+(Z593-(1+$D603)^(Settings!$C$7-Z$4))*AA603)/Z593</f>
        <v/>
      </c>
      <c r="AA603" s="16">
        <f>((1+$D603)^(Settings!$C$7-AA$4)*AA583+(AA593-(1+$D603)^(Settings!$C$7-AA$4))*AB603)/AA593</f>
        <v/>
      </c>
      <c r="AB603" s="16">
        <f>((1+$D603)^(Settings!$C$7-AB$4)*AB583+(AB593-(1+$D603)^(Settings!$C$7-AB$4))*AC603)/AB593</f>
        <v/>
      </c>
      <c r="AC603" s="16">
        <f>((1+$D603)^(Settings!$C$7-AC$4)*AC583+(AC593-(1+$D603)^(Settings!$C$7-AC$4))*AD603)/AC593</f>
        <v/>
      </c>
      <c r="AD603" s="16">
        <f>((1+$D603)^(Settings!$C$7-AD$4)*AD583+(AD593-(1+$D603)^(Settings!$C$7-AD$4))*AE603)/AD593</f>
        <v/>
      </c>
      <c r="AE603" s="16">
        <f>((1+$D603)^(Settings!$C$7-AE$4)*AE583+(AE593-(1+$D603)^(Settings!$C$7-AE$4))*AF603)/AE593</f>
        <v/>
      </c>
      <c r="AG603" s="11">
        <f>CodePrefix&amp;$A603&amp;IF($C603="","","."&amp;$C603&amp;"."&amp;$B603)&amp;INDEX(VarEnd,MATCH($A603,VarKey,0))&amp;AG$5</f>
        <v/>
      </c>
      <c r="AH603" s="15">
        <f>((1+$D603)^(Settings!$C$7-AH$4)*AH583+(AH593-(1+$D603)^(Settings!$C$7-AH$4))*AI603)/AH593</f>
        <v/>
      </c>
      <c r="AI603" s="16">
        <f>((1+$D603)^(Settings!$C$7-AI$4)*AI583+(AI593-(1+$D603)^(Settings!$C$7-AI$4))*AJ603)/AI593</f>
        <v/>
      </c>
      <c r="AJ603" s="16">
        <f>((1+$D603)^(Settings!$C$7-AJ$4)*AJ583+(AJ593-(1+$D603)^(Settings!$C$7-AJ$4))*AK603)/AJ593</f>
        <v/>
      </c>
      <c r="AK603" s="16">
        <f>((1+$D603)^(Settings!$C$7-AK$4)*AK583+(AK593-(1+$D603)^(Settings!$C$7-AK$4))*AL603)/AK593</f>
        <v/>
      </c>
      <c r="AL603" s="16">
        <f>((1+$D603)^(Settings!$C$7-AL$4)*AL583+(AL593-(1+$D603)^(Settings!$C$7-AL$4))*AM603)/AL593</f>
        <v/>
      </c>
      <c r="AM603" s="16">
        <f>((1+$D603)^(Settings!$C$7-AM$4)*AM583+(AM593-(1+$D603)^(Settings!$C$7-AM$4))*AN603)/AM593</f>
        <v/>
      </c>
      <c r="AN603" s="16">
        <f>((1+$D603)^(Settings!$C$7-AN$4)*AN583+(AN593-(1+$D603)^(Settings!$C$7-AN$4))*AO603)/AN593</f>
        <v/>
      </c>
      <c r="AO603" s="16">
        <f>((1+$D603)^(Settings!$C$7-AO$4)*AO583+(AO593-(1+$D603)^(Settings!$C$7-AO$4))*AP603)/AO593</f>
        <v/>
      </c>
      <c r="AP603" s="16">
        <f>((1+$D603)^(Settings!$C$7-AP$4)*AP583+(AP593-(1+$D603)^(Settings!$C$7-AP$4))*AQ603)/AP593</f>
        <v/>
      </c>
      <c r="AQ603" s="16">
        <f>((1+$D603)^(Settings!$C$7-AQ$4)*AQ583+(AQ593-(1+$D603)^(Settings!$C$7-AQ$4))*AR603)/AQ593</f>
        <v/>
      </c>
      <c r="AR603" s="16">
        <f>((1+$D603)^(Settings!$C$7-AR$4)*AR583+(AR593-(1+$D603)^(Settings!$C$7-AR$4))*AS603)/AR593</f>
        <v/>
      </c>
      <c r="AS603" s="16">
        <f>((1+$D603)^(Settings!$C$7-AS$4)*AS583+(AS593-(1+$D603)^(Settings!$C$7-AS$4))*AT603)/AS593</f>
        <v/>
      </c>
      <c r="AT603" s="16">
        <f>((1+$D603)^(Settings!$C$7-AT$4)*AT583+(AT593-(1+$D603)^(Settings!$C$7-AT$4))*AU603)/AT593</f>
        <v/>
      </c>
      <c r="AU603" s="16">
        <f>((1+$D603)^(Settings!$C$7-AU$4)*AU583+(AU593-(1+$D603)^(Settings!$C$7-AU$4))*AV603)/AU593</f>
        <v/>
      </c>
      <c r="AV603" s="16">
        <f>((1+$D603)^(Settings!$C$7-AV$4)*AV583+(AV593-(1+$D603)^(Settings!$C$7-AV$4))*AW603)/AV593</f>
        <v/>
      </c>
      <c r="AW603" s="16">
        <f>((1+$D603)^(Settings!$C$7-AW$4)*AW583+(AW593-(1+$D603)^(Settings!$C$7-AW$4))*AX603)/AW593</f>
        <v/>
      </c>
      <c r="AX603" s="16">
        <f>((1+$D603)^(Settings!$C$7-AX$4)*AX583+(AX593-(1+$D603)^(Settings!$C$7-AX$4))*AY603)/AX593</f>
        <v/>
      </c>
      <c r="AY603" s="16">
        <f>((1+$D603)^(Settings!$C$7-AY$4)*AY583+(AY593-(1+$D603)^(Settings!$C$7-AY$4))*AZ603)/AY593</f>
        <v/>
      </c>
      <c r="AZ603" s="16">
        <f>((1+$D603)^(Settings!$C$7-AZ$4)*AZ583+(AZ593-(1+$D603)^(Settings!$C$7-AZ$4))*BA603)/AZ593</f>
        <v/>
      </c>
      <c r="BA603" s="16">
        <f>((1+$D603)^(Settings!$C$7-BA$4)*BA583+(BA593-(1+$D603)^(Settings!$C$7-BA$4))*BB603)/BA593</f>
        <v/>
      </c>
    </row>
    <row r="604" hidden="1" outlineLevel="1">
      <c r="A604" s="14" t="inlineStr">
        <is>
          <t>lvc</t>
        </is>
      </c>
      <c r="B604" s="14" t="inlineStr">
        <is>
          <t>nuc</t>
        </is>
      </c>
      <c r="C604" s="14" t="inlineStr">
        <is>
          <t>pow</t>
        </is>
      </c>
      <c r="D604" s="45">
        <f>INDEX(Inputs_power!$G$5:$G$13,MATCH($B604,Inputs_power!$A$5:$A$13,0))</f>
        <v/>
      </c>
      <c r="E604" s="39" t="n"/>
      <c r="F604" s="39" t="n"/>
      <c r="G604" s="39" t="n"/>
      <c r="H604" s="14">
        <f>INDEX(VarLab,MATCH($A604,VarKey,0))&amp;INDEX(MemLab,MATCH($C604&amp;"|"&amp;$B604,MemKey,0))</f>
        <v/>
      </c>
      <c r="I604" s="14">
        <f>INDEX(VarUnit,MATCH($A604,VarKey,0))</f>
        <v/>
      </c>
      <c r="J604" s="14">
        <f>INDEX(VarSrc,MATCH($A604,VarKey,0))</f>
        <v/>
      </c>
      <c r="K604" s="11">
        <f>CodePrefix&amp;$A604&amp;IF($C604="","","."&amp;$C604&amp;"."&amp;$B604)&amp;INDEX(VarEnd,MATCH($A604,VarKey,0))&amp;K$5</f>
        <v/>
      </c>
      <c r="L604" s="15">
        <f>((1+$D604)^(Settings!$C$7-L$4)*L584+(L594-(1+$D604)^(Settings!$C$7-L$4))*M604)/L594</f>
        <v/>
      </c>
      <c r="M604" s="16">
        <f>((1+$D604)^(Settings!$C$7-M$4)*M584+(M594-(1+$D604)^(Settings!$C$7-M$4))*N604)/M594</f>
        <v/>
      </c>
      <c r="N604" s="16">
        <f>((1+$D604)^(Settings!$C$7-N$4)*N584+(N594-(1+$D604)^(Settings!$C$7-N$4))*O604)/N594</f>
        <v/>
      </c>
      <c r="O604" s="16">
        <f>((1+$D604)^(Settings!$C$7-O$4)*O584+(O594-(1+$D604)^(Settings!$C$7-O$4))*P604)/O594</f>
        <v/>
      </c>
      <c r="P604" s="16">
        <f>((1+$D604)^(Settings!$C$7-P$4)*P584+(P594-(1+$D604)^(Settings!$C$7-P$4))*Q604)/P594</f>
        <v/>
      </c>
      <c r="Q604" s="16">
        <f>((1+$D604)^(Settings!$C$7-Q$4)*Q584+(Q594-(1+$D604)^(Settings!$C$7-Q$4))*R604)/Q594</f>
        <v/>
      </c>
      <c r="R604" s="16">
        <f>((1+$D604)^(Settings!$C$7-R$4)*R584+(R594-(1+$D604)^(Settings!$C$7-R$4))*S604)/R594</f>
        <v/>
      </c>
      <c r="S604" s="16">
        <f>((1+$D604)^(Settings!$C$7-S$4)*S584+(S594-(1+$D604)^(Settings!$C$7-S$4))*T604)/S594</f>
        <v/>
      </c>
      <c r="T604" s="16">
        <f>((1+$D604)^(Settings!$C$7-T$4)*T584+(T594-(1+$D604)^(Settings!$C$7-T$4))*U604)/T594</f>
        <v/>
      </c>
      <c r="U604" s="16">
        <f>((1+$D604)^(Settings!$C$7-U$4)*U584+(U594-(1+$D604)^(Settings!$C$7-U$4))*V604)/U594</f>
        <v/>
      </c>
      <c r="V604" s="16">
        <f>((1+$D604)^(Settings!$C$7-V$4)*V584+(V594-(1+$D604)^(Settings!$C$7-V$4))*W604)/V594</f>
        <v/>
      </c>
      <c r="W604" s="16">
        <f>((1+$D604)^(Settings!$C$7-W$4)*W584+(W594-(1+$D604)^(Settings!$C$7-W$4))*X604)/W594</f>
        <v/>
      </c>
      <c r="X604" s="16">
        <f>((1+$D604)^(Settings!$C$7-X$4)*X584+(X594-(1+$D604)^(Settings!$C$7-X$4))*Y604)/X594</f>
        <v/>
      </c>
      <c r="Y604" s="16">
        <f>((1+$D604)^(Settings!$C$7-Y$4)*Y584+(Y594-(1+$D604)^(Settings!$C$7-Y$4))*Z604)/Y594</f>
        <v/>
      </c>
      <c r="Z604" s="16">
        <f>((1+$D604)^(Settings!$C$7-Z$4)*Z584+(Z594-(1+$D604)^(Settings!$C$7-Z$4))*AA604)/Z594</f>
        <v/>
      </c>
      <c r="AA604" s="16">
        <f>((1+$D604)^(Settings!$C$7-AA$4)*AA584+(AA594-(1+$D604)^(Settings!$C$7-AA$4))*AB604)/AA594</f>
        <v/>
      </c>
      <c r="AB604" s="16">
        <f>((1+$D604)^(Settings!$C$7-AB$4)*AB584+(AB594-(1+$D604)^(Settings!$C$7-AB$4))*AC604)/AB594</f>
        <v/>
      </c>
      <c r="AC604" s="16">
        <f>((1+$D604)^(Settings!$C$7-AC$4)*AC584+(AC594-(1+$D604)^(Settings!$C$7-AC$4))*AD604)/AC594</f>
        <v/>
      </c>
      <c r="AD604" s="16">
        <f>((1+$D604)^(Settings!$C$7-AD$4)*AD584+(AD594-(1+$D604)^(Settings!$C$7-AD$4))*AE604)/AD594</f>
        <v/>
      </c>
      <c r="AE604" s="16">
        <f>((1+$D604)^(Settings!$C$7-AE$4)*AE584+(AE594-(1+$D604)^(Settings!$C$7-AE$4))*AF604)/AE594</f>
        <v/>
      </c>
      <c r="AG604" s="11">
        <f>CodePrefix&amp;$A604&amp;IF($C604="","","."&amp;$C604&amp;"."&amp;$B604)&amp;INDEX(VarEnd,MATCH($A604,VarKey,0))&amp;AG$5</f>
        <v/>
      </c>
      <c r="AH604" s="15">
        <f>((1+$D604)^(Settings!$C$7-AH$4)*AH584+(AH594-(1+$D604)^(Settings!$C$7-AH$4))*AI604)/AH594</f>
        <v/>
      </c>
      <c r="AI604" s="16">
        <f>((1+$D604)^(Settings!$C$7-AI$4)*AI584+(AI594-(1+$D604)^(Settings!$C$7-AI$4))*AJ604)/AI594</f>
        <v/>
      </c>
      <c r="AJ604" s="16">
        <f>((1+$D604)^(Settings!$C$7-AJ$4)*AJ584+(AJ594-(1+$D604)^(Settings!$C$7-AJ$4))*AK604)/AJ594</f>
        <v/>
      </c>
      <c r="AK604" s="16">
        <f>((1+$D604)^(Settings!$C$7-AK$4)*AK584+(AK594-(1+$D604)^(Settings!$C$7-AK$4))*AL604)/AK594</f>
        <v/>
      </c>
      <c r="AL604" s="16">
        <f>((1+$D604)^(Settings!$C$7-AL$4)*AL584+(AL594-(1+$D604)^(Settings!$C$7-AL$4))*AM604)/AL594</f>
        <v/>
      </c>
      <c r="AM604" s="16">
        <f>((1+$D604)^(Settings!$C$7-AM$4)*AM584+(AM594-(1+$D604)^(Settings!$C$7-AM$4))*AN604)/AM594</f>
        <v/>
      </c>
      <c r="AN604" s="16">
        <f>((1+$D604)^(Settings!$C$7-AN$4)*AN584+(AN594-(1+$D604)^(Settings!$C$7-AN$4))*AO604)/AN594</f>
        <v/>
      </c>
      <c r="AO604" s="16">
        <f>((1+$D604)^(Settings!$C$7-AO$4)*AO584+(AO594-(1+$D604)^(Settings!$C$7-AO$4))*AP604)/AO594</f>
        <v/>
      </c>
      <c r="AP604" s="16">
        <f>((1+$D604)^(Settings!$C$7-AP$4)*AP584+(AP594-(1+$D604)^(Settings!$C$7-AP$4))*AQ604)/AP594</f>
        <v/>
      </c>
      <c r="AQ604" s="16">
        <f>((1+$D604)^(Settings!$C$7-AQ$4)*AQ584+(AQ594-(1+$D604)^(Settings!$C$7-AQ$4))*AR604)/AQ594</f>
        <v/>
      </c>
      <c r="AR604" s="16">
        <f>((1+$D604)^(Settings!$C$7-AR$4)*AR584+(AR594-(1+$D604)^(Settings!$C$7-AR$4))*AS604)/AR594</f>
        <v/>
      </c>
      <c r="AS604" s="16">
        <f>((1+$D604)^(Settings!$C$7-AS$4)*AS584+(AS594-(1+$D604)^(Settings!$C$7-AS$4))*AT604)/AS594</f>
        <v/>
      </c>
      <c r="AT604" s="16">
        <f>((1+$D604)^(Settings!$C$7-AT$4)*AT584+(AT594-(1+$D604)^(Settings!$C$7-AT$4))*AU604)/AT594</f>
        <v/>
      </c>
      <c r="AU604" s="16">
        <f>((1+$D604)^(Settings!$C$7-AU$4)*AU584+(AU594-(1+$D604)^(Settings!$C$7-AU$4))*AV604)/AU594</f>
        <v/>
      </c>
      <c r="AV604" s="16">
        <f>((1+$D604)^(Settings!$C$7-AV$4)*AV584+(AV594-(1+$D604)^(Settings!$C$7-AV$4))*AW604)/AV594</f>
        <v/>
      </c>
      <c r="AW604" s="16">
        <f>((1+$D604)^(Settings!$C$7-AW$4)*AW584+(AW594-(1+$D604)^(Settings!$C$7-AW$4))*AX604)/AW594</f>
        <v/>
      </c>
      <c r="AX604" s="16">
        <f>((1+$D604)^(Settings!$C$7-AX$4)*AX584+(AX594-(1+$D604)^(Settings!$C$7-AX$4))*AY604)/AX594</f>
        <v/>
      </c>
      <c r="AY604" s="16">
        <f>((1+$D604)^(Settings!$C$7-AY$4)*AY584+(AY594-(1+$D604)^(Settings!$C$7-AY$4))*AZ604)/AY594</f>
        <v/>
      </c>
      <c r="AZ604" s="16">
        <f>((1+$D604)^(Settings!$C$7-AZ$4)*AZ584+(AZ594-(1+$D604)^(Settings!$C$7-AZ$4))*BA604)/AZ594</f>
        <v/>
      </c>
      <c r="BA604" s="16">
        <f>((1+$D604)^(Settings!$C$7-BA$4)*BA584+(BA594-(1+$D604)^(Settings!$C$7-BA$4))*BB604)/BA594</f>
        <v/>
      </c>
    </row>
    <row r="605" hidden="1" outlineLevel="1">
      <c r="A605" s="14" t="inlineStr">
        <is>
          <t>lvc</t>
        </is>
      </c>
      <c r="B605" s="14" t="inlineStr">
        <is>
          <t>wnd</t>
        </is>
      </c>
      <c r="C605" s="14" t="inlineStr">
        <is>
          <t>pow</t>
        </is>
      </c>
      <c r="D605" s="45">
        <f>INDEX(Inputs_power!$G$5:$G$13,MATCH($B605,Inputs_power!$A$5:$A$13,0))</f>
        <v/>
      </c>
      <c r="E605" s="39" t="n"/>
      <c r="F605" s="39" t="n"/>
      <c r="G605" s="39" t="n"/>
      <c r="H605" s="14">
        <f>INDEX(VarLab,MATCH($A605,VarKey,0))&amp;INDEX(MemLab,MATCH($C605&amp;"|"&amp;$B605,MemKey,0))</f>
        <v/>
      </c>
      <c r="I605" s="14">
        <f>INDEX(VarUnit,MATCH($A605,VarKey,0))</f>
        <v/>
      </c>
      <c r="J605" s="14">
        <f>INDEX(VarSrc,MATCH($A605,VarKey,0))</f>
        <v/>
      </c>
      <c r="K605" s="11">
        <f>CodePrefix&amp;$A605&amp;IF($C605="","","."&amp;$C605&amp;"."&amp;$B605)&amp;INDEX(VarEnd,MATCH($A605,VarKey,0))&amp;K$5</f>
        <v/>
      </c>
      <c r="L605" s="15">
        <f>((1+$D605)^(Settings!$C$7-L$4)*L585+(L595-(1+$D605)^(Settings!$C$7-L$4))*M605)/L595</f>
        <v/>
      </c>
      <c r="M605" s="16">
        <f>((1+$D605)^(Settings!$C$7-M$4)*M585+(M595-(1+$D605)^(Settings!$C$7-M$4))*N605)/M595</f>
        <v/>
      </c>
      <c r="N605" s="16">
        <f>((1+$D605)^(Settings!$C$7-N$4)*N585+(N595-(1+$D605)^(Settings!$C$7-N$4))*O605)/N595</f>
        <v/>
      </c>
      <c r="O605" s="16">
        <f>((1+$D605)^(Settings!$C$7-O$4)*O585+(O595-(1+$D605)^(Settings!$C$7-O$4))*P605)/O595</f>
        <v/>
      </c>
      <c r="P605" s="16">
        <f>((1+$D605)^(Settings!$C$7-P$4)*P585+(P595-(1+$D605)^(Settings!$C$7-P$4))*Q605)/P595</f>
        <v/>
      </c>
      <c r="Q605" s="16">
        <f>((1+$D605)^(Settings!$C$7-Q$4)*Q585+(Q595-(1+$D605)^(Settings!$C$7-Q$4))*R605)/Q595</f>
        <v/>
      </c>
      <c r="R605" s="16">
        <f>((1+$D605)^(Settings!$C$7-R$4)*R585+(R595-(1+$D605)^(Settings!$C$7-R$4))*S605)/R595</f>
        <v/>
      </c>
      <c r="S605" s="16">
        <f>((1+$D605)^(Settings!$C$7-S$4)*S585+(S595-(1+$D605)^(Settings!$C$7-S$4))*T605)/S595</f>
        <v/>
      </c>
      <c r="T605" s="16">
        <f>((1+$D605)^(Settings!$C$7-T$4)*T585+(T595-(1+$D605)^(Settings!$C$7-T$4))*U605)/T595</f>
        <v/>
      </c>
      <c r="U605" s="16">
        <f>((1+$D605)^(Settings!$C$7-U$4)*U585+(U595-(1+$D605)^(Settings!$C$7-U$4))*V605)/U595</f>
        <v/>
      </c>
      <c r="V605" s="16">
        <f>((1+$D605)^(Settings!$C$7-V$4)*V585+(V595-(1+$D605)^(Settings!$C$7-V$4))*W605)/V595</f>
        <v/>
      </c>
      <c r="W605" s="16">
        <f>((1+$D605)^(Settings!$C$7-W$4)*W585+(W595-(1+$D605)^(Settings!$C$7-W$4))*X605)/W595</f>
        <v/>
      </c>
      <c r="X605" s="16">
        <f>((1+$D605)^(Settings!$C$7-X$4)*X585+(X595-(1+$D605)^(Settings!$C$7-X$4))*Y605)/X595</f>
        <v/>
      </c>
      <c r="Y605" s="16">
        <f>((1+$D605)^(Settings!$C$7-Y$4)*Y585+(Y595-(1+$D605)^(Settings!$C$7-Y$4))*Z605)/Y595</f>
        <v/>
      </c>
      <c r="Z605" s="16">
        <f>((1+$D605)^(Settings!$C$7-Z$4)*Z585+(Z595-(1+$D605)^(Settings!$C$7-Z$4))*AA605)/Z595</f>
        <v/>
      </c>
      <c r="AA605" s="16">
        <f>((1+$D605)^(Settings!$C$7-AA$4)*AA585+(AA595-(1+$D605)^(Settings!$C$7-AA$4))*AB605)/AA595</f>
        <v/>
      </c>
      <c r="AB605" s="16">
        <f>((1+$D605)^(Settings!$C$7-AB$4)*AB585+(AB595-(1+$D605)^(Settings!$C$7-AB$4))*AC605)/AB595</f>
        <v/>
      </c>
      <c r="AC605" s="16">
        <f>((1+$D605)^(Settings!$C$7-AC$4)*AC585+(AC595-(1+$D605)^(Settings!$C$7-AC$4))*AD605)/AC595</f>
        <v/>
      </c>
      <c r="AD605" s="16">
        <f>((1+$D605)^(Settings!$C$7-AD$4)*AD585+(AD595-(1+$D605)^(Settings!$C$7-AD$4))*AE605)/AD595</f>
        <v/>
      </c>
      <c r="AE605" s="16">
        <f>((1+$D605)^(Settings!$C$7-AE$4)*AE585+(AE595-(1+$D605)^(Settings!$C$7-AE$4))*AF605)/AE595</f>
        <v/>
      </c>
      <c r="AG605" s="11">
        <f>CodePrefix&amp;$A605&amp;IF($C605="","","."&amp;$C605&amp;"."&amp;$B605)&amp;INDEX(VarEnd,MATCH($A605,VarKey,0))&amp;AG$5</f>
        <v/>
      </c>
      <c r="AH605" s="15">
        <f>((1+$D605)^(Settings!$C$7-AH$4)*AH585+(AH595-(1+$D605)^(Settings!$C$7-AH$4))*AI605)/AH595</f>
        <v/>
      </c>
      <c r="AI605" s="16">
        <f>((1+$D605)^(Settings!$C$7-AI$4)*AI585+(AI595-(1+$D605)^(Settings!$C$7-AI$4))*AJ605)/AI595</f>
        <v/>
      </c>
      <c r="AJ605" s="16">
        <f>((1+$D605)^(Settings!$C$7-AJ$4)*AJ585+(AJ595-(1+$D605)^(Settings!$C$7-AJ$4))*AK605)/AJ595</f>
        <v/>
      </c>
      <c r="AK605" s="16">
        <f>((1+$D605)^(Settings!$C$7-AK$4)*AK585+(AK595-(1+$D605)^(Settings!$C$7-AK$4))*AL605)/AK595</f>
        <v/>
      </c>
      <c r="AL605" s="16">
        <f>((1+$D605)^(Settings!$C$7-AL$4)*AL585+(AL595-(1+$D605)^(Settings!$C$7-AL$4))*AM605)/AL595</f>
        <v/>
      </c>
      <c r="AM605" s="16">
        <f>((1+$D605)^(Settings!$C$7-AM$4)*AM585+(AM595-(1+$D605)^(Settings!$C$7-AM$4))*AN605)/AM595</f>
        <v/>
      </c>
      <c r="AN605" s="16">
        <f>((1+$D605)^(Settings!$C$7-AN$4)*AN585+(AN595-(1+$D605)^(Settings!$C$7-AN$4))*AO605)/AN595</f>
        <v/>
      </c>
      <c r="AO605" s="16">
        <f>((1+$D605)^(Settings!$C$7-AO$4)*AO585+(AO595-(1+$D605)^(Settings!$C$7-AO$4))*AP605)/AO595</f>
        <v/>
      </c>
      <c r="AP605" s="16">
        <f>((1+$D605)^(Settings!$C$7-AP$4)*AP585+(AP595-(1+$D605)^(Settings!$C$7-AP$4))*AQ605)/AP595</f>
        <v/>
      </c>
      <c r="AQ605" s="16">
        <f>((1+$D605)^(Settings!$C$7-AQ$4)*AQ585+(AQ595-(1+$D605)^(Settings!$C$7-AQ$4))*AR605)/AQ595</f>
        <v/>
      </c>
      <c r="AR605" s="16">
        <f>((1+$D605)^(Settings!$C$7-AR$4)*AR585+(AR595-(1+$D605)^(Settings!$C$7-AR$4))*AS605)/AR595</f>
        <v/>
      </c>
      <c r="AS605" s="16">
        <f>((1+$D605)^(Settings!$C$7-AS$4)*AS585+(AS595-(1+$D605)^(Settings!$C$7-AS$4))*AT605)/AS595</f>
        <v/>
      </c>
      <c r="AT605" s="16">
        <f>((1+$D605)^(Settings!$C$7-AT$4)*AT585+(AT595-(1+$D605)^(Settings!$C$7-AT$4))*AU605)/AT595</f>
        <v/>
      </c>
      <c r="AU605" s="16">
        <f>((1+$D605)^(Settings!$C$7-AU$4)*AU585+(AU595-(1+$D605)^(Settings!$C$7-AU$4))*AV605)/AU595</f>
        <v/>
      </c>
      <c r="AV605" s="16">
        <f>((1+$D605)^(Settings!$C$7-AV$4)*AV585+(AV595-(1+$D605)^(Settings!$C$7-AV$4))*AW605)/AV595</f>
        <v/>
      </c>
      <c r="AW605" s="16">
        <f>((1+$D605)^(Settings!$C$7-AW$4)*AW585+(AW595-(1+$D605)^(Settings!$C$7-AW$4))*AX605)/AW595</f>
        <v/>
      </c>
      <c r="AX605" s="16">
        <f>((1+$D605)^(Settings!$C$7-AX$4)*AX585+(AX595-(1+$D605)^(Settings!$C$7-AX$4))*AY605)/AX595</f>
        <v/>
      </c>
      <c r="AY605" s="16">
        <f>((1+$D605)^(Settings!$C$7-AY$4)*AY585+(AY595-(1+$D605)^(Settings!$C$7-AY$4))*AZ605)/AY595</f>
        <v/>
      </c>
      <c r="AZ605" s="16">
        <f>((1+$D605)^(Settings!$C$7-AZ$4)*AZ585+(AZ595-(1+$D605)^(Settings!$C$7-AZ$4))*BA605)/AZ595</f>
        <v/>
      </c>
      <c r="BA605" s="16">
        <f>((1+$D605)^(Settings!$C$7-BA$4)*BA585+(BA595-(1+$D605)^(Settings!$C$7-BA$4))*BB605)/BA595</f>
        <v/>
      </c>
    </row>
    <row r="606" hidden="1" outlineLevel="1">
      <c r="A606" s="14" t="inlineStr">
        <is>
          <t>lvc</t>
        </is>
      </c>
      <c r="B606" s="14" t="inlineStr">
        <is>
          <t>sol</t>
        </is>
      </c>
      <c r="C606" s="14" t="inlineStr">
        <is>
          <t>pow</t>
        </is>
      </c>
      <c r="D606" s="45">
        <f>INDEX(Inputs_power!$G$5:$G$13,MATCH($B606,Inputs_power!$A$5:$A$13,0))</f>
        <v/>
      </c>
      <c r="E606" s="39" t="n"/>
      <c r="F606" s="39" t="n"/>
      <c r="G606" s="39" t="n"/>
      <c r="H606" s="14">
        <f>INDEX(VarLab,MATCH($A606,VarKey,0))&amp;INDEX(MemLab,MATCH($C606&amp;"|"&amp;$B606,MemKey,0))</f>
        <v/>
      </c>
      <c r="I606" s="14">
        <f>INDEX(VarUnit,MATCH($A606,VarKey,0))</f>
        <v/>
      </c>
      <c r="J606" s="14">
        <f>INDEX(VarSrc,MATCH($A606,VarKey,0))</f>
        <v/>
      </c>
      <c r="K606" s="11">
        <f>CodePrefix&amp;$A606&amp;IF($C606="","","."&amp;$C606&amp;"."&amp;$B606)&amp;INDEX(VarEnd,MATCH($A606,VarKey,0))&amp;K$5</f>
        <v/>
      </c>
      <c r="L606" s="15">
        <f>((1+$D606)^(Settings!$C$7-L$4)*L586+(L596-(1+$D606)^(Settings!$C$7-L$4))*M606)/L596</f>
        <v/>
      </c>
      <c r="M606" s="16">
        <f>((1+$D606)^(Settings!$C$7-M$4)*M586+(M596-(1+$D606)^(Settings!$C$7-M$4))*N606)/M596</f>
        <v/>
      </c>
      <c r="N606" s="16">
        <f>((1+$D606)^(Settings!$C$7-N$4)*N586+(N596-(1+$D606)^(Settings!$C$7-N$4))*O606)/N596</f>
        <v/>
      </c>
      <c r="O606" s="16">
        <f>((1+$D606)^(Settings!$C$7-O$4)*O586+(O596-(1+$D606)^(Settings!$C$7-O$4))*P606)/O596</f>
        <v/>
      </c>
      <c r="P606" s="16">
        <f>((1+$D606)^(Settings!$C$7-P$4)*P586+(P596-(1+$D606)^(Settings!$C$7-P$4))*Q606)/P596</f>
        <v/>
      </c>
      <c r="Q606" s="16">
        <f>((1+$D606)^(Settings!$C$7-Q$4)*Q586+(Q596-(1+$D606)^(Settings!$C$7-Q$4))*R606)/Q596</f>
        <v/>
      </c>
      <c r="R606" s="16">
        <f>((1+$D606)^(Settings!$C$7-R$4)*R586+(R596-(1+$D606)^(Settings!$C$7-R$4))*S606)/R596</f>
        <v/>
      </c>
      <c r="S606" s="16">
        <f>((1+$D606)^(Settings!$C$7-S$4)*S586+(S596-(1+$D606)^(Settings!$C$7-S$4))*T606)/S596</f>
        <v/>
      </c>
      <c r="T606" s="16">
        <f>((1+$D606)^(Settings!$C$7-T$4)*T586+(T596-(1+$D606)^(Settings!$C$7-T$4))*U606)/T596</f>
        <v/>
      </c>
      <c r="U606" s="16">
        <f>((1+$D606)^(Settings!$C$7-U$4)*U586+(U596-(1+$D606)^(Settings!$C$7-U$4))*V606)/U596</f>
        <v/>
      </c>
      <c r="V606" s="16">
        <f>((1+$D606)^(Settings!$C$7-V$4)*V586+(V596-(1+$D606)^(Settings!$C$7-V$4))*W606)/V596</f>
        <v/>
      </c>
      <c r="W606" s="16">
        <f>((1+$D606)^(Settings!$C$7-W$4)*W586+(W596-(1+$D606)^(Settings!$C$7-W$4))*X606)/W596</f>
        <v/>
      </c>
      <c r="X606" s="16">
        <f>((1+$D606)^(Settings!$C$7-X$4)*X586+(X596-(1+$D606)^(Settings!$C$7-X$4))*Y606)/X596</f>
        <v/>
      </c>
      <c r="Y606" s="16">
        <f>((1+$D606)^(Settings!$C$7-Y$4)*Y586+(Y596-(1+$D606)^(Settings!$C$7-Y$4))*Z606)/Y596</f>
        <v/>
      </c>
      <c r="Z606" s="16">
        <f>((1+$D606)^(Settings!$C$7-Z$4)*Z586+(Z596-(1+$D606)^(Settings!$C$7-Z$4))*AA606)/Z596</f>
        <v/>
      </c>
      <c r="AA606" s="16">
        <f>((1+$D606)^(Settings!$C$7-AA$4)*AA586+(AA596-(1+$D606)^(Settings!$C$7-AA$4))*AB606)/AA596</f>
        <v/>
      </c>
      <c r="AB606" s="16">
        <f>((1+$D606)^(Settings!$C$7-AB$4)*AB586+(AB596-(1+$D606)^(Settings!$C$7-AB$4))*AC606)/AB596</f>
        <v/>
      </c>
      <c r="AC606" s="16">
        <f>((1+$D606)^(Settings!$C$7-AC$4)*AC586+(AC596-(1+$D606)^(Settings!$C$7-AC$4))*AD606)/AC596</f>
        <v/>
      </c>
      <c r="AD606" s="16">
        <f>((1+$D606)^(Settings!$C$7-AD$4)*AD586+(AD596-(1+$D606)^(Settings!$C$7-AD$4))*AE606)/AD596</f>
        <v/>
      </c>
      <c r="AE606" s="16">
        <f>((1+$D606)^(Settings!$C$7-AE$4)*AE586+(AE596-(1+$D606)^(Settings!$C$7-AE$4))*AF606)/AE596</f>
        <v/>
      </c>
      <c r="AG606" s="11">
        <f>CodePrefix&amp;$A606&amp;IF($C606="","","."&amp;$C606&amp;"."&amp;$B606)&amp;INDEX(VarEnd,MATCH($A606,VarKey,0))&amp;AG$5</f>
        <v/>
      </c>
      <c r="AH606" s="15">
        <f>((1+$D606)^(Settings!$C$7-AH$4)*AH586+(AH596-(1+$D606)^(Settings!$C$7-AH$4))*AI606)/AH596</f>
        <v/>
      </c>
      <c r="AI606" s="16">
        <f>((1+$D606)^(Settings!$C$7-AI$4)*AI586+(AI596-(1+$D606)^(Settings!$C$7-AI$4))*AJ606)/AI596</f>
        <v/>
      </c>
      <c r="AJ606" s="16">
        <f>((1+$D606)^(Settings!$C$7-AJ$4)*AJ586+(AJ596-(1+$D606)^(Settings!$C$7-AJ$4))*AK606)/AJ596</f>
        <v/>
      </c>
      <c r="AK606" s="16">
        <f>((1+$D606)^(Settings!$C$7-AK$4)*AK586+(AK596-(1+$D606)^(Settings!$C$7-AK$4))*AL606)/AK596</f>
        <v/>
      </c>
      <c r="AL606" s="16">
        <f>((1+$D606)^(Settings!$C$7-AL$4)*AL586+(AL596-(1+$D606)^(Settings!$C$7-AL$4))*AM606)/AL596</f>
        <v/>
      </c>
      <c r="AM606" s="16">
        <f>((1+$D606)^(Settings!$C$7-AM$4)*AM586+(AM596-(1+$D606)^(Settings!$C$7-AM$4))*AN606)/AM596</f>
        <v/>
      </c>
      <c r="AN606" s="16">
        <f>((1+$D606)^(Settings!$C$7-AN$4)*AN586+(AN596-(1+$D606)^(Settings!$C$7-AN$4))*AO606)/AN596</f>
        <v/>
      </c>
      <c r="AO606" s="16">
        <f>((1+$D606)^(Settings!$C$7-AO$4)*AO586+(AO596-(1+$D606)^(Settings!$C$7-AO$4))*AP606)/AO596</f>
        <v/>
      </c>
      <c r="AP606" s="16">
        <f>((1+$D606)^(Settings!$C$7-AP$4)*AP586+(AP596-(1+$D606)^(Settings!$C$7-AP$4))*AQ606)/AP596</f>
        <v/>
      </c>
      <c r="AQ606" s="16">
        <f>((1+$D606)^(Settings!$C$7-AQ$4)*AQ586+(AQ596-(1+$D606)^(Settings!$C$7-AQ$4))*AR606)/AQ596</f>
        <v/>
      </c>
      <c r="AR606" s="16">
        <f>((1+$D606)^(Settings!$C$7-AR$4)*AR586+(AR596-(1+$D606)^(Settings!$C$7-AR$4))*AS606)/AR596</f>
        <v/>
      </c>
      <c r="AS606" s="16">
        <f>((1+$D606)^(Settings!$C$7-AS$4)*AS586+(AS596-(1+$D606)^(Settings!$C$7-AS$4))*AT606)/AS596</f>
        <v/>
      </c>
      <c r="AT606" s="16">
        <f>((1+$D606)^(Settings!$C$7-AT$4)*AT586+(AT596-(1+$D606)^(Settings!$C$7-AT$4))*AU606)/AT596</f>
        <v/>
      </c>
      <c r="AU606" s="16">
        <f>((1+$D606)^(Settings!$C$7-AU$4)*AU586+(AU596-(1+$D606)^(Settings!$C$7-AU$4))*AV606)/AU596</f>
        <v/>
      </c>
      <c r="AV606" s="16">
        <f>((1+$D606)^(Settings!$C$7-AV$4)*AV586+(AV596-(1+$D606)^(Settings!$C$7-AV$4))*AW606)/AV596</f>
        <v/>
      </c>
      <c r="AW606" s="16">
        <f>((1+$D606)^(Settings!$C$7-AW$4)*AW586+(AW596-(1+$D606)^(Settings!$C$7-AW$4))*AX606)/AW596</f>
        <v/>
      </c>
      <c r="AX606" s="16">
        <f>((1+$D606)^(Settings!$C$7-AX$4)*AX586+(AX596-(1+$D606)^(Settings!$C$7-AX$4))*AY606)/AX596</f>
        <v/>
      </c>
      <c r="AY606" s="16">
        <f>((1+$D606)^(Settings!$C$7-AY$4)*AY586+(AY596-(1+$D606)^(Settings!$C$7-AY$4))*AZ606)/AY596</f>
        <v/>
      </c>
      <c r="AZ606" s="16">
        <f>((1+$D606)^(Settings!$C$7-AZ$4)*AZ586+(AZ596-(1+$D606)^(Settings!$C$7-AZ$4))*BA606)/AZ596</f>
        <v/>
      </c>
      <c r="BA606" s="16">
        <f>((1+$D606)^(Settings!$C$7-BA$4)*BA586+(BA596-(1+$D606)^(Settings!$C$7-BA$4))*BB606)/BA596</f>
        <v/>
      </c>
    </row>
    <row r="607" hidden="1" outlineLevel="1">
      <c r="A607" s="14" t="inlineStr">
        <is>
          <t>lvc</t>
        </is>
      </c>
      <c r="B607" s="14" t="inlineStr">
        <is>
          <t>hyd</t>
        </is>
      </c>
      <c r="C607" s="14" t="inlineStr">
        <is>
          <t>pow</t>
        </is>
      </c>
      <c r="D607" s="45">
        <f>INDEX(Inputs_power!$G$5:$G$13,MATCH($B607,Inputs_power!$A$5:$A$13,0))</f>
        <v/>
      </c>
      <c r="E607" s="39" t="n"/>
      <c r="F607" s="39" t="n"/>
      <c r="G607" s="39" t="n"/>
      <c r="H607" s="14">
        <f>INDEX(VarLab,MATCH($A607,VarKey,0))&amp;INDEX(MemLab,MATCH($C607&amp;"|"&amp;$B607,MemKey,0))</f>
        <v/>
      </c>
      <c r="I607" s="14">
        <f>INDEX(VarUnit,MATCH($A607,VarKey,0))</f>
        <v/>
      </c>
      <c r="J607" s="14">
        <f>INDEX(VarSrc,MATCH($A607,VarKey,0))</f>
        <v/>
      </c>
      <c r="K607" s="11">
        <f>CodePrefix&amp;$A607&amp;IF($C607="","","."&amp;$C607&amp;"."&amp;$B607)&amp;INDEX(VarEnd,MATCH($A607,VarKey,0))&amp;K$5</f>
        <v/>
      </c>
      <c r="L607" s="15">
        <f>((1+$D607)^(Settings!$C$7-L$4)*L587+(L597-(1+$D607)^(Settings!$C$7-L$4))*M607)/L597</f>
        <v/>
      </c>
      <c r="M607" s="16">
        <f>((1+$D607)^(Settings!$C$7-M$4)*M587+(M597-(1+$D607)^(Settings!$C$7-M$4))*N607)/M597</f>
        <v/>
      </c>
      <c r="N607" s="16">
        <f>((1+$D607)^(Settings!$C$7-N$4)*N587+(N597-(1+$D607)^(Settings!$C$7-N$4))*O607)/N597</f>
        <v/>
      </c>
      <c r="O607" s="16">
        <f>((1+$D607)^(Settings!$C$7-O$4)*O587+(O597-(1+$D607)^(Settings!$C$7-O$4))*P607)/O597</f>
        <v/>
      </c>
      <c r="P607" s="16">
        <f>((1+$D607)^(Settings!$C$7-P$4)*P587+(P597-(1+$D607)^(Settings!$C$7-P$4))*Q607)/P597</f>
        <v/>
      </c>
      <c r="Q607" s="16">
        <f>((1+$D607)^(Settings!$C$7-Q$4)*Q587+(Q597-(1+$D607)^(Settings!$C$7-Q$4))*R607)/Q597</f>
        <v/>
      </c>
      <c r="R607" s="16">
        <f>((1+$D607)^(Settings!$C$7-R$4)*R587+(R597-(1+$D607)^(Settings!$C$7-R$4))*S607)/R597</f>
        <v/>
      </c>
      <c r="S607" s="16">
        <f>((1+$D607)^(Settings!$C$7-S$4)*S587+(S597-(1+$D607)^(Settings!$C$7-S$4))*T607)/S597</f>
        <v/>
      </c>
      <c r="T607" s="16">
        <f>((1+$D607)^(Settings!$C$7-T$4)*T587+(T597-(1+$D607)^(Settings!$C$7-T$4))*U607)/T597</f>
        <v/>
      </c>
      <c r="U607" s="16">
        <f>((1+$D607)^(Settings!$C$7-U$4)*U587+(U597-(1+$D607)^(Settings!$C$7-U$4))*V607)/U597</f>
        <v/>
      </c>
      <c r="V607" s="16">
        <f>((1+$D607)^(Settings!$C$7-V$4)*V587+(V597-(1+$D607)^(Settings!$C$7-V$4))*W607)/V597</f>
        <v/>
      </c>
      <c r="W607" s="16">
        <f>((1+$D607)^(Settings!$C$7-W$4)*W587+(W597-(1+$D607)^(Settings!$C$7-W$4))*X607)/W597</f>
        <v/>
      </c>
      <c r="X607" s="16">
        <f>((1+$D607)^(Settings!$C$7-X$4)*X587+(X597-(1+$D607)^(Settings!$C$7-X$4))*Y607)/X597</f>
        <v/>
      </c>
      <c r="Y607" s="16">
        <f>((1+$D607)^(Settings!$C$7-Y$4)*Y587+(Y597-(1+$D607)^(Settings!$C$7-Y$4))*Z607)/Y597</f>
        <v/>
      </c>
      <c r="Z607" s="16">
        <f>((1+$D607)^(Settings!$C$7-Z$4)*Z587+(Z597-(1+$D607)^(Settings!$C$7-Z$4))*AA607)/Z597</f>
        <v/>
      </c>
      <c r="AA607" s="16">
        <f>((1+$D607)^(Settings!$C$7-AA$4)*AA587+(AA597-(1+$D607)^(Settings!$C$7-AA$4))*AB607)/AA597</f>
        <v/>
      </c>
      <c r="AB607" s="16">
        <f>((1+$D607)^(Settings!$C$7-AB$4)*AB587+(AB597-(1+$D607)^(Settings!$C$7-AB$4))*AC607)/AB597</f>
        <v/>
      </c>
      <c r="AC607" s="16">
        <f>((1+$D607)^(Settings!$C$7-AC$4)*AC587+(AC597-(1+$D607)^(Settings!$C$7-AC$4))*AD607)/AC597</f>
        <v/>
      </c>
      <c r="AD607" s="16">
        <f>((1+$D607)^(Settings!$C$7-AD$4)*AD587+(AD597-(1+$D607)^(Settings!$C$7-AD$4))*AE607)/AD597</f>
        <v/>
      </c>
      <c r="AE607" s="16">
        <f>((1+$D607)^(Settings!$C$7-AE$4)*AE587+(AE597-(1+$D607)^(Settings!$C$7-AE$4))*AF607)/AE597</f>
        <v/>
      </c>
      <c r="AG607" s="11">
        <f>CodePrefix&amp;$A607&amp;IF($C607="","","."&amp;$C607&amp;"."&amp;$B607)&amp;INDEX(VarEnd,MATCH($A607,VarKey,0))&amp;AG$5</f>
        <v/>
      </c>
      <c r="AH607" s="15">
        <f>((1+$D607)^(Settings!$C$7-AH$4)*AH587+(AH597-(1+$D607)^(Settings!$C$7-AH$4))*AI607)/AH597</f>
        <v/>
      </c>
      <c r="AI607" s="16">
        <f>((1+$D607)^(Settings!$C$7-AI$4)*AI587+(AI597-(1+$D607)^(Settings!$C$7-AI$4))*AJ607)/AI597</f>
        <v/>
      </c>
      <c r="AJ607" s="16">
        <f>((1+$D607)^(Settings!$C$7-AJ$4)*AJ587+(AJ597-(1+$D607)^(Settings!$C$7-AJ$4))*AK607)/AJ597</f>
        <v/>
      </c>
      <c r="AK607" s="16">
        <f>((1+$D607)^(Settings!$C$7-AK$4)*AK587+(AK597-(1+$D607)^(Settings!$C$7-AK$4))*AL607)/AK597</f>
        <v/>
      </c>
      <c r="AL607" s="16">
        <f>((1+$D607)^(Settings!$C$7-AL$4)*AL587+(AL597-(1+$D607)^(Settings!$C$7-AL$4))*AM607)/AL597</f>
        <v/>
      </c>
      <c r="AM607" s="16">
        <f>((1+$D607)^(Settings!$C$7-AM$4)*AM587+(AM597-(1+$D607)^(Settings!$C$7-AM$4))*AN607)/AM597</f>
        <v/>
      </c>
      <c r="AN607" s="16">
        <f>((1+$D607)^(Settings!$C$7-AN$4)*AN587+(AN597-(1+$D607)^(Settings!$C$7-AN$4))*AO607)/AN597</f>
        <v/>
      </c>
      <c r="AO607" s="16">
        <f>((1+$D607)^(Settings!$C$7-AO$4)*AO587+(AO597-(1+$D607)^(Settings!$C$7-AO$4))*AP607)/AO597</f>
        <v/>
      </c>
      <c r="AP607" s="16">
        <f>((1+$D607)^(Settings!$C$7-AP$4)*AP587+(AP597-(1+$D607)^(Settings!$C$7-AP$4))*AQ607)/AP597</f>
        <v/>
      </c>
      <c r="AQ607" s="16">
        <f>((1+$D607)^(Settings!$C$7-AQ$4)*AQ587+(AQ597-(1+$D607)^(Settings!$C$7-AQ$4))*AR607)/AQ597</f>
        <v/>
      </c>
      <c r="AR607" s="16">
        <f>((1+$D607)^(Settings!$C$7-AR$4)*AR587+(AR597-(1+$D607)^(Settings!$C$7-AR$4))*AS607)/AR597</f>
        <v/>
      </c>
      <c r="AS607" s="16">
        <f>((1+$D607)^(Settings!$C$7-AS$4)*AS587+(AS597-(1+$D607)^(Settings!$C$7-AS$4))*AT607)/AS597</f>
        <v/>
      </c>
      <c r="AT607" s="16">
        <f>((1+$D607)^(Settings!$C$7-AT$4)*AT587+(AT597-(1+$D607)^(Settings!$C$7-AT$4))*AU607)/AT597</f>
        <v/>
      </c>
      <c r="AU607" s="16">
        <f>((1+$D607)^(Settings!$C$7-AU$4)*AU587+(AU597-(1+$D607)^(Settings!$C$7-AU$4))*AV607)/AU597</f>
        <v/>
      </c>
      <c r="AV607" s="16">
        <f>((1+$D607)^(Settings!$C$7-AV$4)*AV587+(AV597-(1+$D607)^(Settings!$C$7-AV$4))*AW607)/AV597</f>
        <v/>
      </c>
      <c r="AW607" s="16">
        <f>((1+$D607)^(Settings!$C$7-AW$4)*AW587+(AW597-(1+$D607)^(Settings!$C$7-AW$4))*AX607)/AW597</f>
        <v/>
      </c>
      <c r="AX607" s="16">
        <f>((1+$D607)^(Settings!$C$7-AX$4)*AX587+(AX597-(1+$D607)^(Settings!$C$7-AX$4))*AY607)/AX597</f>
        <v/>
      </c>
      <c r="AY607" s="16">
        <f>((1+$D607)^(Settings!$C$7-AY$4)*AY587+(AY597-(1+$D607)^(Settings!$C$7-AY$4))*AZ607)/AY597</f>
        <v/>
      </c>
      <c r="AZ607" s="16">
        <f>((1+$D607)^(Settings!$C$7-AZ$4)*AZ587+(AZ597-(1+$D607)^(Settings!$C$7-AZ$4))*BA607)/AZ597</f>
        <v/>
      </c>
      <c r="BA607" s="16">
        <f>((1+$D607)^(Settings!$C$7-BA$4)*BA587+(BA597-(1+$D607)^(Settings!$C$7-BA$4))*BB607)/BA597</f>
        <v/>
      </c>
    </row>
    <row r="608" hidden="1" outlineLevel="1">
      <c r="A608" s="14" t="inlineStr">
        <is>
          <t>lvc</t>
        </is>
      </c>
      <c r="B608" s="14" t="inlineStr">
        <is>
          <t>ore</t>
        </is>
      </c>
      <c r="C608" s="14" t="inlineStr">
        <is>
          <t>pow</t>
        </is>
      </c>
      <c r="D608" s="45">
        <f>INDEX(Inputs_power!$G$5:$G$13,MATCH($B608,Inputs_power!$A$5:$A$13,0))</f>
        <v/>
      </c>
      <c r="E608" s="39" t="n"/>
      <c r="F608" s="39" t="n"/>
      <c r="G608" s="39" t="n"/>
      <c r="H608" s="14">
        <f>INDEX(VarLab,MATCH($A608,VarKey,0))&amp;INDEX(MemLab,MATCH($C608&amp;"|"&amp;$B608,MemKey,0))</f>
        <v/>
      </c>
      <c r="I608" s="14">
        <f>INDEX(VarUnit,MATCH($A608,VarKey,0))</f>
        <v/>
      </c>
      <c r="J608" s="14">
        <f>INDEX(VarSrc,MATCH($A608,VarKey,0))</f>
        <v/>
      </c>
      <c r="K608" s="11">
        <f>CodePrefix&amp;$A608&amp;IF($C608="","","."&amp;$C608&amp;"."&amp;$B608)&amp;INDEX(VarEnd,MATCH($A608,VarKey,0))&amp;K$5</f>
        <v/>
      </c>
      <c r="L608" s="15">
        <f>((1+$D608)^(Settings!$C$7-L$4)*L588+(L598-(1+$D608)^(Settings!$C$7-L$4))*M608)/L598</f>
        <v/>
      </c>
      <c r="M608" s="16">
        <f>((1+$D608)^(Settings!$C$7-M$4)*M588+(M598-(1+$D608)^(Settings!$C$7-M$4))*N608)/M598</f>
        <v/>
      </c>
      <c r="N608" s="16">
        <f>((1+$D608)^(Settings!$C$7-N$4)*N588+(N598-(1+$D608)^(Settings!$C$7-N$4))*O608)/N598</f>
        <v/>
      </c>
      <c r="O608" s="16">
        <f>((1+$D608)^(Settings!$C$7-O$4)*O588+(O598-(1+$D608)^(Settings!$C$7-O$4))*P608)/O598</f>
        <v/>
      </c>
      <c r="P608" s="16">
        <f>((1+$D608)^(Settings!$C$7-P$4)*P588+(P598-(1+$D608)^(Settings!$C$7-P$4))*Q608)/P598</f>
        <v/>
      </c>
      <c r="Q608" s="16">
        <f>((1+$D608)^(Settings!$C$7-Q$4)*Q588+(Q598-(1+$D608)^(Settings!$C$7-Q$4))*R608)/Q598</f>
        <v/>
      </c>
      <c r="R608" s="16">
        <f>((1+$D608)^(Settings!$C$7-R$4)*R588+(R598-(1+$D608)^(Settings!$C$7-R$4))*S608)/R598</f>
        <v/>
      </c>
      <c r="S608" s="16">
        <f>((1+$D608)^(Settings!$C$7-S$4)*S588+(S598-(1+$D608)^(Settings!$C$7-S$4))*T608)/S598</f>
        <v/>
      </c>
      <c r="T608" s="16">
        <f>((1+$D608)^(Settings!$C$7-T$4)*T588+(T598-(1+$D608)^(Settings!$C$7-T$4))*U608)/T598</f>
        <v/>
      </c>
      <c r="U608" s="16">
        <f>((1+$D608)^(Settings!$C$7-U$4)*U588+(U598-(1+$D608)^(Settings!$C$7-U$4))*V608)/U598</f>
        <v/>
      </c>
      <c r="V608" s="16">
        <f>((1+$D608)^(Settings!$C$7-V$4)*V588+(V598-(1+$D608)^(Settings!$C$7-V$4))*W608)/V598</f>
        <v/>
      </c>
      <c r="W608" s="16">
        <f>((1+$D608)^(Settings!$C$7-W$4)*W588+(W598-(1+$D608)^(Settings!$C$7-W$4))*X608)/W598</f>
        <v/>
      </c>
      <c r="X608" s="16">
        <f>((1+$D608)^(Settings!$C$7-X$4)*X588+(X598-(1+$D608)^(Settings!$C$7-X$4))*Y608)/X598</f>
        <v/>
      </c>
      <c r="Y608" s="16">
        <f>((1+$D608)^(Settings!$C$7-Y$4)*Y588+(Y598-(1+$D608)^(Settings!$C$7-Y$4))*Z608)/Y598</f>
        <v/>
      </c>
      <c r="Z608" s="16">
        <f>((1+$D608)^(Settings!$C$7-Z$4)*Z588+(Z598-(1+$D608)^(Settings!$C$7-Z$4))*AA608)/Z598</f>
        <v/>
      </c>
      <c r="AA608" s="16">
        <f>((1+$D608)^(Settings!$C$7-AA$4)*AA588+(AA598-(1+$D608)^(Settings!$C$7-AA$4))*AB608)/AA598</f>
        <v/>
      </c>
      <c r="AB608" s="16">
        <f>((1+$D608)^(Settings!$C$7-AB$4)*AB588+(AB598-(1+$D608)^(Settings!$C$7-AB$4))*AC608)/AB598</f>
        <v/>
      </c>
      <c r="AC608" s="16">
        <f>((1+$D608)^(Settings!$C$7-AC$4)*AC588+(AC598-(1+$D608)^(Settings!$C$7-AC$4))*AD608)/AC598</f>
        <v/>
      </c>
      <c r="AD608" s="16">
        <f>((1+$D608)^(Settings!$C$7-AD$4)*AD588+(AD598-(1+$D608)^(Settings!$C$7-AD$4))*AE608)/AD598</f>
        <v/>
      </c>
      <c r="AE608" s="16">
        <f>((1+$D608)^(Settings!$C$7-AE$4)*AE588+(AE598-(1+$D608)^(Settings!$C$7-AE$4))*AF608)/AE598</f>
        <v/>
      </c>
      <c r="AG608" s="11">
        <f>CodePrefix&amp;$A608&amp;IF($C608="","","."&amp;$C608&amp;"."&amp;$B608)&amp;INDEX(VarEnd,MATCH($A608,VarKey,0))&amp;AG$5</f>
        <v/>
      </c>
      <c r="AH608" s="15">
        <f>((1+$D608)^(Settings!$C$7-AH$4)*AH588+(AH598-(1+$D608)^(Settings!$C$7-AH$4))*AI608)/AH598</f>
        <v/>
      </c>
      <c r="AI608" s="16">
        <f>((1+$D608)^(Settings!$C$7-AI$4)*AI588+(AI598-(1+$D608)^(Settings!$C$7-AI$4))*AJ608)/AI598</f>
        <v/>
      </c>
      <c r="AJ608" s="16">
        <f>((1+$D608)^(Settings!$C$7-AJ$4)*AJ588+(AJ598-(1+$D608)^(Settings!$C$7-AJ$4))*AK608)/AJ598</f>
        <v/>
      </c>
      <c r="AK608" s="16">
        <f>((1+$D608)^(Settings!$C$7-AK$4)*AK588+(AK598-(1+$D608)^(Settings!$C$7-AK$4))*AL608)/AK598</f>
        <v/>
      </c>
      <c r="AL608" s="16">
        <f>((1+$D608)^(Settings!$C$7-AL$4)*AL588+(AL598-(1+$D608)^(Settings!$C$7-AL$4))*AM608)/AL598</f>
        <v/>
      </c>
      <c r="AM608" s="16">
        <f>((1+$D608)^(Settings!$C$7-AM$4)*AM588+(AM598-(1+$D608)^(Settings!$C$7-AM$4))*AN608)/AM598</f>
        <v/>
      </c>
      <c r="AN608" s="16">
        <f>((1+$D608)^(Settings!$C$7-AN$4)*AN588+(AN598-(1+$D608)^(Settings!$C$7-AN$4))*AO608)/AN598</f>
        <v/>
      </c>
      <c r="AO608" s="16">
        <f>((1+$D608)^(Settings!$C$7-AO$4)*AO588+(AO598-(1+$D608)^(Settings!$C$7-AO$4))*AP608)/AO598</f>
        <v/>
      </c>
      <c r="AP608" s="16">
        <f>((1+$D608)^(Settings!$C$7-AP$4)*AP588+(AP598-(1+$D608)^(Settings!$C$7-AP$4))*AQ608)/AP598</f>
        <v/>
      </c>
      <c r="AQ608" s="16">
        <f>((1+$D608)^(Settings!$C$7-AQ$4)*AQ588+(AQ598-(1+$D608)^(Settings!$C$7-AQ$4))*AR608)/AQ598</f>
        <v/>
      </c>
      <c r="AR608" s="16">
        <f>((1+$D608)^(Settings!$C$7-AR$4)*AR588+(AR598-(1+$D608)^(Settings!$C$7-AR$4))*AS608)/AR598</f>
        <v/>
      </c>
      <c r="AS608" s="16">
        <f>((1+$D608)^(Settings!$C$7-AS$4)*AS588+(AS598-(1+$D608)^(Settings!$C$7-AS$4))*AT608)/AS598</f>
        <v/>
      </c>
      <c r="AT608" s="16">
        <f>((1+$D608)^(Settings!$C$7-AT$4)*AT588+(AT598-(1+$D608)^(Settings!$C$7-AT$4))*AU608)/AT598</f>
        <v/>
      </c>
      <c r="AU608" s="16">
        <f>((1+$D608)^(Settings!$C$7-AU$4)*AU588+(AU598-(1+$D608)^(Settings!$C$7-AU$4))*AV608)/AU598</f>
        <v/>
      </c>
      <c r="AV608" s="16">
        <f>((1+$D608)^(Settings!$C$7-AV$4)*AV588+(AV598-(1+$D608)^(Settings!$C$7-AV$4))*AW608)/AV598</f>
        <v/>
      </c>
      <c r="AW608" s="16">
        <f>((1+$D608)^(Settings!$C$7-AW$4)*AW588+(AW598-(1+$D608)^(Settings!$C$7-AW$4))*AX608)/AW598</f>
        <v/>
      </c>
      <c r="AX608" s="16">
        <f>((1+$D608)^(Settings!$C$7-AX$4)*AX588+(AX598-(1+$D608)^(Settings!$C$7-AX$4))*AY608)/AX598</f>
        <v/>
      </c>
      <c r="AY608" s="16">
        <f>((1+$D608)^(Settings!$C$7-AY$4)*AY588+(AY598-(1+$D608)^(Settings!$C$7-AY$4))*AZ608)/AY598</f>
        <v/>
      </c>
      <c r="AZ608" s="16">
        <f>((1+$D608)^(Settings!$C$7-AZ$4)*AZ588+(AZ598-(1+$D608)^(Settings!$C$7-AZ$4))*BA608)/AZ598</f>
        <v/>
      </c>
      <c r="BA608" s="16">
        <f>((1+$D608)^(Settings!$C$7-BA$4)*BA588+(BA598-(1+$D608)^(Settings!$C$7-BA$4))*BB608)/BA598</f>
        <v/>
      </c>
    </row>
    <row r="609" hidden="1" outlineLevel="1">
      <c r="A609" s="14" t="inlineStr">
        <is>
          <t>lvc</t>
        </is>
      </c>
      <c r="B609" s="14" t="inlineStr">
        <is>
          <t>bio</t>
        </is>
      </c>
      <c r="C609" s="14" t="inlineStr">
        <is>
          <t>pow</t>
        </is>
      </c>
      <c r="D609" s="45">
        <f>INDEX(Inputs_power!$G$5:$G$13,MATCH($B609,Inputs_power!$A$5:$A$13,0))</f>
        <v/>
      </c>
      <c r="E609" s="39" t="n"/>
      <c r="F609" s="39" t="n"/>
      <c r="G609" s="39" t="n"/>
      <c r="H609" s="14">
        <f>INDEX(VarLab,MATCH($A609,VarKey,0))&amp;INDEX(MemLab,MATCH($C609&amp;"|"&amp;$B609,MemKey,0))</f>
        <v/>
      </c>
      <c r="I609" s="14">
        <f>INDEX(VarUnit,MATCH($A609,VarKey,0))</f>
        <v/>
      </c>
      <c r="J609" s="14">
        <f>INDEX(VarSrc,MATCH($A609,VarKey,0))</f>
        <v/>
      </c>
      <c r="K609" s="11">
        <f>CodePrefix&amp;$A609&amp;IF($C609="","","."&amp;$C609&amp;"."&amp;$B609)&amp;INDEX(VarEnd,MATCH($A609,VarKey,0))&amp;K$5</f>
        <v/>
      </c>
      <c r="L609" s="15">
        <f>((1+$D609)^(Settings!$C$7-L$4)*L589+(L599-(1+$D609)^(Settings!$C$7-L$4))*M609)/L599</f>
        <v/>
      </c>
      <c r="M609" s="16">
        <f>((1+$D609)^(Settings!$C$7-M$4)*M589+(M599-(1+$D609)^(Settings!$C$7-M$4))*N609)/M599</f>
        <v/>
      </c>
      <c r="N609" s="16">
        <f>((1+$D609)^(Settings!$C$7-N$4)*N589+(N599-(1+$D609)^(Settings!$C$7-N$4))*O609)/N599</f>
        <v/>
      </c>
      <c r="O609" s="16">
        <f>((1+$D609)^(Settings!$C$7-O$4)*O589+(O599-(1+$D609)^(Settings!$C$7-O$4))*P609)/O599</f>
        <v/>
      </c>
      <c r="P609" s="16">
        <f>((1+$D609)^(Settings!$C$7-P$4)*P589+(P599-(1+$D609)^(Settings!$C$7-P$4))*Q609)/P599</f>
        <v/>
      </c>
      <c r="Q609" s="16">
        <f>((1+$D609)^(Settings!$C$7-Q$4)*Q589+(Q599-(1+$D609)^(Settings!$C$7-Q$4))*R609)/Q599</f>
        <v/>
      </c>
      <c r="R609" s="16">
        <f>((1+$D609)^(Settings!$C$7-R$4)*R589+(R599-(1+$D609)^(Settings!$C$7-R$4))*S609)/R599</f>
        <v/>
      </c>
      <c r="S609" s="16">
        <f>((1+$D609)^(Settings!$C$7-S$4)*S589+(S599-(1+$D609)^(Settings!$C$7-S$4))*T609)/S599</f>
        <v/>
      </c>
      <c r="T609" s="16">
        <f>((1+$D609)^(Settings!$C$7-T$4)*T589+(T599-(1+$D609)^(Settings!$C$7-T$4))*U609)/T599</f>
        <v/>
      </c>
      <c r="U609" s="16">
        <f>((1+$D609)^(Settings!$C$7-U$4)*U589+(U599-(1+$D609)^(Settings!$C$7-U$4))*V609)/U599</f>
        <v/>
      </c>
      <c r="V609" s="16">
        <f>((1+$D609)^(Settings!$C$7-V$4)*V589+(V599-(1+$D609)^(Settings!$C$7-V$4))*W609)/V599</f>
        <v/>
      </c>
      <c r="W609" s="16">
        <f>((1+$D609)^(Settings!$C$7-W$4)*W589+(W599-(1+$D609)^(Settings!$C$7-W$4))*X609)/W599</f>
        <v/>
      </c>
      <c r="X609" s="16">
        <f>((1+$D609)^(Settings!$C$7-X$4)*X589+(X599-(1+$D609)^(Settings!$C$7-X$4))*Y609)/X599</f>
        <v/>
      </c>
      <c r="Y609" s="16">
        <f>((1+$D609)^(Settings!$C$7-Y$4)*Y589+(Y599-(1+$D609)^(Settings!$C$7-Y$4))*Z609)/Y599</f>
        <v/>
      </c>
      <c r="Z609" s="16">
        <f>((1+$D609)^(Settings!$C$7-Z$4)*Z589+(Z599-(1+$D609)^(Settings!$C$7-Z$4))*AA609)/Z599</f>
        <v/>
      </c>
      <c r="AA609" s="16">
        <f>((1+$D609)^(Settings!$C$7-AA$4)*AA589+(AA599-(1+$D609)^(Settings!$C$7-AA$4))*AB609)/AA599</f>
        <v/>
      </c>
      <c r="AB609" s="16">
        <f>((1+$D609)^(Settings!$C$7-AB$4)*AB589+(AB599-(1+$D609)^(Settings!$C$7-AB$4))*AC609)/AB599</f>
        <v/>
      </c>
      <c r="AC609" s="16">
        <f>((1+$D609)^(Settings!$C$7-AC$4)*AC589+(AC599-(1+$D609)^(Settings!$C$7-AC$4))*AD609)/AC599</f>
        <v/>
      </c>
      <c r="AD609" s="16">
        <f>((1+$D609)^(Settings!$C$7-AD$4)*AD589+(AD599-(1+$D609)^(Settings!$C$7-AD$4))*AE609)/AD599</f>
        <v/>
      </c>
      <c r="AE609" s="16">
        <f>((1+$D609)^(Settings!$C$7-AE$4)*AE589+(AE599-(1+$D609)^(Settings!$C$7-AE$4))*AF609)/AE599</f>
        <v/>
      </c>
      <c r="AG609" s="11">
        <f>CodePrefix&amp;$A609&amp;IF($C609="","","."&amp;$C609&amp;"."&amp;$B609)&amp;INDEX(VarEnd,MATCH($A609,VarKey,0))&amp;AG$5</f>
        <v/>
      </c>
      <c r="AH609" s="15">
        <f>((1+$D609)^(Settings!$C$7-AH$4)*AH589+(AH599-(1+$D609)^(Settings!$C$7-AH$4))*AI609)/AH599</f>
        <v/>
      </c>
      <c r="AI609" s="16">
        <f>((1+$D609)^(Settings!$C$7-AI$4)*AI589+(AI599-(1+$D609)^(Settings!$C$7-AI$4))*AJ609)/AI599</f>
        <v/>
      </c>
      <c r="AJ609" s="16">
        <f>((1+$D609)^(Settings!$C$7-AJ$4)*AJ589+(AJ599-(1+$D609)^(Settings!$C$7-AJ$4))*AK609)/AJ599</f>
        <v/>
      </c>
      <c r="AK609" s="16">
        <f>((1+$D609)^(Settings!$C$7-AK$4)*AK589+(AK599-(1+$D609)^(Settings!$C$7-AK$4))*AL609)/AK599</f>
        <v/>
      </c>
      <c r="AL609" s="16">
        <f>((1+$D609)^(Settings!$C$7-AL$4)*AL589+(AL599-(1+$D609)^(Settings!$C$7-AL$4))*AM609)/AL599</f>
        <v/>
      </c>
      <c r="AM609" s="16">
        <f>((1+$D609)^(Settings!$C$7-AM$4)*AM589+(AM599-(1+$D609)^(Settings!$C$7-AM$4))*AN609)/AM599</f>
        <v/>
      </c>
      <c r="AN609" s="16">
        <f>((1+$D609)^(Settings!$C$7-AN$4)*AN589+(AN599-(1+$D609)^(Settings!$C$7-AN$4))*AO609)/AN599</f>
        <v/>
      </c>
      <c r="AO609" s="16">
        <f>((1+$D609)^(Settings!$C$7-AO$4)*AO589+(AO599-(1+$D609)^(Settings!$C$7-AO$4))*AP609)/AO599</f>
        <v/>
      </c>
      <c r="AP609" s="16">
        <f>((1+$D609)^(Settings!$C$7-AP$4)*AP589+(AP599-(1+$D609)^(Settings!$C$7-AP$4))*AQ609)/AP599</f>
        <v/>
      </c>
      <c r="AQ609" s="16">
        <f>((1+$D609)^(Settings!$C$7-AQ$4)*AQ589+(AQ599-(1+$D609)^(Settings!$C$7-AQ$4))*AR609)/AQ599</f>
        <v/>
      </c>
      <c r="AR609" s="16">
        <f>((1+$D609)^(Settings!$C$7-AR$4)*AR589+(AR599-(1+$D609)^(Settings!$C$7-AR$4))*AS609)/AR599</f>
        <v/>
      </c>
      <c r="AS609" s="16">
        <f>((1+$D609)^(Settings!$C$7-AS$4)*AS589+(AS599-(1+$D609)^(Settings!$C$7-AS$4))*AT609)/AS599</f>
        <v/>
      </c>
      <c r="AT609" s="16">
        <f>((1+$D609)^(Settings!$C$7-AT$4)*AT589+(AT599-(1+$D609)^(Settings!$C$7-AT$4))*AU609)/AT599</f>
        <v/>
      </c>
      <c r="AU609" s="16">
        <f>((1+$D609)^(Settings!$C$7-AU$4)*AU589+(AU599-(1+$D609)^(Settings!$C$7-AU$4))*AV609)/AU599</f>
        <v/>
      </c>
      <c r="AV609" s="16">
        <f>((1+$D609)^(Settings!$C$7-AV$4)*AV589+(AV599-(1+$D609)^(Settings!$C$7-AV$4))*AW609)/AV599</f>
        <v/>
      </c>
      <c r="AW609" s="16">
        <f>((1+$D609)^(Settings!$C$7-AW$4)*AW589+(AW599-(1+$D609)^(Settings!$C$7-AW$4))*AX609)/AW599</f>
        <v/>
      </c>
      <c r="AX609" s="16">
        <f>((1+$D609)^(Settings!$C$7-AX$4)*AX589+(AX599-(1+$D609)^(Settings!$C$7-AX$4))*AY609)/AX599</f>
        <v/>
      </c>
      <c r="AY609" s="16">
        <f>((1+$D609)^(Settings!$C$7-AY$4)*AY589+(AY599-(1+$D609)^(Settings!$C$7-AY$4))*AZ609)/AY599</f>
        <v/>
      </c>
      <c r="AZ609" s="16">
        <f>((1+$D609)^(Settings!$C$7-AZ$4)*AZ589+(AZ599-(1+$D609)^(Settings!$C$7-AZ$4))*BA609)/AZ599</f>
        <v/>
      </c>
      <c r="BA609" s="16">
        <f>((1+$D609)^(Settings!$C$7-BA$4)*BA589+(BA599-(1+$D609)^(Settings!$C$7-BA$4))*BB609)/BA599</f>
        <v/>
      </c>
    </row>
    <row r="610" hidden="1" outlineLevel="1"/>
    <row r="611" hidden="1" outlineLevel="1">
      <c r="H611" s="21" t="inlineStr">
        <is>
          <t>E. Total costs: generation cost by type and average; average new policy cost per kWh consumed; levelised investment cost (E1, for investment)</t>
        </is>
      </c>
    </row>
    <row r="612" hidden="1" outlineLevel="1">
      <c r="A612" s="14" t="inlineStr">
        <is>
          <t>gnc</t>
        </is>
      </c>
      <c r="B612" s="14" t="inlineStr">
        <is>
          <t>coa</t>
        </is>
      </c>
      <c r="C612" s="14" t="inlineStr">
        <is>
          <t>pow</t>
        </is>
      </c>
      <c r="D612" s="39" t="n"/>
      <c r="E612" s="39" t="n"/>
      <c r="F612" s="39" t="n"/>
      <c r="G612" s="39" t="n"/>
      <c r="H612" s="14">
        <f>INDEX(VarLab,MATCH($A612,VarKey,0))&amp;INDEX(MemLab,MATCH($C612&amp;"|"&amp;$B612,MemKey,0))</f>
        <v/>
      </c>
      <c r="I612" s="14">
        <f>INDEX(VarUnit,MATCH($A612,VarKey,0))</f>
        <v/>
      </c>
      <c r="J612" s="14">
        <f>INDEX(VarSrc,MATCH($A612,VarKey,0))</f>
        <v/>
      </c>
      <c r="K612" s="11">
        <f>CodePrefix&amp;$A612&amp;IF($C612="","","."&amp;$C612&amp;"."&amp;$B612)&amp;INDEX(VarEnd,MATCH($A612,VarKey,0))&amp;K$5</f>
        <v/>
      </c>
      <c r="L612" s="15">
        <f>L497+L539</f>
        <v/>
      </c>
      <c r="M612" s="16">
        <f>M497+M539</f>
        <v/>
      </c>
      <c r="N612" s="16">
        <f>N497+N539</f>
        <v/>
      </c>
      <c r="O612" s="16">
        <f>O497+O539</f>
        <v/>
      </c>
      <c r="P612" s="16">
        <f>P497+P539</f>
        <v/>
      </c>
      <c r="Q612" s="16">
        <f>Q497+Q539</f>
        <v/>
      </c>
      <c r="R612" s="16">
        <f>R497+R539</f>
        <v/>
      </c>
      <c r="S612" s="16">
        <f>S497+S539</f>
        <v/>
      </c>
      <c r="T612" s="16">
        <f>T497+T539</f>
        <v/>
      </c>
      <c r="U612" s="16">
        <f>U497+U539</f>
        <v/>
      </c>
      <c r="V612" s="16">
        <f>V497+V539</f>
        <v/>
      </c>
      <c r="W612" s="16">
        <f>W497+W539</f>
        <v/>
      </c>
      <c r="X612" s="16">
        <f>X497+X539</f>
        <v/>
      </c>
      <c r="Y612" s="16">
        <f>Y497+Y539</f>
        <v/>
      </c>
      <c r="Z612" s="16">
        <f>Z497+Z539</f>
        <v/>
      </c>
      <c r="AA612" s="16">
        <f>AA497+AA539</f>
        <v/>
      </c>
      <c r="AB612" s="16">
        <f>AB497+AB539</f>
        <v/>
      </c>
      <c r="AC612" s="16">
        <f>AC497+AC539</f>
        <v/>
      </c>
      <c r="AD612" s="16">
        <f>AD497+AD539</f>
        <v/>
      </c>
      <c r="AE612" s="49">
        <f>GENCOST(AE497,AE539)</f>
        <v/>
      </c>
      <c r="AG612" s="11">
        <f>CodePrefix&amp;$A612&amp;IF($C612="","","."&amp;$C612&amp;"."&amp;$B612)&amp;INDEX(VarEnd,MATCH($A612,VarKey,0))&amp;AG$5</f>
        <v/>
      </c>
      <c r="AH612" s="15">
        <f>AH497+AH539</f>
        <v/>
      </c>
      <c r="AI612" s="16">
        <f>AI497+AI539</f>
        <v/>
      </c>
      <c r="AJ612" s="16">
        <f>AJ497+AJ539</f>
        <v/>
      </c>
      <c r="AK612" s="16">
        <f>AK497+AK539</f>
        <v/>
      </c>
      <c r="AL612" s="16">
        <f>AL497+AL539</f>
        <v/>
      </c>
      <c r="AM612" s="16">
        <f>AM497+AM539</f>
        <v/>
      </c>
      <c r="AN612" s="16">
        <f>AN497+AN539</f>
        <v/>
      </c>
      <c r="AO612" s="16">
        <f>AO497+AO539</f>
        <v/>
      </c>
      <c r="AP612" s="16">
        <f>AP497+AP539</f>
        <v/>
      </c>
      <c r="AQ612" s="16">
        <f>AQ497+AQ539</f>
        <v/>
      </c>
      <c r="AR612" s="16">
        <f>AR497+AR539</f>
        <v/>
      </c>
      <c r="AS612" s="16">
        <f>AS497+AS539</f>
        <v/>
      </c>
      <c r="AT612" s="16">
        <f>AT497+AT539</f>
        <v/>
      </c>
      <c r="AU612" s="16">
        <f>AU497+AU539</f>
        <v/>
      </c>
      <c r="AV612" s="16">
        <f>AV497+AV539</f>
        <v/>
      </c>
      <c r="AW612" s="16">
        <f>AW497+AW539</f>
        <v/>
      </c>
      <c r="AX612" s="16">
        <f>AX497+AX539</f>
        <v/>
      </c>
      <c r="AY612" s="16">
        <f>AY497+AY539</f>
        <v/>
      </c>
      <c r="AZ612" s="16">
        <f>AZ497+AZ539</f>
        <v/>
      </c>
      <c r="BA612" s="49">
        <f>GENCOST(BA497,BA539)</f>
        <v/>
      </c>
    </row>
    <row r="613" hidden="1" outlineLevel="1">
      <c r="A613" s="14" t="inlineStr">
        <is>
          <t>gnc</t>
        </is>
      </c>
      <c r="B613" s="14" t="inlineStr">
        <is>
          <t>nga</t>
        </is>
      </c>
      <c r="C613" s="14" t="inlineStr">
        <is>
          <t>pow</t>
        </is>
      </c>
      <c r="D613" s="39" t="n"/>
      <c r="E613" s="39" t="n"/>
      <c r="F613" s="39" t="n"/>
      <c r="G613" s="39" t="n"/>
      <c r="H613" s="14">
        <f>INDEX(VarLab,MATCH($A613,VarKey,0))&amp;INDEX(MemLab,MATCH($C613&amp;"|"&amp;$B613,MemKey,0))</f>
        <v/>
      </c>
      <c r="I613" s="14">
        <f>INDEX(VarUnit,MATCH($A613,VarKey,0))</f>
        <v/>
      </c>
      <c r="J613" s="14">
        <f>INDEX(VarSrc,MATCH($A613,VarKey,0))</f>
        <v/>
      </c>
      <c r="K613" s="11">
        <f>CodePrefix&amp;$A613&amp;IF($C613="","","."&amp;$C613&amp;"."&amp;$B613)&amp;INDEX(VarEnd,MATCH($A613,VarKey,0))&amp;K$5</f>
        <v/>
      </c>
      <c r="L613" s="15">
        <f>L498+L540</f>
        <v/>
      </c>
      <c r="M613" s="16">
        <f>M498+M540</f>
        <v/>
      </c>
      <c r="N613" s="16">
        <f>N498+N540</f>
        <v/>
      </c>
      <c r="O613" s="16">
        <f>O498+O540</f>
        <v/>
      </c>
      <c r="P613" s="16">
        <f>P498+P540</f>
        <v/>
      </c>
      <c r="Q613" s="16">
        <f>Q498+Q540</f>
        <v/>
      </c>
      <c r="R613" s="16">
        <f>R498+R540</f>
        <v/>
      </c>
      <c r="S613" s="16">
        <f>S498+S540</f>
        <v/>
      </c>
      <c r="T613" s="16">
        <f>T498+T540</f>
        <v/>
      </c>
      <c r="U613" s="16">
        <f>U498+U540</f>
        <v/>
      </c>
      <c r="V613" s="16">
        <f>V498+V540</f>
        <v/>
      </c>
      <c r="W613" s="16">
        <f>W498+W540</f>
        <v/>
      </c>
      <c r="X613" s="16">
        <f>X498+X540</f>
        <v/>
      </c>
      <c r="Y613" s="16">
        <f>Y498+Y540</f>
        <v/>
      </c>
      <c r="Z613" s="16">
        <f>Z498+Z540</f>
        <v/>
      </c>
      <c r="AA613" s="16">
        <f>AA498+AA540</f>
        <v/>
      </c>
      <c r="AB613" s="16">
        <f>AB498+AB540</f>
        <v/>
      </c>
      <c r="AC613" s="16">
        <f>AC498+AC540</f>
        <v/>
      </c>
      <c r="AD613" s="16">
        <f>AD498+AD540</f>
        <v/>
      </c>
      <c r="AE613" s="49">
        <f>GENCOST(AE498,AE540)</f>
        <v/>
      </c>
      <c r="AG613" s="11">
        <f>CodePrefix&amp;$A613&amp;IF($C613="","","."&amp;$C613&amp;"."&amp;$B613)&amp;INDEX(VarEnd,MATCH($A613,VarKey,0))&amp;AG$5</f>
        <v/>
      </c>
      <c r="AH613" s="15">
        <f>AH498+AH540</f>
        <v/>
      </c>
      <c r="AI613" s="16">
        <f>AI498+AI540</f>
        <v/>
      </c>
      <c r="AJ613" s="16">
        <f>AJ498+AJ540</f>
        <v/>
      </c>
      <c r="AK613" s="16">
        <f>AK498+AK540</f>
        <v/>
      </c>
      <c r="AL613" s="16">
        <f>AL498+AL540</f>
        <v/>
      </c>
      <c r="AM613" s="16">
        <f>AM498+AM540</f>
        <v/>
      </c>
      <c r="AN613" s="16">
        <f>AN498+AN540</f>
        <v/>
      </c>
      <c r="AO613" s="16">
        <f>AO498+AO540</f>
        <v/>
      </c>
      <c r="AP613" s="16">
        <f>AP498+AP540</f>
        <v/>
      </c>
      <c r="AQ613" s="16">
        <f>AQ498+AQ540</f>
        <v/>
      </c>
      <c r="AR613" s="16">
        <f>AR498+AR540</f>
        <v/>
      </c>
      <c r="AS613" s="16">
        <f>AS498+AS540</f>
        <v/>
      </c>
      <c r="AT613" s="16">
        <f>AT498+AT540</f>
        <v/>
      </c>
      <c r="AU613" s="16">
        <f>AU498+AU540</f>
        <v/>
      </c>
      <c r="AV613" s="16">
        <f>AV498+AV540</f>
        <v/>
      </c>
      <c r="AW613" s="16">
        <f>AW498+AW540</f>
        <v/>
      </c>
      <c r="AX613" s="16">
        <f>AX498+AX540</f>
        <v/>
      </c>
      <c r="AY613" s="16">
        <f>AY498+AY540</f>
        <v/>
      </c>
      <c r="AZ613" s="16">
        <f>AZ498+AZ540</f>
        <v/>
      </c>
      <c r="BA613" s="49">
        <f>GENCOST(BA498,BA540)</f>
        <v/>
      </c>
    </row>
    <row r="614" hidden="1" outlineLevel="1">
      <c r="A614" s="14" t="inlineStr">
        <is>
          <t>gnc</t>
        </is>
      </c>
      <c r="B614" s="14" t="inlineStr">
        <is>
          <t>oop</t>
        </is>
      </c>
      <c r="C614" s="14" t="inlineStr">
        <is>
          <t>pow</t>
        </is>
      </c>
      <c r="D614" s="39" t="n"/>
      <c r="E614" s="39" t="n"/>
      <c r="F614" s="39" t="n"/>
      <c r="G614" s="39" t="n"/>
      <c r="H614" s="14">
        <f>INDEX(VarLab,MATCH($A614,VarKey,0))&amp;INDEX(MemLab,MATCH($C614&amp;"|"&amp;$B614,MemKey,0))</f>
        <v/>
      </c>
      <c r="I614" s="14">
        <f>INDEX(VarUnit,MATCH($A614,VarKey,0))</f>
        <v/>
      </c>
      <c r="J614" s="14">
        <f>INDEX(VarSrc,MATCH($A614,VarKey,0))</f>
        <v/>
      </c>
      <c r="K614" s="11">
        <f>CodePrefix&amp;$A614&amp;IF($C614="","","."&amp;$C614&amp;"."&amp;$B614)&amp;INDEX(VarEnd,MATCH($A614,VarKey,0))&amp;K$5</f>
        <v/>
      </c>
      <c r="L614" s="15">
        <f>L499+L541</f>
        <v/>
      </c>
      <c r="M614" s="16">
        <f>M499+M541</f>
        <v/>
      </c>
      <c r="N614" s="16">
        <f>N499+N541</f>
        <v/>
      </c>
      <c r="O614" s="16">
        <f>O499+O541</f>
        <v/>
      </c>
      <c r="P614" s="16">
        <f>P499+P541</f>
        <v/>
      </c>
      <c r="Q614" s="16">
        <f>Q499+Q541</f>
        <v/>
      </c>
      <c r="R614" s="16">
        <f>R499+R541</f>
        <v/>
      </c>
      <c r="S614" s="16">
        <f>S499+S541</f>
        <v/>
      </c>
      <c r="T614" s="16">
        <f>T499+T541</f>
        <v/>
      </c>
      <c r="U614" s="16">
        <f>U499+U541</f>
        <v/>
      </c>
      <c r="V614" s="16">
        <f>V499+V541</f>
        <v/>
      </c>
      <c r="W614" s="16">
        <f>W499+W541</f>
        <v/>
      </c>
      <c r="X614" s="16">
        <f>X499+X541</f>
        <v/>
      </c>
      <c r="Y614" s="16">
        <f>Y499+Y541</f>
        <v/>
      </c>
      <c r="Z614" s="16">
        <f>Z499+Z541</f>
        <v/>
      </c>
      <c r="AA614" s="16">
        <f>AA499+AA541</f>
        <v/>
      </c>
      <c r="AB614" s="16">
        <f>AB499+AB541</f>
        <v/>
      </c>
      <c r="AC614" s="16">
        <f>AC499+AC541</f>
        <v/>
      </c>
      <c r="AD614" s="16">
        <f>AD499+AD541</f>
        <v/>
      </c>
      <c r="AE614" s="49">
        <f>GENCOST(AE499,AE541)</f>
        <v/>
      </c>
      <c r="AG614" s="11">
        <f>CodePrefix&amp;$A614&amp;IF($C614="","","."&amp;$C614&amp;"."&amp;$B614)&amp;INDEX(VarEnd,MATCH($A614,VarKey,0))&amp;AG$5</f>
        <v/>
      </c>
      <c r="AH614" s="15">
        <f>AH499+AH541</f>
        <v/>
      </c>
      <c r="AI614" s="16">
        <f>AI499+AI541</f>
        <v/>
      </c>
      <c r="AJ614" s="16">
        <f>AJ499+AJ541</f>
        <v/>
      </c>
      <c r="AK614" s="16">
        <f>AK499+AK541</f>
        <v/>
      </c>
      <c r="AL614" s="16">
        <f>AL499+AL541</f>
        <v/>
      </c>
      <c r="AM614" s="16">
        <f>AM499+AM541</f>
        <v/>
      </c>
      <c r="AN614" s="16">
        <f>AN499+AN541</f>
        <v/>
      </c>
      <c r="AO614" s="16">
        <f>AO499+AO541</f>
        <v/>
      </c>
      <c r="AP614" s="16">
        <f>AP499+AP541</f>
        <v/>
      </c>
      <c r="AQ614" s="16">
        <f>AQ499+AQ541</f>
        <v/>
      </c>
      <c r="AR614" s="16">
        <f>AR499+AR541</f>
        <v/>
      </c>
      <c r="AS614" s="16">
        <f>AS499+AS541</f>
        <v/>
      </c>
      <c r="AT614" s="16">
        <f>AT499+AT541</f>
        <v/>
      </c>
      <c r="AU614" s="16">
        <f>AU499+AU541</f>
        <v/>
      </c>
      <c r="AV614" s="16">
        <f>AV499+AV541</f>
        <v/>
      </c>
      <c r="AW614" s="16">
        <f>AW499+AW541</f>
        <v/>
      </c>
      <c r="AX614" s="16">
        <f>AX499+AX541</f>
        <v/>
      </c>
      <c r="AY614" s="16">
        <f>AY499+AY541</f>
        <v/>
      </c>
      <c r="AZ614" s="16">
        <f>AZ499+AZ541</f>
        <v/>
      </c>
      <c r="BA614" s="49">
        <f>GENCOST(BA499,BA541)</f>
        <v/>
      </c>
    </row>
    <row r="615" hidden="1" outlineLevel="1">
      <c r="A615" s="14" t="inlineStr">
        <is>
          <t>gnc</t>
        </is>
      </c>
      <c r="B615" s="14" t="inlineStr">
        <is>
          <t>nuc</t>
        </is>
      </c>
      <c r="C615" s="14" t="inlineStr">
        <is>
          <t>pow</t>
        </is>
      </c>
      <c r="D615" s="39" t="n"/>
      <c r="E615" s="39" t="n"/>
      <c r="F615" s="39" t="n"/>
      <c r="G615" s="39" t="n"/>
      <c r="H615" s="14">
        <f>INDEX(VarLab,MATCH($A615,VarKey,0))&amp;INDEX(MemLab,MATCH($C615&amp;"|"&amp;$B615,MemKey,0))</f>
        <v/>
      </c>
      <c r="I615" s="14">
        <f>INDEX(VarUnit,MATCH($A615,VarKey,0))</f>
        <v/>
      </c>
      <c r="J615" s="14">
        <f>INDEX(VarSrc,MATCH($A615,VarKey,0))</f>
        <v/>
      </c>
      <c r="K615" s="11">
        <f>CodePrefix&amp;$A615&amp;IF($C615="","","."&amp;$C615&amp;"."&amp;$B615)&amp;INDEX(VarEnd,MATCH($A615,VarKey,0))&amp;K$5</f>
        <v/>
      </c>
      <c r="L615" s="15">
        <f>L500+L542</f>
        <v/>
      </c>
      <c r="M615" s="16">
        <f>M500+M542</f>
        <v/>
      </c>
      <c r="N615" s="16">
        <f>N500+N542</f>
        <v/>
      </c>
      <c r="O615" s="16">
        <f>O500+O542</f>
        <v/>
      </c>
      <c r="P615" s="16">
        <f>P500+P542</f>
        <v/>
      </c>
      <c r="Q615" s="16">
        <f>Q500+Q542</f>
        <v/>
      </c>
      <c r="R615" s="16">
        <f>R500+R542</f>
        <v/>
      </c>
      <c r="S615" s="16">
        <f>S500+S542</f>
        <v/>
      </c>
      <c r="T615" s="16">
        <f>T500+T542</f>
        <v/>
      </c>
      <c r="U615" s="16">
        <f>U500+U542</f>
        <v/>
      </c>
      <c r="V615" s="16">
        <f>V500+V542</f>
        <v/>
      </c>
      <c r="W615" s="16">
        <f>W500+W542</f>
        <v/>
      </c>
      <c r="X615" s="16">
        <f>X500+X542</f>
        <v/>
      </c>
      <c r="Y615" s="16">
        <f>Y500+Y542</f>
        <v/>
      </c>
      <c r="Z615" s="16">
        <f>Z500+Z542</f>
        <v/>
      </c>
      <c r="AA615" s="16">
        <f>AA500+AA542</f>
        <v/>
      </c>
      <c r="AB615" s="16">
        <f>AB500+AB542</f>
        <v/>
      </c>
      <c r="AC615" s="16">
        <f>AC500+AC542</f>
        <v/>
      </c>
      <c r="AD615" s="16">
        <f>AD500+AD542</f>
        <v/>
      </c>
      <c r="AE615" s="49">
        <f>GENCOST(AE500,AE542)</f>
        <v/>
      </c>
      <c r="AG615" s="11">
        <f>CodePrefix&amp;$A615&amp;IF($C615="","","."&amp;$C615&amp;"."&amp;$B615)&amp;INDEX(VarEnd,MATCH($A615,VarKey,0))&amp;AG$5</f>
        <v/>
      </c>
      <c r="AH615" s="15">
        <f>AH500+AH542</f>
        <v/>
      </c>
      <c r="AI615" s="16">
        <f>AI500+AI542</f>
        <v/>
      </c>
      <c r="AJ615" s="16">
        <f>AJ500+AJ542</f>
        <v/>
      </c>
      <c r="AK615" s="16">
        <f>AK500+AK542</f>
        <v/>
      </c>
      <c r="AL615" s="16">
        <f>AL500+AL542</f>
        <v/>
      </c>
      <c r="AM615" s="16">
        <f>AM500+AM542</f>
        <v/>
      </c>
      <c r="AN615" s="16">
        <f>AN500+AN542</f>
        <v/>
      </c>
      <c r="AO615" s="16">
        <f>AO500+AO542</f>
        <v/>
      </c>
      <c r="AP615" s="16">
        <f>AP500+AP542</f>
        <v/>
      </c>
      <c r="AQ615" s="16">
        <f>AQ500+AQ542</f>
        <v/>
      </c>
      <c r="AR615" s="16">
        <f>AR500+AR542</f>
        <v/>
      </c>
      <c r="AS615" s="16">
        <f>AS500+AS542</f>
        <v/>
      </c>
      <c r="AT615" s="16">
        <f>AT500+AT542</f>
        <v/>
      </c>
      <c r="AU615" s="16">
        <f>AU500+AU542</f>
        <v/>
      </c>
      <c r="AV615" s="16">
        <f>AV500+AV542</f>
        <v/>
      </c>
      <c r="AW615" s="16">
        <f>AW500+AW542</f>
        <v/>
      </c>
      <c r="AX615" s="16">
        <f>AX500+AX542</f>
        <v/>
      </c>
      <c r="AY615" s="16">
        <f>AY500+AY542</f>
        <v/>
      </c>
      <c r="AZ615" s="16">
        <f>AZ500+AZ542</f>
        <v/>
      </c>
      <c r="BA615" s="49">
        <f>GENCOST(BA500,BA542)</f>
        <v/>
      </c>
    </row>
    <row r="616" hidden="1" outlineLevel="1">
      <c r="A616" s="14" t="inlineStr">
        <is>
          <t>gnc</t>
        </is>
      </c>
      <c r="B616" s="14" t="inlineStr">
        <is>
          <t>wnd</t>
        </is>
      </c>
      <c r="C616" s="14" t="inlineStr">
        <is>
          <t>pow</t>
        </is>
      </c>
      <c r="D616" s="39" t="n"/>
      <c r="E616" s="39" t="n"/>
      <c r="F616" s="39" t="n"/>
      <c r="G616" s="39" t="n"/>
      <c r="H616" s="14">
        <f>INDEX(VarLab,MATCH($A616,VarKey,0))&amp;INDEX(MemLab,MATCH($C616&amp;"|"&amp;$B616,MemKey,0))</f>
        <v/>
      </c>
      <c r="I616" s="14">
        <f>INDEX(VarUnit,MATCH($A616,VarKey,0))</f>
        <v/>
      </c>
      <c r="J616" s="14">
        <f>INDEX(VarSrc,MATCH($A616,VarKey,0))</f>
        <v/>
      </c>
      <c r="K616" s="11">
        <f>CodePrefix&amp;$A616&amp;IF($C616="","","."&amp;$C616&amp;"."&amp;$B616)&amp;INDEX(VarEnd,MATCH($A616,VarKey,0))&amp;K$5</f>
        <v/>
      </c>
      <c r="L616" s="15">
        <f>L501+L543</f>
        <v/>
      </c>
      <c r="M616" s="16">
        <f>M501+M543</f>
        <v/>
      </c>
      <c r="N616" s="16">
        <f>N501+N543</f>
        <v/>
      </c>
      <c r="O616" s="16">
        <f>O501+O543</f>
        <v/>
      </c>
      <c r="P616" s="16">
        <f>P501+P543</f>
        <v/>
      </c>
      <c r="Q616" s="16">
        <f>Q501+Q543</f>
        <v/>
      </c>
      <c r="R616" s="16">
        <f>R501+R543</f>
        <v/>
      </c>
      <c r="S616" s="16">
        <f>S501+S543</f>
        <v/>
      </c>
      <c r="T616" s="16">
        <f>T501+T543</f>
        <v/>
      </c>
      <c r="U616" s="16">
        <f>U501+U543</f>
        <v/>
      </c>
      <c r="V616" s="16">
        <f>V501+V543</f>
        <v/>
      </c>
      <c r="W616" s="16">
        <f>W501+W543</f>
        <v/>
      </c>
      <c r="X616" s="16">
        <f>X501+X543</f>
        <v/>
      </c>
      <c r="Y616" s="16">
        <f>Y501+Y543</f>
        <v/>
      </c>
      <c r="Z616" s="16">
        <f>Z501+Z543</f>
        <v/>
      </c>
      <c r="AA616" s="16">
        <f>AA501+AA543</f>
        <v/>
      </c>
      <c r="AB616" s="16">
        <f>AB501+AB543</f>
        <v/>
      </c>
      <c r="AC616" s="16">
        <f>AC501+AC543</f>
        <v/>
      </c>
      <c r="AD616" s="16">
        <f>AD501+AD543</f>
        <v/>
      </c>
      <c r="AE616" s="49">
        <f>GENCOST(AE501,AE543)</f>
        <v/>
      </c>
      <c r="AG616" s="11">
        <f>CodePrefix&amp;$A616&amp;IF($C616="","","."&amp;$C616&amp;"."&amp;$B616)&amp;INDEX(VarEnd,MATCH($A616,VarKey,0))&amp;AG$5</f>
        <v/>
      </c>
      <c r="AH616" s="15">
        <f>AH501+AH543</f>
        <v/>
      </c>
      <c r="AI616" s="16">
        <f>AI501+AI543</f>
        <v/>
      </c>
      <c r="AJ616" s="16">
        <f>AJ501+AJ543</f>
        <v/>
      </c>
      <c r="AK616" s="16">
        <f>AK501+AK543</f>
        <v/>
      </c>
      <c r="AL616" s="16">
        <f>AL501+AL543</f>
        <v/>
      </c>
      <c r="AM616" s="16">
        <f>AM501+AM543</f>
        <v/>
      </c>
      <c r="AN616" s="16">
        <f>AN501+AN543</f>
        <v/>
      </c>
      <c r="AO616" s="16">
        <f>AO501+AO543</f>
        <v/>
      </c>
      <c r="AP616" s="16">
        <f>AP501+AP543</f>
        <v/>
      </c>
      <c r="AQ616" s="16">
        <f>AQ501+AQ543</f>
        <v/>
      </c>
      <c r="AR616" s="16">
        <f>AR501+AR543</f>
        <v/>
      </c>
      <c r="AS616" s="16">
        <f>AS501+AS543</f>
        <v/>
      </c>
      <c r="AT616" s="16">
        <f>AT501+AT543</f>
        <v/>
      </c>
      <c r="AU616" s="16">
        <f>AU501+AU543</f>
        <v/>
      </c>
      <c r="AV616" s="16">
        <f>AV501+AV543</f>
        <v/>
      </c>
      <c r="AW616" s="16">
        <f>AW501+AW543</f>
        <v/>
      </c>
      <c r="AX616" s="16">
        <f>AX501+AX543</f>
        <v/>
      </c>
      <c r="AY616" s="16">
        <f>AY501+AY543</f>
        <v/>
      </c>
      <c r="AZ616" s="16">
        <f>AZ501+AZ543</f>
        <v/>
      </c>
      <c r="BA616" s="49">
        <f>GENCOST(BA501,BA543)</f>
        <v/>
      </c>
    </row>
    <row r="617" hidden="1" outlineLevel="1">
      <c r="A617" s="14" t="inlineStr">
        <is>
          <t>gnc</t>
        </is>
      </c>
      <c r="B617" s="14" t="inlineStr">
        <is>
          <t>sol</t>
        </is>
      </c>
      <c r="C617" s="14" t="inlineStr">
        <is>
          <t>pow</t>
        </is>
      </c>
      <c r="D617" s="39" t="n"/>
      <c r="E617" s="39" t="n"/>
      <c r="F617" s="39" t="n"/>
      <c r="G617" s="39" t="n"/>
      <c r="H617" s="14">
        <f>INDEX(VarLab,MATCH($A617,VarKey,0))&amp;INDEX(MemLab,MATCH($C617&amp;"|"&amp;$B617,MemKey,0))</f>
        <v/>
      </c>
      <c r="I617" s="14">
        <f>INDEX(VarUnit,MATCH($A617,VarKey,0))</f>
        <v/>
      </c>
      <c r="J617" s="14">
        <f>INDEX(VarSrc,MATCH($A617,VarKey,0))</f>
        <v/>
      </c>
      <c r="K617" s="11">
        <f>CodePrefix&amp;$A617&amp;IF($C617="","","."&amp;$C617&amp;"."&amp;$B617)&amp;INDEX(VarEnd,MATCH($A617,VarKey,0))&amp;K$5</f>
        <v/>
      </c>
      <c r="L617" s="15">
        <f>L502+L544</f>
        <v/>
      </c>
      <c r="M617" s="16">
        <f>M502+M544</f>
        <v/>
      </c>
      <c r="N617" s="16">
        <f>N502+N544</f>
        <v/>
      </c>
      <c r="O617" s="16">
        <f>O502+O544</f>
        <v/>
      </c>
      <c r="P617" s="16">
        <f>P502+P544</f>
        <v/>
      </c>
      <c r="Q617" s="16">
        <f>Q502+Q544</f>
        <v/>
      </c>
      <c r="R617" s="16">
        <f>R502+R544</f>
        <v/>
      </c>
      <c r="S617" s="16">
        <f>S502+S544</f>
        <v/>
      </c>
      <c r="T617" s="16">
        <f>T502+T544</f>
        <v/>
      </c>
      <c r="U617" s="16">
        <f>U502+U544</f>
        <v/>
      </c>
      <c r="V617" s="16">
        <f>V502+V544</f>
        <v/>
      </c>
      <c r="W617" s="16">
        <f>W502+W544</f>
        <v/>
      </c>
      <c r="X617" s="16">
        <f>X502+X544</f>
        <v/>
      </c>
      <c r="Y617" s="16">
        <f>Y502+Y544</f>
        <v/>
      </c>
      <c r="Z617" s="16">
        <f>Z502+Z544</f>
        <v/>
      </c>
      <c r="AA617" s="16">
        <f>AA502+AA544</f>
        <v/>
      </c>
      <c r="AB617" s="16">
        <f>AB502+AB544</f>
        <v/>
      </c>
      <c r="AC617" s="16">
        <f>AC502+AC544</f>
        <v/>
      </c>
      <c r="AD617" s="16">
        <f>AD502+AD544</f>
        <v/>
      </c>
      <c r="AE617" s="49">
        <f>GENCOST(AE502,AE544)</f>
        <v/>
      </c>
      <c r="AG617" s="11">
        <f>CodePrefix&amp;$A617&amp;IF($C617="","","."&amp;$C617&amp;"."&amp;$B617)&amp;INDEX(VarEnd,MATCH($A617,VarKey,0))&amp;AG$5</f>
        <v/>
      </c>
      <c r="AH617" s="15">
        <f>AH502+AH544</f>
        <v/>
      </c>
      <c r="AI617" s="16">
        <f>AI502+AI544</f>
        <v/>
      </c>
      <c r="AJ617" s="16">
        <f>AJ502+AJ544</f>
        <v/>
      </c>
      <c r="AK617" s="16">
        <f>AK502+AK544</f>
        <v/>
      </c>
      <c r="AL617" s="16">
        <f>AL502+AL544</f>
        <v/>
      </c>
      <c r="AM617" s="16">
        <f>AM502+AM544</f>
        <v/>
      </c>
      <c r="AN617" s="16">
        <f>AN502+AN544</f>
        <v/>
      </c>
      <c r="AO617" s="16">
        <f>AO502+AO544</f>
        <v/>
      </c>
      <c r="AP617" s="16">
        <f>AP502+AP544</f>
        <v/>
      </c>
      <c r="AQ617" s="16">
        <f>AQ502+AQ544</f>
        <v/>
      </c>
      <c r="AR617" s="16">
        <f>AR502+AR544</f>
        <v/>
      </c>
      <c r="AS617" s="16">
        <f>AS502+AS544</f>
        <v/>
      </c>
      <c r="AT617" s="16">
        <f>AT502+AT544</f>
        <v/>
      </c>
      <c r="AU617" s="16">
        <f>AU502+AU544</f>
        <v/>
      </c>
      <c r="AV617" s="16">
        <f>AV502+AV544</f>
        <v/>
      </c>
      <c r="AW617" s="16">
        <f>AW502+AW544</f>
        <v/>
      </c>
      <c r="AX617" s="16">
        <f>AX502+AX544</f>
        <v/>
      </c>
      <c r="AY617" s="16">
        <f>AY502+AY544</f>
        <v/>
      </c>
      <c r="AZ617" s="16">
        <f>AZ502+AZ544</f>
        <v/>
      </c>
      <c r="BA617" s="49">
        <f>GENCOST(BA502,BA544)</f>
        <v/>
      </c>
    </row>
    <row r="618" hidden="1" outlineLevel="1">
      <c r="A618" s="14" t="inlineStr">
        <is>
          <t>gnc</t>
        </is>
      </c>
      <c r="B618" s="14" t="inlineStr">
        <is>
          <t>hyd</t>
        </is>
      </c>
      <c r="C618" s="14" t="inlineStr">
        <is>
          <t>pow</t>
        </is>
      </c>
      <c r="D618" s="39" t="n"/>
      <c r="E618" s="39" t="n"/>
      <c r="F618" s="39" t="n"/>
      <c r="G618" s="39" t="n"/>
      <c r="H618" s="14">
        <f>INDEX(VarLab,MATCH($A618,VarKey,0))&amp;INDEX(MemLab,MATCH($C618&amp;"|"&amp;$B618,MemKey,0))</f>
        <v/>
      </c>
      <c r="I618" s="14">
        <f>INDEX(VarUnit,MATCH($A618,VarKey,0))</f>
        <v/>
      </c>
      <c r="J618" s="14">
        <f>INDEX(VarSrc,MATCH($A618,VarKey,0))</f>
        <v/>
      </c>
      <c r="K618" s="11">
        <f>CodePrefix&amp;$A618&amp;IF($C618="","","."&amp;$C618&amp;"."&amp;$B618)&amp;INDEX(VarEnd,MATCH($A618,VarKey,0))&amp;K$5</f>
        <v/>
      </c>
      <c r="L618" s="15">
        <f>L503+L545</f>
        <v/>
      </c>
      <c r="M618" s="16">
        <f>M503+M545</f>
        <v/>
      </c>
      <c r="N618" s="16">
        <f>N503+N545</f>
        <v/>
      </c>
      <c r="O618" s="16">
        <f>O503+O545</f>
        <v/>
      </c>
      <c r="P618" s="16">
        <f>P503+P545</f>
        <v/>
      </c>
      <c r="Q618" s="16">
        <f>Q503+Q545</f>
        <v/>
      </c>
      <c r="R618" s="16">
        <f>R503+R545</f>
        <v/>
      </c>
      <c r="S618" s="16">
        <f>S503+S545</f>
        <v/>
      </c>
      <c r="T618" s="16">
        <f>T503+T545</f>
        <v/>
      </c>
      <c r="U618" s="16">
        <f>U503+U545</f>
        <v/>
      </c>
      <c r="V618" s="16">
        <f>V503+V545</f>
        <v/>
      </c>
      <c r="W618" s="16">
        <f>W503+W545</f>
        <v/>
      </c>
      <c r="X618" s="16">
        <f>X503+X545</f>
        <v/>
      </c>
      <c r="Y618" s="16">
        <f>Y503+Y545</f>
        <v/>
      </c>
      <c r="Z618" s="16">
        <f>Z503+Z545</f>
        <v/>
      </c>
      <c r="AA618" s="16">
        <f>AA503+AA545</f>
        <v/>
      </c>
      <c r="AB618" s="16">
        <f>AB503+AB545</f>
        <v/>
      </c>
      <c r="AC618" s="16">
        <f>AC503+AC545</f>
        <v/>
      </c>
      <c r="AD618" s="16">
        <f>AD503+AD545</f>
        <v/>
      </c>
      <c r="AE618" s="49">
        <f>GENCOST(AE503,AE545)</f>
        <v/>
      </c>
      <c r="AG618" s="11">
        <f>CodePrefix&amp;$A618&amp;IF($C618="","","."&amp;$C618&amp;"."&amp;$B618)&amp;INDEX(VarEnd,MATCH($A618,VarKey,0))&amp;AG$5</f>
        <v/>
      </c>
      <c r="AH618" s="15">
        <f>AH503+AH545</f>
        <v/>
      </c>
      <c r="AI618" s="16">
        <f>AI503+AI545</f>
        <v/>
      </c>
      <c r="AJ618" s="16">
        <f>AJ503+AJ545</f>
        <v/>
      </c>
      <c r="AK618" s="16">
        <f>AK503+AK545</f>
        <v/>
      </c>
      <c r="AL618" s="16">
        <f>AL503+AL545</f>
        <v/>
      </c>
      <c r="AM618" s="16">
        <f>AM503+AM545</f>
        <v/>
      </c>
      <c r="AN618" s="16">
        <f>AN503+AN545</f>
        <v/>
      </c>
      <c r="AO618" s="16">
        <f>AO503+AO545</f>
        <v/>
      </c>
      <c r="AP618" s="16">
        <f>AP503+AP545</f>
        <v/>
      </c>
      <c r="AQ618" s="16">
        <f>AQ503+AQ545</f>
        <v/>
      </c>
      <c r="AR618" s="16">
        <f>AR503+AR545</f>
        <v/>
      </c>
      <c r="AS618" s="16">
        <f>AS503+AS545</f>
        <v/>
      </c>
      <c r="AT618" s="16">
        <f>AT503+AT545</f>
        <v/>
      </c>
      <c r="AU618" s="16">
        <f>AU503+AU545</f>
        <v/>
      </c>
      <c r="AV618" s="16">
        <f>AV503+AV545</f>
        <v/>
      </c>
      <c r="AW618" s="16">
        <f>AW503+AW545</f>
        <v/>
      </c>
      <c r="AX618" s="16">
        <f>AX503+AX545</f>
        <v/>
      </c>
      <c r="AY618" s="16">
        <f>AY503+AY545</f>
        <v/>
      </c>
      <c r="AZ618" s="16">
        <f>AZ503+AZ545</f>
        <v/>
      </c>
      <c r="BA618" s="49">
        <f>GENCOST(BA503,BA545)</f>
        <v/>
      </c>
    </row>
    <row r="619" hidden="1" outlineLevel="1">
      <c r="A619" s="14" t="inlineStr">
        <is>
          <t>gnc</t>
        </is>
      </c>
      <c r="B619" s="14" t="inlineStr">
        <is>
          <t>ore</t>
        </is>
      </c>
      <c r="C619" s="14" t="inlineStr">
        <is>
          <t>pow</t>
        </is>
      </c>
      <c r="D619" s="39" t="n"/>
      <c r="E619" s="39" t="n"/>
      <c r="F619" s="39" t="n"/>
      <c r="G619" s="39" t="n"/>
      <c r="H619" s="14">
        <f>INDEX(VarLab,MATCH($A619,VarKey,0))&amp;INDEX(MemLab,MATCH($C619&amp;"|"&amp;$B619,MemKey,0))</f>
        <v/>
      </c>
      <c r="I619" s="14">
        <f>INDEX(VarUnit,MATCH($A619,VarKey,0))</f>
        <v/>
      </c>
      <c r="J619" s="14">
        <f>INDEX(VarSrc,MATCH($A619,VarKey,0))</f>
        <v/>
      </c>
      <c r="K619" s="11">
        <f>CodePrefix&amp;$A619&amp;IF($C619="","","."&amp;$C619&amp;"."&amp;$B619)&amp;INDEX(VarEnd,MATCH($A619,VarKey,0))&amp;K$5</f>
        <v/>
      </c>
      <c r="L619" s="15">
        <f>L504+L546</f>
        <v/>
      </c>
      <c r="M619" s="16">
        <f>M504+M546</f>
        <v/>
      </c>
      <c r="N619" s="16">
        <f>N504+N546</f>
        <v/>
      </c>
      <c r="O619" s="16">
        <f>O504+O546</f>
        <v/>
      </c>
      <c r="P619" s="16">
        <f>P504+P546</f>
        <v/>
      </c>
      <c r="Q619" s="16">
        <f>Q504+Q546</f>
        <v/>
      </c>
      <c r="R619" s="16">
        <f>R504+R546</f>
        <v/>
      </c>
      <c r="S619" s="16">
        <f>S504+S546</f>
        <v/>
      </c>
      <c r="T619" s="16">
        <f>T504+T546</f>
        <v/>
      </c>
      <c r="U619" s="16">
        <f>U504+U546</f>
        <v/>
      </c>
      <c r="V619" s="16">
        <f>V504+V546</f>
        <v/>
      </c>
      <c r="W619" s="16">
        <f>W504+W546</f>
        <v/>
      </c>
      <c r="X619" s="16">
        <f>X504+X546</f>
        <v/>
      </c>
      <c r="Y619" s="16">
        <f>Y504+Y546</f>
        <v/>
      </c>
      <c r="Z619" s="16">
        <f>Z504+Z546</f>
        <v/>
      </c>
      <c r="AA619" s="16">
        <f>AA504+AA546</f>
        <v/>
      </c>
      <c r="AB619" s="16">
        <f>AB504+AB546</f>
        <v/>
      </c>
      <c r="AC619" s="16">
        <f>AC504+AC546</f>
        <v/>
      </c>
      <c r="AD619" s="16">
        <f>AD504+AD546</f>
        <v/>
      </c>
      <c r="AE619" s="49">
        <f>GENCOST(AE504,AE546)</f>
        <v/>
      </c>
      <c r="AG619" s="11">
        <f>CodePrefix&amp;$A619&amp;IF($C619="","","."&amp;$C619&amp;"."&amp;$B619)&amp;INDEX(VarEnd,MATCH($A619,VarKey,0))&amp;AG$5</f>
        <v/>
      </c>
      <c r="AH619" s="15">
        <f>AH504+AH546</f>
        <v/>
      </c>
      <c r="AI619" s="16">
        <f>AI504+AI546</f>
        <v/>
      </c>
      <c r="AJ619" s="16">
        <f>AJ504+AJ546</f>
        <v/>
      </c>
      <c r="AK619" s="16">
        <f>AK504+AK546</f>
        <v/>
      </c>
      <c r="AL619" s="16">
        <f>AL504+AL546</f>
        <v/>
      </c>
      <c r="AM619" s="16">
        <f>AM504+AM546</f>
        <v/>
      </c>
      <c r="AN619" s="16">
        <f>AN504+AN546</f>
        <v/>
      </c>
      <c r="AO619" s="16">
        <f>AO504+AO546</f>
        <v/>
      </c>
      <c r="AP619" s="16">
        <f>AP504+AP546</f>
        <v/>
      </c>
      <c r="AQ619" s="16">
        <f>AQ504+AQ546</f>
        <v/>
      </c>
      <c r="AR619" s="16">
        <f>AR504+AR546</f>
        <v/>
      </c>
      <c r="AS619" s="16">
        <f>AS504+AS546</f>
        <v/>
      </c>
      <c r="AT619" s="16">
        <f>AT504+AT546</f>
        <v/>
      </c>
      <c r="AU619" s="16">
        <f>AU504+AU546</f>
        <v/>
      </c>
      <c r="AV619" s="16">
        <f>AV504+AV546</f>
        <v/>
      </c>
      <c r="AW619" s="16">
        <f>AW504+AW546</f>
        <v/>
      </c>
      <c r="AX619" s="16">
        <f>AX504+AX546</f>
        <v/>
      </c>
      <c r="AY619" s="16">
        <f>AY504+AY546</f>
        <v/>
      </c>
      <c r="AZ619" s="16">
        <f>AZ504+AZ546</f>
        <v/>
      </c>
      <c r="BA619" s="49">
        <f>GENCOST(BA504,BA546)</f>
        <v/>
      </c>
    </row>
    <row r="620" hidden="1" outlineLevel="1">
      <c r="A620" s="14" t="inlineStr">
        <is>
          <t>gnc</t>
        </is>
      </c>
      <c r="B620" s="14" t="inlineStr">
        <is>
          <t>bio</t>
        </is>
      </c>
      <c r="C620" s="14" t="inlineStr">
        <is>
          <t>pow</t>
        </is>
      </c>
      <c r="D620" s="39" t="n"/>
      <c r="E620" s="39" t="n"/>
      <c r="F620" s="39" t="n"/>
      <c r="G620" s="39" t="n"/>
      <c r="H620" s="14">
        <f>INDEX(VarLab,MATCH($A620,VarKey,0))&amp;INDEX(MemLab,MATCH($C620&amp;"|"&amp;$B620,MemKey,0))</f>
        <v/>
      </c>
      <c r="I620" s="14">
        <f>INDEX(VarUnit,MATCH($A620,VarKey,0))</f>
        <v/>
      </c>
      <c r="J620" s="14">
        <f>INDEX(VarSrc,MATCH($A620,VarKey,0))</f>
        <v/>
      </c>
      <c r="K620" s="11">
        <f>CodePrefix&amp;$A620&amp;IF($C620="","","."&amp;$C620&amp;"."&amp;$B620)&amp;INDEX(VarEnd,MATCH($A620,VarKey,0))&amp;K$5</f>
        <v/>
      </c>
      <c r="L620" s="15">
        <f>L505+L547</f>
        <v/>
      </c>
      <c r="M620" s="16">
        <f>M505+M547</f>
        <v/>
      </c>
      <c r="N620" s="16">
        <f>N505+N547</f>
        <v/>
      </c>
      <c r="O620" s="16">
        <f>O505+O547</f>
        <v/>
      </c>
      <c r="P620" s="16">
        <f>P505+P547</f>
        <v/>
      </c>
      <c r="Q620" s="16">
        <f>Q505+Q547</f>
        <v/>
      </c>
      <c r="R620" s="16">
        <f>R505+R547</f>
        <v/>
      </c>
      <c r="S620" s="16">
        <f>S505+S547</f>
        <v/>
      </c>
      <c r="T620" s="16">
        <f>T505+T547</f>
        <v/>
      </c>
      <c r="U620" s="16">
        <f>U505+U547</f>
        <v/>
      </c>
      <c r="V620" s="16">
        <f>V505+V547</f>
        <v/>
      </c>
      <c r="W620" s="16">
        <f>W505+W547</f>
        <v/>
      </c>
      <c r="X620" s="16">
        <f>X505+X547</f>
        <v/>
      </c>
      <c r="Y620" s="16">
        <f>Y505+Y547</f>
        <v/>
      </c>
      <c r="Z620" s="16">
        <f>Z505+Z547</f>
        <v/>
      </c>
      <c r="AA620" s="16">
        <f>AA505+AA547</f>
        <v/>
      </c>
      <c r="AB620" s="16">
        <f>AB505+AB547</f>
        <v/>
      </c>
      <c r="AC620" s="16">
        <f>AC505+AC547</f>
        <v/>
      </c>
      <c r="AD620" s="16">
        <f>AD505+AD547</f>
        <v/>
      </c>
      <c r="AE620" s="49">
        <f>GENCOST(AE505,AE547)</f>
        <v/>
      </c>
      <c r="AG620" s="11">
        <f>CodePrefix&amp;$A620&amp;IF($C620="","","."&amp;$C620&amp;"."&amp;$B620)&amp;INDEX(VarEnd,MATCH($A620,VarKey,0))&amp;AG$5</f>
        <v/>
      </c>
      <c r="AH620" s="15">
        <f>AH505+AH547</f>
        <v/>
      </c>
      <c r="AI620" s="16">
        <f>AI505+AI547</f>
        <v/>
      </c>
      <c r="AJ620" s="16">
        <f>AJ505+AJ547</f>
        <v/>
      </c>
      <c r="AK620" s="16">
        <f>AK505+AK547</f>
        <v/>
      </c>
      <c r="AL620" s="16">
        <f>AL505+AL547</f>
        <v/>
      </c>
      <c r="AM620" s="16">
        <f>AM505+AM547</f>
        <v/>
      </c>
      <c r="AN620" s="16">
        <f>AN505+AN547</f>
        <v/>
      </c>
      <c r="AO620" s="16">
        <f>AO505+AO547</f>
        <v/>
      </c>
      <c r="AP620" s="16">
        <f>AP505+AP547</f>
        <v/>
      </c>
      <c r="AQ620" s="16">
        <f>AQ505+AQ547</f>
        <v/>
      </c>
      <c r="AR620" s="16">
        <f>AR505+AR547</f>
        <v/>
      </c>
      <c r="AS620" s="16">
        <f>AS505+AS547</f>
        <v/>
      </c>
      <c r="AT620" s="16">
        <f>AT505+AT547</f>
        <v/>
      </c>
      <c r="AU620" s="16">
        <f>AU505+AU547</f>
        <v/>
      </c>
      <c r="AV620" s="16">
        <f>AV505+AV547</f>
        <v/>
      </c>
      <c r="AW620" s="16">
        <f>AW505+AW547</f>
        <v/>
      </c>
      <c r="AX620" s="16">
        <f>AX505+AX547</f>
        <v/>
      </c>
      <c r="AY620" s="16">
        <f>AY505+AY547</f>
        <v/>
      </c>
      <c r="AZ620" s="16">
        <f>AZ505+AZ547</f>
        <v/>
      </c>
      <c r="BA620" s="49">
        <f>GENCOST(BA505,BA547)</f>
        <v/>
      </c>
    </row>
    <row r="621" hidden="1" outlineLevel="1"/>
    <row r="622" collapsed="1">
      <c r="A622" s="1" t="inlineStr">
        <is>
          <t>gncav</t>
        </is>
      </c>
      <c r="B622" s="1" t="inlineStr"/>
      <c r="C622" s="1" t="inlineStr"/>
      <c r="D622" s="53" t="n">
        <v>1</v>
      </c>
      <c r="E622" s="39" t="n"/>
      <c r="F622" s="39" t="n"/>
      <c r="G622" s="39" t="n"/>
      <c r="H622" s="1">
        <f>INDEX(VarLab,MATCH($A622,VarKey,0))&amp;INDEX(MemLab,MATCH($C622&amp;"|"&amp;$B622,MemKey,0))</f>
        <v/>
      </c>
      <c r="I622" s="1">
        <f>INDEX(VarUnit,MATCH($A622,VarKey,0))</f>
        <v/>
      </c>
      <c r="J622" s="1">
        <f>INDEX(VarSrc,MATCH($A622,VarKey,0))</f>
        <v/>
      </c>
      <c r="K622" s="17">
        <f>CodePrefix&amp;$A622&amp;IF($C622="","","."&amp;$C622&amp;"."&amp;$B622)&amp;INDEX(VarEnd,MATCH($A622,VarKey,0))&amp;K$5</f>
        <v/>
      </c>
      <c r="L622" s="54">
        <f>SUMPRODUCT(L$736:L$744,L$612:L$620)*$D622</f>
        <v/>
      </c>
      <c r="M622" s="55">
        <f>SUMPRODUCT(M$736:M$744,M$612:M$620)*$D622</f>
        <v/>
      </c>
      <c r="N622" s="55">
        <f>SUMPRODUCT(N$736:N$744,N$612:N$620)*$D622</f>
        <v/>
      </c>
      <c r="O622" s="55">
        <f>SUMPRODUCT(O$736:O$744,O$612:O$620)*$D622</f>
        <v/>
      </c>
      <c r="P622" s="55">
        <f>SUMPRODUCT(P$736:P$744,P$612:P$620)*$D622</f>
        <v/>
      </c>
      <c r="Q622" s="55">
        <f>SUMPRODUCT(Q$736:Q$744,Q$612:Q$620)*$D622</f>
        <v/>
      </c>
      <c r="R622" s="55">
        <f>SUMPRODUCT(R$736:R$744,R$612:R$620)*$D622</f>
        <v/>
      </c>
      <c r="S622" s="55">
        <f>SUMPRODUCT(S$736:S$744,S$612:S$620)*$D622</f>
        <v/>
      </c>
      <c r="T622" s="55">
        <f>SUMPRODUCT(T$736:T$744,T$612:T$620)*$D622</f>
        <v/>
      </c>
      <c r="U622" s="55">
        <f>SUMPRODUCT(U$736:U$744,U$612:U$620)*$D622</f>
        <v/>
      </c>
      <c r="V622" s="55">
        <f>SUMPRODUCT(V$736:V$744,V$612:V$620)*$D622</f>
        <v/>
      </c>
      <c r="W622" s="55">
        <f>SUMPRODUCT(W$736:W$744,W$612:W$620)*$D622</f>
        <v/>
      </c>
      <c r="X622" s="55">
        <f>SUMPRODUCT(X$736:X$744,X$612:X$620)*$D622</f>
        <v/>
      </c>
      <c r="Y622" s="55">
        <f>SUMPRODUCT(Y$736:Y$744,Y$612:Y$620)*$D622</f>
        <v/>
      </c>
      <c r="Z622" s="55">
        <f>SUMPRODUCT(Z$736:Z$744,Z$612:Z$620)*$D622</f>
        <v/>
      </c>
      <c r="AA622" s="55">
        <f>SUMPRODUCT(AA$736:AA$744,AA$612:AA$620)*$D622</f>
        <v/>
      </c>
      <c r="AB622" s="55">
        <f>SUMPRODUCT(AB$736:AB$744,AB$612:AB$620)*$D622</f>
        <v/>
      </c>
      <c r="AC622" s="55">
        <f>SUMPRODUCT(AC$736:AC$744,AC$612:AC$620)*$D622</f>
        <v/>
      </c>
      <c r="AD622" s="55">
        <f>SUMPRODUCT(AD$736:AD$744,AD$612:AD$620)*$D622</f>
        <v/>
      </c>
      <c r="AE622" s="49">
        <f>WEIGHTED(AE$736:AE$744,AE$612:AE$620,$D622)</f>
        <v/>
      </c>
      <c r="AG622" s="17">
        <f>CodePrefix&amp;$A622&amp;IF($C622="","","."&amp;$C622&amp;"."&amp;$B622)&amp;INDEX(VarEnd,MATCH($A622,VarKey,0))&amp;AG$5</f>
        <v/>
      </c>
      <c r="AH622" s="54">
        <f>SUMPRODUCT(AH$736:AH$744,AH$612:AH$620)*$D622</f>
        <v/>
      </c>
      <c r="AI622" s="55">
        <f>SUMPRODUCT(AI$736:AI$744,AI$612:AI$620)*$D622</f>
        <v/>
      </c>
      <c r="AJ622" s="55">
        <f>SUMPRODUCT(AJ$736:AJ$744,AJ$612:AJ$620)*$D622</f>
        <v/>
      </c>
      <c r="AK622" s="55">
        <f>SUMPRODUCT(AK$736:AK$744,AK$612:AK$620)*$D622</f>
        <v/>
      </c>
      <c r="AL622" s="55">
        <f>SUMPRODUCT(AL$736:AL$744,AL$612:AL$620)*$D622</f>
        <v/>
      </c>
      <c r="AM622" s="55">
        <f>SUMPRODUCT(AM$736:AM$744,AM$612:AM$620)*$D622</f>
        <v/>
      </c>
      <c r="AN622" s="55">
        <f>SUMPRODUCT(AN$736:AN$744,AN$612:AN$620)*$D622</f>
        <v/>
      </c>
      <c r="AO622" s="55">
        <f>SUMPRODUCT(AO$736:AO$744,AO$612:AO$620)*$D622</f>
        <v/>
      </c>
      <c r="AP622" s="55">
        <f>SUMPRODUCT(AP$736:AP$744,AP$612:AP$620)*$D622</f>
        <v/>
      </c>
      <c r="AQ622" s="55">
        <f>SUMPRODUCT(AQ$736:AQ$744,AQ$612:AQ$620)*$D622</f>
        <v/>
      </c>
      <c r="AR622" s="55">
        <f>SUMPRODUCT(AR$736:AR$744,AR$612:AR$620)*$D622</f>
        <v/>
      </c>
      <c r="AS622" s="55">
        <f>SUMPRODUCT(AS$736:AS$744,AS$612:AS$620)*$D622</f>
        <v/>
      </c>
      <c r="AT622" s="55">
        <f>SUMPRODUCT(AT$736:AT$744,AT$612:AT$620)*$D622</f>
        <v/>
      </c>
      <c r="AU622" s="55">
        <f>SUMPRODUCT(AU$736:AU$744,AU$612:AU$620)*$D622</f>
        <v/>
      </c>
      <c r="AV622" s="55">
        <f>SUMPRODUCT(AV$736:AV$744,AV$612:AV$620)*$D622</f>
        <v/>
      </c>
      <c r="AW622" s="55">
        <f>SUMPRODUCT(AW$736:AW$744,AW$612:AW$620)*$D622</f>
        <v/>
      </c>
      <c r="AX622" s="55">
        <f>SUMPRODUCT(AX$736:AX$744,AX$612:AX$620)*$D622</f>
        <v/>
      </c>
      <c r="AY622" s="55">
        <f>SUMPRODUCT(AY$736:AY$744,AY$612:AY$620)*$D622</f>
        <v/>
      </c>
      <c r="AZ622" s="55">
        <f>SUMPRODUCT(AZ$736:AZ$744,AZ$612:AZ$620)*$D622</f>
        <v/>
      </c>
      <c r="BA622" s="49">
        <f>WEIGHTED(BA$736:BA$744,BA$612:BA$620,$D622)</f>
        <v/>
      </c>
    </row>
    <row r="623" hidden="1" outlineLevel="1">
      <c r="A623" s="14" t="inlineStr">
        <is>
          <t>ccpav</t>
        </is>
      </c>
      <c r="B623" s="14" t="inlineStr"/>
      <c r="C623" s="14" t="inlineStr"/>
      <c r="D623" s="45">
        <f>INDEX(PParVal,MATCH("gen_per_cons",PParKey,0))</f>
        <v/>
      </c>
      <c r="E623" s="39" t="n"/>
      <c r="F623" s="39" t="n"/>
      <c r="G623" s="39" t="n"/>
      <c r="H623" s="14">
        <f>INDEX(VarLab,MATCH($A623,VarKey,0))&amp;INDEX(MemLab,MATCH($C623&amp;"|"&amp;$B623,MemKey,0))</f>
        <v/>
      </c>
      <c r="I623" s="14">
        <f>INDEX(VarUnit,MATCH($A623,VarKey,0))</f>
        <v/>
      </c>
      <c r="J623" s="14">
        <f>INDEX(VarSrc,MATCH($A623,VarKey,0))</f>
        <v/>
      </c>
      <c r="K623" s="11">
        <f>CodePrefix&amp;$A623&amp;IF($C623="","","."&amp;$C623&amp;"."&amp;$B623)&amp;INDEX(VarEnd,MATCH($A623,VarKey,0))&amp;K$5</f>
        <v/>
      </c>
      <c r="L623" s="15">
        <f>SUMPRODUCT(L$736:L$744,L$549:L$557)*$D623</f>
        <v/>
      </c>
      <c r="M623" s="16">
        <f>SUMPRODUCT(M$736:M$744,M$549:M$557)*$D623</f>
        <v/>
      </c>
      <c r="N623" s="16">
        <f>SUMPRODUCT(N$736:N$744,N$549:N$557)*$D623</f>
        <v/>
      </c>
      <c r="O623" s="16">
        <f>SUMPRODUCT(O$736:O$744,O$549:O$557)*$D623</f>
        <v/>
      </c>
      <c r="P623" s="16">
        <f>SUMPRODUCT(P$736:P$744,P$549:P$557)*$D623</f>
        <v/>
      </c>
      <c r="Q623" s="16">
        <f>SUMPRODUCT(Q$736:Q$744,Q$549:Q$557)*$D623</f>
        <v/>
      </c>
      <c r="R623" s="16">
        <f>SUMPRODUCT(R$736:R$744,R$549:R$557)*$D623</f>
        <v/>
      </c>
      <c r="S623" s="16">
        <f>SUMPRODUCT(S$736:S$744,S$549:S$557)*$D623</f>
        <v/>
      </c>
      <c r="T623" s="16">
        <f>SUMPRODUCT(T$736:T$744,T$549:T$557)*$D623</f>
        <v/>
      </c>
      <c r="U623" s="16">
        <f>SUMPRODUCT(U$736:U$744,U$549:U$557)*$D623</f>
        <v/>
      </c>
      <c r="V623" s="16">
        <f>SUMPRODUCT(V$736:V$744,V$549:V$557)*$D623</f>
        <v/>
      </c>
      <c r="W623" s="16">
        <f>SUMPRODUCT(W$736:W$744,W$549:W$557)*$D623</f>
        <v/>
      </c>
      <c r="X623" s="16">
        <f>SUMPRODUCT(X$736:X$744,X$549:X$557)*$D623</f>
        <v/>
      </c>
      <c r="Y623" s="16">
        <f>SUMPRODUCT(Y$736:Y$744,Y$549:Y$557)*$D623</f>
        <v/>
      </c>
      <c r="Z623" s="16">
        <f>SUMPRODUCT(Z$736:Z$744,Z$549:Z$557)*$D623</f>
        <v/>
      </c>
      <c r="AA623" s="16">
        <f>SUMPRODUCT(AA$736:AA$744,AA$549:AA$557)*$D623</f>
        <v/>
      </c>
      <c r="AB623" s="16">
        <f>SUMPRODUCT(AB$736:AB$744,AB$549:AB$557)*$D623</f>
        <v/>
      </c>
      <c r="AC623" s="16">
        <f>SUMPRODUCT(AC$736:AC$744,AC$549:AC$557)*$D623</f>
        <v/>
      </c>
      <c r="AD623" s="16">
        <f>SUMPRODUCT(AD$736:AD$744,AD$549:AD$557)*$D623</f>
        <v/>
      </c>
      <c r="AE623" s="49">
        <f>WEIGHTED(AE$736:AE$744,AE$549:AE$557,$D623)</f>
        <v/>
      </c>
      <c r="AG623" s="11">
        <f>CodePrefix&amp;$A623&amp;IF($C623="","","."&amp;$C623&amp;"."&amp;$B623)&amp;INDEX(VarEnd,MATCH($A623,VarKey,0))&amp;AG$5</f>
        <v/>
      </c>
      <c r="AH623" s="15">
        <f>SUMPRODUCT(AH$736:AH$744,AH$549:AH$557)*$D623</f>
        <v/>
      </c>
      <c r="AI623" s="16">
        <f>SUMPRODUCT(AI$736:AI$744,AI$549:AI$557)*$D623</f>
        <v/>
      </c>
      <c r="AJ623" s="16">
        <f>SUMPRODUCT(AJ$736:AJ$744,AJ$549:AJ$557)*$D623</f>
        <v/>
      </c>
      <c r="AK623" s="16">
        <f>SUMPRODUCT(AK$736:AK$744,AK$549:AK$557)*$D623</f>
        <v/>
      </c>
      <c r="AL623" s="16">
        <f>SUMPRODUCT(AL$736:AL$744,AL$549:AL$557)*$D623</f>
        <v/>
      </c>
      <c r="AM623" s="16">
        <f>SUMPRODUCT(AM$736:AM$744,AM$549:AM$557)*$D623</f>
        <v/>
      </c>
      <c r="AN623" s="16">
        <f>SUMPRODUCT(AN$736:AN$744,AN$549:AN$557)*$D623</f>
        <v/>
      </c>
      <c r="AO623" s="16">
        <f>SUMPRODUCT(AO$736:AO$744,AO$549:AO$557)*$D623</f>
        <v/>
      </c>
      <c r="AP623" s="16">
        <f>SUMPRODUCT(AP$736:AP$744,AP$549:AP$557)*$D623</f>
        <v/>
      </c>
      <c r="AQ623" s="16">
        <f>SUMPRODUCT(AQ$736:AQ$744,AQ$549:AQ$557)*$D623</f>
        <v/>
      </c>
      <c r="AR623" s="16">
        <f>SUMPRODUCT(AR$736:AR$744,AR$549:AR$557)*$D623</f>
        <v/>
      </c>
      <c r="AS623" s="16">
        <f>SUMPRODUCT(AS$736:AS$744,AS$549:AS$557)*$D623</f>
        <v/>
      </c>
      <c r="AT623" s="16">
        <f>SUMPRODUCT(AT$736:AT$744,AT$549:AT$557)*$D623</f>
        <v/>
      </c>
      <c r="AU623" s="16">
        <f>SUMPRODUCT(AU$736:AU$744,AU$549:AU$557)*$D623</f>
        <v/>
      </c>
      <c r="AV623" s="16">
        <f>SUMPRODUCT(AV$736:AV$744,AV$549:AV$557)*$D623</f>
        <v/>
      </c>
      <c r="AW623" s="16">
        <f>SUMPRODUCT(AW$736:AW$744,AW$549:AW$557)*$D623</f>
        <v/>
      </c>
      <c r="AX623" s="16">
        <f>SUMPRODUCT(AX$736:AX$744,AX$549:AX$557)*$D623</f>
        <v/>
      </c>
      <c r="AY623" s="16">
        <f>SUMPRODUCT(AY$736:AY$744,AY$549:AY$557)*$D623</f>
        <v/>
      </c>
      <c r="AZ623" s="16">
        <f>SUMPRODUCT(AZ$736:AZ$744,AZ$549:AZ$557)*$D623</f>
        <v/>
      </c>
      <c r="BA623" s="49">
        <f>WEIGHTED(BA$736:BA$744,BA$549:BA$557,$D623)</f>
        <v/>
      </c>
    </row>
    <row r="624" hidden="1" outlineLevel="1"/>
    <row r="625" hidden="1" outlineLevel="1">
      <c r="A625" s="14" t="inlineStr">
        <is>
          <t>tic</t>
        </is>
      </c>
      <c r="B625" s="14" t="inlineStr">
        <is>
          <t>coa</t>
        </is>
      </c>
      <c r="C625" s="14" t="inlineStr">
        <is>
          <t>pow</t>
        </is>
      </c>
      <c r="D625" s="45">
        <f>INDEX(PParVal,MATCH("min_cost",PParKey,0))</f>
        <v/>
      </c>
      <c r="E625" s="39" t="n"/>
      <c r="F625" s="39" t="n"/>
      <c r="G625" s="39" t="n"/>
      <c r="H625" s="14">
        <f>INDEX(VarLab,MATCH($A625,VarKey,0))&amp;INDEX(MemLab,MATCH($C625&amp;"|"&amp;$B625,MemKey,0))</f>
        <v/>
      </c>
      <c r="I625" s="14">
        <f>INDEX(VarUnit,MATCH($A625,VarKey,0))</f>
        <v/>
      </c>
      <c r="J625" s="14">
        <f>INDEX(VarSrc,MATCH($A625,VarKey,0))</f>
        <v/>
      </c>
      <c r="K625" s="11">
        <f>CodePrefix&amp;$A625&amp;IF($C625="","","."&amp;$C625&amp;"."&amp;$B625)&amp;INDEX(VarEnd,MATCH($A625,VarKey,0))&amp;K$5</f>
        <v/>
      </c>
      <c r="L625" s="15">
        <f>MAX(L508+L601,$D625)</f>
        <v/>
      </c>
      <c r="M625" s="16">
        <f>MAX(M508+M601,$D625)</f>
        <v/>
      </c>
      <c r="N625" s="16">
        <f>MAX(N508+N601,$D625)</f>
        <v/>
      </c>
      <c r="O625" s="16">
        <f>MAX(O508+O601,$D625)</f>
        <v/>
      </c>
      <c r="P625" s="16">
        <f>MAX(P508+P601,$D625)</f>
        <v/>
      </c>
      <c r="Q625" s="16">
        <f>MAX(Q508+Q601,$D625)</f>
        <v/>
      </c>
      <c r="R625" s="16">
        <f>MAX(R508+R601,$D625)</f>
        <v/>
      </c>
      <c r="S625" s="16">
        <f>MAX(S508+S601,$D625)</f>
        <v/>
      </c>
      <c r="T625" s="16">
        <f>MAX(T508+T601,$D625)</f>
        <v/>
      </c>
      <c r="U625" s="16">
        <f>MAX(U508+U601,$D625)</f>
        <v/>
      </c>
      <c r="V625" s="16">
        <f>MAX(V508+V601,$D625)</f>
        <v/>
      </c>
      <c r="W625" s="16">
        <f>MAX(W508+W601,$D625)</f>
        <v/>
      </c>
      <c r="X625" s="16">
        <f>MAX(X508+X601,$D625)</f>
        <v/>
      </c>
      <c r="Y625" s="16">
        <f>MAX(Y508+Y601,$D625)</f>
        <v/>
      </c>
      <c r="Z625" s="16">
        <f>MAX(Z508+Z601,$D625)</f>
        <v/>
      </c>
      <c r="AA625" s="16">
        <f>MAX(AA508+AA601,$D625)</f>
        <v/>
      </c>
      <c r="AB625" s="16">
        <f>MAX(AB508+AB601,$D625)</f>
        <v/>
      </c>
      <c r="AC625" s="16">
        <f>MAX(AC508+AC601,$D625)</f>
        <v/>
      </c>
      <c r="AD625" s="16">
        <f>MAX(AD508+AD601,$D625)</f>
        <v/>
      </c>
      <c r="AE625" s="49">
        <f>INVCOST(AE508,AE601,$D625)</f>
        <v/>
      </c>
      <c r="AG625" s="11">
        <f>CodePrefix&amp;$A625&amp;IF($C625="","","."&amp;$C625&amp;"."&amp;$B625)&amp;INDEX(VarEnd,MATCH($A625,VarKey,0))&amp;AG$5</f>
        <v/>
      </c>
      <c r="AH625" s="15">
        <f>MAX(AH508+AH601,$D625)</f>
        <v/>
      </c>
      <c r="AI625" s="16">
        <f>MAX(AI508+AI601,$D625)</f>
        <v/>
      </c>
      <c r="AJ625" s="16">
        <f>MAX(AJ508+AJ601,$D625)</f>
        <v/>
      </c>
      <c r="AK625" s="16">
        <f>MAX(AK508+AK601,$D625)</f>
        <v/>
      </c>
      <c r="AL625" s="16">
        <f>MAX(AL508+AL601,$D625)</f>
        <v/>
      </c>
      <c r="AM625" s="16">
        <f>MAX(AM508+AM601,$D625)</f>
        <v/>
      </c>
      <c r="AN625" s="16">
        <f>MAX(AN508+AN601,$D625)</f>
        <v/>
      </c>
      <c r="AO625" s="16">
        <f>MAX(AO508+AO601,$D625)</f>
        <v/>
      </c>
      <c r="AP625" s="16">
        <f>MAX(AP508+AP601,$D625)</f>
        <v/>
      </c>
      <c r="AQ625" s="16">
        <f>MAX(AQ508+AQ601,$D625)</f>
        <v/>
      </c>
      <c r="AR625" s="16">
        <f>MAX(AR508+AR601,$D625)</f>
        <v/>
      </c>
      <c r="AS625" s="16">
        <f>MAX(AS508+AS601,$D625)</f>
        <v/>
      </c>
      <c r="AT625" s="16">
        <f>MAX(AT508+AT601,$D625)</f>
        <v/>
      </c>
      <c r="AU625" s="16">
        <f>MAX(AU508+AU601,$D625)</f>
        <v/>
      </c>
      <c r="AV625" s="16">
        <f>MAX(AV508+AV601,$D625)</f>
        <v/>
      </c>
      <c r="AW625" s="16">
        <f>MAX(AW508+AW601,$D625)</f>
        <v/>
      </c>
      <c r="AX625" s="16">
        <f>MAX(AX508+AX601,$D625)</f>
        <v/>
      </c>
      <c r="AY625" s="16">
        <f>MAX(AY508+AY601,$D625)</f>
        <v/>
      </c>
      <c r="AZ625" s="16">
        <f>MAX(AZ508+AZ601,$D625)</f>
        <v/>
      </c>
      <c r="BA625" s="49">
        <f>INVCOST(BA508,BA601,$D625)</f>
        <v/>
      </c>
    </row>
    <row r="626" hidden="1" outlineLevel="1">
      <c r="A626" s="14" t="inlineStr">
        <is>
          <t>tic</t>
        </is>
      </c>
      <c r="B626" s="14" t="inlineStr">
        <is>
          <t>nga</t>
        </is>
      </c>
      <c r="C626" s="14" t="inlineStr">
        <is>
          <t>pow</t>
        </is>
      </c>
      <c r="D626" s="45">
        <f>INDEX(PParVal,MATCH("min_cost",PParKey,0))</f>
        <v/>
      </c>
      <c r="E626" s="39" t="n"/>
      <c r="F626" s="39" t="n"/>
      <c r="G626" s="39" t="n"/>
      <c r="H626" s="14">
        <f>INDEX(VarLab,MATCH($A626,VarKey,0))&amp;INDEX(MemLab,MATCH($C626&amp;"|"&amp;$B626,MemKey,0))</f>
        <v/>
      </c>
      <c r="I626" s="14">
        <f>INDEX(VarUnit,MATCH($A626,VarKey,0))</f>
        <v/>
      </c>
      <c r="J626" s="14">
        <f>INDEX(VarSrc,MATCH($A626,VarKey,0))</f>
        <v/>
      </c>
      <c r="K626" s="11">
        <f>CodePrefix&amp;$A626&amp;IF($C626="","","."&amp;$C626&amp;"."&amp;$B626)&amp;INDEX(VarEnd,MATCH($A626,VarKey,0))&amp;K$5</f>
        <v/>
      </c>
      <c r="L626" s="15">
        <f>MAX(L509+L602,$D626)</f>
        <v/>
      </c>
      <c r="M626" s="16">
        <f>MAX(M509+M602,$D626)</f>
        <v/>
      </c>
      <c r="N626" s="16">
        <f>MAX(N509+N602,$D626)</f>
        <v/>
      </c>
      <c r="O626" s="16">
        <f>MAX(O509+O602,$D626)</f>
        <v/>
      </c>
      <c r="P626" s="16">
        <f>MAX(P509+P602,$D626)</f>
        <v/>
      </c>
      <c r="Q626" s="16">
        <f>MAX(Q509+Q602,$D626)</f>
        <v/>
      </c>
      <c r="R626" s="16">
        <f>MAX(R509+R602,$D626)</f>
        <v/>
      </c>
      <c r="S626" s="16">
        <f>MAX(S509+S602,$D626)</f>
        <v/>
      </c>
      <c r="T626" s="16">
        <f>MAX(T509+T602,$D626)</f>
        <v/>
      </c>
      <c r="U626" s="16">
        <f>MAX(U509+U602,$D626)</f>
        <v/>
      </c>
      <c r="V626" s="16">
        <f>MAX(V509+V602,$D626)</f>
        <v/>
      </c>
      <c r="W626" s="16">
        <f>MAX(W509+W602,$D626)</f>
        <v/>
      </c>
      <c r="X626" s="16">
        <f>MAX(X509+X602,$D626)</f>
        <v/>
      </c>
      <c r="Y626" s="16">
        <f>MAX(Y509+Y602,$D626)</f>
        <v/>
      </c>
      <c r="Z626" s="16">
        <f>MAX(Z509+Z602,$D626)</f>
        <v/>
      </c>
      <c r="AA626" s="16">
        <f>MAX(AA509+AA602,$D626)</f>
        <v/>
      </c>
      <c r="AB626" s="16">
        <f>MAX(AB509+AB602,$D626)</f>
        <v/>
      </c>
      <c r="AC626" s="16">
        <f>MAX(AC509+AC602,$D626)</f>
        <v/>
      </c>
      <c r="AD626" s="16">
        <f>MAX(AD509+AD602,$D626)</f>
        <v/>
      </c>
      <c r="AE626" s="49">
        <f>INVCOST(AE509,AE602,$D626)</f>
        <v/>
      </c>
      <c r="AG626" s="11">
        <f>CodePrefix&amp;$A626&amp;IF($C626="","","."&amp;$C626&amp;"."&amp;$B626)&amp;INDEX(VarEnd,MATCH($A626,VarKey,0))&amp;AG$5</f>
        <v/>
      </c>
      <c r="AH626" s="15">
        <f>MAX(AH509+AH602,$D626)</f>
        <v/>
      </c>
      <c r="AI626" s="16">
        <f>MAX(AI509+AI602,$D626)</f>
        <v/>
      </c>
      <c r="AJ626" s="16">
        <f>MAX(AJ509+AJ602,$D626)</f>
        <v/>
      </c>
      <c r="AK626" s="16">
        <f>MAX(AK509+AK602,$D626)</f>
        <v/>
      </c>
      <c r="AL626" s="16">
        <f>MAX(AL509+AL602,$D626)</f>
        <v/>
      </c>
      <c r="AM626" s="16">
        <f>MAX(AM509+AM602,$D626)</f>
        <v/>
      </c>
      <c r="AN626" s="16">
        <f>MAX(AN509+AN602,$D626)</f>
        <v/>
      </c>
      <c r="AO626" s="16">
        <f>MAX(AO509+AO602,$D626)</f>
        <v/>
      </c>
      <c r="AP626" s="16">
        <f>MAX(AP509+AP602,$D626)</f>
        <v/>
      </c>
      <c r="AQ626" s="16">
        <f>MAX(AQ509+AQ602,$D626)</f>
        <v/>
      </c>
      <c r="AR626" s="16">
        <f>MAX(AR509+AR602,$D626)</f>
        <v/>
      </c>
      <c r="AS626" s="16">
        <f>MAX(AS509+AS602,$D626)</f>
        <v/>
      </c>
      <c r="AT626" s="16">
        <f>MAX(AT509+AT602,$D626)</f>
        <v/>
      </c>
      <c r="AU626" s="16">
        <f>MAX(AU509+AU602,$D626)</f>
        <v/>
      </c>
      <c r="AV626" s="16">
        <f>MAX(AV509+AV602,$D626)</f>
        <v/>
      </c>
      <c r="AW626" s="16">
        <f>MAX(AW509+AW602,$D626)</f>
        <v/>
      </c>
      <c r="AX626" s="16">
        <f>MAX(AX509+AX602,$D626)</f>
        <v/>
      </c>
      <c r="AY626" s="16">
        <f>MAX(AY509+AY602,$D626)</f>
        <v/>
      </c>
      <c r="AZ626" s="16">
        <f>MAX(AZ509+AZ602,$D626)</f>
        <v/>
      </c>
      <c r="BA626" s="49">
        <f>INVCOST(BA509,BA602,$D626)</f>
        <v/>
      </c>
    </row>
    <row r="627" hidden="1" outlineLevel="1">
      <c r="A627" s="14" t="inlineStr">
        <is>
          <t>tic</t>
        </is>
      </c>
      <c r="B627" s="14" t="inlineStr">
        <is>
          <t>oop</t>
        </is>
      </c>
      <c r="C627" s="14" t="inlineStr">
        <is>
          <t>pow</t>
        </is>
      </c>
      <c r="D627" s="45">
        <f>INDEX(PParVal,MATCH("min_cost",PParKey,0))</f>
        <v/>
      </c>
      <c r="E627" s="39" t="n"/>
      <c r="F627" s="39" t="n"/>
      <c r="G627" s="39" t="n"/>
      <c r="H627" s="14">
        <f>INDEX(VarLab,MATCH($A627,VarKey,0))&amp;INDEX(MemLab,MATCH($C627&amp;"|"&amp;$B627,MemKey,0))</f>
        <v/>
      </c>
      <c r="I627" s="14">
        <f>INDEX(VarUnit,MATCH($A627,VarKey,0))</f>
        <v/>
      </c>
      <c r="J627" s="14">
        <f>INDEX(VarSrc,MATCH($A627,VarKey,0))</f>
        <v/>
      </c>
      <c r="K627" s="11">
        <f>CodePrefix&amp;$A627&amp;IF($C627="","","."&amp;$C627&amp;"."&amp;$B627)&amp;INDEX(VarEnd,MATCH($A627,VarKey,0))&amp;K$5</f>
        <v/>
      </c>
      <c r="L627" s="15">
        <f>MAX(L510+L603,$D627)</f>
        <v/>
      </c>
      <c r="M627" s="16">
        <f>MAX(M510+M603,$D627)</f>
        <v/>
      </c>
      <c r="N627" s="16">
        <f>MAX(N510+N603,$D627)</f>
        <v/>
      </c>
      <c r="O627" s="16">
        <f>MAX(O510+O603,$D627)</f>
        <v/>
      </c>
      <c r="P627" s="16">
        <f>MAX(P510+P603,$D627)</f>
        <v/>
      </c>
      <c r="Q627" s="16">
        <f>MAX(Q510+Q603,$D627)</f>
        <v/>
      </c>
      <c r="R627" s="16">
        <f>MAX(R510+R603,$D627)</f>
        <v/>
      </c>
      <c r="S627" s="16">
        <f>MAX(S510+S603,$D627)</f>
        <v/>
      </c>
      <c r="T627" s="16">
        <f>MAX(T510+T603,$D627)</f>
        <v/>
      </c>
      <c r="U627" s="16">
        <f>MAX(U510+U603,$D627)</f>
        <v/>
      </c>
      <c r="V627" s="16">
        <f>MAX(V510+V603,$D627)</f>
        <v/>
      </c>
      <c r="W627" s="16">
        <f>MAX(W510+W603,$D627)</f>
        <v/>
      </c>
      <c r="X627" s="16">
        <f>MAX(X510+X603,$D627)</f>
        <v/>
      </c>
      <c r="Y627" s="16">
        <f>MAX(Y510+Y603,$D627)</f>
        <v/>
      </c>
      <c r="Z627" s="16">
        <f>MAX(Z510+Z603,$D627)</f>
        <v/>
      </c>
      <c r="AA627" s="16">
        <f>MAX(AA510+AA603,$D627)</f>
        <v/>
      </c>
      <c r="AB627" s="16">
        <f>MAX(AB510+AB603,$D627)</f>
        <v/>
      </c>
      <c r="AC627" s="16">
        <f>MAX(AC510+AC603,$D627)</f>
        <v/>
      </c>
      <c r="AD627" s="16">
        <f>MAX(AD510+AD603,$D627)</f>
        <v/>
      </c>
      <c r="AE627" s="49">
        <f>INVCOST(AE510,AE603,$D627)</f>
        <v/>
      </c>
      <c r="AG627" s="11">
        <f>CodePrefix&amp;$A627&amp;IF($C627="","","."&amp;$C627&amp;"."&amp;$B627)&amp;INDEX(VarEnd,MATCH($A627,VarKey,0))&amp;AG$5</f>
        <v/>
      </c>
      <c r="AH627" s="15">
        <f>MAX(AH510+AH603,$D627)</f>
        <v/>
      </c>
      <c r="AI627" s="16">
        <f>MAX(AI510+AI603,$D627)</f>
        <v/>
      </c>
      <c r="AJ627" s="16">
        <f>MAX(AJ510+AJ603,$D627)</f>
        <v/>
      </c>
      <c r="AK627" s="16">
        <f>MAX(AK510+AK603,$D627)</f>
        <v/>
      </c>
      <c r="AL627" s="16">
        <f>MAX(AL510+AL603,$D627)</f>
        <v/>
      </c>
      <c r="AM627" s="16">
        <f>MAX(AM510+AM603,$D627)</f>
        <v/>
      </c>
      <c r="AN627" s="16">
        <f>MAX(AN510+AN603,$D627)</f>
        <v/>
      </c>
      <c r="AO627" s="16">
        <f>MAX(AO510+AO603,$D627)</f>
        <v/>
      </c>
      <c r="AP627" s="16">
        <f>MAX(AP510+AP603,$D627)</f>
        <v/>
      </c>
      <c r="AQ627" s="16">
        <f>MAX(AQ510+AQ603,$D627)</f>
        <v/>
      </c>
      <c r="AR627" s="16">
        <f>MAX(AR510+AR603,$D627)</f>
        <v/>
      </c>
      <c r="AS627" s="16">
        <f>MAX(AS510+AS603,$D627)</f>
        <v/>
      </c>
      <c r="AT627" s="16">
        <f>MAX(AT510+AT603,$D627)</f>
        <v/>
      </c>
      <c r="AU627" s="16">
        <f>MAX(AU510+AU603,$D627)</f>
        <v/>
      </c>
      <c r="AV627" s="16">
        <f>MAX(AV510+AV603,$D627)</f>
        <v/>
      </c>
      <c r="AW627" s="16">
        <f>MAX(AW510+AW603,$D627)</f>
        <v/>
      </c>
      <c r="AX627" s="16">
        <f>MAX(AX510+AX603,$D627)</f>
        <v/>
      </c>
      <c r="AY627" s="16">
        <f>MAX(AY510+AY603,$D627)</f>
        <v/>
      </c>
      <c r="AZ627" s="16">
        <f>MAX(AZ510+AZ603,$D627)</f>
        <v/>
      </c>
      <c r="BA627" s="49">
        <f>INVCOST(BA510,BA603,$D627)</f>
        <v/>
      </c>
    </row>
    <row r="628" hidden="1" outlineLevel="1">
      <c r="A628" s="14" t="inlineStr">
        <is>
          <t>tic</t>
        </is>
      </c>
      <c r="B628" s="14" t="inlineStr">
        <is>
          <t>nuc</t>
        </is>
      </c>
      <c r="C628" s="14" t="inlineStr">
        <is>
          <t>pow</t>
        </is>
      </c>
      <c r="D628" s="45">
        <f>INDEX(PParVal,MATCH("min_cost",PParKey,0))</f>
        <v/>
      </c>
      <c r="E628" s="39" t="n"/>
      <c r="F628" s="39" t="n"/>
      <c r="G628" s="39" t="n"/>
      <c r="H628" s="14">
        <f>INDEX(VarLab,MATCH($A628,VarKey,0))&amp;INDEX(MemLab,MATCH($C628&amp;"|"&amp;$B628,MemKey,0))</f>
        <v/>
      </c>
      <c r="I628" s="14">
        <f>INDEX(VarUnit,MATCH($A628,VarKey,0))</f>
        <v/>
      </c>
      <c r="J628" s="14">
        <f>INDEX(VarSrc,MATCH($A628,VarKey,0))</f>
        <v/>
      </c>
      <c r="K628" s="11">
        <f>CodePrefix&amp;$A628&amp;IF($C628="","","."&amp;$C628&amp;"."&amp;$B628)&amp;INDEX(VarEnd,MATCH($A628,VarKey,0))&amp;K$5</f>
        <v/>
      </c>
      <c r="L628" s="15">
        <f>MAX(L511+L604,$D628)</f>
        <v/>
      </c>
      <c r="M628" s="16">
        <f>MAX(M511+M604,$D628)</f>
        <v/>
      </c>
      <c r="N628" s="16">
        <f>MAX(N511+N604,$D628)</f>
        <v/>
      </c>
      <c r="O628" s="16">
        <f>MAX(O511+O604,$D628)</f>
        <v/>
      </c>
      <c r="P628" s="16">
        <f>MAX(P511+P604,$D628)</f>
        <v/>
      </c>
      <c r="Q628" s="16">
        <f>MAX(Q511+Q604,$D628)</f>
        <v/>
      </c>
      <c r="R628" s="16">
        <f>MAX(R511+R604,$D628)</f>
        <v/>
      </c>
      <c r="S628" s="16">
        <f>MAX(S511+S604,$D628)</f>
        <v/>
      </c>
      <c r="T628" s="16">
        <f>MAX(T511+T604,$D628)</f>
        <v/>
      </c>
      <c r="U628" s="16">
        <f>MAX(U511+U604,$D628)</f>
        <v/>
      </c>
      <c r="V628" s="16">
        <f>MAX(V511+V604,$D628)</f>
        <v/>
      </c>
      <c r="W628" s="16">
        <f>MAX(W511+W604,$D628)</f>
        <v/>
      </c>
      <c r="X628" s="16">
        <f>MAX(X511+X604,$D628)</f>
        <v/>
      </c>
      <c r="Y628" s="16">
        <f>MAX(Y511+Y604,$D628)</f>
        <v/>
      </c>
      <c r="Z628" s="16">
        <f>MAX(Z511+Z604,$D628)</f>
        <v/>
      </c>
      <c r="AA628" s="16">
        <f>MAX(AA511+AA604,$D628)</f>
        <v/>
      </c>
      <c r="AB628" s="16">
        <f>MAX(AB511+AB604,$D628)</f>
        <v/>
      </c>
      <c r="AC628" s="16">
        <f>MAX(AC511+AC604,$D628)</f>
        <v/>
      </c>
      <c r="AD628" s="16">
        <f>MAX(AD511+AD604,$D628)</f>
        <v/>
      </c>
      <c r="AE628" s="49">
        <f>INVCOST(AE511,AE604,$D628)</f>
        <v/>
      </c>
      <c r="AG628" s="11">
        <f>CodePrefix&amp;$A628&amp;IF($C628="","","."&amp;$C628&amp;"."&amp;$B628)&amp;INDEX(VarEnd,MATCH($A628,VarKey,0))&amp;AG$5</f>
        <v/>
      </c>
      <c r="AH628" s="15">
        <f>MAX(AH511+AH604,$D628)</f>
        <v/>
      </c>
      <c r="AI628" s="16">
        <f>MAX(AI511+AI604,$D628)</f>
        <v/>
      </c>
      <c r="AJ628" s="16">
        <f>MAX(AJ511+AJ604,$D628)</f>
        <v/>
      </c>
      <c r="AK628" s="16">
        <f>MAX(AK511+AK604,$D628)</f>
        <v/>
      </c>
      <c r="AL628" s="16">
        <f>MAX(AL511+AL604,$D628)</f>
        <v/>
      </c>
      <c r="AM628" s="16">
        <f>MAX(AM511+AM604,$D628)</f>
        <v/>
      </c>
      <c r="AN628" s="16">
        <f>MAX(AN511+AN604,$D628)</f>
        <v/>
      </c>
      <c r="AO628" s="16">
        <f>MAX(AO511+AO604,$D628)</f>
        <v/>
      </c>
      <c r="AP628" s="16">
        <f>MAX(AP511+AP604,$D628)</f>
        <v/>
      </c>
      <c r="AQ628" s="16">
        <f>MAX(AQ511+AQ604,$D628)</f>
        <v/>
      </c>
      <c r="AR628" s="16">
        <f>MAX(AR511+AR604,$D628)</f>
        <v/>
      </c>
      <c r="AS628" s="16">
        <f>MAX(AS511+AS604,$D628)</f>
        <v/>
      </c>
      <c r="AT628" s="16">
        <f>MAX(AT511+AT604,$D628)</f>
        <v/>
      </c>
      <c r="AU628" s="16">
        <f>MAX(AU511+AU604,$D628)</f>
        <v/>
      </c>
      <c r="AV628" s="16">
        <f>MAX(AV511+AV604,$D628)</f>
        <v/>
      </c>
      <c r="AW628" s="16">
        <f>MAX(AW511+AW604,$D628)</f>
        <v/>
      </c>
      <c r="AX628" s="16">
        <f>MAX(AX511+AX604,$D628)</f>
        <v/>
      </c>
      <c r="AY628" s="16">
        <f>MAX(AY511+AY604,$D628)</f>
        <v/>
      </c>
      <c r="AZ628" s="16">
        <f>MAX(AZ511+AZ604,$D628)</f>
        <v/>
      </c>
      <c r="BA628" s="49">
        <f>INVCOST(BA511,BA604,$D628)</f>
        <v/>
      </c>
    </row>
    <row r="629" hidden="1" outlineLevel="1">
      <c r="A629" s="14" t="inlineStr">
        <is>
          <t>tic</t>
        </is>
      </c>
      <c r="B629" s="14" t="inlineStr">
        <is>
          <t>wnd</t>
        </is>
      </c>
      <c r="C629" s="14" t="inlineStr">
        <is>
          <t>pow</t>
        </is>
      </c>
      <c r="D629" s="45">
        <f>INDEX(PParVal,MATCH("min_cost",PParKey,0))</f>
        <v/>
      </c>
      <c r="E629" s="39" t="n"/>
      <c r="F629" s="39" t="n"/>
      <c r="G629" s="39" t="n"/>
      <c r="H629" s="14">
        <f>INDEX(VarLab,MATCH($A629,VarKey,0))&amp;INDEX(MemLab,MATCH($C629&amp;"|"&amp;$B629,MemKey,0))</f>
        <v/>
      </c>
      <c r="I629" s="14">
        <f>INDEX(VarUnit,MATCH($A629,VarKey,0))</f>
        <v/>
      </c>
      <c r="J629" s="14">
        <f>INDEX(VarSrc,MATCH($A629,VarKey,0))</f>
        <v/>
      </c>
      <c r="K629" s="11">
        <f>CodePrefix&amp;$A629&amp;IF($C629="","","."&amp;$C629&amp;"."&amp;$B629)&amp;INDEX(VarEnd,MATCH($A629,VarKey,0))&amp;K$5</f>
        <v/>
      </c>
      <c r="L629" s="15">
        <f>MAX(L512+L605,$D629)</f>
        <v/>
      </c>
      <c r="M629" s="16">
        <f>MAX(M512+M605,$D629)</f>
        <v/>
      </c>
      <c r="N629" s="16">
        <f>MAX(N512+N605,$D629)</f>
        <v/>
      </c>
      <c r="O629" s="16">
        <f>MAX(O512+O605,$D629)</f>
        <v/>
      </c>
      <c r="P629" s="16">
        <f>MAX(P512+P605,$D629)</f>
        <v/>
      </c>
      <c r="Q629" s="16">
        <f>MAX(Q512+Q605,$D629)</f>
        <v/>
      </c>
      <c r="R629" s="16">
        <f>MAX(R512+R605,$D629)</f>
        <v/>
      </c>
      <c r="S629" s="16">
        <f>MAX(S512+S605,$D629)</f>
        <v/>
      </c>
      <c r="T629" s="16">
        <f>MAX(T512+T605,$D629)</f>
        <v/>
      </c>
      <c r="U629" s="16">
        <f>MAX(U512+U605,$D629)</f>
        <v/>
      </c>
      <c r="V629" s="16">
        <f>MAX(V512+V605,$D629)</f>
        <v/>
      </c>
      <c r="W629" s="16">
        <f>MAX(W512+W605,$D629)</f>
        <v/>
      </c>
      <c r="X629" s="16">
        <f>MAX(X512+X605,$D629)</f>
        <v/>
      </c>
      <c r="Y629" s="16">
        <f>MAX(Y512+Y605,$D629)</f>
        <v/>
      </c>
      <c r="Z629" s="16">
        <f>MAX(Z512+Z605,$D629)</f>
        <v/>
      </c>
      <c r="AA629" s="16">
        <f>MAX(AA512+AA605,$D629)</f>
        <v/>
      </c>
      <c r="AB629" s="16">
        <f>MAX(AB512+AB605,$D629)</f>
        <v/>
      </c>
      <c r="AC629" s="16">
        <f>MAX(AC512+AC605,$D629)</f>
        <v/>
      </c>
      <c r="AD629" s="16">
        <f>MAX(AD512+AD605,$D629)</f>
        <v/>
      </c>
      <c r="AE629" s="49">
        <f>INVCOST(AE512,AE605,$D629)</f>
        <v/>
      </c>
      <c r="AG629" s="11">
        <f>CodePrefix&amp;$A629&amp;IF($C629="","","."&amp;$C629&amp;"."&amp;$B629)&amp;INDEX(VarEnd,MATCH($A629,VarKey,0))&amp;AG$5</f>
        <v/>
      </c>
      <c r="AH629" s="15">
        <f>MAX(AH512+AH605,$D629)</f>
        <v/>
      </c>
      <c r="AI629" s="16">
        <f>MAX(AI512+AI605,$D629)</f>
        <v/>
      </c>
      <c r="AJ629" s="16">
        <f>MAX(AJ512+AJ605,$D629)</f>
        <v/>
      </c>
      <c r="AK629" s="16">
        <f>MAX(AK512+AK605,$D629)</f>
        <v/>
      </c>
      <c r="AL629" s="16">
        <f>MAX(AL512+AL605,$D629)</f>
        <v/>
      </c>
      <c r="AM629" s="16">
        <f>MAX(AM512+AM605,$D629)</f>
        <v/>
      </c>
      <c r="AN629" s="16">
        <f>MAX(AN512+AN605,$D629)</f>
        <v/>
      </c>
      <c r="AO629" s="16">
        <f>MAX(AO512+AO605,$D629)</f>
        <v/>
      </c>
      <c r="AP629" s="16">
        <f>MAX(AP512+AP605,$D629)</f>
        <v/>
      </c>
      <c r="AQ629" s="16">
        <f>MAX(AQ512+AQ605,$D629)</f>
        <v/>
      </c>
      <c r="AR629" s="16">
        <f>MAX(AR512+AR605,$D629)</f>
        <v/>
      </c>
      <c r="AS629" s="16">
        <f>MAX(AS512+AS605,$D629)</f>
        <v/>
      </c>
      <c r="AT629" s="16">
        <f>MAX(AT512+AT605,$D629)</f>
        <v/>
      </c>
      <c r="AU629" s="16">
        <f>MAX(AU512+AU605,$D629)</f>
        <v/>
      </c>
      <c r="AV629" s="16">
        <f>MAX(AV512+AV605,$D629)</f>
        <v/>
      </c>
      <c r="AW629" s="16">
        <f>MAX(AW512+AW605,$D629)</f>
        <v/>
      </c>
      <c r="AX629" s="16">
        <f>MAX(AX512+AX605,$D629)</f>
        <v/>
      </c>
      <c r="AY629" s="16">
        <f>MAX(AY512+AY605,$D629)</f>
        <v/>
      </c>
      <c r="AZ629" s="16">
        <f>MAX(AZ512+AZ605,$D629)</f>
        <v/>
      </c>
      <c r="BA629" s="49">
        <f>INVCOST(BA512,BA605,$D629)</f>
        <v/>
      </c>
    </row>
    <row r="630" hidden="1" outlineLevel="1">
      <c r="A630" s="14" t="inlineStr">
        <is>
          <t>tic</t>
        </is>
      </c>
      <c r="B630" s="14" t="inlineStr">
        <is>
          <t>sol</t>
        </is>
      </c>
      <c r="C630" s="14" t="inlineStr">
        <is>
          <t>pow</t>
        </is>
      </c>
      <c r="D630" s="45">
        <f>INDEX(PParVal,MATCH("min_cost",PParKey,0))</f>
        <v/>
      </c>
      <c r="E630" s="39" t="n"/>
      <c r="F630" s="39" t="n"/>
      <c r="G630" s="39" t="n"/>
      <c r="H630" s="14">
        <f>INDEX(VarLab,MATCH($A630,VarKey,0))&amp;INDEX(MemLab,MATCH($C630&amp;"|"&amp;$B630,MemKey,0))</f>
        <v/>
      </c>
      <c r="I630" s="14">
        <f>INDEX(VarUnit,MATCH($A630,VarKey,0))</f>
        <v/>
      </c>
      <c r="J630" s="14">
        <f>INDEX(VarSrc,MATCH($A630,VarKey,0))</f>
        <v/>
      </c>
      <c r="K630" s="11">
        <f>CodePrefix&amp;$A630&amp;IF($C630="","","."&amp;$C630&amp;"."&amp;$B630)&amp;INDEX(VarEnd,MATCH($A630,VarKey,0))&amp;K$5</f>
        <v/>
      </c>
      <c r="L630" s="15">
        <f>MAX(L513+L606,$D630)</f>
        <v/>
      </c>
      <c r="M630" s="16">
        <f>MAX(M513+M606,$D630)</f>
        <v/>
      </c>
      <c r="N630" s="16">
        <f>MAX(N513+N606,$D630)</f>
        <v/>
      </c>
      <c r="O630" s="16">
        <f>MAX(O513+O606,$D630)</f>
        <v/>
      </c>
      <c r="P630" s="16">
        <f>MAX(P513+P606,$D630)</f>
        <v/>
      </c>
      <c r="Q630" s="16">
        <f>MAX(Q513+Q606,$D630)</f>
        <v/>
      </c>
      <c r="R630" s="16">
        <f>MAX(R513+R606,$D630)</f>
        <v/>
      </c>
      <c r="S630" s="16">
        <f>MAX(S513+S606,$D630)</f>
        <v/>
      </c>
      <c r="T630" s="16">
        <f>MAX(T513+T606,$D630)</f>
        <v/>
      </c>
      <c r="U630" s="16">
        <f>MAX(U513+U606,$D630)</f>
        <v/>
      </c>
      <c r="V630" s="16">
        <f>MAX(V513+V606,$D630)</f>
        <v/>
      </c>
      <c r="W630" s="16">
        <f>MAX(W513+W606,$D630)</f>
        <v/>
      </c>
      <c r="X630" s="16">
        <f>MAX(X513+X606,$D630)</f>
        <v/>
      </c>
      <c r="Y630" s="16">
        <f>MAX(Y513+Y606,$D630)</f>
        <v/>
      </c>
      <c r="Z630" s="16">
        <f>MAX(Z513+Z606,$D630)</f>
        <v/>
      </c>
      <c r="AA630" s="16">
        <f>MAX(AA513+AA606,$D630)</f>
        <v/>
      </c>
      <c r="AB630" s="16">
        <f>MAX(AB513+AB606,$D630)</f>
        <v/>
      </c>
      <c r="AC630" s="16">
        <f>MAX(AC513+AC606,$D630)</f>
        <v/>
      </c>
      <c r="AD630" s="16">
        <f>MAX(AD513+AD606,$D630)</f>
        <v/>
      </c>
      <c r="AE630" s="49">
        <f>INVCOST(AE513,AE606,$D630)</f>
        <v/>
      </c>
      <c r="AG630" s="11">
        <f>CodePrefix&amp;$A630&amp;IF($C630="","","."&amp;$C630&amp;"."&amp;$B630)&amp;INDEX(VarEnd,MATCH($A630,VarKey,0))&amp;AG$5</f>
        <v/>
      </c>
      <c r="AH630" s="15">
        <f>MAX(AH513+AH606,$D630)</f>
        <v/>
      </c>
      <c r="AI630" s="16">
        <f>MAX(AI513+AI606,$D630)</f>
        <v/>
      </c>
      <c r="AJ630" s="16">
        <f>MAX(AJ513+AJ606,$D630)</f>
        <v/>
      </c>
      <c r="AK630" s="16">
        <f>MAX(AK513+AK606,$D630)</f>
        <v/>
      </c>
      <c r="AL630" s="16">
        <f>MAX(AL513+AL606,$D630)</f>
        <v/>
      </c>
      <c r="AM630" s="16">
        <f>MAX(AM513+AM606,$D630)</f>
        <v/>
      </c>
      <c r="AN630" s="16">
        <f>MAX(AN513+AN606,$D630)</f>
        <v/>
      </c>
      <c r="AO630" s="16">
        <f>MAX(AO513+AO606,$D630)</f>
        <v/>
      </c>
      <c r="AP630" s="16">
        <f>MAX(AP513+AP606,$D630)</f>
        <v/>
      </c>
      <c r="AQ630" s="16">
        <f>MAX(AQ513+AQ606,$D630)</f>
        <v/>
      </c>
      <c r="AR630" s="16">
        <f>MAX(AR513+AR606,$D630)</f>
        <v/>
      </c>
      <c r="AS630" s="16">
        <f>MAX(AS513+AS606,$D630)</f>
        <v/>
      </c>
      <c r="AT630" s="16">
        <f>MAX(AT513+AT606,$D630)</f>
        <v/>
      </c>
      <c r="AU630" s="16">
        <f>MAX(AU513+AU606,$D630)</f>
        <v/>
      </c>
      <c r="AV630" s="16">
        <f>MAX(AV513+AV606,$D630)</f>
        <v/>
      </c>
      <c r="AW630" s="16">
        <f>MAX(AW513+AW606,$D630)</f>
        <v/>
      </c>
      <c r="AX630" s="16">
        <f>MAX(AX513+AX606,$D630)</f>
        <v/>
      </c>
      <c r="AY630" s="16">
        <f>MAX(AY513+AY606,$D630)</f>
        <v/>
      </c>
      <c r="AZ630" s="16">
        <f>MAX(AZ513+AZ606,$D630)</f>
        <v/>
      </c>
      <c r="BA630" s="49">
        <f>INVCOST(BA513,BA606,$D630)</f>
        <v/>
      </c>
    </row>
    <row r="631" hidden="1" outlineLevel="1">
      <c r="A631" s="14" t="inlineStr">
        <is>
          <t>tic</t>
        </is>
      </c>
      <c r="B631" s="14" t="inlineStr">
        <is>
          <t>hyd</t>
        </is>
      </c>
      <c r="C631" s="14" t="inlineStr">
        <is>
          <t>pow</t>
        </is>
      </c>
      <c r="D631" s="45">
        <f>INDEX(PParVal,MATCH("min_cost",PParKey,0))</f>
        <v/>
      </c>
      <c r="E631" s="39" t="n"/>
      <c r="F631" s="39" t="n"/>
      <c r="G631" s="39" t="n"/>
      <c r="H631" s="14">
        <f>INDEX(VarLab,MATCH($A631,VarKey,0))&amp;INDEX(MemLab,MATCH($C631&amp;"|"&amp;$B631,MemKey,0))</f>
        <v/>
      </c>
      <c r="I631" s="14">
        <f>INDEX(VarUnit,MATCH($A631,VarKey,0))</f>
        <v/>
      </c>
      <c r="J631" s="14">
        <f>INDEX(VarSrc,MATCH($A631,VarKey,0))</f>
        <v/>
      </c>
      <c r="K631" s="11">
        <f>CodePrefix&amp;$A631&amp;IF($C631="","","."&amp;$C631&amp;"."&amp;$B631)&amp;INDEX(VarEnd,MATCH($A631,VarKey,0))&amp;K$5</f>
        <v/>
      </c>
      <c r="L631" s="15">
        <f>MAX(L514+L607,$D631)</f>
        <v/>
      </c>
      <c r="M631" s="16">
        <f>MAX(M514+M607,$D631)</f>
        <v/>
      </c>
      <c r="N631" s="16">
        <f>MAX(N514+N607,$D631)</f>
        <v/>
      </c>
      <c r="O631" s="16">
        <f>MAX(O514+O607,$D631)</f>
        <v/>
      </c>
      <c r="P631" s="16">
        <f>MAX(P514+P607,$D631)</f>
        <v/>
      </c>
      <c r="Q631" s="16">
        <f>MAX(Q514+Q607,$D631)</f>
        <v/>
      </c>
      <c r="R631" s="16">
        <f>MAX(R514+R607,$D631)</f>
        <v/>
      </c>
      <c r="S631" s="16">
        <f>MAX(S514+S607,$D631)</f>
        <v/>
      </c>
      <c r="T631" s="16">
        <f>MAX(T514+T607,$D631)</f>
        <v/>
      </c>
      <c r="U631" s="16">
        <f>MAX(U514+U607,$D631)</f>
        <v/>
      </c>
      <c r="V631" s="16">
        <f>MAX(V514+V607,$D631)</f>
        <v/>
      </c>
      <c r="W631" s="16">
        <f>MAX(W514+W607,$D631)</f>
        <v/>
      </c>
      <c r="X631" s="16">
        <f>MAX(X514+X607,$D631)</f>
        <v/>
      </c>
      <c r="Y631" s="16">
        <f>MAX(Y514+Y607,$D631)</f>
        <v/>
      </c>
      <c r="Z631" s="16">
        <f>MAX(Z514+Z607,$D631)</f>
        <v/>
      </c>
      <c r="AA631" s="16">
        <f>MAX(AA514+AA607,$D631)</f>
        <v/>
      </c>
      <c r="AB631" s="16">
        <f>MAX(AB514+AB607,$D631)</f>
        <v/>
      </c>
      <c r="AC631" s="16">
        <f>MAX(AC514+AC607,$D631)</f>
        <v/>
      </c>
      <c r="AD631" s="16">
        <f>MAX(AD514+AD607,$D631)</f>
        <v/>
      </c>
      <c r="AE631" s="49">
        <f>INVCOST(AE514,AE607,$D631)</f>
        <v/>
      </c>
      <c r="AG631" s="11">
        <f>CodePrefix&amp;$A631&amp;IF($C631="","","."&amp;$C631&amp;"."&amp;$B631)&amp;INDEX(VarEnd,MATCH($A631,VarKey,0))&amp;AG$5</f>
        <v/>
      </c>
      <c r="AH631" s="15">
        <f>MAX(AH514+AH607,$D631)</f>
        <v/>
      </c>
      <c r="AI631" s="16">
        <f>MAX(AI514+AI607,$D631)</f>
        <v/>
      </c>
      <c r="AJ631" s="16">
        <f>MAX(AJ514+AJ607,$D631)</f>
        <v/>
      </c>
      <c r="AK631" s="16">
        <f>MAX(AK514+AK607,$D631)</f>
        <v/>
      </c>
      <c r="AL631" s="16">
        <f>MAX(AL514+AL607,$D631)</f>
        <v/>
      </c>
      <c r="AM631" s="16">
        <f>MAX(AM514+AM607,$D631)</f>
        <v/>
      </c>
      <c r="AN631" s="16">
        <f>MAX(AN514+AN607,$D631)</f>
        <v/>
      </c>
      <c r="AO631" s="16">
        <f>MAX(AO514+AO607,$D631)</f>
        <v/>
      </c>
      <c r="AP631" s="16">
        <f>MAX(AP514+AP607,$D631)</f>
        <v/>
      </c>
      <c r="AQ631" s="16">
        <f>MAX(AQ514+AQ607,$D631)</f>
        <v/>
      </c>
      <c r="AR631" s="16">
        <f>MAX(AR514+AR607,$D631)</f>
        <v/>
      </c>
      <c r="AS631" s="16">
        <f>MAX(AS514+AS607,$D631)</f>
        <v/>
      </c>
      <c r="AT631" s="16">
        <f>MAX(AT514+AT607,$D631)</f>
        <v/>
      </c>
      <c r="AU631" s="16">
        <f>MAX(AU514+AU607,$D631)</f>
        <v/>
      </c>
      <c r="AV631" s="16">
        <f>MAX(AV514+AV607,$D631)</f>
        <v/>
      </c>
      <c r="AW631" s="16">
        <f>MAX(AW514+AW607,$D631)</f>
        <v/>
      </c>
      <c r="AX631" s="16">
        <f>MAX(AX514+AX607,$D631)</f>
        <v/>
      </c>
      <c r="AY631" s="16">
        <f>MAX(AY514+AY607,$D631)</f>
        <v/>
      </c>
      <c r="AZ631" s="16">
        <f>MAX(AZ514+AZ607,$D631)</f>
        <v/>
      </c>
      <c r="BA631" s="49">
        <f>INVCOST(BA514,BA607,$D631)</f>
        <v/>
      </c>
    </row>
    <row r="632" hidden="1" outlineLevel="1">
      <c r="A632" s="14" t="inlineStr">
        <is>
          <t>tic</t>
        </is>
      </c>
      <c r="B632" s="14" t="inlineStr">
        <is>
          <t>ore</t>
        </is>
      </c>
      <c r="C632" s="14" t="inlineStr">
        <is>
          <t>pow</t>
        </is>
      </c>
      <c r="D632" s="45">
        <f>INDEX(PParVal,MATCH("min_cost",PParKey,0))</f>
        <v/>
      </c>
      <c r="E632" s="39" t="n"/>
      <c r="F632" s="39" t="n"/>
      <c r="G632" s="39" t="n"/>
      <c r="H632" s="14">
        <f>INDEX(VarLab,MATCH($A632,VarKey,0))&amp;INDEX(MemLab,MATCH($C632&amp;"|"&amp;$B632,MemKey,0))</f>
        <v/>
      </c>
      <c r="I632" s="14">
        <f>INDEX(VarUnit,MATCH($A632,VarKey,0))</f>
        <v/>
      </c>
      <c r="J632" s="14">
        <f>INDEX(VarSrc,MATCH($A632,VarKey,0))</f>
        <v/>
      </c>
      <c r="K632" s="11">
        <f>CodePrefix&amp;$A632&amp;IF($C632="","","."&amp;$C632&amp;"."&amp;$B632)&amp;INDEX(VarEnd,MATCH($A632,VarKey,0))&amp;K$5</f>
        <v/>
      </c>
      <c r="L632" s="15">
        <f>MAX(L515+L608,$D632)</f>
        <v/>
      </c>
      <c r="M632" s="16">
        <f>MAX(M515+M608,$D632)</f>
        <v/>
      </c>
      <c r="N632" s="16">
        <f>MAX(N515+N608,$D632)</f>
        <v/>
      </c>
      <c r="O632" s="16">
        <f>MAX(O515+O608,$D632)</f>
        <v/>
      </c>
      <c r="P632" s="16">
        <f>MAX(P515+P608,$D632)</f>
        <v/>
      </c>
      <c r="Q632" s="16">
        <f>MAX(Q515+Q608,$D632)</f>
        <v/>
      </c>
      <c r="R632" s="16">
        <f>MAX(R515+R608,$D632)</f>
        <v/>
      </c>
      <c r="S632" s="16">
        <f>MAX(S515+S608,$D632)</f>
        <v/>
      </c>
      <c r="T632" s="16">
        <f>MAX(T515+T608,$D632)</f>
        <v/>
      </c>
      <c r="U632" s="16">
        <f>MAX(U515+U608,$D632)</f>
        <v/>
      </c>
      <c r="V632" s="16">
        <f>MAX(V515+V608,$D632)</f>
        <v/>
      </c>
      <c r="W632" s="16">
        <f>MAX(W515+W608,$D632)</f>
        <v/>
      </c>
      <c r="X632" s="16">
        <f>MAX(X515+X608,$D632)</f>
        <v/>
      </c>
      <c r="Y632" s="16">
        <f>MAX(Y515+Y608,$D632)</f>
        <v/>
      </c>
      <c r="Z632" s="16">
        <f>MAX(Z515+Z608,$D632)</f>
        <v/>
      </c>
      <c r="AA632" s="16">
        <f>MAX(AA515+AA608,$D632)</f>
        <v/>
      </c>
      <c r="AB632" s="16">
        <f>MAX(AB515+AB608,$D632)</f>
        <v/>
      </c>
      <c r="AC632" s="16">
        <f>MAX(AC515+AC608,$D632)</f>
        <v/>
      </c>
      <c r="AD632" s="16">
        <f>MAX(AD515+AD608,$D632)</f>
        <v/>
      </c>
      <c r="AE632" s="49">
        <f>INVCOST(AE515,AE608,$D632)</f>
        <v/>
      </c>
      <c r="AG632" s="11">
        <f>CodePrefix&amp;$A632&amp;IF($C632="","","."&amp;$C632&amp;"."&amp;$B632)&amp;INDEX(VarEnd,MATCH($A632,VarKey,0))&amp;AG$5</f>
        <v/>
      </c>
      <c r="AH632" s="15">
        <f>MAX(AH515+AH608,$D632)</f>
        <v/>
      </c>
      <c r="AI632" s="16">
        <f>MAX(AI515+AI608,$D632)</f>
        <v/>
      </c>
      <c r="AJ632" s="16">
        <f>MAX(AJ515+AJ608,$D632)</f>
        <v/>
      </c>
      <c r="AK632" s="16">
        <f>MAX(AK515+AK608,$D632)</f>
        <v/>
      </c>
      <c r="AL632" s="16">
        <f>MAX(AL515+AL608,$D632)</f>
        <v/>
      </c>
      <c r="AM632" s="16">
        <f>MAX(AM515+AM608,$D632)</f>
        <v/>
      </c>
      <c r="AN632" s="16">
        <f>MAX(AN515+AN608,$D632)</f>
        <v/>
      </c>
      <c r="AO632" s="16">
        <f>MAX(AO515+AO608,$D632)</f>
        <v/>
      </c>
      <c r="AP632" s="16">
        <f>MAX(AP515+AP608,$D632)</f>
        <v/>
      </c>
      <c r="AQ632" s="16">
        <f>MAX(AQ515+AQ608,$D632)</f>
        <v/>
      </c>
      <c r="AR632" s="16">
        <f>MAX(AR515+AR608,$D632)</f>
        <v/>
      </c>
      <c r="AS632" s="16">
        <f>MAX(AS515+AS608,$D632)</f>
        <v/>
      </c>
      <c r="AT632" s="16">
        <f>MAX(AT515+AT608,$D632)</f>
        <v/>
      </c>
      <c r="AU632" s="16">
        <f>MAX(AU515+AU608,$D632)</f>
        <v/>
      </c>
      <c r="AV632" s="16">
        <f>MAX(AV515+AV608,$D632)</f>
        <v/>
      </c>
      <c r="AW632" s="16">
        <f>MAX(AW515+AW608,$D632)</f>
        <v/>
      </c>
      <c r="AX632" s="16">
        <f>MAX(AX515+AX608,$D632)</f>
        <v/>
      </c>
      <c r="AY632" s="16">
        <f>MAX(AY515+AY608,$D632)</f>
        <v/>
      </c>
      <c r="AZ632" s="16">
        <f>MAX(AZ515+AZ608,$D632)</f>
        <v/>
      </c>
      <c r="BA632" s="49">
        <f>INVCOST(BA515,BA608,$D632)</f>
        <v/>
      </c>
    </row>
    <row r="633" hidden="1" outlineLevel="1">
      <c r="A633" s="14" t="inlineStr">
        <is>
          <t>tic</t>
        </is>
      </c>
      <c r="B633" s="14" t="inlineStr">
        <is>
          <t>bio</t>
        </is>
      </c>
      <c r="C633" s="14" t="inlineStr">
        <is>
          <t>pow</t>
        </is>
      </c>
      <c r="D633" s="45">
        <f>INDEX(PParVal,MATCH("min_cost",PParKey,0))</f>
        <v/>
      </c>
      <c r="E633" s="39" t="n"/>
      <c r="F633" s="39" t="n"/>
      <c r="G633" s="39" t="n"/>
      <c r="H633" s="14">
        <f>INDEX(VarLab,MATCH($A633,VarKey,0))&amp;INDEX(MemLab,MATCH($C633&amp;"|"&amp;$B633,MemKey,0))</f>
        <v/>
      </c>
      <c r="I633" s="14">
        <f>INDEX(VarUnit,MATCH($A633,VarKey,0))</f>
        <v/>
      </c>
      <c r="J633" s="14">
        <f>INDEX(VarSrc,MATCH($A633,VarKey,0))</f>
        <v/>
      </c>
      <c r="K633" s="11">
        <f>CodePrefix&amp;$A633&amp;IF($C633="","","."&amp;$C633&amp;"."&amp;$B633)&amp;INDEX(VarEnd,MATCH($A633,VarKey,0))&amp;K$5</f>
        <v/>
      </c>
      <c r="L633" s="15">
        <f>MAX(L516+L609,$D633)</f>
        <v/>
      </c>
      <c r="M633" s="16">
        <f>MAX(M516+M609,$D633)</f>
        <v/>
      </c>
      <c r="N633" s="16">
        <f>MAX(N516+N609,$D633)</f>
        <v/>
      </c>
      <c r="O633" s="16">
        <f>MAX(O516+O609,$D633)</f>
        <v/>
      </c>
      <c r="P633" s="16">
        <f>MAX(P516+P609,$D633)</f>
        <v/>
      </c>
      <c r="Q633" s="16">
        <f>MAX(Q516+Q609,$D633)</f>
        <v/>
      </c>
      <c r="R633" s="16">
        <f>MAX(R516+R609,$D633)</f>
        <v/>
      </c>
      <c r="S633" s="16">
        <f>MAX(S516+S609,$D633)</f>
        <v/>
      </c>
      <c r="T633" s="16">
        <f>MAX(T516+T609,$D633)</f>
        <v/>
      </c>
      <c r="U633" s="16">
        <f>MAX(U516+U609,$D633)</f>
        <v/>
      </c>
      <c r="V633" s="16">
        <f>MAX(V516+V609,$D633)</f>
        <v/>
      </c>
      <c r="W633" s="16">
        <f>MAX(W516+W609,$D633)</f>
        <v/>
      </c>
      <c r="X633" s="16">
        <f>MAX(X516+X609,$D633)</f>
        <v/>
      </c>
      <c r="Y633" s="16">
        <f>MAX(Y516+Y609,$D633)</f>
        <v/>
      </c>
      <c r="Z633" s="16">
        <f>MAX(Z516+Z609,$D633)</f>
        <v/>
      </c>
      <c r="AA633" s="16">
        <f>MAX(AA516+AA609,$D633)</f>
        <v/>
      </c>
      <c r="AB633" s="16">
        <f>MAX(AB516+AB609,$D633)</f>
        <v/>
      </c>
      <c r="AC633" s="16">
        <f>MAX(AC516+AC609,$D633)</f>
        <v/>
      </c>
      <c r="AD633" s="16">
        <f>MAX(AD516+AD609,$D633)</f>
        <v/>
      </c>
      <c r="AE633" s="49">
        <f>INVCOST(AE516,AE609,$D633)</f>
        <v/>
      </c>
      <c r="AG633" s="11">
        <f>CodePrefix&amp;$A633&amp;IF($C633="","","."&amp;$C633&amp;"."&amp;$B633)&amp;INDEX(VarEnd,MATCH($A633,VarKey,0))&amp;AG$5</f>
        <v/>
      </c>
      <c r="AH633" s="15">
        <f>MAX(AH516+AH609,$D633)</f>
        <v/>
      </c>
      <c r="AI633" s="16">
        <f>MAX(AI516+AI609,$D633)</f>
        <v/>
      </c>
      <c r="AJ633" s="16">
        <f>MAX(AJ516+AJ609,$D633)</f>
        <v/>
      </c>
      <c r="AK633" s="16">
        <f>MAX(AK516+AK609,$D633)</f>
        <v/>
      </c>
      <c r="AL633" s="16">
        <f>MAX(AL516+AL609,$D633)</f>
        <v/>
      </c>
      <c r="AM633" s="16">
        <f>MAX(AM516+AM609,$D633)</f>
        <v/>
      </c>
      <c r="AN633" s="16">
        <f>MAX(AN516+AN609,$D633)</f>
        <v/>
      </c>
      <c r="AO633" s="16">
        <f>MAX(AO516+AO609,$D633)</f>
        <v/>
      </c>
      <c r="AP633" s="16">
        <f>MAX(AP516+AP609,$D633)</f>
        <v/>
      </c>
      <c r="AQ633" s="16">
        <f>MAX(AQ516+AQ609,$D633)</f>
        <v/>
      </c>
      <c r="AR633" s="16">
        <f>MAX(AR516+AR609,$D633)</f>
        <v/>
      </c>
      <c r="AS633" s="16">
        <f>MAX(AS516+AS609,$D633)</f>
        <v/>
      </c>
      <c r="AT633" s="16">
        <f>MAX(AT516+AT609,$D633)</f>
        <v/>
      </c>
      <c r="AU633" s="16">
        <f>MAX(AU516+AU609,$D633)</f>
        <v/>
      </c>
      <c r="AV633" s="16">
        <f>MAX(AV516+AV609,$D633)</f>
        <v/>
      </c>
      <c r="AW633" s="16">
        <f>MAX(AW516+AW609,$D633)</f>
        <v/>
      </c>
      <c r="AX633" s="16">
        <f>MAX(AX516+AX609,$D633)</f>
        <v/>
      </c>
      <c r="AY633" s="16">
        <f>MAX(AY516+AY609,$D633)</f>
        <v/>
      </c>
      <c r="AZ633" s="16">
        <f>MAX(AZ516+AZ609,$D633)</f>
        <v/>
      </c>
      <c r="BA633" s="49">
        <f>INVCOST(BA516,BA609,$D633)</f>
        <v/>
      </c>
    </row>
    <row r="634" hidden="1" outlineLevel="1"/>
    <row r="635" hidden="1" outlineLevel="1">
      <c r="H635" s="21" t="inlineStr">
        <is>
          <t>G. End-user electricity prices (real $/kWh; supply cost lagged one year) and power revenues (USD million)</t>
        </is>
      </c>
    </row>
    <row r="636" hidden="1" outlineLevel="1">
      <c r="A636" s="14" t="inlineStr">
        <is>
          <t>cons</t>
        </is>
      </c>
      <c r="B636" s="14" t="inlineStr">
        <is>
          <t>ecy</t>
        </is>
      </c>
      <c r="C636" s="14" t="inlineStr">
        <is>
          <t>res</t>
        </is>
      </c>
      <c r="D636" s="45">
        <f>INDEX(Inputs_power!$D$19:$D$20,MATCH($C636,Inputs_power!$A$19:$A$20,0))</f>
        <v/>
      </c>
      <c r="E636" s="45">
        <f>INDEX(Inputs_power!$E$19:$E$20,MATCH($C636,Inputs_power!$A$19:$A$20,0))</f>
        <v/>
      </c>
      <c r="F636" s="45">
        <f>INDEX(PParVal,MATCH("ktoe_gwh",PParKey,0))</f>
        <v/>
      </c>
      <c r="G636" s="39" t="n"/>
      <c r="H636" s="14">
        <f>INDEX(VarLab,MATCH($A636,VarKey,0))&amp;INDEX(MemLab,MATCH($C636&amp;"|"&amp;$B636,MemKey,0))</f>
        <v/>
      </c>
      <c r="I636" s="14">
        <f>INDEX(VarUnit,MATCH($A636,VarKey,0))</f>
        <v/>
      </c>
      <c r="J636" s="14">
        <f>INDEX(VarSrc,MATCH($A636,VarKey,0))</f>
        <v/>
      </c>
      <c r="K636" s="11">
        <f>CodePrefix&amp;$A636&amp;IF($C636="","","."&amp;$C636&amp;"."&amp;$B636)&amp;INDEX(VarEnd,MATCH($A636,VarKey,0))&amp;K$5</f>
        <v/>
      </c>
      <c r="L636" s="46">
        <f>($D636*L$695+$E636*L$678)*$F636</f>
        <v/>
      </c>
      <c r="M636" s="47">
        <f>($D636*M$695+$E636*M$678)*$F636</f>
        <v/>
      </c>
      <c r="N636" s="47">
        <f>($D636*N$695+$E636*N$678)*$F636</f>
        <v/>
      </c>
      <c r="O636" s="47">
        <f>($D636*O$695+$E636*O$678)*$F636</f>
        <v/>
      </c>
      <c r="P636" s="47">
        <f>($D636*P$695+$E636*P$678)*$F636</f>
        <v/>
      </c>
      <c r="Q636" s="47">
        <f>($D636*Q$695+$E636*Q$678)*$F636</f>
        <v/>
      </c>
      <c r="R636" s="47">
        <f>($D636*R$695+$E636*R$678)*$F636</f>
        <v/>
      </c>
      <c r="S636" s="47">
        <f>($D636*S$695+$E636*S$678)*$F636</f>
        <v/>
      </c>
      <c r="T636" s="47">
        <f>($D636*T$695+$E636*T$678)*$F636</f>
        <v/>
      </c>
      <c r="U636" s="47">
        <f>($D636*U$695+$E636*U$678)*$F636</f>
        <v/>
      </c>
      <c r="V636" s="47">
        <f>($D636*V$695+$E636*V$678)*$F636</f>
        <v/>
      </c>
      <c r="W636" s="47">
        <f>($D636*W$695+$E636*W$678)*$F636</f>
        <v/>
      </c>
      <c r="X636" s="47">
        <f>($D636*X$695+$E636*X$678)*$F636</f>
        <v/>
      </c>
      <c r="Y636" s="47">
        <f>($D636*Y$695+$E636*Y$678)*$F636</f>
        <v/>
      </c>
      <c r="Z636" s="47">
        <f>($D636*Z$695+$E636*Z$678)*$F636</f>
        <v/>
      </c>
      <c r="AA636" s="47">
        <f>($D636*AA$695+$E636*AA$678)*$F636</f>
        <v/>
      </c>
      <c r="AB636" s="47">
        <f>($D636*AB$695+$E636*AB$678)*$F636</f>
        <v/>
      </c>
      <c r="AC636" s="47">
        <f>($D636*AC$695+$E636*AC$678)*$F636</f>
        <v/>
      </c>
      <c r="AD636" s="47">
        <f>($D636*AD$695+$E636*AD$678)*$F636</f>
        <v/>
      </c>
      <c r="AE636" s="48">
        <f>CONSUMPTION(AE$695,AE$678,$D636,$E636,$F636)</f>
        <v/>
      </c>
      <c r="AG636" s="11">
        <f>CodePrefix&amp;$A636&amp;IF($C636="","","."&amp;$C636&amp;"."&amp;$B636)&amp;INDEX(VarEnd,MATCH($A636,VarKey,0))&amp;AG$5</f>
        <v/>
      </c>
      <c r="AH636" s="46">
        <f>($D636*AH$695+$E636*AH$678)*$F636</f>
        <v/>
      </c>
      <c r="AI636" s="47">
        <f>($D636*AI$695+$E636*AI$678)*$F636</f>
        <v/>
      </c>
      <c r="AJ636" s="47">
        <f>($D636*AJ$695+$E636*AJ$678)*$F636</f>
        <v/>
      </c>
      <c r="AK636" s="47">
        <f>($D636*AK$695+$E636*AK$678)*$F636</f>
        <v/>
      </c>
      <c r="AL636" s="47">
        <f>($D636*AL$695+$E636*AL$678)*$F636</f>
        <v/>
      </c>
      <c r="AM636" s="47">
        <f>($D636*AM$695+$E636*AM$678)*$F636</f>
        <v/>
      </c>
      <c r="AN636" s="47">
        <f>($D636*AN$695+$E636*AN$678)*$F636</f>
        <v/>
      </c>
      <c r="AO636" s="47">
        <f>($D636*AO$695+$E636*AO$678)*$F636</f>
        <v/>
      </c>
      <c r="AP636" s="47">
        <f>($D636*AP$695+$E636*AP$678)*$F636</f>
        <v/>
      </c>
      <c r="AQ636" s="47">
        <f>($D636*AQ$695+$E636*AQ$678)*$F636</f>
        <v/>
      </c>
      <c r="AR636" s="47">
        <f>($D636*AR$695+$E636*AR$678)*$F636</f>
        <v/>
      </c>
      <c r="AS636" s="47">
        <f>($D636*AS$695+$E636*AS$678)*$F636</f>
        <v/>
      </c>
      <c r="AT636" s="47">
        <f>($D636*AT$695+$E636*AT$678)*$F636</f>
        <v/>
      </c>
      <c r="AU636" s="47">
        <f>($D636*AU$695+$E636*AU$678)*$F636</f>
        <v/>
      </c>
      <c r="AV636" s="47">
        <f>($D636*AV$695+$E636*AV$678)*$F636</f>
        <v/>
      </c>
      <c r="AW636" s="47">
        <f>($D636*AW$695+$E636*AW$678)*$F636</f>
        <v/>
      </c>
      <c r="AX636" s="47">
        <f>($D636*AX$695+$E636*AX$678)*$F636</f>
        <v/>
      </c>
      <c r="AY636" s="47">
        <f>($D636*AY$695+$E636*AY$678)*$F636</f>
        <v/>
      </c>
      <c r="AZ636" s="47">
        <f>($D636*AZ$695+$E636*AZ$678)*$F636</f>
        <v/>
      </c>
      <c r="BA636" s="48">
        <f>CONSUMPTION(BA$695,BA$678,$D636,$E636,$F636)</f>
        <v/>
      </c>
    </row>
    <row r="637" hidden="1" outlineLevel="1">
      <c r="A637" s="14" t="inlineStr">
        <is>
          <t>cons</t>
        </is>
      </c>
      <c r="B637" s="14" t="inlineStr">
        <is>
          <t>ecy</t>
        </is>
      </c>
      <c r="C637" s="14" t="inlineStr">
        <is>
          <t>ind</t>
        </is>
      </c>
      <c r="D637" s="45">
        <f>INDEX(Inputs_power!$D$19:$D$20,MATCH($C637,Inputs_power!$A$19:$A$20,0))</f>
        <v/>
      </c>
      <c r="E637" s="45">
        <f>INDEX(Inputs_power!$E$19:$E$20,MATCH($C637,Inputs_power!$A$19:$A$20,0))</f>
        <v/>
      </c>
      <c r="F637" s="45">
        <f>INDEX(PParVal,MATCH("ktoe_gwh",PParKey,0))</f>
        <v/>
      </c>
      <c r="G637" s="39" t="n"/>
      <c r="H637" s="14">
        <f>INDEX(VarLab,MATCH($A637,VarKey,0))&amp;INDEX(MemLab,MATCH($C637&amp;"|"&amp;$B637,MemKey,0))</f>
        <v/>
      </c>
      <c r="I637" s="14">
        <f>INDEX(VarUnit,MATCH($A637,VarKey,0))</f>
        <v/>
      </c>
      <c r="J637" s="14">
        <f>INDEX(VarSrc,MATCH($A637,VarKey,0))</f>
        <v/>
      </c>
      <c r="K637" s="11">
        <f>CodePrefix&amp;$A637&amp;IF($C637="","","."&amp;$C637&amp;"."&amp;$B637)&amp;INDEX(VarEnd,MATCH($A637,VarKey,0))&amp;K$5</f>
        <v/>
      </c>
      <c r="L637" s="46">
        <f>($D637*L$695+$E637*L$678)*$F637</f>
        <v/>
      </c>
      <c r="M637" s="47">
        <f>($D637*M$695+$E637*M$678)*$F637</f>
        <v/>
      </c>
      <c r="N637" s="47">
        <f>($D637*N$695+$E637*N$678)*$F637</f>
        <v/>
      </c>
      <c r="O637" s="47">
        <f>($D637*O$695+$E637*O$678)*$F637</f>
        <v/>
      </c>
      <c r="P637" s="47">
        <f>($D637*P$695+$E637*P$678)*$F637</f>
        <v/>
      </c>
      <c r="Q637" s="47">
        <f>($D637*Q$695+$E637*Q$678)*$F637</f>
        <v/>
      </c>
      <c r="R637" s="47">
        <f>($D637*R$695+$E637*R$678)*$F637</f>
        <v/>
      </c>
      <c r="S637" s="47">
        <f>($D637*S$695+$E637*S$678)*$F637</f>
        <v/>
      </c>
      <c r="T637" s="47">
        <f>($D637*T$695+$E637*T$678)*$F637</f>
        <v/>
      </c>
      <c r="U637" s="47">
        <f>($D637*U$695+$E637*U$678)*$F637</f>
        <v/>
      </c>
      <c r="V637" s="47">
        <f>($D637*V$695+$E637*V$678)*$F637</f>
        <v/>
      </c>
      <c r="W637" s="47">
        <f>($D637*W$695+$E637*W$678)*$F637</f>
        <v/>
      </c>
      <c r="X637" s="47">
        <f>($D637*X$695+$E637*X$678)*$F637</f>
        <v/>
      </c>
      <c r="Y637" s="47">
        <f>($D637*Y$695+$E637*Y$678)*$F637</f>
        <v/>
      </c>
      <c r="Z637" s="47">
        <f>($D637*Z$695+$E637*Z$678)*$F637</f>
        <v/>
      </c>
      <c r="AA637" s="47">
        <f>($D637*AA$695+$E637*AA$678)*$F637</f>
        <v/>
      </c>
      <c r="AB637" s="47">
        <f>($D637*AB$695+$E637*AB$678)*$F637</f>
        <v/>
      </c>
      <c r="AC637" s="47">
        <f>($D637*AC$695+$E637*AC$678)*$F637</f>
        <v/>
      </c>
      <c r="AD637" s="47">
        <f>($D637*AD$695+$E637*AD$678)*$F637</f>
        <v/>
      </c>
      <c r="AE637" s="48">
        <f>CONSUMPTION(AE$695,AE$678,$D637,$E637,$F637)</f>
        <v/>
      </c>
      <c r="AG637" s="11">
        <f>CodePrefix&amp;$A637&amp;IF($C637="","","."&amp;$C637&amp;"."&amp;$B637)&amp;INDEX(VarEnd,MATCH($A637,VarKey,0))&amp;AG$5</f>
        <v/>
      </c>
      <c r="AH637" s="46">
        <f>($D637*AH$695+$E637*AH$678)*$F637</f>
        <v/>
      </c>
      <c r="AI637" s="47">
        <f>($D637*AI$695+$E637*AI$678)*$F637</f>
        <v/>
      </c>
      <c r="AJ637" s="47">
        <f>($D637*AJ$695+$E637*AJ$678)*$F637</f>
        <v/>
      </c>
      <c r="AK637" s="47">
        <f>($D637*AK$695+$E637*AK$678)*$F637</f>
        <v/>
      </c>
      <c r="AL637" s="47">
        <f>($D637*AL$695+$E637*AL$678)*$F637</f>
        <v/>
      </c>
      <c r="AM637" s="47">
        <f>($D637*AM$695+$E637*AM$678)*$F637</f>
        <v/>
      </c>
      <c r="AN637" s="47">
        <f>($D637*AN$695+$E637*AN$678)*$F637</f>
        <v/>
      </c>
      <c r="AO637" s="47">
        <f>($D637*AO$695+$E637*AO$678)*$F637</f>
        <v/>
      </c>
      <c r="AP637" s="47">
        <f>($D637*AP$695+$E637*AP$678)*$F637</f>
        <v/>
      </c>
      <c r="AQ637" s="47">
        <f>($D637*AQ$695+$E637*AQ$678)*$F637</f>
        <v/>
      </c>
      <c r="AR637" s="47">
        <f>($D637*AR$695+$E637*AR$678)*$F637</f>
        <v/>
      </c>
      <c r="AS637" s="47">
        <f>($D637*AS$695+$E637*AS$678)*$F637</f>
        <v/>
      </c>
      <c r="AT637" s="47">
        <f>($D637*AT$695+$E637*AT$678)*$F637</f>
        <v/>
      </c>
      <c r="AU637" s="47">
        <f>($D637*AU$695+$E637*AU$678)*$F637</f>
        <v/>
      </c>
      <c r="AV637" s="47">
        <f>($D637*AV$695+$E637*AV$678)*$F637</f>
        <v/>
      </c>
      <c r="AW637" s="47">
        <f>($D637*AW$695+$E637*AW$678)*$F637</f>
        <v/>
      </c>
      <c r="AX637" s="47">
        <f>($D637*AX$695+$E637*AX$678)*$F637</f>
        <v/>
      </c>
      <c r="AY637" s="47">
        <f>($D637*AY$695+$E637*AY$678)*$F637</f>
        <v/>
      </c>
      <c r="AZ637" s="47">
        <f>($D637*AZ$695+$E637*AZ$678)*$F637</f>
        <v/>
      </c>
      <c r="BA637" s="48">
        <f>CONSUMPTION(BA$695,BA$678,$D637,$E637,$F637)</f>
        <v/>
      </c>
    </row>
    <row r="638" hidden="1" outlineLevel="1"/>
    <row r="639" hidden="1" outlineLevel="1">
      <c r="A639" s="14" t="inlineStr">
        <is>
          <t>sc</t>
        </is>
      </c>
      <c r="B639" s="14" t="inlineStr">
        <is>
          <t>ecy</t>
        </is>
      </c>
      <c r="C639" s="14" t="inlineStr">
        <is>
          <t>res</t>
        </is>
      </c>
      <c r="D639" s="45">
        <f>INDEX(Inputs_power!$F$19:$F$20,MATCH($C639,Inputs_power!$A$19:$A$20,0))</f>
        <v/>
      </c>
      <c r="E639" s="39" t="n"/>
      <c r="F639" s="39" t="n"/>
      <c r="G639" s="39" t="n"/>
      <c r="H639" s="14">
        <f>INDEX(VarLab,MATCH($A639,VarKey,0))&amp;INDEX(MemLab,MATCH($C639&amp;"|"&amp;$B639,MemKey,0))</f>
        <v/>
      </c>
      <c r="I639" s="14">
        <f>INDEX(VarUnit,MATCH($A639,VarKey,0))</f>
        <v/>
      </c>
      <c r="J639" s="14">
        <f>INDEX(VarSrc,MATCH($A639,VarKey,0))</f>
        <v/>
      </c>
      <c r="K639" s="11">
        <f>CodePrefix&amp;$A639&amp;IF($C639="","","."&amp;$C639&amp;"."&amp;$B639)&amp;INDEX(VarEnd,MATCH($A639,VarKey,0))&amp;K$5</f>
        <v/>
      </c>
      <c r="L639" s="15">
        <f>L$622+$D639</f>
        <v/>
      </c>
      <c r="M639" s="16">
        <f>L$622+$D639</f>
        <v/>
      </c>
      <c r="N639" s="16">
        <f>M$622+$D639</f>
        <v/>
      </c>
      <c r="O639" s="16">
        <f>N$622+$D639</f>
        <v/>
      </c>
      <c r="P639" s="16">
        <f>O$622+$D639</f>
        <v/>
      </c>
      <c r="Q639" s="16">
        <f>P$622+$D639</f>
        <v/>
      </c>
      <c r="R639" s="16">
        <f>Q$622+$D639</f>
        <v/>
      </c>
      <c r="S639" s="16">
        <f>R$622+$D639</f>
        <v/>
      </c>
      <c r="T639" s="16">
        <f>S$622+$D639</f>
        <v/>
      </c>
      <c r="U639" s="16">
        <f>T$622+$D639</f>
        <v/>
      </c>
      <c r="V639" s="16">
        <f>U$622+$D639</f>
        <v/>
      </c>
      <c r="W639" s="16">
        <f>V$622+$D639</f>
        <v/>
      </c>
      <c r="X639" s="16">
        <f>W$622+$D639</f>
        <v/>
      </c>
      <c r="Y639" s="16">
        <f>X$622+$D639</f>
        <v/>
      </c>
      <c r="Z639" s="16">
        <f>Y$622+$D639</f>
        <v/>
      </c>
      <c r="AA639" s="16">
        <f>Z$622+$D639</f>
        <v/>
      </c>
      <c r="AB639" s="16">
        <f>AA$622+$D639</f>
        <v/>
      </c>
      <c r="AC639" s="16">
        <f>AB$622+$D639</f>
        <v/>
      </c>
      <c r="AD639" s="16">
        <f>AC$622+$D639</f>
        <v/>
      </c>
      <c r="AE639" s="49">
        <f>POWERSUPPLY(AD$622,$D639)</f>
        <v/>
      </c>
      <c r="AG639" s="11">
        <f>CodePrefix&amp;$A639&amp;IF($C639="","","."&amp;$C639&amp;"."&amp;$B639)&amp;INDEX(VarEnd,MATCH($A639,VarKey,0))&amp;AG$5</f>
        <v/>
      </c>
      <c r="AH639" s="15">
        <f>AH$622+$D639</f>
        <v/>
      </c>
      <c r="AI639" s="16">
        <f>AH$622+$D639</f>
        <v/>
      </c>
      <c r="AJ639" s="16">
        <f>AI$622+$D639</f>
        <v/>
      </c>
      <c r="AK639" s="16">
        <f>AJ$622+$D639</f>
        <v/>
      </c>
      <c r="AL639" s="16">
        <f>AK$622+$D639</f>
        <v/>
      </c>
      <c r="AM639" s="16">
        <f>AL$622+$D639</f>
        <v/>
      </c>
      <c r="AN639" s="16">
        <f>AM$622+$D639</f>
        <v/>
      </c>
      <c r="AO639" s="16">
        <f>AN$622+$D639</f>
        <v/>
      </c>
      <c r="AP639" s="16">
        <f>AO$622+$D639</f>
        <v/>
      </c>
      <c r="AQ639" s="16">
        <f>AP$622+$D639</f>
        <v/>
      </c>
      <c r="AR639" s="16">
        <f>AQ$622+$D639</f>
        <v/>
      </c>
      <c r="AS639" s="16">
        <f>AR$622+$D639</f>
        <v/>
      </c>
      <c r="AT639" s="16">
        <f>AS$622+$D639</f>
        <v/>
      </c>
      <c r="AU639" s="16">
        <f>AT$622+$D639</f>
        <v/>
      </c>
      <c r="AV639" s="16">
        <f>AU$622+$D639</f>
        <v/>
      </c>
      <c r="AW639" s="16">
        <f>AV$622+$D639</f>
        <v/>
      </c>
      <c r="AX639" s="16">
        <f>AW$622+$D639</f>
        <v/>
      </c>
      <c r="AY639" s="16">
        <f>AX$622+$D639</f>
        <v/>
      </c>
      <c r="AZ639" s="16">
        <f>AY$622+$D639</f>
        <v/>
      </c>
      <c r="BA639" s="49">
        <f>POWERSUPPLY(AZ$622,$D639)</f>
        <v/>
      </c>
    </row>
    <row r="640" hidden="1" outlineLevel="1">
      <c r="A640" s="14" t="inlineStr">
        <is>
          <t>sc</t>
        </is>
      </c>
      <c r="B640" s="14" t="inlineStr">
        <is>
          <t>ecy</t>
        </is>
      </c>
      <c r="C640" s="14" t="inlineStr">
        <is>
          <t>ind</t>
        </is>
      </c>
      <c r="D640" s="45">
        <f>INDEX(Inputs_power!$F$19:$F$20,MATCH($C640,Inputs_power!$A$19:$A$20,0))</f>
        <v/>
      </c>
      <c r="E640" s="39" t="n"/>
      <c r="F640" s="39" t="n"/>
      <c r="G640" s="39" t="n"/>
      <c r="H640" s="14">
        <f>INDEX(VarLab,MATCH($A640,VarKey,0))&amp;INDEX(MemLab,MATCH($C640&amp;"|"&amp;$B640,MemKey,0))</f>
        <v/>
      </c>
      <c r="I640" s="14">
        <f>INDEX(VarUnit,MATCH($A640,VarKey,0))</f>
        <v/>
      </c>
      <c r="J640" s="14">
        <f>INDEX(VarSrc,MATCH($A640,VarKey,0))</f>
        <v/>
      </c>
      <c r="K640" s="11">
        <f>CodePrefix&amp;$A640&amp;IF($C640="","","."&amp;$C640&amp;"."&amp;$B640)&amp;INDEX(VarEnd,MATCH($A640,VarKey,0))&amp;K$5</f>
        <v/>
      </c>
      <c r="L640" s="15">
        <f>L$622+$D640</f>
        <v/>
      </c>
      <c r="M640" s="16">
        <f>L$622+$D640</f>
        <v/>
      </c>
      <c r="N640" s="16">
        <f>M$622+$D640</f>
        <v/>
      </c>
      <c r="O640" s="16">
        <f>N$622+$D640</f>
        <v/>
      </c>
      <c r="P640" s="16">
        <f>O$622+$D640</f>
        <v/>
      </c>
      <c r="Q640" s="16">
        <f>P$622+$D640</f>
        <v/>
      </c>
      <c r="R640" s="16">
        <f>Q$622+$D640</f>
        <v/>
      </c>
      <c r="S640" s="16">
        <f>R$622+$D640</f>
        <v/>
      </c>
      <c r="T640" s="16">
        <f>S$622+$D640</f>
        <v/>
      </c>
      <c r="U640" s="16">
        <f>T$622+$D640</f>
        <v/>
      </c>
      <c r="V640" s="16">
        <f>U$622+$D640</f>
        <v/>
      </c>
      <c r="W640" s="16">
        <f>V$622+$D640</f>
        <v/>
      </c>
      <c r="X640" s="16">
        <f>W$622+$D640</f>
        <v/>
      </c>
      <c r="Y640" s="16">
        <f>X$622+$D640</f>
        <v/>
      </c>
      <c r="Z640" s="16">
        <f>Y$622+$D640</f>
        <v/>
      </c>
      <c r="AA640" s="16">
        <f>Z$622+$D640</f>
        <v/>
      </c>
      <c r="AB640" s="16">
        <f>AA$622+$D640</f>
        <v/>
      </c>
      <c r="AC640" s="16">
        <f>AB$622+$D640</f>
        <v/>
      </c>
      <c r="AD640" s="16">
        <f>AC$622+$D640</f>
        <v/>
      </c>
      <c r="AE640" s="49">
        <f>POWERSUPPLY(AD$622,$D640)</f>
        <v/>
      </c>
      <c r="AG640" s="11">
        <f>CodePrefix&amp;$A640&amp;IF($C640="","","."&amp;$C640&amp;"."&amp;$B640)&amp;INDEX(VarEnd,MATCH($A640,VarKey,0))&amp;AG$5</f>
        <v/>
      </c>
      <c r="AH640" s="15">
        <f>AH$622+$D640</f>
        <v/>
      </c>
      <c r="AI640" s="16">
        <f>AH$622+$D640</f>
        <v/>
      </c>
      <c r="AJ640" s="16">
        <f>AI$622+$D640</f>
        <v/>
      </c>
      <c r="AK640" s="16">
        <f>AJ$622+$D640</f>
        <v/>
      </c>
      <c r="AL640" s="16">
        <f>AK$622+$D640</f>
        <v/>
      </c>
      <c r="AM640" s="16">
        <f>AL$622+$D640</f>
        <v/>
      </c>
      <c r="AN640" s="16">
        <f>AM$622+$D640</f>
        <v/>
      </c>
      <c r="AO640" s="16">
        <f>AN$622+$D640</f>
        <v/>
      </c>
      <c r="AP640" s="16">
        <f>AO$622+$D640</f>
        <v/>
      </c>
      <c r="AQ640" s="16">
        <f>AP$622+$D640</f>
        <v/>
      </c>
      <c r="AR640" s="16">
        <f>AQ$622+$D640</f>
        <v/>
      </c>
      <c r="AS640" s="16">
        <f>AR$622+$D640</f>
        <v/>
      </c>
      <c r="AT640" s="16">
        <f>AS$622+$D640</f>
        <v/>
      </c>
      <c r="AU640" s="16">
        <f>AT$622+$D640</f>
        <v/>
      </c>
      <c r="AV640" s="16">
        <f>AU$622+$D640</f>
        <v/>
      </c>
      <c r="AW640" s="16">
        <f>AV$622+$D640</f>
        <v/>
      </c>
      <c r="AX640" s="16">
        <f>AW$622+$D640</f>
        <v/>
      </c>
      <c r="AY640" s="16">
        <f>AX$622+$D640</f>
        <v/>
      </c>
      <c r="AZ640" s="16">
        <f>AY$622+$D640</f>
        <v/>
      </c>
      <c r="BA640" s="49">
        <f>POWERSUPPLY(AZ$622,$D640)</f>
        <v/>
      </c>
    </row>
    <row r="641" hidden="1" outlineLevel="1"/>
    <row r="642" hidden="1" outlineLevel="1">
      <c r="A642" s="14" t="inlineStr">
        <is>
          <t>rppre</t>
        </is>
      </c>
      <c r="B642" s="14" t="inlineStr">
        <is>
          <t>ecy</t>
        </is>
      </c>
      <c r="C642" s="14" t="inlineStr">
        <is>
          <t>res</t>
        </is>
      </c>
      <c r="D642" s="45">
        <f>INDEX(Inputs_power!$G$19:$G$20,MATCH($C642,Inputs_power!$A$19:$A$20,0))</f>
        <v/>
      </c>
      <c r="E642" s="45">
        <f>INDEX(Inputs_power!$C$19:$C$20,MATCH($C642,Inputs_power!$A$19:$A$20,0))</f>
        <v/>
      </c>
      <c r="F642" s="45">
        <f>INDEX(Inputs_power!$H$19:$H$20,MATCH($C642,Inputs_power!$A$19:$A$20,0))</f>
        <v/>
      </c>
      <c r="G642" s="39" t="n"/>
      <c r="H642" s="14">
        <f>INDEX(VarLab,MATCH($A642,VarKey,0))&amp;INDEX(MemLab,MATCH($C642&amp;"|"&amp;$B642,MemKey,0))</f>
        <v/>
      </c>
      <c r="I642" s="14">
        <f>INDEX(VarUnit,MATCH($A642,VarKey,0))</f>
        <v/>
      </c>
      <c r="J642" s="14">
        <f>INDEX(VarSrc,MATCH($A642,VarKey,0))</f>
        <v/>
      </c>
      <c r="K642" s="11">
        <f>CodePrefix&amp;$A642&amp;IF($C642="","","."&amp;$C642&amp;"."&amp;$B642)&amp;INDEX(VarEnd,MATCH($A642,VarKey,0))&amp;K$5</f>
        <v/>
      </c>
      <c r="L642" s="15">
        <f>INDEX(Inputs_power!$J$19:$M$20,$E642,MATCH(L$4,Inputs_power!$J$18:$M$18,0))</f>
        <v/>
      </c>
      <c r="M642" s="56">
        <f>INDEX(Inputs_power!$J$19:$M$20,$E642,MATCH(M$4,Inputs_power!$J$18:$M$18,0))</f>
        <v/>
      </c>
      <c r="N642" s="56">
        <f>INDEX(Inputs_power!$J$19:$M$20,$E642,MATCH(N$4,Inputs_power!$J$18:$M$18,0))</f>
        <v/>
      </c>
      <c r="O642" s="16">
        <f>N642+$D642*(O639-N639)*(1+$F642)</f>
        <v/>
      </c>
      <c r="P642" s="16">
        <f>O642+$D642*(P639-O639)*(1+$F642)</f>
        <v/>
      </c>
      <c r="Q642" s="16">
        <f>P642+$D642*(Q639-P639)*(1+$F642)</f>
        <v/>
      </c>
      <c r="R642" s="16">
        <f>Q642+$D642*(R639-Q639)*(1+$F642)</f>
        <v/>
      </c>
      <c r="S642" s="16">
        <f>R642+$D642*(S639-R639)*(1+$F642)</f>
        <v/>
      </c>
      <c r="T642" s="16">
        <f>S642+$D642*(T639-S639)*(1+$F642)</f>
        <v/>
      </c>
      <c r="U642" s="16">
        <f>T642+$D642*(U639-T639)*(1+$F642)</f>
        <v/>
      </c>
      <c r="V642" s="16">
        <f>U642+$D642*(V639-U639)*(1+$F642)</f>
        <v/>
      </c>
      <c r="W642" s="16">
        <f>V642+$D642*(W639-V639)*(1+$F642)</f>
        <v/>
      </c>
      <c r="X642" s="16">
        <f>W642+$D642*(X639-W639)*(1+$F642)</f>
        <v/>
      </c>
      <c r="Y642" s="16">
        <f>X642+$D642*(Y639-X639)*(1+$F642)</f>
        <v/>
      </c>
      <c r="Z642" s="16">
        <f>Y642+$D642*(Z639-Y639)*(1+$F642)</f>
        <v/>
      </c>
      <c r="AA642" s="16">
        <f>Z642+$D642*(AA639-Z639)*(1+$F642)</f>
        <v/>
      </c>
      <c r="AB642" s="16">
        <f>AA642+$D642*(AB639-AA639)*(1+$F642)</f>
        <v/>
      </c>
      <c r="AC642" s="16">
        <f>AB642+$D642*(AC639-AB639)*(1+$F642)</f>
        <v/>
      </c>
      <c r="AD642" s="16">
        <f>AC642+$D642*(AD639-AC639)*(1+$F642)</f>
        <v/>
      </c>
      <c r="AE642" s="49">
        <f>POWERPRICE(AE$4,$E642,AD642,$D642,AE639,AD639,$F642)</f>
        <v/>
      </c>
      <c r="AG642" s="11">
        <f>CodePrefix&amp;$A642&amp;IF($C642="","","."&amp;$C642&amp;"."&amp;$B642)&amp;INDEX(VarEnd,MATCH($A642,VarKey,0))&amp;AG$5</f>
        <v/>
      </c>
      <c r="AH642" s="15">
        <f>INDEX(Inputs_power!$J$19:$M$20,$E642,MATCH(AH$4,Inputs_power!$J$18:$M$18,0))</f>
        <v/>
      </c>
      <c r="AI642" s="56">
        <f>INDEX(Inputs_power!$J$19:$M$20,$E642,MATCH(AI$4,Inputs_power!$J$18:$M$18,0))</f>
        <v/>
      </c>
      <c r="AJ642" s="56">
        <f>INDEX(Inputs_power!$J$19:$M$20,$E642,MATCH(AJ$4,Inputs_power!$J$18:$M$18,0))</f>
        <v/>
      </c>
      <c r="AK642" s="16">
        <f>AJ642+$D642*(AK639-AJ639)*(1+$F642)</f>
        <v/>
      </c>
      <c r="AL642" s="16">
        <f>AK642+$D642*(AL639-AK639)*(1+$F642)</f>
        <v/>
      </c>
      <c r="AM642" s="16">
        <f>AL642+$D642*(AM639-AL639)*(1+$F642)</f>
        <v/>
      </c>
      <c r="AN642" s="16">
        <f>AM642+$D642*(AN639-AM639)*(1+$F642)</f>
        <v/>
      </c>
      <c r="AO642" s="16">
        <f>AN642+$D642*(AO639-AN639)*(1+$F642)</f>
        <v/>
      </c>
      <c r="AP642" s="16">
        <f>AO642+$D642*(AP639-AO639)*(1+$F642)</f>
        <v/>
      </c>
      <c r="AQ642" s="16">
        <f>AP642+$D642*(AQ639-AP639)*(1+$F642)</f>
        <v/>
      </c>
      <c r="AR642" s="16">
        <f>AQ642+$D642*(AR639-AQ639)*(1+$F642)</f>
        <v/>
      </c>
      <c r="AS642" s="16">
        <f>AR642+$D642*(AS639-AR639)*(1+$F642)</f>
        <v/>
      </c>
      <c r="AT642" s="16">
        <f>AS642+$D642*(AT639-AS639)*(1+$F642)</f>
        <v/>
      </c>
      <c r="AU642" s="16">
        <f>AT642+$D642*(AU639-AT639)*(1+$F642)</f>
        <v/>
      </c>
      <c r="AV642" s="16">
        <f>AU642+$D642*(AV639-AU639)*(1+$F642)</f>
        <v/>
      </c>
      <c r="AW642" s="16">
        <f>AV642+$D642*(AW639-AV639)*(1+$F642)</f>
        <v/>
      </c>
      <c r="AX642" s="16">
        <f>AW642+$D642*(AX639-AW639)*(1+$F642)</f>
        <v/>
      </c>
      <c r="AY642" s="16">
        <f>AX642+$D642*(AY639-AX639)*(1+$F642)</f>
        <v/>
      </c>
      <c r="AZ642" s="16">
        <f>AY642+$D642*(AZ639-AY639)*(1+$F642)</f>
        <v/>
      </c>
      <c r="BA642" s="49">
        <f>POWERPRICE(BA$4,$E642,AZ642,$D642,BA639,AZ639,$F642)</f>
        <v/>
      </c>
    </row>
    <row r="643" hidden="1" outlineLevel="1">
      <c r="A643" s="14" t="inlineStr">
        <is>
          <t>rppre</t>
        </is>
      </c>
      <c r="B643" s="14" t="inlineStr">
        <is>
          <t>ecy</t>
        </is>
      </c>
      <c r="C643" s="14" t="inlineStr">
        <is>
          <t>ind</t>
        </is>
      </c>
      <c r="D643" s="45">
        <f>INDEX(Inputs_power!$G$19:$G$20,MATCH($C643,Inputs_power!$A$19:$A$20,0))</f>
        <v/>
      </c>
      <c r="E643" s="45">
        <f>INDEX(Inputs_power!$C$19:$C$20,MATCH($C643,Inputs_power!$A$19:$A$20,0))</f>
        <v/>
      </c>
      <c r="F643" s="45">
        <f>INDEX(Inputs_power!$H$19:$H$20,MATCH($C643,Inputs_power!$A$19:$A$20,0))</f>
        <v/>
      </c>
      <c r="G643" s="39" t="n"/>
      <c r="H643" s="14">
        <f>INDEX(VarLab,MATCH($A643,VarKey,0))&amp;INDEX(MemLab,MATCH($C643&amp;"|"&amp;$B643,MemKey,0))</f>
        <v/>
      </c>
      <c r="I643" s="14">
        <f>INDEX(VarUnit,MATCH($A643,VarKey,0))</f>
        <v/>
      </c>
      <c r="J643" s="14">
        <f>INDEX(VarSrc,MATCH($A643,VarKey,0))</f>
        <v/>
      </c>
      <c r="K643" s="11">
        <f>CodePrefix&amp;$A643&amp;IF($C643="","","."&amp;$C643&amp;"."&amp;$B643)&amp;INDEX(VarEnd,MATCH($A643,VarKey,0))&amp;K$5</f>
        <v/>
      </c>
      <c r="L643" s="15">
        <f>INDEX(Inputs_power!$J$19:$M$20,$E643,MATCH(L$4,Inputs_power!$J$18:$M$18,0))</f>
        <v/>
      </c>
      <c r="M643" s="56">
        <f>INDEX(Inputs_power!$J$19:$M$20,$E643,MATCH(M$4,Inputs_power!$J$18:$M$18,0))</f>
        <v/>
      </c>
      <c r="N643" s="56">
        <f>INDEX(Inputs_power!$J$19:$M$20,$E643,MATCH(N$4,Inputs_power!$J$18:$M$18,0))</f>
        <v/>
      </c>
      <c r="O643" s="16">
        <f>N643+$D643*(O640-N640)*(1+$F643)</f>
        <v/>
      </c>
      <c r="P643" s="16">
        <f>O643+$D643*(P640-O640)*(1+$F643)</f>
        <v/>
      </c>
      <c r="Q643" s="16">
        <f>P643+$D643*(Q640-P640)*(1+$F643)</f>
        <v/>
      </c>
      <c r="R643" s="16">
        <f>Q643+$D643*(R640-Q640)*(1+$F643)</f>
        <v/>
      </c>
      <c r="S643" s="16">
        <f>R643+$D643*(S640-R640)*(1+$F643)</f>
        <v/>
      </c>
      <c r="T643" s="16">
        <f>S643+$D643*(T640-S640)*(1+$F643)</f>
        <v/>
      </c>
      <c r="U643" s="16">
        <f>T643+$D643*(U640-T640)*(1+$F643)</f>
        <v/>
      </c>
      <c r="V643" s="16">
        <f>U643+$D643*(V640-U640)*(1+$F643)</f>
        <v/>
      </c>
      <c r="W643" s="16">
        <f>V643+$D643*(W640-V640)*(1+$F643)</f>
        <v/>
      </c>
      <c r="X643" s="16">
        <f>W643+$D643*(X640-W640)*(1+$F643)</f>
        <v/>
      </c>
      <c r="Y643" s="16">
        <f>X643+$D643*(Y640-X640)*(1+$F643)</f>
        <v/>
      </c>
      <c r="Z643" s="16">
        <f>Y643+$D643*(Z640-Y640)*(1+$F643)</f>
        <v/>
      </c>
      <c r="AA643" s="16">
        <f>Z643+$D643*(AA640-Z640)*(1+$F643)</f>
        <v/>
      </c>
      <c r="AB643" s="16">
        <f>AA643+$D643*(AB640-AA640)*(1+$F643)</f>
        <v/>
      </c>
      <c r="AC643" s="16">
        <f>AB643+$D643*(AC640-AB640)*(1+$F643)</f>
        <v/>
      </c>
      <c r="AD643" s="16">
        <f>AC643+$D643*(AD640-AC640)*(1+$F643)</f>
        <v/>
      </c>
      <c r="AE643" s="49">
        <f>POWERPRICE(AE$4,$E643,AD643,$D643,AE640,AD640,$F643)</f>
        <v/>
      </c>
      <c r="AG643" s="11">
        <f>CodePrefix&amp;$A643&amp;IF($C643="","","."&amp;$C643&amp;"."&amp;$B643)&amp;INDEX(VarEnd,MATCH($A643,VarKey,0))&amp;AG$5</f>
        <v/>
      </c>
      <c r="AH643" s="15">
        <f>INDEX(Inputs_power!$J$19:$M$20,$E643,MATCH(AH$4,Inputs_power!$J$18:$M$18,0))</f>
        <v/>
      </c>
      <c r="AI643" s="56">
        <f>INDEX(Inputs_power!$J$19:$M$20,$E643,MATCH(AI$4,Inputs_power!$J$18:$M$18,0))</f>
        <v/>
      </c>
      <c r="AJ643" s="56">
        <f>INDEX(Inputs_power!$J$19:$M$20,$E643,MATCH(AJ$4,Inputs_power!$J$18:$M$18,0))</f>
        <v/>
      </c>
      <c r="AK643" s="16">
        <f>AJ643+$D643*(AK640-AJ640)*(1+$F643)</f>
        <v/>
      </c>
      <c r="AL643" s="16">
        <f>AK643+$D643*(AL640-AK640)*(1+$F643)</f>
        <v/>
      </c>
      <c r="AM643" s="16">
        <f>AL643+$D643*(AM640-AL640)*(1+$F643)</f>
        <v/>
      </c>
      <c r="AN643" s="16">
        <f>AM643+$D643*(AN640-AM640)*(1+$F643)</f>
        <v/>
      </c>
      <c r="AO643" s="16">
        <f>AN643+$D643*(AO640-AN640)*(1+$F643)</f>
        <v/>
      </c>
      <c r="AP643" s="16">
        <f>AO643+$D643*(AP640-AO640)*(1+$F643)</f>
        <v/>
      </c>
      <c r="AQ643" s="16">
        <f>AP643+$D643*(AQ640-AP640)*(1+$F643)</f>
        <v/>
      </c>
      <c r="AR643" s="16">
        <f>AQ643+$D643*(AR640-AQ640)*(1+$F643)</f>
        <v/>
      </c>
      <c r="AS643" s="16">
        <f>AR643+$D643*(AS640-AR640)*(1+$F643)</f>
        <v/>
      </c>
      <c r="AT643" s="16">
        <f>AS643+$D643*(AT640-AS640)*(1+$F643)</f>
        <v/>
      </c>
      <c r="AU643" s="16">
        <f>AT643+$D643*(AU640-AT640)*(1+$F643)</f>
        <v/>
      </c>
      <c r="AV643" s="16">
        <f>AU643+$D643*(AV640-AU640)*(1+$F643)</f>
        <v/>
      </c>
      <c r="AW643" s="16">
        <f>AV643+$D643*(AW640-AV640)*(1+$F643)</f>
        <v/>
      </c>
      <c r="AX643" s="16">
        <f>AW643+$D643*(AX640-AW640)*(1+$F643)</f>
        <v/>
      </c>
      <c r="AY643" s="16">
        <f>AX643+$D643*(AY640-AX640)*(1+$F643)</f>
        <v/>
      </c>
      <c r="AZ643" s="16">
        <f>AY643+$D643*(AZ640-AY640)*(1+$F643)</f>
        <v/>
      </c>
      <c r="BA643" s="49">
        <f>POWERPRICE(BA$4,$E643,AZ643,$D643,BA640,AZ640,$F643)</f>
        <v/>
      </c>
    </row>
    <row r="644" hidden="1" outlineLevel="1"/>
    <row r="645" collapsed="1">
      <c r="A645" s="1" t="inlineStr">
        <is>
          <t>rp</t>
        </is>
      </c>
      <c r="B645" s="1" t="inlineStr">
        <is>
          <t>ecy</t>
        </is>
      </c>
      <c r="C645" s="1" t="inlineStr">
        <is>
          <t>res</t>
        </is>
      </c>
      <c r="D645" s="45">
        <f>INDEX(Inputs_power!$G$19:$G$20,MATCH($C645,Inputs_power!$A$19:$A$20,0))</f>
        <v/>
      </c>
      <c r="E645" s="45">
        <f>INDEX(Inputs_power!$H$19:$H$20,MATCH($C645,Inputs_power!$A$19:$A$20,0))</f>
        <v/>
      </c>
      <c r="F645" s="39" t="n"/>
      <c r="G645" s="39" t="n"/>
      <c r="H645" s="1">
        <f>INDEX(VarLab,MATCH($A645,VarKey,0))&amp;INDEX(MemLab,MATCH($C645&amp;"|"&amp;$B645,MemKey,0))</f>
        <v/>
      </c>
      <c r="I645" s="1">
        <f>INDEX(VarUnit,MATCH($A645,VarKey,0))</f>
        <v/>
      </c>
      <c r="J645" s="1">
        <f>INDEX(VarSrc,MATCH($A645,VarKey,0))</f>
        <v/>
      </c>
      <c r="K645" s="17">
        <f>CodePrefix&amp;$A645&amp;IF($C645="","","."&amp;$C645&amp;"."&amp;$B645)&amp;INDEX(VarEnd,MATCH($A645,VarKey,0))&amp;K$5</f>
        <v/>
      </c>
      <c r="L645" s="54">
        <f>L642+L$623*$D645*(1+$E645)</f>
        <v/>
      </c>
      <c r="M645" s="55">
        <f>M642+M$623*$D645*(1+$E645)</f>
        <v/>
      </c>
      <c r="N645" s="55">
        <f>N642+N$623*$D645*(1+$E645)</f>
        <v/>
      </c>
      <c r="O645" s="55">
        <f>O642+O$623*$D645*(1+$E645)</f>
        <v/>
      </c>
      <c r="P645" s="55">
        <f>P642+P$623*$D645*(1+$E645)</f>
        <v/>
      </c>
      <c r="Q645" s="55">
        <f>Q642+Q$623*$D645*(1+$E645)</f>
        <v/>
      </c>
      <c r="R645" s="55">
        <f>R642+R$623*$D645*(1+$E645)</f>
        <v/>
      </c>
      <c r="S645" s="55">
        <f>S642+S$623*$D645*(1+$E645)</f>
        <v/>
      </c>
      <c r="T645" s="55">
        <f>T642+T$623*$D645*(1+$E645)</f>
        <v/>
      </c>
      <c r="U645" s="55">
        <f>U642+U$623*$D645*(1+$E645)</f>
        <v/>
      </c>
      <c r="V645" s="55">
        <f>V642+V$623*$D645*(1+$E645)</f>
        <v/>
      </c>
      <c r="W645" s="55">
        <f>W642+W$623*$D645*(1+$E645)</f>
        <v/>
      </c>
      <c r="X645" s="55">
        <f>X642+X$623*$D645*(1+$E645)</f>
        <v/>
      </c>
      <c r="Y645" s="55">
        <f>Y642+Y$623*$D645*(1+$E645)</f>
        <v/>
      </c>
      <c r="Z645" s="55">
        <f>Z642+Z$623*$D645*(1+$E645)</f>
        <v/>
      </c>
      <c r="AA645" s="55">
        <f>AA642+AA$623*$D645*(1+$E645)</f>
        <v/>
      </c>
      <c r="AB645" s="55">
        <f>AB642+AB$623*$D645*(1+$E645)</f>
        <v/>
      </c>
      <c r="AC645" s="55">
        <f>AC642+AC$623*$D645*(1+$E645)</f>
        <v/>
      </c>
      <c r="AD645" s="55">
        <f>AD642+AD$623*$D645*(1+$E645)</f>
        <v/>
      </c>
      <c r="AE645" s="49">
        <f>ENDUSERPOWER(AE642,AE$623,$D645,$E645)</f>
        <v/>
      </c>
      <c r="AG645" s="17">
        <f>CodePrefix&amp;$A645&amp;IF($C645="","","."&amp;$C645&amp;"."&amp;$B645)&amp;INDEX(VarEnd,MATCH($A645,VarKey,0))&amp;AG$5</f>
        <v/>
      </c>
      <c r="AH645" s="54">
        <f>AH642+AH$623*$D645*(1+$E645)</f>
        <v/>
      </c>
      <c r="AI645" s="55">
        <f>AI642+AI$623*$D645*(1+$E645)</f>
        <v/>
      </c>
      <c r="AJ645" s="55">
        <f>AJ642+AJ$623*$D645*(1+$E645)</f>
        <v/>
      </c>
      <c r="AK645" s="55">
        <f>AK642+AK$623*$D645*(1+$E645)</f>
        <v/>
      </c>
      <c r="AL645" s="55">
        <f>AL642+AL$623*$D645*(1+$E645)</f>
        <v/>
      </c>
      <c r="AM645" s="55">
        <f>AM642+AM$623*$D645*(1+$E645)</f>
        <v/>
      </c>
      <c r="AN645" s="55">
        <f>AN642+AN$623*$D645*(1+$E645)</f>
        <v/>
      </c>
      <c r="AO645" s="55">
        <f>AO642+AO$623*$D645*(1+$E645)</f>
        <v/>
      </c>
      <c r="AP645" s="55">
        <f>AP642+AP$623*$D645*(1+$E645)</f>
        <v/>
      </c>
      <c r="AQ645" s="55">
        <f>AQ642+AQ$623*$D645*(1+$E645)</f>
        <v/>
      </c>
      <c r="AR645" s="55">
        <f>AR642+AR$623*$D645*(1+$E645)</f>
        <v/>
      </c>
      <c r="AS645" s="55">
        <f>AS642+AS$623*$D645*(1+$E645)</f>
        <v/>
      </c>
      <c r="AT645" s="55">
        <f>AT642+AT$623*$D645*(1+$E645)</f>
        <v/>
      </c>
      <c r="AU645" s="55">
        <f>AU642+AU$623*$D645*(1+$E645)</f>
        <v/>
      </c>
      <c r="AV645" s="55">
        <f>AV642+AV$623*$D645*(1+$E645)</f>
        <v/>
      </c>
      <c r="AW645" s="55">
        <f>AW642+AW$623*$D645*(1+$E645)</f>
        <v/>
      </c>
      <c r="AX645" s="55">
        <f>AX642+AX$623*$D645*(1+$E645)</f>
        <v/>
      </c>
      <c r="AY645" s="55">
        <f>AY642+AY$623*$D645*(1+$E645)</f>
        <v/>
      </c>
      <c r="AZ645" s="55">
        <f>AZ642+AZ$623*$D645*(1+$E645)</f>
        <v/>
      </c>
      <c r="BA645" s="49">
        <f>ENDUSERPOWER(BA642,BA$623,$D645,$E645)</f>
        <v/>
      </c>
    </row>
    <row r="646">
      <c r="A646" s="1" t="inlineStr">
        <is>
          <t>rp</t>
        </is>
      </c>
      <c r="B646" s="1" t="inlineStr">
        <is>
          <t>ecy</t>
        </is>
      </c>
      <c r="C646" s="1" t="inlineStr">
        <is>
          <t>ind</t>
        </is>
      </c>
      <c r="D646" s="45">
        <f>INDEX(Inputs_power!$G$19:$G$20,MATCH($C646,Inputs_power!$A$19:$A$20,0))</f>
        <v/>
      </c>
      <c r="E646" s="45">
        <f>INDEX(Inputs_power!$H$19:$H$20,MATCH($C646,Inputs_power!$A$19:$A$20,0))</f>
        <v/>
      </c>
      <c r="F646" s="39" t="n"/>
      <c r="G646" s="39" t="n"/>
      <c r="H646" s="1">
        <f>INDEX(VarLab,MATCH($A646,VarKey,0))&amp;INDEX(MemLab,MATCH($C646&amp;"|"&amp;$B646,MemKey,0))</f>
        <v/>
      </c>
      <c r="I646" s="1">
        <f>INDEX(VarUnit,MATCH($A646,VarKey,0))</f>
        <v/>
      </c>
      <c r="J646" s="1">
        <f>INDEX(VarSrc,MATCH($A646,VarKey,0))</f>
        <v/>
      </c>
      <c r="K646" s="17">
        <f>CodePrefix&amp;$A646&amp;IF($C646="","","."&amp;$C646&amp;"."&amp;$B646)&amp;INDEX(VarEnd,MATCH($A646,VarKey,0))&amp;K$5</f>
        <v/>
      </c>
      <c r="L646" s="54">
        <f>L643+L$623*$D646*(1+$E646)</f>
        <v/>
      </c>
      <c r="M646" s="55">
        <f>M643+M$623*$D646*(1+$E646)</f>
        <v/>
      </c>
      <c r="N646" s="55">
        <f>N643+N$623*$D646*(1+$E646)</f>
        <v/>
      </c>
      <c r="O646" s="55">
        <f>O643+O$623*$D646*(1+$E646)</f>
        <v/>
      </c>
      <c r="P646" s="55">
        <f>P643+P$623*$D646*(1+$E646)</f>
        <v/>
      </c>
      <c r="Q646" s="55">
        <f>Q643+Q$623*$D646*(1+$E646)</f>
        <v/>
      </c>
      <c r="R646" s="55">
        <f>R643+R$623*$D646*(1+$E646)</f>
        <v/>
      </c>
      <c r="S646" s="55">
        <f>S643+S$623*$D646*(1+$E646)</f>
        <v/>
      </c>
      <c r="T646" s="55">
        <f>T643+T$623*$D646*(1+$E646)</f>
        <v/>
      </c>
      <c r="U646" s="55">
        <f>U643+U$623*$D646*(1+$E646)</f>
        <v/>
      </c>
      <c r="V646" s="55">
        <f>V643+V$623*$D646*(1+$E646)</f>
        <v/>
      </c>
      <c r="W646" s="55">
        <f>W643+W$623*$D646*(1+$E646)</f>
        <v/>
      </c>
      <c r="X646" s="55">
        <f>X643+X$623*$D646*(1+$E646)</f>
        <v/>
      </c>
      <c r="Y646" s="55">
        <f>Y643+Y$623*$D646*(1+$E646)</f>
        <v/>
      </c>
      <c r="Z646" s="55">
        <f>Z643+Z$623*$D646*(1+$E646)</f>
        <v/>
      </c>
      <c r="AA646" s="55">
        <f>AA643+AA$623*$D646*(1+$E646)</f>
        <v/>
      </c>
      <c r="AB646" s="55">
        <f>AB643+AB$623*$D646*(1+$E646)</f>
        <v/>
      </c>
      <c r="AC646" s="55">
        <f>AC643+AC$623*$D646*(1+$E646)</f>
        <v/>
      </c>
      <c r="AD646" s="55">
        <f>AD643+AD$623*$D646*(1+$E646)</f>
        <v/>
      </c>
      <c r="AE646" s="49">
        <f>ENDUSERPOWER(AE643,AE$623,$D646,$E646)</f>
        <v/>
      </c>
      <c r="AG646" s="17">
        <f>CodePrefix&amp;$A646&amp;IF($C646="","","."&amp;$C646&amp;"."&amp;$B646)&amp;INDEX(VarEnd,MATCH($A646,VarKey,0))&amp;AG$5</f>
        <v/>
      </c>
      <c r="AH646" s="54">
        <f>AH643+AH$623*$D646*(1+$E646)</f>
        <v/>
      </c>
      <c r="AI646" s="55">
        <f>AI643+AI$623*$D646*(1+$E646)</f>
        <v/>
      </c>
      <c r="AJ646" s="55">
        <f>AJ643+AJ$623*$D646*(1+$E646)</f>
        <v/>
      </c>
      <c r="AK646" s="55">
        <f>AK643+AK$623*$D646*(1+$E646)</f>
        <v/>
      </c>
      <c r="AL646" s="55">
        <f>AL643+AL$623*$D646*(1+$E646)</f>
        <v/>
      </c>
      <c r="AM646" s="55">
        <f>AM643+AM$623*$D646*(1+$E646)</f>
        <v/>
      </c>
      <c r="AN646" s="55">
        <f>AN643+AN$623*$D646*(1+$E646)</f>
        <v/>
      </c>
      <c r="AO646" s="55">
        <f>AO643+AO$623*$D646*(1+$E646)</f>
        <v/>
      </c>
      <c r="AP646" s="55">
        <f>AP643+AP$623*$D646*(1+$E646)</f>
        <v/>
      </c>
      <c r="AQ646" s="55">
        <f>AQ643+AQ$623*$D646*(1+$E646)</f>
        <v/>
      </c>
      <c r="AR646" s="55">
        <f>AR643+AR$623*$D646*(1+$E646)</f>
        <v/>
      </c>
      <c r="AS646" s="55">
        <f>AS643+AS$623*$D646*(1+$E646)</f>
        <v/>
      </c>
      <c r="AT646" s="55">
        <f>AT643+AT$623*$D646*(1+$E646)</f>
        <v/>
      </c>
      <c r="AU646" s="55">
        <f>AU643+AU$623*$D646*(1+$E646)</f>
        <v/>
      </c>
      <c r="AV646" s="55">
        <f>AV643+AV$623*$D646*(1+$E646)</f>
        <v/>
      </c>
      <c r="AW646" s="55">
        <f>AW643+AW$623*$D646*(1+$E646)</f>
        <v/>
      </c>
      <c r="AX646" s="55">
        <f>AX643+AX$623*$D646*(1+$E646)</f>
        <v/>
      </c>
      <c r="AY646" s="55">
        <f>AY643+AY$623*$D646*(1+$E646)</f>
        <v/>
      </c>
      <c r="AZ646" s="55">
        <f>AZ643+AZ$623*$D646*(1+$E646)</f>
        <v/>
      </c>
      <c r="BA646" s="49">
        <f>ENDUSERPOWER(BA643,BA$623,$D646,$E646)</f>
        <v/>
      </c>
    </row>
    <row r="647" hidden="1" outlineLevel="1"/>
    <row r="648" hidden="1" outlineLevel="1">
      <c r="A648" s="14" t="inlineStr">
        <is>
          <t>sgap</t>
        </is>
      </c>
      <c r="B648" s="14" t="inlineStr">
        <is>
          <t>ecy</t>
        </is>
      </c>
      <c r="C648" s="14" t="inlineStr">
        <is>
          <t>res</t>
        </is>
      </c>
      <c r="D648" s="45">
        <f>INDEX(Inputs_power!$H$19:$H$20,MATCH($C648,Inputs_power!$A$19:$A$20,0))</f>
        <v/>
      </c>
      <c r="E648" s="39" t="n"/>
      <c r="F648" s="39" t="n"/>
      <c r="G648" s="39" t="n"/>
      <c r="H648" s="14">
        <f>INDEX(VarLab,MATCH($A648,VarKey,0))&amp;INDEX(MemLab,MATCH($C648&amp;"|"&amp;$B648,MemKey,0))</f>
        <v/>
      </c>
      <c r="I648" s="14">
        <f>INDEX(VarUnit,MATCH($A648,VarKey,0))</f>
        <v/>
      </c>
      <c r="J648" s="14">
        <f>INDEX(VarSrc,MATCH($A648,VarKey,0))</f>
        <v/>
      </c>
      <c r="K648" s="11">
        <f>CodePrefix&amp;$A648&amp;IF($C648="","","."&amp;$C648&amp;"."&amp;$B648)&amp;INDEX(VarEnd,MATCH($A648,VarKey,0))&amp;K$5</f>
        <v/>
      </c>
      <c r="L648" s="15">
        <f>L639-L642/(1+$D648)</f>
        <v/>
      </c>
      <c r="M648" s="16">
        <f>M639-M642/(1+$D648)</f>
        <v/>
      </c>
      <c r="N648" s="16">
        <f>N639-N642/(1+$D648)</f>
        <v/>
      </c>
      <c r="O648" s="16">
        <f>O639-O642/(1+$D648)</f>
        <v/>
      </c>
      <c r="P648" s="16">
        <f>P639-P642/(1+$D648)</f>
        <v/>
      </c>
      <c r="Q648" s="16">
        <f>Q639-Q642/(1+$D648)</f>
        <v/>
      </c>
      <c r="R648" s="16">
        <f>R639-R642/(1+$D648)</f>
        <v/>
      </c>
      <c r="S648" s="16">
        <f>S639-S642/(1+$D648)</f>
        <v/>
      </c>
      <c r="T648" s="16">
        <f>T639-T642/(1+$D648)</f>
        <v/>
      </c>
      <c r="U648" s="16">
        <f>U639-U642/(1+$D648)</f>
        <v/>
      </c>
      <c r="V648" s="16">
        <f>V639-V642/(1+$D648)</f>
        <v/>
      </c>
      <c r="W648" s="16">
        <f>W639-W642/(1+$D648)</f>
        <v/>
      </c>
      <c r="X648" s="16">
        <f>X639-X642/(1+$D648)</f>
        <v/>
      </c>
      <c r="Y648" s="16">
        <f>Y639-Y642/(1+$D648)</f>
        <v/>
      </c>
      <c r="Z648" s="16">
        <f>Z639-Z642/(1+$D648)</f>
        <v/>
      </c>
      <c r="AA648" s="16">
        <f>AA639-AA642/(1+$D648)</f>
        <v/>
      </c>
      <c r="AB648" s="16">
        <f>AB639-AB642/(1+$D648)</f>
        <v/>
      </c>
      <c r="AC648" s="16">
        <f>AC639-AC642/(1+$D648)</f>
        <v/>
      </c>
      <c r="AD648" s="16">
        <f>AD639-AD642/(1+$D648)</f>
        <v/>
      </c>
      <c r="AE648" s="49">
        <f>SUBSIDYGAP(AE639,AE642,$D648)</f>
        <v/>
      </c>
      <c r="AG648" s="11">
        <f>CodePrefix&amp;$A648&amp;IF($C648="","","."&amp;$C648&amp;"."&amp;$B648)&amp;INDEX(VarEnd,MATCH($A648,VarKey,0))&amp;AG$5</f>
        <v/>
      </c>
      <c r="AH648" s="15">
        <f>AH639-AH642/(1+$D648)</f>
        <v/>
      </c>
      <c r="AI648" s="16">
        <f>AI639-AI642/(1+$D648)</f>
        <v/>
      </c>
      <c r="AJ648" s="16">
        <f>AJ639-AJ642/(1+$D648)</f>
        <v/>
      </c>
      <c r="AK648" s="16">
        <f>AK639-AK642/(1+$D648)</f>
        <v/>
      </c>
      <c r="AL648" s="16">
        <f>AL639-AL642/(1+$D648)</f>
        <v/>
      </c>
      <c r="AM648" s="16">
        <f>AM639-AM642/(1+$D648)</f>
        <v/>
      </c>
      <c r="AN648" s="16">
        <f>AN639-AN642/(1+$D648)</f>
        <v/>
      </c>
      <c r="AO648" s="16">
        <f>AO639-AO642/(1+$D648)</f>
        <v/>
      </c>
      <c r="AP648" s="16">
        <f>AP639-AP642/(1+$D648)</f>
        <v/>
      </c>
      <c r="AQ648" s="16">
        <f>AQ639-AQ642/(1+$D648)</f>
        <v/>
      </c>
      <c r="AR648" s="16">
        <f>AR639-AR642/(1+$D648)</f>
        <v/>
      </c>
      <c r="AS648" s="16">
        <f>AS639-AS642/(1+$D648)</f>
        <v/>
      </c>
      <c r="AT648" s="16">
        <f>AT639-AT642/(1+$D648)</f>
        <v/>
      </c>
      <c r="AU648" s="16">
        <f>AU639-AU642/(1+$D648)</f>
        <v/>
      </c>
      <c r="AV648" s="16">
        <f>AV639-AV642/(1+$D648)</f>
        <v/>
      </c>
      <c r="AW648" s="16">
        <f>AW639-AW642/(1+$D648)</f>
        <v/>
      </c>
      <c r="AX648" s="16">
        <f>AX639-AX642/(1+$D648)</f>
        <v/>
      </c>
      <c r="AY648" s="16">
        <f>AY639-AY642/(1+$D648)</f>
        <v/>
      </c>
      <c r="AZ648" s="16">
        <f>AZ639-AZ642/(1+$D648)</f>
        <v/>
      </c>
      <c r="BA648" s="49">
        <f>SUBSIDYGAP(BA639,BA642,$D648)</f>
        <v/>
      </c>
    </row>
    <row r="649" hidden="1" outlineLevel="1">
      <c r="A649" s="14" t="inlineStr">
        <is>
          <t>sgap</t>
        </is>
      </c>
      <c r="B649" s="14" t="inlineStr">
        <is>
          <t>ecy</t>
        </is>
      </c>
      <c r="C649" s="14" t="inlineStr">
        <is>
          <t>ind</t>
        </is>
      </c>
      <c r="D649" s="45">
        <f>INDEX(Inputs_power!$H$19:$H$20,MATCH($C649,Inputs_power!$A$19:$A$20,0))</f>
        <v/>
      </c>
      <c r="E649" s="39" t="n"/>
      <c r="F649" s="39" t="n"/>
      <c r="G649" s="39" t="n"/>
      <c r="H649" s="14">
        <f>INDEX(VarLab,MATCH($A649,VarKey,0))&amp;INDEX(MemLab,MATCH($C649&amp;"|"&amp;$B649,MemKey,0))</f>
        <v/>
      </c>
      <c r="I649" s="14">
        <f>INDEX(VarUnit,MATCH($A649,VarKey,0))</f>
        <v/>
      </c>
      <c r="J649" s="14">
        <f>INDEX(VarSrc,MATCH($A649,VarKey,0))</f>
        <v/>
      </c>
      <c r="K649" s="11">
        <f>CodePrefix&amp;$A649&amp;IF($C649="","","."&amp;$C649&amp;"."&amp;$B649)&amp;INDEX(VarEnd,MATCH($A649,VarKey,0))&amp;K$5</f>
        <v/>
      </c>
      <c r="L649" s="15">
        <f>L640-L643/(1+$D649)</f>
        <v/>
      </c>
      <c r="M649" s="16">
        <f>M640-M643/(1+$D649)</f>
        <v/>
      </c>
      <c r="N649" s="16">
        <f>N640-N643/(1+$D649)</f>
        <v/>
      </c>
      <c r="O649" s="16">
        <f>O640-O643/(1+$D649)</f>
        <v/>
      </c>
      <c r="P649" s="16">
        <f>P640-P643/(1+$D649)</f>
        <v/>
      </c>
      <c r="Q649" s="16">
        <f>Q640-Q643/(1+$D649)</f>
        <v/>
      </c>
      <c r="R649" s="16">
        <f>R640-R643/(1+$D649)</f>
        <v/>
      </c>
      <c r="S649" s="16">
        <f>S640-S643/(1+$D649)</f>
        <v/>
      </c>
      <c r="T649" s="16">
        <f>T640-T643/(1+$D649)</f>
        <v/>
      </c>
      <c r="U649" s="16">
        <f>U640-U643/(1+$D649)</f>
        <v/>
      </c>
      <c r="V649" s="16">
        <f>V640-V643/(1+$D649)</f>
        <v/>
      </c>
      <c r="W649" s="16">
        <f>W640-W643/(1+$D649)</f>
        <v/>
      </c>
      <c r="X649" s="16">
        <f>X640-X643/(1+$D649)</f>
        <v/>
      </c>
      <c r="Y649" s="16">
        <f>Y640-Y643/(1+$D649)</f>
        <v/>
      </c>
      <c r="Z649" s="16">
        <f>Z640-Z643/(1+$D649)</f>
        <v/>
      </c>
      <c r="AA649" s="16">
        <f>AA640-AA643/(1+$D649)</f>
        <v/>
      </c>
      <c r="AB649" s="16">
        <f>AB640-AB643/(1+$D649)</f>
        <v/>
      </c>
      <c r="AC649" s="16">
        <f>AC640-AC643/(1+$D649)</f>
        <v/>
      </c>
      <c r="AD649" s="16">
        <f>AD640-AD643/(1+$D649)</f>
        <v/>
      </c>
      <c r="AE649" s="49">
        <f>SUBSIDYGAP(AE640,AE643,$D649)</f>
        <v/>
      </c>
      <c r="AG649" s="11">
        <f>CodePrefix&amp;$A649&amp;IF($C649="","","."&amp;$C649&amp;"."&amp;$B649)&amp;INDEX(VarEnd,MATCH($A649,VarKey,0))&amp;AG$5</f>
        <v/>
      </c>
      <c r="AH649" s="15">
        <f>AH640-AH643/(1+$D649)</f>
        <v/>
      </c>
      <c r="AI649" s="16">
        <f>AI640-AI643/(1+$D649)</f>
        <v/>
      </c>
      <c r="AJ649" s="16">
        <f>AJ640-AJ643/(1+$D649)</f>
        <v/>
      </c>
      <c r="AK649" s="16">
        <f>AK640-AK643/(1+$D649)</f>
        <v/>
      </c>
      <c r="AL649" s="16">
        <f>AL640-AL643/(1+$D649)</f>
        <v/>
      </c>
      <c r="AM649" s="16">
        <f>AM640-AM643/(1+$D649)</f>
        <v/>
      </c>
      <c r="AN649" s="16">
        <f>AN640-AN643/(1+$D649)</f>
        <v/>
      </c>
      <c r="AO649" s="16">
        <f>AO640-AO643/(1+$D649)</f>
        <v/>
      </c>
      <c r="AP649" s="16">
        <f>AP640-AP643/(1+$D649)</f>
        <v/>
      </c>
      <c r="AQ649" s="16">
        <f>AQ640-AQ643/(1+$D649)</f>
        <v/>
      </c>
      <c r="AR649" s="16">
        <f>AR640-AR643/(1+$D649)</f>
        <v/>
      </c>
      <c r="AS649" s="16">
        <f>AS640-AS643/(1+$D649)</f>
        <v/>
      </c>
      <c r="AT649" s="16">
        <f>AT640-AT643/(1+$D649)</f>
        <v/>
      </c>
      <c r="AU649" s="16">
        <f>AU640-AU643/(1+$D649)</f>
        <v/>
      </c>
      <c r="AV649" s="16">
        <f>AV640-AV643/(1+$D649)</f>
        <v/>
      </c>
      <c r="AW649" s="16">
        <f>AW640-AW643/(1+$D649)</f>
        <v/>
      </c>
      <c r="AX649" s="16">
        <f>AX640-AX643/(1+$D649)</f>
        <v/>
      </c>
      <c r="AY649" s="16">
        <f>AY640-AY643/(1+$D649)</f>
        <v/>
      </c>
      <c r="AZ649" s="16">
        <f>AZ640-AZ643/(1+$D649)</f>
        <v/>
      </c>
      <c r="BA649" s="49">
        <f>SUBSIDYGAP(BA640,BA643,$D649)</f>
        <v/>
      </c>
    </row>
    <row r="650" hidden="1" outlineLevel="1"/>
    <row r="651" hidden="1" outlineLevel="1">
      <c r="A651" s="14" t="inlineStr">
        <is>
          <t>rvat</t>
        </is>
      </c>
      <c r="B651" s="14" t="inlineStr">
        <is>
          <t>ecy</t>
        </is>
      </c>
      <c r="C651" s="14" t="inlineStr">
        <is>
          <t>res</t>
        </is>
      </c>
      <c r="D651" s="45">
        <f>INDEX(Inputs_power!$I$19:$I$20,MATCH($C651,Inputs_power!$A$19:$A$20,0))</f>
        <v/>
      </c>
      <c r="E651" s="39" t="n"/>
      <c r="F651" s="39" t="n"/>
      <c r="G651" s="39" t="n"/>
      <c r="H651" s="14">
        <f>INDEX(VarLab,MATCH($A651,VarKey,0))&amp;INDEX(MemLab,MATCH($C651&amp;"|"&amp;$B651,MemKey,0))</f>
        <v/>
      </c>
      <c r="I651" s="14">
        <f>INDEX(VarUnit,MATCH($A651,VarKey,0))</f>
        <v/>
      </c>
      <c r="J651" s="14">
        <f>INDEX(VarSrc,MATCH($A651,VarKey,0))</f>
        <v/>
      </c>
      <c r="K651" s="11">
        <f>CodePrefix&amp;$A651&amp;IF($C651="","","."&amp;$C651&amp;"."&amp;$B651)&amp;INDEX(VarEnd,MATCH($A651,VarKey,0))&amp;K$5</f>
        <v/>
      </c>
      <c r="L651" s="43">
        <f>L642*$D651*L636</f>
        <v/>
      </c>
      <c r="M651" s="44">
        <f>M642*$D651*M636</f>
        <v/>
      </c>
      <c r="N651" s="44">
        <f>N642*$D651*N636</f>
        <v/>
      </c>
      <c r="O651" s="44">
        <f>O642*$D651*O636</f>
        <v/>
      </c>
      <c r="P651" s="44">
        <f>P642*$D651*P636</f>
        <v/>
      </c>
      <c r="Q651" s="44">
        <f>Q642*$D651*Q636</f>
        <v/>
      </c>
      <c r="R651" s="44">
        <f>R642*$D651*R636</f>
        <v/>
      </c>
      <c r="S651" s="44">
        <f>S642*$D651*S636</f>
        <v/>
      </c>
      <c r="T651" s="44">
        <f>T642*$D651*T636</f>
        <v/>
      </c>
      <c r="U651" s="44">
        <f>U642*$D651*U636</f>
        <v/>
      </c>
      <c r="V651" s="44">
        <f>V642*$D651*V636</f>
        <v/>
      </c>
      <c r="W651" s="44">
        <f>W642*$D651*W636</f>
        <v/>
      </c>
      <c r="X651" s="44">
        <f>X642*$D651*X636</f>
        <v/>
      </c>
      <c r="Y651" s="44">
        <f>Y642*$D651*Y636</f>
        <v/>
      </c>
      <c r="Z651" s="44">
        <f>Z642*$D651*Z636</f>
        <v/>
      </c>
      <c r="AA651" s="44">
        <f>AA642*$D651*AA636</f>
        <v/>
      </c>
      <c r="AB651" s="44">
        <f>AB642*$D651*AB636</f>
        <v/>
      </c>
      <c r="AC651" s="44">
        <f>AC642*$D651*AC636</f>
        <v/>
      </c>
      <c r="AD651" s="44">
        <f>AD642*$D651*AD636</f>
        <v/>
      </c>
      <c r="AE651" s="57">
        <f>POWERREV(AE642,$D651,AE636)</f>
        <v/>
      </c>
      <c r="AG651" s="11">
        <f>CodePrefix&amp;$A651&amp;IF($C651="","","."&amp;$C651&amp;"."&amp;$B651)&amp;INDEX(VarEnd,MATCH($A651,VarKey,0))&amp;AG$5</f>
        <v/>
      </c>
      <c r="AH651" s="43">
        <f>AH642*$D651*AH636</f>
        <v/>
      </c>
      <c r="AI651" s="44">
        <f>AI642*$D651*AI636</f>
        <v/>
      </c>
      <c r="AJ651" s="44">
        <f>AJ642*$D651*AJ636</f>
        <v/>
      </c>
      <c r="AK651" s="44">
        <f>AK642*$D651*AK636</f>
        <v/>
      </c>
      <c r="AL651" s="44">
        <f>AL642*$D651*AL636</f>
        <v/>
      </c>
      <c r="AM651" s="44">
        <f>AM642*$D651*AM636</f>
        <v/>
      </c>
      <c r="AN651" s="44">
        <f>AN642*$D651*AN636</f>
        <v/>
      </c>
      <c r="AO651" s="44">
        <f>AO642*$D651*AO636</f>
        <v/>
      </c>
      <c r="AP651" s="44">
        <f>AP642*$D651*AP636</f>
        <v/>
      </c>
      <c r="AQ651" s="44">
        <f>AQ642*$D651*AQ636</f>
        <v/>
      </c>
      <c r="AR651" s="44">
        <f>AR642*$D651*AR636</f>
        <v/>
      </c>
      <c r="AS651" s="44">
        <f>AS642*$D651*AS636</f>
        <v/>
      </c>
      <c r="AT651" s="44">
        <f>AT642*$D651*AT636</f>
        <v/>
      </c>
      <c r="AU651" s="44">
        <f>AU642*$D651*AU636</f>
        <v/>
      </c>
      <c r="AV651" s="44">
        <f>AV642*$D651*AV636</f>
        <v/>
      </c>
      <c r="AW651" s="44">
        <f>AW642*$D651*AW636</f>
        <v/>
      </c>
      <c r="AX651" s="44">
        <f>AX642*$D651*AX636</f>
        <v/>
      </c>
      <c r="AY651" s="44">
        <f>AY642*$D651*AY636</f>
        <v/>
      </c>
      <c r="AZ651" s="44">
        <f>AZ642*$D651*AZ636</f>
        <v/>
      </c>
      <c r="BA651" s="57">
        <f>POWERREV(BA642,$D651,BA636)</f>
        <v/>
      </c>
    </row>
    <row r="652" hidden="1" outlineLevel="1">
      <c r="A652" s="14" t="inlineStr">
        <is>
          <t>rvat</t>
        </is>
      </c>
      <c r="B652" s="14" t="inlineStr">
        <is>
          <t>ecy</t>
        </is>
      </c>
      <c r="C652" s="14" t="inlineStr">
        <is>
          <t>ind</t>
        </is>
      </c>
      <c r="D652" s="45">
        <f>INDEX(Inputs_power!$I$19:$I$20,MATCH($C652,Inputs_power!$A$19:$A$20,0))</f>
        <v/>
      </c>
      <c r="E652" s="39" t="n"/>
      <c r="F652" s="39" t="n"/>
      <c r="G652" s="39" t="n"/>
      <c r="H652" s="14">
        <f>INDEX(VarLab,MATCH($A652,VarKey,0))&amp;INDEX(MemLab,MATCH($C652&amp;"|"&amp;$B652,MemKey,0))</f>
        <v/>
      </c>
      <c r="I652" s="14">
        <f>INDEX(VarUnit,MATCH($A652,VarKey,0))</f>
        <v/>
      </c>
      <c r="J652" s="14">
        <f>INDEX(VarSrc,MATCH($A652,VarKey,0))</f>
        <v/>
      </c>
      <c r="K652" s="11">
        <f>CodePrefix&amp;$A652&amp;IF($C652="","","."&amp;$C652&amp;"."&amp;$B652)&amp;INDEX(VarEnd,MATCH($A652,VarKey,0))&amp;K$5</f>
        <v/>
      </c>
      <c r="L652" s="43">
        <f>L643*$D652*L637</f>
        <v/>
      </c>
      <c r="M652" s="44">
        <f>M643*$D652*M637</f>
        <v/>
      </c>
      <c r="N652" s="44">
        <f>N643*$D652*N637</f>
        <v/>
      </c>
      <c r="O652" s="44">
        <f>O643*$D652*O637</f>
        <v/>
      </c>
      <c r="P652" s="44">
        <f>P643*$D652*P637</f>
        <v/>
      </c>
      <c r="Q652" s="44">
        <f>Q643*$D652*Q637</f>
        <v/>
      </c>
      <c r="R652" s="44">
        <f>R643*$D652*R637</f>
        <v/>
      </c>
      <c r="S652" s="44">
        <f>S643*$D652*S637</f>
        <v/>
      </c>
      <c r="T652" s="44">
        <f>T643*$D652*T637</f>
        <v/>
      </c>
      <c r="U652" s="44">
        <f>U643*$D652*U637</f>
        <v/>
      </c>
      <c r="V652" s="44">
        <f>V643*$D652*V637</f>
        <v/>
      </c>
      <c r="W652" s="44">
        <f>W643*$D652*W637</f>
        <v/>
      </c>
      <c r="X652" s="44">
        <f>X643*$D652*X637</f>
        <v/>
      </c>
      <c r="Y652" s="44">
        <f>Y643*$D652*Y637</f>
        <v/>
      </c>
      <c r="Z652" s="44">
        <f>Z643*$D652*Z637</f>
        <v/>
      </c>
      <c r="AA652" s="44">
        <f>AA643*$D652*AA637</f>
        <v/>
      </c>
      <c r="AB652" s="44">
        <f>AB643*$D652*AB637</f>
        <v/>
      </c>
      <c r="AC652" s="44">
        <f>AC643*$D652*AC637</f>
        <v/>
      </c>
      <c r="AD652" s="44">
        <f>AD643*$D652*AD637</f>
        <v/>
      </c>
      <c r="AE652" s="57">
        <f>POWERREV(AE643,$D652,AE637)</f>
        <v/>
      </c>
      <c r="AG652" s="11">
        <f>CodePrefix&amp;$A652&amp;IF($C652="","","."&amp;$C652&amp;"."&amp;$B652)&amp;INDEX(VarEnd,MATCH($A652,VarKey,0))&amp;AG$5</f>
        <v/>
      </c>
      <c r="AH652" s="43">
        <f>AH643*$D652*AH637</f>
        <v/>
      </c>
      <c r="AI652" s="44">
        <f>AI643*$D652*AI637</f>
        <v/>
      </c>
      <c r="AJ652" s="44">
        <f>AJ643*$D652*AJ637</f>
        <v/>
      </c>
      <c r="AK652" s="44">
        <f>AK643*$D652*AK637</f>
        <v/>
      </c>
      <c r="AL652" s="44">
        <f>AL643*$D652*AL637</f>
        <v/>
      </c>
      <c r="AM652" s="44">
        <f>AM643*$D652*AM637</f>
        <v/>
      </c>
      <c r="AN652" s="44">
        <f>AN643*$D652*AN637</f>
        <v/>
      </c>
      <c r="AO652" s="44">
        <f>AO643*$D652*AO637</f>
        <v/>
      </c>
      <c r="AP652" s="44">
        <f>AP643*$D652*AP637</f>
        <v/>
      </c>
      <c r="AQ652" s="44">
        <f>AQ643*$D652*AQ637</f>
        <v/>
      </c>
      <c r="AR652" s="44">
        <f>AR643*$D652*AR637</f>
        <v/>
      </c>
      <c r="AS652" s="44">
        <f>AS643*$D652*AS637</f>
        <v/>
      </c>
      <c r="AT652" s="44">
        <f>AT643*$D652*AT637</f>
        <v/>
      </c>
      <c r="AU652" s="44">
        <f>AU643*$D652*AU637</f>
        <v/>
      </c>
      <c r="AV652" s="44">
        <f>AV643*$D652*AV637</f>
        <v/>
      </c>
      <c r="AW652" s="44">
        <f>AW643*$D652*AW637</f>
        <v/>
      </c>
      <c r="AX652" s="44">
        <f>AX643*$D652*AX637</f>
        <v/>
      </c>
      <c r="AY652" s="44">
        <f>AY643*$D652*AY637</f>
        <v/>
      </c>
      <c r="AZ652" s="44">
        <f>AZ643*$D652*AZ637</f>
        <v/>
      </c>
      <c r="BA652" s="57">
        <f>POWERREV(BA643,$D652,BA637)</f>
        <v/>
      </c>
    </row>
    <row r="653" hidden="1" outlineLevel="1"/>
    <row r="654" hidden="1" outlineLevel="1">
      <c r="A654" s="14" t="inlineStr">
        <is>
          <t>rcarb</t>
        </is>
      </c>
      <c r="B654" s="14" t="inlineStr">
        <is>
          <t>ecy</t>
        </is>
      </c>
      <c r="C654" s="14" t="inlineStr">
        <is>
          <t>res</t>
        </is>
      </c>
      <c r="D654" s="53" t="n">
        <v>1</v>
      </c>
      <c r="E654" s="39" t="n"/>
      <c r="F654" s="39" t="n"/>
      <c r="G654" s="39" t="n"/>
      <c r="H654" s="14">
        <f>INDEX(VarLab,MATCH($A654,VarKey,0))&amp;INDEX(MemLab,MATCH($C654&amp;"|"&amp;$B654,MemKey,0))</f>
        <v/>
      </c>
      <c r="I654" s="14">
        <f>INDEX(VarUnit,MATCH($A654,VarKey,0))</f>
        <v/>
      </c>
      <c r="J654" s="14">
        <f>INDEX(VarSrc,MATCH($A654,VarKey,0))</f>
        <v/>
      </c>
      <c r="K654" s="11">
        <f>CodePrefix&amp;$A654&amp;IF($C654="","","."&amp;$C654&amp;"."&amp;$B654)&amp;INDEX(VarEnd,MATCH($A654,VarKey,0))&amp;K$5</f>
        <v/>
      </c>
      <c r="L654" s="43">
        <f>L$623*$D654*L636</f>
        <v/>
      </c>
      <c r="M654" s="44">
        <f>M$623*$D654*M636</f>
        <v/>
      </c>
      <c r="N654" s="44">
        <f>N$623*$D654*N636</f>
        <v/>
      </c>
      <c r="O654" s="44">
        <f>O$623*$D654*O636</f>
        <v/>
      </c>
      <c r="P654" s="44">
        <f>P$623*$D654*P636</f>
        <v/>
      </c>
      <c r="Q654" s="44">
        <f>Q$623*$D654*Q636</f>
        <v/>
      </c>
      <c r="R654" s="44">
        <f>R$623*$D654*R636</f>
        <v/>
      </c>
      <c r="S654" s="44">
        <f>S$623*$D654*S636</f>
        <v/>
      </c>
      <c r="T654" s="44">
        <f>T$623*$D654*T636</f>
        <v/>
      </c>
      <c r="U654" s="44">
        <f>U$623*$D654*U636</f>
        <v/>
      </c>
      <c r="V654" s="44">
        <f>V$623*$D654*V636</f>
        <v/>
      </c>
      <c r="W654" s="44">
        <f>W$623*$D654*W636</f>
        <v/>
      </c>
      <c r="X654" s="44">
        <f>X$623*$D654*X636</f>
        <v/>
      </c>
      <c r="Y654" s="44">
        <f>Y$623*$D654*Y636</f>
        <v/>
      </c>
      <c r="Z654" s="44">
        <f>Z$623*$D654*Z636</f>
        <v/>
      </c>
      <c r="AA654" s="44">
        <f>AA$623*$D654*AA636</f>
        <v/>
      </c>
      <c r="AB654" s="44">
        <f>AB$623*$D654*AB636</f>
        <v/>
      </c>
      <c r="AC654" s="44">
        <f>AC$623*$D654*AC636</f>
        <v/>
      </c>
      <c r="AD654" s="44">
        <f>AD$623*$D654*AD636</f>
        <v/>
      </c>
      <c r="AE654" s="57">
        <f>POWERREV(AE$623,$D654,AE636)</f>
        <v/>
      </c>
      <c r="AG654" s="11">
        <f>CodePrefix&amp;$A654&amp;IF($C654="","","."&amp;$C654&amp;"."&amp;$B654)&amp;INDEX(VarEnd,MATCH($A654,VarKey,0))&amp;AG$5</f>
        <v/>
      </c>
      <c r="AH654" s="43">
        <f>AH$623*$D654*AH636</f>
        <v/>
      </c>
      <c r="AI654" s="44">
        <f>AI$623*$D654*AI636</f>
        <v/>
      </c>
      <c r="AJ654" s="44">
        <f>AJ$623*$D654*AJ636</f>
        <v/>
      </c>
      <c r="AK654" s="44">
        <f>AK$623*$D654*AK636</f>
        <v/>
      </c>
      <c r="AL654" s="44">
        <f>AL$623*$D654*AL636</f>
        <v/>
      </c>
      <c r="AM654" s="44">
        <f>AM$623*$D654*AM636</f>
        <v/>
      </c>
      <c r="AN654" s="44">
        <f>AN$623*$D654*AN636</f>
        <v/>
      </c>
      <c r="AO654" s="44">
        <f>AO$623*$D654*AO636</f>
        <v/>
      </c>
      <c r="AP654" s="44">
        <f>AP$623*$D654*AP636</f>
        <v/>
      </c>
      <c r="AQ654" s="44">
        <f>AQ$623*$D654*AQ636</f>
        <v/>
      </c>
      <c r="AR654" s="44">
        <f>AR$623*$D654*AR636</f>
        <v/>
      </c>
      <c r="AS654" s="44">
        <f>AS$623*$D654*AS636</f>
        <v/>
      </c>
      <c r="AT654" s="44">
        <f>AT$623*$D654*AT636</f>
        <v/>
      </c>
      <c r="AU654" s="44">
        <f>AU$623*$D654*AU636</f>
        <v/>
      </c>
      <c r="AV654" s="44">
        <f>AV$623*$D654*AV636</f>
        <v/>
      </c>
      <c r="AW654" s="44">
        <f>AW$623*$D654*AW636</f>
        <v/>
      </c>
      <c r="AX654" s="44">
        <f>AX$623*$D654*AX636</f>
        <v/>
      </c>
      <c r="AY654" s="44">
        <f>AY$623*$D654*AY636</f>
        <v/>
      </c>
      <c r="AZ654" s="44">
        <f>AZ$623*$D654*AZ636</f>
        <v/>
      </c>
      <c r="BA654" s="57">
        <f>POWERREV(BA$623,$D654,BA636)</f>
        <v/>
      </c>
    </row>
    <row r="655" hidden="1" outlineLevel="1">
      <c r="A655" s="14" t="inlineStr">
        <is>
          <t>rcarb</t>
        </is>
      </c>
      <c r="B655" s="14" t="inlineStr">
        <is>
          <t>ecy</t>
        </is>
      </c>
      <c r="C655" s="14" t="inlineStr">
        <is>
          <t>ind</t>
        </is>
      </c>
      <c r="D655" s="53" t="n">
        <v>1</v>
      </c>
      <c r="E655" s="39" t="n"/>
      <c r="F655" s="39" t="n"/>
      <c r="G655" s="39" t="n"/>
      <c r="H655" s="14">
        <f>INDEX(VarLab,MATCH($A655,VarKey,0))&amp;INDEX(MemLab,MATCH($C655&amp;"|"&amp;$B655,MemKey,0))</f>
        <v/>
      </c>
      <c r="I655" s="14">
        <f>INDEX(VarUnit,MATCH($A655,VarKey,0))</f>
        <v/>
      </c>
      <c r="J655" s="14">
        <f>INDEX(VarSrc,MATCH($A655,VarKey,0))</f>
        <v/>
      </c>
      <c r="K655" s="11">
        <f>CodePrefix&amp;$A655&amp;IF($C655="","","."&amp;$C655&amp;"."&amp;$B655)&amp;INDEX(VarEnd,MATCH($A655,VarKey,0))&amp;K$5</f>
        <v/>
      </c>
      <c r="L655" s="43">
        <f>L$623*$D655*L637</f>
        <v/>
      </c>
      <c r="M655" s="44">
        <f>M$623*$D655*M637</f>
        <v/>
      </c>
      <c r="N655" s="44">
        <f>N$623*$D655*N637</f>
        <v/>
      </c>
      <c r="O655" s="44">
        <f>O$623*$D655*O637</f>
        <v/>
      </c>
      <c r="P655" s="44">
        <f>P$623*$D655*P637</f>
        <v/>
      </c>
      <c r="Q655" s="44">
        <f>Q$623*$D655*Q637</f>
        <v/>
      </c>
      <c r="R655" s="44">
        <f>R$623*$D655*R637</f>
        <v/>
      </c>
      <c r="S655" s="44">
        <f>S$623*$D655*S637</f>
        <v/>
      </c>
      <c r="T655" s="44">
        <f>T$623*$D655*T637</f>
        <v/>
      </c>
      <c r="U655" s="44">
        <f>U$623*$D655*U637</f>
        <v/>
      </c>
      <c r="V655" s="44">
        <f>V$623*$D655*V637</f>
        <v/>
      </c>
      <c r="W655" s="44">
        <f>W$623*$D655*W637</f>
        <v/>
      </c>
      <c r="X655" s="44">
        <f>X$623*$D655*X637</f>
        <v/>
      </c>
      <c r="Y655" s="44">
        <f>Y$623*$D655*Y637</f>
        <v/>
      </c>
      <c r="Z655" s="44">
        <f>Z$623*$D655*Z637</f>
        <v/>
      </c>
      <c r="AA655" s="44">
        <f>AA$623*$D655*AA637</f>
        <v/>
      </c>
      <c r="AB655" s="44">
        <f>AB$623*$D655*AB637</f>
        <v/>
      </c>
      <c r="AC655" s="44">
        <f>AC$623*$D655*AC637</f>
        <v/>
      </c>
      <c r="AD655" s="44">
        <f>AD$623*$D655*AD637</f>
        <v/>
      </c>
      <c r="AE655" s="57">
        <f>POWERREV(AE$623,$D655,AE637)</f>
        <v/>
      </c>
      <c r="AG655" s="11">
        <f>CodePrefix&amp;$A655&amp;IF($C655="","","."&amp;$C655&amp;"."&amp;$B655)&amp;INDEX(VarEnd,MATCH($A655,VarKey,0))&amp;AG$5</f>
        <v/>
      </c>
      <c r="AH655" s="43">
        <f>AH$623*$D655*AH637</f>
        <v/>
      </c>
      <c r="AI655" s="44">
        <f>AI$623*$D655*AI637</f>
        <v/>
      </c>
      <c r="AJ655" s="44">
        <f>AJ$623*$D655*AJ637</f>
        <v/>
      </c>
      <c r="AK655" s="44">
        <f>AK$623*$D655*AK637</f>
        <v/>
      </c>
      <c r="AL655" s="44">
        <f>AL$623*$D655*AL637</f>
        <v/>
      </c>
      <c r="AM655" s="44">
        <f>AM$623*$D655*AM637</f>
        <v/>
      </c>
      <c r="AN655" s="44">
        <f>AN$623*$D655*AN637</f>
        <v/>
      </c>
      <c r="AO655" s="44">
        <f>AO$623*$D655*AO637</f>
        <v/>
      </c>
      <c r="AP655" s="44">
        <f>AP$623*$D655*AP637</f>
        <v/>
      </c>
      <c r="AQ655" s="44">
        <f>AQ$623*$D655*AQ637</f>
        <v/>
      </c>
      <c r="AR655" s="44">
        <f>AR$623*$D655*AR637</f>
        <v/>
      </c>
      <c r="AS655" s="44">
        <f>AS$623*$D655*AS637</f>
        <v/>
      </c>
      <c r="AT655" s="44">
        <f>AT$623*$D655*AT637</f>
        <v/>
      </c>
      <c r="AU655" s="44">
        <f>AU$623*$D655*AU637</f>
        <v/>
      </c>
      <c r="AV655" s="44">
        <f>AV$623*$D655*AV637</f>
        <v/>
      </c>
      <c r="AW655" s="44">
        <f>AW$623*$D655*AW637</f>
        <v/>
      </c>
      <c r="AX655" s="44">
        <f>AX$623*$D655*AX637</f>
        <v/>
      </c>
      <c r="AY655" s="44">
        <f>AY$623*$D655*AY637</f>
        <v/>
      </c>
      <c r="AZ655" s="44">
        <f>AZ$623*$D655*AZ637</f>
        <v/>
      </c>
      <c r="BA655" s="57">
        <f>POWERREV(BA$623,$D655,BA637)</f>
        <v/>
      </c>
    </row>
    <row r="656" hidden="1" outlineLevel="1"/>
    <row r="657" hidden="1" outlineLevel="1">
      <c r="A657" s="14" t="inlineStr">
        <is>
          <t>rnvat</t>
        </is>
      </c>
      <c r="B657" s="14" t="inlineStr">
        <is>
          <t>ecy</t>
        </is>
      </c>
      <c r="C657" s="14" t="inlineStr">
        <is>
          <t>res</t>
        </is>
      </c>
      <c r="D657" s="45">
        <f>INDEX(Inputs_power!$G$19:$G$20,MATCH($C657,Inputs_power!$A$19:$A$20,0))</f>
        <v/>
      </c>
      <c r="E657" s="45">
        <f>INDEX(Inputs_power!$H$19:$H$20,MATCH($C657,Inputs_power!$A$19:$A$20,0))</f>
        <v/>
      </c>
      <c r="F657" s="39" t="n"/>
      <c r="G657" s="39" t="n"/>
      <c r="H657" s="14">
        <f>INDEX(VarLab,MATCH($A657,VarKey,0))&amp;INDEX(MemLab,MATCH($C657&amp;"|"&amp;$B657,MemKey,0))</f>
        <v/>
      </c>
      <c r="I657" s="14">
        <f>INDEX(VarUnit,MATCH($A657,VarKey,0))</f>
        <v/>
      </c>
      <c r="J657" s="14">
        <f>INDEX(VarSrc,MATCH($A657,VarKey,0))</f>
        <v/>
      </c>
      <c r="K657" s="11">
        <f>CodePrefix&amp;$A657&amp;IF($C657="","","."&amp;$C657&amp;"."&amp;$B657)&amp;INDEX(VarEnd,MATCH($A657,VarKey,0))&amp;K$5</f>
        <v/>
      </c>
      <c r="L657" s="43">
        <f>L$623*$D657*$E657*L636</f>
        <v/>
      </c>
      <c r="M657" s="44">
        <f>M$623*$D657*$E657*M636</f>
        <v/>
      </c>
      <c r="N657" s="44">
        <f>N$623*$D657*$E657*N636</f>
        <v/>
      </c>
      <c r="O657" s="44">
        <f>O$623*$D657*$E657*O636</f>
        <v/>
      </c>
      <c r="P657" s="44">
        <f>P$623*$D657*$E657*P636</f>
        <v/>
      </c>
      <c r="Q657" s="44">
        <f>Q$623*$D657*$E657*Q636</f>
        <v/>
      </c>
      <c r="R657" s="44">
        <f>R$623*$D657*$E657*R636</f>
        <v/>
      </c>
      <c r="S657" s="44">
        <f>S$623*$D657*$E657*S636</f>
        <v/>
      </c>
      <c r="T657" s="44">
        <f>T$623*$D657*$E657*T636</f>
        <v/>
      </c>
      <c r="U657" s="44">
        <f>U$623*$D657*$E657*U636</f>
        <v/>
      </c>
      <c r="V657" s="44">
        <f>V$623*$D657*$E657*V636</f>
        <v/>
      </c>
      <c r="W657" s="44">
        <f>W$623*$D657*$E657*W636</f>
        <v/>
      </c>
      <c r="X657" s="44">
        <f>X$623*$D657*$E657*X636</f>
        <v/>
      </c>
      <c r="Y657" s="44">
        <f>Y$623*$D657*$E657*Y636</f>
        <v/>
      </c>
      <c r="Z657" s="44">
        <f>Z$623*$D657*$E657*Z636</f>
        <v/>
      </c>
      <c r="AA657" s="44">
        <f>AA$623*$D657*$E657*AA636</f>
        <v/>
      </c>
      <c r="AB657" s="44">
        <f>AB$623*$D657*$E657*AB636</f>
        <v/>
      </c>
      <c r="AC657" s="44">
        <f>AC$623*$D657*$E657*AC636</f>
        <v/>
      </c>
      <c r="AD657" s="44">
        <f>AD$623*$D657*$E657*AD636</f>
        <v/>
      </c>
      <c r="AE657" s="57">
        <f>POWERREV(AE$623*$D657,$E657,AE636)</f>
        <v/>
      </c>
      <c r="AG657" s="11">
        <f>CodePrefix&amp;$A657&amp;IF($C657="","","."&amp;$C657&amp;"."&amp;$B657)&amp;INDEX(VarEnd,MATCH($A657,VarKey,0))&amp;AG$5</f>
        <v/>
      </c>
      <c r="AH657" s="43">
        <f>AH$623*$D657*$E657*AH636</f>
        <v/>
      </c>
      <c r="AI657" s="44">
        <f>AI$623*$D657*$E657*AI636</f>
        <v/>
      </c>
      <c r="AJ657" s="44">
        <f>AJ$623*$D657*$E657*AJ636</f>
        <v/>
      </c>
      <c r="AK657" s="44">
        <f>AK$623*$D657*$E657*AK636</f>
        <v/>
      </c>
      <c r="AL657" s="44">
        <f>AL$623*$D657*$E657*AL636</f>
        <v/>
      </c>
      <c r="AM657" s="44">
        <f>AM$623*$D657*$E657*AM636</f>
        <v/>
      </c>
      <c r="AN657" s="44">
        <f>AN$623*$D657*$E657*AN636</f>
        <v/>
      </c>
      <c r="AO657" s="44">
        <f>AO$623*$D657*$E657*AO636</f>
        <v/>
      </c>
      <c r="AP657" s="44">
        <f>AP$623*$D657*$E657*AP636</f>
        <v/>
      </c>
      <c r="AQ657" s="44">
        <f>AQ$623*$D657*$E657*AQ636</f>
        <v/>
      </c>
      <c r="AR657" s="44">
        <f>AR$623*$D657*$E657*AR636</f>
        <v/>
      </c>
      <c r="AS657" s="44">
        <f>AS$623*$D657*$E657*AS636</f>
        <v/>
      </c>
      <c r="AT657" s="44">
        <f>AT$623*$D657*$E657*AT636</f>
        <v/>
      </c>
      <c r="AU657" s="44">
        <f>AU$623*$D657*$E657*AU636</f>
        <v/>
      </c>
      <c r="AV657" s="44">
        <f>AV$623*$D657*$E657*AV636</f>
        <v/>
      </c>
      <c r="AW657" s="44">
        <f>AW$623*$D657*$E657*AW636</f>
        <v/>
      </c>
      <c r="AX657" s="44">
        <f>AX$623*$D657*$E657*AX636</f>
        <v/>
      </c>
      <c r="AY657" s="44">
        <f>AY$623*$D657*$E657*AY636</f>
        <v/>
      </c>
      <c r="AZ657" s="44">
        <f>AZ$623*$D657*$E657*AZ636</f>
        <v/>
      </c>
      <c r="BA657" s="57">
        <f>POWERREV(BA$623*$D657,$E657,BA636)</f>
        <v/>
      </c>
    </row>
    <row r="658" hidden="1" outlineLevel="1">
      <c r="A658" s="14" t="inlineStr">
        <is>
          <t>rnvat</t>
        </is>
      </c>
      <c r="B658" s="14" t="inlineStr">
        <is>
          <t>ecy</t>
        </is>
      </c>
      <c r="C658" s="14" t="inlineStr">
        <is>
          <t>ind</t>
        </is>
      </c>
      <c r="D658" s="45">
        <f>INDEX(Inputs_power!$G$19:$G$20,MATCH($C658,Inputs_power!$A$19:$A$20,0))</f>
        <v/>
      </c>
      <c r="E658" s="45">
        <f>INDEX(Inputs_power!$H$19:$H$20,MATCH($C658,Inputs_power!$A$19:$A$20,0))</f>
        <v/>
      </c>
      <c r="F658" s="39" t="n"/>
      <c r="G658" s="39" t="n"/>
      <c r="H658" s="14">
        <f>INDEX(VarLab,MATCH($A658,VarKey,0))&amp;INDEX(MemLab,MATCH($C658&amp;"|"&amp;$B658,MemKey,0))</f>
        <v/>
      </c>
      <c r="I658" s="14">
        <f>INDEX(VarUnit,MATCH($A658,VarKey,0))</f>
        <v/>
      </c>
      <c r="J658" s="14">
        <f>INDEX(VarSrc,MATCH($A658,VarKey,0))</f>
        <v/>
      </c>
      <c r="K658" s="11">
        <f>CodePrefix&amp;$A658&amp;IF($C658="","","."&amp;$C658&amp;"."&amp;$B658)&amp;INDEX(VarEnd,MATCH($A658,VarKey,0))&amp;K$5</f>
        <v/>
      </c>
      <c r="L658" s="43">
        <f>L$623*$D658*$E658*L637</f>
        <v/>
      </c>
      <c r="M658" s="44">
        <f>M$623*$D658*$E658*M637</f>
        <v/>
      </c>
      <c r="N658" s="44">
        <f>N$623*$D658*$E658*N637</f>
        <v/>
      </c>
      <c r="O658" s="44">
        <f>O$623*$D658*$E658*O637</f>
        <v/>
      </c>
      <c r="P658" s="44">
        <f>P$623*$D658*$E658*P637</f>
        <v/>
      </c>
      <c r="Q658" s="44">
        <f>Q$623*$D658*$E658*Q637</f>
        <v/>
      </c>
      <c r="R658" s="44">
        <f>R$623*$D658*$E658*R637</f>
        <v/>
      </c>
      <c r="S658" s="44">
        <f>S$623*$D658*$E658*S637</f>
        <v/>
      </c>
      <c r="T658" s="44">
        <f>T$623*$D658*$E658*T637</f>
        <v/>
      </c>
      <c r="U658" s="44">
        <f>U$623*$D658*$E658*U637</f>
        <v/>
      </c>
      <c r="V658" s="44">
        <f>V$623*$D658*$E658*V637</f>
        <v/>
      </c>
      <c r="W658" s="44">
        <f>W$623*$D658*$E658*W637</f>
        <v/>
      </c>
      <c r="X658" s="44">
        <f>X$623*$D658*$E658*X637</f>
        <v/>
      </c>
      <c r="Y658" s="44">
        <f>Y$623*$D658*$E658*Y637</f>
        <v/>
      </c>
      <c r="Z658" s="44">
        <f>Z$623*$D658*$E658*Z637</f>
        <v/>
      </c>
      <c r="AA658" s="44">
        <f>AA$623*$D658*$E658*AA637</f>
        <v/>
      </c>
      <c r="AB658" s="44">
        <f>AB$623*$D658*$E658*AB637</f>
        <v/>
      </c>
      <c r="AC658" s="44">
        <f>AC$623*$D658*$E658*AC637</f>
        <v/>
      </c>
      <c r="AD658" s="44">
        <f>AD$623*$D658*$E658*AD637</f>
        <v/>
      </c>
      <c r="AE658" s="57">
        <f>POWERREV(AE$623*$D658,$E658,AE637)</f>
        <v/>
      </c>
      <c r="AG658" s="11">
        <f>CodePrefix&amp;$A658&amp;IF($C658="","","."&amp;$C658&amp;"."&amp;$B658)&amp;INDEX(VarEnd,MATCH($A658,VarKey,0))&amp;AG$5</f>
        <v/>
      </c>
      <c r="AH658" s="43">
        <f>AH$623*$D658*$E658*AH637</f>
        <v/>
      </c>
      <c r="AI658" s="44">
        <f>AI$623*$D658*$E658*AI637</f>
        <v/>
      </c>
      <c r="AJ658" s="44">
        <f>AJ$623*$D658*$E658*AJ637</f>
        <v/>
      </c>
      <c r="AK658" s="44">
        <f>AK$623*$D658*$E658*AK637</f>
        <v/>
      </c>
      <c r="AL658" s="44">
        <f>AL$623*$D658*$E658*AL637</f>
        <v/>
      </c>
      <c r="AM658" s="44">
        <f>AM$623*$D658*$E658*AM637</f>
        <v/>
      </c>
      <c r="AN658" s="44">
        <f>AN$623*$D658*$E658*AN637</f>
        <v/>
      </c>
      <c r="AO658" s="44">
        <f>AO$623*$D658*$E658*AO637</f>
        <v/>
      </c>
      <c r="AP658" s="44">
        <f>AP$623*$D658*$E658*AP637</f>
        <v/>
      </c>
      <c r="AQ658" s="44">
        <f>AQ$623*$D658*$E658*AQ637</f>
        <v/>
      </c>
      <c r="AR658" s="44">
        <f>AR$623*$D658*$E658*AR637</f>
        <v/>
      </c>
      <c r="AS658" s="44">
        <f>AS$623*$D658*$E658*AS637</f>
        <v/>
      </c>
      <c r="AT658" s="44">
        <f>AT$623*$D658*$E658*AT637</f>
        <v/>
      </c>
      <c r="AU658" s="44">
        <f>AU$623*$D658*$E658*AU637</f>
        <v/>
      </c>
      <c r="AV658" s="44">
        <f>AV$623*$D658*$E658*AV637</f>
        <v/>
      </c>
      <c r="AW658" s="44">
        <f>AW$623*$D658*$E658*AW637</f>
        <v/>
      </c>
      <c r="AX658" s="44">
        <f>AX$623*$D658*$E658*AX637</f>
        <v/>
      </c>
      <c r="AY658" s="44">
        <f>AY$623*$D658*$E658*AY637</f>
        <v/>
      </c>
      <c r="AZ658" s="44">
        <f>AZ$623*$D658*$E658*AZ637</f>
        <v/>
      </c>
      <c r="BA658" s="57">
        <f>POWERREV(BA$623*$D658,$E658,BA637)</f>
        <v/>
      </c>
    </row>
    <row r="659" hidden="1" outlineLevel="1"/>
    <row r="660" hidden="1" outlineLevel="1">
      <c r="A660" s="14" t="inlineStr">
        <is>
          <t>rgap</t>
        </is>
      </c>
      <c r="B660" s="14" t="inlineStr">
        <is>
          <t>ecy</t>
        </is>
      </c>
      <c r="C660" s="14" t="inlineStr">
        <is>
          <t>res</t>
        </is>
      </c>
      <c r="D660" s="53" t="n">
        <v>1</v>
      </c>
      <c r="E660" s="39" t="n"/>
      <c r="F660" s="39" t="n"/>
      <c r="G660" s="39" t="n"/>
      <c r="H660" s="14">
        <f>INDEX(VarLab,MATCH($A660,VarKey,0))&amp;INDEX(MemLab,MATCH($C660&amp;"|"&amp;$B660,MemKey,0))</f>
        <v/>
      </c>
      <c r="I660" s="14">
        <f>INDEX(VarUnit,MATCH($A660,VarKey,0))</f>
        <v/>
      </c>
      <c r="J660" s="14">
        <f>INDEX(VarSrc,MATCH($A660,VarKey,0))</f>
        <v/>
      </c>
      <c r="K660" s="11">
        <f>CodePrefix&amp;$A660&amp;IF($C660="","","."&amp;$C660&amp;"."&amp;$B660)&amp;INDEX(VarEnd,MATCH($A660,VarKey,0))&amp;K$5</f>
        <v/>
      </c>
      <c r="L660" s="43">
        <f>L648*$D660*L636</f>
        <v/>
      </c>
      <c r="M660" s="44">
        <f>M648*$D660*M636</f>
        <v/>
      </c>
      <c r="N660" s="44">
        <f>N648*$D660*N636</f>
        <v/>
      </c>
      <c r="O660" s="44">
        <f>O648*$D660*O636</f>
        <v/>
      </c>
      <c r="P660" s="44">
        <f>P648*$D660*P636</f>
        <v/>
      </c>
      <c r="Q660" s="44">
        <f>Q648*$D660*Q636</f>
        <v/>
      </c>
      <c r="R660" s="44">
        <f>R648*$D660*R636</f>
        <v/>
      </c>
      <c r="S660" s="44">
        <f>S648*$D660*S636</f>
        <v/>
      </c>
      <c r="T660" s="44">
        <f>T648*$D660*T636</f>
        <v/>
      </c>
      <c r="U660" s="44">
        <f>U648*$D660*U636</f>
        <v/>
      </c>
      <c r="V660" s="44">
        <f>V648*$D660*V636</f>
        <v/>
      </c>
      <c r="W660" s="44">
        <f>W648*$D660*W636</f>
        <v/>
      </c>
      <c r="X660" s="44">
        <f>X648*$D660*X636</f>
        <v/>
      </c>
      <c r="Y660" s="44">
        <f>Y648*$D660*Y636</f>
        <v/>
      </c>
      <c r="Z660" s="44">
        <f>Z648*$D660*Z636</f>
        <v/>
      </c>
      <c r="AA660" s="44">
        <f>AA648*$D660*AA636</f>
        <v/>
      </c>
      <c r="AB660" s="44">
        <f>AB648*$D660*AB636</f>
        <v/>
      </c>
      <c r="AC660" s="44">
        <f>AC648*$D660*AC636</f>
        <v/>
      </c>
      <c r="AD660" s="44">
        <f>AD648*$D660*AD636</f>
        <v/>
      </c>
      <c r="AE660" s="57">
        <f>POWERREV(AE648,$D660,AE636)</f>
        <v/>
      </c>
      <c r="AG660" s="11">
        <f>CodePrefix&amp;$A660&amp;IF($C660="","","."&amp;$C660&amp;"."&amp;$B660)&amp;INDEX(VarEnd,MATCH($A660,VarKey,0))&amp;AG$5</f>
        <v/>
      </c>
      <c r="AH660" s="43">
        <f>AH648*$D660*AH636</f>
        <v/>
      </c>
      <c r="AI660" s="44">
        <f>AI648*$D660*AI636</f>
        <v/>
      </c>
      <c r="AJ660" s="44">
        <f>AJ648*$D660*AJ636</f>
        <v/>
      </c>
      <c r="AK660" s="44">
        <f>AK648*$D660*AK636</f>
        <v/>
      </c>
      <c r="AL660" s="44">
        <f>AL648*$D660*AL636</f>
        <v/>
      </c>
      <c r="AM660" s="44">
        <f>AM648*$D660*AM636</f>
        <v/>
      </c>
      <c r="AN660" s="44">
        <f>AN648*$D660*AN636</f>
        <v/>
      </c>
      <c r="AO660" s="44">
        <f>AO648*$D660*AO636</f>
        <v/>
      </c>
      <c r="AP660" s="44">
        <f>AP648*$D660*AP636</f>
        <v/>
      </c>
      <c r="AQ660" s="44">
        <f>AQ648*$D660*AQ636</f>
        <v/>
      </c>
      <c r="AR660" s="44">
        <f>AR648*$D660*AR636</f>
        <v/>
      </c>
      <c r="AS660" s="44">
        <f>AS648*$D660*AS636</f>
        <v/>
      </c>
      <c r="AT660" s="44">
        <f>AT648*$D660*AT636</f>
        <v/>
      </c>
      <c r="AU660" s="44">
        <f>AU648*$D660*AU636</f>
        <v/>
      </c>
      <c r="AV660" s="44">
        <f>AV648*$D660*AV636</f>
        <v/>
      </c>
      <c r="AW660" s="44">
        <f>AW648*$D660*AW636</f>
        <v/>
      </c>
      <c r="AX660" s="44">
        <f>AX648*$D660*AX636</f>
        <v/>
      </c>
      <c r="AY660" s="44">
        <f>AY648*$D660*AY636</f>
        <v/>
      </c>
      <c r="AZ660" s="44">
        <f>AZ648*$D660*AZ636</f>
        <v/>
      </c>
      <c r="BA660" s="57">
        <f>POWERREV(BA648,$D660,BA636)</f>
        <v/>
      </c>
    </row>
    <row r="661" hidden="1" outlineLevel="1">
      <c r="A661" s="14" t="inlineStr">
        <is>
          <t>rgap</t>
        </is>
      </c>
      <c r="B661" s="14" t="inlineStr">
        <is>
          <t>ecy</t>
        </is>
      </c>
      <c r="C661" s="14" t="inlineStr">
        <is>
          <t>ind</t>
        </is>
      </c>
      <c r="D661" s="53" t="n">
        <v>1</v>
      </c>
      <c r="E661" s="39" t="n"/>
      <c r="F661" s="39" t="n"/>
      <c r="G661" s="39" t="n"/>
      <c r="H661" s="14">
        <f>INDEX(VarLab,MATCH($A661,VarKey,0))&amp;INDEX(MemLab,MATCH($C661&amp;"|"&amp;$B661,MemKey,0))</f>
        <v/>
      </c>
      <c r="I661" s="14">
        <f>INDEX(VarUnit,MATCH($A661,VarKey,0))</f>
        <v/>
      </c>
      <c r="J661" s="14">
        <f>INDEX(VarSrc,MATCH($A661,VarKey,0))</f>
        <v/>
      </c>
      <c r="K661" s="11">
        <f>CodePrefix&amp;$A661&amp;IF($C661="","","."&amp;$C661&amp;"."&amp;$B661)&amp;INDEX(VarEnd,MATCH($A661,VarKey,0))&amp;K$5</f>
        <v/>
      </c>
      <c r="L661" s="43">
        <f>L649*$D661*L637</f>
        <v/>
      </c>
      <c r="M661" s="44">
        <f>M649*$D661*M637</f>
        <v/>
      </c>
      <c r="N661" s="44">
        <f>N649*$D661*N637</f>
        <v/>
      </c>
      <c r="O661" s="44">
        <f>O649*$D661*O637</f>
        <v/>
      </c>
      <c r="P661" s="44">
        <f>P649*$D661*P637</f>
        <v/>
      </c>
      <c r="Q661" s="44">
        <f>Q649*$D661*Q637</f>
        <v/>
      </c>
      <c r="R661" s="44">
        <f>R649*$D661*R637</f>
        <v/>
      </c>
      <c r="S661" s="44">
        <f>S649*$D661*S637</f>
        <v/>
      </c>
      <c r="T661" s="44">
        <f>T649*$D661*T637</f>
        <v/>
      </c>
      <c r="U661" s="44">
        <f>U649*$D661*U637</f>
        <v/>
      </c>
      <c r="V661" s="44">
        <f>V649*$D661*V637</f>
        <v/>
      </c>
      <c r="W661" s="44">
        <f>W649*$D661*W637</f>
        <v/>
      </c>
      <c r="X661" s="44">
        <f>X649*$D661*X637</f>
        <v/>
      </c>
      <c r="Y661" s="44">
        <f>Y649*$D661*Y637</f>
        <v/>
      </c>
      <c r="Z661" s="44">
        <f>Z649*$D661*Z637</f>
        <v/>
      </c>
      <c r="AA661" s="44">
        <f>AA649*$D661*AA637</f>
        <v/>
      </c>
      <c r="AB661" s="44">
        <f>AB649*$D661*AB637</f>
        <v/>
      </c>
      <c r="AC661" s="44">
        <f>AC649*$D661*AC637</f>
        <v/>
      </c>
      <c r="AD661" s="44">
        <f>AD649*$D661*AD637</f>
        <v/>
      </c>
      <c r="AE661" s="57">
        <f>POWERREV(AE649,$D661,AE637)</f>
        <v/>
      </c>
      <c r="AG661" s="11">
        <f>CodePrefix&amp;$A661&amp;IF($C661="","","."&amp;$C661&amp;"."&amp;$B661)&amp;INDEX(VarEnd,MATCH($A661,VarKey,0))&amp;AG$5</f>
        <v/>
      </c>
      <c r="AH661" s="43">
        <f>AH649*$D661*AH637</f>
        <v/>
      </c>
      <c r="AI661" s="44">
        <f>AI649*$D661*AI637</f>
        <v/>
      </c>
      <c r="AJ661" s="44">
        <f>AJ649*$D661*AJ637</f>
        <v/>
      </c>
      <c r="AK661" s="44">
        <f>AK649*$D661*AK637</f>
        <v/>
      </c>
      <c r="AL661" s="44">
        <f>AL649*$D661*AL637</f>
        <v/>
      </c>
      <c r="AM661" s="44">
        <f>AM649*$D661*AM637</f>
        <v/>
      </c>
      <c r="AN661" s="44">
        <f>AN649*$D661*AN637</f>
        <v/>
      </c>
      <c r="AO661" s="44">
        <f>AO649*$D661*AO637</f>
        <v/>
      </c>
      <c r="AP661" s="44">
        <f>AP649*$D661*AP637</f>
        <v/>
      </c>
      <c r="AQ661" s="44">
        <f>AQ649*$D661*AQ637</f>
        <v/>
      </c>
      <c r="AR661" s="44">
        <f>AR649*$D661*AR637</f>
        <v/>
      </c>
      <c r="AS661" s="44">
        <f>AS649*$D661*AS637</f>
        <v/>
      </c>
      <c r="AT661" s="44">
        <f>AT649*$D661*AT637</f>
        <v/>
      </c>
      <c r="AU661" s="44">
        <f>AU649*$D661*AU637</f>
        <v/>
      </c>
      <c r="AV661" s="44">
        <f>AV649*$D661*AV637</f>
        <v/>
      </c>
      <c r="AW661" s="44">
        <f>AW649*$D661*AW637</f>
        <v/>
      </c>
      <c r="AX661" s="44">
        <f>AX649*$D661*AX637</f>
        <v/>
      </c>
      <c r="AY661" s="44">
        <f>AY649*$D661*AY637</f>
        <v/>
      </c>
      <c r="AZ661" s="44">
        <f>AZ649*$D661*AZ637</f>
        <v/>
      </c>
      <c r="BA661" s="57">
        <f>POWERREV(BA649,$D661,BA637)</f>
        <v/>
      </c>
    </row>
    <row r="662" hidden="1" outlineLevel="1"/>
    <row r="663" hidden="1" outlineLevel="1">
      <c r="H663" s="21" t="inlineStr">
        <is>
          <t>H. Power demand (ktoe): price of the previous year by demand group, growth multiple (efficiency, GDP, price), demand by subsector and by demand group, total, required generation (MWy)</t>
        </is>
      </c>
    </row>
    <row r="664" hidden="1" outlineLevel="1">
      <c r="A664" s="14" t="inlineStr">
        <is>
          <t>pdem</t>
        </is>
      </c>
      <c r="B664" s="14" t="inlineStr">
        <is>
          <t>ecy</t>
        </is>
      </c>
      <c r="C664" s="14" t="inlineStr">
        <is>
          <t>tra</t>
        </is>
      </c>
      <c r="D664" s="45">
        <f>INDEX(Inputs_power!$D$29:$D$32,MATCH($C664,Inputs_power!$A$29:$A$32,0))</f>
        <v/>
      </c>
      <c r="E664" s="45">
        <f>INDEX(Inputs_power!$K$29:$K$32,MATCH($C664,Inputs_power!$A$29:$A$32,0))</f>
        <v/>
      </c>
      <c r="F664" s="39" t="n"/>
      <c r="G664" s="39" t="n"/>
      <c r="H664" s="14">
        <f>INDEX(VarLab,MATCH($A664,VarKey,0))&amp;INDEX(MemLab,MATCH($C664&amp;"|"&amp;$B664,MemKey,0))</f>
        <v/>
      </c>
      <c r="I664" s="14">
        <f>INDEX(VarUnit,MATCH($A664,VarKey,0))</f>
        <v/>
      </c>
      <c r="J664" s="14">
        <f>INDEX(VarSrc,MATCH($A664,VarKey,0))</f>
        <v/>
      </c>
      <c r="K664" s="11">
        <f>CodePrefix&amp;$A664&amp;IF($C664="","","."&amp;$C664&amp;"."&amp;$B664)&amp;INDEX(VarEnd,MATCH($A664,VarKey,0))&amp;K$5</f>
        <v/>
      </c>
      <c r="L664" s="15">
        <f>$E664</f>
        <v/>
      </c>
      <c r="M664" s="16">
        <f>$D664*L$645+(1-$D664)*L$646</f>
        <v/>
      </c>
      <c r="N664" s="16">
        <f>$D664*M$645+(1-$D664)*M$646</f>
        <v/>
      </c>
      <c r="O664" s="16">
        <f>$D664*N$645+(1-$D664)*N$646</f>
        <v/>
      </c>
      <c r="P664" s="16">
        <f>$D664*O$645+(1-$D664)*O$646</f>
        <v/>
      </c>
      <c r="Q664" s="16">
        <f>$D664*P$645+(1-$D664)*P$646</f>
        <v/>
      </c>
      <c r="R664" s="16">
        <f>$D664*Q$645+(1-$D664)*Q$646</f>
        <v/>
      </c>
      <c r="S664" s="16">
        <f>$D664*R$645+(1-$D664)*R$646</f>
        <v/>
      </c>
      <c r="T664" s="16">
        <f>$D664*S$645+(1-$D664)*S$646</f>
        <v/>
      </c>
      <c r="U664" s="16">
        <f>$D664*T$645+(1-$D664)*T$646</f>
        <v/>
      </c>
      <c r="V664" s="16">
        <f>$D664*U$645+(1-$D664)*U$646</f>
        <v/>
      </c>
      <c r="W664" s="16">
        <f>$D664*V$645+(1-$D664)*V$646</f>
        <v/>
      </c>
      <c r="X664" s="16">
        <f>$D664*W$645+(1-$D664)*W$646</f>
        <v/>
      </c>
      <c r="Y664" s="16">
        <f>$D664*X$645+(1-$D664)*X$646</f>
        <v/>
      </c>
      <c r="Z664" s="16">
        <f>$D664*Y$645+(1-$D664)*Y$646</f>
        <v/>
      </c>
      <c r="AA664" s="16">
        <f>$D664*Z$645+(1-$D664)*Z$646</f>
        <v/>
      </c>
      <c r="AB664" s="16">
        <f>$D664*AA$645+(1-$D664)*AA$646</f>
        <v/>
      </c>
      <c r="AC664" s="16">
        <f>$D664*AB$645+(1-$D664)*AB$646</f>
        <v/>
      </c>
      <c r="AD664" s="16">
        <f>$D664*AC$645+(1-$D664)*AC$646</f>
        <v/>
      </c>
      <c r="AE664" s="49">
        <f>PRICEMIX($D664,AD$645,AD$646)</f>
        <v/>
      </c>
      <c r="AG664" s="11">
        <f>CodePrefix&amp;$A664&amp;IF($C664="","","."&amp;$C664&amp;"."&amp;$B664)&amp;INDEX(VarEnd,MATCH($A664,VarKey,0))&amp;AG$5</f>
        <v/>
      </c>
      <c r="AH664" s="15">
        <f>$E664</f>
        <v/>
      </c>
      <c r="AI664" s="16">
        <f>$D664*AH$645+(1-$D664)*AH$646</f>
        <v/>
      </c>
      <c r="AJ664" s="16">
        <f>$D664*AI$645+(1-$D664)*AI$646</f>
        <v/>
      </c>
      <c r="AK664" s="16">
        <f>$D664*AJ$645+(1-$D664)*AJ$646</f>
        <v/>
      </c>
      <c r="AL664" s="16">
        <f>$D664*AK$645+(1-$D664)*AK$646</f>
        <v/>
      </c>
      <c r="AM664" s="16">
        <f>$D664*AL$645+(1-$D664)*AL$646</f>
        <v/>
      </c>
      <c r="AN664" s="16">
        <f>$D664*AM$645+(1-$D664)*AM$646</f>
        <v/>
      </c>
      <c r="AO664" s="16">
        <f>$D664*AN$645+(1-$D664)*AN$646</f>
        <v/>
      </c>
      <c r="AP664" s="16">
        <f>$D664*AO$645+(1-$D664)*AO$646</f>
        <v/>
      </c>
      <c r="AQ664" s="16">
        <f>$D664*AP$645+(1-$D664)*AP$646</f>
        <v/>
      </c>
      <c r="AR664" s="16">
        <f>$D664*AQ$645+(1-$D664)*AQ$646</f>
        <v/>
      </c>
      <c r="AS664" s="16">
        <f>$D664*AR$645+(1-$D664)*AR$646</f>
        <v/>
      </c>
      <c r="AT664" s="16">
        <f>$D664*AS$645+(1-$D664)*AS$646</f>
        <v/>
      </c>
      <c r="AU664" s="16">
        <f>$D664*AT$645+(1-$D664)*AT$646</f>
        <v/>
      </c>
      <c r="AV664" s="16">
        <f>$D664*AU$645+(1-$D664)*AU$646</f>
        <v/>
      </c>
      <c r="AW664" s="16">
        <f>$D664*AV$645+(1-$D664)*AV$646</f>
        <v/>
      </c>
      <c r="AX664" s="16">
        <f>$D664*AW$645+(1-$D664)*AW$646</f>
        <v/>
      </c>
      <c r="AY664" s="16">
        <f>$D664*AX$645+(1-$D664)*AX$646</f>
        <v/>
      </c>
      <c r="AZ664" s="16">
        <f>$D664*AY$645+(1-$D664)*AY$646</f>
        <v/>
      </c>
      <c r="BA664" s="49">
        <f>PRICEMIX($D664,AZ$645,AZ$646)</f>
        <v/>
      </c>
    </row>
    <row r="665" hidden="1" outlineLevel="1">
      <c r="A665" s="14" t="inlineStr">
        <is>
          <t>pdem</t>
        </is>
      </c>
      <c r="B665" s="14" t="inlineStr">
        <is>
          <t>ecy</t>
        </is>
      </c>
      <c r="C665" s="14" t="inlineStr">
        <is>
          <t>res</t>
        </is>
      </c>
      <c r="D665" s="45">
        <f>INDEX(Inputs_power!$D$29:$D$32,MATCH($C665,Inputs_power!$A$29:$A$32,0))</f>
        <v/>
      </c>
      <c r="E665" s="45">
        <f>INDEX(Inputs_power!$K$29:$K$32,MATCH($C665,Inputs_power!$A$29:$A$32,0))</f>
        <v/>
      </c>
      <c r="F665" s="39" t="n"/>
      <c r="G665" s="39" t="n"/>
      <c r="H665" s="14">
        <f>INDEX(VarLab,MATCH($A665,VarKey,0))&amp;INDEX(MemLab,MATCH($C665&amp;"|"&amp;$B665,MemKey,0))</f>
        <v/>
      </c>
      <c r="I665" s="14">
        <f>INDEX(VarUnit,MATCH($A665,VarKey,0))</f>
        <v/>
      </c>
      <c r="J665" s="14">
        <f>INDEX(VarSrc,MATCH($A665,VarKey,0))</f>
        <v/>
      </c>
      <c r="K665" s="11">
        <f>CodePrefix&amp;$A665&amp;IF($C665="","","."&amp;$C665&amp;"."&amp;$B665)&amp;INDEX(VarEnd,MATCH($A665,VarKey,0))&amp;K$5</f>
        <v/>
      </c>
      <c r="L665" s="15">
        <f>$E665</f>
        <v/>
      </c>
      <c r="M665" s="16">
        <f>$D665*L$645+(1-$D665)*L$646</f>
        <v/>
      </c>
      <c r="N665" s="16">
        <f>$D665*M$645+(1-$D665)*M$646</f>
        <v/>
      </c>
      <c r="O665" s="16">
        <f>$D665*N$645+(1-$D665)*N$646</f>
        <v/>
      </c>
      <c r="P665" s="16">
        <f>$D665*O$645+(1-$D665)*O$646</f>
        <v/>
      </c>
      <c r="Q665" s="16">
        <f>$D665*P$645+(1-$D665)*P$646</f>
        <v/>
      </c>
      <c r="R665" s="16">
        <f>$D665*Q$645+(1-$D665)*Q$646</f>
        <v/>
      </c>
      <c r="S665" s="16">
        <f>$D665*R$645+(1-$D665)*R$646</f>
        <v/>
      </c>
      <c r="T665" s="16">
        <f>$D665*S$645+(1-$D665)*S$646</f>
        <v/>
      </c>
      <c r="U665" s="16">
        <f>$D665*T$645+(1-$D665)*T$646</f>
        <v/>
      </c>
      <c r="V665" s="16">
        <f>$D665*U$645+(1-$D665)*U$646</f>
        <v/>
      </c>
      <c r="W665" s="16">
        <f>$D665*V$645+(1-$D665)*V$646</f>
        <v/>
      </c>
      <c r="X665" s="16">
        <f>$D665*W$645+(1-$D665)*W$646</f>
        <v/>
      </c>
      <c r="Y665" s="16">
        <f>$D665*X$645+(1-$D665)*X$646</f>
        <v/>
      </c>
      <c r="Z665" s="16">
        <f>$D665*Y$645+(1-$D665)*Y$646</f>
        <v/>
      </c>
      <c r="AA665" s="16">
        <f>$D665*Z$645+(1-$D665)*Z$646</f>
        <v/>
      </c>
      <c r="AB665" s="16">
        <f>$D665*AA$645+(1-$D665)*AA$646</f>
        <v/>
      </c>
      <c r="AC665" s="16">
        <f>$D665*AB$645+(1-$D665)*AB$646</f>
        <v/>
      </c>
      <c r="AD665" s="16">
        <f>$D665*AC$645+(1-$D665)*AC$646</f>
        <v/>
      </c>
      <c r="AE665" s="49">
        <f>PRICEMIX($D665,AD$645,AD$646)</f>
        <v/>
      </c>
      <c r="AG665" s="11">
        <f>CodePrefix&amp;$A665&amp;IF($C665="","","."&amp;$C665&amp;"."&amp;$B665)&amp;INDEX(VarEnd,MATCH($A665,VarKey,0))&amp;AG$5</f>
        <v/>
      </c>
      <c r="AH665" s="15">
        <f>$E665</f>
        <v/>
      </c>
      <c r="AI665" s="16">
        <f>$D665*AH$645+(1-$D665)*AH$646</f>
        <v/>
      </c>
      <c r="AJ665" s="16">
        <f>$D665*AI$645+(1-$D665)*AI$646</f>
        <v/>
      </c>
      <c r="AK665" s="16">
        <f>$D665*AJ$645+(1-$D665)*AJ$646</f>
        <v/>
      </c>
      <c r="AL665" s="16">
        <f>$D665*AK$645+(1-$D665)*AK$646</f>
        <v/>
      </c>
      <c r="AM665" s="16">
        <f>$D665*AL$645+(1-$D665)*AL$646</f>
        <v/>
      </c>
      <c r="AN665" s="16">
        <f>$D665*AM$645+(1-$D665)*AM$646</f>
        <v/>
      </c>
      <c r="AO665" s="16">
        <f>$D665*AN$645+(1-$D665)*AN$646</f>
        <v/>
      </c>
      <c r="AP665" s="16">
        <f>$D665*AO$645+(1-$D665)*AO$646</f>
        <v/>
      </c>
      <c r="AQ665" s="16">
        <f>$D665*AP$645+(1-$D665)*AP$646</f>
        <v/>
      </c>
      <c r="AR665" s="16">
        <f>$D665*AQ$645+(1-$D665)*AQ$646</f>
        <v/>
      </c>
      <c r="AS665" s="16">
        <f>$D665*AR$645+(1-$D665)*AR$646</f>
        <v/>
      </c>
      <c r="AT665" s="16">
        <f>$D665*AS$645+(1-$D665)*AS$646</f>
        <v/>
      </c>
      <c r="AU665" s="16">
        <f>$D665*AT$645+(1-$D665)*AT$646</f>
        <v/>
      </c>
      <c r="AV665" s="16">
        <f>$D665*AU$645+(1-$D665)*AU$646</f>
        <v/>
      </c>
      <c r="AW665" s="16">
        <f>$D665*AV$645+(1-$D665)*AV$646</f>
        <v/>
      </c>
      <c r="AX665" s="16">
        <f>$D665*AW$645+(1-$D665)*AW$646</f>
        <v/>
      </c>
      <c r="AY665" s="16">
        <f>$D665*AX$645+(1-$D665)*AX$646</f>
        <v/>
      </c>
      <c r="AZ665" s="16">
        <f>$D665*AY$645+(1-$D665)*AY$646</f>
        <v/>
      </c>
      <c r="BA665" s="49">
        <f>PRICEMIX($D665,AZ$645,AZ$646)</f>
        <v/>
      </c>
    </row>
    <row r="666" hidden="1" outlineLevel="1">
      <c r="A666" s="14" t="inlineStr">
        <is>
          <t>pdem</t>
        </is>
      </c>
      <c r="B666" s="14" t="inlineStr">
        <is>
          <t>ecy</t>
        </is>
      </c>
      <c r="C666" s="14" t="inlineStr">
        <is>
          <t>ind</t>
        </is>
      </c>
      <c r="D666" s="45">
        <f>INDEX(Inputs_power!$D$29:$D$32,MATCH($C666,Inputs_power!$A$29:$A$32,0))</f>
        <v/>
      </c>
      <c r="E666" s="45">
        <f>INDEX(Inputs_power!$K$29:$K$32,MATCH($C666,Inputs_power!$A$29:$A$32,0))</f>
        <v/>
      </c>
      <c r="F666" s="39" t="n"/>
      <c r="G666" s="39" t="n"/>
      <c r="H666" s="14">
        <f>INDEX(VarLab,MATCH($A666,VarKey,0))&amp;INDEX(MemLab,MATCH($C666&amp;"|"&amp;$B666,MemKey,0))</f>
        <v/>
      </c>
      <c r="I666" s="14">
        <f>INDEX(VarUnit,MATCH($A666,VarKey,0))</f>
        <v/>
      </c>
      <c r="J666" s="14">
        <f>INDEX(VarSrc,MATCH($A666,VarKey,0))</f>
        <v/>
      </c>
      <c r="K666" s="11">
        <f>CodePrefix&amp;$A666&amp;IF($C666="","","."&amp;$C666&amp;"."&amp;$B666)&amp;INDEX(VarEnd,MATCH($A666,VarKey,0))&amp;K$5</f>
        <v/>
      </c>
      <c r="L666" s="15">
        <f>$E666</f>
        <v/>
      </c>
      <c r="M666" s="16">
        <f>$D666*L$645+(1-$D666)*L$646</f>
        <v/>
      </c>
      <c r="N666" s="16">
        <f>$D666*M$645+(1-$D666)*M$646</f>
        <v/>
      </c>
      <c r="O666" s="16">
        <f>$D666*N$645+(1-$D666)*N$646</f>
        <v/>
      </c>
      <c r="P666" s="16">
        <f>$D666*O$645+(1-$D666)*O$646</f>
        <v/>
      </c>
      <c r="Q666" s="16">
        <f>$D666*P$645+(1-$D666)*P$646</f>
        <v/>
      </c>
      <c r="R666" s="16">
        <f>$D666*Q$645+(1-$D666)*Q$646</f>
        <v/>
      </c>
      <c r="S666" s="16">
        <f>$D666*R$645+(1-$D666)*R$646</f>
        <v/>
      </c>
      <c r="T666" s="16">
        <f>$D666*S$645+(1-$D666)*S$646</f>
        <v/>
      </c>
      <c r="U666" s="16">
        <f>$D666*T$645+(1-$D666)*T$646</f>
        <v/>
      </c>
      <c r="V666" s="16">
        <f>$D666*U$645+(1-$D666)*U$646</f>
        <v/>
      </c>
      <c r="W666" s="16">
        <f>$D666*V$645+(1-$D666)*V$646</f>
        <v/>
      </c>
      <c r="X666" s="16">
        <f>$D666*W$645+(1-$D666)*W$646</f>
        <v/>
      </c>
      <c r="Y666" s="16">
        <f>$D666*X$645+(1-$D666)*X$646</f>
        <v/>
      </c>
      <c r="Z666" s="16">
        <f>$D666*Y$645+(1-$D666)*Y$646</f>
        <v/>
      </c>
      <c r="AA666" s="16">
        <f>$D666*Z$645+(1-$D666)*Z$646</f>
        <v/>
      </c>
      <c r="AB666" s="16">
        <f>$D666*AA$645+(1-$D666)*AA$646</f>
        <v/>
      </c>
      <c r="AC666" s="16">
        <f>$D666*AB$645+(1-$D666)*AB$646</f>
        <v/>
      </c>
      <c r="AD666" s="16">
        <f>$D666*AC$645+(1-$D666)*AC$646</f>
        <v/>
      </c>
      <c r="AE666" s="49">
        <f>PRICEMIX($D666,AD$645,AD$646)</f>
        <v/>
      </c>
      <c r="AG666" s="11">
        <f>CodePrefix&amp;$A666&amp;IF($C666="","","."&amp;$C666&amp;"."&amp;$B666)&amp;INDEX(VarEnd,MATCH($A666,VarKey,0))&amp;AG$5</f>
        <v/>
      </c>
      <c r="AH666" s="15">
        <f>$E666</f>
        <v/>
      </c>
      <c r="AI666" s="16">
        <f>$D666*AH$645+(1-$D666)*AH$646</f>
        <v/>
      </c>
      <c r="AJ666" s="16">
        <f>$D666*AI$645+(1-$D666)*AI$646</f>
        <v/>
      </c>
      <c r="AK666" s="16">
        <f>$D666*AJ$645+(1-$D666)*AJ$646</f>
        <v/>
      </c>
      <c r="AL666" s="16">
        <f>$D666*AK$645+(1-$D666)*AK$646</f>
        <v/>
      </c>
      <c r="AM666" s="16">
        <f>$D666*AL$645+(1-$D666)*AL$646</f>
        <v/>
      </c>
      <c r="AN666" s="16">
        <f>$D666*AM$645+(1-$D666)*AM$646</f>
        <v/>
      </c>
      <c r="AO666" s="16">
        <f>$D666*AN$645+(1-$D666)*AN$646</f>
        <v/>
      </c>
      <c r="AP666" s="16">
        <f>$D666*AO$645+(1-$D666)*AO$646</f>
        <v/>
      </c>
      <c r="AQ666" s="16">
        <f>$D666*AP$645+(1-$D666)*AP$646</f>
        <v/>
      </c>
      <c r="AR666" s="16">
        <f>$D666*AQ$645+(1-$D666)*AQ$646</f>
        <v/>
      </c>
      <c r="AS666" s="16">
        <f>$D666*AR$645+(1-$D666)*AR$646</f>
        <v/>
      </c>
      <c r="AT666" s="16">
        <f>$D666*AS$645+(1-$D666)*AS$646</f>
        <v/>
      </c>
      <c r="AU666" s="16">
        <f>$D666*AT$645+(1-$D666)*AT$646</f>
        <v/>
      </c>
      <c r="AV666" s="16">
        <f>$D666*AU$645+(1-$D666)*AU$646</f>
        <v/>
      </c>
      <c r="AW666" s="16">
        <f>$D666*AV$645+(1-$D666)*AV$646</f>
        <v/>
      </c>
      <c r="AX666" s="16">
        <f>$D666*AW$645+(1-$D666)*AW$646</f>
        <v/>
      </c>
      <c r="AY666" s="16">
        <f>$D666*AX$645+(1-$D666)*AX$646</f>
        <v/>
      </c>
      <c r="AZ666" s="16">
        <f>$D666*AY$645+(1-$D666)*AY$646</f>
        <v/>
      </c>
      <c r="BA666" s="49">
        <f>PRICEMIX($D666,AZ$645,AZ$646)</f>
        <v/>
      </c>
    </row>
    <row r="667" hidden="1" outlineLevel="1">
      <c r="A667" s="14" t="inlineStr">
        <is>
          <t>pdem</t>
        </is>
      </c>
      <c r="B667" s="14" t="inlineStr">
        <is>
          <t>ecy</t>
        </is>
      </c>
      <c r="C667" s="14" t="inlineStr">
        <is>
          <t>srv</t>
        </is>
      </c>
      <c r="D667" s="45">
        <f>INDEX(Inputs_power!$D$29:$D$32,MATCH($C667,Inputs_power!$A$29:$A$32,0))</f>
        <v/>
      </c>
      <c r="E667" s="45">
        <f>INDEX(Inputs_power!$K$29:$K$32,MATCH($C667,Inputs_power!$A$29:$A$32,0))</f>
        <v/>
      </c>
      <c r="F667" s="39" t="n"/>
      <c r="G667" s="39" t="n"/>
      <c r="H667" s="14">
        <f>INDEX(VarLab,MATCH($A667,VarKey,0))&amp;INDEX(MemLab,MATCH($C667&amp;"|"&amp;$B667,MemKey,0))</f>
        <v/>
      </c>
      <c r="I667" s="14">
        <f>INDEX(VarUnit,MATCH($A667,VarKey,0))</f>
        <v/>
      </c>
      <c r="J667" s="14">
        <f>INDEX(VarSrc,MATCH($A667,VarKey,0))</f>
        <v/>
      </c>
      <c r="K667" s="11">
        <f>CodePrefix&amp;$A667&amp;IF($C667="","","."&amp;$C667&amp;"."&amp;$B667)&amp;INDEX(VarEnd,MATCH($A667,VarKey,0))&amp;K$5</f>
        <v/>
      </c>
      <c r="L667" s="15">
        <f>$E667</f>
        <v/>
      </c>
      <c r="M667" s="16">
        <f>$D667*L$645+(1-$D667)*L$646</f>
        <v/>
      </c>
      <c r="N667" s="16">
        <f>$D667*M$645+(1-$D667)*M$646</f>
        <v/>
      </c>
      <c r="O667" s="16">
        <f>$D667*N$645+(1-$D667)*N$646</f>
        <v/>
      </c>
      <c r="P667" s="16">
        <f>$D667*O$645+(1-$D667)*O$646</f>
        <v/>
      </c>
      <c r="Q667" s="16">
        <f>$D667*P$645+(1-$D667)*P$646</f>
        <v/>
      </c>
      <c r="R667" s="16">
        <f>$D667*Q$645+(1-$D667)*Q$646</f>
        <v/>
      </c>
      <c r="S667" s="16">
        <f>$D667*R$645+(1-$D667)*R$646</f>
        <v/>
      </c>
      <c r="T667" s="16">
        <f>$D667*S$645+(1-$D667)*S$646</f>
        <v/>
      </c>
      <c r="U667" s="16">
        <f>$D667*T$645+(1-$D667)*T$646</f>
        <v/>
      </c>
      <c r="V667" s="16">
        <f>$D667*U$645+(1-$D667)*U$646</f>
        <v/>
      </c>
      <c r="W667" s="16">
        <f>$D667*V$645+(1-$D667)*V$646</f>
        <v/>
      </c>
      <c r="X667" s="16">
        <f>$D667*W$645+(1-$D667)*W$646</f>
        <v/>
      </c>
      <c r="Y667" s="16">
        <f>$D667*X$645+(1-$D667)*X$646</f>
        <v/>
      </c>
      <c r="Z667" s="16">
        <f>$D667*Y$645+(1-$D667)*Y$646</f>
        <v/>
      </c>
      <c r="AA667" s="16">
        <f>$D667*Z$645+(1-$D667)*Z$646</f>
        <v/>
      </c>
      <c r="AB667" s="16">
        <f>$D667*AA$645+(1-$D667)*AA$646</f>
        <v/>
      </c>
      <c r="AC667" s="16">
        <f>$D667*AB$645+(1-$D667)*AB$646</f>
        <v/>
      </c>
      <c r="AD667" s="16">
        <f>$D667*AC$645+(1-$D667)*AC$646</f>
        <v/>
      </c>
      <c r="AE667" s="49">
        <f>PRICEMIX($D667,AD$645,AD$646)</f>
        <v/>
      </c>
      <c r="AG667" s="11">
        <f>CodePrefix&amp;$A667&amp;IF($C667="","","."&amp;$C667&amp;"."&amp;$B667)&amp;INDEX(VarEnd,MATCH($A667,VarKey,0))&amp;AG$5</f>
        <v/>
      </c>
      <c r="AH667" s="15">
        <f>$E667</f>
        <v/>
      </c>
      <c r="AI667" s="16">
        <f>$D667*AH$645+(1-$D667)*AH$646</f>
        <v/>
      </c>
      <c r="AJ667" s="16">
        <f>$D667*AI$645+(1-$D667)*AI$646</f>
        <v/>
      </c>
      <c r="AK667" s="16">
        <f>$D667*AJ$645+(1-$D667)*AJ$646</f>
        <v/>
      </c>
      <c r="AL667" s="16">
        <f>$D667*AK$645+(1-$D667)*AK$646</f>
        <v/>
      </c>
      <c r="AM667" s="16">
        <f>$D667*AL$645+(1-$D667)*AL$646</f>
        <v/>
      </c>
      <c r="AN667" s="16">
        <f>$D667*AM$645+(1-$D667)*AM$646</f>
        <v/>
      </c>
      <c r="AO667" s="16">
        <f>$D667*AN$645+(1-$D667)*AN$646</f>
        <v/>
      </c>
      <c r="AP667" s="16">
        <f>$D667*AO$645+(1-$D667)*AO$646</f>
        <v/>
      </c>
      <c r="AQ667" s="16">
        <f>$D667*AP$645+(1-$D667)*AP$646</f>
        <v/>
      </c>
      <c r="AR667" s="16">
        <f>$D667*AQ$645+(1-$D667)*AQ$646</f>
        <v/>
      </c>
      <c r="AS667" s="16">
        <f>$D667*AR$645+(1-$D667)*AR$646</f>
        <v/>
      </c>
      <c r="AT667" s="16">
        <f>$D667*AS$645+(1-$D667)*AS$646</f>
        <v/>
      </c>
      <c r="AU667" s="16">
        <f>$D667*AT$645+(1-$D667)*AT$646</f>
        <v/>
      </c>
      <c r="AV667" s="16">
        <f>$D667*AU$645+(1-$D667)*AU$646</f>
        <v/>
      </c>
      <c r="AW667" s="16">
        <f>$D667*AV$645+(1-$D667)*AV$646</f>
        <v/>
      </c>
      <c r="AX667" s="16">
        <f>$D667*AW$645+(1-$D667)*AW$646</f>
        <v/>
      </c>
      <c r="AY667" s="16">
        <f>$D667*AX$645+(1-$D667)*AX$646</f>
        <v/>
      </c>
      <c r="AZ667" s="16">
        <f>$D667*AY$645+(1-$D667)*AY$646</f>
        <v/>
      </c>
      <c r="BA667" s="49">
        <f>PRICEMIX($D667,AZ$645,AZ$646)</f>
        <v/>
      </c>
    </row>
    <row r="668" hidden="1" outlineLevel="1"/>
    <row r="669" hidden="1" outlineLevel="1">
      <c r="A669" s="14" t="inlineStr">
        <is>
          <t>mult</t>
        </is>
      </c>
      <c r="B669" s="14" t="inlineStr">
        <is>
          <t>ecy</t>
        </is>
      </c>
      <c r="C669" s="14" t="inlineStr">
        <is>
          <t>tra</t>
        </is>
      </c>
      <c r="D669" s="45">
        <f>INDEX(Inputs_power!$I$29:$I$32,MATCH($C669,Inputs_power!$A$29:$A$32,0))</f>
        <v/>
      </c>
      <c r="E669" s="45">
        <f>INDEX(Inputs_power!$E$29:$E$32,MATCH($C669,Inputs_power!$A$29:$A$32,0))</f>
        <v/>
      </c>
      <c r="F669" s="45">
        <f>INDEX(Inputs_power!$J$29:$J$32,MATCH($C669,Inputs_power!$A$29:$A$32,0))</f>
        <v/>
      </c>
      <c r="G669" s="39" t="n"/>
      <c r="H669" s="14">
        <f>INDEX(VarLab,MATCH($A669,VarKey,0))&amp;INDEX(MemLab,MATCH($C669&amp;"|"&amp;$B669,MemKey,0))</f>
        <v/>
      </c>
      <c r="I669" s="14">
        <f>INDEX(VarUnit,MATCH($A669,VarKey,0))</f>
        <v/>
      </c>
      <c r="J669" s="14">
        <f>INDEX(VarSrc,MATCH($A669,VarKey,0))</f>
        <v/>
      </c>
      <c r="K669" s="11">
        <f>CodePrefix&amp;$A669&amp;IF($C669="","","."&amp;$C669&amp;"."&amp;$B669)&amp;INDEX(VarEnd,MATCH($A669,VarKey,0))&amp;K$5</f>
        <v/>
      </c>
      <c r="L669" s="15">
        <f>1</f>
        <v/>
      </c>
      <c r="M669" s="16">
        <f>$D669*(1+M$7)^($E669*M$463)*(M664/L664)^$F669*(1+M$464*Settings!$C$19)</f>
        <v/>
      </c>
      <c r="N669" s="16">
        <f>$D669*(1+N$7)^($E669*N$463)*(N664/M664)^$F669*(1+N$464*Settings!$C$19)</f>
        <v/>
      </c>
      <c r="O669" s="16">
        <f>$D669*(1+O$7)^($E669*O$463)*(O664/N664)^$F669*(1+O$464*Settings!$C$19)</f>
        <v/>
      </c>
      <c r="P669" s="16">
        <f>$D669*(1+P$7)^($E669*P$463)*(P664/O664)^$F669*(1+P$464*Settings!$C$19)</f>
        <v/>
      </c>
      <c r="Q669" s="16">
        <f>$D669*(1+Q$7)^($E669*Q$463)*(Q664/P664)^$F669*(1+Q$464*Settings!$C$19)</f>
        <v/>
      </c>
      <c r="R669" s="16">
        <f>$D669*(1+R$7)^($E669*R$463)*(R664/Q664)^$F669*(1+R$464*Settings!$C$19)</f>
        <v/>
      </c>
      <c r="S669" s="16">
        <f>$D669*(1+S$7)^($E669*S$463)*(S664/R664)^$F669*(1+S$464*Settings!$C$19)</f>
        <v/>
      </c>
      <c r="T669" s="16">
        <f>$D669*(1+T$7)^($E669*T$463)*(T664/S664)^$F669*(1+T$464*Settings!$C$19)</f>
        <v/>
      </c>
      <c r="U669" s="16">
        <f>$D669*(1+U$7)^($E669*U$463)*(U664/T664)^$F669*(1+U$464*Settings!$C$19)</f>
        <v/>
      </c>
      <c r="V669" s="16">
        <f>$D669*(1+V$7)^($E669*V$463)*(V664/U664)^$F669*(1+V$464*Settings!$C$19)</f>
        <v/>
      </c>
      <c r="W669" s="16">
        <f>$D669*(1+W$7)^($E669*W$463)*(W664/V664)^$F669*(1+W$464*Settings!$C$19)</f>
        <v/>
      </c>
      <c r="X669" s="16">
        <f>$D669*(1+X$7)^($E669*X$463)*(X664/W664)^$F669*(1+X$464*Settings!$C$19)</f>
        <v/>
      </c>
      <c r="Y669" s="16">
        <f>$D669*(1+Y$7)^($E669*Y$463)*(Y664/X664)^$F669*(1+Y$464*Settings!$C$19)</f>
        <v/>
      </c>
      <c r="Z669" s="16">
        <f>$D669*(1+Z$7)^($E669*Z$463)*(Z664/Y664)^$F669*(1+Z$464*Settings!$C$19)</f>
        <v/>
      </c>
      <c r="AA669" s="16">
        <f>$D669*(1+AA$7)^($E669*AA$463)*(AA664/Z664)^$F669*(1+AA$464*Settings!$C$19)</f>
        <v/>
      </c>
      <c r="AB669" s="16">
        <f>$D669*(1+AB$7)^($E669*AB$463)*(AB664/AA664)^$F669*(1+AB$464*Settings!$C$19)</f>
        <v/>
      </c>
      <c r="AC669" s="16">
        <f>$D669*(1+AC$7)^($E669*AC$463)*(AC664/AB664)^$F669*(1+AC$464*Settings!$C$19)</f>
        <v/>
      </c>
      <c r="AD669" s="16">
        <f>$D669*(1+AD$7)^($E669*AD$463)*(AD664/AC664)^$F669*(1+AD$464*Settings!$C$19)</f>
        <v/>
      </c>
      <c r="AE669" s="49">
        <f>DEMANDMULT($D669,AE$7,$E669,AE$463,AE664,AD664,$F669,AE$464,Settings!$C$19)</f>
        <v/>
      </c>
      <c r="AG669" s="11">
        <f>CodePrefix&amp;$A669&amp;IF($C669="","","."&amp;$C669&amp;"."&amp;$B669)&amp;INDEX(VarEnd,MATCH($A669,VarKey,0))&amp;AG$5</f>
        <v/>
      </c>
      <c r="AH669" s="15">
        <f>1</f>
        <v/>
      </c>
      <c r="AI669" s="16">
        <f>$D669*(1+AI$7)^($E669*AI$463)*(AI664/AH664)^$F669*(1+AI$464*Settings!$C$19)</f>
        <v/>
      </c>
      <c r="AJ669" s="16">
        <f>$D669*(1+AJ$7)^($E669*AJ$463)*(AJ664/AI664)^$F669*(1+AJ$464*Settings!$C$19)</f>
        <v/>
      </c>
      <c r="AK669" s="16">
        <f>$D669*(1+AK$7)^($E669*AK$463)*(AK664/AJ664)^$F669*(1+AK$464*Settings!$C$19)</f>
        <v/>
      </c>
      <c r="AL669" s="16">
        <f>$D669*(1+AL$7)^($E669*AL$463)*(AL664/AK664)^$F669*(1+AL$464*Settings!$C$19)</f>
        <v/>
      </c>
      <c r="AM669" s="16">
        <f>$D669*(1+AM$7)^($E669*AM$463)*(AM664/AL664)^$F669*(1+AM$464*Settings!$C$19)</f>
        <v/>
      </c>
      <c r="AN669" s="16">
        <f>$D669*(1+AN$7)^($E669*AN$463)*(AN664/AM664)^$F669*(1+AN$464*Settings!$C$19)</f>
        <v/>
      </c>
      <c r="AO669" s="16">
        <f>$D669*(1+AO$7)^($E669*AO$463)*(AO664/AN664)^$F669*(1+AO$464*Settings!$C$19)</f>
        <v/>
      </c>
      <c r="AP669" s="16">
        <f>$D669*(1+AP$7)^($E669*AP$463)*(AP664/AO664)^$F669*(1+AP$464*Settings!$C$19)</f>
        <v/>
      </c>
      <c r="AQ669" s="16">
        <f>$D669*(1+AQ$7)^($E669*AQ$463)*(AQ664/AP664)^$F669*(1+AQ$464*Settings!$C$19)</f>
        <v/>
      </c>
      <c r="AR669" s="16">
        <f>$D669*(1+AR$7)^($E669*AR$463)*(AR664/AQ664)^$F669*(1+AR$464*Settings!$C$19)</f>
        <v/>
      </c>
      <c r="AS669" s="16">
        <f>$D669*(1+AS$7)^($E669*AS$463)*(AS664/AR664)^$F669*(1+AS$464*Settings!$C$19)</f>
        <v/>
      </c>
      <c r="AT669" s="16">
        <f>$D669*(1+AT$7)^($E669*AT$463)*(AT664/AS664)^$F669*(1+AT$464*Settings!$C$19)</f>
        <v/>
      </c>
      <c r="AU669" s="16">
        <f>$D669*(1+AU$7)^($E669*AU$463)*(AU664/AT664)^$F669*(1+AU$464*Settings!$C$19)</f>
        <v/>
      </c>
      <c r="AV669" s="16">
        <f>$D669*(1+AV$7)^($E669*AV$463)*(AV664/AU664)^$F669*(1+AV$464*Settings!$C$19)</f>
        <v/>
      </c>
      <c r="AW669" s="16">
        <f>$D669*(1+AW$7)^($E669*AW$463)*(AW664/AV664)^$F669*(1+AW$464*Settings!$C$19)</f>
        <v/>
      </c>
      <c r="AX669" s="16">
        <f>$D669*(1+AX$7)^($E669*AX$463)*(AX664/AW664)^$F669*(1+AX$464*Settings!$C$19)</f>
        <v/>
      </c>
      <c r="AY669" s="16">
        <f>$D669*(1+AY$7)^($E669*AY$463)*(AY664/AX664)^$F669*(1+AY$464*Settings!$C$19)</f>
        <v/>
      </c>
      <c r="AZ669" s="16">
        <f>$D669*(1+AZ$7)^($E669*AZ$463)*(AZ664/AY664)^$F669*(1+AZ$464*Settings!$C$19)</f>
        <v/>
      </c>
      <c r="BA669" s="49">
        <f>DEMANDMULT($D669,BA$7,$E669,BA$463,BA664,AZ664,$F669,BA$464,Settings!$C$19)</f>
        <v/>
      </c>
    </row>
    <row r="670" hidden="1" outlineLevel="1">
      <c r="A670" s="14" t="inlineStr">
        <is>
          <t>mult</t>
        </is>
      </c>
      <c r="B670" s="14" t="inlineStr">
        <is>
          <t>ecy</t>
        </is>
      </c>
      <c r="C670" s="14" t="inlineStr">
        <is>
          <t>res</t>
        </is>
      </c>
      <c r="D670" s="45">
        <f>INDEX(Inputs_power!$I$29:$I$32,MATCH($C670,Inputs_power!$A$29:$A$32,0))</f>
        <v/>
      </c>
      <c r="E670" s="45">
        <f>INDEX(Inputs_power!$E$29:$E$32,MATCH($C670,Inputs_power!$A$29:$A$32,0))</f>
        <v/>
      </c>
      <c r="F670" s="45">
        <f>INDEX(Inputs_power!$J$29:$J$32,MATCH($C670,Inputs_power!$A$29:$A$32,0))</f>
        <v/>
      </c>
      <c r="G670" s="39" t="n"/>
      <c r="H670" s="14">
        <f>INDEX(VarLab,MATCH($A670,VarKey,0))&amp;INDEX(MemLab,MATCH($C670&amp;"|"&amp;$B670,MemKey,0))</f>
        <v/>
      </c>
      <c r="I670" s="14">
        <f>INDEX(VarUnit,MATCH($A670,VarKey,0))</f>
        <v/>
      </c>
      <c r="J670" s="14">
        <f>INDEX(VarSrc,MATCH($A670,VarKey,0))</f>
        <v/>
      </c>
      <c r="K670" s="11">
        <f>CodePrefix&amp;$A670&amp;IF($C670="","","."&amp;$C670&amp;"."&amp;$B670)&amp;INDEX(VarEnd,MATCH($A670,VarKey,0))&amp;K$5</f>
        <v/>
      </c>
      <c r="L670" s="15">
        <f>1</f>
        <v/>
      </c>
      <c r="M670" s="16">
        <f>$D670*(1+M$7)^($E670*M$463)*(M665/L665)^$F670*(1+M$464*Settings!$C$19)</f>
        <v/>
      </c>
      <c r="N670" s="16">
        <f>$D670*(1+N$7)^($E670*N$463)*(N665/M665)^$F670*(1+N$464*Settings!$C$19)</f>
        <v/>
      </c>
      <c r="O670" s="16">
        <f>$D670*(1+O$7)^($E670*O$463)*(O665/N665)^$F670*(1+O$464*Settings!$C$19)</f>
        <v/>
      </c>
      <c r="P670" s="16">
        <f>$D670*(1+P$7)^($E670*P$463)*(P665/O665)^$F670*(1+P$464*Settings!$C$19)</f>
        <v/>
      </c>
      <c r="Q670" s="16">
        <f>$D670*(1+Q$7)^($E670*Q$463)*(Q665/P665)^$F670*(1+Q$464*Settings!$C$19)</f>
        <v/>
      </c>
      <c r="R670" s="16">
        <f>$D670*(1+R$7)^($E670*R$463)*(R665/Q665)^$F670*(1+R$464*Settings!$C$19)</f>
        <v/>
      </c>
      <c r="S670" s="16">
        <f>$D670*(1+S$7)^($E670*S$463)*(S665/R665)^$F670*(1+S$464*Settings!$C$19)</f>
        <v/>
      </c>
      <c r="T670" s="16">
        <f>$D670*(1+T$7)^($E670*T$463)*(T665/S665)^$F670*(1+T$464*Settings!$C$19)</f>
        <v/>
      </c>
      <c r="U670" s="16">
        <f>$D670*(1+U$7)^($E670*U$463)*(U665/T665)^$F670*(1+U$464*Settings!$C$19)</f>
        <v/>
      </c>
      <c r="V670" s="16">
        <f>$D670*(1+V$7)^($E670*V$463)*(V665/U665)^$F670*(1+V$464*Settings!$C$19)</f>
        <v/>
      </c>
      <c r="W670" s="16">
        <f>$D670*(1+W$7)^($E670*W$463)*(W665/V665)^$F670*(1+W$464*Settings!$C$19)</f>
        <v/>
      </c>
      <c r="X670" s="16">
        <f>$D670*(1+X$7)^($E670*X$463)*(X665/W665)^$F670*(1+X$464*Settings!$C$19)</f>
        <v/>
      </c>
      <c r="Y670" s="16">
        <f>$D670*(1+Y$7)^($E670*Y$463)*(Y665/X665)^$F670*(1+Y$464*Settings!$C$19)</f>
        <v/>
      </c>
      <c r="Z670" s="16">
        <f>$D670*(1+Z$7)^($E670*Z$463)*(Z665/Y665)^$F670*(1+Z$464*Settings!$C$19)</f>
        <v/>
      </c>
      <c r="AA670" s="16">
        <f>$D670*(1+AA$7)^($E670*AA$463)*(AA665/Z665)^$F670*(1+AA$464*Settings!$C$19)</f>
        <v/>
      </c>
      <c r="AB670" s="16">
        <f>$D670*(1+AB$7)^($E670*AB$463)*(AB665/AA665)^$F670*(1+AB$464*Settings!$C$19)</f>
        <v/>
      </c>
      <c r="AC670" s="16">
        <f>$D670*(1+AC$7)^($E670*AC$463)*(AC665/AB665)^$F670*(1+AC$464*Settings!$C$19)</f>
        <v/>
      </c>
      <c r="AD670" s="16">
        <f>$D670*(1+AD$7)^($E670*AD$463)*(AD665/AC665)^$F670*(1+AD$464*Settings!$C$19)</f>
        <v/>
      </c>
      <c r="AE670" s="49">
        <f>DEMANDMULT($D670,AE$7,$E670,AE$463,AE665,AD665,$F670,AE$464,Settings!$C$19)</f>
        <v/>
      </c>
      <c r="AG670" s="11">
        <f>CodePrefix&amp;$A670&amp;IF($C670="","","."&amp;$C670&amp;"."&amp;$B670)&amp;INDEX(VarEnd,MATCH($A670,VarKey,0))&amp;AG$5</f>
        <v/>
      </c>
      <c r="AH670" s="15">
        <f>1</f>
        <v/>
      </c>
      <c r="AI670" s="16">
        <f>$D670*(1+AI$7)^($E670*AI$463)*(AI665/AH665)^$F670*(1+AI$464*Settings!$C$19)</f>
        <v/>
      </c>
      <c r="AJ670" s="16">
        <f>$D670*(1+AJ$7)^($E670*AJ$463)*(AJ665/AI665)^$F670*(1+AJ$464*Settings!$C$19)</f>
        <v/>
      </c>
      <c r="AK670" s="16">
        <f>$D670*(1+AK$7)^($E670*AK$463)*(AK665/AJ665)^$F670*(1+AK$464*Settings!$C$19)</f>
        <v/>
      </c>
      <c r="AL670" s="16">
        <f>$D670*(1+AL$7)^($E670*AL$463)*(AL665/AK665)^$F670*(1+AL$464*Settings!$C$19)</f>
        <v/>
      </c>
      <c r="AM670" s="16">
        <f>$D670*(1+AM$7)^($E670*AM$463)*(AM665/AL665)^$F670*(1+AM$464*Settings!$C$19)</f>
        <v/>
      </c>
      <c r="AN670" s="16">
        <f>$D670*(1+AN$7)^($E670*AN$463)*(AN665/AM665)^$F670*(1+AN$464*Settings!$C$19)</f>
        <v/>
      </c>
      <c r="AO670" s="16">
        <f>$D670*(1+AO$7)^($E670*AO$463)*(AO665/AN665)^$F670*(1+AO$464*Settings!$C$19)</f>
        <v/>
      </c>
      <c r="AP670" s="16">
        <f>$D670*(1+AP$7)^($E670*AP$463)*(AP665/AO665)^$F670*(1+AP$464*Settings!$C$19)</f>
        <v/>
      </c>
      <c r="AQ670" s="16">
        <f>$D670*(1+AQ$7)^($E670*AQ$463)*(AQ665/AP665)^$F670*(1+AQ$464*Settings!$C$19)</f>
        <v/>
      </c>
      <c r="AR670" s="16">
        <f>$D670*(1+AR$7)^($E670*AR$463)*(AR665/AQ665)^$F670*(1+AR$464*Settings!$C$19)</f>
        <v/>
      </c>
      <c r="AS670" s="16">
        <f>$D670*(1+AS$7)^($E670*AS$463)*(AS665/AR665)^$F670*(1+AS$464*Settings!$C$19)</f>
        <v/>
      </c>
      <c r="AT670" s="16">
        <f>$D670*(1+AT$7)^($E670*AT$463)*(AT665/AS665)^$F670*(1+AT$464*Settings!$C$19)</f>
        <v/>
      </c>
      <c r="AU670" s="16">
        <f>$D670*(1+AU$7)^($E670*AU$463)*(AU665/AT665)^$F670*(1+AU$464*Settings!$C$19)</f>
        <v/>
      </c>
      <c r="AV670" s="16">
        <f>$D670*(1+AV$7)^($E670*AV$463)*(AV665/AU665)^$F670*(1+AV$464*Settings!$C$19)</f>
        <v/>
      </c>
      <c r="AW670" s="16">
        <f>$D670*(1+AW$7)^($E670*AW$463)*(AW665/AV665)^$F670*(1+AW$464*Settings!$C$19)</f>
        <v/>
      </c>
      <c r="AX670" s="16">
        <f>$D670*(1+AX$7)^($E670*AX$463)*(AX665/AW665)^$F670*(1+AX$464*Settings!$C$19)</f>
        <v/>
      </c>
      <c r="AY670" s="16">
        <f>$D670*(1+AY$7)^($E670*AY$463)*(AY665/AX665)^$F670*(1+AY$464*Settings!$C$19)</f>
        <v/>
      </c>
      <c r="AZ670" s="16">
        <f>$D670*(1+AZ$7)^($E670*AZ$463)*(AZ665/AY665)^$F670*(1+AZ$464*Settings!$C$19)</f>
        <v/>
      </c>
      <c r="BA670" s="49">
        <f>DEMANDMULT($D670,BA$7,$E670,BA$463,BA665,AZ665,$F670,BA$464,Settings!$C$19)</f>
        <v/>
      </c>
    </row>
    <row r="671" hidden="1" outlineLevel="1">
      <c r="A671" s="14" t="inlineStr">
        <is>
          <t>mult</t>
        </is>
      </c>
      <c r="B671" s="14" t="inlineStr">
        <is>
          <t>ecy</t>
        </is>
      </c>
      <c r="C671" s="14" t="inlineStr">
        <is>
          <t>ind</t>
        </is>
      </c>
      <c r="D671" s="45">
        <f>INDEX(Inputs_power!$I$29:$I$32,MATCH($C671,Inputs_power!$A$29:$A$32,0))</f>
        <v/>
      </c>
      <c r="E671" s="45">
        <f>INDEX(Inputs_power!$E$29:$E$32,MATCH($C671,Inputs_power!$A$29:$A$32,0))</f>
        <v/>
      </c>
      <c r="F671" s="45">
        <f>INDEX(Inputs_power!$J$29:$J$32,MATCH($C671,Inputs_power!$A$29:$A$32,0))</f>
        <v/>
      </c>
      <c r="G671" s="39" t="n"/>
      <c r="H671" s="14">
        <f>INDEX(VarLab,MATCH($A671,VarKey,0))&amp;INDEX(MemLab,MATCH($C671&amp;"|"&amp;$B671,MemKey,0))</f>
        <v/>
      </c>
      <c r="I671" s="14">
        <f>INDEX(VarUnit,MATCH($A671,VarKey,0))</f>
        <v/>
      </c>
      <c r="J671" s="14">
        <f>INDEX(VarSrc,MATCH($A671,VarKey,0))</f>
        <v/>
      </c>
      <c r="K671" s="11">
        <f>CodePrefix&amp;$A671&amp;IF($C671="","","."&amp;$C671&amp;"."&amp;$B671)&amp;INDEX(VarEnd,MATCH($A671,VarKey,0))&amp;K$5</f>
        <v/>
      </c>
      <c r="L671" s="15">
        <f>1</f>
        <v/>
      </c>
      <c r="M671" s="16">
        <f>$D671*(1+M$7)^($E671*M$463)*(M666/L666)^$F671*(1+M$464*Settings!$C$19)</f>
        <v/>
      </c>
      <c r="N671" s="16">
        <f>$D671*(1+N$7)^($E671*N$463)*(N666/M666)^$F671*(1+N$464*Settings!$C$19)</f>
        <v/>
      </c>
      <c r="O671" s="16">
        <f>$D671*(1+O$7)^($E671*O$463)*(O666/N666)^$F671*(1+O$464*Settings!$C$19)</f>
        <v/>
      </c>
      <c r="P671" s="16">
        <f>$D671*(1+P$7)^($E671*P$463)*(P666/O666)^$F671*(1+P$464*Settings!$C$19)</f>
        <v/>
      </c>
      <c r="Q671" s="16">
        <f>$D671*(1+Q$7)^($E671*Q$463)*(Q666/P666)^$F671*(1+Q$464*Settings!$C$19)</f>
        <v/>
      </c>
      <c r="R671" s="16">
        <f>$D671*(1+R$7)^($E671*R$463)*(R666/Q666)^$F671*(1+R$464*Settings!$C$19)</f>
        <v/>
      </c>
      <c r="S671" s="16">
        <f>$D671*(1+S$7)^($E671*S$463)*(S666/R666)^$F671*(1+S$464*Settings!$C$19)</f>
        <v/>
      </c>
      <c r="T671" s="16">
        <f>$D671*(1+T$7)^($E671*T$463)*(T666/S666)^$F671*(1+T$464*Settings!$C$19)</f>
        <v/>
      </c>
      <c r="U671" s="16">
        <f>$D671*(1+U$7)^($E671*U$463)*(U666/T666)^$F671*(1+U$464*Settings!$C$19)</f>
        <v/>
      </c>
      <c r="V671" s="16">
        <f>$D671*(1+V$7)^($E671*V$463)*(V666/U666)^$F671*(1+V$464*Settings!$C$19)</f>
        <v/>
      </c>
      <c r="W671" s="16">
        <f>$D671*(1+W$7)^($E671*W$463)*(W666/V666)^$F671*(1+W$464*Settings!$C$19)</f>
        <v/>
      </c>
      <c r="X671" s="16">
        <f>$D671*(1+X$7)^($E671*X$463)*(X666/W666)^$F671*(1+X$464*Settings!$C$19)</f>
        <v/>
      </c>
      <c r="Y671" s="16">
        <f>$D671*(1+Y$7)^($E671*Y$463)*(Y666/X666)^$F671*(1+Y$464*Settings!$C$19)</f>
        <v/>
      </c>
      <c r="Z671" s="16">
        <f>$D671*(1+Z$7)^($E671*Z$463)*(Z666/Y666)^$F671*(1+Z$464*Settings!$C$19)</f>
        <v/>
      </c>
      <c r="AA671" s="16">
        <f>$D671*(1+AA$7)^($E671*AA$463)*(AA666/Z666)^$F671*(1+AA$464*Settings!$C$19)</f>
        <v/>
      </c>
      <c r="AB671" s="16">
        <f>$D671*(1+AB$7)^($E671*AB$463)*(AB666/AA666)^$F671*(1+AB$464*Settings!$C$19)</f>
        <v/>
      </c>
      <c r="AC671" s="16">
        <f>$D671*(1+AC$7)^($E671*AC$463)*(AC666/AB666)^$F671*(1+AC$464*Settings!$C$19)</f>
        <v/>
      </c>
      <c r="AD671" s="16">
        <f>$D671*(1+AD$7)^($E671*AD$463)*(AD666/AC666)^$F671*(1+AD$464*Settings!$C$19)</f>
        <v/>
      </c>
      <c r="AE671" s="49">
        <f>DEMANDMULT($D671,AE$7,$E671,AE$463,AE666,AD666,$F671,AE$464,Settings!$C$19)</f>
        <v/>
      </c>
      <c r="AG671" s="11">
        <f>CodePrefix&amp;$A671&amp;IF($C671="","","."&amp;$C671&amp;"."&amp;$B671)&amp;INDEX(VarEnd,MATCH($A671,VarKey,0))&amp;AG$5</f>
        <v/>
      </c>
      <c r="AH671" s="15">
        <f>1</f>
        <v/>
      </c>
      <c r="AI671" s="16">
        <f>$D671*(1+AI$7)^($E671*AI$463)*(AI666/AH666)^$F671*(1+AI$464*Settings!$C$19)</f>
        <v/>
      </c>
      <c r="AJ671" s="16">
        <f>$D671*(1+AJ$7)^($E671*AJ$463)*(AJ666/AI666)^$F671*(1+AJ$464*Settings!$C$19)</f>
        <v/>
      </c>
      <c r="AK671" s="16">
        <f>$D671*(1+AK$7)^($E671*AK$463)*(AK666/AJ666)^$F671*(1+AK$464*Settings!$C$19)</f>
        <v/>
      </c>
      <c r="AL671" s="16">
        <f>$D671*(1+AL$7)^($E671*AL$463)*(AL666/AK666)^$F671*(1+AL$464*Settings!$C$19)</f>
        <v/>
      </c>
      <c r="AM671" s="16">
        <f>$D671*(1+AM$7)^($E671*AM$463)*(AM666/AL666)^$F671*(1+AM$464*Settings!$C$19)</f>
        <v/>
      </c>
      <c r="AN671" s="16">
        <f>$D671*(1+AN$7)^($E671*AN$463)*(AN666/AM666)^$F671*(1+AN$464*Settings!$C$19)</f>
        <v/>
      </c>
      <c r="AO671" s="16">
        <f>$D671*(1+AO$7)^($E671*AO$463)*(AO666/AN666)^$F671*(1+AO$464*Settings!$C$19)</f>
        <v/>
      </c>
      <c r="AP671" s="16">
        <f>$D671*(1+AP$7)^($E671*AP$463)*(AP666/AO666)^$F671*(1+AP$464*Settings!$C$19)</f>
        <v/>
      </c>
      <c r="AQ671" s="16">
        <f>$D671*(1+AQ$7)^($E671*AQ$463)*(AQ666/AP666)^$F671*(1+AQ$464*Settings!$C$19)</f>
        <v/>
      </c>
      <c r="AR671" s="16">
        <f>$D671*(1+AR$7)^($E671*AR$463)*(AR666/AQ666)^$F671*(1+AR$464*Settings!$C$19)</f>
        <v/>
      </c>
      <c r="AS671" s="16">
        <f>$D671*(1+AS$7)^($E671*AS$463)*(AS666/AR666)^$F671*(1+AS$464*Settings!$C$19)</f>
        <v/>
      </c>
      <c r="AT671" s="16">
        <f>$D671*(1+AT$7)^($E671*AT$463)*(AT666/AS666)^$F671*(1+AT$464*Settings!$C$19)</f>
        <v/>
      </c>
      <c r="AU671" s="16">
        <f>$D671*(1+AU$7)^($E671*AU$463)*(AU666/AT666)^$F671*(1+AU$464*Settings!$C$19)</f>
        <v/>
      </c>
      <c r="AV671" s="16">
        <f>$D671*(1+AV$7)^($E671*AV$463)*(AV666/AU666)^$F671*(1+AV$464*Settings!$C$19)</f>
        <v/>
      </c>
      <c r="AW671" s="16">
        <f>$D671*(1+AW$7)^($E671*AW$463)*(AW666/AV666)^$F671*(1+AW$464*Settings!$C$19)</f>
        <v/>
      </c>
      <c r="AX671" s="16">
        <f>$D671*(1+AX$7)^($E671*AX$463)*(AX666/AW666)^$F671*(1+AX$464*Settings!$C$19)</f>
        <v/>
      </c>
      <c r="AY671" s="16">
        <f>$D671*(1+AY$7)^($E671*AY$463)*(AY666/AX666)^$F671*(1+AY$464*Settings!$C$19)</f>
        <v/>
      </c>
      <c r="AZ671" s="16">
        <f>$D671*(1+AZ$7)^($E671*AZ$463)*(AZ666/AY666)^$F671*(1+AZ$464*Settings!$C$19)</f>
        <v/>
      </c>
      <c r="BA671" s="49">
        <f>DEMANDMULT($D671,BA$7,$E671,BA$463,BA666,AZ666,$F671,BA$464,Settings!$C$19)</f>
        <v/>
      </c>
    </row>
    <row r="672" hidden="1" outlineLevel="1">
      <c r="A672" s="14" t="inlineStr">
        <is>
          <t>mult</t>
        </is>
      </c>
      <c r="B672" s="14" t="inlineStr">
        <is>
          <t>ecy</t>
        </is>
      </c>
      <c r="C672" s="14" t="inlineStr">
        <is>
          <t>srv</t>
        </is>
      </c>
      <c r="D672" s="45">
        <f>INDEX(Inputs_power!$I$29:$I$32,MATCH($C672,Inputs_power!$A$29:$A$32,0))</f>
        <v/>
      </c>
      <c r="E672" s="45">
        <f>INDEX(Inputs_power!$E$29:$E$32,MATCH($C672,Inputs_power!$A$29:$A$32,0))</f>
        <v/>
      </c>
      <c r="F672" s="45">
        <f>INDEX(Inputs_power!$J$29:$J$32,MATCH($C672,Inputs_power!$A$29:$A$32,0))</f>
        <v/>
      </c>
      <c r="G672" s="39" t="n"/>
      <c r="H672" s="14">
        <f>INDEX(VarLab,MATCH($A672,VarKey,0))&amp;INDEX(MemLab,MATCH($C672&amp;"|"&amp;$B672,MemKey,0))</f>
        <v/>
      </c>
      <c r="I672" s="14">
        <f>INDEX(VarUnit,MATCH($A672,VarKey,0))</f>
        <v/>
      </c>
      <c r="J672" s="14">
        <f>INDEX(VarSrc,MATCH($A672,VarKey,0))</f>
        <v/>
      </c>
      <c r="K672" s="11">
        <f>CodePrefix&amp;$A672&amp;IF($C672="","","."&amp;$C672&amp;"."&amp;$B672)&amp;INDEX(VarEnd,MATCH($A672,VarKey,0))&amp;K$5</f>
        <v/>
      </c>
      <c r="L672" s="15">
        <f>1</f>
        <v/>
      </c>
      <c r="M672" s="16">
        <f>$D672*(1+M$7)^($E672*M$463)*(M667/L667)^$F672*(1+M$464*Settings!$C$19)</f>
        <v/>
      </c>
      <c r="N672" s="16">
        <f>$D672*(1+N$7)^($E672*N$463)*(N667/M667)^$F672*(1+N$464*Settings!$C$19)</f>
        <v/>
      </c>
      <c r="O672" s="16">
        <f>$D672*(1+O$7)^($E672*O$463)*(O667/N667)^$F672*(1+O$464*Settings!$C$19)</f>
        <v/>
      </c>
      <c r="P672" s="16">
        <f>$D672*(1+P$7)^($E672*P$463)*(P667/O667)^$F672*(1+P$464*Settings!$C$19)</f>
        <v/>
      </c>
      <c r="Q672" s="16">
        <f>$D672*(1+Q$7)^($E672*Q$463)*(Q667/P667)^$F672*(1+Q$464*Settings!$C$19)</f>
        <v/>
      </c>
      <c r="R672" s="16">
        <f>$D672*(1+R$7)^($E672*R$463)*(R667/Q667)^$F672*(1+R$464*Settings!$C$19)</f>
        <v/>
      </c>
      <c r="S672" s="16">
        <f>$D672*(1+S$7)^($E672*S$463)*(S667/R667)^$F672*(1+S$464*Settings!$C$19)</f>
        <v/>
      </c>
      <c r="T672" s="16">
        <f>$D672*(1+T$7)^($E672*T$463)*(T667/S667)^$F672*(1+T$464*Settings!$C$19)</f>
        <v/>
      </c>
      <c r="U672" s="16">
        <f>$D672*(1+U$7)^($E672*U$463)*(U667/T667)^$F672*(1+U$464*Settings!$C$19)</f>
        <v/>
      </c>
      <c r="V672" s="16">
        <f>$D672*(1+V$7)^($E672*V$463)*(V667/U667)^$F672*(1+V$464*Settings!$C$19)</f>
        <v/>
      </c>
      <c r="W672" s="16">
        <f>$D672*(1+W$7)^($E672*W$463)*(W667/V667)^$F672*(1+W$464*Settings!$C$19)</f>
        <v/>
      </c>
      <c r="X672" s="16">
        <f>$D672*(1+X$7)^($E672*X$463)*(X667/W667)^$F672*(1+X$464*Settings!$C$19)</f>
        <v/>
      </c>
      <c r="Y672" s="16">
        <f>$D672*(1+Y$7)^($E672*Y$463)*(Y667/X667)^$F672*(1+Y$464*Settings!$C$19)</f>
        <v/>
      </c>
      <c r="Z672" s="16">
        <f>$D672*(1+Z$7)^($E672*Z$463)*(Z667/Y667)^$F672*(1+Z$464*Settings!$C$19)</f>
        <v/>
      </c>
      <c r="AA672" s="16">
        <f>$D672*(1+AA$7)^($E672*AA$463)*(AA667/Z667)^$F672*(1+AA$464*Settings!$C$19)</f>
        <v/>
      </c>
      <c r="AB672" s="16">
        <f>$D672*(1+AB$7)^($E672*AB$463)*(AB667/AA667)^$F672*(1+AB$464*Settings!$C$19)</f>
        <v/>
      </c>
      <c r="AC672" s="16">
        <f>$D672*(1+AC$7)^($E672*AC$463)*(AC667/AB667)^$F672*(1+AC$464*Settings!$C$19)</f>
        <v/>
      </c>
      <c r="AD672" s="16">
        <f>$D672*(1+AD$7)^($E672*AD$463)*(AD667/AC667)^$F672*(1+AD$464*Settings!$C$19)</f>
        <v/>
      </c>
      <c r="AE672" s="49">
        <f>DEMANDMULT($D672,AE$7,$E672,AE$463,AE667,AD667,$F672,AE$464,Settings!$C$19)</f>
        <v/>
      </c>
      <c r="AG672" s="11">
        <f>CodePrefix&amp;$A672&amp;IF($C672="","","."&amp;$C672&amp;"."&amp;$B672)&amp;INDEX(VarEnd,MATCH($A672,VarKey,0))&amp;AG$5</f>
        <v/>
      </c>
      <c r="AH672" s="15">
        <f>1</f>
        <v/>
      </c>
      <c r="AI672" s="16">
        <f>$D672*(1+AI$7)^($E672*AI$463)*(AI667/AH667)^$F672*(1+AI$464*Settings!$C$19)</f>
        <v/>
      </c>
      <c r="AJ672" s="16">
        <f>$D672*(1+AJ$7)^($E672*AJ$463)*(AJ667/AI667)^$F672*(1+AJ$464*Settings!$C$19)</f>
        <v/>
      </c>
      <c r="AK672" s="16">
        <f>$D672*(1+AK$7)^($E672*AK$463)*(AK667/AJ667)^$F672*(1+AK$464*Settings!$C$19)</f>
        <v/>
      </c>
      <c r="AL672" s="16">
        <f>$D672*(1+AL$7)^($E672*AL$463)*(AL667/AK667)^$F672*(1+AL$464*Settings!$C$19)</f>
        <v/>
      </c>
      <c r="AM672" s="16">
        <f>$D672*(1+AM$7)^($E672*AM$463)*(AM667/AL667)^$F672*(1+AM$464*Settings!$C$19)</f>
        <v/>
      </c>
      <c r="AN672" s="16">
        <f>$D672*(1+AN$7)^($E672*AN$463)*(AN667/AM667)^$F672*(1+AN$464*Settings!$C$19)</f>
        <v/>
      </c>
      <c r="AO672" s="16">
        <f>$D672*(1+AO$7)^($E672*AO$463)*(AO667/AN667)^$F672*(1+AO$464*Settings!$C$19)</f>
        <v/>
      </c>
      <c r="AP672" s="16">
        <f>$D672*(1+AP$7)^($E672*AP$463)*(AP667/AO667)^$F672*(1+AP$464*Settings!$C$19)</f>
        <v/>
      </c>
      <c r="AQ672" s="16">
        <f>$D672*(1+AQ$7)^($E672*AQ$463)*(AQ667/AP667)^$F672*(1+AQ$464*Settings!$C$19)</f>
        <v/>
      </c>
      <c r="AR672" s="16">
        <f>$D672*(1+AR$7)^($E672*AR$463)*(AR667/AQ667)^$F672*(1+AR$464*Settings!$C$19)</f>
        <v/>
      </c>
      <c r="AS672" s="16">
        <f>$D672*(1+AS$7)^($E672*AS$463)*(AS667/AR667)^$F672*(1+AS$464*Settings!$C$19)</f>
        <v/>
      </c>
      <c r="AT672" s="16">
        <f>$D672*(1+AT$7)^($E672*AT$463)*(AT667/AS667)^$F672*(1+AT$464*Settings!$C$19)</f>
        <v/>
      </c>
      <c r="AU672" s="16">
        <f>$D672*(1+AU$7)^($E672*AU$463)*(AU667/AT667)^$F672*(1+AU$464*Settings!$C$19)</f>
        <v/>
      </c>
      <c r="AV672" s="16">
        <f>$D672*(1+AV$7)^($E672*AV$463)*(AV667/AU667)^$F672*(1+AV$464*Settings!$C$19)</f>
        <v/>
      </c>
      <c r="AW672" s="16">
        <f>$D672*(1+AW$7)^($E672*AW$463)*(AW667/AV667)^$F672*(1+AW$464*Settings!$C$19)</f>
        <v/>
      </c>
      <c r="AX672" s="16">
        <f>$D672*(1+AX$7)^($E672*AX$463)*(AX667/AW667)^$F672*(1+AX$464*Settings!$C$19)</f>
        <v/>
      </c>
      <c r="AY672" s="16">
        <f>$D672*(1+AY$7)^($E672*AY$463)*(AY667/AX667)^$F672*(1+AY$464*Settings!$C$19)</f>
        <v/>
      </c>
      <c r="AZ672" s="16">
        <f>$D672*(1+AZ$7)^($E672*AZ$463)*(AZ667/AY667)^$F672*(1+AZ$464*Settings!$C$19)</f>
        <v/>
      </c>
      <c r="BA672" s="49">
        <f>DEMANDMULT($D672,BA$7,$E672,BA$463,BA667,AZ667,$F672,BA$464,Settings!$C$19)</f>
        <v/>
      </c>
    </row>
    <row r="673" hidden="1" outlineLevel="1"/>
    <row r="674" hidden="1" outlineLevel="1">
      <c r="A674" s="14" t="inlineStr">
        <is>
          <t>dem</t>
        </is>
      </c>
      <c r="B674" s="14" t="inlineStr">
        <is>
          <t>ecy</t>
        </is>
      </c>
      <c r="C674" s="14" t="inlineStr">
        <is>
          <t>rod</t>
        </is>
      </c>
      <c r="D674" s="45">
        <f>INDEX(Inputs_power!$D$36:$D$50,MATCH($C674,Inputs_power!$A$36:$A$50,0))</f>
        <v/>
      </c>
      <c r="E674" s="45">
        <f>INDEX(Inputs_power!$E$36:$E$50,MATCH($C674,Inputs_power!$A$36:$A$50,0))</f>
        <v/>
      </c>
      <c r="F674" s="39" t="n"/>
      <c r="G674" s="39" t="n"/>
      <c r="H674" s="14">
        <f>INDEX(VarLab,MATCH($A674,VarKey,0))&amp;INDEX(MemLab,MATCH($C674&amp;"|"&amp;$B674,MemKey,0))</f>
        <v/>
      </c>
      <c r="I674" s="14">
        <f>INDEX(VarUnit,MATCH($A674,VarKey,0))</f>
        <v/>
      </c>
      <c r="J674" s="14">
        <f>INDEX(VarSrc,MATCH($A674,VarKey,0))</f>
        <v/>
      </c>
      <c r="K674" s="11">
        <f>CodePrefix&amp;$A674&amp;IF($C674="","","."&amp;$C674&amp;"."&amp;$B674)&amp;INDEX(VarEnd,MATCH($A674,VarKey,0))&amp;K$5</f>
        <v/>
      </c>
      <c r="L674" s="43">
        <f>$E674</f>
        <v/>
      </c>
      <c r="M674" s="44">
        <f>L674*INDEX(M$669:M$672,$D674)</f>
        <v/>
      </c>
      <c r="N674" s="44">
        <f>M674*INDEX(N$669:N$672,$D674)</f>
        <v/>
      </c>
      <c r="O674" s="44">
        <f>N674*INDEX(O$669:O$672,$D674)</f>
        <v/>
      </c>
      <c r="P674" s="44">
        <f>O674*INDEX(P$669:P$672,$D674)</f>
        <v/>
      </c>
      <c r="Q674" s="44">
        <f>P674*INDEX(Q$669:Q$672,$D674)</f>
        <v/>
      </c>
      <c r="R674" s="44">
        <f>Q674*INDEX(R$669:R$672,$D674)</f>
        <v/>
      </c>
      <c r="S674" s="44">
        <f>R674*INDEX(S$669:S$672,$D674)</f>
        <v/>
      </c>
      <c r="T674" s="44">
        <f>S674*INDEX(T$669:T$672,$D674)</f>
        <v/>
      </c>
      <c r="U674" s="44">
        <f>T674*INDEX(U$669:U$672,$D674)</f>
        <v/>
      </c>
      <c r="V674" s="44">
        <f>U674*INDEX(V$669:V$672,$D674)</f>
        <v/>
      </c>
      <c r="W674" s="44">
        <f>V674*INDEX(W$669:W$672,$D674)</f>
        <v/>
      </c>
      <c r="X674" s="44">
        <f>W674*INDEX(X$669:X$672,$D674)</f>
        <v/>
      </c>
      <c r="Y674" s="44">
        <f>X674*INDEX(Y$669:Y$672,$D674)</f>
        <v/>
      </c>
      <c r="Z674" s="44">
        <f>Y674*INDEX(Z$669:Z$672,$D674)</f>
        <v/>
      </c>
      <c r="AA674" s="44">
        <f>Z674*INDEX(AA$669:AA$672,$D674)</f>
        <v/>
      </c>
      <c r="AB674" s="44">
        <f>AA674*INDEX(AB$669:AB$672,$D674)</f>
        <v/>
      </c>
      <c r="AC674" s="44">
        <f>AB674*INDEX(AC$669:AC$672,$D674)</f>
        <v/>
      </c>
      <c r="AD674" s="44">
        <f>AC674*INDEX(AD$669:AD$672,$D674)</f>
        <v/>
      </c>
      <c r="AE674" s="57">
        <f>GROW(AD674,INDEX(AE$669:AE$672,$D674))</f>
        <v/>
      </c>
      <c r="AG674" s="11">
        <f>CodePrefix&amp;$A674&amp;IF($C674="","","."&amp;$C674&amp;"."&amp;$B674)&amp;INDEX(VarEnd,MATCH($A674,VarKey,0))&amp;AG$5</f>
        <v/>
      </c>
      <c r="AH674" s="43">
        <f>$E674</f>
        <v/>
      </c>
      <c r="AI674" s="44">
        <f>AH674*INDEX(AI$669:AI$672,$D674)</f>
        <v/>
      </c>
      <c r="AJ674" s="44">
        <f>AI674*INDEX(AJ$669:AJ$672,$D674)</f>
        <v/>
      </c>
      <c r="AK674" s="44">
        <f>AJ674*INDEX(AK$669:AK$672,$D674)</f>
        <v/>
      </c>
      <c r="AL674" s="44">
        <f>AK674*INDEX(AL$669:AL$672,$D674)</f>
        <v/>
      </c>
      <c r="AM674" s="44">
        <f>AL674*INDEX(AM$669:AM$672,$D674)</f>
        <v/>
      </c>
      <c r="AN674" s="44">
        <f>AM674*INDEX(AN$669:AN$672,$D674)</f>
        <v/>
      </c>
      <c r="AO674" s="44">
        <f>AN674*INDEX(AO$669:AO$672,$D674)</f>
        <v/>
      </c>
      <c r="AP674" s="44">
        <f>AO674*INDEX(AP$669:AP$672,$D674)</f>
        <v/>
      </c>
      <c r="AQ674" s="44">
        <f>AP674*INDEX(AQ$669:AQ$672,$D674)</f>
        <v/>
      </c>
      <c r="AR674" s="44">
        <f>AQ674*INDEX(AR$669:AR$672,$D674)</f>
        <v/>
      </c>
      <c r="AS674" s="44">
        <f>AR674*INDEX(AS$669:AS$672,$D674)</f>
        <v/>
      </c>
      <c r="AT674" s="44">
        <f>AS674*INDEX(AT$669:AT$672,$D674)</f>
        <v/>
      </c>
      <c r="AU674" s="44">
        <f>AT674*INDEX(AU$669:AU$672,$D674)</f>
        <v/>
      </c>
      <c r="AV674" s="44">
        <f>AU674*INDEX(AV$669:AV$672,$D674)</f>
        <v/>
      </c>
      <c r="AW674" s="44">
        <f>AV674*INDEX(AW$669:AW$672,$D674)</f>
        <v/>
      </c>
      <c r="AX674" s="44">
        <f>AW674*INDEX(AX$669:AX$672,$D674)</f>
        <v/>
      </c>
      <c r="AY674" s="44">
        <f>AX674*INDEX(AY$669:AY$672,$D674)</f>
        <v/>
      </c>
      <c r="AZ674" s="44">
        <f>AY674*INDEX(AZ$669:AZ$672,$D674)</f>
        <v/>
      </c>
      <c r="BA674" s="57">
        <f>GROW(AZ674,INDEX(BA$669:BA$672,$D674))</f>
        <v/>
      </c>
    </row>
    <row r="675" hidden="1" outlineLevel="1">
      <c r="A675" s="14" t="inlineStr">
        <is>
          <t>dem</t>
        </is>
      </c>
      <c r="B675" s="14" t="inlineStr">
        <is>
          <t>ecy</t>
        </is>
      </c>
      <c r="C675" s="14" t="inlineStr">
        <is>
          <t>ral</t>
        </is>
      </c>
      <c r="D675" s="45">
        <f>INDEX(Inputs_power!$D$36:$D$50,MATCH($C675,Inputs_power!$A$36:$A$50,0))</f>
        <v/>
      </c>
      <c r="E675" s="45">
        <f>INDEX(Inputs_power!$E$36:$E$50,MATCH($C675,Inputs_power!$A$36:$A$50,0))</f>
        <v/>
      </c>
      <c r="F675" s="39" t="n"/>
      <c r="G675" s="39" t="n"/>
      <c r="H675" s="14">
        <f>INDEX(VarLab,MATCH($A675,VarKey,0))&amp;INDEX(MemLab,MATCH($C675&amp;"|"&amp;$B675,MemKey,0))</f>
        <v/>
      </c>
      <c r="I675" s="14">
        <f>INDEX(VarUnit,MATCH($A675,VarKey,0))</f>
        <v/>
      </c>
      <c r="J675" s="14">
        <f>INDEX(VarSrc,MATCH($A675,VarKey,0))</f>
        <v/>
      </c>
      <c r="K675" s="11">
        <f>CodePrefix&amp;$A675&amp;IF($C675="","","."&amp;$C675&amp;"."&amp;$B675)&amp;INDEX(VarEnd,MATCH($A675,VarKey,0))&amp;K$5</f>
        <v/>
      </c>
      <c r="L675" s="43">
        <f>$E675</f>
        <v/>
      </c>
      <c r="M675" s="44">
        <f>L675*INDEX(M$669:M$672,$D675)</f>
        <v/>
      </c>
      <c r="N675" s="44">
        <f>M675*INDEX(N$669:N$672,$D675)</f>
        <v/>
      </c>
      <c r="O675" s="44">
        <f>N675*INDEX(O$669:O$672,$D675)</f>
        <v/>
      </c>
      <c r="P675" s="44">
        <f>O675*INDEX(P$669:P$672,$D675)</f>
        <v/>
      </c>
      <c r="Q675" s="44">
        <f>P675*INDEX(Q$669:Q$672,$D675)</f>
        <v/>
      </c>
      <c r="R675" s="44">
        <f>Q675*INDEX(R$669:R$672,$D675)</f>
        <v/>
      </c>
      <c r="S675" s="44">
        <f>R675*INDEX(S$669:S$672,$D675)</f>
        <v/>
      </c>
      <c r="T675" s="44">
        <f>S675*INDEX(T$669:T$672,$D675)</f>
        <v/>
      </c>
      <c r="U675" s="44">
        <f>T675*INDEX(U$669:U$672,$D675)</f>
        <v/>
      </c>
      <c r="V675" s="44">
        <f>U675*INDEX(V$669:V$672,$D675)</f>
        <v/>
      </c>
      <c r="W675" s="44">
        <f>V675*INDEX(W$669:W$672,$D675)</f>
        <v/>
      </c>
      <c r="X675" s="44">
        <f>W675*INDEX(X$669:X$672,$D675)</f>
        <v/>
      </c>
      <c r="Y675" s="44">
        <f>X675*INDEX(Y$669:Y$672,$D675)</f>
        <v/>
      </c>
      <c r="Z675" s="44">
        <f>Y675*INDEX(Z$669:Z$672,$D675)</f>
        <v/>
      </c>
      <c r="AA675" s="44">
        <f>Z675*INDEX(AA$669:AA$672,$D675)</f>
        <v/>
      </c>
      <c r="AB675" s="44">
        <f>AA675*INDEX(AB$669:AB$672,$D675)</f>
        <v/>
      </c>
      <c r="AC675" s="44">
        <f>AB675*INDEX(AC$669:AC$672,$D675)</f>
        <v/>
      </c>
      <c r="AD675" s="44">
        <f>AC675*INDEX(AD$669:AD$672,$D675)</f>
        <v/>
      </c>
      <c r="AE675" s="57">
        <f>GROW(AD675,INDEX(AE$669:AE$672,$D675))</f>
        <v/>
      </c>
      <c r="AG675" s="11">
        <f>CodePrefix&amp;$A675&amp;IF($C675="","","."&amp;$C675&amp;"."&amp;$B675)&amp;INDEX(VarEnd,MATCH($A675,VarKey,0))&amp;AG$5</f>
        <v/>
      </c>
      <c r="AH675" s="43">
        <f>$E675</f>
        <v/>
      </c>
      <c r="AI675" s="44">
        <f>AH675*INDEX(AI$669:AI$672,$D675)</f>
        <v/>
      </c>
      <c r="AJ675" s="44">
        <f>AI675*INDEX(AJ$669:AJ$672,$D675)</f>
        <v/>
      </c>
      <c r="AK675" s="44">
        <f>AJ675*INDEX(AK$669:AK$672,$D675)</f>
        <v/>
      </c>
      <c r="AL675" s="44">
        <f>AK675*INDEX(AL$669:AL$672,$D675)</f>
        <v/>
      </c>
      <c r="AM675" s="44">
        <f>AL675*INDEX(AM$669:AM$672,$D675)</f>
        <v/>
      </c>
      <c r="AN675" s="44">
        <f>AM675*INDEX(AN$669:AN$672,$D675)</f>
        <v/>
      </c>
      <c r="AO675" s="44">
        <f>AN675*INDEX(AO$669:AO$672,$D675)</f>
        <v/>
      </c>
      <c r="AP675" s="44">
        <f>AO675*INDEX(AP$669:AP$672,$D675)</f>
        <v/>
      </c>
      <c r="AQ675" s="44">
        <f>AP675*INDEX(AQ$669:AQ$672,$D675)</f>
        <v/>
      </c>
      <c r="AR675" s="44">
        <f>AQ675*INDEX(AR$669:AR$672,$D675)</f>
        <v/>
      </c>
      <c r="AS675" s="44">
        <f>AR675*INDEX(AS$669:AS$672,$D675)</f>
        <v/>
      </c>
      <c r="AT675" s="44">
        <f>AS675*INDEX(AT$669:AT$672,$D675)</f>
        <v/>
      </c>
      <c r="AU675" s="44">
        <f>AT675*INDEX(AU$669:AU$672,$D675)</f>
        <v/>
      </c>
      <c r="AV675" s="44">
        <f>AU675*INDEX(AV$669:AV$672,$D675)</f>
        <v/>
      </c>
      <c r="AW675" s="44">
        <f>AV675*INDEX(AW$669:AW$672,$D675)</f>
        <v/>
      </c>
      <c r="AX675" s="44">
        <f>AW675*INDEX(AX$669:AX$672,$D675)</f>
        <v/>
      </c>
      <c r="AY675" s="44">
        <f>AX675*INDEX(AY$669:AY$672,$D675)</f>
        <v/>
      </c>
      <c r="AZ675" s="44">
        <f>AY675*INDEX(AZ$669:AZ$672,$D675)</f>
        <v/>
      </c>
      <c r="BA675" s="57">
        <f>GROW(AZ675,INDEX(BA$669:BA$672,$D675))</f>
        <v/>
      </c>
    </row>
    <row r="676" hidden="1" outlineLevel="1">
      <c r="A676" s="14" t="inlineStr">
        <is>
          <t>dem</t>
        </is>
      </c>
      <c r="B676" s="14" t="inlineStr">
        <is>
          <t>ecy</t>
        </is>
      </c>
      <c r="C676" s="14" t="inlineStr">
        <is>
          <t>avi</t>
        </is>
      </c>
      <c r="D676" s="45">
        <f>INDEX(Inputs_power!$D$36:$D$50,MATCH($C676,Inputs_power!$A$36:$A$50,0))</f>
        <v/>
      </c>
      <c r="E676" s="45">
        <f>INDEX(Inputs_power!$E$36:$E$50,MATCH($C676,Inputs_power!$A$36:$A$50,0))</f>
        <v/>
      </c>
      <c r="F676" s="39" t="n"/>
      <c r="G676" s="39" t="n"/>
      <c r="H676" s="14">
        <f>INDEX(VarLab,MATCH($A676,VarKey,0))&amp;INDEX(MemLab,MATCH($C676&amp;"|"&amp;$B676,MemKey,0))</f>
        <v/>
      </c>
      <c r="I676" s="14">
        <f>INDEX(VarUnit,MATCH($A676,VarKey,0))</f>
        <v/>
      </c>
      <c r="J676" s="14">
        <f>INDEX(VarSrc,MATCH($A676,VarKey,0))</f>
        <v/>
      </c>
      <c r="K676" s="11">
        <f>CodePrefix&amp;$A676&amp;IF($C676="","","."&amp;$C676&amp;"."&amp;$B676)&amp;INDEX(VarEnd,MATCH($A676,VarKey,0))&amp;K$5</f>
        <v/>
      </c>
      <c r="L676" s="43">
        <f>$E676</f>
        <v/>
      </c>
      <c r="M676" s="44">
        <f>L676*INDEX(M$669:M$672,$D676)</f>
        <v/>
      </c>
      <c r="N676" s="44">
        <f>M676*INDEX(N$669:N$672,$D676)</f>
        <v/>
      </c>
      <c r="O676" s="44">
        <f>N676*INDEX(O$669:O$672,$D676)</f>
        <v/>
      </c>
      <c r="P676" s="44">
        <f>O676*INDEX(P$669:P$672,$D676)</f>
        <v/>
      </c>
      <c r="Q676" s="44">
        <f>P676*INDEX(Q$669:Q$672,$D676)</f>
        <v/>
      </c>
      <c r="R676" s="44">
        <f>Q676*INDEX(R$669:R$672,$D676)</f>
        <v/>
      </c>
      <c r="S676" s="44">
        <f>R676*INDEX(S$669:S$672,$D676)</f>
        <v/>
      </c>
      <c r="T676" s="44">
        <f>S676*INDEX(T$669:T$672,$D676)</f>
        <v/>
      </c>
      <c r="U676" s="44">
        <f>T676*INDEX(U$669:U$672,$D676)</f>
        <v/>
      </c>
      <c r="V676" s="44">
        <f>U676*INDEX(V$669:V$672,$D676)</f>
        <v/>
      </c>
      <c r="W676" s="44">
        <f>V676*INDEX(W$669:W$672,$D676)</f>
        <v/>
      </c>
      <c r="X676" s="44">
        <f>W676*INDEX(X$669:X$672,$D676)</f>
        <v/>
      </c>
      <c r="Y676" s="44">
        <f>X676*INDEX(Y$669:Y$672,$D676)</f>
        <v/>
      </c>
      <c r="Z676" s="44">
        <f>Y676*INDEX(Z$669:Z$672,$D676)</f>
        <v/>
      </c>
      <c r="AA676" s="44">
        <f>Z676*INDEX(AA$669:AA$672,$D676)</f>
        <v/>
      </c>
      <c r="AB676" s="44">
        <f>AA676*INDEX(AB$669:AB$672,$D676)</f>
        <v/>
      </c>
      <c r="AC676" s="44">
        <f>AB676*INDEX(AC$669:AC$672,$D676)</f>
        <v/>
      </c>
      <c r="AD676" s="44">
        <f>AC676*INDEX(AD$669:AD$672,$D676)</f>
        <v/>
      </c>
      <c r="AE676" s="57">
        <f>GROW(AD676,INDEX(AE$669:AE$672,$D676))</f>
        <v/>
      </c>
      <c r="AG676" s="11">
        <f>CodePrefix&amp;$A676&amp;IF($C676="","","."&amp;$C676&amp;"."&amp;$B676)&amp;INDEX(VarEnd,MATCH($A676,VarKey,0))&amp;AG$5</f>
        <v/>
      </c>
      <c r="AH676" s="43">
        <f>$E676</f>
        <v/>
      </c>
      <c r="AI676" s="44">
        <f>AH676*INDEX(AI$669:AI$672,$D676)</f>
        <v/>
      </c>
      <c r="AJ676" s="44">
        <f>AI676*INDEX(AJ$669:AJ$672,$D676)</f>
        <v/>
      </c>
      <c r="AK676" s="44">
        <f>AJ676*INDEX(AK$669:AK$672,$D676)</f>
        <v/>
      </c>
      <c r="AL676" s="44">
        <f>AK676*INDEX(AL$669:AL$672,$D676)</f>
        <v/>
      </c>
      <c r="AM676" s="44">
        <f>AL676*INDEX(AM$669:AM$672,$D676)</f>
        <v/>
      </c>
      <c r="AN676" s="44">
        <f>AM676*INDEX(AN$669:AN$672,$D676)</f>
        <v/>
      </c>
      <c r="AO676" s="44">
        <f>AN676*INDEX(AO$669:AO$672,$D676)</f>
        <v/>
      </c>
      <c r="AP676" s="44">
        <f>AO676*INDEX(AP$669:AP$672,$D676)</f>
        <v/>
      </c>
      <c r="AQ676" s="44">
        <f>AP676*INDEX(AQ$669:AQ$672,$D676)</f>
        <v/>
      </c>
      <c r="AR676" s="44">
        <f>AQ676*INDEX(AR$669:AR$672,$D676)</f>
        <v/>
      </c>
      <c r="AS676" s="44">
        <f>AR676*INDEX(AS$669:AS$672,$D676)</f>
        <v/>
      </c>
      <c r="AT676" s="44">
        <f>AS676*INDEX(AT$669:AT$672,$D676)</f>
        <v/>
      </c>
      <c r="AU676" s="44">
        <f>AT676*INDEX(AU$669:AU$672,$D676)</f>
        <v/>
      </c>
      <c r="AV676" s="44">
        <f>AU676*INDEX(AV$669:AV$672,$D676)</f>
        <v/>
      </c>
      <c r="AW676" s="44">
        <f>AV676*INDEX(AW$669:AW$672,$D676)</f>
        <v/>
      </c>
      <c r="AX676" s="44">
        <f>AW676*INDEX(AX$669:AX$672,$D676)</f>
        <v/>
      </c>
      <c r="AY676" s="44">
        <f>AX676*INDEX(AY$669:AY$672,$D676)</f>
        <v/>
      </c>
      <c r="AZ676" s="44">
        <f>AY676*INDEX(AZ$669:AZ$672,$D676)</f>
        <v/>
      </c>
      <c r="BA676" s="57">
        <f>GROW(AZ676,INDEX(BA$669:BA$672,$D676))</f>
        <v/>
      </c>
    </row>
    <row r="677" hidden="1" outlineLevel="1">
      <c r="A677" s="14" t="inlineStr">
        <is>
          <t>dem</t>
        </is>
      </c>
      <c r="B677" s="14" t="inlineStr">
        <is>
          <t>ecy</t>
        </is>
      </c>
      <c r="C677" s="14" t="inlineStr">
        <is>
          <t>nav</t>
        </is>
      </c>
      <c r="D677" s="45">
        <f>INDEX(Inputs_power!$D$36:$D$50,MATCH($C677,Inputs_power!$A$36:$A$50,0))</f>
        <v/>
      </c>
      <c r="E677" s="45">
        <f>INDEX(Inputs_power!$E$36:$E$50,MATCH($C677,Inputs_power!$A$36:$A$50,0))</f>
        <v/>
      </c>
      <c r="F677" s="39" t="n"/>
      <c r="G677" s="39" t="n"/>
      <c r="H677" s="14">
        <f>INDEX(VarLab,MATCH($A677,VarKey,0))&amp;INDEX(MemLab,MATCH($C677&amp;"|"&amp;$B677,MemKey,0))</f>
        <v/>
      </c>
      <c r="I677" s="14">
        <f>INDEX(VarUnit,MATCH($A677,VarKey,0))</f>
        <v/>
      </c>
      <c r="J677" s="14">
        <f>INDEX(VarSrc,MATCH($A677,VarKey,0))</f>
        <v/>
      </c>
      <c r="K677" s="11">
        <f>CodePrefix&amp;$A677&amp;IF($C677="","","."&amp;$C677&amp;"."&amp;$B677)&amp;INDEX(VarEnd,MATCH($A677,VarKey,0))&amp;K$5</f>
        <v/>
      </c>
      <c r="L677" s="43">
        <f>$E677</f>
        <v/>
      </c>
      <c r="M677" s="44">
        <f>L677*INDEX(M$669:M$672,$D677)</f>
        <v/>
      </c>
      <c r="N677" s="44">
        <f>M677*INDEX(N$669:N$672,$D677)</f>
        <v/>
      </c>
      <c r="O677" s="44">
        <f>N677*INDEX(O$669:O$672,$D677)</f>
        <v/>
      </c>
      <c r="P677" s="44">
        <f>O677*INDEX(P$669:P$672,$D677)</f>
        <v/>
      </c>
      <c r="Q677" s="44">
        <f>P677*INDEX(Q$669:Q$672,$D677)</f>
        <v/>
      </c>
      <c r="R677" s="44">
        <f>Q677*INDEX(R$669:R$672,$D677)</f>
        <v/>
      </c>
      <c r="S677" s="44">
        <f>R677*INDEX(S$669:S$672,$D677)</f>
        <v/>
      </c>
      <c r="T677" s="44">
        <f>S677*INDEX(T$669:T$672,$D677)</f>
        <v/>
      </c>
      <c r="U677" s="44">
        <f>T677*INDEX(U$669:U$672,$D677)</f>
        <v/>
      </c>
      <c r="V677" s="44">
        <f>U677*INDEX(V$669:V$672,$D677)</f>
        <v/>
      </c>
      <c r="W677" s="44">
        <f>V677*INDEX(W$669:W$672,$D677)</f>
        <v/>
      </c>
      <c r="X677" s="44">
        <f>W677*INDEX(X$669:X$672,$D677)</f>
        <v/>
      </c>
      <c r="Y677" s="44">
        <f>X677*INDEX(Y$669:Y$672,$D677)</f>
        <v/>
      </c>
      <c r="Z677" s="44">
        <f>Y677*INDEX(Z$669:Z$672,$D677)</f>
        <v/>
      </c>
      <c r="AA677" s="44">
        <f>Z677*INDEX(AA$669:AA$672,$D677)</f>
        <v/>
      </c>
      <c r="AB677" s="44">
        <f>AA677*INDEX(AB$669:AB$672,$D677)</f>
        <v/>
      </c>
      <c r="AC677" s="44">
        <f>AB677*INDEX(AC$669:AC$672,$D677)</f>
        <v/>
      </c>
      <c r="AD677" s="44">
        <f>AC677*INDEX(AD$669:AD$672,$D677)</f>
        <v/>
      </c>
      <c r="AE677" s="57">
        <f>GROW(AD677,INDEX(AE$669:AE$672,$D677))</f>
        <v/>
      </c>
      <c r="AG677" s="11">
        <f>CodePrefix&amp;$A677&amp;IF($C677="","","."&amp;$C677&amp;"."&amp;$B677)&amp;INDEX(VarEnd,MATCH($A677,VarKey,0))&amp;AG$5</f>
        <v/>
      </c>
      <c r="AH677" s="43">
        <f>$E677</f>
        <v/>
      </c>
      <c r="AI677" s="44">
        <f>AH677*INDEX(AI$669:AI$672,$D677)</f>
        <v/>
      </c>
      <c r="AJ677" s="44">
        <f>AI677*INDEX(AJ$669:AJ$672,$D677)</f>
        <v/>
      </c>
      <c r="AK677" s="44">
        <f>AJ677*INDEX(AK$669:AK$672,$D677)</f>
        <v/>
      </c>
      <c r="AL677" s="44">
        <f>AK677*INDEX(AL$669:AL$672,$D677)</f>
        <v/>
      </c>
      <c r="AM677" s="44">
        <f>AL677*INDEX(AM$669:AM$672,$D677)</f>
        <v/>
      </c>
      <c r="AN677" s="44">
        <f>AM677*INDEX(AN$669:AN$672,$D677)</f>
        <v/>
      </c>
      <c r="AO677" s="44">
        <f>AN677*INDEX(AO$669:AO$672,$D677)</f>
        <v/>
      </c>
      <c r="AP677" s="44">
        <f>AO677*INDEX(AP$669:AP$672,$D677)</f>
        <v/>
      </c>
      <c r="AQ677" s="44">
        <f>AP677*INDEX(AQ$669:AQ$672,$D677)</f>
        <v/>
      </c>
      <c r="AR677" s="44">
        <f>AQ677*INDEX(AR$669:AR$672,$D677)</f>
        <v/>
      </c>
      <c r="AS677" s="44">
        <f>AR677*INDEX(AS$669:AS$672,$D677)</f>
        <v/>
      </c>
      <c r="AT677" s="44">
        <f>AS677*INDEX(AT$669:AT$672,$D677)</f>
        <v/>
      </c>
      <c r="AU677" s="44">
        <f>AT677*INDEX(AU$669:AU$672,$D677)</f>
        <v/>
      </c>
      <c r="AV677" s="44">
        <f>AU677*INDEX(AV$669:AV$672,$D677)</f>
        <v/>
      </c>
      <c r="AW677" s="44">
        <f>AV677*INDEX(AW$669:AW$672,$D677)</f>
        <v/>
      </c>
      <c r="AX677" s="44">
        <f>AW677*INDEX(AX$669:AX$672,$D677)</f>
        <v/>
      </c>
      <c r="AY677" s="44">
        <f>AX677*INDEX(AY$669:AY$672,$D677)</f>
        <v/>
      </c>
      <c r="AZ677" s="44">
        <f>AY677*INDEX(AZ$669:AZ$672,$D677)</f>
        <v/>
      </c>
      <c r="BA677" s="57">
        <f>GROW(AZ677,INDEX(BA$669:BA$672,$D677))</f>
        <v/>
      </c>
    </row>
    <row r="678" hidden="1" outlineLevel="1">
      <c r="A678" s="14" t="inlineStr">
        <is>
          <t>dem</t>
        </is>
      </c>
      <c r="B678" s="14" t="inlineStr">
        <is>
          <t>ecy</t>
        </is>
      </c>
      <c r="C678" s="14" t="inlineStr">
        <is>
          <t>res</t>
        </is>
      </c>
      <c r="D678" s="45">
        <f>INDEX(Inputs_power!$D$36:$D$50,MATCH($C678,Inputs_power!$A$36:$A$50,0))</f>
        <v/>
      </c>
      <c r="E678" s="45">
        <f>INDEX(Inputs_power!$E$36:$E$50,MATCH($C678,Inputs_power!$A$36:$A$50,0))</f>
        <v/>
      </c>
      <c r="F678" s="39" t="n"/>
      <c r="G678" s="39" t="n"/>
      <c r="H678" s="14">
        <f>INDEX(VarLab,MATCH($A678,VarKey,0))&amp;INDEX(MemLab,MATCH($C678&amp;"|"&amp;$B678,MemKey,0))</f>
        <v/>
      </c>
      <c r="I678" s="14">
        <f>INDEX(VarUnit,MATCH($A678,VarKey,0))</f>
        <v/>
      </c>
      <c r="J678" s="14">
        <f>INDEX(VarSrc,MATCH($A678,VarKey,0))</f>
        <v/>
      </c>
      <c r="K678" s="11">
        <f>CodePrefix&amp;$A678&amp;IF($C678="","","."&amp;$C678&amp;"."&amp;$B678)&amp;INDEX(VarEnd,MATCH($A678,VarKey,0))&amp;K$5</f>
        <v/>
      </c>
      <c r="L678" s="43">
        <f>$E678</f>
        <v/>
      </c>
      <c r="M678" s="44">
        <f>L678*INDEX(M$669:M$672,$D678)</f>
        <v/>
      </c>
      <c r="N678" s="44">
        <f>M678*INDEX(N$669:N$672,$D678)</f>
        <v/>
      </c>
      <c r="O678" s="44">
        <f>N678*INDEX(O$669:O$672,$D678)</f>
        <v/>
      </c>
      <c r="P678" s="44">
        <f>O678*INDEX(P$669:P$672,$D678)</f>
        <v/>
      </c>
      <c r="Q678" s="44">
        <f>P678*INDEX(Q$669:Q$672,$D678)</f>
        <v/>
      </c>
      <c r="R678" s="44">
        <f>Q678*INDEX(R$669:R$672,$D678)</f>
        <v/>
      </c>
      <c r="S678" s="44">
        <f>R678*INDEX(S$669:S$672,$D678)</f>
        <v/>
      </c>
      <c r="T678" s="44">
        <f>S678*INDEX(T$669:T$672,$D678)</f>
        <v/>
      </c>
      <c r="U678" s="44">
        <f>T678*INDEX(U$669:U$672,$D678)</f>
        <v/>
      </c>
      <c r="V678" s="44">
        <f>U678*INDEX(V$669:V$672,$D678)</f>
        <v/>
      </c>
      <c r="W678" s="44">
        <f>V678*INDEX(W$669:W$672,$D678)</f>
        <v/>
      </c>
      <c r="X678" s="44">
        <f>W678*INDEX(X$669:X$672,$D678)</f>
        <v/>
      </c>
      <c r="Y678" s="44">
        <f>X678*INDEX(Y$669:Y$672,$D678)</f>
        <v/>
      </c>
      <c r="Z678" s="44">
        <f>Y678*INDEX(Z$669:Z$672,$D678)</f>
        <v/>
      </c>
      <c r="AA678" s="44">
        <f>Z678*INDEX(AA$669:AA$672,$D678)</f>
        <v/>
      </c>
      <c r="AB678" s="44">
        <f>AA678*INDEX(AB$669:AB$672,$D678)</f>
        <v/>
      </c>
      <c r="AC678" s="44">
        <f>AB678*INDEX(AC$669:AC$672,$D678)</f>
        <v/>
      </c>
      <c r="AD678" s="44">
        <f>AC678*INDEX(AD$669:AD$672,$D678)</f>
        <v/>
      </c>
      <c r="AE678" s="57">
        <f>GROW(AD678,INDEX(AE$669:AE$672,$D678))</f>
        <v/>
      </c>
      <c r="AG678" s="11">
        <f>CodePrefix&amp;$A678&amp;IF($C678="","","."&amp;$C678&amp;"."&amp;$B678)&amp;INDEX(VarEnd,MATCH($A678,VarKey,0))&amp;AG$5</f>
        <v/>
      </c>
      <c r="AH678" s="43">
        <f>$E678</f>
        <v/>
      </c>
      <c r="AI678" s="44">
        <f>AH678*INDEX(AI$669:AI$672,$D678)</f>
        <v/>
      </c>
      <c r="AJ678" s="44">
        <f>AI678*INDEX(AJ$669:AJ$672,$D678)</f>
        <v/>
      </c>
      <c r="AK678" s="44">
        <f>AJ678*INDEX(AK$669:AK$672,$D678)</f>
        <v/>
      </c>
      <c r="AL678" s="44">
        <f>AK678*INDEX(AL$669:AL$672,$D678)</f>
        <v/>
      </c>
      <c r="AM678" s="44">
        <f>AL678*INDEX(AM$669:AM$672,$D678)</f>
        <v/>
      </c>
      <c r="AN678" s="44">
        <f>AM678*INDEX(AN$669:AN$672,$D678)</f>
        <v/>
      </c>
      <c r="AO678" s="44">
        <f>AN678*INDEX(AO$669:AO$672,$D678)</f>
        <v/>
      </c>
      <c r="AP678" s="44">
        <f>AO678*INDEX(AP$669:AP$672,$D678)</f>
        <v/>
      </c>
      <c r="AQ678" s="44">
        <f>AP678*INDEX(AQ$669:AQ$672,$D678)</f>
        <v/>
      </c>
      <c r="AR678" s="44">
        <f>AQ678*INDEX(AR$669:AR$672,$D678)</f>
        <v/>
      </c>
      <c r="AS678" s="44">
        <f>AR678*INDEX(AS$669:AS$672,$D678)</f>
        <v/>
      </c>
      <c r="AT678" s="44">
        <f>AS678*INDEX(AT$669:AT$672,$D678)</f>
        <v/>
      </c>
      <c r="AU678" s="44">
        <f>AT678*INDEX(AU$669:AU$672,$D678)</f>
        <v/>
      </c>
      <c r="AV678" s="44">
        <f>AU678*INDEX(AV$669:AV$672,$D678)</f>
        <v/>
      </c>
      <c r="AW678" s="44">
        <f>AV678*INDEX(AW$669:AW$672,$D678)</f>
        <v/>
      </c>
      <c r="AX678" s="44">
        <f>AW678*INDEX(AX$669:AX$672,$D678)</f>
        <v/>
      </c>
      <c r="AY678" s="44">
        <f>AX678*INDEX(AY$669:AY$672,$D678)</f>
        <v/>
      </c>
      <c r="AZ678" s="44">
        <f>AY678*INDEX(AZ$669:AZ$672,$D678)</f>
        <v/>
      </c>
      <c r="BA678" s="57">
        <f>GROW(AZ678,INDEX(BA$669:BA$672,$D678))</f>
        <v/>
      </c>
    </row>
    <row r="679" hidden="1" outlineLevel="1">
      <c r="A679" s="14" t="inlineStr">
        <is>
          <t>dem</t>
        </is>
      </c>
      <c r="B679" s="14" t="inlineStr">
        <is>
          <t>ecy</t>
        </is>
      </c>
      <c r="C679" s="14" t="inlineStr">
        <is>
          <t>foo</t>
        </is>
      </c>
      <c r="D679" s="45">
        <f>INDEX(Inputs_power!$D$36:$D$50,MATCH($C679,Inputs_power!$A$36:$A$50,0))</f>
        <v/>
      </c>
      <c r="E679" s="45">
        <f>INDEX(Inputs_power!$E$36:$E$50,MATCH($C679,Inputs_power!$A$36:$A$50,0))</f>
        <v/>
      </c>
      <c r="F679" s="39" t="n"/>
      <c r="G679" s="39" t="n"/>
      <c r="H679" s="14">
        <f>INDEX(VarLab,MATCH($A679,VarKey,0))&amp;INDEX(MemLab,MATCH($C679&amp;"|"&amp;$B679,MemKey,0))</f>
        <v/>
      </c>
      <c r="I679" s="14">
        <f>INDEX(VarUnit,MATCH($A679,VarKey,0))</f>
        <v/>
      </c>
      <c r="J679" s="14">
        <f>INDEX(VarSrc,MATCH($A679,VarKey,0))</f>
        <v/>
      </c>
      <c r="K679" s="11">
        <f>CodePrefix&amp;$A679&amp;IF($C679="","","."&amp;$C679&amp;"."&amp;$B679)&amp;INDEX(VarEnd,MATCH($A679,VarKey,0))&amp;K$5</f>
        <v/>
      </c>
      <c r="L679" s="43">
        <f>$E679</f>
        <v/>
      </c>
      <c r="M679" s="44">
        <f>L679*INDEX(M$669:M$672,$D679)</f>
        <v/>
      </c>
      <c r="N679" s="44">
        <f>M679*INDEX(N$669:N$672,$D679)</f>
        <v/>
      </c>
      <c r="O679" s="44">
        <f>N679*INDEX(O$669:O$672,$D679)</f>
        <v/>
      </c>
      <c r="P679" s="44">
        <f>O679*INDEX(P$669:P$672,$D679)</f>
        <v/>
      </c>
      <c r="Q679" s="44">
        <f>P679*INDEX(Q$669:Q$672,$D679)</f>
        <v/>
      </c>
      <c r="R679" s="44">
        <f>Q679*INDEX(R$669:R$672,$D679)</f>
        <v/>
      </c>
      <c r="S679" s="44">
        <f>R679*INDEX(S$669:S$672,$D679)</f>
        <v/>
      </c>
      <c r="T679" s="44">
        <f>S679*INDEX(T$669:T$672,$D679)</f>
        <v/>
      </c>
      <c r="U679" s="44">
        <f>T679*INDEX(U$669:U$672,$D679)</f>
        <v/>
      </c>
      <c r="V679" s="44">
        <f>U679*INDEX(V$669:V$672,$D679)</f>
        <v/>
      </c>
      <c r="W679" s="44">
        <f>V679*INDEX(W$669:W$672,$D679)</f>
        <v/>
      </c>
      <c r="X679" s="44">
        <f>W679*INDEX(X$669:X$672,$D679)</f>
        <v/>
      </c>
      <c r="Y679" s="44">
        <f>X679*INDEX(Y$669:Y$672,$D679)</f>
        <v/>
      </c>
      <c r="Z679" s="44">
        <f>Y679*INDEX(Z$669:Z$672,$D679)</f>
        <v/>
      </c>
      <c r="AA679" s="44">
        <f>Z679*INDEX(AA$669:AA$672,$D679)</f>
        <v/>
      </c>
      <c r="AB679" s="44">
        <f>AA679*INDEX(AB$669:AB$672,$D679)</f>
        <v/>
      </c>
      <c r="AC679" s="44">
        <f>AB679*INDEX(AC$669:AC$672,$D679)</f>
        <v/>
      </c>
      <c r="AD679" s="44">
        <f>AC679*INDEX(AD$669:AD$672,$D679)</f>
        <v/>
      </c>
      <c r="AE679" s="57">
        <f>GROW(AD679,INDEX(AE$669:AE$672,$D679))</f>
        <v/>
      </c>
      <c r="AG679" s="11">
        <f>CodePrefix&amp;$A679&amp;IF($C679="","","."&amp;$C679&amp;"."&amp;$B679)&amp;INDEX(VarEnd,MATCH($A679,VarKey,0))&amp;AG$5</f>
        <v/>
      </c>
      <c r="AH679" s="43">
        <f>$E679</f>
        <v/>
      </c>
      <c r="AI679" s="44">
        <f>AH679*INDEX(AI$669:AI$672,$D679)</f>
        <v/>
      </c>
      <c r="AJ679" s="44">
        <f>AI679*INDEX(AJ$669:AJ$672,$D679)</f>
        <v/>
      </c>
      <c r="AK679" s="44">
        <f>AJ679*INDEX(AK$669:AK$672,$D679)</f>
        <v/>
      </c>
      <c r="AL679" s="44">
        <f>AK679*INDEX(AL$669:AL$672,$D679)</f>
        <v/>
      </c>
      <c r="AM679" s="44">
        <f>AL679*INDEX(AM$669:AM$672,$D679)</f>
        <v/>
      </c>
      <c r="AN679" s="44">
        <f>AM679*INDEX(AN$669:AN$672,$D679)</f>
        <v/>
      </c>
      <c r="AO679" s="44">
        <f>AN679*INDEX(AO$669:AO$672,$D679)</f>
        <v/>
      </c>
      <c r="AP679" s="44">
        <f>AO679*INDEX(AP$669:AP$672,$D679)</f>
        <v/>
      </c>
      <c r="AQ679" s="44">
        <f>AP679*INDEX(AQ$669:AQ$672,$D679)</f>
        <v/>
      </c>
      <c r="AR679" s="44">
        <f>AQ679*INDEX(AR$669:AR$672,$D679)</f>
        <v/>
      </c>
      <c r="AS679" s="44">
        <f>AR679*INDEX(AS$669:AS$672,$D679)</f>
        <v/>
      </c>
      <c r="AT679" s="44">
        <f>AS679*INDEX(AT$669:AT$672,$D679)</f>
        <v/>
      </c>
      <c r="AU679" s="44">
        <f>AT679*INDEX(AU$669:AU$672,$D679)</f>
        <v/>
      </c>
      <c r="AV679" s="44">
        <f>AU679*INDEX(AV$669:AV$672,$D679)</f>
        <v/>
      </c>
      <c r="AW679" s="44">
        <f>AV679*INDEX(AW$669:AW$672,$D679)</f>
        <v/>
      </c>
      <c r="AX679" s="44">
        <f>AW679*INDEX(AX$669:AX$672,$D679)</f>
        <v/>
      </c>
      <c r="AY679" s="44">
        <f>AX679*INDEX(AY$669:AY$672,$D679)</f>
        <v/>
      </c>
      <c r="AZ679" s="44">
        <f>AY679*INDEX(AZ$669:AZ$672,$D679)</f>
        <v/>
      </c>
      <c r="BA679" s="57">
        <f>GROW(AZ679,INDEX(BA$669:BA$672,$D679))</f>
        <v/>
      </c>
    </row>
    <row r="680" hidden="1" outlineLevel="1">
      <c r="A680" s="14" t="inlineStr">
        <is>
          <t>dem</t>
        </is>
      </c>
      <c r="B680" s="14" t="inlineStr">
        <is>
          <t>ecy</t>
        </is>
      </c>
      <c r="C680" s="14" t="inlineStr">
        <is>
          <t>srv</t>
        </is>
      </c>
      <c r="D680" s="45">
        <f>INDEX(Inputs_power!$D$36:$D$50,MATCH($C680,Inputs_power!$A$36:$A$50,0))</f>
        <v/>
      </c>
      <c r="E680" s="45">
        <f>INDEX(Inputs_power!$E$36:$E$50,MATCH($C680,Inputs_power!$A$36:$A$50,0))</f>
        <v/>
      </c>
      <c r="F680" s="39" t="n"/>
      <c r="G680" s="39" t="n"/>
      <c r="H680" s="14">
        <f>INDEX(VarLab,MATCH($A680,VarKey,0))&amp;INDEX(MemLab,MATCH($C680&amp;"|"&amp;$B680,MemKey,0))</f>
        <v/>
      </c>
      <c r="I680" s="14">
        <f>INDEX(VarUnit,MATCH($A680,VarKey,0))</f>
        <v/>
      </c>
      <c r="J680" s="14">
        <f>INDEX(VarSrc,MATCH($A680,VarKey,0))</f>
        <v/>
      </c>
      <c r="K680" s="11">
        <f>CodePrefix&amp;$A680&amp;IF($C680="","","."&amp;$C680&amp;"."&amp;$B680)&amp;INDEX(VarEnd,MATCH($A680,VarKey,0))&amp;K$5</f>
        <v/>
      </c>
      <c r="L680" s="43">
        <f>$E680</f>
        <v/>
      </c>
      <c r="M680" s="44">
        <f>L680*INDEX(M$669:M$672,$D680)</f>
        <v/>
      </c>
      <c r="N680" s="44">
        <f>M680*INDEX(N$669:N$672,$D680)</f>
        <v/>
      </c>
      <c r="O680" s="44">
        <f>N680*INDEX(O$669:O$672,$D680)</f>
        <v/>
      </c>
      <c r="P680" s="44">
        <f>O680*INDEX(P$669:P$672,$D680)</f>
        <v/>
      </c>
      <c r="Q680" s="44">
        <f>P680*INDEX(Q$669:Q$672,$D680)</f>
        <v/>
      </c>
      <c r="R680" s="44">
        <f>Q680*INDEX(R$669:R$672,$D680)</f>
        <v/>
      </c>
      <c r="S680" s="44">
        <f>R680*INDEX(S$669:S$672,$D680)</f>
        <v/>
      </c>
      <c r="T680" s="44">
        <f>S680*INDEX(T$669:T$672,$D680)</f>
        <v/>
      </c>
      <c r="U680" s="44">
        <f>T680*INDEX(U$669:U$672,$D680)</f>
        <v/>
      </c>
      <c r="V680" s="44">
        <f>U680*INDEX(V$669:V$672,$D680)</f>
        <v/>
      </c>
      <c r="W680" s="44">
        <f>V680*INDEX(W$669:W$672,$D680)</f>
        <v/>
      </c>
      <c r="X680" s="44">
        <f>W680*INDEX(X$669:X$672,$D680)</f>
        <v/>
      </c>
      <c r="Y680" s="44">
        <f>X680*INDEX(Y$669:Y$672,$D680)</f>
        <v/>
      </c>
      <c r="Z680" s="44">
        <f>Y680*INDEX(Z$669:Z$672,$D680)</f>
        <v/>
      </c>
      <c r="AA680" s="44">
        <f>Z680*INDEX(AA$669:AA$672,$D680)</f>
        <v/>
      </c>
      <c r="AB680" s="44">
        <f>AA680*INDEX(AB$669:AB$672,$D680)</f>
        <v/>
      </c>
      <c r="AC680" s="44">
        <f>AB680*INDEX(AC$669:AC$672,$D680)</f>
        <v/>
      </c>
      <c r="AD680" s="44">
        <f>AC680*INDEX(AD$669:AD$672,$D680)</f>
        <v/>
      </c>
      <c r="AE680" s="57">
        <f>GROW(AD680,INDEX(AE$669:AE$672,$D680))</f>
        <v/>
      </c>
      <c r="AG680" s="11">
        <f>CodePrefix&amp;$A680&amp;IF($C680="","","."&amp;$C680&amp;"."&amp;$B680)&amp;INDEX(VarEnd,MATCH($A680,VarKey,0))&amp;AG$5</f>
        <v/>
      </c>
      <c r="AH680" s="43">
        <f>$E680</f>
        <v/>
      </c>
      <c r="AI680" s="44">
        <f>AH680*INDEX(AI$669:AI$672,$D680)</f>
        <v/>
      </c>
      <c r="AJ680" s="44">
        <f>AI680*INDEX(AJ$669:AJ$672,$D680)</f>
        <v/>
      </c>
      <c r="AK680" s="44">
        <f>AJ680*INDEX(AK$669:AK$672,$D680)</f>
        <v/>
      </c>
      <c r="AL680" s="44">
        <f>AK680*INDEX(AL$669:AL$672,$D680)</f>
        <v/>
      </c>
      <c r="AM680" s="44">
        <f>AL680*INDEX(AM$669:AM$672,$D680)</f>
        <v/>
      </c>
      <c r="AN680" s="44">
        <f>AM680*INDEX(AN$669:AN$672,$D680)</f>
        <v/>
      </c>
      <c r="AO680" s="44">
        <f>AN680*INDEX(AO$669:AO$672,$D680)</f>
        <v/>
      </c>
      <c r="AP680" s="44">
        <f>AO680*INDEX(AP$669:AP$672,$D680)</f>
        <v/>
      </c>
      <c r="AQ680" s="44">
        <f>AP680*INDEX(AQ$669:AQ$672,$D680)</f>
        <v/>
      </c>
      <c r="AR680" s="44">
        <f>AQ680*INDEX(AR$669:AR$672,$D680)</f>
        <v/>
      </c>
      <c r="AS680" s="44">
        <f>AR680*INDEX(AS$669:AS$672,$D680)</f>
        <v/>
      </c>
      <c r="AT680" s="44">
        <f>AS680*INDEX(AT$669:AT$672,$D680)</f>
        <v/>
      </c>
      <c r="AU680" s="44">
        <f>AT680*INDEX(AU$669:AU$672,$D680)</f>
        <v/>
      </c>
      <c r="AV680" s="44">
        <f>AU680*INDEX(AV$669:AV$672,$D680)</f>
        <v/>
      </c>
      <c r="AW680" s="44">
        <f>AV680*INDEX(AW$669:AW$672,$D680)</f>
        <v/>
      </c>
      <c r="AX680" s="44">
        <f>AW680*INDEX(AX$669:AX$672,$D680)</f>
        <v/>
      </c>
      <c r="AY680" s="44">
        <f>AX680*INDEX(AY$669:AY$672,$D680)</f>
        <v/>
      </c>
      <c r="AZ680" s="44">
        <f>AY680*INDEX(AZ$669:AZ$672,$D680)</f>
        <v/>
      </c>
      <c r="BA680" s="57">
        <f>GROW(AZ680,INDEX(BA$669:BA$672,$D680))</f>
        <v/>
      </c>
    </row>
    <row r="681" hidden="1" outlineLevel="1">
      <c r="A681" s="14" t="inlineStr">
        <is>
          <t>dem</t>
        </is>
      </c>
      <c r="B681" s="14" t="inlineStr">
        <is>
          <t>ecy</t>
        </is>
      </c>
      <c r="C681" s="14" t="inlineStr">
        <is>
          <t>mch</t>
        </is>
      </c>
      <c r="D681" s="45">
        <f>INDEX(Inputs_power!$D$36:$D$50,MATCH($C681,Inputs_power!$A$36:$A$50,0))</f>
        <v/>
      </c>
      <c r="E681" s="45">
        <f>INDEX(Inputs_power!$E$36:$E$50,MATCH($C681,Inputs_power!$A$36:$A$50,0))</f>
        <v/>
      </c>
      <c r="F681" s="39" t="n"/>
      <c r="G681" s="39" t="n"/>
      <c r="H681" s="14">
        <f>INDEX(VarLab,MATCH($A681,VarKey,0))&amp;INDEX(MemLab,MATCH($C681&amp;"|"&amp;$B681,MemKey,0))</f>
        <v/>
      </c>
      <c r="I681" s="14">
        <f>INDEX(VarUnit,MATCH($A681,VarKey,0))</f>
        <v/>
      </c>
      <c r="J681" s="14">
        <f>INDEX(VarSrc,MATCH($A681,VarKey,0))</f>
        <v/>
      </c>
      <c r="K681" s="11">
        <f>CodePrefix&amp;$A681&amp;IF($C681="","","."&amp;$C681&amp;"."&amp;$B681)&amp;INDEX(VarEnd,MATCH($A681,VarKey,0))&amp;K$5</f>
        <v/>
      </c>
      <c r="L681" s="43">
        <f>$E681</f>
        <v/>
      </c>
      <c r="M681" s="44">
        <f>L681*INDEX(M$669:M$672,$D681)</f>
        <v/>
      </c>
      <c r="N681" s="44">
        <f>M681*INDEX(N$669:N$672,$D681)</f>
        <v/>
      </c>
      <c r="O681" s="44">
        <f>N681*INDEX(O$669:O$672,$D681)</f>
        <v/>
      </c>
      <c r="P681" s="44">
        <f>O681*INDEX(P$669:P$672,$D681)</f>
        <v/>
      </c>
      <c r="Q681" s="44">
        <f>P681*INDEX(Q$669:Q$672,$D681)</f>
        <v/>
      </c>
      <c r="R681" s="44">
        <f>Q681*INDEX(R$669:R$672,$D681)</f>
        <v/>
      </c>
      <c r="S681" s="44">
        <f>R681*INDEX(S$669:S$672,$D681)</f>
        <v/>
      </c>
      <c r="T681" s="44">
        <f>S681*INDEX(T$669:T$672,$D681)</f>
        <v/>
      </c>
      <c r="U681" s="44">
        <f>T681*INDEX(U$669:U$672,$D681)</f>
        <v/>
      </c>
      <c r="V681" s="44">
        <f>U681*INDEX(V$669:V$672,$D681)</f>
        <v/>
      </c>
      <c r="W681" s="44">
        <f>V681*INDEX(W$669:W$672,$D681)</f>
        <v/>
      </c>
      <c r="X681" s="44">
        <f>W681*INDEX(X$669:X$672,$D681)</f>
        <v/>
      </c>
      <c r="Y681" s="44">
        <f>X681*INDEX(Y$669:Y$672,$D681)</f>
        <v/>
      </c>
      <c r="Z681" s="44">
        <f>Y681*INDEX(Z$669:Z$672,$D681)</f>
        <v/>
      </c>
      <c r="AA681" s="44">
        <f>Z681*INDEX(AA$669:AA$672,$D681)</f>
        <v/>
      </c>
      <c r="AB681" s="44">
        <f>AA681*INDEX(AB$669:AB$672,$D681)</f>
        <v/>
      </c>
      <c r="AC681" s="44">
        <f>AB681*INDEX(AC$669:AC$672,$D681)</f>
        <v/>
      </c>
      <c r="AD681" s="44">
        <f>AC681*INDEX(AD$669:AD$672,$D681)</f>
        <v/>
      </c>
      <c r="AE681" s="57">
        <f>GROW(AD681,INDEX(AE$669:AE$672,$D681))</f>
        <v/>
      </c>
      <c r="AG681" s="11">
        <f>CodePrefix&amp;$A681&amp;IF($C681="","","."&amp;$C681&amp;"."&amp;$B681)&amp;INDEX(VarEnd,MATCH($A681,VarKey,0))&amp;AG$5</f>
        <v/>
      </c>
      <c r="AH681" s="43">
        <f>$E681</f>
        <v/>
      </c>
      <c r="AI681" s="44">
        <f>AH681*INDEX(AI$669:AI$672,$D681)</f>
        <v/>
      </c>
      <c r="AJ681" s="44">
        <f>AI681*INDEX(AJ$669:AJ$672,$D681)</f>
        <v/>
      </c>
      <c r="AK681" s="44">
        <f>AJ681*INDEX(AK$669:AK$672,$D681)</f>
        <v/>
      </c>
      <c r="AL681" s="44">
        <f>AK681*INDEX(AL$669:AL$672,$D681)</f>
        <v/>
      </c>
      <c r="AM681" s="44">
        <f>AL681*INDEX(AM$669:AM$672,$D681)</f>
        <v/>
      </c>
      <c r="AN681" s="44">
        <f>AM681*INDEX(AN$669:AN$672,$D681)</f>
        <v/>
      </c>
      <c r="AO681" s="44">
        <f>AN681*INDEX(AO$669:AO$672,$D681)</f>
        <v/>
      </c>
      <c r="AP681" s="44">
        <f>AO681*INDEX(AP$669:AP$672,$D681)</f>
        <v/>
      </c>
      <c r="AQ681" s="44">
        <f>AP681*INDEX(AQ$669:AQ$672,$D681)</f>
        <v/>
      </c>
      <c r="AR681" s="44">
        <f>AQ681*INDEX(AR$669:AR$672,$D681)</f>
        <v/>
      </c>
      <c r="AS681" s="44">
        <f>AR681*INDEX(AS$669:AS$672,$D681)</f>
        <v/>
      </c>
      <c r="AT681" s="44">
        <f>AS681*INDEX(AT$669:AT$672,$D681)</f>
        <v/>
      </c>
      <c r="AU681" s="44">
        <f>AT681*INDEX(AU$669:AU$672,$D681)</f>
        <v/>
      </c>
      <c r="AV681" s="44">
        <f>AU681*INDEX(AV$669:AV$672,$D681)</f>
        <v/>
      </c>
      <c r="AW681" s="44">
        <f>AV681*INDEX(AW$669:AW$672,$D681)</f>
        <v/>
      </c>
      <c r="AX681" s="44">
        <f>AW681*INDEX(AX$669:AX$672,$D681)</f>
        <v/>
      </c>
      <c r="AY681" s="44">
        <f>AX681*INDEX(AY$669:AY$672,$D681)</f>
        <v/>
      </c>
      <c r="AZ681" s="44">
        <f>AY681*INDEX(AZ$669:AZ$672,$D681)</f>
        <v/>
      </c>
      <c r="BA681" s="57">
        <f>GROW(AZ681,INDEX(BA$669:BA$672,$D681))</f>
        <v/>
      </c>
    </row>
    <row r="682" hidden="1" outlineLevel="1">
      <c r="A682" s="14" t="inlineStr">
        <is>
          <t>dem</t>
        </is>
      </c>
      <c r="B682" s="14" t="inlineStr">
        <is>
          <t>ecy</t>
        </is>
      </c>
      <c r="C682" s="14" t="inlineStr">
        <is>
          <t>irn</t>
        </is>
      </c>
      <c r="D682" s="45">
        <f>INDEX(Inputs_power!$D$36:$D$50,MATCH($C682,Inputs_power!$A$36:$A$50,0))</f>
        <v/>
      </c>
      <c r="E682" s="45">
        <f>INDEX(Inputs_power!$E$36:$E$50,MATCH($C682,Inputs_power!$A$36:$A$50,0))</f>
        <v/>
      </c>
      <c r="F682" s="39" t="n"/>
      <c r="G682" s="39" t="n"/>
      <c r="H682" s="14">
        <f>INDEX(VarLab,MATCH($A682,VarKey,0))&amp;INDEX(MemLab,MATCH($C682&amp;"|"&amp;$B682,MemKey,0))</f>
        <v/>
      </c>
      <c r="I682" s="14">
        <f>INDEX(VarUnit,MATCH($A682,VarKey,0))</f>
        <v/>
      </c>
      <c r="J682" s="14">
        <f>INDEX(VarSrc,MATCH($A682,VarKey,0))</f>
        <v/>
      </c>
      <c r="K682" s="11">
        <f>CodePrefix&amp;$A682&amp;IF($C682="","","."&amp;$C682&amp;"."&amp;$B682)&amp;INDEX(VarEnd,MATCH($A682,VarKey,0))&amp;K$5</f>
        <v/>
      </c>
      <c r="L682" s="43">
        <f>$E682</f>
        <v/>
      </c>
      <c r="M682" s="44">
        <f>L682*INDEX(M$669:M$672,$D682)</f>
        <v/>
      </c>
      <c r="N682" s="44">
        <f>M682*INDEX(N$669:N$672,$D682)</f>
        <v/>
      </c>
      <c r="O682" s="44">
        <f>N682*INDEX(O$669:O$672,$D682)</f>
        <v/>
      </c>
      <c r="P682" s="44">
        <f>O682*INDEX(P$669:P$672,$D682)</f>
        <v/>
      </c>
      <c r="Q682" s="44">
        <f>P682*INDEX(Q$669:Q$672,$D682)</f>
        <v/>
      </c>
      <c r="R682" s="44">
        <f>Q682*INDEX(R$669:R$672,$D682)</f>
        <v/>
      </c>
      <c r="S682" s="44">
        <f>R682*INDEX(S$669:S$672,$D682)</f>
        <v/>
      </c>
      <c r="T682" s="44">
        <f>S682*INDEX(T$669:T$672,$D682)</f>
        <v/>
      </c>
      <c r="U682" s="44">
        <f>T682*INDEX(U$669:U$672,$D682)</f>
        <v/>
      </c>
      <c r="V682" s="44">
        <f>U682*INDEX(V$669:V$672,$D682)</f>
        <v/>
      </c>
      <c r="W682" s="44">
        <f>V682*INDEX(W$669:W$672,$D682)</f>
        <v/>
      </c>
      <c r="X682" s="44">
        <f>W682*INDEX(X$669:X$672,$D682)</f>
        <v/>
      </c>
      <c r="Y682" s="44">
        <f>X682*INDEX(Y$669:Y$672,$D682)</f>
        <v/>
      </c>
      <c r="Z682" s="44">
        <f>Y682*INDEX(Z$669:Z$672,$D682)</f>
        <v/>
      </c>
      <c r="AA682" s="44">
        <f>Z682*INDEX(AA$669:AA$672,$D682)</f>
        <v/>
      </c>
      <c r="AB682" s="44">
        <f>AA682*INDEX(AB$669:AB$672,$D682)</f>
        <v/>
      </c>
      <c r="AC682" s="44">
        <f>AB682*INDEX(AC$669:AC$672,$D682)</f>
        <v/>
      </c>
      <c r="AD682" s="44">
        <f>AC682*INDEX(AD$669:AD$672,$D682)</f>
        <v/>
      </c>
      <c r="AE682" s="57">
        <f>GROW(AD682,INDEX(AE$669:AE$672,$D682))</f>
        <v/>
      </c>
      <c r="AG682" s="11">
        <f>CodePrefix&amp;$A682&amp;IF($C682="","","."&amp;$C682&amp;"."&amp;$B682)&amp;INDEX(VarEnd,MATCH($A682,VarKey,0))&amp;AG$5</f>
        <v/>
      </c>
      <c r="AH682" s="43">
        <f>$E682</f>
        <v/>
      </c>
      <c r="AI682" s="44">
        <f>AH682*INDEX(AI$669:AI$672,$D682)</f>
        <v/>
      </c>
      <c r="AJ682" s="44">
        <f>AI682*INDEX(AJ$669:AJ$672,$D682)</f>
        <v/>
      </c>
      <c r="AK682" s="44">
        <f>AJ682*INDEX(AK$669:AK$672,$D682)</f>
        <v/>
      </c>
      <c r="AL682" s="44">
        <f>AK682*INDEX(AL$669:AL$672,$D682)</f>
        <v/>
      </c>
      <c r="AM682" s="44">
        <f>AL682*INDEX(AM$669:AM$672,$D682)</f>
        <v/>
      </c>
      <c r="AN682" s="44">
        <f>AM682*INDEX(AN$669:AN$672,$D682)</f>
        <v/>
      </c>
      <c r="AO682" s="44">
        <f>AN682*INDEX(AO$669:AO$672,$D682)</f>
        <v/>
      </c>
      <c r="AP682" s="44">
        <f>AO682*INDEX(AP$669:AP$672,$D682)</f>
        <v/>
      </c>
      <c r="AQ682" s="44">
        <f>AP682*INDEX(AQ$669:AQ$672,$D682)</f>
        <v/>
      </c>
      <c r="AR682" s="44">
        <f>AQ682*INDEX(AR$669:AR$672,$D682)</f>
        <v/>
      </c>
      <c r="AS682" s="44">
        <f>AR682*INDEX(AS$669:AS$672,$D682)</f>
        <v/>
      </c>
      <c r="AT682" s="44">
        <f>AS682*INDEX(AT$669:AT$672,$D682)</f>
        <v/>
      </c>
      <c r="AU682" s="44">
        <f>AT682*INDEX(AU$669:AU$672,$D682)</f>
        <v/>
      </c>
      <c r="AV682" s="44">
        <f>AU682*INDEX(AV$669:AV$672,$D682)</f>
        <v/>
      </c>
      <c r="AW682" s="44">
        <f>AV682*INDEX(AW$669:AW$672,$D682)</f>
        <v/>
      </c>
      <c r="AX682" s="44">
        <f>AW682*INDEX(AX$669:AX$672,$D682)</f>
        <v/>
      </c>
      <c r="AY682" s="44">
        <f>AX682*INDEX(AY$669:AY$672,$D682)</f>
        <v/>
      </c>
      <c r="AZ682" s="44">
        <f>AY682*INDEX(AZ$669:AZ$672,$D682)</f>
        <v/>
      </c>
      <c r="BA682" s="57">
        <f>GROW(AZ682,INDEX(BA$669:BA$672,$D682))</f>
        <v/>
      </c>
    </row>
    <row r="683" hidden="1" outlineLevel="1">
      <c r="A683" s="14" t="inlineStr">
        <is>
          <t>dem</t>
        </is>
      </c>
      <c r="B683" s="14" t="inlineStr">
        <is>
          <t>ecy</t>
        </is>
      </c>
      <c r="C683" s="14" t="inlineStr">
        <is>
          <t>nfm</t>
        </is>
      </c>
      <c r="D683" s="45">
        <f>INDEX(Inputs_power!$D$36:$D$50,MATCH($C683,Inputs_power!$A$36:$A$50,0))</f>
        <v/>
      </c>
      <c r="E683" s="45">
        <f>INDEX(Inputs_power!$E$36:$E$50,MATCH($C683,Inputs_power!$A$36:$A$50,0))</f>
        <v/>
      </c>
      <c r="F683" s="39" t="n"/>
      <c r="G683" s="39" t="n"/>
      <c r="H683" s="14">
        <f>INDEX(VarLab,MATCH($A683,VarKey,0))&amp;INDEX(MemLab,MATCH($C683&amp;"|"&amp;$B683,MemKey,0))</f>
        <v/>
      </c>
      <c r="I683" s="14">
        <f>INDEX(VarUnit,MATCH($A683,VarKey,0))</f>
        <v/>
      </c>
      <c r="J683" s="14">
        <f>INDEX(VarSrc,MATCH($A683,VarKey,0))</f>
        <v/>
      </c>
      <c r="K683" s="11">
        <f>CodePrefix&amp;$A683&amp;IF($C683="","","."&amp;$C683&amp;"."&amp;$B683)&amp;INDEX(VarEnd,MATCH($A683,VarKey,0))&amp;K$5</f>
        <v/>
      </c>
      <c r="L683" s="43">
        <f>$E683</f>
        <v/>
      </c>
      <c r="M683" s="44">
        <f>L683*INDEX(M$669:M$672,$D683)</f>
        <v/>
      </c>
      <c r="N683" s="44">
        <f>M683*INDEX(N$669:N$672,$D683)</f>
        <v/>
      </c>
      <c r="O683" s="44">
        <f>N683*INDEX(O$669:O$672,$D683)</f>
        <v/>
      </c>
      <c r="P683" s="44">
        <f>O683*INDEX(P$669:P$672,$D683)</f>
        <v/>
      </c>
      <c r="Q683" s="44">
        <f>P683*INDEX(Q$669:Q$672,$D683)</f>
        <v/>
      </c>
      <c r="R683" s="44">
        <f>Q683*INDEX(R$669:R$672,$D683)</f>
        <v/>
      </c>
      <c r="S683" s="44">
        <f>R683*INDEX(S$669:S$672,$D683)</f>
        <v/>
      </c>
      <c r="T683" s="44">
        <f>S683*INDEX(T$669:T$672,$D683)</f>
        <v/>
      </c>
      <c r="U683" s="44">
        <f>T683*INDEX(U$669:U$672,$D683)</f>
        <v/>
      </c>
      <c r="V683" s="44">
        <f>U683*INDEX(V$669:V$672,$D683)</f>
        <v/>
      </c>
      <c r="W683" s="44">
        <f>V683*INDEX(W$669:W$672,$D683)</f>
        <v/>
      </c>
      <c r="X683" s="44">
        <f>W683*INDEX(X$669:X$672,$D683)</f>
        <v/>
      </c>
      <c r="Y683" s="44">
        <f>X683*INDEX(Y$669:Y$672,$D683)</f>
        <v/>
      </c>
      <c r="Z683" s="44">
        <f>Y683*INDEX(Z$669:Z$672,$D683)</f>
        <v/>
      </c>
      <c r="AA683" s="44">
        <f>Z683*INDEX(AA$669:AA$672,$D683)</f>
        <v/>
      </c>
      <c r="AB683" s="44">
        <f>AA683*INDEX(AB$669:AB$672,$D683)</f>
        <v/>
      </c>
      <c r="AC683" s="44">
        <f>AB683*INDEX(AC$669:AC$672,$D683)</f>
        <v/>
      </c>
      <c r="AD683" s="44">
        <f>AC683*INDEX(AD$669:AD$672,$D683)</f>
        <v/>
      </c>
      <c r="AE683" s="57">
        <f>GROW(AD683,INDEX(AE$669:AE$672,$D683))</f>
        <v/>
      </c>
      <c r="AG683" s="11">
        <f>CodePrefix&amp;$A683&amp;IF($C683="","","."&amp;$C683&amp;"."&amp;$B683)&amp;INDEX(VarEnd,MATCH($A683,VarKey,0))&amp;AG$5</f>
        <v/>
      </c>
      <c r="AH683" s="43">
        <f>$E683</f>
        <v/>
      </c>
      <c r="AI683" s="44">
        <f>AH683*INDEX(AI$669:AI$672,$D683)</f>
        <v/>
      </c>
      <c r="AJ683" s="44">
        <f>AI683*INDEX(AJ$669:AJ$672,$D683)</f>
        <v/>
      </c>
      <c r="AK683" s="44">
        <f>AJ683*INDEX(AK$669:AK$672,$D683)</f>
        <v/>
      </c>
      <c r="AL683" s="44">
        <f>AK683*INDEX(AL$669:AL$672,$D683)</f>
        <v/>
      </c>
      <c r="AM683" s="44">
        <f>AL683*INDEX(AM$669:AM$672,$D683)</f>
        <v/>
      </c>
      <c r="AN683" s="44">
        <f>AM683*INDEX(AN$669:AN$672,$D683)</f>
        <v/>
      </c>
      <c r="AO683" s="44">
        <f>AN683*INDEX(AO$669:AO$672,$D683)</f>
        <v/>
      </c>
      <c r="AP683" s="44">
        <f>AO683*INDEX(AP$669:AP$672,$D683)</f>
        <v/>
      </c>
      <c r="AQ683" s="44">
        <f>AP683*INDEX(AQ$669:AQ$672,$D683)</f>
        <v/>
      </c>
      <c r="AR683" s="44">
        <f>AQ683*INDEX(AR$669:AR$672,$D683)</f>
        <v/>
      </c>
      <c r="AS683" s="44">
        <f>AR683*INDEX(AS$669:AS$672,$D683)</f>
        <v/>
      </c>
      <c r="AT683" s="44">
        <f>AS683*INDEX(AT$669:AT$672,$D683)</f>
        <v/>
      </c>
      <c r="AU683" s="44">
        <f>AT683*INDEX(AU$669:AU$672,$D683)</f>
        <v/>
      </c>
      <c r="AV683" s="44">
        <f>AU683*INDEX(AV$669:AV$672,$D683)</f>
        <v/>
      </c>
      <c r="AW683" s="44">
        <f>AV683*INDEX(AW$669:AW$672,$D683)</f>
        <v/>
      </c>
      <c r="AX683" s="44">
        <f>AW683*INDEX(AX$669:AX$672,$D683)</f>
        <v/>
      </c>
      <c r="AY683" s="44">
        <f>AX683*INDEX(AY$669:AY$672,$D683)</f>
        <v/>
      </c>
      <c r="AZ683" s="44">
        <f>AY683*INDEX(AZ$669:AZ$672,$D683)</f>
        <v/>
      </c>
      <c r="BA683" s="57">
        <f>GROW(AZ683,INDEX(BA$669:BA$672,$D683))</f>
        <v/>
      </c>
    </row>
    <row r="684" hidden="1" outlineLevel="1">
      <c r="A684" s="14" t="inlineStr">
        <is>
          <t>dem</t>
        </is>
      </c>
      <c r="B684" s="14" t="inlineStr">
        <is>
          <t>ecy</t>
        </is>
      </c>
      <c r="C684" s="14" t="inlineStr">
        <is>
          <t>mac</t>
        </is>
      </c>
      <c r="D684" s="45">
        <f>INDEX(Inputs_power!$D$36:$D$50,MATCH($C684,Inputs_power!$A$36:$A$50,0))</f>
        <v/>
      </c>
      <c r="E684" s="45">
        <f>INDEX(Inputs_power!$E$36:$E$50,MATCH($C684,Inputs_power!$A$36:$A$50,0))</f>
        <v/>
      </c>
      <c r="F684" s="39" t="n"/>
      <c r="G684" s="39" t="n"/>
      <c r="H684" s="14">
        <f>INDEX(VarLab,MATCH($A684,VarKey,0))&amp;INDEX(MemLab,MATCH($C684&amp;"|"&amp;$B684,MemKey,0))</f>
        <v/>
      </c>
      <c r="I684" s="14">
        <f>INDEX(VarUnit,MATCH($A684,VarKey,0))</f>
        <v/>
      </c>
      <c r="J684" s="14">
        <f>INDEX(VarSrc,MATCH($A684,VarKey,0))</f>
        <v/>
      </c>
      <c r="K684" s="11">
        <f>CodePrefix&amp;$A684&amp;IF($C684="","","."&amp;$C684&amp;"."&amp;$B684)&amp;INDEX(VarEnd,MATCH($A684,VarKey,0))&amp;K$5</f>
        <v/>
      </c>
      <c r="L684" s="43">
        <f>$E684</f>
        <v/>
      </c>
      <c r="M684" s="44">
        <f>L684*INDEX(M$669:M$672,$D684)</f>
        <v/>
      </c>
      <c r="N684" s="44">
        <f>M684*INDEX(N$669:N$672,$D684)</f>
        <v/>
      </c>
      <c r="O684" s="44">
        <f>N684*INDEX(O$669:O$672,$D684)</f>
        <v/>
      </c>
      <c r="P684" s="44">
        <f>O684*INDEX(P$669:P$672,$D684)</f>
        <v/>
      </c>
      <c r="Q684" s="44">
        <f>P684*INDEX(Q$669:Q$672,$D684)</f>
        <v/>
      </c>
      <c r="R684" s="44">
        <f>Q684*INDEX(R$669:R$672,$D684)</f>
        <v/>
      </c>
      <c r="S684" s="44">
        <f>R684*INDEX(S$669:S$672,$D684)</f>
        <v/>
      </c>
      <c r="T684" s="44">
        <f>S684*INDEX(T$669:T$672,$D684)</f>
        <v/>
      </c>
      <c r="U684" s="44">
        <f>T684*INDEX(U$669:U$672,$D684)</f>
        <v/>
      </c>
      <c r="V684" s="44">
        <f>U684*INDEX(V$669:V$672,$D684)</f>
        <v/>
      </c>
      <c r="W684" s="44">
        <f>V684*INDEX(W$669:W$672,$D684)</f>
        <v/>
      </c>
      <c r="X684" s="44">
        <f>W684*INDEX(X$669:X$672,$D684)</f>
        <v/>
      </c>
      <c r="Y684" s="44">
        <f>X684*INDEX(Y$669:Y$672,$D684)</f>
        <v/>
      </c>
      <c r="Z684" s="44">
        <f>Y684*INDEX(Z$669:Z$672,$D684)</f>
        <v/>
      </c>
      <c r="AA684" s="44">
        <f>Z684*INDEX(AA$669:AA$672,$D684)</f>
        <v/>
      </c>
      <c r="AB684" s="44">
        <f>AA684*INDEX(AB$669:AB$672,$D684)</f>
        <v/>
      </c>
      <c r="AC684" s="44">
        <f>AB684*INDEX(AC$669:AC$672,$D684)</f>
        <v/>
      </c>
      <c r="AD684" s="44">
        <f>AC684*INDEX(AD$669:AD$672,$D684)</f>
        <v/>
      </c>
      <c r="AE684" s="57">
        <f>GROW(AD684,INDEX(AE$669:AE$672,$D684))</f>
        <v/>
      </c>
      <c r="AG684" s="11">
        <f>CodePrefix&amp;$A684&amp;IF($C684="","","."&amp;$C684&amp;"."&amp;$B684)&amp;INDEX(VarEnd,MATCH($A684,VarKey,0))&amp;AG$5</f>
        <v/>
      </c>
      <c r="AH684" s="43">
        <f>$E684</f>
        <v/>
      </c>
      <c r="AI684" s="44">
        <f>AH684*INDEX(AI$669:AI$672,$D684)</f>
        <v/>
      </c>
      <c r="AJ684" s="44">
        <f>AI684*INDEX(AJ$669:AJ$672,$D684)</f>
        <v/>
      </c>
      <c r="AK684" s="44">
        <f>AJ684*INDEX(AK$669:AK$672,$D684)</f>
        <v/>
      </c>
      <c r="AL684" s="44">
        <f>AK684*INDEX(AL$669:AL$672,$D684)</f>
        <v/>
      </c>
      <c r="AM684" s="44">
        <f>AL684*INDEX(AM$669:AM$672,$D684)</f>
        <v/>
      </c>
      <c r="AN684" s="44">
        <f>AM684*INDEX(AN$669:AN$672,$D684)</f>
        <v/>
      </c>
      <c r="AO684" s="44">
        <f>AN684*INDEX(AO$669:AO$672,$D684)</f>
        <v/>
      </c>
      <c r="AP684" s="44">
        <f>AO684*INDEX(AP$669:AP$672,$D684)</f>
        <v/>
      </c>
      <c r="AQ684" s="44">
        <f>AP684*INDEX(AQ$669:AQ$672,$D684)</f>
        <v/>
      </c>
      <c r="AR684" s="44">
        <f>AQ684*INDEX(AR$669:AR$672,$D684)</f>
        <v/>
      </c>
      <c r="AS684" s="44">
        <f>AR684*INDEX(AS$669:AS$672,$D684)</f>
        <v/>
      </c>
      <c r="AT684" s="44">
        <f>AS684*INDEX(AT$669:AT$672,$D684)</f>
        <v/>
      </c>
      <c r="AU684" s="44">
        <f>AT684*INDEX(AU$669:AU$672,$D684)</f>
        <v/>
      </c>
      <c r="AV684" s="44">
        <f>AU684*INDEX(AV$669:AV$672,$D684)</f>
        <v/>
      </c>
      <c r="AW684" s="44">
        <f>AV684*INDEX(AW$669:AW$672,$D684)</f>
        <v/>
      </c>
      <c r="AX684" s="44">
        <f>AW684*INDEX(AX$669:AX$672,$D684)</f>
        <v/>
      </c>
      <c r="AY684" s="44">
        <f>AX684*INDEX(AY$669:AY$672,$D684)</f>
        <v/>
      </c>
      <c r="AZ684" s="44">
        <f>AY684*INDEX(AZ$669:AZ$672,$D684)</f>
        <v/>
      </c>
      <c r="BA684" s="57">
        <f>GROW(AZ684,INDEX(BA$669:BA$672,$D684))</f>
        <v/>
      </c>
    </row>
    <row r="685" hidden="1" outlineLevel="1">
      <c r="A685" s="14" t="inlineStr">
        <is>
          <t>dem</t>
        </is>
      </c>
      <c r="B685" s="14" t="inlineStr">
        <is>
          <t>ecy</t>
        </is>
      </c>
      <c r="C685" s="14" t="inlineStr">
        <is>
          <t>cem</t>
        </is>
      </c>
      <c r="D685" s="45">
        <f>INDEX(Inputs_power!$D$36:$D$50,MATCH($C685,Inputs_power!$A$36:$A$50,0))</f>
        <v/>
      </c>
      <c r="E685" s="45">
        <f>INDEX(Inputs_power!$E$36:$E$50,MATCH($C685,Inputs_power!$A$36:$A$50,0))</f>
        <v/>
      </c>
      <c r="F685" s="39" t="n"/>
      <c r="G685" s="39" t="n"/>
      <c r="H685" s="14">
        <f>INDEX(VarLab,MATCH($A685,VarKey,0))&amp;INDEX(MemLab,MATCH($C685&amp;"|"&amp;$B685,MemKey,0))</f>
        <v/>
      </c>
      <c r="I685" s="14">
        <f>INDEX(VarUnit,MATCH($A685,VarKey,0))</f>
        <v/>
      </c>
      <c r="J685" s="14">
        <f>INDEX(VarSrc,MATCH($A685,VarKey,0))</f>
        <v/>
      </c>
      <c r="K685" s="11">
        <f>CodePrefix&amp;$A685&amp;IF($C685="","","."&amp;$C685&amp;"."&amp;$B685)&amp;INDEX(VarEnd,MATCH($A685,VarKey,0))&amp;K$5</f>
        <v/>
      </c>
      <c r="L685" s="43">
        <f>$E685</f>
        <v/>
      </c>
      <c r="M685" s="44">
        <f>L685*INDEX(M$669:M$672,$D685)</f>
        <v/>
      </c>
      <c r="N685" s="44">
        <f>M685*INDEX(N$669:N$672,$D685)</f>
        <v/>
      </c>
      <c r="O685" s="44">
        <f>N685*INDEX(O$669:O$672,$D685)</f>
        <v/>
      </c>
      <c r="P685" s="44">
        <f>O685*INDEX(P$669:P$672,$D685)</f>
        <v/>
      </c>
      <c r="Q685" s="44">
        <f>P685*INDEX(Q$669:Q$672,$D685)</f>
        <v/>
      </c>
      <c r="R685" s="44">
        <f>Q685*INDEX(R$669:R$672,$D685)</f>
        <v/>
      </c>
      <c r="S685" s="44">
        <f>R685*INDEX(S$669:S$672,$D685)</f>
        <v/>
      </c>
      <c r="T685" s="44">
        <f>S685*INDEX(T$669:T$672,$D685)</f>
        <v/>
      </c>
      <c r="U685" s="44">
        <f>T685*INDEX(U$669:U$672,$D685)</f>
        <v/>
      </c>
      <c r="V685" s="44">
        <f>U685*INDEX(V$669:V$672,$D685)</f>
        <v/>
      </c>
      <c r="W685" s="44">
        <f>V685*INDEX(W$669:W$672,$D685)</f>
        <v/>
      </c>
      <c r="X685" s="44">
        <f>W685*INDEX(X$669:X$672,$D685)</f>
        <v/>
      </c>
      <c r="Y685" s="44">
        <f>X685*INDEX(Y$669:Y$672,$D685)</f>
        <v/>
      </c>
      <c r="Z685" s="44">
        <f>Y685*INDEX(Z$669:Z$672,$D685)</f>
        <v/>
      </c>
      <c r="AA685" s="44">
        <f>Z685*INDEX(AA$669:AA$672,$D685)</f>
        <v/>
      </c>
      <c r="AB685" s="44">
        <f>AA685*INDEX(AB$669:AB$672,$D685)</f>
        <v/>
      </c>
      <c r="AC685" s="44">
        <f>AB685*INDEX(AC$669:AC$672,$D685)</f>
        <v/>
      </c>
      <c r="AD685" s="44">
        <f>AC685*INDEX(AD$669:AD$672,$D685)</f>
        <v/>
      </c>
      <c r="AE685" s="57">
        <f>GROW(AD685,INDEX(AE$669:AE$672,$D685))</f>
        <v/>
      </c>
      <c r="AG685" s="11">
        <f>CodePrefix&amp;$A685&amp;IF($C685="","","."&amp;$C685&amp;"."&amp;$B685)&amp;INDEX(VarEnd,MATCH($A685,VarKey,0))&amp;AG$5</f>
        <v/>
      </c>
      <c r="AH685" s="43">
        <f>$E685</f>
        <v/>
      </c>
      <c r="AI685" s="44">
        <f>AH685*INDEX(AI$669:AI$672,$D685)</f>
        <v/>
      </c>
      <c r="AJ685" s="44">
        <f>AI685*INDEX(AJ$669:AJ$672,$D685)</f>
        <v/>
      </c>
      <c r="AK685" s="44">
        <f>AJ685*INDEX(AK$669:AK$672,$D685)</f>
        <v/>
      </c>
      <c r="AL685" s="44">
        <f>AK685*INDEX(AL$669:AL$672,$D685)</f>
        <v/>
      </c>
      <c r="AM685" s="44">
        <f>AL685*INDEX(AM$669:AM$672,$D685)</f>
        <v/>
      </c>
      <c r="AN685" s="44">
        <f>AM685*INDEX(AN$669:AN$672,$D685)</f>
        <v/>
      </c>
      <c r="AO685" s="44">
        <f>AN685*INDEX(AO$669:AO$672,$D685)</f>
        <v/>
      </c>
      <c r="AP685" s="44">
        <f>AO685*INDEX(AP$669:AP$672,$D685)</f>
        <v/>
      </c>
      <c r="AQ685" s="44">
        <f>AP685*INDEX(AQ$669:AQ$672,$D685)</f>
        <v/>
      </c>
      <c r="AR685" s="44">
        <f>AQ685*INDEX(AR$669:AR$672,$D685)</f>
        <v/>
      </c>
      <c r="AS685" s="44">
        <f>AR685*INDEX(AS$669:AS$672,$D685)</f>
        <v/>
      </c>
      <c r="AT685" s="44">
        <f>AS685*INDEX(AT$669:AT$672,$D685)</f>
        <v/>
      </c>
      <c r="AU685" s="44">
        <f>AT685*INDEX(AU$669:AU$672,$D685)</f>
        <v/>
      </c>
      <c r="AV685" s="44">
        <f>AU685*INDEX(AV$669:AV$672,$D685)</f>
        <v/>
      </c>
      <c r="AW685" s="44">
        <f>AV685*INDEX(AW$669:AW$672,$D685)</f>
        <v/>
      </c>
      <c r="AX685" s="44">
        <f>AW685*INDEX(AX$669:AX$672,$D685)</f>
        <v/>
      </c>
      <c r="AY685" s="44">
        <f>AX685*INDEX(AY$669:AY$672,$D685)</f>
        <v/>
      </c>
      <c r="AZ685" s="44">
        <f>AY685*INDEX(AZ$669:AZ$672,$D685)</f>
        <v/>
      </c>
      <c r="BA685" s="57">
        <f>GROW(AZ685,INDEX(BA$669:BA$672,$D685))</f>
        <v/>
      </c>
    </row>
    <row r="686" hidden="1" outlineLevel="1">
      <c r="A686" s="14" t="inlineStr">
        <is>
          <t>dem</t>
        </is>
      </c>
      <c r="B686" s="14" t="inlineStr">
        <is>
          <t>ecy</t>
        </is>
      </c>
      <c r="C686" s="14" t="inlineStr">
        <is>
          <t>omn</t>
        </is>
      </c>
      <c r="D686" s="45">
        <f>INDEX(Inputs_power!$D$36:$D$50,MATCH($C686,Inputs_power!$A$36:$A$50,0))</f>
        <v/>
      </c>
      <c r="E686" s="45">
        <f>INDEX(Inputs_power!$E$36:$E$50,MATCH($C686,Inputs_power!$A$36:$A$50,0))</f>
        <v/>
      </c>
      <c r="F686" s="39" t="n"/>
      <c r="G686" s="39" t="n"/>
      <c r="H686" s="14">
        <f>INDEX(VarLab,MATCH($A686,VarKey,0))&amp;INDEX(MemLab,MATCH($C686&amp;"|"&amp;$B686,MemKey,0))</f>
        <v/>
      </c>
      <c r="I686" s="14">
        <f>INDEX(VarUnit,MATCH($A686,VarKey,0))</f>
        <v/>
      </c>
      <c r="J686" s="14">
        <f>INDEX(VarSrc,MATCH($A686,VarKey,0))</f>
        <v/>
      </c>
      <c r="K686" s="11">
        <f>CodePrefix&amp;$A686&amp;IF($C686="","","."&amp;$C686&amp;"."&amp;$B686)&amp;INDEX(VarEnd,MATCH($A686,VarKey,0))&amp;K$5</f>
        <v/>
      </c>
      <c r="L686" s="43">
        <f>$E686</f>
        <v/>
      </c>
      <c r="M686" s="44">
        <f>L686*INDEX(M$669:M$672,$D686)</f>
        <v/>
      </c>
      <c r="N686" s="44">
        <f>M686*INDEX(N$669:N$672,$D686)</f>
        <v/>
      </c>
      <c r="O686" s="44">
        <f>N686*INDEX(O$669:O$672,$D686)</f>
        <v/>
      </c>
      <c r="P686" s="44">
        <f>O686*INDEX(P$669:P$672,$D686)</f>
        <v/>
      </c>
      <c r="Q686" s="44">
        <f>P686*INDEX(Q$669:Q$672,$D686)</f>
        <v/>
      </c>
      <c r="R686" s="44">
        <f>Q686*INDEX(R$669:R$672,$D686)</f>
        <v/>
      </c>
      <c r="S686" s="44">
        <f>R686*INDEX(S$669:S$672,$D686)</f>
        <v/>
      </c>
      <c r="T686" s="44">
        <f>S686*INDEX(T$669:T$672,$D686)</f>
        <v/>
      </c>
      <c r="U686" s="44">
        <f>T686*INDEX(U$669:U$672,$D686)</f>
        <v/>
      </c>
      <c r="V686" s="44">
        <f>U686*INDEX(V$669:V$672,$D686)</f>
        <v/>
      </c>
      <c r="W686" s="44">
        <f>V686*INDEX(W$669:W$672,$D686)</f>
        <v/>
      </c>
      <c r="X686" s="44">
        <f>W686*INDEX(X$669:X$672,$D686)</f>
        <v/>
      </c>
      <c r="Y686" s="44">
        <f>X686*INDEX(Y$669:Y$672,$D686)</f>
        <v/>
      </c>
      <c r="Z686" s="44">
        <f>Y686*INDEX(Z$669:Z$672,$D686)</f>
        <v/>
      </c>
      <c r="AA686" s="44">
        <f>Z686*INDEX(AA$669:AA$672,$D686)</f>
        <v/>
      </c>
      <c r="AB686" s="44">
        <f>AA686*INDEX(AB$669:AB$672,$D686)</f>
        <v/>
      </c>
      <c r="AC686" s="44">
        <f>AB686*INDEX(AC$669:AC$672,$D686)</f>
        <v/>
      </c>
      <c r="AD686" s="44">
        <f>AC686*INDEX(AD$669:AD$672,$D686)</f>
        <v/>
      </c>
      <c r="AE686" s="57">
        <f>GROW(AD686,INDEX(AE$669:AE$672,$D686))</f>
        <v/>
      </c>
      <c r="AG686" s="11">
        <f>CodePrefix&amp;$A686&amp;IF($C686="","","."&amp;$C686&amp;"."&amp;$B686)&amp;INDEX(VarEnd,MATCH($A686,VarKey,0))&amp;AG$5</f>
        <v/>
      </c>
      <c r="AH686" s="43">
        <f>$E686</f>
        <v/>
      </c>
      <c r="AI686" s="44">
        <f>AH686*INDEX(AI$669:AI$672,$D686)</f>
        <v/>
      </c>
      <c r="AJ686" s="44">
        <f>AI686*INDEX(AJ$669:AJ$672,$D686)</f>
        <v/>
      </c>
      <c r="AK686" s="44">
        <f>AJ686*INDEX(AK$669:AK$672,$D686)</f>
        <v/>
      </c>
      <c r="AL686" s="44">
        <f>AK686*INDEX(AL$669:AL$672,$D686)</f>
        <v/>
      </c>
      <c r="AM686" s="44">
        <f>AL686*INDEX(AM$669:AM$672,$D686)</f>
        <v/>
      </c>
      <c r="AN686" s="44">
        <f>AM686*INDEX(AN$669:AN$672,$D686)</f>
        <v/>
      </c>
      <c r="AO686" s="44">
        <f>AN686*INDEX(AO$669:AO$672,$D686)</f>
        <v/>
      </c>
      <c r="AP686" s="44">
        <f>AO686*INDEX(AP$669:AP$672,$D686)</f>
        <v/>
      </c>
      <c r="AQ686" s="44">
        <f>AP686*INDEX(AQ$669:AQ$672,$D686)</f>
        <v/>
      </c>
      <c r="AR686" s="44">
        <f>AQ686*INDEX(AR$669:AR$672,$D686)</f>
        <v/>
      </c>
      <c r="AS686" s="44">
        <f>AR686*INDEX(AS$669:AS$672,$D686)</f>
        <v/>
      </c>
      <c r="AT686" s="44">
        <f>AS686*INDEX(AT$669:AT$672,$D686)</f>
        <v/>
      </c>
      <c r="AU686" s="44">
        <f>AT686*INDEX(AU$669:AU$672,$D686)</f>
        <v/>
      </c>
      <c r="AV686" s="44">
        <f>AU686*INDEX(AV$669:AV$672,$D686)</f>
        <v/>
      </c>
      <c r="AW686" s="44">
        <f>AV686*INDEX(AW$669:AW$672,$D686)</f>
        <v/>
      </c>
      <c r="AX686" s="44">
        <f>AW686*INDEX(AX$669:AX$672,$D686)</f>
        <v/>
      </c>
      <c r="AY686" s="44">
        <f>AX686*INDEX(AY$669:AY$672,$D686)</f>
        <v/>
      </c>
      <c r="AZ686" s="44">
        <f>AY686*INDEX(AZ$669:AZ$672,$D686)</f>
        <v/>
      </c>
      <c r="BA686" s="57">
        <f>GROW(AZ686,INDEX(BA$669:BA$672,$D686))</f>
        <v/>
      </c>
    </row>
    <row r="687" hidden="1" outlineLevel="1">
      <c r="A687" s="14" t="inlineStr">
        <is>
          <t>dem</t>
        </is>
      </c>
      <c r="B687" s="14" t="inlineStr">
        <is>
          <t>ecy</t>
        </is>
      </c>
      <c r="C687" s="14" t="inlineStr">
        <is>
          <t>cst</t>
        </is>
      </c>
      <c r="D687" s="45">
        <f>INDEX(Inputs_power!$D$36:$D$50,MATCH($C687,Inputs_power!$A$36:$A$50,0))</f>
        <v/>
      </c>
      <c r="E687" s="45">
        <f>INDEX(Inputs_power!$E$36:$E$50,MATCH($C687,Inputs_power!$A$36:$A$50,0))</f>
        <v/>
      </c>
      <c r="F687" s="39" t="n"/>
      <c r="G687" s="39" t="n"/>
      <c r="H687" s="14">
        <f>INDEX(VarLab,MATCH($A687,VarKey,0))&amp;INDEX(MemLab,MATCH($C687&amp;"|"&amp;$B687,MemKey,0))</f>
        <v/>
      </c>
      <c r="I687" s="14">
        <f>INDEX(VarUnit,MATCH($A687,VarKey,0))</f>
        <v/>
      </c>
      <c r="J687" s="14">
        <f>INDEX(VarSrc,MATCH($A687,VarKey,0))</f>
        <v/>
      </c>
      <c r="K687" s="11">
        <f>CodePrefix&amp;$A687&amp;IF($C687="","","."&amp;$C687&amp;"."&amp;$B687)&amp;INDEX(VarEnd,MATCH($A687,VarKey,0))&amp;K$5</f>
        <v/>
      </c>
      <c r="L687" s="43">
        <f>$E687</f>
        <v/>
      </c>
      <c r="M687" s="44">
        <f>L687*INDEX(M$669:M$672,$D687)</f>
        <v/>
      </c>
      <c r="N687" s="44">
        <f>M687*INDEX(N$669:N$672,$D687)</f>
        <v/>
      </c>
      <c r="O687" s="44">
        <f>N687*INDEX(O$669:O$672,$D687)</f>
        <v/>
      </c>
      <c r="P687" s="44">
        <f>O687*INDEX(P$669:P$672,$D687)</f>
        <v/>
      </c>
      <c r="Q687" s="44">
        <f>P687*INDEX(Q$669:Q$672,$D687)</f>
        <v/>
      </c>
      <c r="R687" s="44">
        <f>Q687*INDEX(R$669:R$672,$D687)</f>
        <v/>
      </c>
      <c r="S687" s="44">
        <f>R687*INDEX(S$669:S$672,$D687)</f>
        <v/>
      </c>
      <c r="T687" s="44">
        <f>S687*INDEX(T$669:T$672,$D687)</f>
        <v/>
      </c>
      <c r="U687" s="44">
        <f>T687*INDEX(U$669:U$672,$D687)</f>
        <v/>
      </c>
      <c r="V687" s="44">
        <f>U687*INDEX(V$669:V$672,$D687)</f>
        <v/>
      </c>
      <c r="W687" s="44">
        <f>V687*INDEX(W$669:W$672,$D687)</f>
        <v/>
      </c>
      <c r="X687" s="44">
        <f>W687*INDEX(X$669:X$672,$D687)</f>
        <v/>
      </c>
      <c r="Y687" s="44">
        <f>X687*INDEX(Y$669:Y$672,$D687)</f>
        <v/>
      </c>
      <c r="Z687" s="44">
        <f>Y687*INDEX(Z$669:Z$672,$D687)</f>
        <v/>
      </c>
      <c r="AA687" s="44">
        <f>Z687*INDEX(AA$669:AA$672,$D687)</f>
        <v/>
      </c>
      <c r="AB687" s="44">
        <f>AA687*INDEX(AB$669:AB$672,$D687)</f>
        <v/>
      </c>
      <c r="AC687" s="44">
        <f>AB687*INDEX(AC$669:AC$672,$D687)</f>
        <v/>
      </c>
      <c r="AD687" s="44">
        <f>AC687*INDEX(AD$669:AD$672,$D687)</f>
        <v/>
      </c>
      <c r="AE687" s="57">
        <f>GROW(AD687,INDEX(AE$669:AE$672,$D687))</f>
        <v/>
      </c>
      <c r="AG687" s="11">
        <f>CodePrefix&amp;$A687&amp;IF($C687="","","."&amp;$C687&amp;"."&amp;$B687)&amp;INDEX(VarEnd,MATCH($A687,VarKey,0))&amp;AG$5</f>
        <v/>
      </c>
      <c r="AH687" s="43">
        <f>$E687</f>
        <v/>
      </c>
      <c r="AI687" s="44">
        <f>AH687*INDEX(AI$669:AI$672,$D687)</f>
        <v/>
      </c>
      <c r="AJ687" s="44">
        <f>AI687*INDEX(AJ$669:AJ$672,$D687)</f>
        <v/>
      </c>
      <c r="AK687" s="44">
        <f>AJ687*INDEX(AK$669:AK$672,$D687)</f>
        <v/>
      </c>
      <c r="AL687" s="44">
        <f>AK687*INDEX(AL$669:AL$672,$D687)</f>
        <v/>
      </c>
      <c r="AM687" s="44">
        <f>AL687*INDEX(AM$669:AM$672,$D687)</f>
        <v/>
      </c>
      <c r="AN687" s="44">
        <f>AM687*INDEX(AN$669:AN$672,$D687)</f>
        <v/>
      </c>
      <c r="AO687" s="44">
        <f>AN687*INDEX(AO$669:AO$672,$D687)</f>
        <v/>
      </c>
      <c r="AP687" s="44">
        <f>AO687*INDEX(AP$669:AP$672,$D687)</f>
        <v/>
      </c>
      <c r="AQ687" s="44">
        <f>AP687*INDEX(AQ$669:AQ$672,$D687)</f>
        <v/>
      </c>
      <c r="AR687" s="44">
        <f>AQ687*INDEX(AR$669:AR$672,$D687)</f>
        <v/>
      </c>
      <c r="AS687" s="44">
        <f>AR687*INDEX(AS$669:AS$672,$D687)</f>
        <v/>
      </c>
      <c r="AT687" s="44">
        <f>AS687*INDEX(AT$669:AT$672,$D687)</f>
        <v/>
      </c>
      <c r="AU687" s="44">
        <f>AT687*INDEX(AU$669:AU$672,$D687)</f>
        <v/>
      </c>
      <c r="AV687" s="44">
        <f>AU687*INDEX(AV$669:AV$672,$D687)</f>
        <v/>
      </c>
      <c r="AW687" s="44">
        <f>AV687*INDEX(AW$669:AW$672,$D687)</f>
        <v/>
      </c>
      <c r="AX687" s="44">
        <f>AW687*INDEX(AX$669:AX$672,$D687)</f>
        <v/>
      </c>
      <c r="AY687" s="44">
        <f>AX687*INDEX(AY$669:AY$672,$D687)</f>
        <v/>
      </c>
      <c r="AZ687" s="44">
        <f>AY687*INDEX(AZ$669:AZ$672,$D687)</f>
        <v/>
      </c>
      <c r="BA687" s="57">
        <f>GROW(AZ687,INDEX(BA$669:BA$672,$D687))</f>
        <v/>
      </c>
    </row>
    <row r="688" hidden="1" outlineLevel="1">
      <c r="A688" s="14" t="inlineStr">
        <is>
          <t>dem</t>
        </is>
      </c>
      <c r="B688" s="14" t="inlineStr">
        <is>
          <t>ecy</t>
        </is>
      </c>
      <c r="C688" s="14" t="inlineStr">
        <is>
          <t>oen</t>
        </is>
      </c>
      <c r="D688" s="45">
        <f>INDEX(Inputs_power!$D$36:$D$50,MATCH($C688,Inputs_power!$A$36:$A$50,0))</f>
        <v/>
      </c>
      <c r="E688" s="45">
        <f>INDEX(Inputs_power!$E$36:$E$50,MATCH($C688,Inputs_power!$A$36:$A$50,0))</f>
        <v/>
      </c>
      <c r="F688" s="39" t="n"/>
      <c r="G688" s="39" t="n"/>
      <c r="H688" s="14">
        <f>INDEX(VarLab,MATCH($A688,VarKey,0))&amp;INDEX(MemLab,MATCH($C688&amp;"|"&amp;$B688,MemKey,0))</f>
        <v/>
      </c>
      <c r="I688" s="14">
        <f>INDEX(VarUnit,MATCH($A688,VarKey,0))</f>
        <v/>
      </c>
      <c r="J688" s="14">
        <f>INDEX(VarSrc,MATCH($A688,VarKey,0))</f>
        <v/>
      </c>
      <c r="K688" s="11">
        <f>CodePrefix&amp;$A688&amp;IF($C688="","","."&amp;$C688&amp;"."&amp;$B688)&amp;INDEX(VarEnd,MATCH($A688,VarKey,0))&amp;K$5</f>
        <v/>
      </c>
      <c r="L688" s="43">
        <f>$E688</f>
        <v/>
      </c>
      <c r="M688" s="44">
        <f>L688*INDEX(M$669:M$672,$D688)</f>
        <v/>
      </c>
      <c r="N688" s="44">
        <f>M688*INDEX(N$669:N$672,$D688)</f>
        <v/>
      </c>
      <c r="O688" s="44">
        <f>N688*INDEX(O$669:O$672,$D688)</f>
        <v/>
      </c>
      <c r="P688" s="44">
        <f>O688*INDEX(P$669:P$672,$D688)</f>
        <v/>
      </c>
      <c r="Q688" s="44">
        <f>P688*INDEX(Q$669:Q$672,$D688)</f>
        <v/>
      </c>
      <c r="R688" s="44">
        <f>Q688*INDEX(R$669:R$672,$D688)</f>
        <v/>
      </c>
      <c r="S688" s="44">
        <f>R688*INDEX(S$669:S$672,$D688)</f>
        <v/>
      </c>
      <c r="T688" s="44">
        <f>S688*INDEX(T$669:T$672,$D688)</f>
        <v/>
      </c>
      <c r="U688" s="44">
        <f>T688*INDEX(U$669:U$672,$D688)</f>
        <v/>
      </c>
      <c r="V688" s="44">
        <f>U688*INDEX(V$669:V$672,$D688)</f>
        <v/>
      </c>
      <c r="W688" s="44">
        <f>V688*INDEX(W$669:W$672,$D688)</f>
        <v/>
      </c>
      <c r="X688" s="44">
        <f>W688*INDEX(X$669:X$672,$D688)</f>
        <v/>
      </c>
      <c r="Y688" s="44">
        <f>X688*INDEX(Y$669:Y$672,$D688)</f>
        <v/>
      </c>
      <c r="Z688" s="44">
        <f>Y688*INDEX(Z$669:Z$672,$D688)</f>
        <v/>
      </c>
      <c r="AA688" s="44">
        <f>Z688*INDEX(AA$669:AA$672,$D688)</f>
        <v/>
      </c>
      <c r="AB688" s="44">
        <f>AA688*INDEX(AB$669:AB$672,$D688)</f>
        <v/>
      </c>
      <c r="AC688" s="44">
        <f>AB688*INDEX(AC$669:AC$672,$D688)</f>
        <v/>
      </c>
      <c r="AD688" s="44">
        <f>AC688*INDEX(AD$669:AD$672,$D688)</f>
        <v/>
      </c>
      <c r="AE688" s="57">
        <f>GROW(AD688,INDEX(AE$669:AE$672,$D688))</f>
        <v/>
      </c>
      <c r="AG688" s="11">
        <f>CodePrefix&amp;$A688&amp;IF($C688="","","."&amp;$C688&amp;"."&amp;$B688)&amp;INDEX(VarEnd,MATCH($A688,VarKey,0))&amp;AG$5</f>
        <v/>
      </c>
      <c r="AH688" s="43">
        <f>$E688</f>
        <v/>
      </c>
      <c r="AI688" s="44">
        <f>AH688*INDEX(AI$669:AI$672,$D688)</f>
        <v/>
      </c>
      <c r="AJ688" s="44">
        <f>AI688*INDEX(AJ$669:AJ$672,$D688)</f>
        <v/>
      </c>
      <c r="AK688" s="44">
        <f>AJ688*INDEX(AK$669:AK$672,$D688)</f>
        <v/>
      </c>
      <c r="AL688" s="44">
        <f>AK688*INDEX(AL$669:AL$672,$D688)</f>
        <v/>
      </c>
      <c r="AM688" s="44">
        <f>AL688*INDEX(AM$669:AM$672,$D688)</f>
        <v/>
      </c>
      <c r="AN688" s="44">
        <f>AM688*INDEX(AN$669:AN$672,$D688)</f>
        <v/>
      </c>
      <c r="AO688" s="44">
        <f>AN688*INDEX(AO$669:AO$672,$D688)</f>
        <v/>
      </c>
      <c r="AP688" s="44">
        <f>AO688*INDEX(AP$669:AP$672,$D688)</f>
        <v/>
      </c>
      <c r="AQ688" s="44">
        <f>AP688*INDEX(AQ$669:AQ$672,$D688)</f>
        <v/>
      </c>
      <c r="AR688" s="44">
        <f>AQ688*INDEX(AR$669:AR$672,$D688)</f>
        <v/>
      </c>
      <c r="AS688" s="44">
        <f>AR688*INDEX(AS$669:AS$672,$D688)</f>
        <v/>
      </c>
      <c r="AT688" s="44">
        <f>AS688*INDEX(AT$669:AT$672,$D688)</f>
        <v/>
      </c>
      <c r="AU688" s="44">
        <f>AT688*INDEX(AU$669:AU$672,$D688)</f>
        <v/>
      </c>
      <c r="AV688" s="44">
        <f>AU688*INDEX(AV$669:AV$672,$D688)</f>
        <v/>
      </c>
      <c r="AW688" s="44">
        <f>AV688*INDEX(AW$669:AW$672,$D688)</f>
        <v/>
      </c>
      <c r="AX688" s="44">
        <f>AW688*INDEX(AX$669:AX$672,$D688)</f>
        <v/>
      </c>
      <c r="AY688" s="44">
        <f>AX688*INDEX(AY$669:AY$672,$D688)</f>
        <v/>
      </c>
      <c r="AZ688" s="44">
        <f>AY688*INDEX(AZ$669:AZ$672,$D688)</f>
        <v/>
      </c>
      <c r="BA688" s="57">
        <f>GROW(AZ688,INDEX(BA$669:BA$672,$D688))</f>
        <v/>
      </c>
    </row>
    <row r="689" hidden="1" outlineLevel="1"/>
    <row r="690" hidden="1" outlineLevel="1">
      <c r="A690" s="14" t="inlineStr">
        <is>
          <t>demg</t>
        </is>
      </c>
      <c r="B690" s="14" t="inlineStr">
        <is>
          <t>ecy</t>
        </is>
      </c>
      <c r="C690" s="14" t="inlineStr">
        <is>
          <t>tra</t>
        </is>
      </c>
      <c r="D690" s="45">
        <f>INDEX(Inputs_power!$C$29:$C$32,MATCH($C690,Inputs_power!$A$29:$A$32,0))</f>
        <v/>
      </c>
      <c r="E690" s="39" t="n"/>
      <c r="F690" s="39" t="n"/>
      <c r="G690" s="39" t="n"/>
      <c r="H690" s="14">
        <f>INDEX(VarLab,MATCH($A690,VarKey,0))&amp;INDEX(MemLab,MATCH($C690&amp;"|"&amp;$B690,MemKey,0))</f>
        <v/>
      </c>
      <c r="I690" s="14">
        <f>INDEX(VarUnit,MATCH($A690,VarKey,0))</f>
        <v/>
      </c>
      <c r="J690" s="14">
        <f>INDEX(VarSrc,MATCH($A690,VarKey,0))</f>
        <v/>
      </c>
      <c r="K690" s="11">
        <f>CodePrefix&amp;$A690&amp;IF($C690="","","."&amp;$C690&amp;"."&amp;$B690)&amp;INDEX(VarEnd,MATCH($A690,VarKey,0))&amp;K$5</f>
        <v/>
      </c>
      <c r="L690" s="43">
        <f>SUMIF($D$674:$D$688,$D690,L$674:L$688)</f>
        <v/>
      </c>
      <c r="M690" s="44">
        <f>SUMIF($D$674:$D$688,$D690,M$674:M$688)</f>
        <v/>
      </c>
      <c r="N690" s="44">
        <f>SUMIF($D$674:$D$688,$D690,N$674:N$688)</f>
        <v/>
      </c>
      <c r="O690" s="44">
        <f>SUMIF($D$674:$D$688,$D690,O$674:O$688)</f>
        <v/>
      </c>
      <c r="P690" s="44">
        <f>SUMIF($D$674:$D$688,$D690,P$674:P$688)</f>
        <v/>
      </c>
      <c r="Q690" s="44">
        <f>SUMIF($D$674:$D$688,$D690,Q$674:Q$688)</f>
        <v/>
      </c>
      <c r="R690" s="44">
        <f>SUMIF($D$674:$D$688,$D690,R$674:R$688)</f>
        <v/>
      </c>
      <c r="S690" s="44">
        <f>SUMIF($D$674:$D$688,$D690,S$674:S$688)</f>
        <v/>
      </c>
      <c r="T690" s="44">
        <f>SUMIF($D$674:$D$688,$D690,T$674:T$688)</f>
        <v/>
      </c>
      <c r="U690" s="44">
        <f>SUMIF($D$674:$D$688,$D690,U$674:U$688)</f>
        <v/>
      </c>
      <c r="V690" s="44">
        <f>SUMIF($D$674:$D$688,$D690,V$674:V$688)</f>
        <v/>
      </c>
      <c r="W690" s="44">
        <f>SUMIF($D$674:$D$688,$D690,W$674:W$688)</f>
        <v/>
      </c>
      <c r="X690" s="44">
        <f>SUMIF($D$674:$D$688,$D690,X$674:X$688)</f>
        <v/>
      </c>
      <c r="Y690" s="44">
        <f>SUMIF($D$674:$D$688,$D690,Y$674:Y$688)</f>
        <v/>
      </c>
      <c r="Z690" s="44">
        <f>SUMIF($D$674:$D$688,$D690,Z$674:Z$688)</f>
        <v/>
      </c>
      <c r="AA690" s="44">
        <f>SUMIF($D$674:$D$688,$D690,AA$674:AA$688)</f>
        <v/>
      </c>
      <c r="AB690" s="44">
        <f>SUMIF($D$674:$D$688,$D690,AB$674:AB$688)</f>
        <v/>
      </c>
      <c r="AC690" s="44">
        <f>SUMIF($D$674:$D$688,$D690,AC$674:AC$688)</f>
        <v/>
      </c>
      <c r="AD690" s="44">
        <f>SUMIF($D$674:$D$688,$D690,AD$674:AD$688)</f>
        <v/>
      </c>
      <c r="AE690" s="44">
        <f>SUMIF($D$674:$D$688,$D690,AE$674:AE$688)</f>
        <v/>
      </c>
      <c r="AG690" s="11">
        <f>CodePrefix&amp;$A690&amp;IF($C690="","","."&amp;$C690&amp;"."&amp;$B690)&amp;INDEX(VarEnd,MATCH($A690,VarKey,0))&amp;AG$5</f>
        <v/>
      </c>
      <c r="AH690" s="43">
        <f>SUMIF($D$674:$D$688,$D690,AH$674:AH$688)</f>
        <v/>
      </c>
      <c r="AI690" s="44">
        <f>SUMIF($D$674:$D$688,$D690,AI$674:AI$688)</f>
        <v/>
      </c>
      <c r="AJ690" s="44">
        <f>SUMIF($D$674:$D$688,$D690,AJ$674:AJ$688)</f>
        <v/>
      </c>
      <c r="AK690" s="44">
        <f>SUMIF($D$674:$D$688,$D690,AK$674:AK$688)</f>
        <v/>
      </c>
      <c r="AL690" s="44">
        <f>SUMIF($D$674:$D$688,$D690,AL$674:AL$688)</f>
        <v/>
      </c>
      <c r="AM690" s="44">
        <f>SUMIF($D$674:$D$688,$D690,AM$674:AM$688)</f>
        <v/>
      </c>
      <c r="AN690" s="44">
        <f>SUMIF($D$674:$D$688,$D690,AN$674:AN$688)</f>
        <v/>
      </c>
      <c r="AO690" s="44">
        <f>SUMIF($D$674:$D$688,$D690,AO$674:AO$688)</f>
        <v/>
      </c>
      <c r="AP690" s="44">
        <f>SUMIF($D$674:$D$688,$D690,AP$674:AP$688)</f>
        <v/>
      </c>
      <c r="AQ690" s="44">
        <f>SUMIF($D$674:$D$688,$D690,AQ$674:AQ$688)</f>
        <v/>
      </c>
      <c r="AR690" s="44">
        <f>SUMIF($D$674:$D$688,$D690,AR$674:AR$688)</f>
        <v/>
      </c>
      <c r="AS690" s="44">
        <f>SUMIF($D$674:$D$688,$D690,AS$674:AS$688)</f>
        <v/>
      </c>
      <c r="AT690" s="44">
        <f>SUMIF($D$674:$D$688,$D690,AT$674:AT$688)</f>
        <v/>
      </c>
      <c r="AU690" s="44">
        <f>SUMIF($D$674:$D$688,$D690,AU$674:AU$688)</f>
        <v/>
      </c>
      <c r="AV690" s="44">
        <f>SUMIF($D$674:$D$688,$D690,AV$674:AV$688)</f>
        <v/>
      </c>
      <c r="AW690" s="44">
        <f>SUMIF($D$674:$D$688,$D690,AW$674:AW$688)</f>
        <v/>
      </c>
      <c r="AX690" s="44">
        <f>SUMIF($D$674:$D$688,$D690,AX$674:AX$688)</f>
        <v/>
      </c>
      <c r="AY690" s="44">
        <f>SUMIF($D$674:$D$688,$D690,AY$674:AY$688)</f>
        <v/>
      </c>
      <c r="AZ690" s="44">
        <f>SUMIF($D$674:$D$688,$D690,AZ$674:AZ$688)</f>
        <v/>
      </c>
      <c r="BA690" s="44">
        <f>SUMIF($D$674:$D$688,$D690,BA$674:BA$688)</f>
        <v/>
      </c>
    </row>
    <row r="691" hidden="1" outlineLevel="1">
      <c r="A691" s="14" t="inlineStr">
        <is>
          <t>demg</t>
        </is>
      </c>
      <c r="B691" s="14" t="inlineStr">
        <is>
          <t>ecy</t>
        </is>
      </c>
      <c r="C691" s="14" t="inlineStr">
        <is>
          <t>res</t>
        </is>
      </c>
      <c r="D691" s="45">
        <f>INDEX(Inputs_power!$C$29:$C$32,MATCH($C691,Inputs_power!$A$29:$A$32,0))</f>
        <v/>
      </c>
      <c r="E691" s="39" t="n"/>
      <c r="F691" s="39" t="n"/>
      <c r="G691" s="39" t="n"/>
      <c r="H691" s="14">
        <f>INDEX(VarLab,MATCH($A691,VarKey,0))&amp;INDEX(MemLab,MATCH($C691&amp;"|"&amp;$B691,MemKey,0))</f>
        <v/>
      </c>
      <c r="I691" s="14">
        <f>INDEX(VarUnit,MATCH($A691,VarKey,0))</f>
        <v/>
      </c>
      <c r="J691" s="14">
        <f>INDEX(VarSrc,MATCH($A691,VarKey,0))</f>
        <v/>
      </c>
      <c r="K691" s="11">
        <f>CodePrefix&amp;$A691&amp;IF($C691="","","."&amp;$C691&amp;"."&amp;$B691)&amp;INDEX(VarEnd,MATCH($A691,VarKey,0))&amp;K$5</f>
        <v/>
      </c>
      <c r="L691" s="43">
        <f>SUMIF($D$674:$D$688,$D691,L$674:L$688)</f>
        <v/>
      </c>
      <c r="M691" s="44">
        <f>SUMIF($D$674:$D$688,$D691,M$674:M$688)</f>
        <v/>
      </c>
      <c r="N691" s="44">
        <f>SUMIF($D$674:$D$688,$D691,N$674:N$688)</f>
        <v/>
      </c>
      <c r="O691" s="44">
        <f>SUMIF($D$674:$D$688,$D691,O$674:O$688)</f>
        <v/>
      </c>
      <c r="P691" s="44">
        <f>SUMIF($D$674:$D$688,$D691,P$674:P$688)</f>
        <v/>
      </c>
      <c r="Q691" s="44">
        <f>SUMIF($D$674:$D$688,$D691,Q$674:Q$688)</f>
        <v/>
      </c>
      <c r="R691" s="44">
        <f>SUMIF($D$674:$D$688,$D691,R$674:R$688)</f>
        <v/>
      </c>
      <c r="S691" s="44">
        <f>SUMIF($D$674:$D$688,$D691,S$674:S$688)</f>
        <v/>
      </c>
      <c r="T691" s="44">
        <f>SUMIF($D$674:$D$688,$D691,T$674:T$688)</f>
        <v/>
      </c>
      <c r="U691" s="44">
        <f>SUMIF($D$674:$D$688,$D691,U$674:U$688)</f>
        <v/>
      </c>
      <c r="V691" s="44">
        <f>SUMIF($D$674:$D$688,$D691,V$674:V$688)</f>
        <v/>
      </c>
      <c r="W691" s="44">
        <f>SUMIF($D$674:$D$688,$D691,W$674:W$688)</f>
        <v/>
      </c>
      <c r="X691" s="44">
        <f>SUMIF($D$674:$D$688,$D691,X$674:X$688)</f>
        <v/>
      </c>
      <c r="Y691" s="44">
        <f>SUMIF($D$674:$D$688,$D691,Y$674:Y$688)</f>
        <v/>
      </c>
      <c r="Z691" s="44">
        <f>SUMIF($D$674:$D$688,$D691,Z$674:Z$688)</f>
        <v/>
      </c>
      <c r="AA691" s="44">
        <f>SUMIF($D$674:$D$688,$D691,AA$674:AA$688)</f>
        <v/>
      </c>
      <c r="AB691" s="44">
        <f>SUMIF($D$674:$D$688,$D691,AB$674:AB$688)</f>
        <v/>
      </c>
      <c r="AC691" s="44">
        <f>SUMIF($D$674:$D$688,$D691,AC$674:AC$688)</f>
        <v/>
      </c>
      <c r="AD691" s="44">
        <f>SUMIF($D$674:$D$688,$D691,AD$674:AD$688)</f>
        <v/>
      </c>
      <c r="AE691" s="44">
        <f>SUMIF($D$674:$D$688,$D691,AE$674:AE$688)</f>
        <v/>
      </c>
      <c r="AG691" s="11">
        <f>CodePrefix&amp;$A691&amp;IF($C691="","","."&amp;$C691&amp;"."&amp;$B691)&amp;INDEX(VarEnd,MATCH($A691,VarKey,0))&amp;AG$5</f>
        <v/>
      </c>
      <c r="AH691" s="43">
        <f>SUMIF($D$674:$D$688,$D691,AH$674:AH$688)</f>
        <v/>
      </c>
      <c r="AI691" s="44">
        <f>SUMIF($D$674:$D$688,$D691,AI$674:AI$688)</f>
        <v/>
      </c>
      <c r="AJ691" s="44">
        <f>SUMIF($D$674:$D$688,$D691,AJ$674:AJ$688)</f>
        <v/>
      </c>
      <c r="AK691" s="44">
        <f>SUMIF($D$674:$D$688,$D691,AK$674:AK$688)</f>
        <v/>
      </c>
      <c r="AL691" s="44">
        <f>SUMIF($D$674:$D$688,$D691,AL$674:AL$688)</f>
        <v/>
      </c>
      <c r="AM691" s="44">
        <f>SUMIF($D$674:$D$688,$D691,AM$674:AM$688)</f>
        <v/>
      </c>
      <c r="AN691" s="44">
        <f>SUMIF($D$674:$D$688,$D691,AN$674:AN$688)</f>
        <v/>
      </c>
      <c r="AO691" s="44">
        <f>SUMIF($D$674:$D$688,$D691,AO$674:AO$688)</f>
        <v/>
      </c>
      <c r="AP691" s="44">
        <f>SUMIF($D$674:$D$688,$D691,AP$674:AP$688)</f>
        <v/>
      </c>
      <c r="AQ691" s="44">
        <f>SUMIF($D$674:$D$688,$D691,AQ$674:AQ$688)</f>
        <v/>
      </c>
      <c r="AR691" s="44">
        <f>SUMIF($D$674:$D$688,$D691,AR$674:AR$688)</f>
        <v/>
      </c>
      <c r="AS691" s="44">
        <f>SUMIF($D$674:$D$688,$D691,AS$674:AS$688)</f>
        <v/>
      </c>
      <c r="AT691" s="44">
        <f>SUMIF($D$674:$D$688,$D691,AT$674:AT$688)</f>
        <v/>
      </c>
      <c r="AU691" s="44">
        <f>SUMIF($D$674:$D$688,$D691,AU$674:AU$688)</f>
        <v/>
      </c>
      <c r="AV691" s="44">
        <f>SUMIF($D$674:$D$688,$D691,AV$674:AV$688)</f>
        <v/>
      </c>
      <c r="AW691" s="44">
        <f>SUMIF($D$674:$D$688,$D691,AW$674:AW$688)</f>
        <v/>
      </c>
      <c r="AX691" s="44">
        <f>SUMIF($D$674:$D$688,$D691,AX$674:AX$688)</f>
        <v/>
      </c>
      <c r="AY691" s="44">
        <f>SUMIF($D$674:$D$688,$D691,AY$674:AY$688)</f>
        <v/>
      </c>
      <c r="AZ691" s="44">
        <f>SUMIF($D$674:$D$688,$D691,AZ$674:AZ$688)</f>
        <v/>
      </c>
      <c r="BA691" s="44">
        <f>SUMIF($D$674:$D$688,$D691,BA$674:BA$688)</f>
        <v/>
      </c>
    </row>
    <row r="692" hidden="1" outlineLevel="1">
      <c r="A692" s="14" t="inlineStr">
        <is>
          <t>demg</t>
        </is>
      </c>
      <c r="B692" s="14" t="inlineStr">
        <is>
          <t>ecy</t>
        </is>
      </c>
      <c r="C692" s="14" t="inlineStr">
        <is>
          <t>ind</t>
        </is>
      </c>
      <c r="D692" s="45">
        <f>INDEX(Inputs_power!$C$29:$C$32,MATCH($C692,Inputs_power!$A$29:$A$32,0))</f>
        <v/>
      </c>
      <c r="E692" s="39" t="n"/>
      <c r="F692" s="39" t="n"/>
      <c r="G692" s="39" t="n"/>
      <c r="H692" s="14">
        <f>INDEX(VarLab,MATCH($A692,VarKey,0))&amp;INDEX(MemLab,MATCH($C692&amp;"|"&amp;$B692,MemKey,0))</f>
        <v/>
      </c>
      <c r="I692" s="14">
        <f>INDEX(VarUnit,MATCH($A692,VarKey,0))</f>
        <v/>
      </c>
      <c r="J692" s="14">
        <f>INDEX(VarSrc,MATCH($A692,VarKey,0))</f>
        <v/>
      </c>
      <c r="K692" s="11">
        <f>CodePrefix&amp;$A692&amp;IF($C692="","","."&amp;$C692&amp;"."&amp;$B692)&amp;INDEX(VarEnd,MATCH($A692,VarKey,0))&amp;K$5</f>
        <v/>
      </c>
      <c r="L692" s="43">
        <f>SUMIF($D$674:$D$688,$D692,L$674:L$688)</f>
        <v/>
      </c>
      <c r="M692" s="44">
        <f>SUMIF($D$674:$D$688,$D692,M$674:M$688)</f>
        <v/>
      </c>
      <c r="N692" s="44">
        <f>SUMIF($D$674:$D$688,$D692,N$674:N$688)</f>
        <v/>
      </c>
      <c r="O692" s="44">
        <f>SUMIF($D$674:$D$688,$D692,O$674:O$688)</f>
        <v/>
      </c>
      <c r="P692" s="44">
        <f>SUMIF($D$674:$D$688,$D692,P$674:P$688)</f>
        <v/>
      </c>
      <c r="Q692" s="44">
        <f>SUMIF($D$674:$D$688,$D692,Q$674:Q$688)</f>
        <v/>
      </c>
      <c r="R692" s="44">
        <f>SUMIF($D$674:$D$688,$D692,R$674:R$688)</f>
        <v/>
      </c>
      <c r="S692" s="44">
        <f>SUMIF($D$674:$D$688,$D692,S$674:S$688)</f>
        <v/>
      </c>
      <c r="T692" s="44">
        <f>SUMIF($D$674:$D$688,$D692,T$674:T$688)</f>
        <v/>
      </c>
      <c r="U692" s="44">
        <f>SUMIF($D$674:$D$688,$D692,U$674:U$688)</f>
        <v/>
      </c>
      <c r="V692" s="44">
        <f>SUMIF($D$674:$D$688,$D692,V$674:V$688)</f>
        <v/>
      </c>
      <c r="W692" s="44">
        <f>SUMIF($D$674:$D$688,$D692,W$674:W$688)</f>
        <v/>
      </c>
      <c r="X692" s="44">
        <f>SUMIF($D$674:$D$688,$D692,X$674:X$688)</f>
        <v/>
      </c>
      <c r="Y692" s="44">
        <f>SUMIF($D$674:$D$688,$D692,Y$674:Y$688)</f>
        <v/>
      </c>
      <c r="Z692" s="44">
        <f>SUMIF($D$674:$D$688,$D692,Z$674:Z$688)</f>
        <v/>
      </c>
      <c r="AA692" s="44">
        <f>SUMIF($D$674:$D$688,$D692,AA$674:AA$688)</f>
        <v/>
      </c>
      <c r="AB692" s="44">
        <f>SUMIF($D$674:$D$688,$D692,AB$674:AB$688)</f>
        <v/>
      </c>
      <c r="AC692" s="44">
        <f>SUMIF($D$674:$D$688,$D692,AC$674:AC$688)</f>
        <v/>
      </c>
      <c r="AD692" s="44">
        <f>SUMIF($D$674:$D$688,$D692,AD$674:AD$688)</f>
        <v/>
      </c>
      <c r="AE692" s="44">
        <f>SUMIF($D$674:$D$688,$D692,AE$674:AE$688)</f>
        <v/>
      </c>
      <c r="AG692" s="11">
        <f>CodePrefix&amp;$A692&amp;IF($C692="","","."&amp;$C692&amp;"."&amp;$B692)&amp;INDEX(VarEnd,MATCH($A692,VarKey,0))&amp;AG$5</f>
        <v/>
      </c>
      <c r="AH692" s="43">
        <f>SUMIF($D$674:$D$688,$D692,AH$674:AH$688)</f>
        <v/>
      </c>
      <c r="AI692" s="44">
        <f>SUMIF($D$674:$D$688,$D692,AI$674:AI$688)</f>
        <v/>
      </c>
      <c r="AJ692" s="44">
        <f>SUMIF($D$674:$D$688,$D692,AJ$674:AJ$688)</f>
        <v/>
      </c>
      <c r="AK692" s="44">
        <f>SUMIF($D$674:$D$688,$D692,AK$674:AK$688)</f>
        <v/>
      </c>
      <c r="AL692" s="44">
        <f>SUMIF($D$674:$D$688,$D692,AL$674:AL$688)</f>
        <v/>
      </c>
      <c r="AM692" s="44">
        <f>SUMIF($D$674:$D$688,$D692,AM$674:AM$688)</f>
        <v/>
      </c>
      <c r="AN692" s="44">
        <f>SUMIF($D$674:$D$688,$D692,AN$674:AN$688)</f>
        <v/>
      </c>
      <c r="AO692" s="44">
        <f>SUMIF($D$674:$D$688,$D692,AO$674:AO$688)</f>
        <v/>
      </c>
      <c r="AP692" s="44">
        <f>SUMIF($D$674:$D$688,$D692,AP$674:AP$688)</f>
        <v/>
      </c>
      <c r="AQ692" s="44">
        <f>SUMIF($D$674:$D$688,$D692,AQ$674:AQ$688)</f>
        <v/>
      </c>
      <c r="AR692" s="44">
        <f>SUMIF($D$674:$D$688,$D692,AR$674:AR$688)</f>
        <v/>
      </c>
      <c r="AS692" s="44">
        <f>SUMIF($D$674:$D$688,$D692,AS$674:AS$688)</f>
        <v/>
      </c>
      <c r="AT692" s="44">
        <f>SUMIF($D$674:$D$688,$D692,AT$674:AT$688)</f>
        <v/>
      </c>
      <c r="AU692" s="44">
        <f>SUMIF($D$674:$D$688,$D692,AU$674:AU$688)</f>
        <v/>
      </c>
      <c r="AV692" s="44">
        <f>SUMIF($D$674:$D$688,$D692,AV$674:AV$688)</f>
        <v/>
      </c>
      <c r="AW692" s="44">
        <f>SUMIF($D$674:$D$688,$D692,AW$674:AW$688)</f>
        <v/>
      </c>
      <c r="AX692" s="44">
        <f>SUMIF($D$674:$D$688,$D692,AX$674:AX$688)</f>
        <v/>
      </c>
      <c r="AY692" s="44">
        <f>SUMIF($D$674:$D$688,$D692,AY$674:AY$688)</f>
        <v/>
      </c>
      <c r="AZ692" s="44">
        <f>SUMIF($D$674:$D$688,$D692,AZ$674:AZ$688)</f>
        <v/>
      </c>
      <c r="BA692" s="44">
        <f>SUMIF($D$674:$D$688,$D692,BA$674:BA$688)</f>
        <v/>
      </c>
    </row>
    <row r="693" hidden="1" outlineLevel="1">
      <c r="A693" s="14" t="inlineStr">
        <is>
          <t>demg</t>
        </is>
      </c>
      <c r="B693" s="14" t="inlineStr">
        <is>
          <t>ecy</t>
        </is>
      </c>
      <c r="C693" s="14" t="inlineStr">
        <is>
          <t>srv</t>
        </is>
      </c>
      <c r="D693" s="45">
        <f>INDEX(Inputs_power!$C$29:$C$32,MATCH($C693,Inputs_power!$A$29:$A$32,0))</f>
        <v/>
      </c>
      <c r="E693" s="39" t="n"/>
      <c r="F693" s="39" t="n"/>
      <c r="G693" s="39" t="n"/>
      <c r="H693" s="14">
        <f>INDEX(VarLab,MATCH($A693,VarKey,0))&amp;INDEX(MemLab,MATCH($C693&amp;"|"&amp;$B693,MemKey,0))</f>
        <v/>
      </c>
      <c r="I693" s="14">
        <f>INDEX(VarUnit,MATCH($A693,VarKey,0))</f>
        <v/>
      </c>
      <c r="J693" s="14">
        <f>INDEX(VarSrc,MATCH($A693,VarKey,0))</f>
        <v/>
      </c>
      <c r="K693" s="11">
        <f>CodePrefix&amp;$A693&amp;IF($C693="","","."&amp;$C693&amp;"."&amp;$B693)&amp;INDEX(VarEnd,MATCH($A693,VarKey,0))&amp;K$5</f>
        <v/>
      </c>
      <c r="L693" s="43">
        <f>SUMIF($D$674:$D$688,$D693,L$674:L$688)</f>
        <v/>
      </c>
      <c r="M693" s="44">
        <f>SUMIF($D$674:$D$688,$D693,M$674:M$688)</f>
        <v/>
      </c>
      <c r="N693" s="44">
        <f>SUMIF($D$674:$D$688,$D693,N$674:N$688)</f>
        <v/>
      </c>
      <c r="O693" s="44">
        <f>SUMIF($D$674:$D$688,$D693,O$674:O$688)</f>
        <v/>
      </c>
      <c r="P693" s="44">
        <f>SUMIF($D$674:$D$688,$D693,P$674:P$688)</f>
        <v/>
      </c>
      <c r="Q693" s="44">
        <f>SUMIF($D$674:$D$688,$D693,Q$674:Q$688)</f>
        <v/>
      </c>
      <c r="R693" s="44">
        <f>SUMIF($D$674:$D$688,$D693,R$674:R$688)</f>
        <v/>
      </c>
      <c r="S693" s="44">
        <f>SUMIF($D$674:$D$688,$D693,S$674:S$688)</f>
        <v/>
      </c>
      <c r="T693" s="44">
        <f>SUMIF($D$674:$D$688,$D693,T$674:T$688)</f>
        <v/>
      </c>
      <c r="U693" s="44">
        <f>SUMIF($D$674:$D$688,$D693,U$674:U$688)</f>
        <v/>
      </c>
      <c r="V693" s="44">
        <f>SUMIF($D$674:$D$688,$D693,V$674:V$688)</f>
        <v/>
      </c>
      <c r="W693" s="44">
        <f>SUMIF($D$674:$D$688,$D693,W$674:W$688)</f>
        <v/>
      </c>
      <c r="X693" s="44">
        <f>SUMIF($D$674:$D$688,$D693,X$674:X$688)</f>
        <v/>
      </c>
      <c r="Y693" s="44">
        <f>SUMIF($D$674:$D$688,$D693,Y$674:Y$688)</f>
        <v/>
      </c>
      <c r="Z693" s="44">
        <f>SUMIF($D$674:$D$688,$D693,Z$674:Z$688)</f>
        <v/>
      </c>
      <c r="AA693" s="44">
        <f>SUMIF($D$674:$D$688,$D693,AA$674:AA$688)</f>
        <v/>
      </c>
      <c r="AB693" s="44">
        <f>SUMIF($D$674:$D$688,$D693,AB$674:AB$688)</f>
        <v/>
      </c>
      <c r="AC693" s="44">
        <f>SUMIF($D$674:$D$688,$D693,AC$674:AC$688)</f>
        <v/>
      </c>
      <c r="AD693" s="44">
        <f>SUMIF($D$674:$D$688,$D693,AD$674:AD$688)</f>
        <v/>
      </c>
      <c r="AE693" s="44">
        <f>SUMIF($D$674:$D$688,$D693,AE$674:AE$688)</f>
        <v/>
      </c>
      <c r="AG693" s="11">
        <f>CodePrefix&amp;$A693&amp;IF($C693="","","."&amp;$C693&amp;"."&amp;$B693)&amp;INDEX(VarEnd,MATCH($A693,VarKey,0))&amp;AG$5</f>
        <v/>
      </c>
      <c r="AH693" s="43">
        <f>SUMIF($D$674:$D$688,$D693,AH$674:AH$688)</f>
        <v/>
      </c>
      <c r="AI693" s="44">
        <f>SUMIF($D$674:$D$688,$D693,AI$674:AI$688)</f>
        <v/>
      </c>
      <c r="AJ693" s="44">
        <f>SUMIF($D$674:$D$688,$D693,AJ$674:AJ$688)</f>
        <v/>
      </c>
      <c r="AK693" s="44">
        <f>SUMIF($D$674:$D$688,$D693,AK$674:AK$688)</f>
        <v/>
      </c>
      <c r="AL693" s="44">
        <f>SUMIF($D$674:$D$688,$D693,AL$674:AL$688)</f>
        <v/>
      </c>
      <c r="AM693" s="44">
        <f>SUMIF($D$674:$D$688,$D693,AM$674:AM$688)</f>
        <v/>
      </c>
      <c r="AN693" s="44">
        <f>SUMIF($D$674:$D$688,$D693,AN$674:AN$688)</f>
        <v/>
      </c>
      <c r="AO693" s="44">
        <f>SUMIF($D$674:$D$688,$D693,AO$674:AO$688)</f>
        <v/>
      </c>
      <c r="AP693" s="44">
        <f>SUMIF($D$674:$D$688,$D693,AP$674:AP$688)</f>
        <v/>
      </c>
      <c r="AQ693" s="44">
        <f>SUMIF($D$674:$D$688,$D693,AQ$674:AQ$688)</f>
        <v/>
      </c>
      <c r="AR693" s="44">
        <f>SUMIF($D$674:$D$688,$D693,AR$674:AR$688)</f>
        <v/>
      </c>
      <c r="AS693" s="44">
        <f>SUMIF($D$674:$D$688,$D693,AS$674:AS$688)</f>
        <v/>
      </c>
      <c r="AT693" s="44">
        <f>SUMIF($D$674:$D$688,$D693,AT$674:AT$688)</f>
        <v/>
      </c>
      <c r="AU693" s="44">
        <f>SUMIF($D$674:$D$688,$D693,AU$674:AU$688)</f>
        <v/>
      </c>
      <c r="AV693" s="44">
        <f>SUMIF($D$674:$D$688,$D693,AV$674:AV$688)</f>
        <v/>
      </c>
      <c r="AW693" s="44">
        <f>SUMIF($D$674:$D$688,$D693,AW$674:AW$688)</f>
        <v/>
      </c>
      <c r="AX693" s="44">
        <f>SUMIF($D$674:$D$688,$D693,AX$674:AX$688)</f>
        <v/>
      </c>
      <c r="AY693" s="44">
        <f>SUMIF($D$674:$D$688,$D693,AY$674:AY$688)</f>
        <v/>
      </c>
      <c r="AZ693" s="44">
        <f>SUMIF($D$674:$D$688,$D693,AZ$674:AZ$688)</f>
        <v/>
      </c>
      <c r="BA693" s="44">
        <f>SUMIF($D$674:$D$688,$D693,BA$674:BA$688)</f>
        <v/>
      </c>
    </row>
    <row r="694" hidden="1" outlineLevel="1"/>
    <row r="695" hidden="1" outlineLevel="1">
      <c r="A695" s="14" t="inlineStr">
        <is>
          <t>demtot</t>
        </is>
      </c>
      <c r="B695" s="14" t="inlineStr"/>
      <c r="C695" s="14" t="inlineStr"/>
      <c r="D695" s="39" t="n"/>
      <c r="E695" s="39" t="n"/>
      <c r="F695" s="39" t="n"/>
      <c r="G695" s="39" t="n"/>
      <c r="H695" s="14">
        <f>INDEX(VarLab,MATCH($A695,VarKey,0))&amp;INDEX(MemLab,MATCH($C695&amp;"|"&amp;$B695,MemKey,0))</f>
        <v/>
      </c>
      <c r="I695" s="14">
        <f>INDEX(VarUnit,MATCH($A695,VarKey,0))</f>
        <v/>
      </c>
      <c r="J695" s="14">
        <f>INDEX(VarSrc,MATCH($A695,VarKey,0))</f>
        <v/>
      </c>
      <c r="K695" s="11">
        <f>CodePrefix&amp;$A695&amp;IF($C695="","","."&amp;$C695&amp;"."&amp;$B695)&amp;INDEX(VarEnd,MATCH($A695,VarKey,0))&amp;K$5</f>
        <v/>
      </c>
      <c r="L695" s="43">
        <f>SUM(L$674:L$688)</f>
        <v/>
      </c>
      <c r="M695" s="44">
        <f>SUM(M$674:M$688)</f>
        <v/>
      </c>
      <c r="N695" s="44">
        <f>SUM(N$674:N$688)</f>
        <v/>
      </c>
      <c r="O695" s="44">
        <f>SUM(O$674:O$688)</f>
        <v/>
      </c>
      <c r="P695" s="44">
        <f>SUM(P$674:P$688)</f>
        <v/>
      </c>
      <c r="Q695" s="44">
        <f>SUM(Q$674:Q$688)</f>
        <v/>
      </c>
      <c r="R695" s="44">
        <f>SUM(R$674:R$688)</f>
        <v/>
      </c>
      <c r="S695" s="44">
        <f>SUM(S$674:S$688)</f>
        <v/>
      </c>
      <c r="T695" s="44">
        <f>SUM(T$674:T$688)</f>
        <v/>
      </c>
      <c r="U695" s="44">
        <f>SUM(U$674:U$688)</f>
        <v/>
      </c>
      <c r="V695" s="44">
        <f>SUM(V$674:V$688)</f>
        <v/>
      </c>
      <c r="W695" s="44">
        <f>SUM(W$674:W$688)</f>
        <v/>
      </c>
      <c r="X695" s="44">
        <f>SUM(X$674:X$688)</f>
        <v/>
      </c>
      <c r="Y695" s="44">
        <f>SUM(Y$674:Y$688)</f>
        <v/>
      </c>
      <c r="Z695" s="44">
        <f>SUM(Z$674:Z$688)</f>
        <v/>
      </c>
      <c r="AA695" s="44">
        <f>SUM(AA$674:AA$688)</f>
        <v/>
      </c>
      <c r="AB695" s="44">
        <f>SUM(AB$674:AB$688)</f>
        <v/>
      </c>
      <c r="AC695" s="44">
        <f>SUM(AC$674:AC$688)</f>
        <v/>
      </c>
      <c r="AD695" s="44">
        <f>SUM(AD$674:AD$688)</f>
        <v/>
      </c>
      <c r="AE695" s="44">
        <f>SUM(AE$674:AE$688)</f>
        <v/>
      </c>
      <c r="AG695" s="11">
        <f>CodePrefix&amp;$A695&amp;IF($C695="","","."&amp;$C695&amp;"."&amp;$B695)&amp;INDEX(VarEnd,MATCH($A695,VarKey,0))&amp;AG$5</f>
        <v/>
      </c>
      <c r="AH695" s="43">
        <f>SUM(AH$674:AH$688)</f>
        <v/>
      </c>
      <c r="AI695" s="44">
        <f>SUM(AI$674:AI$688)</f>
        <v/>
      </c>
      <c r="AJ695" s="44">
        <f>SUM(AJ$674:AJ$688)</f>
        <v/>
      </c>
      <c r="AK695" s="44">
        <f>SUM(AK$674:AK$688)</f>
        <v/>
      </c>
      <c r="AL695" s="44">
        <f>SUM(AL$674:AL$688)</f>
        <v/>
      </c>
      <c r="AM695" s="44">
        <f>SUM(AM$674:AM$688)</f>
        <v/>
      </c>
      <c r="AN695" s="44">
        <f>SUM(AN$674:AN$688)</f>
        <v/>
      </c>
      <c r="AO695" s="44">
        <f>SUM(AO$674:AO$688)</f>
        <v/>
      </c>
      <c r="AP695" s="44">
        <f>SUM(AP$674:AP$688)</f>
        <v/>
      </c>
      <c r="AQ695" s="44">
        <f>SUM(AQ$674:AQ$688)</f>
        <v/>
      </c>
      <c r="AR695" s="44">
        <f>SUM(AR$674:AR$688)</f>
        <v/>
      </c>
      <c r="AS695" s="44">
        <f>SUM(AS$674:AS$688)</f>
        <v/>
      </c>
      <c r="AT695" s="44">
        <f>SUM(AT$674:AT$688)</f>
        <v/>
      </c>
      <c r="AU695" s="44">
        <f>SUM(AU$674:AU$688)</f>
        <v/>
      </c>
      <c r="AV695" s="44">
        <f>SUM(AV$674:AV$688)</f>
        <v/>
      </c>
      <c r="AW695" s="44">
        <f>SUM(AW$674:AW$688)</f>
        <v/>
      </c>
      <c r="AX695" s="44">
        <f>SUM(AX$674:AX$688)</f>
        <v/>
      </c>
      <c r="AY695" s="44">
        <f>SUM(AY$674:AY$688)</f>
        <v/>
      </c>
      <c r="AZ695" s="44">
        <f>SUM(AZ$674:AZ$688)</f>
        <v/>
      </c>
      <c r="BA695" s="44">
        <f>SUM(BA$674:BA$688)</f>
        <v/>
      </c>
    </row>
    <row r="696" hidden="1" outlineLevel="1">
      <c r="A696" s="14" t="inlineStr">
        <is>
          <t>req</t>
        </is>
      </c>
      <c r="B696" s="14" t="inlineStr"/>
      <c r="C696" s="14" t="inlineStr"/>
      <c r="D696" s="45">
        <f>Inputs_power!$B$59</f>
        <v/>
      </c>
      <c r="E696" s="39" t="n"/>
      <c r="F696" s="39" t="n"/>
      <c r="G696" s="39" t="n"/>
      <c r="H696" s="14">
        <f>INDEX(VarLab,MATCH($A696,VarKey,0))&amp;INDEX(MemLab,MATCH($C696&amp;"|"&amp;$B696,MemKey,0))</f>
        <v/>
      </c>
      <c r="I696" s="14">
        <f>INDEX(VarUnit,MATCH($A696,VarKey,0))</f>
        <v/>
      </c>
      <c r="J696" s="14">
        <f>INDEX(VarSrc,MATCH($A696,VarKey,0))</f>
        <v/>
      </c>
      <c r="K696" s="11">
        <f>CodePrefix&amp;$A696&amp;IF($C696="","","."&amp;$C696&amp;"."&amp;$B696)&amp;INDEX(VarEnd,MATCH($A696,VarKey,0))&amp;K$5</f>
        <v/>
      </c>
      <c r="L696" s="46">
        <f>SUM(L$723:L$731)</f>
        <v/>
      </c>
      <c r="M696" s="47">
        <f>M$695*$D696</f>
        <v/>
      </c>
      <c r="N696" s="47">
        <f>N$695*$D696</f>
        <v/>
      </c>
      <c r="O696" s="47">
        <f>O$695*$D696</f>
        <v/>
      </c>
      <c r="P696" s="47">
        <f>P$695*$D696</f>
        <v/>
      </c>
      <c r="Q696" s="47">
        <f>Q$695*$D696</f>
        <v/>
      </c>
      <c r="R696" s="47">
        <f>R$695*$D696</f>
        <v/>
      </c>
      <c r="S696" s="47">
        <f>S$695*$D696</f>
        <v/>
      </c>
      <c r="T696" s="47">
        <f>T$695*$D696</f>
        <v/>
      </c>
      <c r="U696" s="47">
        <f>U$695*$D696</f>
        <v/>
      </c>
      <c r="V696" s="47">
        <f>V$695*$D696</f>
        <v/>
      </c>
      <c r="W696" s="47">
        <f>W$695*$D696</f>
        <v/>
      </c>
      <c r="X696" s="47">
        <f>X$695*$D696</f>
        <v/>
      </c>
      <c r="Y696" s="47">
        <f>Y$695*$D696</f>
        <v/>
      </c>
      <c r="Z696" s="47">
        <f>Z$695*$D696</f>
        <v/>
      </c>
      <c r="AA696" s="47">
        <f>AA$695*$D696</f>
        <v/>
      </c>
      <c r="AB696" s="47">
        <f>AB$695*$D696</f>
        <v/>
      </c>
      <c r="AC696" s="47">
        <f>AC$695*$D696</f>
        <v/>
      </c>
      <c r="AD696" s="47">
        <f>AD$695*$D696</f>
        <v/>
      </c>
      <c r="AE696" s="48">
        <f>SCALE(AE$695,$D696)</f>
        <v/>
      </c>
      <c r="AG696" s="11">
        <f>CodePrefix&amp;$A696&amp;IF($C696="","","."&amp;$C696&amp;"."&amp;$B696)&amp;INDEX(VarEnd,MATCH($A696,VarKey,0))&amp;AG$5</f>
        <v/>
      </c>
      <c r="AH696" s="46">
        <f>SUM(AH$723:AH$731)</f>
        <v/>
      </c>
      <c r="AI696" s="47">
        <f>AI$695*$D696</f>
        <v/>
      </c>
      <c r="AJ696" s="47">
        <f>AJ$695*$D696</f>
        <v/>
      </c>
      <c r="AK696" s="47">
        <f>AK$695*$D696</f>
        <v/>
      </c>
      <c r="AL696" s="47">
        <f>AL$695*$D696</f>
        <v/>
      </c>
      <c r="AM696" s="47">
        <f>AM$695*$D696</f>
        <v/>
      </c>
      <c r="AN696" s="47">
        <f>AN$695*$D696</f>
        <v/>
      </c>
      <c r="AO696" s="47">
        <f>AO$695*$D696</f>
        <v/>
      </c>
      <c r="AP696" s="47">
        <f>AP$695*$D696</f>
        <v/>
      </c>
      <c r="AQ696" s="47">
        <f>AQ$695*$D696</f>
        <v/>
      </c>
      <c r="AR696" s="47">
        <f>AR$695*$D696</f>
        <v/>
      </c>
      <c r="AS696" s="47">
        <f>AS$695*$D696</f>
        <v/>
      </c>
      <c r="AT696" s="47">
        <f>AT$695*$D696</f>
        <v/>
      </c>
      <c r="AU696" s="47">
        <f>AU$695*$D696</f>
        <v/>
      </c>
      <c r="AV696" s="47">
        <f>AV$695*$D696</f>
        <v/>
      </c>
      <c r="AW696" s="47">
        <f>AW$695*$D696</f>
        <v/>
      </c>
      <c r="AX696" s="47">
        <f>AX$695*$D696</f>
        <v/>
      </c>
      <c r="AY696" s="47">
        <f>AY$695*$D696</f>
        <v/>
      </c>
      <c r="AZ696" s="47">
        <f>AZ$695*$D696</f>
        <v/>
      </c>
      <c r="BA696" s="48">
        <f>SCALE(BA$695,$D696)</f>
        <v/>
      </c>
    </row>
    <row r="697" hidden="1" outlineLevel="1"/>
    <row r="698" hidden="1" outlineLevel="1">
      <c r="H698" s="21" t="inlineStr">
        <is>
          <t>I. Dispatch (MWy): fixed-output types at their capacity factor; coal and gas fill the rest (minimum each, then a logit on variable cost); generation shares, fuel use (ktoe), CO2 (MtCO2)</t>
        </is>
      </c>
    </row>
    <row r="699" hidden="1" outlineLevel="1">
      <c r="A699" s="14" t="inlineStr">
        <is>
          <t>reqcg</t>
        </is>
      </c>
      <c r="B699" s="14" t="inlineStr"/>
      <c r="C699" s="14" t="inlineStr"/>
      <c r="D699" s="39" t="n"/>
      <c r="E699" s="39" t="n"/>
      <c r="F699" s="39" t="n"/>
      <c r="G699" s="39" t="n"/>
      <c r="H699" s="14">
        <f>INDEX(VarLab,MATCH($A699,VarKey,0))&amp;INDEX(MemLab,MATCH($C699&amp;"|"&amp;$B699,MemKey,0))</f>
        <v/>
      </c>
      <c r="I699" s="14">
        <f>INDEX(VarUnit,MATCH($A699,VarKey,0))</f>
        <v/>
      </c>
      <c r="J699" s="14">
        <f>INDEX(VarSrc,MATCH($A699,VarKey,0))</f>
        <v/>
      </c>
      <c r="K699" s="11">
        <f>CodePrefix&amp;$A699&amp;IF($C699="","","."&amp;$C699&amp;"."&amp;$B699)&amp;INDEX(VarEnd,MATCH($A699,VarKey,0))&amp;K$5</f>
        <v/>
      </c>
      <c r="L699" s="46">
        <f>MAX(L$696-SUMPRODUCT(L$784:L$792,1-$D$723:$D$731),0)</f>
        <v/>
      </c>
      <c r="M699" s="47">
        <f>MAX(M$696-SUMPRODUCT(M$784:M$792,1-$D$723:$D$731),0)</f>
        <v/>
      </c>
      <c r="N699" s="47">
        <f>MAX(N$696-SUMPRODUCT(N$784:N$792,1-$D$723:$D$731),0)</f>
        <v/>
      </c>
      <c r="O699" s="47">
        <f>MAX(O$696-SUMPRODUCT(O$784:O$792,1-$D$723:$D$731),0)</f>
        <v/>
      </c>
      <c r="P699" s="47">
        <f>MAX(P$696-SUMPRODUCT(P$784:P$792,1-$D$723:$D$731),0)</f>
        <v/>
      </c>
      <c r="Q699" s="47">
        <f>MAX(Q$696-SUMPRODUCT(Q$784:Q$792,1-$D$723:$D$731),0)</f>
        <v/>
      </c>
      <c r="R699" s="47">
        <f>MAX(R$696-SUMPRODUCT(R$784:R$792,1-$D$723:$D$731),0)</f>
        <v/>
      </c>
      <c r="S699" s="47">
        <f>MAX(S$696-SUMPRODUCT(S$784:S$792,1-$D$723:$D$731),0)</f>
        <v/>
      </c>
      <c r="T699" s="47">
        <f>MAX(T$696-SUMPRODUCT(T$784:T$792,1-$D$723:$D$731),0)</f>
        <v/>
      </c>
      <c r="U699" s="47">
        <f>MAX(U$696-SUMPRODUCT(U$784:U$792,1-$D$723:$D$731),0)</f>
        <v/>
      </c>
      <c r="V699" s="47">
        <f>MAX(V$696-SUMPRODUCT(V$784:V$792,1-$D$723:$D$731),0)</f>
        <v/>
      </c>
      <c r="W699" s="47">
        <f>MAX(W$696-SUMPRODUCT(W$784:W$792,1-$D$723:$D$731),0)</f>
        <v/>
      </c>
      <c r="X699" s="47">
        <f>MAX(X$696-SUMPRODUCT(X$784:X$792,1-$D$723:$D$731),0)</f>
        <v/>
      </c>
      <c r="Y699" s="47">
        <f>MAX(Y$696-SUMPRODUCT(Y$784:Y$792,1-$D$723:$D$731),0)</f>
        <v/>
      </c>
      <c r="Z699" s="47">
        <f>MAX(Z$696-SUMPRODUCT(Z$784:Z$792,1-$D$723:$D$731),0)</f>
        <v/>
      </c>
      <c r="AA699" s="47">
        <f>MAX(AA$696-SUMPRODUCT(AA$784:AA$792,1-$D$723:$D$731),0)</f>
        <v/>
      </c>
      <c r="AB699" s="47">
        <f>MAX(AB$696-SUMPRODUCT(AB$784:AB$792,1-$D$723:$D$731),0)</f>
        <v/>
      </c>
      <c r="AC699" s="47">
        <f>MAX(AC$696-SUMPRODUCT(AC$784:AC$792,1-$D$723:$D$731),0)</f>
        <v/>
      </c>
      <c r="AD699" s="47">
        <f>MAX(AD$696-SUMPRODUCT(AD$784:AD$792,1-$D$723:$D$731),0)</f>
        <v/>
      </c>
      <c r="AE699" s="48">
        <f>RESIDUAL(AE$696,SUMPRODUCT(AE$784:AE$792,1-$D$723:$D$731))</f>
        <v/>
      </c>
      <c r="AG699" s="11">
        <f>CodePrefix&amp;$A699&amp;IF($C699="","","."&amp;$C699&amp;"."&amp;$B699)&amp;INDEX(VarEnd,MATCH($A699,VarKey,0))&amp;AG$5</f>
        <v/>
      </c>
      <c r="AH699" s="46">
        <f>MAX(AH$696-SUMPRODUCT(AH$784:AH$792,1-$D$723:$D$731),0)</f>
        <v/>
      </c>
      <c r="AI699" s="47">
        <f>MAX(AI$696-SUMPRODUCT(AI$784:AI$792,1-$D$723:$D$731),0)</f>
        <v/>
      </c>
      <c r="AJ699" s="47">
        <f>MAX(AJ$696-SUMPRODUCT(AJ$784:AJ$792,1-$D$723:$D$731),0)</f>
        <v/>
      </c>
      <c r="AK699" s="47">
        <f>MAX(AK$696-SUMPRODUCT(AK$784:AK$792,1-$D$723:$D$731),0)</f>
        <v/>
      </c>
      <c r="AL699" s="47">
        <f>MAX(AL$696-SUMPRODUCT(AL$784:AL$792,1-$D$723:$D$731),0)</f>
        <v/>
      </c>
      <c r="AM699" s="47">
        <f>MAX(AM$696-SUMPRODUCT(AM$784:AM$792,1-$D$723:$D$731),0)</f>
        <v/>
      </c>
      <c r="AN699" s="47">
        <f>MAX(AN$696-SUMPRODUCT(AN$784:AN$792,1-$D$723:$D$731),0)</f>
        <v/>
      </c>
      <c r="AO699" s="47">
        <f>MAX(AO$696-SUMPRODUCT(AO$784:AO$792,1-$D$723:$D$731),0)</f>
        <v/>
      </c>
      <c r="AP699" s="47">
        <f>MAX(AP$696-SUMPRODUCT(AP$784:AP$792,1-$D$723:$D$731),0)</f>
        <v/>
      </c>
      <c r="AQ699" s="47">
        <f>MAX(AQ$696-SUMPRODUCT(AQ$784:AQ$792,1-$D$723:$D$731),0)</f>
        <v/>
      </c>
      <c r="AR699" s="47">
        <f>MAX(AR$696-SUMPRODUCT(AR$784:AR$792,1-$D$723:$D$731),0)</f>
        <v/>
      </c>
      <c r="AS699" s="47">
        <f>MAX(AS$696-SUMPRODUCT(AS$784:AS$792,1-$D$723:$D$731),0)</f>
        <v/>
      </c>
      <c r="AT699" s="47">
        <f>MAX(AT$696-SUMPRODUCT(AT$784:AT$792,1-$D$723:$D$731),0)</f>
        <v/>
      </c>
      <c r="AU699" s="47">
        <f>MAX(AU$696-SUMPRODUCT(AU$784:AU$792,1-$D$723:$D$731),0)</f>
        <v/>
      </c>
      <c r="AV699" s="47">
        <f>MAX(AV$696-SUMPRODUCT(AV$784:AV$792,1-$D$723:$D$731),0)</f>
        <v/>
      </c>
      <c r="AW699" s="47">
        <f>MAX(AW$696-SUMPRODUCT(AW$784:AW$792,1-$D$723:$D$731),0)</f>
        <v/>
      </c>
      <c r="AX699" s="47">
        <f>MAX(AX$696-SUMPRODUCT(AX$784:AX$792,1-$D$723:$D$731),0)</f>
        <v/>
      </c>
      <c r="AY699" s="47">
        <f>MAX(AY$696-SUMPRODUCT(AY$784:AY$792,1-$D$723:$D$731),0)</f>
        <v/>
      </c>
      <c r="AZ699" s="47">
        <f>MAX(AZ$696-SUMPRODUCT(AZ$784:AZ$792,1-$D$723:$D$731),0)</f>
        <v/>
      </c>
      <c r="BA699" s="48">
        <f>RESIDUAL(BA$696,SUMPRODUCT(BA$784:BA$792,1-$D$723:$D$731))</f>
        <v/>
      </c>
    </row>
    <row r="700" hidden="1" outlineLevel="1">
      <c r="A700" s="14" t="inlineStr">
        <is>
          <t>vcmin</t>
        </is>
      </c>
      <c r="B700" s="14" t="inlineStr"/>
      <c r="C700" s="14" t="inlineStr"/>
      <c r="D700" s="45">
        <f>INDEX(PParVal,MATCH("min_cost",PParKey,0))</f>
        <v/>
      </c>
      <c r="E700" s="39" t="n"/>
      <c r="F700" s="39" t="n"/>
      <c r="G700" s="39" t="n"/>
      <c r="H700" s="14">
        <f>INDEX(VarLab,MATCH($A700,VarKey,0))&amp;INDEX(MemLab,MATCH($C700&amp;"|"&amp;$B700,MemKey,0))</f>
        <v/>
      </c>
      <c r="I700" s="14">
        <f>INDEX(VarUnit,MATCH($A700,VarKey,0))</f>
        <v/>
      </c>
      <c r="J700" s="14">
        <f>INDEX(VarSrc,MATCH($A700,VarKey,0))</f>
        <v/>
      </c>
      <c r="K700" s="11">
        <f>CodePrefix&amp;$A700&amp;IF($C700="","","."&amp;$C700&amp;"."&amp;$B700)&amp;INDEX(VarEnd,MATCH($A700,VarKey,0))&amp;K$5</f>
        <v/>
      </c>
      <c r="L700" s="15">
        <f>MAX(_xlfn.MINIFS(L$571:L$579,$D$723:$D$731,1),$D700)</f>
        <v/>
      </c>
      <c r="M700" s="16">
        <f>MAX(_xlfn.MINIFS(M$571:M$579,$D$723:$D$731,1),$D700)</f>
        <v/>
      </c>
      <c r="N700" s="16">
        <f>MAX(_xlfn.MINIFS(N$571:N$579,$D$723:$D$731,1),$D700)</f>
        <v/>
      </c>
      <c r="O700" s="16">
        <f>MAX(_xlfn.MINIFS(O$571:O$579,$D$723:$D$731,1),$D700)</f>
        <v/>
      </c>
      <c r="P700" s="16">
        <f>MAX(_xlfn.MINIFS(P$571:P$579,$D$723:$D$731,1),$D700)</f>
        <v/>
      </c>
      <c r="Q700" s="16">
        <f>MAX(_xlfn.MINIFS(Q$571:Q$579,$D$723:$D$731,1),$D700)</f>
        <v/>
      </c>
      <c r="R700" s="16">
        <f>MAX(_xlfn.MINIFS(R$571:R$579,$D$723:$D$731,1),$D700)</f>
        <v/>
      </c>
      <c r="S700" s="16">
        <f>MAX(_xlfn.MINIFS(S$571:S$579,$D$723:$D$731,1),$D700)</f>
        <v/>
      </c>
      <c r="T700" s="16">
        <f>MAX(_xlfn.MINIFS(T$571:T$579,$D$723:$D$731,1),$D700)</f>
        <v/>
      </c>
      <c r="U700" s="16">
        <f>MAX(_xlfn.MINIFS(U$571:U$579,$D$723:$D$731,1),$D700)</f>
        <v/>
      </c>
      <c r="V700" s="16">
        <f>MAX(_xlfn.MINIFS(V$571:V$579,$D$723:$D$731,1),$D700)</f>
        <v/>
      </c>
      <c r="W700" s="16">
        <f>MAX(_xlfn.MINIFS(W$571:W$579,$D$723:$D$731,1),$D700)</f>
        <v/>
      </c>
      <c r="X700" s="16">
        <f>MAX(_xlfn.MINIFS(X$571:X$579,$D$723:$D$731,1),$D700)</f>
        <v/>
      </c>
      <c r="Y700" s="16">
        <f>MAX(_xlfn.MINIFS(Y$571:Y$579,$D$723:$D$731,1),$D700)</f>
        <v/>
      </c>
      <c r="Z700" s="16">
        <f>MAX(_xlfn.MINIFS(Z$571:Z$579,$D$723:$D$731,1),$D700)</f>
        <v/>
      </c>
      <c r="AA700" s="16">
        <f>MAX(_xlfn.MINIFS(AA$571:AA$579,$D$723:$D$731,1),$D700)</f>
        <v/>
      </c>
      <c r="AB700" s="16">
        <f>MAX(_xlfn.MINIFS(AB$571:AB$579,$D$723:$D$731,1),$D700)</f>
        <v/>
      </c>
      <c r="AC700" s="16">
        <f>MAX(_xlfn.MINIFS(AC$571:AC$579,$D$723:$D$731,1),$D700)</f>
        <v/>
      </c>
      <c r="AD700" s="16">
        <f>MAX(_xlfn.MINIFS(AD$571:AD$579,$D$723:$D$731,1),$D700)</f>
        <v/>
      </c>
      <c r="AE700" s="49">
        <f>FLOORMIN(AE$571:AE$579,$D$723:$D$731,$D700)</f>
        <v/>
      </c>
      <c r="AG700" s="11">
        <f>CodePrefix&amp;$A700&amp;IF($C700="","","."&amp;$C700&amp;"."&amp;$B700)&amp;INDEX(VarEnd,MATCH($A700,VarKey,0))&amp;AG$5</f>
        <v/>
      </c>
      <c r="AH700" s="15">
        <f>MAX(_xlfn.MINIFS(AH$571:AH$579,$D$723:$D$731,1),$D700)</f>
        <v/>
      </c>
      <c r="AI700" s="16">
        <f>MAX(_xlfn.MINIFS(AI$571:AI$579,$D$723:$D$731,1),$D700)</f>
        <v/>
      </c>
      <c r="AJ700" s="16">
        <f>MAX(_xlfn.MINIFS(AJ$571:AJ$579,$D$723:$D$731,1),$D700)</f>
        <v/>
      </c>
      <c r="AK700" s="16">
        <f>MAX(_xlfn.MINIFS(AK$571:AK$579,$D$723:$D$731,1),$D700)</f>
        <v/>
      </c>
      <c r="AL700" s="16">
        <f>MAX(_xlfn.MINIFS(AL$571:AL$579,$D$723:$D$731,1),$D700)</f>
        <v/>
      </c>
      <c r="AM700" s="16">
        <f>MAX(_xlfn.MINIFS(AM$571:AM$579,$D$723:$D$731,1),$D700)</f>
        <v/>
      </c>
      <c r="AN700" s="16">
        <f>MAX(_xlfn.MINIFS(AN$571:AN$579,$D$723:$D$731,1),$D700)</f>
        <v/>
      </c>
      <c r="AO700" s="16">
        <f>MAX(_xlfn.MINIFS(AO$571:AO$579,$D$723:$D$731,1),$D700)</f>
        <v/>
      </c>
      <c r="AP700" s="16">
        <f>MAX(_xlfn.MINIFS(AP$571:AP$579,$D$723:$D$731,1),$D700)</f>
        <v/>
      </c>
      <c r="AQ700" s="16">
        <f>MAX(_xlfn.MINIFS(AQ$571:AQ$579,$D$723:$D$731,1),$D700)</f>
        <v/>
      </c>
      <c r="AR700" s="16">
        <f>MAX(_xlfn.MINIFS(AR$571:AR$579,$D$723:$D$731,1),$D700)</f>
        <v/>
      </c>
      <c r="AS700" s="16">
        <f>MAX(_xlfn.MINIFS(AS$571:AS$579,$D$723:$D$731,1),$D700)</f>
        <v/>
      </c>
      <c r="AT700" s="16">
        <f>MAX(_xlfn.MINIFS(AT$571:AT$579,$D$723:$D$731,1),$D700)</f>
        <v/>
      </c>
      <c r="AU700" s="16">
        <f>MAX(_xlfn.MINIFS(AU$571:AU$579,$D$723:$D$731,1),$D700)</f>
        <v/>
      </c>
      <c r="AV700" s="16">
        <f>MAX(_xlfn.MINIFS(AV$571:AV$579,$D$723:$D$731,1),$D700)</f>
        <v/>
      </c>
      <c r="AW700" s="16">
        <f>MAX(_xlfn.MINIFS(AW$571:AW$579,$D$723:$D$731,1),$D700)</f>
        <v/>
      </c>
      <c r="AX700" s="16">
        <f>MAX(_xlfn.MINIFS(AX$571:AX$579,$D$723:$D$731,1),$D700)</f>
        <v/>
      </c>
      <c r="AY700" s="16">
        <f>MAX(_xlfn.MINIFS(AY$571:AY$579,$D$723:$D$731,1),$D700)</f>
        <v/>
      </c>
      <c r="AZ700" s="16">
        <f>MAX(_xlfn.MINIFS(AZ$571:AZ$579,$D$723:$D$731,1),$D700)</f>
        <v/>
      </c>
      <c r="BA700" s="49">
        <f>FLOORMIN(BA$571:BA$579,$D$723:$D$731,$D700)</f>
        <v/>
      </c>
    </row>
    <row r="701" hidden="1" outlineLevel="1">
      <c r="A701" s="14" t="inlineStr">
        <is>
          <t>rem</t>
        </is>
      </c>
      <c r="B701" s="14" t="inlineStr"/>
      <c r="C701" s="14" t="inlineStr"/>
      <c r="D701" s="39" t="n"/>
      <c r="E701" s="39" t="n"/>
      <c r="F701" s="39" t="n"/>
      <c r="G701" s="39" t="n"/>
      <c r="H701" s="14">
        <f>INDEX(VarLab,MATCH($A701,VarKey,0))&amp;INDEX(MemLab,MATCH($C701&amp;"|"&amp;$B701,MemKey,0))</f>
        <v/>
      </c>
      <c r="I701" s="14">
        <f>INDEX(VarUnit,MATCH($A701,VarKey,0))</f>
        <v/>
      </c>
      <c r="J701" s="14">
        <f>INDEX(VarSrc,MATCH($A701,VarKey,0))</f>
        <v/>
      </c>
      <c r="K701" s="11">
        <f>CodePrefix&amp;$A701&amp;IF($C701="","","."&amp;$C701&amp;"."&amp;$B701)&amp;INDEX(VarEnd,MATCH($A701,VarKey,0))&amp;K$5</f>
        <v/>
      </c>
      <c r="L701" s="46">
        <f>MAX(L$699-SUM(L$703:L$711),0)</f>
        <v/>
      </c>
      <c r="M701" s="47">
        <f>MAX(M$699-SUM(M$703:M$711),0)</f>
        <v/>
      </c>
      <c r="N701" s="47">
        <f>MAX(N$699-SUM(N$703:N$711),0)</f>
        <v/>
      </c>
      <c r="O701" s="47">
        <f>MAX(O$699-SUM(O$703:O$711),0)</f>
        <v/>
      </c>
      <c r="P701" s="47">
        <f>MAX(P$699-SUM(P$703:P$711),0)</f>
        <v/>
      </c>
      <c r="Q701" s="47">
        <f>MAX(Q$699-SUM(Q$703:Q$711),0)</f>
        <v/>
      </c>
      <c r="R701" s="47">
        <f>MAX(R$699-SUM(R$703:R$711),0)</f>
        <v/>
      </c>
      <c r="S701" s="47">
        <f>MAX(S$699-SUM(S$703:S$711),0)</f>
        <v/>
      </c>
      <c r="T701" s="47">
        <f>MAX(T$699-SUM(T$703:T$711),0)</f>
        <v/>
      </c>
      <c r="U701" s="47">
        <f>MAX(U$699-SUM(U$703:U$711),0)</f>
        <v/>
      </c>
      <c r="V701" s="47">
        <f>MAX(V$699-SUM(V$703:V$711),0)</f>
        <v/>
      </c>
      <c r="W701" s="47">
        <f>MAX(W$699-SUM(W$703:W$711),0)</f>
        <v/>
      </c>
      <c r="X701" s="47">
        <f>MAX(X$699-SUM(X$703:X$711),0)</f>
        <v/>
      </c>
      <c r="Y701" s="47">
        <f>MAX(Y$699-SUM(Y$703:Y$711),0)</f>
        <v/>
      </c>
      <c r="Z701" s="47">
        <f>MAX(Z$699-SUM(Z$703:Z$711),0)</f>
        <v/>
      </c>
      <c r="AA701" s="47">
        <f>MAX(AA$699-SUM(AA$703:AA$711),0)</f>
        <v/>
      </c>
      <c r="AB701" s="47">
        <f>MAX(AB$699-SUM(AB$703:AB$711),0)</f>
        <v/>
      </c>
      <c r="AC701" s="47">
        <f>MAX(AC$699-SUM(AC$703:AC$711),0)</f>
        <v/>
      </c>
      <c r="AD701" s="47">
        <f>MAX(AD$699-SUM(AD$703:AD$711),0)</f>
        <v/>
      </c>
      <c r="AE701" s="48">
        <f>RESIDUAL(AE$699,SUM(AE$703:AE$711))</f>
        <v/>
      </c>
      <c r="AG701" s="11">
        <f>CodePrefix&amp;$A701&amp;IF($C701="","","."&amp;$C701&amp;"."&amp;$B701)&amp;INDEX(VarEnd,MATCH($A701,VarKey,0))&amp;AG$5</f>
        <v/>
      </c>
      <c r="AH701" s="46">
        <f>MAX(AH$699-SUM(AH$703:AH$711),0)</f>
        <v/>
      </c>
      <c r="AI701" s="47">
        <f>MAX(AI$699-SUM(AI$703:AI$711),0)</f>
        <v/>
      </c>
      <c r="AJ701" s="47">
        <f>MAX(AJ$699-SUM(AJ$703:AJ$711),0)</f>
        <v/>
      </c>
      <c r="AK701" s="47">
        <f>MAX(AK$699-SUM(AK$703:AK$711),0)</f>
        <v/>
      </c>
      <c r="AL701" s="47">
        <f>MAX(AL$699-SUM(AL$703:AL$711),0)</f>
        <v/>
      </c>
      <c r="AM701" s="47">
        <f>MAX(AM$699-SUM(AM$703:AM$711),0)</f>
        <v/>
      </c>
      <c r="AN701" s="47">
        <f>MAX(AN$699-SUM(AN$703:AN$711),0)</f>
        <v/>
      </c>
      <c r="AO701" s="47">
        <f>MAX(AO$699-SUM(AO$703:AO$711),0)</f>
        <v/>
      </c>
      <c r="AP701" s="47">
        <f>MAX(AP$699-SUM(AP$703:AP$711),0)</f>
        <v/>
      </c>
      <c r="AQ701" s="47">
        <f>MAX(AQ$699-SUM(AQ$703:AQ$711),0)</f>
        <v/>
      </c>
      <c r="AR701" s="47">
        <f>MAX(AR$699-SUM(AR$703:AR$711),0)</f>
        <v/>
      </c>
      <c r="AS701" s="47">
        <f>MAX(AS$699-SUM(AS$703:AS$711),0)</f>
        <v/>
      </c>
      <c r="AT701" s="47">
        <f>MAX(AT$699-SUM(AT$703:AT$711),0)</f>
        <v/>
      </c>
      <c r="AU701" s="47">
        <f>MAX(AU$699-SUM(AU$703:AU$711),0)</f>
        <v/>
      </c>
      <c r="AV701" s="47">
        <f>MAX(AV$699-SUM(AV$703:AV$711),0)</f>
        <v/>
      </c>
      <c r="AW701" s="47">
        <f>MAX(AW$699-SUM(AW$703:AW$711),0)</f>
        <v/>
      </c>
      <c r="AX701" s="47">
        <f>MAX(AX$699-SUM(AX$703:AX$711),0)</f>
        <v/>
      </c>
      <c r="AY701" s="47">
        <f>MAX(AY$699-SUM(AY$703:AY$711),0)</f>
        <v/>
      </c>
      <c r="AZ701" s="47">
        <f>MAX(AZ$699-SUM(AZ$703:AZ$711),0)</f>
        <v/>
      </c>
      <c r="BA701" s="48">
        <f>RESIDUAL(BA$699,SUM(BA$703:BA$711))</f>
        <v/>
      </c>
    </row>
    <row r="702" hidden="1" outlineLevel="1"/>
    <row r="703" hidden="1" outlineLevel="1">
      <c r="A703" s="14" t="inlineStr">
        <is>
          <t>gmin</t>
        </is>
      </c>
      <c r="B703" s="14" t="inlineStr">
        <is>
          <t>coa</t>
        </is>
      </c>
      <c r="C703" s="14" t="inlineStr">
        <is>
          <t>pow</t>
        </is>
      </c>
      <c r="D703" s="45">
        <f>INDEX(Inputs_power!$AN$5:$AN$13,MATCH($B703,Inputs_power!$A$5:$A$13,0))</f>
        <v/>
      </c>
      <c r="E703" s="45">
        <f>INDEX(PParVal,MATCH("maxcf_cg",PParKey,0))</f>
        <v/>
      </c>
      <c r="F703" s="39" t="n"/>
      <c r="G703" s="39" t="n"/>
      <c r="H703" s="14">
        <f>INDEX(VarLab,MATCH($A703,VarKey,0))&amp;INDEX(MemLab,MATCH($C703&amp;"|"&amp;$B703,MemKey,0))</f>
        <v/>
      </c>
      <c r="I703" s="14">
        <f>INDEX(VarUnit,MATCH($A703,VarKey,0))</f>
        <v/>
      </c>
      <c r="J703" s="14">
        <f>INDEX(VarSrc,MATCH($A703,VarKey,0))</f>
        <v/>
      </c>
      <c r="K703" s="11">
        <f>CodePrefix&amp;$A703&amp;IF($C703="","","."&amp;$C703&amp;"."&amp;$B703)&amp;INDEX(VarEnd,MATCH($A703,VarKey,0))&amp;K$5</f>
        <v/>
      </c>
      <c r="L703" s="46">
        <f>$D703*MIN(MAX(L$699-(SUMPRODUCT(L$772:L$780,$D$723:$D$731)*$E703-L772*$E703),0),L772*$E703)</f>
        <v/>
      </c>
      <c r="M703" s="47">
        <f>$D703*MIN(MAX(M$699-(SUMPRODUCT(M$772:M$780,$D$723:$D$731)*$E703-M772*$E703),0),M772*$E703)</f>
        <v/>
      </c>
      <c r="N703" s="47">
        <f>$D703*MIN(MAX(N$699-(SUMPRODUCT(N$772:N$780,$D$723:$D$731)*$E703-N772*$E703),0),N772*$E703)</f>
        <v/>
      </c>
      <c r="O703" s="47">
        <f>$D703*MIN(MAX(O$699-(SUMPRODUCT(O$772:O$780,$D$723:$D$731)*$E703-O772*$E703),0),O772*$E703)</f>
        <v/>
      </c>
      <c r="P703" s="47">
        <f>$D703*MIN(MAX(P$699-(SUMPRODUCT(P$772:P$780,$D$723:$D$731)*$E703-P772*$E703),0),P772*$E703)</f>
        <v/>
      </c>
      <c r="Q703" s="47">
        <f>$D703*MIN(MAX(Q$699-(SUMPRODUCT(Q$772:Q$780,$D$723:$D$731)*$E703-Q772*$E703),0),Q772*$E703)</f>
        <v/>
      </c>
      <c r="R703" s="47">
        <f>$D703*MIN(MAX(R$699-(SUMPRODUCT(R$772:R$780,$D$723:$D$731)*$E703-R772*$E703),0),R772*$E703)</f>
        <v/>
      </c>
      <c r="S703" s="47">
        <f>$D703*MIN(MAX(S$699-(SUMPRODUCT(S$772:S$780,$D$723:$D$731)*$E703-S772*$E703),0),S772*$E703)</f>
        <v/>
      </c>
      <c r="T703" s="47">
        <f>$D703*MIN(MAX(T$699-(SUMPRODUCT(T$772:T$780,$D$723:$D$731)*$E703-T772*$E703),0),T772*$E703)</f>
        <v/>
      </c>
      <c r="U703" s="47">
        <f>$D703*MIN(MAX(U$699-(SUMPRODUCT(U$772:U$780,$D$723:$D$731)*$E703-U772*$E703),0),U772*$E703)</f>
        <v/>
      </c>
      <c r="V703" s="47">
        <f>$D703*MIN(MAX(V$699-(SUMPRODUCT(V$772:V$780,$D$723:$D$731)*$E703-V772*$E703),0),V772*$E703)</f>
        <v/>
      </c>
      <c r="W703" s="47">
        <f>$D703*MIN(MAX(W$699-(SUMPRODUCT(W$772:W$780,$D$723:$D$731)*$E703-W772*$E703),0),W772*$E703)</f>
        <v/>
      </c>
      <c r="X703" s="47">
        <f>$D703*MIN(MAX(X$699-(SUMPRODUCT(X$772:X$780,$D$723:$D$731)*$E703-X772*$E703),0),X772*$E703)</f>
        <v/>
      </c>
      <c r="Y703" s="47">
        <f>$D703*MIN(MAX(Y$699-(SUMPRODUCT(Y$772:Y$780,$D$723:$D$731)*$E703-Y772*$E703),0),Y772*$E703)</f>
        <v/>
      </c>
      <c r="Z703" s="47">
        <f>$D703*MIN(MAX(Z$699-(SUMPRODUCT(Z$772:Z$780,$D$723:$D$731)*$E703-Z772*$E703),0),Z772*$E703)</f>
        <v/>
      </c>
      <c r="AA703" s="47">
        <f>$D703*MIN(MAX(AA$699-(SUMPRODUCT(AA$772:AA$780,$D$723:$D$731)*$E703-AA772*$E703),0),AA772*$E703)</f>
        <v/>
      </c>
      <c r="AB703" s="47">
        <f>$D703*MIN(MAX(AB$699-(SUMPRODUCT(AB$772:AB$780,$D$723:$D$731)*$E703-AB772*$E703),0),AB772*$E703)</f>
        <v/>
      </c>
      <c r="AC703" s="47">
        <f>$D703*MIN(MAX(AC$699-(SUMPRODUCT(AC$772:AC$780,$D$723:$D$731)*$E703-AC772*$E703),0),AC772*$E703)</f>
        <v/>
      </c>
      <c r="AD703" s="47">
        <f>$D703*MIN(MAX(AD$699-(SUMPRODUCT(AD$772:AD$780,$D$723:$D$731)*$E703-AD772*$E703),0),AD772*$E703)</f>
        <v/>
      </c>
      <c r="AE703" s="48">
        <f>MINDISPATCH($D703,AE$699,SUMPRODUCT(AE$772:AE$780,$D$723:$D$731)*$E703,AE772*$E703)</f>
        <v/>
      </c>
      <c r="AG703" s="11">
        <f>CodePrefix&amp;$A703&amp;IF($C703="","","."&amp;$C703&amp;"."&amp;$B703)&amp;INDEX(VarEnd,MATCH($A703,VarKey,0))&amp;AG$5</f>
        <v/>
      </c>
      <c r="AH703" s="46">
        <f>$D703*MIN(MAX(AH$699-(SUMPRODUCT(AH$772:AH$780,$D$723:$D$731)*$E703-AH772*$E703),0),AH772*$E703)</f>
        <v/>
      </c>
      <c r="AI703" s="47">
        <f>$D703*MIN(MAX(AI$699-(SUMPRODUCT(AI$772:AI$780,$D$723:$D$731)*$E703-AI772*$E703),0),AI772*$E703)</f>
        <v/>
      </c>
      <c r="AJ703" s="47">
        <f>$D703*MIN(MAX(AJ$699-(SUMPRODUCT(AJ$772:AJ$780,$D$723:$D$731)*$E703-AJ772*$E703),0),AJ772*$E703)</f>
        <v/>
      </c>
      <c r="AK703" s="47">
        <f>$D703*MIN(MAX(AK$699-(SUMPRODUCT(AK$772:AK$780,$D$723:$D$731)*$E703-AK772*$E703),0),AK772*$E703)</f>
        <v/>
      </c>
      <c r="AL703" s="47">
        <f>$D703*MIN(MAX(AL$699-(SUMPRODUCT(AL$772:AL$780,$D$723:$D$731)*$E703-AL772*$E703),0),AL772*$E703)</f>
        <v/>
      </c>
      <c r="AM703" s="47">
        <f>$D703*MIN(MAX(AM$699-(SUMPRODUCT(AM$772:AM$780,$D$723:$D$731)*$E703-AM772*$E703),0),AM772*$E703)</f>
        <v/>
      </c>
      <c r="AN703" s="47">
        <f>$D703*MIN(MAX(AN$699-(SUMPRODUCT(AN$772:AN$780,$D$723:$D$731)*$E703-AN772*$E703),0),AN772*$E703)</f>
        <v/>
      </c>
      <c r="AO703" s="47">
        <f>$D703*MIN(MAX(AO$699-(SUMPRODUCT(AO$772:AO$780,$D$723:$D$731)*$E703-AO772*$E703),0),AO772*$E703)</f>
        <v/>
      </c>
      <c r="AP703" s="47">
        <f>$D703*MIN(MAX(AP$699-(SUMPRODUCT(AP$772:AP$780,$D$723:$D$731)*$E703-AP772*$E703),0),AP772*$E703)</f>
        <v/>
      </c>
      <c r="AQ703" s="47">
        <f>$D703*MIN(MAX(AQ$699-(SUMPRODUCT(AQ$772:AQ$780,$D$723:$D$731)*$E703-AQ772*$E703),0),AQ772*$E703)</f>
        <v/>
      </c>
      <c r="AR703" s="47">
        <f>$D703*MIN(MAX(AR$699-(SUMPRODUCT(AR$772:AR$780,$D$723:$D$731)*$E703-AR772*$E703),0),AR772*$E703)</f>
        <v/>
      </c>
      <c r="AS703" s="47">
        <f>$D703*MIN(MAX(AS$699-(SUMPRODUCT(AS$772:AS$780,$D$723:$D$731)*$E703-AS772*$E703),0),AS772*$E703)</f>
        <v/>
      </c>
      <c r="AT703" s="47">
        <f>$D703*MIN(MAX(AT$699-(SUMPRODUCT(AT$772:AT$780,$D$723:$D$731)*$E703-AT772*$E703),0),AT772*$E703)</f>
        <v/>
      </c>
      <c r="AU703" s="47">
        <f>$D703*MIN(MAX(AU$699-(SUMPRODUCT(AU$772:AU$780,$D$723:$D$731)*$E703-AU772*$E703),0),AU772*$E703)</f>
        <v/>
      </c>
      <c r="AV703" s="47">
        <f>$D703*MIN(MAX(AV$699-(SUMPRODUCT(AV$772:AV$780,$D$723:$D$731)*$E703-AV772*$E703),0),AV772*$E703)</f>
        <v/>
      </c>
      <c r="AW703" s="47">
        <f>$D703*MIN(MAX(AW$699-(SUMPRODUCT(AW$772:AW$780,$D$723:$D$731)*$E703-AW772*$E703),0),AW772*$E703)</f>
        <v/>
      </c>
      <c r="AX703" s="47">
        <f>$D703*MIN(MAX(AX$699-(SUMPRODUCT(AX$772:AX$780,$D$723:$D$731)*$E703-AX772*$E703),0),AX772*$E703)</f>
        <v/>
      </c>
      <c r="AY703" s="47">
        <f>$D703*MIN(MAX(AY$699-(SUMPRODUCT(AY$772:AY$780,$D$723:$D$731)*$E703-AY772*$E703),0),AY772*$E703)</f>
        <v/>
      </c>
      <c r="AZ703" s="47">
        <f>$D703*MIN(MAX(AZ$699-(SUMPRODUCT(AZ$772:AZ$780,$D$723:$D$731)*$E703-AZ772*$E703),0),AZ772*$E703)</f>
        <v/>
      </c>
      <c r="BA703" s="48">
        <f>MINDISPATCH($D703,BA$699,SUMPRODUCT(BA$772:BA$780,$D$723:$D$731)*$E703,BA772*$E703)</f>
        <v/>
      </c>
    </row>
    <row r="704" hidden="1" outlineLevel="1">
      <c r="A704" s="14" t="inlineStr">
        <is>
          <t>gmin</t>
        </is>
      </c>
      <c r="B704" s="14" t="inlineStr">
        <is>
          <t>nga</t>
        </is>
      </c>
      <c r="C704" s="14" t="inlineStr">
        <is>
          <t>pow</t>
        </is>
      </c>
      <c r="D704" s="45">
        <f>INDEX(Inputs_power!$AN$5:$AN$13,MATCH($B704,Inputs_power!$A$5:$A$13,0))</f>
        <v/>
      </c>
      <c r="E704" s="45">
        <f>INDEX(PParVal,MATCH("maxcf_cg",PParKey,0))</f>
        <v/>
      </c>
      <c r="F704" s="39" t="n"/>
      <c r="G704" s="39" t="n"/>
      <c r="H704" s="14">
        <f>INDEX(VarLab,MATCH($A704,VarKey,0))&amp;INDEX(MemLab,MATCH($C704&amp;"|"&amp;$B704,MemKey,0))</f>
        <v/>
      </c>
      <c r="I704" s="14">
        <f>INDEX(VarUnit,MATCH($A704,VarKey,0))</f>
        <v/>
      </c>
      <c r="J704" s="14">
        <f>INDEX(VarSrc,MATCH($A704,VarKey,0))</f>
        <v/>
      </c>
      <c r="K704" s="11">
        <f>CodePrefix&amp;$A704&amp;IF($C704="","","."&amp;$C704&amp;"."&amp;$B704)&amp;INDEX(VarEnd,MATCH($A704,VarKey,0))&amp;K$5</f>
        <v/>
      </c>
      <c r="L704" s="46">
        <f>$D704*MIN(MAX(L$699-(SUMPRODUCT(L$772:L$780,$D$723:$D$731)*$E704-L773*$E704),0),L773*$E704)</f>
        <v/>
      </c>
      <c r="M704" s="47">
        <f>$D704*MIN(MAX(M$699-(SUMPRODUCT(M$772:M$780,$D$723:$D$731)*$E704-M773*$E704),0),M773*$E704)</f>
        <v/>
      </c>
      <c r="N704" s="47">
        <f>$D704*MIN(MAX(N$699-(SUMPRODUCT(N$772:N$780,$D$723:$D$731)*$E704-N773*$E704),0),N773*$E704)</f>
        <v/>
      </c>
      <c r="O704" s="47">
        <f>$D704*MIN(MAX(O$699-(SUMPRODUCT(O$772:O$780,$D$723:$D$731)*$E704-O773*$E704),0),O773*$E704)</f>
        <v/>
      </c>
      <c r="P704" s="47">
        <f>$D704*MIN(MAX(P$699-(SUMPRODUCT(P$772:P$780,$D$723:$D$731)*$E704-P773*$E704),0),P773*$E704)</f>
        <v/>
      </c>
      <c r="Q704" s="47">
        <f>$D704*MIN(MAX(Q$699-(SUMPRODUCT(Q$772:Q$780,$D$723:$D$731)*$E704-Q773*$E704),0),Q773*$E704)</f>
        <v/>
      </c>
      <c r="R704" s="47">
        <f>$D704*MIN(MAX(R$699-(SUMPRODUCT(R$772:R$780,$D$723:$D$731)*$E704-R773*$E704),0),R773*$E704)</f>
        <v/>
      </c>
      <c r="S704" s="47">
        <f>$D704*MIN(MAX(S$699-(SUMPRODUCT(S$772:S$780,$D$723:$D$731)*$E704-S773*$E704),0),S773*$E704)</f>
        <v/>
      </c>
      <c r="T704" s="47">
        <f>$D704*MIN(MAX(T$699-(SUMPRODUCT(T$772:T$780,$D$723:$D$731)*$E704-T773*$E704),0),T773*$E704)</f>
        <v/>
      </c>
      <c r="U704" s="47">
        <f>$D704*MIN(MAX(U$699-(SUMPRODUCT(U$772:U$780,$D$723:$D$731)*$E704-U773*$E704),0),U773*$E704)</f>
        <v/>
      </c>
      <c r="V704" s="47">
        <f>$D704*MIN(MAX(V$699-(SUMPRODUCT(V$772:V$780,$D$723:$D$731)*$E704-V773*$E704),0),V773*$E704)</f>
        <v/>
      </c>
      <c r="W704" s="47">
        <f>$D704*MIN(MAX(W$699-(SUMPRODUCT(W$772:W$780,$D$723:$D$731)*$E704-W773*$E704),0),W773*$E704)</f>
        <v/>
      </c>
      <c r="X704" s="47">
        <f>$D704*MIN(MAX(X$699-(SUMPRODUCT(X$772:X$780,$D$723:$D$731)*$E704-X773*$E704),0),X773*$E704)</f>
        <v/>
      </c>
      <c r="Y704" s="47">
        <f>$D704*MIN(MAX(Y$699-(SUMPRODUCT(Y$772:Y$780,$D$723:$D$731)*$E704-Y773*$E704),0),Y773*$E704)</f>
        <v/>
      </c>
      <c r="Z704" s="47">
        <f>$D704*MIN(MAX(Z$699-(SUMPRODUCT(Z$772:Z$780,$D$723:$D$731)*$E704-Z773*$E704),0),Z773*$E704)</f>
        <v/>
      </c>
      <c r="AA704" s="47">
        <f>$D704*MIN(MAX(AA$699-(SUMPRODUCT(AA$772:AA$780,$D$723:$D$731)*$E704-AA773*$E704),0),AA773*$E704)</f>
        <v/>
      </c>
      <c r="AB704" s="47">
        <f>$D704*MIN(MAX(AB$699-(SUMPRODUCT(AB$772:AB$780,$D$723:$D$731)*$E704-AB773*$E704),0),AB773*$E704)</f>
        <v/>
      </c>
      <c r="AC704" s="47">
        <f>$D704*MIN(MAX(AC$699-(SUMPRODUCT(AC$772:AC$780,$D$723:$D$731)*$E704-AC773*$E704),0),AC773*$E704)</f>
        <v/>
      </c>
      <c r="AD704" s="47">
        <f>$D704*MIN(MAX(AD$699-(SUMPRODUCT(AD$772:AD$780,$D$723:$D$731)*$E704-AD773*$E704),0),AD773*$E704)</f>
        <v/>
      </c>
      <c r="AE704" s="48">
        <f>MINDISPATCH($D704,AE$699,SUMPRODUCT(AE$772:AE$780,$D$723:$D$731)*$E704,AE773*$E704)</f>
        <v/>
      </c>
      <c r="AG704" s="11">
        <f>CodePrefix&amp;$A704&amp;IF($C704="","","."&amp;$C704&amp;"."&amp;$B704)&amp;INDEX(VarEnd,MATCH($A704,VarKey,0))&amp;AG$5</f>
        <v/>
      </c>
      <c r="AH704" s="46">
        <f>$D704*MIN(MAX(AH$699-(SUMPRODUCT(AH$772:AH$780,$D$723:$D$731)*$E704-AH773*$E704),0),AH773*$E704)</f>
        <v/>
      </c>
      <c r="AI704" s="47">
        <f>$D704*MIN(MAX(AI$699-(SUMPRODUCT(AI$772:AI$780,$D$723:$D$731)*$E704-AI773*$E704),0),AI773*$E704)</f>
        <v/>
      </c>
      <c r="AJ704" s="47">
        <f>$D704*MIN(MAX(AJ$699-(SUMPRODUCT(AJ$772:AJ$780,$D$723:$D$731)*$E704-AJ773*$E704),0),AJ773*$E704)</f>
        <v/>
      </c>
      <c r="AK704" s="47">
        <f>$D704*MIN(MAX(AK$699-(SUMPRODUCT(AK$772:AK$780,$D$723:$D$731)*$E704-AK773*$E704),0),AK773*$E704)</f>
        <v/>
      </c>
      <c r="AL704" s="47">
        <f>$D704*MIN(MAX(AL$699-(SUMPRODUCT(AL$772:AL$780,$D$723:$D$731)*$E704-AL773*$E704),0),AL773*$E704)</f>
        <v/>
      </c>
      <c r="AM704" s="47">
        <f>$D704*MIN(MAX(AM$699-(SUMPRODUCT(AM$772:AM$780,$D$723:$D$731)*$E704-AM773*$E704),0),AM773*$E704)</f>
        <v/>
      </c>
      <c r="AN704" s="47">
        <f>$D704*MIN(MAX(AN$699-(SUMPRODUCT(AN$772:AN$780,$D$723:$D$731)*$E704-AN773*$E704),0),AN773*$E704)</f>
        <v/>
      </c>
      <c r="AO704" s="47">
        <f>$D704*MIN(MAX(AO$699-(SUMPRODUCT(AO$772:AO$780,$D$723:$D$731)*$E704-AO773*$E704),0),AO773*$E704)</f>
        <v/>
      </c>
      <c r="AP704" s="47">
        <f>$D704*MIN(MAX(AP$699-(SUMPRODUCT(AP$772:AP$780,$D$723:$D$731)*$E704-AP773*$E704),0),AP773*$E704)</f>
        <v/>
      </c>
      <c r="AQ704" s="47">
        <f>$D704*MIN(MAX(AQ$699-(SUMPRODUCT(AQ$772:AQ$780,$D$723:$D$731)*$E704-AQ773*$E704),0),AQ773*$E704)</f>
        <v/>
      </c>
      <c r="AR704" s="47">
        <f>$D704*MIN(MAX(AR$699-(SUMPRODUCT(AR$772:AR$780,$D$723:$D$731)*$E704-AR773*$E704),0),AR773*$E704)</f>
        <v/>
      </c>
      <c r="AS704" s="47">
        <f>$D704*MIN(MAX(AS$699-(SUMPRODUCT(AS$772:AS$780,$D$723:$D$731)*$E704-AS773*$E704),0),AS773*$E704)</f>
        <v/>
      </c>
      <c r="AT704" s="47">
        <f>$D704*MIN(MAX(AT$699-(SUMPRODUCT(AT$772:AT$780,$D$723:$D$731)*$E704-AT773*$E704),0),AT773*$E704)</f>
        <v/>
      </c>
      <c r="AU704" s="47">
        <f>$D704*MIN(MAX(AU$699-(SUMPRODUCT(AU$772:AU$780,$D$723:$D$731)*$E704-AU773*$E704),0),AU773*$E704)</f>
        <v/>
      </c>
      <c r="AV704" s="47">
        <f>$D704*MIN(MAX(AV$699-(SUMPRODUCT(AV$772:AV$780,$D$723:$D$731)*$E704-AV773*$E704),0),AV773*$E704)</f>
        <v/>
      </c>
      <c r="AW704" s="47">
        <f>$D704*MIN(MAX(AW$699-(SUMPRODUCT(AW$772:AW$780,$D$723:$D$731)*$E704-AW773*$E704),0),AW773*$E704)</f>
        <v/>
      </c>
      <c r="AX704" s="47">
        <f>$D704*MIN(MAX(AX$699-(SUMPRODUCT(AX$772:AX$780,$D$723:$D$731)*$E704-AX773*$E704),0),AX773*$E704)</f>
        <v/>
      </c>
      <c r="AY704" s="47">
        <f>$D704*MIN(MAX(AY$699-(SUMPRODUCT(AY$772:AY$780,$D$723:$D$731)*$E704-AY773*$E704),0),AY773*$E704)</f>
        <v/>
      </c>
      <c r="AZ704" s="47">
        <f>$D704*MIN(MAX(AZ$699-(SUMPRODUCT(AZ$772:AZ$780,$D$723:$D$731)*$E704-AZ773*$E704),0),AZ773*$E704)</f>
        <v/>
      </c>
      <c r="BA704" s="48">
        <f>MINDISPATCH($D704,BA$699,SUMPRODUCT(BA$772:BA$780,$D$723:$D$731)*$E704,BA773*$E704)</f>
        <v/>
      </c>
    </row>
    <row r="705" hidden="1" outlineLevel="1">
      <c r="A705" s="14" t="inlineStr">
        <is>
          <t>gmin</t>
        </is>
      </c>
      <c r="B705" s="14" t="inlineStr">
        <is>
          <t>oop</t>
        </is>
      </c>
      <c r="C705" s="14" t="inlineStr">
        <is>
          <t>pow</t>
        </is>
      </c>
      <c r="D705" s="45">
        <f>INDEX(Inputs_power!$AN$5:$AN$13,MATCH($B705,Inputs_power!$A$5:$A$13,0))</f>
        <v/>
      </c>
      <c r="E705" s="45">
        <f>INDEX(PParVal,MATCH("maxcf_cg",PParKey,0))</f>
        <v/>
      </c>
      <c r="F705" s="39" t="n"/>
      <c r="G705" s="39" t="n"/>
      <c r="H705" s="14">
        <f>INDEX(VarLab,MATCH($A705,VarKey,0))&amp;INDEX(MemLab,MATCH($C705&amp;"|"&amp;$B705,MemKey,0))</f>
        <v/>
      </c>
      <c r="I705" s="14">
        <f>INDEX(VarUnit,MATCH($A705,VarKey,0))</f>
        <v/>
      </c>
      <c r="J705" s="14">
        <f>INDEX(VarSrc,MATCH($A705,VarKey,0))</f>
        <v/>
      </c>
      <c r="K705" s="11">
        <f>CodePrefix&amp;$A705&amp;IF($C705="","","."&amp;$C705&amp;"."&amp;$B705)&amp;INDEX(VarEnd,MATCH($A705,VarKey,0))&amp;K$5</f>
        <v/>
      </c>
      <c r="L705" s="46">
        <f>$D705*MIN(MAX(L$699-(SUMPRODUCT(L$772:L$780,$D$723:$D$731)*$E705-L774*$E705),0),L774*$E705)</f>
        <v/>
      </c>
      <c r="M705" s="47">
        <f>$D705*MIN(MAX(M$699-(SUMPRODUCT(M$772:M$780,$D$723:$D$731)*$E705-M774*$E705),0),M774*$E705)</f>
        <v/>
      </c>
      <c r="N705" s="47">
        <f>$D705*MIN(MAX(N$699-(SUMPRODUCT(N$772:N$780,$D$723:$D$731)*$E705-N774*$E705),0),N774*$E705)</f>
        <v/>
      </c>
      <c r="O705" s="47">
        <f>$D705*MIN(MAX(O$699-(SUMPRODUCT(O$772:O$780,$D$723:$D$731)*$E705-O774*$E705),0),O774*$E705)</f>
        <v/>
      </c>
      <c r="P705" s="47">
        <f>$D705*MIN(MAX(P$699-(SUMPRODUCT(P$772:P$780,$D$723:$D$731)*$E705-P774*$E705),0),P774*$E705)</f>
        <v/>
      </c>
      <c r="Q705" s="47">
        <f>$D705*MIN(MAX(Q$699-(SUMPRODUCT(Q$772:Q$780,$D$723:$D$731)*$E705-Q774*$E705),0),Q774*$E705)</f>
        <v/>
      </c>
      <c r="R705" s="47">
        <f>$D705*MIN(MAX(R$699-(SUMPRODUCT(R$772:R$780,$D$723:$D$731)*$E705-R774*$E705),0),R774*$E705)</f>
        <v/>
      </c>
      <c r="S705" s="47">
        <f>$D705*MIN(MAX(S$699-(SUMPRODUCT(S$772:S$780,$D$723:$D$731)*$E705-S774*$E705),0),S774*$E705)</f>
        <v/>
      </c>
      <c r="T705" s="47">
        <f>$D705*MIN(MAX(T$699-(SUMPRODUCT(T$772:T$780,$D$723:$D$731)*$E705-T774*$E705),0),T774*$E705)</f>
        <v/>
      </c>
      <c r="U705" s="47">
        <f>$D705*MIN(MAX(U$699-(SUMPRODUCT(U$772:U$780,$D$723:$D$731)*$E705-U774*$E705),0),U774*$E705)</f>
        <v/>
      </c>
      <c r="V705" s="47">
        <f>$D705*MIN(MAX(V$699-(SUMPRODUCT(V$772:V$780,$D$723:$D$731)*$E705-V774*$E705),0),V774*$E705)</f>
        <v/>
      </c>
      <c r="W705" s="47">
        <f>$D705*MIN(MAX(W$699-(SUMPRODUCT(W$772:W$780,$D$723:$D$731)*$E705-W774*$E705),0),W774*$E705)</f>
        <v/>
      </c>
      <c r="X705" s="47">
        <f>$D705*MIN(MAX(X$699-(SUMPRODUCT(X$772:X$780,$D$723:$D$731)*$E705-X774*$E705),0),X774*$E705)</f>
        <v/>
      </c>
      <c r="Y705" s="47">
        <f>$D705*MIN(MAX(Y$699-(SUMPRODUCT(Y$772:Y$780,$D$723:$D$731)*$E705-Y774*$E705),0),Y774*$E705)</f>
        <v/>
      </c>
      <c r="Z705" s="47">
        <f>$D705*MIN(MAX(Z$699-(SUMPRODUCT(Z$772:Z$780,$D$723:$D$731)*$E705-Z774*$E705),0),Z774*$E705)</f>
        <v/>
      </c>
      <c r="AA705" s="47">
        <f>$D705*MIN(MAX(AA$699-(SUMPRODUCT(AA$772:AA$780,$D$723:$D$731)*$E705-AA774*$E705),0),AA774*$E705)</f>
        <v/>
      </c>
      <c r="AB705" s="47">
        <f>$D705*MIN(MAX(AB$699-(SUMPRODUCT(AB$772:AB$780,$D$723:$D$731)*$E705-AB774*$E705),0),AB774*$E705)</f>
        <v/>
      </c>
      <c r="AC705" s="47">
        <f>$D705*MIN(MAX(AC$699-(SUMPRODUCT(AC$772:AC$780,$D$723:$D$731)*$E705-AC774*$E705),0),AC774*$E705)</f>
        <v/>
      </c>
      <c r="AD705" s="47">
        <f>$D705*MIN(MAX(AD$699-(SUMPRODUCT(AD$772:AD$780,$D$723:$D$731)*$E705-AD774*$E705),0),AD774*$E705)</f>
        <v/>
      </c>
      <c r="AE705" s="48">
        <f>MINDISPATCH($D705,AE$699,SUMPRODUCT(AE$772:AE$780,$D$723:$D$731)*$E705,AE774*$E705)</f>
        <v/>
      </c>
      <c r="AG705" s="11">
        <f>CodePrefix&amp;$A705&amp;IF($C705="","","."&amp;$C705&amp;"."&amp;$B705)&amp;INDEX(VarEnd,MATCH($A705,VarKey,0))&amp;AG$5</f>
        <v/>
      </c>
      <c r="AH705" s="46">
        <f>$D705*MIN(MAX(AH$699-(SUMPRODUCT(AH$772:AH$780,$D$723:$D$731)*$E705-AH774*$E705),0),AH774*$E705)</f>
        <v/>
      </c>
      <c r="AI705" s="47">
        <f>$D705*MIN(MAX(AI$699-(SUMPRODUCT(AI$772:AI$780,$D$723:$D$731)*$E705-AI774*$E705),0),AI774*$E705)</f>
        <v/>
      </c>
      <c r="AJ705" s="47">
        <f>$D705*MIN(MAX(AJ$699-(SUMPRODUCT(AJ$772:AJ$780,$D$723:$D$731)*$E705-AJ774*$E705),0),AJ774*$E705)</f>
        <v/>
      </c>
      <c r="AK705" s="47">
        <f>$D705*MIN(MAX(AK$699-(SUMPRODUCT(AK$772:AK$780,$D$723:$D$731)*$E705-AK774*$E705),0),AK774*$E705)</f>
        <v/>
      </c>
      <c r="AL705" s="47">
        <f>$D705*MIN(MAX(AL$699-(SUMPRODUCT(AL$772:AL$780,$D$723:$D$731)*$E705-AL774*$E705),0),AL774*$E705)</f>
        <v/>
      </c>
      <c r="AM705" s="47">
        <f>$D705*MIN(MAX(AM$699-(SUMPRODUCT(AM$772:AM$780,$D$723:$D$731)*$E705-AM774*$E705),0),AM774*$E705)</f>
        <v/>
      </c>
      <c r="AN705" s="47">
        <f>$D705*MIN(MAX(AN$699-(SUMPRODUCT(AN$772:AN$780,$D$723:$D$731)*$E705-AN774*$E705),0),AN774*$E705)</f>
        <v/>
      </c>
      <c r="AO705" s="47">
        <f>$D705*MIN(MAX(AO$699-(SUMPRODUCT(AO$772:AO$780,$D$723:$D$731)*$E705-AO774*$E705),0),AO774*$E705)</f>
        <v/>
      </c>
      <c r="AP705" s="47">
        <f>$D705*MIN(MAX(AP$699-(SUMPRODUCT(AP$772:AP$780,$D$723:$D$731)*$E705-AP774*$E705),0),AP774*$E705)</f>
        <v/>
      </c>
      <c r="AQ705" s="47">
        <f>$D705*MIN(MAX(AQ$699-(SUMPRODUCT(AQ$772:AQ$780,$D$723:$D$731)*$E705-AQ774*$E705),0),AQ774*$E705)</f>
        <v/>
      </c>
      <c r="AR705" s="47">
        <f>$D705*MIN(MAX(AR$699-(SUMPRODUCT(AR$772:AR$780,$D$723:$D$731)*$E705-AR774*$E705),0),AR774*$E705)</f>
        <v/>
      </c>
      <c r="AS705" s="47">
        <f>$D705*MIN(MAX(AS$699-(SUMPRODUCT(AS$772:AS$780,$D$723:$D$731)*$E705-AS774*$E705),0),AS774*$E705)</f>
        <v/>
      </c>
      <c r="AT705" s="47">
        <f>$D705*MIN(MAX(AT$699-(SUMPRODUCT(AT$772:AT$780,$D$723:$D$731)*$E705-AT774*$E705),0),AT774*$E705)</f>
        <v/>
      </c>
      <c r="AU705" s="47">
        <f>$D705*MIN(MAX(AU$699-(SUMPRODUCT(AU$772:AU$780,$D$723:$D$731)*$E705-AU774*$E705),0),AU774*$E705)</f>
        <v/>
      </c>
      <c r="AV705" s="47">
        <f>$D705*MIN(MAX(AV$699-(SUMPRODUCT(AV$772:AV$780,$D$723:$D$731)*$E705-AV774*$E705),0),AV774*$E705)</f>
        <v/>
      </c>
      <c r="AW705" s="47">
        <f>$D705*MIN(MAX(AW$699-(SUMPRODUCT(AW$772:AW$780,$D$723:$D$731)*$E705-AW774*$E705),0),AW774*$E705)</f>
        <v/>
      </c>
      <c r="AX705" s="47">
        <f>$D705*MIN(MAX(AX$699-(SUMPRODUCT(AX$772:AX$780,$D$723:$D$731)*$E705-AX774*$E705),0),AX774*$E705)</f>
        <v/>
      </c>
      <c r="AY705" s="47">
        <f>$D705*MIN(MAX(AY$699-(SUMPRODUCT(AY$772:AY$780,$D$723:$D$731)*$E705-AY774*$E705),0),AY774*$E705)</f>
        <v/>
      </c>
      <c r="AZ705" s="47">
        <f>$D705*MIN(MAX(AZ$699-(SUMPRODUCT(AZ$772:AZ$780,$D$723:$D$731)*$E705-AZ774*$E705),0),AZ774*$E705)</f>
        <v/>
      </c>
      <c r="BA705" s="48">
        <f>MINDISPATCH($D705,BA$699,SUMPRODUCT(BA$772:BA$780,$D$723:$D$731)*$E705,BA774*$E705)</f>
        <v/>
      </c>
    </row>
    <row r="706" hidden="1" outlineLevel="1">
      <c r="A706" s="14" t="inlineStr">
        <is>
          <t>gmin</t>
        </is>
      </c>
      <c r="B706" s="14" t="inlineStr">
        <is>
          <t>nuc</t>
        </is>
      </c>
      <c r="C706" s="14" t="inlineStr">
        <is>
          <t>pow</t>
        </is>
      </c>
      <c r="D706" s="45">
        <f>INDEX(Inputs_power!$AN$5:$AN$13,MATCH($B706,Inputs_power!$A$5:$A$13,0))</f>
        <v/>
      </c>
      <c r="E706" s="45">
        <f>INDEX(PParVal,MATCH("maxcf_cg",PParKey,0))</f>
        <v/>
      </c>
      <c r="F706" s="39" t="n"/>
      <c r="G706" s="39" t="n"/>
      <c r="H706" s="14">
        <f>INDEX(VarLab,MATCH($A706,VarKey,0))&amp;INDEX(MemLab,MATCH($C706&amp;"|"&amp;$B706,MemKey,0))</f>
        <v/>
      </c>
      <c r="I706" s="14">
        <f>INDEX(VarUnit,MATCH($A706,VarKey,0))</f>
        <v/>
      </c>
      <c r="J706" s="14">
        <f>INDEX(VarSrc,MATCH($A706,VarKey,0))</f>
        <v/>
      </c>
      <c r="K706" s="11">
        <f>CodePrefix&amp;$A706&amp;IF($C706="","","."&amp;$C706&amp;"."&amp;$B706)&amp;INDEX(VarEnd,MATCH($A706,VarKey,0))&amp;K$5</f>
        <v/>
      </c>
      <c r="L706" s="46">
        <f>$D706*MIN(MAX(L$699-(SUMPRODUCT(L$772:L$780,$D$723:$D$731)*$E706-L775*$E706),0),L775*$E706)</f>
        <v/>
      </c>
      <c r="M706" s="47">
        <f>$D706*MIN(MAX(M$699-(SUMPRODUCT(M$772:M$780,$D$723:$D$731)*$E706-M775*$E706),0),M775*$E706)</f>
        <v/>
      </c>
      <c r="N706" s="47">
        <f>$D706*MIN(MAX(N$699-(SUMPRODUCT(N$772:N$780,$D$723:$D$731)*$E706-N775*$E706),0),N775*$E706)</f>
        <v/>
      </c>
      <c r="O706" s="47">
        <f>$D706*MIN(MAX(O$699-(SUMPRODUCT(O$772:O$780,$D$723:$D$731)*$E706-O775*$E706),0),O775*$E706)</f>
        <v/>
      </c>
      <c r="P706" s="47">
        <f>$D706*MIN(MAX(P$699-(SUMPRODUCT(P$772:P$780,$D$723:$D$731)*$E706-P775*$E706),0),P775*$E706)</f>
        <v/>
      </c>
      <c r="Q706" s="47">
        <f>$D706*MIN(MAX(Q$699-(SUMPRODUCT(Q$772:Q$780,$D$723:$D$731)*$E706-Q775*$E706),0),Q775*$E706)</f>
        <v/>
      </c>
      <c r="R706" s="47">
        <f>$D706*MIN(MAX(R$699-(SUMPRODUCT(R$772:R$780,$D$723:$D$731)*$E706-R775*$E706),0),R775*$E706)</f>
        <v/>
      </c>
      <c r="S706" s="47">
        <f>$D706*MIN(MAX(S$699-(SUMPRODUCT(S$772:S$780,$D$723:$D$731)*$E706-S775*$E706),0),S775*$E706)</f>
        <v/>
      </c>
      <c r="T706" s="47">
        <f>$D706*MIN(MAX(T$699-(SUMPRODUCT(T$772:T$780,$D$723:$D$731)*$E706-T775*$E706),0),T775*$E706)</f>
        <v/>
      </c>
      <c r="U706" s="47">
        <f>$D706*MIN(MAX(U$699-(SUMPRODUCT(U$772:U$780,$D$723:$D$731)*$E706-U775*$E706),0),U775*$E706)</f>
        <v/>
      </c>
      <c r="V706" s="47">
        <f>$D706*MIN(MAX(V$699-(SUMPRODUCT(V$772:V$780,$D$723:$D$731)*$E706-V775*$E706),0),V775*$E706)</f>
        <v/>
      </c>
      <c r="W706" s="47">
        <f>$D706*MIN(MAX(W$699-(SUMPRODUCT(W$772:W$780,$D$723:$D$731)*$E706-W775*$E706),0),W775*$E706)</f>
        <v/>
      </c>
      <c r="X706" s="47">
        <f>$D706*MIN(MAX(X$699-(SUMPRODUCT(X$772:X$780,$D$723:$D$731)*$E706-X775*$E706),0),X775*$E706)</f>
        <v/>
      </c>
      <c r="Y706" s="47">
        <f>$D706*MIN(MAX(Y$699-(SUMPRODUCT(Y$772:Y$780,$D$723:$D$731)*$E706-Y775*$E706),0),Y775*$E706)</f>
        <v/>
      </c>
      <c r="Z706" s="47">
        <f>$D706*MIN(MAX(Z$699-(SUMPRODUCT(Z$772:Z$780,$D$723:$D$731)*$E706-Z775*$E706),0),Z775*$E706)</f>
        <v/>
      </c>
      <c r="AA706" s="47">
        <f>$D706*MIN(MAX(AA$699-(SUMPRODUCT(AA$772:AA$780,$D$723:$D$731)*$E706-AA775*$E706),0),AA775*$E706)</f>
        <v/>
      </c>
      <c r="AB706" s="47">
        <f>$D706*MIN(MAX(AB$699-(SUMPRODUCT(AB$772:AB$780,$D$723:$D$731)*$E706-AB775*$E706),0),AB775*$E706)</f>
        <v/>
      </c>
      <c r="AC706" s="47">
        <f>$D706*MIN(MAX(AC$699-(SUMPRODUCT(AC$772:AC$780,$D$723:$D$731)*$E706-AC775*$E706),0),AC775*$E706)</f>
        <v/>
      </c>
      <c r="AD706" s="47">
        <f>$D706*MIN(MAX(AD$699-(SUMPRODUCT(AD$772:AD$780,$D$723:$D$731)*$E706-AD775*$E706),0),AD775*$E706)</f>
        <v/>
      </c>
      <c r="AE706" s="48">
        <f>MINDISPATCH($D706,AE$699,SUMPRODUCT(AE$772:AE$780,$D$723:$D$731)*$E706,AE775*$E706)</f>
        <v/>
      </c>
      <c r="AG706" s="11">
        <f>CodePrefix&amp;$A706&amp;IF($C706="","","."&amp;$C706&amp;"."&amp;$B706)&amp;INDEX(VarEnd,MATCH($A706,VarKey,0))&amp;AG$5</f>
        <v/>
      </c>
      <c r="AH706" s="46">
        <f>$D706*MIN(MAX(AH$699-(SUMPRODUCT(AH$772:AH$780,$D$723:$D$731)*$E706-AH775*$E706),0),AH775*$E706)</f>
        <v/>
      </c>
      <c r="AI706" s="47">
        <f>$D706*MIN(MAX(AI$699-(SUMPRODUCT(AI$772:AI$780,$D$723:$D$731)*$E706-AI775*$E706),0),AI775*$E706)</f>
        <v/>
      </c>
      <c r="AJ706" s="47">
        <f>$D706*MIN(MAX(AJ$699-(SUMPRODUCT(AJ$772:AJ$780,$D$723:$D$731)*$E706-AJ775*$E706),0),AJ775*$E706)</f>
        <v/>
      </c>
      <c r="AK706" s="47">
        <f>$D706*MIN(MAX(AK$699-(SUMPRODUCT(AK$772:AK$780,$D$723:$D$731)*$E706-AK775*$E706),0),AK775*$E706)</f>
        <v/>
      </c>
      <c r="AL706" s="47">
        <f>$D706*MIN(MAX(AL$699-(SUMPRODUCT(AL$772:AL$780,$D$723:$D$731)*$E706-AL775*$E706),0),AL775*$E706)</f>
        <v/>
      </c>
      <c r="AM706" s="47">
        <f>$D706*MIN(MAX(AM$699-(SUMPRODUCT(AM$772:AM$780,$D$723:$D$731)*$E706-AM775*$E706),0),AM775*$E706)</f>
        <v/>
      </c>
      <c r="AN706" s="47">
        <f>$D706*MIN(MAX(AN$699-(SUMPRODUCT(AN$772:AN$780,$D$723:$D$731)*$E706-AN775*$E706),0),AN775*$E706)</f>
        <v/>
      </c>
      <c r="AO706" s="47">
        <f>$D706*MIN(MAX(AO$699-(SUMPRODUCT(AO$772:AO$780,$D$723:$D$731)*$E706-AO775*$E706),0),AO775*$E706)</f>
        <v/>
      </c>
      <c r="AP706" s="47">
        <f>$D706*MIN(MAX(AP$699-(SUMPRODUCT(AP$772:AP$780,$D$723:$D$731)*$E706-AP775*$E706),0),AP775*$E706)</f>
        <v/>
      </c>
      <c r="AQ706" s="47">
        <f>$D706*MIN(MAX(AQ$699-(SUMPRODUCT(AQ$772:AQ$780,$D$723:$D$731)*$E706-AQ775*$E706),0),AQ775*$E706)</f>
        <v/>
      </c>
      <c r="AR706" s="47">
        <f>$D706*MIN(MAX(AR$699-(SUMPRODUCT(AR$772:AR$780,$D$723:$D$731)*$E706-AR775*$E706),0),AR775*$E706)</f>
        <v/>
      </c>
      <c r="AS706" s="47">
        <f>$D706*MIN(MAX(AS$699-(SUMPRODUCT(AS$772:AS$780,$D$723:$D$731)*$E706-AS775*$E706),0),AS775*$E706)</f>
        <v/>
      </c>
      <c r="AT706" s="47">
        <f>$D706*MIN(MAX(AT$699-(SUMPRODUCT(AT$772:AT$780,$D$723:$D$731)*$E706-AT775*$E706),0),AT775*$E706)</f>
        <v/>
      </c>
      <c r="AU706" s="47">
        <f>$D706*MIN(MAX(AU$699-(SUMPRODUCT(AU$772:AU$780,$D$723:$D$731)*$E706-AU775*$E706),0),AU775*$E706)</f>
        <v/>
      </c>
      <c r="AV706" s="47">
        <f>$D706*MIN(MAX(AV$699-(SUMPRODUCT(AV$772:AV$780,$D$723:$D$731)*$E706-AV775*$E706),0),AV775*$E706)</f>
        <v/>
      </c>
      <c r="AW706" s="47">
        <f>$D706*MIN(MAX(AW$699-(SUMPRODUCT(AW$772:AW$780,$D$723:$D$731)*$E706-AW775*$E706),0),AW775*$E706)</f>
        <v/>
      </c>
      <c r="AX706" s="47">
        <f>$D706*MIN(MAX(AX$699-(SUMPRODUCT(AX$772:AX$780,$D$723:$D$731)*$E706-AX775*$E706),0),AX775*$E706)</f>
        <v/>
      </c>
      <c r="AY706" s="47">
        <f>$D706*MIN(MAX(AY$699-(SUMPRODUCT(AY$772:AY$780,$D$723:$D$731)*$E706-AY775*$E706),0),AY775*$E706)</f>
        <v/>
      </c>
      <c r="AZ706" s="47">
        <f>$D706*MIN(MAX(AZ$699-(SUMPRODUCT(AZ$772:AZ$780,$D$723:$D$731)*$E706-AZ775*$E706),0),AZ775*$E706)</f>
        <v/>
      </c>
      <c r="BA706" s="48">
        <f>MINDISPATCH($D706,BA$699,SUMPRODUCT(BA$772:BA$780,$D$723:$D$731)*$E706,BA775*$E706)</f>
        <v/>
      </c>
    </row>
    <row r="707" hidden="1" outlineLevel="1">
      <c r="A707" s="14" t="inlineStr">
        <is>
          <t>gmin</t>
        </is>
      </c>
      <c r="B707" s="14" t="inlineStr">
        <is>
          <t>wnd</t>
        </is>
      </c>
      <c r="C707" s="14" t="inlineStr">
        <is>
          <t>pow</t>
        </is>
      </c>
      <c r="D707" s="45">
        <f>INDEX(Inputs_power!$AN$5:$AN$13,MATCH($B707,Inputs_power!$A$5:$A$13,0))</f>
        <v/>
      </c>
      <c r="E707" s="45">
        <f>INDEX(PParVal,MATCH("maxcf_cg",PParKey,0))</f>
        <v/>
      </c>
      <c r="F707" s="39" t="n"/>
      <c r="G707" s="39" t="n"/>
      <c r="H707" s="14">
        <f>INDEX(VarLab,MATCH($A707,VarKey,0))&amp;INDEX(MemLab,MATCH($C707&amp;"|"&amp;$B707,MemKey,0))</f>
        <v/>
      </c>
      <c r="I707" s="14">
        <f>INDEX(VarUnit,MATCH($A707,VarKey,0))</f>
        <v/>
      </c>
      <c r="J707" s="14">
        <f>INDEX(VarSrc,MATCH($A707,VarKey,0))</f>
        <v/>
      </c>
      <c r="K707" s="11">
        <f>CodePrefix&amp;$A707&amp;IF($C707="","","."&amp;$C707&amp;"."&amp;$B707)&amp;INDEX(VarEnd,MATCH($A707,VarKey,0))&amp;K$5</f>
        <v/>
      </c>
      <c r="L707" s="46">
        <f>$D707*MIN(MAX(L$699-(SUMPRODUCT(L$772:L$780,$D$723:$D$731)*$E707-L776*$E707),0),L776*$E707)</f>
        <v/>
      </c>
      <c r="M707" s="47">
        <f>$D707*MIN(MAX(M$699-(SUMPRODUCT(M$772:M$780,$D$723:$D$731)*$E707-M776*$E707),0),M776*$E707)</f>
        <v/>
      </c>
      <c r="N707" s="47">
        <f>$D707*MIN(MAX(N$699-(SUMPRODUCT(N$772:N$780,$D$723:$D$731)*$E707-N776*$E707),0),N776*$E707)</f>
        <v/>
      </c>
      <c r="O707" s="47">
        <f>$D707*MIN(MAX(O$699-(SUMPRODUCT(O$772:O$780,$D$723:$D$731)*$E707-O776*$E707),0),O776*$E707)</f>
        <v/>
      </c>
      <c r="P707" s="47">
        <f>$D707*MIN(MAX(P$699-(SUMPRODUCT(P$772:P$780,$D$723:$D$731)*$E707-P776*$E707),0),P776*$E707)</f>
        <v/>
      </c>
      <c r="Q707" s="47">
        <f>$D707*MIN(MAX(Q$699-(SUMPRODUCT(Q$772:Q$780,$D$723:$D$731)*$E707-Q776*$E707),0),Q776*$E707)</f>
        <v/>
      </c>
      <c r="R707" s="47">
        <f>$D707*MIN(MAX(R$699-(SUMPRODUCT(R$772:R$780,$D$723:$D$731)*$E707-R776*$E707),0),R776*$E707)</f>
        <v/>
      </c>
      <c r="S707" s="47">
        <f>$D707*MIN(MAX(S$699-(SUMPRODUCT(S$772:S$780,$D$723:$D$731)*$E707-S776*$E707),0),S776*$E707)</f>
        <v/>
      </c>
      <c r="T707" s="47">
        <f>$D707*MIN(MAX(T$699-(SUMPRODUCT(T$772:T$780,$D$723:$D$731)*$E707-T776*$E707),0),T776*$E707)</f>
        <v/>
      </c>
      <c r="U707" s="47">
        <f>$D707*MIN(MAX(U$699-(SUMPRODUCT(U$772:U$780,$D$723:$D$731)*$E707-U776*$E707),0),U776*$E707)</f>
        <v/>
      </c>
      <c r="V707" s="47">
        <f>$D707*MIN(MAX(V$699-(SUMPRODUCT(V$772:V$780,$D$723:$D$731)*$E707-V776*$E707),0),V776*$E707)</f>
        <v/>
      </c>
      <c r="W707" s="47">
        <f>$D707*MIN(MAX(W$699-(SUMPRODUCT(W$772:W$780,$D$723:$D$731)*$E707-W776*$E707),0),W776*$E707)</f>
        <v/>
      </c>
      <c r="X707" s="47">
        <f>$D707*MIN(MAX(X$699-(SUMPRODUCT(X$772:X$780,$D$723:$D$731)*$E707-X776*$E707),0),X776*$E707)</f>
        <v/>
      </c>
      <c r="Y707" s="47">
        <f>$D707*MIN(MAX(Y$699-(SUMPRODUCT(Y$772:Y$780,$D$723:$D$731)*$E707-Y776*$E707),0),Y776*$E707)</f>
        <v/>
      </c>
      <c r="Z707" s="47">
        <f>$D707*MIN(MAX(Z$699-(SUMPRODUCT(Z$772:Z$780,$D$723:$D$731)*$E707-Z776*$E707),0),Z776*$E707)</f>
        <v/>
      </c>
      <c r="AA707" s="47">
        <f>$D707*MIN(MAX(AA$699-(SUMPRODUCT(AA$772:AA$780,$D$723:$D$731)*$E707-AA776*$E707),0),AA776*$E707)</f>
        <v/>
      </c>
      <c r="AB707" s="47">
        <f>$D707*MIN(MAX(AB$699-(SUMPRODUCT(AB$772:AB$780,$D$723:$D$731)*$E707-AB776*$E707),0),AB776*$E707)</f>
        <v/>
      </c>
      <c r="AC707" s="47">
        <f>$D707*MIN(MAX(AC$699-(SUMPRODUCT(AC$772:AC$780,$D$723:$D$731)*$E707-AC776*$E707),0),AC776*$E707)</f>
        <v/>
      </c>
      <c r="AD707" s="47">
        <f>$D707*MIN(MAX(AD$699-(SUMPRODUCT(AD$772:AD$780,$D$723:$D$731)*$E707-AD776*$E707),0),AD776*$E707)</f>
        <v/>
      </c>
      <c r="AE707" s="48">
        <f>MINDISPATCH($D707,AE$699,SUMPRODUCT(AE$772:AE$780,$D$723:$D$731)*$E707,AE776*$E707)</f>
        <v/>
      </c>
      <c r="AG707" s="11">
        <f>CodePrefix&amp;$A707&amp;IF($C707="","","."&amp;$C707&amp;"."&amp;$B707)&amp;INDEX(VarEnd,MATCH($A707,VarKey,0))&amp;AG$5</f>
        <v/>
      </c>
      <c r="AH707" s="46">
        <f>$D707*MIN(MAX(AH$699-(SUMPRODUCT(AH$772:AH$780,$D$723:$D$731)*$E707-AH776*$E707),0),AH776*$E707)</f>
        <v/>
      </c>
      <c r="AI707" s="47">
        <f>$D707*MIN(MAX(AI$699-(SUMPRODUCT(AI$772:AI$780,$D$723:$D$731)*$E707-AI776*$E707),0),AI776*$E707)</f>
        <v/>
      </c>
      <c r="AJ707" s="47">
        <f>$D707*MIN(MAX(AJ$699-(SUMPRODUCT(AJ$772:AJ$780,$D$723:$D$731)*$E707-AJ776*$E707),0),AJ776*$E707)</f>
        <v/>
      </c>
      <c r="AK707" s="47">
        <f>$D707*MIN(MAX(AK$699-(SUMPRODUCT(AK$772:AK$780,$D$723:$D$731)*$E707-AK776*$E707),0),AK776*$E707)</f>
        <v/>
      </c>
      <c r="AL707" s="47">
        <f>$D707*MIN(MAX(AL$699-(SUMPRODUCT(AL$772:AL$780,$D$723:$D$731)*$E707-AL776*$E707),0),AL776*$E707)</f>
        <v/>
      </c>
      <c r="AM707" s="47">
        <f>$D707*MIN(MAX(AM$699-(SUMPRODUCT(AM$772:AM$780,$D$723:$D$731)*$E707-AM776*$E707),0),AM776*$E707)</f>
        <v/>
      </c>
      <c r="AN707" s="47">
        <f>$D707*MIN(MAX(AN$699-(SUMPRODUCT(AN$772:AN$780,$D$723:$D$731)*$E707-AN776*$E707),0),AN776*$E707)</f>
        <v/>
      </c>
      <c r="AO707" s="47">
        <f>$D707*MIN(MAX(AO$699-(SUMPRODUCT(AO$772:AO$780,$D$723:$D$731)*$E707-AO776*$E707),0),AO776*$E707)</f>
        <v/>
      </c>
      <c r="AP707" s="47">
        <f>$D707*MIN(MAX(AP$699-(SUMPRODUCT(AP$772:AP$780,$D$723:$D$731)*$E707-AP776*$E707),0),AP776*$E707)</f>
        <v/>
      </c>
      <c r="AQ707" s="47">
        <f>$D707*MIN(MAX(AQ$699-(SUMPRODUCT(AQ$772:AQ$780,$D$723:$D$731)*$E707-AQ776*$E707),0),AQ776*$E707)</f>
        <v/>
      </c>
      <c r="AR707" s="47">
        <f>$D707*MIN(MAX(AR$699-(SUMPRODUCT(AR$772:AR$780,$D$723:$D$731)*$E707-AR776*$E707),0),AR776*$E707)</f>
        <v/>
      </c>
      <c r="AS707" s="47">
        <f>$D707*MIN(MAX(AS$699-(SUMPRODUCT(AS$772:AS$780,$D$723:$D$731)*$E707-AS776*$E707),0),AS776*$E707)</f>
        <v/>
      </c>
      <c r="AT707" s="47">
        <f>$D707*MIN(MAX(AT$699-(SUMPRODUCT(AT$772:AT$780,$D$723:$D$731)*$E707-AT776*$E707),0),AT776*$E707)</f>
        <v/>
      </c>
      <c r="AU707" s="47">
        <f>$D707*MIN(MAX(AU$699-(SUMPRODUCT(AU$772:AU$780,$D$723:$D$731)*$E707-AU776*$E707),0),AU776*$E707)</f>
        <v/>
      </c>
      <c r="AV707" s="47">
        <f>$D707*MIN(MAX(AV$699-(SUMPRODUCT(AV$772:AV$780,$D$723:$D$731)*$E707-AV776*$E707),0),AV776*$E707)</f>
        <v/>
      </c>
      <c r="AW707" s="47">
        <f>$D707*MIN(MAX(AW$699-(SUMPRODUCT(AW$772:AW$780,$D$723:$D$731)*$E707-AW776*$E707),0),AW776*$E707)</f>
        <v/>
      </c>
      <c r="AX707" s="47">
        <f>$D707*MIN(MAX(AX$699-(SUMPRODUCT(AX$772:AX$780,$D$723:$D$731)*$E707-AX776*$E707),0),AX776*$E707)</f>
        <v/>
      </c>
      <c r="AY707" s="47">
        <f>$D707*MIN(MAX(AY$699-(SUMPRODUCT(AY$772:AY$780,$D$723:$D$731)*$E707-AY776*$E707),0),AY776*$E707)</f>
        <v/>
      </c>
      <c r="AZ707" s="47">
        <f>$D707*MIN(MAX(AZ$699-(SUMPRODUCT(AZ$772:AZ$780,$D$723:$D$731)*$E707-AZ776*$E707),0),AZ776*$E707)</f>
        <v/>
      </c>
      <c r="BA707" s="48">
        <f>MINDISPATCH($D707,BA$699,SUMPRODUCT(BA$772:BA$780,$D$723:$D$731)*$E707,BA776*$E707)</f>
        <v/>
      </c>
    </row>
    <row r="708" hidden="1" outlineLevel="1">
      <c r="A708" s="14" t="inlineStr">
        <is>
          <t>gmin</t>
        </is>
      </c>
      <c r="B708" s="14" t="inlineStr">
        <is>
          <t>sol</t>
        </is>
      </c>
      <c r="C708" s="14" t="inlineStr">
        <is>
          <t>pow</t>
        </is>
      </c>
      <c r="D708" s="45">
        <f>INDEX(Inputs_power!$AN$5:$AN$13,MATCH($B708,Inputs_power!$A$5:$A$13,0))</f>
        <v/>
      </c>
      <c r="E708" s="45">
        <f>INDEX(PParVal,MATCH("maxcf_cg",PParKey,0))</f>
        <v/>
      </c>
      <c r="F708" s="39" t="n"/>
      <c r="G708" s="39" t="n"/>
      <c r="H708" s="14">
        <f>INDEX(VarLab,MATCH($A708,VarKey,0))&amp;INDEX(MemLab,MATCH($C708&amp;"|"&amp;$B708,MemKey,0))</f>
        <v/>
      </c>
      <c r="I708" s="14">
        <f>INDEX(VarUnit,MATCH($A708,VarKey,0))</f>
        <v/>
      </c>
      <c r="J708" s="14">
        <f>INDEX(VarSrc,MATCH($A708,VarKey,0))</f>
        <v/>
      </c>
      <c r="K708" s="11">
        <f>CodePrefix&amp;$A708&amp;IF($C708="","","."&amp;$C708&amp;"."&amp;$B708)&amp;INDEX(VarEnd,MATCH($A708,VarKey,0))&amp;K$5</f>
        <v/>
      </c>
      <c r="L708" s="46">
        <f>$D708*MIN(MAX(L$699-(SUMPRODUCT(L$772:L$780,$D$723:$D$731)*$E708-L777*$E708),0),L777*$E708)</f>
        <v/>
      </c>
      <c r="M708" s="47">
        <f>$D708*MIN(MAX(M$699-(SUMPRODUCT(M$772:M$780,$D$723:$D$731)*$E708-M777*$E708),0),M777*$E708)</f>
        <v/>
      </c>
      <c r="N708" s="47">
        <f>$D708*MIN(MAX(N$699-(SUMPRODUCT(N$772:N$780,$D$723:$D$731)*$E708-N777*$E708),0),N777*$E708)</f>
        <v/>
      </c>
      <c r="O708" s="47">
        <f>$D708*MIN(MAX(O$699-(SUMPRODUCT(O$772:O$780,$D$723:$D$731)*$E708-O777*$E708),0),O777*$E708)</f>
        <v/>
      </c>
      <c r="P708" s="47">
        <f>$D708*MIN(MAX(P$699-(SUMPRODUCT(P$772:P$780,$D$723:$D$731)*$E708-P777*$E708),0),P777*$E708)</f>
        <v/>
      </c>
      <c r="Q708" s="47">
        <f>$D708*MIN(MAX(Q$699-(SUMPRODUCT(Q$772:Q$780,$D$723:$D$731)*$E708-Q777*$E708),0),Q777*$E708)</f>
        <v/>
      </c>
      <c r="R708" s="47">
        <f>$D708*MIN(MAX(R$699-(SUMPRODUCT(R$772:R$780,$D$723:$D$731)*$E708-R777*$E708),0),R777*$E708)</f>
        <v/>
      </c>
      <c r="S708" s="47">
        <f>$D708*MIN(MAX(S$699-(SUMPRODUCT(S$772:S$780,$D$723:$D$731)*$E708-S777*$E708),0),S777*$E708)</f>
        <v/>
      </c>
      <c r="T708" s="47">
        <f>$D708*MIN(MAX(T$699-(SUMPRODUCT(T$772:T$780,$D$723:$D$731)*$E708-T777*$E708),0),T777*$E708)</f>
        <v/>
      </c>
      <c r="U708" s="47">
        <f>$D708*MIN(MAX(U$699-(SUMPRODUCT(U$772:U$780,$D$723:$D$731)*$E708-U777*$E708),0),U777*$E708)</f>
        <v/>
      </c>
      <c r="V708" s="47">
        <f>$D708*MIN(MAX(V$699-(SUMPRODUCT(V$772:V$780,$D$723:$D$731)*$E708-V777*$E708),0),V777*$E708)</f>
        <v/>
      </c>
      <c r="W708" s="47">
        <f>$D708*MIN(MAX(W$699-(SUMPRODUCT(W$772:W$780,$D$723:$D$731)*$E708-W777*$E708),0),W777*$E708)</f>
        <v/>
      </c>
      <c r="X708" s="47">
        <f>$D708*MIN(MAX(X$699-(SUMPRODUCT(X$772:X$780,$D$723:$D$731)*$E708-X777*$E708),0),X777*$E708)</f>
        <v/>
      </c>
      <c r="Y708" s="47">
        <f>$D708*MIN(MAX(Y$699-(SUMPRODUCT(Y$772:Y$780,$D$723:$D$731)*$E708-Y777*$E708),0),Y777*$E708)</f>
        <v/>
      </c>
      <c r="Z708" s="47">
        <f>$D708*MIN(MAX(Z$699-(SUMPRODUCT(Z$772:Z$780,$D$723:$D$731)*$E708-Z777*$E708),0),Z777*$E708)</f>
        <v/>
      </c>
      <c r="AA708" s="47">
        <f>$D708*MIN(MAX(AA$699-(SUMPRODUCT(AA$772:AA$780,$D$723:$D$731)*$E708-AA777*$E708),0),AA777*$E708)</f>
        <v/>
      </c>
      <c r="AB708" s="47">
        <f>$D708*MIN(MAX(AB$699-(SUMPRODUCT(AB$772:AB$780,$D$723:$D$731)*$E708-AB777*$E708),0),AB777*$E708)</f>
        <v/>
      </c>
      <c r="AC708" s="47">
        <f>$D708*MIN(MAX(AC$699-(SUMPRODUCT(AC$772:AC$780,$D$723:$D$731)*$E708-AC777*$E708),0),AC777*$E708)</f>
        <v/>
      </c>
      <c r="AD708" s="47">
        <f>$D708*MIN(MAX(AD$699-(SUMPRODUCT(AD$772:AD$780,$D$723:$D$731)*$E708-AD777*$E708),0),AD777*$E708)</f>
        <v/>
      </c>
      <c r="AE708" s="48">
        <f>MINDISPATCH($D708,AE$699,SUMPRODUCT(AE$772:AE$780,$D$723:$D$731)*$E708,AE777*$E708)</f>
        <v/>
      </c>
      <c r="AG708" s="11">
        <f>CodePrefix&amp;$A708&amp;IF($C708="","","."&amp;$C708&amp;"."&amp;$B708)&amp;INDEX(VarEnd,MATCH($A708,VarKey,0))&amp;AG$5</f>
        <v/>
      </c>
      <c r="AH708" s="46">
        <f>$D708*MIN(MAX(AH$699-(SUMPRODUCT(AH$772:AH$780,$D$723:$D$731)*$E708-AH777*$E708),0),AH777*$E708)</f>
        <v/>
      </c>
      <c r="AI708" s="47">
        <f>$D708*MIN(MAX(AI$699-(SUMPRODUCT(AI$772:AI$780,$D$723:$D$731)*$E708-AI777*$E708),0),AI777*$E708)</f>
        <v/>
      </c>
      <c r="AJ708" s="47">
        <f>$D708*MIN(MAX(AJ$699-(SUMPRODUCT(AJ$772:AJ$780,$D$723:$D$731)*$E708-AJ777*$E708),0),AJ777*$E708)</f>
        <v/>
      </c>
      <c r="AK708" s="47">
        <f>$D708*MIN(MAX(AK$699-(SUMPRODUCT(AK$772:AK$780,$D$723:$D$731)*$E708-AK777*$E708),0),AK777*$E708)</f>
        <v/>
      </c>
      <c r="AL708" s="47">
        <f>$D708*MIN(MAX(AL$699-(SUMPRODUCT(AL$772:AL$780,$D$723:$D$731)*$E708-AL777*$E708),0),AL777*$E708)</f>
        <v/>
      </c>
      <c r="AM708" s="47">
        <f>$D708*MIN(MAX(AM$699-(SUMPRODUCT(AM$772:AM$780,$D$723:$D$731)*$E708-AM777*$E708),0),AM777*$E708)</f>
        <v/>
      </c>
      <c r="AN708" s="47">
        <f>$D708*MIN(MAX(AN$699-(SUMPRODUCT(AN$772:AN$780,$D$723:$D$731)*$E708-AN777*$E708),0),AN777*$E708)</f>
        <v/>
      </c>
      <c r="AO708" s="47">
        <f>$D708*MIN(MAX(AO$699-(SUMPRODUCT(AO$772:AO$780,$D$723:$D$731)*$E708-AO777*$E708),0),AO777*$E708)</f>
        <v/>
      </c>
      <c r="AP708" s="47">
        <f>$D708*MIN(MAX(AP$699-(SUMPRODUCT(AP$772:AP$780,$D$723:$D$731)*$E708-AP777*$E708),0),AP777*$E708)</f>
        <v/>
      </c>
      <c r="AQ708" s="47">
        <f>$D708*MIN(MAX(AQ$699-(SUMPRODUCT(AQ$772:AQ$780,$D$723:$D$731)*$E708-AQ777*$E708),0),AQ777*$E708)</f>
        <v/>
      </c>
      <c r="AR708" s="47">
        <f>$D708*MIN(MAX(AR$699-(SUMPRODUCT(AR$772:AR$780,$D$723:$D$731)*$E708-AR777*$E708),0),AR777*$E708)</f>
        <v/>
      </c>
      <c r="AS708" s="47">
        <f>$D708*MIN(MAX(AS$699-(SUMPRODUCT(AS$772:AS$780,$D$723:$D$731)*$E708-AS777*$E708),0),AS777*$E708)</f>
        <v/>
      </c>
      <c r="AT708" s="47">
        <f>$D708*MIN(MAX(AT$699-(SUMPRODUCT(AT$772:AT$780,$D$723:$D$731)*$E708-AT777*$E708),0),AT777*$E708)</f>
        <v/>
      </c>
      <c r="AU708" s="47">
        <f>$D708*MIN(MAX(AU$699-(SUMPRODUCT(AU$772:AU$780,$D$723:$D$731)*$E708-AU777*$E708),0),AU777*$E708)</f>
        <v/>
      </c>
      <c r="AV708" s="47">
        <f>$D708*MIN(MAX(AV$699-(SUMPRODUCT(AV$772:AV$780,$D$723:$D$731)*$E708-AV777*$E708),0),AV777*$E708)</f>
        <v/>
      </c>
      <c r="AW708" s="47">
        <f>$D708*MIN(MAX(AW$699-(SUMPRODUCT(AW$772:AW$780,$D$723:$D$731)*$E708-AW777*$E708),0),AW777*$E708)</f>
        <v/>
      </c>
      <c r="AX708" s="47">
        <f>$D708*MIN(MAX(AX$699-(SUMPRODUCT(AX$772:AX$780,$D$723:$D$731)*$E708-AX777*$E708),0),AX777*$E708)</f>
        <v/>
      </c>
      <c r="AY708" s="47">
        <f>$D708*MIN(MAX(AY$699-(SUMPRODUCT(AY$772:AY$780,$D$723:$D$731)*$E708-AY777*$E708),0),AY777*$E708)</f>
        <v/>
      </c>
      <c r="AZ708" s="47">
        <f>$D708*MIN(MAX(AZ$699-(SUMPRODUCT(AZ$772:AZ$780,$D$723:$D$731)*$E708-AZ777*$E708),0),AZ777*$E708)</f>
        <v/>
      </c>
      <c r="BA708" s="48">
        <f>MINDISPATCH($D708,BA$699,SUMPRODUCT(BA$772:BA$780,$D$723:$D$731)*$E708,BA777*$E708)</f>
        <v/>
      </c>
    </row>
    <row r="709" hidden="1" outlineLevel="1">
      <c r="A709" s="14" t="inlineStr">
        <is>
          <t>gmin</t>
        </is>
      </c>
      <c r="B709" s="14" t="inlineStr">
        <is>
          <t>hyd</t>
        </is>
      </c>
      <c r="C709" s="14" t="inlineStr">
        <is>
          <t>pow</t>
        </is>
      </c>
      <c r="D709" s="45">
        <f>INDEX(Inputs_power!$AN$5:$AN$13,MATCH($B709,Inputs_power!$A$5:$A$13,0))</f>
        <v/>
      </c>
      <c r="E709" s="45">
        <f>INDEX(PParVal,MATCH("maxcf_cg",PParKey,0))</f>
        <v/>
      </c>
      <c r="F709" s="39" t="n"/>
      <c r="G709" s="39" t="n"/>
      <c r="H709" s="14">
        <f>INDEX(VarLab,MATCH($A709,VarKey,0))&amp;INDEX(MemLab,MATCH($C709&amp;"|"&amp;$B709,MemKey,0))</f>
        <v/>
      </c>
      <c r="I709" s="14">
        <f>INDEX(VarUnit,MATCH($A709,VarKey,0))</f>
        <v/>
      </c>
      <c r="J709" s="14">
        <f>INDEX(VarSrc,MATCH($A709,VarKey,0))</f>
        <v/>
      </c>
      <c r="K709" s="11">
        <f>CodePrefix&amp;$A709&amp;IF($C709="","","."&amp;$C709&amp;"."&amp;$B709)&amp;INDEX(VarEnd,MATCH($A709,VarKey,0))&amp;K$5</f>
        <v/>
      </c>
      <c r="L709" s="46">
        <f>$D709*MIN(MAX(L$699-(SUMPRODUCT(L$772:L$780,$D$723:$D$731)*$E709-L778*$E709),0),L778*$E709)</f>
        <v/>
      </c>
      <c r="M709" s="47">
        <f>$D709*MIN(MAX(M$699-(SUMPRODUCT(M$772:M$780,$D$723:$D$731)*$E709-M778*$E709),0),M778*$E709)</f>
        <v/>
      </c>
      <c r="N709" s="47">
        <f>$D709*MIN(MAX(N$699-(SUMPRODUCT(N$772:N$780,$D$723:$D$731)*$E709-N778*$E709),0),N778*$E709)</f>
        <v/>
      </c>
      <c r="O709" s="47">
        <f>$D709*MIN(MAX(O$699-(SUMPRODUCT(O$772:O$780,$D$723:$D$731)*$E709-O778*$E709),0),O778*$E709)</f>
        <v/>
      </c>
      <c r="P709" s="47">
        <f>$D709*MIN(MAX(P$699-(SUMPRODUCT(P$772:P$780,$D$723:$D$731)*$E709-P778*$E709),0),P778*$E709)</f>
        <v/>
      </c>
      <c r="Q709" s="47">
        <f>$D709*MIN(MAX(Q$699-(SUMPRODUCT(Q$772:Q$780,$D$723:$D$731)*$E709-Q778*$E709),0),Q778*$E709)</f>
        <v/>
      </c>
      <c r="R709" s="47">
        <f>$D709*MIN(MAX(R$699-(SUMPRODUCT(R$772:R$780,$D$723:$D$731)*$E709-R778*$E709),0),R778*$E709)</f>
        <v/>
      </c>
      <c r="S709" s="47">
        <f>$D709*MIN(MAX(S$699-(SUMPRODUCT(S$772:S$780,$D$723:$D$731)*$E709-S778*$E709),0),S778*$E709)</f>
        <v/>
      </c>
      <c r="T709" s="47">
        <f>$D709*MIN(MAX(T$699-(SUMPRODUCT(T$772:T$780,$D$723:$D$731)*$E709-T778*$E709),0),T778*$E709)</f>
        <v/>
      </c>
      <c r="U709" s="47">
        <f>$D709*MIN(MAX(U$699-(SUMPRODUCT(U$772:U$780,$D$723:$D$731)*$E709-U778*$E709),0),U778*$E709)</f>
        <v/>
      </c>
      <c r="V709" s="47">
        <f>$D709*MIN(MAX(V$699-(SUMPRODUCT(V$772:V$780,$D$723:$D$731)*$E709-V778*$E709),0),V778*$E709)</f>
        <v/>
      </c>
      <c r="W709" s="47">
        <f>$D709*MIN(MAX(W$699-(SUMPRODUCT(W$772:W$780,$D$723:$D$731)*$E709-W778*$E709),0),W778*$E709)</f>
        <v/>
      </c>
      <c r="X709" s="47">
        <f>$D709*MIN(MAX(X$699-(SUMPRODUCT(X$772:X$780,$D$723:$D$731)*$E709-X778*$E709),0),X778*$E709)</f>
        <v/>
      </c>
      <c r="Y709" s="47">
        <f>$D709*MIN(MAX(Y$699-(SUMPRODUCT(Y$772:Y$780,$D$723:$D$731)*$E709-Y778*$E709),0),Y778*$E709)</f>
        <v/>
      </c>
      <c r="Z709" s="47">
        <f>$D709*MIN(MAX(Z$699-(SUMPRODUCT(Z$772:Z$780,$D$723:$D$731)*$E709-Z778*$E709),0),Z778*$E709)</f>
        <v/>
      </c>
      <c r="AA709" s="47">
        <f>$D709*MIN(MAX(AA$699-(SUMPRODUCT(AA$772:AA$780,$D$723:$D$731)*$E709-AA778*$E709),0),AA778*$E709)</f>
        <v/>
      </c>
      <c r="AB709" s="47">
        <f>$D709*MIN(MAX(AB$699-(SUMPRODUCT(AB$772:AB$780,$D$723:$D$731)*$E709-AB778*$E709),0),AB778*$E709)</f>
        <v/>
      </c>
      <c r="AC709" s="47">
        <f>$D709*MIN(MAX(AC$699-(SUMPRODUCT(AC$772:AC$780,$D$723:$D$731)*$E709-AC778*$E709),0),AC778*$E709)</f>
        <v/>
      </c>
      <c r="AD709" s="47">
        <f>$D709*MIN(MAX(AD$699-(SUMPRODUCT(AD$772:AD$780,$D$723:$D$731)*$E709-AD778*$E709),0),AD778*$E709)</f>
        <v/>
      </c>
      <c r="AE709" s="48">
        <f>MINDISPATCH($D709,AE$699,SUMPRODUCT(AE$772:AE$780,$D$723:$D$731)*$E709,AE778*$E709)</f>
        <v/>
      </c>
      <c r="AG709" s="11">
        <f>CodePrefix&amp;$A709&amp;IF($C709="","","."&amp;$C709&amp;"."&amp;$B709)&amp;INDEX(VarEnd,MATCH($A709,VarKey,0))&amp;AG$5</f>
        <v/>
      </c>
      <c r="AH709" s="46">
        <f>$D709*MIN(MAX(AH$699-(SUMPRODUCT(AH$772:AH$780,$D$723:$D$731)*$E709-AH778*$E709),0),AH778*$E709)</f>
        <v/>
      </c>
      <c r="AI709" s="47">
        <f>$D709*MIN(MAX(AI$699-(SUMPRODUCT(AI$772:AI$780,$D$723:$D$731)*$E709-AI778*$E709),0),AI778*$E709)</f>
        <v/>
      </c>
      <c r="AJ709" s="47">
        <f>$D709*MIN(MAX(AJ$699-(SUMPRODUCT(AJ$772:AJ$780,$D$723:$D$731)*$E709-AJ778*$E709),0),AJ778*$E709)</f>
        <v/>
      </c>
      <c r="AK709" s="47">
        <f>$D709*MIN(MAX(AK$699-(SUMPRODUCT(AK$772:AK$780,$D$723:$D$731)*$E709-AK778*$E709),0),AK778*$E709)</f>
        <v/>
      </c>
      <c r="AL709" s="47">
        <f>$D709*MIN(MAX(AL$699-(SUMPRODUCT(AL$772:AL$780,$D$723:$D$731)*$E709-AL778*$E709),0),AL778*$E709)</f>
        <v/>
      </c>
      <c r="AM709" s="47">
        <f>$D709*MIN(MAX(AM$699-(SUMPRODUCT(AM$772:AM$780,$D$723:$D$731)*$E709-AM778*$E709),0),AM778*$E709)</f>
        <v/>
      </c>
      <c r="AN709" s="47">
        <f>$D709*MIN(MAX(AN$699-(SUMPRODUCT(AN$772:AN$780,$D$723:$D$731)*$E709-AN778*$E709),0),AN778*$E709)</f>
        <v/>
      </c>
      <c r="AO709" s="47">
        <f>$D709*MIN(MAX(AO$699-(SUMPRODUCT(AO$772:AO$780,$D$723:$D$731)*$E709-AO778*$E709),0),AO778*$E709)</f>
        <v/>
      </c>
      <c r="AP709" s="47">
        <f>$D709*MIN(MAX(AP$699-(SUMPRODUCT(AP$772:AP$780,$D$723:$D$731)*$E709-AP778*$E709),0),AP778*$E709)</f>
        <v/>
      </c>
      <c r="AQ709" s="47">
        <f>$D709*MIN(MAX(AQ$699-(SUMPRODUCT(AQ$772:AQ$780,$D$723:$D$731)*$E709-AQ778*$E709),0),AQ778*$E709)</f>
        <v/>
      </c>
      <c r="AR709" s="47">
        <f>$D709*MIN(MAX(AR$699-(SUMPRODUCT(AR$772:AR$780,$D$723:$D$731)*$E709-AR778*$E709),0),AR778*$E709)</f>
        <v/>
      </c>
      <c r="AS709" s="47">
        <f>$D709*MIN(MAX(AS$699-(SUMPRODUCT(AS$772:AS$780,$D$723:$D$731)*$E709-AS778*$E709),0),AS778*$E709)</f>
        <v/>
      </c>
      <c r="AT709" s="47">
        <f>$D709*MIN(MAX(AT$699-(SUMPRODUCT(AT$772:AT$780,$D$723:$D$731)*$E709-AT778*$E709),0),AT778*$E709)</f>
        <v/>
      </c>
      <c r="AU709" s="47">
        <f>$D709*MIN(MAX(AU$699-(SUMPRODUCT(AU$772:AU$780,$D$723:$D$731)*$E709-AU778*$E709),0),AU778*$E709)</f>
        <v/>
      </c>
      <c r="AV709" s="47">
        <f>$D709*MIN(MAX(AV$699-(SUMPRODUCT(AV$772:AV$780,$D$723:$D$731)*$E709-AV778*$E709),0),AV778*$E709)</f>
        <v/>
      </c>
      <c r="AW709" s="47">
        <f>$D709*MIN(MAX(AW$699-(SUMPRODUCT(AW$772:AW$780,$D$723:$D$731)*$E709-AW778*$E709),0),AW778*$E709)</f>
        <v/>
      </c>
      <c r="AX709" s="47">
        <f>$D709*MIN(MAX(AX$699-(SUMPRODUCT(AX$772:AX$780,$D$723:$D$731)*$E709-AX778*$E709),0),AX778*$E709)</f>
        <v/>
      </c>
      <c r="AY709" s="47">
        <f>$D709*MIN(MAX(AY$699-(SUMPRODUCT(AY$772:AY$780,$D$723:$D$731)*$E709-AY778*$E709),0),AY778*$E709)</f>
        <v/>
      </c>
      <c r="AZ709" s="47">
        <f>$D709*MIN(MAX(AZ$699-(SUMPRODUCT(AZ$772:AZ$780,$D$723:$D$731)*$E709-AZ778*$E709),0),AZ778*$E709)</f>
        <v/>
      </c>
      <c r="BA709" s="48">
        <f>MINDISPATCH($D709,BA$699,SUMPRODUCT(BA$772:BA$780,$D$723:$D$731)*$E709,BA778*$E709)</f>
        <v/>
      </c>
    </row>
    <row r="710" hidden="1" outlineLevel="1">
      <c r="A710" s="14" t="inlineStr">
        <is>
          <t>gmin</t>
        </is>
      </c>
      <c r="B710" s="14" t="inlineStr">
        <is>
          <t>ore</t>
        </is>
      </c>
      <c r="C710" s="14" t="inlineStr">
        <is>
          <t>pow</t>
        </is>
      </c>
      <c r="D710" s="45">
        <f>INDEX(Inputs_power!$AN$5:$AN$13,MATCH($B710,Inputs_power!$A$5:$A$13,0))</f>
        <v/>
      </c>
      <c r="E710" s="45">
        <f>INDEX(PParVal,MATCH("maxcf_cg",PParKey,0))</f>
        <v/>
      </c>
      <c r="F710" s="39" t="n"/>
      <c r="G710" s="39" t="n"/>
      <c r="H710" s="14">
        <f>INDEX(VarLab,MATCH($A710,VarKey,0))&amp;INDEX(MemLab,MATCH($C710&amp;"|"&amp;$B710,MemKey,0))</f>
        <v/>
      </c>
      <c r="I710" s="14">
        <f>INDEX(VarUnit,MATCH($A710,VarKey,0))</f>
        <v/>
      </c>
      <c r="J710" s="14">
        <f>INDEX(VarSrc,MATCH($A710,VarKey,0))</f>
        <v/>
      </c>
      <c r="K710" s="11">
        <f>CodePrefix&amp;$A710&amp;IF($C710="","","."&amp;$C710&amp;"."&amp;$B710)&amp;INDEX(VarEnd,MATCH($A710,VarKey,0))&amp;K$5</f>
        <v/>
      </c>
      <c r="L710" s="46">
        <f>$D710*MIN(MAX(L$699-(SUMPRODUCT(L$772:L$780,$D$723:$D$731)*$E710-L779*$E710),0),L779*$E710)</f>
        <v/>
      </c>
      <c r="M710" s="47">
        <f>$D710*MIN(MAX(M$699-(SUMPRODUCT(M$772:M$780,$D$723:$D$731)*$E710-M779*$E710),0),M779*$E710)</f>
        <v/>
      </c>
      <c r="N710" s="47">
        <f>$D710*MIN(MAX(N$699-(SUMPRODUCT(N$772:N$780,$D$723:$D$731)*$E710-N779*$E710),0),N779*$E710)</f>
        <v/>
      </c>
      <c r="O710" s="47">
        <f>$D710*MIN(MAX(O$699-(SUMPRODUCT(O$772:O$780,$D$723:$D$731)*$E710-O779*$E710),0),O779*$E710)</f>
        <v/>
      </c>
      <c r="P710" s="47">
        <f>$D710*MIN(MAX(P$699-(SUMPRODUCT(P$772:P$780,$D$723:$D$731)*$E710-P779*$E710),0),P779*$E710)</f>
        <v/>
      </c>
      <c r="Q710" s="47">
        <f>$D710*MIN(MAX(Q$699-(SUMPRODUCT(Q$772:Q$780,$D$723:$D$731)*$E710-Q779*$E710),0),Q779*$E710)</f>
        <v/>
      </c>
      <c r="R710" s="47">
        <f>$D710*MIN(MAX(R$699-(SUMPRODUCT(R$772:R$780,$D$723:$D$731)*$E710-R779*$E710),0),R779*$E710)</f>
        <v/>
      </c>
      <c r="S710" s="47">
        <f>$D710*MIN(MAX(S$699-(SUMPRODUCT(S$772:S$780,$D$723:$D$731)*$E710-S779*$E710),0),S779*$E710)</f>
        <v/>
      </c>
      <c r="T710" s="47">
        <f>$D710*MIN(MAX(T$699-(SUMPRODUCT(T$772:T$780,$D$723:$D$731)*$E710-T779*$E710),0),T779*$E710)</f>
        <v/>
      </c>
      <c r="U710" s="47">
        <f>$D710*MIN(MAX(U$699-(SUMPRODUCT(U$772:U$780,$D$723:$D$731)*$E710-U779*$E710),0),U779*$E710)</f>
        <v/>
      </c>
      <c r="V710" s="47">
        <f>$D710*MIN(MAX(V$699-(SUMPRODUCT(V$772:V$780,$D$723:$D$731)*$E710-V779*$E710),0),V779*$E710)</f>
        <v/>
      </c>
      <c r="W710" s="47">
        <f>$D710*MIN(MAX(W$699-(SUMPRODUCT(W$772:W$780,$D$723:$D$731)*$E710-W779*$E710),0),W779*$E710)</f>
        <v/>
      </c>
      <c r="X710" s="47">
        <f>$D710*MIN(MAX(X$699-(SUMPRODUCT(X$772:X$780,$D$723:$D$731)*$E710-X779*$E710),0),X779*$E710)</f>
        <v/>
      </c>
      <c r="Y710" s="47">
        <f>$D710*MIN(MAX(Y$699-(SUMPRODUCT(Y$772:Y$780,$D$723:$D$731)*$E710-Y779*$E710),0),Y779*$E710)</f>
        <v/>
      </c>
      <c r="Z710" s="47">
        <f>$D710*MIN(MAX(Z$699-(SUMPRODUCT(Z$772:Z$780,$D$723:$D$731)*$E710-Z779*$E710),0),Z779*$E710)</f>
        <v/>
      </c>
      <c r="AA710" s="47">
        <f>$D710*MIN(MAX(AA$699-(SUMPRODUCT(AA$772:AA$780,$D$723:$D$731)*$E710-AA779*$E710),0),AA779*$E710)</f>
        <v/>
      </c>
      <c r="AB710" s="47">
        <f>$D710*MIN(MAX(AB$699-(SUMPRODUCT(AB$772:AB$780,$D$723:$D$731)*$E710-AB779*$E710),0),AB779*$E710)</f>
        <v/>
      </c>
      <c r="AC710" s="47">
        <f>$D710*MIN(MAX(AC$699-(SUMPRODUCT(AC$772:AC$780,$D$723:$D$731)*$E710-AC779*$E710),0),AC779*$E710)</f>
        <v/>
      </c>
      <c r="AD710" s="47">
        <f>$D710*MIN(MAX(AD$699-(SUMPRODUCT(AD$772:AD$780,$D$723:$D$731)*$E710-AD779*$E710),0),AD779*$E710)</f>
        <v/>
      </c>
      <c r="AE710" s="48">
        <f>MINDISPATCH($D710,AE$699,SUMPRODUCT(AE$772:AE$780,$D$723:$D$731)*$E710,AE779*$E710)</f>
        <v/>
      </c>
      <c r="AG710" s="11">
        <f>CodePrefix&amp;$A710&amp;IF($C710="","","."&amp;$C710&amp;"."&amp;$B710)&amp;INDEX(VarEnd,MATCH($A710,VarKey,0))&amp;AG$5</f>
        <v/>
      </c>
      <c r="AH710" s="46">
        <f>$D710*MIN(MAX(AH$699-(SUMPRODUCT(AH$772:AH$780,$D$723:$D$731)*$E710-AH779*$E710),0),AH779*$E710)</f>
        <v/>
      </c>
      <c r="AI710" s="47">
        <f>$D710*MIN(MAX(AI$699-(SUMPRODUCT(AI$772:AI$780,$D$723:$D$731)*$E710-AI779*$E710),0),AI779*$E710)</f>
        <v/>
      </c>
      <c r="AJ710" s="47">
        <f>$D710*MIN(MAX(AJ$699-(SUMPRODUCT(AJ$772:AJ$780,$D$723:$D$731)*$E710-AJ779*$E710),0),AJ779*$E710)</f>
        <v/>
      </c>
      <c r="AK710" s="47">
        <f>$D710*MIN(MAX(AK$699-(SUMPRODUCT(AK$772:AK$780,$D$723:$D$731)*$E710-AK779*$E710),0),AK779*$E710)</f>
        <v/>
      </c>
      <c r="AL710" s="47">
        <f>$D710*MIN(MAX(AL$699-(SUMPRODUCT(AL$772:AL$780,$D$723:$D$731)*$E710-AL779*$E710),0),AL779*$E710)</f>
        <v/>
      </c>
      <c r="AM710" s="47">
        <f>$D710*MIN(MAX(AM$699-(SUMPRODUCT(AM$772:AM$780,$D$723:$D$731)*$E710-AM779*$E710),0),AM779*$E710)</f>
        <v/>
      </c>
      <c r="AN710" s="47">
        <f>$D710*MIN(MAX(AN$699-(SUMPRODUCT(AN$772:AN$780,$D$723:$D$731)*$E710-AN779*$E710),0),AN779*$E710)</f>
        <v/>
      </c>
      <c r="AO710" s="47">
        <f>$D710*MIN(MAX(AO$699-(SUMPRODUCT(AO$772:AO$780,$D$723:$D$731)*$E710-AO779*$E710),0),AO779*$E710)</f>
        <v/>
      </c>
      <c r="AP710" s="47">
        <f>$D710*MIN(MAX(AP$699-(SUMPRODUCT(AP$772:AP$780,$D$723:$D$731)*$E710-AP779*$E710),0),AP779*$E710)</f>
        <v/>
      </c>
      <c r="AQ710" s="47">
        <f>$D710*MIN(MAX(AQ$699-(SUMPRODUCT(AQ$772:AQ$780,$D$723:$D$731)*$E710-AQ779*$E710),0),AQ779*$E710)</f>
        <v/>
      </c>
      <c r="AR710" s="47">
        <f>$D710*MIN(MAX(AR$699-(SUMPRODUCT(AR$772:AR$780,$D$723:$D$731)*$E710-AR779*$E710),0),AR779*$E710)</f>
        <v/>
      </c>
      <c r="AS710" s="47">
        <f>$D710*MIN(MAX(AS$699-(SUMPRODUCT(AS$772:AS$780,$D$723:$D$731)*$E710-AS779*$E710),0),AS779*$E710)</f>
        <v/>
      </c>
      <c r="AT710" s="47">
        <f>$D710*MIN(MAX(AT$699-(SUMPRODUCT(AT$772:AT$780,$D$723:$D$731)*$E710-AT779*$E710),0),AT779*$E710)</f>
        <v/>
      </c>
      <c r="AU710" s="47">
        <f>$D710*MIN(MAX(AU$699-(SUMPRODUCT(AU$772:AU$780,$D$723:$D$731)*$E710-AU779*$E710),0),AU779*$E710)</f>
        <v/>
      </c>
      <c r="AV710" s="47">
        <f>$D710*MIN(MAX(AV$699-(SUMPRODUCT(AV$772:AV$780,$D$723:$D$731)*$E710-AV779*$E710),0),AV779*$E710)</f>
        <v/>
      </c>
      <c r="AW710" s="47">
        <f>$D710*MIN(MAX(AW$699-(SUMPRODUCT(AW$772:AW$780,$D$723:$D$731)*$E710-AW779*$E710),0),AW779*$E710)</f>
        <v/>
      </c>
      <c r="AX710" s="47">
        <f>$D710*MIN(MAX(AX$699-(SUMPRODUCT(AX$772:AX$780,$D$723:$D$731)*$E710-AX779*$E710),0),AX779*$E710)</f>
        <v/>
      </c>
      <c r="AY710" s="47">
        <f>$D710*MIN(MAX(AY$699-(SUMPRODUCT(AY$772:AY$780,$D$723:$D$731)*$E710-AY779*$E710),0),AY779*$E710)</f>
        <v/>
      </c>
      <c r="AZ710" s="47">
        <f>$D710*MIN(MAX(AZ$699-(SUMPRODUCT(AZ$772:AZ$780,$D$723:$D$731)*$E710-AZ779*$E710),0),AZ779*$E710)</f>
        <v/>
      </c>
      <c r="BA710" s="48">
        <f>MINDISPATCH($D710,BA$699,SUMPRODUCT(BA$772:BA$780,$D$723:$D$731)*$E710,BA779*$E710)</f>
        <v/>
      </c>
    </row>
    <row r="711" hidden="1" outlineLevel="1">
      <c r="A711" s="14" t="inlineStr">
        <is>
          <t>gmin</t>
        </is>
      </c>
      <c r="B711" s="14" t="inlineStr">
        <is>
          <t>bio</t>
        </is>
      </c>
      <c r="C711" s="14" t="inlineStr">
        <is>
          <t>pow</t>
        </is>
      </c>
      <c r="D711" s="45">
        <f>INDEX(Inputs_power!$AN$5:$AN$13,MATCH($B711,Inputs_power!$A$5:$A$13,0))</f>
        <v/>
      </c>
      <c r="E711" s="45">
        <f>INDEX(PParVal,MATCH("maxcf_cg",PParKey,0))</f>
        <v/>
      </c>
      <c r="F711" s="39" t="n"/>
      <c r="G711" s="39" t="n"/>
      <c r="H711" s="14">
        <f>INDEX(VarLab,MATCH($A711,VarKey,0))&amp;INDEX(MemLab,MATCH($C711&amp;"|"&amp;$B711,MemKey,0))</f>
        <v/>
      </c>
      <c r="I711" s="14">
        <f>INDEX(VarUnit,MATCH($A711,VarKey,0))</f>
        <v/>
      </c>
      <c r="J711" s="14">
        <f>INDEX(VarSrc,MATCH($A711,VarKey,0))</f>
        <v/>
      </c>
      <c r="K711" s="11">
        <f>CodePrefix&amp;$A711&amp;IF($C711="","","."&amp;$C711&amp;"."&amp;$B711)&amp;INDEX(VarEnd,MATCH($A711,VarKey,0))&amp;K$5</f>
        <v/>
      </c>
      <c r="L711" s="46">
        <f>$D711*MIN(MAX(L$699-(SUMPRODUCT(L$772:L$780,$D$723:$D$731)*$E711-L780*$E711),0),L780*$E711)</f>
        <v/>
      </c>
      <c r="M711" s="47">
        <f>$D711*MIN(MAX(M$699-(SUMPRODUCT(M$772:M$780,$D$723:$D$731)*$E711-M780*$E711),0),M780*$E711)</f>
        <v/>
      </c>
      <c r="N711" s="47">
        <f>$D711*MIN(MAX(N$699-(SUMPRODUCT(N$772:N$780,$D$723:$D$731)*$E711-N780*$E711),0),N780*$E711)</f>
        <v/>
      </c>
      <c r="O711" s="47">
        <f>$D711*MIN(MAX(O$699-(SUMPRODUCT(O$772:O$780,$D$723:$D$731)*$E711-O780*$E711),0),O780*$E711)</f>
        <v/>
      </c>
      <c r="P711" s="47">
        <f>$D711*MIN(MAX(P$699-(SUMPRODUCT(P$772:P$780,$D$723:$D$731)*$E711-P780*$E711),0),P780*$E711)</f>
        <v/>
      </c>
      <c r="Q711" s="47">
        <f>$D711*MIN(MAX(Q$699-(SUMPRODUCT(Q$772:Q$780,$D$723:$D$731)*$E711-Q780*$E711),0),Q780*$E711)</f>
        <v/>
      </c>
      <c r="R711" s="47">
        <f>$D711*MIN(MAX(R$699-(SUMPRODUCT(R$772:R$780,$D$723:$D$731)*$E711-R780*$E711),0),R780*$E711)</f>
        <v/>
      </c>
      <c r="S711" s="47">
        <f>$D711*MIN(MAX(S$699-(SUMPRODUCT(S$772:S$780,$D$723:$D$731)*$E711-S780*$E711),0),S780*$E711)</f>
        <v/>
      </c>
      <c r="T711" s="47">
        <f>$D711*MIN(MAX(T$699-(SUMPRODUCT(T$772:T$780,$D$723:$D$731)*$E711-T780*$E711),0),T780*$E711)</f>
        <v/>
      </c>
      <c r="U711" s="47">
        <f>$D711*MIN(MAX(U$699-(SUMPRODUCT(U$772:U$780,$D$723:$D$731)*$E711-U780*$E711),0),U780*$E711)</f>
        <v/>
      </c>
      <c r="V711" s="47">
        <f>$D711*MIN(MAX(V$699-(SUMPRODUCT(V$772:V$780,$D$723:$D$731)*$E711-V780*$E711),0),V780*$E711)</f>
        <v/>
      </c>
      <c r="W711" s="47">
        <f>$D711*MIN(MAX(W$699-(SUMPRODUCT(W$772:W$780,$D$723:$D$731)*$E711-W780*$E711),0),W780*$E711)</f>
        <v/>
      </c>
      <c r="X711" s="47">
        <f>$D711*MIN(MAX(X$699-(SUMPRODUCT(X$772:X$780,$D$723:$D$731)*$E711-X780*$E711),0),X780*$E711)</f>
        <v/>
      </c>
      <c r="Y711" s="47">
        <f>$D711*MIN(MAX(Y$699-(SUMPRODUCT(Y$772:Y$780,$D$723:$D$731)*$E711-Y780*$E711),0),Y780*$E711)</f>
        <v/>
      </c>
      <c r="Z711" s="47">
        <f>$D711*MIN(MAX(Z$699-(SUMPRODUCT(Z$772:Z$780,$D$723:$D$731)*$E711-Z780*$E711),0),Z780*$E711)</f>
        <v/>
      </c>
      <c r="AA711" s="47">
        <f>$D711*MIN(MAX(AA$699-(SUMPRODUCT(AA$772:AA$780,$D$723:$D$731)*$E711-AA780*$E711),0),AA780*$E711)</f>
        <v/>
      </c>
      <c r="AB711" s="47">
        <f>$D711*MIN(MAX(AB$699-(SUMPRODUCT(AB$772:AB$780,$D$723:$D$731)*$E711-AB780*$E711),0),AB780*$E711)</f>
        <v/>
      </c>
      <c r="AC711" s="47">
        <f>$D711*MIN(MAX(AC$699-(SUMPRODUCT(AC$772:AC$780,$D$723:$D$731)*$E711-AC780*$E711),0),AC780*$E711)</f>
        <v/>
      </c>
      <c r="AD711" s="47">
        <f>$D711*MIN(MAX(AD$699-(SUMPRODUCT(AD$772:AD$780,$D$723:$D$731)*$E711-AD780*$E711),0),AD780*$E711)</f>
        <v/>
      </c>
      <c r="AE711" s="48">
        <f>MINDISPATCH($D711,AE$699,SUMPRODUCT(AE$772:AE$780,$D$723:$D$731)*$E711,AE780*$E711)</f>
        <v/>
      </c>
      <c r="AG711" s="11">
        <f>CodePrefix&amp;$A711&amp;IF($C711="","","."&amp;$C711&amp;"."&amp;$B711)&amp;INDEX(VarEnd,MATCH($A711,VarKey,0))&amp;AG$5</f>
        <v/>
      </c>
      <c r="AH711" s="46">
        <f>$D711*MIN(MAX(AH$699-(SUMPRODUCT(AH$772:AH$780,$D$723:$D$731)*$E711-AH780*$E711),0),AH780*$E711)</f>
        <v/>
      </c>
      <c r="AI711" s="47">
        <f>$D711*MIN(MAX(AI$699-(SUMPRODUCT(AI$772:AI$780,$D$723:$D$731)*$E711-AI780*$E711),0),AI780*$E711)</f>
        <v/>
      </c>
      <c r="AJ711" s="47">
        <f>$D711*MIN(MAX(AJ$699-(SUMPRODUCT(AJ$772:AJ$780,$D$723:$D$731)*$E711-AJ780*$E711),0),AJ780*$E711)</f>
        <v/>
      </c>
      <c r="AK711" s="47">
        <f>$D711*MIN(MAX(AK$699-(SUMPRODUCT(AK$772:AK$780,$D$723:$D$731)*$E711-AK780*$E711),0),AK780*$E711)</f>
        <v/>
      </c>
      <c r="AL711" s="47">
        <f>$D711*MIN(MAX(AL$699-(SUMPRODUCT(AL$772:AL$780,$D$723:$D$731)*$E711-AL780*$E711),0),AL780*$E711)</f>
        <v/>
      </c>
      <c r="AM711" s="47">
        <f>$D711*MIN(MAX(AM$699-(SUMPRODUCT(AM$772:AM$780,$D$723:$D$731)*$E711-AM780*$E711),0),AM780*$E711)</f>
        <v/>
      </c>
      <c r="AN711" s="47">
        <f>$D711*MIN(MAX(AN$699-(SUMPRODUCT(AN$772:AN$780,$D$723:$D$731)*$E711-AN780*$E711),0),AN780*$E711)</f>
        <v/>
      </c>
      <c r="AO711" s="47">
        <f>$D711*MIN(MAX(AO$699-(SUMPRODUCT(AO$772:AO$780,$D$723:$D$731)*$E711-AO780*$E711),0),AO780*$E711)</f>
        <v/>
      </c>
      <c r="AP711" s="47">
        <f>$D711*MIN(MAX(AP$699-(SUMPRODUCT(AP$772:AP$780,$D$723:$D$731)*$E711-AP780*$E711),0),AP780*$E711)</f>
        <v/>
      </c>
      <c r="AQ711" s="47">
        <f>$D711*MIN(MAX(AQ$699-(SUMPRODUCT(AQ$772:AQ$780,$D$723:$D$731)*$E711-AQ780*$E711),0),AQ780*$E711)</f>
        <v/>
      </c>
      <c r="AR711" s="47">
        <f>$D711*MIN(MAX(AR$699-(SUMPRODUCT(AR$772:AR$780,$D$723:$D$731)*$E711-AR780*$E711),0),AR780*$E711)</f>
        <v/>
      </c>
      <c r="AS711" s="47">
        <f>$D711*MIN(MAX(AS$699-(SUMPRODUCT(AS$772:AS$780,$D$723:$D$731)*$E711-AS780*$E711),0),AS780*$E711)</f>
        <v/>
      </c>
      <c r="AT711" s="47">
        <f>$D711*MIN(MAX(AT$699-(SUMPRODUCT(AT$772:AT$780,$D$723:$D$731)*$E711-AT780*$E711),0),AT780*$E711)</f>
        <v/>
      </c>
      <c r="AU711" s="47">
        <f>$D711*MIN(MAX(AU$699-(SUMPRODUCT(AU$772:AU$780,$D$723:$D$731)*$E711-AU780*$E711),0),AU780*$E711)</f>
        <v/>
      </c>
      <c r="AV711" s="47">
        <f>$D711*MIN(MAX(AV$699-(SUMPRODUCT(AV$772:AV$780,$D$723:$D$731)*$E711-AV780*$E711),0),AV780*$E711)</f>
        <v/>
      </c>
      <c r="AW711" s="47">
        <f>$D711*MIN(MAX(AW$699-(SUMPRODUCT(AW$772:AW$780,$D$723:$D$731)*$E711-AW780*$E711),0),AW780*$E711)</f>
        <v/>
      </c>
      <c r="AX711" s="47">
        <f>$D711*MIN(MAX(AX$699-(SUMPRODUCT(AX$772:AX$780,$D$723:$D$731)*$E711-AX780*$E711),0),AX780*$E711)</f>
        <v/>
      </c>
      <c r="AY711" s="47">
        <f>$D711*MIN(MAX(AY$699-(SUMPRODUCT(AY$772:AY$780,$D$723:$D$731)*$E711-AY780*$E711),0),AY780*$E711)</f>
        <v/>
      </c>
      <c r="AZ711" s="47">
        <f>$D711*MIN(MAX(AZ$699-(SUMPRODUCT(AZ$772:AZ$780,$D$723:$D$731)*$E711-AZ780*$E711),0),AZ780*$E711)</f>
        <v/>
      </c>
      <c r="BA711" s="48">
        <f>MINDISPATCH($D711,BA$699,SUMPRODUCT(BA$772:BA$780,$D$723:$D$731)*$E711,BA780*$E711)</f>
        <v/>
      </c>
    </row>
    <row r="712" hidden="1" outlineLevel="1"/>
    <row r="713" hidden="1" outlineLevel="1">
      <c r="A713" s="14" t="inlineStr">
        <is>
          <t>lgd</t>
        </is>
      </c>
      <c r="B713" s="14" t="inlineStr">
        <is>
          <t>coa</t>
        </is>
      </c>
      <c r="C713" s="14" t="inlineStr">
        <is>
          <t>pow</t>
        </is>
      </c>
      <c r="D713" s="45">
        <f>INDEX(Inputs_power!$AN$5:$AN$13,MATCH($B713,Inputs_power!$A$5:$A$13,0))</f>
        <v/>
      </c>
      <c r="E713" s="45">
        <f>INDEX(PParVal,MATCH("k_dispatch",PParKey,0))</f>
        <v/>
      </c>
      <c r="F713" s="45">
        <f>INDEX(PParVal,MATCH("min_cost",PParKey,0))</f>
        <v/>
      </c>
      <c r="G713" s="39" t="n"/>
      <c r="H713" s="14">
        <f>INDEX(VarLab,MATCH($A713,VarKey,0))&amp;INDEX(MemLab,MATCH($C713&amp;"|"&amp;$B713,MemKey,0))</f>
        <v/>
      </c>
      <c r="I713" s="14">
        <f>INDEX(VarUnit,MATCH($A713,VarKey,0))</f>
        <v/>
      </c>
      <c r="J713" s="14">
        <f>INDEX(VarSrc,MATCH($A713,VarKey,0))</f>
        <v/>
      </c>
      <c r="K713" s="11">
        <f>CodePrefix&amp;$A713&amp;IF($C713="","","."&amp;$C713&amp;"."&amp;$B713)&amp;INDEX(VarEnd,MATCH($A713,VarKey,0))&amp;K$5</f>
        <v/>
      </c>
      <c r="L713" s="15">
        <f>$D713*EXP(-$E713*MAX(L571,$F713)/L$700)</f>
        <v/>
      </c>
      <c r="M713" s="16">
        <f>$D713*EXP(-$E713*MAX(M571,$F713)/M$700)</f>
        <v/>
      </c>
      <c r="N713" s="16">
        <f>$D713*EXP(-$E713*MAX(N571,$F713)/N$700)</f>
        <v/>
      </c>
      <c r="O713" s="16">
        <f>$D713*EXP(-$E713*MAX(O571,$F713)/O$700)</f>
        <v/>
      </c>
      <c r="P713" s="16">
        <f>$D713*EXP(-$E713*MAX(P571,$F713)/P$700)</f>
        <v/>
      </c>
      <c r="Q713" s="16">
        <f>$D713*EXP(-$E713*MAX(Q571,$F713)/Q$700)</f>
        <v/>
      </c>
      <c r="R713" s="16">
        <f>$D713*EXP(-$E713*MAX(R571,$F713)/R$700)</f>
        <v/>
      </c>
      <c r="S713" s="16">
        <f>$D713*EXP(-$E713*MAX(S571,$F713)/S$700)</f>
        <v/>
      </c>
      <c r="T713" s="16">
        <f>$D713*EXP(-$E713*MAX(T571,$F713)/T$700)</f>
        <v/>
      </c>
      <c r="U713" s="16">
        <f>$D713*EXP(-$E713*MAX(U571,$F713)/U$700)</f>
        <v/>
      </c>
      <c r="V713" s="16">
        <f>$D713*EXP(-$E713*MAX(V571,$F713)/V$700)</f>
        <v/>
      </c>
      <c r="W713" s="16">
        <f>$D713*EXP(-$E713*MAX(W571,$F713)/W$700)</f>
        <v/>
      </c>
      <c r="X713" s="16">
        <f>$D713*EXP(-$E713*MAX(X571,$F713)/X$700)</f>
        <v/>
      </c>
      <c r="Y713" s="16">
        <f>$D713*EXP(-$E713*MAX(Y571,$F713)/Y$700)</f>
        <v/>
      </c>
      <c r="Z713" s="16">
        <f>$D713*EXP(-$E713*MAX(Z571,$F713)/Z$700)</f>
        <v/>
      </c>
      <c r="AA713" s="16">
        <f>$D713*EXP(-$E713*MAX(AA571,$F713)/AA$700)</f>
        <v/>
      </c>
      <c r="AB713" s="16">
        <f>$D713*EXP(-$E713*MAX(AB571,$F713)/AB$700)</f>
        <v/>
      </c>
      <c r="AC713" s="16">
        <f>$D713*EXP(-$E713*MAX(AC571,$F713)/AC$700)</f>
        <v/>
      </c>
      <c r="AD713" s="16">
        <f>$D713*EXP(-$E713*MAX(AD571,$F713)/AD$700)</f>
        <v/>
      </c>
      <c r="AE713" s="49">
        <f>LOGITW($D713,$E713,MAX(AE571,$F713),AE$700)</f>
        <v/>
      </c>
      <c r="AG713" s="11">
        <f>CodePrefix&amp;$A713&amp;IF($C713="","","."&amp;$C713&amp;"."&amp;$B713)&amp;INDEX(VarEnd,MATCH($A713,VarKey,0))&amp;AG$5</f>
        <v/>
      </c>
      <c r="AH713" s="15">
        <f>$D713*EXP(-$E713*MAX(AH571,$F713)/AH$700)</f>
        <v/>
      </c>
      <c r="AI713" s="16">
        <f>$D713*EXP(-$E713*MAX(AI571,$F713)/AI$700)</f>
        <v/>
      </c>
      <c r="AJ713" s="16">
        <f>$D713*EXP(-$E713*MAX(AJ571,$F713)/AJ$700)</f>
        <v/>
      </c>
      <c r="AK713" s="16">
        <f>$D713*EXP(-$E713*MAX(AK571,$F713)/AK$700)</f>
        <v/>
      </c>
      <c r="AL713" s="16">
        <f>$D713*EXP(-$E713*MAX(AL571,$F713)/AL$700)</f>
        <v/>
      </c>
      <c r="AM713" s="16">
        <f>$D713*EXP(-$E713*MAX(AM571,$F713)/AM$700)</f>
        <v/>
      </c>
      <c r="AN713" s="16">
        <f>$D713*EXP(-$E713*MAX(AN571,$F713)/AN$700)</f>
        <v/>
      </c>
      <c r="AO713" s="16">
        <f>$D713*EXP(-$E713*MAX(AO571,$F713)/AO$700)</f>
        <v/>
      </c>
      <c r="AP713" s="16">
        <f>$D713*EXP(-$E713*MAX(AP571,$F713)/AP$700)</f>
        <v/>
      </c>
      <c r="AQ713" s="16">
        <f>$D713*EXP(-$E713*MAX(AQ571,$F713)/AQ$700)</f>
        <v/>
      </c>
      <c r="AR713" s="16">
        <f>$D713*EXP(-$E713*MAX(AR571,$F713)/AR$700)</f>
        <v/>
      </c>
      <c r="AS713" s="16">
        <f>$D713*EXP(-$E713*MAX(AS571,$F713)/AS$700)</f>
        <v/>
      </c>
      <c r="AT713" s="16">
        <f>$D713*EXP(-$E713*MAX(AT571,$F713)/AT$700)</f>
        <v/>
      </c>
      <c r="AU713" s="16">
        <f>$D713*EXP(-$E713*MAX(AU571,$F713)/AU$700)</f>
        <v/>
      </c>
      <c r="AV713" s="16">
        <f>$D713*EXP(-$E713*MAX(AV571,$F713)/AV$700)</f>
        <v/>
      </c>
      <c r="AW713" s="16">
        <f>$D713*EXP(-$E713*MAX(AW571,$F713)/AW$700)</f>
        <v/>
      </c>
      <c r="AX713" s="16">
        <f>$D713*EXP(-$E713*MAX(AX571,$F713)/AX$700)</f>
        <v/>
      </c>
      <c r="AY713" s="16">
        <f>$D713*EXP(-$E713*MAX(AY571,$F713)/AY$700)</f>
        <v/>
      </c>
      <c r="AZ713" s="16">
        <f>$D713*EXP(-$E713*MAX(AZ571,$F713)/AZ$700)</f>
        <v/>
      </c>
      <c r="BA713" s="49">
        <f>LOGITW($D713,$E713,MAX(BA571,$F713),BA$700)</f>
        <v/>
      </c>
    </row>
    <row r="714" hidden="1" outlineLevel="1">
      <c r="A714" s="14" t="inlineStr">
        <is>
          <t>lgd</t>
        </is>
      </c>
      <c r="B714" s="14" t="inlineStr">
        <is>
          <t>nga</t>
        </is>
      </c>
      <c r="C714" s="14" t="inlineStr">
        <is>
          <t>pow</t>
        </is>
      </c>
      <c r="D714" s="45">
        <f>INDEX(Inputs_power!$AN$5:$AN$13,MATCH($B714,Inputs_power!$A$5:$A$13,0))</f>
        <v/>
      </c>
      <c r="E714" s="45">
        <f>INDEX(PParVal,MATCH("k_dispatch",PParKey,0))</f>
        <v/>
      </c>
      <c r="F714" s="45">
        <f>INDEX(PParVal,MATCH("min_cost",PParKey,0))</f>
        <v/>
      </c>
      <c r="G714" s="39" t="n"/>
      <c r="H714" s="14">
        <f>INDEX(VarLab,MATCH($A714,VarKey,0))&amp;INDEX(MemLab,MATCH($C714&amp;"|"&amp;$B714,MemKey,0))</f>
        <v/>
      </c>
      <c r="I714" s="14">
        <f>INDEX(VarUnit,MATCH($A714,VarKey,0))</f>
        <v/>
      </c>
      <c r="J714" s="14">
        <f>INDEX(VarSrc,MATCH($A714,VarKey,0))</f>
        <v/>
      </c>
      <c r="K714" s="11">
        <f>CodePrefix&amp;$A714&amp;IF($C714="","","."&amp;$C714&amp;"."&amp;$B714)&amp;INDEX(VarEnd,MATCH($A714,VarKey,0))&amp;K$5</f>
        <v/>
      </c>
      <c r="L714" s="15">
        <f>$D714*EXP(-$E714*MAX(L572,$F714)/L$700)</f>
        <v/>
      </c>
      <c r="M714" s="16">
        <f>$D714*EXP(-$E714*MAX(M572,$F714)/M$700)</f>
        <v/>
      </c>
      <c r="N714" s="16">
        <f>$D714*EXP(-$E714*MAX(N572,$F714)/N$700)</f>
        <v/>
      </c>
      <c r="O714" s="16">
        <f>$D714*EXP(-$E714*MAX(O572,$F714)/O$700)</f>
        <v/>
      </c>
      <c r="P714" s="16">
        <f>$D714*EXP(-$E714*MAX(P572,$F714)/P$700)</f>
        <v/>
      </c>
      <c r="Q714" s="16">
        <f>$D714*EXP(-$E714*MAX(Q572,$F714)/Q$700)</f>
        <v/>
      </c>
      <c r="R714" s="16">
        <f>$D714*EXP(-$E714*MAX(R572,$F714)/R$700)</f>
        <v/>
      </c>
      <c r="S714" s="16">
        <f>$D714*EXP(-$E714*MAX(S572,$F714)/S$700)</f>
        <v/>
      </c>
      <c r="T714" s="16">
        <f>$D714*EXP(-$E714*MAX(T572,$F714)/T$700)</f>
        <v/>
      </c>
      <c r="U714" s="16">
        <f>$D714*EXP(-$E714*MAX(U572,$F714)/U$700)</f>
        <v/>
      </c>
      <c r="V714" s="16">
        <f>$D714*EXP(-$E714*MAX(V572,$F714)/V$700)</f>
        <v/>
      </c>
      <c r="W714" s="16">
        <f>$D714*EXP(-$E714*MAX(W572,$F714)/W$700)</f>
        <v/>
      </c>
      <c r="X714" s="16">
        <f>$D714*EXP(-$E714*MAX(X572,$F714)/X$700)</f>
        <v/>
      </c>
      <c r="Y714" s="16">
        <f>$D714*EXP(-$E714*MAX(Y572,$F714)/Y$700)</f>
        <v/>
      </c>
      <c r="Z714" s="16">
        <f>$D714*EXP(-$E714*MAX(Z572,$F714)/Z$700)</f>
        <v/>
      </c>
      <c r="AA714" s="16">
        <f>$D714*EXP(-$E714*MAX(AA572,$F714)/AA$700)</f>
        <v/>
      </c>
      <c r="AB714" s="16">
        <f>$D714*EXP(-$E714*MAX(AB572,$F714)/AB$700)</f>
        <v/>
      </c>
      <c r="AC714" s="16">
        <f>$D714*EXP(-$E714*MAX(AC572,$F714)/AC$700)</f>
        <v/>
      </c>
      <c r="AD714" s="16">
        <f>$D714*EXP(-$E714*MAX(AD572,$F714)/AD$700)</f>
        <v/>
      </c>
      <c r="AE714" s="49">
        <f>LOGITW($D714,$E714,MAX(AE572,$F714),AE$700)</f>
        <v/>
      </c>
      <c r="AG714" s="11">
        <f>CodePrefix&amp;$A714&amp;IF($C714="","","."&amp;$C714&amp;"."&amp;$B714)&amp;INDEX(VarEnd,MATCH($A714,VarKey,0))&amp;AG$5</f>
        <v/>
      </c>
      <c r="AH714" s="15">
        <f>$D714*EXP(-$E714*MAX(AH572,$F714)/AH$700)</f>
        <v/>
      </c>
      <c r="AI714" s="16">
        <f>$D714*EXP(-$E714*MAX(AI572,$F714)/AI$700)</f>
        <v/>
      </c>
      <c r="AJ714" s="16">
        <f>$D714*EXP(-$E714*MAX(AJ572,$F714)/AJ$700)</f>
        <v/>
      </c>
      <c r="AK714" s="16">
        <f>$D714*EXP(-$E714*MAX(AK572,$F714)/AK$700)</f>
        <v/>
      </c>
      <c r="AL714" s="16">
        <f>$D714*EXP(-$E714*MAX(AL572,$F714)/AL$700)</f>
        <v/>
      </c>
      <c r="AM714" s="16">
        <f>$D714*EXP(-$E714*MAX(AM572,$F714)/AM$700)</f>
        <v/>
      </c>
      <c r="AN714" s="16">
        <f>$D714*EXP(-$E714*MAX(AN572,$F714)/AN$700)</f>
        <v/>
      </c>
      <c r="AO714" s="16">
        <f>$D714*EXP(-$E714*MAX(AO572,$F714)/AO$700)</f>
        <v/>
      </c>
      <c r="AP714" s="16">
        <f>$D714*EXP(-$E714*MAX(AP572,$F714)/AP$700)</f>
        <v/>
      </c>
      <c r="AQ714" s="16">
        <f>$D714*EXP(-$E714*MAX(AQ572,$F714)/AQ$700)</f>
        <v/>
      </c>
      <c r="AR714" s="16">
        <f>$D714*EXP(-$E714*MAX(AR572,$F714)/AR$700)</f>
        <v/>
      </c>
      <c r="AS714" s="16">
        <f>$D714*EXP(-$E714*MAX(AS572,$F714)/AS$700)</f>
        <v/>
      </c>
      <c r="AT714" s="16">
        <f>$D714*EXP(-$E714*MAX(AT572,$F714)/AT$700)</f>
        <v/>
      </c>
      <c r="AU714" s="16">
        <f>$D714*EXP(-$E714*MAX(AU572,$F714)/AU$700)</f>
        <v/>
      </c>
      <c r="AV714" s="16">
        <f>$D714*EXP(-$E714*MAX(AV572,$F714)/AV$700)</f>
        <v/>
      </c>
      <c r="AW714" s="16">
        <f>$D714*EXP(-$E714*MAX(AW572,$F714)/AW$700)</f>
        <v/>
      </c>
      <c r="AX714" s="16">
        <f>$D714*EXP(-$E714*MAX(AX572,$F714)/AX$700)</f>
        <v/>
      </c>
      <c r="AY714" s="16">
        <f>$D714*EXP(-$E714*MAX(AY572,$F714)/AY$700)</f>
        <v/>
      </c>
      <c r="AZ714" s="16">
        <f>$D714*EXP(-$E714*MAX(AZ572,$F714)/AZ$700)</f>
        <v/>
      </c>
      <c r="BA714" s="49">
        <f>LOGITW($D714,$E714,MAX(BA572,$F714),BA$700)</f>
        <v/>
      </c>
    </row>
    <row r="715" hidden="1" outlineLevel="1">
      <c r="A715" s="14" t="inlineStr">
        <is>
          <t>lgd</t>
        </is>
      </c>
      <c r="B715" s="14" t="inlineStr">
        <is>
          <t>oop</t>
        </is>
      </c>
      <c r="C715" s="14" t="inlineStr">
        <is>
          <t>pow</t>
        </is>
      </c>
      <c r="D715" s="45">
        <f>INDEX(Inputs_power!$AN$5:$AN$13,MATCH($B715,Inputs_power!$A$5:$A$13,0))</f>
        <v/>
      </c>
      <c r="E715" s="45">
        <f>INDEX(PParVal,MATCH("k_dispatch",PParKey,0))</f>
        <v/>
      </c>
      <c r="F715" s="45">
        <f>INDEX(PParVal,MATCH("min_cost",PParKey,0))</f>
        <v/>
      </c>
      <c r="G715" s="39" t="n"/>
      <c r="H715" s="14">
        <f>INDEX(VarLab,MATCH($A715,VarKey,0))&amp;INDEX(MemLab,MATCH($C715&amp;"|"&amp;$B715,MemKey,0))</f>
        <v/>
      </c>
      <c r="I715" s="14">
        <f>INDEX(VarUnit,MATCH($A715,VarKey,0))</f>
        <v/>
      </c>
      <c r="J715" s="14">
        <f>INDEX(VarSrc,MATCH($A715,VarKey,0))</f>
        <v/>
      </c>
      <c r="K715" s="11">
        <f>CodePrefix&amp;$A715&amp;IF($C715="","","."&amp;$C715&amp;"."&amp;$B715)&amp;INDEX(VarEnd,MATCH($A715,VarKey,0))&amp;K$5</f>
        <v/>
      </c>
      <c r="L715" s="15">
        <f>$D715*EXP(-$E715*MAX(L573,$F715)/L$700)</f>
        <v/>
      </c>
      <c r="M715" s="16">
        <f>$D715*EXP(-$E715*MAX(M573,$F715)/M$700)</f>
        <v/>
      </c>
      <c r="N715" s="16">
        <f>$D715*EXP(-$E715*MAX(N573,$F715)/N$700)</f>
        <v/>
      </c>
      <c r="O715" s="16">
        <f>$D715*EXP(-$E715*MAX(O573,$F715)/O$700)</f>
        <v/>
      </c>
      <c r="P715" s="16">
        <f>$D715*EXP(-$E715*MAX(P573,$F715)/P$700)</f>
        <v/>
      </c>
      <c r="Q715" s="16">
        <f>$D715*EXP(-$E715*MAX(Q573,$F715)/Q$700)</f>
        <v/>
      </c>
      <c r="R715" s="16">
        <f>$D715*EXP(-$E715*MAX(R573,$F715)/R$700)</f>
        <v/>
      </c>
      <c r="S715" s="16">
        <f>$D715*EXP(-$E715*MAX(S573,$F715)/S$700)</f>
        <v/>
      </c>
      <c r="T715" s="16">
        <f>$D715*EXP(-$E715*MAX(T573,$F715)/T$700)</f>
        <v/>
      </c>
      <c r="U715" s="16">
        <f>$D715*EXP(-$E715*MAX(U573,$F715)/U$700)</f>
        <v/>
      </c>
      <c r="V715" s="16">
        <f>$D715*EXP(-$E715*MAX(V573,$F715)/V$700)</f>
        <v/>
      </c>
      <c r="W715" s="16">
        <f>$D715*EXP(-$E715*MAX(W573,$F715)/W$700)</f>
        <v/>
      </c>
      <c r="X715" s="16">
        <f>$D715*EXP(-$E715*MAX(X573,$F715)/X$700)</f>
        <v/>
      </c>
      <c r="Y715" s="16">
        <f>$D715*EXP(-$E715*MAX(Y573,$F715)/Y$700)</f>
        <v/>
      </c>
      <c r="Z715" s="16">
        <f>$D715*EXP(-$E715*MAX(Z573,$F715)/Z$700)</f>
        <v/>
      </c>
      <c r="AA715" s="16">
        <f>$D715*EXP(-$E715*MAX(AA573,$F715)/AA$700)</f>
        <v/>
      </c>
      <c r="AB715" s="16">
        <f>$D715*EXP(-$E715*MAX(AB573,$F715)/AB$700)</f>
        <v/>
      </c>
      <c r="AC715" s="16">
        <f>$D715*EXP(-$E715*MAX(AC573,$F715)/AC$700)</f>
        <v/>
      </c>
      <c r="AD715" s="16">
        <f>$D715*EXP(-$E715*MAX(AD573,$F715)/AD$700)</f>
        <v/>
      </c>
      <c r="AE715" s="49">
        <f>LOGITW($D715,$E715,MAX(AE573,$F715),AE$700)</f>
        <v/>
      </c>
      <c r="AG715" s="11">
        <f>CodePrefix&amp;$A715&amp;IF($C715="","","."&amp;$C715&amp;"."&amp;$B715)&amp;INDEX(VarEnd,MATCH($A715,VarKey,0))&amp;AG$5</f>
        <v/>
      </c>
      <c r="AH715" s="15">
        <f>$D715*EXP(-$E715*MAX(AH573,$F715)/AH$700)</f>
        <v/>
      </c>
      <c r="AI715" s="16">
        <f>$D715*EXP(-$E715*MAX(AI573,$F715)/AI$700)</f>
        <v/>
      </c>
      <c r="AJ715" s="16">
        <f>$D715*EXP(-$E715*MAX(AJ573,$F715)/AJ$700)</f>
        <v/>
      </c>
      <c r="AK715" s="16">
        <f>$D715*EXP(-$E715*MAX(AK573,$F715)/AK$700)</f>
        <v/>
      </c>
      <c r="AL715" s="16">
        <f>$D715*EXP(-$E715*MAX(AL573,$F715)/AL$700)</f>
        <v/>
      </c>
      <c r="AM715" s="16">
        <f>$D715*EXP(-$E715*MAX(AM573,$F715)/AM$700)</f>
        <v/>
      </c>
      <c r="AN715" s="16">
        <f>$D715*EXP(-$E715*MAX(AN573,$F715)/AN$700)</f>
        <v/>
      </c>
      <c r="AO715" s="16">
        <f>$D715*EXP(-$E715*MAX(AO573,$F715)/AO$700)</f>
        <v/>
      </c>
      <c r="AP715" s="16">
        <f>$D715*EXP(-$E715*MAX(AP573,$F715)/AP$700)</f>
        <v/>
      </c>
      <c r="AQ715" s="16">
        <f>$D715*EXP(-$E715*MAX(AQ573,$F715)/AQ$700)</f>
        <v/>
      </c>
      <c r="AR715" s="16">
        <f>$D715*EXP(-$E715*MAX(AR573,$F715)/AR$700)</f>
        <v/>
      </c>
      <c r="AS715" s="16">
        <f>$D715*EXP(-$E715*MAX(AS573,$F715)/AS$700)</f>
        <v/>
      </c>
      <c r="AT715" s="16">
        <f>$D715*EXP(-$E715*MAX(AT573,$F715)/AT$700)</f>
        <v/>
      </c>
      <c r="AU715" s="16">
        <f>$D715*EXP(-$E715*MAX(AU573,$F715)/AU$700)</f>
        <v/>
      </c>
      <c r="AV715" s="16">
        <f>$D715*EXP(-$E715*MAX(AV573,$F715)/AV$700)</f>
        <v/>
      </c>
      <c r="AW715" s="16">
        <f>$D715*EXP(-$E715*MAX(AW573,$F715)/AW$700)</f>
        <v/>
      </c>
      <c r="AX715" s="16">
        <f>$D715*EXP(-$E715*MAX(AX573,$F715)/AX$700)</f>
        <v/>
      </c>
      <c r="AY715" s="16">
        <f>$D715*EXP(-$E715*MAX(AY573,$F715)/AY$700)</f>
        <v/>
      </c>
      <c r="AZ715" s="16">
        <f>$D715*EXP(-$E715*MAX(AZ573,$F715)/AZ$700)</f>
        <v/>
      </c>
      <c r="BA715" s="49">
        <f>LOGITW($D715,$E715,MAX(BA573,$F715),BA$700)</f>
        <v/>
      </c>
    </row>
    <row r="716" hidden="1" outlineLevel="1">
      <c r="A716" s="14" t="inlineStr">
        <is>
          <t>lgd</t>
        </is>
      </c>
      <c r="B716" s="14" t="inlineStr">
        <is>
          <t>nuc</t>
        </is>
      </c>
      <c r="C716" s="14" t="inlineStr">
        <is>
          <t>pow</t>
        </is>
      </c>
      <c r="D716" s="45">
        <f>INDEX(Inputs_power!$AN$5:$AN$13,MATCH($B716,Inputs_power!$A$5:$A$13,0))</f>
        <v/>
      </c>
      <c r="E716" s="45">
        <f>INDEX(PParVal,MATCH("k_dispatch",PParKey,0))</f>
        <v/>
      </c>
      <c r="F716" s="45">
        <f>INDEX(PParVal,MATCH("min_cost",PParKey,0))</f>
        <v/>
      </c>
      <c r="G716" s="39" t="n"/>
      <c r="H716" s="14">
        <f>INDEX(VarLab,MATCH($A716,VarKey,0))&amp;INDEX(MemLab,MATCH($C716&amp;"|"&amp;$B716,MemKey,0))</f>
        <v/>
      </c>
      <c r="I716" s="14">
        <f>INDEX(VarUnit,MATCH($A716,VarKey,0))</f>
        <v/>
      </c>
      <c r="J716" s="14">
        <f>INDEX(VarSrc,MATCH($A716,VarKey,0))</f>
        <v/>
      </c>
      <c r="K716" s="11">
        <f>CodePrefix&amp;$A716&amp;IF($C716="","","."&amp;$C716&amp;"."&amp;$B716)&amp;INDEX(VarEnd,MATCH($A716,VarKey,0))&amp;K$5</f>
        <v/>
      </c>
      <c r="L716" s="15">
        <f>$D716*EXP(-$E716*MAX(L574,$F716)/L$700)</f>
        <v/>
      </c>
      <c r="M716" s="16">
        <f>$D716*EXP(-$E716*MAX(M574,$F716)/M$700)</f>
        <v/>
      </c>
      <c r="N716" s="16">
        <f>$D716*EXP(-$E716*MAX(N574,$F716)/N$700)</f>
        <v/>
      </c>
      <c r="O716" s="16">
        <f>$D716*EXP(-$E716*MAX(O574,$F716)/O$700)</f>
        <v/>
      </c>
      <c r="P716" s="16">
        <f>$D716*EXP(-$E716*MAX(P574,$F716)/P$700)</f>
        <v/>
      </c>
      <c r="Q716" s="16">
        <f>$D716*EXP(-$E716*MAX(Q574,$F716)/Q$700)</f>
        <v/>
      </c>
      <c r="R716" s="16">
        <f>$D716*EXP(-$E716*MAX(R574,$F716)/R$700)</f>
        <v/>
      </c>
      <c r="S716" s="16">
        <f>$D716*EXP(-$E716*MAX(S574,$F716)/S$700)</f>
        <v/>
      </c>
      <c r="T716" s="16">
        <f>$D716*EXP(-$E716*MAX(T574,$F716)/T$700)</f>
        <v/>
      </c>
      <c r="U716" s="16">
        <f>$D716*EXP(-$E716*MAX(U574,$F716)/U$700)</f>
        <v/>
      </c>
      <c r="V716" s="16">
        <f>$D716*EXP(-$E716*MAX(V574,$F716)/V$700)</f>
        <v/>
      </c>
      <c r="W716" s="16">
        <f>$D716*EXP(-$E716*MAX(W574,$F716)/W$700)</f>
        <v/>
      </c>
      <c r="X716" s="16">
        <f>$D716*EXP(-$E716*MAX(X574,$F716)/X$700)</f>
        <v/>
      </c>
      <c r="Y716" s="16">
        <f>$D716*EXP(-$E716*MAX(Y574,$F716)/Y$700)</f>
        <v/>
      </c>
      <c r="Z716" s="16">
        <f>$D716*EXP(-$E716*MAX(Z574,$F716)/Z$700)</f>
        <v/>
      </c>
      <c r="AA716" s="16">
        <f>$D716*EXP(-$E716*MAX(AA574,$F716)/AA$700)</f>
        <v/>
      </c>
      <c r="AB716" s="16">
        <f>$D716*EXP(-$E716*MAX(AB574,$F716)/AB$700)</f>
        <v/>
      </c>
      <c r="AC716" s="16">
        <f>$D716*EXP(-$E716*MAX(AC574,$F716)/AC$700)</f>
        <v/>
      </c>
      <c r="AD716" s="16">
        <f>$D716*EXP(-$E716*MAX(AD574,$F716)/AD$700)</f>
        <v/>
      </c>
      <c r="AE716" s="49">
        <f>LOGITW($D716,$E716,MAX(AE574,$F716),AE$700)</f>
        <v/>
      </c>
      <c r="AG716" s="11">
        <f>CodePrefix&amp;$A716&amp;IF($C716="","","."&amp;$C716&amp;"."&amp;$B716)&amp;INDEX(VarEnd,MATCH($A716,VarKey,0))&amp;AG$5</f>
        <v/>
      </c>
      <c r="AH716" s="15">
        <f>$D716*EXP(-$E716*MAX(AH574,$F716)/AH$700)</f>
        <v/>
      </c>
      <c r="AI716" s="16">
        <f>$D716*EXP(-$E716*MAX(AI574,$F716)/AI$700)</f>
        <v/>
      </c>
      <c r="AJ716" s="16">
        <f>$D716*EXP(-$E716*MAX(AJ574,$F716)/AJ$700)</f>
        <v/>
      </c>
      <c r="AK716" s="16">
        <f>$D716*EXP(-$E716*MAX(AK574,$F716)/AK$700)</f>
        <v/>
      </c>
      <c r="AL716" s="16">
        <f>$D716*EXP(-$E716*MAX(AL574,$F716)/AL$700)</f>
        <v/>
      </c>
      <c r="AM716" s="16">
        <f>$D716*EXP(-$E716*MAX(AM574,$F716)/AM$700)</f>
        <v/>
      </c>
      <c r="AN716" s="16">
        <f>$D716*EXP(-$E716*MAX(AN574,$F716)/AN$700)</f>
        <v/>
      </c>
      <c r="AO716" s="16">
        <f>$D716*EXP(-$E716*MAX(AO574,$F716)/AO$700)</f>
        <v/>
      </c>
      <c r="AP716" s="16">
        <f>$D716*EXP(-$E716*MAX(AP574,$F716)/AP$700)</f>
        <v/>
      </c>
      <c r="AQ716" s="16">
        <f>$D716*EXP(-$E716*MAX(AQ574,$F716)/AQ$700)</f>
        <v/>
      </c>
      <c r="AR716" s="16">
        <f>$D716*EXP(-$E716*MAX(AR574,$F716)/AR$700)</f>
        <v/>
      </c>
      <c r="AS716" s="16">
        <f>$D716*EXP(-$E716*MAX(AS574,$F716)/AS$700)</f>
        <v/>
      </c>
      <c r="AT716" s="16">
        <f>$D716*EXP(-$E716*MAX(AT574,$F716)/AT$700)</f>
        <v/>
      </c>
      <c r="AU716" s="16">
        <f>$D716*EXP(-$E716*MAX(AU574,$F716)/AU$700)</f>
        <v/>
      </c>
      <c r="AV716" s="16">
        <f>$D716*EXP(-$E716*MAX(AV574,$F716)/AV$700)</f>
        <v/>
      </c>
      <c r="AW716" s="16">
        <f>$D716*EXP(-$E716*MAX(AW574,$F716)/AW$700)</f>
        <v/>
      </c>
      <c r="AX716" s="16">
        <f>$D716*EXP(-$E716*MAX(AX574,$F716)/AX$700)</f>
        <v/>
      </c>
      <c r="AY716" s="16">
        <f>$D716*EXP(-$E716*MAX(AY574,$F716)/AY$700)</f>
        <v/>
      </c>
      <c r="AZ716" s="16">
        <f>$D716*EXP(-$E716*MAX(AZ574,$F716)/AZ$700)</f>
        <v/>
      </c>
      <c r="BA716" s="49">
        <f>LOGITW($D716,$E716,MAX(BA574,$F716),BA$700)</f>
        <v/>
      </c>
    </row>
    <row r="717" hidden="1" outlineLevel="1">
      <c r="A717" s="14" t="inlineStr">
        <is>
          <t>lgd</t>
        </is>
      </c>
      <c r="B717" s="14" t="inlineStr">
        <is>
          <t>wnd</t>
        </is>
      </c>
      <c r="C717" s="14" t="inlineStr">
        <is>
          <t>pow</t>
        </is>
      </c>
      <c r="D717" s="45">
        <f>INDEX(Inputs_power!$AN$5:$AN$13,MATCH($B717,Inputs_power!$A$5:$A$13,0))</f>
        <v/>
      </c>
      <c r="E717" s="45">
        <f>INDEX(PParVal,MATCH("k_dispatch",PParKey,0))</f>
        <v/>
      </c>
      <c r="F717" s="45">
        <f>INDEX(PParVal,MATCH("min_cost",PParKey,0))</f>
        <v/>
      </c>
      <c r="G717" s="39" t="n"/>
      <c r="H717" s="14">
        <f>INDEX(VarLab,MATCH($A717,VarKey,0))&amp;INDEX(MemLab,MATCH($C717&amp;"|"&amp;$B717,MemKey,0))</f>
        <v/>
      </c>
      <c r="I717" s="14">
        <f>INDEX(VarUnit,MATCH($A717,VarKey,0))</f>
        <v/>
      </c>
      <c r="J717" s="14">
        <f>INDEX(VarSrc,MATCH($A717,VarKey,0))</f>
        <v/>
      </c>
      <c r="K717" s="11">
        <f>CodePrefix&amp;$A717&amp;IF($C717="","","."&amp;$C717&amp;"."&amp;$B717)&amp;INDEX(VarEnd,MATCH($A717,VarKey,0))&amp;K$5</f>
        <v/>
      </c>
      <c r="L717" s="15">
        <f>$D717*EXP(-$E717*MAX(L575,$F717)/L$700)</f>
        <v/>
      </c>
      <c r="M717" s="16">
        <f>$D717*EXP(-$E717*MAX(M575,$F717)/M$700)</f>
        <v/>
      </c>
      <c r="N717" s="16">
        <f>$D717*EXP(-$E717*MAX(N575,$F717)/N$700)</f>
        <v/>
      </c>
      <c r="O717" s="16">
        <f>$D717*EXP(-$E717*MAX(O575,$F717)/O$700)</f>
        <v/>
      </c>
      <c r="P717" s="16">
        <f>$D717*EXP(-$E717*MAX(P575,$F717)/P$700)</f>
        <v/>
      </c>
      <c r="Q717" s="16">
        <f>$D717*EXP(-$E717*MAX(Q575,$F717)/Q$700)</f>
        <v/>
      </c>
      <c r="R717" s="16">
        <f>$D717*EXP(-$E717*MAX(R575,$F717)/R$700)</f>
        <v/>
      </c>
      <c r="S717" s="16">
        <f>$D717*EXP(-$E717*MAX(S575,$F717)/S$700)</f>
        <v/>
      </c>
      <c r="T717" s="16">
        <f>$D717*EXP(-$E717*MAX(T575,$F717)/T$700)</f>
        <v/>
      </c>
      <c r="U717" s="16">
        <f>$D717*EXP(-$E717*MAX(U575,$F717)/U$700)</f>
        <v/>
      </c>
      <c r="V717" s="16">
        <f>$D717*EXP(-$E717*MAX(V575,$F717)/V$700)</f>
        <v/>
      </c>
      <c r="W717" s="16">
        <f>$D717*EXP(-$E717*MAX(W575,$F717)/W$700)</f>
        <v/>
      </c>
      <c r="X717" s="16">
        <f>$D717*EXP(-$E717*MAX(X575,$F717)/X$700)</f>
        <v/>
      </c>
      <c r="Y717" s="16">
        <f>$D717*EXP(-$E717*MAX(Y575,$F717)/Y$700)</f>
        <v/>
      </c>
      <c r="Z717" s="16">
        <f>$D717*EXP(-$E717*MAX(Z575,$F717)/Z$700)</f>
        <v/>
      </c>
      <c r="AA717" s="16">
        <f>$D717*EXP(-$E717*MAX(AA575,$F717)/AA$700)</f>
        <v/>
      </c>
      <c r="AB717" s="16">
        <f>$D717*EXP(-$E717*MAX(AB575,$F717)/AB$700)</f>
        <v/>
      </c>
      <c r="AC717" s="16">
        <f>$D717*EXP(-$E717*MAX(AC575,$F717)/AC$700)</f>
        <v/>
      </c>
      <c r="AD717" s="16">
        <f>$D717*EXP(-$E717*MAX(AD575,$F717)/AD$700)</f>
        <v/>
      </c>
      <c r="AE717" s="49">
        <f>LOGITW($D717,$E717,MAX(AE575,$F717),AE$700)</f>
        <v/>
      </c>
      <c r="AG717" s="11">
        <f>CodePrefix&amp;$A717&amp;IF($C717="","","."&amp;$C717&amp;"."&amp;$B717)&amp;INDEX(VarEnd,MATCH($A717,VarKey,0))&amp;AG$5</f>
        <v/>
      </c>
      <c r="AH717" s="15">
        <f>$D717*EXP(-$E717*MAX(AH575,$F717)/AH$700)</f>
        <v/>
      </c>
      <c r="AI717" s="16">
        <f>$D717*EXP(-$E717*MAX(AI575,$F717)/AI$700)</f>
        <v/>
      </c>
      <c r="AJ717" s="16">
        <f>$D717*EXP(-$E717*MAX(AJ575,$F717)/AJ$700)</f>
        <v/>
      </c>
      <c r="AK717" s="16">
        <f>$D717*EXP(-$E717*MAX(AK575,$F717)/AK$700)</f>
        <v/>
      </c>
      <c r="AL717" s="16">
        <f>$D717*EXP(-$E717*MAX(AL575,$F717)/AL$700)</f>
        <v/>
      </c>
      <c r="AM717" s="16">
        <f>$D717*EXP(-$E717*MAX(AM575,$F717)/AM$700)</f>
        <v/>
      </c>
      <c r="AN717" s="16">
        <f>$D717*EXP(-$E717*MAX(AN575,$F717)/AN$700)</f>
        <v/>
      </c>
      <c r="AO717" s="16">
        <f>$D717*EXP(-$E717*MAX(AO575,$F717)/AO$700)</f>
        <v/>
      </c>
      <c r="AP717" s="16">
        <f>$D717*EXP(-$E717*MAX(AP575,$F717)/AP$700)</f>
        <v/>
      </c>
      <c r="AQ717" s="16">
        <f>$D717*EXP(-$E717*MAX(AQ575,$F717)/AQ$700)</f>
        <v/>
      </c>
      <c r="AR717" s="16">
        <f>$D717*EXP(-$E717*MAX(AR575,$F717)/AR$700)</f>
        <v/>
      </c>
      <c r="AS717" s="16">
        <f>$D717*EXP(-$E717*MAX(AS575,$F717)/AS$700)</f>
        <v/>
      </c>
      <c r="AT717" s="16">
        <f>$D717*EXP(-$E717*MAX(AT575,$F717)/AT$700)</f>
        <v/>
      </c>
      <c r="AU717" s="16">
        <f>$D717*EXP(-$E717*MAX(AU575,$F717)/AU$700)</f>
        <v/>
      </c>
      <c r="AV717" s="16">
        <f>$D717*EXP(-$E717*MAX(AV575,$F717)/AV$700)</f>
        <v/>
      </c>
      <c r="AW717" s="16">
        <f>$D717*EXP(-$E717*MAX(AW575,$F717)/AW$700)</f>
        <v/>
      </c>
      <c r="AX717" s="16">
        <f>$D717*EXP(-$E717*MAX(AX575,$F717)/AX$700)</f>
        <v/>
      </c>
      <c r="AY717" s="16">
        <f>$D717*EXP(-$E717*MAX(AY575,$F717)/AY$700)</f>
        <v/>
      </c>
      <c r="AZ717" s="16">
        <f>$D717*EXP(-$E717*MAX(AZ575,$F717)/AZ$700)</f>
        <v/>
      </c>
      <c r="BA717" s="49">
        <f>LOGITW($D717,$E717,MAX(BA575,$F717),BA$700)</f>
        <v/>
      </c>
    </row>
    <row r="718" hidden="1" outlineLevel="1">
      <c r="A718" s="14" t="inlineStr">
        <is>
          <t>lgd</t>
        </is>
      </c>
      <c r="B718" s="14" t="inlineStr">
        <is>
          <t>sol</t>
        </is>
      </c>
      <c r="C718" s="14" t="inlineStr">
        <is>
          <t>pow</t>
        </is>
      </c>
      <c r="D718" s="45">
        <f>INDEX(Inputs_power!$AN$5:$AN$13,MATCH($B718,Inputs_power!$A$5:$A$13,0))</f>
        <v/>
      </c>
      <c r="E718" s="45">
        <f>INDEX(PParVal,MATCH("k_dispatch",PParKey,0))</f>
        <v/>
      </c>
      <c r="F718" s="45">
        <f>INDEX(PParVal,MATCH("min_cost",PParKey,0))</f>
        <v/>
      </c>
      <c r="G718" s="39" t="n"/>
      <c r="H718" s="14">
        <f>INDEX(VarLab,MATCH($A718,VarKey,0))&amp;INDEX(MemLab,MATCH($C718&amp;"|"&amp;$B718,MemKey,0))</f>
        <v/>
      </c>
      <c r="I718" s="14">
        <f>INDEX(VarUnit,MATCH($A718,VarKey,0))</f>
        <v/>
      </c>
      <c r="J718" s="14">
        <f>INDEX(VarSrc,MATCH($A718,VarKey,0))</f>
        <v/>
      </c>
      <c r="K718" s="11">
        <f>CodePrefix&amp;$A718&amp;IF($C718="","","."&amp;$C718&amp;"."&amp;$B718)&amp;INDEX(VarEnd,MATCH($A718,VarKey,0))&amp;K$5</f>
        <v/>
      </c>
      <c r="L718" s="15">
        <f>$D718*EXP(-$E718*MAX(L576,$F718)/L$700)</f>
        <v/>
      </c>
      <c r="M718" s="16">
        <f>$D718*EXP(-$E718*MAX(M576,$F718)/M$700)</f>
        <v/>
      </c>
      <c r="N718" s="16">
        <f>$D718*EXP(-$E718*MAX(N576,$F718)/N$700)</f>
        <v/>
      </c>
      <c r="O718" s="16">
        <f>$D718*EXP(-$E718*MAX(O576,$F718)/O$700)</f>
        <v/>
      </c>
      <c r="P718" s="16">
        <f>$D718*EXP(-$E718*MAX(P576,$F718)/P$700)</f>
        <v/>
      </c>
      <c r="Q718" s="16">
        <f>$D718*EXP(-$E718*MAX(Q576,$F718)/Q$700)</f>
        <v/>
      </c>
      <c r="R718" s="16">
        <f>$D718*EXP(-$E718*MAX(R576,$F718)/R$700)</f>
        <v/>
      </c>
      <c r="S718" s="16">
        <f>$D718*EXP(-$E718*MAX(S576,$F718)/S$700)</f>
        <v/>
      </c>
      <c r="T718" s="16">
        <f>$D718*EXP(-$E718*MAX(T576,$F718)/T$700)</f>
        <v/>
      </c>
      <c r="U718" s="16">
        <f>$D718*EXP(-$E718*MAX(U576,$F718)/U$700)</f>
        <v/>
      </c>
      <c r="V718" s="16">
        <f>$D718*EXP(-$E718*MAX(V576,$F718)/V$700)</f>
        <v/>
      </c>
      <c r="W718" s="16">
        <f>$D718*EXP(-$E718*MAX(W576,$F718)/W$700)</f>
        <v/>
      </c>
      <c r="X718" s="16">
        <f>$D718*EXP(-$E718*MAX(X576,$F718)/X$700)</f>
        <v/>
      </c>
      <c r="Y718" s="16">
        <f>$D718*EXP(-$E718*MAX(Y576,$F718)/Y$700)</f>
        <v/>
      </c>
      <c r="Z718" s="16">
        <f>$D718*EXP(-$E718*MAX(Z576,$F718)/Z$700)</f>
        <v/>
      </c>
      <c r="AA718" s="16">
        <f>$D718*EXP(-$E718*MAX(AA576,$F718)/AA$700)</f>
        <v/>
      </c>
      <c r="AB718" s="16">
        <f>$D718*EXP(-$E718*MAX(AB576,$F718)/AB$700)</f>
        <v/>
      </c>
      <c r="AC718" s="16">
        <f>$D718*EXP(-$E718*MAX(AC576,$F718)/AC$700)</f>
        <v/>
      </c>
      <c r="AD718" s="16">
        <f>$D718*EXP(-$E718*MAX(AD576,$F718)/AD$700)</f>
        <v/>
      </c>
      <c r="AE718" s="49">
        <f>LOGITW($D718,$E718,MAX(AE576,$F718),AE$700)</f>
        <v/>
      </c>
      <c r="AG718" s="11">
        <f>CodePrefix&amp;$A718&amp;IF($C718="","","."&amp;$C718&amp;"."&amp;$B718)&amp;INDEX(VarEnd,MATCH($A718,VarKey,0))&amp;AG$5</f>
        <v/>
      </c>
      <c r="AH718" s="15">
        <f>$D718*EXP(-$E718*MAX(AH576,$F718)/AH$700)</f>
        <v/>
      </c>
      <c r="AI718" s="16">
        <f>$D718*EXP(-$E718*MAX(AI576,$F718)/AI$700)</f>
        <v/>
      </c>
      <c r="AJ718" s="16">
        <f>$D718*EXP(-$E718*MAX(AJ576,$F718)/AJ$700)</f>
        <v/>
      </c>
      <c r="AK718" s="16">
        <f>$D718*EXP(-$E718*MAX(AK576,$F718)/AK$700)</f>
        <v/>
      </c>
      <c r="AL718" s="16">
        <f>$D718*EXP(-$E718*MAX(AL576,$F718)/AL$700)</f>
        <v/>
      </c>
      <c r="AM718" s="16">
        <f>$D718*EXP(-$E718*MAX(AM576,$F718)/AM$700)</f>
        <v/>
      </c>
      <c r="AN718" s="16">
        <f>$D718*EXP(-$E718*MAX(AN576,$F718)/AN$700)</f>
        <v/>
      </c>
      <c r="AO718" s="16">
        <f>$D718*EXP(-$E718*MAX(AO576,$F718)/AO$700)</f>
        <v/>
      </c>
      <c r="AP718" s="16">
        <f>$D718*EXP(-$E718*MAX(AP576,$F718)/AP$700)</f>
        <v/>
      </c>
      <c r="AQ718" s="16">
        <f>$D718*EXP(-$E718*MAX(AQ576,$F718)/AQ$700)</f>
        <v/>
      </c>
      <c r="AR718" s="16">
        <f>$D718*EXP(-$E718*MAX(AR576,$F718)/AR$700)</f>
        <v/>
      </c>
      <c r="AS718" s="16">
        <f>$D718*EXP(-$E718*MAX(AS576,$F718)/AS$700)</f>
        <v/>
      </c>
      <c r="AT718" s="16">
        <f>$D718*EXP(-$E718*MAX(AT576,$F718)/AT$700)</f>
        <v/>
      </c>
      <c r="AU718" s="16">
        <f>$D718*EXP(-$E718*MAX(AU576,$F718)/AU$700)</f>
        <v/>
      </c>
      <c r="AV718" s="16">
        <f>$D718*EXP(-$E718*MAX(AV576,$F718)/AV$700)</f>
        <v/>
      </c>
      <c r="AW718" s="16">
        <f>$D718*EXP(-$E718*MAX(AW576,$F718)/AW$700)</f>
        <v/>
      </c>
      <c r="AX718" s="16">
        <f>$D718*EXP(-$E718*MAX(AX576,$F718)/AX$700)</f>
        <v/>
      </c>
      <c r="AY718" s="16">
        <f>$D718*EXP(-$E718*MAX(AY576,$F718)/AY$700)</f>
        <v/>
      </c>
      <c r="AZ718" s="16">
        <f>$D718*EXP(-$E718*MAX(AZ576,$F718)/AZ$700)</f>
        <v/>
      </c>
      <c r="BA718" s="49">
        <f>LOGITW($D718,$E718,MAX(BA576,$F718),BA$700)</f>
        <v/>
      </c>
    </row>
    <row r="719" hidden="1" outlineLevel="1">
      <c r="A719" s="14" t="inlineStr">
        <is>
          <t>lgd</t>
        </is>
      </c>
      <c r="B719" s="14" t="inlineStr">
        <is>
          <t>hyd</t>
        </is>
      </c>
      <c r="C719" s="14" t="inlineStr">
        <is>
          <t>pow</t>
        </is>
      </c>
      <c r="D719" s="45">
        <f>INDEX(Inputs_power!$AN$5:$AN$13,MATCH($B719,Inputs_power!$A$5:$A$13,0))</f>
        <v/>
      </c>
      <c r="E719" s="45">
        <f>INDEX(PParVal,MATCH("k_dispatch",PParKey,0))</f>
        <v/>
      </c>
      <c r="F719" s="45">
        <f>INDEX(PParVal,MATCH("min_cost",PParKey,0))</f>
        <v/>
      </c>
      <c r="G719" s="39" t="n"/>
      <c r="H719" s="14">
        <f>INDEX(VarLab,MATCH($A719,VarKey,0))&amp;INDEX(MemLab,MATCH($C719&amp;"|"&amp;$B719,MemKey,0))</f>
        <v/>
      </c>
      <c r="I719" s="14">
        <f>INDEX(VarUnit,MATCH($A719,VarKey,0))</f>
        <v/>
      </c>
      <c r="J719" s="14">
        <f>INDEX(VarSrc,MATCH($A719,VarKey,0))</f>
        <v/>
      </c>
      <c r="K719" s="11">
        <f>CodePrefix&amp;$A719&amp;IF($C719="","","."&amp;$C719&amp;"."&amp;$B719)&amp;INDEX(VarEnd,MATCH($A719,VarKey,0))&amp;K$5</f>
        <v/>
      </c>
      <c r="L719" s="15">
        <f>$D719*EXP(-$E719*MAX(L577,$F719)/L$700)</f>
        <v/>
      </c>
      <c r="M719" s="16">
        <f>$D719*EXP(-$E719*MAX(M577,$F719)/M$700)</f>
        <v/>
      </c>
      <c r="N719" s="16">
        <f>$D719*EXP(-$E719*MAX(N577,$F719)/N$700)</f>
        <v/>
      </c>
      <c r="O719" s="16">
        <f>$D719*EXP(-$E719*MAX(O577,$F719)/O$700)</f>
        <v/>
      </c>
      <c r="P719" s="16">
        <f>$D719*EXP(-$E719*MAX(P577,$F719)/P$700)</f>
        <v/>
      </c>
      <c r="Q719" s="16">
        <f>$D719*EXP(-$E719*MAX(Q577,$F719)/Q$700)</f>
        <v/>
      </c>
      <c r="R719" s="16">
        <f>$D719*EXP(-$E719*MAX(R577,$F719)/R$700)</f>
        <v/>
      </c>
      <c r="S719" s="16">
        <f>$D719*EXP(-$E719*MAX(S577,$F719)/S$700)</f>
        <v/>
      </c>
      <c r="T719" s="16">
        <f>$D719*EXP(-$E719*MAX(T577,$F719)/T$700)</f>
        <v/>
      </c>
      <c r="U719" s="16">
        <f>$D719*EXP(-$E719*MAX(U577,$F719)/U$700)</f>
        <v/>
      </c>
      <c r="V719" s="16">
        <f>$D719*EXP(-$E719*MAX(V577,$F719)/V$700)</f>
        <v/>
      </c>
      <c r="W719" s="16">
        <f>$D719*EXP(-$E719*MAX(W577,$F719)/W$700)</f>
        <v/>
      </c>
      <c r="X719" s="16">
        <f>$D719*EXP(-$E719*MAX(X577,$F719)/X$700)</f>
        <v/>
      </c>
      <c r="Y719" s="16">
        <f>$D719*EXP(-$E719*MAX(Y577,$F719)/Y$700)</f>
        <v/>
      </c>
      <c r="Z719" s="16">
        <f>$D719*EXP(-$E719*MAX(Z577,$F719)/Z$700)</f>
        <v/>
      </c>
      <c r="AA719" s="16">
        <f>$D719*EXP(-$E719*MAX(AA577,$F719)/AA$700)</f>
        <v/>
      </c>
      <c r="AB719" s="16">
        <f>$D719*EXP(-$E719*MAX(AB577,$F719)/AB$700)</f>
        <v/>
      </c>
      <c r="AC719" s="16">
        <f>$D719*EXP(-$E719*MAX(AC577,$F719)/AC$700)</f>
        <v/>
      </c>
      <c r="AD719" s="16">
        <f>$D719*EXP(-$E719*MAX(AD577,$F719)/AD$700)</f>
        <v/>
      </c>
      <c r="AE719" s="49">
        <f>LOGITW($D719,$E719,MAX(AE577,$F719),AE$700)</f>
        <v/>
      </c>
      <c r="AG719" s="11">
        <f>CodePrefix&amp;$A719&amp;IF($C719="","","."&amp;$C719&amp;"."&amp;$B719)&amp;INDEX(VarEnd,MATCH($A719,VarKey,0))&amp;AG$5</f>
        <v/>
      </c>
      <c r="AH719" s="15">
        <f>$D719*EXP(-$E719*MAX(AH577,$F719)/AH$700)</f>
        <v/>
      </c>
      <c r="AI719" s="16">
        <f>$D719*EXP(-$E719*MAX(AI577,$F719)/AI$700)</f>
        <v/>
      </c>
      <c r="AJ719" s="16">
        <f>$D719*EXP(-$E719*MAX(AJ577,$F719)/AJ$700)</f>
        <v/>
      </c>
      <c r="AK719" s="16">
        <f>$D719*EXP(-$E719*MAX(AK577,$F719)/AK$700)</f>
        <v/>
      </c>
      <c r="AL719" s="16">
        <f>$D719*EXP(-$E719*MAX(AL577,$F719)/AL$700)</f>
        <v/>
      </c>
      <c r="AM719" s="16">
        <f>$D719*EXP(-$E719*MAX(AM577,$F719)/AM$700)</f>
        <v/>
      </c>
      <c r="AN719" s="16">
        <f>$D719*EXP(-$E719*MAX(AN577,$F719)/AN$700)</f>
        <v/>
      </c>
      <c r="AO719" s="16">
        <f>$D719*EXP(-$E719*MAX(AO577,$F719)/AO$700)</f>
        <v/>
      </c>
      <c r="AP719" s="16">
        <f>$D719*EXP(-$E719*MAX(AP577,$F719)/AP$700)</f>
        <v/>
      </c>
      <c r="AQ719" s="16">
        <f>$D719*EXP(-$E719*MAX(AQ577,$F719)/AQ$700)</f>
        <v/>
      </c>
      <c r="AR719" s="16">
        <f>$D719*EXP(-$E719*MAX(AR577,$F719)/AR$700)</f>
        <v/>
      </c>
      <c r="AS719" s="16">
        <f>$D719*EXP(-$E719*MAX(AS577,$F719)/AS$700)</f>
        <v/>
      </c>
      <c r="AT719" s="16">
        <f>$D719*EXP(-$E719*MAX(AT577,$F719)/AT$700)</f>
        <v/>
      </c>
      <c r="AU719" s="16">
        <f>$D719*EXP(-$E719*MAX(AU577,$F719)/AU$700)</f>
        <v/>
      </c>
      <c r="AV719" s="16">
        <f>$D719*EXP(-$E719*MAX(AV577,$F719)/AV$700)</f>
        <v/>
      </c>
      <c r="AW719" s="16">
        <f>$D719*EXP(-$E719*MAX(AW577,$F719)/AW$700)</f>
        <v/>
      </c>
      <c r="AX719" s="16">
        <f>$D719*EXP(-$E719*MAX(AX577,$F719)/AX$700)</f>
        <v/>
      </c>
      <c r="AY719" s="16">
        <f>$D719*EXP(-$E719*MAX(AY577,$F719)/AY$700)</f>
        <v/>
      </c>
      <c r="AZ719" s="16">
        <f>$D719*EXP(-$E719*MAX(AZ577,$F719)/AZ$700)</f>
        <v/>
      </c>
      <c r="BA719" s="49">
        <f>LOGITW($D719,$E719,MAX(BA577,$F719),BA$700)</f>
        <v/>
      </c>
    </row>
    <row r="720" hidden="1" outlineLevel="1">
      <c r="A720" s="14" t="inlineStr">
        <is>
          <t>lgd</t>
        </is>
      </c>
      <c r="B720" s="14" t="inlineStr">
        <is>
          <t>ore</t>
        </is>
      </c>
      <c r="C720" s="14" t="inlineStr">
        <is>
          <t>pow</t>
        </is>
      </c>
      <c r="D720" s="45">
        <f>INDEX(Inputs_power!$AN$5:$AN$13,MATCH($B720,Inputs_power!$A$5:$A$13,0))</f>
        <v/>
      </c>
      <c r="E720" s="45">
        <f>INDEX(PParVal,MATCH("k_dispatch",PParKey,0))</f>
        <v/>
      </c>
      <c r="F720" s="45">
        <f>INDEX(PParVal,MATCH("min_cost",PParKey,0))</f>
        <v/>
      </c>
      <c r="G720" s="39" t="n"/>
      <c r="H720" s="14">
        <f>INDEX(VarLab,MATCH($A720,VarKey,0))&amp;INDEX(MemLab,MATCH($C720&amp;"|"&amp;$B720,MemKey,0))</f>
        <v/>
      </c>
      <c r="I720" s="14">
        <f>INDEX(VarUnit,MATCH($A720,VarKey,0))</f>
        <v/>
      </c>
      <c r="J720" s="14">
        <f>INDEX(VarSrc,MATCH($A720,VarKey,0))</f>
        <v/>
      </c>
      <c r="K720" s="11">
        <f>CodePrefix&amp;$A720&amp;IF($C720="","","."&amp;$C720&amp;"."&amp;$B720)&amp;INDEX(VarEnd,MATCH($A720,VarKey,0))&amp;K$5</f>
        <v/>
      </c>
      <c r="L720" s="15">
        <f>$D720*EXP(-$E720*MAX(L578,$F720)/L$700)</f>
        <v/>
      </c>
      <c r="M720" s="16">
        <f>$D720*EXP(-$E720*MAX(M578,$F720)/M$700)</f>
        <v/>
      </c>
      <c r="N720" s="16">
        <f>$D720*EXP(-$E720*MAX(N578,$F720)/N$700)</f>
        <v/>
      </c>
      <c r="O720" s="16">
        <f>$D720*EXP(-$E720*MAX(O578,$F720)/O$700)</f>
        <v/>
      </c>
      <c r="P720" s="16">
        <f>$D720*EXP(-$E720*MAX(P578,$F720)/P$700)</f>
        <v/>
      </c>
      <c r="Q720" s="16">
        <f>$D720*EXP(-$E720*MAX(Q578,$F720)/Q$700)</f>
        <v/>
      </c>
      <c r="R720" s="16">
        <f>$D720*EXP(-$E720*MAX(R578,$F720)/R$700)</f>
        <v/>
      </c>
      <c r="S720" s="16">
        <f>$D720*EXP(-$E720*MAX(S578,$F720)/S$700)</f>
        <v/>
      </c>
      <c r="T720" s="16">
        <f>$D720*EXP(-$E720*MAX(T578,$F720)/T$700)</f>
        <v/>
      </c>
      <c r="U720" s="16">
        <f>$D720*EXP(-$E720*MAX(U578,$F720)/U$700)</f>
        <v/>
      </c>
      <c r="V720" s="16">
        <f>$D720*EXP(-$E720*MAX(V578,$F720)/V$700)</f>
        <v/>
      </c>
      <c r="W720" s="16">
        <f>$D720*EXP(-$E720*MAX(W578,$F720)/W$700)</f>
        <v/>
      </c>
      <c r="X720" s="16">
        <f>$D720*EXP(-$E720*MAX(X578,$F720)/X$700)</f>
        <v/>
      </c>
      <c r="Y720" s="16">
        <f>$D720*EXP(-$E720*MAX(Y578,$F720)/Y$700)</f>
        <v/>
      </c>
      <c r="Z720" s="16">
        <f>$D720*EXP(-$E720*MAX(Z578,$F720)/Z$700)</f>
        <v/>
      </c>
      <c r="AA720" s="16">
        <f>$D720*EXP(-$E720*MAX(AA578,$F720)/AA$700)</f>
        <v/>
      </c>
      <c r="AB720" s="16">
        <f>$D720*EXP(-$E720*MAX(AB578,$F720)/AB$700)</f>
        <v/>
      </c>
      <c r="AC720" s="16">
        <f>$D720*EXP(-$E720*MAX(AC578,$F720)/AC$700)</f>
        <v/>
      </c>
      <c r="AD720" s="16">
        <f>$D720*EXP(-$E720*MAX(AD578,$F720)/AD$700)</f>
        <v/>
      </c>
      <c r="AE720" s="49">
        <f>LOGITW($D720,$E720,MAX(AE578,$F720),AE$700)</f>
        <v/>
      </c>
      <c r="AG720" s="11">
        <f>CodePrefix&amp;$A720&amp;IF($C720="","","."&amp;$C720&amp;"."&amp;$B720)&amp;INDEX(VarEnd,MATCH($A720,VarKey,0))&amp;AG$5</f>
        <v/>
      </c>
      <c r="AH720" s="15">
        <f>$D720*EXP(-$E720*MAX(AH578,$F720)/AH$700)</f>
        <v/>
      </c>
      <c r="AI720" s="16">
        <f>$D720*EXP(-$E720*MAX(AI578,$F720)/AI$700)</f>
        <v/>
      </c>
      <c r="AJ720" s="16">
        <f>$D720*EXP(-$E720*MAX(AJ578,$F720)/AJ$700)</f>
        <v/>
      </c>
      <c r="AK720" s="16">
        <f>$D720*EXP(-$E720*MAX(AK578,$F720)/AK$700)</f>
        <v/>
      </c>
      <c r="AL720" s="16">
        <f>$D720*EXP(-$E720*MAX(AL578,$F720)/AL$700)</f>
        <v/>
      </c>
      <c r="AM720" s="16">
        <f>$D720*EXP(-$E720*MAX(AM578,$F720)/AM$700)</f>
        <v/>
      </c>
      <c r="AN720" s="16">
        <f>$D720*EXP(-$E720*MAX(AN578,$F720)/AN$700)</f>
        <v/>
      </c>
      <c r="AO720" s="16">
        <f>$D720*EXP(-$E720*MAX(AO578,$F720)/AO$700)</f>
        <v/>
      </c>
      <c r="AP720" s="16">
        <f>$D720*EXP(-$E720*MAX(AP578,$F720)/AP$700)</f>
        <v/>
      </c>
      <c r="AQ720" s="16">
        <f>$D720*EXP(-$E720*MAX(AQ578,$F720)/AQ$700)</f>
        <v/>
      </c>
      <c r="AR720" s="16">
        <f>$D720*EXP(-$E720*MAX(AR578,$F720)/AR$700)</f>
        <v/>
      </c>
      <c r="AS720" s="16">
        <f>$D720*EXP(-$E720*MAX(AS578,$F720)/AS$700)</f>
        <v/>
      </c>
      <c r="AT720" s="16">
        <f>$D720*EXP(-$E720*MAX(AT578,$F720)/AT$700)</f>
        <v/>
      </c>
      <c r="AU720" s="16">
        <f>$D720*EXP(-$E720*MAX(AU578,$F720)/AU$700)</f>
        <v/>
      </c>
      <c r="AV720" s="16">
        <f>$D720*EXP(-$E720*MAX(AV578,$F720)/AV$700)</f>
        <v/>
      </c>
      <c r="AW720" s="16">
        <f>$D720*EXP(-$E720*MAX(AW578,$F720)/AW$700)</f>
        <v/>
      </c>
      <c r="AX720" s="16">
        <f>$D720*EXP(-$E720*MAX(AX578,$F720)/AX$700)</f>
        <v/>
      </c>
      <c r="AY720" s="16">
        <f>$D720*EXP(-$E720*MAX(AY578,$F720)/AY$700)</f>
        <v/>
      </c>
      <c r="AZ720" s="16">
        <f>$D720*EXP(-$E720*MAX(AZ578,$F720)/AZ$700)</f>
        <v/>
      </c>
      <c r="BA720" s="49">
        <f>LOGITW($D720,$E720,MAX(BA578,$F720),BA$700)</f>
        <v/>
      </c>
    </row>
    <row r="721" hidden="1" outlineLevel="1">
      <c r="A721" s="14" t="inlineStr">
        <is>
          <t>lgd</t>
        </is>
      </c>
      <c r="B721" s="14" t="inlineStr">
        <is>
          <t>bio</t>
        </is>
      </c>
      <c r="C721" s="14" t="inlineStr">
        <is>
          <t>pow</t>
        </is>
      </c>
      <c r="D721" s="45">
        <f>INDEX(Inputs_power!$AN$5:$AN$13,MATCH($B721,Inputs_power!$A$5:$A$13,0))</f>
        <v/>
      </c>
      <c r="E721" s="45">
        <f>INDEX(PParVal,MATCH("k_dispatch",PParKey,0))</f>
        <v/>
      </c>
      <c r="F721" s="45">
        <f>INDEX(PParVal,MATCH("min_cost",PParKey,0))</f>
        <v/>
      </c>
      <c r="G721" s="39" t="n"/>
      <c r="H721" s="14">
        <f>INDEX(VarLab,MATCH($A721,VarKey,0))&amp;INDEX(MemLab,MATCH($C721&amp;"|"&amp;$B721,MemKey,0))</f>
        <v/>
      </c>
      <c r="I721" s="14">
        <f>INDEX(VarUnit,MATCH($A721,VarKey,0))</f>
        <v/>
      </c>
      <c r="J721" s="14">
        <f>INDEX(VarSrc,MATCH($A721,VarKey,0))</f>
        <v/>
      </c>
      <c r="K721" s="11">
        <f>CodePrefix&amp;$A721&amp;IF($C721="","","."&amp;$C721&amp;"."&amp;$B721)&amp;INDEX(VarEnd,MATCH($A721,VarKey,0))&amp;K$5</f>
        <v/>
      </c>
      <c r="L721" s="15">
        <f>$D721*EXP(-$E721*MAX(L579,$F721)/L$700)</f>
        <v/>
      </c>
      <c r="M721" s="16">
        <f>$D721*EXP(-$E721*MAX(M579,$F721)/M$700)</f>
        <v/>
      </c>
      <c r="N721" s="16">
        <f>$D721*EXP(-$E721*MAX(N579,$F721)/N$700)</f>
        <v/>
      </c>
      <c r="O721" s="16">
        <f>$D721*EXP(-$E721*MAX(O579,$F721)/O$700)</f>
        <v/>
      </c>
      <c r="P721" s="16">
        <f>$D721*EXP(-$E721*MAX(P579,$F721)/P$700)</f>
        <v/>
      </c>
      <c r="Q721" s="16">
        <f>$D721*EXP(-$E721*MAX(Q579,$F721)/Q$700)</f>
        <v/>
      </c>
      <c r="R721" s="16">
        <f>$D721*EXP(-$E721*MAX(R579,$F721)/R$700)</f>
        <v/>
      </c>
      <c r="S721" s="16">
        <f>$D721*EXP(-$E721*MAX(S579,$F721)/S$700)</f>
        <v/>
      </c>
      <c r="T721" s="16">
        <f>$D721*EXP(-$E721*MAX(T579,$F721)/T$700)</f>
        <v/>
      </c>
      <c r="U721" s="16">
        <f>$D721*EXP(-$E721*MAX(U579,$F721)/U$700)</f>
        <v/>
      </c>
      <c r="V721" s="16">
        <f>$D721*EXP(-$E721*MAX(V579,$F721)/V$700)</f>
        <v/>
      </c>
      <c r="W721" s="16">
        <f>$D721*EXP(-$E721*MAX(W579,$F721)/W$700)</f>
        <v/>
      </c>
      <c r="X721" s="16">
        <f>$D721*EXP(-$E721*MAX(X579,$F721)/X$700)</f>
        <v/>
      </c>
      <c r="Y721" s="16">
        <f>$D721*EXP(-$E721*MAX(Y579,$F721)/Y$700)</f>
        <v/>
      </c>
      <c r="Z721" s="16">
        <f>$D721*EXP(-$E721*MAX(Z579,$F721)/Z$700)</f>
        <v/>
      </c>
      <c r="AA721" s="16">
        <f>$D721*EXP(-$E721*MAX(AA579,$F721)/AA$700)</f>
        <v/>
      </c>
      <c r="AB721" s="16">
        <f>$D721*EXP(-$E721*MAX(AB579,$F721)/AB$700)</f>
        <v/>
      </c>
      <c r="AC721" s="16">
        <f>$D721*EXP(-$E721*MAX(AC579,$F721)/AC$700)</f>
        <v/>
      </c>
      <c r="AD721" s="16">
        <f>$D721*EXP(-$E721*MAX(AD579,$F721)/AD$700)</f>
        <v/>
      </c>
      <c r="AE721" s="49">
        <f>LOGITW($D721,$E721,MAX(AE579,$F721),AE$700)</f>
        <v/>
      </c>
      <c r="AG721" s="11">
        <f>CodePrefix&amp;$A721&amp;IF($C721="","","."&amp;$C721&amp;"."&amp;$B721)&amp;INDEX(VarEnd,MATCH($A721,VarKey,0))&amp;AG$5</f>
        <v/>
      </c>
      <c r="AH721" s="15">
        <f>$D721*EXP(-$E721*MAX(AH579,$F721)/AH$700)</f>
        <v/>
      </c>
      <c r="AI721" s="16">
        <f>$D721*EXP(-$E721*MAX(AI579,$F721)/AI$700)</f>
        <v/>
      </c>
      <c r="AJ721" s="16">
        <f>$D721*EXP(-$E721*MAX(AJ579,$F721)/AJ$700)</f>
        <v/>
      </c>
      <c r="AK721" s="16">
        <f>$D721*EXP(-$E721*MAX(AK579,$F721)/AK$700)</f>
        <v/>
      </c>
      <c r="AL721" s="16">
        <f>$D721*EXP(-$E721*MAX(AL579,$F721)/AL$700)</f>
        <v/>
      </c>
      <c r="AM721" s="16">
        <f>$D721*EXP(-$E721*MAX(AM579,$F721)/AM$700)</f>
        <v/>
      </c>
      <c r="AN721" s="16">
        <f>$D721*EXP(-$E721*MAX(AN579,$F721)/AN$700)</f>
        <v/>
      </c>
      <c r="AO721" s="16">
        <f>$D721*EXP(-$E721*MAX(AO579,$F721)/AO$700)</f>
        <v/>
      </c>
      <c r="AP721" s="16">
        <f>$D721*EXP(-$E721*MAX(AP579,$F721)/AP$700)</f>
        <v/>
      </c>
      <c r="AQ721" s="16">
        <f>$D721*EXP(-$E721*MAX(AQ579,$F721)/AQ$700)</f>
        <v/>
      </c>
      <c r="AR721" s="16">
        <f>$D721*EXP(-$E721*MAX(AR579,$F721)/AR$700)</f>
        <v/>
      </c>
      <c r="AS721" s="16">
        <f>$D721*EXP(-$E721*MAX(AS579,$F721)/AS$700)</f>
        <v/>
      </c>
      <c r="AT721" s="16">
        <f>$D721*EXP(-$E721*MAX(AT579,$F721)/AT$700)</f>
        <v/>
      </c>
      <c r="AU721" s="16">
        <f>$D721*EXP(-$E721*MAX(AU579,$F721)/AU$700)</f>
        <v/>
      </c>
      <c r="AV721" s="16">
        <f>$D721*EXP(-$E721*MAX(AV579,$F721)/AV$700)</f>
        <v/>
      </c>
      <c r="AW721" s="16">
        <f>$D721*EXP(-$E721*MAX(AW579,$F721)/AW$700)</f>
        <v/>
      </c>
      <c r="AX721" s="16">
        <f>$D721*EXP(-$E721*MAX(AX579,$F721)/AX$700)</f>
        <v/>
      </c>
      <c r="AY721" s="16">
        <f>$D721*EXP(-$E721*MAX(AY579,$F721)/AY$700)</f>
        <v/>
      </c>
      <c r="AZ721" s="16">
        <f>$D721*EXP(-$E721*MAX(AZ579,$F721)/AZ$700)</f>
        <v/>
      </c>
      <c r="BA721" s="49">
        <f>LOGITW($D721,$E721,MAX(BA579,$F721),BA$700)</f>
        <v/>
      </c>
    </row>
    <row r="722" hidden="1" outlineLevel="1"/>
    <row r="723" hidden="1" outlineLevel="1">
      <c r="A723" s="14" t="inlineStr">
        <is>
          <t>gen</t>
        </is>
      </c>
      <c r="B723" s="14" t="inlineStr">
        <is>
          <t>coa</t>
        </is>
      </c>
      <c r="C723" s="14" t="inlineStr">
        <is>
          <t>pow</t>
        </is>
      </c>
      <c r="D723" s="45">
        <f>INDEX(Inputs_power!$AN$5:$AN$13,MATCH($B723,Inputs_power!$A$5:$A$13,0))</f>
        <v/>
      </c>
      <c r="E723" s="45">
        <f>INDEX(PParVal,MATCH("maxcf_cg",PParKey,0))</f>
        <v/>
      </c>
      <c r="F723" s="45">
        <f>INDEX(Inputs_power!$AF$5:$AF$13,MATCH($B723,Inputs_power!$A$5:$A$13,0))</f>
        <v/>
      </c>
      <c r="G723" s="39" t="n"/>
      <c r="H723" s="14">
        <f>INDEX(VarLab,MATCH($A723,VarKey,0))&amp;INDEX(MemLab,MATCH($C723&amp;"|"&amp;$B723,MemKey,0))</f>
        <v/>
      </c>
      <c r="I723" s="14">
        <f>INDEX(VarUnit,MATCH($A723,VarKey,0))</f>
        <v/>
      </c>
      <c r="J723" s="14">
        <f>INDEX(VarSrc,MATCH($A723,VarKey,0))</f>
        <v/>
      </c>
      <c r="K723" s="11">
        <f>CodePrefix&amp;$A723&amp;IF($C723="","","."&amp;$C723&amp;"."&amp;$B723)&amp;INDEX(VarEnd,MATCH($A723,VarKey,0))&amp;K$5</f>
        <v/>
      </c>
      <c r="L723" s="46">
        <f>$F723</f>
        <v/>
      </c>
      <c r="M723" s="47">
        <f>IF($D723=1,MIN(M772*$E723,M703+M$701*M713/SUM(M$713:M$721)),M784)</f>
        <v/>
      </c>
      <c r="N723" s="47">
        <f>IF($D723=1,MIN(N772*$E723,N703+N$701*N713/SUM(N$713:N$721)),N784)</f>
        <v/>
      </c>
      <c r="O723" s="47">
        <f>IF($D723=1,MIN(O772*$E723,O703+O$701*O713/SUM(O$713:O$721)),O784)</f>
        <v/>
      </c>
      <c r="P723" s="47">
        <f>IF($D723=1,MIN(P772*$E723,P703+P$701*P713/SUM(P$713:P$721)),P784)</f>
        <v/>
      </c>
      <c r="Q723" s="47">
        <f>IF($D723=1,MIN(Q772*$E723,Q703+Q$701*Q713/SUM(Q$713:Q$721)),Q784)</f>
        <v/>
      </c>
      <c r="R723" s="47">
        <f>IF($D723=1,MIN(R772*$E723,R703+R$701*R713/SUM(R$713:R$721)),R784)</f>
        <v/>
      </c>
      <c r="S723" s="47">
        <f>IF($D723=1,MIN(S772*$E723,S703+S$701*S713/SUM(S$713:S$721)),S784)</f>
        <v/>
      </c>
      <c r="T723" s="47">
        <f>IF($D723=1,MIN(T772*$E723,T703+T$701*T713/SUM(T$713:T$721)),T784)</f>
        <v/>
      </c>
      <c r="U723" s="47">
        <f>IF($D723=1,MIN(U772*$E723,U703+U$701*U713/SUM(U$713:U$721)),U784)</f>
        <v/>
      </c>
      <c r="V723" s="47">
        <f>IF($D723=1,MIN(V772*$E723,V703+V$701*V713/SUM(V$713:V$721)),V784)</f>
        <v/>
      </c>
      <c r="W723" s="47">
        <f>IF($D723=1,MIN(W772*$E723,W703+W$701*W713/SUM(W$713:W$721)),W784)</f>
        <v/>
      </c>
      <c r="X723" s="47">
        <f>IF($D723=1,MIN(X772*$E723,X703+X$701*X713/SUM(X$713:X$721)),X784)</f>
        <v/>
      </c>
      <c r="Y723" s="47">
        <f>IF($D723=1,MIN(Y772*$E723,Y703+Y$701*Y713/SUM(Y$713:Y$721)),Y784)</f>
        <v/>
      </c>
      <c r="Z723" s="47">
        <f>IF($D723=1,MIN(Z772*$E723,Z703+Z$701*Z713/SUM(Z$713:Z$721)),Z784)</f>
        <v/>
      </c>
      <c r="AA723" s="47">
        <f>IF($D723=1,MIN(AA772*$E723,AA703+AA$701*AA713/SUM(AA$713:AA$721)),AA784)</f>
        <v/>
      </c>
      <c r="AB723" s="47">
        <f>IF($D723=1,MIN(AB772*$E723,AB703+AB$701*AB713/SUM(AB$713:AB$721)),AB784)</f>
        <v/>
      </c>
      <c r="AC723" s="47">
        <f>IF($D723=1,MIN(AC772*$E723,AC703+AC$701*AC713/SUM(AC$713:AC$721)),AC784)</f>
        <v/>
      </c>
      <c r="AD723" s="47">
        <f>IF($D723=1,MIN(AD772*$E723,AD703+AD$701*AD713/SUM(AD$713:AD$721)),AD784)</f>
        <v/>
      </c>
      <c r="AE723" s="48">
        <f>DISPATCH($D723,AE784,AE772*$E723,AE703,AE$701,AE713,SUM(AE$713:AE$721))</f>
        <v/>
      </c>
      <c r="AG723" s="11">
        <f>CodePrefix&amp;$A723&amp;IF($C723="","","."&amp;$C723&amp;"."&amp;$B723)&amp;INDEX(VarEnd,MATCH($A723,VarKey,0))&amp;AG$5</f>
        <v/>
      </c>
      <c r="AH723" s="46">
        <f>$F723</f>
        <v/>
      </c>
      <c r="AI723" s="47">
        <f>IF($D723=1,MIN(AI772*$E723,AI703+AI$701*AI713/SUM(AI$713:AI$721)),AI784)</f>
        <v/>
      </c>
      <c r="AJ723" s="47">
        <f>IF($D723=1,MIN(AJ772*$E723,AJ703+AJ$701*AJ713/SUM(AJ$713:AJ$721)),AJ784)</f>
        <v/>
      </c>
      <c r="AK723" s="47">
        <f>IF($D723=1,MIN(AK772*$E723,AK703+AK$701*AK713/SUM(AK$713:AK$721)),AK784)</f>
        <v/>
      </c>
      <c r="AL723" s="47">
        <f>IF($D723=1,MIN(AL772*$E723,AL703+AL$701*AL713/SUM(AL$713:AL$721)),AL784)</f>
        <v/>
      </c>
      <c r="AM723" s="47">
        <f>IF($D723=1,MIN(AM772*$E723,AM703+AM$701*AM713/SUM(AM$713:AM$721)),AM784)</f>
        <v/>
      </c>
      <c r="AN723" s="47">
        <f>IF($D723=1,MIN(AN772*$E723,AN703+AN$701*AN713/SUM(AN$713:AN$721)),AN784)</f>
        <v/>
      </c>
      <c r="AO723" s="47">
        <f>IF($D723=1,MIN(AO772*$E723,AO703+AO$701*AO713/SUM(AO$713:AO$721)),AO784)</f>
        <v/>
      </c>
      <c r="AP723" s="47">
        <f>IF($D723=1,MIN(AP772*$E723,AP703+AP$701*AP713/SUM(AP$713:AP$721)),AP784)</f>
        <v/>
      </c>
      <c r="AQ723" s="47">
        <f>IF($D723=1,MIN(AQ772*$E723,AQ703+AQ$701*AQ713/SUM(AQ$713:AQ$721)),AQ784)</f>
        <v/>
      </c>
      <c r="AR723" s="47">
        <f>IF($D723=1,MIN(AR772*$E723,AR703+AR$701*AR713/SUM(AR$713:AR$721)),AR784)</f>
        <v/>
      </c>
      <c r="AS723" s="47">
        <f>IF($D723=1,MIN(AS772*$E723,AS703+AS$701*AS713/SUM(AS$713:AS$721)),AS784)</f>
        <v/>
      </c>
      <c r="AT723" s="47">
        <f>IF($D723=1,MIN(AT772*$E723,AT703+AT$701*AT713/SUM(AT$713:AT$721)),AT784)</f>
        <v/>
      </c>
      <c r="AU723" s="47">
        <f>IF($D723=1,MIN(AU772*$E723,AU703+AU$701*AU713/SUM(AU$713:AU$721)),AU784)</f>
        <v/>
      </c>
      <c r="AV723" s="47">
        <f>IF($D723=1,MIN(AV772*$E723,AV703+AV$701*AV713/SUM(AV$713:AV$721)),AV784)</f>
        <v/>
      </c>
      <c r="AW723" s="47">
        <f>IF($D723=1,MIN(AW772*$E723,AW703+AW$701*AW713/SUM(AW$713:AW$721)),AW784)</f>
        <v/>
      </c>
      <c r="AX723" s="47">
        <f>IF($D723=1,MIN(AX772*$E723,AX703+AX$701*AX713/SUM(AX$713:AX$721)),AX784)</f>
        <v/>
      </c>
      <c r="AY723" s="47">
        <f>IF($D723=1,MIN(AY772*$E723,AY703+AY$701*AY713/SUM(AY$713:AY$721)),AY784)</f>
        <v/>
      </c>
      <c r="AZ723" s="47">
        <f>IF($D723=1,MIN(AZ772*$E723,AZ703+AZ$701*AZ713/SUM(AZ$713:AZ$721)),AZ784)</f>
        <v/>
      </c>
      <c r="BA723" s="48">
        <f>DISPATCH($D723,BA784,BA772*$E723,BA703,BA$701,BA713,SUM(BA$713:BA$721))</f>
        <v/>
      </c>
    </row>
    <row r="724" hidden="1" outlineLevel="1">
      <c r="A724" s="14" t="inlineStr">
        <is>
          <t>gen</t>
        </is>
      </c>
      <c r="B724" s="14" t="inlineStr">
        <is>
          <t>nga</t>
        </is>
      </c>
      <c r="C724" s="14" t="inlineStr">
        <is>
          <t>pow</t>
        </is>
      </c>
      <c r="D724" s="45">
        <f>INDEX(Inputs_power!$AN$5:$AN$13,MATCH($B724,Inputs_power!$A$5:$A$13,0))</f>
        <v/>
      </c>
      <c r="E724" s="45">
        <f>INDEX(PParVal,MATCH("maxcf_cg",PParKey,0))</f>
        <v/>
      </c>
      <c r="F724" s="45">
        <f>INDEX(Inputs_power!$AF$5:$AF$13,MATCH($B724,Inputs_power!$A$5:$A$13,0))</f>
        <v/>
      </c>
      <c r="G724" s="39" t="n"/>
      <c r="H724" s="14">
        <f>INDEX(VarLab,MATCH($A724,VarKey,0))&amp;INDEX(MemLab,MATCH($C724&amp;"|"&amp;$B724,MemKey,0))</f>
        <v/>
      </c>
      <c r="I724" s="14">
        <f>INDEX(VarUnit,MATCH($A724,VarKey,0))</f>
        <v/>
      </c>
      <c r="J724" s="14">
        <f>INDEX(VarSrc,MATCH($A724,VarKey,0))</f>
        <v/>
      </c>
      <c r="K724" s="11">
        <f>CodePrefix&amp;$A724&amp;IF($C724="","","."&amp;$C724&amp;"."&amp;$B724)&amp;INDEX(VarEnd,MATCH($A724,VarKey,0))&amp;K$5</f>
        <v/>
      </c>
      <c r="L724" s="46">
        <f>$F724</f>
        <v/>
      </c>
      <c r="M724" s="47">
        <f>IF($D724=1,MIN(M773*$E724,M704+M$701*M714/SUM(M$713:M$721)),M785)</f>
        <v/>
      </c>
      <c r="N724" s="47">
        <f>IF($D724=1,MIN(N773*$E724,N704+N$701*N714/SUM(N$713:N$721)),N785)</f>
        <v/>
      </c>
      <c r="O724" s="47">
        <f>IF($D724=1,MIN(O773*$E724,O704+O$701*O714/SUM(O$713:O$721)),O785)</f>
        <v/>
      </c>
      <c r="P724" s="47">
        <f>IF($D724=1,MIN(P773*$E724,P704+P$701*P714/SUM(P$713:P$721)),P785)</f>
        <v/>
      </c>
      <c r="Q724" s="47">
        <f>IF($D724=1,MIN(Q773*$E724,Q704+Q$701*Q714/SUM(Q$713:Q$721)),Q785)</f>
        <v/>
      </c>
      <c r="R724" s="47">
        <f>IF($D724=1,MIN(R773*$E724,R704+R$701*R714/SUM(R$713:R$721)),R785)</f>
        <v/>
      </c>
      <c r="S724" s="47">
        <f>IF($D724=1,MIN(S773*$E724,S704+S$701*S714/SUM(S$713:S$721)),S785)</f>
        <v/>
      </c>
      <c r="T724" s="47">
        <f>IF($D724=1,MIN(T773*$E724,T704+T$701*T714/SUM(T$713:T$721)),T785)</f>
        <v/>
      </c>
      <c r="U724" s="47">
        <f>IF($D724=1,MIN(U773*$E724,U704+U$701*U714/SUM(U$713:U$721)),U785)</f>
        <v/>
      </c>
      <c r="V724" s="47">
        <f>IF($D724=1,MIN(V773*$E724,V704+V$701*V714/SUM(V$713:V$721)),V785)</f>
        <v/>
      </c>
      <c r="W724" s="47">
        <f>IF($D724=1,MIN(W773*$E724,W704+W$701*W714/SUM(W$713:W$721)),W785)</f>
        <v/>
      </c>
      <c r="X724" s="47">
        <f>IF($D724=1,MIN(X773*$E724,X704+X$701*X714/SUM(X$713:X$721)),X785)</f>
        <v/>
      </c>
      <c r="Y724" s="47">
        <f>IF($D724=1,MIN(Y773*$E724,Y704+Y$701*Y714/SUM(Y$713:Y$721)),Y785)</f>
        <v/>
      </c>
      <c r="Z724" s="47">
        <f>IF($D724=1,MIN(Z773*$E724,Z704+Z$701*Z714/SUM(Z$713:Z$721)),Z785)</f>
        <v/>
      </c>
      <c r="AA724" s="47">
        <f>IF($D724=1,MIN(AA773*$E724,AA704+AA$701*AA714/SUM(AA$713:AA$721)),AA785)</f>
        <v/>
      </c>
      <c r="AB724" s="47">
        <f>IF($D724=1,MIN(AB773*$E724,AB704+AB$701*AB714/SUM(AB$713:AB$721)),AB785)</f>
        <v/>
      </c>
      <c r="AC724" s="47">
        <f>IF($D724=1,MIN(AC773*$E724,AC704+AC$701*AC714/SUM(AC$713:AC$721)),AC785)</f>
        <v/>
      </c>
      <c r="AD724" s="47">
        <f>IF($D724=1,MIN(AD773*$E724,AD704+AD$701*AD714/SUM(AD$713:AD$721)),AD785)</f>
        <v/>
      </c>
      <c r="AE724" s="48">
        <f>DISPATCH($D724,AE785,AE773*$E724,AE704,AE$701,AE714,SUM(AE$713:AE$721))</f>
        <v/>
      </c>
      <c r="AG724" s="11">
        <f>CodePrefix&amp;$A724&amp;IF($C724="","","."&amp;$C724&amp;"."&amp;$B724)&amp;INDEX(VarEnd,MATCH($A724,VarKey,0))&amp;AG$5</f>
        <v/>
      </c>
      <c r="AH724" s="46">
        <f>$F724</f>
        <v/>
      </c>
      <c r="AI724" s="47">
        <f>IF($D724=1,MIN(AI773*$E724,AI704+AI$701*AI714/SUM(AI$713:AI$721)),AI785)</f>
        <v/>
      </c>
      <c r="AJ724" s="47">
        <f>IF($D724=1,MIN(AJ773*$E724,AJ704+AJ$701*AJ714/SUM(AJ$713:AJ$721)),AJ785)</f>
        <v/>
      </c>
      <c r="AK724" s="47">
        <f>IF($D724=1,MIN(AK773*$E724,AK704+AK$701*AK714/SUM(AK$713:AK$721)),AK785)</f>
        <v/>
      </c>
      <c r="AL724" s="47">
        <f>IF($D724=1,MIN(AL773*$E724,AL704+AL$701*AL714/SUM(AL$713:AL$721)),AL785)</f>
        <v/>
      </c>
      <c r="AM724" s="47">
        <f>IF($D724=1,MIN(AM773*$E724,AM704+AM$701*AM714/SUM(AM$713:AM$721)),AM785)</f>
        <v/>
      </c>
      <c r="AN724" s="47">
        <f>IF($D724=1,MIN(AN773*$E724,AN704+AN$701*AN714/SUM(AN$713:AN$721)),AN785)</f>
        <v/>
      </c>
      <c r="AO724" s="47">
        <f>IF($D724=1,MIN(AO773*$E724,AO704+AO$701*AO714/SUM(AO$713:AO$721)),AO785)</f>
        <v/>
      </c>
      <c r="AP724" s="47">
        <f>IF($D724=1,MIN(AP773*$E724,AP704+AP$701*AP714/SUM(AP$713:AP$721)),AP785)</f>
        <v/>
      </c>
      <c r="AQ724" s="47">
        <f>IF($D724=1,MIN(AQ773*$E724,AQ704+AQ$701*AQ714/SUM(AQ$713:AQ$721)),AQ785)</f>
        <v/>
      </c>
      <c r="AR724" s="47">
        <f>IF($D724=1,MIN(AR773*$E724,AR704+AR$701*AR714/SUM(AR$713:AR$721)),AR785)</f>
        <v/>
      </c>
      <c r="AS724" s="47">
        <f>IF($D724=1,MIN(AS773*$E724,AS704+AS$701*AS714/SUM(AS$713:AS$721)),AS785)</f>
        <v/>
      </c>
      <c r="AT724" s="47">
        <f>IF($D724=1,MIN(AT773*$E724,AT704+AT$701*AT714/SUM(AT$713:AT$721)),AT785)</f>
        <v/>
      </c>
      <c r="AU724" s="47">
        <f>IF($D724=1,MIN(AU773*$E724,AU704+AU$701*AU714/SUM(AU$713:AU$721)),AU785)</f>
        <v/>
      </c>
      <c r="AV724" s="47">
        <f>IF($D724=1,MIN(AV773*$E724,AV704+AV$701*AV714/SUM(AV$713:AV$721)),AV785)</f>
        <v/>
      </c>
      <c r="AW724" s="47">
        <f>IF($D724=1,MIN(AW773*$E724,AW704+AW$701*AW714/SUM(AW$713:AW$721)),AW785)</f>
        <v/>
      </c>
      <c r="AX724" s="47">
        <f>IF($D724=1,MIN(AX773*$E724,AX704+AX$701*AX714/SUM(AX$713:AX$721)),AX785)</f>
        <v/>
      </c>
      <c r="AY724" s="47">
        <f>IF($D724=1,MIN(AY773*$E724,AY704+AY$701*AY714/SUM(AY$713:AY$721)),AY785)</f>
        <v/>
      </c>
      <c r="AZ724" s="47">
        <f>IF($D724=1,MIN(AZ773*$E724,AZ704+AZ$701*AZ714/SUM(AZ$713:AZ$721)),AZ785)</f>
        <v/>
      </c>
      <c r="BA724" s="48">
        <f>DISPATCH($D724,BA785,BA773*$E724,BA704,BA$701,BA714,SUM(BA$713:BA$721))</f>
        <v/>
      </c>
    </row>
    <row r="725" hidden="1" outlineLevel="1">
      <c r="A725" s="14" t="inlineStr">
        <is>
          <t>gen</t>
        </is>
      </c>
      <c r="B725" s="14" t="inlineStr">
        <is>
          <t>oop</t>
        </is>
      </c>
      <c r="C725" s="14" t="inlineStr">
        <is>
          <t>pow</t>
        </is>
      </c>
      <c r="D725" s="45">
        <f>INDEX(Inputs_power!$AN$5:$AN$13,MATCH($B725,Inputs_power!$A$5:$A$13,0))</f>
        <v/>
      </c>
      <c r="E725" s="45">
        <f>INDEX(PParVal,MATCH("maxcf_cg",PParKey,0))</f>
        <v/>
      </c>
      <c r="F725" s="45">
        <f>INDEX(Inputs_power!$AF$5:$AF$13,MATCH($B725,Inputs_power!$A$5:$A$13,0))</f>
        <v/>
      </c>
      <c r="G725" s="39" t="n"/>
      <c r="H725" s="14">
        <f>INDEX(VarLab,MATCH($A725,VarKey,0))&amp;INDEX(MemLab,MATCH($C725&amp;"|"&amp;$B725,MemKey,0))</f>
        <v/>
      </c>
      <c r="I725" s="14">
        <f>INDEX(VarUnit,MATCH($A725,VarKey,0))</f>
        <v/>
      </c>
      <c r="J725" s="14">
        <f>INDEX(VarSrc,MATCH($A725,VarKey,0))</f>
        <v/>
      </c>
      <c r="K725" s="11">
        <f>CodePrefix&amp;$A725&amp;IF($C725="","","."&amp;$C725&amp;"."&amp;$B725)&amp;INDEX(VarEnd,MATCH($A725,VarKey,0))&amp;K$5</f>
        <v/>
      </c>
      <c r="L725" s="46">
        <f>$F725</f>
        <v/>
      </c>
      <c r="M725" s="47">
        <f>IF($D725=1,MIN(M774*$E725,M705+M$701*M715/SUM(M$713:M$721)),M786)</f>
        <v/>
      </c>
      <c r="N725" s="47">
        <f>IF($D725=1,MIN(N774*$E725,N705+N$701*N715/SUM(N$713:N$721)),N786)</f>
        <v/>
      </c>
      <c r="O725" s="47">
        <f>IF($D725=1,MIN(O774*$E725,O705+O$701*O715/SUM(O$713:O$721)),O786)</f>
        <v/>
      </c>
      <c r="P725" s="47">
        <f>IF($D725=1,MIN(P774*$E725,P705+P$701*P715/SUM(P$713:P$721)),P786)</f>
        <v/>
      </c>
      <c r="Q725" s="47">
        <f>IF($D725=1,MIN(Q774*$E725,Q705+Q$701*Q715/SUM(Q$713:Q$721)),Q786)</f>
        <v/>
      </c>
      <c r="R725" s="47">
        <f>IF($D725=1,MIN(R774*$E725,R705+R$701*R715/SUM(R$713:R$721)),R786)</f>
        <v/>
      </c>
      <c r="S725" s="47">
        <f>IF($D725=1,MIN(S774*$E725,S705+S$701*S715/SUM(S$713:S$721)),S786)</f>
        <v/>
      </c>
      <c r="T725" s="47">
        <f>IF($D725=1,MIN(T774*$E725,T705+T$701*T715/SUM(T$713:T$721)),T786)</f>
        <v/>
      </c>
      <c r="U725" s="47">
        <f>IF($D725=1,MIN(U774*$E725,U705+U$701*U715/SUM(U$713:U$721)),U786)</f>
        <v/>
      </c>
      <c r="V725" s="47">
        <f>IF($D725=1,MIN(V774*$E725,V705+V$701*V715/SUM(V$713:V$721)),V786)</f>
        <v/>
      </c>
      <c r="W725" s="47">
        <f>IF($D725=1,MIN(W774*$E725,W705+W$701*W715/SUM(W$713:W$721)),W786)</f>
        <v/>
      </c>
      <c r="X725" s="47">
        <f>IF($D725=1,MIN(X774*$E725,X705+X$701*X715/SUM(X$713:X$721)),X786)</f>
        <v/>
      </c>
      <c r="Y725" s="47">
        <f>IF($D725=1,MIN(Y774*$E725,Y705+Y$701*Y715/SUM(Y$713:Y$721)),Y786)</f>
        <v/>
      </c>
      <c r="Z725" s="47">
        <f>IF($D725=1,MIN(Z774*$E725,Z705+Z$701*Z715/SUM(Z$713:Z$721)),Z786)</f>
        <v/>
      </c>
      <c r="AA725" s="47">
        <f>IF($D725=1,MIN(AA774*$E725,AA705+AA$701*AA715/SUM(AA$713:AA$721)),AA786)</f>
        <v/>
      </c>
      <c r="AB725" s="47">
        <f>IF($D725=1,MIN(AB774*$E725,AB705+AB$701*AB715/SUM(AB$713:AB$721)),AB786)</f>
        <v/>
      </c>
      <c r="AC725" s="47">
        <f>IF($D725=1,MIN(AC774*$E725,AC705+AC$701*AC715/SUM(AC$713:AC$721)),AC786)</f>
        <v/>
      </c>
      <c r="AD725" s="47">
        <f>IF($D725=1,MIN(AD774*$E725,AD705+AD$701*AD715/SUM(AD$713:AD$721)),AD786)</f>
        <v/>
      </c>
      <c r="AE725" s="48">
        <f>DISPATCH($D725,AE786,AE774*$E725,AE705,AE$701,AE715,SUM(AE$713:AE$721))</f>
        <v/>
      </c>
      <c r="AG725" s="11">
        <f>CodePrefix&amp;$A725&amp;IF($C725="","","."&amp;$C725&amp;"."&amp;$B725)&amp;INDEX(VarEnd,MATCH($A725,VarKey,0))&amp;AG$5</f>
        <v/>
      </c>
      <c r="AH725" s="46">
        <f>$F725</f>
        <v/>
      </c>
      <c r="AI725" s="47">
        <f>IF($D725=1,MIN(AI774*$E725,AI705+AI$701*AI715/SUM(AI$713:AI$721)),AI786)</f>
        <v/>
      </c>
      <c r="AJ725" s="47">
        <f>IF($D725=1,MIN(AJ774*$E725,AJ705+AJ$701*AJ715/SUM(AJ$713:AJ$721)),AJ786)</f>
        <v/>
      </c>
      <c r="AK725" s="47">
        <f>IF($D725=1,MIN(AK774*$E725,AK705+AK$701*AK715/SUM(AK$713:AK$721)),AK786)</f>
        <v/>
      </c>
      <c r="AL725" s="47">
        <f>IF($D725=1,MIN(AL774*$E725,AL705+AL$701*AL715/SUM(AL$713:AL$721)),AL786)</f>
        <v/>
      </c>
      <c r="AM725" s="47">
        <f>IF($D725=1,MIN(AM774*$E725,AM705+AM$701*AM715/SUM(AM$713:AM$721)),AM786)</f>
        <v/>
      </c>
      <c r="AN725" s="47">
        <f>IF($D725=1,MIN(AN774*$E725,AN705+AN$701*AN715/SUM(AN$713:AN$721)),AN786)</f>
        <v/>
      </c>
      <c r="AO725" s="47">
        <f>IF($D725=1,MIN(AO774*$E725,AO705+AO$701*AO715/SUM(AO$713:AO$721)),AO786)</f>
        <v/>
      </c>
      <c r="AP725" s="47">
        <f>IF($D725=1,MIN(AP774*$E725,AP705+AP$701*AP715/SUM(AP$713:AP$721)),AP786)</f>
        <v/>
      </c>
      <c r="AQ725" s="47">
        <f>IF($D725=1,MIN(AQ774*$E725,AQ705+AQ$701*AQ715/SUM(AQ$713:AQ$721)),AQ786)</f>
        <v/>
      </c>
      <c r="AR725" s="47">
        <f>IF($D725=1,MIN(AR774*$E725,AR705+AR$701*AR715/SUM(AR$713:AR$721)),AR786)</f>
        <v/>
      </c>
      <c r="AS725" s="47">
        <f>IF($D725=1,MIN(AS774*$E725,AS705+AS$701*AS715/SUM(AS$713:AS$721)),AS786)</f>
        <v/>
      </c>
      <c r="AT725" s="47">
        <f>IF($D725=1,MIN(AT774*$E725,AT705+AT$701*AT715/SUM(AT$713:AT$721)),AT786)</f>
        <v/>
      </c>
      <c r="AU725" s="47">
        <f>IF($D725=1,MIN(AU774*$E725,AU705+AU$701*AU715/SUM(AU$713:AU$721)),AU786)</f>
        <v/>
      </c>
      <c r="AV725" s="47">
        <f>IF($D725=1,MIN(AV774*$E725,AV705+AV$701*AV715/SUM(AV$713:AV$721)),AV786)</f>
        <v/>
      </c>
      <c r="AW725" s="47">
        <f>IF($D725=1,MIN(AW774*$E725,AW705+AW$701*AW715/SUM(AW$713:AW$721)),AW786)</f>
        <v/>
      </c>
      <c r="AX725" s="47">
        <f>IF($D725=1,MIN(AX774*$E725,AX705+AX$701*AX715/SUM(AX$713:AX$721)),AX786)</f>
        <v/>
      </c>
      <c r="AY725" s="47">
        <f>IF($D725=1,MIN(AY774*$E725,AY705+AY$701*AY715/SUM(AY$713:AY$721)),AY786)</f>
        <v/>
      </c>
      <c r="AZ725" s="47">
        <f>IF($D725=1,MIN(AZ774*$E725,AZ705+AZ$701*AZ715/SUM(AZ$713:AZ$721)),AZ786)</f>
        <v/>
      </c>
      <c r="BA725" s="48">
        <f>DISPATCH($D725,BA786,BA774*$E725,BA705,BA$701,BA715,SUM(BA$713:BA$721))</f>
        <v/>
      </c>
    </row>
    <row r="726" hidden="1" outlineLevel="1">
      <c r="A726" s="14" t="inlineStr">
        <is>
          <t>gen</t>
        </is>
      </c>
      <c r="B726" s="14" t="inlineStr">
        <is>
          <t>nuc</t>
        </is>
      </c>
      <c r="C726" s="14" t="inlineStr">
        <is>
          <t>pow</t>
        </is>
      </c>
      <c r="D726" s="45">
        <f>INDEX(Inputs_power!$AN$5:$AN$13,MATCH($B726,Inputs_power!$A$5:$A$13,0))</f>
        <v/>
      </c>
      <c r="E726" s="45">
        <f>INDEX(PParVal,MATCH("maxcf_cg",PParKey,0))</f>
        <v/>
      </c>
      <c r="F726" s="45">
        <f>INDEX(Inputs_power!$AF$5:$AF$13,MATCH($B726,Inputs_power!$A$5:$A$13,0))</f>
        <v/>
      </c>
      <c r="G726" s="39" t="n"/>
      <c r="H726" s="14">
        <f>INDEX(VarLab,MATCH($A726,VarKey,0))&amp;INDEX(MemLab,MATCH($C726&amp;"|"&amp;$B726,MemKey,0))</f>
        <v/>
      </c>
      <c r="I726" s="14">
        <f>INDEX(VarUnit,MATCH($A726,VarKey,0))</f>
        <v/>
      </c>
      <c r="J726" s="14">
        <f>INDEX(VarSrc,MATCH($A726,VarKey,0))</f>
        <v/>
      </c>
      <c r="K726" s="11">
        <f>CodePrefix&amp;$A726&amp;IF($C726="","","."&amp;$C726&amp;"."&amp;$B726)&amp;INDEX(VarEnd,MATCH($A726,VarKey,0))&amp;K$5</f>
        <v/>
      </c>
      <c r="L726" s="46">
        <f>$F726</f>
        <v/>
      </c>
      <c r="M726" s="47">
        <f>IF($D726=1,MIN(M775*$E726,M706+M$701*M716/SUM(M$713:M$721)),M787)</f>
        <v/>
      </c>
      <c r="N726" s="47">
        <f>IF($D726=1,MIN(N775*$E726,N706+N$701*N716/SUM(N$713:N$721)),N787)</f>
        <v/>
      </c>
      <c r="O726" s="47">
        <f>IF($D726=1,MIN(O775*$E726,O706+O$701*O716/SUM(O$713:O$721)),O787)</f>
        <v/>
      </c>
      <c r="P726" s="47">
        <f>IF($D726=1,MIN(P775*$E726,P706+P$701*P716/SUM(P$713:P$721)),P787)</f>
        <v/>
      </c>
      <c r="Q726" s="47">
        <f>IF($D726=1,MIN(Q775*$E726,Q706+Q$701*Q716/SUM(Q$713:Q$721)),Q787)</f>
        <v/>
      </c>
      <c r="R726" s="47">
        <f>IF($D726=1,MIN(R775*$E726,R706+R$701*R716/SUM(R$713:R$721)),R787)</f>
        <v/>
      </c>
      <c r="S726" s="47">
        <f>IF($D726=1,MIN(S775*$E726,S706+S$701*S716/SUM(S$713:S$721)),S787)</f>
        <v/>
      </c>
      <c r="T726" s="47">
        <f>IF($D726=1,MIN(T775*$E726,T706+T$701*T716/SUM(T$713:T$721)),T787)</f>
        <v/>
      </c>
      <c r="U726" s="47">
        <f>IF($D726=1,MIN(U775*$E726,U706+U$701*U716/SUM(U$713:U$721)),U787)</f>
        <v/>
      </c>
      <c r="V726" s="47">
        <f>IF($D726=1,MIN(V775*$E726,V706+V$701*V716/SUM(V$713:V$721)),V787)</f>
        <v/>
      </c>
      <c r="W726" s="47">
        <f>IF($D726=1,MIN(W775*$E726,W706+W$701*W716/SUM(W$713:W$721)),W787)</f>
        <v/>
      </c>
      <c r="X726" s="47">
        <f>IF($D726=1,MIN(X775*$E726,X706+X$701*X716/SUM(X$713:X$721)),X787)</f>
        <v/>
      </c>
      <c r="Y726" s="47">
        <f>IF($D726=1,MIN(Y775*$E726,Y706+Y$701*Y716/SUM(Y$713:Y$721)),Y787)</f>
        <v/>
      </c>
      <c r="Z726" s="47">
        <f>IF($D726=1,MIN(Z775*$E726,Z706+Z$701*Z716/SUM(Z$713:Z$721)),Z787)</f>
        <v/>
      </c>
      <c r="AA726" s="47">
        <f>IF($D726=1,MIN(AA775*$E726,AA706+AA$701*AA716/SUM(AA$713:AA$721)),AA787)</f>
        <v/>
      </c>
      <c r="AB726" s="47">
        <f>IF($D726=1,MIN(AB775*$E726,AB706+AB$701*AB716/SUM(AB$713:AB$721)),AB787)</f>
        <v/>
      </c>
      <c r="AC726" s="47">
        <f>IF($D726=1,MIN(AC775*$E726,AC706+AC$701*AC716/SUM(AC$713:AC$721)),AC787)</f>
        <v/>
      </c>
      <c r="AD726" s="47">
        <f>IF($D726=1,MIN(AD775*$E726,AD706+AD$701*AD716/SUM(AD$713:AD$721)),AD787)</f>
        <v/>
      </c>
      <c r="AE726" s="48">
        <f>DISPATCH($D726,AE787,AE775*$E726,AE706,AE$701,AE716,SUM(AE$713:AE$721))</f>
        <v/>
      </c>
      <c r="AG726" s="11">
        <f>CodePrefix&amp;$A726&amp;IF($C726="","","."&amp;$C726&amp;"."&amp;$B726)&amp;INDEX(VarEnd,MATCH($A726,VarKey,0))&amp;AG$5</f>
        <v/>
      </c>
      <c r="AH726" s="46">
        <f>$F726</f>
        <v/>
      </c>
      <c r="AI726" s="47">
        <f>IF($D726=1,MIN(AI775*$E726,AI706+AI$701*AI716/SUM(AI$713:AI$721)),AI787)</f>
        <v/>
      </c>
      <c r="AJ726" s="47">
        <f>IF($D726=1,MIN(AJ775*$E726,AJ706+AJ$701*AJ716/SUM(AJ$713:AJ$721)),AJ787)</f>
        <v/>
      </c>
      <c r="AK726" s="47">
        <f>IF($D726=1,MIN(AK775*$E726,AK706+AK$701*AK716/SUM(AK$713:AK$721)),AK787)</f>
        <v/>
      </c>
      <c r="AL726" s="47">
        <f>IF($D726=1,MIN(AL775*$E726,AL706+AL$701*AL716/SUM(AL$713:AL$721)),AL787)</f>
        <v/>
      </c>
      <c r="AM726" s="47">
        <f>IF($D726=1,MIN(AM775*$E726,AM706+AM$701*AM716/SUM(AM$713:AM$721)),AM787)</f>
        <v/>
      </c>
      <c r="AN726" s="47">
        <f>IF($D726=1,MIN(AN775*$E726,AN706+AN$701*AN716/SUM(AN$713:AN$721)),AN787)</f>
        <v/>
      </c>
      <c r="AO726" s="47">
        <f>IF($D726=1,MIN(AO775*$E726,AO706+AO$701*AO716/SUM(AO$713:AO$721)),AO787)</f>
        <v/>
      </c>
      <c r="AP726" s="47">
        <f>IF($D726=1,MIN(AP775*$E726,AP706+AP$701*AP716/SUM(AP$713:AP$721)),AP787)</f>
        <v/>
      </c>
      <c r="AQ726" s="47">
        <f>IF($D726=1,MIN(AQ775*$E726,AQ706+AQ$701*AQ716/SUM(AQ$713:AQ$721)),AQ787)</f>
        <v/>
      </c>
      <c r="AR726" s="47">
        <f>IF($D726=1,MIN(AR775*$E726,AR706+AR$701*AR716/SUM(AR$713:AR$721)),AR787)</f>
        <v/>
      </c>
      <c r="AS726" s="47">
        <f>IF($D726=1,MIN(AS775*$E726,AS706+AS$701*AS716/SUM(AS$713:AS$721)),AS787)</f>
        <v/>
      </c>
      <c r="AT726" s="47">
        <f>IF($D726=1,MIN(AT775*$E726,AT706+AT$701*AT716/SUM(AT$713:AT$721)),AT787)</f>
        <v/>
      </c>
      <c r="AU726" s="47">
        <f>IF($D726=1,MIN(AU775*$E726,AU706+AU$701*AU716/SUM(AU$713:AU$721)),AU787)</f>
        <v/>
      </c>
      <c r="AV726" s="47">
        <f>IF($D726=1,MIN(AV775*$E726,AV706+AV$701*AV716/SUM(AV$713:AV$721)),AV787)</f>
        <v/>
      </c>
      <c r="AW726" s="47">
        <f>IF($D726=1,MIN(AW775*$E726,AW706+AW$701*AW716/SUM(AW$713:AW$721)),AW787)</f>
        <v/>
      </c>
      <c r="AX726" s="47">
        <f>IF($D726=1,MIN(AX775*$E726,AX706+AX$701*AX716/SUM(AX$713:AX$721)),AX787)</f>
        <v/>
      </c>
      <c r="AY726" s="47">
        <f>IF($D726=1,MIN(AY775*$E726,AY706+AY$701*AY716/SUM(AY$713:AY$721)),AY787)</f>
        <v/>
      </c>
      <c r="AZ726" s="47">
        <f>IF($D726=1,MIN(AZ775*$E726,AZ706+AZ$701*AZ716/SUM(AZ$713:AZ$721)),AZ787)</f>
        <v/>
      </c>
      <c r="BA726" s="48">
        <f>DISPATCH($D726,BA787,BA775*$E726,BA706,BA$701,BA716,SUM(BA$713:BA$721))</f>
        <v/>
      </c>
    </row>
    <row r="727" hidden="1" outlineLevel="1">
      <c r="A727" s="14" t="inlineStr">
        <is>
          <t>gen</t>
        </is>
      </c>
      <c r="B727" s="14" t="inlineStr">
        <is>
          <t>wnd</t>
        </is>
      </c>
      <c r="C727" s="14" t="inlineStr">
        <is>
          <t>pow</t>
        </is>
      </c>
      <c r="D727" s="45">
        <f>INDEX(Inputs_power!$AN$5:$AN$13,MATCH($B727,Inputs_power!$A$5:$A$13,0))</f>
        <v/>
      </c>
      <c r="E727" s="45">
        <f>INDEX(PParVal,MATCH("maxcf_cg",PParKey,0))</f>
        <v/>
      </c>
      <c r="F727" s="45">
        <f>INDEX(Inputs_power!$AF$5:$AF$13,MATCH($B727,Inputs_power!$A$5:$A$13,0))</f>
        <v/>
      </c>
      <c r="G727" s="39" t="n"/>
      <c r="H727" s="14">
        <f>INDEX(VarLab,MATCH($A727,VarKey,0))&amp;INDEX(MemLab,MATCH($C727&amp;"|"&amp;$B727,MemKey,0))</f>
        <v/>
      </c>
      <c r="I727" s="14">
        <f>INDEX(VarUnit,MATCH($A727,VarKey,0))</f>
        <v/>
      </c>
      <c r="J727" s="14">
        <f>INDEX(VarSrc,MATCH($A727,VarKey,0))</f>
        <v/>
      </c>
      <c r="K727" s="11">
        <f>CodePrefix&amp;$A727&amp;IF($C727="","","."&amp;$C727&amp;"."&amp;$B727)&amp;INDEX(VarEnd,MATCH($A727,VarKey,0))&amp;K$5</f>
        <v/>
      </c>
      <c r="L727" s="46">
        <f>$F727</f>
        <v/>
      </c>
      <c r="M727" s="47">
        <f>IF($D727=1,MIN(M776*$E727,M707+M$701*M717/SUM(M$713:M$721)),M788)</f>
        <v/>
      </c>
      <c r="N727" s="47">
        <f>IF($D727=1,MIN(N776*$E727,N707+N$701*N717/SUM(N$713:N$721)),N788)</f>
        <v/>
      </c>
      <c r="O727" s="47">
        <f>IF($D727=1,MIN(O776*$E727,O707+O$701*O717/SUM(O$713:O$721)),O788)</f>
        <v/>
      </c>
      <c r="P727" s="47">
        <f>IF($D727=1,MIN(P776*$E727,P707+P$701*P717/SUM(P$713:P$721)),P788)</f>
        <v/>
      </c>
      <c r="Q727" s="47">
        <f>IF($D727=1,MIN(Q776*$E727,Q707+Q$701*Q717/SUM(Q$713:Q$721)),Q788)</f>
        <v/>
      </c>
      <c r="R727" s="47">
        <f>IF($D727=1,MIN(R776*$E727,R707+R$701*R717/SUM(R$713:R$721)),R788)</f>
        <v/>
      </c>
      <c r="S727" s="47">
        <f>IF($D727=1,MIN(S776*$E727,S707+S$701*S717/SUM(S$713:S$721)),S788)</f>
        <v/>
      </c>
      <c r="T727" s="47">
        <f>IF($D727=1,MIN(T776*$E727,T707+T$701*T717/SUM(T$713:T$721)),T788)</f>
        <v/>
      </c>
      <c r="U727" s="47">
        <f>IF($D727=1,MIN(U776*$E727,U707+U$701*U717/SUM(U$713:U$721)),U788)</f>
        <v/>
      </c>
      <c r="V727" s="47">
        <f>IF($D727=1,MIN(V776*$E727,V707+V$701*V717/SUM(V$713:V$721)),V788)</f>
        <v/>
      </c>
      <c r="W727" s="47">
        <f>IF($D727=1,MIN(W776*$E727,W707+W$701*W717/SUM(W$713:W$721)),W788)</f>
        <v/>
      </c>
      <c r="X727" s="47">
        <f>IF($D727=1,MIN(X776*$E727,X707+X$701*X717/SUM(X$713:X$721)),X788)</f>
        <v/>
      </c>
      <c r="Y727" s="47">
        <f>IF($D727=1,MIN(Y776*$E727,Y707+Y$701*Y717/SUM(Y$713:Y$721)),Y788)</f>
        <v/>
      </c>
      <c r="Z727" s="47">
        <f>IF($D727=1,MIN(Z776*$E727,Z707+Z$701*Z717/SUM(Z$713:Z$721)),Z788)</f>
        <v/>
      </c>
      <c r="AA727" s="47">
        <f>IF($D727=1,MIN(AA776*$E727,AA707+AA$701*AA717/SUM(AA$713:AA$721)),AA788)</f>
        <v/>
      </c>
      <c r="AB727" s="47">
        <f>IF($D727=1,MIN(AB776*$E727,AB707+AB$701*AB717/SUM(AB$713:AB$721)),AB788)</f>
        <v/>
      </c>
      <c r="AC727" s="47">
        <f>IF($D727=1,MIN(AC776*$E727,AC707+AC$701*AC717/SUM(AC$713:AC$721)),AC788)</f>
        <v/>
      </c>
      <c r="AD727" s="47">
        <f>IF($D727=1,MIN(AD776*$E727,AD707+AD$701*AD717/SUM(AD$713:AD$721)),AD788)</f>
        <v/>
      </c>
      <c r="AE727" s="48">
        <f>DISPATCH($D727,AE788,AE776*$E727,AE707,AE$701,AE717,SUM(AE$713:AE$721))</f>
        <v/>
      </c>
      <c r="AG727" s="11">
        <f>CodePrefix&amp;$A727&amp;IF($C727="","","."&amp;$C727&amp;"."&amp;$B727)&amp;INDEX(VarEnd,MATCH($A727,VarKey,0))&amp;AG$5</f>
        <v/>
      </c>
      <c r="AH727" s="46">
        <f>$F727</f>
        <v/>
      </c>
      <c r="AI727" s="47">
        <f>IF($D727=1,MIN(AI776*$E727,AI707+AI$701*AI717/SUM(AI$713:AI$721)),AI788)</f>
        <v/>
      </c>
      <c r="AJ727" s="47">
        <f>IF($D727=1,MIN(AJ776*$E727,AJ707+AJ$701*AJ717/SUM(AJ$713:AJ$721)),AJ788)</f>
        <v/>
      </c>
      <c r="AK727" s="47">
        <f>IF($D727=1,MIN(AK776*$E727,AK707+AK$701*AK717/SUM(AK$713:AK$721)),AK788)</f>
        <v/>
      </c>
      <c r="AL727" s="47">
        <f>IF($D727=1,MIN(AL776*$E727,AL707+AL$701*AL717/SUM(AL$713:AL$721)),AL788)</f>
        <v/>
      </c>
      <c r="AM727" s="47">
        <f>IF($D727=1,MIN(AM776*$E727,AM707+AM$701*AM717/SUM(AM$713:AM$721)),AM788)</f>
        <v/>
      </c>
      <c r="AN727" s="47">
        <f>IF($D727=1,MIN(AN776*$E727,AN707+AN$701*AN717/SUM(AN$713:AN$721)),AN788)</f>
        <v/>
      </c>
      <c r="AO727" s="47">
        <f>IF($D727=1,MIN(AO776*$E727,AO707+AO$701*AO717/SUM(AO$713:AO$721)),AO788)</f>
        <v/>
      </c>
      <c r="AP727" s="47">
        <f>IF($D727=1,MIN(AP776*$E727,AP707+AP$701*AP717/SUM(AP$713:AP$721)),AP788)</f>
        <v/>
      </c>
      <c r="AQ727" s="47">
        <f>IF($D727=1,MIN(AQ776*$E727,AQ707+AQ$701*AQ717/SUM(AQ$713:AQ$721)),AQ788)</f>
        <v/>
      </c>
      <c r="AR727" s="47">
        <f>IF($D727=1,MIN(AR776*$E727,AR707+AR$701*AR717/SUM(AR$713:AR$721)),AR788)</f>
        <v/>
      </c>
      <c r="AS727" s="47">
        <f>IF($D727=1,MIN(AS776*$E727,AS707+AS$701*AS717/SUM(AS$713:AS$721)),AS788)</f>
        <v/>
      </c>
      <c r="AT727" s="47">
        <f>IF($D727=1,MIN(AT776*$E727,AT707+AT$701*AT717/SUM(AT$713:AT$721)),AT788)</f>
        <v/>
      </c>
      <c r="AU727" s="47">
        <f>IF($D727=1,MIN(AU776*$E727,AU707+AU$701*AU717/SUM(AU$713:AU$721)),AU788)</f>
        <v/>
      </c>
      <c r="AV727" s="47">
        <f>IF($D727=1,MIN(AV776*$E727,AV707+AV$701*AV717/SUM(AV$713:AV$721)),AV788)</f>
        <v/>
      </c>
      <c r="AW727" s="47">
        <f>IF($D727=1,MIN(AW776*$E727,AW707+AW$701*AW717/SUM(AW$713:AW$721)),AW788)</f>
        <v/>
      </c>
      <c r="AX727" s="47">
        <f>IF($D727=1,MIN(AX776*$E727,AX707+AX$701*AX717/SUM(AX$713:AX$721)),AX788)</f>
        <v/>
      </c>
      <c r="AY727" s="47">
        <f>IF($D727=1,MIN(AY776*$E727,AY707+AY$701*AY717/SUM(AY$713:AY$721)),AY788)</f>
        <v/>
      </c>
      <c r="AZ727" s="47">
        <f>IF($D727=1,MIN(AZ776*$E727,AZ707+AZ$701*AZ717/SUM(AZ$713:AZ$721)),AZ788)</f>
        <v/>
      </c>
      <c r="BA727" s="48">
        <f>DISPATCH($D727,BA788,BA776*$E727,BA707,BA$701,BA717,SUM(BA$713:BA$721))</f>
        <v/>
      </c>
    </row>
    <row r="728" hidden="1" outlineLevel="1">
      <c r="A728" s="14" t="inlineStr">
        <is>
          <t>gen</t>
        </is>
      </c>
      <c r="B728" s="14" t="inlineStr">
        <is>
          <t>sol</t>
        </is>
      </c>
      <c r="C728" s="14" t="inlineStr">
        <is>
          <t>pow</t>
        </is>
      </c>
      <c r="D728" s="45">
        <f>INDEX(Inputs_power!$AN$5:$AN$13,MATCH($B728,Inputs_power!$A$5:$A$13,0))</f>
        <v/>
      </c>
      <c r="E728" s="45">
        <f>INDEX(PParVal,MATCH("maxcf_cg",PParKey,0))</f>
        <v/>
      </c>
      <c r="F728" s="45">
        <f>INDEX(Inputs_power!$AF$5:$AF$13,MATCH($B728,Inputs_power!$A$5:$A$13,0))</f>
        <v/>
      </c>
      <c r="G728" s="39" t="n"/>
      <c r="H728" s="14">
        <f>INDEX(VarLab,MATCH($A728,VarKey,0))&amp;INDEX(MemLab,MATCH($C728&amp;"|"&amp;$B728,MemKey,0))</f>
        <v/>
      </c>
      <c r="I728" s="14">
        <f>INDEX(VarUnit,MATCH($A728,VarKey,0))</f>
        <v/>
      </c>
      <c r="J728" s="14">
        <f>INDEX(VarSrc,MATCH($A728,VarKey,0))</f>
        <v/>
      </c>
      <c r="K728" s="11">
        <f>CodePrefix&amp;$A728&amp;IF($C728="","","."&amp;$C728&amp;"."&amp;$B728)&amp;INDEX(VarEnd,MATCH($A728,VarKey,0))&amp;K$5</f>
        <v/>
      </c>
      <c r="L728" s="46">
        <f>$F728</f>
        <v/>
      </c>
      <c r="M728" s="47">
        <f>IF($D728=1,MIN(M777*$E728,M708+M$701*M718/SUM(M$713:M$721)),M789)</f>
        <v/>
      </c>
      <c r="N728" s="47">
        <f>IF($D728=1,MIN(N777*$E728,N708+N$701*N718/SUM(N$713:N$721)),N789)</f>
        <v/>
      </c>
      <c r="O728" s="47">
        <f>IF($D728=1,MIN(O777*$E728,O708+O$701*O718/SUM(O$713:O$721)),O789)</f>
        <v/>
      </c>
      <c r="P728" s="47">
        <f>IF($D728=1,MIN(P777*$E728,P708+P$701*P718/SUM(P$713:P$721)),P789)</f>
        <v/>
      </c>
      <c r="Q728" s="47">
        <f>IF($D728=1,MIN(Q777*$E728,Q708+Q$701*Q718/SUM(Q$713:Q$721)),Q789)</f>
        <v/>
      </c>
      <c r="R728" s="47">
        <f>IF($D728=1,MIN(R777*$E728,R708+R$701*R718/SUM(R$713:R$721)),R789)</f>
        <v/>
      </c>
      <c r="S728" s="47">
        <f>IF($D728=1,MIN(S777*$E728,S708+S$701*S718/SUM(S$713:S$721)),S789)</f>
        <v/>
      </c>
      <c r="T728" s="47">
        <f>IF($D728=1,MIN(T777*$E728,T708+T$701*T718/SUM(T$713:T$721)),T789)</f>
        <v/>
      </c>
      <c r="U728" s="47">
        <f>IF($D728=1,MIN(U777*$E728,U708+U$701*U718/SUM(U$713:U$721)),U789)</f>
        <v/>
      </c>
      <c r="V728" s="47">
        <f>IF($D728=1,MIN(V777*$E728,V708+V$701*V718/SUM(V$713:V$721)),V789)</f>
        <v/>
      </c>
      <c r="W728" s="47">
        <f>IF($D728=1,MIN(W777*$E728,W708+W$701*W718/SUM(W$713:W$721)),W789)</f>
        <v/>
      </c>
      <c r="X728" s="47">
        <f>IF($D728=1,MIN(X777*$E728,X708+X$701*X718/SUM(X$713:X$721)),X789)</f>
        <v/>
      </c>
      <c r="Y728" s="47">
        <f>IF($D728=1,MIN(Y777*$E728,Y708+Y$701*Y718/SUM(Y$713:Y$721)),Y789)</f>
        <v/>
      </c>
      <c r="Z728" s="47">
        <f>IF($D728=1,MIN(Z777*$E728,Z708+Z$701*Z718/SUM(Z$713:Z$721)),Z789)</f>
        <v/>
      </c>
      <c r="AA728" s="47">
        <f>IF($D728=1,MIN(AA777*$E728,AA708+AA$701*AA718/SUM(AA$713:AA$721)),AA789)</f>
        <v/>
      </c>
      <c r="AB728" s="47">
        <f>IF($D728=1,MIN(AB777*$E728,AB708+AB$701*AB718/SUM(AB$713:AB$721)),AB789)</f>
        <v/>
      </c>
      <c r="AC728" s="47">
        <f>IF($D728=1,MIN(AC777*$E728,AC708+AC$701*AC718/SUM(AC$713:AC$721)),AC789)</f>
        <v/>
      </c>
      <c r="AD728" s="47">
        <f>IF($D728=1,MIN(AD777*$E728,AD708+AD$701*AD718/SUM(AD$713:AD$721)),AD789)</f>
        <v/>
      </c>
      <c r="AE728" s="48">
        <f>DISPATCH($D728,AE789,AE777*$E728,AE708,AE$701,AE718,SUM(AE$713:AE$721))</f>
        <v/>
      </c>
      <c r="AG728" s="11">
        <f>CodePrefix&amp;$A728&amp;IF($C728="","","."&amp;$C728&amp;"."&amp;$B728)&amp;INDEX(VarEnd,MATCH($A728,VarKey,0))&amp;AG$5</f>
        <v/>
      </c>
      <c r="AH728" s="46">
        <f>$F728</f>
        <v/>
      </c>
      <c r="AI728" s="47">
        <f>IF($D728=1,MIN(AI777*$E728,AI708+AI$701*AI718/SUM(AI$713:AI$721)),AI789)</f>
        <v/>
      </c>
      <c r="AJ728" s="47">
        <f>IF($D728=1,MIN(AJ777*$E728,AJ708+AJ$701*AJ718/SUM(AJ$713:AJ$721)),AJ789)</f>
        <v/>
      </c>
      <c r="AK728" s="47">
        <f>IF($D728=1,MIN(AK777*$E728,AK708+AK$701*AK718/SUM(AK$713:AK$721)),AK789)</f>
        <v/>
      </c>
      <c r="AL728" s="47">
        <f>IF($D728=1,MIN(AL777*$E728,AL708+AL$701*AL718/SUM(AL$713:AL$721)),AL789)</f>
        <v/>
      </c>
      <c r="AM728" s="47">
        <f>IF($D728=1,MIN(AM777*$E728,AM708+AM$701*AM718/SUM(AM$713:AM$721)),AM789)</f>
        <v/>
      </c>
      <c r="AN728" s="47">
        <f>IF($D728=1,MIN(AN777*$E728,AN708+AN$701*AN718/SUM(AN$713:AN$721)),AN789)</f>
        <v/>
      </c>
      <c r="AO728" s="47">
        <f>IF($D728=1,MIN(AO777*$E728,AO708+AO$701*AO718/SUM(AO$713:AO$721)),AO789)</f>
        <v/>
      </c>
      <c r="AP728" s="47">
        <f>IF($D728=1,MIN(AP777*$E728,AP708+AP$701*AP718/SUM(AP$713:AP$721)),AP789)</f>
        <v/>
      </c>
      <c r="AQ728" s="47">
        <f>IF($D728=1,MIN(AQ777*$E728,AQ708+AQ$701*AQ718/SUM(AQ$713:AQ$721)),AQ789)</f>
        <v/>
      </c>
      <c r="AR728" s="47">
        <f>IF($D728=1,MIN(AR777*$E728,AR708+AR$701*AR718/SUM(AR$713:AR$721)),AR789)</f>
        <v/>
      </c>
      <c r="AS728" s="47">
        <f>IF($D728=1,MIN(AS777*$E728,AS708+AS$701*AS718/SUM(AS$713:AS$721)),AS789)</f>
        <v/>
      </c>
      <c r="AT728" s="47">
        <f>IF($D728=1,MIN(AT777*$E728,AT708+AT$701*AT718/SUM(AT$713:AT$721)),AT789)</f>
        <v/>
      </c>
      <c r="AU728" s="47">
        <f>IF($D728=1,MIN(AU777*$E728,AU708+AU$701*AU718/SUM(AU$713:AU$721)),AU789)</f>
        <v/>
      </c>
      <c r="AV728" s="47">
        <f>IF($D728=1,MIN(AV777*$E728,AV708+AV$701*AV718/SUM(AV$713:AV$721)),AV789)</f>
        <v/>
      </c>
      <c r="AW728" s="47">
        <f>IF($D728=1,MIN(AW777*$E728,AW708+AW$701*AW718/SUM(AW$713:AW$721)),AW789)</f>
        <v/>
      </c>
      <c r="AX728" s="47">
        <f>IF($D728=1,MIN(AX777*$E728,AX708+AX$701*AX718/SUM(AX$713:AX$721)),AX789)</f>
        <v/>
      </c>
      <c r="AY728" s="47">
        <f>IF($D728=1,MIN(AY777*$E728,AY708+AY$701*AY718/SUM(AY$713:AY$721)),AY789)</f>
        <v/>
      </c>
      <c r="AZ728" s="47">
        <f>IF($D728=1,MIN(AZ777*$E728,AZ708+AZ$701*AZ718/SUM(AZ$713:AZ$721)),AZ789)</f>
        <v/>
      </c>
      <c r="BA728" s="48">
        <f>DISPATCH($D728,BA789,BA777*$E728,BA708,BA$701,BA718,SUM(BA$713:BA$721))</f>
        <v/>
      </c>
    </row>
    <row r="729" hidden="1" outlineLevel="1">
      <c r="A729" s="14" t="inlineStr">
        <is>
          <t>gen</t>
        </is>
      </c>
      <c r="B729" s="14" t="inlineStr">
        <is>
          <t>hyd</t>
        </is>
      </c>
      <c r="C729" s="14" t="inlineStr">
        <is>
          <t>pow</t>
        </is>
      </c>
      <c r="D729" s="45">
        <f>INDEX(Inputs_power!$AN$5:$AN$13,MATCH($B729,Inputs_power!$A$5:$A$13,0))</f>
        <v/>
      </c>
      <c r="E729" s="45">
        <f>INDEX(PParVal,MATCH("maxcf_cg",PParKey,0))</f>
        <v/>
      </c>
      <c r="F729" s="45">
        <f>INDEX(Inputs_power!$AF$5:$AF$13,MATCH($B729,Inputs_power!$A$5:$A$13,0))</f>
        <v/>
      </c>
      <c r="G729" s="39" t="n"/>
      <c r="H729" s="14">
        <f>INDEX(VarLab,MATCH($A729,VarKey,0))&amp;INDEX(MemLab,MATCH($C729&amp;"|"&amp;$B729,MemKey,0))</f>
        <v/>
      </c>
      <c r="I729" s="14">
        <f>INDEX(VarUnit,MATCH($A729,VarKey,0))</f>
        <v/>
      </c>
      <c r="J729" s="14">
        <f>INDEX(VarSrc,MATCH($A729,VarKey,0))</f>
        <v/>
      </c>
      <c r="K729" s="11">
        <f>CodePrefix&amp;$A729&amp;IF($C729="","","."&amp;$C729&amp;"."&amp;$B729)&amp;INDEX(VarEnd,MATCH($A729,VarKey,0))&amp;K$5</f>
        <v/>
      </c>
      <c r="L729" s="46">
        <f>$F729</f>
        <v/>
      </c>
      <c r="M729" s="47">
        <f>IF($D729=1,MIN(M778*$E729,M709+M$701*M719/SUM(M$713:M$721)),M790)</f>
        <v/>
      </c>
      <c r="N729" s="47">
        <f>IF($D729=1,MIN(N778*$E729,N709+N$701*N719/SUM(N$713:N$721)),N790)</f>
        <v/>
      </c>
      <c r="O729" s="47">
        <f>IF($D729=1,MIN(O778*$E729,O709+O$701*O719/SUM(O$713:O$721)),O790)</f>
        <v/>
      </c>
      <c r="P729" s="47">
        <f>IF($D729=1,MIN(P778*$E729,P709+P$701*P719/SUM(P$713:P$721)),P790)</f>
        <v/>
      </c>
      <c r="Q729" s="47">
        <f>IF($D729=1,MIN(Q778*$E729,Q709+Q$701*Q719/SUM(Q$713:Q$721)),Q790)</f>
        <v/>
      </c>
      <c r="R729" s="47">
        <f>IF($D729=1,MIN(R778*$E729,R709+R$701*R719/SUM(R$713:R$721)),R790)</f>
        <v/>
      </c>
      <c r="S729" s="47">
        <f>IF($D729=1,MIN(S778*$E729,S709+S$701*S719/SUM(S$713:S$721)),S790)</f>
        <v/>
      </c>
      <c r="T729" s="47">
        <f>IF($D729=1,MIN(T778*$E729,T709+T$701*T719/SUM(T$713:T$721)),T790)</f>
        <v/>
      </c>
      <c r="U729" s="47">
        <f>IF($D729=1,MIN(U778*$E729,U709+U$701*U719/SUM(U$713:U$721)),U790)</f>
        <v/>
      </c>
      <c r="V729" s="47">
        <f>IF($D729=1,MIN(V778*$E729,V709+V$701*V719/SUM(V$713:V$721)),V790)</f>
        <v/>
      </c>
      <c r="W729" s="47">
        <f>IF($D729=1,MIN(W778*$E729,W709+W$701*W719/SUM(W$713:W$721)),W790)</f>
        <v/>
      </c>
      <c r="X729" s="47">
        <f>IF($D729=1,MIN(X778*$E729,X709+X$701*X719/SUM(X$713:X$721)),X790)</f>
        <v/>
      </c>
      <c r="Y729" s="47">
        <f>IF($D729=1,MIN(Y778*$E729,Y709+Y$701*Y719/SUM(Y$713:Y$721)),Y790)</f>
        <v/>
      </c>
      <c r="Z729" s="47">
        <f>IF($D729=1,MIN(Z778*$E729,Z709+Z$701*Z719/SUM(Z$713:Z$721)),Z790)</f>
        <v/>
      </c>
      <c r="AA729" s="47">
        <f>IF($D729=1,MIN(AA778*$E729,AA709+AA$701*AA719/SUM(AA$713:AA$721)),AA790)</f>
        <v/>
      </c>
      <c r="AB729" s="47">
        <f>IF($D729=1,MIN(AB778*$E729,AB709+AB$701*AB719/SUM(AB$713:AB$721)),AB790)</f>
        <v/>
      </c>
      <c r="AC729" s="47">
        <f>IF($D729=1,MIN(AC778*$E729,AC709+AC$701*AC719/SUM(AC$713:AC$721)),AC790)</f>
        <v/>
      </c>
      <c r="AD729" s="47">
        <f>IF($D729=1,MIN(AD778*$E729,AD709+AD$701*AD719/SUM(AD$713:AD$721)),AD790)</f>
        <v/>
      </c>
      <c r="AE729" s="48">
        <f>DISPATCH($D729,AE790,AE778*$E729,AE709,AE$701,AE719,SUM(AE$713:AE$721))</f>
        <v/>
      </c>
      <c r="AG729" s="11">
        <f>CodePrefix&amp;$A729&amp;IF($C729="","","."&amp;$C729&amp;"."&amp;$B729)&amp;INDEX(VarEnd,MATCH($A729,VarKey,0))&amp;AG$5</f>
        <v/>
      </c>
      <c r="AH729" s="46">
        <f>$F729</f>
        <v/>
      </c>
      <c r="AI729" s="47">
        <f>IF($D729=1,MIN(AI778*$E729,AI709+AI$701*AI719/SUM(AI$713:AI$721)),AI790)</f>
        <v/>
      </c>
      <c r="AJ729" s="47">
        <f>IF($D729=1,MIN(AJ778*$E729,AJ709+AJ$701*AJ719/SUM(AJ$713:AJ$721)),AJ790)</f>
        <v/>
      </c>
      <c r="AK729" s="47">
        <f>IF($D729=1,MIN(AK778*$E729,AK709+AK$701*AK719/SUM(AK$713:AK$721)),AK790)</f>
        <v/>
      </c>
      <c r="AL729" s="47">
        <f>IF($D729=1,MIN(AL778*$E729,AL709+AL$701*AL719/SUM(AL$713:AL$721)),AL790)</f>
        <v/>
      </c>
      <c r="AM729" s="47">
        <f>IF($D729=1,MIN(AM778*$E729,AM709+AM$701*AM719/SUM(AM$713:AM$721)),AM790)</f>
        <v/>
      </c>
      <c r="AN729" s="47">
        <f>IF($D729=1,MIN(AN778*$E729,AN709+AN$701*AN719/SUM(AN$713:AN$721)),AN790)</f>
        <v/>
      </c>
      <c r="AO729" s="47">
        <f>IF($D729=1,MIN(AO778*$E729,AO709+AO$701*AO719/SUM(AO$713:AO$721)),AO790)</f>
        <v/>
      </c>
      <c r="AP729" s="47">
        <f>IF($D729=1,MIN(AP778*$E729,AP709+AP$701*AP719/SUM(AP$713:AP$721)),AP790)</f>
        <v/>
      </c>
      <c r="AQ729" s="47">
        <f>IF($D729=1,MIN(AQ778*$E729,AQ709+AQ$701*AQ719/SUM(AQ$713:AQ$721)),AQ790)</f>
        <v/>
      </c>
      <c r="AR729" s="47">
        <f>IF($D729=1,MIN(AR778*$E729,AR709+AR$701*AR719/SUM(AR$713:AR$721)),AR790)</f>
        <v/>
      </c>
      <c r="AS729" s="47">
        <f>IF($D729=1,MIN(AS778*$E729,AS709+AS$701*AS719/SUM(AS$713:AS$721)),AS790)</f>
        <v/>
      </c>
      <c r="AT729" s="47">
        <f>IF($D729=1,MIN(AT778*$E729,AT709+AT$701*AT719/SUM(AT$713:AT$721)),AT790)</f>
        <v/>
      </c>
      <c r="AU729" s="47">
        <f>IF($D729=1,MIN(AU778*$E729,AU709+AU$701*AU719/SUM(AU$713:AU$721)),AU790)</f>
        <v/>
      </c>
      <c r="AV729" s="47">
        <f>IF($D729=1,MIN(AV778*$E729,AV709+AV$701*AV719/SUM(AV$713:AV$721)),AV790)</f>
        <v/>
      </c>
      <c r="AW729" s="47">
        <f>IF($D729=1,MIN(AW778*$E729,AW709+AW$701*AW719/SUM(AW$713:AW$721)),AW790)</f>
        <v/>
      </c>
      <c r="AX729" s="47">
        <f>IF($D729=1,MIN(AX778*$E729,AX709+AX$701*AX719/SUM(AX$713:AX$721)),AX790)</f>
        <v/>
      </c>
      <c r="AY729" s="47">
        <f>IF($D729=1,MIN(AY778*$E729,AY709+AY$701*AY719/SUM(AY$713:AY$721)),AY790)</f>
        <v/>
      </c>
      <c r="AZ729" s="47">
        <f>IF($D729=1,MIN(AZ778*$E729,AZ709+AZ$701*AZ719/SUM(AZ$713:AZ$721)),AZ790)</f>
        <v/>
      </c>
      <c r="BA729" s="48">
        <f>DISPATCH($D729,BA790,BA778*$E729,BA709,BA$701,BA719,SUM(BA$713:BA$721))</f>
        <v/>
      </c>
    </row>
    <row r="730" hidden="1" outlineLevel="1">
      <c r="A730" s="14" t="inlineStr">
        <is>
          <t>gen</t>
        </is>
      </c>
      <c r="B730" s="14" t="inlineStr">
        <is>
          <t>ore</t>
        </is>
      </c>
      <c r="C730" s="14" t="inlineStr">
        <is>
          <t>pow</t>
        </is>
      </c>
      <c r="D730" s="45">
        <f>INDEX(Inputs_power!$AN$5:$AN$13,MATCH($B730,Inputs_power!$A$5:$A$13,0))</f>
        <v/>
      </c>
      <c r="E730" s="45">
        <f>INDEX(PParVal,MATCH("maxcf_cg",PParKey,0))</f>
        <v/>
      </c>
      <c r="F730" s="45">
        <f>INDEX(Inputs_power!$AF$5:$AF$13,MATCH($B730,Inputs_power!$A$5:$A$13,0))</f>
        <v/>
      </c>
      <c r="G730" s="39" t="n"/>
      <c r="H730" s="14">
        <f>INDEX(VarLab,MATCH($A730,VarKey,0))&amp;INDEX(MemLab,MATCH($C730&amp;"|"&amp;$B730,MemKey,0))</f>
        <v/>
      </c>
      <c r="I730" s="14">
        <f>INDEX(VarUnit,MATCH($A730,VarKey,0))</f>
        <v/>
      </c>
      <c r="J730" s="14">
        <f>INDEX(VarSrc,MATCH($A730,VarKey,0))</f>
        <v/>
      </c>
      <c r="K730" s="11">
        <f>CodePrefix&amp;$A730&amp;IF($C730="","","."&amp;$C730&amp;"."&amp;$B730)&amp;INDEX(VarEnd,MATCH($A730,VarKey,0))&amp;K$5</f>
        <v/>
      </c>
      <c r="L730" s="46">
        <f>$F730</f>
        <v/>
      </c>
      <c r="M730" s="47">
        <f>IF($D730=1,MIN(M779*$E730,M710+M$701*M720/SUM(M$713:M$721)),M791)</f>
        <v/>
      </c>
      <c r="N730" s="47">
        <f>IF($D730=1,MIN(N779*$E730,N710+N$701*N720/SUM(N$713:N$721)),N791)</f>
        <v/>
      </c>
      <c r="O730" s="47">
        <f>IF($D730=1,MIN(O779*$E730,O710+O$701*O720/SUM(O$713:O$721)),O791)</f>
        <v/>
      </c>
      <c r="P730" s="47">
        <f>IF($D730=1,MIN(P779*$E730,P710+P$701*P720/SUM(P$713:P$721)),P791)</f>
        <v/>
      </c>
      <c r="Q730" s="47">
        <f>IF($D730=1,MIN(Q779*$E730,Q710+Q$701*Q720/SUM(Q$713:Q$721)),Q791)</f>
        <v/>
      </c>
      <c r="R730" s="47">
        <f>IF($D730=1,MIN(R779*$E730,R710+R$701*R720/SUM(R$713:R$721)),R791)</f>
        <v/>
      </c>
      <c r="S730" s="47">
        <f>IF($D730=1,MIN(S779*$E730,S710+S$701*S720/SUM(S$713:S$721)),S791)</f>
        <v/>
      </c>
      <c r="T730" s="47">
        <f>IF($D730=1,MIN(T779*$E730,T710+T$701*T720/SUM(T$713:T$721)),T791)</f>
        <v/>
      </c>
      <c r="U730" s="47">
        <f>IF($D730=1,MIN(U779*$E730,U710+U$701*U720/SUM(U$713:U$721)),U791)</f>
        <v/>
      </c>
      <c r="V730" s="47">
        <f>IF($D730=1,MIN(V779*$E730,V710+V$701*V720/SUM(V$713:V$721)),V791)</f>
        <v/>
      </c>
      <c r="W730" s="47">
        <f>IF($D730=1,MIN(W779*$E730,W710+W$701*W720/SUM(W$713:W$721)),W791)</f>
        <v/>
      </c>
      <c r="X730" s="47">
        <f>IF($D730=1,MIN(X779*$E730,X710+X$701*X720/SUM(X$713:X$721)),X791)</f>
        <v/>
      </c>
      <c r="Y730" s="47">
        <f>IF($D730=1,MIN(Y779*$E730,Y710+Y$701*Y720/SUM(Y$713:Y$721)),Y791)</f>
        <v/>
      </c>
      <c r="Z730" s="47">
        <f>IF($D730=1,MIN(Z779*$E730,Z710+Z$701*Z720/SUM(Z$713:Z$721)),Z791)</f>
        <v/>
      </c>
      <c r="AA730" s="47">
        <f>IF($D730=1,MIN(AA779*$E730,AA710+AA$701*AA720/SUM(AA$713:AA$721)),AA791)</f>
        <v/>
      </c>
      <c r="AB730" s="47">
        <f>IF($D730=1,MIN(AB779*$E730,AB710+AB$701*AB720/SUM(AB$713:AB$721)),AB791)</f>
        <v/>
      </c>
      <c r="AC730" s="47">
        <f>IF($D730=1,MIN(AC779*$E730,AC710+AC$701*AC720/SUM(AC$713:AC$721)),AC791)</f>
        <v/>
      </c>
      <c r="AD730" s="47">
        <f>IF($D730=1,MIN(AD779*$E730,AD710+AD$701*AD720/SUM(AD$713:AD$721)),AD791)</f>
        <v/>
      </c>
      <c r="AE730" s="48">
        <f>DISPATCH($D730,AE791,AE779*$E730,AE710,AE$701,AE720,SUM(AE$713:AE$721))</f>
        <v/>
      </c>
      <c r="AG730" s="11">
        <f>CodePrefix&amp;$A730&amp;IF($C730="","","."&amp;$C730&amp;"."&amp;$B730)&amp;INDEX(VarEnd,MATCH($A730,VarKey,0))&amp;AG$5</f>
        <v/>
      </c>
      <c r="AH730" s="46">
        <f>$F730</f>
        <v/>
      </c>
      <c r="AI730" s="47">
        <f>IF($D730=1,MIN(AI779*$E730,AI710+AI$701*AI720/SUM(AI$713:AI$721)),AI791)</f>
        <v/>
      </c>
      <c r="AJ730" s="47">
        <f>IF($D730=1,MIN(AJ779*$E730,AJ710+AJ$701*AJ720/SUM(AJ$713:AJ$721)),AJ791)</f>
        <v/>
      </c>
      <c r="AK730" s="47">
        <f>IF($D730=1,MIN(AK779*$E730,AK710+AK$701*AK720/SUM(AK$713:AK$721)),AK791)</f>
        <v/>
      </c>
      <c r="AL730" s="47">
        <f>IF($D730=1,MIN(AL779*$E730,AL710+AL$701*AL720/SUM(AL$713:AL$721)),AL791)</f>
        <v/>
      </c>
      <c r="AM730" s="47">
        <f>IF($D730=1,MIN(AM779*$E730,AM710+AM$701*AM720/SUM(AM$713:AM$721)),AM791)</f>
        <v/>
      </c>
      <c r="AN730" s="47">
        <f>IF($D730=1,MIN(AN779*$E730,AN710+AN$701*AN720/SUM(AN$713:AN$721)),AN791)</f>
        <v/>
      </c>
      <c r="AO730" s="47">
        <f>IF($D730=1,MIN(AO779*$E730,AO710+AO$701*AO720/SUM(AO$713:AO$721)),AO791)</f>
        <v/>
      </c>
      <c r="AP730" s="47">
        <f>IF($D730=1,MIN(AP779*$E730,AP710+AP$701*AP720/SUM(AP$713:AP$721)),AP791)</f>
        <v/>
      </c>
      <c r="AQ730" s="47">
        <f>IF($D730=1,MIN(AQ779*$E730,AQ710+AQ$701*AQ720/SUM(AQ$713:AQ$721)),AQ791)</f>
        <v/>
      </c>
      <c r="AR730" s="47">
        <f>IF($D730=1,MIN(AR779*$E730,AR710+AR$701*AR720/SUM(AR$713:AR$721)),AR791)</f>
        <v/>
      </c>
      <c r="AS730" s="47">
        <f>IF($D730=1,MIN(AS779*$E730,AS710+AS$701*AS720/SUM(AS$713:AS$721)),AS791)</f>
        <v/>
      </c>
      <c r="AT730" s="47">
        <f>IF($D730=1,MIN(AT779*$E730,AT710+AT$701*AT720/SUM(AT$713:AT$721)),AT791)</f>
        <v/>
      </c>
      <c r="AU730" s="47">
        <f>IF($D730=1,MIN(AU779*$E730,AU710+AU$701*AU720/SUM(AU$713:AU$721)),AU791)</f>
        <v/>
      </c>
      <c r="AV730" s="47">
        <f>IF($D730=1,MIN(AV779*$E730,AV710+AV$701*AV720/SUM(AV$713:AV$721)),AV791)</f>
        <v/>
      </c>
      <c r="AW730" s="47">
        <f>IF($D730=1,MIN(AW779*$E730,AW710+AW$701*AW720/SUM(AW$713:AW$721)),AW791)</f>
        <v/>
      </c>
      <c r="AX730" s="47">
        <f>IF($D730=1,MIN(AX779*$E730,AX710+AX$701*AX720/SUM(AX$713:AX$721)),AX791)</f>
        <v/>
      </c>
      <c r="AY730" s="47">
        <f>IF($D730=1,MIN(AY779*$E730,AY710+AY$701*AY720/SUM(AY$713:AY$721)),AY791)</f>
        <v/>
      </c>
      <c r="AZ730" s="47">
        <f>IF($D730=1,MIN(AZ779*$E730,AZ710+AZ$701*AZ720/SUM(AZ$713:AZ$721)),AZ791)</f>
        <v/>
      </c>
      <c r="BA730" s="48">
        <f>DISPATCH($D730,BA791,BA779*$E730,BA710,BA$701,BA720,SUM(BA$713:BA$721))</f>
        <v/>
      </c>
    </row>
    <row r="731" hidden="1" outlineLevel="1">
      <c r="A731" s="14" t="inlineStr">
        <is>
          <t>gen</t>
        </is>
      </c>
      <c r="B731" s="14" t="inlineStr">
        <is>
          <t>bio</t>
        </is>
      </c>
      <c r="C731" s="14" t="inlineStr">
        <is>
          <t>pow</t>
        </is>
      </c>
      <c r="D731" s="45">
        <f>INDEX(Inputs_power!$AN$5:$AN$13,MATCH($B731,Inputs_power!$A$5:$A$13,0))</f>
        <v/>
      </c>
      <c r="E731" s="45">
        <f>INDEX(PParVal,MATCH("maxcf_cg",PParKey,0))</f>
        <v/>
      </c>
      <c r="F731" s="45">
        <f>INDEX(Inputs_power!$AF$5:$AF$13,MATCH($B731,Inputs_power!$A$5:$A$13,0))</f>
        <v/>
      </c>
      <c r="G731" s="39" t="n"/>
      <c r="H731" s="14">
        <f>INDEX(VarLab,MATCH($A731,VarKey,0))&amp;INDEX(MemLab,MATCH($C731&amp;"|"&amp;$B731,MemKey,0))</f>
        <v/>
      </c>
      <c r="I731" s="14">
        <f>INDEX(VarUnit,MATCH($A731,VarKey,0))</f>
        <v/>
      </c>
      <c r="J731" s="14">
        <f>INDEX(VarSrc,MATCH($A731,VarKey,0))</f>
        <v/>
      </c>
      <c r="K731" s="11">
        <f>CodePrefix&amp;$A731&amp;IF($C731="","","."&amp;$C731&amp;"."&amp;$B731)&amp;INDEX(VarEnd,MATCH($A731,VarKey,0))&amp;K$5</f>
        <v/>
      </c>
      <c r="L731" s="46">
        <f>$F731</f>
        <v/>
      </c>
      <c r="M731" s="47">
        <f>IF($D731=1,MIN(M780*$E731,M711+M$701*M721/SUM(M$713:M$721)),M792)</f>
        <v/>
      </c>
      <c r="N731" s="47">
        <f>IF($D731=1,MIN(N780*$E731,N711+N$701*N721/SUM(N$713:N$721)),N792)</f>
        <v/>
      </c>
      <c r="O731" s="47">
        <f>IF($D731=1,MIN(O780*$E731,O711+O$701*O721/SUM(O$713:O$721)),O792)</f>
        <v/>
      </c>
      <c r="P731" s="47">
        <f>IF($D731=1,MIN(P780*$E731,P711+P$701*P721/SUM(P$713:P$721)),P792)</f>
        <v/>
      </c>
      <c r="Q731" s="47">
        <f>IF($D731=1,MIN(Q780*$E731,Q711+Q$701*Q721/SUM(Q$713:Q$721)),Q792)</f>
        <v/>
      </c>
      <c r="R731" s="47">
        <f>IF($D731=1,MIN(R780*$E731,R711+R$701*R721/SUM(R$713:R$721)),R792)</f>
        <v/>
      </c>
      <c r="S731" s="47">
        <f>IF($D731=1,MIN(S780*$E731,S711+S$701*S721/SUM(S$713:S$721)),S792)</f>
        <v/>
      </c>
      <c r="T731" s="47">
        <f>IF($D731=1,MIN(T780*$E731,T711+T$701*T721/SUM(T$713:T$721)),T792)</f>
        <v/>
      </c>
      <c r="U731" s="47">
        <f>IF($D731=1,MIN(U780*$E731,U711+U$701*U721/SUM(U$713:U$721)),U792)</f>
        <v/>
      </c>
      <c r="V731" s="47">
        <f>IF($D731=1,MIN(V780*$E731,V711+V$701*V721/SUM(V$713:V$721)),V792)</f>
        <v/>
      </c>
      <c r="W731" s="47">
        <f>IF($D731=1,MIN(W780*$E731,W711+W$701*W721/SUM(W$713:W$721)),W792)</f>
        <v/>
      </c>
      <c r="X731" s="47">
        <f>IF($D731=1,MIN(X780*$E731,X711+X$701*X721/SUM(X$713:X$721)),X792)</f>
        <v/>
      </c>
      <c r="Y731" s="47">
        <f>IF($D731=1,MIN(Y780*$E731,Y711+Y$701*Y721/SUM(Y$713:Y$721)),Y792)</f>
        <v/>
      </c>
      <c r="Z731" s="47">
        <f>IF($D731=1,MIN(Z780*$E731,Z711+Z$701*Z721/SUM(Z$713:Z$721)),Z792)</f>
        <v/>
      </c>
      <c r="AA731" s="47">
        <f>IF($D731=1,MIN(AA780*$E731,AA711+AA$701*AA721/SUM(AA$713:AA$721)),AA792)</f>
        <v/>
      </c>
      <c r="AB731" s="47">
        <f>IF($D731=1,MIN(AB780*$E731,AB711+AB$701*AB721/SUM(AB$713:AB$721)),AB792)</f>
        <v/>
      </c>
      <c r="AC731" s="47">
        <f>IF($D731=1,MIN(AC780*$E731,AC711+AC$701*AC721/SUM(AC$713:AC$721)),AC792)</f>
        <v/>
      </c>
      <c r="AD731" s="47">
        <f>IF($D731=1,MIN(AD780*$E731,AD711+AD$701*AD721/SUM(AD$713:AD$721)),AD792)</f>
        <v/>
      </c>
      <c r="AE731" s="48">
        <f>DISPATCH($D731,AE792,AE780*$E731,AE711,AE$701,AE721,SUM(AE$713:AE$721))</f>
        <v/>
      </c>
      <c r="AG731" s="11">
        <f>CodePrefix&amp;$A731&amp;IF($C731="","","."&amp;$C731&amp;"."&amp;$B731)&amp;INDEX(VarEnd,MATCH($A731,VarKey,0))&amp;AG$5</f>
        <v/>
      </c>
      <c r="AH731" s="46">
        <f>$F731</f>
        <v/>
      </c>
      <c r="AI731" s="47">
        <f>IF($D731=1,MIN(AI780*$E731,AI711+AI$701*AI721/SUM(AI$713:AI$721)),AI792)</f>
        <v/>
      </c>
      <c r="AJ731" s="47">
        <f>IF($D731=1,MIN(AJ780*$E731,AJ711+AJ$701*AJ721/SUM(AJ$713:AJ$721)),AJ792)</f>
        <v/>
      </c>
      <c r="AK731" s="47">
        <f>IF($D731=1,MIN(AK780*$E731,AK711+AK$701*AK721/SUM(AK$713:AK$721)),AK792)</f>
        <v/>
      </c>
      <c r="AL731" s="47">
        <f>IF($D731=1,MIN(AL780*$E731,AL711+AL$701*AL721/SUM(AL$713:AL$721)),AL792)</f>
        <v/>
      </c>
      <c r="AM731" s="47">
        <f>IF($D731=1,MIN(AM780*$E731,AM711+AM$701*AM721/SUM(AM$713:AM$721)),AM792)</f>
        <v/>
      </c>
      <c r="AN731" s="47">
        <f>IF($D731=1,MIN(AN780*$E731,AN711+AN$701*AN721/SUM(AN$713:AN$721)),AN792)</f>
        <v/>
      </c>
      <c r="AO731" s="47">
        <f>IF($D731=1,MIN(AO780*$E731,AO711+AO$701*AO721/SUM(AO$713:AO$721)),AO792)</f>
        <v/>
      </c>
      <c r="AP731" s="47">
        <f>IF($D731=1,MIN(AP780*$E731,AP711+AP$701*AP721/SUM(AP$713:AP$721)),AP792)</f>
        <v/>
      </c>
      <c r="AQ731" s="47">
        <f>IF($D731=1,MIN(AQ780*$E731,AQ711+AQ$701*AQ721/SUM(AQ$713:AQ$721)),AQ792)</f>
        <v/>
      </c>
      <c r="AR731" s="47">
        <f>IF($D731=1,MIN(AR780*$E731,AR711+AR$701*AR721/SUM(AR$713:AR$721)),AR792)</f>
        <v/>
      </c>
      <c r="AS731" s="47">
        <f>IF($D731=1,MIN(AS780*$E731,AS711+AS$701*AS721/SUM(AS$713:AS$721)),AS792)</f>
        <v/>
      </c>
      <c r="AT731" s="47">
        <f>IF($D731=1,MIN(AT780*$E731,AT711+AT$701*AT721/SUM(AT$713:AT$721)),AT792)</f>
        <v/>
      </c>
      <c r="AU731" s="47">
        <f>IF($D731=1,MIN(AU780*$E731,AU711+AU$701*AU721/SUM(AU$713:AU$721)),AU792)</f>
        <v/>
      </c>
      <c r="AV731" s="47">
        <f>IF($D731=1,MIN(AV780*$E731,AV711+AV$701*AV721/SUM(AV$713:AV$721)),AV792)</f>
        <v/>
      </c>
      <c r="AW731" s="47">
        <f>IF($D731=1,MIN(AW780*$E731,AW711+AW$701*AW721/SUM(AW$713:AW$721)),AW792)</f>
        <v/>
      </c>
      <c r="AX731" s="47">
        <f>IF($D731=1,MIN(AX780*$E731,AX711+AX$701*AX721/SUM(AX$713:AX$721)),AX792)</f>
        <v/>
      </c>
      <c r="AY731" s="47">
        <f>IF($D731=1,MIN(AY780*$E731,AY711+AY$701*AY721/SUM(AY$713:AY$721)),AY792)</f>
        <v/>
      </c>
      <c r="AZ731" s="47">
        <f>IF($D731=1,MIN(AZ780*$E731,AZ711+AZ$701*AZ721/SUM(AZ$713:AZ$721)),AZ792)</f>
        <v/>
      </c>
      <c r="BA731" s="48">
        <f>DISPATCH($D731,BA792,BA780*$E731,BA711,BA$701,BA721,SUM(BA$713:BA$721))</f>
        <v/>
      </c>
    </row>
    <row r="732" hidden="1" outlineLevel="1"/>
    <row r="733" collapsed="1">
      <c r="A733" s="1" t="inlineStr">
        <is>
          <t>gtot</t>
        </is>
      </c>
      <c r="B733" s="1" t="inlineStr"/>
      <c r="C733" s="1" t="inlineStr"/>
      <c r="D733" s="39" t="n"/>
      <c r="E733" s="39" t="n"/>
      <c r="F733" s="39" t="n"/>
      <c r="G733" s="39" t="n"/>
      <c r="H733" s="1">
        <f>INDEX(VarLab,MATCH($A733,VarKey,0))&amp;INDEX(MemLab,MATCH($C733&amp;"|"&amp;$B733,MemKey,0))</f>
        <v/>
      </c>
      <c r="I733" s="1">
        <f>INDEX(VarUnit,MATCH($A733,VarKey,0))</f>
        <v/>
      </c>
      <c r="J733" s="1">
        <f>INDEX(VarSrc,MATCH($A733,VarKey,0))</f>
        <v/>
      </c>
      <c r="K733" s="17">
        <f>CodePrefix&amp;$A733&amp;IF($C733="","","."&amp;$C733&amp;"."&amp;$B733)&amp;INDEX(VarEnd,MATCH($A733,VarKey,0))&amp;K$5</f>
        <v/>
      </c>
      <c r="L733" s="58">
        <f>SUM(L$723:L$731)</f>
        <v/>
      </c>
      <c r="M733" s="59">
        <f>SUM(M$723:M$731)</f>
        <v/>
      </c>
      <c r="N733" s="59">
        <f>SUM(N$723:N$731)</f>
        <v/>
      </c>
      <c r="O733" s="59">
        <f>SUM(O$723:O$731)</f>
        <v/>
      </c>
      <c r="P733" s="59">
        <f>SUM(P$723:P$731)</f>
        <v/>
      </c>
      <c r="Q733" s="59">
        <f>SUM(Q$723:Q$731)</f>
        <v/>
      </c>
      <c r="R733" s="59">
        <f>SUM(R$723:R$731)</f>
        <v/>
      </c>
      <c r="S733" s="59">
        <f>SUM(S$723:S$731)</f>
        <v/>
      </c>
      <c r="T733" s="59">
        <f>SUM(T$723:T$731)</f>
        <v/>
      </c>
      <c r="U733" s="59">
        <f>SUM(U$723:U$731)</f>
        <v/>
      </c>
      <c r="V733" s="59">
        <f>SUM(V$723:V$731)</f>
        <v/>
      </c>
      <c r="W733" s="59">
        <f>SUM(W$723:W$731)</f>
        <v/>
      </c>
      <c r="X733" s="59">
        <f>SUM(X$723:X$731)</f>
        <v/>
      </c>
      <c r="Y733" s="59">
        <f>SUM(Y$723:Y$731)</f>
        <v/>
      </c>
      <c r="Z733" s="59">
        <f>SUM(Z$723:Z$731)</f>
        <v/>
      </c>
      <c r="AA733" s="59">
        <f>SUM(AA$723:AA$731)</f>
        <v/>
      </c>
      <c r="AB733" s="59">
        <f>SUM(AB$723:AB$731)</f>
        <v/>
      </c>
      <c r="AC733" s="59">
        <f>SUM(AC$723:AC$731)</f>
        <v/>
      </c>
      <c r="AD733" s="59">
        <f>SUM(AD$723:AD$731)</f>
        <v/>
      </c>
      <c r="AE733" s="59">
        <f>SUM(AE$723:AE$731)</f>
        <v/>
      </c>
      <c r="AG733" s="17">
        <f>CodePrefix&amp;$A733&amp;IF($C733="","","."&amp;$C733&amp;"."&amp;$B733)&amp;INDEX(VarEnd,MATCH($A733,VarKey,0))&amp;AG$5</f>
        <v/>
      </c>
      <c r="AH733" s="58">
        <f>SUM(AH$723:AH$731)</f>
        <v/>
      </c>
      <c r="AI733" s="59">
        <f>SUM(AI$723:AI$731)</f>
        <v/>
      </c>
      <c r="AJ733" s="59">
        <f>SUM(AJ$723:AJ$731)</f>
        <v/>
      </c>
      <c r="AK733" s="59">
        <f>SUM(AK$723:AK$731)</f>
        <v/>
      </c>
      <c r="AL733" s="59">
        <f>SUM(AL$723:AL$731)</f>
        <v/>
      </c>
      <c r="AM733" s="59">
        <f>SUM(AM$723:AM$731)</f>
        <v/>
      </c>
      <c r="AN733" s="59">
        <f>SUM(AN$723:AN$731)</f>
        <v/>
      </c>
      <c r="AO733" s="59">
        <f>SUM(AO$723:AO$731)</f>
        <v/>
      </c>
      <c r="AP733" s="59">
        <f>SUM(AP$723:AP$731)</f>
        <v/>
      </c>
      <c r="AQ733" s="59">
        <f>SUM(AQ$723:AQ$731)</f>
        <v/>
      </c>
      <c r="AR733" s="59">
        <f>SUM(AR$723:AR$731)</f>
        <v/>
      </c>
      <c r="AS733" s="59">
        <f>SUM(AS$723:AS$731)</f>
        <v/>
      </c>
      <c r="AT733" s="59">
        <f>SUM(AT$723:AT$731)</f>
        <v/>
      </c>
      <c r="AU733" s="59">
        <f>SUM(AU$723:AU$731)</f>
        <v/>
      </c>
      <c r="AV733" s="59">
        <f>SUM(AV$723:AV$731)</f>
        <v/>
      </c>
      <c r="AW733" s="59">
        <f>SUM(AW$723:AW$731)</f>
        <v/>
      </c>
      <c r="AX733" s="59">
        <f>SUM(AX$723:AX$731)</f>
        <v/>
      </c>
      <c r="AY733" s="59">
        <f>SUM(AY$723:AY$731)</f>
        <v/>
      </c>
      <c r="AZ733" s="59">
        <f>SUM(AZ$723:AZ$731)</f>
        <v/>
      </c>
      <c r="BA733" s="59">
        <f>SUM(BA$723:BA$731)</f>
        <v/>
      </c>
    </row>
    <row r="734" hidden="1" outlineLevel="1">
      <c r="A734" s="14" t="inlineStr">
        <is>
          <t>dgen</t>
        </is>
      </c>
      <c r="B734" s="14" t="inlineStr"/>
      <c r="C734" s="14" t="inlineStr"/>
      <c r="D734" s="39" t="n"/>
      <c r="E734" s="39" t="n"/>
      <c r="F734" s="39" t="n"/>
      <c r="G734" s="39" t="n"/>
      <c r="H734" s="14">
        <f>INDEX(VarLab,MATCH($A734,VarKey,0))&amp;INDEX(MemLab,MATCH($C734&amp;"|"&amp;$B734,MemKey,0))</f>
        <v/>
      </c>
      <c r="I734" s="14">
        <f>INDEX(VarUnit,MATCH($A734,VarKey,0))</f>
        <v/>
      </c>
      <c r="J734" s="14">
        <f>INDEX(VarSrc,MATCH($A734,VarKey,0))</f>
        <v/>
      </c>
      <c r="K734" s="11">
        <f>CodePrefix&amp;$A734&amp;IF($C734="","","."&amp;$C734&amp;"."&amp;$B734)&amp;INDEX(VarEnd,MATCH($A734,VarKey,0))&amp;K$5</f>
        <v/>
      </c>
      <c r="L734" s="46">
        <f>0</f>
        <v/>
      </c>
      <c r="M734" s="47">
        <f>MAX(0,M$733-L$733)</f>
        <v/>
      </c>
      <c r="N734" s="47">
        <f>MAX(0,N$733-M$733)</f>
        <v/>
      </c>
      <c r="O734" s="47">
        <f>MAX(0,O$733-N$733)</f>
        <v/>
      </c>
      <c r="P734" s="47">
        <f>MAX(0,P$733-O$733)</f>
        <v/>
      </c>
      <c r="Q734" s="47">
        <f>MAX(0,Q$733-P$733)</f>
        <v/>
      </c>
      <c r="R734" s="47">
        <f>MAX(0,R$733-Q$733)</f>
        <v/>
      </c>
      <c r="S734" s="47">
        <f>MAX(0,S$733-R$733)</f>
        <v/>
      </c>
      <c r="T734" s="47">
        <f>MAX(0,T$733-S$733)</f>
        <v/>
      </c>
      <c r="U734" s="47">
        <f>MAX(0,U$733-T$733)</f>
        <v/>
      </c>
      <c r="V734" s="47">
        <f>MAX(0,V$733-U$733)</f>
        <v/>
      </c>
      <c r="W734" s="47">
        <f>MAX(0,W$733-V$733)</f>
        <v/>
      </c>
      <c r="X734" s="47">
        <f>MAX(0,X$733-W$733)</f>
        <v/>
      </c>
      <c r="Y734" s="47">
        <f>MAX(0,Y$733-X$733)</f>
        <v/>
      </c>
      <c r="Z734" s="47">
        <f>MAX(0,Z$733-Y$733)</f>
        <v/>
      </c>
      <c r="AA734" s="47">
        <f>MAX(0,AA$733-Z$733)</f>
        <v/>
      </c>
      <c r="AB734" s="47">
        <f>MAX(0,AB$733-AA$733)</f>
        <v/>
      </c>
      <c r="AC734" s="47">
        <f>MAX(0,AC$733-AB$733)</f>
        <v/>
      </c>
      <c r="AD734" s="47">
        <f>MAX(0,AD$733-AC$733)</f>
        <v/>
      </c>
      <c r="AE734" s="48">
        <f>INCREASE(AE$733,AD$733)</f>
        <v/>
      </c>
      <c r="AG734" s="11">
        <f>CodePrefix&amp;$A734&amp;IF($C734="","","."&amp;$C734&amp;"."&amp;$B734)&amp;INDEX(VarEnd,MATCH($A734,VarKey,0))&amp;AG$5</f>
        <v/>
      </c>
      <c r="AH734" s="46">
        <f>0</f>
        <v/>
      </c>
      <c r="AI734" s="47">
        <f>MAX(0,AI$733-AH$733)</f>
        <v/>
      </c>
      <c r="AJ734" s="47">
        <f>MAX(0,AJ$733-AI$733)</f>
        <v/>
      </c>
      <c r="AK734" s="47">
        <f>MAX(0,AK$733-AJ$733)</f>
        <v/>
      </c>
      <c r="AL734" s="47">
        <f>MAX(0,AL$733-AK$733)</f>
        <v/>
      </c>
      <c r="AM734" s="47">
        <f>MAX(0,AM$733-AL$733)</f>
        <v/>
      </c>
      <c r="AN734" s="47">
        <f>MAX(0,AN$733-AM$733)</f>
        <v/>
      </c>
      <c r="AO734" s="47">
        <f>MAX(0,AO$733-AN$733)</f>
        <v/>
      </c>
      <c r="AP734" s="47">
        <f>MAX(0,AP$733-AO$733)</f>
        <v/>
      </c>
      <c r="AQ734" s="47">
        <f>MAX(0,AQ$733-AP$733)</f>
        <v/>
      </c>
      <c r="AR734" s="47">
        <f>MAX(0,AR$733-AQ$733)</f>
        <v/>
      </c>
      <c r="AS734" s="47">
        <f>MAX(0,AS$733-AR$733)</f>
        <v/>
      </c>
      <c r="AT734" s="47">
        <f>MAX(0,AT$733-AS$733)</f>
        <v/>
      </c>
      <c r="AU734" s="47">
        <f>MAX(0,AU$733-AT$733)</f>
        <v/>
      </c>
      <c r="AV734" s="47">
        <f>MAX(0,AV$733-AU$733)</f>
        <v/>
      </c>
      <c r="AW734" s="47">
        <f>MAX(0,AW$733-AV$733)</f>
        <v/>
      </c>
      <c r="AX734" s="47">
        <f>MAX(0,AX$733-AW$733)</f>
        <v/>
      </c>
      <c r="AY734" s="47">
        <f>MAX(0,AY$733-AX$733)</f>
        <v/>
      </c>
      <c r="AZ734" s="47">
        <f>MAX(0,AZ$733-AY$733)</f>
        <v/>
      </c>
      <c r="BA734" s="48">
        <f>INCREASE(BA$733,AZ$733)</f>
        <v/>
      </c>
    </row>
    <row r="735" hidden="1" outlineLevel="1"/>
    <row r="736" hidden="1" outlineLevel="1">
      <c r="A736" s="14" t="inlineStr">
        <is>
          <t>shr</t>
        </is>
      </c>
      <c r="B736" s="14" t="inlineStr">
        <is>
          <t>coa</t>
        </is>
      </c>
      <c r="C736" s="14" t="inlineStr">
        <is>
          <t>pow</t>
        </is>
      </c>
      <c r="D736" s="45">
        <f>INDEX(Inputs_power!$P$5:$P$13,MATCH($B736,Inputs_power!$A$5:$A$13,0))</f>
        <v/>
      </c>
      <c r="E736" s="39" t="n"/>
      <c r="F736" s="39" t="n"/>
      <c r="G736" s="39" t="n"/>
      <c r="H736" s="14">
        <f>INDEX(VarLab,MATCH($A736,VarKey,0))&amp;INDEX(MemLab,MATCH($C736&amp;"|"&amp;$B736,MemKey,0))</f>
        <v/>
      </c>
      <c r="I736" s="14">
        <f>INDEX(VarUnit,MATCH($A736,VarKey,0))</f>
        <v/>
      </c>
      <c r="J736" s="14">
        <f>INDEX(VarSrc,MATCH($A736,VarKey,0))</f>
        <v/>
      </c>
      <c r="K736" s="11">
        <f>CodePrefix&amp;$A736&amp;IF($C736="","","."&amp;$C736&amp;"."&amp;$B736)&amp;INDEX(VarEnd,MATCH($A736,VarKey,0))&amp;K$5</f>
        <v/>
      </c>
      <c r="L736" s="12">
        <f>IF(L$733=0,0,L723/L$733)</f>
        <v/>
      </c>
      <c r="M736" s="13">
        <f>IF(M$733=0,0,M723/M$733)</f>
        <v/>
      </c>
      <c r="N736" s="13">
        <f>IF(N$733=0,0,N723/N$733)</f>
        <v/>
      </c>
      <c r="O736" s="13">
        <f>IF(O$733=0,0,O723/O$733)</f>
        <v/>
      </c>
      <c r="P736" s="13">
        <f>IF(P$733=0,0,P723/P$733)</f>
        <v/>
      </c>
      <c r="Q736" s="13">
        <f>IF(Q$733=0,0,Q723/Q$733)</f>
        <v/>
      </c>
      <c r="R736" s="13">
        <f>IF(R$733=0,0,R723/R$733)</f>
        <v/>
      </c>
      <c r="S736" s="13">
        <f>IF(S$733=0,0,S723/S$733)</f>
        <v/>
      </c>
      <c r="T736" s="13">
        <f>IF(T$733=0,0,T723/T$733)</f>
        <v/>
      </c>
      <c r="U736" s="13">
        <f>IF(U$733=0,0,U723/U$733)</f>
        <v/>
      </c>
      <c r="V736" s="13">
        <f>IF(V$733=0,0,V723/V$733)</f>
        <v/>
      </c>
      <c r="W736" s="13">
        <f>IF(W$733=0,0,W723/W$733)</f>
        <v/>
      </c>
      <c r="X736" s="13">
        <f>IF(X$733=0,0,X723/X$733)</f>
        <v/>
      </c>
      <c r="Y736" s="13">
        <f>IF(Y$733=0,0,Y723/Y$733)</f>
        <v/>
      </c>
      <c r="Z736" s="13">
        <f>IF(Z$733=0,0,Z723/Z$733)</f>
        <v/>
      </c>
      <c r="AA736" s="13">
        <f>IF(AA$733=0,0,AA723/AA$733)</f>
        <v/>
      </c>
      <c r="AB736" s="13">
        <f>IF(AB$733=0,0,AB723/AB$733)</f>
        <v/>
      </c>
      <c r="AC736" s="13">
        <f>IF(AC$733=0,0,AC723/AC$733)</f>
        <v/>
      </c>
      <c r="AD736" s="13">
        <f>IF(AD$733=0,0,AD723/AD$733)</f>
        <v/>
      </c>
      <c r="AE736" s="60">
        <f>SHARE(AE723,AE$733)</f>
        <v/>
      </c>
      <c r="AG736" s="11">
        <f>CodePrefix&amp;$A736&amp;IF($C736="","","."&amp;$C736&amp;"."&amp;$B736)&amp;INDEX(VarEnd,MATCH($A736,VarKey,0))&amp;AG$5</f>
        <v/>
      </c>
      <c r="AH736" s="12">
        <f>IF(AH$733=0,0,AH723/AH$733)</f>
        <v/>
      </c>
      <c r="AI736" s="13">
        <f>IF(AI$733=0,0,AI723/AI$733)</f>
        <v/>
      </c>
      <c r="AJ736" s="13">
        <f>IF(AJ$733=0,0,AJ723/AJ$733)</f>
        <v/>
      </c>
      <c r="AK736" s="13">
        <f>IF(AK$733=0,0,AK723/AK$733)</f>
        <v/>
      </c>
      <c r="AL736" s="13">
        <f>IF(AL$733=0,0,AL723/AL$733)</f>
        <v/>
      </c>
      <c r="AM736" s="13">
        <f>IF(AM$733=0,0,AM723/AM$733)</f>
        <v/>
      </c>
      <c r="AN736" s="13">
        <f>IF(AN$733=0,0,AN723/AN$733)</f>
        <v/>
      </c>
      <c r="AO736" s="13">
        <f>IF(AO$733=0,0,AO723/AO$733)</f>
        <v/>
      </c>
      <c r="AP736" s="13">
        <f>IF(AP$733=0,0,AP723/AP$733)</f>
        <v/>
      </c>
      <c r="AQ736" s="13">
        <f>IF(AQ$733=0,0,AQ723/AQ$733)</f>
        <v/>
      </c>
      <c r="AR736" s="13">
        <f>IF(AR$733=0,0,AR723/AR$733)</f>
        <v/>
      </c>
      <c r="AS736" s="13">
        <f>IF(AS$733=0,0,AS723/AS$733)</f>
        <v/>
      </c>
      <c r="AT736" s="13">
        <f>IF(AT$733=0,0,AT723/AT$733)</f>
        <v/>
      </c>
      <c r="AU736" s="13">
        <f>IF(AU$733=0,0,AU723/AU$733)</f>
        <v/>
      </c>
      <c r="AV736" s="13">
        <f>IF(AV$733=0,0,AV723/AV$733)</f>
        <v/>
      </c>
      <c r="AW736" s="13">
        <f>IF(AW$733=0,0,AW723/AW$733)</f>
        <v/>
      </c>
      <c r="AX736" s="13">
        <f>IF(AX$733=0,0,AX723/AX$733)</f>
        <v/>
      </c>
      <c r="AY736" s="13">
        <f>IF(AY$733=0,0,AY723/AY$733)</f>
        <v/>
      </c>
      <c r="AZ736" s="13">
        <f>IF(AZ$733=0,0,AZ723/AZ$733)</f>
        <v/>
      </c>
      <c r="BA736" s="60">
        <f>SHARE(BA723,BA$733)</f>
        <v/>
      </c>
    </row>
    <row r="737" hidden="1" outlineLevel="1">
      <c r="A737" s="14" t="inlineStr">
        <is>
          <t>shr</t>
        </is>
      </c>
      <c r="B737" s="14" t="inlineStr">
        <is>
          <t>nga</t>
        </is>
      </c>
      <c r="C737" s="14" t="inlineStr">
        <is>
          <t>pow</t>
        </is>
      </c>
      <c r="D737" s="45">
        <f>INDEX(Inputs_power!$P$5:$P$13,MATCH($B737,Inputs_power!$A$5:$A$13,0))</f>
        <v/>
      </c>
      <c r="E737" s="39" t="n"/>
      <c r="F737" s="39" t="n"/>
      <c r="G737" s="39" t="n"/>
      <c r="H737" s="14">
        <f>INDEX(VarLab,MATCH($A737,VarKey,0))&amp;INDEX(MemLab,MATCH($C737&amp;"|"&amp;$B737,MemKey,0))</f>
        <v/>
      </c>
      <c r="I737" s="14">
        <f>INDEX(VarUnit,MATCH($A737,VarKey,0))</f>
        <v/>
      </c>
      <c r="J737" s="14">
        <f>INDEX(VarSrc,MATCH($A737,VarKey,0))</f>
        <v/>
      </c>
      <c r="K737" s="11">
        <f>CodePrefix&amp;$A737&amp;IF($C737="","","."&amp;$C737&amp;"."&amp;$B737)&amp;INDEX(VarEnd,MATCH($A737,VarKey,0))&amp;K$5</f>
        <v/>
      </c>
      <c r="L737" s="12">
        <f>IF(L$733=0,0,L724/L$733)</f>
        <v/>
      </c>
      <c r="M737" s="13">
        <f>IF(M$733=0,0,M724/M$733)</f>
        <v/>
      </c>
      <c r="N737" s="13">
        <f>IF(N$733=0,0,N724/N$733)</f>
        <v/>
      </c>
      <c r="O737" s="13">
        <f>IF(O$733=0,0,O724/O$733)</f>
        <v/>
      </c>
      <c r="P737" s="13">
        <f>IF(P$733=0,0,P724/P$733)</f>
        <v/>
      </c>
      <c r="Q737" s="13">
        <f>IF(Q$733=0,0,Q724/Q$733)</f>
        <v/>
      </c>
      <c r="R737" s="13">
        <f>IF(R$733=0,0,R724/R$733)</f>
        <v/>
      </c>
      <c r="S737" s="13">
        <f>IF(S$733=0,0,S724/S$733)</f>
        <v/>
      </c>
      <c r="T737" s="13">
        <f>IF(T$733=0,0,T724/T$733)</f>
        <v/>
      </c>
      <c r="U737" s="13">
        <f>IF(U$733=0,0,U724/U$733)</f>
        <v/>
      </c>
      <c r="V737" s="13">
        <f>IF(V$733=0,0,V724/V$733)</f>
        <v/>
      </c>
      <c r="W737" s="13">
        <f>IF(W$733=0,0,W724/W$733)</f>
        <v/>
      </c>
      <c r="X737" s="13">
        <f>IF(X$733=0,0,X724/X$733)</f>
        <v/>
      </c>
      <c r="Y737" s="13">
        <f>IF(Y$733=0,0,Y724/Y$733)</f>
        <v/>
      </c>
      <c r="Z737" s="13">
        <f>IF(Z$733=0,0,Z724/Z$733)</f>
        <v/>
      </c>
      <c r="AA737" s="13">
        <f>IF(AA$733=0,0,AA724/AA$733)</f>
        <v/>
      </c>
      <c r="AB737" s="13">
        <f>IF(AB$733=0,0,AB724/AB$733)</f>
        <v/>
      </c>
      <c r="AC737" s="13">
        <f>IF(AC$733=0,0,AC724/AC$733)</f>
        <v/>
      </c>
      <c r="AD737" s="13">
        <f>IF(AD$733=0,0,AD724/AD$733)</f>
        <v/>
      </c>
      <c r="AE737" s="60">
        <f>SHARE(AE724,AE$733)</f>
        <v/>
      </c>
      <c r="AG737" s="11">
        <f>CodePrefix&amp;$A737&amp;IF($C737="","","."&amp;$C737&amp;"."&amp;$B737)&amp;INDEX(VarEnd,MATCH($A737,VarKey,0))&amp;AG$5</f>
        <v/>
      </c>
      <c r="AH737" s="12">
        <f>IF(AH$733=0,0,AH724/AH$733)</f>
        <v/>
      </c>
      <c r="AI737" s="13">
        <f>IF(AI$733=0,0,AI724/AI$733)</f>
        <v/>
      </c>
      <c r="AJ737" s="13">
        <f>IF(AJ$733=0,0,AJ724/AJ$733)</f>
        <v/>
      </c>
      <c r="AK737" s="13">
        <f>IF(AK$733=0,0,AK724/AK$733)</f>
        <v/>
      </c>
      <c r="AL737" s="13">
        <f>IF(AL$733=0,0,AL724/AL$733)</f>
        <v/>
      </c>
      <c r="AM737" s="13">
        <f>IF(AM$733=0,0,AM724/AM$733)</f>
        <v/>
      </c>
      <c r="AN737" s="13">
        <f>IF(AN$733=0,0,AN724/AN$733)</f>
        <v/>
      </c>
      <c r="AO737" s="13">
        <f>IF(AO$733=0,0,AO724/AO$733)</f>
        <v/>
      </c>
      <c r="AP737" s="13">
        <f>IF(AP$733=0,0,AP724/AP$733)</f>
        <v/>
      </c>
      <c r="AQ737" s="13">
        <f>IF(AQ$733=0,0,AQ724/AQ$733)</f>
        <v/>
      </c>
      <c r="AR737" s="13">
        <f>IF(AR$733=0,0,AR724/AR$733)</f>
        <v/>
      </c>
      <c r="AS737" s="13">
        <f>IF(AS$733=0,0,AS724/AS$733)</f>
        <v/>
      </c>
      <c r="AT737" s="13">
        <f>IF(AT$733=0,0,AT724/AT$733)</f>
        <v/>
      </c>
      <c r="AU737" s="13">
        <f>IF(AU$733=0,0,AU724/AU$733)</f>
        <v/>
      </c>
      <c r="AV737" s="13">
        <f>IF(AV$733=0,0,AV724/AV$733)</f>
        <v/>
      </c>
      <c r="AW737" s="13">
        <f>IF(AW$733=0,0,AW724/AW$733)</f>
        <v/>
      </c>
      <c r="AX737" s="13">
        <f>IF(AX$733=0,0,AX724/AX$733)</f>
        <v/>
      </c>
      <c r="AY737" s="13">
        <f>IF(AY$733=0,0,AY724/AY$733)</f>
        <v/>
      </c>
      <c r="AZ737" s="13">
        <f>IF(AZ$733=0,0,AZ724/AZ$733)</f>
        <v/>
      </c>
      <c r="BA737" s="60">
        <f>SHARE(BA724,BA$733)</f>
        <v/>
      </c>
    </row>
    <row r="738" hidden="1" outlineLevel="1">
      <c r="A738" s="14" t="inlineStr">
        <is>
          <t>shr</t>
        </is>
      </c>
      <c r="B738" s="14" t="inlineStr">
        <is>
          <t>oop</t>
        </is>
      </c>
      <c r="C738" s="14" t="inlineStr">
        <is>
          <t>pow</t>
        </is>
      </c>
      <c r="D738" s="45">
        <f>INDEX(Inputs_power!$P$5:$P$13,MATCH($B738,Inputs_power!$A$5:$A$13,0))</f>
        <v/>
      </c>
      <c r="E738" s="39" t="n"/>
      <c r="F738" s="39" t="n"/>
      <c r="G738" s="39" t="n"/>
      <c r="H738" s="14">
        <f>INDEX(VarLab,MATCH($A738,VarKey,0))&amp;INDEX(MemLab,MATCH($C738&amp;"|"&amp;$B738,MemKey,0))</f>
        <v/>
      </c>
      <c r="I738" s="14">
        <f>INDEX(VarUnit,MATCH($A738,VarKey,0))</f>
        <v/>
      </c>
      <c r="J738" s="14">
        <f>INDEX(VarSrc,MATCH($A738,VarKey,0))</f>
        <v/>
      </c>
      <c r="K738" s="11">
        <f>CodePrefix&amp;$A738&amp;IF($C738="","","."&amp;$C738&amp;"."&amp;$B738)&amp;INDEX(VarEnd,MATCH($A738,VarKey,0))&amp;K$5</f>
        <v/>
      </c>
      <c r="L738" s="12">
        <f>IF(L$733=0,0,L725/L$733)</f>
        <v/>
      </c>
      <c r="M738" s="13">
        <f>IF(M$733=0,0,M725/M$733)</f>
        <v/>
      </c>
      <c r="N738" s="13">
        <f>IF(N$733=0,0,N725/N$733)</f>
        <v/>
      </c>
      <c r="O738" s="13">
        <f>IF(O$733=0,0,O725/O$733)</f>
        <v/>
      </c>
      <c r="P738" s="13">
        <f>IF(P$733=0,0,P725/P$733)</f>
        <v/>
      </c>
      <c r="Q738" s="13">
        <f>IF(Q$733=0,0,Q725/Q$733)</f>
        <v/>
      </c>
      <c r="R738" s="13">
        <f>IF(R$733=0,0,R725/R$733)</f>
        <v/>
      </c>
      <c r="S738" s="13">
        <f>IF(S$733=0,0,S725/S$733)</f>
        <v/>
      </c>
      <c r="T738" s="13">
        <f>IF(T$733=0,0,T725/T$733)</f>
        <v/>
      </c>
      <c r="U738" s="13">
        <f>IF(U$733=0,0,U725/U$733)</f>
        <v/>
      </c>
      <c r="V738" s="13">
        <f>IF(V$733=0,0,V725/V$733)</f>
        <v/>
      </c>
      <c r="W738" s="13">
        <f>IF(W$733=0,0,W725/W$733)</f>
        <v/>
      </c>
      <c r="X738" s="13">
        <f>IF(X$733=0,0,X725/X$733)</f>
        <v/>
      </c>
      <c r="Y738" s="13">
        <f>IF(Y$733=0,0,Y725/Y$733)</f>
        <v/>
      </c>
      <c r="Z738" s="13">
        <f>IF(Z$733=0,0,Z725/Z$733)</f>
        <v/>
      </c>
      <c r="AA738" s="13">
        <f>IF(AA$733=0,0,AA725/AA$733)</f>
        <v/>
      </c>
      <c r="AB738" s="13">
        <f>IF(AB$733=0,0,AB725/AB$733)</f>
        <v/>
      </c>
      <c r="AC738" s="13">
        <f>IF(AC$733=0,0,AC725/AC$733)</f>
        <v/>
      </c>
      <c r="AD738" s="13">
        <f>IF(AD$733=0,0,AD725/AD$733)</f>
        <v/>
      </c>
      <c r="AE738" s="60">
        <f>SHARE(AE725,AE$733)</f>
        <v/>
      </c>
      <c r="AG738" s="11">
        <f>CodePrefix&amp;$A738&amp;IF($C738="","","."&amp;$C738&amp;"."&amp;$B738)&amp;INDEX(VarEnd,MATCH($A738,VarKey,0))&amp;AG$5</f>
        <v/>
      </c>
      <c r="AH738" s="12">
        <f>IF(AH$733=0,0,AH725/AH$733)</f>
        <v/>
      </c>
      <c r="AI738" s="13">
        <f>IF(AI$733=0,0,AI725/AI$733)</f>
        <v/>
      </c>
      <c r="AJ738" s="13">
        <f>IF(AJ$733=0,0,AJ725/AJ$733)</f>
        <v/>
      </c>
      <c r="AK738" s="13">
        <f>IF(AK$733=0,0,AK725/AK$733)</f>
        <v/>
      </c>
      <c r="AL738" s="13">
        <f>IF(AL$733=0,0,AL725/AL$733)</f>
        <v/>
      </c>
      <c r="AM738" s="13">
        <f>IF(AM$733=0,0,AM725/AM$733)</f>
        <v/>
      </c>
      <c r="AN738" s="13">
        <f>IF(AN$733=0,0,AN725/AN$733)</f>
        <v/>
      </c>
      <c r="AO738" s="13">
        <f>IF(AO$733=0,0,AO725/AO$733)</f>
        <v/>
      </c>
      <c r="AP738" s="13">
        <f>IF(AP$733=0,0,AP725/AP$733)</f>
        <v/>
      </c>
      <c r="AQ738" s="13">
        <f>IF(AQ$733=0,0,AQ725/AQ$733)</f>
        <v/>
      </c>
      <c r="AR738" s="13">
        <f>IF(AR$733=0,0,AR725/AR$733)</f>
        <v/>
      </c>
      <c r="AS738" s="13">
        <f>IF(AS$733=0,0,AS725/AS$733)</f>
        <v/>
      </c>
      <c r="AT738" s="13">
        <f>IF(AT$733=0,0,AT725/AT$733)</f>
        <v/>
      </c>
      <c r="AU738" s="13">
        <f>IF(AU$733=0,0,AU725/AU$733)</f>
        <v/>
      </c>
      <c r="AV738" s="13">
        <f>IF(AV$733=0,0,AV725/AV$733)</f>
        <v/>
      </c>
      <c r="AW738" s="13">
        <f>IF(AW$733=0,0,AW725/AW$733)</f>
        <v/>
      </c>
      <c r="AX738" s="13">
        <f>IF(AX$733=0,0,AX725/AX$733)</f>
        <v/>
      </c>
      <c r="AY738" s="13">
        <f>IF(AY$733=0,0,AY725/AY$733)</f>
        <v/>
      </c>
      <c r="AZ738" s="13">
        <f>IF(AZ$733=0,0,AZ725/AZ$733)</f>
        <v/>
      </c>
      <c r="BA738" s="60">
        <f>SHARE(BA725,BA$733)</f>
        <v/>
      </c>
    </row>
    <row r="739" hidden="1" outlineLevel="1">
      <c r="A739" s="14" t="inlineStr">
        <is>
          <t>shr</t>
        </is>
      </c>
      <c r="B739" s="14" t="inlineStr">
        <is>
          <t>nuc</t>
        </is>
      </c>
      <c r="C739" s="14" t="inlineStr">
        <is>
          <t>pow</t>
        </is>
      </c>
      <c r="D739" s="45">
        <f>INDEX(Inputs_power!$P$5:$P$13,MATCH($B739,Inputs_power!$A$5:$A$13,0))</f>
        <v/>
      </c>
      <c r="E739" s="39" t="n"/>
      <c r="F739" s="39" t="n"/>
      <c r="G739" s="39" t="n"/>
      <c r="H739" s="14">
        <f>INDEX(VarLab,MATCH($A739,VarKey,0))&amp;INDEX(MemLab,MATCH($C739&amp;"|"&amp;$B739,MemKey,0))</f>
        <v/>
      </c>
      <c r="I739" s="14">
        <f>INDEX(VarUnit,MATCH($A739,VarKey,0))</f>
        <v/>
      </c>
      <c r="J739" s="14">
        <f>INDEX(VarSrc,MATCH($A739,VarKey,0))</f>
        <v/>
      </c>
      <c r="K739" s="11">
        <f>CodePrefix&amp;$A739&amp;IF($C739="","","."&amp;$C739&amp;"."&amp;$B739)&amp;INDEX(VarEnd,MATCH($A739,VarKey,0))&amp;K$5</f>
        <v/>
      </c>
      <c r="L739" s="12">
        <f>IF(L$733=0,0,L726/L$733)</f>
        <v/>
      </c>
      <c r="M739" s="13">
        <f>IF(M$733=0,0,M726/M$733)</f>
        <v/>
      </c>
      <c r="N739" s="13">
        <f>IF(N$733=0,0,N726/N$733)</f>
        <v/>
      </c>
      <c r="O739" s="13">
        <f>IF(O$733=0,0,O726/O$733)</f>
        <v/>
      </c>
      <c r="P739" s="13">
        <f>IF(P$733=0,0,P726/P$733)</f>
        <v/>
      </c>
      <c r="Q739" s="13">
        <f>IF(Q$733=0,0,Q726/Q$733)</f>
        <v/>
      </c>
      <c r="R739" s="13">
        <f>IF(R$733=0,0,R726/R$733)</f>
        <v/>
      </c>
      <c r="S739" s="13">
        <f>IF(S$733=0,0,S726/S$733)</f>
        <v/>
      </c>
      <c r="T739" s="13">
        <f>IF(T$733=0,0,T726/T$733)</f>
        <v/>
      </c>
      <c r="U739" s="13">
        <f>IF(U$733=0,0,U726/U$733)</f>
        <v/>
      </c>
      <c r="V739" s="13">
        <f>IF(V$733=0,0,V726/V$733)</f>
        <v/>
      </c>
      <c r="W739" s="13">
        <f>IF(W$733=0,0,W726/W$733)</f>
        <v/>
      </c>
      <c r="X739" s="13">
        <f>IF(X$733=0,0,X726/X$733)</f>
        <v/>
      </c>
      <c r="Y739" s="13">
        <f>IF(Y$733=0,0,Y726/Y$733)</f>
        <v/>
      </c>
      <c r="Z739" s="13">
        <f>IF(Z$733=0,0,Z726/Z$733)</f>
        <v/>
      </c>
      <c r="AA739" s="13">
        <f>IF(AA$733=0,0,AA726/AA$733)</f>
        <v/>
      </c>
      <c r="AB739" s="13">
        <f>IF(AB$733=0,0,AB726/AB$733)</f>
        <v/>
      </c>
      <c r="AC739" s="13">
        <f>IF(AC$733=0,0,AC726/AC$733)</f>
        <v/>
      </c>
      <c r="AD739" s="13">
        <f>IF(AD$733=0,0,AD726/AD$733)</f>
        <v/>
      </c>
      <c r="AE739" s="60">
        <f>SHARE(AE726,AE$733)</f>
        <v/>
      </c>
      <c r="AG739" s="11">
        <f>CodePrefix&amp;$A739&amp;IF($C739="","","."&amp;$C739&amp;"."&amp;$B739)&amp;INDEX(VarEnd,MATCH($A739,VarKey,0))&amp;AG$5</f>
        <v/>
      </c>
      <c r="AH739" s="12">
        <f>IF(AH$733=0,0,AH726/AH$733)</f>
        <v/>
      </c>
      <c r="AI739" s="13">
        <f>IF(AI$733=0,0,AI726/AI$733)</f>
        <v/>
      </c>
      <c r="AJ739" s="13">
        <f>IF(AJ$733=0,0,AJ726/AJ$733)</f>
        <v/>
      </c>
      <c r="AK739" s="13">
        <f>IF(AK$733=0,0,AK726/AK$733)</f>
        <v/>
      </c>
      <c r="AL739" s="13">
        <f>IF(AL$733=0,0,AL726/AL$733)</f>
        <v/>
      </c>
      <c r="AM739" s="13">
        <f>IF(AM$733=0,0,AM726/AM$733)</f>
        <v/>
      </c>
      <c r="AN739" s="13">
        <f>IF(AN$733=0,0,AN726/AN$733)</f>
        <v/>
      </c>
      <c r="AO739" s="13">
        <f>IF(AO$733=0,0,AO726/AO$733)</f>
        <v/>
      </c>
      <c r="AP739" s="13">
        <f>IF(AP$733=0,0,AP726/AP$733)</f>
        <v/>
      </c>
      <c r="AQ739" s="13">
        <f>IF(AQ$733=0,0,AQ726/AQ$733)</f>
        <v/>
      </c>
      <c r="AR739" s="13">
        <f>IF(AR$733=0,0,AR726/AR$733)</f>
        <v/>
      </c>
      <c r="AS739" s="13">
        <f>IF(AS$733=0,0,AS726/AS$733)</f>
        <v/>
      </c>
      <c r="AT739" s="13">
        <f>IF(AT$733=0,0,AT726/AT$733)</f>
        <v/>
      </c>
      <c r="AU739" s="13">
        <f>IF(AU$733=0,0,AU726/AU$733)</f>
        <v/>
      </c>
      <c r="AV739" s="13">
        <f>IF(AV$733=0,0,AV726/AV$733)</f>
        <v/>
      </c>
      <c r="AW739" s="13">
        <f>IF(AW$733=0,0,AW726/AW$733)</f>
        <v/>
      </c>
      <c r="AX739" s="13">
        <f>IF(AX$733=0,0,AX726/AX$733)</f>
        <v/>
      </c>
      <c r="AY739" s="13">
        <f>IF(AY$733=0,0,AY726/AY$733)</f>
        <v/>
      </c>
      <c r="AZ739" s="13">
        <f>IF(AZ$733=0,0,AZ726/AZ$733)</f>
        <v/>
      </c>
      <c r="BA739" s="60">
        <f>SHARE(BA726,BA$733)</f>
        <v/>
      </c>
    </row>
    <row r="740" hidden="1" outlineLevel="1">
      <c r="A740" s="14" t="inlineStr">
        <is>
          <t>shr</t>
        </is>
      </c>
      <c r="B740" s="14" t="inlineStr">
        <is>
          <t>wnd</t>
        </is>
      </c>
      <c r="C740" s="14" t="inlineStr">
        <is>
          <t>pow</t>
        </is>
      </c>
      <c r="D740" s="45">
        <f>INDEX(Inputs_power!$P$5:$P$13,MATCH($B740,Inputs_power!$A$5:$A$13,0))</f>
        <v/>
      </c>
      <c r="E740" s="39" t="n"/>
      <c r="F740" s="39" t="n"/>
      <c r="G740" s="39" t="n"/>
      <c r="H740" s="14">
        <f>INDEX(VarLab,MATCH($A740,VarKey,0))&amp;INDEX(MemLab,MATCH($C740&amp;"|"&amp;$B740,MemKey,0))</f>
        <v/>
      </c>
      <c r="I740" s="14">
        <f>INDEX(VarUnit,MATCH($A740,VarKey,0))</f>
        <v/>
      </c>
      <c r="J740" s="14">
        <f>INDEX(VarSrc,MATCH($A740,VarKey,0))</f>
        <v/>
      </c>
      <c r="K740" s="11">
        <f>CodePrefix&amp;$A740&amp;IF($C740="","","."&amp;$C740&amp;"."&amp;$B740)&amp;INDEX(VarEnd,MATCH($A740,VarKey,0))&amp;K$5</f>
        <v/>
      </c>
      <c r="L740" s="12">
        <f>IF(L$733=0,0,L727/L$733)</f>
        <v/>
      </c>
      <c r="M740" s="13">
        <f>IF(M$733=0,0,M727/M$733)</f>
        <v/>
      </c>
      <c r="N740" s="13">
        <f>IF(N$733=0,0,N727/N$733)</f>
        <v/>
      </c>
      <c r="O740" s="13">
        <f>IF(O$733=0,0,O727/O$733)</f>
        <v/>
      </c>
      <c r="P740" s="13">
        <f>IF(P$733=0,0,P727/P$733)</f>
        <v/>
      </c>
      <c r="Q740" s="13">
        <f>IF(Q$733=0,0,Q727/Q$733)</f>
        <v/>
      </c>
      <c r="R740" s="13">
        <f>IF(R$733=0,0,R727/R$733)</f>
        <v/>
      </c>
      <c r="S740" s="13">
        <f>IF(S$733=0,0,S727/S$733)</f>
        <v/>
      </c>
      <c r="T740" s="13">
        <f>IF(T$733=0,0,T727/T$733)</f>
        <v/>
      </c>
      <c r="U740" s="13">
        <f>IF(U$733=0,0,U727/U$733)</f>
        <v/>
      </c>
      <c r="V740" s="13">
        <f>IF(V$733=0,0,V727/V$733)</f>
        <v/>
      </c>
      <c r="W740" s="13">
        <f>IF(W$733=0,0,W727/W$733)</f>
        <v/>
      </c>
      <c r="X740" s="13">
        <f>IF(X$733=0,0,X727/X$733)</f>
        <v/>
      </c>
      <c r="Y740" s="13">
        <f>IF(Y$733=0,0,Y727/Y$733)</f>
        <v/>
      </c>
      <c r="Z740" s="13">
        <f>IF(Z$733=0,0,Z727/Z$733)</f>
        <v/>
      </c>
      <c r="AA740" s="13">
        <f>IF(AA$733=0,0,AA727/AA$733)</f>
        <v/>
      </c>
      <c r="AB740" s="13">
        <f>IF(AB$733=0,0,AB727/AB$733)</f>
        <v/>
      </c>
      <c r="AC740" s="13">
        <f>IF(AC$733=0,0,AC727/AC$733)</f>
        <v/>
      </c>
      <c r="AD740" s="13">
        <f>IF(AD$733=0,0,AD727/AD$733)</f>
        <v/>
      </c>
      <c r="AE740" s="60">
        <f>SHARE(AE727,AE$733)</f>
        <v/>
      </c>
      <c r="AG740" s="11">
        <f>CodePrefix&amp;$A740&amp;IF($C740="","","."&amp;$C740&amp;"."&amp;$B740)&amp;INDEX(VarEnd,MATCH($A740,VarKey,0))&amp;AG$5</f>
        <v/>
      </c>
      <c r="AH740" s="12">
        <f>IF(AH$733=0,0,AH727/AH$733)</f>
        <v/>
      </c>
      <c r="AI740" s="13">
        <f>IF(AI$733=0,0,AI727/AI$733)</f>
        <v/>
      </c>
      <c r="AJ740" s="13">
        <f>IF(AJ$733=0,0,AJ727/AJ$733)</f>
        <v/>
      </c>
      <c r="AK740" s="13">
        <f>IF(AK$733=0,0,AK727/AK$733)</f>
        <v/>
      </c>
      <c r="AL740" s="13">
        <f>IF(AL$733=0,0,AL727/AL$733)</f>
        <v/>
      </c>
      <c r="AM740" s="13">
        <f>IF(AM$733=0,0,AM727/AM$733)</f>
        <v/>
      </c>
      <c r="AN740" s="13">
        <f>IF(AN$733=0,0,AN727/AN$733)</f>
        <v/>
      </c>
      <c r="AO740" s="13">
        <f>IF(AO$733=0,0,AO727/AO$733)</f>
        <v/>
      </c>
      <c r="AP740" s="13">
        <f>IF(AP$733=0,0,AP727/AP$733)</f>
        <v/>
      </c>
      <c r="AQ740" s="13">
        <f>IF(AQ$733=0,0,AQ727/AQ$733)</f>
        <v/>
      </c>
      <c r="AR740" s="13">
        <f>IF(AR$733=0,0,AR727/AR$733)</f>
        <v/>
      </c>
      <c r="AS740" s="13">
        <f>IF(AS$733=0,0,AS727/AS$733)</f>
        <v/>
      </c>
      <c r="AT740" s="13">
        <f>IF(AT$733=0,0,AT727/AT$733)</f>
        <v/>
      </c>
      <c r="AU740" s="13">
        <f>IF(AU$733=0,0,AU727/AU$733)</f>
        <v/>
      </c>
      <c r="AV740" s="13">
        <f>IF(AV$733=0,0,AV727/AV$733)</f>
        <v/>
      </c>
      <c r="AW740" s="13">
        <f>IF(AW$733=0,0,AW727/AW$733)</f>
        <v/>
      </c>
      <c r="AX740" s="13">
        <f>IF(AX$733=0,0,AX727/AX$733)</f>
        <v/>
      </c>
      <c r="AY740" s="13">
        <f>IF(AY$733=0,0,AY727/AY$733)</f>
        <v/>
      </c>
      <c r="AZ740" s="13">
        <f>IF(AZ$733=0,0,AZ727/AZ$733)</f>
        <v/>
      </c>
      <c r="BA740" s="60">
        <f>SHARE(BA727,BA$733)</f>
        <v/>
      </c>
    </row>
    <row r="741" hidden="1" outlineLevel="1">
      <c r="A741" s="14" t="inlineStr">
        <is>
          <t>shr</t>
        </is>
      </c>
      <c r="B741" s="14" t="inlineStr">
        <is>
          <t>sol</t>
        </is>
      </c>
      <c r="C741" s="14" t="inlineStr">
        <is>
          <t>pow</t>
        </is>
      </c>
      <c r="D741" s="45">
        <f>INDEX(Inputs_power!$P$5:$P$13,MATCH($B741,Inputs_power!$A$5:$A$13,0))</f>
        <v/>
      </c>
      <c r="E741" s="39" t="n"/>
      <c r="F741" s="39" t="n"/>
      <c r="G741" s="39" t="n"/>
      <c r="H741" s="14">
        <f>INDEX(VarLab,MATCH($A741,VarKey,0))&amp;INDEX(MemLab,MATCH($C741&amp;"|"&amp;$B741,MemKey,0))</f>
        <v/>
      </c>
      <c r="I741" s="14">
        <f>INDEX(VarUnit,MATCH($A741,VarKey,0))</f>
        <v/>
      </c>
      <c r="J741" s="14">
        <f>INDEX(VarSrc,MATCH($A741,VarKey,0))</f>
        <v/>
      </c>
      <c r="K741" s="11">
        <f>CodePrefix&amp;$A741&amp;IF($C741="","","."&amp;$C741&amp;"."&amp;$B741)&amp;INDEX(VarEnd,MATCH($A741,VarKey,0))&amp;K$5</f>
        <v/>
      </c>
      <c r="L741" s="12">
        <f>IF(L$733=0,0,L728/L$733)</f>
        <v/>
      </c>
      <c r="M741" s="13">
        <f>IF(M$733=0,0,M728/M$733)</f>
        <v/>
      </c>
      <c r="N741" s="13">
        <f>IF(N$733=0,0,N728/N$733)</f>
        <v/>
      </c>
      <c r="O741" s="13">
        <f>IF(O$733=0,0,O728/O$733)</f>
        <v/>
      </c>
      <c r="P741" s="13">
        <f>IF(P$733=0,0,P728/P$733)</f>
        <v/>
      </c>
      <c r="Q741" s="13">
        <f>IF(Q$733=0,0,Q728/Q$733)</f>
        <v/>
      </c>
      <c r="R741" s="13">
        <f>IF(R$733=0,0,R728/R$733)</f>
        <v/>
      </c>
      <c r="S741" s="13">
        <f>IF(S$733=0,0,S728/S$733)</f>
        <v/>
      </c>
      <c r="T741" s="13">
        <f>IF(T$733=0,0,T728/T$733)</f>
        <v/>
      </c>
      <c r="U741" s="13">
        <f>IF(U$733=0,0,U728/U$733)</f>
        <v/>
      </c>
      <c r="V741" s="13">
        <f>IF(V$733=0,0,V728/V$733)</f>
        <v/>
      </c>
      <c r="W741" s="13">
        <f>IF(W$733=0,0,W728/W$733)</f>
        <v/>
      </c>
      <c r="X741" s="13">
        <f>IF(X$733=0,0,X728/X$733)</f>
        <v/>
      </c>
      <c r="Y741" s="13">
        <f>IF(Y$733=0,0,Y728/Y$733)</f>
        <v/>
      </c>
      <c r="Z741" s="13">
        <f>IF(Z$733=0,0,Z728/Z$733)</f>
        <v/>
      </c>
      <c r="AA741" s="13">
        <f>IF(AA$733=0,0,AA728/AA$733)</f>
        <v/>
      </c>
      <c r="AB741" s="13">
        <f>IF(AB$733=0,0,AB728/AB$733)</f>
        <v/>
      </c>
      <c r="AC741" s="13">
        <f>IF(AC$733=0,0,AC728/AC$733)</f>
        <v/>
      </c>
      <c r="AD741" s="13">
        <f>IF(AD$733=0,0,AD728/AD$733)</f>
        <v/>
      </c>
      <c r="AE741" s="60">
        <f>SHARE(AE728,AE$733)</f>
        <v/>
      </c>
      <c r="AG741" s="11">
        <f>CodePrefix&amp;$A741&amp;IF($C741="","","."&amp;$C741&amp;"."&amp;$B741)&amp;INDEX(VarEnd,MATCH($A741,VarKey,0))&amp;AG$5</f>
        <v/>
      </c>
      <c r="AH741" s="12">
        <f>IF(AH$733=0,0,AH728/AH$733)</f>
        <v/>
      </c>
      <c r="AI741" s="13">
        <f>IF(AI$733=0,0,AI728/AI$733)</f>
        <v/>
      </c>
      <c r="AJ741" s="13">
        <f>IF(AJ$733=0,0,AJ728/AJ$733)</f>
        <v/>
      </c>
      <c r="AK741" s="13">
        <f>IF(AK$733=0,0,AK728/AK$733)</f>
        <v/>
      </c>
      <c r="AL741" s="13">
        <f>IF(AL$733=0,0,AL728/AL$733)</f>
        <v/>
      </c>
      <c r="AM741" s="13">
        <f>IF(AM$733=0,0,AM728/AM$733)</f>
        <v/>
      </c>
      <c r="AN741" s="13">
        <f>IF(AN$733=0,0,AN728/AN$733)</f>
        <v/>
      </c>
      <c r="AO741" s="13">
        <f>IF(AO$733=0,0,AO728/AO$733)</f>
        <v/>
      </c>
      <c r="AP741" s="13">
        <f>IF(AP$733=0,0,AP728/AP$733)</f>
        <v/>
      </c>
      <c r="AQ741" s="13">
        <f>IF(AQ$733=0,0,AQ728/AQ$733)</f>
        <v/>
      </c>
      <c r="AR741" s="13">
        <f>IF(AR$733=0,0,AR728/AR$733)</f>
        <v/>
      </c>
      <c r="AS741" s="13">
        <f>IF(AS$733=0,0,AS728/AS$733)</f>
        <v/>
      </c>
      <c r="AT741" s="13">
        <f>IF(AT$733=0,0,AT728/AT$733)</f>
        <v/>
      </c>
      <c r="AU741" s="13">
        <f>IF(AU$733=0,0,AU728/AU$733)</f>
        <v/>
      </c>
      <c r="AV741" s="13">
        <f>IF(AV$733=0,0,AV728/AV$733)</f>
        <v/>
      </c>
      <c r="AW741" s="13">
        <f>IF(AW$733=0,0,AW728/AW$733)</f>
        <v/>
      </c>
      <c r="AX741" s="13">
        <f>IF(AX$733=0,0,AX728/AX$733)</f>
        <v/>
      </c>
      <c r="AY741" s="13">
        <f>IF(AY$733=0,0,AY728/AY$733)</f>
        <v/>
      </c>
      <c r="AZ741" s="13">
        <f>IF(AZ$733=0,0,AZ728/AZ$733)</f>
        <v/>
      </c>
      <c r="BA741" s="60">
        <f>SHARE(BA728,BA$733)</f>
        <v/>
      </c>
    </row>
    <row r="742" hidden="1" outlineLevel="1">
      <c r="A742" s="14" t="inlineStr">
        <is>
          <t>shr</t>
        </is>
      </c>
      <c r="B742" s="14" t="inlineStr">
        <is>
          <t>hyd</t>
        </is>
      </c>
      <c r="C742" s="14" t="inlineStr">
        <is>
          <t>pow</t>
        </is>
      </c>
      <c r="D742" s="45">
        <f>INDEX(Inputs_power!$P$5:$P$13,MATCH($B742,Inputs_power!$A$5:$A$13,0))</f>
        <v/>
      </c>
      <c r="E742" s="39" t="n"/>
      <c r="F742" s="39" t="n"/>
      <c r="G742" s="39" t="n"/>
      <c r="H742" s="14">
        <f>INDEX(VarLab,MATCH($A742,VarKey,0))&amp;INDEX(MemLab,MATCH($C742&amp;"|"&amp;$B742,MemKey,0))</f>
        <v/>
      </c>
      <c r="I742" s="14">
        <f>INDEX(VarUnit,MATCH($A742,VarKey,0))</f>
        <v/>
      </c>
      <c r="J742" s="14">
        <f>INDEX(VarSrc,MATCH($A742,VarKey,0))</f>
        <v/>
      </c>
      <c r="K742" s="11">
        <f>CodePrefix&amp;$A742&amp;IF($C742="","","."&amp;$C742&amp;"."&amp;$B742)&amp;INDEX(VarEnd,MATCH($A742,VarKey,0))&amp;K$5</f>
        <v/>
      </c>
      <c r="L742" s="12">
        <f>IF(L$733=0,0,L729/L$733)</f>
        <v/>
      </c>
      <c r="M742" s="13">
        <f>IF(M$733=0,0,M729/M$733)</f>
        <v/>
      </c>
      <c r="N742" s="13">
        <f>IF(N$733=0,0,N729/N$733)</f>
        <v/>
      </c>
      <c r="O742" s="13">
        <f>IF(O$733=0,0,O729/O$733)</f>
        <v/>
      </c>
      <c r="P742" s="13">
        <f>IF(P$733=0,0,P729/P$733)</f>
        <v/>
      </c>
      <c r="Q742" s="13">
        <f>IF(Q$733=0,0,Q729/Q$733)</f>
        <v/>
      </c>
      <c r="R742" s="13">
        <f>IF(R$733=0,0,R729/R$733)</f>
        <v/>
      </c>
      <c r="S742" s="13">
        <f>IF(S$733=0,0,S729/S$733)</f>
        <v/>
      </c>
      <c r="T742" s="13">
        <f>IF(T$733=0,0,T729/T$733)</f>
        <v/>
      </c>
      <c r="U742" s="13">
        <f>IF(U$733=0,0,U729/U$733)</f>
        <v/>
      </c>
      <c r="V742" s="13">
        <f>IF(V$733=0,0,V729/V$733)</f>
        <v/>
      </c>
      <c r="W742" s="13">
        <f>IF(W$733=0,0,W729/W$733)</f>
        <v/>
      </c>
      <c r="X742" s="13">
        <f>IF(X$733=0,0,X729/X$733)</f>
        <v/>
      </c>
      <c r="Y742" s="13">
        <f>IF(Y$733=0,0,Y729/Y$733)</f>
        <v/>
      </c>
      <c r="Z742" s="13">
        <f>IF(Z$733=0,0,Z729/Z$733)</f>
        <v/>
      </c>
      <c r="AA742" s="13">
        <f>IF(AA$733=0,0,AA729/AA$733)</f>
        <v/>
      </c>
      <c r="AB742" s="13">
        <f>IF(AB$733=0,0,AB729/AB$733)</f>
        <v/>
      </c>
      <c r="AC742" s="13">
        <f>IF(AC$733=0,0,AC729/AC$733)</f>
        <v/>
      </c>
      <c r="AD742" s="13">
        <f>IF(AD$733=0,0,AD729/AD$733)</f>
        <v/>
      </c>
      <c r="AE742" s="60">
        <f>SHARE(AE729,AE$733)</f>
        <v/>
      </c>
      <c r="AG742" s="11">
        <f>CodePrefix&amp;$A742&amp;IF($C742="","","."&amp;$C742&amp;"."&amp;$B742)&amp;INDEX(VarEnd,MATCH($A742,VarKey,0))&amp;AG$5</f>
        <v/>
      </c>
      <c r="AH742" s="12">
        <f>IF(AH$733=0,0,AH729/AH$733)</f>
        <v/>
      </c>
      <c r="AI742" s="13">
        <f>IF(AI$733=0,0,AI729/AI$733)</f>
        <v/>
      </c>
      <c r="AJ742" s="13">
        <f>IF(AJ$733=0,0,AJ729/AJ$733)</f>
        <v/>
      </c>
      <c r="AK742" s="13">
        <f>IF(AK$733=0,0,AK729/AK$733)</f>
        <v/>
      </c>
      <c r="AL742" s="13">
        <f>IF(AL$733=0,0,AL729/AL$733)</f>
        <v/>
      </c>
      <c r="AM742" s="13">
        <f>IF(AM$733=0,0,AM729/AM$733)</f>
        <v/>
      </c>
      <c r="AN742" s="13">
        <f>IF(AN$733=0,0,AN729/AN$733)</f>
        <v/>
      </c>
      <c r="AO742" s="13">
        <f>IF(AO$733=0,0,AO729/AO$733)</f>
        <v/>
      </c>
      <c r="AP742" s="13">
        <f>IF(AP$733=0,0,AP729/AP$733)</f>
        <v/>
      </c>
      <c r="AQ742" s="13">
        <f>IF(AQ$733=0,0,AQ729/AQ$733)</f>
        <v/>
      </c>
      <c r="AR742" s="13">
        <f>IF(AR$733=0,0,AR729/AR$733)</f>
        <v/>
      </c>
      <c r="AS742" s="13">
        <f>IF(AS$733=0,0,AS729/AS$733)</f>
        <v/>
      </c>
      <c r="AT742" s="13">
        <f>IF(AT$733=0,0,AT729/AT$733)</f>
        <v/>
      </c>
      <c r="AU742" s="13">
        <f>IF(AU$733=0,0,AU729/AU$733)</f>
        <v/>
      </c>
      <c r="AV742" s="13">
        <f>IF(AV$733=0,0,AV729/AV$733)</f>
        <v/>
      </c>
      <c r="AW742" s="13">
        <f>IF(AW$733=0,0,AW729/AW$733)</f>
        <v/>
      </c>
      <c r="AX742" s="13">
        <f>IF(AX$733=0,0,AX729/AX$733)</f>
        <v/>
      </c>
      <c r="AY742" s="13">
        <f>IF(AY$733=0,0,AY729/AY$733)</f>
        <v/>
      </c>
      <c r="AZ742" s="13">
        <f>IF(AZ$733=0,0,AZ729/AZ$733)</f>
        <v/>
      </c>
      <c r="BA742" s="60">
        <f>SHARE(BA729,BA$733)</f>
        <v/>
      </c>
    </row>
    <row r="743" hidden="1" outlineLevel="1">
      <c r="A743" s="14" t="inlineStr">
        <is>
          <t>shr</t>
        </is>
      </c>
      <c r="B743" s="14" t="inlineStr">
        <is>
          <t>ore</t>
        </is>
      </c>
      <c r="C743" s="14" t="inlineStr">
        <is>
          <t>pow</t>
        </is>
      </c>
      <c r="D743" s="45">
        <f>INDEX(Inputs_power!$P$5:$P$13,MATCH($B743,Inputs_power!$A$5:$A$13,0))</f>
        <v/>
      </c>
      <c r="E743" s="39" t="n"/>
      <c r="F743" s="39" t="n"/>
      <c r="G743" s="39" t="n"/>
      <c r="H743" s="14">
        <f>INDEX(VarLab,MATCH($A743,VarKey,0))&amp;INDEX(MemLab,MATCH($C743&amp;"|"&amp;$B743,MemKey,0))</f>
        <v/>
      </c>
      <c r="I743" s="14">
        <f>INDEX(VarUnit,MATCH($A743,VarKey,0))</f>
        <v/>
      </c>
      <c r="J743" s="14">
        <f>INDEX(VarSrc,MATCH($A743,VarKey,0))</f>
        <v/>
      </c>
      <c r="K743" s="11">
        <f>CodePrefix&amp;$A743&amp;IF($C743="","","."&amp;$C743&amp;"."&amp;$B743)&amp;INDEX(VarEnd,MATCH($A743,VarKey,0))&amp;K$5</f>
        <v/>
      </c>
      <c r="L743" s="12">
        <f>IF(L$733=0,0,L730/L$733)</f>
        <v/>
      </c>
      <c r="M743" s="13">
        <f>IF(M$733=0,0,M730/M$733)</f>
        <v/>
      </c>
      <c r="N743" s="13">
        <f>IF(N$733=0,0,N730/N$733)</f>
        <v/>
      </c>
      <c r="O743" s="13">
        <f>IF(O$733=0,0,O730/O$733)</f>
        <v/>
      </c>
      <c r="P743" s="13">
        <f>IF(P$733=0,0,P730/P$733)</f>
        <v/>
      </c>
      <c r="Q743" s="13">
        <f>IF(Q$733=0,0,Q730/Q$733)</f>
        <v/>
      </c>
      <c r="R743" s="13">
        <f>IF(R$733=0,0,R730/R$733)</f>
        <v/>
      </c>
      <c r="S743" s="13">
        <f>IF(S$733=0,0,S730/S$733)</f>
        <v/>
      </c>
      <c r="T743" s="13">
        <f>IF(T$733=0,0,T730/T$733)</f>
        <v/>
      </c>
      <c r="U743" s="13">
        <f>IF(U$733=0,0,U730/U$733)</f>
        <v/>
      </c>
      <c r="V743" s="13">
        <f>IF(V$733=0,0,V730/V$733)</f>
        <v/>
      </c>
      <c r="W743" s="13">
        <f>IF(W$733=0,0,W730/W$733)</f>
        <v/>
      </c>
      <c r="X743" s="13">
        <f>IF(X$733=0,0,X730/X$733)</f>
        <v/>
      </c>
      <c r="Y743" s="13">
        <f>IF(Y$733=0,0,Y730/Y$733)</f>
        <v/>
      </c>
      <c r="Z743" s="13">
        <f>IF(Z$733=0,0,Z730/Z$733)</f>
        <v/>
      </c>
      <c r="AA743" s="13">
        <f>IF(AA$733=0,0,AA730/AA$733)</f>
        <v/>
      </c>
      <c r="AB743" s="13">
        <f>IF(AB$733=0,0,AB730/AB$733)</f>
        <v/>
      </c>
      <c r="AC743" s="13">
        <f>IF(AC$733=0,0,AC730/AC$733)</f>
        <v/>
      </c>
      <c r="AD743" s="13">
        <f>IF(AD$733=0,0,AD730/AD$733)</f>
        <v/>
      </c>
      <c r="AE743" s="60">
        <f>SHARE(AE730,AE$733)</f>
        <v/>
      </c>
      <c r="AG743" s="11">
        <f>CodePrefix&amp;$A743&amp;IF($C743="","","."&amp;$C743&amp;"."&amp;$B743)&amp;INDEX(VarEnd,MATCH($A743,VarKey,0))&amp;AG$5</f>
        <v/>
      </c>
      <c r="AH743" s="12">
        <f>IF(AH$733=0,0,AH730/AH$733)</f>
        <v/>
      </c>
      <c r="AI743" s="13">
        <f>IF(AI$733=0,0,AI730/AI$733)</f>
        <v/>
      </c>
      <c r="AJ743" s="13">
        <f>IF(AJ$733=0,0,AJ730/AJ$733)</f>
        <v/>
      </c>
      <c r="AK743" s="13">
        <f>IF(AK$733=0,0,AK730/AK$733)</f>
        <v/>
      </c>
      <c r="AL743" s="13">
        <f>IF(AL$733=0,0,AL730/AL$733)</f>
        <v/>
      </c>
      <c r="AM743" s="13">
        <f>IF(AM$733=0,0,AM730/AM$733)</f>
        <v/>
      </c>
      <c r="AN743" s="13">
        <f>IF(AN$733=0,0,AN730/AN$733)</f>
        <v/>
      </c>
      <c r="AO743" s="13">
        <f>IF(AO$733=0,0,AO730/AO$733)</f>
        <v/>
      </c>
      <c r="AP743" s="13">
        <f>IF(AP$733=0,0,AP730/AP$733)</f>
        <v/>
      </c>
      <c r="AQ743" s="13">
        <f>IF(AQ$733=0,0,AQ730/AQ$733)</f>
        <v/>
      </c>
      <c r="AR743" s="13">
        <f>IF(AR$733=0,0,AR730/AR$733)</f>
        <v/>
      </c>
      <c r="AS743" s="13">
        <f>IF(AS$733=0,0,AS730/AS$733)</f>
        <v/>
      </c>
      <c r="AT743" s="13">
        <f>IF(AT$733=0,0,AT730/AT$733)</f>
        <v/>
      </c>
      <c r="AU743" s="13">
        <f>IF(AU$733=0,0,AU730/AU$733)</f>
        <v/>
      </c>
      <c r="AV743" s="13">
        <f>IF(AV$733=0,0,AV730/AV$733)</f>
        <v/>
      </c>
      <c r="AW743" s="13">
        <f>IF(AW$733=0,0,AW730/AW$733)</f>
        <v/>
      </c>
      <c r="AX743" s="13">
        <f>IF(AX$733=0,0,AX730/AX$733)</f>
        <v/>
      </c>
      <c r="AY743" s="13">
        <f>IF(AY$733=0,0,AY730/AY$733)</f>
        <v/>
      </c>
      <c r="AZ743" s="13">
        <f>IF(AZ$733=0,0,AZ730/AZ$733)</f>
        <v/>
      </c>
      <c r="BA743" s="60">
        <f>SHARE(BA730,BA$733)</f>
        <v/>
      </c>
    </row>
    <row r="744" hidden="1" outlineLevel="1">
      <c r="A744" s="14" t="inlineStr">
        <is>
          <t>shr</t>
        </is>
      </c>
      <c r="B744" s="14" t="inlineStr">
        <is>
          <t>bio</t>
        </is>
      </c>
      <c r="C744" s="14" t="inlineStr">
        <is>
          <t>pow</t>
        </is>
      </c>
      <c r="D744" s="45">
        <f>INDEX(Inputs_power!$P$5:$P$13,MATCH($B744,Inputs_power!$A$5:$A$13,0))</f>
        <v/>
      </c>
      <c r="E744" s="39" t="n"/>
      <c r="F744" s="39" t="n"/>
      <c r="G744" s="39" t="n"/>
      <c r="H744" s="14">
        <f>INDEX(VarLab,MATCH($A744,VarKey,0))&amp;INDEX(MemLab,MATCH($C744&amp;"|"&amp;$B744,MemKey,0))</f>
        <v/>
      </c>
      <c r="I744" s="14">
        <f>INDEX(VarUnit,MATCH($A744,VarKey,0))</f>
        <v/>
      </c>
      <c r="J744" s="14">
        <f>INDEX(VarSrc,MATCH($A744,VarKey,0))</f>
        <v/>
      </c>
      <c r="K744" s="11">
        <f>CodePrefix&amp;$A744&amp;IF($C744="","","."&amp;$C744&amp;"."&amp;$B744)&amp;INDEX(VarEnd,MATCH($A744,VarKey,0))&amp;K$5</f>
        <v/>
      </c>
      <c r="L744" s="12">
        <f>IF(L$733=0,0,L731/L$733)</f>
        <v/>
      </c>
      <c r="M744" s="13">
        <f>IF(M$733=0,0,M731/M$733)</f>
        <v/>
      </c>
      <c r="N744" s="13">
        <f>IF(N$733=0,0,N731/N$733)</f>
        <v/>
      </c>
      <c r="O744" s="13">
        <f>IF(O$733=0,0,O731/O$733)</f>
        <v/>
      </c>
      <c r="P744" s="13">
        <f>IF(P$733=0,0,P731/P$733)</f>
        <v/>
      </c>
      <c r="Q744" s="13">
        <f>IF(Q$733=0,0,Q731/Q$733)</f>
        <v/>
      </c>
      <c r="R744" s="13">
        <f>IF(R$733=0,0,R731/R$733)</f>
        <v/>
      </c>
      <c r="S744" s="13">
        <f>IF(S$733=0,0,S731/S$733)</f>
        <v/>
      </c>
      <c r="T744" s="13">
        <f>IF(T$733=0,0,T731/T$733)</f>
        <v/>
      </c>
      <c r="U744" s="13">
        <f>IF(U$733=0,0,U731/U$733)</f>
        <v/>
      </c>
      <c r="V744" s="13">
        <f>IF(V$733=0,0,V731/V$733)</f>
        <v/>
      </c>
      <c r="W744" s="13">
        <f>IF(W$733=0,0,W731/W$733)</f>
        <v/>
      </c>
      <c r="X744" s="13">
        <f>IF(X$733=0,0,X731/X$733)</f>
        <v/>
      </c>
      <c r="Y744" s="13">
        <f>IF(Y$733=0,0,Y731/Y$733)</f>
        <v/>
      </c>
      <c r="Z744" s="13">
        <f>IF(Z$733=0,0,Z731/Z$733)</f>
        <v/>
      </c>
      <c r="AA744" s="13">
        <f>IF(AA$733=0,0,AA731/AA$733)</f>
        <v/>
      </c>
      <c r="AB744" s="13">
        <f>IF(AB$733=0,0,AB731/AB$733)</f>
        <v/>
      </c>
      <c r="AC744" s="13">
        <f>IF(AC$733=0,0,AC731/AC$733)</f>
        <v/>
      </c>
      <c r="AD744" s="13">
        <f>IF(AD$733=0,0,AD731/AD$733)</f>
        <v/>
      </c>
      <c r="AE744" s="60">
        <f>SHARE(AE731,AE$733)</f>
        <v/>
      </c>
      <c r="AG744" s="11">
        <f>CodePrefix&amp;$A744&amp;IF($C744="","","."&amp;$C744&amp;"."&amp;$B744)&amp;INDEX(VarEnd,MATCH($A744,VarKey,0))&amp;AG$5</f>
        <v/>
      </c>
      <c r="AH744" s="12">
        <f>IF(AH$733=0,0,AH731/AH$733)</f>
        <v/>
      </c>
      <c r="AI744" s="13">
        <f>IF(AI$733=0,0,AI731/AI$733)</f>
        <v/>
      </c>
      <c r="AJ744" s="13">
        <f>IF(AJ$733=0,0,AJ731/AJ$733)</f>
        <v/>
      </c>
      <c r="AK744" s="13">
        <f>IF(AK$733=0,0,AK731/AK$733)</f>
        <v/>
      </c>
      <c r="AL744" s="13">
        <f>IF(AL$733=0,0,AL731/AL$733)</f>
        <v/>
      </c>
      <c r="AM744" s="13">
        <f>IF(AM$733=0,0,AM731/AM$733)</f>
        <v/>
      </c>
      <c r="AN744" s="13">
        <f>IF(AN$733=0,0,AN731/AN$733)</f>
        <v/>
      </c>
      <c r="AO744" s="13">
        <f>IF(AO$733=0,0,AO731/AO$733)</f>
        <v/>
      </c>
      <c r="AP744" s="13">
        <f>IF(AP$733=0,0,AP731/AP$733)</f>
        <v/>
      </c>
      <c r="AQ744" s="13">
        <f>IF(AQ$733=0,0,AQ731/AQ$733)</f>
        <v/>
      </c>
      <c r="AR744" s="13">
        <f>IF(AR$733=0,0,AR731/AR$733)</f>
        <v/>
      </c>
      <c r="AS744" s="13">
        <f>IF(AS$733=0,0,AS731/AS$733)</f>
        <v/>
      </c>
      <c r="AT744" s="13">
        <f>IF(AT$733=0,0,AT731/AT$733)</f>
        <v/>
      </c>
      <c r="AU744" s="13">
        <f>IF(AU$733=0,0,AU731/AU$733)</f>
        <v/>
      </c>
      <c r="AV744" s="13">
        <f>IF(AV$733=0,0,AV731/AV$733)</f>
        <v/>
      </c>
      <c r="AW744" s="13">
        <f>IF(AW$733=0,0,AW731/AW$733)</f>
        <v/>
      </c>
      <c r="AX744" s="13">
        <f>IF(AX$733=0,0,AX731/AX$733)</f>
        <v/>
      </c>
      <c r="AY744" s="13">
        <f>IF(AY$733=0,0,AY731/AY$733)</f>
        <v/>
      </c>
      <c r="AZ744" s="13">
        <f>IF(AZ$733=0,0,AZ731/AZ$733)</f>
        <v/>
      </c>
      <c r="BA744" s="60">
        <f>SHARE(BA731,BA$733)</f>
        <v/>
      </c>
    </row>
    <row r="745" hidden="1" outlineLevel="1"/>
    <row r="746" hidden="1" outlineLevel="1">
      <c r="A746" s="14" t="inlineStr">
        <is>
          <t>pe</t>
        </is>
      </c>
      <c r="B746" s="14" t="inlineStr">
        <is>
          <t>coa</t>
        </is>
      </c>
      <c r="C746" s="14" t="inlineStr">
        <is>
          <t>pow</t>
        </is>
      </c>
      <c r="D746" s="45">
        <f>INDEX(Inputs_power!$AR$5:$AR$13,MATCH($B746,Inputs_power!$A$5:$A$13,0))</f>
        <v/>
      </c>
      <c r="E746" s="45">
        <f>INDEX(Inputs_power!$AW$5:$AW$13,MATCH($B746,Inputs_power!$A$5:$A$13,0))</f>
        <v/>
      </c>
      <c r="F746" s="39" t="n"/>
      <c r="G746" s="39" t="n"/>
      <c r="H746" s="14">
        <f>INDEX(VarLab,MATCH($A746,VarKey,0))&amp;INDEX(MemLab,MATCH($C746&amp;"|"&amp;$B746,MemKey,0))</f>
        <v/>
      </c>
      <c r="I746" s="14">
        <f>INDEX(VarUnit,MATCH($A746,VarKey,0))</f>
        <v/>
      </c>
      <c r="J746" s="14">
        <f>INDEX(VarSrc,MATCH($A746,VarKey,0))</f>
        <v/>
      </c>
      <c r="K746" s="11">
        <f>CodePrefix&amp;$A746&amp;IF($C746="","","."&amp;$C746&amp;"."&amp;$B746)&amp;INDEX(VarEnd,MATCH($A746,VarKey,0))&amp;K$5</f>
        <v/>
      </c>
      <c r="L746" s="46">
        <f>L723*$D746</f>
        <v/>
      </c>
      <c r="M746" s="47">
        <f>M723*$D746</f>
        <v/>
      </c>
      <c r="N746" s="47">
        <f>N723*$D746</f>
        <v/>
      </c>
      <c r="O746" s="47">
        <f>O723*$D746</f>
        <v/>
      </c>
      <c r="P746" s="47">
        <f>P723*$D746</f>
        <v/>
      </c>
      <c r="Q746" s="47">
        <f>Q723*$D746</f>
        <v/>
      </c>
      <c r="R746" s="47">
        <f>R723*$D746</f>
        <v/>
      </c>
      <c r="S746" s="47">
        <f>S723*$D746</f>
        <v/>
      </c>
      <c r="T746" s="47">
        <f>T723*$D746</f>
        <v/>
      </c>
      <c r="U746" s="47">
        <f>U723*$D746</f>
        <v/>
      </c>
      <c r="V746" s="47">
        <f>V723*$D746</f>
        <v/>
      </c>
      <c r="W746" s="47">
        <f>W723*$D746</f>
        <v/>
      </c>
      <c r="X746" s="47">
        <f>X723*$D746</f>
        <v/>
      </c>
      <c r="Y746" s="47">
        <f>Y723*$D746</f>
        <v/>
      </c>
      <c r="Z746" s="47">
        <f>Z723*$D746</f>
        <v/>
      </c>
      <c r="AA746" s="47">
        <f>AA723*$D746</f>
        <v/>
      </c>
      <c r="AB746" s="47">
        <f>AB723*$D746</f>
        <v/>
      </c>
      <c r="AC746" s="47">
        <f>AC723*$D746</f>
        <v/>
      </c>
      <c r="AD746" s="47">
        <f>AD723*$D746</f>
        <v/>
      </c>
      <c r="AE746" s="48">
        <f>SCALE(AE723,$D746)</f>
        <v/>
      </c>
      <c r="AG746" s="11">
        <f>CodePrefix&amp;$A746&amp;IF($C746="","","."&amp;$C746&amp;"."&amp;$B746)&amp;INDEX(VarEnd,MATCH($A746,VarKey,0))&amp;AG$5</f>
        <v/>
      </c>
      <c r="AH746" s="46">
        <f>AH723*$D746</f>
        <v/>
      </c>
      <c r="AI746" s="47">
        <f>AI723*$D746</f>
        <v/>
      </c>
      <c r="AJ746" s="47">
        <f>AJ723*$D746</f>
        <v/>
      </c>
      <c r="AK746" s="47">
        <f>AK723*$D746</f>
        <v/>
      </c>
      <c r="AL746" s="47">
        <f>AL723*$D746</f>
        <v/>
      </c>
      <c r="AM746" s="47">
        <f>AM723*$D746</f>
        <v/>
      </c>
      <c r="AN746" s="47">
        <f>AN723*$D746</f>
        <v/>
      </c>
      <c r="AO746" s="47">
        <f>AO723*$D746</f>
        <v/>
      </c>
      <c r="AP746" s="47">
        <f>AP723*$D746</f>
        <v/>
      </c>
      <c r="AQ746" s="47">
        <f>AQ723*$D746</f>
        <v/>
      </c>
      <c r="AR746" s="47">
        <f>AR723*$D746</f>
        <v/>
      </c>
      <c r="AS746" s="47">
        <f>AS723*$D746</f>
        <v/>
      </c>
      <c r="AT746" s="47">
        <f>AT723*$D746</f>
        <v/>
      </c>
      <c r="AU746" s="47">
        <f>AU723*$D746</f>
        <v/>
      </c>
      <c r="AV746" s="47">
        <f>AV723*$D746</f>
        <v/>
      </c>
      <c r="AW746" s="47">
        <f>AW723*$D746</f>
        <v/>
      </c>
      <c r="AX746" s="47">
        <f>AX723*$D746</f>
        <v/>
      </c>
      <c r="AY746" s="47">
        <f>AY723*$D746</f>
        <v/>
      </c>
      <c r="AZ746" s="47">
        <f>AZ723*$D746</f>
        <v/>
      </c>
      <c r="BA746" s="48">
        <f>SCALE(BA723,$D746)</f>
        <v/>
      </c>
    </row>
    <row r="747" hidden="1" outlineLevel="1">
      <c r="A747" s="14" t="inlineStr">
        <is>
          <t>pe</t>
        </is>
      </c>
      <c r="B747" s="14" t="inlineStr">
        <is>
          <t>nga</t>
        </is>
      </c>
      <c r="C747" s="14" t="inlineStr">
        <is>
          <t>pow</t>
        </is>
      </c>
      <c r="D747" s="45">
        <f>INDEX(Inputs_power!$AR$5:$AR$13,MATCH($B747,Inputs_power!$A$5:$A$13,0))</f>
        <v/>
      </c>
      <c r="E747" s="45">
        <f>INDEX(Inputs_power!$AW$5:$AW$13,MATCH($B747,Inputs_power!$A$5:$A$13,0))</f>
        <v/>
      </c>
      <c r="F747" s="39" t="n"/>
      <c r="G747" s="39" t="n"/>
      <c r="H747" s="14">
        <f>INDEX(VarLab,MATCH($A747,VarKey,0))&amp;INDEX(MemLab,MATCH($C747&amp;"|"&amp;$B747,MemKey,0))</f>
        <v/>
      </c>
      <c r="I747" s="14">
        <f>INDEX(VarUnit,MATCH($A747,VarKey,0))</f>
        <v/>
      </c>
      <c r="J747" s="14">
        <f>INDEX(VarSrc,MATCH($A747,VarKey,0))</f>
        <v/>
      </c>
      <c r="K747" s="11">
        <f>CodePrefix&amp;$A747&amp;IF($C747="","","."&amp;$C747&amp;"."&amp;$B747)&amp;INDEX(VarEnd,MATCH($A747,VarKey,0))&amp;K$5</f>
        <v/>
      </c>
      <c r="L747" s="46">
        <f>L724*$D747</f>
        <v/>
      </c>
      <c r="M747" s="47">
        <f>M724*$D747</f>
        <v/>
      </c>
      <c r="N747" s="47">
        <f>N724*$D747</f>
        <v/>
      </c>
      <c r="O747" s="47">
        <f>O724*$D747</f>
        <v/>
      </c>
      <c r="P747" s="47">
        <f>P724*$D747</f>
        <v/>
      </c>
      <c r="Q747" s="47">
        <f>Q724*$D747</f>
        <v/>
      </c>
      <c r="R747" s="47">
        <f>R724*$D747</f>
        <v/>
      </c>
      <c r="S747" s="47">
        <f>S724*$D747</f>
        <v/>
      </c>
      <c r="T747" s="47">
        <f>T724*$D747</f>
        <v/>
      </c>
      <c r="U747" s="47">
        <f>U724*$D747</f>
        <v/>
      </c>
      <c r="V747" s="47">
        <f>V724*$D747</f>
        <v/>
      </c>
      <c r="W747" s="47">
        <f>W724*$D747</f>
        <v/>
      </c>
      <c r="X747" s="47">
        <f>X724*$D747</f>
        <v/>
      </c>
      <c r="Y747" s="47">
        <f>Y724*$D747</f>
        <v/>
      </c>
      <c r="Z747" s="47">
        <f>Z724*$D747</f>
        <v/>
      </c>
      <c r="AA747" s="47">
        <f>AA724*$D747</f>
        <v/>
      </c>
      <c r="AB747" s="47">
        <f>AB724*$D747</f>
        <v/>
      </c>
      <c r="AC747" s="47">
        <f>AC724*$D747</f>
        <v/>
      </c>
      <c r="AD747" s="47">
        <f>AD724*$D747</f>
        <v/>
      </c>
      <c r="AE747" s="48">
        <f>SCALE(AE724,$D747)</f>
        <v/>
      </c>
      <c r="AG747" s="11">
        <f>CodePrefix&amp;$A747&amp;IF($C747="","","."&amp;$C747&amp;"."&amp;$B747)&amp;INDEX(VarEnd,MATCH($A747,VarKey,0))&amp;AG$5</f>
        <v/>
      </c>
      <c r="AH747" s="46">
        <f>AH724*$D747</f>
        <v/>
      </c>
      <c r="AI747" s="47">
        <f>AI724*$D747</f>
        <v/>
      </c>
      <c r="AJ747" s="47">
        <f>AJ724*$D747</f>
        <v/>
      </c>
      <c r="AK747" s="47">
        <f>AK724*$D747</f>
        <v/>
      </c>
      <c r="AL747" s="47">
        <f>AL724*$D747</f>
        <v/>
      </c>
      <c r="AM747" s="47">
        <f>AM724*$D747</f>
        <v/>
      </c>
      <c r="AN747" s="47">
        <f>AN724*$D747</f>
        <v/>
      </c>
      <c r="AO747" s="47">
        <f>AO724*$D747</f>
        <v/>
      </c>
      <c r="AP747" s="47">
        <f>AP724*$D747</f>
        <v/>
      </c>
      <c r="AQ747" s="47">
        <f>AQ724*$D747</f>
        <v/>
      </c>
      <c r="AR747" s="47">
        <f>AR724*$D747</f>
        <v/>
      </c>
      <c r="AS747" s="47">
        <f>AS724*$D747</f>
        <v/>
      </c>
      <c r="AT747" s="47">
        <f>AT724*$D747</f>
        <v/>
      </c>
      <c r="AU747" s="47">
        <f>AU724*$D747</f>
        <v/>
      </c>
      <c r="AV747" s="47">
        <f>AV724*$D747</f>
        <v/>
      </c>
      <c r="AW747" s="47">
        <f>AW724*$D747</f>
        <v/>
      </c>
      <c r="AX747" s="47">
        <f>AX724*$D747</f>
        <v/>
      </c>
      <c r="AY747" s="47">
        <f>AY724*$D747</f>
        <v/>
      </c>
      <c r="AZ747" s="47">
        <f>AZ724*$D747</f>
        <v/>
      </c>
      <c r="BA747" s="48">
        <f>SCALE(BA724,$D747)</f>
        <v/>
      </c>
    </row>
    <row r="748" hidden="1" outlineLevel="1">
      <c r="A748" s="14" t="inlineStr">
        <is>
          <t>pe</t>
        </is>
      </c>
      <c r="B748" s="14" t="inlineStr">
        <is>
          <t>oop</t>
        </is>
      </c>
      <c r="C748" s="14" t="inlineStr">
        <is>
          <t>pow</t>
        </is>
      </c>
      <c r="D748" s="45">
        <f>INDEX(Inputs_power!$AR$5:$AR$13,MATCH($B748,Inputs_power!$A$5:$A$13,0))</f>
        <v/>
      </c>
      <c r="E748" s="45">
        <f>INDEX(Inputs_power!$AW$5:$AW$13,MATCH($B748,Inputs_power!$A$5:$A$13,0))</f>
        <v/>
      </c>
      <c r="F748" s="39" t="n"/>
      <c r="G748" s="39" t="n"/>
      <c r="H748" s="14">
        <f>INDEX(VarLab,MATCH($A748,VarKey,0))&amp;INDEX(MemLab,MATCH($C748&amp;"|"&amp;$B748,MemKey,0))</f>
        <v/>
      </c>
      <c r="I748" s="14">
        <f>INDEX(VarUnit,MATCH($A748,VarKey,0))</f>
        <v/>
      </c>
      <c r="J748" s="14">
        <f>INDEX(VarSrc,MATCH($A748,VarKey,0))</f>
        <v/>
      </c>
      <c r="K748" s="11">
        <f>CodePrefix&amp;$A748&amp;IF($C748="","","."&amp;$C748&amp;"."&amp;$B748)&amp;INDEX(VarEnd,MATCH($A748,VarKey,0))&amp;K$5</f>
        <v/>
      </c>
      <c r="L748" s="46">
        <f>L725*$D748</f>
        <v/>
      </c>
      <c r="M748" s="47">
        <f>M725*$D748</f>
        <v/>
      </c>
      <c r="N748" s="47">
        <f>N725*$D748</f>
        <v/>
      </c>
      <c r="O748" s="47">
        <f>O725*$D748</f>
        <v/>
      </c>
      <c r="P748" s="47">
        <f>P725*$D748</f>
        <v/>
      </c>
      <c r="Q748" s="47">
        <f>Q725*$D748</f>
        <v/>
      </c>
      <c r="R748" s="47">
        <f>R725*$D748</f>
        <v/>
      </c>
      <c r="S748" s="47">
        <f>S725*$D748</f>
        <v/>
      </c>
      <c r="T748" s="47">
        <f>T725*$D748</f>
        <v/>
      </c>
      <c r="U748" s="47">
        <f>U725*$D748</f>
        <v/>
      </c>
      <c r="V748" s="47">
        <f>V725*$D748</f>
        <v/>
      </c>
      <c r="W748" s="47">
        <f>W725*$D748</f>
        <v/>
      </c>
      <c r="X748" s="47">
        <f>X725*$D748</f>
        <v/>
      </c>
      <c r="Y748" s="47">
        <f>Y725*$D748</f>
        <v/>
      </c>
      <c r="Z748" s="47">
        <f>Z725*$D748</f>
        <v/>
      </c>
      <c r="AA748" s="47">
        <f>AA725*$D748</f>
        <v/>
      </c>
      <c r="AB748" s="47">
        <f>AB725*$D748</f>
        <v/>
      </c>
      <c r="AC748" s="47">
        <f>AC725*$D748</f>
        <v/>
      </c>
      <c r="AD748" s="47">
        <f>AD725*$D748</f>
        <v/>
      </c>
      <c r="AE748" s="48">
        <f>SCALE(AE725,$D748)</f>
        <v/>
      </c>
      <c r="AG748" s="11">
        <f>CodePrefix&amp;$A748&amp;IF($C748="","","."&amp;$C748&amp;"."&amp;$B748)&amp;INDEX(VarEnd,MATCH($A748,VarKey,0))&amp;AG$5</f>
        <v/>
      </c>
      <c r="AH748" s="46">
        <f>AH725*$D748</f>
        <v/>
      </c>
      <c r="AI748" s="47">
        <f>AI725*$D748</f>
        <v/>
      </c>
      <c r="AJ748" s="47">
        <f>AJ725*$D748</f>
        <v/>
      </c>
      <c r="AK748" s="47">
        <f>AK725*$D748</f>
        <v/>
      </c>
      <c r="AL748" s="47">
        <f>AL725*$D748</f>
        <v/>
      </c>
      <c r="AM748" s="47">
        <f>AM725*$D748</f>
        <v/>
      </c>
      <c r="AN748" s="47">
        <f>AN725*$D748</f>
        <v/>
      </c>
      <c r="AO748" s="47">
        <f>AO725*$D748</f>
        <v/>
      </c>
      <c r="AP748" s="47">
        <f>AP725*$D748</f>
        <v/>
      </c>
      <c r="AQ748" s="47">
        <f>AQ725*$D748</f>
        <v/>
      </c>
      <c r="AR748" s="47">
        <f>AR725*$D748</f>
        <v/>
      </c>
      <c r="AS748" s="47">
        <f>AS725*$D748</f>
        <v/>
      </c>
      <c r="AT748" s="47">
        <f>AT725*$D748</f>
        <v/>
      </c>
      <c r="AU748" s="47">
        <f>AU725*$D748</f>
        <v/>
      </c>
      <c r="AV748" s="47">
        <f>AV725*$D748</f>
        <v/>
      </c>
      <c r="AW748" s="47">
        <f>AW725*$D748</f>
        <v/>
      </c>
      <c r="AX748" s="47">
        <f>AX725*$D748</f>
        <v/>
      </c>
      <c r="AY748" s="47">
        <f>AY725*$D748</f>
        <v/>
      </c>
      <c r="AZ748" s="47">
        <f>AZ725*$D748</f>
        <v/>
      </c>
      <c r="BA748" s="48">
        <f>SCALE(BA725,$D748)</f>
        <v/>
      </c>
    </row>
    <row r="749" hidden="1" outlineLevel="1">
      <c r="A749" s="14" t="inlineStr">
        <is>
          <t>pe</t>
        </is>
      </c>
      <c r="B749" s="14" t="inlineStr">
        <is>
          <t>nuc</t>
        </is>
      </c>
      <c r="C749" s="14" t="inlineStr">
        <is>
          <t>pow</t>
        </is>
      </c>
      <c r="D749" s="45">
        <f>INDEX(Inputs_power!$AR$5:$AR$13,MATCH($B749,Inputs_power!$A$5:$A$13,0))</f>
        <v/>
      </c>
      <c r="E749" s="45">
        <f>INDEX(Inputs_power!$AW$5:$AW$13,MATCH($B749,Inputs_power!$A$5:$A$13,0))</f>
        <v/>
      </c>
      <c r="F749" s="39" t="n"/>
      <c r="G749" s="39" t="n"/>
      <c r="H749" s="14">
        <f>INDEX(VarLab,MATCH($A749,VarKey,0))&amp;INDEX(MemLab,MATCH($C749&amp;"|"&amp;$B749,MemKey,0))</f>
        <v/>
      </c>
      <c r="I749" s="14">
        <f>INDEX(VarUnit,MATCH($A749,VarKey,0))</f>
        <v/>
      </c>
      <c r="J749" s="14">
        <f>INDEX(VarSrc,MATCH($A749,VarKey,0))</f>
        <v/>
      </c>
      <c r="K749" s="11">
        <f>CodePrefix&amp;$A749&amp;IF($C749="","","."&amp;$C749&amp;"."&amp;$B749)&amp;INDEX(VarEnd,MATCH($A749,VarKey,0))&amp;K$5</f>
        <v/>
      </c>
      <c r="L749" s="46">
        <f>L726*$D749</f>
        <v/>
      </c>
      <c r="M749" s="47">
        <f>M726*$D749</f>
        <v/>
      </c>
      <c r="N749" s="47">
        <f>N726*$D749</f>
        <v/>
      </c>
      <c r="O749" s="47">
        <f>O726*$D749</f>
        <v/>
      </c>
      <c r="P749" s="47">
        <f>P726*$D749</f>
        <v/>
      </c>
      <c r="Q749" s="47">
        <f>Q726*$D749</f>
        <v/>
      </c>
      <c r="R749" s="47">
        <f>R726*$D749</f>
        <v/>
      </c>
      <c r="S749" s="47">
        <f>S726*$D749</f>
        <v/>
      </c>
      <c r="T749" s="47">
        <f>T726*$D749</f>
        <v/>
      </c>
      <c r="U749" s="47">
        <f>U726*$D749</f>
        <v/>
      </c>
      <c r="V749" s="47">
        <f>V726*$D749</f>
        <v/>
      </c>
      <c r="W749" s="47">
        <f>W726*$D749</f>
        <v/>
      </c>
      <c r="X749" s="47">
        <f>X726*$D749</f>
        <v/>
      </c>
      <c r="Y749" s="47">
        <f>Y726*$D749</f>
        <v/>
      </c>
      <c r="Z749" s="47">
        <f>Z726*$D749</f>
        <v/>
      </c>
      <c r="AA749" s="47">
        <f>AA726*$D749</f>
        <v/>
      </c>
      <c r="AB749" s="47">
        <f>AB726*$D749</f>
        <v/>
      </c>
      <c r="AC749" s="47">
        <f>AC726*$D749</f>
        <v/>
      </c>
      <c r="AD749" s="47">
        <f>AD726*$D749</f>
        <v/>
      </c>
      <c r="AE749" s="48">
        <f>SCALE(AE726,$D749)</f>
        <v/>
      </c>
      <c r="AG749" s="11">
        <f>CodePrefix&amp;$A749&amp;IF($C749="","","."&amp;$C749&amp;"."&amp;$B749)&amp;INDEX(VarEnd,MATCH($A749,VarKey,0))&amp;AG$5</f>
        <v/>
      </c>
      <c r="AH749" s="46">
        <f>AH726*$D749</f>
        <v/>
      </c>
      <c r="AI749" s="47">
        <f>AI726*$D749</f>
        <v/>
      </c>
      <c r="AJ749" s="47">
        <f>AJ726*$D749</f>
        <v/>
      </c>
      <c r="AK749" s="47">
        <f>AK726*$D749</f>
        <v/>
      </c>
      <c r="AL749" s="47">
        <f>AL726*$D749</f>
        <v/>
      </c>
      <c r="AM749" s="47">
        <f>AM726*$D749</f>
        <v/>
      </c>
      <c r="AN749" s="47">
        <f>AN726*$D749</f>
        <v/>
      </c>
      <c r="AO749" s="47">
        <f>AO726*$D749</f>
        <v/>
      </c>
      <c r="AP749" s="47">
        <f>AP726*$D749</f>
        <v/>
      </c>
      <c r="AQ749" s="47">
        <f>AQ726*$D749</f>
        <v/>
      </c>
      <c r="AR749" s="47">
        <f>AR726*$D749</f>
        <v/>
      </c>
      <c r="AS749" s="47">
        <f>AS726*$D749</f>
        <v/>
      </c>
      <c r="AT749" s="47">
        <f>AT726*$D749</f>
        <v/>
      </c>
      <c r="AU749" s="47">
        <f>AU726*$D749</f>
        <v/>
      </c>
      <c r="AV749" s="47">
        <f>AV726*$D749</f>
        <v/>
      </c>
      <c r="AW749" s="47">
        <f>AW726*$D749</f>
        <v/>
      </c>
      <c r="AX749" s="47">
        <f>AX726*$D749</f>
        <v/>
      </c>
      <c r="AY749" s="47">
        <f>AY726*$D749</f>
        <v/>
      </c>
      <c r="AZ749" s="47">
        <f>AZ726*$D749</f>
        <v/>
      </c>
      <c r="BA749" s="48">
        <f>SCALE(BA726,$D749)</f>
        <v/>
      </c>
    </row>
    <row r="750" hidden="1" outlineLevel="1">
      <c r="A750" s="14" t="inlineStr">
        <is>
          <t>pe</t>
        </is>
      </c>
      <c r="B750" s="14" t="inlineStr">
        <is>
          <t>wnd</t>
        </is>
      </c>
      <c r="C750" s="14" t="inlineStr">
        <is>
          <t>pow</t>
        </is>
      </c>
      <c r="D750" s="45">
        <f>INDEX(Inputs_power!$AR$5:$AR$13,MATCH($B750,Inputs_power!$A$5:$A$13,0))</f>
        <v/>
      </c>
      <c r="E750" s="45">
        <f>INDEX(Inputs_power!$AW$5:$AW$13,MATCH($B750,Inputs_power!$A$5:$A$13,0))</f>
        <v/>
      </c>
      <c r="F750" s="39" t="n"/>
      <c r="G750" s="39" t="n"/>
      <c r="H750" s="14">
        <f>INDEX(VarLab,MATCH($A750,VarKey,0))&amp;INDEX(MemLab,MATCH($C750&amp;"|"&amp;$B750,MemKey,0))</f>
        <v/>
      </c>
      <c r="I750" s="14">
        <f>INDEX(VarUnit,MATCH($A750,VarKey,0))</f>
        <v/>
      </c>
      <c r="J750" s="14">
        <f>INDEX(VarSrc,MATCH($A750,VarKey,0))</f>
        <v/>
      </c>
      <c r="K750" s="11">
        <f>CodePrefix&amp;$A750&amp;IF($C750="","","."&amp;$C750&amp;"."&amp;$B750)&amp;INDEX(VarEnd,MATCH($A750,VarKey,0))&amp;K$5</f>
        <v/>
      </c>
      <c r="L750" s="46">
        <f>L727*$D750</f>
        <v/>
      </c>
      <c r="M750" s="47">
        <f>M727*$D750</f>
        <v/>
      </c>
      <c r="N750" s="47">
        <f>N727*$D750</f>
        <v/>
      </c>
      <c r="O750" s="47">
        <f>O727*$D750</f>
        <v/>
      </c>
      <c r="P750" s="47">
        <f>P727*$D750</f>
        <v/>
      </c>
      <c r="Q750" s="47">
        <f>Q727*$D750</f>
        <v/>
      </c>
      <c r="R750" s="47">
        <f>R727*$D750</f>
        <v/>
      </c>
      <c r="S750" s="47">
        <f>S727*$D750</f>
        <v/>
      </c>
      <c r="T750" s="47">
        <f>T727*$D750</f>
        <v/>
      </c>
      <c r="U750" s="47">
        <f>U727*$D750</f>
        <v/>
      </c>
      <c r="V750" s="47">
        <f>V727*$D750</f>
        <v/>
      </c>
      <c r="W750" s="47">
        <f>W727*$D750</f>
        <v/>
      </c>
      <c r="X750" s="47">
        <f>X727*$D750</f>
        <v/>
      </c>
      <c r="Y750" s="47">
        <f>Y727*$D750</f>
        <v/>
      </c>
      <c r="Z750" s="47">
        <f>Z727*$D750</f>
        <v/>
      </c>
      <c r="AA750" s="47">
        <f>AA727*$D750</f>
        <v/>
      </c>
      <c r="AB750" s="47">
        <f>AB727*$D750</f>
        <v/>
      </c>
      <c r="AC750" s="47">
        <f>AC727*$D750</f>
        <v/>
      </c>
      <c r="AD750" s="47">
        <f>AD727*$D750</f>
        <v/>
      </c>
      <c r="AE750" s="48">
        <f>SCALE(AE727,$D750)</f>
        <v/>
      </c>
      <c r="AG750" s="11">
        <f>CodePrefix&amp;$A750&amp;IF($C750="","","."&amp;$C750&amp;"."&amp;$B750)&amp;INDEX(VarEnd,MATCH($A750,VarKey,0))&amp;AG$5</f>
        <v/>
      </c>
      <c r="AH750" s="46">
        <f>AH727*$D750</f>
        <v/>
      </c>
      <c r="AI750" s="47">
        <f>AI727*$D750</f>
        <v/>
      </c>
      <c r="AJ750" s="47">
        <f>AJ727*$D750</f>
        <v/>
      </c>
      <c r="AK750" s="47">
        <f>AK727*$D750</f>
        <v/>
      </c>
      <c r="AL750" s="47">
        <f>AL727*$D750</f>
        <v/>
      </c>
      <c r="AM750" s="47">
        <f>AM727*$D750</f>
        <v/>
      </c>
      <c r="AN750" s="47">
        <f>AN727*$D750</f>
        <v/>
      </c>
      <c r="AO750" s="47">
        <f>AO727*$D750</f>
        <v/>
      </c>
      <c r="AP750" s="47">
        <f>AP727*$D750</f>
        <v/>
      </c>
      <c r="AQ750" s="47">
        <f>AQ727*$D750</f>
        <v/>
      </c>
      <c r="AR750" s="47">
        <f>AR727*$D750</f>
        <v/>
      </c>
      <c r="AS750" s="47">
        <f>AS727*$D750</f>
        <v/>
      </c>
      <c r="AT750" s="47">
        <f>AT727*$D750</f>
        <v/>
      </c>
      <c r="AU750" s="47">
        <f>AU727*$D750</f>
        <v/>
      </c>
      <c r="AV750" s="47">
        <f>AV727*$D750</f>
        <v/>
      </c>
      <c r="AW750" s="47">
        <f>AW727*$D750</f>
        <v/>
      </c>
      <c r="AX750" s="47">
        <f>AX727*$D750</f>
        <v/>
      </c>
      <c r="AY750" s="47">
        <f>AY727*$D750</f>
        <v/>
      </c>
      <c r="AZ750" s="47">
        <f>AZ727*$D750</f>
        <v/>
      </c>
      <c r="BA750" s="48">
        <f>SCALE(BA727,$D750)</f>
        <v/>
      </c>
    </row>
    <row r="751" hidden="1" outlineLevel="1">
      <c r="A751" s="14" t="inlineStr">
        <is>
          <t>pe</t>
        </is>
      </c>
      <c r="B751" s="14" t="inlineStr">
        <is>
          <t>sol</t>
        </is>
      </c>
      <c r="C751" s="14" t="inlineStr">
        <is>
          <t>pow</t>
        </is>
      </c>
      <c r="D751" s="45">
        <f>INDEX(Inputs_power!$AR$5:$AR$13,MATCH($B751,Inputs_power!$A$5:$A$13,0))</f>
        <v/>
      </c>
      <c r="E751" s="45">
        <f>INDEX(Inputs_power!$AW$5:$AW$13,MATCH($B751,Inputs_power!$A$5:$A$13,0))</f>
        <v/>
      </c>
      <c r="F751" s="39" t="n"/>
      <c r="G751" s="39" t="n"/>
      <c r="H751" s="14">
        <f>INDEX(VarLab,MATCH($A751,VarKey,0))&amp;INDEX(MemLab,MATCH($C751&amp;"|"&amp;$B751,MemKey,0))</f>
        <v/>
      </c>
      <c r="I751" s="14">
        <f>INDEX(VarUnit,MATCH($A751,VarKey,0))</f>
        <v/>
      </c>
      <c r="J751" s="14">
        <f>INDEX(VarSrc,MATCH($A751,VarKey,0))</f>
        <v/>
      </c>
      <c r="K751" s="11">
        <f>CodePrefix&amp;$A751&amp;IF($C751="","","."&amp;$C751&amp;"."&amp;$B751)&amp;INDEX(VarEnd,MATCH($A751,VarKey,0))&amp;K$5</f>
        <v/>
      </c>
      <c r="L751" s="46">
        <f>L728*$D751</f>
        <v/>
      </c>
      <c r="M751" s="47">
        <f>M728*$D751</f>
        <v/>
      </c>
      <c r="N751" s="47">
        <f>N728*$D751</f>
        <v/>
      </c>
      <c r="O751" s="47">
        <f>O728*$D751</f>
        <v/>
      </c>
      <c r="P751" s="47">
        <f>P728*$D751</f>
        <v/>
      </c>
      <c r="Q751" s="47">
        <f>Q728*$D751</f>
        <v/>
      </c>
      <c r="R751" s="47">
        <f>R728*$D751</f>
        <v/>
      </c>
      <c r="S751" s="47">
        <f>S728*$D751</f>
        <v/>
      </c>
      <c r="T751" s="47">
        <f>T728*$D751</f>
        <v/>
      </c>
      <c r="U751" s="47">
        <f>U728*$D751</f>
        <v/>
      </c>
      <c r="V751" s="47">
        <f>V728*$D751</f>
        <v/>
      </c>
      <c r="W751" s="47">
        <f>W728*$D751</f>
        <v/>
      </c>
      <c r="X751" s="47">
        <f>X728*$D751</f>
        <v/>
      </c>
      <c r="Y751" s="47">
        <f>Y728*$D751</f>
        <v/>
      </c>
      <c r="Z751" s="47">
        <f>Z728*$D751</f>
        <v/>
      </c>
      <c r="AA751" s="47">
        <f>AA728*$D751</f>
        <v/>
      </c>
      <c r="AB751" s="47">
        <f>AB728*$D751</f>
        <v/>
      </c>
      <c r="AC751" s="47">
        <f>AC728*$D751</f>
        <v/>
      </c>
      <c r="AD751" s="47">
        <f>AD728*$D751</f>
        <v/>
      </c>
      <c r="AE751" s="48">
        <f>SCALE(AE728,$D751)</f>
        <v/>
      </c>
      <c r="AG751" s="11">
        <f>CodePrefix&amp;$A751&amp;IF($C751="","","."&amp;$C751&amp;"."&amp;$B751)&amp;INDEX(VarEnd,MATCH($A751,VarKey,0))&amp;AG$5</f>
        <v/>
      </c>
      <c r="AH751" s="46">
        <f>AH728*$D751</f>
        <v/>
      </c>
      <c r="AI751" s="47">
        <f>AI728*$D751</f>
        <v/>
      </c>
      <c r="AJ751" s="47">
        <f>AJ728*$D751</f>
        <v/>
      </c>
      <c r="AK751" s="47">
        <f>AK728*$D751</f>
        <v/>
      </c>
      <c r="AL751" s="47">
        <f>AL728*$D751</f>
        <v/>
      </c>
      <c r="AM751" s="47">
        <f>AM728*$D751</f>
        <v/>
      </c>
      <c r="AN751" s="47">
        <f>AN728*$D751</f>
        <v/>
      </c>
      <c r="AO751" s="47">
        <f>AO728*$D751</f>
        <v/>
      </c>
      <c r="AP751" s="47">
        <f>AP728*$D751</f>
        <v/>
      </c>
      <c r="AQ751" s="47">
        <f>AQ728*$D751</f>
        <v/>
      </c>
      <c r="AR751" s="47">
        <f>AR728*$D751</f>
        <v/>
      </c>
      <c r="AS751" s="47">
        <f>AS728*$D751</f>
        <v/>
      </c>
      <c r="AT751" s="47">
        <f>AT728*$D751</f>
        <v/>
      </c>
      <c r="AU751" s="47">
        <f>AU728*$D751</f>
        <v/>
      </c>
      <c r="AV751" s="47">
        <f>AV728*$D751</f>
        <v/>
      </c>
      <c r="AW751" s="47">
        <f>AW728*$D751</f>
        <v/>
      </c>
      <c r="AX751" s="47">
        <f>AX728*$D751</f>
        <v/>
      </c>
      <c r="AY751" s="47">
        <f>AY728*$D751</f>
        <v/>
      </c>
      <c r="AZ751" s="47">
        <f>AZ728*$D751</f>
        <v/>
      </c>
      <c r="BA751" s="48">
        <f>SCALE(BA728,$D751)</f>
        <v/>
      </c>
    </row>
    <row r="752" hidden="1" outlineLevel="1">
      <c r="A752" s="14" t="inlineStr">
        <is>
          <t>pe</t>
        </is>
      </c>
      <c r="B752" s="14" t="inlineStr">
        <is>
          <t>hyd</t>
        </is>
      </c>
      <c r="C752" s="14" t="inlineStr">
        <is>
          <t>pow</t>
        </is>
      </c>
      <c r="D752" s="45">
        <f>INDEX(Inputs_power!$AR$5:$AR$13,MATCH($B752,Inputs_power!$A$5:$A$13,0))</f>
        <v/>
      </c>
      <c r="E752" s="45">
        <f>INDEX(Inputs_power!$AW$5:$AW$13,MATCH($B752,Inputs_power!$A$5:$A$13,0))</f>
        <v/>
      </c>
      <c r="F752" s="39" t="n"/>
      <c r="G752" s="39" t="n"/>
      <c r="H752" s="14">
        <f>INDEX(VarLab,MATCH($A752,VarKey,0))&amp;INDEX(MemLab,MATCH($C752&amp;"|"&amp;$B752,MemKey,0))</f>
        <v/>
      </c>
      <c r="I752" s="14">
        <f>INDEX(VarUnit,MATCH($A752,VarKey,0))</f>
        <v/>
      </c>
      <c r="J752" s="14">
        <f>INDEX(VarSrc,MATCH($A752,VarKey,0))</f>
        <v/>
      </c>
      <c r="K752" s="11">
        <f>CodePrefix&amp;$A752&amp;IF($C752="","","."&amp;$C752&amp;"."&amp;$B752)&amp;INDEX(VarEnd,MATCH($A752,VarKey,0))&amp;K$5</f>
        <v/>
      </c>
      <c r="L752" s="46">
        <f>L729*$D752</f>
        <v/>
      </c>
      <c r="M752" s="47">
        <f>M729*$D752</f>
        <v/>
      </c>
      <c r="N752" s="47">
        <f>N729*$D752</f>
        <v/>
      </c>
      <c r="O752" s="47">
        <f>O729*$D752</f>
        <v/>
      </c>
      <c r="P752" s="47">
        <f>P729*$D752</f>
        <v/>
      </c>
      <c r="Q752" s="47">
        <f>Q729*$D752</f>
        <v/>
      </c>
      <c r="R752" s="47">
        <f>R729*$D752</f>
        <v/>
      </c>
      <c r="S752" s="47">
        <f>S729*$D752</f>
        <v/>
      </c>
      <c r="T752" s="47">
        <f>T729*$D752</f>
        <v/>
      </c>
      <c r="U752" s="47">
        <f>U729*$D752</f>
        <v/>
      </c>
      <c r="V752" s="47">
        <f>V729*$D752</f>
        <v/>
      </c>
      <c r="W752" s="47">
        <f>W729*$D752</f>
        <v/>
      </c>
      <c r="X752" s="47">
        <f>X729*$D752</f>
        <v/>
      </c>
      <c r="Y752" s="47">
        <f>Y729*$D752</f>
        <v/>
      </c>
      <c r="Z752" s="47">
        <f>Z729*$D752</f>
        <v/>
      </c>
      <c r="AA752" s="47">
        <f>AA729*$D752</f>
        <v/>
      </c>
      <c r="AB752" s="47">
        <f>AB729*$D752</f>
        <v/>
      </c>
      <c r="AC752" s="47">
        <f>AC729*$D752</f>
        <v/>
      </c>
      <c r="AD752" s="47">
        <f>AD729*$D752</f>
        <v/>
      </c>
      <c r="AE752" s="48">
        <f>SCALE(AE729,$D752)</f>
        <v/>
      </c>
      <c r="AG752" s="11">
        <f>CodePrefix&amp;$A752&amp;IF($C752="","","."&amp;$C752&amp;"."&amp;$B752)&amp;INDEX(VarEnd,MATCH($A752,VarKey,0))&amp;AG$5</f>
        <v/>
      </c>
      <c r="AH752" s="46">
        <f>AH729*$D752</f>
        <v/>
      </c>
      <c r="AI752" s="47">
        <f>AI729*$D752</f>
        <v/>
      </c>
      <c r="AJ752" s="47">
        <f>AJ729*$D752</f>
        <v/>
      </c>
      <c r="AK752" s="47">
        <f>AK729*$D752</f>
        <v/>
      </c>
      <c r="AL752" s="47">
        <f>AL729*$D752</f>
        <v/>
      </c>
      <c r="AM752" s="47">
        <f>AM729*$D752</f>
        <v/>
      </c>
      <c r="AN752" s="47">
        <f>AN729*$D752</f>
        <v/>
      </c>
      <c r="AO752" s="47">
        <f>AO729*$D752</f>
        <v/>
      </c>
      <c r="AP752" s="47">
        <f>AP729*$D752</f>
        <v/>
      </c>
      <c r="AQ752" s="47">
        <f>AQ729*$D752</f>
        <v/>
      </c>
      <c r="AR752" s="47">
        <f>AR729*$D752</f>
        <v/>
      </c>
      <c r="AS752" s="47">
        <f>AS729*$D752</f>
        <v/>
      </c>
      <c r="AT752" s="47">
        <f>AT729*$D752</f>
        <v/>
      </c>
      <c r="AU752" s="47">
        <f>AU729*$D752</f>
        <v/>
      </c>
      <c r="AV752" s="47">
        <f>AV729*$D752</f>
        <v/>
      </c>
      <c r="AW752" s="47">
        <f>AW729*$D752</f>
        <v/>
      </c>
      <c r="AX752" s="47">
        <f>AX729*$D752</f>
        <v/>
      </c>
      <c r="AY752" s="47">
        <f>AY729*$D752</f>
        <v/>
      </c>
      <c r="AZ752" s="47">
        <f>AZ729*$D752</f>
        <v/>
      </c>
      <c r="BA752" s="48">
        <f>SCALE(BA729,$D752)</f>
        <v/>
      </c>
    </row>
    <row r="753" hidden="1" outlineLevel="1">
      <c r="A753" s="14" t="inlineStr">
        <is>
          <t>pe</t>
        </is>
      </c>
      <c r="B753" s="14" t="inlineStr">
        <is>
          <t>ore</t>
        </is>
      </c>
      <c r="C753" s="14" t="inlineStr">
        <is>
          <t>pow</t>
        </is>
      </c>
      <c r="D753" s="45">
        <f>INDEX(Inputs_power!$AR$5:$AR$13,MATCH($B753,Inputs_power!$A$5:$A$13,0))</f>
        <v/>
      </c>
      <c r="E753" s="45">
        <f>INDEX(Inputs_power!$AW$5:$AW$13,MATCH($B753,Inputs_power!$A$5:$A$13,0))</f>
        <v/>
      </c>
      <c r="F753" s="39" t="n"/>
      <c r="G753" s="39" t="n"/>
      <c r="H753" s="14">
        <f>INDEX(VarLab,MATCH($A753,VarKey,0))&amp;INDEX(MemLab,MATCH($C753&amp;"|"&amp;$B753,MemKey,0))</f>
        <v/>
      </c>
      <c r="I753" s="14">
        <f>INDEX(VarUnit,MATCH($A753,VarKey,0))</f>
        <v/>
      </c>
      <c r="J753" s="14">
        <f>INDEX(VarSrc,MATCH($A753,VarKey,0))</f>
        <v/>
      </c>
      <c r="K753" s="11">
        <f>CodePrefix&amp;$A753&amp;IF($C753="","","."&amp;$C753&amp;"."&amp;$B753)&amp;INDEX(VarEnd,MATCH($A753,VarKey,0))&amp;K$5</f>
        <v/>
      </c>
      <c r="L753" s="46">
        <f>L730*$D753</f>
        <v/>
      </c>
      <c r="M753" s="47">
        <f>M730*$D753</f>
        <v/>
      </c>
      <c r="N753" s="47">
        <f>N730*$D753</f>
        <v/>
      </c>
      <c r="O753" s="47">
        <f>O730*$D753</f>
        <v/>
      </c>
      <c r="P753" s="47">
        <f>P730*$D753</f>
        <v/>
      </c>
      <c r="Q753" s="47">
        <f>Q730*$D753</f>
        <v/>
      </c>
      <c r="R753" s="47">
        <f>R730*$D753</f>
        <v/>
      </c>
      <c r="S753" s="47">
        <f>S730*$D753</f>
        <v/>
      </c>
      <c r="T753" s="47">
        <f>T730*$D753</f>
        <v/>
      </c>
      <c r="U753" s="47">
        <f>U730*$D753</f>
        <v/>
      </c>
      <c r="V753" s="47">
        <f>V730*$D753</f>
        <v/>
      </c>
      <c r="W753" s="47">
        <f>W730*$D753</f>
        <v/>
      </c>
      <c r="X753" s="47">
        <f>X730*$D753</f>
        <v/>
      </c>
      <c r="Y753" s="47">
        <f>Y730*$D753</f>
        <v/>
      </c>
      <c r="Z753" s="47">
        <f>Z730*$D753</f>
        <v/>
      </c>
      <c r="AA753" s="47">
        <f>AA730*$D753</f>
        <v/>
      </c>
      <c r="AB753" s="47">
        <f>AB730*$D753</f>
        <v/>
      </c>
      <c r="AC753" s="47">
        <f>AC730*$D753</f>
        <v/>
      </c>
      <c r="AD753" s="47">
        <f>AD730*$D753</f>
        <v/>
      </c>
      <c r="AE753" s="48">
        <f>SCALE(AE730,$D753)</f>
        <v/>
      </c>
      <c r="AG753" s="11">
        <f>CodePrefix&amp;$A753&amp;IF($C753="","","."&amp;$C753&amp;"."&amp;$B753)&amp;INDEX(VarEnd,MATCH($A753,VarKey,0))&amp;AG$5</f>
        <v/>
      </c>
      <c r="AH753" s="46">
        <f>AH730*$D753</f>
        <v/>
      </c>
      <c r="AI753" s="47">
        <f>AI730*$D753</f>
        <v/>
      </c>
      <c r="AJ753" s="47">
        <f>AJ730*$D753</f>
        <v/>
      </c>
      <c r="AK753" s="47">
        <f>AK730*$D753</f>
        <v/>
      </c>
      <c r="AL753" s="47">
        <f>AL730*$D753</f>
        <v/>
      </c>
      <c r="AM753" s="47">
        <f>AM730*$D753</f>
        <v/>
      </c>
      <c r="AN753" s="47">
        <f>AN730*$D753</f>
        <v/>
      </c>
      <c r="AO753" s="47">
        <f>AO730*$D753</f>
        <v/>
      </c>
      <c r="AP753" s="47">
        <f>AP730*$D753</f>
        <v/>
      </c>
      <c r="AQ753" s="47">
        <f>AQ730*$D753</f>
        <v/>
      </c>
      <c r="AR753" s="47">
        <f>AR730*$D753</f>
        <v/>
      </c>
      <c r="AS753" s="47">
        <f>AS730*$D753</f>
        <v/>
      </c>
      <c r="AT753" s="47">
        <f>AT730*$D753</f>
        <v/>
      </c>
      <c r="AU753" s="47">
        <f>AU730*$D753</f>
        <v/>
      </c>
      <c r="AV753" s="47">
        <f>AV730*$D753</f>
        <v/>
      </c>
      <c r="AW753" s="47">
        <f>AW730*$D753</f>
        <v/>
      </c>
      <c r="AX753" s="47">
        <f>AX730*$D753</f>
        <v/>
      </c>
      <c r="AY753" s="47">
        <f>AY730*$D753</f>
        <v/>
      </c>
      <c r="AZ753" s="47">
        <f>AZ730*$D753</f>
        <v/>
      </c>
      <c r="BA753" s="48">
        <f>SCALE(BA730,$D753)</f>
        <v/>
      </c>
    </row>
    <row r="754" hidden="1" outlineLevel="1">
      <c r="A754" s="14" t="inlineStr">
        <is>
          <t>pe</t>
        </is>
      </c>
      <c r="B754" s="14" t="inlineStr">
        <is>
          <t>bio</t>
        </is>
      </c>
      <c r="C754" s="14" t="inlineStr">
        <is>
          <t>pow</t>
        </is>
      </c>
      <c r="D754" s="45">
        <f>INDEX(Inputs_power!$AR$5:$AR$13,MATCH($B754,Inputs_power!$A$5:$A$13,0))</f>
        <v/>
      </c>
      <c r="E754" s="45">
        <f>INDEX(Inputs_power!$AW$5:$AW$13,MATCH($B754,Inputs_power!$A$5:$A$13,0))</f>
        <v/>
      </c>
      <c r="F754" s="39" t="n"/>
      <c r="G754" s="39" t="n"/>
      <c r="H754" s="14">
        <f>INDEX(VarLab,MATCH($A754,VarKey,0))&amp;INDEX(MemLab,MATCH($C754&amp;"|"&amp;$B754,MemKey,0))</f>
        <v/>
      </c>
      <c r="I754" s="14">
        <f>INDEX(VarUnit,MATCH($A754,VarKey,0))</f>
        <v/>
      </c>
      <c r="J754" s="14">
        <f>INDEX(VarSrc,MATCH($A754,VarKey,0))</f>
        <v/>
      </c>
      <c r="K754" s="11">
        <f>CodePrefix&amp;$A754&amp;IF($C754="","","."&amp;$C754&amp;"."&amp;$B754)&amp;INDEX(VarEnd,MATCH($A754,VarKey,0))&amp;K$5</f>
        <v/>
      </c>
      <c r="L754" s="46">
        <f>L731*$D754</f>
        <v/>
      </c>
      <c r="M754" s="47">
        <f>M731*$D754</f>
        <v/>
      </c>
      <c r="N754" s="47">
        <f>N731*$D754</f>
        <v/>
      </c>
      <c r="O754" s="47">
        <f>O731*$D754</f>
        <v/>
      </c>
      <c r="P754" s="47">
        <f>P731*$D754</f>
        <v/>
      </c>
      <c r="Q754" s="47">
        <f>Q731*$D754</f>
        <v/>
      </c>
      <c r="R754" s="47">
        <f>R731*$D754</f>
        <v/>
      </c>
      <c r="S754" s="47">
        <f>S731*$D754</f>
        <v/>
      </c>
      <c r="T754" s="47">
        <f>T731*$D754</f>
        <v/>
      </c>
      <c r="U754" s="47">
        <f>U731*$D754</f>
        <v/>
      </c>
      <c r="V754" s="47">
        <f>V731*$D754</f>
        <v/>
      </c>
      <c r="W754" s="47">
        <f>W731*$D754</f>
        <v/>
      </c>
      <c r="X754" s="47">
        <f>X731*$D754</f>
        <v/>
      </c>
      <c r="Y754" s="47">
        <f>Y731*$D754</f>
        <v/>
      </c>
      <c r="Z754" s="47">
        <f>Z731*$D754</f>
        <v/>
      </c>
      <c r="AA754" s="47">
        <f>AA731*$D754</f>
        <v/>
      </c>
      <c r="AB754" s="47">
        <f>AB731*$D754</f>
        <v/>
      </c>
      <c r="AC754" s="47">
        <f>AC731*$D754</f>
        <v/>
      </c>
      <c r="AD754" s="47">
        <f>AD731*$D754</f>
        <v/>
      </c>
      <c r="AE754" s="48">
        <f>SCALE(AE731,$D754)</f>
        <v/>
      </c>
      <c r="AG754" s="11">
        <f>CodePrefix&amp;$A754&amp;IF($C754="","","."&amp;$C754&amp;"."&amp;$B754)&amp;INDEX(VarEnd,MATCH($A754,VarKey,0))&amp;AG$5</f>
        <v/>
      </c>
      <c r="AH754" s="46">
        <f>AH731*$D754</f>
        <v/>
      </c>
      <c r="AI754" s="47">
        <f>AI731*$D754</f>
        <v/>
      </c>
      <c r="AJ754" s="47">
        <f>AJ731*$D754</f>
        <v/>
      </c>
      <c r="AK754" s="47">
        <f>AK731*$D754</f>
        <v/>
      </c>
      <c r="AL754" s="47">
        <f>AL731*$D754</f>
        <v/>
      </c>
      <c r="AM754" s="47">
        <f>AM731*$D754</f>
        <v/>
      </c>
      <c r="AN754" s="47">
        <f>AN731*$D754</f>
        <v/>
      </c>
      <c r="AO754" s="47">
        <f>AO731*$D754</f>
        <v/>
      </c>
      <c r="AP754" s="47">
        <f>AP731*$D754</f>
        <v/>
      </c>
      <c r="AQ754" s="47">
        <f>AQ731*$D754</f>
        <v/>
      </c>
      <c r="AR754" s="47">
        <f>AR731*$D754</f>
        <v/>
      </c>
      <c r="AS754" s="47">
        <f>AS731*$D754</f>
        <v/>
      </c>
      <c r="AT754" s="47">
        <f>AT731*$D754</f>
        <v/>
      </c>
      <c r="AU754" s="47">
        <f>AU731*$D754</f>
        <v/>
      </c>
      <c r="AV754" s="47">
        <f>AV731*$D754</f>
        <v/>
      </c>
      <c r="AW754" s="47">
        <f>AW731*$D754</f>
        <v/>
      </c>
      <c r="AX754" s="47">
        <f>AX731*$D754</f>
        <v/>
      </c>
      <c r="AY754" s="47">
        <f>AY731*$D754</f>
        <v/>
      </c>
      <c r="AZ754" s="47">
        <f>AZ731*$D754</f>
        <v/>
      </c>
      <c r="BA754" s="48">
        <f>SCALE(BA731,$D754)</f>
        <v/>
      </c>
    </row>
    <row r="755" hidden="1" outlineLevel="1"/>
    <row r="756" hidden="1" outlineLevel="1">
      <c r="A756" s="14" t="inlineStr">
        <is>
          <t>co2</t>
        </is>
      </c>
      <c r="B756" s="14" t="inlineStr">
        <is>
          <t>coa</t>
        </is>
      </c>
      <c r="C756" s="14" t="inlineStr">
        <is>
          <t>pow</t>
        </is>
      </c>
      <c r="D756" s="45">
        <f>INDEX(Inputs_power!$AS$5:$AS$13,MATCH($B756,Inputs_power!$A$5:$A$13,0))</f>
        <v/>
      </c>
      <c r="E756" s="39" t="n"/>
      <c r="F756" s="39" t="n"/>
      <c r="G756" s="39" t="n"/>
      <c r="H756" s="14">
        <f>INDEX(VarLab,MATCH($A756,VarKey,0))&amp;INDEX(MemLab,MATCH($C756&amp;"|"&amp;$B756,MemKey,0))</f>
        <v/>
      </c>
      <c r="I756" s="14">
        <f>INDEX(VarUnit,MATCH($A756,VarKey,0))</f>
        <v/>
      </c>
      <c r="J756" s="14">
        <f>INDEX(VarSrc,MATCH($A756,VarKey,0))</f>
        <v/>
      </c>
      <c r="K756" s="11">
        <f>CodePrefix&amp;$A756&amp;IF($C756="","","."&amp;$C756&amp;"."&amp;$B756)&amp;INDEX(VarEnd,MATCH($A756,VarKey,0))&amp;K$5</f>
        <v/>
      </c>
      <c r="L756" s="61">
        <f>L746*$D756</f>
        <v/>
      </c>
      <c r="M756" s="62">
        <f>M746*$D756</f>
        <v/>
      </c>
      <c r="N756" s="62">
        <f>N746*$D756</f>
        <v/>
      </c>
      <c r="O756" s="62">
        <f>O746*$D756</f>
        <v/>
      </c>
      <c r="P756" s="62">
        <f>P746*$D756</f>
        <v/>
      </c>
      <c r="Q756" s="62">
        <f>Q746*$D756</f>
        <v/>
      </c>
      <c r="R756" s="62">
        <f>R746*$D756</f>
        <v/>
      </c>
      <c r="S756" s="62">
        <f>S746*$D756</f>
        <v/>
      </c>
      <c r="T756" s="62">
        <f>T746*$D756</f>
        <v/>
      </c>
      <c r="U756" s="62">
        <f>U746*$D756</f>
        <v/>
      </c>
      <c r="V756" s="62">
        <f>V746*$D756</f>
        <v/>
      </c>
      <c r="W756" s="62">
        <f>W746*$D756</f>
        <v/>
      </c>
      <c r="X756" s="62">
        <f>X746*$D756</f>
        <v/>
      </c>
      <c r="Y756" s="62">
        <f>Y746*$D756</f>
        <v/>
      </c>
      <c r="Z756" s="62">
        <f>Z746*$D756</f>
        <v/>
      </c>
      <c r="AA756" s="62">
        <f>AA746*$D756</f>
        <v/>
      </c>
      <c r="AB756" s="62">
        <f>AB746*$D756</f>
        <v/>
      </c>
      <c r="AC756" s="62">
        <f>AC746*$D756</f>
        <v/>
      </c>
      <c r="AD756" s="62">
        <f>AD746*$D756</f>
        <v/>
      </c>
      <c r="AE756" s="63">
        <f>SCALE(AE746,$D756)</f>
        <v/>
      </c>
      <c r="AG756" s="11">
        <f>CodePrefix&amp;$A756&amp;IF($C756="","","."&amp;$C756&amp;"."&amp;$B756)&amp;INDEX(VarEnd,MATCH($A756,VarKey,0))&amp;AG$5</f>
        <v/>
      </c>
      <c r="AH756" s="61">
        <f>AH746*$D756</f>
        <v/>
      </c>
      <c r="AI756" s="62">
        <f>AI746*$D756</f>
        <v/>
      </c>
      <c r="AJ756" s="62">
        <f>AJ746*$D756</f>
        <v/>
      </c>
      <c r="AK756" s="62">
        <f>AK746*$D756</f>
        <v/>
      </c>
      <c r="AL756" s="62">
        <f>AL746*$D756</f>
        <v/>
      </c>
      <c r="AM756" s="62">
        <f>AM746*$D756</f>
        <v/>
      </c>
      <c r="AN756" s="62">
        <f>AN746*$D756</f>
        <v/>
      </c>
      <c r="AO756" s="62">
        <f>AO746*$D756</f>
        <v/>
      </c>
      <c r="AP756" s="62">
        <f>AP746*$D756</f>
        <v/>
      </c>
      <c r="AQ756" s="62">
        <f>AQ746*$D756</f>
        <v/>
      </c>
      <c r="AR756" s="62">
        <f>AR746*$D756</f>
        <v/>
      </c>
      <c r="AS756" s="62">
        <f>AS746*$D756</f>
        <v/>
      </c>
      <c r="AT756" s="62">
        <f>AT746*$D756</f>
        <v/>
      </c>
      <c r="AU756" s="62">
        <f>AU746*$D756</f>
        <v/>
      </c>
      <c r="AV756" s="62">
        <f>AV746*$D756</f>
        <v/>
      </c>
      <c r="AW756" s="62">
        <f>AW746*$D756</f>
        <v/>
      </c>
      <c r="AX756" s="62">
        <f>AX746*$D756</f>
        <v/>
      </c>
      <c r="AY756" s="62">
        <f>AY746*$D756</f>
        <v/>
      </c>
      <c r="AZ756" s="62">
        <f>AZ746*$D756</f>
        <v/>
      </c>
      <c r="BA756" s="63">
        <f>SCALE(BA746,$D756)</f>
        <v/>
      </c>
    </row>
    <row r="757" hidden="1" outlineLevel="1">
      <c r="A757" s="14" t="inlineStr">
        <is>
          <t>co2</t>
        </is>
      </c>
      <c r="B757" s="14" t="inlineStr">
        <is>
          <t>nga</t>
        </is>
      </c>
      <c r="C757" s="14" t="inlineStr">
        <is>
          <t>pow</t>
        </is>
      </c>
      <c r="D757" s="45">
        <f>INDEX(Inputs_power!$AS$5:$AS$13,MATCH($B757,Inputs_power!$A$5:$A$13,0))</f>
        <v/>
      </c>
      <c r="E757" s="39" t="n"/>
      <c r="F757" s="39" t="n"/>
      <c r="G757" s="39" t="n"/>
      <c r="H757" s="14">
        <f>INDEX(VarLab,MATCH($A757,VarKey,0))&amp;INDEX(MemLab,MATCH($C757&amp;"|"&amp;$B757,MemKey,0))</f>
        <v/>
      </c>
      <c r="I757" s="14">
        <f>INDEX(VarUnit,MATCH($A757,VarKey,0))</f>
        <v/>
      </c>
      <c r="J757" s="14">
        <f>INDEX(VarSrc,MATCH($A757,VarKey,0))</f>
        <v/>
      </c>
      <c r="K757" s="11">
        <f>CodePrefix&amp;$A757&amp;IF($C757="","","."&amp;$C757&amp;"."&amp;$B757)&amp;INDEX(VarEnd,MATCH($A757,VarKey,0))&amp;K$5</f>
        <v/>
      </c>
      <c r="L757" s="61">
        <f>L747*$D757</f>
        <v/>
      </c>
      <c r="M757" s="62">
        <f>M747*$D757</f>
        <v/>
      </c>
      <c r="N757" s="62">
        <f>N747*$D757</f>
        <v/>
      </c>
      <c r="O757" s="62">
        <f>O747*$D757</f>
        <v/>
      </c>
      <c r="P757" s="62">
        <f>P747*$D757</f>
        <v/>
      </c>
      <c r="Q757" s="62">
        <f>Q747*$D757</f>
        <v/>
      </c>
      <c r="R757" s="62">
        <f>R747*$D757</f>
        <v/>
      </c>
      <c r="S757" s="62">
        <f>S747*$D757</f>
        <v/>
      </c>
      <c r="T757" s="62">
        <f>T747*$D757</f>
        <v/>
      </c>
      <c r="U757" s="62">
        <f>U747*$D757</f>
        <v/>
      </c>
      <c r="V757" s="62">
        <f>V747*$D757</f>
        <v/>
      </c>
      <c r="W757" s="62">
        <f>W747*$D757</f>
        <v/>
      </c>
      <c r="X757" s="62">
        <f>X747*$D757</f>
        <v/>
      </c>
      <c r="Y757" s="62">
        <f>Y747*$D757</f>
        <v/>
      </c>
      <c r="Z757" s="62">
        <f>Z747*$D757</f>
        <v/>
      </c>
      <c r="AA757" s="62">
        <f>AA747*$D757</f>
        <v/>
      </c>
      <c r="AB757" s="62">
        <f>AB747*$D757</f>
        <v/>
      </c>
      <c r="AC757" s="62">
        <f>AC747*$D757</f>
        <v/>
      </c>
      <c r="AD757" s="62">
        <f>AD747*$D757</f>
        <v/>
      </c>
      <c r="AE757" s="63">
        <f>SCALE(AE747,$D757)</f>
        <v/>
      </c>
      <c r="AG757" s="11">
        <f>CodePrefix&amp;$A757&amp;IF($C757="","","."&amp;$C757&amp;"."&amp;$B757)&amp;INDEX(VarEnd,MATCH($A757,VarKey,0))&amp;AG$5</f>
        <v/>
      </c>
      <c r="AH757" s="61">
        <f>AH747*$D757</f>
        <v/>
      </c>
      <c r="AI757" s="62">
        <f>AI747*$D757</f>
        <v/>
      </c>
      <c r="AJ757" s="62">
        <f>AJ747*$D757</f>
        <v/>
      </c>
      <c r="AK757" s="62">
        <f>AK747*$D757</f>
        <v/>
      </c>
      <c r="AL757" s="62">
        <f>AL747*$D757</f>
        <v/>
      </c>
      <c r="AM757" s="62">
        <f>AM747*$D757</f>
        <v/>
      </c>
      <c r="AN757" s="62">
        <f>AN747*$D757</f>
        <v/>
      </c>
      <c r="AO757" s="62">
        <f>AO747*$D757</f>
        <v/>
      </c>
      <c r="AP757" s="62">
        <f>AP747*$D757</f>
        <v/>
      </c>
      <c r="AQ757" s="62">
        <f>AQ747*$D757</f>
        <v/>
      </c>
      <c r="AR757" s="62">
        <f>AR747*$D757</f>
        <v/>
      </c>
      <c r="AS757" s="62">
        <f>AS747*$D757</f>
        <v/>
      </c>
      <c r="AT757" s="62">
        <f>AT747*$D757</f>
        <v/>
      </c>
      <c r="AU757" s="62">
        <f>AU747*$D757</f>
        <v/>
      </c>
      <c r="AV757" s="62">
        <f>AV747*$D757</f>
        <v/>
      </c>
      <c r="AW757" s="62">
        <f>AW747*$D757</f>
        <v/>
      </c>
      <c r="AX757" s="62">
        <f>AX747*$D757</f>
        <v/>
      </c>
      <c r="AY757" s="62">
        <f>AY747*$D757</f>
        <v/>
      </c>
      <c r="AZ757" s="62">
        <f>AZ747*$D757</f>
        <v/>
      </c>
      <c r="BA757" s="63">
        <f>SCALE(BA747,$D757)</f>
        <v/>
      </c>
    </row>
    <row r="758" hidden="1" outlineLevel="1">
      <c r="A758" s="14" t="inlineStr">
        <is>
          <t>co2</t>
        </is>
      </c>
      <c r="B758" s="14" t="inlineStr">
        <is>
          <t>oop</t>
        </is>
      </c>
      <c r="C758" s="14" t="inlineStr">
        <is>
          <t>pow</t>
        </is>
      </c>
      <c r="D758" s="45">
        <f>INDEX(Inputs_power!$AS$5:$AS$13,MATCH($B758,Inputs_power!$A$5:$A$13,0))</f>
        <v/>
      </c>
      <c r="E758" s="39" t="n"/>
      <c r="F758" s="39" t="n"/>
      <c r="G758" s="39" t="n"/>
      <c r="H758" s="14">
        <f>INDEX(VarLab,MATCH($A758,VarKey,0))&amp;INDEX(MemLab,MATCH($C758&amp;"|"&amp;$B758,MemKey,0))</f>
        <v/>
      </c>
      <c r="I758" s="14">
        <f>INDEX(VarUnit,MATCH($A758,VarKey,0))</f>
        <v/>
      </c>
      <c r="J758" s="14">
        <f>INDEX(VarSrc,MATCH($A758,VarKey,0))</f>
        <v/>
      </c>
      <c r="K758" s="11">
        <f>CodePrefix&amp;$A758&amp;IF($C758="","","."&amp;$C758&amp;"."&amp;$B758)&amp;INDEX(VarEnd,MATCH($A758,VarKey,0))&amp;K$5</f>
        <v/>
      </c>
      <c r="L758" s="61">
        <f>L748*$D758</f>
        <v/>
      </c>
      <c r="M758" s="62">
        <f>M748*$D758</f>
        <v/>
      </c>
      <c r="N758" s="62">
        <f>N748*$D758</f>
        <v/>
      </c>
      <c r="O758" s="62">
        <f>O748*$D758</f>
        <v/>
      </c>
      <c r="P758" s="62">
        <f>P748*$D758</f>
        <v/>
      </c>
      <c r="Q758" s="62">
        <f>Q748*$D758</f>
        <v/>
      </c>
      <c r="R758" s="62">
        <f>R748*$D758</f>
        <v/>
      </c>
      <c r="S758" s="62">
        <f>S748*$D758</f>
        <v/>
      </c>
      <c r="T758" s="62">
        <f>T748*$D758</f>
        <v/>
      </c>
      <c r="U758" s="62">
        <f>U748*$D758</f>
        <v/>
      </c>
      <c r="V758" s="62">
        <f>V748*$D758</f>
        <v/>
      </c>
      <c r="W758" s="62">
        <f>W748*$D758</f>
        <v/>
      </c>
      <c r="X758" s="62">
        <f>X748*$D758</f>
        <v/>
      </c>
      <c r="Y758" s="62">
        <f>Y748*$D758</f>
        <v/>
      </c>
      <c r="Z758" s="62">
        <f>Z748*$D758</f>
        <v/>
      </c>
      <c r="AA758" s="62">
        <f>AA748*$D758</f>
        <v/>
      </c>
      <c r="AB758" s="62">
        <f>AB748*$D758</f>
        <v/>
      </c>
      <c r="AC758" s="62">
        <f>AC748*$D758</f>
        <v/>
      </c>
      <c r="AD758" s="62">
        <f>AD748*$D758</f>
        <v/>
      </c>
      <c r="AE758" s="63">
        <f>SCALE(AE748,$D758)</f>
        <v/>
      </c>
      <c r="AG758" s="11">
        <f>CodePrefix&amp;$A758&amp;IF($C758="","","."&amp;$C758&amp;"."&amp;$B758)&amp;INDEX(VarEnd,MATCH($A758,VarKey,0))&amp;AG$5</f>
        <v/>
      </c>
      <c r="AH758" s="61">
        <f>AH748*$D758</f>
        <v/>
      </c>
      <c r="AI758" s="62">
        <f>AI748*$D758</f>
        <v/>
      </c>
      <c r="AJ758" s="62">
        <f>AJ748*$D758</f>
        <v/>
      </c>
      <c r="AK758" s="62">
        <f>AK748*$D758</f>
        <v/>
      </c>
      <c r="AL758" s="62">
        <f>AL748*$D758</f>
        <v/>
      </c>
      <c r="AM758" s="62">
        <f>AM748*$D758</f>
        <v/>
      </c>
      <c r="AN758" s="62">
        <f>AN748*$D758</f>
        <v/>
      </c>
      <c r="AO758" s="62">
        <f>AO748*$D758</f>
        <v/>
      </c>
      <c r="AP758" s="62">
        <f>AP748*$D758</f>
        <v/>
      </c>
      <c r="AQ758" s="62">
        <f>AQ748*$D758</f>
        <v/>
      </c>
      <c r="AR758" s="62">
        <f>AR748*$D758</f>
        <v/>
      </c>
      <c r="AS758" s="62">
        <f>AS748*$D758</f>
        <v/>
      </c>
      <c r="AT758" s="62">
        <f>AT748*$D758</f>
        <v/>
      </c>
      <c r="AU758" s="62">
        <f>AU748*$D758</f>
        <v/>
      </c>
      <c r="AV758" s="62">
        <f>AV748*$D758</f>
        <v/>
      </c>
      <c r="AW758" s="62">
        <f>AW748*$D758</f>
        <v/>
      </c>
      <c r="AX758" s="62">
        <f>AX748*$D758</f>
        <v/>
      </c>
      <c r="AY758" s="62">
        <f>AY748*$D758</f>
        <v/>
      </c>
      <c r="AZ758" s="62">
        <f>AZ748*$D758</f>
        <v/>
      </c>
      <c r="BA758" s="63">
        <f>SCALE(BA748,$D758)</f>
        <v/>
      </c>
    </row>
    <row r="759" hidden="1" outlineLevel="1">
      <c r="A759" s="14" t="inlineStr">
        <is>
          <t>co2</t>
        </is>
      </c>
      <c r="B759" s="14" t="inlineStr">
        <is>
          <t>nuc</t>
        </is>
      </c>
      <c r="C759" s="14" t="inlineStr">
        <is>
          <t>pow</t>
        </is>
      </c>
      <c r="D759" s="45">
        <f>INDEX(Inputs_power!$AS$5:$AS$13,MATCH($B759,Inputs_power!$A$5:$A$13,0))</f>
        <v/>
      </c>
      <c r="E759" s="39" t="n"/>
      <c r="F759" s="39" t="n"/>
      <c r="G759" s="39" t="n"/>
      <c r="H759" s="14">
        <f>INDEX(VarLab,MATCH($A759,VarKey,0))&amp;INDEX(MemLab,MATCH($C759&amp;"|"&amp;$B759,MemKey,0))</f>
        <v/>
      </c>
      <c r="I759" s="14">
        <f>INDEX(VarUnit,MATCH($A759,VarKey,0))</f>
        <v/>
      </c>
      <c r="J759" s="14">
        <f>INDEX(VarSrc,MATCH($A759,VarKey,0))</f>
        <v/>
      </c>
      <c r="K759" s="11">
        <f>CodePrefix&amp;$A759&amp;IF($C759="","","."&amp;$C759&amp;"."&amp;$B759)&amp;INDEX(VarEnd,MATCH($A759,VarKey,0))&amp;K$5</f>
        <v/>
      </c>
      <c r="L759" s="61">
        <f>L749*$D759</f>
        <v/>
      </c>
      <c r="M759" s="62">
        <f>M749*$D759</f>
        <v/>
      </c>
      <c r="N759" s="62">
        <f>N749*$D759</f>
        <v/>
      </c>
      <c r="O759" s="62">
        <f>O749*$D759</f>
        <v/>
      </c>
      <c r="P759" s="62">
        <f>P749*$D759</f>
        <v/>
      </c>
      <c r="Q759" s="62">
        <f>Q749*$D759</f>
        <v/>
      </c>
      <c r="R759" s="62">
        <f>R749*$D759</f>
        <v/>
      </c>
      <c r="S759" s="62">
        <f>S749*$D759</f>
        <v/>
      </c>
      <c r="T759" s="62">
        <f>T749*$D759</f>
        <v/>
      </c>
      <c r="U759" s="62">
        <f>U749*$D759</f>
        <v/>
      </c>
      <c r="V759" s="62">
        <f>V749*$D759</f>
        <v/>
      </c>
      <c r="W759" s="62">
        <f>W749*$D759</f>
        <v/>
      </c>
      <c r="X759" s="62">
        <f>X749*$D759</f>
        <v/>
      </c>
      <c r="Y759" s="62">
        <f>Y749*$D759</f>
        <v/>
      </c>
      <c r="Z759" s="62">
        <f>Z749*$D759</f>
        <v/>
      </c>
      <c r="AA759" s="62">
        <f>AA749*$D759</f>
        <v/>
      </c>
      <c r="AB759" s="62">
        <f>AB749*$D759</f>
        <v/>
      </c>
      <c r="AC759" s="62">
        <f>AC749*$D759</f>
        <v/>
      </c>
      <c r="AD759" s="62">
        <f>AD749*$D759</f>
        <v/>
      </c>
      <c r="AE759" s="63">
        <f>SCALE(AE749,$D759)</f>
        <v/>
      </c>
      <c r="AG759" s="11">
        <f>CodePrefix&amp;$A759&amp;IF($C759="","","."&amp;$C759&amp;"."&amp;$B759)&amp;INDEX(VarEnd,MATCH($A759,VarKey,0))&amp;AG$5</f>
        <v/>
      </c>
      <c r="AH759" s="61">
        <f>AH749*$D759</f>
        <v/>
      </c>
      <c r="AI759" s="62">
        <f>AI749*$D759</f>
        <v/>
      </c>
      <c r="AJ759" s="62">
        <f>AJ749*$D759</f>
        <v/>
      </c>
      <c r="AK759" s="62">
        <f>AK749*$D759</f>
        <v/>
      </c>
      <c r="AL759" s="62">
        <f>AL749*$D759</f>
        <v/>
      </c>
      <c r="AM759" s="62">
        <f>AM749*$D759</f>
        <v/>
      </c>
      <c r="AN759" s="62">
        <f>AN749*$D759</f>
        <v/>
      </c>
      <c r="AO759" s="62">
        <f>AO749*$D759</f>
        <v/>
      </c>
      <c r="AP759" s="62">
        <f>AP749*$D759</f>
        <v/>
      </c>
      <c r="AQ759" s="62">
        <f>AQ749*$D759</f>
        <v/>
      </c>
      <c r="AR759" s="62">
        <f>AR749*$D759</f>
        <v/>
      </c>
      <c r="AS759" s="62">
        <f>AS749*$D759</f>
        <v/>
      </c>
      <c r="AT759" s="62">
        <f>AT749*$D759</f>
        <v/>
      </c>
      <c r="AU759" s="62">
        <f>AU749*$D759</f>
        <v/>
      </c>
      <c r="AV759" s="62">
        <f>AV749*$D759</f>
        <v/>
      </c>
      <c r="AW759" s="62">
        <f>AW749*$D759</f>
        <v/>
      </c>
      <c r="AX759" s="62">
        <f>AX749*$D759</f>
        <v/>
      </c>
      <c r="AY759" s="62">
        <f>AY749*$D759</f>
        <v/>
      </c>
      <c r="AZ759" s="62">
        <f>AZ749*$D759</f>
        <v/>
      </c>
      <c r="BA759" s="63">
        <f>SCALE(BA749,$D759)</f>
        <v/>
      </c>
    </row>
    <row r="760" hidden="1" outlineLevel="1">
      <c r="A760" s="14" t="inlineStr">
        <is>
          <t>co2</t>
        </is>
      </c>
      <c r="B760" s="14" t="inlineStr">
        <is>
          <t>wnd</t>
        </is>
      </c>
      <c r="C760" s="14" t="inlineStr">
        <is>
          <t>pow</t>
        </is>
      </c>
      <c r="D760" s="45">
        <f>INDEX(Inputs_power!$AS$5:$AS$13,MATCH($B760,Inputs_power!$A$5:$A$13,0))</f>
        <v/>
      </c>
      <c r="E760" s="39" t="n"/>
      <c r="F760" s="39" t="n"/>
      <c r="G760" s="39" t="n"/>
      <c r="H760" s="14">
        <f>INDEX(VarLab,MATCH($A760,VarKey,0))&amp;INDEX(MemLab,MATCH($C760&amp;"|"&amp;$B760,MemKey,0))</f>
        <v/>
      </c>
      <c r="I760" s="14">
        <f>INDEX(VarUnit,MATCH($A760,VarKey,0))</f>
        <v/>
      </c>
      <c r="J760" s="14">
        <f>INDEX(VarSrc,MATCH($A760,VarKey,0))</f>
        <v/>
      </c>
      <c r="K760" s="11">
        <f>CodePrefix&amp;$A760&amp;IF($C760="","","."&amp;$C760&amp;"."&amp;$B760)&amp;INDEX(VarEnd,MATCH($A760,VarKey,0))&amp;K$5</f>
        <v/>
      </c>
      <c r="L760" s="61">
        <f>L750*$D760</f>
        <v/>
      </c>
      <c r="M760" s="62">
        <f>M750*$D760</f>
        <v/>
      </c>
      <c r="N760" s="62">
        <f>N750*$D760</f>
        <v/>
      </c>
      <c r="O760" s="62">
        <f>O750*$D760</f>
        <v/>
      </c>
      <c r="P760" s="62">
        <f>P750*$D760</f>
        <v/>
      </c>
      <c r="Q760" s="62">
        <f>Q750*$D760</f>
        <v/>
      </c>
      <c r="R760" s="62">
        <f>R750*$D760</f>
        <v/>
      </c>
      <c r="S760" s="62">
        <f>S750*$D760</f>
        <v/>
      </c>
      <c r="T760" s="62">
        <f>T750*$D760</f>
        <v/>
      </c>
      <c r="U760" s="62">
        <f>U750*$D760</f>
        <v/>
      </c>
      <c r="V760" s="62">
        <f>V750*$D760</f>
        <v/>
      </c>
      <c r="W760" s="62">
        <f>W750*$D760</f>
        <v/>
      </c>
      <c r="X760" s="62">
        <f>X750*$D760</f>
        <v/>
      </c>
      <c r="Y760" s="62">
        <f>Y750*$D760</f>
        <v/>
      </c>
      <c r="Z760" s="62">
        <f>Z750*$D760</f>
        <v/>
      </c>
      <c r="AA760" s="62">
        <f>AA750*$D760</f>
        <v/>
      </c>
      <c r="AB760" s="62">
        <f>AB750*$D760</f>
        <v/>
      </c>
      <c r="AC760" s="62">
        <f>AC750*$D760</f>
        <v/>
      </c>
      <c r="AD760" s="62">
        <f>AD750*$D760</f>
        <v/>
      </c>
      <c r="AE760" s="63">
        <f>SCALE(AE750,$D760)</f>
        <v/>
      </c>
      <c r="AG760" s="11">
        <f>CodePrefix&amp;$A760&amp;IF($C760="","","."&amp;$C760&amp;"."&amp;$B760)&amp;INDEX(VarEnd,MATCH($A760,VarKey,0))&amp;AG$5</f>
        <v/>
      </c>
      <c r="AH760" s="61">
        <f>AH750*$D760</f>
        <v/>
      </c>
      <c r="AI760" s="62">
        <f>AI750*$D760</f>
        <v/>
      </c>
      <c r="AJ760" s="62">
        <f>AJ750*$D760</f>
        <v/>
      </c>
      <c r="AK760" s="62">
        <f>AK750*$D760</f>
        <v/>
      </c>
      <c r="AL760" s="62">
        <f>AL750*$D760</f>
        <v/>
      </c>
      <c r="AM760" s="62">
        <f>AM750*$D760</f>
        <v/>
      </c>
      <c r="AN760" s="62">
        <f>AN750*$D760</f>
        <v/>
      </c>
      <c r="AO760" s="62">
        <f>AO750*$D760</f>
        <v/>
      </c>
      <c r="AP760" s="62">
        <f>AP750*$D760</f>
        <v/>
      </c>
      <c r="AQ760" s="62">
        <f>AQ750*$D760</f>
        <v/>
      </c>
      <c r="AR760" s="62">
        <f>AR750*$D760</f>
        <v/>
      </c>
      <c r="AS760" s="62">
        <f>AS750*$D760</f>
        <v/>
      </c>
      <c r="AT760" s="62">
        <f>AT750*$D760</f>
        <v/>
      </c>
      <c r="AU760" s="62">
        <f>AU750*$D760</f>
        <v/>
      </c>
      <c r="AV760" s="62">
        <f>AV750*$D760</f>
        <v/>
      </c>
      <c r="AW760" s="62">
        <f>AW750*$D760</f>
        <v/>
      </c>
      <c r="AX760" s="62">
        <f>AX750*$D760</f>
        <v/>
      </c>
      <c r="AY760" s="62">
        <f>AY750*$D760</f>
        <v/>
      </c>
      <c r="AZ760" s="62">
        <f>AZ750*$D760</f>
        <v/>
      </c>
      <c r="BA760" s="63">
        <f>SCALE(BA750,$D760)</f>
        <v/>
      </c>
    </row>
    <row r="761" hidden="1" outlineLevel="1">
      <c r="A761" s="14" t="inlineStr">
        <is>
          <t>co2</t>
        </is>
      </c>
      <c r="B761" s="14" t="inlineStr">
        <is>
          <t>sol</t>
        </is>
      </c>
      <c r="C761" s="14" t="inlineStr">
        <is>
          <t>pow</t>
        </is>
      </c>
      <c r="D761" s="45">
        <f>INDEX(Inputs_power!$AS$5:$AS$13,MATCH($B761,Inputs_power!$A$5:$A$13,0))</f>
        <v/>
      </c>
      <c r="E761" s="39" t="n"/>
      <c r="F761" s="39" t="n"/>
      <c r="G761" s="39" t="n"/>
      <c r="H761" s="14">
        <f>INDEX(VarLab,MATCH($A761,VarKey,0))&amp;INDEX(MemLab,MATCH($C761&amp;"|"&amp;$B761,MemKey,0))</f>
        <v/>
      </c>
      <c r="I761" s="14">
        <f>INDEX(VarUnit,MATCH($A761,VarKey,0))</f>
        <v/>
      </c>
      <c r="J761" s="14">
        <f>INDEX(VarSrc,MATCH($A761,VarKey,0))</f>
        <v/>
      </c>
      <c r="K761" s="11">
        <f>CodePrefix&amp;$A761&amp;IF($C761="","","."&amp;$C761&amp;"."&amp;$B761)&amp;INDEX(VarEnd,MATCH($A761,VarKey,0))&amp;K$5</f>
        <v/>
      </c>
      <c r="L761" s="61">
        <f>L751*$D761</f>
        <v/>
      </c>
      <c r="M761" s="62">
        <f>M751*$D761</f>
        <v/>
      </c>
      <c r="N761" s="62">
        <f>N751*$D761</f>
        <v/>
      </c>
      <c r="O761" s="62">
        <f>O751*$D761</f>
        <v/>
      </c>
      <c r="P761" s="62">
        <f>P751*$D761</f>
        <v/>
      </c>
      <c r="Q761" s="62">
        <f>Q751*$D761</f>
        <v/>
      </c>
      <c r="R761" s="62">
        <f>R751*$D761</f>
        <v/>
      </c>
      <c r="S761" s="62">
        <f>S751*$D761</f>
        <v/>
      </c>
      <c r="T761" s="62">
        <f>T751*$D761</f>
        <v/>
      </c>
      <c r="U761" s="62">
        <f>U751*$D761</f>
        <v/>
      </c>
      <c r="V761" s="62">
        <f>V751*$D761</f>
        <v/>
      </c>
      <c r="W761" s="62">
        <f>W751*$D761</f>
        <v/>
      </c>
      <c r="X761" s="62">
        <f>X751*$D761</f>
        <v/>
      </c>
      <c r="Y761" s="62">
        <f>Y751*$D761</f>
        <v/>
      </c>
      <c r="Z761" s="62">
        <f>Z751*$D761</f>
        <v/>
      </c>
      <c r="AA761" s="62">
        <f>AA751*$D761</f>
        <v/>
      </c>
      <c r="AB761" s="62">
        <f>AB751*$D761</f>
        <v/>
      </c>
      <c r="AC761" s="62">
        <f>AC751*$D761</f>
        <v/>
      </c>
      <c r="AD761" s="62">
        <f>AD751*$D761</f>
        <v/>
      </c>
      <c r="AE761" s="63">
        <f>SCALE(AE751,$D761)</f>
        <v/>
      </c>
      <c r="AG761" s="11">
        <f>CodePrefix&amp;$A761&amp;IF($C761="","","."&amp;$C761&amp;"."&amp;$B761)&amp;INDEX(VarEnd,MATCH($A761,VarKey,0))&amp;AG$5</f>
        <v/>
      </c>
      <c r="AH761" s="61">
        <f>AH751*$D761</f>
        <v/>
      </c>
      <c r="AI761" s="62">
        <f>AI751*$D761</f>
        <v/>
      </c>
      <c r="AJ761" s="62">
        <f>AJ751*$D761</f>
        <v/>
      </c>
      <c r="AK761" s="62">
        <f>AK751*$D761</f>
        <v/>
      </c>
      <c r="AL761" s="62">
        <f>AL751*$D761</f>
        <v/>
      </c>
      <c r="AM761" s="62">
        <f>AM751*$D761</f>
        <v/>
      </c>
      <c r="AN761" s="62">
        <f>AN751*$D761</f>
        <v/>
      </c>
      <c r="AO761" s="62">
        <f>AO751*$D761</f>
        <v/>
      </c>
      <c r="AP761" s="62">
        <f>AP751*$D761</f>
        <v/>
      </c>
      <c r="AQ761" s="62">
        <f>AQ751*$D761</f>
        <v/>
      </c>
      <c r="AR761" s="62">
        <f>AR751*$D761</f>
        <v/>
      </c>
      <c r="AS761" s="62">
        <f>AS751*$D761</f>
        <v/>
      </c>
      <c r="AT761" s="62">
        <f>AT751*$D761</f>
        <v/>
      </c>
      <c r="AU761" s="62">
        <f>AU751*$D761</f>
        <v/>
      </c>
      <c r="AV761" s="62">
        <f>AV751*$D761</f>
        <v/>
      </c>
      <c r="AW761" s="62">
        <f>AW751*$D761</f>
        <v/>
      </c>
      <c r="AX761" s="62">
        <f>AX751*$D761</f>
        <v/>
      </c>
      <c r="AY761" s="62">
        <f>AY751*$D761</f>
        <v/>
      </c>
      <c r="AZ761" s="62">
        <f>AZ751*$D761</f>
        <v/>
      </c>
      <c r="BA761" s="63">
        <f>SCALE(BA751,$D761)</f>
        <v/>
      </c>
    </row>
    <row r="762" hidden="1" outlineLevel="1">
      <c r="A762" s="14" t="inlineStr">
        <is>
          <t>co2</t>
        </is>
      </c>
      <c r="B762" s="14" t="inlineStr">
        <is>
          <t>hyd</t>
        </is>
      </c>
      <c r="C762" s="14" t="inlineStr">
        <is>
          <t>pow</t>
        </is>
      </c>
      <c r="D762" s="45">
        <f>INDEX(Inputs_power!$AS$5:$AS$13,MATCH($B762,Inputs_power!$A$5:$A$13,0))</f>
        <v/>
      </c>
      <c r="E762" s="39" t="n"/>
      <c r="F762" s="39" t="n"/>
      <c r="G762" s="39" t="n"/>
      <c r="H762" s="14">
        <f>INDEX(VarLab,MATCH($A762,VarKey,0))&amp;INDEX(MemLab,MATCH($C762&amp;"|"&amp;$B762,MemKey,0))</f>
        <v/>
      </c>
      <c r="I762" s="14">
        <f>INDEX(VarUnit,MATCH($A762,VarKey,0))</f>
        <v/>
      </c>
      <c r="J762" s="14">
        <f>INDEX(VarSrc,MATCH($A762,VarKey,0))</f>
        <v/>
      </c>
      <c r="K762" s="11">
        <f>CodePrefix&amp;$A762&amp;IF($C762="","","."&amp;$C762&amp;"."&amp;$B762)&amp;INDEX(VarEnd,MATCH($A762,VarKey,0))&amp;K$5</f>
        <v/>
      </c>
      <c r="L762" s="61">
        <f>L752*$D762</f>
        <v/>
      </c>
      <c r="M762" s="62">
        <f>M752*$D762</f>
        <v/>
      </c>
      <c r="N762" s="62">
        <f>N752*$D762</f>
        <v/>
      </c>
      <c r="O762" s="62">
        <f>O752*$D762</f>
        <v/>
      </c>
      <c r="P762" s="62">
        <f>P752*$D762</f>
        <v/>
      </c>
      <c r="Q762" s="62">
        <f>Q752*$D762</f>
        <v/>
      </c>
      <c r="R762" s="62">
        <f>R752*$D762</f>
        <v/>
      </c>
      <c r="S762" s="62">
        <f>S752*$D762</f>
        <v/>
      </c>
      <c r="T762" s="62">
        <f>T752*$D762</f>
        <v/>
      </c>
      <c r="U762" s="62">
        <f>U752*$D762</f>
        <v/>
      </c>
      <c r="V762" s="62">
        <f>V752*$D762</f>
        <v/>
      </c>
      <c r="W762" s="62">
        <f>W752*$D762</f>
        <v/>
      </c>
      <c r="X762" s="62">
        <f>X752*$D762</f>
        <v/>
      </c>
      <c r="Y762" s="62">
        <f>Y752*$D762</f>
        <v/>
      </c>
      <c r="Z762" s="62">
        <f>Z752*$D762</f>
        <v/>
      </c>
      <c r="AA762" s="62">
        <f>AA752*$D762</f>
        <v/>
      </c>
      <c r="AB762" s="62">
        <f>AB752*$D762</f>
        <v/>
      </c>
      <c r="AC762" s="62">
        <f>AC752*$D762</f>
        <v/>
      </c>
      <c r="AD762" s="62">
        <f>AD752*$D762</f>
        <v/>
      </c>
      <c r="AE762" s="63">
        <f>SCALE(AE752,$D762)</f>
        <v/>
      </c>
      <c r="AG762" s="11">
        <f>CodePrefix&amp;$A762&amp;IF($C762="","","."&amp;$C762&amp;"."&amp;$B762)&amp;INDEX(VarEnd,MATCH($A762,VarKey,0))&amp;AG$5</f>
        <v/>
      </c>
      <c r="AH762" s="61">
        <f>AH752*$D762</f>
        <v/>
      </c>
      <c r="AI762" s="62">
        <f>AI752*$D762</f>
        <v/>
      </c>
      <c r="AJ762" s="62">
        <f>AJ752*$D762</f>
        <v/>
      </c>
      <c r="AK762" s="62">
        <f>AK752*$D762</f>
        <v/>
      </c>
      <c r="AL762" s="62">
        <f>AL752*$D762</f>
        <v/>
      </c>
      <c r="AM762" s="62">
        <f>AM752*$D762</f>
        <v/>
      </c>
      <c r="AN762" s="62">
        <f>AN752*$D762</f>
        <v/>
      </c>
      <c r="AO762" s="62">
        <f>AO752*$D762</f>
        <v/>
      </c>
      <c r="AP762" s="62">
        <f>AP752*$D762</f>
        <v/>
      </c>
      <c r="AQ762" s="62">
        <f>AQ752*$D762</f>
        <v/>
      </c>
      <c r="AR762" s="62">
        <f>AR752*$D762</f>
        <v/>
      </c>
      <c r="AS762" s="62">
        <f>AS752*$D762</f>
        <v/>
      </c>
      <c r="AT762" s="62">
        <f>AT752*$D762</f>
        <v/>
      </c>
      <c r="AU762" s="62">
        <f>AU752*$D762</f>
        <v/>
      </c>
      <c r="AV762" s="62">
        <f>AV752*$D762</f>
        <v/>
      </c>
      <c r="AW762" s="62">
        <f>AW752*$D762</f>
        <v/>
      </c>
      <c r="AX762" s="62">
        <f>AX752*$D762</f>
        <v/>
      </c>
      <c r="AY762" s="62">
        <f>AY752*$D762</f>
        <v/>
      </c>
      <c r="AZ762" s="62">
        <f>AZ752*$D762</f>
        <v/>
      </c>
      <c r="BA762" s="63">
        <f>SCALE(BA752,$D762)</f>
        <v/>
      </c>
    </row>
    <row r="763" hidden="1" outlineLevel="1">
      <c r="A763" s="14" t="inlineStr">
        <is>
          <t>co2</t>
        </is>
      </c>
      <c r="B763" s="14" t="inlineStr">
        <is>
          <t>ore</t>
        </is>
      </c>
      <c r="C763" s="14" t="inlineStr">
        <is>
          <t>pow</t>
        </is>
      </c>
      <c r="D763" s="45">
        <f>INDEX(Inputs_power!$AS$5:$AS$13,MATCH($B763,Inputs_power!$A$5:$A$13,0))</f>
        <v/>
      </c>
      <c r="E763" s="39" t="n"/>
      <c r="F763" s="39" t="n"/>
      <c r="G763" s="39" t="n"/>
      <c r="H763" s="14">
        <f>INDEX(VarLab,MATCH($A763,VarKey,0))&amp;INDEX(MemLab,MATCH($C763&amp;"|"&amp;$B763,MemKey,0))</f>
        <v/>
      </c>
      <c r="I763" s="14">
        <f>INDEX(VarUnit,MATCH($A763,VarKey,0))</f>
        <v/>
      </c>
      <c r="J763" s="14">
        <f>INDEX(VarSrc,MATCH($A763,VarKey,0))</f>
        <v/>
      </c>
      <c r="K763" s="11">
        <f>CodePrefix&amp;$A763&amp;IF($C763="","","."&amp;$C763&amp;"."&amp;$B763)&amp;INDEX(VarEnd,MATCH($A763,VarKey,0))&amp;K$5</f>
        <v/>
      </c>
      <c r="L763" s="61">
        <f>L753*$D763</f>
        <v/>
      </c>
      <c r="M763" s="62">
        <f>M753*$D763</f>
        <v/>
      </c>
      <c r="N763" s="62">
        <f>N753*$D763</f>
        <v/>
      </c>
      <c r="O763" s="62">
        <f>O753*$D763</f>
        <v/>
      </c>
      <c r="P763" s="62">
        <f>P753*$D763</f>
        <v/>
      </c>
      <c r="Q763" s="62">
        <f>Q753*$D763</f>
        <v/>
      </c>
      <c r="R763" s="62">
        <f>R753*$D763</f>
        <v/>
      </c>
      <c r="S763" s="62">
        <f>S753*$D763</f>
        <v/>
      </c>
      <c r="T763" s="62">
        <f>T753*$D763</f>
        <v/>
      </c>
      <c r="U763" s="62">
        <f>U753*$D763</f>
        <v/>
      </c>
      <c r="V763" s="62">
        <f>V753*$D763</f>
        <v/>
      </c>
      <c r="W763" s="62">
        <f>W753*$D763</f>
        <v/>
      </c>
      <c r="X763" s="62">
        <f>X753*$D763</f>
        <v/>
      </c>
      <c r="Y763" s="62">
        <f>Y753*$D763</f>
        <v/>
      </c>
      <c r="Z763" s="62">
        <f>Z753*$D763</f>
        <v/>
      </c>
      <c r="AA763" s="62">
        <f>AA753*$D763</f>
        <v/>
      </c>
      <c r="AB763" s="62">
        <f>AB753*$D763</f>
        <v/>
      </c>
      <c r="AC763" s="62">
        <f>AC753*$D763</f>
        <v/>
      </c>
      <c r="AD763" s="62">
        <f>AD753*$D763</f>
        <v/>
      </c>
      <c r="AE763" s="63">
        <f>SCALE(AE753,$D763)</f>
        <v/>
      </c>
      <c r="AG763" s="11">
        <f>CodePrefix&amp;$A763&amp;IF($C763="","","."&amp;$C763&amp;"."&amp;$B763)&amp;INDEX(VarEnd,MATCH($A763,VarKey,0))&amp;AG$5</f>
        <v/>
      </c>
      <c r="AH763" s="61">
        <f>AH753*$D763</f>
        <v/>
      </c>
      <c r="AI763" s="62">
        <f>AI753*$D763</f>
        <v/>
      </c>
      <c r="AJ763" s="62">
        <f>AJ753*$D763</f>
        <v/>
      </c>
      <c r="AK763" s="62">
        <f>AK753*$D763</f>
        <v/>
      </c>
      <c r="AL763" s="62">
        <f>AL753*$D763</f>
        <v/>
      </c>
      <c r="AM763" s="62">
        <f>AM753*$D763</f>
        <v/>
      </c>
      <c r="AN763" s="62">
        <f>AN753*$D763</f>
        <v/>
      </c>
      <c r="AO763" s="62">
        <f>AO753*$D763</f>
        <v/>
      </c>
      <c r="AP763" s="62">
        <f>AP753*$D763</f>
        <v/>
      </c>
      <c r="AQ763" s="62">
        <f>AQ753*$D763</f>
        <v/>
      </c>
      <c r="AR763" s="62">
        <f>AR753*$D763</f>
        <v/>
      </c>
      <c r="AS763" s="62">
        <f>AS753*$D763</f>
        <v/>
      </c>
      <c r="AT763" s="62">
        <f>AT753*$D763</f>
        <v/>
      </c>
      <c r="AU763" s="62">
        <f>AU753*$D763</f>
        <v/>
      </c>
      <c r="AV763" s="62">
        <f>AV753*$D763</f>
        <v/>
      </c>
      <c r="AW763" s="62">
        <f>AW753*$D763</f>
        <v/>
      </c>
      <c r="AX763" s="62">
        <f>AX753*$D763</f>
        <v/>
      </c>
      <c r="AY763" s="62">
        <f>AY753*$D763</f>
        <v/>
      </c>
      <c r="AZ763" s="62">
        <f>AZ753*$D763</f>
        <v/>
      </c>
      <c r="BA763" s="63">
        <f>SCALE(BA753,$D763)</f>
        <v/>
      </c>
    </row>
    <row r="764" hidden="1" outlineLevel="1">
      <c r="A764" s="14" t="inlineStr">
        <is>
          <t>co2</t>
        </is>
      </c>
      <c r="B764" s="14" t="inlineStr">
        <is>
          <t>bio</t>
        </is>
      </c>
      <c r="C764" s="14" t="inlineStr">
        <is>
          <t>pow</t>
        </is>
      </c>
      <c r="D764" s="45">
        <f>INDEX(Inputs_power!$AS$5:$AS$13,MATCH($B764,Inputs_power!$A$5:$A$13,0))</f>
        <v/>
      </c>
      <c r="E764" s="39" t="n"/>
      <c r="F764" s="39" t="n"/>
      <c r="G764" s="39" t="n"/>
      <c r="H764" s="14">
        <f>INDEX(VarLab,MATCH($A764,VarKey,0))&amp;INDEX(MemLab,MATCH($C764&amp;"|"&amp;$B764,MemKey,0))</f>
        <v/>
      </c>
      <c r="I764" s="14">
        <f>INDEX(VarUnit,MATCH($A764,VarKey,0))</f>
        <v/>
      </c>
      <c r="J764" s="14">
        <f>INDEX(VarSrc,MATCH($A764,VarKey,0))</f>
        <v/>
      </c>
      <c r="K764" s="11">
        <f>CodePrefix&amp;$A764&amp;IF($C764="","","."&amp;$C764&amp;"."&amp;$B764)&amp;INDEX(VarEnd,MATCH($A764,VarKey,0))&amp;K$5</f>
        <v/>
      </c>
      <c r="L764" s="61">
        <f>L754*$D764</f>
        <v/>
      </c>
      <c r="M764" s="62">
        <f>M754*$D764</f>
        <v/>
      </c>
      <c r="N764" s="62">
        <f>N754*$D764</f>
        <v/>
      </c>
      <c r="O764" s="62">
        <f>O754*$D764</f>
        <v/>
      </c>
      <c r="P764" s="62">
        <f>P754*$D764</f>
        <v/>
      </c>
      <c r="Q764" s="62">
        <f>Q754*$D764</f>
        <v/>
      </c>
      <c r="R764" s="62">
        <f>R754*$D764</f>
        <v/>
      </c>
      <c r="S764" s="62">
        <f>S754*$D764</f>
        <v/>
      </c>
      <c r="T764" s="62">
        <f>T754*$D764</f>
        <v/>
      </c>
      <c r="U764" s="62">
        <f>U754*$D764</f>
        <v/>
      </c>
      <c r="V764" s="62">
        <f>V754*$D764</f>
        <v/>
      </c>
      <c r="W764" s="62">
        <f>W754*$D764</f>
        <v/>
      </c>
      <c r="X764" s="62">
        <f>X754*$D764</f>
        <v/>
      </c>
      <c r="Y764" s="62">
        <f>Y754*$D764</f>
        <v/>
      </c>
      <c r="Z764" s="62">
        <f>Z754*$D764</f>
        <v/>
      </c>
      <c r="AA764" s="62">
        <f>AA754*$D764</f>
        <v/>
      </c>
      <c r="AB764" s="62">
        <f>AB754*$D764</f>
        <v/>
      </c>
      <c r="AC764" s="62">
        <f>AC754*$D764</f>
        <v/>
      </c>
      <c r="AD764" s="62">
        <f>AD754*$D764</f>
        <v/>
      </c>
      <c r="AE764" s="63">
        <f>SCALE(AE754,$D764)</f>
        <v/>
      </c>
      <c r="AG764" s="11">
        <f>CodePrefix&amp;$A764&amp;IF($C764="","","."&amp;$C764&amp;"."&amp;$B764)&amp;INDEX(VarEnd,MATCH($A764,VarKey,0))&amp;AG$5</f>
        <v/>
      </c>
      <c r="AH764" s="61">
        <f>AH754*$D764</f>
        <v/>
      </c>
      <c r="AI764" s="62">
        <f>AI754*$D764</f>
        <v/>
      </c>
      <c r="AJ764" s="62">
        <f>AJ754*$D764</f>
        <v/>
      </c>
      <c r="AK764" s="62">
        <f>AK754*$D764</f>
        <v/>
      </c>
      <c r="AL764" s="62">
        <f>AL754*$D764</f>
        <v/>
      </c>
      <c r="AM764" s="62">
        <f>AM754*$D764</f>
        <v/>
      </c>
      <c r="AN764" s="62">
        <f>AN754*$D764</f>
        <v/>
      </c>
      <c r="AO764" s="62">
        <f>AO754*$D764</f>
        <v/>
      </c>
      <c r="AP764" s="62">
        <f>AP754*$D764</f>
        <v/>
      </c>
      <c r="AQ764" s="62">
        <f>AQ754*$D764</f>
        <v/>
      </c>
      <c r="AR764" s="62">
        <f>AR754*$D764</f>
        <v/>
      </c>
      <c r="AS764" s="62">
        <f>AS754*$D764</f>
        <v/>
      </c>
      <c r="AT764" s="62">
        <f>AT754*$D764</f>
        <v/>
      </c>
      <c r="AU764" s="62">
        <f>AU754*$D764</f>
        <v/>
      </c>
      <c r="AV764" s="62">
        <f>AV754*$D764</f>
        <v/>
      </c>
      <c r="AW764" s="62">
        <f>AW754*$D764</f>
        <v/>
      </c>
      <c r="AX764" s="62">
        <f>AX754*$D764</f>
        <v/>
      </c>
      <c r="AY764" s="62">
        <f>AY754*$D764</f>
        <v/>
      </c>
      <c r="AZ764" s="62">
        <f>AZ754*$D764</f>
        <v/>
      </c>
      <c r="BA764" s="63">
        <f>SCALE(BA754,$D764)</f>
        <v/>
      </c>
    </row>
    <row r="765" hidden="1" outlineLevel="1"/>
    <row r="766" hidden="1" outlineLevel="1">
      <c r="H766" s="21" t="inlineStr">
        <is>
          <t>J. Systems integration cost of variable renewables: storage ($/kWh)</t>
        </is>
      </c>
    </row>
    <row r="767" collapsed="1">
      <c r="A767" s="1" t="inlineStr">
        <is>
          <t>vre</t>
        </is>
      </c>
      <c r="B767" s="1" t="inlineStr"/>
      <c r="C767" s="1" t="inlineStr"/>
      <c r="D767" s="53" t="n">
        <v>1</v>
      </c>
      <c r="E767" s="39" t="n"/>
      <c r="F767" s="39" t="n"/>
      <c r="G767" s="39" t="n"/>
      <c r="H767" s="1">
        <f>INDEX(VarLab,MATCH($A767,VarKey,0))&amp;INDEX(MemLab,MATCH($C767&amp;"|"&amp;$B767,MemKey,0))</f>
        <v/>
      </c>
      <c r="I767" s="1">
        <f>INDEX(VarUnit,MATCH($A767,VarKey,0))</f>
        <v/>
      </c>
      <c r="J767" s="1">
        <f>INDEX(VarSrc,MATCH($A767,VarKey,0))</f>
        <v/>
      </c>
      <c r="K767" s="17">
        <f>CodePrefix&amp;$A767&amp;IF($C767="","","."&amp;$C767&amp;"."&amp;$B767)&amp;INDEX(VarEnd,MATCH($A767,VarKey,0))&amp;K$5</f>
        <v/>
      </c>
      <c r="L767" s="64">
        <f>SUMPRODUCT(L$736:L$744,$D$736:$D$744)*$D767</f>
        <v/>
      </c>
      <c r="M767" s="65">
        <f>SUMPRODUCT(M$736:M$744,$D$736:$D$744)*$D767</f>
        <v/>
      </c>
      <c r="N767" s="65">
        <f>SUMPRODUCT(N$736:N$744,$D$736:$D$744)*$D767</f>
        <v/>
      </c>
      <c r="O767" s="65">
        <f>SUMPRODUCT(O$736:O$744,$D$736:$D$744)*$D767</f>
        <v/>
      </c>
      <c r="P767" s="65">
        <f>SUMPRODUCT(P$736:P$744,$D$736:$D$744)*$D767</f>
        <v/>
      </c>
      <c r="Q767" s="65">
        <f>SUMPRODUCT(Q$736:Q$744,$D$736:$D$744)*$D767</f>
        <v/>
      </c>
      <c r="R767" s="65">
        <f>SUMPRODUCT(R$736:R$744,$D$736:$D$744)*$D767</f>
        <v/>
      </c>
      <c r="S767" s="65">
        <f>SUMPRODUCT(S$736:S$744,$D$736:$D$744)*$D767</f>
        <v/>
      </c>
      <c r="T767" s="65">
        <f>SUMPRODUCT(T$736:T$744,$D$736:$D$744)*$D767</f>
        <v/>
      </c>
      <c r="U767" s="65">
        <f>SUMPRODUCT(U$736:U$744,$D$736:$D$744)*$D767</f>
        <v/>
      </c>
      <c r="V767" s="65">
        <f>SUMPRODUCT(V$736:V$744,$D$736:$D$744)*$D767</f>
        <v/>
      </c>
      <c r="W767" s="65">
        <f>SUMPRODUCT(W$736:W$744,$D$736:$D$744)*$D767</f>
        <v/>
      </c>
      <c r="X767" s="65">
        <f>SUMPRODUCT(X$736:X$744,$D$736:$D$744)*$D767</f>
        <v/>
      </c>
      <c r="Y767" s="65">
        <f>SUMPRODUCT(Y$736:Y$744,$D$736:$D$744)*$D767</f>
        <v/>
      </c>
      <c r="Z767" s="65">
        <f>SUMPRODUCT(Z$736:Z$744,$D$736:$D$744)*$D767</f>
        <v/>
      </c>
      <c r="AA767" s="65">
        <f>SUMPRODUCT(AA$736:AA$744,$D$736:$D$744)*$D767</f>
        <v/>
      </c>
      <c r="AB767" s="65">
        <f>SUMPRODUCT(AB$736:AB$744,$D$736:$D$744)*$D767</f>
        <v/>
      </c>
      <c r="AC767" s="65">
        <f>SUMPRODUCT(AC$736:AC$744,$D$736:$D$744)*$D767</f>
        <v/>
      </c>
      <c r="AD767" s="65">
        <f>SUMPRODUCT(AD$736:AD$744,$D$736:$D$744)*$D767</f>
        <v/>
      </c>
      <c r="AE767" s="42">
        <f>WEIGHTED(AE$736:AE$744,$D$736:$D$744,$D767)</f>
        <v/>
      </c>
      <c r="AG767" s="17">
        <f>CodePrefix&amp;$A767&amp;IF($C767="","","."&amp;$C767&amp;"."&amp;$B767)&amp;INDEX(VarEnd,MATCH($A767,VarKey,0))&amp;AG$5</f>
        <v/>
      </c>
      <c r="AH767" s="64">
        <f>SUMPRODUCT(AH$736:AH$744,$D$736:$D$744)*$D767</f>
        <v/>
      </c>
      <c r="AI767" s="65">
        <f>SUMPRODUCT(AI$736:AI$744,$D$736:$D$744)*$D767</f>
        <v/>
      </c>
      <c r="AJ767" s="65">
        <f>SUMPRODUCT(AJ$736:AJ$744,$D$736:$D$744)*$D767</f>
        <v/>
      </c>
      <c r="AK767" s="65">
        <f>SUMPRODUCT(AK$736:AK$744,$D$736:$D$744)*$D767</f>
        <v/>
      </c>
      <c r="AL767" s="65">
        <f>SUMPRODUCT(AL$736:AL$744,$D$736:$D$744)*$D767</f>
        <v/>
      </c>
      <c r="AM767" s="65">
        <f>SUMPRODUCT(AM$736:AM$744,$D$736:$D$744)*$D767</f>
        <v/>
      </c>
      <c r="AN767" s="65">
        <f>SUMPRODUCT(AN$736:AN$744,$D$736:$D$744)*$D767</f>
        <v/>
      </c>
      <c r="AO767" s="65">
        <f>SUMPRODUCT(AO$736:AO$744,$D$736:$D$744)*$D767</f>
        <v/>
      </c>
      <c r="AP767" s="65">
        <f>SUMPRODUCT(AP$736:AP$744,$D$736:$D$744)*$D767</f>
        <v/>
      </c>
      <c r="AQ767" s="65">
        <f>SUMPRODUCT(AQ$736:AQ$744,$D$736:$D$744)*$D767</f>
        <v/>
      </c>
      <c r="AR767" s="65">
        <f>SUMPRODUCT(AR$736:AR$744,$D$736:$D$744)*$D767</f>
        <v/>
      </c>
      <c r="AS767" s="65">
        <f>SUMPRODUCT(AS$736:AS$744,$D$736:$D$744)*$D767</f>
        <v/>
      </c>
      <c r="AT767" s="65">
        <f>SUMPRODUCT(AT$736:AT$744,$D$736:$D$744)*$D767</f>
        <v/>
      </c>
      <c r="AU767" s="65">
        <f>SUMPRODUCT(AU$736:AU$744,$D$736:$D$744)*$D767</f>
        <v/>
      </c>
      <c r="AV767" s="65">
        <f>SUMPRODUCT(AV$736:AV$744,$D$736:$D$744)*$D767</f>
        <v/>
      </c>
      <c r="AW767" s="65">
        <f>SUMPRODUCT(AW$736:AW$744,$D$736:$D$744)*$D767</f>
        <v/>
      </c>
      <c r="AX767" s="65">
        <f>SUMPRODUCT(AX$736:AX$744,$D$736:$D$744)*$D767</f>
        <v/>
      </c>
      <c r="AY767" s="65">
        <f>SUMPRODUCT(AY$736:AY$744,$D$736:$D$744)*$D767</f>
        <v/>
      </c>
      <c r="AZ767" s="65">
        <f>SUMPRODUCT(AZ$736:AZ$744,$D$736:$D$744)*$D767</f>
        <v/>
      </c>
      <c r="BA767" s="42">
        <f>WEIGHTED(BA$736:BA$744,$D$736:$D$744,$D767)</f>
        <v/>
      </c>
    </row>
    <row r="768" hidden="1" outlineLevel="1">
      <c r="A768" s="14" t="inlineStr">
        <is>
          <t>cph</t>
        </is>
      </c>
      <c r="B768" s="14" t="inlineStr"/>
      <c r="C768" s="14" t="inlineStr"/>
      <c r="D768" s="45">
        <f>INDEX(PParVal,MATCH("st_ratio",PParKey,0))</f>
        <v/>
      </c>
      <c r="E768" s="45">
        <f>INDEX(PParVal,MATCH("dlf_ren",PParKey,0))</f>
        <v/>
      </c>
      <c r="F768" s="39" t="n"/>
      <c r="G768" s="39" t="n"/>
      <c r="H768" s="14">
        <f>INDEX(VarLab,MATCH($A768,VarKey,0))&amp;INDEX(MemLab,MATCH($C768&amp;"|"&amp;$B768,MemKey,0))</f>
        <v/>
      </c>
      <c r="I768" s="14">
        <f>INDEX(VarUnit,MATCH($A768,VarKey,0))</f>
        <v/>
      </c>
      <c r="J768" s="14">
        <f>INDEX(VarSrc,MATCH($A768,VarKey,0))</f>
        <v/>
      </c>
      <c r="K768" s="11">
        <f>CodePrefix&amp;$A768&amp;IF($C768="","","."&amp;$C768&amp;"."&amp;$B768)&amp;INDEX(VarEnd,MATCH($A768,VarKey,0))&amp;K$5</f>
        <v/>
      </c>
      <c r="L768" s="15">
        <f>(L$459+L$460/$D768)/($E768*8760)+L$461/8760</f>
        <v/>
      </c>
      <c r="M768" s="16">
        <f>(M$459+M$460/$D768)/($E768*8760)+M$461/8760</f>
        <v/>
      </c>
      <c r="N768" s="16">
        <f>(N$459+N$460/$D768)/($E768*8760)+N$461/8760</f>
        <v/>
      </c>
      <c r="O768" s="16">
        <f>(O$459+O$460/$D768)/($E768*8760)+O$461/8760</f>
        <v/>
      </c>
      <c r="P768" s="16">
        <f>(P$459+P$460/$D768)/($E768*8760)+P$461/8760</f>
        <v/>
      </c>
      <c r="Q768" s="16">
        <f>(Q$459+Q$460/$D768)/($E768*8760)+Q$461/8760</f>
        <v/>
      </c>
      <c r="R768" s="16">
        <f>(R$459+R$460/$D768)/($E768*8760)+R$461/8760</f>
        <v/>
      </c>
      <c r="S768" s="16">
        <f>(S$459+S$460/$D768)/($E768*8760)+S$461/8760</f>
        <v/>
      </c>
      <c r="T768" s="16">
        <f>(T$459+T$460/$D768)/($E768*8760)+T$461/8760</f>
        <v/>
      </c>
      <c r="U768" s="16">
        <f>(U$459+U$460/$D768)/($E768*8760)+U$461/8760</f>
        <v/>
      </c>
      <c r="V768" s="16">
        <f>(V$459+V$460/$D768)/($E768*8760)+V$461/8760</f>
        <v/>
      </c>
      <c r="W768" s="16">
        <f>(W$459+W$460/$D768)/($E768*8760)+W$461/8760</f>
        <v/>
      </c>
      <c r="X768" s="16">
        <f>(X$459+X$460/$D768)/($E768*8760)+X$461/8760</f>
        <v/>
      </c>
      <c r="Y768" s="16">
        <f>(Y$459+Y$460/$D768)/($E768*8760)+Y$461/8760</f>
        <v/>
      </c>
      <c r="Z768" s="16">
        <f>(Z$459+Z$460/$D768)/($E768*8760)+Z$461/8760</f>
        <v/>
      </c>
      <c r="AA768" s="16">
        <f>(AA$459+AA$460/$D768)/($E768*8760)+AA$461/8760</f>
        <v/>
      </c>
      <c r="AB768" s="16">
        <f>(AB$459+AB$460/$D768)/($E768*8760)+AB$461/8760</f>
        <v/>
      </c>
      <c r="AC768" s="16">
        <f>(AC$459+AC$460/$D768)/($E768*8760)+AC$461/8760</f>
        <v/>
      </c>
      <c r="AD768" s="16">
        <f>(AD$459+AD$460/$D768)/($E768*8760)+AD$461/8760</f>
        <v/>
      </c>
      <c r="AE768" s="49">
        <f>STORAGEHOUR(AE$459,AE$460,AE$461,$D768,$E768)</f>
        <v/>
      </c>
      <c r="AG768" s="11">
        <f>CodePrefix&amp;$A768&amp;IF($C768="","","."&amp;$C768&amp;"."&amp;$B768)&amp;INDEX(VarEnd,MATCH($A768,VarKey,0))&amp;AG$5</f>
        <v/>
      </c>
      <c r="AH768" s="15">
        <f>(AH$459+AH$460/$D768)/($E768*8760)+AH$461/8760</f>
        <v/>
      </c>
      <c r="AI768" s="16">
        <f>(AI$459+AI$460/$D768)/($E768*8760)+AI$461/8760</f>
        <v/>
      </c>
      <c r="AJ768" s="16">
        <f>(AJ$459+AJ$460/$D768)/($E768*8760)+AJ$461/8760</f>
        <v/>
      </c>
      <c r="AK768" s="16">
        <f>(AK$459+AK$460/$D768)/($E768*8760)+AK$461/8760</f>
        <v/>
      </c>
      <c r="AL768" s="16">
        <f>(AL$459+AL$460/$D768)/($E768*8760)+AL$461/8760</f>
        <v/>
      </c>
      <c r="AM768" s="16">
        <f>(AM$459+AM$460/$D768)/($E768*8760)+AM$461/8760</f>
        <v/>
      </c>
      <c r="AN768" s="16">
        <f>(AN$459+AN$460/$D768)/($E768*8760)+AN$461/8760</f>
        <v/>
      </c>
      <c r="AO768" s="16">
        <f>(AO$459+AO$460/$D768)/($E768*8760)+AO$461/8760</f>
        <v/>
      </c>
      <c r="AP768" s="16">
        <f>(AP$459+AP$460/$D768)/($E768*8760)+AP$461/8760</f>
        <v/>
      </c>
      <c r="AQ768" s="16">
        <f>(AQ$459+AQ$460/$D768)/($E768*8760)+AQ$461/8760</f>
        <v/>
      </c>
      <c r="AR768" s="16">
        <f>(AR$459+AR$460/$D768)/($E768*8760)+AR$461/8760</f>
        <v/>
      </c>
      <c r="AS768" s="16">
        <f>(AS$459+AS$460/$D768)/($E768*8760)+AS$461/8760</f>
        <v/>
      </c>
      <c r="AT768" s="16">
        <f>(AT$459+AT$460/$D768)/($E768*8760)+AT$461/8760</f>
        <v/>
      </c>
      <c r="AU768" s="16">
        <f>(AU$459+AU$460/$D768)/($E768*8760)+AU$461/8760</f>
        <v/>
      </c>
      <c r="AV768" s="16">
        <f>(AV$459+AV$460/$D768)/($E768*8760)+AV$461/8760</f>
        <v/>
      </c>
      <c r="AW768" s="16">
        <f>(AW$459+AW$460/$D768)/($E768*8760)+AW$461/8760</f>
        <v/>
      </c>
      <c r="AX768" s="16">
        <f>(AX$459+AX$460/$D768)/($E768*8760)+AX$461/8760</f>
        <v/>
      </c>
      <c r="AY768" s="16">
        <f>(AY$459+AY$460/$D768)/($E768*8760)+AY$461/8760</f>
        <v/>
      </c>
      <c r="AZ768" s="16">
        <f>(AZ$459+AZ$460/$D768)/($E768*8760)+AZ$461/8760</f>
        <v/>
      </c>
      <c r="BA768" s="49">
        <f>STORAGEHOUR(BA$459,BA$460,BA$461,$D768,$E768)</f>
        <v/>
      </c>
    </row>
    <row r="769" hidden="1" outlineLevel="1">
      <c r="A769" s="14" t="inlineStr">
        <is>
          <t>msc</t>
        </is>
      </c>
      <c r="B769" s="14" t="inlineStr"/>
      <c r="C769" s="14" t="inlineStr"/>
      <c r="D769" s="45">
        <f>INDEX(PParVal,MATCH("st_alloc",PParKey,0))</f>
        <v/>
      </c>
      <c r="E769" s="45">
        <f>INDEX(PParVal,MATCH("st_marg_hours",PParKey,0))</f>
        <v/>
      </c>
      <c r="F769" s="45">
        <f>INDEX(PParVal,MATCH("lt_start",PParKey,0))</f>
        <v/>
      </c>
      <c r="G769" s="45">
        <f>INDEX(PParVal,MATCH("lt_alloc",PParKey,0))</f>
        <v/>
      </c>
      <c r="H769" s="14">
        <f>INDEX(VarLab,MATCH($A769,VarKey,0))&amp;INDEX(MemLab,MATCH($C769&amp;"|"&amp;$B769,MemKey,0))</f>
        <v/>
      </c>
      <c r="I769" s="14">
        <f>INDEX(VarUnit,MATCH($A769,VarKey,0))</f>
        <v/>
      </c>
      <c r="J769" s="14">
        <f>INDEX(VarSrc,MATCH($A769,VarKey,0))</f>
        <v/>
      </c>
      <c r="K769" s="11">
        <f>CodePrefix&amp;$A769&amp;IF($C769="","","."&amp;$C769&amp;"."&amp;$B769)&amp;INDEX(VarEnd,MATCH($A769,VarKey,0))&amp;K$5</f>
        <v/>
      </c>
      <c r="L769" s="15">
        <f>$D769*$E769*L$767*L$768+2*MAX(0,L$767-$F769)/(1-$F769)^2*L$462*$G769</f>
        <v/>
      </c>
      <c r="M769" s="16">
        <f>$D769*$E769*M$767*M$768+2*MAX(0,M$767-$F769)/(1-$F769)^2*M$462*$G769</f>
        <v/>
      </c>
      <c r="N769" s="16">
        <f>$D769*$E769*N$767*N$768+2*MAX(0,N$767-$F769)/(1-$F769)^2*N$462*$G769</f>
        <v/>
      </c>
      <c r="O769" s="16">
        <f>$D769*$E769*O$767*O$768+2*MAX(0,O$767-$F769)/(1-$F769)^2*O$462*$G769</f>
        <v/>
      </c>
      <c r="P769" s="16">
        <f>$D769*$E769*P$767*P$768+2*MAX(0,P$767-$F769)/(1-$F769)^2*P$462*$G769</f>
        <v/>
      </c>
      <c r="Q769" s="16">
        <f>$D769*$E769*Q$767*Q$768+2*MAX(0,Q$767-$F769)/(1-$F769)^2*Q$462*$G769</f>
        <v/>
      </c>
      <c r="R769" s="16">
        <f>$D769*$E769*R$767*R$768+2*MAX(0,R$767-$F769)/(1-$F769)^2*R$462*$G769</f>
        <v/>
      </c>
      <c r="S769" s="16">
        <f>$D769*$E769*S$767*S$768+2*MAX(0,S$767-$F769)/(1-$F769)^2*S$462*$G769</f>
        <v/>
      </c>
      <c r="T769" s="16">
        <f>$D769*$E769*T$767*T$768+2*MAX(0,T$767-$F769)/(1-$F769)^2*T$462*$G769</f>
        <v/>
      </c>
      <c r="U769" s="16">
        <f>$D769*$E769*U$767*U$768+2*MAX(0,U$767-$F769)/(1-$F769)^2*U$462*$G769</f>
        <v/>
      </c>
      <c r="V769" s="16">
        <f>$D769*$E769*V$767*V$768+2*MAX(0,V$767-$F769)/(1-$F769)^2*V$462*$G769</f>
        <v/>
      </c>
      <c r="W769" s="16">
        <f>$D769*$E769*W$767*W$768+2*MAX(0,W$767-$F769)/(1-$F769)^2*W$462*$G769</f>
        <v/>
      </c>
      <c r="X769" s="16">
        <f>$D769*$E769*X$767*X$768+2*MAX(0,X$767-$F769)/(1-$F769)^2*X$462*$G769</f>
        <v/>
      </c>
      <c r="Y769" s="16">
        <f>$D769*$E769*Y$767*Y$768+2*MAX(0,Y$767-$F769)/(1-$F769)^2*Y$462*$G769</f>
        <v/>
      </c>
      <c r="Z769" s="16">
        <f>$D769*$E769*Z$767*Z$768+2*MAX(0,Z$767-$F769)/(1-$F769)^2*Z$462*$G769</f>
        <v/>
      </c>
      <c r="AA769" s="16">
        <f>$D769*$E769*AA$767*AA$768+2*MAX(0,AA$767-$F769)/(1-$F769)^2*AA$462*$G769</f>
        <v/>
      </c>
      <c r="AB769" s="16">
        <f>$D769*$E769*AB$767*AB$768+2*MAX(0,AB$767-$F769)/(1-$F769)^2*AB$462*$G769</f>
        <v/>
      </c>
      <c r="AC769" s="16">
        <f>$D769*$E769*AC$767*AC$768+2*MAX(0,AC$767-$F769)/(1-$F769)^2*AC$462*$G769</f>
        <v/>
      </c>
      <c r="AD769" s="16">
        <f>$D769*$E769*AD$767*AD$768+2*MAX(0,AD$767-$F769)/(1-$F769)^2*AD$462*$G769</f>
        <v/>
      </c>
      <c r="AE769" s="49">
        <f>STORAGECOST($D769,$E769,AE$767,AE$768,$F769,AE$462,$G769)</f>
        <v/>
      </c>
      <c r="AG769" s="11">
        <f>CodePrefix&amp;$A769&amp;IF($C769="","","."&amp;$C769&amp;"."&amp;$B769)&amp;INDEX(VarEnd,MATCH($A769,VarKey,0))&amp;AG$5</f>
        <v/>
      </c>
      <c r="AH769" s="15">
        <f>$D769*$E769*AH$767*AH$768+2*MAX(0,AH$767-$F769)/(1-$F769)^2*AH$462*$G769</f>
        <v/>
      </c>
      <c r="AI769" s="16">
        <f>$D769*$E769*AI$767*AI$768+2*MAX(0,AI$767-$F769)/(1-$F769)^2*AI$462*$G769</f>
        <v/>
      </c>
      <c r="AJ769" s="16">
        <f>$D769*$E769*AJ$767*AJ$768+2*MAX(0,AJ$767-$F769)/(1-$F769)^2*AJ$462*$G769</f>
        <v/>
      </c>
      <c r="AK769" s="16">
        <f>$D769*$E769*AK$767*AK$768+2*MAX(0,AK$767-$F769)/(1-$F769)^2*AK$462*$G769</f>
        <v/>
      </c>
      <c r="AL769" s="16">
        <f>$D769*$E769*AL$767*AL$768+2*MAX(0,AL$767-$F769)/(1-$F769)^2*AL$462*$G769</f>
        <v/>
      </c>
      <c r="AM769" s="16">
        <f>$D769*$E769*AM$767*AM$768+2*MAX(0,AM$767-$F769)/(1-$F769)^2*AM$462*$G769</f>
        <v/>
      </c>
      <c r="AN769" s="16">
        <f>$D769*$E769*AN$767*AN$768+2*MAX(0,AN$767-$F769)/(1-$F769)^2*AN$462*$G769</f>
        <v/>
      </c>
      <c r="AO769" s="16">
        <f>$D769*$E769*AO$767*AO$768+2*MAX(0,AO$767-$F769)/(1-$F769)^2*AO$462*$G769</f>
        <v/>
      </c>
      <c r="AP769" s="16">
        <f>$D769*$E769*AP$767*AP$768+2*MAX(0,AP$767-$F769)/(1-$F769)^2*AP$462*$G769</f>
        <v/>
      </c>
      <c r="AQ769" s="16">
        <f>$D769*$E769*AQ$767*AQ$768+2*MAX(0,AQ$767-$F769)/(1-$F769)^2*AQ$462*$G769</f>
        <v/>
      </c>
      <c r="AR769" s="16">
        <f>$D769*$E769*AR$767*AR$768+2*MAX(0,AR$767-$F769)/(1-$F769)^2*AR$462*$G769</f>
        <v/>
      </c>
      <c r="AS769" s="16">
        <f>$D769*$E769*AS$767*AS$768+2*MAX(0,AS$767-$F769)/(1-$F769)^2*AS$462*$G769</f>
        <v/>
      </c>
      <c r="AT769" s="16">
        <f>$D769*$E769*AT$767*AT$768+2*MAX(0,AT$767-$F769)/(1-$F769)^2*AT$462*$G769</f>
        <v/>
      </c>
      <c r="AU769" s="16">
        <f>$D769*$E769*AU$767*AU$768+2*MAX(0,AU$767-$F769)/(1-$F769)^2*AU$462*$G769</f>
        <v/>
      </c>
      <c r="AV769" s="16">
        <f>$D769*$E769*AV$767*AV$768+2*MAX(0,AV$767-$F769)/(1-$F769)^2*AV$462*$G769</f>
        <v/>
      </c>
      <c r="AW769" s="16">
        <f>$D769*$E769*AW$767*AW$768+2*MAX(0,AW$767-$F769)/(1-$F769)^2*AW$462*$G769</f>
        <v/>
      </c>
      <c r="AX769" s="16">
        <f>$D769*$E769*AX$767*AX$768+2*MAX(0,AX$767-$F769)/(1-$F769)^2*AX$462*$G769</f>
        <v/>
      </c>
      <c r="AY769" s="16">
        <f>$D769*$E769*AY$767*AY$768+2*MAX(0,AY$767-$F769)/(1-$F769)^2*AY$462*$G769</f>
        <v/>
      </c>
      <c r="AZ769" s="16">
        <f>$D769*$E769*AZ$767*AZ$768+2*MAX(0,AZ$767-$F769)/(1-$F769)^2*AZ$462*$G769</f>
        <v/>
      </c>
      <c r="BA769" s="49">
        <f>STORAGECOST($D769,$E769,BA$767,BA$768,$F769,BA$462,$G769)</f>
        <v/>
      </c>
    </row>
    <row r="770" hidden="1" outlineLevel="1"/>
    <row r="771" hidden="1" outlineLevel="1">
      <c r="H771" s="21" t="inlineStr">
        <is>
          <t>K. Capacity (MW) and retirements: nameplate and effective capacity, planned retirement (data, used where switched on), retirements, cost-based early coal retirement, effective capacity needed</t>
        </is>
      </c>
    </row>
    <row r="772" hidden="1" outlineLevel="1">
      <c r="A772" s="14" t="inlineStr">
        <is>
          <t>cap</t>
        </is>
      </c>
      <c r="B772" s="14" t="inlineStr">
        <is>
          <t>coa</t>
        </is>
      </c>
      <c r="C772" s="14" t="inlineStr">
        <is>
          <t>pow</t>
        </is>
      </c>
      <c r="D772" s="45">
        <f>INDEX(Inputs_power!$AE$5:$AE$13,MATCH($B772,Inputs_power!$A$5:$A$13,0))</f>
        <v/>
      </c>
      <c r="E772" s="39" t="n"/>
      <c r="F772" s="39" t="n"/>
      <c r="G772" s="39" t="n"/>
      <c r="H772" s="14">
        <f>INDEX(VarLab,MATCH($A772,VarKey,0))&amp;INDEX(MemLab,MATCH($C772&amp;"|"&amp;$B772,MemKey,0))</f>
        <v/>
      </c>
      <c r="I772" s="14">
        <f>INDEX(VarUnit,MATCH($A772,VarKey,0))</f>
        <v/>
      </c>
      <c r="J772" s="14">
        <f>INDEX(VarSrc,MATCH($A772,VarKey,0))</f>
        <v/>
      </c>
      <c r="K772" s="11">
        <f>CodePrefix&amp;$A772&amp;IF($C772="","","."&amp;$C772&amp;"."&amp;$B772)&amp;INDEX(VarEnd,MATCH($A772,VarKey,0))&amp;K$5</f>
        <v/>
      </c>
      <c r="L772" s="46">
        <f>$D772</f>
        <v/>
      </c>
      <c r="M772" s="47">
        <f>L772-L804+L915</f>
        <v/>
      </c>
      <c r="N772" s="47">
        <f>M772-M804+M915</f>
        <v/>
      </c>
      <c r="O772" s="47">
        <f>N772-N804+N915</f>
        <v/>
      </c>
      <c r="P772" s="47">
        <f>O772-O804+O915</f>
        <v/>
      </c>
      <c r="Q772" s="47">
        <f>P772-P804+P915</f>
        <v/>
      </c>
      <c r="R772" s="47">
        <f>Q772-Q804+Q915</f>
        <v/>
      </c>
      <c r="S772" s="47">
        <f>R772-R804+R915</f>
        <v/>
      </c>
      <c r="T772" s="47">
        <f>S772-S804+S915</f>
        <v/>
      </c>
      <c r="U772" s="47">
        <f>T772-T804+T915</f>
        <v/>
      </c>
      <c r="V772" s="47">
        <f>U772-U804+U915</f>
        <v/>
      </c>
      <c r="W772" s="47">
        <f>V772-V804+V915</f>
        <v/>
      </c>
      <c r="X772" s="47">
        <f>W772-W804+W915</f>
        <v/>
      </c>
      <c r="Y772" s="47">
        <f>X772-X804+X915</f>
        <v/>
      </c>
      <c r="Z772" s="47">
        <f>Y772-Y804+Y915</f>
        <v/>
      </c>
      <c r="AA772" s="47">
        <f>Z772-Z804+Z915</f>
        <v/>
      </c>
      <c r="AB772" s="47">
        <f>AA772-AA804+AA915</f>
        <v/>
      </c>
      <c r="AC772" s="47">
        <f>AB772-AB804+AB915</f>
        <v/>
      </c>
      <c r="AD772" s="47">
        <f>AC772-AC804+AC915</f>
        <v/>
      </c>
      <c r="AE772" s="48">
        <f>CARRY(AD772,AD804,AD915)</f>
        <v/>
      </c>
      <c r="AG772" s="11">
        <f>CodePrefix&amp;$A772&amp;IF($C772="","","."&amp;$C772&amp;"."&amp;$B772)&amp;INDEX(VarEnd,MATCH($A772,VarKey,0))&amp;AG$5</f>
        <v/>
      </c>
      <c r="AH772" s="46">
        <f>$D772</f>
        <v/>
      </c>
      <c r="AI772" s="47">
        <f>AH772-AH804+AH915</f>
        <v/>
      </c>
      <c r="AJ772" s="47">
        <f>AI772-AI804+AI915</f>
        <v/>
      </c>
      <c r="AK772" s="47">
        <f>AJ772-AJ804+AJ915</f>
        <v/>
      </c>
      <c r="AL772" s="47">
        <f>AK772-AK804+AK915</f>
        <v/>
      </c>
      <c r="AM772" s="47">
        <f>AL772-AL804+AL915</f>
        <v/>
      </c>
      <c r="AN772" s="47">
        <f>AM772-AM804+AM915</f>
        <v/>
      </c>
      <c r="AO772" s="47">
        <f>AN772-AN804+AN915</f>
        <v/>
      </c>
      <c r="AP772" s="47">
        <f>AO772-AO804+AO915</f>
        <v/>
      </c>
      <c r="AQ772" s="47">
        <f>AP772-AP804+AP915</f>
        <v/>
      </c>
      <c r="AR772" s="47">
        <f>AQ772-AQ804+AQ915</f>
        <v/>
      </c>
      <c r="AS772" s="47">
        <f>AR772-AR804+AR915</f>
        <v/>
      </c>
      <c r="AT772" s="47">
        <f>AS772-AS804+AS915</f>
        <v/>
      </c>
      <c r="AU772" s="47">
        <f>AT772-AT804+AT915</f>
        <v/>
      </c>
      <c r="AV772" s="47">
        <f>AU772-AU804+AU915</f>
        <v/>
      </c>
      <c r="AW772" s="47">
        <f>AV772-AV804+AV915</f>
        <v/>
      </c>
      <c r="AX772" s="47">
        <f>AW772-AW804+AW915</f>
        <v/>
      </c>
      <c r="AY772" s="47">
        <f>AX772-AX804+AX915</f>
        <v/>
      </c>
      <c r="AZ772" s="47">
        <f>AY772-AY804+AY915</f>
        <v/>
      </c>
      <c r="BA772" s="48">
        <f>CARRY(AZ772,AZ804,AZ915)</f>
        <v/>
      </c>
    </row>
    <row r="773" hidden="1" outlineLevel="1">
      <c r="A773" s="14" t="inlineStr">
        <is>
          <t>cap</t>
        </is>
      </c>
      <c r="B773" s="14" t="inlineStr">
        <is>
          <t>nga</t>
        </is>
      </c>
      <c r="C773" s="14" t="inlineStr">
        <is>
          <t>pow</t>
        </is>
      </c>
      <c r="D773" s="45">
        <f>INDEX(Inputs_power!$AE$5:$AE$13,MATCH($B773,Inputs_power!$A$5:$A$13,0))</f>
        <v/>
      </c>
      <c r="E773" s="39" t="n"/>
      <c r="F773" s="39" t="n"/>
      <c r="G773" s="39" t="n"/>
      <c r="H773" s="14">
        <f>INDEX(VarLab,MATCH($A773,VarKey,0))&amp;INDEX(MemLab,MATCH($C773&amp;"|"&amp;$B773,MemKey,0))</f>
        <v/>
      </c>
      <c r="I773" s="14">
        <f>INDEX(VarUnit,MATCH($A773,VarKey,0))</f>
        <v/>
      </c>
      <c r="J773" s="14">
        <f>INDEX(VarSrc,MATCH($A773,VarKey,0))</f>
        <v/>
      </c>
      <c r="K773" s="11">
        <f>CodePrefix&amp;$A773&amp;IF($C773="","","."&amp;$C773&amp;"."&amp;$B773)&amp;INDEX(VarEnd,MATCH($A773,VarKey,0))&amp;K$5</f>
        <v/>
      </c>
      <c r="L773" s="46">
        <f>$D773</f>
        <v/>
      </c>
      <c r="M773" s="47">
        <f>L773-L805+L916</f>
        <v/>
      </c>
      <c r="N773" s="47">
        <f>M773-M805+M916</f>
        <v/>
      </c>
      <c r="O773" s="47">
        <f>N773-N805+N916</f>
        <v/>
      </c>
      <c r="P773" s="47">
        <f>O773-O805+O916</f>
        <v/>
      </c>
      <c r="Q773" s="47">
        <f>P773-P805+P916</f>
        <v/>
      </c>
      <c r="R773" s="47">
        <f>Q773-Q805+Q916</f>
        <v/>
      </c>
      <c r="S773" s="47">
        <f>R773-R805+R916</f>
        <v/>
      </c>
      <c r="T773" s="47">
        <f>S773-S805+S916</f>
        <v/>
      </c>
      <c r="U773" s="47">
        <f>T773-T805+T916</f>
        <v/>
      </c>
      <c r="V773" s="47">
        <f>U773-U805+U916</f>
        <v/>
      </c>
      <c r="W773" s="47">
        <f>V773-V805+V916</f>
        <v/>
      </c>
      <c r="X773" s="47">
        <f>W773-W805+W916</f>
        <v/>
      </c>
      <c r="Y773" s="47">
        <f>X773-X805+X916</f>
        <v/>
      </c>
      <c r="Z773" s="47">
        <f>Y773-Y805+Y916</f>
        <v/>
      </c>
      <c r="AA773" s="47">
        <f>Z773-Z805+Z916</f>
        <v/>
      </c>
      <c r="AB773" s="47">
        <f>AA773-AA805+AA916</f>
        <v/>
      </c>
      <c r="AC773" s="47">
        <f>AB773-AB805+AB916</f>
        <v/>
      </c>
      <c r="AD773" s="47">
        <f>AC773-AC805+AC916</f>
        <v/>
      </c>
      <c r="AE773" s="48">
        <f>CARRY(AD773,AD805,AD916)</f>
        <v/>
      </c>
      <c r="AG773" s="11">
        <f>CodePrefix&amp;$A773&amp;IF($C773="","","."&amp;$C773&amp;"."&amp;$B773)&amp;INDEX(VarEnd,MATCH($A773,VarKey,0))&amp;AG$5</f>
        <v/>
      </c>
      <c r="AH773" s="46">
        <f>$D773</f>
        <v/>
      </c>
      <c r="AI773" s="47">
        <f>AH773-AH805+AH916</f>
        <v/>
      </c>
      <c r="AJ773" s="47">
        <f>AI773-AI805+AI916</f>
        <v/>
      </c>
      <c r="AK773" s="47">
        <f>AJ773-AJ805+AJ916</f>
        <v/>
      </c>
      <c r="AL773" s="47">
        <f>AK773-AK805+AK916</f>
        <v/>
      </c>
      <c r="AM773" s="47">
        <f>AL773-AL805+AL916</f>
        <v/>
      </c>
      <c r="AN773" s="47">
        <f>AM773-AM805+AM916</f>
        <v/>
      </c>
      <c r="AO773" s="47">
        <f>AN773-AN805+AN916</f>
        <v/>
      </c>
      <c r="AP773" s="47">
        <f>AO773-AO805+AO916</f>
        <v/>
      </c>
      <c r="AQ773" s="47">
        <f>AP773-AP805+AP916</f>
        <v/>
      </c>
      <c r="AR773" s="47">
        <f>AQ773-AQ805+AQ916</f>
        <v/>
      </c>
      <c r="AS773" s="47">
        <f>AR773-AR805+AR916</f>
        <v/>
      </c>
      <c r="AT773" s="47">
        <f>AS773-AS805+AS916</f>
        <v/>
      </c>
      <c r="AU773" s="47">
        <f>AT773-AT805+AT916</f>
        <v/>
      </c>
      <c r="AV773" s="47">
        <f>AU773-AU805+AU916</f>
        <v/>
      </c>
      <c r="AW773" s="47">
        <f>AV773-AV805+AV916</f>
        <v/>
      </c>
      <c r="AX773" s="47">
        <f>AW773-AW805+AW916</f>
        <v/>
      </c>
      <c r="AY773" s="47">
        <f>AX773-AX805+AX916</f>
        <v/>
      </c>
      <c r="AZ773" s="47">
        <f>AY773-AY805+AY916</f>
        <v/>
      </c>
      <c r="BA773" s="48">
        <f>CARRY(AZ773,AZ805,AZ916)</f>
        <v/>
      </c>
    </row>
    <row r="774" hidden="1" outlineLevel="1">
      <c r="A774" s="14" t="inlineStr">
        <is>
          <t>cap</t>
        </is>
      </c>
      <c r="B774" s="14" t="inlineStr">
        <is>
          <t>oop</t>
        </is>
      </c>
      <c r="C774" s="14" t="inlineStr">
        <is>
          <t>pow</t>
        </is>
      </c>
      <c r="D774" s="45">
        <f>INDEX(Inputs_power!$AE$5:$AE$13,MATCH($B774,Inputs_power!$A$5:$A$13,0))</f>
        <v/>
      </c>
      <c r="E774" s="39" t="n"/>
      <c r="F774" s="39" t="n"/>
      <c r="G774" s="39" t="n"/>
      <c r="H774" s="14">
        <f>INDEX(VarLab,MATCH($A774,VarKey,0))&amp;INDEX(MemLab,MATCH($C774&amp;"|"&amp;$B774,MemKey,0))</f>
        <v/>
      </c>
      <c r="I774" s="14">
        <f>INDEX(VarUnit,MATCH($A774,VarKey,0))</f>
        <v/>
      </c>
      <c r="J774" s="14">
        <f>INDEX(VarSrc,MATCH($A774,VarKey,0))</f>
        <v/>
      </c>
      <c r="K774" s="11">
        <f>CodePrefix&amp;$A774&amp;IF($C774="","","."&amp;$C774&amp;"."&amp;$B774)&amp;INDEX(VarEnd,MATCH($A774,VarKey,0))&amp;K$5</f>
        <v/>
      </c>
      <c r="L774" s="46">
        <f>$D774</f>
        <v/>
      </c>
      <c r="M774" s="47">
        <f>L774-L806+L917</f>
        <v/>
      </c>
      <c r="N774" s="47">
        <f>M774-M806+M917</f>
        <v/>
      </c>
      <c r="O774" s="47">
        <f>N774-N806+N917</f>
        <v/>
      </c>
      <c r="P774" s="47">
        <f>O774-O806+O917</f>
        <v/>
      </c>
      <c r="Q774" s="47">
        <f>P774-P806+P917</f>
        <v/>
      </c>
      <c r="R774" s="47">
        <f>Q774-Q806+Q917</f>
        <v/>
      </c>
      <c r="S774" s="47">
        <f>R774-R806+R917</f>
        <v/>
      </c>
      <c r="T774" s="47">
        <f>S774-S806+S917</f>
        <v/>
      </c>
      <c r="U774" s="47">
        <f>T774-T806+T917</f>
        <v/>
      </c>
      <c r="V774" s="47">
        <f>U774-U806+U917</f>
        <v/>
      </c>
      <c r="W774" s="47">
        <f>V774-V806+V917</f>
        <v/>
      </c>
      <c r="X774" s="47">
        <f>W774-W806+W917</f>
        <v/>
      </c>
      <c r="Y774" s="47">
        <f>X774-X806+X917</f>
        <v/>
      </c>
      <c r="Z774" s="47">
        <f>Y774-Y806+Y917</f>
        <v/>
      </c>
      <c r="AA774" s="47">
        <f>Z774-Z806+Z917</f>
        <v/>
      </c>
      <c r="AB774" s="47">
        <f>AA774-AA806+AA917</f>
        <v/>
      </c>
      <c r="AC774" s="47">
        <f>AB774-AB806+AB917</f>
        <v/>
      </c>
      <c r="AD774" s="47">
        <f>AC774-AC806+AC917</f>
        <v/>
      </c>
      <c r="AE774" s="48">
        <f>CARRY(AD774,AD806,AD917)</f>
        <v/>
      </c>
      <c r="AG774" s="11">
        <f>CodePrefix&amp;$A774&amp;IF($C774="","","."&amp;$C774&amp;"."&amp;$B774)&amp;INDEX(VarEnd,MATCH($A774,VarKey,0))&amp;AG$5</f>
        <v/>
      </c>
      <c r="AH774" s="46">
        <f>$D774</f>
        <v/>
      </c>
      <c r="AI774" s="47">
        <f>AH774-AH806+AH917</f>
        <v/>
      </c>
      <c r="AJ774" s="47">
        <f>AI774-AI806+AI917</f>
        <v/>
      </c>
      <c r="AK774" s="47">
        <f>AJ774-AJ806+AJ917</f>
        <v/>
      </c>
      <c r="AL774" s="47">
        <f>AK774-AK806+AK917</f>
        <v/>
      </c>
      <c r="AM774" s="47">
        <f>AL774-AL806+AL917</f>
        <v/>
      </c>
      <c r="AN774" s="47">
        <f>AM774-AM806+AM917</f>
        <v/>
      </c>
      <c r="AO774" s="47">
        <f>AN774-AN806+AN917</f>
        <v/>
      </c>
      <c r="AP774" s="47">
        <f>AO774-AO806+AO917</f>
        <v/>
      </c>
      <c r="AQ774" s="47">
        <f>AP774-AP806+AP917</f>
        <v/>
      </c>
      <c r="AR774" s="47">
        <f>AQ774-AQ806+AQ917</f>
        <v/>
      </c>
      <c r="AS774" s="47">
        <f>AR774-AR806+AR917</f>
        <v/>
      </c>
      <c r="AT774" s="47">
        <f>AS774-AS806+AS917</f>
        <v/>
      </c>
      <c r="AU774" s="47">
        <f>AT774-AT806+AT917</f>
        <v/>
      </c>
      <c r="AV774" s="47">
        <f>AU774-AU806+AU917</f>
        <v/>
      </c>
      <c r="AW774" s="47">
        <f>AV774-AV806+AV917</f>
        <v/>
      </c>
      <c r="AX774" s="47">
        <f>AW774-AW806+AW917</f>
        <v/>
      </c>
      <c r="AY774" s="47">
        <f>AX774-AX806+AX917</f>
        <v/>
      </c>
      <c r="AZ774" s="47">
        <f>AY774-AY806+AY917</f>
        <v/>
      </c>
      <c r="BA774" s="48">
        <f>CARRY(AZ774,AZ806,AZ917)</f>
        <v/>
      </c>
    </row>
    <row r="775" hidden="1" outlineLevel="1">
      <c r="A775" s="14" t="inlineStr">
        <is>
          <t>cap</t>
        </is>
      </c>
      <c r="B775" s="14" t="inlineStr">
        <is>
          <t>nuc</t>
        </is>
      </c>
      <c r="C775" s="14" t="inlineStr">
        <is>
          <t>pow</t>
        </is>
      </c>
      <c r="D775" s="45">
        <f>INDEX(Inputs_power!$AE$5:$AE$13,MATCH($B775,Inputs_power!$A$5:$A$13,0))</f>
        <v/>
      </c>
      <c r="E775" s="39" t="n"/>
      <c r="F775" s="39" t="n"/>
      <c r="G775" s="39" t="n"/>
      <c r="H775" s="14">
        <f>INDEX(VarLab,MATCH($A775,VarKey,0))&amp;INDEX(MemLab,MATCH($C775&amp;"|"&amp;$B775,MemKey,0))</f>
        <v/>
      </c>
      <c r="I775" s="14">
        <f>INDEX(VarUnit,MATCH($A775,VarKey,0))</f>
        <v/>
      </c>
      <c r="J775" s="14">
        <f>INDEX(VarSrc,MATCH($A775,VarKey,0))</f>
        <v/>
      </c>
      <c r="K775" s="11">
        <f>CodePrefix&amp;$A775&amp;IF($C775="","","."&amp;$C775&amp;"."&amp;$B775)&amp;INDEX(VarEnd,MATCH($A775,VarKey,0))&amp;K$5</f>
        <v/>
      </c>
      <c r="L775" s="46">
        <f>$D775</f>
        <v/>
      </c>
      <c r="M775" s="47">
        <f>L775-L807+L918</f>
        <v/>
      </c>
      <c r="N775" s="47">
        <f>M775-M807+M918</f>
        <v/>
      </c>
      <c r="O775" s="47">
        <f>N775-N807+N918</f>
        <v/>
      </c>
      <c r="P775" s="47">
        <f>O775-O807+O918</f>
        <v/>
      </c>
      <c r="Q775" s="47">
        <f>P775-P807+P918</f>
        <v/>
      </c>
      <c r="R775" s="47">
        <f>Q775-Q807+Q918</f>
        <v/>
      </c>
      <c r="S775" s="47">
        <f>R775-R807+R918</f>
        <v/>
      </c>
      <c r="T775" s="47">
        <f>S775-S807+S918</f>
        <v/>
      </c>
      <c r="U775" s="47">
        <f>T775-T807+T918</f>
        <v/>
      </c>
      <c r="V775" s="47">
        <f>U775-U807+U918</f>
        <v/>
      </c>
      <c r="W775" s="47">
        <f>V775-V807+V918</f>
        <v/>
      </c>
      <c r="X775" s="47">
        <f>W775-W807+W918</f>
        <v/>
      </c>
      <c r="Y775" s="47">
        <f>X775-X807+X918</f>
        <v/>
      </c>
      <c r="Z775" s="47">
        <f>Y775-Y807+Y918</f>
        <v/>
      </c>
      <c r="AA775" s="47">
        <f>Z775-Z807+Z918</f>
        <v/>
      </c>
      <c r="AB775" s="47">
        <f>AA775-AA807+AA918</f>
        <v/>
      </c>
      <c r="AC775" s="47">
        <f>AB775-AB807+AB918</f>
        <v/>
      </c>
      <c r="AD775" s="47">
        <f>AC775-AC807+AC918</f>
        <v/>
      </c>
      <c r="AE775" s="48">
        <f>CARRY(AD775,AD807,AD918)</f>
        <v/>
      </c>
      <c r="AG775" s="11">
        <f>CodePrefix&amp;$A775&amp;IF($C775="","","."&amp;$C775&amp;"."&amp;$B775)&amp;INDEX(VarEnd,MATCH($A775,VarKey,0))&amp;AG$5</f>
        <v/>
      </c>
      <c r="AH775" s="46">
        <f>$D775</f>
        <v/>
      </c>
      <c r="AI775" s="47">
        <f>AH775-AH807+AH918</f>
        <v/>
      </c>
      <c r="AJ775" s="47">
        <f>AI775-AI807+AI918</f>
        <v/>
      </c>
      <c r="AK775" s="47">
        <f>AJ775-AJ807+AJ918</f>
        <v/>
      </c>
      <c r="AL775" s="47">
        <f>AK775-AK807+AK918</f>
        <v/>
      </c>
      <c r="AM775" s="47">
        <f>AL775-AL807+AL918</f>
        <v/>
      </c>
      <c r="AN775" s="47">
        <f>AM775-AM807+AM918</f>
        <v/>
      </c>
      <c r="AO775" s="47">
        <f>AN775-AN807+AN918</f>
        <v/>
      </c>
      <c r="AP775" s="47">
        <f>AO775-AO807+AO918</f>
        <v/>
      </c>
      <c r="AQ775" s="47">
        <f>AP775-AP807+AP918</f>
        <v/>
      </c>
      <c r="AR775" s="47">
        <f>AQ775-AQ807+AQ918</f>
        <v/>
      </c>
      <c r="AS775" s="47">
        <f>AR775-AR807+AR918</f>
        <v/>
      </c>
      <c r="AT775" s="47">
        <f>AS775-AS807+AS918</f>
        <v/>
      </c>
      <c r="AU775" s="47">
        <f>AT775-AT807+AT918</f>
        <v/>
      </c>
      <c r="AV775" s="47">
        <f>AU775-AU807+AU918</f>
        <v/>
      </c>
      <c r="AW775" s="47">
        <f>AV775-AV807+AV918</f>
        <v/>
      </c>
      <c r="AX775" s="47">
        <f>AW775-AW807+AW918</f>
        <v/>
      </c>
      <c r="AY775" s="47">
        <f>AX775-AX807+AX918</f>
        <v/>
      </c>
      <c r="AZ775" s="47">
        <f>AY775-AY807+AY918</f>
        <v/>
      </c>
      <c r="BA775" s="48">
        <f>CARRY(AZ775,AZ807,AZ918)</f>
        <v/>
      </c>
    </row>
    <row r="776" hidden="1" outlineLevel="1">
      <c r="A776" s="14" t="inlineStr">
        <is>
          <t>cap</t>
        </is>
      </c>
      <c r="B776" s="14" t="inlineStr">
        <is>
          <t>wnd</t>
        </is>
      </c>
      <c r="C776" s="14" t="inlineStr">
        <is>
          <t>pow</t>
        </is>
      </c>
      <c r="D776" s="45">
        <f>INDEX(Inputs_power!$AE$5:$AE$13,MATCH($B776,Inputs_power!$A$5:$A$13,0))</f>
        <v/>
      </c>
      <c r="E776" s="39" t="n"/>
      <c r="F776" s="39" t="n"/>
      <c r="G776" s="39" t="n"/>
      <c r="H776" s="14">
        <f>INDEX(VarLab,MATCH($A776,VarKey,0))&amp;INDEX(MemLab,MATCH($C776&amp;"|"&amp;$B776,MemKey,0))</f>
        <v/>
      </c>
      <c r="I776" s="14">
        <f>INDEX(VarUnit,MATCH($A776,VarKey,0))</f>
        <v/>
      </c>
      <c r="J776" s="14">
        <f>INDEX(VarSrc,MATCH($A776,VarKey,0))</f>
        <v/>
      </c>
      <c r="K776" s="11">
        <f>CodePrefix&amp;$A776&amp;IF($C776="","","."&amp;$C776&amp;"."&amp;$B776)&amp;INDEX(VarEnd,MATCH($A776,VarKey,0))&amp;K$5</f>
        <v/>
      </c>
      <c r="L776" s="46">
        <f>$D776</f>
        <v/>
      </c>
      <c r="M776" s="47">
        <f>L776-L808+L919</f>
        <v/>
      </c>
      <c r="N776" s="47">
        <f>M776-M808+M919</f>
        <v/>
      </c>
      <c r="O776" s="47">
        <f>N776-N808+N919</f>
        <v/>
      </c>
      <c r="P776" s="47">
        <f>O776-O808+O919</f>
        <v/>
      </c>
      <c r="Q776" s="47">
        <f>P776-P808+P919</f>
        <v/>
      </c>
      <c r="R776" s="47">
        <f>Q776-Q808+Q919</f>
        <v/>
      </c>
      <c r="S776" s="47">
        <f>R776-R808+R919</f>
        <v/>
      </c>
      <c r="T776" s="47">
        <f>S776-S808+S919</f>
        <v/>
      </c>
      <c r="U776" s="47">
        <f>T776-T808+T919</f>
        <v/>
      </c>
      <c r="V776" s="47">
        <f>U776-U808+U919</f>
        <v/>
      </c>
      <c r="W776" s="47">
        <f>V776-V808+V919</f>
        <v/>
      </c>
      <c r="X776" s="47">
        <f>W776-W808+W919</f>
        <v/>
      </c>
      <c r="Y776" s="47">
        <f>X776-X808+X919</f>
        <v/>
      </c>
      <c r="Z776" s="47">
        <f>Y776-Y808+Y919</f>
        <v/>
      </c>
      <c r="AA776" s="47">
        <f>Z776-Z808+Z919</f>
        <v/>
      </c>
      <c r="AB776" s="47">
        <f>AA776-AA808+AA919</f>
        <v/>
      </c>
      <c r="AC776" s="47">
        <f>AB776-AB808+AB919</f>
        <v/>
      </c>
      <c r="AD776" s="47">
        <f>AC776-AC808+AC919</f>
        <v/>
      </c>
      <c r="AE776" s="48">
        <f>CARRY(AD776,AD808,AD919)</f>
        <v/>
      </c>
      <c r="AG776" s="11">
        <f>CodePrefix&amp;$A776&amp;IF($C776="","","."&amp;$C776&amp;"."&amp;$B776)&amp;INDEX(VarEnd,MATCH($A776,VarKey,0))&amp;AG$5</f>
        <v/>
      </c>
      <c r="AH776" s="46">
        <f>$D776</f>
        <v/>
      </c>
      <c r="AI776" s="47">
        <f>AH776-AH808+AH919</f>
        <v/>
      </c>
      <c r="AJ776" s="47">
        <f>AI776-AI808+AI919</f>
        <v/>
      </c>
      <c r="AK776" s="47">
        <f>AJ776-AJ808+AJ919</f>
        <v/>
      </c>
      <c r="AL776" s="47">
        <f>AK776-AK808+AK919</f>
        <v/>
      </c>
      <c r="AM776" s="47">
        <f>AL776-AL808+AL919</f>
        <v/>
      </c>
      <c r="AN776" s="47">
        <f>AM776-AM808+AM919</f>
        <v/>
      </c>
      <c r="AO776" s="47">
        <f>AN776-AN808+AN919</f>
        <v/>
      </c>
      <c r="AP776" s="47">
        <f>AO776-AO808+AO919</f>
        <v/>
      </c>
      <c r="AQ776" s="47">
        <f>AP776-AP808+AP919</f>
        <v/>
      </c>
      <c r="AR776" s="47">
        <f>AQ776-AQ808+AQ919</f>
        <v/>
      </c>
      <c r="AS776" s="47">
        <f>AR776-AR808+AR919</f>
        <v/>
      </c>
      <c r="AT776" s="47">
        <f>AS776-AS808+AS919</f>
        <v/>
      </c>
      <c r="AU776" s="47">
        <f>AT776-AT808+AT919</f>
        <v/>
      </c>
      <c r="AV776" s="47">
        <f>AU776-AU808+AU919</f>
        <v/>
      </c>
      <c r="AW776" s="47">
        <f>AV776-AV808+AV919</f>
        <v/>
      </c>
      <c r="AX776" s="47">
        <f>AW776-AW808+AW919</f>
        <v/>
      </c>
      <c r="AY776" s="47">
        <f>AX776-AX808+AX919</f>
        <v/>
      </c>
      <c r="AZ776" s="47">
        <f>AY776-AY808+AY919</f>
        <v/>
      </c>
      <c r="BA776" s="48">
        <f>CARRY(AZ776,AZ808,AZ919)</f>
        <v/>
      </c>
    </row>
    <row r="777" hidden="1" outlineLevel="1">
      <c r="A777" s="14" t="inlineStr">
        <is>
          <t>cap</t>
        </is>
      </c>
      <c r="B777" s="14" t="inlineStr">
        <is>
          <t>sol</t>
        </is>
      </c>
      <c r="C777" s="14" t="inlineStr">
        <is>
          <t>pow</t>
        </is>
      </c>
      <c r="D777" s="45">
        <f>INDEX(Inputs_power!$AE$5:$AE$13,MATCH($B777,Inputs_power!$A$5:$A$13,0))</f>
        <v/>
      </c>
      <c r="E777" s="39" t="n"/>
      <c r="F777" s="39" t="n"/>
      <c r="G777" s="39" t="n"/>
      <c r="H777" s="14">
        <f>INDEX(VarLab,MATCH($A777,VarKey,0))&amp;INDEX(MemLab,MATCH($C777&amp;"|"&amp;$B777,MemKey,0))</f>
        <v/>
      </c>
      <c r="I777" s="14">
        <f>INDEX(VarUnit,MATCH($A777,VarKey,0))</f>
        <v/>
      </c>
      <c r="J777" s="14">
        <f>INDEX(VarSrc,MATCH($A777,VarKey,0))</f>
        <v/>
      </c>
      <c r="K777" s="11">
        <f>CodePrefix&amp;$A777&amp;IF($C777="","","."&amp;$C777&amp;"."&amp;$B777)&amp;INDEX(VarEnd,MATCH($A777,VarKey,0))&amp;K$5</f>
        <v/>
      </c>
      <c r="L777" s="46">
        <f>$D777</f>
        <v/>
      </c>
      <c r="M777" s="47">
        <f>L777-L809+L920</f>
        <v/>
      </c>
      <c r="N777" s="47">
        <f>M777-M809+M920</f>
        <v/>
      </c>
      <c r="O777" s="47">
        <f>N777-N809+N920</f>
        <v/>
      </c>
      <c r="P777" s="47">
        <f>O777-O809+O920</f>
        <v/>
      </c>
      <c r="Q777" s="47">
        <f>P777-P809+P920</f>
        <v/>
      </c>
      <c r="R777" s="47">
        <f>Q777-Q809+Q920</f>
        <v/>
      </c>
      <c r="S777" s="47">
        <f>R777-R809+R920</f>
        <v/>
      </c>
      <c r="T777" s="47">
        <f>S777-S809+S920</f>
        <v/>
      </c>
      <c r="U777" s="47">
        <f>T777-T809+T920</f>
        <v/>
      </c>
      <c r="V777" s="47">
        <f>U777-U809+U920</f>
        <v/>
      </c>
      <c r="W777" s="47">
        <f>V777-V809+V920</f>
        <v/>
      </c>
      <c r="X777" s="47">
        <f>W777-W809+W920</f>
        <v/>
      </c>
      <c r="Y777" s="47">
        <f>X777-X809+X920</f>
        <v/>
      </c>
      <c r="Z777" s="47">
        <f>Y777-Y809+Y920</f>
        <v/>
      </c>
      <c r="AA777" s="47">
        <f>Z777-Z809+Z920</f>
        <v/>
      </c>
      <c r="AB777" s="47">
        <f>AA777-AA809+AA920</f>
        <v/>
      </c>
      <c r="AC777" s="47">
        <f>AB777-AB809+AB920</f>
        <v/>
      </c>
      <c r="AD777" s="47">
        <f>AC777-AC809+AC920</f>
        <v/>
      </c>
      <c r="AE777" s="48">
        <f>CARRY(AD777,AD809,AD920)</f>
        <v/>
      </c>
      <c r="AG777" s="11">
        <f>CodePrefix&amp;$A777&amp;IF($C777="","","."&amp;$C777&amp;"."&amp;$B777)&amp;INDEX(VarEnd,MATCH($A777,VarKey,0))&amp;AG$5</f>
        <v/>
      </c>
      <c r="AH777" s="46">
        <f>$D777</f>
        <v/>
      </c>
      <c r="AI777" s="47">
        <f>AH777-AH809+AH920</f>
        <v/>
      </c>
      <c r="AJ777" s="47">
        <f>AI777-AI809+AI920</f>
        <v/>
      </c>
      <c r="AK777" s="47">
        <f>AJ777-AJ809+AJ920</f>
        <v/>
      </c>
      <c r="AL777" s="47">
        <f>AK777-AK809+AK920</f>
        <v/>
      </c>
      <c r="AM777" s="47">
        <f>AL777-AL809+AL920</f>
        <v/>
      </c>
      <c r="AN777" s="47">
        <f>AM777-AM809+AM920</f>
        <v/>
      </c>
      <c r="AO777" s="47">
        <f>AN777-AN809+AN920</f>
        <v/>
      </c>
      <c r="AP777" s="47">
        <f>AO777-AO809+AO920</f>
        <v/>
      </c>
      <c r="AQ777" s="47">
        <f>AP777-AP809+AP920</f>
        <v/>
      </c>
      <c r="AR777" s="47">
        <f>AQ777-AQ809+AQ920</f>
        <v/>
      </c>
      <c r="AS777" s="47">
        <f>AR777-AR809+AR920</f>
        <v/>
      </c>
      <c r="AT777" s="47">
        <f>AS777-AS809+AS920</f>
        <v/>
      </c>
      <c r="AU777" s="47">
        <f>AT777-AT809+AT920</f>
        <v/>
      </c>
      <c r="AV777" s="47">
        <f>AU777-AU809+AU920</f>
        <v/>
      </c>
      <c r="AW777" s="47">
        <f>AV777-AV809+AV920</f>
        <v/>
      </c>
      <c r="AX777" s="47">
        <f>AW777-AW809+AW920</f>
        <v/>
      </c>
      <c r="AY777" s="47">
        <f>AX777-AX809+AX920</f>
        <v/>
      </c>
      <c r="AZ777" s="47">
        <f>AY777-AY809+AY920</f>
        <v/>
      </c>
      <c r="BA777" s="48">
        <f>CARRY(AZ777,AZ809,AZ920)</f>
        <v/>
      </c>
    </row>
    <row r="778" hidden="1" outlineLevel="1">
      <c r="A778" s="14" t="inlineStr">
        <is>
          <t>cap</t>
        </is>
      </c>
      <c r="B778" s="14" t="inlineStr">
        <is>
          <t>hyd</t>
        </is>
      </c>
      <c r="C778" s="14" t="inlineStr">
        <is>
          <t>pow</t>
        </is>
      </c>
      <c r="D778" s="45">
        <f>INDEX(Inputs_power!$AE$5:$AE$13,MATCH($B778,Inputs_power!$A$5:$A$13,0))</f>
        <v/>
      </c>
      <c r="E778" s="39" t="n"/>
      <c r="F778" s="39" t="n"/>
      <c r="G778" s="39" t="n"/>
      <c r="H778" s="14">
        <f>INDEX(VarLab,MATCH($A778,VarKey,0))&amp;INDEX(MemLab,MATCH($C778&amp;"|"&amp;$B778,MemKey,0))</f>
        <v/>
      </c>
      <c r="I778" s="14">
        <f>INDEX(VarUnit,MATCH($A778,VarKey,0))</f>
        <v/>
      </c>
      <c r="J778" s="14">
        <f>INDEX(VarSrc,MATCH($A778,VarKey,0))</f>
        <v/>
      </c>
      <c r="K778" s="11">
        <f>CodePrefix&amp;$A778&amp;IF($C778="","","."&amp;$C778&amp;"."&amp;$B778)&amp;INDEX(VarEnd,MATCH($A778,VarKey,0))&amp;K$5</f>
        <v/>
      </c>
      <c r="L778" s="46">
        <f>$D778</f>
        <v/>
      </c>
      <c r="M778" s="47">
        <f>L778-L810+L921</f>
        <v/>
      </c>
      <c r="N778" s="47">
        <f>M778-M810+M921</f>
        <v/>
      </c>
      <c r="O778" s="47">
        <f>N778-N810+N921</f>
        <v/>
      </c>
      <c r="P778" s="47">
        <f>O778-O810+O921</f>
        <v/>
      </c>
      <c r="Q778" s="47">
        <f>P778-P810+P921</f>
        <v/>
      </c>
      <c r="R778" s="47">
        <f>Q778-Q810+Q921</f>
        <v/>
      </c>
      <c r="S778" s="47">
        <f>R778-R810+R921</f>
        <v/>
      </c>
      <c r="T778" s="47">
        <f>S778-S810+S921</f>
        <v/>
      </c>
      <c r="U778" s="47">
        <f>T778-T810+T921</f>
        <v/>
      </c>
      <c r="V778" s="47">
        <f>U778-U810+U921</f>
        <v/>
      </c>
      <c r="W778" s="47">
        <f>V778-V810+V921</f>
        <v/>
      </c>
      <c r="X778" s="47">
        <f>W778-W810+W921</f>
        <v/>
      </c>
      <c r="Y778" s="47">
        <f>X778-X810+X921</f>
        <v/>
      </c>
      <c r="Z778" s="47">
        <f>Y778-Y810+Y921</f>
        <v/>
      </c>
      <c r="AA778" s="47">
        <f>Z778-Z810+Z921</f>
        <v/>
      </c>
      <c r="AB778" s="47">
        <f>AA778-AA810+AA921</f>
        <v/>
      </c>
      <c r="AC778" s="47">
        <f>AB778-AB810+AB921</f>
        <v/>
      </c>
      <c r="AD778" s="47">
        <f>AC778-AC810+AC921</f>
        <v/>
      </c>
      <c r="AE778" s="48">
        <f>CARRY(AD778,AD810,AD921)</f>
        <v/>
      </c>
      <c r="AG778" s="11">
        <f>CodePrefix&amp;$A778&amp;IF($C778="","","."&amp;$C778&amp;"."&amp;$B778)&amp;INDEX(VarEnd,MATCH($A778,VarKey,0))&amp;AG$5</f>
        <v/>
      </c>
      <c r="AH778" s="46">
        <f>$D778</f>
        <v/>
      </c>
      <c r="AI778" s="47">
        <f>AH778-AH810+AH921</f>
        <v/>
      </c>
      <c r="AJ778" s="47">
        <f>AI778-AI810+AI921</f>
        <v/>
      </c>
      <c r="AK778" s="47">
        <f>AJ778-AJ810+AJ921</f>
        <v/>
      </c>
      <c r="AL778" s="47">
        <f>AK778-AK810+AK921</f>
        <v/>
      </c>
      <c r="AM778" s="47">
        <f>AL778-AL810+AL921</f>
        <v/>
      </c>
      <c r="AN778" s="47">
        <f>AM778-AM810+AM921</f>
        <v/>
      </c>
      <c r="AO778" s="47">
        <f>AN778-AN810+AN921</f>
        <v/>
      </c>
      <c r="AP778" s="47">
        <f>AO778-AO810+AO921</f>
        <v/>
      </c>
      <c r="AQ778" s="47">
        <f>AP778-AP810+AP921</f>
        <v/>
      </c>
      <c r="AR778" s="47">
        <f>AQ778-AQ810+AQ921</f>
        <v/>
      </c>
      <c r="AS778" s="47">
        <f>AR778-AR810+AR921</f>
        <v/>
      </c>
      <c r="AT778" s="47">
        <f>AS778-AS810+AS921</f>
        <v/>
      </c>
      <c r="AU778" s="47">
        <f>AT778-AT810+AT921</f>
        <v/>
      </c>
      <c r="AV778" s="47">
        <f>AU778-AU810+AU921</f>
        <v/>
      </c>
      <c r="AW778" s="47">
        <f>AV778-AV810+AV921</f>
        <v/>
      </c>
      <c r="AX778" s="47">
        <f>AW778-AW810+AW921</f>
        <v/>
      </c>
      <c r="AY778" s="47">
        <f>AX778-AX810+AX921</f>
        <v/>
      </c>
      <c r="AZ778" s="47">
        <f>AY778-AY810+AY921</f>
        <v/>
      </c>
      <c r="BA778" s="48">
        <f>CARRY(AZ778,AZ810,AZ921)</f>
        <v/>
      </c>
    </row>
    <row r="779" hidden="1" outlineLevel="1">
      <c r="A779" s="14" t="inlineStr">
        <is>
          <t>cap</t>
        </is>
      </c>
      <c r="B779" s="14" t="inlineStr">
        <is>
          <t>ore</t>
        </is>
      </c>
      <c r="C779" s="14" t="inlineStr">
        <is>
          <t>pow</t>
        </is>
      </c>
      <c r="D779" s="45">
        <f>INDEX(Inputs_power!$AE$5:$AE$13,MATCH($B779,Inputs_power!$A$5:$A$13,0))</f>
        <v/>
      </c>
      <c r="E779" s="39" t="n"/>
      <c r="F779" s="39" t="n"/>
      <c r="G779" s="39" t="n"/>
      <c r="H779" s="14">
        <f>INDEX(VarLab,MATCH($A779,VarKey,0))&amp;INDEX(MemLab,MATCH($C779&amp;"|"&amp;$B779,MemKey,0))</f>
        <v/>
      </c>
      <c r="I779" s="14">
        <f>INDEX(VarUnit,MATCH($A779,VarKey,0))</f>
        <v/>
      </c>
      <c r="J779" s="14">
        <f>INDEX(VarSrc,MATCH($A779,VarKey,0))</f>
        <v/>
      </c>
      <c r="K779" s="11">
        <f>CodePrefix&amp;$A779&amp;IF($C779="","","."&amp;$C779&amp;"."&amp;$B779)&amp;INDEX(VarEnd,MATCH($A779,VarKey,0))&amp;K$5</f>
        <v/>
      </c>
      <c r="L779" s="46">
        <f>$D779</f>
        <v/>
      </c>
      <c r="M779" s="47">
        <f>L779-L811+L922</f>
        <v/>
      </c>
      <c r="N779" s="47">
        <f>M779-M811+M922</f>
        <v/>
      </c>
      <c r="O779" s="47">
        <f>N779-N811+N922</f>
        <v/>
      </c>
      <c r="P779" s="47">
        <f>O779-O811+O922</f>
        <v/>
      </c>
      <c r="Q779" s="47">
        <f>P779-P811+P922</f>
        <v/>
      </c>
      <c r="R779" s="47">
        <f>Q779-Q811+Q922</f>
        <v/>
      </c>
      <c r="S779" s="47">
        <f>R779-R811+R922</f>
        <v/>
      </c>
      <c r="T779" s="47">
        <f>S779-S811+S922</f>
        <v/>
      </c>
      <c r="U779" s="47">
        <f>T779-T811+T922</f>
        <v/>
      </c>
      <c r="V779" s="47">
        <f>U779-U811+U922</f>
        <v/>
      </c>
      <c r="W779" s="47">
        <f>V779-V811+V922</f>
        <v/>
      </c>
      <c r="X779" s="47">
        <f>W779-W811+W922</f>
        <v/>
      </c>
      <c r="Y779" s="47">
        <f>X779-X811+X922</f>
        <v/>
      </c>
      <c r="Z779" s="47">
        <f>Y779-Y811+Y922</f>
        <v/>
      </c>
      <c r="AA779" s="47">
        <f>Z779-Z811+Z922</f>
        <v/>
      </c>
      <c r="AB779" s="47">
        <f>AA779-AA811+AA922</f>
        <v/>
      </c>
      <c r="AC779" s="47">
        <f>AB779-AB811+AB922</f>
        <v/>
      </c>
      <c r="AD779" s="47">
        <f>AC779-AC811+AC922</f>
        <v/>
      </c>
      <c r="AE779" s="48">
        <f>CARRY(AD779,AD811,AD922)</f>
        <v/>
      </c>
      <c r="AG779" s="11">
        <f>CodePrefix&amp;$A779&amp;IF($C779="","","."&amp;$C779&amp;"."&amp;$B779)&amp;INDEX(VarEnd,MATCH($A779,VarKey,0))&amp;AG$5</f>
        <v/>
      </c>
      <c r="AH779" s="46">
        <f>$D779</f>
        <v/>
      </c>
      <c r="AI779" s="47">
        <f>AH779-AH811+AH922</f>
        <v/>
      </c>
      <c r="AJ779" s="47">
        <f>AI779-AI811+AI922</f>
        <v/>
      </c>
      <c r="AK779" s="47">
        <f>AJ779-AJ811+AJ922</f>
        <v/>
      </c>
      <c r="AL779" s="47">
        <f>AK779-AK811+AK922</f>
        <v/>
      </c>
      <c r="AM779" s="47">
        <f>AL779-AL811+AL922</f>
        <v/>
      </c>
      <c r="AN779" s="47">
        <f>AM779-AM811+AM922</f>
        <v/>
      </c>
      <c r="AO779" s="47">
        <f>AN779-AN811+AN922</f>
        <v/>
      </c>
      <c r="AP779" s="47">
        <f>AO779-AO811+AO922</f>
        <v/>
      </c>
      <c r="AQ779" s="47">
        <f>AP779-AP811+AP922</f>
        <v/>
      </c>
      <c r="AR779" s="47">
        <f>AQ779-AQ811+AQ922</f>
        <v/>
      </c>
      <c r="AS779" s="47">
        <f>AR779-AR811+AR922</f>
        <v/>
      </c>
      <c r="AT779" s="47">
        <f>AS779-AS811+AS922</f>
        <v/>
      </c>
      <c r="AU779" s="47">
        <f>AT779-AT811+AT922</f>
        <v/>
      </c>
      <c r="AV779" s="47">
        <f>AU779-AU811+AU922</f>
        <v/>
      </c>
      <c r="AW779" s="47">
        <f>AV779-AV811+AV922</f>
        <v/>
      </c>
      <c r="AX779" s="47">
        <f>AW779-AW811+AW922</f>
        <v/>
      </c>
      <c r="AY779" s="47">
        <f>AX779-AX811+AX922</f>
        <v/>
      </c>
      <c r="AZ779" s="47">
        <f>AY779-AY811+AY922</f>
        <v/>
      </c>
      <c r="BA779" s="48">
        <f>CARRY(AZ779,AZ811,AZ922)</f>
        <v/>
      </c>
    </row>
    <row r="780" hidden="1" outlineLevel="1">
      <c r="A780" s="14" t="inlineStr">
        <is>
          <t>cap</t>
        </is>
      </c>
      <c r="B780" s="14" t="inlineStr">
        <is>
          <t>bio</t>
        </is>
      </c>
      <c r="C780" s="14" t="inlineStr">
        <is>
          <t>pow</t>
        </is>
      </c>
      <c r="D780" s="45">
        <f>INDEX(Inputs_power!$AE$5:$AE$13,MATCH($B780,Inputs_power!$A$5:$A$13,0))</f>
        <v/>
      </c>
      <c r="E780" s="39" t="n"/>
      <c r="F780" s="39" t="n"/>
      <c r="G780" s="39" t="n"/>
      <c r="H780" s="14">
        <f>INDEX(VarLab,MATCH($A780,VarKey,0))&amp;INDEX(MemLab,MATCH($C780&amp;"|"&amp;$B780,MemKey,0))</f>
        <v/>
      </c>
      <c r="I780" s="14">
        <f>INDEX(VarUnit,MATCH($A780,VarKey,0))</f>
        <v/>
      </c>
      <c r="J780" s="14">
        <f>INDEX(VarSrc,MATCH($A780,VarKey,0))</f>
        <v/>
      </c>
      <c r="K780" s="11">
        <f>CodePrefix&amp;$A780&amp;IF($C780="","","."&amp;$C780&amp;"."&amp;$B780)&amp;INDEX(VarEnd,MATCH($A780,VarKey,0))&amp;K$5</f>
        <v/>
      </c>
      <c r="L780" s="46">
        <f>$D780</f>
        <v/>
      </c>
      <c r="M780" s="47">
        <f>L780-L812+L923</f>
        <v/>
      </c>
      <c r="N780" s="47">
        <f>M780-M812+M923</f>
        <v/>
      </c>
      <c r="O780" s="47">
        <f>N780-N812+N923</f>
        <v/>
      </c>
      <c r="P780" s="47">
        <f>O780-O812+O923</f>
        <v/>
      </c>
      <c r="Q780" s="47">
        <f>P780-P812+P923</f>
        <v/>
      </c>
      <c r="R780" s="47">
        <f>Q780-Q812+Q923</f>
        <v/>
      </c>
      <c r="S780" s="47">
        <f>R780-R812+R923</f>
        <v/>
      </c>
      <c r="T780" s="47">
        <f>S780-S812+S923</f>
        <v/>
      </c>
      <c r="U780" s="47">
        <f>T780-T812+T923</f>
        <v/>
      </c>
      <c r="V780" s="47">
        <f>U780-U812+U923</f>
        <v/>
      </c>
      <c r="W780" s="47">
        <f>V780-V812+V923</f>
        <v/>
      </c>
      <c r="X780" s="47">
        <f>W780-W812+W923</f>
        <v/>
      </c>
      <c r="Y780" s="47">
        <f>X780-X812+X923</f>
        <v/>
      </c>
      <c r="Z780" s="47">
        <f>Y780-Y812+Y923</f>
        <v/>
      </c>
      <c r="AA780" s="47">
        <f>Z780-Z812+Z923</f>
        <v/>
      </c>
      <c r="AB780" s="47">
        <f>AA780-AA812+AA923</f>
        <v/>
      </c>
      <c r="AC780" s="47">
        <f>AB780-AB812+AB923</f>
        <v/>
      </c>
      <c r="AD780" s="47">
        <f>AC780-AC812+AC923</f>
        <v/>
      </c>
      <c r="AE780" s="48">
        <f>CARRY(AD780,AD812,AD923)</f>
        <v/>
      </c>
      <c r="AG780" s="11">
        <f>CodePrefix&amp;$A780&amp;IF($C780="","","."&amp;$C780&amp;"."&amp;$B780)&amp;INDEX(VarEnd,MATCH($A780,VarKey,0))&amp;AG$5</f>
        <v/>
      </c>
      <c r="AH780" s="46">
        <f>$D780</f>
        <v/>
      </c>
      <c r="AI780" s="47">
        <f>AH780-AH812+AH923</f>
        <v/>
      </c>
      <c r="AJ780" s="47">
        <f>AI780-AI812+AI923</f>
        <v/>
      </c>
      <c r="AK780" s="47">
        <f>AJ780-AJ812+AJ923</f>
        <v/>
      </c>
      <c r="AL780" s="47">
        <f>AK780-AK812+AK923</f>
        <v/>
      </c>
      <c r="AM780" s="47">
        <f>AL780-AL812+AL923</f>
        <v/>
      </c>
      <c r="AN780" s="47">
        <f>AM780-AM812+AM923</f>
        <v/>
      </c>
      <c r="AO780" s="47">
        <f>AN780-AN812+AN923</f>
        <v/>
      </c>
      <c r="AP780" s="47">
        <f>AO780-AO812+AO923</f>
        <v/>
      </c>
      <c r="AQ780" s="47">
        <f>AP780-AP812+AP923</f>
        <v/>
      </c>
      <c r="AR780" s="47">
        <f>AQ780-AQ812+AQ923</f>
        <v/>
      </c>
      <c r="AS780" s="47">
        <f>AR780-AR812+AR923</f>
        <v/>
      </c>
      <c r="AT780" s="47">
        <f>AS780-AS812+AS923</f>
        <v/>
      </c>
      <c r="AU780" s="47">
        <f>AT780-AT812+AT923</f>
        <v/>
      </c>
      <c r="AV780" s="47">
        <f>AU780-AU812+AU923</f>
        <v/>
      </c>
      <c r="AW780" s="47">
        <f>AV780-AV812+AV923</f>
        <v/>
      </c>
      <c r="AX780" s="47">
        <f>AW780-AW812+AW923</f>
        <v/>
      </c>
      <c r="AY780" s="47">
        <f>AX780-AX812+AX923</f>
        <v/>
      </c>
      <c r="AZ780" s="47">
        <f>AY780-AY812+AY923</f>
        <v/>
      </c>
      <c r="BA780" s="48">
        <f>CARRY(AZ780,AZ812,AZ923)</f>
        <v/>
      </c>
    </row>
    <row r="781" hidden="1" outlineLevel="1"/>
    <row r="782" collapsed="1">
      <c r="A782" s="1" t="inlineStr">
        <is>
          <t>captot</t>
        </is>
      </c>
      <c r="B782" s="1" t="inlineStr"/>
      <c r="C782" s="1" t="inlineStr"/>
      <c r="D782" s="39" t="n"/>
      <c r="E782" s="39" t="n"/>
      <c r="F782" s="39" t="n"/>
      <c r="G782" s="39" t="n"/>
      <c r="H782" s="1">
        <f>INDEX(VarLab,MATCH($A782,VarKey,0))&amp;INDEX(MemLab,MATCH($C782&amp;"|"&amp;$B782,MemKey,0))</f>
        <v/>
      </c>
      <c r="I782" s="1">
        <f>INDEX(VarUnit,MATCH($A782,VarKey,0))</f>
        <v/>
      </c>
      <c r="J782" s="1">
        <f>INDEX(VarSrc,MATCH($A782,VarKey,0))</f>
        <v/>
      </c>
      <c r="K782" s="17">
        <f>CodePrefix&amp;$A782&amp;IF($C782="","","."&amp;$C782&amp;"."&amp;$B782)&amp;INDEX(VarEnd,MATCH($A782,VarKey,0))&amp;K$5</f>
        <v/>
      </c>
      <c r="L782" s="58">
        <f>SUM(L$772:L$780)</f>
        <v/>
      </c>
      <c r="M782" s="59">
        <f>SUM(M$772:M$780)</f>
        <v/>
      </c>
      <c r="N782" s="59">
        <f>SUM(N$772:N$780)</f>
        <v/>
      </c>
      <c r="O782" s="59">
        <f>SUM(O$772:O$780)</f>
        <v/>
      </c>
      <c r="P782" s="59">
        <f>SUM(P$772:P$780)</f>
        <v/>
      </c>
      <c r="Q782" s="59">
        <f>SUM(Q$772:Q$780)</f>
        <v/>
      </c>
      <c r="R782" s="59">
        <f>SUM(R$772:R$780)</f>
        <v/>
      </c>
      <c r="S782" s="59">
        <f>SUM(S$772:S$780)</f>
        <v/>
      </c>
      <c r="T782" s="59">
        <f>SUM(T$772:T$780)</f>
        <v/>
      </c>
      <c r="U782" s="59">
        <f>SUM(U$772:U$780)</f>
        <v/>
      </c>
      <c r="V782" s="59">
        <f>SUM(V$772:V$780)</f>
        <v/>
      </c>
      <c r="W782" s="59">
        <f>SUM(W$772:W$780)</f>
        <v/>
      </c>
      <c r="X782" s="59">
        <f>SUM(X$772:X$780)</f>
        <v/>
      </c>
      <c r="Y782" s="59">
        <f>SUM(Y$772:Y$780)</f>
        <v/>
      </c>
      <c r="Z782" s="59">
        <f>SUM(Z$772:Z$780)</f>
        <v/>
      </c>
      <c r="AA782" s="59">
        <f>SUM(AA$772:AA$780)</f>
        <v/>
      </c>
      <c r="AB782" s="59">
        <f>SUM(AB$772:AB$780)</f>
        <v/>
      </c>
      <c r="AC782" s="59">
        <f>SUM(AC$772:AC$780)</f>
        <v/>
      </c>
      <c r="AD782" s="59">
        <f>SUM(AD$772:AD$780)</f>
        <v/>
      </c>
      <c r="AE782" s="59">
        <f>SUM(AE$772:AE$780)</f>
        <v/>
      </c>
      <c r="AG782" s="17">
        <f>CodePrefix&amp;$A782&amp;IF($C782="","","."&amp;$C782&amp;"."&amp;$B782)&amp;INDEX(VarEnd,MATCH($A782,VarKey,0))&amp;AG$5</f>
        <v/>
      </c>
      <c r="AH782" s="58">
        <f>SUM(AH$772:AH$780)</f>
        <v/>
      </c>
      <c r="AI782" s="59">
        <f>SUM(AI$772:AI$780)</f>
        <v/>
      </c>
      <c r="AJ782" s="59">
        <f>SUM(AJ$772:AJ$780)</f>
        <v/>
      </c>
      <c r="AK782" s="59">
        <f>SUM(AK$772:AK$780)</f>
        <v/>
      </c>
      <c r="AL782" s="59">
        <f>SUM(AL$772:AL$780)</f>
        <v/>
      </c>
      <c r="AM782" s="59">
        <f>SUM(AM$772:AM$780)</f>
        <v/>
      </c>
      <c r="AN782" s="59">
        <f>SUM(AN$772:AN$780)</f>
        <v/>
      </c>
      <c r="AO782" s="59">
        <f>SUM(AO$772:AO$780)</f>
        <v/>
      </c>
      <c r="AP782" s="59">
        <f>SUM(AP$772:AP$780)</f>
        <v/>
      </c>
      <c r="AQ782" s="59">
        <f>SUM(AQ$772:AQ$780)</f>
        <v/>
      </c>
      <c r="AR782" s="59">
        <f>SUM(AR$772:AR$780)</f>
        <v/>
      </c>
      <c r="AS782" s="59">
        <f>SUM(AS$772:AS$780)</f>
        <v/>
      </c>
      <c r="AT782" s="59">
        <f>SUM(AT$772:AT$780)</f>
        <v/>
      </c>
      <c r="AU782" s="59">
        <f>SUM(AU$772:AU$780)</f>
        <v/>
      </c>
      <c r="AV782" s="59">
        <f>SUM(AV$772:AV$780)</f>
        <v/>
      </c>
      <c r="AW782" s="59">
        <f>SUM(AW$772:AW$780)</f>
        <v/>
      </c>
      <c r="AX782" s="59">
        <f>SUM(AX$772:AX$780)</f>
        <v/>
      </c>
      <c r="AY782" s="59">
        <f>SUM(AY$772:AY$780)</f>
        <v/>
      </c>
      <c r="AZ782" s="59">
        <f>SUM(AZ$772:AZ$780)</f>
        <v/>
      </c>
      <c r="BA782" s="59">
        <f>SUM(BA$772:BA$780)</f>
        <v/>
      </c>
    </row>
    <row r="783" hidden="1" outlineLevel="1"/>
    <row r="784" hidden="1" outlineLevel="1">
      <c r="A784" s="14" t="inlineStr">
        <is>
          <t>effcap</t>
        </is>
      </c>
      <c r="B784" s="14" t="inlineStr">
        <is>
          <t>coa</t>
        </is>
      </c>
      <c r="C784" s="14" t="inlineStr">
        <is>
          <t>pow</t>
        </is>
      </c>
      <c r="D784" s="45">
        <f>INDEX(Inputs_power!$F$5:$F$13,MATCH($B784,Inputs_power!$A$5:$A$13,0))</f>
        <v/>
      </c>
      <c r="E784" s="39" t="n"/>
      <c r="F784" s="39" t="n"/>
      <c r="G784" s="39" t="n"/>
      <c r="H784" s="14">
        <f>INDEX(VarLab,MATCH($A784,VarKey,0))&amp;INDEX(MemLab,MATCH($C784&amp;"|"&amp;$B784,MemKey,0))</f>
        <v/>
      </c>
      <c r="I784" s="14">
        <f>INDEX(VarUnit,MATCH($A784,VarKey,0))</f>
        <v/>
      </c>
      <c r="J784" s="14">
        <f>INDEX(VarSrc,MATCH($A784,VarKey,0))</f>
        <v/>
      </c>
      <c r="K784" s="11">
        <f>CodePrefix&amp;$A784&amp;IF($C784="","","."&amp;$C784&amp;"."&amp;$B784)&amp;INDEX(VarEnd,MATCH($A784,VarKey,0))&amp;K$5</f>
        <v/>
      </c>
      <c r="L784" s="46">
        <f>L772*$D784</f>
        <v/>
      </c>
      <c r="M784" s="47">
        <f>M772*$D784</f>
        <v/>
      </c>
      <c r="N784" s="47">
        <f>N772*$D784</f>
        <v/>
      </c>
      <c r="O784" s="47">
        <f>O772*$D784</f>
        <v/>
      </c>
      <c r="P784" s="47">
        <f>P772*$D784</f>
        <v/>
      </c>
      <c r="Q784" s="47">
        <f>Q772*$D784</f>
        <v/>
      </c>
      <c r="R784" s="47">
        <f>R772*$D784</f>
        <v/>
      </c>
      <c r="S784" s="47">
        <f>S772*$D784</f>
        <v/>
      </c>
      <c r="T784" s="47">
        <f>T772*$D784</f>
        <v/>
      </c>
      <c r="U784" s="47">
        <f>U772*$D784</f>
        <v/>
      </c>
      <c r="V784" s="47">
        <f>V772*$D784</f>
        <v/>
      </c>
      <c r="W784" s="47">
        <f>W772*$D784</f>
        <v/>
      </c>
      <c r="X784" s="47">
        <f>X772*$D784</f>
        <v/>
      </c>
      <c r="Y784" s="47">
        <f>Y772*$D784</f>
        <v/>
      </c>
      <c r="Z784" s="47">
        <f>Z772*$D784</f>
        <v/>
      </c>
      <c r="AA784" s="47">
        <f>AA772*$D784</f>
        <v/>
      </c>
      <c r="AB784" s="47">
        <f>AB772*$D784</f>
        <v/>
      </c>
      <c r="AC784" s="47">
        <f>AC772*$D784</f>
        <v/>
      </c>
      <c r="AD784" s="47">
        <f>AD772*$D784</f>
        <v/>
      </c>
      <c r="AE784" s="48">
        <f>SCALE(AE772,$D784)</f>
        <v/>
      </c>
      <c r="AG784" s="11">
        <f>CodePrefix&amp;$A784&amp;IF($C784="","","."&amp;$C784&amp;"."&amp;$B784)&amp;INDEX(VarEnd,MATCH($A784,VarKey,0))&amp;AG$5</f>
        <v/>
      </c>
      <c r="AH784" s="46">
        <f>AH772*$D784</f>
        <v/>
      </c>
      <c r="AI784" s="47">
        <f>AI772*$D784</f>
        <v/>
      </c>
      <c r="AJ784" s="47">
        <f>AJ772*$D784</f>
        <v/>
      </c>
      <c r="AK784" s="47">
        <f>AK772*$D784</f>
        <v/>
      </c>
      <c r="AL784" s="47">
        <f>AL772*$D784</f>
        <v/>
      </c>
      <c r="AM784" s="47">
        <f>AM772*$D784</f>
        <v/>
      </c>
      <c r="AN784" s="47">
        <f>AN772*$D784</f>
        <v/>
      </c>
      <c r="AO784" s="47">
        <f>AO772*$D784</f>
        <v/>
      </c>
      <c r="AP784" s="47">
        <f>AP772*$D784</f>
        <v/>
      </c>
      <c r="AQ784" s="47">
        <f>AQ772*$D784</f>
        <v/>
      </c>
      <c r="AR784" s="47">
        <f>AR772*$D784</f>
        <v/>
      </c>
      <c r="AS784" s="47">
        <f>AS772*$D784</f>
        <v/>
      </c>
      <c r="AT784" s="47">
        <f>AT772*$D784</f>
        <v/>
      </c>
      <c r="AU784" s="47">
        <f>AU772*$D784</f>
        <v/>
      </c>
      <c r="AV784" s="47">
        <f>AV772*$D784</f>
        <v/>
      </c>
      <c r="AW784" s="47">
        <f>AW772*$D784</f>
        <v/>
      </c>
      <c r="AX784" s="47">
        <f>AX772*$D784</f>
        <v/>
      </c>
      <c r="AY784" s="47">
        <f>AY772*$D784</f>
        <v/>
      </c>
      <c r="AZ784" s="47">
        <f>AZ772*$D784</f>
        <v/>
      </c>
      <c r="BA784" s="48">
        <f>SCALE(BA772,$D784)</f>
        <v/>
      </c>
    </row>
    <row r="785" hidden="1" outlineLevel="1">
      <c r="A785" s="14" t="inlineStr">
        <is>
          <t>effcap</t>
        </is>
      </c>
      <c r="B785" s="14" t="inlineStr">
        <is>
          <t>nga</t>
        </is>
      </c>
      <c r="C785" s="14" t="inlineStr">
        <is>
          <t>pow</t>
        </is>
      </c>
      <c r="D785" s="45">
        <f>INDEX(Inputs_power!$F$5:$F$13,MATCH($B785,Inputs_power!$A$5:$A$13,0))</f>
        <v/>
      </c>
      <c r="E785" s="39" t="n"/>
      <c r="F785" s="39" t="n"/>
      <c r="G785" s="39" t="n"/>
      <c r="H785" s="14">
        <f>INDEX(VarLab,MATCH($A785,VarKey,0))&amp;INDEX(MemLab,MATCH($C785&amp;"|"&amp;$B785,MemKey,0))</f>
        <v/>
      </c>
      <c r="I785" s="14">
        <f>INDEX(VarUnit,MATCH($A785,VarKey,0))</f>
        <v/>
      </c>
      <c r="J785" s="14">
        <f>INDEX(VarSrc,MATCH($A785,VarKey,0))</f>
        <v/>
      </c>
      <c r="K785" s="11">
        <f>CodePrefix&amp;$A785&amp;IF($C785="","","."&amp;$C785&amp;"."&amp;$B785)&amp;INDEX(VarEnd,MATCH($A785,VarKey,0))&amp;K$5</f>
        <v/>
      </c>
      <c r="L785" s="46">
        <f>L773*$D785</f>
        <v/>
      </c>
      <c r="M785" s="47">
        <f>M773*$D785</f>
        <v/>
      </c>
      <c r="N785" s="47">
        <f>N773*$D785</f>
        <v/>
      </c>
      <c r="O785" s="47">
        <f>O773*$D785</f>
        <v/>
      </c>
      <c r="P785" s="47">
        <f>P773*$D785</f>
        <v/>
      </c>
      <c r="Q785" s="47">
        <f>Q773*$D785</f>
        <v/>
      </c>
      <c r="R785" s="47">
        <f>R773*$D785</f>
        <v/>
      </c>
      <c r="S785" s="47">
        <f>S773*$D785</f>
        <v/>
      </c>
      <c r="T785" s="47">
        <f>T773*$D785</f>
        <v/>
      </c>
      <c r="U785" s="47">
        <f>U773*$D785</f>
        <v/>
      </c>
      <c r="V785" s="47">
        <f>V773*$D785</f>
        <v/>
      </c>
      <c r="W785" s="47">
        <f>W773*$D785</f>
        <v/>
      </c>
      <c r="X785" s="47">
        <f>X773*$D785</f>
        <v/>
      </c>
      <c r="Y785" s="47">
        <f>Y773*$D785</f>
        <v/>
      </c>
      <c r="Z785" s="47">
        <f>Z773*$D785</f>
        <v/>
      </c>
      <c r="AA785" s="47">
        <f>AA773*$D785</f>
        <v/>
      </c>
      <c r="AB785" s="47">
        <f>AB773*$D785</f>
        <v/>
      </c>
      <c r="AC785" s="47">
        <f>AC773*$D785</f>
        <v/>
      </c>
      <c r="AD785" s="47">
        <f>AD773*$D785</f>
        <v/>
      </c>
      <c r="AE785" s="48">
        <f>SCALE(AE773,$D785)</f>
        <v/>
      </c>
      <c r="AG785" s="11">
        <f>CodePrefix&amp;$A785&amp;IF($C785="","","."&amp;$C785&amp;"."&amp;$B785)&amp;INDEX(VarEnd,MATCH($A785,VarKey,0))&amp;AG$5</f>
        <v/>
      </c>
      <c r="AH785" s="46">
        <f>AH773*$D785</f>
        <v/>
      </c>
      <c r="AI785" s="47">
        <f>AI773*$D785</f>
        <v/>
      </c>
      <c r="AJ785" s="47">
        <f>AJ773*$D785</f>
        <v/>
      </c>
      <c r="AK785" s="47">
        <f>AK773*$D785</f>
        <v/>
      </c>
      <c r="AL785" s="47">
        <f>AL773*$D785</f>
        <v/>
      </c>
      <c r="AM785" s="47">
        <f>AM773*$D785</f>
        <v/>
      </c>
      <c r="AN785" s="47">
        <f>AN773*$D785</f>
        <v/>
      </c>
      <c r="AO785" s="47">
        <f>AO773*$D785</f>
        <v/>
      </c>
      <c r="AP785" s="47">
        <f>AP773*$D785</f>
        <v/>
      </c>
      <c r="AQ785" s="47">
        <f>AQ773*$D785</f>
        <v/>
      </c>
      <c r="AR785" s="47">
        <f>AR773*$D785</f>
        <v/>
      </c>
      <c r="AS785" s="47">
        <f>AS773*$D785</f>
        <v/>
      </c>
      <c r="AT785" s="47">
        <f>AT773*$D785</f>
        <v/>
      </c>
      <c r="AU785" s="47">
        <f>AU773*$D785</f>
        <v/>
      </c>
      <c r="AV785" s="47">
        <f>AV773*$D785</f>
        <v/>
      </c>
      <c r="AW785" s="47">
        <f>AW773*$D785</f>
        <v/>
      </c>
      <c r="AX785" s="47">
        <f>AX773*$D785</f>
        <v/>
      </c>
      <c r="AY785" s="47">
        <f>AY773*$D785</f>
        <v/>
      </c>
      <c r="AZ785" s="47">
        <f>AZ773*$D785</f>
        <v/>
      </c>
      <c r="BA785" s="48">
        <f>SCALE(BA773,$D785)</f>
        <v/>
      </c>
    </row>
    <row r="786" hidden="1" outlineLevel="1">
      <c r="A786" s="14" t="inlineStr">
        <is>
          <t>effcap</t>
        </is>
      </c>
      <c r="B786" s="14" t="inlineStr">
        <is>
          <t>oop</t>
        </is>
      </c>
      <c r="C786" s="14" t="inlineStr">
        <is>
          <t>pow</t>
        </is>
      </c>
      <c r="D786" s="45">
        <f>INDEX(Inputs_power!$F$5:$F$13,MATCH($B786,Inputs_power!$A$5:$A$13,0))</f>
        <v/>
      </c>
      <c r="E786" s="39" t="n"/>
      <c r="F786" s="39" t="n"/>
      <c r="G786" s="39" t="n"/>
      <c r="H786" s="14">
        <f>INDEX(VarLab,MATCH($A786,VarKey,0))&amp;INDEX(MemLab,MATCH($C786&amp;"|"&amp;$B786,MemKey,0))</f>
        <v/>
      </c>
      <c r="I786" s="14">
        <f>INDEX(VarUnit,MATCH($A786,VarKey,0))</f>
        <v/>
      </c>
      <c r="J786" s="14">
        <f>INDEX(VarSrc,MATCH($A786,VarKey,0))</f>
        <v/>
      </c>
      <c r="K786" s="11">
        <f>CodePrefix&amp;$A786&amp;IF($C786="","","."&amp;$C786&amp;"."&amp;$B786)&amp;INDEX(VarEnd,MATCH($A786,VarKey,0))&amp;K$5</f>
        <v/>
      </c>
      <c r="L786" s="46">
        <f>L774*$D786</f>
        <v/>
      </c>
      <c r="M786" s="47">
        <f>M774*$D786</f>
        <v/>
      </c>
      <c r="N786" s="47">
        <f>N774*$D786</f>
        <v/>
      </c>
      <c r="O786" s="47">
        <f>O774*$D786</f>
        <v/>
      </c>
      <c r="P786" s="47">
        <f>P774*$D786</f>
        <v/>
      </c>
      <c r="Q786" s="47">
        <f>Q774*$D786</f>
        <v/>
      </c>
      <c r="R786" s="47">
        <f>R774*$D786</f>
        <v/>
      </c>
      <c r="S786" s="47">
        <f>S774*$D786</f>
        <v/>
      </c>
      <c r="T786" s="47">
        <f>T774*$D786</f>
        <v/>
      </c>
      <c r="U786" s="47">
        <f>U774*$D786</f>
        <v/>
      </c>
      <c r="V786" s="47">
        <f>V774*$D786</f>
        <v/>
      </c>
      <c r="W786" s="47">
        <f>W774*$D786</f>
        <v/>
      </c>
      <c r="X786" s="47">
        <f>X774*$D786</f>
        <v/>
      </c>
      <c r="Y786" s="47">
        <f>Y774*$D786</f>
        <v/>
      </c>
      <c r="Z786" s="47">
        <f>Z774*$D786</f>
        <v/>
      </c>
      <c r="AA786" s="47">
        <f>AA774*$D786</f>
        <v/>
      </c>
      <c r="AB786" s="47">
        <f>AB774*$D786</f>
        <v/>
      </c>
      <c r="AC786" s="47">
        <f>AC774*$D786</f>
        <v/>
      </c>
      <c r="AD786" s="47">
        <f>AD774*$D786</f>
        <v/>
      </c>
      <c r="AE786" s="48">
        <f>SCALE(AE774,$D786)</f>
        <v/>
      </c>
      <c r="AG786" s="11">
        <f>CodePrefix&amp;$A786&amp;IF($C786="","","."&amp;$C786&amp;"."&amp;$B786)&amp;INDEX(VarEnd,MATCH($A786,VarKey,0))&amp;AG$5</f>
        <v/>
      </c>
      <c r="AH786" s="46">
        <f>AH774*$D786</f>
        <v/>
      </c>
      <c r="AI786" s="47">
        <f>AI774*$D786</f>
        <v/>
      </c>
      <c r="AJ786" s="47">
        <f>AJ774*$D786</f>
        <v/>
      </c>
      <c r="AK786" s="47">
        <f>AK774*$D786</f>
        <v/>
      </c>
      <c r="AL786" s="47">
        <f>AL774*$D786</f>
        <v/>
      </c>
      <c r="AM786" s="47">
        <f>AM774*$D786</f>
        <v/>
      </c>
      <c r="AN786" s="47">
        <f>AN774*$D786</f>
        <v/>
      </c>
      <c r="AO786" s="47">
        <f>AO774*$D786</f>
        <v/>
      </c>
      <c r="AP786" s="47">
        <f>AP774*$D786</f>
        <v/>
      </c>
      <c r="AQ786" s="47">
        <f>AQ774*$D786</f>
        <v/>
      </c>
      <c r="AR786" s="47">
        <f>AR774*$D786</f>
        <v/>
      </c>
      <c r="AS786" s="47">
        <f>AS774*$D786</f>
        <v/>
      </c>
      <c r="AT786" s="47">
        <f>AT774*$D786</f>
        <v/>
      </c>
      <c r="AU786" s="47">
        <f>AU774*$D786</f>
        <v/>
      </c>
      <c r="AV786" s="47">
        <f>AV774*$D786</f>
        <v/>
      </c>
      <c r="AW786" s="47">
        <f>AW774*$D786</f>
        <v/>
      </c>
      <c r="AX786" s="47">
        <f>AX774*$D786</f>
        <v/>
      </c>
      <c r="AY786" s="47">
        <f>AY774*$D786</f>
        <v/>
      </c>
      <c r="AZ786" s="47">
        <f>AZ774*$D786</f>
        <v/>
      </c>
      <c r="BA786" s="48">
        <f>SCALE(BA774,$D786)</f>
        <v/>
      </c>
    </row>
    <row r="787" hidden="1" outlineLevel="1">
      <c r="A787" s="14" t="inlineStr">
        <is>
          <t>effcap</t>
        </is>
      </c>
      <c r="B787" s="14" t="inlineStr">
        <is>
          <t>nuc</t>
        </is>
      </c>
      <c r="C787" s="14" t="inlineStr">
        <is>
          <t>pow</t>
        </is>
      </c>
      <c r="D787" s="45">
        <f>INDEX(Inputs_power!$F$5:$F$13,MATCH($B787,Inputs_power!$A$5:$A$13,0))</f>
        <v/>
      </c>
      <c r="E787" s="39" t="n"/>
      <c r="F787" s="39" t="n"/>
      <c r="G787" s="39" t="n"/>
      <c r="H787" s="14">
        <f>INDEX(VarLab,MATCH($A787,VarKey,0))&amp;INDEX(MemLab,MATCH($C787&amp;"|"&amp;$B787,MemKey,0))</f>
        <v/>
      </c>
      <c r="I787" s="14">
        <f>INDEX(VarUnit,MATCH($A787,VarKey,0))</f>
        <v/>
      </c>
      <c r="J787" s="14">
        <f>INDEX(VarSrc,MATCH($A787,VarKey,0))</f>
        <v/>
      </c>
      <c r="K787" s="11">
        <f>CodePrefix&amp;$A787&amp;IF($C787="","","."&amp;$C787&amp;"."&amp;$B787)&amp;INDEX(VarEnd,MATCH($A787,VarKey,0))&amp;K$5</f>
        <v/>
      </c>
      <c r="L787" s="46">
        <f>L775*$D787</f>
        <v/>
      </c>
      <c r="M787" s="47">
        <f>M775*$D787</f>
        <v/>
      </c>
      <c r="N787" s="47">
        <f>N775*$D787</f>
        <v/>
      </c>
      <c r="O787" s="47">
        <f>O775*$D787</f>
        <v/>
      </c>
      <c r="P787" s="47">
        <f>P775*$D787</f>
        <v/>
      </c>
      <c r="Q787" s="47">
        <f>Q775*$D787</f>
        <v/>
      </c>
      <c r="R787" s="47">
        <f>R775*$D787</f>
        <v/>
      </c>
      <c r="S787" s="47">
        <f>S775*$D787</f>
        <v/>
      </c>
      <c r="T787" s="47">
        <f>T775*$D787</f>
        <v/>
      </c>
      <c r="U787" s="47">
        <f>U775*$D787</f>
        <v/>
      </c>
      <c r="V787" s="47">
        <f>V775*$D787</f>
        <v/>
      </c>
      <c r="W787" s="47">
        <f>W775*$D787</f>
        <v/>
      </c>
      <c r="X787" s="47">
        <f>X775*$D787</f>
        <v/>
      </c>
      <c r="Y787" s="47">
        <f>Y775*$D787</f>
        <v/>
      </c>
      <c r="Z787" s="47">
        <f>Z775*$D787</f>
        <v/>
      </c>
      <c r="AA787" s="47">
        <f>AA775*$D787</f>
        <v/>
      </c>
      <c r="AB787" s="47">
        <f>AB775*$D787</f>
        <v/>
      </c>
      <c r="AC787" s="47">
        <f>AC775*$D787</f>
        <v/>
      </c>
      <c r="AD787" s="47">
        <f>AD775*$D787</f>
        <v/>
      </c>
      <c r="AE787" s="48">
        <f>SCALE(AE775,$D787)</f>
        <v/>
      </c>
      <c r="AG787" s="11">
        <f>CodePrefix&amp;$A787&amp;IF($C787="","","."&amp;$C787&amp;"."&amp;$B787)&amp;INDEX(VarEnd,MATCH($A787,VarKey,0))&amp;AG$5</f>
        <v/>
      </c>
      <c r="AH787" s="46">
        <f>AH775*$D787</f>
        <v/>
      </c>
      <c r="AI787" s="47">
        <f>AI775*$D787</f>
        <v/>
      </c>
      <c r="AJ787" s="47">
        <f>AJ775*$D787</f>
        <v/>
      </c>
      <c r="AK787" s="47">
        <f>AK775*$D787</f>
        <v/>
      </c>
      <c r="AL787" s="47">
        <f>AL775*$D787</f>
        <v/>
      </c>
      <c r="AM787" s="47">
        <f>AM775*$D787</f>
        <v/>
      </c>
      <c r="AN787" s="47">
        <f>AN775*$D787</f>
        <v/>
      </c>
      <c r="AO787" s="47">
        <f>AO775*$D787</f>
        <v/>
      </c>
      <c r="AP787" s="47">
        <f>AP775*$D787</f>
        <v/>
      </c>
      <c r="AQ787" s="47">
        <f>AQ775*$D787</f>
        <v/>
      </c>
      <c r="AR787" s="47">
        <f>AR775*$D787</f>
        <v/>
      </c>
      <c r="AS787" s="47">
        <f>AS775*$D787</f>
        <v/>
      </c>
      <c r="AT787" s="47">
        <f>AT775*$D787</f>
        <v/>
      </c>
      <c r="AU787" s="47">
        <f>AU775*$D787</f>
        <v/>
      </c>
      <c r="AV787" s="47">
        <f>AV775*$D787</f>
        <v/>
      </c>
      <c r="AW787" s="47">
        <f>AW775*$D787</f>
        <v/>
      </c>
      <c r="AX787" s="47">
        <f>AX775*$D787</f>
        <v/>
      </c>
      <c r="AY787" s="47">
        <f>AY775*$D787</f>
        <v/>
      </c>
      <c r="AZ787" s="47">
        <f>AZ775*$D787</f>
        <v/>
      </c>
      <c r="BA787" s="48">
        <f>SCALE(BA775,$D787)</f>
        <v/>
      </c>
    </row>
    <row r="788" hidden="1" outlineLevel="1">
      <c r="A788" s="14" t="inlineStr">
        <is>
          <t>effcap</t>
        </is>
      </c>
      <c r="B788" s="14" t="inlineStr">
        <is>
          <t>wnd</t>
        </is>
      </c>
      <c r="C788" s="14" t="inlineStr">
        <is>
          <t>pow</t>
        </is>
      </c>
      <c r="D788" s="45">
        <f>INDEX(Inputs_power!$F$5:$F$13,MATCH($B788,Inputs_power!$A$5:$A$13,0))</f>
        <v/>
      </c>
      <c r="E788" s="39" t="n"/>
      <c r="F788" s="39" t="n"/>
      <c r="G788" s="39" t="n"/>
      <c r="H788" s="14">
        <f>INDEX(VarLab,MATCH($A788,VarKey,0))&amp;INDEX(MemLab,MATCH($C788&amp;"|"&amp;$B788,MemKey,0))</f>
        <v/>
      </c>
      <c r="I788" s="14">
        <f>INDEX(VarUnit,MATCH($A788,VarKey,0))</f>
        <v/>
      </c>
      <c r="J788" s="14">
        <f>INDEX(VarSrc,MATCH($A788,VarKey,0))</f>
        <v/>
      </c>
      <c r="K788" s="11">
        <f>CodePrefix&amp;$A788&amp;IF($C788="","","."&amp;$C788&amp;"."&amp;$B788)&amp;INDEX(VarEnd,MATCH($A788,VarKey,0))&amp;K$5</f>
        <v/>
      </c>
      <c r="L788" s="46">
        <f>L776*$D788</f>
        <v/>
      </c>
      <c r="M788" s="47">
        <f>M776*$D788</f>
        <v/>
      </c>
      <c r="N788" s="47">
        <f>N776*$D788</f>
        <v/>
      </c>
      <c r="O788" s="47">
        <f>O776*$D788</f>
        <v/>
      </c>
      <c r="P788" s="47">
        <f>P776*$D788</f>
        <v/>
      </c>
      <c r="Q788" s="47">
        <f>Q776*$D788</f>
        <v/>
      </c>
      <c r="R788" s="47">
        <f>R776*$D788</f>
        <v/>
      </c>
      <c r="S788" s="47">
        <f>S776*$D788</f>
        <v/>
      </c>
      <c r="T788" s="47">
        <f>T776*$D788</f>
        <v/>
      </c>
      <c r="U788" s="47">
        <f>U776*$D788</f>
        <v/>
      </c>
      <c r="V788" s="47">
        <f>V776*$D788</f>
        <v/>
      </c>
      <c r="W788" s="47">
        <f>W776*$D788</f>
        <v/>
      </c>
      <c r="X788" s="47">
        <f>X776*$D788</f>
        <v/>
      </c>
      <c r="Y788" s="47">
        <f>Y776*$D788</f>
        <v/>
      </c>
      <c r="Z788" s="47">
        <f>Z776*$D788</f>
        <v/>
      </c>
      <c r="AA788" s="47">
        <f>AA776*$D788</f>
        <v/>
      </c>
      <c r="AB788" s="47">
        <f>AB776*$D788</f>
        <v/>
      </c>
      <c r="AC788" s="47">
        <f>AC776*$D788</f>
        <v/>
      </c>
      <c r="AD788" s="47">
        <f>AD776*$D788</f>
        <v/>
      </c>
      <c r="AE788" s="48">
        <f>SCALE(AE776,$D788)</f>
        <v/>
      </c>
      <c r="AG788" s="11">
        <f>CodePrefix&amp;$A788&amp;IF($C788="","","."&amp;$C788&amp;"."&amp;$B788)&amp;INDEX(VarEnd,MATCH($A788,VarKey,0))&amp;AG$5</f>
        <v/>
      </c>
      <c r="AH788" s="46">
        <f>AH776*$D788</f>
        <v/>
      </c>
      <c r="AI788" s="47">
        <f>AI776*$D788</f>
        <v/>
      </c>
      <c r="AJ788" s="47">
        <f>AJ776*$D788</f>
        <v/>
      </c>
      <c r="AK788" s="47">
        <f>AK776*$D788</f>
        <v/>
      </c>
      <c r="AL788" s="47">
        <f>AL776*$D788</f>
        <v/>
      </c>
      <c r="AM788" s="47">
        <f>AM776*$D788</f>
        <v/>
      </c>
      <c r="AN788" s="47">
        <f>AN776*$D788</f>
        <v/>
      </c>
      <c r="AO788" s="47">
        <f>AO776*$D788</f>
        <v/>
      </c>
      <c r="AP788" s="47">
        <f>AP776*$D788</f>
        <v/>
      </c>
      <c r="AQ788" s="47">
        <f>AQ776*$D788</f>
        <v/>
      </c>
      <c r="AR788" s="47">
        <f>AR776*$D788</f>
        <v/>
      </c>
      <c r="AS788" s="47">
        <f>AS776*$D788</f>
        <v/>
      </c>
      <c r="AT788" s="47">
        <f>AT776*$D788</f>
        <v/>
      </c>
      <c r="AU788" s="47">
        <f>AU776*$D788</f>
        <v/>
      </c>
      <c r="AV788" s="47">
        <f>AV776*$D788</f>
        <v/>
      </c>
      <c r="AW788" s="47">
        <f>AW776*$D788</f>
        <v/>
      </c>
      <c r="AX788" s="47">
        <f>AX776*$D788</f>
        <v/>
      </c>
      <c r="AY788" s="47">
        <f>AY776*$D788</f>
        <v/>
      </c>
      <c r="AZ788" s="47">
        <f>AZ776*$D788</f>
        <v/>
      </c>
      <c r="BA788" s="48">
        <f>SCALE(BA776,$D788)</f>
        <v/>
      </c>
    </row>
    <row r="789" hidden="1" outlineLevel="1">
      <c r="A789" s="14" t="inlineStr">
        <is>
          <t>effcap</t>
        </is>
      </c>
      <c r="B789" s="14" t="inlineStr">
        <is>
          <t>sol</t>
        </is>
      </c>
      <c r="C789" s="14" t="inlineStr">
        <is>
          <t>pow</t>
        </is>
      </c>
      <c r="D789" s="45">
        <f>INDEX(Inputs_power!$F$5:$F$13,MATCH($B789,Inputs_power!$A$5:$A$13,0))</f>
        <v/>
      </c>
      <c r="E789" s="39" t="n"/>
      <c r="F789" s="39" t="n"/>
      <c r="G789" s="39" t="n"/>
      <c r="H789" s="14">
        <f>INDEX(VarLab,MATCH($A789,VarKey,0))&amp;INDEX(MemLab,MATCH($C789&amp;"|"&amp;$B789,MemKey,0))</f>
        <v/>
      </c>
      <c r="I789" s="14">
        <f>INDEX(VarUnit,MATCH($A789,VarKey,0))</f>
        <v/>
      </c>
      <c r="J789" s="14">
        <f>INDEX(VarSrc,MATCH($A789,VarKey,0))</f>
        <v/>
      </c>
      <c r="K789" s="11">
        <f>CodePrefix&amp;$A789&amp;IF($C789="","","."&amp;$C789&amp;"."&amp;$B789)&amp;INDEX(VarEnd,MATCH($A789,VarKey,0))&amp;K$5</f>
        <v/>
      </c>
      <c r="L789" s="46">
        <f>L777*$D789</f>
        <v/>
      </c>
      <c r="M789" s="47">
        <f>M777*$D789</f>
        <v/>
      </c>
      <c r="N789" s="47">
        <f>N777*$D789</f>
        <v/>
      </c>
      <c r="O789" s="47">
        <f>O777*$D789</f>
        <v/>
      </c>
      <c r="P789" s="47">
        <f>P777*$D789</f>
        <v/>
      </c>
      <c r="Q789" s="47">
        <f>Q777*$D789</f>
        <v/>
      </c>
      <c r="R789" s="47">
        <f>R777*$D789</f>
        <v/>
      </c>
      <c r="S789" s="47">
        <f>S777*$D789</f>
        <v/>
      </c>
      <c r="T789" s="47">
        <f>T777*$D789</f>
        <v/>
      </c>
      <c r="U789" s="47">
        <f>U777*$D789</f>
        <v/>
      </c>
      <c r="V789" s="47">
        <f>V777*$D789</f>
        <v/>
      </c>
      <c r="W789" s="47">
        <f>W777*$D789</f>
        <v/>
      </c>
      <c r="X789" s="47">
        <f>X777*$D789</f>
        <v/>
      </c>
      <c r="Y789" s="47">
        <f>Y777*$D789</f>
        <v/>
      </c>
      <c r="Z789" s="47">
        <f>Z777*$D789</f>
        <v/>
      </c>
      <c r="AA789" s="47">
        <f>AA777*$D789</f>
        <v/>
      </c>
      <c r="AB789" s="47">
        <f>AB777*$D789</f>
        <v/>
      </c>
      <c r="AC789" s="47">
        <f>AC777*$D789</f>
        <v/>
      </c>
      <c r="AD789" s="47">
        <f>AD777*$D789</f>
        <v/>
      </c>
      <c r="AE789" s="48">
        <f>SCALE(AE777,$D789)</f>
        <v/>
      </c>
      <c r="AG789" s="11">
        <f>CodePrefix&amp;$A789&amp;IF($C789="","","."&amp;$C789&amp;"."&amp;$B789)&amp;INDEX(VarEnd,MATCH($A789,VarKey,0))&amp;AG$5</f>
        <v/>
      </c>
      <c r="AH789" s="46">
        <f>AH777*$D789</f>
        <v/>
      </c>
      <c r="AI789" s="47">
        <f>AI777*$D789</f>
        <v/>
      </c>
      <c r="AJ789" s="47">
        <f>AJ777*$D789</f>
        <v/>
      </c>
      <c r="AK789" s="47">
        <f>AK777*$D789</f>
        <v/>
      </c>
      <c r="AL789" s="47">
        <f>AL777*$D789</f>
        <v/>
      </c>
      <c r="AM789" s="47">
        <f>AM777*$D789</f>
        <v/>
      </c>
      <c r="AN789" s="47">
        <f>AN777*$D789</f>
        <v/>
      </c>
      <c r="AO789" s="47">
        <f>AO777*$D789</f>
        <v/>
      </c>
      <c r="AP789" s="47">
        <f>AP777*$D789</f>
        <v/>
      </c>
      <c r="AQ789" s="47">
        <f>AQ777*$D789</f>
        <v/>
      </c>
      <c r="AR789" s="47">
        <f>AR777*$D789</f>
        <v/>
      </c>
      <c r="AS789" s="47">
        <f>AS777*$D789</f>
        <v/>
      </c>
      <c r="AT789" s="47">
        <f>AT777*$D789</f>
        <v/>
      </c>
      <c r="AU789" s="47">
        <f>AU777*$D789</f>
        <v/>
      </c>
      <c r="AV789" s="47">
        <f>AV777*$D789</f>
        <v/>
      </c>
      <c r="AW789" s="47">
        <f>AW777*$D789</f>
        <v/>
      </c>
      <c r="AX789" s="47">
        <f>AX777*$D789</f>
        <v/>
      </c>
      <c r="AY789" s="47">
        <f>AY777*$D789</f>
        <v/>
      </c>
      <c r="AZ789" s="47">
        <f>AZ777*$D789</f>
        <v/>
      </c>
      <c r="BA789" s="48">
        <f>SCALE(BA777,$D789)</f>
        <v/>
      </c>
    </row>
    <row r="790" hidden="1" outlineLevel="1">
      <c r="A790" s="14" t="inlineStr">
        <is>
          <t>effcap</t>
        </is>
      </c>
      <c r="B790" s="14" t="inlineStr">
        <is>
          <t>hyd</t>
        </is>
      </c>
      <c r="C790" s="14" t="inlineStr">
        <is>
          <t>pow</t>
        </is>
      </c>
      <c r="D790" s="45">
        <f>INDEX(Inputs_power!$F$5:$F$13,MATCH($B790,Inputs_power!$A$5:$A$13,0))</f>
        <v/>
      </c>
      <c r="E790" s="39" t="n"/>
      <c r="F790" s="39" t="n"/>
      <c r="G790" s="39" t="n"/>
      <c r="H790" s="14">
        <f>INDEX(VarLab,MATCH($A790,VarKey,0))&amp;INDEX(MemLab,MATCH($C790&amp;"|"&amp;$B790,MemKey,0))</f>
        <v/>
      </c>
      <c r="I790" s="14">
        <f>INDEX(VarUnit,MATCH($A790,VarKey,0))</f>
        <v/>
      </c>
      <c r="J790" s="14">
        <f>INDEX(VarSrc,MATCH($A790,VarKey,0))</f>
        <v/>
      </c>
      <c r="K790" s="11">
        <f>CodePrefix&amp;$A790&amp;IF($C790="","","."&amp;$C790&amp;"."&amp;$B790)&amp;INDEX(VarEnd,MATCH($A790,VarKey,0))&amp;K$5</f>
        <v/>
      </c>
      <c r="L790" s="46">
        <f>L778*$D790</f>
        <v/>
      </c>
      <c r="M790" s="47">
        <f>M778*$D790</f>
        <v/>
      </c>
      <c r="N790" s="47">
        <f>N778*$D790</f>
        <v/>
      </c>
      <c r="O790" s="47">
        <f>O778*$D790</f>
        <v/>
      </c>
      <c r="P790" s="47">
        <f>P778*$D790</f>
        <v/>
      </c>
      <c r="Q790" s="47">
        <f>Q778*$D790</f>
        <v/>
      </c>
      <c r="R790" s="47">
        <f>R778*$D790</f>
        <v/>
      </c>
      <c r="S790" s="47">
        <f>S778*$D790</f>
        <v/>
      </c>
      <c r="T790" s="47">
        <f>T778*$D790</f>
        <v/>
      </c>
      <c r="U790" s="47">
        <f>U778*$D790</f>
        <v/>
      </c>
      <c r="V790" s="47">
        <f>V778*$D790</f>
        <v/>
      </c>
      <c r="W790" s="47">
        <f>W778*$D790</f>
        <v/>
      </c>
      <c r="X790" s="47">
        <f>X778*$D790</f>
        <v/>
      </c>
      <c r="Y790" s="47">
        <f>Y778*$D790</f>
        <v/>
      </c>
      <c r="Z790" s="47">
        <f>Z778*$D790</f>
        <v/>
      </c>
      <c r="AA790" s="47">
        <f>AA778*$D790</f>
        <v/>
      </c>
      <c r="AB790" s="47">
        <f>AB778*$D790</f>
        <v/>
      </c>
      <c r="AC790" s="47">
        <f>AC778*$D790</f>
        <v/>
      </c>
      <c r="AD790" s="47">
        <f>AD778*$D790</f>
        <v/>
      </c>
      <c r="AE790" s="48">
        <f>SCALE(AE778,$D790)</f>
        <v/>
      </c>
      <c r="AG790" s="11">
        <f>CodePrefix&amp;$A790&amp;IF($C790="","","."&amp;$C790&amp;"."&amp;$B790)&amp;INDEX(VarEnd,MATCH($A790,VarKey,0))&amp;AG$5</f>
        <v/>
      </c>
      <c r="AH790" s="46">
        <f>AH778*$D790</f>
        <v/>
      </c>
      <c r="AI790" s="47">
        <f>AI778*$D790</f>
        <v/>
      </c>
      <c r="AJ790" s="47">
        <f>AJ778*$D790</f>
        <v/>
      </c>
      <c r="AK790" s="47">
        <f>AK778*$D790</f>
        <v/>
      </c>
      <c r="AL790" s="47">
        <f>AL778*$D790</f>
        <v/>
      </c>
      <c r="AM790" s="47">
        <f>AM778*$D790</f>
        <v/>
      </c>
      <c r="AN790" s="47">
        <f>AN778*$D790</f>
        <v/>
      </c>
      <c r="AO790" s="47">
        <f>AO778*$D790</f>
        <v/>
      </c>
      <c r="AP790" s="47">
        <f>AP778*$D790</f>
        <v/>
      </c>
      <c r="AQ790" s="47">
        <f>AQ778*$D790</f>
        <v/>
      </c>
      <c r="AR790" s="47">
        <f>AR778*$D790</f>
        <v/>
      </c>
      <c r="AS790" s="47">
        <f>AS778*$D790</f>
        <v/>
      </c>
      <c r="AT790" s="47">
        <f>AT778*$D790</f>
        <v/>
      </c>
      <c r="AU790" s="47">
        <f>AU778*$D790</f>
        <v/>
      </c>
      <c r="AV790" s="47">
        <f>AV778*$D790</f>
        <v/>
      </c>
      <c r="AW790" s="47">
        <f>AW778*$D790</f>
        <v/>
      </c>
      <c r="AX790" s="47">
        <f>AX778*$D790</f>
        <v/>
      </c>
      <c r="AY790" s="47">
        <f>AY778*$D790</f>
        <v/>
      </c>
      <c r="AZ790" s="47">
        <f>AZ778*$D790</f>
        <v/>
      </c>
      <c r="BA790" s="48">
        <f>SCALE(BA778,$D790)</f>
        <v/>
      </c>
    </row>
    <row r="791" hidden="1" outlineLevel="1">
      <c r="A791" s="14" t="inlineStr">
        <is>
          <t>effcap</t>
        </is>
      </c>
      <c r="B791" s="14" t="inlineStr">
        <is>
          <t>ore</t>
        </is>
      </c>
      <c r="C791" s="14" t="inlineStr">
        <is>
          <t>pow</t>
        </is>
      </c>
      <c r="D791" s="45">
        <f>INDEX(Inputs_power!$F$5:$F$13,MATCH($B791,Inputs_power!$A$5:$A$13,0))</f>
        <v/>
      </c>
      <c r="E791" s="39" t="n"/>
      <c r="F791" s="39" t="n"/>
      <c r="G791" s="39" t="n"/>
      <c r="H791" s="14">
        <f>INDEX(VarLab,MATCH($A791,VarKey,0))&amp;INDEX(MemLab,MATCH($C791&amp;"|"&amp;$B791,MemKey,0))</f>
        <v/>
      </c>
      <c r="I791" s="14">
        <f>INDEX(VarUnit,MATCH($A791,VarKey,0))</f>
        <v/>
      </c>
      <c r="J791" s="14">
        <f>INDEX(VarSrc,MATCH($A791,VarKey,0))</f>
        <v/>
      </c>
      <c r="K791" s="11">
        <f>CodePrefix&amp;$A791&amp;IF($C791="","","."&amp;$C791&amp;"."&amp;$B791)&amp;INDEX(VarEnd,MATCH($A791,VarKey,0))&amp;K$5</f>
        <v/>
      </c>
      <c r="L791" s="46">
        <f>L779*$D791</f>
        <v/>
      </c>
      <c r="M791" s="47">
        <f>M779*$D791</f>
        <v/>
      </c>
      <c r="N791" s="47">
        <f>N779*$D791</f>
        <v/>
      </c>
      <c r="O791" s="47">
        <f>O779*$D791</f>
        <v/>
      </c>
      <c r="P791" s="47">
        <f>P779*$D791</f>
        <v/>
      </c>
      <c r="Q791" s="47">
        <f>Q779*$D791</f>
        <v/>
      </c>
      <c r="R791" s="47">
        <f>R779*$D791</f>
        <v/>
      </c>
      <c r="S791" s="47">
        <f>S779*$D791</f>
        <v/>
      </c>
      <c r="T791" s="47">
        <f>T779*$D791</f>
        <v/>
      </c>
      <c r="U791" s="47">
        <f>U779*$D791</f>
        <v/>
      </c>
      <c r="V791" s="47">
        <f>V779*$D791</f>
        <v/>
      </c>
      <c r="W791" s="47">
        <f>W779*$D791</f>
        <v/>
      </c>
      <c r="X791" s="47">
        <f>X779*$D791</f>
        <v/>
      </c>
      <c r="Y791" s="47">
        <f>Y779*$D791</f>
        <v/>
      </c>
      <c r="Z791" s="47">
        <f>Z779*$D791</f>
        <v/>
      </c>
      <c r="AA791" s="47">
        <f>AA779*$D791</f>
        <v/>
      </c>
      <c r="AB791" s="47">
        <f>AB779*$D791</f>
        <v/>
      </c>
      <c r="AC791" s="47">
        <f>AC779*$D791</f>
        <v/>
      </c>
      <c r="AD791" s="47">
        <f>AD779*$D791</f>
        <v/>
      </c>
      <c r="AE791" s="48">
        <f>SCALE(AE779,$D791)</f>
        <v/>
      </c>
      <c r="AG791" s="11">
        <f>CodePrefix&amp;$A791&amp;IF($C791="","","."&amp;$C791&amp;"."&amp;$B791)&amp;INDEX(VarEnd,MATCH($A791,VarKey,0))&amp;AG$5</f>
        <v/>
      </c>
      <c r="AH791" s="46">
        <f>AH779*$D791</f>
        <v/>
      </c>
      <c r="AI791" s="47">
        <f>AI779*$D791</f>
        <v/>
      </c>
      <c r="AJ791" s="47">
        <f>AJ779*$D791</f>
        <v/>
      </c>
      <c r="AK791" s="47">
        <f>AK779*$D791</f>
        <v/>
      </c>
      <c r="AL791" s="47">
        <f>AL779*$D791</f>
        <v/>
      </c>
      <c r="AM791" s="47">
        <f>AM779*$D791</f>
        <v/>
      </c>
      <c r="AN791" s="47">
        <f>AN779*$D791</f>
        <v/>
      </c>
      <c r="AO791" s="47">
        <f>AO779*$D791</f>
        <v/>
      </c>
      <c r="AP791" s="47">
        <f>AP779*$D791</f>
        <v/>
      </c>
      <c r="AQ791" s="47">
        <f>AQ779*$D791</f>
        <v/>
      </c>
      <c r="AR791" s="47">
        <f>AR779*$D791</f>
        <v/>
      </c>
      <c r="AS791" s="47">
        <f>AS779*$D791</f>
        <v/>
      </c>
      <c r="AT791" s="47">
        <f>AT779*$D791</f>
        <v/>
      </c>
      <c r="AU791" s="47">
        <f>AU779*$D791</f>
        <v/>
      </c>
      <c r="AV791" s="47">
        <f>AV779*$D791</f>
        <v/>
      </c>
      <c r="AW791" s="47">
        <f>AW779*$D791</f>
        <v/>
      </c>
      <c r="AX791" s="47">
        <f>AX779*$D791</f>
        <v/>
      </c>
      <c r="AY791" s="47">
        <f>AY779*$D791</f>
        <v/>
      </c>
      <c r="AZ791" s="47">
        <f>AZ779*$D791</f>
        <v/>
      </c>
      <c r="BA791" s="48">
        <f>SCALE(BA779,$D791)</f>
        <v/>
      </c>
    </row>
    <row r="792" hidden="1" outlineLevel="1">
      <c r="A792" s="14" t="inlineStr">
        <is>
          <t>effcap</t>
        </is>
      </c>
      <c r="B792" s="14" t="inlineStr">
        <is>
          <t>bio</t>
        </is>
      </c>
      <c r="C792" s="14" t="inlineStr">
        <is>
          <t>pow</t>
        </is>
      </c>
      <c r="D792" s="45">
        <f>INDEX(Inputs_power!$F$5:$F$13,MATCH($B792,Inputs_power!$A$5:$A$13,0))</f>
        <v/>
      </c>
      <c r="E792" s="39" t="n"/>
      <c r="F792" s="39" t="n"/>
      <c r="G792" s="39" t="n"/>
      <c r="H792" s="14">
        <f>INDEX(VarLab,MATCH($A792,VarKey,0))&amp;INDEX(MemLab,MATCH($C792&amp;"|"&amp;$B792,MemKey,0))</f>
        <v/>
      </c>
      <c r="I792" s="14">
        <f>INDEX(VarUnit,MATCH($A792,VarKey,0))</f>
        <v/>
      </c>
      <c r="J792" s="14">
        <f>INDEX(VarSrc,MATCH($A792,VarKey,0))</f>
        <v/>
      </c>
      <c r="K792" s="11">
        <f>CodePrefix&amp;$A792&amp;IF($C792="","","."&amp;$C792&amp;"."&amp;$B792)&amp;INDEX(VarEnd,MATCH($A792,VarKey,0))&amp;K$5</f>
        <v/>
      </c>
      <c r="L792" s="46">
        <f>L780*$D792</f>
        <v/>
      </c>
      <c r="M792" s="47">
        <f>M780*$D792</f>
        <v/>
      </c>
      <c r="N792" s="47">
        <f>N780*$D792</f>
        <v/>
      </c>
      <c r="O792" s="47">
        <f>O780*$D792</f>
        <v/>
      </c>
      <c r="P792" s="47">
        <f>P780*$D792</f>
        <v/>
      </c>
      <c r="Q792" s="47">
        <f>Q780*$D792</f>
        <v/>
      </c>
      <c r="R792" s="47">
        <f>R780*$D792</f>
        <v/>
      </c>
      <c r="S792" s="47">
        <f>S780*$D792</f>
        <v/>
      </c>
      <c r="T792" s="47">
        <f>T780*$D792</f>
        <v/>
      </c>
      <c r="U792" s="47">
        <f>U780*$D792</f>
        <v/>
      </c>
      <c r="V792" s="47">
        <f>V780*$D792</f>
        <v/>
      </c>
      <c r="W792" s="47">
        <f>W780*$D792</f>
        <v/>
      </c>
      <c r="X792" s="47">
        <f>X780*$D792</f>
        <v/>
      </c>
      <c r="Y792" s="47">
        <f>Y780*$D792</f>
        <v/>
      </c>
      <c r="Z792" s="47">
        <f>Z780*$D792</f>
        <v/>
      </c>
      <c r="AA792" s="47">
        <f>AA780*$D792</f>
        <v/>
      </c>
      <c r="AB792" s="47">
        <f>AB780*$D792</f>
        <v/>
      </c>
      <c r="AC792" s="47">
        <f>AC780*$D792</f>
        <v/>
      </c>
      <c r="AD792" s="47">
        <f>AD780*$D792</f>
        <v/>
      </c>
      <c r="AE792" s="48">
        <f>SCALE(AE780,$D792)</f>
        <v/>
      </c>
      <c r="AG792" s="11">
        <f>CodePrefix&amp;$A792&amp;IF($C792="","","."&amp;$C792&amp;"."&amp;$B792)&amp;INDEX(VarEnd,MATCH($A792,VarKey,0))&amp;AG$5</f>
        <v/>
      </c>
      <c r="AH792" s="46">
        <f>AH780*$D792</f>
        <v/>
      </c>
      <c r="AI792" s="47">
        <f>AI780*$D792</f>
        <v/>
      </c>
      <c r="AJ792" s="47">
        <f>AJ780*$D792</f>
        <v/>
      </c>
      <c r="AK792" s="47">
        <f>AK780*$D792</f>
        <v/>
      </c>
      <c r="AL792" s="47">
        <f>AL780*$D792</f>
        <v/>
      </c>
      <c r="AM792" s="47">
        <f>AM780*$D792</f>
        <v/>
      </c>
      <c r="AN792" s="47">
        <f>AN780*$D792</f>
        <v/>
      </c>
      <c r="AO792" s="47">
        <f>AO780*$D792</f>
        <v/>
      </c>
      <c r="AP792" s="47">
        <f>AP780*$D792</f>
        <v/>
      </c>
      <c r="AQ792" s="47">
        <f>AQ780*$D792</f>
        <v/>
      </c>
      <c r="AR792" s="47">
        <f>AR780*$D792</f>
        <v/>
      </c>
      <c r="AS792" s="47">
        <f>AS780*$D792</f>
        <v/>
      </c>
      <c r="AT792" s="47">
        <f>AT780*$D792</f>
        <v/>
      </c>
      <c r="AU792" s="47">
        <f>AU780*$D792</f>
        <v/>
      </c>
      <c r="AV792" s="47">
        <f>AV780*$D792</f>
        <v/>
      </c>
      <c r="AW792" s="47">
        <f>AW780*$D792</f>
        <v/>
      </c>
      <c r="AX792" s="47">
        <f>AX780*$D792</f>
        <v/>
      </c>
      <c r="AY792" s="47">
        <f>AY780*$D792</f>
        <v/>
      </c>
      <c r="AZ792" s="47">
        <f>AZ780*$D792</f>
        <v/>
      </c>
      <c r="BA792" s="48">
        <f>SCALE(BA780,$D792)</f>
        <v/>
      </c>
    </row>
    <row r="793" hidden="1" outlineLevel="1"/>
    <row r="794" hidden="1" outlineLevel="1">
      <c r="A794" s="14" t="inlineStr">
        <is>
          <t>pret</t>
        </is>
      </c>
      <c r="B794" s="14" t="inlineStr">
        <is>
          <t>coa</t>
        </is>
      </c>
      <c r="C794" s="14" t="inlineStr">
        <is>
          <t>pow</t>
        </is>
      </c>
      <c r="D794" s="14">
        <f>$A794&amp;"|"&amp;$B794</f>
        <v/>
      </c>
      <c r="E794" s="39" t="n"/>
      <c r="F794" s="39" t="n"/>
      <c r="G794" s="39" t="n"/>
      <c r="H794" s="14">
        <f>INDEX(VarLab,MATCH($A794,VarKey,0))&amp;INDEX(MemLab,MATCH($C794&amp;"|"&amp;$B794,MemKey,0))</f>
        <v/>
      </c>
      <c r="I794" s="14">
        <f>INDEX(VarUnit,MATCH($A794,VarKey,0))</f>
        <v/>
      </c>
      <c r="J794" s="14">
        <f>INDEX(VarSrc,MATCH($A794,VarKey,0))</f>
        <v/>
      </c>
      <c r="K794" s="11">
        <f>CodePrefix&amp;$A794&amp;IF($C794="","","."&amp;$C794&amp;"."&amp;$B794)&amp;INDEX(VarEnd,MATCH($A794,VarKey,0))&amp;K$5</f>
        <v/>
      </c>
      <c r="L794" s="46">
        <f>INDEX(PPathVal,MATCH($D794,PPathKey,0),MATCH(L$4,PPathYear,0))</f>
        <v/>
      </c>
      <c r="M794" s="47">
        <f>INDEX(PPathVal,MATCH($D794,PPathKey,0),MATCH(M$4,PPathYear,0))</f>
        <v/>
      </c>
      <c r="N794" s="47">
        <f>INDEX(PPathVal,MATCH($D794,PPathKey,0),MATCH(N$4,PPathYear,0))</f>
        <v/>
      </c>
      <c r="O794" s="47">
        <f>INDEX(PPathVal,MATCH($D794,PPathKey,0),MATCH(O$4,PPathYear,0))</f>
        <v/>
      </c>
      <c r="P794" s="47">
        <f>INDEX(PPathVal,MATCH($D794,PPathKey,0),MATCH(P$4,PPathYear,0))</f>
        <v/>
      </c>
      <c r="Q794" s="47">
        <f>INDEX(PPathVal,MATCH($D794,PPathKey,0),MATCH(Q$4,PPathYear,0))</f>
        <v/>
      </c>
      <c r="R794" s="47">
        <f>INDEX(PPathVal,MATCH($D794,PPathKey,0),MATCH(R$4,PPathYear,0))</f>
        <v/>
      </c>
      <c r="S794" s="47">
        <f>INDEX(PPathVal,MATCH($D794,PPathKey,0),MATCH(S$4,PPathYear,0))</f>
        <v/>
      </c>
      <c r="T794" s="47">
        <f>INDEX(PPathVal,MATCH($D794,PPathKey,0),MATCH(T$4,PPathYear,0))</f>
        <v/>
      </c>
      <c r="U794" s="47">
        <f>INDEX(PPathVal,MATCH($D794,PPathKey,0),MATCH(U$4,PPathYear,0))</f>
        <v/>
      </c>
      <c r="V794" s="47">
        <f>INDEX(PPathVal,MATCH($D794,PPathKey,0),MATCH(V$4,PPathYear,0))</f>
        <v/>
      </c>
      <c r="W794" s="47">
        <f>INDEX(PPathVal,MATCH($D794,PPathKey,0),MATCH(W$4,PPathYear,0))</f>
        <v/>
      </c>
      <c r="X794" s="47">
        <f>INDEX(PPathVal,MATCH($D794,PPathKey,0),MATCH(X$4,PPathYear,0))</f>
        <v/>
      </c>
      <c r="Y794" s="47">
        <f>INDEX(PPathVal,MATCH($D794,PPathKey,0),MATCH(Y$4,PPathYear,0))</f>
        <v/>
      </c>
      <c r="Z794" s="47">
        <f>INDEX(PPathVal,MATCH($D794,PPathKey,0),MATCH(Z$4,PPathYear,0))</f>
        <v/>
      </c>
      <c r="AA794" s="47">
        <f>INDEX(PPathVal,MATCH($D794,PPathKey,0),MATCH(AA$4,PPathYear,0))</f>
        <v/>
      </c>
      <c r="AB794" s="47">
        <f>INDEX(PPathVal,MATCH($D794,PPathKey,0),MATCH(AB$4,PPathYear,0))</f>
        <v/>
      </c>
      <c r="AC794" s="47">
        <f>INDEX(PPathVal,MATCH($D794,PPathKey,0),MATCH(AC$4,PPathYear,0))</f>
        <v/>
      </c>
      <c r="AD794" s="47">
        <f>INDEX(PPathVal,MATCH($D794,PPathKey,0),MATCH(AD$4,PPathYear,0))</f>
        <v/>
      </c>
      <c r="AE794" s="47">
        <f>INDEX(PPathVal,MATCH($D794,PPathKey,0),MATCH(AE$4,PPathYear,0))</f>
        <v/>
      </c>
      <c r="AG794" s="11">
        <f>CodePrefix&amp;$A794&amp;IF($C794="","","."&amp;$C794&amp;"."&amp;$B794)&amp;INDEX(VarEnd,MATCH($A794,VarKey,0))&amp;AG$5</f>
        <v/>
      </c>
      <c r="AH794" s="46">
        <f>INDEX(PPathVal,MATCH($D794,PPathKey,0),MATCH(AH$4,PPathYear,0))</f>
        <v/>
      </c>
      <c r="AI794" s="47">
        <f>INDEX(PPathVal,MATCH($D794,PPathKey,0),MATCH(AI$4,PPathYear,0))</f>
        <v/>
      </c>
      <c r="AJ794" s="47">
        <f>INDEX(PPathVal,MATCH($D794,PPathKey,0),MATCH(AJ$4,PPathYear,0))</f>
        <v/>
      </c>
      <c r="AK794" s="47">
        <f>INDEX(PPathVal,MATCH($D794,PPathKey,0),MATCH(AK$4,PPathYear,0))</f>
        <v/>
      </c>
      <c r="AL794" s="47">
        <f>INDEX(PPathVal,MATCH($D794,PPathKey,0),MATCH(AL$4,PPathYear,0))</f>
        <v/>
      </c>
      <c r="AM794" s="47">
        <f>INDEX(PPathVal,MATCH($D794,PPathKey,0),MATCH(AM$4,PPathYear,0))</f>
        <v/>
      </c>
      <c r="AN794" s="47">
        <f>INDEX(PPathVal,MATCH($D794,PPathKey,0),MATCH(AN$4,PPathYear,0))</f>
        <v/>
      </c>
      <c r="AO794" s="47">
        <f>INDEX(PPathVal,MATCH($D794,PPathKey,0),MATCH(AO$4,PPathYear,0))</f>
        <v/>
      </c>
      <c r="AP794" s="47">
        <f>INDEX(PPathVal,MATCH($D794,PPathKey,0),MATCH(AP$4,PPathYear,0))</f>
        <v/>
      </c>
      <c r="AQ794" s="47">
        <f>INDEX(PPathVal,MATCH($D794,PPathKey,0),MATCH(AQ$4,PPathYear,0))</f>
        <v/>
      </c>
      <c r="AR794" s="47">
        <f>INDEX(PPathVal,MATCH($D794,PPathKey,0),MATCH(AR$4,PPathYear,0))</f>
        <v/>
      </c>
      <c r="AS794" s="47">
        <f>INDEX(PPathVal,MATCH($D794,PPathKey,0),MATCH(AS$4,PPathYear,0))</f>
        <v/>
      </c>
      <c r="AT794" s="47">
        <f>INDEX(PPathVal,MATCH($D794,PPathKey,0),MATCH(AT$4,PPathYear,0))</f>
        <v/>
      </c>
      <c r="AU794" s="47">
        <f>INDEX(PPathVal,MATCH($D794,PPathKey,0),MATCH(AU$4,PPathYear,0))</f>
        <v/>
      </c>
      <c r="AV794" s="47">
        <f>INDEX(PPathVal,MATCH($D794,PPathKey,0),MATCH(AV$4,PPathYear,0))</f>
        <v/>
      </c>
      <c r="AW794" s="47">
        <f>INDEX(PPathVal,MATCH($D794,PPathKey,0),MATCH(AW$4,PPathYear,0))</f>
        <v/>
      </c>
      <c r="AX794" s="47">
        <f>INDEX(PPathVal,MATCH($D794,PPathKey,0),MATCH(AX$4,PPathYear,0))</f>
        <v/>
      </c>
      <c r="AY794" s="47">
        <f>INDEX(PPathVal,MATCH($D794,PPathKey,0),MATCH(AY$4,PPathYear,0))</f>
        <v/>
      </c>
      <c r="AZ794" s="47">
        <f>INDEX(PPathVal,MATCH($D794,PPathKey,0),MATCH(AZ$4,PPathYear,0))</f>
        <v/>
      </c>
      <c r="BA794" s="47">
        <f>INDEX(PPathVal,MATCH($D794,PPathKey,0),MATCH(BA$4,PPathYear,0))</f>
        <v/>
      </c>
    </row>
    <row r="795" hidden="1" outlineLevel="1">
      <c r="A795" s="14" t="inlineStr">
        <is>
          <t>pret</t>
        </is>
      </c>
      <c r="B795" s="14" t="inlineStr">
        <is>
          <t>nga</t>
        </is>
      </c>
      <c r="C795" s="14" t="inlineStr">
        <is>
          <t>pow</t>
        </is>
      </c>
      <c r="D795" s="14">
        <f>$A795&amp;"|"&amp;$B795</f>
        <v/>
      </c>
      <c r="E795" s="39" t="n"/>
      <c r="F795" s="39" t="n"/>
      <c r="G795" s="39" t="n"/>
      <c r="H795" s="14">
        <f>INDEX(VarLab,MATCH($A795,VarKey,0))&amp;INDEX(MemLab,MATCH($C795&amp;"|"&amp;$B795,MemKey,0))</f>
        <v/>
      </c>
      <c r="I795" s="14">
        <f>INDEX(VarUnit,MATCH($A795,VarKey,0))</f>
        <v/>
      </c>
      <c r="J795" s="14">
        <f>INDEX(VarSrc,MATCH($A795,VarKey,0))</f>
        <v/>
      </c>
      <c r="K795" s="11">
        <f>CodePrefix&amp;$A795&amp;IF($C795="","","."&amp;$C795&amp;"."&amp;$B795)&amp;INDEX(VarEnd,MATCH($A795,VarKey,0))&amp;K$5</f>
        <v/>
      </c>
      <c r="L795" s="46">
        <f>INDEX(PPathVal,MATCH($D795,PPathKey,0),MATCH(L$4,PPathYear,0))</f>
        <v/>
      </c>
      <c r="M795" s="47">
        <f>INDEX(PPathVal,MATCH($D795,PPathKey,0),MATCH(M$4,PPathYear,0))</f>
        <v/>
      </c>
      <c r="N795" s="47">
        <f>INDEX(PPathVal,MATCH($D795,PPathKey,0),MATCH(N$4,PPathYear,0))</f>
        <v/>
      </c>
      <c r="O795" s="47">
        <f>INDEX(PPathVal,MATCH($D795,PPathKey,0),MATCH(O$4,PPathYear,0))</f>
        <v/>
      </c>
      <c r="P795" s="47">
        <f>INDEX(PPathVal,MATCH($D795,PPathKey,0),MATCH(P$4,PPathYear,0))</f>
        <v/>
      </c>
      <c r="Q795" s="47">
        <f>INDEX(PPathVal,MATCH($D795,PPathKey,0),MATCH(Q$4,PPathYear,0))</f>
        <v/>
      </c>
      <c r="R795" s="47">
        <f>INDEX(PPathVal,MATCH($D795,PPathKey,0),MATCH(R$4,PPathYear,0))</f>
        <v/>
      </c>
      <c r="S795" s="47">
        <f>INDEX(PPathVal,MATCH($D795,PPathKey,0),MATCH(S$4,PPathYear,0))</f>
        <v/>
      </c>
      <c r="T795" s="47">
        <f>INDEX(PPathVal,MATCH($D795,PPathKey,0),MATCH(T$4,PPathYear,0))</f>
        <v/>
      </c>
      <c r="U795" s="47">
        <f>INDEX(PPathVal,MATCH($D795,PPathKey,0),MATCH(U$4,PPathYear,0))</f>
        <v/>
      </c>
      <c r="V795" s="47">
        <f>INDEX(PPathVal,MATCH($D795,PPathKey,0),MATCH(V$4,PPathYear,0))</f>
        <v/>
      </c>
      <c r="W795" s="47">
        <f>INDEX(PPathVal,MATCH($D795,PPathKey,0),MATCH(W$4,PPathYear,0))</f>
        <v/>
      </c>
      <c r="X795" s="47">
        <f>INDEX(PPathVal,MATCH($D795,PPathKey,0),MATCH(X$4,PPathYear,0))</f>
        <v/>
      </c>
      <c r="Y795" s="47">
        <f>INDEX(PPathVal,MATCH($D795,PPathKey,0),MATCH(Y$4,PPathYear,0))</f>
        <v/>
      </c>
      <c r="Z795" s="47">
        <f>INDEX(PPathVal,MATCH($D795,PPathKey,0),MATCH(Z$4,PPathYear,0))</f>
        <v/>
      </c>
      <c r="AA795" s="47">
        <f>INDEX(PPathVal,MATCH($D795,PPathKey,0),MATCH(AA$4,PPathYear,0))</f>
        <v/>
      </c>
      <c r="AB795" s="47">
        <f>INDEX(PPathVal,MATCH($D795,PPathKey,0),MATCH(AB$4,PPathYear,0))</f>
        <v/>
      </c>
      <c r="AC795" s="47">
        <f>INDEX(PPathVal,MATCH($D795,PPathKey,0),MATCH(AC$4,PPathYear,0))</f>
        <v/>
      </c>
      <c r="AD795" s="47">
        <f>INDEX(PPathVal,MATCH($D795,PPathKey,0),MATCH(AD$4,PPathYear,0))</f>
        <v/>
      </c>
      <c r="AE795" s="47">
        <f>INDEX(PPathVal,MATCH($D795,PPathKey,0),MATCH(AE$4,PPathYear,0))</f>
        <v/>
      </c>
      <c r="AG795" s="11">
        <f>CodePrefix&amp;$A795&amp;IF($C795="","","."&amp;$C795&amp;"."&amp;$B795)&amp;INDEX(VarEnd,MATCH($A795,VarKey,0))&amp;AG$5</f>
        <v/>
      </c>
      <c r="AH795" s="46">
        <f>INDEX(PPathVal,MATCH($D795,PPathKey,0),MATCH(AH$4,PPathYear,0))</f>
        <v/>
      </c>
      <c r="AI795" s="47">
        <f>INDEX(PPathVal,MATCH($D795,PPathKey,0),MATCH(AI$4,PPathYear,0))</f>
        <v/>
      </c>
      <c r="AJ795" s="47">
        <f>INDEX(PPathVal,MATCH($D795,PPathKey,0),MATCH(AJ$4,PPathYear,0))</f>
        <v/>
      </c>
      <c r="AK795" s="47">
        <f>INDEX(PPathVal,MATCH($D795,PPathKey,0),MATCH(AK$4,PPathYear,0))</f>
        <v/>
      </c>
      <c r="AL795" s="47">
        <f>INDEX(PPathVal,MATCH($D795,PPathKey,0),MATCH(AL$4,PPathYear,0))</f>
        <v/>
      </c>
      <c r="AM795" s="47">
        <f>INDEX(PPathVal,MATCH($D795,PPathKey,0),MATCH(AM$4,PPathYear,0))</f>
        <v/>
      </c>
      <c r="AN795" s="47">
        <f>INDEX(PPathVal,MATCH($D795,PPathKey,0),MATCH(AN$4,PPathYear,0))</f>
        <v/>
      </c>
      <c r="AO795" s="47">
        <f>INDEX(PPathVal,MATCH($D795,PPathKey,0),MATCH(AO$4,PPathYear,0))</f>
        <v/>
      </c>
      <c r="AP795" s="47">
        <f>INDEX(PPathVal,MATCH($D795,PPathKey,0),MATCH(AP$4,PPathYear,0))</f>
        <v/>
      </c>
      <c r="AQ795" s="47">
        <f>INDEX(PPathVal,MATCH($D795,PPathKey,0),MATCH(AQ$4,PPathYear,0))</f>
        <v/>
      </c>
      <c r="AR795" s="47">
        <f>INDEX(PPathVal,MATCH($D795,PPathKey,0),MATCH(AR$4,PPathYear,0))</f>
        <v/>
      </c>
      <c r="AS795" s="47">
        <f>INDEX(PPathVal,MATCH($D795,PPathKey,0),MATCH(AS$4,PPathYear,0))</f>
        <v/>
      </c>
      <c r="AT795" s="47">
        <f>INDEX(PPathVal,MATCH($D795,PPathKey,0),MATCH(AT$4,PPathYear,0))</f>
        <v/>
      </c>
      <c r="AU795" s="47">
        <f>INDEX(PPathVal,MATCH($D795,PPathKey,0),MATCH(AU$4,PPathYear,0))</f>
        <v/>
      </c>
      <c r="AV795" s="47">
        <f>INDEX(PPathVal,MATCH($D795,PPathKey,0),MATCH(AV$4,PPathYear,0))</f>
        <v/>
      </c>
      <c r="AW795" s="47">
        <f>INDEX(PPathVal,MATCH($D795,PPathKey,0),MATCH(AW$4,PPathYear,0))</f>
        <v/>
      </c>
      <c r="AX795" s="47">
        <f>INDEX(PPathVal,MATCH($D795,PPathKey,0),MATCH(AX$4,PPathYear,0))</f>
        <v/>
      </c>
      <c r="AY795" s="47">
        <f>INDEX(PPathVal,MATCH($D795,PPathKey,0),MATCH(AY$4,PPathYear,0))</f>
        <v/>
      </c>
      <c r="AZ795" s="47">
        <f>INDEX(PPathVal,MATCH($D795,PPathKey,0),MATCH(AZ$4,PPathYear,0))</f>
        <v/>
      </c>
      <c r="BA795" s="47">
        <f>INDEX(PPathVal,MATCH($D795,PPathKey,0),MATCH(BA$4,PPathYear,0))</f>
        <v/>
      </c>
    </row>
    <row r="796" hidden="1" outlineLevel="1">
      <c r="A796" s="14" t="inlineStr">
        <is>
          <t>pret</t>
        </is>
      </c>
      <c r="B796" s="14" t="inlineStr">
        <is>
          <t>oop</t>
        </is>
      </c>
      <c r="C796" s="14" t="inlineStr">
        <is>
          <t>pow</t>
        </is>
      </c>
      <c r="D796" s="14">
        <f>$A796&amp;"|"&amp;$B796</f>
        <v/>
      </c>
      <c r="E796" s="39" t="n"/>
      <c r="F796" s="39" t="n"/>
      <c r="G796" s="39" t="n"/>
      <c r="H796" s="14">
        <f>INDEX(VarLab,MATCH($A796,VarKey,0))&amp;INDEX(MemLab,MATCH($C796&amp;"|"&amp;$B796,MemKey,0))</f>
        <v/>
      </c>
      <c r="I796" s="14">
        <f>INDEX(VarUnit,MATCH($A796,VarKey,0))</f>
        <v/>
      </c>
      <c r="J796" s="14">
        <f>INDEX(VarSrc,MATCH($A796,VarKey,0))</f>
        <v/>
      </c>
      <c r="K796" s="11">
        <f>CodePrefix&amp;$A796&amp;IF($C796="","","."&amp;$C796&amp;"."&amp;$B796)&amp;INDEX(VarEnd,MATCH($A796,VarKey,0))&amp;K$5</f>
        <v/>
      </c>
      <c r="L796" s="46">
        <f>INDEX(PPathVal,MATCH($D796,PPathKey,0),MATCH(L$4,PPathYear,0))</f>
        <v/>
      </c>
      <c r="M796" s="47">
        <f>INDEX(PPathVal,MATCH($D796,PPathKey,0),MATCH(M$4,PPathYear,0))</f>
        <v/>
      </c>
      <c r="N796" s="47">
        <f>INDEX(PPathVal,MATCH($D796,PPathKey,0),MATCH(N$4,PPathYear,0))</f>
        <v/>
      </c>
      <c r="O796" s="47">
        <f>INDEX(PPathVal,MATCH($D796,PPathKey,0),MATCH(O$4,PPathYear,0))</f>
        <v/>
      </c>
      <c r="P796" s="47">
        <f>INDEX(PPathVal,MATCH($D796,PPathKey,0),MATCH(P$4,PPathYear,0))</f>
        <v/>
      </c>
      <c r="Q796" s="47">
        <f>INDEX(PPathVal,MATCH($D796,PPathKey,0),MATCH(Q$4,PPathYear,0))</f>
        <v/>
      </c>
      <c r="R796" s="47">
        <f>INDEX(PPathVal,MATCH($D796,PPathKey,0),MATCH(R$4,PPathYear,0))</f>
        <v/>
      </c>
      <c r="S796" s="47">
        <f>INDEX(PPathVal,MATCH($D796,PPathKey,0),MATCH(S$4,PPathYear,0))</f>
        <v/>
      </c>
      <c r="T796" s="47">
        <f>INDEX(PPathVal,MATCH($D796,PPathKey,0),MATCH(T$4,PPathYear,0))</f>
        <v/>
      </c>
      <c r="U796" s="47">
        <f>INDEX(PPathVal,MATCH($D796,PPathKey,0),MATCH(U$4,PPathYear,0))</f>
        <v/>
      </c>
      <c r="V796" s="47">
        <f>INDEX(PPathVal,MATCH($D796,PPathKey,0),MATCH(V$4,PPathYear,0))</f>
        <v/>
      </c>
      <c r="W796" s="47">
        <f>INDEX(PPathVal,MATCH($D796,PPathKey,0),MATCH(W$4,PPathYear,0))</f>
        <v/>
      </c>
      <c r="X796" s="47">
        <f>INDEX(PPathVal,MATCH($D796,PPathKey,0),MATCH(X$4,PPathYear,0))</f>
        <v/>
      </c>
      <c r="Y796" s="47">
        <f>INDEX(PPathVal,MATCH($D796,PPathKey,0),MATCH(Y$4,PPathYear,0))</f>
        <v/>
      </c>
      <c r="Z796" s="47">
        <f>INDEX(PPathVal,MATCH($D796,PPathKey,0),MATCH(Z$4,PPathYear,0))</f>
        <v/>
      </c>
      <c r="AA796" s="47">
        <f>INDEX(PPathVal,MATCH($D796,PPathKey,0),MATCH(AA$4,PPathYear,0))</f>
        <v/>
      </c>
      <c r="AB796" s="47">
        <f>INDEX(PPathVal,MATCH($D796,PPathKey,0),MATCH(AB$4,PPathYear,0))</f>
        <v/>
      </c>
      <c r="AC796" s="47">
        <f>INDEX(PPathVal,MATCH($D796,PPathKey,0),MATCH(AC$4,PPathYear,0))</f>
        <v/>
      </c>
      <c r="AD796" s="47">
        <f>INDEX(PPathVal,MATCH($D796,PPathKey,0),MATCH(AD$4,PPathYear,0))</f>
        <v/>
      </c>
      <c r="AE796" s="47">
        <f>INDEX(PPathVal,MATCH($D796,PPathKey,0),MATCH(AE$4,PPathYear,0))</f>
        <v/>
      </c>
      <c r="AG796" s="11">
        <f>CodePrefix&amp;$A796&amp;IF($C796="","","."&amp;$C796&amp;"."&amp;$B796)&amp;INDEX(VarEnd,MATCH($A796,VarKey,0))&amp;AG$5</f>
        <v/>
      </c>
      <c r="AH796" s="46">
        <f>INDEX(PPathVal,MATCH($D796,PPathKey,0),MATCH(AH$4,PPathYear,0))</f>
        <v/>
      </c>
      <c r="AI796" s="47">
        <f>INDEX(PPathVal,MATCH($D796,PPathKey,0),MATCH(AI$4,PPathYear,0))</f>
        <v/>
      </c>
      <c r="AJ796" s="47">
        <f>INDEX(PPathVal,MATCH($D796,PPathKey,0),MATCH(AJ$4,PPathYear,0))</f>
        <v/>
      </c>
      <c r="AK796" s="47">
        <f>INDEX(PPathVal,MATCH($D796,PPathKey,0),MATCH(AK$4,PPathYear,0))</f>
        <v/>
      </c>
      <c r="AL796" s="47">
        <f>INDEX(PPathVal,MATCH($D796,PPathKey,0),MATCH(AL$4,PPathYear,0))</f>
        <v/>
      </c>
      <c r="AM796" s="47">
        <f>INDEX(PPathVal,MATCH($D796,PPathKey,0),MATCH(AM$4,PPathYear,0))</f>
        <v/>
      </c>
      <c r="AN796" s="47">
        <f>INDEX(PPathVal,MATCH($D796,PPathKey,0),MATCH(AN$4,PPathYear,0))</f>
        <v/>
      </c>
      <c r="AO796" s="47">
        <f>INDEX(PPathVal,MATCH($D796,PPathKey,0),MATCH(AO$4,PPathYear,0))</f>
        <v/>
      </c>
      <c r="AP796" s="47">
        <f>INDEX(PPathVal,MATCH($D796,PPathKey,0),MATCH(AP$4,PPathYear,0))</f>
        <v/>
      </c>
      <c r="AQ796" s="47">
        <f>INDEX(PPathVal,MATCH($D796,PPathKey,0),MATCH(AQ$4,PPathYear,0))</f>
        <v/>
      </c>
      <c r="AR796" s="47">
        <f>INDEX(PPathVal,MATCH($D796,PPathKey,0),MATCH(AR$4,PPathYear,0))</f>
        <v/>
      </c>
      <c r="AS796" s="47">
        <f>INDEX(PPathVal,MATCH($D796,PPathKey,0),MATCH(AS$4,PPathYear,0))</f>
        <v/>
      </c>
      <c r="AT796" s="47">
        <f>INDEX(PPathVal,MATCH($D796,PPathKey,0),MATCH(AT$4,PPathYear,0))</f>
        <v/>
      </c>
      <c r="AU796" s="47">
        <f>INDEX(PPathVal,MATCH($D796,PPathKey,0),MATCH(AU$4,PPathYear,0))</f>
        <v/>
      </c>
      <c r="AV796" s="47">
        <f>INDEX(PPathVal,MATCH($D796,PPathKey,0),MATCH(AV$4,PPathYear,0))</f>
        <v/>
      </c>
      <c r="AW796" s="47">
        <f>INDEX(PPathVal,MATCH($D796,PPathKey,0),MATCH(AW$4,PPathYear,0))</f>
        <v/>
      </c>
      <c r="AX796" s="47">
        <f>INDEX(PPathVal,MATCH($D796,PPathKey,0),MATCH(AX$4,PPathYear,0))</f>
        <v/>
      </c>
      <c r="AY796" s="47">
        <f>INDEX(PPathVal,MATCH($D796,PPathKey,0),MATCH(AY$4,PPathYear,0))</f>
        <v/>
      </c>
      <c r="AZ796" s="47">
        <f>INDEX(PPathVal,MATCH($D796,PPathKey,0),MATCH(AZ$4,PPathYear,0))</f>
        <v/>
      </c>
      <c r="BA796" s="47">
        <f>INDEX(PPathVal,MATCH($D796,PPathKey,0),MATCH(BA$4,PPathYear,0))</f>
        <v/>
      </c>
    </row>
    <row r="797" hidden="1" outlineLevel="1">
      <c r="A797" s="14" t="inlineStr">
        <is>
          <t>pret</t>
        </is>
      </c>
      <c r="B797" s="14" t="inlineStr">
        <is>
          <t>nuc</t>
        </is>
      </c>
      <c r="C797" s="14" t="inlineStr">
        <is>
          <t>pow</t>
        </is>
      </c>
      <c r="D797" s="14">
        <f>$A797&amp;"|"&amp;$B797</f>
        <v/>
      </c>
      <c r="E797" s="39" t="n"/>
      <c r="F797" s="39" t="n"/>
      <c r="G797" s="39" t="n"/>
      <c r="H797" s="14">
        <f>INDEX(VarLab,MATCH($A797,VarKey,0))&amp;INDEX(MemLab,MATCH($C797&amp;"|"&amp;$B797,MemKey,0))</f>
        <v/>
      </c>
      <c r="I797" s="14">
        <f>INDEX(VarUnit,MATCH($A797,VarKey,0))</f>
        <v/>
      </c>
      <c r="J797" s="14">
        <f>INDEX(VarSrc,MATCH($A797,VarKey,0))</f>
        <v/>
      </c>
      <c r="K797" s="11">
        <f>CodePrefix&amp;$A797&amp;IF($C797="","","."&amp;$C797&amp;"."&amp;$B797)&amp;INDEX(VarEnd,MATCH($A797,VarKey,0))&amp;K$5</f>
        <v/>
      </c>
      <c r="L797" s="46">
        <f>INDEX(PPathVal,MATCH($D797,PPathKey,0),MATCH(L$4,PPathYear,0))</f>
        <v/>
      </c>
      <c r="M797" s="47">
        <f>INDEX(PPathVal,MATCH($D797,PPathKey,0),MATCH(M$4,PPathYear,0))</f>
        <v/>
      </c>
      <c r="N797" s="47">
        <f>INDEX(PPathVal,MATCH($D797,PPathKey,0),MATCH(N$4,PPathYear,0))</f>
        <v/>
      </c>
      <c r="O797" s="47">
        <f>INDEX(PPathVal,MATCH($D797,PPathKey,0),MATCH(O$4,PPathYear,0))</f>
        <v/>
      </c>
      <c r="P797" s="47">
        <f>INDEX(PPathVal,MATCH($D797,PPathKey,0),MATCH(P$4,PPathYear,0))</f>
        <v/>
      </c>
      <c r="Q797" s="47">
        <f>INDEX(PPathVal,MATCH($D797,PPathKey,0),MATCH(Q$4,PPathYear,0))</f>
        <v/>
      </c>
      <c r="R797" s="47">
        <f>INDEX(PPathVal,MATCH($D797,PPathKey,0),MATCH(R$4,PPathYear,0))</f>
        <v/>
      </c>
      <c r="S797" s="47">
        <f>INDEX(PPathVal,MATCH($D797,PPathKey,0),MATCH(S$4,PPathYear,0))</f>
        <v/>
      </c>
      <c r="T797" s="47">
        <f>INDEX(PPathVal,MATCH($D797,PPathKey,0),MATCH(T$4,PPathYear,0))</f>
        <v/>
      </c>
      <c r="U797" s="47">
        <f>INDEX(PPathVal,MATCH($D797,PPathKey,0),MATCH(U$4,PPathYear,0))</f>
        <v/>
      </c>
      <c r="V797" s="47">
        <f>INDEX(PPathVal,MATCH($D797,PPathKey,0),MATCH(V$4,PPathYear,0))</f>
        <v/>
      </c>
      <c r="W797" s="47">
        <f>INDEX(PPathVal,MATCH($D797,PPathKey,0),MATCH(W$4,PPathYear,0))</f>
        <v/>
      </c>
      <c r="X797" s="47">
        <f>INDEX(PPathVal,MATCH($D797,PPathKey,0),MATCH(X$4,PPathYear,0))</f>
        <v/>
      </c>
      <c r="Y797" s="47">
        <f>INDEX(PPathVal,MATCH($D797,PPathKey,0),MATCH(Y$4,PPathYear,0))</f>
        <v/>
      </c>
      <c r="Z797" s="47">
        <f>INDEX(PPathVal,MATCH($D797,PPathKey,0),MATCH(Z$4,PPathYear,0))</f>
        <v/>
      </c>
      <c r="AA797" s="47">
        <f>INDEX(PPathVal,MATCH($D797,PPathKey,0),MATCH(AA$4,PPathYear,0))</f>
        <v/>
      </c>
      <c r="AB797" s="47">
        <f>INDEX(PPathVal,MATCH($D797,PPathKey,0),MATCH(AB$4,PPathYear,0))</f>
        <v/>
      </c>
      <c r="AC797" s="47">
        <f>INDEX(PPathVal,MATCH($D797,PPathKey,0),MATCH(AC$4,PPathYear,0))</f>
        <v/>
      </c>
      <c r="AD797" s="47">
        <f>INDEX(PPathVal,MATCH($D797,PPathKey,0),MATCH(AD$4,PPathYear,0))</f>
        <v/>
      </c>
      <c r="AE797" s="47">
        <f>INDEX(PPathVal,MATCH($D797,PPathKey,0),MATCH(AE$4,PPathYear,0))</f>
        <v/>
      </c>
      <c r="AG797" s="11">
        <f>CodePrefix&amp;$A797&amp;IF($C797="","","."&amp;$C797&amp;"."&amp;$B797)&amp;INDEX(VarEnd,MATCH($A797,VarKey,0))&amp;AG$5</f>
        <v/>
      </c>
      <c r="AH797" s="46">
        <f>INDEX(PPathVal,MATCH($D797,PPathKey,0),MATCH(AH$4,PPathYear,0))</f>
        <v/>
      </c>
      <c r="AI797" s="47">
        <f>INDEX(PPathVal,MATCH($D797,PPathKey,0),MATCH(AI$4,PPathYear,0))</f>
        <v/>
      </c>
      <c r="AJ797" s="47">
        <f>INDEX(PPathVal,MATCH($D797,PPathKey,0),MATCH(AJ$4,PPathYear,0))</f>
        <v/>
      </c>
      <c r="AK797" s="47">
        <f>INDEX(PPathVal,MATCH($D797,PPathKey,0),MATCH(AK$4,PPathYear,0))</f>
        <v/>
      </c>
      <c r="AL797" s="47">
        <f>INDEX(PPathVal,MATCH($D797,PPathKey,0),MATCH(AL$4,PPathYear,0))</f>
        <v/>
      </c>
      <c r="AM797" s="47">
        <f>INDEX(PPathVal,MATCH($D797,PPathKey,0),MATCH(AM$4,PPathYear,0))</f>
        <v/>
      </c>
      <c r="AN797" s="47">
        <f>INDEX(PPathVal,MATCH($D797,PPathKey,0),MATCH(AN$4,PPathYear,0))</f>
        <v/>
      </c>
      <c r="AO797" s="47">
        <f>INDEX(PPathVal,MATCH($D797,PPathKey,0),MATCH(AO$4,PPathYear,0))</f>
        <v/>
      </c>
      <c r="AP797" s="47">
        <f>INDEX(PPathVal,MATCH($D797,PPathKey,0),MATCH(AP$4,PPathYear,0))</f>
        <v/>
      </c>
      <c r="AQ797" s="47">
        <f>INDEX(PPathVal,MATCH($D797,PPathKey,0),MATCH(AQ$4,PPathYear,0))</f>
        <v/>
      </c>
      <c r="AR797" s="47">
        <f>INDEX(PPathVal,MATCH($D797,PPathKey,0),MATCH(AR$4,PPathYear,0))</f>
        <v/>
      </c>
      <c r="AS797" s="47">
        <f>INDEX(PPathVal,MATCH($D797,PPathKey,0),MATCH(AS$4,PPathYear,0))</f>
        <v/>
      </c>
      <c r="AT797" s="47">
        <f>INDEX(PPathVal,MATCH($D797,PPathKey,0),MATCH(AT$4,PPathYear,0))</f>
        <v/>
      </c>
      <c r="AU797" s="47">
        <f>INDEX(PPathVal,MATCH($D797,PPathKey,0),MATCH(AU$4,PPathYear,0))</f>
        <v/>
      </c>
      <c r="AV797" s="47">
        <f>INDEX(PPathVal,MATCH($D797,PPathKey,0),MATCH(AV$4,PPathYear,0))</f>
        <v/>
      </c>
      <c r="AW797" s="47">
        <f>INDEX(PPathVal,MATCH($D797,PPathKey,0),MATCH(AW$4,PPathYear,0))</f>
        <v/>
      </c>
      <c r="AX797" s="47">
        <f>INDEX(PPathVal,MATCH($D797,PPathKey,0),MATCH(AX$4,PPathYear,0))</f>
        <v/>
      </c>
      <c r="AY797" s="47">
        <f>INDEX(PPathVal,MATCH($D797,PPathKey,0),MATCH(AY$4,PPathYear,0))</f>
        <v/>
      </c>
      <c r="AZ797" s="47">
        <f>INDEX(PPathVal,MATCH($D797,PPathKey,0),MATCH(AZ$4,PPathYear,0))</f>
        <v/>
      </c>
      <c r="BA797" s="47">
        <f>INDEX(PPathVal,MATCH($D797,PPathKey,0),MATCH(BA$4,PPathYear,0))</f>
        <v/>
      </c>
    </row>
    <row r="798" hidden="1" outlineLevel="1">
      <c r="A798" s="14" t="inlineStr">
        <is>
          <t>pret</t>
        </is>
      </c>
      <c r="B798" s="14" t="inlineStr">
        <is>
          <t>wnd</t>
        </is>
      </c>
      <c r="C798" s="14" t="inlineStr">
        <is>
          <t>pow</t>
        </is>
      </c>
      <c r="D798" s="14">
        <f>$A798&amp;"|"&amp;$B798</f>
        <v/>
      </c>
      <c r="E798" s="39" t="n"/>
      <c r="F798" s="39" t="n"/>
      <c r="G798" s="39" t="n"/>
      <c r="H798" s="14">
        <f>INDEX(VarLab,MATCH($A798,VarKey,0))&amp;INDEX(MemLab,MATCH($C798&amp;"|"&amp;$B798,MemKey,0))</f>
        <v/>
      </c>
      <c r="I798" s="14">
        <f>INDEX(VarUnit,MATCH($A798,VarKey,0))</f>
        <v/>
      </c>
      <c r="J798" s="14">
        <f>INDEX(VarSrc,MATCH($A798,VarKey,0))</f>
        <v/>
      </c>
      <c r="K798" s="11">
        <f>CodePrefix&amp;$A798&amp;IF($C798="","","."&amp;$C798&amp;"."&amp;$B798)&amp;INDEX(VarEnd,MATCH($A798,VarKey,0))&amp;K$5</f>
        <v/>
      </c>
      <c r="L798" s="46">
        <f>INDEX(PPathVal,MATCH($D798,PPathKey,0),MATCH(L$4,PPathYear,0))</f>
        <v/>
      </c>
      <c r="M798" s="47">
        <f>INDEX(PPathVal,MATCH($D798,PPathKey,0),MATCH(M$4,PPathYear,0))</f>
        <v/>
      </c>
      <c r="N798" s="47">
        <f>INDEX(PPathVal,MATCH($D798,PPathKey,0),MATCH(N$4,PPathYear,0))</f>
        <v/>
      </c>
      <c r="O798" s="47">
        <f>INDEX(PPathVal,MATCH($D798,PPathKey,0),MATCH(O$4,PPathYear,0))</f>
        <v/>
      </c>
      <c r="P798" s="47">
        <f>INDEX(PPathVal,MATCH($D798,PPathKey,0),MATCH(P$4,PPathYear,0))</f>
        <v/>
      </c>
      <c r="Q798" s="47">
        <f>INDEX(PPathVal,MATCH($D798,PPathKey,0),MATCH(Q$4,PPathYear,0))</f>
        <v/>
      </c>
      <c r="R798" s="47">
        <f>INDEX(PPathVal,MATCH($D798,PPathKey,0),MATCH(R$4,PPathYear,0))</f>
        <v/>
      </c>
      <c r="S798" s="47">
        <f>INDEX(PPathVal,MATCH($D798,PPathKey,0),MATCH(S$4,PPathYear,0))</f>
        <v/>
      </c>
      <c r="T798" s="47">
        <f>INDEX(PPathVal,MATCH($D798,PPathKey,0),MATCH(T$4,PPathYear,0))</f>
        <v/>
      </c>
      <c r="U798" s="47">
        <f>INDEX(PPathVal,MATCH($D798,PPathKey,0),MATCH(U$4,PPathYear,0))</f>
        <v/>
      </c>
      <c r="V798" s="47">
        <f>INDEX(PPathVal,MATCH($D798,PPathKey,0),MATCH(V$4,PPathYear,0))</f>
        <v/>
      </c>
      <c r="W798" s="47">
        <f>INDEX(PPathVal,MATCH($D798,PPathKey,0),MATCH(W$4,PPathYear,0))</f>
        <v/>
      </c>
      <c r="X798" s="47">
        <f>INDEX(PPathVal,MATCH($D798,PPathKey,0),MATCH(X$4,PPathYear,0))</f>
        <v/>
      </c>
      <c r="Y798" s="47">
        <f>INDEX(PPathVal,MATCH($D798,PPathKey,0),MATCH(Y$4,PPathYear,0))</f>
        <v/>
      </c>
      <c r="Z798" s="47">
        <f>INDEX(PPathVal,MATCH($D798,PPathKey,0),MATCH(Z$4,PPathYear,0))</f>
        <v/>
      </c>
      <c r="AA798" s="47">
        <f>INDEX(PPathVal,MATCH($D798,PPathKey,0),MATCH(AA$4,PPathYear,0))</f>
        <v/>
      </c>
      <c r="AB798" s="47">
        <f>INDEX(PPathVal,MATCH($D798,PPathKey,0),MATCH(AB$4,PPathYear,0))</f>
        <v/>
      </c>
      <c r="AC798" s="47">
        <f>INDEX(PPathVal,MATCH($D798,PPathKey,0),MATCH(AC$4,PPathYear,0))</f>
        <v/>
      </c>
      <c r="AD798" s="47">
        <f>INDEX(PPathVal,MATCH($D798,PPathKey,0),MATCH(AD$4,PPathYear,0))</f>
        <v/>
      </c>
      <c r="AE798" s="47">
        <f>INDEX(PPathVal,MATCH($D798,PPathKey,0),MATCH(AE$4,PPathYear,0))</f>
        <v/>
      </c>
      <c r="AG798" s="11">
        <f>CodePrefix&amp;$A798&amp;IF($C798="","","."&amp;$C798&amp;"."&amp;$B798)&amp;INDEX(VarEnd,MATCH($A798,VarKey,0))&amp;AG$5</f>
        <v/>
      </c>
      <c r="AH798" s="46">
        <f>INDEX(PPathVal,MATCH($D798,PPathKey,0),MATCH(AH$4,PPathYear,0))</f>
        <v/>
      </c>
      <c r="AI798" s="47">
        <f>INDEX(PPathVal,MATCH($D798,PPathKey,0),MATCH(AI$4,PPathYear,0))</f>
        <v/>
      </c>
      <c r="AJ798" s="47">
        <f>INDEX(PPathVal,MATCH($D798,PPathKey,0),MATCH(AJ$4,PPathYear,0))</f>
        <v/>
      </c>
      <c r="AK798" s="47">
        <f>INDEX(PPathVal,MATCH($D798,PPathKey,0),MATCH(AK$4,PPathYear,0))</f>
        <v/>
      </c>
      <c r="AL798" s="47">
        <f>INDEX(PPathVal,MATCH($D798,PPathKey,0),MATCH(AL$4,PPathYear,0))</f>
        <v/>
      </c>
      <c r="AM798" s="47">
        <f>INDEX(PPathVal,MATCH($D798,PPathKey,0),MATCH(AM$4,PPathYear,0))</f>
        <v/>
      </c>
      <c r="AN798" s="47">
        <f>INDEX(PPathVal,MATCH($D798,PPathKey,0),MATCH(AN$4,PPathYear,0))</f>
        <v/>
      </c>
      <c r="AO798" s="47">
        <f>INDEX(PPathVal,MATCH($D798,PPathKey,0),MATCH(AO$4,PPathYear,0))</f>
        <v/>
      </c>
      <c r="AP798" s="47">
        <f>INDEX(PPathVal,MATCH($D798,PPathKey,0),MATCH(AP$4,PPathYear,0))</f>
        <v/>
      </c>
      <c r="AQ798" s="47">
        <f>INDEX(PPathVal,MATCH($D798,PPathKey,0),MATCH(AQ$4,PPathYear,0))</f>
        <v/>
      </c>
      <c r="AR798" s="47">
        <f>INDEX(PPathVal,MATCH($D798,PPathKey,0),MATCH(AR$4,PPathYear,0))</f>
        <v/>
      </c>
      <c r="AS798" s="47">
        <f>INDEX(PPathVal,MATCH($D798,PPathKey,0),MATCH(AS$4,PPathYear,0))</f>
        <v/>
      </c>
      <c r="AT798" s="47">
        <f>INDEX(PPathVal,MATCH($D798,PPathKey,0),MATCH(AT$4,PPathYear,0))</f>
        <v/>
      </c>
      <c r="AU798" s="47">
        <f>INDEX(PPathVal,MATCH($D798,PPathKey,0),MATCH(AU$4,PPathYear,0))</f>
        <v/>
      </c>
      <c r="AV798" s="47">
        <f>INDEX(PPathVal,MATCH($D798,PPathKey,0),MATCH(AV$4,PPathYear,0))</f>
        <v/>
      </c>
      <c r="AW798" s="47">
        <f>INDEX(PPathVal,MATCH($D798,PPathKey,0),MATCH(AW$4,PPathYear,0))</f>
        <v/>
      </c>
      <c r="AX798" s="47">
        <f>INDEX(PPathVal,MATCH($D798,PPathKey,0),MATCH(AX$4,PPathYear,0))</f>
        <v/>
      </c>
      <c r="AY798" s="47">
        <f>INDEX(PPathVal,MATCH($D798,PPathKey,0),MATCH(AY$4,PPathYear,0))</f>
        <v/>
      </c>
      <c r="AZ798" s="47">
        <f>INDEX(PPathVal,MATCH($D798,PPathKey,0),MATCH(AZ$4,PPathYear,0))</f>
        <v/>
      </c>
      <c r="BA798" s="47">
        <f>INDEX(PPathVal,MATCH($D798,PPathKey,0),MATCH(BA$4,PPathYear,0))</f>
        <v/>
      </c>
    </row>
    <row r="799" hidden="1" outlineLevel="1">
      <c r="A799" s="14" t="inlineStr">
        <is>
          <t>pret</t>
        </is>
      </c>
      <c r="B799" s="14" t="inlineStr">
        <is>
          <t>sol</t>
        </is>
      </c>
      <c r="C799" s="14" t="inlineStr">
        <is>
          <t>pow</t>
        </is>
      </c>
      <c r="D799" s="14">
        <f>$A799&amp;"|"&amp;$B799</f>
        <v/>
      </c>
      <c r="E799" s="39" t="n"/>
      <c r="F799" s="39" t="n"/>
      <c r="G799" s="39" t="n"/>
      <c r="H799" s="14">
        <f>INDEX(VarLab,MATCH($A799,VarKey,0))&amp;INDEX(MemLab,MATCH($C799&amp;"|"&amp;$B799,MemKey,0))</f>
        <v/>
      </c>
      <c r="I799" s="14">
        <f>INDEX(VarUnit,MATCH($A799,VarKey,0))</f>
        <v/>
      </c>
      <c r="J799" s="14">
        <f>INDEX(VarSrc,MATCH($A799,VarKey,0))</f>
        <v/>
      </c>
      <c r="K799" s="11">
        <f>CodePrefix&amp;$A799&amp;IF($C799="","","."&amp;$C799&amp;"."&amp;$B799)&amp;INDEX(VarEnd,MATCH($A799,VarKey,0))&amp;K$5</f>
        <v/>
      </c>
      <c r="L799" s="46">
        <f>INDEX(PPathVal,MATCH($D799,PPathKey,0),MATCH(L$4,PPathYear,0))</f>
        <v/>
      </c>
      <c r="M799" s="47">
        <f>INDEX(PPathVal,MATCH($D799,PPathKey,0),MATCH(M$4,PPathYear,0))</f>
        <v/>
      </c>
      <c r="N799" s="47">
        <f>INDEX(PPathVal,MATCH($D799,PPathKey,0),MATCH(N$4,PPathYear,0))</f>
        <v/>
      </c>
      <c r="O799" s="47">
        <f>INDEX(PPathVal,MATCH($D799,PPathKey,0),MATCH(O$4,PPathYear,0))</f>
        <v/>
      </c>
      <c r="P799" s="47">
        <f>INDEX(PPathVal,MATCH($D799,PPathKey,0),MATCH(P$4,PPathYear,0))</f>
        <v/>
      </c>
      <c r="Q799" s="47">
        <f>INDEX(PPathVal,MATCH($D799,PPathKey,0),MATCH(Q$4,PPathYear,0))</f>
        <v/>
      </c>
      <c r="R799" s="47">
        <f>INDEX(PPathVal,MATCH($D799,PPathKey,0),MATCH(R$4,PPathYear,0))</f>
        <v/>
      </c>
      <c r="S799" s="47">
        <f>INDEX(PPathVal,MATCH($D799,PPathKey,0),MATCH(S$4,PPathYear,0))</f>
        <v/>
      </c>
      <c r="T799" s="47">
        <f>INDEX(PPathVal,MATCH($D799,PPathKey,0),MATCH(T$4,PPathYear,0))</f>
        <v/>
      </c>
      <c r="U799" s="47">
        <f>INDEX(PPathVal,MATCH($D799,PPathKey,0),MATCH(U$4,PPathYear,0))</f>
        <v/>
      </c>
      <c r="V799" s="47">
        <f>INDEX(PPathVal,MATCH($D799,PPathKey,0),MATCH(V$4,PPathYear,0))</f>
        <v/>
      </c>
      <c r="W799" s="47">
        <f>INDEX(PPathVal,MATCH($D799,PPathKey,0),MATCH(W$4,PPathYear,0))</f>
        <v/>
      </c>
      <c r="X799" s="47">
        <f>INDEX(PPathVal,MATCH($D799,PPathKey,0),MATCH(X$4,PPathYear,0))</f>
        <v/>
      </c>
      <c r="Y799" s="47">
        <f>INDEX(PPathVal,MATCH($D799,PPathKey,0),MATCH(Y$4,PPathYear,0))</f>
        <v/>
      </c>
      <c r="Z799" s="47">
        <f>INDEX(PPathVal,MATCH($D799,PPathKey,0),MATCH(Z$4,PPathYear,0))</f>
        <v/>
      </c>
      <c r="AA799" s="47">
        <f>INDEX(PPathVal,MATCH($D799,PPathKey,0),MATCH(AA$4,PPathYear,0))</f>
        <v/>
      </c>
      <c r="AB799" s="47">
        <f>INDEX(PPathVal,MATCH($D799,PPathKey,0),MATCH(AB$4,PPathYear,0))</f>
        <v/>
      </c>
      <c r="AC799" s="47">
        <f>INDEX(PPathVal,MATCH($D799,PPathKey,0),MATCH(AC$4,PPathYear,0))</f>
        <v/>
      </c>
      <c r="AD799" s="47">
        <f>INDEX(PPathVal,MATCH($D799,PPathKey,0),MATCH(AD$4,PPathYear,0))</f>
        <v/>
      </c>
      <c r="AE799" s="47">
        <f>INDEX(PPathVal,MATCH($D799,PPathKey,0),MATCH(AE$4,PPathYear,0))</f>
        <v/>
      </c>
      <c r="AG799" s="11">
        <f>CodePrefix&amp;$A799&amp;IF($C799="","","."&amp;$C799&amp;"."&amp;$B799)&amp;INDEX(VarEnd,MATCH($A799,VarKey,0))&amp;AG$5</f>
        <v/>
      </c>
      <c r="AH799" s="46">
        <f>INDEX(PPathVal,MATCH($D799,PPathKey,0),MATCH(AH$4,PPathYear,0))</f>
        <v/>
      </c>
      <c r="AI799" s="47">
        <f>INDEX(PPathVal,MATCH($D799,PPathKey,0),MATCH(AI$4,PPathYear,0))</f>
        <v/>
      </c>
      <c r="AJ799" s="47">
        <f>INDEX(PPathVal,MATCH($D799,PPathKey,0),MATCH(AJ$4,PPathYear,0))</f>
        <v/>
      </c>
      <c r="AK799" s="47">
        <f>INDEX(PPathVal,MATCH($D799,PPathKey,0),MATCH(AK$4,PPathYear,0))</f>
        <v/>
      </c>
      <c r="AL799" s="47">
        <f>INDEX(PPathVal,MATCH($D799,PPathKey,0),MATCH(AL$4,PPathYear,0))</f>
        <v/>
      </c>
      <c r="AM799" s="47">
        <f>INDEX(PPathVal,MATCH($D799,PPathKey,0),MATCH(AM$4,PPathYear,0))</f>
        <v/>
      </c>
      <c r="AN799" s="47">
        <f>INDEX(PPathVal,MATCH($D799,PPathKey,0),MATCH(AN$4,PPathYear,0))</f>
        <v/>
      </c>
      <c r="AO799" s="47">
        <f>INDEX(PPathVal,MATCH($D799,PPathKey,0),MATCH(AO$4,PPathYear,0))</f>
        <v/>
      </c>
      <c r="AP799" s="47">
        <f>INDEX(PPathVal,MATCH($D799,PPathKey,0),MATCH(AP$4,PPathYear,0))</f>
        <v/>
      </c>
      <c r="AQ799" s="47">
        <f>INDEX(PPathVal,MATCH($D799,PPathKey,0),MATCH(AQ$4,PPathYear,0))</f>
        <v/>
      </c>
      <c r="AR799" s="47">
        <f>INDEX(PPathVal,MATCH($D799,PPathKey,0),MATCH(AR$4,PPathYear,0))</f>
        <v/>
      </c>
      <c r="AS799" s="47">
        <f>INDEX(PPathVal,MATCH($D799,PPathKey,0),MATCH(AS$4,PPathYear,0))</f>
        <v/>
      </c>
      <c r="AT799" s="47">
        <f>INDEX(PPathVal,MATCH($D799,PPathKey,0),MATCH(AT$4,PPathYear,0))</f>
        <v/>
      </c>
      <c r="AU799" s="47">
        <f>INDEX(PPathVal,MATCH($D799,PPathKey,0),MATCH(AU$4,PPathYear,0))</f>
        <v/>
      </c>
      <c r="AV799" s="47">
        <f>INDEX(PPathVal,MATCH($D799,PPathKey,0),MATCH(AV$4,PPathYear,0))</f>
        <v/>
      </c>
      <c r="AW799" s="47">
        <f>INDEX(PPathVal,MATCH($D799,PPathKey,0),MATCH(AW$4,PPathYear,0))</f>
        <v/>
      </c>
      <c r="AX799" s="47">
        <f>INDEX(PPathVal,MATCH($D799,PPathKey,0),MATCH(AX$4,PPathYear,0))</f>
        <v/>
      </c>
      <c r="AY799" s="47">
        <f>INDEX(PPathVal,MATCH($D799,PPathKey,0),MATCH(AY$4,PPathYear,0))</f>
        <v/>
      </c>
      <c r="AZ799" s="47">
        <f>INDEX(PPathVal,MATCH($D799,PPathKey,0),MATCH(AZ$4,PPathYear,0))</f>
        <v/>
      </c>
      <c r="BA799" s="47">
        <f>INDEX(PPathVal,MATCH($D799,PPathKey,0),MATCH(BA$4,PPathYear,0))</f>
        <v/>
      </c>
    </row>
    <row r="800" hidden="1" outlineLevel="1">
      <c r="A800" s="14" t="inlineStr">
        <is>
          <t>pret</t>
        </is>
      </c>
      <c r="B800" s="14" t="inlineStr">
        <is>
          <t>hyd</t>
        </is>
      </c>
      <c r="C800" s="14" t="inlineStr">
        <is>
          <t>pow</t>
        </is>
      </c>
      <c r="D800" s="14">
        <f>$A800&amp;"|"&amp;$B800</f>
        <v/>
      </c>
      <c r="E800" s="39" t="n"/>
      <c r="F800" s="39" t="n"/>
      <c r="G800" s="39" t="n"/>
      <c r="H800" s="14">
        <f>INDEX(VarLab,MATCH($A800,VarKey,0))&amp;INDEX(MemLab,MATCH($C800&amp;"|"&amp;$B800,MemKey,0))</f>
        <v/>
      </c>
      <c r="I800" s="14">
        <f>INDEX(VarUnit,MATCH($A800,VarKey,0))</f>
        <v/>
      </c>
      <c r="J800" s="14">
        <f>INDEX(VarSrc,MATCH($A800,VarKey,0))</f>
        <v/>
      </c>
      <c r="K800" s="11">
        <f>CodePrefix&amp;$A800&amp;IF($C800="","","."&amp;$C800&amp;"."&amp;$B800)&amp;INDEX(VarEnd,MATCH($A800,VarKey,0))&amp;K$5</f>
        <v/>
      </c>
      <c r="L800" s="46">
        <f>INDEX(PPathVal,MATCH($D800,PPathKey,0),MATCH(L$4,PPathYear,0))</f>
        <v/>
      </c>
      <c r="M800" s="47">
        <f>INDEX(PPathVal,MATCH($D800,PPathKey,0),MATCH(M$4,PPathYear,0))</f>
        <v/>
      </c>
      <c r="N800" s="47">
        <f>INDEX(PPathVal,MATCH($D800,PPathKey,0),MATCH(N$4,PPathYear,0))</f>
        <v/>
      </c>
      <c r="O800" s="47">
        <f>INDEX(PPathVal,MATCH($D800,PPathKey,0),MATCH(O$4,PPathYear,0))</f>
        <v/>
      </c>
      <c r="P800" s="47">
        <f>INDEX(PPathVal,MATCH($D800,PPathKey,0),MATCH(P$4,PPathYear,0))</f>
        <v/>
      </c>
      <c r="Q800" s="47">
        <f>INDEX(PPathVal,MATCH($D800,PPathKey,0),MATCH(Q$4,PPathYear,0))</f>
        <v/>
      </c>
      <c r="R800" s="47">
        <f>INDEX(PPathVal,MATCH($D800,PPathKey,0),MATCH(R$4,PPathYear,0))</f>
        <v/>
      </c>
      <c r="S800" s="47">
        <f>INDEX(PPathVal,MATCH($D800,PPathKey,0),MATCH(S$4,PPathYear,0))</f>
        <v/>
      </c>
      <c r="T800" s="47">
        <f>INDEX(PPathVal,MATCH($D800,PPathKey,0),MATCH(T$4,PPathYear,0))</f>
        <v/>
      </c>
      <c r="U800" s="47">
        <f>INDEX(PPathVal,MATCH($D800,PPathKey,0),MATCH(U$4,PPathYear,0))</f>
        <v/>
      </c>
      <c r="V800" s="47">
        <f>INDEX(PPathVal,MATCH($D800,PPathKey,0),MATCH(V$4,PPathYear,0))</f>
        <v/>
      </c>
      <c r="W800" s="47">
        <f>INDEX(PPathVal,MATCH($D800,PPathKey,0),MATCH(W$4,PPathYear,0))</f>
        <v/>
      </c>
      <c r="X800" s="47">
        <f>INDEX(PPathVal,MATCH($D800,PPathKey,0),MATCH(X$4,PPathYear,0))</f>
        <v/>
      </c>
      <c r="Y800" s="47">
        <f>INDEX(PPathVal,MATCH($D800,PPathKey,0),MATCH(Y$4,PPathYear,0))</f>
        <v/>
      </c>
      <c r="Z800" s="47">
        <f>INDEX(PPathVal,MATCH($D800,PPathKey,0),MATCH(Z$4,PPathYear,0))</f>
        <v/>
      </c>
      <c r="AA800" s="47">
        <f>INDEX(PPathVal,MATCH($D800,PPathKey,0),MATCH(AA$4,PPathYear,0))</f>
        <v/>
      </c>
      <c r="AB800" s="47">
        <f>INDEX(PPathVal,MATCH($D800,PPathKey,0),MATCH(AB$4,PPathYear,0))</f>
        <v/>
      </c>
      <c r="AC800" s="47">
        <f>INDEX(PPathVal,MATCH($D800,PPathKey,0),MATCH(AC$4,PPathYear,0))</f>
        <v/>
      </c>
      <c r="AD800" s="47">
        <f>INDEX(PPathVal,MATCH($D800,PPathKey,0),MATCH(AD$4,PPathYear,0))</f>
        <v/>
      </c>
      <c r="AE800" s="47">
        <f>INDEX(PPathVal,MATCH($D800,PPathKey,0),MATCH(AE$4,PPathYear,0))</f>
        <v/>
      </c>
      <c r="AG800" s="11">
        <f>CodePrefix&amp;$A800&amp;IF($C800="","","."&amp;$C800&amp;"."&amp;$B800)&amp;INDEX(VarEnd,MATCH($A800,VarKey,0))&amp;AG$5</f>
        <v/>
      </c>
      <c r="AH800" s="46">
        <f>INDEX(PPathVal,MATCH($D800,PPathKey,0),MATCH(AH$4,PPathYear,0))</f>
        <v/>
      </c>
      <c r="AI800" s="47">
        <f>INDEX(PPathVal,MATCH($D800,PPathKey,0),MATCH(AI$4,PPathYear,0))</f>
        <v/>
      </c>
      <c r="AJ800" s="47">
        <f>INDEX(PPathVal,MATCH($D800,PPathKey,0),MATCH(AJ$4,PPathYear,0))</f>
        <v/>
      </c>
      <c r="AK800" s="47">
        <f>INDEX(PPathVal,MATCH($D800,PPathKey,0),MATCH(AK$4,PPathYear,0))</f>
        <v/>
      </c>
      <c r="AL800" s="47">
        <f>INDEX(PPathVal,MATCH($D800,PPathKey,0),MATCH(AL$4,PPathYear,0))</f>
        <v/>
      </c>
      <c r="AM800" s="47">
        <f>INDEX(PPathVal,MATCH($D800,PPathKey,0),MATCH(AM$4,PPathYear,0))</f>
        <v/>
      </c>
      <c r="AN800" s="47">
        <f>INDEX(PPathVal,MATCH($D800,PPathKey,0),MATCH(AN$4,PPathYear,0))</f>
        <v/>
      </c>
      <c r="AO800" s="47">
        <f>INDEX(PPathVal,MATCH($D800,PPathKey,0),MATCH(AO$4,PPathYear,0))</f>
        <v/>
      </c>
      <c r="AP800" s="47">
        <f>INDEX(PPathVal,MATCH($D800,PPathKey,0),MATCH(AP$4,PPathYear,0))</f>
        <v/>
      </c>
      <c r="AQ800" s="47">
        <f>INDEX(PPathVal,MATCH($D800,PPathKey,0),MATCH(AQ$4,PPathYear,0))</f>
        <v/>
      </c>
      <c r="AR800" s="47">
        <f>INDEX(PPathVal,MATCH($D800,PPathKey,0),MATCH(AR$4,PPathYear,0))</f>
        <v/>
      </c>
      <c r="AS800" s="47">
        <f>INDEX(PPathVal,MATCH($D800,PPathKey,0),MATCH(AS$4,PPathYear,0))</f>
        <v/>
      </c>
      <c r="AT800" s="47">
        <f>INDEX(PPathVal,MATCH($D800,PPathKey,0),MATCH(AT$4,PPathYear,0))</f>
        <v/>
      </c>
      <c r="AU800" s="47">
        <f>INDEX(PPathVal,MATCH($D800,PPathKey,0),MATCH(AU$4,PPathYear,0))</f>
        <v/>
      </c>
      <c r="AV800" s="47">
        <f>INDEX(PPathVal,MATCH($D800,PPathKey,0),MATCH(AV$4,PPathYear,0))</f>
        <v/>
      </c>
      <c r="AW800" s="47">
        <f>INDEX(PPathVal,MATCH($D800,PPathKey,0),MATCH(AW$4,PPathYear,0))</f>
        <v/>
      </c>
      <c r="AX800" s="47">
        <f>INDEX(PPathVal,MATCH($D800,PPathKey,0),MATCH(AX$4,PPathYear,0))</f>
        <v/>
      </c>
      <c r="AY800" s="47">
        <f>INDEX(PPathVal,MATCH($D800,PPathKey,0),MATCH(AY$4,PPathYear,0))</f>
        <v/>
      </c>
      <c r="AZ800" s="47">
        <f>INDEX(PPathVal,MATCH($D800,PPathKey,0),MATCH(AZ$4,PPathYear,0))</f>
        <v/>
      </c>
      <c r="BA800" s="47">
        <f>INDEX(PPathVal,MATCH($D800,PPathKey,0),MATCH(BA$4,PPathYear,0))</f>
        <v/>
      </c>
    </row>
    <row r="801" hidden="1" outlineLevel="1">
      <c r="A801" s="14" t="inlineStr">
        <is>
          <t>pret</t>
        </is>
      </c>
      <c r="B801" s="14" t="inlineStr">
        <is>
          <t>ore</t>
        </is>
      </c>
      <c r="C801" s="14" t="inlineStr">
        <is>
          <t>pow</t>
        </is>
      </c>
      <c r="D801" s="14">
        <f>$A801&amp;"|"&amp;$B801</f>
        <v/>
      </c>
      <c r="E801" s="39" t="n"/>
      <c r="F801" s="39" t="n"/>
      <c r="G801" s="39" t="n"/>
      <c r="H801" s="14">
        <f>INDEX(VarLab,MATCH($A801,VarKey,0))&amp;INDEX(MemLab,MATCH($C801&amp;"|"&amp;$B801,MemKey,0))</f>
        <v/>
      </c>
      <c r="I801" s="14">
        <f>INDEX(VarUnit,MATCH($A801,VarKey,0))</f>
        <v/>
      </c>
      <c r="J801" s="14">
        <f>INDEX(VarSrc,MATCH($A801,VarKey,0))</f>
        <v/>
      </c>
      <c r="K801" s="11">
        <f>CodePrefix&amp;$A801&amp;IF($C801="","","."&amp;$C801&amp;"."&amp;$B801)&amp;INDEX(VarEnd,MATCH($A801,VarKey,0))&amp;K$5</f>
        <v/>
      </c>
      <c r="L801" s="46">
        <f>INDEX(PPathVal,MATCH($D801,PPathKey,0),MATCH(L$4,PPathYear,0))</f>
        <v/>
      </c>
      <c r="M801" s="47">
        <f>INDEX(PPathVal,MATCH($D801,PPathKey,0),MATCH(M$4,PPathYear,0))</f>
        <v/>
      </c>
      <c r="N801" s="47">
        <f>INDEX(PPathVal,MATCH($D801,PPathKey,0),MATCH(N$4,PPathYear,0))</f>
        <v/>
      </c>
      <c r="O801" s="47">
        <f>INDEX(PPathVal,MATCH($D801,PPathKey,0),MATCH(O$4,PPathYear,0))</f>
        <v/>
      </c>
      <c r="P801" s="47">
        <f>INDEX(PPathVal,MATCH($D801,PPathKey,0),MATCH(P$4,PPathYear,0))</f>
        <v/>
      </c>
      <c r="Q801" s="47">
        <f>INDEX(PPathVal,MATCH($D801,PPathKey,0),MATCH(Q$4,PPathYear,0))</f>
        <v/>
      </c>
      <c r="R801" s="47">
        <f>INDEX(PPathVal,MATCH($D801,PPathKey,0),MATCH(R$4,PPathYear,0))</f>
        <v/>
      </c>
      <c r="S801" s="47">
        <f>INDEX(PPathVal,MATCH($D801,PPathKey,0),MATCH(S$4,PPathYear,0))</f>
        <v/>
      </c>
      <c r="T801" s="47">
        <f>INDEX(PPathVal,MATCH($D801,PPathKey,0),MATCH(T$4,PPathYear,0))</f>
        <v/>
      </c>
      <c r="U801" s="47">
        <f>INDEX(PPathVal,MATCH($D801,PPathKey,0),MATCH(U$4,PPathYear,0))</f>
        <v/>
      </c>
      <c r="V801" s="47">
        <f>INDEX(PPathVal,MATCH($D801,PPathKey,0),MATCH(V$4,PPathYear,0))</f>
        <v/>
      </c>
      <c r="W801" s="47">
        <f>INDEX(PPathVal,MATCH($D801,PPathKey,0),MATCH(W$4,PPathYear,0))</f>
        <v/>
      </c>
      <c r="X801" s="47">
        <f>INDEX(PPathVal,MATCH($D801,PPathKey,0),MATCH(X$4,PPathYear,0))</f>
        <v/>
      </c>
      <c r="Y801" s="47">
        <f>INDEX(PPathVal,MATCH($D801,PPathKey,0),MATCH(Y$4,PPathYear,0))</f>
        <v/>
      </c>
      <c r="Z801" s="47">
        <f>INDEX(PPathVal,MATCH($D801,PPathKey,0),MATCH(Z$4,PPathYear,0))</f>
        <v/>
      </c>
      <c r="AA801" s="47">
        <f>INDEX(PPathVal,MATCH($D801,PPathKey,0),MATCH(AA$4,PPathYear,0))</f>
        <v/>
      </c>
      <c r="AB801" s="47">
        <f>INDEX(PPathVal,MATCH($D801,PPathKey,0),MATCH(AB$4,PPathYear,0))</f>
        <v/>
      </c>
      <c r="AC801" s="47">
        <f>INDEX(PPathVal,MATCH($D801,PPathKey,0),MATCH(AC$4,PPathYear,0))</f>
        <v/>
      </c>
      <c r="AD801" s="47">
        <f>INDEX(PPathVal,MATCH($D801,PPathKey,0),MATCH(AD$4,PPathYear,0))</f>
        <v/>
      </c>
      <c r="AE801" s="47">
        <f>INDEX(PPathVal,MATCH($D801,PPathKey,0),MATCH(AE$4,PPathYear,0))</f>
        <v/>
      </c>
      <c r="AG801" s="11">
        <f>CodePrefix&amp;$A801&amp;IF($C801="","","."&amp;$C801&amp;"."&amp;$B801)&amp;INDEX(VarEnd,MATCH($A801,VarKey,0))&amp;AG$5</f>
        <v/>
      </c>
      <c r="AH801" s="46">
        <f>INDEX(PPathVal,MATCH($D801,PPathKey,0),MATCH(AH$4,PPathYear,0))</f>
        <v/>
      </c>
      <c r="AI801" s="47">
        <f>INDEX(PPathVal,MATCH($D801,PPathKey,0),MATCH(AI$4,PPathYear,0))</f>
        <v/>
      </c>
      <c r="AJ801" s="47">
        <f>INDEX(PPathVal,MATCH($D801,PPathKey,0),MATCH(AJ$4,PPathYear,0))</f>
        <v/>
      </c>
      <c r="AK801" s="47">
        <f>INDEX(PPathVal,MATCH($D801,PPathKey,0),MATCH(AK$4,PPathYear,0))</f>
        <v/>
      </c>
      <c r="AL801" s="47">
        <f>INDEX(PPathVal,MATCH($D801,PPathKey,0),MATCH(AL$4,PPathYear,0))</f>
        <v/>
      </c>
      <c r="AM801" s="47">
        <f>INDEX(PPathVal,MATCH($D801,PPathKey,0),MATCH(AM$4,PPathYear,0))</f>
        <v/>
      </c>
      <c r="AN801" s="47">
        <f>INDEX(PPathVal,MATCH($D801,PPathKey,0),MATCH(AN$4,PPathYear,0))</f>
        <v/>
      </c>
      <c r="AO801" s="47">
        <f>INDEX(PPathVal,MATCH($D801,PPathKey,0),MATCH(AO$4,PPathYear,0))</f>
        <v/>
      </c>
      <c r="AP801" s="47">
        <f>INDEX(PPathVal,MATCH($D801,PPathKey,0),MATCH(AP$4,PPathYear,0))</f>
        <v/>
      </c>
      <c r="AQ801" s="47">
        <f>INDEX(PPathVal,MATCH($D801,PPathKey,0),MATCH(AQ$4,PPathYear,0))</f>
        <v/>
      </c>
      <c r="AR801" s="47">
        <f>INDEX(PPathVal,MATCH($D801,PPathKey,0),MATCH(AR$4,PPathYear,0))</f>
        <v/>
      </c>
      <c r="AS801" s="47">
        <f>INDEX(PPathVal,MATCH($D801,PPathKey,0),MATCH(AS$4,PPathYear,0))</f>
        <v/>
      </c>
      <c r="AT801" s="47">
        <f>INDEX(PPathVal,MATCH($D801,PPathKey,0),MATCH(AT$4,PPathYear,0))</f>
        <v/>
      </c>
      <c r="AU801" s="47">
        <f>INDEX(PPathVal,MATCH($D801,PPathKey,0),MATCH(AU$4,PPathYear,0))</f>
        <v/>
      </c>
      <c r="AV801" s="47">
        <f>INDEX(PPathVal,MATCH($D801,PPathKey,0),MATCH(AV$4,PPathYear,0))</f>
        <v/>
      </c>
      <c r="AW801" s="47">
        <f>INDEX(PPathVal,MATCH($D801,PPathKey,0),MATCH(AW$4,PPathYear,0))</f>
        <v/>
      </c>
      <c r="AX801" s="47">
        <f>INDEX(PPathVal,MATCH($D801,PPathKey,0),MATCH(AX$4,PPathYear,0))</f>
        <v/>
      </c>
      <c r="AY801" s="47">
        <f>INDEX(PPathVal,MATCH($D801,PPathKey,0),MATCH(AY$4,PPathYear,0))</f>
        <v/>
      </c>
      <c r="AZ801" s="47">
        <f>INDEX(PPathVal,MATCH($D801,PPathKey,0),MATCH(AZ$4,PPathYear,0))</f>
        <v/>
      </c>
      <c r="BA801" s="47">
        <f>INDEX(PPathVal,MATCH($D801,PPathKey,0),MATCH(BA$4,PPathYear,0))</f>
        <v/>
      </c>
    </row>
    <row r="802" hidden="1" outlineLevel="1">
      <c r="A802" s="14" t="inlineStr">
        <is>
          <t>pret</t>
        </is>
      </c>
      <c r="B802" s="14" t="inlineStr">
        <is>
          <t>bio</t>
        </is>
      </c>
      <c r="C802" s="14" t="inlineStr">
        <is>
          <t>pow</t>
        </is>
      </c>
      <c r="D802" s="14">
        <f>$A802&amp;"|"&amp;$B802</f>
        <v/>
      </c>
      <c r="E802" s="39" t="n"/>
      <c r="F802" s="39" t="n"/>
      <c r="G802" s="39" t="n"/>
      <c r="H802" s="14">
        <f>INDEX(VarLab,MATCH($A802,VarKey,0))&amp;INDEX(MemLab,MATCH($C802&amp;"|"&amp;$B802,MemKey,0))</f>
        <v/>
      </c>
      <c r="I802" s="14">
        <f>INDEX(VarUnit,MATCH($A802,VarKey,0))</f>
        <v/>
      </c>
      <c r="J802" s="14">
        <f>INDEX(VarSrc,MATCH($A802,VarKey,0))</f>
        <v/>
      </c>
      <c r="K802" s="11">
        <f>CodePrefix&amp;$A802&amp;IF($C802="","","."&amp;$C802&amp;"."&amp;$B802)&amp;INDEX(VarEnd,MATCH($A802,VarKey,0))&amp;K$5</f>
        <v/>
      </c>
      <c r="L802" s="46">
        <f>INDEX(PPathVal,MATCH($D802,PPathKey,0),MATCH(L$4,PPathYear,0))</f>
        <v/>
      </c>
      <c r="M802" s="47">
        <f>INDEX(PPathVal,MATCH($D802,PPathKey,0),MATCH(M$4,PPathYear,0))</f>
        <v/>
      </c>
      <c r="N802" s="47">
        <f>INDEX(PPathVal,MATCH($D802,PPathKey,0),MATCH(N$4,PPathYear,0))</f>
        <v/>
      </c>
      <c r="O802" s="47">
        <f>INDEX(PPathVal,MATCH($D802,PPathKey,0),MATCH(O$4,PPathYear,0))</f>
        <v/>
      </c>
      <c r="P802" s="47">
        <f>INDEX(PPathVal,MATCH($D802,PPathKey,0),MATCH(P$4,PPathYear,0))</f>
        <v/>
      </c>
      <c r="Q802" s="47">
        <f>INDEX(PPathVal,MATCH($D802,PPathKey,0),MATCH(Q$4,PPathYear,0))</f>
        <v/>
      </c>
      <c r="R802" s="47">
        <f>INDEX(PPathVal,MATCH($D802,PPathKey,0),MATCH(R$4,PPathYear,0))</f>
        <v/>
      </c>
      <c r="S802" s="47">
        <f>INDEX(PPathVal,MATCH($D802,PPathKey,0),MATCH(S$4,PPathYear,0))</f>
        <v/>
      </c>
      <c r="T802" s="47">
        <f>INDEX(PPathVal,MATCH($D802,PPathKey,0),MATCH(T$4,PPathYear,0))</f>
        <v/>
      </c>
      <c r="U802" s="47">
        <f>INDEX(PPathVal,MATCH($D802,PPathKey,0),MATCH(U$4,PPathYear,0))</f>
        <v/>
      </c>
      <c r="V802" s="47">
        <f>INDEX(PPathVal,MATCH($D802,PPathKey,0),MATCH(V$4,PPathYear,0))</f>
        <v/>
      </c>
      <c r="W802" s="47">
        <f>INDEX(PPathVal,MATCH($D802,PPathKey,0),MATCH(W$4,PPathYear,0))</f>
        <v/>
      </c>
      <c r="X802" s="47">
        <f>INDEX(PPathVal,MATCH($D802,PPathKey,0),MATCH(X$4,PPathYear,0))</f>
        <v/>
      </c>
      <c r="Y802" s="47">
        <f>INDEX(PPathVal,MATCH($D802,PPathKey,0),MATCH(Y$4,PPathYear,0))</f>
        <v/>
      </c>
      <c r="Z802" s="47">
        <f>INDEX(PPathVal,MATCH($D802,PPathKey,0),MATCH(Z$4,PPathYear,0))</f>
        <v/>
      </c>
      <c r="AA802" s="47">
        <f>INDEX(PPathVal,MATCH($D802,PPathKey,0),MATCH(AA$4,PPathYear,0))</f>
        <v/>
      </c>
      <c r="AB802" s="47">
        <f>INDEX(PPathVal,MATCH($D802,PPathKey,0),MATCH(AB$4,PPathYear,0))</f>
        <v/>
      </c>
      <c r="AC802" s="47">
        <f>INDEX(PPathVal,MATCH($D802,PPathKey,0),MATCH(AC$4,PPathYear,0))</f>
        <v/>
      </c>
      <c r="AD802" s="47">
        <f>INDEX(PPathVal,MATCH($D802,PPathKey,0),MATCH(AD$4,PPathYear,0))</f>
        <v/>
      </c>
      <c r="AE802" s="47">
        <f>INDEX(PPathVal,MATCH($D802,PPathKey,0),MATCH(AE$4,PPathYear,0))</f>
        <v/>
      </c>
      <c r="AG802" s="11">
        <f>CodePrefix&amp;$A802&amp;IF($C802="","","."&amp;$C802&amp;"."&amp;$B802)&amp;INDEX(VarEnd,MATCH($A802,VarKey,0))&amp;AG$5</f>
        <v/>
      </c>
      <c r="AH802" s="46">
        <f>INDEX(PPathVal,MATCH($D802,PPathKey,0),MATCH(AH$4,PPathYear,0))</f>
        <v/>
      </c>
      <c r="AI802" s="47">
        <f>INDEX(PPathVal,MATCH($D802,PPathKey,0),MATCH(AI$4,PPathYear,0))</f>
        <v/>
      </c>
      <c r="AJ802" s="47">
        <f>INDEX(PPathVal,MATCH($D802,PPathKey,0),MATCH(AJ$4,PPathYear,0))</f>
        <v/>
      </c>
      <c r="AK802" s="47">
        <f>INDEX(PPathVal,MATCH($D802,PPathKey,0),MATCH(AK$4,PPathYear,0))</f>
        <v/>
      </c>
      <c r="AL802" s="47">
        <f>INDEX(PPathVal,MATCH($D802,PPathKey,0),MATCH(AL$4,PPathYear,0))</f>
        <v/>
      </c>
      <c r="AM802" s="47">
        <f>INDEX(PPathVal,MATCH($D802,PPathKey,0),MATCH(AM$4,PPathYear,0))</f>
        <v/>
      </c>
      <c r="AN802" s="47">
        <f>INDEX(PPathVal,MATCH($D802,PPathKey,0),MATCH(AN$4,PPathYear,0))</f>
        <v/>
      </c>
      <c r="AO802" s="47">
        <f>INDEX(PPathVal,MATCH($D802,PPathKey,0),MATCH(AO$4,PPathYear,0))</f>
        <v/>
      </c>
      <c r="AP802" s="47">
        <f>INDEX(PPathVal,MATCH($D802,PPathKey,0),MATCH(AP$4,PPathYear,0))</f>
        <v/>
      </c>
      <c r="AQ802" s="47">
        <f>INDEX(PPathVal,MATCH($D802,PPathKey,0),MATCH(AQ$4,PPathYear,0))</f>
        <v/>
      </c>
      <c r="AR802" s="47">
        <f>INDEX(PPathVal,MATCH($D802,PPathKey,0),MATCH(AR$4,PPathYear,0))</f>
        <v/>
      </c>
      <c r="AS802" s="47">
        <f>INDEX(PPathVal,MATCH($D802,PPathKey,0),MATCH(AS$4,PPathYear,0))</f>
        <v/>
      </c>
      <c r="AT802" s="47">
        <f>INDEX(PPathVal,MATCH($D802,PPathKey,0),MATCH(AT$4,PPathYear,0))</f>
        <v/>
      </c>
      <c r="AU802" s="47">
        <f>INDEX(PPathVal,MATCH($D802,PPathKey,0),MATCH(AU$4,PPathYear,0))</f>
        <v/>
      </c>
      <c r="AV802" s="47">
        <f>INDEX(PPathVal,MATCH($D802,PPathKey,0),MATCH(AV$4,PPathYear,0))</f>
        <v/>
      </c>
      <c r="AW802" s="47">
        <f>INDEX(PPathVal,MATCH($D802,PPathKey,0),MATCH(AW$4,PPathYear,0))</f>
        <v/>
      </c>
      <c r="AX802" s="47">
        <f>INDEX(PPathVal,MATCH($D802,PPathKey,0),MATCH(AX$4,PPathYear,0))</f>
        <v/>
      </c>
      <c r="AY802" s="47">
        <f>INDEX(PPathVal,MATCH($D802,PPathKey,0),MATCH(AY$4,PPathYear,0))</f>
        <v/>
      </c>
      <c r="AZ802" s="47">
        <f>INDEX(PPathVal,MATCH($D802,PPathKey,0),MATCH(AZ$4,PPathYear,0))</f>
        <v/>
      </c>
      <c r="BA802" s="47">
        <f>INDEX(PPathVal,MATCH($D802,PPathKey,0),MATCH(BA$4,PPathYear,0))</f>
        <v/>
      </c>
    </row>
    <row r="803" hidden="1" outlineLevel="1"/>
    <row r="804" hidden="1" outlineLevel="1">
      <c r="A804" s="14" t="inlineStr">
        <is>
          <t>ret</t>
        </is>
      </c>
      <c r="B804" s="14" t="inlineStr">
        <is>
          <t>coa</t>
        </is>
      </c>
      <c r="C804" s="14" t="inlineStr">
        <is>
          <t>pow</t>
        </is>
      </c>
      <c r="D804" s="45">
        <f>INDEX(Inputs_power!$AG$5:$AG$13,MATCH($B804,Inputs_power!$A$5:$A$13,0))</f>
        <v/>
      </c>
      <c r="E804" s="45">
        <f>INDEX(Inputs_power!$AO$5:$AO$13,MATCH($B804,Inputs_power!$A$5:$A$13,0))</f>
        <v/>
      </c>
      <c r="F804" s="45">
        <f>INDEX(Inputs_power!$AM$5:$AM$13,MATCH($B804,Inputs_power!$A$5:$A$13,0))</f>
        <v/>
      </c>
      <c r="G804" s="39" t="n"/>
      <c r="H804" s="14">
        <f>INDEX(VarLab,MATCH($A804,VarKey,0))&amp;INDEX(MemLab,MATCH($C804&amp;"|"&amp;$B804,MemKey,0))</f>
        <v/>
      </c>
      <c r="I804" s="14">
        <f>INDEX(VarUnit,MATCH($A804,VarKey,0))</f>
        <v/>
      </c>
      <c r="J804" s="14">
        <f>INDEX(VarSrc,MATCH($A804,VarKey,0))</f>
        <v/>
      </c>
      <c r="K804" s="11">
        <f>CodePrefix&amp;$A804&amp;IF($C804="","","."&amp;$C804&amp;"."&amp;$B804)&amp;INDEX(VarEnd,MATCH($A804,VarKey,0))&amp;K$5</f>
        <v/>
      </c>
      <c r="L804" s="46">
        <f>MIN(IF($F804=1,L794,L772*$D804)+$E804*L$827,L772)</f>
        <v/>
      </c>
      <c r="M804" s="47">
        <f>MIN(IF($F804=1,M794,M772*$D804)+$E804*M$827,M772)</f>
        <v/>
      </c>
      <c r="N804" s="47">
        <f>MIN(IF($F804=1,N794,N772*$D804)+$E804*N$827,N772)</f>
        <v/>
      </c>
      <c r="O804" s="47">
        <f>MIN(IF($F804=1,O794,O772*$D804)+$E804*O$827,O772)</f>
        <v/>
      </c>
      <c r="P804" s="47">
        <f>MIN(IF($F804=1,P794,P772*$D804)+$E804*P$827,P772)</f>
        <v/>
      </c>
      <c r="Q804" s="47">
        <f>MIN(IF($F804=1,Q794,Q772*$D804)+$E804*Q$827,Q772)</f>
        <v/>
      </c>
      <c r="R804" s="47">
        <f>MIN(IF($F804=1,R794,R772*$D804)+$E804*R$827,R772)</f>
        <v/>
      </c>
      <c r="S804" s="47">
        <f>MIN(IF($F804=1,S794,S772*$D804)+$E804*S$827,S772)</f>
        <v/>
      </c>
      <c r="T804" s="47">
        <f>MIN(IF($F804=1,T794,T772*$D804)+$E804*T$827,T772)</f>
        <v/>
      </c>
      <c r="U804" s="47">
        <f>MIN(IF($F804=1,U794,U772*$D804)+$E804*U$827,U772)</f>
        <v/>
      </c>
      <c r="V804" s="47">
        <f>MIN(IF($F804=1,V794,V772*$D804)+$E804*V$827,V772)</f>
        <v/>
      </c>
      <c r="W804" s="47">
        <f>MIN(IF($F804=1,W794,W772*$D804)+$E804*W$827,W772)</f>
        <v/>
      </c>
      <c r="X804" s="47">
        <f>MIN(IF($F804=1,X794,X772*$D804)+$E804*X$827,X772)</f>
        <v/>
      </c>
      <c r="Y804" s="47">
        <f>MIN(IF($F804=1,Y794,Y772*$D804)+$E804*Y$827,Y772)</f>
        <v/>
      </c>
      <c r="Z804" s="47">
        <f>MIN(IF($F804=1,Z794,Z772*$D804)+$E804*Z$827,Z772)</f>
        <v/>
      </c>
      <c r="AA804" s="47">
        <f>MIN(IF($F804=1,AA794,AA772*$D804)+$E804*AA$827,AA772)</f>
        <v/>
      </c>
      <c r="AB804" s="47">
        <f>MIN(IF($F804=1,AB794,AB772*$D804)+$E804*AB$827,AB772)</f>
        <v/>
      </c>
      <c r="AC804" s="47">
        <f>MIN(IF($F804=1,AC794,AC772*$D804)+$E804*AC$827,AC772)</f>
        <v/>
      </c>
      <c r="AD804" s="47">
        <f>MIN(IF($F804=1,AD794,AD772*$D804)+$E804*AD$827,AD772)</f>
        <v/>
      </c>
      <c r="AE804" s="48">
        <f>RETIRE(AE772,$D804,$E804,AE$827,$F804,AE794)</f>
        <v/>
      </c>
      <c r="AG804" s="11">
        <f>CodePrefix&amp;$A804&amp;IF($C804="","","."&amp;$C804&amp;"."&amp;$B804)&amp;INDEX(VarEnd,MATCH($A804,VarKey,0))&amp;AG$5</f>
        <v/>
      </c>
      <c r="AH804" s="46">
        <f>MIN(IF($F804=1,AH794,AH772*$D804)+$E804*AH$827,AH772)</f>
        <v/>
      </c>
      <c r="AI804" s="47">
        <f>MIN(IF($F804=1,AI794,AI772*$D804)+$E804*AI$827,AI772)</f>
        <v/>
      </c>
      <c r="AJ804" s="47">
        <f>MIN(IF($F804=1,AJ794,AJ772*$D804)+$E804*AJ$827,AJ772)</f>
        <v/>
      </c>
      <c r="AK804" s="47">
        <f>MIN(IF($F804=1,AK794,AK772*$D804)+$E804*AK$827,AK772)</f>
        <v/>
      </c>
      <c r="AL804" s="47">
        <f>MIN(IF($F804=1,AL794,AL772*$D804)+$E804*AL$827,AL772)</f>
        <v/>
      </c>
      <c r="AM804" s="47">
        <f>MIN(IF($F804=1,AM794,AM772*$D804)+$E804*AM$827,AM772)</f>
        <v/>
      </c>
      <c r="AN804" s="47">
        <f>MIN(IF($F804=1,AN794,AN772*$D804)+$E804*AN$827,AN772)</f>
        <v/>
      </c>
      <c r="AO804" s="47">
        <f>MIN(IF($F804=1,AO794,AO772*$D804)+$E804*AO$827,AO772)</f>
        <v/>
      </c>
      <c r="AP804" s="47">
        <f>MIN(IF($F804=1,AP794,AP772*$D804)+$E804*AP$827,AP772)</f>
        <v/>
      </c>
      <c r="AQ804" s="47">
        <f>MIN(IF($F804=1,AQ794,AQ772*$D804)+$E804*AQ$827,AQ772)</f>
        <v/>
      </c>
      <c r="AR804" s="47">
        <f>MIN(IF($F804=1,AR794,AR772*$D804)+$E804*AR$827,AR772)</f>
        <v/>
      </c>
      <c r="AS804" s="47">
        <f>MIN(IF($F804=1,AS794,AS772*$D804)+$E804*AS$827,AS772)</f>
        <v/>
      </c>
      <c r="AT804" s="47">
        <f>MIN(IF($F804=1,AT794,AT772*$D804)+$E804*AT$827,AT772)</f>
        <v/>
      </c>
      <c r="AU804" s="47">
        <f>MIN(IF($F804=1,AU794,AU772*$D804)+$E804*AU$827,AU772)</f>
        <v/>
      </c>
      <c r="AV804" s="47">
        <f>MIN(IF($F804=1,AV794,AV772*$D804)+$E804*AV$827,AV772)</f>
        <v/>
      </c>
      <c r="AW804" s="47">
        <f>MIN(IF($F804=1,AW794,AW772*$D804)+$E804*AW$827,AW772)</f>
        <v/>
      </c>
      <c r="AX804" s="47">
        <f>MIN(IF($F804=1,AX794,AX772*$D804)+$E804*AX$827,AX772)</f>
        <v/>
      </c>
      <c r="AY804" s="47">
        <f>MIN(IF($F804=1,AY794,AY772*$D804)+$E804*AY$827,AY772)</f>
        <v/>
      </c>
      <c r="AZ804" s="47">
        <f>MIN(IF($F804=1,AZ794,AZ772*$D804)+$E804*AZ$827,AZ772)</f>
        <v/>
      </c>
      <c r="BA804" s="48">
        <f>RETIRE(BA772,$D804,$E804,BA$827,$F804,BA794)</f>
        <v/>
      </c>
    </row>
    <row r="805" hidden="1" outlineLevel="1">
      <c r="A805" s="14" t="inlineStr">
        <is>
          <t>ret</t>
        </is>
      </c>
      <c r="B805" s="14" t="inlineStr">
        <is>
          <t>nga</t>
        </is>
      </c>
      <c r="C805" s="14" t="inlineStr">
        <is>
          <t>pow</t>
        </is>
      </c>
      <c r="D805" s="45">
        <f>INDEX(Inputs_power!$AG$5:$AG$13,MATCH($B805,Inputs_power!$A$5:$A$13,0))</f>
        <v/>
      </c>
      <c r="E805" s="45">
        <f>INDEX(Inputs_power!$AO$5:$AO$13,MATCH($B805,Inputs_power!$A$5:$A$13,0))</f>
        <v/>
      </c>
      <c r="F805" s="45">
        <f>INDEX(Inputs_power!$AM$5:$AM$13,MATCH($B805,Inputs_power!$A$5:$A$13,0))</f>
        <v/>
      </c>
      <c r="G805" s="39" t="n"/>
      <c r="H805" s="14">
        <f>INDEX(VarLab,MATCH($A805,VarKey,0))&amp;INDEX(MemLab,MATCH($C805&amp;"|"&amp;$B805,MemKey,0))</f>
        <v/>
      </c>
      <c r="I805" s="14">
        <f>INDEX(VarUnit,MATCH($A805,VarKey,0))</f>
        <v/>
      </c>
      <c r="J805" s="14">
        <f>INDEX(VarSrc,MATCH($A805,VarKey,0))</f>
        <v/>
      </c>
      <c r="K805" s="11">
        <f>CodePrefix&amp;$A805&amp;IF($C805="","","."&amp;$C805&amp;"."&amp;$B805)&amp;INDEX(VarEnd,MATCH($A805,VarKey,0))&amp;K$5</f>
        <v/>
      </c>
      <c r="L805" s="46">
        <f>MIN(IF($F805=1,L795,L773*$D805)+$E805*L$827,L773)</f>
        <v/>
      </c>
      <c r="M805" s="47">
        <f>MIN(IF($F805=1,M795,M773*$D805)+$E805*M$827,M773)</f>
        <v/>
      </c>
      <c r="N805" s="47">
        <f>MIN(IF($F805=1,N795,N773*$D805)+$E805*N$827,N773)</f>
        <v/>
      </c>
      <c r="O805" s="47">
        <f>MIN(IF($F805=1,O795,O773*$D805)+$E805*O$827,O773)</f>
        <v/>
      </c>
      <c r="P805" s="47">
        <f>MIN(IF($F805=1,P795,P773*$D805)+$E805*P$827,P773)</f>
        <v/>
      </c>
      <c r="Q805" s="47">
        <f>MIN(IF($F805=1,Q795,Q773*$D805)+$E805*Q$827,Q773)</f>
        <v/>
      </c>
      <c r="R805" s="47">
        <f>MIN(IF($F805=1,R795,R773*$D805)+$E805*R$827,R773)</f>
        <v/>
      </c>
      <c r="S805" s="47">
        <f>MIN(IF($F805=1,S795,S773*$D805)+$E805*S$827,S773)</f>
        <v/>
      </c>
      <c r="T805" s="47">
        <f>MIN(IF($F805=1,T795,T773*$D805)+$E805*T$827,T773)</f>
        <v/>
      </c>
      <c r="U805" s="47">
        <f>MIN(IF($F805=1,U795,U773*$D805)+$E805*U$827,U773)</f>
        <v/>
      </c>
      <c r="V805" s="47">
        <f>MIN(IF($F805=1,V795,V773*$D805)+$E805*V$827,V773)</f>
        <v/>
      </c>
      <c r="W805" s="47">
        <f>MIN(IF($F805=1,W795,W773*$D805)+$E805*W$827,W773)</f>
        <v/>
      </c>
      <c r="X805" s="47">
        <f>MIN(IF($F805=1,X795,X773*$D805)+$E805*X$827,X773)</f>
        <v/>
      </c>
      <c r="Y805" s="47">
        <f>MIN(IF($F805=1,Y795,Y773*$D805)+$E805*Y$827,Y773)</f>
        <v/>
      </c>
      <c r="Z805" s="47">
        <f>MIN(IF($F805=1,Z795,Z773*$D805)+$E805*Z$827,Z773)</f>
        <v/>
      </c>
      <c r="AA805" s="47">
        <f>MIN(IF($F805=1,AA795,AA773*$D805)+$E805*AA$827,AA773)</f>
        <v/>
      </c>
      <c r="AB805" s="47">
        <f>MIN(IF($F805=1,AB795,AB773*$D805)+$E805*AB$827,AB773)</f>
        <v/>
      </c>
      <c r="AC805" s="47">
        <f>MIN(IF($F805=1,AC795,AC773*$D805)+$E805*AC$827,AC773)</f>
        <v/>
      </c>
      <c r="AD805" s="47">
        <f>MIN(IF($F805=1,AD795,AD773*$D805)+$E805*AD$827,AD773)</f>
        <v/>
      </c>
      <c r="AE805" s="48">
        <f>RETIRE(AE773,$D805,$E805,AE$827,$F805,AE795)</f>
        <v/>
      </c>
      <c r="AG805" s="11">
        <f>CodePrefix&amp;$A805&amp;IF($C805="","","."&amp;$C805&amp;"."&amp;$B805)&amp;INDEX(VarEnd,MATCH($A805,VarKey,0))&amp;AG$5</f>
        <v/>
      </c>
      <c r="AH805" s="46">
        <f>MIN(IF($F805=1,AH795,AH773*$D805)+$E805*AH$827,AH773)</f>
        <v/>
      </c>
      <c r="AI805" s="47">
        <f>MIN(IF($F805=1,AI795,AI773*$D805)+$E805*AI$827,AI773)</f>
        <v/>
      </c>
      <c r="AJ805" s="47">
        <f>MIN(IF($F805=1,AJ795,AJ773*$D805)+$E805*AJ$827,AJ773)</f>
        <v/>
      </c>
      <c r="AK805" s="47">
        <f>MIN(IF($F805=1,AK795,AK773*$D805)+$E805*AK$827,AK773)</f>
        <v/>
      </c>
      <c r="AL805" s="47">
        <f>MIN(IF($F805=1,AL795,AL773*$D805)+$E805*AL$827,AL773)</f>
        <v/>
      </c>
      <c r="AM805" s="47">
        <f>MIN(IF($F805=1,AM795,AM773*$D805)+$E805*AM$827,AM773)</f>
        <v/>
      </c>
      <c r="AN805" s="47">
        <f>MIN(IF($F805=1,AN795,AN773*$D805)+$E805*AN$827,AN773)</f>
        <v/>
      </c>
      <c r="AO805" s="47">
        <f>MIN(IF($F805=1,AO795,AO773*$D805)+$E805*AO$827,AO773)</f>
        <v/>
      </c>
      <c r="AP805" s="47">
        <f>MIN(IF($F805=1,AP795,AP773*$D805)+$E805*AP$827,AP773)</f>
        <v/>
      </c>
      <c r="AQ805" s="47">
        <f>MIN(IF($F805=1,AQ795,AQ773*$D805)+$E805*AQ$827,AQ773)</f>
        <v/>
      </c>
      <c r="AR805" s="47">
        <f>MIN(IF($F805=1,AR795,AR773*$D805)+$E805*AR$827,AR773)</f>
        <v/>
      </c>
      <c r="AS805" s="47">
        <f>MIN(IF($F805=1,AS795,AS773*$D805)+$E805*AS$827,AS773)</f>
        <v/>
      </c>
      <c r="AT805" s="47">
        <f>MIN(IF($F805=1,AT795,AT773*$D805)+$E805*AT$827,AT773)</f>
        <v/>
      </c>
      <c r="AU805" s="47">
        <f>MIN(IF($F805=1,AU795,AU773*$D805)+$E805*AU$827,AU773)</f>
        <v/>
      </c>
      <c r="AV805" s="47">
        <f>MIN(IF($F805=1,AV795,AV773*$D805)+$E805*AV$827,AV773)</f>
        <v/>
      </c>
      <c r="AW805" s="47">
        <f>MIN(IF($F805=1,AW795,AW773*$D805)+$E805*AW$827,AW773)</f>
        <v/>
      </c>
      <c r="AX805" s="47">
        <f>MIN(IF($F805=1,AX795,AX773*$D805)+$E805*AX$827,AX773)</f>
        <v/>
      </c>
      <c r="AY805" s="47">
        <f>MIN(IF($F805=1,AY795,AY773*$D805)+$E805*AY$827,AY773)</f>
        <v/>
      </c>
      <c r="AZ805" s="47">
        <f>MIN(IF($F805=1,AZ795,AZ773*$D805)+$E805*AZ$827,AZ773)</f>
        <v/>
      </c>
      <c r="BA805" s="48">
        <f>RETIRE(BA773,$D805,$E805,BA$827,$F805,BA795)</f>
        <v/>
      </c>
    </row>
    <row r="806" hidden="1" outlineLevel="1">
      <c r="A806" s="14" t="inlineStr">
        <is>
          <t>ret</t>
        </is>
      </c>
      <c r="B806" s="14" t="inlineStr">
        <is>
          <t>oop</t>
        </is>
      </c>
      <c r="C806" s="14" t="inlineStr">
        <is>
          <t>pow</t>
        </is>
      </c>
      <c r="D806" s="45">
        <f>INDEX(Inputs_power!$AG$5:$AG$13,MATCH($B806,Inputs_power!$A$5:$A$13,0))</f>
        <v/>
      </c>
      <c r="E806" s="45">
        <f>INDEX(Inputs_power!$AO$5:$AO$13,MATCH($B806,Inputs_power!$A$5:$A$13,0))</f>
        <v/>
      </c>
      <c r="F806" s="45">
        <f>INDEX(Inputs_power!$AM$5:$AM$13,MATCH($B806,Inputs_power!$A$5:$A$13,0))</f>
        <v/>
      </c>
      <c r="G806" s="39" t="n"/>
      <c r="H806" s="14">
        <f>INDEX(VarLab,MATCH($A806,VarKey,0))&amp;INDEX(MemLab,MATCH($C806&amp;"|"&amp;$B806,MemKey,0))</f>
        <v/>
      </c>
      <c r="I806" s="14">
        <f>INDEX(VarUnit,MATCH($A806,VarKey,0))</f>
        <v/>
      </c>
      <c r="J806" s="14">
        <f>INDEX(VarSrc,MATCH($A806,VarKey,0))</f>
        <v/>
      </c>
      <c r="K806" s="11">
        <f>CodePrefix&amp;$A806&amp;IF($C806="","","."&amp;$C806&amp;"."&amp;$B806)&amp;INDEX(VarEnd,MATCH($A806,VarKey,0))&amp;K$5</f>
        <v/>
      </c>
      <c r="L806" s="46">
        <f>MIN(IF($F806=1,L796,L774*$D806)+$E806*L$827,L774)</f>
        <v/>
      </c>
      <c r="M806" s="47">
        <f>MIN(IF($F806=1,M796,M774*$D806)+$E806*M$827,M774)</f>
        <v/>
      </c>
      <c r="N806" s="47">
        <f>MIN(IF($F806=1,N796,N774*$D806)+$E806*N$827,N774)</f>
        <v/>
      </c>
      <c r="O806" s="47">
        <f>MIN(IF($F806=1,O796,O774*$D806)+$E806*O$827,O774)</f>
        <v/>
      </c>
      <c r="P806" s="47">
        <f>MIN(IF($F806=1,P796,P774*$D806)+$E806*P$827,P774)</f>
        <v/>
      </c>
      <c r="Q806" s="47">
        <f>MIN(IF($F806=1,Q796,Q774*$D806)+$E806*Q$827,Q774)</f>
        <v/>
      </c>
      <c r="R806" s="47">
        <f>MIN(IF($F806=1,R796,R774*$D806)+$E806*R$827,R774)</f>
        <v/>
      </c>
      <c r="S806" s="47">
        <f>MIN(IF($F806=1,S796,S774*$D806)+$E806*S$827,S774)</f>
        <v/>
      </c>
      <c r="T806" s="47">
        <f>MIN(IF($F806=1,T796,T774*$D806)+$E806*T$827,T774)</f>
        <v/>
      </c>
      <c r="U806" s="47">
        <f>MIN(IF($F806=1,U796,U774*$D806)+$E806*U$827,U774)</f>
        <v/>
      </c>
      <c r="V806" s="47">
        <f>MIN(IF($F806=1,V796,V774*$D806)+$E806*V$827,V774)</f>
        <v/>
      </c>
      <c r="W806" s="47">
        <f>MIN(IF($F806=1,W796,W774*$D806)+$E806*W$827,W774)</f>
        <v/>
      </c>
      <c r="X806" s="47">
        <f>MIN(IF($F806=1,X796,X774*$D806)+$E806*X$827,X774)</f>
        <v/>
      </c>
      <c r="Y806" s="47">
        <f>MIN(IF($F806=1,Y796,Y774*$D806)+$E806*Y$827,Y774)</f>
        <v/>
      </c>
      <c r="Z806" s="47">
        <f>MIN(IF($F806=1,Z796,Z774*$D806)+$E806*Z$827,Z774)</f>
        <v/>
      </c>
      <c r="AA806" s="47">
        <f>MIN(IF($F806=1,AA796,AA774*$D806)+$E806*AA$827,AA774)</f>
        <v/>
      </c>
      <c r="AB806" s="47">
        <f>MIN(IF($F806=1,AB796,AB774*$D806)+$E806*AB$827,AB774)</f>
        <v/>
      </c>
      <c r="AC806" s="47">
        <f>MIN(IF($F806=1,AC796,AC774*$D806)+$E806*AC$827,AC774)</f>
        <v/>
      </c>
      <c r="AD806" s="47">
        <f>MIN(IF($F806=1,AD796,AD774*$D806)+$E806*AD$827,AD774)</f>
        <v/>
      </c>
      <c r="AE806" s="48">
        <f>RETIRE(AE774,$D806,$E806,AE$827,$F806,AE796)</f>
        <v/>
      </c>
      <c r="AG806" s="11">
        <f>CodePrefix&amp;$A806&amp;IF($C806="","","."&amp;$C806&amp;"."&amp;$B806)&amp;INDEX(VarEnd,MATCH($A806,VarKey,0))&amp;AG$5</f>
        <v/>
      </c>
      <c r="AH806" s="46">
        <f>MIN(IF($F806=1,AH796,AH774*$D806)+$E806*AH$827,AH774)</f>
        <v/>
      </c>
      <c r="AI806" s="47">
        <f>MIN(IF($F806=1,AI796,AI774*$D806)+$E806*AI$827,AI774)</f>
        <v/>
      </c>
      <c r="AJ806" s="47">
        <f>MIN(IF($F806=1,AJ796,AJ774*$D806)+$E806*AJ$827,AJ774)</f>
        <v/>
      </c>
      <c r="AK806" s="47">
        <f>MIN(IF($F806=1,AK796,AK774*$D806)+$E806*AK$827,AK774)</f>
        <v/>
      </c>
      <c r="AL806" s="47">
        <f>MIN(IF($F806=1,AL796,AL774*$D806)+$E806*AL$827,AL774)</f>
        <v/>
      </c>
      <c r="AM806" s="47">
        <f>MIN(IF($F806=1,AM796,AM774*$D806)+$E806*AM$827,AM774)</f>
        <v/>
      </c>
      <c r="AN806" s="47">
        <f>MIN(IF($F806=1,AN796,AN774*$D806)+$E806*AN$827,AN774)</f>
        <v/>
      </c>
      <c r="AO806" s="47">
        <f>MIN(IF($F806=1,AO796,AO774*$D806)+$E806*AO$827,AO774)</f>
        <v/>
      </c>
      <c r="AP806" s="47">
        <f>MIN(IF($F806=1,AP796,AP774*$D806)+$E806*AP$827,AP774)</f>
        <v/>
      </c>
      <c r="AQ806" s="47">
        <f>MIN(IF($F806=1,AQ796,AQ774*$D806)+$E806*AQ$827,AQ774)</f>
        <v/>
      </c>
      <c r="AR806" s="47">
        <f>MIN(IF($F806=1,AR796,AR774*$D806)+$E806*AR$827,AR774)</f>
        <v/>
      </c>
      <c r="AS806" s="47">
        <f>MIN(IF($F806=1,AS796,AS774*$D806)+$E806*AS$827,AS774)</f>
        <v/>
      </c>
      <c r="AT806" s="47">
        <f>MIN(IF($F806=1,AT796,AT774*$D806)+$E806*AT$827,AT774)</f>
        <v/>
      </c>
      <c r="AU806" s="47">
        <f>MIN(IF($F806=1,AU796,AU774*$D806)+$E806*AU$827,AU774)</f>
        <v/>
      </c>
      <c r="AV806" s="47">
        <f>MIN(IF($F806=1,AV796,AV774*$D806)+$E806*AV$827,AV774)</f>
        <v/>
      </c>
      <c r="AW806" s="47">
        <f>MIN(IF($F806=1,AW796,AW774*$D806)+$E806*AW$827,AW774)</f>
        <v/>
      </c>
      <c r="AX806" s="47">
        <f>MIN(IF($F806=1,AX796,AX774*$D806)+$E806*AX$827,AX774)</f>
        <v/>
      </c>
      <c r="AY806" s="47">
        <f>MIN(IF($F806=1,AY796,AY774*$D806)+$E806*AY$827,AY774)</f>
        <v/>
      </c>
      <c r="AZ806" s="47">
        <f>MIN(IF($F806=1,AZ796,AZ774*$D806)+$E806*AZ$827,AZ774)</f>
        <v/>
      </c>
      <c r="BA806" s="48">
        <f>RETIRE(BA774,$D806,$E806,BA$827,$F806,BA796)</f>
        <v/>
      </c>
    </row>
    <row r="807" hidden="1" outlineLevel="1">
      <c r="A807" s="14" t="inlineStr">
        <is>
          <t>ret</t>
        </is>
      </c>
      <c r="B807" s="14" t="inlineStr">
        <is>
          <t>nuc</t>
        </is>
      </c>
      <c r="C807" s="14" t="inlineStr">
        <is>
          <t>pow</t>
        </is>
      </c>
      <c r="D807" s="45">
        <f>INDEX(Inputs_power!$AG$5:$AG$13,MATCH($B807,Inputs_power!$A$5:$A$13,0))</f>
        <v/>
      </c>
      <c r="E807" s="45">
        <f>INDEX(Inputs_power!$AO$5:$AO$13,MATCH($B807,Inputs_power!$A$5:$A$13,0))</f>
        <v/>
      </c>
      <c r="F807" s="45">
        <f>INDEX(Inputs_power!$AM$5:$AM$13,MATCH($B807,Inputs_power!$A$5:$A$13,0))</f>
        <v/>
      </c>
      <c r="G807" s="39" t="n"/>
      <c r="H807" s="14">
        <f>INDEX(VarLab,MATCH($A807,VarKey,0))&amp;INDEX(MemLab,MATCH($C807&amp;"|"&amp;$B807,MemKey,0))</f>
        <v/>
      </c>
      <c r="I807" s="14">
        <f>INDEX(VarUnit,MATCH($A807,VarKey,0))</f>
        <v/>
      </c>
      <c r="J807" s="14">
        <f>INDEX(VarSrc,MATCH($A807,VarKey,0))</f>
        <v/>
      </c>
      <c r="K807" s="11">
        <f>CodePrefix&amp;$A807&amp;IF($C807="","","."&amp;$C807&amp;"."&amp;$B807)&amp;INDEX(VarEnd,MATCH($A807,VarKey,0))&amp;K$5</f>
        <v/>
      </c>
      <c r="L807" s="46">
        <f>MIN(IF($F807=1,L797,L775*$D807)+$E807*L$827,L775)</f>
        <v/>
      </c>
      <c r="M807" s="47">
        <f>MIN(IF($F807=1,M797,M775*$D807)+$E807*M$827,M775)</f>
        <v/>
      </c>
      <c r="N807" s="47">
        <f>MIN(IF($F807=1,N797,N775*$D807)+$E807*N$827,N775)</f>
        <v/>
      </c>
      <c r="O807" s="47">
        <f>MIN(IF($F807=1,O797,O775*$D807)+$E807*O$827,O775)</f>
        <v/>
      </c>
      <c r="P807" s="47">
        <f>MIN(IF($F807=1,P797,P775*$D807)+$E807*P$827,P775)</f>
        <v/>
      </c>
      <c r="Q807" s="47">
        <f>MIN(IF($F807=1,Q797,Q775*$D807)+$E807*Q$827,Q775)</f>
        <v/>
      </c>
      <c r="R807" s="47">
        <f>MIN(IF($F807=1,R797,R775*$D807)+$E807*R$827,R775)</f>
        <v/>
      </c>
      <c r="S807" s="47">
        <f>MIN(IF($F807=1,S797,S775*$D807)+$E807*S$827,S775)</f>
        <v/>
      </c>
      <c r="T807" s="47">
        <f>MIN(IF($F807=1,T797,T775*$D807)+$E807*T$827,T775)</f>
        <v/>
      </c>
      <c r="U807" s="47">
        <f>MIN(IF($F807=1,U797,U775*$D807)+$E807*U$827,U775)</f>
        <v/>
      </c>
      <c r="V807" s="47">
        <f>MIN(IF($F807=1,V797,V775*$D807)+$E807*V$827,V775)</f>
        <v/>
      </c>
      <c r="W807" s="47">
        <f>MIN(IF($F807=1,W797,W775*$D807)+$E807*W$827,W775)</f>
        <v/>
      </c>
      <c r="X807" s="47">
        <f>MIN(IF($F807=1,X797,X775*$D807)+$E807*X$827,X775)</f>
        <v/>
      </c>
      <c r="Y807" s="47">
        <f>MIN(IF($F807=1,Y797,Y775*$D807)+$E807*Y$827,Y775)</f>
        <v/>
      </c>
      <c r="Z807" s="47">
        <f>MIN(IF($F807=1,Z797,Z775*$D807)+$E807*Z$827,Z775)</f>
        <v/>
      </c>
      <c r="AA807" s="47">
        <f>MIN(IF($F807=1,AA797,AA775*$D807)+$E807*AA$827,AA775)</f>
        <v/>
      </c>
      <c r="AB807" s="47">
        <f>MIN(IF($F807=1,AB797,AB775*$D807)+$E807*AB$827,AB775)</f>
        <v/>
      </c>
      <c r="AC807" s="47">
        <f>MIN(IF($F807=1,AC797,AC775*$D807)+$E807*AC$827,AC775)</f>
        <v/>
      </c>
      <c r="AD807" s="47">
        <f>MIN(IF($F807=1,AD797,AD775*$D807)+$E807*AD$827,AD775)</f>
        <v/>
      </c>
      <c r="AE807" s="48">
        <f>RETIRE(AE775,$D807,$E807,AE$827,$F807,AE797)</f>
        <v/>
      </c>
      <c r="AG807" s="11">
        <f>CodePrefix&amp;$A807&amp;IF($C807="","","."&amp;$C807&amp;"."&amp;$B807)&amp;INDEX(VarEnd,MATCH($A807,VarKey,0))&amp;AG$5</f>
        <v/>
      </c>
      <c r="AH807" s="46">
        <f>MIN(IF($F807=1,AH797,AH775*$D807)+$E807*AH$827,AH775)</f>
        <v/>
      </c>
      <c r="AI807" s="47">
        <f>MIN(IF($F807=1,AI797,AI775*$D807)+$E807*AI$827,AI775)</f>
        <v/>
      </c>
      <c r="AJ807" s="47">
        <f>MIN(IF($F807=1,AJ797,AJ775*$D807)+$E807*AJ$827,AJ775)</f>
        <v/>
      </c>
      <c r="AK807" s="47">
        <f>MIN(IF($F807=1,AK797,AK775*$D807)+$E807*AK$827,AK775)</f>
        <v/>
      </c>
      <c r="AL807" s="47">
        <f>MIN(IF($F807=1,AL797,AL775*$D807)+$E807*AL$827,AL775)</f>
        <v/>
      </c>
      <c r="AM807" s="47">
        <f>MIN(IF($F807=1,AM797,AM775*$D807)+$E807*AM$827,AM775)</f>
        <v/>
      </c>
      <c r="AN807" s="47">
        <f>MIN(IF($F807=1,AN797,AN775*$D807)+$E807*AN$827,AN775)</f>
        <v/>
      </c>
      <c r="AO807" s="47">
        <f>MIN(IF($F807=1,AO797,AO775*$D807)+$E807*AO$827,AO775)</f>
        <v/>
      </c>
      <c r="AP807" s="47">
        <f>MIN(IF($F807=1,AP797,AP775*$D807)+$E807*AP$827,AP775)</f>
        <v/>
      </c>
      <c r="AQ807" s="47">
        <f>MIN(IF($F807=1,AQ797,AQ775*$D807)+$E807*AQ$827,AQ775)</f>
        <v/>
      </c>
      <c r="AR807" s="47">
        <f>MIN(IF($F807=1,AR797,AR775*$D807)+$E807*AR$827,AR775)</f>
        <v/>
      </c>
      <c r="AS807" s="47">
        <f>MIN(IF($F807=1,AS797,AS775*$D807)+$E807*AS$827,AS775)</f>
        <v/>
      </c>
      <c r="AT807" s="47">
        <f>MIN(IF($F807=1,AT797,AT775*$D807)+$E807*AT$827,AT775)</f>
        <v/>
      </c>
      <c r="AU807" s="47">
        <f>MIN(IF($F807=1,AU797,AU775*$D807)+$E807*AU$827,AU775)</f>
        <v/>
      </c>
      <c r="AV807" s="47">
        <f>MIN(IF($F807=1,AV797,AV775*$D807)+$E807*AV$827,AV775)</f>
        <v/>
      </c>
      <c r="AW807" s="47">
        <f>MIN(IF($F807=1,AW797,AW775*$D807)+$E807*AW$827,AW775)</f>
        <v/>
      </c>
      <c r="AX807" s="47">
        <f>MIN(IF($F807=1,AX797,AX775*$D807)+$E807*AX$827,AX775)</f>
        <v/>
      </c>
      <c r="AY807" s="47">
        <f>MIN(IF($F807=1,AY797,AY775*$D807)+$E807*AY$827,AY775)</f>
        <v/>
      </c>
      <c r="AZ807" s="47">
        <f>MIN(IF($F807=1,AZ797,AZ775*$D807)+$E807*AZ$827,AZ775)</f>
        <v/>
      </c>
      <c r="BA807" s="48">
        <f>RETIRE(BA775,$D807,$E807,BA$827,$F807,BA797)</f>
        <v/>
      </c>
    </row>
    <row r="808" hidden="1" outlineLevel="1">
      <c r="A808" s="14" t="inlineStr">
        <is>
          <t>ret</t>
        </is>
      </c>
      <c r="B808" s="14" t="inlineStr">
        <is>
          <t>wnd</t>
        </is>
      </c>
      <c r="C808" s="14" t="inlineStr">
        <is>
          <t>pow</t>
        </is>
      </c>
      <c r="D808" s="45">
        <f>INDEX(Inputs_power!$AG$5:$AG$13,MATCH($B808,Inputs_power!$A$5:$A$13,0))</f>
        <v/>
      </c>
      <c r="E808" s="45">
        <f>INDEX(Inputs_power!$AO$5:$AO$13,MATCH($B808,Inputs_power!$A$5:$A$13,0))</f>
        <v/>
      </c>
      <c r="F808" s="45">
        <f>INDEX(Inputs_power!$AM$5:$AM$13,MATCH($B808,Inputs_power!$A$5:$A$13,0))</f>
        <v/>
      </c>
      <c r="G808" s="39" t="n"/>
      <c r="H808" s="14">
        <f>INDEX(VarLab,MATCH($A808,VarKey,0))&amp;INDEX(MemLab,MATCH($C808&amp;"|"&amp;$B808,MemKey,0))</f>
        <v/>
      </c>
      <c r="I808" s="14">
        <f>INDEX(VarUnit,MATCH($A808,VarKey,0))</f>
        <v/>
      </c>
      <c r="J808" s="14">
        <f>INDEX(VarSrc,MATCH($A808,VarKey,0))</f>
        <v/>
      </c>
      <c r="K808" s="11">
        <f>CodePrefix&amp;$A808&amp;IF($C808="","","."&amp;$C808&amp;"."&amp;$B808)&amp;INDEX(VarEnd,MATCH($A808,VarKey,0))&amp;K$5</f>
        <v/>
      </c>
      <c r="L808" s="46">
        <f>MIN(IF($F808=1,L798,L776*$D808)+$E808*L$827,L776)</f>
        <v/>
      </c>
      <c r="M808" s="47">
        <f>MIN(IF($F808=1,M798,M776*$D808)+$E808*M$827,M776)</f>
        <v/>
      </c>
      <c r="N808" s="47">
        <f>MIN(IF($F808=1,N798,N776*$D808)+$E808*N$827,N776)</f>
        <v/>
      </c>
      <c r="O808" s="47">
        <f>MIN(IF($F808=1,O798,O776*$D808)+$E808*O$827,O776)</f>
        <v/>
      </c>
      <c r="P808" s="47">
        <f>MIN(IF($F808=1,P798,P776*$D808)+$E808*P$827,P776)</f>
        <v/>
      </c>
      <c r="Q808" s="47">
        <f>MIN(IF($F808=1,Q798,Q776*$D808)+$E808*Q$827,Q776)</f>
        <v/>
      </c>
      <c r="R808" s="47">
        <f>MIN(IF($F808=1,R798,R776*$D808)+$E808*R$827,R776)</f>
        <v/>
      </c>
      <c r="S808" s="47">
        <f>MIN(IF($F808=1,S798,S776*$D808)+$E808*S$827,S776)</f>
        <v/>
      </c>
      <c r="T808" s="47">
        <f>MIN(IF($F808=1,T798,T776*$D808)+$E808*T$827,T776)</f>
        <v/>
      </c>
      <c r="U808" s="47">
        <f>MIN(IF($F808=1,U798,U776*$D808)+$E808*U$827,U776)</f>
        <v/>
      </c>
      <c r="V808" s="47">
        <f>MIN(IF($F808=1,V798,V776*$D808)+$E808*V$827,V776)</f>
        <v/>
      </c>
      <c r="W808" s="47">
        <f>MIN(IF($F808=1,W798,W776*$D808)+$E808*W$827,W776)</f>
        <v/>
      </c>
      <c r="X808" s="47">
        <f>MIN(IF($F808=1,X798,X776*$D808)+$E808*X$827,X776)</f>
        <v/>
      </c>
      <c r="Y808" s="47">
        <f>MIN(IF($F808=1,Y798,Y776*$D808)+$E808*Y$827,Y776)</f>
        <v/>
      </c>
      <c r="Z808" s="47">
        <f>MIN(IF($F808=1,Z798,Z776*$D808)+$E808*Z$827,Z776)</f>
        <v/>
      </c>
      <c r="AA808" s="47">
        <f>MIN(IF($F808=1,AA798,AA776*$D808)+$E808*AA$827,AA776)</f>
        <v/>
      </c>
      <c r="AB808" s="47">
        <f>MIN(IF($F808=1,AB798,AB776*$D808)+$E808*AB$827,AB776)</f>
        <v/>
      </c>
      <c r="AC808" s="47">
        <f>MIN(IF($F808=1,AC798,AC776*$D808)+$E808*AC$827,AC776)</f>
        <v/>
      </c>
      <c r="AD808" s="47">
        <f>MIN(IF($F808=1,AD798,AD776*$D808)+$E808*AD$827,AD776)</f>
        <v/>
      </c>
      <c r="AE808" s="48">
        <f>RETIRE(AE776,$D808,$E808,AE$827,$F808,AE798)</f>
        <v/>
      </c>
      <c r="AG808" s="11">
        <f>CodePrefix&amp;$A808&amp;IF($C808="","","."&amp;$C808&amp;"."&amp;$B808)&amp;INDEX(VarEnd,MATCH($A808,VarKey,0))&amp;AG$5</f>
        <v/>
      </c>
      <c r="AH808" s="46">
        <f>MIN(IF($F808=1,AH798,AH776*$D808)+$E808*AH$827,AH776)</f>
        <v/>
      </c>
      <c r="AI808" s="47">
        <f>MIN(IF($F808=1,AI798,AI776*$D808)+$E808*AI$827,AI776)</f>
        <v/>
      </c>
      <c r="AJ808" s="47">
        <f>MIN(IF($F808=1,AJ798,AJ776*$D808)+$E808*AJ$827,AJ776)</f>
        <v/>
      </c>
      <c r="AK808" s="47">
        <f>MIN(IF($F808=1,AK798,AK776*$D808)+$E808*AK$827,AK776)</f>
        <v/>
      </c>
      <c r="AL808" s="47">
        <f>MIN(IF($F808=1,AL798,AL776*$D808)+$E808*AL$827,AL776)</f>
        <v/>
      </c>
      <c r="AM808" s="47">
        <f>MIN(IF($F808=1,AM798,AM776*$D808)+$E808*AM$827,AM776)</f>
        <v/>
      </c>
      <c r="AN808" s="47">
        <f>MIN(IF($F808=1,AN798,AN776*$D808)+$E808*AN$827,AN776)</f>
        <v/>
      </c>
      <c r="AO808" s="47">
        <f>MIN(IF($F808=1,AO798,AO776*$D808)+$E808*AO$827,AO776)</f>
        <v/>
      </c>
      <c r="AP808" s="47">
        <f>MIN(IF($F808=1,AP798,AP776*$D808)+$E808*AP$827,AP776)</f>
        <v/>
      </c>
      <c r="AQ808" s="47">
        <f>MIN(IF($F808=1,AQ798,AQ776*$D808)+$E808*AQ$827,AQ776)</f>
        <v/>
      </c>
      <c r="AR808" s="47">
        <f>MIN(IF($F808=1,AR798,AR776*$D808)+$E808*AR$827,AR776)</f>
        <v/>
      </c>
      <c r="AS808" s="47">
        <f>MIN(IF($F808=1,AS798,AS776*$D808)+$E808*AS$827,AS776)</f>
        <v/>
      </c>
      <c r="AT808" s="47">
        <f>MIN(IF($F808=1,AT798,AT776*$D808)+$E808*AT$827,AT776)</f>
        <v/>
      </c>
      <c r="AU808" s="47">
        <f>MIN(IF($F808=1,AU798,AU776*$D808)+$E808*AU$827,AU776)</f>
        <v/>
      </c>
      <c r="AV808" s="47">
        <f>MIN(IF($F808=1,AV798,AV776*$D808)+$E808*AV$827,AV776)</f>
        <v/>
      </c>
      <c r="AW808" s="47">
        <f>MIN(IF($F808=1,AW798,AW776*$D808)+$E808*AW$827,AW776)</f>
        <v/>
      </c>
      <c r="AX808" s="47">
        <f>MIN(IF($F808=1,AX798,AX776*$D808)+$E808*AX$827,AX776)</f>
        <v/>
      </c>
      <c r="AY808" s="47">
        <f>MIN(IF($F808=1,AY798,AY776*$D808)+$E808*AY$827,AY776)</f>
        <v/>
      </c>
      <c r="AZ808" s="47">
        <f>MIN(IF($F808=1,AZ798,AZ776*$D808)+$E808*AZ$827,AZ776)</f>
        <v/>
      </c>
      <c r="BA808" s="48">
        <f>RETIRE(BA776,$D808,$E808,BA$827,$F808,BA798)</f>
        <v/>
      </c>
    </row>
    <row r="809" hidden="1" outlineLevel="1">
      <c r="A809" s="14" t="inlineStr">
        <is>
          <t>ret</t>
        </is>
      </c>
      <c r="B809" s="14" t="inlineStr">
        <is>
          <t>sol</t>
        </is>
      </c>
      <c r="C809" s="14" t="inlineStr">
        <is>
          <t>pow</t>
        </is>
      </c>
      <c r="D809" s="45">
        <f>INDEX(Inputs_power!$AG$5:$AG$13,MATCH($B809,Inputs_power!$A$5:$A$13,0))</f>
        <v/>
      </c>
      <c r="E809" s="45">
        <f>INDEX(Inputs_power!$AO$5:$AO$13,MATCH($B809,Inputs_power!$A$5:$A$13,0))</f>
        <v/>
      </c>
      <c r="F809" s="45">
        <f>INDEX(Inputs_power!$AM$5:$AM$13,MATCH($B809,Inputs_power!$A$5:$A$13,0))</f>
        <v/>
      </c>
      <c r="G809" s="39" t="n"/>
      <c r="H809" s="14">
        <f>INDEX(VarLab,MATCH($A809,VarKey,0))&amp;INDEX(MemLab,MATCH($C809&amp;"|"&amp;$B809,MemKey,0))</f>
        <v/>
      </c>
      <c r="I809" s="14">
        <f>INDEX(VarUnit,MATCH($A809,VarKey,0))</f>
        <v/>
      </c>
      <c r="J809" s="14">
        <f>INDEX(VarSrc,MATCH($A809,VarKey,0))</f>
        <v/>
      </c>
      <c r="K809" s="11">
        <f>CodePrefix&amp;$A809&amp;IF($C809="","","."&amp;$C809&amp;"."&amp;$B809)&amp;INDEX(VarEnd,MATCH($A809,VarKey,0))&amp;K$5</f>
        <v/>
      </c>
      <c r="L809" s="46">
        <f>MIN(IF($F809=1,L799,L777*$D809)+$E809*L$827,L777)</f>
        <v/>
      </c>
      <c r="M809" s="47">
        <f>MIN(IF($F809=1,M799,M777*$D809)+$E809*M$827,M777)</f>
        <v/>
      </c>
      <c r="N809" s="47">
        <f>MIN(IF($F809=1,N799,N777*$D809)+$E809*N$827,N777)</f>
        <v/>
      </c>
      <c r="O809" s="47">
        <f>MIN(IF($F809=1,O799,O777*$D809)+$E809*O$827,O777)</f>
        <v/>
      </c>
      <c r="P809" s="47">
        <f>MIN(IF($F809=1,P799,P777*$D809)+$E809*P$827,P777)</f>
        <v/>
      </c>
      <c r="Q809" s="47">
        <f>MIN(IF($F809=1,Q799,Q777*$D809)+$E809*Q$827,Q777)</f>
        <v/>
      </c>
      <c r="R809" s="47">
        <f>MIN(IF($F809=1,R799,R777*$D809)+$E809*R$827,R777)</f>
        <v/>
      </c>
      <c r="S809" s="47">
        <f>MIN(IF($F809=1,S799,S777*$D809)+$E809*S$827,S777)</f>
        <v/>
      </c>
      <c r="T809" s="47">
        <f>MIN(IF($F809=1,T799,T777*$D809)+$E809*T$827,T777)</f>
        <v/>
      </c>
      <c r="U809" s="47">
        <f>MIN(IF($F809=1,U799,U777*$D809)+$E809*U$827,U777)</f>
        <v/>
      </c>
      <c r="V809" s="47">
        <f>MIN(IF($F809=1,V799,V777*$D809)+$E809*V$827,V777)</f>
        <v/>
      </c>
      <c r="W809" s="47">
        <f>MIN(IF($F809=1,W799,W777*$D809)+$E809*W$827,W777)</f>
        <v/>
      </c>
      <c r="X809" s="47">
        <f>MIN(IF($F809=1,X799,X777*$D809)+$E809*X$827,X777)</f>
        <v/>
      </c>
      <c r="Y809" s="47">
        <f>MIN(IF($F809=1,Y799,Y777*$D809)+$E809*Y$827,Y777)</f>
        <v/>
      </c>
      <c r="Z809" s="47">
        <f>MIN(IF($F809=1,Z799,Z777*$D809)+$E809*Z$827,Z777)</f>
        <v/>
      </c>
      <c r="AA809" s="47">
        <f>MIN(IF($F809=1,AA799,AA777*$D809)+$E809*AA$827,AA777)</f>
        <v/>
      </c>
      <c r="AB809" s="47">
        <f>MIN(IF($F809=1,AB799,AB777*$D809)+$E809*AB$827,AB777)</f>
        <v/>
      </c>
      <c r="AC809" s="47">
        <f>MIN(IF($F809=1,AC799,AC777*$D809)+$E809*AC$827,AC777)</f>
        <v/>
      </c>
      <c r="AD809" s="47">
        <f>MIN(IF($F809=1,AD799,AD777*$D809)+$E809*AD$827,AD777)</f>
        <v/>
      </c>
      <c r="AE809" s="48">
        <f>RETIRE(AE777,$D809,$E809,AE$827,$F809,AE799)</f>
        <v/>
      </c>
      <c r="AG809" s="11">
        <f>CodePrefix&amp;$A809&amp;IF($C809="","","."&amp;$C809&amp;"."&amp;$B809)&amp;INDEX(VarEnd,MATCH($A809,VarKey,0))&amp;AG$5</f>
        <v/>
      </c>
      <c r="AH809" s="46">
        <f>MIN(IF($F809=1,AH799,AH777*$D809)+$E809*AH$827,AH777)</f>
        <v/>
      </c>
      <c r="AI809" s="47">
        <f>MIN(IF($F809=1,AI799,AI777*$D809)+$E809*AI$827,AI777)</f>
        <v/>
      </c>
      <c r="AJ809" s="47">
        <f>MIN(IF($F809=1,AJ799,AJ777*$D809)+$E809*AJ$827,AJ777)</f>
        <v/>
      </c>
      <c r="AK809" s="47">
        <f>MIN(IF($F809=1,AK799,AK777*$D809)+$E809*AK$827,AK777)</f>
        <v/>
      </c>
      <c r="AL809" s="47">
        <f>MIN(IF($F809=1,AL799,AL777*$D809)+$E809*AL$827,AL777)</f>
        <v/>
      </c>
      <c r="AM809" s="47">
        <f>MIN(IF($F809=1,AM799,AM777*$D809)+$E809*AM$827,AM777)</f>
        <v/>
      </c>
      <c r="AN809" s="47">
        <f>MIN(IF($F809=1,AN799,AN777*$D809)+$E809*AN$827,AN777)</f>
        <v/>
      </c>
      <c r="AO809" s="47">
        <f>MIN(IF($F809=1,AO799,AO777*$D809)+$E809*AO$827,AO777)</f>
        <v/>
      </c>
      <c r="AP809" s="47">
        <f>MIN(IF($F809=1,AP799,AP777*$D809)+$E809*AP$827,AP777)</f>
        <v/>
      </c>
      <c r="AQ809" s="47">
        <f>MIN(IF($F809=1,AQ799,AQ777*$D809)+$E809*AQ$827,AQ777)</f>
        <v/>
      </c>
      <c r="AR809" s="47">
        <f>MIN(IF($F809=1,AR799,AR777*$D809)+$E809*AR$827,AR777)</f>
        <v/>
      </c>
      <c r="AS809" s="47">
        <f>MIN(IF($F809=1,AS799,AS777*$D809)+$E809*AS$827,AS777)</f>
        <v/>
      </c>
      <c r="AT809" s="47">
        <f>MIN(IF($F809=1,AT799,AT777*$D809)+$E809*AT$827,AT777)</f>
        <v/>
      </c>
      <c r="AU809" s="47">
        <f>MIN(IF($F809=1,AU799,AU777*$D809)+$E809*AU$827,AU777)</f>
        <v/>
      </c>
      <c r="AV809" s="47">
        <f>MIN(IF($F809=1,AV799,AV777*$D809)+$E809*AV$827,AV777)</f>
        <v/>
      </c>
      <c r="AW809" s="47">
        <f>MIN(IF($F809=1,AW799,AW777*$D809)+$E809*AW$827,AW777)</f>
        <v/>
      </c>
      <c r="AX809" s="47">
        <f>MIN(IF($F809=1,AX799,AX777*$D809)+$E809*AX$827,AX777)</f>
        <v/>
      </c>
      <c r="AY809" s="47">
        <f>MIN(IF($F809=1,AY799,AY777*$D809)+$E809*AY$827,AY777)</f>
        <v/>
      </c>
      <c r="AZ809" s="47">
        <f>MIN(IF($F809=1,AZ799,AZ777*$D809)+$E809*AZ$827,AZ777)</f>
        <v/>
      </c>
      <c r="BA809" s="48">
        <f>RETIRE(BA777,$D809,$E809,BA$827,$F809,BA799)</f>
        <v/>
      </c>
    </row>
    <row r="810" hidden="1" outlineLevel="1">
      <c r="A810" s="14" t="inlineStr">
        <is>
          <t>ret</t>
        </is>
      </c>
      <c r="B810" s="14" t="inlineStr">
        <is>
          <t>hyd</t>
        </is>
      </c>
      <c r="C810" s="14" t="inlineStr">
        <is>
          <t>pow</t>
        </is>
      </c>
      <c r="D810" s="45">
        <f>INDEX(Inputs_power!$AG$5:$AG$13,MATCH($B810,Inputs_power!$A$5:$A$13,0))</f>
        <v/>
      </c>
      <c r="E810" s="45">
        <f>INDEX(Inputs_power!$AO$5:$AO$13,MATCH($B810,Inputs_power!$A$5:$A$13,0))</f>
        <v/>
      </c>
      <c r="F810" s="45">
        <f>INDEX(Inputs_power!$AM$5:$AM$13,MATCH($B810,Inputs_power!$A$5:$A$13,0))</f>
        <v/>
      </c>
      <c r="G810" s="39" t="n"/>
      <c r="H810" s="14">
        <f>INDEX(VarLab,MATCH($A810,VarKey,0))&amp;INDEX(MemLab,MATCH($C810&amp;"|"&amp;$B810,MemKey,0))</f>
        <v/>
      </c>
      <c r="I810" s="14">
        <f>INDEX(VarUnit,MATCH($A810,VarKey,0))</f>
        <v/>
      </c>
      <c r="J810" s="14">
        <f>INDEX(VarSrc,MATCH($A810,VarKey,0))</f>
        <v/>
      </c>
      <c r="K810" s="11">
        <f>CodePrefix&amp;$A810&amp;IF($C810="","","."&amp;$C810&amp;"."&amp;$B810)&amp;INDEX(VarEnd,MATCH($A810,VarKey,0))&amp;K$5</f>
        <v/>
      </c>
      <c r="L810" s="46">
        <f>MIN(IF($F810=1,L800,L778*$D810)+$E810*L$827,L778)</f>
        <v/>
      </c>
      <c r="M810" s="47">
        <f>MIN(IF($F810=1,M800,M778*$D810)+$E810*M$827,M778)</f>
        <v/>
      </c>
      <c r="N810" s="47">
        <f>MIN(IF($F810=1,N800,N778*$D810)+$E810*N$827,N778)</f>
        <v/>
      </c>
      <c r="O810" s="47">
        <f>MIN(IF($F810=1,O800,O778*$D810)+$E810*O$827,O778)</f>
        <v/>
      </c>
      <c r="P810" s="47">
        <f>MIN(IF($F810=1,P800,P778*$D810)+$E810*P$827,P778)</f>
        <v/>
      </c>
      <c r="Q810" s="47">
        <f>MIN(IF($F810=1,Q800,Q778*$D810)+$E810*Q$827,Q778)</f>
        <v/>
      </c>
      <c r="R810" s="47">
        <f>MIN(IF($F810=1,R800,R778*$D810)+$E810*R$827,R778)</f>
        <v/>
      </c>
      <c r="S810" s="47">
        <f>MIN(IF($F810=1,S800,S778*$D810)+$E810*S$827,S778)</f>
        <v/>
      </c>
      <c r="T810" s="47">
        <f>MIN(IF($F810=1,T800,T778*$D810)+$E810*T$827,T778)</f>
        <v/>
      </c>
      <c r="U810" s="47">
        <f>MIN(IF($F810=1,U800,U778*$D810)+$E810*U$827,U778)</f>
        <v/>
      </c>
      <c r="V810" s="47">
        <f>MIN(IF($F810=1,V800,V778*$D810)+$E810*V$827,V778)</f>
        <v/>
      </c>
      <c r="W810" s="47">
        <f>MIN(IF($F810=1,W800,W778*$D810)+$E810*W$827,W778)</f>
        <v/>
      </c>
      <c r="X810" s="47">
        <f>MIN(IF($F810=1,X800,X778*$D810)+$E810*X$827,X778)</f>
        <v/>
      </c>
      <c r="Y810" s="47">
        <f>MIN(IF($F810=1,Y800,Y778*$D810)+$E810*Y$827,Y778)</f>
        <v/>
      </c>
      <c r="Z810" s="47">
        <f>MIN(IF($F810=1,Z800,Z778*$D810)+$E810*Z$827,Z778)</f>
        <v/>
      </c>
      <c r="AA810" s="47">
        <f>MIN(IF($F810=1,AA800,AA778*$D810)+$E810*AA$827,AA778)</f>
        <v/>
      </c>
      <c r="AB810" s="47">
        <f>MIN(IF($F810=1,AB800,AB778*$D810)+$E810*AB$827,AB778)</f>
        <v/>
      </c>
      <c r="AC810" s="47">
        <f>MIN(IF($F810=1,AC800,AC778*$D810)+$E810*AC$827,AC778)</f>
        <v/>
      </c>
      <c r="AD810" s="47">
        <f>MIN(IF($F810=1,AD800,AD778*$D810)+$E810*AD$827,AD778)</f>
        <v/>
      </c>
      <c r="AE810" s="48">
        <f>RETIRE(AE778,$D810,$E810,AE$827,$F810,AE800)</f>
        <v/>
      </c>
      <c r="AG810" s="11">
        <f>CodePrefix&amp;$A810&amp;IF($C810="","","."&amp;$C810&amp;"."&amp;$B810)&amp;INDEX(VarEnd,MATCH($A810,VarKey,0))&amp;AG$5</f>
        <v/>
      </c>
      <c r="AH810" s="46">
        <f>MIN(IF($F810=1,AH800,AH778*$D810)+$E810*AH$827,AH778)</f>
        <v/>
      </c>
      <c r="AI810" s="47">
        <f>MIN(IF($F810=1,AI800,AI778*$D810)+$E810*AI$827,AI778)</f>
        <v/>
      </c>
      <c r="AJ810" s="47">
        <f>MIN(IF($F810=1,AJ800,AJ778*$D810)+$E810*AJ$827,AJ778)</f>
        <v/>
      </c>
      <c r="AK810" s="47">
        <f>MIN(IF($F810=1,AK800,AK778*$D810)+$E810*AK$827,AK778)</f>
        <v/>
      </c>
      <c r="AL810" s="47">
        <f>MIN(IF($F810=1,AL800,AL778*$D810)+$E810*AL$827,AL778)</f>
        <v/>
      </c>
      <c r="AM810" s="47">
        <f>MIN(IF($F810=1,AM800,AM778*$D810)+$E810*AM$827,AM778)</f>
        <v/>
      </c>
      <c r="AN810" s="47">
        <f>MIN(IF($F810=1,AN800,AN778*$D810)+$E810*AN$827,AN778)</f>
        <v/>
      </c>
      <c r="AO810" s="47">
        <f>MIN(IF($F810=1,AO800,AO778*$D810)+$E810*AO$827,AO778)</f>
        <v/>
      </c>
      <c r="AP810" s="47">
        <f>MIN(IF($F810=1,AP800,AP778*$D810)+$E810*AP$827,AP778)</f>
        <v/>
      </c>
      <c r="AQ810" s="47">
        <f>MIN(IF($F810=1,AQ800,AQ778*$D810)+$E810*AQ$827,AQ778)</f>
        <v/>
      </c>
      <c r="AR810" s="47">
        <f>MIN(IF($F810=1,AR800,AR778*$D810)+$E810*AR$827,AR778)</f>
        <v/>
      </c>
      <c r="AS810" s="47">
        <f>MIN(IF($F810=1,AS800,AS778*$D810)+$E810*AS$827,AS778)</f>
        <v/>
      </c>
      <c r="AT810" s="47">
        <f>MIN(IF($F810=1,AT800,AT778*$D810)+$E810*AT$827,AT778)</f>
        <v/>
      </c>
      <c r="AU810" s="47">
        <f>MIN(IF($F810=1,AU800,AU778*$D810)+$E810*AU$827,AU778)</f>
        <v/>
      </c>
      <c r="AV810" s="47">
        <f>MIN(IF($F810=1,AV800,AV778*$D810)+$E810*AV$827,AV778)</f>
        <v/>
      </c>
      <c r="AW810" s="47">
        <f>MIN(IF($F810=1,AW800,AW778*$D810)+$E810*AW$827,AW778)</f>
        <v/>
      </c>
      <c r="AX810" s="47">
        <f>MIN(IF($F810=1,AX800,AX778*$D810)+$E810*AX$827,AX778)</f>
        <v/>
      </c>
      <c r="AY810" s="47">
        <f>MIN(IF($F810=1,AY800,AY778*$D810)+$E810*AY$827,AY778)</f>
        <v/>
      </c>
      <c r="AZ810" s="47">
        <f>MIN(IF($F810=1,AZ800,AZ778*$D810)+$E810*AZ$827,AZ778)</f>
        <v/>
      </c>
      <c r="BA810" s="48">
        <f>RETIRE(BA778,$D810,$E810,BA$827,$F810,BA800)</f>
        <v/>
      </c>
    </row>
    <row r="811" hidden="1" outlineLevel="1">
      <c r="A811" s="14" t="inlineStr">
        <is>
          <t>ret</t>
        </is>
      </c>
      <c r="B811" s="14" t="inlineStr">
        <is>
          <t>ore</t>
        </is>
      </c>
      <c r="C811" s="14" t="inlineStr">
        <is>
          <t>pow</t>
        </is>
      </c>
      <c r="D811" s="45">
        <f>INDEX(Inputs_power!$AG$5:$AG$13,MATCH($B811,Inputs_power!$A$5:$A$13,0))</f>
        <v/>
      </c>
      <c r="E811" s="45">
        <f>INDEX(Inputs_power!$AO$5:$AO$13,MATCH($B811,Inputs_power!$A$5:$A$13,0))</f>
        <v/>
      </c>
      <c r="F811" s="45">
        <f>INDEX(Inputs_power!$AM$5:$AM$13,MATCH($B811,Inputs_power!$A$5:$A$13,0))</f>
        <v/>
      </c>
      <c r="G811" s="39" t="n"/>
      <c r="H811" s="14">
        <f>INDEX(VarLab,MATCH($A811,VarKey,0))&amp;INDEX(MemLab,MATCH($C811&amp;"|"&amp;$B811,MemKey,0))</f>
        <v/>
      </c>
      <c r="I811" s="14">
        <f>INDEX(VarUnit,MATCH($A811,VarKey,0))</f>
        <v/>
      </c>
      <c r="J811" s="14">
        <f>INDEX(VarSrc,MATCH($A811,VarKey,0))</f>
        <v/>
      </c>
      <c r="K811" s="11">
        <f>CodePrefix&amp;$A811&amp;IF($C811="","","."&amp;$C811&amp;"."&amp;$B811)&amp;INDEX(VarEnd,MATCH($A811,VarKey,0))&amp;K$5</f>
        <v/>
      </c>
      <c r="L811" s="46">
        <f>MIN(IF($F811=1,L801,L779*$D811)+$E811*L$827,L779)</f>
        <v/>
      </c>
      <c r="M811" s="47">
        <f>MIN(IF($F811=1,M801,M779*$D811)+$E811*M$827,M779)</f>
        <v/>
      </c>
      <c r="N811" s="47">
        <f>MIN(IF($F811=1,N801,N779*$D811)+$E811*N$827,N779)</f>
        <v/>
      </c>
      <c r="O811" s="47">
        <f>MIN(IF($F811=1,O801,O779*$D811)+$E811*O$827,O779)</f>
        <v/>
      </c>
      <c r="P811" s="47">
        <f>MIN(IF($F811=1,P801,P779*$D811)+$E811*P$827,P779)</f>
        <v/>
      </c>
      <c r="Q811" s="47">
        <f>MIN(IF($F811=1,Q801,Q779*$D811)+$E811*Q$827,Q779)</f>
        <v/>
      </c>
      <c r="R811" s="47">
        <f>MIN(IF($F811=1,R801,R779*$D811)+$E811*R$827,R779)</f>
        <v/>
      </c>
      <c r="S811" s="47">
        <f>MIN(IF($F811=1,S801,S779*$D811)+$E811*S$827,S779)</f>
        <v/>
      </c>
      <c r="T811" s="47">
        <f>MIN(IF($F811=1,T801,T779*$D811)+$E811*T$827,T779)</f>
        <v/>
      </c>
      <c r="U811" s="47">
        <f>MIN(IF($F811=1,U801,U779*$D811)+$E811*U$827,U779)</f>
        <v/>
      </c>
      <c r="V811" s="47">
        <f>MIN(IF($F811=1,V801,V779*$D811)+$E811*V$827,V779)</f>
        <v/>
      </c>
      <c r="W811" s="47">
        <f>MIN(IF($F811=1,W801,W779*$D811)+$E811*W$827,W779)</f>
        <v/>
      </c>
      <c r="X811" s="47">
        <f>MIN(IF($F811=1,X801,X779*$D811)+$E811*X$827,X779)</f>
        <v/>
      </c>
      <c r="Y811" s="47">
        <f>MIN(IF($F811=1,Y801,Y779*$D811)+$E811*Y$827,Y779)</f>
        <v/>
      </c>
      <c r="Z811" s="47">
        <f>MIN(IF($F811=1,Z801,Z779*$D811)+$E811*Z$827,Z779)</f>
        <v/>
      </c>
      <c r="AA811" s="47">
        <f>MIN(IF($F811=1,AA801,AA779*$D811)+$E811*AA$827,AA779)</f>
        <v/>
      </c>
      <c r="AB811" s="47">
        <f>MIN(IF($F811=1,AB801,AB779*$D811)+$E811*AB$827,AB779)</f>
        <v/>
      </c>
      <c r="AC811" s="47">
        <f>MIN(IF($F811=1,AC801,AC779*$D811)+$E811*AC$827,AC779)</f>
        <v/>
      </c>
      <c r="AD811" s="47">
        <f>MIN(IF($F811=1,AD801,AD779*$D811)+$E811*AD$827,AD779)</f>
        <v/>
      </c>
      <c r="AE811" s="48">
        <f>RETIRE(AE779,$D811,$E811,AE$827,$F811,AE801)</f>
        <v/>
      </c>
      <c r="AG811" s="11">
        <f>CodePrefix&amp;$A811&amp;IF($C811="","","."&amp;$C811&amp;"."&amp;$B811)&amp;INDEX(VarEnd,MATCH($A811,VarKey,0))&amp;AG$5</f>
        <v/>
      </c>
      <c r="AH811" s="46">
        <f>MIN(IF($F811=1,AH801,AH779*$D811)+$E811*AH$827,AH779)</f>
        <v/>
      </c>
      <c r="AI811" s="47">
        <f>MIN(IF($F811=1,AI801,AI779*$D811)+$E811*AI$827,AI779)</f>
        <v/>
      </c>
      <c r="AJ811" s="47">
        <f>MIN(IF($F811=1,AJ801,AJ779*$D811)+$E811*AJ$827,AJ779)</f>
        <v/>
      </c>
      <c r="AK811" s="47">
        <f>MIN(IF($F811=1,AK801,AK779*$D811)+$E811*AK$827,AK779)</f>
        <v/>
      </c>
      <c r="AL811" s="47">
        <f>MIN(IF($F811=1,AL801,AL779*$D811)+$E811*AL$827,AL779)</f>
        <v/>
      </c>
      <c r="AM811" s="47">
        <f>MIN(IF($F811=1,AM801,AM779*$D811)+$E811*AM$827,AM779)</f>
        <v/>
      </c>
      <c r="AN811" s="47">
        <f>MIN(IF($F811=1,AN801,AN779*$D811)+$E811*AN$827,AN779)</f>
        <v/>
      </c>
      <c r="AO811" s="47">
        <f>MIN(IF($F811=1,AO801,AO779*$D811)+$E811*AO$827,AO779)</f>
        <v/>
      </c>
      <c r="AP811" s="47">
        <f>MIN(IF($F811=1,AP801,AP779*$D811)+$E811*AP$827,AP779)</f>
        <v/>
      </c>
      <c r="AQ811" s="47">
        <f>MIN(IF($F811=1,AQ801,AQ779*$D811)+$E811*AQ$827,AQ779)</f>
        <v/>
      </c>
      <c r="AR811" s="47">
        <f>MIN(IF($F811=1,AR801,AR779*$D811)+$E811*AR$827,AR779)</f>
        <v/>
      </c>
      <c r="AS811" s="47">
        <f>MIN(IF($F811=1,AS801,AS779*$D811)+$E811*AS$827,AS779)</f>
        <v/>
      </c>
      <c r="AT811" s="47">
        <f>MIN(IF($F811=1,AT801,AT779*$D811)+$E811*AT$827,AT779)</f>
        <v/>
      </c>
      <c r="AU811" s="47">
        <f>MIN(IF($F811=1,AU801,AU779*$D811)+$E811*AU$827,AU779)</f>
        <v/>
      </c>
      <c r="AV811" s="47">
        <f>MIN(IF($F811=1,AV801,AV779*$D811)+$E811*AV$827,AV779)</f>
        <v/>
      </c>
      <c r="AW811" s="47">
        <f>MIN(IF($F811=1,AW801,AW779*$D811)+$E811*AW$827,AW779)</f>
        <v/>
      </c>
      <c r="AX811" s="47">
        <f>MIN(IF($F811=1,AX801,AX779*$D811)+$E811*AX$827,AX779)</f>
        <v/>
      </c>
      <c r="AY811" s="47">
        <f>MIN(IF($F811=1,AY801,AY779*$D811)+$E811*AY$827,AY779)</f>
        <v/>
      </c>
      <c r="AZ811" s="47">
        <f>MIN(IF($F811=1,AZ801,AZ779*$D811)+$E811*AZ$827,AZ779)</f>
        <v/>
      </c>
      <c r="BA811" s="48">
        <f>RETIRE(BA779,$D811,$E811,BA$827,$F811,BA801)</f>
        <v/>
      </c>
    </row>
    <row r="812" hidden="1" outlineLevel="1">
      <c r="A812" s="14" t="inlineStr">
        <is>
          <t>ret</t>
        </is>
      </c>
      <c r="B812" s="14" t="inlineStr">
        <is>
          <t>bio</t>
        </is>
      </c>
      <c r="C812" s="14" t="inlineStr">
        <is>
          <t>pow</t>
        </is>
      </c>
      <c r="D812" s="45">
        <f>INDEX(Inputs_power!$AG$5:$AG$13,MATCH($B812,Inputs_power!$A$5:$A$13,0))</f>
        <v/>
      </c>
      <c r="E812" s="45">
        <f>INDEX(Inputs_power!$AO$5:$AO$13,MATCH($B812,Inputs_power!$A$5:$A$13,0))</f>
        <v/>
      </c>
      <c r="F812" s="45">
        <f>INDEX(Inputs_power!$AM$5:$AM$13,MATCH($B812,Inputs_power!$A$5:$A$13,0))</f>
        <v/>
      </c>
      <c r="G812" s="39" t="n"/>
      <c r="H812" s="14">
        <f>INDEX(VarLab,MATCH($A812,VarKey,0))&amp;INDEX(MemLab,MATCH($C812&amp;"|"&amp;$B812,MemKey,0))</f>
        <v/>
      </c>
      <c r="I812" s="14">
        <f>INDEX(VarUnit,MATCH($A812,VarKey,0))</f>
        <v/>
      </c>
      <c r="J812" s="14">
        <f>INDEX(VarSrc,MATCH($A812,VarKey,0))</f>
        <v/>
      </c>
      <c r="K812" s="11">
        <f>CodePrefix&amp;$A812&amp;IF($C812="","","."&amp;$C812&amp;"."&amp;$B812)&amp;INDEX(VarEnd,MATCH($A812,VarKey,0))&amp;K$5</f>
        <v/>
      </c>
      <c r="L812" s="46">
        <f>MIN(IF($F812=1,L802,L780*$D812)+$E812*L$827,L780)</f>
        <v/>
      </c>
      <c r="M812" s="47">
        <f>MIN(IF($F812=1,M802,M780*$D812)+$E812*M$827,M780)</f>
        <v/>
      </c>
      <c r="N812" s="47">
        <f>MIN(IF($F812=1,N802,N780*$D812)+$E812*N$827,N780)</f>
        <v/>
      </c>
      <c r="O812" s="47">
        <f>MIN(IF($F812=1,O802,O780*$D812)+$E812*O$827,O780)</f>
        <v/>
      </c>
      <c r="P812" s="47">
        <f>MIN(IF($F812=1,P802,P780*$D812)+$E812*P$827,P780)</f>
        <v/>
      </c>
      <c r="Q812" s="47">
        <f>MIN(IF($F812=1,Q802,Q780*$D812)+$E812*Q$827,Q780)</f>
        <v/>
      </c>
      <c r="R812" s="47">
        <f>MIN(IF($F812=1,R802,R780*$D812)+$E812*R$827,R780)</f>
        <v/>
      </c>
      <c r="S812" s="47">
        <f>MIN(IF($F812=1,S802,S780*$D812)+$E812*S$827,S780)</f>
        <v/>
      </c>
      <c r="T812" s="47">
        <f>MIN(IF($F812=1,T802,T780*$D812)+$E812*T$827,T780)</f>
        <v/>
      </c>
      <c r="U812" s="47">
        <f>MIN(IF($F812=1,U802,U780*$D812)+$E812*U$827,U780)</f>
        <v/>
      </c>
      <c r="V812" s="47">
        <f>MIN(IF($F812=1,V802,V780*$D812)+$E812*V$827,V780)</f>
        <v/>
      </c>
      <c r="W812" s="47">
        <f>MIN(IF($F812=1,W802,W780*$D812)+$E812*W$827,W780)</f>
        <v/>
      </c>
      <c r="X812" s="47">
        <f>MIN(IF($F812=1,X802,X780*$D812)+$E812*X$827,X780)</f>
        <v/>
      </c>
      <c r="Y812" s="47">
        <f>MIN(IF($F812=1,Y802,Y780*$D812)+$E812*Y$827,Y780)</f>
        <v/>
      </c>
      <c r="Z812" s="47">
        <f>MIN(IF($F812=1,Z802,Z780*$D812)+$E812*Z$827,Z780)</f>
        <v/>
      </c>
      <c r="AA812" s="47">
        <f>MIN(IF($F812=1,AA802,AA780*$D812)+$E812*AA$827,AA780)</f>
        <v/>
      </c>
      <c r="AB812" s="47">
        <f>MIN(IF($F812=1,AB802,AB780*$D812)+$E812*AB$827,AB780)</f>
        <v/>
      </c>
      <c r="AC812" s="47">
        <f>MIN(IF($F812=1,AC802,AC780*$D812)+$E812*AC$827,AC780)</f>
        <v/>
      </c>
      <c r="AD812" s="47">
        <f>MIN(IF($F812=1,AD802,AD780*$D812)+$E812*AD$827,AD780)</f>
        <v/>
      </c>
      <c r="AE812" s="48">
        <f>RETIRE(AE780,$D812,$E812,AE$827,$F812,AE802)</f>
        <v/>
      </c>
      <c r="AG812" s="11">
        <f>CodePrefix&amp;$A812&amp;IF($C812="","","."&amp;$C812&amp;"."&amp;$B812)&amp;INDEX(VarEnd,MATCH($A812,VarKey,0))&amp;AG$5</f>
        <v/>
      </c>
      <c r="AH812" s="46">
        <f>MIN(IF($F812=1,AH802,AH780*$D812)+$E812*AH$827,AH780)</f>
        <v/>
      </c>
      <c r="AI812" s="47">
        <f>MIN(IF($F812=1,AI802,AI780*$D812)+$E812*AI$827,AI780)</f>
        <v/>
      </c>
      <c r="AJ812" s="47">
        <f>MIN(IF($F812=1,AJ802,AJ780*$D812)+$E812*AJ$827,AJ780)</f>
        <v/>
      </c>
      <c r="AK812" s="47">
        <f>MIN(IF($F812=1,AK802,AK780*$D812)+$E812*AK$827,AK780)</f>
        <v/>
      </c>
      <c r="AL812" s="47">
        <f>MIN(IF($F812=1,AL802,AL780*$D812)+$E812*AL$827,AL780)</f>
        <v/>
      </c>
      <c r="AM812" s="47">
        <f>MIN(IF($F812=1,AM802,AM780*$D812)+$E812*AM$827,AM780)</f>
        <v/>
      </c>
      <c r="AN812" s="47">
        <f>MIN(IF($F812=1,AN802,AN780*$D812)+$E812*AN$827,AN780)</f>
        <v/>
      </c>
      <c r="AO812" s="47">
        <f>MIN(IF($F812=1,AO802,AO780*$D812)+$E812*AO$827,AO780)</f>
        <v/>
      </c>
      <c r="AP812" s="47">
        <f>MIN(IF($F812=1,AP802,AP780*$D812)+$E812*AP$827,AP780)</f>
        <v/>
      </c>
      <c r="AQ812" s="47">
        <f>MIN(IF($F812=1,AQ802,AQ780*$D812)+$E812*AQ$827,AQ780)</f>
        <v/>
      </c>
      <c r="AR812" s="47">
        <f>MIN(IF($F812=1,AR802,AR780*$D812)+$E812*AR$827,AR780)</f>
        <v/>
      </c>
      <c r="AS812" s="47">
        <f>MIN(IF($F812=1,AS802,AS780*$D812)+$E812*AS$827,AS780)</f>
        <v/>
      </c>
      <c r="AT812" s="47">
        <f>MIN(IF($F812=1,AT802,AT780*$D812)+$E812*AT$827,AT780)</f>
        <v/>
      </c>
      <c r="AU812" s="47">
        <f>MIN(IF($F812=1,AU802,AU780*$D812)+$E812*AU$827,AU780)</f>
        <v/>
      </c>
      <c r="AV812" s="47">
        <f>MIN(IF($F812=1,AV802,AV780*$D812)+$E812*AV$827,AV780)</f>
        <v/>
      </c>
      <c r="AW812" s="47">
        <f>MIN(IF($F812=1,AW802,AW780*$D812)+$E812*AW$827,AW780)</f>
        <v/>
      </c>
      <c r="AX812" s="47">
        <f>MIN(IF($F812=1,AX802,AX780*$D812)+$E812*AX$827,AX780)</f>
        <v/>
      </c>
      <c r="AY812" s="47">
        <f>MIN(IF($F812=1,AY802,AY780*$D812)+$E812*AY$827,AY780)</f>
        <v/>
      </c>
      <c r="AZ812" s="47">
        <f>MIN(IF($F812=1,AZ802,AZ780*$D812)+$E812*AZ$827,AZ780)</f>
        <v/>
      </c>
      <c r="BA812" s="48">
        <f>RETIRE(BA780,$D812,$E812,BA$827,$F812,BA802)</f>
        <v/>
      </c>
    </row>
    <row r="813" hidden="1" outlineLevel="1"/>
    <row r="814" hidden="1" outlineLevel="1">
      <c r="A814" s="14" t="inlineStr">
        <is>
          <t>reteff</t>
        </is>
      </c>
      <c r="B814" s="14" t="inlineStr">
        <is>
          <t>coa</t>
        </is>
      </c>
      <c r="C814" s="14" t="inlineStr">
        <is>
          <t>pow</t>
        </is>
      </c>
      <c r="D814" s="45">
        <f>INDEX(Inputs_power!$F$5:$F$13,MATCH($B814,Inputs_power!$A$5:$A$13,0))</f>
        <v/>
      </c>
      <c r="E814" s="39" t="n"/>
      <c r="F814" s="39" t="n"/>
      <c r="G814" s="39" t="n"/>
      <c r="H814" s="14">
        <f>INDEX(VarLab,MATCH($A814,VarKey,0))&amp;INDEX(MemLab,MATCH($C814&amp;"|"&amp;$B814,MemKey,0))</f>
        <v/>
      </c>
      <c r="I814" s="14">
        <f>INDEX(VarUnit,MATCH($A814,VarKey,0))</f>
        <v/>
      </c>
      <c r="J814" s="14">
        <f>INDEX(VarSrc,MATCH($A814,VarKey,0))</f>
        <v/>
      </c>
      <c r="K814" s="11">
        <f>CodePrefix&amp;$A814&amp;IF($C814="","","."&amp;$C814&amp;"."&amp;$B814)&amp;INDEX(VarEnd,MATCH($A814,VarKey,0))&amp;K$5</f>
        <v/>
      </c>
      <c r="L814" s="46">
        <f>L804*$D814</f>
        <v/>
      </c>
      <c r="M814" s="47">
        <f>M804*$D814</f>
        <v/>
      </c>
      <c r="N814" s="47">
        <f>N804*$D814</f>
        <v/>
      </c>
      <c r="O814" s="47">
        <f>O804*$D814</f>
        <v/>
      </c>
      <c r="P814" s="47">
        <f>P804*$D814</f>
        <v/>
      </c>
      <c r="Q814" s="47">
        <f>Q804*$D814</f>
        <v/>
      </c>
      <c r="R814" s="47">
        <f>R804*$D814</f>
        <v/>
      </c>
      <c r="S814" s="47">
        <f>S804*$D814</f>
        <v/>
      </c>
      <c r="T814" s="47">
        <f>T804*$D814</f>
        <v/>
      </c>
      <c r="U814" s="47">
        <f>U804*$D814</f>
        <v/>
      </c>
      <c r="V814" s="47">
        <f>V804*$D814</f>
        <v/>
      </c>
      <c r="W814" s="47">
        <f>W804*$D814</f>
        <v/>
      </c>
      <c r="X814" s="47">
        <f>X804*$D814</f>
        <v/>
      </c>
      <c r="Y814" s="47">
        <f>Y804*$D814</f>
        <v/>
      </c>
      <c r="Z814" s="47">
        <f>Z804*$D814</f>
        <v/>
      </c>
      <c r="AA814" s="47">
        <f>AA804*$D814</f>
        <v/>
      </c>
      <c r="AB814" s="47">
        <f>AB804*$D814</f>
        <v/>
      </c>
      <c r="AC814" s="47">
        <f>AC804*$D814</f>
        <v/>
      </c>
      <c r="AD814" s="47">
        <f>AD804*$D814</f>
        <v/>
      </c>
      <c r="AE814" s="48">
        <f>SCALE(AE804,$D814)</f>
        <v/>
      </c>
      <c r="AG814" s="11">
        <f>CodePrefix&amp;$A814&amp;IF($C814="","","."&amp;$C814&amp;"."&amp;$B814)&amp;INDEX(VarEnd,MATCH($A814,VarKey,0))&amp;AG$5</f>
        <v/>
      </c>
      <c r="AH814" s="46">
        <f>AH804*$D814</f>
        <v/>
      </c>
      <c r="AI814" s="47">
        <f>AI804*$D814</f>
        <v/>
      </c>
      <c r="AJ814" s="47">
        <f>AJ804*$D814</f>
        <v/>
      </c>
      <c r="AK814" s="47">
        <f>AK804*$D814</f>
        <v/>
      </c>
      <c r="AL814" s="47">
        <f>AL804*$D814</f>
        <v/>
      </c>
      <c r="AM814" s="47">
        <f>AM804*$D814</f>
        <v/>
      </c>
      <c r="AN814" s="47">
        <f>AN804*$D814</f>
        <v/>
      </c>
      <c r="AO814" s="47">
        <f>AO804*$D814</f>
        <v/>
      </c>
      <c r="AP814" s="47">
        <f>AP804*$D814</f>
        <v/>
      </c>
      <c r="AQ814" s="47">
        <f>AQ804*$D814</f>
        <v/>
      </c>
      <c r="AR814" s="47">
        <f>AR804*$D814</f>
        <v/>
      </c>
      <c r="AS814" s="47">
        <f>AS804*$D814</f>
        <v/>
      </c>
      <c r="AT814" s="47">
        <f>AT804*$D814</f>
        <v/>
      </c>
      <c r="AU814" s="47">
        <f>AU804*$D814</f>
        <v/>
      </c>
      <c r="AV814" s="47">
        <f>AV804*$D814</f>
        <v/>
      </c>
      <c r="AW814" s="47">
        <f>AW804*$D814</f>
        <v/>
      </c>
      <c r="AX814" s="47">
        <f>AX804*$D814</f>
        <v/>
      </c>
      <c r="AY814" s="47">
        <f>AY804*$D814</f>
        <v/>
      </c>
      <c r="AZ814" s="47">
        <f>AZ804*$D814</f>
        <v/>
      </c>
      <c r="BA814" s="48">
        <f>SCALE(BA804,$D814)</f>
        <v/>
      </c>
    </row>
    <row r="815" hidden="1" outlineLevel="1">
      <c r="A815" s="14" t="inlineStr">
        <is>
          <t>reteff</t>
        </is>
      </c>
      <c r="B815" s="14" t="inlineStr">
        <is>
          <t>nga</t>
        </is>
      </c>
      <c r="C815" s="14" t="inlineStr">
        <is>
          <t>pow</t>
        </is>
      </c>
      <c r="D815" s="45">
        <f>INDEX(Inputs_power!$F$5:$F$13,MATCH($B815,Inputs_power!$A$5:$A$13,0))</f>
        <v/>
      </c>
      <c r="E815" s="39" t="n"/>
      <c r="F815" s="39" t="n"/>
      <c r="G815" s="39" t="n"/>
      <c r="H815" s="14">
        <f>INDEX(VarLab,MATCH($A815,VarKey,0))&amp;INDEX(MemLab,MATCH($C815&amp;"|"&amp;$B815,MemKey,0))</f>
        <v/>
      </c>
      <c r="I815" s="14">
        <f>INDEX(VarUnit,MATCH($A815,VarKey,0))</f>
        <v/>
      </c>
      <c r="J815" s="14">
        <f>INDEX(VarSrc,MATCH($A815,VarKey,0))</f>
        <v/>
      </c>
      <c r="K815" s="11">
        <f>CodePrefix&amp;$A815&amp;IF($C815="","","."&amp;$C815&amp;"."&amp;$B815)&amp;INDEX(VarEnd,MATCH($A815,VarKey,0))&amp;K$5</f>
        <v/>
      </c>
      <c r="L815" s="46">
        <f>L805*$D815</f>
        <v/>
      </c>
      <c r="M815" s="47">
        <f>M805*$D815</f>
        <v/>
      </c>
      <c r="N815" s="47">
        <f>N805*$D815</f>
        <v/>
      </c>
      <c r="O815" s="47">
        <f>O805*$D815</f>
        <v/>
      </c>
      <c r="P815" s="47">
        <f>P805*$D815</f>
        <v/>
      </c>
      <c r="Q815" s="47">
        <f>Q805*$D815</f>
        <v/>
      </c>
      <c r="R815" s="47">
        <f>R805*$D815</f>
        <v/>
      </c>
      <c r="S815" s="47">
        <f>S805*$D815</f>
        <v/>
      </c>
      <c r="T815" s="47">
        <f>T805*$D815</f>
        <v/>
      </c>
      <c r="U815" s="47">
        <f>U805*$D815</f>
        <v/>
      </c>
      <c r="V815" s="47">
        <f>V805*$D815</f>
        <v/>
      </c>
      <c r="W815" s="47">
        <f>W805*$D815</f>
        <v/>
      </c>
      <c r="X815" s="47">
        <f>X805*$D815</f>
        <v/>
      </c>
      <c r="Y815" s="47">
        <f>Y805*$D815</f>
        <v/>
      </c>
      <c r="Z815" s="47">
        <f>Z805*$D815</f>
        <v/>
      </c>
      <c r="AA815" s="47">
        <f>AA805*$D815</f>
        <v/>
      </c>
      <c r="AB815" s="47">
        <f>AB805*$D815</f>
        <v/>
      </c>
      <c r="AC815" s="47">
        <f>AC805*$D815</f>
        <v/>
      </c>
      <c r="AD815" s="47">
        <f>AD805*$D815</f>
        <v/>
      </c>
      <c r="AE815" s="48">
        <f>SCALE(AE805,$D815)</f>
        <v/>
      </c>
      <c r="AG815" s="11">
        <f>CodePrefix&amp;$A815&amp;IF($C815="","","."&amp;$C815&amp;"."&amp;$B815)&amp;INDEX(VarEnd,MATCH($A815,VarKey,0))&amp;AG$5</f>
        <v/>
      </c>
      <c r="AH815" s="46">
        <f>AH805*$D815</f>
        <v/>
      </c>
      <c r="AI815" s="47">
        <f>AI805*$D815</f>
        <v/>
      </c>
      <c r="AJ815" s="47">
        <f>AJ805*$D815</f>
        <v/>
      </c>
      <c r="AK815" s="47">
        <f>AK805*$D815</f>
        <v/>
      </c>
      <c r="AL815" s="47">
        <f>AL805*$D815</f>
        <v/>
      </c>
      <c r="AM815" s="47">
        <f>AM805*$D815</f>
        <v/>
      </c>
      <c r="AN815" s="47">
        <f>AN805*$D815</f>
        <v/>
      </c>
      <c r="AO815" s="47">
        <f>AO805*$D815</f>
        <v/>
      </c>
      <c r="AP815" s="47">
        <f>AP805*$D815</f>
        <v/>
      </c>
      <c r="AQ815" s="47">
        <f>AQ805*$D815</f>
        <v/>
      </c>
      <c r="AR815" s="47">
        <f>AR805*$D815</f>
        <v/>
      </c>
      <c r="AS815" s="47">
        <f>AS805*$D815</f>
        <v/>
      </c>
      <c r="AT815" s="47">
        <f>AT805*$D815</f>
        <v/>
      </c>
      <c r="AU815" s="47">
        <f>AU805*$D815</f>
        <v/>
      </c>
      <c r="AV815" s="47">
        <f>AV805*$D815</f>
        <v/>
      </c>
      <c r="AW815" s="47">
        <f>AW805*$D815</f>
        <v/>
      </c>
      <c r="AX815" s="47">
        <f>AX805*$D815</f>
        <v/>
      </c>
      <c r="AY815" s="47">
        <f>AY805*$D815</f>
        <v/>
      </c>
      <c r="AZ815" s="47">
        <f>AZ805*$D815</f>
        <v/>
      </c>
      <c r="BA815" s="48">
        <f>SCALE(BA805,$D815)</f>
        <v/>
      </c>
    </row>
    <row r="816" hidden="1" outlineLevel="1">
      <c r="A816" s="14" t="inlineStr">
        <is>
          <t>reteff</t>
        </is>
      </c>
      <c r="B816" s="14" t="inlineStr">
        <is>
          <t>oop</t>
        </is>
      </c>
      <c r="C816" s="14" t="inlineStr">
        <is>
          <t>pow</t>
        </is>
      </c>
      <c r="D816" s="45">
        <f>INDEX(Inputs_power!$F$5:$F$13,MATCH($B816,Inputs_power!$A$5:$A$13,0))</f>
        <v/>
      </c>
      <c r="E816" s="39" t="n"/>
      <c r="F816" s="39" t="n"/>
      <c r="G816" s="39" t="n"/>
      <c r="H816" s="14">
        <f>INDEX(VarLab,MATCH($A816,VarKey,0))&amp;INDEX(MemLab,MATCH($C816&amp;"|"&amp;$B816,MemKey,0))</f>
        <v/>
      </c>
      <c r="I816" s="14">
        <f>INDEX(VarUnit,MATCH($A816,VarKey,0))</f>
        <v/>
      </c>
      <c r="J816" s="14">
        <f>INDEX(VarSrc,MATCH($A816,VarKey,0))</f>
        <v/>
      </c>
      <c r="K816" s="11">
        <f>CodePrefix&amp;$A816&amp;IF($C816="","","."&amp;$C816&amp;"."&amp;$B816)&amp;INDEX(VarEnd,MATCH($A816,VarKey,0))&amp;K$5</f>
        <v/>
      </c>
      <c r="L816" s="46">
        <f>L806*$D816</f>
        <v/>
      </c>
      <c r="M816" s="47">
        <f>M806*$D816</f>
        <v/>
      </c>
      <c r="N816" s="47">
        <f>N806*$D816</f>
        <v/>
      </c>
      <c r="O816" s="47">
        <f>O806*$D816</f>
        <v/>
      </c>
      <c r="P816" s="47">
        <f>P806*$D816</f>
        <v/>
      </c>
      <c r="Q816" s="47">
        <f>Q806*$D816</f>
        <v/>
      </c>
      <c r="R816" s="47">
        <f>R806*$D816</f>
        <v/>
      </c>
      <c r="S816" s="47">
        <f>S806*$D816</f>
        <v/>
      </c>
      <c r="T816" s="47">
        <f>T806*$D816</f>
        <v/>
      </c>
      <c r="U816" s="47">
        <f>U806*$D816</f>
        <v/>
      </c>
      <c r="V816" s="47">
        <f>V806*$D816</f>
        <v/>
      </c>
      <c r="W816" s="47">
        <f>W806*$D816</f>
        <v/>
      </c>
      <c r="X816" s="47">
        <f>X806*$D816</f>
        <v/>
      </c>
      <c r="Y816" s="47">
        <f>Y806*$D816</f>
        <v/>
      </c>
      <c r="Z816" s="47">
        <f>Z806*$D816</f>
        <v/>
      </c>
      <c r="AA816" s="47">
        <f>AA806*$D816</f>
        <v/>
      </c>
      <c r="AB816" s="47">
        <f>AB806*$D816</f>
        <v/>
      </c>
      <c r="AC816" s="47">
        <f>AC806*$D816</f>
        <v/>
      </c>
      <c r="AD816" s="47">
        <f>AD806*$D816</f>
        <v/>
      </c>
      <c r="AE816" s="48">
        <f>SCALE(AE806,$D816)</f>
        <v/>
      </c>
      <c r="AG816" s="11">
        <f>CodePrefix&amp;$A816&amp;IF($C816="","","."&amp;$C816&amp;"."&amp;$B816)&amp;INDEX(VarEnd,MATCH($A816,VarKey,0))&amp;AG$5</f>
        <v/>
      </c>
      <c r="AH816" s="46">
        <f>AH806*$D816</f>
        <v/>
      </c>
      <c r="AI816" s="47">
        <f>AI806*$D816</f>
        <v/>
      </c>
      <c r="AJ816" s="47">
        <f>AJ806*$D816</f>
        <v/>
      </c>
      <c r="AK816" s="47">
        <f>AK806*$D816</f>
        <v/>
      </c>
      <c r="AL816" s="47">
        <f>AL806*$D816</f>
        <v/>
      </c>
      <c r="AM816" s="47">
        <f>AM806*$D816</f>
        <v/>
      </c>
      <c r="AN816" s="47">
        <f>AN806*$D816</f>
        <v/>
      </c>
      <c r="AO816" s="47">
        <f>AO806*$D816</f>
        <v/>
      </c>
      <c r="AP816" s="47">
        <f>AP806*$D816</f>
        <v/>
      </c>
      <c r="AQ816" s="47">
        <f>AQ806*$D816</f>
        <v/>
      </c>
      <c r="AR816" s="47">
        <f>AR806*$D816</f>
        <v/>
      </c>
      <c r="AS816" s="47">
        <f>AS806*$D816</f>
        <v/>
      </c>
      <c r="AT816" s="47">
        <f>AT806*$D816</f>
        <v/>
      </c>
      <c r="AU816" s="47">
        <f>AU806*$D816</f>
        <v/>
      </c>
      <c r="AV816" s="47">
        <f>AV806*$D816</f>
        <v/>
      </c>
      <c r="AW816" s="47">
        <f>AW806*$D816</f>
        <v/>
      </c>
      <c r="AX816" s="47">
        <f>AX806*$D816</f>
        <v/>
      </c>
      <c r="AY816" s="47">
        <f>AY806*$D816</f>
        <v/>
      </c>
      <c r="AZ816" s="47">
        <f>AZ806*$D816</f>
        <v/>
      </c>
      <c r="BA816" s="48">
        <f>SCALE(BA806,$D816)</f>
        <v/>
      </c>
    </row>
    <row r="817" hidden="1" outlineLevel="1">
      <c r="A817" s="14" t="inlineStr">
        <is>
          <t>reteff</t>
        </is>
      </c>
      <c r="B817" s="14" t="inlineStr">
        <is>
          <t>nuc</t>
        </is>
      </c>
      <c r="C817" s="14" t="inlineStr">
        <is>
          <t>pow</t>
        </is>
      </c>
      <c r="D817" s="45">
        <f>INDEX(Inputs_power!$F$5:$F$13,MATCH($B817,Inputs_power!$A$5:$A$13,0))</f>
        <v/>
      </c>
      <c r="E817" s="39" t="n"/>
      <c r="F817" s="39" t="n"/>
      <c r="G817" s="39" t="n"/>
      <c r="H817" s="14">
        <f>INDEX(VarLab,MATCH($A817,VarKey,0))&amp;INDEX(MemLab,MATCH($C817&amp;"|"&amp;$B817,MemKey,0))</f>
        <v/>
      </c>
      <c r="I817" s="14">
        <f>INDEX(VarUnit,MATCH($A817,VarKey,0))</f>
        <v/>
      </c>
      <c r="J817" s="14">
        <f>INDEX(VarSrc,MATCH($A817,VarKey,0))</f>
        <v/>
      </c>
      <c r="K817" s="11">
        <f>CodePrefix&amp;$A817&amp;IF($C817="","","."&amp;$C817&amp;"."&amp;$B817)&amp;INDEX(VarEnd,MATCH($A817,VarKey,0))&amp;K$5</f>
        <v/>
      </c>
      <c r="L817" s="46">
        <f>L807*$D817</f>
        <v/>
      </c>
      <c r="M817" s="47">
        <f>M807*$D817</f>
        <v/>
      </c>
      <c r="N817" s="47">
        <f>N807*$D817</f>
        <v/>
      </c>
      <c r="O817" s="47">
        <f>O807*$D817</f>
        <v/>
      </c>
      <c r="P817" s="47">
        <f>P807*$D817</f>
        <v/>
      </c>
      <c r="Q817" s="47">
        <f>Q807*$D817</f>
        <v/>
      </c>
      <c r="R817" s="47">
        <f>R807*$D817</f>
        <v/>
      </c>
      <c r="S817" s="47">
        <f>S807*$D817</f>
        <v/>
      </c>
      <c r="T817" s="47">
        <f>T807*$D817</f>
        <v/>
      </c>
      <c r="U817" s="47">
        <f>U807*$D817</f>
        <v/>
      </c>
      <c r="V817" s="47">
        <f>V807*$D817</f>
        <v/>
      </c>
      <c r="W817" s="47">
        <f>W807*$D817</f>
        <v/>
      </c>
      <c r="X817" s="47">
        <f>X807*$D817</f>
        <v/>
      </c>
      <c r="Y817" s="47">
        <f>Y807*$D817</f>
        <v/>
      </c>
      <c r="Z817" s="47">
        <f>Z807*$D817</f>
        <v/>
      </c>
      <c r="AA817" s="47">
        <f>AA807*$D817</f>
        <v/>
      </c>
      <c r="AB817" s="47">
        <f>AB807*$D817</f>
        <v/>
      </c>
      <c r="AC817" s="47">
        <f>AC807*$D817</f>
        <v/>
      </c>
      <c r="AD817" s="47">
        <f>AD807*$D817</f>
        <v/>
      </c>
      <c r="AE817" s="48">
        <f>SCALE(AE807,$D817)</f>
        <v/>
      </c>
      <c r="AG817" s="11">
        <f>CodePrefix&amp;$A817&amp;IF($C817="","","."&amp;$C817&amp;"."&amp;$B817)&amp;INDEX(VarEnd,MATCH($A817,VarKey,0))&amp;AG$5</f>
        <v/>
      </c>
      <c r="AH817" s="46">
        <f>AH807*$D817</f>
        <v/>
      </c>
      <c r="AI817" s="47">
        <f>AI807*$D817</f>
        <v/>
      </c>
      <c r="AJ817" s="47">
        <f>AJ807*$D817</f>
        <v/>
      </c>
      <c r="AK817" s="47">
        <f>AK807*$D817</f>
        <v/>
      </c>
      <c r="AL817" s="47">
        <f>AL807*$D817</f>
        <v/>
      </c>
      <c r="AM817" s="47">
        <f>AM807*$D817</f>
        <v/>
      </c>
      <c r="AN817" s="47">
        <f>AN807*$D817</f>
        <v/>
      </c>
      <c r="AO817" s="47">
        <f>AO807*$D817</f>
        <v/>
      </c>
      <c r="AP817" s="47">
        <f>AP807*$D817</f>
        <v/>
      </c>
      <c r="AQ817" s="47">
        <f>AQ807*$D817</f>
        <v/>
      </c>
      <c r="AR817" s="47">
        <f>AR807*$D817</f>
        <v/>
      </c>
      <c r="AS817" s="47">
        <f>AS807*$D817</f>
        <v/>
      </c>
      <c r="AT817" s="47">
        <f>AT807*$D817</f>
        <v/>
      </c>
      <c r="AU817" s="47">
        <f>AU807*$D817</f>
        <v/>
      </c>
      <c r="AV817" s="47">
        <f>AV807*$D817</f>
        <v/>
      </c>
      <c r="AW817" s="47">
        <f>AW807*$D817</f>
        <v/>
      </c>
      <c r="AX817" s="47">
        <f>AX807*$D817</f>
        <v/>
      </c>
      <c r="AY817" s="47">
        <f>AY807*$D817</f>
        <v/>
      </c>
      <c r="AZ817" s="47">
        <f>AZ807*$D817</f>
        <v/>
      </c>
      <c r="BA817" s="48">
        <f>SCALE(BA807,$D817)</f>
        <v/>
      </c>
    </row>
    <row r="818" hidden="1" outlineLevel="1">
      <c r="A818" s="14" t="inlineStr">
        <is>
          <t>reteff</t>
        </is>
      </c>
      <c r="B818" s="14" t="inlineStr">
        <is>
          <t>wnd</t>
        </is>
      </c>
      <c r="C818" s="14" t="inlineStr">
        <is>
          <t>pow</t>
        </is>
      </c>
      <c r="D818" s="45">
        <f>INDEX(Inputs_power!$F$5:$F$13,MATCH($B818,Inputs_power!$A$5:$A$13,0))</f>
        <v/>
      </c>
      <c r="E818" s="39" t="n"/>
      <c r="F818" s="39" t="n"/>
      <c r="G818" s="39" t="n"/>
      <c r="H818" s="14">
        <f>INDEX(VarLab,MATCH($A818,VarKey,0))&amp;INDEX(MemLab,MATCH($C818&amp;"|"&amp;$B818,MemKey,0))</f>
        <v/>
      </c>
      <c r="I818" s="14">
        <f>INDEX(VarUnit,MATCH($A818,VarKey,0))</f>
        <v/>
      </c>
      <c r="J818" s="14">
        <f>INDEX(VarSrc,MATCH($A818,VarKey,0))</f>
        <v/>
      </c>
      <c r="K818" s="11">
        <f>CodePrefix&amp;$A818&amp;IF($C818="","","."&amp;$C818&amp;"."&amp;$B818)&amp;INDEX(VarEnd,MATCH($A818,VarKey,0))&amp;K$5</f>
        <v/>
      </c>
      <c r="L818" s="46">
        <f>L808*$D818</f>
        <v/>
      </c>
      <c r="M818" s="47">
        <f>M808*$D818</f>
        <v/>
      </c>
      <c r="N818" s="47">
        <f>N808*$D818</f>
        <v/>
      </c>
      <c r="O818" s="47">
        <f>O808*$D818</f>
        <v/>
      </c>
      <c r="P818" s="47">
        <f>P808*$D818</f>
        <v/>
      </c>
      <c r="Q818" s="47">
        <f>Q808*$D818</f>
        <v/>
      </c>
      <c r="R818" s="47">
        <f>R808*$D818</f>
        <v/>
      </c>
      <c r="S818" s="47">
        <f>S808*$D818</f>
        <v/>
      </c>
      <c r="T818" s="47">
        <f>T808*$D818</f>
        <v/>
      </c>
      <c r="U818" s="47">
        <f>U808*$D818</f>
        <v/>
      </c>
      <c r="V818" s="47">
        <f>V808*$D818</f>
        <v/>
      </c>
      <c r="W818" s="47">
        <f>W808*$D818</f>
        <v/>
      </c>
      <c r="X818" s="47">
        <f>X808*$D818</f>
        <v/>
      </c>
      <c r="Y818" s="47">
        <f>Y808*$D818</f>
        <v/>
      </c>
      <c r="Z818" s="47">
        <f>Z808*$D818</f>
        <v/>
      </c>
      <c r="AA818" s="47">
        <f>AA808*$D818</f>
        <v/>
      </c>
      <c r="AB818" s="47">
        <f>AB808*$D818</f>
        <v/>
      </c>
      <c r="AC818" s="47">
        <f>AC808*$D818</f>
        <v/>
      </c>
      <c r="AD818" s="47">
        <f>AD808*$D818</f>
        <v/>
      </c>
      <c r="AE818" s="48">
        <f>SCALE(AE808,$D818)</f>
        <v/>
      </c>
      <c r="AG818" s="11">
        <f>CodePrefix&amp;$A818&amp;IF($C818="","","."&amp;$C818&amp;"."&amp;$B818)&amp;INDEX(VarEnd,MATCH($A818,VarKey,0))&amp;AG$5</f>
        <v/>
      </c>
      <c r="AH818" s="46">
        <f>AH808*$D818</f>
        <v/>
      </c>
      <c r="AI818" s="47">
        <f>AI808*$D818</f>
        <v/>
      </c>
      <c r="AJ818" s="47">
        <f>AJ808*$D818</f>
        <v/>
      </c>
      <c r="AK818" s="47">
        <f>AK808*$D818</f>
        <v/>
      </c>
      <c r="AL818" s="47">
        <f>AL808*$D818</f>
        <v/>
      </c>
      <c r="AM818" s="47">
        <f>AM808*$D818</f>
        <v/>
      </c>
      <c r="AN818" s="47">
        <f>AN808*$D818</f>
        <v/>
      </c>
      <c r="AO818" s="47">
        <f>AO808*$D818</f>
        <v/>
      </c>
      <c r="AP818" s="47">
        <f>AP808*$D818</f>
        <v/>
      </c>
      <c r="AQ818" s="47">
        <f>AQ808*$D818</f>
        <v/>
      </c>
      <c r="AR818" s="47">
        <f>AR808*$D818</f>
        <v/>
      </c>
      <c r="AS818" s="47">
        <f>AS808*$D818</f>
        <v/>
      </c>
      <c r="AT818" s="47">
        <f>AT808*$D818</f>
        <v/>
      </c>
      <c r="AU818" s="47">
        <f>AU808*$D818</f>
        <v/>
      </c>
      <c r="AV818" s="47">
        <f>AV808*$D818</f>
        <v/>
      </c>
      <c r="AW818" s="47">
        <f>AW808*$D818</f>
        <v/>
      </c>
      <c r="AX818" s="47">
        <f>AX808*$D818</f>
        <v/>
      </c>
      <c r="AY818" s="47">
        <f>AY808*$D818</f>
        <v/>
      </c>
      <c r="AZ818" s="47">
        <f>AZ808*$D818</f>
        <v/>
      </c>
      <c r="BA818" s="48">
        <f>SCALE(BA808,$D818)</f>
        <v/>
      </c>
    </row>
    <row r="819" hidden="1" outlineLevel="1">
      <c r="A819" s="14" t="inlineStr">
        <is>
          <t>reteff</t>
        </is>
      </c>
      <c r="B819" s="14" t="inlineStr">
        <is>
          <t>sol</t>
        </is>
      </c>
      <c r="C819" s="14" t="inlineStr">
        <is>
          <t>pow</t>
        </is>
      </c>
      <c r="D819" s="45">
        <f>INDEX(Inputs_power!$F$5:$F$13,MATCH($B819,Inputs_power!$A$5:$A$13,0))</f>
        <v/>
      </c>
      <c r="E819" s="39" t="n"/>
      <c r="F819" s="39" t="n"/>
      <c r="G819" s="39" t="n"/>
      <c r="H819" s="14">
        <f>INDEX(VarLab,MATCH($A819,VarKey,0))&amp;INDEX(MemLab,MATCH($C819&amp;"|"&amp;$B819,MemKey,0))</f>
        <v/>
      </c>
      <c r="I819" s="14">
        <f>INDEX(VarUnit,MATCH($A819,VarKey,0))</f>
        <v/>
      </c>
      <c r="J819" s="14">
        <f>INDEX(VarSrc,MATCH($A819,VarKey,0))</f>
        <v/>
      </c>
      <c r="K819" s="11">
        <f>CodePrefix&amp;$A819&amp;IF($C819="","","."&amp;$C819&amp;"."&amp;$B819)&amp;INDEX(VarEnd,MATCH($A819,VarKey,0))&amp;K$5</f>
        <v/>
      </c>
      <c r="L819" s="46">
        <f>L809*$D819</f>
        <v/>
      </c>
      <c r="M819" s="47">
        <f>M809*$D819</f>
        <v/>
      </c>
      <c r="N819" s="47">
        <f>N809*$D819</f>
        <v/>
      </c>
      <c r="O819" s="47">
        <f>O809*$D819</f>
        <v/>
      </c>
      <c r="P819" s="47">
        <f>P809*$D819</f>
        <v/>
      </c>
      <c r="Q819" s="47">
        <f>Q809*$D819</f>
        <v/>
      </c>
      <c r="R819" s="47">
        <f>R809*$D819</f>
        <v/>
      </c>
      <c r="S819" s="47">
        <f>S809*$D819</f>
        <v/>
      </c>
      <c r="T819" s="47">
        <f>T809*$D819</f>
        <v/>
      </c>
      <c r="U819" s="47">
        <f>U809*$D819</f>
        <v/>
      </c>
      <c r="V819" s="47">
        <f>V809*$D819</f>
        <v/>
      </c>
      <c r="W819" s="47">
        <f>W809*$D819</f>
        <v/>
      </c>
      <c r="X819" s="47">
        <f>X809*$D819</f>
        <v/>
      </c>
      <c r="Y819" s="47">
        <f>Y809*$D819</f>
        <v/>
      </c>
      <c r="Z819" s="47">
        <f>Z809*$D819</f>
        <v/>
      </c>
      <c r="AA819" s="47">
        <f>AA809*$D819</f>
        <v/>
      </c>
      <c r="AB819" s="47">
        <f>AB809*$D819</f>
        <v/>
      </c>
      <c r="AC819" s="47">
        <f>AC809*$D819</f>
        <v/>
      </c>
      <c r="AD819" s="47">
        <f>AD809*$D819</f>
        <v/>
      </c>
      <c r="AE819" s="48">
        <f>SCALE(AE809,$D819)</f>
        <v/>
      </c>
      <c r="AG819" s="11">
        <f>CodePrefix&amp;$A819&amp;IF($C819="","","."&amp;$C819&amp;"."&amp;$B819)&amp;INDEX(VarEnd,MATCH($A819,VarKey,0))&amp;AG$5</f>
        <v/>
      </c>
      <c r="AH819" s="46">
        <f>AH809*$D819</f>
        <v/>
      </c>
      <c r="AI819" s="47">
        <f>AI809*$D819</f>
        <v/>
      </c>
      <c r="AJ819" s="47">
        <f>AJ809*$D819</f>
        <v/>
      </c>
      <c r="AK819" s="47">
        <f>AK809*$D819</f>
        <v/>
      </c>
      <c r="AL819" s="47">
        <f>AL809*$D819</f>
        <v/>
      </c>
      <c r="AM819" s="47">
        <f>AM809*$D819</f>
        <v/>
      </c>
      <c r="AN819" s="47">
        <f>AN809*$D819</f>
        <v/>
      </c>
      <c r="AO819" s="47">
        <f>AO809*$D819</f>
        <v/>
      </c>
      <c r="AP819" s="47">
        <f>AP809*$D819</f>
        <v/>
      </c>
      <c r="AQ819" s="47">
        <f>AQ809*$D819</f>
        <v/>
      </c>
      <c r="AR819" s="47">
        <f>AR809*$D819</f>
        <v/>
      </c>
      <c r="AS819" s="47">
        <f>AS809*$D819</f>
        <v/>
      </c>
      <c r="AT819" s="47">
        <f>AT809*$D819</f>
        <v/>
      </c>
      <c r="AU819" s="47">
        <f>AU809*$D819</f>
        <v/>
      </c>
      <c r="AV819" s="47">
        <f>AV809*$D819</f>
        <v/>
      </c>
      <c r="AW819" s="47">
        <f>AW809*$D819</f>
        <v/>
      </c>
      <c r="AX819" s="47">
        <f>AX809*$D819</f>
        <v/>
      </c>
      <c r="AY819" s="47">
        <f>AY809*$D819</f>
        <v/>
      </c>
      <c r="AZ819" s="47">
        <f>AZ809*$D819</f>
        <v/>
      </c>
      <c r="BA819" s="48">
        <f>SCALE(BA809,$D819)</f>
        <v/>
      </c>
    </row>
    <row r="820" hidden="1" outlineLevel="1">
      <c r="A820" s="14" t="inlineStr">
        <is>
          <t>reteff</t>
        </is>
      </c>
      <c r="B820" s="14" t="inlineStr">
        <is>
          <t>hyd</t>
        </is>
      </c>
      <c r="C820" s="14" t="inlineStr">
        <is>
          <t>pow</t>
        </is>
      </c>
      <c r="D820" s="45">
        <f>INDEX(Inputs_power!$F$5:$F$13,MATCH($B820,Inputs_power!$A$5:$A$13,0))</f>
        <v/>
      </c>
      <c r="E820" s="39" t="n"/>
      <c r="F820" s="39" t="n"/>
      <c r="G820" s="39" t="n"/>
      <c r="H820" s="14">
        <f>INDEX(VarLab,MATCH($A820,VarKey,0))&amp;INDEX(MemLab,MATCH($C820&amp;"|"&amp;$B820,MemKey,0))</f>
        <v/>
      </c>
      <c r="I820" s="14">
        <f>INDEX(VarUnit,MATCH($A820,VarKey,0))</f>
        <v/>
      </c>
      <c r="J820" s="14">
        <f>INDEX(VarSrc,MATCH($A820,VarKey,0))</f>
        <v/>
      </c>
      <c r="K820" s="11">
        <f>CodePrefix&amp;$A820&amp;IF($C820="","","."&amp;$C820&amp;"."&amp;$B820)&amp;INDEX(VarEnd,MATCH($A820,VarKey,0))&amp;K$5</f>
        <v/>
      </c>
      <c r="L820" s="46">
        <f>L810*$D820</f>
        <v/>
      </c>
      <c r="M820" s="47">
        <f>M810*$D820</f>
        <v/>
      </c>
      <c r="N820" s="47">
        <f>N810*$D820</f>
        <v/>
      </c>
      <c r="O820" s="47">
        <f>O810*$D820</f>
        <v/>
      </c>
      <c r="P820" s="47">
        <f>P810*$D820</f>
        <v/>
      </c>
      <c r="Q820" s="47">
        <f>Q810*$D820</f>
        <v/>
      </c>
      <c r="R820" s="47">
        <f>R810*$D820</f>
        <v/>
      </c>
      <c r="S820" s="47">
        <f>S810*$D820</f>
        <v/>
      </c>
      <c r="T820" s="47">
        <f>T810*$D820</f>
        <v/>
      </c>
      <c r="U820" s="47">
        <f>U810*$D820</f>
        <v/>
      </c>
      <c r="V820" s="47">
        <f>V810*$D820</f>
        <v/>
      </c>
      <c r="W820" s="47">
        <f>W810*$D820</f>
        <v/>
      </c>
      <c r="X820" s="47">
        <f>X810*$D820</f>
        <v/>
      </c>
      <c r="Y820" s="47">
        <f>Y810*$D820</f>
        <v/>
      </c>
      <c r="Z820" s="47">
        <f>Z810*$D820</f>
        <v/>
      </c>
      <c r="AA820" s="47">
        <f>AA810*$D820</f>
        <v/>
      </c>
      <c r="AB820" s="47">
        <f>AB810*$D820</f>
        <v/>
      </c>
      <c r="AC820" s="47">
        <f>AC810*$D820</f>
        <v/>
      </c>
      <c r="AD820" s="47">
        <f>AD810*$D820</f>
        <v/>
      </c>
      <c r="AE820" s="48">
        <f>SCALE(AE810,$D820)</f>
        <v/>
      </c>
      <c r="AG820" s="11">
        <f>CodePrefix&amp;$A820&amp;IF($C820="","","."&amp;$C820&amp;"."&amp;$B820)&amp;INDEX(VarEnd,MATCH($A820,VarKey,0))&amp;AG$5</f>
        <v/>
      </c>
      <c r="AH820" s="46">
        <f>AH810*$D820</f>
        <v/>
      </c>
      <c r="AI820" s="47">
        <f>AI810*$D820</f>
        <v/>
      </c>
      <c r="AJ820" s="47">
        <f>AJ810*$D820</f>
        <v/>
      </c>
      <c r="AK820" s="47">
        <f>AK810*$D820</f>
        <v/>
      </c>
      <c r="AL820" s="47">
        <f>AL810*$D820</f>
        <v/>
      </c>
      <c r="AM820" s="47">
        <f>AM810*$D820</f>
        <v/>
      </c>
      <c r="AN820" s="47">
        <f>AN810*$D820</f>
        <v/>
      </c>
      <c r="AO820" s="47">
        <f>AO810*$D820</f>
        <v/>
      </c>
      <c r="AP820" s="47">
        <f>AP810*$D820</f>
        <v/>
      </c>
      <c r="AQ820" s="47">
        <f>AQ810*$D820</f>
        <v/>
      </c>
      <c r="AR820" s="47">
        <f>AR810*$D820</f>
        <v/>
      </c>
      <c r="AS820" s="47">
        <f>AS810*$D820</f>
        <v/>
      </c>
      <c r="AT820" s="47">
        <f>AT810*$D820</f>
        <v/>
      </c>
      <c r="AU820" s="47">
        <f>AU810*$D820</f>
        <v/>
      </c>
      <c r="AV820" s="47">
        <f>AV810*$D820</f>
        <v/>
      </c>
      <c r="AW820" s="47">
        <f>AW810*$D820</f>
        <v/>
      </c>
      <c r="AX820" s="47">
        <f>AX810*$D820</f>
        <v/>
      </c>
      <c r="AY820" s="47">
        <f>AY810*$D820</f>
        <v/>
      </c>
      <c r="AZ820" s="47">
        <f>AZ810*$D820</f>
        <v/>
      </c>
      <c r="BA820" s="48">
        <f>SCALE(BA810,$D820)</f>
        <v/>
      </c>
    </row>
    <row r="821" hidden="1" outlineLevel="1">
      <c r="A821" s="14" t="inlineStr">
        <is>
          <t>reteff</t>
        </is>
      </c>
      <c r="B821" s="14" t="inlineStr">
        <is>
          <t>ore</t>
        </is>
      </c>
      <c r="C821" s="14" t="inlineStr">
        <is>
          <t>pow</t>
        </is>
      </c>
      <c r="D821" s="45">
        <f>INDEX(Inputs_power!$F$5:$F$13,MATCH($B821,Inputs_power!$A$5:$A$13,0))</f>
        <v/>
      </c>
      <c r="E821" s="39" t="n"/>
      <c r="F821" s="39" t="n"/>
      <c r="G821" s="39" t="n"/>
      <c r="H821" s="14">
        <f>INDEX(VarLab,MATCH($A821,VarKey,0))&amp;INDEX(MemLab,MATCH($C821&amp;"|"&amp;$B821,MemKey,0))</f>
        <v/>
      </c>
      <c r="I821" s="14">
        <f>INDEX(VarUnit,MATCH($A821,VarKey,0))</f>
        <v/>
      </c>
      <c r="J821" s="14">
        <f>INDEX(VarSrc,MATCH($A821,VarKey,0))</f>
        <v/>
      </c>
      <c r="K821" s="11">
        <f>CodePrefix&amp;$A821&amp;IF($C821="","","."&amp;$C821&amp;"."&amp;$B821)&amp;INDEX(VarEnd,MATCH($A821,VarKey,0))&amp;K$5</f>
        <v/>
      </c>
      <c r="L821" s="46">
        <f>L811*$D821</f>
        <v/>
      </c>
      <c r="M821" s="47">
        <f>M811*$D821</f>
        <v/>
      </c>
      <c r="N821" s="47">
        <f>N811*$D821</f>
        <v/>
      </c>
      <c r="O821" s="47">
        <f>O811*$D821</f>
        <v/>
      </c>
      <c r="P821" s="47">
        <f>P811*$D821</f>
        <v/>
      </c>
      <c r="Q821" s="47">
        <f>Q811*$D821</f>
        <v/>
      </c>
      <c r="R821" s="47">
        <f>R811*$D821</f>
        <v/>
      </c>
      <c r="S821" s="47">
        <f>S811*$D821</f>
        <v/>
      </c>
      <c r="T821" s="47">
        <f>T811*$D821</f>
        <v/>
      </c>
      <c r="U821" s="47">
        <f>U811*$D821</f>
        <v/>
      </c>
      <c r="V821" s="47">
        <f>V811*$D821</f>
        <v/>
      </c>
      <c r="W821" s="47">
        <f>W811*$D821</f>
        <v/>
      </c>
      <c r="X821" s="47">
        <f>X811*$D821</f>
        <v/>
      </c>
      <c r="Y821" s="47">
        <f>Y811*$D821</f>
        <v/>
      </c>
      <c r="Z821" s="47">
        <f>Z811*$D821</f>
        <v/>
      </c>
      <c r="AA821" s="47">
        <f>AA811*$D821</f>
        <v/>
      </c>
      <c r="AB821" s="47">
        <f>AB811*$D821</f>
        <v/>
      </c>
      <c r="AC821" s="47">
        <f>AC811*$D821</f>
        <v/>
      </c>
      <c r="AD821" s="47">
        <f>AD811*$D821</f>
        <v/>
      </c>
      <c r="AE821" s="48">
        <f>SCALE(AE811,$D821)</f>
        <v/>
      </c>
      <c r="AG821" s="11">
        <f>CodePrefix&amp;$A821&amp;IF($C821="","","."&amp;$C821&amp;"."&amp;$B821)&amp;INDEX(VarEnd,MATCH($A821,VarKey,0))&amp;AG$5</f>
        <v/>
      </c>
      <c r="AH821" s="46">
        <f>AH811*$D821</f>
        <v/>
      </c>
      <c r="AI821" s="47">
        <f>AI811*$D821</f>
        <v/>
      </c>
      <c r="AJ821" s="47">
        <f>AJ811*$D821</f>
        <v/>
      </c>
      <c r="AK821" s="47">
        <f>AK811*$D821</f>
        <v/>
      </c>
      <c r="AL821" s="47">
        <f>AL811*$D821</f>
        <v/>
      </c>
      <c r="AM821" s="47">
        <f>AM811*$D821</f>
        <v/>
      </c>
      <c r="AN821" s="47">
        <f>AN811*$D821</f>
        <v/>
      </c>
      <c r="AO821" s="47">
        <f>AO811*$D821</f>
        <v/>
      </c>
      <c r="AP821" s="47">
        <f>AP811*$D821</f>
        <v/>
      </c>
      <c r="AQ821" s="47">
        <f>AQ811*$D821</f>
        <v/>
      </c>
      <c r="AR821" s="47">
        <f>AR811*$D821</f>
        <v/>
      </c>
      <c r="AS821" s="47">
        <f>AS811*$D821</f>
        <v/>
      </c>
      <c r="AT821" s="47">
        <f>AT811*$D821</f>
        <v/>
      </c>
      <c r="AU821" s="47">
        <f>AU811*$D821</f>
        <v/>
      </c>
      <c r="AV821" s="47">
        <f>AV811*$D821</f>
        <v/>
      </c>
      <c r="AW821" s="47">
        <f>AW811*$D821</f>
        <v/>
      </c>
      <c r="AX821" s="47">
        <f>AX811*$D821</f>
        <v/>
      </c>
      <c r="AY821" s="47">
        <f>AY811*$D821</f>
        <v/>
      </c>
      <c r="AZ821" s="47">
        <f>AZ811*$D821</f>
        <v/>
      </c>
      <c r="BA821" s="48">
        <f>SCALE(BA811,$D821)</f>
        <v/>
      </c>
    </row>
    <row r="822" hidden="1" outlineLevel="1">
      <c r="A822" s="14" t="inlineStr">
        <is>
          <t>reteff</t>
        </is>
      </c>
      <c r="B822" s="14" t="inlineStr">
        <is>
          <t>bio</t>
        </is>
      </c>
      <c r="C822" s="14" t="inlineStr">
        <is>
          <t>pow</t>
        </is>
      </c>
      <c r="D822" s="45">
        <f>INDEX(Inputs_power!$F$5:$F$13,MATCH($B822,Inputs_power!$A$5:$A$13,0))</f>
        <v/>
      </c>
      <c r="E822" s="39" t="n"/>
      <c r="F822" s="39" t="n"/>
      <c r="G822" s="39" t="n"/>
      <c r="H822" s="14">
        <f>INDEX(VarLab,MATCH($A822,VarKey,0))&amp;INDEX(MemLab,MATCH($C822&amp;"|"&amp;$B822,MemKey,0))</f>
        <v/>
      </c>
      <c r="I822" s="14">
        <f>INDEX(VarUnit,MATCH($A822,VarKey,0))</f>
        <v/>
      </c>
      <c r="J822" s="14">
        <f>INDEX(VarSrc,MATCH($A822,VarKey,0))</f>
        <v/>
      </c>
      <c r="K822" s="11">
        <f>CodePrefix&amp;$A822&amp;IF($C822="","","."&amp;$C822&amp;"."&amp;$B822)&amp;INDEX(VarEnd,MATCH($A822,VarKey,0))&amp;K$5</f>
        <v/>
      </c>
      <c r="L822" s="46">
        <f>L812*$D822</f>
        <v/>
      </c>
      <c r="M822" s="47">
        <f>M812*$D822</f>
        <v/>
      </c>
      <c r="N822" s="47">
        <f>N812*$D822</f>
        <v/>
      </c>
      <c r="O822" s="47">
        <f>O812*$D822</f>
        <v/>
      </c>
      <c r="P822" s="47">
        <f>P812*$D822</f>
        <v/>
      </c>
      <c r="Q822" s="47">
        <f>Q812*$D822</f>
        <v/>
      </c>
      <c r="R822" s="47">
        <f>R812*$D822</f>
        <v/>
      </c>
      <c r="S822" s="47">
        <f>S812*$D822</f>
        <v/>
      </c>
      <c r="T822" s="47">
        <f>T812*$D822</f>
        <v/>
      </c>
      <c r="U822" s="47">
        <f>U812*$D822</f>
        <v/>
      </c>
      <c r="V822" s="47">
        <f>V812*$D822</f>
        <v/>
      </c>
      <c r="W822" s="47">
        <f>W812*$D822</f>
        <v/>
      </c>
      <c r="X822" s="47">
        <f>X812*$D822</f>
        <v/>
      </c>
      <c r="Y822" s="47">
        <f>Y812*$D822</f>
        <v/>
      </c>
      <c r="Z822" s="47">
        <f>Z812*$D822</f>
        <v/>
      </c>
      <c r="AA822" s="47">
        <f>AA812*$D822</f>
        <v/>
      </c>
      <c r="AB822" s="47">
        <f>AB812*$D822</f>
        <v/>
      </c>
      <c r="AC822" s="47">
        <f>AC812*$D822</f>
        <v/>
      </c>
      <c r="AD822" s="47">
        <f>AD812*$D822</f>
        <v/>
      </c>
      <c r="AE822" s="48">
        <f>SCALE(AE812,$D822)</f>
        <v/>
      </c>
      <c r="AG822" s="11">
        <f>CodePrefix&amp;$A822&amp;IF($C822="","","."&amp;$C822&amp;"."&amp;$B822)&amp;INDEX(VarEnd,MATCH($A822,VarKey,0))&amp;AG$5</f>
        <v/>
      </c>
      <c r="AH822" s="46">
        <f>AH812*$D822</f>
        <v/>
      </c>
      <c r="AI822" s="47">
        <f>AI812*$D822</f>
        <v/>
      </c>
      <c r="AJ822" s="47">
        <f>AJ812*$D822</f>
        <v/>
      </c>
      <c r="AK822" s="47">
        <f>AK812*$D822</f>
        <v/>
      </c>
      <c r="AL822" s="47">
        <f>AL812*$D822</f>
        <v/>
      </c>
      <c r="AM822" s="47">
        <f>AM812*$D822</f>
        <v/>
      </c>
      <c r="AN822" s="47">
        <f>AN812*$D822</f>
        <v/>
      </c>
      <c r="AO822" s="47">
        <f>AO812*$D822</f>
        <v/>
      </c>
      <c r="AP822" s="47">
        <f>AP812*$D822</f>
        <v/>
      </c>
      <c r="AQ822" s="47">
        <f>AQ812*$D822</f>
        <v/>
      </c>
      <c r="AR822" s="47">
        <f>AR812*$D822</f>
        <v/>
      </c>
      <c r="AS822" s="47">
        <f>AS812*$D822</f>
        <v/>
      </c>
      <c r="AT822" s="47">
        <f>AT812*$D822</f>
        <v/>
      </c>
      <c r="AU822" s="47">
        <f>AU812*$D822</f>
        <v/>
      </c>
      <c r="AV822" s="47">
        <f>AV812*$D822</f>
        <v/>
      </c>
      <c r="AW822" s="47">
        <f>AW812*$D822</f>
        <v/>
      </c>
      <c r="AX822" s="47">
        <f>AX812*$D822</f>
        <v/>
      </c>
      <c r="AY822" s="47">
        <f>AY812*$D822</f>
        <v/>
      </c>
      <c r="AZ822" s="47">
        <f>AZ812*$D822</f>
        <v/>
      </c>
      <c r="BA822" s="48">
        <f>SCALE(BA812,$D822)</f>
        <v/>
      </c>
    </row>
    <row r="823" hidden="1" outlineLevel="1"/>
    <row r="824" hidden="1" outlineLevel="1">
      <c r="A824" s="14" t="inlineStr">
        <is>
          <t>egrow</t>
        </is>
      </c>
      <c r="B824" s="14" t="inlineStr"/>
      <c r="C824" s="14" t="inlineStr"/>
      <c r="D824" s="39" t="n"/>
      <c r="E824" s="39" t="n"/>
      <c r="F824" s="39" t="n"/>
      <c r="G824" s="39" t="n"/>
      <c r="H824" s="14">
        <f>INDEX(VarLab,MATCH($A824,VarKey,0))&amp;INDEX(MemLab,MATCH($C824&amp;"|"&amp;$B824,MemKey,0))</f>
        <v/>
      </c>
      <c r="I824" s="14">
        <f>INDEX(VarUnit,MATCH($A824,VarKey,0))</f>
        <v/>
      </c>
      <c r="J824" s="14">
        <f>INDEX(VarSrc,MATCH($A824,VarKey,0))</f>
        <v/>
      </c>
      <c r="K824" s="11">
        <f>CodePrefix&amp;$A824&amp;IF($C824="","","."&amp;$C824&amp;"."&amp;$B824)&amp;INDEX(VarEnd,MATCH($A824,VarKey,0))&amp;K$5</f>
        <v/>
      </c>
      <c r="L824" s="46">
        <f>MAX(0,L$849+L$850)</f>
        <v/>
      </c>
      <c r="M824" s="47">
        <f>MAX(0,M$849+M$850-L$734-(SUM(L$814:L$822)-L$814))</f>
        <v/>
      </c>
      <c r="N824" s="47">
        <f>MAX(0,N$849+N$850-M$734-(SUM(M$814:M$822)-M$814))</f>
        <v/>
      </c>
      <c r="O824" s="47">
        <f>MAX(0,O$849+O$850-N$734-(SUM(N$814:N$822)-N$814))</f>
        <v/>
      </c>
      <c r="P824" s="47">
        <f>MAX(0,P$849+P$850-O$734-(SUM(O$814:O$822)-O$814))</f>
        <v/>
      </c>
      <c r="Q824" s="47">
        <f>MAX(0,Q$849+Q$850-P$734-(SUM(P$814:P$822)-P$814))</f>
        <v/>
      </c>
      <c r="R824" s="47">
        <f>MAX(0,R$849+R$850-Q$734-(SUM(Q$814:Q$822)-Q$814))</f>
        <v/>
      </c>
      <c r="S824" s="47">
        <f>MAX(0,S$849+S$850-R$734-(SUM(R$814:R$822)-R$814))</f>
        <v/>
      </c>
      <c r="T824" s="47">
        <f>MAX(0,T$849+T$850-S$734-(SUM(S$814:S$822)-S$814))</f>
        <v/>
      </c>
      <c r="U824" s="47">
        <f>MAX(0,U$849+U$850-T$734-(SUM(T$814:T$822)-T$814))</f>
        <v/>
      </c>
      <c r="V824" s="47">
        <f>MAX(0,V$849+V$850-U$734-(SUM(U$814:U$822)-U$814))</f>
        <v/>
      </c>
      <c r="W824" s="47">
        <f>MAX(0,W$849+W$850-V$734-(SUM(V$814:V$822)-V$814))</f>
        <v/>
      </c>
      <c r="X824" s="47">
        <f>MAX(0,X$849+X$850-W$734-(SUM(W$814:W$822)-W$814))</f>
        <v/>
      </c>
      <c r="Y824" s="47">
        <f>MAX(0,Y$849+Y$850-X$734-(SUM(X$814:X$822)-X$814))</f>
        <v/>
      </c>
      <c r="Z824" s="47">
        <f>MAX(0,Z$849+Z$850-Y$734-(SUM(Y$814:Y$822)-Y$814))</f>
        <v/>
      </c>
      <c r="AA824" s="47">
        <f>MAX(0,AA$849+AA$850-Z$734-(SUM(Z$814:Z$822)-Z$814))</f>
        <v/>
      </c>
      <c r="AB824" s="47">
        <f>MAX(0,AB$849+AB$850-AA$734-(SUM(AA$814:AA$822)-AA$814))</f>
        <v/>
      </c>
      <c r="AC824" s="47">
        <f>MAX(0,AC$849+AC$850-AB$734-(SUM(AB$814:AB$822)-AB$814))</f>
        <v/>
      </c>
      <c r="AD824" s="47">
        <f>MAX(0,AD$849+AD$850-AC$734-(SUM(AC$814:AC$822)-AC$814))</f>
        <v/>
      </c>
      <c r="AE824" s="48">
        <f>EARLYROOM(AE$849,AE$850,AD$734,SUM(AD$814:AD$822)-AD$814)</f>
        <v/>
      </c>
      <c r="AG824" s="11">
        <f>CodePrefix&amp;$A824&amp;IF($C824="","","."&amp;$C824&amp;"."&amp;$B824)&amp;INDEX(VarEnd,MATCH($A824,VarKey,0))&amp;AG$5</f>
        <v/>
      </c>
      <c r="AH824" s="46">
        <f>MAX(0,AH$849+AH$850)</f>
        <v/>
      </c>
      <c r="AI824" s="47">
        <f>MAX(0,AI$849+AI$850-AH$734-(SUM(AH$814:AH$822)-AH$814))</f>
        <v/>
      </c>
      <c r="AJ824" s="47">
        <f>MAX(0,AJ$849+AJ$850-AI$734-(SUM(AI$814:AI$822)-AI$814))</f>
        <v/>
      </c>
      <c r="AK824" s="47">
        <f>MAX(0,AK$849+AK$850-AJ$734-(SUM(AJ$814:AJ$822)-AJ$814))</f>
        <v/>
      </c>
      <c r="AL824" s="47">
        <f>MAX(0,AL$849+AL$850-AK$734-(SUM(AK$814:AK$822)-AK$814))</f>
        <v/>
      </c>
      <c r="AM824" s="47">
        <f>MAX(0,AM$849+AM$850-AL$734-(SUM(AL$814:AL$822)-AL$814))</f>
        <v/>
      </c>
      <c r="AN824" s="47">
        <f>MAX(0,AN$849+AN$850-AM$734-(SUM(AM$814:AM$822)-AM$814))</f>
        <v/>
      </c>
      <c r="AO824" s="47">
        <f>MAX(0,AO$849+AO$850-AN$734-(SUM(AN$814:AN$822)-AN$814))</f>
        <v/>
      </c>
      <c r="AP824" s="47">
        <f>MAX(0,AP$849+AP$850-AO$734-(SUM(AO$814:AO$822)-AO$814))</f>
        <v/>
      </c>
      <c r="AQ824" s="47">
        <f>MAX(0,AQ$849+AQ$850-AP$734-(SUM(AP$814:AP$822)-AP$814))</f>
        <v/>
      </c>
      <c r="AR824" s="47">
        <f>MAX(0,AR$849+AR$850-AQ$734-(SUM(AQ$814:AQ$822)-AQ$814))</f>
        <v/>
      </c>
      <c r="AS824" s="47">
        <f>MAX(0,AS$849+AS$850-AR$734-(SUM(AR$814:AR$822)-AR$814))</f>
        <v/>
      </c>
      <c r="AT824" s="47">
        <f>MAX(0,AT$849+AT$850-AS$734-(SUM(AS$814:AS$822)-AS$814))</f>
        <v/>
      </c>
      <c r="AU824" s="47">
        <f>MAX(0,AU$849+AU$850-AT$734-(SUM(AT$814:AT$822)-AT$814))</f>
        <v/>
      </c>
      <c r="AV824" s="47">
        <f>MAX(0,AV$849+AV$850-AU$734-(SUM(AU$814:AU$822)-AU$814))</f>
        <v/>
      </c>
      <c r="AW824" s="47">
        <f>MAX(0,AW$849+AW$850-AV$734-(SUM(AV$814:AV$822)-AV$814))</f>
        <v/>
      </c>
      <c r="AX824" s="47">
        <f>MAX(0,AX$849+AX$850-AW$734-(SUM(AW$814:AW$822)-AW$814))</f>
        <v/>
      </c>
      <c r="AY824" s="47">
        <f>MAX(0,AY$849+AY$850-AX$734-(SUM(AX$814:AX$822)-AX$814))</f>
        <v/>
      </c>
      <c r="AZ824" s="47">
        <f>MAX(0,AZ$849+AZ$850-AY$734-(SUM(AY$814:AY$822)-AY$814))</f>
        <v/>
      </c>
      <c r="BA824" s="48">
        <f>EARLYROOM(BA$849,BA$850,AZ$734,SUM(AZ$814:AZ$822)-AZ$814)</f>
        <v/>
      </c>
    </row>
    <row r="825" hidden="1" outlineLevel="1">
      <c r="A825" s="14" t="inlineStr">
        <is>
          <t>ecmin</t>
        </is>
      </c>
      <c r="B825" s="14" t="inlineStr"/>
      <c r="C825" s="14" t="inlineStr"/>
      <c r="D825" s="39" t="n"/>
      <c r="E825" s="39" t="n"/>
      <c r="F825" s="39" t="n"/>
      <c r="G825" s="39" t="n"/>
      <c r="H825" s="14">
        <f>INDEX(VarLab,MATCH($A825,VarKey,0))&amp;INDEX(MemLab,MATCH($C825&amp;"|"&amp;$B825,MemKey,0))</f>
        <v/>
      </c>
      <c r="I825" s="14">
        <f>INDEX(VarUnit,MATCH($A825,VarKey,0))</f>
        <v/>
      </c>
      <c r="J825" s="14">
        <f>INDEX(VarSrc,MATCH($A825,VarKey,0))</f>
        <v/>
      </c>
      <c r="K825" s="11">
        <f>CodePrefix&amp;$A825&amp;IF($C825="","","."&amp;$C825&amp;"."&amp;$B825)&amp;INDEX(VarEnd,MATCH($A825,VarKey,0))&amp;K$5</f>
        <v/>
      </c>
      <c r="L825" s="15">
        <f>MIN(L$571,L$629,L$630)</f>
        <v/>
      </c>
      <c r="M825" s="16">
        <f>MIN(M$571,M$629,M$630)</f>
        <v/>
      </c>
      <c r="N825" s="16">
        <f>MIN(N$571,N$629,N$630)</f>
        <v/>
      </c>
      <c r="O825" s="16">
        <f>MIN(O$571,O$629,O$630)</f>
        <v/>
      </c>
      <c r="P825" s="16">
        <f>MIN(P$571,P$629,P$630)</f>
        <v/>
      </c>
      <c r="Q825" s="16">
        <f>MIN(Q$571,Q$629,Q$630)</f>
        <v/>
      </c>
      <c r="R825" s="16">
        <f>MIN(R$571,R$629,R$630)</f>
        <v/>
      </c>
      <c r="S825" s="16">
        <f>MIN(S$571,S$629,S$630)</f>
        <v/>
      </c>
      <c r="T825" s="16">
        <f>MIN(T$571,T$629,T$630)</f>
        <v/>
      </c>
      <c r="U825" s="16">
        <f>MIN(U$571,U$629,U$630)</f>
        <v/>
      </c>
      <c r="V825" s="16">
        <f>MIN(V$571,V$629,V$630)</f>
        <v/>
      </c>
      <c r="W825" s="16">
        <f>MIN(W$571,W$629,W$630)</f>
        <v/>
      </c>
      <c r="X825" s="16">
        <f>MIN(X$571,X$629,X$630)</f>
        <v/>
      </c>
      <c r="Y825" s="16">
        <f>MIN(Y$571,Y$629,Y$630)</f>
        <v/>
      </c>
      <c r="Z825" s="16">
        <f>MIN(Z$571,Z$629,Z$630)</f>
        <v/>
      </c>
      <c r="AA825" s="16">
        <f>MIN(AA$571,AA$629,AA$630)</f>
        <v/>
      </c>
      <c r="AB825" s="16">
        <f>MIN(AB$571,AB$629,AB$630)</f>
        <v/>
      </c>
      <c r="AC825" s="16">
        <f>MIN(AC$571,AC$629,AC$630)</f>
        <v/>
      </c>
      <c r="AD825" s="16">
        <f>MIN(AD$571,AD$629,AD$630)</f>
        <v/>
      </c>
      <c r="AE825" s="49">
        <f>LOWEST3(AE$571,AE$629,AE$630)</f>
        <v/>
      </c>
      <c r="AG825" s="11">
        <f>CodePrefix&amp;$A825&amp;IF($C825="","","."&amp;$C825&amp;"."&amp;$B825)&amp;INDEX(VarEnd,MATCH($A825,VarKey,0))&amp;AG$5</f>
        <v/>
      </c>
      <c r="AH825" s="15">
        <f>MIN(AH$571,AH$629,AH$630)</f>
        <v/>
      </c>
      <c r="AI825" s="16">
        <f>MIN(AI$571,AI$629,AI$630)</f>
        <v/>
      </c>
      <c r="AJ825" s="16">
        <f>MIN(AJ$571,AJ$629,AJ$630)</f>
        <v/>
      </c>
      <c r="AK825" s="16">
        <f>MIN(AK$571,AK$629,AK$630)</f>
        <v/>
      </c>
      <c r="AL825" s="16">
        <f>MIN(AL$571,AL$629,AL$630)</f>
        <v/>
      </c>
      <c r="AM825" s="16">
        <f>MIN(AM$571,AM$629,AM$630)</f>
        <v/>
      </c>
      <c r="AN825" s="16">
        <f>MIN(AN$571,AN$629,AN$630)</f>
        <v/>
      </c>
      <c r="AO825" s="16">
        <f>MIN(AO$571,AO$629,AO$630)</f>
        <v/>
      </c>
      <c r="AP825" s="16">
        <f>MIN(AP$571,AP$629,AP$630)</f>
        <v/>
      </c>
      <c r="AQ825" s="16">
        <f>MIN(AQ$571,AQ$629,AQ$630)</f>
        <v/>
      </c>
      <c r="AR825" s="16">
        <f>MIN(AR$571,AR$629,AR$630)</f>
        <v/>
      </c>
      <c r="AS825" s="16">
        <f>MIN(AS$571,AS$629,AS$630)</f>
        <v/>
      </c>
      <c r="AT825" s="16">
        <f>MIN(AT$571,AT$629,AT$630)</f>
        <v/>
      </c>
      <c r="AU825" s="16">
        <f>MIN(AU$571,AU$629,AU$630)</f>
        <v/>
      </c>
      <c r="AV825" s="16">
        <f>MIN(AV$571,AV$629,AV$630)</f>
        <v/>
      </c>
      <c r="AW825" s="16">
        <f>MIN(AW$571,AW$629,AW$630)</f>
        <v/>
      </c>
      <c r="AX825" s="16">
        <f>MIN(AX$571,AX$629,AX$630)</f>
        <v/>
      </c>
      <c r="AY825" s="16">
        <f>MIN(AY$571,AY$629,AY$630)</f>
        <v/>
      </c>
      <c r="AZ825" s="16">
        <f>MIN(AZ$571,AZ$629,AZ$630)</f>
        <v/>
      </c>
      <c r="BA825" s="49">
        <f>LOWEST3(BA$571,BA$629,BA$630)</f>
        <v/>
      </c>
    </row>
    <row r="826" hidden="1" outlineLevel="1">
      <c r="A826" s="14" t="inlineStr">
        <is>
          <t>ecshr</t>
        </is>
      </c>
      <c r="B826" s="14" t="inlineStr"/>
      <c r="C826" s="14" t="inlineStr"/>
      <c r="D826" s="45">
        <f>INDEX(PParVal,MATCH("k_invest",PParKey,0))</f>
        <v/>
      </c>
      <c r="E826" s="39" t="n"/>
      <c r="F826" s="39" t="n"/>
      <c r="G826" s="39" t="n"/>
      <c r="H826" s="14">
        <f>INDEX(VarLab,MATCH($A826,VarKey,0))&amp;INDEX(MemLab,MATCH($C826&amp;"|"&amp;$B826,MemKey,0))</f>
        <v/>
      </c>
      <c r="I826" s="14">
        <f>INDEX(VarUnit,MATCH($A826,VarKey,0))</f>
        <v/>
      </c>
      <c r="J826" s="14">
        <f>INDEX(VarSrc,MATCH($A826,VarKey,0))</f>
        <v/>
      </c>
      <c r="K826" s="11">
        <f>CodePrefix&amp;$A826&amp;IF($C826="","","."&amp;$C826&amp;"."&amp;$B826)&amp;INDEX(VarEnd,MATCH($A826,VarKey,0))&amp;K$5</f>
        <v/>
      </c>
      <c r="L826" s="15">
        <f>1/(1+EXP(-$D826*(L$629-L$571)/L$825)+EXP(-$D826*(L$630-L$571)/L$825))</f>
        <v/>
      </c>
      <c r="M826" s="16">
        <f>1/(1+EXP(-$D826*(M$629-M$571)/M$825)+EXP(-$D826*(M$630-M$571)/M$825))</f>
        <v/>
      </c>
      <c r="N826" s="16">
        <f>1/(1+EXP(-$D826*(N$629-N$571)/N$825)+EXP(-$D826*(N$630-N$571)/N$825))</f>
        <v/>
      </c>
      <c r="O826" s="16">
        <f>1/(1+EXP(-$D826*(O$629-O$571)/O$825)+EXP(-$D826*(O$630-O$571)/O$825))</f>
        <v/>
      </c>
      <c r="P826" s="16">
        <f>1/(1+EXP(-$D826*(P$629-P$571)/P$825)+EXP(-$D826*(P$630-P$571)/P$825))</f>
        <v/>
      </c>
      <c r="Q826" s="16">
        <f>1/(1+EXP(-$D826*(Q$629-Q$571)/Q$825)+EXP(-$D826*(Q$630-Q$571)/Q$825))</f>
        <v/>
      </c>
      <c r="R826" s="16">
        <f>1/(1+EXP(-$D826*(R$629-R$571)/R$825)+EXP(-$D826*(R$630-R$571)/R$825))</f>
        <v/>
      </c>
      <c r="S826" s="16">
        <f>1/(1+EXP(-$D826*(S$629-S$571)/S$825)+EXP(-$D826*(S$630-S$571)/S$825))</f>
        <v/>
      </c>
      <c r="T826" s="16">
        <f>1/(1+EXP(-$D826*(T$629-T$571)/T$825)+EXP(-$D826*(T$630-T$571)/T$825))</f>
        <v/>
      </c>
      <c r="U826" s="16">
        <f>1/(1+EXP(-$D826*(U$629-U$571)/U$825)+EXP(-$D826*(U$630-U$571)/U$825))</f>
        <v/>
      </c>
      <c r="V826" s="16">
        <f>1/(1+EXP(-$D826*(V$629-V$571)/V$825)+EXP(-$D826*(V$630-V$571)/V$825))</f>
        <v/>
      </c>
      <c r="W826" s="16">
        <f>1/(1+EXP(-$D826*(W$629-W$571)/W$825)+EXP(-$D826*(W$630-W$571)/W$825))</f>
        <v/>
      </c>
      <c r="X826" s="16">
        <f>1/(1+EXP(-$D826*(X$629-X$571)/X$825)+EXP(-$D826*(X$630-X$571)/X$825))</f>
        <v/>
      </c>
      <c r="Y826" s="16">
        <f>1/(1+EXP(-$D826*(Y$629-Y$571)/Y$825)+EXP(-$D826*(Y$630-Y$571)/Y$825))</f>
        <v/>
      </c>
      <c r="Z826" s="16">
        <f>1/(1+EXP(-$D826*(Z$629-Z$571)/Z$825)+EXP(-$D826*(Z$630-Z$571)/Z$825))</f>
        <v/>
      </c>
      <c r="AA826" s="16">
        <f>1/(1+EXP(-$D826*(AA$629-AA$571)/AA$825)+EXP(-$D826*(AA$630-AA$571)/AA$825))</f>
        <v/>
      </c>
      <c r="AB826" s="16">
        <f>1/(1+EXP(-$D826*(AB$629-AB$571)/AB$825)+EXP(-$D826*(AB$630-AB$571)/AB$825))</f>
        <v/>
      </c>
      <c r="AC826" s="16">
        <f>1/(1+EXP(-$D826*(AC$629-AC$571)/AC$825)+EXP(-$D826*(AC$630-AC$571)/AC$825))</f>
        <v/>
      </c>
      <c r="AD826" s="16">
        <f>1/(1+EXP(-$D826*(AD$629-AD$571)/AD$825)+EXP(-$D826*(AD$630-AD$571)/AD$825))</f>
        <v/>
      </c>
      <c r="AE826" s="49">
        <f>COALSHARE($D826,AE$571,AE$629,AE$630,AE$825)</f>
        <v/>
      </c>
      <c r="AG826" s="11">
        <f>CodePrefix&amp;$A826&amp;IF($C826="","","."&amp;$C826&amp;"."&amp;$B826)&amp;INDEX(VarEnd,MATCH($A826,VarKey,0))&amp;AG$5</f>
        <v/>
      </c>
      <c r="AH826" s="15">
        <f>1/(1+EXP(-$D826*(AH$629-AH$571)/AH$825)+EXP(-$D826*(AH$630-AH$571)/AH$825))</f>
        <v/>
      </c>
      <c r="AI826" s="16">
        <f>1/(1+EXP(-$D826*(AI$629-AI$571)/AI$825)+EXP(-$D826*(AI$630-AI$571)/AI$825))</f>
        <v/>
      </c>
      <c r="AJ826" s="16">
        <f>1/(1+EXP(-$D826*(AJ$629-AJ$571)/AJ$825)+EXP(-$D826*(AJ$630-AJ$571)/AJ$825))</f>
        <v/>
      </c>
      <c r="AK826" s="16">
        <f>1/(1+EXP(-$D826*(AK$629-AK$571)/AK$825)+EXP(-$D826*(AK$630-AK$571)/AK$825))</f>
        <v/>
      </c>
      <c r="AL826" s="16">
        <f>1/(1+EXP(-$D826*(AL$629-AL$571)/AL$825)+EXP(-$D826*(AL$630-AL$571)/AL$825))</f>
        <v/>
      </c>
      <c r="AM826" s="16">
        <f>1/(1+EXP(-$D826*(AM$629-AM$571)/AM$825)+EXP(-$D826*(AM$630-AM$571)/AM$825))</f>
        <v/>
      </c>
      <c r="AN826" s="16">
        <f>1/(1+EXP(-$D826*(AN$629-AN$571)/AN$825)+EXP(-$D826*(AN$630-AN$571)/AN$825))</f>
        <v/>
      </c>
      <c r="AO826" s="16">
        <f>1/(1+EXP(-$D826*(AO$629-AO$571)/AO$825)+EXP(-$D826*(AO$630-AO$571)/AO$825))</f>
        <v/>
      </c>
      <c r="AP826" s="16">
        <f>1/(1+EXP(-$D826*(AP$629-AP$571)/AP$825)+EXP(-$D826*(AP$630-AP$571)/AP$825))</f>
        <v/>
      </c>
      <c r="AQ826" s="16">
        <f>1/(1+EXP(-$D826*(AQ$629-AQ$571)/AQ$825)+EXP(-$D826*(AQ$630-AQ$571)/AQ$825))</f>
        <v/>
      </c>
      <c r="AR826" s="16">
        <f>1/(1+EXP(-$D826*(AR$629-AR$571)/AR$825)+EXP(-$D826*(AR$630-AR$571)/AR$825))</f>
        <v/>
      </c>
      <c r="AS826" s="16">
        <f>1/(1+EXP(-$D826*(AS$629-AS$571)/AS$825)+EXP(-$D826*(AS$630-AS$571)/AS$825))</f>
        <v/>
      </c>
      <c r="AT826" s="16">
        <f>1/(1+EXP(-$D826*(AT$629-AT$571)/AT$825)+EXP(-$D826*(AT$630-AT$571)/AT$825))</f>
        <v/>
      </c>
      <c r="AU826" s="16">
        <f>1/(1+EXP(-$D826*(AU$629-AU$571)/AU$825)+EXP(-$D826*(AU$630-AU$571)/AU$825))</f>
        <v/>
      </c>
      <c r="AV826" s="16">
        <f>1/(1+EXP(-$D826*(AV$629-AV$571)/AV$825)+EXP(-$D826*(AV$630-AV$571)/AV$825))</f>
        <v/>
      </c>
      <c r="AW826" s="16">
        <f>1/(1+EXP(-$D826*(AW$629-AW$571)/AW$825)+EXP(-$D826*(AW$630-AW$571)/AW$825))</f>
        <v/>
      </c>
      <c r="AX826" s="16">
        <f>1/(1+EXP(-$D826*(AX$629-AX$571)/AX$825)+EXP(-$D826*(AX$630-AX$571)/AX$825))</f>
        <v/>
      </c>
      <c r="AY826" s="16">
        <f>1/(1+EXP(-$D826*(AY$629-AY$571)/AY$825)+EXP(-$D826*(AY$630-AY$571)/AY$825))</f>
        <v/>
      </c>
      <c r="AZ826" s="16">
        <f>1/(1+EXP(-$D826*(AZ$629-AZ$571)/AZ$825)+EXP(-$D826*(AZ$630-AZ$571)/AZ$825))</f>
        <v/>
      </c>
      <c r="BA826" s="49">
        <f>COALSHARE($D826,BA$571,BA$629,BA$630,BA$825)</f>
        <v/>
      </c>
    </row>
    <row r="827" hidden="1" outlineLevel="1">
      <c r="A827" s="14" t="inlineStr">
        <is>
          <t>early</t>
        </is>
      </c>
      <c r="B827" s="14" t="inlineStr"/>
      <c r="C827" s="14" t="inlineStr"/>
      <c r="D827" s="45">
        <f>INDEX(PParVal,MATCH("early_max",PParKey,0))</f>
        <v/>
      </c>
      <c r="E827" s="45">
        <f>INDEX(PParVal,MATCH("early_factor",PParKey,0))</f>
        <v/>
      </c>
      <c r="F827" s="45">
        <f>Inputs_power!$B$60</f>
        <v/>
      </c>
      <c r="G827" s="39" t="n"/>
      <c r="H827" s="14">
        <f>INDEX(VarLab,MATCH($A827,VarKey,0))&amp;INDEX(MemLab,MATCH($C827&amp;"|"&amp;$B827,MemKey,0))</f>
        <v/>
      </c>
      <c r="I827" s="14">
        <f>INDEX(VarUnit,MATCH($A827,VarKey,0))</f>
        <v/>
      </c>
      <c r="J827" s="14">
        <f>INDEX(VarSrc,MATCH($A827,VarKey,0))</f>
        <v/>
      </c>
      <c r="K827" s="11">
        <f>CodePrefix&amp;$A827&amp;IF($C827="","","."&amp;$C827&amp;"."&amp;$B827)&amp;INDEX(VarEnd,MATCH($A827,VarKey,0))&amp;K$5</f>
        <v/>
      </c>
      <c r="L827" s="46">
        <f>MAX(0,MIN(L$784*$D827,L$824)*(1-L$826))/$F827*$E827</f>
        <v/>
      </c>
      <c r="M827" s="47">
        <f>MAX(0,MIN(M$784*$D827,M$824)*(1-M$826))/$F827*$E827</f>
        <v/>
      </c>
      <c r="N827" s="47">
        <f>MAX(0,MIN(N$784*$D827,N$824)*(1-N$826))/$F827*$E827</f>
        <v/>
      </c>
      <c r="O827" s="47">
        <f>MAX(0,MIN(O$784*$D827,O$824)*(1-O$826))/$F827*$E827</f>
        <v/>
      </c>
      <c r="P827" s="47">
        <f>MAX(0,MIN(P$784*$D827,P$824)*(1-P$826))/$F827*$E827</f>
        <v/>
      </c>
      <c r="Q827" s="47">
        <f>MAX(0,MIN(Q$784*$D827,Q$824)*(1-Q$826))/$F827*$E827</f>
        <v/>
      </c>
      <c r="R827" s="47">
        <f>MAX(0,MIN(R$784*$D827,R$824)*(1-R$826))/$F827*$E827</f>
        <v/>
      </c>
      <c r="S827" s="47">
        <f>MAX(0,MIN(S$784*$D827,S$824)*(1-S$826))/$F827*$E827</f>
        <v/>
      </c>
      <c r="T827" s="47">
        <f>MAX(0,MIN(T$784*$D827,T$824)*(1-T$826))/$F827*$E827</f>
        <v/>
      </c>
      <c r="U827" s="47">
        <f>MAX(0,MIN(U$784*$D827,U$824)*(1-U$826))/$F827*$E827</f>
        <v/>
      </c>
      <c r="V827" s="47">
        <f>MAX(0,MIN(V$784*$D827,V$824)*(1-V$826))/$F827*$E827</f>
        <v/>
      </c>
      <c r="W827" s="47">
        <f>MAX(0,MIN(W$784*$D827,W$824)*(1-W$826))/$F827*$E827</f>
        <v/>
      </c>
      <c r="X827" s="47">
        <f>MAX(0,MIN(X$784*$D827,X$824)*(1-X$826))/$F827*$E827</f>
        <v/>
      </c>
      <c r="Y827" s="47">
        <f>MAX(0,MIN(Y$784*$D827,Y$824)*(1-Y$826))/$F827*$E827</f>
        <v/>
      </c>
      <c r="Z827" s="47">
        <f>MAX(0,MIN(Z$784*$D827,Z$824)*(1-Z$826))/$F827*$E827</f>
        <v/>
      </c>
      <c r="AA827" s="47">
        <f>MAX(0,MIN(AA$784*$D827,AA$824)*(1-AA$826))/$F827*$E827</f>
        <v/>
      </c>
      <c r="AB827" s="47">
        <f>MAX(0,MIN(AB$784*$D827,AB$824)*(1-AB$826))/$F827*$E827</f>
        <v/>
      </c>
      <c r="AC827" s="47">
        <f>MAX(0,MIN(AC$784*$D827,AC$824)*(1-AC$826))/$F827*$E827</f>
        <v/>
      </c>
      <c r="AD827" s="47">
        <f>MAX(0,MIN(AD$784*$D827,AD$824)*(1-AD$826))/$F827*$E827</f>
        <v/>
      </c>
      <c r="AE827" s="48">
        <f>EARLYRET(AE$784,$D827,AE$824,AE$826,$E827,$F827)</f>
        <v/>
      </c>
      <c r="AG827" s="11">
        <f>CodePrefix&amp;$A827&amp;IF($C827="","","."&amp;$C827&amp;"."&amp;$B827)&amp;INDEX(VarEnd,MATCH($A827,VarKey,0))&amp;AG$5</f>
        <v/>
      </c>
      <c r="AH827" s="46">
        <f>MAX(0,MIN(AH$784*$D827,AH$824)*(1-AH$826))/$F827*$E827</f>
        <v/>
      </c>
      <c r="AI827" s="47">
        <f>MAX(0,MIN(AI$784*$D827,AI$824)*(1-AI$826))/$F827*$E827</f>
        <v/>
      </c>
      <c r="AJ827" s="47">
        <f>MAX(0,MIN(AJ$784*$D827,AJ$824)*(1-AJ$826))/$F827*$E827</f>
        <v/>
      </c>
      <c r="AK827" s="47">
        <f>MAX(0,MIN(AK$784*$D827,AK$824)*(1-AK$826))/$F827*$E827</f>
        <v/>
      </c>
      <c r="AL827" s="47">
        <f>MAX(0,MIN(AL$784*$D827,AL$824)*(1-AL$826))/$F827*$E827</f>
        <v/>
      </c>
      <c r="AM827" s="47">
        <f>MAX(0,MIN(AM$784*$D827,AM$824)*(1-AM$826))/$F827*$E827</f>
        <v/>
      </c>
      <c r="AN827" s="47">
        <f>MAX(0,MIN(AN$784*$D827,AN$824)*(1-AN$826))/$F827*$E827</f>
        <v/>
      </c>
      <c r="AO827" s="47">
        <f>MAX(0,MIN(AO$784*$D827,AO$824)*(1-AO$826))/$F827*$E827</f>
        <v/>
      </c>
      <c r="AP827" s="47">
        <f>MAX(0,MIN(AP$784*$D827,AP$824)*(1-AP$826))/$F827*$E827</f>
        <v/>
      </c>
      <c r="AQ827" s="47">
        <f>MAX(0,MIN(AQ$784*$D827,AQ$824)*(1-AQ$826))/$F827*$E827</f>
        <v/>
      </c>
      <c r="AR827" s="47">
        <f>MAX(0,MIN(AR$784*$D827,AR$824)*(1-AR$826))/$F827*$E827</f>
        <v/>
      </c>
      <c r="AS827" s="47">
        <f>MAX(0,MIN(AS$784*$D827,AS$824)*(1-AS$826))/$F827*$E827</f>
        <v/>
      </c>
      <c r="AT827" s="47">
        <f>MAX(0,MIN(AT$784*$D827,AT$824)*(1-AT$826))/$F827*$E827</f>
        <v/>
      </c>
      <c r="AU827" s="47">
        <f>MAX(0,MIN(AU$784*$D827,AU$824)*(1-AU$826))/$F827*$E827</f>
        <v/>
      </c>
      <c r="AV827" s="47">
        <f>MAX(0,MIN(AV$784*$D827,AV$824)*(1-AV$826))/$F827*$E827</f>
        <v/>
      </c>
      <c r="AW827" s="47">
        <f>MAX(0,MIN(AW$784*$D827,AW$824)*(1-AW$826))/$F827*$E827</f>
        <v/>
      </c>
      <c r="AX827" s="47">
        <f>MAX(0,MIN(AX$784*$D827,AX$824)*(1-AX$826))/$F827*$E827</f>
        <v/>
      </c>
      <c r="AY827" s="47">
        <f>MAX(0,MIN(AY$784*$D827,AY$824)*(1-AY$826))/$F827*$E827</f>
        <v/>
      </c>
      <c r="AZ827" s="47">
        <f>MAX(0,MIN(AZ$784*$D827,AZ$824)*(1-AZ$826))/$F827*$E827</f>
        <v/>
      </c>
      <c r="BA827" s="48">
        <f>EARLYRET(BA$784,$D827,BA$824,BA$826,$E827,$F827)</f>
        <v/>
      </c>
    </row>
    <row r="828" hidden="1" outlineLevel="1">
      <c r="A828" s="14" t="inlineStr">
        <is>
          <t>kafter</t>
        </is>
      </c>
      <c r="B828" s="14" t="inlineStr"/>
      <c r="C828" s="14" t="inlineStr"/>
      <c r="D828" s="39" t="n"/>
      <c r="E828" s="39" t="n"/>
      <c r="F828" s="39" t="n"/>
      <c r="G828" s="39" t="n"/>
      <c r="H828" s="14">
        <f>INDEX(VarLab,MATCH($A828,VarKey,0))&amp;INDEX(MemLab,MATCH($C828&amp;"|"&amp;$B828,MemKey,0))</f>
        <v/>
      </c>
      <c r="I828" s="14">
        <f>INDEX(VarUnit,MATCH($A828,VarKey,0))</f>
        <v/>
      </c>
      <c r="J828" s="14">
        <f>INDEX(VarSrc,MATCH($A828,VarKey,0))</f>
        <v/>
      </c>
      <c r="K828" s="11">
        <f>CodePrefix&amp;$A828&amp;IF($C828="","","."&amp;$C828&amp;"."&amp;$B828)&amp;INDEX(VarEnd,MATCH($A828,VarKey,0))&amp;K$5</f>
        <v/>
      </c>
      <c r="L828" s="46">
        <f>SUM(L$784:L$792)-SUM(L$814:L$822)</f>
        <v/>
      </c>
      <c r="M828" s="47">
        <f>SUM(M$784:M$792)-SUM(M$814:M$822)</f>
        <v/>
      </c>
      <c r="N828" s="47">
        <f>SUM(N$784:N$792)-SUM(N$814:N$822)</f>
        <v/>
      </c>
      <c r="O828" s="47">
        <f>SUM(O$784:O$792)-SUM(O$814:O$822)</f>
        <v/>
      </c>
      <c r="P828" s="47">
        <f>SUM(P$784:P$792)-SUM(P$814:P$822)</f>
        <v/>
      </c>
      <c r="Q828" s="47">
        <f>SUM(Q$784:Q$792)-SUM(Q$814:Q$822)</f>
        <v/>
      </c>
      <c r="R828" s="47">
        <f>SUM(R$784:R$792)-SUM(R$814:R$822)</f>
        <v/>
      </c>
      <c r="S828" s="47">
        <f>SUM(S$784:S$792)-SUM(S$814:S$822)</f>
        <v/>
      </c>
      <c r="T828" s="47">
        <f>SUM(T$784:T$792)-SUM(T$814:T$822)</f>
        <v/>
      </c>
      <c r="U828" s="47">
        <f>SUM(U$784:U$792)-SUM(U$814:U$822)</f>
        <v/>
      </c>
      <c r="V828" s="47">
        <f>SUM(V$784:V$792)-SUM(V$814:V$822)</f>
        <v/>
      </c>
      <c r="W828" s="47">
        <f>SUM(W$784:W$792)-SUM(W$814:W$822)</f>
        <v/>
      </c>
      <c r="X828" s="47">
        <f>SUM(X$784:X$792)-SUM(X$814:X$822)</f>
        <v/>
      </c>
      <c r="Y828" s="47">
        <f>SUM(Y$784:Y$792)-SUM(Y$814:Y$822)</f>
        <v/>
      </c>
      <c r="Z828" s="47">
        <f>SUM(Z$784:Z$792)-SUM(Z$814:Z$822)</f>
        <v/>
      </c>
      <c r="AA828" s="47">
        <f>SUM(AA$784:AA$792)-SUM(AA$814:AA$822)</f>
        <v/>
      </c>
      <c r="AB828" s="47">
        <f>SUM(AB$784:AB$792)-SUM(AB$814:AB$822)</f>
        <v/>
      </c>
      <c r="AC828" s="47">
        <f>SUM(AC$784:AC$792)-SUM(AC$814:AC$822)</f>
        <v/>
      </c>
      <c r="AD828" s="47">
        <f>SUM(AD$784:AD$792)-SUM(AD$814:AD$822)</f>
        <v/>
      </c>
      <c r="AE828" s="48">
        <f>DIFF(SUM(AE$784:AE$792),SUM(AE$814:AE$822))</f>
        <v/>
      </c>
      <c r="AG828" s="11">
        <f>CodePrefix&amp;$A828&amp;IF($C828="","","."&amp;$C828&amp;"."&amp;$B828)&amp;INDEX(VarEnd,MATCH($A828,VarKey,0))&amp;AG$5</f>
        <v/>
      </c>
      <c r="AH828" s="46">
        <f>SUM(AH$784:AH$792)-SUM(AH$814:AH$822)</f>
        <v/>
      </c>
      <c r="AI828" s="47">
        <f>SUM(AI$784:AI$792)-SUM(AI$814:AI$822)</f>
        <v/>
      </c>
      <c r="AJ828" s="47">
        <f>SUM(AJ$784:AJ$792)-SUM(AJ$814:AJ$822)</f>
        <v/>
      </c>
      <c r="AK828" s="47">
        <f>SUM(AK$784:AK$792)-SUM(AK$814:AK$822)</f>
        <v/>
      </c>
      <c r="AL828" s="47">
        <f>SUM(AL$784:AL$792)-SUM(AL$814:AL$822)</f>
        <v/>
      </c>
      <c r="AM828" s="47">
        <f>SUM(AM$784:AM$792)-SUM(AM$814:AM$822)</f>
        <v/>
      </c>
      <c r="AN828" s="47">
        <f>SUM(AN$784:AN$792)-SUM(AN$814:AN$822)</f>
        <v/>
      </c>
      <c r="AO828" s="47">
        <f>SUM(AO$784:AO$792)-SUM(AO$814:AO$822)</f>
        <v/>
      </c>
      <c r="AP828" s="47">
        <f>SUM(AP$784:AP$792)-SUM(AP$814:AP$822)</f>
        <v/>
      </c>
      <c r="AQ828" s="47">
        <f>SUM(AQ$784:AQ$792)-SUM(AQ$814:AQ$822)</f>
        <v/>
      </c>
      <c r="AR828" s="47">
        <f>SUM(AR$784:AR$792)-SUM(AR$814:AR$822)</f>
        <v/>
      </c>
      <c r="AS828" s="47">
        <f>SUM(AS$784:AS$792)-SUM(AS$814:AS$822)</f>
        <v/>
      </c>
      <c r="AT828" s="47">
        <f>SUM(AT$784:AT$792)-SUM(AT$814:AT$822)</f>
        <v/>
      </c>
      <c r="AU828" s="47">
        <f>SUM(AU$784:AU$792)-SUM(AU$814:AU$822)</f>
        <v/>
      </c>
      <c r="AV828" s="47">
        <f>SUM(AV$784:AV$792)-SUM(AV$814:AV$822)</f>
        <v/>
      </c>
      <c r="AW828" s="47">
        <f>SUM(AW$784:AW$792)-SUM(AW$814:AW$822)</f>
        <v/>
      </c>
      <c r="AX828" s="47">
        <f>SUM(AX$784:AX$792)-SUM(AX$814:AX$822)</f>
        <v/>
      </c>
      <c r="AY828" s="47">
        <f>SUM(AY$784:AY$792)-SUM(AY$814:AY$822)</f>
        <v/>
      </c>
      <c r="AZ828" s="47">
        <f>SUM(AZ$784:AZ$792)-SUM(AZ$814:AZ$822)</f>
        <v/>
      </c>
      <c r="BA828" s="48">
        <f>DIFF(SUM(BA$784:BA$792),SUM(BA$814:BA$822))</f>
        <v/>
      </c>
    </row>
    <row r="829" hidden="1" outlineLevel="1">
      <c r="A829" s="14" t="inlineStr">
        <is>
          <t>need</t>
        </is>
      </c>
      <c r="B829" s="14" t="inlineStr"/>
      <c r="C829" s="14" t="inlineStr"/>
      <c r="D829" s="39" t="n"/>
      <c r="E829" s="39" t="n"/>
      <c r="F829" s="39" t="n"/>
      <c r="G829" s="39" t="n"/>
      <c r="H829" s="14">
        <f>INDEX(VarLab,MATCH($A829,VarKey,0))&amp;INDEX(MemLab,MATCH($C829&amp;"|"&amp;$B829,MemKey,0))</f>
        <v/>
      </c>
      <c r="I829" s="14">
        <f>INDEX(VarUnit,MATCH($A829,VarKey,0))</f>
        <v/>
      </c>
      <c r="J829" s="14">
        <f>INDEX(VarSrc,MATCH($A829,VarKey,0))</f>
        <v/>
      </c>
      <c r="K829" s="11">
        <f>CodePrefix&amp;$A829&amp;IF($C829="","","."&amp;$C829&amp;"."&amp;$B829)&amp;INDEX(VarEnd,MATCH($A829,VarKey,0))&amp;K$5</f>
        <v/>
      </c>
      <c r="L829" s="46">
        <f>MAX(L$696-L$828,0)</f>
        <v/>
      </c>
      <c r="M829" s="47">
        <f>MAX(M$696-M$828,0)</f>
        <v/>
      </c>
      <c r="N829" s="47">
        <f>MAX(N$696-N$828,0)</f>
        <v/>
      </c>
      <c r="O829" s="47">
        <f>MAX(O$696-O$828,0)</f>
        <v/>
      </c>
      <c r="P829" s="47">
        <f>MAX(P$696-P$828,0)</f>
        <v/>
      </c>
      <c r="Q829" s="47">
        <f>MAX(Q$696-Q$828,0)</f>
        <v/>
      </c>
      <c r="R829" s="47">
        <f>MAX(R$696-R$828,0)</f>
        <v/>
      </c>
      <c r="S829" s="47">
        <f>MAX(S$696-S$828,0)</f>
        <v/>
      </c>
      <c r="T829" s="47">
        <f>MAX(T$696-T$828,0)</f>
        <v/>
      </c>
      <c r="U829" s="47">
        <f>MAX(U$696-U$828,0)</f>
        <v/>
      </c>
      <c r="V829" s="47">
        <f>MAX(V$696-V$828,0)</f>
        <v/>
      </c>
      <c r="W829" s="47">
        <f>MAX(W$696-W$828,0)</f>
        <v/>
      </c>
      <c r="X829" s="47">
        <f>MAX(X$696-X$828,0)</f>
        <v/>
      </c>
      <c r="Y829" s="47">
        <f>MAX(Y$696-Y$828,0)</f>
        <v/>
      </c>
      <c r="Z829" s="47">
        <f>MAX(Z$696-Z$828,0)</f>
        <v/>
      </c>
      <c r="AA829" s="47">
        <f>MAX(AA$696-AA$828,0)</f>
        <v/>
      </c>
      <c r="AB829" s="47">
        <f>MAX(AB$696-AB$828,0)</f>
        <v/>
      </c>
      <c r="AC829" s="47">
        <f>MAX(AC$696-AC$828,0)</f>
        <v/>
      </c>
      <c r="AD829" s="47">
        <f>MAX(AD$696-AD$828,0)</f>
        <v/>
      </c>
      <c r="AE829" s="48">
        <f>RESIDUAL(AE$696,AE$828)</f>
        <v/>
      </c>
      <c r="AG829" s="11">
        <f>CodePrefix&amp;$A829&amp;IF($C829="","","."&amp;$C829&amp;"."&amp;$B829)&amp;INDEX(VarEnd,MATCH($A829,VarKey,0))&amp;AG$5</f>
        <v/>
      </c>
      <c r="AH829" s="46">
        <f>MAX(AH$696-AH$828,0)</f>
        <v/>
      </c>
      <c r="AI829" s="47">
        <f>MAX(AI$696-AI$828,0)</f>
        <v/>
      </c>
      <c r="AJ829" s="47">
        <f>MAX(AJ$696-AJ$828,0)</f>
        <v/>
      </c>
      <c r="AK829" s="47">
        <f>MAX(AK$696-AK$828,0)</f>
        <v/>
      </c>
      <c r="AL829" s="47">
        <f>MAX(AL$696-AL$828,0)</f>
        <v/>
      </c>
      <c r="AM829" s="47">
        <f>MAX(AM$696-AM$828,0)</f>
        <v/>
      </c>
      <c r="AN829" s="47">
        <f>MAX(AN$696-AN$828,0)</f>
        <v/>
      </c>
      <c r="AO829" s="47">
        <f>MAX(AO$696-AO$828,0)</f>
        <v/>
      </c>
      <c r="AP829" s="47">
        <f>MAX(AP$696-AP$828,0)</f>
        <v/>
      </c>
      <c r="AQ829" s="47">
        <f>MAX(AQ$696-AQ$828,0)</f>
        <v/>
      </c>
      <c r="AR829" s="47">
        <f>MAX(AR$696-AR$828,0)</f>
        <v/>
      </c>
      <c r="AS829" s="47">
        <f>MAX(AS$696-AS$828,0)</f>
        <v/>
      </c>
      <c r="AT829" s="47">
        <f>MAX(AT$696-AT$828,0)</f>
        <v/>
      </c>
      <c r="AU829" s="47">
        <f>MAX(AU$696-AU$828,0)</f>
        <v/>
      </c>
      <c r="AV829" s="47">
        <f>MAX(AV$696-AV$828,0)</f>
        <v/>
      </c>
      <c r="AW829" s="47">
        <f>MAX(AW$696-AW$828,0)</f>
        <v/>
      </c>
      <c r="AX829" s="47">
        <f>MAX(AX$696-AX$828,0)</f>
        <v/>
      </c>
      <c r="AY829" s="47">
        <f>MAX(AY$696-AY$828,0)</f>
        <v/>
      </c>
      <c r="AZ829" s="47">
        <f>MAX(AZ$696-AZ$828,0)</f>
        <v/>
      </c>
      <c r="BA829" s="48">
        <f>RESIDUAL(BA$696,BA$828)</f>
        <v/>
      </c>
    </row>
    <row r="830" hidden="1" outlineLevel="1"/>
    <row r="831" hidden="1" outlineLevel="1">
      <c r="H831" s="21" t="inlineStr">
        <is>
          <t>L. Investment (MW effective, MW nameplate, USD million): logit on levelised cost within scale-up limits, then the cheapest remaining space; share of new investment in the stock (for B)</t>
        </is>
      </c>
    </row>
    <row r="832" hidden="1" outlineLevel="1">
      <c r="A832" s="14" t="inlineStr">
        <is>
          <t>cmin</t>
        </is>
      </c>
      <c r="B832" s="14" t="inlineStr"/>
      <c r="C832" s="14" t="inlineStr"/>
      <c r="D832" s="45">
        <f>INDEX(PParVal,MATCH("min_cost",PParKey,0))</f>
        <v/>
      </c>
      <c r="E832" s="39" t="n"/>
      <c r="F832" s="39" t="n"/>
      <c r="G832" s="39" t="n"/>
      <c r="H832" s="14">
        <f>INDEX(VarLab,MATCH($A832,VarKey,0))&amp;INDEX(MemLab,MATCH($C832&amp;"|"&amp;$B832,MemKey,0))</f>
        <v/>
      </c>
      <c r="I832" s="14">
        <f>INDEX(VarUnit,MATCH($A832,VarKey,0))</f>
        <v/>
      </c>
      <c r="J832" s="14">
        <f>INDEX(VarSrc,MATCH($A832,VarKey,0))</f>
        <v/>
      </c>
      <c r="K832" s="11">
        <f>CodePrefix&amp;$A832&amp;IF($C832="","","."&amp;$C832&amp;"."&amp;$B832)&amp;INDEX(VarEnd,MATCH($A832,VarKey,0))&amp;K$5</f>
        <v/>
      </c>
      <c r="L832" s="15">
        <f>MAX(_xlfn.MINIFS(L$625:L$633,L$835:L$843,1),$D832)</f>
        <v/>
      </c>
      <c r="M832" s="16">
        <f>MAX(_xlfn.MINIFS(M$625:M$633,M$835:M$843,1),$D832)</f>
        <v/>
      </c>
      <c r="N832" s="16">
        <f>MAX(_xlfn.MINIFS(N$625:N$633,N$835:N$843,1),$D832)</f>
        <v/>
      </c>
      <c r="O832" s="16">
        <f>MAX(_xlfn.MINIFS(O$625:O$633,O$835:O$843,1),$D832)</f>
        <v/>
      </c>
      <c r="P832" s="16">
        <f>MAX(_xlfn.MINIFS(P$625:P$633,P$835:P$843,1),$D832)</f>
        <v/>
      </c>
      <c r="Q832" s="16">
        <f>MAX(_xlfn.MINIFS(Q$625:Q$633,Q$835:Q$843,1),$D832)</f>
        <v/>
      </c>
      <c r="R832" s="16">
        <f>MAX(_xlfn.MINIFS(R$625:R$633,R$835:R$843,1),$D832)</f>
        <v/>
      </c>
      <c r="S832" s="16">
        <f>MAX(_xlfn.MINIFS(S$625:S$633,S$835:S$843,1),$D832)</f>
        <v/>
      </c>
      <c r="T832" s="16">
        <f>MAX(_xlfn.MINIFS(T$625:T$633,T$835:T$843,1),$D832)</f>
        <v/>
      </c>
      <c r="U832" s="16">
        <f>MAX(_xlfn.MINIFS(U$625:U$633,U$835:U$843,1),$D832)</f>
        <v/>
      </c>
      <c r="V832" s="16">
        <f>MAX(_xlfn.MINIFS(V$625:V$633,V$835:V$843,1),$D832)</f>
        <v/>
      </c>
      <c r="W832" s="16">
        <f>MAX(_xlfn.MINIFS(W$625:W$633,W$835:W$843,1),$D832)</f>
        <v/>
      </c>
      <c r="X832" s="16">
        <f>MAX(_xlfn.MINIFS(X$625:X$633,X$835:X$843,1),$D832)</f>
        <v/>
      </c>
      <c r="Y832" s="16">
        <f>MAX(_xlfn.MINIFS(Y$625:Y$633,Y$835:Y$843,1),$D832)</f>
        <v/>
      </c>
      <c r="Z832" s="16">
        <f>MAX(_xlfn.MINIFS(Z$625:Z$633,Z$835:Z$843,1),$D832)</f>
        <v/>
      </c>
      <c r="AA832" s="16">
        <f>MAX(_xlfn.MINIFS(AA$625:AA$633,AA$835:AA$843,1),$D832)</f>
        <v/>
      </c>
      <c r="AB832" s="16">
        <f>MAX(_xlfn.MINIFS(AB$625:AB$633,AB$835:AB$843,1),$D832)</f>
        <v/>
      </c>
      <c r="AC832" s="16">
        <f>MAX(_xlfn.MINIFS(AC$625:AC$633,AC$835:AC$843,1),$D832)</f>
        <v/>
      </c>
      <c r="AD832" s="16">
        <f>MAX(_xlfn.MINIFS(AD$625:AD$633,AD$835:AD$843,1),$D832)</f>
        <v/>
      </c>
      <c r="AE832" s="49">
        <f>FLOORMIN(AE$625:AE$633,AE$835:AE$843,$D832)</f>
        <v/>
      </c>
      <c r="AG832" s="11">
        <f>CodePrefix&amp;$A832&amp;IF($C832="","","."&amp;$C832&amp;"."&amp;$B832)&amp;INDEX(VarEnd,MATCH($A832,VarKey,0))&amp;AG$5</f>
        <v/>
      </c>
      <c r="AH832" s="15">
        <f>MAX(_xlfn.MINIFS(AH$625:AH$633,AH$835:AH$843,1),$D832)</f>
        <v/>
      </c>
      <c r="AI832" s="16">
        <f>MAX(_xlfn.MINIFS(AI$625:AI$633,AI$835:AI$843,1),$D832)</f>
        <v/>
      </c>
      <c r="AJ832" s="16">
        <f>MAX(_xlfn.MINIFS(AJ$625:AJ$633,AJ$835:AJ$843,1),$D832)</f>
        <v/>
      </c>
      <c r="AK832" s="16">
        <f>MAX(_xlfn.MINIFS(AK$625:AK$633,AK$835:AK$843,1),$D832)</f>
        <v/>
      </c>
      <c r="AL832" s="16">
        <f>MAX(_xlfn.MINIFS(AL$625:AL$633,AL$835:AL$843,1),$D832)</f>
        <v/>
      </c>
      <c r="AM832" s="16">
        <f>MAX(_xlfn.MINIFS(AM$625:AM$633,AM$835:AM$843,1),$D832)</f>
        <v/>
      </c>
      <c r="AN832" s="16">
        <f>MAX(_xlfn.MINIFS(AN$625:AN$633,AN$835:AN$843,1),$D832)</f>
        <v/>
      </c>
      <c r="AO832" s="16">
        <f>MAX(_xlfn.MINIFS(AO$625:AO$633,AO$835:AO$843,1),$D832)</f>
        <v/>
      </c>
      <c r="AP832" s="16">
        <f>MAX(_xlfn.MINIFS(AP$625:AP$633,AP$835:AP$843,1),$D832)</f>
        <v/>
      </c>
      <c r="AQ832" s="16">
        <f>MAX(_xlfn.MINIFS(AQ$625:AQ$633,AQ$835:AQ$843,1),$D832)</f>
        <v/>
      </c>
      <c r="AR832" s="16">
        <f>MAX(_xlfn.MINIFS(AR$625:AR$633,AR$835:AR$843,1),$D832)</f>
        <v/>
      </c>
      <c r="AS832" s="16">
        <f>MAX(_xlfn.MINIFS(AS$625:AS$633,AS$835:AS$843,1),$D832)</f>
        <v/>
      </c>
      <c r="AT832" s="16">
        <f>MAX(_xlfn.MINIFS(AT$625:AT$633,AT$835:AT$843,1),$D832)</f>
        <v/>
      </c>
      <c r="AU832" s="16">
        <f>MAX(_xlfn.MINIFS(AU$625:AU$633,AU$835:AU$843,1),$D832)</f>
        <v/>
      </c>
      <c r="AV832" s="16">
        <f>MAX(_xlfn.MINIFS(AV$625:AV$633,AV$835:AV$843,1),$D832)</f>
        <v/>
      </c>
      <c r="AW832" s="16">
        <f>MAX(_xlfn.MINIFS(AW$625:AW$633,AW$835:AW$843,1),$D832)</f>
        <v/>
      </c>
      <c r="AX832" s="16">
        <f>MAX(_xlfn.MINIFS(AX$625:AX$633,AX$835:AX$843,1),$D832)</f>
        <v/>
      </c>
      <c r="AY832" s="16">
        <f>MAX(_xlfn.MINIFS(AY$625:AY$633,AY$835:AY$843,1),$D832)</f>
        <v/>
      </c>
      <c r="AZ832" s="16">
        <f>MAX(_xlfn.MINIFS(AZ$625:AZ$633,AZ$835:AZ$843,1),$D832)</f>
        <v/>
      </c>
      <c r="BA832" s="49">
        <f>FLOORMIN(BA$625:BA$633,BA$835:BA$843,$D832)</f>
        <v/>
      </c>
    </row>
    <row r="833" hidden="1" outlineLevel="1">
      <c r="A833" s="14" t="inlineStr">
        <is>
          <t>deficit</t>
        </is>
      </c>
      <c r="B833" s="14" t="inlineStr"/>
      <c r="C833" s="14" t="inlineStr"/>
      <c r="D833" s="39" t="n"/>
      <c r="E833" s="39" t="n"/>
      <c r="F833" s="39" t="n"/>
      <c r="G833" s="39" t="n"/>
      <c r="H833" s="14">
        <f>INDEX(VarLab,MATCH($A833,VarKey,0))&amp;INDEX(MemLab,MATCH($C833&amp;"|"&amp;$B833,MemKey,0))</f>
        <v/>
      </c>
      <c r="I833" s="14">
        <f>INDEX(VarUnit,MATCH($A833,VarKey,0))</f>
        <v/>
      </c>
      <c r="J833" s="14">
        <f>INDEX(VarSrc,MATCH($A833,VarKey,0))</f>
        <v/>
      </c>
      <c r="K833" s="11">
        <f>CodePrefix&amp;$A833&amp;IF($C833="","","."&amp;$C833&amp;"."&amp;$B833)&amp;INDEX(VarEnd,MATCH($A833,VarKey,0))&amp;K$5</f>
        <v/>
      </c>
      <c r="L833" s="46">
        <f>MAX(L$829-SUM(L$875:L$883),0)</f>
        <v/>
      </c>
      <c r="M833" s="47">
        <f>MAX(M$829-SUM(M$875:M$883),0)</f>
        <v/>
      </c>
      <c r="N833" s="47">
        <f>MAX(N$829-SUM(N$875:N$883),0)</f>
        <v/>
      </c>
      <c r="O833" s="47">
        <f>MAX(O$829-SUM(O$875:O$883),0)</f>
        <v/>
      </c>
      <c r="P833" s="47">
        <f>MAX(P$829-SUM(P$875:P$883),0)</f>
        <v/>
      </c>
      <c r="Q833" s="47">
        <f>MAX(Q$829-SUM(Q$875:Q$883),0)</f>
        <v/>
      </c>
      <c r="R833" s="47">
        <f>MAX(R$829-SUM(R$875:R$883),0)</f>
        <v/>
      </c>
      <c r="S833" s="47">
        <f>MAX(S$829-SUM(S$875:S$883),0)</f>
        <v/>
      </c>
      <c r="T833" s="47">
        <f>MAX(T$829-SUM(T$875:T$883),0)</f>
        <v/>
      </c>
      <c r="U833" s="47">
        <f>MAX(U$829-SUM(U$875:U$883),0)</f>
        <v/>
      </c>
      <c r="V833" s="47">
        <f>MAX(V$829-SUM(V$875:V$883),0)</f>
        <v/>
      </c>
      <c r="W833" s="47">
        <f>MAX(W$829-SUM(W$875:W$883),0)</f>
        <v/>
      </c>
      <c r="X833" s="47">
        <f>MAX(X$829-SUM(X$875:X$883),0)</f>
        <v/>
      </c>
      <c r="Y833" s="47">
        <f>MAX(Y$829-SUM(Y$875:Y$883),0)</f>
        <v/>
      </c>
      <c r="Z833" s="47">
        <f>MAX(Z$829-SUM(Z$875:Z$883),0)</f>
        <v/>
      </c>
      <c r="AA833" s="47">
        <f>MAX(AA$829-SUM(AA$875:AA$883),0)</f>
        <v/>
      </c>
      <c r="AB833" s="47">
        <f>MAX(AB$829-SUM(AB$875:AB$883),0)</f>
        <v/>
      </c>
      <c r="AC833" s="47">
        <f>MAX(AC$829-SUM(AC$875:AC$883),0)</f>
        <v/>
      </c>
      <c r="AD833" s="47">
        <f>MAX(AD$829-SUM(AD$875:AD$883),0)</f>
        <v/>
      </c>
      <c r="AE833" s="48">
        <f>RESIDUAL(AE$829,SUM(AE$875:AE$883))</f>
        <v/>
      </c>
      <c r="AG833" s="11">
        <f>CodePrefix&amp;$A833&amp;IF($C833="","","."&amp;$C833&amp;"."&amp;$B833)&amp;INDEX(VarEnd,MATCH($A833,VarKey,0))&amp;AG$5</f>
        <v/>
      </c>
      <c r="AH833" s="46">
        <f>MAX(AH$829-SUM(AH$875:AH$883),0)</f>
        <v/>
      </c>
      <c r="AI833" s="47">
        <f>MAX(AI$829-SUM(AI$875:AI$883),0)</f>
        <v/>
      </c>
      <c r="AJ833" s="47">
        <f>MAX(AJ$829-SUM(AJ$875:AJ$883),0)</f>
        <v/>
      </c>
      <c r="AK833" s="47">
        <f>MAX(AK$829-SUM(AK$875:AK$883),0)</f>
        <v/>
      </c>
      <c r="AL833" s="47">
        <f>MAX(AL$829-SUM(AL$875:AL$883),0)</f>
        <v/>
      </c>
      <c r="AM833" s="47">
        <f>MAX(AM$829-SUM(AM$875:AM$883),0)</f>
        <v/>
      </c>
      <c r="AN833" s="47">
        <f>MAX(AN$829-SUM(AN$875:AN$883),0)</f>
        <v/>
      </c>
      <c r="AO833" s="47">
        <f>MAX(AO$829-SUM(AO$875:AO$883),0)</f>
        <v/>
      </c>
      <c r="AP833" s="47">
        <f>MAX(AP$829-SUM(AP$875:AP$883),0)</f>
        <v/>
      </c>
      <c r="AQ833" s="47">
        <f>MAX(AQ$829-SUM(AQ$875:AQ$883),0)</f>
        <v/>
      </c>
      <c r="AR833" s="47">
        <f>MAX(AR$829-SUM(AR$875:AR$883),0)</f>
        <v/>
      </c>
      <c r="AS833" s="47">
        <f>MAX(AS$829-SUM(AS$875:AS$883),0)</f>
        <v/>
      </c>
      <c r="AT833" s="47">
        <f>MAX(AT$829-SUM(AT$875:AT$883),0)</f>
        <v/>
      </c>
      <c r="AU833" s="47">
        <f>MAX(AU$829-SUM(AU$875:AU$883),0)</f>
        <v/>
      </c>
      <c r="AV833" s="47">
        <f>MAX(AV$829-SUM(AV$875:AV$883),0)</f>
        <v/>
      </c>
      <c r="AW833" s="47">
        <f>MAX(AW$829-SUM(AW$875:AW$883),0)</f>
        <v/>
      </c>
      <c r="AX833" s="47">
        <f>MAX(AX$829-SUM(AX$875:AX$883),0)</f>
        <v/>
      </c>
      <c r="AY833" s="47">
        <f>MAX(AY$829-SUM(AY$875:AY$883),0)</f>
        <v/>
      </c>
      <c r="AZ833" s="47">
        <f>MAX(AZ$829-SUM(AZ$875:AZ$883),0)</f>
        <v/>
      </c>
      <c r="BA833" s="48">
        <f>RESIDUAL(BA$829,SUM(BA$875:BA$883))</f>
        <v/>
      </c>
    </row>
    <row r="834" hidden="1" outlineLevel="1"/>
    <row r="835" hidden="1" outlineLevel="1">
      <c r="A835" s="14" t="inlineStr">
        <is>
          <t>permit</t>
        </is>
      </c>
      <c r="B835" s="14" t="inlineStr">
        <is>
          <t>coa</t>
        </is>
      </c>
      <c r="C835" s="14" t="inlineStr">
        <is>
          <t>pow</t>
        </is>
      </c>
      <c r="D835" s="45">
        <f>INDEX(Inputs_power!$AH$5:$AH$13,MATCH($B835,Inputs_power!$A$5:$A$13,0))</f>
        <v/>
      </c>
      <c r="E835" s="45">
        <f>INDEX(Inputs_power!$AI$5:$AI$13,MATCH($B835,Inputs_power!$A$5:$A$13,0))</f>
        <v/>
      </c>
      <c r="F835" s="39" t="n"/>
      <c r="G835" s="39" t="n"/>
      <c r="H835" s="14">
        <f>INDEX(VarLab,MATCH($A835,VarKey,0))&amp;INDEX(MemLab,MATCH($C835&amp;"|"&amp;$B835,MemKey,0))</f>
        <v/>
      </c>
      <c r="I835" s="14">
        <f>INDEX(VarUnit,MATCH($A835,VarKey,0))</f>
        <v/>
      </c>
      <c r="J835" s="14">
        <f>INDEX(VarSrc,MATCH($A835,VarKey,0))</f>
        <v/>
      </c>
      <c r="K835" s="11">
        <f>CodePrefix&amp;$A835&amp;IF($C835="","","."&amp;$C835&amp;"."&amp;$B835)&amp;INDEX(VarEnd,MATCH($A835,VarKey,0))&amp;K$5</f>
        <v/>
      </c>
      <c r="L835" s="9">
        <f>IF(AND($D835="Yes",L$4&gt;=$E835),1,0)</f>
        <v/>
      </c>
      <c r="M835" s="10">
        <f>IF(AND($D835="Yes",M$4&gt;=$E835),1,0)</f>
        <v/>
      </c>
      <c r="N835" s="10">
        <f>IF(AND($D835="Yes",N$4&gt;=$E835),1,0)</f>
        <v/>
      </c>
      <c r="O835" s="10">
        <f>IF(AND($D835="Yes",O$4&gt;=$E835),1,0)</f>
        <v/>
      </c>
      <c r="P835" s="10">
        <f>IF(AND($D835="Yes",P$4&gt;=$E835),1,0)</f>
        <v/>
      </c>
      <c r="Q835" s="10">
        <f>IF(AND($D835="Yes",Q$4&gt;=$E835),1,0)</f>
        <v/>
      </c>
      <c r="R835" s="10">
        <f>IF(AND($D835="Yes",R$4&gt;=$E835),1,0)</f>
        <v/>
      </c>
      <c r="S835" s="10">
        <f>IF(AND($D835="Yes",S$4&gt;=$E835),1,0)</f>
        <v/>
      </c>
      <c r="T835" s="10">
        <f>IF(AND($D835="Yes",T$4&gt;=$E835),1,0)</f>
        <v/>
      </c>
      <c r="U835" s="10">
        <f>IF(AND($D835="Yes",U$4&gt;=$E835),1,0)</f>
        <v/>
      </c>
      <c r="V835" s="10">
        <f>IF(AND($D835="Yes",V$4&gt;=$E835),1,0)</f>
        <v/>
      </c>
      <c r="W835" s="10">
        <f>IF(AND($D835="Yes",W$4&gt;=$E835),1,0)</f>
        <v/>
      </c>
      <c r="X835" s="10">
        <f>IF(AND($D835="Yes",X$4&gt;=$E835),1,0)</f>
        <v/>
      </c>
      <c r="Y835" s="10">
        <f>IF(AND($D835="Yes",Y$4&gt;=$E835),1,0)</f>
        <v/>
      </c>
      <c r="Z835" s="10">
        <f>IF(AND($D835="Yes",Z$4&gt;=$E835),1,0)</f>
        <v/>
      </c>
      <c r="AA835" s="10">
        <f>IF(AND($D835="Yes",AA$4&gt;=$E835),1,0)</f>
        <v/>
      </c>
      <c r="AB835" s="10">
        <f>IF(AND($D835="Yes",AB$4&gt;=$E835),1,0)</f>
        <v/>
      </c>
      <c r="AC835" s="10">
        <f>IF(AND($D835="Yes",AC$4&gt;=$E835),1,0)</f>
        <v/>
      </c>
      <c r="AD835" s="10">
        <f>IF(AND($D835="Yes",AD$4&gt;=$E835),1,0)</f>
        <v/>
      </c>
      <c r="AE835" s="66">
        <f>PERMITTED($D835,$E835,AE$4)</f>
        <v/>
      </c>
      <c r="AG835" s="11">
        <f>CodePrefix&amp;$A835&amp;IF($C835="","","."&amp;$C835&amp;"."&amp;$B835)&amp;INDEX(VarEnd,MATCH($A835,VarKey,0))&amp;AG$5</f>
        <v/>
      </c>
      <c r="AH835" s="9">
        <f>IF(AND($D835="Yes",AH$4&gt;=$E835),1,0)</f>
        <v/>
      </c>
      <c r="AI835" s="10">
        <f>IF(AND($D835="Yes",AI$4&gt;=$E835),1,0)</f>
        <v/>
      </c>
      <c r="AJ835" s="10">
        <f>IF(AND($D835="Yes",AJ$4&gt;=$E835),1,0)</f>
        <v/>
      </c>
      <c r="AK835" s="10">
        <f>IF(AND($D835="Yes",AK$4&gt;=$E835),1,0)</f>
        <v/>
      </c>
      <c r="AL835" s="10">
        <f>IF(AND($D835="Yes",AL$4&gt;=$E835),1,0)</f>
        <v/>
      </c>
      <c r="AM835" s="10">
        <f>IF(AND($D835="Yes",AM$4&gt;=$E835),1,0)</f>
        <v/>
      </c>
      <c r="AN835" s="10">
        <f>IF(AND($D835="Yes",AN$4&gt;=$E835),1,0)</f>
        <v/>
      </c>
      <c r="AO835" s="10">
        <f>IF(AND($D835="Yes",AO$4&gt;=$E835),1,0)</f>
        <v/>
      </c>
      <c r="AP835" s="10">
        <f>IF(AND($D835="Yes",AP$4&gt;=$E835),1,0)</f>
        <v/>
      </c>
      <c r="AQ835" s="10">
        <f>IF(AND($D835="Yes",AQ$4&gt;=$E835),1,0)</f>
        <v/>
      </c>
      <c r="AR835" s="10">
        <f>IF(AND($D835="Yes",AR$4&gt;=$E835),1,0)</f>
        <v/>
      </c>
      <c r="AS835" s="10">
        <f>IF(AND($D835="Yes",AS$4&gt;=$E835),1,0)</f>
        <v/>
      </c>
      <c r="AT835" s="10">
        <f>IF(AND($D835="Yes",AT$4&gt;=$E835),1,0)</f>
        <v/>
      </c>
      <c r="AU835" s="10">
        <f>IF(AND($D835="Yes",AU$4&gt;=$E835),1,0)</f>
        <v/>
      </c>
      <c r="AV835" s="10">
        <f>IF(AND($D835="Yes",AV$4&gt;=$E835),1,0)</f>
        <v/>
      </c>
      <c r="AW835" s="10">
        <f>IF(AND($D835="Yes",AW$4&gt;=$E835),1,0)</f>
        <v/>
      </c>
      <c r="AX835" s="10">
        <f>IF(AND($D835="Yes",AX$4&gt;=$E835),1,0)</f>
        <v/>
      </c>
      <c r="AY835" s="10">
        <f>IF(AND($D835="Yes",AY$4&gt;=$E835),1,0)</f>
        <v/>
      </c>
      <c r="AZ835" s="10">
        <f>IF(AND($D835="Yes",AZ$4&gt;=$E835),1,0)</f>
        <v/>
      </c>
      <c r="BA835" s="66">
        <f>PERMITTED($D835,$E835,BA$4)</f>
        <v/>
      </c>
    </row>
    <row r="836" hidden="1" outlineLevel="1">
      <c r="A836" s="14" t="inlineStr">
        <is>
          <t>permit</t>
        </is>
      </c>
      <c r="B836" s="14" t="inlineStr">
        <is>
          <t>nga</t>
        </is>
      </c>
      <c r="C836" s="14" t="inlineStr">
        <is>
          <t>pow</t>
        </is>
      </c>
      <c r="D836" s="45">
        <f>INDEX(Inputs_power!$AH$5:$AH$13,MATCH($B836,Inputs_power!$A$5:$A$13,0))</f>
        <v/>
      </c>
      <c r="E836" s="45">
        <f>INDEX(Inputs_power!$AI$5:$AI$13,MATCH($B836,Inputs_power!$A$5:$A$13,0))</f>
        <v/>
      </c>
      <c r="F836" s="39" t="n"/>
      <c r="G836" s="39" t="n"/>
      <c r="H836" s="14">
        <f>INDEX(VarLab,MATCH($A836,VarKey,0))&amp;INDEX(MemLab,MATCH($C836&amp;"|"&amp;$B836,MemKey,0))</f>
        <v/>
      </c>
      <c r="I836" s="14">
        <f>INDEX(VarUnit,MATCH($A836,VarKey,0))</f>
        <v/>
      </c>
      <c r="J836" s="14">
        <f>INDEX(VarSrc,MATCH($A836,VarKey,0))</f>
        <v/>
      </c>
      <c r="K836" s="11">
        <f>CodePrefix&amp;$A836&amp;IF($C836="","","."&amp;$C836&amp;"."&amp;$B836)&amp;INDEX(VarEnd,MATCH($A836,VarKey,0))&amp;K$5</f>
        <v/>
      </c>
      <c r="L836" s="9">
        <f>IF(AND($D836="Yes",L$4&gt;=$E836),1,0)</f>
        <v/>
      </c>
      <c r="M836" s="10">
        <f>IF(AND($D836="Yes",M$4&gt;=$E836),1,0)</f>
        <v/>
      </c>
      <c r="N836" s="10">
        <f>IF(AND($D836="Yes",N$4&gt;=$E836),1,0)</f>
        <v/>
      </c>
      <c r="O836" s="10">
        <f>IF(AND($D836="Yes",O$4&gt;=$E836),1,0)</f>
        <v/>
      </c>
      <c r="P836" s="10">
        <f>IF(AND($D836="Yes",P$4&gt;=$E836),1,0)</f>
        <v/>
      </c>
      <c r="Q836" s="10">
        <f>IF(AND($D836="Yes",Q$4&gt;=$E836),1,0)</f>
        <v/>
      </c>
      <c r="R836" s="10">
        <f>IF(AND($D836="Yes",R$4&gt;=$E836),1,0)</f>
        <v/>
      </c>
      <c r="S836" s="10">
        <f>IF(AND($D836="Yes",S$4&gt;=$E836),1,0)</f>
        <v/>
      </c>
      <c r="T836" s="10">
        <f>IF(AND($D836="Yes",T$4&gt;=$E836),1,0)</f>
        <v/>
      </c>
      <c r="U836" s="10">
        <f>IF(AND($D836="Yes",U$4&gt;=$E836),1,0)</f>
        <v/>
      </c>
      <c r="V836" s="10">
        <f>IF(AND($D836="Yes",V$4&gt;=$E836),1,0)</f>
        <v/>
      </c>
      <c r="W836" s="10">
        <f>IF(AND($D836="Yes",W$4&gt;=$E836),1,0)</f>
        <v/>
      </c>
      <c r="X836" s="10">
        <f>IF(AND($D836="Yes",X$4&gt;=$E836),1,0)</f>
        <v/>
      </c>
      <c r="Y836" s="10">
        <f>IF(AND($D836="Yes",Y$4&gt;=$E836),1,0)</f>
        <v/>
      </c>
      <c r="Z836" s="10">
        <f>IF(AND($D836="Yes",Z$4&gt;=$E836),1,0)</f>
        <v/>
      </c>
      <c r="AA836" s="10">
        <f>IF(AND($D836="Yes",AA$4&gt;=$E836),1,0)</f>
        <v/>
      </c>
      <c r="AB836" s="10">
        <f>IF(AND($D836="Yes",AB$4&gt;=$E836),1,0)</f>
        <v/>
      </c>
      <c r="AC836" s="10">
        <f>IF(AND($D836="Yes",AC$4&gt;=$E836),1,0)</f>
        <v/>
      </c>
      <c r="AD836" s="10">
        <f>IF(AND($D836="Yes",AD$4&gt;=$E836),1,0)</f>
        <v/>
      </c>
      <c r="AE836" s="66">
        <f>PERMITTED($D836,$E836,AE$4)</f>
        <v/>
      </c>
      <c r="AG836" s="11">
        <f>CodePrefix&amp;$A836&amp;IF($C836="","","."&amp;$C836&amp;"."&amp;$B836)&amp;INDEX(VarEnd,MATCH($A836,VarKey,0))&amp;AG$5</f>
        <v/>
      </c>
      <c r="AH836" s="9">
        <f>IF(AND($D836="Yes",AH$4&gt;=$E836),1,0)</f>
        <v/>
      </c>
      <c r="AI836" s="10">
        <f>IF(AND($D836="Yes",AI$4&gt;=$E836),1,0)</f>
        <v/>
      </c>
      <c r="AJ836" s="10">
        <f>IF(AND($D836="Yes",AJ$4&gt;=$E836),1,0)</f>
        <v/>
      </c>
      <c r="AK836" s="10">
        <f>IF(AND($D836="Yes",AK$4&gt;=$E836),1,0)</f>
        <v/>
      </c>
      <c r="AL836" s="10">
        <f>IF(AND($D836="Yes",AL$4&gt;=$E836),1,0)</f>
        <v/>
      </c>
      <c r="AM836" s="10">
        <f>IF(AND($D836="Yes",AM$4&gt;=$E836),1,0)</f>
        <v/>
      </c>
      <c r="AN836" s="10">
        <f>IF(AND($D836="Yes",AN$4&gt;=$E836),1,0)</f>
        <v/>
      </c>
      <c r="AO836" s="10">
        <f>IF(AND($D836="Yes",AO$4&gt;=$E836),1,0)</f>
        <v/>
      </c>
      <c r="AP836" s="10">
        <f>IF(AND($D836="Yes",AP$4&gt;=$E836),1,0)</f>
        <v/>
      </c>
      <c r="AQ836" s="10">
        <f>IF(AND($D836="Yes",AQ$4&gt;=$E836),1,0)</f>
        <v/>
      </c>
      <c r="AR836" s="10">
        <f>IF(AND($D836="Yes",AR$4&gt;=$E836),1,0)</f>
        <v/>
      </c>
      <c r="AS836" s="10">
        <f>IF(AND($D836="Yes",AS$4&gt;=$E836),1,0)</f>
        <v/>
      </c>
      <c r="AT836" s="10">
        <f>IF(AND($D836="Yes",AT$4&gt;=$E836),1,0)</f>
        <v/>
      </c>
      <c r="AU836" s="10">
        <f>IF(AND($D836="Yes",AU$4&gt;=$E836),1,0)</f>
        <v/>
      </c>
      <c r="AV836" s="10">
        <f>IF(AND($D836="Yes",AV$4&gt;=$E836),1,0)</f>
        <v/>
      </c>
      <c r="AW836" s="10">
        <f>IF(AND($D836="Yes",AW$4&gt;=$E836),1,0)</f>
        <v/>
      </c>
      <c r="AX836" s="10">
        <f>IF(AND($D836="Yes",AX$4&gt;=$E836),1,0)</f>
        <v/>
      </c>
      <c r="AY836" s="10">
        <f>IF(AND($D836="Yes",AY$4&gt;=$E836),1,0)</f>
        <v/>
      </c>
      <c r="AZ836" s="10">
        <f>IF(AND($D836="Yes",AZ$4&gt;=$E836),1,0)</f>
        <v/>
      </c>
      <c r="BA836" s="66">
        <f>PERMITTED($D836,$E836,BA$4)</f>
        <v/>
      </c>
    </row>
    <row r="837" hidden="1" outlineLevel="1">
      <c r="A837" s="14" t="inlineStr">
        <is>
          <t>permit</t>
        </is>
      </c>
      <c r="B837" s="14" t="inlineStr">
        <is>
          <t>oop</t>
        </is>
      </c>
      <c r="C837" s="14" t="inlineStr">
        <is>
          <t>pow</t>
        </is>
      </c>
      <c r="D837" s="45">
        <f>INDEX(Inputs_power!$AH$5:$AH$13,MATCH($B837,Inputs_power!$A$5:$A$13,0))</f>
        <v/>
      </c>
      <c r="E837" s="45">
        <f>INDEX(Inputs_power!$AI$5:$AI$13,MATCH($B837,Inputs_power!$A$5:$A$13,0))</f>
        <v/>
      </c>
      <c r="F837" s="39" t="n"/>
      <c r="G837" s="39" t="n"/>
      <c r="H837" s="14">
        <f>INDEX(VarLab,MATCH($A837,VarKey,0))&amp;INDEX(MemLab,MATCH($C837&amp;"|"&amp;$B837,MemKey,0))</f>
        <v/>
      </c>
      <c r="I837" s="14">
        <f>INDEX(VarUnit,MATCH($A837,VarKey,0))</f>
        <v/>
      </c>
      <c r="J837" s="14">
        <f>INDEX(VarSrc,MATCH($A837,VarKey,0))</f>
        <v/>
      </c>
      <c r="K837" s="11">
        <f>CodePrefix&amp;$A837&amp;IF($C837="","","."&amp;$C837&amp;"."&amp;$B837)&amp;INDEX(VarEnd,MATCH($A837,VarKey,0))&amp;K$5</f>
        <v/>
      </c>
      <c r="L837" s="9">
        <f>IF(AND($D837="Yes",L$4&gt;=$E837),1,0)</f>
        <v/>
      </c>
      <c r="M837" s="10">
        <f>IF(AND($D837="Yes",M$4&gt;=$E837),1,0)</f>
        <v/>
      </c>
      <c r="N837" s="10">
        <f>IF(AND($D837="Yes",N$4&gt;=$E837),1,0)</f>
        <v/>
      </c>
      <c r="O837" s="10">
        <f>IF(AND($D837="Yes",O$4&gt;=$E837),1,0)</f>
        <v/>
      </c>
      <c r="P837" s="10">
        <f>IF(AND($D837="Yes",P$4&gt;=$E837),1,0)</f>
        <v/>
      </c>
      <c r="Q837" s="10">
        <f>IF(AND($D837="Yes",Q$4&gt;=$E837),1,0)</f>
        <v/>
      </c>
      <c r="R837" s="10">
        <f>IF(AND($D837="Yes",R$4&gt;=$E837),1,0)</f>
        <v/>
      </c>
      <c r="S837" s="10">
        <f>IF(AND($D837="Yes",S$4&gt;=$E837),1,0)</f>
        <v/>
      </c>
      <c r="T837" s="10">
        <f>IF(AND($D837="Yes",T$4&gt;=$E837),1,0)</f>
        <v/>
      </c>
      <c r="U837" s="10">
        <f>IF(AND($D837="Yes",U$4&gt;=$E837),1,0)</f>
        <v/>
      </c>
      <c r="V837" s="10">
        <f>IF(AND($D837="Yes",V$4&gt;=$E837),1,0)</f>
        <v/>
      </c>
      <c r="W837" s="10">
        <f>IF(AND($D837="Yes",W$4&gt;=$E837),1,0)</f>
        <v/>
      </c>
      <c r="X837" s="10">
        <f>IF(AND($D837="Yes",X$4&gt;=$E837),1,0)</f>
        <v/>
      </c>
      <c r="Y837" s="10">
        <f>IF(AND($D837="Yes",Y$4&gt;=$E837),1,0)</f>
        <v/>
      </c>
      <c r="Z837" s="10">
        <f>IF(AND($D837="Yes",Z$4&gt;=$E837),1,0)</f>
        <v/>
      </c>
      <c r="AA837" s="10">
        <f>IF(AND($D837="Yes",AA$4&gt;=$E837),1,0)</f>
        <v/>
      </c>
      <c r="AB837" s="10">
        <f>IF(AND($D837="Yes",AB$4&gt;=$E837),1,0)</f>
        <v/>
      </c>
      <c r="AC837" s="10">
        <f>IF(AND($D837="Yes",AC$4&gt;=$E837),1,0)</f>
        <v/>
      </c>
      <c r="AD837" s="10">
        <f>IF(AND($D837="Yes",AD$4&gt;=$E837),1,0)</f>
        <v/>
      </c>
      <c r="AE837" s="66">
        <f>PERMITTED($D837,$E837,AE$4)</f>
        <v/>
      </c>
      <c r="AG837" s="11">
        <f>CodePrefix&amp;$A837&amp;IF($C837="","","."&amp;$C837&amp;"."&amp;$B837)&amp;INDEX(VarEnd,MATCH($A837,VarKey,0))&amp;AG$5</f>
        <v/>
      </c>
      <c r="AH837" s="9">
        <f>IF(AND($D837="Yes",AH$4&gt;=$E837),1,0)</f>
        <v/>
      </c>
      <c r="AI837" s="10">
        <f>IF(AND($D837="Yes",AI$4&gt;=$E837),1,0)</f>
        <v/>
      </c>
      <c r="AJ837" s="10">
        <f>IF(AND($D837="Yes",AJ$4&gt;=$E837),1,0)</f>
        <v/>
      </c>
      <c r="AK837" s="10">
        <f>IF(AND($D837="Yes",AK$4&gt;=$E837),1,0)</f>
        <v/>
      </c>
      <c r="AL837" s="10">
        <f>IF(AND($D837="Yes",AL$4&gt;=$E837),1,0)</f>
        <v/>
      </c>
      <c r="AM837" s="10">
        <f>IF(AND($D837="Yes",AM$4&gt;=$E837),1,0)</f>
        <v/>
      </c>
      <c r="AN837" s="10">
        <f>IF(AND($D837="Yes",AN$4&gt;=$E837),1,0)</f>
        <v/>
      </c>
      <c r="AO837" s="10">
        <f>IF(AND($D837="Yes",AO$4&gt;=$E837),1,0)</f>
        <v/>
      </c>
      <c r="AP837" s="10">
        <f>IF(AND($D837="Yes",AP$4&gt;=$E837),1,0)</f>
        <v/>
      </c>
      <c r="AQ837" s="10">
        <f>IF(AND($D837="Yes",AQ$4&gt;=$E837),1,0)</f>
        <v/>
      </c>
      <c r="AR837" s="10">
        <f>IF(AND($D837="Yes",AR$4&gt;=$E837),1,0)</f>
        <v/>
      </c>
      <c r="AS837" s="10">
        <f>IF(AND($D837="Yes",AS$4&gt;=$E837),1,0)</f>
        <v/>
      </c>
      <c r="AT837" s="10">
        <f>IF(AND($D837="Yes",AT$4&gt;=$E837),1,0)</f>
        <v/>
      </c>
      <c r="AU837" s="10">
        <f>IF(AND($D837="Yes",AU$4&gt;=$E837),1,0)</f>
        <v/>
      </c>
      <c r="AV837" s="10">
        <f>IF(AND($D837="Yes",AV$4&gt;=$E837),1,0)</f>
        <v/>
      </c>
      <c r="AW837" s="10">
        <f>IF(AND($D837="Yes",AW$4&gt;=$E837),1,0)</f>
        <v/>
      </c>
      <c r="AX837" s="10">
        <f>IF(AND($D837="Yes",AX$4&gt;=$E837),1,0)</f>
        <v/>
      </c>
      <c r="AY837" s="10">
        <f>IF(AND($D837="Yes",AY$4&gt;=$E837),1,0)</f>
        <v/>
      </c>
      <c r="AZ837" s="10">
        <f>IF(AND($D837="Yes",AZ$4&gt;=$E837),1,0)</f>
        <v/>
      </c>
      <c r="BA837" s="66">
        <f>PERMITTED($D837,$E837,BA$4)</f>
        <v/>
      </c>
    </row>
    <row r="838" hidden="1" outlineLevel="1">
      <c r="A838" s="14" t="inlineStr">
        <is>
          <t>permit</t>
        </is>
      </c>
      <c r="B838" s="14" t="inlineStr">
        <is>
          <t>nuc</t>
        </is>
      </c>
      <c r="C838" s="14" t="inlineStr">
        <is>
          <t>pow</t>
        </is>
      </c>
      <c r="D838" s="45">
        <f>INDEX(Inputs_power!$AH$5:$AH$13,MATCH($B838,Inputs_power!$A$5:$A$13,0))</f>
        <v/>
      </c>
      <c r="E838" s="45">
        <f>INDEX(Inputs_power!$AI$5:$AI$13,MATCH($B838,Inputs_power!$A$5:$A$13,0))</f>
        <v/>
      </c>
      <c r="F838" s="39" t="n"/>
      <c r="G838" s="39" t="n"/>
      <c r="H838" s="14">
        <f>INDEX(VarLab,MATCH($A838,VarKey,0))&amp;INDEX(MemLab,MATCH($C838&amp;"|"&amp;$B838,MemKey,0))</f>
        <v/>
      </c>
      <c r="I838" s="14">
        <f>INDEX(VarUnit,MATCH($A838,VarKey,0))</f>
        <v/>
      </c>
      <c r="J838" s="14">
        <f>INDEX(VarSrc,MATCH($A838,VarKey,0))</f>
        <v/>
      </c>
      <c r="K838" s="11">
        <f>CodePrefix&amp;$A838&amp;IF($C838="","","."&amp;$C838&amp;"."&amp;$B838)&amp;INDEX(VarEnd,MATCH($A838,VarKey,0))&amp;K$5</f>
        <v/>
      </c>
      <c r="L838" s="9">
        <f>IF(AND($D838="Yes",L$4&gt;=$E838),1,0)</f>
        <v/>
      </c>
      <c r="M838" s="10">
        <f>IF(AND($D838="Yes",M$4&gt;=$E838),1,0)</f>
        <v/>
      </c>
      <c r="N838" s="10">
        <f>IF(AND($D838="Yes",N$4&gt;=$E838),1,0)</f>
        <v/>
      </c>
      <c r="O838" s="10">
        <f>IF(AND($D838="Yes",O$4&gt;=$E838),1,0)</f>
        <v/>
      </c>
      <c r="P838" s="10">
        <f>IF(AND($D838="Yes",P$4&gt;=$E838),1,0)</f>
        <v/>
      </c>
      <c r="Q838" s="10">
        <f>IF(AND($D838="Yes",Q$4&gt;=$E838),1,0)</f>
        <v/>
      </c>
      <c r="R838" s="10">
        <f>IF(AND($D838="Yes",R$4&gt;=$E838),1,0)</f>
        <v/>
      </c>
      <c r="S838" s="10">
        <f>IF(AND($D838="Yes",S$4&gt;=$E838),1,0)</f>
        <v/>
      </c>
      <c r="T838" s="10">
        <f>IF(AND($D838="Yes",T$4&gt;=$E838),1,0)</f>
        <v/>
      </c>
      <c r="U838" s="10">
        <f>IF(AND($D838="Yes",U$4&gt;=$E838),1,0)</f>
        <v/>
      </c>
      <c r="V838" s="10">
        <f>IF(AND($D838="Yes",V$4&gt;=$E838),1,0)</f>
        <v/>
      </c>
      <c r="W838" s="10">
        <f>IF(AND($D838="Yes",W$4&gt;=$E838),1,0)</f>
        <v/>
      </c>
      <c r="X838" s="10">
        <f>IF(AND($D838="Yes",X$4&gt;=$E838),1,0)</f>
        <v/>
      </c>
      <c r="Y838" s="10">
        <f>IF(AND($D838="Yes",Y$4&gt;=$E838),1,0)</f>
        <v/>
      </c>
      <c r="Z838" s="10">
        <f>IF(AND($D838="Yes",Z$4&gt;=$E838),1,0)</f>
        <v/>
      </c>
      <c r="AA838" s="10">
        <f>IF(AND($D838="Yes",AA$4&gt;=$E838),1,0)</f>
        <v/>
      </c>
      <c r="AB838" s="10">
        <f>IF(AND($D838="Yes",AB$4&gt;=$E838),1,0)</f>
        <v/>
      </c>
      <c r="AC838" s="10">
        <f>IF(AND($D838="Yes",AC$4&gt;=$E838),1,0)</f>
        <v/>
      </c>
      <c r="AD838" s="10">
        <f>IF(AND($D838="Yes",AD$4&gt;=$E838),1,0)</f>
        <v/>
      </c>
      <c r="AE838" s="66">
        <f>PERMITTED($D838,$E838,AE$4)</f>
        <v/>
      </c>
      <c r="AG838" s="11">
        <f>CodePrefix&amp;$A838&amp;IF($C838="","","."&amp;$C838&amp;"."&amp;$B838)&amp;INDEX(VarEnd,MATCH($A838,VarKey,0))&amp;AG$5</f>
        <v/>
      </c>
      <c r="AH838" s="9">
        <f>IF(AND($D838="Yes",AH$4&gt;=$E838),1,0)</f>
        <v/>
      </c>
      <c r="AI838" s="10">
        <f>IF(AND($D838="Yes",AI$4&gt;=$E838),1,0)</f>
        <v/>
      </c>
      <c r="AJ838" s="10">
        <f>IF(AND($D838="Yes",AJ$4&gt;=$E838),1,0)</f>
        <v/>
      </c>
      <c r="AK838" s="10">
        <f>IF(AND($D838="Yes",AK$4&gt;=$E838),1,0)</f>
        <v/>
      </c>
      <c r="AL838" s="10">
        <f>IF(AND($D838="Yes",AL$4&gt;=$E838),1,0)</f>
        <v/>
      </c>
      <c r="AM838" s="10">
        <f>IF(AND($D838="Yes",AM$4&gt;=$E838),1,0)</f>
        <v/>
      </c>
      <c r="AN838" s="10">
        <f>IF(AND($D838="Yes",AN$4&gt;=$E838),1,0)</f>
        <v/>
      </c>
      <c r="AO838" s="10">
        <f>IF(AND($D838="Yes",AO$4&gt;=$E838),1,0)</f>
        <v/>
      </c>
      <c r="AP838" s="10">
        <f>IF(AND($D838="Yes",AP$4&gt;=$E838),1,0)</f>
        <v/>
      </c>
      <c r="AQ838" s="10">
        <f>IF(AND($D838="Yes",AQ$4&gt;=$E838),1,0)</f>
        <v/>
      </c>
      <c r="AR838" s="10">
        <f>IF(AND($D838="Yes",AR$4&gt;=$E838),1,0)</f>
        <v/>
      </c>
      <c r="AS838" s="10">
        <f>IF(AND($D838="Yes",AS$4&gt;=$E838),1,0)</f>
        <v/>
      </c>
      <c r="AT838" s="10">
        <f>IF(AND($D838="Yes",AT$4&gt;=$E838),1,0)</f>
        <v/>
      </c>
      <c r="AU838" s="10">
        <f>IF(AND($D838="Yes",AU$4&gt;=$E838),1,0)</f>
        <v/>
      </c>
      <c r="AV838" s="10">
        <f>IF(AND($D838="Yes",AV$4&gt;=$E838),1,0)</f>
        <v/>
      </c>
      <c r="AW838" s="10">
        <f>IF(AND($D838="Yes",AW$4&gt;=$E838),1,0)</f>
        <v/>
      </c>
      <c r="AX838" s="10">
        <f>IF(AND($D838="Yes",AX$4&gt;=$E838),1,0)</f>
        <v/>
      </c>
      <c r="AY838" s="10">
        <f>IF(AND($D838="Yes",AY$4&gt;=$E838),1,0)</f>
        <v/>
      </c>
      <c r="AZ838" s="10">
        <f>IF(AND($D838="Yes",AZ$4&gt;=$E838),1,0)</f>
        <v/>
      </c>
      <c r="BA838" s="66">
        <f>PERMITTED($D838,$E838,BA$4)</f>
        <v/>
      </c>
    </row>
    <row r="839" hidden="1" outlineLevel="1">
      <c r="A839" s="14" t="inlineStr">
        <is>
          <t>permit</t>
        </is>
      </c>
      <c r="B839" s="14" t="inlineStr">
        <is>
          <t>wnd</t>
        </is>
      </c>
      <c r="C839" s="14" t="inlineStr">
        <is>
          <t>pow</t>
        </is>
      </c>
      <c r="D839" s="45">
        <f>INDEX(Inputs_power!$AH$5:$AH$13,MATCH($B839,Inputs_power!$A$5:$A$13,0))</f>
        <v/>
      </c>
      <c r="E839" s="45">
        <f>INDEX(Inputs_power!$AI$5:$AI$13,MATCH($B839,Inputs_power!$A$5:$A$13,0))</f>
        <v/>
      </c>
      <c r="F839" s="39" t="n"/>
      <c r="G839" s="39" t="n"/>
      <c r="H839" s="14">
        <f>INDEX(VarLab,MATCH($A839,VarKey,0))&amp;INDEX(MemLab,MATCH($C839&amp;"|"&amp;$B839,MemKey,0))</f>
        <v/>
      </c>
      <c r="I839" s="14">
        <f>INDEX(VarUnit,MATCH($A839,VarKey,0))</f>
        <v/>
      </c>
      <c r="J839" s="14">
        <f>INDEX(VarSrc,MATCH($A839,VarKey,0))</f>
        <v/>
      </c>
      <c r="K839" s="11">
        <f>CodePrefix&amp;$A839&amp;IF($C839="","","."&amp;$C839&amp;"."&amp;$B839)&amp;INDEX(VarEnd,MATCH($A839,VarKey,0))&amp;K$5</f>
        <v/>
      </c>
      <c r="L839" s="9">
        <f>IF(AND($D839="Yes",L$4&gt;=$E839),1,0)</f>
        <v/>
      </c>
      <c r="M839" s="10">
        <f>IF(AND($D839="Yes",M$4&gt;=$E839),1,0)</f>
        <v/>
      </c>
      <c r="N839" s="10">
        <f>IF(AND($D839="Yes",N$4&gt;=$E839),1,0)</f>
        <v/>
      </c>
      <c r="O839" s="10">
        <f>IF(AND($D839="Yes",O$4&gt;=$E839),1,0)</f>
        <v/>
      </c>
      <c r="P839" s="10">
        <f>IF(AND($D839="Yes",P$4&gt;=$E839),1,0)</f>
        <v/>
      </c>
      <c r="Q839" s="10">
        <f>IF(AND($D839="Yes",Q$4&gt;=$E839),1,0)</f>
        <v/>
      </c>
      <c r="R839" s="10">
        <f>IF(AND($D839="Yes",R$4&gt;=$E839),1,0)</f>
        <v/>
      </c>
      <c r="S839" s="10">
        <f>IF(AND($D839="Yes",S$4&gt;=$E839),1,0)</f>
        <v/>
      </c>
      <c r="T839" s="10">
        <f>IF(AND($D839="Yes",T$4&gt;=$E839),1,0)</f>
        <v/>
      </c>
      <c r="U839" s="10">
        <f>IF(AND($D839="Yes",U$4&gt;=$E839),1,0)</f>
        <v/>
      </c>
      <c r="V839" s="10">
        <f>IF(AND($D839="Yes",V$4&gt;=$E839),1,0)</f>
        <v/>
      </c>
      <c r="W839" s="10">
        <f>IF(AND($D839="Yes",W$4&gt;=$E839),1,0)</f>
        <v/>
      </c>
      <c r="X839" s="10">
        <f>IF(AND($D839="Yes",X$4&gt;=$E839),1,0)</f>
        <v/>
      </c>
      <c r="Y839" s="10">
        <f>IF(AND($D839="Yes",Y$4&gt;=$E839),1,0)</f>
        <v/>
      </c>
      <c r="Z839" s="10">
        <f>IF(AND($D839="Yes",Z$4&gt;=$E839),1,0)</f>
        <v/>
      </c>
      <c r="AA839" s="10">
        <f>IF(AND($D839="Yes",AA$4&gt;=$E839),1,0)</f>
        <v/>
      </c>
      <c r="AB839" s="10">
        <f>IF(AND($D839="Yes",AB$4&gt;=$E839),1,0)</f>
        <v/>
      </c>
      <c r="AC839" s="10">
        <f>IF(AND($D839="Yes",AC$4&gt;=$E839),1,0)</f>
        <v/>
      </c>
      <c r="AD839" s="10">
        <f>IF(AND($D839="Yes",AD$4&gt;=$E839),1,0)</f>
        <v/>
      </c>
      <c r="AE839" s="66">
        <f>PERMITTED($D839,$E839,AE$4)</f>
        <v/>
      </c>
      <c r="AG839" s="11">
        <f>CodePrefix&amp;$A839&amp;IF($C839="","","."&amp;$C839&amp;"."&amp;$B839)&amp;INDEX(VarEnd,MATCH($A839,VarKey,0))&amp;AG$5</f>
        <v/>
      </c>
      <c r="AH839" s="9">
        <f>IF(AND($D839="Yes",AH$4&gt;=$E839),1,0)</f>
        <v/>
      </c>
      <c r="AI839" s="10">
        <f>IF(AND($D839="Yes",AI$4&gt;=$E839),1,0)</f>
        <v/>
      </c>
      <c r="AJ839" s="10">
        <f>IF(AND($D839="Yes",AJ$4&gt;=$E839),1,0)</f>
        <v/>
      </c>
      <c r="AK839" s="10">
        <f>IF(AND($D839="Yes",AK$4&gt;=$E839),1,0)</f>
        <v/>
      </c>
      <c r="AL839" s="10">
        <f>IF(AND($D839="Yes",AL$4&gt;=$E839),1,0)</f>
        <v/>
      </c>
      <c r="AM839" s="10">
        <f>IF(AND($D839="Yes",AM$4&gt;=$E839),1,0)</f>
        <v/>
      </c>
      <c r="AN839" s="10">
        <f>IF(AND($D839="Yes",AN$4&gt;=$E839),1,0)</f>
        <v/>
      </c>
      <c r="AO839" s="10">
        <f>IF(AND($D839="Yes",AO$4&gt;=$E839),1,0)</f>
        <v/>
      </c>
      <c r="AP839" s="10">
        <f>IF(AND($D839="Yes",AP$4&gt;=$E839),1,0)</f>
        <v/>
      </c>
      <c r="AQ839" s="10">
        <f>IF(AND($D839="Yes",AQ$4&gt;=$E839),1,0)</f>
        <v/>
      </c>
      <c r="AR839" s="10">
        <f>IF(AND($D839="Yes",AR$4&gt;=$E839),1,0)</f>
        <v/>
      </c>
      <c r="AS839" s="10">
        <f>IF(AND($D839="Yes",AS$4&gt;=$E839),1,0)</f>
        <v/>
      </c>
      <c r="AT839" s="10">
        <f>IF(AND($D839="Yes",AT$4&gt;=$E839),1,0)</f>
        <v/>
      </c>
      <c r="AU839" s="10">
        <f>IF(AND($D839="Yes",AU$4&gt;=$E839),1,0)</f>
        <v/>
      </c>
      <c r="AV839" s="10">
        <f>IF(AND($D839="Yes",AV$4&gt;=$E839),1,0)</f>
        <v/>
      </c>
      <c r="AW839" s="10">
        <f>IF(AND($D839="Yes",AW$4&gt;=$E839),1,0)</f>
        <v/>
      </c>
      <c r="AX839" s="10">
        <f>IF(AND($D839="Yes",AX$4&gt;=$E839),1,0)</f>
        <v/>
      </c>
      <c r="AY839" s="10">
        <f>IF(AND($D839="Yes",AY$4&gt;=$E839),1,0)</f>
        <v/>
      </c>
      <c r="AZ839" s="10">
        <f>IF(AND($D839="Yes",AZ$4&gt;=$E839),1,0)</f>
        <v/>
      </c>
      <c r="BA839" s="66">
        <f>PERMITTED($D839,$E839,BA$4)</f>
        <v/>
      </c>
    </row>
    <row r="840" hidden="1" outlineLevel="1">
      <c r="A840" s="14" t="inlineStr">
        <is>
          <t>permit</t>
        </is>
      </c>
      <c r="B840" s="14" t="inlineStr">
        <is>
          <t>sol</t>
        </is>
      </c>
      <c r="C840" s="14" t="inlineStr">
        <is>
          <t>pow</t>
        </is>
      </c>
      <c r="D840" s="45">
        <f>INDEX(Inputs_power!$AH$5:$AH$13,MATCH($B840,Inputs_power!$A$5:$A$13,0))</f>
        <v/>
      </c>
      <c r="E840" s="45">
        <f>INDEX(Inputs_power!$AI$5:$AI$13,MATCH($B840,Inputs_power!$A$5:$A$13,0))</f>
        <v/>
      </c>
      <c r="F840" s="39" t="n"/>
      <c r="G840" s="39" t="n"/>
      <c r="H840" s="14">
        <f>INDEX(VarLab,MATCH($A840,VarKey,0))&amp;INDEX(MemLab,MATCH($C840&amp;"|"&amp;$B840,MemKey,0))</f>
        <v/>
      </c>
      <c r="I840" s="14">
        <f>INDEX(VarUnit,MATCH($A840,VarKey,0))</f>
        <v/>
      </c>
      <c r="J840" s="14">
        <f>INDEX(VarSrc,MATCH($A840,VarKey,0))</f>
        <v/>
      </c>
      <c r="K840" s="11">
        <f>CodePrefix&amp;$A840&amp;IF($C840="","","."&amp;$C840&amp;"."&amp;$B840)&amp;INDEX(VarEnd,MATCH($A840,VarKey,0))&amp;K$5</f>
        <v/>
      </c>
      <c r="L840" s="9">
        <f>IF(AND($D840="Yes",L$4&gt;=$E840),1,0)</f>
        <v/>
      </c>
      <c r="M840" s="10">
        <f>IF(AND($D840="Yes",M$4&gt;=$E840),1,0)</f>
        <v/>
      </c>
      <c r="N840" s="10">
        <f>IF(AND($D840="Yes",N$4&gt;=$E840),1,0)</f>
        <v/>
      </c>
      <c r="O840" s="10">
        <f>IF(AND($D840="Yes",O$4&gt;=$E840),1,0)</f>
        <v/>
      </c>
      <c r="P840" s="10">
        <f>IF(AND($D840="Yes",P$4&gt;=$E840),1,0)</f>
        <v/>
      </c>
      <c r="Q840" s="10">
        <f>IF(AND($D840="Yes",Q$4&gt;=$E840),1,0)</f>
        <v/>
      </c>
      <c r="R840" s="10">
        <f>IF(AND($D840="Yes",R$4&gt;=$E840),1,0)</f>
        <v/>
      </c>
      <c r="S840" s="10">
        <f>IF(AND($D840="Yes",S$4&gt;=$E840),1,0)</f>
        <v/>
      </c>
      <c r="T840" s="10">
        <f>IF(AND($D840="Yes",T$4&gt;=$E840),1,0)</f>
        <v/>
      </c>
      <c r="U840" s="10">
        <f>IF(AND($D840="Yes",U$4&gt;=$E840),1,0)</f>
        <v/>
      </c>
      <c r="V840" s="10">
        <f>IF(AND($D840="Yes",V$4&gt;=$E840),1,0)</f>
        <v/>
      </c>
      <c r="W840" s="10">
        <f>IF(AND($D840="Yes",W$4&gt;=$E840),1,0)</f>
        <v/>
      </c>
      <c r="X840" s="10">
        <f>IF(AND($D840="Yes",X$4&gt;=$E840),1,0)</f>
        <v/>
      </c>
      <c r="Y840" s="10">
        <f>IF(AND($D840="Yes",Y$4&gt;=$E840),1,0)</f>
        <v/>
      </c>
      <c r="Z840" s="10">
        <f>IF(AND($D840="Yes",Z$4&gt;=$E840),1,0)</f>
        <v/>
      </c>
      <c r="AA840" s="10">
        <f>IF(AND($D840="Yes",AA$4&gt;=$E840),1,0)</f>
        <v/>
      </c>
      <c r="AB840" s="10">
        <f>IF(AND($D840="Yes",AB$4&gt;=$E840),1,0)</f>
        <v/>
      </c>
      <c r="AC840" s="10">
        <f>IF(AND($D840="Yes",AC$4&gt;=$E840),1,0)</f>
        <v/>
      </c>
      <c r="AD840" s="10">
        <f>IF(AND($D840="Yes",AD$4&gt;=$E840),1,0)</f>
        <v/>
      </c>
      <c r="AE840" s="66">
        <f>PERMITTED($D840,$E840,AE$4)</f>
        <v/>
      </c>
      <c r="AG840" s="11">
        <f>CodePrefix&amp;$A840&amp;IF($C840="","","."&amp;$C840&amp;"."&amp;$B840)&amp;INDEX(VarEnd,MATCH($A840,VarKey,0))&amp;AG$5</f>
        <v/>
      </c>
      <c r="AH840" s="9">
        <f>IF(AND($D840="Yes",AH$4&gt;=$E840),1,0)</f>
        <v/>
      </c>
      <c r="AI840" s="10">
        <f>IF(AND($D840="Yes",AI$4&gt;=$E840),1,0)</f>
        <v/>
      </c>
      <c r="AJ840" s="10">
        <f>IF(AND($D840="Yes",AJ$4&gt;=$E840),1,0)</f>
        <v/>
      </c>
      <c r="AK840" s="10">
        <f>IF(AND($D840="Yes",AK$4&gt;=$E840),1,0)</f>
        <v/>
      </c>
      <c r="AL840" s="10">
        <f>IF(AND($D840="Yes",AL$4&gt;=$E840),1,0)</f>
        <v/>
      </c>
      <c r="AM840" s="10">
        <f>IF(AND($D840="Yes",AM$4&gt;=$E840),1,0)</f>
        <v/>
      </c>
      <c r="AN840" s="10">
        <f>IF(AND($D840="Yes",AN$4&gt;=$E840),1,0)</f>
        <v/>
      </c>
      <c r="AO840" s="10">
        <f>IF(AND($D840="Yes",AO$4&gt;=$E840),1,0)</f>
        <v/>
      </c>
      <c r="AP840" s="10">
        <f>IF(AND($D840="Yes",AP$4&gt;=$E840),1,0)</f>
        <v/>
      </c>
      <c r="AQ840" s="10">
        <f>IF(AND($D840="Yes",AQ$4&gt;=$E840),1,0)</f>
        <v/>
      </c>
      <c r="AR840" s="10">
        <f>IF(AND($D840="Yes",AR$4&gt;=$E840),1,0)</f>
        <v/>
      </c>
      <c r="AS840" s="10">
        <f>IF(AND($D840="Yes",AS$4&gt;=$E840),1,0)</f>
        <v/>
      </c>
      <c r="AT840" s="10">
        <f>IF(AND($D840="Yes",AT$4&gt;=$E840),1,0)</f>
        <v/>
      </c>
      <c r="AU840" s="10">
        <f>IF(AND($D840="Yes",AU$4&gt;=$E840),1,0)</f>
        <v/>
      </c>
      <c r="AV840" s="10">
        <f>IF(AND($D840="Yes",AV$4&gt;=$E840),1,0)</f>
        <v/>
      </c>
      <c r="AW840" s="10">
        <f>IF(AND($D840="Yes",AW$4&gt;=$E840),1,0)</f>
        <v/>
      </c>
      <c r="AX840" s="10">
        <f>IF(AND($D840="Yes",AX$4&gt;=$E840),1,0)</f>
        <v/>
      </c>
      <c r="AY840" s="10">
        <f>IF(AND($D840="Yes",AY$4&gt;=$E840),1,0)</f>
        <v/>
      </c>
      <c r="AZ840" s="10">
        <f>IF(AND($D840="Yes",AZ$4&gt;=$E840),1,0)</f>
        <v/>
      </c>
      <c r="BA840" s="66">
        <f>PERMITTED($D840,$E840,BA$4)</f>
        <v/>
      </c>
    </row>
    <row r="841" hidden="1" outlineLevel="1">
      <c r="A841" s="14" t="inlineStr">
        <is>
          <t>permit</t>
        </is>
      </c>
      <c r="B841" s="14" t="inlineStr">
        <is>
          <t>hyd</t>
        </is>
      </c>
      <c r="C841" s="14" t="inlineStr">
        <is>
          <t>pow</t>
        </is>
      </c>
      <c r="D841" s="45">
        <f>INDEX(Inputs_power!$AH$5:$AH$13,MATCH($B841,Inputs_power!$A$5:$A$13,0))</f>
        <v/>
      </c>
      <c r="E841" s="45">
        <f>INDEX(Inputs_power!$AI$5:$AI$13,MATCH($B841,Inputs_power!$A$5:$A$13,0))</f>
        <v/>
      </c>
      <c r="F841" s="39" t="n"/>
      <c r="G841" s="39" t="n"/>
      <c r="H841" s="14">
        <f>INDEX(VarLab,MATCH($A841,VarKey,0))&amp;INDEX(MemLab,MATCH($C841&amp;"|"&amp;$B841,MemKey,0))</f>
        <v/>
      </c>
      <c r="I841" s="14">
        <f>INDEX(VarUnit,MATCH($A841,VarKey,0))</f>
        <v/>
      </c>
      <c r="J841" s="14">
        <f>INDEX(VarSrc,MATCH($A841,VarKey,0))</f>
        <v/>
      </c>
      <c r="K841" s="11">
        <f>CodePrefix&amp;$A841&amp;IF($C841="","","."&amp;$C841&amp;"."&amp;$B841)&amp;INDEX(VarEnd,MATCH($A841,VarKey,0))&amp;K$5</f>
        <v/>
      </c>
      <c r="L841" s="9">
        <f>IF(AND($D841="Yes",L$4&gt;=$E841),1,0)</f>
        <v/>
      </c>
      <c r="M841" s="10">
        <f>IF(AND($D841="Yes",M$4&gt;=$E841),1,0)</f>
        <v/>
      </c>
      <c r="N841" s="10">
        <f>IF(AND($D841="Yes",N$4&gt;=$E841),1,0)</f>
        <v/>
      </c>
      <c r="O841" s="10">
        <f>IF(AND($D841="Yes",O$4&gt;=$E841),1,0)</f>
        <v/>
      </c>
      <c r="P841" s="10">
        <f>IF(AND($D841="Yes",P$4&gt;=$E841),1,0)</f>
        <v/>
      </c>
      <c r="Q841" s="10">
        <f>IF(AND($D841="Yes",Q$4&gt;=$E841),1,0)</f>
        <v/>
      </c>
      <c r="R841" s="10">
        <f>IF(AND($D841="Yes",R$4&gt;=$E841),1,0)</f>
        <v/>
      </c>
      <c r="S841" s="10">
        <f>IF(AND($D841="Yes",S$4&gt;=$E841),1,0)</f>
        <v/>
      </c>
      <c r="T841" s="10">
        <f>IF(AND($D841="Yes",T$4&gt;=$E841),1,0)</f>
        <v/>
      </c>
      <c r="U841" s="10">
        <f>IF(AND($D841="Yes",U$4&gt;=$E841),1,0)</f>
        <v/>
      </c>
      <c r="V841" s="10">
        <f>IF(AND($D841="Yes",V$4&gt;=$E841),1,0)</f>
        <v/>
      </c>
      <c r="W841" s="10">
        <f>IF(AND($D841="Yes",W$4&gt;=$E841),1,0)</f>
        <v/>
      </c>
      <c r="X841" s="10">
        <f>IF(AND($D841="Yes",X$4&gt;=$E841),1,0)</f>
        <v/>
      </c>
      <c r="Y841" s="10">
        <f>IF(AND($D841="Yes",Y$4&gt;=$E841),1,0)</f>
        <v/>
      </c>
      <c r="Z841" s="10">
        <f>IF(AND($D841="Yes",Z$4&gt;=$E841),1,0)</f>
        <v/>
      </c>
      <c r="AA841" s="10">
        <f>IF(AND($D841="Yes",AA$4&gt;=$E841),1,0)</f>
        <v/>
      </c>
      <c r="AB841" s="10">
        <f>IF(AND($D841="Yes",AB$4&gt;=$E841),1,0)</f>
        <v/>
      </c>
      <c r="AC841" s="10">
        <f>IF(AND($D841="Yes",AC$4&gt;=$E841),1,0)</f>
        <v/>
      </c>
      <c r="AD841" s="10">
        <f>IF(AND($D841="Yes",AD$4&gt;=$E841),1,0)</f>
        <v/>
      </c>
      <c r="AE841" s="66">
        <f>PERMITTED($D841,$E841,AE$4)</f>
        <v/>
      </c>
      <c r="AG841" s="11">
        <f>CodePrefix&amp;$A841&amp;IF($C841="","","."&amp;$C841&amp;"."&amp;$B841)&amp;INDEX(VarEnd,MATCH($A841,VarKey,0))&amp;AG$5</f>
        <v/>
      </c>
      <c r="AH841" s="9">
        <f>IF(AND($D841="Yes",AH$4&gt;=$E841),1,0)</f>
        <v/>
      </c>
      <c r="AI841" s="10">
        <f>IF(AND($D841="Yes",AI$4&gt;=$E841),1,0)</f>
        <v/>
      </c>
      <c r="AJ841" s="10">
        <f>IF(AND($D841="Yes",AJ$4&gt;=$E841),1,0)</f>
        <v/>
      </c>
      <c r="AK841" s="10">
        <f>IF(AND($D841="Yes",AK$4&gt;=$E841),1,0)</f>
        <v/>
      </c>
      <c r="AL841" s="10">
        <f>IF(AND($D841="Yes",AL$4&gt;=$E841),1,0)</f>
        <v/>
      </c>
      <c r="AM841" s="10">
        <f>IF(AND($D841="Yes",AM$4&gt;=$E841),1,0)</f>
        <v/>
      </c>
      <c r="AN841" s="10">
        <f>IF(AND($D841="Yes",AN$4&gt;=$E841),1,0)</f>
        <v/>
      </c>
      <c r="AO841" s="10">
        <f>IF(AND($D841="Yes",AO$4&gt;=$E841),1,0)</f>
        <v/>
      </c>
      <c r="AP841" s="10">
        <f>IF(AND($D841="Yes",AP$4&gt;=$E841),1,0)</f>
        <v/>
      </c>
      <c r="AQ841" s="10">
        <f>IF(AND($D841="Yes",AQ$4&gt;=$E841),1,0)</f>
        <v/>
      </c>
      <c r="AR841" s="10">
        <f>IF(AND($D841="Yes",AR$4&gt;=$E841),1,0)</f>
        <v/>
      </c>
      <c r="AS841" s="10">
        <f>IF(AND($D841="Yes",AS$4&gt;=$E841),1,0)</f>
        <v/>
      </c>
      <c r="AT841" s="10">
        <f>IF(AND($D841="Yes",AT$4&gt;=$E841),1,0)</f>
        <v/>
      </c>
      <c r="AU841" s="10">
        <f>IF(AND($D841="Yes",AU$4&gt;=$E841),1,0)</f>
        <v/>
      </c>
      <c r="AV841" s="10">
        <f>IF(AND($D841="Yes",AV$4&gt;=$E841),1,0)</f>
        <v/>
      </c>
      <c r="AW841" s="10">
        <f>IF(AND($D841="Yes",AW$4&gt;=$E841),1,0)</f>
        <v/>
      </c>
      <c r="AX841" s="10">
        <f>IF(AND($D841="Yes",AX$4&gt;=$E841),1,0)</f>
        <v/>
      </c>
      <c r="AY841" s="10">
        <f>IF(AND($D841="Yes",AY$4&gt;=$E841),1,0)</f>
        <v/>
      </c>
      <c r="AZ841" s="10">
        <f>IF(AND($D841="Yes",AZ$4&gt;=$E841),1,0)</f>
        <v/>
      </c>
      <c r="BA841" s="66">
        <f>PERMITTED($D841,$E841,BA$4)</f>
        <v/>
      </c>
    </row>
    <row r="842" hidden="1" outlineLevel="1">
      <c r="A842" s="14" t="inlineStr">
        <is>
          <t>permit</t>
        </is>
      </c>
      <c r="B842" s="14" t="inlineStr">
        <is>
          <t>ore</t>
        </is>
      </c>
      <c r="C842" s="14" t="inlineStr">
        <is>
          <t>pow</t>
        </is>
      </c>
      <c r="D842" s="45">
        <f>INDEX(Inputs_power!$AH$5:$AH$13,MATCH($B842,Inputs_power!$A$5:$A$13,0))</f>
        <v/>
      </c>
      <c r="E842" s="45">
        <f>INDEX(Inputs_power!$AI$5:$AI$13,MATCH($B842,Inputs_power!$A$5:$A$13,0))</f>
        <v/>
      </c>
      <c r="F842" s="39" t="n"/>
      <c r="G842" s="39" t="n"/>
      <c r="H842" s="14">
        <f>INDEX(VarLab,MATCH($A842,VarKey,0))&amp;INDEX(MemLab,MATCH($C842&amp;"|"&amp;$B842,MemKey,0))</f>
        <v/>
      </c>
      <c r="I842" s="14">
        <f>INDEX(VarUnit,MATCH($A842,VarKey,0))</f>
        <v/>
      </c>
      <c r="J842" s="14">
        <f>INDEX(VarSrc,MATCH($A842,VarKey,0))</f>
        <v/>
      </c>
      <c r="K842" s="11">
        <f>CodePrefix&amp;$A842&amp;IF($C842="","","."&amp;$C842&amp;"."&amp;$B842)&amp;INDEX(VarEnd,MATCH($A842,VarKey,0))&amp;K$5</f>
        <v/>
      </c>
      <c r="L842" s="9">
        <f>IF(AND($D842="Yes",L$4&gt;=$E842),1,0)</f>
        <v/>
      </c>
      <c r="M842" s="10">
        <f>IF(AND($D842="Yes",M$4&gt;=$E842),1,0)</f>
        <v/>
      </c>
      <c r="N842" s="10">
        <f>IF(AND($D842="Yes",N$4&gt;=$E842),1,0)</f>
        <v/>
      </c>
      <c r="O842" s="10">
        <f>IF(AND($D842="Yes",O$4&gt;=$E842),1,0)</f>
        <v/>
      </c>
      <c r="P842" s="10">
        <f>IF(AND($D842="Yes",P$4&gt;=$E842),1,0)</f>
        <v/>
      </c>
      <c r="Q842" s="10">
        <f>IF(AND($D842="Yes",Q$4&gt;=$E842),1,0)</f>
        <v/>
      </c>
      <c r="R842" s="10">
        <f>IF(AND($D842="Yes",R$4&gt;=$E842),1,0)</f>
        <v/>
      </c>
      <c r="S842" s="10">
        <f>IF(AND($D842="Yes",S$4&gt;=$E842),1,0)</f>
        <v/>
      </c>
      <c r="T842" s="10">
        <f>IF(AND($D842="Yes",T$4&gt;=$E842),1,0)</f>
        <v/>
      </c>
      <c r="U842" s="10">
        <f>IF(AND($D842="Yes",U$4&gt;=$E842),1,0)</f>
        <v/>
      </c>
      <c r="V842" s="10">
        <f>IF(AND($D842="Yes",V$4&gt;=$E842),1,0)</f>
        <v/>
      </c>
      <c r="W842" s="10">
        <f>IF(AND($D842="Yes",W$4&gt;=$E842),1,0)</f>
        <v/>
      </c>
      <c r="X842" s="10">
        <f>IF(AND($D842="Yes",X$4&gt;=$E842),1,0)</f>
        <v/>
      </c>
      <c r="Y842" s="10">
        <f>IF(AND($D842="Yes",Y$4&gt;=$E842),1,0)</f>
        <v/>
      </c>
      <c r="Z842" s="10">
        <f>IF(AND($D842="Yes",Z$4&gt;=$E842),1,0)</f>
        <v/>
      </c>
      <c r="AA842" s="10">
        <f>IF(AND($D842="Yes",AA$4&gt;=$E842),1,0)</f>
        <v/>
      </c>
      <c r="AB842" s="10">
        <f>IF(AND($D842="Yes",AB$4&gt;=$E842),1,0)</f>
        <v/>
      </c>
      <c r="AC842" s="10">
        <f>IF(AND($D842="Yes",AC$4&gt;=$E842),1,0)</f>
        <v/>
      </c>
      <c r="AD842" s="10">
        <f>IF(AND($D842="Yes",AD$4&gt;=$E842),1,0)</f>
        <v/>
      </c>
      <c r="AE842" s="66">
        <f>PERMITTED($D842,$E842,AE$4)</f>
        <v/>
      </c>
      <c r="AG842" s="11">
        <f>CodePrefix&amp;$A842&amp;IF($C842="","","."&amp;$C842&amp;"."&amp;$B842)&amp;INDEX(VarEnd,MATCH($A842,VarKey,0))&amp;AG$5</f>
        <v/>
      </c>
      <c r="AH842" s="9">
        <f>IF(AND($D842="Yes",AH$4&gt;=$E842),1,0)</f>
        <v/>
      </c>
      <c r="AI842" s="10">
        <f>IF(AND($D842="Yes",AI$4&gt;=$E842),1,0)</f>
        <v/>
      </c>
      <c r="AJ842" s="10">
        <f>IF(AND($D842="Yes",AJ$4&gt;=$E842),1,0)</f>
        <v/>
      </c>
      <c r="AK842" s="10">
        <f>IF(AND($D842="Yes",AK$4&gt;=$E842),1,0)</f>
        <v/>
      </c>
      <c r="AL842" s="10">
        <f>IF(AND($D842="Yes",AL$4&gt;=$E842),1,0)</f>
        <v/>
      </c>
      <c r="AM842" s="10">
        <f>IF(AND($D842="Yes",AM$4&gt;=$E842),1,0)</f>
        <v/>
      </c>
      <c r="AN842" s="10">
        <f>IF(AND($D842="Yes",AN$4&gt;=$E842),1,0)</f>
        <v/>
      </c>
      <c r="AO842" s="10">
        <f>IF(AND($D842="Yes",AO$4&gt;=$E842),1,0)</f>
        <v/>
      </c>
      <c r="AP842" s="10">
        <f>IF(AND($D842="Yes",AP$4&gt;=$E842),1,0)</f>
        <v/>
      </c>
      <c r="AQ842" s="10">
        <f>IF(AND($D842="Yes",AQ$4&gt;=$E842),1,0)</f>
        <v/>
      </c>
      <c r="AR842" s="10">
        <f>IF(AND($D842="Yes",AR$4&gt;=$E842),1,0)</f>
        <v/>
      </c>
      <c r="AS842" s="10">
        <f>IF(AND($D842="Yes",AS$4&gt;=$E842),1,0)</f>
        <v/>
      </c>
      <c r="AT842" s="10">
        <f>IF(AND($D842="Yes",AT$4&gt;=$E842),1,0)</f>
        <v/>
      </c>
      <c r="AU842" s="10">
        <f>IF(AND($D842="Yes",AU$4&gt;=$E842),1,0)</f>
        <v/>
      </c>
      <c r="AV842" s="10">
        <f>IF(AND($D842="Yes",AV$4&gt;=$E842),1,0)</f>
        <v/>
      </c>
      <c r="AW842" s="10">
        <f>IF(AND($D842="Yes",AW$4&gt;=$E842),1,0)</f>
        <v/>
      </c>
      <c r="AX842" s="10">
        <f>IF(AND($D842="Yes",AX$4&gt;=$E842),1,0)</f>
        <v/>
      </c>
      <c r="AY842" s="10">
        <f>IF(AND($D842="Yes",AY$4&gt;=$E842),1,0)</f>
        <v/>
      </c>
      <c r="AZ842" s="10">
        <f>IF(AND($D842="Yes",AZ$4&gt;=$E842),1,0)</f>
        <v/>
      </c>
      <c r="BA842" s="66">
        <f>PERMITTED($D842,$E842,BA$4)</f>
        <v/>
      </c>
    </row>
    <row r="843" hidden="1" outlineLevel="1">
      <c r="A843" s="14" t="inlineStr">
        <is>
          <t>permit</t>
        </is>
      </c>
      <c r="B843" s="14" t="inlineStr">
        <is>
          <t>bio</t>
        </is>
      </c>
      <c r="C843" s="14" t="inlineStr">
        <is>
          <t>pow</t>
        </is>
      </c>
      <c r="D843" s="45">
        <f>INDEX(Inputs_power!$AH$5:$AH$13,MATCH($B843,Inputs_power!$A$5:$A$13,0))</f>
        <v/>
      </c>
      <c r="E843" s="45">
        <f>INDEX(Inputs_power!$AI$5:$AI$13,MATCH($B843,Inputs_power!$A$5:$A$13,0))</f>
        <v/>
      </c>
      <c r="F843" s="39" t="n"/>
      <c r="G843" s="39" t="n"/>
      <c r="H843" s="14">
        <f>INDEX(VarLab,MATCH($A843,VarKey,0))&amp;INDEX(MemLab,MATCH($C843&amp;"|"&amp;$B843,MemKey,0))</f>
        <v/>
      </c>
      <c r="I843" s="14">
        <f>INDEX(VarUnit,MATCH($A843,VarKey,0))</f>
        <v/>
      </c>
      <c r="J843" s="14">
        <f>INDEX(VarSrc,MATCH($A843,VarKey,0))</f>
        <v/>
      </c>
      <c r="K843" s="11">
        <f>CodePrefix&amp;$A843&amp;IF($C843="","","."&amp;$C843&amp;"."&amp;$B843)&amp;INDEX(VarEnd,MATCH($A843,VarKey,0))&amp;K$5</f>
        <v/>
      </c>
      <c r="L843" s="9">
        <f>IF(AND($D843="Yes",L$4&gt;=$E843),1,0)</f>
        <v/>
      </c>
      <c r="M843" s="10">
        <f>IF(AND($D843="Yes",M$4&gt;=$E843),1,0)</f>
        <v/>
      </c>
      <c r="N843" s="10">
        <f>IF(AND($D843="Yes",N$4&gt;=$E843),1,0)</f>
        <v/>
      </c>
      <c r="O843" s="10">
        <f>IF(AND($D843="Yes",O$4&gt;=$E843),1,0)</f>
        <v/>
      </c>
      <c r="P843" s="10">
        <f>IF(AND($D843="Yes",P$4&gt;=$E843),1,0)</f>
        <v/>
      </c>
      <c r="Q843" s="10">
        <f>IF(AND($D843="Yes",Q$4&gt;=$E843),1,0)</f>
        <v/>
      </c>
      <c r="R843" s="10">
        <f>IF(AND($D843="Yes",R$4&gt;=$E843),1,0)</f>
        <v/>
      </c>
      <c r="S843" s="10">
        <f>IF(AND($D843="Yes",S$4&gt;=$E843),1,0)</f>
        <v/>
      </c>
      <c r="T843" s="10">
        <f>IF(AND($D843="Yes",T$4&gt;=$E843),1,0)</f>
        <v/>
      </c>
      <c r="U843" s="10">
        <f>IF(AND($D843="Yes",U$4&gt;=$E843),1,0)</f>
        <v/>
      </c>
      <c r="V843" s="10">
        <f>IF(AND($D843="Yes",V$4&gt;=$E843),1,0)</f>
        <v/>
      </c>
      <c r="W843" s="10">
        <f>IF(AND($D843="Yes",W$4&gt;=$E843),1,0)</f>
        <v/>
      </c>
      <c r="X843" s="10">
        <f>IF(AND($D843="Yes",X$4&gt;=$E843),1,0)</f>
        <v/>
      </c>
      <c r="Y843" s="10">
        <f>IF(AND($D843="Yes",Y$4&gt;=$E843),1,0)</f>
        <v/>
      </c>
      <c r="Z843" s="10">
        <f>IF(AND($D843="Yes",Z$4&gt;=$E843),1,0)</f>
        <v/>
      </c>
      <c r="AA843" s="10">
        <f>IF(AND($D843="Yes",AA$4&gt;=$E843),1,0)</f>
        <v/>
      </c>
      <c r="AB843" s="10">
        <f>IF(AND($D843="Yes",AB$4&gt;=$E843),1,0)</f>
        <v/>
      </c>
      <c r="AC843" s="10">
        <f>IF(AND($D843="Yes",AC$4&gt;=$E843),1,0)</f>
        <v/>
      </c>
      <c r="AD843" s="10">
        <f>IF(AND($D843="Yes",AD$4&gt;=$E843),1,0)</f>
        <v/>
      </c>
      <c r="AE843" s="66">
        <f>PERMITTED($D843,$E843,AE$4)</f>
        <v/>
      </c>
      <c r="AG843" s="11">
        <f>CodePrefix&amp;$A843&amp;IF($C843="","","."&amp;$C843&amp;"."&amp;$B843)&amp;INDEX(VarEnd,MATCH($A843,VarKey,0))&amp;AG$5</f>
        <v/>
      </c>
      <c r="AH843" s="9">
        <f>IF(AND($D843="Yes",AH$4&gt;=$E843),1,0)</f>
        <v/>
      </c>
      <c r="AI843" s="10">
        <f>IF(AND($D843="Yes",AI$4&gt;=$E843),1,0)</f>
        <v/>
      </c>
      <c r="AJ843" s="10">
        <f>IF(AND($D843="Yes",AJ$4&gt;=$E843),1,0)</f>
        <v/>
      </c>
      <c r="AK843" s="10">
        <f>IF(AND($D843="Yes",AK$4&gt;=$E843),1,0)</f>
        <v/>
      </c>
      <c r="AL843" s="10">
        <f>IF(AND($D843="Yes",AL$4&gt;=$E843),1,0)</f>
        <v/>
      </c>
      <c r="AM843" s="10">
        <f>IF(AND($D843="Yes",AM$4&gt;=$E843),1,0)</f>
        <v/>
      </c>
      <c r="AN843" s="10">
        <f>IF(AND($D843="Yes",AN$4&gt;=$E843),1,0)</f>
        <v/>
      </c>
      <c r="AO843" s="10">
        <f>IF(AND($D843="Yes",AO$4&gt;=$E843),1,0)</f>
        <v/>
      </c>
      <c r="AP843" s="10">
        <f>IF(AND($D843="Yes",AP$4&gt;=$E843),1,0)</f>
        <v/>
      </c>
      <c r="AQ843" s="10">
        <f>IF(AND($D843="Yes",AQ$4&gt;=$E843),1,0)</f>
        <v/>
      </c>
      <c r="AR843" s="10">
        <f>IF(AND($D843="Yes",AR$4&gt;=$E843),1,0)</f>
        <v/>
      </c>
      <c r="AS843" s="10">
        <f>IF(AND($D843="Yes",AS$4&gt;=$E843),1,0)</f>
        <v/>
      </c>
      <c r="AT843" s="10">
        <f>IF(AND($D843="Yes",AT$4&gt;=$E843),1,0)</f>
        <v/>
      </c>
      <c r="AU843" s="10">
        <f>IF(AND($D843="Yes",AU$4&gt;=$E843),1,0)</f>
        <v/>
      </c>
      <c r="AV843" s="10">
        <f>IF(AND($D843="Yes",AV$4&gt;=$E843),1,0)</f>
        <v/>
      </c>
      <c r="AW843" s="10">
        <f>IF(AND($D843="Yes",AW$4&gt;=$E843),1,0)</f>
        <v/>
      </c>
      <c r="AX843" s="10">
        <f>IF(AND($D843="Yes",AX$4&gt;=$E843),1,0)</f>
        <v/>
      </c>
      <c r="AY843" s="10">
        <f>IF(AND($D843="Yes",AY$4&gt;=$E843),1,0)</f>
        <v/>
      </c>
      <c r="AZ843" s="10">
        <f>IF(AND($D843="Yes",AZ$4&gt;=$E843),1,0)</f>
        <v/>
      </c>
      <c r="BA843" s="66">
        <f>PERMITTED($D843,$E843,BA$4)</f>
        <v/>
      </c>
    </row>
    <row r="844" hidden="1" outlineLevel="1"/>
    <row r="845" hidden="1" outlineLevel="1">
      <c r="A845" s="14" t="inlineStr">
        <is>
          <t>maxinv</t>
        </is>
      </c>
      <c r="B845" s="14" t="inlineStr">
        <is>
          <t>coa</t>
        </is>
      </c>
      <c r="C845" s="14" t="inlineStr">
        <is>
          <t>pow</t>
        </is>
      </c>
      <c r="D845" s="45">
        <f>INDEX(Inputs_power!$AJ$5:$AJ$13,MATCH($B845,Inputs_power!$A$5:$A$13,0))</f>
        <v/>
      </c>
      <c r="E845" s="39" t="n"/>
      <c r="F845" s="39" t="n"/>
      <c r="G845" s="39" t="n"/>
      <c r="H845" s="14">
        <f>INDEX(VarLab,MATCH($A845,VarKey,0))&amp;INDEX(MemLab,MATCH($C845&amp;"|"&amp;$B845,MemKey,0))</f>
        <v/>
      </c>
      <c r="I845" s="14">
        <f>INDEX(VarUnit,MATCH($A845,VarKey,0))</f>
        <v/>
      </c>
      <c r="J845" s="14">
        <f>INDEX(VarSrc,MATCH($A845,VarKey,0))</f>
        <v/>
      </c>
      <c r="K845" s="11">
        <f>CodePrefix&amp;$A845&amp;IF($C845="","","."&amp;$C845&amp;"."&amp;$B845)&amp;INDEX(VarEnd,MATCH($A845,VarKey,0))&amp;K$5</f>
        <v/>
      </c>
      <c r="L845" s="46">
        <f>$D845*SUM(L$784:L$792)*L835</f>
        <v/>
      </c>
      <c r="M845" s="47">
        <f>$D845*SUM(M$784:M$792)*M835</f>
        <v/>
      </c>
      <c r="N845" s="47">
        <f>$D845*SUM(N$784:N$792)*N835</f>
        <v/>
      </c>
      <c r="O845" s="47">
        <f>$D845*SUM(O$784:O$792)*O835</f>
        <v/>
      </c>
      <c r="P845" s="47">
        <f>$D845*SUM(P$784:P$792)*P835</f>
        <v/>
      </c>
      <c r="Q845" s="47">
        <f>$D845*SUM(Q$784:Q$792)*Q835</f>
        <v/>
      </c>
      <c r="R845" s="47">
        <f>$D845*SUM(R$784:R$792)*R835</f>
        <v/>
      </c>
      <c r="S845" s="47">
        <f>$D845*SUM(S$784:S$792)*S835</f>
        <v/>
      </c>
      <c r="T845" s="47">
        <f>$D845*SUM(T$784:T$792)*T835</f>
        <v/>
      </c>
      <c r="U845" s="47">
        <f>$D845*SUM(U$784:U$792)*U835</f>
        <v/>
      </c>
      <c r="V845" s="47">
        <f>$D845*SUM(V$784:V$792)*V835</f>
        <v/>
      </c>
      <c r="W845" s="47">
        <f>$D845*SUM(W$784:W$792)*W835</f>
        <v/>
      </c>
      <c r="X845" s="47">
        <f>$D845*SUM(X$784:X$792)*X835</f>
        <v/>
      </c>
      <c r="Y845" s="47">
        <f>$D845*SUM(Y$784:Y$792)*Y835</f>
        <v/>
      </c>
      <c r="Z845" s="47">
        <f>$D845*SUM(Z$784:Z$792)*Z835</f>
        <v/>
      </c>
      <c r="AA845" s="47">
        <f>$D845*SUM(AA$784:AA$792)*AA835</f>
        <v/>
      </c>
      <c r="AB845" s="47">
        <f>$D845*SUM(AB$784:AB$792)*AB835</f>
        <v/>
      </c>
      <c r="AC845" s="47">
        <f>$D845*SUM(AC$784:AC$792)*AC835</f>
        <v/>
      </c>
      <c r="AD845" s="47">
        <f>$D845*SUM(AD$784:AD$792)*AD835</f>
        <v/>
      </c>
      <c r="AE845" s="48">
        <f>SCALEUP($D845,SUM(AE$784:AE$792),AE835)</f>
        <v/>
      </c>
      <c r="AG845" s="11">
        <f>CodePrefix&amp;$A845&amp;IF($C845="","","."&amp;$C845&amp;"."&amp;$B845)&amp;INDEX(VarEnd,MATCH($A845,VarKey,0))&amp;AG$5</f>
        <v/>
      </c>
      <c r="AH845" s="46">
        <f>$D845*SUM(AH$784:AH$792)*AH835</f>
        <v/>
      </c>
      <c r="AI845" s="47">
        <f>$D845*SUM(AI$784:AI$792)*AI835</f>
        <v/>
      </c>
      <c r="AJ845" s="47">
        <f>$D845*SUM(AJ$784:AJ$792)*AJ835</f>
        <v/>
      </c>
      <c r="AK845" s="47">
        <f>$D845*SUM(AK$784:AK$792)*AK835</f>
        <v/>
      </c>
      <c r="AL845" s="47">
        <f>$D845*SUM(AL$784:AL$792)*AL835</f>
        <v/>
      </c>
      <c r="AM845" s="47">
        <f>$D845*SUM(AM$784:AM$792)*AM835</f>
        <v/>
      </c>
      <c r="AN845" s="47">
        <f>$D845*SUM(AN$784:AN$792)*AN835</f>
        <v/>
      </c>
      <c r="AO845" s="47">
        <f>$D845*SUM(AO$784:AO$792)*AO835</f>
        <v/>
      </c>
      <c r="AP845" s="47">
        <f>$D845*SUM(AP$784:AP$792)*AP835</f>
        <v/>
      </c>
      <c r="AQ845" s="47">
        <f>$D845*SUM(AQ$784:AQ$792)*AQ835</f>
        <v/>
      </c>
      <c r="AR845" s="47">
        <f>$D845*SUM(AR$784:AR$792)*AR835</f>
        <v/>
      </c>
      <c r="AS845" s="47">
        <f>$D845*SUM(AS$784:AS$792)*AS835</f>
        <v/>
      </c>
      <c r="AT845" s="47">
        <f>$D845*SUM(AT$784:AT$792)*AT835</f>
        <v/>
      </c>
      <c r="AU845" s="47">
        <f>$D845*SUM(AU$784:AU$792)*AU835</f>
        <v/>
      </c>
      <c r="AV845" s="47">
        <f>$D845*SUM(AV$784:AV$792)*AV835</f>
        <v/>
      </c>
      <c r="AW845" s="47">
        <f>$D845*SUM(AW$784:AW$792)*AW835</f>
        <v/>
      </c>
      <c r="AX845" s="47">
        <f>$D845*SUM(AX$784:AX$792)*AX835</f>
        <v/>
      </c>
      <c r="AY845" s="47">
        <f>$D845*SUM(AY$784:AY$792)*AY835</f>
        <v/>
      </c>
      <c r="AZ845" s="47">
        <f>$D845*SUM(AZ$784:AZ$792)*AZ835</f>
        <v/>
      </c>
      <c r="BA845" s="48">
        <f>SCALEUP($D845,SUM(BA$784:BA$792),BA835)</f>
        <v/>
      </c>
    </row>
    <row r="846" hidden="1" outlineLevel="1">
      <c r="A846" s="14" t="inlineStr">
        <is>
          <t>maxinv</t>
        </is>
      </c>
      <c r="B846" s="14" t="inlineStr">
        <is>
          <t>nga</t>
        </is>
      </c>
      <c r="C846" s="14" t="inlineStr">
        <is>
          <t>pow</t>
        </is>
      </c>
      <c r="D846" s="45">
        <f>INDEX(Inputs_power!$AJ$5:$AJ$13,MATCH($B846,Inputs_power!$A$5:$A$13,0))</f>
        <v/>
      </c>
      <c r="E846" s="39" t="n"/>
      <c r="F846" s="39" t="n"/>
      <c r="G846" s="39" t="n"/>
      <c r="H846" s="14">
        <f>INDEX(VarLab,MATCH($A846,VarKey,0))&amp;INDEX(MemLab,MATCH($C846&amp;"|"&amp;$B846,MemKey,0))</f>
        <v/>
      </c>
      <c r="I846" s="14">
        <f>INDEX(VarUnit,MATCH($A846,VarKey,0))</f>
        <v/>
      </c>
      <c r="J846" s="14">
        <f>INDEX(VarSrc,MATCH($A846,VarKey,0))</f>
        <v/>
      </c>
      <c r="K846" s="11">
        <f>CodePrefix&amp;$A846&amp;IF($C846="","","."&amp;$C846&amp;"."&amp;$B846)&amp;INDEX(VarEnd,MATCH($A846,VarKey,0))&amp;K$5</f>
        <v/>
      </c>
      <c r="L846" s="46">
        <f>$D846*SUM(L$784:L$792)*L836</f>
        <v/>
      </c>
      <c r="M846" s="47">
        <f>$D846*SUM(M$784:M$792)*M836</f>
        <v/>
      </c>
      <c r="N846" s="47">
        <f>$D846*SUM(N$784:N$792)*N836</f>
        <v/>
      </c>
      <c r="O846" s="47">
        <f>$D846*SUM(O$784:O$792)*O836</f>
        <v/>
      </c>
      <c r="P846" s="47">
        <f>$D846*SUM(P$784:P$792)*P836</f>
        <v/>
      </c>
      <c r="Q846" s="47">
        <f>$D846*SUM(Q$784:Q$792)*Q836</f>
        <v/>
      </c>
      <c r="R846" s="47">
        <f>$D846*SUM(R$784:R$792)*R836</f>
        <v/>
      </c>
      <c r="S846" s="47">
        <f>$D846*SUM(S$784:S$792)*S836</f>
        <v/>
      </c>
      <c r="T846" s="47">
        <f>$D846*SUM(T$784:T$792)*T836</f>
        <v/>
      </c>
      <c r="U846" s="47">
        <f>$D846*SUM(U$784:U$792)*U836</f>
        <v/>
      </c>
      <c r="V846" s="47">
        <f>$D846*SUM(V$784:V$792)*V836</f>
        <v/>
      </c>
      <c r="W846" s="47">
        <f>$D846*SUM(W$784:W$792)*W836</f>
        <v/>
      </c>
      <c r="X846" s="47">
        <f>$D846*SUM(X$784:X$792)*X836</f>
        <v/>
      </c>
      <c r="Y846" s="47">
        <f>$D846*SUM(Y$784:Y$792)*Y836</f>
        <v/>
      </c>
      <c r="Z846" s="47">
        <f>$D846*SUM(Z$784:Z$792)*Z836</f>
        <v/>
      </c>
      <c r="AA846" s="47">
        <f>$D846*SUM(AA$784:AA$792)*AA836</f>
        <v/>
      </c>
      <c r="AB846" s="47">
        <f>$D846*SUM(AB$784:AB$792)*AB836</f>
        <v/>
      </c>
      <c r="AC846" s="47">
        <f>$D846*SUM(AC$784:AC$792)*AC836</f>
        <v/>
      </c>
      <c r="AD846" s="47">
        <f>$D846*SUM(AD$784:AD$792)*AD836</f>
        <v/>
      </c>
      <c r="AE846" s="48">
        <f>SCALEUP($D846,SUM(AE$784:AE$792),AE836)</f>
        <v/>
      </c>
      <c r="AG846" s="11">
        <f>CodePrefix&amp;$A846&amp;IF($C846="","","."&amp;$C846&amp;"."&amp;$B846)&amp;INDEX(VarEnd,MATCH($A846,VarKey,0))&amp;AG$5</f>
        <v/>
      </c>
      <c r="AH846" s="46">
        <f>$D846*SUM(AH$784:AH$792)*AH836</f>
        <v/>
      </c>
      <c r="AI846" s="47">
        <f>$D846*SUM(AI$784:AI$792)*AI836</f>
        <v/>
      </c>
      <c r="AJ846" s="47">
        <f>$D846*SUM(AJ$784:AJ$792)*AJ836</f>
        <v/>
      </c>
      <c r="AK846" s="47">
        <f>$D846*SUM(AK$784:AK$792)*AK836</f>
        <v/>
      </c>
      <c r="AL846" s="47">
        <f>$D846*SUM(AL$784:AL$792)*AL836</f>
        <v/>
      </c>
      <c r="AM846" s="47">
        <f>$D846*SUM(AM$784:AM$792)*AM836</f>
        <v/>
      </c>
      <c r="AN846" s="47">
        <f>$D846*SUM(AN$784:AN$792)*AN836</f>
        <v/>
      </c>
      <c r="AO846" s="47">
        <f>$D846*SUM(AO$784:AO$792)*AO836</f>
        <v/>
      </c>
      <c r="AP846" s="47">
        <f>$D846*SUM(AP$784:AP$792)*AP836</f>
        <v/>
      </c>
      <c r="AQ846" s="47">
        <f>$D846*SUM(AQ$784:AQ$792)*AQ836</f>
        <v/>
      </c>
      <c r="AR846" s="47">
        <f>$D846*SUM(AR$784:AR$792)*AR836</f>
        <v/>
      </c>
      <c r="AS846" s="47">
        <f>$D846*SUM(AS$784:AS$792)*AS836</f>
        <v/>
      </c>
      <c r="AT846" s="47">
        <f>$D846*SUM(AT$784:AT$792)*AT836</f>
        <v/>
      </c>
      <c r="AU846" s="47">
        <f>$D846*SUM(AU$784:AU$792)*AU836</f>
        <v/>
      </c>
      <c r="AV846" s="47">
        <f>$D846*SUM(AV$784:AV$792)*AV836</f>
        <v/>
      </c>
      <c r="AW846" s="47">
        <f>$D846*SUM(AW$784:AW$792)*AW836</f>
        <v/>
      </c>
      <c r="AX846" s="47">
        <f>$D846*SUM(AX$784:AX$792)*AX836</f>
        <v/>
      </c>
      <c r="AY846" s="47">
        <f>$D846*SUM(AY$784:AY$792)*AY836</f>
        <v/>
      </c>
      <c r="AZ846" s="47">
        <f>$D846*SUM(AZ$784:AZ$792)*AZ836</f>
        <v/>
      </c>
      <c r="BA846" s="48">
        <f>SCALEUP($D846,SUM(BA$784:BA$792),BA836)</f>
        <v/>
      </c>
    </row>
    <row r="847" hidden="1" outlineLevel="1">
      <c r="A847" s="14" t="inlineStr">
        <is>
          <t>maxinv</t>
        </is>
      </c>
      <c r="B847" s="14" t="inlineStr">
        <is>
          <t>oop</t>
        </is>
      </c>
      <c r="C847" s="14" t="inlineStr">
        <is>
          <t>pow</t>
        </is>
      </c>
      <c r="D847" s="45">
        <f>INDEX(Inputs_power!$AJ$5:$AJ$13,MATCH($B847,Inputs_power!$A$5:$A$13,0))</f>
        <v/>
      </c>
      <c r="E847" s="39" t="n"/>
      <c r="F847" s="39" t="n"/>
      <c r="G847" s="39" t="n"/>
      <c r="H847" s="14">
        <f>INDEX(VarLab,MATCH($A847,VarKey,0))&amp;INDEX(MemLab,MATCH($C847&amp;"|"&amp;$B847,MemKey,0))</f>
        <v/>
      </c>
      <c r="I847" s="14">
        <f>INDEX(VarUnit,MATCH($A847,VarKey,0))</f>
        <v/>
      </c>
      <c r="J847" s="14">
        <f>INDEX(VarSrc,MATCH($A847,VarKey,0))</f>
        <v/>
      </c>
      <c r="K847" s="11">
        <f>CodePrefix&amp;$A847&amp;IF($C847="","","."&amp;$C847&amp;"."&amp;$B847)&amp;INDEX(VarEnd,MATCH($A847,VarKey,0))&amp;K$5</f>
        <v/>
      </c>
      <c r="L847" s="46">
        <f>$D847*SUM(L$784:L$792)*L837</f>
        <v/>
      </c>
      <c r="M847" s="47">
        <f>$D847*SUM(M$784:M$792)*M837</f>
        <v/>
      </c>
      <c r="N847" s="47">
        <f>$D847*SUM(N$784:N$792)*N837</f>
        <v/>
      </c>
      <c r="O847" s="47">
        <f>$D847*SUM(O$784:O$792)*O837</f>
        <v/>
      </c>
      <c r="P847" s="47">
        <f>$D847*SUM(P$784:P$792)*P837</f>
        <v/>
      </c>
      <c r="Q847" s="47">
        <f>$D847*SUM(Q$784:Q$792)*Q837</f>
        <v/>
      </c>
      <c r="R847" s="47">
        <f>$D847*SUM(R$784:R$792)*R837</f>
        <v/>
      </c>
      <c r="S847" s="47">
        <f>$D847*SUM(S$784:S$792)*S837</f>
        <v/>
      </c>
      <c r="T847" s="47">
        <f>$D847*SUM(T$784:T$792)*T837</f>
        <v/>
      </c>
      <c r="U847" s="47">
        <f>$D847*SUM(U$784:U$792)*U837</f>
        <v/>
      </c>
      <c r="V847" s="47">
        <f>$D847*SUM(V$784:V$792)*V837</f>
        <v/>
      </c>
      <c r="W847" s="47">
        <f>$D847*SUM(W$784:W$792)*W837</f>
        <v/>
      </c>
      <c r="X847" s="47">
        <f>$D847*SUM(X$784:X$792)*X837</f>
        <v/>
      </c>
      <c r="Y847" s="47">
        <f>$D847*SUM(Y$784:Y$792)*Y837</f>
        <v/>
      </c>
      <c r="Z847" s="47">
        <f>$D847*SUM(Z$784:Z$792)*Z837</f>
        <v/>
      </c>
      <c r="AA847" s="47">
        <f>$D847*SUM(AA$784:AA$792)*AA837</f>
        <v/>
      </c>
      <c r="AB847" s="47">
        <f>$D847*SUM(AB$784:AB$792)*AB837</f>
        <v/>
      </c>
      <c r="AC847" s="47">
        <f>$D847*SUM(AC$784:AC$792)*AC837</f>
        <v/>
      </c>
      <c r="AD847" s="47">
        <f>$D847*SUM(AD$784:AD$792)*AD837</f>
        <v/>
      </c>
      <c r="AE847" s="48">
        <f>SCALEUP($D847,SUM(AE$784:AE$792),AE837)</f>
        <v/>
      </c>
      <c r="AG847" s="11">
        <f>CodePrefix&amp;$A847&amp;IF($C847="","","."&amp;$C847&amp;"."&amp;$B847)&amp;INDEX(VarEnd,MATCH($A847,VarKey,0))&amp;AG$5</f>
        <v/>
      </c>
      <c r="AH847" s="46">
        <f>$D847*SUM(AH$784:AH$792)*AH837</f>
        <v/>
      </c>
      <c r="AI847" s="47">
        <f>$D847*SUM(AI$784:AI$792)*AI837</f>
        <v/>
      </c>
      <c r="AJ847" s="47">
        <f>$D847*SUM(AJ$784:AJ$792)*AJ837</f>
        <v/>
      </c>
      <c r="AK847" s="47">
        <f>$D847*SUM(AK$784:AK$792)*AK837</f>
        <v/>
      </c>
      <c r="AL847" s="47">
        <f>$D847*SUM(AL$784:AL$792)*AL837</f>
        <v/>
      </c>
      <c r="AM847" s="47">
        <f>$D847*SUM(AM$784:AM$792)*AM837</f>
        <v/>
      </c>
      <c r="AN847" s="47">
        <f>$D847*SUM(AN$784:AN$792)*AN837</f>
        <v/>
      </c>
      <c r="AO847" s="47">
        <f>$D847*SUM(AO$784:AO$792)*AO837</f>
        <v/>
      </c>
      <c r="AP847" s="47">
        <f>$D847*SUM(AP$784:AP$792)*AP837</f>
        <v/>
      </c>
      <c r="AQ847" s="47">
        <f>$D847*SUM(AQ$784:AQ$792)*AQ837</f>
        <v/>
      </c>
      <c r="AR847" s="47">
        <f>$D847*SUM(AR$784:AR$792)*AR837</f>
        <v/>
      </c>
      <c r="AS847" s="47">
        <f>$D847*SUM(AS$784:AS$792)*AS837</f>
        <v/>
      </c>
      <c r="AT847" s="47">
        <f>$D847*SUM(AT$784:AT$792)*AT837</f>
        <v/>
      </c>
      <c r="AU847" s="47">
        <f>$D847*SUM(AU$784:AU$792)*AU837</f>
        <v/>
      </c>
      <c r="AV847" s="47">
        <f>$D847*SUM(AV$784:AV$792)*AV837</f>
        <v/>
      </c>
      <c r="AW847" s="47">
        <f>$D847*SUM(AW$784:AW$792)*AW837</f>
        <v/>
      </c>
      <c r="AX847" s="47">
        <f>$D847*SUM(AX$784:AX$792)*AX837</f>
        <v/>
      </c>
      <c r="AY847" s="47">
        <f>$D847*SUM(AY$784:AY$792)*AY837</f>
        <v/>
      </c>
      <c r="AZ847" s="47">
        <f>$D847*SUM(AZ$784:AZ$792)*AZ837</f>
        <v/>
      </c>
      <c r="BA847" s="48">
        <f>SCALEUP($D847,SUM(BA$784:BA$792),BA837)</f>
        <v/>
      </c>
    </row>
    <row r="848" hidden="1" outlineLevel="1">
      <c r="A848" s="14" t="inlineStr">
        <is>
          <t>maxinv</t>
        </is>
      </c>
      <c r="B848" s="14" t="inlineStr">
        <is>
          <t>nuc</t>
        </is>
      </c>
      <c r="C848" s="14" t="inlineStr">
        <is>
          <t>pow</t>
        </is>
      </c>
      <c r="D848" s="45">
        <f>INDEX(Inputs_power!$AJ$5:$AJ$13,MATCH($B848,Inputs_power!$A$5:$A$13,0))</f>
        <v/>
      </c>
      <c r="E848" s="39" t="n"/>
      <c r="F848" s="39" t="n"/>
      <c r="G848" s="39" t="n"/>
      <c r="H848" s="14">
        <f>INDEX(VarLab,MATCH($A848,VarKey,0))&amp;INDEX(MemLab,MATCH($C848&amp;"|"&amp;$B848,MemKey,0))</f>
        <v/>
      </c>
      <c r="I848" s="14">
        <f>INDEX(VarUnit,MATCH($A848,VarKey,0))</f>
        <v/>
      </c>
      <c r="J848" s="14">
        <f>INDEX(VarSrc,MATCH($A848,VarKey,0))</f>
        <v/>
      </c>
      <c r="K848" s="11">
        <f>CodePrefix&amp;$A848&amp;IF($C848="","","."&amp;$C848&amp;"."&amp;$B848)&amp;INDEX(VarEnd,MATCH($A848,VarKey,0))&amp;K$5</f>
        <v/>
      </c>
      <c r="L848" s="46">
        <f>$D848*SUM(L$784:L$792)*L838</f>
        <v/>
      </c>
      <c r="M848" s="47">
        <f>$D848*SUM(M$784:M$792)*M838</f>
        <v/>
      </c>
      <c r="N848" s="47">
        <f>$D848*SUM(N$784:N$792)*N838</f>
        <v/>
      </c>
      <c r="O848" s="47">
        <f>$D848*SUM(O$784:O$792)*O838</f>
        <v/>
      </c>
      <c r="P848" s="47">
        <f>$D848*SUM(P$784:P$792)*P838</f>
        <v/>
      </c>
      <c r="Q848" s="47">
        <f>$D848*SUM(Q$784:Q$792)*Q838</f>
        <v/>
      </c>
      <c r="R848" s="47">
        <f>$D848*SUM(R$784:R$792)*R838</f>
        <v/>
      </c>
      <c r="S848" s="47">
        <f>$D848*SUM(S$784:S$792)*S838</f>
        <v/>
      </c>
      <c r="T848" s="47">
        <f>$D848*SUM(T$784:T$792)*T838</f>
        <v/>
      </c>
      <c r="U848" s="47">
        <f>$D848*SUM(U$784:U$792)*U838</f>
        <v/>
      </c>
      <c r="V848" s="47">
        <f>$D848*SUM(V$784:V$792)*V838</f>
        <v/>
      </c>
      <c r="W848" s="47">
        <f>$D848*SUM(W$784:W$792)*W838</f>
        <v/>
      </c>
      <c r="X848" s="47">
        <f>$D848*SUM(X$784:X$792)*X838</f>
        <v/>
      </c>
      <c r="Y848" s="47">
        <f>$D848*SUM(Y$784:Y$792)*Y838</f>
        <v/>
      </c>
      <c r="Z848" s="47">
        <f>$D848*SUM(Z$784:Z$792)*Z838</f>
        <v/>
      </c>
      <c r="AA848" s="47">
        <f>$D848*SUM(AA$784:AA$792)*AA838</f>
        <v/>
      </c>
      <c r="AB848" s="47">
        <f>$D848*SUM(AB$784:AB$792)*AB838</f>
        <v/>
      </c>
      <c r="AC848" s="47">
        <f>$D848*SUM(AC$784:AC$792)*AC838</f>
        <v/>
      </c>
      <c r="AD848" s="47">
        <f>$D848*SUM(AD$784:AD$792)*AD838</f>
        <v/>
      </c>
      <c r="AE848" s="48">
        <f>SCALEUP($D848,SUM(AE$784:AE$792),AE838)</f>
        <v/>
      </c>
      <c r="AG848" s="11">
        <f>CodePrefix&amp;$A848&amp;IF($C848="","","."&amp;$C848&amp;"."&amp;$B848)&amp;INDEX(VarEnd,MATCH($A848,VarKey,0))&amp;AG$5</f>
        <v/>
      </c>
      <c r="AH848" s="46">
        <f>$D848*SUM(AH$784:AH$792)*AH838</f>
        <v/>
      </c>
      <c r="AI848" s="47">
        <f>$D848*SUM(AI$784:AI$792)*AI838</f>
        <v/>
      </c>
      <c r="AJ848" s="47">
        <f>$D848*SUM(AJ$784:AJ$792)*AJ838</f>
        <v/>
      </c>
      <c r="AK848" s="47">
        <f>$D848*SUM(AK$784:AK$792)*AK838</f>
        <v/>
      </c>
      <c r="AL848" s="47">
        <f>$D848*SUM(AL$784:AL$792)*AL838</f>
        <v/>
      </c>
      <c r="AM848" s="47">
        <f>$D848*SUM(AM$784:AM$792)*AM838</f>
        <v/>
      </c>
      <c r="AN848" s="47">
        <f>$D848*SUM(AN$784:AN$792)*AN838</f>
        <v/>
      </c>
      <c r="AO848" s="47">
        <f>$D848*SUM(AO$784:AO$792)*AO838</f>
        <v/>
      </c>
      <c r="AP848" s="47">
        <f>$D848*SUM(AP$784:AP$792)*AP838</f>
        <v/>
      </c>
      <c r="AQ848" s="47">
        <f>$D848*SUM(AQ$784:AQ$792)*AQ838</f>
        <v/>
      </c>
      <c r="AR848" s="47">
        <f>$D848*SUM(AR$784:AR$792)*AR838</f>
        <v/>
      </c>
      <c r="AS848" s="47">
        <f>$D848*SUM(AS$784:AS$792)*AS838</f>
        <v/>
      </c>
      <c r="AT848" s="47">
        <f>$D848*SUM(AT$784:AT$792)*AT838</f>
        <v/>
      </c>
      <c r="AU848" s="47">
        <f>$D848*SUM(AU$784:AU$792)*AU838</f>
        <v/>
      </c>
      <c r="AV848" s="47">
        <f>$D848*SUM(AV$784:AV$792)*AV838</f>
        <v/>
      </c>
      <c r="AW848" s="47">
        <f>$D848*SUM(AW$784:AW$792)*AW838</f>
        <v/>
      </c>
      <c r="AX848" s="47">
        <f>$D848*SUM(AX$784:AX$792)*AX838</f>
        <v/>
      </c>
      <c r="AY848" s="47">
        <f>$D848*SUM(AY$784:AY$792)*AY838</f>
        <v/>
      </c>
      <c r="AZ848" s="47">
        <f>$D848*SUM(AZ$784:AZ$792)*AZ838</f>
        <v/>
      </c>
      <c r="BA848" s="48">
        <f>SCALEUP($D848,SUM(BA$784:BA$792),BA838)</f>
        <v/>
      </c>
    </row>
    <row r="849" hidden="1" outlineLevel="1">
      <c r="A849" s="14" t="inlineStr">
        <is>
          <t>maxinv</t>
        </is>
      </c>
      <c r="B849" s="14" t="inlineStr">
        <is>
          <t>wnd</t>
        </is>
      </c>
      <c r="C849" s="14" t="inlineStr">
        <is>
          <t>pow</t>
        </is>
      </c>
      <c r="D849" s="45">
        <f>INDEX(Inputs_power!$AJ$5:$AJ$13,MATCH($B849,Inputs_power!$A$5:$A$13,0))</f>
        <v/>
      </c>
      <c r="E849" s="39" t="n"/>
      <c r="F849" s="39" t="n"/>
      <c r="G849" s="39" t="n"/>
      <c r="H849" s="14">
        <f>INDEX(VarLab,MATCH($A849,VarKey,0))&amp;INDEX(MemLab,MATCH($C849&amp;"|"&amp;$B849,MemKey,0))</f>
        <v/>
      </c>
      <c r="I849" s="14">
        <f>INDEX(VarUnit,MATCH($A849,VarKey,0))</f>
        <v/>
      </c>
      <c r="J849" s="14">
        <f>INDEX(VarSrc,MATCH($A849,VarKey,0))</f>
        <v/>
      </c>
      <c r="K849" s="11">
        <f>CodePrefix&amp;$A849&amp;IF($C849="","","."&amp;$C849&amp;"."&amp;$B849)&amp;INDEX(VarEnd,MATCH($A849,VarKey,0))&amp;K$5</f>
        <v/>
      </c>
      <c r="L849" s="46">
        <f>$D849*SUM(L$784:L$792)*L839</f>
        <v/>
      </c>
      <c r="M849" s="47">
        <f>$D849*SUM(M$784:M$792)*M839</f>
        <v/>
      </c>
      <c r="N849" s="47">
        <f>$D849*SUM(N$784:N$792)*N839</f>
        <v/>
      </c>
      <c r="O849" s="47">
        <f>$D849*SUM(O$784:O$792)*O839</f>
        <v/>
      </c>
      <c r="P849" s="47">
        <f>$D849*SUM(P$784:P$792)*P839</f>
        <v/>
      </c>
      <c r="Q849" s="47">
        <f>$D849*SUM(Q$784:Q$792)*Q839</f>
        <v/>
      </c>
      <c r="R849" s="47">
        <f>$D849*SUM(R$784:R$792)*R839</f>
        <v/>
      </c>
      <c r="S849" s="47">
        <f>$D849*SUM(S$784:S$792)*S839</f>
        <v/>
      </c>
      <c r="T849" s="47">
        <f>$D849*SUM(T$784:T$792)*T839</f>
        <v/>
      </c>
      <c r="U849" s="47">
        <f>$D849*SUM(U$784:U$792)*U839</f>
        <v/>
      </c>
      <c r="V849" s="47">
        <f>$D849*SUM(V$784:V$792)*V839</f>
        <v/>
      </c>
      <c r="W849" s="47">
        <f>$D849*SUM(W$784:W$792)*W839</f>
        <v/>
      </c>
      <c r="X849" s="47">
        <f>$D849*SUM(X$784:X$792)*X839</f>
        <v/>
      </c>
      <c r="Y849" s="47">
        <f>$D849*SUM(Y$784:Y$792)*Y839</f>
        <v/>
      </c>
      <c r="Z849" s="47">
        <f>$D849*SUM(Z$784:Z$792)*Z839</f>
        <v/>
      </c>
      <c r="AA849" s="47">
        <f>$D849*SUM(AA$784:AA$792)*AA839</f>
        <v/>
      </c>
      <c r="AB849" s="47">
        <f>$D849*SUM(AB$784:AB$792)*AB839</f>
        <v/>
      </c>
      <c r="AC849" s="47">
        <f>$D849*SUM(AC$784:AC$792)*AC839</f>
        <v/>
      </c>
      <c r="AD849" s="47">
        <f>$D849*SUM(AD$784:AD$792)*AD839</f>
        <v/>
      </c>
      <c r="AE849" s="48">
        <f>SCALEUP($D849,SUM(AE$784:AE$792),AE839)</f>
        <v/>
      </c>
      <c r="AG849" s="11">
        <f>CodePrefix&amp;$A849&amp;IF($C849="","","."&amp;$C849&amp;"."&amp;$B849)&amp;INDEX(VarEnd,MATCH($A849,VarKey,0))&amp;AG$5</f>
        <v/>
      </c>
      <c r="AH849" s="46">
        <f>$D849*SUM(AH$784:AH$792)*AH839</f>
        <v/>
      </c>
      <c r="AI849" s="47">
        <f>$D849*SUM(AI$784:AI$792)*AI839</f>
        <v/>
      </c>
      <c r="AJ849" s="47">
        <f>$D849*SUM(AJ$784:AJ$792)*AJ839</f>
        <v/>
      </c>
      <c r="AK849" s="47">
        <f>$D849*SUM(AK$784:AK$792)*AK839</f>
        <v/>
      </c>
      <c r="AL849" s="47">
        <f>$D849*SUM(AL$784:AL$792)*AL839</f>
        <v/>
      </c>
      <c r="AM849" s="47">
        <f>$D849*SUM(AM$784:AM$792)*AM839</f>
        <v/>
      </c>
      <c r="AN849" s="47">
        <f>$D849*SUM(AN$784:AN$792)*AN839</f>
        <v/>
      </c>
      <c r="AO849" s="47">
        <f>$D849*SUM(AO$784:AO$792)*AO839</f>
        <v/>
      </c>
      <c r="AP849" s="47">
        <f>$D849*SUM(AP$784:AP$792)*AP839</f>
        <v/>
      </c>
      <c r="AQ849" s="47">
        <f>$D849*SUM(AQ$784:AQ$792)*AQ839</f>
        <v/>
      </c>
      <c r="AR849" s="47">
        <f>$D849*SUM(AR$784:AR$792)*AR839</f>
        <v/>
      </c>
      <c r="AS849" s="47">
        <f>$D849*SUM(AS$784:AS$792)*AS839</f>
        <v/>
      </c>
      <c r="AT849" s="47">
        <f>$D849*SUM(AT$784:AT$792)*AT839</f>
        <v/>
      </c>
      <c r="AU849" s="47">
        <f>$D849*SUM(AU$784:AU$792)*AU839</f>
        <v/>
      </c>
      <c r="AV849" s="47">
        <f>$D849*SUM(AV$784:AV$792)*AV839</f>
        <v/>
      </c>
      <c r="AW849" s="47">
        <f>$D849*SUM(AW$784:AW$792)*AW839</f>
        <v/>
      </c>
      <c r="AX849" s="47">
        <f>$D849*SUM(AX$784:AX$792)*AX839</f>
        <v/>
      </c>
      <c r="AY849" s="47">
        <f>$D849*SUM(AY$784:AY$792)*AY839</f>
        <v/>
      </c>
      <c r="AZ849" s="47">
        <f>$D849*SUM(AZ$784:AZ$792)*AZ839</f>
        <v/>
      </c>
      <c r="BA849" s="48">
        <f>SCALEUP($D849,SUM(BA$784:BA$792),BA839)</f>
        <v/>
      </c>
    </row>
    <row r="850" hidden="1" outlineLevel="1">
      <c r="A850" s="14" t="inlineStr">
        <is>
          <t>maxinv</t>
        </is>
      </c>
      <c r="B850" s="14" t="inlineStr">
        <is>
          <t>sol</t>
        </is>
      </c>
      <c r="C850" s="14" t="inlineStr">
        <is>
          <t>pow</t>
        </is>
      </c>
      <c r="D850" s="45">
        <f>INDEX(Inputs_power!$AJ$5:$AJ$13,MATCH($B850,Inputs_power!$A$5:$A$13,0))</f>
        <v/>
      </c>
      <c r="E850" s="39" t="n"/>
      <c r="F850" s="39" t="n"/>
      <c r="G850" s="39" t="n"/>
      <c r="H850" s="14">
        <f>INDEX(VarLab,MATCH($A850,VarKey,0))&amp;INDEX(MemLab,MATCH($C850&amp;"|"&amp;$B850,MemKey,0))</f>
        <v/>
      </c>
      <c r="I850" s="14">
        <f>INDEX(VarUnit,MATCH($A850,VarKey,0))</f>
        <v/>
      </c>
      <c r="J850" s="14">
        <f>INDEX(VarSrc,MATCH($A850,VarKey,0))</f>
        <v/>
      </c>
      <c r="K850" s="11">
        <f>CodePrefix&amp;$A850&amp;IF($C850="","","."&amp;$C850&amp;"."&amp;$B850)&amp;INDEX(VarEnd,MATCH($A850,VarKey,0))&amp;K$5</f>
        <v/>
      </c>
      <c r="L850" s="46">
        <f>$D850*SUM(L$784:L$792)*L840</f>
        <v/>
      </c>
      <c r="M850" s="47">
        <f>$D850*SUM(M$784:M$792)*M840</f>
        <v/>
      </c>
      <c r="N850" s="47">
        <f>$D850*SUM(N$784:N$792)*N840</f>
        <v/>
      </c>
      <c r="O850" s="47">
        <f>$D850*SUM(O$784:O$792)*O840</f>
        <v/>
      </c>
      <c r="P850" s="47">
        <f>$D850*SUM(P$784:P$792)*P840</f>
        <v/>
      </c>
      <c r="Q850" s="47">
        <f>$D850*SUM(Q$784:Q$792)*Q840</f>
        <v/>
      </c>
      <c r="R850" s="47">
        <f>$D850*SUM(R$784:R$792)*R840</f>
        <v/>
      </c>
      <c r="S850" s="47">
        <f>$D850*SUM(S$784:S$792)*S840</f>
        <v/>
      </c>
      <c r="T850" s="47">
        <f>$D850*SUM(T$784:T$792)*T840</f>
        <v/>
      </c>
      <c r="U850" s="47">
        <f>$D850*SUM(U$784:U$792)*U840</f>
        <v/>
      </c>
      <c r="V850" s="47">
        <f>$D850*SUM(V$784:V$792)*V840</f>
        <v/>
      </c>
      <c r="W850" s="47">
        <f>$D850*SUM(W$784:W$792)*W840</f>
        <v/>
      </c>
      <c r="X850" s="47">
        <f>$D850*SUM(X$784:X$792)*X840</f>
        <v/>
      </c>
      <c r="Y850" s="47">
        <f>$D850*SUM(Y$784:Y$792)*Y840</f>
        <v/>
      </c>
      <c r="Z850" s="47">
        <f>$D850*SUM(Z$784:Z$792)*Z840</f>
        <v/>
      </c>
      <c r="AA850" s="47">
        <f>$D850*SUM(AA$784:AA$792)*AA840</f>
        <v/>
      </c>
      <c r="AB850" s="47">
        <f>$D850*SUM(AB$784:AB$792)*AB840</f>
        <v/>
      </c>
      <c r="AC850" s="47">
        <f>$D850*SUM(AC$784:AC$792)*AC840</f>
        <v/>
      </c>
      <c r="AD850" s="47">
        <f>$D850*SUM(AD$784:AD$792)*AD840</f>
        <v/>
      </c>
      <c r="AE850" s="48">
        <f>SCALEUP($D850,SUM(AE$784:AE$792),AE840)</f>
        <v/>
      </c>
      <c r="AG850" s="11">
        <f>CodePrefix&amp;$A850&amp;IF($C850="","","."&amp;$C850&amp;"."&amp;$B850)&amp;INDEX(VarEnd,MATCH($A850,VarKey,0))&amp;AG$5</f>
        <v/>
      </c>
      <c r="AH850" s="46">
        <f>$D850*SUM(AH$784:AH$792)*AH840</f>
        <v/>
      </c>
      <c r="AI850" s="47">
        <f>$D850*SUM(AI$784:AI$792)*AI840</f>
        <v/>
      </c>
      <c r="AJ850" s="47">
        <f>$D850*SUM(AJ$784:AJ$792)*AJ840</f>
        <v/>
      </c>
      <c r="AK850" s="47">
        <f>$D850*SUM(AK$784:AK$792)*AK840</f>
        <v/>
      </c>
      <c r="AL850" s="47">
        <f>$D850*SUM(AL$784:AL$792)*AL840</f>
        <v/>
      </c>
      <c r="AM850" s="47">
        <f>$D850*SUM(AM$784:AM$792)*AM840</f>
        <v/>
      </c>
      <c r="AN850" s="47">
        <f>$D850*SUM(AN$784:AN$792)*AN840</f>
        <v/>
      </c>
      <c r="AO850" s="47">
        <f>$D850*SUM(AO$784:AO$792)*AO840</f>
        <v/>
      </c>
      <c r="AP850" s="47">
        <f>$D850*SUM(AP$784:AP$792)*AP840</f>
        <v/>
      </c>
      <c r="AQ850" s="47">
        <f>$D850*SUM(AQ$784:AQ$792)*AQ840</f>
        <v/>
      </c>
      <c r="AR850" s="47">
        <f>$D850*SUM(AR$784:AR$792)*AR840</f>
        <v/>
      </c>
      <c r="AS850" s="47">
        <f>$D850*SUM(AS$784:AS$792)*AS840</f>
        <v/>
      </c>
      <c r="AT850" s="47">
        <f>$D850*SUM(AT$784:AT$792)*AT840</f>
        <v/>
      </c>
      <c r="AU850" s="47">
        <f>$D850*SUM(AU$784:AU$792)*AU840</f>
        <v/>
      </c>
      <c r="AV850" s="47">
        <f>$D850*SUM(AV$784:AV$792)*AV840</f>
        <v/>
      </c>
      <c r="AW850" s="47">
        <f>$D850*SUM(AW$784:AW$792)*AW840</f>
        <v/>
      </c>
      <c r="AX850" s="47">
        <f>$D850*SUM(AX$784:AX$792)*AX840</f>
        <v/>
      </c>
      <c r="AY850" s="47">
        <f>$D850*SUM(AY$784:AY$792)*AY840</f>
        <v/>
      </c>
      <c r="AZ850" s="47">
        <f>$D850*SUM(AZ$784:AZ$792)*AZ840</f>
        <v/>
      </c>
      <c r="BA850" s="48">
        <f>SCALEUP($D850,SUM(BA$784:BA$792),BA840)</f>
        <v/>
      </c>
    </row>
    <row r="851" hidden="1" outlineLevel="1">
      <c r="A851" s="14" t="inlineStr">
        <is>
          <t>maxinv</t>
        </is>
      </c>
      <c r="B851" s="14" t="inlineStr">
        <is>
          <t>hyd</t>
        </is>
      </c>
      <c r="C851" s="14" t="inlineStr">
        <is>
          <t>pow</t>
        </is>
      </c>
      <c r="D851" s="45">
        <f>INDEX(Inputs_power!$AJ$5:$AJ$13,MATCH($B851,Inputs_power!$A$5:$A$13,0))</f>
        <v/>
      </c>
      <c r="E851" s="39" t="n"/>
      <c r="F851" s="39" t="n"/>
      <c r="G851" s="39" t="n"/>
      <c r="H851" s="14">
        <f>INDEX(VarLab,MATCH($A851,VarKey,0))&amp;INDEX(MemLab,MATCH($C851&amp;"|"&amp;$B851,MemKey,0))</f>
        <v/>
      </c>
      <c r="I851" s="14">
        <f>INDEX(VarUnit,MATCH($A851,VarKey,0))</f>
        <v/>
      </c>
      <c r="J851" s="14">
        <f>INDEX(VarSrc,MATCH($A851,VarKey,0))</f>
        <v/>
      </c>
      <c r="K851" s="11">
        <f>CodePrefix&amp;$A851&amp;IF($C851="","","."&amp;$C851&amp;"."&amp;$B851)&amp;INDEX(VarEnd,MATCH($A851,VarKey,0))&amp;K$5</f>
        <v/>
      </c>
      <c r="L851" s="46">
        <f>$D851*SUM(L$784:L$792)*L841</f>
        <v/>
      </c>
      <c r="M851" s="47">
        <f>$D851*SUM(M$784:M$792)*M841</f>
        <v/>
      </c>
      <c r="N851" s="47">
        <f>$D851*SUM(N$784:N$792)*N841</f>
        <v/>
      </c>
      <c r="O851" s="47">
        <f>$D851*SUM(O$784:O$792)*O841</f>
        <v/>
      </c>
      <c r="P851" s="47">
        <f>$D851*SUM(P$784:P$792)*P841</f>
        <v/>
      </c>
      <c r="Q851" s="47">
        <f>$D851*SUM(Q$784:Q$792)*Q841</f>
        <v/>
      </c>
      <c r="R851" s="47">
        <f>$D851*SUM(R$784:R$792)*R841</f>
        <v/>
      </c>
      <c r="S851" s="47">
        <f>$D851*SUM(S$784:S$792)*S841</f>
        <v/>
      </c>
      <c r="T851" s="47">
        <f>$D851*SUM(T$784:T$792)*T841</f>
        <v/>
      </c>
      <c r="U851" s="47">
        <f>$D851*SUM(U$784:U$792)*U841</f>
        <v/>
      </c>
      <c r="V851" s="47">
        <f>$D851*SUM(V$784:V$792)*V841</f>
        <v/>
      </c>
      <c r="W851" s="47">
        <f>$D851*SUM(W$784:W$792)*W841</f>
        <v/>
      </c>
      <c r="X851" s="47">
        <f>$D851*SUM(X$784:X$792)*X841</f>
        <v/>
      </c>
      <c r="Y851" s="47">
        <f>$D851*SUM(Y$784:Y$792)*Y841</f>
        <v/>
      </c>
      <c r="Z851" s="47">
        <f>$D851*SUM(Z$784:Z$792)*Z841</f>
        <v/>
      </c>
      <c r="AA851" s="47">
        <f>$D851*SUM(AA$784:AA$792)*AA841</f>
        <v/>
      </c>
      <c r="AB851" s="47">
        <f>$D851*SUM(AB$784:AB$792)*AB841</f>
        <v/>
      </c>
      <c r="AC851" s="47">
        <f>$D851*SUM(AC$784:AC$792)*AC841</f>
        <v/>
      </c>
      <c r="AD851" s="47">
        <f>$D851*SUM(AD$784:AD$792)*AD841</f>
        <v/>
      </c>
      <c r="AE851" s="48">
        <f>SCALEUP($D851,SUM(AE$784:AE$792),AE841)</f>
        <v/>
      </c>
      <c r="AG851" s="11">
        <f>CodePrefix&amp;$A851&amp;IF($C851="","","."&amp;$C851&amp;"."&amp;$B851)&amp;INDEX(VarEnd,MATCH($A851,VarKey,0))&amp;AG$5</f>
        <v/>
      </c>
      <c r="AH851" s="46">
        <f>$D851*SUM(AH$784:AH$792)*AH841</f>
        <v/>
      </c>
      <c r="AI851" s="47">
        <f>$D851*SUM(AI$784:AI$792)*AI841</f>
        <v/>
      </c>
      <c r="AJ851" s="47">
        <f>$D851*SUM(AJ$784:AJ$792)*AJ841</f>
        <v/>
      </c>
      <c r="AK851" s="47">
        <f>$D851*SUM(AK$784:AK$792)*AK841</f>
        <v/>
      </c>
      <c r="AL851" s="47">
        <f>$D851*SUM(AL$784:AL$792)*AL841</f>
        <v/>
      </c>
      <c r="AM851" s="47">
        <f>$D851*SUM(AM$784:AM$792)*AM841</f>
        <v/>
      </c>
      <c r="AN851" s="47">
        <f>$D851*SUM(AN$784:AN$792)*AN841</f>
        <v/>
      </c>
      <c r="AO851" s="47">
        <f>$D851*SUM(AO$784:AO$792)*AO841</f>
        <v/>
      </c>
      <c r="AP851" s="47">
        <f>$D851*SUM(AP$784:AP$792)*AP841</f>
        <v/>
      </c>
      <c r="AQ851" s="47">
        <f>$D851*SUM(AQ$784:AQ$792)*AQ841</f>
        <v/>
      </c>
      <c r="AR851" s="47">
        <f>$D851*SUM(AR$784:AR$792)*AR841</f>
        <v/>
      </c>
      <c r="AS851" s="47">
        <f>$D851*SUM(AS$784:AS$792)*AS841</f>
        <v/>
      </c>
      <c r="AT851" s="47">
        <f>$D851*SUM(AT$784:AT$792)*AT841</f>
        <v/>
      </c>
      <c r="AU851" s="47">
        <f>$D851*SUM(AU$784:AU$792)*AU841</f>
        <v/>
      </c>
      <c r="AV851" s="47">
        <f>$D851*SUM(AV$784:AV$792)*AV841</f>
        <v/>
      </c>
      <c r="AW851" s="47">
        <f>$D851*SUM(AW$784:AW$792)*AW841</f>
        <v/>
      </c>
      <c r="AX851" s="47">
        <f>$D851*SUM(AX$784:AX$792)*AX841</f>
        <v/>
      </c>
      <c r="AY851" s="47">
        <f>$D851*SUM(AY$784:AY$792)*AY841</f>
        <v/>
      </c>
      <c r="AZ851" s="47">
        <f>$D851*SUM(AZ$784:AZ$792)*AZ841</f>
        <v/>
      </c>
      <c r="BA851" s="48">
        <f>SCALEUP($D851,SUM(BA$784:BA$792),BA841)</f>
        <v/>
      </c>
    </row>
    <row r="852" hidden="1" outlineLevel="1">
      <c r="A852" s="14" t="inlineStr">
        <is>
          <t>maxinv</t>
        </is>
      </c>
      <c r="B852" s="14" t="inlineStr">
        <is>
          <t>ore</t>
        </is>
      </c>
      <c r="C852" s="14" t="inlineStr">
        <is>
          <t>pow</t>
        </is>
      </c>
      <c r="D852" s="45">
        <f>INDEX(Inputs_power!$AJ$5:$AJ$13,MATCH($B852,Inputs_power!$A$5:$A$13,0))</f>
        <v/>
      </c>
      <c r="E852" s="39" t="n"/>
      <c r="F852" s="39" t="n"/>
      <c r="G852" s="39" t="n"/>
      <c r="H852" s="14">
        <f>INDEX(VarLab,MATCH($A852,VarKey,0))&amp;INDEX(MemLab,MATCH($C852&amp;"|"&amp;$B852,MemKey,0))</f>
        <v/>
      </c>
      <c r="I852" s="14">
        <f>INDEX(VarUnit,MATCH($A852,VarKey,0))</f>
        <v/>
      </c>
      <c r="J852" s="14">
        <f>INDEX(VarSrc,MATCH($A852,VarKey,0))</f>
        <v/>
      </c>
      <c r="K852" s="11">
        <f>CodePrefix&amp;$A852&amp;IF($C852="","","."&amp;$C852&amp;"."&amp;$B852)&amp;INDEX(VarEnd,MATCH($A852,VarKey,0))&amp;K$5</f>
        <v/>
      </c>
      <c r="L852" s="46">
        <f>$D852*SUM(L$784:L$792)*L842</f>
        <v/>
      </c>
      <c r="M852" s="47">
        <f>$D852*SUM(M$784:M$792)*M842</f>
        <v/>
      </c>
      <c r="N852" s="47">
        <f>$D852*SUM(N$784:N$792)*N842</f>
        <v/>
      </c>
      <c r="O852" s="47">
        <f>$D852*SUM(O$784:O$792)*O842</f>
        <v/>
      </c>
      <c r="P852" s="47">
        <f>$D852*SUM(P$784:P$792)*P842</f>
        <v/>
      </c>
      <c r="Q852" s="47">
        <f>$D852*SUM(Q$784:Q$792)*Q842</f>
        <v/>
      </c>
      <c r="R852" s="47">
        <f>$D852*SUM(R$784:R$792)*R842</f>
        <v/>
      </c>
      <c r="S852" s="47">
        <f>$D852*SUM(S$784:S$792)*S842</f>
        <v/>
      </c>
      <c r="T852" s="47">
        <f>$D852*SUM(T$784:T$792)*T842</f>
        <v/>
      </c>
      <c r="U852" s="47">
        <f>$D852*SUM(U$784:U$792)*U842</f>
        <v/>
      </c>
      <c r="V852" s="47">
        <f>$D852*SUM(V$784:V$792)*V842</f>
        <v/>
      </c>
      <c r="W852" s="47">
        <f>$D852*SUM(W$784:W$792)*W842</f>
        <v/>
      </c>
      <c r="X852" s="47">
        <f>$D852*SUM(X$784:X$792)*X842</f>
        <v/>
      </c>
      <c r="Y852" s="47">
        <f>$D852*SUM(Y$784:Y$792)*Y842</f>
        <v/>
      </c>
      <c r="Z852" s="47">
        <f>$D852*SUM(Z$784:Z$792)*Z842</f>
        <v/>
      </c>
      <c r="AA852" s="47">
        <f>$D852*SUM(AA$784:AA$792)*AA842</f>
        <v/>
      </c>
      <c r="AB852" s="47">
        <f>$D852*SUM(AB$784:AB$792)*AB842</f>
        <v/>
      </c>
      <c r="AC852" s="47">
        <f>$D852*SUM(AC$784:AC$792)*AC842</f>
        <v/>
      </c>
      <c r="AD852" s="47">
        <f>$D852*SUM(AD$784:AD$792)*AD842</f>
        <v/>
      </c>
      <c r="AE852" s="48">
        <f>SCALEUP($D852,SUM(AE$784:AE$792),AE842)</f>
        <v/>
      </c>
      <c r="AG852" s="11">
        <f>CodePrefix&amp;$A852&amp;IF($C852="","","."&amp;$C852&amp;"."&amp;$B852)&amp;INDEX(VarEnd,MATCH($A852,VarKey,0))&amp;AG$5</f>
        <v/>
      </c>
      <c r="AH852" s="46">
        <f>$D852*SUM(AH$784:AH$792)*AH842</f>
        <v/>
      </c>
      <c r="AI852" s="47">
        <f>$D852*SUM(AI$784:AI$792)*AI842</f>
        <v/>
      </c>
      <c r="AJ852" s="47">
        <f>$D852*SUM(AJ$784:AJ$792)*AJ842</f>
        <v/>
      </c>
      <c r="AK852" s="47">
        <f>$D852*SUM(AK$784:AK$792)*AK842</f>
        <v/>
      </c>
      <c r="AL852" s="47">
        <f>$D852*SUM(AL$784:AL$792)*AL842</f>
        <v/>
      </c>
      <c r="AM852" s="47">
        <f>$D852*SUM(AM$784:AM$792)*AM842</f>
        <v/>
      </c>
      <c r="AN852" s="47">
        <f>$D852*SUM(AN$784:AN$792)*AN842</f>
        <v/>
      </c>
      <c r="AO852" s="47">
        <f>$D852*SUM(AO$784:AO$792)*AO842</f>
        <v/>
      </c>
      <c r="AP852" s="47">
        <f>$D852*SUM(AP$784:AP$792)*AP842</f>
        <v/>
      </c>
      <c r="AQ852" s="47">
        <f>$D852*SUM(AQ$784:AQ$792)*AQ842</f>
        <v/>
      </c>
      <c r="AR852" s="47">
        <f>$D852*SUM(AR$784:AR$792)*AR842</f>
        <v/>
      </c>
      <c r="AS852" s="47">
        <f>$D852*SUM(AS$784:AS$792)*AS842</f>
        <v/>
      </c>
      <c r="AT852" s="47">
        <f>$D852*SUM(AT$784:AT$792)*AT842</f>
        <v/>
      </c>
      <c r="AU852" s="47">
        <f>$D852*SUM(AU$784:AU$792)*AU842</f>
        <v/>
      </c>
      <c r="AV852" s="47">
        <f>$D852*SUM(AV$784:AV$792)*AV842</f>
        <v/>
      </c>
      <c r="AW852" s="47">
        <f>$D852*SUM(AW$784:AW$792)*AW842</f>
        <v/>
      </c>
      <c r="AX852" s="47">
        <f>$D852*SUM(AX$784:AX$792)*AX842</f>
        <v/>
      </c>
      <c r="AY852" s="47">
        <f>$D852*SUM(AY$784:AY$792)*AY842</f>
        <v/>
      </c>
      <c r="AZ852" s="47">
        <f>$D852*SUM(AZ$784:AZ$792)*AZ842</f>
        <v/>
      </c>
      <c r="BA852" s="48">
        <f>SCALEUP($D852,SUM(BA$784:BA$792),BA842)</f>
        <v/>
      </c>
    </row>
    <row r="853" hidden="1" outlineLevel="1">
      <c r="A853" s="14" t="inlineStr">
        <is>
          <t>maxinv</t>
        </is>
      </c>
      <c r="B853" s="14" t="inlineStr">
        <is>
          <t>bio</t>
        </is>
      </c>
      <c r="C853" s="14" t="inlineStr">
        <is>
          <t>pow</t>
        </is>
      </c>
      <c r="D853" s="45">
        <f>INDEX(Inputs_power!$AJ$5:$AJ$13,MATCH($B853,Inputs_power!$A$5:$A$13,0))</f>
        <v/>
      </c>
      <c r="E853" s="39" t="n"/>
      <c r="F853" s="39" t="n"/>
      <c r="G853" s="39" t="n"/>
      <c r="H853" s="14">
        <f>INDEX(VarLab,MATCH($A853,VarKey,0))&amp;INDEX(MemLab,MATCH($C853&amp;"|"&amp;$B853,MemKey,0))</f>
        <v/>
      </c>
      <c r="I853" s="14">
        <f>INDEX(VarUnit,MATCH($A853,VarKey,0))</f>
        <v/>
      </c>
      <c r="J853" s="14">
        <f>INDEX(VarSrc,MATCH($A853,VarKey,0))</f>
        <v/>
      </c>
      <c r="K853" s="11">
        <f>CodePrefix&amp;$A853&amp;IF($C853="","","."&amp;$C853&amp;"."&amp;$B853)&amp;INDEX(VarEnd,MATCH($A853,VarKey,0))&amp;K$5</f>
        <v/>
      </c>
      <c r="L853" s="46">
        <f>$D853*SUM(L$784:L$792)*L843</f>
        <v/>
      </c>
      <c r="M853" s="47">
        <f>$D853*SUM(M$784:M$792)*M843</f>
        <v/>
      </c>
      <c r="N853" s="47">
        <f>$D853*SUM(N$784:N$792)*N843</f>
        <v/>
      </c>
      <c r="O853" s="47">
        <f>$D853*SUM(O$784:O$792)*O843</f>
        <v/>
      </c>
      <c r="P853" s="47">
        <f>$D853*SUM(P$784:P$792)*P843</f>
        <v/>
      </c>
      <c r="Q853" s="47">
        <f>$D853*SUM(Q$784:Q$792)*Q843</f>
        <v/>
      </c>
      <c r="R853" s="47">
        <f>$D853*SUM(R$784:R$792)*R843</f>
        <v/>
      </c>
      <c r="S853" s="47">
        <f>$D853*SUM(S$784:S$792)*S843</f>
        <v/>
      </c>
      <c r="T853" s="47">
        <f>$D853*SUM(T$784:T$792)*T843</f>
        <v/>
      </c>
      <c r="U853" s="47">
        <f>$D853*SUM(U$784:U$792)*U843</f>
        <v/>
      </c>
      <c r="V853" s="47">
        <f>$D853*SUM(V$784:V$792)*V843</f>
        <v/>
      </c>
      <c r="W853" s="47">
        <f>$D853*SUM(W$784:W$792)*W843</f>
        <v/>
      </c>
      <c r="X853" s="47">
        <f>$D853*SUM(X$784:X$792)*X843</f>
        <v/>
      </c>
      <c r="Y853" s="47">
        <f>$D853*SUM(Y$784:Y$792)*Y843</f>
        <v/>
      </c>
      <c r="Z853" s="47">
        <f>$D853*SUM(Z$784:Z$792)*Z843</f>
        <v/>
      </c>
      <c r="AA853" s="47">
        <f>$D853*SUM(AA$784:AA$792)*AA843</f>
        <v/>
      </c>
      <c r="AB853" s="47">
        <f>$D853*SUM(AB$784:AB$792)*AB843</f>
        <v/>
      </c>
      <c r="AC853" s="47">
        <f>$D853*SUM(AC$784:AC$792)*AC843</f>
        <v/>
      </c>
      <c r="AD853" s="47">
        <f>$D853*SUM(AD$784:AD$792)*AD843</f>
        <v/>
      </c>
      <c r="AE853" s="48">
        <f>SCALEUP($D853,SUM(AE$784:AE$792),AE843)</f>
        <v/>
      </c>
      <c r="AG853" s="11">
        <f>CodePrefix&amp;$A853&amp;IF($C853="","","."&amp;$C853&amp;"."&amp;$B853)&amp;INDEX(VarEnd,MATCH($A853,VarKey,0))&amp;AG$5</f>
        <v/>
      </c>
      <c r="AH853" s="46">
        <f>$D853*SUM(AH$784:AH$792)*AH843</f>
        <v/>
      </c>
      <c r="AI853" s="47">
        <f>$D853*SUM(AI$784:AI$792)*AI843</f>
        <v/>
      </c>
      <c r="AJ853" s="47">
        <f>$D853*SUM(AJ$784:AJ$792)*AJ843</f>
        <v/>
      </c>
      <c r="AK853" s="47">
        <f>$D853*SUM(AK$784:AK$792)*AK843</f>
        <v/>
      </c>
      <c r="AL853" s="47">
        <f>$D853*SUM(AL$784:AL$792)*AL843</f>
        <v/>
      </c>
      <c r="AM853" s="47">
        <f>$D853*SUM(AM$784:AM$792)*AM843</f>
        <v/>
      </c>
      <c r="AN853" s="47">
        <f>$D853*SUM(AN$784:AN$792)*AN843</f>
        <v/>
      </c>
      <c r="AO853" s="47">
        <f>$D853*SUM(AO$784:AO$792)*AO843</f>
        <v/>
      </c>
      <c r="AP853" s="47">
        <f>$D853*SUM(AP$784:AP$792)*AP843</f>
        <v/>
      </c>
      <c r="AQ853" s="47">
        <f>$D853*SUM(AQ$784:AQ$792)*AQ843</f>
        <v/>
      </c>
      <c r="AR853" s="47">
        <f>$D853*SUM(AR$784:AR$792)*AR843</f>
        <v/>
      </c>
      <c r="AS853" s="47">
        <f>$D853*SUM(AS$784:AS$792)*AS843</f>
        <v/>
      </c>
      <c r="AT853" s="47">
        <f>$D853*SUM(AT$784:AT$792)*AT843</f>
        <v/>
      </c>
      <c r="AU853" s="47">
        <f>$D853*SUM(AU$784:AU$792)*AU843</f>
        <v/>
      </c>
      <c r="AV853" s="47">
        <f>$D853*SUM(AV$784:AV$792)*AV843</f>
        <v/>
      </c>
      <c r="AW853" s="47">
        <f>$D853*SUM(AW$784:AW$792)*AW843</f>
        <v/>
      </c>
      <c r="AX853" s="47">
        <f>$D853*SUM(AX$784:AX$792)*AX843</f>
        <v/>
      </c>
      <c r="AY853" s="47">
        <f>$D853*SUM(AY$784:AY$792)*AY843</f>
        <v/>
      </c>
      <c r="AZ853" s="47">
        <f>$D853*SUM(AZ$784:AZ$792)*AZ843</f>
        <v/>
      </c>
      <c r="BA853" s="48">
        <f>SCALEUP($D853,SUM(BA$784:BA$792),BA843)</f>
        <v/>
      </c>
    </row>
    <row r="854" hidden="1" outlineLevel="1"/>
    <row r="855" hidden="1" outlineLevel="1">
      <c r="A855" s="14" t="inlineStr">
        <is>
          <t>lgi</t>
        </is>
      </c>
      <c r="B855" s="14" t="inlineStr">
        <is>
          <t>coa</t>
        </is>
      </c>
      <c r="C855" s="14" t="inlineStr">
        <is>
          <t>pow</t>
        </is>
      </c>
      <c r="D855" s="45">
        <f>INDEX(PParVal,MATCH("k_invest",PParKey,0))</f>
        <v/>
      </c>
      <c r="E855" s="39" t="n"/>
      <c r="F855" s="39" t="n"/>
      <c r="G855" s="39" t="n"/>
      <c r="H855" s="14">
        <f>INDEX(VarLab,MATCH($A855,VarKey,0))&amp;INDEX(MemLab,MATCH($C855&amp;"|"&amp;$B855,MemKey,0))</f>
        <v/>
      </c>
      <c r="I855" s="14">
        <f>INDEX(VarUnit,MATCH($A855,VarKey,0))</f>
        <v/>
      </c>
      <c r="J855" s="14">
        <f>INDEX(VarSrc,MATCH($A855,VarKey,0))</f>
        <v/>
      </c>
      <c r="K855" s="11">
        <f>CodePrefix&amp;$A855&amp;IF($C855="","","."&amp;$C855&amp;"."&amp;$B855)&amp;INDEX(VarEnd,MATCH($A855,VarKey,0))&amp;K$5</f>
        <v/>
      </c>
      <c r="L855" s="15">
        <f>L835*EXP(-$D855*L625/L$832)</f>
        <v/>
      </c>
      <c r="M855" s="16">
        <f>M835*EXP(-$D855*M625/M$832)</f>
        <v/>
      </c>
      <c r="N855" s="16">
        <f>N835*EXP(-$D855*N625/N$832)</f>
        <v/>
      </c>
      <c r="O855" s="16">
        <f>O835*EXP(-$D855*O625/O$832)</f>
        <v/>
      </c>
      <c r="P855" s="16">
        <f>P835*EXP(-$D855*P625/P$832)</f>
        <v/>
      </c>
      <c r="Q855" s="16">
        <f>Q835*EXP(-$D855*Q625/Q$832)</f>
        <v/>
      </c>
      <c r="R855" s="16">
        <f>R835*EXP(-$D855*R625/R$832)</f>
        <v/>
      </c>
      <c r="S855" s="16">
        <f>S835*EXP(-$D855*S625/S$832)</f>
        <v/>
      </c>
      <c r="T855" s="16">
        <f>T835*EXP(-$D855*T625/T$832)</f>
        <v/>
      </c>
      <c r="U855" s="16">
        <f>U835*EXP(-$D855*U625/U$832)</f>
        <v/>
      </c>
      <c r="V855" s="16">
        <f>V835*EXP(-$D855*V625/V$832)</f>
        <v/>
      </c>
      <c r="W855" s="16">
        <f>W835*EXP(-$D855*W625/W$832)</f>
        <v/>
      </c>
      <c r="X855" s="16">
        <f>X835*EXP(-$D855*X625/X$832)</f>
        <v/>
      </c>
      <c r="Y855" s="16">
        <f>Y835*EXP(-$D855*Y625/Y$832)</f>
        <v/>
      </c>
      <c r="Z855" s="16">
        <f>Z835*EXP(-$D855*Z625/Z$832)</f>
        <v/>
      </c>
      <c r="AA855" s="16">
        <f>AA835*EXP(-$D855*AA625/AA$832)</f>
        <v/>
      </c>
      <c r="AB855" s="16">
        <f>AB835*EXP(-$D855*AB625/AB$832)</f>
        <v/>
      </c>
      <c r="AC855" s="16">
        <f>AC835*EXP(-$D855*AC625/AC$832)</f>
        <v/>
      </c>
      <c r="AD855" s="16">
        <f>AD835*EXP(-$D855*AD625/AD$832)</f>
        <v/>
      </c>
      <c r="AE855" s="49">
        <f>LOGITW(AE835,$D855,AE625,AE$832)</f>
        <v/>
      </c>
      <c r="AG855" s="11">
        <f>CodePrefix&amp;$A855&amp;IF($C855="","","."&amp;$C855&amp;"."&amp;$B855)&amp;INDEX(VarEnd,MATCH($A855,VarKey,0))&amp;AG$5</f>
        <v/>
      </c>
      <c r="AH855" s="15">
        <f>AH835*EXP(-$D855*AH625/AH$832)</f>
        <v/>
      </c>
      <c r="AI855" s="16">
        <f>AI835*EXP(-$D855*AI625/AI$832)</f>
        <v/>
      </c>
      <c r="AJ855" s="16">
        <f>AJ835*EXP(-$D855*AJ625/AJ$832)</f>
        <v/>
      </c>
      <c r="AK855" s="16">
        <f>AK835*EXP(-$D855*AK625/AK$832)</f>
        <v/>
      </c>
      <c r="AL855" s="16">
        <f>AL835*EXP(-$D855*AL625/AL$832)</f>
        <v/>
      </c>
      <c r="AM855" s="16">
        <f>AM835*EXP(-$D855*AM625/AM$832)</f>
        <v/>
      </c>
      <c r="AN855" s="16">
        <f>AN835*EXP(-$D855*AN625/AN$832)</f>
        <v/>
      </c>
      <c r="AO855" s="16">
        <f>AO835*EXP(-$D855*AO625/AO$832)</f>
        <v/>
      </c>
      <c r="AP855" s="16">
        <f>AP835*EXP(-$D855*AP625/AP$832)</f>
        <v/>
      </c>
      <c r="AQ855" s="16">
        <f>AQ835*EXP(-$D855*AQ625/AQ$832)</f>
        <v/>
      </c>
      <c r="AR855" s="16">
        <f>AR835*EXP(-$D855*AR625/AR$832)</f>
        <v/>
      </c>
      <c r="AS855" s="16">
        <f>AS835*EXP(-$D855*AS625/AS$832)</f>
        <v/>
      </c>
      <c r="AT855" s="16">
        <f>AT835*EXP(-$D855*AT625/AT$832)</f>
        <v/>
      </c>
      <c r="AU855" s="16">
        <f>AU835*EXP(-$D855*AU625/AU$832)</f>
        <v/>
      </c>
      <c r="AV855" s="16">
        <f>AV835*EXP(-$D855*AV625/AV$832)</f>
        <v/>
      </c>
      <c r="AW855" s="16">
        <f>AW835*EXP(-$D855*AW625/AW$832)</f>
        <v/>
      </c>
      <c r="AX855" s="16">
        <f>AX835*EXP(-$D855*AX625/AX$832)</f>
        <v/>
      </c>
      <c r="AY855" s="16">
        <f>AY835*EXP(-$D855*AY625/AY$832)</f>
        <v/>
      </c>
      <c r="AZ855" s="16">
        <f>AZ835*EXP(-$D855*AZ625/AZ$832)</f>
        <v/>
      </c>
      <c r="BA855" s="49">
        <f>LOGITW(BA835,$D855,BA625,BA$832)</f>
        <v/>
      </c>
    </row>
    <row r="856" hidden="1" outlineLevel="1">
      <c r="A856" s="14" t="inlineStr">
        <is>
          <t>lgi</t>
        </is>
      </c>
      <c r="B856" s="14" t="inlineStr">
        <is>
          <t>nga</t>
        </is>
      </c>
      <c r="C856" s="14" t="inlineStr">
        <is>
          <t>pow</t>
        </is>
      </c>
      <c r="D856" s="45">
        <f>INDEX(PParVal,MATCH("k_invest",PParKey,0))</f>
        <v/>
      </c>
      <c r="E856" s="39" t="n"/>
      <c r="F856" s="39" t="n"/>
      <c r="G856" s="39" t="n"/>
      <c r="H856" s="14">
        <f>INDEX(VarLab,MATCH($A856,VarKey,0))&amp;INDEX(MemLab,MATCH($C856&amp;"|"&amp;$B856,MemKey,0))</f>
        <v/>
      </c>
      <c r="I856" s="14">
        <f>INDEX(VarUnit,MATCH($A856,VarKey,0))</f>
        <v/>
      </c>
      <c r="J856" s="14">
        <f>INDEX(VarSrc,MATCH($A856,VarKey,0))</f>
        <v/>
      </c>
      <c r="K856" s="11">
        <f>CodePrefix&amp;$A856&amp;IF($C856="","","."&amp;$C856&amp;"."&amp;$B856)&amp;INDEX(VarEnd,MATCH($A856,VarKey,0))&amp;K$5</f>
        <v/>
      </c>
      <c r="L856" s="15">
        <f>L836*EXP(-$D856*L626/L$832)</f>
        <v/>
      </c>
      <c r="M856" s="16">
        <f>M836*EXP(-$D856*M626/M$832)</f>
        <v/>
      </c>
      <c r="N856" s="16">
        <f>N836*EXP(-$D856*N626/N$832)</f>
        <v/>
      </c>
      <c r="O856" s="16">
        <f>O836*EXP(-$D856*O626/O$832)</f>
        <v/>
      </c>
      <c r="P856" s="16">
        <f>P836*EXP(-$D856*P626/P$832)</f>
        <v/>
      </c>
      <c r="Q856" s="16">
        <f>Q836*EXP(-$D856*Q626/Q$832)</f>
        <v/>
      </c>
      <c r="R856" s="16">
        <f>R836*EXP(-$D856*R626/R$832)</f>
        <v/>
      </c>
      <c r="S856" s="16">
        <f>S836*EXP(-$D856*S626/S$832)</f>
        <v/>
      </c>
      <c r="T856" s="16">
        <f>T836*EXP(-$D856*T626/T$832)</f>
        <v/>
      </c>
      <c r="U856" s="16">
        <f>U836*EXP(-$D856*U626/U$832)</f>
        <v/>
      </c>
      <c r="V856" s="16">
        <f>V836*EXP(-$D856*V626/V$832)</f>
        <v/>
      </c>
      <c r="W856" s="16">
        <f>W836*EXP(-$D856*W626/W$832)</f>
        <v/>
      </c>
      <c r="X856" s="16">
        <f>X836*EXP(-$D856*X626/X$832)</f>
        <v/>
      </c>
      <c r="Y856" s="16">
        <f>Y836*EXP(-$D856*Y626/Y$832)</f>
        <v/>
      </c>
      <c r="Z856" s="16">
        <f>Z836*EXP(-$D856*Z626/Z$832)</f>
        <v/>
      </c>
      <c r="AA856" s="16">
        <f>AA836*EXP(-$D856*AA626/AA$832)</f>
        <v/>
      </c>
      <c r="AB856" s="16">
        <f>AB836*EXP(-$D856*AB626/AB$832)</f>
        <v/>
      </c>
      <c r="AC856" s="16">
        <f>AC836*EXP(-$D856*AC626/AC$832)</f>
        <v/>
      </c>
      <c r="AD856" s="16">
        <f>AD836*EXP(-$D856*AD626/AD$832)</f>
        <v/>
      </c>
      <c r="AE856" s="49">
        <f>LOGITW(AE836,$D856,AE626,AE$832)</f>
        <v/>
      </c>
      <c r="AG856" s="11">
        <f>CodePrefix&amp;$A856&amp;IF($C856="","","."&amp;$C856&amp;"."&amp;$B856)&amp;INDEX(VarEnd,MATCH($A856,VarKey,0))&amp;AG$5</f>
        <v/>
      </c>
      <c r="AH856" s="15">
        <f>AH836*EXP(-$D856*AH626/AH$832)</f>
        <v/>
      </c>
      <c r="AI856" s="16">
        <f>AI836*EXP(-$D856*AI626/AI$832)</f>
        <v/>
      </c>
      <c r="AJ856" s="16">
        <f>AJ836*EXP(-$D856*AJ626/AJ$832)</f>
        <v/>
      </c>
      <c r="AK856" s="16">
        <f>AK836*EXP(-$D856*AK626/AK$832)</f>
        <v/>
      </c>
      <c r="AL856" s="16">
        <f>AL836*EXP(-$D856*AL626/AL$832)</f>
        <v/>
      </c>
      <c r="AM856" s="16">
        <f>AM836*EXP(-$D856*AM626/AM$832)</f>
        <v/>
      </c>
      <c r="AN856" s="16">
        <f>AN836*EXP(-$D856*AN626/AN$832)</f>
        <v/>
      </c>
      <c r="AO856" s="16">
        <f>AO836*EXP(-$D856*AO626/AO$832)</f>
        <v/>
      </c>
      <c r="AP856" s="16">
        <f>AP836*EXP(-$D856*AP626/AP$832)</f>
        <v/>
      </c>
      <c r="AQ856" s="16">
        <f>AQ836*EXP(-$D856*AQ626/AQ$832)</f>
        <v/>
      </c>
      <c r="AR856" s="16">
        <f>AR836*EXP(-$D856*AR626/AR$832)</f>
        <v/>
      </c>
      <c r="AS856" s="16">
        <f>AS836*EXP(-$D856*AS626/AS$832)</f>
        <v/>
      </c>
      <c r="AT856" s="16">
        <f>AT836*EXP(-$D856*AT626/AT$832)</f>
        <v/>
      </c>
      <c r="AU856" s="16">
        <f>AU836*EXP(-$D856*AU626/AU$832)</f>
        <v/>
      </c>
      <c r="AV856" s="16">
        <f>AV836*EXP(-$D856*AV626/AV$832)</f>
        <v/>
      </c>
      <c r="AW856" s="16">
        <f>AW836*EXP(-$D856*AW626/AW$832)</f>
        <v/>
      </c>
      <c r="AX856" s="16">
        <f>AX836*EXP(-$D856*AX626/AX$832)</f>
        <v/>
      </c>
      <c r="AY856" s="16">
        <f>AY836*EXP(-$D856*AY626/AY$832)</f>
        <v/>
      </c>
      <c r="AZ856" s="16">
        <f>AZ836*EXP(-$D856*AZ626/AZ$832)</f>
        <v/>
      </c>
      <c r="BA856" s="49">
        <f>LOGITW(BA836,$D856,BA626,BA$832)</f>
        <v/>
      </c>
    </row>
    <row r="857" hidden="1" outlineLevel="1">
      <c r="A857" s="14" t="inlineStr">
        <is>
          <t>lgi</t>
        </is>
      </c>
      <c r="B857" s="14" t="inlineStr">
        <is>
          <t>oop</t>
        </is>
      </c>
      <c r="C857" s="14" t="inlineStr">
        <is>
          <t>pow</t>
        </is>
      </c>
      <c r="D857" s="45">
        <f>INDEX(PParVal,MATCH("k_invest",PParKey,0))</f>
        <v/>
      </c>
      <c r="E857" s="39" t="n"/>
      <c r="F857" s="39" t="n"/>
      <c r="G857" s="39" t="n"/>
      <c r="H857" s="14">
        <f>INDEX(VarLab,MATCH($A857,VarKey,0))&amp;INDEX(MemLab,MATCH($C857&amp;"|"&amp;$B857,MemKey,0))</f>
        <v/>
      </c>
      <c r="I857" s="14">
        <f>INDEX(VarUnit,MATCH($A857,VarKey,0))</f>
        <v/>
      </c>
      <c r="J857" s="14">
        <f>INDEX(VarSrc,MATCH($A857,VarKey,0))</f>
        <v/>
      </c>
      <c r="K857" s="11">
        <f>CodePrefix&amp;$A857&amp;IF($C857="","","."&amp;$C857&amp;"."&amp;$B857)&amp;INDEX(VarEnd,MATCH($A857,VarKey,0))&amp;K$5</f>
        <v/>
      </c>
      <c r="L857" s="15">
        <f>L837*EXP(-$D857*L627/L$832)</f>
        <v/>
      </c>
      <c r="M857" s="16">
        <f>M837*EXP(-$D857*M627/M$832)</f>
        <v/>
      </c>
      <c r="N857" s="16">
        <f>N837*EXP(-$D857*N627/N$832)</f>
        <v/>
      </c>
      <c r="O857" s="16">
        <f>O837*EXP(-$D857*O627/O$832)</f>
        <v/>
      </c>
      <c r="P857" s="16">
        <f>P837*EXP(-$D857*P627/P$832)</f>
        <v/>
      </c>
      <c r="Q857" s="16">
        <f>Q837*EXP(-$D857*Q627/Q$832)</f>
        <v/>
      </c>
      <c r="R857" s="16">
        <f>R837*EXP(-$D857*R627/R$832)</f>
        <v/>
      </c>
      <c r="S857" s="16">
        <f>S837*EXP(-$D857*S627/S$832)</f>
        <v/>
      </c>
      <c r="T857" s="16">
        <f>T837*EXP(-$D857*T627/T$832)</f>
        <v/>
      </c>
      <c r="U857" s="16">
        <f>U837*EXP(-$D857*U627/U$832)</f>
        <v/>
      </c>
      <c r="V857" s="16">
        <f>V837*EXP(-$D857*V627/V$832)</f>
        <v/>
      </c>
      <c r="W857" s="16">
        <f>W837*EXP(-$D857*W627/W$832)</f>
        <v/>
      </c>
      <c r="X857" s="16">
        <f>X837*EXP(-$D857*X627/X$832)</f>
        <v/>
      </c>
      <c r="Y857" s="16">
        <f>Y837*EXP(-$D857*Y627/Y$832)</f>
        <v/>
      </c>
      <c r="Z857" s="16">
        <f>Z837*EXP(-$D857*Z627/Z$832)</f>
        <v/>
      </c>
      <c r="AA857" s="16">
        <f>AA837*EXP(-$D857*AA627/AA$832)</f>
        <v/>
      </c>
      <c r="AB857" s="16">
        <f>AB837*EXP(-$D857*AB627/AB$832)</f>
        <v/>
      </c>
      <c r="AC857" s="16">
        <f>AC837*EXP(-$D857*AC627/AC$832)</f>
        <v/>
      </c>
      <c r="AD857" s="16">
        <f>AD837*EXP(-$D857*AD627/AD$832)</f>
        <v/>
      </c>
      <c r="AE857" s="49">
        <f>LOGITW(AE837,$D857,AE627,AE$832)</f>
        <v/>
      </c>
      <c r="AG857" s="11">
        <f>CodePrefix&amp;$A857&amp;IF($C857="","","."&amp;$C857&amp;"."&amp;$B857)&amp;INDEX(VarEnd,MATCH($A857,VarKey,0))&amp;AG$5</f>
        <v/>
      </c>
      <c r="AH857" s="15">
        <f>AH837*EXP(-$D857*AH627/AH$832)</f>
        <v/>
      </c>
      <c r="AI857" s="16">
        <f>AI837*EXP(-$D857*AI627/AI$832)</f>
        <v/>
      </c>
      <c r="AJ857" s="16">
        <f>AJ837*EXP(-$D857*AJ627/AJ$832)</f>
        <v/>
      </c>
      <c r="AK857" s="16">
        <f>AK837*EXP(-$D857*AK627/AK$832)</f>
        <v/>
      </c>
      <c r="AL857" s="16">
        <f>AL837*EXP(-$D857*AL627/AL$832)</f>
        <v/>
      </c>
      <c r="AM857" s="16">
        <f>AM837*EXP(-$D857*AM627/AM$832)</f>
        <v/>
      </c>
      <c r="AN857" s="16">
        <f>AN837*EXP(-$D857*AN627/AN$832)</f>
        <v/>
      </c>
      <c r="AO857" s="16">
        <f>AO837*EXP(-$D857*AO627/AO$832)</f>
        <v/>
      </c>
      <c r="AP857" s="16">
        <f>AP837*EXP(-$D857*AP627/AP$832)</f>
        <v/>
      </c>
      <c r="AQ857" s="16">
        <f>AQ837*EXP(-$D857*AQ627/AQ$832)</f>
        <v/>
      </c>
      <c r="AR857" s="16">
        <f>AR837*EXP(-$D857*AR627/AR$832)</f>
        <v/>
      </c>
      <c r="AS857" s="16">
        <f>AS837*EXP(-$D857*AS627/AS$832)</f>
        <v/>
      </c>
      <c r="AT857" s="16">
        <f>AT837*EXP(-$D857*AT627/AT$832)</f>
        <v/>
      </c>
      <c r="AU857" s="16">
        <f>AU837*EXP(-$D857*AU627/AU$832)</f>
        <v/>
      </c>
      <c r="AV857" s="16">
        <f>AV837*EXP(-$D857*AV627/AV$832)</f>
        <v/>
      </c>
      <c r="AW857" s="16">
        <f>AW837*EXP(-$D857*AW627/AW$832)</f>
        <v/>
      </c>
      <c r="AX857" s="16">
        <f>AX837*EXP(-$D857*AX627/AX$832)</f>
        <v/>
      </c>
      <c r="AY857" s="16">
        <f>AY837*EXP(-$D857*AY627/AY$832)</f>
        <v/>
      </c>
      <c r="AZ857" s="16">
        <f>AZ837*EXP(-$D857*AZ627/AZ$832)</f>
        <v/>
      </c>
      <c r="BA857" s="49">
        <f>LOGITW(BA837,$D857,BA627,BA$832)</f>
        <v/>
      </c>
    </row>
    <row r="858" hidden="1" outlineLevel="1">
      <c r="A858" s="14" t="inlineStr">
        <is>
          <t>lgi</t>
        </is>
      </c>
      <c r="B858" s="14" t="inlineStr">
        <is>
          <t>nuc</t>
        </is>
      </c>
      <c r="C858" s="14" t="inlineStr">
        <is>
          <t>pow</t>
        </is>
      </c>
      <c r="D858" s="45">
        <f>INDEX(PParVal,MATCH("k_invest",PParKey,0))</f>
        <v/>
      </c>
      <c r="E858" s="39" t="n"/>
      <c r="F858" s="39" t="n"/>
      <c r="G858" s="39" t="n"/>
      <c r="H858" s="14">
        <f>INDEX(VarLab,MATCH($A858,VarKey,0))&amp;INDEX(MemLab,MATCH($C858&amp;"|"&amp;$B858,MemKey,0))</f>
        <v/>
      </c>
      <c r="I858" s="14">
        <f>INDEX(VarUnit,MATCH($A858,VarKey,0))</f>
        <v/>
      </c>
      <c r="J858" s="14">
        <f>INDEX(VarSrc,MATCH($A858,VarKey,0))</f>
        <v/>
      </c>
      <c r="K858" s="11">
        <f>CodePrefix&amp;$A858&amp;IF($C858="","","."&amp;$C858&amp;"."&amp;$B858)&amp;INDEX(VarEnd,MATCH($A858,VarKey,0))&amp;K$5</f>
        <v/>
      </c>
      <c r="L858" s="15">
        <f>L838*EXP(-$D858*L628/L$832)</f>
        <v/>
      </c>
      <c r="M858" s="16">
        <f>M838*EXP(-$D858*M628/M$832)</f>
        <v/>
      </c>
      <c r="N858" s="16">
        <f>N838*EXP(-$D858*N628/N$832)</f>
        <v/>
      </c>
      <c r="O858" s="16">
        <f>O838*EXP(-$D858*O628/O$832)</f>
        <v/>
      </c>
      <c r="P858" s="16">
        <f>P838*EXP(-$D858*P628/P$832)</f>
        <v/>
      </c>
      <c r="Q858" s="16">
        <f>Q838*EXP(-$D858*Q628/Q$832)</f>
        <v/>
      </c>
      <c r="R858" s="16">
        <f>R838*EXP(-$D858*R628/R$832)</f>
        <v/>
      </c>
      <c r="S858" s="16">
        <f>S838*EXP(-$D858*S628/S$832)</f>
        <v/>
      </c>
      <c r="T858" s="16">
        <f>T838*EXP(-$D858*T628/T$832)</f>
        <v/>
      </c>
      <c r="U858" s="16">
        <f>U838*EXP(-$D858*U628/U$832)</f>
        <v/>
      </c>
      <c r="V858" s="16">
        <f>V838*EXP(-$D858*V628/V$832)</f>
        <v/>
      </c>
      <c r="W858" s="16">
        <f>W838*EXP(-$D858*W628/W$832)</f>
        <v/>
      </c>
      <c r="X858" s="16">
        <f>X838*EXP(-$D858*X628/X$832)</f>
        <v/>
      </c>
      <c r="Y858" s="16">
        <f>Y838*EXP(-$D858*Y628/Y$832)</f>
        <v/>
      </c>
      <c r="Z858" s="16">
        <f>Z838*EXP(-$D858*Z628/Z$832)</f>
        <v/>
      </c>
      <c r="AA858" s="16">
        <f>AA838*EXP(-$D858*AA628/AA$832)</f>
        <v/>
      </c>
      <c r="AB858" s="16">
        <f>AB838*EXP(-$D858*AB628/AB$832)</f>
        <v/>
      </c>
      <c r="AC858" s="16">
        <f>AC838*EXP(-$D858*AC628/AC$832)</f>
        <v/>
      </c>
      <c r="AD858" s="16">
        <f>AD838*EXP(-$D858*AD628/AD$832)</f>
        <v/>
      </c>
      <c r="AE858" s="49">
        <f>LOGITW(AE838,$D858,AE628,AE$832)</f>
        <v/>
      </c>
      <c r="AG858" s="11">
        <f>CodePrefix&amp;$A858&amp;IF($C858="","","."&amp;$C858&amp;"."&amp;$B858)&amp;INDEX(VarEnd,MATCH($A858,VarKey,0))&amp;AG$5</f>
        <v/>
      </c>
      <c r="AH858" s="15">
        <f>AH838*EXP(-$D858*AH628/AH$832)</f>
        <v/>
      </c>
      <c r="AI858" s="16">
        <f>AI838*EXP(-$D858*AI628/AI$832)</f>
        <v/>
      </c>
      <c r="AJ858" s="16">
        <f>AJ838*EXP(-$D858*AJ628/AJ$832)</f>
        <v/>
      </c>
      <c r="AK858" s="16">
        <f>AK838*EXP(-$D858*AK628/AK$832)</f>
        <v/>
      </c>
      <c r="AL858" s="16">
        <f>AL838*EXP(-$D858*AL628/AL$832)</f>
        <v/>
      </c>
      <c r="AM858" s="16">
        <f>AM838*EXP(-$D858*AM628/AM$832)</f>
        <v/>
      </c>
      <c r="AN858" s="16">
        <f>AN838*EXP(-$D858*AN628/AN$832)</f>
        <v/>
      </c>
      <c r="AO858" s="16">
        <f>AO838*EXP(-$D858*AO628/AO$832)</f>
        <v/>
      </c>
      <c r="AP858" s="16">
        <f>AP838*EXP(-$D858*AP628/AP$832)</f>
        <v/>
      </c>
      <c r="AQ858" s="16">
        <f>AQ838*EXP(-$D858*AQ628/AQ$832)</f>
        <v/>
      </c>
      <c r="AR858" s="16">
        <f>AR838*EXP(-$D858*AR628/AR$832)</f>
        <v/>
      </c>
      <c r="AS858" s="16">
        <f>AS838*EXP(-$D858*AS628/AS$832)</f>
        <v/>
      </c>
      <c r="AT858" s="16">
        <f>AT838*EXP(-$D858*AT628/AT$832)</f>
        <v/>
      </c>
      <c r="AU858" s="16">
        <f>AU838*EXP(-$D858*AU628/AU$832)</f>
        <v/>
      </c>
      <c r="AV858" s="16">
        <f>AV838*EXP(-$D858*AV628/AV$832)</f>
        <v/>
      </c>
      <c r="AW858" s="16">
        <f>AW838*EXP(-$D858*AW628/AW$832)</f>
        <v/>
      </c>
      <c r="AX858" s="16">
        <f>AX838*EXP(-$D858*AX628/AX$832)</f>
        <v/>
      </c>
      <c r="AY858" s="16">
        <f>AY838*EXP(-$D858*AY628/AY$832)</f>
        <v/>
      </c>
      <c r="AZ858" s="16">
        <f>AZ838*EXP(-$D858*AZ628/AZ$832)</f>
        <v/>
      </c>
      <c r="BA858" s="49">
        <f>LOGITW(BA838,$D858,BA628,BA$832)</f>
        <v/>
      </c>
    </row>
    <row r="859" hidden="1" outlineLevel="1">
      <c r="A859" s="14" t="inlineStr">
        <is>
          <t>lgi</t>
        </is>
      </c>
      <c r="B859" s="14" t="inlineStr">
        <is>
          <t>wnd</t>
        </is>
      </c>
      <c r="C859" s="14" t="inlineStr">
        <is>
          <t>pow</t>
        </is>
      </c>
      <c r="D859" s="45">
        <f>INDEX(PParVal,MATCH("k_invest",PParKey,0))</f>
        <v/>
      </c>
      <c r="E859" s="39" t="n"/>
      <c r="F859" s="39" t="n"/>
      <c r="G859" s="39" t="n"/>
      <c r="H859" s="14">
        <f>INDEX(VarLab,MATCH($A859,VarKey,0))&amp;INDEX(MemLab,MATCH($C859&amp;"|"&amp;$B859,MemKey,0))</f>
        <v/>
      </c>
      <c r="I859" s="14">
        <f>INDEX(VarUnit,MATCH($A859,VarKey,0))</f>
        <v/>
      </c>
      <c r="J859" s="14">
        <f>INDEX(VarSrc,MATCH($A859,VarKey,0))</f>
        <v/>
      </c>
      <c r="K859" s="11">
        <f>CodePrefix&amp;$A859&amp;IF($C859="","","."&amp;$C859&amp;"."&amp;$B859)&amp;INDEX(VarEnd,MATCH($A859,VarKey,0))&amp;K$5</f>
        <v/>
      </c>
      <c r="L859" s="15">
        <f>L839*EXP(-$D859*L629/L$832)</f>
        <v/>
      </c>
      <c r="M859" s="16">
        <f>M839*EXP(-$D859*M629/M$832)</f>
        <v/>
      </c>
      <c r="N859" s="16">
        <f>N839*EXP(-$D859*N629/N$832)</f>
        <v/>
      </c>
      <c r="O859" s="16">
        <f>O839*EXP(-$D859*O629/O$832)</f>
        <v/>
      </c>
      <c r="P859" s="16">
        <f>P839*EXP(-$D859*P629/P$832)</f>
        <v/>
      </c>
      <c r="Q859" s="16">
        <f>Q839*EXP(-$D859*Q629/Q$832)</f>
        <v/>
      </c>
      <c r="R859" s="16">
        <f>R839*EXP(-$D859*R629/R$832)</f>
        <v/>
      </c>
      <c r="S859" s="16">
        <f>S839*EXP(-$D859*S629/S$832)</f>
        <v/>
      </c>
      <c r="T859" s="16">
        <f>T839*EXP(-$D859*T629/T$832)</f>
        <v/>
      </c>
      <c r="U859" s="16">
        <f>U839*EXP(-$D859*U629/U$832)</f>
        <v/>
      </c>
      <c r="V859" s="16">
        <f>V839*EXP(-$D859*V629/V$832)</f>
        <v/>
      </c>
      <c r="W859" s="16">
        <f>W839*EXP(-$D859*W629/W$832)</f>
        <v/>
      </c>
      <c r="X859" s="16">
        <f>X839*EXP(-$D859*X629/X$832)</f>
        <v/>
      </c>
      <c r="Y859" s="16">
        <f>Y839*EXP(-$D859*Y629/Y$832)</f>
        <v/>
      </c>
      <c r="Z859" s="16">
        <f>Z839*EXP(-$D859*Z629/Z$832)</f>
        <v/>
      </c>
      <c r="AA859" s="16">
        <f>AA839*EXP(-$D859*AA629/AA$832)</f>
        <v/>
      </c>
      <c r="AB859" s="16">
        <f>AB839*EXP(-$D859*AB629/AB$832)</f>
        <v/>
      </c>
      <c r="AC859" s="16">
        <f>AC839*EXP(-$D859*AC629/AC$832)</f>
        <v/>
      </c>
      <c r="AD859" s="16">
        <f>AD839*EXP(-$D859*AD629/AD$832)</f>
        <v/>
      </c>
      <c r="AE859" s="49">
        <f>LOGITW(AE839,$D859,AE629,AE$832)</f>
        <v/>
      </c>
      <c r="AG859" s="11">
        <f>CodePrefix&amp;$A859&amp;IF($C859="","","."&amp;$C859&amp;"."&amp;$B859)&amp;INDEX(VarEnd,MATCH($A859,VarKey,0))&amp;AG$5</f>
        <v/>
      </c>
      <c r="AH859" s="15">
        <f>AH839*EXP(-$D859*AH629/AH$832)</f>
        <v/>
      </c>
      <c r="AI859" s="16">
        <f>AI839*EXP(-$D859*AI629/AI$832)</f>
        <v/>
      </c>
      <c r="AJ859" s="16">
        <f>AJ839*EXP(-$D859*AJ629/AJ$832)</f>
        <v/>
      </c>
      <c r="AK859" s="16">
        <f>AK839*EXP(-$D859*AK629/AK$832)</f>
        <v/>
      </c>
      <c r="AL859" s="16">
        <f>AL839*EXP(-$D859*AL629/AL$832)</f>
        <v/>
      </c>
      <c r="AM859" s="16">
        <f>AM839*EXP(-$D859*AM629/AM$832)</f>
        <v/>
      </c>
      <c r="AN859" s="16">
        <f>AN839*EXP(-$D859*AN629/AN$832)</f>
        <v/>
      </c>
      <c r="AO859" s="16">
        <f>AO839*EXP(-$D859*AO629/AO$832)</f>
        <v/>
      </c>
      <c r="AP859" s="16">
        <f>AP839*EXP(-$D859*AP629/AP$832)</f>
        <v/>
      </c>
      <c r="AQ859" s="16">
        <f>AQ839*EXP(-$D859*AQ629/AQ$832)</f>
        <v/>
      </c>
      <c r="AR859" s="16">
        <f>AR839*EXP(-$D859*AR629/AR$832)</f>
        <v/>
      </c>
      <c r="AS859" s="16">
        <f>AS839*EXP(-$D859*AS629/AS$832)</f>
        <v/>
      </c>
      <c r="AT859" s="16">
        <f>AT839*EXP(-$D859*AT629/AT$832)</f>
        <v/>
      </c>
      <c r="AU859" s="16">
        <f>AU839*EXP(-$D859*AU629/AU$832)</f>
        <v/>
      </c>
      <c r="AV859" s="16">
        <f>AV839*EXP(-$D859*AV629/AV$832)</f>
        <v/>
      </c>
      <c r="AW859" s="16">
        <f>AW839*EXP(-$D859*AW629/AW$832)</f>
        <v/>
      </c>
      <c r="AX859" s="16">
        <f>AX839*EXP(-$D859*AX629/AX$832)</f>
        <v/>
      </c>
      <c r="AY859" s="16">
        <f>AY839*EXP(-$D859*AY629/AY$832)</f>
        <v/>
      </c>
      <c r="AZ859" s="16">
        <f>AZ839*EXP(-$D859*AZ629/AZ$832)</f>
        <v/>
      </c>
      <c r="BA859" s="49">
        <f>LOGITW(BA839,$D859,BA629,BA$832)</f>
        <v/>
      </c>
    </row>
    <row r="860" hidden="1" outlineLevel="1">
      <c r="A860" s="14" t="inlineStr">
        <is>
          <t>lgi</t>
        </is>
      </c>
      <c r="B860" s="14" t="inlineStr">
        <is>
          <t>sol</t>
        </is>
      </c>
      <c r="C860" s="14" t="inlineStr">
        <is>
          <t>pow</t>
        </is>
      </c>
      <c r="D860" s="45">
        <f>INDEX(PParVal,MATCH("k_invest",PParKey,0))</f>
        <v/>
      </c>
      <c r="E860" s="39" t="n"/>
      <c r="F860" s="39" t="n"/>
      <c r="G860" s="39" t="n"/>
      <c r="H860" s="14">
        <f>INDEX(VarLab,MATCH($A860,VarKey,0))&amp;INDEX(MemLab,MATCH($C860&amp;"|"&amp;$B860,MemKey,0))</f>
        <v/>
      </c>
      <c r="I860" s="14">
        <f>INDEX(VarUnit,MATCH($A860,VarKey,0))</f>
        <v/>
      </c>
      <c r="J860" s="14">
        <f>INDEX(VarSrc,MATCH($A860,VarKey,0))</f>
        <v/>
      </c>
      <c r="K860" s="11">
        <f>CodePrefix&amp;$A860&amp;IF($C860="","","."&amp;$C860&amp;"."&amp;$B860)&amp;INDEX(VarEnd,MATCH($A860,VarKey,0))&amp;K$5</f>
        <v/>
      </c>
      <c r="L860" s="15">
        <f>L840*EXP(-$D860*L630/L$832)</f>
        <v/>
      </c>
      <c r="M860" s="16">
        <f>M840*EXP(-$D860*M630/M$832)</f>
        <v/>
      </c>
      <c r="N860" s="16">
        <f>N840*EXP(-$D860*N630/N$832)</f>
        <v/>
      </c>
      <c r="O860" s="16">
        <f>O840*EXP(-$D860*O630/O$832)</f>
        <v/>
      </c>
      <c r="P860" s="16">
        <f>P840*EXP(-$D860*P630/P$832)</f>
        <v/>
      </c>
      <c r="Q860" s="16">
        <f>Q840*EXP(-$D860*Q630/Q$832)</f>
        <v/>
      </c>
      <c r="R860" s="16">
        <f>R840*EXP(-$D860*R630/R$832)</f>
        <v/>
      </c>
      <c r="S860" s="16">
        <f>S840*EXP(-$D860*S630/S$832)</f>
        <v/>
      </c>
      <c r="T860" s="16">
        <f>T840*EXP(-$D860*T630/T$832)</f>
        <v/>
      </c>
      <c r="U860" s="16">
        <f>U840*EXP(-$D860*U630/U$832)</f>
        <v/>
      </c>
      <c r="V860" s="16">
        <f>V840*EXP(-$D860*V630/V$832)</f>
        <v/>
      </c>
      <c r="W860" s="16">
        <f>W840*EXP(-$D860*W630/W$832)</f>
        <v/>
      </c>
      <c r="X860" s="16">
        <f>X840*EXP(-$D860*X630/X$832)</f>
        <v/>
      </c>
      <c r="Y860" s="16">
        <f>Y840*EXP(-$D860*Y630/Y$832)</f>
        <v/>
      </c>
      <c r="Z860" s="16">
        <f>Z840*EXP(-$D860*Z630/Z$832)</f>
        <v/>
      </c>
      <c r="AA860" s="16">
        <f>AA840*EXP(-$D860*AA630/AA$832)</f>
        <v/>
      </c>
      <c r="AB860" s="16">
        <f>AB840*EXP(-$D860*AB630/AB$832)</f>
        <v/>
      </c>
      <c r="AC860" s="16">
        <f>AC840*EXP(-$D860*AC630/AC$832)</f>
        <v/>
      </c>
      <c r="AD860" s="16">
        <f>AD840*EXP(-$D860*AD630/AD$832)</f>
        <v/>
      </c>
      <c r="AE860" s="49">
        <f>LOGITW(AE840,$D860,AE630,AE$832)</f>
        <v/>
      </c>
      <c r="AG860" s="11">
        <f>CodePrefix&amp;$A860&amp;IF($C860="","","."&amp;$C860&amp;"."&amp;$B860)&amp;INDEX(VarEnd,MATCH($A860,VarKey,0))&amp;AG$5</f>
        <v/>
      </c>
      <c r="AH860" s="15">
        <f>AH840*EXP(-$D860*AH630/AH$832)</f>
        <v/>
      </c>
      <c r="AI860" s="16">
        <f>AI840*EXP(-$D860*AI630/AI$832)</f>
        <v/>
      </c>
      <c r="AJ860" s="16">
        <f>AJ840*EXP(-$D860*AJ630/AJ$832)</f>
        <v/>
      </c>
      <c r="AK860" s="16">
        <f>AK840*EXP(-$D860*AK630/AK$832)</f>
        <v/>
      </c>
      <c r="AL860" s="16">
        <f>AL840*EXP(-$D860*AL630/AL$832)</f>
        <v/>
      </c>
      <c r="AM860" s="16">
        <f>AM840*EXP(-$D860*AM630/AM$832)</f>
        <v/>
      </c>
      <c r="AN860" s="16">
        <f>AN840*EXP(-$D860*AN630/AN$832)</f>
        <v/>
      </c>
      <c r="AO860" s="16">
        <f>AO840*EXP(-$D860*AO630/AO$832)</f>
        <v/>
      </c>
      <c r="AP860" s="16">
        <f>AP840*EXP(-$D860*AP630/AP$832)</f>
        <v/>
      </c>
      <c r="AQ860" s="16">
        <f>AQ840*EXP(-$D860*AQ630/AQ$832)</f>
        <v/>
      </c>
      <c r="AR860" s="16">
        <f>AR840*EXP(-$D860*AR630/AR$832)</f>
        <v/>
      </c>
      <c r="AS860" s="16">
        <f>AS840*EXP(-$D860*AS630/AS$832)</f>
        <v/>
      </c>
      <c r="AT860" s="16">
        <f>AT840*EXP(-$D860*AT630/AT$832)</f>
        <v/>
      </c>
      <c r="AU860" s="16">
        <f>AU840*EXP(-$D860*AU630/AU$832)</f>
        <v/>
      </c>
      <c r="AV860" s="16">
        <f>AV840*EXP(-$D860*AV630/AV$832)</f>
        <v/>
      </c>
      <c r="AW860" s="16">
        <f>AW840*EXP(-$D860*AW630/AW$832)</f>
        <v/>
      </c>
      <c r="AX860" s="16">
        <f>AX840*EXP(-$D860*AX630/AX$832)</f>
        <v/>
      </c>
      <c r="AY860" s="16">
        <f>AY840*EXP(-$D860*AY630/AY$832)</f>
        <v/>
      </c>
      <c r="AZ860" s="16">
        <f>AZ840*EXP(-$D860*AZ630/AZ$832)</f>
        <v/>
      </c>
      <c r="BA860" s="49">
        <f>LOGITW(BA840,$D860,BA630,BA$832)</f>
        <v/>
      </c>
    </row>
    <row r="861" hidden="1" outlineLevel="1">
      <c r="A861" s="14" t="inlineStr">
        <is>
          <t>lgi</t>
        </is>
      </c>
      <c r="B861" s="14" t="inlineStr">
        <is>
          <t>hyd</t>
        </is>
      </c>
      <c r="C861" s="14" t="inlineStr">
        <is>
          <t>pow</t>
        </is>
      </c>
      <c r="D861" s="45">
        <f>INDEX(PParVal,MATCH("k_invest",PParKey,0))</f>
        <v/>
      </c>
      <c r="E861" s="39" t="n"/>
      <c r="F861" s="39" t="n"/>
      <c r="G861" s="39" t="n"/>
      <c r="H861" s="14">
        <f>INDEX(VarLab,MATCH($A861,VarKey,0))&amp;INDEX(MemLab,MATCH($C861&amp;"|"&amp;$B861,MemKey,0))</f>
        <v/>
      </c>
      <c r="I861" s="14">
        <f>INDEX(VarUnit,MATCH($A861,VarKey,0))</f>
        <v/>
      </c>
      <c r="J861" s="14">
        <f>INDEX(VarSrc,MATCH($A861,VarKey,0))</f>
        <v/>
      </c>
      <c r="K861" s="11">
        <f>CodePrefix&amp;$A861&amp;IF($C861="","","."&amp;$C861&amp;"."&amp;$B861)&amp;INDEX(VarEnd,MATCH($A861,VarKey,0))&amp;K$5</f>
        <v/>
      </c>
      <c r="L861" s="15">
        <f>L841*EXP(-$D861*L631/L$832)</f>
        <v/>
      </c>
      <c r="M861" s="16">
        <f>M841*EXP(-$D861*M631/M$832)</f>
        <v/>
      </c>
      <c r="N861" s="16">
        <f>N841*EXP(-$D861*N631/N$832)</f>
        <v/>
      </c>
      <c r="O861" s="16">
        <f>O841*EXP(-$D861*O631/O$832)</f>
        <v/>
      </c>
      <c r="P861" s="16">
        <f>P841*EXP(-$D861*P631/P$832)</f>
        <v/>
      </c>
      <c r="Q861" s="16">
        <f>Q841*EXP(-$D861*Q631/Q$832)</f>
        <v/>
      </c>
      <c r="R861" s="16">
        <f>R841*EXP(-$D861*R631/R$832)</f>
        <v/>
      </c>
      <c r="S861" s="16">
        <f>S841*EXP(-$D861*S631/S$832)</f>
        <v/>
      </c>
      <c r="T861" s="16">
        <f>T841*EXP(-$D861*T631/T$832)</f>
        <v/>
      </c>
      <c r="U861" s="16">
        <f>U841*EXP(-$D861*U631/U$832)</f>
        <v/>
      </c>
      <c r="V861" s="16">
        <f>V841*EXP(-$D861*V631/V$832)</f>
        <v/>
      </c>
      <c r="W861" s="16">
        <f>W841*EXP(-$D861*W631/W$832)</f>
        <v/>
      </c>
      <c r="X861" s="16">
        <f>X841*EXP(-$D861*X631/X$832)</f>
        <v/>
      </c>
      <c r="Y861" s="16">
        <f>Y841*EXP(-$D861*Y631/Y$832)</f>
        <v/>
      </c>
      <c r="Z861" s="16">
        <f>Z841*EXP(-$D861*Z631/Z$832)</f>
        <v/>
      </c>
      <c r="AA861" s="16">
        <f>AA841*EXP(-$D861*AA631/AA$832)</f>
        <v/>
      </c>
      <c r="AB861" s="16">
        <f>AB841*EXP(-$D861*AB631/AB$832)</f>
        <v/>
      </c>
      <c r="AC861" s="16">
        <f>AC841*EXP(-$D861*AC631/AC$832)</f>
        <v/>
      </c>
      <c r="AD861" s="16">
        <f>AD841*EXP(-$D861*AD631/AD$832)</f>
        <v/>
      </c>
      <c r="AE861" s="49">
        <f>LOGITW(AE841,$D861,AE631,AE$832)</f>
        <v/>
      </c>
      <c r="AG861" s="11">
        <f>CodePrefix&amp;$A861&amp;IF($C861="","","."&amp;$C861&amp;"."&amp;$B861)&amp;INDEX(VarEnd,MATCH($A861,VarKey,0))&amp;AG$5</f>
        <v/>
      </c>
      <c r="AH861" s="15">
        <f>AH841*EXP(-$D861*AH631/AH$832)</f>
        <v/>
      </c>
      <c r="AI861" s="16">
        <f>AI841*EXP(-$D861*AI631/AI$832)</f>
        <v/>
      </c>
      <c r="AJ861" s="16">
        <f>AJ841*EXP(-$D861*AJ631/AJ$832)</f>
        <v/>
      </c>
      <c r="AK861" s="16">
        <f>AK841*EXP(-$D861*AK631/AK$832)</f>
        <v/>
      </c>
      <c r="AL861" s="16">
        <f>AL841*EXP(-$D861*AL631/AL$832)</f>
        <v/>
      </c>
      <c r="AM861" s="16">
        <f>AM841*EXP(-$D861*AM631/AM$832)</f>
        <v/>
      </c>
      <c r="AN861" s="16">
        <f>AN841*EXP(-$D861*AN631/AN$832)</f>
        <v/>
      </c>
      <c r="AO861" s="16">
        <f>AO841*EXP(-$D861*AO631/AO$832)</f>
        <v/>
      </c>
      <c r="AP861" s="16">
        <f>AP841*EXP(-$D861*AP631/AP$832)</f>
        <v/>
      </c>
      <c r="AQ861" s="16">
        <f>AQ841*EXP(-$D861*AQ631/AQ$832)</f>
        <v/>
      </c>
      <c r="AR861" s="16">
        <f>AR841*EXP(-$D861*AR631/AR$832)</f>
        <v/>
      </c>
      <c r="AS861" s="16">
        <f>AS841*EXP(-$D861*AS631/AS$832)</f>
        <v/>
      </c>
      <c r="AT861" s="16">
        <f>AT841*EXP(-$D861*AT631/AT$832)</f>
        <v/>
      </c>
      <c r="AU861" s="16">
        <f>AU841*EXP(-$D861*AU631/AU$832)</f>
        <v/>
      </c>
      <c r="AV861" s="16">
        <f>AV841*EXP(-$D861*AV631/AV$832)</f>
        <v/>
      </c>
      <c r="AW861" s="16">
        <f>AW841*EXP(-$D861*AW631/AW$832)</f>
        <v/>
      </c>
      <c r="AX861" s="16">
        <f>AX841*EXP(-$D861*AX631/AX$832)</f>
        <v/>
      </c>
      <c r="AY861" s="16">
        <f>AY841*EXP(-$D861*AY631/AY$832)</f>
        <v/>
      </c>
      <c r="AZ861" s="16">
        <f>AZ841*EXP(-$D861*AZ631/AZ$832)</f>
        <v/>
      </c>
      <c r="BA861" s="49">
        <f>LOGITW(BA841,$D861,BA631,BA$832)</f>
        <v/>
      </c>
    </row>
    <row r="862" hidden="1" outlineLevel="1">
      <c r="A862" s="14" t="inlineStr">
        <is>
          <t>lgi</t>
        </is>
      </c>
      <c r="B862" s="14" t="inlineStr">
        <is>
          <t>ore</t>
        </is>
      </c>
      <c r="C862" s="14" t="inlineStr">
        <is>
          <t>pow</t>
        </is>
      </c>
      <c r="D862" s="45">
        <f>INDEX(PParVal,MATCH("k_invest",PParKey,0))</f>
        <v/>
      </c>
      <c r="E862" s="39" t="n"/>
      <c r="F862" s="39" t="n"/>
      <c r="G862" s="39" t="n"/>
      <c r="H862" s="14">
        <f>INDEX(VarLab,MATCH($A862,VarKey,0))&amp;INDEX(MemLab,MATCH($C862&amp;"|"&amp;$B862,MemKey,0))</f>
        <v/>
      </c>
      <c r="I862" s="14">
        <f>INDEX(VarUnit,MATCH($A862,VarKey,0))</f>
        <v/>
      </c>
      <c r="J862" s="14">
        <f>INDEX(VarSrc,MATCH($A862,VarKey,0))</f>
        <v/>
      </c>
      <c r="K862" s="11">
        <f>CodePrefix&amp;$A862&amp;IF($C862="","","."&amp;$C862&amp;"."&amp;$B862)&amp;INDEX(VarEnd,MATCH($A862,VarKey,0))&amp;K$5</f>
        <v/>
      </c>
      <c r="L862" s="15">
        <f>L842*EXP(-$D862*L632/L$832)</f>
        <v/>
      </c>
      <c r="M862" s="16">
        <f>M842*EXP(-$D862*M632/M$832)</f>
        <v/>
      </c>
      <c r="N862" s="16">
        <f>N842*EXP(-$D862*N632/N$832)</f>
        <v/>
      </c>
      <c r="O862" s="16">
        <f>O842*EXP(-$D862*O632/O$832)</f>
        <v/>
      </c>
      <c r="P862" s="16">
        <f>P842*EXP(-$D862*P632/P$832)</f>
        <v/>
      </c>
      <c r="Q862" s="16">
        <f>Q842*EXP(-$D862*Q632/Q$832)</f>
        <v/>
      </c>
      <c r="R862" s="16">
        <f>R842*EXP(-$D862*R632/R$832)</f>
        <v/>
      </c>
      <c r="S862" s="16">
        <f>S842*EXP(-$D862*S632/S$832)</f>
        <v/>
      </c>
      <c r="T862" s="16">
        <f>T842*EXP(-$D862*T632/T$832)</f>
        <v/>
      </c>
      <c r="U862" s="16">
        <f>U842*EXP(-$D862*U632/U$832)</f>
        <v/>
      </c>
      <c r="V862" s="16">
        <f>V842*EXP(-$D862*V632/V$832)</f>
        <v/>
      </c>
      <c r="W862" s="16">
        <f>W842*EXP(-$D862*W632/W$832)</f>
        <v/>
      </c>
      <c r="X862" s="16">
        <f>X842*EXP(-$D862*X632/X$832)</f>
        <v/>
      </c>
      <c r="Y862" s="16">
        <f>Y842*EXP(-$D862*Y632/Y$832)</f>
        <v/>
      </c>
      <c r="Z862" s="16">
        <f>Z842*EXP(-$D862*Z632/Z$832)</f>
        <v/>
      </c>
      <c r="AA862" s="16">
        <f>AA842*EXP(-$D862*AA632/AA$832)</f>
        <v/>
      </c>
      <c r="AB862" s="16">
        <f>AB842*EXP(-$D862*AB632/AB$832)</f>
        <v/>
      </c>
      <c r="AC862" s="16">
        <f>AC842*EXP(-$D862*AC632/AC$832)</f>
        <v/>
      </c>
      <c r="AD862" s="16">
        <f>AD842*EXP(-$D862*AD632/AD$832)</f>
        <v/>
      </c>
      <c r="AE862" s="49">
        <f>LOGITW(AE842,$D862,AE632,AE$832)</f>
        <v/>
      </c>
      <c r="AG862" s="11">
        <f>CodePrefix&amp;$A862&amp;IF($C862="","","."&amp;$C862&amp;"."&amp;$B862)&amp;INDEX(VarEnd,MATCH($A862,VarKey,0))&amp;AG$5</f>
        <v/>
      </c>
      <c r="AH862" s="15">
        <f>AH842*EXP(-$D862*AH632/AH$832)</f>
        <v/>
      </c>
      <c r="AI862" s="16">
        <f>AI842*EXP(-$D862*AI632/AI$832)</f>
        <v/>
      </c>
      <c r="AJ862" s="16">
        <f>AJ842*EXP(-$D862*AJ632/AJ$832)</f>
        <v/>
      </c>
      <c r="AK862" s="16">
        <f>AK842*EXP(-$D862*AK632/AK$832)</f>
        <v/>
      </c>
      <c r="AL862" s="16">
        <f>AL842*EXP(-$D862*AL632/AL$832)</f>
        <v/>
      </c>
      <c r="AM862" s="16">
        <f>AM842*EXP(-$D862*AM632/AM$832)</f>
        <v/>
      </c>
      <c r="AN862" s="16">
        <f>AN842*EXP(-$D862*AN632/AN$832)</f>
        <v/>
      </c>
      <c r="AO862" s="16">
        <f>AO842*EXP(-$D862*AO632/AO$832)</f>
        <v/>
      </c>
      <c r="AP862" s="16">
        <f>AP842*EXP(-$D862*AP632/AP$832)</f>
        <v/>
      </c>
      <c r="AQ862" s="16">
        <f>AQ842*EXP(-$D862*AQ632/AQ$832)</f>
        <v/>
      </c>
      <c r="AR862" s="16">
        <f>AR842*EXP(-$D862*AR632/AR$832)</f>
        <v/>
      </c>
      <c r="AS862" s="16">
        <f>AS842*EXP(-$D862*AS632/AS$832)</f>
        <v/>
      </c>
      <c r="AT862" s="16">
        <f>AT842*EXP(-$D862*AT632/AT$832)</f>
        <v/>
      </c>
      <c r="AU862" s="16">
        <f>AU842*EXP(-$D862*AU632/AU$832)</f>
        <v/>
      </c>
      <c r="AV862" s="16">
        <f>AV842*EXP(-$D862*AV632/AV$832)</f>
        <v/>
      </c>
      <c r="AW862" s="16">
        <f>AW842*EXP(-$D862*AW632/AW$832)</f>
        <v/>
      </c>
      <c r="AX862" s="16">
        <f>AX842*EXP(-$D862*AX632/AX$832)</f>
        <v/>
      </c>
      <c r="AY862" s="16">
        <f>AY842*EXP(-$D862*AY632/AY$832)</f>
        <v/>
      </c>
      <c r="AZ862" s="16">
        <f>AZ842*EXP(-$D862*AZ632/AZ$832)</f>
        <v/>
      </c>
      <c r="BA862" s="49">
        <f>LOGITW(BA842,$D862,BA632,BA$832)</f>
        <v/>
      </c>
    </row>
    <row r="863" hidden="1" outlineLevel="1">
      <c r="A863" s="14" t="inlineStr">
        <is>
          <t>lgi</t>
        </is>
      </c>
      <c r="B863" s="14" t="inlineStr">
        <is>
          <t>bio</t>
        </is>
      </c>
      <c r="C863" s="14" t="inlineStr">
        <is>
          <t>pow</t>
        </is>
      </c>
      <c r="D863" s="45">
        <f>INDEX(PParVal,MATCH("k_invest",PParKey,0))</f>
        <v/>
      </c>
      <c r="E863" s="39" t="n"/>
      <c r="F863" s="39" t="n"/>
      <c r="G863" s="39" t="n"/>
      <c r="H863" s="14">
        <f>INDEX(VarLab,MATCH($A863,VarKey,0))&amp;INDEX(MemLab,MATCH($C863&amp;"|"&amp;$B863,MemKey,0))</f>
        <v/>
      </c>
      <c r="I863" s="14">
        <f>INDEX(VarUnit,MATCH($A863,VarKey,0))</f>
        <v/>
      </c>
      <c r="J863" s="14">
        <f>INDEX(VarSrc,MATCH($A863,VarKey,0))</f>
        <v/>
      </c>
      <c r="K863" s="11">
        <f>CodePrefix&amp;$A863&amp;IF($C863="","","."&amp;$C863&amp;"."&amp;$B863)&amp;INDEX(VarEnd,MATCH($A863,VarKey,0))&amp;K$5</f>
        <v/>
      </c>
      <c r="L863" s="15">
        <f>L843*EXP(-$D863*L633/L$832)</f>
        <v/>
      </c>
      <c r="M863" s="16">
        <f>M843*EXP(-$D863*M633/M$832)</f>
        <v/>
      </c>
      <c r="N863" s="16">
        <f>N843*EXP(-$D863*N633/N$832)</f>
        <v/>
      </c>
      <c r="O863" s="16">
        <f>O843*EXP(-$D863*O633/O$832)</f>
        <v/>
      </c>
      <c r="P863" s="16">
        <f>P843*EXP(-$D863*P633/P$832)</f>
        <v/>
      </c>
      <c r="Q863" s="16">
        <f>Q843*EXP(-$D863*Q633/Q$832)</f>
        <v/>
      </c>
      <c r="R863" s="16">
        <f>R843*EXP(-$D863*R633/R$832)</f>
        <v/>
      </c>
      <c r="S863" s="16">
        <f>S843*EXP(-$D863*S633/S$832)</f>
        <v/>
      </c>
      <c r="T863" s="16">
        <f>T843*EXP(-$D863*T633/T$832)</f>
        <v/>
      </c>
      <c r="U863" s="16">
        <f>U843*EXP(-$D863*U633/U$832)</f>
        <v/>
      </c>
      <c r="V863" s="16">
        <f>V843*EXP(-$D863*V633/V$832)</f>
        <v/>
      </c>
      <c r="W863" s="16">
        <f>W843*EXP(-$D863*W633/W$832)</f>
        <v/>
      </c>
      <c r="X863" s="16">
        <f>X843*EXP(-$D863*X633/X$832)</f>
        <v/>
      </c>
      <c r="Y863" s="16">
        <f>Y843*EXP(-$D863*Y633/Y$832)</f>
        <v/>
      </c>
      <c r="Z863" s="16">
        <f>Z843*EXP(-$D863*Z633/Z$832)</f>
        <v/>
      </c>
      <c r="AA863" s="16">
        <f>AA843*EXP(-$D863*AA633/AA$832)</f>
        <v/>
      </c>
      <c r="AB863" s="16">
        <f>AB843*EXP(-$D863*AB633/AB$832)</f>
        <v/>
      </c>
      <c r="AC863" s="16">
        <f>AC843*EXP(-$D863*AC633/AC$832)</f>
        <v/>
      </c>
      <c r="AD863" s="16">
        <f>AD843*EXP(-$D863*AD633/AD$832)</f>
        <v/>
      </c>
      <c r="AE863" s="49">
        <f>LOGITW(AE843,$D863,AE633,AE$832)</f>
        <v/>
      </c>
      <c r="AG863" s="11">
        <f>CodePrefix&amp;$A863&amp;IF($C863="","","."&amp;$C863&amp;"."&amp;$B863)&amp;INDEX(VarEnd,MATCH($A863,VarKey,0))&amp;AG$5</f>
        <v/>
      </c>
      <c r="AH863" s="15">
        <f>AH843*EXP(-$D863*AH633/AH$832)</f>
        <v/>
      </c>
      <c r="AI863" s="16">
        <f>AI843*EXP(-$D863*AI633/AI$832)</f>
        <v/>
      </c>
      <c r="AJ863" s="16">
        <f>AJ843*EXP(-$D863*AJ633/AJ$832)</f>
        <v/>
      </c>
      <c r="AK863" s="16">
        <f>AK843*EXP(-$D863*AK633/AK$832)</f>
        <v/>
      </c>
      <c r="AL863" s="16">
        <f>AL843*EXP(-$D863*AL633/AL$832)</f>
        <v/>
      </c>
      <c r="AM863" s="16">
        <f>AM843*EXP(-$D863*AM633/AM$832)</f>
        <v/>
      </c>
      <c r="AN863" s="16">
        <f>AN843*EXP(-$D863*AN633/AN$832)</f>
        <v/>
      </c>
      <c r="AO863" s="16">
        <f>AO843*EXP(-$D863*AO633/AO$832)</f>
        <v/>
      </c>
      <c r="AP863" s="16">
        <f>AP843*EXP(-$D863*AP633/AP$832)</f>
        <v/>
      </c>
      <c r="AQ863" s="16">
        <f>AQ843*EXP(-$D863*AQ633/AQ$832)</f>
        <v/>
      </c>
      <c r="AR863" s="16">
        <f>AR843*EXP(-$D863*AR633/AR$832)</f>
        <v/>
      </c>
      <c r="AS863" s="16">
        <f>AS843*EXP(-$D863*AS633/AS$832)</f>
        <v/>
      </c>
      <c r="AT863" s="16">
        <f>AT843*EXP(-$D863*AT633/AT$832)</f>
        <v/>
      </c>
      <c r="AU863" s="16">
        <f>AU843*EXP(-$D863*AU633/AU$832)</f>
        <v/>
      </c>
      <c r="AV863" s="16">
        <f>AV843*EXP(-$D863*AV633/AV$832)</f>
        <v/>
      </c>
      <c r="AW863" s="16">
        <f>AW843*EXP(-$D863*AW633/AW$832)</f>
        <v/>
      </c>
      <c r="AX863" s="16">
        <f>AX843*EXP(-$D863*AX633/AX$832)</f>
        <v/>
      </c>
      <c r="AY863" s="16">
        <f>AY843*EXP(-$D863*AY633/AY$832)</f>
        <v/>
      </c>
      <c r="AZ863" s="16">
        <f>AZ843*EXP(-$D863*AZ633/AZ$832)</f>
        <v/>
      </c>
      <c r="BA863" s="49">
        <f>LOGITW(BA843,$D863,BA633,BA$832)</f>
        <v/>
      </c>
    </row>
    <row r="864" hidden="1" outlineLevel="1"/>
    <row r="865" hidden="1" outlineLevel="1">
      <c r="A865" s="14" t="inlineStr">
        <is>
          <t>pni</t>
        </is>
      </c>
      <c r="B865" s="14" t="inlineStr">
        <is>
          <t>coa</t>
        </is>
      </c>
      <c r="C865" s="14" t="inlineStr">
        <is>
          <t>pow</t>
        </is>
      </c>
      <c r="D865" s="39" t="n"/>
      <c r="E865" s="39" t="n"/>
      <c r="F865" s="39" t="n"/>
      <c r="G865" s="39" t="n"/>
      <c r="H865" s="14">
        <f>INDEX(VarLab,MATCH($A865,VarKey,0))&amp;INDEX(MemLab,MATCH($C865&amp;"|"&amp;$B865,MemKey,0))</f>
        <v/>
      </c>
      <c r="I865" s="14">
        <f>INDEX(VarUnit,MATCH($A865,VarKey,0))</f>
        <v/>
      </c>
      <c r="J865" s="14">
        <f>INDEX(VarSrc,MATCH($A865,VarKey,0))</f>
        <v/>
      </c>
      <c r="K865" s="11">
        <f>CodePrefix&amp;$A865&amp;IF($C865="","","."&amp;$C865&amp;"."&amp;$B865)&amp;INDEX(VarEnd,MATCH($A865,VarKey,0))&amp;K$5</f>
        <v/>
      </c>
      <c r="L865" s="12">
        <f>IF(SUM(L$855:L$863)=0,0,L855/SUM(L$855:L$863))</f>
        <v/>
      </c>
      <c r="M865" s="13">
        <f>IF(SUM(M$855:M$863)=0,0,M855/SUM(M$855:M$863))</f>
        <v/>
      </c>
      <c r="N865" s="13">
        <f>IF(SUM(N$855:N$863)=0,0,N855/SUM(N$855:N$863))</f>
        <v/>
      </c>
      <c r="O865" s="13">
        <f>IF(SUM(O$855:O$863)=0,0,O855/SUM(O$855:O$863))</f>
        <v/>
      </c>
      <c r="P865" s="13">
        <f>IF(SUM(P$855:P$863)=0,0,P855/SUM(P$855:P$863))</f>
        <v/>
      </c>
      <c r="Q865" s="13">
        <f>IF(SUM(Q$855:Q$863)=0,0,Q855/SUM(Q$855:Q$863))</f>
        <v/>
      </c>
      <c r="R865" s="13">
        <f>IF(SUM(R$855:R$863)=0,0,R855/SUM(R$855:R$863))</f>
        <v/>
      </c>
      <c r="S865" s="13">
        <f>IF(SUM(S$855:S$863)=0,0,S855/SUM(S$855:S$863))</f>
        <v/>
      </c>
      <c r="T865" s="13">
        <f>IF(SUM(T$855:T$863)=0,0,T855/SUM(T$855:T$863))</f>
        <v/>
      </c>
      <c r="U865" s="13">
        <f>IF(SUM(U$855:U$863)=0,0,U855/SUM(U$855:U$863))</f>
        <v/>
      </c>
      <c r="V865" s="13">
        <f>IF(SUM(V$855:V$863)=0,0,V855/SUM(V$855:V$863))</f>
        <v/>
      </c>
      <c r="W865" s="13">
        <f>IF(SUM(W$855:W$863)=0,0,W855/SUM(W$855:W$863))</f>
        <v/>
      </c>
      <c r="X865" s="13">
        <f>IF(SUM(X$855:X$863)=0,0,X855/SUM(X$855:X$863))</f>
        <v/>
      </c>
      <c r="Y865" s="13">
        <f>IF(SUM(Y$855:Y$863)=0,0,Y855/SUM(Y$855:Y$863))</f>
        <v/>
      </c>
      <c r="Z865" s="13">
        <f>IF(SUM(Z$855:Z$863)=0,0,Z855/SUM(Z$855:Z$863))</f>
        <v/>
      </c>
      <c r="AA865" s="13">
        <f>IF(SUM(AA$855:AA$863)=0,0,AA855/SUM(AA$855:AA$863))</f>
        <v/>
      </c>
      <c r="AB865" s="13">
        <f>IF(SUM(AB$855:AB$863)=0,0,AB855/SUM(AB$855:AB$863))</f>
        <v/>
      </c>
      <c r="AC865" s="13">
        <f>IF(SUM(AC$855:AC$863)=0,0,AC855/SUM(AC$855:AC$863))</f>
        <v/>
      </c>
      <c r="AD865" s="13">
        <f>IF(SUM(AD$855:AD$863)=0,0,AD855/SUM(AD$855:AD$863))</f>
        <v/>
      </c>
      <c r="AE865" s="60">
        <f>SHARE(AE855,SUM(AE$855:AE$863))</f>
        <v/>
      </c>
      <c r="AG865" s="11">
        <f>CodePrefix&amp;$A865&amp;IF($C865="","","."&amp;$C865&amp;"."&amp;$B865)&amp;INDEX(VarEnd,MATCH($A865,VarKey,0))&amp;AG$5</f>
        <v/>
      </c>
      <c r="AH865" s="12">
        <f>IF(SUM(AH$855:AH$863)=0,0,AH855/SUM(AH$855:AH$863))</f>
        <v/>
      </c>
      <c r="AI865" s="13">
        <f>IF(SUM(AI$855:AI$863)=0,0,AI855/SUM(AI$855:AI$863))</f>
        <v/>
      </c>
      <c r="AJ865" s="13">
        <f>IF(SUM(AJ$855:AJ$863)=0,0,AJ855/SUM(AJ$855:AJ$863))</f>
        <v/>
      </c>
      <c r="AK865" s="13">
        <f>IF(SUM(AK$855:AK$863)=0,0,AK855/SUM(AK$855:AK$863))</f>
        <v/>
      </c>
      <c r="AL865" s="13">
        <f>IF(SUM(AL$855:AL$863)=0,0,AL855/SUM(AL$855:AL$863))</f>
        <v/>
      </c>
      <c r="AM865" s="13">
        <f>IF(SUM(AM$855:AM$863)=0,0,AM855/SUM(AM$855:AM$863))</f>
        <v/>
      </c>
      <c r="AN865" s="13">
        <f>IF(SUM(AN$855:AN$863)=0,0,AN855/SUM(AN$855:AN$863))</f>
        <v/>
      </c>
      <c r="AO865" s="13">
        <f>IF(SUM(AO$855:AO$863)=0,0,AO855/SUM(AO$855:AO$863))</f>
        <v/>
      </c>
      <c r="AP865" s="13">
        <f>IF(SUM(AP$855:AP$863)=0,0,AP855/SUM(AP$855:AP$863))</f>
        <v/>
      </c>
      <c r="AQ865" s="13">
        <f>IF(SUM(AQ$855:AQ$863)=0,0,AQ855/SUM(AQ$855:AQ$863))</f>
        <v/>
      </c>
      <c r="AR865" s="13">
        <f>IF(SUM(AR$855:AR$863)=0,0,AR855/SUM(AR$855:AR$863))</f>
        <v/>
      </c>
      <c r="AS865" s="13">
        <f>IF(SUM(AS$855:AS$863)=0,0,AS855/SUM(AS$855:AS$863))</f>
        <v/>
      </c>
      <c r="AT865" s="13">
        <f>IF(SUM(AT$855:AT$863)=0,0,AT855/SUM(AT$855:AT$863))</f>
        <v/>
      </c>
      <c r="AU865" s="13">
        <f>IF(SUM(AU$855:AU$863)=0,0,AU855/SUM(AU$855:AU$863))</f>
        <v/>
      </c>
      <c r="AV865" s="13">
        <f>IF(SUM(AV$855:AV$863)=0,0,AV855/SUM(AV$855:AV$863))</f>
        <v/>
      </c>
      <c r="AW865" s="13">
        <f>IF(SUM(AW$855:AW$863)=0,0,AW855/SUM(AW$855:AW$863))</f>
        <v/>
      </c>
      <c r="AX865" s="13">
        <f>IF(SUM(AX$855:AX$863)=0,0,AX855/SUM(AX$855:AX$863))</f>
        <v/>
      </c>
      <c r="AY865" s="13">
        <f>IF(SUM(AY$855:AY$863)=0,0,AY855/SUM(AY$855:AY$863))</f>
        <v/>
      </c>
      <c r="AZ865" s="13">
        <f>IF(SUM(AZ$855:AZ$863)=0,0,AZ855/SUM(AZ$855:AZ$863))</f>
        <v/>
      </c>
      <c r="BA865" s="60">
        <f>SHARE(BA855,SUM(BA$855:BA$863))</f>
        <v/>
      </c>
    </row>
    <row r="866" hidden="1" outlineLevel="1">
      <c r="A866" s="14" t="inlineStr">
        <is>
          <t>pni</t>
        </is>
      </c>
      <c r="B866" s="14" t="inlineStr">
        <is>
          <t>nga</t>
        </is>
      </c>
      <c r="C866" s="14" t="inlineStr">
        <is>
          <t>pow</t>
        </is>
      </c>
      <c r="D866" s="39" t="n"/>
      <c r="E866" s="39" t="n"/>
      <c r="F866" s="39" t="n"/>
      <c r="G866" s="39" t="n"/>
      <c r="H866" s="14">
        <f>INDEX(VarLab,MATCH($A866,VarKey,0))&amp;INDEX(MemLab,MATCH($C866&amp;"|"&amp;$B866,MemKey,0))</f>
        <v/>
      </c>
      <c r="I866" s="14">
        <f>INDEX(VarUnit,MATCH($A866,VarKey,0))</f>
        <v/>
      </c>
      <c r="J866" s="14">
        <f>INDEX(VarSrc,MATCH($A866,VarKey,0))</f>
        <v/>
      </c>
      <c r="K866" s="11">
        <f>CodePrefix&amp;$A866&amp;IF($C866="","","."&amp;$C866&amp;"."&amp;$B866)&amp;INDEX(VarEnd,MATCH($A866,VarKey,0))&amp;K$5</f>
        <v/>
      </c>
      <c r="L866" s="12">
        <f>IF(SUM(L$855:L$863)=0,0,L856/SUM(L$855:L$863))</f>
        <v/>
      </c>
      <c r="M866" s="13">
        <f>IF(SUM(M$855:M$863)=0,0,M856/SUM(M$855:M$863))</f>
        <v/>
      </c>
      <c r="N866" s="13">
        <f>IF(SUM(N$855:N$863)=0,0,N856/SUM(N$855:N$863))</f>
        <v/>
      </c>
      <c r="O866" s="13">
        <f>IF(SUM(O$855:O$863)=0,0,O856/SUM(O$855:O$863))</f>
        <v/>
      </c>
      <c r="P866" s="13">
        <f>IF(SUM(P$855:P$863)=0,0,P856/SUM(P$855:P$863))</f>
        <v/>
      </c>
      <c r="Q866" s="13">
        <f>IF(SUM(Q$855:Q$863)=0,0,Q856/SUM(Q$855:Q$863))</f>
        <v/>
      </c>
      <c r="R866" s="13">
        <f>IF(SUM(R$855:R$863)=0,0,R856/SUM(R$855:R$863))</f>
        <v/>
      </c>
      <c r="S866" s="13">
        <f>IF(SUM(S$855:S$863)=0,0,S856/SUM(S$855:S$863))</f>
        <v/>
      </c>
      <c r="T866" s="13">
        <f>IF(SUM(T$855:T$863)=0,0,T856/SUM(T$855:T$863))</f>
        <v/>
      </c>
      <c r="U866" s="13">
        <f>IF(SUM(U$855:U$863)=0,0,U856/SUM(U$855:U$863))</f>
        <v/>
      </c>
      <c r="V866" s="13">
        <f>IF(SUM(V$855:V$863)=0,0,V856/SUM(V$855:V$863))</f>
        <v/>
      </c>
      <c r="W866" s="13">
        <f>IF(SUM(W$855:W$863)=0,0,W856/SUM(W$855:W$863))</f>
        <v/>
      </c>
      <c r="X866" s="13">
        <f>IF(SUM(X$855:X$863)=0,0,X856/SUM(X$855:X$863))</f>
        <v/>
      </c>
      <c r="Y866" s="13">
        <f>IF(SUM(Y$855:Y$863)=0,0,Y856/SUM(Y$855:Y$863))</f>
        <v/>
      </c>
      <c r="Z866" s="13">
        <f>IF(SUM(Z$855:Z$863)=0,0,Z856/SUM(Z$855:Z$863))</f>
        <v/>
      </c>
      <c r="AA866" s="13">
        <f>IF(SUM(AA$855:AA$863)=0,0,AA856/SUM(AA$855:AA$863))</f>
        <v/>
      </c>
      <c r="AB866" s="13">
        <f>IF(SUM(AB$855:AB$863)=0,0,AB856/SUM(AB$855:AB$863))</f>
        <v/>
      </c>
      <c r="AC866" s="13">
        <f>IF(SUM(AC$855:AC$863)=0,0,AC856/SUM(AC$855:AC$863))</f>
        <v/>
      </c>
      <c r="AD866" s="13">
        <f>IF(SUM(AD$855:AD$863)=0,0,AD856/SUM(AD$855:AD$863))</f>
        <v/>
      </c>
      <c r="AE866" s="60">
        <f>SHARE(AE856,SUM(AE$855:AE$863))</f>
        <v/>
      </c>
      <c r="AG866" s="11">
        <f>CodePrefix&amp;$A866&amp;IF($C866="","","."&amp;$C866&amp;"."&amp;$B866)&amp;INDEX(VarEnd,MATCH($A866,VarKey,0))&amp;AG$5</f>
        <v/>
      </c>
      <c r="AH866" s="12">
        <f>IF(SUM(AH$855:AH$863)=0,0,AH856/SUM(AH$855:AH$863))</f>
        <v/>
      </c>
      <c r="AI866" s="13">
        <f>IF(SUM(AI$855:AI$863)=0,0,AI856/SUM(AI$855:AI$863))</f>
        <v/>
      </c>
      <c r="AJ866" s="13">
        <f>IF(SUM(AJ$855:AJ$863)=0,0,AJ856/SUM(AJ$855:AJ$863))</f>
        <v/>
      </c>
      <c r="AK866" s="13">
        <f>IF(SUM(AK$855:AK$863)=0,0,AK856/SUM(AK$855:AK$863))</f>
        <v/>
      </c>
      <c r="AL866" s="13">
        <f>IF(SUM(AL$855:AL$863)=0,0,AL856/SUM(AL$855:AL$863))</f>
        <v/>
      </c>
      <c r="AM866" s="13">
        <f>IF(SUM(AM$855:AM$863)=0,0,AM856/SUM(AM$855:AM$863))</f>
        <v/>
      </c>
      <c r="AN866" s="13">
        <f>IF(SUM(AN$855:AN$863)=0,0,AN856/SUM(AN$855:AN$863))</f>
        <v/>
      </c>
      <c r="AO866" s="13">
        <f>IF(SUM(AO$855:AO$863)=0,0,AO856/SUM(AO$855:AO$863))</f>
        <v/>
      </c>
      <c r="AP866" s="13">
        <f>IF(SUM(AP$855:AP$863)=0,0,AP856/SUM(AP$855:AP$863))</f>
        <v/>
      </c>
      <c r="AQ866" s="13">
        <f>IF(SUM(AQ$855:AQ$863)=0,0,AQ856/SUM(AQ$855:AQ$863))</f>
        <v/>
      </c>
      <c r="AR866" s="13">
        <f>IF(SUM(AR$855:AR$863)=0,0,AR856/SUM(AR$855:AR$863))</f>
        <v/>
      </c>
      <c r="AS866" s="13">
        <f>IF(SUM(AS$855:AS$863)=0,0,AS856/SUM(AS$855:AS$863))</f>
        <v/>
      </c>
      <c r="AT866" s="13">
        <f>IF(SUM(AT$855:AT$863)=0,0,AT856/SUM(AT$855:AT$863))</f>
        <v/>
      </c>
      <c r="AU866" s="13">
        <f>IF(SUM(AU$855:AU$863)=0,0,AU856/SUM(AU$855:AU$863))</f>
        <v/>
      </c>
      <c r="AV866" s="13">
        <f>IF(SUM(AV$855:AV$863)=0,0,AV856/SUM(AV$855:AV$863))</f>
        <v/>
      </c>
      <c r="AW866" s="13">
        <f>IF(SUM(AW$855:AW$863)=0,0,AW856/SUM(AW$855:AW$863))</f>
        <v/>
      </c>
      <c r="AX866" s="13">
        <f>IF(SUM(AX$855:AX$863)=0,0,AX856/SUM(AX$855:AX$863))</f>
        <v/>
      </c>
      <c r="AY866" s="13">
        <f>IF(SUM(AY$855:AY$863)=0,0,AY856/SUM(AY$855:AY$863))</f>
        <v/>
      </c>
      <c r="AZ866" s="13">
        <f>IF(SUM(AZ$855:AZ$863)=0,0,AZ856/SUM(AZ$855:AZ$863))</f>
        <v/>
      </c>
      <c r="BA866" s="60">
        <f>SHARE(BA856,SUM(BA$855:BA$863))</f>
        <v/>
      </c>
    </row>
    <row r="867" hidden="1" outlineLevel="1">
      <c r="A867" s="14" t="inlineStr">
        <is>
          <t>pni</t>
        </is>
      </c>
      <c r="B867" s="14" t="inlineStr">
        <is>
          <t>oop</t>
        </is>
      </c>
      <c r="C867" s="14" t="inlineStr">
        <is>
          <t>pow</t>
        </is>
      </c>
      <c r="D867" s="39" t="n"/>
      <c r="E867" s="39" t="n"/>
      <c r="F867" s="39" t="n"/>
      <c r="G867" s="39" t="n"/>
      <c r="H867" s="14">
        <f>INDEX(VarLab,MATCH($A867,VarKey,0))&amp;INDEX(MemLab,MATCH($C867&amp;"|"&amp;$B867,MemKey,0))</f>
        <v/>
      </c>
      <c r="I867" s="14">
        <f>INDEX(VarUnit,MATCH($A867,VarKey,0))</f>
        <v/>
      </c>
      <c r="J867" s="14">
        <f>INDEX(VarSrc,MATCH($A867,VarKey,0))</f>
        <v/>
      </c>
      <c r="K867" s="11">
        <f>CodePrefix&amp;$A867&amp;IF($C867="","","."&amp;$C867&amp;"."&amp;$B867)&amp;INDEX(VarEnd,MATCH($A867,VarKey,0))&amp;K$5</f>
        <v/>
      </c>
      <c r="L867" s="12">
        <f>IF(SUM(L$855:L$863)=0,0,L857/SUM(L$855:L$863))</f>
        <v/>
      </c>
      <c r="M867" s="13">
        <f>IF(SUM(M$855:M$863)=0,0,M857/SUM(M$855:M$863))</f>
        <v/>
      </c>
      <c r="N867" s="13">
        <f>IF(SUM(N$855:N$863)=0,0,N857/SUM(N$855:N$863))</f>
        <v/>
      </c>
      <c r="O867" s="13">
        <f>IF(SUM(O$855:O$863)=0,0,O857/SUM(O$855:O$863))</f>
        <v/>
      </c>
      <c r="P867" s="13">
        <f>IF(SUM(P$855:P$863)=0,0,P857/SUM(P$855:P$863))</f>
        <v/>
      </c>
      <c r="Q867" s="13">
        <f>IF(SUM(Q$855:Q$863)=0,0,Q857/SUM(Q$855:Q$863))</f>
        <v/>
      </c>
      <c r="R867" s="13">
        <f>IF(SUM(R$855:R$863)=0,0,R857/SUM(R$855:R$863))</f>
        <v/>
      </c>
      <c r="S867" s="13">
        <f>IF(SUM(S$855:S$863)=0,0,S857/SUM(S$855:S$863))</f>
        <v/>
      </c>
      <c r="T867" s="13">
        <f>IF(SUM(T$855:T$863)=0,0,T857/SUM(T$855:T$863))</f>
        <v/>
      </c>
      <c r="U867" s="13">
        <f>IF(SUM(U$855:U$863)=0,0,U857/SUM(U$855:U$863))</f>
        <v/>
      </c>
      <c r="V867" s="13">
        <f>IF(SUM(V$855:V$863)=0,0,V857/SUM(V$855:V$863))</f>
        <v/>
      </c>
      <c r="W867" s="13">
        <f>IF(SUM(W$855:W$863)=0,0,W857/SUM(W$855:W$863))</f>
        <v/>
      </c>
      <c r="X867" s="13">
        <f>IF(SUM(X$855:X$863)=0,0,X857/SUM(X$855:X$863))</f>
        <v/>
      </c>
      <c r="Y867" s="13">
        <f>IF(SUM(Y$855:Y$863)=0,0,Y857/SUM(Y$855:Y$863))</f>
        <v/>
      </c>
      <c r="Z867" s="13">
        <f>IF(SUM(Z$855:Z$863)=0,0,Z857/SUM(Z$855:Z$863))</f>
        <v/>
      </c>
      <c r="AA867" s="13">
        <f>IF(SUM(AA$855:AA$863)=0,0,AA857/SUM(AA$855:AA$863))</f>
        <v/>
      </c>
      <c r="AB867" s="13">
        <f>IF(SUM(AB$855:AB$863)=0,0,AB857/SUM(AB$855:AB$863))</f>
        <v/>
      </c>
      <c r="AC867" s="13">
        <f>IF(SUM(AC$855:AC$863)=0,0,AC857/SUM(AC$855:AC$863))</f>
        <v/>
      </c>
      <c r="AD867" s="13">
        <f>IF(SUM(AD$855:AD$863)=0,0,AD857/SUM(AD$855:AD$863))</f>
        <v/>
      </c>
      <c r="AE867" s="60">
        <f>SHARE(AE857,SUM(AE$855:AE$863))</f>
        <v/>
      </c>
      <c r="AG867" s="11">
        <f>CodePrefix&amp;$A867&amp;IF($C867="","","."&amp;$C867&amp;"."&amp;$B867)&amp;INDEX(VarEnd,MATCH($A867,VarKey,0))&amp;AG$5</f>
        <v/>
      </c>
      <c r="AH867" s="12">
        <f>IF(SUM(AH$855:AH$863)=0,0,AH857/SUM(AH$855:AH$863))</f>
        <v/>
      </c>
      <c r="AI867" s="13">
        <f>IF(SUM(AI$855:AI$863)=0,0,AI857/SUM(AI$855:AI$863))</f>
        <v/>
      </c>
      <c r="AJ867" s="13">
        <f>IF(SUM(AJ$855:AJ$863)=0,0,AJ857/SUM(AJ$855:AJ$863))</f>
        <v/>
      </c>
      <c r="AK867" s="13">
        <f>IF(SUM(AK$855:AK$863)=0,0,AK857/SUM(AK$855:AK$863))</f>
        <v/>
      </c>
      <c r="AL867" s="13">
        <f>IF(SUM(AL$855:AL$863)=0,0,AL857/SUM(AL$855:AL$863))</f>
        <v/>
      </c>
      <c r="AM867" s="13">
        <f>IF(SUM(AM$855:AM$863)=0,0,AM857/SUM(AM$855:AM$863))</f>
        <v/>
      </c>
      <c r="AN867" s="13">
        <f>IF(SUM(AN$855:AN$863)=0,0,AN857/SUM(AN$855:AN$863))</f>
        <v/>
      </c>
      <c r="AO867" s="13">
        <f>IF(SUM(AO$855:AO$863)=0,0,AO857/SUM(AO$855:AO$863))</f>
        <v/>
      </c>
      <c r="AP867" s="13">
        <f>IF(SUM(AP$855:AP$863)=0,0,AP857/SUM(AP$855:AP$863))</f>
        <v/>
      </c>
      <c r="AQ867" s="13">
        <f>IF(SUM(AQ$855:AQ$863)=0,0,AQ857/SUM(AQ$855:AQ$863))</f>
        <v/>
      </c>
      <c r="AR867" s="13">
        <f>IF(SUM(AR$855:AR$863)=0,0,AR857/SUM(AR$855:AR$863))</f>
        <v/>
      </c>
      <c r="AS867" s="13">
        <f>IF(SUM(AS$855:AS$863)=0,0,AS857/SUM(AS$855:AS$863))</f>
        <v/>
      </c>
      <c r="AT867" s="13">
        <f>IF(SUM(AT$855:AT$863)=0,0,AT857/SUM(AT$855:AT$863))</f>
        <v/>
      </c>
      <c r="AU867" s="13">
        <f>IF(SUM(AU$855:AU$863)=0,0,AU857/SUM(AU$855:AU$863))</f>
        <v/>
      </c>
      <c r="AV867" s="13">
        <f>IF(SUM(AV$855:AV$863)=0,0,AV857/SUM(AV$855:AV$863))</f>
        <v/>
      </c>
      <c r="AW867" s="13">
        <f>IF(SUM(AW$855:AW$863)=0,0,AW857/SUM(AW$855:AW$863))</f>
        <v/>
      </c>
      <c r="AX867" s="13">
        <f>IF(SUM(AX$855:AX$863)=0,0,AX857/SUM(AX$855:AX$863))</f>
        <v/>
      </c>
      <c r="AY867" s="13">
        <f>IF(SUM(AY$855:AY$863)=0,0,AY857/SUM(AY$855:AY$863))</f>
        <v/>
      </c>
      <c r="AZ867" s="13">
        <f>IF(SUM(AZ$855:AZ$863)=0,0,AZ857/SUM(AZ$855:AZ$863))</f>
        <v/>
      </c>
      <c r="BA867" s="60">
        <f>SHARE(BA857,SUM(BA$855:BA$863))</f>
        <v/>
      </c>
    </row>
    <row r="868" hidden="1" outlineLevel="1">
      <c r="A868" s="14" t="inlineStr">
        <is>
          <t>pni</t>
        </is>
      </c>
      <c r="B868" s="14" t="inlineStr">
        <is>
          <t>nuc</t>
        </is>
      </c>
      <c r="C868" s="14" t="inlineStr">
        <is>
          <t>pow</t>
        </is>
      </c>
      <c r="D868" s="39" t="n"/>
      <c r="E868" s="39" t="n"/>
      <c r="F868" s="39" t="n"/>
      <c r="G868" s="39" t="n"/>
      <c r="H868" s="14">
        <f>INDEX(VarLab,MATCH($A868,VarKey,0))&amp;INDEX(MemLab,MATCH($C868&amp;"|"&amp;$B868,MemKey,0))</f>
        <v/>
      </c>
      <c r="I868" s="14">
        <f>INDEX(VarUnit,MATCH($A868,VarKey,0))</f>
        <v/>
      </c>
      <c r="J868" s="14">
        <f>INDEX(VarSrc,MATCH($A868,VarKey,0))</f>
        <v/>
      </c>
      <c r="K868" s="11">
        <f>CodePrefix&amp;$A868&amp;IF($C868="","","."&amp;$C868&amp;"."&amp;$B868)&amp;INDEX(VarEnd,MATCH($A868,VarKey,0))&amp;K$5</f>
        <v/>
      </c>
      <c r="L868" s="12">
        <f>IF(SUM(L$855:L$863)=0,0,L858/SUM(L$855:L$863))</f>
        <v/>
      </c>
      <c r="M868" s="13">
        <f>IF(SUM(M$855:M$863)=0,0,M858/SUM(M$855:M$863))</f>
        <v/>
      </c>
      <c r="N868" s="13">
        <f>IF(SUM(N$855:N$863)=0,0,N858/SUM(N$855:N$863))</f>
        <v/>
      </c>
      <c r="O868" s="13">
        <f>IF(SUM(O$855:O$863)=0,0,O858/SUM(O$855:O$863))</f>
        <v/>
      </c>
      <c r="P868" s="13">
        <f>IF(SUM(P$855:P$863)=0,0,P858/SUM(P$855:P$863))</f>
        <v/>
      </c>
      <c r="Q868" s="13">
        <f>IF(SUM(Q$855:Q$863)=0,0,Q858/SUM(Q$855:Q$863))</f>
        <v/>
      </c>
      <c r="R868" s="13">
        <f>IF(SUM(R$855:R$863)=0,0,R858/SUM(R$855:R$863))</f>
        <v/>
      </c>
      <c r="S868" s="13">
        <f>IF(SUM(S$855:S$863)=0,0,S858/SUM(S$855:S$863))</f>
        <v/>
      </c>
      <c r="T868" s="13">
        <f>IF(SUM(T$855:T$863)=0,0,T858/SUM(T$855:T$863))</f>
        <v/>
      </c>
      <c r="U868" s="13">
        <f>IF(SUM(U$855:U$863)=0,0,U858/SUM(U$855:U$863))</f>
        <v/>
      </c>
      <c r="V868" s="13">
        <f>IF(SUM(V$855:V$863)=0,0,V858/SUM(V$855:V$863))</f>
        <v/>
      </c>
      <c r="W868" s="13">
        <f>IF(SUM(W$855:W$863)=0,0,W858/SUM(W$855:W$863))</f>
        <v/>
      </c>
      <c r="X868" s="13">
        <f>IF(SUM(X$855:X$863)=0,0,X858/SUM(X$855:X$863))</f>
        <v/>
      </c>
      <c r="Y868" s="13">
        <f>IF(SUM(Y$855:Y$863)=0,0,Y858/SUM(Y$855:Y$863))</f>
        <v/>
      </c>
      <c r="Z868" s="13">
        <f>IF(SUM(Z$855:Z$863)=0,0,Z858/SUM(Z$855:Z$863))</f>
        <v/>
      </c>
      <c r="AA868" s="13">
        <f>IF(SUM(AA$855:AA$863)=0,0,AA858/SUM(AA$855:AA$863))</f>
        <v/>
      </c>
      <c r="AB868" s="13">
        <f>IF(SUM(AB$855:AB$863)=0,0,AB858/SUM(AB$855:AB$863))</f>
        <v/>
      </c>
      <c r="AC868" s="13">
        <f>IF(SUM(AC$855:AC$863)=0,0,AC858/SUM(AC$855:AC$863))</f>
        <v/>
      </c>
      <c r="AD868" s="13">
        <f>IF(SUM(AD$855:AD$863)=0,0,AD858/SUM(AD$855:AD$863))</f>
        <v/>
      </c>
      <c r="AE868" s="60">
        <f>SHARE(AE858,SUM(AE$855:AE$863))</f>
        <v/>
      </c>
      <c r="AG868" s="11">
        <f>CodePrefix&amp;$A868&amp;IF($C868="","","."&amp;$C868&amp;"."&amp;$B868)&amp;INDEX(VarEnd,MATCH($A868,VarKey,0))&amp;AG$5</f>
        <v/>
      </c>
      <c r="AH868" s="12">
        <f>IF(SUM(AH$855:AH$863)=0,0,AH858/SUM(AH$855:AH$863))</f>
        <v/>
      </c>
      <c r="AI868" s="13">
        <f>IF(SUM(AI$855:AI$863)=0,0,AI858/SUM(AI$855:AI$863))</f>
        <v/>
      </c>
      <c r="AJ868" s="13">
        <f>IF(SUM(AJ$855:AJ$863)=0,0,AJ858/SUM(AJ$855:AJ$863))</f>
        <v/>
      </c>
      <c r="AK868" s="13">
        <f>IF(SUM(AK$855:AK$863)=0,0,AK858/SUM(AK$855:AK$863))</f>
        <v/>
      </c>
      <c r="AL868" s="13">
        <f>IF(SUM(AL$855:AL$863)=0,0,AL858/SUM(AL$855:AL$863))</f>
        <v/>
      </c>
      <c r="AM868" s="13">
        <f>IF(SUM(AM$855:AM$863)=0,0,AM858/SUM(AM$855:AM$863))</f>
        <v/>
      </c>
      <c r="AN868" s="13">
        <f>IF(SUM(AN$855:AN$863)=0,0,AN858/SUM(AN$855:AN$863))</f>
        <v/>
      </c>
      <c r="AO868" s="13">
        <f>IF(SUM(AO$855:AO$863)=0,0,AO858/SUM(AO$855:AO$863))</f>
        <v/>
      </c>
      <c r="AP868" s="13">
        <f>IF(SUM(AP$855:AP$863)=0,0,AP858/SUM(AP$855:AP$863))</f>
        <v/>
      </c>
      <c r="AQ868" s="13">
        <f>IF(SUM(AQ$855:AQ$863)=0,0,AQ858/SUM(AQ$855:AQ$863))</f>
        <v/>
      </c>
      <c r="AR868" s="13">
        <f>IF(SUM(AR$855:AR$863)=0,0,AR858/SUM(AR$855:AR$863))</f>
        <v/>
      </c>
      <c r="AS868" s="13">
        <f>IF(SUM(AS$855:AS$863)=0,0,AS858/SUM(AS$855:AS$863))</f>
        <v/>
      </c>
      <c r="AT868" s="13">
        <f>IF(SUM(AT$855:AT$863)=0,0,AT858/SUM(AT$855:AT$863))</f>
        <v/>
      </c>
      <c r="AU868" s="13">
        <f>IF(SUM(AU$855:AU$863)=0,0,AU858/SUM(AU$855:AU$863))</f>
        <v/>
      </c>
      <c r="AV868" s="13">
        <f>IF(SUM(AV$855:AV$863)=0,0,AV858/SUM(AV$855:AV$863))</f>
        <v/>
      </c>
      <c r="AW868" s="13">
        <f>IF(SUM(AW$855:AW$863)=0,0,AW858/SUM(AW$855:AW$863))</f>
        <v/>
      </c>
      <c r="AX868" s="13">
        <f>IF(SUM(AX$855:AX$863)=0,0,AX858/SUM(AX$855:AX$863))</f>
        <v/>
      </c>
      <c r="AY868" s="13">
        <f>IF(SUM(AY$855:AY$863)=0,0,AY858/SUM(AY$855:AY$863))</f>
        <v/>
      </c>
      <c r="AZ868" s="13">
        <f>IF(SUM(AZ$855:AZ$863)=0,0,AZ858/SUM(AZ$855:AZ$863))</f>
        <v/>
      </c>
      <c r="BA868" s="60">
        <f>SHARE(BA858,SUM(BA$855:BA$863))</f>
        <v/>
      </c>
    </row>
    <row r="869" hidden="1" outlineLevel="1">
      <c r="A869" s="14" t="inlineStr">
        <is>
          <t>pni</t>
        </is>
      </c>
      <c r="B869" s="14" t="inlineStr">
        <is>
          <t>wnd</t>
        </is>
      </c>
      <c r="C869" s="14" t="inlineStr">
        <is>
          <t>pow</t>
        </is>
      </c>
      <c r="D869" s="39" t="n"/>
      <c r="E869" s="39" t="n"/>
      <c r="F869" s="39" t="n"/>
      <c r="G869" s="39" t="n"/>
      <c r="H869" s="14">
        <f>INDEX(VarLab,MATCH($A869,VarKey,0))&amp;INDEX(MemLab,MATCH($C869&amp;"|"&amp;$B869,MemKey,0))</f>
        <v/>
      </c>
      <c r="I869" s="14">
        <f>INDEX(VarUnit,MATCH($A869,VarKey,0))</f>
        <v/>
      </c>
      <c r="J869" s="14">
        <f>INDEX(VarSrc,MATCH($A869,VarKey,0))</f>
        <v/>
      </c>
      <c r="K869" s="11">
        <f>CodePrefix&amp;$A869&amp;IF($C869="","","."&amp;$C869&amp;"."&amp;$B869)&amp;INDEX(VarEnd,MATCH($A869,VarKey,0))&amp;K$5</f>
        <v/>
      </c>
      <c r="L869" s="12">
        <f>IF(SUM(L$855:L$863)=0,0,L859/SUM(L$855:L$863))</f>
        <v/>
      </c>
      <c r="M869" s="13">
        <f>IF(SUM(M$855:M$863)=0,0,M859/SUM(M$855:M$863))</f>
        <v/>
      </c>
      <c r="N869" s="13">
        <f>IF(SUM(N$855:N$863)=0,0,N859/SUM(N$855:N$863))</f>
        <v/>
      </c>
      <c r="O869" s="13">
        <f>IF(SUM(O$855:O$863)=0,0,O859/SUM(O$855:O$863))</f>
        <v/>
      </c>
      <c r="P869" s="13">
        <f>IF(SUM(P$855:P$863)=0,0,P859/SUM(P$855:P$863))</f>
        <v/>
      </c>
      <c r="Q869" s="13">
        <f>IF(SUM(Q$855:Q$863)=0,0,Q859/SUM(Q$855:Q$863))</f>
        <v/>
      </c>
      <c r="R869" s="13">
        <f>IF(SUM(R$855:R$863)=0,0,R859/SUM(R$855:R$863))</f>
        <v/>
      </c>
      <c r="S869" s="13">
        <f>IF(SUM(S$855:S$863)=0,0,S859/SUM(S$855:S$863))</f>
        <v/>
      </c>
      <c r="T869" s="13">
        <f>IF(SUM(T$855:T$863)=0,0,T859/SUM(T$855:T$863))</f>
        <v/>
      </c>
      <c r="U869" s="13">
        <f>IF(SUM(U$855:U$863)=0,0,U859/SUM(U$855:U$863))</f>
        <v/>
      </c>
      <c r="V869" s="13">
        <f>IF(SUM(V$855:V$863)=0,0,V859/SUM(V$855:V$863))</f>
        <v/>
      </c>
      <c r="W869" s="13">
        <f>IF(SUM(W$855:W$863)=0,0,W859/SUM(W$855:W$863))</f>
        <v/>
      </c>
      <c r="X869" s="13">
        <f>IF(SUM(X$855:X$863)=0,0,X859/SUM(X$855:X$863))</f>
        <v/>
      </c>
      <c r="Y869" s="13">
        <f>IF(SUM(Y$855:Y$863)=0,0,Y859/SUM(Y$855:Y$863))</f>
        <v/>
      </c>
      <c r="Z869" s="13">
        <f>IF(SUM(Z$855:Z$863)=0,0,Z859/SUM(Z$855:Z$863))</f>
        <v/>
      </c>
      <c r="AA869" s="13">
        <f>IF(SUM(AA$855:AA$863)=0,0,AA859/SUM(AA$855:AA$863))</f>
        <v/>
      </c>
      <c r="AB869" s="13">
        <f>IF(SUM(AB$855:AB$863)=0,0,AB859/SUM(AB$855:AB$863))</f>
        <v/>
      </c>
      <c r="AC869" s="13">
        <f>IF(SUM(AC$855:AC$863)=0,0,AC859/SUM(AC$855:AC$863))</f>
        <v/>
      </c>
      <c r="AD869" s="13">
        <f>IF(SUM(AD$855:AD$863)=0,0,AD859/SUM(AD$855:AD$863))</f>
        <v/>
      </c>
      <c r="AE869" s="60">
        <f>SHARE(AE859,SUM(AE$855:AE$863))</f>
        <v/>
      </c>
      <c r="AG869" s="11">
        <f>CodePrefix&amp;$A869&amp;IF($C869="","","."&amp;$C869&amp;"."&amp;$B869)&amp;INDEX(VarEnd,MATCH($A869,VarKey,0))&amp;AG$5</f>
        <v/>
      </c>
      <c r="AH869" s="12">
        <f>IF(SUM(AH$855:AH$863)=0,0,AH859/SUM(AH$855:AH$863))</f>
        <v/>
      </c>
      <c r="AI869" s="13">
        <f>IF(SUM(AI$855:AI$863)=0,0,AI859/SUM(AI$855:AI$863))</f>
        <v/>
      </c>
      <c r="AJ869" s="13">
        <f>IF(SUM(AJ$855:AJ$863)=0,0,AJ859/SUM(AJ$855:AJ$863))</f>
        <v/>
      </c>
      <c r="AK869" s="13">
        <f>IF(SUM(AK$855:AK$863)=0,0,AK859/SUM(AK$855:AK$863))</f>
        <v/>
      </c>
      <c r="AL869" s="13">
        <f>IF(SUM(AL$855:AL$863)=0,0,AL859/SUM(AL$855:AL$863))</f>
        <v/>
      </c>
      <c r="AM869" s="13">
        <f>IF(SUM(AM$855:AM$863)=0,0,AM859/SUM(AM$855:AM$863))</f>
        <v/>
      </c>
      <c r="AN869" s="13">
        <f>IF(SUM(AN$855:AN$863)=0,0,AN859/SUM(AN$855:AN$863))</f>
        <v/>
      </c>
      <c r="AO869" s="13">
        <f>IF(SUM(AO$855:AO$863)=0,0,AO859/SUM(AO$855:AO$863))</f>
        <v/>
      </c>
      <c r="AP869" s="13">
        <f>IF(SUM(AP$855:AP$863)=0,0,AP859/SUM(AP$855:AP$863))</f>
        <v/>
      </c>
      <c r="AQ869" s="13">
        <f>IF(SUM(AQ$855:AQ$863)=0,0,AQ859/SUM(AQ$855:AQ$863))</f>
        <v/>
      </c>
      <c r="AR869" s="13">
        <f>IF(SUM(AR$855:AR$863)=0,0,AR859/SUM(AR$855:AR$863))</f>
        <v/>
      </c>
      <c r="AS869" s="13">
        <f>IF(SUM(AS$855:AS$863)=0,0,AS859/SUM(AS$855:AS$863))</f>
        <v/>
      </c>
      <c r="AT869" s="13">
        <f>IF(SUM(AT$855:AT$863)=0,0,AT859/SUM(AT$855:AT$863))</f>
        <v/>
      </c>
      <c r="AU869" s="13">
        <f>IF(SUM(AU$855:AU$863)=0,0,AU859/SUM(AU$855:AU$863))</f>
        <v/>
      </c>
      <c r="AV869" s="13">
        <f>IF(SUM(AV$855:AV$863)=0,0,AV859/SUM(AV$855:AV$863))</f>
        <v/>
      </c>
      <c r="AW869" s="13">
        <f>IF(SUM(AW$855:AW$863)=0,0,AW859/SUM(AW$855:AW$863))</f>
        <v/>
      </c>
      <c r="AX869" s="13">
        <f>IF(SUM(AX$855:AX$863)=0,0,AX859/SUM(AX$855:AX$863))</f>
        <v/>
      </c>
      <c r="AY869" s="13">
        <f>IF(SUM(AY$855:AY$863)=0,0,AY859/SUM(AY$855:AY$863))</f>
        <v/>
      </c>
      <c r="AZ869" s="13">
        <f>IF(SUM(AZ$855:AZ$863)=0,0,AZ859/SUM(AZ$855:AZ$863))</f>
        <v/>
      </c>
      <c r="BA869" s="60">
        <f>SHARE(BA859,SUM(BA$855:BA$863))</f>
        <v/>
      </c>
    </row>
    <row r="870" hidden="1" outlineLevel="1">
      <c r="A870" s="14" t="inlineStr">
        <is>
          <t>pni</t>
        </is>
      </c>
      <c r="B870" s="14" t="inlineStr">
        <is>
          <t>sol</t>
        </is>
      </c>
      <c r="C870" s="14" t="inlineStr">
        <is>
          <t>pow</t>
        </is>
      </c>
      <c r="D870" s="39" t="n"/>
      <c r="E870" s="39" t="n"/>
      <c r="F870" s="39" t="n"/>
      <c r="G870" s="39" t="n"/>
      <c r="H870" s="14">
        <f>INDEX(VarLab,MATCH($A870,VarKey,0))&amp;INDEX(MemLab,MATCH($C870&amp;"|"&amp;$B870,MemKey,0))</f>
        <v/>
      </c>
      <c r="I870" s="14">
        <f>INDEX(VarUnit,MATCH($A870,VarKey,0))</f>
        <v/>
      </c>
      <c r="J870" s="14">
        <f>INDEX(VarSrc,MATCH($A870,VarKey,0))</f>
        <v/>
      </c>
      <c r="K870" s="11">
        <f>CodePrefix&amp;$A870&amp;IF($C870="","","."&amp;$C870&amp;"."&amp;$B870)&amp;INDEX(VarEnd,MATCH($A870,VarKey,0))&amp;K$5</f>
        <v/>
      </c>
      <c r="L870" s="12">
        <f>IF(SUM(L$855:L$863)=0,0,L860/SUM(L$855:L$863))</f>
        <v/>
      </c>
      <c r="M870" s="13">
        <f>IF(SUM(M$855:M$863)=0,0,M860/SUM(M$855:M$863))</f>
        <v/>
      </c>
      <c r="N870" s="13">
        <f>IF(SUM(N$855:N$863)=0,0,N860/SUM(N$855:N$863))</f>
        <v/>
      </c>
      <c r="O870" s="13">
        <f>IF(SUM(O$855:O$863)=0,0,O860/SUM(O$855:O$863))</f>
        <v/>
      </c>
      <c r="P870" s="13">
        <f>IF(SUM(P$855:P$863)=0,0,P860/SUM(P$855:P$863))</f>
        <v/>
      </c>
      <c r="Q870" s="13">
        <f>IF(SUM(Q$855:Q$863)=0,0,Q860/SUM(Q$855:Q$863))</f>
        <v/>
      </c>
      <c r="R870" s="13">
        <f>IF(SUM(R$855:R$863)=0,0,R860/SUM(R$855:R$863))</f>
        <v/>
      </c>
      <c r="S870" s="13">
        <f>IF(SUM(S$855:S$863)=0,0,S860/SUM(S$855:S$863))</f>
        <v/>
      </c>
      <c r="T870" s="13">
        <f>IF(SUM(T$855:T$863)=0,0,T860/SUM(T$855:T$863))</f>
        <v/>
      </c>
      <c r="U870" s="13">
        <f>IF(SUM(U$855:U$863)=0,0,U860/SUM(U$855:U$863))</f>
        <v/>
      </c>
      <c r="V870" s="13">
        <f>IF(SUM(V$855:V$863)=0,0,V860/SUM(V$855:V$863))</f>
        <v/>
      </c>
      <c r="W870" s="13">
        <f>IF(SUM(W$855:W$863)=0,0,W860/SUM(W$855:W$863))</f>
        <v/>
      </c>
      <c r="X870" s="13">
        <f>IF(SUM(X$855:X$863)=0,0,X860/SUM(X$855:X$863))</f>
        <v/>
      </c>
      <c r="Y870" s="13">
        <f>IF(SUM(Y$855:Y$863)=0,0,Y860/SUM(Y$855:Y$863))</f>
        <v/>
      </c>
      <c r="Z870" s="13">
        <f>IF(SUM(Z$855:Z$863)=0,0,Z860/SUM(Z$855:Z$863))</f>
        <v/>
      </c>
      <c r="AA870" s="13">
        <f>IF(SUM(AA$855:AA$863)=0,0,AA860/SUM(AA$855:AA$863))</f>
        <v/>
      </c>
      <c r="AB870" s="13">
        <f>IF(SUM(AB$855:AB$863)=0,0,AB860/SUM(AB$855:AB$863))</f>
        <v/>
      </c>
      <c r="AC870" s="13">
        <f>IF(SUM(AC$855:AC$863)=0,0,AC860/SUM(AC$855:AC$863))</f>
        <v/>
      </c>
      <c r="AD870" s="13">
        <f>IF(SUM(AD$855:AD$863)=0,0,AD860/SUM(AD$855:AD$863))</f>
        <v/>
      </c>
      <c r="AE870" s="60">
        <f>SHARE(AE860,SUM(AE$855:AE$863))</f>
        <v/>
      </c>
      <c r="AG870" s="11">
        <f>CodePrefix&amp;$A870&amp;IF($C870="","","."&amp;$C870&amp;"."&amp;$B870)&amp;INDEX(VarEnd,MATCH($A870,VarKey,0))&amp;AG$5</f>
        <v/>
      </c>
      <c r="AH870" s="12">
        <f>IF(SUM(AH$855:AH$863)=0,0,AH860/SUM(AH$855:AH$863))</f>
        <v/>
      </c>
      <c r="AI870" s="13">
        <f>IF(SUM(AI$855:AI$863)=0,0,AI860/SUM(AI$855:AI$863))</f>
        <v/>
      </c>
      <c r="AJ870" s="13">
        <f>IF(SUM(AJ$855:AJ$863)=0,0,AJ860/SUM(AJ$855:AJ$863))</f>
        <v/>
      </c>
      <c r="AK870" s="13">
        <f>IF(SUM(AK$855:AK$863)=0,0,AK860/SUM(AK$855:AK$863))</f>
        <v/>
      </c>
      <c r="AL870" s="13">
        <f>IF(SUM(AL$855:AL$863)=0,0,AL860/SUM(AL$855:AL$863))</f>
        <v/>
      </c>
      <c r="AM870" s="13">
        <f>IF(SUM(AM$855:AM$863)=0,0,AM860/SUM(AM$855:AM$863))</f>
        <v/>
      </c>
      <c r="AN870" s="13">
        <f>IF(SUM(AN$855:AN$863)=0,0,AN860/SUM(AN$855:AN$863))</f>
        <v/>
      </c>
      <c r="AO870" s="13">
        <f>IF(SUM(AO$855:AO$863)=0,0,AO860/SUM(AO$855:AO$863))</f>
        <v/>
      </c>
      <c r="AP870" s="13">
        <f>IF(SUM(AP$855:AP$863)=0,0,AP860/SUM(AP$855:AP$863))</f>
        <v/>
      </c>
      <c r="AQ870" s="13">
        <f>IF(SUM(AQ$855:AQ$863)=0,0,AQ860/SUM(AQ$855:AQ$863))</f>
        <v/>
      </c>
      <c r="AR870" s="13">
        <f>IF(SUM(AR$855:AR$863)=0,0,AR860/SUM(AR$855:AR$863))</f>
        <v/>
      </c>
      <c r="AS870" s="13">
        <f>IF(SUM(AS$855:AS$863)=0,0,AS860/SUM(AS$855:AS$863))</f>
        <v/>
      </c>
      <c r="AT870" s="13">
        <f>IF(SUM(AT$855:AT$863)=0,0,AT860/SUM(AT$855:AT$863))</f>
        <v/>
      </c>
      <c r="AU870" s="13">
        <f>IF(SUM(AU$855:AU$863)=0,0,AU860/SUM(AU$855:AU$863))</f>
        <v/>
      </c>
      <c r="AV870" s="13">
        <f>IF(SUM(AV$855:AV$863)=0,0,AV860/SUM(AV$855:AV$863))</f>
        <v/>
      </c>
      <c r="AW870" s="13">
        <f>IF(SUM(AW$855:AW$863)=0,0,AW860/SUM(AW$855:AW$863))</f>
        <v/>
      </c>
      <c r="AX870" s="13">
        <f>IF(SUM(AX$855:AX$863)=0,0,AX860/SUM(AX$855:AX$863))</f>
        <v/>
      </c>
      <c r="AY870" s="13">
        <f>IF(SUM(AY$855:AY$863)=0,0,AY860/SUM(AY$855:AY$863))</f>
        <v/>
      </c>
      <c r="AZ870" s="13">
        <f>IF(SUM(AZ$855:AZ$863)=0,0,AZ860/SUM(AZ$855:AZ$863))</f>
        <v/>
      </c>
      <c r="BA870" s="60">
        <f>SHARE(BA860,SUM(BA$855:BA$863))</f>
        <v/>
      </c>
    </row>
    <row r="871" hidden="1" outlineLevel="1">
      <c r="A871" s="14" t="inlineStr">
        <is>
          <t>pni</t>
        </is>
      </c>
      <c r="B871" s="14" t="inlineStr">
        <is>
          <t>hyd</t>
        </is>
      </c>
      <c r="C871" s="14" t="inlineStr">
        <is>
          <t>pow</t>
        </is>
      </c>
      <c r="D871" s="39" t="n"/>
      <c r="E871" s="39" t="n"/>
      <c r="F871" s="39" t="n"/>
      <c r="G871" s="39" t="n"/>
      <c r="H871" s="14">
        <f>INDEX(VarLab,MATCH($A871,VarKey,0))&amp;INDEX(MemLab,MATCH($C871&amp;"|"&amp;$B871,MemKey,0))</f>
        <v/>
      </c>
      <c r="I871" s="14">
        <f>INDEX(VarUnit,MATCH($A871,VarKey,0))</f>
        <v/>
      </c>
      <c r="J871" s="14">
        <f>INDEX(VarSrc,MATCH($A871,VarKey,0))</f>
        <v/>
      </c>
      <c r="K871" s="11">
        <f>CodePrefix&amp;$A871&amp;IF($C871="","","."&amp;$C871&amp;"."&amp;$B871)&amp;INDEX(VarEnd,MATCH($A871,VarKey,0))&amp;K$5</f>
        <v/>
      </c>
      <c r="L871" s="12">
        <f>IF(SUM(L$855:L$863)=0,0,L861/SUM(L$855:L$863))</f>
        <v/>
      </c>
      <c r="M871" s="13">
        <f>IF(SUM(M$855:M$863)=0,0,M861/SUM(M$855:M$863))</f>
        <v/>
      </c>
      <c r="N871" s="13">
        <f>IF(SUM(N$855:N$863)=0,0,N861/SUM(N$855:N$863))</f>
        <v/>
      </c>
      <c r="O871" s="13">
        <f>IF(SUM(O$855:O$863)=0,0,O861/SUM(O$855:O$863))</f>
        <v/>
      </c>
      <c r="P871" s="13">
        <f>IF(SUM(P$855:P$863)=0,0,P861/SUM(P$855:P$863))</f>
        <v/>
      </c>
      <c r="Q871" s="13">
        <f>IF(SUM(Q$855:Q$863)=0,0,Q861/SUM(Q$855:Q$863))</f>
        <v/>
      </c>
      <c r="R871" s="13">
        <f>IF(SUM(R$855:R$863)=0,0,R861/SUM(R$855:R$863))</f>
        <v/>
      </c>
      <c r="S871" s="13">
        <f>IF(SUM(S$855:S$863)=0,0,S861/SUM(S$855:S$863))</f>
        <v/>
      </c>
      <c r="T871" s="13">
        <f>IF(SUM(T$855:T$863)=0,0,T861/SUM(T$855:T$863))</f>
        <v/>
      </c>
      <c r="U871" s="13">
        <f>IF(SUM(U$855:U$863)=0,0,U861/SUM(U$855:U$863))</f>
        <v/>
      </c>
      <c r="V871" s="13">
        <f>IF(SUM(V$855:V$863)=0,0,V861/SUM(V$855:V$863))</f>
        <v/>
      </c>
      <c r="W871" s="13">
        <f>IF(SUM(W$855:W$863)=0,0,W861/SUM(W$855:W$863))</f>
        <v/>
      </c>
      <c r="X871" s="13">
        <f>IF(SUM(X$855:X$863)=0,0,X861/SUM(X$855:X$863))</f>
        <v/>
      </c>
      <c r="Y871" s="13">
        <f>IF(SUM(Y$855:Y$863)=0,0,Y861/SUM(Y$855:Y$863))</f>
        <v/>
      </c>
      <c r="Z871" s="13">
        <f>IF(SUM(Z$855:Z$863)=0,0,Z861/SUM(Z$855:Z$863))</f>
        <v/>
      </c>
      <c r="AA871" s="13">
        <f>IF(SUM(AA$855:AA$863)=0,0,AA861/SUM(AA$855:AA$863))</f>
        <v/>
      </c>
      <c r="AB871" s="13">
        <f>IF(SUM(AB$855:AB$863)=0,0,AB861/SUM(AB$855:AB$863))</f>
        <v/>
      </c>
      <c r="AC871" s="13">
        <f>IF(SUM(AC$855:AC$863)=0,0,AC861/SUM(AC$855:AC$863))</f>
        <v/>
      </c>
      <c r="AD871" s="13">
        <f>IF(SUM(AD$855:AD$863)=0,0,AD861/SUM(AD$855:AD$863))</f>
        <v/>
      </c>
      <c r="AE871" s="60">
        <f>SHARE(AE861,SUM(AE$855:AE$863))</f>
        <v/>
      </c>
      <c r="AG871" s="11">
        <f>CodePrefix&amp;$A871&amp;IF($C871="","","."&amp;$C871&amp;"."&amp;$B871)&amp;INDEX(VarEnd,MATCH($A871,VarKey,0))&amp;AG$5</f>
        <v/>
      </c>
      <c r="AH871" s="12">
        <f>IF(SUM(AH$855:AH$863)=0,0,AH861/SUM(AH$855:AH$863))</f>
        <v/>
      </c>
      <c r="AI871" s="13">
        <f>IF(SUM(AI$855:AI$863)=0,0,AI861/SUM(AI$855:AI$863))</f>
        <v/>
      </c>
      <c r="AJ871" s="13">
        <f>IF(SUM(AJ$855:AJ$863)=0,0,AJ861/SUM(AJ$855:AJ$863))</f>
        <v/>
      </c>
      <c r="AK871" s="13">
        <f>IF(SUM(AK$855:AK$863)=0,0,AK861/SUM(AK$855:AK$863))</f>
        <v/>
      </c>
      <c r="AL871" s="13">
        <f>IF(SUM(AL$855:AL$863)=0,0,AL861/SUM(AL$855:AL$863))</f>
        <v/>
      </c>
      <c r="AM871" s="13">
        <f>IF(SUM(AM$855:AM$863)=0,0,AM861/SUM(AM$855:AM$863))</f>
        <v/>
      </c>
      <c r="AN871" s="13">
        <f>IF(SUM(AN$855:AN$863)=0,0,AN861/SUM(AN$855:AN$863))</f>
        <v/>
      </c>
      <c r="AO871" s="13">
        <f>IF(SUM(AO$855:AO$863)=0,0,AO861/SUM(AO$855:AO$863))</f>
        <v/>
      </c>
      <c r="AP871" s="13">
        <f>IF(SUM(AP$855:AP$863)=0,0,AP861/SUM(AP$855:AP$863))</f>
        <v/>
      </c>
      <c r="AQ871" s="13">
        <f>IF(SUM(AQ$855:AQ$863)=0,0,AQ861/SUM(AQ$855:AQ$863))</f>
        <v/>
      </c>
      <c r="AR871" s="13">
        <f>IF(SUM(AR$855:AR$863)=0,0,AR861/SUM(AR$855:AR$863))</f>
        <v/>
      </c>
      <c r="AS871" s="13">
        <f>IF(SUM(AS$855:AS$863)=0,0,AS861/SUM(AS$855:AS$863))</f>
        <v/>
      </c>
      <c r="AT871" s="13">
        <f>IF(SUM(AT$855:AT$863)=0,0,AT861/SUM(AT$855:AT$863))</f>
        <v/>
      </c>
      <c r="AU871" s="13">
        <f>IF(SUM(AU$855:AU$863)=0,0,AU861/SUM(AU$855:AU$863))</f>
        <v/>
      </c>
      <c r="AV871" s="13">
        <f>IF(SUM(AV$855:AV$863)=0,0,AV861/SUM(AV$855:AV$863))</f>
        <v/>
      </c>
      <c r="AW871" s="13">
        <f>IF(SUM(AW$855:AW$863)=0,0,AW861/SUM(AW$855:AW$863))</f>
        <v/>
      </c>
      <c r="AX871" s="13">
        <f>IF(SUM(AX$855:AX$863)=0,0,AX861/SUM(AX$855:AX$863))</f>
        <v/>
      </c>
      <c r="AY871" s="13">
        <f>IF(SUM(AY$855:AY$863)=0,0,AY861/SUM(AY$855:AY$863))</f>
        <v/>
      </c>
      <c r="AZ871" s="13">
        <f>IF(SUM(AZ$855:AZ$863)=0,0,AZ861/SUM(AZ$855:AZ$863))</f>
        <v/>
      </c>
      <c r="BA871" s="60">
        <f>SHARE(BA861,SUM(BA$855:BA$863))</f>
        <v/>
      </c>
    </row>
    <row r="872" hidden="1" outlineLevel="1">
      <c r="A872" s="14" t="inlineStr">
        <is>
          <t>pni</t>
        </is>
      </c>
      <c r="B872" s="14" t="inlineStr">
        <is>
          <t>ore</t>
        </is>
      </c>
      <c r="C872" s="14" t="inlineStr">
        <is>
          <t>pow</t>
        </is>
      </c>
      <c r="D872" s="39" t="n"/>
      <c r="E872" s="39" t="n"/>
      <c r="F872" s="39" t="n"/>
      <c r="G872" s="39" t="n"/>
      <c r="H872" s="14">
        <f>INDEX(VarLab,MATCH($A872,VarKey,0))&amp;INDEX(MemLab,MATCH($C872&amp;"|"&amp;$B872,MemKey,0))</f>
        <v/>
      </c>
      <c r="I872" s="14">
        <f>INDEX(VarUnit,MATCH($A872,VarKey,0))</f>
        <v/>
      </c>
      <c r="J872" s="14">
        <f>INDEX(VarSrc,MATCH($A872,VarKey,0))</f>
        <v/>
      </c>
      <c r="K872" s="11">
        <f>CodePrefix&amp;$A872&amp;IF($C872="","","."&amp;$C872&amp;"."&amp;$B872)&amp;INDEX(VarEnd,MATCH($A872,VarKey,0))&amp;K$5</f>
        <v/>
      </c>
      <c r="L872" s="12">
        <f>IF(SUM(L$855:L$863)=0,0,L862/SUM(L$855:L$863))</f>
        <v/>
      </c>
      <c r="M872" s="13">
        <f>IF(SUM(M$855:M$863)=0,0,M862/SUM(M$855:M$863))</f>
        <v/>
      </c>
      <c r="N872" s="13">
        <f>IF(SUM(N$855:N$863)=0,0,N862/SUM(N$855:N$863))</f>
        <v/>
      </c>
      <c r="O872" s="13">
        <f>IF(SUM(O$855:O$863)=0,0,O862/SUM(O$855:O$863))</f>
        <v/>
      </c>
      <c r="P872" s="13">
        <f>IF(SUM(P$855:P$863)=0,0,P862/SUM(P$855:P$863))</f>
        <v/>
      </c>
      <c r="Q872" s="13">
        <f>IF(SUM(Q$855:Q$863)=0,0,Q862/SUM(Q$855:Q$863))</f>
        <v/>
      </c>
      <c r="R872" s="13">
        <f>IF(SUM(R$855:R$863)=0,0,R862/SUM(R$855:R$863))</f>
        <v/>
      </c>
      <c r="S872" s="13">
        <f>IF(SUM(S$855:S$863)=0,0,S862/SUM(S$855:S$863))</f>
        <v/>
      </c>
      <c r="T872" s="13">
        <f>IF(SUM(T$855:T$863)=0,0,T862/SUM(T$855:T$863))</f>
        <v/>
      </c>
      <c r="U872" s="13">
        <f>IF(SUM(U$855:U$863)=0,0,U862/SUM(U$855:U$863))</f>
        <v/>
      </c>
      <c r="V872" s="13">
        <f>IF(SUM(V$855:V$863)=0,0,V862/SUM(V$855:V$863))</f>
        <v/>
      </c>
      <c r="W872" s="13">
        <f>IF(SUM(W$855:W$863)=0,0,W862/SUM(W$855:W$863))</f>
        <v/>
      </c>
      <c r="X872" s="13">
        <f>IF(SUM(X$855:X$863)=0,0,X862/SUM(X$855:X$863))</f>
        <v/>
      </c>
      <c r="Y872" s="13">
        <f>IF(SUM(Y$855:Y$863)=0,0,Y862/SUM(Y$855:Y$863))</f>
        <v/>
      </c>
      <c r="Z872" s="13">
        <f>IF(SUM(Z$855:Z$863)=0,0,Z862/SUM(Z$855:Z$863))</f>
        <v/>
      </c>
      <c r="AA872" s="13">
        <f>IF(SUM(AA$855:AA$863)=0,0,AA862/SUM(AA$855:AA$863))</f>
        <v/>
      </c>
      <c r="AB872" s="13">
        <f>IF(SUM(AB$855:AB$863)=0,0,AB862/SUM(AB$855:AB$863))</f>
        <v/>
      </c>
      <c r="AC872" s="13">
        <f>IF(SUM(AC$855:AC$863)=0,0,AC862/SUM(AC$855:AC$863))</f>
        <v/>
      </c>
      <c r="AD872" s="13">
        <f>IF(SUM(AD$855:AD$863)=0,0,AD862/SUM(AD$855:AD$863))</f>
        <v/>
      </c>
      <c r="AE872" s="60">
        <f>SHARE(AE862,SUM(AE$855:AE$863))</f>
        <v/>
      </c>
      <c r="AG872" s="11">
        <f>CodePrefix&amp;$A872&amp;IF($C872="","","."&amp;$C872&amp;"."&amp;$B872)&amp;INDEX(VarEnd,MATCH($A872,VarKey,0))&amp;AG$5</f>
        <v/>
      </c>
      <c r="AH872" s="12">
        <f>IF(SUM(AH$855:AH$863)=0,0,AH862/SUM(AH$855:AH$863))</f>
        <v/>
      </c>
      <c r="AI872" s="13">
        <f>IF(SUM(AI$855:AI$863)=0,0,AI862/SUM(AI$855:AI$863))</f>
        <v/>
      </c>
      <c r="AJ872" s="13">
        <f>IF(SUM(AJ$855:AJ$863)=0,0,AJ862/SUM(AJ$855:AJ$863))</f>
        <v/>
      </c>
      <c r="AK872" s="13">
        <f>IF(SUM(AK$855:AK$863)=0,0,AK862/SUM(AK$855:AK$863))</f>
        <v/>
      </c>
      <c r="AL872" s="13">
        <f>IF(SUM(AL$855:AL$863)=0,0,AL862/SUM(AL$855:AL$863))</f>
        <v/>
      </c>
      <c r="AM872" s="13">
        <f>IF(SUM(AM$855:AM$863)=0,0,AM862/SUM(AM$855:AM$863))</f>
        <v/>
      </c>
      <c r="AN872" s="13">
        <f>IF(SUM(AN$855:AN$863)=0,0,AN862/SUM(AN$855:AN$863))</f>
        <v/>
      </c>
      <c r="AO872" s="13">
        <f>IF(SUM(AO$855:AO$863)=0,0,AO862/SUM(AO$855:AO$863))</f>
        <v/>
      </c>
      <c r="AP872" s="13">
        <f>IF(SUM(AP$855:AP$863)=0,0,AP862/SUM(AP$855:AP$863))</f>
        <v/>
      </c>
      <c r="AQ872" s="13">
        <f>IF(SUM(AQ$855:AQ$863)=0,0,AQ862/SUM(AQ$855:AQ$863))</f>
        <v/>
      </c>
      <c r="AR872" s="13">
        <f>IF(SUM(AR$855:AR$863)=0,0,AR862/SUM(AR$855:AR$863))</f>
        <v/>
      </c>
      <c r="AS872" s="13">
        <f>IF(SUM(AS$855:AS$863)=0,0,AS862/SUM(AS$855:AS$863))</f>
        <v/>
      </c>
      <c r="AT872" s="13">
        <f>IF(SUM(AT$855:AT$863)=0,0,AT862/SUM(AT$855:AT$863))</f>
        <v/>
      </c>
      <c r="AU872" s="13">
        <f>IF(SUM(AU$855:AU$863)=0,0,AU862/SUM(AU$855:AU$863))</f>
        <v/>
      </c>
      <c r="AV872" s="13">
        <f>IF(SUM(AV$855:AV$863)=0,0,AV862/SUM(AV$855:AV$863))</f>
        <v/>
      </c>
      <c r="AW872" s="13">
        <f>IF(SUM(AW$855:AW$863)=0,0,AW862/SUM(AW$855:AW$863))</f>
        <v/>
      </c>
      <c r="AX872" s="13">
        <f>IF(SUM(AX$855:AX$863)=0,0,AX862/SUM(AX$855:AX$863))</f>
        <v/>
      </c>
      <c r="AY872" s="13">
        <f>IF(SUM(AY$855:AY$863)=0,0,AY862/SUM(AY$855:AY$863))</f>
        <v/>
      </c>
      <c r="AZ872" s="13">
        <f>IF(SUM(AZ$855:AZ$863)=0,0,AZ862/SUM(AZ$855:AZ$863))</f>
        <v/>
      </c>
      <c r="BA872" s="60">
        <f>SHARE(BA862,SUM(BA$855:BA$863))</f>
        <v/>
      </c>
    </row>
    <row r="873" hidden="1" outlineLevel="1">
      <c r="A873" s="14" t="inlineStr">
        <is>
          <t>pni</t>
        </is>
      </c>
      <c r="B873" s="14" t="inlineStr">
        <is>
          <t>bio</t>
        </is>
      </c>
      <c r="C873" s="14" t="inlineStr">
        <is>
          <t>pow</t>
        </is>
      </c>
      <c r="D873" s="39" t="n"/>
      <c r="E873" s="39" t="n"/>
      <c r="F873" s="39" t="n"/>
      <c r="G873" s="39" t="n"/>
      <c r="H873" s="14">
        <f>INDEX(VarLab,MATCH($A873,VarKey,0))&amp;INDEX(MemLab,MATCH($C873&amp;"|"&amp;$B873,MemKey,0))</f>
        <v/>
      </c>
      <c r="I873" s="14">
        <f>INDEX(VarUnit,MATCH($A873,VarKey,0))</f>
        <v/>
      </c>
      <c r="J873" s="14">
        <f>INDEX(VarSrc,MATCH($A873,VarKey,0))</f>
        <v/>
      </c>
      <c r="K873" s="11">
        <f>CodePrefix&amp;$A873&amp;IF($C873="","","."&amp;$C873&amp;"."&amp;$B873)&amp;INDEX(VarEnd,MATCH($A873,VarKey,0))&amp;K$5</f>
        <v/>
      </c>
      <c r="L873" s="12">
        <f>IF(SUM(L$855:L$863)=0,0,L863/SUM(L$855:L$863))</f>
        <v/>
      </c>
      <c r="M873" s="13">
        <f>IF(SUM(M$855:M$863)=0,0,M863/SUM(M$855:M$863))</f>
        <v/>
      </c>
      <c r="N873" s="13">
        <f>IF(SUM(N$855:N$863)=0,0,N863/SUM(N$855:N$863))</f>
        <v/>
      </c>
      <c r="O873" s="13">
        <f>IF(SUM(O$855:O$863)=0,0,O863/SUM(O$855:O$863))</f>
        <v/>
      </c>
      <c r="P873" s="13">
        <f>IF(SUM(P$855:P$863)=0,0,P863/SUM(P$855:P$863))</f>
        <v/>
      </c>
      <c r="Q873" s="13">
        <f>IF(SUM(Q$855:Q$863)=0,0,Q863/SUM(Q$855:Q$863))</f>
        <v/>
      </c>
      <c r="R873" s="13">
        <f>IF(SUM(R$855:R$863)=0,0,R863/SUM(R$855:R$863))</f>
        <v/>
      </c>
      <c r="S873" s="13">
        <f>IF(SUM(S$855:S$863)=0,0,S863/SUM(S$855:S$863))</f>
        <v/>
      </c>
      <c r="T873" s="13">
        <f>IF(SUM(T$855:T$863)=0,0,T863/SUM(T$855:T$863))</f>
        <v/>
      </c>
      <c r="U873" s="13">
        <f>IF(SUM(U$855:U$863)=0,0,U863/SUM(U$855:U$863))</f>
        <v/>
      </c>
      <c r="V873" s="13">
        <f>IF(SUM(V$855:V$863)=0,0,V863/SUM(V$855:V$863))</f>
        <v/>
      </c>
      <c r="W873" s="13">
        <f>IF(SUM(W$855:W$863)=0,0,W863/SUM(W$855:W$863))</f>
        <v/>
      </c>
      <c r="X873" s="13">
        <f>IF(SUM(X$855:X$863)=0,0,X863/SUM(X$855:X$863))</f>
        <v/>
      </c>
      <c r="Y873" s="13">
        <f>IF(SUM(Y$855:Y$863)=0,0,Y863/SUM(Y$855:Y$863))</f>
        <v/>
      </c>
      <c r="Z873" s="13">
        <f>IF(SUM(Z$855:Z$863)=0,0,Z863/SUM(Z$855:Z$863))</f>
        <v/>
      </c>
      <c r="AA873" s="13">
        <f>IF(SUM(AA$855:AA$863)=0,0,AA863/SUM(AA$855:AA$863))</f>
        <v/>
      </c>
      <c r="AB873" s="13">
        <f>IF(SUM(AB$855:AB$863)=0,0,AB863/SUM(AB$855:AB$863))</f>
        <v/>
      </c>
      <c r="AC873" s="13">
        <f>IF(SUM(AC$855:AC$863)=0,0,AC863/SUM(AC$855:AC$863))</f>
        <v/>
      </c>
      <c r="AD873" s="13">
        <f>IF(SUM(AD$855:AD$863)=0,0,AD863/SUM(AD$855:AD$863))</f>
        <v/>
      </c>
      <c r="AE873" s="60">
        <f>SHARE(AE863,SUM(AE$855:AE$863))</f>
        <v/>
      </c>
      <c r="AG873" s="11">
        <f>CodePrefix&amp;$A873&amp;IF($C873="","","."&amp;$C873&amp;"."&amp;$B873)&amp;INDEX(VarEnd,MATCH($A873,VarKey,0))&amp;AG$5</f>
        <v/>
      </c>
      <c r="AH873" s="12">
        <f>IF(SUM(AH$855:AH$863)=0,0,AH863/SUM(AH$855:AH$863))</f>
        <v/>
      </c>
      <c r="AI873" s="13">
        <f>IF(SUM(AI$855:AI$863)=0,0,AI863/SUM(AI$855:AI$863))</f>
        <v/>
      </c>
      <c r="AJ873" s="13">
        <f>IF(SUM(AJ$855:AJ$863)=0,0,AJ863/SUM(AJ$855:AJ$863))</f>
        <v/>
      </c>
      <c r="AK873" s="13">
        <f>IF(SUM(AK$855:AK$863)=0,0,AK863/SUM(AK$855:AK$863))</f>
        <v/>
      </c>
      <c r="AL873" s="13">
        <f>IF(SUM(AL$855:AL$863)=0,0,AL863/SUM(AL$855:AL$863))</f>
        <v/>
      </c>
      <c r="AM873" s="13">
        <f>IF(SUM(AM$855:AM$863)=0,0,AM863/SUM(AM$855:AM$863))</f>
        <v/>
      </c>
      <c r="AN873" s="13">
        <f>IF(SUM(AN$855:AN$863)=0,0,AN863/SUM(AN$855:AN$863))</f>
        <v/>
      </c>
      <c r="AO873" s="13">
        <f>IF(SUM(AO$855:AO$863)=0,0,AO863/SUM(AO$855:AO$863))</f>
        <v/>
      </c>
      <c r="AP873" s="13">
        <f>IF(SUM(AP$855:AP$863)=0,0,AP863/SUM(AP$855:AP$863))</f>
        <v/>
      </c>
      <c r="AQ873" s="13">
        <f>IF(SUM(AQ$855:AQ$863)=0,0,AQ863/SUM(AQ$855:AQ$863))</f>
        <v/>
      </c>
      <c r="AR873" s="13">
        <f>IF(SUM(AR$855:AR$863)=0,0,AR863/SUM(AR$855:AR$863))</f>
        <v/>
      </c>
      <c r="AS873" s="13">
        <f>IF(SUM(AS$855:AS$863)=0,0,AS863/SUM(AS$855:AS$863))</f>
        <v/>
      </c>
      <c r="AT873" s="13">
        <f>IF(SUM(AT$855:AT$863)=0,0,AT863/SUM(AT$855:AT$863))</f>
        <v/>
      </c>
      <c r="AU873" s="13">
        <f>IF(SUM(AU$855:AU$863)=0,0,AU863/SUM(AU$855:AU$863))</f>
        <v/>
      </c>
      <c r="AV873" s="13">
        <f>IF(SUM(AV$855:AV$863)=0,0,AV863/SUM(AV$855:AV$863))</f>
        <v/>
      </c>
      <c r="AW873" s="13">
        <f>IF(SUM(AW$855:AW$863)=0,0,AW863/SUM(AW$855:AW$863))</f>
        <v/>
      </c>
      <c r="AX873" s="13">
        <f>IF(SUM(AX$855:AX$863)=0,0,AX863/SUM(AX$855:AX$863))</f>
        <v/>
      </c>
      <c r="AY873" s="13">
        <f>IF(SUM(AY$855:AY$863)=0,0,AY863/SUM(AY$855:AY$863))</f>
        <v/>
      </c>
      <c r="AZ873" s="13">
        <f>IF(SUM(AZ$855:AZ$863)=0,0,AZ863/SUM(AZ$855:AZ$863))</f>
        <v/>
      </c>
      <c r="BA873" s="60">
        <f>SHARE(BA863,SUM(BA$855:BA$863))</f>
        <v/>
      </c>
    </row>
    <row r="874" hidden="1" outlineLevel="1"/>
    <row r="875" hidden="1" outlineLevel="1">
      <c r="A875" s="14" t="inlineStr">
        <is>
          <t>first</t>
        </is>
      </c>
      <c r="B875" s="14" t="inlineStr">
        <is>
          <t>coa</t>
        </is>
      </c>
      <c r="C875" s="14" t="inlineStr">
        <is>
          <t>pow</t>
        </is>
      </c>
      <c r="D875" s="39" t="n"/>
      <c r="E875" s="39" t="n"/>
      <c r="F875" s="39" t="n"/>
      <c r="G875" s="39" t="n"/>
      <c r="H875" s="14">
        <f>INDEX(VarLab,MATCH($A875,VarKey,0))&amp;INDEX(MemLab,MATCH($C875&amp;"|"&amp;$B875,MemKey,0))</f>
        <v/>
      </c>
      <c r="I875" s="14">
        <f>INDEX(VarUnit,MATCH($A875,VarKey,0))</f>
        <v/>
      </c>
      <c r="J875" s="14">
        <f>INDEX(VarSrc,MATCH($A875,VarKey,0))</f>
        <v/>
      </c>
      <c r="K875" s="11">
        <f>CodePrefix&amp;$A875&amp;IF($C875="","","."&amp;$C875&amp;"."&amp;$B875)&amp;INDEX(VarEnd,MATCH($A875,VarKey,0))&amp;K$5</f>
        <v/>
      </c>
      <c r="L875" s="46">
        <f>MIN(L845,L$829*L865)</f>
        <v/>
      </c>
      <c r="M875" s="47">
        <f>MIN(M845,M$829*M865)</f>
        <v/>
      </c>
      <c r="N875" s="47">
        <f>MIN(N845,N$829*N865)</f>
        <v/>
      </c>
      <c r="O875" s="47">
        <f>MIN(O845,O$829*O865)</f>
        <v/>
      </c>
      <c r="P875" s="47">
        <f>MIN(P845,P$829*P865)</f>
        <v/>
      </c>
      <c r="Q875" s="47">
        <f>MIN(Q845,Q$829*Q865)</f>
        <v/>
      </c>
      <c r="R875" s="47">
        <f>MIN(R845,R$829*R865)</f>
        <v/>
      </c>
      <c r="S875" s="47">
        <f>MIN(S845,S$829*S865)</f>
        <v/>
      </c>
      <c r="T875" s="47">
        <f>MIN(T845,T$829*T865)</f>
        <v/>
      </c>
      <c r="U875" s="47">
        <f>MIN(U845,U$829*U865)</f>
        <v/>
      </c>
      <c r="V875" s="47">
        <f>MIN(V845,V$829*V865)</f>
        <v/>
      </c>
      <c r="W875" s="47">
        <f>MIN(W845,W$829*W865)</f>
        <v/>
      </c>
      <c r="X875" s="47">
        <f>MIN(X845,X$829*X865)</f>
        <v/>
      </c>
      <c r="Y875" s="47">
        <f>MIN(Y845,Y$829*Y865)</f>
        <v/>
      </c>
      <c r="Z875" s="47">
        <f>MIN(Z845,Z$829*Z865)</f>
        <v/>
      </c>
      <c r="AA875" s="47">
        <f>MIN(AA845,AA$829*AA865)</f>
        <v/>
      </c>
      <c r="AB875" s="47">
        <f>MIN(AB845,AB$829*AB865)</f>
        <v/>
      </c>
      <c r="AC875" s="47">
        <f>MIN(AC845,AC$829*AC865)</f>
        <v/>
      </c>
      <c r="AD875" s="47">
        <f>MIN(AD845,AD$829*AD865)</f>
        <v/>
      </c>
      <c r="AE875" s="48">
        <f>FIRSTROUND(AE845,AE$829,AE865)</f>
        <v/>
      </c>
      <c r="AG875" s="11">
        <f>CodePrefix&amp;$A875&amp;IF($C875="","","."&amp;$C875&amp;"."&amp;$B875)&amp;INDEX(VarEnd,MATCH($A875,VarKey,0))&amp;AG$5</f>
        <v/>
      </c>
      <c r="AH875" s="46">
        <f>MIN(AH845,AH$829*AH865)</f>
        <v/>
      </c>
      <c r="AI875" s="47">
        <f>MIN(AI845,AI$829*AI865)</f>
        <v/>
      </c>
      <c r="AJ875" s="47">
        <f>MIN(AJ845,AJ$829*AJ865)</f>
        <v/>
      </c>
      <c r="AK875" s="47">
        <f>MIN(AK845,AK$829*AK865)</f>
        <v/>
      </c>
      <c r="AL875" s="47">
        <f>MIN(AL845,AL$829*AL865)</f>
        <v/>
      </c>
      <c r="AM875" s="47">
        <f>MIN(AM845,AM$829*AM865)</f>
        <v/>
      </c>
      <c r="AN875" s="47">
        <f>MIN(AN845,AN$829*AN865)</f>
        <v/>
      </c>
      <c r="AO875" s="47">
        <f>MIN(AO845,AO$829*AO865)</f>
        <v/>
      </c>
      <c r="AP875" s="47">
        <f>MIN(AP845,AP$829*AP865)</f>
        <v/>
      </c>
      <c r="AQ875" s="47">
        <f>MIN(AQ845,AQ$829*AQ865)</f>
        <v/>
      </c>
      <c r="AR875" s="47">
        <f>MIN(AR845,AR$829*AR865)</f>
        <v/>
      </c>
      <c r="AS875" s="47">
        <f>MIN(AS845,AS$829*AS865)</f>
        <v/>
      </c>
      <c r="AT875" s="47">
        <f>MIN(AT845,AT$829*AT865)</f>
        <v/>
      </c>
      <c r="AU875" s="47">
        <f>MIN(AU845,AU$829*AU865)</f>
        <v/>
      </c>
      <c r="AV875" s="47">
        <f>MIN(AV845,AV$829*AV865)</f>
        <v/>
      </c>
      <c r="AW875" s="47">
        <f>MIN(AW845,AW$829*AW865)</f>
        <v/>
      </c>
      <c r="AX875" s="47">
        <f>MIN(AX845,AX$829*AX865)</f>
        <v/>
      </c>
      <c r="AY875" s="47">
        <f>MIN(AY845,AY$829*AY865)</f>
        <v/>
      </c>
      <c r="AZ875" s="47">
        <f>MIN(AZ845,AZ$829*AZ865)</f>
        <v/>
      </c>
      <c r="BA875" s="48">
        <f>FIRSTROUND(BA845,BA$829,BA865)</f>
        <v/>
      </c>
    </row>
    <row r="876" hidden="1" outlineLevel="1">
      <c r="A876" s="14" t="inlineStr">
        <is>
          <t>first</t>
        </is>
      </c>
      <c r="B876" s="14" t="inlineStr">
        <is>
          <t>nga</t>
        </is>
      </c>
      <c r="C876" s="14" t="inlineStr">
        <is>
          <t>pow</t>
        </is>
      </c>
      <c r="D876" s="39" t="n"/>
      <c r="E876" s="39" t="n"/>
      <c r="F876" s="39" t="n"/>
      <c r="G876" s="39" t="n"/>
      <c r="H876" s="14">
        <f>INDEX(VarLab,MATCH($A876,VarKey,0))&amp;INDEX(MemLab,MATCH($C876&amp;"|"&amp;$B876,MemKey,0))</f>
        <v/>
      </c>
      <c r="I876" s="14">
        <f>INDEX(VarUnit,MATCH($A876,VarKey,0))</f>
        <v/>
      </c>
      <c r="J876" s="14">
        <f>INDEX(VarSrc,MATCH($A876,VarKey,0))</f>
        <v/>
      </c>
      <c r="K876" s="11">
        <f>CodePrefix&amp;$A876&amp;IF($C876="","","."&amp;$C876&amp;"."&amp;$B876)&amp;INDEX(VarEnd,MATCH($A876,VarKey,0))&amp;K$5</f>
        <v/>
      </c>
      <c r="L876" s="46">
        <f>MIN(L846,L$829*L866)</f>
        <v/>
      </c>
      <c r="M876" s="47">
        <f>MIN(M846,M$829*M866)</f>
        <v/>
      </c>
      <c r="N876" s="47">
        <f>MIN(N846,N$829*N866)</f>
        <v/>
      </c>
      <c r="O876" s="47">
        <f>MIN(O846,O$829*O866)</f>
        <v/>
      </c>
      <c r="P876" s="47">
        <f>MIN(P846,P$829*P866)</f>
        <v/>
      </c>
      <c r="Q876" s="47">
        <f>MIN(Q846,Q$829*Q866)</f>
        <v/>
      </c>
      <c r="R876" s="47">
        <f>MIN(R846,R$829*R866)</f>
        <v/>
      </c>
      <c r="S876" s="47">
        <f>MIN(S846,S$829*S866)</f>
        <v/>
      </c>
      <c r="T876" s="47">
        <f>MIN(T846,T$829*T866)</f>
        <v/>
      </c>
      <c r="U876" s="47">
        <f>MIN(U846,U$829*U866)</f>
        <v/>
      </c>
      <c r="V876" s="47">
        <f>MIN(V846,V$829*V866)</f>
        <v/>
      </c>
      <c r="W876" s="47">
        <f>MIN(W846,W$829*W866)</f>
        <v/>
      </c>
      <c r="X876" s="47">
        <f>MIN(X846,X$829*X866)</f>
        <v/>
      </c>
      <c r="Y876" s="47">
        <f>MIN(Y846,Y$829*Y866)</f>
        <v/>
      </c>
      <c r="Z876" s="47">
        <f>MIN(Z846,Z$829*Z866)</f>
        <v/>
      </c>
      <c r="AA876" s="47">
        <f>MIN(AA846,AA$829*AA866)</f>
        <v/>
      </c>
      <c r="AB876" s="47">
        <f>MIN(AB846,AB$829*AB866)</f>
        <v/>
      </c>
      <c r="AC876" s="47">
        <f>MIN(AC846,AC$829*AC866)</f>
        <v/>
      </c>
      <c r="AD876" s="47">
        <f>MIN(AD846,AD$829*AD866)</f>
        <v/>
      </c>
      <c r="AE876" s="48">
        <f>FIRSTROUND(AE846,AE$829,AE866)</f>
        <v/>
      </c>
      <c r="AG876" s="11">
        <f>CodePrefix&amp;$A876&amp;IF($C876="","","."&amp;$C876&amp;"."&amp;$B876)&amp;INDEX(VarEnd,MATCH($A876,VarKey,0))&amp;AG$5</f>
        <v/>
      </c>
      <c r="AH876" s="46">
        <f>MIN(AH846,AH$829*AH866)</f>
        <v/>
      </c>
      <c r="AI876" s="47">
        <f>MIN(AI846,AI$829*AI866)</f>
        <v/>
      </c>
      <c r="AJ876" s="47">
        <f>MIN(AJ846,AJ$829*AJ866)</f>
        <v/>
      </c>
      <c r="AK876" s="47">
        <f>MIN(AK846,AK$829*AK866)</f>
        <v/>
      </c>
      <c r="AL876" s="47">
        <f>MIN(AL846,AL$829*AL866)</f>
        <v/>
      </c>
      <c r="AM876" s="47">
        <f>MIN(AM846,AM$829*AM866)</f>
        <v/>
      </c>
      <c r="AN876" s="47">
        <f>MIN(AN846,AN$829*AN866)</f>
        <v/>
      </c>
      <c r="AO876" s="47">
        <f>MIN(AO846,AO$829*AO866)</f>
        <v/>
      </c>
      <c r="AP876" s="47">
        <f>MIN(AP846,AP$829*AP866)</f>
        <v/>
      </c>
      <c r="AQ876" s="47">
        <f>MIN(AQ846,AQ$829*AQ866)</f>
        <v/>
      </c>
      <c r="AR876" s="47">
        <f>MIN(AR846,AR$829*AR866)</f>
        <v/>
      </c>
      <c r="AS876" s="47">
        <f>MIN(AS846,AS$829*AS866)</f>
        <v/>
      </c>
      <c r="AT876" s="47">
        <f>MIN(AT846,AT$829*AT866)</f>
        <v/>
      </c>
      <c r="AU876" s="47">
        <f>MIN(AU846,AU$829*AU866)</f>
        <v/>
      </c>
      <c r="AV876" s="47">
        <f>MIN(AV846,AV$829*AV866)</f>
        <v/>
      </c>
      <c r="AW876" s="47">
        <f>MIN(AW846,AW$829*AW866)</f>
        <v/>
      </c>
      <c r="AX876" s="47">
        <f>MIN(AX846,AX$829*AX866)</f>
        <v/>
      </c>
      <c r="AY876" s="47">
        <f>MIN(AY846,AY$829*AY866)</f>
        <v/>
      </c>
      <c r="AZ876" s="47">
        <f>MIN(AZ846,AZ$829*AZ866)</f>
        <v/>
      </c>
      <c r="BA876" s="48">
        <f>FIRSTROUND(BA846,BA$829,BA866)</f>
        <v/>
      </c>
    </row>
    <row r="877" hidden="1" outlineLevel="1">
      <c r="A877" s="14" t="inlineStr">
        <is>
          <t>first</t>
        </is>
      </c>
      <c r="B877" s="14" t="inlineStr">
        <is>
          <t>oop</t>
        </is>
      </c>
      <c r="C877" s="14" t="inlineStr">
        <is>
          <t>pow</t>
        </is>
      </c>
      <c r="D877" s="39" t="n"/>
      <c r="E877" s="39" t="n"/>
      <c r="F877" s="39" t="n"/>
      <c r="G877" s="39" t="n"/>
      <c r="H877" s="14">
        <f>INDEX(VarLab,MATCH($A877,VarKey,0))&amp;INDEX(MemLab,MATCH($C877&amp;"|"&amp;$B877,MemKey,0))</f>
        <v/>
      </c>
      <c r="I877" s="14">
        <f>INDEX(VarUnit,MATCH($A877,VarKey,0))</f>
        <v/>
      </c>
      <c r="J877" s="14">
        <f>INDEX(VarSrc,MATCH($A877,VarKey,0))</f>
        <v/>
      </c>
      <c r="K877" s="11">
        <f>CodePrefix&amp;$A877&amp;IF($C877="","","."&amp;$C877&amp;"."&amp;$B877)&amp;INDEX(VarEnd,MATCH($A877,VarKey,0))&amp;K$5</f>
        <v/>
      </c>
      <c r="L877" s="46">
        <f>MIN(L847,L$829*L867)</f>
        <v/>
      </c>
      <c r="M877" s="47">
        <f>MIN(M847,M$829*M867)</f>
        <v/>
      </c>
      <c r="N877" s="47">
        <f>MIN(N847,N$829*N867)</f>
        <v/>
      </c>
      <c r="O877" s="47">
        <f>MIN(O847,O$829*O867)</f>
        <v/>
      </c>
      <c r="P877" s="47">
        <f>MIN(P847,P$829*P867)</f>
        <v/>
      </c>
      <c r="Q877" s="47">
        <f>MIN(Q847,Q$829*Q867)</f>
        <v/>
      </c>
      <c r="R877" s="47">
        <f>MIN(R847,R$829*R867)</f>
        <v/>
      </c>
      <c r="S877" s="47">
        <f>MIN(S847,S$829*S867)</f>
        <v/>
      </c>
      <c r="T877" s="47">
        <f>MIN(T847,T$829*T867)</f>
        <v/>
      </c>
      <c r="U877" s="47">
        <f>MIN(U847,U$829*U867)</f>
        <v/>
      </c>
      <c r="V877" s="47">
        <f>MIN(V847,V$829*V867)</f>
        <v/>
      </c>
      <c r="W877" s="47">
        <f>MIN(W847,W$829*W867)</f>
        <v/>
      </c>
      <c r="X877" s="47">
        <f>MIN(X847,X$829*X867)</f>
        <v/>
      </c>
      <c r="Y877" s="47">
        <f>MIN(Y847,Y$829*Y867)</f>
        <v/>
      </c>
      <c r="Z877" s="47">
        <f>MIN(Z847,Z$829*Z867)</f>
        <v/>
      </c>
      <c r="AA877" s="47">
        <f>MIN(AA847,AA$829*AA867)</f>
        <v/>
      </c>
      <c r="AB877" s="47">
        <f>MIN(AB847,AB$829*AB867)</f>
        <v/>
      </c>
      <c r="AC877" s="47">
        <f>MIN(AC847,AC$829*AC867)</f>
        <v/>
      </c>
      <c r="AD877" s="47">
        <f>MIN(AD847,AD$829*AD867)</f>
        <v/>
      </c>
      <c r="AE877" s="48">
        <f>FIRSTROUND(AE847,AE$829,AE867)</f>
        <v/>
      </c>
      <c r="AG877" s="11">
        <f>CodePrefix&amp;$A877&amp;IF($C877="","","."&amp;$C877&amp;"."&amp;$B877)&amp;INDEX(VarEnd,MATCH($A877,VarKey,0))&amp;AG$5</f>
        <v/>
      </c>
      <c r="AH877" s="46">
        <f>MIN(AH847,AH$829*AH867)</f>
        <v/>
      </c>
      <c r="AI877" s="47">
        <f>MIN(AI847,AI$829*AI867)</f>
        <v/>
      </c>
      <c r="AJ877" s="47">
        <f>MIN(AJ847,AJ$829*AJ867)</f>
        <v/>
      </c>
      <c r="AK877" s="47">
        <f>MIN(AK847,AK$829*AK867)</f>
        <v/>
      </c>
      <c r="AL877" s="47">
        <f>MIN(AL847,AL$829*AL867)</f>
        <v/>
      </c>
      <c r="AM877" s="47">
        <f>MIN(AM847,AM$829*AM867)</f>
        <v/>
      </c>
      <c r="AN877" s="47">
        <f>MIN(AN847,AN$829*AN867)</f>
        <v/>
      </c>
      <c r="AO877" s="47">
        <f>MIN(AO847,AO$829*AO867)</f>
        <v/>
      </c>
      <c r="AP877" s="47">
        <f>MIN(AP847,AP$829*AP867)</f>
        <v/>
      </c>
      <c r="AQ877" s="47">
        <f>MIN(AQ847,AQ$829*AQ867)</f>
        <v/>
      </c>
      <c r="AR877" s="47">
        <f>MIN(AR847,AR$829*AR867)</f>
        <v/>
      </c>
      <c r="AS877" s="47">
        <f>MIN(AS847,AS$829*AS867)</f>
        <v/>
      </c>
      <c r="AT877" s="47">
        <f>MIN(AT847,AT$829*AT867)</f>
        <v/>
      </c>
      <c r="AU877" s="47">
        <f>MIN(AU847,AU$829*AU867)</f>
        <v/>
      </c>
      <c r="AV877" s="47">
        <f>MIN(AV847,AV$829*AV867)</f>
        <v/>
      </c>
      <c r="AW877" s="47">
        <f>MIN(AW847,AW$829*AW867)</f>
        <v/>
      </c>
      <c r="AX877" s="47">
        <f>MIN(AX847,AX$829*AX867)</f>
        <v/>
      </c>
      <c r="AY877" s="47">
        <f>MIN(AY847,AY$829*AY867)</f>
        <v/>
      </c>
      <c r="AZ877" s="47">
        <f>MIN(AZ847,AZ$829*AZ867)</f>
        <v/>
      </c>
      <c r="BA877" s="48">
        <f>FIRSTROUND(BA847,BA$829,BA867)</f>
        <v/>
      </c>
    </row>
    <row r="878" hidden="1" outlineLevel="1">
      <c r="A878" s="14" t="inlineStr">
        <is>
          <t>first</t>
        </is>
      </c>
      <c r="B878" s="14" t="inlineStr">
        <is>
          <t>nuc</t>
        </is>
      </c>
      <c r="C878" s="14" t="inlineStr">
        <is>
          <t>pow</t>
        </is>
      </c>
      <c r="D878" s="39" t="n"/>
      <c r="E878" s="39" t="n"/>
      <c r="F878" s="39" t="n"/>
      <c r="G878" s="39" t="n"/>
      <c r="H878" s="14">
        <f>INDEX(VarLab,MATCH($A878,VarKey,0))&amp;INDEX(MemLab,MATCH($C878&amp;"|"&amp;$B878,MemKey,0))</f>
        <v/>
      </c>
      <c r="I878" s="14">
        <f>INDEX(VarUnit,MATCH($A878,VarKey,0))</f>
        <v/>
      </c>
      <c r="J878" s="14">
        <f>INDEX(VarSrc,MATCH($A878,VarKey,0))</f>
        <v/>
      </c>
      <c r="K878" s="11">
        <f>CodePrefix&amp;$A878&amp;IF($C878="","","."&amp;$C878&amp;"."&amp;$B878)&amp;INDEX(VarEnd,MATCH($A878,VarKey,0))&amp;K$5</f>
        <v/>
      </c>
      <c r="L878" s="46">
        <f>MIN(L848,L$829*L868)</f>
        <v/>
      </c>
      <c r="M878" s="47">
        <f>MIN(M848,M$829*M868)</f>
        <v/>
      </c>
      <c r="N878" s="47">
        <f>MIN(N848,N$829*N868)</f>
        <v/>
      </c>
      <c r="O878" s="47">
        <f>MIN(O848,O$829*O868)</f>
        <v/>
      </c>
      <c r="P878" s="47">
        <f>MIN(P848,P$829*P868)</f>
        <v/>
      </c>
      <c r="Q878" s="47">
        <f>MIN(Q848,Q$829*Q868)</f>
        <v/>
      </c>
      <c r="R878" s="47">
        <f>MIN(R848,R$829*R868)</f>
        <v/>
      </c>
      <c r="S878" s="47">
        <f>MIN(S848,S$829*S868)</f>
        <v/>
      </c>
      <c r="T878" s="47">
        <f>MIN(T848,T$829*T868)</f>
        <v/>
      </c>
      <c r="U878" s="47">
        <f>MIN(U848,U$829*U868)</f>
        <v/>
      </c>
      <c r="V878" s="47">
        <f>MIN(V848,V$829*V868)</f>
        <v/>
      </c>
      <c r="W878" s="47">
        <f>MIN(W848,W$829*W868)</f>
        <v/>
      </c>
      <c r="X878" s="47">
        <f>MIN(X848,X$829*X868)</f>
        <v/>
      </c>
      <c r="Y878" s="47">
        <f>MIN(Y848,Y$829*Y868)</f>
        <v/>
      </c>
      <c r="Z878" s="47">
        <f>MIN(Z848,Z$829*Z868)</f>
        <v/>
      </c>
      <c r="AA878" s="47">
        <f>MIN(AA848,AA$829*AA868)</f>
        <v/>
      </c>
      <c r="AB878" s="47">
        <f>MIN(AB848,AB$829*AB868)</f>
        <v/>
      </c>
      <c r="AC878" s="47">
        <f>MIN(AC848,AC$829*AC868)</f>
        <v/>
      </c>
      <c r="AD878" s="47">
        <f>MIN(AD848,AD$829*AD868)</f>
        <v/>
      </c>
      <c r="AE878" s="48">
        <f>FIRSTROUND(AE848,AE$829,AE868)</f>
        <v/>
      </c>
      <c r="AG878" s="11">
        <f>CodePrefix&amp;$A878&amp;IF($C878="","","."&amp;$C878&amp;"."&amp;$B878)&amp;INDEX(VarEnd,MATCH($A878,VarKey,0))&amp;AG$5</f>
        <v/>
      </c>
      <c r="AH878" s="46">
        <f>MIN(AH848,AH$829*AH868)</f>
        <v/>
      </c>
      <c r="AI878" s="47">
        <f>MIN(AI848,AI$829*AI868)</f>
        <v/>
      </c>
      <c r="AJ878" s="47">
        <f>MIN(AJ848,AJ$829*AJ868)</f>
        <v/>
      </c>
      <c r="AK878" s="47">
        <f>MIN(AK848,AK$829*AK868)</f>
        <v/>
      </c>
      <c r="AL878" s="47">
        <f>MIN(AL848,AL$829*AL868)</f>
        <v/>
      </c>
      <c r="AM878" s="47">
        <f>MIN(AM848,AM$829*AM868)</f>
        <v/>
      </c>
      <c r="AN878" s="47">
        <f>MIN(AN848,AN$829*AN868)</f>
        <v/>
      </c>
      <c r="AO878" s="47">
        <f>MIN(AO848,AO$829*AO868)</f>
        <v/>
      </c>
      <c r="AP878" s="47">
        <f>MIN(AP848,AP$829*AP868)</f>
        <v/>
      </c>
      <c r="AQ878" s="47">
        <f>MIN(AQ848,AQ$829*AQ868)</f>
        <v/>
      </c>
      <c r="AR878" s="47">
        <f>MIN(AR848,AR$829*AR868)</f>
        <v/>
      </c>
      <c r="AS878" s="47">
        <f>MIN(AS848,AS$829*AS868)</f>
        <v/>
      </c>
      <c r="AT878" s="47">
        <f>MIN(AT848,AT$829*AT868)</f>
        <v/>
      </c>
      <c r="AU878" s="47">
        <f>MIN(AU848,AU$829*AU868)</f>
        <v/>
      </c>
      <c r="AV878" s="47">
        <f>MIN(AV848,AV$829*AV868)</f>
        <v/>
      </c>
      <c r="AW878" s="47">
        <f>MIN(AW848,AW$829*AW868)</f>
        <v/>
      </c>
      <c r="AX878" s="47">
        <f>MIN(AX848,AX$829*AX868)</f>
        <v/>
      </c>
      <c r="AY878" s="47">
        <f>MIN(AY848,AY$829*AY868)</f>
        <v/>
      </c>
      <c r="AZ878" s="47">
        <f>MIN(AZ848,AZ$829*AZ868)</f>
        <v/>
      </c>
      <c r="BA878" s="48">
        <f>FIRSTROUND(BA848,BA$829,BA868)</f>
        <v/>
      </c>
    </row>
    <row r="879" hidden="1" outlineLevel="1">
      <c r="A879" s="14" t="inlineStr">
        <is>
          <t>first</t>
        </is>
      </c>
      <c r="B879" s="14" t="inlineStr">
        <is>
          <t>wnd</t>
        </is>
      </c>
      <c r="C879" s="14" t="inlineStr">
        <is>
          <t>pow</t>
        </is>
      </c>
      <c r="D879" s="39" t="n"/>
      <c r="E879" s="39" t="n"/>
      <c r="F879" s="39" t="n"/>
      <c r="G879" s="39" t="n"/>
      <c r="H879" s="14">
        <f>INDEX(VarLab,MATCH($A879,VarKey,0))&amp;INDEX(MemLab,MATCH($C879&amp;"|"&amp;$B879,MemKey,0))</f>
        <v/>
      </c>
      <c r="I879" s="14">
        <f>INDEX(VarUnit,MATCH($A879,VarKey,0))</f>
        <v/>
      </c>
      <c r="J879" s="14">
        <f>INDEX(VarSrc,MATCH($A879,VarKey,0))</f>
        <v/>
      </c>
      <c r="K879" s="11">
        <f>CodePrefix&amp;$A879&amp;IF($C879="","","."&amp;$C879&amp;"."&amp;$B879)&amp;INDEX(VarEnd,MATCH($A879,VarKey,0))&amp;K$5</f>
        <v/>
      </c>
      <c r="L879" s="46">
        <f>MIN(L849,L$829*L869)</f>
        <v/>
      </c>
      <c r="M879" s="47">
        <f>MIN(M849,M$829*M869)</f>
        <v/>
      </c>
      <c r="N879" s="47">
        <f>MIN(N849,N$829*N869)</f>
        <v/>
      </c>
      <c r="O879" s="47">
        <f>MIN(O849,O$829*O869)</f>
        <v/>
      </c>
      <c r="P879" s="47">
        <f>MIN(P849,P$829*P869)</f>
        <v/>
      </c>
      <c r="Q879" s="47">
        <f>MIN(Q849,Q$829*Q869)</f>
        <v/>
      </c>
      <c r="R879" s="47">
        <f>MIN(R849,R$829*R869)</f>
        <v/>
      </c>
      <c r="S879" s="47">
        <f>MIN(S849,S$829*S869)</f>
        <v/>
      </c>
      <c r="T879" s="47">
        <f>MIN(T849,T$829*T869)</f>
        <v/>
      </c>
      <c r="U879" s="47">
        <f>MIN(U849,U$829*U869)</f>
        <v/>
      </c>
      <c r="V879" s="47">
        <f>MIN(V849,V$829*V869)</f>
        <v/>
      </c>
      <c r="W879" s="47">
        <f>MIN(W849,W$829*W869)</f>
        <v/>
      </c>
      <c r="X879" s="47">
        <f>MIN(X849,X$829*X869)</f>
        <v/>
      </c>
      <c r="Y879" s="47">
        <f>MIN(Y849,Y$829*Y869)</f>
        <v/>
      </c>
      <c r="Z879" s="47">
        <f>MIN(Z849,Z$829*Z869)</f>
        <v/>
      </c>
      <c r="AA879" s="47">
        <f>MIN(AA849,AA$829*AA869)</f>
        <v/>
      </c>
      <c r="AB879" s="47">
        <f>MIN(AB849,AB$829*AB869)</f>
        <v/>
      </c>
      <c r="AC879" s="47">
        <f>MIN(AC849,AC$829*AC869)</f>
        <v/>
      </c>
      <c r="AD879" s="47">
        <f>MIN(AD849,AD$829*AD869)</f>
        <v/>
      </c>
      <c r="AE879" s="48">
        <f>FIRSTROUND(AE849,AE$829,AE869)</f>
        <v/>
      </c>
      <c r="AG879" s="11">
        <f>CodePrefix&amp;$A879&amp;IF($C879="","","."&amp;$C879&amp;"."&amp;$B879)&amp;INDEX(VarEnd,MATCH($A879,VarKey,0))&amp;AG$5</f>
        <v/>
      </c>
      <c r="AH879" s="46">
        <f>MIN(AH849,AH$829*AH869)</f>
        <v/>
      </c>
      <c r="AI879" s="47">
        <f>MIN(AI849,AI$829*AI869)</f>
        <v/>
      </c>
      <c r="AJ879" s="47">
        <f>MIN(AJ849,AJ$829*AJ869)</f>
        <v/>
      </c>
      <c r="AK879" s="47">
        <f>MIN(AK849,AK$829*AK869)</f>
        <v/>
      </c>
      <c r="AL879" s="47">
        <f>MIN(AL849,AL$829*AL869)</f>
        <v/>
      </c>
      <c r="AM879" s="47">
        <f>MIN(AM849,AM$829*AM869)</f>
        <v/>
      </c>
      <c r="AN879" s="47">
        <f>MIN(AN849,AN$829*AN869)</f>
        <v/>
      </c>
      <c r="AO879" s="47">
        <f>MIN(AO849,AO$829*AO869)</f>
        <v/>
      </c>
      <c r="AP879" s="47">
        <f>MIN(AP849,AP$829*AP869)</f>
        <v/>
      </c>
      <c r="AQ879" s="47">
        <f>MIN(AQ849,AQ$829*AQ869)</f>
        <v/>
      </c>
      <c r="AR879" s="47">
        <f>MIN(AR849,AR$829*AR869)</f>
        <v/>
      </c>
      <c r="AS879" s="47">
        <f>MIN(AS849,AS$829*AS869)</f>
        <v/>
      </c>
      <c r="AT879" s="47">
        <f>MIN(AT849,AT$829*AT869)</f>
        <v/>
      </c>
      <c r="AU879" s="47">
        <f>MIN(AU849,AU$829*AU869)</f>
        <v/>
      </c>
      <c r="AV879" s="47">
        <f>MIN(AV849,AV$829*AV869)</f>
        <v/>
      </c>
      <c r="AW879" s="47">
        <f>MIN(AW849,AW$829*AW869)</f>
        <v/>
      </c>
      <c r="AX879" s="47">
        <f>MIN(AX849,AX$829*AX869)</f>
        <v/>
      </c>
      <c r="AY879" s="47">
        <f>MIN(AY849,AY$829*AY869)</f>
        <v/>
      </c>
      <c r="AZ879" s="47">
        <f>MIN(AZ849,AZ$829*AZ869)</f>
        <v/>
      </c>
      <c r="BA879" s="48">
        <f>FIRSTROUND(BA849,BA$829,BA869)</f>
        <v/>
      </c>
    </row>
    <row r="880" hidden="1" outlineLevel="1">
      <c r="A880" s="14" t="inlineStr">
        <is>
          <t>first</t>
        </is>
      </c>
      <c r="B880" s="14" t="inlineStr">
        <is>
          <t>sol</t>
        </is>
      </c>
      <c r="C880" s="14" t="inlineStr">
        <is>
          <t>pow</t>
        </is>
      </c>
      <c r="D880" s="39" t="n"/>
      <c r="E880" s="39" t="n"/>
      <c r="F880" s="39" t="n"/>
      <c r="G880" s="39" t="n"/>
      <c r="H880" s="14">
        <f>INDEX(VarLab,MATCH($A880,VarKey,0))&amp;INDEX(MemLab,MATCH($C880&amp;"|"&amp;$B880,MemKey,0))</f>
        <v/>
      </c>
      <c r="I880" s="14">
        <f>INDEX(VarUnit,MATCH($A880,VarKey,0))</f>
        <v/>
      </c>
      <c r="J880" s="14">
        <f>INDEX(VarSrc,MATCH($A880,VarKey,0))</f>
        <v/>
      </c>
      <c r="K880" s="11">
        <f>CodePrefix&amp;$A880&amp;IF($C880="","","."&amp;$C880&amp;"."&amp;$B880)&amp;INDEX(VarEnd,MATCH($A880,VarKey,0))&amp;K$5</f>
        <v/>
      </c>
      <c r="L880" s="46">
        <f>MIN(L850,L$829*L870)</f>
        <v/>
      </c>
      <c r="M880" s="47">
        <f>MIN(M850,M$829*M870)</f>
        <v/>
      </c>
      <c r="N880" s="47">
        <f>MIN(N850,N$829*N870)</f>
        <v/>
      </c>
      <c r="O880" s="47">
        <f>MIN(O850,O$829*O870)</f>
        <v/>
      </c>
      <c r="P880" s="47">
        <f>MIN(P850,P$829*P870)</f>
        <v/>
      </c>
      <c r="Q880" s="47">
        <f>MIN(Q850,Q$829*Q870)</f>
        <v/>
      </c>
      <c r="R880" s="47">
        <f>MIN(R850,R$829*R870)</f>
        <v/>
      </c>
      <c r="S880" s="47">
        <f>MIN(S850,S$829*S870)</f>
        <v/>
      </c>
      <c r="T880" s="47">
        <f>MIN(T850,T$829*T870)</f>
        <v/>
      </c>
      <c r="U880" s="47">
        <f>MIN(U850,U$829*U870)</f>
        <v/>
      </c>
      <c r="V880" s="47">
        <f>MIN(V850,V$829*V870)</f>
        <v/>
      </c>
      <c r="W880" s="47">
        <f>MIN(W850,W$829*W870)</f>
        <v/>
      </c>
      <c r="X880" s="47">
        <f>MIN(X850,X$829*X870)</f>
        <v/>
      </c>
      <c r="Y880" s="47">
        <f>MIN(Y850,Y$829*Y870)</f>
        <v/>
      </c>
      <c r="Z880" s="47">
        <f>MIN(Z850,Z$829*Z870)</f>
        <v/>
      </c>
      <c r="AA880" s="47">
        <f>MIN(AA850,AA$829*AA870)</f>
        <v/>
      </c>
      <c r="AB880" s="47">
        <f>MIN(AB850,AB$829*AB870)</f>
        <v/>
      </c>
      <c r="AC880" s="47">
        <f>MIN(AC850,AC$829*AC870)</f>
        <v/>
      </c>
      <c r="AD880" s="47">
        <f>MIN(AD850,AD$829*AD870)</f>
        <v/>
      </c>
      <c r="AE880" s="48">
        <f>FIRSTROUND(AE850,AE$829,AE870)</f>
        <v/>
      </c>
      <c r="AG880" s="11">
        <f>CodePrefix&amp;$A880&amp;IF($C880="","","."&amp;$C880&amp;"."&amp;$B880)&amp;INDEX(VarEnd,MATCH($A880,VarKey,0))&amp;AG$5</f>
        <v/>
      </c>
      <c r="AH880" s="46">
        <f>MIN(AH850,AH$829*AH870)</f>
        <v/>
      </c>
      <c r="AI880" s="47">
        <f>MIN(AI850,AI$829*AI870)</f>
        <v/>
      </c>
      <c r="AJ880" s="47">
        <f>MIN(AJ850,AJ$829*AJ870)</f>
        <v/>
      </c>
      <c r="AK880" s="47">
        <f>MIN(AK850,AK$829*AK870)</f>
        <v/>
      </c>
      <c r="AL880" s="47">
        <f>MIN(AL850,AL$829*AL870)</f>
        <v/>
      </c>
      <c r="AM880" s="47">
        <f>MIN(AM850,AM$829*AM870)</f>
        <v/>
      </c>
      <c r="AN880" s="47">
        <f>MIN(AN850,AN$829*AN870)</f>
        <v/>
      </c>
      <c r="AO880" s="47">
        <f>MIN(AO850,AO$829*AO870)</f>
        <v/>
      </c>
      <c r="AP880" s="47">
        <f>MIN(AP850,AP$829*AP870)</f>
        <v/>
      </c>
      <c r="AQ880" s="47">
        <f>MIN(AQ850,AQ$829*AQ870)</f>
        <v/>
      </c>
      <c r="AR880" s="47">
        <f>MIN(AR850,AR$829*AR870)</f>
        <v/>
      </c>
      <c r="AS880" s="47">
        <f>MIN(AS850,AS$829*AS870)</f>
        <v/>
      </c>
      <c r="AT880" s="47">
        <f>MIN(AT850,AT$829*AT870)</f>
        <v/>
      </c>
      <c r="AU880" s="47">
        <f>MIN(AU850,AU$829*AU870)</f>
        <v/>
      </c>
      <c r="AV880" s="47">
        <f>MIN(AV850,AV$829*AV870)</f>
        <v/>
      </c>
      <c r="AW880" s="47">
        <f>MIN(AW850,AW$829*AW870)</f>
        <v/>
      </c>
      <c r="AX880" s="47">
        <f>MIN(AX850,AX$829*AX870)</f>
        <v/>
      </c>
      <c r="AY880" s="47">
        <f>MIN(AY850,AY$829*AY870)</f>
        <v/>
      </c>
      <c r="AZ880" s="47">
        <f>MIN(AZ850,AZ$829*AZ870)</f>
        <v/>
      </c>
      <c r="BA880" s="48">
        <f>FIRSTROUND(BA850,BA$829,BA870)</f>
        <v/>
      </c>
    </row>
    <row r="881" hidden="1" outlineLevel="1">
      <c r="A881" s="14" t="inlineStr">
        <is>
          <t>first</t>
        </is>
      </c>
      <c r="B881" s="14" t="inlineStr">
        <is>
          <t>hyd</t>
        </is>
      </c>
      <c r="C881" s="14" t="inlineStr">
        <is>
          <t>pow</t>
        </is>
      </c>
      <c r="D881" s="39" t="n"/>
      <c r="E881" s="39" t="n"/>
      <c r="F881" s="39" t="n"/>
      <c r="G881" s="39" t="n"/>
      <c r="H881" s="14">
        <f>INDEX(VarLab,MATCH($A881,VarKey,0))&amp;INDEX(MemLab,MATCH($C881&amp;"|"&amp;$B881,MemKey,0))</f>
        <v/>
      </c>
      <c r="I881" s="14">
        <f>INDEX(VarUnit,MATCH($A881,VarKey,0))</f>
        <v/>
      </c>
      <c r="J881" s="14">
        <f>INDEX(VarSrc,MATCH($A881,VarKey,0))</f>
        <v/>
      </c>
      <c r="K881" s="11">
        <f>CodePrefix&amp;$A881&amp;IF($C881="","","."&amp;$C881&amp;"."&amp;$B881)&amp;INDEX(VarEnd,MATCH($A881,VarKey,0))&amp;K$5</f>
        <v/>
      </c>
      <c r="L881" s="46">
        <f>MIN(L851,L$829*L871)</f>
        <v/>
      </c>
      <c r="M881" s="47">
        <f>MIN(M851,M$829*M871)</f>
        <v/>
      </c>
      <c r="N881" s="47">
        <f>MIN(N851,N$829*N871)</f>
        <v/>
      </c>
      <c r="O881" s="47">
        <f>MIN(O851,O$829*O871)</f>
        <v/>
      </c>
      <c r="P881" s="47">
        <f>MIN(P851,P$829*P871)</f>
        <v/>
      </c>
      <c r="Q881" s="47">
        <f>MIN(Q851,Q$829*Q871)</f>
        <v/>
      </c>
      <c r="R881" s="47">
        <f>MIN(R851,R$829*R871)</f>
        <v/>
      </c>
      <c r="S881" s="47">
        <f>MIN(S851,S$829*S871)</f>
        <v/>
      </c>
      <c r="T881" s="47">
        <f>MIN(T851,T$829*T871)</f>
        <v/>
      </c>
      <c r="U881" s="47">
        <f>MIN(U851,U$829*U871)</f>
        <v/>
      </c>
      <c r="V881" s="47">
        <f>MIN(V851,V$829*V871)</f>
        <v/>
      </c>
      <c r="W881" s="47">
        <f>MIN(W851,W$829*W871)</f>
        <v/>
      </c>
      <c r="X881" s="47">
        <f>MIN(X851,X$829*X871)</f>
        <v/>
      </c>
      <c r="Y881" s="47">
        <f>MIN(Y851,Y$829*Y871)</f>
        <v/>
      </c>
      <c r="Z881" s="47">
        <f>MIN(Z851,Z$829*Z871)</f>
        <v/>
      </c>
      <c r="AA881" s="47">
        <f>MIN(AA851,AA$829*AA871)</f>
        <v/>
      </c>
      <c r="AB881" s="47">
        <f>MIN(AB851,AB$829*AB871)</f>
        <v/>
      </c>
      <c r="AC881" s="47">
        <f>MIN(AC851,AC$829*AC871)</f>
        <v/>
      </c>
      <c r="AD881" s="47">
        <f>MIN(AD851,AD$829*AD871)</f>
        <v/>
      </c>
      <c r="AE881" s="48">
        <f>FIRSTROUND(AE851,AE$829,AE871)</f>
        <v/>
      </c>
      <c r="AG881" s="11">
        <f>CodePrefix&amp;$A881&amp;IF($C881="","","."&amp;$C881&amp;"."&amp;$B881)&amp;INDEX(VarEnd,MATCH($A881,VarKey,0))&amp;AG$5</f>
        <v/>
      </c>
      <c r="AH881" s="46">
        <f>MIN(AH851,AH$829*AH871)</f>
        <v/>
      </c>
      <c r="AI881" s="47">
        <f>MIN(AI851,AI$829*AI871)</f>
        <v/>
      </c>
      <c r="AJ881" s="47">
        <f>MIN(AJ851,AJ$829*AJ871)</f>
        <v/>
      </c>
      <c r="AK881" s="47">
        <f>MIN(AK851,AK$829*AK871)</f>
        <v/>
      </c>
      <c r="AL881" s="47">
        <f>MIN(AL851,AL$829*AL871)</f>
        <v/>
      </c>
      <c r="AM881" s="47">
        <f>MIN(AM851,AM$829*AM871)</f>
        <v/>
      </c>
      <c r="AN881" s="47">
        <f>MIN(AN851,AN$829*AN871)</f>
        <v/>
      </c>
      <c r="AO881" s="47">
        <f>MIN(AO851,AO$829*AO871)</f>
        <v/>
      </c>
      <c r="AP881" s="47">
        <f>MIN(AP851,AP$829*AP871)</f>
        <v/>
      </c>
      <c r="AQ881" s="47">
        <f>MIN(AQ851,AQ$829*AQ871)</f>
        <v/>
      </c>
      <c r="AR881" s="47">
        <f>MIN(AR851,AR$829*AR871)</f>
        <v/>
      </c>
      <c r="AS881" s="47">
        <f>MIN(AS851,AS$829*AS871)</f>
        <v/>
      </c>
      <c r="AT881" s="47">
        <f>MIN(AT851,AT$829*AT871)</f>
        <v/>
      </c>
      <c r="AU881" s="47">
        <f>MIN(AU851,AU$829*AU871)</f>
        <v/>
      </c>
      <c r="AV881" s="47">
        <f>MIN(AV851,AV$829*AV871)</f>
        <v/>
      </c>
      <c r="AW881" s="47">
        <f>MIN(AW851,AW$829*AW871)</f>
        <v/>
      </c>
      <c r="AX881" s="47">
        <f>MIN(AX851,AX$829*AX871)</f>
        <v/>
      </c>
      <c r="AY881" s="47">
        <f>MIN(AY851,AY$829*AY871)</f>
        <v/>
      </c>
      <c r="AZ881" s="47">
        <f>MIN(AZ851,AZ$829*AZ871)</f>
        <v/>
      </c>
      <c r="BA881" s="48">
        <f>FIRSTROUND(BA851,BA$829,BA871)</f>
        <v/>
      </c>
    </row>
    <row r="882" hidden="1" outlineLevel="1">
      <c r="A882" s="14" t="inlineStr">
        <is>
          <t>first</t>
        </is>
      </c>
      <c r="B882" s="14" t="inlineStr">
        <is>
          <t>ore</t>
        </is>
      </c>
      <c r="C882" s="14" t="inlineStr">
        <is>
          <t>pow</t>
        </is>
      </c>
      <c r="D882" s="39" t="n"/>
      <c r="E882" s="39" t="n"/>
      <c r="F882" s="39" t="n"/>
      <c r="G882" s="39" t="n"/>
      <c r="H882" s="14">
        <f>INDEX(VarLab,MATCH($A882,VarKey,0))&amp;INDEX(MemLab,MATCH($C882&amp;"|"&amp;$B882,MemKey,0))</f>
        <v/>
      </c>
      <c r="I882" s="14">
        <f>INDEX(VarUnit,MATCH($A882,VarKey,0))</f>
        <v/>
      </c>
      <c r="J882" s="14">
        <f>INDEX(VarSrc,MATCH($A882,VarKey,0))</f>
        <v/>
      </c>
      <c r="K882" s="11">
        <f>CodePrefix&amp;$A882&amp;IF($C882="","","."&amp;$C882&amp;"."&amp;$B882)&amp;INDEX(VarEnd,MATCH($A882,VarKey,0))&amp;K$5</f>
        <v/>
      </c>
      <c r="L882" s="46">
        <f>MIN(L852,L$829*L872)</f>
        <v/>
      </c>
      <c r="M882" s="47">
        <f>MIN(M852,M$829*M872)</f>
        <v/>
      </c>
      <c r="N882" s="47">
        <f>MIN(N852,N$829*N872)</f>
        <v/>
      </c>
      <c r="O882" s="47">
        <f>MIN(O852,O$829*O872)</f>
        <v/>
      </c>
      <c r="P882" s="47">
        <f>MIN(P852,P$829*P872)</f>
        <v/>
      </c>
      <c r="Q882" s="47">
        <f>MIN(Q852,Q$829*Q872)</f>
        <v/>
      </c>
      <c r="R882" s="47">
        <f>MIN(R852,R$829*R872)</f>
        <v/>
      </c>
      <c r="S882" s="47">
        <f>MIN(S852,S$829*S872)</f>
        <v/>
      </c>
      <c r="T882" s="47">
        <f>MIN(T852,T$829*T872)</f>
        <v/>
      </c>
      <c r="U882" s="47">
        <f>MIN(U852,U$829*U872)</f>
        <v/>
      </c>
      <c r="V882" s="47">
        <f>MIN(V852,V$829*V872)</f>
        <v/>
      </c>
      <c r="W882" s="47">
        <f>MIN(W852,W$829*W872)</f>
        <v/>
      </c>
      <c r="X882" s="47">
        <f>MIN(X852,X$829*X872)</f>
        <v/>
      </c>
      <c r="Y882" s="47">
        <f>MIN(Y852,Y$829*Y872)</f>
        <v/>
      </c>
      <c r="Z882" s="47">
        <f>MIN(Z852,Z$829*Z872)</f>
        <v/>
      </c>
      <c r="AA882" s="47">
        <f>MIN(AA852,AA$829*AA872)</f>
        <v/>
      </c>
      <c r="AB882" s="47">
        <f>MIN(AB852,AB$829*AB872)</f>
        <v/>
      </c>
      <c r="AC882" s="47">
        <f>MIN(AC852,AC$829*AC872)</f>
        <v/>
      </c>
      <c r="AD882" s="47">
        <f>MIN(AD852,AD$829*AD872)</f>
        <v/>
      </c>
      <c r="AE882" s="48">
        <f>FIRSTROUND(AE852,AE$829,AE872)</f>
        <v/>
      </c>
      <c r="AG882" s="11">
        <f>CodePrefix&amp;$A882&amp;IF($C882="","","."&amp;$C882&amp;"."&amp;$B882)&amp;INDEX(VarEnd,MATCH($A882,VarKey,0))&amp;AG$5</f>
        <v/>
      </c>
      <c r="AH882" s="46">
        <f>MIN(AH852,AH$829*AH872)</f>
        <v/>
      </c>
      <c r="AI882" s="47">
        <f>MIN(AI852,AI$829*AI872)</f>
        <v/>
      </c>
      <c r="AJ882" s="47">
        <f>MIN(AJ852,AJ$829*AJ872)</f>
        <v/>
      </c>
      <c r="AK882" s="47">
        <f>MIN(AK852,AK$829*AK872)</f>
        <v/>
      </c>
      <c r="AL882" s="47">
        <f>MIN(AL852,AL$829*AL872)</f>
        <v/>
      </c>
      <c r="AM882" s="47">
        <f>MIN(AM852,AM$829*AM872)</f>
        <v/>
      </c>
      <c r="AN882" s="47">
        <f>MIN(AN852,AN$829*AN872)</f>
        <v/>
      </c>
      <c r="AO882" s="47">
        <f>MIN(AO852,AO$829*AO872)</f>
        <v/>
      </c>
      <c r="AP882" s="47">
        <f>MIN(AP852,AP$829*AP872)</f>
        <v/>
      </c>
      <c r="AQ882" s="47">
        <f>MIN(AQ852,AQ$829*AQ872)</f>
        <v/>
      </c>
      <c r="AR882" s="47">
        <f>MIN(AR852,AR$829*AR872)</f>
        <v/>
      </c>
      <c r="AS882" s="47">
        <f>MIN(AS852,AS$829*AS872)</f>
        <v/>
      </c>
      <c r="AT882" s="47">
        <f>MIN(AT852,AT$829*AT872)</f>
        <v/>
      </c>
      <c r="AU882" s="47">
        <f>MIN(AU852,AU$829*AU872)</f>
        <v/>
      </c>
      <c r="AV882" s="47">
        <f>MIN(AV852,AV$829*AV872)</f>
        <v/>
      </c>
      <c r="AW882" s="47">
        <f>MIN(AW852,AW$829*AW872)</f>
        <v/>
      </c>
      <c r="AX882" s="47">
        <f>MIN(AX852,AX$829*AX872)</f>
        <v/>
      </c>
      <c r="AY882" s="47">
        <f>MIN(AY852,AY$829*AY872)</f>
        <v/>
      </c>
      <c r="AZ882" s="47">
        <f>MIN(AZ852,AZ$829*AZ872)</f>
        <v/>
      </c>
      <c r="BA882" s="48">
        <f>FIRSTROUND(BA852,BA$829,BA872)</f>
        <v/>
      </c>
    </row>
    <row r="883" hidden="1" outlineLevel="1">
      <c r="A883" s="14" t="inlineStr">
        <is>
          <t>first</t>
        </is>
      </c>
      <c r="B883" s="14" t="inlineStr">
        <is>
          <t>bio</t>
        </is>
      </c>
      <c r="C883" s="14" t="inlineStr">
        <is>
          <t>pow</t>
        </is>
      </c>
      <c r="D883" s="39" t="n"/>
      <c r="E883" s="39" t="n"/>
      <c r="F883" s="39" t="n"/>
      <c r="G883" s="39" t="n"/>
      <c r="H883" s="14">
        <f>INDEX(VarLab,MATCH($A883,VarKey,0))&amp;INDEX(MemLab,MATCH($C883&amp;"|"&amp;$B883,MemKey,0))</f>
        <v/>
      </c>
      <c r="I883" s="14">
        <f>INDEX(VarUnit,MATCH($A883,VarKey,0))</f>
        <v/>
      </c>
      <c r="J883" s="14">
        <f>INDEX(VarSrc,MATCH($A883,VarKey,0))</f>
        <v/>
      </c>
      <c r="K883" s="11">
        <f>CodePrefix&amp;$A883&amp;IF($C883="","","."&amp;$C883&amp;"."&amp;$B883)&amp;INDEX(VarEnd,MATCH($A883,VarKey,0))&amp;K$5</f>
        <v/>
      </c>
      <c r="L883" s="46">
        <f>MIN(L853,L$829*L873)</f>
        <v/>
      </c>
      <c r="M883" s="47">
        <f>MIN(M853,M$829*M873)</f>
        <v/>
      </c>
      <c r="N883" s="47">
        <f>MIN(N853,N$829*N873)</f>
        <v/>
      </c>
      <c r="O883" s="47">
        <f>MIN(O853,O$829*O873)</f>
        <v/>
      </c>
      <c r="P883" s="47">
        <f>MIN(P853,P$829*P873)</f>
        <v/>
      </c>
      <c r="Q883" s="47">
        <f>MIN(Q853,Q$829*Q873)</f>
        <v/>
      </c>
      <c r="R883" s="47">
        <f>MIN(R853,R$829*R873)</f>
        <v/>
      </c>
      <c r="S883" s="47">
        <f>MIN(S853,S$829*S873)</f>
        <v/>
      </c>
      <c r="T883" s="47">
        <f>MIN(T853,T$829*T873)</f>
        <v/>
      </c>
      <c r="U883" s="47">
        <f>MIN(U853,U$829*U873)</f>
        <v/>
      </c>
      <c r="V883" s="47">
        <f>MIN(V853,V$829*V873)</f>
        <v/>
      </c>
      <c r="W883" s="47">
        <f>MIN(W853,W$829*W873)</f>
        <v/>
      </c>
      <c r="X883" s="47">
        <f>MIN(X853,X$829*X873)</f>
        <v/>
      </c>
      <c r="Y883" s="47">
        <f>MIN(Y853,Y$829*Y873)</f>
        <v/>
      </c>
      <c r="Z883" s="47">
        <f>MIN(Z853,Z$829*Z873)</f>
        <v/>
      </c>
      <c r="AA883" s="47">
        <f>MIN(AA853,AA$829*AA873)</f>
        <v/>
      </c>
      <c r="AB883" s="47">
        <f>MIN(AB853,AB$829*AB873)</f>
        <v/>
      </c>
      <c r="AC883" s="47">
        <f>MIN(AC853,AC$829*AC873)</f>
        <v/>
      </c>
      <c r="AD883" s="47">
        <f>MIN(AD853,AD$829*AD873)</f>
        <v/>
      </c>
      <c r="AE883" s="48">
        <f>FIRSTROUND(AE853,AE$829,AE873)</f>
        <v/>
      </c>
      <c r="AG883" s="11">
        <f>CodePrefix&amp;$A883&amp;IF($C883="","","."&amp;$C883&amp;"."&amp;$B883)&amp;INDEX(VarEnd,MATCH($A883,VarKey,0))&amp;AG$5</f>
        <v/>
      </c>
      <c r="AH883" s="46">
        <f>MIN(AH853,AH$829*AH873)</f>
        <v/>
      </c>
      <c r="AI883" s="47">
        <f>MIN(AI853,AI$829*AI873)</f>
        <v/>
      </c>
      <c r="AJ883" s="47">
        <f>MIN(AJ853,AJ$829*AJ873)</f>
        <v/>
      </c>
      <c r="AK883" s="47">
        <f>MIN(AK853,AK$829*AK873)</f>
        <v/>
      </c>
      <c r="AL883" s="47">
        <f>MIN(AL853,AL$829*AL873)</f>
        <v/>
      </c>
      <c r="AM883" s="47">
        <f>MIN(AM853,AM$829*AM873)</f>
        <v/>
      </c>
      <c r="AN883" s="47">
        <f>MIN(AN853,AN$829*AN873)</f>
        <v/>
      </c>
      <c r="AO883" s="47">
        <f>MIN(AO853,AO$829*AO873)</f>
        <v/>
      </c>
      <c r="AP883" s="47">
        <f>MIN(AP853,AP$829*AP873)</f>
        <v/>
      </c>
      <c r="AQ883" s="47">
        <f>MIN(AQ853,AQ$829*AQ873)</f>
        <v/>
      </c>
      <c r="AR883" s="47">
        <f>MIN(AR853,AR$829*AR873)</f>
        <v/>
      </c>
      <c r="AS883" s="47">
        <f>MIN(AS853,AS$829*AS873)</f>
        <v/>
      </c>
      <c r="AT883" s="47">
        <f>MIN(AT853,AT$829*AT873)</f>
        <v/>
      </c>
      <c r="AU883" s="47">
        <f>MIN(AU853,AU$829*AU873)</f>
        <v/>
      </c>
      <c r="AV883" s="47">
        <f>MIN(AV853,AV$829*AV873)</f>
        <v/>
      </c>
      <c r="AW883" s="47">
        <f>MIN(AW853,AW$829*AW873)</f>
        <v/>
      </c>
      <c r="AX883" s="47">
        <f>MIN(AX853,AX$829*AX873)</f>
        <v/>
      </c>
      <c r="AY883" s="47">
        <f>MIN(AY853,AY$829*AY873)</f>
        <v/>
      </c>
      <c r="AZ883" s="47">
        <f>MIN(AZ853,AZ$829*AZ873)</f>
        <v/>
      </c>
      <c r="BA883" s="48">
        <f>FIRSTROUND(BA853,BA$829,BA873)</f>
        <v/>
      </c>
    </row>
    <row r="884" hidden="1" outlineLevel="1"/>
    <row r="885" hidden="1" outlineLevel="1">
      <c r="A885" s="14" t="inlineStr">
        <is>
          <t>space</t>
        </is>
      </c>
      <c r="B885" s="14" t="inlineStr">
        <is>
          <t>coa</t>
        </is>
      </c>
      <c r="C885" s="14" t="inlineStr">
        <is>
          <t>pow</t>
        </is>
      </c>
      <c r="D885" s="39" t="n"/>
      <c r="E885" s="39" t="n"/>
      <c r="F885" s="39" t="n"/>
      <c r="G885" s="39" t="n"/>
      <c r="H885" s="14">
        <f>INDEX(VarLab,MATCH($A885,VarKey,0))&amp;INDEX(MemLab,MATCH($C885&amp;"|"&amp;$B885,MemKey,0))</f>
        <v/>
      </c>
      <c r="I885" s="14">
        <f>INDEX(VarUnit,MATCH($A885,VarKey,0))</f>
        <v/>
      </c>
      <c r="J885" s="14">
        <f>INDEX(VarSrc,MATCH($A885,VarKey,0))</f>
        <v/>
      </c>
      <c r="K885" s="11">
        <f>CodePrefix&amp;$A885&amp;IF($C885="","","."&amp;$C885&amp;"."&amp;$B885)&amp;INDEX(VarEnd,MATCH($A885,VarKey,0))&amp;K$5</f>
        <v/>
      </c>
      <c r="L885" s="46">
        <f>(L845-L875)*L835</f>
        <v/>
      </c>
      <c r="M885" s="47">
        <f>(M845-M875)*M835</f>
        <v/>
      </c>
      <c r="N885" s="47">
        <f>(N845-N875)*N835</f>
        <v/>
      </c>
      <c r="O885" s="47">
        <f>(O845-O875)*O835</f>
        <v/>
      </c>
      <c r="P885" s="47">
        <f>(P845-P875)*P835</f>
        <v/>
      </c>
      <c r="Q885" s="47">
        <f>(Q845-Q875)*Q835</f>
        <v/>
      </c>
      <c r="R885" s="47">
        <f>(R845-R875)*R835</f>
        <v/>
      </c>
      <c r="S885" s="47">
        <f>(S845-S875)*S835</f>
        <v/>
      </c>
      <c r="T885" s="47">
        <f>(T845-T875)*T835</f>
        <v/>
      </c>
      <c r="U885" s="47">
        <f>(U845-U875)*U835</f>
        <v/>
      </c>
      <c r="V885" s="47">
        <f>(V845-V875)*V835</f>
        <v/>
      </c>
      <c r="W885" s="47">
        <f>(W845-W875)*W835</f>
        <v/>
      </c>
      <c r="X885" s="47">
        <f>(X845-X875)*X835</f>
        <v/>
      </c>
      <c r="Y885" s="47">
        <f>(Y845-Y875)*Y835</f>
        <v/>
      </c>
      <c r="Z885" s="47">
        <f>(Z845-Z875)*Z835</f>
        <v/>
      </c>
      <c r="AA885" s="47">
        <f>(AA845-AA875)*AA835</f>
        <v/>
      </c>
      <c r="AB885" s="47">
        <f>(AB845-AB875)*AB835</f>
        <v/>
      </c>
      <c r="AC885" s="47">
        <f>(AC845-AC875)*AC835</f>
        <v/>
      </c>
      <c r="AD885" s="47">
        <f>(AD845-AD875)*AD835</f>
        <v/>
      </c>
      <c r="AE885" s="48">
        <f>SPACE(AE845,AE875,AE835)</f>
        <v/>
      </c>
      <c r="AG885" s="11">
        <f>CodePrefix&amp;$A885&amp;IF($C885="","","."&amp;$C885&amp;"."&amp;$B885)&amp;INDEX(VarEnd,MATCH($A885,VarKey,0))&amp;AG$5</f>
        <v/>
      </c>
      <c r="AH885" s="46">
        <f>(AH845-AH875)*AH835</f>
        <v/>
      </c>
      <c r="AI885" s="47">
        <f>(AI845-AI875)*AI835</f>
        <v/>
      </c>
      <c r="AJ885" s="47">
        <f>(AJ845-AJ875)*AJ835</f>
        <v/>
      </c>
      <c r="AK885" s="47">
        <f>(AK845-AK875)*AK835</f>
        <v/>
      </c>
      <c r="AL885" s="47">
        <f>(AL845-AL875)*AL835</f>
        <v/>
      </c>
      <c r="AM885" s="47">
        <f>(AM845-AM875)*AM835</f>
        <v/>
      </c>
      <c r="AN885" s="47">
        <f>(AN845-AN875)*AN835</f>
        <v/>
      </c>
      <c r="AO885" s="47">
        <f>(AO845-AO875)*AO835</f>
        <v/>
      </c>
      <c r="AP885" s="47">
        <f>(AP845-AP875)*AP835</f>
        <v/>
      </c>
      <c r="AQ885" s="47">
        <f>(AQ845-AQ875)*AQ835</f>
        <v/>
      </c>
      <c r="AR885" s="47">
        <f>(AR845-AR875)*AR835</f>
        <v/>
      </c>
      <c r="AS885" s="47">
        <f>(AS845-AS875)*AS835</f>
        <v/>
      </c>
      <c r="AT885" s="47">
        <f>(AT845-AT875)*AT835</f>
        <v/>
      </c>
      <c r="AU885" s="47">
        <f>(AU845-AU875)*AU835</f>
        <v/>
      </c>
      <c r="AV885" s="47">
        <f>(AV845-AV875)*AV835</f>
        <v/>
      </c>
      <c r="AW885" s="47">
        <f>(AW845-AW875)*AW835</f>
        <v/>
      </c>
      <c r="AX885" s="47">
        <f>(AX845-AX875)*AX835</f>
        <v/>
      </c>
      <c r="AY885" s="47">
        <f>(AY845-AY875)*AY835</f>
        <v/>
      </c>
      <c r="AZ885" s="47">
        <f>(AZ845-AZ875)*AZ835</f>
        <v/>
      </c>
      <c r="BA885" s="48">
        <f>SPACE(BA845,BA875,BA835)</f>
        <v/>
      </c>
    </row>
    <row r="886" hidden="1" outlineLevel="1">
      <c r="A886" s="14" t="inlineStr">
        <is>
          <t>space</t>
        </is>
      </c>
      <c r="B886" s="14" t="inlineStr">
        <is>
          <t>nga</t>
        </is>
      </c>
      <c r="C886" s="14" t="inlineStr">
        <is>
          <t>pow</t>
        </is>
      </c>
      <c r="D886" s="39" t="n"/>
      <c r="E886" s="39" t="n"/>
      <c r="F886" s="39" t="n"/>
      <c r="G886" s="39" t="n"/>
      <c r="H886" s="14">
        <f>INDEX(VarLab,MATCH($A886,VarKey,0))&amp;INDEX(MemLab,MATCH($C886&amp;"|"&amp;$B886,MemKey,0))</f>
        <v/>
      </c>
      <c r="I886" s="14">
        <f>INDEX(VarUnit,MATCH($A886,VarKey,0))</f>
        <v/>
      </c>
      <c r="J886" s="14">
        <f>INDEX(VarSrc,MATCH($A886,VarKey,0))</f>
        <v/>
      </c>
      <c r="K886" s="11">
        <f>CodePrefix&amp;$A886&amp;IF($C886="","","."&amp;$C886&amp;"."&amp;$B886)&amp;INDEX(VarEnd,MATCH($A886,VarKey,0))&amp;K$5</f>
        <v/>
      </c>
      <c r="L886" s="46">
        <f>(L846-L876)*L836</f>
        <v/>
      </c>
      <c r="M886" s="47">
        <f>(M846-M876)*M836</f>
        <v/>
      </c>
      <c r="N886" s="47">
        <f>(N846-N876)*N836</f>
        <v/>
      </c>
      <c r="O886" s="47">
        <f>(O846-O876)*O836</f>
        <v/>
      </c>
      <c r="P886" s="47">
        <f>(P846-P876)*P836</f>
        <v/>
      </c>
      <c r="Q886" s="47">
        <f>(Q846-Q876)*Q836</f>
        <v/>
      </c>
      <c r="R886" s="47">
        <f>(R846-R876)*R836</f>
        <v/>
      </c>
      <c r="S886" s="47">
        <f>(S846-S876)*S836</f>
        <v/>
      </c>
      <c r="T886" s="47">
        <f>(T846-T876)*T836</f>
        <v/>
      </c>
      <c r="U886" s="47">
        <f>(U846-U876)*U836</f>
        <v/>
      </c>
      <c r="V886" s="47">
        <f>(V846-V876)*V836</f>
        <v/>
      </c>
      <c r="W886" s="47">
        <f>(W846-W876)*W836</f>
        <v/>
      </c>
      <c r="X886" s="47">
        <f>(X846-X876)*X836</f>
        <v/>
      </c>
      <c r="Y886" s="47">
        <f>(Y846-Y876)*Y836</f>
        <v/>
      </c>
      <c r="Z886" s="47">
        <f>(Z846-Z876)*Z836</f>
        <v/>
      </c>
      <c r="AA886" s="47">
        <f>(AA846-AA876)*AA836</f>
        <v/>
      </c>
      <c r="AB886" s="47">
        <f>(AB846-AB876)*AB836</f>
        <v/>
      </c>
      <c r="AC886" s="47">
        <f>(AC846-AC876)*AC836</f>
        <v/>
      </c>
      <c r="AD886" s="47">
        <f>(AD846-AD876)*AD836</f>
        <v/>
      </c>
      <c r="AE886" s="48">
        <f>SPACE(AE846,AE876,AE836)</f>
        <v/>
      </c>
      <c r="AG886" s="11">
        <f>CodePrefix&amp;$A886&amp;IF($C886="","","."&amp;$C886&amp;"."&amp;$B886)&amp;INDEX(VarEnd,MATCH($A886,VarKey,0))&amp;AG$5</f>
        <v/>
      </c>
      <c r="AH886" s="46">
        <f>(AH846-AH876)*AH836</f>
        <v/>
      </c>
      <c r="AI886" s="47">
        <f>(AI846-AI876)*AI836</f>
        <v/>
      </c>
      <c r="AJ886" s="47">
        <f>(AJ846-AJ876)*AJ836</f>
        <v/>
      </c>
      <c r="AK886" s="47">
        <f>(AK846-AK876)*AK836</f>
        <v/>
      </c>
      <c r="AL886" s="47">
        <f>(AL846-AL876)*AL836</f>
        <v/>
      </c>
      <c r="AM886" s="47">
        <f>(AM846-AM876)*AM836</f>
        <v/>
      </c>
      <c r="AN886" s="47">
        <f>(AN846-AN876)*AN836</f>
        <v/>
      </c>
      <c r="AO886" s="47">
        <f>(AO846-AO876)*AO836</f>
        <v/>
      </c>
      <c r="AP886" s="47">
        <f>(AP846-AP876)*AP836</f>
        <v/>
      </c>
      <c r="AQ886" s="47">
        <f>(AQ846-AQ876)*AQ836</f>
        <v/>
      </c>
      <c r="AR886" s="47">
        <f>(AR846-AR876)*AR836</f>
        <v/>
      </c>
      <c r="AS886" s="47">
        <f>(AS846-AS876)*AS836</f>
        <v/>
      </c>
      <c r="AT886" s="47">
        <f>(AT846-AT876)*AT836</f>
        <v/>
      </c>
      <c r="AU886" s="47">
        <f>(AU846-AU876)*AU836</f>
        <v/>
      </c>
      <c r="AV886" s="47">
        <f>(AV846-AV876)*AV836</f>
        <v/>
      </c>
      <c r="AW886" s="47">
        <f>(AW846-AW876)*AW836</f>
        <v/>
      </c>
      <c r="AX886" s="47">
        <f>(AX846-AX876)*AX836</f>
        <v/>
      </c>
      <c r="AY886" s="47">
        <f>(AY846-AY876)*AY836</f>
        <v/>
      </c>
      <c r="AZ886" s="47">
        <f>(AZ846-AZ876)*AZ836</f>
        <v/>
      </c>
      <c r="BA886" s="48">
        <f>SPACE(BA846,BA876,BA836)</f>
        <v/>
      </c>
    </row>
    <row r="887" hidden="1" outlineLevel="1">
      <c r="A887" s="14" t="inlineStr">
        <is>
          <t>space</t>
        </is>
      </c>
      <c r="B887" s="14" t="inlineStr">
        <is>
          <t>oop</t>
        </is>
      </c>
      <c r="C887" s="14" t="inlineStr">
        <is>
          <t>pow</t>
        </is>
      </c>
      <c r="D887" s="39" t="n"/>
      <c r="E887" s="39" t="n"/>
      <c r="F887" s="39" t="n"/>
      <c r="G887" s="39" t="n"/>
      <c r="H887" s="14">
        <f>INDEX(VarLab,MATCH($A887,VarKey,0))&amp;INDEX(MemLab,MATCH($C887&amp;"|"&amp;$B887,MemKey,0))</f>
        <v/>
      </c>
      <c r="I887" s="14">
        <f>INDEX(VarUnit,MATCH($A887,VarKey,0))</f>
        <v/>
      </c>
      <c r="J887" s="14">
        <f>INDEX(VarSrc,MATCH($A887,VarKey,0))</f>
        <v/>
      </c>
      <c r="K887" s="11">
        <f>CodePrefix&amp;$A887&amp;IF($C887="","","."&amp;$C887&amp;"."&amp;$B887)&amp;INDEX(VarEnd,MATCH($A887,VarKey,0))&amp;K$5</f>
        <v/>
      </c>
      <c r="L887" s="46">
        <f>(L847-L877)*L837</f>
        <v/>
      </c>
      <c r="M887" s="47">
        <f>(M847-M877)*M837</f>
        <v/>
      </c>
      <c r="N887" s="47">
        <f>(N847-N877)*N837</f>
        <v/>
      </c>
      <c r="O887" s="47">
        <f>(O847-O877)*O837</f>
        <v/>
      </c>
      <c r="P887" s="47">
        <f>(P847-P877)*P837</f>
        <v/>
      </c>
      <c r="Q887" s="47">
        <f>(Q847-Q877)*Q837</f>
        <v/>
      </c>
      <c r="R887" s="47">
        <f>(R847-R877)*R837</f>
        <v/>
      </c>
      <c r="S887" s="47">
        <f>(S847-S877)*S837</f>
        <v/>
      </c>
      <c r="T887" s="47">
        <f>(T847-T877)*T837</f>
        <v/>
      </c>
      <c r="U887" s="47">
        <f>(U847-U877)*U837</f>
        <v/>
      </c>
      <c r="V887" s="47">
        <f>(V847-V877)*V837</f>
        <v/>
      </c>
      <c r="W887" s="47">
        <f>(W847-W877)*W837</f>
        <v/>
      </c>
      <c r="X887" s="47">
        <f>(X847-X877)*X837</f>
        <v/>
      </c>
      <c r="Y887" s="47">
        <f>(Y847-Y877)*Y837</f>
        <v/>
      </c>
      <c r="Z887" s="47">
        <f>(Z847-Z877)*Z837</f>
        <v/>
      </c>
      <c r="AA887" s="47">
        <f>(AA847-AA877)*AA837</f>
        <v/>
      </c>
      <c r="AB887" s="47">
        <f>(AB847-AB877)*AB837</f>
        <v/>
      </c>
      <c r="AC887" s="47">
        <f>(AC847-AC877)*AC837</f>
        <v/>
      </c>
      <c r="AD887" s="47">
        <f>(AD847-AD877)*AD837</f>
        <v/>
      </c>
      <c r="AE887" s="48">
        <f>SPACE(AE847,AE877,AE837)</f>
        <v/>
      </c>
      <c r="AG887" s="11">
        <f>CodePrefix&amp;$A887&amp;IF($C887="","","."&amp;$C887&amp;"."&amp;$B887)&amp;INDEX(VarEnd,MATCH($A887,VarKey,0))&amp;AG$5</f>
        <v/>
      </c>
      <c r="AH887" s="46">
        <f>(AH847-AH877)*AH837</f>
        <v/>
      </c>
      <c r="AI887" s="47">
        <f>(AI847-AI877)*AI837</f>
        <v/>
      </c>
      <c r="AJ887" s="47">
        <f>(AJ847-AJ877)*AJ837</f>
        <v/>
      </c>
      <c r="AK887" s="47">
        <f>(AK847-AK877)*AK837</f>
        <v/>
      </c>
      <c r="AL887" s="47">
        <f>(AL847-AL877)*AL837</f>
        <v/>
      </c>
      <c r="AM887" s="47">
        <f>(AM847-AM877)*AM837</f>
        <v/>
      </c>
      <c r="AN887" s="47">
        <f>(AN847-AN877)*AN837</f>
        <v/>
      </c>
      <c r="AO887" s="47">
        <f>(AO847-AO877)*AO837</f>
        <v/>
      </c>
      <c r="AP887" s="47">
        <f>(AP847-AP877)*AP837</f>
        <v/>
      </c>
      <c r="AQ887" s="47">
        <f>(AQ847-AQ877)*AQ837</f>
        <v/>
      </c>
      <c r="AR887" s="47">
        <f>(AR847-AR877)*AR837</f>
        <v/>
      </c>
      <c r="AS887" s="47">
        <f>(AS847-AS877)*AS837</f>
        <v/>
      </c>
      <c r="AT887" s="47">
        <f>(AT847-AT877)*AT837</f>
        <v/>
      </c>
      <c r="AU887" s="47">
        <f>(AU847-AU877)*AU837</f>
        <v/>
      </c>
      <c r="AV887" s="47">
        <f>(AV847-AV877)*AV837</f>
        <v/>
      </c>
      <c r="AW887" s="47">
        <f>(AW847-AW877)*AW837</f>
        <v/>
      </c>
      <c r="AX887" s="47">
        <f>(AX847-AX877)*AX837</f>
        <v/>
      </c>
      <c r="AY887" s="47">
        <f>(AY847-AY877)*AY837</f>
        <v/>
      </c>
      <c r="AZ887" s="47">
        <f>(AZ847-AZ877)*AZ837</f>
        <v/>
      </c>
      <c r="BA887" s="48">
        <f>SPACE(BA847,BA877,BA837)</f>
        <v/>
      </c>
    </row>
    <row r="888" hidden="1" outlineLevel="1">
      <c r="A888" s="14" t="inlineStr">
        <is>
          <t>space</t>
        </is>
      </c>
      <c r="B888" s="14" t="inlineStr">
        <is>
          <t>nuc</t>
        </is>
      </c>
      <c r="C888" s="14" t="inlineStr">
        <is>
          <t>pow</t>
        </is>
      </c>
      <c r="D888" s="39" t="n"/>
      <c r="E888" s="39" t="n"/>
      <c r="F888" s="39" t="n"/>
      <c r="G888" s="39" t="n"/>
      <c r="H888" s="14">
        <f>INDEX(VarLab,MATCH($A888,VarKey,0))&amp;INDEX(MemLab,MATCH($C888&amp;"|"&amp;$B888,MemKey,0))</f>
        <v/>
      </c>
      <c r="I888" s="14">
        <f>INDEX(VarUnit,MATCH($A888,VarKey,0))</f>
        <v/>
      </c>
      <c r="J888" s="14">
        <f>INDEX(VarSrc,MATCH($A888,VarKey,0))</f>
        <v/>
      </c>
      <c r="K888" s="11">
        <f>CodePrefix&amp;$A888&amp;IF($C888="","","."&amp;$C888&amp;"."&amp;$B888)&amp;INDEX(VarEnd,MATCH($A888,VarKey,0))&amp;K$5</f>
        <v/>
      </c>
      <c r="L888" s="46">
        <f>(L848-L878)*L838</f>
        <v/>
      </c>
      <c r="M888" s="47">
        <f>(M848-M878)*M838</f>
        <v/>
      </c>
      <c r="N888" s="47">
        <f>(N848-N878)*N838</f>
        <v/>
      </c>
      <c r="O888" s="47">
        <f>(O848-O878)*O838</f>
        <v/>
      </c>
      <c r="P888" s="47">
        <f>(P848-P878)*P838</f>
        <v/>
      </c>
      <c r="Q888" s="47">
        <f>(Q848-Q878)*Q838</f>
        <v/>
      </c>
      <c r="R888" s="47">
        <f>(R848-R878)*R838</f>
        <v/>
      </c>
      <c r="S888" s="47">
        <f>(S848-S878)*S838</f>
        <v/>
      </c>
      <c r="T888" s="47">
        <f>(T848-T878)*T838</f>
        <v/>
      </c>
      <c r="U888" s="47">
        <f>(U848-U878)*U838</f>
        <v/>
      </c>
      <c r="V888" s="47">
        <f>(V848-V878)*V838</f>
        <v/>
      </c>
      <c r="W888" s="47">
        <f>(W848-W878)*W838</f>
        <v/>
      </c>
      <c r="X888" s="47">
        <f>(X848-X878)*X838</f>
        <v/>
      </c>
      <c r="Y888" s="47">
        <f>(Y848-Y878)*Y838</f>
        <v/>
      </c>
      <c r="Z888" s="47">
        <f>(Z848-Z878)*Z838</f>
        <v/>
      </c>
      <c r="AA888" s="47">
        <f>(AA848-AA878)*AA838</f>
        <v/>
      </c>
      <c r="AB888" s="47">
        <f>(AB848-AB878)*AB838</f>
        <v/>
      </c>
      <c r="AC888" s="47">
        <f>(AC848-AC878)*AC838</f>
        <v/>
      </c>
      <c r="AD888" s="47">
        <f>(AD848-AD878)*AD838</f>
        <v/>
      </c>
      <c r="AE888" s="48">
        <f>SPACE(AE848,AE878,AE838)</f>
        <v/>
      </c>
      <c r="AG888" s="11">
        <f>CodePrefix&amp;$A888&amp;IF($C888="","","."&amp;$C888&amp;"."&amp;$B888)&amp;INDEX(VarEnd,MATCH($A888,VarKey,0))&amp;AG$5</f>
        <v/>
      </c>
      <c r="AH888" s="46">
        <f>(AH848-AH878)*AH838</f>
        <v/>
      </c>
      <c r="AI888" s="47">
        <f>(AI848-AI878)*AI838</f>
        <v/>
      </c>
      <c r="AJ888" s="47">
        <f>(AJ848-AJ878)*AJ838</f>
        <v/>
      </c>
      <c r="AK888" s="47">
        <f>(AK848-AK878)*AK838</f>
        <v/>
      </c>
      <c r="AL888" s="47">
        <f>(AL848-AL878)*AL838</f>
        <v/>
      </c>
      <c r="AM888" s="47">
        <f>(AM848-AM878)*AM838</f>
        <v/>
      </c>
      <c r="AN888" s="47">
        <f>(AN848-AN878)*AN838</f>
        <v/>
      </c>
      <c r="AO888" s="47">
        <f>(AO848-AO878)*AO838</f>
        <v/>
      </c>
      <c r="AP888" s="47">
        <f>(AP848-AP878)*AP838</f>
        <v/>
      </c>
      <c r="AQ888" s="47">
        <f>(AQ848-AQ878)*AQ838</f>
        <v/>
      </c>
      <c r="AR888" s="47">
        <f>(AR848-AR878)*AR838</f>
        <v/>
      </c>
      <c r="AS888" s="47">
        <f>(AS848-AS878)*AS838</f>
        <v/>
      </c>
      <c r="AT888" s="47">
        <f>(AT848-AT878)*AT838</f>
        <v/>
      </c>
      <c r="AU888" s="47">
        <f>(AU848-AU878)*AU838</f>
        <v/>
      </c>
      <c r="AV888" s="47">
        <f>(AV848-AV878)*AV838</f>
        <v/>
      </c>
      <c r="AW888" s="47">
        <f>(AW848-AW878)*AW838</f>
        <v/>
      </c>
      <c r="AX888" s="47">
        <f>(AX848-AX878)*AX838</f>
        <v/>
      </c>
      <c r="AY888" s="47">
        <f>(AY848-AY878)*AY838</f>
        <v/>
      </c>
      <c r="AZ888" s="47">
        <f>(AZ848-AZ878)*AZ838</f>
        <v/>
      </c>
      <c r="BA888" s="48">
        <f>SPACE(BA848,BA878,BA838)</f>
        <v/>
      </c>
    </row>
    <row r="889" hidden="1" outlineLevel="1">
      <c r="A889" s="14" t="inlineStr">
        <is>
          <t>space</t>
        </is>
      </c>
      <c r="B889" s="14" t="inlineStr">
        <is>
          <t>wnd</t>
        </is>
      </c>
      <c r="C889" s="14" t="inlineStr">
        <is>
          <t>pow</t>
        </is>
      </c>
      <c r="D889" s="39" t="n"/>
      <c r="E889" s="39" t="n"/>
      <c r="F889" s="39" t="n"/>
      <c r="G889" s="39" t="n"/>
      <c r="H889" s="14">
        <f>INDEX(VarLab,MATCH($A889,VarKey,0))&amp;INDEX(MemLab,MATCH($C889&amp;"|"&amp;$B889,MemKey,0))</f>
        <v/>
      </c>
      <c r="I889" s="14">
        <f>INDEX(VarUnit,MATCH($A889,VarKey,0))</f>
        <v/>
      </c>
      <c r="J889" s="14">
        <f>INDEX(VarSrc,MATCH($A889,VarKey,0))</f>
        <v/>
      </c>
      <c r="K889" s="11">
        <f>CodePrefix&amp;$A889&amp;IF($C889="","","."&amp;$C889&amp;"."&amp;$B889)&amp;INDEX(VarEnd,MATCH($A889,VarKey,0))&amp;K$5</f>
        <v/>
      </c>
      <c r="L889" s="46">
        <f>(L849-L879)*L839</f>
        <v/>
      </c>
      <c r="M889" s="47">
        <f>(M849-M879)*M839</f>
        <v/>
      </c>
      <c r="N889" s="47">
        <f>(N849-N879)*N839</f>
        <v/>
      </c>
      <c r="O889" s="47">
        <f>(O849-O879)*O839</f>
        <v/>
      </c>
      <c r="P889" s="47">
        <f>(P849-P879)*P839</f>
        <v/>
      </c>
      <c r="Q889" s="47">
        <f>(Q849-Q879)*Q839</f>
        <v/>
      </c>
      <c r="R889" s="47">
        <f>(R849-R879)*R839</f>
        <v/>
      </c>
      <c r="S889" s="47">
        <f>(S849-S879)*S839</f>
        <v/>
      </c>
      <c r="T889" s="47">
        <f>(T849-T879)*T839</f>
        <v/>
      </c>
      <c r="U889" s="47">
        <f>(U849-U879)*U839</f>
        <v/>
      </c>
      <c r="V889" s="47">
        <f>(V849-V879)*V839</f>
        <v/>
      </c>
      <c r="W889" s="47">
        <f>(W849-W879)*W839</f>
        <v/>
      </c>
      <c r="X889" s="47">
        <f>(X849-X879)*X839</f>
        <v/>
      </c>
      <c r="Y889" s="47">
        <f>(Y849-Y879)*Y839</f>
        <v/>
      </c>
      <c r="Z889" s="47">
        <f>(Z849-Z879)*Z839</f>
        <v/>
      </c>
      <c r="AA889" s="47">
        <f>(AA849-AA879)*AA839</f>
        <v/>
      </c>
      <c r="AB889" s="47">
        <f>(AB849-AB879)*AB839</f>
        <v/>
      </c>
      <c r="AC889" s="47">
        <f>(AC849-AC879)*AC839</f>
        <v/>
      </c>
      <c r="AD889" s="47">
        <f>(AD849-AD879)*AD839</f>
        <v/>
      </c>
      <c r="AE889" s="48">
        <f>SPACE(AE849,AE879,AE839)</f>
        <v/>
      </c>
      <c r="AG889" s="11">
        <f>CodePrefix&amp;$A889&amp;IF($C889="","","."&amp;$C889&amp;"."&amp;$B889)&amp;INDEX(VarEnd,MATCH($A889,VarKey,0))&amp;AG$5</f>
        <v/>
      </c>
      <c r="AH889" s="46">
        <f>(AH849-AH879)*AH839</f>
        <v/>
      </c>
      <c r="AI889" s="47">
        <f>(AI849-AI879)*AI839</f>
        <v/>
      </c>
      <c r="AJ889" s="47">
        <f>(AJ849-AJ879)*AJ839</f>
        <v/>
      </c>
      <c r="AK889" s="47">
        <f>(AK849-AK879)*AK839</f>
        <v/>
      </c>
      <c r="AL889" s="47">
        <f>(AL849-AL879)*AL839</f>
        <v/>
      </c>
      <c r="AM889" s="47">
        <f>(AM849-AM879)*AM839</f>
        <v/>
      </c>
      <c r="AN889" s="47">
        <f>(AN849-AN879)*AN839</f>
        <v/>
      </c>
      <c r="AO889" s="47">
        <f>(AO849-AO879)*AO839</f>
        <v/>
      </c>
      <c r="AP889" s="47">
        <f>(AP849-AP879)*AP839</f>
        <v/>
      </c>
      <c r="AQ889" s="47">
        <f>(AQ849-AQ879)*AQ839</f>
        <v/>
      </c>
      <c r="AR889" s="47">
        <f>(AR849-AR879)*AR839</f>
        <v/>
      </c>
      <c r="AS889" s="47">
        <f>(AS849-AS879)*AS839</f>
        <v/>
      </c>
      <c r="AT889" s="47">
        <f>(AT849-AT879)*AT839</f>
        <v/>
      </c>
      <c r="AU889" s="47">
        <f>(AU849-AU879)*AU839</f>
        <v/>
      </c>
      <c r="AV889" s="47">
        <f>(AV849-AV879)*AV839</f>
        <v/>
      </c>
      <c r="AW889" s="47">
        <f>(AW849-AW879)*AW839</f>
        <v/>
      </c>
      <c r="AX889" s="47">
        <f>(AX849-AX879)*AX839</f>
        <v/>
      </c>
      <c r="AY889" s="47">
        <f>(AY849-AY879)*AY839</f>
        <v/>
      </c>
      <c r="AZ889" s="47">
        <f>(AZ849-AZ879)*AZ839</f>
        <v/>
      </c>
      <c r="BA889" s="48">
        <f>SPACE(BA849,BA879,BA839)</f>
        <v/>
      </c>
    </row>
    <row r="890" hidden="1" outlineLevel="1">
      <c r="A890" s="14" t="inlineStr">
        <is>
          <t>space</t>
        </is>
      </c>
      <c r="B890" s="14" t="inlineStr">
        <is>
          <t>sol</t>
        </is>
      </c>
      <c r="C890" s="14" t="inlineStr">
        <is>
          <t>pow</t>
        </is>
      </c>
      <c r="D890" s="39" t="n"/>
      <c r="E890" s="39" t="n"/>
      <c r="F890" s="39" t="n"/>
      <c r="G890" s="39" t="n"/>
      <c r="H890" s="14">
        <f>INDEX(VarLab,MATCH($A890,VarKey,0))&amp;INDEX(MemLab,MATCH($C890&amp;"|"&amp;$B890,MemKey,0))</f>
        <v/>
      </c>
      <c r="I890" s="14">
        <f>INDEX(VarUnit,MATCH($A890,VarKey,0))</f>
        <v/>
      </c>
      <c r="J890" s="14">
        <f>INDEX(VarSrc,MATCH($A890,VarKey,0))</f>
        <v/>
      </c>
      <c r="K890" s="11">
        <f>CodePrefix&amp;$A890&amp;IF($C890="","","."&amp;$C890&amp;"."&amp;$B890)&amp;INDEX(VarEnd,MATCH($A890,VarKey,0))&amp;K$5</f>
        <v/>
      </c>
      <c r="L890" s="46">
        <f>(L850-L880)*L840</f>
        <v/>
      </c>
      <c r="M890" s="47">
        <f>(M850-M880)*M840</f>
        <v/>
      </c>
      <c r="N890" s="47">
        <f>(N850-N880)*N840</f>
        <v/>
      </c>
      <c r="O890" s="47">
        <f>(O850-O880)*O840</f>
        <v/>
      </c>
      <c r="P890" s="47">
        <f>(P850-P880)*P840</f>
        <v/>
      </c>
      <c r="Q890" s="47">
        <f>(Q850-Q880)*Q840</f>
        <v/>
      </c>
      <c r="R890" s="47">
        <f>(R850-R880)*R840</f>
        <v/>
      </c>
      <c r="S890" s="47">
        <f>(S850-S880)*S840</f>
        <v/>
      </c>
      <c r="T890" s="47">
        <f>(T850-T880)*T840</f>
        <v/>
      </c>
      <c r="U890" s="47">
        <f>(U850-U880)*U840</f>
        <v/>
      </c>
      <c r="V890" s="47">
        <f>(V850-V880)*V840</f>
        <v/>
      </c>
      <c r="W890" s="47">
        <f>(W850-W880)*W840</f>
        <v/>
      </c>
      <c r="X890" s="47">
        <f>(X850-X880)*X840</f>
        <v/>
      </c>
      <c r="Y890" s="47">
        <f>(Y850-Y880)*Y840</f>
        <v/>
      </c>
      <c r="Z890" s="47">
        <f>(Z850-Z880)*Z840</f>
        <v/>
      </c>
      <c r="AA890" s="47">
        <f>(AA850-AA880)*AA840</f>
        <v/>
      </c>
      <c r="AB890" s="47">
        <f>(AB850-AB880)*AB840</f>
        <v/>
      </c>
      <c r="AC890" s="47">
        <f>(AC850-AC880)*AC840</f>
        <v/>
      </c>
      <c r="AD890" s="47">
        <f>(AD850-AD880)*AD840</f>
        <v/>
      </c>
      <c r="AE890" s="48">
        <f>SPACE(AE850,AE880,AE840)</f>
        <v/>
      </c>
      <c r="AG890" s="11">
        <f>CodePrefix&amp;$A890&amp;IF($C890="","","."&amp;$C890&amp;"."&amp;$B890)&amp;INDEX(VarEnd,MATCH($A890,VarKey,0))&amp;AG$5</f>
        <v/>
      </c>
      <c r="AH890" s="46">
        <f>(AH850-AH880)*AH840</f>
        <v/>
      </c>
      <c r="AI890" s="47">
        <f>(AI850-AI880)*AI840</f>
        <v/>
      </c>
      <c r="AJ890" s="47">
        <f>(AJ850-AJ880)*AJ840</f>
        <v/>
      </c>
      <c r="AK890" s="47">
        <f>(AK850-AK880)*AK840</f>
        <v/>
      </c>
      <c r="AL890" s="47">
        <f>(AL850-AL880)*AL840</f>
        <v/>
      </c>
      <c r="AM890" s="47">
        <f>(AM850-AM880)*AM840</f>
        <v/>
      </c>
      <c r="AN890" s="47">
        <f>(AN850-AN880)*AN840</f>
        <v/>
      </c>
      <c r="AO890" s="47">
        <f>(AO850-AO880)*AO840</f>
        <v/>
      </c>
      <c r="AP890" s="47">
        <f>(AP850-AP880)*AP840</f>
        <v/>
      </c>
      <c r="AQ890" s="47">
        <f>(AQ850-AQ880)*AQ840</f>
        <v/>
      </c>
      <c r="AR890" s="47">
        <f>(AR850-AR880)*AR840</f>
        <v/>
      </c>
      <c r="AS890" s="47">
        <f>(AS850-AS880)*AS840</f>
        <v/>
      </c>
      <c r="AT890" s="47">
        <f>(AT850-AT880)*AT840</f>
        <v/>
      </c>
      <c r="AU890" s="47">
        <f>(AU850-AU880)*AU840</f>
        <v/>
      </c>
      <c r="AV890" s="47">
        <f>(AV850-AV880)*AV840</f>
        <v/>
      </c>
      <c r="AW890" s="47">
        <f>(AW850-AW880)*AW840</f>
        <v/>
      </c>
      <c r="AX890" s="47">
        <f>(AX850-AX880)*AX840</f>
        <v/>
      </c>
      <c r="AY890" s="47">
        <f>(AY850-AY880)*AY840</f>
        <v/>
      </c>
      <c r="AZ890" s="47">
        <f>(AZ850-AZ880)*AZ840</f>
        <v/>
      </c>
      <c r="BA890" s="48">
        <f>SPACE(BA850,BA880,BA840)</f>
        <v/>
      </c>
    </row>
    <row r="891" hidden="1" outlineLevel="1">
      <c r="A891" s="14" t="inlineStr">
        <is>
          <t>space</t>
        </is>
      </c>
      <c r="B891" s="14" t="inlineStr">
        <is>
          <t>hyd</t>
        </is>
      </c>
      <c r="C891" s="14" t="inlineStr">
        <is>
          <t>pow</t>
        </is>
      </c>
      <c r="D891" s="39" t="n"/>
      <c r="E891" s="39" t="n"/>
      <c r="F891" s="39" t="n"/>
      <c r="G891" s="39" t="n"/>
      <c r="H891" s="14">
        <f>INDEX(VarLab,MATCH($A891,VarKey,0))&amp;INDEX(MemLab,MATCH($C891&amp;"|"&amp;$B891,MemKey,0))</f>
        <v/>
      </c>
      <c r="I891" s="14">
        <f>INDEX(VarUnit,MATCH($A891,VarKey,0))</f>
        <v/>
      </c>
      <c r="J891" s="14">
        <f>INDEX(VarSrc,MATCH($A891,VarKey,0))</f>
        <v/>
      </c>
      <c r="K891" s="11">
        <f>CodePrefix&amp;$A891&amp;IF($C891="","","."&amp;$C891&amp;"."&amp;$B891)&amp;INDEX(VarEnd,MATCH($A891,VarKey,0))&amp;K$5</f>
        <v/>
      </c>
      <c r="L891" s="46">
        <f>(L851-L881)*L841</f>
        <v/>
      </c>
      <c r="M891" s="47">
        <f>(M851-M881)*M841</f>
        <v/>
      </c>
      <c r="N891" s="47">
        <f>(N851-N881)*N841</f>
        <v/>
      </c>
      <c r="O891" s="47">
        <f>(O851-O881)*O841</f>
        <v/>
      </c>
      <c r="P891" s="47">
        <f>(P851-P881)*P841</f>
        <v/>
      </c>
      <c r="Q891" s="47">
        <f>(Q851-Q881)*Q841</f>
        <v/>
      </c>
      <c r="R891" s="47">
        <f>(R851-R881)*R841</f>
        <v/>
      </c>
      <c r="S891" s="47">
        <f>(S851-S881)*S841</f>
        <v/>
      </c>
      <c r="T891" s="47">
        <f>(T851-T881)*T841</f>
        <v/>
      </c>
      <c r="U891" s="47">
        <f>(U851-U881)*U841</f>
        <v/>
      </c>
      <c r="V891" s="47">
        <f>(V851-V881)*V841</f>
        <v/>
      </c>
      <c r="W891" s="47">
        <f>(W851-W881)*W841</f>
        <v/>
      </c>
      <c r="X891" s="47">
        <f>(X851-X881)*X841</f>
        <v/>
      </c>
      <c r="Y891" s="47">
        <f>(Y851-Y881)*Y841</f>
        <v/>
      </c>
      <c r="Z891" s="47">
        <f>(Z851-Z881)*Z841</f>
        <v/>
      </c>
      <c r="AA891" s="47">
        <f>(AA851-AA881)*AA841</f>
        <v/>
      </c>
      <c r="AB891" s="47">
        <f>(AB851-AB881)*AB841</f>
        <v/>
      </c>
      <c r="AC891" s="47">
        <f>(AC851-AC881)*AC841</f>
        <v/>
      </c>
      <c r="AD891" s="47">
        <f>(AD851-AD881)*AD841</f>
        <v/>
      </c>
      <c r="AE891" s="48">
        <f>SPACE(AE851,AE881,AE841)</f>
        <v/>
      </c>
      <c r="AG891" s="11">
        <f>CodePrefix&amp;$A891&amp;IF($C891="","","."&amp;$C891&amp;"."&amp;$B891)&amp;INDEX(VarEnd,MATCH($A891,VarKey,0))&amp;AG$5</f>
        <v/>
      </c>
      <c r="AH891" s="46">
        <f>(AH851-AH881)*AH841</f>
        <v/>
      </c>
      <c r="AI891" s="47">
        <f>(AI851-AI881)*AI841</f>
        <v/>
      </c>
      <c r="AJ891" s="47">
        <f>(AJ851-AJ881)*AJ841</f>
        <v/>
      </c>
      <c r="AK891" s="47">
        <f>(AK851-AK881)*AK841</f>
        <v/>
      </c>
      <c r="AL891" s="47">
        <f>(AL851-AL881)*AL841</f>
        <v/>
      </c>
      <c r="AM891" s="47">
        <f>(AM851-AM881)*AM841</f>
        <v/>
      </c>
      <c r="AN891" s="47">
        <f>(AN851-AN881)*AN841</f>
        <v/>
      </c>
      <c r="AO891" s="47">
        <f>(AO851-AO881)*AO841</f>
        <v/>
      </c>
      <c r="AP891" s="47">
        <f>(AP851-AP881)*AP841</f>
        <v/>
      </c>
      <c r="AQ891" s="47">
        <f>(AQ851-AQ881)*AQ841</f>
        <v/>
      </c>
      <c r="AR891" s="47">
        <f>(AR851-AR881)*AR841</f>
        <v/>
      </c>
      <c r="AS891" s="47">
        <f>(AS851-AS881)*AS841</f>
        <v/>
      </c>
      <c r="AT891" s="47">
        <f>(AT851-AT881)*AT841</f>
        <v/>
      </c>
      <c r="AU891" s="47">
        <f>(AU851-AU881)*AU841</f>
        <v/>
      </c>
      <c r="AV891" s="47">
        <f>(AV851-AV881)*AV841</f>
        <v/>
      </c>
      <c r="AW891" s="47">
        <f>(AW851-AW881)*AW841</f>
        <v/>
      </c>
      <c r="AX891" s="47">
        <f>(AX851-AX881)*AX841</f>
        <v/>
      </c>
      <c r="AY891" s="47">
        <f>(AY851-AY881)*AY841</f>
        <v/>
      </c>
      <c r="AZ891" s="47">
        <f>(AZ851-AZ881)*AZ841</f>
        <v/>
      </c>
      <c r="BA891" s="48">
        <f>SPACE(BA851,BA881,BA841)</f>
        <v/>
      </c>
    </row>
    <row r="892" hidden="1" outlineLevel="1">
      <c r="A892" s="14" t="inlineStr">
        <is>
          <t>space</t>
        </is>
      </c>
      <c r="B892" s="14" t="inlineStr">
        <is>
          <t>ore</t>
        </is>
      </c>
      <c r="C892" s="14" t="inlineStr">
        <is>
          <t>pow</t>
        </is>
      </c>
      <c r="D892" s="39" t="n"/>
      <c r="E892" s="39" t="n"/>
      <c r="F892" s="39" t="n"/>
      <c r="G892" s="39" t="n"/>
      <c r="H892" s="14">
        <f>INDEX(VarLab,MATCH($A892,VarKey,0))&amp;INDEX(MemLab,MATCH($C892&amp;"|"&amp;$B892,MemKey,0))</f>
        <v/>
      </c>
      <c r="I892" s="14">
        <f>INDEX(VarUnit,MATCH($A892,VarKey,0))</f>
        <v/>
      </c>
      <c r="J892" s="14">
        <f>INDEX(VarSrc,MATCH($A892,VarKey,0))</f>
        <v/>
      </c>
      <c r="K892" s="11">
        <f>CodePrefix&amp;$A892&amp;IF($C892="","","."&amp;$C892&amp;"."&amp;$B892)&amp;INDEX(VarEnd,MATCH($A892,VarKey,0))&amp;K$5</f>
        <v/>
      </c>
      <c r="L892" s="46">
        <f>(L852-L882)*L842</f>
        <v/>
      </c>
      <c r="M892" s="47">
        <f>(M852-M882)*M842</f>
        <v/>
      </c>
      <c r="N892" s="47">
        <f>(N852-N882)*N842</f>
        <v/>
      </c>
      <c r="O892" s="47">
        <f>(O852-O882)*O842</f>
        <v/>
      </c>
      <c r="P892" s="47">
        <f>(P852-P882)*P842</f>
        <v/>
      </c>
      <c r="Q892" s="47">
        <f>(Q852-Q882)*Q842</f>
        <v/>
      </c>
      <c r="R892" s="47">
        <f>(R852-R882)*R842</f>
        <v/>
      </c>
      <c r="S892" s="47">
        <f>(S852-S882)*S842</f>
        <v/>
      </c>
      <c r="T892" s="47">
        <f>(T852-T882)*T842</f>
        <v/>
      </c>
      <c r="U892" s="47">
        <f>(U852-U882)*U842</f>
        <v/>
      </c>
      <c r="V892" s="47">
        <f>(V852-V882)*V842</f>
        <v/>
      </c>
      <c r="W892" s="47">
        <f>(W852-W882)*W842</f>
        <v/>
      </c>
      <c r="X892" s="47">
        <f>(X852-X882)*X842</f>
        <v/>
      </c>
      <c r="Y892" s="47">
        <f>(Y852-Y882)*Y842</f>
        <v/>
      </c>
      <c r="Z892" s="47">
        <f>(Z852-Z882)*Z842</f>
        <v/>
      </c>
      <c r="AA892" s="47">
        <f>(AA852-AA882)*AA842</f>
        <v/>
      </c>
      <c r="AB892" s="47">
        <f>(AB852-AB882)*AB842</f>
        <v/>
      </c>
      <c r="AC892" s="47">
        <f>(AC852-AC882)*AC842</f>
        <v/>
      </c>
      <c r="AD892" s="47">
        <f>(AD852-AD882)*AD842</f>
        <v/>
      </c>
      <c r="AE892" s="48">
        <f>SPACE(AE852,AE882,AE842)</f>
        <v/>
      </c>
      <c r="AG892" s="11">
        <f>CodePrefix&amp;$A892&amp;IF($C892="","","."&amp;$C892&amp;"."&amp;$B892)&amp;INDEX(VarEnd,MATCH($A892,VarKey,0))&amp;AG$5</f>
        <v/>
      </c>
      <c r="AH892" s="46">
        <f>(AH852-AH882)*AH842</f>
        <v/>
      </c>
      <c r="AI892" s="47">
        <f>(AI852-AI882)*AI842</f>
        <v/>
      </c>
      <c r="AJ892" s="47">
        <f>(AJ852-AJ882)*AJ842</f>
        <v/>
      </c>
      <c r="AK892" s="47">
        <f>(AK852-AK882)*AK842</f>
        <v/>
      </c>
      <c r="AL892" s="47">
        <f>(AL852-AL882)*AL842</f>
        <v/>
      </c>
      <c r="AM892" s="47">
        <f>(AM852-AM882)*AM842</f>
        <v/>
      </c>
      <c r="AN892" s="47">
        <f>(AN852-AN882)*AN842</f>
        <v/>
      </c>
      <c r="AO892" s="47">
        <f>(AO852-AO882)*AO842</f>
        <v/>
      </c>
      <c r="AP892" s="47">
        <f>(AP852-AP882)*AP842</f>
        <v/>
      </c>
      <c r="AQ892" s="47">
        <f>(AQ852-AQ882)*AQ842</f>
        <v/>
      </c>
      <c r="AR892" s="47">
        <f>(AR852-AR882)*AR842</f>
        <v/>
      </c>
      <c r="AS892" s="47">
        <f>(AS852-AS882)*AS842</f>
        <v/>
      </c>
      <c r="AT892" s="47">
        <f>(AT852-AT882)*AT842</f>
        <v/>
      </c>
      <c r="AU892" s="47">
        <f>(AU852-AU882)*AU842</f>
        <v/>
      </c>
      <c r="AV892" s="47">
        <f>(AV852-AV882)*AV842</f>
        <v/>
      </c>
      <c r="AW892" s="47">
        <f>(AW852-AW882)*AW842</f>
        <v/>
      </c>
      <c r="AX892" s="47">
        <f>(AX852-AX882)*AX842</f>
        <v/>
      </c>
      <c r="AY892" s="47">
        <f>(AY852-AY882)*AY842</f>
        <v/>
      </c>
      <c r="AZ892" s="47">
        <f>(AZ852-AZ882)*AZ842</f>
        <v/>
      </c>
      <c r="BA892" s="48">
        <f>SPACE(BA852,BA882,BA842)</f>
        <v/>
      </c>
    </row>
    <row r="893" hidden="1" outlineLevel="1">
      <c r="A893" s="14" t="inlineStr">
        <is>
          <t>space</t>
        </is>
      </c>
      <c r="B893" s="14" t="inlineStr">
        <is>
          <t>bio</t>
        </is>
      </c>
      <c r="C893" s="14" t="inlineStr">
        <is>
          <t>pow</t>
        </is>
      </c>
      <c r="D893" s="39" t="n"/>
      <c r="E893" s="39" t="n"/>
      <c r="F893" s="39" t="n"/>
      <c r="G893" s="39" t="n"/>
      <c r="H893" s="14">
        <f>INDEX(VarLab,MATCH($A893,VarKey,0))&amp;INDEX(MemLab,MATCH($C893&amp;"|"&amp;$B893,MemKey,0))</f>
        <v/>
      </c>
      <c r="I893" s="14">
        <f>INDEX(VarUnit,MATCH($A893,VarKey,0))</f>
        <v/>
      </c>
      <c r="J893" s="14">
        <f>INDEX(VarSrc,MATCH($A893,VarKey,0))</f>
        <v/>
      </c>
      <c r="K893" s="11">
        <f>CodePrefix&amp;$A893&amp;IF($C893="","","."&amp;$C893&amp;"."&amp;$B893)&amp;INDEX(VarEnd,MATCH($A893,VarKey,0))&amp;K$5</f>
        <v/>
      </c>
      <c r="L893" s="46">
        <f>(L853-L883)*L843</f>
        <v/>
      </c>
      <c r="M893" s="47">
        <f>(M853-M883)*M843</f>
        <v/>
      </c>
      <c r="N893" s="47">
        <f>(N853-N883)*N843</f>
        <v/>
      </c>
      <c r="O893" s="47">
        <f>(O853-O883)*O843</f>
        <v/>
      </c>
      <c r="P893" s="47">
        <f>(P853-P883)*P843</f>
        <v/>
      </c>
      <c r="Q893" s="47">
        <f>(Q853-Q883)*Q843</f>
        <v/>
      </c>
      <c r="R893" s="47">
        <f>(R853-R883)*R843</f>
        <v/>
      </c>
      <c r="S893" s="47">
        <f>(S853-S883)*S843</f>
        <v/>
      </c>
      <c r="T893" s="47">
        <f>(T853-T883)*T843</f>
        <v/>
      </c>
      <c r="U893" s="47">
        <f>(U853-U883)*U843</f>
        <v/>
      </c>
      <c r="V893" s="47">
        <f>(V853-V883)*V843</f>
        <v/>
      </c>
      <c r="W893" s="47">
        <f>(W853-W883)*W843</f>
        <v/>
      </c>
      <c r="X893" s="47">
        <f>(X853-X883)*X843</f>
        <v/>
      </c>
      <c r="Y893" s="47">
        <f>(Y853-Y883)*Y843</f>
        <v/>
      </c>
      <c r="Z893" s="47">
        <f>(Z853-Z883)*Z843</f>
        <v/>
      </c>
      <c r="AA893" s="47">
        <f>(AA853-AA883)*AA843</f>
        <v/>
      </c>
      <c r="AB893" s="47">
        <f>(AB853-AB883)*AB843</f>
        <v/>
      </c>
      <c r="AC893" s="47">
        <f>(AC853-AC883)*AC843</f>
        <v/>
      </c>
      <c r="AD893" s="47">
        <f>(AD853-AD883)*AD843</f>
        <v/>
      </c>
      <c r="AE893" s="48">
        <f>SPACE(AE853,AE883,AE843)</f>
        <v/>
      </c>
      <c r="AG893" s="11">
        <f>CodePrefix&amp;$A893&amp;IF($C893="","","."&amp;$C893&amp;"."&amp;$B893)&amp;INDEX(VarEnd,MATCH($A893,VarKey,0))&amp;AG$5</f>
        <v/>
      </c>
      <c r="AH893" s="46">
        <f>(AH853-AH883)*AH843</f>
        <v/>
      </c>
      <c r="AI893" s="47">
        <f>(AI853-AI883)*AI843</f>
        <v/>
      </c>
      <c r="AJ893" s="47">
        <f>(AJ853-AJ883)*AJ843</f>
        <v/>
      </c>
      <c r="AK893" s="47">
        <f>(AK853-AK883)*AK843</f>
        <v/>
      </c>
      <c r="AL893" s="47">
        <f>(AL853-AL883)*AL843</f>
        <v/>
      </c>
      <c r="AM893" s="47">
        <f>(AM853-AM883)*AM843</f>
        <v/>
      </c>
      <c r="AN893" s="47">
        <f>(AN853-AN883)*AN843</f>
        <v/>
      </c>
      <c r="AO893" s="47">
        <f>(AO853-AO883)*AO843</f>
        <v/>
      </c>
      <c r="AP893" s="47">
        <f>(AP853-AP883)*AP843</f>
        <v/>
      </c>
      <c r="AQ893" s="47">
        <f>(AQ853-AQ883)*AQ843</f>
        <v/>
      </c>
      <c r="AR893" s="47">
        <f>(AR853-AR883)*AR843</f>
        <v/>
      </c>
      <c r="AS893" s="47">
        <f>(AS853-AS883)*AS843</f>
        <v/>
      </c>
      <c r="AT893" s="47">
        <f>(AT853-AT883)*AT843</f>
        <v/>
      </c>
      <c r="AU893" s="47">
        <f>(AU853-AU883)*AU843</f>
        <v/>
      </c>
      <c r="AV893" s="47">
        <f>(AV853-AV883)*AV843</f>
        <v/>
      </c>
      <c r="AW893" s="47">
        <f>(AW853-AW883)*AW843</f>
        <v/>
      </c>
      <c r="AX893" s="47">
        <f>(AX853-AX883)*AX843</f>
        <v/>
      </c>
      <c r="AY893" s="47">
        <f>(AY853-AY883)*AY843</f>
        <v/>
      </c>
      <c r="AZ893" s="47">
        <f>(AZ853-AZ883)*AZ843</f>
        <v/>
      </c>
      <c r="BA893" s="48">
        <f>SPACE(BA853,BA883,BA843)</f>
        <v/>
      </c>
    </row>
    <row r="894" hidden="1" outlineLevel="1"/>
    <row r="895" hidden="1" outlineLevel="1">
      <c r="A895" s="14" t="inlineStr">
        <is>
          <t>second</t>
        </is>
      </c>
      <c r="B895" s="14" t="inlineStr">
        <is>
          <t>coa</t>
        </is>
      </c>
      <c r="C895" s="14" t="inlineStr">
        <is>
          <t>pow</t>
        </is>
      </c>
      <c r="D895" s="45">
        <f>INDEX(Inputs_power!$AT$5:$AT$13,MATCH($B895,Inputs_power!$A$5:$A$13,0))</f>
        <v/>
      </c>
      <c r="E895" s="39" t="n"/>
      <c r="F895" s="39" t="n"/>
      <c r="G895" s="39" t="n"/>
      <c r="H895" s="14">
        <f>INDEX(VarLab,MATCH($A895,VarKey,0))&amp;INDEX(MemLab,MATCH($C895&amp;"|"&amp;$B895,MemKey,0))</f>
        <v/>
      </c>
      <c r="I895" s="14">
        <f>INDEX(VarUnit,MATCH($A895,VarKey,0))</f>
        <v/>
      </c>
      <c r="J895" s="14">
        <f>INDEX(VarSrc,MATCH($A895,VarKey,0))</f>
        <v/>
      </c>
      <c r="K895" s="11">
        <f>CodePrefix&amp;$A895&amp;IF($C895="","","."&amp;$C895&amp;"."&amp;$B895)&amp;INDEX(VarEnd,MATCH($A895,VarKey,0))&amp;K$5</f>
        <v/>
      </c>
      <c r="L895" s="46">
        <f>L835*MAX(0,MIN(L885,L$833-SUMPRODUCT((L$625:L$633+$D$895:$D$903&lt;L625+$D895)*L$885:L$893)))</f>
        <v/>
      </c>
      <c r="M895" s="47">
        <f>M835*MAX(0,MIN(M885,M$833-SUMPRODUCT((M$625:M$633+$D$895:$D$903&lt;M625+$D895)*M$885:M$893)))</f>
        <v/>
      </c>
      <c r="N895" s="47">
        <f>N835*MAX(0,MIN(N885,N$833-SUMPRODUCT((N$625:N$633+$D$895:$D$903&lt;N625+$D895)*N$885:N$893)))</f>
        <v/>
      </c>
      <c r="O895" s="47">
        <f>O835*MAX(0,MIN(O885,O$833-SUMPRODUCT((O$625:O$633+$D$895:$D$903&lt;O625+$D895)*O$885:O$893)))</f>
        <v/>
      </c>
      <c r="P895" s="47">
        <f>P835*MAX(0,MIN(P885,P$833-SUMPRODUCT((P$625:P$633+$D$895:$D$903&lt;P625+$D895)*P$885:P$893)))</f>
        <v/>
      </c>
      <c r="Q895" s="47">
        <f>Q835*MAX(0,MIN(Q885,Q$833-SUMPRODUCT((Q$625:Q$633+$D$895:$D$903&lt;Q625+$D895)*Q$885:Q$893)))</f>
        <v/>
      </c>
      <c r="R895" s="47">
        <f>R835*MAX(0,MIN(R885,R$833-SUMPRODUCT((R$625:R$633+$D$895:$D$903&lt;R625+$D895)*R$885:R$893)))</f>
        <v/>
      </c>
      <c r="S895" s="47">
        <f>S835*MAX(0,MIN(S885,S$833-SUMPRODUCT((S$625:S$633+$D$895:$D$903&lt;S625+$D895)*S$885:S$893)))</f>
        <v/>
      </c>
      <c r="T895" s="47">
        <f>T835*MAX(0,MIN(T885,T$833-SUMPRODUCT((T$625:T$633+$D$895:$D$903&lt;T625+$D895)*T$885:T$893)))</f>
        <v/>
      </c>
      <c r="U895" s="47">
        <f>U835*MAX(0,MIN(U885,U$833-SUMPRODUCT((U$625:U$633+$D$895:$D$903&lt;U625+$D895)*U$885:U$893)))</f>
        <v/>
      </c>
      <c r="V895" s="47">
        <f>V835*MAX(0,MIN(V885,V$833-SUMPRODUCT((V$625:V$633+$D$895:$D$903&lt;V625+$D895)*V$885:V$893)))</f>
        <v/>
      </c>
      <c r="W895" s="47">
        <f>W835*MAX(0,MIN(W885,W$833-SUMPRODUCT((W$625:W$633+$D$895:$D$903&lt;W625+$D895)*W$885:W$893)))</f>
        <v/>
      </c>
      <c r="X895" s="47">
        <f>X835*MAX(0,MIN(X885,X$833-SUMPRODUCT((X$625:X$633+$D$895:$D$903&lt;X625+$D895)*X$885:X$893)))</f>
        <v/>
      </c>
      <c r="Y895" s="47">
        <f>Y835*MAX(0,MIN(Y885,Y$833-SUMPRODUCT((Y$625:Y$633+$D$895:$D$903&lt;Y625+$D895)*Y$885:Y$893)))</f>
        <v/>
      </c>
      <c r="Z895" s="47">
        <f>Z835*MAX(0,MIN(Z885,Z$833-SUMPRODUCT((Z$625:Z$633+$D$895:$D$903&lt;Z625+$D895)*Z$885:Z$893)))</f>
        <v/>
      </c>
      <c r="AA895" s="47">
        <f>AA835*MAX(0,MIN(AA885,AA$833-SUMPRODUCT((AA$625:AA$633+$D$895:$D$903&lt;AA625+$D895)*AA$885:AA$893)))</f>
        <v/>
      </c>
      <c r="AB895" s="47">
        <f>AB835*MAX(0,MIN(AB885,AB$833-SUMPRODUCT((AB$625:AB$633+$D$895:$D$903&lt;AB625+$D895)*AB$885:AB$893)))</f>
        <v/>
      </c>
      <c r="AC895" s="47">
        <f>AC835*MAX(0,MIN(AC885,AC$833-SUMPRODUCT((AC$625:AC$633+$D$895:$D$903&lt;AC625+$D895)*AC$885:AC$893)))</f>
        <v/>
      </c>
      <c r="AD895" s="47">
        <f>AD835*MAX(0,MIN(AD885,AD$833-SUMPRODUCT((AD$625:AD$633+$D$895:$D$903&lt;AD625+$D895)*AD$885:AD$893)))</f>
        <v/>
      </c>
      <c r="AE895" s="48">
        <f>CHEAPFILL(AE835,AE885,AE$833,SUMPRODUCT((AE$625:AE$633+$D$895:$D$903&lt;AE625+$D895)*AE$885:AE$893))</f>
        <v/>
      </c>
      <c r="AG895" s="11">
        <f>CodePrefix&amp;$A895&amp;IF($C895="","","."&amp;$C895&amp;"."&amp;$B895)&amp;INDEX(VarEnd,MATCH($A895,VarKey,0))&amp;AG$5</f>
        <v/>
      </c>
      <c r="AH895" s="46">
        <f>AH835*MAX(0,MIN(AH885,AH$833-SUMPRODUCT((AH$625:AH$633+$D$895:$D$903&lt;AH625+$D895)*AH$885:AH$893)))</f>
        <v/>
      </c>
      <c r="AI895" s="47">
        <f>AI835*MAX(0,MIN(AI885,AI$833-SUMPRODUCT((AI$625:AI$633+$D$895:$D$903&lt;AI625+$D895)*AI$885:AI$893)))</f>
        <v/>
      </c>
      <c r="AJ895" s="47">
        <f>AJ835*MAX(0,MIN(AJ885,AJ$833-SUMPRODUCT((AJ$625:AJ$633+$D$895:$D$903&lt;AJ625+$D895)*AJ$885:AJ$893)))</f>
        <v/>
      </c>
      <c r="AK895" s="47">
        <f>AK835*MAX(0,MIN(AK885,AK$833-SUMPRODUCT((AK$625:AK$633+$D$895:$D$903&lt;AK625+$D895)*AK$885:AK$893)))</f>
        <v/>
      </c>
      <c r="AL895" s="47">
        <f>AL835*MAX(0,MIN(AL885,AL$833-SUMPRODUCT((AL$625:AL$633+$D$895:$D$903&lt;AL625+$D895)*AL$885:AL$893)))</f>
        <v/>
      </c>
      <c r="AM895" s="47">
        <f>AM835*MAX(0,MIN(AM885,AM$833-SUMPRODUCT((AM$625:AM$633+$D$895:$D$903&lt;AM625+$D895)*AM$885:AM$893)))</f>
        <v/>
      </c>
      <c r="AN895" s="47">
        <f>AN835*MAX(0,MIN(AN885,AN$833-SUMPRODUCT((AN$625:AN$633+$D$895:$D$903&lt;AN625+$D895)*AN$885:AN$893)))</f>
        <v/>
      </c>
      <c r="AO895" s="47">
        <f>AO835*MAX(0,MIN(AO885,AO$833-SUMPRODUCT((AO$625:AO$633+$D$895:$D$903&lt;AO625+$D895)*AO$885:AO$893)))</f>
        <v/>
      </c>
      <c r="AP895" s="47">
        <f>AP835*MAX(0,MIN(AP885,AP$833-SUMPRODUCT((AP$625:AP$633+$D$895:$D$903&lt;AP625+$D895)*AP$885:AP$893)))</f>
        <v/>
      </c>
      <c r="AQ895" s="47">
        <f>AQ835*MAX(0,MIN(AQ885,AQ$833-SUMPRODUCT((AQ$625:AQ$633+$D$895:$D$903&lt;AQ625+$D895)*AQ$885:AQ$893)))</f>
        <v/>
      </c>
      <c r="AR895" s="47">
        <f>AR835*MAX(0,MIN(AR885,AR$833-SUMPRODUCT((AR$625:AR$633+$D$895:$D$903&lt;AR625+$D895)*AR$885:AR$893)))</f>
        <v/>
      </c>
      <c r="AS895" s="47">
        <f>AS835*MAX(0,MIN(AS885,AS$833-SUMPRODUCT((AS$625:AS$633+$D$895:$D$903&lt;AS625+$D895)*AS$885:AS$893)))</f>
        <v/>
      </c>
      <c r="AT895" s="47">
        <f>AT835*MAX(0,MIN(AT885,AT$833-SUMPRODUCT((AT$625:AT$633+$D$895:$D$903&lt;AT625+$D895)*AT$885:AT$893)))</f>
        <v/>
      </c>
      <c r="AU895" s="47">
        <f>AU835*MAX(0,MIN(AU885,AU$833-SUMPRODUCT((AU$625:AU$633+$D$895:$D$903&lt;AU625+$D895)*AU$885:AU$893)))</f>
        <v/>
      </c>
      <c r="AV895" s="47">
        <f>AV835*MAX(0,MIN(AV885,AV$833-SUMPRODUCT((AV$625:AV$633+$D$895:$D$903&lt;AV625+$D895)*AV$885:AV$893)))</f>
        <v/>
      </c>
      <c r="AW895" s="47">
        <f>AW835*MAX(0,MIN(AW885,AW$833-SUMPRODUCT((AW$625:AW$633+$D$895:$D$903&lt;AW625+$D895)*AW$885:AW$893)))</f>
        <v/>
      </c>
      <c r="AX895" s="47">
        <f>AX835*MAX(0,MIN(AX885,AX$833-SUMPRODUCT((AX$625:AX$633+$D$895:$D$903&lt;AX625+$D895)*AX$885:AX$893)))</f>
        <v/>
      </c>
      <c r="AY895" s="47">
        <f>AY835*MAX(0,MIN(AY885,AY$833-SUMPRODUCT((AY$625:AY$633+$D$895:$D$903&lt;AY625+$D895)*AY$885:AY$893)))</f>
        <v/>
      </c>
      <c r="AZ895" s="47">
        <f>AZ835*MAX(0,MIN(AZ885,AZ$833-SUMPRODUCT((AZ$625:AZ$633+$D$895:$D$903&lt;AZ625+$D895)*AZ$885:AZ$893)))</f>
        <v/>
      </c>
      <c r="BA895" s="48">
        <f>CHEAPFILL(BA835,BA885,BA$833,SUMPRODUCT((BA$625:BA$633+$D$895:$D$903&lt;BA625+$D895)*BA$885:BA$893))</f>
        <v/>
      </c>
    </row>
    <row r="896" hidden="1" outlineLevel="1">
      <c r="A896" s="14" t="inlineStr">
        <is>
          <t>second</t>
        </is>
      </c>
      <c r="B896" s="14" t="inlineStr">
        <is>
          <t>nga</t>
        </is>
      </c>
      <c r="C896" s="14" t="inlineStr">
        <is>
          <t>pow</t>
        </is>
      </c>
      <c r="D896" s="45">
        <f>INDEX(Inputs_power!$AT$5:$AT$13,MATCH($B896,Inputs_power!$A$5:$A$13,0))</f>
        <v/>
      </c>
      <c r="E896" s="39" t="n"/>
      <c r="F896" s="39" t="n"/>
      <c r="G896" s="39" t="n"/>
      <c r="H896" s="14">
        <f>INDEX(VarLab,MATCH($A896,VarKey,0))&amp;INDEX(MemLab,MATCH($C896&amp;"|"&amp;$B896,MemKey,0))</f>
        <v/>
      </c>
      <c r="I896" s="14">
        <f>INDEX(VarUnit,MATCH($A896,VarKey,0))</f>
        <v/>
      </c>
      <c r="J896" s="14">
        <f>INDEX(VarSrc,MATCH($A896,VarKey,0))</f>
        <v/>
      </c>
      <c r="K896" s="11">
        <f>CodePrefix&amp;$A896&amp;IF($C896="","","."&amp;$C896&amp;"."&amp;$B896)&amp;INDEX(VarEnd,MATCH($A896,VarKey,0))&amp;K$5</f>
        <v/>
      </c>
      <c r="L896" s="46">
        <f>L836*MAX(0,MIN(L886,L$833-SUMPRODUCT((L$625:L$633+$D$895:$D$903&lt;L626+$D896)*L$885:L$893)))</f>
        <v/>
      </c>
      <c r="M896" s="47">
        <f>M836*MAX(0,MIN(M886,M$833-SUMPRODUCT((M$625:M$633+$D$895:$D$903&lt;M626+$D896)*M$885:M$893)))</f>
        <v/>
      </c>
      <c r="N896" s="47">
        <f>N836*MAX(0,MIN(N886,N$833-SUMPRODUCT((N$625:N$633+$D$895:$D$903&lt;N626+$D896)*N$885:N$893)))</f>
        <v/>
      </c>
      <c r="O896" s="47">
        <f>O836*MAX(0,MIN(O886,O$833-SUMPRODUCT((O$625:O$633+$D$895:$D$903&lt;O626+$D896)*O$885:O$893)))</f>
        <v/>
      </c>
      <c r="P896" s="47">
        <f>P836*MAX(0,MIN(P886,P$833-SUMPRODUCT((P$625:P$633+$D$895:$D$903&lt;P626+$D896)*P$885:P$893)))</f>
        <v/>
      </c>
      <c r="Q896" s="47">
        <f>Q836*MAX(0,MIN(Q886,Q$833-SUMPRODUCT((Q$625:Q$633+$D$895:$D$903&lt;Q626+$D896)*Q$885:Q$893)))</f>
        <v/>
      </c>
      <c r="R896" s="47">
        <f>R836*MAX(0,MIN(R886,R$833-SUMPRODUCT((R$625:R$633+$D$895:$D$903&lt;R626+$D896)*R$885:R$893)))</f>
        <v/>
      </c>
      <c r="S896" s="47">
        <f>S836*MAX(0,MIN(S886,S$833-SUMPRODUCT((S$625:S$633+$D$895:$D$903&lt;S626+$D896)*S$885:S$893)))</f>
        <v/>
      </c>
      <c r="T896" s="47">
        <f>T836*MAX(0,MIN(T886,T$833-SUMPRODUCT((T$625:T$633+$D$895:$D$903&lt;T626+$D896)*T$885:T$893)))</f>
        <v/>
      </c>
      <c r="U896" s="47">
        <f>U836*MAX(0,MIN(U886,U$833-SUMPRODUCT((U$625:U$633+$D$895:$D$903&lt;U626+$D896)*U$885:U$893)))</f>
        <v/>
      </c>
      <c r="V896" s="47">
        <f>V836*MAX(0,MIN(V886,V$833-SUMPRODUCT((V$625:V$633+$D$895:$D$903&lt;V626+$D896)*V$885:V$893)))</f>
        <v/>
      </c>
      <c r="W896" s="47">
        <f>W836*MAX(0,MIN(W886,W$833-SUMPRODUCT((W$625:W$633+$D$895:$D$903&lt;W626+$D896)*W$885:W$893)))</f>
        <v/>
      </c>
      <c r="X896" s="47">
        <f>X836*MAX(0,MIN(X886,X$833-SUMPRODUCT((X$625:X$633+$D$895:$D$903&lt;X626+$D896)*X$885:X$893)))</f>
        <v/>
      </c>
      <c r="Y896" s="47">
        <f>Y836*MAX(0,MIN(Y886,Y$833-SUMPRODUCT((Y$625:Y$633+$D$895:$D$903&lt;Y626+$D896)*Y$885:Y$893)))</f>
        <v/>
      </c>
      <c r="Z896" s="47">
        <f>Z836*MAX(0,MIN(Z886,Z$833-SUMPRODUCT((Z$625:Z$633+$D$895:$D$903&lt;Z626+$D896)*Z$885:Z$893)))</f>
        <v/>
      </c>
      <c r="AA896" s="47">
        <f>AA836*MAX(0,MIN(AA886,AA$833-SUMPRODUCT((AA$625:AA$633+$D$895:$D$903&lt;AA626+$D896)*AA$885:AA$893)))</f>
        <v/>
      </c>
      <c r="AB896" s="47">
        <f>AB836*MAX(0,MIN(AB886,AB$833-SUMPRODUCT((AB$625:AB$633+$D$895:$D$903&lt;AB626+$D896)*AB$885:AB$893)))</f>
        <v/>
      </c>
      <c r="AC896" s="47">
        <f>AC836*MAX(0,MIN(AC886,AC$833-SUMPRODUCT((AC$625:AC$633+$D$895:$D$903&lt;AC626+$D896)*AC$885:AC$893)))</f>
        <v/>
      </c>
      <c r="AD896" s="47">
        <f>AD836*MAX(0,MIN(AD886,AD$833-SUMPRODUCT((AD$625:AD$633+$D$895:$D$903&lt;AD626+$D896)*AD$885:AD$893)))</f>
        <v/>
      </c>
      <c r="AE896" s="48">
        <f>CHEAPFILL(AE836,AE886,AE$833,SUMPRODUCT((AE$625:AE$633+$D$895:$D$903&lt;AE626+$D896)*AE$885:AE$893))</f>
        <v/>
      </c>
      <c r="AG896" s="11">
        <f>CodePrefix&amp;$A896&amp;IF($C896="","","."&amp;$C896&amp;"."&amp;$B896)&amp;INDEX(VarEnd,MATCH($A896,VarKey,0))&amp;AG$5</f>
        <v/>
      </c>
      <c r="AH896" s="46">
        <f>AH836*MAX(0,MIN(AH886,AH$833-SUMPRODUCT((AH$625:AH$633+$D$895:$D$903&lt;AH626+$D896)*AH$885:AH$893)))</f>
        <v/>
      </c>
      <c r="AI896" s="47">
        <f>AI836*MAX(0,MIN(AI886,AI$833-SUMPRODUCT((AI$625:AI$633+$D$895:$D$903&lt;AI626+$D896)*AI$885:AI$893)))</f>
        <v/>
      </c>
      <c r="AJ896" s="47">
        <f>AJ836*MAX(0,MIN(AJ886,AJ$833-SUMPRODUCT((AJ$625:AJ$633+$D$895:$D$903&lt;AJ626+$D896)*AJ$885:AJ$893)))</f>
        <v/>
      </c>
      <c r="AK896" s="47">
        <f>AK836*MAX(0,MIN(AK886,AK$833-SUMPRODUCT((AK$625:AK$633+$D$895:$D$903&lt;AK626+$D896)*AK$885:AK$893)))</f>
        <v/>
      </c>
      <c r="AL896" s="47">
        <f>AL836*MAX(0,MIN(AL886,AL$833-SUMPRODUCT((AL$625:AL$633+$D$895:$D$903&lt;AL626+$D896)*AL$885:AL$893)))</f>
        <v/>
      </c>
      <c r="AM896" s="47">
        <f>AM836*MAX(0,MIN(AM886,AM$833-SUMPRODUCT((AM$625:AM$633+$D$895:$D$903&lt;AM626+$D896)*AM$885:AM$893)))</f>
        <v/>
      </c>
      <c r="AN896" s="47">
        <f>AN836*MAX(0,MIN(AN886,AN$833-SUMPRODUCT((AN$625:AN$633+$D$895:$D$903&lt;AN626+$D896)*AN$885:AN$893)))</f>
        <v/>
      </c>
      <c r="AO896" s="47">
        <f>AO836*MAX(0,MIN(AO886,AO$833-SUMPRODUCT((AO$625:AO$633+$D$895:$D$903&lt;AO626+$D896)*AO$885:AO$893)))</f>
        <v/>
      </c>
      <c r="AP896" s="47">
        <f>AP836*MAX(0,MIN(AP886,AP$833-SUMPRODUCT((AP$625:AP$633+$D$895:$D$903&lt;AP626+$D896)*AP$885:AP$893)))</f>
        <v/>
      </c>
      <c r="AQ896" s="47">
        <f>AQ836*MAX(0,MIN(AQ886,AQ$833-SUMPRODUCT((AQ$625:AQ$633+$D$895:$D$903&lt;AQ626+$D896)*AQ$885:AQ$893)))</f>
        <v/>
      </c>
      <c r="AR896" s="47">
        <f>AR836*MAX(0,MIN(AR886,AR$833-SUMPRODUCT((AR$625:AR$633+$D$895:$D$903&lt;AR626+$D896)*AR$885:AR$893)))</f>
        <v/>
      </c>
      <c r="AS896" s="47">
        <f>AS836*MAX(0,MIN(AS886,AS$833-SUMPRODUCT((AS$625:AS$633+$D$895:$D$903&lt;AS626+$D896)*AS$885:AS$893)))</f>
        <v/>
      </c>
      <c r="AT896" s="47">
        <f>AT836*MAX(0,MIN(AT886,AT$833-SUMPRODUCT((AT$625:AT$633+$D$895:$D$903&lt;AT626+$D896)*AT$885:AT$893)))</f>
        <v/>
      </c>
      <c r="AU896" s="47">
        <f>AU836*MAX(0,MIN(AU886,AU$833-SUMPRODUCT((AU$625:AU$633+$D$895:$D$903&lt;AU626+$D896)*AU$885:AU$893)))</f>
        <v/>
      </c>
      <c r="AV896" s="47">
        <f>AV836*MAX(0,MIN(AV886,AV$833-SUMPRODUCT((AV$625:AV$633+$D$895:$D$903&lt;AV626+$D896)*AV$885:AV$893)))</f>
        <v/>
      </c>
      <c r="AW896" s="47">
        <f>AW836*MAX(0,MIN(AW886,AW$833-SUMPRODUCT((AW$625:AW$633+$D$895:$D$903&lt;AW626+$D896)*AW$885:AW$893)))</f>
        <v/>
      </c>
      <c r="AX896" s="47">
        <f>AX836*MAX(0,MIN(AX886,AX$833-SUMPRODUCT((AX$625:AX$633+$D$895:$D$903&lt;AX626+$D896)*AX$885:AX$893)))</f>
        <v/>
      </c>
      <c r="AY896" s="47">
        <f>AY836*MAX(0,MIN(AY886,AY$833-SUMPRODUCT((AY$625:AY$633+$D$895:$D$903&lt;AY626+$D896)*AY$885:AY$893)))</f>
        <v/>
      </c>
      <c r="AZ896" s="47">
        <f>AZ836*MAX(0,MIN(AZ886,AZ$833-SUMPRODUCT((AZ$625:AZ$633+$D$895:$D$903&lt;AZ626+$D896)*AZ$885:AZ$893)))</f>
        <v/>
      </c>
      <c r="BA896" s="48">
        <f>CHEAPFILL(BA836,BA886,BA$833,SUMPRODUCT((BA$625:BA$633+$D$895:$D$903&lt;BA626+$D896)*BA$885:BA$893))</f>
        <v/>
      </c>
    </row>
    <row r="897" hidden="1" outlineLevel="1">
      <c r="A897" s="14" t="inlineStr">
        <is>
          <t>second</t>
        </is>
      </c>
      <c r="B897" s="14" t="inlineStr">
        <is>
          <t>oop</t>
        </is>
      </c>
      <c r="C897" s="14" t="inlineStr">
        <is>
          <t>pow</t>
        </is>
      </c>
      <c r="D897" s="45">
        <f>INDEX(Inputs_power!$AT$5:$AT$13,MATCH($B897,Inputs_power!$A$5:$A$13,0))</f>
        <v/>
      </c>
      <c r="E897" s="39" t="n"/>
      <c r="F897" s="39" t="n"/>
      <c r="G897" s="39" t="n"/>
      <c r="H897" s="14">
        <f>INDEX(VarLab,MATCH($A897,VarKey,0))&amp;INDEX(MemLab,MATCH($C897&amp;"|"&amp;$B897,MemKey,0))</f>
        <v/>
      </c>
      <c r="I897" s="14">
        <f>INDEX(VarUnit,MATCH($A897,VarKey,0))</f>
        <v/>
      </c>
      <c r="J897" s="14">
        <f>INDEX(VarSrc,MATCH($A897,VarKey,0))</f>
        <v/>
      </c>
      <c r="K897" s="11">
        <f>CodePrefix&amp;$A897&amp;IF($C897="","","."&amp;$C897&amp;"."&amp;$B897)&amp;INDEX(VarEnd,MATCH($A897,VarKey,0))&amp;K$5</f>
        <v/>
      </c>
      <c r="L897" s="46">
        <f>L837*MAX(0,MIN(L887,L$833-SUMPRODUCT((L$625:L$633+$D$895:$D$903&lt;L627+$D897)*L$885:L$893)))</f>
        <v/>
      </c>
      <c r="M897" s="47">
        <f>M837*MAX(0,MIN(M887,M$833-SUMPRODUCT((M$625:M$633+$D$895:$D$903&lt;M627+$D897)*M$885:M$893)))</f>
        <v/>
      </c>
      <c r="N897" s="47">
        <f>N837*MAX(0,MIN(N887,N$833-SUMPRODUCT((N$625:N$633+$D$895:$D$903&lt;N627+$D897)*N$885:N$893)))</f>
        <v/>
      </c>
      <c r="O897" s="47">
        <f>O837*MAX(0,MIN(O887,O$833-SUMPRODUCT((O$625:O$633+$D$895:$D$903&lt;O627+$D897)*O$885:O$893)))</f>
        <v/>
      </c>
      <c r="P897" s="47">
        <f>P837*MAX(0,MIN(P887,P$833-SUMPRODUCT((P$625:P$633+$D$895:$D$903&lt;P627+$D897)*P$885:P$893)))</f>
        <v/>
      </c>
      <c r="Q897" s="47">
        <f>Q837*MAX(0,MIN(Q887,Q$833-SUMPRODUCT((Q$625:Q$633+$D$895:$D$903&lt;Q627+$D897)*Q$885:Q$893)))</f>
        <v/>
      </c>
      <c r="R897" s="47">
        <f>R837*MAX(0,MIN(R887,R$833-SUMPRODUCT((R$625:R$633+$D$895:$D$903&lt;R627+$D897)*R$885:R$893)))</f>
        <v/>
      </c>
      <c r="S897" s="47">
        <f>S837*MAX(0,MIN(S887,S$833-SUMPRODUCT((S$625:S$633+$D$895:$D$903&lt;S627+$D897)*S$885:S$893)))</f>
        <v/>
      </c>
      <c r="T897" s="47">
        <f>T837*MAX(0,MIN(T887,T$833-SUMPRODUCT((T$625:T$633+$D$895:$D$903&lt;T627+$D897)*T$885:T$893)))</f>
        <v/>
      </c>
      <c r="U897" s="47">
        <f>U837*MAX(0,MIN(U887,U$833-SUMPRODUCT((U$625:U$633+$D$895:$D$903&lt;U627+$D897)*U$885:U$893)))</f>
        <v/>
      </c>
      <c r="V897" s="47">
        <f>V837*MAX(0,MIN(V887,V$833-SUMPRODUCT((V$625:V$633+$D$895:$D$903&lt;V627+$D897)*V$885:V$893)))</f>
        <v/>
      </c>
      <c r="W897" s="47">
        <f>W837*MAX(0,MIN(W887,W$833-SUMPRODUCT((W$625:W$633+$D$895:$D$903&lt;W627+$D897)*W$885:W$893)))</f>
        <v/>
      </c>
      <c r="X897" s="47">
        <f>X837*MAX(0,MIN(X887,X$833-SUMPRODUCT((X$625:X$633+$D$895:$D$903&lt;X627+$D897)*X$885:X$893)))</f>
        <v/>
      </c>
      <c r="Y897" s="47">
        <f>Y837*MAX(0,MIN(Y887,Y$833-SUMPRODUCT((Y$625:Y$633+$D$895:$D$903&lt;Y627+$D897)*Y$885:Y$893)))</f>
        <v/>
      </c>
      <c r="Z897" s="47">
        <f>Z837*MAX(0,MIN(Z887,Z$833-SUMPRODUCT((Z$625:Z$633+$D$895:$D$903&lt;Z627+$D897)*Z$885:Z$893)))</f>
        <v/>
      </c>
      <c r="AA897" s="47">
        <f>AA837*MAX(0,MIN(AA887,AA$833-SUMPRODUCT((AA$625:AA$633+$D$895:$D$903&lt;AA627+$D897)*AA$885:AA$893)))</f>
        <v/>
      </c>
      <c r="AB897" s="47">
        <f>AB837*MAX(0,MIN(AB887,AB$833-SUMPRODUCT((AB$625:AB$633+$D$895:$D$903&lt;AB627+$D897)*AB$885:AB$893)))</f>
        <v/>
      </c>
      <c r="AC897" s="47">
        <f>AC837*MAX(0,MIN(AC887,AC$833-SUMPRODUCT((AC$625:AC$633+$D$895:$D$903&lt;AC627+$D897)*AC$885:AC$893)))</f>
        <v/>
      </c>
      <c r="AD897" s="47">
        <f>AD837*MAX(0,MIN(AD887,AD$833-SUMPRODUCT((AD$625:AD$633+$D$895:$D$903&lt;AD627+$D897)*AD$885:AD$893)))</f>
        <v/>
      </c>
      <c r="AE897" s="48">
        <f>CHEAPFILL(AE837,AE887,AE$833,SUMPRODUCT((AE$625:AE$633+$D$895:$D$903&lt;AE627+$D897)*AE$885:AE$893))</f>
        <v/>
      </c>
      <c r="AG897" s="11">
        <f>CodePrefix&amp;$A897&amp;IF($C897="","","."&amp;$C897&amp;"."&amp;$B897)&amp;INDEX(VarEnd,MATCH($A897,VarKey,0))&amp;AG$5</f>
        <v/>
      </c>
      <c r="AH897" s="46">
        <f>AH837*MAX(0,MIN(AH887,AH$833-SUMPRODUCT((AH$625:AH$633+$D$895:$D$903&lt;AH627+$D897)*AH$885:AH$893)))</f>
        <v/>
      </c>
      <c r="AI897" s="47">
        <f>AI837*MAX(0,MIN(AI887,AI$833-SUMPRODUCT((AI$625:AI$633+$D$895:$D$903&lt;AI627+$D897)*AI$885:AI$893)))</f>
        <v/>
      </c>
      <c r="AJ897" s="47">
        <f>AJ837*MAX(0,MIN(AJ887,AJ$833-SUMPRODUCT((AJ$625:AJ$633+$D$895:$D$903&lt;AJ627+$D897)*AJ$885:AJ$893)))</f>
        <v/>
      </c>
      <c r="AK897" s="47">
        <f>AK837*MAX(0,MIN(AK887,AK$833-SUMPRODUCT((AK$625:AK$633+$D$895:$D$903&lt;AK627+$D897)*AK$885:AK$893)))</f>
        <v/>
      </c>
      <c r="AL897" s="47">
        <f>AL837*MAX(0,MIN(AL887,AL$833-SUMPRODUCT((AL$625:AL$633+$D$895:$D$903&lt;AL627+$D897)*AL$885:AL$893)))</f>
        <v/>
      </c>
      <c r="AM897" s="47">
        <f>AM837*MAX(0,MIN(AM887,AM$833-SUMPRODUCT((AM$625:AM$633+$D$895:$D$903&lt;AM627+$D897)*AM$885:AM$893)))</f>
        <v/>
      </c>
      <c r="AN897" s="47">
        <f>AN837*MAX(0,MIN(AN887,AN$833-SUMPRODUCT((AN$625:AN$633+$D$895:$D$903&lt;AN627+$D897)*AN$885:AN$893)))</f>
        <v/>
      </c>
      <c r="AO897" s="47">
        <f>AO837*MAX(0,MIN(AO887,AO$833-SUMPRODUCT((AO$625:AO$633+$D$895:$D$903&lt;AO627+$D897)*AO$885:AO$893)))</f>
        <v/>
      </c>
      <c r="AP897" s="47">
        <f>AP837*MAX(0,MIN(AP887,AP$833-SUMPRODUCT((AP$625:AP$633+$D$895:$D$903&lt;AP627+$D897)*AP$885:AP$893)))</f>
        <v/>
      </c>
      <c r="AQ897" s="47">
        <f>AQ837*MAX(0,MIN(AQ887,AQ$833-SUMPRODUCT((AQ$625:AQ$633+$D$895:$D$903&lt;AQ627+$D897)*AQ$885:AQ$893)))</f>
        <v/>
      </c>
      <c r="AR897" s="47">
        <f>AR837*MAX(0,MIN(AR887,AR$833-SUMPRODUCT((AR$625:AR$633+$D$895:$D$903&lt;AR627+$D897)*AR$885:AR$893)))</f>
        <v/>
      </c>
      <c r="AS897" s="47">
        <f>AS837*MAX(0,MIN(AS887,AS$833-SUMPRODUCT((AS$625:AS$633+$D$895:$D$903&lt;AS627+$D897)*AS$885:AS$893)))</f>
        <v/>
      </c>
      <c r="AT897" s="47">
        <f>AT837*MAX(0,MIN(AT887,AT$833-SUMPRODUCT((AT$625:AT$633+$D$895:$D$903&lt;AT627+$D897)*AT$885:AT$893)))</f>
        <v/>
      </c>
      <c r="AU897" s="47">
        <f>AU837*MAX(0,MIN(AU887,AU$833-SUMPRODUCT((AU$625:AU$633+$D$895:$D$903&lt;AU627+$D897)*AU$885:AU$893)))</f>
        <v/>
      </c>
      <c r="AV897" s="47">
        <f>AV837*MAX(0,MIN(AV887,AV$833-SUMPRODUCT((AV$625:AV$633+$D$895:$D$903&lt;AV627+$D897)*AV$885:AV$893)))</f>
        <v/>
      </c>
      <c r="AW897" s="47">
        <f>AW837*MAX(0,MIN(AW887,AW$833-SUMPRODUCT((AW$625:AW$633+$D$895:$D$903&lt;AW627+$D897)*AW$885:AW$893)))</f>
        <v/>
      </c>
      <c r="AX897" s="47">
        <f>AX837*MAX(0,MIN(AX887,AX$833-SUMPRODUCT((AX$625:AX$633+$D$895:$D$903&lt;AX627+$D897)*AX$885:AX$893)))</f>
        <v/>
      </c>
      <c r="AY897" s="47">
        <f>AY837*MAX(0,MIN(AY887,AY$833-SUMPRODUCT((AY$625:AY$633+$D$895:$D$903&lt;AY627+$D897)*AY$885:AY$893)))</f>
        <v/>
      </c>
      <c r="AZ897" s="47">
        <f>AZ837*MAX(0,MIN(AZ887,AZ$833-SUMPRODUCT((AZ$625:AZ$633+$D$895:$D$903&lt;AZ627+$D897)*AZ$885:AZ$893)))</f>
        <v/>
      </c>
      <c r="BA897" s="48">
        <f>CHEAPFILL(BA837,BA887,BA$833,SUMPRODUCT((BA$625:BA$633+$D$895:$D$903&lt;BA627+$D897)*BA$885:BA$893))</f>
        <v/>
      </c>
    </row>
    <row r="898" hidden="1" outlineLevel="1">
      <c r="A898" s="14" t="inlineStr">
        <is>
          <t>second</t>
        </is>
      </c>
      <c r="B898" s="14" t="inlineStr">
        <is>
          <t>nuc</t>
        </is>
      </c>
      <c r="C898" s="14" t="inlineStr">
        <is>
          <t>pow</t>
        </is>
      </c>
      <c r="D898" s="45">
        <f>INDEX(Inputs_power!$AT$5:$AT$13,MATCH($B898,Inputs_power!$A$5:$A$13,0))</f>
        <v/>
      </c>
      <c r="E898" s="39" t="n"/>
      <c r="F898" s="39" t="n"/>
      <c r="G898" s="39" t="n"/>
      <c r="H898" s="14">
        <f>INDEX(VarLab,MATCH($A898,VarKey,0))&amp;INDEX(MemLab,MATCH($C898&amp;"|"&amp;$B898,MemKey,0))</f>
        <v/>
      </c>
      <c r="I898" s="14">
        <f>INDEX(VarUnit,MATCH($A898,VarKey,0))</f>
        <v/>
      </c>
      <c r="J898" s="14">
        <f>INDEX(VarSrc,MATCH($A898,VarKey,0))</f>
        <v/>
      </c>
      <c r="K898" s="11">
        <f>CodePrefix&amp;$A898&amp;IF($C898="","","."&amp;$C898&amp;"."&amp;$B898)&amp;INDEX(VarEnd,MATCH($A898,VarKey,0))&amp;K$5</f>
        <v/>
      </c>
      <c r="L898" s="46">
        <f>L838*MAX(0,MIN(L888,L$833-SUMPRODUCT((L$625:L$633+$D$895:$D$903&lt;L628+$D898)*L$885:L$893)))</f>
        <v/>
      </c>
      <c r="M898" s="47">
        <f>M838*MAX(0,MIN(M888,M$833-SUMPRODUCT((M$625:M$633+$D$895:$D$903&lt;M628+$D898)*M$885:M$893)))</f>
        <v/>
      </c>
      <c r="N898" s="47">
        <f>N838*MAX(0,MIN(N888,N$833-SUMPRODUCT((N$625:N$633+$D$895:$D$903&lt;N628+$D898)*N$885:N$893)))</f>
        <v/>
      </c>
      <c r="O898" s="47">
        <f>O838*MAX(0,MIN(O888,O$833-SUMPRODUCT((O$625:O$633+$D$895:$D$903&lt;O628+$D898)*O$885:O$893)))</f>
        <v/>
      </c>
      <c r="P898" s="47">
        <f>P838*MAX(0,MIN(P888,P$833-SUMPRODUCT((P$625:P$633+$D$895:$D$903&lt;P628+$D898)*P$885:P$893)))</f>
        <v/>
      </c>
      <c r="Q898" s="47">
        <f>Q838*MAX(0,MIN(Q888,Q$833-SUMPRODUCT((Q$625:Q$633+$D$895:$D$903&lt;Q628+$D898)*Q$885:Q$893)))</f>
        <v/>
      </c>
      <c r="R898" s="47">
        <f>R838*MAX(0,MIN(R888,R$833-SUMPRODUCT((R$625:R$633+$D$895:$D$903&lt;R628+$D898)*R$885:R$893)))</f>
        <v/>
      </c>
      <c r="S898" s="47">
        <f>S838*MAX(0,MIN(S888,S$833-SUMPRODUCT((S$625:S$633+$D$895:$D$903&lt;S628+$D898)*S$885:S$893)))</f>
        <v/>
      </c>
      <c r="T898" s="47">
        <f>T838*MAX(0,MIN(T888,T$833-SUMPRODUCT((T$625:T$633+$D$895:$D$903&lt;T628+$D898)*T$885:T$893)))</f>
        <v/>
      </c>
      <c r="U898" s="47">
        <f>U838*MAX(0,MIN(U888,U$833-SUMPRODUCT((U$625:U$633+$D$895:$D$903&lt;U628+$D898)*U$885:U$893)))</f>
        <v/>
      </c>
      <c r="V898" s="47">
        <f>V838*MAX(0,MIN(V888,V$833-SUMPRODUCT((V$625:V$633+$D$895:$D$903&lt;V628+$D898)*V$885:V$893)))</f>
        <v/>
      </c>
      <c r="W898" s="47">
        <f>W838*MAX(0,MIN(W888,W$833-SUMPRODUCT((W$625:W$633+$D$895:$D$903&lt;W628+$D898)*W$885:W$893)))</f>
        <v/>
      </c>
      <c r="X898" s="47">
        <f>X838*MAX(0,MIN(X888,X$833-SUMPRODUCT((X$625:X$633+$D$895:$D$903&lt;X628+$D898)*X$885:X$893)))</f>
        <v/>
      </c>
      <c r="Y898" s="47">
        <f>Y838*MAX(0,MIN(Y888,Y$833-SUMPRODUCT((Y$625:Y$633+$D$895:$D$903&lt;Y628+$D898)*Y$885:Y$893)))</f>
        <v/>
      </c>
      <c r="Z898" s="47">
        <f>Z838*MAX(0,MIN(Z888,Z$833-SUMPRODUCT((Z$625:Z$633+$D$895:$D$903&lt;Z628+$D898)*Z$885:Z$893)))</f>
        <v/>
      </c>
      <c r="AA898" s="47">
        <f>AA838*MAX(0,MIN(AA888,AA$833-SUMPRODUCT((AA$625:AA$633+$D$895:$D$903&lt;AA628+$D898)*AA$885:AA$893)))</f>
        <v/>
      </c>
      <c r="AB898" s="47">
        <f>AB838*MAX(0,MIN(AB888,AB$833-SUMPRODUCT((AB$625:AB$633+$D$895:$D$903&lt;AB628+$D898)*AB$885:AB$893)))</f>
        <v/>
      </c>
      <c r="AC898" s="47">
        <f>AC838*MAX(0,MIN(AC888,AC$833-SUMPRODUCT((AC$625:AC$633+$D$895:$D$903&lt;AC628+$D898)*AC$885:AC$893)))</f>
        <v/>
      </c>
      <c r="AD898" s="47">
        <f>AD838*MAX(0,MIN(AD888,AD$833-SUMPRODUCT((AD$625:AD$633+$D$895:$D$903&lt;AD628+$D898)*AD$885:AD$893)))</f>
        <v/>
      </c>
      <c r="AE898" s="48">
        <f>CHEAPFILL(AE838,AE888,AE$833,SUMPRODUCT((AE$625:AE$633+$D$895:$D$903&lt;AE628+$D898)*AE$885:AE$893))</f>
        <v/>
      </c>
      <c r="AG898" s="11">
        <f>CodePrefix&amp;$A898&amp;IF($C898="","","."&amp;$C898&amp;"."&amp;$B898)&amp;INDEX(VarEnd,MATCH($A898,VarKey,0))&amp;AG$5</f>
        <v/>
      </c>
      <c r="AH898" s="46">
        <f>AH838*MAX(0,MIN(AH888,AH$833-SUMPRODUCT((AH$625:AH$633+$D$895:$D$903&lt;AH628+$D898)*AH$885:AH$893)))</f>
        <v/>
      </c>
      <c r="AI898" s="47">
        <f>AI838*MAX(0,MIN(AI888,AI$833-SUMPRODUCT((AI$625:AI$633+$D$895:$D$903&lt;AI628+$D898)*AI$885:AI$893)))</f>
        <v/>
      </c>
      <c r="AJ898" s="47">
        <f>AJ838*MAX(0,MIN(AJ888,AJ$833-SUMPRODUCT((AJ$625:AJ$633+$D$895:$D$903&lt;AJ628+$D898)*AJ$885:AJ$893)))</f>
        <v/>
      </c>
      <c r="AK898" s="47">
        <f>AK838*MAX(0,MIN(AK888,AK$833-SUMPRODUCT((AK$625:AK$633+$D$895:$D$903&lt;AK628+$D898)*AK$885:AK$893)))</f>
        <v/>
      </c>
      <c r="AL898" s="47">
        <f>AL838*MAX(0,MIN(AL888,AL$833-SUMPRODUCT((AL$625:AL$633+$D$895:$D$903&lt;AL628+$D898)*AL$885:AL$893)))</f>
        <v/>
      </c>
      <c r="AM898" s="47">
        <f>AM838*MAX(0,MIN(AM888,AM$833-SUMPRODUCT((AM$625:AM$633+$D$895:$D$903&lt;AM628+$D898)*AM$885:AM$893)))</f>
        <v/>
      </c>
      <c r="AN898" s="47">
        <f>AN838*MAX(0,MIN(AN888,AN$833-SUMPRODUCT((AN$625:AN$633+$D$895:$D$903&lt;AN628+$D898)*AN$885:AN$893)))</f>
        <v/>
      </c>
      <c r="AO898" s="47">
        <f>AO838*MAX(0,MIN(AO888,AO$833-SUMPRODUCT((AO$625:AO$633+$D$895:$D$903&lt;AO628+$D898)*AO$885:AO$893)))</f>
        <v/>
      </c>
      <c r="AP898" s="47">
        <f>AP838*MAX(0,MIN(AP888,AP$833-SUMPRODUCT((AP$625:AP$633+$D$895:$D$903&lt;AP628+$D898)*AP$885:AP$893)))</f>
        <v/>
      </c>
      <c r="AQ898" s="47">
        <f>AQ838*MAX(0,MIN(AQ888,AQ$833-SUMPRODUCT((AQ$625:AQ$633+$D$895:$D$903&lt;AQ628+$D898)*AQ$885:AQ$893)))</f>
        <v/>
      </c>
      <c r="AR898" s="47">
        <f>AR838*MAX(0,MIN(AR888,AR$833-SUMPRODUCT((AR$625:AR$633+$D$895:$D$903&lt;AR628+$D898)*AR$885:AR$893)))</f>
        <v/>
      </c>
      <c r="AS898" s="47">
        <f>AS838*MAX(0,MIN(AS888,AS$833-SUMPRODUCT((AS$625:AS$633+$D$895:$D$903&lt;AS628+$D898)*AS$885:AS$893)))</f>
        <v/>
      </c>
      <c r="AT898" s="47">
        <f>AT838*MAX(0,MIN(AT888,AT$833-SUMPRODUCT((AT$625:AT$633+$D$895:$D$903&lt;AT628+$D898)*AT$885:AT$893)))</f>
        <v/>
      </c>
      <c r="AU898" s="47">
        <f>AU838*MAX(0,MIN(AU888,AU$833-SUMPRODUCT((AU$625:AU$633+$D$895:$D$903&lt;AU628+$D898)*AU$885:AU$893)))</f>
        <v/>
      </c>
      <c r="AV898" s="47">
        <f>AV838*MAX(0,MIN(AV888,AV$833-SUMPRODUCT((AV$625:AV$633+$D$895:$D$903&lt;AV628+$D898)*AV$885:AV$893)))</f>
        <v/>
      </c>
      <c r="AW898" s="47">
        <f>AW838*MAX(0,MIN(AW888,AW$833-SUMPRODUCT((AW$625:AW$633+$D$895:$D$903&lt;AW628+$D898)*AW$885:AW$893)))</f>
        <v/>
      </c>
      <c r="AX898" s="47">
        <f>AX838*MAX(0,MIN(AX888,AX$833-SUMPRODUCT((AX$625:AX$633+$D$895:$D$903&lt;AX628+$D898)*AX$885:AX$893)))</f>
        <v/>
      </c>
      <c r="AY898" s="47">
        <f>AY838*MAX(0,MIN(AY888,AY$833-SUMPRODUCT((AY$625:AY$633+$D$895:$D$903&lt;AY628+$D898)*AY$885:AY$893)))</f>
        <v/>
      </c>
      <c r="AZ898" s="47">
        <f>AZ838*MAX(0,MIN(AZ888,AZ$833-SUMPRODUCT((AZ$625:AZ$633+$D$895:$D$903&lt;AZ628+$D898)*AZ$885:AZ$893)))</f>
        <v/>
      </c>
      <c r="BA898" s="48">
        <f>CHEAPFILL(BA838,BA888,BA$833,SUMPRODUCT((BA$625:BA$633+$D$895:$D$903&lt;BA628+$D898)*BA$885:BA$893))</f>
        <v/>
      </c>
    </row>
    <row r="899" hidden="1" outlineLevel="1">
      <c r="A899" s="14" t="inlineStr">
        <is>
          <t>second</t>
        </is>
      </c>
      <c r="B899" s="14" t="inlineStr">
        <is>
          <t>wnd</t>
        </is>
      </c>
      <c r="C899" s="14" t="inlineStr">
        <is>
          <t>pow</t>
        </is>
      </c>
      <c r="D899" s="45">
        <f>INDEX(Inputs_power!$AT$5:$AT$13,MATCH($B899,Inputs_power!$A$5:$A$13,0))</f>
        <v/>
      </c>
      <c r="E899" s="39" t="n"/>
      <c r="F899" s="39" t="n"/>
      <c r="G899" s="39" t="n"/>
      <c r="H899" s="14">
        <f>INDEX(VarLab,MATCH($A899,VarKey,0))&amp;INDEX(MemLab,MATCH($C899&amp;"|"&amp;$B899,MemKey,0))</f>
        <v/>
      </c>
      <c r="I899" s="14">
        <f>INDEX(VarUnit,MATCH($A899,VarKey,0))</f>
        <v/>
      </c>
      <c r="J899" s="14">
        <f>INDEX(VarSrc,MATCH($A899,VarKey,0))</f>
        <v/>
      </c>
      <c r="K899" s="11">
        <f>CodePrefix&amp;$A899&amp;IF($C899="","","."&amp;$C899&amp;"."&amp;$B899)&amp;INDEX(VarEnd,MATCH($A899,VarKey,0))&amp;K$5</f>
        <v/>
      </c>
      <c r="L899" s="46">
        <f>L839*MAX(0,MIN(L889,L$833-SUMPRODUCT((L$625:L$633+$D$895:$D$903&lt;L629+$D899)*L$885:L$893)))</f>
        <v/>
      </c>
      <c r="M899" s="47">
        <f>M839*MAX(0,MIN(M889,M$833-SUMPRODUCT((M$625:M$633+$D$895:$D$903&lt;M629+$D899)*M$885:M$893)))</f>
        <v/>
      </c>
      <c r="N899" s="47">
        <f>N839*MAX(0,MIN(N889,N$833-SUMPRODUCT((N$625:N$633+$D$895:$D$903&lt;N629+$D899)*N$885:N$893)))</f>
        <v/>
      </c>
      <c r="O899" s="47">
        <f>O839*MAX(0,MIN(O889,O$833-SUMPRODUCT((O$625:O$633+$D$895:$D$903&lt;O629+$D899)*O$885:O$893)))</f>
        <v/>
      </c>
      <c r="P899" s="47">
        <f>P839*MAX(0,MIN(P889,P$833-SUMPRODUCT((P$625:P$633+$D$895:$D$903&lt;P629+$D899)*P$885:P$893)))</f>
        <v/>
      </c>
      <c r="Q899" s="47">
        <f>Q839*MAX(0,MIN(Q889,Q$833-SUMPRODUCT((Q$625:Q$633+$D$895:$D$903&lt;Q629+$D899)*Q$885:Q$893)))</f>
        <v/>
      </c>
      <c r="R899" s="47">
        <f>R839*MAX(0,MIN(R889,R$833-SUMPRODUCT((R$625:R$633+$D$895:$D$903&lt;R629+$D899)*R$885:R$893)))</f>
        <v/>
      </c>
      <c r="S899" s="47">
        <f>S839*MAX(0,MIN(S889,S$833-SUMPRODUCT((S$625:S$633+$D$895:$D$903&lt;S629+$D899)*S$885:S$893)))</f>
        <v/>
      </c>
      <c r="T899" s="47">
        <f>T839*MAX(0,MIN(T889,T$833-SUMPRODUCT((T$625:T$633+$D$895:$D$903&lt;T629+$D899)*T$885:T$893)))</f>
        <v/>
      </c>
      <c r="U899" s="47">
        <f>U839*MAX(0,MIN(U889,U$833-SUMPRODUCT((U$625:U$633+$D$895:$D$903&lt;U629+$D899)*U$885:U$893)))</f>
        <v/>
      </c>
      <c r="V899" s="47">
        <f>V839*MAX(0,MIN(V889,V$833-SUMPRODUCT((V$625:V$633+$D$895:$D$903&lt;V629+$D899)*V$885:V$893)))</f>
        <v/>
      </c>
      <c r="W899" s="47">
        <f>W839*MAX(0,MIN(W889,W$833-SUMPRODUCT((W$625:W$633+$D$895:$D$903&lt;W629+$D899)*W$885:W$893)))</f>
        <v/>
      </c>
      <c r="X899" s="47">
        <f>X839*MAX(0,MIN(X889,X$833-SUMPRODUCT((X$625:X$633+$D$895:$D$903&lt;X629+$D899)*X$885:X$893)))</f>
        <v/>
      </c>
      <c r="Y899" s="47">
        <f>Y839*MAX(0,MIN(Y889,Y$833-SUMPRODUCT((Y$625:Y$633+$D$895:$D$903&lt;Y629+$D899)*Y$885:Y$893)))</f>
        <v/>
      </c>
      <c r="Z899" s="47">
        <f>Z839*MAX(0,MIN(Z889,Z$833-SUMPRODUCT((Z$625:Z$633+$D$895:$D$903&lt;Z629+$D899)*Z$885:Z$893)))</f>
        <v/>
      </c>
      <c r="AA899" s="47">
        <f>AA839*MAX(0,MIN(AA889,AA$833-SUMPRODUCT((AA$625:AA$633+$D$895:$D$903&lt;AA629+$D899)*AA$885:AA$893)))</f>
        <v/>
      </c>
      <c r="AB899" s="47">
        <f>AB839*MAX(0,MIN(AB889,AB$833-SUMPRODUCT((AB$625:AB$633+$D$895:$D$903&lt;AB629+$D899)*AB$885:AB$893)))</f>
        <v/>
      </c>
      <c r="AC899" s="47">
        <f>AC839*MAX(0,MIN(AC889,AC$833-SUMPRODUCT((AC$625:AC$633+$D$895:$D$903&lt;AC629+$D899)*AC$885:AC$893)))</f>
        <v/>
      </c>
      <c r="AD899" s="47">
        <f>AD839*MAX(0,MIN(AD889,AD$833-SUMPRODUCT((AD$625:AD$633+$D$895:$D$903&lt;AD629+$D899)*AD$885:AD$893)))</f>
        <v/>
      </c>
      <c r="AE899" s="48">
        <f>CHEAPFILL(AE839,AE889,AE$833,SUMPRODUCT((AE$625:AE$633+$D$895:$D$903&lt;AE629+$D899)*AE$885:AE$893))</f>
        <v/>
      </c>
      <c r="AG899" s="11">
        <f>CodePrefix&amp;$A899&amp;IF($C899="","","."&amp;$C899&amp;"."&amp;$B899)&amp;INDEX(VarEnd,MATCH($A899,VarKey,0))&amp;AG$5</f>
        <v/>
      </c>
      <c r="AH899" s="46">
        <f>AH839*MAX(0,MIN(AH889,AH$833-SUMPRODUCT((AH$625:AH$633+$D$895:$D$903&lt;AH629+$D899)*AH$885:AH$893)))</f>
        <v/>
      </c>
      <c r="AI899" s="47">
        <f>AI839*MAX(0,MIN(AI889,AI$833-SUMPRODUCT((AI$625:AI$633+$D$895:$D$903&lt;AI629+$D899)*AI$885:AI$893)))</f>
        <v/>
      </c>
      <c r="AJ899" s="47">
        <f>AJ839*MAX(0,MIN(AJ889,AJ$833-SUMPRODUCT((AJ$625:AJ$633+$D$895:$D$903&lt;AJ629+$D899)*AJ$885:AJ$893)))</f>
        <v/>
      </c>
      <c r="AK899" s="47">
        <f>AK839*MAX(0,MIN(AK889,AK$833-SUMPRODUCT((AK$625:AK$633+$D$895:$D$903&lt;AK629+$D899)*AK$885:AK$893)))</f>
        <v/>
      </c>
      <c r="AL899" s="47">
        <f>AL839*MAX(0,MIN(AL889,AL$833-SUMPRODUCT((AL$625:AL$633+$D$895:$D$903&lt;AL629+$D899)*AL$885:AL$893)))</f>
        <v/>
      </c>
      <c r="AM899" s="47">
        <f>AM839*MAX(0,MIN(AM889,AM$833-SUMPRODUCT((AM$625:AM$633+$D$895:$D$903&lt;AM629+$D899)*AM$885:AM$893)))</f>
        <v/>
      </c>
      <c r="AN899" s="47">
        <f>AN839*MAX(0,MIN(AN889,AN$833-SUMPRODUCT((AN$625:AN$633+$D$895:$D$903&lt;AN629+$D899)*AN$885:AN$893)))</f>
        <v/>
      </c>
      <c r="AO899" s="47">
        <f>AO839*MAX(0,MIN(AO889,AO$833-SUMPRODUCT((AO$625:AO$633+$D$895:$D$903&lt;AO629+$D899)*AO$885:AO$893)))</f>
        <v/>
      </c>
      <c r="AP899" s="47">
        <f>AP839*MAX(0,MIN(AP889,AP$833-SUMPRODUCT((AP$625:AP$633+$D$895:$D$903&lt;AP629+$D899)*AP$885:AP$893)))</f>
        <v/>
      </c>
      <c r="AQ899" s="47">
        <f>AQ839*MAX(0,MIN(AQ889,AQ$833-SUMPRODUCT((AQ$625:AQ$633+$D$895:$D$903&lt;AQ629+$D899)*AQ$885:AQ$893)))</f>
        <v/>
      </c>
      <c r="AR899" s="47">
        <f>AR839*MAX(0,MIN(AR889,AR$833-SUMPRODUCT((AR$625:AR$633+$D$895:$D$903&lt;AR629+$D899)*AR$885:AR$893)))</f>
        <v/>
      </c>
      <c r="AS899" s="47">
        <f>AS839*MAX(0,MIN(AS889,AS$833-SUMPRODUCT((AS$625:AS$633+$D$895:$D$903&lt;AS629+$D899)*AS$885:AS$893)))</f>
        <v/>
      </c>
      <c r="AT899" s="47">
        <f>AT839*MAX(0,MIN(AT889,AT$833-SUMPRODUCT((AT$625:AT$633+$D$895:$D$903&lt;AT629+$D899)*AT$885:AT$893)))</f>
        <v/>
      </c>
      <c r="AU899" s="47">
        <f>AU839*MAX(0,MIN(AU889,AU$833-SUMPRODUCT((AU$625:AU$633+$D$895:$D$903&lt;AU629+$D899)*AU$885:AU$893)))</f>
        <v/>
      </c>
      <c r="AV899" s="47">
        <f>AV839*MAX(0,MIN(AV889,AV$833-SUMPRODUCT((AV$625:AV$633+$D$895:$D$903&lt;AV629+$D899)*AV$885:AV$893)))</f>
        <v/>
      </c>
      <c r="AW899" s="47">
        <f>AW839*MAX(0,MIN(AW889,AW$833-SUMPRODUCT((AW$625:AW$633+$D$895:$D$903&lt;AW629+$D899)*AW$885:AW$893)))</f>
        <v/>
      </c>
      <c r="AX899" s="47">
        <f>AX839*MAX(0,MIN(AX889,AX$833-SUMPRODUCT((AX$625:AX$633+$D$895:$D$903&lt;AX629+$D899)*AX$885:AX$893)))</f>
        <v/>
      </c>
      <c r="AY899" s="47">
        <f>AY839*MAX(0,MIN(AY889,AY$833-SUMPRODUCT((AY$625:AY$633+$D$895:$D$903&lt;AY629+$D899)*AY$885:AY$893)))</f>
        <v/>
      </c>
      <c r="AZ899" s="47">
        <f>AZ839*MAX(0,MIN(AZ889,AZ$833-SUMPRODUCT((AZ$625:AZ$633+$D$895:$D$903&lt;AZ629+$D899)*AZ$885:AZ$893)))</f>
        <v/>
      </c>
      <c r="BA899" s="48">
        <f>CHEAPFILL(BA839,BA889,BA$833,SUMPRODUCT((BA$625:BA$633+$D$895:$D$903&lt;BA629+$D899)*BA$885:BA$893))</f>
        <v/>
      </c>
    </row>
    <row r="900" hidden="1" outlineLevel="1">
      <c r="A900" s="14" t="inlineStr">
        <is>
          <t>second</t>
        </is>
      </c>
      <c r="B900" s="14" t="inlineStr">
        <is>
          <t>sol</t>
        </is>
      </c>
      <c r="C900" s="14" t="inlineStr">
        <is>
          <t>pow</t>
        </is>
      </c>
      <c r="D900" s="45">
        <f>INDEX(Inputs_power!$AT$5:$AT$13,MATCH($B900,Inputs_power!$A$5:$A$13,0))</f>
        <v/>
      </c>
      <c r="E900" s="39" t="n"/>
      <c r="F900" s="39" t="n"/>
      <c r="G900" s="39" t="n"/>
      <c r="H900" s="14">
        <f>INDEX(VarLab,MATCH($A900,VarKey,0))&amp;INDEX(MemLab,MATCH($C900&amp;"|"&amp;$B900,MemKey,0))</f>
        <v/>
      </c>
      <c r="I900" s="14">
        <f>INDEX(VarUnit,MATCH($A900,VarKey,0))</f>
        <v/>
      </c>
      <c r="J900" s="14">
        <f>INDEX(VarSrc,MATCH($A900,VarKey,0))</f>
        <v/>
      </c>
      <c r="K900" s="11">
        <f>CodePrefix&amp;$A900&amp;IF($C900="","","."&amp;$C900&amp;"."&amp;$B900)&amp;INDEX(VarEnd,MATCH($A900,VarKey,0))&amp;K$5</f>
        <v/>
      </c>
      <c r="L900" s="46">
        <f>L840*MAX(0,MIN(L890,L$833-SUMPRODUCT((L$625:L$633+$D$895:$D$903&lt;L630+$D900)*L$885:L$893)))</f>
        <v/>
      </c>
      <c r="M900" s="47">
        <f>M840*MAX(0,MIN(M890,M$833-SUMPRODUCT((M$625:M$633+$D$895:$D$903&lt;M630+$D900)*M$885:M$893)))</f>
        <v/>
      </c>
      <c r="N900" s="47">
        <f>N840*MAX(0,MIN(N890,N$833-SUMPRODUCT((N$625:N$633+$D$895:$D$903&lt;N630+$D900)*N$885:N$893)))</f>
        <v/>
      </c>
      <c r="O900" s="47">
        <f>O840*MAX(0,MIN(O890,O$833-SUMPRODUCT((O$625:O$633+$D$895:$D$903&lt;O630+$D900)*O$885:O$893)))</f>
        <v/>
      </c>
      <c r="P900" s="47">
        <f>P840*MAX(0,MIN(P890,P$833-SUMPRODUCT((P$625:P$633+$D$895:$D$903&lt;P630+$D900)*P$885:P$893)))</f>
        <v/>
      </c>
      <c r="Q900" s="47">
        <f>Q840*MAX(0,MIN(Q890,Q$833-SUMPRODUCT((Q$625:Q$633+$D$895:$D$903&lt;Q630+$D900)*Q$885:Q$893)))</f>
        <v/>
      </c>
      <c r="R900" s="47">
        <f>R840*MAX(0,MIN(R890,R$833-SUMPRODUCT((R$625:R$633+$D$895:$D$903&lt;R630+$D900)*R$885:R$893)))</f>
        <v/>
      </c>
      <c r="S900" s="47">
        <f>S840*MAX(0,MIN(S890,S$833-SUMPRODUCT((S$625:S$633+$D$895:$D$903&lt;S630+$D900)*S$885:S$893)))</f>
        <v/>
      </c>
      <c r="T900" s="47">
        <f>T840*MAX(0,MIN(T890,T$833-SUMPRODUCT((T$625:T$633+$D$895:$D$903&lt;T630+$D900)*T$885:T$893)))</f>
        <v/>
      </c>
      <c r="U900" s="47">
        <f>U840*MAX(0,MIN(U890,U$833-SUMPRODUCT((U$625:U$633+$D$895:$D$903&lt;U630+$D900)*U$885:U$893)))</f>
        <v/>
      </c>
      <c r="V900" s="47">
        <f>V840*MAX(0,MIN(V890,V$833-SUMPRODUCT((V$625:V$633+$D$895:$D$903&lt;V630+$D900)*V$885:V$893)))</f>
        <v/>
      </c>
      <c r="W900" s="47">
        <f>W840*MAX(0,MIN(W890,W$833-SUMPRODUCT((W$625:W$633+$D$895:$D$903&lt;W630+$D900)*W$885:W$893)))</f>
        <v/>
      </c>
      <c r="X900" s="47">
        <f>X840*MAX(0,MIN(X890,X$833-SUMPRODUCT((X$625:X$633+$D$895:$D$903&lt;X630+$D900)*X$885:X$893)))</f>
        <v/>
      </c>
      <c r="Y900" s="47">
        <f>Y840*MAX(0,MIN(Y890,Y$833-SUMPRODUCT((Y$625:Y$633+$D$895:$D$903&lt;Y630+$D900)*Y$885:Y$893)))</f>
        <v/>
      </c>
      <c r="Z900" s="47">
        <f>Z840*MAX(0,MIN(Z890,Z$833-SUMPRODUCT((Z$625:Z$633+$D$895:$D$903&lt;Z630+$D900)*Z$885:Z$893)))</f>
        <v/>
      </c>
      <c r="AA900" s="47">
        <f>AA840*MAX(0,MIN(AA890,AA$833-SUMPRODUCT((AA$625:AA$633+$D$895:$D$903&lt;AA630+$D900)*AA$885:AA$893)))</f>
        <v/>
      </c>
      <c r="AB900" s="47">
        <f>AB840*MAX(0,MIN(AB890,AB$833-SUMPRODUCT((AB$625:AB$633+$D$895:$D$903&lt;AB630+$D900)*AB$885:AB$893)))</f>
        <v/>
      </c>
      <c r="AC900" s="47">
        <f>AC840*MAX(0,MIN(AC890,AC$833-SUMPRODUCT((AC$625:AC$633+$D$895:$D$903&lt;AC630+$D900)*AC$885:AC$893)))</f>
        <v/>
      </c>
      <c r="AD900" s="47">
        <f>AD840*MAX(0,MIN(AD890,AD$833-SUMPRODUCT((AD$625:AD$633+$D$895:$D$903&lt;AD630+$D900)*AD$885:AD$893)))</f>
        <v/>
      </c>
      <c r="AE900" s="48">
        <f>CHEAPFILL(AE840,AE890,AE$833,SUMPRODUCT((AE$625:AE$633+$D$895:$D$903&lt;AE630+$D900)*AE$885:AE$893))</f>
        <v/>
      </c>
      <c r="AG900" s="11">
        <f>CodePrefix&amp;$A900&amp;IF($C900="","","."&amp;$C900&amp;"."&amp;$B900)&amp;INDEX(VarEnd,MATCH($A900,VarKey,0))&amp;AG$5</f>
        <v/>
      </c>
      <c r="AH900" s="46">
        <f>AH840*MAX(0,MIN(AH890,AH$833-SUMPRODUCT((AH$625:AH$633+$D$895:$D$903&lt;AH630+$D900)*AH$885:AH$893)))</f>
        <v/>
      </c>
      <c r="AI900" s="47">
        <f>AI840*MAX(0,MIN(AI890,AI$833-SUMPRODUCT((AI$625:AI$633+$D$895:$D$903&lt;AI630+$D900)*AI$885:AI$893)))</f>
        <v/>
      </c>
      <c r="AJ900" s="47">
        <f>AJ840*MAX(0,MIN(AJ890,AJ$833-SUMPRODUCT((AJ$625:AJ$633+$D$895:$D$903&lt;AJ630+$D900)*AJ$885:AJ$893)))</f>
        <v/>
      </c>
      <c r="AK900" s="47">
        <f>AK840*MAX(0,MIN(AK890,AK$833-SUMPRODUCT((AK$625:AK$633+$D$895:$D$903&lt;AK630+$D900)*AK$885:AK$893)))</f>
        <v/>
      </c>
      <c r="AL900" s="47">
        <f>AL840*MAX(0,MIN(AL890,AL$833-SUMPRODUCT((AL$625:AL$633+$D$895:$D$903&lt;AL630+$D900)*AL$885:AL$893)))</f>
        <v/>
      </c>
      <c r="AM900" s="47">
        <f>AM840*MAX(0,MIN(AM890,AM$833-SUMPRODUCT((AM$625:AM$633+$D$895:$D$903&lt;AM630+$D900)*AM$885:AM$893)))</f>
        <v/>
      </c>
      <c r="AN900" s="47">
        <f>AN840*MAX(0,MIN(AN890,AN$833-SUMPRODUCT((AN$625:AN$633+$D$895:$D$903&lt;AN630+$D900)*AN$885:AN$893)))</f>
        <v/>
      </c>
      <c r="AO900" s="47">
        <f>AO840*MAX(0,MIN(AO890,AO$833-SUMPRODUCT((AO$625:AO$633+$D$895:$D$903&lt;AO630+$D900)*AO$885:AO$893)))</f>
        <v/>
      </c>
      <c r="AP900" s="47">
        <f>AP840*MAX(0,MIN(AP890,AP$833-SUMPRODUCT((AP$625:AP$633+$D$895:$D$903&lt;AP630+$D900)*AP$885:AP$893)))</f>
        <v/>
      </c>
      <c r="AQ900" s="47">
        <f>AQ840*MAX(0,MIN(AQ890,AQ$833-SUMPRODUCT((AQ$625:AQ$633+$D$895:$D$903&lt;AQ630+$D900)*AQ$885:AQ$893)))</f>
        <v/>
      </c>
      <c r="AR900" s="47">
        <f>AR840*MAX(0,MIN(AR890,AR$833-SUMPRODUCT((AR$625:AR$633+$D$895:$D$903&lt;AR630+$D900)*AR$885:AR$893)))</f>
        <v/>
      </c>
      <c r="AS900" s="47">
        <f>AS840*MAX(0,MIN(AS890,AS$833-SUMPRODUCT((AS$625:AS$633+$D$895:$D$903&lt;AS630+$D900)*AS$885:AS$893)))</f>
        <v/>
      </c>
      <c r="AT900" s="47">
        <f>AT840*MAX(0,MIN(AT890,AT$833-SUMPRODUCT((AT$625:AT$633+$D$895:$D$903&lt;AT630+$D900)*AT$885:AT$893)))</f>
        <v/>
      </c>
      <c r="AU900" s="47">
        <f>AU840*MAX(0,MIN(AU890,AU$833-SUMPRODUCT((AU$625:AU$633+$D$895:$D$903&lt;AU630+$D900)*AU$885:AU$893)))</f>
        <v/>
      </c>
      <c r="AV900" s="47">
        <f>AV840*MAX(0,MIN(AV890,AV$833-SUMPRODUCT((AV$625:AV$633+$D$895:$D$903&lt;AV630+$D900)*AV$885:AV$893)))</f>
        <v/>
      </c>
      <c r="AW900" s="47">
        <f>AW840*MAX(0,MIN(AW890,AW$833-SUMPRODUCT((AW$625:AW$633+$D$895:$D$903&lt;AW630+$D900)*AW$885:AW$893)))</f>
        <v/>
      </c>
      <c r="AX900" s="47">
        <f>AX840*MAX(0,MIN(AX890,AX$833-SUMPRODUCT((AX$625:AX$633+$D$895:$D$903&lt;AX630+$D900)*AX$885:AX$893)))</f>
        <v/>
      </c>
      <c r="AY900" s="47">
        <f>AY840*MAX(0,MIN(AY890,AY$833-SUMPRODUCT((AY$625:AY$633+$D$895:$D$903&lt;AY630+$D900)*AY$885:AY$893)))</f>
        <v/>
      </c>
      <c r="AZ900" s="47">
        <f>AZ840*MAX(0,MIN(AZ890,AZ$833-SUMPRODUCT((AZ$625:AZ$633+$D$895:$D$903&lt;AZ630+$D900)*AZ$885:AZ$893)))</f>
        <v/>
      </c>
      <c r="BA900" s="48">
        <f>CHEAPFILL(BA840,BA890,BA$833,SUMPRODUCT((BA$625:BA$633+$D$895:$D$903&lt;BA630+$D900)*BA$885:BA$893))</f>
        <v/>
      </c>
    </row>
    <row r="901" hidden="1" outlineLevel="1">
      <c r="A901" s="14" t="inlineStr">
        <is>
          <t>second</t>
        </is>
      </c>
      <c r="B901" s="14" t="inlineStr">
        <is>
          <t>hyd</t>
        </is>
      </c>
      <c r="C901" s="14" t="inlineStr">
        <is>
          <t>pow</t>
        </is>
      </c>
      <c r="D901" s="45">
        <f>INDEX(Inputs_power!$AT$5:$AT$13,MATCH($B901,Inputs_power!$A$5:$A$13,0))</f>
        <v/>
      </c>
      <c r="E901" s="39" t="n"/>
      <c r="F901" s="39" t="n"/>
      <c r="G901" s="39" t="n"/>
      <c r="H901" s="14">
        <f>INDEX(VarLab,MATCH($A901,VarKey,0))&amp;INDEX(MemLab,MATCH($C901&amp;"|"&amp;$B901,MemKey,0))</f>
        <v/>
      </c>
      <c r="I901" s="14">
        <f>INDEX(VarUnit,MATCH($A901,VarKey,0))</f>
        <v/>
      </c>
      <c r="J901" s="14">
        <f>INDEX(VarSrc,MATCH($A901,VarKey,0))</f>
        <v/>
      </c>
      <c r="K901" s="11">
        <f>CodePrefix&amp;$A901&amp;IF($C901="","","."&amp;$C901&amp;"."&amp;$B901)&amp;INDEX(VarEnd,MATCH($A901,VarKey,0))&amp;K$5</f>
        <v/>
      </c>
      <c r="L901" s="46">
        <f>L841*MAX(0,MIN(L891,L$833-SUMPRODUCT((L$625:L$633+$D$895:$D$903&lt;L631+$D901)*L$885:L$893)))</f>
        <v/>
      </c>
      <c r="M901" s="47">
        <f>M841*MAX(0,MIN(M891,M$833-SUMPRODUCT((M$625:M$633+$D$895:$D$903&lt;M631+$D901)*M$885:M$893)))</f>
        <v/>
      </c>
      <c r="N901" s="47">
        <f>N841*MAX(0,MIN(N891,N$833-SUMPRODUCT((N$625:N$633+$D$895:$D$903&lt;N631+$D901)*N$885:N$893)))</f>
        <v/>
      </c>
      <c r="O901" s="47">
        <f>O841*MAX(0,MIN(O891,O$833-SUMPRODUCT((O$625:O$633+$D$895:$D$903&lt;O631+$D901)*O$885:O$893)))</f>
        <v/>
      </c>
      <c r="P901" s="47">
        <f>P841*MAX(0,MIN(P891,P$833-SUMPRODUCT((P$625:P$633+$D$895:$D$903&lt;P631+$D901)*P$885:P$893)))</f>
        <v/>
      </c>
      <c r="Q901" s="47">
        <f>Q841*MAX(0,MIN(Q891,Q$833-SUMPRODUCT((Q$625:Q$633+$D$895:$D$903&lt;Q631+$D901)*Q$885:Q$893)))</f>
        <v/>
      </c>
      <c r="R901" s="47">
        <f>R841*MAX(0,MIN(R891,R$833-SUMPRODUCT((R$625:R$633+$D$895:$D$903&lt;R631+$D901)*R$885:R$893)))</f>
        <v/>
      </c>
      <c r="S901" s="47">
        <f>S841*MAX(0,MIN(S891,S$833-SUMPRODUCT((S$625:S$633+$D$895:$D$903&lt;S631+$D901)*S$885:S$893)))</f>
        <v/>
      </c>
      <c r="T901" s="47">
        <f>T841*MAX(0,MIN(T891,T$833-SUMPRODUCT((T$625:T$633+$D$895:$D$903&lt;T631+$D901)*T$885:T$893)))</f>
        <v/>
      </c>
      <c r="U901" s="47">
        <f>U841*MAX(0,MIN(U891,U$833-SUMPRODUCT((U$625:U$633+$D$895:$D$903&lt;U631+$D901)*U$885:U$893)))</f>
        <v/>
      </c>
      <c r="V901" s="47">
        <f>V841*MAX(0,MIN(V891,V$833-SUMPRODUCT((V$625:V$633+$D$895:$D$903&lt;V631+$D901)*V$885:V$893)))</f>
        <v/>
      </c>
      <c r="W901" s="47">
        <f>W841*MAX(0,MIN(W891,W$833-SUMPRODUCT((W$625:W$633+$D$895:$D$903&lt;W631+$D901)*W$885:W$893)))</f>
        <v/>
      </c>
      <c r="X901" s="47">
        <f>X841*MAX(0,MIN(X891,X$833-SUMPRODUCT((X$625:X$633+$D$895:$D$903&lt;X631+$D901)*X$885:X$893)))</f>
        <v/>
      </c>
      <c r="Y901" s="47">
        <f>Y841*MAX(0,MIN(Y891,Y$833-SUMPRODUCT((Y$625:Y$633+$D$895:$D$903&lt;Y631+$D901)*Y$885:Y$893)))</f>
        <v/>
      </c>
      <c r="Z901" s="47">
        <f>Z841*MAX(0,MIN(Z891,Z$833-SUMPRODUCT((Z$625:Z$633+$D$895:$D$903&lt;Z631+$D901)*Z$885:Z$893)))</f>
        <v/>
      </c>
      <c r="AA901" s="47">
        <f>AA841*MAX(0,MIN(AA891,AA$833-SUMPRODUCT((AA$625:AA$633+$D$895:$D$903&lt;AA631+$D901)*AA$885:AA$893)))</f>
        <v/>
      </c>
      <c r="AB901" s="47">
        <f>AB841*MAX(0,MIN(AB891,AB$833-SUMPRODUCT((AB$625:AB$633+$D$895:$D$903&lt;AB631+$D901)*AB$885:AB$893)))</f>
        <v/>
      </c>
      <c r="AC901" s="47">
        <f>AC841*MAX(0,MIN(AC891,AC$833-SUMPRODUCT((AC$625:AC$633+$D$895:$D$903&lt;AC631+$D901)*AC$885:AC$893)))</f>
        <v/>
      </c>
      <c r="AD901" s="47">
        <f>AD841*MAX(0,MIN(AD891,AD$833-SUMPRODUCT((AD$625:AD$633+$D$895:$D$903&lt;AD631+$D901)*AD$885:AD$893)))</f>
        <v/>
      </c>
      <c r="AE901" s="48">
        <f>CHEAPFILL(AE841,AE891,AE$833,SUMPRODUCT((AE$625:AE$633+$D$895:$D$903&lt;AE631+$D901)*AE$885:AE$893))</f>
        <v/>
      </c>
      <c r="AG901" s="11">
        <f>CodePrefix&amp;$A901&amp;IF($C901="","","."&amp;$C901&amp;"."&amp;$B901)&amp;INDEX(VarEnd,MATCH($A901,VarKey,0))&amp;AG$5</f>
        <v/>
      </c>
      <c r="AH901" s="46">
        <f>AH841*MAX(0,MIN(AH891,AH$833-SUMPRODUCT((AH$625:AH$633+$D$895:$D$903&lt;AH631+$D901)*AH$885:AH$893)))</f>
        <v/>
      </c>
      <c r="AI901" s="47">
        <f>AI841*MAX(0,MIN(AI891,AI$833-SUMPRODUCT((AI$625:AI$633+$D$895:$D$903&lt;AI631+$D901)*AI$885:AI$893)))</f>
        <v/>
      </c>
      <c r="AJ901" s="47">
        <f>AJ841*MAX(0,MIN(AJ891,AJ$833-SUMPRODUCT((AJ$625:AJ$633+$D$895:$D$903&lt;AJ631+$D901)*AJ$885:AJ$893)))</f>
        <v/>
      </c>
      <c r="AK901" s="47">
        <f>AK841*MAX(0,MIN(AK891,AK$833-SUMPRODUCT((AK$625:AK$633+$D$895:$D$903&lt;AK631+$D901)*AK$885:AK$893)))</f>
        <v/>
      </c>
      <c r="AL901" s="47">
        <f>AL841*MAX(0,MIN(AL891,AL$833-SUMPRODUCT((AL$625:AL$633+$D$895:$D$903&lt;AL631+$D901)*AL$885:AL$893)))</f>
        <v/>
      </c>
      <c r="AM901" s="47">
        <f>AM841*MAX(0,MIN(AM891,AM$833-SUMPRODUCT((AM$625:AM$633+$D$895:$D$903&lt;AM631+$D901)*AM$885:AM$893)))</f>
        <v/>
      </c>
      <c r="AN901" s="47">
        <f>AN841*MAX(0,MIN(AN891,AN$833-SUMPRODUCT((AN$625:AN$633+$D$895:$D$903&lt;AN631+$D901)*AN$885:AN$893)))</f>
        <v/>
      </c>
      <c r="AO901" s="47">
        <f>AO841*MAX(0,MIN(AO891,AO$833-SUMPRODUCT((AO$625:AO$633+$D$895:$D$903&lt;AO631+$D901)*AO$885:AO$893)))</f>
        <v/>
      </c>
      <c r="AP901" s="47">
        <f>AP841*MAX(0,MIN(AP891,AP$833-SUMPRODUCT((AP$625:AP$633+$D$895:$D$903&lt;AP631+$D901)*AP$885:AP$893)))</f>
        <v/>
      </c>
      <c r="AQ901" s="47">
        <f>AQ841*MAX(0,MIN(AQ891,AQ$833-SUMPRODUCT((AQ$625:AQ$633+$D$895:$D$903&lt;AQ631+$D901)*AQ$885:AQ$893)))</f>
        <v/>
      </c>
      <c r="AR901" s="47">
        <f>AR841*MAX(0,MIN(AR891,AR$833-SUMPRODUCT((AR$625:AR$633+$D$895:$D$903&lt;AR631+$D901)*AR$885:AR$893)))</f>
        <v/>
      </c>
      <c r="AS901" s="47">
        <f>AS841*MAX(0,MIN(AS891,AS$833-SUMPRODUCT((AS$625:AS$633+$D$895:$D$903&lt;AS631+$D901)*AS$885:AS$893)))</f>
        <v/>
      </c>
      <c r="AT901" s="47">
        <f>AT841*MAX(0,MIN(AT891,AT$833-SUMPRODUCT((AT$625:AT$633+$D$895:$D$903&lt;AT631+$D901)*AT$885:AT$893)))</f>
        <v/>
      </c>
      <c r="AU901" s="47">
        <f>AU841*MAX(0,MIN(AU891,AU$833-SUMPRODUCT((AU$625:AU$633+$D$895:$D$903&lt;AU631+$D901)*AU$885:AU$893)))</f>
        <v/>
      </c>
      <c r="AV901" s="47">
        <f>AV841*MAX(0,MIN(AV891,AV$833-SUMPRODUCT((AV$625:AV$633+$D$895:$D$903&lt;AV631+$D901)*AV$885:AV$893)))</f>
        <v/>
      </c>
      <c r="AW901" s="47">
        <f>AW841*MAX(0,MIN(AW891,AW$833-SUMPRODUCT((AW$625:AW$633+$D$895:$D$903&lt;AW631+$D901)*AW$885:AW$893)))</f>
        <v/>
      </c>
      <c r="AX901" s="47">
        <f>AX841*MAX(0,MIN(AX891,AX$833-SUMPRODUCT((AX$625:AX$633+$D$895:$D$903&lt;AX631+$D901)*AX$885:AX$893)))</f>
        <v/>
      </c>
      <c r="AY901" s="47">
        <f>AY841*MAX(0,MIN(AY891,AY$833-SUMPRODUCT((AY$625:AY$633+$D$895:$D$903&lt;AY631+$D901)*AY$885:AY$893)))</f>
        <v/>
      </c>
      <c r="AZ901" s="47">
        <f>AZ841*MAX(0,MIN(AZ891,AZ$833-SUMPRODUCT((AZ$625:AZ$633+$D$895:$D$903&lt;AZ631+$D901)*AZ$885:AZ$893)))</f>
        <v/>
      </c>
      <c r="BA901" s="48">
        <f>CHEAPFILL(BA841,BA891,BA$833,SUMPRODUCT((BA$625:BA$633+$D$895:$D$903&lt;BA631+$D901)*BA$885:BA$893))</f>
        <v/>
      </c>
    </row>
    <row r="902" hidden="1" outlineLevel="1">
      <c r="A902" s="14" t="inlineStr">
        <is>
          <t>second</t>
        </is>
      </c>
      <c r="B902" s="14" t="inlineStr">
        <is>
          <t>ore</t>
        </is>
      </c>
      <c r="C902" s="14" t="inlineStr">
        <is>
          <t>pow</t>
        </is>
      </c>
      <c r="D902" s="45">
        <f>INDEX(Inputs_power!$AT$5:$AT$13,MATCH($B902,Inputs_power!$A$5:$A$13,0))</f>
        <v/>
      </c>
      <c r="E902" s="39" t="n"/>
      <c r="F902" s="39" t="n"/>
      <c r="G902" s="39" t="n"/>
      <c r="H902" s="14">
        <f>INDEX(VarLab,MATCH($A902,VarKey,0))&amp;INDEX(MemLab,MATCH($C902&amp;"|"&amp;$B902,MemKey,0))</f>
        <v/>
      </c>
      <c r="I902" s="14">
        <f>INDEX(VarUnit,MATCH($A902,VarKey,0))</f>
        <v/>
      </c>
      <c r="J902" s="14">
        <f>INDEX(VarSrc,MATCH($A902,VarKey,0))</f>
        <v/>
      </c>
      <c r="K902" s="11">
        <f>CodePrefix&amp;$A902&amp;IF($C902="","","."&amp;$C902&amp;"."&amp;$B902)&amp;INDEX(VarEnd,MATCH($A902,VarKey,0))&amp;K$5</f>
        <v/>
      </c>
      <c r="L902" s="46">
        <f>L842*MAX(0,MIN(L892,L$833-SUMPRODUCT((L$625:L$633+$D$895:$D$903&lt;L632+$D902)*L$885:L$893)))</f>
        <v/>
      </c>
      <c r="M902" s="47">
        <f>M842*MAX(0,MIN(M892,M$833-SUMPRODUCT((M$625:M$633+$D$895:$D$903&lt;M632+$D902)*M$885:M$893)))</f>
        <v/>
      </c>
      <c r="N902" s="47">
        <f>N842*MAX(0,MIN(N892,N$833-SUMPRODUCT((N$625:N$633+$D$895:$D$903&lt;N632+$D902)*N$885:N$893)))</f>
        <v/>
      </c>
      <c r="O902" s="47">
        <f>O842*MAX(0,MIN(O892,O$833-SUMPRODUCT((O$625:O$633+$D$895:$D$903&lt;O632+$D902)*O$885:O$893)))</f>
        <v/>
      </c>
      <c r="P902" s="47">
        <f>P842*MAX(0,MIN(P892,P$833-SUMPRODUCT((P$625:P$633+$D$895:$D$903&lt;P632+$D902)*P$885:P$893)))</f>
        <v/>
      </c>
      <c r="Q902" s="47">
        <f>Q842*MAX(0,MIN(Q892,Q$833-SUMPRODUCT((Q$625:Q$633+$D$895:$D$903&lt;Q632+$D902)*Q$885:Q$893)))</f>
        <v/>
      </c>
      <c r="R902" s="47">
        <f>R842*MAX(0,MIN(R892,R$833-SUMPRODUCT((R$625:R$633+$D$895:$D$903&lt;R632+$D902)*R$885:R$893)))</f>
        <v/>
      </c>
      <c r="S902" s="47">
        <f>S842*MAX(0,MIN(S892,S$833-SUMPRODUCT((S$625:S$633+$D$895:$D$903&lt;S632+$D902)*S$885:S$893)))</f>
        <v/>
      </c>
      <c r="T902" s="47">
        <f>T842*MAX(0,MIN(T892,T$833-SUMPRODUCT((T$625:T$633+$D$895:$D$903&lt;T632+$D902)*T$885:T$893)))</f>
        <v/>
      </c>
      <c r="U902" s="47">
        <f>U842*MAX(0,MIN(U892,U$833-SUMPRODUCT((U$625:U$633+$D$895:$D$903&lt;U632+$D902)*U$885:U$893)))</f>
        <v/>
      </c>
      <c r="V902" s="47">
        <f>V842*MAX(0,MIN(V892,V$833-SUMPRODUCT((V$625:V$633+$D$895:$D$903&lt;V632+$D902)*V$885:V$893)))</f>
        <v/>
      </c>
      <c r="W902" s="47">
        <f>W842*MAX(0,MIN(W892,W$833-SUMPRODUCT((W$625:W$633+$D$895:$D$903&lt;W632+$D902)*W$885:W$893)))</f>
        <v/>
      </c>
      <c r="X902" s="47">
        <f>X842*MAX(0,MIN(X892,X$833-SUMPRODUCT((X$625:X$633+$D$895:$D$903&lt;X632+$D902)*X$885:X$893)))</f>
        <v/>
      </c>
      <c r="Y902" s="47">
        <f>Y842*MAX(0,MIN(Y892,Y$833-SUMPRODUCT((Y$625:Y$633+$D$895:$D$903&lt;Y632+$D902)*Y$885:Y$893)))</f>
        <v/>
      </c>
      <c r="Z902" s="47">
        <f>Z842*MAX(0,MIN(Z892,Z$833-SUMPRODUCT((Z$625:Z$633+$D$895:$D$903&lt;Z632+$D902)*Z$885:Z$893)))</f>
        <v/>
      </c>
      <c r="AA902" s="47">
        <f>AA842*MAX(0,MIN(AA892,AA$833-SUMPRODUCT((AA$625:AA$633+$D$895:$D$903&lt;AA632+$D902)*AA$885:AA$893)))</f>
        <v/>
      </c>
      <c r="AB902" s="47">
        <f>AB842*MAX(0,MIN(AB892,AB$833-SUMPRODUCT((AB$625:AB$633+$D$895:$D$903&lt;AB632+$D902)*AB$885:AB$893)))</f>
        <v/>
      </c>
      <c r="AC902" s="47">
        <f>AC842*MAX(0,MIN(AC892,AC$833-SUMPRODUCT((AC$625:AC$633+$D$895:$D$903&lt;AC632+$D902)*AC$885:AC$893)))</f>
        <v/>
      </c>
      <c r="AD902" s="47">
        <f>AD842*MAX(0,MIN(AD892,AD$833-SUMPRODUCT((AD$625:AD$633+$D$895:$D$903&lt;AD632+$D902)*AD$885:AD$893)))</f>
        <v/>
      </c>
      <c r="AE902" s="48">
        <f>CHEAPFILL(AE842,AE892,AE$833,SUMPRODUCT((AE$625:AE$633+$D$895:$D$903&lt;AE632+$D902)*AE$885:AE$893))</f>
        <v/>
      </c>
      <c r="AG902" s="11">
        <f>CodePrefix&amp;$A902&amp;IF($C902="","","."&amp;$C902&amp;"."&amp;$B902)&amp;INDEX(VarEnd,MATCH($A902,VarKey,0))&amp;AG$5</f>
        <v/>
      </c>
      <c r="AH902" s="46">
        <f>AH842*MAX(0,MIN(AH892,AH$833-SUMPRODUCT((AH$625:AH$633+$D$895:$D$903&lt;AH632+$D902)*AH$885:AH$893)))</f>
        <v/>
      </c>
      <c r="AI902" s="47">
        <f>AI842*MAX(0,MIN(AI892,AI$833-SUMPRODUCT((AI$625:AI$633+$D$895:$D$903&lt;AI632+$D902)*AI$885:AI$893)))</f>
        <v/>
      </c>
      <c r="AJ902" s="47">
        <f>AJ842*MAX(0,MIN(AJ892,AJ$833-SUMPRODUCT((AJ$625:AJ$633+$D$895:$D$903&lt;AJ632+$D902)*AJ$885:AJ$893)))</f>
        <v/>
      </c>
      <c r="AK902" s="47">
        <f>AK842*MAX(0,MIN(AK892,AK$833-SUMPRODUCT((AK$625:AK$633+$D$895:$D$903&lt;AK632+$D902)*AK$885:AK$893)))</f>
        <v/>
      </c>
      <c r="AL902" s="47">
        <f>AL842*MAX(0,MIN(AL892,AL$833-SUMPRODUCT((AL$625:AL$633+$D$895:$D$903&lt;AL632+$D902)*AL$885:AL$893)))</f>
        <v/>
      </c>
      <c r="AM902" s="47">
        <f>AM842*MAX(0,MIN(AM892,AM$833-SUMPRODUCT((AM$625:AM$633+$D$895:$D$903&lt;AM632+$D902)*AM$885:AM$893)))</f>
        <v/>
      </c>
      <c r="AN902" s="47">
        <f>AN842*MAX(0,MIN(AN892,AN$833-SUMPRODUCT((AN$625:AN$633+$D$895:$D$903&lt;AN632+$D902)*AN$885:AN$893)))</f>
        <v/>
      </c>
      <c r="AO902" s="47">
        <f>AO842*MAX(0,MIN(AO892,AO$833-SUMPRODUCT((AO$625:AO$633+$D$895:$D$903&lt;AO632+$D902)*AO$885:AO$893)))</f>
        <v/>
      </c>
      <c r="AP902" s="47">
        <f>AP842*MAX(0,MIN(AP892,AP$833-SUMPRODUCT((AP$625:AP$633+$D$895:$D$903&lt;AP632+$D902)*AP$885:AP$893)))</f>
        <v/>
      </c>
      <c r="AQ902" s="47">
        <f>AQ842*MAX(0,MIN(AQ892,AQ$833-SUMPRODUCT((AQ$625:AQ$633+$D$895:$D$903&lt;AQ632+$D902)*AQ$885:AQ$893)))</f>
        <v/>
      </c>
      <c r="AR902" s="47">
        <f>AR842*MAX(0,MIN(AR892,AR$833-SUMPRODUCT((AR$625:AR$633+$D$895:$D$903&lt;AR632+$D902)*AR$885:AR$893)))</f>
        <v/>
      </c>
      <c r="AS902" s="47">
        <f>AS842*MAX(0,MIN(AS892,AS$833-SUMPRODUCT((AS$625:AS$633+$D$895:$D$903&lt;AS632+$D902)*AS$885:AS$893)))</f>
        <v/>
      </c>
      <c r="AT902" s="47">
        <f>AT842*MAX(0,MIN(AT892,AT$833-SUMPRODUCT((AT$625:AT$633+$D$895:$D$903&lt;AT632+$D902)*AT$885:AT$893)))</f>
        <v/>
      </c>
      <c r="AU902" s="47">
        <f>AU842*MAX(0,MIN(AU892,AU$833-SUMPRODUCT((AU$625:AU$633+$D$895:$D$903&lt;AU632+$D902)*AU$885:AU$893)))</f>
        <v/>
      </c>
      <c r="AV902" s="47">
        <f>AV842*MAX(0,MIN(AV892,AV$833-SUMPRODUCT((AV$625:AV$633+$D$895:$D$903&lt;AV632+$D902)*AV$885:AV$893)))</f>
        <v/>
      </c>
      <c r="AW902" s="47">
        <f>AW842*MAX(0,MIN(AW892,AW$833-SUMPRODUCT((AW$625:AW$633+$D$895:$D$903&lt;AW632+$D902)*AW$885:AW$893)))</f>
        <v/>
      </c>
      <c r="AX902" s="47">
        <f>AX842*MAX(0,MIN(AX892,AX$833-SUMPRODUCT((AX$625:AX$633+$D$895:$D$903&lt;AX632+$D902)*AX$885:AX$893)))</f>
        <v/>
      </c>
      <c r="AY902" s="47">
        <f>AY842*MAX(0,MIN(AY892,AY$833-SUMPRODUCT((AY$625:AY$633+$D$895:$D$903&lt;AY632+$D902)*AY$885:AY$893)))</f>
        <v/>
      </c>
      <c r="AZ902" s="47">
        <f>AZ842*MAX(0,MIN(AZ892,AZ$833-SUMPRODUCT((AZ$625:AZ$633+$D$895:$D$903&lt;AZ632+$D902)*AZ$885:AZ$893)))</f>
        <v/>
      </c>
      <c r="BA902" s="48">
        <f>CHEAPFILL(BA842,BA892,BA$833,SUMPRODUCT((BA$625:BA$633+$D$895:$D$903&lt;BA632+$D902)*BA$885:BA$893))</f>
        <v/>
      </c>
    </row>
    <row r="903" hidden="1" outlineLevel="1">
      <c r="A903" s="14" t="inlineStr">
        <is>
          <t>second</t>
        </is>
      </c>
      <c r="B903" s="14" t="inlineStr">
        <is>
          <t>bio</t>
        </is>
      </c>
      <c r="C903" s="14" t="inlineStr">
        <is>
          <t>pow</t>
        </is>
      </c>
      <c r="D903" s="45">
        <f>INDEX(Inputs_power!$AT$5:$AT$13,MATCH($B903,Inputs_power!$A$5:$A$13,0))</f>
        <v/>
      </c>
      <c r="E903" s="39" t="n"/>
      <c r="F903" s="39" t="n"/>
      <c r="G903" s="39" t="n"/>
      <c r="H903" s="14">
        <f>INDEX(VarLab,MATCH($A903,VarKey,0))&amp;INDEX(MemLab,MATCH($C903&amp;"|"&amp;$B903,MemKey,0))</f>
        <v/>
      </c>
      <c r="I903" s="14">
        <f>INDEX(VarUnit,MATCH($A903,VarKey,0))</f>
        <v/>
      </c>
      <c r="J903" s="14">
        <f>INDEX(VarSrc,MATCH($A903,VarKey,0))</f>
        <v/>
      </c>
      <c r="K903" s="11">
        <f>CodePrefix&amp;$A903&amp;IF($C903="","","."&amp;$C903&amp;"."&amp;$B903)&amp;INDEX(VarEnd,MATCH($A903,VarKey,0))&amp;K$5</f>
        <v/>
      </c>
      <c r="L903" s="46">
        <f>L843*MAX(0,MIN(L893,L$833-SUMPRODUCT((L$625:L$633+$D$895:$D$903&lt;L633+$D903)*L$885:L$893)))</f>
        <v/>
      </c>
      <c r="M903" s="47">
        <f>M843*MAX(0,MIN(M893,M$833-SUMPRODUCT((M$625:M$633+$D$895:$D$903&lt;M633+$D903)*M$885:M$893)))</f>
        <v/>
      </c>
      <c r="N903" s="47">
        <f>N843*MAX(0,MIN(N893,N$833-SUMPRODUCT((N$625:N$633+$D$895:$D$903&lt;N633+$D903)*N$885:N$893)))</f>
        <v/>
      </c>
      <c r="O903" s="47">
        <f>O843*MAX(0,MIN(O893,O$833-SUMPRODUCT((O$625:O$633+$D$895:$D$903&lt;O633+$D903)*O$885:O$893)))</f>
        <v/>
      </c>
      <c r="P903" s="47">
        <f>P843*MAX(0,MIN(P893,P$833-SUMPRODUCT((P$625:P$633+$D$895:$D$903&lt;P633+$D903)*P$885:P$893)))</f>
        <v/>
      </c>
      <c r="Q903" s="47">
        <f>Q843*MAX(0,MIN(Q893,Q$833-SUMPRODUCT((Q$625:Q$633+$D$895:$D$903&lt;Q633+$D903)*Q$885:Q$893)))</f>
        <v/>
      </c>
      <c r="R903" s="47">
        <f>R843*MAX(0,MIN(R893,R$833-SUMPRODUCT((R$625:R$633+$D$895:$D$903&lt;R633+$D903)*R$885:R$893)))</f>
        <v/>
      </c>
      <c r="S903" s="47">
        <f>S843*MAX(0,MIN(S893,S$833-SUMPRODUCT((S$625:S$633+$D$895:$D$903&lt;S633+$D903)*S$885:S$893)))</f>
        <v/>
      </c>
      <c r="T903" s="47">
        <f>T843*MAX(0,MIN(T893,T$833-SUMPRODUCT((T$625:T$633+$D$895:$D$903&lt;T633+$D903)*T$885:T$893)))</f>
        <v/>
      </c>
      <c r="U903" s="47">
        <f>U843*MAX(0,MIN(U893,U$833-SUMPRODUCT((U$625:U$633+$D$895:$D$903&lt;U633+$D903)*U$885:U$893)))</f>
        <v/>
      </c>
      <c r="V903" s="47">
        <f>V843*MAX(0,MIN(V893,V$833-SUMPRODUCT((V$625:V$633+$D$895:$D$903&lt;V633+$D903)*V$885:V$893)))</f>
        <v/>
      </c>
      <c r="W903" s="47">
        <f>W843*MAX(0,MIN(W893,W$833-SUMPRODUCT((W$625:W$633+$D$895:$D$903&lt;W633+$D903)*W$885:W$893)))</f>
        <v/>
      </c>
      <c r="X903" s="47">
        <f>X843*MAX(0,MIN(X893,X$833-SUMPRODUCT((X$625:X$633+$D$895:$D$903&lt;X633+$D903)*X$885:X$893)))</f>
        <v/>
      </c>
      <c r="Y903" s="47">
        <f>Y843*MAX(0,MIN(Y893,Y$833-SUMPRODUCT((Y$625:Y$633+$D$895:$D$903&lt;Y633+$D903)*Y$885:Y$893)))</f>
        <v/>
      </c>
      <c r="Z903" s="47">
        <f>Z843*MAX(0,MIN(Z893,Z$833-SUMPRODUCT((Z$625:Z$633+$D$895:$D$903&lt;Z633+$D903)*Z$885:Z$893)))</f>
        <v/>
      </c>
      <c r="AA903" s="47">
        <f>AA843*MAX(0,MIN(AA893,AA$833-SUMPRODUCT((AA$625:AA$633+$D$895:$D$903&lt;AA633+$D903)*AA$885:AA$893)))</f>
        <v/>
      </c>
      <c r="AB903" s="47">
        <f>AB843*MAX(0,MIN(AB893,AB$833-SUMPRODUCT((AB$625:AB$633+$D$895:$D$903&lt;AB633+$D903)*AB$885:AB$893)))</f>
        <v/>
      </c>
      <c r="AC903" s="47">
        <f>AC843*MAX(0,MIN(AC893,AC$833-SUMPRODUCT((AC$625:AC$633+$D$895:$D$903&lt;AC633+$D903)*AC$885:AC$893)))</f>
        <v/>
      </c>
      <c r="AD903" s="47">
        <f>AD843*MAX(0,MIN(AD893,AD$833-SUMPRODUCT((AD$625:AD$633+$D$895:$D$903&lt;AD633+$D903)*AD$885:AD$893)))</f>
        <v/>
      </c>
      <c r="AE903" s="48">
        <f>CHEAPFILL(AE843,AE893,AE$833,SUMPRODUCT((AE$625:AE$633+$D$895:$D$903&lt;AE633+$D903)*AE$885:AE$893))</f>
        <v/>
      </c>
      <c r="AG903" s="11">
        <f>CodePrefix&amp;$A903&amp;IF($C903="","","."&amp;$C903&amp;"."&amp;$B903)&amp;INDEX(VarEnd,MATCH($A903,VarKey,0))&amp;AG$5</f>
        <v/>
      </c>
      <c r="AH903" s="46">
        <f>AH843*MAX(0,MIN(AH893,AH$833-SUMPRODUCT((AH$625:AH$633+$D$895:$D$903&lt;AH633+$D903)*AH$885:AH$893)))</f>
        <v/>
      </c>
      <c r="AI903" s="47">
        <f>AI843*MAX(0,MIN(AI893,AI$833-SUMPRODUCT((AI$625:AI$633+$D$895:$D$903&lt;AI633+$D903)*AI$885:AI$893)))</f>
        <v/>
      </c>
      <c r="AJ903" s="47">
        <f>AJ843*MAX(0,MIN(AJ893,AJ$833-SUMPRODUCT((AJ$625:AJ$633+$D$895:$D$903&lt;AJ633+$D903)*AJ$885:AJ$893)))</f>
        <v/>
      </c>
      <c r="AK903" s="47">
        <f>AK843*MAX(0,MIN(AK893,AK$833-SUMPRODUCT((AK$625:AK$633+$D$895:$D$903&lt;AK633+$D903)*AK$885:AK$893)))</f>
        <v/>
      </c>
      <c r="AL903" s="47">
        <f>AL843*MAX(0,MIN(AL893,AL$833-SUMPRODUCT((AL$625:AL$633+$D$895:$D$903&lt;AL633+$D903)*AL$885:AL$893)))</f>
        <v/>
      </c>
      <c r="AM903" s="47">
        <f>AM843*MAX(0,MIN(AM893,AM$833-SUMPRODUCT((AM$625:AM$633+$D$895:$D$903&lt;AM633+$D903)*AM$885:AM$893)))</f>
        <v/>
      </c>
      <c r="AN903" s="47">
        <f>AN843*MAX(0,MIN(AN893,AN$833-SUMPRODUCT((AN$625:AN$633+$D$895:$D$903&lt;AN633+$D903)*AN$885:AN$893)))</f>
        <v/>
      </c>
      <c r="AO903" s="47">
        <f>AO843*MAX(0,MIN(AO893,AO$833-SUMPRODUCT((AO$625:AO$633+$D$895:$D$903&lt;AO633+$D903)*AO$885:AO$893)))</f>
        <v/>
      </c>
      <c r="AP903" s="47">
        <f>AP843*MAX(0,MIN(AP893,AP$833-SUMPRODUCT((AP$625:AP$633+$D$895:$D$903&lt;AP633+$D903)*AP$885:AP$893)))</f>
        <v/>
      </c>
      <c r="AQ903" s="47">
        <f>AQ843*MAX(0,MIN(AQ893,AQ$833-SUMPRODUCT((AQ$625:AQ$633+$D$895:$D$903&lt;AQ633+$D903)*AQ$885:AQ$893)))</f>
        <v/>
      </c>
      <c r="AR903" s="47">
        <f>AR843*MAX(0,MIN(AR893,AR$833-SUMPRODUCT((AR$625:AR$633+$D$895:$D$903&lt;AR633+$D903)*AR$885:AR$893)))</f>
        <v/>
      </c>
      <c r="AS903" s="47">
        <f>AS843*MAX(0,MIN(AS893,AS$833-SUMPRODUCT((AS$625:AS$633+$D$895:$D$903&lt;AS633+$D903)*AS$885:AS$893)))</f>
        <v/>
      </c>
      <c r="AT903" s="47">
        <f>AT843*MAX(0,MIN(AT893,AT$833-SUMPRODUCT((AT$625:AT$633+$D$895:$D$903&lt;AT633+$D903)*AT$885:AT$893)))</f>
        <v/>
      </c>
      <c r="AU903" s="47">
        <f>AU843*MAX(0,MIN(AU893,AU$833-SUMPRODUCT((AU$625:AU$633+$D$895:$D$903&lt;AU633+$D903)*AU$885:AU$893)))</f>
        <v/>
      </c>
      <c r="AV903" s="47">
        <f>AV843*MAX(0,MIN(AV893,AV$833-SUMPRODUCT((AV$625:AV$633+$D$895:$D$903&lt;AV633+$D903)*AV$885:AV$893)))</f>
        <v/>
      </c>
      <c r="AW903" s="47">
        <f>AW843*MAX(0,MIN(AW893,AW$833-SUMPRODUCT((AW$625:AW$633+$D$895:$D$903&lt;AW633+$D903)*AW$885:AW$893)))</f>
        <v/>
      </c>
      <c r="AX903" s="47">
        <f>AX843*MAX(0,MIN(AX893,AX$833-SUMPRODUCT((AX$625:AX$633+$D$895:$D$903&lt;AX633+$D903)*AX$885:AX$893)))</f>
        <v/>
      </c>
      <c r="AY903" s="47">
        <f>AY843*MAX(0,MIN(AY893,AY$833-SUMPRODUCT((AY$625:AY$633+$D$895:$D$903&lt;AY633+$D903)*AY$885:AY$893)))</f>
        <v/>
      </c>
      <c r="AZ903" s="47">
        <f>AZ843*MAX(0,MIN(AZ893,AZ$833-SUMPRODUCT((AZ$625:AZ$633+$D$895:$D$903&lt;AZ633+$D903)*AZ$885:AZ$893)))</f>
        <v/>
      </c>
      <c r="BA903" s="48">
        <f>CHEAPFILL(BA843,BA893,BA$833,SUMPRODUCT((BA$625:BA$633+$D$895:$D$903&lt;BA633+$D903)*BA$885:BA$893))</f>
        <v/>
      </c>
    </row>
    <row r="904" hidden="1" outlineLevel="1"/>
    <row r="905" hidden="1" outlineLevel="1">
      <c r="A905" s="14" t="inlineStr">
        <is>
          <t>nei</t>
        </is>
      </c>
      <c r="B905" s="14" t="inlineStr">
        <is>
          <t>coa</t>
        </is>
      </c>
      <c r="C905" s="14" t="inlineStr">
        <is>
          <t>pow</t>
        </is>
      </c>
      <c r="D905" s="39" t="n"/>
      <c r="E905" s="39" t="n"/>
      <c r="F905" s="39" t="n"/>
      <c r="G905" s="39" t="n"/>
      <c r="H905" s="14">
        <f>INDEX(VarLab,MATCH($A905,VarKey,0))&amp;INDEX(MemLab,MATCH($C905&amp;"|"&amp;$B905,MemKey,0))</f>
        <v/>
      </c>
      <c r="I905" s="14">
        <f>INDEX(VarUnit,MATCH($A905,VarKey,0))</f>
        <v/>
      </c>
      <c r="J905" s="14">
        <f>INDEX(VarSrc,MATCH($A905,VarKey,0))</f>
        <v/>
      </c>
      <c r="K905" s="11">
        <f>CodePrefix&amp;$A905&amp;IF($C905="","","."&amp;$C905&amp;"."&amp;$B905)&amp;INDEX(VarEnd,MATCH($A905,VarKey,0))&amp;K$5</f>
        <v/>
      </c>
      <c r="L905" s="46">
        <f>L875+L895</f>
        <v/>
      </c>
      <c r="M905" s="47">
        <f>M875+M895</f>
        <v/>
      </c>
      <c r="N905" s="47">
        <f>N875+N895</f>
        <v/>
      </c>
      <c r="O905" s="47">
        <f>O875+O895</f>
        <v/>
      </c>
      <c r="P905" s="47">
        <f>P875+P895</f>
        <v/>
      </c>
      <c r="Q905" s="47">
        <f>Q875+Q895</f>
        <v/>
      </c>
      <c r="R905" s="47">
        <f>R875+R895</f>
        <v/>
      </c>
      <c r="S905" s="47">
        <f>S875+S895</f>
        <v/>
      </c>
      <c r="T905" s="47">
        <f>T875+T895</f>
        <v/>
      </c>
      <c r="U905" s="47">
        <f>U875+U895</f>
        <v/>
      </c>
      <c r="V905" s="47">
        <f>V875+V895</f>
        <v/>
      </c>
      <c r="W905" s="47">
        <f>W875+W895</f>
        <v/>
      </c>
      <c r="X905" s="47">
        <f>X875+X895</f>
        <v/>
      </c>
      <c r="Y905" s="47">
        <f>Y875+Y895</f>
        <v/>
      </c>
      <c r="Z905" s="47">
        <f>Z875+Z895</f>
        <v/>
      </c>
      <c r="AA905" s="47">
        <f>AA875+AA895</f>
        <v/>
      </c>
      <c r="AB905" s="47">
        <f>AB875+AB895</f>
        <v/>
      </c>
      <c r="AC905" s="47">
        <f>AC875+AC895</f>
        <v/>
      </c>
      <c r="AD905" s="47">
        <f>AD875+AD895</f>
        <v/>
      </c>
      <c r="AE905" s="48">
        <f>ADDED(AE875,AE895)</f>
        <v/>
      </c>
      <c r="AG905" s="11">
        <f>CodePrefix&amp;$A905&amp;IF($C905="","","."&amp;$C905&amp;"."&amp;$B905)&amp;INDEX(VarEnd,MATCH($A905,VarKey,0))&amp;AG$5</f>
        <v/>
      </c>
      <c r="AH905" s="46">
        <f>AH875+AH895</f>
        <v/>
      </c>
      <c r="AI905" s="47">
        <f>AI875+AI895</f>
        <v/>
      </c>
      <c r="AJ905" s="47">
        <f>AJ875+AJ895</f>
        <v/>
      </c>
      <c r="AK905" s="47">
        <f>AK875+AK895</f>
        <v/>
      </c>
      <c r="AL905" s="47">
        <f>AL875+AL895</f>
        <v/>
      </c>
      <c r="AM905" s="47">
        <f>AM875+AM895</f>
        <v/>
      </c>
      <c r="AN905" s="47">
        <f>AN875+AN895</f>
        <v/>
      </c>
      <c r="AO905" s="47">
        <f>AO875+AO895</f>
        <v/>
      </c>
      <c r="AP905" s="47">
        <f>AP875+AP895</f>
        <v/>
      </c>
      <c r="AQ905" s="47">
        <f>AQ875+AQ895</f>
        <v/>
      </c>
      <c r="AR905" s="47">
        <f>AR875+AR895</f>
        <v/>
      </c>
      <c r="AS905" s="47">
        <f>AS875+AS895</f>
        <v/>
      </c>
      <c r="AT905" s="47">
        <f>AT875+AT895</f>
        <v/>
      </c>
      <c r="AU905" s="47">
        <f>AU875+AU895</f>
        <v/>
      </c>
      <c r="AV905" s="47">
        <f>AV875+AV895</f>
        <v/>
      </c>
      <c r="AW905" s="47">
        <f>AW875+AW895</f>
        <v/>
      </c>
      <c r="AX905" s="47">
        <f>AX875+AX895</f>
        <v/>
      </c>
      <c r="AY905" s="47">
        <f>AY875+AY895</f>
        <v/>
      </c>
      <c r="AZ905" s="47">
        <f>AZ875+AZ895</f>
        <v/>
      </c>
      <c r="BA905" s="48">
        <f>ADDED(BA875,BA895)</f>
        <v/>
      </c>
    </row>
    <row r="906" hidden="1" outlineLevel="1">
      <c r="A906" s="14" t="inlineStr">
        <is>
          <t>nei</t>
        </is>
      </c>
      <c r="B906" s="14" t="inlineStr">
        <is>
          <t>nga</t>
        </is>
      </c>
      <c r="C906" s="14" t="inlineStr">
        <is>
          <t>pow</t>
        </is>
      </c>
      <c r="D906" s="39" t="n"/>
      <c r="E906" s="39" t="n"/>
      <c r="F906" s="39" t="n"/>
      <c r="G906" s="39" t="n"/>
      <c r="H906" s="14">
        <f>INDEX(VarLab,MATCH($A906,VarKey,0))&amp;INDEX(MemLab,MATCH($C906&amp;"|"&amp;$B906,MemKey,0))</f>
        <v/>
      </c>
      <c r="I906" s="14">
        <f>INDEX(VarUnit,MATCH($A906,VarKey,0))</f>
        <v/>
      </c>
      <c r="J906" s="14">
        <f>INDEX(VarSrc,MATCH($A906,VarKey,0))</f>
        <v/>
      </c>
      <c r="K906" s="11">
        <f>CodePrefix&amp;$A906&amp;IF($C906="","","."&amp;$C906&amp;"."&amp;$B906)&amp;INDEX(VarEnd,MATCH($A906,VarKey,0))&amp;K$5</f>
        <v/>
      </c>
      <c r="L906" s="46">
        <f>L876+L896</f>
        <v/>
      </c>
      <c r="M906" s="47">
        <f>M876+M896</f>
        <v/>
      </c>
      <c r="N906" s="47">
        <f>N876+N896</f>
        <v/>
      </c>
      <c r="O906" s="47">
        <f>O876+O896</f>
        <v/>
      </c>
      <c r="P906" s="47">
        <f>P876+P896</f>
        <v/>
      </c>
      <c r="Q906" s="47">
        <f>Q876+Q896</f>
        <v/>
      </c>
      <c r="R906" s="47">
        <f>R876+R896</f>
        <v/>
      </c>
      <c r="S906" s="47">
        <f>S876+S896</f>
        <v/>
      </c>
      <c r="T906" s="47">
        <f>T876+T896</f>
        <v/>
      </c>
      <c r="U906" s="47">
        <f>U876+U896</f>
        <v/>
      </c>
      <c r="V906" s="47">
        <f>V876+V896</f>
        <v/>
      </c>
      <c r="W906" s="47">
        <f>W876+W896</f>
        <v/>
      </c>
      <c r="X906" s="47">
        <f>X876+X896</f>
        <v/>
      </c>
      <c r="Y906" s="47">
        <f>Y876+Y896</f>
        <v/>
      </c>
      <c r="Z906" s="47">
        <f>Z876+Z896</f>
        <v/>
      </c>
      <c r="AA906" s="47">
        <f>AA876+AA896</f>
        <v/>
      </c>
      <c r="AB906" s="47">
        <f>AB876+AB896</f>
        <v/>
      </c>
      <c r="AC906" s="47">
        <f>AC876+AC896</f>
        <v/>
      </c>
      <c r="AD906" s="47">
        <f>AD876+AD896</f>
        <v/>
      </c>
      <c r="AE906" s="48">
        <f>ADDED(AE876,AE896)</f>
        <v/>
      </c>
      <c r="AG906" s="11">
        <f>CodePrefix&amp;$A906&amp;IF($C906="","","."&amp;$C906&amp;"."&amp;$B906)&amp;INDEX(VarEnd,MATCH($A906,VarKey,0))&amp;AG$5</f>
        <v/>
      </c>
      <c r="AH906" s="46">
        <f>AH876+AH896</f>
        <v/>
      </c>
      <c r="AI906" s="47">
        <f>AI876+AI896</f>
        <v/>
      </c>
      <c r="AJ906" s="47">
        <f>AJ876+AJ896</f>
        <v/>
      </c>
      <c r="AK906" s="47">
        <f>AK876+AK896</f>
        <v/>
      </c>
      <c r="AL906" s="47">
        <f>AL876+AL896</f>
        <v/>
      </c>
      <c r="AM906" s="47">
        <f>AM876+AM896</f>
        <v/>
      </c>
      <c r="AN906" s="47">
        <f>AN876+AN896</f>
        <v/>
      </c>
      <c r="AO906" s="47">
        <f>AO876+AO896</f>
        <v/>
      </c>
      <c r="AP906" s="47">
        <f>AP876+AP896</f>
        <v/>
      </c>
      <c r="AQ906" s="47">
        <f>AQ876+AQ896</f>
        <v/>
      </c>
      <c r="AR906" s="47">
        <f>AR876+AR896</f>
        <v/>
      </c>
      <c r="AS906" s="47">
        <f>AS876+AS896</f>
        <v/>
      </c>
      <c r="AT906" s="47">
        <f>AT876+AT896</f>
        <v/>
      </c>
      <c r="AU906" s="47">
        <f>AU876+AU896</f>
        <v/>
      </c>
      <c r="AV906" s="47">
        <f>AV876+AV896</f>
        <v/>
      </c>
      <c r="AW906" s="47">
        <f>AW876+AW896</f>
        <v/>
      </c>
      <c r="AX906" s="47">
        <f>AX876+AX896</f>
        <v/>
      </c>
      <c r="AY906" s="47">
        <f>AY876+AY896</f>
        <v/>
      </c>
      <c r="AZ906" s="47">
        <f>AZ876+AZ896</f>
        <v/>
      </c>
      <c r="BA906" s="48">
        <f>ADDED(BA876,BA896)</f>
        <v/>
      </c>
    </row>
    <row r="907" hidden="1" outlineLevel="1">
      <c r="A907" s="14" t="inlineStr">
        <is>
          <t>nei</t>
        </is>
      </c>
      <c r="B907" s="14" t="inlineStr">
        <is>
          <t>oop</t>
        </is>
      </c>
      <c r="C907" s="14" t="inlineStr">
        <is>
          <t>pow</t>
        </is>
      </c>
      <c r="D907" s="39" t="n"/>
      <c r="E907" s="39" t="n"/>
      <c r="F907" s="39" t="n"/>
      <c r="G907" s="39" t="n"/>
      <c r="H907" s="14">
        <f>INDEX(VarLab,MATCH($A907,VarKey,0))&amp;INDEX(MemLab,MATCH($C907&amp;"|"&amp;$B907,MemKey,0))</f>
        <v/>
      </c>
      <c r="I907" s="14">
        <f>INDEX(VarUnit,MATCH($A907,VarKey,0))</f>
        <v/>
      </c>
      <c r="J907" s="14">
        <f>INDEX(VarSrc,MATCH($A907,VarKey,0))</f>
        <v/>
      </c>
      <c r="K907" s="11">
        <f>CodePrefix&amp;$A907&amp;IF($C907="","","."&amp;$C907&amp;"."&amp;$B907)&amp;INDEX(VarEnd,MATCH($A907,VarKey,0))&amp;K$5</f>
        <v/>
      </c>
      <c r="L907" s="46">
        <f>L877+L897</f>
        <v/>
      </c>
      <c r="M907" s="47">
        <f>M877+M897</f>
        <v/>
      </c>
      <c r="N907" s="47">
        <f>N877+N897</f>
        <v/>
      </c>
      <c r="O907" s="47">
        <f>O877+O897</f>
        <v/>
      </c>
      <c r="P907" s="47">
        <f>P877+P897</f>
        <v/>
      </c>
      <c r="Q907" s="47">
        <f>Q877+Q897</f>
        <v/>
      </c>
      <c r="R907" s="47">
        <f>R877+R897</f>
        <v/>
      </c>
      <c r="S907" s="47">
        <f>S877+S897</f>
        <v/>
      </c>
      <c r="T907" s="47">
        <f>T877+T897</f>
        <v/>
      </c>
      <c r="U907" s="47">
        <f>U877+U897</f>
        <v/>
      </c>
      <c r="V907" s="47">
        <f>V877+V897</f>
        <v/>
      </c>
      <c r="W907" s="47">
        <f>W877+W897</f>
        <v/>
      </c>
      <c r="X907" s="47">
        <f>X877+X897</f>
        <v/>
      </c>
      <c r="Y907" s="47">
        <f>Y877+Y897</f>
        <v/>
      </c>
      <c r="Z907" s="47">
        <f>Z877+Z897</f>
        <v/>
      </c>
      <c r="AA907" s="47">
        <f>AA877+AA897</f>
        <v/>
      </c>
      <c r="AB907" s="47">
        <f>AB877+AB897</f>
        <v/>
      </c>
      <c r="AC907" s="47">
        <f>AC877+AC897</f>
        <v/>
      </c>
      <c r="AD907" s="47">
        <f>AD877+AD897</f>
        <v/>
      </c>
      <c r="AE907" s="48">
        <f>ADDED(AE877,AE897)</f>
        <v/>
      </c>
      <c r="AG907" s="11">
        <f>CodePrefix&amp;$A907&amp;IF($C907="","","."&amp;$C907&amp;"."&amp;$B907)&amp;INDEX(VarEnd,MATCH($A907,VarKey,0))&amp;AG$5</f>
        <v/>
      </c>
      <c r="AH907" s="46">
        <f>AH877+AH897</f>
        <v/>
      </c>
      <c r="AI907" s="47">
        <f>AI877+AI897</f>
        <v/>
      </c>
      <c r="AJ907" s="47">
        <f>AJ877+AJ897</f>
        <v/>
      </c>
      <c r="AK907" s="47">
        <f>AK877+AK897</f>
        <v/>
      </c>
      <c r="AL907" s="47">
        <f>AL877+AL897</f>
        <v/>
      </c>
      <c r="AM907" s="47">
        <f>AM877+AM897</f>
        <v/>
      </c>
      <c r="AN907" s="47">
        <f>AN877+AN897</f>
        <v/>
      </c>
      <c r="AO907" s="47">
        <f>AO877+AO897</f>
        <v/>
      </c>
      <c r="AP907" s="47">
        <f>AP877+AP897</f>
        <v/>
      </c>
      <c r="AQ907" s="47">
        <f>AQ877+AQ897</f>
        <v/>
      </c>
      <c r="AR907" s="47">
        <f>AR877+AR897</f>
        <v/>
      </c>
      <c r="AS907" s="47">
        <f>AS877+AS897</f>
        <v/>
      </c>
      <c r="AT907" s="47">
        <f>AT877+AT897</f>
        <v/>
      </c>
      <c r="AU907" s="47">
        <f>AU877+AU897</f>
        <v/>
      </c>
      <c r="AV907" s="47">
        <f>AV877+AV897</f>
        <v/>
      </c>
      <c r="AW907" s="47">
        <f>AW877+AW897</f>
        <v/>
      </c>
      <c r="AX907" s="47">
        <f>AX877+AX897</f>
        <v/>
      </c>
      <c r="AY907" s="47">
        <f>AY877+AY897</f>
        <v/>
      </c>
      <c r="AZ907" s="47">
        <f>AZ877+AZ897</f>
        <v/>
      </c>
      <c r="BA907" s="48">
        <f>ADDED(BA877,BA897)</f>
        <v/>
      </c>
    </row>
    <row r="908" hidden="1" outlineLevel="1">
      <c r="A908" s="14" t="inlineStr">
        <is>
          <t>nei</t>
        </is>
      </c>
      <c r="B908" s="14" t="inlineStr">
        <is>
          <t>nuc</t>
        </is>
      </c>
      <c r="C908" s="14" t="inlineStr">
        <is>
          <t>pow</t>
        </is>
      </c>
      <c r="D908" s="39" t="n"/>
      <c r="E908" s="39" t="n"/>
      <c r="F908" s="39" t="n"/>
      <c r="G908" s="39" t="n"/>
      <c r="H908" s="14">
        <f>INDEX(VarLab,MATCH($A908,VarKey,0))&amp;INDEX(MemLab,MATCH($C908&amp;"|"&amp;$B908,MemKey,0))</f>
        <v/>
      </c>
      <c r="I908" s="14">
        <f>INDEX(VarUnit,MATCH($A908,VarKey,0))</f>
        <v/>
      </c>
      <c r="J908" s="14">
        <f>INDEX(VarSrc,MATCH($A908,VarKey,0))</f>
        <v/>
      </c>
      <c r="K908" s="11">
        <f>CodePrefix&amp;$A908&amp;IF($C908="","","."&amp;$C908&amp;"."&amp;$B908)&amp;INDEX(VarEnd,MATCH($A908,VarKey,0))&amp;K$5</f>
        <v/>
      </c>
      <c r="L908" s="46">
        <f>L878+L898</f>
        <v/>
      </c>
      <c r="M908" s="47">
        <f>M878+M898</f>
        <v/>
      </c>
      <c r="N908" s="47">
        <f>N878+N898</f>
        <v/>
      </c>
      <c r="O908" s="47">
        <f>O878+O898</f>
        <v/>
      </c>
      <c r="P908" s="47">
        <f>P878+P898</f>
        <v/>
      </c>
      <c r="Q908" s="47">
        <f>Q878+Q898</f>
        <v/>
      </c>
      <c r="R908" s="47">
        <f>R878+R898</f>
        <v/>
      </c>
      <c r="S908" s="47">
        <f>S878+S898</f>
        <v/>
      </c>
      <c r="T908" s="47">
        <f>T878+T898</f>
        <v/>
      </c>
      <c r="U908" s="47">
        <f>U878+U898</f>
        <v/>
      </c>
      <c r="V908" s="47">
        <f>V878+V898</f>
        <v/>
      </c>
      <c r="W908" s="47">
        <f>W878+W898</f>
        <v/>
      </c>
      <c r="X908" s="47">
        <f>X878+X898</f>
        <v/>
      </c>
      <c r="Y908" s="47">
        <f>Y878+Y898</f>
        <v/>
      </c>
      <c r="Z908" s="47">
        <f>Z878+Z898</f>
        <v/>
      </c>
      <c r="AA908" s="47">
        <f>AA878+AA898</f>
        <v/>
      </c>
      <c r="AB908" s="47">
        <f>AB878+AB898</f>
        <v/>
      </c>
      <c r="AC908" s="47">
        <f>AC878+AC898</f>
        <v/>
      </c>
      <c r="AD908" s="47">
        <f>AD878+AD898</f>
        <v/>
      </c>
      <c r="AE908" s="48">
        <f>ADDED(AE878,AE898)</f>
        <v/>
      </c>
      <c r="AG908" s="11">
        <f>CodePrefix&amp;$A908&amp;IF($C908="","","."&amp;$C908&amp;"."&amp;$B908)&amp;INDEX(VarEnd,MATCH($A908,VarKey,0))&amp;AG$5</f>
        <v/>
      </c>
      <c r="AH908" s="46">
        <f>AH878+AH898</f>
        <v/>
      </c>
      <c r="AI908" s="47">
        <f>AI878+AI898</f>
        <v/>
      </c>
      <c r="AJ908" s="47">
        <f>AJ878+AJ898</f>
        <v/>
      </c>
      <c r="AK908" s="47">
        <f>AK878+AK898</f>
        <v/>
      </c>
      <c r="AL908" s="47">
        <f>AL878+AL898</f>
        <v/>
      </c>
      <c r="AM908" s="47">
        <f>AM878+AM898</f>
        <v/>
      </c>
      <c r="AN908" s="47">
        <f>AN878+AN898</f>
        <v/>
      </c>
      <c r="AO908" s="47">
        <f>AO878+AO898</f>
        <v/>
      </c>
      <c r="AP908" s="47">
        <f>AP878+AP898</f>
        <v/>
      </c>
      <c r="AQ908" s="47">
        <f>AQ878+AQ898</f>
        <v/>
      </c>
      <c r="AR908" s="47">
        <f>AR878+AR898</f>
        <v/>
      </c>
      <c r="AS908" s="47">
        <f>AS878+AS898</f>
        <v/>
      </c>
      <c r="AT908" s="47">
        <f>AT878+AT898</f>
        <v/>
      </c>
      <c r="AU908" s="47">
        <f>AU878+AU898</f>
        <v/>
      </c>
      <c r="AV908" s="47">
        <f>AV878+AV898</f>
        <v/>
      </c>
      <c r="AW908" s="47">
        <f>AW878+AW898</f>
        <v/>
      </c>
      <c r="AX908" s="47">
        <f>AX878+AX898</f>
        <v/>
      </c>
      <c r="AY908" s="47">
        <f>AY878+AY898</f>
        <v/>
      </c>
      <c r="AZ908" s="47">
        <f>AZ878+AZ898</f>
        <v/>
      </c>
      <c r="BA908" s="48">
        <f>ADDED(BA878,BA898)</f>
        <v/>
      </c>
    </row>
    <row r="909" hidden="1" outlineLevel="1">
      <c r="A909" s="14" t="inlineStr">
        <is>
          <t>nei</t>
        </is>
      </c>
      <c r="B909" s="14" t="inlineStr">
        <is>
          <t>wnd</t>
        </is>
      </c>
      <c r="C909" s="14" t="inlineStr">
        <is>
          <t>pow</t>
        </is>
      </c>
      <c r="D909" s="39" t="n"/>
      <c r="E909" s="39" t="n"/>
      <c r="F909" s="39" t="n"/>
      <c r="G909" s="39" t="n"/>
      <c r="H909" s="14">
        <f>INDEX(VarLab,MATCH($A909,VarKey,0))&amp;INDEX(MemLab,MATCH($C909&amp;"|"&amp;$B909,MemKey,0))</f>
        <v/>
      </c>
      <c r="I909" s="14">
        <f>INDEX(VarUnit,MATCH($A909,VarKey,0))</f>
        <v/>
      </c>
      <c r="J909" s="14">
        <f>INDEX(VarSrc,MATCH($A909,VarKey,0))</f>
        <v/>
      </c>
      <c r="K909" s="11">
        <f>CodePrefix&amp;$A909&amp;IF($C909="","","."&amp;$C909&amp;"."&amp;$B909)&amp;INDEX(VarEnd,MATCH($A909,VarKey,0))&amp;K$5</f>
        <v/>
      </c>
      <c r="L909" s="46">
        <f>L879+L899</f>
        <v/>
      </c>
      <c r="M909" s="47">
        <f>M879+M899</f>
        <v/>
      </c>
      <c r="N909" s="47">
        <f>N879+N899</f>
        <v/>
      </c>
      <c r="O909" s="47">
        <f>O879+O899</f>
        <v/>
      </c>
      <c r="P909" s="47">
        <f>P879+P899</f>
        <v/>
      </c>
      <c r="Q909" s="47">
        <f>Q879+Q899</f>
        <v/>
      </c>
      <c r="R909" s="47">
        <f>R879+R899</f>
        <v/>
      </c>
      <c r="S909" s="47">
        <f>S879+S899</f>
        <v/>
      </c>
      <c r="T909" s="47">
        <f>T879+T899</f>
        <v/>
      </c>
      <c r="U909" s="47">
        <f>U879+U899</f>
        <v/>
      </c>
      <c r="V909" s="47">
        <f>V879+V899</f>
        <v/>
      </c>
      <c r="W909" s="47">
        <f>W879+W899</f>
        <v/>
      </c>
      <c r="X909" s="47">
        <f>X879+X899</f>
        <v/>
      </c>
      <c r="Y909" s="47">
        <f>Y879+Y899</f>
        <v/>
      </c>
      <c r="Z909" s="47">
        <f>Z879+Z899</f>
        <v/>
      </c>
      <c r="AA909" s="47">
        <f>AA879+AA899</f>
        <v/>
      </c>
      <c r="AB909" s="47">
        <f>AB879+AB899</f>
        <v/>
      </c>
      <c r="AC909" s="47">
        <f>AC879+AC899</f>
        <v/>
      </c>
      <c r="AD909" s="47">
        <f>AD879+AD899</f>
        <v/>
      </c>
      <c r="AE909" s="48">
        <f>ADDED(AE879,AE899)</f>
        <v/>
      </c>
      <c r="AG909" s="11">
        <f>CodePrefix&amp;$A909&amp;IF($C909="","","."&amp;$C909&amp;"."&amp;$B909)&amp;INDEX(VarEnd,MATCH($A909,VarKey,0))&amp;AG$5</f>
        <v/>
      </c>
      <c r="AH909" s="46">
        <f>AH879+AH899</f>
        <v/>
      </c>
      <c r="AI909" s="47">
        <f>AI879+AI899</f>
        <v/>
      </c>
      <c r="AJ909" s="47">
        <f>AJ879+AJ899</f>
        <v/>
      </c>
      <c r="AK909" s="47">
        <f>AK879+AK899</f>
        <v/>
      </c>
      <c r="AL909" s="47">
        <f>AL879+AL899</f>
        <v/>
      </c>
      <c r="AM909" s="47">
        <f>AM879+AM899</f>
        <v/>
      </c>
      <c r="AN909" s="47">
        <f>AN879+AN899</f>
        <v/>
      </c>
      <c r="AO909" s="47">
        <f>AO879+AO899</f>
        <v/>
      </c>
      <c r="AP909" s="47">
        <f>AP879+AP899</f>
        <v/>
      </c>
      <c r="AQ909" s="47">
        <f>AQ879+AQ899</f>
        <v/>
      </c>
      <c r="AR909" s="47">
        <f>AR879+AR899</f>
        <v/>
      </c>
      <c r="AS909" s="47">
        <f>AS879+AS899</f>
        <v/>
      </c>
      <c r="AT909" s="47">
        <f>AT879+AT899</f>
        <v/>
      </c>
      <c r="AU909" s="47">
        <f>AU879+AU899</f>
        <v/>
      </c>
      <c r="AV909" s="47">
        <f>AV879+AV899</f>
        <v/>
      </c>
      <c r="AW909" s="47">
        <f>AW879+AW899</f>
        <v/>
      </c>
      <c r="AX909" s="47">
        <f>AX879+AX899</f>
        <v/>
      </c>
      <c r="AY909" s="47">
        <f>AY879+AY899</f>
        <v/>
      </c>
      <c r="AZ909" s="47">
        <f>AZ879+AZ899</f>
        <v/>
      </c>
      <c r="BA909" s="48">
        <f>ADDED(BA879,BA899)</f>
        <v/>
      </c>
    </row>
    <row r="910" hidden="1" outlineLevel="1">
      <c r="A910" s="14" t="inlineStr">
        <is>
          <t>nei</t>
        </is>
      </c>
      <c r="B910" s="14" t="inlineStr">
        <is>
          <t>sol</t>
        </is>
      </c>
      <c r="C910" s="14" t="inlineStr">
        <is>
          <t>pow</t>
        </is>
      </c>
      <c r="D910" s="39" t="n"/>
      <c r="E910" s="39" t="n"/>
      <c r="F910" s="39" t="n"/>
      <c r="G910" s="39" t="n"/>
      <c r="H910" s="14">
        <f>INDEX(VarLab,MATCH($A910,VarKey,0))&amp;INDEX(MemLab,MATCH($C910&amp;"|"&amp;$B910,MemKey,0))</f>
        <v/>
      </c>
      <c r="I910" s="14">
        <f>INDEX(VarUnit,MATCH($A910,VarKey,0))</f>
        <v/>
      </c>
      <c r="J910" s="14">
        <f>INDEX(VarSrc,MATCH($A910,VarKey,0))</f>
        <v/>
      </c>
      <c r="K910" s="11">
        <f>CodePrefix&amp;$A910&amp;IF($C910="","","."&amp;$C910&amp;"."&amp;$B910)&amp;INDEX(VarEnd,MATCH($A910,VarKey,0))&amp;K$5</f>
        <v/>
      </c>
      <c r="L910" s="46">
        <f>L880+L900</f>
        <v/>
      </c>
      <c r="M910" s="47">
        <f>M880+M900</f>
        <v/>
      </c>
      <c r="N910" s="47">
        <f>N880+N900</f>
        <v/>
      </c>
      <c r="O910" s="47">
        <f>O880+O900</f>
        <v/>
      </c>
      <c r="P910" s="47">
        <f>P880+P900</f>
        <v/>
      </c>
      <c r="Q910" s="47">
        <f>Q880+Q900</f>
        <v/>
      </c>
      <c r="R910" s="47">
        <f>R880+R900</f>
        <v/>
      </c>
      <c r="S910" s="47">
        <f>S880+S900</f>
        <v/>
      </c>
      <c r="T910" s="47">
        <f>T880+T900</f>
        <v/>
      </c>
      <c r="U910" s="47">
        <f>U880+U900</f>
        <v/>
      </c>
      <c r="V910" s="47">
        <f>V880+V900</f>
        <v/>
      </c>
      <c r="W910" s="47">
        <f>W880+W900</f>
        <v/>
      </c>
      <c r="X910" s="47">
        <f>X880+X900</f>
        <v/>
      </c>
      <c r="Y910" s="47">
        <f>Y880+Y900</f>
        <v/>
      </c>
      <c r="Z910" s="47">
        <f>Z880+Z900</f>
        <v/>
      </c>
      <c r="AA910" s="47">
        <f>AA880+AA900</f>
        <v/>
      </c>
      <c r="AB910" s="47">
        <f>AB880+AB900</f>
        <v/>
      </c>
      <c r="AC910" s="47">
        <f>AC880+AC900</f>
        <v/>
      </c>
      <c r="AD910" s="47">
        <f>AD880+AD900</f>
        <v/>
      </c>
      <c r="AE910" s="48">
        <f>ADDED(AE880,AE900)</f>
        <v/>
      </c>
      <c r="AG910" s="11">
        <f>CodePrefix&amp;$A910&amp;IF($C910="","","."&amp;$C910&amp;"."&amp;$B910)&amp;INDEX(VarEnd,MATCH($A910,VarKey,0))&amp;AG$5</f>
        <v/>
      </c>
      <c r="AH910" s="46">
        <f>AH880+AH900</f>
        <v/>
      </c>
      <c r="AI910" s="47">
        <f>AI880+AI900</f>
        <v/>
      </c>
      <c r="AJ910" s="47">
        <f>AJ880+AJ900</f>
        <v/>
      </c>
      <c r="AK910" s="47">
        <f>AK880+AK900</f>
        <v/>
      </c>
      <c r="AL910" s="47">
        <f>AL880+AL900</f>
        <v/>
      </c>
      <c r="AM910" s="47">
        <f>AM880+AM900</f>
        <v/>
      </c>
      <c r="AN910" s="47">
        <f>AN880+AN900</f>
        <v/>
      </c>
      <c r="AO910" s="47">
        <f>AO880+AO900</f>
        <v/>
      </c>
      <c r="AP910" s="47">
        <f>AP880+AP900</f>
        <v/>
      </c>
      <c r="AQ910" s="47">
        <f>AQ880+AQ900</f>
        <v/>
      </c>
      <c r="AR910" s="47">
        <f>AR880+AR900</f>
        <v/>
      </c>
      <c r="AS910" s="47">
        <f>AS880+AS900</f>
        <v/>
      </c>
      <c r="AT910" s="47">
        <f>AT880+AT900</f>
        <v/>
      </c>
      <c r="AU910" s="47">
        <f>AU880+AU900</f>
        <v/>
      </c>
      <c r="AV910" s="47">
        <f>AV880+AV900</f>
        <v/>
      </c>
      <c r="AW910" s="47">
        <f>AW880+AW900</f>
        <v/>
      </c>
      <c r="AX910" s="47">
        <f>AX880+AX900</f>
        <v/>
      </c>
      <c r="AY910" s="47">
        <f>AY880+AY900</f>
        <v/>
      </c>
      <c r="AZ910" s="47">
        <f>AZ880+AZ900</f>
        <v/>
      </c>
      <c r="BA910" s="48">
        <f>ADDED(BA880,BA900)</f>
        <v/>
      </c>
    </row>
    <row r="911" hidden="1" outlineLevel="1">
      <c r="A911" s="14" t="inlineStr">
        <is>
          <t>nei</t>
        </is>
      </c>
      <c r="B911" s="14" t="inlineStr">
        <is>
          <t>hyd</t>
        </is>
      </c>
      <c r="C911" s="14" t="inlineStr">
        <is>
          <t>pow</t>
        </is>
      </c>
      <c r="D911" s="39" t="n"/>
      <c r="E911" s="39" t="n"/>
      <c r="F911" s="39" t="n"/>
      <c r="G911" s="39" t="n"/>
      <c r="H911" s="14">
        <f>INDEX(VarLab,MATCH($A911,VarKey,0))&amp;INDEX(MemLab,MATCH($C911&amp;"|"&amp;$B911,MemKey,0))</f>
        <v/>
      </c>
      <c r="I911" s="14">
        <f>INDEX(VarUnit,MATCH($A911,VarKey,0))</f>
        <v/>
      </c>
      <c r="J911" s="14">
        <f>INDEX(VarSrc,MATCH($A911,VarKey,0))</f>
        <v/>
      </c>
      <c r="K911" s="11">
        <f>CodePrefix&amp;$A911&amp;IF($C911="","","."&amp;$C911&amp;"."&amp;$B911)&amp;INDEX(VarEnd,MATCH($A911,VarKey,0))&amp;K$5</f>
        <v/>
      </c>
      <c r="L911" s="46">
        <f>L881+L901</f>
        <v/>
      </c>
      <c r="M911" s="47">
        <f>M881+M901</f>
        <v/>
      </c>
      <c r="N911" s="47">
        <f>N881+N901</f>
        <v/>
      </c>
      <c r="O911" s="47">
        <f>O881+O901</f>
        <v/>
      </c>
      <c r="P911" s="47">
        <f>P881+P901</f>
        <v/>
      </c>
      <c r="Q911" s="47">
        <f>Q881+Q901</f>
        <v/>
      </c>
      <c r="R911" s="47">
        <f>R881+R901</f>
        <v/>
      </c>
      <c r="S911" s="47">
        <f>S881+S901</f>
        <v/>
      </c>
      <c r="T911" s="47">
        <f>T881+T901</f>
        <v/>
      </c>
      <c r="U911" s="47">
        <f>U881+U901</f>
        <v/>
      </c>
      <c r="V911" s="47">
        <f>V881+V901</f>
        <v/>
      </c>
      <c r="W911" s="47">
        <f>W881+W901</f>
        <v/>
      </c>
      <c r="X911" s="47">
        <f>X881+X901</f>
        <v/>
      </c>
      <c r="Y911" s="47">
        <f>Y881+Y901</f>
        <v/>
      </c>
      <c r="Z911" s="47">
        <f>Z881+Z901</f>
        <v/>
      </c>
      <c r="AA911" s="47">
        <f>AA881+AA901</f>
        <v/>
      </c>
      <c r="AB911" s="47">
        <f>AB881+AB901</f>
        <v/>
      </c>
      <c r="AC911" s="47">
        <f>AC881+AC901</f>
        <v/>
      </c>
      <c r="AD911" s="47">
        <f>AD881+AD901</f>
        <v/>
      </c>
      <c r="AE911" s="48">
        <f>ADDED(AE881,AE901)</f>
        <v/>
      </c>
      <c r="AG911" s="11">
        <f>CodePrefix&amp;$A911&amp;IF($C911="","","."&amp;$C911&amp;"."&amp;$B911)&amp;INDEX(VarEnd,MATCH($A911,VarKey,0))&amp;AG$5</f>
        <v/>
      </c>
      <c r="AH911" s="46">
        <f>AH881+AH901</f>
        <v/>
      </c>
      <c r="AI911" s="47">
        <f>AI881+AI901</f>
        <v/>
      </c>
      <c r="AJ911" s="47">
        <f>AJ881+AJ901</f>
        <v/>
      </c>
      <c r="AK911" s="47">
        <f>AK881+AK901</f>
        <v/>
      </c>
      <c r="AL911" s="47">
        <f>AL881+AL901</f>
        <v/>
      </c>
      <c r="AM911" s="47">
        <f>AM881+AM901</f>
        <v/>
      </c>
      <c r="AN911" s="47">
        <f>AN881+AN901</f>
        <v/>
      </c>
      <c r="AO911" s="47">
        <f>AO881+AO901</f>
        <v/>
      </c>
      <c r="AP911" s="47">
        <f>AP881+AP901</f>
        <v/>
      </c>
      <c r="AQ911" s="47">
        <f>AQ881+AQ901</f>
        <v/>
      </c>
      <c r="AR911" s="47">
        <f>AR881+AR901</f>
        <v/>
      </c>
      <c r="AS911" s="47">
        <f>AS881+AS901</f>
        <v/>
      </c>
      <c r="AT911" s="47">
        <f>AT881+AT901</f>
        <v/>
      </c>
      <c r="AU911" s="47">
        <f>AU881+AU901</f>
        <v/>
      </c>
      <c r="AV911" s="47">
        <f>AV881+AV901</f>
        <v/>
      </c>
      <c r="AW911" s="47">
        <f>AW881+AW901</f>
        <v/>
      </c>
      <c r="AX911" s="47">
        <f>AX881+AX901</f>
        <v/>
      </c>
      <c r="AY911" s="47">
        <f>AY881+AY901</f>
        <v/>
      </c>
      <c r="AZ911" s="47">
        <f>AZ881+AZ901</f>
        <v/>
      </c>
      <c r="BA911" s="48">
        <f>ADDED(BA881,BA901)</f>
        <v/>
      </c>
    </row>
    <row r="912" hidden="1" outlineLevel="1">
      <c r="A912" s="14" t="inlineStr">
        <is>
          <t>nei</t>
        </is>
      </c>
      <c r="B912" s="14" t="inlineStr">
        <is>
          <t>ore</t>
        </is>
      </c>
      <c r="C912" s="14" t="inlineStr">
        <is>
          <t>pow</t>
        </is>
      </c>
      <c r="D912" s="39" t="n"/>
      <c r="E912" s="39" t="n"/>
      <c r="F912" s="39" t="n"/>
      <c r="G912" s="39" t="n"/>
      <c r="H912" s="14">
        <f>INDEX(VarLab,MATCH($A912,VarKey,0))&amp;INDEX(MemLab,MATCH($C912&amp;"|"&amp;$B912,MemKey,0))</f>
        <v/>
      </c>
      <c r="I912" s="14">
        <f>INDEX(VarUnit,MATCH($A912,VarKey,0))</f>
        <v/>
      </c>
      <c r="J912" s="14">
        <f>INDEX(VarSrc,MATCH($A912,VarKey,0))</f>
        <v/>
      </c>
      <c r="K912" s="11">
        <f>CodePrefix&amp;$A912&amp;IF($C912="","","."&amp;$C912&amp;"."&amp;$B912)&amp;INDEX(VarEnd,MATCH($A912,VarKey,0))&amp;K$5</f>
        <v/>
      </c>
      <c r="L912" s="46">
        <f>L882+L902</f>
        <v/>
      </c>
      <c r="M912" s="47">
        <f>M882+M902</f>
        <v/>
      </c>
      <c r="N912" s="47">
        <f>N882+N902</f>
        <v/>
      </c>
      <c r="O912" s="47">
        <f>O882+O902</f>
        <v/>
      </c>
      <c r="P912" s="47">
        <f>P882+P902</f>
        <v/>
      </c>
      <c r="Q912" s="47">
        <f>Q882+Q902</f>
        <v/>
      </c>
      <c r="R912" s="47">
        <f>R882+R902</f>
        <v/>
      </c>
      <c r="S912" s="47">
        <f>S882+S902</f>
        <v/>
      </c>
      <c r="T912" s="47">
        <f>T882+T902</f>
        <v/>
      </c>
      <c r="U912" s="47">
        <f>U882+U902</f>
        <v/>
      </c>
      <c r="V912" s="47">
        <f>V882+V902</f>
        <v/>
      </c>
      <c r="W912" s="47">
        <f>W882+W902</f>
        <v/>
      </c>
      <c r="X912" s="47">
        <f>X882+X902</f>
        <v/>
      </c>
      <c r="Y912" s="47">
        <f>Y882+Y902</f>
        <v/>
      </c>
      <c r="Z912" s="47">
        <f>Z882+Z902</f>
        <v/>
      </c>
      <c r="AA912" s="47">
        <f>AA882+AA902</f>
        <v/>
      </c>
      <c r="AB912" s="47">
        <f>AB882+AB902</f>
        <v/>
      </c>
      <c r="AC912" s="47">
        <f>AC882+AC902</f>
        <v/>
      </c>
      <c r="AD912" s="47">
        <f>AD882+AD902</f>
        <v/>
      </c>
      <c r="AE912" s="48">
        <f>ADDED(AE882,AE902)</f>
        <v/>
      </c>
      <c r="AG912" s="11">
        <f>CodePrefix&amp;$A912&amp;IF($C912="","","."&amp;$C912&amp;"."&amp;$B912)&amp;INDEX(VarEnd,MATCH($A912,VarKey,0))&amp;AG$5</f>
        <v/>
      </c>
      <c r="AH912" s="46">
        <f>AH882+AH902</f>
        <v/>
      </c>
      <c r="AI912" s="47">
        <f>AI882+AI902</f>
        <v/>
      </c>
      <c r="AJ912" s="47">
        <f>AJ882+AJ902</f>
        <v/>
      </c>
      <c r="AK912" s="47">
        <f>AK882+AK902</f>
        <v/>
      </c>
      <c r="AL912" s="47">
        <f>AL882+AL902</f>
        <v/>
      </c>
      <c r="AM912" s="47">
        <f>AM882+AM902</f>
        <v/>
      </c>
      <c r="AN912" s="47">
        <f>AN882+AN902</f>
        <v/>
      </c>
      <c r="AO912" s="47">
        <f>AO882+AO902</f>
        <v/>
      </c>
      <c r="AP912" s="47">
        <f>AP882+AP902</f>
        <v/>
      </c>
      <c r="AQ912" s="47">
        <f>AQ882+AQ902</f>
        <v/>
      </c>
      <c r="AR912" s="47">
        <f>AR882+AR902</f>
        <v/>
      </c>
      <c r="AS912" s="47">
        <f>AS882+AS902</f>
        <v/>
      </c>
      <c r="AT912" s="47">
        <f>AT882+AT902</f>
        <v/>
      </c>
      <c r="AU912" s="47">
        <f>AU882+AU902</f>
        <v/>
      </c>
      <c r="AV912" s="47">
        <f>AV882+AV902</f>
        <v/>
      </c>
      <c r="AW912" s="47">
        <f>AW882+AW902</f>
        <v/>
      </c>
      <c r="AX912" s="47">
        <f>AX882+AX902</f>
        <v/>
      </c>
      <c r="AY912" s="47">
        <f>AY882+AY902</f>
        <v/>
      </c>
      <c r="AZ912" s="47">
        <f>AZ882+AZ902</f>
        <v/>
      </c>
      <c r="BA912" s="48">
        <f>ADDED(BA882,BA902)</f>
        <v/>
      </c>
    </row>
    <row r="913" hidden="1" outlineLevel="1">
      <c r="A913" s="14" t="inlineStr">
        <is>
          <t>nei</t>
        </is>
      </c>
      <c r="B913" s="14" t="inlineStr">
        <is>
          <t>bio</t>
        </is>
      </c>
      <c r="C913" s="14" t="inlineStr">
        <is>
          <t>pow</t>
        </is>
      </c>
      <c r="D913" s="39" t="n"/>
      <c r="E913" s="39" t="n"/>
      <c r="F913" s="39" t="n"/>
      <c r="G913" s="39" t="n"/>
      <c r="H913" s="14">
        <f>INDEX(VarLab,MATCH($A913,VarKey,0))&amp;INDEX(MemLab,MATCH($C913&amp;"|"&amp;$B913,MemKey,0))</f>
        <v/>
      </c>
      <c r="I913" s="14">
        <f>INDEX(VarUnit,MATCH($A913,VarKey,0))</f>
        <v/>
      </c>
      <c r="J913" s="14">
        <f>INDEX(VarSrc,MATCH($A913,VarKey,0))</f>
        <v/>
      </c>
      <c r="K913" s="11">
        <f>CodePrefix&amp;$A913&amp;IF($C913="","","."&amp;$C913&amp;"."&amp;$B913)&amp;INDEX(VarEnd,MATCH($A913,VarKey,0))&amp;K$5</f>
        <v/>
      </c>
      <c r="L913" s="46">
        <f>L883+L903</f>
        <v/>
      </c>
      <c r="M913" s="47">
        <f>M883+M903</f>
        <v/>
      </c>
      <c r="N913" s="47">
        <f>N883+N903</f>
        <v/>
      </c>
      <c r="O913" s="47">
        <f>O883+O903</f>
        <v/>
      </c>
      <c r="P913" s="47">
        <f>P883+P903</f>
        <v/>
      </c>
      <c r="Q913" s="47">
        <f>Q883+Q903</f>
        <v/>
      </c>
      <c r="R913" s="47">
        <f>R883+R903</f>
        <v/>
      </c>
      <c r="S913" s="47">
        <f>S883+S903</f>
        <v/>
      </c>
      <c r="T913" s="47">
        <f>T883+T903</f>
        <v/>
      </c>
      <c r="U913" s="47">
        <f>U883+U903</f>
        <v/>
      </c>
      <c r="V913" s="47">
        <f>V883+V903</f>
        <v/>
      </c>
      <c r="W913" s="47">
        <f>W883+W903</f>
        <v/>
      </c>
      <c r="X913" s="47">
        <f>X883+X903</f>
        <v/>
      </c>
      <c r="Y913" s="47">
        <f>Y883+Y903</f>
        <v/>
      </c>
      <c r="Z913" s="47">
        <f>Z883+Z903</f>
        <v/>
      </c>
      <c r="AA913" s="47">
        <f>AA883+AA903</f>
        <v/>
      </c>
      <c r="AB913" s="47">
        <f>AB883+AB903</f>
        <v/>
      </c>
      <c r="AC913" s="47">
        <f>AC883+AC903</f>
        <v/>
      </c>
      <c r="AD913" s="47">
        <f>AD883+AD903</f>
        <v/>
      </c>
      <c r="AE913" s="48">
        <f>ADDED(AE883,AE903)</f>
        <v/>
      </c>
      <c r="AG913" s="11">
        <f>CodePrefix&amp;$A913&amp;IF($C913="","","."&amp;$C913&amp;"."&amp;$B913)&amp;INDEX(VarEnd,MATCH($A913,VarKey,0))&amp;AG$5</f>
        <v/>
      </c>
      <c r="AH913" s="46">
        <f>AH883+AH903</f>
        <v/>
      </c>
      <c r="AI913" s="47">
        <f>AI883+AI903</f>
        <v/>
      </c>
      <c r="AJ913" s="47">
        <f>AJ883+AJ903</f>
        <v/>
      </c>
      <c r="AK913" s="47">
        <f>AK883+AK903</f>
        <v/>
      </c>
      <c r="AL913" s="47">
        <f>AL883+AL903</f>
        <v/>
      </c>
      <c r="AM913" s="47">
        <f>AM883+AM903</f>
        <v/>
      </c>
      <c r="AN913" s="47">
        <f>AN883+AN903</f>
        <v/>
      </c>
      <c r="AO913" s="47">
        <f>AO883+AO903</f>
        <v/>
      </c>
      <c r="AP913" s="47">
        <f>AP883+AP903</f>
        <v/>
      </c>
      <c r="AQ913" s="47">
        <f>AQ883+AQ903</f>
        <v/>
      </c>
      <c r="AR913" s="47">
        <f>AR883+AR903</f>
        <v/>
      </c>
      <c r="AS913" s="47">
        <f>AS883+AS903</f>
        <v/>
      </c>
      <c r="AT913" s="47">
        <f>AT883+AT903</f>
        <v/>
      </c>
      <c r="AU913" s="47">
        <f>AU883+AU903</f>
        <v/>
      </c>
      <c r="AV913" s="47">
        <f>AV883+AV903</f>
        <v/>
      </c>
      <c r="AW913" s="47">
        <f>AW883+AW903</f>
        <v/>
      </c>
      <c r="AX913" s="47">
        <f>AX883+AX903</f>
        <v/>
      </c>
      <c r="AY913" s="47">
        <f>AY883+AY903</f>
        <v/>
      </c>
      <c r="AZ913" s="47">
        <f>AZ883+AZ903</f>
        <v/>
      </c>
      <c r="BA913" s="48">
        <f>ADDED(BA883,BA903)</f>
        <v/>
      </c>
    </row>
    <row r="914" hidden="1" outlineLevel="1"/>
    <row r="915" hidden="1" outlineLevel="1">
      <c r="A915" s="14" t="inlineStr">
        <is>
          <t>nim</t>
        </is>
      </c>
      <c r="B915" s="14" t="inlineStr">
        <is>
          <t>coa</t>
        </is>
      </c>
      <c r="C915" s="14" t="inlineStr">
        <is>
          <t>pow</t>
        </is>
      </c>
      <c r="D915" s="45">
        <f>INDEX(Inputs_power!$AP$5:$AP$13,MATCH($B915,Inputs_power!$A$5:$A$13,0))</f>
        <v/>
      </c>
      <c r="E915" s="39" t="n"/>
      <c r="F915" s="39" t="n"/>
      <c r="G915" s="39" t="n"/>
      <c r="H915" s="14">
        <f>INDEX(VarLab,MATCH($A915,VarKey,0))&amp;INDEX(MemLab,MATCH($C915&amp;"|"&amp;$B915,MemKey,0))</f>
        <v/>
      </c>
      <c r="I915" s="14">
        <f>INDEX(VarUnit,MATCH($A915,VarKey,0))</f>
        <v/>
      </c>
      <c r="J915" s="14">
        <f>INDEX(VarSrc,MATCH($A915,VarKey,0))</f>
        <v/>
      </c>
      <c r="K915" s="11">
        <f>CodePrefix&amp;$A915&amp;IF($C915="","","."&amp;$C915&amp;"."&amp;$B915)&amp;INDEX(VarEnd,MATCH($A915,VarKey,0))&amp;K$5</f>
        <v/>
      </c>
      <c r="L915" s="46">
        <f>L905*$D915</f>
        <v/>
      </c>
      <c r="M915" s="47">
        <f>M905*$D915</f>
        <v/>
      </c>
      <c r="N915" s="47">
        <f>N905*$D915</f>
        <v/>
      </c>
      <c r="O915" s="47">
        <f>O905*$D915</f>
        <v/>
      </c>
      <c r="P915" s="47">
        <f>P905*$D915</f>
        <v/>
      </c>
      <c r="Q915" s="47">
        <f>Q905*$D915</f>
        <v/>
      </c>
      <c r="R915" s="47">
        <f>R905*$D915</f>
        <v/>
      </c>
      <c r="S915" s="47">
        <f>S905*$D915</f>
        <v/>
      </c>
      <c r="T915" s="47">
        <f>T905*$D915</f>
        <v/>
      </c>
      <c r="U915" s="47">
        <f>U905*$D915</f>
        <v/>
      </c>
      <c r="V915" s="47">
        <f>V905*$D915</f>
        <v/>
      </c>
      <c r="W915" s="47">
        <f>W905*$D915</f>
        <v/>
      </c>
      <c r="X915" s="47">
        <f>X905*$D915</f>
        <v/>
      </c>
      <c r="Y915" s="47">
        <f>Y905*$D915</f>
        <v/>
      </c>
      <c r="Z915" s="47">
        <f>Z905*$D915</f>
        <v/>
      </c>
      <c r="AA915" s="47">
        <f>AA905*$D915</f>
        <v/>
      </c>
      <c r="AB915" s="47">
        <f>AB905*$D915</f>
        <v/>
      </c>
      <c r="AC915" s="47">
        <f>AC905*$D915</f>
        <v/>
      </c>
      <c r="AD915" s="47">
        <f>AD905*$D915</f>
        <v/>
      </c>
      <c r="AE915" s="48">
        <f>SCALE(AE905,$D915)</f>
        <v/>
      </c>
      <c r="AG915" s="11">
        <f>CodePrefix&amp;$A915&amp;IF($C915="","","."&amp;$C915&amp;"."&amp;$B915)&amp;INDEX(VarEnd,MATCH($A915,VarKey,0))&amp;AG$5</f>
        <v/>
      </c>
      <c r="AH915" s="46">
        <f>AH905*$D915</f>
        <v/>
      </c>
      <c r="AI915" s="47">
        <f>AI905*$D915</f>
        <v/>
      </c>
      <c r="AJ915" s="47">
        <f>AJ905*$D915</f>
        <v/>
      </c>
      <c r="AK915" s="47">
        <f>AK905*$D915</f>
        <v/>
      </c>
      <c r="AL915" s="47">
        <f>AL905*$D915</f>
        <v/>
      </c>
      <c r="AM915" s="47">
        <f>AM905*$D915</f>
        <v/>
      </c>
      <c r="AN915" s="47">
        <f>AN905*$D915</f>
        <v/>
      </c>
      <c r="AO915" s="47">
        <f>AO905*$D915</f>
        <v/>
      </c>
      <c r="AP915" s="47">
        <f>AP905*$D915</f>
        <v/>
      </c>
      <c r="AQ915" s="47">
        <f>AQ905*$D915</f>
        <v/>
      </c>
      <c r="AR915" s="47">
        <f>AR905*$D915</f>
        <v/>
      </c>
      <c r="AS915" s="47">
        <f>AS905*$D915</f>
        <v/>
      </c>
      <c r="AT915" s="47">
        <f>AT905*$D915</f>
        <v/>
      </c>
      <c r="AU915" s="47">
        <f>AU905*$D915</f>
        <v/>
      </c>
      <c r="AV915" s="47">
        <f>AV905*$D915</f>
        <v/>
      </c>
      <c r="AW915" s="47">
        <f>AW905*$D915</f>
        <v/>
      </c>
      <c r="AX915" s="47">
        <f>AX905*$D915</f>
        <v/>
      </c>
      <c r="AY915" s="47">
        <f>AY905*$D915</f>
        <v/>
      </c>
      <c r="AZ915" s="47">
        <f>AZ905*$D915</f>
        <v/>
      </c>
      <c r="BA915" s="48">
        <f>SCALE(BA905,$D915)</f>
        <v/>
      </c>
    </row>
    <row r="916" hidden="1" outlineLevel="1">
      <c r="A916" s="14" t="inlineStr">
        <is>
          <t>nim</t>
        </is>
      </c>
      <c r="B916" s="14" t="inlineStr">
        <is>
          <t>nga</t>
        </is>
      </c>
      <c r="C916" s="14" t="inlineStr">
        <is>
          <t>pow</t>
        </is>
      </c>
      <c r="D916" s="45">
        <f>INDEX(Inputs_power!$AP$5:$AP$13,MATCH($B916,Inputs_power!$A$5:$A$13,0))</f>
        <v/>
      </c>
      <c r="E916" s="39" t="n"/>
      <c r="F916" s="39" t="n"/>
      <c r="G916" s="39" t="n"/>
      <c r="H916" s="14">
        <f>INDEX(VarLab,MATCH($A916,VarKey,0))&amp;INDEX(MemLab,MATCH($C916&amp;"|"&amp;$B916,MemKey,0))</f>
        <v/>
      </c>
      <c r="I916" s="14">
        <f>INDEX(VarUnit,MATCH($A916,VarKey,0))</f>
        <v/>
      </c>
      <c r="J916" s="14">
        <f>INDEX(VarSrc,MATCH($A916,VarKey,0))</f>
        <v/>
      </c>
      <c r="K916" s="11">
        <f>CodePrefix&amp;$A916&amp;IF($C916="","","."&amp;$C916&amp;"."&amp;$B916)&amp;INDEX(VarEnd,MATCH($A916,VarKey,0))&amp;K$5</f>
        <v/>
      </c>
      <c r="L916" s="46">
        <f>L906*$D916</f>
        <v/>
      </c>
      <c r="M916" s="47">
        <f>M906*$D916</f>
        <v/>
      </c>
      <c r="N916" s="47">
        <f>N906*$D916</f>
        <v/>
      </c>
      <c r="O916" s="47">
        <f>O906*$D916</f>
        <v/>
      </c>
      <c r="P916" s="47">
        <f>P906*$D916</f>
        <v/>
      </c>
      <c r="Q916" s="47">
        <f>Q906*$D916</f>
        <v/>
      </c>
      <c r="R916" s="47">
        <f>R906*$D916</f>
        <v/>
      </c>
      <c r="S916" s="47">
        <f>S906*$D916</f>
        <v/>
      </c>
      <c r="T916" s="47">
        <f>T906*$D916</f>
        <v/>
      </c>
      <c r="U916" s="47">
        <f>U906*$D916</f>
        <v/>
      </c>
      <c r="V916" s="47">
        <f>V906*$D916</f>
        <v/>
      </c>
      <c r="W916" s="47">
        <f>W906*$D916</f>
        <v/>
      </c>
      <c r="X916" s="47">
        <f>X906*$D916</f>
        <v/>
      </c>
      <c r="Y916" s="47">
        <f>Y906*$D916</f>
        <v/>
      </c>
      <c r="Z916" s="47">
        <f>Z906*$D916</f>
        <v/>
      </c>
      <c r="AA916" s="47">
        <f>AA906*$D916</f>
        <v/>
      </c>
      <c r="AB916" s="47">
        <f>AB906*$D916</f>
        <v/>
      </c>
      <c r="AC916" s="47">
        <f>AC906*$D916</f>
        <v/>
      </c>
      <c r="AD916" s="47">
        <f>AD906*$D916</f>
        <v/>
      </c>
      <c r="AE916" s="48">
        <f>SCALE(AE906,$D916)</f>
        <v/>
      </c>
      <c r="AG916" s="11">
        <f>CodePrefix&amp;$A916&amp;IF($C916="","","."&amp;$C916&amp;"."&amp;$B916)&amp;INDEX(VarEnd,MATCH($A916,VarKey,0))&amp;AG$5</f>
        <v/>
      </c>
      <c r="AH916" s="46">
        <f>AH906*$D916</f>
        <v/>
      </c>
      <c r="AI916" s="47">
        <f>AI906*$D916</f>
        <v/>
      </c>
      <c r="AJ916" s="47">
        <f>AJ906*$D916</f>
        <v/>
      </c>
      <c r="AK916" s="47">
        <f>AK906*$D916</f>
        <v/>
      </c>
      <c r="AL916" s="47">
        <f>AL906*$D916</f>
        <v/>
      </c>
      <c r="AM916" s="47">
        <f>AM906*$D916</f>
        <v/>
      </c>
      <c r="AN916" s="47">
        <f>AN906*$D916</f>
        <v/>
      </c>
      <c r="AO916" s="47">
        <f>AO906*$D916</f>
        <v/>
      </c>
      <c r="AP916" s="47">
        <f>AP906*$D916</f>
        <v/>
      </c>
      <c r="AQ916" s="47">
        <f>AQ906*$D916</f>
        <v/>
      </c>
      <c r="AR916" s="47">
        <f>AR906*$D916</f>
        <v/>
      </c>
      <c r="AS916" s="47">
        <f>AS906*$D916</f>
        <v/>
      </c>
      <c r="AT916" s="47">
        <f>AT906*$D916</f>
        <v/>
      </c>
      <c r="AU916" s="47">
        <f>AU906*$D916</f>
        <v/>
      </c>
      <c r="AV916" s="47">
        <f>AV906*$D916</f>
        <v/>
      </c>
      <c r="AW916" s="47">
        <f>AW906*$D916</f>
        <v/>
      </c>
      <c r="AX916" s="47">
        <f>AX906*$D916</f>
        <v/>
      </c>
      <c r="AY916" s="47">
        <f>AY906*$D916</f>
        <v/>
      </c>
      <c r="AZ916" s="47">
        <f>AZ906*$D916</f>
        <v/>
      </c>
      <c r="BA916" s="48">
        <f>SCALE(BA906,$D916)</f>
        <v/>
      </c>
    </row>
    <row r="917" hidden="1" outlineLevel="1">
      <c r="A917" s="14" t="inlineStr">
        <is>
          <t>nim</t>
        </is>
      </c>
      <c r="B917" s="14" t="inlineStr">
        <is>
          <t>oop</t>
        </is>
      </c>
      <c r="C917" s="14" t="inlineStr">
        <is>
          <t>pow</t>
        </is>
      </c>
      <c r="D917" s="45">
        <f>INDEX(Inputs_power!$AP$5:$AP$13,MATCH($B917,Inputs_power!$A$5:$A$13,0))</f>
        <v/>
      </c>
      <c r="E917" s="39" t="n"/>
      <c r="F917" s="39" t="n"/>
      <c r="G917" s="39" t="n"/>
      <c r="H917" s="14">
        <f>INDEX(VarLab,MATCH($A917,VarKey,0))&amp;INDEX(MemLab,MATCH($C917&amp;"|"&amp;$B917,MemKey,0))</f>
        <v/>
      </c>
      <c r="I917" s="14">
        <f>INDEX(VarUnit,MATCH($A917,VarKey,0))</f>
        <v/>
      </c>
      <c r="J917" s="14">
        <f>INDEX(VarSrc,MATCH($A917,VarKey,0))</f>
        <v/>
      </c>
      <c r="K917" s="11">
        <f>CodePrefix&amp;$A917&amp;IF($C917="","","."&amp;$C917&amp;"."&amp;$B917)&amp;INDEX(VarEnd,MATCH($A917,VarKey,0))&amp;K$5</f>
        <v/>
      </c>
      <c r="L917" s="46">
        <f>L907*$D917</f>
        <v/>
      </c>
      <c r="M917" s="47">
        <f>M907*$D917</f>
        <v/>
      </c>
      <c r="N917" s="47">
        <f>N907*$D917</f>
        <v/>
      </c>
      <c r="O917" s="47">
        <f>O907*$D917</f>
        <v/>
      </c>
      <c r="P917" s="47">
        <f>P907*$D917</f>
        <v/>
      </c>
      <c r="Q917" s="47">
        <f>Q907*$D917</f>
        <v/>
      </c>
      <c r="R917" s="47">
        <f>R907*$D917</f>
        <v/>
      </c>
      <c r="S917" s="47">
        <f>S907*$D917</f>
        <v/>
      </c>
      <c r="T917" s="47">
        <f>T907*$D917</f>
        <v/>
      </c>
      <c r="U917" s="47">
        <f>U907*$D917</f>
        <v/>
      </c>
      <c r="V917" s="47">
        <f>V907*$D917</f>
        <v/>
      </c>
      <c r="W917" s="47">
        <f>W907*$D917</f>
        <v/>
      </c>
      <c r="X917" s="47">
        <f>X907*$D917</f>
        <v/>
      </c>
      <c r="Y917" s="47">
        <f>Y907*$D917</f>
        <v/>
      </c>
      <c r="Z917" s="47">
        <f>Z907*$D917</f>
        <v/>
      </c>
      <c r="AA917" s="47">
        <f>AA907*$D917</f>
        <v/>
      </c>
      <c r="AB917" s="47">
        <f>AB907*$D917</f>
        <v/>
      </c>
      <c r="AC917" s="47">
        <f>AC907*$D917</f>
        <v/>
      </c>
      <c r="AD917" s="47">
        <f>AD907*$D917</f>
        <v/>
      </c>
      <c r="AE917" s="48">
        <f>SCALE(AE907,$D917)</f>
        <v/>
      </c>
      <c r="AG917" s="11">
        <f>CodePrefix&amp;$A917&amp;IF($C917="","","."&amp;$C917&amp;"."&amp;$B917)&amp;INDEX(VarEnd,MATCH($A917,VarKey,0))&amp;AG$5</f>
        <v/>
      </c>
      <c r="AH917" s="46">
        <f>AH907*$D917</f>
        <v/>
      </c>
      <c r="AI917" s="47">
        <f>AI907*$D917</f>
        <v/>
      </c>
      <c r="AJ917" s="47">
        <f>AJ907*$D917</f>
        <v/>
      </c>
      <c r="AK917" s="47">
        <f>AK907*$D917</f>
        <v/>
      </c>
      <c r="AL917" s="47">
        <f>AL907*$D917</f>
        <v/>
      </c>
      <c r="AM917" s="47">
        <f>AM907*$D917</f>
        <v/>
      </c>
      <c r="AN917" s="47">
        <f>AN907*$D917</f>
        <v/>
      </c>
      <c r="AO917" s="47">
        <f>AO907*$D917</f>
        <v/>
      </c>
      <c r="AP917" s="47">
        <f>AP907*$D917</f>
        <v/>
      </c>
      <c r="AQ917" s="47">
        <f>AQ907*$D917</f>
        <v/>
      </c>
      <c r="AR917" s="47">
        <f>AR907*$D917</f>
        <v/>
      </c>
      <c r="AS917" s="47">
        <f>AS907*$D917</f>
        <v/>
      </c>
      <c r="AT917" s="47">
        <f>AT907*$D917</f>
        <v/>
      </c>
      <c r="AU917" s="47">
        <f>AU907*$D917</f>
        <v/>
      </c>
      <c r="AV917" s="47">
        <f>AV907*$D917</f>
        <v/>
      </c>
      <c r="AW917" s="47">
        <f>AW907*$D917</f>
        <v/>
      </c>
      <c r="AX917" s="47">
        <f>AX907*$D917</f>
        <v/>
      </c>
      <c r="AY917" s="47">
        <f>AY907*$D917</f>
        <v/>
      </c>
      <c r="AZ917" s="47">
        <f>AZ907*$D917</f>
        <v/>
      </c>
      <c r="BA917" s="48">
        <f>SCALE(BA907,$D917)</f>
        <v/>
      </c>
    </row>
    <row r="918" hidden="1" outlineLevel="1">
      <c r="A918" s="14" t="inlineStr">
        <is>
          <t>nim</t>
        </is>
      </c>
      <c r="B918" s="14" t="inlineStr">
        <is>
          <t>nuc</t>
        </is>
      </c>
      <c r="C918" s="14" t="inlineStr">
        <is>
          <t>pow</t>
        </is>
      </c>
      <c r="D918" s="45">
        <f>INDEX(Inputs_power!$AP$5:$AP$13,MATCH($B918,Inputs_power!$A$5:$A$13,0))</f>
        <v/>
      </c>
      <c r="E918" s="39" t="n"/>
      <c r="F918" s="39" t="n"/>
      <c r="G918" s="39" t="n"/>
      <c r="H918" s="14">
        <f>INDEX(VarLab,MATCH($A918,VarKey,0))&amp;INDEX(MemLab,MATCH($C918&amp;"|"&amp;$B918,MemKey,0))</f>
        <v/>
      </c>
      <c r="I918" s="14">
        <f>INDEX(VarUnit,MATCH($A918,VarKey,0))</f>
        <v/>
      </c>
      <c r="J918" s="14">
        <f>INDEX(VarSrc,MATCH($A918,VarKey,0))</f>
        <v/>
      </c>
      <c r="K918" s="11">
        <f>CodePrefix&amp;$A918&amp;IF($C918="","","."&amp;$C918&amp;"."&amp;$B918)&amp;INDEX(VarEnd,MATCH($A918,VarKey,0))&amp;K$5</f>
        <v/>
      </c>
      <c r="L918" s="46">
        <f>L908*$D918</f>
        <v/>
      </c>
      <c r="M918" s="47">
        <f>M908*$D918</f>
        <v/>
      </c>
      <c r="N918" s="47">
        <f>N908*$D918</f>
        <v/>
      </c>
      <c r="O918" s="47">
        <f>O908*$D918</f>
        <v/>
      </c>
      <c r="P918" s="47">
        <f>P908*$D918</f>
        <v/>
      </c>
      <c r="Q918" s="47">
        <f>Q908*$D918</f>
        <v/>
      </c>
      <c r="R918" s="47">
        <f>R908*$D918</f>
        <v/>
      </c>
      <c r="S918" s="47">
        <f>S908*$D918</f>
        <v/>
      </c>
      <c r="T918" s="47">
        <f>T908*$D918</f>
        <v/>
      </c>
      <c r="U918" s="47">
        <f>U908*$D918</f>
        <v/>
      </c>
      <c r="V918" s="47">
        <f>V908*$D918</f>
        <v/>
      </c>
      <c r="W918" s="47">
        <f>W908*$D918</f>
        <v/>
      </c>
      <c r="X918" s="47">
        <f>X908*$D918</f>
        <v/>
      </c>
      <c r="Y918" s="47">
        <f>Y908*$D918</f>
        <v/>
      </c>
      <c r="Z918" s="47">
        <f>Z908*$D918</f>
        <v/>
      </c>
      <c r="AA918" s="47">
        <f>AA908*$D918</f>
        <v/>
      </c>
      <c r="AB918" s="47">
        <f>AB908*$D918</f>
        <v/>
      </c>
      <c r="AC918" s="47">
        <f>AC908*$D918</f>
        <v/>
      </c>
      <c r="AD918" s="47">
        <f>AD908*$D918</f>
        <v/>
      </c>
      <c r="AE918" s="48">
        <f>SCALE(AE908,$D918)</f>
        <v/>
      </c>
      <c r="AG918" s="11">
        <f>CodePrefix&amp;$A918&amp;IF($C918="","","."&amp;$C918&amp;"."&amp;$B918)&amp;INDEX(VarEnd,MATCH($A918,VarKey,0))&amp;AG$5</f>
        <v/>
      </c>
      <c r="AH918" s="46">
        <f>AH908*$D918</f>
        <v/>
      </c>
      <c r="AI918" s="47">
        <f>AI908*$D918</f>
        <v/>
      </c>
      <c r="AJ918" s="47">
        <f>AJ908*$D918</f>
        <v/>
      </c>
      <c r="AK918" s="47">
        <f>AK908*$D918</f>
        <v/>
      </c>
      <c r="AL918" s="47">
        <f>AL908*$D918</f>
        <v/>
      </c>
      <c r="AM918" s="47">
        <f>AM908*$D918</f>
        <v/>
      </c>
      <c r="AN918" s="47">
        <f>AN908*$D918</f>
        <v/>
      </c>
      <c r="AO918" s="47">
        <f>AO908*$D918</f>
        <v/>
      </c>
      <c r="AP918" s="47">
        <f>AP908*$D918</f>
        <v/>
      </c>
      <c r="AQ918" s="47">
        <f>AQ908*$D918</f>
        <v/>
      </c>
      <c r="AR918" s="47">
        <f>AR908*$D918</f>
        <v/>
      </c>
      <c r="AS918" s="47">
        <f>AS908*$D918</f>
        <v/>
      </c>
      <c r="AT918" s="47">
        <f>AT908*$D918</f>
        <v/>
      </c>
      <c r="AU918" s="47">
        <f>AU908*$D918</f>
        <v/>
      </c>
      <c r="AV918" s="47">
        <f>AV908*$D918</f>
        <v/>
      </c>
      <c r="AW918" s="47">
        <f>AW908*$D918</f>
        <v/>
      </c>
      <c r="AX918" s="47">
        <f>AX908*$D918</f>
        <v/>
      </c>
      <c r="AY918" s="47">
        <f>AY908*$D918</f>
        <v/>
      </c>
      <c r="AZ918" s="47">
        <f>AZ908*$D918</f>
        <v/>
      </c>
      <c r="BA918" s="48">
        <f>SCALE(BA908,$D918)</f>
        <v/>
      </c>
    </row>
    <row r="919" hidden="1" outlineLevel="1">
      <c r="A919" s="14" t="inlineStr">
        <is>
          <t>nim</t>
        </is>
      </c>
      <c r="B919" s="14" t="inlineStr">
        <is>
          <t>wnd</t>
        </is>
      </c>
      <c r="C919" s="14" t="inlineStr">
        <is>
          <t>pow</t>
        </is>
      </c>
      <c r="D919" s="45">
        <f>INDEX(Inputs_power!$AP$5:$AP$13,MATCH($B919,Inputs_power!$A$5:$A$13,0))</f>
        <v/>
      </c>
      <c r="E919" s="39" t="n"/>
      <c r="F919" s="39" t="n"/>
      <c r="G919" s="39" t="n"/>
      <c r="H919" s="14">
        <f>INDEX(VarLab,MATCH($A919,VarKey,0))&amp;INDEX(MemLab,MATCH($C919&amp;"|"&amp;$B919,MemKey,0))</f>
        <v/>
      </c>
      <c r="I919" s="14">
        <f>INDEX(VarUnit,MATCH($A919,VarKey,0))</f>
        <v/>
      </c>
      <c r="J919" s="14">
        <f>INDEX(VarSrc,MATCH($A919,VarKey,0))</f>
        <v/>
      </c>
      <c r="K919" s="11">
        <f>CodePrefix&amp;$A919&amp;IF($C919="","","."&amp;$C919&amp;"."&amp;$B919)&amp;INDEX(VarEnd,MATCH($A919,VarKey,0))&amp;K$5</f>
        <v/>
      </c>
      <c r="L919" s="46">
        <f>L909*$D919</f>
        <v/>
      </c>
      <c r="M919" s="47">
        <f>M909*$D919</f>
        <v/>
      </c>
      <c r="N919" s="47">
        <f>N909*$D919</f>
        <v/>
      </c>
      <c r="O919" s="47">
        <f>O909*$D919</f>
        <v/>
      </c>
      <c r="P919" s="47">
        <f>P909*$D919</f>
        <v/>
      </c>
      <c r="Q919" s="47">
        <f>Q909*$D919</f>
        <v/>
      </c>
      <c r="R919" s="47">
        <f>R909*$D919</f>
        <v/>
      </c>
      <c r="S919" s="47">
        <f>S909*$D919</f>
        <v/>
      </c>
      <c r="T919" s="47">
        <f>T909*$D919</f>
        <v/>
      </c>
      <c r="U919" s="47">
        <f>U909*$D919</f>
        <v/>
      </c>
      <c r="V919" s="47">
        <f>V909*$D919</f>
        <v/>
      </c>
      <c r="W919" s="47">
        <f>W909*$D919</f>
        <v/>
      </c>
      <c r="X919" s="47">
        <f>X909*$D919</f>
        <v/>
      </c>
      <c r="Y919" s="47">
        <f>Y909*$D919</f>
        <v/>
      </c>
      <c r="Z919" s="47">
        <f>Z909*$D919</f>
        <v/>
      </c>
      <c r="AA919" s="47">
        <f>AA909*$D919</f>
        <v/>
      </c>
      <c r="AB919" s="47">
        <f>AB909*$D919</f>
        <v/>
      </c>
      <c r="AC919" s="47">
        <f>AC909*$D919</f>
        <v/>
      </c>
      <c r="AD919" s="47">
        <f>AD909*$D919</f>
        <v/>
      </c>
      <c r="AE919" s="48">
        <f>SCALE(AE909,$D919)</f>
        <v/>
      </c>
      <c r="AG919" s="11">
        <f>CodePrefix&amp;$A919&amp;IF($C919="","","."&amp;$C919&amp;"."&amp;$B919)&amp;INDEX(VarEnd,MATCH($A919,VarKey,0))&amp;AG$5</f>
        <v/>
      </c>
      <c r="AH919" s="46">
        <f>AH909*$D919</f>
        <v/>
      </c>
      <c r="AI919" s="47">
        <f>AI909*$D919</f>
        <v/>
      </c>
      <c r="AJ919" s="47">
        <f>AJ909*$D919</f>
        <v/>
      </c>
      <c r="AK919" s="47">
        <f>AK909*$D919</f>
        <v/>
      </c>
      <c r="AL919" s="47">
        <f>AL909*$D919</f>
        <v/>
      </c>
      <c r="AM919" s="47">
        <f>AM909*$D919</f>
        <v/>
      </c>
      <c r="AN919" s="47">
        <f>AN909*$D919</f>
        <v/>
      </c>
      <c r="AO919" s="47">
        <f>AO909*$D919</f>
        <v/>
      </c>
      <c r="AP919" s="47">
        <f>AP909*$D919</f>
        <v/>
      </c>
      <c r="AQ919" s="47">
        <f>AQ909*$D919</f>
        <v/>
      </c>
      <c r="AR919" s="47">
        <f>AR909*$D919</f>
        <v/>
      </c>
      <c r="AS919" s="47">
        <f>AS909*$D919</f>
        <v/>
      </c>
      <c r="AT919" s="47">
        <f>AT909*$D919</f>
        <v/>
      </c>
      <c r="AU919" s="47">
        <f>AU909*$D919</f>
        <v/>
      </c>
      <c r="AV919" s="47">
        <f>AV909*$D919</f>
        <v/>
      </c>
      <c r="AW919" s="47">
        <f>AW909*$D919</f>
        <v/>
      </c>
      <c r="AX919" s="47">
        <f>AX909*$D919</f>
        <v/>
      </c>
      <c r="AY919" s="47">
        <f>AY909*$D919</f>
        <v/>
      </c>
      <c r="AZ919" s="47">
        <f>AZ909*$D919</f>
        <v/>
      </c>
      <c r="BA919" s="48">
        <f>SCALE(BA909,$D919)</f>
        <v/>
      </c>
    </row>
    <row r="920" hidden="1" outlineLevel="1">
      <c r="A920" s="14" t="inlineStr">
        <is>
          <t>nim</t>
        </is>
      </c>
      <c r="B920" s="14" t="inlineStr">
        <is>
          <t>sol</t>
        </is>
      </c>
      <c r="C920" s="14" t="inlineStr">
        <is>
          <t>pow</t>
        </is>
      </c>
      <c r="D920" s="45">
        <f>INDEX(Inputs_power!$AP$5:$AP$13,MATCH($B920,Inputs_power!$A$5:$A$13,0))</f>
        <v/>
      </c>
      <c r="E920" s="39" t="n"/>
      <c r="F920" s="39" t="n"/>
      <c r="G920" s="39" t="n"/>
      <c r="H920" s="14">
        <f>INDEX(VarLab,MATCH($A920,VarKey,0))&amp;INDEX(MemLab,MATCH($C920&amp;"|"&amp;$B920,MemKey,0))</f>
        <v/>
      </c>
      <c r="I920" s="14">
        <f>INDEX(VarUnit,MATCH($A920,VarKey,0))</f>
        <v/>
      </c>
      <c r="J920" s="14">
        <f>INDEX(VarSrc,MATCH($A920,VarKey,0))</f>
        <v/>
      </c>
      <c r="K920" s="11">
        <f>CodePrefix&amp;$A920&amp;IF($C920="","","."&amp;$C920&amp;"."&amp;$B920)&amp;INDEX(VarEnd,MATCH($A920,VarKey,0))&amp;K$5</f>
        <v/>
      </c>
      <c r="L920" s="46">
        <f>L910*$D920</f>
        <v/>
      </c>
      <c r="M920" s="47">
        <f>M910*$D920</f>
        <v/>
      </c>
      <c r="N920" s="47">
        <f>N910*$D920</f>
        <v/>
      </c>
      <c r="O920" s="47">
        <f>O910*$D920</f>
        <v/>
      </c>
      <c r="P920" s="47">
        <f>P910*$D920</f>
        <v/>
      </c>
      <c r="Q920" s="47">
        <f>Q910*$D920</f>
        <v/>
      </c>
      <c r="R920" s="47">
        <f>R910*$D920</f>
        <v/>
      </c>
      <c r="S920" s="47">
        <f>S910*$D920</f>
        <v/>
      </c>
      <c r="T920" s="47">
        <f>T910*$D920</f>
        <v/>
      </c>
      <c r="U920" s="47">
        <f>U910*$D920</f>
        <v/>
      </c>
      <c r="V920" s="47">
        <f>V910*$D920</f>
        <v/>
      </c>
      <c r="W920" s="47">
        <f>W910*$D920</f>
        <v/>
      </c>
      <c r="X920" s="47">
        <f>X910*$D920</f>
        <v/>
      </c>
      <c r="Y920" s="47">
        <f>Y910*$D920</f>
        <v/>
      </c>
      <c r="Z920" s="47">
        <f>Z910*$D920</f>
        <v/>
      </c>
      <c r="AA920" s="47">
        <f>AA910*$D920</f>
        <v/>
      </c>
      <c r="AB920" s="47">
        <f>AB910*$D920</f>
        <v/>
      </c>
      <c r="AC920" s="47">
        <f>AC910*$D920</f>
        <v/>
      </c>
      <c r="AD920" s="47">
        <f>AD910*$D920</f>
        <v/>
      </c>
      <c r="AE920" s="48">
        <f>SCALE(AE910,$D920)</f>
        <v/>
      </c>
      <c r="AG920" s="11">
        <f>CodePrefix&amp;$A920&amp;IF($C920="","","."&amp;$C920&amp;"."&amp;$B920)&amp;INDEX(VarEnd,MATCH($A920,VarKey,0))&amp;AG$5</f>
        <v/>
      </c>
      <c r="AH920" s="46">
        <f>AH910*$D920</f>
        <v/>
      </c>
      <c r="AI920" s="47">
        <f>AI910*$D920</f>
        <v/>
      </c>
      <c r="AJ920" s="47">
        <f>AJ910*$D920</f>
        <v/>
      </c>
      <c r="AK920" s="47">
        <f>AK910*$D920</f>
        <v/>
      </c>
      <c r="AL920" s="47">
        <f>AL910*$D920</f>
        <v/>
      </c>
      <c r="AM920" s="47">
        <f>AM910*$D920</f>
        <v/>
      </c>
      <c r="AN920" s="47">
        <f>AN910*$D920</f>
        <v/>
      </c>
      <c r="AO920" s="47">
        <f>AO910*$D920</f>
        <v/>
      </c>
      <c r="AP920" s="47">
        <f>AP910*$D920</f>
        <v/>
      </c>
      <c r="AQ920" s="47">
        <f>AQ910*$D920</f>
        <v/>
      </c>
      <c r="AR920" s="47">
        <f>AR910*$D920</f>
        <v/>
      </c>
      <c r="AS920" s="47">
        <f>AS910*$D920</f>
        <v/>
      </c>
      <c r="AT920" s="47">
        <f>AT910*$D920</f>
        <v/>
      </c>
      <c r="AU920" s="47">
        <f>AU910*$D920</f>
        <v/>
      </c>
      <c r="AV920" s="47">
        <f>AV910*$D920</f>
        <v/>
      </c>
      <c r="AW920" s="47">
        <f>AW910*$D920</f>
        <v/>
      </c>
      <c r="AX920" s="47">
        <f>AX910*$D920</f>
        <v/>
      </c>
      <c r="AY920" s="47">
        <f>AY910*$D920</f>
        <v/>
      </c>
      <c r="AZ920" s="47">
        <f>AZ910*$D920</f>
        <v/>
      </c>
      <c r="BA920" s="48">
        <f>SCALE(BA910,$D920)</f>
        <v/>
      </c>
    </row>
    <row r="921" hidden="1" outlineLevel="1">
      <c r="A921" s="14" t="inlineStr">
        <is>
          <t>nim</t>
        </is>
      </c>
      <c r="B921" s="14" t="inlineStr">
        <is>
          <t>hyd</t>
        </is>
      </c>
      <c r="C921" s="14" t="inlineStr">
        <is>
          <t>pow</t>
        </is>
      </c>
      <c r="D921" s="45">
        <f>INDEX(Inputs_power!$AP$5:$AP$13,MATCH($B921,Inputs_power!$A$5:$A$13,0))</f>
        <v/>
      </c>
      <c r="E921" s="39" t="n"/>
      <c r="F921" s="39" t="n"/>
      <c r="G921" s="39" t="n"/>
      <c r="H921" s="14">
        <f>INDEX(VarLab,MATCH($A921,VarKey,0))&amp;INDEX(MemLab,MATCH($C921&amp;"|"&amp;$B921,MemKey,0))</f>
        <v/>
      </c>
      <c r="I921" s="14">
        <f>INDEX(VarUnit,MATCH($A921,VarKey,0))</f>
        <v/>
      </c>
      <c r="J921" s="14">
        <f>INDEX(VarSrc,MATCH($A921,VarKey,0))</f>
        <v/>
      </c>
      <c r="K921" s="11">
        <f>CodePrefix&amp;$A921&amp;IF($C921="","","."&amp;$C921&amp;"."&amp;$B921)&amp;INDEX(VarEnd,MATCH($A921,VarKey,0))&amp;K$5</f>
        <v/>
      </c>
      <c r="L921" s="46">
        <f>L911*$D921</f>
        <v/>
      </c>
      <c r="M921" s="47">
        <f>M911*$D921</f>
        <v/>
      </c>
      <c r="N921" s="47">
        <f>N911*$D921</f>
        <v/>
      </c>
      <c r="O921" s="47">
        <f>O911*$D921</f>
        <v/>
      </c>
      <c r="P921" s="47">
        <f>P911*$D921</f>
        <v/>
      </c>
      <c r="Q921" s="47">
        <f>Q911*$D921</f>
        <v/>
      </c>
      <c r="R921" s="47">
        <f>R911*$D921</f>
        <v/>
      </c>
      <c r="S921" s="47">
        <f>S911*$D921</f>
        <v/>
      </c>
      <c r="T921" s="47">
        <f>T911*$D921</f>
        <v/>
      </c>
      <c r="U921" s="47">
        <f>U911*$D921</f>
        <v/>
      </c>
      <c r="V921" s="47">
        <f>V911*$D921</f>
        <v/>
      </c>
      <c r="W921" s="47">
        <f>W911*$D921</f>
        <v/>
      </c>
      <c r="X921" s="47">
        <f>X911*$D921</f>
        <v/>
      </c>
      <c r="Y921" s="47">
        <f>Y911*$D921</f>
        <v/>
      </c>
      <c r="Z921" s="47">
        <f>Z911*$D921</f>
        <v/>
      </c>
      <c r="AA921" s="47">
        <f>AA911*$D921</f>
        <v/>
      </c>
      <c r="AB921" s="47">
        <f>AB911*$D921</f>
        <v/>
      </c>
      <c r="AC921" s="47">
        <f>AC911*$D921</f>
        <v/>
      </c>
      <c r="AD921" s="47">
        <f>AD911*$D921</f>
        <v/>
      </c>
      <c r="AE921" s="48">
        <f>SCALE(AE911,$D921)</f>
        <v/>
      </c>
      <c r="AG921" s="11">
        <f>CodePrefix&amp;$A921&amp;IF($C921="","","."&amp;$C921&amp;"."&amp;$B921)&amp;INDEX(VarEnd,MATCH($A921,VarKey,0))&amp;AG$5</f>
        <v/>
      </c>
      <c r="AH921" s="46">
        <f>AH911*$D921</f>
        <v/>
      </c>
      <c r="AI921" s="47">
        <f>AI911*$D921</f>
        <v/>
      </c>
      <c r="AJ921" s="47">
        <f>AJ911*$D921</f>
        <v/>
      </c>
      <c r="AK921" s="47">
        <f>AK911*$D921</f>
        <v/>
      </c>
      <c r="AL921" s="47">
        <f>AL911*$D921</f>
        <v/>
      </c>
      <c r="AM921" s="47">
        <f>AM911*$D921</f>
        <v/>
      </c>
      <c r="AN921" s="47">
        <f>AN911*$D921</f>
        <v/>
      </c>
      <c r="AO921" s="47">
        <f>AO911*$D921</f>
        <v/>
      </c>
      <c r="AP921" s="47">
        <f>AP911*$D921</f>
        <v/>
      </c>
      <c r="AQ921" s="47">
        <f>AQ911*$D921</f>
        <v/>
      </c>
      <c r="AR921" s="47">
        <f>AR911*$D921</f>
        <v/>
      </c>
      <c r="AS921" s="47">
        <f>AS911*$D921</f>
        <v/>
      </c>
      <c r="AT921" s="47">
        <f>AT911*$D921</f>
        <v/>
      </c>
      <c r="AU921" s="47">
        <f>AU911*$D921</f>
        <v/>
      </c>
      <c r="AV921" s="47">
        <f>AV911*$D921</f>
        <v/>
      </c>
      <c r="AW921" s="47">
        <f>AW911*$D921</f>
        <v/>
      </c>
      <c r="AX921" s="47">
        <f>AX911*$D921</f>
        <v/>
      </c>
      <c r="AY921" s="47">
        <f>AY911*$D921</f>
        <v/>
      </c>
      <c r="AZ921" s="47">
        <f>AZ911*$D921</f>
        <v/>
      </c>
      <c r="BA921" s="48">
        <f>SCALE(BA911,$D921)</f>
        <v/>
      </c>
    </row>
    <row r="922" hidden="1" outlineLevel="1">
      <c r="A922" s="14" t="inlineStr">
        <is>
          <t>nim</t>
        </is>
      </c>
      <c r="B922" s="14" t="inlineStr">
        <is>
          <t>ore</t>
        </is>
      </c>
      <c r="C922" s="14" t="inlineStr">
        <is>
          <t>pow</t>
        </is>
      </c>
      <c r="D922" s="45">
        <f>INDEX(Inputs_power!$AP$5:$AP$13,MATCH($B922,Inputs_power!$A$5:$A$13,0))</f>
        <v/>
      </c>
      <c r="E922" s="39" t="n"/>
      <c r="F922" s="39" t="n"/>
      <c r="G922" s="39" t="n"/>
      <c r="H922" s="14">
        <f>INDEX(VarLab,MATCH($A922,VarKey,0))&amp;INDEX(MemLab,MATCH($C922&amp;"|"&amp;$B922,MemKey,0))</f>
        <v/>
      </c>
      <c r="I922" s="14">
        <f>INDEX(VarUnit,MATCH($A922,VarKey,0))</f>
        <v/>
      </c>
      <c r="J922" s="14">
        <f>INDEX(VarSrc,MATCH($A922,VarKey,0))</f>
        <v/>
      </c>
      <c r="K922" s="11">
        <f>CodePrefix&amp;$A922&amp;IF($C922="","","."&amp;$C922&amp;"."&amp;$B922)&amp;INDEX(VarEnd,MATCH($A922,VarKey,0))&amp;K$5</f>
        <v/>
      </c>
      <c r="L922" s="46">
        <f>L912*$D922</f>
        <v/>
      </c>
      <c r="M922" s="47">
        <f>M912*$D922</f>
        <v/>
      </c>
      <c r="N922" s="47">
        <f>N912*$D922</f>
        <v/>
      </c>
      <c r="O922" s="47">
        <f>O912*$D922</f>
        <v/>
      </c>
      <c r="P922" s="47">
        <f>P912*$D922</f>
        <v/>
      </c>
      <c r="Q922" s="47">
        <f>Q912*$D922</f>
        <v/>
      </c>
      <c r="R922" s="47">
        <f>R912*$D922</f>
        <v/>
      </c>
      <c r="S922" s="47">
        <f>S912*$D922</f>
        <v/>
      </c>
      <c r="T922" s="47">
        <f>T912*$D922</f>
        <v/>
      </c>
      <c r="U922" s="47">
        <f>U912*$D922</f>
        <v/>
      </c>
      <c r="V922" s="47">
        <f>V912*$D922</f>
        <v/>
      </c>
      <c r="W922" s="47">
        <f>W912*$D922</f>
        <v/>
      </c>
      <c r="X922" s="47">
        <f>X912*$D922</f>
        <v/>
      </c>
      <c r="Y922" s="47">
        <f>Y912*$D922</f>
        <v/>
      </c>
      <c r="Z922" s="47">
        <f>Z912*$D922</f>
        <v/>
      </c>
      <c r="AA922" s="47">
        <f>AA912*$D922</f>
        <v/>
      </c>
      <c r="AB922" s="47">
        <f>AB912*$D922</f>
        <v/>
      </c>
      <c r="AC922" s="47">
        <f>AC912*$D922</f>
        <v/>
      </c>
      <c r="AD922" s="47">
        <f>AD912*$D922</f>
        <v/>
      </c>
      <c r="AE922" s="48">
        <f>SCALE(AE912,$D922)</f>
        <v/>
      </c>
      <c r="AG922" s="11">
        <f>CodePrefix&amp;$A922&amp;IF($C922="","","."&amp;$C922&amp;"."&amp;$B922)&amp;INDEX(VarEnd,MATCH($A922,VarKey,0))&amp;AG$5</f>
        <v/>
      </c>
      <c r="AH922" s="46">
        <f>AH912*$D922</f>
        <v/>
      </c>
      <c r="AI922" s="47">
        <f>AI912*$D922</f>
        <v/>
      </c>
      <c r="AJ922" s="47">
        <f>AJ912*$D922</f>
        <v/>
      </c>
      <c r="AK922" s="47">
        <f>AK912*$D922</f>
        <v/>
      </c>
      <c r="AL922" s="47">
        <f>AL912*$D922</f>
        <v/>
      </c>
      <c r="AM922" s="47">
        <f>AM912*$D922</f>
        <v/>
      </c>
      <c r="AN922" s="47">
        <f>AN912*$D922</f>
        <v/>
      </c>
      <c r="AO922" s="47">
        <f>AO912*$D922</f>
        <v/>
      </c>
      <c r="AP922" s="47">
        <f>AP912*$D922</f>
        <v/>
      </c>
      <c r="AQ922" s="47">
        <f>AQ912*$D922</f>
        <v/>
      </c>
      <c r="AR922" s="47">
        <f>AR912*$D922</f>
        <v/>
      </c>
      <c r="AS922" s="47">
        <f>AS912*$D922</f>
        <v/>
      </c>
      <c r="AT922" s="47">
        <f>AT912*$D922</f>
        <v/>
      </c>
      <c r="AU922" s="47">
        <f>AU912*$D922</f>
        <v/>
      </c>
      <c r="AV922" s="47">
        <f>AV912*$D922</f>
        <v/>
      </c>
      <c r="AW922" s="47">
        <f>AW912*$D922</f>
        <v/>
      </c>
      <c r="AX922" s="47">
        <f>AX912*$D922</f>
        <v/>
      </c>
      <c r="AY922" s="47">
        <f>AY912*$D922</f>
        <v/>
      </c>
      <c r="AZ922" s="47">
        <f>AZ912*$D922</f>
        <v/>
      </c>
      <c r="BA922" s="48">
        <f>SCALE(BA912,$D922)</f>
        <v/>
      </c>
    </row>
    <row r="923" hidden="1" outlineLevel="1">
      <c r="A923" s="14" t="inlineStr">
        <is>
          <t>nim</t>
        </is>
      </c>
      <c r="B923" s="14" t="inlineStr">
        <is>
          <t>bio</t>
        </is>
      </c>
      <c r="C923" s="14" t="inlineStr">
        <is>
          <t>pow</t>
        </is>
      </c>
      <c r="D923" s="45">
        <f>INDEX(Inputs_power!$AP$5:$AP$13,MATCH($B923,Inputs_power!$A$5:$A$13,0))</f>
        <v/>
      </c>
      <c r="E923" s="39" t="n"/>
      <c r="F923" s="39" t="n"/>
      <c r="G923" s="39" t="n"/>
      <c r="H923" s="14">
        <f>INDEX(VarLab,MATCH($A923,VarKey,0))&amp;INDEX(MemLab,MATCH($C923&amp;"|"&amp;$B923,MemKey,0))</f>
        <v/>
      </c>
      <c r="I923" s="14">
        <f>INDEX(VarUnit,MATCH($A923,VarKey,0))</f>
        <v/>
      </c>
      <c r="J923" s="14">
        <f>INDEX(VarSrc,MATCH($A923,VarKey,0))</f>
        <v/>
      </c>
      <c r="K923" s="11">
        <f>CodePrefix&amp;$A923&amp;IF($C923="","","."&amp;$C923&amp;"."&amp;$B923)&amp;INDEX(VarEnd,MATCH($A923,VarKey,0))&amp;K$5</f>
        <v/>
      </c>
      <c r="L923" s="46">
        <f>L913*$D923</f>
        <v/>
      </c>
      <c r="M923" s="47">
        <f>M913*$D923</f>
        <v/>
      </c>
      <c r="N923" s="47">
        <f>N913*$D923</f>
        <v/>
      </c>
      <c r="O923" s="47">
        <f>O913*$D923</f>
        <v/>
      </c>
      <c r="P923" s="47">
        <f>P913*$D923</f>
        <v/>
      </c>
      <c r="Q923" s="47">
        <f>Q913*$D923</f>
        <v/>
      </c>
      <c r="R923" s="47">
        <f>R913*$D923</f>
        <v/>
      </c>
      <c r="S923" s="47">
        <f>S913*$D923</f>
        <v/>
      </c>
      <c r="T923" s="47">
        <f>T913*$D923</f>
        <v/>
      </c>
      <c r="U923" s="47">
        <f>U913*$D923</f>
        <v/>
      </c>
      <c r="V923" s="47">
        <f>V913*$D923</f>
        <v/>
      </c>
      <c r="W923" s="47">
        <f>W913*$D923</f>
        <v/>
      </c>
      <c r="X923" s="47">
        <f>X913*$D923</f>
        <v/>
      </c>
      <c r="Y923" s="47">
        <f>Y913*$D923</f>
        <v/>
      </c>
      <c r="Z923" s="47">
        <f>Z913*$D923</f>
        <v/>
      </c>
      <c r="AA923" s="47">
        <f>AA913*$D923</f>
        <v/>
      </c>
      <c r="AB923" s="47">
        <f>AB913*$D923</f>
        <v/>
      </c>
      <c r="AC923" s="47">
        <f>AC913*$D923</f>
        <v/>
      </c>
      <c r="AD923" s="47">
        <f>AD913*$D923</f>
        <v/>
      </c>
      <c r="AE923" s="48">
        <f>SCALE(AE913,$D923)</f>
        <v/>
      </c>
      <c r="AG923" s="11">
        <f>CodePrefix&amp;$A923&amp;IF($C923="","","."&amp;$C923&amp;"."&amp;$B923)&amp;INDEX(VarEnd,MATCH($A923,VarKey,0))&amp;AG$5</f>
        <v/>
      </c>
      <c r="AH923" s="46">
        <f>AH913*$D923</f>
        <v/>
      </c>
      <c r="AI923" s="47">
        <f>AI913*$D923</f>
        <v/>
      </c>
      <c r="AJ923" s="47">
        <f>AJ913*$D923</f>
        <v/>
      </c>
      <c r="AK923" s="47">
        <f>AK913*$D923</f>
        <v/>
      </c>
      <c r="AL923" s="47">
        <f>AL913*$D923</f>
        <v/>
      </c>
      <c r="AM923" s="47">
        <f>AM913*$D923</f>
        <v/>
      </c>
      <c r="AN923" s="47">
        <f>AN913*$D923</f>
        <v/>
      </c>
      <c r="AO923" s="47">
        <f>AO913*$D923</f>
        <v/>
      </c>
      <c r="AP923" s="47">
        <f>AP913*$D923</f>
        <v/>
      </c>
      <c r="AQ923" s="47">
        <f>AQ913*$D923</f>
        <v/>
      </c>
      <c r="AR923" s="47">
        <f>AR913*$D923</f>
        <v/>
      </c>
      <c r="AS923" s="47">
        <f>AS913*$D923</f>
        <v/>
      </c>
      <c r="AT923" s="47">
        <f>AT913*$D923</f>
        <v/>
      </c>
      <c r="AU923" s="47">
        <f>AU913*$D923</f>
        <v/>
      </c>
      <c r="AV923" s="47">
        <f>AV913*$D923</f>
        <v/>
      </c>
      <c r="AW923" s="47">
        <f>AW913*$D923</f>
        <v/>
      </c>
      <c r="AX923" s="47">
        <f>AX913*$D923</f>
        <v/>
      </c>
      <c r="AY923" s="47">
        <f>AY913*$D923</f>
        <v/>
      </c>
      <c r="AZ923" s="47">
        <f>AZ913*$D923</f>
        <v/>
      </c>
      <c r="BA923" s="48">
        <f>SCALE(BA913,$D923)</f>
        <v/>
      </c>
    </row>
    <row r="924" hidden="1" outlineLevel="1"/>
    <row r="925" hidden="1" outlineLevel="1">
      <c r="A925" s="14" t="inlineStr">
        <is>
          <t>nimtot</t>
        </is>
      </c>
      <c r="B925" s="14" t="inlineStr"/>
      <c r="C925" s="14" t="inlineStr"/>
      <c r="D925" s="39" t="n"/>
      <c r="E925" s="39" t="n"/>
      <c r="F925" s="39" t="n"/>
      <c r="G925" s="39" t="n"/>
      <c r="H925" s="14">
        <f>INDEX(VarLab,MATCH($A925,VarKey,0))&amp;INDEX(MemLab,MATCH($C925&amp;"|"&amp;$B925,MemKey,0))</f>
        <v/>
      </c>
      <c r="I925" s="14">
        <f>INDEX(VarUnit,MATCH($A925,VarKey,0))</f>
        <v/>
      </c>
      <c r="J925" s="14">
        <f>INDEX(VarSrc,MATCH($A925,VarKey,0))</f>
        <v/>
      </c>
      <c r="K925" s="11">
        <f>CodePrefix&amp;$A925&amp;IF($C925="","","."&amp;$C925&amp;"."&amp;$B925)&amp;INDEX(VarEnd,MATCH($A925,VarKey,0))&amp;K$5</f>
        <v/>
      </c>
      <c r="L925" s="46">
        <f>SUM(L$915:L$923)</f>
        <v/>
      </c>
      <c r="M925" s="47">
        <f>SUM(M$915:M$923)</f>
        <v/>
      </c>
      <c r="N925" s="47">
        <f>SUM(N$915:N$923)</f>
        <v/>
      </c>
      <c r="O925" s="47">
        <f>SUM(O$915:O$923)</f>
        <v/>
      </c>
      <c r="P925" s="47">
        <f>SUM(P$915:P$923)</f>
        <v/>
      </c>
      <c r="Q925" s="47">
        <f>SUM(Q$915:Q$923)</f>
        <v/>
      </c>
      <c r="R925" s="47">
        <f>SUM(R$915:R$923)</f>
        <v/>
      </c>
      <c r="S925" s="47">
        <f>SUM(S$915:S$923)</f>
        <v/>
      </c>
      <c r="T925" s="47">
        <f>SUM(T$915:T$923)</f>
        <v/>
      </c>
      <c r="U925" s="47">
        <f>SUM(U$915:U$923)</f>
        <v/>
      </c>
      <c r="V925" s="47">
        <f>SUM(V$915:V$923)</f>
        <v/>
      </c>
      <c r="W925" s="47">
        <f>SUM(W$915:W$923)</f>
        <v/>
      </c>
      <c r="X925" s="47">
        <f>SUM(X$915:X$923)</f>
        <v/>
      </c>
      <c r="Y925" s="47">
        <f>SUM(Y$915:Y$923)</f>
        <v/>
      </c>
      <c r="Z925" s="47">
        <f>SUM(Z$915:Z$923)</f>
        <v/>
      </c>
      <c r="AA925" s="47">
        <f>SUM(AA$915:AA$923)</f>
        <v/>
      </c>
      <c r="AB925" s="47">
        <f>SUM(AB$915:AB$923)</f>
        <v/>
      </c>
      <c r="AC925" s="47">
        <f>SUM(AC$915:AC$923)</f>
        <v/>
      </c>
      <c r="AD925" s="47">
        <f>SUM(AD$915:AD$923)</f>
        <v/>
      </c>
      <c r="AE925" s="47">
        <f>SUM(AE$915:AE$923)</f>
        <v/>
      </c>
      <c r="AG925" s="11">
        <f>CodePrefix&amp;$A925&amp;IF($C925="","","."&amp;$C925&amp;"."&amp;$B925)&amp;INDEX(VarEnd,MATCH($A925,VarKey,0))&amp;AG$5</f>
        <v/>
      </c>
      <c r="AH925" s="46">
        <f>SUM(AH$915:AH$923)</f>
        <v/>
      </c>
      <c r="AI925" s="47">
        <f>SUM(AI$915:AI$923)</f>
        <v/>
      </c>
      <c r="AJ925" s="47">
        <f>SUM(AJ$915:AJ$923)</f>
        <v/>
      </c>
      <c r="AK925" s="47">
        <f>SUM(AK$915:AK$923)</f>
        <v/>
      </c>
      <c r="AL925" s="47">
        <f>SUM(AL$915:AL$923)</f>
        <v/>
      </c>
      <c r="AM925" s="47">
        <f>SUM(AM$915:AM$923)</f>
        <v/>
      </c>
      <c r="AN925" s="47">
        <f>SUM(AN$915:AN$923)</f>
        <v/>
      </c>
      <c r="AO925" s="47">
        <f>SUM(AO$915:AO$923)</f>
        <v/>
      </c>
      <c r="AP925" s="47">
        <f>SUM(AP$915:AP$923)</f>
        <v/>
      </c>
      <c r="AQ925" s="47">
        <f>SUM(AQ$915:AQ$923)</f>
        <v/>
      </c>
      <c r="AR925" s="47">
        <f>SUM(AR$915:AR$923)</f>
        <v/>
      </c>
      <c r="AS925" s="47">
        <f>SUM(AS$915:AS$923)</f>
        <v/>
      </c>
      <c r="AT925" s="47">
        <f>SUM(AT$915:AT$923)</f>
        <v/>
      </c>
      <c r="AU925" s="47">
        <f>SUM(AU$915:AU$923)</f>
        <v/>
      </c>
      <c r="AV925" s="47">
        <f>SUM(AV$915:AV$923)</f>
        <v/>
      </c>
      <c r="AW925" s="47">
        <f>SUM(AW$915:AW$923)</f>
        <v/>
      </c>
      <c r="AX925" s="47">
        <f>SUM(AX$915:AX$923)</f>
        <v/>
      </c>
      <c r="AY925" s="47">
        <f>SUM(AY$915:AY$923)</f>
        <v/>
      </c>
      <c r="AZ925" s="47">
        <f>SUM(AZ$915:AZ$923)</f>
        <v/>
      </c>
      <c r="BA925" s="47">
        <f>SUM(BA$915:BA$923)</f>
        <v/>
      </c>
    </row>
    <row r="926" hidden="1" outlineLevel="1"/>
    <row r="927" hidden="1" outlineLevel="1">
      <c r="A927" s="14" t="inlineStr">
        <is>
          <t>usd</t>
        </is>
      </c>
      <c r="B927" s="14" t="inlineStr">
        <is>
          <t>coa</t>
        </is>
      </c>
      <c r="C927" s="14" t="inlineStr">
        <is>
          <t>pow</t>
        </is>
      </c>
      <c r="D927" s="39" t="n"/>
      <c r="E927" s="39" t="n"/>
      <c r="F927" s="39" t="n"/>
      <c r="G927" s="39" t="n"/>
      <c r="H927" s="14">
        <f>INDEX(VarLab,MATCH($A927,VarKey,0))&amp;INDEX(MemLab,MATCH($C927&amp;"|"&amp;$B927,MemKey,0))</f>
        <v/>
      </c>
      <c r="I927" s="14">
        <f>INDEX(VarUnit,MATCH($A927,VarKey,0))</f>
        <v/>
      </c>
      <c r="J927" s="14">
        <f>INDEX(VarSrc,MATCH($A927,VarKey,0))</f>
        <v/>
      </c>
      <c r="K927" s="11">
        <f>CodePrefix&amp;$A927&amp;IF($C927="","","."&amp;$C927&amp;"."&amp;$B927)&amp;INDEX(VarEnd,MATCH($A927,VarKey,0))&amp;K$5</f>
        <v/>
      </c>
      <c r="L927" s="46">
        <f>L915*L467/1000</f>
        <v/>
      </c>
      <c r="M927" s="47">
        <f>M915*M467/1000</f>
        <v/>
      </c>
      <c r="N927" s="47">
        <f>N915*N467/1000</f>
        <v/>
      </c>
      <c r="O927" s="47">
        <f>O915*O467/1000</f>
        <v/>
      </c>
      <c r="P927" s="47">
        <f>P915*P467/1000</f>
        <v/>
      </c>
      <c r="Q927" s="47">
        <f>Q915*Q467/1000</f>
        <v/>
      </c>
      <c r="R927" s="47">
        <f>R915*R467/1000</f>
        <v/>
      </c>
      <c r="S927" s="47">
        <f>S915*S467/1000</f>
        <v/>
      </c>
      <c r="T927" s="47">
        <f>T915*T467/1000</f>
        <v/>
      </c>
      <c r="U927" s="47">
        <f>U915*U467/1000</f>
        <v/>
      </c>
      <c r="V927" s="47">
        <f>V915*V467/1000</f>
        <v/>
      </c>
      <c r="W927" s="47">
        <f>W915*W467/1000</f>
        <v/>
      </c>
      <c r="X927" s="47">
        <f>X915*X467/1000</f>
        <v/>
      </c>
      <c r="Y927" s="47">
        <f>Y915*Y467/1000</f>
        <v/>
      </c>
      <c r="Z927" s="47">
        <f>Z915*Z467/1000</f>
        <v/>
      </c>
      <c r="AA927" s="47">
        <f>AA915*AA467/1000</f>
        <v/>
      </c>
      <c r="AB927" s="47">
        <f>AB915*AB467/1000</f>
        <v/>
      </c>
      <c r="AC927" s="47">
        <f>AC915*AC467/1000</f>
        <v/>
      </c>
      <c r="AD927" s="47">
        <f>AD915*AD467/1000</f>
        <v/>
      </c>
      <c r="AE927" s="48">
        <f>INVSPEND(AE915,AE467)</f>
        <v/>
      </c>
      <c r="AG927" s="11">
        <f>CodePrefix&amp;$A927&amp;IF($C927="","","."&amp;$C927&amp;"."&amp;$B927)&amp;INDEX(VarEnd,MATCH($A927,VarKey,0))&amp;AG$5</f>
        <v/>
      </c>
      <c r="AH927" s="46">
        <f>AH915*AH467/1000</f>
        <v/>
      </c>
      <c r="AI927" s="47">
        <f>AI915*AI467/1000</f>
        <v/>
      </c>
      <c r="AJ927" s="47">
        <f>AJ915*AJ467/1000</f>
        <v/>
      </c>
      <c r="AK927" s="47">
        <f>AK915*AK467/1000</f>
        <v/>
      </c>
      <c r="AL927" s="47">
        <f>AL915*AL467/1000</f>
        <v/>
      </c>
      <c r="AM927" s="47">
        <f>AM915*AM467/1000</f>
        <v/>
      </c>
      <c r="AN927" s="47">
        <f>AN915*AN467/1000</f>
        <v/>
      </c>
      <c r="AO927" s="47">
        <f>AO915*AO467/1000</f>
        <v/>
      </c>
      <c r="AP927" s="47">
        <f>AP915*AP467/1000</f>
        <v/>
      </c>
      <c r="AQ927" s="47">
        <f>AQ915*AQ467/1000</f>
        <v/>
      </c>
      <c r="AR927" s="47">
        <f>AR915*AR467/1000</f>
        <v/>
      </c>
      <c r="AS927" s="47">
        <f>AS915*AS467/1000</f>
        <v/>
      </c>
      <c r="AT927" s="47">
        <f>AT915*AT467/1000</f>
        <v/>
      </c>
      <c r="AU927" s="47">
        <f>AU915*AU467/1000</f>
        <v/>
      </c>
      <c r="AV927" s="47">
        <f>AV915*AV467/1000</f>
        <v/>
      </c>
      <c r="AW927" s="47">
        <f>AW915*AW467/1000</f>
        <v/>
      </c>
      <c r="AX927" s="47">
        <f>AX915*AX467/1000</f>
        <v/>
      </c>
      <c r="AY927" s="47">
        <f>AY915*AY467/1000</f>
        <v/>
      </c>
      <c r="AZ927" s="47">
        <f>AZ915*AZ467/1000</f>
        <v/>
      </c>
      <c r="BA927" s="48">
        <f>INVSPEND(BA915,BA467)</f>
        <v/>
      </c>
    </row>
    <row r="928" hidden="1" outlineLevel="1">
      <c r="A928" s="14" t="inlineStr">
        <is>
          <t>usd</t>
        </is>
      </c>
      <c r="B928" s="14" t="inlineStr">
        <is>
          <t>nga</t>
        </is>
      </c>
      <c r="C928" s="14" t="inlineStr">
        <is>
          <t>pow</t>
        </is>
      </c>
      <c r="D928" s="39" t="n"/>
      <c r="E928" s="39" t="n"/>
      <c r="F928" s="39" t="n"/>
      <c r="G928" s="39" t="n"/>
      <c r="H928" s="14">
        <f>INDEX(VarLab,MATCH($A928,VarKey,0))&amp;INDEX(MemLab,MATCH($C928&amp;"|"&amp;$B928,MemKey,0))</f>
        <v/>
      </c>
      <c r="I928" s="14">
        <f>INDEX(VarUnit,MATCH($A928,VarKey,0))</f>
        <v/>
      </c>
      <c r="J928" s="14">
        <f>INDEX(VarSrc,MATCH($A928,VarKey,0))</f>
        <v/>
      </c>
      <c r="K928" s="11">
        <f>CodePrefix&amp;$A928&amp;IF($C928="","","."&amp;$C928&amp;"."&amp;$B928)&amp;INDEX(VarEnd,MATCH($A928,VarKey,0))&amp;K$5</f>
        <v/>
      </c>
      <c r="L928" s="46">
        <f>L916*L468/1000</f>
        <v/>
      </c>
      <c r="M928" s="47">
        <f>M916*M468/1000</f>
        <v/>
      </c>
      <c r="N928" s="47">
        <f>N916*N468/1000</f>
        <v/>
      </c>
      <c r="O928" s="47">
        <f>O916*O468/1000</f>
        <v/>
      </c>
      <c r="P928" s="47">
        <f>P916*P468/1000</f>
        <v/>
      </c>
      <c r="Q928" s="47">
        <f>Q916*Q468/1000</f>
        <v/>
      </c>
      <c r="R928" s="47">
        <f>R916*R468/1000</f>
        <v/>
      </c>
      <c r="S928" s="47">
        <f>S916*S468/1000</f>
        <v/>
      </c>
      <c r="T928" s="47">
        <f>T916*T468/1000</f>
        <v/>
      </c>
      <c r="U928" s="47">
        <f>U916*U468/1000</f>
        <v/>
      </c>
      <c r="V928" s="47">
        <f>V916*V468/1000</f>
        <v/>
      </c>
      <c r="W928" s="47">
        <f>W916*W468/1000</f>
        <v/>
      </c>
      <c r="X928" s="47">
        <f>X916*X468/1000</f>
        <v/>
      </c>
      <c r="Y928" s="47">
        <f>Y916*Y468/1000</f>
        <v/>
      </c>
      <c r="Z928" s="47">
        <f>Z916*Z468/1000</f>
        <v/>
      </c>
      <c r="AA928" s="47">
        <f>AA916*AA468/1000</f>
        <v/>
      </c>
      <c r="AB928" s="47">
        <f>AB916*AB468/1000</f>
        <v/>
      </c>
      <c r="AC928" s="47">
        <f>AC916*AC468/1000</f>
        <v/>
      </c>
      <c r="AD928" s="47">
        <f>AD916*AD468/1000</f>
        <v/>
      </c>
      <c r="AE928" s="48">
        <f>INVSPEND(AE916,AE468)</f>
        <v/>
      </c>
      <c r="AG928" s="11">
        <f>CodePrefix&amp;$A928&amp;IF($C928="","","."&amp;$C928&amp;"."&amp;$B928)&amp;INDEX(VarEnd,MATCH($A928,VarKey,0))&amp;AG$5</f>
        <v/>
      </c>
      <c r="AH928" s="46">
        <f>AH916*AH468/1000</f>
        <v/>
      </c>
      <c r="AI928" s="47">
        <f>AI916*AI468/1000</f>
        <v/>
      </c>
      <c r="AJ928" s="47">
        <f>AJ916*AJ468/1000</f>
        <v/>
      </c>
      <c r="AK928" s="47">
        <f>AK916*AK468/1000</f>
        <v/>
      </c>
      <c r="AL928" s="47">
        <f>AL916*AL468/1000</f>
        <v/>
      </c>
      <c r="AM928" s="47">
        <f>AM916*AM468/1000</f>
        <v/>
      </c>
      <c r="AN928" s="47">
        <f>AN916*AN468/1000</f>
        <v/>
      </c>
      <c r="AO928" s="47">
        <f>AO916*AO468/1000</f>
        <v/>
      </c>
      <c r="AP928" s="47">
        <f>AP916*AP468/1000</f>
        <v/>
      </c>
      <c r="AQ928" s="47">
        <f>AQ916*AQ468/1000</f>
        <v/>
      </c>
      <c r="AR928" s="47">
        <f>AR916*AR468/1000</f>
        <v/>
      </c>
      <c r="AS928" s="47">
        <f>AS916*AS468/1000</f>
        <v/>
      </c>
      <c r="AT928" s="47">
        <f>AT916*AT468/1000</f>
        <v/>
      </c>
      <c r="AU928" s="47">
        <f>AU916*AU468/1000</f>
        <v/>
      </c>
      <c r="AV928" s="47">
        <f>AV916*AV468/1000</f>
        <v/>
      </c>
      <c r="AW928" s="47">
        <f>AW916*AW468/1000</f>
        <v/>
      </c>
      <c r="AX928" s="47">
        <f>AX916*AX468/1000</f>
        <v/>
      </c>
      <c r="AY928" s="47">
        <f>AY916*AY468/1000</f>
        <v/>
      </c>
      <c r="AZ928" s="47">
        <f>AZ916*AZ468/1000</f>
        <v/>
      </c>
      <c r="BA928" s="48">
        <f>INVSPEND(BA916,BA468)</f>
        <v/>
      </c>
    </row>
    <row r="929" hidden="1" outlineLevel="1">
      <c r="A929" s="14" t="inlineStr">
        <is>
          <t>usd</t>
        </is>
      </c>
      <c r="B929" s="14" t="inlineStr">
        <is>
          <t>oop</t>
        </is>
      </c>
      <c r="C929" s="14" t="inlineStr">
        <is>
          <t>pow</t>
        </is>
      </c>
      <c r="D929" s="39" t="n"/>
      <c r="E929" s="39" t="n"/>
      <c r="F929" s="39" t="n"/>
      <c r="G929" s="39" t="n"/>
      <c r="H929" s="14">
        <f>INDEX(VarLab,MATCH($A929,VarKey,0))&amp;INDEX(MemLab,MATCH($C929&amp;"|"&amp;$B929,MemKey,0))</f>
        <v/>
      </c>
      <c r="I929" s="14">
        <f>INDEX(VarUnit,MATCH($A929,VarKey,0))</f>
        <v/>
      </c>
      <c r="J929" s="14">
        <f>INDEX(VarSrc,MATCH($A929,VarKey,0))</f>
        <v/>
      </c>
      <c r="K929" s="11">
        <f>CodePrefix&amp;$A929&amp;IF($C929="","","."&amp;$C929&amp;"."&amp;$B929)&amp;INDEX(VarEnd,MATCH($A929,VarKey,0))&amp;K$5</f>
        <v/>
      </c>
      <c r="L929" s="46">
        <f>L917*L469/1000</f>
        <v/>
      </c>
      <c r="M929" s="47">
        <f>M917*M469/1000</f>
        <v/>
      </c>
      <c r="N929" s="47">
        <f>N917*N469/1000</f>
        <v/>
      </c>
      <c r="O929" s="47">
        <f>O917*O469/1000</f>
        <v/>
      </c>
      <c r="P929" s="47">
        <f>P917*P469/1000</f>
        <v/>
      </c>
      <c r="Q929" s="47">
        <f>Q917*Q469/1000</f>
        <v/>
      </c>
      <c r="R929" s="47">
        <f>R917*R469/1000</f>
        <v/>
      </c>
      <c r="S929" s="47">
        <f>S917*S469/1000</f>
        <v/>
      </c>
      <c r="T929" s="47">
        <f>T917*T469/1000</f>
        <v/>
      </c>
      <c r="U929" s="47">
        <f>U917*U469/1000</f>
        <v/>
      </c>
      <c r="V929" s="47">
        <f>V917*V469/1000</f>
        <v/>
      </c>
      <c r="W929" s="47">
        <f>W917*W469/1000</f>
        <v/>
      </c>
      <c r="X929" s="47">
        <f>X917*X469/1000</f>
        <v/>
      </c>
      <c r="Y929" s="47">
        <f>Y917*Y469/1000</f>
        <v/>
      </c>
      <c r="Z929" s="47">
        <f>Z917*Z469/1000</f>
        <v/>
      </c>
      <c r="AA929" s="47">
        <f>AA917*AA469/1000</f>
        <v/>
      </c>
      <c r="AB929" s="47">
        <f>AB917*AB469/1000</f>
        <v/>
      </c>
      <c r="AC929" s="47">
        <f>AC917*AC469/1000</f>
        <v/>
      </c>
      <c r="AD929" s="47">
        <f>AD917*AD469/1000</f>
        <v/>
      </c>
      <c r="AE929" s="48">
        <f>INVSPEND(AE917,AE469)</f>
        <v/>
      </c>
      <c r="AG929" s="11">
        <f>CodePrefix&amp;$A929&amp;IF($C929="","","."&amp;$C929&amp;"."&amp;$B929)&amp;INDEX(VarEnd,MATCH($A929,VarKey,0))&amp;AG$5</f>
        <v/>
      </c>
      <c r="AH929" s="46">
        <f>AH917*AH469/1000</f>
        <v/>
      </c>
      <c r="AI929" s="47">
        <f>AI917*AI469/1000</f>
        <v/>
      </c>
      <c r="AJ929" s="47">
        <f>AJ917*AJ469/1000</f>
        <v/>
      </c>
      <c r="AK929" s="47">
        <f>AK917*AK469/1000</f>
        <v/>
      </c>
      <c r="AL929" s="47">
        <f>AL917*AL469/1000</f>
        <v/>
      </c>
      <c r="AM929" s="47">
        <f>AM917*AM469/1000</f>
        <v/>
      </c>
      <c r="AN929" s="47">
        <f>AN917*AN469/1000</f>
        <v/>
      </c>
      <c r="AO929" s="47">
        <f>AO917*AO469/1000</f>
        <v/>
      </c>
      <c r="AP929" s="47">
        <f>AP917*AP469/1000</f>
        <v/>
      </c>
      <c r="AQ929" s="47">
        <f>AQ917*AQ469/1000</f>
        <v/>
      </c>
      <c r="AR929" s="47">
        <f>AR917*AR469/1000</f>
        <v/>
      </c>
      <c r="AS929" s="47">
        <f>AS917*AS469/1000</f>
        <v/>
      </c>
      <c r="AT929" s="47">
        <f>AT917*AT469/1000</f>
        <v/>
      </c>
      <c r="AU929" s="47">
        <f>AU917*AU469/1000</f>
        <v/>
      </c>
      <c r="AV929" s="47">
        <f>AV917*AV469/1000</f>
        <v/>
      </c>
      <c r="AW929" s="47">
        <f>AW917*AW469/1000</f>
        <v/>
      </c>
      <c r="AX929" s="47">
        <f>AX917*AX469/1000</f>
        <v/>
      </c>
      <c r="AY929" s="47">
        <f>AY917*AY469/1000</f>
        <v/>
      </c>
      <c r="AZ929" s="47">
        <f>AZ917*AZ469/1000</f>
        <v/>
      </c>
      <c r="BA929" s="48">
        <f>INVSPEND(BA917,BA469)</f>
        <v/>
      </c>
    </row>
    <row r="930" hidden="1" outlineLevel="1">
      <c r="A930" s="14" t="inlineStr">
        <is>
          <t>usd</t>
        </is>
      </c>
      <c r="B930" s="14" t="inlineStr">
        <is>
          <t>nuc</t>
        </is>
      </c>
      <c r="C930" s="14" t="inlineStr">
        <is>
          <t>pow</t>
        </is>
      </c>
      <c r="D930" s="39" t="n"/>
      <c r="E930" s="39" t="n"/>
      <c r="F930" s="39" t="n"/>
      <c r="G930" s="39" t="n"/>
      <c r="H930" s="14">
        <f>INDEX(VarLab,MATCH($A930,VarKey,0))&amp;INDEX(MemLab,MATCH($C930&amp;"|"&amp;$B930,MemKey,0))</f>
        <v/>
      </c>
      <c r="I930" s="14">
        <f>INDEX(VarUnit,MATCH($A930,VarKey,0))</f>
        <v/>
      </c>
      <c r="J930" s="14">
        <f>INDEX(VarSrc,MATCH($A930,VarKey,0))</f>
        <v/>
      </c>
      <c r="K930" s="11">
        <f>CodePrefix&amp;$A930&amp;IF($C930="","","."&amp;$C930&amp;"."&amp;$B930)&amp;INDEX(VarEnd,MATCH($A930,VarKey,0))&amp;K$5</f>
        <v/>
      </c>
      <c r="L930" s="46">
        <f>L918*L470/1000</f>
        <v/>
      </c>
      <c r="M930" s="47">
        <f>M918*M470/1000</f>
        <v/>
      </c>
      <c r="N930" s="47">
        <f>N918*N470/1000</f>
        <v/>
      </c>
      <c r="O930" s="47">
        <f>O918*O470/1000</f>
        <v/>
      </c>
      <c r="P930" s="47">
        <f>P918*P470/1000</f>
        <v/>
      </c>
      <c r="Q930" s="47">
        <f>Q918*Q470/1000</f>
        <v/>
      </c>
      <c r="R930" s="47">
        <f>R918*R470/1000</f>
        <v/>
      </c>
      <c r="S930" s="47">
        <f>S918*S470/1000</f>
        <v/>
      </c>
      <c r="T930" s="47">
        <f>T918*T470/1000</f>
        <v/>
      </c>
      <c r="U930" s="47">
        <f>U918*U470/1000</f>
        <v/>
      </c>
      <c r="V930" s="47">
        <f>V918*V470/1000</f>
        <v/>
      </c>
      <c r="W930" s="47">
        <f>W918*W470/1000</f>
        <v/>
      </c>
      <c r="X930" s="47">
        <f>X918*X470/1000</f>
        <v/>
      </c>
      <c r="Y930" s="47">
        <f>Y918*Y470/1000</f>
        <v/>
      </c>
      <c r="Z930" s="47">
        <f>Z918*Z470/1000</f>
        <v/>
      </c>
      <c r="AA930" s="47">
        <f>AA918*AA470/1000</f>
        <v/>
      </c>
      <c r="AB930" s="47">
        <f>AB918*AB470/1000</f>
        <v/>
      </c>
      <c r="AC930" s="47">
        <f>AC918*AC470/1000</f>
        <v/>
      </c>
      <c r="AD930" s="47">
        <f>AD918*AD470/1000</f>
        <v/>
      </c>
      <c r="AE930" s="48">
        <f>INVSPEND(AE918,AE470)</f>
        <v/>
      </c>
      <c r="AG930" s="11">
        <f>CodePrefix&amp;$A930&amp;IF($C930="","","."&amp;$C930&amp;"."&amp;$B930)&amp;INDEX(VarEnd,MATCH($A930,VarKey,0))&amp;AG$5</f>
        <v/>
      </c>
      <c r="AH930" s="46">
        <f>AH918*AH470/1000</f>
        <v/>
      </c>
      <c r="AI930" s="47">
        <f>AI918*AI470/1000</f>
        <v/>
      </c>
      <c r="AJ930" s="47">
        <f>AJ918*AJ470/1000</f>
        <v/>
      </c>
      <c r="AK930" s="47">
        <f>AK918*AK470/1000</f>
        <v/>
      </c>
      <c r="AL930" s="47">
        <f>AL918*AL470/1000</f>
        <v/>
      </c>
      <c r="AM930" s="47">
        <f>AM918*AM470/1000</f>
        <v/>
      </c>
      <c r="AN930" s="47">
        <f>AN918*AN470/1000</f>
        <v/>
      </c>
      <c r="AO930" s="47">
        <f>AO918*AO470/1000</f>
        <v/>
      </c>
      <c r="AP930" s="47">
        <f>AP918*AP470/1000</f>
        <v/>
      </c>
      <c r="AQ930" s="47">
        <f>AQ918*AQ470/1000</f>
        <v/>
      </c>
      <c r="AR930" s="47">
        <f>AR918*AR470/1000</f>
        <v/>
      </c>
      <c r="AS930" s="47">
        <f>AS918*AS470/1000</f>
        <v/>
      </c>
      <c r="AT930" s="47">
        <f>AT918*AT470/1000</f>
        <v/>
      </c>
      <c r="AU930" s="47">
        <f>AU918*AU470/1000</f>
        <v/>
      </c>
      <c r="AV930" s="47">
        <f>AV918*AV470/1000</f>
        <v/>
      </c>
      <c r="AW930" s="47">
        <f>AW918*AW470/1000</f>
        <v/>
      </c>
      <c r="AX930" s="47">
        <f>AX918*AX470/1000</f>
        <v/>
      </c>
      <c r="AY930" s="47">
        <f>AY918*AY470/1000</f>
        <v/>
      </c>
      <c r="AZ930" s="47">
        <f>AZ918*AZ470/1000</f>
        <v/>
      </c>
      <c r="BA930" s="48">
        <f>INVSPEND(BA918,BA470)</f>
        <v/>
      </c>
    </row>
    <row r="931" hidden="1" outlineLevel="1">
      <c r="A931" s="14" t="inlineStr">
        <is>
          <t>usd</t>
        </is>
      </c>
      <c r="B931" s="14" t="inlineStr">
        <is>
          <t>wnd</t>
        </is>
      </c>
      <c r="C931" s="14" t="inlineStr">
        <is>
          <t>pow</t>
        </is>
      </c>
      <c r="D931" s="39" t="n"/>
      <c r="E931" s="39" t="n"/>
      <c r="F931" s="39" t="n"/>
      <c r="G931" s="39" t="n"/>
      <c r="H931" s="14">
        <f>INDEX(VarLab,MATCH($A931,VarKey,0))&amp;INDEX(MemLab,MATCH($C931&amp;"|"&amp;$B931,MemKey,0))</f>
        <v/>
      </c>
      <c r="I931" s="14">
        <f>INDEX(VarUnit,MATCH($A931,VarKey,0))</f>
        <v/>
      </c>
      <c r="J931" s="14">
        <f>INDEX(VarSrc,MATCH($A931,VarKey,0))</f>
        <v/>
      </c>
      <c r="K931" s="11">
        <f>CodePrefix&amp;$A931&amp;IF($C931="","","."&amp;$C931&amp;"."&amp;$B931)&amp;INDEX(VarEnd,MATCH($A931,VarKey,0))&amp;K$5</f>
        <v/>
      </c>
      <c r="L931" s="46">
        <f>L919*L471/1000</f>
        <v/>
      </c>
      <c r="M931" s="47">
        <f>M919*M471/1000</f>
        <v/>
      </c>
      <c r="N931" s="47">
        <f>N919*N471/1000</f>
        <v/>
      </c>
      <c r="O931" s="47">
        <f>O919*O471/1000</f>
        <v/>
      </c>
      <c r="P931" s="47">
        <f>P919*P471/1000</f>
        <v/>
      </c>
      <c r="Q931" s="47">
        <f>Q919*Q471/1000</f>
        <v/>
      </c>
      <c r="R931" s="47">
        <f>R919*R471/1000</f>
        <v/>
      </c>
      <c r="S931" s="47">
        <f>S919*S471/1000</f>
        <v/>
      </c>
      <c r="T931" s="47">
        <f>T919*T471/1000</f>
        <v/>
      </c>
      <c r="U931" s="47">
        <f>U919*U471/1000</f>
        <v/>
      </c>
      <c r="V931" s="47">
        <f>V919*V471/1000</f>
        <v/>
      </c>
      <c r="W931" s="47">
        <f>W919*W471/1000</f>
        <v/>
      </c>
      <c r="X931" s="47">
        <f>X919*X471/1000</f>
        <v/>
      </c>
      <c r="Y931" s="47">
        <f>Y919*Y471/1000</f>
        <v/>
      </c>
      <c r="Z931" s="47">
        <f>Z919*Z471/1000</f>
        <v/>
      </c>
      <c r="AA931" s="47">
        <f>AA919*AA471/1000</f>
        <v/>
      </c>
      <c r="AB931" s="47">
        <f>AB919*AB471/1000</f>
        <v/>
      </c>
      <c r="AC931" s="47">
        <f>AC919*AC471/1000</f>
        <v/>
      </c>
      <c r="AD931" s="47">
        <f>AD919*AD471/1000</f>
        <v/>
      </c>
      <c r="AE931" s="48">
        <f>INVSPEND(AE919,AE471)</f>
        <v/>
      </c>
      <c r="AG931" s="11">
        <f>CodePrefix&amp;$A931&amp;IF($C931="","","."&amp;$C931&amp;"."&amp;$B931)&amp;INDEX(VarEnd,MATCH($A931,VarKey,0))&amp;AG$5</f>
        <v/>
      </c>
      <c r="AH931" s="46">
        <f>AH919*AH471/1000</f>
        <v/>
      </c>
      <c r="AI931" s="47">
        <f>AI919*AI471/1000</f>
        <v/>
      </c>
      <c r="AJ931" s="47">
        <f>AJ919*AJ471/1000</f>
        <v/>
      </c>
      <c r="AK931" s="47">
        <f>AK919*AK471/1000</f>
        <v/>
      </c>
      <c r="AL931" s="47">
        <f>AL919*AL471/1000</f>
        <v/>
      </c>
      <c r="AM931" s="47">
        <f>AM919*AM471/1000</f>
        <v/>
      </c>
      <c r="AN931" s="47">
        <f>AN919*AN471/1000</f>
        <v/>
      </c>
      <c r="AO931" s="47">
        <f>AO919*AO471/1000</f>
        <v/>
      </c>
      <c r="AP931" s="47">
        <f>AP919*AP471/1000</f>
        <v/>
      </c>
      <c r="AQ931" s="47">
        <f>AQ919*AQ471/1000</f>
        <v/>
      </c>
      <c r="AR931" s="47">
        <f>AR919*AR471/1000</f>
        <v/>
      </c>
      <c r="AS931" s="47">
        <f>AS919*AS471/1000</f>
        <v/>
      </c>
      <c r="AT931" s="47">
        <f>AT919*AT471/1000</f>
        <v/>
      </c>
      <c r="AU931" s="47">
        <f>AU919*AU471/1000</f>
        <v/>
      </c>
      <c r="AV931" s="47">
        <f>AV919*AV471/1000</f>
        <v/>
      </c>
      <c r="AW931" s="47">
        <f>AW919*AW471/1000</f>
        <v/>
      </c>
      <c r="AX931" s="47">
        <f>AX919*AX471/1000</f>
        <v/>
      </c>
      <c r="AY931" s="47">
        <f>AY919*AY471/1000</f>
        <v/>
      </c>
      <c r="AZ931" s="47">
        <f>AZ919*AZ471/1000</f>
        <v/>
      </c>
      <c r="BA931" s="48">
        <f>INVSPEND(BA919,BA471)</f>
        <v/>
      </c>
    </row>
    <row r="932" hidden="1" outlineLevel="1">
      <c r="A932" s="14" t="inlineStr">
        <is>
          <t>usd</t>
        </is>
      </c>
      <c r="B932" s="14" t="inlineStr">
        <is>
          <t>sol</t>
        </is>
      </c>
      <c r="C932" s="14" t="inlineStr">
        <is>
          <t>pow</t>
        </is>
      </c>
      <c r="D932" s="39" t="n"/>
      <c r="E932" s="39" t="n"/>
      <c r="F932" s="39" t="n"/>
      <c r="G932" s="39" t="n"/>
      <c r="H932" s="14">
        <f>INDEX(VarLab,MATCH($A932,VarKey,0))&amp;INDEX(MemLab,MATCH($C932&amp;"|"&amp;$B932,MemKey,0))</f>
        <v/>
      </c>
      <c r="I932" s="14">
        <f>INDEX(VarUnit,MATCH($A932,VarKey,0))</f>
        <v/>
      </c>
      <c r="J932" s="14">
        <f>INDEX(VarSrc,MATCH($A932,VarKey,0))</f>
        <v/>
      </c>
      <c r="K932" s="11">
        <f>CodePrefix&amp;$A932&amp;IF($C932="","","."&amp;$C932&amp;"."&amp;$B932)&amp;INDEX(VarEnd,MATCH($A932,VarKey,0))&amp;K$5</f>
        <v/>
      </c>
      <c r="L932" s="46">
        <f>L920*L472/1000</f>
        <v/>
      </c>
      <c r="M932" s="47">
        <f>M920*M472/1000</f>
        <v/>
      </c>
      <c r="N932" s="47">
        <f>N920*N472/1000</f>
        <v/>
      </c>
      <c r="O932" s="47">
        <f>O920*O472/1000</f>
        <v/>
      </c>
      <c r="P932" s="47">
        <f>P920*P472/1000</f>
        <v/>
      </c>
      <c r="Q932" s="47">
        <f>Q920*Q472/1000</f>
        <v/>
      </c>
      <c r="R932" s="47">
        <f>R920*R472/1000</f>
        <v/>
      </c>
      <c r="S932" s="47">
        <f>S920*S472/1000</f>
        <v/>
      </c>
      <c r="T932" s="47">
        <f>T920*T472/1000</f>
        <v/>
      </c>
      <c r="U932" s="47">
        <f>U920*U472/1000</f>
        <v/>
      </c>
      <c r="V932" s="47">
        <f>V920*V472/1000</f>
        <v/>
      </c>
      <c r="W932" s="47">
        <f>W920*W472/1000</f>
        <v/>
      </c>
      <c r="X932" s="47">
        <f>X920*X472/1000</f>
        <v/>
      </c>
      <c r="Y932" s="47">
        <f>Y920*Y472/1000</f>
        <v/>
      </c>
      <c r="Z932" s="47">
        <f>Z920*Z472/1000</f>
        <v/>
      </c>
      <c r="AA932" s="47">
        <f>AA920*AA472/1000</f>
        <v/>
      </c>
      <c r="AB932" s="47">
        <f>AB920*AB472/1000</f>
        <v/>
      </c>
      <c r="AC932" s="47">
        <f>AC920*AC472/1000</f>
        <v/>
      </c>
      <c r="AD932" s="47">
        <f>AD920*AD472/1000</f>
        <v/>
      </c>
      <c r="AE932" s="48">
        <f>INVSPEND(AE920,AE472)</f>
        <v/>
      </c>
      <c r="AG932" s="11">
        <f>CodePrefix&amp;$A932&amp;IF($C932="","","."&amp;$C932&amp;"."&amp;$B932)&amp;INDEX(VarEnd,MATCH($A932,VarKey,0))&amp;AG$5</f>
        <v/>
      </c>
      <c r="AH932" s="46">
        <f>AH920*AH472/1000</f>
        <v/>
      </c>
      <c r="AI932" s="47">
        <f>AI920*AI472/1000</f>
        <v/>
      </c>
      <c r="AJ932" s="47">
        <f>AJ920*AJ472/1000</f>
        <v/>
      </c>
      <c r="AK932" s="47">
        <f>AK920*AK472/1000</f>
        <v/>
      </c>
      <c r="AL932" s="47">
        <f>AL920*AL472/1000</f>
        <v/>
      </c>
      <c r="AM932" s="47">
        <f>AM920*AM472/1000</f>
        <v/>
      </c>
      <c r="AN932" s="47">
        <f>AN920*AN472/1000</f>
        <v/>
      </c>
      <c r="AO932" s="47">
        <f>AO920*AO472/1000</f>
        <v/>
      </c>
      <c r="AP932" s="47">
        <f>AP920*AP472/1000</f>
        <v/>
      </c>
      <c r="AQ932" s="47">
        <f>AQ920*AQ472/1000</f>
        <v/>
      </c>
      <c r="AR932" s="47">
        <f>AR920*AR472/1000</f>
        <v/>
      </c>
      <c r="AS932" s="47">
        <f>AS920*AS472/1000</f>
        <v/>
      </c>
      <c r="AT932" s="47">
        <f>AT920*AT472/1000</f>
        <v/>
      </c>
      <c r="AU932" s="47">
        <f>AU920*AU472/1000</f>
        <v/>
      </c>
      <c r="AV932" s="47">
        <f>AV920*AV472/1000</f>
        <v/>
      </c>
      <c r="AW932" s="47">
        <f>AW920*AW472/1000</f>
        <v/>
      </c>
      <c r="AX932" s="47">
        <f>AX920*AX472/1000</f>
        <v/>
      </c>
      <c r="AY932" s="47">
        <f>AY920*AY472/1000</f>
        <v/>
      </c>
      <c r="AZ932" s="47">
        <f>AZ920*AZ472/1000</f>
        <v/>
      </c>
      <c r="BA932" s="48">
        <f>INVSPEND(BA920,BA472)</f>
        <v/>
      </c>
    </row>
    <row r="933" hidden="1" outlineLevel="1">
      <c r="A933" s="14" t="inlineStr">
        <is>
          <t>usd</t>
        </is>
      </c>
      <c r="B933" s="14" t="inlineStr">
        <is>
          <t>hyd</t>
        </is>
      </c>
      <c r="C933" s="14" t="inlineStr">
        <is>
          <t>pow</t>
        </is>
      </c>
      <c r="D933" s="39" t="n"/>
      <c r="E933" s="39" t="n"/>
      <c r="F933" s="39" t="n"/>
      <c r="G933" s="39" t="n"/>
      <c r="H933" s="14">
        <f>INDEX(VarLab,MATCH($A933,VarKey,0))&amp;INDEX(MemLab,MATCH($C933&amp;"|"&amp;$B933,MemKey,0))</f>
        <v/>
      </c>
      <c r="I933" s="14">
        <f>INDEX(VarUnit,MATCH($A933,VarKey,0))</f>
        <v/>
      </c>
      <c r="J933" s="14">
        <f>INDEX(VarSrc,MATCH($A933,VarKey,0))</f>
        <v/>
      </c>
      <c r="K933" s="11">
        <f>CodePrefix&amp;$A933&amp;IF($C933="","","."&amp;$C933&amp;"."&amp;$B933)&amp;INDEX(VarEnd,MATCH($A933,VarKey,0))&amp;K$5</f>
        <v/>
      </c>
      <c r="L933" s="46">
        <f>L921*L473/1000</f>
        <v/>
      </c>
      <c r="M933" s="47">
        <f>M921*M473/1000</f>
        <v/>
      </c>
      <c r="N933" s="47">
        <f>N921*N473/1000</f>
        <v/>
      </c>
      <c r="O933" s="47">
        <f>O921*O473/1000</f>
        <v/>
      </c>
      <c r="P933" s="47">
        <f>P921*P473/1000</f>
        <v/>
      </c>
      <c r="Q933" s="47">
        <f>Q921*Q473/1000</f>
        <v/>
      </c>
      <c r="R933" s="47">
        <f>R921*R473/1000</f>
        <v/>
      </c>
      <c r="S933" s="47">
        <f>S921*S473/1000</f>
        <v/>
      </c>
      <c r="T933" s="47">
        <f>T921*T473/1000</f>
        <v/>
      </c>
      <c r="U933" s="47">
        <f>U921*U473/1000</f>
        <v/>
      </c>
      <c r="V933" s="47">
        <f>V921*V473/1000</f>
        <v/>
      </c>
      <c r="W933" s="47">
        <f>W921*W473/1000</f>
        <v/>
      </c>
      <c r="X933" s="47">
        <f>X921*X473/1000</f>
        <v/>
      </c>
      <c r="Y933" s="47">
        <f>Y921*Y473/1000</f>
        <v/>
      </c>
      <c r="Z933" s="47">
        <f>Z921*Z473/1000</f>
        <v/>
      </c>
      <c r="AA933" s="47">
        <f>AA921*AA473/1000</f>
        <v/>
      </c>
      <c r="AB933" s="47">
        <f>AB921*AB473/1000</f>
        <v/>
      </c>
      <c r="AC933" s="47">
        <f>AC921*AC473/1000</f>
        <v/>
      </c>
      <c r="AD933" s="47">
        <f>AD921*AD473/1000</f>
        <v/>
      </c>
      <c r="AE933" s="48">
        <f>INVSPEND(AE921,AE473)</f>
        <v/>
      </c>
      <c r="AG933" s="11">
        <f>CodePrefix&amp;$A933&amp;IF($C933="","","."&amp;$C933&amp;"."&amp;$B933)&amp;INDEX(VarEnd,MATCH($A933,VarKey,0))&amp;AG$5</f>
        <v/>
      </c>
      <c r="AH933" s="46">
        <f>AH921*AH473/1000</f>
        <v/>
      </c>
      <c r="AI933" s="47">
        <f>AI921*AI473/1000</f>
        <v/>
      </c>
      <c r="AJ933" s="47">
        <f>AJ921*AJ473/1000</f>
        <v/>
      </c>
      <c r="AK933" s="47">
        <f>AK921*AK473/1000</f>
        <v/>
      </c>
      <c r="AL933" s="47">
        <f>AL921*AL473/1000</f>
        <v/>
      </c>
      <c r="AM933" s="47">
        <f>AM921*AM473/1000</f>
        <v/>
      </c>
      <c r="AN933" s="47">
        <f>AN921*AN473/1000</f>
        <v/>
      </c>
      <c r="AO933" s="47">
        <f>AO921*AO473/1000</f>
        <v/>
      </c>
      <c r="AP933" s="47">
        <f>AP921*AP473/1000</f>
        <v/>
      </c>
      <c r="AQ933" s="47">
        <f>AQ921*AQ473/1000</f>
        <v/>
      </c>
      <c r="AR933" s="47">
        <f>AR921*AR473/1000</f>
        <v/>
      </c>
      <c r="AS933" s="47">
        <f>AS921*AS473/1000</f>
        <v/>
      </c>
      <c r="AT933" s="47">
        <f>AT921*AT473/1000</f>
        <v/>
      </c>
      <c r="AU933" s="47">
        <f>AU921*AU473/1000</f>
        <v/>
      </c>
      <c r="AV933" s="47">
        <f>AV921*AV473/1000</f>
        <v/>
      </c>
      <c r="AW933" s="47">
        <f>AW921*AW473/1000</f>
        <v/>
      </c>
      <c r="AX933" s="47">
        <f>AX921*AX473/1000</f>
        <v/>
      </c>
      <c r="AY933" s="47">
        <f>AY921*AY473/1000</f>
        <v/>
      </c>
      <c r="AZ933" s="47">
        <f>AZ921*AZ473/1000</f>
        <v/>
      </c>
      <c r="BA933" s="48">
        <f>INVSPEND(BA921,BA473)</f>
        <v/>
      </c>
    </row>
    <row r="934" hidden="1" outlineLevel="1">
      <c r="A934" s="14" t="inlineStr">
        <is>
          <t>usd</t>
        </is>
      </c>
      <c r="B934" s="14" t="inlineStr">
        <is>
          <t>ore</t>
        </is>
      </c>
      <c r="C934" s="14" t="inlineStr">
        <is>
          <t>pow</t>
        </is>
      </c>
      <c r="D934" s="39" t="n"/>
      <c r="E934" s="39" t="n"/>
      <c r="F934" s="39" t="n"/>
      <c r="G934" s="39" t="n"/>
      <c r="H934" s="14">
        <f>INDEX(VarLab,MATCH($A934,VarKey,0))&amp;INDEX(MemLab,MATCH($C934&amp;"|"&amp;$B934,MemKey,0))</f>
        <v/>
      </c>
      <c r="I934" s="14">
        <f>INDEX(VarUnit,MATCH($A934,VarKey,0))</f>
        <v/>
      </c>
      <c r="J934" s="14">
        <f>INDEX(VarSrc,MATCH($A934,VarKey,0))</f>
        <v/>
      </c>
      <c r="K934" s="11">
        <f>CodePrefix&amp;$A934&amp;IF($C934="","","."&amp;$C934&amp;"."&amp;$B934)&amp;INDEX(VarEnd,MATCH($A934,VarKey,0))&amp;K$5</f>
        <v/>
      </c>
      <c r="L934" s="46">
        <f>L922*L474/1000</f>
        <v/>
      </c>
      <c r="M934" s="47">
        <f>M922*M474/1000</f>
        <v/>
      </c>
      <c r="N934" s="47">
        <f>N922*N474/1000</f>
        <v/>
      </c>
      <c r="O934" s="47">
        <f>O922*O474/1000</f>
        <v/>
      </c>
      <c r="P934" s="47">
        <f>P922*P474/1000</f>
        <v/>
      </c>
      <c r="Q934" s="47">
        <f>Q922*Q474/1000</f>
        <v/>
      </c>
      <c r="R934" s="47">
        <f>R922*R474/1000</f>
        <v/>
      </c>
      <c r="S934" s="47">
        <f>S922*S474/1000</f>
        <v/>
      </c>
      <c r="T934" s="47">
        <f>T922*T474/1000</f>
        <v/>
      </c>
      <c r="U934" s="47">
        <f>U922*U474/1000</f>
        <v/>
      </c>
      <c r="V934" s="47">
        <f>V922*V474/1000</f>
        <v/>
      </c>
      <c r="W934" s="47">
        <f>W922*W474/1000</f>
        <v/>
      </c>
      <c r="X934" s="47">
        <f>X922*X474/1000</f>
        <v/>
      </c>
      <c r="Y934" s="47">
        <f>Y922*Y474/1000</f>
        <v/>
      </c>
      <c r="Z934" s="47">
        <f>Z922*Z474/1000</f>
        <v/>
      </c>
      <c r="AA934" s="47">
        <f>AA922*AA474/1000</f>
        <v/>
      </c>
      <c r="AB934" s="47">
        <f>AB922*AB474/1000</f>
        <v/>
      </c>
      <c r="AC934" s="47">
        <f>AC922*AC474/1000</f>
        <v/>
      </c>
      <c r="AD934" s="47">
        <f>AD922*AD474/1000</f>
        <v/>
      </c>
      <c r="AE934" s="48">
        <f>INVSPEND(AE922,AE474)</f>
        <v/>
      </c>
      <c r="AG934" s="11">
        <f>CodePrefix&amp;$A934&amp;IF($C934="","","."&amp;$C934&amp;"."&amp;$B934)&amp;INDEX(VarEnd,MATCH($A934,VarKey,0))&amp;AG$5</f>
        <v/>
      </c>
      <c r="AH934" s="46">
        <f>AH922*AH474/1000</f>
        <v/>
      </c>
      <c r="AI934" s="47">
        <f>AI922*AI474/1000</f>
        <v/>
      </c>
      <c r="AJ934" s="47">
        <f>AJ922*AJ474/1000</f>
        <v/>
      </c>
      <c r="AK934" s="47">
        <f>AK922*AK474/1000</f>
        <v/>
      </c>
      <c r="AL934" s="47">
        <f>AL922*AL474/1000</f>
        <v/>
      </c>
      <c r="AM934" s="47">
        <f>AM922*AM474/1000</f>
        <v/>
      </c>
      <c r="AN934" s="47">
        <f>AN922*AN474/1000</f>
        <v/>
      </c>
      <c r="AO934" s="47">
        <f>AO922*AO474/1000</f>
        <v/>
      </c>
      <c r="AP934" s="47">
        <f>AP922*AP474/1000</f>
        <v/>
      </c>
      <c r="AQ934" s="47">
        <f>AQ922*AQ474/1000</f>
        <v/>
      </c>
      <c r="AR934" s="47">
        <f>AR922*AR474/1000</f>
        <v/>
      </c>
      <c r="AS934" s="47">
        <f>AS922*AS474/1000</f>
        <v/>
      </c>
      <c r="AT934" s="47">
        <f>AT922*AT474/1000</f>
        <v/>
      </c>
      <c r="AU934" s="47">
        <f>AU922*AU474/1000</f>
        <v/>
      </c>
      <c r="AV934" s="47">
        <f>AV922*AV474/1000</f>
        <v/>
      </c>
      <c r="AW934" s="47">
        <f>AW922*AW474/1000</f>
        <v/>
      </c>
      <c r="AX934" s="47">
        <f>AX922*AX474/1000</f>
        <v/>
      </c>
      <c r="AY934" s="47">
        <f>AY922*AY474/1000</f>
        <v/>
      </c>
      <c r="AZ934" s="47">
        <f>AZ922*AZ474/1000</f>
        <v/>
      </c>
      <c r="BA934" s="48">
        <f>INVSPEND(BA922,BA474)</f>
        <v/>
      </c>
    </row>
    <row r="935" hidden="1" outlineLevel="1">
      <c r="A935" s="14" t="inlineStr">
        <is>
          <t>usd</t>
        </is>
      </c>
      <c r="B935" s="14" t="inlineStr">
        <is>
          <t>bio</t>
        </is>
      </c>
      <c r="C935" s="14" t="inlineStr">
        <is>
          <t>pow</t>
        </is>
      </c>
      <c r="D935" s="39" t="n"/>
      <c r="E935" s="39" t="n"/>
      <c r="F935" s="39" t="n"/>
      <c r="G935" s="39" t="n"/>
      <c r="H935" s="14">
        <f>INDEX(VarLab,MATCH($A935,VarKey,0))&amp;INDEX(MemLab,MATCH($C935&amp;"|"&amp;$B935,MemKey,0))</f>
        <v/>
      </c>
      <c r="I935" s="14">
        <f>INDEX(VarUnit,MATCH($A935,VarKey,0))</f>
        <v/>
      </c>
      <c r="J935" s="14">
        <f>INDEX(VarSrc,MATCH($A935,VarKey,0))</f>
        <v/>
      </c>
      <c r="K935" s="11">
        <f>CodePrefix&amp;$A935&amp;IF($C935="","","."&amp;$C935&amp;"."&amp;$B935)&amp;INDEX(VarEnd,MATCH($A935,VarKey,0))&amp;K$5</f>
        <v/>
      </c>
      <c r="L935" s="46">
        <f>L923*L475/1000</f>
        <v/>
      </c>
      <c r="M935" s="47">
        <f>M923*M475/1000</f>
        <v/>
      </c>
      <c r="N935" s="47">
        <f>N923*N475/1000</f>
        <v/>
      </c>
      <c r="O935" s="47">
        <f>O923*O475/1000</f>
        <v/>
      </c>
      <c r="P935" s="47">
        <f>P923*P475/1000</f>
        <v/>
      </c>
      <c r="Q935" s="47">
        <f>Q923*Q475/1000</f>
        <v/>
      </c>
      <c r="R935" s="47">
        <f>R923*R475/1000</f>
        <v/>
      </c>
      <c r="S935" s="47">
        <f>S923*S475/1000</f>
        <v/>
      </c>
      <c r="T935" s="47">
        <f>T923*T475/1000</f>
        <v/>
      </c>
      <c r="U935" s="47">
        <f>U923*U475/1000</f>
        <v/>
      </c>
      <c r="V935" s="47">
        <f>V923*V475/1000</f>
        <v/>
      </c>
      <c r="W935" s="47">
        <f>W923*W475/1000</f>
        <v/>
      </c>
      <c r="X935" s="47">
        <f>X923*X475/1000</f>
        <v/>
      </c>
      <c r="Y935" s="47">
        <f>Y923*Y475/1000</f>
        <v/>
      </c>
      <c r="Z935" s="47">
        <f>Z923*Z475/1000</f>
        <v/>
      </c>
      <c r="AA935" s="47">
        <f>AA923*AA475/1000</f>
        <v/>
      </c>
      <c r="AB935" s="47">
        <f>AB923*AB475/1000</f>
        <v/>
      </c>
      <c r="AC935" s="47">
        <f>AC923*AC475/1000</f>
        <v/>
      </c>
      <c r="AD935" s="47">
        <f>AD923*AD475/1000</f>
        <v/>
      </c>
      <c r="AE935" s="48">
        <f>INVSPEND(AE923,AE475)</f>
        <v/>
      </c>
      <c r="AG935" s="11">
        <f>CodePrefix&amp;$A935&amp;IF($C935="","","."&amp;$C935&amp;"."&amp;$B935)&amp;INDEX(VarEnd,MATCH($A935,VarKey,0))&amp;AG$5</f>
        <v/>
      </c>
      <c r="AH935" s="46">
        <f>AH923*AH475/1000</f>
        <v/>
      </c>
      <c r="AI935" s="47">
        <f>AI923*AI475/1000</f>
        <v/>
      </c>
      <c r="AJ935" s="47">
        <f>AJ923*AJ475/1000</f>
        <v/>
      </c>
      <c r="AK935" s="47">
        <f>AK923*AK475/1000</f>
        <v/>
      </c>
      <c r="AL935" s="47">
        <f>AL923*AL475/1000</f>
        <v/>
      </c>
      <c r="AM935" s="47">
        <f>AM923*AM475/1000</f>
        <v/>
      </c>
      <c r="AN935" s="47">
        <f>AN923*AN475/1000</f>
        <v/>
      </c>
      <c r="AO935" s="47">
        <f>AO923*AO475/1000</f>
        <v/>
      </c>
      <c r="AP935" s="47">
        <f>AP923*AP475/1000</f>
        <v/>
      </c>
      <c r="AQ935" s="47">
        <f>AQ923*AQ475/1000</f>
        <v/>
      </c>
      <c r="AR935" s="47">
        <f>AR923*AR475/1000</f>
        <v/>
      </c>
      <c r="AS935" s="47">
        <f>AS923*AS475/1000</f>
        <v/>
      </c>
      <c r="AT935" s="47">
        <f>AT923*AT475/1000</f>
        <v/>
      </c>
      <c r="AU935" s="47">
        <f>AU923*AU475/1000</f>
        <v/>
      </c>
      <c r="AV935" s="47">
        <f>AV923*AV475/1000</f>
        <v/>
      </c>
      <c r="AW935" s="47">
        <f>AW923*AW475/1000</f>
        <v/>
      </c>
      <c r="AX935" s="47">
        <f>AX923*AX475/1000</f>
        <v/>
      </c>
      <c r="AY935" s="47">
        <f>AY923*AY475/1000</f>
        <v/>
      </c>
      <c r="AZ935" s="47">
        <f>AZ923*AZ475/1000</f>
        <v/>
      </c>
      <c r="BA935" s="48">
        <f>INVSPEND(BA923,BA475)</f>
        <v/>
      </c>
    </row>
    <row r="936" hidden="1" outlineLevel="1"/>
    <row r="937" hidden="1" outlineLevel="1">
      <c r="A937" s="14" t="inlineStr">
        <is>
          <t>usdtot</t>
        </is>
      </c>
      <c r="B937" s="14" t="inlineStr"/>
      <c r="C937" s="14" t="inlineStr"/>
      <c r="D937" s="39" t="n"/>
      <c r="E937" s="39" t="n"/>
      <c r="F937" s="39" t="n"/>
      <c r="G937" s="39" t="n"/>
      <c r="H937" s="14">
        <f>INDEX(VarLab,MATCH($A937,VarKey,0))&amp;INDEX(MemLab,MATCH($C937&amp;"|"&amp;$B937,MemKey,0))</f>
        <v/>
      </c>
      <c r="I937" s="14">
        <f>INDEX(VarUnit,MATCH($A937,VarKey,0))</f>
        <v/>
      </c>
      <c r="J937" s="14">
        <f>INDEX(VarSrc,MATCH($A937,VarKey,0))</f>
        <v/>
      </c>
      <c r="K937" s="11">
        <f>CodePrefix&amp;$A937&amp;IF($C937="","","."&amp;$C937&amp;"."&amp;$B937)&amp;INDEX(VarEnd,MATCH($A937,VarKey,0))&amp;K$5</f>
        <v/>
      </c>
      <c r="L937" s="46">
        <f>SUM(L$927:L$935)</f>
        <v/>
      </c>
      <c r="M937" s="47">
        <f>SUM(M$927:M$935)</f>
        <v/>
      </c>
      <c r="N937" s="47">
        <f>SUM(N$927:N$935)</f>
        <v/>
      </c>
      <c r="O937" s="47">
        <f>SUM(O$927:O$935)</f>
        <v/>
      </c>
      <c r="P937" s="47">
        <f>SUM(P$927:P$935)</f>
        <v/>
      </c>
      <c r="Q937" s="47">
        <f>SUM(Q$927:Q$935)</f>
        <v/>
      </c>
      <c r="R937" s="47">
        <f>SUM(R$927:R$935)</f>
        <v/>
      </c>
      <c r="S937" s="47">
        <f>SUM(S$927:S$935)</f>
        <v/>
      </c>
      <c r="T937" s="47">
        <f>SUM(T$927:T$935)</f>
        <v/>
      </c>
      <c r="U937" s="47">
        <f>SUM(U$927:U$935)</f>
        <v/>
      </c>
      <c r="V937" s="47">
        <f>SUM(V$927:V$935)</f>
        <v/>
      </c>
      <c r="W937" s="47">
        <f>SUM(W$927:W$935)</f>
        <v/>
      </c>
      <c r="X937" s="47">
        <f>SUM(X$927:X$935)</f>
        <v/>
      </c>
      <c r="Y937" s="47">
        <f>SUM(Y$927:Y$935)</f>
        <v/>
      </c>
      <c r="Z937" s="47">
        <f>SUM(Z$927:Z$935)</f>
        <v/>
      </c>
      <c r="AA937" s="47">
        <f>SUM(AA$927:AA$935)</f>
        <v/>
      </c>
      <c r="AB937" s="47">
        <f>SUM(AB$927:AB$935)</f>
        <v/>
      </c>
      <c r="AC937" s="47">
        <f>SUM(AC$927:AC$935)</f>
        <v/>
      </c>
      <c r="AD937" s="47">
        <f>SUM(AD$927:AD$935)</f>
        <v/>
      </c>
      <c r="AE937" s="47">
        <f>SUM(AE$927:AE$935)</f>
        <v/>
      </c>
      <c r="AG937" s="11">
        <f>CodePrefix&amp;$A937&amp;IF($C937="","","."&amp;$C937&amp;"."&amp;$B937)&amp;INDEX(VarEnd,MATCH($A937,VarKey,0))&amp;AG$5</f>
        <v/>
      </c>
      <c r="AH937" s="46">
        <f>SUM(AH$927:AH$935)</f>
        <v/>
      </c>
      <c r="AI937" s="47">
        <f>SUM(AI$927:AI$935)</f>
        <v/>
      </c>
      <c r="AJ937" s="47">
        <f>SUM(AJ$927:AJ$935)</f>
        <v/>
      </c>
      <c r="AK937" s="47">
        <f>SUM(AK$927:AK$935)</f>
        <v/>
      </c>
      <c r="AL937" s="47">
        <f>SUM(AL$927:AL$935)</f>
        <v/>
      </c>
      <c r="AM937" s="47">
        <f>SUM(AM$927:AM$935)</f>
        <v/>
      </c>
      <c r="AN937" s="47">
        <f>SUM(AN$927:AN$935)</f>
        <v/>
      </c>
      <c r="AO937" s="47">
        <f>SUM(AO$927:AO$935)</f>
        <v/>
      </c>
      <c r="AP937" s="47">
        <f>SUM(AP$927:AP$935)</f>
        <v/>
      </c>
      <c r="AQ937" s="47">
        <f>SUM(AQ$927:AQ$935)</f>
        <v/>
      </c>
      <c r="AR937" s="47">
        <f>SUM(AR$927:AR$935)</f>
        <v/>
      </c>
      <c r="AS937" s="47">
        <f>SUM(AS$927:AS$935)</f>
        <v/>
      </c>
      <c r="AT937" s="47">
        <f>SUM(AT$927:AT$935)</f>
        <v/>
      </c>
      <c r="AU937" s="47">
        <f>SUM(AU$927:AU$935)</f>
        <v/>
      </c>
      <c r="AV937" s="47">
        <f>SUM(AV$927:AV$935)</f>
        <v/>
      </c>
      <c r="AW937" s="47">
        <f>SUM(AW$927:AW$935)</f>
        <v/>
      </c>
      <c r="AX937" s="47">
        <f>SUM(AX$927:AX$935)</f>
        <v/>
      </c>
      <c r="AY937" s="47">
        <f>SUM(AY$927:AY$935)</f>
        <v/>
      </c>
      <c r="AZ937" s="47">
        <f>SUM(AZ$927:AZ$935)</f>
        <v/>
      </c>
      <c r="BA937" s="47">
        <f>SUM(BA$927:BA$935)</f>
        <v/>
      </c>
    </row>
    <row r="938" hidden="1" outlineLevel="1"/>
    <row r="939" hidden="1" outlineLevel="1">
      <c r="A939" s="14" t="inlineStr">
        <is>
          <t>phi</t>
        </is>
      </c>
      <c r="B939" s="14" t="inlineStr">
        <is>
          <t>coa</t>
        </is>
      </c>
      <c r="C939" s="14" t="inlineStr">
        <is>
          <t>pow</t>
        </is>
      </c>
      <c r="D939" s="39" t="n"/>
      <c r="E939" s="39" t="n"/>
      <c r="F939" s="39" t="n"/>
      <c r="G939" s="39" t="n"/>
      <c r="H939" s="14">
        <f>INDEX(VarLab,MATCH($A939,VarKey,0))&amp;INDEX(MemLab,MATCH($C939&amp;"|"&amp;$B939,MemKey,0))</f>
        <v/>
      </c>
      <c r="I939" s="14">
        <f>INDEX(VarUnit,MATCH($A939,VarKey,0))</f>
        <v/>
      </c>
      <c r="J939" s="14">
        <f>INDEX(VarSrc,MATCH($A939,VarKey,0))</f>
        <v/>
      </c>
      <c r="K939" s="11">
        <f>CodePrefix&amp;$A939&amp;IF($C939="","","."&amp;$C939&amp;"."&amp;$B939)&amp;INDEX(VarEnd,MATCH($A939,VarKey,0))&amp;K$5</f>
        <v/>
      </c>
      <c r="L939" s="15">
        <f>IF(L772+L915-L804=0,0,L915/(L772+L915-L804))</f>
        <v/>
      </c>
      <c r="M939" s="16">
        <f>IF(M772+M915-M804=0,0,M915/(M772+M915-M804))</f>
        <v/>
      </c>
      <c r="N939" s="16">
        <f>IF(N772+N915-N804=0,0,N915/(N772+N915-N804))</f>
        <v/>
      </c>
      <c r="O939" s="16">
        <f>IF(O772+O915-O804=0,0,O915/(O772+O915-O804))</f>
        <v/>
      </c>
      <c r="P939" s="16">
        <f>IF(P772+P915-P804=0,0,P915/(P772+P915-P804))</f>
        <v/>
      </c>
      <c r="Q939" s="16">
        <f>IF(Q772+Q915-Q804=0,0,Q915/(Q772+Q915-Q804))</f>
        <v/>
      </c>
      <c r="R939" s="16">
        <f>IF(R772+R915-R804=0,0,R915/(R772+R915-R804))</f>
        <v/>
      </c>
      <c r="S939" s="16">
        <f>IF(S772+S915-S804=0,0,S915/(S772+S915-S804))</f>
        <v/>
      </c>
      <c r="T939" s="16">
        <f>IF(T772+T915-T804=0,0,T915/(T772+T915-T804))</f>
        <v/>
      </c>
      <c r="U939" s="16">
        <f>IF(U772+U915-U804=0,0,U915/(U772+U915-U804))</f>
        <v/>
      </c>
      <c r="V939" s="16">
        <f>IF(V772+V915-V804=0,0,V915/(V772+V915-V804))</f>
        <v/>
      </c>
      <c r="W939" s="16">
        <f>IF(W772+W915-W804=0,0,W915/(W772+W915-W804))</f>
        <v/>
      </c>
      <c r="X939" s="16">
        <f>IF(X772+X915-X804=0,0,X915/(X772+X915-X804))</f>
        <v/>
      </c>
      <c r="Y939" s="16">
        <f>IF(Y772+Y915-Y804=0,0,Y915/(Y772+Y915-Y804))</f>
        <v/>
      </c>
      <c r="Z939" s="16">
        <f>IF(Z772+Z915-Z804=0,0,Z915/(Z772+Z915-Z804))</f>
        <v/>
      </c>
      <c r="AA939" s="16">
        <f>IF(AA772+AA915-AA804=0,0,AA915/(AA772+AA915-AA804))</f>
        <v/>
      </c>
      <c r="AB939" s="16">
        <f>IF(AB772+AB915-AB804=0,0,AB915/(AB772+AB915-AB804))</f>
        <v/>
      </c>
      <c r="AC939" s="16">
        <f>IF(AC772+AC915-AC804=0,0,AC915/(AC772+AC915-AC804))</f>
        <v/>
      </c>
      <c r="AD939" s="16">
        <f>IF(AD772+AD915-AD804=0,0,AD915/(AD772+AD915-AD804))</f>
        <v/>
      </c>
      <c r="AE939" s="49">
        <f>VINTSHARE(AE915,AE772,AE804)</f>
        <v/>
      </c>
      <c r="AG939" s="11">
        <f>CodePrefix&amp;$A939&amp;IF($C939="","","."&amp;$C939&amp;"."&amp;$B939)&amp;INDEX(VarEnd,MATCH($A939,VarKey,0))&amp;AG$5</f>
        <v/>
      </c>
      <c r="AH939" s="15">
        <f>IF(AH772+AH915-AH804=0,0,AH915/(AH772+AH915-AH804))</f>
        <v/>
      </c>
      <c r="AI939" s="16">
        <f>IF(AI772+AI915-AI804=0,0,AI915/(AI772+AI915-AI804))</f>
        <v/>
      </c>
      <c r="AJ939" s="16">
        <f>IF(AJ772+AJ915-AJ804=0,0,AJ915/(AJ772+AJ915-AJ804))</f>
        <v/>
      </c>
      <c r="AK939" s="16">
        <f>IF(AK772+AK915-AK804=0,0,AK915/(AK772+AK915-AK804))</f>
        <v/>
      </c>
      <c r="AL939" s="16">
        <f>IF(AL772+AL915-AL804=0,0,AL915/(AL772+AL915-AL804))</f>
        <v/>
      </c>
      <c r="AM939" s="16">
        <f>IF(AM772+AM915-AM804=0,0,AM915/(AM772+AM915-AM804))</f>
        <v/>
      </c>
      <c r="AN939" s="16">
        <f>IF(AN772+AN915-AN804=0,0,AN915/(AN772+AN915-AN804))</f>
        <v/>
      </c>
      <c r="AO939" s="16">
        <f>IF(AO772+AO915-AO804=0,0,AO915/(AO772+AO915-AO804))</f>
        <v/>
      </c>
      <c r="AP939" s="16">
        <f>IF(AP772+AP915-AP804=0,0,AP915/(AP772+AP915-AP804))</f>
        <v/>
      </c>
      <c r="AQ939" s="16">
        <f>IF(AQ772+AQ915-AQ804=0,0,AQ915/(AQ772+AQ915-AQ804))</f>
        <v/>
      </c>
      <c r="AR939" s="16">
        <f>IF(AR772+AR915-AR804=0,0,AR915/(AR772+AR915-AR804))</f>
        <v/>
      </c>
      <c r="AS939" s="16">
        <f>IF(AS772+AS915-AS804=0,0,AS915/(AS772+AS915-AS804))</f>
        <v/>
      </c>
      <c r="AT939" s="16">
        <f>IF(AT772+AT915-AT804=0,0,AT915/(AT772+AT915-AT804))</f>
        <v/>
      </c>
      <c r="AU939" s="16">
        <f>IF(AU772+AU915-AU804=0,0,AU915/(AU772+AU915-AU804))</f>
        <v/>
      </c>
      <c r="AV939" s="16">
        <f>IF(AV772+AV915-AV804=0,0,AV915/(AV772+AV915-AV804))</f>
        <v/>
      </c>
      <c r="AW939" s="16">
        <f>IF(AW772+AW915-AW804=0,0,AW915/(AW772+AW915-AW804))</f>
        <v/>
      </c>
      <c r="AX939" s="16">
        <f>IF(AX772+AX915-AX804=0,0,AX915/(AX772+AX915-AX804))</f>
        <v/>
      </c>
      <c r="AY939" s="16">
        <f>IF(AY772+AY915-AY804=0,0,AY915/(AY772+AY915-AY804))</f>
        <v/>
      </c>
      <c r="AZ939" s="16">
        <f>IF(AZ772+AZ915-AZ804=0,0,AZ915/(AZ772+AZ915-AZ804))</f>
        <v/>
      </c>
      <c r="BA939" s="49">
        <f>VINTSHARE(BA915,BA772,BA804)</f>
        <v/>
      </c>
    </row>
    <row r="940" hidden="1" outlineLevel="1">
      <c r="A940" s="14" t="inlineStr">
        <is>
          <t>phi</t>
        </is>
      </c>
      <c r="B940" s="14" t="inlineStr">
        <is>
          <t>nga</t>
        </is>
      </c>
      <c r="C940" s="14" t="inlineStr">
        <is>
          <t>pow</t>
        </is>
      </c>
      <c r="D940" s="39" t="n"/>
      <c r="E940" s="39" t="n"/>
      <c r="F940" s="39" t="n"/>
      <c r="G940" s="39" t="n"/>
      <c r="H940" s="14">
        <f>INDEX(VarLab,MATCH($A940,VarKey,0))&amp;INDEX(MemLab,MATCH($C940&amp;"|"&amp;$B940,MemKey,0))</f>
        <v/>
      </c>
      <c r="I940" s="14">
        <f>INDEX(VarUnit,MATCH($A940,VarKey,0))</f>
        <v/>
      </c>
      <c r="J940" s="14">
        <f>INDEX(VarSrc,MATCH($A940,VarKey,0))</f>
        <v/>
      </c>
      <c r="K940" s="11">
        <f>CodePrefix&amp;$A940&amp;IF($C940="","","."&amp;$C940&amp;"."&amp;$B940)&amp;INDEX(VarEnd,MATCH($A940,VarKey,0))&amp;K$5</f>
        <v/>
      </c>
      <c r="L940" s="15">
        <f>IF(L773+L916-L805=0,0,L916/(L773+L916-L805))</f>
        <v/>
      </c>
      <c r="M940" s="16">
        <f>IF(M773+M916-M805=0,0,M916/(M773+M916-M805))</f>
        <v/>
      </c>
      <c r="N940" s="16">
        <f>IF(N773+N916-N805=0,0,N916/(N773+N916-N805))</f>
        <v/>
      </c>
      <c r="O940" s="16">
        <f>IF(O773+O916-O805=0,0,O916/(O773+O916-O805))</f>
        <v/>
      </c>
      <c r="P940" s="16">
        <f>IF(P773+P916-P805=0,0,P916/(P773+P916-P805))</f>
        <v/>
      </c>
      <c r="Q940" s="16">
        <f>IF(Q773+Q916-Q805=0,0,Q916/(Q773+Q916-Q805))</f>
        <v/>
      </c>
      <c r="R940" s="16">
        <f>IF(R773+R916-R805=0,0,R916/(R773+R916-R805))</f>
        <v/>
      </c>
      <c r="S940" s="16">
        <f>IF(S773+S916-S805=0,0,S916/(S773+S916-S805))</f>
        <v/>
      </c>
      <c r="T940" s="16">
        <f>IF(T773+T916-T805=0,0,T916/(T773+T916-T805))</f>
        <v/>
      </c>
      <c r="U940" s="16">
        <f>IF(U773+U916-U805=0,0,U916/(U773+U916-U805))</f>
        <v/>
      </c>
      <c r="V940" s="16">
        <f>IF(V773+V916-V805=0,0,V916/(V773+V916-V805))</f>
        <v/>
      </c>
      <c r="W940" s="16">
        <f>IF(W773+W916-W805=0,0,W916/(W773+W916-W805))</f>
        <v/>
      </c>
      <c r="X940" s="16">
        <f>IF(X773+X916-X805=0,0,X916/(X773+X916-X805))</f>
        <v/>
      </c>
      <c r="Y940" s="16">
        <f>IF(Y773+Y916-Y805=0,0,Y916/(Y773+Y916-Y805))</f>
        <v/>
      </c>
      <c r="Z940" s="16">
        <f>IF(Z773+Z916-Z805=0,0,Z916/(Z773+Z916-Z805))</f>
        <v/>
      </c>
      <c r="AA940" s="16">
        <f>IF(AA773+AA916-AA805=0,0,AA916/(AA773+AA916-AA805))</f>
        <v/>
      </c>
      <c r="AB940" s="16">
        <f>IF(AB773+AB916-AB805=0,0,AB916/(AB773+AB916-AB805))</f>
        <v/>
      </c>
      <c r="AC940" s="16">
        <f>IF(AC773+AC916-AC805=0,0,AC916/(AC773+AC916-AC805))</f>
        <v/>
      </c>
      <c r="AD940" s="16">
        <f>IF(AD773+AD916-AD805=0,0,AD916/(AD773+AD916-AD805))</f>
        <v/>
      </c>
      <c r="AE940" s="49">
        <f>VINTSHARE(AE916,AE773,AE805)</f>
        <v/>
      </c>
      <c r="AG940" s="11">
        <f>CodePrefix&amp;$A940&amp;IF($C940="","","."&amp;$C940&amp;"."&amp;$B940)&amp;INDEX(VarEnd,MATCH($A940,VarKey,0))&amp;AG$5</f>
        <v/>
      </c>
      <c r="AH940" s="15">
        <f>IF(AH773+AH916-AH805=0,0,AH916/(AH773+AH916-AH805))</f>
        <v/>
      </c>
      <c r="AI940" s="16">
        <f>IF(AI773+AI916-AI805=0,0,AI916/(AI773+AI916-AI805))</f>
        <v/>
      </c>
      <c r="AJ940" s="16">
        <f>IF(AJ773+AJ916-AJ805=0,0,AJ916/(AJ773+AJ916-AJ805))</f>
        <v/>
      </c>
      <c r="AK940" s="16">
        <f>IF(AK773+AK916-AK805=0,0,AK916/(AK773+AK916-AK805))</f>
        <v/>
      </c>
      <c r="AL940" s="16">
        <f>IF(AL773+AL916-AL805=0,0,AL916/(AL773+AL916-AL805))</f>
        <v/>
      </c>
      <c r="AM940" s="16">
        <f>IF(AM773+AM916-AM805=0,0,AM916/(AM773+AM916-AM805))</f>
        <v/>
      </c>
      <c r="AN940" s="16">
        <f>IF(AN773+AN916-AN805=0,0,AN916/(AN773+AN916-AN805))</f>
        <v/>
      </c>
      <c r="AO940" s="16">
        <f>IF(AO773+AO916-AO805=0,0,AO916/(AO773+AO916-AO805))</f>
        <v/>
      </c>
      <c r="AP940" s="16">
        <f>IF(AP773+AP916-AP805=0,0,AP916/(AP773+AP916-AP805))</f>
        <v/>
      </c>
      <c r="AQ940" s="16">
        <f>IF(AQ773+AQ916-AQ805=0,0,AQ916/(AQ773+AQ916-AQ805))</f>
        <v/>
      </c>
      <c r="AR940" s="16">
        <f>IF(AR773+AR916-AR805=0,0,AR916/(AR773+AR916-AR805))</f>
        <v/>
      </c>
      <c r="AS940" s="16">
        <f>IF(AS773+AS916-AS805=0,0,AS916/(AS773+AS916-AS805))</f>
        <v/>
      </c>
      <c r="AT940" s="16">
        <f>IF(AT773+AT916-AT805=0,0,AT916/(AT773+AT916-AT805))</f>
        <v/>
      </c>
      <c r="AU940" s="16">
        <f>IF(AU773+AU916-AU805=0,0,AU916/(AU773+AU916-AU805))</f>
        <v/>
      </c>
      <c r="AV940" s="16">
        <f>IF(AV773+AV916-AV805=0,0,AV916/(AV773+AV916-AV805))</f>
        <v/>
      </c>
      <c r="AW940" s="16">
        <f>IF(AW773+AW916-AW805=0,0,AW916/(AW773+AW916-AW805))</f>
        <v/>
      </c>
      <c r="AX940" s="16">
        <f>IF(AX773+AX916-AX805=0,0,AX916/(AX773+AX916-AX805))</f>
        <v/>
      </c>
      <c r="AY940" s="16">
        <f>IF(AY773+AY916-AY805=0,0,AY916/(AY773+AY916-AY805))</f>
        <v/>
      </c>
      <c r="AZ940" s="16">
        <f>IF(AZ773+AZ916-AZ805=0,0,AZ916/(AZ773+AZ916-AZ805))</f>
        <v/>
      </c>
      <c r="BA940" s="49">
        <f>VINTSHARE(BA916,BA773,BA805)</f>
        <v/>
      </c>
    </row>
    <row r="941" hidden="1" outlineLevel="1">
      <c r="A941" s="14" t="inlineStr">
        <is>
          <t>phi</t>
        </is>
      </c>
      <c r="B941" s="14" t="inlineStr">
        <is>
          <t>oop</t>
        </is>
      </c>
      <c r="C941" s="14" t="inlineStr">
        <is>
          <t>pow</t>
        </is>
      </c>
      <c r="D941" s="39" t="n"/>
      <c r="E941" s="39" t="n"/>
      <c r="F941" s="39" t="n"/>
      <c r="G941" s="39" t="n"/>
      <c r="H941" s="14">
        <f>INDEX(VarLab,MATCH($A941,VarKey,0))&amp;INDEX(MemLab,MATCH($C941&amp;"|"&amp;$B941,MemKey,0))</f>
        <v/>
      </c>
      <c r="I941" s="14">
        <f>INDEX(VarUnit,MATCH($A941,VarKey,0))</f>
        <v/>
      </c>
      <c r="J941" s="14">
        <f>INDEX(VarSrc,MATCH($A941,VarKey,0))</f>
        <v/>
      </c>
      <c r="K941" s="11">
        <f>CodePrefix&amp;$A941&amp;IF($C941="","","."&amp;$C941&amp;"."&amp;$B941)&amp;INDEX(VarEnd,MATCH($A941,VarKey,0))&amp;K$5</f>
        <v/>
      </c>
      <c r="L941" s="15">
        <f>IF(L774+L917-L806=0,0,L917/(L774+L917-L806))</f>
        <v/>
      </c>
      <c r="M941" s="16">
        <f>IF(M774+M917-M806=0,0,M917/(M774+M917-M806))</f>
        <v/>
      </c>
      <c r="N941" s="16">
        <f>IF(N774+N917-N806=0,0,N917/(N774+N917-N806))</f>
        <v/>
      </c>
      <c r="O941" s="16">
        <f>IF(O774+O917-O806=0,0,O917/(O774+O917-O806))</f>
        <v/>
      </c>
      <c r="P941" s="16">
        <f>IF(P774+P917-P806=0,0,P917/(P774+P917-P806))</f>
        <v/>
      </c>
      <c r="Q941" s="16">
        <f>IF(Q774+Q917-Q806=0,0,Q917/(Q774+Q917-Q806))</f>
        <v/>
      </c>
      <c r="R941" s="16">
        <f>IF(R774+R917-R806=0,0,R917/(R774+R917-R806))</f>
        <v/>
      </c>
      <c r="S941" s="16">
        <f>IF(S774+S917-S806=0,0,S917/(S774+S917-S806))</f>
        <v/>
      </c>
      <c r="T941" s="16">
        <f>IF(T774+T917-T806=0,0,T917/(T774+T917-T806))</f>
        <v/>
      </c>
      <c r="U941" s="16">
        <f>IF(U774+U917-U806=0,0,U917/(U774+U917-U806))</f>
        <v/>
      </c>
      <c r="V941" s="16">
        <f>IF(V774+V917-V806=0,0,V917/(V774+V917-V806))</f>
        <v/>
      </c>
      <c r="W941" s="16">
        <f>IF(W774+W917-W806=0,0,W917/(W774+W917-W806))</f>
        <v/>
      </c>
      <c r="X941" s="16">
        <f>IF(X774+X917-X806=0,0,X917/(X774+X917-X806))</f>
        <v/>
      </c>
      <c r="Y941" s="16">
        <f>IF(Y774+Y917-Y806=0,0,Y917/(Y774+Y917-Y806))</f>
        <v/>
      </c>
      <c r="Z941" s="16">
        <f>IF(Z774+Z917-Z806=0,0,Z917/(Z774+Z917-Z806))</f>
        <v/>
      </c>
      <c r="AA941" s="16">
        <f>IF(AA774+AA917-AA806=0,0,AA917/(AA774+AA917-AA806))</f>
        <v/>
      </c>
      <c r="AB941" s="16">
        <f>IF(AB774+AB917-AB806=0,0,AB917/(AB774+AB917-AB806))</f>
        <v/>
      </c>
      <c r="AC941" s="16">
        <f>IF(AC774+AC917-AC806=0,0,AC917/(AC774+AC917-AC806))</f>
        <v/>
      </c>
      <c r="AD941" s="16">
        <f>IF(AD774+AD917-AD806=0,0,AD917/(AD774+AD917-AD806))</f>
        <v/>
      </c>
      <c r="AE941" s="49">
        <f>VINTSHARE(AE917,AE774,AE806)</f>
        <v/>
      </c>
      <c r="AG941" s="11">
        <f>CodePrefix&amp;$A941&amp;IF($C941="","","."&amp;$C941&amp;"."&amp;$B941)&amp;INDEX(VarEnd,MATCH($A941,VarKey,0))&amp;AG$5</f>
        <v/>
      </c>
      <c r="AH941" s="15">
        <f>IF(AH774+AH917-AH806=0,0,AH917/(AH774+AH917-AH806))</f>
        <v/>
      </c>
      <c r="AI941" s="16">
        <f>IF(AI774+AI917-AI806=0,0,AI917/(AI774+AI917-AI806))</f>
        <v/>
      </c>
      <c r="AJ941" s="16">
        <f>IF(AJ774+AJ917-AJ806=0,0,AJ917/(AJ774+AJ917-AJ806))</f>
        <v/>
      </c>
      <c r="AK941" s="16">
        <f>IF(AK774+AK917-AK806=0,0,AK917/(AK774+AK917-AK806))</f>
        <v/>
      </c>
      <c r="AL941" s="16">
        <f>IF(AL774+AL917-AL806=0,0,AL917/(AL774+AL917-AL806))</f>
        <v/>
      </c>
      <c r="AM941" s="16">
        <f>IF(AM774+AM917-AM806=0,0,AM917/(AM774+AM917-AM806))</f>
        <v/>
      </c>
      <c r="AN941" s="16">
        <f>IF(AN774+AN917-AN806=0,0,AN917/(AN774+AN917-AN806))</f>
        <v/>
      </c>
      <c r="AO941" s="16">
        <f>IF(AO774+AO917-AO806=0,0,AO917/(AO774+AO917-AO806))</f>
        <v/>
      </c>
      <c r="AP941" s="16">
        <f>IF(AP774+AP917-AP806=0,0,AP917/(AP774+AP917-AP806))</f>
        <v/>
      </c>
      <c r="AQ941" s="16">
        <f>IF(AQ774+AQ917-AQ806=0,0,AQ917/(AQ774+AQ917-AQ806))</f>
        <v/>
      </c>
      <c r="AR941" s="16">
        <f>IF(AR774+AR917-AR806=0,0,AR917/(AR774+AR917-AR806))</f>
        <v/>
      </c>
      <c r="AS941" s="16">
        <f>IF(AS774+AS917-AS806=0,0,AS917/(AS774+AS917-AS806))</f>
        <v/>
      </c>
      <c r="AT941" s="16">
        <f>IF(AT774+AT917-AT806=0,0,AT917/(AT774+AT917-AT806))</f>
        <v/>
      </c>
      <c r="AU941" s="16">
        <f>IF(AU774+AU917-AU806=0,0,AU917/(AU774+AU917-AU806))</f>
        <v/>
      </c>
      <c r="AV941" s="16">
        <f>IF(AV774+AV917-AV806=0,0,AV917/(AV774+AV917-AV806))</f>
        <v/>
      </c>
      <c r="AW941" s="16">
        <f>IF(AW774+AW917-AW806=0,0,AW917/(AW774+AW917-AW806))</f>
        <v/>
      </c>
      <c r="AX941" s="16">
        <f>IF(AX774+AX917-AX806=0,0,AX917/(AX774+AX917-AX806))</f>
        <v/>
      </c>
      <c r="AY941" s="16">
        <f>IF(AY774+AY917-AY806=0,0,AY917/(AY774+AY917-AY806))</f>
        <v/>
      </c>
      <c r="AZ941" s="16">
        <f>IF(AZ774+AZ917-AZ806=0,0,AZ917/(AZ774+AZ917-AZ806))</f>
        <v/>
      </c>
      <c r="BA941" s="49">
        <f>VINTSHARE(BA917,BA774,BA806)</f>
        <v/>
      </c>
    </row>
    <row r="942" hidden="1" outlineLevel="1">
      <c r="A942" s="14" t="inlineStr">
        <is>
          <t>phi</t>
        </is>
      </c>
      <c r="B942" s="14" t="inlineStr">
        <is>
          <t>nuc</t>
        </is>
      </c>
      <c r="C942" s="14" t="inlineStr">
        <is>
          <t>pow</t>
        </is>
      </c>
      <c r="D942" s="39" t="n"/>
      <c r="E942" s="39" t="n"/>
      <c r="F942" s="39" t="n"/>
      <c r="G942" s="39" t="n"/>
      <c r="H942" s="14">
        <f>INDEX(VarLab,MATCH($A942,VarKey,0))&amp;INDEX(MemLab,MATCH($C942&amp;"|"&amp;$B942,MemKey,0))</f>
        <v/>
      </c>
      <c r="I942" s="14">
        <f>INDEX(VarUnit,MATCH($A942,VarKey,0))</f>
        <v/>
      </c>
      <c r="J942" s="14">
        <f>INDEX(VarSrc,MATCH($A942,VarKey,0))</f>
        <v/>
      </c>
      <c r="K942" s="11">
        <f>CodePrefix&amp;$A942&amp;IF($C942="","","."&amp;$C942&amp;"."&amp;$B942)&amp;INDEX(VarEnd,MATCH($A942,VarKey,0))&amp;K$5</f>
        <v/>
      </c>
      <c r="L942" s="15">
        <f>IF(L775+L918-L807=0,0,L918/(L775+L918-L807))</f>
        <v/>
      </c>
      <c r="M942" s="16">
        <f>IF(M775+M918-M807=0,0,M918/(M775+M918-M807))</f>
        <v/>
      </c>
      <c r="N942" s="16">
        <f>IF(N775+N918-N807=0,0,N918/(N775+N918-N807))</f>
        <v/>
      </c>
      <c r="O942" s="16">
        <f>IF(O775+O918-O807=0,0,O918/(O775+O918-O807))</f>
        <v/>
      </c>
      <c r="P942" s="16">
        <f>IF(P775+P918-P807=0,0,P918/(P775+P918-P807))</f>
        <v/>
      </c>
      <c r="Q942" s="16">
        <f>IF(Q775+Q918-Q807=0,0,Q918/(Q775+Q918-Q807))</f>
        <v/>
      </c>
      <c r="R942" s="16">
        <f>IF(R775+R918-R807=0,0,R918/(R775+R918-R807))</f>
        <v/>
      </c>
      <c r="S942" s="16">
        <f>IF(S775+S918-S807=0,0,S918/(S775+S918-S807))</f>
        <v/>
      </c>
      <c r="T942" s="16">
        <f>IF(T775+T918-T807=0,0,T918/(T775+T918-T807))</f>
        <v/>
      </c>
      <c r="U942" s="16">
        <f>IF(U775+U918-U807=0,0,U918/(U775+U918-U807))</f>
        <v/>
      </c>
      <c r="V942" s="16">
        <f>IF(V775+V918-V807=0,0,V918/(V775+V918-V807))</f>
        <v/>
      </c>
      <c r="W942" s="16">
        <f>IF(W775+W918-W807=0,0,W918/(W775+W918-W807))</f>
        <v/>
      </c>
      <c r="X942" s="16">
        <f>IF(X775+X918-X807=0,0,X918/(X775+X918-X807))</f>
        <v/>
      </c>
      <c r="Y942" s="16">
        <f>IF(Y775+Y918-Y807=0,0,Y918/(Y775+Y918-Y807))</f>
        <v/>
      </c>
      <c r="Z942" s="16">
        <f>IF(Z775+Z918-Z807=0,0,Z918/(Z775+Z918-Z807))</f>
        <v/>
      </c>
      <c r="AA942" s="16">
        <f>IF(AA775+AA918-AA807=0,0,AA918/(AA775+AA918-AA807))</f>
        <v/>
      </c>
      <c r="AB942" s="16">
        <f>IF(AB775+AB918-AB807=0,0,AB918/(AB775+AB918-AB807))</f>
        <v/>
      </c>
      <c r="AC942" s="16">
        <f>IF(AC775+AC918-AC807=0,0,AC918/(AC775+AC918-AC807))</f>
        <v/>
      </c>
      <c r="AD942" s="16">
        <f>IF(AD775+AD918-AD807=0,0,AD918/(AD775+AD918-AD807))</f>
        <v/>
      </c>
      <c r="AE942" s="49">
        <f>VINTSHARE(AE918,AE775,AE807)</f>
        <v/>
      </c>
      <c r="AG942" s="11">
        <f>CodePrefix&amp;$A942&amp;IF($C942="","","."&amp;$C942&amp;"."&amp;$B942)&amp;INDEX(VarEnd,MATCH($A942,VarKey,0))&amp;AG$5</f>
        <v/>
      </c>
      <c r="AH942" s="15">
        <f>IF(AH775+AH918-AH807=0,0,AH918/(AH775+AH918-AH807))</f>
        <v/>
      </c>
      <c r="AI942" s="16">
        <f>IF(AI775+AI918-AI807=0,0,AI918/(AI775+AI918-AI807))</f>
        <v/>
      </c>
      <c r="AJ942" s="16">
        <f>IF(AJ775+AJ918-AJ807=0,0,AJ918/(AJ775+AJ918-AJ807))</f>
        <v/>
      </c>
      <c r="AK942" s="16">
        <f>IF(AK775+AK918-AK807=0,0,AK918/(AK775+AK918-AK807))</f>
        <v/>
      </c>
      <c r="AL942" s="16">
        <f>IF(AL775+AL918-AL807=0,0,AL918/(AL775+AL918-AL807))</f>
        <v/>
      </c>
      <c r="AM942" s="16">
        <f>IF(AM775+AM918-AM807=0,0,AM918/(AM775+AM918-AM807))</f>
        <v/>
      </c>
      <c r="AN942" s="16">
        <f>IF(AN775+AN918-AN807=0,0,AN918/(AN775+AN918-AN807))</f>
        <v/>
      </c>
      <c r="AO942" s="16">
        <f>IF(AO775+AO918-AO807=0,0,AO918/(AO775+AO918-AO807))</f>
        <v/>
      </c>
      <c r="AP942" s="16">
        <f>IF(AP775+AP918-AP807=0,0,AP918/(AP775+AP918-AP807))</f>
        <v/>
      </c>
      <c r="AQ942" s="16">
        <f>IF(AQ775+AQ918-AQ807=0,0,AQ918/(AQ775+AQ918-AQ807))</f>
        <v/>
      </c>
      <c r="AR942" s="16">
        <f>IF(AR775+AR918-AR807=0,0,AR918/(AR775+AR918-AR807))</f>
        <v/>
      </c>
      <c r="AS942" s="16">
        <f>IF(AS775+AS918-AS807=0,0,AS918/(AS775+AS918-AS807))</f>
        <v/>
      </c>
      <c r="AT942" s="16">
        <f>IF(AT775+AT918-AT807=0,0,AT918/(AT775+AT918-AT807))</f>
        <v/>
      </c>
      <c r="AU942" s="16">
        <f>IF(AU775+AU918-AU807=0,0,AU918/(AU775+AU918-AU807))</f>
        <v/>
      </c>
      <c r="AV942" s="16">
        <f>IF(AV775+AV918-AV807=0,0,AV918/(AV775+AV918-AV807))</f>
        <v/>
      </c>
      <c r="AW942" s="16">
        <f>IF(AW775+AW918-AW807=0,0,AW918/(AW775+AW918-AW807))</f>
        <v/>
      </c>
      <c r="AX942" s="16">
        <f>IF(AX775+AX918-AX807=0,0,AX918/(AX775+AX918-AX807))</f>
        <v/>
      </c>
      <c r="AY942" s="16">
        <f>IF(AY775+AY918-AY807=0,0,AY918/(AY775+AY918-AY807))</f>
        <v/>
      </c>
      <c r="AZ942" s="16">
        <f>IF(AZ775+AZ918-AZ807=0,0,AZ918/(AZ775+AZ918-AZ807))</f>
        <v/>
      </c>
      <c r="BA942" s="49">
        <f>VINTSHARE(BA918,BA775,BA807)</f>
        <v/>
      </c>
    </row>
    <row r="943" hidden="1" outlineLevel="1">
      <c r="A943" s="14" t="inlineStr">
        <is>
          <t>phi</t>
        </is>
      </c>
      <c r="B943" s="14" t="inlineStr">
        <is>
          <t>wnd</t>
        </is>
      </c>
      <c r="C943" s="14" t="inlineStr">
        <is>
          <t>pow</t>
        </is>
      </c>
      <c r="D943" s="39" t="n"/>
      <c r="E943" s="39" t="n"/>
      <c r="F943" s="39" t="n"/>
      <c r="G943" s="39" t="n"/>
      <c r="H943" s="14">
        <f>INDEX(VarLab,MATCH($A943,VarKey,0))&amp;INDEX(MemLab,MATCH($C943&amp;"|"&amp;$B943,MemKey,0))</f>
        <v/>
      </c>
      <c r="I943" s="14">
        <f>INDEX(VarUnit,MATCH($A943,VarKey,0))</f>
        <v/>
      </c>
      <c r="J943" s="14">
        <f>INDEX(VarSrc,MATCH($A943,VarKey,0))</f>
        <v/>
      </c>
      <c r="K943" s="11">
        <f>CodePrefix&amp;$A943&amp;IF($C943="","","."&amp;$C943&amp;"."&amp;$B943)&amp;INDEX(VarEnd,MATCH($A943,VarKey,0))&amp;K$5</f>
        <v/>
      </c>
      <c r="L943" s="15">
        <f>IF(L776+L919-L808=0,0,L919/(L776+L919-L808))</f>
        <v/>
      </c>
      <c r="M943" s="16">
        <f>IF(M776+M919-M808=0,0,M919/(M776+M919-M808))</f>
        <v/>
      </c>
      <c r="N943" s="16">
        <f>IF(N776+N919-N808=0,0,N919/(N776+N919-N808))</f>
        <v/>
      </c>
      <c r="O943" s="16">
        <f>IF(O776+O919-O808=0,0,O919/(O776+O919-O808))</f>
        <v/>
      </c>
      <c r="P943" s="16">
        <f>IF(P776+P919-P808=0,0,P919/(P776+P919-P808))</f>
        <v/>
      </c>
      <c r="Q943" s="16">
        <f>IF(Q776+Q919-Q808=0,0,Q919/(Q776+Q919-Q808))</f>
        <v/>
      </c>
      <c r="R943" s="16">
        <f>IF(R776+R919-R808=0,0,R919/(R776+R919-R808))</f>
        <v/>
      </c>
      <c r="S943" s="16">
        <f>IF(S776+S919-S808=0,0,S919/(S776+S919-S808))</f>
        <v/>
      </c>
      <c r="T943" s="16">
        <f>IF(T776+T919-T808=0,0,T919/(T776+T919-T808))</f>
        <v/>
      </c>
      <c r="U943" s="16">
        <f>IF(U776+U919-U808=0,0,U919/(U776+U919-U808))</f>
        <v/>
      </c>
      <c r="V943" s="16">
        <f>IF(V776+V919-V808=0,0,V919/(V776+V919-V808))</f>
        <v/>
      </c>
      <c r="W943" s="16">
        <f>IF(W776+W919-W808=0,0,W919/(W776+W919-W808))</f>
        <v/>
      </c>
      <c r="X943" s="16">
        <f>IF(X776+X919-X808=0,0,X919/(X776+X919-X808))</f>
        <v/>
      </c>
      <c r="Y943" s="16">
        <f>IF(Y776+Y919-Y808=0,0,Y919/(Y776+Y919-Y808))</f>
        <v/>
      </c>
      <c r="Z943" s="16">
        <f>IF(Z776+Z919-Z808=0,0,Z919/(Z776+Z919-Z808))</f>
        <v/>
      </c>
      <c r="AA943" s="16">
        <f>IF(AA776+AA919-AA808=0,0,AA919/(AA776+AA919-AA808))</f>
        <v/>
      </c>
      <c r="AB943" s="16">
        <f>IF(AB776+AB919-AB808=0,0,AB919/(AB776+AB919-AB808))</f>
        <v/>
      </c>
      <c r="AC943" s="16">
        <f>IF(AC776+AC919-AC808=0,0,AC919/(AC776+AC919-AC808))</f>
        <v/>
      </c>
      <c r="AD943" s="16">
        <f>IF(AD776+AD919-AD808=0,0,AD919/(AD776+AD919-AD808))</f>
        <v/>
      </c>
      <c r="AE943" s="49">
        <f>VINTSHARE(AE919,AE776,AE808)</f>
        <v/>
      </c>
      <c r="AG943" s="11">
        <f>CodePrefix&amp;$A943&amp;IF($C943="","","."&amp;$C943&amp;"."&amp;$B943)&amp;INDEX(VarEnd,MATCH($A943,VarKey,0))&amp;AG$5</f>
        <v/>
      </c>
      <c r="AH943" s="15">
        <f>IF(AH776+AH919-AH808=0,0,AH919/(AH776+AH919-AH808))</f>
        <v/>
      </c>
      <c r="AI943" s="16">
        <f>IF(AI776+AI919-AI808=0,0,AI919/(AI776+AI919-AI808))</f>
        <v/>
      </c>
      <c r="AJ943" s="16">
        <f>IF(AJ776+AJ919-AJ808=0,0,AJ919/(AJ776+AJ919-AJ808))</f>
        <v/>
      </c>
      <c r="AK943" s="16">
        <f>IF(AK776+AK919-AK808=0,0,AK919/(AK776+AK919-AK808))</f>
        <v/>
      </c>
      <c r="AL943" s="16">
        <f>IF(AL776+AL919-AL808=0,0,AL919/(AL776+AL919-AL808))</f>
        <v/>
      </c>
      <c r="AM943" s="16">
        <f>IF(AM776+AM919-AM808=0,0,AM919/(AM776+AM919-AM808))</f>
        <v/>
      </c>
      <c r="AN943" s="16">
        <f>IF(AN776+AN919-AN808=0,0,AN919/(AN776+AN919-AN808))</f>
        <v/>
      </c>
      <c r="AO943" s="16">
        <f>IF(AO776+AO919-AO808=0,0,AO919/(AO776+AO919-AO808))</f>
        <v/>
      </c>
      <c r="AP943" s="16">
        <f>IF(AP776+AP919-AP808=0,0,AP919/(AP776+AP919-AP808))</f>
        <v/>
      </c>
      <c r="AQ943" s="16">
        <f>IF(AQ776+AQ919-AQ808=0,0,AQ919/(AQ776+AQ919-AQ808))</f>
        <v/>
      </c>
      <c r="AR943" s="16">
        <f>IF(AR776+AR919-AR808=0,0,AR919/(AR776+AR919-AR808))</f>
        <v/>
      </c>
      <c r="AS943" s="16">
        <f>IF(AS776+AS919-AS808=0,0,AS919/(AS776+AS919-AS808))</f>
        <v/>
      </c>
      <c r="AT943" s="16">
        <f>IF(AT776+AT919-AT808=0,0,AT919/(AT776+AT919-AT808))</f>
        <v/>
      </c>
      <c r="AU943" s="16">
        <f>IF(AU776+AU919-AU808=0,0,AU919/(AU776+AU919-AU808))</f>
        <v/>
      </c>
      <c r="AV943" s="16">
        <f>IF(AV776+AV919-AV808=0,0,AV919/(AV776+AV919-AV808))</f>
        <v/>
      </c>
      <c r="AW943" s="16">
        <f>IF(AW776+AW919-AW808=0,0,AW919/(AW776+AW919-AW808))</f>
        <v/>
      </c>
      <c r="AX943" s="16">
        <f>IF(AX776+AX919-AX808=0,0,AX919/(AX776+AX919-AX808))</f>
        <v/>
      </c>
      <c r="AY943" s="16">
        <f>IF(AY776+AY919-AY808=0,0,AY919/(AY776+AY919-AY808))</f>
        <v/>
      </c>
      <c r="AZ943" s="16">
        <f>IF(AZ776+AZ919-AZ808=0,0,AZ919/(AZ776+AZ919-AZ808))</f>
        <v/>
      </c>
      <c r="BA943" s="49">
        <f>VINTSHARE(BA919,BA776,BA808)</f>
        <v/>
      </c>
    </row>
    <row r="944" hidden="1" outlineLevel="1">
      <c r="A944" s="14" t="inlineStr">
        <is>
          <t>phi</t>
        </is>
      </c>
      <c r="B944" s="14" t="inlineStr">
        <is>
          <t>sol</t>
        </is>
      </c>
      <c r="C944" s="14" t="inlineStr">
        <is>
          <t>pow</t>
        </is>
      </c>
      <c r="D944" s="39" t="n"/>
      <c r="E944" s="39" t="n"/>
      <c r="F944" s="39" t="n"/>
      <c r="G944" s="39" t="n"/>
      <c r="H944" s="14">
        <f>INDEX(VarLab,MATCH($A944,VarKey,0))&amp;INDEX(MemLab,MATCH($C944&amp;"|"&amp;$B944,MemKey,0))</f>
        <v/>
      </c>
      <c r="I944" s="14">
        <f>INDEX(VarUnit,MATCH($A944,VarKey,0))</f>
        <v/>
      </c>
      <c r="J944" s="14">
        <f>INDEX(VarSrc,MATCH($A944,VarKey,0))</f>
        <v/>
      </c>
      <c r="K944" s="11">
        <f>CodePrefix&amp;$A944&amp;IF($C944="","","."&amp;$C944&amp;"."&amp;$B944)&amp;INDEX(VarEnd,MATCH($A944,VarKey,0))&amp;K$5</f>
        <v/>
      </c>
      <c r="L944" s="15">
        <f>IF(L777+L920-L809=0,0,L920/(L777+L920-L809))</f>
        <v/>
      </c>
      <c r="M944" s="16">
        <f>IF(M777+M920-M809=0,0,M920/(M777+M920-M809))</f>
        <v/>
      </c>
      <c r="N944" s="16">
        <f>IF(N777+N920-N809=0,0,N920/(N777+N920-N809))</f>
        <v/>
      </c>
      <c r="O944" s="16">
        <f>IF(O777+O920-O809=0,0,O920/(O777+O920-O809))</f>
        <v/>
      </c>
      <c r="P944" s="16">
        <f>IF(P777+P920-P809=0,0,P920/(P777+P920-P809))</f>
        <v/>
      </c>
      <c r="Q944" s="16">
        <f>IF(Q777+Q920-Q809=0,0,Q920/(Q777+Q920-Q809))</f>
        <v/>
      </c>
      <c r="R944" s="16">
        <f>IF(R777+R920-R809=0,0,R920/(R777+R920-R809))</f>
        <v/>
      </c>
      <c r="S944" s="16">
        <f>IF(S777+S920-S809=0,0,S920/(S777+S920-S809))</f>
        <v/>
      </c>
      <c r="T944" s="16">
        <f>IF(T777+T920-T809=0,0,T920/(T777+T920-T809))</f>
        <v/>
      </c>
      <c r="U944" s="16">
        <f>IF(U777+U920-U809=0,0,U920/(U777+U920-U809))</f>
        <v/>
      </c>
      <c r="V944" s="16">
        <f>IF(V777+V920-V809=0,0,V920/(V777+V920-V809))</f>
        <v/>
      </c>
      <c r="W944" s="16">
        <f>IF(W777+W920-W809=0,0,W920/(W777+W920-W809))</f>
        <v/>
      </c>
      <c r="X944" s="16">
        <f>IF(X777+X920-X809=0,0,X920/(X777+X920-X809))</f>
        <v/>
      </c>
      <c r="Y944" s="16">
        <f>IF(Y777+Y920-Y809=0,0,Y920/(Y777+Y920-Y809))</f>
        <v/>
      </c>
      <c r="Z944" s="16">
        <f>IF(Z777+Z920-Z809=0,0,Z920/(Z777+Z920-Z809))</f>
        <v/>
      </c>
      <c r="AA944" s="16">
        <f>IF(AA777+AA920-AA809=0,0,AA920/(AA777+AA920-AA809))</f>
        <v/>
      </c>
      <c r="AB944" s="16">
        <f>IF(AB777+AB920-AB809=0,0,AB920/(AB777+AB920-AB809))</f>
        <v/>
      </c>
      <c r="AC944" s="16">
        <f>IF(AC777+AC920-AC809=0,0,AC920/(AC777+AC920-AC809))</f>
        <v/>
      </c>
      <c r="AD944" s="16">
        <f>IF(AD777+AD920-AD809=0,0,AD920/(AD777+AD920-AD809))</f>
        <v/>
      </c>
      <c r="AE944" s="49">
        <f>VINTSHARE(AE920,AE777,AE809)</f>
        <v/>
      </c>
      <c r="AG944" s="11">
        <f>CodePrefix&amp;$A944&amp;IF($C944="","","."&amp;$C944&amp;"."&amp;$B944)&amp;INDEX(VarEnd,MATCH($A944,VarKey,0))&amp;AG$5</f>
        <v/>
      </c>
      <c r="AH944" s="15">
        <f>IF(AH777+AH920-AH809=0,0,AH920/(AH777+AH920-AH809))</f>
        <v/>
      </c>
      <c r="AI944" s="16">
        <f>IF(AI777+AI920-AI809=0,0,AI920/(AI777+AI920-AI809))</f>
        <v/>
      </c>
      <c r="AJ944" s="16">
        <f>IF(AJ777+AJ920-AJ809=0,0,AJ920/(AJ777+AJ920-AJ809))</f>
        <v/>
      </c>
      <c r="AK944" s="16">
        <f>IF(AK777+AK920-AK809=0,0,AK920/(AK777+AK920-AK809))</f>
        <v/>
      </c>
      <c r="AL944" s="16">
        <f>IF(AL777+AL920-AL809=0,0,AL920/(AL777+AL920-AL809))</f>
        <v/>
      </c>
      <c r="AM944" s="16">
        <f>IF(AM777+AM920-AM809=0,0,AM920/(AM777+AM920-AM809))</f>
        <v/>
      </c>
      <c r="AN944" s="16">
        <f>IF(AN777+AN920-AN809=0,0,AN920/(AN777+AN920-AN809))</f>
        <v/>
      </c>
      <c r="AO944" s="16">
        <f>IF(AO777+AO920-AO809=0,0,AO920/(AO777+AO920-AO809))</f>
        <v/>
      </c>
      <c r="AP944" s="16">
        <f>IF(AP777+AP920-AP809=0,0,AP920/(AP777+AP920-AP809))</f>
        <v/>
      </c>
      <c r="AQ944" s="16">
        <f>IF(AQ777+AQ920-AQ809=0,0,AQ920/(AQ777+AQ920-AQ809))</f>
        <v/>
      </c>
      <c r="AR944" s="16">
        <f>IF(AR777+AR920-AR809=0,0,AR920/(AR777+AR920-AR809))</f>
        <v/>
      </c>
      <c r="AS944" s="16">
        <f>IF(AS777+AS920-AS809=0,0,AS920/(AS777+AS920-AS809))</f>
        <v/>
      </c>
      <c r="AT944" s="16">
        <f>IF(AT777+AT920-AT809=0,0,AT920/(AT777+AT920-AT809))</f>
        <v/>
      </c>
      <c r="AU944" s="16">
        <f>IF(AU777+AU920-AU809=0,0,AU920/(AU777+AU920-AU809))</f>
        <v/>
      </c>
      <c r="AV944" s="16">
        <f>IF(AV777+AV920-AV809=0,0,AV920/(AV777+AV920-AV809))</f>
        <v/>
      </c>
      <c r="AW944" s="16">
        <f>IF(AW777+AW920-AW809=0,0,AW920/(AW777+AW920-AW809))</f>
        <v/>
      </c>
      <c r="AX944" s="16">
        <f>IF(AX777+AX920-AX809=0,0,AX920/(AX777+AX920-AX809))</f>
        <v/>
      </c>
      <c r="AY944" s="16">
        <f>IF(AY777+AY920-AY809=0,0,AY920/(AY777+AY920-AY809))</f>
        <v/>
      </c>
      <c r="AZ944" s="16">
        <f>IF(AZ777+AZ920-AZ809=0,0,AZ920/(AZ777+AZ920-AZ809))</f>
        <v/>
      </c>
      <c r="BA944" s="49">
        <f>VINTSHARE(BA920,BA777,BA809)</f>
        <v/>
      </c>
    </row>
    <row r="945" hidden="1" outlineLevel="1">
      <c r="A945" s="14" t="inlineStr">
        <is>
          <t>phi</t>
        </is>
      </c>
      <c r="B945" s="14" t="inlineStr">
        <is>
          <t>hyd</t>
        </is>
      </c>
      <c r="C945" s="14" t="inlineStr">
        <is>
          <t>pow</t>
        </is>
      </c>
      <c r="D945" s="39" t="n"/>
      <c r="E945" s="39" t="n"/>
      <c r="F945" s="39" t="n"/>
      <c r="G945" s="39" t="n"/>
      <c r="H945" s="14">
        <f>INDEX(VarLab,MATCH($A945,VarKey,0))&amp;INDEX(MemLab,MATCH($C945&amp;"|"&amp;$B945,MemKey,0))</f>
        <v/>
      </c>
      <c r="I945" s="14">
        <f>INDEX(VarUnit,MATCH($A945,VarKey,0))</f>
        <v/>
      </c>
      <c r="J945" s="14">
        <f>INDEX(VarSrc,MATCH($A945,VarKey,0))</f>
        <v/>
      </c>
      <c r="K945" s="11">
        <f>CodePrefix&amp;$A945&amp;IF($C945="","","."&amp;$C945&amp;"."&amp;$B945)&amp;INDEX(VarEnd,MATCH($A945,VarKey,0))&amp;K$5</f>
        <v/>
      </c>
      <c r="L945" s="15">
        <f>IF(L778+L921-L810=0,0,L921/(L778+L921-L810))</f>
        <v/>
      </c>
      <c r="M945" s="16">
        <f>IF(M778+M921-M810=0,0,M921/(M778+M921-M810))</f>
        <v/>
      </c>
      <c r="N945" s="16">
        <f>IF(N778+N921-N810=0,0,N921/(N778+N921-N810))</f>
        <v/>
      </c>
      <c r="O945" s="16">
        <f>IF(O778+O921-O810=0,0,O921/(O778+O921-O810))</f>
        <v/>
      </c>
      <c r="P945" s="16">
        <f>IF(P778+P921-P810=0,0,P921/(P778+P921-P810))</f>
        <v/>
      </c>
      <c r="Q945" s="16">
        <f>IF(Q778+Q921-Q810=0,0,Q921/(Q778+Q921-Q810))</f>
        <v/>
      </c>
      <c r="R945" s="16">
        <f>IF(R778+R921-R810=0,0,R921/(R778+R921-R810))</f>
        <v/>
      </c>
      <c r="S945" s="16">
        <f>IF(S778+S921-S810=0,0,S921/(S778+S921-S810))</f>
        <v/>
      </c>
      <c r="T945" s="16">
        <f>IF(T778+T921-T810=0,0,T921/(T778+T921-T810))</f>
        <v/>
      </c>
      <c r="U945" s="16">
        <f>IF(U778+U921-U810=0,0,U921/(U778+U921-U810))</f>
        <v/>
      </c>
      <c r="V945" s="16">
        <f>IF(V778+V921-V810=0,0,V921/(V778+V921-V810))</f>
        <v/>
      </c>
      <c r="W945" s="16">
        <f>IF(W778+W921-W810=0,0,W921/(W778+W921-W810))</f>
        <v/>
      </c>
      <c r="X945" s="16">
        <f>IF(X778+X921-X810=0,0,X921/(X778+X921-X810))</f>
        <v/>
      </c>
      <c r="Y945" s="16">
        <f>IF(Y778+Y921-Y810=0,0,Y921/(Y778+Y921-Y810))</f>
        <v/>
      </c>
      <c r="Z945" s="16">
        <f>IF(Z778+Z921-Z810=0,0,Z921/(Z778+Z921-Z810))</f>
        <v/>
      </c>
      <c r="AA945" s="16">
        <f>IF(AA778+AA921-AA810=0,0,AA921/(AA778+AA921-AA810))</f>
        <v/>
      </c>
      <c r="AB945" s="16">
        <f>IF(AB778+AB921-AB810=0,0,AB921/(AB778+AB921-AB810))</f>
        <v/>
      </c>
      <c r="AC945" s="16">
        <f>IF(AC778+AC921-AC810=0,0,AC921/(AC778+AC921-AC810))</f>
        <v/>
      </c>
      <c r="AD945" s="16">
        <f>IF(AD778+AD921-AD810=0,0,AD921/(AD778+AD921-AD810))</f>
        <v/>
      </c>
      <c r="AE945" s="49">
        <f>VINTSHARE(AE921,AE778,AE810)</f>
        <v/>
      </c>
      <c r="AG945" s="11">
        <f>CodePrefix&amp;$A945&amp;IF($C945="","","."&amp;$C945&amp;"."&amp;$B945)&amp;INDEX(VarEnd,MATCH($A945,VarKey,0))&amp;AG$5</f>
        <v/>
      </c>
      <c r="AH945" s="15">
        <f>IF(AH778+AH921-AH810=0,0,AH921/(AH778+AH921-AH810))</f>
        <v/>
      </c>
      <c r="AI945" s="16">
        <f>IF(AI778+AI921-AI810=0,0,AI921/(AI778+AI921-AI810))</f>
        <v/>
      </c>
      <c r="AJ945" s="16">
        <f>IF(AJ778+AJ921-AJ810=0,0,AJ921/(AJ778+AJ921-AJ810))</f>
        <v/>
      </c>
      <c r="AK945" s="16">
        <f>IF(AK778+AK921-AK810=0,0,AK921/(AK778+AK921-AK810))</f>
        <v/>
      </c>
      <c r="AL945" s="16">
        <f>IF(AL778+AL921-AL810=0,0,AL921/(AL778+AL921-AL810))</f>
        <v/>
      </c>
      <c r="AM945" s="16">
        <f>IF(AM778+AM921-AM810=0,0,AM921/(AM778+AM921-AM810))</f>
        <v/>
      </c>
      <c r="AN945" s="16">
        <f>IF(AN778+AN921-AN810=0,0,AN921/(AN778+AN921-AN810))</f>
        <v/>
      </c>
      <c r="AO945" s="16">
        <f>IF(AO778+AO921-AO810=0,0,AO921/(AO778+AO921-AO810))</f>
        <v/>
      </c>
      <c r="AP945" s="16">
        <f>IF(AP778+AP921-AP810=0,0,AP921/(AP778+AP921-AP810))</f>
        <v/>
      </c>
      <c r="AQ945" s="16">
        <f>IF(AQ778+AQ921-AQ810=0,0,AQ921/(AQ778+AQ921-AQ810))</f>
        <v/>
      </c>
      <c r="AR945" s="16">
        <f>IF(AR778+AR921-AR810=0,0,AR921/(AR778+AR921-AR810))</f>
        <v/>
      </c>
      <c r="AS945" s="16">
        <f>IF(AS778+AS921-AS810=0,0,AS921/(AS778+AS921-AS810))</f>
        <v/>
      </c>
      <c r="AT945" s="16">
        <f>IF(AT778+AT921-AT810=0,0,AT921/(AT778+AT921-AT810))</f>
        <v/>
      </c>
      <c r="AU945" s="16">
        <f>IF(AU778+AU921-AU810=0,0,AU921/(AU778+AU921-AU810))</f>
        <v/>
      </c>
      <c r="AV945" s="16">
        <f>IF(AV778+AV921-AV810=0,0,AV921/(AV778+AV921-AV810))</f>
        <v/>
      </c>
      <c r="AW945" s="16">
        <f>IF(AW778+AW921-AW810=0,0,AW921/(AW778+AW921-AW810))</f>
        <v/>
      </c>
      <c r="AX945" s="16">
        <f>IF(AX778+AX921-AX810=0,0,AX921/(AX778+AX921-AX810))</f>
        <v/>
      </c>
      <c r="AY945" s="16">
        <f>IF(AY778+AY921-AY810=0,0,AY921/(AY778+AY921-AY810))</f>
        <v/>
      </c>
      <c r="AZ945" s="16">
        <f>IF(AZ778+AZ921-AZ810=0,0,AZ921/(AZ778+AZ921-AZ810))</f>
        <v/>
      </c>
      <c r="BA945" s="49">
        <f>VINTSHARE(BA921,BA778,BA810)</f>
        <v/>
      </c>
    </row>
    <row r="946" hidden="1" outlineLevel="1">
      <c r="A946" s="14" t="inlineStr">
        <is>
          <t>phi</t>
        </is>
      </c>
      <c r="B946" s="14" t="inlineStr">
        <is>
          <t>ore</t>
        </is>
      </c>
      <c r="C946" s="14" t="inlineStr">
        <is>
          <t>pow</t>
        </is>
      </c>
      <c r="D946" s="39" t="n"/>
      <c r="E946" s="39" t="n"/>
      <c r="F946" s="39" t="n"/>
      <c r="G946" s="39" t="n"/>
      <c r="H946" s="14">
        <f>INDEX(VarLab,MATCH($A946,VarKey,0))&amp;INDEX(MemLab,MATCH($C946&amp;"|"&amp;$B946,MemKey,0))</f>
        <v/>
      </c>
      <c r="I946" s="14">
        <f>INDEX(VarUnit,MATCH($A946,VarKey,0))</f>
        <v/>
      </c>
      <c r="J946" s="14">
        <f>INDEX(VarSrc,MATCH($A946,VarKey,0))</f>
        <v/>
      </c>
      <c r="K946" s="11">
        <f>CodePrefix&amp;$A946&amp;IF($C946="","","."&amp;$C946&amp;"."&amp;$B946)&amp;INDEX(VarEnd,MATCH($A946,VarKey,0))&amp;K$5</f>
        <v/>
      </c>
      <c r="L946" s="15">
        <f>IF(L779+L922-L811=0,0,L922/(L779+L922-L811))</f>
        <v/>
      </c>
      <c r="M946" s="16">
        <f>IF(M779+M922-M811=0,0,M922/(M779+M922-M811))</f>
        <v/>
      </c>
      <c r="N946" s="16">
        <f>IF(N779+N922-N811=0,0,N922/(N779+N922-N811))</f>
        <v/>
      </c>
      <c r="O946" s="16">
        <f>IF(O779+O922-O811=0,0,O922/(O779+O922-O811))</f>
        <v/>
      </c>
      <c r="P946" s="16">
        <f>IF(P779+P922-P811=0,0,P922/(P779+P922-P811))</f>
        <v/>
      </c>
      <c r="Q946" s="16">
        <f>IF(Q779+Q922-Q811=0,0,Q922/(Q779+Q922-Q811))</f>
        <v/>
      </c>
      <c r="R946" s="16">
        <f>IF(R779+R922-R811=0,0,R922/(R779+R922-R811))</f>
        <v/>
      </c>
      <c r="S946" s="16">
        <f>IF(S779+S922-S811=0,0,S922/(S779+S922-S811))</f>
        <v/>
      </c>
      <c r="T946" s="16">
        <f>IF(T779+T922-T811=0,0,T922/(T779+T922-T811))</f>
        <v/>
      </c>
      <c r="U946" s="16">
        <f>IF(U779+U922-U811=0,0,U922/(U779+U922-U811))</f>
        <v/>
      </c>
      <c r="V946" s="16">
        <f>IF(V779+V922-V811=0,0,V922/(V779+V922-V811))</f>
        <v/>
      </c>
      <c r="W946" s="16">
        <f>IF(W779+W922-W811=0,0,W922/(W779+W922-W811))</f>
        <v/>
      </c>
      <c r="X946" s="16">
        <f>IF(X779+X922-X811=0,0,X922/(X779+X922-X811))</f>
        <v/>
      </c>
      <c r="Y946" s="16">
        <f>IF(Y779+Y922-Y811=0,0,Y922/(Y779+Y922-Y811))</f>
        <v/>
      </c>
      <c r="Z946" s="16">
        <f>IF(Z779+Z922-Z811=0,0,Z922/(Z779+Z922-Z811))</f>
        <v/>
      </c>
      <c r="AA946" s="16">
        <f>IF(AA779+AA922-AA811=0,0,AA922/(AA779+AA922-AA811))</f>
        <v/>
      </c>
      <c r="AB946" s="16">
        <f>IF(AB779+AB922-AB811=0,0,AB922/(AB779+AB922-AB811))</f>
        <v/>
      </c>
      <c r="AC946" s="16">
        <f>IF(AC779+AC922-AC811=0,0,AC922/(AC779+AC922-AC811))</f>
        <v/>
      </c>
      <c r="AD946" s="16">
        <f>IF(AD779+AD922-AD811=0,0,AD922/(AD779+AD922-AD811))</f>
        <v/>
      </c>
      <c r="AE946" s="49">
        <f>VINTSHARE(AE922,AE779,AE811)</f>
        <v/>
      </c>
      <c r="AG946" s="11">
        <f>CodePrefix&amp;$A946&amp;IF($C946="","","."&amp;$C946&amp;"."&amp;$B946)&amp;INDEX(VarEnd,MATCH($A946,VarKey,0))&amp;AG$5</f>
        <v/>
      </c>
      <c r="AH946" s="15">
        <f>IF(AH779+AH922-AH811=0,0,AH922/(AH779+AH922-AH811))</f>
        <v/>
      </c>
      <c r="AI946" s="16">
        <f>IF(AI779+AI922-AI811=0,0,AI922/(AI779+AI922-AI811))</f>
        <v/>
      </c>
      <c r="AJ946" s="16">
        <f>IF(AJ779+AJ922-AJ811=0,0,AJ922/(AJ779+AJ922-AJ811))</f>
        <v/>
      </c>
      <c r="AK946" s="16">
        <f>IF(AK779+AK922-AK811=0,0,AK922/(AK779+AK922-AK811))</f>
        <v/>
      </c>
      <c r="AL946" s="16">
        <f>IF(AL779+AL922-AL811=0,0,AL922/(AL779+AL922-AL811))</f>
        <v/>
      </c>
      <c r="AM946" s="16">
        <f>IF(AM779+AM922-AM811=0,0,AM922/(AM779+AM922-AM811))</f>
        <v/>
      </c>
      <c r="AN946" s="16">
        <f>IF(AN779+AN922-AN811=0,0,AN922/(AN779+AN922-AN811))</f>
        <v/>
      </c>
      <c r="AO946" s="16">
        <f>IF(AO779+AO922-AO811=0,0,AO922/(AO779+AO922-AO811))</f>
        <v/>
      </c>
      <c r="AP946" s="16">
        <f>IF(AP779+AP922-AP811=0,0,AP922/(AP779+AP922-AP811))</f>
        <v/>
      </c>
      <c r="AQ946" s="16">
        <f>IF(AQ779+AQ922-AQ811=0,0,AQ922/(AQ779+AQ922-AQ811))</f>
        <v/>
      </c>
      <c r="AR946" s="16">
        <f>IF(AR779+AR922-AR811=0,0,AR922/(AR779+AR922-AR811))</f>
        <v/>
      </c>
      <c r="AS946" s="16">
        <f>IF(AS779+AS922-AS811=0,0,AS922/(AS779+AS922-AS811))</f>
        <v/>
      </c>
      <c r="AT946" s="16">
        <f>IF(AT779+AT922-AT811=0,0,AT922/(AT779+AT922-AT811))</f>
        <v/>
      </c>
      <c r="AU946" s="16">
        <f>IF(AU779+AU922-AU811=0,0,AU922/(AU779+AU922-AU811))</f>
        <v/>
      </c>
      <c r="AV946" s="16">
        <f>IF(AV779+AV922-AV811=0,0,AV922/(AV779+AV922-AV811))</f>
        <v/>
      </c>
      <c r="AW946" s="16">
        <f>IF(AW779+AW922-AW811=0,0,AW922/(AW779+AW922-AW811))</f>
        <v/>
      </c>
      <c r="AX946" s="16">
        <f>IF(AX779+AX922-AX811=0,0,AX922/(AX779+AX922-AX811))</f>
        <v/>
      </c>
      <c r="AY946" s="16">
        <f>IF(AY779+AY922-AY811=0,0,AY922/(AY779+AY922-AY811))</f>
        <v/>
      </c>
      <c r="AZ946" s="16">
        <f>IF(AZ779+AZ922-AZ811=0,0,AZ922/(AZ779+AZ922-AZ811))</f>
        <v/>
      </c>
      <c r="BA946" s="49">
        <f>VINTSHARE(BA922,BA779,BA811)</f>
        <v/>
      </c>
    </row>
    <row r="947" hidden="1" outlineLevel="1">
      <c r="A947" s="14" t="inlineStr">
        <is>
          <t>phi</t>
        </is>
      </c>
      <c r="B947" s="14" t="inlineStr">
        <is>
          <t>bio</t>
        </is>
      </c>
      <c r="C947" s="14" t="inlineStr">
        <is>
          <t>pow</t>
        </is>
      </c>
      <c r="D947" s="39" t="n"/>
      <c r="E947" s="39" t="n"/>
      <c r="F947" s="39" t="n"/>
      <c r="G947" s="39" t="n"/>
      <c r="H947" s="14">
        <f>INDEX(VarLab,MATCH($A947,VarKey,0))&amp;INDEX(MemLab,MATCH($C947&amp;"|"&amp;$B947,MemKey,0))</f>
        <v/>
      </c>
      <c r="I947" s="14">
        <f>INDEX(VarUnit,MATCH($A947,VarKey,0))</f>
        <v/>
      </c>
      <c r="J947" s="14">
        <f>INDEX(VarSrc,MATCH($A947,VarKey,0))</f>
        <v/>
      </c>
      <c r="K947" s="11">
        <f>CodePrefix&amp;$A947&amp;IF($C947="","","."&amp;$C947&amp;"."&amp;$B947)&amp;INDEX(VarEnd,MATCH($A947,VarKey,0))&amp;K$5</f>
        <v/>
      </c>
      <c r="L947" s="15">
        <f>IF(L780+L923-L812=0,0,L923/(L780+L923-L812))</f>
        <v/>
      </c>
      <c r="M947" s="16">
        <f>IF(M780+M923-M812=0,0,M923/(M780+M923-M812))</f>
        <v/>
      </c>
      <c r="N947" s="16">
        <f>IF(N780+N923-N812=0,0,N923/(N780+N923-N812))</f>
        <v/>
      </c>
      <c r="O947" s="16">
        <f>IF(O780+O923-O812=0,0,O923/(O780+O923-O812))</f>
        <v/>
      </c>
      <c r="P947" s="16">
        <f>IF(P780+P923-P812=0,0,P923/(P780+P923-P812))</f>
        <v/>
      </c>
      <c r="Q947" s="16">
        <f>IF(Q780+Q923-Q812=0,0,Q923/(Q780+Q923-Q812))</f>
        <v/>
      </c>
      <c r="R947" s="16">
        <f>IF(R780+R923-R812=0,0,R923/(R780+R923-R812))</f>
        <v/>
      </c>
      <c r="S947" s="16">
        <f>IF(S780+S923-S812=0,0,S923/(S780+S923-S812))</f>
        <v/>
      </c>
      <c r="T947" s="16">
        <f>IF(T780+T923-T812=0,0,T923/(T780+T923-T812))</f>
        <v/>
      </c>
      <c r="U947" s="16">
        <f>IF(U780+U923-U812=0,0,U923/(U780+U923-U812))</f>
        <v/>
      </c>
      <c r="V947" s="16">
        <f>IF(V780+V923-V812=0,0,V923/(V780+V923-V812))</f>
        <v/>
      </c>
      <c r="W947" s="16">
        <f>IF(W780+W923-W812=0,0,W923/(W780+W923-W812))</f>
        <v/>
      </c>
      <c r="X947" s="16">
        <f>IF(X780+X923-X812=0,0,X923/(X780+X923-X812))</f>
        <v/>
      </c>
      <c r="Y947" s="16">
        <f>IF(Y780+Y923-Y812=0,0,Y923/(Y780+Y923-Y812))</f>
        <v/>
      </c>
      <c r="Z947" s="16">
        <f>IF(Z780+Z923-Z812=0,0,Z923/(Z780+Z923-Z812))</f>
        <v/>
      </c>
      <c r="AA947" s="16">
        <f>IF(AA780+AA923-AA812=0,0,AA923/(AA780+AA923-AA812))</f>
        <v/>
      </c>
      <c r="AB947" s="16">
        <f>IF(AB780+AB923-AB812=0,0,AB923/(AB780+AB923-AB812))</f>
        <v/>
      </c>
      <c r="AC947" s="16">
        <f>IF(AC780+AC923-AC812=0,0,AC923/(AC780+AC923-AC812))</f>
        <v/>
      </c>
      <c r="AD947" s="16">
        <f>IF(AD780+AD923-AD812=0,0,AD923/(AD780+AD923-AD812))</f>
        <v/>
      </c>
      <c r="AE947" s="49">
        <f>VINTSHARE(AE923,AE780,AE812)</f>
        <v/>
      </c>
      <c r="AG947" s="11">
        <f>CodePrefix&amp;$A947&amp;IF($C947="","","."&amp;$C947&amp;"."&amp;$B947)&amp;INDEX(VarEnd,MATCH($A947,VarKey,0))&amp;AG$5</f>
        <v/>
      </c>
      <c r="AH947" s="15">
        <f>IF(AH780+AH923-AH812=0,0,AH923/(AH780+AH923-AH812))</f>
        <v/>
      </c>
      <c r="AI947" s="16">
        <f>IF(AI780+AI923-AI812=0,0,AI923/(AI780+AI923-AI812))</f>
        <v/>
      </c>
      <c r="AJ947" s="16">
        <f>IF(AJ780+AJ923-AJ812=0,0,AJ923/(AJ780+AJ923-AJ812))</f>
        <v/>
      </c>
      <c r="AK947" s="16">
        <f>IF(AK780+AK923-AK812=0,0,AK923/(AK780+AK923-AK812))</f>
        <v/>
      </c>
      <c r="AL947" s="16">
        <f>IF(AL780+AL923-AL812=0,0,AL923/(AL780+AL923-AL812))</f>
        <v/>
      </c>
      <c r="AM947" s="16">
        <f>IF(AM780+AM923-AM812=0,0,AM923/(AM780+AM923-AM812))</f>
        <v/>
      </c>
      <c r="AN947" s="16">
        <f>IF(AN780+AN923-AN812=0,0,AN923/(AN780+AN923-AN812))</f>
        <v/>
      </c>
      <c r="AO947" s="16">
        <f>IF(AO780+AO923-AO812=0,0,AO923/(AO780+AO923-AO812))</f>
        <v/>
      </c>
      <c r="AP947" s="16">
        <f>IF(AP780+AP923-AP812=0,0,AP923/(AP780+AP923-AP812))</f>
        <v/>
      </c>
      <c r="AQ947" s="16">
        <f>IF(AQ780+AQ923-AQ812=0,0,AQ923/(AQ780+AQ923-AQ812))</f>
        <v/>
      </c>
      <c r="AR947" s="16">
        <f>IF(AR780+AR923-AR812=0,0,AR923/(AR780+AR923-AR812))</f>
        <v/>
      </c>
      <c r="AS947" s="16">
        <f>IF(AS780+AS923-AS812=0,0,AS923/(AS780+AS923-AS812))</f>
        <v/>
      </c>
      <c r="AT947" s="16">
        <f>IF(AT780+AT923-AT812=0,0,AT923/(AT780+AT923-AT812))</f>
        <v/>
      </c>
      <c r="AU947" s="16">
        <f>IF(AU780+AU923-AU812=0,0,AU923/(AU780+AU923-AU812))</f>
        <v/>
      </c>
      <c r="AV947" s="16">
        <f>IF(AV780+AV923-AV812=0,0,AV923/(AV780+AV923-AV812))</f>
        <v/>
      </c>
      <c r="AW947" s="16">
        <f>IF(AW780+AW923-AW812=0,0,AW923/(AW780+AW923-AW812))</f>
        <v/>
      </c>
      <c r="AX947" s="16">
        <f>IF(AX780+AX923-AX812=0,0,AX923/(AX780+AX923-AX812))</f>
        <v/>
      </c>
      <c r="AY947" s="16">
        <f>IF(AY780+AY923-AY812=0,0,AY923/(AY780+AY923-AY812))</f>
        <v/>
      </c>
      <c r="AZ947" s="16">
        <f>IF(AZ780+AZ923-AZ812=0,0,AZ923/(AZ780+AZ923-AZ812))</f>
        <v/>
      </c>
      <c r="BA947" s="49">
        <f>VINTSHARE(BA923,BA780,BA812)</f>
        <v/>
      </c>
    </row>
    <row r="948" hidden="1" outlineLevel="1"/>
    <row r="949" hidden="1" outlineLevel="1">
      <c r="H949" s="21" t="inlineStr">
        <is>
          <t>M. Power-sector revenues (USD million, real; v1.09): existing taxes and subsidies on generation fuels, change in existing carbon pricing, new policies (ETS at the permit price), existing carbon pricing (memo); with electricity VAT and subsidy gap (G) they form the power rows of section 12</t>
        </is>
      </c>
    </row>
    <row r="950" hidden="1" outlineLevel="1">
      <c r="A950" s="14" t="inlineStr">
        <is>
          <t>prtx</t>
        </is>
      </c>
      <c r="B950" s="14" t="inlineStr">
        <is>
          <t>coa</t>
        </is>
      </c>
      <c r="C950" s="14" t="inlineStr">
        <is>
          <t>pow</t>
        </is>
      </c>
      <c r="D950" s="45">
        <f>INDEX(Inputs_power!$X$5:$X$13,MATCH($B950,Inputs_power!$A$5:$A$13,0))</f>
        <v/>
      </c>
      <c r="E950" s="45">
        <f>INDEX(Inputs_power!$AW$5:$AW$13,MATCH($B950,Inputs_power!$A$5:$A$13,0))</f>
        <v/>
      </c>
      <c r="F950" s="39" t="n"/>
      <c r="G950" s="39" t="n"/>
      <c r="H950" s="14">
        <f>INDEX(VarLab,MATCH($A950,VarKey,0))&amp;INDEX(MemLab,MATCH($C950&amp;"|"&amp;$B950,MemKey,0))</f>
        <v/>
      </c>
      <c r="I950" s="14">
        <f>INDEX(VarUnit,MATCH($A950,VarKey,0))</f>
        <v/>
      </c>
      <c r="J950" s="14">
        <f>INDEX(VarSrc,MATCH($A950,VarKey,0))</f>
        <v/>
      </c>
      <c r="K950" s="11">
        <f>CodePrefix&amp;$A950&amp;IF($C950="","","."&amp;$C950&amp;"."&amp;$B950)&amp;INDEX(VarEnd,MATCH($A950,VarKey,0))&amp;K$5</f>
        <v/>
      </c>
      <c r="L950" s="43">
        <f>$E950*L746*Settings!$C$13*(INDEX(L$407:L$418,$D950)+INDEX(L$394:L$405,$D950))</f>
        <v/>
      </c>
      <c r="M950" s="44">
        <f>$E950*M746*Settings!$C$13*(INDEX(M$407:M$418,$D950)+INDEX(M$394:M$405,$D950))</f>
        <v/>
      </c>
      <c r="N950" s="44">
        <f>$E950*N746*Settings!$C$13*(INDEX(N$407:N$418,$D950)+INDEX(N$394:N$405,$D950))</f>
        <v/>
      </c>
      <c r="O950" s="44">
        <f>$E950*O746*Settings!$C$13*(INDEX(O$407:O$418,$D950)+INDEX(O$394:O$405,$D950))</f>
        <v/>
      </c>
      <c r="P950" s="44">
        <f>$E950*P746*Settings!$C$13*(INDEX(P$407:P$418,$D950)+INDEX(P$394:P$405,$D950))</f>
        <v/>
      </c>
      <c r="Q950" s="44">
        <f>$E950*Q746*Settings!$C$13*(INDEX(Q$407:Q$418,$D950)+INDEX(Q$394:Q$405,$D950))</f>
        <v/>
      </c>
      <c r="R950" s="44">
        <f>$E950*R746*Settings!$C$13*(INDEX(R$407:R$418,$D950)+INDEX(R$394:R$405,$D950))</f>
        <v/>
      </c>
      <c r="S950" s="44">
        <f>$E950*S746*Settings!$C$13*(INDEX(S$407:S$418,$D950)+INDEX(S$394:S$405,$D950))</f>
        <v/>
      </c>
      <c r="T950" s="44">
        <f>$E950*T746*Settings!$C$13*(INDEX(T$407:T$418,$D950)+INDEX(T$394:T$405,$D950))</f>
        <v/>
      </c>
      <c r="U950" s="44">
        <f>$E950*U746*Settings!$C$13*(INDEX(U$407:U$418,$D950)+INDEX(U$394:U$405,$D950))</f>
        <v/>
      </c>
      <c r="V950" s="44">
        <f>$E950*V746*Settings!$C$13*(INDEX(V$407:V$418,$D950)+INDEX(V$394:V$405,$D950))</f>
        <v/>
      </c>
      <c r="W950" s="44">
        <f>$E950*W746*Settings!$C$13*(INDEX(W$407:W$418,$D950)+INDEX(W$394:W$405,$D950))</f>
        <v/>
      </c>
      <c r="X950" s="44">
        <f>$E950*X746*Settings!$C$13*(INDEX(X$407:X$418,$D950)+INDEX(X$394:X$405,$D950))</f>
        <v/>
      </c>
      <c r="Y950" s="44">
        <f>$E950*Y746*Settings!$C$13*(INDEX(Y$407:Y$418,$D950)+INDEX(Y$394:Y$405,$D950))</f>
        <v/>
      </c>
      <c r="Z950" s="44">
        <f>$E950*Z746*Settings!$C$13*(INDEX(Z$407:Z$418,$D950)+INDEX(Z$394:Z$405,$D950))</f>
        <v/>
      </c>
      <c r="AA950" s="44">
        <f>$E950*AA746*Settings!$C$13*(INDEX(AA$407:AA$418,$D950)+INDEX(AA$394:AA$405,$D950))</f>
        <v/>
      </c>
      <c r="AB950" s="44">
        <f>$E950*AB746*Settings!$C$13*(INDEX(AB$407:AB$418,$D950)+INDEX(AB$394:AB$405,$D950))</f>
        <v/>
      </c>
      <c r="AC950" s="44">
        <f>$E950*AC746*Settings!$C$13*(INDEX(AC$407:AC$418,$D950)+INDEX(AC$394:AC$405,$D950))</f>
        <v/>
      </c>
      <c r="AD950" s="44">
        <f>$E950*AD746*Settings!$C$13*(INDEX(AD$407:AD$418,$D950)+INDEX(AD$394:AD$405,$D950))</f>
        <v/>
      </c>
      <c r="AE950" s="57">
        <f>REVENUE($E950*AE746,Settings!$C$13,INDEX(AE$407:AE$418,$D950)+INDEX(AE$394:AE$405,$D950))</f>
        <v/>
      </c>
      <c r="AG950" s="11">
        <f>CodePrefix&amp;$A950&amp;IF($C950="","","."&amp;$C950&amp;"."&amp;$B950)&amp;INDEX(VarEnd,MATCH($A950,VarKey,0))&amp;AG$5</f>
        <v/>
      </c>
      <c r="AH950" s="43">
        <f>$E950*AH746*Settings!$C$13*(INDEX(AH$407:AH$418,$D950)+INDEX(AH$394:AH$405,$D950))</f>
        <v/>
      </c>
      <c r="AI950" s="44">
        <f>$E950*AI746*Settings!$C$13*(INDEX(AI$407:AI$418,$D950)+INDEX(AI$394:AI$405,$D950))</f>
        <v/>
      </c>
      <c r="AJ950" s="44">
        <f>$E950*AJ746*Settings!$C$13*(INDEX(AJ$407:AJ$418,$D950)+INDEX(AJ$394:AJ$405,$D950))</f>
        <v/>
      </c>
      <c r="AK950" s="44">
        <f>$E950*AK746*Settings!$C$13*(INDEX(AK$407:AK$418,$D950)+INDEX(AK$394:AK$405,$D950))</f>
        <v/>
      </c>
      <c r="AL950" s="44">
        <f>$E950*AL746*Settings!$C$13*(INDEX(AL$407:AL$418,$D950)+INDEX(AL$394:AL$405,$D950))</f>
        <v/>
      </c>
      <c r="AM950" s="44">
        <f>$E950*AM746*Settings!$C$13*(INDEX(AM$407:AM$418,$D950)+INDEX(AM$394:AM$405,$D950))</f>
        <v/>
      </c>
      <c r="AN950" s="44">
        <f>$E950*AN746*Settings!$C$13*(INDEX(AN$407:AN$418,$D950)+INDEX(AN$394:AN$405,$D950))</f>
        <v/>
      </c>
      <c r="AO950" s="44">
        <f>$E950*AO746*Settings!$C$13*(INDEX(AO$407:AO$418,$D950)+INDEX(AO$394:AO$405,$D950))</f>
        <v/>
      </c>
      <c r="AP950" s="44">
        <f>$E950*AP746*Settings!$C$13*(INDEX(AP$407:AP$418,$D950)+INDEX(AP$394:AP$405,$D950))</f>
        <v/>
      </c>
      <c r="AQ950" s="44">
        <f>$E950*AQ746*Settings!$C$13*(INDEX(AQ$407:AQ$418,$D950)+INDEX(AQ$394:AQ$405,$D950))</f>
        <v/>
      </c>
      <c r="AR950" s="44">
        <f>$E950*AR746*Settings!$C$13*(INDEX(AR$407:AR$418,$D950)+INDEX(AR$394:AR$405,$D950))</f>
        <v/>
      </c>
      <c r="AS950" s="44">
        <f>$E950*AS746*Settings!$C$13*(INDEX(AS$407:AS$418,$D950)+INDEX(AS$394:AS$405,$D950))</f>
        <v/>
      </c>
      <c r="AT950" s="44">
        <f>$E950*AT746*Settings!$C$13*(INDEX(AT$407:AT$418,$D950)+INDEX(AT$394:AT$405,$D950))</f>
        <v/>
      </c>
      <c r="AU950" s="44">
        <f>$E950*AU746*Settings!$C$13*(INDEX(AU$407:AU$418,$D950)+INDEX(AU$394:AU$405,$D950))</f>
        <v/>
      </c>
      <c r="AV950" s="44">
        <f>$E950*AV746*Settings!$C$13*(INDEX(AV$407:AV$418,$D950)+INDEX(AV$394:AV$405,$D950))</f>
        <v/>
      </c>
      <c r="AW950" s="44">
        <f>$E950*AW746*Settings!$C$13*(INDEX(AW$407:AW$418,$D950)+INDEX(AW$394:AW$405,$D950))</f>
        <v/>
      </c>
      <c r="AX950" s="44">
        <f>$E950*AX746*Settings!$C$13*(INDEX(AX$407:AX$418,$D950)+INDEX(AX$394:AX$405,$D950))</f>
        <v/>
      </c>
      <c r="AY950" s="44">
        <f>$E950*AY746*Settings!$C$13*(INDEX(AY$407:AY$418,$D950)+INDEX(AY$394:AY$405,$D950))</f>
        <v/>
      </c>
      <c r="AZ950" s="44">
        <f>$E950*AZ746*Settings!$C$13*(INDEX(AZ$407:AZ$418,$D950)+INDEX(AZ$394:AZ$405,$D950))</f>
        <v/>
      </c>
      <c r="BA950" s="57">
        <f>REVENUE($E950*BA746,Settings!$C$13,INDEX(BA$407:BA$418,$D950)+INDEX(BA$394:BA$405,$D950))</f>
        <v/>
      </c>
    </row>
    <row r="951" hidden="1" outlineLevel="1">
      <c r="A951" s="14" t="inlineStr">
        <is>
          <t>prtx</t>
        </is>
      </c>
      <c r="B951" s="14" t="inlineStr">
        <is>
          <t>nga</t>
        </is>
      </c>
      <c r="C951" s="14" t="inlineStr">
        <is>
          <t>pow</t>
        </is>
      </c>
      <c r="D951" s="45">
        <f>INDEX(Inputs_power!$X$5:$X$13,MATCH($B951,Inputs_power!$A$5:$A$13,0))</f>
        <v/>
      </c>
      <c r="E951" s="45">
        <f>INDEX(Inputs_power!$AW$5:$AW$13,MATCH($B951,Inputs_power!$A$5:$A$13,0))</f>
        <v/>
      </c>
      <c r="F951" s="39" t="n"/>
      <c r="G951" s="39" t="n"/>
      <c r="H951" s="14">
        <f>INDEX(VarLab,MATCH($A951,VarKey,0))&amp;INDEX(MemLab,MATCH($C951&amp;"|"&amp;$B951,MemKey,0))</f>
        <v/>
      </c>
      <c r="I951" s="14">
        <f>INDEX(VarUnit,MATCH($A951,VarKey,0))</f>
        <v/>
      </c>
      <c r="J951" s="14">
        <f>INDEX(VarSrc,MATCH($A951,VarKey,0))</f>
        <v/>
      </c>
      <c r="K951" s="11">
        <f>CodePrefix&amp;$A951&amp;IF($C951="","","."&amp;$C951&amp;"."&amp;$B951)&amp;INDEX(VarEnd,MATCH($A951,VarKey,0))&amp;K$5</f>
        <v/>
      </c>
      <c r="L951" s="43">
        <f>$E951*L747*Settings!$C$13*(INDEX(L$407:L$418,$D951)+INDEX(L$394:L$405,$D951))</f>
        <v/>
      </c>
      <c r="M951" s="44">
        <f>$E951*M747*Settings!$C$13*(INDEX(M$407:M$418,$D951)+INDEX(M$394:M$405,$D951))</f>
        <v/>
      </c>
      <c r="N951" s="44">
        <f>$E951*N747*Settings!$C$13*(INDEX(N$407:N$418,$D951)+INDEX(N$394:N$405,$D951))</f>
        <v/>
      </c>
      <c r="O951" s="44">
        <f>$E951*O747*Settings!$C$13*(INDEX(O$407:O$418,$D951)+INDEX(O$394:O$405,$D951))</f>
        <v/>
      </c>
      <c r="P951" s="44">
        <f>$E951*P747*Settings!$C$13*(INDEX(P$407:P$418,$D951)+INDEX(P$394:P$405,$D951))</f>
        <v/>
      </c>
      <c r="Q951" s="44">
        <f>$E951*Q747*Settings!$C$13*(INDEX(Q$407:Q$418,$D951)+INDEX(Q$394:Q$405,$D951))</f>
        <v/>
      </c>
      <c r="R951" s="44">
        <f>$E951*R747*Settings!$C$13*(INDEX(R$407:R$418,$D951)+INDEX(R$394:R$405,$D951))</f>
        <v/>
      </c>
      <c r="S951" s="44">
        <f>$E951*S747*Settings!$C$13*(INDEX(S$407:S$418,$D951)+INDEX(S$394:S$405,$D951))</f>
        <v/>
      </c>
      <c r="T951" s="44">
        <f>$E951*T747*Settings!$C$13*(INDEX(T$407:T$418,$D951)+INDEX(T$394:T$405,$D951))</f>
        <v/>
      </c>
      <c r="U951" s="44">
        <f>$E951*U747*Settings!$C$13*(INDEX(U$407:U$418,$D951)+INDEX(U$394:U$405,$D951))</f>
        <v/>
      </c>
      <c r="V951" s="44">
        <f>$E951*V747*Settings!$C$13*(INDEX(V$407:V$418,$D951)+INDEX(V$394:V$405,$D951))</f>
        <v/>
      </c>
      <c r="W951" s="44">
        <f>$E951*W747*Settings!$C$13*(INDEX(W$407:W$418,$D951)+INDEX(W$394:W$405,$D951))</f>
        <v/>
      </c>
      <c r="X951" s="44">
        <f>$E951*X747*Settings!$C$13*(INDEX(X$407:X$418,$D951)+INDEX(X$394:X$405,$D951))</f>
        <v/>
      </c>
      <c r="Y951" s="44">
        <f>$E951*Y747*Settings!$C$13*(INDEX(Y$407:Y$418,$D951)+INDEX(Y$394:Y$405,$D951))</f>
        <v/>
      </c>
      <c r="Z951" s="44">
        <f>$E951*Z747*Settings!$C$13*(INDEX(Z$407:Z$418,$D951)+INDEX(Z$394:Z$405,$D951))</f>
        <v/>
      </c>
      <c r="AA951" s="44">
        <f>$E951*AA747*Settings!$C$13*(INDEX(AA$407:AA$418,$D951)+INDEX(AA$394:AA$405,$D951))</f>
        <v/>
      </c>
      <c r="AB951" s="44">
        <f>$E951*AB747*Settings!$C$13*(INDEX(AB$407:AB$418,$D951)+INDEX(AB$394:AB$405,$D951))</f>
        <v/>
      </c>
      <c r="AC951" s="44">
        <f>$E951*AC747*Settings!$C$13*(INDEX(AC$407:AC$418,$D951)+INDEX(AC$394:AC$405,$D951))</f>
        <v/>
      </c>
      <c r="AD951" s="44">
        <f>$E951*AD747*Settings!$C$13*(INDEX(AD$407:AD$418,$D951)+INDEX(AD$394:AD$405,$D951))</f>
        <v/>
      </c>
      <c r="AE951" s="57">
        <f>REVENUE($E951*AE747,Settings!$C$13,INDEX(AE$407:AE$418,$D951)+INDEX(AE$394:AE$405,$D951))</f>
        <v/>
      </c>
      <c r="AG951" s="11">
        <f>CodePrefix&amp;$A951&amp;IF($C951="","","."&amp;$C951&amp;"."&amp;$B951)&amp;INDEX(VarEnd,MATCH($A951,VarKey,0))&amp;AG$5</f>
        <v/>
      </c>
      <c r="AH951" s="43">
        <f>$E951*AH747*Settings!$C$13*(INDEX(AH$407:AH$418,$D951)+INDEX(AH$394:AH$405,$D951))</f>
        <v/>
      </c>
      <c r="AI951" s="44">
        <f>$E951*AI747*Settings!$C$13*(INDEX(AI$407:AI$418,$D951)+INDEX(AI$394:AI$405,$D951))</f>
        <v/>
      </c>
      <c r="AJ951" s="44">
        <f>$E951*AJ747*Settings!$C$13*(INDEX(AJ$407:AJ$418,$D951)+INDEX(AJ$394:AJ$405,$D951))</f>
        <v/>
      </c>
      <c r="AK951" s="44">
        <f>$E951*AK747*Settings!$C$13*(INDEX(AK$407:AK$418,$D951)+INDEX(AK$394:AK$405,$D951))</f>
        <v/>
      </c>
      <c r="AL951" s="44">
        <f>$E951*AL747*Settings!$C$13*(INDEX(AL$407:AL$418,$D951)+INDEX(AL$394:AL$405,$D951))</f>
        <v/>
      </c>
      <c r="AM951" s="44">
        <f>$E951*AM747*Settings!$C$13*(INDEX(AM$407:AM$418,$D951)+INDEX(AM$394:AM$405,$D951))</f>
        <v/>
      </c>
      <c r="AN951" s="44">
        <f>$E951*AN747*Settings!$C$13*(INDEX(AN$407:AN$418,$D951)+INDEX(AN$394:AN$405,$D951))</f>
        <v/>
      </c>
      <c r="AO951" s="44">
        <f>$E951*AO747*Settings!$C$13*(INDEX(AO$407:AO$418,$D951)+INDEX(AO$394:AO$405,$D951))</f>
        <v/>
      </c>
      <c r="AP951" s="44">
        <f>$E951*AP747*Settings!$C$13*(INDEX(AP$407:AP$418,$D951)+INDEX(AP$394:AP$405,$D951))</f>
        <v/>
      </c>
      <c r="AQ951" s="44">
        <f>$E951*AQ747*Settings!$C$13*(INDEX(AQ$407:AQ$418,$D951)+INDEX(AQ$394:AQ$405,$D951))</f>
        <v/>
      </c>
      <c r="AR951" s="44">
        <f>$E951*AR747*Settings!$C$13*(INDEX(AR$407:AR$418,$D951)+INDEX(AR$394:AR$405,$D951))</f>
        <v/>
      </c>
      <c r="AS951" s="44">
        <f>$E951*AS747*Settings!$C$13*(INDEX(AS$407:AS$418,$D951)+INDEX(AS$394:AS$405,$D951))</f>
        <v/>
      </c>
      <c r="AT951" s="44">
        <f>$E951*AT747*Settings!$C$13*(INDEX(AT$407:AT$418,$D951)+INDEX(AT$394:AT$405,$D951))</f>
        <v/>
      </c>
      <c r="AU951" s="44">
        <f>$E951*AU747*Settings!$C$13*(INDEX(AU$407:AU$418,$D951)+INDEX(AU$394:AU$405,$D951))</f>
        <v/>
      </c>
      <c r="AV951" s="44">
        <f>$E951*AV747*Settings!$C$13*(INDEX(AV$407:AV$418,$D951)+INDEX(AV$394:AV$405,$D951))</f>
        <v/>
      </c>
      <c r="AW951" s="44">
        <f>$E951*AW747*Settings!$C$13*(INDEX(AW$407:AW$418,$D951)+INDEX(AW$394:AW$405,$D951))</f>
        <v/>
      </c>
      <c r="AX951" s="44">
        <f>$E951*AX747*Settings!$C$13*(INDEX(AX$407:AX$418,$D951)+INDEX(AX$394:AX$405,$D951))</f>
        <v/>
      </c>
      <c r="AY951" s="44">
        <f>$E951*AY747*Settings!$C$13*(INDEX(AY$407:AY$418,$D951)+INDEX(AY$394:AY$405,$D951))</f>
        <v/>
      </c>
      <c r="AZ951" s="44">
        <f>$E951*AZ747*Settings!$C$13*(INDEX(AZ$407:AZ$418,$D951)+INDEX(AZ$394:AZ$405,$D951))</f>
        <v/>
      </c>
      <c r="BA951" s="57">
        <f>REVENUE($E951*BA747,Settings!$C$13,INDEX(BA$407:BA$418,$D951)+INDEX(BA$394:BA$405,$D951))</f>
        <v/>
      </c>
    </row>
    <row r="952" hidden="1" outlineLevel="1">
      <c r="A952" s="14" t="inlineStr">
        <is>
          <t>prtx</t>
        </is>
      </c>
      <c r="B952" s="14" t="inlineStr">
        <is>
          <t>oop</t>
        </is>
      </c>
      <c r="C952" s="14" t="inlineStr">
        <is>
          <t>pow</t>
        </is>
      </c>
      <c r="D952" s="45">
        <f>INDEX(Inputs_power!$X$5:$X$13,MATCH($B952,Inputs_power!$A$5:$A$13,0))</f>
        <v/>
      </c>
      <c r="E952" s="45">
        <f>INDEX(Inputs_power!$AW$5:$AW$13,MATCH($B952,Inputs_power!$A$5:$A$13,0))</f>
        <v/>
      </c>
      <c r="F952" s="39" t="n"/>
      <c r="G952" s="39" t="n"/>
      <c r="H952" s="14">
        <f>INDEX(VarLab,MATCH($A952,VarKey,0))&amp;INDEX(MemLab,MATCH($C952&amp;"|"&amp;$B952,MemKey,0))</f>
        <v/>
      </c>
      <c r="I952" s="14">
        <f>INDEX(VarUnit,MATCH($A952,VarKey,0))</f>
        <v/>
      </c>
      <c r="J952" s="14">
        <f>INDEX(VarSrc,MATCH($A952,VarKey,0))</f>
        <v/>
      </c>
      <c r="K952" s="11">
        <f>CodePrefix&amp;$A952&amp;IF($C952="","","."&amp;$C952&amp;"."&amp;$B952)&amp;INDEX(VarEnd,MATCH($A952,VarKey,0))&amp;K$5</f>
        <v/>
      </c>
      <c r="L952" s="43">
        <f>$E952*L748*Settings!$C$13*(INDEX(L$407:L$418,$D952)+INDEX(L$394:L$405,$D952))</f>
        <v/>
      </c>
      <c r="M952" s="44">
        <f>$E952*M748*Settings!$C$13*(INDEX(M$407:M$418,$D952)+INDEX(M$394:M$405,$D952))</f>
        <v/>
      </c>
      <c r="N952" s="44">
        <f>$E952*N748*Settings!$C$13*(INDEX(N$407:N$418,$D952)+INDEX(N$394:N$405,$D952))</f>
        <v/>
      </c>
      <c r="O952" s="44">
        <f>$E952*O748*Settings!$C$13*(INDEX(O$407:O$418,$D952)+INDEX(O$394:O$405,$D952))</f>
        <v/>
      </c>
      <c r="P952" s="44">
        <f>$E952*P748*Settings!$C$13*(INDEX(P$407:P$418,$D952)+INDEX(P$394:P$405,$D952))</f>
        <v/>
      </c>
      <c r="Q952" s="44">
        <f>$E952*Q748*Settings!$C$13*(INDEX(Q$407:Q$418,$D952)+INDEX(Q$394:Q$405,$D952))</f>
        <v/>
      </c>
      <c r="R952" s="44">
        <f>$E952*R748*Settings!$C$13*(INDEX(R$407:R$418,$D952)+INDEX(R$394:R$405,$D952))</f>
        <v/>
      </c>
      <c r="S952" s="44">
        <f>$E952*S748*Settings!$C$13*(INDEX(S$407:S$418,$D952)+INDEX(S$394:S$405,$D952))</f>
        <v/>
      </c>
      <c r="T952" s="44">
        <f>$E952*T748*Settings!$C$13*(INDEX(T$407:T$418,$D952)+INDEX(T$394:T$405,$D952))</f>
        <v/>
      </c>
      <c r="U952" s="44">
        <f>$E952*U748*Settings!$C$13*(INDEX(U$407:U$418,$D952)+INDEX(U$394:U$405,$D952))</f>
        <v/>
      </c>
      <c r="V952" s="44">
        <f>$E952*V748*Settings!$C$13*(INDEX(V$407:V$418,$D952)+INDEX(V$394:V$405,$D952))</f>
        <v/>
      </c>
      <c r="W952" s="44">
        <f>$E952*W748*Settings!$C$13*(INDEX(W$407:W$418,$D952)+INDEX(W$394:W$405,$D952))</f>
        <v/>
      </c>
      <c r="X952" s="44">
        <f>$E952*X748*Settings!$C$13*(INDEX(X$407:X$418,$D952)+INDEX(X$394:X$405,$D952))</f>
        <v/>
      </c>
      <c r="Y952" s="44">
        <f>$E952*Y748*Settings!$C$13*(INDEX(Y$407:Y$418,$D952)+INDEX(Y$394:Y$405,$D952))</f>
        <v/>
      </c>
      <c r="Z952" s="44">
        <f>$E952*Z748*Settings!$C$13*(INDEX(Z$407:Z$418,$D952)+INDEX(Z$394:Z$405,$D952))</f>
        <v/>
      </c>
      <c r="AA952" s="44">
        <f>$E952*AA748*Settings!$C$13*(INDEX(AA$407:AA$418,$D952)+INDEX(AA$394:AA$405,$D952))</f>
        <v/>
      </c>
      <c r="AB952" s="44">
        <f>$E952*AB748*Settings!$C$13*(INDEX(AB$407:AB$418,$D952)+INDEX(AB$394:AB$405,$D952))</f>
        <v/>
      </c>
      <c r="AC952" s="44">
        <f>$E952*AC748*Settings!$C$13*(INDEX(AC$407:AC$418,$D952)+INDEX(AC$394:AC$405,$D952))</f>
        <v/>
      </c>
      <c r="AD952" s="44">
        <f>$E952*AD748*Settings!$C$13*(INDEX(AD$407:AD$418,$D952)+INDEX(AD$394:AD$405,$D952))</f>
        <v/>
      </c>
      <c r="AE952" s="57">
        <f>REVENUE($E952*AE748,Settings!$C$13,INDEX(AE$407:AE$418,$D952)+INDEX(AE$394:AE$405,$D952))</f>
        <v/>
      </c>
      <c r="AG952" s="11">
        <f>CodePrefix&amp;$A952&amp;IF($C952="","","."&amp;$C952&amp;"."&amp;$B952)&amp;INDEX(VarEnd,MATCH($A952,VarKey,0))&amp;AG$5</f>
        <v/>
      </c>
      <c r="AH952" s="43">
        <f>$E952*AH748*Settings!$C$13*(INDEX(AH$407:AH$418,$D952)+INDEX(AH$394:AH$405,$D952))</f>
        <v/>
      </c>
      <c r="AI952" s="44">
        <f>$E952*AI748*Settings!$C$13*(INDEX(AI$407:AI$418,$D952)+INDEX(AI$394:AI$405,$D952))</f>
        <v/>
      </c>
      <c r="AJ952" s="44">
        <f>$E952*AJ748*Settings!$C$13*(INDEX(AJ$407:AJ$418,$D952)+INDEX(AJ$394:AJ$405,$D952))</f>
        <v/>
      </c>
      <c r="AK952" s="44">
        <f>$E952*AK748*Settings!$C$13*(INDEX(AK$407:AK$418,$D952)+INDEX(AK$394:AK$405,$D952))</f>
        <v/>
      </c>
      <c r="AL952" s="44">
        <f>$E952*AL748*Settings!$C$13*(INDEX(AL$407:AL$418,$D952)+INDEX(AL$394:AL$405,$D952))</f>
        <v/>
      </c>
      <c r="AM952" s="44">
        <f>$E952*AM748*Settings!$C$13*(INDEX(AM$407:AM$418,$D952)+INDEX(AM$394:AM$405,$D952))</f>
        <v/>
      </c>
      <c r="AN952" s="44">
        <f>$E952*AN748*Settings!$C$13*(INDEX(AN$407:AN$418,$D952)+INDEX(AN$394:AN$405,$D952))</f>
        <v/>
      </c>
      <c r="AO952" s="44">
        <f>$E952*AO748*Settings!$C$13*(INDEX(AO$407:AO$418,$D952)+INDEX(AO$394:AO$405,$D952))</f>
        <v/>
      </c>
      <c r="AP952" s="44">
        <f>$E952*AP748*Settings!$C$13*(INDEX(AP$407:AP$418,$D952)+INDEX(AP$394:AP$405,$D952))</f>
        <v/>
      </c>
      <c r="AQ952" s="44">
        <f>$E952*AQ748*Settings!$C$13*(INDEX(AQ$407:AQ$418,$D952)+INDEX(AQ$394:AQ$405,$D952))</f>
        <v/>
      </c>
      <c r="AR952" s="44">
        <f>$E952*AR748*Settings!$C$13*(INDEX(AR$407:AR$418,$D952)+INDEX(AR$394:AR$405,$D952))</f>
        <v/>
      </c>
      <c r="AS952" s="44">
        <f>$E952*AS748*Settings!$C$13*(INDEX(AS$407:AS$418,$D952)+INDEX(AS$394:AS$405,$D952))</f>
        <v/>
      </c>
      <c r="AT952" s="44">
        <f>$E952*AT748*Settings!$C$13*(INDEX(AT$407:AT$418,$D952)+INDEX(AT$394:AT$405,$D952))</f>
        <v/>
      </c>
      <c r="AU952" s="44">
        <f>$E952*AU748*Settings!$C$13*(INDEX(AU$407:AU$418,$D952)+INDEX(AU$394:AU$405,$D952))</f>
        <v/>
      </c>
      <c r="AV952" s="44">
        <f>$E952*AV748*Settings!$C$13*(INDEX(AV$407:AV$418,$D952)+INDEX(AV$394:AV$405,$D952))</f>
        <v/>
      </c>
      <c r="AW952" s="44">
        <f>$E952*AW748*Settings!$C$13*(INDEX(AW$407:AW$418,$D952)+INDEX(AW$394:AW$405,$D952))</f>
        <v/>
      </c>
      <c r="AX952" s="44">
        <f>$E952*AX748*Settings!$C$13*(INDEX(AX$407:AX$418,$D952)+INDEX(AX$394:AX$405,$D952))</f>
        <v/>
      </c>
      <c r="AY952" s="44">
        <f>$E952*AY748*Settings!$C$13*(INDEX(AY$407:AY$418,$D952)+INDEX(AY$394:AY$405,$D952))</f>
        <v/>
      </c>
      <c r="AZ952" s="44">
        <f>$E952*AZ748*Settings!$C$13*(INDEX(AZ$407:AZ$418,$D952)+INDEX(AZ$394:AZ$405,$D952))</f>
        <v/>
      </c>
      <c r="BA952" s="57">
        <f>REVENUE($E952*BA748,Settings!$C$13,INDEX(BA$407:BA$418,$D952)+INDEX(BA$394:BA$405,$D952))</f>
        <v/>
      </c>
    </row>
    <row r="953" hidden="1" outlineLevel="1">
      <c r="A953" s="14" t="inlineStr">
        <is>
          <t>prtx</t>
        </is>
      </c>
      <c r="B953" s="14" t="inlineStr">
        <is>
          <t>nuc</t>
        </is>
      </c>
      <c r="C953" s="14" t="inlineStr">
        <is>
          <t>pow</t>
        </is>
      </c>
      <c r="D953" s="45">
        <f>INDEX(Inputs_power!$X$5:$X$13,MATCH($B953,Inputs_power!$A$5:$A$13,0))</f>
        <v/>
      </c>
      <c r="E953" s="45">
        <f>INDEX(Inputs_power!$AW$5:$AW$13,MATCH($B953,Inputs_power!$A$5:$A$13,0))</f>
        <v/>
      </c>
      <c r="F953" s="39" t="n"/>
      <c r="G953" s="39" t="n"/>
      <c r="H953" s="14">
        <f>INDEX(VarLab,MATCH($A953,VarKey,0))&amp;INDEX(MemLab,MATCH($C953&amp;"|"&amp;$B953,MemKey,0))</f>
        <v/>
      </c>
      <c r="I953" s="14">
        <f>INDEX(VarUnit,MATCH($A953,VarKey,0))</f>
        <v/>
      </c>
      <c r="J953" s="14">
        <f>INDEX(VarSrc,MATCH($A953,VarKey,0))</f>
        <v/>
      </c>
      <c r="K953" s="11">
        <f>CodePrefix&amp;$A953&amp;IF($C953="","","."&amp;$C953&amp;"."&amp;$B953)&amp;INDEX(VarEnd,MATCH($A953,VarKey,0))&amp;K$5</f>
        <v/>
      </c>
      <c r="L953" s="43">
        <f>$E953*L749*Settings!$C$13*(INDEX(L$407:L$418,$D953)+INDEX(L$394:L$405,$D953))</f>
        <v/>
      </c>
      <c r="M953" s="44">
        <f>$E953*M749*Settings!$C$13*(INDEX(M$407:M$418,$D953)+INDEX(M$394:M$405,$D953))</f>
        <v/>
      </c>
      <c r="N953" s="44">
        <f>$E953*N749*Settings!$C$13*(INDEX(N$407:N$418,$D953)+INDEX(N$394:N$405,$D953))</f>
        <v/>
      </c>
      <c r="O953" s="44">
        <f>$E953*O749*Settings!$C$13*(INDEX(O$407:O$418,$D953)+INDEX(O$394:O$405,$D953))</f>
        <v/>
      </c>
      <c r="P953" s="44">
        <f>$E953*P749*Settings!$C$13*(INDEX(P$407:P$418,$D953)+INDEX(P$394:P$405,$D953))</f>
        <v/>
      </c>
      <c r="Q953" s="44">
        <f>$E953*Q749*Settings!$C$13*(INDEX(Q$407:Q$418,$D953)+INDEX(Q$394:Q$405,$D953))</f>
        <v/>
      </c>
      <c r="R953" s="44">
        <f>$E953*R749*Settings!$C$13*(INDEX(R$407:R$418,$D953)+INDEX(R$394:R$405,$D953))</f>
        <v/>
      </c>
      <c r="S953" s="44">
        <f>$E953*S749*Settings!$C$13*(INDEX(S$407:S$418,$D953)+INDEX(S$394:S$405,$D953))</f>
        <v/>
      </c>
      <c r="T953" s="44">
        <f>$E953*T749*Settings!$C$13*(INDEX(T$407:T$418,$D953)+INDEX(T$394:T$405,$D953))</f>
        <v/>
      </c>
      <c r="U953" s="44">
        <f>$E953*U749*Settings!$C$13*(INDEX(U$407:U$418,$D953)+INDEX(U$394:U$405,$D953))</f>
        <v/>
      </c>
      <c r="V953" s="44">
        <f>$E953*V749*Settings!$C$13*(INDEX(V$407:V$418,$D953)+INDEX(V$394:V$405,$D953))</f>
        <v/>
      </c>
      <c r="W953" s="44">
        <f>$E953*W749*Settings!$C$13*(INDEX(W$407:W$418,$D953)+INDEX(W$394:W$405,$D953))</f>
        <v/>
      </c>
      <c r="X953" s="44">
        <f>$E953*X749*Settings!$C$13*(INDEX(X$407:X$418,$D953)+INDEX(X$394:X$405,$D953))</f>
        <v/>
      </c>
      <c r="Y953" s="44">
        <f>$E953*Y749*Settings!$C$13*(INDEX(Y$407:Y$418,$D953)+INDEX(Y$394:Y$405,$D953))</f>
        <v/>
      </c>
      <c r="Z953" s="44">
        <f>$E953*Z749*Settings!$C$13*(INDEX(Z$407:Z$418,$D953)+INDEX(Z$394:Z$405,$D953))</f>
        <v/>
      </c>
      <c r="AA953" s="44">
        <f>$E953*AA749*Settings!$C$13*(INDEX(AA$407:AA$418,$D953)+INDEX(AA$394:AA$405,$D953))</f>
        <v/>
      </c>
      <c r="AB953" s="44">
        <f>$E953*AB749*Settings!$C$13*(INDEX(AB$407:AB$418,$D953)+INDEX(AB$394:AB$405,$D953))</f>
        <v/>
      </c>
      <c r="AC953" s="44">
        <f>$E953*AC749*Settings!$C$13*(INDEX(AC$407:AC$418,$D953)+INDEX(AC$394:AC$405,$D953))</f>
        <v/>
      </c>
      <c r="AD953" s="44">
        <f>$E953*AD749*Settings!$C$13*(INDEX(AD$407:AD$418,$D953)+INDEX(AD$394:AD$405,$D953))</f>
        <v/>
      </c>
      <c r="AE953" s="57">
        <f>REVENUE($E953*AE749,Settings!$C$13,INDEX(AE$407:AE$418,$D953)+INDEX(AE$394:AE$405,$D953))</f>
        <v/>
      </c>
      <c r="AG953" s="11">
        <f>CodePrefix&amp;$A953&amp;IF($C953="","","."&amp;$C953&amp;"."&amp;$B953)&amp;INDEX(VarEnd,MATCH($A953,VarKey,0))&amp;AG$5</f>
        <v/>
      </c>
      <c r="AH953" s="43">
        <f>$E953*AH749*Settings!$C$13*(INDEX(AH$407:AH$418,$D953)+INDEX(AH$394:AH$405,$D953))</f>
        <v/>
      </c>
      <c r="AI953" s="44">
        <f>$E953*AI749*Settings!$C$13*(INDEX(AI$407:AI$418,$D953)+INDEX(AI$394:AI$405,$D953))</f>
        <v/>
      </c>
      <c r="AJ953" s="44">
        <f>$E953*AJ749*Settings!$C$13*(INDEX(AJ$407:AJ$418,$D953)+INDEX(AJ$394:AJ$405,$D953))</f>
        <v/>
      </c>
      <c r="AK953" s="44">
        <f>$E953*AK749*Settings!$C$13*(INDEX(AK$407:AK$418,$D953)+INDEX(AK$394:AK$405,$D953))</f>
        <v/>
      </c>
      <c r="AL953" s="44">
        <f>$E953*AL749*Settings!$C$13*(INDEX(AL$407:AL$418,$D953)+INDEX(AL$394:AL$405,$D953))</f>
        <v/>
      </c>
      <c r="AM953" s="44">
        <f>$E953*AM749*Settings!$C$13*(INDEX(AM$407:AM$418,$D953)+INDEX(AM$394:AM$405,$D953))</f>
        <v/>
      </c>
      <c r="AN953" s="44">
        <f>$E953*AN749*Settings!$C$13*(INDEX(AN$407:AN$418,$D953)+INDEX(AN$394:AN$405,$D953))</f>
        <v/>
      </c>
      <c r="AO953" s="44">
        <f>$E953*AO749*Settings!$C$13*(INDEX(AO$407:AO$418,$D953)+INDEX(AO$394:AO$405,$D953))</f>
        <v/>
      </c>
      <c r="AP953" s="44">
        <f>$E953*AP749*Settings!$C$13*(INDEX(AP$407:AP$418,$D953)+INDEX(AP$394:AP$405,$D953))</f>
        <v/>
      </c>
      <c r="AQ953" s="44">
        <f>$E953*AQ749*Settings!$C$13*(INDEX(AQ$407:AQ$418,$D953)+INDEX(AQ$394:AQ$405,$D953))</f>
        <v/>
      </c>
      <c r="AR953" s="44">
        <f>$E953*AR749*Settings!$C$13*(INDEX(AR$407:AR$418,$D953)+INDEX(AR$394:AR$405,$D953))</f>
        <v/>
      </c>
      <c r="AS953" s="44">
        <f>$E953*AS749*Settings!$C$13*(INDEX(AS$407:AS$418,$D953)+INDEX(AS$394:AS$405,$D953))</f>
        <v/>
      </c>
      <c r="AT953" s="44">
        <f>$E953*AT749*Settings!$C$13*(INDEX(AT$407:AT$418,$D953)+INDEX(AT$394:AT$405,$D953))</f>
        <v/>
      </c>
      <c r="AU953" s="44">
        <f>$E953*AU749*Settings!$C$13*(INDEX(AU$407:AU$418,$D953)+INDEX(AU$394:AU$405,$D953))</f>
        <v/>
      </c>
      <c r="AV953" s="44">
        <f>$E953*AV749*Settings!$C$13*(INDEX(AV$407:AV$418,$D953)+INDEX(AV$394:AV$405,$D953))</f>
        <v/>
      </c>
      <c r="AW953" s="44">
        <f>$E953*AW749*Settings!$C$13*(INDEX(AW$407:AW$418,$D953)+INDEX(AW$394:AW$405,$D953))</f>
        <v/>
      </c>
      <c r="AX953" s="44">
        <f>$E953*AX749*Settings!$C$13*(INDEX(AX$407:AX$418,$D953)+INDEX(AX$394:AX$405,$D953))</f>
        <v/>
      </c>
      <c r="AY953" s="44">
        <f>$E953*AY749*Settings!$C$13*(INDEX(AY$407:AY$418,$D953)+INDEX(AY$394:AY$405,$D953))</f>
        <v/>
      </c>
      <c r="AZ953" s="44">
        <f>$E953*AZ749*Settings!$C$13*(INDEX(AZ$407:AZ$418,$D953)+INDEX(AZ$394:AZ$405,$D953))</f>
        <v/>
      </c>
      <c r="BA953" s="57">
        <f>REVENUE($E953*BA749,Settings!$C$13,INDEX(BA$407:BA$418,$D953)+INDEX(BA$394:BA$405,$D953))</f>
        <v/>
      </c>
    </row>
    <row r="954" hidden="1" outlineLevel="1">
      <c r="A954" s="14" t="inlineStr">
        <is>
          <t>prtx</t>
        </is>
      </c>
      <c r="B954" s="14" t="inlineStr">
        <is>
          <t>wnd</t>
        </is>
      </c>
      <c r="C954" s="14" t="inlineStr">
        <is>
          <t>pow</t>
        </is>
      </c>
      <c r="D954" s="45">
        <f>INDEX(Inputs_power!$X$5:$X$13,MATCH($B954,Inputs_power!$A$5:$A$13,0))</f>
        <v/>
      </c>
      <c r="E954" s="45">
        <f>INDEX(Inputs_power!$AW$5:$AW$13,MATCH($B954,Inputs_power!$A$5:$A$13,0))</f>
        <v/>
      </c>
      <c r="F954" s="39" t="n"/>
      <c r="G954" s="39" t="n"/>
      <c r="H954" s="14">
        <f>INDEX(VarLab,MATCH($A954,VarKey,0))&amp;INDEX(MemLab,MATCH($C954&amp;"|"&amp;$B954,MemKey,0))</f>
        <v/>
      </c>
      <c r="I954" s="14">
        <f>INDEX(VarUnit,MATCH($A954,VarKey,0))</f>
        <v/>
      </c>
      <c r="J954" s="14">
        <f>INDEX(VarSrc,MATCH($A954,VarKey,0))</f>
        <v/>
      </c>
      <c r="K954" s="11">
        <f>CodePrefix&amp;$A954&amp;IF($C954="","","."&amp;$C954&amp;"."&amp;$B954)&amp;INDEX(VarEnd,MATCH($A954,VarKey,0))&amp;K$5</f>
        <v/>
      </c>
      <c r="L954" s="43">
        <f>$E954*L750*Settings!$C$13*(INDEX(L$407:L$418,$D954)+INDEX(L$394:L$405,$D954))</f>
        <v/>
      </c>
      <c r="M954" s="44">
        <f>$E954*M750*Settings!$C$13*(INDEX(M$407:M$418,$D954)+INDEX(M$394:M$405,$D954))</f>
        <v/>
      </c>
      <c r="N954" s="44">
        <f>$E954*N750*Settings!$C$13*(INDEX(N$407:N$418,$D954)+INDEX(N$394:N$405,$D954))</f>
        <v/>
      </c>
      <c r="O954" s="44">
        <f>$E954*O750*Settings!$C$13*(INDEX(O$407:O$418,$D954)+INDEX(O$394:O$405,$D954))</f>
        <v/>
      </c>
      <c r="P954" s="44">
        <f>$E954*P750*Settings!$C$13*(INDEX(P$407:P$418,$D954)+INDEX(P$394:P$405,$D954))</f>
        <v/>
      </c>
      <c r="Q954" s="44">
        <f>$E954*Q750*Settings!$C$13*(INDEX(Q$407:Q$418,$D954)+INDEX(Q$394:Q$405,$D954))</f>
        <v/>
      </c>
      <c r="R954" s="44">
        <f>$E954*R750*Settings!$C$13*(INDEX(R$407:R$418,$D954)+INDEX(R$394:R$405,$D954))</f>
        <v/>
      </c>
      <c r="S954" s="44">
        <f>$E954*S750*Settings!$C$13*(INDEX(S$407:S$418,$D954)+INDEX(S$394:S$405,$D954))</f>
        <v/>
      </c>
      <c r="T954" s="44">
        <f>$E954*T750*Settings!$C$13*(INDEX(T$407:T$418,$D954)+INDEX(T$394:T$405,$D954))</f>
        <v/>
      </c>
      <c r="U954" s="44">
        <f>$E954*U750*Settings!$C$13*(INDEX(U$407:U$418,$D954)+INDEX(U$394:U$405,$D954))</f>
        <v/>
      </c>
      <c r="V954" s="44">
        <f>$E954*V750*Settings!$C$13*(INDEX(V$407:V$418,$D954)+INDEX(V$394:V$405,$D954))</f>
        <v/>
      </c>
      <c r="W954" s="44">
        <f>$E954*W750*Settings!$C$13*(INDEX(W$407:W$418,$D954)+INDEX(W$394:W$405,$D954))</f>
        <v/>
      </c>
      <c r="X954" s="44">
        <f>$E954*X750*Settings!$C$13*(INDEX(X$407:X$418,$D954)+INDEX(X$394:X$405,$D954))</f>
        <v/>
      </c>
      <c r="Y954" s="44">
        <f>$E954*Y750*Settings!$C$13*(INDEX(Y$407:Y$418,$D954)+INDEX(Y$394:Y$405,$D954))</f>
        <v/>
      </c>
      <c r="Z954" s="44">
        <f>$E954*Z750*Settings!$C$13*(INDEX(Z$407:Z$418,$D954)+INDEX(Z$394:Z$405,$D954))</f>
        <v/>
      </c>
      <c r="AA954" s="44">
        <f>$E954*AA750*Settings!$C$13*(INDEX(AA$407:AA$418,$D954)+INDEX(AA$394:AA$405,$D954))</f>
        <v/>
      </c>
      <c r="AB954" s="44">
        <f>$E954*AB750*Settings!$C$13*(INDEX(AB$407:AB$418,$D954)+INDEX(AB$394:AB$405,$D954))</f>
        <v/>
      </c>
      <c r="AC954" s="44">
        <f>$E954*AC750*Settings!$C$13*(INDEX(AC$407:AC$418,$D954)+INDEX(AC$394:AC$405,$D954))</f>
        <v/>
      </c>
      <c r="AD954" s="44">
        <f>$E954*AD750*Settings!$C$13*(INDEX(AD$407:AD$418,$D954)+INDEX(AD$394:AD$405,$D954))</f>
        <v/>
      </c>
      <c r="AE954" s="57">
        <f>REVENUE($E954*AE750,Settings!$C$13,INDEX(AE$407:AE$418,$D954)+INDEX(AE$394:AE$405,$D954))</f>
        <v/>
      </c>
      <c r="AG954" s="11">
        <f>CodePrefix&amp;$A954&amp;IF($C954="","","."&amp;$C954&amp;"."&amp;$B954)&amp;INDEX(VarEnd,MATCH($A954,VarKey,0))&amp;AG$5</f>
        <v/>
      </c>
      <c r="AH954" s="43">
        <f>$E954*AH750*Settings!$C$13*(INDEX(AH$407:AH$418,$D954)+INDEX(AH$394:AH$405,$D954))</f>
        <v/>
      </c>
      <c r="AI954" s="44">
        <f>$E954*AI750*Settings!$C$13*(INDEX(AI$407:AI$418,$D954)+INDEX(AI$394:AI$405,$D954))</f>
        <v/>
      </c>
      <c r="AJ954" s="44">
        <f>$E954*AJ750*Settings!$C$13*(INDEX(AJ$407:AJ$418,$D954)+INDEX(AJ$394:AJ$405,$D954))</f>
        <v/>
      </c>
      <c r="AK954" s="44">
        <f>$E954*AK750*Settings!$C$13*(INDEX(AK$407:AK$418,$D954)+INDEX(AK$394:AK$405,$D954))</f>
        <v/>
      </c>
      <c r="AL954" s="44">
        <f>$E954*AL750*Settings!$C$13*(INDEX(AL$407:AL$418,$D954)+INDEX(AL$394:AL$405,$D954))</f>
        <v/>
      </c>
      <c r="AM954" s="44">
        <f>$E954*AM750*Settings!$C$13*(INDEX(AM$407:AM$418,$D954)+INDEX(AM$394:AM$405,$D954))</f>
        <v/>
      </c>
      <c r="AN954" s="44">
        <f>$E954*AN750*Settings!$C$13*(INDEX(AN$407:AN$418,$D954)+INDEX(AN$394:AN$405,$D954))</f>
        <v/>
      </c>
      <c r="AO954" s="44">
        <f>$E954*AO750*Settings!$C$13*(INDEX(AO$407:AO$418,$D954)+INDEX(AO$394:AO$405,$D954))</f>
        <v/>
      </c>
      <c r="AP954" s="44">
        <f>$E954*AP750*Settings!$C$13*(INDEX(AP$407:AP$418,$D954)+INDEX(AP$394:AP$405,$D954))</f>
        <v/>
      </c>
      <c r="AQ954" s="44">
        <f>$E954*AQ750*Settings!$C$13*(INDEX(AQ$407:AQ$418,$D954)+INDEX(AQ$394:AQ$405,$D954))</f>
        <v/>
      </c>
      <c r="AR954" s="44">
        <f>$E954*AR750*Settings!$C$13*(INDEX(AR$407:AR$418,$D954)+INDEX(AR$394:AR$405,$D954))</f>
        <v/>
      </c>
      <c r="AS954" s="44">
        <f>$E954*AS750*Settings!$C$13*(INDEX(AS$407:AS$418,$D954)+INDEX(AS$394:AS$405,$D954))</f>
        <v/>
      </c>
      <c r="AT954" s="44">
        <f>$E954*AT750*Settings!$C$13*(INDEX(AT$407:AT$418,$D954)+INDEX(AT$394:AT$405,$D954))</f>
        <v/>
      </c>
      <c r="AU954" s="44">
        <f>$E954*AU750*Settings!$C$13*(INDEX(AU$407:AU$418,$D954)+INDEX(AU$394:AU$405,$D954))</f>
        <v/>
      </c>
      <c r="AV954" s="44">
        <f>$E954*AV750*Settings!$C$13*(INDEX(AV$407:AV$418,$D954)+INDEX(AV$394:AV$405,$D954))</f>
        <v/>
      </c>
      <c r="AW954" s="44">
        <f>$E954*AW750*Settings!$C$13*(INDEX(AW$407:AW$418,$D954)+INDEX(AW$394:AW$405,$D954))</f>
        <v/>
      </c>
      <c r="AX954" s="44">
        <f>$E954*AX750*Settings!$C$13*(INDEX(AX$407:AX$418,$D954)+INDEX(AX$394:AX$405,$D954))</f>
        <v/>
      </c>
      <c r="AY954" s="44">
        <f>$E954*AY750*Settings!$C$13*(INDEX(AY$407:AY$418,$D954)+INDEX(AY$394:AY$405,$D954))</f>
        <v/>
      </c>
      <c r="AZ954" s="44">
        <f>$E954*AZ750*Settings!$C$13*(INDEX(AZ$407:AZ$418,$D954)+INDEX(AZ$394:AZ$405,$D954))</f>
        <v/>
      </c>
      <c r="BA954" s="57">
        <f>REVENUE($E954*BA750,Settings!$C$13,INDEX(BA$407:BA$418,$D954)+INDEX(BA$394:BA$405,$D954))</f>
        <v/>
      </c>
    </row>
    <row r="955" hidden="1" outlineLevel="1">
      <c r="A955" s="14" t="inlineStr">
        <is>
          <t>prtx</t>
        </is>
      </c>
      <c r="B955" s="14" t="inlineStr">
        <is>
          <t>sol</t>
        </is>
      </c>
      <c r="C955" s="14" t="inlineStr">
        <is>
          <t>pow</t>
        </is>
      </c>
      <c r="D955" s="45">
        <f>INDEX(Inputs_power!$X$5:$X$13,MATCH($B955,Inputs_power!$A$5:$A$13,0))</f>
        <v/>
      </c>
      <c r="E955" s="45">
        <f>INDEX(Inputs_power!$AW$5:$AW$13,MATCH($B955,Inputs_power!$A$5:$A$13,0))</f>
        <v/>
      </c>
      <c r="F955" s="39" t="n"/>
      <c r="G955" s="39" t="n"/>
      <c r="H955" s="14">
        <f>INDEX(VarLab,MATCH($A955,VarKey,0))&amp;INDEX(MemLab,MATCH($C955&amp;"|"&amp;$B955,MemKey,0))</f>
        <v/>
      </c>
      <c r="I955" s="14">
        <f>INDEX(VarUnit,MATCH($A955,VarKey,0))</f>
        <v/>
      </c>
      <c r="J955" s="14">
        <f>INDEX(VarSrc,MATCH($A955,VarKey,0))</f>
        <v/>
      </c>
      <c r="K955" s="11">
        <f>CodePrefix&amp;$A955&amp;IF($C955="","","."&amp;$C955&amp;"."&amp;$B955)&amp;INDEX(VarEnd,MATCH($A955,VarKey,0))&amp;K$5</f>
        <v/>
      </c>
      <c r="L955" s="43">
        <f>$E955*L751*Settings!$C$13*(INDEX(L$407:L$418,$D955)+INDEX(L$394:L$405,$D955))</f>
        <v/>
      </c>
      <c r="M955" s="44">
        <f>$E955*M751*Settings!$C$13*(INDEX(M$407:M$418,$D955)+INDEX(M$394:M$405,$D955))</f>
        <v/>
      </c>
      <c r="N955" s="44">
        <f>$E955*N751*Settings!$C$13*(INDEX(N$407:N$418,$D955)+INDEX(N$394:N$405,$D955))</f>
        <v/>
      </c>
      <c r="O955" s="44">
        <f>$E955*O751*Settings!$C$13*(INDEX(O$407:O$418,$D955)+INDEX(O$394:O$405,$D955))</f>
        <v/>
      </c>
      <c r="P955" s="44">
        <f>$E955*P751*Settings!$C$13*(INDEX(P$407:P$418,$D955)+INDEX(P$394:P$405,$D955))</f>
        <v/>
      </c>
      <c r="Q955" s="44">
        <f>$E955*Q751*Settings!$C$13*(INDEX(Q$407:Q$418,$D955)+INDEX(Q$394:Q$405,$D955))</f>
        <v/>
      </c>
      <c r="R955" s="44">
        <f>$E955*R751*Settings!$C$13*(INDEX(R$407:R$418,$D955)+INDEX(R$394:R$405,$D955))</f>
        <v/>
      </c>
      <c r="S955" s="44">
        <f>$E955*S751*Settings!$C$13*(INDEX(S$407:S$418,$D955)+INDEX(S$394:S$405,$D955))</f>
        <v/>
      </c>
      <c r="T955" s="44">
        <f>$E955*T751*Settings!$C$13*(INDEX(T$407:T$418,$D955)+INDEX(T$394:T$405,$D955))</f>
        <v/>
      </c>
      <c r="U955" s="44">
        <f>$E955*U751*Settings!$C$13*(INDEX(U$407:U$418,$D955)+INDEX(U$394:U$405,$D955))</f>
        <v/>
      </c>
      <c r="V955" s="44">
        <f>$E955*V751*Settings!$C$13*(INDEX(V$407:V$418,$D955)+INDEX(V$394:V$405,$D955))</f>
        <v/>
      </c>
      <c r="W955" s="44">
        <f>$E955*W751*Settings!$C$13*(INDEX(W$407:W$418,$D955)+INDEX(W$394:W$405,$D955))</f>
        <v/>
      </c>
      <c r="X955" s="44">
        <f>$E955*X751*Settings!$C$13*(INDEX(X$407:X$418,$D955)+INDEX(X$394:X$405,$D955))</f>
        <v/>
      </c>
      <c r="Y955" s="44">
        <f>$E955*Y751*Settings!$C$13*(INDEX(Y$407:Y$418,$D955)+INDEX(Y$394:Y$405,$D955))</f>
        <v/>
      </c>
      <c r="Z955" s="44">
        <f>$E955*Z751*Settings!$C$13*(INDEX(Z$407:Z$418,$D955)+INDEX(Z$394:Z$405,$D955))</f>
        <v/>
      </c>
      <c r="AA955" s="44">
        <f>$E955*AA751*Settings!$C$13*(INDEX(AA$407:AA$418,$D955)+INDEX(AA$394:AA$405,$D955))</f>
        <v/>
      </c>
      <c r="AB955" s="44">
        <f>$E955*AB751*Settings!$C$13*(INDEX(AB$407:AB$418,$D955)+INDEX(AB$394:AB$405,$D955))</f>
        <v/>
      </c>
      <c r="AC955" s="44">
        <f>$E955*AC751*Settings!$C$13*(INDEX(AC$407:AC$418,$D955)+INDEX(AC$394:AC$405,$D955))</f>
        <v/>
      </c>
      <c r="AD955" s="44">
        <f>$E955*AD751*Settings!$C$13*(INDEX(AD$407:AD$418,$D955)+INDEX(AD$394:AD$405,$D955))</f>
        <v/>
      </c>
      <c r="AE955" s="57">
        <f>REVENUE($E955*AE751,Settings!$C$13,INDEX(AE$407:AE$418,$D955)+INDEX(AE$394:AE$405,$D955))</f>
        <v/>
      </c>
      <c r="AG955" s="11">
        <f>CodePrefix&amp;$A955&amp;IF($C955="","","."&amp;$C955&amp;"."&amp;$B955)&amp;INDEX(VarEnd,MATCH($A955,VarKey,0))&amp;AG$5</f>
        <v/>
      </c>
      <c r="AH955" s="43">
        <f>$E955*AH751*Settings!$C$13*(INDEX(AH$407:AH$418,$D955)+INDEX(AH$394:AH$405,$D955))</f>
        <v/>
      </c>
      <c r="AI955" s="44">
        <f>$E955*AI751*Settings!$C$13*(INDEX(AI$407:AI$418,$D955)+INDEX(AI$394:AI$405,$D955))</f>
        <v/>
      </c>
      <c r="AJ955" s="44">
        <f>$E955*AJ751*Settings!$C$13*(INDEX(AJ$407:AJ$418,$D955)+INDEX(AJ$394:AJ$405,$D955))</f>
        <v/>
      </c>
      <c r="AK955" s="44">
        <f>$E955*AK751*Settings!$C$13*(INDEX(AK$407:AK$418,$D955)+INDEX(AK$394:AK$405,$D955))</f>
        <v/>
      </c>
      <c r="AL955" s="44">
        <f>$E955*AL751*Settings!$C$13*(INDEX(AL$407:AL$418,$D955)+INDEX(AL$394:AL$405,$D955))</f>
        <v/>
      </c>
      <c r="AM955" s="44">
        <f>$E955*AM751*Settings!$C$13*(INDEX(AM$407:AM$418,$D955)+INDEX(AM$394:AM$405,$D955))</f>
        <v/>
      </c>
      <c r="AN955" s="44">
        <f>$E955*AN751*Settings!$C$13*(INDEX(AN$407:AN$418,$D955)+INDEX(AN$394:AN$405,$D955))</f>
        <v/>
      </c>
      <c r="AO955" s="44">
        <f>$E955*AO751*Settings!$C$13*(INDEX(AO$407:AO$418,$D955)+INDEX(AO$394:AO$405,$D955))</f>
        <v/>
      </c>
      <c r="AP955" s="44">
        <f>$E955*AP751*Settings!$C$13*(INDEX(AP$407:AP$418,$D955)+INDEX(AP$394:AP$405,$D955))</f>
        <v/>
      </c>
      <c r="AQ955" s="44">
        <f>$E955*AQ751*Settings!$C$13*(INDEX(AQ$407:AQ$418,$D955)+INDEX(AQ$394:AQ$405,$D955))</f>
        <v/>
      </c>
      <c r="AR955" s="44">
        <f>$E955*AR751*Settings!$C$13*(INDEX(AR$407:AR$418,$D955)+INDEX(AR$394:AR$405,$D955))</f>
        <v/>
      </c>
      <c r="AS955" s="44">
        <f>$E955*AS751*Settings!$C$13*(INDEX(AS$407:AS$418,$D955)+INDEX(AS$394:AS$405,$D955))</f>
        <v/>
      </c>
      <c r="AT955" s="44">
        <f>$E955*AT751*Settings!$C$13*(INDEX(AT$407:AT$418,$D955)+INDEX(AT$394:AT$405,$D955))</f>
        <v/>
      </c>
      <c r="AU955" s="44">
        <f>$E955*AU751*Settings!$C$13*(INDEX(AU$407:AU$418,$D955)+INDEX(AU$394:AU$405,$D955))</f>
        <v/>
      </c>
      <c r="AV955" s="44">
        <f>$E955*AV751*Settings!$C$13*(INDEX(AV$407:AV$418,$D955)+INDEX(AV$394:AV$405,$D955))</f>
        <v/>
      </c>
      <c r="AW955" s="44">
        <f>$E955*AW751*Settings!$C$13*(INDEX(AW$407:AW$418,$D955)+INDEX(AW$394:AW$405,$D955))</f>
        <v/>
      </c>
      <c r="AX955" s="44">
        <f>$E955*AX751*Settings!$C$13*(INDEX(AX$407:AX$418,$D955)+INDEX(AX$394:AX$405,$D955))</f>
        <v/>
      </c>
      <c r="AY955" s="44">
        <f>$E955*AY751*Settings!$C$13*(INDEX(AY$407:AY$418,$D955)+INDEX(AY$394:AY$405,$D955))</f>
        <v/>
      </c>
      <c r="AZ955" s="44">
        <f>$E955*AZ751*Settings!$C$13*(INDEX(AZ$407:AZ$418,$D955)+INDEX(AZ$394:AZ$405,$D955))</f>
        <v/>
      </c>
      <c r="BA955" s="57">
        <f>REVENUE($E955*BA751,Settings!$C$13,INDEX(BA$407:BA$418,$D955)+INDEX(BA$394:BA$405,$D955))</f>
        <v/>
      </c>
    </row>
    <row r="956" hidden="1" outlineLevel="1">
      <c r="A956" s="14" t="inlineStr">
        <is>
          <t>prtx</t>
        </is>
      </c>
      <c r="B956" s="14" t="inlineStr">
        <is>
          <t>hyd</t>
        </is>
      </c>
      <c r="C956" s="14" t="inlineStr">
        <is>
          <t>pow</t>
        </is>
      </c>
      <c r="D956" s="45">
        <f>INDEX(Inputs_power!$X$5:$X$13,MATCH($B956,Inputs_power!$A$5:$A$13,0))</f>
        <v/>
      </c>
      <c r="E956" s="45">
        <f>INDEX(Inputs_power!$AW$5:$AW$13,MATCH($B956,Inputs_power!$A$5:$A$13,0))</f>
        <v/>
      </c>
      <c r="F956" s="39" t="n"/>
      <c r="G956" s="39" t="n"/>
      <c r="H956" s="14">
        <f>INDEX(VarLab,MATCH($A956,VarKey,0))&amp;INDEX(MemLab,MATCH($C956&amp;"|"&amp;$B956,MemKey,0))</f>
        <v/>
      </c>
      <c r="I956" s="14">
        <f>INDEX(VarUnit,MATCH($A956,VarKey,0))</f>
        <v/>
      </c>
      <c r="J956" s="14">
        <f>INDEX(VarSrc,MATCH($A956,VarKey,0))</f>
        <v/>
      </c>
      <c r="K956" s="11">
        <f>CodePrefix&amp;$A956&amp;IF($C956="","","."&amp;$C956&amp;"."&amp;$B956)&amp;INDEX(VarEnd,MATCH($A956,VarKey,0))&amp;K$5</f>
        <v/>
      </c>
      <c r="L956" s="43">
        <f>$E956*L752*Settings!$C$13*(INDEX(L$407:L$418,$D956)+INDEX(L$394:L$405,$D956))</f>
        <v/>
      </c>
      <c r="M956" s="44">
        <f>$E956*M752*Settings!$C$13*(INDEX(M$407:M$418,$D956)+INDEX(M$394:M$405,$D956))</f>
        <v/>
      </c>
      <c r="N956" s="44">
        <f>$E956*N752*Settings!$C$13*(INDEX(N$407:N$418,$D956)+INDEX(N$394:N$405,$D956))</f>
        <v/>
      </c>
      <c r="O956" s="44">
        <f>$E956*O752*Settings!$C$13*(INDEX(O$407:O$418,$D956)+INDEX(O$394:O$405,$D956))</f>
        <v/>
      </c>
      <c r="P956" s="44">
        <f>$E956*P752*Settings!$C$13*(INDEX(P$407:P$418,$D956)+INDEX(P$394:P$405,$D956))</f>
        <v/>
      </c>
      <c r="Q956" s="44">
        <f>$E956*Q752*Settings!$C$13*(INDEX(Q$407:Q$418,$D956)+INDEX(Q$394:Q$405,$D956))</f>
        <v/>
      </c>
      <c r="R956" s="44">
        <f>$E956*R752*Settings!$C$13*(INDEX(R$407:R$418,$D956)+INDEX(R$394:R$405,$D956))</f>
        <v/>
      </c>
      <c r="S956" s="44">
        <f>$E956*S752*Settings!$C$13*(INDEX(S$407:S$418,$D956)+INDEX(S$394:S$405,$D956))</f>
        <v/>
      </c>
      <c r="T956" s="44">
        <f>$E956*T752*Settings!$C$13*(INDEX(T$407:T$418,$D956)+INDEX(T$394:T$405,$D956))</f>
        <v/>
      </c>
      <c r="U956" s="44">
        <f>$E956*U752*Settings!$C$13*(INDEX(U$407:U$418,$D956)+INDEX(U$394:U$405,$D956))</f>
        <v/>
      </c>
      <c r="V956" s="44">
        <f>$E956*V752*Settings!$C$13*(INDEX(V$407:V$418,$D956)+INDEX(V$394:V$405,$D956))</f>
        <v/>
      </c>
      <c r="W956" s="44">
        <f>$E956*W752*Settings!$C$13*(INDEX(W$407:W$418,$D956)+INDEX(W$394:W$405,$D956))</f>
        <v/>
      </c>
      <c r="X956" s="44">
        <f>$E956*X752*Settings!$C$13*(INDEX(X$407:X$418,$D956)+INDEX(X$394:X$405,$D956))</f>
        <v/>
      </c>
      <c r="Y956" s="44">
        <f>$E956*Y752*Settings!$C$13*(INDEX(Y$407:Y$418,$D956)+INDEX(Y$394:Y$405,$D956))</f>
        <v/>
      </c>
      <c r="Z956" s="44">
        <f>$E956*Z752*Settings!$C$13*(INDEX(Z$407:Z$418,$D956)+INDEX(Z$394:Z$405,$D956))</f>
        <v/>
      </c>
      <c r="AA956" s="44">
        <f>$E956*AA752*Settings!$C$13*(INDEX(AA$407:AA$418,$D956)+INDEX(AA$394:AA$405,$D956))</f>
        <v/>
      </c>
      <c r="AB956" s="44">
        <f>$E956*AB752*Settings!$C$13*(INDEX(AB$407:AB$418,$D956)+INDEX(AB$394:AB$405,$D956))</f>
        <v/>
      </c>
      <c r="AC956" s="44">
        <f>$E956*AC752*Settings!$C$13*(INDEX(AC$407:AC$418,$D956)+INDEX(AC$394:AC$405,$D956))</f>
        <v/>
      </c>
      <c r="AD956" s="44">
        <f>$E956*AD752*Settings!$C$13*(INDEX(AD$407:AD$418,$D956)+INDEX(AD$394:AD$405,$D956))</f>
        <v/>
      </c>
      <c r="AE956" s="57">
        <f>REVENUE($E956*AE752,Settings!$C$13,INDEX(AE$407:AE$418,$D956)+INDEX(AE$394:AE$405,$D956))</f>
        <v/>
      </c>
      <c r="AG956" s="11">
        <f>CodePrefix&amp;$A956&amp;IF($C956="","","."&amp;$C956&amp;"."&amp;$B956)&amp;INDEX(VarEnd,MATCH($A956,VarKey,0))&amp;AG$5</f>
        <v/>
      </c>
      <c r="AH956" s="43">
        <f>$E956*AH752*Settings!$C$13*(INDEX(AH$407:AH$418,$D956)+INDEX(AH$394:AH$405,$D956))</f>
        <v/>
      </c>
      <c r="AI956" s="44">
        <f>$E956*AI752*Settings!$C$13*(INDEX(AI$407:AI$418,$D956)+INDEX(AI$394:AI$405,$D956))</f>
        <v/>
      </c>
      <c r="AJ956" s="44">
        <f>$E956*AJ752*Settings!$C$13*(INDEX(AJ$407:AJ$418,$D956)+INDEX(AJ$394:AJ$405,$D956))</f>
        <v/>
      </c>
      <c r="AK956" s="44">
        <f>$E956*AK752*Settings!$C$13*(INDEX(AK$407:AK$418,$D956)+INDEX(AK$394:AK$405,$D956))</f>
        <v/>
      </c>
      <c r="AL956" s="44">
        <f>$E956*AL752*Settings!$C$13*(INDEX(AL$407:AL$418,$D956)+INDEX(AL$394:AL$405,$D956))</f>
        <v/>
      </c>
      <c r="AM956" s="44">
        <f>$E956*AM752*Settings!$C$13*(INDEX(AM$407:AM$418,$D956)+INDEX(AM$394:AM$405,$D956))</f>
        <v/>
      </c>
      <c r="AN956" s="44">
        <f>$E956*AN752*Settings!$C$13*(INDEX(AN$407:AN$418,$D956)+INDEX(AN$394:AN$405,$D956))</f>
        <v/>
      </c>
      <c r="AO956" s="44">
        <f>$E956*AO752*Settings!$C$13*(INDEX(AO$407:AO$418,$D956)+INDEX(AO$394:AO$405,$D956))</f>
        <v/>
      </c>
      <c r="AP956" s="44">
        <f>$E956*AP752*Settings!$C$13*(INDEX(AP$407:AP$418,$D956)+INDEX(AP$394:AP$405,$D956))</f>
        <v/>
      </c>
      <c r="AQ956" s="44">
        <f>$E956*AQ752*Settings!$C$13*(INDEX(AQ$407:AQ$418,$D956)+INDEX(AQ$394:AQ$405,$D956))</f>
        <v/>
      </c>
      <c r="AR956" s="44">
        <f>$E956*AR752*Settings!$C$13*(INDEX(AR$407:AR$418,$D956)+INDEX(AR$394:AR$405,$D956))</f>
        <v/>
      </c>
      <c r="AS956" s="44">
        <f>$E956*AS752*Settings!$C$13*(INDEX(AS$407:AS$418,$D956)+INDEX(AS$394:AS$405,$D956))</f>
        <v/>
      </c>
      <c r="AT956" s="44">
        <f>$E956*AT752*Settings!$C$13*(INDEX(AT$407:AT$418,$D956)+INDEX(AT$394:AT$405,$D956))</f>
        <v/>
      </c>
      <c r="AU956" s="44">
        <f>$E956*AU752*Settings!$C$13*(INDEX(AU$407:AU$418,$D956)+INDEX(AU$394:AU$405,$D956))</f>
        <v/>
      </c>
      <c r="AV956" s="44">
        <f>$E956*AV752*Settings!$C$13*(INDEX(AV$407:AV$418,$D956)+INDEX(AV$394:AV$405,$D956))</f>
        <v/>
      </c>
      <c r="AW956" s="44">
        <f>$E956*AW752*Settings!$C$13*(INDEX(AW$407:AW$418,$D956)+INDEX(AW$394:AW$405,$D956))</f>
        <v/>
      </c>
      <c r="AX956" s="44">
        <f>$E956*AX752*Settings!$C$13*(INDEX(AX$407:AX$418,$D956)+INDEX(AX$394:AX$405,$D956))</f>
        <v/>
      </c>
      <c r="AY956" s="44">
        <f>$E956*AY752*Settings!$C$13*(INDEX(AY$407:AY$418,$D956)+INDEX(AY$394:AY$405,$D956))</f>
        <v/>
      </c>
      <c r="AZ956" s="44">
        <f>$E956*AZ752*Settings!$C$13*(INDEX(AZ$407:AZ$418,$D956)+INDEX(AZ$394:AZ$405,$D956))</f>
        <v/>
      </c>
      <c r="BA956" s="57">
        <f>REVENUE($E956*BA752,Settings!$C$13,INDEX(BA$407:BA$418,$D956)+INDEX(BA$394:BA$405,$D956))</f>
        <v/>
      </c>
    </row>
    <row r="957" hidden="1" outlineLevel="1">
      <c r="A957" s="14" t="inlineStr">
        <is>
          <t>prtx</t>
        </is>
      </c>
      <c r="B957" s="14" t="inlineStr">
        <is>
          <t>ore</t>
        </is>
      </c>
      <c r="C957" s="14" t="inlineStr">
        <is>
          <t>pow</t>
        </is>
      </c>
      <c r="D957" s="45">
        <f>INDEX(Inputs_power!$X$5:$X$13,MATCH($B957,Inputs_power!$A$5:$A$13,0))</f>
        <v/>
      </c>
      <c r="E957" s="45">
        <f>INDEX(Inputs_power!$AW$5:$AW$13,MATCH($B957,Inputs_power!$A$5:$A$13,0))</f>
        <v/>
      </c>
      <c r="F957" s="39" t="n"/>
      <c r="G957" s="39" t="n"/>
      <c r="H957" s="14">
        <f>INDEX(VarLab,MATCH($A957,VarKey,0))&amp;INDEX(MemLab,MATCH($C957&amp;"|"&amp;$B957,MemKey,0))</f>
        <v/>
      </c>
      <c r="I957" s="14">
        <f>INDEX(VarUnit,MATCH($A957,VarKey,0))</f>
        <v/>
      </c>
      <c r="J957" s="14">
        <f>INDEX(VarSrc,MATCH($A957,VarKey,0))</f>
        <v/>
      </c>
      <c r="K957" s="11">
        <f>CodePrefix&amp;$A957&amp;IF($C957="","","."&amp;$C957&amp;"."&amp;$B957)&amp;INDEX(VarEnd,MATCH($A957,VarKey,0))&amp;K$5</f>
        <v/>
      </c>
      <c r="L957" s="43">
        <f>$E957*L753*Settings!$C$13*(INDEX(L$407:L$418,$D957)+INDEX(L$394:L$405,$D957))</f>
        <v/>
      </c>
      <c r="M957" s="44">
        <f>$E957*M753*Settings!$C$13*(INDEX(M$407:M$418,$D957)+INDEX(M$394:M$405,$D957))</f>
        <v/>
      </c>
      <c r="N957" s="44">
        <f>$E957*N753*Settings!$C$13*(INDEX(N$407:N$418,$D957)+INDEX(N$394:N$405,$D957))</f>
        <v/>
      </c>
      <c r="O957" s="44">
        <f>$E957*O753*Settings!$C$13*(INDEX(O$407:O$418,$D957)+INDEX(O$394:O$405,$D957))</f>
        <v/>
      </c>
      <c r="P957" s="44">
        <f>$E957*P753*Settings!$C$13*(INDEX(P$407:P$418,$D957)+INDEX(P$394:P$405,$D957))</f>
        <v/>
      </c>
      <c r="Q957" s="44">
        <f>$E957*Q753*Settings!$C$13*(INDEX(Q$407:Q$418,$D957)+INDEX(Q$394:Q$405,$D957))</f>
        <v/>
      </c>
      <c r="R957" s="44">
        <f>$E957*R753*Settings!$C$13*(INDEX(R$407:R$418,$D957)+INDEX(R$394:R$405,$D957))</f>
        <v/>
      </c>
      <c r="S957" s="44">
        <f>$E957*S753*Settings!$C$13*(INDEX(S$407:S$418,$D957)+INDEX(S$394:S$405,$D957))</f>
        <v/>
      </c>
      <c r="T957" s="44">
        <f>$E957*T753*Settings!$C$13*(INDEX(T$407:T$418,$D957)+INDEX(T$394:T$405,$D957))</f>
        <v/>
      </c>
      <c r="U957" s="44">
        <f>$E957*U753*Settings!$C$13*(INDEX(U$407:U$418,$D957)+INDEX(U$394:U$405,$D957))</f>
        <v/>
      </c>
      <c r="V957" s="44">
        <f>$E957*V753*Settings!$C$13*(INDEX(V$407:V$418,$D957)+INDEX(V$394:V$405,$D957))</f>
        <v/>
      </c>
      <c r="W957" s="44">
        <f>$E957*W753*Settings!$C$13*(INDEX(W$407:W$418,$D957)+INDEX(W$394:W$405,$D957))</f>
        <v/>
      </c>
      <c r="X957" s="44">
        <f>$E957*X753*Settings!$C$13*(INDEX(X$407:X$418,$D957)+INDEX(X$394:X$405,$D957))</f>
        <v/>
      </c>
      <c r="Y957" s="44">
        <f>$E957*Y753*Settings!$C$13*(INDEX(Y$407:Y$418,$D957)+INDEX(Y$394:Y$405,$D957))</f>
        <v/>
      </c>
      <c r="Z957" s="44">
        <f>$E957*Z753*Settings!$C$13*(INDEX(Z$407:Z$418,$D957)+INDEX(Z$394:Z$405,$D957))</f>
        <v/>
      </c>
      <c r="AA957" s="44">
        <f>$E957*AA753*Settings!$C$13*(INDEX(AA$407:AA$418,$D957)+INDEX(AA$394:AA$405,$D957))</f>
        <v/>
      </c>
      <c r="AB957" s="44">
        <f>$E957*AB753*Settings!$C$13*(INDEX(AB$407:AB$418,$D957)+INDEX(AB$394:AB$405,$D957))</f>
        <v/>
      </c>
      <c r="AC957" s="44">
        <f>$E957*AC753*Settings!$C$13*(INDEX(AC$407:AC$418,$D957)+INDEX(AC$394:AC$405,$D957))</f>
        <v/>
      </c>
      <c r="AD957" s="44">
        <f>$E957*AD753*Settings!$C$13*(INDEX(AD$407:AD$418,$D957)+INDEX(AD$394:AD$405,$D957))</f>
        <v/>
      </c>
      <c r="AE957" s="57">
        <f>REVENUE($E957*AE753,Settings!$C$13,INDEX(AE$407:AE$418,$D957)+INDEX(AE$394:AE$405,$D957))</f>
        <v/>
      </c>
      <c r="AG957" s="11">
        <f>CodePrefix&amp;$A957&amp;IF($C957="","","."&amp;$C957&amp;"."&amp;$B957)&amp;INDEX(VarEnd,MATCH($A957,VarKey,0))&amp;AG$5</f>
        <v/>
      </c>
      <c r="AH957" s="43">
        <f>$E957*AH753*Settings!$C$13*(INDEX(AH$407:AH$418,$D957)+INDEX(AH$394:AH$405,$D957))</f>
        <v/>
      </c>
      <c r="AI957" s="44">
        <f>$E957*AI753*Settings!$C$13*(INDEX(AI$407:AI$418,$D957)+INDEX(AI$394:AI$405,$D957))</f>
        <v/>
      </c>
      <c r="AJ957" s="44">
        <f>$E957*AJ753*Settings!$C$13*(INDEX(AJ$407:AJ$418,$D957)+INDEX(AJ$394:AJ$405,$D957))</f>
        <v/>
      </c>
      <c r="AK957" s="44">
        <f>$E957*AK753*Settings!$C$13*(INDEX(AK$407:AK$418,$D957)+INDEX(AK$394:AK$405,$D957))</f>
        <v/>
      </c>
      <c r="AL957" s="44">
        <f>$E957*AL753*Settings!$C$13*(INDEX(AL$407:AL$418,$D957)+INDEX(AL$394:AL$405,$D957))</f>
        <v/>
      </c>
      <c r="AM957" s="44">
        <f>$E957*AM753*Settings!$C$13*(INDEX(AM$407:AM$418,$D957)+INDEX(AM$394:AM$405,$D957))</f>
        <v/>
      </c>
      <c r="AN957" s="44">
        <f>$E957*AN753*Settings!$C$13*(INDEX(AN$407:AN$418,$D957)+INDEX(AN$394:AN$405,$D957))</f>
        <v/>
      </c>
      <c r="AO957" s="44">
        <f>$E957*AO753*Settings!$C$13*(INDEX(AO$407:AO$418,$D957)+INDEX(AO$394:AO$405,$D957))</f>
        <v/>
      </c>
      <c r="AP957" s="44">
        <f>$E957*AP753*Settings!$C$13*(INDEX(AP$407:AP$418,$D957)+INDEX(AP$394:AP$405,$D957))</f>
        <v/>
      </c>
      <c r="AQ957" s="44">
        <f>$E957*AQ753*Settings!$C$13*(INDEX(AQ$407:AQ$418,$D957)+INDEX(AQ$394:AQ$405,$D957))</f>
        <v/>
      </c>
      <c r="AR957" s="44">
        <f>$E957*AR753*Settings!$C$13*(INDEX(AR$407:AR$418,$D957)+INDEX(AR$394:AR$405,$D957))</f>
        <v/>
      </c>
      <c r="AS957" s="44">
        <f>$E957*AS753*Settings!$C$13*(INDEX(AS$407:AS$418,$D957)+INDEX(AS$394:AS$405,$D957))</f>
        <v/>
      </c>
      <c r="AT957" s="44">
        <f>$E957*AT753*Settings!$C$13*(INDEX(AT$407:AT$418,$D957)+INDEX(AT$394:AT$405,$D957))</f>
        <v/>
      </c>
      <c r="AU957" s="44">
        <f>$E957*AU753*Settings!$C$13*(INDEX(AU$407:AU$418,$D957)+INDEX(AU$394:AU$405,$D957))</f>
        <v/>
      </c>
      <c r="AV957" s="44">
        <f>$E957*AV753*Settings!$C$13*(INDEX(AV$407:AV$418,$D957)+INDEX(AV$394:AV$405,$D957))</f>
        <v/>
      </c>
      <c r="AW957" s="44">
        <f>$E957*AW753*Settings!$C$13*(INDEX(AW$407:AW$418,$D957)+INDEX(AW$394:AW$405,$D957))</f>
        <v/>
      </c>
      <c r="AX957" s="44">
        <f>$E957*AX753*Settings!$C$13*(INDEX(AX$407:AX$418,$D957)+INDEX(AX$394:AX$405,$D957))</f>
        <v/>
      </c>
      <c r="AY957" s="44">
        <f>$E957*AY753*Settings!$C$13*(INDEX(AY$407:AY$418,$D957)+INDEX(AY$394:AY$405,$D957))</f>
        <v/>
      </c>
      <c r="AZ957" s="44">
        <f>$E957*AZ753*Settings!$C$13*(INDEX(AZ$407:AZ$418,$D957)+INDEX(AZ$394:AZ$405,$D957))</f>
        <v/>
      </c>
      <c r="BA957" s="57">
        <f>REVENUE($E957*BA753,Settings!$C$13,INDEX(BA$407:BA$418,$D957)+INDEX(BA$394:BA$405,$D957))</f>
        <v/>
      </c>
    </row>
    <row r="958" hidden="1" outlineLevel="1">
      <c r="A958" s="14" t="inlineStr">
        <is>
          <t>prtx</t>
        </is>
      </c>
      <c r="B958" s="14" t="inlineStr">
        <is>
          <t>bio</t>
        </is>
      </c>
      <c r="C958" s="14" t="inlineStr">
        <is>
          <t>pow</t>
        </is>
      </c>
      <c r="D958" s="45">
        <f>INDEX(Inputs_power!$X$5:$X$13,MATCH($B958,Inputs_power!$A$5:$A$13,0))</f>
        <v/>
      </c>
      <c r="E958" s="45">
        <f>INDEX(Inputs_power!$AW$5:$AW$13,MATCH($B958,Inputs_power!$A$5:$A$13,0))</f>
        <v/>
      </c>
      <c r="F958" s="39" t="n"/>
      <c r="G958" s="39" t="n"/>
      <c r="H958" s="14">
        <f>INDEX(VarLab,MATCH($A958,VarKey,0))&amp;INDEX(MemLab,MATCH($C958&amp;"|"&amp;$B958,MemKey,0))</f>
        <v/>
      </c>
      <c r="I958" s="14">
        <f>INDEX(VarUnit,MATCH($A958,VarKey,0))</f>
        <v/>
      </c>
      <c r="J958" s="14">
        <f>INDEX(VarSrc,MATCH($A958,VarKey,0))</f>
        <v/>
      </c>
      <c r="K958" s="11">
        <f>CodePrefix&amp;$A958&amp;IF($C958="","","."&amp;$C958&amp;"."&amp;$B958)&amp;INDEX(VarEnd,MATCH($A958,VarKey,0))&amp;K$5</f>
        <v/>
      </c>
      <c r="L958" s="43">
        <f>$E958*L754*Settings!$C$13*(INDEX(L$407:L$418,$D958)+INDEX(L$394:L$405,$D958))</f>
        <v/>
      </c>
      <c r="M958" s="44">
        <f>$E958*M754*Settings!$C$13*(INDEX(M$407:M$418,$D958)+INDEX(M$394:M$405,$D958))</f>
        <v/>
      </c>
      <c r="N958" s="44">
        <f>$E958*N754*Settings!$C$13*(INDEX(N$407:N$418,$D958)+INDEX(N$394:N$405,$D958))</f>
        <v/>
      </c>
      <c r="O958" s="44">
        <f>$E958*O754*Settings!$C$13*(INDEX(O$407:O$418,$D958)+INDEX(O$394:O$405,$D958))</f>
        <v/>
      </c>
      <c r="P958" s="44">
        <f>$E958*P754*Settings!$C$13*(INDEX(P$407:P$418,$D958)+INDEX(P$394:P$405,$D958))</f>
        <v/>
      </c>
      <c r="Q958" s="44">
        <f>$E958*Q754*Settings!$C$13*(INDEX(Q$407:Q$418,$D958)+INDEX(Q$394:Q$405,$D958))</f>
        <v/>
      </c>
      <c r="R958" s="44">
        <f>$E958*R754*Settings!$C$13*(INDEX(R$407:R$418,$D958)+INDEX(R$394:R$405,$D958))</f>
        <v/>
      </c>
      <c r="S958" s="44">
        <f>$E958*S754*Settings!$C$13*(INDEX(S$407:S$418,$D958)+INDEX(S$394:S$405,$D958))</f>
        <v/>
      </c>
      <c r="T958" s="44">
        <f>$E958*T754*Settings!$C$13*(INDEX(T$407:T$418,$D958)+INDEX(T$394:T$405,$D958))</f>
        <v/>
      </c>
      <c r="U958" s="44">
        <f>$E958*U754*Settings!$C$13*(INDEX(U$407:U$418,$D958)+INDEX(U$394:U$405,$D958))</f>
        <v/>
      </c>
      <c r="V958" s="44">
        <f>$E958*V754*Settings!$C$13*(INDEX(V$407:V$418,$D958)+INDEX(V$394:V$405,$D958))</f>
        <v/>
      </c>
      <c r="W958" s="44">
        <f>$E958*W754*Settings!$C$13*(INDEX(W$407:W$418,$D958)+INDEX(W$394:W$405,$D958))</f>
        <v/>
      </c>
      <c r="X958" s="44">
        <f>$E958*X754*Settings!$C$13*(INDEX(X$407:X$418,$D958)+INDEX(X$394:X$405,$D958))</f>
        <v/>
      </c>
      <c r="Y958" s="44">
        <f>$E958*Y754*Settings!$C$13*(INDEX(Y$407:Y$418,$D958)+INDEX(Y$394:Y$405,$D958))</f>
        <v/>
      </c>
      <c r="Z958" s="44">
        <f>$E958*Z754*Settings!$C$13*(INDEX(Z$407:Z$418,$D958)+INDEX(Z$394:Z$405,$D958))</f>
        <v/>
      </c>
      <c r="AA958" s="44">
        <f>$E958*AA754*Settings!$C$13*(INDEX(AA$407:AA$418,$D958)+INDEX(AA$394:AA$405,$D958))</f>
        <v/>
      </c>
      <c r="AB958" s="44">
        <f>$E958*AB754*Settings!$C$13*(INDEX(AB$407:AB$418,$D958)+INDEX(AB$394:AB$405,$D958))</f>
        <v/>
      </c>
      <c r="AC958" s="44">
        <f>$E958*AC754*Settings!$C$13*(INDEX(AC$407:AC$418,$D958)+INDEX(AC$394:AC$405,$D958))</f>
        <v/>
      </c>
      <c r="AD958" s="44">
        <f>$E958*AD754*Settings!$C$13*(INDEX(AD$407:AD$418,$D958)+INDEX(AD$394:AD$405,$D958))</f>
        <v/>
      </c>
      <c r="AE958" s="57">
        <f>REVENUE($E958*AE754,Settings!$C$13,INDEX(AE$407:AE$418,$D958)+INDEX(AE$394:AE$405,$D958))</f>
        <v/>
      </c>
      <c r="AG958" s="11">
        <f>CodePrefix&amp;$A958&amp;IF($C958="","","."&amp;$C958&amp;"."&amp;$B958)&amp;INDEX(VarEnd,MATCH($A958,VarKey,0))&amp;AG$5</f>
        <v/>
      </c>
      <c r="AH958" s="43">
        <f>$E958*AH754*Settings!$C$13*(INDEX(AH$407:AH$418,$D958)+INDEX(AH$394:AH$405,$D958))</f>
        <v/>
      </c>
      <c r="AI958" s="44">
        <f>$E958*AI754*Settings!$C$13*(INDEX(AI$407:AI$418,$D958)+INDEX(AI$394:AI$405,$D958))</f>
        <v/>
      </c>
      <c r="AJ958" s="44">
        <f>$E958*AJ754*Settings!$C$13*(INDEX(AJ$407:AJ$418,$D958)+INDEX(AJ$394:AJ$405,$D958))</f>
        <v/>
      </c>
      <c r="AK958" s="44">
        <f>$E958*AK754*Settings!$C$13*(INDEX(AK$407:AK$418,$D958)+INDEX(AK$394:AK$405,$D958))</f>
        <v/>
      </c>
      <c r="AL958" s="44">
        <f>$E958*AL754*Settings!$C$13*(INDEX(AL$407:AL$418,$D958)+INDEX(AL$394:AL$405,$D958))</f>
        <v/>
      </c>
      <c r="AM958" s="44">
        <f>$E958*AM754*Settings!$C$13*(INDEX(AM$407:AM$418,$D958)+INDEX(AM$394:AM$405,$D958))</f>
        <v/>
      </c>
      <c r="AN958" s="44">
        <f>$E958*AN754*Settings!$C$13*(INDEX(AN$407:AN$418,$D958)+INDEX(AN$394:AN$405,$D958))</f>
        <v/>
      </c>
      <c r="AO958" s="44">
        <f>$E958*AO754*Settings!$C$13*(INDEX(AO$407:AO$418,$D958)+INDEX(AO$394:AO$405,$D958))</f>
        <v/>
      </c>
      <c r="AP958" s="44">
        <f>$E958*AP754*Settings!$C$13*(INDEX(AP$407:AP$418,$D958)+INDEX(AP$394:AP$405,$D958))</f>
        <v/>
      </c>
      <c r="AQ958" s="44">
        <f>$E958*AQ754*Settings!$C$13*(INDEX(AQ$407:AQ$418,$D958)+INDEX(AQ$394:AQ$405,$D958))</f>
        <v/>
      </c>
      <c r="AR958" s="44">
        <f>$E958*AR754*Settings!$C$13*(INDEX(AR$407:AR$418,$D958)+INDEX(AR$394:AR$405,$D958))</f>
        <v/>
      </c>
      <c r="AS958" s="44">
        <f>$E958*AS754*Settings!$C$13*(INDEX(AS$407:AS$418,$D958)+INDEX(AS$394:AS$405,$D958))</f>
        <v/>
      </c>
      <c r="AT958" s="44">
        <f>$E958*AT754*Settings!$C$13*(INDEX(AT$407:AT$418,$D958)+INDEX(AT$394:AT$405,$D958))</f>
        <v/>
      </c>
      <c r="AU958" s="44">
        <f>$E958*AU754*Settings!$C$13*(INDEX(AU$407:AU$418,$D958)+INDEX(AU$394:AU$405,$D958))</f>
        <v/>
      </c>
      <c r="AV958" s="44">
        <f>$E958*AV754*Settings!$C$13*(INDEX(AV$407:AV$418,$D958)+INDEX(AV$394:AV$405,$D958))</f>
        <v/>
      </c>
      <c r="AW958" s="44">
        <f>$E958*AW754*Settings!$C$13*(INDEX(AW$407:AW$418,$D958)+INDEX(AW$394:AW$405,$D958))</f>
        <v/>
      </c>
      <c r="AX958" s="44">
        <f>$E958*AX754*Settings!$C$13*(INDEX(AX$407:AX$418,$D958)+INDEX(AX$394:AX$405,$D958))</f>
        <v/>
      </c>
      <c r="AY958" s="44">
        <f>$E958*AY754*Settings!$C$13*(INDEX(AY$407:AY$418,$D958)+INDEX(AY$394:AY$405,$D958))</f>
        <v/>
      </c>
      <c r="AZ958" s="44">
        <f>$E958*AZ754*Settings!$C$13*(INDEX(AZ$407:AZ$418,$D958)+INDEX(AZ$394:AZ$405,$D958))</f>
        <v/>
      </c>
      <c r="BA958" s="57">
        <f>REVENUE($E958*BA754,Settings!$C$13,INDEX(BA$407:BA$418,$D958)+INDEX(BA$394:BA$405,$D958))</f>
        <v/>
      </c>
    </row>
    <row r="959" hidden="1" outlineLevel="1"/>
    <row r="960" hidden="1" outlineLevel="1">
      <c r="A960" s="14" t="inlineStr">
        <is>
          <t>prsub</t>
        </is>
      </c>
      <c r="B960" s="14" t="inlineStr">
        <is>
          <t>coa</t>
        </is>
      </c>
      <c r="C960" s="14" t="inlineStr">
        <is>
          <t>pow</t>
        </is>
      </c>
      <c r="D960" s="45">
        <f>INDEX(Inputs_power!$X$5:$X$13,MATCH($B960,Inputs_power!$A$5:$A$13,0))</f>
        <v/>
      </c>
      <c r="E960" s="45">
        <f>INDEX(Inputs_power!$AW$5:$AW$13,MATCH($B960,Inputs_power!$A$5:$A$13,0))</f>
        <v/>
      </c>
      <c r="F960" s="39" t="n"/>
      <c r="G960" s="39" t="n"/>
      <c r="H960" s="14">
        <f>INDEX(VarLab,MATCH($A960,VarKey,0))&amp;INDEX(MemLab,MATCH($C960&amp;"|"&amp;$B960,MemKey,0))</f>
        <v/>
      </c>
      <c r="I960" s="14">
        <f>INDEX(VarUnit,MATCH($A960,VarKey,0))</f>
        <v/>
      </c>
      <c r="J960" s="14">
        <f>INDEX(VarSrc,MATCH($A960,VarKey,0))</f>
        <v/>
      </c>
      <c r="K960" s="11">
        <f>CodePrefix&amp;$A960&amp;IF($C960="","","."&amp;$C960&amp;"."&amp;$B960)&amp;INDEX(VarEnd,MATCH($A960,VarKey,0))&amp;K$5</f>
        <v/>
      </c>
      <c r="L960" s="43">
        <f>$E960*L746*Settings!$C$13*(INDEX(L$420:L$431,$D960))</f>
        <v/>
      </c>
      <c r="M960" s="44">
        <f>$E960*M746*Settings!$C$13*(INDEX(M$420:M$431,$D960))</f>
        <v/>
      </c>
      <c r="N960" s="44">
        <f>$E960*N746*Settings!$C$13*(INDEX(N$420:N$431,$D960))</f>
        <v/>
      </c>
      <c r="O960" s="44">
        <f>$E960*O746*Settings!$C$13*(INDEX(O$420:O$431,$D960))</f>
        <v/>
      </c>
      <c r="P960" s="44">
        <f>$E960*P746*Settings!$C$13*(INDEX(P$420:P$431,$D960))</f>
        <v/>
      </c>
      <c r="Q960" s="44">
        <f>$E960*Q746*Settings!$C$13*(INDEX(Q$420:Q$431,$D960))</f>
        <v/>
      </c>
      <c r="R960" s="44">
        <f>$E960*R746*Settings!$C$13*(INDEX(R$420:R$431,$D960))</f>
        <v/>
      </c>
      <c r="S960" s="44">
        <f>$E960*S746*Settings!$C$13*(INDEX(S$420:S$431,$D960))</f>
        <v/>
      </c>
      <c r="T960" s="44">
        <f>$E960*T746*Settings!$C$13*(INDEX(T$420:T$431,$D960))</f>
        <v/>
      </c>
      <c r="U960" s="44">
        <f>$E960*U746*Settings!$C$13*(INDEX(U$420:U$431,$D960))</f>
        <v/>
      </c>
      <c r="V960" s="44">
        <f>$E960*V746*Settings!$C$13*(INDEX(V$420:V$431,$D960))</f>
        <v/>
      </c>
      <c r="W960" s="44">
        <f>$E960*W746*Settings!$C$13*(INDEX(W$420:W$431,$D960))</f>
        <v/>
      </c>
      <c r="X960" s="44">
        <f>$E960*X746*Settings!$C$13*(INDEX(X$420:X$431,$D960))</f>
        <v/>
      </c>
      <c r="Y960" s="44">
        <f>$E960*Y746*Settings!$C$13*(INDEX(Y$420:Y$431,$D960))</f>
        <v/>
      </c>
      <c r="Z960" s="44">
        <f>$E960*Z746*Settings!$C$13*(INDEX(Z$420:Z$431,$D960))</f>
        <v/>
      </c>
      <c r="AA960" s="44">
        <f>$E960*AA746*Settings!$C$13*(INDEX(AA$420:AA$431,$D960))</f>
        <v/>
      </c>
      <c r="AB960" s="44">
        <f>$E960*AB746*Settings!$C$13*(INDEX(AB$420:AB$431,$D960))</f>
        <v/>
      </c>
      <c r="AC960" s="44">
        <f>$E960*AC746*Settings!$C$13*(INDEX(AC$420:AC$431,$D960))</f>
        <v/>
      </c>
      <c r="AD960" s="44">
        <f>$E960*AD746*Settings!$C$13*(INDEX(AD$420:AD$431,$D960))</f>
        <v/>
      </c>
      <c r="AE960" s="57">
        <f>REVENUE($E960*AE746,Settings!$C$13,INDEX(AE$420:AE$431,$D960))</f>
        <v/>
      </c>
      <c r="AG960" s="11">
        <f>CodePrefix&amp;$A960&amp;IF($C960="","","."&amp;$C960&amp;"."&amp;$B960)&amp;INDEX(VarEnd,MATCH($A960,VarKey,0))&amp;AG$5</f>
        <v/>
      </c>
      <c r="AH960" s="43">
        <f>$E960*AH746*Settings!$C$13*(INDEX(AH$420:AH$431,$D960))</f>
        <v/>
      </c>
      <c r="AI960" s="44">
        <f>$E960*AI746*Settings!$C$13*(INDEX(AI$420:AI$431,$D960))</f>
        <v/>
      </c>
      <c r="AJ960" s="44">
        <f>$E960*AJ746*Settings!$C$13*(INDEX(AJ$420:AJ$431,$D960))</f>
        <v/>
      </c>
      <c r="AK960" s="44">
        <f>$E960*AK746*Settings!$C$13*(INDEX(AK$420:AK$431,$D960))</f>
        <v/>
      </c>
      <c r="AL960" s="44">
        <f>$E960*AL746*Settings!$C$13*(INDEX(AL$420:AL$431,$D960))</f>
        <v/>
      </c>
      <c r="AM960" s="44">
        <f>$E960*AM746*Settings!$C$13*(INDEX(AM$420:AM$431,$D960))</f>
        <v/>
      </c>
      <c r="AN960" s="44">
        <f>$E960*AN746*Settings!$C$13*(INDEX(AN$420:AN$431,$D960))</f>
        <v/>
      </c>
      <c r="AO960" s="44">
        <f>$E960*AO746*Settings!$C$13*(INDEX(AO$420:AO$431,$D960))</f>
        <v/>
      </c>
      <c r="AP960" s="44">
        <f>$E960*AP746*Settings!$C$13*(INDEX(AP$420:AP$431,$D960))</f>
        <v/>
      </c>
      <c r="AQ960" s="44">
        <f>$E960*AQ746*Settings!$C$13*(INDEX(AQ$420:AQ$431,$D960))</f>
        <v/>
      </c>
      <c r="AR960" s="44">
        <f>$E960*AR746*Settings!$C$13*(INDEX(AR$420:AR$431,$D960))</f>
        <v/>
      </c>
      <c r="AS960" s="44">
        <f>$E960*AS746*Settings!$C$13*(INDEX(AS$420:AS$431,$D960))</f>
        <v/>
      </c>
      <c r="AT960" s="44">
        <f>$E960*AT746*Settings!$C$13*(INDEX(AT$420:AT$431,$D960))</f>
        <v/>
      </c>
      <c r="AU960" s="44">
        <f>$E960*AU746*Settings!$C$13*(INDEX(AU$420:AU$431,$D960))</f>
        <v/>
      </c>
      <c r="AV960" s="44">
        <f>$E960*AV746*Settings!$C$13*(INDEX(AV$420:AV$431,$D960))</f>
        <v/>
      </c>
      <c r="AW960" s="44">
        <f>$E960*AW746*Settings!$C$13*(INDEX(AW$420:AW$431,$D960))</f>
        <v/>
      </c>
      <c r="AX960" s="44">
        <f>$E960*AX746*Settings!$C$13*(INDEX(AX$420:AX$431,$D960))</f>
        <v/>
      </c>
      <c r="AY960" s="44">
        <f>$E960*AY746*Settings!$C$13*(INDEX(AY$420:AY$431,$D960))</f>
        <v/>
      </c>
      <c r="AZ960" s="44">
        <f>$E960*AZ746*Settings!$C$13*(INDEX(AZ$420:AZ$431,$D960))</f>
        <v/>
      </c>
      <c r="BA960" s="57">
        <f>REVENUE($E960*BA746,Settings!$C$13,INDEX(BA$420:BA$431,$D960))</f>
        <v/>
      </c>
    </row>
    <row r="961" hidden="1" outlineLevel="1">
      <c r="A961" s="14" t="inlineStr">
        <is>
          <t>prsub</t>
        </is>
      </c>
      <c r="B961" s="14" t="inlineStr">
        <is>
          <t>nga</t>
        </is>
      </c>
      <c r="C961" s="14" t="inlineStr">
        <is>
          <t>pow</t>
        </is>
      </c>
      <c r="D961" s="45">
        <f>INDEX(Inputs_power!$X$5:$X$13,MATCH($B961,Inputs_power!$A$5:$A$13,0))</f>
        <v/>
      </c>
      <c r="E961" s="45">
        <f>INDEX(Inputs_power!$AW$5:$AW$13,MATCH($B961,Inputs_power!$A$5:$A$13,0))</f>
        <v/>
      </c>
      <c r="F961" s="39" t="n"/>
      <c r="G961" s="39" t="n"/>
      <c r="H961" s="14">
        <f>INDEX(VarLab,MATCH($A961,VarKey,0))&amp;INDEX(MemLab,MATCH($C961&amp;"|"&amp;$B961,MemKey,0))</f>
        <v/>
      </c>
      <c r="I961" s="14">
        <f>INDEX(VarUnit,MATCH($A961,VarKey,0))</f>
        <v/>
      </c>
      <c r="J961" s="14">
        <f>INDEX(VarSrc,MATCH($A961,VarKey,0))</f>
        <v/>
      </c>
      <c r="K961" s="11">
        <f>CodePrefix&amp;$A961&amp;IF($C961="","","."&amp;$C961&amp;"."&amp;$B961)&amp;INDEX(VarEnd,MATCH($A961,VarKey,0))&amp;K$5</f>
        <v/>
      </c>
      <c r="L961" s="43">
        <f>$E961*L747*Settings!$C$13*(INDEX(L$420:L$431,$D961))</f>
        <v/>
      </c>
      <c r="M961" s="44">
        <f>$E961*M747*Settings!$C$13*(INDEX(M$420:M$431,$D961))</f>
        <v/>
      </c>
      <c r="N961" s="44">
        <f>$E961*N747*Settings!$C$13*(INDEX(N$420:N$431,$D961))</f>
        <v/>
      </c>
      <c r="O961" s="44">
        <f>$E961*O747*Settings!$C$13*(INDEX(O$420:O$431,$D961))</f>
        <v/>
      </c>
      <c r="P961" s="44">
        <f>$E961*P747*Settings!$C$13*(INDEX(P$420:P$431,$D961))</f>
        <v/>
      </c>
      <c r="Q961" s="44">
        <f>$E961*Q747*Settings!$C$13*(INDEX(Q$420:Q$431,$D961))</f>
        <v/>
      </c>
      <c r="R961" s="44">
        <f>$E961*R747*Settings!$C$13*(INDEX(R$420:R$431,$D961))</f>
        <v/>
      </c>
      <c r="S961" s="44">
        <f>$E961*S747*Settings!$C$13*(INDEX(S$420:S$431,$D961))</f>
        <v/>
      </c>
      <c r="T961" s="44">
        <f>$E961*T747*Settings!$C$13*(INDEX(T$420:T$431,$D961))</f>
        <v/>
      </c>
      <c r="U961" s="44">
        <f>$E961*U747*Settings!$C$13*(INDEX(U$420:U$431,$D961))</f>
        <v/>
      </c>
      <c r="V961" s="44">
        <f>$E961*V747*Settings!$C$13*(INDEX(V$420:V$431,$D961))</f>
        <v/>
      </c>
      <c r="W961" s="44">
        <f>$E961*W747*Settings!$C$13*(INDEX(W$420:W$431,$D961))</f>
        <v/>
      </c>
      <c r="X961" s="44">
        <f>$E961*X747*Settings!$C$13*(INDEX(X$420:X$431,$D961))</f>
        <v/>
      </c>
      <c r="Y961" s="44">
        <f>$E961*Y747*Settings!$C$13*(INDEX(Y$420:Y$431,$D961))</f>
        <v/>
      </c>
      <c r="Z961" s="44">
        <f>$E961*Z747*Settings!$C$13*(INDEX(Z$420:Z$431,$D961))</f>
        <v/>
      </c>
      <c r="AA961" s="44">
        <f>$E961*AA747*Settings!$C$13*(INDEX(AA$420:AA$431,$D961))</f>
        <v/>
      </c>
      <c r="AB961" s="44">
        <f>$E961*AB747*Settings!$C$13*(INDEX(AB$420:AB$431,$D961))</f>
        <v/>
      </c>
      <c r="AC961" s="44">
        <f>$E961*AC747*Settings!$C$13*(INDEX(AC$420:AC$431,$D961))</f>
        <v/>
      </c>
      <c r="AD961" s="44">
        <f>$E961*AD747*Settings!$C$13*(INDEX(AD$420:AD$431,$D961))</f>
        <v/>
      </c>
      <c r="AE961" s="57">
        <f>REVENUE($E961*AE747,Settings!$C$13,INDEX(AE$420:AE$431,$D961))</f>
        <v/>
      </c>
      <c r="AG961" s="11">
        <f>CodePrefix&amp;$A961&amp;IF($C961="","","."&amp;$C961&amp;"."&amp;$B961)&amp;INDEX(VarEnd,MATCH($A961,VarKey,0))&amp;AG$5</f>
        <v/>
      </c>
      <c r="AH961" s="43">
        <f>$E961*AH747*Settings!$C$13*(INDEX(AH$420:AH$431,$D961))</f>
        <v/>
      </c>
      <c r="AI961" s="44">
        <f>$E961*AI747*Settings!$C$13*(INDEX(AI$420:AI$431,$D961))</f>
        <v/>
      </c>
      <c r="AJ961" s="44">
        <f>$E961*AJ747*Settings!$C$13*(INDEX(AJ$420:AJ$431,$D961))</f>
        <v/>
      </c>
      <c r="AK961" s="44">
        <f>$E961*AK747*Settings!$C$13*(INDEX(AK$420:AK$431,$D961))</f>
        <v/>
      </c>
      <c r="AL961" s="44">
        <f>$E961*AL747*Settings!$C$13*(INDEX(AL$420:AL$431,$D961))</f>
        <v/>
      </c>
      <c r="AM961" s="44">
        <f>$E961*AM747*Settings!$C$13*(INDEX(AM$420:AM$431,$D961))</f>
        <v/>
      </c>
      <c r="AN961" s="44">
        <f>$E961*AN747*Settings!$C$13*(INDEX(AN$420:AN$431,$D961))</f>
        <v/>
      </c>
      <c r="AO961" s="44">
        <f>$E961*AO747*Settings!$C$13*(INDEX(AO$420:AO$431,$D961))</f>
        <v/>
      </c>
      <c r="AP961" s="44">
        <f>$E961*AP747*Settings!$C$13*(INDEX(AP$420:AP$431,$D961))</f>
        <v/>
      </c>
      <c r="AQ961" s="44">
        <f>$E961*AQ747*Settings!$C$13*(INDEX(AQ$420:AQ$431,$D961))</f>
        <v/>
      </c>
      <c r="AR961" s="44">
        <f>$E961*AR747*Settings!$C$13*(INDEX(AR$420:AR$431,$D961))</f>
        <v/>
      </c>
      <c r="AS961" s="44">
        <f>$E961*AS747*Settings!$C$13*(INDEX(AS$420:AS$431,$D961))</f>
        <v/>
      </c>
      <c r="AT961" s="44">
        <f>$E961*AT747*Settings!$C$13*(INDEX(AT$420:AT$431,$D961))</f>
        <v/>
      </c>
      <c r="AU961" s="44">
        <f>$E961*AU747*Settings!$C$13*(INDEX(AU$420:AU$431,$D961))</f>
        <v/>
      </c>
      <c r="AV961" s="44">
        <f>$E961*AV747*Settings!$C$13*(INDEX(AV$420:AV$431,$D961))</f>
        <v/>
      </c>
      <c r="AW961" s="44">
        <f>$E961*AW747*Settings!$C$13*(INDEX(AW$420:AW$431,$D961))</f>
        <v/>
      </c>
      <c r="AX961" s="44">
        <f>$E961*AX747*Settings!$C$13*(INDEX(AX$420:AX$431,$D961))</f>
        <v/>
      </c>
      <c r="AY961" s="44">
        <f>$E961*AY747*Settings!$C$13*(INDEX(AY$420:AY$431,$D961))</f>
        <v/>
      </c>
      <c r="AZ961" s="44">
        <f>$E961*AZ747*Settings!$C$13*(INDEX(AZ$420:AZ$431,$D961))</f>
        <v/>
      </c>
      <c r="BA961" s="57">
        <f>REVENUE($E961*BA747,Settings!$C$13,INDEX(BA$420:BA$431,$D961))</f>
        <v/>
      </c>
    </row>
    <row r="962" hidden="1" outlineLevel="1">
      <c r="A962" s="14" t="inlineStr">
        <is>
          <t>prsub</t>
        </is>
      </c>
      <c r="B962" s="14" t="inlineStr">
        <is>
          <t>oop</t>
        </is>
      </c>
      <c r="C962" s="14" t="inlineStr">
        <is>
          <t>pow</t>
        </is>
      </c>
      <c r="D962" s="45">
        <f>INDEX(Inputs_power!$X$5:$X$13,MATCH($B962,Inputs_power!$A$5:$A$13,0))</f>
        <v/>
      </c>
      <c r="E962" s="45">
        <f>INDEX(Inputs_power!$AW$5:$AW$13,MATCH($B962,Inputs_power!$A$5:$A$13,0))</f>
        <v/>
      </c>
      <c r="F962" s="39" t="n"/>
      <c r="G962" s="39" t="n"/>
      <c r="H962" s="14">
        <f>INDEX(VarLab,MATCH($A962,VarKey,0))&amp;INDEX(MemLab,MATCH($C962&amp;"|"&amp;$B962,MemKey,0))</f>
        <v/>
      </c>
      <c r="I962" s="14">
        <f>INDEX(VarUnit,MATCH($A962,VarKey,0))</f>
        <v/>
      </c>
      <c r="J962" s="14">
        <f>INDEX(VarSrc,MATCH($A962,VarKey,0))</f>
        <v/>
      </c>
      <c r="K962" s="11">
        <f>CodePrefix&amp;$A962&amp;IF($C962="","","."&amp;$C962&amp;"."&amp;$B962)&amp;INDEX(VarEnd,MATCH($A962,VarKey,0))&amp;K$5</f>
        <v/>
      </c>
      <c r="L962" s="43">
        <f>$E962*L748*Settings!$C$13*(INDEX(L$420:L$431,$D962))</f>
        <v/>
      </c>
      <c r="M962" s="44">
        <f>$E962*M748*Settings!$C$13*(INDEX(M$420:M$431,$D962))</f>
        <v/>
      </c>
      <c r="N962" s="44">
        <f>$E962*N748*Settings!$C$13*(INDEX(N$420:N$431,$D962))</f>
        <v/>
      </c>
      <c r="O962" s="44">
        <f>$E962*O748*Settings!$C$13*(INDEX(O$420:O$431,$D962))</f>
        <v/>
      </c>
      <c r="P962" s="44">
        <f>$E962*P748*Settings!$C$13*(INDEX(P$420:P$431,$D962))</f>
        <v/>
      </c>
      <c r="Q962" s="44">
        <f>$E962*Q748*Settings!$C$13*(INDEX(Q$420:Q$431,$D962))</f>
        <v/>
      </c>
      <c r="R962" s="44">
        <f>$E962*R748*Settings!$C$13*(INDEX(R$420:R$431,$D962))</f>
        <v/>
      </c>
      <c r="S962" s="44">
        <f>$E962*S748*Settings!$C$13*(INDEX(S$420:S$431,$D962))</f>
        <v/>
      </c>
      <c r="T962" s="44">
        <f>$E962*T748*Settings!$C$13*(INDEX(T$420:T$431,$D962))</f>
        <v/>
      </c>
      <c r="U962" s="44">
        <f>$E962*U748*Settings!$C$13*(INDEX(U$420:U$431,$D962))</f>
        <v/>
      </c>
      <c r="V962" s="44">
        <f>$E962*V748*Settings!$C$13*(INDEX(V$420:V$431,$D962))</f>
        <v/>
      </c>
      <c r="W962" s="44">
        <f>$E962*W748*Settings!$C$13*(INDEX(W$420:W$431,$D962))</f>
        <v/>
      </c>
      <c r="X962" s="44">
        <f>$E962*X748*Settings!$C$13*(INDEX(X$420:X$431,$D962))</f>
        <v/>
      </c>
      <c r="Y962" s="44">
        <f>$E962*Y748*Settings!$C$13*(INDEX(Y$420:Y$431,$D962))</f>
        <v/>
      </c>
      <c r="Z962" s="44">
        <f>$E962*Z748*Settings!$C$13*(INDEX(Z$420:Z$431,$D962))</f>
        <v/>
      </c>
      <c r="AA962" s="44">
        <f>$E962*AA748*Settings!$C$13*(INDEX(AA$420:AA$431,$D962))</f>
        <v/>
      </c>
      <c r="AB962" s="44">
        <f>$E962*AB748*Settings!$C$13*(INDEX(AB$420:AB$431,$D962))</f>
        <v/>
      </c>
      <c r="AC962" s="44">
        <f>$E962*AC748*Settings!$C$13*(INDEX(AC$420:AC$431,$D962))</f>
        <v/>
      </c>
      <c r="AD962" s="44">
        <f>$E962*AD748*Settings!$C$13*(INDEX(AD$420:AD$431,$D962))</f>
        <v/>
      </c>
      <c r="AE962" s="57">
        <f>REVENUE($E962*AE748,Settings!$C$13,INDEX(AE$420:AE$431,$D962))</f>
        <v/>
      </c>
      <c r="AG962" s="11">
        <f>CodePrefix&amp;$A962&amp;IF($C962="","","."&amp;$C962&amp;"."&amp;$B962)&amp;INDEX(VarEnd,MATCH($A962,VarKey,0))&amp;AG$5</f>
        <v/>
      </c>
      <c r="AH962" s="43">
        <f>$E962*AH748*Settings!$C$13*(INDEX(AH$420:AH$431,$D962))</f>
        <v/>
      </c>
      <c r="AI962" s="44">
        <f>$E962*AI748*Settings!$C$13*(INDEX(AI$420:AI$431,$D962))</f>
        <v/>
      </c>
      <c r="AJ962" s="44">
        <f>$E962*AJ748*Settings!$C$13*(INDEX(AJ$420:AJ$431,$D962))</f>
        <v/>
      </c>
      <c r="AK962" s="44">
        <f>$E962*AK748*Settings!$C$13*(INDEX(AK$420:AK$431,$D962))</f>
        <v/>
      </c>
      <c r="AL962" s="44">
        <f>$E962*AL748*Settings!$C$13*(INDEX(AL$420:AL$431,$D962))</f>
        <v/>
      </c>
      <c r="AM962" s="44">
        <f>$E962*AM748*Settings!$C$13*(INDEX(AM$420:AM$431,$D962))</f>
        <v/>
      </c>
      <c r="AN962" s="44">
        <f>$E962*AN748*Settings!$C$13*(INDEX(AN$420:AN$431,$D962))</f>
        <v/>
      </c>
      <c r="AO962" s="44">
        <f>$E962*AO748*Settings!$C$13*(INDEX(AO$420:AO$431,$D962))</f>
        <v/>
      </c>
      <c r="AP962" s="44">
        <f>$E962*AP748*Settings!$C$13*(INDEX(AP$420:AP$431,$D962))</f>
        <v/>
      </c>
      <c r="AQ962" s="44">
        <f>$E962*AQ748*Settings!$C$13*(INDEX(AQ$420:AQ$431,$D962))</f>
        <v/>
      </c>
      <c r="AR962" s="44">
        <f>$E962*AR748*Settings!$C$13*(INDEX(AR$420:AR$431,$D962))</f>
        <v/>
      </c>
      <c r="AS962" s="44">
        <f>$E962*AS748*Settings!$C$13*(INDEX(AS$420:AS$431,$D962))</f>
        <v/>
      </c>
      <c r="AT962" s="44">
        <f>$E962*AT748*Settings!$C$13*(INDEX(AT$420:AT$431,$D962))</f>
        <v/>
      </c>
      <c r="AU962" s="44">
        <f>$E962*AU748*Settings!$C$13*(INDEX(AU$420:AU$431,$D962))</f>
        <v/>
      </c>
      <c r="AV962" s="44">
        <f>$E962*AV748*Settings!$C$13*(INDEX(AV$420:AV$431,$D962))</f>
        <v/>
      </c>
      <c r="AW962" s="44">
        <f>$E962*AW748*Settings!$C$13*(INDEX(AW$420:AW$431,$D962))</f>
        <v/>
      </c>
      <c r="AX962" s="44">
        <f>$E962*AX748*Settings!$C$13*(INDEX(AX$420:AX$431,$D962))</f>
        <v/>
      </c>
      <c r="AY962" s="44">
        <f>$E962*AY748*Settings!$C$13*(INDEX(AY$420:AY$431,$D962))</f>
        <v/>
      </c>
      <c r="AZ962" s="44">
        <f>$E962*AZ748*Settings!$C$13*(INDEX(AZ$420:AZ$431,$D962))</f>
        <v/>
      </c>
      <c r="BA962" s="57">
        <f>REVENUE($E962*BA748,Settings!$C$13,INDEX(BA$420:BA$431,$D962))</f>
        <v/>
      </c>
    </row>
    <row r="963" hidden="1" outlineLevel="1">
      <c r="A963" s="14" t="inlineStr">
        <is>
          <t>prsub</t>
        </is>
      </c>
      <c r="B963" s="14" t="inlineStr">
        <is>
          <t>nuc</t>
        </is>
      </c>
      <c r="C963" s="14" t="inlineStr">
        <is>
          <t>pow</t>
        </is>
      </c>
      <c r="D963" s="45">
        <f>INDEX(Inputs_power!$X$5:$X$13,MATCH($B963,Inputs_power!$A$5:$A$13,0))</f>
        <v/>
      </c>
      <c r="E963" s="45">
        <f>INDEX(Inputs_power!$AW$5:$AW$13,MATCH($B963,Inputs_power!$A$5:$A$13,0))</f>
        <v/>
      </c>
      <c r="F963" s="39" t="n"/>
      <c r="G963" s="39" t="n"/>
      <c r="H963" s="14">
        <f>INDEX(VarLab,MATCH($A963,VarKey,0))&amp;INDEX(MemLab,MATCH($C963&amp;"|"&amp;$B963,MemKey,0))</f>
        <v/>
      </c>
      <c r="I963" s="14">
        <f>INDEX(VarUnit,MATCH($A963,VarKey,0))</f>
        <v/>
      </c>
      <c r="J963" s="14">
        <f>INDEX(VarSrc,MATCH($A963,VarKey,0))</f>
        <v/>
      </c>
      <c r="K963" s="11">
        <f>CodePrefix&amp;$A963&amp;IF($C963="","","."&amp;$C963&amp;"."&amp;$B963)&amp;INDEX(VarEnd,MATCH($A963,VarKey,0))&amp;K$5</f>
        <v/>
      </c>
      <c r="L963" s="43">
        <f>$E963*L749*Settings!$C$13*(INDEX(L$420:L$431,$D963))</f>
        <v/>
      </c>
      <c r="M963" s="44">
        <f>$E963*M749*Settings!$C$13*(INDEX(M$420:M$431,$D963))</f>
        <v/>
      </c>
      <c r="N963" s="44">
        <f>$E963*N749*Settings!$C$13*(INDEX(N$420:N$431,$D963))</f>
        <v/>
      </c>
      <c r="O963" s="44">
        <f>$E963*O749*Settings!$C$13*(INDEX(O$420:O$431,$D963))</f>
        <v/>
      </c>
      <c r="P963" s="44">
        <f>$E963*P749*Settings!$C$13*(INDEX(P$420:P$431,$D963))</f>
        <v/>
      </c>
      <c r="Q963" s="44">
        <f>$E963*Q749*Settings!$C$13*(INDEX(Q$420:Q$431,$D963))</f>
        <v/>
      </c>
      <c r="R963" s="44">
        <f>$E963*R749*Settings!$C$13*(INDEX(R$420:R$431,$D963))</f>
        <v/>
      </c>
      <c r="S963" s="44">
        <f>$E963*S749*Settings!$C$13*(INDEX(S$420:S$431,$D963))</f>
        <v/>
      </c>
      <c r="T963" s="44">
        <f>$E963*T749*Settings!$C$13*(INDEX(T$420:T$431,$D963))</f>
        <v/>
      </c>
      <c r="U963" s="44">
        <f>$E963*U749*Settings!$C$13*(INDEX(U$420:U$431,$D963))</f>
        <v/>
      </c>
      <c r="V963" s="44">
        <f>$E963*V749*Settings!$C$13*(INDEX(V$420:V$431,$D963))</f>
        <v/>
      </c>
      <c r="W963" s="44">
        <f>$E963*W749*Settings!$C$13*(INDEX(W$420:W$431,$D963))</f>
        <v/>
      </c>
      <c r="X963" s="44">
        <f>$E963*X749*Settings!$C$13*(INDEX(X$420:X$431,$D963))</f>
        <v/>
      </c>
      <c r="Y963" s="44">
        <f>$E963*Y749*Settings!$C$13*(INDEX(Y$420:Y$431,$D963))</f>
        <v/>
      </c>
      <c r="Z963" s="44">
        <f>$E963*Z749*Settings!$C$13*(INDEX(Z$420:Z$431,$D963))</f>
        <v/>
      </c>
      <c r="AA963" s="44">
        <f>$E963*AA749*Settings!$C$13*(INDEX(AA$420:AA$431,$D963))</f>
        <v/>
      </c>
      <c r="AB963" s="44">
        <f>$E963*AB749*Settings!$C$13*(INDEX(AB$420:AB$431,$D963))</f>
        <v/>
      </c>
      <c r="AC963" s="44">
        <f>$E963*AC749*Settings!$C$13*(INDEX(AC$420:AC$431,$D963))</f>
        <v/>
      </c>
      <c r="AD963" s="44">
        <f>$E963*AD749*Settings!$C$13*(INDEX(AD$420:AD$431,$D963))</f>
        <v/>
      </c>
      <c r="AE963" s="57">
        <f>REVENUE($E963*AE749,Settings!$C$13,INDEX(AE$420:AE$431,$D963))</f>
        <v/>
      </c>
      <c r="AG963" s="11">
        <f>CodePrefix&amp;$A963&amp;IF($C963="","","."&amp;$C963&amp;"."&amp;$B963)&amp;INDEX(VarEnd,MATCH($A963,VarKey,0))&amp;AG$5</f>
        <v/>
      </c>
      <c r="AH963" s="43">
        <f>$E963*AH749*Settings!$C$13*(INDEX(AH$420:AH$431,$D963))</f>
        <v/>
      </c>
      <c r="AI963" s="44">
        <f>$E963*AI749*Settings!$C$13*(INDEX(AI$420:AI$431,$D963))</f>
        <v/>
      </c>
      <c r="AJ963" s="44">
        <f>$E963*AJ749*Settings!$C$13*(INDEX(AJ$420:AJ$431,$D963))</f>
        <v/>
      </c>
      <c r="AK963" s="44">
        <f>$E963*AK749*Settings!$C$13*(INDEX(AK$420:AK$431,$D963))</f>
        <v/>
      </c>
      <c r="AL963" s="44">
        <f>$E963*AL749*Settings!$C$13*(INDEX(AL$420:AL$431,$D963))</f>
        <v/>
      </c>
      <c r="AM963" s="44">
        <f>$E963*AM749*Settings!$C$13*(INDEX(AM$420:AM$431,$D963))</f>
        <v/>
      </c>
      <c r="AN963" s="44">
        <f>$E963*AN749*Settings!$C$13*(INDEX(AN$420:AN$431,$D963))</f>
        <v/>
      </c>
      <c r="AO963" s="44">
        <f>$E963*AO749*Settings!$C$13*(INDEX(AO$420:AO$431,$D963))</f>
        <v/>
      </c>
      <c r="AP963" s="44">
        <f>$E963*AP749*Settings!$C$13*(INDEX(AP$420:AP$431,$D963))</f>
        <v/>
      </c>
      <c r="AQ963" s="44">
        <f>$E963*AQ749*Settings!$C$13*(INDEX(AQ$420:AQ$431,$D963))</f>
        <v/>
      </c>
      <c r="AR963" s="44">
        <f>$E963*AR749*Settings!$C$13*(INDEX(AR$420:AR$431,$D963))</f>
        <v/>
      </c>
      <c r="AS963" s="44">
        <f>$E963*AS749*Settings!$C$13*(INDEX(AS$420:AS$431,$D963))</f>
        <v/>
      </c>
      <c r="AT963" s="44">
        <f>$E963*AT749*Settings!$C$13*(INDEX(AT$420:AT$431,$D963))</f>
        <v/>
      </c>
      <c r="AU963" s="44">
        <f>$E963*AU749*Settings!$C$13*(INDEX(AU$420:AU$431,$D963))</f>
        <v/>
      </c>
      <c r="AV963" s="44">
        <f>$E963*AV749*Settings!$C$13*(INDEX(AV$420:AV$431,$D963))</f>
        <v/>
      </c>
      <c r="AW963" s="44">
        <f>$E963*AW749*Settings!$C$13*(INDEX(AW$420:AW$431,$D963))</f>
        <v/>
      </c>
      <c r="AX963" s="44">
        <f>$E963*AX749*Settings!$C$13*(INDEX(AX$420:AX$431,$D963))</f>
        <v/>
      </c>
      <c r="AY963" s="44">
        <f>$E963*AY749*Settings!$C$13*(INDEX(AY$420:AY$431,$D963))</f>
        <v/>
      </c>
      <c r="AZ963" s="44">
        <f>$E963*AZ749*Settings!$C$13*(INDEX(AZ$420:AZ$431,$D963))</f>
        <v/>
      </c>
      <c r="BA963" s="57">
        <f>REVENUE($E963*BA749,Settings!$C$13,INDEX(BA$420:BA$431,$D963))</f>
        <v/>
      </c>
    </row>
    <row r="964" hidden="1" outlineLevel="1">
      <c r="A964" s="14" t="inlineStr">
        <is>
          <t>prsub</t>
        </is>
      </c>
      <c r="B964" s="14" t="inlineStr">
        <is>
          <t>wnd</t>
        </is>
      </c>
      <c r="C964" s="14" t="inlineStr">
        <is>
          <t>pow</t>
        </is>
      </c>
      <c r="D964" s="45">
        <f>INDEX(Inputs_power!$X$5:$X$13,MATCH($B964,Inputs_power!$A$5:$A$13,0))</f>
        <v/>
      </c>
      <c r="E964" s="45">
        <f>INDEX(Inputs_power!$AW$5:$AW$13,MATCH($B964,Inputs_power!$A$5:$A$13,0))</f>
        <v/>
      </c>
      <c r="F964" s="39" t="n"/>
      <c r="G964" s="39" t="n"/>
      <c r="H964" s="14">
        <f>INDEX(VarLab,MATCH($A964,VarKey,0))&amp;INDEX(MemLab,MATCH($C964&amp;"|"&amp;$B964,MemKey,0))</f>
        <v/>
      </c>
      <c r="I964" s="14">
        <f>INDEX(VarUnit,MATCH($A964,VarKey,0))</f>
        <v/>
      </c>
      <c r="J964" s="14">
        <f>INDEX(VarSrc,MATCH($A964,VarKey,0))</f>
        <v/>
      </c>
      <c r="K964" s="11">
        <f>CodePrefix&amp;$A964&amp;IF($C964="","","."&amp;$C964&amp;"."&amp;$B964)&amp;INDEX(VarEnd,MATCH($A964,VarKey,0))&amp;K$5</f>
        <v/>
      </c>
      <c r="L964" s="43">
        <f>$E964*L750*Settings!$C$13*(INDEX(L$420:L$431,$D964))</f>
        <v/>
      </c>
      <c r="M964" s="44">
        <f>$E964*M750*Settings!$C$13*(INDEX(M$420:M$431,$D964))</f>
        <v/>
      </c>
      <c r="N964" s="44">
        <f>$E964*N750*Settings!$C$13*(INDEX(N$420:N$431,$D964))</f>
        <v/>
      </c>
      <c r="O964" s="44">
        <f>$E964*O750*Settings!$C$13*(INDEX(O$420:O$431,$D964))</f>
        <v/>
      </c>
      <c r="P964" s="44">
        <f>$E964*P750*Settings!$C$13*(INDEX(P$420:P$431,$D964))</f>
        <v/>
      </c>
      <c r="Q964" s="44">
        <f>$E964*Q750*Settings!$C$13*(INDEX(Q$420:Q$431,$D964))</f>
        <v/>
      </c>
      <c r="R964" s="44">
        <f>$E964*R750*Settings!$C$13*(INDEX(R$420:R$431,$D964))</f>
        <v/>
      </c>
      <c r="S964" s="44">
        <f>$E964*S750*Settings!$C$13*(INDEX(S$420:S$431,$D964))</f>
        <v/>
      </c>
      <c r="T964" s="44">
        <f>$E964*T750*Settings!$C$13*(INDEX(T$420:T$431,$D964))</f>
        <v/>
      </c>
      <c r="U964" s="44">
        <f>$E964*U750*Settings!$C$13*(INDEX(U$420:U$431,$D964))</f>
        <v/>
      </c>
      <c r="V964" s="44">
        <f>$E964*V750*Settings!$C$13*(INDEX(V$420:V$431,$D964))</f>
        <v/>
      </c>
      <c r="W964" s="44">
        <f>$E964*W750*Settings!$C$13*(INDEX(W$420:W$431,$D964))</f>
        <v/>
      </c>
      <c r="X964" s="44">
        <f>$E964*X750*Settings!$C$13*(INDEX(X$420:X$431,$D964))</f>
        <v/>
      </c>
      <c r="Y964" s="44">
        <f>$E964*Y750*Settings!$C$13*(INDEX(Y$420:Y$431,$D964))</f>
        <v/>
      </c>
      <c r="Z964" s="44">
        <f>$E964*Z750*Settings!$C$13*(INDEX(Z$420:Z$431,$D964))</f>
        <v/>
      </c>
      <c r="AA964" s="44">
        <f>$E964*AA750*Settings!$C$13*(INDEX(AA$420:AA$431,$D964))</f>
        <v/>
      </c>
      <c r="AB964" s="44">
        <f>$E964*AB750*Settings!$C$13*(INDEX(AB$420:AB$431,$D964))</f>
        <v/>
      </c>
      <c r="AC964" s="44">
        <f>$E964*AC750*Settings!$C$13*(INDEX(AC$420:AC$431,$D964))</f>
        <v/>
      </c>
      <c r="AD964" s="44">
        <f>$E964*AD750*Settings!$C$13*(INDEX(AD$420:AD$431,$D964))</f>
        <v/>
      </c>
      <c r="AE964" s="57">
        <f>REVENUE($E964*AE750,Settings!$C$13,INDEX(AE$420:AE$431,$D964))</f>
        <v/>
      </c>
      <c r="AG964" s="11">
        <f>CodePrefix&amp;$A964&amp;IF($C964="","","."&amp;$C964&amp;"."&amp;$B964)&amp;INDEX(VarEnd,MATCH($A964,VarKey,0))&amp;AG$5</f>
        <v/>
      </c>
      <c r="AH964" s="43">
        <f>$E964*AH750*Settings!$C$13*(INDEX(AH$420:AH$431,$D964))</f>
        <v/>
      </c>
      <c r="AI964" s="44">
        <f>$E964*AI750*Settings!$C$13*(INDEX(AI$420:AI$431,$D964))</f>
        <v/>
      </c>
      <c r="AJ964" s="44">
        <f>$E964*AJ750*Settings!$C$13*(INDEX(AJ$420:AJ$431,$D964))</f>
        <v/>
      </c>
      <c r="AK964" s="44">
        <f>$E964*AK750*Settings!$C$13*(INDEX(AK$420:AK$431,$D964))</f>
        <v/>
      </c>
      <c r="AL964" s="44">
        <f>$E964*AL750*Settings!$C$13*(INDEX(AL$420:AL$431,$D964))</f>
        <v/>
      </c>
      <c r="AM964" s="44">
        <f>$E964*AM750*Settings!$C$13*(INDEX(AM$420:AM$431,$D964))</f>
        <v/>
      </c>
      <c r="AN964" s="44">
        <f>$E964*AN750*Settings!$C$13*(INDEX(AN$420:AN$431,$D964))</f>
        <v/>
      </c>
      <c r="AO964" s="44">
        <f>$E964*AO750*Settings!$C$13*(INDEX(AO$420:AO$431,$D964))</f>
        <v/>
      </c>
      <c r="AP964" s="44">
        <f>$E964*AP750*Settings!$C$13*(INDEX(AP$420:AP$431,$D964))</f>
        <v/>
      </c>
      <c r="AQ964" s="44">
        <f>$E964*AQ750*Settings!$C$13*(INDEX(AQ$420:AQ$431,$D964))</f>
        <v/>
      </c>
      <c r="AR964" s="44">
        <f>$E964*AR750*Settings!$C$13*(INDEX(AR$420:AR$431,$D964))</f>
        <v/>
      </c>
      <c r="AS964" s="44">
        <f>$E964*AS750*Settings!$C$13*(INDEX(AS$420:AS$431,$D964))</f>
        <v/>
      </c>
      <c r="AT964" s="44">
        <f>$E964*AT750*Settings!$C$13*(INDEX(AT$420:AT$431,$D964))</f>
        <v/>
      </c>
      <c r="AU964" s="44">
        <f>$E964*AU750*Settings!$C$13*(INDEX(AU$420:AU$431,$D964))</f>
        <v/>
      </c>
      <c r="AV964" s="44">
        <f>$E964*AV750*Settings!$C$13*(INDEX(AV$420:AV$431,$D964))</f>
        <v/>
      </c>
      <c r="AW964" s="44">
        <f>$E964*AW750*Settings!$C$13*(INDEX(AW$420:AW$431,$D964))</f>
        <v/>
      </c>
      <c r="AX964" s="44">
        <f>$E964*AX750*Settings!$C$13*(INDEX(AX$420:AX$431,$D964))</f>
        <v/>
      </c>
      <c r="AY964" s="44">
        <f>$E964*AY750*Settings!$C$13*(INDEX(AY$420:AY$431,$D964))</f>
        <v/>
      </c>
      <c r="AZ964" s="44">
        <f>$E964*AZ750*Settings!$C$13*(INDEX(AZ$420:AZ$431,$D964))</f>
        <v/>
      </c>
      <c r="BA964" s="57">
        <f>REVENUE($E964*BA750,Settings!$C$13,INDEX(BA$420:BA$431,$D964))</f>
        <v/>
      </c>
    </row>
    <row r="965" hidden="1" outlineLevel="1">
      <c r="A965" s="14" t="inlineStr">
        <is>
          <t>prsub</t>
        </is>
      </c>
      <c r="B965" s="14" t="inlineStr">
        <is>
          <t>sol</t>
        </is>
      </c>
      <c r="C965" s="14" t="inlineStr">
        <is>
          <t>pow</t>
        </is>
      </c>
      <c r="D965" s="45">
        <f>INDEX(Inputs_power!$X$5:$X$13,MATCH($B965,Inputs_power!$A$5:$A$13,0))</f>
        <v/>
      </c>
      <c r="E965" s="45">
        <f>INDEX(Inputs_power!$AW$5:$AW$13,MATCH($B965,Inputs_power!$A$5:$A$13,0))</f>
        <v/>
      </c>
      <c r="F965" s="39" t="n"/>
      <c r="G965" s="39" t="n"/>
      <c r="H965" s="14">
        <f>INDEX(VarLab,MATCH($A965,VarKey,0))&amp;INDEX(MemLab,MATCH($C965&amp;"|"&amp;$B965,MemKey,0))</f>
        <v/>
      </c>
      <c r="I965" s="14">
        <f>INDEX(VarUnit,MATCH($A965,VarKey,0))</f>
        <v/>
      </c>
      <c r="J965" s="14">
        <f>INDEX(VarSrc,MATCH($A965,VarKey,0))</f>
        <v/>
      </c>
      <c r="K965" s="11">
        <f>CodePrefix&amp;$A965&amp;IF($C965="","","."&amp;$C965&amp;"."&amp;$B965)&amp;INDEX(VarEnd,MATCH($A965,VarKey,0))&amp;K$5</f>
        <v/>
      </c>
      <c r="L965" s="43">
        <f>$E965*L751*Settings!$C$13*(INDEX(L$420:L$431,$D965))</f>
        <v/>
      </c>
      <c r="M965" s="44">
        <f>$E965*M751*Settings!$C$13*(INDEX(M$420:M$431,$D965))</f>
        <v/>
      </c>
      <c r="N965" s="44">
        <f>$E965*N751*Settings!$C$13*(INDEX(N$420:N$431,$D965))</f>
        <v/>
      </c>
      <c r="O965" s="44">
        <f>$E965*O751*Settings!$C$13*(INDEX(O$420:O$431,$D965))</f>
        <v/>
      </c>
      <c r="P965" s="44">
        <f>$E965*P751*Settings!$C$13*(INDEX(P$420:P$431,$D965))</f>
        <v/>
      </c>
      <c r="Q965" s="44">
        <f>$E965*Q751*Settings!$C$13*(INDEX(Q$420:Q$431,$D965))</f>
        <v/>
      </c>
      <c r="R965" s="44">
        <f>$E965*R751*Settings!$C$13*(INDEX(R$420:R$431,$D965))</f>
        <v/>
      </c>
      <c r="S965" s="44">
        <f>$E965*S751*Settings!$C$13*(INDEX(S$420:S$431,$D965))</f>
        <v/>
      </c>
      <c r="T965" s="44">
        <f>$E965*T751*Settings!$C$13*(INDEX(T$420:T$431,$D965))</f>
        <v/>
      </c>
      <c r="U965" s="44">
        <f>$E965*U751*Settings!$C$13*(INDEX(U$420:U$431,$D965))</f>
        <v/>
      </c>
      <c r="V965" s="44">
        <f>$E965*V751*Settings!$C$13*(INDEX(V$420:V$431,$D965))</f>
        <v/>
      </c>
      <c r="W965" s="44">
        <f>$E965*W751*Settings!$C$13*(INDEX(W$420:W$431,$D965))</f>
        <v/>
      </c>
      <c r="X965" s="44">
        <f>$E965*X751*Settings!$C$13*(INDEX(X$420:X$431,$D965))</f>
        <v/>
      </c>
      <c r="Y965" s="44">
        <f>$E965*Y751*Settings!$C$13*(INDEX(Y$420:Y$431,$D965))</f>
        <v/>
      </c>
      <c r="Z965" s="44">
        <f>$E965*Z751*Settings!$C$13*(INDEX(Z$420:Z$431,$D965))</f>
        <v/>
      </c>
      <c r="AA965" s="44">
        <f>$E965*AA751*Settings!$C$13*(INDEX(AA$420:AA$431,$D965))</f>
        <v/>
      </c>
      <c r="AB965" s="44">
        <f>$E965*AB751*Settings!$C$13*(INDEX(AB$420:AB$431,$D965))</f>
        <v/>
      </c>
      <c r="AC965" s="44">
        <f>$E965*AC751*Settings!$C$13*(INDEX(AC$420:AC$431,$D965))</f>
        <v/>
      </c>
      <c r="AD965" s="44">
        <f>$E965*AD751*Settings!$C$13*(INDEX(AD$420:AD$431,$D965))</f>
        <v/>
      </c>
      <c r="AE965" s="57">
        <f>REVENUE($E965*AE751,Settings!$C$13,INDEX(AE$420:AE$431,$D965))</f>
        <v/>
      </c>
      <c r="AG965" s="11">
        <f>CodePrefix&amp;$A965&amp;IF($C965="","","."&amp;$C965&amp;"."&amp;$B965)&amp;INDEX(VarEnd,MATCH($A965,VarKey,0))&amp;AG$5</f>
        <v/>
      </c>
      <c r="AH965" s="43">
        <f>$E965*AH751*Settings!$C$13*(INDEX(AH$420:AH$431,$D965))</f>
        <v/>
      </c>
      <c r="AI965" s="44">
        <f>$E965*AI751*Settings!$C$13*(INDEX(AI$420:AI$431,$D965))</f>
        <v/>
      </c>
      <c r="AJ965" s="44">
        <f>$E965*AJ751*Settings!$C$13*(INDEX(AJ$420:AJ$431,$D965))</f>
        <v/>
      </c>
      <c r="AK965" s="44">
        <f>$E965*AK751*Settings!$C$13*(INDEX(AK$420:AK$431,$D965))</f>
        <v/>
      </c>
      <c r="AL965" s="44">
        <f>$E965*AL751*Settings!$C$13*(INDEX(AL$420:AL$431,$D965))</f>
        <v/>
      </c>
      <c r="AM965" s="44">
        <f>$E965*AM751*Settings!$C$13*(INDEX(AM$420:AM$431,$D965))</f>
        <v/>
      </c>
      <c r="AN965" s="44">
        <f>$E965*AN751*Settings!$C$13*(INDEX(AN$420:AN$431,$D965))</f>
        <v/>
      </c>
      <c r="AO965" s="44">
        <f>$E965*AO751*Settings!$C$13*(INDEX(AO$420:AO$431,$D965))</f>
        <v/>
      </c>
      <c r="AP965" s="44">
        <f>$E965*AP751*Settings!$C$13*(INDEX(AP$420:AP$431,$D965))</f>
        <v/>
      </c>
      <c r="AQ965" s="44">
        <f>$E965*AQ751*Settings!$C$13*(INDEX(AQ$420:AQ$431,$D965))</f>
        <v/>
      </c>
      <c r="AR965" s="44">
        <f>$E965*AR751*Settings!$C$13*(INDEX(AR$420:AR$431,$D965))</f>
        <v/>
      </c>
      <c r="AS965" s="44">
        <f>$E965*AS751*Settings!$C$13*(INDEX(AS$420:AS$431,$D965))</f>
        <v/>
      </c>
      <c r="AT965" s="44">
        <f>$E965*AT751*Settings!$C$13*(INDEX(AT$420:AT$431,$D965))</f>
        <v/>
      </c>
      <c r="AU965" s="44">
        <f>$E965*AU751*Settings!$C$13*(INDEX(AU$420:AU$431,$D965))</f>
        <v/>
      </c>
      <c r="AV965" s="44">
        <f>$E965*AV751*Settings!$C$13*(INDEX(AV$420:AV$431,$D965))</f>
        <v/>
      </c>
      <c r="AW965" s="44">
        <f>$E965*AW751*Settings!$C$13*(INDEX(AW$420:AW$431,$D965))</f>
        <v/>
      </c>
      <c r="AX965" s="44">
        <f>$E965*AX751*Settings!$C$13*(INDEX(AX$420:AX$431,$D965))</f>
        <v/>
      </c>
      <c r="AY965" s="44">
        <f>$E965*AY751*Settings!$C$13*(INDEX(AY$420:AY$431,$D965))</f>
        <v/>
      </c>
      <c r="AZ965" s="44">
        <f>$E965*AZ751*Settings!$C$13*(INDEX(AZ$420:AZ$431,$D965))</f>
        <v/>
      </c>
      <c r="BA965" s="57">
        <f>REVENUE($E965*BA751,Settings!$C$13,INDEX(BA$420:BA$431,$D965))</f>
        <v/>
      </c>
    </row>
    <row r="966" hidden="1" outlineLevel="1">
      <c r="A966" s="14" t="inlineStr">
        <is>
          <t>prsub</t>
        </is>
      </c>
      <c r="B966" s="14" t="inlineStr">
        <is>
          <t>hyd</t>
        </is>
      </c>
      <c r="C966" s="14" t="inlineStr">
        <is>
          <t>pow</t>
        </is>
      </c>
      <c r="D966" s="45">
        <f>INDEX(Inputs_power!$X$5:$X$13,MATCH($B966,Inputs_power!$A$5:$A$13,0))</f>
        <v/>
      </c>
      <c r="E966" s="45">
        <f>INDEX(Inputs_power!$AW$5:$AW$13,MATCH($B966,Inputs_power!$A$5:$A$13,0))</f>
        <v/>
      </c>
      <c r="F966" s="39" t="n"/>
      <c r="G966" s="39" t="n"/>
      <c r="H966" s="14">
        <f>INDEX(VarLab,MATCH($A966,VarKey,0))&amp;INDEX(MemLab,MATCH($C966&amp;"|"&amp;$B966,MemKey,0))</f>
        <v/>
      </c>
      <c r="I966" s="14">
        <f>INDEX(VarUnit,MATCH($A966,VarKey,0))</f>
        <v/>
      </c>
      <c r="J966" s="14">
        <f>INDEX(VarSrc,MATCH($A966,VarKey,0))</f>
        <v/>
      </c>
      <c r="K966" s="11">
        <f>CodePrefix&amp;$A966&amp;IF($C966="","","."&amp;$C966&amp;"."&amp;$B966)&amp;INDEX(VarEnd,MATCH($A966,VarKey,0))&amp;K$5</f>
        <v/>
      </c>
      <c r="L966" s="43">
        <f>$E966*L752*Settings!$C$13*(INDEX(L$420:L$431,$D966))</f>
        <v/>
      </c>
      <c r="M966" s="44">
        <f>$E966*M752*Settings!$C$13*(INDEX(M$420:M$431,$D966))</f>
        <v/>
      </c>
      <c r="N966" s="44">
        <f>$E966*N752*Settings!$C$13*(INDEX(N$420:N$431,$D966))</f>
        <v/>
      </c>
      <c r="O966" s="44">
        <f>$E966*O752*Settings!$C$13*(INDEX(O$420:O$431,$D966))</f>
        <v/>
      </c>
      <c r="P966" s="44">
        <f>$E966*P752*Settings!$C$13*(INDEX(P$420:P$431,$D966))</f>
        <v/>
      </c>
      <c r="Q966" s="44">
        <f>$E966*Q752*Settings!$C$13*(INDEX(Q$420:Q$431,$D966))</f>
        <v/>
      </c>
      <c r="R966" s="44">
        <f>$E966*R752*Settings!$C$13*(INDEX(R$420:R$431,$D966))</f>
        <v/>
      </c>
      <c r="S966" s="44">
        <f>$E966*S752*Settings!$C$13*(INDEX(S$420:S$431,$D966))</f>
        <v/>
      </c>
      <c r="T966" s="44">
        <f>$E966*T752*Settings!$C$13*(INDEX(T$420:T$431,$D966))</f>
        <v/>
      </c>
      <c r="U966" s="44">
        <f>$E966*U752*Settings!$C$13*(INDEX(U$420:U$431,$D966))</f>
        <v/>
      </c>
      <c r="V966" s="44">
        <f>$E966*V752*Settings!$C$13*(INDEX(V$420:V$431,$D966))</f>
        <v/>
      </c>
      <c r="W966" s="44">
        <f>$E966*W752*Settings!$C$13*(INDEX(W$420:W$431,$D966))</f>
        <v/>
      </c>
      <c r="X966" s="44">
        <f>$E966*X752*Settings!$C$13*(INDEX(X$420:X$431,$D966))</f>
        <v/>
      </c>
      <c r="Y966" s="44">
        <f>$E966*Y752*Settings!$C$13*(INDEX(Y$420:Y$431,$D966))</f>
        <v/>
      </c>
      <c r="Z966" s="44">
        <f>$E966*Z752*Settings!$C$13*(INDEX(Z$420:Z$431,$D966))</f>
        <v/>
      </c>
      <c r="AA966" s="44">
        <f>$E966*AA752*Settings!$C$13*(INDEX(AA$420:AA$431,$D966))</f>
        <v/>
      </c>
      <c r="AB966" s="44">
        <f>$E966*AB752*Settings!$C$13*(INDEX(AB$420:AB$431,$D966))</f>
        <v/>
      </c>
      <c r="AC966" s="44">
        <f>$E966*AC752*Settings!$C$13*(INDEX(AC$420:AC$431,$D966))</f>
        <v/>
      </c>
      <c r="AD966" s="44">
        <f>$E966*AD752*Settings!$C$13*(INDEX(AD$420:AD$431,$D966))</f>
        <v/>
      </c>
      <c r="AE966" s="57">
        <f>REVENUE($E966*AE752,Settings!$C$13,INDEX(AE$420:AE$431,$D966))</f>
        <v/>
      </c>
      <c r="AG966" s="11">
        <f>CodePrefix&amp;$A966&amp;IF($C966="","","."&amp;$C966&amp;"."&amp;$B966)&amp;INDEX(VarEnd,MATCH($A966,VarKey,0))&amp;AG$5</f>
        <v/>
      </c>
      <c r="AH966" s="43">
        <f>$E966*AH752*Settings!$C$13*(INDEX(AH$420:AH$431,$D966))</f>
        <v/>
      </c>
      <c r="AI966" s="44">
        <f>$E966*AI752*Settings!$C$13*(INDEX(AI$420:AI$431,$D966))</f>
        <v/>
      </c>
      <c r="AJ966" s="44">
        <f>$E966*AJ752*Settings!$C$13*(INDEX(AJ$420:AJ$431,$D966))</f>
        <v/>
      </c>
      <c r="AK966" s="44">
        <f>$E966*AK752*Settings!$C$13*(INDEX(AK$420:AK$431,$D966))</f>
        <v/>
      </c>
      <c r="AL966" s="44">
        <f>$E966*AL752*Settings!$C$13*(INDEX(AL$420:AL$431,$D966))</f>
        <v/>
      </c>
      <c r="AM966" s="44">
        <f>$E966*AM752*Settings!$C$13*(INDEX(AM$420:AM$431,$D966))</f>
        <v/>
      </c>
      <c r="AN966" s="44">
        <f>$E966*AN752*Settings!$C$13*(INDEX(AN$420:AN$431,$D966))</f>
        <v/>
      </c>
      <c r="AO966" s="44">
        <f>$E966*AO752*Settings!$C$13*(INDEX(AO$420:AO$431,$D966))</f>
        <v/>
      </c>
      <c r="AP966" s="44">
        <f>$E966*AP752*Settings!$C$13*(INDEX(AP$420:AP$431,$D966))</f>
        <v/>
      </c>
      <c r="AQ966" s="44">
        <f>$E966*AQ752*Settings!$C$13*(INDEX(AQ$420:AQ$431,$D966))</f>
        <v/>
      </c>
      <c r="AR966" s="44">
        <f>$E966*AR752*Settings!$C$13*(INDEX(AR$420:AR$431,$D966))</f>
        <v/>
      </c>
      <c r="AS966" s="44">
        <f>$E966*AS752*Settings!$C$13*(INDEX(AS$420:AS$431,$D966))</f>
        <v/>
      </c>
      <c r="AT966" s="44">
        <f>$E966*AT752*Settings!$C$13*(INDEX(AT$420:AT$431,$D966))</f>
        <v/>
      </c>
      <c r="AU966" s="44">
        <f>$E966*AU752*Settings!$C$13*(INDEX(AU$420:AU$431,$D966))</f>
        <v/>
      </c>
      <c r="AV966" s="44">
        <f>$E966*AV752*Settings!$C$13*(INDEX(AV$420:AV$431,$D966))</f>
        <v/>
      </c>
      <c r="AW966" s="44">
        <f>$E966*AW752*Settings!$C$13*(INDEX(AW$420:AW$431,$D966))</f>
        <v/>
      </c>
      <c r="AX966" s="44">
        <f>$E966*AX752*Settings!$C$13*(INDEX(AX$420:AX$431,$D966))</f>
        <v/>
      </c>
      <c r="AY966" s="44">
        <f>$E966*AY752*Settings!$C$13*(INDEX(AY$420:AY$431,$D966))</f>
        <v/>
      </c>
      <c r="AZ966" s="44">
        <f>$E966*AZ752*Settings!$C$13*(INDEX(AZ$420:AZ$431,$D966))</f>
        <v/>
      </c>
      <c r="BA966" s="57">
        <f>REVENUE($E966*BA752,Settings!$C$13,INDEX(BA$420:BA$431,$D966))</f>
        <v/>
      </c>
    </row>
    <row r="967" hidden="1" outlineLevel="1">
      <c r="A967" s="14" t="inlineStr">
        <is>
          <t>prsub</t>
        </is>
      </c>
      <c r="B967" s="14" t="inlineStr">
        <is>
          <t>ore</t>
        </is>
      </c>
      <c r="C967" s="14" t="inlineStr">
        <is>
          <t>pow</t>
        </is>
      </c>
      <c r="D967" s="45">
        <f>INDEX(Inputs_power!$X$5:$X$13,MATCH($B967,Inputs_power!$A$5:$A$13,0))</f>
        <v/>
      </c>
      <c r="E967" s="45">
        <f>INDEX(Inputs_power!$AW$5:$AW$13,MATCH($B967,Inputs_power!$A$5:$A$13,0))</f>
        <v/>
      </c>
      <c r="F967" s="39" t="n"/>
      <c r="G967" s="39" t="n"/>
      <c r="H967" s="14">
        <f>INDEX(VarLab,MATCH($A967,VarKey,0))&amp;INDEX(MemLab,MATCH($C967&amp;"|"&amp;$B967,MemKey,0))</f>
        <v/>
      </c>
      <c r="I967" s="14">
        <f>INDEX(VarUnit,MATCH($A967,VarKey,0))</f>
        <v/>
      </c>
      <c r="J967" s="14">
        <f>INDEX(VarSrc,MATCH($A967,VarKey,0))</f>
        <v/>
      </c>
      <c r="K967" s="11">
        <f>CodePrefix&amp;$A967&amp;IF($C967="","","."&amp;$C967&amp;"."&amp;$B967)&amp;INDEX(VarEnd,MATCH($A967,VarKey,0))&amp;K$5</f>
        <v/>
      </c>
      <c r="L967" s="43">
        <f>$E967*L753*Settings!$C$13*(INDEX(L$420:L$431,$D967))</f>
        <v/>
      </c>
      <c r="M967" s="44">
        <f>$E967*M753*Settings!$C$13*(INDEX(M$420:M$431,$D967))</f>
        <v/>
      </c>
      <c r="N967" s="44">
        <f>$E967*N753*Settings!$C$13*(INDEX(N$420:N$431,$D967))</f>
        <v/>
      </c>
      <c r="O967" s="44">
        <f>$E967*O753*Settings!$C$13*(INDEX(O$420:O$431,$D967))</f>
        <v/>
      </c>
      <c r="P967" s="44">
        <f>$E967*P753*Settings!$C$13*(INDEX(P$420:P$431,$D967))</f>
        <v/>
      </c>
      <c r="Q967" s="44">
        <f>$E967*Q753*Settings!$C$13*(INDEX(Q$420:Q$431,$D967))</f>
        <v/>
      </c>
      <c r="R967" s="44">
        <f>$E967*R753*Settings!$C$13*(INDEX(R$420:R$431,$D967))</f>
        <v/>
      </c>
      <c r="S967" s="44">
        <f>$E967*S753*Settings!$C$13*(INDEX(S$420:S$431,$D967))</f>
        <v/>
      </c>
      <c r="T967" s="44">
        <f>$E967*T753*Settings!$C$13*(INDEX(T$420:T$431,$D967))</f>
        <v/>
      </c>
      <c r="U967" s="44">
        <f>$E967*U753*Settings!$C$13*(INDEX(U$420:U$431,$D967))</f>
        <v/>
      </c>
      <c r="V967" s="44">
        <f>$E967*V753*Settings!$C$13*(INDEX(V$420:V$431,$D967))</f>
        <v/>
      </c>
      <c r="W967" s="44">
        <f>$E967*W753*Settings!$C$13*(INDEX(W$420:W$431,$D967))</f>
        <v/>
      </c>
      <c r="X967" s="44">
        <f>$E967*X753*Settings!$C$13*(INDEX(X$420:X$431,$D967))</f>
        <v/>
      </c>
      <c r="Y967" s="44">
        <f>$E967*Y753*Settings!$C$13*(INDEX(Y$420:Y$431,$D967))</f>
        <v/>
      </c>
      <c r="Z967" s="44">
        <f>$E967*Z753*Settings!$C$13*(INDEX(Z$420:Z$431,$D967))</f>
        <v/>
      </c>
      <c r="AA967" s="44">
        <f>$E967*AA753*Settings!$C$13*(INDEX(AA$420:AA$431,$D967))</f>
        <v/>
      </c>
      <c r="AB967" s="44">
        <f>$E967*AB753*Settings!$C$13*(INDEX(AB$420:AB$431,$D967))</f>
        <v/>
      </c>
      <c r="AC967" s="44">
        <f>$E967*AC753*Settings!$C$13*(INDEX(AC$420:AC$431,$D967))</f>
        <v/>
      </c>
      <c r="AD967" s="44">
        <f>$E967*AD753*Settings!$C$13*(INDEX(AD$420:AD$431,$D967))</f>
        <v/>
      </c>
      <c r="AE967" s="57">
        <f>REVENUE($E967*AE753,Settings!$C$13,INDEX(AE$420:AE$431,$D967))</f>
        <v/>
      </c>
      <c r="AG967" s="11">
        <f>CodePrefix&amp;$A967&amp;IF($C967="","","."&amp;$C967&amp;"."&amp;$B967)&amp;INDEX(VarEnd,MATCH($A967,VarKey,0))&amp;AG$5</f>
        <v/>
      </c>
      <c r="AH967" s="43">
        <f>$E967*AH753*Settings!$C$13*(INDEX(AH$420:AH$431,$D967))</f>
        <v/>
      </c>
      <c r="AI967" s="44">
        <f>$E967*AI753*Settings!$C$13*(INDEX(AI$420:AI$431,$D967))</f>
        <v/>
      </c>
      <c r="AJ967" s="44">
        <f>$E967*AJ753*Settings!$C$13*(INDEX(AJ$420:AJ$431,$D967))</f>
        <v/>
      </c>
      <c r="AK967" s="44">
        <f>$E967*AK753*Settings!$C$13*(INDEX(AK$420:AK$431,$D967))</f>
        <v/>
      </c>
      <c r="AL967" s="44">
        <f>$E967*AL753*Settings!$C$13*(INDEX(AL$420:AL$431,$D967))</f>
        <v/>
      </c>
      <c r="AM967" s="44">
        <f>$E967*AM753*Settings!$C$13*(INDEX(AM$420:AM$431,$D967))</f>
        <v/>
      </c>
      <c r="AN967" s="44">
        <f>$E967*AN753*Settings!$C$13*(INDEX(AN$420:AN$431,$D967))</f>
        <v/>
      </c>
      <c r="AO967" s="44">
        <f>$E967*AO753*Settings!$C$13*(INDEX(AO$420:AO$431,$D967))</f>
        <v/>
      </c>
      <c r="AP967" s="44">
        <f>$E967*AP753*Settings!$C$13*(INDEX(AP$420:AP$431,$D967))</f>
        <v/>
      </c>
      <c r="AQ967" s="44">
        <f>$E967*AQ753*Settings!$C$13*(INDEX(AQ$420:AQ$431,$D967))</f>
        <v/>
      </c>
      <c r="AR967" s="44">
        <f>$E967*AR753*Settings!$C$13*(INDEX(AR$420:AR$431,$D967))</f>
        <v/>
      </c>
      <c r="AS967" s="44">
        <f>$E967*AS753*Settings!$C$13*(INDEX(AS$420:AS$431,$D967))</f>
        <v/>
      </c>
      <c r="AT967" s="44">
        <f>$E967*AT753*Settings!$C$13*(INDEX(AT$420:AT$431,$D967))</f>
        <v/>
      </c>
      <c r="AU967" s="44">
        <f>$E967*AU753*Settings!$C$13*(INDEX(AU$420:AU$431,$D967))</f>
        <v/>
      </c>
      <c r="AV967" s="44">
        <f>$E967*AV753*Settings!$C$13*(INDEX(AV$420:AV$431,$D967))</f>
        <v/>
      </c>
      <c r="AW967" s="44">
        <f>$E967*AW753*Settings!$C$13*(INDEX(AW$420:AW$431,$D967))</f>
        <v/>
      </c>
      <c r="AX967" s="44">
        <f>$E967*AX753*Settings!$C$13*(INDEX(AX$420:AX$431,$D967))</f>
        <v/>
      </c>
      <c r="AY967" s="44">
        <f>$E967*AY753*Settings!$C$13*(INDEX(AY$420:AY$431,$D967))</f>
        <v/>
      </c>
      <c r="AZ967" s="44">
        <f>$E967*AZ753*Settings!$C$13*(INDEX(AZ$420:AZ$431,$D967))</f>
        <v/>
      </c>
      <c r="BA967" s="57">
        <f>REVENUE($E967*BA753,Settings!$C$13,INDEX(BA$420:BA$431,$D967))</f>
        <v/>
      </c>
    </row>
    <row r="968" hidden="1" outlineLevel="1">
      <c r="A968" s="14" t="inlineStr">
        <is>
          <t>prsub</t>
        </is>
      </c>
      <c r="B968" s="14" t="inlineStr">
        <is>
          <t>bio</t>
        </is>
      </c>
      <c r="C968" s="14" t="inlineStr">
        <is>
          <t>pow</t>
        </is>
      </c>
      <c r="D968" s="45">
        <f>INDEX(Inputs_power!$X$5:$X$13,MATCH($B968,Inputs_power!$A$5:$A$13,0))</f>
        <v/>
      </c>
      <c r="E968" s="45">
        <f>INDEX(Inputs_power!$AW$5:$AW$13,MATCH($B968,Inputs_power!$A$5:$A$13,0))</f>
        <v/>
      </c>
      <c r="F968" s="39" t="n"/>
      <c r="G968" s="39" t="n"/>
      <c r="H968" s="14">
        <f>INDEX(VarLab,MATCH($A968,VarKey,0))&amp;INDEX(MemLab,MATCH($C968&amp;"|"&amp;$B968,MemKey,0))</f>
        <v/>
      </c>
      <c r="I968" s="14">
        <f>INDEX(VarUnit,MATCH($A968,VarKey,0))</f>
        <v/>
      </c>
      <c r="J968" s="14">
        <f>INDEX(VarSrc,MATCH($A968,VarKey,0))</f>
        <v/>
      </c>
      <c r="K968" s="11">
        <f>CodePrefix&amp;$A968&amp;IF($C968="","","."&amp;$C968&amp;"."&amp;$B968)&amp;INDEX(VarEnd,MATCH($A968,VarKey,0))&amp;K$5</f>
        <v/>
      </c>
      <c r="L968" s="43">
        <f>$E968*L754*Settings!$C$13*(INDEX(L$420:L$431,$D968))</f>
        <v/>
      </c>
      <c r="M968" s="44">
        <f>$E968*M754*Settings!$C$13*(INDEX(M$420:M$431,$D968))</f>
        <v/>
      </c>
      <c r="N968" s="44">
        <f>$E968*N754*Settings!$C$13*(INDEX(N$420:N$431,$D968))</f>
        <v/>
      </c>
      <c r="O968" s="44">
        <f>$E968*O754*Settings!$C$13*(INDEX(O$420:O$431,$D968))</f>
        <v/>
      </c>
      <c r="P968" s="44">
        <f>$E968*P754*Settings!$C$13*(INDEX(P$420:P$431,$D968))</f>
        <v/>
      </c>
      <c r="Q968" s="44">
        <f>$E968*Q754*Settings!$C$13*(INDEX(Q$420:Q$431,$D968))</f>
        <v/>
      </c>
      <c r="R968" s="44">
        <f>$E968*R754*Settings!$C$13*(INDEX(R$420:R$431,$D968))</f>
        <v/>
      </c>
      <c r="S968" s="44">
        <f>$E968*S754*Settings!$C$13*(INDEX(S$420:S$431,$D968))</f>
        <v/>
      </c>
      <c r="T968" s="44">
        <f>$E968*T754*Settings!$C$13*(INDEX(T$420:T$431,$D968))</f>
        <v/>
      </c>
      <c r="U968" s="44">
        <f>$E968*U754*Settings!$C$13*(INDEX(U$420:U$431,$D968))</f>
        <v/>
      </c>
      <c r="V968" s="44">
        <f>$E968*V754*Settings!$C$13*(INDEX(V$420:V$431,$D968))</f>
        <v/>
      </c>
      <c r="W968" s="44">
        <f>$E968*W754*Settings!$C$13*(INDEX(W$420:W$431,$D968))</f>
        <v/>
      </c>
      <c r="X968" s="44">
        <f>$E968*X754*Settings!$C$13*(INDEX(X$420:X$431,$D968))</f>
        <v/>
      </c>
      <c r="Y968" s="44">
        <f>$E968*Y754*Settings!$C$13*(INDEX(Y$420:Y$431,$D968))</f>
        <v/>
      </c>
      <c r="Z968" s="44">
        <f>$E968*Z754*Settings!$C$13*(INDEX(Z$420:Z$431,$D968))</f>
        <v/>
      </c>
      <c r="AA968" s="44">
        <f>$E968*AA754*Settings!$C$13*(INDEX(AA$420:AA$431,$D968))</f>
        <v/>
      </c>
      <c r="AB968" s="44">
        <f>$E968*AB754*Settings!$C$13*(INDEX(AB$420:AB$431,$D968))</f>
        <v/>
      </c>
      <c r="AC968" s="44">
        <f>$E968*AC754*Settings!$C$13*(INDEX(AC$420:AC$431,$D968))</f>
        <v/>
      </c>
      <c r="AD968" s="44">
        <f>$E968*AD754*Settings!$C$13*(INDEX(AD$420:AD$431,$D968))</f>
        <v/>
      </c>
      <c r="AE968" s="57">
        <f>REVENUE($E968*AE754,Settings!$C$13,INDEX(AE$420:AE$431,$D968))</f>
        <v/>
      </c>
      <c r="AG968" s="11">
        <f>CodePrefix&amp;$A968&amp;IF($C968="","","."&amp;$C968&amp;"."&amp;$B968)&amp;INDEX(VarEnd,MATCH($A968,VarKey,0))&amp;AG$5</f>
        <v/>
      </c>
      <c r="AH968" s="43">
        <f>$E968*AH754*Settings!$C$13*(INDEX(AH$420:AH$431,$D968))</f>
        <v/>
      </c>
      <c r="AI968" s="44">
        <f>$E968*AI754*Settings!$C$13*(INDEX(AI$420:AI$431,$D968))</f>
        <v/>
      </c>
      <c r="AJ968" s="44">
        <f>$E968*AJ754*Settings!$C$13*(INDEX(AJ$420:AJ$431,$D968))</f>
        <v/>
      </c>
      <c r="AK968" s="44">
        <f>$E968*AK754*Settings!$C$13*(INDEX(AK$420:AK$431,$D968))</f>
        <v/>
      </c>
      <c r="AL968" s="44">
        <f>$E968*AL754*Settings!$C$13*(INDEX(AL$420:AL$431,$D968))</f>
        <v/>
      </c>
      <c r="AM968" s="44">
        <f>$E968*AM754*Settings!$C$13*(INDEX(AM$420:AM$431,$D968))</f>
        <v/>
      </c>
      <c r="AN968" s="44">
        <f>$E968*AN754*Settings!$C$13*(INDEX(AN$420:AN$431,$D968))</f>
        <v/>
      </c>
      <c r="AO968" s="44">
        <f>$E968*AO754*Settings!$C$13*(INDEX(AO$420:AO$431,$D968))</f>
        <v/>
      </c>
      <c r="AP968" s="44">
        <f>$E968*AP754*Settings!$C$13*(INDEX(AP$420:AP$431,$D968))</f>
        <v/>
      </c>
      <c r="AQ968" s="44">
        <f>$E968*AQ754*Settings!$C$13*(INDEX(AQ$420:AQ$431,$D968))</f>
        <v/>
      </c>
      <c r="AR968" s="44">
        <f>$E968*AR754*Settings!$C$13*(INDEX(AR$420:AR$431,$D968))</f>
        <v/>
      </c>
      <c r="AS968" s="44">
        <f>$E968*AS754*Settings!$C$13*(INDEX(AS$420:AS$431,$D968))</f>
        <v/>
      </c>
      <c r="AT968" s="44">
        <f>$E968*AT754*Settings!$C$13*(INDEX(AT$420:AT$431,$D968))</f>
        <v/>
      </c>
      <c r="AU968" s="44">
        <f>$E968*AU754*Settings!$C$13*(INDEX(AU$420:AU$431,$D968))</f>
        <v/>
      </c>
      <c r="AV968" s="44">
        <f>$E968*AV754*Settings!$C$13*(INDEX(AV$420:AV$431,$D968))</f>
        <v/>
      </c>
      <c r="AW968" s="44">
        <f>$E968*AW754*Settings!$C$13*(INDEX(AW$420:AW$431,$D968))</f>
        <v/>
      </c>
      <c r="AX968" s="44">
        <f>$E968*AX754*Settings!$C$13*(INDEX(AX$420:AX$431,$D968))</f>
        <v/>
      </c>
      <c r="AY968" s="44">
        <f>$E968*AY754*Settings!$C$13*(INDEX(AY$420:AY$431,$D968))</f>
        <v/>
      </c>
      <c r="AZ968" s="44">
        <f>$E968*AZ754*Settings!$C$13*(INDEX(AZ$420:AZ$431,$D968))</f>
        <v/>
      </c>
      <c r="BA968" s="57">
        <f>REVENUE($E968*BA754,Settings!$C$13,INDEX(BA$420:BA$431,$D968))</f>
        <v/>
      </c>
    </row>
    <row r="969" hidden="1" outlineLevel="1"/>
    <row r="970" hidden="1" outlineLevel="1">
      <c r="A970" s="14" t="inlineStr">
        <is>
          <t>prxc</t>
        </is>
      </c>
      <c r="B970" s="14" t="inlineStr">
        <is>
          <t>coa</t>
        </is>
      </c>
      <c r="C970" s="14" t="inlineStr">
        <is>
          <t>pow</t>
        </is>
      </c>
      <c r="D970" s="39" t="n"/>
      <c r="E970" s="39" t="n"/>
      <c r="F970" s="39" t="n"/>
      <c r="G970" s="39" t="n"/>
      <c r="H970" s="14">
        <f>INDEX(VarLab,MATCH($A970,VarKey,0))&amp;INDEX(MemLab,MATCH($C970&amp;"|"&amp;$B970,MemKey,0))</f>
        <v/>
      </c>
      <c r="I970" s="14">
        <f>INDEX(VarUnit,MATCH($A970,VarKey,0))</f>
        <v/>
      </c>
      <c r="J970" s="14">
        <f>INDEX(VarSrc,MATCH($A970,VarKey,0))</f>
        <v/>
      </c>
      <c r="K970" s="11">
        <f>CodePrefix&amp;$A970&amp;IF($C970="","","."&amp;$C970&amp;"."&amp;$B970)&amp;INDEX(VarEnd,MATCH($A970,VarKey,0))&amp;K$5</f>
        <v/>
      </c>
      <c r="L970" s="43">
        <f>L529*8.76*L723</f>
        <v/>
      </c>
      <c r="M970" s="44">
        <f>M529*8.76*M723</f>
        <v/>
      </c>
      <c r="N970" s="44">
        <f>N529*8.76*N723</f>
        <v/>
      </c>
      <c r="O970" s="44">
        <f>O529*8.76*O723</f>
        <v/>
      </c>
      <c r="P970" s="44">
        <f>P529*8.76*P723</f>
        <v/>
      </c>
      <c r="Q970" s="44">
        <f>Q529*8.76*Q723</f>
        <v/>
      </c>
      <c r="R970" s="44">
        <f>R529*8.76*R723</f>
        <v/>
      </c>
      <c r="S970" s="44">
        <f>S529*8.76*S723</f>
        <v/>
      </c>
      <c r="T970" s="44">
        <f>T529*8.76*T723</f>
        <v/>
      </c>
      <c r="U970" s="44">
        <f>U529*8.76*U723</f>
        <v/>
      </c>
      <c r="V970" s="44">
        <f>V529*8.76*V723</f>
        <v/>
      </c>
      <c r="W970" s="44">
        <f>W529*8.76*W723</f>
        <v/>
      </c>
      <c r="X970" s="44">
        <f>X529*8.76*X723</f>
        <v/>
      </c>
      <c r="Y970" s="44">
        <f>Y529*8.76*Y723</f>
        <v/>
      </c>
      <c r="Z970" s="44">
        <f>Z529*8.76*Z723</f>
        <v/>
      </c>
      <c r="AA970" s="44">
        <f>AA529*8.76*AA723</f>
        <v/>
      </c>
      <c r="AB970" s="44">
        <f>AB529*8.76*AB723</f>
        <v/>
      </c>
      <c r="AC970" s="44">
        <f>AC529*8.76*AC723</f>
        <v/>
      </c>
      <c r="AD970" s="44">
        <f>AD529*8.76*AD723</f>
        <v/>
      </c>
      <c r="AE970" s="57">
        <f>POWERREV(AE529,8.76,AE723)</f>
        <v/>
      </c>
      <c r="AG970" s="11">
        <f>CodePrefix&amp;$A970&amp;IF($C970="","","."&amp;$C970&amp;"."&amp;$B970)&amp;INDEX(VarEnd,MATCH($A970,VarKey,0))&amp;AG$5</f>
        <v/>
      </c>
      <c r="AH970" s="43">
        <f>AH529*8.76*AH723</f>
        <v/>
      </c>
      <c r="AI970" s="44">
        <f>AI529*8.76*AI723</f>
        <v/>
      </c>
      <c r="AJ970" s="44">
        <f>AJ529*8.76*AJ723</f>
        <v/>
      </c>
      <c r="AK970" s="44">
        <f>AK529*8.76*AK723</f>
        <v/>
      </c>
      <c r="AL970" s="44">
        <f>AL529*8.76*AL723</f>
        <v/>
      </c>
      <c r="AM970" s="44">
        <f>AM529*8.76*AM723</f>
        <v/>
      </c>
      <c r="AN970" s="44">
        <f>AN529*8.76*AN723</f>
        <v/>
      </c>
      <c r="AO970" s="44">
        <f>AO529*8.76*AO723</f>
        <v/>
      </c>
      <c r="AP970" s="44">
        <f>AP529*8.76*AP723</f>
        <v/>
      </c>
      <c r="AQ970" s="44">
        <f>AQ529*8.76*AQ723</f>
        <v/>
      </c>
      <c r="AR970" s="44">
        <f>AR529*8.76*AR723</f>
        <v/>
      </c>
      <c r="AS970" s="44">
        <f>AS529*8.76*AS723</f>
        <v/>
      </c>
      <c r="AT970" s="44">
        <f>AT529*8.76*AT723</f>
        <v/>
      </c>
      <c r="AU970" s="44">
        <f>AU529*8.76*AU723</f>
        <v/>
      </c>
      <c r="AV970" s="44">
        <f>AV529*8.76*AV723</f>
        <v/>
      </c>
      <c r="AW970" s="44">
        <f>AW529*8.76*AW723</f>
        <v/>
      </c>
      <c r="AX970" s="44">
        <f>AX529*8.76*AX723</f>
        <v/>
      </c>
      <c r="AY970" s="44">
        <f>AY529*8.76*AY723</f>
        <v/>
      </c>
      <c r="AZ970" s="44">
        <f>AZ529*8.76*AZ723</f>
        <v/>
      </c>
      <c r="BA970" s="57">
        <f>POWERREV(BA529,8.76,BA723)</f>
        <v/>
      </c>
    </row>
    <row r="971" hidden="1" outlineLevel="1">
      <c r="A971" s="14" t="inlineStr">
        <is>
          <t>prxc</t>
        </is>
      </c>
      <c r="B971" s="14" t="inlineStr">
        <is>
          <t>nga</t>
        </is>
      </c>
      <c r="C971" s="14" t="inlineStr">
        <is>
          <t>pow</t>
        </is>
      </c>
      <c r="D971" s="39" t="n"/>
      <c r="E971" s="39" t="n"/>
      <c r="F971" s="39" t="n"/>
      <c r="G971" s="39" t="n"/>
      <c r="H971" s="14">
        <f>INDEX(VarLab,MATCH($A971,VarKey,0))&amp;INDEX(MemLab,MATCH($C971&amp;"|"&amp;$B971,MemKey,0))</f>
        <v/>
      </c>
      <c r="I971" s="14">
        <f>INDEX(VarUnit,MATCH($A971,VarKey,0))</f>
        <v/>
      </c>
      <c r="J971" s="14">
        <f>INDEX(VarSrc,MATCH($A971,VarKey,0))</f>
        <v/>
      </c>
      <c r="K971" s="11">
        <f>CodePrefix&amp;$A971&amp;IF($C971="","","."&amp;$C971&amp;"."&amp;$B971)&amp;INDEX(VarEnd,MATCH($A971,VarKey,0))&amp;K$5</f>
        <v/>
      </c>
      <c r="L971" s="43">
        <f>L530*8.76*L724</f>
        <v/>
      </c>
      <c r="M971" s="44">
        <f>M530*8.76*M724</f>
        <v/>
      </c>
      <c r="N971" s="44">
        <f>N530*8.76*N724</f>
        <v/>
      </c>
      <c r="O971" s="44">
        <f>O530*8.76*O724</f>
        <v/>
      </c>
      <c r="P971" s="44">
        <f>P530*8.76*P724</f>
        <v/>
      </c>
      <c r="Q971" s="44">
        <f>Q530*8.76*Q724</f>
        <v/>
      </c>
      <c r="R971" s="44">
        <f>R530*8.76*R724</f>
        <v/>
      </c>
      <c r="S971" s="44">
        <f>S530*8.76*S724</f>
        <v/>
      </c>
      <c r="T971" s="44">
        <f>T530*8.76*T724</f>
        <v/>
      </c>
      <c r="U971" s="44">
        <f>U530*8.76*U724</f>
        <v/>
      </c>
      <c r="V971" s="44">
        <f>V530*8.76*V724</f>
        <v/>
      </c>
      <c r="W971" s="44">
        <f>W530*8.76*W724</f>
        <v/>
      </c>
      <c r="X971" s="44">
        <f>X530*8.76*X724</f>
        <v/>
      </c>
      <c r="Y971" s="44">
        <f>Y530*8.76*Y724</f>
        <v/>
      </c>
      <c r="Z971" s="44">
        <f>Z530*8.76*Z724</f>
        <v/>
      </c>
      <c r="AA971" s="44">
        <f>AA530*8.76*AA724</f>
        <v/>
      </c>
      <c r="AB971" s="44">
        <f>AB530*8.76*AB724</f>
        <v/>
      </c>
      <c r="AC971" s="44">
        <f>AC530*8.76*AC724</f>
        <v/>
      </c>
      <c r="AD971" s="44">
        <f>AD530*8.76*AD724</f>
        <v/>
      </c>
      <c r="AE971" s="57">
        <f>POWERREV(AE530,8.76,AE724)</f>
        <v/>
      </c>
      <c r="AG971" s="11">
        <f>CodePrefix&amp;$A971&amp;IF($C971="","","."&amp;$C971&amp;"."&amp;$B971)&amp;INDEX(VarEnd,MATCH($A971,VarKey,0))&amp;AG$5</f>
        <v/>
      </c>
      <c r="AH971" s="43">
        <f>AH530*8.76*AH724</f>
        <v/>
      </c>
      <c r="AI971" s="44">
        <f>AI530*8.76*AI724</f>
        <v/>
      </c>
      <c r="AJ971" s="44">
        <f>AJ530*8.76*AJ724</f>
        <v/>
      </c>
      <c r="AK971" s="44">
        <f>AK530*8.76*AK724</f>
        <v/>
      </c>
      <c r="AL971" s="44">
        <f>AL530*8.76*AL724</f>
        <v/>
      </c>
      <c r="AM971" s="44">
        <f>AM530*8.76*AM724</f>
        <v/>
      </c>
      <c r="AN971" s="44">
        <f>AN530*8.76*AN724</f>
        <v/>
      </c>
      <c r="AO971" s="44">
        <f>AO530*8.76*AO724</f>
        <v/>
      </c>
      <c r="AP971" s="44">
        <f>AP530*8.76*AP724</f>
        <v/>
      </c>
      <c r="AQ971" s="44">
        <f>AQ530*8.76*AQ724</f>
        <v/>
      </c>
      <c r="AR971" s="44">
        <f>AR530*8.76*AR724</f>
        <v/>
      </c>
      <c r="AS971" s="44">
        <f>AS530*8.76*AS724</f>
        <v/>
      </c>
      <c r="AT971" s="44">
        <f>AT530*8.76*AT724</f>
        <v/>
      </c>
      <c r="AU971" s="44">
        <f>AU530*8.76*AU724</f>
        <v/>
      </c>
      <c r="AV971" s="44">
        <f>AV530*8.76*AV724</f>
        <v/>
      </c>
      <c r="AW971" s="44">
        <f>AW530*8.76*AW724</f>
        <v/>
      </c>
      <c r="AX971" s="44">
        <f>AX530*8.76*AX724</f>
        <v/>
      </c>
      <c r="AY971" s="44">
        <f>AY530*8.76*AY724</f>
        <v/>
      </c>
      <c r="AZ971" s="44">
        <f>AZ530*8.76*AZ724</f>
        <v/>
      </c>
      <c r="BA971" s="57">
        <f>POWERREV(BA530,8.76,BA724)</f>
        <v/>
      </c>
    </row>
    <row r="972" hidden="1" outlineLevel="1">
      <c r="A972" s="14" t="inlineStr">
        <is>
          <t>prxc</t>
        </is>
      </c>
      <c r="B972" s="14" t="inlineStr">
        <is>
          <t>oop</t>
        </is>
      </c>
      <c r="C972" s="14" t="inlineStr">
        <is>
          <t>pow</t>
        </is>
      </c>
      <c r="D972" s="39" t="n"/>
      <c r="E972" s="39" t="n"/>
      <c r="F972" s="39" t="n"/>
      <c r="G972" s="39" t="n"/>
      <c r="H972" s="14">
        <f>INDEX(VarLab,MATCH($A972,VarKey,0))&amp;INDEX(MemLab,MATCH($C972&amp;"|"&amp;$B972,MemKey,0))</f>
        <v/>
      </c>
      <c r="I972" s="14">
        <f>INDEX(VarUnit,MATCH($A972,VarKey,0))</f>
        <v/>
      </c>
      <c r="J972" s="14">
        <f>INDEX(VarSrc,MATCH($A972,VarKey,0))</f>
        <v/>
      </c>
      <c r="K972" s="11">
        <f>CodePrefix&amp;$A972&amp;IF($C972="","","."&amp;$C972&amp;"."&amp;$B972)&amp;INDEX(VarEnd,MATCH($A972,VarKey,0))&amp;K$5</f>
        <v/>
      </c>
      <c r="L972" s="43">
        <f>L531*8.76*L725</f>
        <v/>
      </c>
      <c r="M972" s="44">
        <f>M531*8.76*M725</f>
        <v/>
      </c>
      <c r="N972" s="44">
        <f>N531*8.76*N725</f>
        <v/>
      </c>
      <c r="O972" s="44">
        <f>O531*8.76*O725</f>
        <v/>
      </c>
      <c r="P972" s="44">
        <f>P531*8.76*P725</f>
        <v/>
      </c>
      <c r="Q972" s="44">
        <f>Q531*8.76*Q725</f>
        <v/>
      </c>
      <c r="R972" s="44">
        <f>R531*8.76*R725</f>
        <v/>
      </c>
      <c r="S972" s="44">
        <f>S531*8.76*S725</f>
        <v/>
      </c>
      <c r="T972" s="44">
        <f>T531*8.76*T725</f>
        <v/>
      </c>
      <c r="U972" s="44">
        <f>U531*8.76*U725</f>
        <v/>
      </c>
      <c r="V972" s="44">
        <f>V531*8.76*V725</f>
        <v/>
      </c>
      <c r="W972" s="44">
        <f>W531*8.76*W725</f>
        <v/>
      </c>
      <c r="X972" s="44">
        <f>X531*8.76*X725</f>
        <v/>
      </c>
      <c r="Y972" s="44">
        <f>Y531*8.76*Y725</f>
        <v/>
      </c>
      <c r="Z972" s="44">
        <f>Z531*8.76*Z725</f>
        <v/>
      </c>
      <c r="AA972" s="44">
        <f>AA531*8.76*AA725</f>
        <v/>
      </c>
      <c r="AB972" s="44">
        <f>AB531*8.76*AB725</f>
        <v/>
      </c>
      <c r="AC972" s="44">
        <f>AC531*8.76*AC725</f>
        <v/>
      </c>
      <c r="AD972" s="44">
        <f>AD531*8.76*AD725</f>
        <v/>
      </c>
      <c r="AE972" s="57">
        <f>POWERREV(AE531,8.76,AE725)</f>
        <v/>
      </c>
      <c r="AG972" s="11">
        <f>CodePrefix&amp;$A972&amp;IF($C972="","","."&amp;$C972&amp;"."&amp;$B972)&amp;INDEX(VarEnd,MATCH($A972,VarKey,0))&amp;AG$5</f>
        <v/>
      </c>
      <c r="AH972" s="43">
        <f>AH531*8.76*AH725</f>
        <v/>
      </c>
      <c r="AI972" s="44">
        <f>AI531*8.76*AI725</f>
        <v/>
      </c>
      <c r="AJ972" s="44">
        <f>AJ531*8.76*AJ725</f>
        <v/>
      </c>
      <c r="AK972" s="44">
        <f>AK531*8.76*AK725</f>
        <v/>
      </c>
      <c r="AL972" s="44">
        <f>AL531*8.76*AL725</f>
        <v/>
      </c>
      <c r="AM972" s="44">
        <f>AM531*8.76*AM725</f>
        <v/>
      </c>
      <c r="AN972" s="44">
        <f>AN531*8.76*AN725</f>
        <v/>
      </c>
      <c r="AO972" s="44">
        <f>AO531*8.76*AO725</f>
        <v/>
      </c>
      <c r="AP972" s="44">
        <f>AP531*8.76*AP725</f>
        <v/>
      </c>
      <c r="AQ972" s="44">
        <f>AQ531*8.76*AQ725</f>
        <v/>
      </c>
      <c r="AR972" s="44">
        <f>AR531*8.76*AR725</f>
        <v/>
      </c>
      <c r="AS972" s="44">
        <f>AS531*8.76*AS725</f>
        <v/>
      </c>
      <c r="AT972" s="44">
        <f>AT531*8.76*AT725</f>
        <v/>
      </c>
      <c r="AU972" s="44">
        <f>AU531*8.76*AU725</f>
        <v/>
      </c>
      <c r="AV972" s="44">
        <f>AV531*8.76*AV725</f>
        <v/>
      </c>
      <c r="AW972" s="44">
        <f>AW531*8.76*AW725</f>
        <v/>
      </c>
      <c r="AX972" s="44">
        <f>AX531*8.76*AX725</f>
        <v/>
      </c>
      <c r="AY972" s="44">
        <f>AY531*8.76*AY725</f>
        <v/>
      </c>
      <c r="AZ972" s="44">
        <f>AZ531*8.76*AZ725</f>
        <v/>
      </c>
      <c r="BA972" s="57">
        <f>POWERREV(BA531,8.76,BA725)</f>
        <v/>
      </c>
    </row>
    <row r="973" hidden="1" outlineLevel="1">
      <c r="A973" s="14" t="inlineStr">
        <is>
          <t>prxc</t>
        </is>
      </c>
      <c r="B973" s="14" t="inlineStr">
        <is>
          <t>nuc</t>
        </is>
      </c>
      <c r="C973" s="14" t="inlineStr">
        <is>
          <t>pow</t>
        </is>
      </c>
      <c r="D973" s="39" t="n"/>
      <c r="E973" s="39" t="n"/>
      <c r="F973" s="39" t="n"/>
      <c r="G973" s="39" t="n"/>
      <c r="H973" s="14">
        <f>INDEX(VarLab,MATCH($A973,VarKey,0))&amp;INDEX(MemLab,MATCH($C973&amp;"|"&amp;$B973,MemKey,0))</f>
        <v/>
      </c>
      <c r="I973" s="14">
        <f>INDEX(VarUnit,MATCH($A973,VarKey,0))</f>
        <v/>
      </c>
      <c r="J973" s="14">
        <f>INDEX(VarSrc,MATCH($A973,VarKey,0))</f>
        <v/>
      </c>
      <c r="K973" s="11">
        <f>CodePrefix&amp;$A973&amp;IF($C973="","","."&amp;$C973&amp;"."&amp;$B973)&amp;INDEX(VarEnd,MATCH($A973,VarKey,0))&amp;K$5</f>
        <v/>
      </c>
      <c r="L973" s="43">
        <f>L532*8.76*L726</f>
        <v/>
      </c>
      <c r="M973" s="44">
        <f>M532*8.76*M726</f>
        <v/>
      </c>
      <c r="N973" s="44">
        <f>N532*8.76*N726</f>
        <v/>
      </c>
      <c r="O973" s="44">
        <f>O532*8.76*O726</f>
        <v/>
      </c>
      <c r="P973" s="44">
        <f>P532*8.76*P726</f>
        <v/>
      </c>
      <c r="Q973" s="44">
        <f>Q532*8.76*Q726</f>
        <v/>
      </c>
      <c r="R973" s="44">
        <f>R532*8.76*R726</f>
        <v/>
      </c>
      <c r="S973" s="44">
        <f>S532*8.76*S726</f>
        <v/>
      </c>
      <c r="T973" s="44">
        <f>T532*8.76*T726</f>
        <v/>
      </c>
      <c r="U973" s="44">
        <f>U532*8.76*U726</f>
        <v/>
      </c>
      <c r="V973" s="44">
        <f>V532*8.76*V726</f>
        <v/>
      </c>
      <c r="W973" s="44">
        <f>W532*8.76*W726</f>
        <v/>
      </c>
      <c r="X973" s="44">
        <f>X532*8.76*X726</f>
        <v/>
      </c>
      <c r="Y973" s="44">
        <f>Y532*8.76*Y726</f>
        <v/>
      </c>
      <c r="Z973" s="44">
        <f>Z532*8.76*Z726</f>
        <v/>
      </c>
      <c r="AA973" s="44">
        <f>AA532*8.76*AA726</f>
        <v/>
      </c>
      <c r="AB973" s="44">
        <f>AB532*8.76*AB726</f>
        <v/>
      </c>
      <c r="AC973" s="44">
        <f>AC532*8.76*AC726</f>
        <v/>
      </c>
      <c r="AD973" s="44">
        <f>AD532*8.76*AD726</f>
        <v/>
      </c>
      <c r="AE973" s="57">
        <f>POWERREV(AE532,8.76,AE726)</f>
        <v/>
      </c>
      <c r="AG973" s="11">
        <f>CodePrefix&amp;$A973&amp;IF($C973="","","."&amp;$C973&amp;"."&amp;$B973)&amp;INDEX(VarEnd,MATCH($A973,VarKey,0))&amp;AG$5</f>
        <v/>
      </c>
      <c r="AH973" s="43">
        <f>AH532*8.76*AH726</f>
        <v/>
      </c>
      <c r="AI973" s="44">
        <f>AI532*8.76*AI726</f>
        <v/>
      </c>
      <c r="AJ973" s="44">
        <f>AJ532*8.76*AJ726</f>
        <v/>
      </c>
      <c r="AK973" s="44">
        <f>AK532*8.76*AK726</f>
        <v/>
      </c>
      <c r="AL973" s="44">
        <f>AL532*8.76*AL726</f>
        <v/>
      </c>
      <c r="AM973" s="44">
        <f>AM532*8.76*AM726</f>
        <v/>
      </c>
      <c r="AN973" s="44">
        <f>AN532*8.76*AN726</f>
        <v/>
      </c>
      <c r="AO973" s="44">
        <f>AO532*8.76*AO726</f>
        <v/>
      </c>
      <c r="AP973" s="44">
        <f>AP532*8.76*AP726</f>
        <v/>
      </c>
      <c r="AQ973" s="44">
        <f>AQ532*8.76*AQ726</f>
        <v/>
      </c>
      <c r="AR973" s="44">
        <f>AR532*8.76*AR726</f>
        <v/>
      </c>
      <c r="AS973" s="44">
        <f>AS532*8.76*AS726</f>
        <v/>
      </c>
      <c r="AT973" s="44">
        <f>AT532*8.76*AT726</f>
        <v/>
      </c>
      <c r="AU973" s="44">
        <f>AU532*8.76*AU726</f>
        <v/>
      </c>
      <c r="AV973" s="44">
        <f>AV532*8.76*AV726</f>
        <v/>
      </c>
      <c r="AW973" s="44">
        <f>AW532*8.76*AW726</f>
        <v/>
      </c>
      <c r="AX973" s="44">
        <f>AX532*8.76*AX726</f>
        <v/>
      </c>
      <c r="AY973" s="44">
        <f>AY532*8.76*AY726</f>
        <v/>
      </c>
      <c r="AZ973" s="44">
        <f>AZ532*8.76*AZ726</f>
        <v/>
      </c>
      <c r="BA973" s="57">
        <f>POWERREV(BA532,8.76,BA726)</f>
        <v/>
      </c>
    </row>
    <row r="974" hidden="1" outlineLevel="1">
      <c r="A974" s="14" t="inlineStr">
        <is>
          <t>prxc</t>
        </is>
      </c>
      <c r="B974" s="14" t="inlineStr">
        <is>
          <t>wnd</t>
        </is>
      </c>
      <c r="C974" s="14" t="inlineStr">
        <is>
          <t>pow</t>
        </is>
      </c>
      <c r="D974" s="39" t="n"/>
      <c r="E974" s="39" t="n"/>
      <c r="F974" s="39" t="n"/>
      <c r="G974" s="39" t="n"/>
      <c r="H974" s="14">
        <f>INDEX(VarLab,MATCH($A974,VarKey,0))&amp;INDEX(MemLab,MATCH($C974&amp;"|"&amp;$B974,MemKey,0))</f>
        <v/>
      </c>
      <c r="I974" s="14">
        <f>INDEX(VarUnit,MATCH($A974,VarKey,0))</f>
        <v/>
      </c>
      <c r="J974" s="14">
        <f>INDEX(VarSrc,MATCH($A974,VarKey,0))</f>
        <v/>
      </c>
      <c r="K974" s="11">
        <f>CodePrefix&amp;$A974&amp;IF($C974="","","."&amp;$C974&amp;"."&amp;$B974)&amp;INDEX(VarEnd,MATCH($A974,VarKey,0))&amp;K$5</f>
        <v/>
      </c>
      <c r="L974" s="43">
        <f>L533*8.76*L727</f>
        <v/>
      </c>
      <c r="M974" s="44">
        <f>M533*8.76*M727</f>
        <v/>
      </c>
      <c r="N974" s="44">
        <f>N533*8.76*N727</f>
        <v/>
      </c>
      <c r="O974" s="44">
        <f>O533*8.76*O727</f>
        <v/>
      </c>
      <c r="P974" s="44">
        <f>P533*8.76*P727</f>
        <v/>
      </c>
      <c r="Q974" s="44">
        <f>Q533*8.76*Q727</f>
        <v/>
      </c>
      <c r="R974" s="44">
        <f>R533*8.76*R727</f>
        <v/>
      </c>
      <c r="S974" s="44">
        <f>S533*8.76*S727</f>
        <v/>
      </c>
      <c r="T974" s="44">
        <f>T533*8.76*T727</f>
        <v/>
      </c>
      <c r="U974" s="44">
        <f>U533*8.76*U727</f>
        <v/>
      </c>
      <c r="V974" s="44">
        <f>V533*8.76*V727</f>
        <v/>
      </c>
      <c r="W974" s="44">
        <f>W533*8.76*W727</f>
        <v/>
      </c>
      <c r="X974" s="44">
        <f>X533*8.76*X727</f>
        <v/>
      </c>
      <c r="Y974" s="44">
        <f>Y533*8.76*Y727</f>
        <v/>
      </c>
      <c r="Z974" s="44">
        <f>Z533*8.76*Z727</f>
        <v/>
      </c>
      <c r="AA974" s="44">
        <f>AA533*8.76*AA727</f>
        <v/>
      </c>
      <c r="AB974" s="44">
        <f>AB533*8.76*AB727</f>
        <v/>
      </c>
      <c r="AC974" s="44">
        <f>AC533*8.76*AC727</f>
        <v/>
      </c>
      <c r="AD974" s="44">
        <f>AD533*8.76*AD727</f>
        <v/>
      </c>
      <c r="AE974" s="57">
        <f>POWERREV(AE533,8.76,AE727)</f>
        <v/>
      </c>
      <c r="AG974" s="11">
        <f>CodePrefix&amp;$A974&amp;IF($C974="","","."&amp;$C974&amp;"."&amp;$B974)&amp;INDEX(VarEnd,MATCH($A974,VarKey,0))&amp;AG$5</f>
        <v/>
      </c>
      <c r="AH974" s="43">
        <f>AH533*8.76*AH727</f>
        <v/>
      </c>
      <c r="AI974" s="44">
        <f>AI533*8.76*AI727</f>
        <v/>
      </c>
      <c r="AJ974" s="44">
        <f>AJ533*8.76*AJ727</f>
        <v/>
      </c>
      <c r="AK974" s="44">
        <f>AK533*8.76*AK727</f>
        <v/>
      </c>
      <c r="AL974" s="44">
        <f>AL533*8.76*AL727</f>
        <v/>
      </c>
      <c r="AM974" s="44">
        <f>AM533*8.76*AM727</f>
        <v/>
      </c>
      <c r="AN974" s="44">
        <f>AN533*8.76*AN727</f>
        <v/>
      </c>
      <c r="AO974" s="44">
        <f>AO533*8.76*AO727</f>
        <v/>
      </c>
      <c r="AP974" s="44">
        <f>AP533*8.76*AP727</f>
        <v/>
      </c>
      <c r="AQ974" s="44">
        <f>AQ533*8.76*AQ727</f>
        <v/>
      </c>
      <c r="AR974" s="44">
        <f>AR533*8.76*AR727</f>
        <v/>
      </c>
      <c r="AS974" s="44">
        <f>AS533*8.76*AS727</f>
        <v/>
      </c>
      <c r="AT974" s="44">
        <f>AT533*8.76*AT727</f>
        <v/>
      </c>
      <c r="AU974" s="44">
        <f>AU533*8.76*AU727</f>
        <v/>
      </c>
      <c r="AV974" s="44">
        <f>AV533*8.76*AV727</f>
        <v/>
      </c>
      <c r="AW974" s="44">
        <f>AW533*8.76*AW727</f>
        <v/>
      </c>
      <c r="AX974" s="44">
        <f>AX533*8.76*AX727</f>
        <v/>
      </c>
      <c r="AY974" s="44">
        <f>AY533*8.76*AY727</f>
        <v/>
      </c>
      <c r="AZ974" s="44">
        <f>AZ533*8.76*AZ727</f>
        <v/>
      </c>
      <c r="BA974" s="57">
        <f>POWERREV(BA533,8.76,BA727)</f>
        <v/>
      </c>
    </row>
    <row r="975" hidden="1" outlineLevel="1">
      <c r="A975" s="14" t="inlineStr">
        <is>
          <t>prxc</t>
        </is>
      </c>
      <c r="B975" s="14" t="inlineStr">
        <is>
          <t>sol</t>
        </is>
      </c>
      <c r="C975" s="14" t="inlineStr">
        <is>
          <t>pow</t>
        </is>
      </c>
      <c r="D975" s="39" t="n"/>
      <c r="E975" s="39" t="n"/>
      <c r="F975" s="39" t="n"/>
      <c r="G975" s="39" t="n"/>
      <c r="H975" s="14">
        <f>INDEX(VarLab,MATCH($A975,VarKey,0))&amp;INDEX(MemLab,MATCH($C975&amp;"|"&amp;$B975,MemKey,0))</f>
        <v/>
      </c>
      <c r="I975" s="14">
        <f>INDEX(VarUnit,MATCH($A975,VarKey,0))</f>
        <v/>
      </c>
      <c r="J975" s="14">
        <f>INDEX(VarSrc,MATCH($A975,VarKey,0))</f>
        <v/>
      </c>
      <c r="K975" s="11">
        <f>CodePrefix&amp;$A975&amp;IF($C975="","","."&amp;$C975&amp;"."&amp;$B975)&amp;INDEX(VarEnd,MATCH($A975,VarKey,0))&amp;K$5</f>
        <v/>
      </c>
      <c r="L975" s="43">
        <f>L534*8.76*L728</f>
        <v/>
      </c>
      <c r="M975" s="44">
        <f>M534*8.76*M728</f>
        <v/>
      </c>
      <c r="N975" s="44">
        <f>N534*8.76*N728</f>
        <v/>
      </c>
      <c r="O975" s="44">
        <f>O534*8.76*O728</f>
        <v/>
      </c>
      <c r="P975" s="44">
        <f>P534*8.76*P728</f>
        <v/>
      </c>
      <c r="Q975" s="44">
        <f>Q534*8.76*Q728</f>
        <v/>
      </c>
      <c r="R975" s="44">
        <f>R534*8.76*R728</f>
        <v/>
      </c>
      <c r="S975" s="44">
        <f>S534*8.76*S728</f>
        <v/>
      </c>
      <c r="T975" s="44">
        <f>T534*8.76*T728</f>
        <v/>
      </c>
      <c r="U975" s="44">
        <f>U534*8.76*U728</f>
        <v/>
      </c>
      <c r="V975" s="44">
        <f>V534*8.76*V728</f>
        <v/>
      </c>
      <c r="W975" s="44">
        <f>W534*8.76*W728</f>
        <v/>
      </c>
      <c r="X975" s="44">
        <f>X534*8.76*X728</f>
        <v/>
      </c>
      <c r="Y975" s="44">
        <f>Y534*8.76*Y728</f>
        <v/>
      </c>
      <c r="Z975" s="44">
        <f>Z534*8.76*Z728</f>
        <v/>
      </c>
      <c r="AA975" s="44">
        <f>AA534*8.76*AA728</f>
        <v/>
      </c>
      <c r="AB975" s="44">
        <f>AB534*8.76*AB728</f>
        <v/>
      </c>
      <c r="AC975" s="44">
        <f>AC534*8.76*AC728</f>
        <v/>
      </c>
      <c r="AD975" s="44">
        <f>AD534*8.76*AD728</f>
        <v/>
      </c>
      <c r="AE975" s="57">
        <f>POWERREV(AE534,8.76,AE728)</f>
        <v/>
      </c>
      <c r="AG975" s="11">
        <f>CodePrefix&amp;$A975&amp;IF($C975="","","."&amp;$C975&amp;"."&amp;$B975)&amp;INDEX(VarEnd,MATCH($A975,VarKey,0))&amp;AG$5</f>
        <v/>
      </c>
      <c r="AH975" s="43">
        <f>AH534*8.76*AH728</f>
        <v/>
      </c>
      <c r="AI975" s="44">
        <f>AI534*8.76*AI728</f>
        <v/>
      </c>
      <c r="AJ975" s="44">
        <f>AJ534*8.76*AJ728</f>
        <v/>
      </c>
      <c r="AK975" s="44">
        <f>AK534*8.76*AK728</f>
        <v/>
      </c>
      <c r="AL975" s="44">
        <f>AL534*8.76*AL728</f>
        <v/>
      </c>
      <c r="AM975" s="44">
        <f>AM534*8.76*AM728</f>
        <v/>
      </c>
      <c r="AN975" s="44">
        <f>AN534*8.76*AN728</f>
        <v/>
      </c>
      <c r="AO975" s="44">
        <f>AO534*8.76*AO728</f>
        <v/>
      </c>
      <c r="AP975" s="44">
        <f>AP534*8.76*AP728</f>
        <v/>
      </c>
      <c r="AQ975" s="44">
        <f>AQ534*8.76*AQ728</f>
        <v/>
      </c>
      <c r="AR975" s="44">
        <f>AR534*8.76*AR728</f>
        <v/>
      </c>
      <c r="AS975" s="44">
        <f>AS534*8.76*AS728</f>
        <v/>
      </c>
      <c r="AT975" s="44">
        <f>AT534*8.76*AT728</f>
        <v/>
      </c>
      <c r="AU975" s="44">
        <f>AU534*8.76*AU728</f>
        <v/>
      </c>
      <c r="AV975" s="44">
        <f>AV534*8.76*AV728</f>
        <v/>
      </c>
      <c r="AW975" s="44">
        <f>AW534*8.76*AW728</f>
        <v/>
      </c>
      <c r="AX975" s="44">
        <f>AX534*8.76*AX728</f>
        <v/>
      </c>
      <c r="AY975" s="44">
        <f>AY534*8.76*AY728</f>
        <v/>
      </c>
      <c r="AZ975" s="44">
        <f>AZ534*8.76*AZ728</f>
        <v/>
      </c>
      <c r="BA975" s="57">
        <f>POWERREV(BA534,8.76,BA728)</f>
        <v/>
      </c>
    </row>
    <row r="976" hidden="1" outlineLevel="1">
      <c r="A976" s="14" t="inlineStr">
        <is>
          <t>prxc</t>
        </is>
      </c>
      <c r="B976" s="14" t="inlineStr">
        <is>
          <t>hyd</t>
        </is>
      </c>
      <c r="C976" s="14" t="inlineStr">
        <is>
          <t>pow</t>
        </is>
      </c>
      <c r="D976" s="39" t="n"/>
      <c r="E976" s="39" t="n"/>
      <c r="F976" s="39" t="n"/>
      <c r="G976" s="39" t="n"/>
      <c r="H976" s="14">
        <f>INDEX(VarLab,MATCH($A976,VarKey,0))&amp;INDEX(MemLab,MATCH($C976&amp;"|"&amp;$B976,MemKey,0))</f>
        <v/>
      </c>
      <c r="I976" s="14">
        <f>INDEX(VarUnit,MATCH($A976,VarKey,0))</f>
        <v/>
      </c>
      <c r="J976" s="14">
        <f>INDEX(VarSrc,MATCH($A976,VarKey,0))</f>
        <v/>
      </c>
      <c r="K976" s="11">
        <f>CodePrefix&amp;$A976&amp;IF($C976="","","."&amp;$C976&amp;"."&amp;$B976)&amp;INDEX(VarEnd,MATCH($A976,VarKey,0))&amp;K$5</f>
        <v/>
      </c>
      <c r="L976" s="43">
        <f>L535*8.76*L729</f>
        <v/>
      </c>
      <c r="M976" s="44">
        <f>M535*8.76*M729</f>
        <v/>
      </c>
      <c r="N976" s="44">
        <f>N535*8.76*N729</f>
        <v/>
      </c>
      <c r="O976" s="44">
        <f>O535*8.76*O729</f>
        <v/>
      </c>
      <c r="P976" s="44">
        <f>P535*8.76*P729</f>
        <v/>
      </c>
      <c r="Q976" s="44">
        <f>Q535*8.76*Q729</f>
        <v/>
      </c>
      <c r="R976" s="44">
        <f>R535*8.76*R729</f>
        <v/>
      </c>
      <c r="S976" s="44">
        <f>S535*8.76*S729</f>
        <v/>
      </c>
      <c r="T976" s="44">
        <f>T535*8.76*T729</f>
        <v/>
      </c>
      <c r="U976" s="44">
        <f>U535*8.76*U729</f>
        <v/>
      </c>
      <c r="V976" s="44">
        <f>V535*8.76*V729</f>
        <v/>
      </c>
      <c r="W976" s="44">
        <f>W535*8.76*W729</f>
        <v/>
      </c>
      <c r="X976" s="44">
        <f>X535*8.76*X729</f>
        <v/>
      </c>
      <c r="Y976" s="44">
        <f>Y535*8.76*Y729</f>
        <v/>
      </c>
      <c r="Z976" s="44">
        <f>Z535*8.76*Z729</f>
        <v/>
      </c>
      <c r="AA976" s="44">
        <f>AA535*8.76*AA729</f>
        <v/>
      </c>
      <c r="AB976" s="44">
        <f>AB535*8.76*AB729</f>
        <v/>
      </c>
      <c r="AC976" s="44">
        <f>AC535*8.76*AC729</f>
        <v/>
      </c>
      <c r="AD976" s="44">
        <f>AD535*8.76*AD729</f>
        <v/>
      </c>
      <c r="AE976" s="57">
        <f>POWERREV(AE535,8.76,AE729)</f>
        <v/>
      </c>
      <c r="AG976" s="11">
        <f>CodePrefix&amp;$A976&amp;IF($C976="","","."&amp;$C976&amp;"."&amp;$B976)&amp;INDEX(VarEnd,MATCH($A976,VarKey,0))&amp;AG$5</f>
        <v/>
      </c>
      <c r="AH976" s="43">
        <f>AH535*8.76*AH729</f>
        <v/>
      </c>
      <c r="AI976" s="44">
        <f>AI535*8.76*AI729</f>
        <v/>
      </c>
      <c r="AJ976" s="44">
        <f>AJ535*8.76*AJ729</f>
        <v/>
      </c>
      <c r="AK976" s="44">
        <f>AK535*8.76*AK729</f>
        <v/>
      </c>
      <c r="AL976" s="44">
        <f>AL535*8.76*AL729</f>
        <v/>
      </c>
      <c r="AM976" s="44">
        <f>AM535*8.76*AM729</f>
        <v/>
      </c>
      <c r="AN976" s="44">
        <f>AN535*8.76*AN729</f>
        <v/>
      </c>
      <c r="AO976" s="44">
        <f>AO535*8.76*AO729</f>
        <v/>
      </c>
      <c r="AP976" s="44">
        <f>AP535*8.76*AP729</f>
        <v/>
      </c>
      <c r="AQ976" s="44">
        <f>AQ535*8.76*AQ729</f>
        <v/>
      </c>
      <c r="AR976" s="44">
        <f>AR535*8.76*AR729</f>
        <v/>
      </c>
      <c r="AS976" s="44">
        <f>AS535*8.76*AS729</f>
        <v/>
      </c>
      <c r="AT976" s="44">
        <f>AT535*8.76*AT729</f>
        <v/>
      </c>
      <c r="AU976" s="44">
        <f>AU535*8.76*AU729</f>
        <v/>
      </c>
      <c r="AV976" s="44">
        <f>AV535*8.76*AV729</f>
        <v/>
      </c>
      <c r="AW976" s="44">
        <f>AW535*8.76*AW729</f>
        <v/>
      </c>
      <c r="AX976" s="44">
        <f>AX535*8.76*AX729</f>
        <v/>
      </c>
      <c r="AY976" s="44">
        <f>AY535*8.76*AY729</f>
        <v/>
      </c>
      <c r="AZ976" s="44">
        <f>AZ535*8.76*AZ729</f>
        <v/>
      </c>
      <c r="BA976" s="57">
        <f>POWERREV(BA535,8.76,BA729)</f>
        <v/>
      </c>
    </row>
    <row r="977" hidden="1" outlineLevel="1">
      <c r="A977" s="14" t="inlineStr">
        <is>
          <t>prxc</t>
        </is>
      </c>
      <c r="B977" s="14" t="inlineStr">
        <is>
          <t>ore</t>
        </is>
      </c>
      <c r="C977" s="14" t="inlineStr">
        <is>
          <t>pow</t>
        </is>
      </c>
      <c r="D977" s="39" t="n"/>
      <c r="E977" s="39" t="n"/>
      <c r="F977" s="39" t="n"/>
      <c r="G977" s="39" t="n"/>
      <c r="H977" s="14">
        <f>INDEX(VarLab,MATCH($A977,VarKey,0))&amp;INDEX(MemLab,MATCH($C977&amp;"|"&amp;$B977,MemKey,0))</f>
        <v/>
      </c>
      <c r="I977" s="14">
        <f>INDEX(VarUnit,MATCH($A977,VarKey,0))</f>
        <v/>
      </c>
      <c r="J977" s="14">
        <f>INDEX(VarSrc,MATCH($A977,VarKey,0))</f>
        <v/>
      </c>
      <c r="K977" s="11">
        <f>CodePrefix&amp;$A977&amp;IF($C977="","","."&amp;$C977&amp;"."&amp;$B977)&amp;INDEX(VarEnd,MATCH($A977,VarKey,0))&amp;K$5</f>
        <v/>
      </c>
      <c r="L977" s="43">
        <f>L536*8.76*L730</f>
        <v/>
      </c>
      <c r="M977" s="44">
        <f>M536*8.76*M730</f>
        <v/>
      </c>
      <c r="N977" s="44">
        <f>N536*8.76*N730</f>
        <v/>
      </c>
      <c r="O977" s="44">
        <f>O536*8.76*O730</f>
        <v/>
      </c>
      <c r="P977" s="44">
        <f>P536*8.76*P730</f>
        <v/>
      </c>
      <c r="Q977" s="44">
        <f>Q536*8.76*Q730</f>
        <v/>
      </c>
      <c r="R977" s="44">
        <f>R536*8.76*R730</f>
        <v/>
      </c>
      <c r="S977" s="44">
        <f>S536*8.76*S730</f>
        <v/>
      </c>
      <c r="T977" s="44">
        <f>T536*8.76*T730</f>
        <v/>
      </c>
      <c r="U977" s="44">
        <f>U536*8.76*U730</f>
        <v/>
      </c>
      <c r="V977" s="44">
        <f>V536*8.76*V730</f>
        <v/>
      </c>
      <c r="W977" s="44">
        <f>W536*8.76*W730</f>
        <v/>
      </c>
      <c r="X977" s="44">
        <f>X536*8.76*X730</f>
        <v/>
      </c>
      <c r="Y977" s="44">
        <f>Y536*8.76*Y730</f>
        <v/>
      </c>
      <c r="Z977" s="44">
        <f>Z536*8.76*Z730</f>
        <v/>
      </c>
      <c r="AA977" s="44">
        <f>AA536*8.76*AA730</f>
        <v/>
      </c>
      <c r="AB977" s="44">
        <f>AB536*8.76*AB730</f>
        <v/>
      </c>
      <c r="AC977" s="44">
        <f>AC536*8.76*AC730</f>
        <v/>
      </c>
      <c r="AD977" s="44">
        <f>AD536*8.76*AD730</f>
        <v/>
      </c>
      <c r="AE977" s="57">
        <f>POWERREV(AE536,8.76,AE730)</f>
        <v/>
      </c>
      <c r="AG977" s="11">
        <f>CodePrefix&amp;$A977&amp;IF($C977="","","."&amp;$C977&amp;"."&amp;$B977)&amp;INDEX(VarEnd,MATCH($A977,VarKey,0))&amp;AG$5</f>
        <v/>
      </c>
      <c r="AH977" s="43">
        <f>AH536*8.76*AH730</f>
        <v/>
      </c>
      <c r="AI977" s="44">
        <f>AI536*8.76*AI730</f>
        <v/>
      </c>
      <c r="AJ977" s="44">
        <f>AJ536*8.76*AJ730</f>
        <v/>
      </c>
      <c r="AK977" s="44">
        <f>AK536*8.76*AK730</f>
        <v/>
      </c>
      <c r="AL977" s="44">
        <f>AL536*8.76*AL730</f>
        <v/>
      </c>
      <c r="AM977" s="44">
        <f>AM536*8.76*AM730</f>
        <v/>
      </c>
      <c r="AN977" s="44">
        <f>AN536*8.76*AN730</f>
        <v/>
      </c>
      <c r="AO977" s="44">
        <f>AO536*8.76*AO730</f>
        <v/>
      </c>
      <c r="AP977" s="44">
        <f>AP536*8.76*AP730</f>
        <v/>
      </c>
      <c r="AQ977" s="44">
        <f>AQ536*8.76*AQ730</f>
        <v/>
      </c>
      <c r="AR977" s="44">
        <f>AR536*8.76*AR730</f>
        <v/>
      </c>
      <c r="AS977" s="44">
        <f>AS536*8.76*AS730</f>
        <v/>
      </c>
      <c r="AT977" s="44">
        <f>AT536*8.76*AT730</f>
        <v/>
      </c>
      <c r="AU977" s="44">
        <f>AU536*8.76*AU730</f>
        <v/>
      </c>
      <c r="AV977" s="44">
        <f>AV536*8.76*AV730</f>
        <v/>
      </c>
      <c r="AW977" s="44">
        <f>AW536*8.76*AW730</f>
        <v/>
      </c>
      <c r="AX977" s="44">
        <f>AX536*8.76*AX730</f>
        <v/>
      </c>
      <c r="AY977" s="44">
        <f>AY536*8.76*AY730</f>
        <v/>
      </c>
      <c r="AZ977" s="44">
        <f>AZ536*8.76*AZ730</f>
        <v/>
      </c>
      <c r="BA977" s="57">
        <f>POWERREV(BA536,8.76,BA730)</f>
        <v/>
      </c>
    </row>
    <row r="978" hidden="1" outlineLevel="1">
      <c r="A978" s="14" t="inlineStr">
        <is>
          <t>prxc</t>
        </is>
      </c>
      <c r="B978" s="14" t="inlineStr">
        <is>
          <t>bio</t>
        </is>
      </c>
      <c r="C978" s="14" t="inlineStr">
        <is>
          <t>pow</t>
        </is>
      </c>
      <c r="D978" s="39" t="n"/>
      <c r="E978" s="39" t="n"/>
      <c r="F978" s="39" t="n"/>
      <c r="G978" s="39" t="n"/>
      <c r="H978" s="14">
        <f>INDEX(VarLab,MATCH($A978,VarKey,0))&amp;INDEX(MemLab,MATCH($C978&amp;"|"&amp;$B978,MemKey,0))</f>
        <v/>
      </c>
      <c r="I978" s="14">
        <f>INDEX(VarUnit,MATCH($A978,VarKey,0))</f>
        <v/>
      </c>
      <c r="J978" s="14">
        <f>INDEX(VarSrc,MATCH($A978,VarKey,0))</f>
        <v/>
      </c>
      <c r="K978" s="11">
        <f>CodePrefix&amp;$A978&amp;IF($C978="","","."&amp;$C978&amp;"."&amp;$B978)&amp;INDEX(VarEnd,MATCH($A978,VarKey,0))&amp;K$5</f>
        <v/>
      </c>
      <c r="L978" s="43">
        <f>L537*8.76*L731</f>
        <v/>
      </c>
      <c r="M978" s="44">
        <f>M537*8.76*M731</f>
        <v/>
      </c>
      <c r="N978" s="44">
        <f>N537*8.76*N731</f>
        <v/>
      </c>
      <c r="O978" s="44">
        <f>O537*8.76*O731</f>
        <v/>
      </c>
      <c r="P978" s="44">
        <f>P537*8.76*P731</f>
        <v/>
      </c>
      <c r="Q978" s="44">
        <f>Q537*8.76*Q731</f>
        <v/>
      </c>
      <c r="R978" s="44">
        <f>R537*8.76*R731</f>
        <v/>
      </c>
      <c r="S978" s="44">
        <f>S537*8.76*S731</f>
        <v/>
      </c>
      <c r="T978" s="44">
        <f>T537*8.76*T731</f>
        <v/>
      </c>
      <c r="U978" s="44">
        <f>U537*8.76*U731</f>
        <v/>
      </c>
      <c r="V978" s="44">
        <f>V537*8.76*V731</f>
        <v/>
      </c>
      <c r="W978" s="44">
        <f>W537*8.76*W731</f>
        <v/>
      </c>
      <c r="X978" s="44">
        <f>X537*8.76*X731</f>
        <v/>
      </c>
      <c r="Y978" s="44">
        <f>Y537*8.76*Y731</f>
        <v/>
      </c>
      <c r="Z978" s="44">
        <f>Z537*8.76*Z731</f>
        <v/>
      </c>
      <c r="AA978" s="44">
        <f>AA537*8.76*AA731</f>
        <v/>
      </c>
      <c r="AB978" s="44">
        <f>AB537*8.76*AB731</f>
        <v/>
      </c>
      <c r="AC978" s="44">
        <f>AC537*8.76*AC731</f>
        <v/>
      </c>
      <c r="AD978" s="44">
        <f>AD537*8.76*AD731</f>
        <v/>
      </c>
      <c r="AE978" s="57">
        <f>POWERREV(AE537,8.76,AE731)</f>
        <v/>
      </c>
      <c r="AG978" s="11">
        <f>CodePrefix&amp;$A978&amp;IF($C978="","","."&amp;$C978&amp;"."&amp;$B978)&amp;INDEX(VarEnd,MATCH($A978,VarKey,0))&amp;AG$5</f>
        <v/>
      </c>
      <c r="AH978" s="43">
        <f>AH537*8.76*AH731</f>
        <v/>
      </c>
      <c r="AI978" s="44">
        <f>AI537*8.76*AI731</f>
        <v/>
      </c>
      <c r="AJ978" s="44">
        <f>AJ537*8.76*AJ731</f>
        <v/>
      </c>
      <c r="AK978" s="44">
        <f>AK537*8.76*AK731</f>
        <v/>
      </c>
      <c r="AL978" s="44">
        <f>AL537*8.76*AL731</f>
        <v/>
      </c>
      <c r="AM978" s="44">
        <f>AM537*8.76*AM731</f>
        <v/>
      </c>
      <c r="AN978" s="44">
        <f>AN537*8.76*AN731</f>
        <v/>
      </c>
      <c r="AO978" s="44">
        <f>AO537*8.76*AO731</f>
        <v/>
      </c>
      <c r="AP978" s="44">
        <f>AP537*8.76*AP731</f>
        <v/>
      </c>
      <c r="AQ978" s="44">
        <f>AQ537*8.76*AQ731</f>
        <v/>
      </c>
      <c r="AR978" s="44">
        <f>AR537*8.76*AR731</f>
        <v/>
      </c>
      <c r="AS978" s="44">
        <f>AS537*8.76*AS731</f>
        <v/>
      </c>
      <c r="AT978" s="44">
        <f>AT537*8.76*AT731</f>
        <v/>
      </c>
      <c r="AU978" s="44">
        <f>AU537*8.76*AU731</f>
        <v/>
      </c>
      <c r="AV978" s="44">
        <f>AV537*8.76*AV731</f>
        <v/>
      </c>
      <c r="AW978" s="44">
        <f>AW537*8.76*AW731</f>
        <v/>
      </c>
      <c r="AX978" s="44">
        <f>AX537*8.76*AX731</f>
        <v/>
      </c>
      <c r="AY978" s="44">
        <f>AY537*8.76*AY731</f>
        <v/>
      </c>
      <c r="AZ978" s="44">
        <f>AZ537*8.76*AZ731</f>
        <v/>
      </c>
      <c r="BA978" s="57">
        <f>POWERREV(BA537,8.76,BA731)</f>
        <v/>
      </c>
    </row>
    <row r="979" hidden="1" outlineLevel="1"/>
    <row r="980" hidden="1" outlineLevel="1">
      <c r="A980" s="14" t="inlineStr">
        <is>
          <t>prnew</t>
        </is>
      </c>
      <c r="B980" s="14" t="inlineStr">
        <is>
          <t>coa</t>
        </is>
      </c>
      <c r="C980" s="14" t="inlineStr">
        <is>
          <t>pow</t>
        </is>
      </c>
      <c r="D980" s="39" t="n"/>
      <c r="E980" s="39" t="n"/>
      <c r="F980" s="39" t="n"/>
      <c r="G980" s="39" t="n"/>
      <c r="H980" s="14">
        <f>INDEX(VarLab,MATCH($A980,VarKey,0))&amp;INDEX(MemLab,MATCH($C980&amp;"|"&amp;$B980,MemKey,0))</f>
        <v/>
      </c>
      <c r="I980" s="14">
        <f>INDEX(VarUnit,MATCH($A980,VarKey,0))</f>
        <v/>
      </c>
      <c r="J980" s="14">
        <f>INDEX(VarSrc,MATCH($A980,VarKey,0))</f>
        <v/>
      </c>
      <c r="K980" s="11">
        <f>CodePrefix&amp;$A980&amp;IF($C980="","","."&amp;$C980&amp;"."&amp;$B980)&amp;INDEX(VarEnd,MATCH($A980,VarKey,0))&amp;K$5</f>
        <v/>
      </c>
      <c r="L980" s="43">
        <f>L723*8.76*L549-L756*L$280*(1-L$201)</f>
        <v/>
      </c>
      <c r="M980" s="44">
        <f>M723*8.76*M549-M756*M$280*(1-M$201)</f>
        <v/>
      </c>
      <c r="N980" s="44">
        <f>N723*8.76*N549-N756*N$280*(1-N$201)</f>
        <v/>
      </c>
      <c r="O980" s="44">
        <f>O723*8.76*O549-O756*O$280*(1-O$201)</f>
        <v/>
      </c>
      <c r="P980" s="44">
        <f>P723*8.76*P549-P756*P$280*(1-P$201)</f>
        <v/>
      </c>
      <c r="Q980" s="44">
        <f>Q723*8.76*Q549-Q756*Q$280*(1-Q$201)</f>
        <v/>
      </c>
      <c r="R980" s="44">
        <f>R723*8.76*R549-R756*R$280*(1-R$201)</f>
        <v/>
      </c>
      <c r="S980" s="44">
        <f>S723*8.76*S549-S756*S$280*(1-S$201)</f>
        <v/>
      </c>
      <c r="T980" s="44">
        <f>T723*8.76*T549-T756*T$280*(1-T$201)</f>
        <v/>
      </c>
      <c r="U980" s="44">
        <f>U723*8.76*U549-U756*U$280*(1-U$201)</f>
        <v/>
      </c>
      <c r="V980" s="44">
        <f>V723*8.76*V549-V756*V$280*(1-V$201)</f>
        <v/>
      </c>
      <c r="W980" s="44">
        <f>W723*8.76*W549-W756*W$280*(1-W$201)</f>
        <v/>
      </c>
      <c r="X980" s="44">
        <f>X723*8.76*X549-X756*X$280*(1-X$201)</f>
        <v/>
      </c>
      <c r="Y980" s="44">
        <f>Y723*8.76*Y549-Y756*Y$280*(1-Y$201)</f>
        <v/>
      </c>
      <c r="Z980" s="44">
        <f>Z723*8.76*Z549-Z756*Z$280*(1-Z$201)</f>
        <v/>
      </c>
      <c r="AA980" s="44">
        <f>AA723*8.76*AA549-AA756*AA$280*(1-AA$201)</f>
        <v/>
      </c>
      <c r="AB980" s="44">
        <f>AB723*8.76*AB549-AB756*AB$280*(1-AB$201)</f>
        <v/>
      </c>
      <c r="AC980" s="44">
        <f>AC723*8.76*AC549-AC756*AC$280*(1-AC$201)</f>
        <v/>
      </c>
      <c r="AD980" s="44">
        <f>AD723*8.76*AD549-AD756*AD$280*(1-AD$201)</f>
        <v/>
      </c>
      <c r="AE980" s="57">
        <f>PNEWREV(AE723,AE549,AE756,AE$280,AE$201)</f>
        <v/>
      </c>
      <c r="AG980" s="11">
        <f>CodePrefix&amp;$A980&amp;IF($C980="","","."&amp;$C980&amp;"."&amp;$B980)&amp;INDEX(VarEnd,MATCH($A980,VarKey,0))&amp;AG$5</f>
        <v/>
      </c>
      <c r="AH980" s="43">
        <f>AH723*8.76*AH549-AH756*AH$280*(1-AH$201)</f>
        <v/>
      </c>
      <c r="AI980" s="44">
        <f>AI723*8.76*AI549-AI756*AI$280*(1-AI$201)</f>
        <v/>
      </c>
      <c r="AJ980" s="44">
        <f>AJ723*8.76*AJ549-AJ756*AJ$280*(1-AJ$201)</f>
        <v/>
      </c>
      <c r="AK980" s="44">
        <f>AK723*8.76*AK549-AK756*AK$280*(1-AK$201)</f>
        <v/>
      </c>
      <c r="AL980" s="44">
        <f>AL723*8.76*AL549-AL756*AL$280*(1-AL$201)</f>
        <v/>
      </c>
      <c r="AM980" s="44">
        <f>AM723*8.76*AM549-AM756*AM$280*(1-AM$201)</f>
        <v/>
      </c>
      <c r="AN980" s="44">
        <f>AN723*8.76*AN549-AN756*AN$280*(1-AN$201)</f>
        <v/>
      </c>
      <c r="AO980" s="44">
        <f>AO723*8.76*AO549-AO756*AO$280*(1-AO$201)</f>
        <v/>
      </c>
      <c r="AP980" s="44">
        <f>AP723*8.76*AP549-AP756*AP$280*(1-AP$201)</f>
        <v/>
      </c>
      <c r="AQ980" s="44">
        <f>AQ723*8.76*AQ549-AQ756*AQ$280*(1-AQ$201)</f>
        <v/>
      </c>
      <c r="AR980" s="44">
        <f>AR723*8.76*AR549-AR756*AR$280*(1-AR$201)</f>
        <v/>
      </c>
      <c r="AS980" s="44">
        <f>AS723*8.76*AS549-AS756*AS$280*(1-AS$201)</f>
        <v/>
      </c>
      <c r="AT980" s="44">
        <f>AT723*8.76*AT549-AT756*AT$280*(1-AT$201)</f>
        <v/>
      </c>
      <c r="AU980" s="44">
        <f>AU723*8.76*AU549-AU756*AU$280*(1-AU$201)</f>
        <v/>
      </c>
      <c r="AV980" s="44">
        <f>AV723*8.76*AV549-AV756*AV$280*(1-AV$201)</f>
        <v/>
      </c>
      <c r="AW980" s="44">
        <f>AW723*8.76*AW549-AW756*AW$280*(1-AW$201)</f>
        <v/>
      </c>
      <c r="AX980" s="44">
        <f>AX723*8.76*AX549-AX756*AX$280*(1-AX$201)</f>
        <v/>
      </c>
      <c r="AY980" s="44">
        <f>AY723*8.76*AY549-AY756*AY$280*(1-AY$201)</f>
        <v/>
      </c>
      <c r="AZ980" s="44">
        <f>AZ723*8.76*AZ549-AZ756*AZ$280*(1-AZ$201)</f>
        <v/>
      </c>
      <c r="BA980" s="57">
        <f>PNEWREV(BA723,BA549,BA756,BA$280,BA$201)</f>
        <v/>
      </c>
    </row>
    <row r="981" hidden="1" outlineLevel="1">
      <c r="A981" s="14" t="inlineStr">
        <is>
          <t>prnew</t>
        </is>
      </c>
      <c r="B981" s="14" t="inlineStr">
        <is>
          <t>nga</t>
        </is>
      </c>
      <c r="C981" s="14" t="inlineStr">
        <is>
          <t>pow</t>
        </is>
      </c>
      <c r="D981" s="39" t="n"/>
      <c r="E981" s="39" t="n"/>
      <c r="F981" s="39" t="n"/>
      <c r="G981" s="39" t="n"/>
      <c r="H981" s="14">
        <f>INDEX(VarLab,MATCH($A981,VarKey,0))&amp;INDEX(MemLab,MATCH($C981&amp;"|"&amp;$B981,MemKey,0))</f>
        <v/>
      </c>
      <c r="I981" s="14">
        <f>INDEX(VarUnit,MATCH($A981,VarKey,0))</f>
        <v/>
      </c>
      <c r="J981" s="14">
        <f>INDEX(VarSrc,MATCH($A981,VarKey,0))</f>
        <v/>
      </c>
      <c r="K981" s="11">
        <f>CodePrefix&amp;$A981&amp;IF($C981="","","."&amp;$C981&amp;"."&amp;$B981)&amp;INDEX(VarEnd,MATCH($A981,VarKey,0))&amp;K$5</f>
        <v/>
      </c>
      <c r="L981" s="43">
        <f>L724*8.76*L550-L757*L$280*(1-L$201)</f>
        <v/>
      </c>
      <c r="M981" s="44">
        <f>M724*8.76*M550-M757*M$280*(1-M$201)</f>
        <v/>
      </c>
      <c r="N981" s="44">
        <f>N724*8.76*N550-N757*N$280*(1-N$201)</f>
        <v/>
      </c>
      <c r="O981" s="44">
        <f>O724*8.76*O550-O757*O$280*(1-O$201)</f>
        <v/>
      </c>
      <c r="P981" s="44">
        <f>P724*8.76*P550-P757*P$280*(1-P$201)</f>
        <v/>
      </c>
      <c r="Q981" s="44">
        <f>Q724*8.76*Q550-Q757*Q$280*(1-Q$201)</f>
        <v/>
      </c>
      <c r="R981" s="44">
        <f>R724*8.76*R550-R757*R$280*(1-R$201)</f>
        <v/>
      </c>
      <c r="S981" s="44">
        <f>S724*8.76*S550-S757*S$280*(1-S$201)</f>
        <v/>
      </c>
      <c r="T981" s="44">
        <f>T724*8.76*T550-T757*T$280*(1-T$201)</f>
        <v/>
      </c>
      <c r="U981" s="44">
        <f>U724*8.76*U550-U757*U$280*(1-U$201)</f>
        <v/>
      </c>
      <c r="V981" s="44">
        <f>V724*8.76*V550-V757*V$280*(1-V$201)</f>
        <v/>
      </c>
      <c r="W981" s="44">
        <f>W724*8.76*W550-W757*W$280*(1-W$201)</f>
        <v/>
      </c>
      <c r="X981" s="44">
        <f>X724*8.76*X550-X757*X$280*(1-X$201)</f>
        <v/>
      </c>
      <c r="Y981" s="44">
        <f>Y724*8.76*Y550-Y757*Y$280*(1-Y$201)</f>
        <v/>
      </c>
      <c r="Z981" s="44">
        <f>Z724*8.76*Z550-Z757*Z$280*(1-Z$201)</f>
        <v/>
      </c>
      <c r="AA981" s="44">
        <f>AA724*8.76*AA550-AA757*AA$280*(1-AA$201)</f>
        <v/>
      </c>
      <c r="AB981" s="44">
        <f>AB724*8.76*AB550-AB757*AB$280*(1-AB$201)</f>
        <v/>
      </c>
      <c r="AC981" s="44">
        <f>AC724*8.76*AC550-AC757*AC$280*(1-AC$201)</f>
        <v/>
      </c>
      <c r="AD981" s="44">
        <f>AD724*8.76*AD550-AD757*AD$280*(1-AD$201)</f>
        <v/>
      </c>
      <c r="AE981" s="57">
        <f>PNEWREV(AE724,AE550,AE757,AE$280,AE$201)</f>
        <v/>
      </c>
      <c r="AG981" s="11">
        <f>CodePrefix&amp;$A981&amp;IF($C981="","","."&amp;$C981&amp;"."&amp;$B981)&amp;INDEX(VarEnd,MATCH($A981,VarKey,0))&amp;AG$5</f>
        <v/>
      </c>
      <c r="AH981" s="43">
        <f>AH724*8.76*AH550-AH757*AH$280*(1-AH$201)</f>
        <v/>
      </c>
      <c r="AI981" s="44">
        <f>AI724*8.76*AI550-AI757*AI$280*(1-AI$201)</f>
        <v/>
      </c>
      <c r="AJ981" s="44">
        <f>AJ724*8.76*AJ550-AJ757*AJ$280*(1-AJ$201)</f>
        <v/>
      </c>
      <c r="AK981" s="44">
        <f>AK724*8.76*AK550-AK757*AK$280*(1-AK$201)</f>
        <v/>
      </c>
      <c r="AL981" s="44">
        <f>AL724*8.76*AL550-AL757*AL$280*(1-AL$201)</f>
        <v/>
      </c>
      <c r="AM981" s="44">
        <f>AM724*8.76*AM550-AM757*AM$280*(1-AM$201)</f>
        <v/>
      </c>
      <c r="AN981" s="44">
        <f>AN724*8.76*AN550-AN757*AN$280*(1-AN$201)</f>
        <v/>
      </c>
      <c r="AO981" s="44">
        <f>AO724*8.76*AO550-AO757*AO$280*(1-AO$201)</f>
        <v/>
      </c>
      <c r="AP981" s="44">
        <f>AP724*8.76*AP550-AP757*AP$280*(1-AP$201)</f>
        <v/>
      </c>
      <c r="AQ981" s="44">
        <f>AQ724*8.76*AQ550-AQ757*AQ$280*(1-AQ$201)</f>
        <v/>
      </c>
      <c r="AR981" s="44">
        <f>AR724*8.76*AR550-AR757*AR$280*(1-AR$201)</f>
        <v/>
      </c>
      <c r="AS981" s="44">
        <f>AS724*8.76*AS550-AS757*AS$280*(1-AS$201)</f>
        <v/>
      </c>
      <c r="AT981" s="44">
        <f>AT724*8.76*AT550-AT757*AT$280*(1-AT$201)</f>
        <v/>
      </c>
      <c r="AU981" s="44">
        <f>AU724*8.76*AU550-AU757*AU$280*(1-AU$201)</f>
        <v/>
      </c>
      <c r="AV981" s="44">
        <f>AV724*8.76*AV550-AV757*AV$280*(1-AV$201)</f>
        <v/>
      </c>
      <c r="AW981" s="44">
        <f>AW724*8.76*AW550-AW757*AW$280*(1-AW$201)</f>
        <v/>
      </c>
      <c r="AX981" s="44">
        <f>AX724*8.76*AX550-AX757*AX$280*(1-AX$201)</f>
        <v/>
      </c>
      <c r="AY981" s="44">
        <f>AY724*8.76*AY550-AY757*AY$280*(1-AY$201)</f>
        <v/>
      </c>
      <c r="AZ981" s="44">
        <f>AZ724*8.76*AZ550-AZ757*AZ$280*(1-AZ$201)</f>
        <v/>
      </c>
      <c r="BA981" s="57">
        <f>PNEWREV(BA724,BA550,BA757,BA$280,BA$201)</f>
        <v/>
      </c>
    </row>
    <row r="982" hidden="1" outlineLevel="1">
      <c r="A982" s="14" t="inlineStr">
        <is>
          <t>prnew</t>
        </is>
      </c>
      <c r="B982" s="14" t="inlineStr">
        <is>
          <t>oop</t>
        </is>
      </c>
      <c r="C982" s="14" t="inlineStr">
        <is>
          <t>pow</t>
        </is>
      </c>
      <c r="D982" s="39" t="n"/>
      <c r="E982" s="39" t="n"/>
      <c r="F982" s="39" t="n"/>
      <c r="G982" s="39" t="n"/>
      <c r="H982" s="14">
        <f>INDEX(VarLab,MATCH($A982,VarKey,0))&amp;INDEX(MemLab,MATCH($C982&amp;"|"&amp;$B982,MemKey,0))</f>
        <v/>
      </c>
      <c r="I982" s="14">
        <f>INDEX(VarUnit,MATCH($A982,VarKey,0))</f>
        <v/>
      </c>
      <c r="J982" s="14">
        <f>INDEX(VarSrc,MATCH($A982,VarKey,0))</f>
        <v/>
      </c>
      <c r="K982" s="11">
        <f>CodePrefix&amp;$A982&amp;IF($C982="","","."&amp;$C982&amp;"."&amp;$B982)&amp;INDEX(VarEnd,MATCH($A982,VarKey,0))&amp;K$5</f>
        <v/>
      </c>
      <c r="L982" s="43">
        <f>L725*8.76*L551-L758*L$280*(1-L$201)</f>
        <v/>
      </c>
      <c r="M982" s="44">
        <f>M725*8.76*M551-M758*M$280*(1-M$201)</f>
        <v/>
      </c>
      <c r="N982" s="44">
        <f>N725*8.76*N551-N758*N$280*(1-N$201)</f>
        <v/>
      </c>
      <c r="O982" s="44">
        <f>O725*8.76*O551-O758*O$280*(1-O$201)</f>
        <v/>
      </c>
      <c r="P982" s="44">
        <f>P725*8.76*P551-P758*P$280*(1-P$201)</f>
        <v/>
      </c>
      <c r="Q982" s="44">
        <f>Q725*8.76*Q551-Q758*Q$280*(1-Q$201)</f>
        <v/>
      </c>
      <c r="R982" s="44">
        <f>R725*8.76*R551-R758*R$280*(1-R$201)</f>
        <v/>
      </c>
      <c r="S982" s="44">
        <f>S725*8.76*S551-S758*S$280*(1-S$201)</f>
        <v/>
      </c>
      <c r="T982" s="44">
        <f>T725*8.76*T551-T758*T$280*(1-T$201)</f>
        <v/>
      </c>
      <c r="U982" s="44">
        <f>U725*8.76*U551-U758*U$280*(1-U$201)</f>
        <v/>
      </c>
      <c r="V982" s="44">
        <f>V725*8.76*V551-V758*V$280*(1-V$201)</f>
        <v/>
      </c>
      <c r="W982" s="44">
        <f>W725*8.76*W551-W758*W$280*(1-W$201)</f>
        <v/>
      </c>
      <c r="X982" s="44">
        <f>X725*8.76*X551-X758*X$280*(1-X$201)</f>
        <v/>
      </c>
      <c r="Y982" s="44">
        <f>Y725*8.76*Y551-Y758*Y$280*(1-Y$201)</f>
        <v/>
      </c>
      <c r="Z982" s="44">
        <f>Z725*8.76*Z551-Z758*Z$280*(1-Z$201)</f>
        <v/>
      </c>
      <c r="AA982" s="44">
        <f>AA725*8.76*AA551-AA758*AA$280*(1-AA$201)</f>
        <v/>
      </c>
      <c r="AB982" s="44">
        <f>AB725*8.76*AB551-AB758*AB$280*(1-AB$201)</f>
        <v/>
      </c>
      <c r="AC982" s="44">
        <f>AC725*8.76*AC551-AC758*AC$280*(1-AC$201)</f>
        <v/>
      </c>
      <c r="AD982" s="44">
        <f>AD725*8.76*AD551-AD758*AD$280*(1-AD$201)</f>
        <v/>
      </c>
      <c r="AE982" s="57">
        <f>PNEWREV(AE725,AE551,AE758,AE$280,AE$201)</f>
        <v/>
      </c>
      <c r="AG982" s="11">
        <f>CodePrefix&amp;$A982&amp;IF($C982="","","."&amp;$C982&amp;"."&amp;$B982)&amp;INDEX(VarEnd,MATCH($A982,VarKey,0))&amp;AG$5</f>
        <v/>
      </c>
      <c r="AH982" s="43">
        <f>AH725*8.76*AH551-AH758*AH$280*(1-AH$201)</f>
        <v/>
      </c>
      <c r="AI982" s="44">
        <f>AI725*8.76*AI551-AI758*AI$280*(1-AI$201)</f>
        <v/>
      </c>
      <c r="AJ982" s="44">
        <f>AJ725*8.76*AJ551-AJ758*AJ$280*(1-AJ$201)</f>
        <v/>
      </c>
      <c r="AK982" s="44">
        <f>AK725*8.76*AK551-AK758*AK$280*(1-AK$201)</f>
        <v/>
      </c>
      <c r="AL982" s="44">
        <f>AL725*8.76*AL551-AL758*AL$280*(1-AL$201)</f>
        <v/>
      </c>
      <c r="AM982" s="44">
        <f>AM725*8.76*AM551-AM758*AM$280*(1-AM$201)</f>
        <v/>
      </c>
      <c r="AN982" s="44">
        <f>AN725*8.76*AN551-AN758*AN$280*(1-AN$201)</f>
        <v/>
      </c>
      <c r="AO982" s="44">
        <f>AO725*8.76*AO551-AO758*AO$280*(1-AO$201)</f>
        <v/>
      </c>
      <c r="AP982" s="44">
        <f>AP725*8.76*AP551-AP758*AP$280*(1-AP$201)</f>
        <v/>
      </c>
      <c r="AQ982" s="44">
        <f>AQ725*8.76*AQ551-AQ758*AQ$280*(1-AQ$201)</f>
        <v/>
      </c>
      <c r="AR982" s="44">
        <f>AR725*8.76*AR551-AR758*AR$280*(1-AR$201)</f>
        <v/>
      </c>
      <c r="AS982" s="44">
        <f>AS725*8.76*AS551-AS758*AS$280*(1-AS$201)</f>
        <v/>
      </c>
      <c r="AT982" s="44">
        <f>AT725*8.76*AT551-AT758*AT$280*(1-AT$201)</f>
        <v/>
      </c>
      <c r="AU982" s="44">
        <f>AU725*8.76*AU551-AU758*AU$280*(1-AU$201)</f>
        <v/>
      </c>
      <c r="AV982" s="44">
        <f>AV725*8.76*AV551-AV758*AV$280*(1-AV$201)</f>
        <v/>
      </c>
      <c r="AW982" s="44">
        <f>AW725*8.76*AW551-AW758*AW$280*(1-AW$201)</f>
        <v/>
      </c>
      <c r="AX982" s="44">
        <f>AX725*8.76*AX551-AX758*AX$280*(1-AX$201)</f>
        <v/>
      </c>
      <c r="AY982" s="44">
        <f>AY725*8.76*AY551-AY758*AY$280*(1-AY$201)</f>
        <v/>
      </c>
      <c r="AZ982" s="44">
        <f>AZ725*8.76*AZ551-AZ758*AZ$280*(1-AZ$201)</f>
        <v/>
      </c>
      <c r="BA982" s="57">
        <f>PNEWREV(BA725,BA551,BA758,BA$280,BA$201)</f>
        <v/>
      </c>
    </row>
    <row r="983" hidden="1" outlineLevel="1">
      <c r="A983" s="14" t="inlineStr">
        <is>
          <t>prnew</t>
        </is>
      </c>
      <c r="B983" s="14" t="inlineStr">
        <is>
          <t>nuc</t>
        </is>
      </c>
      <c r="C983" s="14" t="inlineStr">
        <is>
          <t>pow</t>
        </is>
      </c>
      <c r="D983" s="39" t="n"/>
      <c r="E983" s="39" t="n"/>
      <c r="F983" s="39" t="n"/>
      <c r="G983" s="39" t="n"/>
      <c r="H983" s="14">
        <f>INDEX(VarLab,MATCH($A983,VarKey,0))&amp;INDEX(MemLab,MATCH($C983&amp;"|"&amp;$B983,MemKey,0))</f>
        <v/>
      </c>
      <c r="I983" s="14">
        <f>INDEX(VarUnit,MATCH($A983,VarKey,0))</f>
        <v/>
      </c>
      <c r="J983" s="14">
        <f>INDEX(VarSrc,MATCH($A983,VarKey,0))</f>
        <v/>
      </c>
      <c r="K983" s="11">
        <f>CodePrefix&amp;$A983&amp;IF($C983="","","."&amp;$C983&amp;"."&amp;$B983)&amp;INDEX(VarEnd,MATCH($A983,VarKey,0))&amp;K$5</f>
        <v/>
      </c>
      <c r="L983" s="43">
        <f>L726*8.76*L552-L759*L$280*(1-L$201)</f>
        <v/>
      </c>
      <c r="M983" s="44">
        <f>M726*8.76*M552-M759*M$280*(1-M$201)</f>
        <v/>
      </c>
      <c r="N983" s="44">
        <f>N726*8.76*N552-N759*N$280*(1-N$201)</f>
        <v/>
      </c>
      <c r="O983" s="44">
        <f>O726*8.76*O552-O759*O$280*(1-O$201)</f>
        <v/>
      </c>
      <c r="P983" s="44">
        <f>P726*8.76*P552-P759*P$280*(1-P$201)</f>
        <v/>
      </c>
      <c r="Q983" s="44">
        <f>Q726*8.76*Q552-Q759*Q$280*(1-Q$201)</f>
        <v/>
      </c>
      <c r="R983" s="44">
        <f>R726*8.76*R552-R759*R$280*(1-R$201)</f>
        <v/>
      </c>
      <c r="S983" s="44">
        <f>S726*8.76*S552-S759*S$280*(1-S$201)</f>
        <v/>
      </c>
      <c r="T983" s="44">
        <f>T726*8.76*T552-T759*T$280*(1-T$201)</f>
        <v/>
      </c>
      <c r="U983" s="44">
        <f>U726*8.76*U552-U759*U$280*(1-U$201)</f>
        <v/>
      </c>
      <c r="V983" s="44">
        <f>V726*8.76*V552-V759*V$280*(1-V$201)</f>
        <v/>
      </c>
      <c r="W983" s="44">
        <f>W726*8.76*W552-W759*W$280*(1-W$201)</f>
        <v/>
      </c>
      <c r="X983" s="44">
        <f>X726*8.76*X552-X759*X$280*(1-X$201)</f>
        <v/>
      </c>
      <c r="Y983" s="44">
        <f>Y726*8.76*Y552-Y759*Y$280*(1-Y$201)</f>
        <v/>
      </c>
      <c r="Z983" s="44">
        <f>Z726*8.76*Z552-Z759*Z$280*(1-Z$201)</f>
        <v/>
      </c>
      <c r="AA983" s="44">
        <f>AA726*8.76*AA552-AA759*AA$280*(1-AA$201)</f>
        <v/>
      </c>
      <c r="AB983" s="44">
        <f>AB726*8.76*AB552-AB759*AB$280*(1-AB$201)</f>
        <v/>
      </c>
      <c r="AC983" s="44">
        <f>AC726*8.76*AC552-AC759*AC$280*(1-AC$201)</f>
        <v/>
      </c>
      <c r="AD983" s="44">
        <f>AD726*8.76*AD552-AD759*AD$280*(1-AD$201)</f>
        <v/>
      </c>
      <c r="AE983" s="57">
        <f>PNEWREV(AE726,AE552,AE759,AE$280,AE$201)</f>
        <v/>
      </c>
      <c r="AG983" s="11">
        <f>CodePrefix&amp;$A983&amp;IF($C983="","","."&amp;$C983&amp;"."&amp;$B983)&amp;INDEX(VarEnd,MATCH($A983,VarKey,0))&amp;AG$5</f>
        <v/>
      </c>
      <c r="AH983" s="43">
        <f>AH726*8.76*AH552-AH759*AH$280*(1-AH$201)</f>
        <v/>
      </c>
      <c r="AI983" s="44">
        <f>AI726*8.76*AI552-AI759*AI$280*(1-AI$201)</f>
        <v/>
      </c>
      <c r="AJ983" s="44">
        <f>AJ726*8.76*AJ552-AJ759*AJ$280*(1-AJ$201)</f>
        <v/>
      </c>
      <c r="AK983" s="44">
        <f>AK726*8.76*AK552-AK759*AK$280*(1-AK$201)</f>
        <v/>
      </c>
      <c r="AL983" s="44">
        <f>AL726*8.76*AL552-AL759*AL$280*(1-AL$201)</f>
        <v/>
      </c>
      <c r="AM983" s="44">
        <f>AM726*8.76*AM552-AM759*AM$280*(1-AM$201)</f>
        <v/>
      </c>
      <c r="AN983" s="44">
        <f>AN726*8.76*AN552-AN759*AN$280*(1-AN$201)</f>
        <v/>
      </c>
      <c r="AO983" s="44">
        <f>AO726*8.76*AO552-AO759*AO$280*(1-AO$201)</f>
        <v/>
      </c>
      <c r="AP983" s="44">
        <f>AP726*8.76*AP552-AP759*AP$280*(1-AP$201)</f>
        <v/>
      </c>
      <c r="AQ983" s="44">
        <f>AQ726*8.76*AQ552-AQ759*AQ$280*(1-AQ$201)</f>
        <v/>
      </c>
      <c r="AR983" s="44">
        <f>AR726*8.76*AR552-AR759*AR$280*(1-AR$201)</f>
        <v/>
      </c>
      <c r="AS983" s="44">
        <f>AS726*8.76*AS552-AS759*AS$280*(1-AS$201)</f>
        <v/>
      </c>
      <c r="AT983" s="44">
        <f>AT726*8.76*AT552-AT759*AT$280*(1-AT$201)</f>
        <v/>
      </c>
      <c r="AU983" s="44">
        <f>AU726*8.76*AU552-AU759*AU$280*(1-AU$201)</f>
        <v/>
      </c>
      <c r="AV983" s="44">
        <f>AV726*8.76*AV552-AV759*AV$280*(1-AV$201)</f>
        <v/>
      </c>
      <c r="AW983" s="44">
        <f>AW726*8.76*AW552-AW759*AW$280*(1-AW$201)</f>
        <v/>
      </c>
      <c r="AX983" s="44">
        <f>AX726*8.76*AX552-AX759*AX$280*(1-AX$201)</f>
        <v/>
      </c>
      <c r="AY983" s="44">
        <f>AY726*8.76*AY552-AY759*AY$280*(1-AY$201)</f>
        <v/>
      </c>
      <c r="AZ983" s="44">
        <f>AZ726*8.76*AZ552-AZ759*AZ$280*(1-AZ$201)</f>
        <v/>
      </c>
      <c r="BA983" s="57">
        <f>PNEWREV(BA726,BA552,BA759,BA$280,BA$201)</f>
        <v/>
      </c>
    </row>
    <row r="984" hidden="1" outlineLevel="1">
      <c r="A984" s="14" t="inlineStr">
        <is>
          <t>prnew</t>
        </is>
      </c>
      <c r="B984" s="14" t="inlineStr">
        <is>
          <t>wnd</t>
        </is>
      </c>
      <c r="C984" s="14" t="inlineStr">
        <is>
          <t>pow</t>
        </is>
      </c>
      <c r="D984" s="39" t="n"/>
      <c r="E984" s="39" t="n"/>
      <c r="F984" s="39" t="n"/>
      <c r="G984" s="39" t="n"/>
      <c r="H984" s="14">
        <f>INDEX(VarLab,MATCH($A984,VarKey,0))&amp;INDEX(MemLab,MATCH($C984&amp;"|"&amp;$B984,MemKey,0))</f>
        <v/>
      </c>
      <c r="I984" s="14">
        <f>INDEX(VarUnit,MATCH($A984,VarKey,0))</f>
        <v/>
      </c>
      <c r="J984" s="14">
        <f>INDEX(VarSrc,MATCH($A984,VarKey,0))</f>
        <v/>
      </c>
      <c r="K984" s="11">
        <f>CodePrefix&amp;$A984&amp;IF($C984="","","."&amp;$C984&amp;"."&amp;$B984)&amp;INDEX(VarEnd,MATCH($A984,VarKey,0))&amp;K$5</f>
        <v/>
      </c>
      <c r="L984" s="43">
        <f>L727*8.76*L553-L760*L$280*(1-L$201)</f>
        <v/>
      </c>
      <c r="M984" s="44">
        <f>M727*8.76*M553-M760*M$280*(1-M$201)</f>
        <v/>
      </c>
      <c r="N984" s="44">
        <f>N727*8.76*N553-N760*N$280*(1-N$201)</f>
        <v/>
      </c>
      <c r="O984" s="44">
        <f>O727*8.76*O553-O760*O$280*(1-O$201)</f>
        <v/>
      </c>
      <c r="P984" s="44">
        <f>P727*8.76*P553-P760*P$280*(1-P$201)</f>
        <v/>
      </c>
      <c r="Q984" s="44">
        <f>Q727*8.76*Q553-Q760*Q$280*(1-Q$201)</f>
        <v/>
      </c>
      <c r="R984" s="44">
        <f>R727*8.76*R553-R760*R$280*(1-R$201)</f>
        <v/>
      </c>
      <c r="S984" s="44">
        <f>S727*8.76*S553-S760*S$280*(1-S$201)</f>
        <v/>
      </c>
      <c r="T984" s="44">
        <f>T727*8.76*T553-T760*T$280*(1-T$201)</f>
        <v/>
      </c>
      <c r="U984" s="44">
        <f>U727*8.76*U553-U760*U$280*(1-U$201)</f>
        <v/>
      </c>
      <c r="V984" s="44">
        <f>V727*8.76*V553-V760*V$280*(1-V$201)</f>
        <v/>
      </c>
      <c r="W984" s="44">
        <f>W727*8.76*W553-W760*W$280*(1-W$201)</f>
        <v/>
      </c>
      <c r="X984" s="44">
        <f>X727*8.76*X553-X760*X$280*(1-X$201)</f>
        <v/>
      </c>
      <c r="Y984" s="44">
        <f>Y727*8.76*Y553-Y760*Y$280*(1-Y$201)</f>
        <v/>
      </c>
      <c r="Z984" s="44">
        <f>Z727*8.76*Z553-Z760*Z$280*(1-Z$201)</f>
        <v/>
      </c>
      <c r="AA984" s="44">
        <f>AA727*8.76*AA553-AA760*AA$280*(1-AA$201)</f>
        <v/>
      </c>
      <c r="AB984" s="44">
        <f>AB727*8.76*AB553-AB760*AB$280*(1-AB$201)</f>
        <v/>
      </c>
      <c r="AC984" s="44">
        <f>AC727*8.76*AC553-AC760*AC$280*(1-AC$201)</f>
        <v/>
      </c>
      <c r="AD984" s="44">
        <f>AD727*8.76*AD553-AD760*AD$280*(1-AD$201)</f>
        <v/>
      </c>
      <c r="AE984" s="57">
        <f>PNEWREV(AE727,AE553,AE760,AE$280,AE$201)</f>
        <v/>
      </c>
      <c r="AG984" s="11">
        <f>CodePrefix&amp;$A984&amp;IF($C984="","","."&amp;$C984&amp;"."&amp;$B984)&amp;INDEX(VarEnd,MATCH($A984,VarKey,0))&amp;AG$5</f>
        <v/>
      </c>
      <c r="AH984" s="43">
        <f>AH727*8.76*AH553-AH760*AH$280*(1-AH$201)</f>
        <v/>
      </c>
      <c r="AI984" s="44">
        <f>AI727*8.76*AI553-AI760*AI$280*(1-AI$201)</f>
        <v/>
      </c>
      <c r="AJ984" s="44">
        <f>AJ727*8.76*AJ553-AJ760*AJ$280*(1-AJ$201)</f>
        <v/>
      </c>
      <c r="AK984" s="44">
        <f>AK727*8.76*AK553-AK760*AK$280*(1-AK$201)</f>
        <v/>
      </c>
      <c r="AL984" s="44">
        <f>AL727*8.76*AL553-AL760*AL$280*(1-AL$201)</f>
        <v/>
      </c>
      <c r="AM984" s="44">
        <f>AM727*8.76*AM553-AM760*AM$280*(1-AM$201)</f>
        <v/>
      </c>
      <c r="AN984" s="44">
        <f>AN727*8.76*AN553-AN760*AN$280*(1-AN$201)</f>
        <v/>
      </c>
      <c r="AO984" s="44">
        <f>AO727*8.76*AO553-AO760*AO$280*(1-AO$201)</f>
        <v/>
      </c>
      <c r="AP984" s="44">
        <f>AP727*8.76*AP553-AP760*AP$280*(1-AP$201)</f>
        <v/>
      </c>
      <c r="AQ984" s="44">
        <f>AQ727*8.76*AQ553-AQ760*AQ$280*(1-AQ$201)</f>
        <v/>
      </c>
      <c r="AR984" s="44">
        <f>AR727*8.76*AR553-AR760*AR$280*(1-AR$201)</f>
        <v/>
      </c>
      <c r="AS984" s="44">
        <f>AS727*8.76*AS553-AS760*AS$280*(1-AS$201)</f>
        <v/>
      </c>
      <c r="AT984" s="44">
        <f>AT727*8.76*AT553-AT760*AT$280*(1-AT$201)</f>
        <v/>
      </c>
      <c r="AU984" s="44">
        <f>AU727*8.76*AU553-AU760*AU$280*(1-AU$201)</f>
        <v/>
      </c>
      <c r="AV984" s="44">
        <f>AV727*8.76*AV553-AV760*AV$280*(1-AV$201)</f>
        <v/>
      </c>
      <c r="AW984" s="44">
        <f>AW727*8.76*AW553-AW760*AW$280*(1-AW$201)</f>
        <v/>
      </c>
      <c r="AX984" s="44">
        <f>AX727*8.76*AX553-AX760*AX$280*(1-AX$201)</f>
        <v/>
      </c>
      <c r="AY984" s="44">
        <f>AY727*8.76*AY553-AY760*AY$280*(1-AY$201)</f>
        <v/>
      </c>
      <c r="AZ984" s="44">
        <f>AZ727*8.76*AZ553-AZ760*AZ$280*(1-AZ$201)</f>
        <v/>
      </c>
      <c r="BA984" s="57">
        <f>PNEWREV(BA727,BA553,BA760,BA$280,BA$201)</f>
        <v/>
      </c>
    </row>
    <row r="985" hidden="1" outlineLevel="1">
      <c r="A985" s="14" t="inlineStr">
        <is>
          <t>prnew</t>
        </is>
      </c>
      <c r="B985" s="14" t="inlineStr">
        <is>
          <t>sol</t>
        </is>
      </c>
      <c r="C985" s="14" t="inlineStr">
        <is>
          <t>pow</t>
        </is>
      </c>
      <c r="D985" s="39" t="n"/>
      <c r="E985" s="39" t="n"/>
      <c r="F985" s="39" t="n"/>
      <c r="G985" s="39" t="n"/>
      <c r="H985" s="14">
        <f>INDEX(VarLab,MATCH($A985,VarKey,0))&amp;INDEX(MemLab,MATCH($C985&amp;"|"&amp;$B985,MemKey,0))</f>
        <v/>
      </c>
      <c r="I985" s="14">
        <f>INDEX(VarUnit,MATCH($A985,VarKey,0))</f>
        <v/>
      </c>
      <c r="J985" s="14">
        <f>INDEX(VarSrc,MATCH($A985,VarKey,0))</f>
        <v/>
      </c>
      <c r="K985" s="11">
        <f>CodePrefix&amp;$A985&amp;IF($C985="","","."&amp;$C985&amp;"."&amp;$B985)&amp;INDEX(VarEnd,MATCH($A985,VarKey,0))&amp;K$5</f>
        <v/>
      </c>
      <c r="L985" s="43">
        <f>L728*8.76*L554-L761*L$280*(1-L$201)</f>
        <v/>
      </c>
      <c r="M985" s="44">
        <f>M728*8.76*M554-M761*M$280*(1-M$201)</f>
        <v/>
      </c>
      <c r="N985" s="44">
        <f>N728*8.76*N554-N761*N$280*(1-N$201)</f>
        <v/>
      </c>
      <c r="O985" s="44">
        <f>O728*8.76*O554-O761*O$280*(1-O$201)</f>
        <v/>
      </c>
      <c r="P985" s="44">
        <f>P728*8.76*P554-P761*P$280*(1-P$201)</f>
        <v/>
      </c>
      <c r="Q985" s="44">
        <f>Q728*8.76*Q554-Q761*Q$280*(1-Q$201)</f>
        <v/>
      </c>
      <c r="R985" s="44">
        <f>R728*8.76*R554-R761*R$280*(1-R$201)</f>
        <v/>
      </c>
      <c r="S985" s="44">
        <f>S728*8.76*S554-S761*S$280*(1-S$201)</f>
        <v/>
      </c>
      <c r="T985" s="44">
        <f>T728*8.76*T554-T761*T$280*(1-T$201)</f>
        <v/>
      </c>
      <c r="U985" s="44">
        <f>U728*8.76*U554-U761*U$280*(1-U$201)</f>
        <v/>
      </c>
      <c r="V985" s="44">
        <f>V728*8.76*V554-V761*V$280*(1-V$201)</f>
        <v/>
      </c>
      <c r="W985" s="44">
        <f>W728*8.76*W554-W761*W$280*(1-W$201)</f>
        <v/>
      </c>
      <c r="X985" s="44">
        <f>X728*8.76*X554-X761*X$280*(1-X$201)</f>
        <v/>
      </c>
      <c r="Y985" s="44">
        <f>Y728*8.76*Y554-Y761*Y$280*(1-Y$201)</f>
        <v/>
      </c>
      <c r="Z985" s="44">
        <f>Z728*8.76*Z554-Z761*Z$280*(1-Z$201)</f>
        <v/>
      </c>
      <c r="AA985" s="44">
        <f>AA728*8.76*AA554-AA761*AA$280*(1-AA$201)</f>
        <v/>
      </c>
      <c r="AB985" s="44">
        <f>AB728*8.76*AB554-AB761*AB$280*(1-AB$201)</f>
        <v/>
      </c>
      <c r="AC985" s="44">
        <f>AC728*8.76*AC554-AC761*AC$280*(1-AC$201)</f>
        <v/>
      </c>
      <c r="AD985" s="44">
        <f>AD728*8.76*AD554-AD761*AD$280*(1-AD$201)</f>
        <v/>
      </c>
      <c r="AE985" s="57">
        <f>PNEWREV(AE728,AE554,AE761,AE$280,AE$201)</f>
        <v/>
      </c>
      <c r="AG985" s="11">
        <f>CodePrefix&amp;$A985&amp;IF($C985="","","."&amp;$C985&amp;"."&amp;$B985)&amp;INDEX(VarEnd,MATCH($A985,VarKey,0))&amp;AG$5</f>
        <v/>
      </c>
      <c r="AH985" s="43">
        <f>AH728*8.76*AH554-AH761*AH$280*(1-AH$201)</f>
        <v/>
      </c>
      <c r="AI985" s="44">
        <f>AI728*8.76*AI554-AI761*AI$280*(1-AI$201)</f>
        <v/>
      </c>
      <c r="AJ985" s="44">
        <f>AJ728*8.76*AJ554-AJ761*AJ$280*(1-AJ$201)</f>
        <v/>
      </c>
      <c r="AK985" s="44">
        <f>AK728*8.76*AK554-AK761*AK$280*(1-AK$201)</f>
        <v/>
      </c>
      <c r="AL985" s="44">
        <f>AL728*8.76*AL554-AL761*AL$280*(1-AL$201)</f>
        <v/>
      </c>
      <c r="AM985" s="44">
        <f>AM728*8.76*AM554-AM761*AM$280*(1-AM$201)</f>
        <v/>
      </c>
      <c r="AN985" s="44">
        <f>AN728*8.76*AN554-AN761*AN$280*(1-AN$201)</f>
        <v/>
      </c>
      <c r="AO985" s="44">
        <f>AO728*8.76*AO554-AO761*AO$280*(1-AO$201)</f>
        <v/>
      </c>
      <c r="AP985" s="44">
        <f>AP728*8.76*AP554-AP761*AP$280*(1-AP$201)</f>
        <v/>
      </c>
      <c r="AQ985" s="44">
        <f>AQ728*8.76*AQ554-AQ761*AQ$280*(1-AQ$201)</f>
        <v/>
      </c>
      <c r="AR985" s="44">
        <f>AR728*8.76*AR554-AR761*AR$280*(1-AR$201)</f>
        <v/>
      </c>
      <c r="AS985" s="44">
        <f>AS728*8.76*AS554-AS761*AS$280*(1-AS$201)</f>
        <v/>
      </c>
      <c r="AT985" s="44">
        <f>AT728*8.76*AT554-AT761*AT$280*(1-AT$201)</f>
        <v/>
      </c>
      <c r="AU985" s="44">
        <f>AU728*8.76*AU554-AU761*AU$280*(1-AU$201)</f>
        <v/>
      </c>
      <c r="AV985" s="44">
        <f>AV728*8.76*AV554-AV761*AV$280*(1-AV$201)</f>
        <v/>
      </c>
      <c r="AW985" s="44">
        <f>AW728*8.76*AW554-AW761*AW$280*(1-AW$201)</f>
        <v/>
      </c>
      <c r="AX985" s="44">
        <f>AX728*8.76*AX554-AX761*AX$280*(1-AX$201)</f>
        <v/>
      </c>
      <c r="AY985" s="44">
        <f>AY728*8.76*AY554-AY761*AY$280*(1-AY$201)</f>
        <v/>
      </c>
      <c r="AZ985" s="44">
        <f>AZ728*8.76*AZ554-AZ761*AZ$280*(1-AZ$201)</f>
        <v/>
      </c>
      <c r="BA985" s="57">
        <f>PNEWREV(BA728,BA554,BA761,BA$280,BA$201)</f>
        <v/>
      </c>
    </row>
    <row r="986" hidden="1" outlineLevel="1">
      <c r="A986" s="14" t="inlineStr">
        <is>
          <t>prnew</t>
        </is>
      </c>
      <c r="B986" s="14" t="inlineStr">
        <is>
          <t>hyd</t>
        </is>
      </c>
      <c r="C986" s="14" t="inlineStr">
        <is>
          <t>pow</t>
        </is>
      </c>
      <c r="D986" s="39" t="n"/>
      <c r="E986" s="39" t="n"/>
      <c r="F986" s="39" t="n"/>
      <c r="G986" s="39" t="n"/>
      <c r="H986" s="14">
        <f>INDEX(VarLab,MATCH($A986,VarKey,0))&amp;INDEX(MemLab,MATCH($C986&amp;"|"&amp;$B986,MemKey,0))</f>
        <v/>
      </c>
      <c r="I986" s="14">
        <f>INDEX(VarUnit,MATCH($A986,VarKey,0))</f>
        <v/>
      </c>
      <c r="J986" s="14">
        <f>INDEX(VarSrc,MATCH($A986,VarKey,0))</f>
        <v/>
      </c>
      <c r="K986" s="11">
        <f>CodePrefix&amp;$A986&amp;IF($C986="","","."&amp;$C986&amp;"."&amp;$B986)&amp;INDEX(VarEnd,MATCH($A986,VarKey,0))&amp;K$5</f>
        <v/>
      </c>
      <c r="L986" s="43">
        <f>L729*8.76*L555-L762*L$280*(1-L$201)</f>
        <v/>
      </c>
      <c r="M986" s="44">
        <f>M729*8.76*M555-M762*M$280*(1-M$201)</f>
        <v/>
      </c>
      <c r="N986" s="44">
        <f>N729*8.76*N555-N762*N$280*(1-N$201)</f>
        <v/>
      </c>
      <c r="O986" s="44">
        <f>O729*8.76*O555-O762*O$280*(1-O$201)</f>
        <v/>
      </c>
      <c r="P986" s="44">
        <f>P729*8.76*P555-P762*P$280*(1-P$201)</f>
        <v/>
      </c>
      <c r="Q986" s="44">
        <f>Q729*8.76*Q555-Q762*Q$280*(1-Q$201)</f>
        <v/>
      </c>
      <c r="R986" s="44">
        <f>R729*8.76*R555-R762*R$280*(1-R$201)</f>
        <v/>
      </c>
      <c r="S986" s="44">
        <f>S729*8.76*S555-S762*S$280*(1-S$201)</f>
        <v/>
      </c>
      <c r="T986" s="44">
        <f>T729*8.76*T555-T762*T$280*(1-T$201)</f>
        <v/>
      </c>
      <c r="U986" s="44">
        <f>U729*8.76*U555-U762*U$280*(1-U$201)</f>
        <v/>
      </c>
      <c r="V986" s="44">
        <f>V729*8.76*V555-V762*V$280*(1-V$201)</f>
        <v/>
      </c>
      <c r="W986" s="44">
        <f>W729*8.76*W555-W762*W$280*(1-W$201)</f>
        <v/>
      </c>
      <c r="X986" s="44">
        <f>X729*8.76*X555-X762*X$280*(1-X$201)</f>
        <v/>
      </c>
      <c r="Y986" s="44">
        <f>Y729*8.76*Y555-Y762*Y$280*(1-Y$201)</f>
        <v/>
      </c>
      <c r="Z986" s="44">
        <f>Z729*8.76*Z555-Z762*Z$280*(1-Z$201)</f>
        <v/>
      </c>
      <c r="AA986" s="44">
        <f>AA729*8.76*AA555-AA762*AA$280*(1-AA$201)</f>
        <v/>
      </c>
      <c r="AB986" s="44">
        <f>AB729*8.76*AB555-AB762*AB$280*(1-AB$201)</f>
        <v/>
      </c>
      <c r="AC986" s="44">
        <f>AC729*8.76*AC555-AC762*AC$280*(1-AC$201)</f>
        <v/>
      </c>
      <c r="AD986" s="44">
        <f>AD729*8.76*AD555-AD762*AD$280*(1-AD$201)</f>
        <v/>
      </c>
      <c r="AE986" s="57">
        <f>PNEWREV(AE729,AE555,AE762,AE$280,AE$201)</f>
        <v/>
      </c>
      <c r="AG986" s="11">
        <f>CodePrefix&amp;$A986&amp;IF($C986="","","."&amp;$C986&amp;"."&amp;$B986)&amp;INDEX(VarEnd,MATCH($A986,VarKey,0))&amp;AG$5</f>
        <v/>
      </c>
      <c r="AH986" s="43">
        <f>AH729*8.76*AH555-AH762*AH$280*(1-AH$201)</f>
        <v/>
      </c>
      <c r="AI986" s="44">
        <f>AI729*8.76*AI555-AI762*AI$280*(1-AI$201)</f>
        <v/>
      </c>
      <c r="AJ986" s="44">
        <f>AJ729*8.76*AJ555-AJ762*AJ$280*(1-AJ$201)</f>
        <v/>
      </c>
      <c r="AK986" s="44">
        <f>AK729*8.76*AK555-AK762*AK$280*(1-AK$201)</f>
        <v/>
      </c>
      <c r="AL986" s="44">
        <f>AL729*8.76*AL555-AL762*AL$280*(1-AL$201)</f>
        <v/>
      </c>
      <c r="AM986" s="44">
        <f>AM729*8.76*AM555-AM762*AM$280*(1-AM$201)</f>
        <v/>
      </c>
      <c r="AN986" s="44">
        <f>AN729*8.76*AN555-AN762*AN$280*(1-AN$201)</f>
        <v/>
      </c>
      <c r="AO986" s="44">
        <f>AO729*8.76*AO555-AO762*AO$280*(1-AO$201)</f>
        <v/>
      </c>
      <c r="AP986" s="44">
        <f>AP729*8.76*AP555-AP762*AP$280*(1-AP$201)</f>
        <v/>
      </c>
      <c r="AQ986" s="44">
        <f>AQ729*8.76*AQ555-AQ762*AQ$280*(1-AQ$201)</f>
        <v/>
      </c>
      <c r="AR986" s="44">
        <f>AR729*8.76*AR555-AR762*AR$280*(1-AR$201)</f>
        <v/>
      </c>
      <c r="AS986" s="44">
        <f>AS729*8.76*AS555-AS762*AS$280*(1-AS$201)</f>
        <v/>
      </c>
      <c r="AT986" s="44">
        <f>AT729*8.76*AT555-AT762*AT$280*(1-AT$201)</f>
        <v/>
      </c>
      <c r="AU986" s="44">
        <f>AU729*8.76*AU555-AU762*AU$280*(1-AU$201)</f>
        <v/>
      </c>
      <c r="AV986" s="44">
        <f>AV729*8.76*AV555-AV762*AV$280*(1-AV$201)</f>
        <v/>
      </c>
      <c r="AW986" s="44">
        <f>AW729*8.76*AW555-AW762*AW$280*(1-AW$201)</f>
        <v/>
      </c>
      <c r="AX986" s="44">
        <f>AX729*8.76*AX555-AX762*AX$280*(1-AX$201)</f>
        <v/>
      </c>
      <c r="AY986" s="44">
        <f>AY729*8.76*AY555-AY762*AY$280*(1-AY$201)</f>
        <v/>
      </c>
      <c r="AZ986" s="44">
        <f>AZ729*8.76*AZ555-AZ762*AZ$280*(1-AZ$201)</f>
        <v/>
      </c>
      <c r="BA986" s="57">
        <f>PNEWREV(BA729,BA555,BA762,BA$280,BA$201)</f>
        <v/>
      </c>
    </row>
    <row r="987" hidden="1" outlineLevel="1">
      <c r="A987" s="14" t="inlineStr">
        <is>
          <t>prnew</t>
        </is>
      </c>
      <c r="B987" s="14" t="inlineStr">
        <is>
          <t>ore</t>
        </is>
      </c>
      <c r="C987" s="14" t="inlineStr">
        <is>
          <t>pow</t>
        </is>
      </c>
      <c r="D987" s="39" t="n"/>
      <c r="E987" s="39" t="n"/>
      <c r="F987" s="39" t="n"/>
      <c r="G987" s="39" t="n"/>
      <c r="H987" s="14">
        <f>INDEX(VarLab,MATCH($A987,VarKey,0))&amp;INDEX(MemLab,MATCH($C987&amp;"|"&amp;$B987,MemKey,0))</f>
        <v/>
      </c>
      <c r="I987" s="14">
        <f>INDEX(VarUnit,MATCH($A987,VarKey,0))</f>
        <v/>
      </c>
      <c r="J987" s="14">
        <f>INDEX(VarSrc,MATCH($A987,VarKey,0))</f>
        <v/>
      </c>
      <c r="K987" s="11">
        <f>CodePrefix&amp;$A987&amp;IF($C987="","","."&amp;$C987&amp;"."&amp;$B987)&amp;INDEX(VarEnd,MATCH($A987,VarKey,0))&amp;K$5</f>
        <v/>
      </c>
      <c r="L987" s="43">
        <f>L730*8.76*L556-L763*L$280*(1-L$201)</f>
        <v/>
      </c>
      <c r="M987" s="44">
        <f>M730*8.76*M556-M763*M$280*(1-M$201)</f>
        <v/>
      </c>
      <c r="N987" s="44">
        <f>N730*8.76*N556-N763*N$280*(1-N$201)</f>
        <v/>
      </c>
      <c r="O987" s="44">
        <f>O730*8.76*O556-O763*O$280*(1-O$201)</f>
        <v/>
      </c>
      <c r="P987" s="44">
        <f>P730*8.76*P556-P763*P$280*(1-P$201)</f>
        <v/>
      </c>
      <c r="Q987" s="44">
        <f>Q730*8.76*Q556-Q763*Q$280*(1-Q$201)</f>
        <v/>
      </c>
      <c r="R987" s="44">
        <f>R730*8.76*R556-R763*R$280*(1-R$201)</f>
        <v/>
      </c>
      <c r="S987" s="44">
        <f>S730*8.76*S556-S763*S$280*(1-S$201)</f>
        <v/>
      </c>
      <c r="T987" s="44">
        <f>T730*8.76*T556-T763*T$280*(1-T$201)</f>
        <v/>
      </c>
      <c r="U987" s="44">
        <f>U730*8.76*U556-U763*U$280*(1-U$201)</f>
        <v/>
      </c>
      <c r="V987" s="44">
        <f>V730*8.76*V556-V763*V$280*(1-V$201)</f>
        <v/>
      </c>
      <c r="W987" s="44">
        <f>W730*8.76*W556-W763*W$280*(1-W$201)</f>
        <v/>
      </c>
      <c r="X987" s="44">
        <f>X730*8.76*X556-X763*X$280*(1-X$201)</f>
        <v/>
      </c>
      <c r="Y987" s="44">
        <f>Y730*8.76*Y556-Y763*Y$280*(1-Y$201)</f>
        <v/>
      </c>
      <c r="Z987" s="44">
        <f>Z730*8.76*Z556-Z763*Z$280*(1-Z$201)</f>
        <v/>
      </c>
      <c r="AA987" s="44">
        <f>AA730*8.76*AA556-AA763*AA$280*(1-AA$201)</f>
        <v/>
      </c>
      <c r="AB987" s="44">
        <f>AB730*8.76*AB556-AB763*AB$280*(1-AB$201)</f>
        <v/>
      </c>
      <c r="AC987" s="44">
        <f>AC730*8.76*AC556-AC763*AC$280*(1-AC$201)</f>
        <v/>
      </c>
      <c r="AD987" s="44">
        <f>AD730*8.76*AD556-AD763*AD$280*(1-AD$201)</f>
        <v/>
      </c>
      <c r="AE987" s="57">
        <f>PNEWREV(AE730,AE556,AE763,AE$280,AE$201)</f>
        <v/>
      </c>
      <c r="AG987" s="11">
        <f>CodePrefix&amp;$A987&amp;IF($C987="","","."&amp;$C987&amp;"."&amp;$B987)&amp;INDEX(VarEnd,MATCH($A987,VarKey,0))&amp;AG$5</f>
        <v/>
      </c>
      <c r="AH987" s="43">
        <f>AH730*8.76*AH556-AH763*AH$280*(1-AH$201)</f>
        <v/>
      </c>
      <c r="AI987" s="44">
        <f>AI730*8.76*AI556-AI763*AI$280*(1-AI$201)</f>
        <v/>
      </c>
      <c r="AJ987" s="44">
        <f>AJ730*8.76*AJ556-AJ763*AJ$280*(1-AJ$201)</f>
        <v/>
      </c>
      <c r="AK987" s="44">
        <f>AK730*8.76*AK556-AK763*AK$280*(1-AK$201)</f>
        <v/>
      </c>
      <c r="AL987" s="44">
        <f>AL730*8.76*AL556-AL763*AL$280*(1-AL$201)</f>
        <v/>
      </c>
      <c r="AM987" s="44">
        <f>AM730*8.76*AM556-AM763*AM$280*(1-AM$201)</f>
        <v/>
      </c>
      <c r="AN987" s="44">
        <f>AN730*8.76*AN556-AN763*AN$280*(1-AN$201)</f>
        <v/>
      </c>
      <c r="AO987" s="44">
        <f>AO730*8.76*AO556-AO763*AO$280*(1-AO$201)</f>
        <v/>
      </c>
      <c r="AP987" s="44">
        <f>AP730*8.76*AP556-AP763*AP$280*(1-AP$201)</f>
        <v/>
      </c>
      <c r="AQ987" s="44">
        <f>AQ730*8.76*AQ556-AQ763*AQ$280*(1-AQ$201)</f>
        <v/>
      </c>
      <c r="AR987" s="44">
        <f>AR730*8.76*AR556-AR763*AR$280*(1-AR$201)</f>
        <v/>
      </c>
      <c r="AS987" s="44">
        <f>AS730*8.76*AS556-AS763*AS$280*(1-AS$201)</f>
        <v/>
      </c>
      <c r="AT987" s="44">
        <f>AT730*8.76*AT556-AT763*AT$280*(1-AT$201)</f>
        <v/>
      </c>
      <c r="AU987" s="44">
        <f>AU730*8.76*AU556-AU763*AU$280*(1-AU$201)</f>
        <v/>
      </c>
      <c r="AV987" s="44">
        <f>AV730*8.76*AV556-AV763*AV$280*(1-AV$201)</f>
        <v/>
      </c>
      <c r="AW987" s="44">
        <f>AW730*8.76*AW556-AW763*AW$280*(1-AW$201)</f>
        <v/>
      </c>
      <c r="AX987" s="44">
        <f>AX730*8.76*AX556-AX763*AX$280*(1-AX$201)</f>
        <v/>
      </c>
      <c r="AY987" s="44">
        <f>AY730*8.76*AY556-AY763*AY$280*(1-AY$201)</f>
        <v/>
      </c>
      <c r="AZ987" s="44">
        <f>AZ730*8.76*AZ556-AZ763*AZ$280*(1-AZ$201)</f>
        <v/>
      </c>
      <c r="BA987" s="57">
        <f>PNEWREV(BA730,BA556,BA763,BA$280,BA$201)</f>
        <v/>
      </c>
    </row>
    <row r="988" hidden="1" outlineLevel="1">
      <c r="A988" s="14" t="inlineStr">
        <is>
          <t>prnew</t>
        </is>
      </c>
      <c r="B988" s="14" t="inlineStr">
        <is>
          <t>bio</t>
        </is>
      </c>
      <c r="C988" s="14" t="inlineStr">
        <is>
          <t>pow</t>
        </is>
      </c>
      <c r="D988" s="39" t="n"/>
      <c r="E988" s="39" t="n"/>
      <c r="F988" s="39" t="n"/>
      <c r="G988" s="39" t="n"/>
      <c r="H988" s="14">
        <f>INDEX(VarLab,MATCH($A988,VarKey,0))&amp;INDEX(MemLab,MATCH($C988&amp;"|"&amp;$B988,MemKey,0))</f>
        <v/>
      </c>
      <c r="I988" s="14">
        <f>INDEX(VarUnit,MATCH($A988,VarKey,0))</f>
        <v/>
      </c>
      <c r="J988" s="14">
        <f>INDEX(VarSrc,MATCH($A988,VarKey,0))</f>
        <v/>
      </c>
      <c r="K988" s="11">
        <f>CodePrefix&amp;$A988&amp;IF($C988="","","."&amp;$C988&amp;"."&amp;$B988)&amp;INDEX(VarEnd,MATCH($A988,VarKey,0))&amp;K$5</f>
        <v/>
      </c>
      <c r="L988" s="43">
        <f>L731*8.76*L557-L764*L$280*(1-L$201)</f>
        <v/>
      </c>
      <c r="M988" s="44">
        <f>M731*8.76*M557-M764*M$280*(1-M$201)</f>
        <v/>
      </c>
      <c r="N988" s="44">
        <f>N731*8.76*N557-N764*N$280*(1-N$201)</f>
        <v/>
      </c>
      <c r="O988" s="44">
        <f>O731*8.76*O557-O764*O$280*(1-O$201)</f>
        <v/>
      </c>
      <c r="P988" s="44">
        <f>P731*8.76*P557-P764*P$280*(1-P$201)</f>
        <v/>
      </c>
      <c r="Q988" s="44">
        <f>Q731*8.76*Q557-Q764*Q$280*(1-Q$201)</f>
        <v/>
      </c>
      <c r="R988" s="44">
        <f>R731*8.76*R557-R764*R$280*(1-R$201)</f>
        <v/>
      </c>
      <c r="S988" s="44">
        <f>S731*8.76*S557-S764*S$280*(1-S$201)</f>
        <v/>
      </c>
      <c r="T988" s="44">
        <f>T731*8.76*T557-T764*T$280*(1-T$201)</f>
        <v/>
      </c>
      <c r="U988" s="44">
        <f>U731*8.76*U557-U764*U$280*(1-U$201)</f>
        <v/>
      </c>
      <c r="V988" s="44">
        <f>V731*8.76*V557-V764*V$280*(1-V$201)</f>
        <v/>
      </c>
      <c r="W988" s="44">
        <f>W731*8.76*W557-W764*W$280*(1-W$201)</f>
        <v/>
      </c>
      <c r="X988" s="44">
        <f>X731*8.76*X557-X764*X$280*(1-X$201)</f>
        <v/>
      </c>
      <c r="Y988" s="44">
        <f>Y731*8.76*Y557-Y764*Y$280*(1-Y$201)</f>
        <v/>
      </c>
      <c r="Z988" s="44">
        <f>Z731*8.76*Z557-Z764*Z$280*(1-Z$201)</f>
        <v/>
      </c>
      <c r="AA988" s="44">
        <f>AA731*8.76*AA557-AA764*AA$280*(1-AA$201)</f>
        <v/>
      </c>
      <c r="AB988" s="44">
        <f>AB731*8.76*AB557-AB764*AB$280*(1-AB$201)</f>
        <v/>
      </c>
      <c r="AC988" s="44">
        <f>AC731*8.76*AC557-AC764*AC$280*(1-AC$201)</f>
        <v/>
      </c>
      <c r="AD988" s="44">
        <f>AD731*8.76*AD557-AD764*AD$280*(1-AD$201)</f>
        <v/>
      </c>
      <c r="AE988" s="57">
        <f>PNEWREV(AE731,AE557,AE764,AE$280,AE$201)</f>
        <v/>
      </c>
      <c r="AG988" s="11">
        <f>CodePrefix&amp;$A988&amp;IF($C988="","","."&amp;$C988&amp;"."&amp;$B988)&amp;INDEX(VarEnd,MATCH($A988,VarKey,0))&amp;AG$5</f>
        <v/>
      </c>
      <c r="AH988" s="43">
        <f>AH731*8.76*AH557-AH764*AH$280*(1-AH$201)</f>
        <v/>
      </c>
      <c r="AI988" s="44">
        <f>AI731*8.76*AI557-AI764*AI$280*(1-AI$201)</f>
        <v/>
      </c>
      <c r="AJ988" s="44">
        <f>AJ731*8.76*AJ557-AJ764*AJ$280*(1-AJ$201)</f>
        <v/>
      </c>
      <c r="AK988" s="44">
        <f>AK731*8.76*AK557-AK764*AK$280*(1-AK$201)</f>
        <v/>
      </c>
      <c r="AL988" s="44">
        <f>AL731*8.76*AL557-AL764*AL$280*(1-AL$201)</f>
        <v/>
      </c>
      <c r="AM988" s="44">
        <f>AM731*8.76*AM557-AM764*AM$280*(1-AM$201)</f>
        <v/>
      </c>
      <c r="AN988" s="44">
        <f>AN731*8.76*AN557-AN764*AN$280*(1-AN$201)</f>
        <v/>
      </c>
      <c r="AO988" s="44">
        <f>AO731*8.76*AO557-AO764*AO$280*(1-AO$201)</f>
        <v/>
      </c>
      <c r="AP988" s="44">
        <f>AP731*8.76*AP557-AP764*AP$280*(1-AP$201)</f>
        <v/>
      </c>
      <c r="AQ988" s="44">
        <f>AQ731*8.76*AQ557-AQ764*AQ$280*(1-AQ$201)</f>
        <v/>
      </c>
      <c r="AR988" s="44">
        <f>AR731*8.76*AR557-AR764*AR$280*(1-AR$201)</f>
        <v/>
      </c>
      <c r="AS988" s="44">
        <f>AS731*8.76*AS557-AS764*AS$280*(1-AS$201)</f>
        <v/>
      </c>
      <c r="AT988" s="44">
        <f>AT731*8.76*AT557-AT764*AT$280*(1-AT$201)</f>
        <v/>
      </c>
      <c r="AU988" s="44">
        <f>AU731*8.76*AU557-AU764*AU$280*(1-AU$201)</f>
        <v/>
      </c>
      <c r="AV988" s="44">
        <f>AV731*8.76*AV557-AV764*AV$280*(1-AV$201)</f>
        <v/>
      </c>
      <c r="AW988" s="44">
        <f>AW731*8.76*AW557-AW764*AW$280*(1-AW$201)</f>
        <v/>
      </c>
      <c r="AX988" s="44">
        <f>AX731*8.76*AX557-AX764*AX$280*(1-AX$201)</f>
        <v/>
      </c>
      <c r="AY988" s="44">
        <f>AY731*8.76*AY557-AY764*AY$280*(1-AY$201)</f>
        <v/>
      </c>
      <c r="AZ988" s="44">
        <f>AZ731*8.76*AZ557-AZ764*AZ$280*(1-AZ$201)</f>
        <v/>
      </c>
      <c r="BA988" s="57">
        <f>PNEWREV(BA731,BA557,BA764,BA$280,BA$201)</f>
        <v/>
      </c>
    </row>
    <row r="989" hidden="1" outlineLevel="1"/>
    <row r="990" hidden="1" outlineLevel="1">
      <c r="A990" s="14" t="inlineStr">
        <is>
          <t>prxl</t>
        </is>
      </c>
      <c r="B990" s="14" t="inlineStr">
        <is>
          <t>coa</t>
        </is>
      </c>
      <c r="C990" s="14" t="inlineStr">
        <is>
          <t>pow</t>
        </is>
      </c>
      <c r="D990" s="45">
        <f>INDEX(Inputs_power!$AU$5:$AU$13,MATCH($B990,Inputs_power!$A$5:$A$13,0))</f>
        <v/>
      </c>
      <c r="E990" s="45">
        <f>INDEX(Inputs_power!$AV$5:$AV$13,MATCH($B990,Inputs_power!$A$5:$A$13,0))</f>
        <v/>
      </c>
      <c r="F990" s="39" t="n"/>
      <c r="G990" s="39" t="n"/>
      <c r="H990" s="14">
        <f>INDEX(VarLab,MATCH($A990,VarKey,0))&amp;INDEX(MemLab,MATCH($C990&amp;"|"&amp;$B990,MemKey,0))</f>
        <v/>
      </c>
      <c r="I990" s="14">
        <f>INDEX(VarUnit,MATCH($A990,VarKey,0))</f>
        <v/>
      </c>
      <c r="J990" s="14">
        <f>INDEX(VarSrc,MATCH($A990,VarKey,0))</f>
        <v/>
      </c>
      <c r="K990" s="11">
        <f>CodePrefix&amp;$A990&amp;IF($C990="","","."&amp;$C990&amp;"."&amp;$B990)&amp;INDEX(VarEnd,MATCH($A990,VarKey,0))&amp;K$5</f>
        <v/>
      </c>
      <c r="L990" s="43">
        <f>L756*($D990*L$321+$E990*L$324)</f>
        <v/>
      </c>
      <c r="M990" s="44">
        <f>M756*($D990*M$321+$E990*M$324)</f>
        <v/>
      </c>
      <c r="N990" s="44">
        <f>N756*($D990*N$321+$E990*N$324)</f>
        <v/>
      </c>
      <c r="O990" s="44">
        <f>O756*($D990*O$321+$E990*O$324)</f>
        <v/>
      </c>
      <c r="P990" s="44">
        <f>P756*($D990*P$321+$E990*P$324)</f>
        <v/>
      </c>
      <c r="Q990" s="44">
        <f>Q756*($D990*Q$321+$E990*Q$324)</f>
        <v/>
      </c>
      <c r="R990" s="44">
        <f>R756*($D990*R$321+$E990*R$324)</f>
        <v/>
      </c>
      <c r="S990" s="44">
        <f>S756*($D990*S$321+$E990*S$324)</f>
        <v/>
      </c>
      <c r="T990" s="44">
        <f>T756*($D990*T$321+$E990*T$324)</f>
        <v/>
      </c>
      <c r="U990" s="44">
        <f>U756*($D990*U$321+$E990*U$324)</f>
        <v/>
      </c>
      <c r="V990" s="44">
        <f>V756*($D990*V$321+$E990*V$324)</f>
        <v/>
      </c>
      <c r="W990" s="44">
        <f>W756*($D990*W$321+$E990*W$324)</f>
        <v/>
      </c>
      <c r="X990" s="44">
        <f>X756*($D990*X$321+$E990*X$324)</f>
        <v/>
      </c>
      <c r="Y990" s="44">
        <f>Y756*($D990*Y$321+$E990*Y$324)</f>
        <v/>
      </c>
      <c r="Z990" s="44">
        <f>Z756*($D990*Z$321+$E990*Z$324)</f>
        <v/>
      </c>
      <c r="AA990" s="44">
        <f>AA756*($D990*AA$321+$E990*AA$324)</f>
        <v/>
      </c>
      <c r="AB990" s="44">
        <f>AB756*($D990*AB$321+$E990*AB$324)</f>
        <v/>
      </c>
      <c r="AC990" s="44">
        <f>AC756*($D990*AC$321+$E990*AC$324)</f>
        <v/>
      </c>
      <c r="AD990" s="44">
        <f>AD756*($D990*AD$321+$E990*AD$324)</f>
        <v/>
      </c>
      <c r="AE990" s="57">
        <f>XCARBON(AE756,$D990,AE$321,$E990,AE$324)</f>
        <v/>
      </c>
      <c r="AG990" s="11">
        <f>CodePrefix&amp;$A990&amp;IF($C990="","","."&amp;$C990&amp;"."&amp;$B990)&amp;INDEX(VarEnd,MATCH($A990,VarKey,0))&amp;AG$5</f>
        <v/>
      </c>
      <c r="AH990" s="43">
        <f>AH756*($D990*AH$321+$E990*AH$324)</f>
        <v/>
      </c>
      <c r="AI990" s="44">
        <f>AI756*($D990*AI$321+$E990*AI$324)</f>
        <v/>
      </c>
      <c r="AJ990" s="44">
        <f>AJ756*($D990*AJ$321+$E990*AJ$324)</f>
        <v/>
      </c>
      <c r="AK990" s="44">
        <f>AK756*($D990*AK$321+$E990*AK$324)</f>
        <v/>
      </c>
      <c r="AL990" s="44">
        <f>AL756*($D990*AL$321+$E990*AL$324)</f>
        <v/>
      </c>
      <c r="AM990" s="44">
        <f>AM756*($D990*AM$321+$E990*AM$324)</f>
        <v/>
      </c>
      <c r="AN990" s="44">
        <f>AN756*($D990*AN$321+$E990*AN$324)</f>
        <v/>
      </c>
      <c r="AO990" s="44">
        <f>AO756*($D990*AO$321+$E990*AO$324)</f>
        <v/>
      </c>
      <c r="AP990" s="44">
        <f>AP756*($D990*AP$321+$E990*AP$324)</f>
        <v/>
      </c>
      <c r="AQ990" s="44">
        <f>AQ756*($D990*AQ$321+$E990*AQ$324)</f>
        <v/>
      </c>
      <c r="AR990" s="44">
        <f>AR756*($D990*AR$321+$E990*AR$324)</f>
        <v/>
      </c>
      <c r="AS990" s="44">
        <f>AS756*($D990*AS$321+$E990*AS$324)</f>
        <v/>
      </c>
      <c r="AT990" s="44">
        <f>AT756*($D990*AT$321+$E990*AT$324)</f>
        <v/>
      </c>
      <c r="AU990" s="44">
        <f>AU756*($D990*AU$321+$E990*AU$324)</f>
        <v/>
      </c>
      <c r="AV990" s="44">
        <f>AV756*($D990*AV$321+$E990*AV$324)</f>
        <v/>
      </c>
      <c r="AW990" s="44">
        <f>AW756*($D990*AW$321+$E990*AW$324)</f>
        <v/>
      </c>
      <c r="AX990" s="44">
        <f>AX756*($D990*AX$321+$E990*AX$324)</f>
        <v/>
      </c>
      <c r="AY990" s="44">
        <f>AY756*($D990*AY$321+$E990*AY$324)</f>
        <v/>
      </c>
      <c r="AZ990" s="44">
        <f>AZ756*($D990*AZ$321+$E990*AZ$324)</f>
        <v/>
      </c>
      <c r="BA990" s="57">
        <f>XCARBON(BA756,$D990,BA$321,$E990,BA$324)</f>
        <v/>
      </c>
    </row>
    <row r="991" hidden="1" outlineLevel="1">
      <c r="A991" s="14" t="inlineStr">
        <is>
          <t>prxl</t>
        </is>
      </c>
      <c r="B991" s="14" t="inlineStr">
        <is>
          <t>nga</t>
        </is>
      </c>
      <c r="C991" s="14" t="inlineStr">
        <is>
          <t>pow</t>
        </is>
      </c>
      <c r="D991" s="45">
        <f>INDEX(Inputs_power!$AU$5:$AU$13,MATCH($B991,Inputs_power!$A$5:$A$13,0))</f>
        <v/>
      </c>
      <c r="E991" s="45">
        <f>INDEX(Inputs_power!$AV$5:$AV$13,MATCH($B991,Inputs_power!$A$5:$A$13,0))</f>
        <v/>
      </c>
      <c r="F991" s="39" t="n"/>
      <c r="G991" s="39" t="n"/>
      <c r="H991" s="14">
        <f>INDEX(VarLab,MATCH($A991,VarKey,0))&amp;INDEX(MemLab,MATCH($C991&amp;"|"&amp;$B991,MemKey,0))</f>
        <v/>
      </c>
      <c r="I991" s="14">
        <f>INDEX(VarUnit,MATCH($A991,VarKey,0))</f>
        <v/>
      </c>
      <c r="J991" s="14">
        <f>INDEX(VarSrc,MATCH($A991,VarKey,0))</f>
        <v/>
      </c>
      <c r="K991" s="11">
        <f>CodePrefix&amp;$A991&amp;IF($C991="","","."&amp;$C991&amp;"."&amp;$B991)&amp;INDEX(VarEnd,MATCH($A991,VarKey,0))&amp;K$5</f>
        <v/>
      </c>
      <c r="L991" s="43">
        <f>L757*($D991*L$321+$E991*L$324)</f>
        <v/>
      </c>
      <c r="M991" s="44">
        <f>M757*($D991*M$321+$E991*M$324)</f>
        <v/>
      </c>
      <c r="N991" s="44">
        <f>N757*($D991*N$321+$E991*N$324)</f>
        <v/>
      </c>
      <c r="O991" s="44">
        <f>O757*($D991*O$321+$E991*O$324)</f>
        <v/>
      </c>
      <c r="P991" s="44">
        <f>P757*($D991*P$321+$E991*P$324)</f>
        <v/>
      </c>
      <c r="Q991" s="44">
        <f>Q757*($D991*Q$321+$E991*Q$324)</f>
        <v/>
      </c>
      <c r="R991" s="44">
        <f>R757*($D991*R$321+$E991*R$324)</f>
        <v/>
      </c>
      <c r="S991" s="44">
        <f>S757*($D991*S$321+$E991*S$324)</f>
        <v/>
      </c>
      <c r="T991" s="44">
        <f>T757*($D991*T$321+$E991*T$324)</f>
        <v/>
      </c>
      <c r="U991" s="44">
        <f>U757*($D991*U$321+$E991*U$324)</f>
        <v/>
      </c>
      <c r="V991" s="44">
        <f>V757*($D991*V$321+$E991*V$324)</f>
        <v/>
      </c>
      <c r="W991" s="44">
        <f>W757*($D991*W$321+$E991*W$324)</f>
        <v/>
      </c>
      <c r="X991" s="44">
        <f>X757*($D991*X$321+$E991*X$324)</f>
        <v/>
      </c>
      <c r="Y991" s="44">
        <f>Y757*($D991*Y$321+$E991*Y$324)</f>
        <v/>
      </c>
      <c r="Z991" s="44">
        <f>Z757*($D991*Z$321+$E991*Z$324)</f>
        <v/>
      </c>
      <c r="AA991" s="44">
        <f>AA757*($D991*AA$321+$E991*AA$324)</f>
        <v/>
      </c>
      <c r="AB991" s="44">
        <f>AB757*($D991*AB$321+$E991*AB$324)</f>
        <v/>
      </c>
      <c r="AC991" s="44">
        <f>AC757*($D991*AC$321+$E991*AC$324)</f>
        <v/>
      </c>
      <c r="AD991" s="44">
        <f>AD757*($D991*AD$321+$E991*AD$324)</f>
        <v/>
      </c>
      <c r="AE991" s="57">
        <f>XCARBON(AE757,$D991,AE$321,$E991,AE$324)</f>
        <v/>
      </c>
      <c r="AG991" s="11">
        <f>CodePrefix&amp;$A991&amp;IF($C991="","","."&amp;$C991&amp;"."&amp;$B991)&amp;INDEX(VarEnd,MATCH($A991,VarKey,0))&amp;AG$5</f>
        <v/>
      </c>
      <c r="AH991" s="43">
        <f>AH757*($D991*AH$321+$E991*AH$324)</f>
        <v/>
      </c>
      <c r="AI991" s="44">
        <f>AI757*($D991*AI$321+$E991*AI$324)</f>
        <v/>
      </c>
      <c r="AJ991" s="44">
        <f>AJ757*($D991*AJ$321+$E991*AJ$324)</f>
        <v/>
      </c>
      <c r="AK991" s="44">
        <f>AK757*($D991*AK$321+$E991*AK$324)</f>
        <v/>
      </c>
      <c r="AL991" s="44">
        <f>AL757*($D991*AL$321+$E991*AL$324)</f>
        <v/>
      </c>
      <c r="AM991" s="44">
        <f>AM757*($D991*AM$321+$E991*AM$324)</f>
        <v/>
      </c>
      <c r="AN991" s="44">
        <f>AN757*($D991*AN$321+$E991*AN$324)</f>
        <v/>
      </c>
      <c r="AO991" s="44">
        <f>AO757*($D991*AO$321+$E991*AO$324)</f>
        <v/>
      </c>
      <c r="AP991" s="44">
        <f>AP757*($D991*AP$321+$E991*AP$324)</f>
        <v/>
      </c>
      <c r="AQ991" s="44">
        <f>AQ757*($D991*AQ$321+$E991*AQ$324)</f>
        <v/>
      </c>
      <c r="AR991" s="44">
        <f>AR757*($D991*AR$321+$E991*AR$324)</f>
        <v/>
      </c>
      <c r="AS991" s="44">
        <f>AS757*($D991*AS$321+$E991*AS$324)</f>
        <v/>
      </c>
      <c r="AT991" s="44">
        <f>AT757*($D991*AT$321+$E991*AT$324)</f>
        <v/>
      </c>
      <c r="AU991" s="44">
        <f>AU757*($D991*AU$321+$E991*AU$324)</f>
        <v/>
      </c>
      <c r="AV991" s="44">
        <f>AV757*($D991*AV$321+$E991*AV$324)</f>
        <v/>
      </c>
      <c r="AW991" s="44">
        <f>AW757*($D991*AW$321+$E991*AW$324)</f>
        <v/>
      </c>
      <c r="AX991" s="44">
        <f>AX757*($D991*AX$321+$E991*AX$324)</f>
        <v/>
      </c>
      <c r="AY991" s="44">
        <f>AY757*($D991*AY$321+$E991*AY$324)</f>
        <v/>
      </c>
      <c r="AZ991" s="44">
        <f>AZ757*($D991*AZ$321+$E991*AZ$324)</f>
        <v/>
      </c>
      <c r="BA991" s="57">
        <f>XCARBON(BA757,$D991,BA$321,$E991,BA$324)</f>
        <v/>
      </c>
    </row>
    <row r="992" hidden="1" outlineLevel="1">
      <c r="A992" s="14" t="inlineStr">
        <is>
          <t>prxl</t>
        </is>
      </c>
      <c r="B992" s="14" t="inlineStr">
        <is>
          <t>oop</t>
        </is>
      </c>
      <c r="C992" s="14" t="inlineStr">
        <is>
          <t>pow</t>
        </is>
      </c>
      <c r="D992" s="45">
        <f>INDEX(Inputs_power!$AU$5:$AU$13,MATCH($B992,Inputs_power!$A$5:$A$13,0))</f>
        <v/>
      </c>
      <c r="E992" s="45">
        <f>INDEX(Inputs_power!$AV$5:$AV$13,MATCH($B992,Inputs_power!$A$5:$A$13,0))</f>
        <v/>
      </c>
      <c r="F992" s="39" t="n"/>
      <c r="G992" s="39" t="n"/>
      <c r="H992" s="14">
        <f>INDEX(VarLab,MATCH($A992,VarKey,0))&amp;INDEX(MemLab,MATCH($C992&amp;"|"&amp;$B992,MemKey,0))</f>
        <v/>
      </c>
      <c r="I992" s="14">
        <f>INDEX(VarUnit,MATCH($A992,VarKey,0))</f>
        <v/>
      </c>
      <c r="J992" s="14">
        <f>INDEX(VarSrc,MATCH($A992,VarKey,0))</f>
        <v/>
      </c>
      <c r="K992" s="11">
        <f>CodePrefix&amp;$A992&amp;IF($C992="","","."&amp;$C992&amp;"."&amp;$B992)&amp;INDEX(VarEnd,MATCH($A992,VarKey,0))&amp;K$5</f>
        <v/>
      </c>
      <c r="L992" s="43">
        <f>L758*($D992*L$321+$E992*L$324)</f>
        <v/>
      </c>
      <c r="M992" s="44">
        <f>M758*($D992*M$321+$E992*M$324)</f>
        <v/>
      </c>
      <c r="N992" s="44">
        <f>N758*($D992*N$321+$E992*N$324)</f>
        <v/>
      </c>
      <c r="O992" s="44">
        <f>O758*($D992*O$321+$E992*O$324)</f>
        <v/>
      </c>
      <c r="P992" s="44">
        <f>P758*($D992*P$321+$E992*P$324)</f>
        <v/>
      </c>
      <c r="Q992" s="44">
        <f>Q758*($D992*Q$321+$E992*Q$324)</f>
        <v/>
      </c>
      <c r="R992" s="44">
        <f>R758*($D992*R$321+$E992*R$324)</f>
        <v/>
      </c>
      <c r="S992" s="44">
        <f>S758*($D992*S$321+$E992*S$324)</f>
        <v/>
      </c>
      <c r="T992" s="44">
        <f>T758*($D992*T$321+$E992*T$324)</f>
        <v/>
      </c>
      <c r="U992" s="44">
        <f>U758*($D992*U$321+$E992*U$324)</f>
        <v/>
      </c>
      <c r="V992" s="44">
        <f>V758*($D992*V$321+$E992*V$324)</f>
        <v/>
      </c>
      <c r="W992" s="44">
        <f>W758*($D992*W$321+$E992*W$324)</f>
        <v/>
      </c>
      <c r="X992" s="44">
        <f>X758*($D992*X$321+$E992*X$324)</f>
        <v/>
      </c>
      <c r="Y992" s="44">
        <f>Y758*($D992*Y$321+$E992*Y$324)</f>
        <v/>
      </c>
      <c r="Z992" s="44">
        <f>Z758*($D992*Z$321+$E992*Z$324)</f>
        <v/>
      </c>
      <c r="AA992" s="44">
        <f>AA758*($D992*AA$321+$E992*AA$324)</f>
        <v/>
      </c>
      <c r="AB992" s="44">
        <f>AB758*($D992*AB$321+$E992*AB$324)</f>
        <v/>
      </c>
      <c r="AC992" s="44">
        <f>AC758*($D992*AC$321+$E992*AC$324)</f>
        <v/>
      </c>
      <c r="AD992" s="44">
        <f>AD758*($D992*AD$321+$E992*AD$324)</f>
        <v/>
      </c>
      <c r="AE992" s="57">
        <f>XCARBON(AE758,$D992,AE$321,$E992,AE$324)</f>
        <v/>
      </c>
      <c r="AG992" s="11">
        <f>CodePrefix&amp;$A992&amp;IF($C992="","","."&amp;$C992&amp;"."&amp;$B992)&amp;INDEX(VarEnd,MATCH($A992,VarKey,0))&amp;AG$5</f>
        <v/>
      </c>
      <c r="AH992" s="43">
        <f>AH758*($D992*AH$321+$E992*AH$324)</f>
        <v/>
      </c>
      <c r="AI992" s="44">
        <f>AI758*($D992*AI$321+$E992*AI$324)</f>
        <v/>
      </c>
      <c r="AJ992" s="44">
        <f>AJ758*($D992*AJ$321+$E992*AJ$324)</f>
        <v/>
      </c>
      <c r="AK992" s="44">
        <f>AK758*($D992*AK$321+$E992*AK$324)</f>
        <v/>
      </c>
      <c r="AL992" s="44">
        <f>AL758*($D992*AL$321+$E992*AL$324)</f>
        <v/>
      </c>
      <c r="AM992" s="44">
        <f>AM758*($D992*AM$321+$E992*AM$324)</f>
        <v/>
      </c>
      <c r="AN992" s="44">
        <f>AN758*($D992*AN$321+$E992*AN$324)</f>
        <v/>
      </c>
      <c r="AO992" s="44">
        <f>AO758*($D992*AO$321+$E992*AO$324)</f>
        <v/>
      </c>
      <c r="AP992" s="44">
        <f>AP758*($D992*AP$321+$E992*AP$324)</f>
        <v/>
      </c>
      <c r="AQ992" s="44">
        <f>AQ758*($D992*AQ$321+$E992*AQ$324)</f>
        <v/>
      </c>
      <c r="AR992" s="44">
        <f>AR758*($D992*AR$321+$E992*AR$324)</f>
        <v/>
      </c>
      <c r="AS992" s="44">
        <f>AS758*($D992*AS$321+$E992*AS$324)</f>
        <v/>
      </c>
      <c r="AT992" s="44">
        <f>AT758*($D992*AT$321+$E992*AT$324)</f>
        <v/>
      </c>
      <c r="AU992" s="44">
        <f>AU758*($D992*AU$321+$E992*AU$324)</f>
        <v/>
      </c>
      <c r="AV992" s="44">
        <f>AV758*($D992*AV$321+$E992*AV$324)</f>
        <v/>
      </c>
      <c r="AW992" s="44">
        <f>AW758*($D992*AW$321+$E992*AW$324)</f>
        <v/>
      </c>
      <c r="AX992" s="44">
        <f>AX758*($D992*AX$321+$E992*AX$324)</f>
        <v/>
      </c>
      <c r="AY992" s="44">
        <f>AY758*($D992*AY$321+$E992*AY$324)</f>
        <v/>
      </c>
      <c r="AZ992" s="44">
        <f>AZ758*($D992*AZ$321+$E992*AZ$324)</f>
        <v/>
      </c>
      <c r="BA992" s="57">
        <f>XCARBON(BA758,$D992,BA$321,$E992,BA$324)</f>
        <v/>
      </c>
    </row>
    <row r="993" hidden="1" outlineLevel="1">
      <c r="A993" s="14" t="inlineStr">
        <is>
          <t>prxl</t>
        </is>
      </c>
      <c r="B993" s="14" t="inlineStr">
        <is>
          <t>nuc</t>
        </is>
      </c>
      <c r="C993" s="14" t="inlineStr">
        <is>
          <t>pow</t>
        </is>
      </c>
      <c r="D993" s="45">
        <f>INDEX(Inputs_power!$AU$5:$AU$13,MATCH($B993,Inputs_power!$A$5:$A$13,0))</f>
        <v/>
      </c>
      <c r="E993" s="45">
        <f>INDEX(Inputs_power!$AV$5:$AV$13,MATCH($B993,Inputs_power!$A$5:$A$13,0))</f>
        <v/>
      </c>
      <c r="F993" s="39" t="n"/>
      <c r="G993" s="39" t="n"/>
      <c r="H993" s="14">
        <f>INDEX(VarLab,MATCH($A993,VarKey,0))&amp;INDEX(MemLab,MATCH($C993&amp;"|"&amp;$B993,MemKey,0))</f>
        <v/>
      </c>
      <c r="I993" s="14">
        <f>INDEX(VarUnit,MATCH($A993,VarKey,0))</f>
        <v/>
      </c>
      <c r="J993" s="14">
        <f>INDEX(VarSrc,MATCH($A993,VarKey,0))</f>
        <v/>
      </c>
      <c r="K993" s="11">
        <f>CodePrefix&amp;$A993&amp;IF($C993="","","."&amp;$C993&amp;"."&amp;$B993)&amp;INDEX(VarEnd,MATCH($A993,VarKey,0))&amp;K$5</f>
        <v/>
      </c>
      <c r="L993" s="43">
        <f>L759*($D993*L$321+$E993*L$324)</f>
        <v/>
      </c>
      <c r="M993" s="44">
        <f>M759*($D993*M$321+$E993*M$324)</f>
        <v/>
      </c>
      <c r="N993" s="44">
        <f>N759*($D993*N$321+$E993*N$324)</f>
        <v/>
      </c>
      <c r="O993" s="44">
        <f>O759*($D993*O$321+$E993*O$324)</f>
        <v/>
      </c>
      <c r="P993" s="44">
        <f>P759*($D993*P$321+$E993*P$324)</f>
        <v/>
      </c>
      <c r="Q993" s="44">
        <f>Q759*($D993*Q$321+$E993*Q$324)</f>
        <v/>
      </c>
      <c r="R993" s="44">
        <f>R759*($D993*R$321+$E993*R$324)</f>
        <v/>
      </c>
      <c r="S993" s="44">
        <f>S759*($D993*S$321+$E993*S$324)</f>
        <v/>
      </c>
      <c r="T993" s="44">
        <f>T759*($D993*T$321+$E993*T$324)</f>
        <v/>
      </c>
      <c r="U993" s="44">
        <f>U759*($D993*U$321+$E993*U$324)</f>
        <v/>
      </c>
      <c r="V993" s="44">
        <f>V759*($D993*V$321+$E993*V$324)</f>
        <v/>
      </c>
      <c r="W993" s="44">
        <f>W759*($D993*W$321+$E993*W$324)</f>
        <v/>
      </c>
      <c r="X993" s="44">
        <f>X759*($D993*X$321+$E993*X$324)</f>
        <v/>
      </c>
      <c r="Y993" s="44">
        <f>Y759*($D993*Y$321+$E993*Y$324)</f>
        <v/>
      </c>
      <c r="Z993" s="44">
        <f>Z759*($D993*Z$321+$E993*Z$324)</f>
        <v/>
      </c>
      <c r="AA993" s="44">
        <f>AA759*($D993*AA$321+$E993*AA$324)</f>
        <v/>
      </c>
      <c r="AB993" s="44">
        <f>AB759*($D993*AB$321+$E993*AB$324)</f>
        <v/>
      </c>
      <c r="AC993" s="44">
        <f>AC759*($D993*AC$321+$E993*AC$324)</f>
        <v/>
      </c>
      <c r="AD993" s="44">
        <f>AD759*($D993*AD$321+$E993*AD$324)</f>
        <v/>
      </c>
      <c r="AE993" s="57">
        <f>XCARBON(AE759,$D993,AE$321,$E993,AE$324)</f>
        <v/>
      </c>
      <c r="AG993" s="11">
        <f>CodePrefix&amp;$A993&amp;IF($C993="","","."&amp;$C993&amp;"."&amp;$B993)&amp;INDEX(VarEnd,MATCH($A993,VarKey,0))&amp;AG$5</f>
        <v/>
      </c>
      <c r="AH993" s="43">
        <f>AH759*($D993*AH$321+$E993*AH$324)</f>
        <v/>
      </c>
      <c r="AI993" s="44">
        <f>AI759*($D993*AI$321+$E993*AI$324)</f>
        <v/>
      </c>
      <c r="AJ993" s="44">
        <f>AJ759*($D993*AJ$321+$E993*AJ$324)</f>
        <v/>
      </c>
      <c r="AK993" s="44">
        <f>AK759*($D993*AK$321+$E993*AK$324)</f>
        <v/>
      </c>
      <c r="AL993" s="44">
        <f>AL759*($D993*AL$321+$E993*AL$324)</f>
        <v/>
      </c>
      <c r="AM993" s="44">
        <f>AM759*($D993*AM$321+$E993*AM$324)</f>
        <v/>
      </c>
      <c r="AN993" s="44">
        <f>AN759*($D993*AN$321+$E993*AN$324)</f>
        <v/>
      </c>
      <c r="AO993" s="44">
        <f>AO759*($D993*AO$321+$E993*AO$324)</f>
        <v/>
      </c>
      <c r="AP993" s="44">
        <f>AP759*($D993*AP$321+$E993*AP$324)</f>
        <v/>
      </c>
      <c r="AQ993" s="44">
        <f>AQ759*($D993*AQ$321+$E993*AQ$324)</f>
        <v/>
      </c>
      <c r="AR993" s="44">
        <f>AR759*($D993*AR$321+$E993*AR$324)</f>
        <v/>
      </c>
      <c r="AS993" s="44">
        <f>AS759*($D993*AS$321+$E993*AS$324)</f>
        <v/>
      </c>
      <c r="AT993" s="44">
        <f>AT759*($D993*AT$321+$E993*AT$324)</f>
        <v/>
      </c>
      <c r="AU993" s="44">
        <f>AU759*($D993*AU$321+$E993*AU$324)</f>
        <v/>
      </c>
      <c r="AV993" s="44">
        <f>AV759*($D993*AV$321+$E993*AV$324)</f>
        <v/>
      </c>
      <c r="AW993" s="44">
        <f>AW759*($D993*AW$321+$E993*AW$324)</f>
        <v/>
      </c>
      <c r="AX993" s="44">
        <f>AX759*($D993*AX$321+$E993*AX$324)</f>
        <v/>
      </c>
      <c r="AY993" s="44">
        <f>AY759*($D993*AY$321+$E993*AY$324)</f>
        <v/>
      </c>
      <c r="AZ993" s="44">
        <f>AZ759*($D993*AZ$321+$E993*AZ$324)</f>
        <v/>
      </c>
      <c r="BA993" s="57">
        <f>XCARBON(BA759,$D993,BA$321,$E993,BA$324)</f>
        <v/>
      </c>
    </row>
    <row r="994" hidden="1" outlineLevel="1">
      <c r="A994" s="14" t="inlineStr">
        <is>
          <t>prxl</t>
        </is>
      </c>
      <c r="B994" s="14" t="inlineStr">
        <is>
          <t>wnd</t>
        </is>
      </c>
      <c r="C994" s="14" t="inlineStr">
        <is>
          <t>pow</t>
        </is>
      </c>
      <c r="D994" s="45">
        <f>INDEX(Inputs_power!$AU$5:$AU$13,MATCH($B994,Inputs_power!$A$5:$A$13,0))</f>
        <v/>
      </c>
      <c r="E994" s="45">
        <f>INDEX(Inputs_power!$AV$5:$AV$13,MATCH($B994,Inputs_power!$A$5:$A$13,0))</f>
        <v/>
      </c>
      <c r="F994" s="39" t="n"/>
      <c r="G994" s="39" t="n"/>
      <c r="H994" s="14">
        <f>INDEX(VarLab,MATCH($A994,VarKey,0))&amp;INDEX(MemLab,MATCH($C994&amp;"|"&amp;$B994,MemKey,0))</f>
        <v/>
      </c>
      <c r="I994" s="14">
        <f>INDEX(VarUnit,MATCH($A994,VarKey,0))</f>
        <v/>
      </c>
      <c r="J994" s="14">
        <f>INDEX(VarSrc,MATCH($A994,VarKey,0))</f>
        <v/>
      </c>
      <c r="K994" s="11">
        <f>CodePrefix&amp;$A994&amp;IF($C994="","","."&amp;$C994&amp;"."&amp;$B994)&amp;INDEX(VarEnd,MATCH($A994,VarKey,0))&amp;K$5</f>
        <v/>
      </c>
      <c r="L994" s="43">
        <f>L760*($D994*L$321+$E994*L$324)</f>
        <v/>
      </c>
      <c r="M994" s="44">
        <f>M760*($D994*M$321+$E994*M$324)</f>
        <v/>
      </c>
      <c r="N994" s="44">
        <f>N760*($D994*N$321+$E994*N$324)</f>
        <v/>
      </c>
      <c r="O994" s="44">
        <f>O760*($D994*O$321+$E994*O$324)</f>
        <v/>
      </c>
      <c r="P994" s="44">
        <f>P760*($D994*P$321+$E994*P$324)</f>
        <v/>
      </c>
      <c r="Q994" s="44">
        <f>Q760*($D994*Q$321+$E994*Q$324)</f>
        <v/>
      </c>
      <c r="R994" s="44">
        <f>R760*($D994*R$321+$E994*R$324)</f>
        <v/>
      </c>
      <c r="S994" s="44">
        <f>S760*($D994*S$321+$E994*S$324)</f>
        <v/>
      </c>
      <c r="T994" s="44">
        <f>T760*($D994*T$321+$E994*T$324)</f>
        <v/>
      </c>
      <c r="U994" s="44">
        <f>U760*($D994*U$321+$E994*U$324)</f>
        <v/>
      </c>
      <c r="V994" s="44">
        <f>V760*($D994*V$321+$E994*V$324)</f>
        <v/>
      </c>
      <c r="W994" s="44">
        <f>W760*($D994*W$321+$E994*W$324)</f>
        <v/>
      </c>
      <c r="X994" s="44">
        <f>X760*($D994*X$321+$E994*X$324)</f>
        <v/>
      </c>
      <c r="Y994" s="44">
        <f>Y760*($D994*Y$321+$E994*Y$324)</f>
        <v/>
      </c>
      <c r="Z994" s="44">
        <f>Z760*($D994*Z$321+$E994*Z$324)</f>
        <v/>
      </c>
      <c r="AA994" s="44">
        <f>AA760*($D994*AA$321+$E994*AA$324)</f>
        <v/>
      </c>
      <c r="AB994" s="44">
        <f>AB760*($D994*AB$321+$E994*AB$324)</f>
        <v/>
      </c>
      <c r="AC994" s="44">
        <f>AC760*($D994*AC$321+$E994*AC$324)</f>
        <v/>
      </c>
      <c r="AD994" s="44">
        <f>AD760*($D994*AD$321+$E994*AD$324)</f>
        <v/>
      </c>
      <c r="AE994" s="57">
        <f>XCARBON(AE760,$D994,AE$321,$E994,AE$324)</f>
        <v/>
      </c>
      <c r="AG994" s="11">
        <f>CodePrefix&amp;$A994&amp;IF($C994="","","."&amp;$C994&amp;"."&amp;$B994)&amp;INDEX(VarEnd,MATCH($A994,VarKey,0))&amp;AG$5</f>
        <v/>
      </c>
      <c r="AH994" s="43">
        <f>AH760*($D994*AH$321+$E994*AH$324)</f>
        <v/>
      </c>
      <c r="AI994" s="44">
        <f>AI760*($D994*AI$321+$E994*AI$324)</f>
        <v/>
      </c>
      <c r="AJ994" s="44">
        <f>AJ760*($D994*AJ$321+$E994*AJ$324)</f>
        <v/>
      </c>
      <c r="AK994" s="44">
        <f>AK760*($D994*AK$321+$E994*AK$324)</f>
        <v/>
      </c>
      <c r="AL994" s="44">
        <f>AL760*($D994*AL$321+$E994*AL$324)</f>
        <v/>
      </c>
      <c r="AM994" s="44">
        <f>AM760*($D994*AM$321+$E994*AM$324)</f>
        <v/>
      </c>
      <c r="AN994" s="44">
        <f>AN760*($D994*AN$321+$E994*AN$324)</f>
        <v/>
      </c>
      <c r="AO994" s="44">
        <f>AO760*($D994*AO$321+$E994*AO$324)</f>
        <v/>
      </c>
      <c r="AP994" s="44">
        <f>AP760*($D994*AP$321+$E994*AP$324)</f>
        <v/>
      </c>
      <c r="AQ994" s="44">
        <f>AQ760*($D994*AQ$321+$E994*AQ$324)</f>
        <v/>
      </c>
      <c r="AR994" s="44">
        <f>AR760*($D994*AR$321+$E994*AR$324)</f>
        <v/>
      </c>
      <c r="AS994" s="44">
        <f>AS760*($D994*AS$321+$E994*AS$324)</f>
        <v/>
      </c>
      <c r="AT994" s="44">
        <f>AT760*($D994*AT$321+$E994*AT$324)</f>
        <v/>
      </c>
      <c r="AU994" s="44">
        <f>AU760*($D994*AU$321+$E994*AU$324)</f>
        <v/>
      </c>
      <c r="AV994" s="44">
        <f>AV760*($D994*AV$321+$E994*AV$324)</f>
        <v/>
      </c>
      <c r="AW994" s="44">
        <f>AW760*($D994*AW$321+$E994*AW$324)</f>
        <v/>
      </c>
      <c r="AX994" s="44">
        <f>AX760*($D994*AX$321+$E994*AX$324)</f>
        <v/>
      </c>
      <c r="AY994" s="44">
        <f>AY760*($D994*AY$321+$E994*AY$324)</f>
        <v/>
      </c>
      <c r="AZ994" s="44">
        <f>AZ760*($D994*AZ$321+$E994*AZ$324)</f>
        <v/>
      </c>
      <c r="BA994" s="57">
        <f>XCARBON(BA760,$D994,BA$321,$E994,BA$324)</f>
        <v/>
      </c>
    </row>
    <row r="995" hidden="1" outlineLevel="1">
      <c r="A995" s="14" t="inlineStr">
        <is>
          <t>prxl</t>
        </is>
      </c>
      <c r="B995" s="14" t="inlineStr">
        <is>
          <t>sol</t>
        </is>
      </c>
      <c r="C995" s="14" t="inlineStr">
        <is>
          <t>pow</t>
        </is>
      </c>
      <c r="D995" s="45">
        <f>INDEX(Inputs_power!$AU$5:$AU$13,MATCH($B995,Inputs_power!$A$5:$A$13,0))</f>
        <v/>
      </c>
      <c r="E995" s="45">
        <f>INDEX(Inputs_power!$AV$5:$AV$13,MATCH($B995,Inputs_power!$A$5:$A$13,0))</f>
        <v/>
      </c>
      <c r="F995" s="39" t="n"/>
      <c r="G995" s="39" t="n"/>
      <c r="H995" s="14">
        <f>INDEX(VarLab,MATCH($A995,VarKey,0))&amp;INDEX(MemLab,MATCH($C995&amp;"|"&amp;$B995,MemKey,0))</f>
        <v/>
      </c>
      <c r="I995" s="14">
        <f>INDEX(VarUnit,MATCH($A995,VarKey,0))</f>
        <v/>
      </c>
      <c r="J995" s="14">
        <f>INDEX(VarSrc,MATCH($A995,VarKey,0))</f>
        <v/>
      </c>
      <c r="K995" s="11">
        <f>CodePrefix&amp;$A995&amp;IF($C995="","","."&amp;$C995&amp;"."&amp;$B995)&amp;INDEX(VarEnd,MATCH($A995,VarKey,0))&amp;K$5</f>
        <v/>
      </c>
      <c r="L995" s="43">
        <f>L761*($D995*L$321+$E995*L$324)</f>
        <v/>
      </c>
      <c r="M995" s="44">
        <f>M761*($D995*M$321+$E995*M$324)</f>
        <v/>
      </c>
      <c r="N995" s="44">
        <f>N761*($D995*N$321+$E995*N$324)</f>
        <v/>
      </c>
      <c r="O995" s="44">
        <f>O761*($D995*O$321+$E995*O$324)</f>
        <v/>
      </c>
      <c r="P995" s="44">
        <f>P761*($D995*P$321+$E995*P$324)</f>
        <v/>
      </c>
      <c r="Q995" s="44">
        <f>Q761*($D995*Q$321+$E995*Q$324)</f>
        <v/>
      </c>
      <c r="R995" s="44">
        <f>R761*($D995*R$321+$E995*R$324)</f>
        <v/>
      </c>
      <c r="S995" s="44">
        <f>S761*($D995*S$321+$E995*S$324)</f>
        <v/>
      </c>
      <c r="T995" s="44">
        <f>T761*($D995*T$321+$E995*T$324)</f>
        <v/>
      </c>
      <c r="U995" s="44">
        <f>U761*($D995*U$321+$E995*U$324)</f>
        <v/>
      </c>
      <c r="V995" s="44">
        <f>V761*($D995*V$321+$E995*V$324)</f>
        <v/>
      </c>
      <c r="W995" s="44">
        <f>W761*($D995*W$321+$E995*W$324)</f>
        <v/>
      </c>
      <c r="X995" s="44">
        <f>X761*($D995*X$321+$E995*X$324)</f>
        <v/>
      </c>
      <c r="Y995" s="44">
        <f>Y761*($D995*Y$321+$E995*Y$324)</f>
        <v/>
      </c>
      <c r="Z995" s="44">
        <f>Z761*($D995*Z$321+$E995*Z$324)</f>
        <v/>
      </c>
      <c r="AA995" s="44">
        <f>AA761*($D995*AA$321+$E995*AA$324)</f>
        <v/>
      </c>
      <c r="AB995" s="44">
        <f>AB761*($D995*AB$321+$E995*AB$324)</f>
        <v/>
      </c>
      <c r="AC995" s="44">
        <f>AC761*($D995*AC$321+$E995*AC$324)</f>
        <v/>
      </c>
      <c r="AD995" s="44">
        <f>AD761*($D995*AD$321+$E995*AD$324)</f>
        <v/>
      </c>
      <c r="AE995" s="57">
        <f>XCARBON(AE761,$D995,AE$321,$E995,AE$324)</f>
        <v/>
      </c>
      <c r="AG995" s="11">
        <f>CodePrefix&amp;$A995&amp;IF($C995="","","."&amp;$C995&amp;"."&amp;$B995)&amp;INDEX(VarEnd,MATCH($A995,VarKey,0))&amp;AG$5</f>
        <v/>
      </c>
      <c r="AH995" s="43">
        <f>AH761*($D995*AH$321+$E995*AH$324)</f>
        <v/>
      </c>
      <c r="AI995" s="44">
        <f>AI761*($D995*AI$321+$E995*AI$324)</f>
        <v/>
      </c>
      <c r="AJ995" s="44">
        <f>AJ761*($D995*AJ$321+$E995*AJ$324)</f>
        <v/>
      </c>
      <c r="AK995" s="44">
        <f>AK761*($D995*AK$321+$E995*AK$324)</f>
        <v/>
      </c>
      <c r="AL995" s="44">
        <f>AL761*($D995*AL$321+$E995*AL$324)</f>
        <v/>
      </c>
      <c r="AM995" s="44">
        <f>AM761*($D995*AM$321+$E995*AM$324)</f>
        <v/>
      </c>
      <c r="AN995" s="44">
        <f>AN761*($D995*AN$321+$E995*AN$324)</f>
        <v/>
      </c>
      <c r="AO995" s="44">
        <f>AO761*($D995*AO$321+$E995*AO$324)</f>
        <v/>
      </c>
      <c r="AP995" s="44">
        <f>AP761*($D995*AP$321+$E995*AP$324)</f>
        <v/>
      </c>
      <c r="AQ995" s="44">
        <f>AQ761*($D995*AQ$321+$E995*AQ$324)</f>
        <v/>
      </c>
      <c r="AR995" s="44">
        <f>AR761*($D995*AR$321+$E995*AR$324)</f>
        <v/>
      </c>
      <c r="AS995" s="44">
        <f>AS761*($D995*AS$321+$E995*AS$324)</f>
        <v/>
      </c>
      <c r="AT995" s="44">
        <f>AT761*($D995*AT$321+$E995*AT$324)</f>
        <v/>
      </c>
      <c r="AU995" s="44">
        <f>AU761*($D995*AU$321+$E995*AU$324)</f>
        <v/>
      </c>
      <c r="AV995" s="44">
        <f>AV761*($D995*AV$321+$E995*AV$324)</f>
        <v/>
      </c>
      <c r="AW995" s="44">
        <f>AW761*($D995*AW$321+$E995*AW$324)</f>
        <v/>
      </c>
      <c r="AX995" s="44">
        <f>AX761*($D995*AX$321+$E995*AX$324)</f>
        <v/>
      </c>
      <c r="AY995" s="44">
        <f>AY761*($D995*AY$321+$E995*AY$324)</f>
        <v/>
      </c>
      <c r="AZ995" s="44">
        <f>AZ761*($D995*AZ$321+$E995*AZ$324)</f>
        <v/>
      </c>
      <c r="BA995" s="57">
        <f>XCARBON(BA761,$D995,BA$321,$E995,BA$324)</f>
        <v/>
      </c>
    </row>
    <row r="996" hidden="1" outlineLevel="1">
      <c r="A996" s="14" t="inlineStr">
        <is>
          <t>prxl</t>
        </is>
      </c>
      <c r="B996" s="14" t="inlineStr">
        <is>
          <t>hyd</t>
        </is>
      </c>
      <c r="C996" s="14" t="inlineStr">
        <is>
          <t>pow</t>
        </is>
      </c>
      <c r="D996" s="45">
        <f>INDEX(Inputs_power!$AU$5:$AU$13,MATCH($B996,Inputs_power!$A$5:$A$13,0))</f>
        <v/>
      </c>
      <c r="E996" s="45">
        <f>INDEX(Inputs_power!$AV$5:$AV$13,MATCH($B996,Inputs_power!$A$5:$A$13,0))</f>
        <v/>
      </c>
      <c r="F996" s="39" t="n"/>
      <c r="G996" s="39" t="n"/>
      <c r="H996" s="14">
        <f>INDEX(VarLab,MATCH($A996,VarKey,0))&amp;INDEX(MemLab,MATCH($C996&amp;"|"&amp;$B996,MemKey,0))</f>
        <v/>
      </c>
      <c r="I996" s="14">
        <f>INDEX(VarUnit,MATCH($A996,VarKey,0))</f>
        <v/>
      </c>
      <c r="J996" s="14">
        <f>INDEX(VarSrc,MATCH($A996,VarKey,0))</f>
        <v/>
      </c>
      <c r="K996" s="11">
        <f>CodePrefix&amp;$A996&amp;IF($C996="","","."&amp;$C996&amp;"."&amp;$B996)&amp;INDEX(VarEnd,MATCH($A996,VarKey,0))&amp;K$5</f>
        <v/>
      </c>
      <c r="L996" s="43">
        <f>L762*($D996*L$321+$E996*L$324)</f>
        <v/>
      </c>
      <c r="M996" s="44">
        <f>M762*($D996*M$321+$E996*M$324)</f>
        <v/>
      </c>
      <c r="N996" s="44">
        <f>N762*($D996*N$321+$E996*N$324)</f>
        <v/>
      </c>
      <c r="O996" s="44">
        <f>O762*($D996*O$321+$E996*O$324)</f>
        <v/>
      </c>
      <c r="P996" s="44">
        <f>P762*($D996*P$321+$E996*P$324)</f>
        <v/>
      </c>
      <c r="Q996" s="44">
        <f>Q762*($D996*Q$321+$E996*Q$324)</f>
        <v/>
      </c>
      <c r="R996" s="44">
        <f>R762*($D996*R$321+$E996*R$324)</f>
        <v/>
      </c>
      <c r="S996" s="44">
        <f>S762*($D996*S$321+$E996*S$324)</f>
        <v/>
      </c>
      <c r="T996" s="44">
        <f>T762*($D996*T$321+$E996*T$324)</f>
        <v/>
      </c>
      <c r="U996" s="44">
        <f>U762*($D996*U$321+$E996*U$324)</f>
        <v/>
      </c>
      <c r="V996" s="44">
        <f>V762*($D996*V$321+$E996*V$324)</f>
        <v/>
      </c>
      <c r="W996" s="44">
        <f>W762*($D996*W$321+$E996*W$324)</f>
        <v/>
      </c>
      <c r="X996" s="44">
        <f>X762*($D996*X$321+$E996*X$324)</f>
        <v/>
      </c>
      <c r="Y996" s="44">
        <f>Y762*($D996*Y$321+$E996*Y$324)</f>
        <v/>
      </c>
      <c r="Z996" s="44">
        <f>Z762*($D996*Z$321+$E996*Z$324)</f>
        <v/>
      </c>
      <c r="AA996" s="44">
        <f>AA762*($D996*AA$321+$E996*AA$324)</f>
        <v/>
      </c>
      <c r="AB996" s="44">
        <f>AB762*($D996*AB$321+$E996*AB$324)</f>
        <v/>
      </c>
      <c r="AC996" s="44">
        <f>AC762*($D996*AC$321+$E996*AC$324)</f>
        <v/>
      </c>
      <c r="AD996" s="44">
        <f>AD762*($D996*AD$321+$E996*AD$324)</f>
        <v/>
      </c>
      <c r="AE996" s="57">
        <f>XCARBON(AE762,$D996,AE$321,$E996,AE$324)</f>
        <v/>
      </c>
      <c r="AG996" s="11">
        <f>CodePrefix&amp;$A996&amp;IF($C996="","","."&amp;$C996&amp;"."&amp;$B996)&amp;INDEX(VarEnd,MATCH($A996,VarKey,0))&amp;AG$5</f>
        <v/>
      </c>
      <c r="AH996" s="43">
        <f>AH762*($D996*AH$321+$E996*AH$324)</f>
        <v/>
      </c>
      <c r="AI996" s="44">
        <f>AI762*($D996*AI$321+$E996*AI$324)</f>
        <v/>
      </c>
      <c r="AJ996" s="44">
        <f>AJ762*($D996*AJ$321+$E996*AJ$324)</f>
        <v/>
      </c>
      <c r="AK996" s="44">
        <f>AK762*($D996*AK$321+$E996*AK$324)</f>
        <v/>
      </c>
      <c r="AL996" s="44">
        <f>AL762*($D996*AL$321+$E996*AL$324)</f>
        <v/>
      </c>
      <c r="AM996" s="44">
        <f>AM762*($D996*AM$321+$E996*AM$324)</f>
        <v/>
      </c>
      <c r="AN996" s="44">
        <f>AN762*($D996*AN$321+$E996*AN$324)</f>
        <v/>
      </c>
      <c r="AO996" s="44">
        <f>AO762*($D996*AO$321+$E996*AO$324)</f>
        <v/>
      </c>
      <c r="AP996" s="44">
        <f>AP762*($D996*AP$321+$E996*AP$324)</f>
        <v/>
      </c>
      <c r="AQ996" s="44">
        <f>AQ762*($D996*AQ$321+$E996*AQ$324)</f>
        <v/>
      </c>
      <c r="AR996" s="44">
        <f>AR762*($D996*AR$321+$E996*AR$324)</f>
        <v/>
      </c>
      <c r="AS996" s="44">
        <f>AS762*($D996*AS$321+$E996*AS$324)</f>
        <v/>
      </c>
      <c r="AT996" s="44">
        <f>AT762*($D996*AT$321+$E996*AT$324)</f>
        <v/>
      </c>
      <c r="AU996" s="44">
        <f>AU762*($D996*AU$321+$E996*AU$324)</f>
        <v/>
      </c>
      <c r="AV996" s="44">
        <f>AV762*($D996*AV$321+$E996*AV$324)</f>
        <v/>
      </c>
      <c r="AW996" s="44">
        <f>AW762*($D996*AW$321+$E996*AW$324)</f>
        <v/>
      </c>
      <c r="AX996" s="44">
        <f>AX762*($D996*AX$321+$E996*AX$324)</f>
        <v/>
      </c>
      <c r="AY996" s="44">
        <f>AY762*($D996*AY$321+$E996*AY$324)</f>
        <v/>
      </c>
      <c r="AZ996" s="44">
        <f>AZ762*($D996*AZ$321+$E996*AZ$324)</f>
        <v/>
      </c>
      <c r="BA996" s="57">
        <f>XCARBON(BA762,$D996,BA$321,$E996,BA$324)</f>
        <v/>
      </c>
    </row>
    <row r="997" hidden="1" outlineLevel="1">
      <c r="A997" s="14" t="inlineStr">
        <is>
          <t>prxl</t>
        </is>
      </c>
      <c r="B997" s="14" t="inlineStr">
        <is>
          <t>ore</t>
        </is>
      </c>
      <c r="C997" s="14" t="inlineStr">
        <is>
          <t>pow</t>
        </is>
      </c>
      <c r="D997" s="45">
        <f>INDEX(Inputs_power!$AU$5:$AU$13,MATCH($B997,Inputs_power!$A$5:$A$13,0))</f>
        <v/>
      </c>
      <c r="E997" s="45">
        <f>INDEX(Inputs_power!$AV$5:$AV$13,MATCH($B997,Inputs_power!$A$5:$A$13,0))</f>
        <v/>
      </c>
      <c r="F997" s="39" t="n"/>
      <c r="G997" s="39" t="n"/>
      <c r="H997" s="14">
        <f>INDEX(VarLab,MATCH($A997,VarKey,0))&amp;INDEX(MemLab,MATCH($C997&amp;"|"&amp;$B997,MemKey,0))</f>
        <v/>
      </c>
      <c r="I997" s="14">
        <f>INDEX(VarUnit,MATCH($A997,VarKey,0))</f>
        <v/>
      </c>
      <c r="J997" s="14">
        <f>INDEX(VarSrc,MATCH($A997,VarKey,0))</f>
        <v/>
      </c>
      <c r="K997" s="11">
        <f>CodePrefix&amp;$A997&amp;IF($C997="","","."&amp;$C997&amp;"."&amp;$B997)&amp;INDEX(VarEnd,MATCH($A997,VarKey,0))&amp;K$5</f>
        <v/>
      </c>
      <c r="L997" s="43">
        <f>L763*($D997*L$321+$E997*L$324)</f>
        <v/>
      </c>
      <c r="M997" s="44">
        <f>M763*($D997*M$321+$E997*M$324)</f>
        <v/>
      </c>
      <c r="N997" s="44">
        <f>N763*($D997*N$321+$E997*N$324)</f>
        <v/>
      </c>
      <c r="O997" s="44">
        <f>O763*($D997*O$321+$E997*O$324)</f>
        <v/>
      </c>
      <c r="P997" s="44">
        <f>P763*($D997*P$321+$E997*P$324)</f>
        <v/>
      </c>
      <c r="Q997" s="44">
        <f>Q763*($D997*Q$321+$E997*Q$324)</f>
        <v/>
      </c>
      <c r="R997" s="44">
        <f>R763*($D997*R$321+$E997*R$324)</f>
        <v/>
      </c>
      <c r="S997" s="44">
        <f>S763*($D997*S$321+$E997*S$324)</f>
        <v/>
      </c>
      <c r="T997" s="44">
        <f>T763*($D997*T$321+$E997*T$324)</f>
        <v/>
      </c>
      <c r="U997" s="44">
        <f>U763*($D997*U$321+$E997*U$324)</f>
        <v/>
      </c>
      <c r="V997" s="44">
        <f>V763*($D997*V$321+$E997*V$324)</f>
        <v/>
      </c>
      <c r="W997" s="44">
        <f>W763*($D997*W$321+$E997*W$324)</f>
        <v/>
      </c>
      <c r="X997" s="44">
        <f>X763*($D997*X$321+$E997*X$324)</f>
        <v/>
      </c>
      <c r="Y997" s="44">
        <f>Y763*($D997*Y$321+$E997*Y$324)</f>
        <v/>
      </c>
      <c r="Z997" s="44">
        <f>Z763*($D997*Z$321+$E997*Z$324)</f>
        <v/>
      </c>
      <c r="AA997" s="44">
        <f>AA763*($D997*AA$321+$E997*AA$324)</f>
        <v/>
      </c>
      <c r="AB997" s="44">
        <f>AB763*($D997*AB$321+$E997*AB$324)</f>
        <v/>
      </c>
      <c r="AC997" s="44">
        <f>AC763*($D997*AC$321+$E997*AC$324)</f>
        <v/>
      </c>
      <c r="AD997" s="44">
        <f>AD763*($D997*AD$321+$E997*AD$324)</f>
        <v/>
      </c>
      <c r="AE997" s="57">
        <f>XCARBON(AE763,$D997,AE$321,$E997,AE$324)</f>
        <v/>
      </c>
      <c r="AG997" s="11">
        <f>CodePrefix&amp;$A997&amp;IF($C997="","","."&amp;$C997&amp;"."&amp;$B997)&amp;INDEX(VarEnd,MATCH($A997,VarKey,0))&amp;AG$5</f>
        <v/>
      </c>
      <c r="AH997" s="43">
        <f>AH763*($D997*AH$321+$E997*AH$324)</f>
        <v/>
      </c>
      <c r="AI997" s="44">
        <f>AI763*($D997*AI$321+$E997*AI$324)</f>
        <v/>
      </c>
      <c r="AJ997" s="44">
        <f>AJ763*($D997*AJ$321+$E997*AJ$324)</f>
        <v/>
      </c>
      <c r="AK997" s="44">
        <f>AK763*($D997*AK$321+$E997*AK$324)</f>
        <v/>
      </c>
      <c r="AL997" s="44">
        <f>AL763*($D997*AL$321+$E997*AL$324)</f>
        <v/>
      </c>
      <c r="AM997" s="44">
        <f>AM763*($D997*AM$321+$E997*AM$324)</f>
        <v/>
      </c>
      <c r="AN997" s="44">
        <f>AN763*($D997*AN$321+$E997*AN$324)</f>
        <v/>
      </c>
      <c r="AO997" s="44">
        <f>AO763*($D997*AO$321+$E997*AO$324)</f>
        <v/>
      </c>
      <c r="AP997" s="44">
        <f>AP763*($D997*AP$321+$E997*AP$324)</f>
        <v/>
      </c>
      <c r="AQ997" s="44">
        <f>AQ763*($D997*AQ$321+$E997*AQ$324)</f>
        <v/>
      </c>
      <c r="AR997" s="44">
        <f>AR763*($D997*AR$321+$E997*AR$324)</f>
        <v/>
      </c>
      <c r="AS997" s="44">
        <f>AS763*($D997*AS$321+$E997*AS$324)</f>
        <v/>
      </c>
      <c r="AT997" s="44">
        <f>AT763*($D997*AT$321+$E997*AT$324)</f>
        <v/>
      </c>
      <c r="AU997" s="44">
        <f>AU763*($D997*AU$321+$E997*AU$324)</f>
        <v/>
      </c>
      <c r="AV997" s="44">
        <f>AV763*($D997*AV$321+$E997*AV$324)</f>
        <v/>
      </c>
      <c r="AW997" s="44">
        <f>AW763*($D997*AW$321+$E997*AW$324)</f>
        <v/>
      </c>
      <c r="AX997" s="44">
        <f>AX763*($D997*AX$321+$E997*AX$324)</f>
        <v/>
      </c>
      <c r="AY997" s="44">
        <f>AY763*($D997*AY$321+$E997*AY$324)</f>
        <v/>
      </c>
      <c r="AZ997" s="44">
        <f>AZ763*($D997*AZ$321+$E997*AZ$324)</f>
        <v/>
      </c>
      <c r="BA997" s="57">
        <f>XCARBON(BA763,$D997,BA$321,$E997,BA$324)</f>
        <v/>
      </c>
    </row>
    <row r="998" hidden="1" outlineLevel="1">
      <c r="A998" s="14" t="inlineStr">
        <is>
          <t>prxl</t>
        </is>
      </c>
      <c r="B998" s="14" t="inlineStr">
        <is>
          <t>bio</t>
        </is>
      </c>
      <c r="C998" s="14" t="inlineStr">
        <is>
          <t>pow</t>
        </is>
      </c>
      <c r="D998" s="45">
        <f>INDEX(Inputs_power!$AU$5:$AU$13,MATCH($B998,Inputs_power!$A$5:$A$13,0))</f>
        <v/>
      </c>
      <c r="E998" s="45">
        <f>INDEX(Inputs_power!$AV$5:$AV$13,MATCH($B998,Inputs_power!$A$5:$A$13,0))</f>
        <v/>
      </c>
      <c r="F998" s="39" t="n"/>
      <c r="G998" s="39" t="n"/>
      <c r="H998" s="14">
        <f>INDEX(VarLab,MATCH($A998,VarKey,0))&amp;INDEX(MemLab,MATCH($C998&amp;"|"&amp;$B998,MemKey,0))</f>
        <v/>
      </c>
      <c r="I998" s="14">
        <f>INDEX(VarUnit,MATCH($A998,VarKey,0))</f>
        <v/>
      </c>
      <c r="J998" s="14">
        <f>INDEX(VarSrc,MATCH($A998,VarKey,0))</f>
        <v/>
      </c>
      <c r="K998" s="11">
        <f>CodePrefix&amp;$A998&amp;IF($C998="","","."&amp;$C998&amp;"."&amp;$B998)&amp;INDEX(VarEnd,MATCH($A998,VarKey,0))&amp;K$5</f>
        <v/>
      </c>
      <c r="L998" s="43">
        <f>L764*($D998*L$321+$E998*L$324)</f>
        <v/>
      </c>
      <c r="M998" s="44">
        <f>M764*($D998*M$321+$E998*M$324)</f>
        <v/>
      </c>
      <c r="N998" s="44">
        <f>N764*($D998*N$321+$E998*N$324)</f>
        <v/>
      </c>
      <c r="O998" s="44">
        <f>O764*($D998*O$321+$E998*O$324)</f>
        <v/>
      </c>
      <c r="P998" s="44">
        <f>P764*($D998*P$321+$E998*P$324)</f>
        <v/>
      </c>
      <c r="Q998" s="44">
        <f>Q764*($D998*Q$321+$E998*Q$324)</f>
        <v/>
      </c>
      <c r="R998" s="44">
        <f>R764*($D998*R$321+$E998*R$324)</f>
        <v/>
      </c>
      <c r="S998" s="44">
        <f>S764*($D998*S$321+$E998*S$324)</f>
        <v/>
      </c>
      <c r="T998" s="44">
        <f>T764*($D998*T$321+$E998*T$324)</f>
        <v/>
      </c>
      <c r="U998" s="44">
        <f>U764*($D998*U$321+$E998*U$324)</f>
        <v/>
      </c>
      <c r="V998" s="44">
        <f>V764*($D998*V$321+$E998*V$324)</f>
        <v/>
      </c>
      <c r="W998" s="44">
        <f>W764*($D998*W$321+$E998*W$324)</f>
        <v/>
      </c>
      <c r="X998" s="44">
        <f>X764*($D998*X$321+$E998*X$324)</f>
        <v/>
      </c>
      <c r="Y998" s="44">
        <f>Y764*($D998*Y$321+$E998*Y$324)</f>
        <v/>
      </c>
      <c r="Z998" s="44">
        <f>Z764*($D998*Z$321+$E998*Z$324)</f>
        <v/>
      </c>
      <c r="AA998" s="44">
        <f>AA764*($D998*AA$321+$E998*AA$324)</f>
        <v/>
      </c>
      <c r="AB998" s="44">
        <f>AB764*($D998*AB$321+$E998*AB$324)</f>
        <v/>
      </c>
      <c r="AC998" s="44">
        <f>AC764*($D998*AC$321+$E998*AC$324)</f>
        <v/>
      </c>
      <c r="AD998" s="44">
        <f>AD764*($D998*AD$321+$E998*AD$324)</f>
        <v/>
      </c>
      <c r="AE998" s="57">
        <f>XCARBON(AE764,$D998,AE$321,$E998,AE$324)</f>
        <v/>
      </c>
      <c r="AG998" s="11">
        <f>CodePrefix&amp;$A998&amp;IF($C998="","","."&amp;$C998&amp;"."&amp;$B998)&amp;INDEX(VarEnd,MATCH($A998,VarKey,0))&amp;AG$5</f>
        <v/>
      </c>
      <c r="AH998" s="43">
        <f>AH764*($D998*AH$321+$E998*AH$324)</f>
        <v/>
      </c>
      <c r="AI998" s="44">
        <f>AI764*($D998*AI$321+$E998*AI$324)</f>
        <v/>
      </c>
      <c r="AJ998" s="44">
        <f>AJ764*($D998*AJ$321+$E998*AJ$324)</f>
        <v/>
      </c>
      <c r="AK998" s="44">
        <f>AK764*($D998*AK$321+$E998*AK$324)</f>
        <v/>
      </c>
      <c r="AL998" s="44">
        <f>AL764*($D998*AL$321+$E998*AL$324)</f>
        <v/>
      </c>
      <c r="AM998" s="44">
        <f>AM764*($D998*AM$321+$E998*AM$324)</f>
        <v/>
      </c>
      <c r="AN998" s="44">
        <f>AN764*($D998*AN$321+$E998*AN$324)</f>
        <v/>
      </c>
      <c r="AO998" s="44">
        <f>AO764*($D998*AO$321+$E998*AO$324)</f>
        <v/>
      </c>
      <c r="AP998" s="44">
        <f>AP764*($D998*AP$321+$E998*AP$324)</f>
        <v/>
      </c>
      <c r="AQ998" s="44">
        <f>AQ764*($D998*AQ$321+$E998*AQ$324)</f>
        <v/>
      </c>
      <c r="AR998" s="44">
        <f>AR764*($D998*AR$321+$E998*AR$324)</f>
        <v/>
      </c>
      <c r="AS998" s="44">
        <f>AS764*($D998*AS$321+$E998*AS$324)</f>
        <v/>
      </c>
      <c r="AT998" s="44">
        <f>AT764*($D998*AT$321+$E998*AT$324)</f>
        <v/>
      </c>
      <c r="AU998" s="44">
        <f>AU764*($D998*AU$321+$E998*AU$324)</f>
        <v/>
      </c>
      <c r="AV998" s="44">
        <f>AV764*($D998*AV$321+$E998*AV$324)</f>
        <v/>
      </c>
      <c r="AW998" s="44">
        <f>AW764*($D998*AW$321+$E998*AW$324)</f>
        <v/>
      </c>
      <c r="AX998" s="44">
        <f>AX764*($D998*AX$321+$E998*AX$324)</f>
        <v/>
      </c>
      <c r="AY998" s="44">
        <f>AY764*($D998*AY$321+$E998*AY$324)</f>
        <v/>
      </c>
      <c r="AZ998" s="44">
        <f>AZ764*($D998*AZ$321+$E998*AZ$324)</f>
        <v/>
      </c>
      <c r="BA998" s="57">
        <f>XCARBON(BA764,$D998,BA$321,$E998,BA$324)</f>
        <v/>
      </c>
    </row>
    <row r="999" hidden="1" outlineLevel="1"/>
    <row r="1000" hidden="1" outlineLevel="1">
      <c r="H1000" s="67" t="inlineStr">
        <is>
          <t>Year by year as legacy: demand (H) uses last year's electricity price (G); dispatch (I) fills demand from this year's capacity (K); the generation shares set the VRE share and storage cost (J), the average generation cost (E) and next year's supply cost and price (G); investment (L) adds the capacity needed for this year's demand to next year's capacity, using levelised costs (C + D9 = E1). dsum and lvc look one column ahead (levelised variable cost to the end of the horizon 2041), so they and tvcx (tvc, or last year's where 2041 cannot be evaluated) have plain formulas in every column.</t>
        </is>
      </c>
    </row>
    <row r="1001" hidden="1" outlineLevel="1">
      <c r="H1001" s="67" t="inlineStr">
        <is>
          <t>Bug fixes against legacy (CPAT-AI-Mitigation-MVP_BugsIssuesUpgrades_v2.3.docx): services demand, efficiency exponent, income factor, long-term storage allocation, investment spending, investment logit, early-retirement units, coal effective retirement, feebate rebate, capacity check. Power enters the main thread (v1.09): CO2 in section 13 (total, by fuel, ETS sector power), generation fuel use in section 11 (row ener.pow, totals by fuel), revenues (sub-table M and G: rvat, rnvat, rgap) in section 12 (rows .pow).</t>
        </is>
      </c>
    </row>
    <row r="1002" collapsed="1"/>
    <row r="1003">
      <c r="A1003" s="4" t="inlineStr">
        <is>
          <t>5. Transport sector</t>
        </is>
      </c>
      <c r="B1003" s="5" t="n"/>
      <c r="C1003" s="5" t="n"/>
      <c r="D1003" s="5" t="n"/>
      <c r="E1003" s="5" t="n"/>
      <c r="F1003" s="5" t="n"/>
      <c r="G1003" s="5" t="n"/>
      <c r="H1003" s="5" t="n"/>
      <c r="I1003" s="5" t="n"/>
      <c r="J1003" s="5" t="n"/>
      <c r="K1003" s="5" t="n"/>
      <c r="L1003" s="5" t="n"/>
      <c r="M1003" s="5" t="n"/>
      <c r="N1003" s="5" t="n"/>
      <c r="O1003" s="5" t="n"/>
      <c r="P1003" s="5" t="n"/>
      <c r="Q1003" s="5" t="n"/>
      <c r="R1003" s="5" t="n"/>
      <c r="S1003" s="5" t="n"/>
      <c r="T1003" s="5" t="n"/>
      <c r="U1003" s="5" t="n"/>
      <c r="V1003" s="5" t="n"/>
      <c r="W1003" s="5" t="n"/>
      <c r="X1003" s="5" t="n"/>
      <c r="Y1003" s="5" t="n"/>
      <c r="Z1003" s="5" t="n"/>
      <c r="AA1003" s="5" t="n"/>
      <c r="AB1003" s="5" t="n"/>
      <c r="AC1003" s="5" t="n"/>
      <c r="AD1003" s="5" t="n"/>
      <c r="AE1003" s="5" t="n"/>
      <c r="AF1003" s="5" t="n"/>
      <c r="AG1003" s="5" t="n"/>
      <c r="AH1003" s="5" t="n"/>
      <c r="AI1003" s="5" t="n"/>
      <c r="AJ1003" s="5" t="n"/>
      <c r="AK1003" s="5" t="n"/>
      <c r="AL1003" s="5" t="n"/>
      <c r="AM1003" s="5" t="n"/>
      <c r="AN1003" s="5" t="n"/>
      <c r="AO1003" s="5" t="n"/>
      <c r="AP1003" s="5" t="n"/>
      <c r="AQ1003" s="5" t="n"/>
      <c r="AR1003" s="5" t="n"/>
      <c r="AS1003" s="5" t="n"/>
      <c r="AT1003" s="5" t="n"/>
      <c r="AU1003" s="5" t="n"/>
      <c r="AV1003" s="5" t="n"/>
      <c r="AW1003" s="5" t="n"/>
      <c r="AX1003" s="5" t="n"/>
      <c r="AY1003" s="5" t="n"/>
      <c r="AZ1003" s="5" t="n"/>
      <c r="BA1003" s="5" t="n"/>
      <c r="BB1003" s="5" t="n"/>
    </row>
    <row r="1004">
      <c r="A1004" s="1" t="inlineStr">
        <is>
          <t>ener</t>
        </is>
      </c>
      <c r="B1004" s="1" t="inlineStr">
        <is>
          <t>all</t>
        </is>
      </c>
      <c r="C1004" s="1" t="inlineStr">
        <is>
          <t>tra</t>
        </is>
      </c>
      <c r="H1004" s="1">
        <f>INDEX(VarLab,MATCH($A1004,VarKey,0))&amp;INDEX(MemLab,MATCH($C1004&amp;"|"&amp;$B1004,MemKey,0))</f>
        <v/>
      </c>
      <c r="I1004" s="1">
        <f>INDEX(VarUnit,MATCH($A1004,VarKey,0))</f>
        <v/>
      </c>
      <c r="J1004" s="1">
        <f>INDEX(VarSrc,MATCH($A1004,VarKey,0))</f>
        <v/>
      </c>
      <c r="K1004" s="17">
        <f>CodePrefix&amp;$A1004&amp;IF($C1004="","","."&amp;$C1004&amp;"."&amp;$B1004)&amp;INDEX(VarEnd,MATCH($A1004,VarKey,0))&amp;K$5</f>
        <v/>
      </c>
      <c r="L1004" s="68">
        <f>SUMIFS(L1005:L1516,$A1005:$A1516,"ener",$B1005:$B1516,"&lt;&gt;all")</f>
        <v/>
      </c>
      <c r="M1004" s="69">
        <f>SUMIFS(M1005:M1516,$A1005:$A1516,"ener",$B1005:$B1516,"&lt;&gt;all")</f>
        <v/>
      </c>
      <c r="N1004" s="69">
        <f>SUMIFS(N1005:N1516,$A1005:$A1516,"ener",$B1005:$B1516,"&lt;&gt;all")</f>
        <v/>
      </c>
      <c r="O1004" s="69">
        <f>SUMIFS(O1005:O1516,$A1005:$A1516,"ener",$B1005:$B1516,"&lt;&gt;all")</f>
        <v/>
      </c>
      <c r="P1004" s="69">
        <f>SUMIFS(P1005:P1516,$A1005:$A1516,"ener",$B1005:$B1516,"&lt;&gt;all")</f>
        <v/>
      </c>
      <c r="Q1004" s="69">
        <f>SUMIFS(Q1005:Q1516,$A1005:$A1516,"ener",$B1005:$B1516,"&lt;&gt;all")</f>
        <v/>
      </c>
      <c r="R1004" s="69">
        <f>SUMIFS(R1005:R1516,$A1005:$A1516,"ener",$B1005:$B1516,"&lt;&gt;all")</f>
        <v/>
      </c>
      <c r="S1004" s="69">
        <f>SUMIFS(S1005:S1516,$A1005:$A1516,"ener",$B1005:$B1516,"&lt;&gt;all")</f>
        <v/>
      </c>
      <c r="T1004" s="69">
        <f>SUMIFS(T1005:T1516,$A1005:$A1516,"ener",$B1005:$B1516,"&lt;&gt;all")</f>
        <v/>
      </c>
      <c r="U1004" s="69">
        <f>SUMIFS(U1005:U1516,$A1005:$A1516,"ener",$B1005:$B1516,"&lt;&gt;all")</f>
        <v/>
      </c>
      <c r="V1004" s="69">
        <f>SUMIFS(V1005:V1516,$A1005:$A1516,"ener",$B1005:$B1516,"&lt;&gt;all")</f>
        <v/>
      </c>
      <c r="W1004" s="69">
        <f>SUMIFS(W1005:W1516,$A1005:$A1516,"ener",$B1005:$B1516,"&lt;&gt;all")</f>
        <v/>
      </c>
      <c r="X1004" s="69">
        <f>SUMIFS(X1005:X1516,$A1005:$A1516,"ener",$B1005:$B1516,"&lt;&gt;all")</f>
        <v/>
      </c>
      <c r="Y1004" s="69">
        <f>SUMIFS(Y1005:Y1516,$A1005:$A1516,"ener",$B1005:$B1516,"&lt;&gt;all")</f>
        <v/>
      </c>
      <c r="Z1004" s="69">
        <f>SUMIFS(Z1005:Z1516,$A1005:$A1516,"ener",$B1005:$B1516,"&lt;&gt;all")</f>
        <v/>
      </c>
      <c r="AA1004" s="69">
        <f>SUMIFS(AA1005:AA1516,$A1005:$A1516,"ener",$B1005:$B1516,"&lt;&gt;all")</f>
        <v/>
      </c>
      <c r="AB1004" s="69">
        <f>SUMIFS(AB1005:AB1516,$A1005:$A1516,"ener",$B1005:$B1516,"&lt;&gt;all")</f>
        <v/>
      </c>
      <c r="AC1004" s="69">
        <f>SUMIFS(AC1005:AC1516,$A1005:$A1516,"ener",$B1005:$B1516,"&lt;&gt;all")</f>
        <v/>
      </c>
      <c r="AD1004" s="69">
        <f>SUMIFS(AD1005:AD1516,$A1005:$A1516,"ener",$B1005:$B1516,"&lt;&gt;all")</f>
        <v/>
      </c>
      <c r="AE1004" s="69">
        <f>SUMIFS(AE1005:AE1516,$A1005:$A1516,"ener",$B1005:$B1516,"&lt;&gt;all")</f>
        <v/>
      </c>
      <c r="AG1004" s="17">
        <f>CodePrefix&amp;$A1004&amp;IF($C1004="","","."&amp;$C1004&amp;"."&amp;$B1004)&amp;INDEX(VarEnd,MATCH($A1004,VarKey,0))&amp;AG$5</f>
        <v/>
      </c>
      <c r="AH1004" s="68">
        <f>SUMIFS(AH1005:AH1516,$A1005:$A1516,"ener",$B1005:$B1516,"&lt;&gt;all")</f>
        <v/>
      </c>
      <c r="AI1004" s="69">
        <f>SUMIFS(AI1005:AI1516,$A1005:$A1516,"ener",$B1005:$B1516,"&lt;&gt;all")</f>
        <v/>
      </c>
      <c r="AJ1004" s="69">
        <f>SUMIFS(AJ1005:AJ1516,$A1005:$A1516,"ener",$B1005:$B1516,"&lt;&gt;all")</f>
        <v/>
      </c>
      <c r="AK1004" s="69">
        <f>SUMIFS(AK1005:AK1516,$A1005:$A1516,"ener",$B1005:$B1516,"&lt;&gt;all")</f>
        <v/>
      </c>
      <c r="AL1004" s="69">
        <f>SUMIFS(AL1005:AL1516,$A1005:$A1516,"ener",$B1005:$B1516,"&lt;&gt;all")</f>
        <v/>
      </c>
      <c r="AM1004" s="69">
        <f>SUMIFS(AM1005:AM1516,$A1005:$A1516,"ener",$B1005:$B1516,"&lt;&gt;all")</f>
        <v/>
      </c>
      <c r="AN1004" s="69">
        <f>SUMIFS(AN1005:AN1516,$A1005:$A1516,"ener",$B1005:$B1516,"&lt;&gt;all")</f>
        <v/>
      </c>
      <c r="AO1004" s="69">
        <f>SUMIFS(AO1005:AO1516,$A1005:$A1516,"ener",$B1005:$B1516,"&lt;&gt;all")</f>
        <v/>
      </c>
      <c r="AP1004" s="69">
        <f>SUMIFS(AP1005:AP1516,$A1005:$A1516,"ener",$B1005:$B1516,"&lt;&gt;all")</f>
        <v/>
      </c>
      <c r="AQ1004" s="69">
        <f>SUMIFS(AQ1005:AQ1516,$A1005:$A1516,"ener",$B1005:$B1516,"&lt;&gt;all")</f>
        <v/>
      </c>
      <c r="AR1004" s="69">
        <f>SUMIFS(AR1005:AR1516,$A1005:$A1516,"ener",$B1005:$B1516,"&lt;&gt;all")</f>
        <v/>
      </c>
      <c r="AS1004" s="69">
        <f>SUMIFS(AS1005:AS1516,$A1005:$A1516,"ener",$B1005:$B1516,"&lt;&gt;all")</f>
        <v/>
      </c>
      <c r="AT1004" s="69">
        <f>SUMIFS(AT1005:AT1516,$A1005:$A1516,"ener",$B1005:$B1516,"&lt;&gt;all")</f>
        <v/>
      </c>
      <c r="AU1004" s="69">
        <f>SUMIFS(AU1005:AU1516,$A1005:$A1516,"ener",$B1005:$B1516,"&lt;&gt;all")</f>
        <v/>
      </c>
      <c r="AV1004" s="69">
        <f>SUMIFS(AV1005:AV1516,$A1005:$A1516,"ener",$B1005:$B1516,"&lt;&gt;all")</f>
        <v/>
      </c>
      <c r="AW1004" s="69">
        <f>SUMIFS(AW1005:AW1516,$A1005:$A1516,"ener",$B1005:$B1516,"&lt;&gt;all")</f>
        <v/>
      </c>
      <c r="AX1004" s="69">
        <f>SUMIFS(AX1005:AX1516,$A1005:$A1516,"ener",$B1005:$B1516,"&lt;&gt;all")</f>
        <v/>
      </c>
      <c r="AY1004" s="69">
        <f>SUMIFS(AY1005:AY1516,$A1005:$A1516,"ener",$B1005:$B1516,"&lt;&gt;all")</f>
        <v/>
      </c>
      <c r="AZ1004" s="69">
        <f>SUMIFS(AZ1005:AZ1516,$A1005:$A1516,"ener",$B1005:$B1516,"&lt;&gt;all")</f>
        <v/>
      </c>
      <c r="BA1004" s="69">
        <f>SUMIFS(BA1005:BA1516,$A1005:$A1516,"ener",$B1005:$B1516,"&lt;&gt;all")</f>
        <v/>
      </c>
    </row>
    <row r="1005" hidden="1" outlineLevel="1">
      <c r="A1005" s="1" t="inlineStr">
        <is>
          <t>ener</t>
        </is>
      </c>
      <c r="B1005" s="1" t="inlineStr">
        <is>
          <t>all</t>
        </is>
      </c>
      <c r="C1005" s="1" t="inlineStr">
        <is>
          <t>rod</t>
        </is>
      </c>
      <c r="H1005" s="1">
        <f>INDEX(VarLab,MATCH($A1005,VarKey,0))&amp;INDEX(MemLab,MATCH($C1005&amp;"|"&amp;$B1005,MemKey,0))</f>
        <v/>
      </c>
      <c r="I1005" s="1">
        <f>INDEX(VarUnit,MATCH($A1005,VarKey,0))</f>
        <v/>
      </c>
      <c r="J1005" s="1">
        <f>INDEX(VarSrc,MATCH($A1005,VarKey,0))</f>
        <v/>
      </c>
      <c r="K1005" s="17">
        <f>CodePrefix&amp;$A1005&amp;IF($C1005="","","."&amp;$C1005&amp;"."&amp;$B1005)&amp;INDEX(VarEnd,MATCH($A1005,VarKey,0))&amp;K$5</f>
        <v/>
      </c>
      <c r="L1005" s="68">
        <f>SUM(L1079:L1086)</f>
        <v/>
      </c>
      <c r="M1005" s="69">
        <f>SUM(M1079:M1086)</f>
        <v/>
      </c>
      <c r="N1005" s="69">
        <f>SUM(N1079:N1086)</f>
        <v/>
      </c>
      <c r="O1005" s="69">
        <f>SUM(O1079:O1086)</f>
        <v/>
      </c>
      <c r="P1005" s="69">
        <f>SUM(P1079:P1086)</f>
        <v/>
      </c>
      <c r="Q1005" s="69">
        <f>SUM(Q1079:Q1086)</f>
        <v/>
      </c>
      <c r="R1005" s="69">
        <f>SUM(R1079:R1086)</f>
        <v/>
      </c>
      <c r="S1005" s="69">
        <f>SUM(S1079:S1086)</f>
        <v/>
      </c>
      <c r="T1005" s="69">
        <f>SUM(T1079:T1086)</f>
        <v/>
      </c>
      <c r="U1005" s="69">
        <f>SUM(U1079:U1086)</f>
        <v/>
      </c>
      <c r="V1005" s="69">
        <f>SUM(V1079:V1086)</f>
        <v/>
      </c>
      <c r="W1005" s="69">
        <f>SUM(W1079:W1086)</f>
        <v/>
      </c>
      <c r="X1005" s="69">
        <f>SUM(X1079:X1086)</f>
        <v/>
      </c>
      <c r="Y1005" s="69">
        <f>SUM(Y1079:Y1086)</f>
        <v/>
      </c>
      <c r="Z1005" s="69">
        <f>SUM(Z1079:Z1086)</f>
        <v/>
      </c>
      <c r="AA1005" s="69">
        <f>SUM(AA1079:AA1086)</f>
        <v/>
      </c>
      <c r="AB1005" s="69">
        <f>SUM(AB1079:AB1086)</f>
        <v/>
      </c>
      <c r="AC1005" s="69">
        <f>SUM(AC1079:AC1086)</f>
        <v/>
      </c>
      <c r="AD1005" s="69">
        <f>SUM(AD1079:AD1086)</f>
        <v/>
      </c>
      <c r="AE1005" s="69">
        <f>SUM(AE1079:AE1086)</f>
        <v/>
      </c>
      <c r="AG1005" s="17">
        <f>CodePrefix&amp;$A1005&amp;IF($C1005="","","."&amp;$C1005&amp;"."&amp;$B1005)&amp;INDEX(VarEnd,MATCH($A1005,VarKey,0))&amp;AG$5</f>
        <v/>
      </c>
      <c r="AH1005" s="68">
        <f>SUM(AH1079:AH1086)</f>
        <v/>
      </c>
      <c r="AI1005" s="69">
        <f>SUM(AI1079:AI1086)</f>
        <v/>
      </c>
      <c r="AJ1005" s="69">
        <f>SUM(AJ1079:AJ1086)</f>
        <v/>
      </c>
      <c r="AK1005" s="69">
        <f>SUM(AK1079:AK1086)</f>
        <v/>
      </c>
      <c r="AL1005" s="69">
        <f>SUM(AL1079:AL1086)</f>
        <v/>
      </c>
      <c r="AM1005" s="69">
        <f>SUM(AM1079:AM1086)</f>
        <v/>
      </c>
      <c r="AN1005" s="69">
        <f>SUM(AN1079:AN1086)</f>
        <v/>
      </c>
      <c r="AO1005" s="69">
        <f>SUM(AO1079:AO1086)</f>
        <v/>
      </c>
      <c r="AP1005" s="69">
        <f>SUM(AP1079:AP1086)</f>
        <v/>
      </c>
      <c r="AQ1005" s="69">
        <f>SUM(AQ1079:AQ1086)</f>
        <v/>
      </c>
      <c r="AR1005" s="69">
        <f>SUM(AR1079:AR1086)</f>
        <v/>
      </c>
      <c r="AS1005" s="69">
        <f>SUM(AS1079:AS1086)</f>
        <v/>
      </c>
      <c r="AT1005" s="69">
        <f>SUM(AT1079:AT1086)</f>
        <v/>
      </c>
      <c r="AU1005" s="69">
        <f>SUM(AU1079:AU1086)</f>
        <v/>
      </c>
      <c r="AV1005" s="69">
        <f>SUM(AV1079:AV1086)</f>
        <v/>
      </c>
      <c r="AW1005" s="69">
        <f>SUM(AW1079:AW1086)</f>
        <v/>
      </c>
      <c r="AX1005" s="69">
        <f>SUM(AX1079:AX1086)</f>
        <v/>
      </c>
      <c r="AY1005" s="69">
        <f>SUM(AY1079:AY1086)</f>
        <v/>
      </c>
      <c r="AZ1005" s="69">
        <f>SUM(AZ1079:AZ1086)</f>
        <v/>
      </c>
      <c r="BA1005" s="69">
        <f>SUM(BA1079:BA1086)</f>
        <v/>
      </c>
    </row>
    <row r="1006" hidden="1" outlineLevel="1">
      <c r="A1006" s="67" t="inlineStr">
        <is>
          <t>eldem</t>
        </is>
      </c>
      <c r="B1006" s="67" t="inlineStr">
        <is>
          <t>ecy</t>
        </is>
      </c>
      <c r="C1006" s="67" t="inlineStr">
        <is>
          <t>rod</t>
        </is>
      </c>
      <c r="H1006" s="67">
        <f>INDEX(VarLab,MATCH($A1006,VarKey,0))&amp;INDEX(MemLab,MATCH($C1006&amp;"|"&amp;$B1006,MemKey,0))</f>
        <v/>
      </c>
      <c r="I1006" s="67">
        <f>INDEX(VarUnit,MATCH($A1006,VarKey,0))</f>
        <v/>
      </c>
      <c r="J1006" s="67">
        <f>INDEX(VarSrc,MATCH($A1006,VarKey,0))</f>
        <v/>
      </c>
      <c r="K1006" s="70">
        <f>CodePrefix&amp;$A1006&amp;IF($C1006="","","."&amp;$C1006&amp;"."&amp;$B1006)&amp;INDEX(VarEnd,MATCH($A1006,VarKey,0))&amp;K$5</f>
        <v/>
      </c>
      <c r="L1006" s="71">
        <f>SUMIF($C$674:$C$688,$C1006,L$674:L$688)</f>
        <v/>
      </c>
      <c r="M1006" s="72">
        <f>SUMIF($C$674:$C$688,$C1006,M$674:M$688)</f>
        <v/>
      </c>
      <c r="N1006" s="72">
        <f>SUMIF($C$674:$C$688,$C1006,N$674:N$688)</f>
        <v/>
      </c>
      <c r="O1006" s="72">
        <f>SUMIF($C$674:$C$688,$C1006,O$674:O$688)</f>
        <v/>
      </c>
      <c r="P1006" s="72">
        <f>SUMIF($C$674:$C$688,$C1006,P$674:P$688)</f>
        <v/>
      </c>
      <c r="Q1006" s="72">
        <f>SUMIF($C$674:$C$688,$C1006,Q$674:Q$688)</f>
        <v/>
      </c>
      <c r="R1006" s="72">
        <f>SUMIF($C$674:$C$688,$C1006,R$674:R$688)</f>
        <v/>
      </c>
      <c r="S1006" s="72">
        <f>SUMIF($C$674:$C$688,$C1006,S$674:S$688)</f>
        <v/>
      </c>
      <c r="T1006" s="72">
        <f>SUMIF($C$674:$C$688,$C1006,T$674:T$688)</f>
        <v/>
      </c>
      <c r="U1006" s="72">
        <f>SUMIF($C$674:$C$688,$C1006,U$674:U$688)</f>
        <v/>
      </c>
      <c r="V1006" s="72">
        <f>SUMIF($C$674:$C$688,$C1006,V$674:V$688)</f>
        <v/>
      </c>
      <c r="W1006" s="72">
        <f>SUMIF($C$674:$C$688,$C1006,W$674:W$688)</f>
        <v/>
      </c>
      <c r="X1006" s="72">
        <f>SUMIF($C$674:$C$688,$C1006,X$674:X$688)</f>
        <v/>
      </c>
      <c r="Y1006" s="72">
        <f>SUMIF($C$674:$C$688,$C1006,Y$674:Y$688)</f>
        <v/>
      </c>
      <c r="Z1006" s="72">
        <f>SUMIF($C$674:$C$688,$C1006,Z$674:Z$688)</f>
        <v/>
      </c>
      <c r="AA1006" s="72">
        <f>SUMIF($C$674:$C$688,$C1006,AA$674:AA$688)</f>
        <v/>
      </c>
      <c r="AB1006" s="72">
        <f>SUMIF($C$674:$C$688,$C1006,AB$674:AB$688)</f>
        <v/>
      </c>
      <c r="AC1006" s="72">
        <f>SUMIF($C$674:$C$688,$C1006,AC$674:AC$688)</f>
        <v/>
      </c>
      <c r="AD1006" s="72">
        <f>SUMIF($C$674:$C$688,$C1006,AD$674:AD$688)</f>
        <v/>
      </c>
      <c r="AE1006" s="72">
        <f>SUMIF($C$674:$C$688,$C1006,AE$674:AE$688)</f>
        <v/>
      </c>
      <c r="AG1006" s="70">
        <f>CodePrefix&amp;$A1006&amp;IF($C1006="","","."&amp;$C1006&amp;"."&amp;$B1006)&amp;INDEX(VarEnd,MATCH($A1006,VarKey,0))&amp;AG$5</f>
        <v/>
      </c>
      <c r="AH1006" s="71">
        <f>SUMIF($C$674:$C$688,$C1006,AH$674:AH$688)</f>
        <v/>
      </c>
      <c r="AI1006" s="72">
        <f>SUMIF($C$674:$C$688,$C1006,AI$674:AI$688)</f>
        <v/>
      </c>
      <c r="AJ1006" s="72">
        <f>SUMIF($C$674:$C$688,$C1006,AJ$674:AJ$688)</f>
        <v/>
      </c>
      <c r="AK1006" s="72">
        <f>SUMIF($C$674:$C$688,$C1006,AK$674:AK$688)</f>
        <v/>
      </c>
      <c r="AL1006" s="72">
        <f>SUMIF($C$674:$C$688,$C1006,AL$674:AL$688)</f>
        <v/>
      </c>
      <c r="AM1006" s="72">
        <f>SUMIF($C$674:$C$688,$C1006,AM$674:AM$688)</f>
        <v/>
      </c>
      <c r="AN1006" s="72">
        <f>SUMIF($C$674:$C$688,$C1006,AN$674:AN$688)</f>
        <v/>
      </c>
      <c r="AO1006" s="72">
        <f>SUMIF($C$674:$C$688,$C1006,AO$674:AO$688)</f>
        <v/>
      </c>
      <c r="AP1006" s="72">
        <f>SUMIF($C$674:$C$688,$C1006,AP$674:AP$688)</f>
        <v/>
      </c>
      <c r="AQ1006" s="72">
        <f>SUMIF($C$674:$C$688,$C1006,AQ$674:AQ$688)</f>
        <v/>
      </c>
      <c r="AR1006" s="72">
        <f>SUMIF($C$674:$C$688,$C1006,AR$674:AR$688)</f>
        <v/>
      </c>
      <c r="AS1006" s="72">
        <f>SUMIF($C$674:$C$688,$C1006,AS$674:AS$688)</f>
        <v/>
      </c>
      <c r="AT1006" s="72">
        <f>SUMIF($C$674:$C$688,$C1006,AT$674:AT$688)</f>
        <v/>
      </c>
      <c r="AU1006" s="72">
        <f>SUMIF($C$674:$C$688,$C1006,AU$674:AU$688)</f>
        <v/>
      </c>
      <c r="AV1006" s="72">
        <f>SUMIF($C$674:$C$688,$C1006,AV$674:AV$688)</f>
        <v/>
      </c>
      <c r="AW1006" s="72">
        <f>SUMIF($C$674:$C$688,$C1006,AW$674:AW$688)</f>
        <v/>
      </c>
      <c r="AX1006" s="72">
        <f>SUMIF($C$674:$C$688,$C1006,AX$674:AX$688)</f>
        <v/>
      </c>
      <c r="AY1006" s="72">
        <f>SUMIF($C$674:$C$688,$C1006,AY$674:AY$688)</f>
        <v/>
      </c>
      <c r="AZ1006" s="72">
        <f>SUMIF($C$674:$C$688,$C1006,AZ$674:AZ$688)</f>
        <v/>
      </c>
      <c r="BA1006" s="72">
        <f>SUMIF($C$674:$C$688,$C1006,BA$674:BA$688)</f>
        <v/>
      </c>
    </row>
    <row r="1007" hidden="1" outlineLevel="2">
      <c r="A1007" s="14" t="inlineStr">
        <is>
          <t>ctxnew</t>
        </is>
      </c>
      <c r="B1007" s="14" t="inlineStr">
        <is>
          <t>coa</t>
        </is>
      </c>
      <c r="C1007" s="14" t="inlineStr">
        <is>
          <t>rod</t>
        </is>
      </c>
      <c r="D1007" s="35">
        <f>INDEX(Inputs!$W$5:$W$132,MATCH($B1007&amp;"|"&amp;$C1007,Inputs!$A$5:$A$132,0))</f>
        <v/>
      </c>
      <c r="E1007" s="35">
        <f>INDEX(Inputs!$L$5:$L$132,MATCH($B1007&amp;"|"&amp;$C1007,Inputs!$A$5:$A$132,0))</f>
        <v/>
      </c>
      <c r="F1007" s="35">
        <f>INDEX(Inputs!$M$5:$M$132,MATCH($B1007&amp;"|"&amp;$C1007,Inputs!$A$5:$A$132,0))</f>
        <v/>
      </c>
      <c r="G1007" s="39" t="n"/>
      <c r="H1007" s="14">
        <f>INDEX(VarLab,MATCH($A1007,VarKey,0))&amp;INDEX(MemLab,MATCH($C1007&amp;"|"&amp;$B1007,MemKey,0))</f>
        <v/>
      </c>
      <c r="I1007" s="14">
        <f>INDEX(VarUnit,MATCH($A1007,VarKey,0))</f>
        <v/>
      </c>
      <c r="J1007" s="14">
        <f>INDEX(VarSrc,MATCH($A1007,VarKey,0))</f>
        <v/>
      </c>
      <c r="K1007" s="11">
        <f>CodePrefix&amp;$A1007&amp;IF($C1007="","","."&amp;$C1007&amp;"."&amp;$B1007)&amp;INDEX(VarEnd,MATCH($A1007,VarKey,0))&amp;K$5</f>
        <v/>
      </c>
      <c r="L1007" s="40">
        <f>INDEX(L$263:L$279,$F1007)*$D1007*INDEX(L$23:L$30,$E1007)</f>
        <v/>
      </c>
      <c r="M1007" s="35">
        <f>INDEX(M$263:M$279,$F1007)*$D1007*INDEX(M$23:M$30,$E1007)</f>
        <v/>
      </c>
      <c r="N1007" s="35">
        <f>INDEX(N$263:N$279,$F1007)*$D1007*INDEX(N$23:N$30,$E1007)</f>
        <v/>
      </c>
      <c r="O1007" s="35">
        <f>INDEX(O$263:O$279,$F1007)*$D1007*INDEX(O$23:O$30,$E1007)</f>
        <v/>
      </c>
      <c r="P1007" s="35">
        <f>INDEX(P$263:P$279,$F1007)*$D1007*INDEX(P$23:P$30,$E1007)</f>
        <v/>
      </c>
      <c r="Q1007" s="35">
        <f>INDEX(Q$263:Q$279,$F1007)*$D1007*INDEX(Q$23:Q$30,$E1007)</f>
        <v/>
      </c>
      <c r="R1007" s="35">
        <f>INDEX(R$263:R$279,$F1007)*$D1007*INDEX(R$23:R$30,$E1007)</f>
        <v/>
      </c>
      <c r="S1007" s="35">
        <f>INDEX(S$263:S$279,$F1007)*$D1007*INDEX(S$23:S$30,$E1007)</f>
        <v/>
      </c>
      <c r="T1007" s="35">
        <f>INDEX(T$263:T$279,$F1007)*$D1007*INDEX(T$23:T$30,$E1007)</f>
        <v/>
      </c>
      <c r="U1007" s="35">
        <f>INDEX(U$263:U$279,$F1007)*$D1007*INDEX(U$23:U$30,$E1007)</f>
        <v/>
      </c>
      <c r="V1007" s="35">
        <f>INDEX(V$263:V$279,$F1007)*$D1007*INDEX(V$23:V$30,$E1007)</f>
        <v/>
      </c>
      <c r="W1007" s="35">
        <f>INDEX(W$263:W$279,$F1007)*$D1007*INDEX(W$23:W$30,$E1007)</f>
        <v/>
      </c>
      <c r="X1007" s="35">
        <f>INDEX(X$263:X$279,$F1007)*$D1007*INDEX(X$23:X$30,$E1007)</f>
        <v/>
      </c>
      <c r="Y1007" s="35">
        <f>INDEX(Y$263:Y$279,$F1007)*$D1007*INDEX(Y$23:Y$30,$E1007)</f>
        <v/>
      </c>
      <c r="Z1007" s="35">
        <f>INDEX(Z$263:Z$279,$F1007)*$D1007*INDEX(Z$23:Z$30,$E1007)</f>
        <v/>
      </c>
      <c r="AA1007" s="35">
        <f>INDEX(AA$263:AA$279,$F1007)*$D1007*INDEX(AA$23:AA$30,$E1007)</f>
        <v/>
      </c>
      <c r="AB1007" s="35">
        <f>INDEX(AB$263:AB$279,$F1007)*$D1007*INDEX(AB$23:AB$30,$E1007)</f>
        <v/>
      </c>
      <c r="AC1007" s="35">
        <f>INDEX(AC$263:AC$279,$F1007)*$D1007*INDEX(AC$23:AC$30,$E1007)</f>
        <v/>
      </c>
      <c r="AD1007" s="35">
        <f>INDEX(AD$263:AD$279,$F1007)*$D1007*INDEX(AD$23:AD$30,$E1007)</f>
        <v/>
      </c>
      <c r="AE1007" s="42">
        <f>CARBONTAX(INDEX(AE$263:AE$279,$F1007),$D1007,INDEX(AE$23:AE$30,$E1007))</f>
        <v/>
      </c>
      <c r="AG1007" s="11">
        <f>CodePrefix&amp;$A1007&amp;IF($C1007="","","."&amp;$C1007&amp;"."&amp;$B1007)&amp;INDEX(VarEnd,MATCH($A1007,VarKey,0))&amp;AG$5</f>
        <v/>
      </c>
      <c r="AH1007" s="40">
        <f>INDEX(AH$263:AH$279,$F1007)*$D1007*INDEX(AH$23:AH$30,$E1007)</f>
        <v/>
      </c>
      <c r="AI1007" s="35">
        <f>INDEX(AI$263:AI$279,$F1007)*$D1007*INDEX(AI$23:AI$30,$E1007)</f>
        <v/>
      </c>
      <c r="AJ1007" s="35">
        <f>INDEX(AJ$263:AJ$279,$F1007)*$D1007*INDEX(AJ$23:AJ$30,$E1007)</f>
        <v/>
      </c>
      <c r="AK1007" s="35">
        <f>INDEX(AK$263:AK$279,$F1007)*$D1007*INDEX(AK$23:AK$30,$E1007)</f>
        <v/>
      </c>
      <c r="AL1007" s="35">
        <f>INDEX(AL$263:AL$279,$F1007)*$D1007*INDEX(AL$23:AL$30,$E1007)</f>
        <v/>
      </c>
      <c r="AM1007" s="35">
        <f>INDEX(AM$263:AM$279,$F1007)*$D1007*INDEX(AM$23:AM$30,$E1007)</f>
        <v/>
      </c>
      <c r="AN1007" s="35">
        <f>INDEX(AN$263:AN$279,$F1007)*$D1007*INDEX(AN$23:AN$30,$E1007)</f>
        <v/>
      </c>
      <c r="AO1007" s="35">
        <f>INDEX(AO$263:AO$279,$F1007)*$D1007*INDEX(AO$23:AO$30,$E1007)</f>
        <v/>
      </c>
      <c r="AP1007" s="35">
        <f>INDEX(AP$263:AP$279,$F1007)*$D1007*INDEX(AP$23:AP$30,$E1007)</f>
        <v/>
      </c>
      <c r="AQ1007" s="35">
        <f>INDEX(AQ$263:AQ$279,$F1007)*$D1007*INDEX(AQ$23:AQ$30,$E1007)</f>
        <v/>
      </c>
      <c r="AR1007" s="35">
        <f>INDEX(AR$263:AR$279,$F1007)*$D1007*INDEX(AR$23:AR$30,$E1007)</f>
        <v/>
      </c>
      <c r="AS1007" s="35">
        <f>INDEX(AS$263:AS$279,$F1007)*$D1007*INDEX(AS$23:AS$30,$E1007)</f>
        <v/>
      </c>
      <c r="AT1007" s="35">
        <f>INDEX(AT$263:AT$279,$F1007)*$D1007*INDEX(AT$23:AT$30,$E1007)</f>
        <v/>
      </c>
      <c r="AU1007" s="35">
        <f>INDEX(AU$263:AU$279,$F1007)*$D1007*INDEX(AU$23:AU$30,$E1007)</f>
        <v/>
      </c>
      <c r="AV1007" s="35">
        <f>INDEX(AV$263:AV$279,$F1007)*$D1007*INDEX(AV$23:AV$30,$E1007)</f>
        <v/>
      </c>
      <c r="AW1007" s="35">
        <f>INDEX(AW$263:AW$279,$F1007)*$D1007*INDEX(AW$23:AW$30,$E1007)</f>
        <v/>
      </c>
      <c r="AX1007" s="35">
        <f>INDEX(AX$263:AX$279,$F1007)*$D1007*INDEX(AX$23:AX$30,$E1007)</f>
        <v/>
      </c>
      <c r="AY1007" s="35">
        <f>INDEX(AY$263:AY$279,$F1007)*$D1007*INDEX(AY$23:AY$30,$E1007)</f>
        <v/>
      </c>
      <c r="AZ1007" s="35">
        <f>INDEX(AZ$263:AZ$279,$F1007)*$D1007*INDEX(AZ$23:AZ$30,$E1007)</f>
        <v/>
      </c>
      <c r="BA1007" s="42">
        <f>CARBONTAX(INDEX(BA$263:BA$279,$F1007),$D1007,INDEX(BA$23:BA$30,$E1007))</f>
        <v/>
      </c>
    </row>
    <row r="1008" hidden="1" outlineLevel="2">
      <c r="A1008" s="14" t="inlineStr">
        <is>
          <t>ctxnew</t>
        </is>
      </c>
      <c r="B1008" s="14" t="inlineStr">
        <is>
          <t>nga</t>
        </is>
      </c>
      <c r="C1008" s="14" t="inlineStr">
        <is>
          <t>rod</t>
        </is>
      </c>
      <c r="D1008" s="35">
        <f>INDEX(Inputs!$W$5:$W$132,MATCH($B1008&amp;"|"&amp;$C1008,Inputs!$A$5:$A$132,0))</f>
        <v/>
      </c>
      <c r="E1008" s="35">
        <f>INDEX(Inputs!$L$5:$L$132,MATCH($B1008&amp;"|"&amp;$C1008,Inputs!$A$5:$A$132,0))</f>
        <v/>
      </c>
      <c r="F1008" s="35">
        <f>INDEX(Inputs!$M$5:$M$132,MATCH($B1008&amp;"|"&amp;$C1008,Inputs!$A$5:$A$132,0))</f>
        <v/>
      </c>
      <c r="G1008" s="39" t="n"/>
      <c r="H1008" s="14">
        <f>INDEX(VarLab,MATCH($A1008,VarKey,0))&amp;INDEX(MemLab,MATCH($C1008&amp;"|"&amp;$B1008,MemKey,0))</f>
        <v/>
      </c>
      <c r="I1008" s="14">
        <f>INDEX(VarUnit,MATCH($A1008,VarKey,0))</f>
        <v/>
      </c>
      <c r="J1008" s="14">
        <f>INDEX(VarSrc,MATCH($A1008,VarKey,0))</f>
        <v/>
      </c>
      <c r="K1008" s="11">
        <f>CodePrefix&amp;$A1008&amp;IF($C1008="","","."&amp;$C1008&amp;"."&amp;$B1008)&amp;INDEX(VarEnd,MATCH($A1008,VarKey,0))&amp;K$5</f>
        <v/>
      </c>
      <c r="L1008" s="40">
        <f>INDEX(L$263:L$279,$F1008)*$D1008*INDEX(L$23:L$30,$E1008)</f>
        <v/>
      </c>
      <c r="M1008" s="35">
        <f>INDEX(M$263:M$279,$F1008)*$D1008*INDEX(M$23:M$30,$E1008)</f>
        <v/>
      </c>
      <c r="N1008" s="35">
        <f>INDEX(N$263:N$279,$F1008)*$D1008*INDEX(N$23:N$30,$E1008)</f>
        <v/>
      </c>
      <c r="O1008" s="35">
        <f>INDEX(O$263:O$279,$F1008)*$D1008*INDEX(O$23:O$30,$E1008)</f>
        <v/>
      </c>
      <c r="P1008" s="35">
        <f>INDEX(P$263:P$279,$F1008)*$D1008*INDEX(P$23:P$30,$E1008)</f>
        <v/>
      </c>
      <c r="Q1008" s="35">
        <f>INDEX(Q$263:Q$279,$F1008)*$D1008*INDEX(Q$23:Q$30,$E1008)</f>
        <v/>
      </c>
      <c r="R1008" s="35">
        <f>INDEX(R$263:R$279,$F1008)*$D1008*INDEX(R$23:R$30,$E1008)</f>
        <v/>
      </c>
      <c r="S1008" s="35">
        <f>INDEX(S$263:S$279,$F1008)*$D1008*INDEX(S$23:S$30,$E1008)</f>
        <v/>
      </c>
      <c r="T1008" s="35">
        <f>INDEX(T$263:T$279,$F1008)*$D1008*INDEX(T$23:T$30,$E1008)</f>
        <v/>
      </c>
      <c r="U1008" s="35">
        <f>INDEX(U$263:U$279,$F1008)*$D1008*INDEX(U$23:U$30,$E1008)</f>
        <v/>
      </c>
      <c r="V1008" s="35">
        <f>INDEX(V$263:V$279,$F1008)*$D1008*INDEX(V$23:V$30,$E1008)</f>
        <v/>
      </c>
      <c r="W1008" s="35">
        <f>INDEX(W$263:W$279,$F1008)*$D1008*INDEX(W$23:W$30,$E1008)</f>
        <v/>
      </c>
      <c r="X1008" s="35">
        <f>INDEX(X$263:X$279,$F1008)*$D1008*INDEX(X$23:X$30,$E1008)</f>
        <v/>
      </c>
      <c r="Y1008" s="35">
        <f>INDEX(Y$263:Y$279,$F1008)*$D1008*INDEX(Y$23:Y$30,$E1008)</f>
        <v/>
      </c>
      <c r="Z1008" s="35">
        <f>INDEX(Z$263:Z$279,$F1008)*$D1008*INDEX(Z$23:Z$30,$E1008)</f>
        <v/>
      </c>
      <c r="AA1008" s="35">
        <f>INDEX(AA$263:AA$279,$F1008)*$D1008*INDEX(AA$23:AA$30,$E1008)</f>
        <v/>
      </c>
      <c r="AB1008" s="35">
        <f>INDEX(AB$263:AB$279,$F1008)*$D1008*INDEX(AB$23:AB$30,$E1008)</f>
        <v/>
      </c>
      <c r="AC1008" s="35">
        <f>INDEX(AC$263:AC$279,$F1008)*$D1008*INDEX(AC$23:AC$30,$E1008)</f>
        <v/>
      </c>
      <c r="AD1008" s="35">
        <f>INDEX(AD$263:AD$279,$F1008)*$D1008*INDEX(AD$23:AD$30,$E1008)</f>
        <v/>
      </c>
      <c r="AE1008" s="42">
        <f>CARBONTAX(INDEX(AE$263:AE$279,$F1008),$D1008,INDEX(AE$23:AE$30,$E1008))</f>
        <v/>
      </c>
      <c r="AG1008" s="11">
        <f>CodePrefix&amp;$A1008&amp;IF($C1008="","","."&amp;$C1008&amp;"."&amp;$B1008)&amp;INDEX(VarEnd,MATCH($A1008,VarKey,0))&amp;AG$5</f>
        <v/>
      </c>
      <c r="AH1008" s="40">
        <f>INDEX(AH$263:AH$279,$F1008)*$D1008*INDEX(AH$23:AH$30,$E1008)</f>
        <v/>
      </c>
      <c r="AI1008" s="35">
        <f>INDEX(AI$263:AI$279,$F1008)*$D1008*INDEX(AI$23:AI$30,$E1008)</f>
        <v/>
      </c>
      <c r="AJ1008" s="35">
        <f>INDEX(AJ$263:AJ$279,$F1008)*$D1008*INDEX(AJ$23:AJ$30,$E1008)</f>
        <v/>
      </c>
      <c r="AK1008" s="35">
        <f>INDEX(AK$263:AK$279,$F1008)*$D1008*INDEX(AK$23:AK$30,$E1008)</f>
        <v/>
      </c>
      <c r="AL1008" s="35">
        <f>INDEX(AL$263:AL$279,$F1008)*$D1008*INDEX(AL$23:AL$30,$E1008)</f>
        <v/>
      </c>
      <c r="AM1008" s="35">
        <f>INDEX(AM$263:AM$279,$F1008)*$D1008*INDEX(AM$23:AM$30,$E1008)</f>
        <v/>
      </c>
      <c r="AN1008" s="35">
        <f>INDEX(AN$263:AN$279,$F1008)*$D1008*INDEX(AN$23:AN$30,$E1008)</f>
        <v/>
      </c>
      <c r="AO1008" s="35">
        <f>INDEX(AO$263:AO$279,$F1008)*$D1008*INDEX(AO$23:AO$30,$E1008)</f>
        <v/>
      </c>
      <c r="AP1008" s="35">
        <f>INDEX(AP$263:AP$279,$F1008)*$D1008*INDEX(AP$23:AP$30,$E1008)</f>
        <v/>
      </c>
      <c r="AQ1008" s="35">
        <f>INDEX(AQ$263:AQ$279,$F1008)*$D1008*INDEX(AQ$23:AQ$30,$E1008)</f>
        <v/>
      </c>
      <c r="AR1008" s="35">
        <f>INDEX(AR$263:AR$279,$F1008)*$D1008*INDEX(AR$23:AR$30,$E1008)</f>
        <v/>
      </c>
      <c r="AS1008" s="35">
        <f>INDEX(AS$263:AS$279,$F1008)*$D1008*INDEX(AS$23:AS$30,$E1008)</f>
        <v/>
      </c>
      <c r="AT1008" s="35">
        <f>INDEX(AT$263:AT$279,$F1008)*$D1008*INDEX(AT$23:AT$30,$E1008)</f>
        <v/>
      </c>
      <c r="AU1008" s="35">
        <f>INDEX(AU$263:AU$279,$F1008)*$D1008*INDEX(AU$23:AU$30,$E1008)</f>
        <v/>
      </c>
      <c r="AV1008" s="35">
        <f>INDEX(AV$263:AV$279,$F1008)*$D1008*INDEX(AV$23:AV$30,$E1008)</f>
        <v/>
      </c>
      <c r="AW1008" s="35">
        <f>INDEX(AW$263:AW$279,$F1008)*$D1008*INDEX(AW$23:AW$30,$E1008)</f>
        <v/>
      </c>
      <c r="AX1008" s="35">
        <f>INDEX(AX$263:AX$279,$F1008)*$D1008*INDEX(AX$23:AX$30,$E1008)</f>
        <v/>
      </c>
      <c r="AY1008" s="35">
        <f>INDEX(AY$263:AY$279,$F1008)*$D1008*INDEX(AY$23:AY$30,$E1008)</f>
        <v/>
      </c>
      <c r="AZ1008" s="35">
        <f>INDEX(AZ$263:AZ$279,$F1008)*$D1008*INDEX(AZ$23:AZ$30,$E1008)</f>
        <v/>
      </c>
      <c r="BA1008" s="42">
        <f>CARBONTAX(INDEX(BA$263:BA$279,$F1008),$D1008,INDEX(BA$23:BA$30,$E1008))</f>
        <v/>
      </c>
    </row>
    <row r="1009" hidden="1" outlineLevel="2">
      <c r="A1009" s="14" t="inlineStr">
        <is>
          <t>ctxnew</t>
        </is>
      </c>
      <c r="B1009" s="14" t="inlineStr">
        <is>
          <t>gso</t>
        </is>
      </c>
      <c r="C1009" s="14" t="inlineStr">
        <is>
          <t>rod</t>
        </is>
      </c>
      <c r="D1009" s="35">
        <f>INDEX(Inputs!$W$5:$W$132,MATCH($B1009&amp;"|"&amp;$C1009,Inputs!$A$5:$A$132,0))</f>
        <v/>
      </c>
      <c r="E1009" s="35">
        <f>INDEX(Inputs!$L$5:$L$132,MATCH($B1009&amp;"|"&amp;$C1009,Inputs!$A$5:$A$132,0))</f>
        <v/>
      </c>
      <c r="F1009" s="35">
        <f>INDEX(Inputs!$M$5:$M$132,MATCH($B1009&amp;"|"&amp;$C1009,Inputs!$A$5:$A$132,0))</f>
        <v/>
      </c>
      <c r="G1009" s="39" t="n"/>
      <c r="H1009" s="14">
        <f>INDEX(VarLab,MATCH($A1009,VarKey,0))&amp;INDEX(MemLab,MATCH($C1009&amp;"|"&amp;$B1009,MemKey,0))</f>
        <v/>
      </c>
      <c r="I1009" s="14">
        <f>INDEX(VarUnit,MATCH($A1009,VarKey,0))</f>
        <v/>
      </c>
      <c r="J1009" s="14">
        <f>INDEX(VarSrc,MATCH($A1009,VarKey,0))</f>
        <v/>
      </c>
      <c r="K1009" s="11">
        <f>CodePrefix&amp;$A1009&amp;IF($C1009="","","."&amp;$C1009&amp;"."&amp;$B1009)&amp;INDEX(VarEnd,MATCH($A1009,VarKey,0))&amp;K$5</f>
        <v/>
      </c>
      <c r="L1009" s="40">
        <f>INDEX(L$263:L$279,$F1009)*$D1009*INDEX(L$23:L$30,$E1009)</f>
        <v/>
      </c>
      <c r="M1009" s="35">
        <f>INDEX(M$263:M$279,$F1009)*$D1009*INDEX(M$23:M$30,$E1009)</f>
        <v/>
      </c>
      <c r="N1009" s="35">
        <f>INDEX(N$263:N$279,$F1009)*$D1009*INDEX(N$23:N$30,$E1009)</f>
        <v/>
      </c>
      <c r="O1009" s="35">
        <f>INDEX(O$263:O$279,$F1009)*$D1009*INDEX(O$23:O$30,$E1009)</f>
        <v/>
      </c>
      <c r="P1009" s="35">
        <f>INDEX(P$263:P$279,$F1009)*$D1009*INDEX(P$23:P$30,$E1009)</f>
        <v/>
      </c>
      <c r="Q1009" s="35">
        <f>INDEX(Q$263:Q$279,$F1009)*$D1009*INDEX(Q$23:Q$30,$E1009)</f>
        <v/>
      </c>
      <c r="R1009" s="35">
        <f>INDEX(R$263:R$279,$F1009)*$D1009*INDEX(R$23:R$30,$E1009)</f>
        <v/>
      </c>
      <c r="S1009" s="35">
        <f>INDEX(S$263:S$279,$F1009)*$D1009*INDEX(S$23:S$30,$E1009)</f>
        <v/>
      </c>
      <c r="T1009" s="35">
        <f>INDEX(T$263:T$279,$F1009)*$D1009*INDEX(T$23:T$30,$E1009)</f>
        <v/>
      </c>
      <c r="U1009" s="35">
        <f>INDEX(U$263:U$279,$F1009)*$D1009*INDEX(U$23:U$30,$E1009)</f>
        <v/>
      </c>
      <c r="V1009" s="35">
        <f>INDEX(V$263:V$279,$F1009)*$D1009*INDEX(V$23:V$30,$E1009)</f>
        <v/>
      </c>
      <c r="W1009" s="35">
        <f>INDEX(W$263:W$279,$F1009)*$D1009*INDEX(W$23:W$30,$E1009)</f>
        <v/>
      </c>
      <c r="X1009" s="35">
        <f>INDEX(X$263:X$279,$F1009)*$D1009*INDEX(X$23:X$30,$E1009)</f>
        <v/>
      </c>
      <c r="Y1009" s="35">
        <f>INDEX(Y$263:Y$279,$F1009)*$D1009*INDEX(Y$23:Y$30,$E1009)</f>
        <v/>
      </c>
      <c r="Z1009" s="35">
        <f>INDEX(Z$263:Z$279,$F1009)*$D1009*INDEX(Z$23:Z$30,$E1009)</f>
        <v/>
      </c>
      <c r="AA1009" s="35">
        <f>INDEX(AA$263:AA$279,$F1009)*$D1009*INDEX(AA$23:AA$30,$E1009)</f>
        <v/>
      </c>
      <c r="AB1009" s="35">
        <f>INDEX(AB$263:AB$279,$F1009)*$D1009*INDEX(AB$23:AB$30,$E1009)</f>
        <v/>
      </c>
      <c r="AC1009" s="35">
        <f>INDEX(AC$263:AC$279,$F1009)*$D1009*INDEX(AC$23:AC$30,$E1009)</f>
        <v/>
      </c>
      <c r="AD1009" s="35">
        <f>INDEX(AD$263:AD$279,$F1009)*$D1009*INDEX(AD$23:AD$30,$E1009)</f>
        <v/>
      </c>
      <c r="AE1009" s="42">
        <f>CARBONTAX(INDEX(AE$263:AE$279,$F1009),$D1009,INDEX(AE$23:AE$30,$E1009))</f>
        <v/>
      </c>
      <c r="AG1009" s="11">
        <f>CodePrefix&amp;$A1009&amp;IF($C1009="","","."&amp;$C1009&amp;"."&amp;$B1009)&amp;INDEX(VarEnd,MATCH($A1009,VarKey,0))&amp;AG$5</f>
        <v/>
      </c>
      <c r="AH1009" s="40">
        <f>INDEX(AH$263:AH$279,$F1009)*$D1009*INDEX(AH$23:AH$30,$E1009)</f>
        <v/>
      </c>
      <c r="AI1009" s="35">
        <f>INDEX(AI$263:AI$279,$F1009)*$D1009*INDEX(AI$23:AI$30,$E1009)</f>
        <v/>
      </c>
      <c r="AJ1009" s="35">
        <f>INDEX(AJ$263:AJ$279,$F1009)*$D1009*INDEX(AJ$23:AJ$30,$E1009)</f>
        <v/>
      </c>
      <c r="AK1009" s="35">
        <f>INDEX(AK$263:AK$279,$F1009)*$D1009*INDEX(AK$23:AK$30,$E1009)</f>
        <v/>
      </c>
      <c r="AL1009" s="35">
        <f>INDEX(AL$263:AL$279,$F1009)*$D1009*INDEX(AL$23:AL$30,$E1009)</f>
        <v/>
      </c>
      <c r="AM1009" s="35">
        <f>INDEX(AM$263:AM$279,$F1009)*$D1009*INDEX(AM$23:AM$30,$E1009)</f>
        <v/>
      </c>
      <c r="AN1009" s="35">
        <f>INDEX(AN$263:AN$279,$F1009)*$D1009*INDEX(AN$23:AN$30,$E1009)</f>
        <v/>
      </c>
      <c r="AO1009" s="35">
        <f>INDEX(AO$263:AO$279,$F1009)*$D1009*INDEX(AO$23:AO$30,$E1009)</f>
        <v/>
      </c>
      <c r="AP1009" s="35">
        <f>INDEX(AP$263:AP$279,$F1009)*$D1009*INDEX(AP$23:AP$30,$E1009)</f>
        <v/>
      </c>
      <c r="AQ1009" s="35">
        <f>INDEX(AQ$263:AQ$279,$F1009)*$D1009*INDEX(AQ$23:AQ$30,$E1009)</f>
        <v/>
      </c>
      <c r="AR1009" s="35">
        <f>INDEX(AR$263:AR$279,$F1009)*$D1009*INDEX(AR$23:AR$30,$E1009)</f>
        <v/>
      </c>
      <c r="AS1009" s="35">
        <f>INDEX(AS$263:AS$279,$F1009)*$D1009*INDEX(AS$23:AS$30,$E1009)</f>
        <v/>
      </c>
      <c r="AT1009" s="35">
        <f>INDEX(AT$263:AT$279,$F1009)*$D1009*INDEX(AT$23:AT$30,$E1009)</f>
        <v/>
      </c>
      <c r="AU1009" s="35">
        <f>INDEX(AU$263:AU$279,$F1009)*$D1009*INDEX(AU$23:AU$30,$E1009)</f>
        <v/>
      </c>
      <c r="AV1009" s="35">
        <f>INDEX(AV$263:AV$279,$F1009)*$D1009*INDEX(AV$23:AV$30,$E1009)</f>
        <v/>
      </c>
      <c r="AW1009" s="35">
        <f>INDEX(AW$263:AW$279,$F1009)*$D1009*INDEX(AW$23:AW$30,$E1009)</f>
        <v/>
      </c>
      <c r="AX1009" s="35">
        <f>INDEX(AX$263:AX$279,$F1009)*$D1009*INDEX(AX$23:AX$30,$E1009)</f>
        <v/>
      </c>
      <c r="AY1009" s="35">
        <f>INDEX(AY$263:AY$279,$F1009)*$D1009*INDEX(AY$23:AY$30,$E1009)</f>
        <v/>
      </c>
      <c r="AZ1009" s="35">
        <f>INDEX(AZ$263:AZ$279,$F1009)*$D1009*INDEX(AZ$23:AZ$30,$E1009)</f>
        <v/>
      </c>
      <c r="BA1009" s="42">
        <f>CARBONTAX(INDEX(BA$263:BA$279,$F1009),$D1009,INDEX(BA$23:BA$30,$E1009))</f>
        <v/>
      </c>
    </row>
    <row r="1010" hidden="1" outlineLevel="2">
      <c r="A1010" s="14" t="inlineStr">
        <is>
          <t>ctxnew</t>
        </is>
      </c>
      <c r="B1010" s="14" t="inlineStr">
        <is>
          <t>die</t>
        </is>
      </c>
      <c r="C1010" s="14" t="inlineStr">
        <is>
          <t>rod</t>
        </is>
      </c>
      <c r="D1010" s="35">
        <f>INDEX(Inputs!$W$5:$W$132,MATCH($B1010&amp;"|"&amp;$C1010,Inputs!$A$5:$A$132,0))</f>
        <v/>
      </c>
      <c r="E1010" s="35">
        <f>INDEX(Inputs!$L$5:$L$132,MATCH($B1010&amp;"|"&amp;$C1010,Inputs!$A$5:$A$132,0))</f>
        <v/>
      </c>
      <c r="F1010" s="35">
        <f>INDEX(Inputs!$M$5:$M$132,MATCH($B1010&amp;"|"&amp;$C1010,Inputs!$A$5:$A$132,0))</f>
        <v/>
      </c>
      <c r="G1010" s="39" t="n"/>
      <c r="H1010" s="14">
        <f>INDEX(VarLab,MATCH($A1010,VarKey,0))&amp;INDEX(MemLab,MATCH($C1010&amp;"|"&amp;$B1010,MemKey,0))</f>
        <v/>
      </c>
      <c r="I1010" s="14">
        <f>INDEX(VarUnit,MATCH($A1010,VarKey,0))</f>
        <v/>
      </c>
      <c r="J1010" s="14">
        <f>INDEX(VarSrc,MATCH($A1010,VarKey,0))</f>
        <v/>
      </c>
      <c r="K1010" s="11">
        <f>CodePrefix&amp;$A1010&amp;IF($C1010="","","."&amp;$C1010&amp;"."&amp;$B1010)&amp;INDEX(VarEnd,MATCH($A1010,VarKey,0))&amp;K$5</f>
        <v/>
      </c>
      <c r="L1010" s="40">
        <f>INDEX(L$263:L$279,$F1010)*$D1010*INDEX(L$23:L$30,$E1010)</f>
        <v/>
      </c>
      <c r="M1010" s="35">
        <f>INDEX(M$263:M$279,$F1010)*$D1010*INDEX(M$23:M$30,$E1010)</f>
        <v/>
      </c>
      <c r="N1010" s="35">
        <f>INDEX(N$263:N$279,$F1010)*$D1010*INDEX(N$23:N$30,$E1010)</f>
        <v/>
      </c>
      <c r="O1010" s="35">
        <f>INDEX(O$263:O$279,$F1010)*$D1010*INDEX(O$23:O$30,$E1010)</f>
        <v/>
      </c>
      <c r="P1010" s="35">
        <f>INDEX(P$263:P$279,$F1010)*$D1010*INDEX(P$23:P$30,$E1010)</f>
        <v/>
      </c>
      <c r="Q1010" s="35">
        <f>INDEX(Q$263:Q$279,$F1010)*$D1010*INDEX(Q$23:Q$30,$E1010)</f>
        <v/>
      </c>
      <c r="R1010" s="35">
        <f>INDEX(R$263:R$279,$F1010)*$D1010*INDEX(R$23:R$30,$E1010)</f>
        <v/>
      </c>
      <c r="S1010" s="35">
        <f>INDEX(S$263:S$279,$F1010)*$D1010*INDEX(S$23:S$30,$E1010)</f>
        <v/>
      </c>
      <c r="T1010" s="35">
        <f>INDEX(T$263:T$279,$F1010)*$D1010*INDEX(T$23:T$30,$E1010)</f>
        <v/>
      </c>
      <c r="U1010" s="35">
        <f>INDEX(U$263:U$279,$F1010)*$D1010*INDEX(U$23:U$30,$E1010)</f>
        <v/>
      </c>
      <c r="V1010" s="35">
        <f>INDEX(V$263:V$279,$F1010)*$D1010*INDEX(V$23:V$30,$E1010)</f>
        <v/>
      </c>
      <c r="W1010" s="35">
        <f>INDEX(W$263:W$279,$F1010)*$D1010*INDEX(W$23:W$30,$E1010)</f>
        <v/>
      </c>
      <c r="X1010" s="35">
        <f>INDEX(X$263:X$279,$F1010)*$D1010*INDEX(X$23:X$30,$E1010)</f>
        <v/>
      </c>
      <c r="Y1010" s="35">
        <f>INDEX(Y$263:Y$279,$F1010)*$D1010*INDEX(Y$23:Y$30,$E1010)</f>
        <v/>
      </c>
      <c r="Z1010" s="35">
        <f>INDEX(Z$263:Z$279,$F1010)*$D1010*INDEX(Z$23:Z$30,$E1010)</f>
        <v/>
      </c>
      <c r="AA1010" s="35">
        <f>INDEX(AA$263:AA$279,$F1010)*$D1010*INDEX(AA$23:AA$30,$E1010)</f>
        <v/>
      </c>
      <c r="AB1010" s="35">
        <f>INDEX(AB$263:AB$279,$F1010)*$D1010*INDEX(AB$23:AB$30,$E1010)</f>
        <v/>
      </c>
      <c r="AC1010" s="35">
        <f>INDEX(AC$263:AC$279,$F1010)*$D1010*INDEX(AC$23:AC$30,$E1010)</f>
        <v/>
      </c>
      <c r="AD1010" s="35">
        <f>INDEX(AD$263:AD$279,$F1010)*$D1010*INDEX(AD$23:AD$30,$E1010)</f>
        <v/>
      </c>
      <c r="AE1010" s="42">
        <f>CARBONTAX(INDEX(AE$263:AE$279,$F1010),$D1010,INDEX(AE$23:AE$30,$E1010))</f>
        <v/>
      </c>
      <c r="AG1010" s="11">
        <f>CodePrefix&amp;$A1010&amp;IF($C1010="","","."&amp;$C1010&amp;"."&amp;$B1010)&amp;INDEX(VarEnd,MATCH($A1010,VarKey,0))&amp;AG$5</f>
        <v/>
      </c>
      <c r="AH1010" s="40">
        <f>INDEX(AH$263:AH$279,$F1010)*$D1010*INDEX(AH$23:AH$30,$E1010)</f>
        <v/>
      </c>
      <c r="AI1010" s="35">
        <f>INDEX(AI$263:AI$279,$F1010)*$D1010*INDEX(AI$23:AI$30,$E1010)</f>
        <v/>
      </c>
      <c r="AJ1010" s="35">
        <f>INDEX(AJ$263:AJ$279,$F1010)*$D1010*INDEX(AJ$23:AJ$30,$E1010)</f>
        <v/>
      </c>
      <c r="AK1010" s="35">
        <f>INDEX(AK$263:AK$279,$F1010)*$D1010*INDEX(AK$23:AK$30,$E1010)</f>
        <v/>
      </c>
      <c r="AL1010" s="35">
        <f>INDEX(AL$263:AL$279,$F1010)*$D1010*INDEX(AL$23:AL$30,$E1010)</f>
        <v/>
      </c>
      <c r="AM1010" s="35">
        <f>INDEX(AM$263:AM$279,$F1010)*$D1010*INDEX(AM$23:AM$30,$E1010)</f>
        <v/>
      </c>
      <c r="AN1010" s="35">
        <f>INDEX(AN$263:AN$279,$F1010)*$D1010*INDEX(AN$23:AN$30,$E1010)</f>
        <v/>
      </c>
      <c r="AO1010" s="35">
        <f>INDEX(AO$263:AO$279,$F1010)*$D1010*INDEX(AO$23:AO$30,$E1010)</f>
        <v/>
      </c>
      <c r="AP1010" s="35">
        <f>INDEX(AP$263:AP$279,$F1010)*$D1010*INDEX(AP$23:AP$30,$E1010)</f>
        <v/>
      </c>
      <c r="AQ1010" s="35">
        <f>INDEX(AQ$263:AQ$279,$F1010)*$D1010*INDEX(AQ$23:AQ$30,$E1010)</f>
        <v/>
      </c>
      <c r="AR1010" s="35">
        <f>INDEX(AR$263:AR$279,$F1010)*$D1010*INDEX(AR$23:AR$30,$E1010)</f>
        <v/>
      </c>
      <c r="AS1010" s="35">
        <f>INDEX(AS$263:AS$279,$F1010)*$D1010*INDEX(AS$23:AS$30,$E1010)</f>
        <v/>
      </c>
      <c r="AT1010" s="35">
        <f>INDEX(AT$263:AT$279,$F1010)*$D1010*INDEX(AT$23:AT$30,$E1010)</f>
        <v/>
      </c>
      <c r="AU1010" s="35">
        <f>INDEX(AU$263:AU$279,$F1010)*$D1010*INDEX(AU$23:AU$30,$E1010)</f>
        <v/>
      </c>
      <c r="AV1010" s="35">
        <f>INDEX(AV$263:AV$279,$F1010)*$D1010*INDEX(AV$23:AV$30,$E1010)</f>
        <v/>
      </c>
      <c r="AW1010" s="35">
        <f>INDEX(AW$263:AW$279,$F1010)*$D1010*INDEX(AW$23:AW$30,$E1010)</f>
        <v/>
      </c>
      <c r="AX1010" s="35">
        <f>INDEX(AX$263:AX$279,$F1010)*$D1010*INDEX(AX$23:AX$30,$E1010)</f>
        <v/>
      </c>
      <c r="AY1010" s="35">
        <f>INDEX(AY$263:AY$279,$F1010)*$D1010*INDEX(AY$23:AY$30,$E1010)</f>
        <v/>
      </c>
      <c r="AZ1010" s="35">
        <f>INDEX(AZ$263:AZ$279,$F1010)*$D1010*INDEX(AZ$23:AZ$30,$E1010)</f>
        <v/>
      </c>
      <c r="BA1010" s="42">
        <f>CARBONTAX(INDEX(BA$263:BA$279,$F1010),$D1010,INDEX(BA$23:BA$30,$E1010))</f>
        <v/>
      </c>
    </row>
    <row r="1011" hidden="1" outlineLevel="2">
      <c r="A1011" s="14" t="inlineStr">
        <is>
          <t>ctxnew</t>
        </is>
      </c>
      <c r="B1011" s="14" t="inlineStr">
        <is>
          <t>lpg</t>
        </is>
      </c>
      <c r="C1011" s="14" t="inlineStr">
        <is>
          <t>rod</t>
        </is>
      </c>
      <c r="D1011" s="35">
        <f>INDEX(Inputs!$W$5:$W$132,MATCH($B1011&amp;"|"&amp;$C1011,Inputs!$A$5:$A$132,0))</f>
        <v/>
      </c>
      <c r="E1011" s="35">
        <f>INDEX(Inputs!$L$5:$L$132,MATCH($B1011&amp;"|"&amp;$C1011,Inputs!$A$5:$A$132,0))</f>
        <v/>
      </c>
      <c r="F1011" s="35">
        <f>INDEX(Inputs!$M$5:$M$132,MATCH($B1011&amp;"|"&amp;$C1011,Inputs!$A$5:$A$132,0))</f>
        <v/>
      </c>
      <c r="G1011" s="39" t="n"/>
      <c r="H1011" s="14">
        <f>INDEX(VarLab,MATCH($A1011,VarKey,0))&amp;INDEX(MemLab,MATCH($C1011&amp;"|"&amp;$B1011,MemKey,0))</f>
        <v/>
      </c>
      <c r="I1011" s="14">
        <f>INDEX(VarUnit,MATCH($A1011,VarKey,0))</f>
        <v/>
      </c>
      <c r="J1011" s="14">
        <f>INDEX(VarSrc,MATCH($A1011,VarKey,0))</f>
        <v/>
      </c>
      <c r="K1011" s="11">
        <f>CodePrefix&amp;$A1011&amp;IF($C1011="","","."&amp;$C1011&amp;"."&amp;$B1011)&amp;INDEX(VarEnd,MATCH($A1011,VarKey,0))&amp;K$5</f>
        <v/>
      </c>
      <c r="L1011" s="40">
        <f>INDEX(L$263:L$279,$F1011)*$D1011*INDEX(L$23:L$30,$E1011)</f>
        <v/>
      </c>
      <c r="M1011" s="35">
        <f>INDEX(M$263:M$279,$F1011)*$D1011*INDEX(M$23:M$30,$E1011)</f>
        <v/>
      </c>
      <c r="N1011" s="35">
        <f>INDEX(N$263:N$279,$F1011)*$D1011*INDEX(N$23:N$30,$E1011)</f>
        <v/>
      </c>
      <c r="O1011" s="35">
        <f>INDEX(O$263:O$279,$F1011)*$D1011*INDEX(O$23:O$30,$E1011)</f>
        <v/>
      </c>
      <c r="P1011" s="35">
        <f>INDEX(P$263:P$279,$F1011)*$D1011*INDEX(P$23:P$30,$E1011)</f>
        <v/>
      </c>
      <c r="Q1011" s="35">
        <f>INDEX(Q$263:Q$279,$F1011)*$D1011*INDEX(Q$23:Q$30,$E1011)</f>
        <v/>
      </c>
      <c r="R1011" s="35">
        <f>INDEX(R$263:R$279,$F1011)*$D1011*INDEX(R$23:R$30,$E1011)</f>
        <v/>
      </c>
      <c r="S1011" s="35">
        <f>INDEX(S$263:S$279,$F1011)*$D1011*INDEX(S$23:S$30,$E1011)</f>
        <v/>
      </c>
      <c r="T1011" s="35">
        <f>INDEX(T$263:T$279,$F1011)*$D1011*INDEX(T$23:T$30,$E1011)</f>
        <v/>
      </c>
      <c r="U1011" s="35">
        <f>INDEX(U$263:U$279,$F1011)*$D1011*INDEX(U$23:U$30,$E1011)</f>
        <v/>
      </c>
      <c r="V1011" s="35">
        <f>INDEX(V$263:V$279,$F1011)*$D1011*INDEX(V$23:V$30,$E1011)</f>
        <v/>
      </c>
      <c r="W1011" s="35">
        <f>INDEX(W$263:W$279,$F1011)*$D1011*INDEX(W$23:W$30,$E1011)</f>
        <v/>
      </c>
      <c r="X1011" s="35">
        <f>INDEX(X$263:X$279,$F1011)*$D1011*INDEX(X$23:X$30,$E1011)</f>
        <v/>
      </c>
      <c r="Y1011" s="35">
        <f>INDEX(Y$263:Y$279,$F1011)*$D1011*INDEX(Y$23:Y$30,$E1011)</f>
        <v/>
      </c>
      <c r="Z1011" s="35">
        <f>INDEX(Z$263:Z$279,$F1011)*$D1011*INDEX(Z$23:Z$30,$E1011)</f>
        <v/>
      </c>
      <c r="AA1011" s="35">
        <f>INDEX(AA$263:AA$279,$F1011)*$D1011*INDEX(AA$23:AA$30,$E1011)</f>
        <v/>
      </c>
      <c r="AB1011" s="35">
        <f>INDEX(AB$263:AB$279,$F1011)*$D1011*INDEX(AB$23:AB$30,$E1011)</f>
        <v/>
      </c>
      <c r="AC1011" s="35">
        <f>INDEX(AC$263:AC$279,$F1011)*$D1011*INDEX(AC$23:AC$30,$E1011)</f>
        <v/>
      </c>
      <c r="AD1011" s="35">
        <f>INDEX(AD$263:AD$279,$F1011)*$D1011*INDEX(AD$23:AD$30,$E1011)</f>
        <v/>
      </c>
      <c r="AE1011" s="42">
        <f>CARBONTAX(INDEX(AE$263:AE$279,$F1011),$D1011,INDEX(AE$23:AE$30,$E1011))</f>
        <v/>
      </c>
      <c r="AG1011" s="11">
        <f>CodePrefix&amp;$A1011&amp;IF($C1011="","","."&amp;$C1011&amp;"."&amp;$B1011)&amp;INDEX(VarEnd,MATCH($A1011,VarKey,0))&amp;AG$5</f>
        <v/>
      </c>
      <c r="AH1011" s="40">
        <f>INDEX(AH$263:AH$279,$F1011)*$D1011*INDEX(AH$23:AH$30,$E1011)</f>
        <v/>
      </c>
      <c r="AI1011" s="35">
        <f>INDEX(AI$263:AI$279,$F1011)*$D1011*INDEX(AI$23:AI$30,$E1011)</f>
        <v/>
      </c>
      <c r="AJ1011" s="35">
        <f>INDEX(AJ$263:AJ$279,$F1011)*$D1011*INDEX(AJ$23:AJ$30,$E1011)</f>
        <v/>
      </c>
      <c r="AK1011" s="35">
        <f>INDEX(AK$263:AK$279,$F1011)*$D1011*INDEX(AK$23:AK$30,$E1011)</f>
        <v/>
      </c>
      <c r="AL1011" s="35">
        <f>INDEX(AL$263:AL$279,$F1011)*$D1011*INDEX(AL$23:AL$30,$E1011)</f>
        <v/>
      </c>
      <c r="AM1011" s="35">
        <f>INDEX(AM$263:AM$279,$F1011)*$D1011*INDEX(AM$23:AM$30,$E1011)</f>
        <v/>
      </c>
      <c r="AN1011" s="35">
        <f>INDEX(AN$263:AN$279,$F1011)*$D1011*INDEX(AN$23:AN$30,$E1011)</f>
        <v/>
      </c>
      <c r="AO1011" s="35">
        <f>INDEX(AO$263:AO$279,$F1011)*$D1011*INDEX(AO$23:AO$30,$E1011)</f>
        <v/>
      </c>
      <c r="AP1011" s="35">
        <f>INDEX(AP$263:AP$279,$F1011)*$D1011*INDEX(AP$23:AP$30,$E1011)</f>
        <v/>
      </c>
      <c r="AQ1011" s="35">
        <f>INDEX(AQ$263:AQ$279,$F1011)*$D1011*INDEX(AQ$23:AQ$30,$E1011)</f>
        <v/>
      </c>
      <c r="AR1011" s="35">
        <f>INDEX(AR$263:AR$279,$F1011)*$D1011*INDEX(AR$23:AR$30,$E1011)</f>
        <v/>
      </c>
      <c r="AS1011" s="35">
        <f>INDEX(AS$263:AS$279,$F1011)*$D1011*INDEX(AS$23:AS$30,$E1011)</f>
        <v/>
      </c>
      <c r="AT1011" s="35">
        <f>INDEX(AT$263:AT$279,$F1011)*$D1011*INDEX(AT$23:AT$30,$E1011)</f>
        <v/>
      </c>
      <c r="AU1011" s="35">
        <f>INDEX(AU$263:AU$279,$F1011)*$D1011*INDEX(AU$23:AU$30,$E1011)</f>
        <v/>
      </c>
      <c r="AV1011" s="35">
        <f>INDEX(AV$263:AV$279,$F1011)*$D1011*INDEX(AV$23:AV$30,$E1011)</f>
        <v/>
      </c>
      <c r="AW1011" s="35">
        <f>INDEX(AW$263:AW$279,$F1011)*$D1011*INDEX(AW$23:AW$30,$E1011)</f>
        <v/>
      </c>
      <c r="AX1011" s="35">
        <f>INDEX(AX$263:AX$279,$F1011)*$D1011*INDEX(AX$23:AX$30,$E1011)</f>
        <v/>
      </c>
      <c r="AY1011" s="35">
        <f>INDEX(AY$263:AY$279,$F1011)*$D1011*INDEX(AY$23:AY$30,$E1011)</f>
        <v/>
      </c>
      <c r="AZ1011" s="35">
        <f>INDEX(AZ$263:AZ$279,$F1011)*$D1011*INDEX(AZ$23:AZ$30,$E1011)</f>
        <v/>
      </c>
      <c r="BA1011" s="42">
        <f>CARBONTAX(INDEX(BA$263:BA$279,$F1011),$D1011,INDEX(BA$23:BA$30,$E1011))</f>
        <v/>
      </c>
    </row>
    <row r="1012" hidden="1" outlineLevel="2">
      <c r="A1012" s="14" t="inlineStr">
        <is>
          <t>ctxnew</t>
        </is>
      </c>
      <c r="B1012" s="14" t="inlineStr">
        <is>
          <t>ker</t>
        </is>
      </c>
      <c r="C1012" s="14" t="inlineStr">
        <is>
          <t>rod</t>
        </is>
      </c>
      <c r="D1012" s="35">
        <f>INDEX(Inputs!$W$5:$W$132,MATCH($B1012&amp;"|"&amp;$C1012,Inputs!$A$5:$A$132,0))</f>
        <v/>
      </c>
      <c r="E1012" s="35">
        <f>INDEX(Inputs!$L$5:$L$132,MATCH($B1012&amp;"|"&amp;$C1012,Inputs!$A$5:$A$132,0))</f>
        <v/>
      </c>
      <c r="F1012" s="35">
        <f>INDEX(Inputs!$M$5:$M$132,MATCH($B1012&amp;"|"&amp;$C1012,Inputs!$A$5:$A$132,0))</f>
        <v/>
      </c>
      <c r="G1012" s="39" t="n"/>
      <c r="H1012" s="14">
        <f>INDEX(VarLab,MATCH($A1012,VarKey,0))&amp;INDEX(MemLab,MATCH($C1012&amp;"|"&amp;$B1012,MemKey,0))</f>
        <v/>
      </c>
      <c r="I1012" s="14">
        <f>INDEX(VarUnit,MATCH($A1012,VarKey,0))</f>
        <v/>
      </c>
      <c r="J1012" s="14">
        <f>INDEX(VarSrc,MATCH($A1012,VarKey,0))</f>
        <v/>
      </c>
      <c r="K1012" s="11">
        <f>CodePrefix&amp;$A1012&amp;IF($C1012="","","."&amp;$C1012&amp;"."&amp;$B1012)&amp;INDEX(VarEnd,MATCH($A1012,VarKey,0))&amp;K$5</f>
        <v/>
      </c>
      <c r="L1012" s="40">
        <f>INDEX(L$263:L$279,$F1012)*$D1012*INDEX(L$23:L$30,$E1012)</f>
        <v/>
      </c>
      <c r="M1012" s="35">
        <f>INDEX(M$263:M$279,$F1012)*$D1012*INDEX(M$23:M$30,$E1012)</f>
        <v/>
      </c>
      <c r="N1012" s="35">
        <f>INDEX(N$263:N$279,$F1012)*$D1012*INDEX(N$23:N$30,$E1012)</f>
        <v/>
      </c>
      <c r="O1012" s="35">
        <f>INDEX(O$263:O$279,$F1012)*$D1012*INDEX(O$23:O$30,$E1012)</f>
        <v/>
      </c>
      <c r="P1012" s="35">
        <f>INDEX(P$263:P$279,$F1012)*$D1012*INDEX(P$23:P$30,$E1012)</f>
        <v/>
      </c>
      <c r="Q1012" s="35">
        <f>INDEX(Q$263:Q$279,$F1012)*$D1012*INDEX(Q$23:Q$30,$E1012)</f>
        <v/>
      </c>
      <c r="R1012" s="35">
        <f>INDEX(R$263:R$279,$F1012)*$D1012*INDEX(R$23:R$30,$E1012)</f>
        <v/>
      </c>
      <c r="S1012" s="35">
        <f>INDEX(S$263:S$279,$F1012)*$D1012*INDEX(S$23:S$30,$E1012)</f>
        <v/>
      </c>
      <c r="T1012" s="35">
        <f>INDEX(T$263:T$279,$F1012)*$D1012*INDEX(T$23:T$30,$E1012)</f>
        <v/>
      </c>
      <c r="U1012" s="35">
        <f>INDEX(U$263:U$279,$F1012)*$D1012*INDEX(U$23:U$30,$E1012)</f>
        <v/>
      </c>
      <c r="V1012" s="35">
        <f>INDEX(V$263:V$279,$F1012)*$D1012*INDEX(V$23:V$30,$E1012)</f>
        <v/>
      </c>
      <c r="W1012" s="35">
        <f>INDEX(W$263:W$279,$F1012)*$D1012*INDEX(W$23:W$30,$E1012)</f>
        <v/>
      </c>
      <c r="X1012" s="35">
        <f>INDEX(X$263:X$279,$F1012)*$D1012*INDEX(X$23:X$30,$E1012)</f>
        <v/>
      </c>
      <c r="Y1012" s="35">
        <f>INDEX(Y$263:Y$279,$F1012)*$D1012*INDEX(Y$23:Y$30,$E1012)</f>
        <v/>
      </c>
      <c r="Z1012" s="35">
        <f>INDEX(Z$263:Z$279,$F1012)*$D1012*INDEX(Z$23:Z$30,$E1012)</f>
        <v/>
      </c>
      <c r="AA1012" s="35">
        <f>INDEX(AA$263:AA$279,$F1012)*$D1012*INDEX(AA$23:AA$30,$E1012)</f>
        <v/>
      </c>
      <c r="AB1012" s="35">
        <f>INDEX(AB$263:AB$279,$F1012)*$D1012*INDEX(AB$23:AB$30,$E1012)</f>
        <v/>
      </c>
      <c r="AC1012" s="35">
        <f>INDEX(AC$263:AC$279,$F1012)*$D1012*INDEX(AC$23:AC$30,$E1012)</f>
        <v/>
      </c>
      <c r="AD1012" s="35">
        <f>INDEX(AD$263:AD$279,$F1012)*$D1012*INDEX(AD$23:AD$30,$E1012)</f>
        <v/>
      </c>
      <c r="AE1012" s="42">
        <f>CARBONTAX(INDEX(AE$263:AE$279,$F1012),$D1012,INDEX(AE$23:AE$30,$E1012))</f>
        <v/>
      </c>
      <c r="AG1012" s="11">
        <f>CodePrefix&amp;$A1012&amp;IF($C1012="","","."&amp;$C1012&amp;"."&amp;$B1012)&amp;INDEX(VarEnd,MATCH($A1012,VarKey,0))&amp;AG$5</f>
        <v/>
      </c>
      <c r="AH1012" s="40">
        <f>INDEX(AH$263:AH$279,$F1012)*$D1012*INDEX(AH$23:AH$30,$E1012)</f>
        <v/>
      </c>
      <c r="AI1012" s="35">
        <f>INDEX(AI$263:AI$279,$F1012)*$D1012*INDEX(AI$23:AI$30,$E1012)</f>
        <v/>
      </c>
      <c r="AJ1012" s="35">
        <f>INDEX(AJ$263:AJ$279,$F1012)*$D1012*INDEX(AJ$23:AJ$30,$E1012)</f>
        <v/>
      </c>
      <c r="AK1012" s="35">
        <f>INDEX(AK$263:AK$279,$F1012)*$D1012*INDEX(AK$23:AK$30,$E1012)</f>
        <v/>
      </c>
      <c r="AL1012" s="35">
        <f>INDEX(AL$263:AL$279,$F1012)*$D1012*INDEX(AL$23:AL$30,$E1012)</f>
        <v/>
      </c>
      <c r="AM1012" s="35">
        <f>INDEX(AM$263:AM$279,$F1012)*$D1012*INDEX(AM$23:AM$30,$E1012)</f>
        <v/>
      </c>
      <c r="AN1012" s="35">
        <f>INDEX(AN$263:AN$279,$F1012)*$D1012*INDEX(AN$23:AN$30,$E1012)</f>
        <v/>
      </c>
      <c r="AO1012" s="35">
        <f>INDEX(AO$263:AO$279,$F1012)*$D1012*INDEX(AO$23:AO$30,$E1012)</f>
        <v/>
      </c>
      <c r="AP1012" s="35">
        <f>INDEX(AP$263:AP$279,$F1012)*$D1012*INDEX(AP$23:AP$30,$E1012)</f>
        <v/>
      </c>
      <c r="AQ1012" s="35">
        <f>INDEX(AQ$263:AQ$279,$F1012)*$D1012*INDEX(AQ$23:AQ$30,$E1012)</f>
        <v/>
      </c>
      <c r="AR1012" s="35">
        <f>INDEX(AR$263:AR$279,$F1012)*$D1012*INDEX(AR$23:AR$30,$E1012)</f>
        <v/>
      </c>
      <c r="AS1012" s="35">
        <f>INDEX(AS$263:AS$279,$F1012)*$D1012*INDEX(AS$23:AS$30,$E1012)</f>
        <v/>
      </c>
      <c r="AT1012" s="35">
        <f>INDEX(AT$263:AT$279,$F1012)*$D1012*INDEX(AT$23:AT$30,$E1012)</f>
        <v/>
      </c>
      <c r="AU1012" s="35">
        <f>INDEX(AU$263:AU$279,$F1012)*$D1012*INDEX(AU$23:AU$30,$E1012)</f>
        <v/>
      </c>
      <c r="AV1012" s="35">
        <f>INDEX(AV$263:AV$279,$F1012)*$D1012*INDEX(AV$23:AV$30,$E1012)</f>
        <v/>
      </c>
      <c r="AW1012" s="35">
        <f>INDEX(AW$263:AW$279,$F1012)*$D1012*INDEX(AW$23:AW$30,$E1012)</f>
        <v/>
      </c>
      <c r="AX1012" s="35">
        <f>INDEX(AX$263:AX$279,$F1012)*$D1012*INDEX(AX$23:AX$30,$E1012)</f>
        <v/>
      </c>
      <c r="AY1012" s="35">
        <f>INDEX(AY$263:AY$279,$F1012)*$D1012*INDEX(AY$23:AY$30,$E1012)</f>
        <v/>
      </c>
      <c r="AZ1012" s="35">
        <f>INDEX(AZ$263:AZ$279,$F1012)*$D1012*INDEX(AZ$23:AZ$30,$E1012)</f>
        <v/>
      </c>
      <c r="BA1012" s="42">
        <f>CARBONTAX(INDEX(BA$263:BA$279,$F1012),$D1012,INDEX(BA$23:BA$30,$E1012))</f>
        <v/>
      </c>
    </row>
    <row r="1013" hidden="1" outlineLevel="2">
      <c r="A1013" s="14" t="inlineStr">
        <is>
          <t>ctxnew</t>
        </is>
      </c>
      <c r="B1013" s="14" t="inlineStr">
        <is>
          <t>oop</t>
        </is>
      </c>
      <c r="C1013" s="14" t="inlineStr">
        <is>
          <t>rod</t>
        </is>
      </c>
      <c r="D1013" s="35">
        <f>INDEX(Inputs!$W$5:$W$132,MATCH($B1013&amp;"|"&amp;$C1013,Inputs!$A$5:$A$132,0))</f>
        <v/>
      </c>
      <c r="E1013" s="35">
        <f>INDEX(Inputs!$L$5:$L$132,MATCH($B1013&amp;"|"&amp;$C1013,Inputs!$A$5:$A$132,0))</f>
        <v/>
      </c>
      <c r="F1013" s="35">
        <f>INDEX(Inputs!$M$5:$M$132,MATCH($B1013&amp;"|"&amp;$C1013,Inputs!$A$5:$A$132,0))</f>
        <v/>
      </c>
      <c r="G1013" s="39" t="n"/>
      <c r="H1013" s="14">
        <f>INDEX(VarLab,MATCH($A1013,VarKey,0))&amp;INDEX(MemLab,MATCH($C1013&amp;"|"&amp;$B1013,MemKey,0))</f>
        <v/>
      </c>
      <c r="I1013" s="14">
        <f>INDEX(VarUnit,MATCH($A1013,VarKey,0))</f>
        <v/>
      </c>
      <c r="J1013" s="14">
        <f>INDEX(VarSrc,MATCH($A1013,VarKey,0))</f>
        <v/>
      </c>
      <c r="K1013" s="11">
        <f>CodePrefix&amp;$A1013&amp;IF($C1013="","","."&amp;$C1013&amp;"."&amp;$B1013)&amp;INDEX(VarEnd,MATCH($A1013,VarKey,0))&amp;K$5</f>
        <v/>
      </c>
      <c r="L1013" s="40">
        <f>INDEX(L$263:L$279,$F1013)*$D1013*INDEX(L$23:L$30,$E1013)</f>
        <v/>
      </c>
      <c r="M1013" s="35">
        <f>INDEX(M$263:M$279,$F1013)*$D1013*INDEX(M$23:M$30,$E1013)</f>
        <v/>
      </c>
      <c r="N1013" s="35">
        <f>INDEX(N$263:N$279,$F1013)*$D1013*INDEX(N$23:N$30,$E1013)</f>
        <v/>
      </c>
      <c r="O1013" s="35">
        <f>INDEX(O$263:O$279,$F1013)*$D1013*INDEX(O$23:O$30,$E1013)</f>
        <v/>
      </c>
      <c r="P1013" s="35">
        <f>INDEX(P$263:P$279,$F1013)*$D1013*INDEX(P$23:P$30,$E1013)</f>
        <v/>
      </c>
      <c r="Q1013" s="35">
        <f>INDEX(Q$263:Q$279,$F1013)*$D1013*INDEX(Q$23:Q$30,$E1013)</f>
        <v/>
      </c>
      <c r="R1013" s="35">
        <f>INDEX(R$263:R$279,$F1013)*$D1013*INDEX(R$23:R$30,$E1013)</f>
        <v/>
      </c>
      <c r="S1013" s="35">
        <f>INDEX(S$263:S$279,$F1013)*$D1013*INDEX(S$23:S$30,$E1013)</f>
        <v/>
      </c>
      <c r="T1013" s="35">
        <f>INDEX(T$263:T$279,$F1013)*$D1013*INDEX(T$23:T$30,$E1013)</f>
        <v/>
      </c>
      <c r="U1013" s="35">
        <f>INDEX(U$263:U$279,$F1013)*$D1013*INDEX(U$23:U$30,$E1013)</f>
        <v/>
      </c>
      <c r="V1013" s="35">
        <f>INDEX(V$263:V$279,$F1013)*$D1013*INDEX(V$23:V$30,$E1013)</f>
        <v/>
      </c>
      <c r="W1013" s="35">
        <f>INDEX(W$263:W$279,$F1013)*$D1013*INDEX(W$23:W$30,$E1013)</f>
        <v/>
      </c>
      <c r="X1013" s="35">
        <f>INDEX(X$263:X$279,$F1013)*$D1013*INDEX(X$23:X$30,$E1013)</f>
        <v/>
      </c>
      <c r="Y1013" s="35">
        <f>INDEX(Y$263:Y$279,$F1013)*$D1013*INDEX(Y$23:Y$30,$E1013)</f>
        <v/>
      </c>
      <c r="Z1013" s="35">
        <f>INDEX(Z$263:Z$279,$F1013)*$D1013*INDEX(Z$23:Z$30,$E1013)</f>
        <v/>
      </c>
      <c r="AA1013" s="35">
        <f>INDEX(AA$263:AA$279,$F1013)*$D1013*INDEX(AA$23:AA$30,$E1013)</f>
        <v/>
      </c>
      <c r="AB1013" s="35">
        <f>INDEX(AB$263:AB$279,$F1013)*$D1013*INDEX(AB$23:AB$30,$E1013)</f>
        <v/>
      </c>
      <c r="AC1013" s="35">
        <f>INDEX(AC$263:AC$279,$F1013)*$D1013*INDEX(AC$23:AC$30,$E1013)</f>
        <v/>
      </c>
      <c r="AD1013" s="35">
        <f>INDEX(AD$263:AD$279,$F1013)*$D1013*INDEX(AD$23:AD$30,$E1013)</f>
        <v/>
      </c>
      <c r="AE1013" s="42">
        <f>CARBONTAX(INDEX(AE$263:AE$279,$F1013),$D1013,INDEX(AE$23:AE$30,$E1013))</f>
        <v/>
      </c>
      <c r="AG1013" s="11">
        <f>CodePrefix&amp;$A1013&amp;IF($C1013="","","."&amp;$C1013&amp;"."&amp;$B1013)&amp;INDEX(VarEnd,MATCH($A1013,VarKey,0))&amp;AG$5</f>
        <v/>
      </c>
      <c r="AH1013" s="40">
        <f>INDEX(AH$263:AH$279,$F1013)*$D1013*INDEX(AH$23:AH$30,$E1013)</f>
        <v/>
      </c>
      <c r="AI1013" s="35">
        <f>INDEX(AI$263:AI$279,$F1013)*$D1013*INDEX(AI$23:AI$30,$E1013)</f>
        <v/>
      </c>
      <c r="AJ1013" s="35">
        <f>INDEX(AJ$263:AJ$279,$F1013)*$D1013*INDEX(AJ$23:AJ$30,$E1013)</f>
        <v/>
      </c>
      <c r="AK1013" s="35">
        <f>INDEX(AK$263:AK$279,$F1013)*$D1013*INDEX(AK$23:AK$30,$E1013)</f>
        <v/>
      </c>
      <c r="AL1013" s="35">
        <f>INDEX(AL$263:AL$279,$F1013)*$D1013*INDEX(AL$23:AL$30,$E1013)</f>
        <v/>
      </c>
      <c r="AM1013" s="35">
        <f>INDEX(AM$263:AM$279,$F1013)*$D1013*INDEX(AM$23:AM$30,$E1013)</f>
        <v/>
      </c>
      <c r="AN1013" s="35">
        <f>INDEX(AN$263:AN$279,$F1013)*$D1013*INDEX(AN$23:AN$30,$E1013)</f>
        <v/>
      </c>
      <c r="AO1013" s="35">
        <f>INDEX(AO$263:AO$279,$F1013)*$D1013*INDEX(AO$23:AO$30,$E1013)</f>
        <v/>
      </c>
      <c r="AP1013" s="35">
        <f>INDEX(AP$263:AP$279,$F1013)*$D1013*INDEX(AP$23:AP$30,$E1013)</f>
        <v/>
      </c>
      <c r="AQ1013" s="35">
        <f>INDEX(AQ$263:AQ$279,$F1013)*$D1013*INDEX(AQ$23:AQ$30,$E1013)</f>
        <v/>
      </c>
      <c r="AR1013" s="35">
        <f>INDEX(AR$263:AR$279,$F1013)*$D1013*INDEX(AR$23:AR$30,$E1013)</f>
        <v/>
      </c>
      <c r="AS1013" s="35">
        <f>INDEX(AS$263:AS$279,$F1013)*$D1013*INDEX(AS$23:AS$30,$E1013)</f>
        <v/>
      </c>
      <c r="AT1013" s="35">
        <f>INDEX(AT$263:AT$279,$F1013)*$D1013*INDEX(AT$23:AT$30,$E1013)</f>
        <v/>
      </c>
      <c r="AU1013" s="35">
        <f>INDEX(AU$263:AU$279,$F1013)*$D1013*INDEX(AU$23:AU$30,$E1013)</f>
        <v/>
      </c>
      <c r="AV1013" s="35">
        <f>INDEX(AV$263:AV$279,$F1013)*$D1013*INDEX(AV$23:AV$30,$E1013)</f>
        <v/>
      </c>
      <c r="AW1013" s="35">
        <f>INDEX(AW$263:AW$279,$F1013)*$D1013*INDEX(AW$23:AW$30,$E1013)</f>
        <v/>
      </c>
      <c r="AX1013" s="35">
        <f>INDEX(AX$263:AX$279,$F1013)*$D1013*INDEX(AX$23:AX$30,$E1013)</f>
        <v/>
      </c>
      <c r="AY1013" s="35">
        <f>INDEX(AY$263:AY$279,$F1013)*$D1013*INDEX(AY$23:AY$30,$E1013)</f>
        <v/>
      </c>
      <c r="AZ1013" s="35">
        <f>INDEX(AZ$263:AZ$279,$F1013)*$D1013*INDEX(AZ$23:AZ$30,$E1013)</f>
        <v/>
      </c>
      <c r="BA1013" s="42">
        <f>CARBONTAX(INDEX(BA$263:BA$279,$F1013),$D1013,INDEX(BA$23:BA$30,$E1013))</f>
        <v/>
      </c>
    </row>
    <row r="1014" hidden="1" outlineLevel="2">
      <c r="A1014" s="14" t="inlineStr">
        <is>
          <t>ctxnew</t>
        </is>
      </c>
      <c r="B1014" s="14" t="inlineStr">
        <is>
          <t>bio</t>
        </is>
      </c>
      <c r="C1014" s="14" t="inlineStr">
        <is>
          <t>rod</t>
        </is>
      </c>
      <c r="D1014" s="35">
        <f>INDEX(Inputs!$W$5:$W$132,MATCH($B1014&amp;"|"&amp;$C1014,Inputs!$A$5:$A$132,0))</f>
        <v/>
      </c>
      <c r="E1014" s="35">
        <f>INDEX(Inputs!$L$5:$L$132,MATCH($B1014&amp;"|"&amp;$C1014,Inputs!$A$5:$A$132,0))</f>
        <v/>
      </c>
      <c r="F1014" s="35">
        <f>INDEX(Inputs!$M$5:$M$132,MATCH($B1014&amp;"|"&amp;$C1014,Inputs!$A$5:$A$132,0))</f>
        <v/>
      </c>
      <c r="G1014" s="39" t="n"/>
      <c r="H1014" s="14">
        <f>INDEX(VarLab,MATCH($A1014,VarKey,0))&amp;INDEX(MemLab,MATCH($C1014&amp;"|"&amp;$B1014,MemKey,0))</f>
        <v/>
      </c>
      <c r="I1014" s="14">
        <f>INDEX(VarUnit,MATCH($A1014,VarKey,0))</f>
        <v/>
      </c>
      <c r="J1014" s="14">
        <f>INDEX(VarSrc,MATCH($A1014,VarKey,0))</f>
        <v/>
      </c>
      <c r="K1014" s="11">
        <f>CodePrefix&amp;$A1014&amp;IF($C1014="","","."&amp;$C1014&amp;"."&amp;$B1014)&amp;INDEX(VarEnd,MATCH($A1014,VarKey,0))&amp;K$5</f>
        <v/>
      </c>
      <c r="L1014" s="40">
        <f>INDEX(L$263:L$279,$F1014)*$D1014*INDEX(L$23:L$30,$E1014)</f>
        <v/>
      </c>
      <c r="M1014" s="35">
        <f>INDEX(M$263:M$279,$F1014)*$D1014*INDEX(M$23:M$30,$E1014)</f>
        <v/>
      </c>
      <c r="N1014" s="35">
        <f>INDEX(N$263:N$279,$F1014)*$D1014*INDEX(N$23:N$30,$E1014)</f>
        <v/>
      </c>
      <c r="O1014" s="35">
        <f>INDEX(O$263:O$279,$F1014)*$D1014*INDEX(O$23:O$30,$E1014)</f>
        <v/>
      </c>
      <c r="P1014" s="35">
        <f>INDEX(P$263:P$279,$F1014)*$D1014*INDEX(P$23:P$30,$E1014)</f>
        <v/>
      </c>
      <c r="Q1014" s="35">
        <f>INDEX(Q$263:Q$279,$F1014)*$D1014*INDEX(Q$23:Q$30,$E1014)</f>
        <v/>
      </c>
      <c r="R1014" s="35">
        <f>INDEX(R$263:R$279,$F1014)*$D1014*INDEX(R$23:R$30,$E1014)</f>
        <v/>
      </c>
      <c r="S1014" s="35">
        <f>INDEX(S$263:S$279,$F1014)*$D1014*INDEX(S$23:S$30,$E1014)</f>
        <v/>
      </c>
      <c r="T1014" s="35">
        <f>INDEX(T$263:T$279,$F1014)*$D1014*INDEX(T$23:T$30,$E1014)</f>
        <v/>
      </c>
      <c r="U1014" s="35">
        <f>INDEX(U$263:U$279,$F1014)*$D1014*INDEX(U$23:U$30,$E1014)</f>
        <v/>
      </c>
      <c r="V1014" s="35">
        <f>INDEX(V$263:V$279,$F1014)*$D1014*INDEX(V$23:V$30,$E1014)</f>
        <v/>
      </c>
      <c r="W1014" s="35">
        <f>INDEX(W$263:W$279,$F1014)*$D1014*INDEX(W$23:W$30,$E1014)</f>
        <v/>
      </c>
      <c r="X1014" s="35">
        <f>INDEX(X$263:X$279,$F1014)*$D1014*INDEX(X$23:X$30,$E1014)</f>
        <v/>
      </c>
      <c r="Y1014" s="35">
        <f>INDEX(Y$263:Y$279,$F1014)*$D1014*INDEX(Y$23:Y$30,$E1014)</f>
        <v/>
      </c>
      <c r="Z1014" s="35">
        <f>INDEX(Z$263:Z$279,$F1014)*$D1014*INDEX(Z$23:Z$30,$E1014)</f>
        <v/>
      </c>
      <c r="AA1014" s="35">
        <f>INDEX(AA$263:AA$279,$F1014)*$D1014*INDEX(AA$23:AA$30,$E1014)</f>
        <v/>
      </c>
      <c r="AB1014" s="35">
        <f>INDEX(AB$263:AB$279,$F1014)*$D1014*INDEX(AB$23:AB$30,$E1014)</f>
        <v/>
      </c>
      <c r="AC1014" s="35">
        <f>INDEX(AC$263:AC$279,$F1014)*$D1014*INDEX(AC$23:AC$30,$E1014)</f>
        <v/>
      </c>
      <c r="AD1014" s="35">
        <f>INDEX(AD$263:AD$279,$F1014)*$D1014*INDEX(AD$23:AD$30,$E1014)</f>
        <v/>
      </c>
      <c r="AE1014" s="42">
        <f>CARBONTAX(INDEX(AE$263:AE$279,$F1014),$D1014,INDEX(AE$23:AE$30,$E1014))</f>
        <v/>
      </c>
      <c r="AG1014" s="11">
        <f>CodePrefix&amp;$A1014&amp;IF($C1014="","","."&amp;$C1014&amp;"."&amp;$B1014)&amp;INDEX(VarEnd,MATCH($A1014,VarKey,0))&amp;AG$5</f>
        <v/>
      </c>
      <c r="AH1014" s="40">
        <f>INDEX(AH$263:AH$279,$F1014)*$D1014*INDEX(AH$23:AH$30,$E1014)</f>
        <v/>
      </c>
      <c r="AI1014" s="35">
        <f>INDEX(AI$263:AI$279,$F1014)*$D1014*INDEX(AI$23:AI$30,$E1014)</f>
        <v/>
      </c>
      <c r="AJ1014" s="35">
        <f>INDEX(AJ$263:AJ$279,$F1014)*$D1014*INDEX(AJ$23:AJ$30,$E1014)</f>
        <v/>
      </c>
      <c r="AK1014" s="35">
        <f>INDEX(AK$263:AK$279,$F1014)*$D1014*INDEX(AK$23:AK$30,$E1014)</f>
        <v/>
      </c>
      <c r="AL1014" s="35">
        <f>INDEX(AL$263:AL$279,$F1014)*$D1014*INDEX(AL$23:AL$30,$E1014)</f>
        <v/>
      </c>
      <c r="AM1014" s="35">
        <f>INDEX(AM$263:AM$279,$F1014)*$D1014*INDEX(AM$23:AM$30,$E1014)</f>
        <v/>
      </c>
      <c r="AN1014" s="35">
        <f>INDEX(AN$263:AN$279,$F1014)*$D1014*INDEX(AN$23:AN$30,$E1014)</f>
        <v/>
      </c>
      <c r="AO1014" s="35">
        <f>INDEX(AO$263:AO$279,$F1014)*$D1014*INDEX(AO$23:AO$30,$E1014)</f>
        <v/>
      </c>
      <c r="AP1014" s="35">
        <f>INDEX(AP$263:AP$279,$F1014)*$D1014*INDEX(AP$23:AP$30,$E1014)</f>
        <v/>
      </c>
      <c r="AQ1014" s="35">
        <f>INDEX(AQ$263:AQ$279,$F1014)*$D1014*INDEX(AQ$23:AQ$30,$E1014)</f>
        <v/>
      </c>
      <c r="AR1014" s="35">
        <f>INDEX(AR$263:AR$279,$F1014)*$D1014*INDEX(AR$23:AR$30,$E1014)</f>
        <v/>
      </c>
      <c r="AS1014" s="35">
        <f>INDEX(AS$263:AS$279,$F1014)*$D1014*INDEX(AS$23:AS$30,$E1014)</f>
        <v/>
      </c>
      <c r="AT1014" s="35">
        <f>INDEX(AT$263:AT$279,$F1014)*$D1014*INDEX(AT$23:AT$30,$E1014)</f>
        <v/>
      </c>
      <c r="AU1014" s="35">
        <f>INDEX(AU$263:AU$279,$F1014)*$D1014*INDEX(AU$23:AU$30,$E1014)</f>
        <v/>
      </c>
      <c r="AV1014" s="35">
        <f>INDEX(AV$263:AV$279,$F1014)*$D1014*INDEX(AV$23:AV$30,$E1014)</f>
        <v/>
      </c>
      <c r="AW1014" s="35">
        <f>INDEX(AW$263:AW$279,$F1014)*$D1014*INDEX(AW$23:AW$30,$E1014)</f>
        <v/>
      </c>
      <c r="AX1014" s="35">
        <f>INDEX(AX$263:AX$279,$F1014)*$D1014*INDEX(AX$23:AX$30,$E1014)</f>
        <v/>
      </c>
      <c r="AY1014" s="35">
        <f>INDEX(AY$263:AY$279,$F1014)*$D1014*INDEX(AY$23:AY$30,$E1014)</f>
        <v/>
      </c>
      <c r="AZ1014" s="35">
        <f>INDEX(AZ$263:AZ$279,$F1014)*$D1014*INDEX(AZ$23:AZ$30,$E1014)</f>
        <v/>
      </c>
      <c r="BA1014" s="42">
        <f>CARBONTAX(INDEX(BA$263:BA$279,$F1014),$D1014,INDEX(BA$23:BA$30,$E1014))</f>
        <v/>
      </c>
    </row>
    <row r="1015" hidden="1" outlineLevel="2"/>
    <row r="1016" hidden="1" outlineLevel="2">
      <c r="A1016" s="14" t="inlineStr">
        <is>
          <t>ets</t>
        </is>
      </c>
      <c r="B1016" s="14" t="inlineStr">
        <is>
          <t>coa</t>
        </is>
      </c>
      <c r="C1016" s="14" t="inlineStr">
        <is>
          <t>rod</t>
        </is>
      </c>
      <c r="D1016" s="35">
        <f>INDEX(Inputs!$W$5:$W$132,MATCH($B1016&amp;"|"&amp;$C1016,Inputs!$A$5:$A$132,0))</f>
        <v/>
      </c>
      <c r="E1016" s="35">
        <f>INDEX(Inputs!$M$5:$M$132,MATCH($B1016&amp;"|"&amp;$C1016,Inputs!$A$5:$A$132,0))</f>
        <v/>
      </c>
      <c r="F1016" s="39" t="n"/>
      <c r="G1016" s="39" t="n"/>
      <c r="H1016" s="14">
        <f>INDEX(VarLab,MATCH($A1016,VarKey,0))&amp;INDEX(MemLab,MATCH($C1016&amp;"|"&amp;$B1016,MemKey,0))</f>
        <v/>
      </c>
      <c r="I1016" s="14">
        <f>INDEX(VarUnit,MATCH($A1016,VarKey,0))</f>
        <v/>
      </c>
      <c r="J1016" s="14">
        <f>INDEX(VarSrc,MATCH($A1016,VarKey,0))</f>
        <v/>
      </c>
      <c r="K1016" s="11">
        <f>CodePrefix&amp;$A1016&amp;IF($C1016="","","."&amp;$C1016&amp;"."&amp;$B1016)&amp;INDEX(VarEnd,MATCH($A1016,VarKey,0))&amp;K$5</f>
        <v/>
      </c>
      <c r="L1016" s="40">
        <f>INDEX(L$280:L$296,$E1016)*$D1016</f>
        <v/>
      </c>
      <c r="M1016" s="35">
        <f>INDEX(M$280:M$296,$E1016)*$D1016</f>
        <v/>
      </c>
      <c r="N1016" s="35">
        <f>INDEX(N$280:N$296,$E1016)*$D1016</f>
        <v/>
      </c>
      <c r="O1016" s="35">
        <f>INDEX(O$280:O$296,$E1016)*$D1016</f>
        <v/>
      </c>
      <c r="P1016" s="35">
        <f>INDEX(P$280:P$296,$E1016)*$D1016</f>
        <v/>
      </c>
      <c r="Q1016" s="35">
        <f>INDEX(Q$280:Q$296,$E1016)*$D1016</f>
        <v/>
      </c>
      <c r="R1016" s="35">
        <f>INDEX(R$280:R$296,$E1016)*$D1016</f>
        <v/>
      </c>
      <c r="S1016" s="35">
        <f>INDEX(S$280:S$296,$E1016)*$D1016</f>
        <v/>
      </c>
      <c r="T1016" s="35">
        <f>INDEX(T$280:T$296,$E1016)*$D1016</f>
        <v/>
      </c>
      <c r="U1016" s="35">
        <f>INDEX(U$280:U$296,$E1016)*$D1016</f>
        <v/>
      </c>
      <c r="V1016" s="35">
        <f>INDEX(V$280:V$296,$E1016)*$D1016</f>
        <v/>
      </c>
      <c r="W1016" s="35">
        <f>INDEX(W$280:W$296,$E1016)*$D1016</f>
        <v/>
      </c>
      <c r="X1016" s="35">
        <f>INDEX(X$280:X$296,$E1016)*$D1016</f>
        <v/>
      </c>
      <c r="Y1016" s="35">
        <f>INDEX(Y$280:Y$296,$E1016)*$D1016</f>
        <v/>
      </c>
      <c r="Z1016" s="35">
        <f>INDEX(Z$280:Z$296,$E1016)*$D1016</f>
        <v/>
      </c>
      <c r="AA1016" s="35">
        <f>INDEX(AA$280:AA$296,$E1016)*$D1016</f>
        <v/>
      </c>
      <c r="AB1016" s="35">
        <f>INDEX(AB$280:AB$296,$E1016)*$D1016</f>
        <v/>
      </c>
      <c r="AC1016" s="35">
        <f>INDEX(AC$280:AC$296,$E1016)*$D1016</f>
        <v/>
      </c>
      <c r="AD1016" s="35">
        <f>INDEX(AD$280:AD$296,$E1016)*$D1016</f>
        <v/>
      </c>
      <c r="AE1016" s="42">
        <f>ETSCOST(INDEX(AE$280:AE$296,$E1016),$D1016)</f>
        <v/>
      </c>
      <c r="AG1016" s="11">
        <f>CodePrefix&amp;$A1016&amp;IF($C1016="","","."&amp;$C1016&amp;"."&amp;$B1016)&amp;INDEX(VarEnd,MATCH($A1016,VarKey,0))&amp;AG$5</f>
        <v/>
      </c>
      <c r="AH1016" s="40">
        <f>INDEX(AH$280:AH$296,$E1016)*$D1016</f>
        <v/>
      </c>
      <c r="AI1016" s="35">
        <f>INDEX(AI$280:AI$296,$E1016)*$D1016</f>
        <v/>
      </c>
      <c r="AJ1016" s="35">
        <f>INDEX(AJ$280:AJ$296,$E1016)*$D1016</f>
        <v/>
      </c>
      <c r="AK1016" s="35">
        <f>INDEX(AK$280:AK$296,$E1016)*$D1016</f>
        <v/>
      </c>
      <c r="AL1016" s="35">
        <f>INDEX(AL$280:AL$296,$E1016)*$D1016</f>
        <v/>
      </c>
      <c r="AM1016" s="35">
        <f>INDEX(AM$280:AM$296,$E1016)*$D1016</f>
        <v/>
      </c>
      <c r="AN1016" s="35">
        <f>INDEX(AN$280:AN$296,$E1016)*$D1016</f>
        <v/>
      </c>
      <c r="AO1016" s="35">
        <f>INDEX(AO$280:AO$296,$E1016)*$D1016</f>
        <v/>
      </c>
      <c r="AP1016" s="35">
        <f>INDEX(AP$280:AP$296,$E1016)*$D1016</f>
        <v/>
      </c>
      <c r="AQ1016" s="35">
        <f>INDEX(AQ$280:AQ$296,$E1016)*$D1016</f>
        <v/>
      </c>
      <c r="AR1016" s="35">
        <f>INDEX(AR$280:AR$296,$E1016)*$D1016</f>
        <v/>
      </c>
      <c r="AS1016" s="35">
        <f>INDEX(AS$280:AS$296,$E1016)*$D1016</f>
        <v/>
      </c>
      <c r="AT1016" s="35">
        <f>INDEX(AT$280:AT$296,$E1016)*$D1016</f>
        <v/>
      </c>
      <c r="AU1016" s="35">
        <f>INDEX(AU$280:AU$296,$E1016)*$D1016</f>
        <v/>
      </c>
      <c r="AV1016" s="35">
        <f>INDEX(AV$280:AV$296,$E1016)*$D1016</f>
        <v/>
      </c>
      <c r="AW1016" s="35">
        <f>INDEX(AW$280:AW$296,$E1016)*$D1016</f>
        <v/>
      </c>
      <c r="AX1016" s="35">
        <f>INDEX(AX$280:AX$296,$E1016)*$D1016</f>
        <v/>
      </c>
      <c r="AY1016" s="35">
        <f>INDEX(AY$280:AY$296,$E1016)*$D1016</f>
        <v/>
      </c>
      <c r="AZ1016" s="35">
        <f>INDEX(AZ$280:AZ$296,$E1016)*$D1016</f>
        <v/>
      </c>
      <c r="BA1016" s="42">
        <f>ETSCOST(INDEX(BA$280:BA$296,$E1016),$D1016)</f>
        <v/>
      </c>
    </row>
    <row r="1017" hidden="1" outlineLevel="2">
      <c r="A1017" s="14" t="inlineStr">
        <is>
          <t>ets</t>
        </is>
      </c>
      <c r="B1017" s="14" t="inlineStr">
        <is>
          <t>nga</t>
        </is>
      </c>
      <c r="C1017" s="14" t="inlineStr">
        <is>
          <t>rod</t>
        </is>
      </c>
      <c r="D1017" s="35">
        <f>INDEX(Inputs!$W$5:$W$132,MATCH($B1017&amp;"|"&amp;$C1017,Inputs!$A$5:$A$132,0))</f>
        <v/>
      </c>
      <c r="E1017" s="35">
        <f>INDEX(Inputs!$M$5:$M$132,MATCH($B1017&amp;"|"&amp;$C1017,Inputs!$A$5:$A$132,0))</f>
        <v/>
      </c>
      <c r="F1017" s="39" t="n"/>
      <c r="G1017" s="39" t="n"/>
      <c r="H1017" s="14">
        <f>INDEX(VarLab,MATCH($A1017,VarKey,0))&amp;INDEX(MemLab,MATCH($C1017&amp;"|"&amp;$B1017,MemKey,0))</f>
        <v/>
      </c>
      <c r="I1017" s="14">
        <f>INDEX(VarUnit,MATCH($A1017,VarKey,0))</f>
        <v/>
      </c>
      <c r="J1017" s="14">
        <f>INDEX(VarSrc,MATCH($A1017,VarKey,0))</f>
        <v/>
      </c>
      <c r="K1017" s="11">
        <f>CodePrefix&amp;$A1017&amp;IF($C1017="","","."&amp;$C1017&amp;"."&amp;$B1017)&amp;INDEX(VarEnd,MATCH($A1017,VarKey,0))&amp;K$5</f>
        <v/>
      </c>
      <c r="L1017" s="40">
        <f>INDEX(L$280:L$296,$E1017)*$D1017</f>
        <v/>
      </c>
      <c r="M1017" s="35">
        <f>INDEX(M$280:M$296,$E1017)*$D1017</f>
        <v/>
      </c>
      <c r="N1017" s="35">
        <f>INDEX(N$280:N$296,$E1017)*$D1017</f>
        <v/>
      </c>
      <c r="O1017" s="35">
        <f>INDEX(O$280:O$296,$E1017)*$D1017</f>
        <v/>
      </c>
      <c r="P1017" s="35">
        <f>INDEX(P$280:P$296,$E1017)*$D1017</f>
        <v/>
      </c>
      <c r="Q1017" s="35">
        <f>INDEX(Q$280:Q$296,$E1017)*$D1017</f>
        <v/>
      </c>
      <c r="R1017" s="35">
        <f>INDEX(R$280:R$296,$E1017)*$D1017</f>
        <v/>
      </c>
      <c r="S1017" s="35">
        <f>INDEX(S$280:S$296,$E1017)*$D1017</f>
        <v/>
      </c>
      <c r="T1017" s="35">
        <f>INDEX(T$280:T$296,$E1017)*$D1017</f>
        <v/>
      </c>
      <c r="U1017" s="35">
        <f>INDEX(U$280:U$296,$E1017)*$D1017</f>
        <v/>
      </c>
      <c r="V1017" s="35">
        <f>INDEX(V$280:V$296,$E1017)*$D1017</f>
        <v/>
      </c>
      <c r="W1017" s="35">
        <f>INDEX(W$280:W$296,$E1017)*$D1017</f>
        <v/>
      </c>
      <c r="X1017" s="35">
        <f>INDEX(X$280:X$296,$E1017)*$D1017</f>
        <v/>
      </c>
      <c r="Y1017" s="35">
        <f>INDEX(Y$280:Y$296,$E1017)*$D1017</f>
        <v/>
      </c>
      <c r="Z1017" s="35">
        <f>INDEX(Z$280:Z$296,$E1017)*$D1017</f>
        <v/>
      </c>
      <c r="AA1017" s="35">
        <f>INDEX(AA$280:AA$296,$E1017)*$D1017</f>
        <v/>
      </c>
      <c r="AB1017" s="35">
        <f>INDEX(AB$280:AB$296,$E1017)*$D1017</f>
        <v/>
      </c>
      <c r="AC1017" s="35">
        <f>INDEX(AC$280:AC$296,$E1017)*$D1017</f>
        <v/>
      </c>
      <c r="AD1017" s="35">
        <f>INDEX(AD$280:AD$296,$E1017)*$D1017</f>
        <v/>
      </c>
      <c r="AE1017" s="42">
        <f>ETSCOST(INDEX(AE$280:AE$296,$E1017),$D1017)</f>
        <v/>
      </c>
      <c r="AG1017" s="11">
        <f>CodePrefix&amp;$A1017&amp;IF($C1017="","","."&amp;$C1017&amp;"."&amp;$B1017)&amp;INDEX(VarEnd,MATCH($A1017,VarKey,0))&amp;AG$5</f>
        <v/>
      </c>
      <c r="AH1017" s="40">
        <f>INDEX(AH$280:AH$296,$E1017)*$D1017</f>
        <v/>
      </c>
      <c r="AI1017" s="35">
        <f>INDEX(AI$280:AI$296,$E1017)*$D1017</f>
        <v/>
      </c>
      <c r="AJ1017" s="35">
        <f>INDEX(AJ$280:AJ$296,$E1017)*$D1017</f>
        <v/>
      </c>
      <c r="AK1017" s="35">
        <f>INDEX(AK$280:AK$296,$E1017)*$D1017</f>
        <v/>
      </c>
      <c r="AL1017" s="35">
        <f>INDEX(AL$280:AL$296,$E1017)*$D1017</f>
        <v/>
      </c>
      <c r="AM1017" s="35">
        <f>INDEX(AM$280:AM$296,$E1017)*$D1017</f>
        <v/>
      </c>
      <c r="AN1017" s="35">
        <f>INDEX(AN$280:AN$296,$E1017)*$D1017</f>
        <v/>
      </c>
      <c r="AO1017" s="35">
        <f>INDEX(AO$280:AO$296,$E1017)*$D1017</f>
        <v/>
      </c>
      <c r="AP1017" s="35">
        <f>INDEX(AP$280:AP$296,$E1017)*$D1017</f>
        <v/>
      </c>
      <c r="AQ1017" s="35">
        <f>INDEX(AQ$280:AQ$296,$E1017)*$D1017</f>
        <v/>
      </c>
      <c r="AR1017" s="35">
        <f>INDEX(AR$280:AR$296,$E1017)*$D1017</f>
        <v/>
      </c>
      <c r="AS1017" s="35">
        <f>INDEX(AS$280:AS$296,$E1017)*$D1017</f>
        <v/>
      </c>
      <c r="AT1017" s="35">
        <f>INDEX(AT$280:AT$296,$E1017)*$D1017</f>
        <v/>
      </c>
      <c r="AU1017" s="35">
        <f>INDEX(AU$280:AU$296,$E1017)*$D1017</f>
        <v/>
      </c>
      <c r="AV1017" s="35">
        <f>INDEX(AV$280:AV$296,$E1017)*$D1017</f>
        <v/>
      </c>
      <c r="AW1017" s="35">
        <f>INDEX(AW$280:AW$296,$E1017)*$D1017</f>
        <v/>
      </c>
      <c r="AX1017" s="35">
        <f>INDEX(AX$280:AX$296,$E1017)*$D1017</f>
        <v/>
      </c>
      <c r="AY1017" s="35">
        <f>INDEX(AY$280:AY$296,$E1017)*$D1017</f>
        <v/>
      </c>
      <c r="AZ1017" s="35">
        <f>INDEX(AZ$280:AZ$296,$E1017)*$D1017</f>
        <v/>
      </c>
      <c r="BA1017" s="42">
        <f>ETSCOST(INDEX(BA$280:BA$296,$E1017),$D1017)</f>
        <v/>
      </c>
    </row>
    <row r="1018" hidden="1" outlineLevel="2">
      <c r="A1018" s="14" t="inlineStr">
        <is>
          <t>ets</t>
        </is>
      </c>
      <c r="B1018" s="14" t="inlineStr">
        <is>
          <t>gso</t>
        </is>
      </c>
      <c r="C1018" s="14" t="inlineStr">
        <is>
          <t>rod</t>
        </is>
      </c>
      <c r="D1018" s="35">
        <f>INDEX(Inputs!$W$5:$W$132,MATCH($B1018&amp;"|"&amp;$C1018,Inputs!$A$5:$A$132,0))</f>
        <v/>
      </c>
      <c r="E1018" s="35">
        <f>INDEX(Inputs!$M$5:$M$132,MATCH($B1018&amp;"|"&amp;$C1018,Inputs!$A$5:$A$132,0))</f>
        <v/>
      </c>
      <c r="F1018" s="39" t="n"/>
      <c r="G1018" s="39" t="n"/>
      <c r="H1018" s="14">
        <f>INDEX(VarLab,MATCH($A1018,VarKey,0))&amp;INDEX(MemLab,MATCH($C1018&amp;"|"&amp;$B1018,MemKey,0))</f>
        <v/>
      </c>
      <c r="I1018" s="14">
        <f>INDEX(VarUnit,MATCH($A1018,VarKey,0))</f>
        <v/>
      </c>
      <c r="J1018" s="14">
        <f>INDEX(VarSrc,MATCH($A1018,VarKey,0))</f>
        <v/>
      </c>
      <c r="K1018" s="11">
        <f>CodePrefix&amp;$A1018&amp;IF($C1018="","","."&amp;$C1018&amp;"."&amp;$B1018)&amp;INDEX(VarEnd,MATCH($A1018,VarKey,0))&amp;K$5</f>
        <v/>
      </c>
      <c r="L1018" s="40">
        <f>INDEX(L$280:L$296,$E1018)*$D1018</f>
        <v/>
      </c>
      <c r="M1018" s="35">
        <f>INDEX(M$280:M$296,$E1018)*$D1018</f>
        <v/>
      </c>
      <c r="N1018" s="35">
        <f>INDEX(N$280:N$296,$E1018)*$D1018</f>
        <v/>
      </c>
      <c r="O1018" s="35">
        <f>INDEX(O$280:O$296,$E1018)*$D1018</f>
        <v/>
      </c>
      <c r="P1018" s="35">
        <f>INDEX(P$280:P$296,$E1018)*$D1018</f>
        <v/>
      </c>
      <c r="Q1018" s="35">
        <f>INDEX(Q$280:Q$296,$E1018)*$D1018</f>
        <v/>
      </c>
      <c r="R1018" s="35">
        <f>INDEX(R$280:R$296,$E1018)*$D1018</f>
        <v/>
      </c>
      <c r="S1018" s="35">
        <f>INDEX(S$280:S$296,$E1018)*$D1018</f>
        <v/>
      </c>
      <c r="T1018" s="35">
        <f>INDEX(T$280:T$296,$E1018)*$D1018</f>
        <v/>
      </c>
      <c r="U1018" s="35">
        <f>INDEX(U$280:U$296,$E1018)*$D1018</f>
        <v/>
      </c>
      <c r="V1018" s="35">
        <f>INDEX(V$280:V$296,$E1018)*$D1018</f>
        <v/>
      </c>
      <c r="W1018" s="35">
        <f>INDEX(W$280:W$296,$E1018)*$D1018</f>
        <v/>
      </c>
      <c r="X1018" s="35">
        <f>INDEX(X$280:X$296,$E1018)*$D1018</f>
        <v/>
      </c>
      <c r="Y1018" s="35">
        <f>INDEX(Y$280:Y$296,$E1018)*$D1018</f>
        <v/>
      </c>
      <c r="Z1018" s="35">
        <f>INDEX(Z$280:Z$296,$E1018)*$D1018</f>
        <v/>
      </c>
      <c r="AA1018" s="35">
        <f>INDEX(AA$280:AA$296,$E1018)*$D1018</f>
        <v/>
      </c>
      <c r="AB1018" s="35">
        <f>INDEX(AB$280:AB$296,$E1018)*$D1018</f>
        <v/>
      </c>
      <c r="AC1018" s="35">
        <f>INDEX(AC$280:AC$296,$E1018)*$D1018</f>
        <v/>
      </c>
      <c r="AD1018" s="35">
        <f>INDEX(AD$280:AD$296,$E1018)*$D1018</f>
        <v/>
      </c>
      <c r="AE1018" s="42">
        <f>ETSCOST(INDEX(AE$280:AE$296,$E1018),$D1018)</f>
        <v/>
      </c>
      <c r="AG1018" s="11">
        <f>CodePrefix&amp;$A1018&amp;IF($C1018="","","."&amp;$C1018&amp;"."&amp;$B1018)&amp;INDEX(VarEnd,MATCH($A1018,VarKey,0))&amp;AG$5</f>
        <v/>
      </c>
      <c r="AH1018" s="40">
        <f>INDEX(AH$280:AH$296,$E1018)*$D1018</f>
        <v/>
      </c>
      <c r="AI1018" s="35">
        <f>INDEX(AI$280:AI$296,$E1018)*$D1018</f>
        <v/>
      </c>
      <c r="AJ1018" s="35">
        <f>INDEX(AJ$280:AJ$296,$E1018)*$D1018</f>
        <v/>
      </c>
      <c r="AK1018" s="35">
        <f>INDEX(AK$280:AK$296,$E1018)*$D1018</f>
        <v/>
      </c>
      <c r="AL1018" s="35">
        <f>INDEX(AL$280:AL$296,$E1018)*$D1018</f>
        <v/>
      </c>
      <c r="AM1018" s="35">
        <f>INDEX(AM$280:AM$296,$E1018)*$D1018</f>
        <v/>
      </c>
      <c r="AN1018" s="35">
        <f>INDEX(AN$280:AN$296,$E1018)*$D1018</f>
        <v/>
      </c>
      <c r="AO1018" s="35">
        <f>INDEX(AO$280:AO$296,$E1018)*$D1018</f>
        <v/>
      </c>
      <c r="AP1018" s="35">
        <f>INDEX(AP$280:AP$296,$E1018)*$D1018</f>
        <v/>
      </c>
      <c r="AQ1018" s="35">
        <f>INDEX(AQ$280:AQ$296,$E1018)*$D1018</f>
        <v/>
      </c>
      <c r="AR1018" s="35">
        <f>INDEX(AR$280:AR$296,$E1018)*$D1018</f>
        <v/>
      </c>
      <c r="AS1018" s="35">
        <f>INDEX(AS$280:AS$296,$E1018)*$D1018</f>
        <v/>
      </c>
      <c r="AT1018" s="35">
        <f>INDEX(AT$280:AT$296,$E1018)*$D1018</f>
        <v/>
      </c>
      <c r="AU1018" s="35">
        <f>INDEX(AU$280:AU$296,$E1018)*$D1018</f>
        <v/>
      </c>
      <c r="AV1018" s="35">
        <f>INDEX(AV$280:AV$296,$E1018)*$D1018</f>
        <v/>
      </c>
      <c r="AW1018" s="35">
        <f>INDEX(AW$280:AW$296,$E1018)*$D1018</f>
        <v/>
      </c>
      <c r="AX1018" s="35">
        <f>INDEX(AX$280:AX$296,$E1018)*$D1018</f>
        <v/>
      </c>
      <c r="AY1018" s="35">
        <f>INDEX(AY$280:AY$296,$E1018)*$D1018</f>
        <v/>
      </c>
      <c r="AZ1018" s="35">
        <f>INDEX(AZ$280:AZ$296,$E1018)*$D1018</f>
        <v/>
      </c>
      <c r="BA1018" s="42">
        <f>ETSCOST(INDEX(BA$280:BA$296,$E1018),$D1018)</f>
        <v/>
      </c>
    </row>
    <row r="1019" hidden="1" outlineLevel="2">
      <c r="A1019" s="14" t="inlineStr">
        <is>
          <t>ets</t>
        </is>
      </c>
      <c r="B1019" s="14" t="inlineStr">
        <is>
          <t>die</t>
        </is>
      </c>
      <c r="C1019" s="14" t="inlineStr">
        <is>
          <t>rod</t>
        </is>
      </c>
      <c r="D1019" s="35">
        <f>INDEX(Inputs!$W$5:$W$132,MATCH($B1019&amp;"|"&amp;$C1019,Inputs!$A$5:$A$132,0))</f>
        <v/>
      </c>
      <c r="E1019" s="35">
        <f>INDEX(Inputs!$M$5:$M$132,MATCH($B1019&amp;"|"&amp;$C1019,Inputs!$A$5:$A$132,0))</f>
        <v/>
      </c>
      <c r="F1019" s="39" t="n"/>
      <c r="G1019" s="39" t="n"/>
      <c r="H1019" s="14">
        <f>INDEX(VarLab,MATCH($A1019,VarKey,0))&amp;INDEX(MemLab,MATCH($C1019&amp;"|"&amp;$B1019,MemKey,0))</f>
        <v/>
      </c>
      <c r="I1019" s="14">
        <f>INDEX(VarUnit,MATCH($A1019,VarKey,0))</f>
        <v/>
      </c>
      <c r="J1019" s="14">
        <f>INDEX(VarSrc,MATCH($A1019,VarKey,0))</f>
        <v/>
      </c>
      <c r="K1019" s="11">
        <f>CodePrefix&amp;$A1019&amp;IF($C1019="","","."&amp;$C1019&amp;"."&amp;$B1019)&amp;INDEX(VarEnd,MATCH($A1019,VarKey,0))&amp;K$5</f>
        <v/>
      </c>
      <c r="L1019" s="40">
        <f>INDEX(L$280:L$296,$E1019)*$D1019</f>
        <v/>
      </c>
      <c r="M1019" s="35">
        <f>INDEX(M$280:M$296,$E1019)*$D1019</f>
        <v/>
      </c>
      <c r="N1019" s="35">
        <f>INDEX(N$280:N$296,$E1019)*$D1019</f>
        <v/>
      </c>
      <c r="O1019" s="35">
        <f>INDEX(O$280:O$296,$E1019)*$D1019</f>
        <v/>
      </c>
      <c r="P1019" s="35">
        <f>INDEX(P$280:P$296,$E1019)*$D1019</f>
        <v/>
      </c>
      <c r="Q1019" s="35">
        <f>INDEX(Q$280:Q$296,$E1019)*$D1019</f>
        <v/>
      </c>
      <c r="R1019" s="35">
        <f>INDEX(R$280:R$296,$E1019)*$D1019</f>
        <v/>
      </c>
      <c r="S1019" s="35">
        <f>INDEX(S$280:S$296,$E1019)*$D1019</f>
        <v/>
      </c>
      <c r="T1019" s="35">
        <f>INDEX(T$280:T$296,$E1019)*$D1019</f>
        <v/>
      </c>
      <c r="U1019" s="35">
        <f>INDEX(U$280:U$296,$E1019)*$D1019</f>
        <v/>
      </c>
      <c r="V1019" s="35">
        <f>INDEX(V$280:V$296,$E1019)*$D1019</f>
        <v/>
      </c>
      <c r="W1019" s="35">
        <f>INDEX(W$280:W$296,$E1019)*$D1019</f>
        <v/>
      </c>
      <c r="X1019" s="35">
        <f>INDEX(X$280:X$296,$E1019)*$D1019</f>
        <v/>
      </c>
      <c r="Y1019" s="35">
        <f>INDEX(Y$280:Y$296,$E1019)*$D1019</f>
        <v/>
      </c>
      <c r="Z1019" s="35">
        <f>INDEX(Z$280:Z$296,$E1019)*$D1019</f>
        <v/>
      </c>
      <c r="AA1019" s="35">
        <f>INDEX(AA$280:AA$296,$E1019)*$D1019</f>
        <v/>
      </c>
      <c r="AB1019" s="35">
        <f>INDEX(AB$280:AB$296,$E1019)*$D1019</f>
        <v/>
      </c>
      <c r="AC1019" s="35">
        <f>INDEX(AC$280:AC$296,$E1019)*$D1019</f>
        <v/>
      </c>
      <c r="AD1019" s="35">
        <f>INDEX(AD$280:AD$296,$E1019)*$D1019</f>
        <v/>
      </c>
      <c r="AE1019" s="42">
        <f>ETSCOST(INDEX(AE$280:AE$296,$E1019),$D1019)</f>
        <v/>
      </c>
      <c r="AG1019" s="11">
        <f>CodePrefix&amp;$A1019&amp;IF($C1019="","","."&amp;$C1019&amp;"."&amp;$B1019)&amp;INDEX(VarEnd,MATCH($A1019,VarKey,0))&amp;AG$5</f>
        <v/>
      </c>
      <c r="AH1019" s="40">
        <f>INDEX(AH$280:AH$296,$E1019)*$D1019</f>
        <v/>
      </c>
      <c r="AI1019" s="35">
        <f>INDEX(AI$280:AI$296,$E1019)*$D1019</f>
        <v/>
      </c>
      <c r="AJ1019" s="35">
        <f>INDEX(AJ$280:AJ$296,$E1019)*$D1019</f>
        <v/>
      </c>
      <c r="AK1019" s="35">
        <f>INDEX(AK$280:AK$296,$E1019)*$D1019</f>
        <v/>
      </c>
      <c r="AL1019" s="35">
        <f>INDEX(AL$280:AL$296,$E1019)*$D1019</f>
        <v/>
      </c>
      <c r="AM1019" s="35">
        <f>INDEX(AM$280:AM$296,$E1019)*$D1019</f>
        <v/>
      </c>
      <c r="AN1019" s="35">
        <f>INDEX(AN$280:AN$296,$E1019)*$D1019</f>
        <v/>
      </c>
      <c r="AO1019" s="35">
        <f>INDEX(AO$280:AO$296,$E1019)*$D1019</f>
        <v/>
      </c>
      <c r="AP1019" s="35">
        <f>INDEX(AP$280:AP$296,$E1019)*$D1019</f>
        <v/>
      </c>
      <c r="AQ1019" s="35">
        <f>INDEX(AQ$280:AQ$296,$E1019)*$D1019</f>
        <v/>
      </c>
      <c r="AR1019" s="35">
        <f>INDEX(AR$280:AR$296,$E1019)*$D1019</f>
        <v/>
      </c>
      <c r="AS1019" s="35">
        <f>INDEX(AS$280:AS$296,$E1019)*$D1019</f>
        <v/>
      </c>
      <c r="AT1019" s="35">
        <f>INDEX(AT$280:AT$296,$E1019)*$D1019</f>
        <v/>
      </c>
      <c r="AU1019" s="35">
        <f>INDEX(AU$280:AU$296,$E1019)*$D1019</f>
        <v/>
      </c>
      <c r="AV1019" s="35">
        <f>INDEX(AV$280:AV$296,$E1019)*$D1019</f>
        <v/>
      </c>
      <c r="AW1019" s="35">
        <f>INDEX(AW$280:AW$296,$E1019)*$D1019</f>
        <v/>
      </c>
      <c r="AX1019" s="35">
        <f>INDEX(AX$280:AX$296,$E1019)*$D1019</f>
        <v/>
      </c>
      <c r="AY1019" s="35">
        <f>INDEX(AY$280:AY$296,$E1019)*$D1019</f>
        <v/>
      </c>
      <c r="AZ1019" s="35">
        <f>INDEX(AZ$280:AZ$296,$E1019)*$D1019</f>
        <v/>
      </c>
      <c r="BA1019" s="42">
        <f>ETSCOST(INDEX(BA$280:BA$296,$E1019),$D1019)</f>
        <v/>
      </c>
    </row>
    <row r="1020" hidden="1" outlineLevel="2">
      <c r="A1020" s="14" t="inlineStr">
        <is>
          <t>ets</t>
        </is>
      </c>
      <c r="B1020" s="14" t="inlineStr">
        <is>
          <t>lpg</t>
        </is>
      </c>
      <c r="C1020" s="14" t="inlineStr">
        <is>
          <t>rod</t>
        </is>
      </c>
      <c r="D1020" s="35">
        <f>INDEX(Inputs!$W$5:$W$132,MATCH($B1020&amp;"|"&amp;$C1020,Inputs!$A$5:$A$132,0))</f>
        <v/>
      </c>
      <c r="E1020" s="35">
        <f>INDEX(Inputs!$M$5:$M$132,MATCH($B1020&amp;"|"&amp;$C1020,Inputs!$A$5:$A$132,0))</f>
        <v/>
      </c>
      <c r="F1020" s="39" t="n"/>
      <c r="G1020" s="39" t="n"/>
      <c r="H1020" s="14">
        <f>INDEX(VarLab,MATCH($A1020,VarKey,0))&amp;INDEX(MemLab,MATCH($C1020&amp;"|"&amp;$B1020,MemKey,0))</f>
        <v/>
      </c>
      <c r="I1020" s="14">
        <f>INDEX(VarUnit,MATCH($A1020,VarKey,0))</f>
        <v/>
      </c>
      <c r="J1020" s="14">
        <f>INDEX(VarSrc,MATCH($A1020,VarKey,0))</f>
        <v/>
      </c>
      <c r="K1020" s="11">
        <f>CodePrefix&amp;$A1020&amp;IF($C1020="","","."&amp;$C1020&amp;"."&amp;$B1020)&amp;INDEX(VarEnd,MATCH($A1020,VarKey,0))&amp;K$5</f>
        <v/>
      </c>
      <c r="L1020" s="40">
        <f>INDEX(L$280:L$296,$E1020)*$D1020</f>
        <v/>
      </c>
      <c r="M1020" s="35">
        <f>INDEX(M$280:M$296,$E1020)*$D1020</f>
        <v/>
      </c>
      <c r="N1020" s="35">
        <f>INDEX(N$280:N$296,$E1020)*$D1020</f>
        <v/>
      </c>
      <c r="O1020" s="35">
        <f>INDEX(O$280:O$296,$E1020)*$D1020</f>
        <v/>
      </c>
      <c r="P1020" s="35">
        <f>INDEX(P$280:P$296,$E1020)*$D1020</f>
        <v/>
      </c>
      <c r="Q1020" s="35">
        <f>INDEX(Q$280:Q$296,$E1020)*$D1020</f>
        <v/>
      </c>
      <c r="R1020" s="35">
        <f>INDEX(R$280:R$296,$E1020)*$D1020</f>
        <v/>
      </c>
      <c r="S1020" s="35">
        <f>INDEX(S$280:S$296,$E1020)*$D1020</f>
        <v/>
      </c>
      <c r="T1020" s="35">
        <f>INDEX(T$280:T$296,$E1020)*$D1020</f>
        <v/>
      </c>
      <c r="U1020" s="35">
        <f>INDEX(U$280:U$296,$E1020)*$D1020</f>
        <v/>
      </c>
      <c r="V1020" s="35">
        <f>INDEX(V$280:V$296,$E1020)*$D1020</f>
        <v/>
      </c>
      <c r="W1020" s="35">
        <f>INDEX(W$280:W$296,$E1020)*$D1020</f>
        <v/>
      </c>
      <c r="X1020" s="35">
        <f>INDEX(X$280:X$296,$E1020)*$D1020</f>
        <v/>
      </c>
      <c r="Y1020" s="35">
        <f>INDEX(Y$280:Y$296,$E1020)*$D1020</f>
        <v/>
      </c>
      <c r="Z1020" s="35">
        <f>INDEX(Z$280:Z$296,$E1020)*$D1020</f>
        <v/>
      </c>
      <c r="AA1020" s="35">
        <f>INDEX(AA$280:AA$296,$E1020)*$D1020</f>
        <v/>
      </c>
      <c r="AB1020" s="35">
        <f>INDEX(AB$280:AB$296,$E1020)*$D1020</f>
        <v/>
      </c>
      <c r="AC1020" s="35">
        <f>INDEX(AC$280:AC$296,$E1020)*$D1020</f>
        <v/>
      </c>
      <c r="AD1020" s="35">
        <f>INDEX(AD$280:AD$296,$E1020)*$D1020</f>
        <v/>
      </c>
      <c r="AE1020" s="42">
        <f>ETSCOST(INDEX(AE$280:AE$296,$E1020),$D1020)</f>
        <v/>
      </c>
      <c r="AG1020" s="11">
        <f>CodePrefix&amp;$A1020&amp;IF($C1020="","","."&amp;$C1020&amp;"."&amp;$B1020)&amp;INDEX(VarEnd,MATCH($A1020,VarKey,0))&amp;AG$5</f>
        <v/>
      </c>
      <c r="AH1020" s="40">
        <f>INDEX(AH$280:AH$296,$E1020)*$D1020</f>
        <v/>
      </c>
      <c r="AI1020" s="35">
        <f>INDEX(AI$280:AI$296,$E1020)*$D1020</f>
        <v/>
      </c>
      <c r="AJ1020" s="35">
        <f>INDEX(AJ$280:AJ$296,$E1020)*$D1020</f>
        <v/>
      </c>
      <c r="AK1020" s="35">
        <f>INDEX(AK$280:AK$296,$E1020)*$D1020</f>
        <v/>
      </c>
      <c r="AL1020" s="35">
        <f>INDEX(AL$280:AL$296,$E1020)*$D1020</f>
        <v/>
      </c>
      <c r="AM1020" s="35">
        <f>INDEX(AM$280:AM$296,$E1020)*$D1020</f>
        <v/>
      </c>
      <c r="AN1020" s="35">
        <f>INDEX(AN$280:AN$296,$E1020)*$D1020</f>
        <v/>
      </c>
      <c r="AO1020" s="35">
        <f>INDEX(AO$280:AO$296,$E1020)*$D1020</f>
        <v/>
      </c>
      <c r="AP1020" s="35">
        <f>INDEX(AP$280:AP$296,$E1020)*$D1020</f>
        <v/>
      </c>
      <c r="AQ1020" s="35">
        <f>INDEX(AQ$280:AQ$296,$E1020)*$D1020</f>
        <v/>
      </c>
      <c r="AR1020" s="35">
        <f>INDEX(AR$280:AR$296,$E1020)*$D1020</f>
        <v/>
      </c>
      <c r="AS1020" s="35">
        <f>INDEX(AS$280:AS$296,$E1020)*$D1020</f>
        <v/>
      </c>
      <c r="AT1020" s="35">
        <f>INDEX(AT$280:AT$296,$E1020)*$D1020</f>
        <v/>
      </c>
      <c r="AU1020" s="35">
        <f>INDEX(AU$280:AU$296,$E1020)*$D1020</f>
        <v/>
      </c>
      <c r="AV1020" s="35">
        <f>INDEX(AV$280:AV$296,$E1020)*$D1020</f>
        <v/>
      </c>
      <c r="AW1020" s="35">
        <f>INDEX(AW$280:AW$296,$E1020)*$D1020</f>
        <v/>
      </c>
      <c r="AX1020" s="35">
        <f>INDEX(AX$280:AX$296,$E1020)*$D1020</f>
        <v/>
      </c>
      <c r="AY1020" s="35">
        <f>INDEX(AY$280:AY$296,$E1020)*$D1020</f>
        <v/>
      </c>
      <c r="AZ1020" s="35">
        <f>INDEX(AZ$280:AZ$296,$E1020)*$D1020</f>
        <v/>
      </c>
      <c r="BA1020" s="42">
        <f>ETSCOST(INDEX(BA$280:BA$296,$E1020),$D1020)</f>
        <v/>
      </c>
    </row>
    <row r="1021" hidden="1" outlineLevel="2">
      <c r="A1021" s="14" t="inlineStr">
        <is>
          <t>ets</t>
        </is>
      </c>
      <c r="B1021" s="14" t="inlineStr">
        <is>
          <t>ker</t>
        </is>
      </c>
      <c r="C1021" s="14" t="inlineStr">
        <is>
          <t>rod</t>
        </is>
      </c>
      <c r="D1021" s="35">
        <f>INDEX(Inputs!$W$5:$W$132,MATCH($B1021&amp;"|"&amp;$C1021,Inputs!$A$5:$A$132,0))</f>
        <v/>
      </c>
      <c r="E1021" s="35">
        <f>INDEX(Inputs!$M$5:$M$132,MATCH($B1021&amp;"|"&amp;$C1021,Inputs!$A$5:$A$132,0))</f>
        <v/>
      </c>
      <c r="F1021" s="39" t="n"/>
      <c r="G1021" s="39" t="n"/>
      <c r="H1021" s="14">
        <f>INDEX(VarLab,MATCH($A1021,VarKey,0))&amp;INDEX(MemLab,MATCH($C1021&amp;"|"&amp;$B1021,MemKey,0))</f>
        <v/>
      </c>
      <c r="I1021" s="14">
        <f>INDEX(VarUnit,MATCH($A1021,VarKey,0))</f>
        <v/>
      </c>
      <c r="J1021" s="14">
        <f>INDEX(VarSrc,MATCH($A1021,VarKey,0))</f>
        <v/>
      </c>
      <c r="K1021" s="11">
        <f>CodePrefix&amp;$A1021&amp;IF($C1021="","","."&amp;$C1021&amp;"."&amp;$B1021)&amp;INDEX(VarEnd,MATCH($A1021,VarKey,0))&amp;K$5</f>
        <v/>
      </c>
      <c r="L1021" s="40">
        <f>INDEX(L$280:L$296,$E1021)*$D1021</f>
        <v/>
      </c>
      <c r="M1021" s="35">
        <f>INDEX(M$280:M$296,$E1021)*$D1021</f>
        <v/>
      </c>
      <c r="N1021" s="35">
        <f>INDEX(N$280:N$296,$E1021)*$D1021</f>
        <v/>
      </c>
      <c r="O1021" s="35">
        <f>INDEX(O$280:O$296,$E1021)*$D1021</f>
        <v/>
      </c>
      <c r="P1021" s="35">
        <f>INDEX(P$280:P$296,$E1021)*$D1021</f>
        <v/>
      </c>
      <c r="Q1021" s="35">
        <f>INDEX(Q$280:Q$296,$E1021)*$D1021</f>
        <v/>
      </c>
      <c r="R1021" s="35">
        <f>INDEX(R$280:R$296,$E1021)*$D1021</f>
        <v/>
      </c>
      <c r="S1021" s="35">
        <f>INDEX(S$280:S$296,$E1021)*$D1021</f>
        <v/>
      </c>
      <c r="T1021" s="35">
        <f>INDEX(T$280:T$296,$E1021)*$D1021</f>
        <v/>
      </c>
      <c r="U1021" s="35">
        <f>INDEX(U$280:U$296,$E1021)*$D1021</f>
        <v/>
      </c>
      <c r="V1021" s="35">
        <f>INDEX(V$280:V$296,$E1021)*$D1021</f>
        <v/>
      </c>
      <c r="W1021" s="35">
        <f>INDEX(W$280:W$296,$E1021)*$D1021</f>
        <v/>
      </c>
      <c r="X1021" s="35">
        <f>INDEX(X$280:X$296,$E1021)*$D1021</f>
        <v/>
      </c>
      <c r="Y1021" s="35">
        <f>INDEX(Y$280:Y$296,$E1021)*$D1021</f>
        <v/>
      </c>
      <c r="Z1021" s="35">
        <f>INDEX(Z$280:Z$296,$E1021)*$D1021</f>
        <v/>
      </c>
      <c r="AA1021" s="35">
        <f>INDEX(AA$280:AA$296,$E1021)*$D1021</f>
        <v/>
      </c>
      <c r="AB1021" s="35">
        <f>INDEX(AB$280:AB$296,$E1021)*$D1021</f>
        <v/>
      </c>
      <c r="AC1021" s="35">
        <f>INDEX(AC$280:AC$296,$E1021)*$D1021</f>
        <v/>
      </c>
      <c r="AD1021" s="35">
        <f>INDEX(AD$280:AD$296,$E1021)*$D1021</f>
        <v/>
      </c>
      <c r="AE1021" s="42">
        <f>ETSCOST(INDEX(AE$280:AE$296,$E1021),$D1021)</f>
        <v/>
      </c>
      <c r="AG1021" s="11">
        <f>CodePrefix&amp;$A1021&amp;IF($C1021="","","."&amp;$C1021&amp;"."&amp;$B1021)&amp;INDEX(VarEnd,MATCH($A1021,VarKey,0))&amp;AG$5</f>
        <v/>
      </c>
      <c r="AH1021" s="40">
        <f>INDEX(AH$280:AH$296,$E1021)*$D1021</f>
        <v/>
      </c>
      <c r="AI1021" s="35">
        <f>INDEX(AI$280:AI$296,$E1021)*$D1021</f>
        <v/>
      </c>
      <c r="AJ1021" s="35">
        <f>INDEX(AJ$280:AJ$296,$E1021)*$D1021</f>
        <v/>
      </c>
      <c r="AK1021" s="35">
        <f>INDEX(AK$280:AK$296,$E1021)*$D1021</f>
        <v/>
      </c>
      <c r="AL1021" s="35">
        <f>INDEX(AL$280:AL$296,$E1021)*$D1021</f>
        <v/>
      </c>
      <c r="AM1021" s="35">
        <f>INDEX(AM$280:AM$296,$E1021)*$D1021</f>
        <v/>
      </c>
      <c r="AN1021" s="35">
        <f>INDEX(AN$280:AN$296,$E1021)*$D1021</f>
        <v/>
      </c>
      <c r="AO1021" s="35">
        <f>INDEX(AO$280:AO$296,$E1021)*$D1021</f>
        <v/>
      </c>
      <c r="AP1021" s="35">
        <f>INDEX(AP$280:AP$296,$E1021)*$D1021</f>
        <v/>
      </c>
      <c r="AQ1021" s="35">
        <f>INDEX(AQ$280:AQ$296,$E1021)*$D1021</f>
        <v/>
      </c>
      <c r="AR1021" s="35">
        <f>INDEX(AR$280:AR$296,$E1021)*$D1021</f>
        <v/>
      </c>
      <c r="AS1021" s="35">
        <f>INDEX(AS$280:AS$296,$E1021)*$D1021</f>
        <v/>
      </c>
      <c r="AT1021" s="35">
        <f>INDEX(AT$280:AT$296,$E1021)*$D1021</f>
        <v/>
      </c>
      <c r="AU1021" s="35">
        <f>INDEX(AU$280:AU$296,$E1021)*$D1021</f>
        <v/>
      </c>
      <c r="AV1021" s="35">
        <f>INDEX(AV$280:AV$296,$E1021)*$D1021</f>
        <v/>
      </c>
      <c r="AW1021" s="35">
        <f>INDEX(AW$280:AW$296,$E1021)*$D1021</f>
        <v/>
      </c>
      <c r="AX1021" s="35">
        <f>INDEX(AX$280:AX$296,$E1021)*$D1021</f>
        <v/>
      </c>
      <c r="AY1021" s="35">
        <f>INDEX(AY$280:AY$296,$E1021)*$D1021</f>
        <v/>
      </c>
      <c r="AZ1021" s="35">
        <f>INDEX(AZ$280:AZ$296,$E1021)*$D1021</f>
        <v/>
      </c>
      <c r="BA1021" s="42">
        <f>ETSCOST(INDEX(BA$280:BA$296,$E1021),$D1021)</f>
        <v/>
      </c>
    </row>
    <row r="1022" hidden="1" outlineLevel="2">
      <c r="A1022" s="14" t="inlineStr">
        <is>
          <t>ets</t>
        </is>
      </c>
      <c r="B1022" s="14" t="inlineStr">
        <is>
          <t>oop</t>
        </is>
      </c>
      <c r="C1022" s="14" t="inlineStr">
        <is>
          <t>rod</t>
        </is>
      </c>
      <c r="D1022" s="35">
        <f>INDEX(Inputs!$W$5:$W$132,MATCH($B1022&amp;"|"&amp;$C1022,Inputs!$A$5:$A$132,0))</f>
        <v/>
      </c>
      <c r="E1022" s="35">
        <f>INDEX(Inputs!$M$5:$M$132,MATCH($B1022&amp;"|"&amp;$C1022,Inputs!$A$5:$A$132,0))</f>
        <v/>
      </c>
      <c r="F1022" s="39" t="n"/>
      <c r="G1022" s="39" t="n"/>
      <c r="H1022" s="14">
        <f>INDEX(VarLab,MATCH($A1022,VarKey,0))&amp;INDEX(MemLab,MATCH($C1022&amp;"|"&amp;$B1022,MemKey,0))</f>
        <v/>
      </c>
      <c r="I1022" s="14">
        <f>INDEX(VarUnit,MATCH($A1022,VarKey,0))</f>
        <v/>
      </c>
      <c r="J1022" s="14">
        <f>INDEX(VarSrc,MATCH($A1022,VarKey,0))</f>
        <v/>
      </c>
      <c r="K1022" s="11">
        <f>CodePrefix&amp;$A1022&amp;IF($C1022="","","."&amp;$C1022&amp;"."&amp;$B1022)&amp;INDEX(VarEnd,MATCH($A1022,VarKey,0))&amp;K$5</f>
        <v/>
      </c>
      <c r="L1022" s="40">
        <f>INDEX(L$280:L$296,$E1022)*$D1022</f>
        <v/>
      </c>
      <c r="M1022" s="35">
        <f>INDEX(M$280:M$296,$E1022)*$D1022</f>
        <v/>
      </c>
      <c r="N1022" s="35">
        <f>INDEX(N$280:N$296,$E1022)*$D1022</f>
        <v/>
      </c>
      <c r="O1022" s="35">
        <f>INDEX(O$280:O$296,$E1022)*$D1022</f>
        <v/>
      </c>
      <c r="P1022" s="35">
        <f>INDEX(P$280:P$296,$E1022)*$D1022</f>
        <v/>
      </c>
      <c r="Q1022" s="35">
        <f>INDEX(Q$280:Q$296,$E1022)*$D1022</f>
        <v/>
      </c>
      <c r="R1022" s="35">
        <f>INDEX(R$280:R$296,$E1022)*$D1022</f>
        <v/>
      </c>
      <c r="S1022" s="35">
        <f>INDEX(S$280:S$296,$E1022)*$D1022</f>
        <v/>
      </c>
      <c r="T1022" s="35">
        <f>INDEX(T$280:T$296,$E1022)*$D1022</f>
        <v/>
      </c>
      <c r="U1022" s="35">
        <f>INDEX(U$280:U$296,$E1022)*$D1022</f>
        <v/>
      </c>
      <c r="V1022" s="35">
        <f>INDEX(V$280:V$296,$E1022)*$D1022</f>
        <v/>
      </c>
      <c r="W1022" s="35">
        <f>INDEX(W$280:W$296,$E1022)*$D1022</f>
        <v/>
      </c>
      <c r="X1022" s="35">
        <f>INDEX(X$280:X$296,$E1022)*$D1022</f>
        <v/>
      </c>
      <c r="Y1022" s="35">
        <f>INDEX(Y$280:Y$296,$E1022)*$D1022</f>
        <v/>
      </c>
      <c r="Z1022" s="35">
        <f>INDEX(Z$280:Z$296,$E1022)*$D1022</f>
        <v/>
      </c>
      <c r="AA1022" s="35">
        <f>INDEX(AA$280:AA$296,$E1022)*$D1022</f>
        <v/>
      </c>
      <c r="AB1022" s="35">
        <f>INDEX(AB$280:AB$296,$E1022)*$D1022</f>
        <v/>
      </c>
      <c r="AC1022" s="35">
        <f>INDEX(AC$280:AC$296,$E1022)*$D1022</f>
        <v/>
      </c>
      <c r="AD1022" s="35">
        <f>INDEX(AD$280:AD$296,$E1022)*$D1022</f>
        <v/>
      </c>
      <c r="AE1022" s="42">
        <f>ETSCOST(INDEX(AE$280:AE$296,$E1022),$D1022)</f>
        <v/>
      </c>
      <c r="AG1022" s="11">
        <f>CodePrefix&amp;$A1022&amp;IF($C1022="","","."&amp;$C1022&amp;"."&amp;$B1022)&amp;INDEX(VarEnd,MATCH($A1022,VarKey,0))&amp;AG$5</f>
        <v/>
      </c>
      <c r="AH1022" s="40">
        <f>INDEX(AH$280:AH$296,$E1022)*$D1022</f>
        <v/>
      </c>
      <c r="AI1022" s="35">
        <f>INDEX(AI$280:AI$296,$E1022)*$D1022</f>
        <v/>
      </c>
      <c r="AJ1022" s="35">
        <f>INDEX(AJ$280:AJ$296,$E1022)*$D1022</f>
        <v/>
      </c>
      <c r="AK1022" s="35">
        <f>INDEX(AK$280:AK$296,$E1022)*$D1022</f>
        <v/>
      </c>
      <c r="AL1022" s="35">
        <f>INDEX(AL$280:AL$296,$E1022)*$D1022</f>
        <v/>
      </c>
      <c r="AM1022" s="35">
        <f>INDEX(AM$280:AM$296,$E1022)*$D1022</f>
        <v/>
      </c>
      <c r="AN1022" s="35">
        <f>INDEX(AN$280:AN$296,$E1022)*$D1022</f>
        <v/>
      </c>
      <c r="AO1022" s="35">
        <f>INDEX(AO$280:AO$296,$E1022)*$D1022</f>
        <v/>
      </c>
      <c r="AP1022" s="35">
        <f>INDEX(AP$280:AP$296,$E1022)*$D1022</f>
        <v/>
      </c>
      <c r="AQ1022" s="35">
        <f>INDEX(AQ$280:AQ$296,$E1022)*$D1022</f>
        <v/>
      </c>
      <c r="AR1022" s="35">
        <f>INDEX(AR$280:AR$296,$E1022)*$D1022</f>
        <v/>
      </c>
      <c r="AS1022" s="35">
        <f>INDEX(AS$280:AS$296,$E1022)*$D1022</f>
        <v/>
      </c>
      <c r="AT1022" s="35">
        <f>INDEX(AT$280:AT$296,$E1022)*$D1022</f>
        <v/>
      </c>
      <c r="AU1022" s="35">
        <f>INDEX(AU$280:AU$296,$E1022)*$D1022</f>
        <v/>
      </c>
      <c r="AV1022" s="35">
        <f>INDEX(AV$280:AV$296,$E1022)*$D1022</f>
        <v/>
      </c>
      <c r="AW1022" s="35">
        <f>INDEX(AW$280:AW$296,$E1022)*$D1022</f>
        <v/>
      </c>
      <c r="AX1022" s="35">
        <f>INDEX(AX$280:AX$296,$E1022)*$D1022</f>
        <v/>
      </c>
      <c r="AY1022" s="35">
        <f>INDEX(AY$280:AY$296,$E1022)*$D1022</f>
        <v/>
      </c>
      <c r="AZ1022" s="35">
        <f>INDEX(AZ$280:AZ$296,$E1022)*$D1022</f>
        <v/>
      </c>
      <c r="BA1022" s="42">
        <f>ETSCOST(INDEX(BA$280:BA$296,$E1022),$D1022)</f>
        <v/>
      </c>
    </row>
    <row r="1023" hidden="1" outlineLevel="2">
      <c r="A1023" s="14" t="inlineStr">
        <is>
          <t>ets</t>
        </is>
      </c>
      <c r="B1023" s="14" t="inlineStr">
        <is>
          <t>bio</t>
        </is>
      </c>
      <c r="C1023" s="14" t="inlineStr">
        <is>
          <t>rod</t>
        </is>
      </c>
      <c r="D1023" s="35">
        <f>INDEX(Inputs!$W$5:$W$132,MATCH($B1023&amp;"|"&amp;$C1023,Inputs!$A$5:$A$132,0))</f>
        <v/>
      </c>
      <c r="E1023" s="35">
        <f>INDEX(Inputs!$M$5:$M$132,MATCH($B1023&amp;"|"&amp;$C1023,Inputs!$A$5:$A$132,0))</f>
        <v/>
      </c>
      <c r="F1023" s="39" t="n"/>
      <c r="G1023" s="39" t="n"/>
      <c r="H1023" s="14">
        <f>INDEX(VarLab,MATCH($A1023,VarKey,0))&amp;INDEX(MemLab,MATCH($C1023&amp;"|"&amp;$B1023,MemKey,0))</f>
        <v/>
      </c>
      <c r="I1023" s="14">
        <f>INDEX(VarUnit,MATCH($A1023,VarKey,0))</f>
        <v/>
      </c>
      <c r="J1023" s="14">
        <f>INDEX(VarSrc,MATCH($A1023,VarKey,0))</f>
        <v/>
      </c>
      <c r="K1023" s="11">
        <f>CodePrefix&amp;$A1023&amp;IF($C1023="","","."&amp;$C1023&amp;"."&amp;$B1023)&amp;INDEX(VarEnd,MATCH($A1023,VarKey,0))&amp;K$5</f>
        <v/>
      </c>
      <c r="L1023" s="40">
        <f>INDEX(L$280:L$296,$E1023)*$D1023</f>
        <v/>
      </c>
      <c r="M1023" s="35">
        <f>INDEX(M$280:M$296,$E1023)*$D1023</f>
        <v/>
      </c>
      <c r="N1023" s="35">
        <f>INDEX(N$280:N$296,$E1023)*$D1023</f>
        <v/>
      </c>
      <c r="O1023" s="35">
        <f>INDEX(O$280:O$296,$E1023)*$D1023</f>
        <v/>
      </c>
      <c r="P1023" s="35">
        <f>INDEX(P$280:P$296,$E1023)*$D1023</f>
        <v/>
      </c>
      <c r="Q1023" s="35">
        <f>INDEX(Q$280:Q$296,$E1023)*$D1023</f>
        <v/>
      </c>
      <c r="R1023" s="35">
        <f>INDEX(R$280:R$296,$E1023)*$D1023</f>
        <v/>
      </c>
      <c r="S1023" s="35">
        <f>INDEX(S$280:S$296,$E1023)*$D1023</f>
        <v/>
      </c>
      <c r="T1023" s="35">
        <f>INDEX(T$280:T$296,$E1023)*$D1023</f>
        <v/>
      </c>
      <c r="U1023" s="35">
        <f>INDEX(U$280:U$296,$E1023)*$D1023</f>
        <v/>
      </c>
      <c r="V1023" s="35">
        <f>INDEX(V$280:V$296,$E1023)*$D1023</f>
        <v/>
      </c>
      <c r="W1023" s="35">
        <f>INDEX(W$280:W$296,$E1023)*$D1023</f>
        <v/>
      </c>
      <c r="X1023" s="35">
        <f>INDEX(X$280:X$296,$E1023)*$D1023</f>
        <v/>
      </c>
      <c r="Y1023" s="35">
        <f>INDEX(Y$280:Y$296,$E1023)*$D1023</f>
        <v/>
      </c>
      <c r="Z1023" s="35">
        <f>INDEX(Z$280:Z$296,$E1023)*$D1023</f>
        <v/>
      </c>
      <c r="AA1023" s="35">
        <f>INDEX(AA$280:AA$296,$E1023)*$D1023</f>
        <v/>
      </c>
      <c r="AB1023" s="35">
        <f>INDEX(AB$280:AB$296,$E1023)*$D1023</f>
        <v/>
      </c>
      <c r="AC1023" s="35">
        <f>INDEX(AC$280:AC$296,$E1023)*$D1023</f>
        <v/>
      </c>
      <c r="AD1023" s="35">
        <f>INDEX(AD$280:AD$296,$E1023)*$D1023</f>
        <v/>
      </c>
      <c r="AE1023" s="42">
        <f>ETSCOST(INDEX(AE$280:AE$296,$E1023),$D1023)</f>
        <v/>
      </c>
      <c r="AG1023" s="11">
        <f>CodePrefix&amp;$A1023&amp;IF($C1023="","","."&amp;$C1023&amp;"."&amp;$B1023)&amp;INDEX(VarEnd,MATCH($A1023,VarKey,0))&amp;AG$5</f>
        <v/>
      </c>
      <c r="AH1023" s="40">
        <f>INDEX(AH$280:AH$296,$E1023)*$D1023</f>
        <v/>
      </c>
      <c r="AI1023" s="35">
        <f>INDEX(AI$280:AI$296,$E1023)*$D1023</f>
        <v/>
      </c>
      <c r="AJ1023" s="35">
        <f>INDEX(AJ$280:AJ$296,$E1023)*$D1023</f>
        <v/>
      </c>
      <c r="AK1023" s="35">
        <f>INDEX(AK$280:AK$296,$E1023)*$D1023</f>
        <v/>
      </c>
      <c r="AL1023" s="35">
        <f>INDEX(AL$280:AL$296,$E1023)*$D1023</f>
        <v/>
      </c>
      <c r="AM1023" s="35">
        <f>INDEX(AM$280:AM$296,$E1023)*$D1023</f>
        <v/>
      </c>
      <c r="AN1023" s="35">
        <f>INDEX(AN$280:AN$296,$E1023)*$D1023</f>
        <v/>
      </c>
      <c r="AO1023" s="35">
        <f>INDEX(AO$280:AO$296,$E1023)*$D1023</f>
        <v/>
      </c>
      <c r="AP1023" s="35">
        <f>INDEX(AP$280:AP$296,$E1023)*$D1023</f>
        <v/>
      </c>
      <c r="AQ1023" s="35">
        <f>INDEX(AQ$280:AQ$296,$E1023)*$D1023</f>
        <v/>
      </c>
      <c r="AR1023" s="35">
        <f>INDEX(AR$280:AR$296,$E1023)*$D1023</f>
        <v/>
      </c>
      <c r="AS1023" s="35">
        <f>INDEX(AS$280:AS$296,$E1023)*$D1023</f>
        <v/>
      </c>
      <c r="AT1023" s="35">
        <f>INDEX(AT$280:AT$296,$E1023)*$D1023</f>
        <v/>
      </c>
      <c r="AU1023" s="35">
        <f>INDEX(AU$280:AU$296,$E1023)*$D1023</f>
        <v/>
      </c>
      <c r="AV1023" s="35">
        <f>INDEX(AV$280:AV$296,$E1023)*$D1023</f>
        <v/>
      </c>
      <c r="AW1023" s="35">
        <f>INDEX(AW$280:AW$296,$E1023)*$D1023</f>
        <v/>
      </c>
      <c r="AX1023" s="35">
        <f>INDEX(AX$280:AX$296,$E1023)*$D1023</f>
        <v/>
      </c>
      <c r="AY1023" s="35">
        <f>INDEX(AY$280:AY$296,$E1023)*$D1023</f>
        <v/>
      </c>
      <c r="AZ1023" s="35">
        <f>INDEX(AZ$280:AZ$296,$E1023)*$D1023</f>
        <v/>
      </c>
      <c r="BA1023" s="42">
        <f>ETSCOST(INDEX(BA$280:BA$296,$E1023),$D1023)</f>
        <v/>
      </c>
    </row>
    <row r="1024" hidden="1" outlineLevel="2"/>
    <row r="1025" hidden="1" outlineLevel="2">
      <c r="A1025" s="14" t="inlineStr">
        <is>
          <t>ntx</t>
        </is>
      </c>
      <c r="B1025" s="14" t="inlineStr">
        <is>
          <t>coa</t>
        </is>
      </c>
      <c r="C1025" s="14" t="inlineStr">
        <is>
          <t>rod</t>
        </is>
      </c>
      <c r="D1025" s="35">
        <f>INDEX(Inputs!$N$5:$N$132,MATCH($B1025&amp;"|"&amp;$C1025,Inputs!$A$5:$A$132,0))</f>
        <v/>
      </c>
      <c r="E1025" s="35">
        <f>INDEX(Inputs!$K$5:$K$132,MATCH($B1025&amp;"|"&amp;$C1025,Inputs!$A$5:$A$132,0))</f>
        <v/>
      </c>
      <c r="F1025" s="39" t="n"/>
      <c r="G1025" s="39" t="n"/>
      <c r="H1025" s="14">
        <f>INDEX(VarLab,MATCH($A1025,VarKey,0))&amp;INDEX(MemLab,MATCH($C1025&amp;"|"&amp;$B1025,MemKey,0))</f>
        <v/>
      </c>
      <c r="I1025" s="14">
        <f>INDEX(VarUnit,MATCH($A1025,VarKey,0))</f>
        <v/>
      </c>
      <c r="J1025" s="14">
        <f>INDEX(VarSrc,MATCH($A1025,VarKey,0))</f>
        <v/>
      </c>
      <c r="K1025" s="11">
        <f>CodePrefix&amp;$A1025&amp;IF($C1025="","","."&amp;$C1025&amp;"."&amp;$B1025)&amp;INDEX(VarEnd,MATCH($A1025,VarKey,0))&amp;K$5</f>
        <v/>
      </c>
      <c r="L1025" s="40">
        <f>INDEX(L$80:L$93,$D1025)/$E1025</f>
        <v/>
      </c>
      <c r="M1025" s="35">
        <f>INDEX(M$80:M$93,$D1025)/$E1025</f>
        <v/>
      </c>
      <c r="N1025" s="35">
        <f>INDEX(N$80:N$93,$D1025)/$E1025</f>
        <v/>
      </c>
      <c r="O1025" s="35">
        <f>INDEX(O$80:O$93,$D1025)/$E1025</f>
        <v/>
      </c>
      <c r="P1025" s="35">
        <f>INDEX(P$80:P$93,$D1025)/$E1025</f>
        <v/>
      </c>
      <c r="Q1025" s="35">
        <f>INDEX(Q$80:Q$93,$D1025)/$E1025</f>
        <v/>
      </c>
      <c r="R1025" s="35">
        <f>INDEX(R$80:R$93,$D1025)/$E1025</f>
        <v/>
      </c>
      <c r="S1025" s="35">
        <f>INDEX(S$80:S$93,$D1025)/$E1025</f>
        <v/>
      </c>
      <c r="T1025" s="35">
        <f>INDEX(T$80:T$93,$D1025)/$E1025</f>
        <v/>
      </c>
      <c r="U1025" s="35">
        <f>INDEX(U$80:U$93,$D1025)/$E1025</f>
        <v/>
      </c>
      <c r="V1025" s="35">
        <f>INDEX(V$80:V$93,$D1025)/$E1025</f>
        <v/>
      </c>
      <c r="W1025" s="35">
        <f>INDEX(W$80:W$93,$D1025)/$E1025</f>
        <v/>
      </c>
      <c r="X1025" s="35">
        <f>INDEX(X$80:X$93,$D1025)/$E1025</f>
        <v/>
      </c>
      <c r="Y1025" s="35">
        <f>INDEX(Y$80:Y$93,$D1025)/$E1025</f>
        <v/>
      </c>
      <c r="Z1025" s="35">
        <f>INDEX(Z$80:Z$93,$D1025)/$E1025</f>
        <v/>
      </c>
      <c r="AA1025" s="35">
        <f>INDEX(AA$80:AA$93,$D1025)/$E1025</f>
        <v/>
      </c>
      <c r="AB1025" s="35">
        <f>INDEX(AB$80:AB$93,$D1025)/$E1025</f>
        <v/>
      </c>
      <c r="AC1025" s="35">
        <f>INDEX(AC$80:AC$93,$D1025)/$E1025</f>
        <v/>
      </c>
      <c r="AD1025" s="35">
        <f>INDEX(AD$80:AD$93,$D1025)/$E1025</f>
        <v/>
      </c>
      <c r="AE1025" s="42">
        <f>NEWEXCISE(INDEX(AE$80:AE$93,$D1025),$E1025)</f>
        <v/>
      </c>
      <c r="AG1025" s="11">
        <f>CodePrefix&amp;$A1025&amp;IF($C1025="","","."&amp;$C1025&amp;"."&amp;$B1025)&amp;INDEX(VarEnd,MATCH($A1025,VarKey,0))&amp;AG$5</f>
        <v/>
      </c>
      <c r="AH1025" s="40">
        <f>INDEX(AH$80:AH$93,$D1025)/$E1025</f>
        <v/>
      </c>
      <c r="AI1025" s="35">
        <f>INDEX(AI$80:AI$93,$D1025)/$E1025</f>
        <v/>
      </c>
      <c r="AJ1025" s="35">
        <f>INDEX(AJ$80:AJ$93,$D1025)/$E1025</f>
        <v/>
      </c>
      <c r="AK1025" s="35">
        <f>INDEX(AK$80:AK$93,$D1025)/$E1025</f>
        <v/>
      </c>
      <c r="AL1025" s="35">
        <f>INDEX(AL$80:AL$93,$D1025)/$E1025</f>
        <v/>
      </c>
      <c r="AM1025" s="35">
        <f>INDEX(AM$80:AM$93,$D1025)/$E1025</f>
        <v/>
      </c>
      <c r="AN1025" s="35">
        <f>INDEX(AN$80:AN$93,$D1025)/$E1025</f>
        <v/>
      </c>
      <c r="AO1025" s="35">
        <f>INDEX(AO$80:AO$93,$D1025)/$E1025</f>
        <v/>
      </c>
      <c r="AP1025" s="35">
        <f>INDEX(AP$80:AP$93,$D1025)/$E1025</f>
        <v/>
      </c>
      <c r="AQ1025" s="35">
        <f>INDEX(AQ$80:AQ$93,$D1025)/$E1025</f>
        <v/>
      </c>
      <c r="AR1025" s="35">
        <f>INDEX(AR$80:AR$93,$D1025)/$E1025</f>
        <v/>
      </c>
      <c r="AS1025" s="35">
        <f>INDEX(AS$80:AS$93,$D1025)/$E1025</f>
        <v/>
      </c>
      <c r="AT1025" s="35">
        <f>INDEX(AT$80:AT$93,$D1025)/$E1025</f>
        <v/>
      </c>
      <c r="AU1025" s="35">
        <f>INDEX(AU$80:AU$93,$D1025)/$E1025</f>
        <v/>
      </c>
      <c r="AV1025" s="35">
        <f>INDEX(AV$80:AV$93,$D1025)/$E1025</f>
        <v/>
      </c>
      <c r="AW1025" s="35">
        <f>INDEX(AW$80:AW$93,$D1025)/$E1025</f>
        <v/>
      </c>
      <c r="AX1025" s="35">
        <f>INDEX(AX$80:AX$93,$D1025)/$E1025</f>
        <v/>
      </c>
      <c r="AY1025" s="35">
        <f>INDEX(AY$80:AY$93,$D1025)/$E1025</f>
        <v/>
      </c>
      <c r="AZ1025" s="35">
        <f>INDEX(AZ$80:AZ$93,$D1025)/$E1025</f>
        <v/>
      </c>
      <c r="BA1025" s="42">
        <f>NEWEXCISE(INDEX(BA$80:BA$93,$D1025),$E1025)</f>
        <v/>
      </c>
    </row>
    <row r="1026" hidden="1" outlineLevel="2">
      <c r="A1026" s="14" t="inlineStr">
        <is>
          <t>ntx</t>
        </is>
      </c>
      <c r="B1026" s="14" t="inlineStr">
        <is>
          <t>nga</t>
        </is>
      </c>
      <c r="C1026" s="14" t="inlineStr">
        <is>
          <t>rod</t>
        </is>
      </c>
      <c r="D1026" s="35">
        <f>INDEX(Inputs!$N$5:$N$132,MATCH($B1026&amp;"|"&amp;$C1026,Inputs!$A$5:$A$132,0))</f>
        <v/>
      </c>
      <c r="E1026" s="35">
        <f>INDEX(Inputs!$K$5:$K$132,MATCH($B1026&amp;"|"&amp;$C1026,Inputs!$A$5:$A$132,0))</f>
        <v/>
      </c>
      <c r="F1026" s="39" t="n"/>
      <c r="G1026" s="39" t="n"/>
      <c r="H1026" s="14">
        <f>INDEX(VarLab,MATCH($A1026,VarKey,0))&amp;INDEX(MemLab,MATCH($C1026&amp;"|"&amp;$B1026,MemKey,0))</f>
        <v/>
      </c>
      <c r="I1026" s="14">
        <f>INDEX(VarUnit,MATCH($A1026,VarKey,0))</f>
        <v/>
      </c>
      <c r="J1026" s="14">
        <f>INDEX(VarSrc,MATCH($A1026,VarKey,0))</f>
        <v/>
      </c>
      <c r="K1026" s="11">
        <f>CodePrefix&amp;$A1026&amp;IF($C1026="","","."&amp;$C1026&amp;"."&amp;$B1026)&amp;INDEX(VarEnd,MATCH($A1026,VarKey,0))&amp;K$5</f>
        <v/>
      </c>
      <c r="L1026" s="40">
        <f>INDEX(L$80:L$93,$D1026)/$E1026</f>
        <v/>
      </c>
      <c r="M1026" s="35">
        <f>INDEX(M$80:M$93,$D1026)/$E1026</f>
        <v/>
      </c>
      <c r="N1026" s="35">
        <f>INDEX(N$80:N$93,$D1026)/$E1026</f>
        <v/>
      </c>
      <c r="O1026" s="35">
        <f>INDEX(O$80:O$93,$D1026)/$E1026</f>
        <v/>
      </c>
      <c r="P1026" s="35">
        <f>INDEX(P$80:P$93,$D1026)/$E1026</f>
        <v/>
      </c>
      <c r="Q1026" s="35">
        <f>INDEX(Q$80:Q$93,$D1026)/$E1026</f>
        <v/>
      </c>
      <c r="R1026" s="35">
        <f>INDEX(R$80:R$93,$D1026)/$E1026</f>
        <v/>
      </c>
      <c r="S1026" s="35">
        <f>INDEX(S$80:S$93,$D1026)/$E1026</f>
        <v/>
      </c>
      <c r="T1026" s="35">
        <f>INDEX(T$80:T$93,$D1026)/$E1026</f>
        <v/>
      </c>
      <c r="U1026" s="35">
        <f>INDEX(U$80:U$93,$D1026)/$E1026</f>
        <v/>
      </c>
      <c r="V1026" s="35">
        <f>INDEX(V$80:V$93,$D1026)/$E1026</f>
        <v/>
      </c>
      <c r="W1026" s="35">
        <f>INDEX(W$80:W$93,$D1026)/$E1026</f>
        <v/>
      </c>
      <c r="X1026" s="35">
        <f>INDEX(X$80:X$93,$D1026)/$E1026</f>
        <v/>
      </c>
      <c r="Y1026" s="35">
        <f>INDEX(Y$80:Y$93,$D1026)/$E1026</f>
        <v/>
      </c>
      <c r="Z1026" s="35">
        <f>INDEX(Z$80:Z$93,$D1026)/$E1026</f>
        <v/>
      </c>
      <c r="AA1026" s="35">
        <f>INDEX(AA$80:AA$93,$D1026)/$E1026</f>
        <v/>
      </c>
      <c r="AB1026" s="35">
        <f>INDEX(AB$80:AB$93,$D1026)/$E1026</f>
        <v/>
      </c>
      <c r="AC1026" s="35">
        <f>INDEX(AC$80:AC$93,$D1026)/$E1026</f>
        <v/>
      </c>
      <c r="AD1026" s="35">
        <f>INDEX(AD$80:AD$93,$D1026)/$E1026</f>
        <v/>
      </c>
      <c r="AE1026" s="42">
        <f>NEWEXCISE(INDEX(AE$80:AE$93,$D1026),$E1026)</f>
        <v/>
      </c>
      <c r="AG1026" s="11">
        <f>CodePrefix&amp;$A1026&amp;IF($C1026="","","."&amp;$C1026&amp;"."&amp;$B1026)&amp;INDEX(VarEnd,MATCH($A1026,VarKey,0))&amp;AG$5</f>
        <v/>
      </c>
      <c r="AH1026" s="40">
        <f>INDEX(AH$80:AH$93,$D1026)/$E1026</f>
        <v/>
      </c>
      <c r="AI1026" s="35">
        <f>INDEX(AI$80:AI$93,$D1026)/$E1026</f>
        <v/>
      </c>
      <c r="AJ1026" s="35">
        <f>INDEX(AJ$80:AJ$93,$D1026)/$E1026</f>
        <v/>
      </c>
      <c r="AK1026" s="35">
        <f>INDEX(AK$80:AK$93,$D1026)/$E1026</f>
        <v/>
      </c>
      <c r="AL1026" s="35">
        <f>INDEX(AL$80:AL$93,$D1026)/$E1026</f>
        <v/>
      </c>
      <c r="AM1026" s="35">
        <f>INDEX(AM$80:AM$93,$D1026)/$E1026</f>
        <v/>
      </c>
      <c r="AN1026" s="35">
        <f>INDEX(AN$80:AN$93,$D1026)/$E1026</f>
        <v/>
      </c>
      <c r="AO1026" s="35">
        <f>INDEX(AO$80:AO$93,$D1026)/$E1026</f>
        <v/>
      </c>
      <c r="AP1026" s="35">
        <f>INDEX(AP$80:AP$93,$D1026)/$E1026</f>
        <v/>
      </c>
      <c r="AQ1026" s="35">
        <f>INDEX(AQ$80:AQ$93,$D1026)/$E1026</f>
        <v/>
      </c>
      <c r="AR1026" s="35">
        <f>INDEX(AR$80:AR$93,$D1026)/$E1026</f>
        <v/>
      </c>
      <c r="AS1026" s="35">
        <f>INDEX(AS$80:AS$93,$D1026)/$E1026</f>
        <v/>
      </c>
      <c r="AT1026" s="35">
        <f>INDEX(AT$80:AT$93,$D1026)/$E1026</f>
        <v/>
      </c>
      <c r="AU1026" s="35">
        <f>INDEX(AU$80:AU$93,$D1026)/$E1026</f>
        <v/>
      </c>
      <c r="AV1026" s="35">
        <f>INDEX(AV$80:AV$93,$D1026)/$E1026</f>
        <v/>
      </c>
      <c r="AW1026" s="35">
        <f>INDEX(AW$80:AW$93,$D1026)/$E1026</f>
        <v/>
      </c>
      <c r="AX1026" s="35">
        <f>INDEX(AX$80:AX$93,$D1026)/$E1026</f>
        <v/>
      </c>
      <c r="AY1026" s="35">
        <f>INDEX(AY$80:AY$93,$D1026)/$E1026</f>
        <v/>
      </c>
      <c r="AZ1026" s="35">
        <f>INDEX(AZ$80:AZ$93,$D1026)/$E1026</f>
        <v/>
      </c>
      <c r="BA1026" s="42">
        <f>NEWEXCISE(INDEX(BA$80:BA$93,$D1026),$E1026)</f>
        <v/>
      </c>
    </row>
    <row r="1027" hidden="1" outlineLevel="2">
      <c r="A1027" s="14" t="inlineStr">
        <is>
          <t>ntx</t>
        </is>
      </c>
      <c r="B1027" s="14" t="inlineStr">
        <is>
          <t>gso</t>
        </is>
      </c>
      <c r="C1027" s="14" t="inlineStr">
        <is>
          <t>rod</t>
        </is>
      </c>
      <c r="D1027" s="35">
        <f>INDEX(Inputs!$N$5:$N$132,MATCH($B1027&amp;"|"&amp;$C1027,Inputs!$A$5:$A$132,0))</f>
        <v/>
      </c>
      <c r="E1027" s="35">
        <f>INDEX(Inputs!$K$5:$K$132,MATCH($B1027&amp;"|"&amp;$C1027,Inputs!$A$5:$A$132,0))</f>
        <v/>
      </c>
      <c r="F1027" s="39" t="n"/>
      <c r="G1027" s="39" t="n"/>
      <c r="H1027" s="14">
        <f>INDEX(VarLab,MATCH($A1027,VarKey,0))&amp;INDEX(MemLab,MATCH($C1027&amp;"|"&amp;$B1027,MemKey,0))</f>
        <v/>
      </c>
      <c r="I1027" s="14">
        <f>INDEX(VarUnit,MATCH($A1027,VarKey,0))</f>
        <v/>
      </c>
      <c r="J1027" s="14">
        <f>INDEX(VarSrc,MATCH($A1027,VarKey,0))</f>
        <v/>
      </c>
      <c r="K1027" s="11">
        <f>CodePrefix&amp;$A1027&amp;IF($C1027="","","."&amp;$C1027&amp;"."&amp;$B1027)&amp;INDEX(VarEnd,MATCH($A1027,VarKey,0))&amp;K$5</f>
        <v/>
      </c>
      <c r="L1027" s="40">
        <f>INDEX(L$80:L$93,$D1027)/$E1027</f>
        <v/>
      </c>
      <c r="M1027" s="35">
        <f>INDEX(M$80:M$93,$D1027)/$E1027</f>
        <v/>
      </c>
      <c r="N1027" s="35">
        <f>INDEX(N$80:N$93,$D1027)/$E1027</f>
        <v/>
      </c>
      <c r="O1027" s="35">
        <f>INDEX(O$80:O$93,$D1027)/$E1027</f>
        <v/>
      </c>
      <c r="P1027" s="35">
        <f>INDEX(P$80:P$93,$D1027)/$E1027</f>
        <v/>
      </c>
      <c r="Q1027" s="35">
        <f>INDEX(Q$80:Q$93,$D1027)/$E1027</f>
        <v/>
      </c>
      <c r="R1027" s="35">
        <f>INDEX(R$80:R$93,$D1027)/$E1027</f>
        <v/>
      </c>
      <c r="S1027" s="35">
        <f>INDEX(S$80:S$93,$D1027)/$E1027</f>
        <v/>
      </c>
      <c r="T1027" s="35">
        <f>INDEX(T$80:T$93,$D1027)/$E1027</f>
        <v/>
      </c>
      <c r="U1027" s="35">
        <f>INDEX(U$80:U$93,$D1027)/$E1027</f>
        <v/>
      </c>
      <c r="V1027" s="35">
        <f>INDEX(V$80:V$93,$D1027)/$E1027</f>
        <v/>
      </c>
      <c r="W1027" s="35">
        <f>INDEX(W$80:W$93,$D1027)/$E1027</f>
        <v/>
      </c>
      <c r="X1027" s="35">
        <f>INDEX(X$80:X$93,$D1027)/$E1027</f>
        <v/>
      </c>
      <c r="Y1027" s="35">
        <f>INDEX(Y$80:Y$93,$D1027)/$E1027</f>
        <v/>
      </c>
      <c r="Z1027" s="35">
        <f>INDEX(Z$80:Z$93,$D1027)/$E1027</f>
        <v/>
      </c>
      <c r="AA1027" s="35">
        <f>INDEX(AA$80:AA$93,$D1027)/$E1027</f>
        <v/>
      </c>
      <c r="AB1027" s="35">
        <f>INDEX(AB$80:AB$93,$D1027)/$E1027</f>
        <v/>
      </c>
      <c r="AC1027" s="35">
        <f>INDEX(AC$80:AC$93,$D1027)/$E1027</f>
        <v/>
      </c>
      <c r="AD1027" s="35">
        <f>INDEX(AD$80:AD$93,$D1027)/$E1027</f>
        <v/>
      </c>
      <c r="AE1027" s="42">
        <f>NEWEXCISE(INDEX(AE$80:AE$93,$D1027),$E1027)</f>
        <v/>
      </c>
      <c r="AG1027" s="11">
        <f>CodePrefix&amp;$A1027&amp;IF($C1027="","","."&amp;$C1027&amp;"."&amp;$B1027)&amp;INDEX(VarEnd,MATCH($A1027,VarKey,0))&amp;AG$5</f>
        <v/>
      </c>
      <c r="AH1027" s="40">
        <f>INDEX(AH$80:AH$93,$D1027)/$E1027</f>
        <v/>
      </c>
      <c r="AI1027" s="35">
        <f>INDEX(AI$80:AI$93,$D1027)/$E1027</f>
        <v/>
      </c>
      <c r="AJ1027" s="35">
        <f>INDEX(AJ$80:AJ$93,$D1027)/$E1027</f>
        <v/>
      </c>
      <c r="AK1027" s="35">
        <f>INDEX(AK$80:AK$93,$D1027)/$E1027</f>
        <v/>
      </c>
      <c r="AL1027" s="35">
        <f>INDEX(AL$80:AL$93,$D1027)/$E1027</f>
        <v/>
      </c>
      <c r="AM1027" s="35">
        <f>INDEX(AM$80:AM$93,$D1027)/$E1027</f>
        <v/>
      </c>
      <c r="AN1027" s="35">
        <f>INDEX(AN$80:AN$93,$D1027)/$E1027</f>
        <v/>
      </c>
      <c r="AO1027" s="35">
        <f>INDEX(AO$80:AO$93,$D1027)/$E1027</f>
        <v/>
      </c>
      <c r="AP1027" s="35">
        <f>INDEX(AP$80:AP$93,$D1027)/$E1027</f>
        <v/>
      </c>
      <c r="AQ1027" s="35">
        <f>INDEX(AQ$80:AQ$93,$D1027)/$E1027</f>
        <v/>
      </c>
      <c r="AR1027" s="35">
        <f>INDEX(AR$80:AR$93,$D1027)/$E1027</f>
        <v/>
      </c>
      <c r="AS1027" s="35">
        <f>INDEX(AS$80:AS$93,$D1027)/$E1027</f>
        <v/>
      </c>
      <c r="AT1027" s="35">
        <f>INDEX(AT$80:AT$93,$D1027)/$E1027</f>
        <v/>
      </c>
      <c r="AU1027" s="35">
        <f>INDEX(AU$80:AU$93,$D1027)/$E1027</f>
        <v/>
      </c>
      <c r="AV1027" s="35">
        <f>INDEX(AV$80:AV$93,$D1027)/$E1027</f>
        <v/>
      </c>
      <c r="AW1027" s="35">
        <f>INDEX(AW$80:AW$93,$D1027)/$E1027</f>
        <v/>
      </c>
      <c r="AX1027" s="35">
        <f>INDEX(AX$80:AX$93,$D1027)/$E1027</f>
        <v/>
      </c>
      <c r="AY1027" s="35">
        <f>INDEX(AY$80:AY$93,$D1027)/$E1027</f>
        <v/>
      </c>
      <c r="AZ1027" s="35">
        <f>INDEX(AZ$80:AZ$93,$D1027)/$E1027</f>
        <v/>
      </c>
      <c r="BA1027" s="42">
        <f>NEWEXCISE(INDEX(BA$80:BA$93,$D1027),$E1027)</f>
        <v/>
      </c>
    </row>
    <row r="1028" hidden="1" outlineLevel="2">
      <c r="A1028" s="14" t="inlineStr">
        <is>
          <t>ntx</t>
        </is>
      </c>
      <c r="B1028" s="14" t="inlineStr">
        <is>
          <t>die</t>
        </is>
      </c>
      <c r="C1028" s="14" t="inlineStr">
        <is>
          <t>rod</t>
        </is>
      </c>
      <c r="D1028" s="35">
        <f>INDEX(Inputs!$N$5:$N$132,MATCH($B1028&amp;"|"&amp;$C1028,Inputs!$A$5:$A$132,0))</f>
        <v/>
      </c>
      <c r="E1028" s="35">
        <f>INDEX(Inputs!$K$5:$K$132,MATCH($B1028&amp;"|"&amp;$C1028,Inputs!$A$5:$A$132,0))</f>
        <v/>
      </c>
      <c r="F1028" s="39" t="n"/>
      <c r="G1028" s="39" t="n"/>
      <c r="H1028" s="14">
        <f>INDEX(VarLab,MATCH($A1028,VarKey,0))&amp;INDEX(MemLab,MATCH($C1028&amp;"|"&amp;$B1028,MemKey,0))</f>
        <v/>
      </c>
      <c r="I1028" s="14">
        <f>INDEX(VarUnit,MATCH($A1028,VarKey,0))</f>
        <v/>
      </c>
      <c r="J1028" s="14">
        <f>INDEX(VarSrc,MATCH($A1028,VarKey,0))</f>
        <v/>
      </c>
      <c r="K1028" s="11">
        <f>CodePrefix&amp;$A1028&amp;IF($C1028="","","."&amp;$C1028&amp;"."&amp;$B1028)&amp;INDEX(VarEnd,MATCH($A1028,VarKey,0))&amp;K$5</f>
        <v/>
      </c>
      <c r="L1028" s="40">
        <f>INDEX(L$80:L$93,$D1028)/$E1028</f>
        <v/>
      </c>
      <c r="M1028" s="35">
        <f>INDEX(M$80:M$93,$D1028)/$E1028</f>
        <v/>
      </c>
      <c r="N1028" s="35">
        <f>INDEX(N$80:N$93,$D1028)/$E1028</f>
        <v/>
      </c>
      <c r="O1028" s="35">
        <f>INDEX(O$80:O$93,$D1028)/$E1028</f>
        <v/>
      </c>
      <c r="P1028" s="35">
        <f>INDEX(P$80:P$93,$D1028)/$E1028</f>
        <v/>
      </c>
      <c r="Q1028" s="35">
        <f>INDEX(Q$80:Q$93,$D1028)/$E1028</f>
        <v/>
      </c>
      <c r="R1028" s="35">
        <f>INDEX(R$80:R$93,$D1028)/$E1028</f>
        <v/>
      </c>
      <c r="S1028" s="35">
        <f>INDEX(S$80:S$93,$D1028)/$E1028</f>
        <v/>
      </c>
      <c r="T1028" s="35">
        <f>INDEX(T$80:T$93,$D1028)/$E1028</f>
        <v/>
      </c>
      <c r="U1028" s="35">
        <f>INDEX(U$80:U$93,$D1028)/$E1028</f>
        <v/>
      </c>
      <c r="V1028" s="35">
        <f>INDEX(V$80:V$93,$D1028)/$E1028</f>
        <v/>
      </c>
      <c r="W1028" s="35">
        <f>INDEX(W$80:W$93,$D1028)/$E1028</f>
        <v/>
      </c>
      <c r="X1028" s="35">
        <f>INDEX(X$80:X$93,$D1028)/$E1028</f>
        <v/>
      </c>
      <c r="Y1028" s="35">
        <f>INDEX(Y$80:Y$93,$D1028)/$E1028</f>
        <v/>
      </c>
      <c r="Z1028" s="35">
        <f>INDEX(Z$80:Z$93,$D1028)/$E1028</f>
        <v/>
      </c>
      <c r="AA1028" s="35">
        <f>INDEX(AA$80:AA$93,$D1028)/$E1028</f>
        <v/>
      </c>
      <c r="AB1028" s="35">
        <f>INDEX(AB$80:AB$93,$D1028)/$E1028</f>
        <v/>
      </c>
      <c r="AC1028" s="35">
        <f>INDEX(AC$80:AC$93,$D1028)/$E1028</f>
        <v/>
      </c>
      <c r="AD1028" s="35">
        <f>INDEX(AD$80:AD$93,$D1028)/$E1028</f>
        <v/>
      </c>
      <c r="AE1028" s="42">
        <f>NEWEXCISE(INDEX(AE$80:AE$93,$D1028),$E1028)</f>
        <v/>
      </c>
      <c r="AG1028" s="11">
        <f>CodePrefix&amp;$A1028&amp;IF($C1028="","","."&amp;$C1028&amp;"."&amp;$B1028)&amp;INDEX(VarEnd,MATCH($A1028,VarKey,0))&amp;AG$5</f>
        <v/>
      </c>
      <c r="AH1028" s="40">
        <f>INDEX(AH$80:AH$93,$D1028)/$E1028</f>
        <v/>
      </c>
      <c r="AI1028" s="35">
        <f>INDEX(AI$80:AI$93,$D1028)/$E1028</f>
        <v/>
      </c>
      <c r="AJ1028" s="35">
        <f>INDEX(AJ$80:AJ$93,$D1028)/$E1028</f>
        <v/>
      </c>
      <c r="AK1028" s="35">
        <f>INDEX(AK$80:AK$93,$D1028)/$E1028</f>
        <v/>
      </c>
      <c r="AL1028" s="35">
        <f>INDEX(AL$80:AL$93,$D1028)/$E1028</f>
        <v/>
      </c>
      <c r="AM1028" s="35">
        <f>INDEX(AM$80:AM$93,$D1028)/$E1028</f>
        <v/>
      </c>
      <c r="AN1028" s="35">
        <f>INDEX(AN$80:AN$93,$D1028)/$E1028</f>
        <v/>
      </c>
      <c r="AO1028" s="35">
        <f>INDEX(AO$80:AO$93,$D1028)/$E1028</f>
        <v/>
      </c>
      <c r="AP1028" s="35">
        <f>INDEX(AP$80:AP$93,$D1028)/$E1028</f>
        <v/>
      </c>
      <c r="AQ1028" s="35">
        <f>INDEX(AQ$80:AQ$93,$D1028)/$E1028</f>
        <v/>
      </c>
      <c r="AR1028" s="35">
        <f>INDEX(AR$80:AR$93,$D1028)/$E1028</f>
        <v/>
      </c>
      <c r="AS1028" s="35">
        <f>INDEX(AS$80:AS$93,$D1028)/$E1028</f>
        <v/>
      </c>
      <c r="AT1028" s="35">
        <f>INDEX(AT$80:AT$93,$D1028)/$E1028</f>
        <v/>
      </c>
      <c r="AU1028" s="35">
        <f>INDEX(AU$80:AU$93,$D1028)/$E1028</f>
        <v/>
      </c>
      <c r="AV1028" s="35">
        <f>INDEX(AV$80:AV$93,$D1028)/$E1028</f>
        <v/>
      </c>
      <c r="AW1028" s="35">
        <f>INDEX(AW$80:AW$93,$D1028)/$E1028</f>
        <v/>
      </c>
      <c r="AX1028" s="35">
        <f>INDEX(AX$80:AX$93,$D1028)/$E1028</f>
        <v/>
      </c>
      <c r="AY1028" s="35">
        <f>INDEX(AY$80:AY$93,$D1028)/$E1028</f>
        <v/>
      </c>
      <c r="AZ1028" s="35">
        <f>INDEX(AZ$80:AZ$93,$D1028)/$E1028</f>
        <v/>
      </c>
      <c r="BA1028" s="42">
        <f>NEWEXCISE(INDEX(BA$80:BA$93,$D1028),$E1028)</f>
        <v/>
      </c>
    </row>
    <row r="1029" hidden="1" outlineLevel="2">
      <c r="A1029" s="14" t="inlineStr">
        <is>
          <t>ntx</t>
        </is>
      </c>
      <c r="B1029" s="14" t="inlineStr">
        <is>
          <t>lpg</t>
        </is>
      </c>
      <c r="C1029" s="14" t="inlineStr">
        <is>
          <t>rod</t>
        </is>
      </c>
      <c r="D1029" s="35">
        <f>INDEX(Inputs!$N$5:$N$132,MATCH($B1029&amp;"|"&amp;$C1029,Inputs!$A$5:$A$132,0))</f>
        <v/>
      </c>
      <c r="E1029" s="35">
        <f>INDEX(Inputs!$K$5:$K$132,MATCH($B1029&amp;"|"&amp;$C1029,Inputs!$A$5:$A$132,0))</f>
        <v/>
      </c>
      <c r="F1029" s="39" t="n"/>
      <c r="G1029" s="39" t="n"/>
      <c r="H1029" s="14">
        <f>INDEX(VarLab,MATCH($A1029,VarKey,0))&amp;INDEX(MemLab,MATCH($C1029&amp;"|"&amp;$B1029,MemKey,0))</f>
        <v/>
      </c>
      <c r="I1029" s="14">
        <f>INDEX(VarUnit,MATCH($A1029,VarKey,0))</f>
        <v/>
      </c>
      <c r="J1029" s="14">
        <f>INDEX(VarSrc,MATCH($A1029,VarKey,0))</f>
        <v/>
      </c>
      <c r="K1029" s="11">
        <f>CodePrefix&amp;$A1029&amp;IF($C1029="","","."&amp;$C1029&amp;"."&amp;$B1029)&amp;INDEX(VarEnd,MATCH($A1029,VarKey,0))&amp;K$5</f>
        <v/>
      </c>
      <c r="L1029" s="40">
        <f>INDEX(L$80:L$93,$D1029)/$E1029</f>
        <v/>
      </c>
      <c r="M1029" s="35">
        <f>INDEX(M$80:M$93,$D1029)/$E1029</f>
        <v/>
      </c>
      <c r="N1029" s="35">
        <f>INDEX(N$80:N$93,$D1029)/$E1029</f>
        <v/>
      </c>
      <c r="O1029" s="35">
        <f>INDEX(O$80:O$93,$D1029)/$E1029</f>
        <v/>
      </c>
      <c r="P1029" s="35">
        <f>INDEX(P$80:P$93,$D1029)/$E1029</f>
        <v/>
      </c>
      <c r="Q1029" s="35">
        <f>INDEX(Q$80:Q$93,$D1029)/$E1029</f>
        <v/>
      </c>
      <c r="R1029" s="35">
        <f>INDEX(R$80:R$93,$D1029)/$E1029</f>
        <v/>
      </c>
      <c r="S1029" s="35">
        <f>INDEX(S$80:S$93,$D1029)/$E1029</f>
        <v/>
      </c>
      <c r="T1029" s="35">
        <f>INDEX(T$80:T$93,$D1029)/$E1029</f>
        <v/>
      </c>
      <c r="U1029" s="35">
        <f>INDEX(U$80:U$93,$D1029)/$E1029</f>
        <v/>
      </c>
      <c r="V1029" s="35">
        <f>INDEX(V$80:V$93,$D1029)/$E1029</f>
        <v/>
      </c>
      <c r="W1029" s="35">
        <f>INDEX(W$80:W$93,$D1029)/$E1029</f>
        <v/>
      </c>
      <c r="X1029" s="35">
        <f>INDEX(X$80:X$93,$D1029)/$E1029</f>
        <v/>
      </c>
      <c r="Y1029" s="35">
        <f>INDEX(Y$80:Y$93,$D1029)/$E1029</f>
        <v/>
      </c>
      <c r="Z1029" s="35">
        <f>INDEX(Z$80:Z$93,$D1029)/$E1029</f>
        <v/>
      </c>
      <c r="AA1029" s="35">
        <f>INDEX(AA$80:AA$93,$D1029)/$E1029</f>
        <v/>
      </c>
      <c r="AB1029" s="35">
        <f>INDEX(AB$80:AB$93,$D1029)/$E1029</f>
        <v/>
      </c>
      <c r="AC1029" s="35">
        <f>INDEX(AC$80:AC$93,$D1029)/$E1029</f>
        <v/>
      </c>
      <c r="AD1029" s="35">
        <f>INDEX(AD$80:AD$93,$D1029)/$E1029</f>
        <v/>
      </c>
      <c r="AE1029" s="42">
        <f>NEWEXCISE(INDEX(AE$80:AE$93,$D1029),$E1029)</f>
        <v/>
      </c>
      <c r="AG1029" s="11">
        <f>CodePrefix&amp;$A1029&amp;IF($C1029="","","."&amp;$C1029&amp;"."&amp;$B1029)&amp;INDEX(VarEnd,MATCH($A1029,VarKey,0))&amp;AG$5</f>
        <v/>
      </c>
      <c r="AH1029" s="40">
        <f>INDEX(AH$80:AH$93,$D1029)/$E1029</f>
        <v/>
      </c>
      <c r="AI1029" s="35">
        <f>INDEX(AI$80:AI$93,$D1029)/$E1029</f>
        <v/>
      </c>
      <c r="AJ1029" s="35">
        <f>INDEX(AJ$80:AJ$93,$D1029)/$E1029</f>
        <v/>
      </c>
      <c r="AK1029" s="35">
        <f>INDEX(AK$80:AK$93,$D1029)/$E1029</f>
        <v/>
      </c>
      <c r="AL1029" s="35">
        <f>INDEX(AL$80:AL$93,$D1029)/$E1029</f>
        <v/>
      </c>
      <c r="AM1029" s="35">
        <f>INDEX(AM$80:AM$93,$D1029)/$E1029</f>
        <v/>
      </c>
      <c r="AN1029" s="35">
        <f>INDEX(AN$80:AN$93,$D1029)/$E1029</f>
        <v/>
      </c>
      <c r="AO1029" s="35">
        <f>INDEX(AO$80:AO$93,$D1029)/$E1029</f>
        <v/>
      </c>
      <c r="AP1029" s="35">
        <f>INDEX(AP$80:AP$93,$D1029)/$E1029</f>
        <v/>
      </c>
      <c r="AQ1029" s="35">
        <f>INDEX(AQ$80:AQ$93,$D1029)/$E1029</f>
        <v/>
      </c>
      <c r="AR1029" s="35">
        <f>INDEX(AR$80:AR$93,$D1029)/$E1029</f>
        <v/>
      </c>
      <c r="AS1029" s="35">
        <f>INDEX(AS$80:AS$93,$D1029)/$E1029</f>
        <v/>
      </c>
      <c r="AT1029" s="35">
        <f>INDEX(AT$80:AT$93,$D1029)/$E1029</f>
        <v/>
      </c>
      <c r="AU1029" s="35">
        <f>INDEX(AU$80:AU$93,$D1029)/$E1029</f>
        <v/>
      </c>
      <c r="AV1029" s="35">
        <f>INDEX(AV$80:AV$93,$D1029)/$E1029</f>
        <v/>
      </c>
      <c r="AW1029" s="35">
        <f>INDEX(AW$80:AW$93,$D1029)/$E1029</f>
        <v/>
      </c>
      <c r="AX1029" s="35">
        <f>INDEX(AX$80:AX$93,$D1029)/$E1029</f>
        <v/>
      </c>
      <c r="AY1029" s="35">
        <f>INDEX(AY$80:AY$93,$D1029)/$E1029</f>
        <v/>
      </c>
      <c r="AZ1029" s="35">
        <f>INDEX(AZ$80:AZ$93,$D1029)/$E1029</f>
        <v/>
      </c>
      <c r="BA1029" s="42">
        <f>NEWEXCISE(INDEX(BA$80:BA$93,$D1029),$E1029)</f>
        <v/>
      </c>
    </row>
    <row r="1030" hidden="1" outlineLevel="2">
      <c r="A1030" s="14" t="inlineStr">
        <is>
          <t>ntx</t>
        </is>
      </c>
      <c r="B1030" s="14" t="inlineStr">
        <is>
          <t>ker</t>
        </is>
      </c>
      <c r="C1030" s="14" t="inlineStr">
        <is>
          <t>rod</t>
        </is>
      </c>
      <c r="D1030" s="35">
        <f>INDEX(Inputs!$N$5:$N$132,MATCH($B1030&amp;"|"&amp;$C1030,Inputs!$A$5:$A$132,0))</f>
        <v/>
      </c>
      <c r="E1030" s="35">
        <f>INDEX(Inputs!$K$5:$K$132,MATCH($B1030&amp;"|"&amp;$C1030,Inputs!$A$5:$A$132,0))</f>
        <v/>
      </c>
      <c r="F1030" s="39" t="n"/>
      <c r="G1030" s="39" t="n"/>
      <c r="H1030" s="14">
        <f>INDEX(VarLab,MATCH($A1030,VarKey,0))&amp;INDEX(MemLab,MATCH($C1030&amp;"|"&amp;$B1030,MemKey,0))</f>
        <v/>
      </c>
      <c r="I1030" s="14">
        <f>INDEX(VarUnit,MATCH($A1030,VarKey,0))</f>
        <v/>
      </c>
      <c r="J1030" s="14">
        <f>INDEX(VarSrc,MATCH($A1030,VarKey,0))</f>
        <v/>
      </c>
      <c r="K1030" s="11">
        <f>CodePrefix&amp;$A1030&amp;IF($C1030="","","."&amp;$C1030&amp;"."&amp;$B1030)&amp;INDEX(VarEnd,MATCH($A1030,VarKey,0))&amp;K$5</f>
        <v/>
      </c>
      <c r="L1030" s="40">
        <f>INDEX(L$80:L$93,$D1030)/$E1030</f>
        <v/>
      </c>
      <c r="M1030" s="35">
        <f>INDEX(M$80:M$93,$D1030)/$E1030</f>
        <v/>
      </c>
      <c r="N1030" s="35">
        <f>INDEX(N$80:N$93,$D1030)/$E1030</f>
        <v/>
      </c>
      <c r="O1030" s="35">
        <f>INDEX(O$80:O$93,$D1030)/$E1030</f>
        <v/>
      </c>
      <c r="P1030" s="35">
        <f>INDEX(P$80:P$93,$D1030)/$E1030</f>
        <v/>
      </c>
      <c r="Q1030" s="35">
        <f>INDEX(Q$80:Q$93,$D1030)/$E1030</f>
        <v/>
      </c>
      <c r="R1030" s="35">
        <f>INDEX(R$80:R$93,$D1030)/$E1030</f>
        <v/>
      </c>
      <c r="S1030" s="35">
        <f>INDEX(S$80:S$93,$D1030)/$E1030</f>
        <v/>
      </c>
      <c r="T1030" s="35">
        <f>INDEX(T$80:T$93,$D1030)/$E1030</f>
        <v/>
      </c>
      <c r="U1030" s="35">
        <f>INDEX(U$80:U$93,$D1030)/$E1030</f>
        <v/>
      </c>
      <c r="V1030" s="35">
        <f>INDEX(V$80:V$93,$D1030)/$E1030</f>
        <v/>
      </c>
      <c r="W1030" s="35">
        <f>INDEX(W$80:W$93,$D1030)/$E1030</f>
        <v/>
      </c>
      <c r="X1030" s="35">
        <f>INDEX(X$80:X$93,$D1030)/$E1030</f>
        <v/>
      </c>
      <c r="Y1030" s="35">
        <f>INDEX(Y$80:Y$93,$D1030)/$E1030</f>
        <v/>
      </c>
      <c r="Z1030" s="35">
        <f>INDEX(Z$80:Z$93,$D1030)/$E1030</f>
        <v/>
      </c>
      <c r="AA1030" s="35">
        <f>INDEX(AA$80:AA$93,$D1030)/$E1030</f>
        <v/>
      </c>
      <c r="AB1030" s="35">
        <f>INDEX(AB$80:AB$93,$D1030)/$E1030</f>
        <v/>
      </c>
      <c r="AC1030" s="35">
        <f>INDEX(AC$80:AC$93,$D1030)/$E1030</f>
        <v/>
      </c>
      <c r="AD1030" s="35">
        <f>INDEX(AD$80:AD$93,$D1030)/$E1030</f>
        <v/>
      </c>
      <c r="AE1030" s="42">
        <f>NEWEXCISE(INDEX(AE$80:AE$93,$D1030),$E1030)</f>
        <v/>
      </c>
      <c r="AG1030" s="11">
        <f>CodePrefix&amp;$A1030&amp;IF($C1030="","","."&amp;$C1030&amp;"."&amp;$B1030)&amp;INDEX(VarEnd,MATCH($A1030,VarKey,0))&amp;AG$5</f>
        <v/>
      </c>
      <c r="AH1030" s="40">
        <f>INDEX(AH$80:AH$93,$D1030)/$E1030</f>
        <v/>
      </c>
      <c r="AI1030" s="35">
        <f>INDEX(AI$80:AI$93,$D1030)/$E1030</f>
        <v/>
      </c>
      <c r="AJ1030" s="35">
        <f>INDEX(AJ$80:AJ$93,$D1030)/$E1030</f>
        <v/>
      </c>
      <c r="AK1030" s="35">
        <f>INDEX(AK$80:AK$93,$D1030)/$E1030</f>
        <v/>
      </c>
      <c r="AL1030" s="35">
        <f>INDEX(AL$80:AL$93,$D1030)/$E1030</f>
        <v/>
      </c>
      <c r="AM1030" s="35">
        <f>INDEX(AM$80:AM$93,$D1030)/$E1030</f>
        <v/>
      </c>
      <c r="AN1030" s="35">
        <f>INDEX(AN$80:AN$93,$D1030)/$E1030</f>
        <v/>
      </c>
      <c r="AO1030" s="35">
        <f>INDEX(AO$80:AO$93,$D1030)/$E1030</f>
        <v/>
      </c>
      <c r="AP1030" s="35">
        <f>INDEX(AP$80:AP$93,$D1030)/$E1030</f>
        <v/>
      </c>
      <c r="AQ1030" s="35">
        <f>INDEX(AQ$80:AQ$93,$D1030)/$E1030</f>
        <v/>
      </c>
      <c r="AR1030" s="35">
        <f>INDEX(AR$80:AR$93,$D1030)/$E1030</f>
        <v/>
      </c>
      <c r="AS1030" s="35">
        <f>INDEX(AS$80:AS$93,$D1030)/$E1030</f>
        <v/>
      </c>
      <c r="AT1030" s="35">
        <f>INDEX(AT$80:AT$93,$D1030)/$E1030</f>
        <v/>
      </c>
      <c r="AU1030" s="35">
        <f>INDEX(AU$80:AU$93,$D1030)/$E1030</f>
        <v/>
      </c>
      <c r="AV1030" s="35">
        <f>INDEX(AV$80:AV$93,$D1030)/$E1030</f>
        <v/>
      </c>
      <c r="AW1030" s="35">
        <f>INDEX(AW$80:AW$93,$D1030)/$E1030</f>
        <v/>
      </c>
      <c r="AX1030" s="35">
        <f>INDEX(AX$80:AX$93,$D1030)/$E1030</f>
        <v/>
      </c>
      <c r="AY1030" s="35">
        <f>INDEX(AY$80:AY$93,$D1030)/$E1030</f>
        <v/>
      </c>
      <c r="AZ1030" s="35">
        <f>INDEX(AZ$80:AZ$93,$D1030)/$E1030</f>
        <v/>
      </c>
      <c r="BA1030" s="42">
        <f>NEWEXCISE(INDEX(BA$80:BA$93,$D1030),$E1030)</f>
        <v/>
      </c>
    </row>
    <row r="1031" hidden="1" outlineLevel="2">
      <c r="A1031" s="14" t="inlineStr">
        <is>
          <t>ntx</t>
        </is>
      </c>
      <c r="B1031" s="14" t="inlineStr">
        <is>
          <t>oop</t>
        </is>
      </c>
      <c r="C1031" s="14" t="inlineStr">
        <is>
          <t>rod</t>
        </is>
      </c>
      <c r="D1031" s="35">
        <f>INDEX(Inputs!$N$5:$N$132,MATCH($B1031&amp;"|"&amp;$C1031,Inputs!$A$5:$A$132,0))</f>
        <v/>
      </c>
      <c r="E1031" s="35">
        <f>INDEX(Inputs!$K$5:$K$132,MATCH($B1031&amp;"|"&amp;$C1031,Inputs!$A$5:$A$132,0))</f>
        <v/>
      </c>
      <c r="F1031" s="39" t="n"/>
      <c r="G1031" s="39" t="n"/>
      <c r="H1031" s="14">
        <f>INDEX(VarLab,MATCH($A1031,VarKey,0))&amp;INDEX(MemLab,MATCH($C1031&amp;"|"&amp;$B1031,MemKey,0))</f>
        <v/>
      </c>
      <c r="I1031" s="14">
        <f>INDEX(VarUnit,MATCH($A1031,VarKey,0))</f>
        <v/>
      </c>
      <c r="J1031" s="14">
        <f>INDEX(VarSrc,MATCH($A1031,VarKey,0))</f>
        <v/>
      </c>
      <c r="K1031" s="11">
        <f>CodePrefix&amp;$A1031&amp;IF($C1031="","","."&amp;$C1031&amp;"."&amp;$B1031)&amp;INDEX(VarEnd,MATCH($A1031,VarKey,0))&amp;K$5</f>
        <v/>
      </c>
      <c r="L1031" s="40">
        <f>INDEX(L$80:L$93,$D1031)/$E1031</f>
        <v/>
      </c>
      <c r="M1031" s="35">
        <f>INDEX(M$80:M$93,$D1031)/$E1031</f>
        <v/>
      </c>
      <c r="N1031" s="35">
        <f>INDEX(N$80:N$93,$D1031)/$E1031</f>
        <v/>
      </c>
      <c r="O1031" s="35">
        <f>INDEX(O$80:O$93,$D1031)/$E1031</f>
        <v/>
      </c>
      <c r="P1031" s="35">
        <f>INDEX(P$80:P$93,$D1031)/$E1031</f>
        <v/>
      </c>
      <c r="Q1031" s="35">
        <f>INDEX(Q$80:Q$93,$D1031)/$E1031</f>
        <v/>
      </c>
      <c r="R1031" s="35">
        <f>INDEX(R$80:R$93,$D1031)/$E1031</f>
        <v/>
      </c>
      <c r="S1031" s="35">
        <f>INDEX(S$80:S$93,$D1031)/$E1031</f>
        <v/>
      </c>
      <c r="T1031" s="35">
        <f>INDEX(T$80:T$93,$D1031)/$E1031</f>
        <v/>
      </c>
      <c r="U1031" s="35">
        <f>INDEX(U$80:U$93,$D1031)/$E1031</f>
        <v/>
      </c>
      <c r="V1031" s="35">
        <f>INDEX(V$80:V$93,$D1031)/$E1031</f>
        <v/>
      </c>
      <c r="W1031" s="35">
        <f>INDEX(W$80:W$93,$D1031)/$E1031</f>
        <v/>
      </c>
      <c r="X1031" s="35">
        <f>INDEX(X$80:X$93,$D1031)/$E1031</f>
        <v/>
      </c>
      <c r="Y1031" s="35">
        <f>INDEX(Y$80:Y$93,$D1031)/$E1031</f>
        <v/>
      </c>
      <c r="Z1031" s="35">
        <f>INDEX(Z$80:Z$93,$D1031)/$E1031</f>
        <v/>
      </c>
      <c r="AA1031" s="35">
        <f>INDEX(AA$80:AA$93,$D1031)/$E1031</f>
        <v/>
      </c>
      <c r="AB1031" s="35">
        <f>INDEX(AB$80:AB$93,$D1031)/$E1031</f>
        <v/>
      </c>
      <c r="AC1031" s="35">
        <f>INDEX(AC$80:AC$93,$D1031)/$E1031</f>
        <v/>
      </c>
      <c r="AD1031" s="35">
        <f>INDEX(AD$80:AD$93,$D1031)/$E1031</f>
        <v/>
      </c>
      <c r="AE1031" s="42">
        <f>NEWEXCISE(INDEX(AE$80:AE$93,$D1031),$E1031)</f>
        <v/>
      </c>
      <c r="AG1031" s="11">
        <f>CodePrefix&amp;$A1031&amp;IF($C1031="","","."&amp;$C1031&amp;"."&amp;$B1031)&amp;INDEX(VarEnd,MATCH($A1031,VarKey,0))&amp;AG$5</f>
        <v/>
      </c>
      <c r="AH1031" s="40">
        <f>INDEX(AH$80:AH$93,$D1031)/$E1031</f>
        <v/>
      </c>
      <c r="AI1031" s="35">
        <f>INDEX(AI$80:AI$93,$D1031)/$E1031</f>
        <v/>
      </c>
      <c r="AJ1031" s="35">
        <f>INDEX(AJ$80:AJ$93,$D1031)/$E1031</f>
        <v/>
      </c>
      <c r="AK1031" s="35">
        <f>INDEX(AK$80:AK$93,$D1031)/$E1031</f>
        <v/>
      </c>
      <c r="AL1031" s="35">
        <f>INDEX(AL$80:AL$93,$D1031)/$E1031</f>
        <v/>
      </c>
      <c r="AM1031" s="35">
        <f>INDEX(AM$80:AM$93,$D1031)/$E1031</f>
        <v/>
      </c>
      <c r="AN1031" s="35">
        <f>INDEX(AN$80:AN$93,$D1031)/$E1031</f>
        <v/>
      </c>
      <c r="AO1031" s="35">
        <f>INDEX(AO$80:AO$93,$D1031)/$E1031</f>
        <v/>
      </c>
      <c r="AP1031" s="35">
        <f>INDEX(AP$80:AP$93,$D1031)/$E1031</f>
        <v/>
      </c>
      <c r="AQ1031" s="35">
        <f>INDEX(AQ$80:AQ$93,$D1031)/$E1031</f>
        <v/>
      </c>
      <c r="AR1031" s="35">
        <f>INDEX(AR$80:AR$93,$D1031)/$E1031</f>
        <v/>
      </c>
      <c r="AS1031" s="35">
        <f>INDEX(AS$80:AS$93,$D1031)/$E1031</f>
        <v/>
      </c>
      <c r="AT1031" s="35">
        <f>INDEX(AT$80:AT$93,$D1031)/$E1031</f>
        <v/>
      </c>
      <c r="AU1031" s="35">
        <f>INDEX(AU$80:AU$93,$D1031)/$E1031</f>
        <v/>
      </c>
      <c r="AV1031" s="35">
        <f>INDEX(AV$80:AV$93,$D1031)/$E1031</f>
        <v/>
      </c>
      <c r="AW1031" s="35">
        <f>INDEX(AW$80:AW$93,$D1031)/$E1031</f>
        <v/>
      </c>
      <c r="AX1031" s="35">
        <f>INDEX(AX$80:AX$93,$D1031)/$E1031</f>
        <v/>
      </c>
      <c r="AY1031" s="35">
        <f>INDEX(AY$80:AY$93,$D1031)/$E1031</f>
        <v/>
      </c>
      <c r="AZ1031" s="35">
        <f>INDEX(AZ$80:AZ$93,$D1031)/$E1031</f>
        <v/>
      </c>
      <c r="BA1031" s="42">
        <f>NEWEXCISE(INDEX(BA$80:BA$93,$D1031),$E1031)</f>
        <v/>
      </c>
    </row>
    <row r="1032" hidden="1" outlineLevel="2">
      <c r="A1032" s="14" t="inlineStr">
        <is>
          <t>ntx</t>
        </is>
      </c>
      <c r="B1032" s="14" t="inlineStr">
        <is>
          <t>bio</t>
        </is>
      </c>
      <c r="C1032" s="14" t="inlineStr">
        <is>
          <t>rod</t>
        </is>
      </c>
      <c r="D1032" s="35">
        <f>INDEX(Inputs!$N$5:$N$132,MATCH($B1032&amp;"|"&amp;$C1032,Inputs!$A$5:$A$132,0))</f>
        <v/>
      </c>
      <c r="E1032" s="35">
        <f>INDEX(Inputs!$K$5:$K$132,MATCH($B1032&amp;"|"&amp;$C1032,Inputs!$A$5:$A$132,0))</f>
        <v/>
      </c>
      <c r="F1032" s="39" t="n"/>
      <c r="G1032" s="39" t="n"/>
      <c r="H1032" s="14">
        <f>INDEX(VarLab,MATCH($A1032,VarKey,0))&amp;INDEX(MemLab,MATCH($C1032&amp;"|"&amp;$B1032,MemKey,0))</f>
        <v/>
      </c>
      <c r="I1032" s="14">
        <f>INDEX(VarUnit,MATCH($A1032,VarKey,0))</f>
        <v/>
      </c>
      <c r="J1032" s="14">
        <f>INDEX(VarSrc,MATCH($A1032,VarKey,0))</f>
        <v/>
      </c>
      <c r="K1032" s="11">
        <f>CodePrefix&amp;$A1032&amp;IF($C1032="","","."&amp;$C1032&amp;"."&amp;$B1032)&amp;INDEX(VarEnd,MATCH($A1032,VarKey,0))&amp;K$5</f>
        <v/>
      </c>
      <c r="L1032" s="40">
        <f>INDEX(L$80:L$93,$D1032)/$E1032</f>
        <v/>
      </c>
      <c r="M1032" s="35">
        <f>INDEX(M$80:M$93,$D1032)/$E1032</f>
        <v/>
      </c>
      <c r="N1032" s="35">
        <f>INDEX(N$80:N$93,$D1032)/$E1032</f>
        <v/>
      </c>
      <c r="O1032" s="35">
        <f>INDEX(O$80:O$93,$D1032)/$E1032</f>
        <v/>
      </c>
      <c r="P1032" s="35">
        <f>INDEX(P$80:P$93,$D1032)/$E1032</f>
        <v/>
      </c>
      <c r="Q1032" s="35">
        <f>INDEX(Q$80:Q$93,$D1032)/$E1032</f>
        <v/>
      </c>
      <c r="R1032" s="35">
        <f>INDEX(R$80:R$93,$D1032)/$E1032</f>
        <v/>
      </c>
      <c r="S1032" s="35">
        <f>INDEX(S$80:S$93,$D1032)/$E1032</f>
        <v/>
      </c>
      <c r="T1032" s="35">
        <f>INDEX(T$80:T$93,$D1032)/$E1032</f>
        <v/>
      </c>
      <c r="U1032" s="35">
        <f>INDEX(U$80:U$93,$D1032)/$E1032</f>
        <v/>
      </c>
      <c r="V1032" s="35">
        <f>INDEX(V$80:V$93,$D1032)/$E1032</f>
        <v/>
      </c>
      <c r="W1032" s="35">
        <f>INDEX(W$80:W$93,$D1032)/$E1032</f>
        <v/>
      </c>
      <c r="X1032" s="35">
        <f>INDEX(X$80:X$93,$D1032)/$E1032</f>
        <v/>
      </c>
      <c r="Y1032" s="35">
        <f>INDEX(Y$80:Y$93,$D1032)/$E1032</f>
        <v/>
      </c>
      <c r="Z1032" s="35">
        <f>INDEX(Z$80:Z$93,$D1032)/$E1032</f>
        <v/>
      </c>
      <c r="AA1032" s="35">
        <f>INDEX(AA$80:AA$93,$D1032)/$E1032</f>
        <v/>
      </c>
      <c r="AB1032" s="35">
        <f>INDEX(AB$80:AB$93,$D1032)/$E1032</f>
        <v/>
      </c>
      <c r="AC1032" s="35">
        <f>INDEX(AC$80:AC$93,$D1032)/$E1032</f>
        <v/>
      </c>
      <c r="AD1032" s="35">
        <f>INDEX(AD$80:AD$93,$D1032)/$E1032</f>
        <v/>
      </c>
      <c r="AE1032" s="42">
        <f>NEWEXCISE(INDEX(AE$80:AE$93,$D1032),$E1032)</f>
        <v/>
      </c>
      <c r="AG1032" s="11">
        <f>CodePrefix&amp;$A1032&amp;IF($C1032="","","."&amp;$C1032&amp;"."&amp;$B1032)&amp;INDEX(VarEnd,MATCH($A1032,VarKey,0))&amp;AG$5</f>
        <v/>
      </c>
      <c r="AH1032" s="40">
        <f>INDEX(AH$80:AH$93,$D1032)/$E1032</f>
        <v/>
      </c>
      <c r="AI1032" s="35">
        <f>INDEX(AI$80:AI$93,$D1032)/$E1032</f>
        <v/>
      </c>
      <c r="AJ1032" s="35">
        <f>INDEX(AJ$80:AJ$93,$D1032)/$E1032</f>
        <v/>
      </c>
      <c r="AK1032" s="35">
        <f>INDEX(AK$80:AK$93,$D1032)/$E1032</f>
        <v/>
      </c>
      <c r="AL1032" s="35">
        <f>INDEX(AL$80:AL$93,$D1032)/$E1032</f>
        <v/>
      </c>
      <c r="AM1032" s="35">
        <f>INDEX(AM$80:AM$93,$D1032)/$E1032</f>
        <v/>
      </c>
      <c r="AN1032" s="35">
        <f>INDEX(AN$80:AN$93,$D1032)/$E1032</f>
        <v/>
      </c>
      <c r="AO1032" s="35">
        <f>INDEX(AO$80:AO$93,$D1032)/$E1032</f>
        <v/>
      </c>
      <c r="AP1032" s="35">
        <f>INDEX(AP$80:AP$93,$D1032)/$E1032</f>
        <v/>
      </c>
      <c r="AQ1032" s="35">
        <f>INDEX(AQ$80:AQ$93,$D1032)/$E1032</f>
        <v/>
      </c>
      <c r="AR1032" s="35">
        <f>INDEX(AR$80:AR$93,$D1032)/$E1032</f>
        <v/>
      </c>
      <c r="AS1032" s="35">
        <f>INDEX(AS$80:AS$93,$D1032)/$E1032</f>
        <v/>
      </c>
      <c r="AT1032" s="35">
        <f>INDEX(AT$80:AT$93,$D1032)/$E1032</f>
        <v/>
      </c>
      <c r="AU1032" s="35">
        <f>INDEX(AU$80:AU$93,$D1032)/$E1032</f>
        <v/>
      </c>
      <c r="AV1032" s="35">
        <f>INDEX(AV$80:AV$93,$D1032)/$E1032</f>
        <v/>
      </c>
      <c r="AW1032" s="35">
        <f>INDEX(AW$80:AW$93,$D1032)/$E1032</f>
        <v/>
      </c>
      <c r="AX1032" s="35">
        <f>INDEX(AX$80:AX$93,$D1032)/$E1032</f>
        <v/>
      </c>
      <c r="AY1032" s="35">
        <f>INDEX(AY$80:AY$93,$D1032)/$E1032</f>
        <v/>
      </c>
      <c r="AZ1032" s="35">
        <f>INDEX(AZ$80:AZ$93,$D1032)/$E1032</f>
        <v/>
      </c>
      <c r="BA1032" s="42">
        <f>NEWEXCISE(INDEX(BA$80:BA$93,$D1032),$E1032)</f>
        <v/>
      </c>
    </row>
    <row r="1033" hidden="1" outlineLevel="2"/>
    <row r="1034" hidden="1" outlineLevel="2">
      <c r="A1034" s="14" t="inlineStr">
        <is>
          <t>nce</t>
        </is>
      </c>
      <c r="B1034" s="14" t="inlineStr">
        <is>
          <t>coa</t>
        </is>
      </c>
      <c r="C1034" s="14" t="inlineStr">
        <is>
          <t>rod</t>
        </is>
      </c>
      <c r="D1034" s="39" t="n"/>
      <c r="E1034" s="39" t="n"/>
      <c r="F1034" s="39" t="n"/>
      <c r="G1034" s="39" t="n"/>
      <c r="H1034" s="14">
        <f>INDEX(VarLab,MATCH($A1034,VarKey,0))&amp;INDEX(MemLab,MATCH($C1034&amp;"|"&amp;$B1034,MemKey,0))</f>
        <v/>
      </c>
      <c r="I1034" s="14">
        <f>INDEX(VarUnit,MATCH($A1034,VarKey,0))</f>
        <v/>
      </c>
      <c r="J1034" s="14">
        <f>INDEX(VarSrc,MATCH($A1034,VarKey,0))</f>
        <v/>
      </c>
      <c r="K1034" s="11">
        <f>CodePrefix&amp;$A1034&amp;IF($C1034="","","."&amp;$C1034&amp;"."&amp;$B1034)&amp;INDEX(VarEnd,MATCH($A1034,VarKey,0))&amp;K$5</f>
        <v/>
      </c>
      <c r="L1034" s="40">
        <f>L1007+L1016+L1025</f>
        <v/>
      </c>
      <c r="M1034" s="35">
        <f>M1007+M1016+M1025</f>
        <v/>
      </c>
      <c r="N1034" s="35">
        <f>N1007+N1016+N1025</f>
        <v/>
      </c>
      <c r="O1034" s="35">
        <f>O1007+O1016+O1025</f>
        <v/>
      </c>
      <c r="P1034" s="35">
        <f>P1007+P1016+P1025</f>
        <v/>
      </c>
      <c r="Q1034" s="35">
        <f>Q1007+Q1016+Q1025</f>
        <v/>
      </c>
      <c r="R1034" s="35">
        <f>R1007+R1016+R1025</f>
        <v/>
      </c>
      <c r="S1034" s="35">
        <f>S1007+S1016+S1025</f>
        <v/>
      </c>
      <c r="T1034" s="35">
        <f>T1007+T1016+T1025</f>
        <v/>
      </c>
      <c r="U1034" s="35">
        <f>U1007+U1016+U1025</f>
        <v/>
      </c>
      <c r="V1034" s="35">
        <f>V1007+V1016+V1025</f>
        <v/>
      </c>
      <c r="W1034" s="35">
        <f>W1007+W1016+W1025</f>
        <v/>
      </c>
      <c r="X1034" s="35">
        <f>X1007+X1016+X1025</f>
        <v/>
      </c>
      <c r="Y1034" s="35">
        <f>Y1007+Y1016+Y1025</f>
        <v/>
      </c>
      <c r="Z1034" s="35">
        <f>Z1007+Z1016+Z1025</f>
        <v/>
      </c>
      <c r="AA1034" s="35">
        <f>AA1007+AA1016+AA1025</f>
        <v/>
      </c>
      <c r="AB1034" s="35">
        <f>AB1007+AB1016+AB1025</f>
        <v/>
      </c>
      <c r="AC1034" s="35">
        <f>AC1007+AC1016+AC1025</f>
        <v/>
      </c>
      <c r="AD1034" s="35">
        <f>AD1007+AD1016+AD1025</f>
        <v/>
      </c>
      <c r="AE1034" s="42">
        <f>NEWPOLICY(AE1007,AE1016,AE1025)</f>
        <v/>
      </c>
      <c r="AG1034" s="11">
        <f>CodePrefix&amp;$A1034&amp;IF($C1034="","","."&amp;$C1034&amp;"."&amp;$B1034)&amp;INDEX(VarEnd,MATCH($A1034,VarKey,0))&amp;AG$5</f>
        <v/>
      </c>
      <c r="AH1034" s="40">
        <f>AH1007+AH1016+AH1025</f>
        <v/>
      </c>
      <c r="AI1034" s="35">
        <f>AI1007+AI1016+AI1025</f>
        <v/>
      </c>
      <c r="AJ1034" s="35">
        <f>AJ1007+AJ1016+AJ1025</f>
        <v/>
      </c>
      <c r="AK1034" s="35">
        <f>AK1007+AK1016+AK1025</f>
        <v/>
      </c>
      <c r="AL1034" s="35">
        <f>AL1007+AL1016+AL1025</f>
        <v/>
      </c>
      <c r="AM1034" s="35">
        <f>AM1007+AM1016+AM1025</f>
        <v/>
      </c>
      <c r="AN1034" s="35">
        <f>AN1007+AN1016+AN1025</f>
        <v/>
      </c>
      <c r="AO1034" s="35">
        <f>AO1007+AO1016+AO1025</f>
        <v/>
      </c>
      <c r="AP1034" s="35">
        <f>AP1007+AP1016+AP1025</f>
        <v/>
      </c>
      <c r="AQ1034" s="35">
        <f>AQ1007+AQ1016+AQ1025</f>
        <v/>
      </c>
      <c r="AR1034" s="35">
        <f>AR1007+AR1016+AR1025</f>
        <v/>
      </c>
      <c r="AS1034" s="35">
        <f>AS1007+AS1016+AS1025</f>
        <v/>
      </c>
      <c r="AT1034" s="35">
        <f>AT1007+AT1016+AT1025</f>
        <v/>
      </c>
      <c r="AU1034" s="35">
        <f>AU1007+AU1016+AU1025</f>
        <v/>
      </c>
      <c r="AV1034" s="35">
        <f>AV1007+AV1016+AV1025</f>
        <v/>
      </c>
      <c r="AW1034" s="35">
        <f>AW1007+AW1016+AW1025</f>
        <v/>
      </c>
      <c r="AX1034" s="35">
        <f>AX1007+AX1016+AX1025</f>
        <v/>
      </c>
      <c r="AY1034" s="35">
        <f>AY1007+AY1016+AY1025</f>
        <v/>
      </c>
      <c r="AZ1034" s="35">
        <f>AZ1007+AZ1016+AZ1025</f>
        <v/>
      </c>
      <c r="BA1034" s="42">
        <f>NEWPOLICY(BA1007,BA1016,BA1025)</f>
        <v/>
      </c>
    </row>
    <row r="1035" hidden="1" outlineLevel="2">
      <c r="A1035" s="14" t="inlineStr">
        <is>
          <t>nce</t>
        </is>
      </c>
      <c r="B1035" s="14" t="inlineStr">
        <is>
          <t>nga</t>
        </is>
      </c>
      <c r="C1035" s="14" t="inlineStr">
        <is>
          <t>rod</t>
        </is>
      </c>
      <c r="D1035" s="39" t="n"/>
      <c r="E1035" s="39" t="n"/>
      <c r="F1035" s="39" t="n"/>
      <c r="G1035" s="39" t="n"/>
      <c r="H1035" s="14">
        <f>INDEX(VarLab,MATCH($A1035,VarKey,0))&amp;INDEX(MemLab,MATCH($C1035&amp;"|"&amp;$B1035,MemKey,0))</f>
        <v/>
      </c>
      <c r="I1035" s="14">
        <f>INDEX(VarUnit,MATCH($A1035,VarKey,0))</f>
        <v/>
      </c>
      <c r="J1035" s="14">
        <f>INDEX(VarSrc,MATCH($A1035,VarKey,0))</f>
        <v/>
      </c>
      <c r="K1035" s="11">
        <f>CodePrefix&amp;$A1035&amp;IF($C1035="","","."&amp;$C1035&amp;"."&amp;$B1035)&amp;INDEX(VarEnd,MATCH($A1035,VarKey,0))&amp;K$5</f>
        <v/>
      </c>
      <c r="L1035" s="40">
        <f>L1008+L1017+L1026</f>
        <v/>
      </c>
      <c r="M1035" s="35">
        <f>M1008+M1017+M1026</f>
        <v/>
      </c>
      <c r="N1035" s="35">
        <f>N1008+N1017+N1026</f>
        <v/>
      </c>
      <c r="O1035" s="35">
        <f>O1008+O1017+O1026</f>
        <v/>
      </c>
      <c r="P1035" s="35">
        <f>P1008+P1017+P1026</f>
        <v/>
      </c>
      <c r="Q1035" s="35">
        <f>Q1008+Q1017+Q1026</f>
        <v/>
      </c>
      <c r="R1035" s="35">
        <f>R1008+R1017+R1026</f>
        <v/>
      </c>
      <c r="S1035" s="35">
        <f>S1008+S1017+S1026</f>
        <v/>
      </c>
      <c r="T1035" s="35">
        <f>T1008+T1017+T1026</f>
        <v/>
      </c>
      <c r="U1035" s="35">
        <f>U1008+U1017+U1026</f>
        <v/>
      </c>
      <c r="V1035" s="35">
        <f>V1008+V1017+V1026</f>
        <v/>
      </c>
      <c r="W1035" s="35">
        <f>W1008+W1017+W1026</f>
        <v/>
      </c>
      <c r="X1035" s="35">
        <f>X1008+X1017+X1026</f>
        <v/>
      </c>
      <c r="Y1035" s="35">
        <f>Y1008+Y1017+Y1026</f>
        <v/>
      </c>
      <c r="Z1035" s="35">
        <f>Z1008+Z1017+Z1026</f>
        <v/>
      </c>
      <c r="AA1035" s="35">
        <f>AA1008+AA1017+AA1026</f>
        <v/>
      </c>
      <c r="AB1035" s="35">
        <f>AB1008+AB1017+AB1026</f>
        <v/>
      </c>
      <c r="AC1035" s="35">
        <f>AC1008+AC1017+AC1026</f>
        <v/>
      </c>
      <c r="AD1035" s="35">
        <f>AD1008+AD1017+AD1026</f>
        <v/>
      </c>
      <c r="AE1035" s="42">
        <f>NEWPOLICY(AE1008,AE1017,AE1026)</f>
        <v/>
      </c>
      <c r="AG1035" s="11">
        <f>CodePrefix&amp;$A1035&amp;IF($C1035="","","."&amp;$C1035&amp;"."&amp;$B1035)&amp;INDEX(VarEnd,MATCH($A1035,VarKey,0))&amp;AG$5</f>
        <v/>
      </c>
      <c r="AH1035" s="40">
        <f>AH1008+AH1017+AH1026</f>
        <v/>
      </c>
      <c r="AI1035" s="35">
        <f>AI1008+AI1017+AI1026</f>
        <v/>
      </c>
      <c r="AJ1035" s="35">
        <f>AJ1008+AJ1017+AJ1026</f>
        <v/>
      </c>
      <c r="AK1035" s="35">
        <f>AK1008+AK1017+AK1026</f>
        <v/>
      </c>
      <c r="AL1035" s="35">
        <f>AL1008+AL1017+AL1026</f>
        <v/>
      </c>
      <c r="AM1035" s="35">
        <f>AM1008+AM1017+AM1026</f>
        <v/>
      </c>
      <c r="AN1035" s="35">
        <f>AN1008+AN1017+AN1026</f>
        <v/>
      </c>
      <c r="AO1035" s="35">
        <f>AO1008+AO1017+AO1026</f>
        <v/>
      </c>
      <c r="AP1035" s="35">
        <f>AP1008+AP1017+AP1026</f>
        <v/>
      </c>
      <c r="AQ1035" s="35">
        <f>AQ1008+AQ1017+AQ1026</f>
        <v/>
      </c>
      <c r="AR1035" s="35">
        <f>AR1008+AR1017+AR1026</f>
        <v/>
      </c>
      <c r="AS1035" s="35">
        <f>AS1008+AS1017+AS1026</f>
        <v/>
      </c>
      <c r="AT1035" s="35">
        <f>AT1008+AT1017+AT1026</f>
        <v/>
      </c>
      <c r="AU1035" s="35">
        <f>AU1008+AU1017+AU1026</f>
        <v/>
      </c>
      <c r="AV1035" s="35">
        <f>AV1008+AV1017+AV1026</f>
        <v/>
      </c>
      <c r="AW1035" s="35">
        <f>AW1008+AW1017+AW1026</f>
        <v/>
      </c>
      <c r="AX1035" s="35">
        <f>AX1008+AX1017+AX1026</f>
        <v/>
      </c>
      <c r="AY1035" s="35">
        <f>AY1008+AY1017+AY1026</f>
        <v/>
      </c>
      <c r="AZ1035" s="35">
        <f>AZ1008+AZ1017+AZ1026</f>
        <v/>
      </c>
      <c r="BA1035" s="42">
        <f>NEWPOLICY(BA1008,BA1017,BA1026)</f>
        <v/>
      </c>
    </row>
    <row r="1036" hidden="1" outlineLevel="2">
      <c r="A1036" s="14" t="inlineStr">
        <is>
          <t>nce</t>
        </is>
      </c>
      <c r="B1036" s="14" t="inlineStr">
        <is>
          <t>gso</t>
        </is>
      </c>
      <c r="C1036" s="14" t="inlineStr">
        <is>
          <t>rod</t>
        </is>
      </c>
      <c r="D1036" s="39" t="n"/>
      <c r="E1036" s="39" t="n"/>
      <c r="F1036" s="39" t="n"/>
      <c r="G1036" s="39" t="n"/>
      <c r="H1036" s="14">
        <f>INDEX(VarLab,MATCH($A1036,VarKey,0))&amp;INDEX(MemLab,MATCH($C1036&amp;"|"&amp;$B1036,MemKey,0))</f>
        <v/>
      </c>
      <c r="I1036" s="14">
        <f>INDEX(VarUnit,MATCH($A1036,VarKey,0))</f>
        <v/>
      </c>
      <c r="J1036" s="14">
        <f>INDEX(VarSrc,MATCH($A1036,VarKey,0))</f>
        <v/>
      </c>
      <c r="K1036" s="11">
        <f>CodePrefix&amp;$A1036&amp;IF($C1036="","","."&amp;$C1036&amp;"."&amp;$B1036)&amp;INDEX(VarEnd,MATCH($A1036,VarKey,0))&amp;K$5</f>
        <v/>
      </c>
      <c r="L1036" s="40">
        <f>L1009+L1018+L1027</f>
        <v/>
      </c>
      <c r="M1036" s="35">
        <f>M1009+M1018+M1027</f>
        <v/>
      </c>
      <c r="N1036" s="35">
        <f>N1009+N1018+N1027</f>
        <v/>
      </c>
      <c r="O1036" s="35">
        <f>O1009+O1018+O1027</f>
        <v/>
      </c>
      <c r="P1036" s="35">
        <f>P1009+P1018+P1027</f>
        <v/>
      </c>
      <c r="Q1036" s="35">
        <f>Q1009+Q1018+Q1027</f>
        <v/>
      </c>
      <c r="R1036" s="35">
        <f>R1009+R1018+R1027</f>
        <v/>
      </c>
      <c r="S1036" s="35">
        <f>S1009+S1018+S1027</f>
        <v/>
      </c>
      <c r="T1036" s="35">
        <f>T1009+T1018+T1027</f>
        <v/>
      </c>
      <c r="U1036" s="35">
        <f>U1009+U1018+U1027</f>
        <v/>
      </c>
      <c r="V1036" s="35">
        <f>V1009+V1018+V1027</f>
        <v/>
      </c>
      <c r="W1036" s="35">
        <f>W1009+W1018+W1027</f>
        <v/>
      </c>
      <c r="X1036" s="35">
        <f>X1009+X1018+X1027</f>
        <v/>
      </c>
      <c r="Y1036" s="35">
        <f>Y1009+Y1018+Y1027</f>
        <v/>
      </c>
      <c r="Z1036" s="35">
        <f>Z1009+Z1018+Z1027</f>
        <v/>
      </c>
      <c r="AA1036" s="35">
        <f>AA1009+AA1018+AA1027</f>
        <v/>
      </c>
      <c r="AB1036" s="35">
        <f>AB1009+AB1018+AB1027</f>
        <v/>
      </c>
      <c r="AC1036" s="35">
        <f>AC1009+AC1018+AC1027</f>
        <v/>
      </c>
      <c r="AD1036" s="35">
        <f>AD1009+AD1018+AD1027</f>
        <v/>
      </c>
      <c r="AE1036" s="42">
        <f>NEWPOLICY(AE1009,AE1018,AE1027)</f>
        <v/>
      </c>
      <c r="AG1036" s="11">
        <f>CodePrefix&amp;$A1036&amp;IF($C1036="","","."&amp;$C1036&amp;"."&amp;$B1036)&amp;INDEX(VarEnd,MATCH($A1036,VarKey,0))&amp;AG$5</f>
        <v/>
      </c>
      <c r="AH1036" s="40">
        <f>AH1009+AH1018+AH1027</f>
        <v/>
      </c>
      <c r="AI1036" s="35">
        <f>AI1009+AI1018+AI1027</f>
        <v/>
      </c>
      <c r="AJ1036" s="35">
        <f>AJ1009+AJ1018+AJ1027</f>
        <v/>
      </c>
      <c r="AK1036" s="35">
        <f>AK1009+AK1018+AK1027</f>
        <v/>
      </c>
      <c r="AL1036" s="35">
        <f>AL1009+AL1018+AL1027</f>
        <v/>
      </c>
      <c r="AM1036" s="35">
        <f>AM1009+AM1018+AM1027</f>
        <v/>
      </c>
      <c r="AN1036" s="35">
        <f>AN1009+AN1018+AN1027</f>
        <v/>
      </c>
      <c r="AO1036" s="35">
        <f>AO1009+AO1018+AO1027</f>
        <v/>
      </c>
      <c r="AP1036" s="35">
        <f>AP1009+AP1018+AP1027</f>
        <v/>
      </c>
      <c r="AQ1036" s="35">
        <f>AQ1009+AQ1018+AQ1027</f>
        <v/>
      </c>
      <c r="AR1036" s="35">
        <f>AR1009+AR1018+AR1027</f>
        <v/>
      </c>
      <c r="AS1036" s="35">
        <f>AS1009+AS1018+AS1027</f>
        <v/>
      </c>
      <c r="AT1036" s="35">
        <f>AT1009+AT1018+AT1027</f>
        <v/>
      </c>
      <c r="AU1036" s="35">
        <f>AU1009+AU1018+AU1027</f>
        <v/>
      </c>
      <c r="AV1036" s="35">
        <f>AV1009+AV1018+AV1027</f>
        <v/>
      </c>
      <c r="AW1036" s="35">
        <f>AW1009+AW1018+AW1027</f>
        <v/>
      </c>
      <c r="AX1036" s="35">
        <f>AX1009+AX1018+AX1027</f>
        <v/>
      </c>
      <c r="AY1036" s="35">
        <f>AY1009+AY1018+AY1027</f>
        <v/>
      </c>
      <c r="AZ1036" s="35">
        <f>AZ1009+AZ1018+AZ1027</f>
        <v/>
      </c>
      <c r="BA1036" s="42">
        <f>NEWPOLICY(BA1009,BA1018,BA1027)</f>
        <v/>
      </c>
    </row>
    <row r="1037" hidden="1" outlineLevel="2">
      <c r="A1037" s="14" t="inlineStr">
        <is>
          <t>nce</t>
        </is>
      </c>
      <c r="B1037" s="14" t="inlineStr">
        <is>
          <t>die</t>
        </is>
      </c>
      <c r="C1037" s="14" t="inlineStr">
        <is>
          <t>rod</t>
        </is>
      </c>
      <c r="D1037" s="39" t="n"/>
      <c r="E1037" s="39" t="n"/>
      <c r="F1037" s="39" t="n"/>
      <c r="G1037" s="39" t="n"/>
      <c r="H1037" s="14">
        <f>INDEX(VarLab,MATCH($A1037,VarKey,0))&amp;INDEX(MemLab,MATCH($C1037&amp;"|"&amp;$B1037,MemKey,0))</f>
        <v/>
      </c>
      <c r="I1037" s="14">
        <f>INDEX(VarUnit,MATCH($A1037,VarKey,0))</f>
        <v/>
      </c>
      <c r="J1037" s="14">
        <f>INDEX(VarSrc,MATCH($A1037,VarKey,0))</f>
        <v/>
      </c>
      <c r="K1037" s="11">
        <f>CodePrefix&amp;$A1037&amp;IF($C1037="","","."&amp;$C1037&amp;"."&amp;$B1037)&amp;INDEX(VarEnd,MATCH($A1037,VarKey,0))&amp;K$5</f>
        <v/>
      </c>
      <c r="L1037" s="40">
        <f>L1010+L1019+L1028</f>
        <v/>
      </c>
      <c r="M1037" s="35">
        <f>M1010+M1019+M1028</f>
        <v/>
      </c>
      <c r="N1037" s="35">
        <f>N1010+N1019+N1028</f>
        <v/>
      </c>
      <c r="O1037" s="35">
        <f>O1010+O1019+O1028</f>
        <v/>
      </c>
      <c r="P1037" s="35">
        <f>P1010+P1019+P1028</f>
        <v/>
      </c>
      <c r="Q1037" s="35">
        <f>Q1010+Q1019+Q1028</f>
        <v/>
      </c>
      <c r="R1037" s="35">
        <f>R1010+R1019+R1028</f>
        <v/>
      </c>
      <c r="S1037" s="35">
        <f>S1010+S1019+S1028</f>
        <v/>
      </c>
      <c r="T1037" s="35">
        <f>T1010+T1019+T1028</f>
        <v/>
      </c>
      <c r="U1037" s="35">
        <f>U1010+U1019+U1028</f>
        <v/>
      </c>
      <c r="V1037" s="35">
        <f>V1010+V1019+V1028</f>
        <v/>
      </c>
      <c r="W1037" s="35">
        <f>W1010+W1019+W1028</f>
        <v/>
      </c>
      <c r="X1037" s="35">
        <f>X1010+X1019+X1028</f>
        <v/>
      </c>
      <c r="Y1037" s="35">
        <f>Y1010+Y1019+Y1028</f>
        <v/>
      </c>
      <c r="Z1037" s="35">
        <f>Z1010+Z1019+Z1028</f>
        <v/>
      </c>
      <c r="AA1037" s="35">
        <f>AA1010+AA1019+AA1028</f>
        <v/>
      </c>
      <c r="AB1037" s="35">
        <f>AB1010+AB1019+AB1028</f>
        <v/>
      </c>
      <c r="AC1037" s="35">
        <f>AC1010+AC1019+AC1028</f>
        <v/>
      </c>
      <c r="AD1037" s="35">
        <f>AD1010+AD1019+AD1028</f>
        <v/>
      </c>
      <c r="AE1037" s="42">
        <f>NEWPOLICY(AE1010,AE1019,AE1028)</f>
        <v/>
      </c>
      <c r="AG1037" s="11">
        <f>CodePrefix&amp;$A1037&amp;IF($C1037="","","."&amp;$C1037&amp;"."&amp;$B1037)&amp;INDEX(VarEnd,MATCH($A1037,VarKey,0))&amp;AG$5</f>
        <v/>
      </c>
      <c r="AH1037" s="40">
        <f>AH1010+AH1019+AH1028</f>
        <v/>
      </c>
      <c r="AI1037" s="35">
        <f>AI1010+AI1019+AI1028</f>
        <v/>
      </c>
      <c r="AJ1037" s="35">
        <f>AJ1010+AJ1019+AJ1028</f>
        <v/>
      </c>
      <c r="AK1037" s="35">
        <f>AK1010+AK1019+AK1028</f>
        <v/>
      </c>
      <c r="AL1037" s="35">
        <f>AL1010+AL1019+AL1028</f>
        <v/>
      </c>
      <c r="AM1037" s="35">
        <f>AM1010+AM1019+AM1028</f>
        <v/>
      </c>
      <c r="AN1037" s="35">
        <f>AN1010+AN1019+AN1028</f>
        <v/>
      </c>
      <c r="AO1037" s="35">
        <f>AO1010+AO1019+AO1028</f>
        <v/>
      </c>
      <c r="AP1037" s="35">
        <f>AP1010+AP1019+AP1028</f>
        <v/>
      </c>
      <c r="AQ1037" s="35">
        <f>AQ1010+AQ1019+AQ1028</f>
        <v/>
      </c>
      <c r="AR1037" s="35">
        <f>AR1010+AR1019+AR1028</f>
        <v/>
      </c>
      <c r="AS1037" s="35">
        <f>AS1010+AS1019+AS1028</f>
        <v/>
      </c>
      <c r="AT1037" s="35">
        <f>AT1010+AT1019+AT1028</f>
        <v/>
      </c>
      <c r="AU1037" s="35">
        <f>AU1010+AU1019+AU1028</f>
        <v/>
      </c>
      <c r="AV1037" s="35">
        <f>AV1010+AV1019+AV1028</f>
        <v/>
      </c>
      <c r="AW1037" s="35">
        <f>AW1010+AW1019+AW1028</f>
        <v/>
      </c>
      <c r="AX1037" s="35">
        <f>AX1010+AX1019+AX1028</f>
        <v/>
      </c>
      <c r="AY1037" s="35">
        <f>AY1010+AY1019+AY1028</f>
        <v/>
      </c>
      <c r="AZ1037" s="35">
        <f>AZ1010+AZ1019+AZ1028</f>
        <v/>
      </c>
      <c r="BA1037" s="42">
        <f>NEWPOLICY(BA1010,BA1019,BA1028)</f>
        <v/>
      </c>
    </row>
    <row r="1038" hidden="1" outlineLevel="2">
      <c r="A1038" s="14" t="inlineStr">
        <is>
          <t>nce</t>
        </is>
      </c>
      <c r="B1038" s="14" t="inlineStr">
        <is>
          <t>lpg</t>
        </is>
      </c>
      <c r="C1038" s="14" t="inlineStr">
        <is>
          <t>rod</t>
        </is>
      </c>
      <c r="D1038" s="39" t="n"/>
      <c r="E1038" s="39" t="n"/>
      <c r="F1038" s="39" t="n"/>
      <c r="G1038" s="39" t="n"/>
      <c r="H1038" s="14">
        <f>INDEX(VarLab,MATCH($A1038,VarKey,0))&amp;INDEX(MemLab,MATCH($C1038&amp;"|"&amp;$B1038,MemKey,0))</f>
        <v/>
      </c>
      <c r="I1038" s="14">
        <f>INDEX(VarUnit,MATCH($A1038,VarKey,0))</f>
        <v/>
      </c>
      <c r="J1038" s="14">
        <f>INDEX(VarSrc,MATCH($A1038,VarKey,0))</f>
        <v/>
      </c>
      <c r="K1038" s="11">
        <f>CodePrefix&amp;$A1038&amp;IF($C1038="","","."&amp;$C1038&amp;"."&amp;$B1038)&amp;INDEX(VarEnd,MATCH($A1038,VarKey,0))&amp;K$5</f>
        <v/>
      </c>
      <c r="L1038" s="40">
        <f>L1011+L1020+L1029</f>
        <v/>
      </c>
      <c r="M1038" s="35">
        <f>M1011+M1020+M1029</f>
        <v/>
      </c>
      <c r="N1038" s="35">
        <f>N1011+N1020+N1029</f>
        <v/>
      </c>
      <c r="O1038" s="35">
        <f>O1011+O1020+O1029</f>
        <v/>
      </c>
      <c r="P1038" s="35">
        <f>P1011+P1020+P1029</f>
        <v/>
      </c>
      <c r="Q1038" s="35">
        <f>Q1011+Q1020+Q1029</f>
        <v/>
      </c>
      <c r="R1038" s="35">
        <f>R1011+R1020+R1029</f>
        <v/>
      </c>
      <c r="S1038" s="35">
        <f>S1011+S1020+S1029</f>
        <v/>
      </c>
      <c r="T1038" s="35">
        <f>T1011+T1020+T1029</f>
        <v/>
      </c>
      <c r="U1038" s="35">
        <f>U1011+U1020+U1029</f>
        <v/>
      </c>
      <c r="V1038" s="35">
        <f>V1011+V1020+V1029</f>
        <v/>
      </c>
      <c r="W1038" s="35">
        <f>W1011+W1020+W1029</f>
        <v/>
      </c>
      <c r="X1038" s="35">
        <f>X1011+X1020+X1029</f>
        <v/>
      </c>
      <c r="Y1038" s="35">
        <f>Y1011+Y1020+Y1029</f>
        <v/>
      </c>
      <c r="Z1038" s="35">
        <f>Z1011+Z1020+Z1029</f>
        <v/>
      </c>
      <c r="AA1038" s="35">
        <f>AA1011+AA1020+AA1029</f>
        <v/>
      </c>
      <c r="AB1038" s="35">
        <f>AB1011+AB1020+AB1029</f>
        <v/>
      </c>
      <c r="AC1038" s="35">
        <f>AC1011+AC1020+AC1029</f>
        <v/>
      </c>
      <c r="AD1038" s="35">
        <f>AD1011+AD1020+AD1029</f>
        <v/>
      </c>
      <c r="AE1038" s="42">
        <f>NEWPOLICY(AE1011,AE1020,AE1029)</f>
        <v/>
      </c>
      <c r="AG1038" s="11">
        <f>CodePrefix&amp;$A1038&amp;IF($C1038="","","."&amp;$C1038&amp;"."&amp;$B1038)&amp;INDEX(VarEnd,MATCH($A1038,VarKey,0))&amp;AG$5</f>
        <v/>
      </c>
      <c r="AH1038" s="40">
        <f>AH1011+AH1020+AH1029</f>
        <v/>
      </c>
      <c r="AI1038" s="35">
        <f>AI1011+AI1020+AI1029</f>
        <v/>
      </c>
      <c r="AJ1038" s="35">
        <f>AJ1011+AJ1020+AJ1029</f>
        <v/>
      </c>
      <c r="AK1038" s="35">
        <f>AK1011+AK1020+AK1029</f>
        <v/>
      </c>
      <c r="AL1038" s="35">
        <f>AL1011+AL1020+AL1029</f>
        <v/>
      </c>
      <c r="AM1038" s="35">
        <f>AM1011+AM1020+AM1029</f>
        <v/>
      </c>
      <c r="AN1038" s="35">
        <f>AN1011+AN1020+AN1029</f>
        <v/>
      </c>
      <c r="AO1038" s="35">
        <f>AO1011+AO1020+AO1029</f>
        <v/>
      </c>
      <c r="AP1038" s="35">
        <f>AP1011+AP1020+AP1029</f>
        <v/>
      </c>
      <c r="AQ1038" s="35">
        <f>AQ1011+AQ1020+AQ1029</f>
        <v/>
      </c>
      <c r="AR1038" s="35">
        <f>AR1011+AR1020+AR1029</f>
        <v/>
      </c>
      <c r="AS1038" s="35">
        <f>AS1011+AS1020+AS1029</f>
        <v/>
      </c>
      <c r="AT1038" s="35">
        <f>AT1011+AT1020+AT1029</f>
        <v/>
      </c>
      <c r="AU1038" s="35">
        <f>AU1011+AU1020+AU1029</f>
        <v/>
      </c>
      <c r="AV1038" s="35">
        <f>AV1011+AV1020+AV1029</f>
        <v/>
      </c>
      <c r="AW1038" s="35">
        <f>AW1011+AW1020+AW1029</f>
        <v/>
      </c>
      <c r="AX1038" s="35">
        <f>AX1011+AX1020+AX1029</f>
        <v/>
      </c>
      <c r="AY1038" s="35">
        <f>AY1011+AY1020+AY1029</f>
        <v/>
      </c>
      <c r="AZ1038" s="35">
        <f>AZ1011+AZ1020+AZ1029</f>
        <v/>
      </c>
      <c r="BA1038" s="42">
        <f>NEWPOLICY(BA1011,BA1020,BA1029)</f>
        <v/>
      </c>
    </row>
    <row r="1039" hidden="1" outlineLevel="2">
      <c r="A1039" s="14" t="inlineStr">
        <is>
          <t>nce</t>
        </is>
      </c>
      <c r="B1039" s="14" t="inlineStr">
        <is>
          <t>ker</t>
        </is>
      </c>
      <c r="C1039" s="14" t="inlineStr">
        <is>
          <t>rod</t>
        </is>
      </c>
      <c r="D1039" s="39" t="n"/>
      <c r="E1039" s="39" t="n"/>
      <c r="F1039" s="39" t="n"/>
      <c r="G1039" s="39" t="n"/>
      <c r="H1039" s="14">
        <f>INDEX(VarLab,MATCH($A1039,VarKey,0))&amp;INDEX(MemLab,MATCH($C1039&amp;"|"&amp;$B1039,MemKey,0))</f>
        <v/>
      </c>
      <c r="I1039" s="14">
        <f>INDEX(VarUnit,MATCH($A1039,VarKey,0))</f>
        <v/>
      </c>
      <c r="J1039" s="14">
        <f>INDEX(VarSrc,MATCH($A1039,VarKey,0))</f>
        <v/>
      </c>
      <c r="K1039" s="11">
        <f>CodePrefix&amp;$A1039&amp;IF($C1039="","","."&amp;$C1039&amp;"."&amp;$B1039)&amp;INDEX(VarEnd,MATCH($A1039,VarKey,0))&amp;K$5</f>
        <v/>
      </c>
      <c r="L1039" s="40">
        <f>L1012+L1021+L1030</f>
        <v/>
      </c>
      <c r="M1039" s="35">
        <f>M1012+M1021+M1030</f>
        <v/>
      </c>
      <c r="N1039" s="35">
        <f>N1012+N1021+N1030</f>
        <v/>
      </c>
      <c r="O1039" s="35">
        <f>O1012+O1021+O1030</f>
        <v/>
      </c>
      <c r="P1039" s="35">
        <f>P1012+P1021+P1030</f>
        <v/>
      </c>
      <c r="Q1039" s="35">
        <f>Q1012+Q1021+Q1030</f>
        <v/>
      </c>
      <c r="R1039" s="35">
        <f>R1012+R1021+R1030</f>
        <v/>
      </c>
      <c r="S1039" s="35">
        <f>S1012+S1021+S1030</f>
        <v/>
      </c>
      <c r="T1039" s="35">
        <f>T1012+T1021+T1030</f>
        <v/>
      </c>
      <c r="U1039" s="35">
        <f>U1012+U1021+U1030</f>
        <v/>
      </c>
      <c r="V1039" s="35">
        <f>V1012+V1021+V1030</f>
        <v/>
      </c>
      <c r="W1039" s="35">
        <f>W1012+W1021+W1030</f>
        <v/>
      </c>
      <c r="X1039" s="35">
        <f>X1012+X1021+X1030</f>
        <v/>
      </c>
      <c r="Y1039" s="35">
        <f>Y1012+Y1021+Y1030</f>
        <v/>
      </c>
      <c r="Z1039" s="35">
        <f>Z1012+Z1021+Z1030</f>
        <v/>
      </c>
      <c r="AA1039" s="35">
        <f>AA1012+AA1021+AA1030</f>
        <v/>
      </c>
      <c r="AB1039" s="35">
        <f>AB1012+AB1021+AB1030</f>
        <v/>
      </c>
      <c r="AC1039" s="35">
        <f>AC1012+AC1021+AC1030</f>
        <v/>
      </c>
      <c r="AD1039" s="35">
        <f>AD1012+AD1021+AD1030</f>
        <v/>
      </c>
      <c r="AE1039" s="42">
        <f>NEWPOLICY(AE1012,AE1021,AE1030)</f>
        <v/>
      </c>
      <c r="AG1039" s="11">
        <f>CodePrefix&amp;$A1039&amp;IF($C1039="","","."&amp;$C1039&amp;"."&amp;$B1039)&amp;INDEX(VarEnd,MATCH($A1039,VarKey,0))&amp;AG$5</f>
        <v/>
      </c>
      <c r="AH1039" s="40">
        <f>AH1012+AH1021+AH1030</f>
        <v/>
      </c>
      <c r="AI1039" s="35">
        <f>AI1012+AI1021+AI1030</f>
        <v/>
      </c>
      <c r="AJ1039" s="35">
        <f>AJ1012+AJ1021+AJ1030</f>
        <v/>
      </c>
      <c r="AK1039" s="35">
        <f>AK1012+AK1021+AK1030</f>
        <v/>
      </c>
      <c r="AL1039" s="35">
        <f>AL1012+AL1021+AL1030</f>
        <v/>
      </c>
      <c r="AM1039" s="35">
        <f>AM1012+AM1021+AM1030</f>
        <v/>
      </c>
      <c r="AN1039" s="35">
        <f>AN1012+AN1021+AN1030</f>
        <v/>
      </c>
      <c r="AO1039" s="35">
        <f>AO1012+AO1021+AO1030</f>
        <v/>
      </c>
      <c r="AP1039" s="35">
        <f>AP1012+AP1021+AP1030</f>
        <v/>
      </c>
      <c r="AQ1039" s="35">
        <f>AQ1012+AQ1021+AQ1030</f>
        <v/>
      </c>
      <c r="AR1039" s="35">
        <f>AR1012+AR1021+AR1030</f>
        <v/>
      </c>
      <c r="AS1039" s="35">
        <f>AS1012+AS1021+AS1030</f>
        <v/>
      </c>
      <c r="AT1039" s="35">
        <f>AT1012+AT1021+AT1030</f>
        <v/>
      </c>
      <c r="AU1039" s="35">
        <f>AU1012+AU1021+AU1030</f>
        <v/>
      </c>
      <c r="AV1039" s="35">
        <f>AV1012+AV1021+AV1030</f>
        <v/>
      </c>
      <c r="AW1039" s="35">
        <f>AW1012+AW1021+AW1030</f>
        <v/>
      </c>
      <c r="AX1039" s="35">
        <f>AX1012+AX1021+AX1030</f>
        <v/>
      </c>
      <c r="AY1039" s="35">
        <f>AY1012+AY1021+AY1030</f>
        <v/>
      </c>
      <c r="AZ1039" s="35">
        <f>AZ1012+AZ1021+AZ1030</f>
        <v/>
      </c>
      <c r="BA1039" s="42">
        <f>NEWPOLICY(BA1012,BA1021,BA1030)</f>
        <v/>
      </c>
    </row>
    <row r="1040" hidden="1" outlineLevel="2">
      <c r="A1040" s="14" t="inlineStr">
        <is>
          <t>nce</t>
        </is>
      </c>
      <c r="B1040" s="14" t="inlineStr">
        <is>
          <t>oop</t>
        </is>
      </c>
      <c r="C1040" s="14" t="inlineStr">
        <is>
          <t>rod</t>
        </is>
      </c>
      <c r="D1040" s="39" t="n"/>
      <c r="E1040" s="39" t="n"/>
      <c r="F1040" s="39" t="n"/>
      <c r="G1040" s="39" t="n"/>
      <c r="H1040" s="14">
        <f>INDEX(VarLab,MATCH($A1040,VarKey,0))&amp;INDEX(MemLab,MATCH($C1040&amp;"|"&amp;$B1040,MemKey,0))</f>
        <v/>
      </c>
      <c r="I1040" s="14">
        <f>INDEX(VarUnit,MATCH($A1040,VarKey,0))</f>
        <v/>
      </c>
      <c r="J1040" s="14">
        <f>INDEX(VarSrc,MATCH($A1040,VarKey,0))</f>
        <v/>
      </c>
      <c r="K1040" s="11">
        <f>CodePrefix&amp;$A1040&amp;IF($C1040="","","."&amp;$C1040&amp;"."&amp;$B1040)&amp;INDEX(VarEnd,MATCH($A1040,VarKey,0))&amp;K$5</f>
        <v/>
      </c>
      <c r="L1040" s="40">
        <f>L1013+L1022+L1031</f>
        <v/>
      </c>
      <c r="M1040" s="35">
        <f>M1013+M1022+M1031</f>
        <v/>
      </c>
      <c r="N1040" s="35">
        <f>N1013+N1022+N1031</f>
        <v/>
      </c>
      <c r="O1040" s="35">
        <f>O1013+O1022+O1031</f>
        <v/>
      </c>
      <c r="P1040" s="35">
        <f>P1013+P1022+P1031</f>
        <v/>
      </c>
      <c r="Q1040" s="35">
        <f>Q1013+Q1022+Q1031</f>
        <v/>
      </c>
      <c r="R1040" s="35">
        <f>R1013+R1022+R1031</f>
        <v/>
      </c>
      <c r="S1040" s="35">
        <f>S1013+S1022+S1031</f>
        <v/>
      </c>
      <c r="T1040" s="35">
        <f>T1013+T1022+T1031</f>
        <v/>
      </c>
      <c r="U1040" s="35">
        <f>U1013+U1022+U1031</f>
        <v/>
      </c>
      <c r="V1040" s="35">
        <f>V1013+V1022+V1031</f>
        <v/>
      </c>
      <c r="W1040" s="35">
        <f>W1013+W1022+W1031</f>
        <v/>
      </c>
      <c r="X1040" s="35">
        <f>X1013+X1022+X1031</f>
        <v/>
      </c>
      <c r="Y1040" s="35">
        <f>Y1013+Y1022+Y1031</f>
        <v/>
      </c>
      <c r="Z1040" s="35">
        <f>Z1013+Z1022+Z1031</f>
        <v/>
      </c>
      <c r="AA1040" s="35">
        <f>AA1013+AA1022+AA1031</f>
        <v/>
      </c>
      <c r="AB1040" s="35">
        <f>AB1013+AB1022+AB1031</f>
        <v/>
      </c>
      <c r="AC1040" s="35">
        <f>AC1013+AC1022+AC1031</f>
        <v/>
      </c>
      <c r="AD1040" s="35">
        <f>AD1013+AD1022+AD1031</f>
        <v/>
      </c>
      <c r="AE1040" s="42">
        <f>NEWPOLICY(AE1013,AE1022,AE1031)</f>
        <v/>
      </c>
      <c r="AG1040" s="11">
        <f>CodePrefix&amp;$A1040&amp;IF($C1040="","","."&amp;$C1040&amp;"."&amp;$B1040)&amp;INDEX(VarEnd,MATCH($A1040,VarKey,0))&amp;AG$5</f>
        <v/>
      </c>
      <c r="AH1040" s="40">
        <f>AH1013+AH1022+AH1031</f>
        <v/>
      </c>
      <c r="AI1040" s="35">
        <f>AI1013+AI1022+AI1031</f>
        <v/>
      </c>
      <c r="AJ1040" s="35">
        <f>AJ1013+AJ1022+AJ1031</f>
        <v/>
      </c>
      <c r="AK1040" s="35">
        <f>AK1013+AK1022+AK1031</f>
        <v/>
      </c>
      <c r="AL1040" s="35">
        <f>AL1013+AL1022+AL1031</f>
        <v/>
      </c>
      <c r="AM1040" s="35">
        <f>AM1013+AM1022+AM1031</f>
        <v/>
      </c>
      <c r="AN1040" s="35">
        <f>AN1013+AN1022+AN1031</f>
        <v/>
      </c>
      <c r="AO1040" s="35">
        <f>AO1013+AO1022+AO1031</f>
        <v/>
      </c>
      <c r="AP1040" s="35">
        <f>AP1013+AP1022+AP1031</f>
        <v/>
      </c>
      <c r="AQ1040" s="35">
        <f>AQ1013+AQ1022+AQ1031</f>
        <v/>
      </c>
      <c r="AR1040" s="35">
        <f>AR1013+AR1022+AR1031</f>
        <v/>
      </c>
      <c r="AS1040" s="35">
        <f>AS1013+AS1022+AS1031</f>
        <v/>
      </c>
      <c r="AT1040" s="35">
        <f>AT1013+AT1022+AT1031</f>
        <v/>
      </c>
      <c r="AU1040" s="35">
        <f>AU1013+AU1022+AU1031</f>
        <v/>
      </c>
      <c r="AV1040" s="35">
        <f>AV1013+AV1022+AV1031</f>
        <v/>
      </c>
      <c r="AW1040" s="35">
        <f>AW1013+AW1022+AW1031</f>
        <v/>
      </c>
      <c r="AX1040" s="35">
        <f>AX1013+AX1022+AX1031</f>
        <v/>
      </c>
      <c r="AY1040" s="35">
        <f>AY1013+AY1022+AY1031</f>
        <v/>
      </c>
      <c r="AZ1040" s="35">
        <f>AZ1013+AZ1022+AZ1031</f>
        <v/>
      </c>
      <c r="BA1040" s="42">
        <f>NEWPOLICY(BA1013,BA1022,BA1031)</f>
        <v/>
      </c>
    </row>
    <row r="1041" hidden="1" outlineLevel="2">
      <c r="A1041" s="14" t="inlineStr">
        <is>
          <t>nce</t>
        </is>
      </c>
      <c r="B1041" s="14" t="inlineStr">
        <is>
          <t>bio</t>
        </is>
      </c>
      <c r="C1041" s="14" t="inlineStr">
        <is>
          <t>rod</t>
        </is>
      </c>
      <c r="D1041" s="39" t="n"/>
      <c r="E1041" s="39" t="n"/>
      <c r="F1041" s="39" t="n"/>
      <c r="G1041" s="39" t="n"/>
      <c r="H1041" s="14">
        <f>INDEX(VarLab,MATCH($A1041,VarKey,0))&amp;INDEX(MemLab,MATCH($C1041&amp;"|"&amp;$B1041,MemKey,0))</f>
        <v/>
      </c>
      <c r="I1041" s="14">
        <f>INDEX(VarUnit,MATCH($A1041,VarKey,0))</f>
        <v/>
      </c>
      <c r="J1041" s="14">
        <f>INDEX(VarSrc,MATCH($A1041,VarKey,0))</f>
        <v/>
      </c>
      <c r="K1041" s="11">
        <f>CodePrefix&amp;$A1041&amp;IF($C1041="","","."&amp;$C1041&amp;"."&amp;$B1041)&amp;INDEX(VarEnd,MATCH($A1041,VarKey,0))&amp;K$5</f>
        <v/>
      </c>
      <c r="L1041" s="40">
        <f>L1014+L1023+L1032</f>
        <v/>
      </c>
      <c r="M1041" s="35">
        <f>M1014+M1023+M1032</f>
        <v/>
      </c>
      <c r="N1041" s="35">
        <f>N1014+N1023+N1032</f>
        <v/>
      </c>
      <c r="O1041" s="35">
        <f>O1014+O1023+O1032</f>
        <v/>
      </c>
      <c r="P1041" s="35">
        <f>P1014+P1023+P1032</f>
        <v/>
      </c>
      <c r="Q1041" s="35">
        <f>Q1014+Q1023+Q1032</f>
        <v/>
      </c>
      <c r="R1041" s="35">
        <f>R1014+R1023+R1032</f>
        <v/>
      </c>
      <c r="S1041" s="35">
        <f>S1014+S1023+S1032</f>
        <v/>
      </c>
      <c r="T1041" s="35">
        <f>T1014+T1023+T1032</f>
        <v/>
      </c>
      <c r="U1041" s="35">
        <f>U1014+U1023+U1032</f>
        <v/>
      </c>
      <c r="V1041" s="35">
        <f>V1014+V1023+V1032</f>
        <v/>
      </c>
      <c r="W1041" s="35">
        <f>W1014+W1023+W1032</f>
        <v/>
      </c>
      <c r="X1041" s="35">
        <f>X1014+X1023+X1032</f>
        <v/>
      </c>
      <c r="Y1041" s="35">
        <f>Y1014+Y1023+Y1032</f>
        <v/>
      </c>
      <c r="Z1041" s="35">
        <f>Z1014+Z1023+Z1032</f>
        <v/>
      </c>
      <c r="AA1041" s="35">
        <f>AA1014+AA1023+AA1032</f>
        <v/>
      </c>
      <c r="AB1041" s="35">
        <f>AB1014+AB1023+AB1032</f>
        <v/>
      </c>
      <c r="AC1041" s="35">
        <f>AC1014+AC1023+AC1032</f>
        <v/>
      </c>
      <c r="AD1041" s="35">
        <f>AD1014+AD1023+AD1032</f>
        <v/>
      </c>
      <c r="AE1041" s="42">
        <f>NEWPOLICY(AE1014,AE1023,AE1032)</f>
        <v/>
      </c>
      <c r="AG1041" s="11">
        <f>CodePrefix&amp;$A1041&amp;IF($C1041="","","."&amp;$C1041&amp;"."&amp;$B1041)&amp;INDEX(VarEnd,MATCH($A1041,VarKey,0))&amp;AG$5</f>
        <v/>
      </c>
      <c r="AH1041" s="40">
        <f>AH1014+AH1023+AH1032</f>
        <v/>
      </c>
      <c r="AI1041" s="35">
        <f>AI1014+AI1023+AI1032</f>
        <v/>
      </c>
      <c r="AJ1041" s="35">
        <f>AJ1014+AJ1023+AJ1032</f>
        <v/>
      </c>
      <c r="AK1041" s="35">
        <f>AK1014+AK1023+AK1032</f>
        <v/>
      </c>
      <c r="AL1041" s="35">
        <f>AL1014+AL1023+AL1032</f>
        <v/>
      </c>
      <c r="AM1041" s="35">
        <f>AM1014+AM1023+AM1032</f>
        <v/>
      </c>
      <c r="AN1041" s="35">
        <f>AN1014+AN1023+AN1032</f>
        <v/>
      </c>
      <c r="AO1041" s="35">
        <f>AO1014+AO1023+AO1032</f>
        <v/>
      </c>
      <c r="AP1041" s="35">
        <f>AP1014+AP1023+AP1032</f>
        <v/>
      </c>
      <c r="AQ1041" s="35">
        <f>AQ1014+AQ1023+AQ1032</f>
        <v/>
      </c>
      <c r="AR1041" s="35">
        <f>AR1014+AR1023+AR1032</f>
        <v/>
      </c>
      <c r="AS1041" s="35">
        <f>AS1014+AS1023+AS1032</f>
        <v/>
      </c>
      <c r="AT1041" s="35">
        <f>AT1014+AT1023+AT1032</f>
        <v/>
      </c>
      <c r="AU1041" s="35">
        <f>AU1014+AU1023+AU1032</f>
        <v/>
      </c>
      <c r="AV1041" s="35">
        <f>AV1014+AV1023+AV1032</f>
        <v/>
      </c>
      <c r="AW1041" s="35">
        <f>AW1014+AW1023+AW1032</f>
        <v/>
      </c>
      <c r="AX1041" s="35">
        <f>AX1014+AX1023+AX1032</f>
        <v/>
      </c>
      <c r="AY1041" s="35">
        <f>AY1014+AY1023+AY1032</f>
        <v/>
      </c>
      <c r="AZ1041" s="35">
        <f>AZ1014+AZ1023+AZ1032</f>
        <v/>
      </c>
      <c r="BA1041" s="42">
        <f>NEWPOLICY(BA1014,BA1023,BA1032)</f>
        <v/>
      </c>
    </row>
    <row r="1042" hidden="1" outlineLevel="2"/>
    <row r="1043" hidden="1" outlineLevel="2">
      <c r="A1043" s="14" t="inlineStr">
        <is>
          <t>xcp</t>
        </is>
      </c>
      <c r="B1043" s="14" t="inlineStr">
        <is>
          <t>coa</t>
        </is>
      </c>
      <c r="C1043" s="14" t="inlineStr">
        <is>
          <t>rod</t>
        </is>
      </c>
      <c r="D1043" s="35">
        <f>INDEX(Inputs!$W$5:$W$132,MATCH($B1043&amp;"|"&amp;$C1043,Inputs!$A$5:$A$132,0))</f>
        <v/>
      </c>
      <c r="E1043" s="35">
        <f>INDEX(Inputs!$Z$5:$Z$132,MATCH($B1043&amp;"|"&amp;$C1043,Inputs!$A$5:$A$132,0))</f>
        <v/>
      </c>
      <c r="F1043" s="35">
        <f>INDEX(Inputs!$AA$5:$AA$132,MATCH($B1043&amp;"|"&amp;$C1043,Inputs!$A$5:$A$132,0))</f>
        <v/>
      </c>
      <c r="G1043" s="39" t="n"/>
      <c r="H1043" s="14">
        <f>INDEX(VarLab,MATCH($A1043,VarKey,0))&amp;INDEX(MemLab,MATCH($C1043&amp;"|"&amp;$B1043,MemKey,0))</f>
        <v/>
      </c>
      <c r="I1043" s="14">
        <f>INDEX(VarUnit,MATCH($A1043,VarKey,0))</f>
        <v/>
      </c>
      <c r="J1043" s="14">
        <f>INDEX(VarSrc,MATCH($A1043,VarKey,0))</f>
        <v/>
      </c>
      <c r="K1043" s="11">
        <f>CodePrefix&amp;$A1043&amp;IF($C1043="","","."&amp;$C1043&amp;"."&amp;$B1043)&amp;INDEX(VarEnd,MATCH($A1043,VarKey,0))&amp;K$5</f>
        <v/>
      </c>
      <c r="L1043" s="40">
        <f>$D1043*($E1043*L$321+$F1043*L$324)</f>
        <v/>
      </c>
      <c r="M1043" s="35">
        <f>$D1043*($E1043*M$321+$F1043*M$324)</f>
        <v/>
      </c>
      <c r="N1043" s="35">
        <f>$D1043*($E1043*N$321+$F1043*N$324)</f>
        <v/>
      </c>
      <c r="O1043" s="35">
        <f>$D1043*($E1043*O$321+$F1043*O$324)</f>
        <v/>
      </c>
      <c r="P1043" s="35">
        <f>$D1043*($E1043*P$321+$F1043*P$324)</f>
        <v/>
      </c>
      <c r="Q1043" s="35">
        <f>$D1043*($E1043*Q$321+$F1043*Q$324)</f>
        <v/>
      </c>
      <c r="R1043" s="35">
        <f>$D1043*($E1043*R$321+$F1043*R$324)</f>
        <v/>
      </c>
      <c r="S1043" s="35">
        <f>$D1043*($E1043*S$321+$F1043*S$324)</f>
        <v/>
      </c>
      <c r="T1043" s="35">
        <f>$D1043*($E1043*T$321+$F1043*T$324)</f>
        <v/>
      </c>
      <c r="U1043" s="35">
        <f>$D1043*($E1043*U$321+$F1043*U$324)</f>
        <v/>
      </c>
      <c r="V1043" s="35">
        <f>$D1043*($E1043*V$321+$F1043*V$324)</f>
        <v/>
      </c>
      <c r="W1043" s="35">
        <f>$D1043*($E1043*W$321+$F1043*W$324)</f>
        <v/>
      </c>
      <c r="X1043" s="35">
        <f>$D1043*($E1043*X$321+$F1043*X$324)</f>
        <v/>
      </c>
      <c r="Y1043" s="35">
        <f>$D1043*($E1043*Y$321+$F1043*Y$324)</f>
        <v/>
      </c>
      <c r="Z1043" s="35">
        <f>$D1043*($E1043*Z$321+$F1043*Z$324)</f>
        <v/>
      </c>
      <c r="AA1043" s="35">
        <f>$D1043*($E1043*AA$321+$F1043*AA$324)</f>
        <v/>
      </c>
      <c r="AB1043" s="35">
        <f>$D1043*($E1043*AB$321+$F1043*AB$324)</f>
        <v/>
      </c>
      <c r="AC1043" s="35">
        <f>$D1043*($E1043*AC$321+$F1043*AC$324)</f>
        <v/>
      </c>
      <c r="AD1043" s="35">
        <f>$D1043*($E1043*AD$321+$F1043*AD$324)</f>
        <v/>
      </c>
      <c r="AE1043" s="42">
        <f>XCARBON($D1043,$E1043,AE$321,$F1043,AE$324)</f>
        <v/>
      </c>
      <c r="AG1043" s="11">
        <f>CodePrefix&amp;$A1043&amp;IF($C1043="","","."&amp;$C1043&amp;"."&amp;$B1043)&amp;INDEX(VarEnd,MATCH($A1043,VarKey,0))&amp;AG$5</f>
        <v/>
      </c>
      <c r="AH1043" s="40">
        <f>$D1043*($E1043*AH$321+$F1043*AH$324)</f>
        <v/>
      </c>
      <c r="AI1043" s="35">
        <f>$D1043*($E1043*AI$321+$F1043*AI$324)</f>
        <v/>
      </c>
      <c r="AJ1043" s="35">
        <f>$D1043*($E1043*AJ$321+$F1043*AJ$324)</f>
        <v/>
      </c>
      <c r="AK1043" s="35">
        <f>$D1043*($E1043*AK$321+$F1043*AK$324)</f>
        <v/>
      </c>
      <c r="AL1043" s="35">
        <f>$D1043*($E1043*AL$321+$F1043*AL$324)</f>
        <v/>
      </c>
      <c r="AM1043" s="35">
        <f>$D1043*($E1043*AM$321+$F1043*AM$324)</f>
        <v/>
      </c>
      <c r="AN1043" s="35">
        <f>$D1043*($E1043*AN$321+$F1043*AN$324)</f>
        <v/>
      </c>
      <c r="AO1043" s="35">
        <f>$D1043*($E1043*AO$321+$F1043*AO$324)</f>
        <v/>
      </c>
      <c r="AP1043" s="35">
        <f>$D1043*($E1043*AP$321+$F1043*AP$324)</f>
        <v/>
      </c>
      <c r="AQ1043" s="35">
        <f>$D1043*($E1043*AQ$321+$F1043*AQ$324)</f>
        <v/>
      </c>
      <c r="AR1043" s="35">
        <f>$D1043*($E1043*AR$321+$F1043*AR$324)</f>
        <v/>
      </c>
      <c r="AS1043" s="35">
        <f>$D1043*($E1043*AS$321+$F1043*AS$324)</f>
        <v/>
      </c>
      <c r="AT1043" s="35">
        <f>$D1043*($E1043*AT$321+$F1043*AT$324)</f>
        <v/>
      </c>
      <c r="AU1043" s="35">
        <f>$D1043*($E1043*AU$321+$F1043*AU$324)</f>
        <v/>
      </c>
      <c r="AV1043" s="35">
        <f>$D1043*($E1043*AV$321+$F1043*AV$324)</f>
        <v/>
      </c>
      <c r="AW1043" s="35">
        <f>$D1043*($E1043*AW$321+$F1043*AW$324)</f>
        <v/>
      </c>
      <c r="AX1043" s="35">
        <f>$D1043*($E1043*AX$321+$F1043*AX$324)</f>
        <v/>
      </c>
      <c r="AY1043" s="35">
        <f>$D1043*($E1043*AY$321+$F1043*AY$324)</f>
        <v/>
      </c>
      <c r="AZ1043" s="35">
        <f>$D1043*($E1043*AZ$321+$F1043*AZ$324)</f>
        <v/>
      </c>
      <c r="BA1043" s="42">
        <f>XCARBON($D1043,$E1043,BA$321,$F1043,BA$324)</f>
        <v/>
      </c>
    </row>
    <row r="1044" hidden="1" outlineLevel="2">
      <c r="A1044" s="14" t="inlineStr">
        <is>
          <t>xcp</t>
        </is>
      </c>
      <c r="B1044" s="14" t="inlineStr">
        <is>
          <t>nga</t>
        </is>
      </c>
      <c r="C1044" s="14" t="inlineStr">
        <is>
          <t>rod</t>
        </is>
      </c>
      <c r="D1044" s="35">
        <f>INDEX(Inputs!$W$5:$W$132,MATCH($B1044&amp;"|"&amp;$C1044,Inputs!$A$5:$A$132,0))</f>
        <v/>
      </c>
      <c r="E1044" s="35">
        <f>INDEX(Inputs!$Z$5:$Z$132,MATCH($B1044&amp;"|"&amp;$C1044,Inputs!$A$5:$A$132,0))</f>
        <v/>
      </c>
      <c r="F1044" s="35">
        <f>INDEX(Inputs!$AA$5:$AA$132,MATCH($B1044&amp;"|"&amp;$C1044,Inputs!$A$5:$A$132,0))</f>
        <v/>
      </c>
      <c r="G1044" s="39" t="n"/>
      <c r="H1044" s="14">
        <f>INDEX(VarLab,MATCH($A1044,VarKey,0))&amp;INDEX(MemLab,MATCH($C1044&amp;"|"&amp;$B1044,MemKey,0))</f>
        <v/>
      </c>
      <c r="I1044" s="14">
        <f>INDEX(VarUnit,MATCH($A1044,VarKey,0))</f>
        <v/>
      </c>
      <c r="J1044" s="14">
        <f>INDEX(VarSrc,MATCH($A1044,VarKey,0))</f>
        <v/>
      </c>
      <c r="K1044" s="11">
        <f>CodePrefix&amp;$A1044&amp;IF($C1044="","","."&amp;$C1044&amp;"."&amp;$B1044)&amp;INDEX(VarEnd,MATCH($A1044,VarKey,0))&amp;K$5</f>
        <v/>
      </c>
      <c r="L1044" s="40">
        <f>$D1044*($E1044*L$321+$F1044*L$324)</f>
        <v/>
      </c>
      <c r="M1044" s="35">
        <f>$D1044*($E1044*M$321+$F1044*M$324)</f>
        <v/>
      </c>
      <c r="N1044" s="35">
        <f>$D1044*($E1044*N$321+$F1044*N$324)</f>
        <v/>
      </c>
      <c r="O1044" s="35">
        <f>$D1044*($E1044*O$321+$F1044*O$324)</f>
        <v/>
      </c>
      <c r="P1044" s="35">
        <f>$D1044*($E1044*P$321+$F1044*P$324)</f>
        <v/>
      </c>
      <c r="Q1044" s="35">
        <f>$D1044*($E1044*Q$321+$F1044*Q$324)</f>
        <v/>
      </c>
      <c r="R1044" s="35">
        <f>$D1044*($E1044*R$321+$F1044*R$324)</f>
        <v/>
      </c>
      <c r="S1044" s="35">
        <f>$D1044*($E1044*S$321+$F1044*S$324)</f>
        <v/>
      </c>
      <c r="T1044" s="35">
        <f>$D1044*($E1044*T$321+$F1044*T$324)</f>
        <v/>
      </c>
      <c r="U1044" s="35">
        <f>$D1044*($E1044*U$321+$F1044*U$324)</f>
        <v/>
      </c>
      <c r="V1044" s="35">
        <f>$D1044*($E1044*V$321+$F1044*V$324)</f>
        <v/>
      </c>
      <c r="W1044" s="35">
        <f>$D1044*($E1044*W$321+$F1044*W$324)</f>
        <v/>
      </c>
      <c r="X1044" s="35">
        <f>$D1044*($E1044*X$321+$F1044*X$324)</f>
        <v/>
      </c>
      <c r="Y1044" s="35">
        <f>$D1044*($E1044*Y$321+$F1044*Y$324)</f>
        <v/>
      </c>
      <c r="Z1044" s="35">
        <f>$D1044*($E1044*Z$321+$F1044*Z$324)</f>
        <v/>
      </c>
      <c r="AA1044" s="35">
        <f>$D1044*($E1044*AA$321+$F1044*AA$324)</f>
        <v/>
      </c>
      <c r="AB1044" s="35">
        <f>$D1044*($E1044*AB$321+$F1044*AB$324)</f>
        <v/>
      </c>
      <c r="AC1044" s="35">
        <f>$D1044*($E1044*AC$321+$F1044*AC$324)</f>
        <v/>
      </c>
      <c r="AD1044" s="35">
        <f>$D1044*($E1044*AD$321+$F1044*AD$324)</f>
        <v/>
      </c>
      <c r="AE1044" s="42">
        <f>XCARBON($D1044,$E1044,AE$321,$F1044,AE$324)</f>
        <v/>
      </c>
      <c r="AG1044" s="11">
        <f>CodePrefix&amp;$A1044&amp;IF($C1044="","","."&amp;$C1044&amp;"."&amp;$B1044)&amp;INDEX(VarEnd,MATCH($A1044,VarKey,0))&amp;AG$5</f>
        <v/>
      </c>
      <c r="AH1044" s="40">
        <f>$D1044*($E1044*AH$321+$F1044*AH$324)</f>
        <v/>
      </c>
      <c r="AI1044" s="35">
        <f>$D1044*($E1044*AI$321+$F1044*AI$324)</f>
        <v/>
      </c>
      <c r="AJ1044" s="35">
        <f>$D1044*($E1044*AJ$321+$F1044*AJ$324)</f>
        <v/>
      </c>
      <c r="AK1044" s="35">
        <f>$D1044*($E1044*AK$321+$F1044*AK$324)</f>
        <v/>
      </c>
      <c r="AL1044" s="35">
        <f>$D1044*($E1044*AL$321+$F1044*AL$324)</f>
        <v/>
      </c>
      <c r="AM1044" s="35">
        <f>$D1044*($E1044*AM$321+$F1044*AM$324)</f>
        <v/>
      </c>
      <c r="AN1044" s="35">
        <f>$D1044*($E1044*AN$321+$F1044*AN$324)</f>
        <v/>
      </c>
      <c r="AO1044" s="35">
        <f>$D1044*($E1044*AO$321+$F1044*AO$324)</f>
        <v/>
      </c>
      <c r="AP1044" s="35">
        <f>$D1044*($E1044*AP$321+$F1044*AP$324)</f>
        <v/>
      </c>
      <c r="AQ1044" s="35">
        <f>$D1044*($E1044*AQ$321+$F1044*AQ$324)</f>
        <v/>
      </c>
      <c r="AR1044" s="35">
        <f>$D1044*($E1044*AR$321+$F1044*AR$324)</f>
        <v/>
      </c>
      <c r="AS1044" s="35">
        <f>$D1044*($E1044*AS$321+$F1044*AS$324)</f>
        <v/>
      </c>
      <c r="AT1044" s="35">
        <f>$D1044*($E1044*AT$321+$F1044*AT$324)</f>
        <v/>
      </c>
      <c r="AU1044" s="35">
        <f>$D1044*($E1044*AU$321+$F1044*AU$324)</f>
        <v/>
      </c>
      <c r="AV1044" s="35">
        <f>$D1044*($E1044*AV$321+$F1044*AV$324)</f>
        <v/>
      </c>
      <c r="AW1044" s="35">
        <f>$D1044*($E1044*AW$321+$F1044*AW$324)</f>
        <v/>
      </c>
      <c r="AX1044" s="35">
        <f>$D1044*($E1044*AX$321+$F1044*AX$324)</f>
        <v/>
      </c>
      <c r="AY1044" s="35">
        <f>$D1044*($E1044*AY$321+$F1044*AY$324)</f>
        <v/>
      </c>
      <c r="AZ1044" s="35">
        <f>$D1044*($E1044*AZ$321+$F1044*AZ$324)</f>
        <v/>
      </c>
      <c r="BA1044" s="42">
        <f>XCARBON($D1044,$E1044,BA$321,$F1044,BA$324)</f>
        <v/>
      </c>
    </row>
    <row r="1045" hidden="1" outlineLevel="2">
      <c r="A1045" s="14" t="inlineStr">
        <is>
          <t>xcp</t>
        </is>
      </c>
      <c r="B1045" s="14" t="inlineStr">
        <is>
          <t>gso</t>
        </is>
      </c>
      <c r="C1045" s="14" t="inlineStr">
        <is>
          <t>rod</t>
        </is>
      </c>
      <c r="D1045" s="35">
        <f>INDEX(Inputs!$W$5:$W$132,MATCH($B1045&amp;"|"&amp;$C1045,Inputs!$A$5:$A$132,0))</f>
        <v/>
      </c>
      <c r="E1045" s="35">
        <f>INDEX(Inputs!$Z$5:$Z$132,MATCH($B1045&amp;"|"&amp;$C1045,Inputs!$A$5:$A$132,0))</f>
        <v/>
      </c>
      <c r="F1045" s="35">
        <f>INDEX(Inputs!$AA$5:$AA$132,MATCH($B1045&amp;"|"&amp;$C1045,Inputs!$A$5:$A$132,0))</f>
        <v/>
      </c>
      <c r="G1045" s="39" t="n"/>
      <c r="H1045" s="14">
        <f>INDEX(VarLab,MATCH($A1045,VarKey,0))&amp;INDEX(MemLab,MATCH($C1045&amp;"|"&amp;$B1045,MemKey,0))</f>
        <v/>
      </c>
      <c r="I1045" s="14">
        <f>INDEX(VarUnit,MATCH($A1045,VarKey,0))</f>
        <v/>
      </c>
      <c r="J1045" s="14">
        <f>INDEX(VarSrc,MATCH($A1045,VarKey,0))</f>
        <v/>
      </c>
      <c r="K1045" s="11">
        <f>CodePrefix&amp;$A1045&amp;IF($C1045="","","."&amp;$C1045&amp;"."&amp;$B1045)&amp;INDEX(VarEnd,MATCH($A1045,VarKey,0))&amp;K$5</f>
        <v/>
      </c>
      <c r="L1045" s="40">
        <f>$D1045*($E1045*L$321+$F1045*L$324)</f>
        <v/>
      </c>
      <c r="M1045" s="35">
        <f>$D1045*($E1045*M$321+$F1045*M$324)</f>
        <v/>
      </c>
      <c r="N1045" s="35">
        <f>$D1045*($E1045*N$321+$F1045*N$324)</f>
        <v/>
      </c>
      <c r="O1045" s="35">
        <f>$D1045*($E1045*O$321+$F1045*O$324)</f>
        <v/>
      </c>
      <c r="P1045" s="35">
        <f>$D1045*($E1045*P$321+$F1045*P$324)</f>
        <v/>
      </c>
      <c r="Q1045" s="35">
        <f>$D1045*($E1045*Q$321+$F1045*Q$324)</f>
        <v/>
      </c>
      <c r="R1045" s="35">
        <f>$D1045*($E1045*R$321+$F1045*R$324)</f>
        <v/>
      </c>
      <c r="S1045" s="35">
        <f>$D1045*($E1045*S$321+$F1045*S$324)</f>
        <v/>
      </c>
      <c r="T1045" s="35">
        <f>$D1045*($E1045*T$321+$F1045*T$324)</f>
        <v/>
      </c>
      <c r="U1045" s="35">
        <f>$D1045*($E1045*U$321+$F1045*U$324)</f>
        <v/>
      </c>
      <c r="V1045" s="35">
        <f>$D1045*($E1045*V$321+$F1045*V$324)</f>
        <v/>
      </c>
      <c r="W1045" s="35">
        <f>$D1045*($E1045*W$321+$F1045*W$324)</f>
        <v/>
      </c>
      <c r="X1045" s="35">
        <f>$D1045*($E1045*X$321+$F1045*X$324)</f>
        <v/>
      </c>
      <c r="Y1045" s="35">
        <f>$D1045*($E1045*Y$321+$F1045*Y$324)</f>
        <v/>
      </c>
      <c r="Z1045" s="35">
        <f>$D1045*($E1045*Z$321+$F1045*Z$324)</f>
        <v/>
      </c>
      <c r="AA1045" s="35">
        <f>$D1045*($E1045*AA$321+$F1045*AA$324)</f>
        <v/>
      </c>
      <c r="AB1045" s="35">
        <f>$D1045*($E1045*AB$321+$F1045*AB$324)</f>
        <v/>
      </c>
      <c r="AC1045" s="35">
        <f>$D1045*($E1045*AC$321+$F1045*AC$324)</f>
        <v/>
      </c>
      <c r="AD1045" s="35">
        <f>$D1045*($E1045*AD$321+$F1045*AD$324)</f>
        <v/>
      </c>
      <c r="AE1045" s="42">
        <f>XCARBON($D1045,$E1045,AE$321,$F1045,AE$324)</f>
        <v/>
      </c>
      <c r="AG1045" s="11">
        <f>CodePrefix&amp;$A1045&amp;IF($C1045="","","."&amp;$C1045&amp;"."&amp;$B1045)&amp;INDEX(VarEnd,MATCH($A1045,VarKey,0))&amp;AG$5</f>
        <v/>
      </c>
      <c r="AH1045" s="40">
        <f>$D1045*($E1045*AH$321+$F1045*AH$324)</f>
        <v/>
      </c>
      <c r="AI1045" s="35">
        <f>$D1045*($E1045*AI$321+$F1045*AI$324)</f>
        <v/>
      </c>
      <c r="AJ1045" s="35">
        <f>$D1045*($E1045*AJ$321+$F1045*AJ$324)</f>
        <v/>
      </c>
      <c r="AK1045" s="35">
        <f>$D1045*($E1045*AK$321+$F1045*AK$324)</f>
        <v/>
      </c>
      <c r="AL1045" s="35">
        <f>$D1045*($E1045*AL$321+$F1045*AL$324)</f>
        <v/>
      </c>
      <c r="AM1045" s="35">
        <f>$D1045*($E1045*AM$321+$F1045*AM$324)</f>
        <v/>
      </c>
      <c r="AN1045" s="35">
        <f>$D1045*($E1045*AN$321+$F1045*AN$324)</f>
        <v/>
      </c>
      <c r="AO1045" s="35">
        <f>$D1045*($E1045*AO$321+$F1045*AO$324)</f>
        <v/>
      </c>
      <c r="AP1045" s="35">
        <f>$D1045*($E1045*AP$321+$F1045*AP$324)</f>
        <v/>
      </c>
      <c r="AQ1045" s="35">
        <f>$D1045*($E1045*AQ$321+$F1045*AQ$324)</f>
        <v/>
      </c>
      <c r="AR1045" s="35">
        <f>$D1045*($E1045*AR$321+$F1045*AR$324)</f>
        <v/>
      </c>
      <c r="AS1045" s="35">
        <f>$D1045*($E1045*AS$321+$F1045*AS$324)</f>
        <v/>
      </c>
      <c r="AT1045" s="35">
        <f>$D1045*($E1045*AT$321+$F1045*AT$324)</f>
        <v/>
      </c>
      <c r="AU1045" s="35">
        <f>$D1045*($E1045*AU$321+$F1045*AU$324)</f>
        <v/>
      </c>
      <c r="AV1045" s="35">
        <f>$D1045*($E1045*AV$321+$F1045*AV$324)</f>
        <v/>
      </c>
      <c r="AW1045" s="35">
        <f>$D1045*($E1045*AW$321+$F1045*AW$324)</f>
        <v/>
      </c>
      <c r="AX1045" s="35">
        <f>$D1045*($E1045*AX$321+$F1045*AX$324)</f>
        <v/>
      </c>
      <c r="AY1045" s="35">
        <f>$D1045*($E1045*AY$321+$F1045*AY$324)</f>
        <v/>
      </c>
      <c r="AZ1045" s="35">
        <f>$D1045*($E1045*AZ$321+$F1045*AZ$324)</f>
        <v/>
      </c>
      <c r="BA1045" s="42">
        <f>XCARBON($D1045,$E1045,BA$321,$F1045,BA$324)</f>
        <v/>
      </c>
    </row>
    <row r="1046" hidden="1" outlineLevel="2">
      <c r="A1046" s="14" t="inlineStr">
        <is>
          <t>xcp</t>
        </is>
      </c>
      <c r="B1046" s="14" t="inlineStr">
        <is>
          <t>die</t>
        </is>
      </c>
      <c r="C1046" s="14" t="inlineStr">
        <is>
          <t>rod</t>
        </is>
      </c>
      <c r="D1046" s="35">
        <f>INDEX(Inputs!$W$5:$W$132,MATCH($B1046&amp;"|"&amp;$C1046,Inputs!$A$5:$A$132,0))</f>
        <v/>
      </c>
      <c r="E1046" s="35">
        <f>INDEX(Inputs!$Z$5:$Z$132,MATCH($B1046&amp;"|"&amp;$C1046,Inputs!$A$5:$A$132,0))</f>
        <v/>
      </c>
      <c r="F1046" s="35">
        <f>INDEX(Inputs!$AA$5:$AA$132,MATCH($B1046&amp;"|"&amp;$C1046,Inputs!$A$5:$A$132,0))</f>
        <v/>
      </c>
      <c r="G1046" s="39" t="n"/>
      <c r="H1046" s="14">
        <f>INDEX(VarLab,MATCH($A1046,VarKey,0))&amp;INDEX(MemLab,MATCH($C1046&amp;"|"&amp;$B1046,MemKey,0))</f>
        <v/>
      </c>
      <c r="I1046" s="14">
        <f>INDEX(VarUnit,MATCH($A1046,VarKey,0))</f>
        <v/>
      </c>
      <c r="J1046" s="14">
        <f>INDEX(VarSrc,MATCH($A1046,VarKey,0))</f>
        <v/>
      </c>
      <c r="K1046" s="11">
        <f>CodePrefix&amp;$A1046&amp;IF($C1046="","","."&amp;$C1046&amp;"."&amp;$B1046)&amp;INDEX(VarEnd,MATCH($A1046,VarKey,0))&amp;K$5</f>
        <v/>
      </c>
      <c r="L1046" s="40">
        <f>$D1046*($E1046*L$321+$F1046*L$324)</f>
        <v/>
      </c>
      <c r="M1046" s="35">
        <f>$D1046*($E1046*M$321+$F1046*M$324)</f>
        <v/>
      </c>
      <c r="N1046" s="35">
        <f>$D1046*($E1046*N$321+$F1046*N$324)</f>
        <v/>
      </c>
      <c r="O1046" s="35">
        <f>$D1046*($E1046*O$321+$F1046*O$324)</f>
        <v/>
      </c>
      <c r="P1046" s="35">
        <f>$D1046*($E1046*P$321+$F1046*P$324)</f>
        <v/>
      </c>
      <c r="Q1046" s="35">
        <f>$D1046*($E1046*Q$321+$F1046*Q$324)</f>
        <v/>
      </c>
      <c r="R1046" s="35">
        <f>$D1046*($E1046*R$321+$F1046*R$324)</f>
        <v/>
      </c>
      <c r="S1046" s="35">
        <f>$D1046*($E1046*S$321+$F1046*S$324)</f>
        <v/>
      </c>
      <c r="T1046" s="35">
        <f>$D1046*($E1046*T$321+$F1046*T$324)</f>
        <v/>
      </c>
      <c r="U1046" s="35">
        <f>$D1046*($E1046*U$321+$F1046*U$324)</f>
        <v/>
      </c>
      <c r="V1046" s="35">
        <f>$D1046*($E1046*V$321+$F1046*V$324)</f>
        <v/>
      </c>
      <c r="W1046" s="35">
        <f>$D1046*($E1046*W$321+$F1046*W$324)</f>
        <v/>
      </c>
      <c r="X1046" s="35">
        <f>$D1046*($E1046*X$321+$F1046*X$324)</f>
        <v/>
      </c>
      <c r="Y1046" s="35">
        <f>$D1046*($E1046*Y$321+$F1046*Y$324)</f>
        <v/>
      </c>
      <c r="Z1046" s="35">
        <f>$D1046*($E1046*Z$321+$F1046*Z$324)</f>
        <v/>
      </c>
      <c r="AA1046" s="35">
        <f>$D1046*($E1046*AA$321+$F1046*AA$324)</f>
        <v/>
      </c>
      <c r="AB1046" s="35">
        <f>$D1046*($E1046*AB$321+$F1046*AB$324)</f>
        <v/>
      </c>
      <c r="AC1046" s="35">
        <f>$D1046*($E1046*AC$321+$F1046*AC$324)</f>
        <v/>
      </c>
      <c r="AD1046" s="35">
        <f>$D1046*($E1046*AD$321+$F1046*AD$324)</f>
        <v/>
      </c>
      <c r="AE1046" s="42">
        <f>XCARBON($D1046,$E1046,AE$321,$F1046,AE$324)</f>
        <v/>
      </c>
      <c r="AG1046" s="11">
        <f>CodePrefix&amp;$A1046&amp;IF($C1046="","","."&amp;$C1046&amp;"."&amp;$B1046)&amp;INDEX(VarEnd,MATCH($A1046,VarKey,0))&amp;AG$5</f>
        <v/>
      </c>
      <c r="AH1046" s="40">
        <f>$D1046*($E1046*AH$321+$F1046*AH$324)</f>
        <v/>
      </c>
      <c r="AI1046" s="35">
        <f>$D1046*($E1046*AI$321+$F1046*AI$324)</f>
        <v/>
      </c>
      <c r="AJ1046" s="35">
        <f>$D1046*($E1046*AJ$321+$F1046*AJ$324)</f>
        <v/>
      </c>
      <c r="AK1046" s="35">
        <f>$D1046*($E1046*AK$321+$F1046*AK$324)</f>
        <v/>
      </c>
      <c r="AL1046" s="35">
        <f>$D1046*($E1046*AL$321+$F1046*AL$324)</f>
        <v/>
      </c>
      <c r="AM1046" s="35">
        <f>$D1046*($E1046*AM$321+$F1046*AM$324)</f>
        <v/>
      </c>
      <c r="AN1046" s="35">
        <f>$D1046*($E1046*AN$321+$F1046*AN$324)</f>
        <v/>
      </c>
      <c r="AO1046" s="35">
        <f>$D1046*($E1046*AO$321+$F1046*AO$324)</f>
        <v/>
      </c>
      <c r="AP1046" s="35">
        <f>$D1046*($E1046*AP$321+$F1046*AP$324)</f>
        <v/>
      </c>
      <c r="AQ1046" s="35">
        <f>$D1046*($E1046*AQ$321+$F1046*AQ$324)</f>
        <v/>
      </c>
      <c r="AR1046" s="35">
        <f>$D1046*($E1046*AR$321+$F1046*AR$324)</f>
        <v/>
      </c>
      <c r="AS1046" s="35">
        <f>$D1046*($E1046*AS$321+$F1046*AS$324)</f>
        <v/>
      </c>
      <c r="AT1046" s="35">
        <f>$D1046*($E1046*AT$321+$F1046*AT$324)</f>
        <v/>
      </c>
      <c r="AU1046" s="35">
        <f>$D1046*($E1046*AU$321+$F1046*AU$324)</f>
        <v/>
      </c>
      <c r="AV1046" s="35">
        <f>$D1046*($E1046*AV$321+$F1046*AV$324)</f>
        <v/>
      </c>
      <c r="AW1046" s="35">
        <f>$D1046*($E1046*AW$321+$F1046*AW$324)</f>
        <v/>
      </c>
      <c r="AX1046" s="35">
        <f>$D1046*($E1046*AX$321+$F1046*AX$324)</f>
        <v/>
      </c>
      <c r="AY1046" s="35">
        <f>$D1046*($E1046*AY$321+$F1046*AY$324)</f>
        <v/>
      </c>
      <c r="AZ1046" s="35">
        <f>$D1046*($E1046*AZ$321+$F1046*AZ$324)</f>
        <v/>
      </c>
      <c r="BA1046" s="42">
        <f>XCARBON($D1046,$E1046,BA$321,$F1046,BA$324)</f>
        <v/>
      </c>
    </row>
    <row r="1047" hidden="1" outlineLevel="2">
      <c r="A1047" s="14" t="inlineStr">
        <is>
          <t>xcp</t>
        </is>
      </c>
      <c r="B1047" s="14" t="inlineStr">
        <is>
          <t>lpg</t>
        </is>
      </c>
      <c r="C1047" s="14" t="inlineStr">
        <is>
          <t>rod</t>
        </is>
      </c>
      <c r="D1047" s="35">
        <f>INDEX(Inputs!$W$5:$W$132,MATCH($B1047&amp;"|"&amp;$C1047,Inputs!$A$5:$A$132,0))</f>
        <v/>
      </c>
      <c r="E1047" s="35">
        <f>INDEX(Inputs!$Z$5:$Z$132,MATCH($B1047&amp;"|"&amp;$C1047,Inputs!$A$5:$A$132,0))</f>
        <v/>
      </c>
      <c r="F1047" s="35">
        <f>INDEX(Inputs!$AA$5:$AA$132,MATCH($B1047&amp;"|"&amp;$C1047,Inputs!$A$5:$A$132,0))</f>
        <v/>
      </c>
      <c r="G1047" s="39" t="n"/>
      <c r="H1047" s="14">
        <f>INDEX(VarLab,MATCH($A1047,VarKey,0))&amp;INDEX(MemLab,MATCH($C1047&amp;"|"&amp;$B1047,MemKey,0))</f>
        <v/>
      </c>
      <c r="I1047" s="14">
        <f>INDEX(VarUnit,MATCH($A1047,VarKey,0))</f>
        <v/>
      </c>
      <c r="J1047" s="14">
        <f>INDEX(VarSrc,MATCH($A1047,VarKey,0))</f>
        <v/>
      </c>
      <c r="K1047" s="11">
        <f>CodePrefix&amp;$A1047&amp;IF($C1047="","","."&amp;$C1047&amp;"."&amp;$B1047)&amp;INDEX(VarEnd,MATCH($A1047,VarKey,0))&amp;K$5</f>
        <v/>
      </c>
      <c r="L1047" s="40">
        <f>$D1047*($E1047*L$321+$F1047*L$324)</f>
        <v/>
      </c>
      <c r="M1047" s="35">
        <f>$D1047*($E1047*M$321+$F1047*M$324)</f>
        <v/>
      </c>
      <c r="N1047" s="35">
        <f>$D1047*($E1047*N$321+$F1047*N$324)</f>
        <v/>
      </c>
      <c r="O1047" s="35">
        <f>$D1047*($E1047*O$321+$F1047*O$324)</f>
        <v/>
      </c>
      <c r="P1047" s="35">
        <f>$D1047*($E1047*P$321+$F1047*P$324)</f>
        <v/>
      </c>
      <c r="Q1047" s="35">
        <f>$D1047*($E1047*Q$321+$F1047*Q$324)</f>
        <v/>
      </c>
      <c r="R1047" s="35">
        <f>$D1047*($E1047*R$321+$F1047*R$324)</f>
        <v/>
      </c>
      <c r="S1047" s="35">
        <f>$D1047*($E1047*S$321+$F1047*S$324)</f>
        <v/>
      </c>
      <c r="T1047" s="35">
        <f>$D1047*($E1047*T$321+$F1047*T$324)</f>
        <v/>
      </c>
      <c r="U1047" s="35">
        <f>$D1047*($E1047*U$321+$F1047*U$324)</f>
        <v/>
      </c>
      <c r="V1047" s="35">
        <f>$D1047*($E1047*V$321+$F1047*V$324)</f>
        <v/>
      </c>
      <c r="W1047" s="35">
        <f>$D1047*($E1047*W$321+$F1047*W$324)</f>
        <v/>
      </c>
      <c r="X1047" s="35">
        <f>$D1047*($E1047*X$321+$F1047*X$324)</f>
        <v/>
      </c>
      <c r="Y1047" s="35">
        <f>$D1047*($E1047*Y$321+$F1047*Y$324)</f>
        <v/>
      </c>
      <c r="Z1047" s="35">
        <f>$D1047*($E1047*Z$321+$F1047*Z$324)</f>
        <v/>
      </c>
      <c r="AA1047" s="35">
        <f>$D1047*($E1047*AA$321+$F1047*AA$324)</f>
        <v/>
      </c>
      <c r="AB1047" s="35">
        <f>$D1047*($E1047*AB$321+$F1047*AB$324)</f>
        <v/>
      </c>
      <c r="AC1047" s="35">
        <f>$D1047*($E1047*AC$321+$F1047*AC$324)</f>
        <v/>
      </c>
      <c r="AD1047" s="35">
        <f>$D1047*($E1047*AD$321+$F1047*AD$324)</f>
        <v/>
      </c>
      <c r="AE1047" s="42">
        <f>XCARBON($D1047,$E1047,AE$321,$F1047,AE$324)</f>
        <v/>
      </c>
      <c r="AG1047" s="11">
        <f>CodePrefix&amp;$A1047&amp;IF($C1047="","","."&amp;$C1047&amp;"."&amp;$B1047)&amp;INDEX(VarEnd,MATCH($A1047,VarKey,0))&amp;AG$5</f>
        <v/>
      </c>
      <c r="AH1047" s="40">
        <f>$D1047*($E1047*AH$321+$F1047*AH$324)</f>
        <v/>
      </c>
      <c r="AI1047" s="35">
        <f>$D1047*($E1047*AI$321+$F1047*AI$324)</f>
        <v/>
      </c>
      <c r="AJ1047" s="35">
        <f>$D1047*($E1047*AJ$321+$F1047*AJ$324)</f>
        <v/>
      </c>
      <c r="AK1047" s="35">
        <f>$D1047*($E1047*AK$321+$F1047*AK$324)</f>
        <v/>
      </c>
      <c r="AL1047" s="35">
        <f>$D1047*($E1047*AL$321+$F1047*AL$324)</f>
        <v/>
      </c>
      <c r="AM1047" s="35">
        <f>$D1047*($E1047*AM$321+$F1047*AM$324)</f>
        <v/>
      </c>
      <c r="AN1047" s="35">
        <f>$D1047*($E1047*AN$321+$F1047*AN$324)</f>
        <v/>
      </c>
      <c r="AO1047" s="35">
        <f>$D1047*($E1047*AO$321+$F1047*AO$324)</f>
        <v/>
      </c>
      <c r="AP1047" s="35">
        <f>$D1047*($E1047*AP$321+$F1047*AP$324)</f>
        <v/>
      </c>
      <c r="AQ1047" s="35">
        <f>$D1047*($E1047*AQ$321+$F1047*AQ$324)</f>
        <v/>
      </c>
      <c r="AR1047" s="35">
        <f>$D1047*($E1047*AR$321+$F1047*AR$324)</f>
        <v/>
      </c>
      <c r="AS1047" s="35">
        <f>$D1047*($E1047*AS$321+$F1047*AS$324)</f>
        <v/>
      </c>
      <c r="AT1047" s="35">
        <f>$D1047*($E1047*AT$321+$F1047*AT$324)</f>
        <v/>
      </c>
      <c r="AU1047" s="35">
        <f>$D1047*($E1047*AU$321+$F1047*AU$324)</f>
        <v/>
      </c>
      <c r="AV1047" s="35">
        <f>$D1047*($E1047*AV$321+$F1047*AV$324)</f>
        <v/>
      </c>
      <c r="AW1047" s="35">
        <f>$D1047*($E1047*AW$321+$F1047*AW$324)</f>
        <v/>
      </c>
      <c r="AX1047" s="35">
        <f>$D1047*($E1047*AX$321+$F1047*AX$324)</f>
        <v/>
      </c>
      <c r="AY1047" s="35">
        <f>$D1047*($E1047*AY$321+$F1047*AY$324)</f>
        <v/>
      </c>
      <c r="AZ1047" s="35">
        <f>$D1047*($E1047*AZ$321+$F1047*AZ$324)</f>
        <v/>
      </c>
      <c r="BA1047" s="42">
        <f>XCARBON($D1047,$E1047,BA$321,$F1047,BA$324)</f>
        <v/>
      </c>
    </row>
    <row r="1048" hidden="1" outlineLevel="2">
      <c r="A1048" s="14" t="inlineStr">
        <is>
          <t>xcp</t>
        </is>
      </c>
      <c r="B1048" s="14" t="inlineStr">
        <is>
          <t>ker</t>
        </is>
      </c>
      <c r="C1048" s="14" t="inlineStr">
        <is>
          <t>rod</t>
        </is>
      </c>
      <c r="D1048" s="35">
        <f>INDEX(Inputs!$W$5:$W$132,MATCH($B1048&amp;"|"&amp;$C1048,Inputs!$A$5:$A$132,0))</f>
        <v/>
      </c>
      <c r="E1048" s="35">
        <f>INDEX(Inputs!$Z$5:$Z$132,MATCH($B1048&amp;"|"&amp;$C1048,Inputs!$A$5:$A$132,0))</f>
        <v/>
      </c>
      <c r="F1048" s="35">
        <f>INDEX(Inputs!$AA$5:$AA$132,MATCH($B1048&amp;"|"&amp;$C1048,Inputs!$A$5:$A$132,0))</f>
        <v/>
      </c>
      <c r="G1048" s="39" t="n"/>
      <c r="H1048" s="14">
        <f>INDEX(VarLab,MATCH($A1048,VarKey,0))&amp;INDEX(MemLab,MATCH($C1048&amp;"|"&amp;$B1048,MemKey,0))</f>
        <v/>
      </c>
      <c r="I1048" s="14">
        <f>INDEX(VarUnit,MATCH($A1048,VarKey,0))</f>
        <v/>
      </c>
      <c r="J1048" s="14">
        <f>INDEX(VarSrc,MATCH($A1048,VarKey,0))</f>
        <v/>
      </c>
      <c r="K1048" s="11">
        <f>CodePrefix&amp;$A1048&amp;IF($C1048="","","."&amp;$C1048&amp;"."&amp;$B1048)&amp;INDEX(VarEnd,MATCH($A1048,VarKey,0))&amp;K$5</f>
        <v/>
      </c>
      <c r="L1048" s="40">
        <f>$D1048*($E1048*L$321+$F1048*L$324)</f>
        <v/>
      </c>
      <c r="M1048" s="35">
        <f>$D1048*($E1048*M$321+$F1048*M$324)</f>
        <v/>
      </c>
      <c r="N1048" s="35">
        <f>$D1048*($E1048*N$321+$F1048*N$324)</f>
        <v/>
      </c>
      <c r="O1048" s="35">
        <f>$D1048*($E1048*O$321+$F1048*O$324)</f>
        <v/>
      </c>
      <c r="P1048" s="35">
        <f>$D1048*($E1048*P$321+$F1048*P$324)</f>
        <v/>
      </c>
      <c r="Q1048" s="35">
        <f>$D1048*($E1048*Q$321+$F1048*Q$324)</f>
        <v/>
      </c>
      <c r="R1048" s="35">
        <f>$D1048*($E1048*R$321+$F1048*R$324)</f>
        <v/>
      </c>
      <c r="S1048" s="35">
        <f>$D1048*($E1048*S$321+$F1048*S$324)</f>
        <v/>
      </c>
      <c r="T1048" s="35">
        <f>$D1048*($E1048*T$321+$F1048*T$324)</f>
        <v/>
      </c>
      <c r="U1048" s="35">
        <f>$D1048*($E1048*U$321+$F1048*U$324)</f>
        <v/>
      </c>
      <c r="V1048" s="35">
        <f>$D1048*($E1048*V$321+$F1048*V$324)</f>
        <v/>
      </c>
      <c r="W1048" s="35">
        <f>$D1048*($E1048*W$321+$F1048*W$324)</f>
        <v/>
      </c>
      <c r="X1048" s="35">
        <f>$D1048*($E1048*X$321+$F1048*X$324)</f>
        <v/>
      </c>
      <c r="Y1048" s="35">
        <f>$D1048*($E1048*Y$321+$F1048*Y$324)</f>
        <v/>
      </c>
      <c r="Z1048" s="35">
        <f>$D1048*($E1048*Z$321+$F1048*Z$324)</f>
        <v/>
      </c>
      <c r="AA1048" s="35">
        <f>$D1048*($E1048*AA$321+$F1048*AA$324)</f>
        <v/>
      </c>
      <c r="AB1048" s="35">
        <f>$D1048*($E1048*AB$321+$F1048*AB$324)</f>
        <v/>
      </c>
      <c r="AC1048" s="35">
        <f>$D1048*($E1048*AC$321+$F1048*AC$324)</f>
        <v/>
      </c>
      <c r="AD1048" s="35">
        <f>$D1048*($E1048*AD$321+$F1048*AD$324)</f>
        <v/>
      </c>
      <c r="AE1048" s="42">
        <f>XCARBON($D1048,$E1048,AE$321,$F1048,AE$324)</f>
        <v/>
      </c>
      <c r="AG1048" s="11">
        <f>CodePrefix&amp;$A1048&amp;IF($C1048="","","."&amp;$C1048&amp;"."&amp;$B1048)&amp;INDEX(VarEnd,MATCH($A1048,VarKey,0))&amp;AG$5</f>
        <v/>
      </c>
      <c r="AH1048" s="40">
        <f>$D1048*($E1048*AH$321+$F1048*AH$324)</f>
        <v/>
      </c>
      <c r="AI1048" s="35">
        <f>$D1048*($E1048*AI$321+$F1048*AI$324)</f>
        <v/>
      </c>
      <c r="AJ1048" s="35">
        <f>$D1048*($E1048*AJ$321+$F1048*AJ$324)</f>
        <v/>
      </c>
      <c r="AK1048" s="35">
        <f>$D1048*($E1048*AK$321+$F1048*AK$324)</f>
        <v/>
      </c>
      <c r="AL1048" s="35">
        <f>$D1048*($E1048*AL$321+$F1048*AL$324)</f>
        <v/>
      </c>
      <c r="AM1048" s="35">
        <f>$D1048*($E1048*AM$321+$F1048*AM$324)</f>
        <v/>
      </c>
      <c r="AN1048" s="35">
        <f>$D1048*($E1048*AN$321+$F1048*AN$324)</f>
        <v/>
      </c>
      <c r="AO1048" s="35">
        <f>$D1048*($E1048*AO$321+$F1048*AO$324)</f>
        <v/>
      </c>
      <c r="AP1048" s="35">
        <f>$D1048*($E1048*AP$321+$F1048*AP$324)</f>
        <v/>
      </c>
      <c r="AQ1048" s="35">
        <f>$D1048*($E1048*AQ$321+$F1048*AQ$324)</f>
        <v/>
      </c>
      <c r="AR1048" s="35">
        <f>$D1048*($E1048*AR$321+$F1048*AR$324)</f>
        <v/>
      </c>
      <c r="AS1048" s="35">
        <f>$D1048*($E1048*AS$321+$F1048*AS$324)</f>
        <v/>
      </c>
      <c r="AT1048" s="35">
        <f>$D1048*($E1048*AT$321+$F1048*AT$324)</f>
        <v/>
      </c>
      <c r="AU1048" s="35">
        <f>$D1048*($E1048*AU$321+$F1048*AU$324)</f>
        <v/>
      </c>
      <c r="AV1048" s="35">
        <f>$D1048*($E1048*AV$321+$F1048*AV$324)</f>
        <v/>
      </c>
      <c r="AW1048" s="35">
        <f>$D1048*($E1048*AW$321+$F1048*AW$324)</f>
        <v/>
      </c>
      <c r="AX1048" s="35">
        <f>$D1048*($E1048*AX$321+$F1048*AX$324)</f>
        <v/>
      </c>
      <c r="AY1048" s="35">
        <f>$D1048*($E1048*AY$321+$F1048*AY$324)</f>
        <v/>
      </c>
      <c r="AZ1048" s="35">
        <f>$D1048*($E1048*AZ$321+$F1048*AZ$324)</f>
        <v/>
      </c>
      <c r="BA1048" s="42">
        <f>XCARBON($D1048,$E1048,BA$321,$F1048,BA$324)</f>
        <v/>
      </c>
    </row>
    <row r="1049" hidden="1" outlineLevel="2">
      <c r="A1049" s="14" t="inlineStr">
        <is>
          <t>xcp</t>
        </is>
      </c>
      <c r="B1049" s="14" t="inlineStr">
        <is>
          <t>oop</t>
        </is>
      </c>
      <c r="C1049" s="14" t="inlineStr">
        <is>
          <t>rod</t>
        </is>
      </c>
      <c r="D1049" s="35">
        <f>INDEX(Inputs!$W$5:$W$132,MATCH($B1049&amp;"|"&amp;$C1049,Inputs!$A$5:$A$132,0))</f>
        <v/>
      </c>
      <c r="E1049" s="35">
        <f>INDEX(Inputs!$Z$5:$Z$132,MATCH($B1049&amp;"|"&amp;$C1049,Inputs!$A$5:$A$132,0))</f>
        <v/>
      </c>
      <c r="F1049" s="35">
        <f>INDEX(Inputs!$AA$5:$AA$132,MATCH($B1049&amp;"|"&amp;$C1049,Inputs!$A$5:$A$132,0))</f>
        <v/>
      </c>
      <c r="G1049" s="39" t="n"/>
      <c r="H1049" s="14">
        <f>INDEX(VarLab,MATCH($A1049,VarKey,0))&amp;INDEX(MemLab,MATCH($C1049&amp;"|"&amp;$B1049,MemKey,0))</f>
        <v/>
      </c>
      <c r="I1049" s="14">
        <f>INDEX(VarUnit,MATCH($A1049,VarKey,0))</f>
        <v/>
      </c>
      <c r="J1049" s="14">
        <f>INDEX(VarSrc,MATCH($A1049,VarKey,0))</f>
        <v/>
      </c>
      <c r="K1049" s="11">
        <f>CodePrefix&amp;$A1049&amp;IF($C1049="","","."&amp;$C1049&amp;"."&amp;$B1049)&amp;INDEX(VarEnd,MATCH($A1049,VarKey,0))&amp;K$5</f>
        <v/>
      </c>
      <c r="L1049" s="40">
        <f>$D1049*($E1049*L$321+$F1049*L$324)</f>
        <v/>
      </c>
      <c r="M1049" s="35">
        <f>$D1049*($E1049*M$321+$F1049*M$324)</f>
        <v/>
      </c>
      <c r="N1049" s="35">
        <f>$D1049*($E1049*N$321+$F1049*N$324)</f>
        <v/>
      </c>
      <c r="O1049" s="35">
        <f>$D1049*($E1049*O$321+$F1049*O$324)</f>
        <v/>
      </c>
      <c r="P1049" s="35">
        <f>$D1049*($E1049*P$321+$F1049*P$324)</f>
        <v/>
      </c>
      <c r="Q1049" s="35">
        <f>$D1049*($E1049*Q$321+$F1049*Q$324)</f>
        <v/>
      </c>
      <c r="R1049" s="35">
        <f>$D1049*($E1049*R$321+$F1049*R$324)</f>
        <v/>
      </c>
      <c r="S1049" s="35">
        <f>$D1049*($E1049*S$321+$F1049*S$324)</f>
        <v/>
      </c>
      <c r="T1049" s="35">
        <f>$D1049*($E1049*T$321+$F1049*T$324)</f>
        <v/>
      </c>
      <c r="U1049" s="35">
        <f>$D1049*($E1049*U$321+$F1049*U$324)</f>
        <v/>
      </c>
      <c r="V1049" s="35">
        <f>$D1049*($E1049*V$321+$F1049*V$324)</f>
        <v/>
      </c>
      <c r="W1049" s="35">
        <f>$D1049*($E1049*W$321+$F1049*W$324)</f>
        <v/>
      </c>
      <c r="X1049" s="35">
        <f>$D1049*($E1049*X$321+$F1049*X$324)</f>
        <v/>
      </c>
      <c r="Y1049" s="35">
        <f>$D1049*($E1049*Y$321+$F1049*Y$324)</f>
        <v/>
      </c>
      <c r="Z1049" s="35">
        <f>$D1049*($E1049*Z$321+$F1049*Z$324)</f>
        <v/>
      </c>
      <c r="AA1049" s="35">
        <f>$D1049*($E1049*AA$321+$F1049*AA$324)</f>
        <v/>
      </c>
      <c r="AB1049" s="35">
        <f>$D1049*($E1049*AB$321+$F1049*AB$324)</f>
        <v/>
      </c>
      <c r="AC1049" s="35">
        <f>$D1049*($E1049*AC$321+$F1049*AC$324)</f>
        <v/>
      </c>
      <c r="AD1049" s="35">
        <f>$D1049*($E1049*AD$321+$F1049*AD$324)</f>
        <v/>
      </c>
      <c r="AE1049" s="42">
        <f>XCARBON($D1049,$E1049,AE$321,$F1049,AE$324)</f>
        <v/>
      </c>
      <c r="AG1049" s="11">
        <f>CodePrefix&amp;$A1049&amp;IF($C1049="","","."&amp;$C1049&amp;"."&amp;$B1049)&amp;INDEX(VarEnd,MATCH($A1049,VarKey,0))&amp;AG$5</f>
        <v/>
      </c>
      <c r="AH1049" s="40">
        <f>$D1049*($E1049*AH$321+$F1049*AH$324)</f>
        <v/>
      </c>
      <c r="AI1049" s="35">
        <f>$D1049*($E1049*AI$321+$F1049*AI$324)</f>
        <v/>
      </c>
      <c r="AJ1049" s="35">
        <f>$D1049*($E1049*AJ$321+$F1049*AJ$324)</f>
        <v/>
      </c>
      <c r="AK1049" s="35">
        <f>$D1049*($E1049*AK$321+$F1049*AK$324)</f>
        <v/>
      </c>
      <c r="AL1049" s="35">
        <f>$D1049*($E1049*AL$321+$F1049*AL$324)</f>
        <v/>
      </c>
      <c r="AM1049" s="35">
        <f>$D1049*($E1049*AM$321+$F1049*AM$324)</f>
        <v/>
      </c>
      <c r="AN1049" s="35">
        <f>$D1049*($E1049*AN$321+$F1049*AN$324)</f>
        <v/>
      </c>
      <c r="AO1049" s="35">
        <f>$D1049*($E1049*AO$321+$F1049*AO$324)</f>
        <v/>
      </c>
      <c r="AP1049" s="35">
        <f>$D1049*($E1049*AP$321+$F1049*AP$324)</f>
        <v/>
      </c>
      <c r="AQ1049" s="35">
        <f>$D1049*($E1049*AQ$321+$F1049*AQ$324)</f>
        <v/>
      </c>
      <c r="AR1049" s="35">
        <f>$D1049*($E1049*AR$321+$F1049*AR$324)</f>
        <v/>
      </c>
      <c r="AS1049" s="35">
        <f>$D1049*($E1049*AS$321+$F1049*AS$324)</f>
        <v/>
      </c>
      <c r="AT1049" s="35">
        <f>$D1049*($E1049*AT$321+$F1049*AT$324)</f>
        <v/>
      </c>
      <c r="AU1049" s="35">
        <f>$D1049*($E1049*AU$321+$F1049*AU$324)</f>
        <v/>
      </c>
      <c r="AV1049" s="35">
        <f>$D1049*($E1049*AV$321+$F1049*AV$324)</f>
        <v/>
      </c>
      <c r="AW1049" s="35">
        <f>$D1049*($E1049*AW$321+$F1049*AW$324)</f>
        <v/>
      </c>
      <c r="AX1049" s="35">
        <f>$D1049*($E1049*AX$321+$F1049*AX$324)</f>
        <v/>
      </c>
      <c r="AY1049" s="35">
        <f>$D1049*($E1049*AY$321+$F1049*AY$324)</f>
        <v/>
      </c>
      <c r="AZ1049" s="35">
        <f>$D1049*($E1049*AZ$321+$F1049*AZ$324)</f>
        <v/>
      </c>
      <c r="BA1049" s="42">
        <f>XCARBON($D1049,$E1049,BA$321,$F1049,BA$324)</f>
        <v/>
      </c>
    </row>
    <row r="1050" hidden="1" outlineLevel="2">
      <c r="A1050" s="14" t="inlineStr">
        <is>
          <t>xcp</t>
        </is>
      </c>
      <c r="B1050" s="14" t="inlineStr">
        <is>
          <t>bio</t>
        </is>
      </c>
      <c r="C1050" s="14" t="inlineStr">
        <is>
          <t>rod</t>
        </is>
      </c>
      <c r="D1050" s="35">
        <f>INDEX(Inputs!$W$5:$W$132,MATCH($B1050&amp;"|"&amp;$C1050,Inputs!$A$5:$A$132,0))</f>
        <v/>
      </c>
      <c r="E1050" s="35">
        <f>INDEX(Inputs!$Z$5:$Z$132,MATCH($B1050&amp;"|"&amp;$C1050,Inputs!$A$5:$A$132,0))</f>
        <v/>
      </c>
      <c r="F1050" s="35">
        <f>INDEX(Inputs!$AA$5:$AA$132,MATCH($B1050&amp;"|"&amp;$C1050,Inputs!$A$5:$A$132,0))</f>
        <v/>
      </c>
      <c r="G1050" s="39" t="n"/>
      <c r="H1050" s="14">
        <f>INDEX(VarLab,MATCH($A1050,VarKey,0))&amp;INDEX(MemLab,MATCH($C1050&amp;"|"&amp;$B1050,MemKey,0))</f>
        <v/>
      </c>
      <c r="I1050" s="14">
        <f>INDEX(VarUnit,MATCH($A1050,VarKey,0))</f>
        <v/>
      </c>
      <c r="J1050" s="14">
        <f>INDEX(VarSrc,MATCH($A1050,VarKey,0))</f>
        <v/>
      </c>
      <c r="K1050" s="11">
        <f>CodePrefix&amp;$A1050&amp;IF($C1050="","","."&amp;$C1050&amp;"."&amp;$B1050)&amp;INDEX(VarEnd,MATCH($A1050,VarKey,0))&amp;K$5</f>
        <v/>
      </c>
      <c r="L1050" s="40">
        <f>$D1050*($E1050*L$321+$F1050*L$324)</f>
        <v/>
      </c>
      <c r="M1050" s="35">
        <f>$D1050*($E1050*M$321+$F1050*M$324)</f>
        <v/>
      </c>
      <c r="N1050" s="35">
        <f>$D1050*($E1050*N$321+$F1050*N$324)</f>
        <v/>
      </c>
      <c r="O1050" s="35">
        <f>$D1050*($E1050*O$321+$F1050*O$324)</f>
        <v/>
      </c>
      <c r="P1050" s="35">
        <f>$D1050*($E1050*P$321+$F1050*P$324)</f>
        <v/>
      </c>
      <c r="Q1050" s="35">
        <f>$D1050*($E1050*Q$321+$F1050*Q$324)</f>
        <v/>
      </c>
      <c r="R1050" s="35">
        <f>$D1050*($E1050*R$321+$F1050*R$324)</f>
        <v/>
      </c>
      <c r="S1050" s="35">
        <f>$D1050*($E1050*S$321+$F1050*S$324)</f>
        <v/>
      </c>
      <c r="T1050" s="35">
        <f>$D1050*($E1050*T$321+$F1050*T$324)</f>
        <v/>
      </c>
      <c r="U1050" s="35">
        <f>$D1050*($E1050*U$321+$F1050*U$324)</f>
        <v/>
      </c>
      <c r="V1050" s="35">
        <f>$D1050*($E1050*V$321+$F1050*V$324)</f>
        <v/>
      </c>
      <c r="W1050" s="35">
        <f>$D1050*($E1050*W$321+$F1050*W$324)</f>
        <v/>
      </c>
      <c r="X1050" s="35">
        <f>$D1050*($E1050*X$321+$F1050*X$324)</f>
        <v/>
      </c>
      <c r="Y1050" s="35">
        <f>$D1050*($E1050*Y$321+$F1050*Y$324)</f>
        <v/>
      </c>
      <c r="Z1050" s="35">
        <f>$D1050*($E1050*Z$321+$F1050*Z$324)</f>
        <v/>
      </c>
      <c r="AA1050" s="35">
        <f>$D1050*($E1050*AA$321+$F1050*AA$324)</f>
        <v/>
      </c>
      <c r="AB1050" s="35">
        <f>$D1050*($E1050*AB$321+$F1050*AB$324)</f>
        <v/>
      </c>
      <c r="AC1050" s="35">
        <f>$D1050*($E1050*AC$321+$F1050*AC$324)</f>
        <v/>
      </c>
      <c r="AD1050" s="35">
        <f>$D1050*($E1050*AD$321+$F1050*AD$324)</f>
        <v/>
      </c>
      <c r="AE1050" s="42">
        <f>XCARBON($D1050,$E1050,AE$321,$F1050,AE$324)</f>
        <v/>
      </c>
      <c r="AG1050" s="11">
        <f>CodePrefix&amp;$A1050&amp;IF($C1050="","","."&amp;$C1050&amp;"."&amp;$B1050)&amp;INDEX(VarEnd,MATCH($A1050,VarKey,0))&amp;AG$5</f>
        <v/>
      </c>
      <c r="AH1050" s="40">
        <f>$D1050*($E1050*AH$321+$F1050*AH$324)</f>
        <v/>
      </c>
      <c r="AI1050" s="35">
        <f>$D1050*($E1050*AI$321+$F1050*AI$324)</f>
        <v/>
      </c>
      <c r="AJ1050" s="35">
        <f>$D1050*($E1050*AJ$321+$F1050*AJ$324)</f>
        <v/>
      </c>
      <c r="AK1050" s="35">
        <f>$D1050*($E1050*AK$321+$F1050*AK$324)</f>
        <v/>
      </c>
      <c r="AL1050" s="35">
        <f>$D1050*($E1050*AL$321+$F1050*AL$324)</f>
        <v/>
      </c>
      <c r="AM1050" s="35">
        <f>$D1050*($E1050*AM$321+$F1050*AM$324)</f>
        <v/>
      </c>
      <c r="AN1050" s="35">
        <f>$D1050*($E1050*AN$321+$F1050*AN$324)</f>
        <v/>
      </c>
      <c r="AO1050" s="35">
        <f>$D1050*($E1050*AO$321+$F1050*AO$324)</f>
        <v/>
      </c>
      <c r="AP1050" s="35">
        <f>$D1050*($E1050*AP$321+$F1050*AP$324)</f>
        <v/>
      </c>
      <c r="AQ1050" s="35">
        <f>$D1050*($E1050*AQ$321+$F1050*AQ$324)</f>
        <v/>
      </c>
      <c r="AR1050" s="35">
        <f>$D1050*($E1050*AR$321+$F1050*AR$324)</f>
        <v/>
      </c>
      <c r="AS1050" s="35">
        <f>$D1050*($E1050*AS$321+$F1050*AS$324)</f>
        <v/>
      </c>
      <c r="AT1050" s="35">
        <f>$D1050*($E1050*AT$321+$F1050*AT$324)</f>
        <v/>
      </c>
      <c r="AU1050" s="35">
        <f>$D1050*($E1050*AU$321+$F1050*AU$324)</f>
        <v/>
      </c>
      <c r="AV1050" s="35">
        <f>$D1050*($E1050*AV$321+$F1050*AV$324)</f>
        <v/>
      </c>
      <c r="AW1050" s="35">
        <f>$D1050*($E1050*AW$321+$F1050*AW$324)</f>
        <v/>
      </c>
      <c r="AX1050" s="35">
        <f>$D1050*($E1050*AX$321+$F1050*AX$324)</f>
        <v/>
      </c>
      <c r="AY1050" s="35">
        <f>$D1050*($E1050*AY$321+$F1050*AY$324)</f>
        <v/>
      </c>
      <c r="AZ1050" s="35">
        <f>$D1050*($E1050*AZ$321+$F1050*AZ$324)</f>
        <v/>
      </c>
      <c r="BA1050" s="42">
        <f>XCARBON($D1050,$E1050,BA$321,$F1050,BA$324)</f>
        <v/>
      </c>
    </row>
    <row r="1051" hidden="1" outlineLevel="2"/>
    <row r="1052" hidden="1" outlineLevel="2">
      <c r="A1052" s="14" t="inlineStr">
        <is>
          <t>xcpd</t>
        </is>
      </c>
      <c r="B1052" s="14" t="inlineStr">
        <is>
          <t>coa</t>
        </is>
      </c>
      <c r="C1052" s="14" t="inlineStr">
        <is>
          <t>rod</t>
        </is>
      </c>
      <c r="D1052" s="35">
        <f>INDEX(Inputs!$W$5:$W$132,MATCH($B1052&amp;"|"&amp;$C1052,Inputs!$A$5:$A$132,0))</f>
        <v/>
      </c>
      <c r="E1052" s="35">
        <f>INDEX(Inputs!$Z$5:$Z$132,MATCH($B1052&amp;"|"&amp;$C1052,Inputs!$A$5:$A$132,0))</f>
        <v/>
      </c>
      <c r="F1052" s="35">
        <f>INDEX(Inputs!$AA$5:$AA$132,MATCH($B1052&amp;"|"&amp;$C1052,Inputs!$A$5:$A$132,0))</f>
        <v/>
      </c>
      <c r="G1052" s="39" t="n"/>
      <c r="H1052" s="14">
        <f>INDEX(VarLab,MATCH($A1052,VarKey,0))&amp;INDEX(MemLab,MATCH($C1052&amp;"|"&amp;$B1052,MemKey,0))</f>
        <v/>
      </c>
      <c r="I1052" s="14">
        <f>INDEX(VarUnit,MATCH($A1052,VarKey,0))</f>
        <v/>
      </c>
      <c r="J1052" s="14">
        <f>INDEX(VarSrc,MATCH($A1052,VarKey,0))</f>
        <v/>
      </c>
      <c r="K1052" s="11">
        <f>CodePrefix&amp;$A1052&amp;IF($C1052="","","."&amp;$C1052&amp;"."&amp;$B1052)&amp;INDEX(VarEnd,MATCH($A1052,VarKey,0))&amp;K$5</f>
        <v/>
      </c>
      <c r="L1052" s="40">
        <f>$D1052*($E1052*(L$321-L$322)+$F1052*(L$324-L$325))</f>
        <v/>
      </c>
      <c r="M1052" s="35">
        <f>$D1052*($E1052*(M$321-M$322)+$F1052*(M$324-M$325))</f>
        <v/>
      </c>
      <c r="N1052" s="35">
        <f>$D1052*($E1052*(N$321-N$322)+$F1052*(N$324-N$325))</f>
        <v/>
      </c>
      <c r="O1052" s="35">
        <f>$D1052*($E1052*(O$321-O$322)+$F1052*(O$324-O$325))</f>
        <v/>
      </c>
      <c r="P1052" s="35">
        <f>$D1052*($E1052*(P$321-P$322)+$F1052*(P$324-P$325))</f>
        <v/>
      </c>
      <c r="Q1052" s="35">
        <f>$D1052*($E1052*(Q$321-Q$322)+$F1052*(Q$324-Q$325))</f>
        <v/>
      </c>
      <c r="R1052" s="35">
        <f>$D1052*($E1052*(R$321-R$322)+$F1052*(R$324-R$325))</f>
        <v/>
      </c>
      <c r="S1052" s="35">
        <f>$D1052*($E1052*(S$321-S$322)+$F1052*(S$324-S$325))</f>
        <v/>
      </c>
      <c r="T1052" s="35">
        <f>$D1052*($E1052*(T$321-T$322)+$F1052*(T$324-T$325))</f>
        <v/>
      </c>
      <c r="U1052" s="35">
        <f>$D1052*($E1052*(U$321-U$322)+$F1052*(U$324-U$325))</f>
        <v/>
      </c>
      <c r="V1052" s="35">
        <f>$D1052*($E1052*(V$321-V$322)+$F1052*(V$324-V$325))</f>
        <v/>
      </c>
      <c r="W1052" s="35">
        <f>$D1052*($E1052*(W$321-W$322)+$F1052*(W$324-W$325))</f>
        <v/>
      </c>
      <c r="X1052" s="35">
        <f>$D1052*($E1052*(X$321-X$322)+$F1052*(X$324-X$325))</f>
        <v/>
      </c>
      <c r="Y1052" s="35">
        <f>$D1052*($E1052*(Y$321-Y$322)+$F1052*(Y$324-Y$325))</f>
        <v/>
      </c>
      <c r="Z1052" s="35">
        <f>$D1052*($E1052*(Z$321-Z$322)+$F1052*(Z$324-Z$325))</f>
        <v/>
      </c>
      <c r="AA1052" s="35">
        <f>$D1052*($E1052*(AA$321-AA$322)+$F1052*(AA$324-AA$325))</f>
        <v/>
      </c>
      <c r="AB1052" s="35">
        <f>$D1052*($E1052*(AB$321-AB$322)+$F1052*(AB$324-AB$325))</f>
        <v/>
      </c>
      <c r="AC1052" s="35">
        <f>$D1052*($E1052*(AC$321-AC$322)+$F1052*(AC$324-AC$325))</f>
        <v/>
      </c>
      <c r="AD1052" s="35">
        <f>$D1052*($E1052*(AD$321-AD$322)+$F1052*(AD$324-AD$325))</f>
        <v/>
      </c>
      <c r="AE1052" s="42">
        <f>XCARBON($D1052,$E1052,(AE$321-AE$322),$F1052,(AE$324-AE$325))</f>
        <v/>
      </c>
      <c r="AG1052" s="11">
        <f>CodePrefix&amp;$A1052&amp;IF($C1052="","","."&amp;$C1052&amp;"."&amp;$B1052)&amp;INDEX(VarEnd,MATCH($A1052,VarKey,0))&amp;AG$5</f>
        <v/>
      </c>
      <c r="AH1052" s="40">
        <f>$D1052*($E1052*(AH$321-AH$322)+$F1052*(AH$324-AH$325))</f>
        <v/>
      </c>
      <c r="AI1052" s="35">
        <f>$D1052*($E1052*(AI$321-AI$322)+$F1052*(AI$324-AI$325))</f>
        <v/>
      </c>
      <c r="AJ1052" s="35">
        <f>$D1052*($E1052*(AJ$321-AJ$322)+$F1052*(AJ$324-AJ$325))</f>
        <v/>
      </c>
      <c r="AK1052" s="35">
        <f>$D1052*($E1052*(AK$321-AK$322)+$F1052*(AK$324-AK$325))</f>
        <v/>
      </c>
      <c r="AL1052" s="35">
        <f>$D1052*($E1052*(AL$321-AL$322)+$F1052*(AL$324-AL$325))</f>
        <v/>
      </c>
      <c r="AM1052" s="35">
        <f>$D1052*($E1052*(AM$321-AM$322)+$F1052*(AM$324-AM$325))</f>
        <v/>
      </c>
      <c r="AN1052" s="35">
        <f>$D1052*($E1052*(AN$321-AN$322)+$F1052*(AN$324-AN$325))</f>
        <v/>
      </c>
      <c r="AO1052" s="35">
        <f>$D1052*($E1052*(AO$321-AO$322)+$F1052*(AO$324-AO$325))</f>
        <v/>
      </c>
      <c r="AP1052" s="35">
        <f>$D1052*($E1052*(AP$321-AP$322)+$F1052*(AP$324-AP$325))</f>
        <v/>
      </c>
      <c r="AQ1052" s="35">
        <f>$D1052*($E1052*(AQ$321-AQ$322)+$F1052*(AQ$324-AQ$325))</f>
        <v/>
      </c>
      <c r="AR1052" s="35">
        <f>$D1052*($E1052*(AR$321-AR$322)+$F1052*(AR$324-AR$325))</f>
        <v/>
      </c>
      <c r="AS1052" s="35">
        <f>$D1052*($E1052*(AS$321-AS$322)+$F1052*(AS$324-AS$325))</f>
        <v/>
      </c>
      <c r="AT1052" s="35">
        <f>$D1052*($E1052*(AT$321-AT$322)+$F1052*(AT$324-AT$325))</f>
        <v/>
      </c>
      <c r="AU1052" s="35">
        <f>$D1052*($E1052*(AU$321-AU$322)+$F1052*(AU$324-AU$325))</f>
        <v/>
      </c>
      <c r="AV1052" s="35">
        <f>$D1052*($E1052*(AV$321-AV$322)+$F1052*(AV$324-AV$325))</f>
        <v/>
      </c>
      <c r="AW1052" s="35">
        <f>$D1052*($E1052*(AW$321-AW$322)+$F1052*(AW$324-AW$325))</f>
        <v/>
      </c>
      <c r="AX1052" s="35">
        <f>$D1052*($E1052*(AX$321-AX$322)+$F1052*(AX$324-AX$325))</f>
        <v/>
      </c>
      <c r="AY1052" s="35">
        <f>$D1052*($E1052*(AY$321-AY$322)+$F1052*(AY$324-AY$325))</f>
        <v/>
      </c>
      <c r="AZ1052" s="35">
        <f>$D1052*($E1052*(AZ$321-AZ$322)+$F1052*(AZ$324-AZ$325))</f>
        <v/>
      </c>
      <c r="BA1052" s="42">
        <f>XCARBON($D1052,$E1052,(BA$321-BA$322),$F1052,(BA$324-BA$325))</f>
        <v/>
      </c>
    </row>
    <row r="1053" hidden="1" outlineLevel="2">
      <c r="A1053" s="14" t="inlineStr">
        <is>
          <t>xcpd</t>
        </is>
      </c>
      <c r="B1053" s="14" t="inlineStr">
        <is>
          <t>nga</t>
        </is>
      </c>
      <c r="C1053" s="14" t="inlineStr">
        <is>
          <t>rod</t>
        </is>
      </c>
      <c r="D1053" s="35">
        <f>INDEX(Inputs!$W$5:$W$132,MATCH($B1053&amp;"|"&amp;$C1053,Inputs!$A$5:$A$132,0))</f>
        <v/>
      </c>
      <c r="E1053" s="35">
        <f>INDEX(Inputs!$Z$5:$Z$132,MATCH($B1053&amp;"|"&amp;$C1053,Inputs!$A$5:$A$132,0))</f>
        <v/>
      </c>
      <c r="F1053" s="35">
        <f>INDEX(Inputs!$AA$5:$AA$132,MATCH($B1053&amp;"|"&amp;$C1053,Inputs!$A$5:$A$132,0))</f>
        <v/>
      </c>
      <c r="G1053" s="39" t="n"/>
      <c r="H1053" s="14">
        <f>INDEX(VarLab,MATCH($A1053,VarKey,0))&amp;INDEX(MemLab,MATCH($C1053&amp;"|"&amp;$B1053,MemKey,0))</f>
        <v/>
      </c>
      <c r="I1053" s="14">
        <f>INDEX(VarUnit,MATCH($A1053,VarKey,0))</f>
        <v/>
      </c>
      <c r="J1053" s="14">
        <f>INDEX(VarSrc,MATCH($A1053,VarKey,0))</f>
        <v/>
      </c>
      <c r="K1053" s="11">
        <f>CodePrefix&amp;$A1053&amp;IF($C1053="","","."&amp;$C1053&amp;"."&amp;$B1053)&amp;INDEX(VarEnd,MATCH($A1053,VarKey,0))&amp;K$5</f>
        <v/>
      </c>
      <c r="L1053" s="40">
        <f>$D1053*($E1053*(L$321-L$322)+$F1053*(L$324-L$325))</f>
        <v/>
      </c>
      <c r="M1053" s="35">
        <f>$D1053*($E1053*(M$321-M$322)+$F1053*(M$324-M$325))</f>
        <v/>
      </c>
      <c r="N1053" s="35">
        <f>$D1053*($E1053*(N$321-N$322)+$F1053*(N$324-N$325))</f>
        <v/>
      </c>
      <c r="O1053" s="35">
        <f>$D1053*($E1053*(O$321-O$322)+$F1053*(O$324-O$325))</f>
        <v/>
      </c>
      <c r="P1053" s="35">
        <f>$D1053*($E1053*(P$321-P$322)+$F1053*(P$324-P$325))</f>
        <v/>
      </c>
      <c r="Q1053" s="35">
        <f>$D1053*($E1053*(Q$321-Q$322)+$F1053*(Q$324-Q$325))</f>
        <v/>
      </c>
      <c r="R1053" s="35">
        <f>$D1053*($E1053*(R$321-R$322)+$F1053*(R$324-R$325))</f>
        <v/>
      </c>
      <c r="S1053" s="35">
        <f>$D1053*($E1053*(S$321-S$322)+$F1053*(S$324-S$325))</f>
        <v/>
      </c>
      <c r="T1053" s="35">
        <f>$D1053*($E1053*(T$321-T$322)+$F1053*(T$324-T$325))</f>
        <v/>
      </c>
      <c r="U1053" s="35">
        <f>$D1053*($E1053*(U$321-U$322)+$F1053*(U$324-U$325))</f>
        <v/>
      </c>
      <c r="V1053" s="35">
        <f>$D1053*($E1053*(V$321-V$322)+$F1053*(V$324-V$325))</f>
        <v/>
      </c>
      <c r="W1053" s="35">
        <f>$D1053*($E1053*(W$321-W$322)+$F1053*(W$324-W$325))</f>
        <v/>
      </c>
      <c r="X1053" s="35">
        <f>$D1053*($E1053*(X$321-X$322)+$F1053*(X$324-X$325))</f>
        <v/>
      </c>
      <c r="Y1053" s="35">
        <f>$D1053*($E1053*(Y$321-Y$322)+$F1053*(Y$324-Y$325))</f>
        <v/>
      </c>
      <c r="Z1053" s="35">
        <f>$D1053*($E1053*(Z$321-Z$322)+$F1053*(Z$324-Z$325))</f>
        <v/>
      </c>
      <c r="AA1053" s="35">
        <f>$D1053*($E1053*(AA$321-AA$322)+$F1053*(AA$324-AA$325))</f>
        <v/>
      </c>
      <c r="AB1053" s="35">
        <f>$D1053*($E1053*(AB$321-AB$322)+$F1053*(AB$324-AB$325))</f>
        <v/>
      </c>
      <c r="AC1053" s="35">
        <f>$D1053*($E1053*(AC$321-AC$322)+$F1053*(AC$324-AC$325))</f>
        <v/>
      </c>
      <c r="AD1053" s="35">
        <f>$D1053*($E1053*(AD$321-AD$322)+$F1053*(AD$324-AD$325))</f>
        <v/>
      </c>
      <c r="AE1053" s="42">
        <f>XCARBON($D1053,$E1053,(AE$321-AE$322),$F1053,(AE$324-AE$325))</f>
        <v/>
      </c>
      <c r="AG1053" s="11">
        <f>CodePrefix&amp;$A1053&amp;IF($C1053="","","."&amp;$C1053&amp;"."&amp;$B1053)&amp;INDEX(VarEnd,MATCH($A1053,VarKey,0))&amp;AG$5</f>
        <v/>
      </c>
      <c r="AH1053" s="40">
        <f>$D1053*($E1053*(AH$321-AH$322)+$F1053*(AH$324-AH$325))</f>
        <v/>
      </c>
      <c r="AI1053" s="35">
        <f>$D1053*($E1053*(AI$321-AI$322)+$F1053*(AI$324-AI$325))</f>
        <v/>
      </c>
      <c r="AJ1053" s="35">
        <f>$D1053*($E1053*(AJ$321-AJ$322)+$F1053*(AJ$324-AJ$325))</f>
        <v/>
      </c>
      <c r="AK1053" s="35">
        <f>$D1053*($E1053*(AK$321-AK$322)+$F1053*(AK$324-AK$325))</f>
        <v/>
      </c>
      <c r="AL1053" s="35">
        <f>$D1053*($E1053*(AL$321-AL$322)+$F1053*(AL$324-AL$325))</f>
        <v/>
      </c>
      <c r="AM1053" s="35">
        <f>$D1053*($E1053*(AM$321-AM$322)+$F1053*(AM$324-AM$325))</f>
        <v/>
      </c>
      <c r="AN1053" s="35">
        <f>$D1053*($E1053*(AN$321-AN$322)+$F1053*(AN$324-AN$325))</f>
        <v/>
      </c>
      <c r="AO1053" s="35">
        <f>$D1053*($E1053*(AO$321-AO$322)+$F1053*(AO$324-AO$325))</f>
        <v/>
      </c>
      <c r="AP1053" s="35">
        <f>$D1053*($E1053*(AP$321-AP$322)+$F1053*(AP$324-AP$325))</f>
        <v/>
      </c>
      <c r="AQ1053" s="35">
        <f>$D1053*($E1053*(AQ$321-AQ$322)+$F1053*(AQ$324-AQ$325))</f>
        <v/>
      </c>
      <c r="AR1053" s="35">
        <f>$D1053*($E1053*(AR$321-AR$322)+$F1053*(AR$324-AR$325))</f>
        <v/>
      </c>
      <c r="AS1053" s="35">
        <f>$D1053*($E1053*(AS$321-AS$322)+$F1053*(AS$324-AS$325))</f>
        <v/>
      </c>
      <c r="AT1053" s="35">
        <f>$D1053*($E1053*(AT$321-AT$322)+$F1053*(AT$324-AT$325))</f>
        <v/>
      </c>
      <c r="AU1053" s="35">
        <f>$D1053*($E1053*(AU$321-AU$322)+$F1053*(AU$324-AU$325))</f>
        <v/>
      </c>
      <c r="AV1053" s="35">
        <f>$D1053*($E1053*(AV$321-AV$322)+$F1053*(AV$324-AV$325))</f>
        <v/>
      </c>
      <c r="AW1053" s="35">
        <f>$D1053*($E1053*(AW$321-AW$322)+$F1053*(AW$324-AW$325))</f>
        <v/>
      </c>
      <c r="AX1053" s="35">
        <f>$D1053*($E1053*(AX$321-AX$322)+$F1053*(AX$324-AX$325))</f>
        <v/>
      </c>
      <c r="AY1053" s="35">
        <f>$D1053*($E1053*(AY$321-AY$322)+$F1053*(AY$324-AY$325))</f>
        <v/>
      </c>
      <c r="AZ1053" s="35">
        <f>$D1053*($E1053*(AZ$321-AZ$322)+$F1053*(AZ$324-AZ$325))</f>
        <v/>
      </c>
      <c r="BA1053" s="42">
        <f>XCARBON($D1053,$E1053,(BA$321-BA$322),$F1053,(BA$324-BA$325))</f>
        <v/>
      </c>
    </row>
    <row r="1054" hidden="1" outlineLevel="2">
      <c r="A1054" s="14" t="inlineStr">
        <is>
          <t>xcpd</t>
        </is>
      </c>
      <c r="B1054" s="14" t="inlineStr">
        <is>
          <t>gso</t>
        </is>
      </c>
      <c r="C1054" s="14" t="inlineStr">
        <is>
          <t>rod</t>
        </is>
      </c>
      <c r="D1054" s="35">
        <f>INDEX(Inputs!$W$5:$W$132,MATCH($B1054&amp;"|"&amp;$C1054,Inputs!$A$5:$A$132,0))</f>
        <v/>
      </c>
      <c r="E1054" s="35">
        <f>INDEX(Inputs!$Z$5:$Z$132,MATCH($B1054&amp;"|"&amp;$C1054,Inputs!$A$5:$A$132,0))</f>
        <v/>
      </c>
      <c r="F1054" s="35">
        <f>INDEX(Inputs!$AA$5:$AA$132,MATCH($B1054&amp;"|"&amp;$C1054,Inputs!$A$5:$A$132,0))</f>
        <v/>
      </c>
      <c r="G1054" s="39" t="n"/>
      <c r="H1054" s="14">
        <f>INDEX(VarLab,MATCH($A1054,VarKey,0))&amp;INDEX(MemLab,MATCH($C1054&amp;"|"&amp;$B1054,MemKey,0))</f>
        <v/>
      </c>
      <c r="I1054" s="14">
        <f>INDEX(VarUnit,MATCH($A1054,VarKey,0))</f>
        <v/>
      </c>
      <c r="J1054" s="14">
        <f>INDEX(VarSrc,MATCH($A1054,VarKey,0))</f>
        <v/>
      </c>
      <c r="K1054" s="11">
        <f>CodePrefix&amp;$A1054&amp;IF($C1054="","","."&amp;$C1054&amp;"."&amp;$B1054)&amp;INDEX(VarEnd,MATCH($A1054,VarKey,0))&amp;K$5</f>
        <v/>
      </c>
      <c r="L1054" s="40">
        <f>$D1054*($E1054*(L$321-L$322)+$F1054*(L$324-L$325))</f>
        <v/>
      </c>
      <c r="M1054" s="35">
        <f>$D1054*($E1054*(M$321-M$322)+$F1054*(M$324-M$325))</f>
        <v/>
      </c>
      <c r="N1054" s="35">
        <f>$D1054*($E1054*(N$321-N$322)+$F1054*(N$324-N$325))</f>
        <v/>
      </c>
      <c r="O1054" s="35">
        <f>$D1054*($E1054*(O$321-O$322)+$F1054*(O$324-O$325))</f>
        <v/>
      </c>
      <c r="P1054" s="35">
        <f>$D1054*($E1054*(P$321-P$322)+$F1054*(P$324-P$325))</f>
        <v/>
      </c>
      <c r="Q1054" s="35">
        <f>$D1054*($E1054*(Q$321-Q$322)+$F1054*(Q$324-Q$325))</f>
        <v/>
      </c>
      <c r="R1054" s="35">
        <f>$D1054*($E1054*(R$321-R$322)+$F1054*(R$324-R$325))</f>
        <v/>
      </c>
      <c r="S1054" s="35">
        <f>$D1054*($E1054*(S$321-S$322)+$F1054*(S$324-S$325))</f>
        <v/>
      </c>
      <c r="T1054" s="35">
        <f>$D1054*($E1054*(T$321-T$322)+$F1054*(T$324-T$325))</f>
        <v/>
      </c>
      <c r="U1054" s="35">
        <f>$D1054*($E1054*(U$321-U$322)+$F1054*(U$324-U$325))</f>
        <v/>
      </c>
      <c r="V1054" s="35">
        <f>$D1054*($E1054*(V$321-V$322)+$F1054*(V$324-V$325))</f>
        <v/>
      </c>
      <c r="W1054" s="35">
        <f>$D1054*($E1054*(W$321-W$322)+$F1054*(W$324-W$325))</f>
        <v/>
      </c>
      <c r="X1054" s="35">
        <f>$D1054*($E1054*(X$321-X$322)+$F1054*(X$324-X$325))</f>
        <v/>
      </c>
      <c r="Y1054" s="35">
        <f>$D1054*($E1054*(Y$321-Y$322)+$F1054*(Y$324-Y$325))</f>
        <v/>
      </c>
      <c r="Z1054" s="35">
        <f>$D1054*($E1054*(Z$321-Z$322)+$F1054*(Z$324-Z$325))</f>
        <v/>
      </c>
      <c r="AA1054" s="35">
        <f>$D1054*($E1054*(AA$321-AA$322)+$F1054*(AA$324-AA$325))</f>
        <v/>
      </c>
      <c r="AB1054" s="35">
        <f>$D1054*($E1054*(AB$321-AB$322)+$F1054*(AB$324-AB$325))</f>
        <v/>
      </c>
      <c r="AC1054" s="35">
        <f>$D1054*($E1054*(AC$321-AC$322)+$F1054*(AC$324-AC$325))</f>
        <v/>
      </c>
      <c r="AD1054" s="35">
        <f>$D1054*($E1054*(AD$321-AD$322)+$F1054*(AD$324-AD$325))</f>
        <v/>
      </c>
      <c r="AE1054" s="42">
        <f>XCARBON($D1054,$E1054,(AE$321-AE$322),$F1054,(AE$324-AE$325))</f>
        <v/>
      </c>
      <c r="AG1054" s="11">
        <f>CodePrefix&amp;$A1054&amp;IF($C1054="","","."&amp;$C1054&amp;"."&amp;$B1054)&amp;INDEX(VarEnd,MATCH($A1054,VarKey,0))&amp;AG$5</f>
        <v/>
      </c>
      <c r="AH1054" s="40">
        <f>$D1054*($E1054*(AH$321-AH$322)+$F1054*(AH$324-AH$325))</f>
        <v/>
      </c>
      <c r="AI1054" s="35">
        <f>$D1054*($E1054*(AI$321-AI$322)+$F1054*(AI$324-AI$325))</f>
        <v/>
      </c>
      <c r="AJ1054" s="35">
        <f>$D1054*($E1054*(AJ$321-AJ$322)+$F1054*(AJ$324-AJ$325))</f>
        <v/>
      </c>
      <c r="AK1054" s="35">
        <f>$D1054*($E1054*(AK$321-AK$322)+$F1054*(AK$324-AK$325))</f>
        <v/>
      </c>
      <c r="AL1054" s="35">
        <f>$D1054*($E1054*(AL$321-AL$322)+$F1054*(AL$324-AL$325))</f>
        <v/>
      </c>
      <c r="AM1054" s="35">
        <f>$D1054*($E1054*(AM$321-AM$322)+$F1054*(AM$324-AM$325))</f>
        <v/>
      </c>
      <c r="AN1054" s="35">
        <f>$D1054*($E1054*(AN$321-AN$322)+$F1054*(AN$324-AN$325))</f>
        <v/>
      </c>
      <c r="AO1054" s="35">
        <f>$D1054*($E1054*(AO$321-AO$322)+$F1054*(AO$324-AO$325))</f>
        <v/>
      </c>
      <c r="AP1054" s="35">
        <f>$D1054*($E1054*(AP$321-AP$322)+$F1054*(AP$324-AP$325))</f>
        <v/>
      </c>
      <c r="AQ1054" s="35">
        <f>$D1054*($E1054*(AQ$321-AQ$322)+$F1054*(AQ$324-AQ$325))</f>
        <v/>
      </c>
      <c r="AR1054" s="35">
        <f>$D1054*($E1054*(AR$321-AR$322)+$F1054*(AR$324-AR$325))</f>
        <v/>
      </c>
      <c r="AS1054" s="35">
        <f>$D1054*($E1054*(AS$321-AS$322)+$F1054*(AS$324-AS$325))</f>
        <v/>
      </c>
      <c r="AT1054" s="35">
        <f>$D1054*($E1054*(AT$321-AT$322)+$F1054*(AT$324-AT$325))</f>
        <v/>
      </c>
      <c r="AU1054" s="35">
        <f>$D1054*($E1054*(AU$321-AU$322)+$F1054*(AU$324-AU$325))</f>
        <v/>
      </c>
      <c r="AV1054" s="35">
        <f>$D1054*($E1054*(AV$321-AV$322)+$F1054*(AV$324-AV$325))</f>
        <v/>
      </c>
      <c r="AW1054" s="35">
        <f>$D1054*($E1054*(AW$321-AW$322)+$F1054*(AW$324-AW$325))</f>
        <v/>
      </c>
      <c r="AX1054" s="35">
        <f>$D1054*($E1054*(AX$321-AX$322)+$F1054*(AX$324-AX$325))</f>
        <v/>
      </c>
      <c r="AY1054" s="35">
        <f>$D1054*($E1054*(AY$321-AY$322)+$F1054*(AY$324-AY$325))</f>
        <v/>
      </c>
      <c r="AZ1054" s="35">
        <f>$D1054*($E1054*(AZ$321-AZ$322)+$F1054*(AZ$324-AZ$325))</f>
        <v/>
      </c>
      <c r="BA1054" s="42">
        <f>XCARBON($D1054,$E1054,(BA$321-BA$322),$F1054,(BA$324-BA$325))</f>
        <v/>
      </c>
    </row>
    <row r="1055" hidden="1" outlineLevel="2">
      <c r="A1055" s="14" t="inlineStr">
        <is>
          <t>xcpd</t>
        </is>
      </c>
      <c r="B1055" s="14" t="inlineStr">
        <is>
          <t>die</t>
        </is>
      </c>
      <c r="C1055" s="14" t="inlineStr">
        <is>
          <t>rod</t>
        </is>
      </c>
      <c r="D1055" s="35">
        <f>INDEX(Inputs!$W$5:$W$132,MATCH($B1055&amp;"|"&amp;$C1055,Inputs!$A$5:$A$132,0))</f>
        <v/>
      </c>
      <c r="E1055" s="35">
        <f>INDEX(Inputs!$Z$5:$Z$132,MATCH($B1055&amp;"|"&amp;$C1055,Inputs!$A$5:$A$132,0))</f>
        <v/>
      </c>
      <c r="F1055" s="35">
        <f>INDEX(Inputs!$AA$5:$AA$132,MATCH($B1055&amp;"|"&amp;$C1055,Inputs!$A$5:$A$132,0))</f>
        <v/>
      </c>
      <c r="G1055" s="39" t="n"/>
      <c r="H1055" s="14">
        <f>INDEX(VarLab,MATCH($A1055,VarKey,0))&amp;INDEX(MemLab,MATCH($C1055&amp;"|"&amp;$B1055,MemKey,0))</f>
        <v/>
      </c>
      <c r="I1055" s="14">
        <f>INDEX(VarUnit,MATCH($A1055,VarKey,0))</f>
        <v/>
      </c>
      <c r="J1055" s="14">
        <f>INDEX(VarSrc,MATCH($A1055,VarKey,0))</f>
        <v/>
      </c>
      <c r="K1055" s="11">
        <f>CodePrefix&amp;$A1055&amp;IF($C1055="","","."&amp;$C1055&amp;"."&amp;$B1055)&amp;INDEX(VarEnd,MATCH($A1055,VarKey,0))&amp;K$5</f>
        <v/>
      </c>
      <c r="L1055" s="40">
        <f>$D1055*($E1055*(L$321-L$322)+$F1055*(L$324-L$325))</f>
        <v/>
      </c>
      <c r="M1055" s="35">
        <f>$D1055*($E1055*(M$321-M$322)+$F1055*(M$324-M$325))</f>
        <v/>
      </c>
      <c r="N1055" s="35">
        <f>$D1055*($E1055*(N$321-N$322)+$F1055*(N$324-N$325))</f>
        <v/>
      </c>
      <c r="O1055" s="35">
        <f>$D1055*($E1055*(O$321-O$322)+$F1055*(O$324-O$325))</f>
        <v/>
      </c>
      <c r="P1055" s="35">
        <f>$D1055*($E1055*(P$321-P$322)+$F1055*(P$324-P$325))</f>
        <v/>
      </c>
      <c r="Q1055" s="35">
        <f>$D1055*($E1055*(Q$321-Q$322)+$F1055*(Q$324-Q$325))</f>
        <v/>
      </c>
      <c r="R1055" s="35">
        <f>$D1055*($E1055*(R$321-R$322)+$F1055*(R$324-R$325))</f>
        <v/>
      </c>
      <c r="S1055" s="35">
        <f>$D1055*($E1055*(S$321-S$322)+$F1055*(S$324-S$325))</f>
        <v/>
      </c>
      <c r="T1055" s="35">
        <f>$D1055*($E1055*(T$321-T$322)+$F1055*(T$324-T$325))</f>
        <v/>
      </c>
      <c r="U1055" s="35">
        <f>$D1055*($E1055*(U$321-U$322)+$F1055*(U$324-U$325))</f>
        <v/>
      </c>
      <c r="V1055" s="35">
        <f>$D1055*($E1055*(V$321-V$322)+$F1055*(V$324-V$325))</f>
        <v/>
      </c>
      <c r="W1055" s="35">
        <f>$D1055*($E1055*(W$321-W$322)+$F1055*(W$324-W$325))</f>
        <v/>
      </c>
      <c r="X1055" s="35">
        <f>$D1055*($E1055*(X$321-X$322)+$F1055*(X$324-X$325))</f>
        <v/>
      </c>
      <c r="Y1055" s="35">
        <f>$D1055*($E1055*(Y$321-Y$322)+$F1055*(Y$324-Y$325))</f>
        <v/>
      </c>
      <c r="Z1055" s="35">
        <f>$D1055*($E1055*(Z$321-Z$322)+$F1055*(Z$324-Z$325))</f>
        <v/>
      </c>
      <c r="AA1055" s="35">
        <f>$D1055*($E1055*(AA$321-AA$322)+$F1055*(AA$324-AA$325))</f>
        <v/>
      </c>
      <c r="AB1055" s="35">
        <f>$D1055*($E1055*(AB$321-AB$322)+$F1055*(AB$324-AB$325))</f>
        <v/>
      </c>
      <c r="AC1055" s="35">
        <f>$D1055*($E1055*(AC$321-AC$322)+$F1055*(AC$324-AC$325))</f>
        <v/>
      </c>
      <c r="AD1055" s="35">
        <f>$D1055*($E1055*(AD$321-AD$322)+$F1055*(AD$324-AD$325))</f>
        <v/>
      </c>
      <c r="AE1055" s="42">
        <f>XCARBON($D1055,$E1055,(AE$321-AE$322),$F1055,(AE$324-AE$325))</f>
        <v/>
      </c>
      <c r="AG1055" s="11">
        <f>CodePrefix&amp;$A1055&amp;IF($C1055="","","."&amp;$C1055&amp;"."&amp;$B1055)&amp;INDEX(VarEnd,MATCH($A1055,VarKey,0))&amp;AG$5</f>
        <v/>
      </c>
      <c r="AH1055" s="40">
        <f>$D1055*($E1055*(AH$321-AH$322)+$F1055*(AH$324-AH$325))</f>
        <v/>
      </c>
      <c r="AI1055" s="35">
        <f>$D1055*($E1055*(AI$321-AI$322)+$F1055*(AI$324-AI$325))</f>
        <v/>
      </c>
      <c r="AJ1055" s="35">
        <f>$D1055*($E1055*(AJ$321-AJ$322)+$F1055*(AJ$324-AJ$325))</f>
        <v/>
      </c>
      <c r="AK1055" s="35">
        <f>$D1055*($E1055*(AK$321-AK$322)+$F1055*(AK$324-AK$325))</f>
        <v/>
      </c>
      <c r="AL1055" s="35">
        <f>$D1055*($E1055*(AL$321-AL$322)+$F1055*(AL$324-AL$325))</f>
        <v/>
      </c>
      <c r="AM1055" s="35">
        <f>$D1055*($E1055*(AM$321-AM$322)+$F1055*(AM$324-AM$325))</f>
        <v/>
      </c>
      <c r="AN1055" s="35">
        <f>$D1055*($E1055*(AN$321-AN$322)+$F1055*(AN$324-AN$325))</f>
        <v/>
      </c>
      <c r="AO1055" s="35">
        <f>$D1055*($E1055*(AO$321-AO$322)+$F1055*(AO$324-AO$325))</f>
        <v/>
      </c>
      <c r="AP1055" s="35">
        <f>$D1055*($E1055*(AP$321-AP$322)+$F1055*(AP$324-AP$325))</f>
        <v/>
      </c>
      <c r="AQ1055" s="35">
        <f>$D1055*($E1055*(AQ$321-AQ$322)+$F1055*(AQ$324-AQ$325))</f>
        <v/>
      </c>
      <c r="AR1055" s="35">
        <f>$D1055*($E1055*(AR$321-AR$322)+$F1055*(AR$324-AR$325))</f>
        <v/>
      </c>
      <c r="AS1055" s="35">
        <f>$D1055*($E1055*(AS$321-AS$322)+$F1055*(AS$324-AS$325))</f>
        <v/>
      </c>
      <c r="AT1055" s="35">
        <f>$D1055*($E1055*(AT$321-AT$322)+$F1055*(AT$324-AT$325))</f>
        <v/>
      </c>
      <c r="AU1055" s="35">
        <f>$D1055*($E1055*(AU$321-AU$322)+$F1055*(AU$324-AU$325))</f>
        <v/>
      </c>
      <c r="AV1055" s="35">
        <f>$D1055*($E1055*(AV$321-AV$322)+$F1055*(AV$324-AV$325))</f>
        <v/>
      </c>
      <c r="AW1055" s="35">
        <f>$D1055*($E1055*(AW$321-AW$322)+$F1055*(AW$324-AW$325))</f>
        <v/>
      </c>
      <c r="AX1055" s="35">
        <f>$D1055*($E1055*(AX$321-AX$322)+$F1055*(AX$324-AX$325))</f>
        <v/>
      </c>
      <c r="AY1055" s="35">
        <f>$D1055*($E1055*(AY$321-AY$322)+$F1055*(AY$324-AY$325))</f>
        <v/>
      </c>
      <c r="AZ1055" s="35">
        <f>$D1055*($E1055*(AZ$321-AZ$322)+$F1055*(AZ$324-AZ$325))</f>
        <v/>
      </c>
      <c r="BA1055" s="42">
        <f>XCARBON($D1055,$E1055,(BA$321-BA$322),$F1055,(BA$324-BA$325))</f>
        <v/>
      </c>
    </row>
    <row r="1056" hidden="1" outlineLevel="2">
      <c r="A1056" s="14" t="inlineStr">
        <is>
          <t>xcpd</t>
        </is>
      </c>
      <c r="B1056" s="14" t="inlineStr">
        <is>
          <t>lpg</t>
        </is>
      </c>
      <c r="C1056" s="14" t="inlineStr">
        <is>
          <t>rod</t>
        </is>
      </c>
      <c r="D1056" s="35">
        <f>INDEX(Inputs!$W$5:$W$132,MATCH($B1056&amp;"|"&amp;$C1056,Inputs!$A$5:$A$132,0))</f>
        <v/>
      </c>
      <c r="E1056" s="35">
        <f>INDEX(Inputs!$Z$5:$Z$132,MATCH($B1056&amp;"|"&amp;$C1056,Inputs!$A$5:$A$132,0))</f>
        <v/>
      </c>
      <c r="F1056" s="35">
        <f>INDEX(Inputs!$AA$5:$AA$132,MATCH($B1056&amp;"|"&amp;$C1056,Inputs!$A$5:$A$132,0))</f>
        <v/>
      </c>
      <c r="G1056" s="39" t="n"/>
      <c r="H1056" s="14">
        <f>INDEX(VarLab,MATCH($A1056,VarKey,0))&amp;INDEX(MemLab,MATCH($C1056&amp;"|"&amp;$B1056,MemKey,0))</f>
        <v/>
      </c>
      <c r="I1056" s="14">
        <f>INDEX(VarUnit,MATCH($A1056,VarKey,0))</f>
        <v/>
      </c>
      <c r="J1056" s="14">
        <f>INDEX(VarSrc,MATCH($A1056,VarKey,0))</f>
        <v/>
      </c>
      <c r="K1056" s="11">
        <f>CodePrefix&amp;$A1056&amp;IF($C1056="","","."&amp;$C1056&amp;"."&amp;$B1056)&amp;INDEX(VarEnd,MATCH($A1056,VarKey,0))&amp;K$5</f>
        <v/>
      </c>
      <c r="L1056" s="40">
        <f>$D1056*($E1056*(L$321-L$322)+$F1056*(L$324-L$325))</f>
        <v/>
      </c>
      <c r="M1056" s="35">
        <f>$D1056*($E1056*(M$321-M$322)+$F1056*(M$324-M$325))</f>
        <v/>
      </c>
      <c r="N1056" s="35">
        <f>$D1056*($E1056*(N$321-N$322)+$F1056*(N$324-N$325))</f>
        <v/>
      </c>
      <c r="O1056" s="35">
        <f>$D1056*($E1056*(O$321-O$322)+$F1056*(O$324-O$325))</f>
        <v/>
      </c>
      <c r="P1056" s="35">
        <f>$D1056*($E1056*(P$321-P$322)+$F1056*(P$324-P$325))</f>
        <v/>
      </c>
      <c r="Q1056" s="35">
        <f>$D1056*($E1056*(Q$321-Q$322)+$F1056*(Q$324-Q$325))</f>
        <v/>
      </c>
      <c r="R1056" s="35">
        <f>$D1056*($E1056*(R$321-R$322)+$F1056*(R$324-R$325))</f>
        <v/>
      </c>
      <c r="S1056" s="35">
        <f>$D1056*($E1056*(S$321-S$322)+$F1056*(S$324-S$325))</f>
        <v/>
      </c>
      <c r="T1056" s="35">
        <f>$D1056*($E1056*(T$321-T$322)+$F1056*(T$324-T$325))</f>
        <v/>
      </c>
      <c r="U1056" s="35">
        <f>$D1056*($E1056*(U$321-U$322)+$F1056*(U$324-U$325))</f>
        <v/>
      </c>
      <c r="V1056" s="35">
        <f>$D1056*($E1056*(V$321-V$322)+$F1056*(V$324-V$325))</f>
        <v/>
      </c>
      <c r="W1056" s="35">
        <f>$D1056*($E1056*(W$321-W$322)+$F1056*(W$324-W$325))</f>
        <v/>
      </c>
      <c r="X1056" s="35">
        <f>$D1056*($E1056*(X$321-X$322)+$F1056*(X$324-X$325))</f>
        <v/>
      </c>
      <c r="Y1056" s="35">
        <f>$D1056*($E1056*(Y$321-Y$322)+$F1056*(Y$324-Y$325))</f>
        <v/>
      </c>
      <c r="Z1056" s="35">
        <f>$D1056*($E1056*(Z$321-Z$322)+$F1056*(Z$324-Z$325))</f>
        <v/>
      </c>
      <c r="AA1056" s="35">
        <f>$D1056*($E1056*(AA$321-AA$322)+$F1056*(AA$324-AA$325))</f>
        <v/>
      </c>
      <c r="AB1056" s="35">
        <f>$D1056*($E1056*(AB$321-AB$322)+$F1056*(AB$324-AB$325))</f>
        <v/>
      </c>
      <c r="AC1056" s="35">
        <f>$D1056*($E1056*(AC$321-AC$322)+$F1056*(AC$324-AC$325))</f>
        <v/>
      </c>
      <c r="AD1056" s="35">
        <f>$D1056*($E1056*(AD$321-AD$322)+$F1056*(AD$324-AD$325))</f>
        <v/>
      </c>
      <c r="AE1056" s="42">
        <f>XCARBON($D1056,$E1056,(AE$321-AE$322),$F1056,(AE$324-AE$325))</f>
        <v/>
      </c>
      <c r="AG1056" s="11">
        <f>CodePrefix&amp;$A1056&amp;IF($C1056="","","."&amp;$C1056&amp;"."&amp;$B1056)&amp;INDEX(VarEnd,MATCH($A1056,VarKey,0))&amp;AG$5</f>
        <v/>
      </c>
      <c r="AH1056" s="40">
        <f>$D1056*($E1056*(AH$321-AH$322)+$F1056*(AH$324-AH$325))</f>
        <v/>
      </c>
      <c r="AI1056" s="35">
        <f>$D1056*($E1056*(AI$321-AI$322)+$F1056*(AI$324-AI$325))</f>
        <v/>
      </c>
      <c r="AJ1056" s="35">
        <f>$D1056*($E1056*(AJ$321-AJ$322)+$F1056*(AJ$324-AJ$325))</f>
        <v/>
      </c>
      <c r="AK1056" s="35">
        <f>$D1056*($E1056*(AK$321-AK$322)+$F1056*(AK$324-AK$325))</f>
        <v/>
      </c>
      <c r="AL1056" s="35">
        <f>$D1056*($E1056*(AL$321-AL$322)+$F1056*(AL$324-AL$325))</f>
        <v/>
      </c>
      <c r="AM1056" s="35">
        <f>$D1056*($E1056*(AM$321-AM$322)+$F1056*(AM$324-AM$325))</f>
        <v/>
      </c>
      <c r="AN1056" s="35">
        <f>$D1056*($E1056*(AN$321-AN$322)+$F1056*(AN$324-AN$325))</f>
        <v/>
      </c>
      <c r="AO1056" s="35">
        <f>$D1056*($E1056*(AO$321-AO$322)+$F1056*(AO$324-AO$325))</f>
        <v/>
      </c>
      <c r="AP1056" s="35">
        <f>$D1056*($E1056*(AP$321-AP$322)+$F1056*(AP$324-AP$325))</f>
        <v/>
      </c>
      <c r="AQ1056" s="35">
        <f>$D1056*($E1056*(AQ$321-AQ$322)+$F1056*(AQ$324-AQ$325))</f>
        <v/>
      </c>
      <c r="AR1056" s="35">
        <f>$D1056*($E1056*(AR$321-AR$322)+$F1056*(AR$324-AR$325))</f>
        <v/>
      </c>
      <c r="AS1056" s="35">
        <f>$D1056*($E1056*(AS$321-AS$322)+$F1056*(AS$324-AS$325))</f>
        <v/>
      </c>
      <c r="AT1056" s="35">
        <f>$D1056*($E1056*(AT$321-AT$322)+$F1056*(AT$324-AT$325))</f>
        <v/>
      </c>
      <c r="AU1056" s="35">
        <f>$D1056*($E1056*(AU$321-AU$322)+$F1056*(AU$324-AU$325))</f>
        <v/>
      </c>
      <c r="AV1056" s="35">
        <f>$D1056*($E1056*(AV$321-AV$322)+$F1056*(AV$324-AV$325))</f>
        <v/>
      </c>
      <c r="AW1056" s="35">
        <f>$D1056*($E1056*(AW$321-AW$322)+$F1056*(AW$324-AW$325))</f>
        <v/>
      </c>
      <c r="AX1056" s="35">
        <f>$D1056*($E1056*(AX$321-AX$322)+$F1056*(AX$324-AX$325))</f>
        <v/>
      </c>
      <c r="AY1056" s="35">
        <f>$D1056*($E1056*(AY$321-AY$322)+$F1056*(AY$324-AY$325))</f>
        <v/>
      </c>
      <c r="AZ1056" s="35">
        <f>$D1056*($E1056*(AZ$321-AZ$322)+$F1056*(AZ$324-AZ$325))</f>
        <v/>
      </c>
      <c r="BA1056" s="42">
        <f>XCARBON($D1056,$E1056,(BA$321-BA$322),$F1056,(BA$324-BA$325))</f>
        <v/>
      </c>
    </row>
    <row r="1057" hidden="1" outlineLevel="2">
      <c r="A1057" s="14" t="inlineStr">
        <is>
          <t>xcpd</t>
        </is>
      </c>
      <c r="B1057" s="14" t="inlineStr">
        <is>
          <t>ker</t>
        </is>
      </c>
      <c r="C1057" s="14" t="inlineStr">
        <is>
          <t>rod</t>
        </is>
      </c>
      <c r="D1057" s="35">
        <f>INDEX(Inputs!$W$5:$W$132,MATCH($B1057&amp;"|"&amp;$C1057,Inputs!$A$5:$A$132,0))</f>
        <v/>
      </c>
      <c r="E1057" s="35">
        <f>INDEX(Inputs!$Z$5:$Z$132,MATCH($B1057&amp;"|"&amp;$C1057,Inputs!$A$5:$A$132,0))</f>
        <v/>
      </c>
      <c r="F1057" s="35">
        <f>INDEX(Inputs!$AA$5:$AA$132,MATCH($B1057&amp;"|"&amp;$C1057,Inputs!$A$5:$A$132,0))</f>
        <v/>
      </c>
      <c r="G1057" s="39" t="n"/>
      <c r="H1057" s="14">
        <f>INDEX(VarLab,MATCH($A1057,VarKey,0))&amp;INDEX(MemLab,MATCH($C1057&amp;"|"&amp;$B1057,MemKey,0))</f>
        <v/>
      </c>
      <c r="I1057" s="14">
        <f>INDEX(VarUnit,MATCH($A1057,VarKey,0))</f>
        <v/>
      </c>
      <c r="J1057" s="14">
        <f>INDEX(VarSrc,MATCH($A1057,VarKey,0))</f>
        <v/>
      </c>
      <c r="K1057" s="11">
        <f>CodePrefix&amp;$A1057&amp;IF($C1057="","","."&amp;$C1057&amp;"."&amp;$B1057)&amp;INDEX(VarEnd,MATCH($A1057,VarKey,0))&amp;K$5</f>
        <v/>
      </c>
      <c r="L1057" s="40">
        <f>$D1057*($E1057*(L$321-L$322)+$F1057*(L$324-L$325))</f>
        <v/>
      </c>
      <c r="M1057" s="35">
        <f>$D1057*($E1057*(M$321-M$322)+$F1057*(M$324-M$325))</f>
        <v/>
      </c>
      <c r="N1057" s="35">
        <f>$D1057*($E1057*(N$321-N$322)+$F1057*(N$324-N$325))</f>
        <v/>
      </c>
      <c r="O1057" s="35">
        <f>$D1057*($E1057*(O$321-O$322)+$F1057*(O$324-O$325))</f>
        <v/>
      </c>
      <c r="P1057" s="35">
        <f>$D1057*($E1057*(P$321-P$322)+$F1057*(P$324-P$325))</f>
        <v/>
      </c>
      <c r="Q1057" s="35">
        <f>$D1057*($E1057*(Q$321-Q$322)+$F1057*(Q$324-Q$325))</f>
        <v/>
      </c>
      <c r="R1057" s="35">
        <f>$D1057*($E1057*(R$321-R$322)+$F1057*(R$324-R$325))</f>
        <v/>
      </c>
      <c r="S1057" s="35">
        <f>$D1057*($E1057*(S$321-S$322)+$F1057*(S$324-S$325))</f>
        <v/>
      </c>
      <c r="T1057" s="35">
        <f>$D1057*($E1057*(T$321-T$322)+$F1057*(T$324-T$325))</f>
        <v/>
      </c>
      <c r="U1057" s="35">
        <f>$D1057*($E1057*(U$321-U$322)+$F1057*(U$324-U$325))</f>
        <v/>
      </c>
      <c r="V1057" s="35">
        <f>$D1057*($E1057*(V$321-V$322)+$F1057*(V$324-V$325))</f>
        <v/>
      </c>
      <c r="W1057" s="35">
        <f>$D1057*($E1057*(W$321-W$322)+$F1057*(W$324-W$325))</f>
        <v/>
      </c>
      <c r="X1057" s="35">
        <f>$D1057*($E1057*(X$321-X$322)+$F1057*(X$324-X$325))</f>
        <v/>
      </c>
      <c r="Y1057" s="35">
        <f>$D1057*($E1057*(Y$321-Y$322)+$F1057*(Y$324-Y$325))</f>
        <v/>
      </c>
      <c r="Z1057" s="35">
        <f>$D1057*($E1057*(Z$321-Z$322)+$F1057*(Z$324-Z$325))</f>
        <v/>
      </c>
      <c r="AA1057" s="35">
        <f>$D1057*($E1057*(AA$321-AA$322)+$F1057*(AA$324-AA$325))</f>
        <v/>
      </c>
      <c r="AB1057" s="35">
        <f>$D1057*($E1057*(AB$321-AB$322)+$F1057*(AB$324-AB$325))</f>
        <v/>
      </c>
      <c r="AC1057" s="35">
        <f>$D1057*($E1057*(AC$321-AC$322)+$F1057*(AC$324-AC$325))</f>
        <v/>
      </c>
      <c r="AD1057" s="35">
        <f>$D1057*($E1057*(AD$321-AD$322)+$F1057*(AD$324-AD$325))</f>
        <v/>
      </c>
      <c r="AE1057" s="42">
        <f>XCARBON($D1057,$E1057,(AE$321-AE$322),$F1057,(AE$324-AE$325))</f>
        <v/>
      </c>
      <c r="AG1057" s="11">
        <f>CodePrefix&amp;$A1057&amp;IF($C1057="","","."&amp;$C1057&amp;"."&amp;$B1057)&amp;INDEX(VarEnd,MATCH($A1057,VarKey,0))&amp;AG$5</f>
        <v/>
      </c>
      <c r="AH1057" s="40">
        <f>$D1057*($E1057*(AH$321-AH$322)+$F1057*(AH$324-AH$325))</f>
        <v/>
      </c>
      <c r="AI1057" s="35">
        <f>$D1057*($E1057*(AI$321-AI$322)+$F1057*(AI$324-AI$325))</f>
        <v/>
      </c>
      <c r="AJ1057" s="35">
        <f>$D1057*($E1057*(AJ$321-AJ$322)+$F1057*(AJ$324-AJ$325))</f>
        <v/>
      </c>
      <c r="AK1057" s="35">
        <f>$D1057*($E1057*(AK$321-AK$322)+$F1057*(AK$324-AK$325))</f>
        <v/>
      </c>
      <c r="AL1057" s="35">
        <f>$D1057*($E1057*(AL$321-AL$322)+$F1057*(AL$324-AL$325))</f>
        <v/>
      </c>
      <c r="AM1057" s="35">
        <f>$D1057*($E1057*(AM$321-AM$322)+$F1057*(AM$324-AM$325))</f>
        <v/>
      </c>
      <c r="AN1057" s="35">
        <f>$D1057*($E1057*(AN$321-AN$322)+$F1057*(AN$324-AN$325))</f>
        <v/>
      </c>
      <c r="AO1057" s="35">
        <f>$D1057*($E1057*(AO$321-AO$322)+$F1057*(AO$324-AO$325))</f>
        <v/>
      </c>
      <c r="AP1057" s="35">
        <f>$D1057*($E1057*(AP$321-AP$322)+$F1057*(AP$324-AP$325))</f>
        <v/>
      </c>
      <c r="AQ1057" s="35">
        <f>$D1057*($E1057*(AQ$321-AQ$322)+$F1057*(AQ$324-AQ$325))</f>
        <v/>
      </c>
      <c r="AR1057" s="35">
        <f>$D1057*($E1057*(AR$321-AR$322)+$F1057*(AR$324-AR$325))</f>
        <v/>
      </c>
      <c r="AS1057" s="35">
        <f>$D1057*($E1057*(AS$321-AS$322)+$F1057*(AS$324-AS$325))</f>
        <v/>
      </c>
      <c r="AT1057" s="35">
        <f>$D1057*($E1057*(AT$321-AT$322)+$F1057*(AT$324-AT$325))</f>
        <v/>
      </c>
      <c r="AU1057" s="35">
        <f>$D1057*($E1057*(AU$321-AU$322)+$F1057*(AU$324-AU$325))</f>
        <v/>
      </c>
      <c r="AV1057" s="35">
        <f>$D1057*($E1057*(AV$321-AV$322)+$F1057*(AV$324-AV$325))</f>
        <v/>
      </c>
      <c r="AW1057" s="35">
        <f>$D1057*($E1057*(AW$321-AW$322)+$F1057*(AW$324-AW$325))</f>
        <v/>
      </c>
      <c r="AX1057" s="35">
        <f>$D1057*($E1057*(AX$321-AX$322)+$F1057*(AX$324-AX$325))</f>
        <v/>
      </c>
      <c r="AY1057" s="35">
        <f>$D1057*($E1057*(AY$321-AY$322)+$F1057*(AY$324-AY$325))</f>
        <v/>
      </c>
      <c r="AZ1057" s="35">
        <f>$D1057*($E1057*(AZ$321-AZ$322)+$F1057*(AZ$324-AZ$325))</f>
        <v/>
      </c>
      <c r="BA1057" s="42">
        <f>XCARBON($D1057,$E1057,(BA$321-BA$322),$F1057,(BA$324-BA$325))</f>
        <v/>
      </c>
    </row>
    <row r="1058" hidden="1" outlineLevel="2">
      <c r="A1058" s="14" t="inlineStr">
        <is>
          <t>xcpd</t>
        </is>
      </c>
      <c r="B1058" s="14" t="inlineStr">
        <is>
          <t>oop</t>
        </is>
      </c>
      <c r="C1058" s="14" t="inlineStr">
        <is>
          <t>rod</t>
        </is>
      </c>
      <c r="D1058" s="35">
        <f>INDEX(Inputs!$W$5:$W$132,MATCH($B1058&amp;"|"&amp;$C1058,Inputs!$A$5:$A$132,0))</f>
        <v/>
      </c>
      <c r="E1058" s="35">
        <f>INDEX(Inputs!$Z$5:$Z$132,MATCH($B1058&amp;"|"&amp;$C1058,Inputs!$A$5:$A$132,0))</f>
        <v/>
      </c>
      <c r="F1058" s="35">
        <f>INDEX(Inputs!$AA$5:$AA$132,MATCH($B1058&amp;"|"&amp;$C1058,Inputs!$A$5:$A$132,0))</f>
        <v/>
      </c>
      <c r="G1058" s="39" t="n"/>
      <c r="H1058" s="14">
        <f>INDEX(VarLab,MATCH($A1058,VarKey,0))&amp;INDEX(MemLab,MATCH($C1058&amp;"|"&amp;$B1058,MemKey,0))</f>
        <v/>
      </c>
      <c r="I1058" s="14">
        <f>INDEX(VarUnit,MATCH($A1058,VarKey,0))</f>
        <v/>
      </c>
      <c r="J1058" s="14">
        <f>INDEX(VarSrc,MATCH($A1058,VarKey,0))</f>
        <v/>
      </c>
      <c r="K1058" s="11">
        <f>CodePrefix&amp;$A1058&amp;IF($C1058="","","."&amp;$C1058&amp;"."&amp;$B1058)&amp;INDEX(VarEnd,MATCH($A1058,VarKey,0))&amp;K$5</f>
        <v/>
      </c>
      <c r="L1058" s="40">
        <f>$D1058*($E1058*(L$321-L$322)+$F1058*(L$324-L$325))</f>
        <v/>
      </c>
      <c r="M1058" s="35">
        <f>$D1058*($E1058*(M$321-M$322)+$F1058*(M$324-M$325))</f>
        <v/>
      </c>
      <c r="N1058" s="35">
        <f>$D1058*($E1058*(N$321-N$322)+$F1058*(N$324-N$325))</f>
        <v/>
      </c>
      <c r="O1058" s="35">
        <f>$D1058*($E1058*(O$321-O$322)+$F1058*(O$324-O$325))</f>
        <v/>
      </c>
      <c r="P1058" s="35">
        <f>$D1058*($E1058*(P$321-P$322)+$F1058*(P$324-P$325))</f>
        <v/>
      </c>
      <c r="Q1058" s="35">
        <f>$D1058*($E1058*(Q$321-Q$322)+$F1058*(Q$324-Q$325))</f>
        <v/>
      </c>
      <c r="R1058" s="35">
        <f>$D1058*($E1058*(R$321-R$322)+$F1058*(R$324-R$325))</f>
        <v/>
      </c>
      <c r="S1058" s="35">
        <f>$D1058*($E1058*(S$321-S$322)+$F1058*(S$324-S$325))</f>
        <v/>
      </c>
      <c r="T1058" s="35">
        <f>$D1058*($E1058*(T$321-T$322)+$F1058*(T$324-T$325))</f>
        <v/>
      </c>
      <c r="U1058" s="35">
        <f>$D1058*($E1058*(U$321-U$322)+$F1058*(U$324-U$325))</f>
        <v/>
      </c>
      <c r="V1058" s="35">
        <f>$D1058*($E1058*(V$321-V$322)+$F1058*(V$324-V$325))</f>
        <v/>
      </c>
      <c r="W1058" s="35">
        <f>$D1058*($E1058*(W$321-W$322)+$F1058*(W$324-W$325))</f>
        <v/>
      </c>
      <c r="X1058" s="35">
        <f>$D1058*($E1058*(X$321-X$322)+$F1058*(X$324-X$325))</f>
        <v/>
      </c>
      <c r="Y1058" s="35">
        <f>$D1058*($E1058*(Y$321-Y$322)+$F1058*(Y$324-Y$325))</f>
        <v/>
      </c>
      <c r="Z1058" s="35">
        <f>$D1058*($E1058*(Z$321-Z$322)+$F1058*(Z$324-Z$325))</f>
        <v/>
      </c>
      <c r="AA1058" s="35">
        <f>$D1058*($E1058*(AA$321-AA$322)+$F1058*(AA$324-AA$325))</f>
        <v/>
      </c>
      <c r="AB1058" s="35">
        <f>$D1058*($E1058*(AB$321-AB$322)+$F1058*(AB$324-AB$325))</f>
        <v/>
      </c>
      <c r="AC1058" s="35">
        <f>$D1058*($E1058*(AC$321-AC$322)+$F1058*(AC$324-AC$325))</f>
        <v/>
      </c>
      <c r="AD1058" s="35">
        <f>$D1058*($E1058*(AD$321-AD$322)+$F1058*(AD$324-AD$325))</f>
        <v/>
      </c>
      <c r="AE1058" s="42">
        <f>XCARBON($D1058,$E1058,(AE$321-AE$322),$F1058,(AE$324-AE$325))</f>
        <v/>
      </c>
      <c r="AG1058" s="11">
        <f>CodePrefix&amp;$A1058&amp;IF($C1058="","","."&amp;$C1058&amp;"."&amp;$B1058)&amp;INDEX(VarEnd,MATCH($A1058,VarKey,0))&amp;AG$5</f>
        <v/>
      </c>
      <c r="AH1058" s="40">
        <f>$D1058*($E1058*(AH$321-AH$322)+$F1058*(AH$324-AH$325))</f>
        <v/>
      </c>
      <c r="AI1058" s="35">
        <f>$D1058*($E1058*(AI$321-AI$322)+$F1058*(AI$324-AI$325))</f>
        <v/>
      </c>
      <c r="AJ1058" s="35">
        <f>$D1058*($E1058*(AJ$321-AJ$322)+$F1058*(AJ$324-AJ$325))</f>
        <v/>
      </c>
      <c r="AK1058" s="35">
        <f>$D1058*($E1058*(AK$321-AK$322)+$F1058*(AK$324-AK$325))</f>
        <v/>
      </c>
      <c r="AL1058" s="35">
        <f>$D1058*($E1058*(AL$321-AL$322)+$F1058*(AL$324-AL$325))</f>
        <v/>
      </c>
      <c r="AM1058" s="35">
        <f>$D1058*($E1058*(AM$321-AM$322)+$F1058*(AM$324-AM$325))</f>
        <v/>
      </c>
      <c r="AN1058" s="35">
        <f>$D1058*($E1058*(AN$321-AN$322)+$F1058*(AN$324-AN$325))</f>
        <v/>
      </c>
      <c r="AO1058" s="35">
        <f>$D1058*($E1058*(AO$321-AO$322)+$F1058*(AO$324-AO$325))</f>
        <v/>
      </c>
      <c r="AP1058" s="35">
        <f>$D1058*($E1058*(AP$321-AP$322)+$F1058*(AP$324-AP$325))</f>
        <v/>
      </c>
      <c r="AQ1058" s="35">
        <f>$D1058*($E1058*(AQ$321-AQ$322)+$F1058*(AQ$324-AQ$325))</f>
        <v/>
      </c>
      <c r="AR1058" s="35">
        <f>$D1058*($E1058*(AR$321-AR$322)+$F1058*(AR$324-AR$325))</f>
        <v/>
      </c>
      <c r="AS1058" s="35">
        <f>$D1058*($E1058*(AS$321-AS$322)+$F1058*(AS$324-AS$325))</f>
        <v/>
      </c>
      <c r="AT1058" s="35">
        <f>$D1058*($E1058*(AT$321-AT$322)+$F1058*(AT$324-AT$325))</f>
        <v/>
      </c>
      <c r="AU1058" s="35">
        <f>$D1058*($E1058*(AU$321-AU$322)+$F1058*(AU$324-AU$325))</f>
        <v/>
      </c>
      <c r="AV1058" s="35">
        <f>$D1058*($E1058*(AV$321-AV$322)+$F1058*(AV$324-AV$325))</f>
        <v/>
      </c>
      <c r="AW1058" s="35">
        <f>$D1058*($E1058*(AW$321-AW$322)+$F1058*(AW$324-AW$325))</f>
        <v/>
      </c>
      <c r="AX1058" s="35">
        <f>$D1058*($E1058*(AX$321-AX$322)+$F1058*(AX$324-AX$325))</f>
        <v/>
      </c>
      <c r="AY1058" s="35">
        <f>$D1058*($E1058*(AY$321-AY$322)+$F1058*(AY$324-AY$325))</f>
        <v/>
      </c>
      <c r="AZ1058" s="35">
        <f>$D1058*($E1058*(AZ$321-AZ$322)+$F1058*(AZ$324-AZ$325))</f>
        <v/>
      </c>
      <c r="BA1058" s="42">
        <f>XCARBON($D1058,$E1058,(BA$321-BA$322),$F1058,(BA$324-BA$325))</f>
        <v/>
      </c>
    </row>
    <row r="1059" hidden="1" outlineLevel="2">
      <c r="A1059" s="14" t="inlineStr">
        <is>
          <t>xcpd</t>
        </is>
      </c>
      <c r="B1059" s="14" t="inlineStr">
        <is>
          <t>bio</t>
        </is>
      </c>
      <c r="C1059" s="14" t="inlineStr">
        <is>
          <t>rod</t>
        </is>
      </c>
      <c r="D1059" s="35">
        <f>INDEX(Inputs!$W$5:$W$132,MATCH($B1059&amp;"|"&amp;$C1059,Inputs!$A$5:$A$132,0))</f>
        <v/>
      </c>
      <c r="E1059" s="35">
        <f>INDEX(Inputs!$Z$5:$Z$132,MATCH($B1059&amp;"|"&amp;$C1059,Inputs!$A$5:$A$132,0))</f>
        <v/>
      </c>
      <c r="F1059" s="35">
        <f>INDEX(Inputs!$AA$5:$AA$132,MATCH($B1059&amp;"|"&amp;$C1059,Inputs!$A$5:$A$132,0))</f>
        <v/>
      </c>
      <c r="G1059" s="39" t="n"/>
      <c r="H1059" s="14">
        <f>INDEX(VarLab,MATCH($A1059,VarKey,0))&amp;INDEX(MemLab,MATCH($C1059&amp;"|"&amp;$B1059,MemKey,0))</f>
        <v/>
      </c>
      <c r="I1059" s="14">
        <f>INDEX(VarUnit,MATCH($A1059,VarKey,0))</f>
        <v/>
      </c>
      <c r="J1059" s="14">
        <f>INDEX(VarSrc,MATCH($A1059,VarKey,0))</f>
        <v/>
      </c>
      <c r="K1059" s="11">
        <f>CodePrefix&amp;$A1059&amp;IF($C1059="","","."&amp;$C1059&amp;"."&amp;$B1059)&amp;INDEX(VarEnd,MATCH($A1059,VarKey,0))&amp;K$5</f>
        <v/>
      </c>
      <c r="L1059" s="40">
        <f>$D1059*($E1059*(L$321-L$322)+$F1059*(L$324-L$325))</f>
        <v/>
      </c>
      <c r="M1059" s="35">
        <f>$D1059*($E1059*(M$321-M$322)+$F1059*(M$324-M$325))</f>
        <v/>
      </c>
      <c r="N1059" s="35">
        <f>$D1059*($E1059*(N$321-N$322)+$F1059*(N$324-N$325))</f>
        <v/>
      </c>
      <c r="O1059" s="35">
        <f>$D1059*($E1059*(O$321-O$322)+$F1059*(O$324-O$325))</f>
        <v/>
      </c>
      <c r="P1059" s="35">
        <f>$D1059*($E1059*(P$321-P$322)+$F1059*(P$324-P$325))</f>
        <v/>
      </c>
      <c r="Q1059" s="35">
        <f>$D1059*($E1059*(Q$321-Q$322)+$F1059*(Q$324-Q$325))</f>
        <v/>
      </c>
      <c r="R1059" s="35">
        <f>$D1059*($E1059*(R$321-R$322)+$F1059*(R$324-R$325))</f>
        <v/>
      </c>
      <c r="S1059" s="35">
        <f>$D1059*($E1059*(S$321-S$322)+$F1059*(S$324-S$325))</f>
        <v/>
      </c>
      <c r="T1059" s="35">
        <f>$D1059*($E1059*(T$321-T$322)+$F1059*(T$324-T$325))</f>
        <v/>
      </c>
      <c r="U1059" s="35">
        <f>$D1059*($E1059*(U$321-U$322)+$F1059*(U$324-U$325))</f>
        <v/>
      </c>
      <c r="V1059" s="35">
        <f>$D1059*($E1059*(V$321-V$322)+$F1059*(V$324-V$325))</f>
        <v/>
      </c>
      <c r="W1059" s="35">
        <f>$D1059*($E1059*(W$321-W$322)+$F1059*(W$324-W$325))</f>
        <v/>
      </c>
      <c r="X1059" s="35">
        <f>$D1059*($E1059*(X$321-X$322)+$F1059*(X$324-X$325))</f>
        <v/>
      </c>
      <c r="Y1059" s="35">
        <f>$D1059*($E1059*(Y$321-Y$322)+$F1059*(Y$324-Y$325))</f>
        <v/>
      </c>
      <c r="Z1059" s="35">
        <f>$D1059*($E1059*(Z$321-Z$322)+$F1059*(Z$324-Z$325))</f>
        <v/>
      </c>
      <c r="AA1059" s="35">
        <f>$D1059*($E1059*(AA$321-AA$322)+$F1059*(AA$324-AA$325))</f>
        <v/>
      </c>
      <c r="AB1059" s="35">
        <f>$D1059*($E1059*(AB$321-AB$322)+$F1059*(AB$324-AB$325))</f>
        <v/>
      </c>
      <c r="AC1059" s="35">
        <f>$D1059*($E1059*(AC$321-AC$322)+$F1059*(AC$324-AC$325))</f>
        <v/>
      </c>
      <c r="AD1059" s="35">
        <f>$D1059*($E1059*(AD$321-AD$322)+$F1059*(AD$324-AD$325))</f>
        <v/>
      </c>
      <c r="AE1059" s="42">
        <f>XCARBON($D1059,$E1059,(AE$321-AE$322),$F1059,(AE$324-AE$325))</f>
        <v/>
      </c>
      <c r="AG1059" s="11">
        <f>CodePrefix&amp;$A1059&amp;IF($C1059="","","."&amp;$C1059&amp;"."&amp;$B1059)&amp;INDEX(VarEnd,MATCH($A1059,VarKey,0))&amp;AG$5</f>
        <v/>
      </c>
      <c r="AH1059" s="40">
        <f>$D1059*($E1059*(AH$321-AH$322)+$F1059*(AH$324-AH$325))</f>
        <v/>
      </c>
      <c r="AI1059" s="35">
        <f>$D1059*($E1059*(AI$321-AI$322)+$F1059*(AI$324-AI$325))</f>
        <v/>
      </c>
      <c r="AJ1059" s="35">
        <f>$D1059*($E1059*(AJ$321-AJ$322)+$F1059*(AJ$324-AJ$325))</f>
        <v/>
      </c>
      <c r="AK1059" s="35">
        <f>$D1059*($E1059*(AK$321-AK$322)+$F1059*(AK$324-AK$325))</f>
        <v/>
      </c>
      <c r="AL1059" s="35">
        <f>$D1059*($E1059*(AL$321-AL$322)+$F1059*(AL$324-AL$325))</f>
        <v/>
      </c>
      <c r="AM1059" s="35">
        <f>$D1059*($E1059*(AM$321-AM$322)+$F1059*(AM$324-AM$325))</f>
        <v/>
      </c>
      <c r="AN1059" s="35">
        <f>$D1059*($E1059*(AN$321-AN$322)+$F1059*(AN$324-AN$325))</f>
        <v/>
      </c>
      <c r="AO1059" s="35">
        <f>$D1059*($E1059*(AO$321-AO$322)+$F1059*(AO$324-AO$325))</f>
        <v/>
      </c>
      <c r="AP1059" s="35">
        <f>$D1059*($E1059*(AP$321-AP$322)+$F1059*(AP$324-AP$325))</f>
        <v/>
      </c>
      <c r="AQ1059" s="35">
        <f>$D1059*($E1059*(AQ$321-AQ$322)+$F1059*(AQ$324-AQ$325))</f>
        <v/>
      </c>
      <c r="AR1059" s="35">
        <f>$D1059*($E1059*(AR$321-AR$322)+$F1059*(AR$324-AR$325))</f>
        <v/>
      </c>
      <c r="AS1059" s="35">
        <f>$D1059*($E1059*(AS$321-AS$322)+$F1059*(AS$324-AS$325))</f>
        <v/>
      </c>
      <c r="AT1059" s="35">
        <f>$D1059*($E1059*(AT$321-AT$322)+$F1059*(AT$324-AT$325))</f>
        <v/>
      </c>
      <c r="AU1059" s="35">
        <f>$D1059*($E1059*(AU$321-AU$322)+$F1059*(AU$324-AU$325))</f>
        <v/>
      </c>
      <c r="AV1059" s="35">
        <f>$D1059*($E1059*(AV$321-AV$322)+$F1059*(AV$324-AV$325))</f>
        <v/>
      </c>
      <c r="AW1059" s="35">
        <f>$D1059*($E1059*(AW$321-AW$322)+$F1059*(AW$324-AW$325))</f>
        <v/>
      </c>
      <c r="AX1059" s="35">
        <f>$D1059*($E1059*(AX$321-AX$322)+$F1059*(AX$324-AX$325))</f>
        <v/>
      </c>
      <c r="AY1059" s="35">
        <f>$D1059*($E1059*(AY$321-AY$322)+$F1059*(AY$324-AY$325))</f>
        <v/>
      </c>
      <c r="AZ1059" s="35">
        <f>$D1059*($E1059*(AZ$321-AZ$322)+$F1059*(AZ$324-AZ$325))</f>
        <v/>
      </c>
      <c r="BA1059" s="42">
        <f>XCARBON($D1059,$E1059,(BA$321-BA$322),$F1059,(BA$324-BA$325))</f>
        <v/>
      </c>
    </row>
    <row r="1060" hidden="1" outlineLevel="2"/>
    <row r="1061" hidden="1" outlineLevel="2">
      <c r="A1061" s="14" t="inlineStr">
        <is>
          <t>atp</t>
        </is>
      </c>
      <c r="B1061" s="14" t="inlineStr">
        <is>
          <t>coa</t>
        </is>
      </c>
      <c r="C1061" s="14" t="inlineStr">
        <is>
          <t>rod</t>
        </is>
      </c>
      <c r="D1061" s="35">
        <f>INDEX(Inputs!$U$5:$U$132,MATCH($B1061&amp;"|"&amp;$C1061,Inputs!$A$5:$A$132,0))</f>
        <v/>
      </c>
      <c r="E1061" s="35">
        <f>INDEX(Inputs!$V$5:$V$132,MATCH($B1061&amp;"|"&amp;$C1061,Inputs!$A$5:$A$132,0))</f>
        <v/>
      </c>
      <c r="F1061" s="39" t="n"/>
      <c r="G1061" s="39" t="n"/>
      <c r="H1061" s="14">
        <f>INDEX(VarLab,MATCH($A1061,VarKey,0))&amp;INDEX(MemLab,MATCH($C1061&amp;"|"&amp;$B1061,MemKey,0))</f>
        <v/>
      </c>
      <c r="I1061" s="14">
        <f>INDEX(VarUnit,MATCH($A1061,VarKey,0))</f>
        <v/>
      </c>
      <c r="J1061" s="14">
        <f>INDEX(VarSrc,MATCH($A1061,VarKey,0))</f>
        <v/>
      </c>
      <c r="K1061" s="11">
        <f>CodePrefix&amp;$A1061&amp;IF($C1061="","","."&amp;$C1061&amp;"."&amp;$B1061)&amp;INDEX(VarEnd,MATCH($A1061,VarKey,0))&amp;K$5</f>
        <v/>
      </c>
      <c r="L1061" s="40">
        <f>MAX(INDEX(L$381:L$392,$D1061)+(L1034+L1052)*(1+$E1061),0.01)</f>
        <v/>
      </c>
      <c r="M1061" s="35">
        <f>MAX(INDEX(M$381:M$392,$D1061)+(M1034+M1052)*(1+$E1061),0.01)</f>
        <v/>
      </c>
      <c r="N1061" s="35">
        <f>MAX(INDEX(N$381:N$392,$D1061)+(N1034+N1052)*(1+$E1061),0.01)</f>
        <v/>
      </c>
      <c r="O1061" s="35">
        <f>MAX(INDEX(O$381:O$392,$D1061)+(O1034+O1052)*(1+$E1061),0.01)</f>
        <v/>
      </c>
      <c r="P1061" s="35">
        <f>MAX(INDEX(P$381:P$392,$D1061)+(P1034+P1052)*(1+$E1061),0.01)</f>
        <v/>
      </c>
      <c r="Q1061" s="35">
        <f>MAX(INDEX(Q$381:Q$392,$D1061)+(Q1034+Q1052)*(1+$E1061),0.01)</f>
        <v/>
      </c>
      <c r="R1061" s="35">
        <f>MAX(INDEX(R$381:R$392,$D1061)+(R1034+R1052)*(1+$E1061),0.01)</f>
        <v/>
      </c>
      <c r="S1061" s="35">
        <f>MAX(INDEX(S$381:S$392,$D1061)+(S1034+S1052)*(1+$E1061),0.01)</f>
        <v/>
      </c>
      <c r="T1061" s="35">
        <f>MAX(INDEX(T$381:T$392,$D1061)+(T1034+T1052)*(1+$E1061),0.01)</f>
        <v/>
      </c>
      <c r="U1061" s="35">
        <f>MAX(INDEX(U$381:U$392,$D1061)+(U1034+U1052)*(1+$E1061),0.01)</f>
        <v/>
      </c>
      <c r="V1061" s="35">
        <f>MAX(INDEX(V$381:V$392,$D1061)+(V1034+V1052)*(1+$E1061),0.01)</f>
        <v/>
      </c>
      <c r="W1061" s="35">
        <f>MAX(INDEX(W$381:W$392,$D1061)+(W1034+W1052)*(1+$E1061),0.01)</f>
        <v/>
      </c>
      <c r="X1061" s="35">
        <f>MAX(INDEX(X$381:X$392,$D1061)+(X1034+X1052)*(1+$E1061),0.01)</f>
        <v/>
      </c>
      <c r="Y1061" s="35">
        <f>MAX(INDEX(Y$381:Y$392,$D1061)+(Y1034+Y1052)*(1+$E1061),0.01)</f>
        <v/>
      </c>
      <c r="Z1061" s="35">
        <f>MAX(INDEX(Z$381:Z$392,$D1061)+(Z1034+Z1052)*(1+$E1061),0.01)</f>
        <v/>
      </c>
      <c r="AA1061" s="35">
        <f>MAX(INDEX(AA$381:AA$392,$D1061)+(AA1034+AA1052)*(1+$E1061),0.01)</f>
        <v/>
      </c>
      <c r="AB1061" s="35">
        <f>MAX(INDEX(AB$381:AB$392,$D1061)+(AB1034+AB1052)*(1+$E1061),0.01)</f>
        <v/>
      </c>
      <c r="AC1061" s="35">
        <f>MAX(INDEX(AC$381:AC$392,$D1061)+(AC1034+AC1052)*(1+$E1061),0.01)</f>
        <v/>
      </c>
      <c r="AD1061" s="35">
        <f>MAX(INDEX(AD$381:AD$392,$D1061)+(AD1034+AD1052)*(1+$E1061),0.01)</f>
        <v/>
      </c>
      <c r="AE1061" s="42">
        <f>POSTTAX(INDEX(AE$381:AE$392,$D1061),AE1034+AE1052,$E1061)</f>
        <v/>
      </c>
      <c r="AG1061" s="11">
        <f>CodePrefix&amp;$A1061&amp;IF($C1061="","","."&amp;$C1061&amp;"."&amp;$B1061)&amp;INDEX(VarEnd,MATCH($A1061,VarKey,0))&amp;AG$5</f>
        <v/>
      </c>
      <c r="AH1061" s="40">
        <f>MAX(INDEX(AH$381:AH$392,$D1061)+(AH1034+AH1052)*(1+$E1061),0.01)</f>
        <v/>
      </c>
      <c r="AI1061" s="35">
        <f>MAX(INDEX(AI$381:AI$392,$D1061)+(AI1034+AI1052)*(1+$E1061),0.01)</f>
        <v/>
      </c>
      <c r="AJ1061" s="35">
        <f>MAX(INDEX(AJ$381:AJ$392,$D1061)+(AJ1034+AJ1052)*(1+$E1061),0.01)</f>
        <v/>
      </c>
      <c r="AK1061" s="35">
        <f>MAX(INDEX(AK$381:AK$392,$D1061)+(AK1034+AK1052)*(1+$E1061),0.01)</f>
        <v/>
      </c>
      <c r="AL1061" s="35">
        <f>MAX(INDEX(AL$381:AL$392,$D1061)+(AL1034+AL1052)*(1+$E1061),0.01)</f>
        <v/>
      </c>
      <c r="AM1061" s="35">
        <f>MAX(INDEX(AM$381:AM$392,$D1061)+(AM1034+AM1052)*(1+$E1061),0.01)</f>
        <v/>
      </c>
      <c r="AN1061" s="35">
        <f>MAX(INDEX(AN$381:AN$392,$D1061)+(AN1034+AN1052)*(1+$E1061),0.01)</f>
        <v/>
      </c>
      <c r="AO1061" s="35">
        <f>MAX(INDEX(AO$381:AO$392,$D1061)+(AO1034+AO1052)*(1+$E1061),0.01)</f>
        <v/>
      </c>
      <c r="AP1061" s="35">
        <f>MAX(INDEX(AP$381:AP$392,$D1061)+(AP1034+AP1052)*(1+$E1061),0.01)</f>
        <v/>
      </c>
      <c r="AQ1061" s="35">
        <f>MAX(INDEX(AQ$381:AQ$392,$D1061)+(AQ1034+AQ1052)*(1+$E1061),0.01)</f>
        <v/>
      </c>
      <c r="AR1061" s="35">
        <f>MAX(INDEX(AR$381:AR$392,$D1061)+(AR1034+AR1052)*(1+$E1061),0.01)</f>
        <v/>
      </c>
      <c r="AS1061" s="35">
        <f>MAX(INDEX(AS$381:AS$392,$D1061)+(AS1034+AS1052)*(1+$E1061),0.01)</f>
        <v/>
      </c>
      <c r="AT1061" s="35">
        <f>MAX(INDEX(AT$381:AT$392,$D1061)+(AT1034+AT1052)*(1+$E1061),0.01)</f>
        <v/>
      </c>
      <c r="AU1061" s="35">
        <f>MAX(INDEX(AU$381:AU$392,$D1061)+(AU1034+AU1052)*(1+$E1061),0.01)</f>
        <v/>
      </c>
      <c r="AV1061" s="35">
        <f>MAX(INDEX(AV$381:AV$392,$D1061)+(AV1034+AV1052)*(1+$E1061),0.01)</f>
        <v/>
      </c>
      <c r="AW1061" s="35">
        <f>MAX(INDEX(AW$381:AW$392,$D1061)+(AW1034+AW1052)*(1+$E1061),0.01)</f>
        <v/>
      </c>
      <c r="AX1061" s="35">
        <f>MAX(INDEX(AX$381:AX$392,$D1061)+(AX1034+AX1052)*(1+$E1061),0.01)</f>
        <v/>
      </c>
      <c r="AY1061" s="35">
        <f>MAX(INDEX(AY$381:AY$392,$D1061)+(AY1034+AY1052)*(1+$E1061),0.01)</f>
        <v/>
      </c>
      <c r="AZ1061" s="35">
        <f>MAX(INDEX(AZ$381:AZ$392,$D1061)+(AZ1034+AZ1052)*(1+$E1061),0.01)</f>
        <v/>
      </c>
      <c r="BA1061" s="42">
        <f>POSTTAX(INDEX(BA$381:BA$392,$D1061),BA1034+BA1052,$E1061)</f>
        <v/>
      </c>
    </row>
    <row r="1062" hidden="1" outlineLevel="2">
      <c r="A1062" s="14" t="inlineStr">
        <is>
          <t>atp</t>
        </is>
      </c>
      <c r="B1062" s="14" t="inlineStr">
        <is>
          <t>nga</t>
        </is>
      </c>
      <c r="C1062" s="14" t="inlineStr">
        <is>
          <t>rod</t>
        </is>
      </c>
      <c r="D1062" s="35">
        <f>INDEX(Inputs!$U$5:$U$132,MATCH($B1062&amp;"|"&amp;$C1062,Inputs!$A$5:$A$132,0))</f>
        <v/>
      </c>
      <c r="E1062" s="35">
        <f>INDEX(Inputs!$V$5:$V$132,MATCH($B1062&amp;"|"&amp;$C1062,Inputs!$A$5:$A$132,0))</f>
        <v/>
      </c>
      <c r="F1062" s="39" t="n"/>
      <c r="G1062" s="39" t="n"/>
      <c r="H1062" s="14">
        <f>INDEX(VarLab,MATCH($A1062,VarKey,0))&amp;INDEX(MemLab,MATCH($C1062&amp;"|"&amp;$B1062,MemKey,0))</f>
        <v/>
      </c>
      <c r="I1062" s="14">
        <f>INDEX(VarUnit,MATCH($A1062,VarKey,0))</f>
        <v/>
      </c>
      <c r="J1062" s="14">
        <f>INDEX(VarSrc,MATCH($A1062,VarKey,0))</f>
        <v/>
      </c>
      <c r="K1062" s="11">
        <f>CodePrefix&amp;$A1062&amp;IF($C1062="","","."&amp;$C1062&amp;"."&amp;$B1062)&amp;INDEX(VarEnd,MATCH($A1062,VarKey,0))&amp;K$5</f>
        <v/>
      </c>
      <c r="L1062" s="40">
        <f>MAX(INDEX(L$381:L$392,$D1062)+(L1035+L1053)*(1+$E1062),0.01)</f>
        <v/>
      </c>
      <c r="M1062" s="35">
        <f>MAX(INDEX(M$381:M$392,$D1062)+(M1035+M1053)*(1+$E1062),0.01)</f>
        <v/>
      </c>
      <c r="N1062" s="35">
        <f>MAX(INDEX(N$381:N$392,$D1062)+(N1035+N1053)*(1+$E1062),0.01)</f>
        <v/>
      </c>
      <c r="O1062" s="35">
        <f>MAX(INDEX(O$381:O$392,$D1062)+(O1035+O1053)*(1+$E1062),0.01)</f>
        <v/>
      </c>
      <c r="P1062" s="35">
        <f>MAX(INDEX(P$381:P$392,$D1062)+(P1035+P1053)*(1+$E1062),0.01)</f>
        <v/>
      </c>
      <c r="Q1062" s="35">
        <f>MAX(INDEX(Q$381:Q$392,$D1062)+(Q1035+Q1053)*(1+$E1062),0.01)</f>
        <v/>
      </c>
      <c r="R1062" s="35">
        <f>MAX(INDEX(R$381:R$392,$D1062)+(R1035+R1053)*(1+$E1062),0.01)</f>
        <v/>
      </c>
      <c r="S1062" s="35">
        <f>MAX(INDEX(S$381:S$392,$D1062)+(S1035+S1053)*(1+$E1062),0.01)</f>
        <v/>
      </c>
      <c r="T1062" s="35">
        <f>MAX(INDEX(T$381:T$392,$D1062)+(T1035+T1053)*(1+$E1062),0.01)</f>
        <v/>
      </c>
      <c r="U1062" s="35">
        <f>MAX(INDEX(U$381:U$392,$D1062)+(U1035+U1053)*(1+$E1062),0.01)</f>
        <v/>
      </c>
      <c r="V1062" s="35">
        <f>MAX(INDEX(V$381:V$392,$D1062)+(V1035+V1053)*(1+$E1062),0.01)</f>
        <v/>
      </c>
      <c r="W1062" s="35">
        <f>MAX(INDEX(W$381:W$392,$D1062)+(W1035+W1053)*(1+$E1062),0.01)</f>
        <v/>
      </c>
      <c r="X1062" s="35">
        <f>MAX(INDEX(X$381:X$392,$D1062)+(X1035+X1053)*(1+$E1062),0.01)</f>
        <v/>
      </c>
      <c r="Y1062" s="35">
        <f>MAX(INDEX(Y$381:Y$392,$D1062)+(Y1035+Y1053)*(1+$E1062),0.01)</f>
        <v/>
      </c>
      <c r="Z1062" s="35">
        <f>MAX(INDEX(Z$381:Z$392,$D1062)+(Z1035+Z1053)*(1+$E1062),0.01)</f>
        <v/>
      </c>
      <c r="AA1062" s="35">
        <f>MAX(INDEX(AA$381:AA$392,$D1062)+(AA1035+AA1053)*(1+$E1062),0.01)</f>
        <v/>
      </c>
      <c r="AB1062" s="35">
        <f>MAX(INDEX(AB$381:AB$392,$D1062)+(AB1035+AB1053)*(1+$E1062),0.01)</f>
        <v/>
      </c>
      <c r="AC1062" s="35">
        <f>MAX(INDEX(AC$381:AC$392,$D1062)+(AC1035+AC1053)*(1+$E1062),0.01)</f>
        <v/>
      </c>
      <c r="AD1062" s="35">
        <f>MAX(INDEX(AD$381:AD$392,$D1062)+(AD1035+AD1053)*(1+$E1062),0.01)</f>
        <v/>
      </c>
      <c r="AE1062" s="42">
        <f>POSTTAX(INDEX(AE$381:AE$392,$D1062),AE1035+AE1053,$E1062)</f>
        <v/>
      </c>
      <c r="AG1062" s="11">
        <f>CodePrefix&amp;$A1062&amp;IF($C1062="","","."&amp;$C1062&amp;"."&amp;$B1062)&amp;INDEX(VarEnd,MATCH($A1062,VarKey,0))&amp;AG$5</f>
        <v/>
      </c>
      <c r="AH1062" s="40">
        <f>MAX(INDEX(AH$381:AH$392,$D1062)+(AH1035+AH1053)*(1+$E1062),0.01)</f>
        <v/>
      </c>
      <c r="AI1062" s="35">
        <f>MAX(INDEX(AI$381:AI$392,$D1062)+(AI1035+AI1053)*(1+$E1062),0.01)</f>
        <v/>
      </c>
      <c r="AJ1062" s="35">
        <f>MAX(INDEX(AJ$381:AJ$392,$D1062)+(AJ1035+AJ1053)*(1+$E1062),0.01)</f>
        <v/>
      </c>
      <c r="AK1062" s="35">
        <f>MAX(INDEX(AK$381:AK$392,$D1062)+(AK1035+AK1053)*(1+$E1062),0.01)</f>
        <v/>
      </c>
      <c r="AL1062" s="35">
        <f>MAX(INDEX(AL$381:AL$392,$D1062)+(AL1035+AL1053)*(1+$E1062),0.01)</f>
        <v/>
      </c>
      <c r="AM1062" s="35">
        <f>MAX(INDEX(AM$381:AM$392,$D1062)+(AM1035+AM1053)*(1+$E1062),0.01)</f>
        <v/>
      </c>
      <c r="AN1062" s="35">
        <f>MAX(INDEX(AN$381:AN$392,$D1062)+(AN1035+AN1053)*(1+$E1062),0.01)</f>
        <v/>
      </c>
      <c r="AO1062" s="35">
        <f>MAX(INDEX(AO$381:AO$392,$D1062)+(AO1035+AO1053)*(1+$E1062),0.01)</f>
        <v/>
      </c>
      <c r="AP1062" s="35">
        <f>MAX(INDEX(AP$381:AP$392,$D1062)+(AP1035+AP1053)*(1+$E1062),0.01)</f>
        <v/>
      </c>
      <c r="AQ1062" s="35">
        <f>MAX(INDEX(AQ$381:AQ$392,$D1062)+(AQ1035+AQ1053)*(1+$E1062),0.01)</f>
        <v/>
      </c>
      <c r="AR1062" s="35">
        <f>MAX(INDEX(AR$381:AR$392,$D1062)+(AR1035+AR1053)*(1+$E1062),0.01)</f>
        <v/>
      </c>
      <c r="AS1062" s="35">
        <f>MAX(INDEX(AS$381:AS$392,$D1062)+(AS1035+AS1053)*(1+$E1062),0.01)</f>
        <v/>
      </c>
      <c r="AT1062" s="35">
        <f>MAX(INDEX(AT$381:AT$392,$D1062)+(AT1035+AT1053)*(1+$E1062),0.01)</f>
        <v/>
      </c>
      <c r="AU1062" s="35">
        <f>MAX(INDEX(AU$381:AU$392,$D1062)+(AU1035+AU1053)*(1+$E1062),0.01)</f>
        <v/>
      </c>
      <c r="AV1062" s="35">
        <f>MAX(INDEX(AV$381:AV$392,$D1062)+(AV1035+AV1053)*(1+$E1062),0.01)</f>
        <v/>
      </c>
      <c r="AW1062" s="35">
        <f>MAX(INDEX(AW$381:AW$392,$D1062)+(AW1035+AW1053)*(1+$E1062),0.01)</f>
        <v/>
      </c>
      <c r="AX1062" s="35">
        <f>MAX(INDEX(AX$381:AX$392,$D1062)+(AX1035+AX1053)*(1+$E1062),0.01)</f>
        <v/>
      </c>
      <c r="AY1062" s="35">
        <f>MAX(INDEX(AY$381:AY$392,$D1062)+(AY1035+AY1053)*(1+$E1062),0.01)</f>
        <v/>
      </c>
      <c r="AZ1062" s="35">
        <f>MAX(INDEX(AZ$381:AZ$392,$D1062)+(AZ1035+AZ1053)*(1+$E1062),0.01)</f>
        <v/>
      </c>
      <c r="BA1062" s="42">
        <f>POSTTAX(INDEX(BA$381:BA$392,$D1062),BA1035+BA1053,$E1062)</f>
        <v/>
      </c>
    </row>
    <row r="1063" hidden="1" outlineLevel="2">
      <c r="A1063" s="14" t="inlineStr">
        <is>
          <t>atp</t>
        </is>
      </c>
      <c r="B1063" s="14" t="inlineStr">
        <is>
          <t>gso</t>
        </is>
      </c>
      <c r="C1063" s="14" t="inlineStr">
        <is>
          <t>rod</t>
        </is>
      </c>
      <c r="D1063" s="35">
        <f>INDEX(Inputs!$U$5:$U$132,MATCH($B1063&amp;"|"&amp;$C1063,Inputs!$A$5:$A$132,0))</f>
        <v/>
      </c>
      <c r="E1063" s="35">
        <f>INDEX(Inputs!$V$5:$V$132,MATCH($B1063&amp;"|"&amp;$C1063,Inputs!$A$5:$A$132,0))</f>
        <v/>
      </c>
      <c r="F1063" s="39" t="n"/>
      <c r="G1063" s="39" t="n"/>
      <c r="H1063" s="14">
        <f>INDEX(VarLab,MATCH($A1063,VarKey,0))&amp;INDEX(MemLab,MATCH($C1063&amp;"|"&amp;$B1063,MemKey,0))</f>
        <v/>
      </c>
      <c r="I1063" s="14">
        <f>INDEX(VarUnit,MATCH($A1063,VarKey,0))</f>
        <v/>
      </c>
      <c r="J1063" s="14">
        <f>INDEX(VarSrc,MATCH($A1063,VarKey,0))</f>
        <v/>
      </c>
      <c r="K1063" s="11">
        <f>CodePrefix&amp;$A1063&amp;IF($C1063="","","."&amp;$C1063&amp;"."&amp;$B1063)&amp;INDEX(VarEnd,MATCH($A1063,VarKey,0))&amp;K$5</f>
        <v/>
      </c>
      <c r="L1063" s="40">
        <f>MAX(INDEX(L$381:L$392,$D1063)+(L1036+L1054)*(1+$E1063),0.01)</f>
        <v/>
      </c>
      <c r="M1063" s="35">
        <f>MAX(INDEX(M$381:M$392,$D1063)+(M1036+M1054)*(1+$E1063),0.01)</f>
        <v/>
      </c>
      <c r="N1063" s="35">
        <f>MAX(INDEX(N$381:N$392,$D1063)+(N1036+N1054)*(1+$E1063),0.01)</f>
        <v/>
      </c>
      <c r="O1063" s="35">
        <f>MAX(INDEX(O$381:O$392,$D1063)+(O1036+O1054)*(1+$E1063),0.01)</f>
        <v/>
      </c>
      <c r="P1063" s="35">
        <f>MAX(INDEX(P$381:P$392,$D1063)+(P1036+P1054)*(1+$E1063),0.01)</f>
        <v/>
      </c>
      <c r="Q1063" s="35">
        <f>MAX(INDEX(Q$381:Q$392,$D1063)+(Q1036+Q1054)*(1+$E1063),0.01)</f>
        <v/>
      </c>
      <c r="R1063" s="35">
        <f>MAX(INDEX(R$381:R$392,$D1063)+(R1036+R1054)*(1+$E1063),0.01)</f>
        <v/>
      </c>
      <c r="S1063" s="35">
        <f>MAX(INDEX(S$381:S$392,$D1063)+(S1036+S1054)*(1+$E1063),0.01)</f>
        <v/>
      </c>
      <c r="T1063" s="35">
        <f>MAX(INDEX(T$381:T$392,$D1063)+(T1036+T1054)*(1+$E1063),0.01)</f>
        <v/>
      </c>
      <c r="U1063" s="35">
        <f>MAX(INDEX(U$381:U$392,$D1063)+(U1036+U1054)*(1+$E1063),0.01)</f>
        <v/>
      </c>
      <c r="V1063" s="35">
        <f>MAX(INDEX(V$381:V$392,$D1063)+(V1036+V1054)*(1+$E1063),0.01)</f>
        <v/>
      </c>
      <c r="W1063" s="35">
        <f>MAX(INDEX(W$381:W$392,$D1063)+(W1036+W1054)*(1+$E1063),0.01)</f>
        <v/>
      </c>
      <c r="X1063" s="35">
        <f>MAX(INDEX(X$381:X$392,$D1063)+(X1036+X1054)*(1+$E1063),0.01)</f>
        <v/>
      </c>
      <c r="Y1063" s="35">
        <f>MAX(INDEX(Y$381:Y$392,$D1063)+(Y1036+Y1054)*(1+$E1063),0.01)</f>
        <v/>
      </c>
      <c r="Z1063" s="35">
        <f>MAX(INDEX(Z$381:Z$392,$D1063)+(Z1036+Z1054)*(1+$E1063),0.01)</f>
        <v/>
      </c>
      <c r="AA1063" s="35">
        <f>MAX(INDEX(AA$381:AA$392,$D1063)+(AA1036+AA1054)*(1+$E1063),0.01)</f>
        <v/>
      </c>
      <c r="AB1063" s="35">
        <f>MAX(INDEX(AB$381:AB$392,$D1063)+(AB1036+AB1054)*(1+$E1063),0.01)</f>
        <v/>
      </c>
      <c r="AC1063" s="35">
        <f>MAX(INDEX(AC$381:AC$392,$D1063)+(AC1036+AC1054)*(1+$E1063),0.01)</f>
        <v/>
      </c>
      <c r="AD1063" s="35">
        <f>MAX(INDEX(AD$381:AD$392,$D1063)+(AD1036+AD1054)*(1+$E1063),0.01)</f>
        <v/>
      </c>
      <c r="AE1063" s="42">
        <f>POSTTAX(INDEX(AE$381:AE$392,$D1063),AE1036+AE1054,$E1063)</f>
        <v/>
      </c>
      <c r="AG1063" s="11">
        <f>CodePrefix&amp;$A1063&amp;IF($C1063="","","."&amp;$C1063&amp;"."&amp;$B1063)&amp;INDEX(VarEnd,MATCH($A1063,VarKey,0))&amp;AG$5</f>
        <v/>
      </c>
      <c r="AH1063" s="40">
        <f>MAX(INDEX(AH$381:AH$392,$D1063)+(AH1036+AH1054)*(1+$E1063),0.01)</f>
        <v/>
      </c>
      <c r="AI1063" s="35">
        <f>MAX(INDEX(AI$381:AI$392,$D1063)+(AI1036+AI1054)*(1+$E1063),0.01)</f>
        <v/>
      </c>
      <c r="AJ1063" s="35">
        <f>MAX(INDEX(AJ$381:AJ$392,$D1063)+(AJ1036+AJ1054)*(1+$E1063),0.01)</f>
        <v/>
      </c>
      <c r="AK1063" s="35">
        <f>MAX(INDEX(AK$381:AK$392,$D1063)+(AK1036+AK1054)*(1+$E1063),0.01)</f>
        <v/>
      </c>
      <c r="AL1063" s="35">
        <f>MAX(INDEX(AL$381:AL$392,$D1063)+(AL1036+AL1054)*(1+$E1063),0.01)</f>
        <v/>
      </c>
      <c r="AM1063" s="35">
        <f>MAX(INDEX(AM$381:AM$392,$D1063)+(AM1036+AM1054)*(1+$E1063),0.01)</f>
        <v/>
      </c>
      <c r="AN1063" s="35">
        <f>MAX(INDEX(AN$381:AN$392,$D1063)+(AN1036+AN1054)*(1+$E1063),0.01)</f>
        <v/>
      </c>
      <c r="AO1063" s="35">
        <f>MAX(INDEX(AO$381:AO$392,$D1063)+(AO1036+AO1054)*(1+$E1063),0.01)</f>
        <v/>
      </c>
      <c r="AP1063" s="35">
        <f>MAX(INDEX(AP$381:AP$392,$D1063)+(AP1036+AP1054)*(1+$E1063),0.01)</f>
        <v/>
      </c>
      <c r="AQ1063" s="35">
        <f>MAX(INDEX(AQ$381:AQ$392,$D1063)+(AQ1036+AQ1054)*(1+$E1063),0.01)</f>
        <v/>
      </c>
      <c r="AR1063" s="35">
        <f>MAX(INDEX(AR$381:AR$392,$D1063)+(AR1036+AR1054)*(1+$E1063),0.01)</f>
        <v/>
      </c>
      <c r="AS1063" s="35">
        <f>MAX(INDEX(AS$381:AS$392,$D1063)+(AS1036+AS1054)*(1+$E1063),0.01)</f>
        <v/>
      </c>
      <c r="AT1063" s="35">
        <f>MAX(INDEX(AT$381:AT$392,$D1063)+(AT1036+AT1054)*(1+$E1063),0.01)</f>
        <v/>
      </c>
      <c r="AU1063" s="35">
        <f>MAX(INDEX(AU$381:AU$392,$D1063)+(AU1036+AU1054)*(1+$E1063),0.01)</f>
        <v/>
      </c>
      <c r="AV1063" s="35">
        <f>MAX(INDEX(AV$381:AV$392,$D1063)+(AV1036+AV1054)*(1+$E1063),0.01)</f>
        <v/>
      </c>
      <c r="AW1063" s="35">
        <f>MAX(INDEX(AW$381:AW$392,$D1063)+(AW1036+AW1054)*(1+$E1063),0.01)</f>
        <v/>
      </c>
      <c r="AX1063" s="35">
        <f>MAX(INDEX(AX$381:AX$392,$D1063)+(AX1036+AX1054)*(1+$E1063),0.01)</f>
        <v/>
      </c>
      <c r="AY1063" s="35">
        <f>MAX(INDEX(AY$381:AY$392,$D1063)+(AY1036+AY1054)*(1+$E1063),0.01)</f>
        <v/>
      </c>
      <c r="AZ1063" s="35">
        <f>MAX(INDEX(AZ$381:AZ$392,$D1063)+(AZ1036+AZ1054)*(1+$E1063),0.01)</f>
        <v/>
      </c>
      <c r="BA1063" s="42">
        <f>POSTTAX(INDEX(BA$381:BA$392,$D1063),BA1036+BA1054,$E1063)</f>
        <v/>
      </c>
    </row>
    <row r="1064" hidden="1" outlineLevel="2">
      <c r="A1064" s="14" t="inlineStr">
        <is>
          <t>atp</t>
        </is>
      </c>
      <c r="B1064" s="14" t="inlineStr">
        <is>
          <t>die</t>
        </is>
      </c>
      <c r="C1064" s="14" t="inlineStr">
        <is>
          <t>rod</t>
        </is>
      </c>
      <c r="D1064" s="35">
        <f>INDEX(Inputs!$U$5:$U$132,MATCH($B1064&amp;"|"&amp;$C1064,Inputs!$A$5:$A$132,0))</f>
        <v/>
      </c>
      <c r="E1064" s="35">
        <f>INDEX(Inputs!$V$5:$V$132,MATCH($B1064&amp;"|"&amp;$C1064,Inputs!$A$5:$A$132,0))</f>
        <v/>
      </c>
      <c r="F1064" s="39" t="n"/>
      <c r="G1064" s="39" t="n"/>
      <c r="H1064" s="14">
        <f>INDEX(VarLab,MATCH($A1064,VarKey,0))&amp;INDEX(MemLab,MATCH($C1064&amp;"|"&amp;$B1064,MemKey,0))</f>
        <v/>
      </c>
      <c r="I1064" s="14">
        <f>INDEX(VarUnit,MATCH($A1064,VarKey,0))</f>
        <v/>
      </c>
      <c r="J1064" s="14">
        <f>INDEX(VarSrc,MATCH($A1064,VarKey,0))</f>
        <v/>
      </c>
      <c r="K1064" s="11">
        <f>CodePrefix&amp;$A1064&amp;IF($C1064="","","."&amp;$C1064&amp;"."&amp;$B1064)&amp;INDEX(VarEnd,MATCH($A1064,VarKey,0))&amp;K$5</f>
        <v/>
      </c>
      <c r="L1064" s="40">
        <f>MAX(INDEX(L$381:L$392,$D1064)+(L1037+L1055)*(1+$E1064),0.01)</f>
        <v/>
      </c>
      <c r="M1064" s="35">
        <f>MAX(INDEX(M$381:M$392,$D1064)+(M1037+M1055)*(1+$E1064),0.01)</f>
        <v/>
      </c>
      <c r="N1064" s="35">
        <f>MAX(INDEX(N$381:N$392,$D1064)+(N1037+N1055)*(1+$E1064),0.01)</f>
        <v/>
      </c>
      <c r="O1064" s="35">
        <f>MAX(INDEX(O$381:O$392,$D1064)+(O1037+O1055)*(1+$E1064),0.01)</f>
        <v/>
      </c>
      <c r="P1064" s="35">
        <f>MAX(INDEX(P$381:P$392,$D1064)+(P1037+P1055)*(1+$E1064),0.01)</f>
        <v/>
      </c>
      <c r="Q1064" s="35">
        <f>MAX(INDEX(Q$381:Q$392,$D1064)+(Q1037+Q1055)*(1+$E1064),0.01)</f>
        <v/>
      </c>
      <c r="R1064" s="35">
        <f>MAX(INDEX(R$381:R$392,$D1064)+(R1037+R1055)*(1+$E1064),0.01)</f>
        <v/>
      </c>
      <c r="S1064" s="35">
        <f>MAX(INDEX(S$381:S$392,$D1064)+(S1037+S1055)*(1+$E1064),0.01)</f>
        <v/>
      </c>
      <c r="T1064" s="35">
        <f>MAX(INDEX(T$381:T$392,$D1064)+(T1037+T1055)*(1+$E1064),0.01)</f>
        <v/>
      </c>
      <c r="U1064" s="35">
        <f>MAX(INDEX(U$381:U$392,$D1064)+(U1037+U1055)*(1+$E1064),0.01)</f>
        <v/>
      </c>
      <c r="V1064" s="35">
        <f>MAX(INDEX(V$381:V$392,$D1064)+(V1037+V1055)*(1+$E1064),0.01)</f>
        <v/>
      </c>
      <c r="W1064" s="35">
        <f>MAX(INDEX(W$381:W$392,$D1064)+(W1037+W1055)*(1+$E1064),0.01)</f>
        <v/>
      </c>
      <c r="X1064" s="35">
        <f>MAX(INDEX(X$381:X$392,$D1064)+(X1037+X1055)*(1+$E1064),0.01)</f>
        <v/>
      </c>
      <c r="Y1064" s="35">
        <f>MAX(INDEX(Y$381:Y$392,$D1064)+(Y1037+Y1055)*(1+$E1064),0.01)</f>
        <v/>
      </c>
      <c r="Z1064" s="35">
        <f>MAX(INDEX(Z$381:Z$392,$D1064)+(Z1037+Z1055)*(1+$E1064),0.01)</f>
        <v/>
      </c>
      <c r="AA1064" s="35">
        <f>MAX(INDEX(AA$381:AA$392,$D1064)+(AA1037+AA1055)*(1+$E1064),0.01)</f>
        <v/>
      </c>
      <c r="AB1064" s="35">
        <f>MAX(INDEX(AB$381:AB$392,$D1064)+(AB1037+AB1055)*(1+$E1064),0.01)</f>
        <v/>
      </c>
      <c r="AC1064" s="35">
        <f>MAX(INDEX(AC$381:AC$392,$D1064)+(AC1037+AC1055)*(1+$E1064),0.01)</f>
        <v/>
      </c>
      <c r="AD1064" s="35">
        <f>MAX(INDEX(AD$381:AD$392,$D1064)+(AD1037+AD1055)*(1+$E1064),0.01)</f>
        <v/>
      </c>
      <c r="AE1064" s="42">
        <f>POSTTAX(INDEX(AE$381:AE$392,$D1064),AE1037+AE1055,$E1064)</f>
        <v/>
      </c>
      <c r="AG1064" s="11">
        <f>CodePrefix&amp;$A1064&amp;IF($C1064="","","."&amp;$C1064&amp;"."&amp;$B1064)&amp;INDEX(VarEnd,MATCH($A1064,VarKey,0))&amp;AG$5</f>
        <v/>
      </c>
      <c r="AH1064" s="40">
        <f>MAX(INDEX(AH$381:AH$392,$D1064)+(AH1037+AH1055)*(1+$E1064),0.01)</f>
        <v/>
      </c>
      <c r="AI1064" s="35">
        <f>MAX(INDEX(AI$381:AI$392,$D1064)+(AI1037+AI1055)*(1+$E1064),0.01)</f>
        <v/>
      </c>
      <c r="AJ1064" s="35">
        <f>MAX(INDEX(AJ$381:AJ$392,$D1064)+(AJ1037+AJ1055)*(1+$E1064),0.01)</f>
        <v/>
      </c>
      <c r="AK1064" s="35">
        <f>MAX(INDEX(AK$381:AK$392,$D1064)+(AK1037+AK1055)*(1+$E1064),0.01)</f>
        <v/>
      </c>
      <c r="AL1064" s="35">
        <f>MAX(INDEX(AL$381:AL$392,$D1064)+(AL1037+AL1055)*(1+$E1064),0.01)</f>
        <v/>
      </c>
      <c r="AM1064" s="35">
        <f>MAX(INDEX(AM$381:AM$392,$D1064)+(AM1037+AM1055)*(1+$E1064),0.01)</f>
        <v/>
      </c>
      <c r="AN1064" s="35">
        <f>MAX(INDEX(AN$381:AN$392,$D1064)+(AN1037+AN1055)*(1+$E1064),0.01)</f>
        <v/>
      </c>
      <c r="AO1064" s="35">
        <f>MAX(INDEX(AO$381:AO$392,$D1064)+(AO1037+AO1055)*(1+$E1064),0.01)</f>
        <v/>
      </c>
      <c r="AP1064" s="35">
        <f>MAX(INDEX(AP$381:AP$392,$D1064)+(AP1037+AP1055)*(1+$E1064),0.01)</f>
        <v/>
      </c>
      <c r="AQ1064" s="35">
        <f>MAX(INDEX(AQ$381:AQ$392,$D1064)+(AQ1037+AQ1055)*(1+$E1064),0.01)</f>
        <v/>
      </c>
      <c r="AR1064" s="35">
        <f>MAX(INDEX(AR$381:AR$392,$D1064)+(AR1037+AR1055)*(1+$E1064),0.01)</f>
        <v/>
      </c>
      <c r="AS1064" s="35">
        <f>MAX(INDEX(AS$381:AS$392,$D1064)+(AS1037+AS1055)*(1+$E1064),0.01)</f>
        <v/>
      </c>
      <c r="AT1064" s="35">
        <f>MAX(INDEX(AT$381:AT$392,$D1064)+(AT1037+AT1055)*(1+$E1064),0.01)</f>
        <v/>
      </c>
      <c r="AU1064" s="35">
        <f>MAX(INDEX(AU$381:AU$392,$D1064)+(AU1037+AU1055)*(1+$E1064),0.01)</f>
        <v/>
      </c>
      <c r="AV1064" s="35">
        <f>MAX(INDEX(AV$381:AV$392,$D1064)+(AV1037+AV1055)*(1+$E1064),0.01)</f>
        <v/>
      </c>
      <c r="AW1064" s="35">
        <f>MAX(INDEX(AW$381:AW$392,$D1064)+(AW1037+AW1055)*(1+$E1064),0.01)</f>
        <v/>
      </c>
      <c r="AX1064" s="35">
        <f>MAX(INDEX(AX$381:AX$392,$D1064)+(AX1037+AX1055)*(1+$E1064),0.01)</f>
        <v/>
      </c>
      <c r="AY1064" s="35">
        <f>MAX(INDEX(AY$381:AY$392,$D1064)+(AY1037+AY1055)*(1+$E1064),0.01)</f>
        <v/>
      </c>
      <c r="AZ1064" s="35">
        <f>MAX(INDEX(AZ$381:AZ$392,$D1064)+(AZ1037+AZ1055)*(1+$E1064),0.01)</f>
        <v/>
      </c>
      <c r="BA1064" s="42">
        <f>POSTTAX(INDEX(BA$381:BA$392,$D1064),BA1037+BA1055,$E1064)</f>
        <v/>
      </c>
    </row>
    <row r="1065" hidden="1" outlineLevel="2">
      <c r="A1065" s="14" t="inlineStr">
        <is>
          <t>atp</t>
        </is>
      </c>
      <c r="B1065" s="14" t="inlineStr">
        <is>
          <t>lpg</t>
        </is>
      </c>
      <c r="C1065" s="14" t="inlineStr">
        <is>
          <t>rod</t>
        </is>
      </c>
      <c r="D1065" s="35">
        <f>INDEX(Inputs!$U$5:$U$132,MATCH($B1065&amp;"|"&amp;$C1065,Inputs!$A$5:$A$132,0))</f>
        <v/>
      </c>
      <c r="E1065" s="35">
        <f>INDEX(Inputs!$V$5:$V$132,MATCH($B1065&amp;"|"&amp;$C1065,Inputs!$A$5:$A$132,0))</f>
        <v/>
      </c>
      <c r="F1065" s="39" t="n"/>
      <c r="G1065" s="39" t="n"/>
      <c r="H1065" s="14">
        <f>INDEX(VarLab,MATCH($A1065,VarKey,0))&amp;INDEX(MemLab,MATCH($C1065&amp;"|"&amp;$B1065,MemKey,0))</f>
        <v/>
      </c>
      <c r="I1065" s="14">
        <f>INDEX(VarUnit,MATCH($A1065,VarKey,0))</f>
        <v/>
      </c>
      <c r="J1065" s="14">
        <f>INDEX(VarSrc,MATCH($A1065,VarKey,0))</f>
        <v/>
      </c>
      <c r="K1065" s="11">
        <f>CodePrefix&amp;$A1065&amp;IF($C1065="","","."&amp;$C1065&amp;"."&amp;$B1065)&amp;INDEX(VarEnd,MATCH($A1065,VarKey,0))&amp;K$5</f>
        <v/>
      </c>
      <c r="L1065" s="40">
        <f>MAX(INDEX(L$381:L$392,$D1065)+(L1038+L1056)*(1+$E1065),0.01)</f>
        <v/>
      </c>
      <c r="M1065" s="35">
        <f>MAX(INDEX(M$381:M$392,$D1065)+(M1038+M1056)*(1+$E1065),0.01)</f>
        <v/>
      </c>
      <c r="N1065" s="35">
        <f>MAX(INDEX(N$381:N$392,$D1065)+(N1038+N1056)*(1+$E1065),0.01)</f>
        <v/>
      </c>
      <c r="O1065" s="35">
        <f>MAX(INDEX(O$381:O$392,$D1065)+(O1038+O1056)*(1+$E1065),0.01)</f>
        <v/>
      </c>
      <c r="P1065" s="35">
        <f>MAX(INDEX(P$381:P$392,$D1065)+(P1038+P1056)*(1+$E1065),0.01)</f>
        <v/>
      </c>
      <c r="Q1065" s="35">
        <f>MAX(INDEX(Q$381:Q$392,$D1065)+(Q1038+Q1056)*(1+$E1065),0.01)</f>
        <v/>
      </c>
      <c r="R1065" s="35">
        <f>MAX(INDEX(R$381:R$392,$D1065)+(R1038+R1056)*(1+$E1065),0.01)</f>
        <v/>
      </c>
      <c r="S1065" s="35">
        <f>MAX(INDEX(S$381:S$392,$D1065)+(S1038+S1056)*(1+$E1065),0.01)</f>
        <v/>
      </c>
      <c r="T1065" s="35">
        <f>MAX(INDEX(T$381:T$392,$D1065)+(T1038+T1056)*(1+$E1065),0.01)</f>
        <v/>
      </c>
      <c r="U1065" s="35">
        <f>MAX(INDEX(U$381:U$392,$D1065)+(U1038+U1056)*(1+$E1065),0.01)</f>
        <v/>
      </c>
      <c r="V1065" s="35">
        <f>MAX(INDEX(V$381:V$392,$D1065)+(V1038+V1056)*(1+$E1065),0.01)</f>
        <v/>
      </c>
      <c r="W1065" s="35">
        <f>MAX(INDEX(W$381:W$392,$D1065)+(W1038+W1056)*(1+$E1065),0.01)</f>
        <v/>
      </c>
      <c r="X1065" s="35">
        <f>MAX(INDEX(X$381:X$392,$D1065)+(X1038+X1056)*(1+$E1065),0.01)</f>
        <v/>
      </c>
      <c r="Y1065" s="35">
        <f>MAX(INDEX(Y$381:Y$392,$D1065)+(Y1038+Y1056)*(1+$E1065),0.01)</f>
        <v/>
      </c>
      <c r="Z1065" s="35">
        <f>MAX(INDEX(Z$381:Z$392,$D1065)+(Z1038+Z1056)*(1+$E1065),0.01)</f>
        <v/>
      </c>
      <c r="AA1065" s="35">
        <f>MAX(INDEX(AA$381:AA$392,$D1065)+(AA1038+AA1056)*(1+$E1065),0.01)</f>
        <v/>
      </c>
      <c r="AB1065" s="35">
        <f>MAX(INDEX(AB$381:AB$392,$D1065)+(AB1038+AB1056)*(1+$E1065),0.01)</f>
        <v/>
      </c>
      <c r="AC1065" s="35">
        <f>MAX(INDEX(AC$381:AC$392,$D1065)+(AC1038+AC1056)*(1+$E1065),0.01)</f>
        <v/>
      </c>
      <c r="AD1065" s="35">
        <f>MAX(INDEX(AD$381:AD$392,$D1065)+(AD1038+AD1056)*(1+$E1065),0.01)</f>
        <v/>
      </c>
      <c r="AE1065" s="42">
        <f>POSTTAX(INDEX(AE$381:AE$392,$D1065),AE1038+AE1056,$E1065)</f>
        <v/>
      </c>
      <c r="AG1065" s="11">
        <f>CodePrefix&amp;$A1065&amp;IF($C1065="","","."&amp;$C1065&amp;"."&amp;$B1065)&amp;INDEX(VarEnd,MATCH($A1065,VarKey,0))&amp;AG$5</f>
        <v/>
      </c>
      <c r="AH1065" s="40">
        <f>MAX(INDEX(AH$381:AH$392,$D1065)+(AH1038+AH1056)*(1+$E1065),0.01)</f>
        <v/>
      </c>
      <c r="AI1065" s="35">
        <f>MAX(INDEX(AI$381:AI$392,$D1065)+(AI1038+AI1056)*(1+$E1065),0.01)</f>
        <v/>
      </c>
      <c r="AJ1065" s="35">
        <f>MAX(INDEX(AJ$381:AJ$392,$D1065)+(AJ1038+AJ1056)*(1+$E1065),0.01)</f>
        <v/>
      </c>
      <c r="AK1065" s="35">
        <f>MAX(INDEX(AK$381:AK$392,$D1065)+(AK1038+AK1056)*(1+$E1065),0.01)</f>
        <v/>
      </c>
      <c r="AL1065" s="35">
        <f>MAX(INDEX(AL$381:AL$392,$D1065)+(AL1038+AL1056)*(1+$E1065),0.01)</f>
        <v/>
      </c>
      <c r="AM1065" s="35">
        <f>MAX(INDEX(AM$381:AM$392,$D1065)+(AM1038+AM1056)*(1+$E1065),0.01)</f>
        <v/>
      </c>
      <c r="AN1065" s="35">
        <f>MAX(INDEX(AN$381:AN$392,$D1065)+(AN1038+AN1056)*(1+$E1065),0.01)</f>
        <v/>
      </c>
      <c r="AO1065" s="35">
        <f>MAX(INDEX(AO$381:AO$392,$D1065)+(AO1038+AO1056)*(1+$E1065),0.01)</f>
        <v/>
      </c>
      <c r="AP1065" s="35">
        <f>MAX(INDEX(AP$381:AP$392,$D1065)+(AP1038+AP1056)*(1+$E1065),0.01)</f>
        <v/>
      </c>
      <c r="AQ1065" s="35">
        <f>MAX(INDEX(AQ$381:AQ$392,$D1065)+(AQ1038+AQ1056)*(1+$E1065),0.01)</f>
        <v/>
      </c>
      <c r="AR1065" s="35">
        <f>MAX(INDEX(AR$381:AR$392,$D1065)+(AR1038+AR1056)*(1+$E1065),0.01)</f>
        <v/>
      </c>
      <c r="AS1065" s="35">
        <f>MAX(INDEX(AS$381:AS$392,$D1065)+(AS1038+AS1056)*(1+$E1065),0.01)</f>
        <v/>
      </c>
      <c r="AT1065" s="35">
        <f>MAX(INDEX(AT$381:AT$392,$D1065)+(AT1038+AT1056)*(1+$E1065),0.01)</f>
        <v/>
      </c>
      <c r="AU1065" s="35">
        <f>MAX(INDEX(AU$381:AU$392,$D1065)+(AU1038+AU1056)*(1+$E1065),0.01)</f>
        <v/>
      </c>
      <c r="AV1065" s="35">
        <f>MAX(INDEX(AV$381:AV$392,$D1065)+(AV1038+AV1056)*(1+$E1065),0.01)</f>
        <v/>
      </c>
      <c r="AW1065" s="35">
        <f>MAX(INDEX(AW$381:AW$392,$D1065)+(AW1038+AW1056)*(1+$E1065),0.01)</f>
        <v/>
      </c>
      <c r="AX1065" s="35">
        <f>MAX(INDEX(AX$381:AX$392,$D1065)+(AX1038+AX1056)*(1+$E1065),0.01)</f>
        <v/>
      </c>
      <c r="AY1065" s="35">
        <f>MAX(INDEX(AY$381:AY$392,$D1065)+(AY1038+AY1056)*(1+$E1065),0.01)</f>
        <v/>
      </c>
      <c r="AZ1065" s="35">
        <f>MAX(INDEX(AZ$381:AZ$392,$D1065)+(AZ1038+AZ1056)*(1+$E1065),0.01)</f>
        <v/>
      </c>
      <c r="BA1065" s="42">
        <f>POSTTAX(INDEX(BA$381:BA$392,$D1065),BA1038+BA1056,$E1065)</f>
        <v/>
      </c>
    </row>
    <row r="1066" hidden="1" outlineLevel="2">
      <c r="A1066" s="14" t="inlineStr">
        <is>
          <t>atp</t>
        </is>
      </c>
      <c r="B1066" s="14" t="inlineStr">
        <is>
          <t>ker</t>
        </is>
      </c>
      <c r="C1066" s="14" t="inlineStr">
        <is>
          <t>rod</t>
        </is>
      </c>
      <c r="D1066" s="35">
        <f>INDEX(Inputs!$U$5:$U$132,MATCH($B1066&amp;"|"&amp;$C1066,Inputs!$A$5:$A$132,0))</f>
        <v/>
      </c>
      <c r="E1066" s="35">
        <f>INDEX(Inputs!$V$5:$V$132,MATCH($B1066&amp;"|"&amp;$C1066,Inputs!$A$5:$A$132,0))</f>
        <v/>
      </c>
      <c r="F1066" s="39" t="n"/>
      <c r="G1066" s="39" t="n"/>
      <c r="H1066" s="14">
        <f>INDEX(VarLab,MATCH($A1066,VarKey,0))&amp;INDEX(MemLab,MATCH($C1066&amp;"|"&amp;$B1066,MemKey,0))</f>
        <v/>
      </c>
      <c r="I1066" s="14">
        <f>INDEX(VarUnit,MATCH($A1066,VarKey,0))</f>
        <v/>
      </c>
      <c r="J1066" s="14">
        <f>INDEX(VarSrc,MATCH($A1066,VarKey,0))</f>
        <v/>
      </c>
      <c r="K1066" s="11">
        <f>CodePrefix&amp;$A1066&amp;IF($C1066="","","."&amp;$C1066&amp;"."&amp;$B1066)&amp;INDEX(VarEnd,MATCH($A1066,VarKey,0))&amp;K$5</f>
        <v/>
      </c>
      <c r="L1066" s="40">
        <f>MAX(INDEX(L$381:L$392,$D1066)+(L1039+L1057)*(1+$E1066),0.01)</f>
        <v/>
      </c>
      <c r="M1066" s="35">
        <f>MAX(INDEX(M$381:M$392,$D1066)+(M1039+M1057)*(1+$E1066),0.01)</f>
        <v/>
      </c>
      <c r="N1066" s="35">
        <f>MAX(INDEX(N$381:N$392,$D1066)+(N1039+N1057)*(1+$E1066),0.01)</f>
        <v/>
      </c>
      <c r="O1066" s="35">
        <f>MAX(INDEX(O$381:O$392,$D1066)+(O1039+O1057)*(1+$E1066),0.01)</f>
        <v/>
      </c>
      <c r="P1066" s="35">
        <f>MAX(INDEX(P$381:P$392,$D1066)+(P1039+P1057)*(1+$E1066),0.01)</f>
        <v/>
      </c>
      <c r="Q1066" s="35">
        <f>MAX(INDEX(Q$381:Q$392,$D1066)+(Q1039+Q1057)*(1+$E1066),0.01)</f>
        <v/>
      </c>
      <c r="R1066" s="35">
        <f>MAX(INDEX(R$381:R$392,$D1066)+(R1039+R1057)*(1+$E1066),0.01)</f>
        <v/>
      </c>
      <c r="S1066" s="35">
        <f>MAX(INDEX(S$381:S$392,$D1066)+(S1039+S1057)*(1+$E1066),0.01)</f>
        <v/>
      </c>
      <c r="T1066" s="35">
        <f>MAX(INDEX(T$381:T$392,$D1066)+(T1039+T1057)*(1+$E1066),0.01)</f>
        <v/>
      </c>
      <c r="U1066" s="35">
        <f>MAX(INDEX(U$381:U$392,$D1066)+(U1039+U1057)*(1+$E1066),0.01)</f>
        <v/>
      </c>
      <c r="V1066" s="35">
        <f>MAX(INDEX(V$381:V$392,$D1066)+(V1039+V1057)*(1+$E1066),0.01)</f>
        <v/>
      </c>
      <c r="W1066" s="35">
        <f>MAX(INDEX(W$381:W$392,$D1066)+(W1039+W1057)*(1+$E1066),0.01)</f>
        <v/>
      </c>
      <c r="X1066" s="35">
        <f>MAX(INDEX(X$381:X$392,$D1066)+(X1039+X1057)*(1+$E1066),0.01)</f>
        <v/>
      </c>
      <c r="Y1066" s="35">
        <f>MAX(INDEX(Y$381:Y$392,$D1066)+(Y1039+Y1057)*(1+$E1066),0.01)</f>
        <v/>
      </c>
      <c r="Z1066" s="35">
        <f>MAX(INDEX(Z$381:Z$392,$D1066)+(Z1039+Z1057)*(1+$E1066),0.01)</f>
        <v/>
      </c>
      <c r="AA1066" s="35">
        <f>MAX(INDEX(AA$381:AA$392,$D1066)+(AA1039+AA1057)*(1+$E1066),0.01)</f>
        <v/>
      </c>
      <c r="AB1066" s="35">
        <f>MAX(INDEX(AB$381:AB$392,$D1066)+(AB1039+AB1057)*(1+$E1066),0.01)</f>
        <v/>
      </c>
      <c r="AC1066" s="35">
        <f>MAX(INDEX(AC$381:AC$392,$D1066)+(AC1039+AC1057)*(1+$E1066),0.01)</f>
        <v/>
      </c>
      <c r="AD1066" s="35">
        <f>MAX(INDEX(AD$381:AD$392,$D1066)+(AD1039+AD1057)*(1+$E1066),0.01)</f>
        <v/>
      </c>
      <c r="AE1066" s="42">
        <f>POSTTAX(INDEX(AE$381:AE$392,$D1066),AE1039+AE1057,$E1066)</f>
        <v/>
      </c>
      <c r="AG1066" s="11">
        <f>CodePrefix&amp;$A1066&amp;IF($C1066="","","."&amp;$C1066&amp;"."&amp;$B1066)&amp;INDEX(VarEnd,MATCH($A1066,VarKey,0))&amp;AG$5</f>
        <v/>
      </c>
      <c r="AH1066" s="40">
        <f>MAX(INDEX(AH$381:AH$392,$D1066)+(AH1039+AH1057)*(1+$E1066),0.01)</f>
        <v/>
      </c>
      <c r="AI1066" s="35">
        <f>MAX(INDEX(AI$381:AI$392,$D1066)+(AI1039+AI1057)*(1+$E1066),0.01)</f>
        <v/>
      </c>
      <c r="AJ1066" s="35">
        <f>MAX(INDEX(AJ$381:AJ$392,$D1066)+(AJ1039+AJ1057)*(1+$E1066),0.01)</f>
        <v/>
      </c>
      <c r="AK1066" s="35">
        <f>MAX(INDEX(AK$381:AK$392,$D1066)+(AK1039+AK1057)*(1+$E1066),0.01)</f>
        <v/>
      </c>
      <c r="AL1066" s="35">
        <f>MAX(INDEX(AL$381:AL$392,$D1066)+(AL1039+AL1057)*(1+$E1066),0.01)</f>
        <v/>
      </c>
      <c r="AM1066" s="35">
        <f>MAX(INDEX(AM$381:AM$392,$D1066)+(AM1039+AM1057)*(1+$E1066),0.01)</f>
        <v/>
      </c>
      <c r="AN1066" s="35">
        <f>MAX(INDEX(AN$381:AN$392,$D1066)+(AN1039+AN1057)*(1+$E1066),0.01)</f>
        <v/>
      </c>
      <c r="AO1066" s="35">
        <f>MAX(INDEX(AO$381:AO$392,$D1066)+(AO1039+AO1057)*(1+$E1066),0.01)</f>
        <v/>
      </c>
      <c r="AP1066" s="35">
        <f>MAX(INDEX(AP$381:AP$392,$D1066)+(AP1039+AP1057)*(1+$E1066),0.01)</f>
        <v/>
      </c>
      <c r="AQ1066" s="35">
        <f>MAX(INDEX(AQ$381:AQ$392,$D1066)+(AQ1039+AQ1057)*(1+$E1066),0.01)</f>
        <v/>
      </c>
      <c r="AR1066" s="35">
        <f>MAX(INDEX(AR$381:AR$392,$D1066)+(AR1039+AR1057)*(1+$E1066),0.01)</f>
        <v/>
      </c>
      <c r="AS1066" s="35">
        <f>MAX(INDEX(AS$381:AS$392,$D1066)+(AS1039+AS1057)*(1+$E1066),0.01)</f>
        <v/>
      </c>
      <c r="AT1066" s="35">
        <f>MAX(INDEX(AT$381:AT$392,$D1066)+(AT1039+AT1057)*(1+$E1066),0.01)</f>
        <v/>
      </c>
      <c r="AU1066" s="35">
        <f>MAX(INDEX(AU$381:AU$392,$D1066)+(AU1039+AU1057)*(1+$E1066),0.01)</f>
        <v/>
      </c>
      <c r="AV1066" s="35">
        <f>MAX(INDEX(AV$381:AV$392,$D1066)+(AV1039+AV1057)*(1+$E1066),0.01)</f>
        <v/>
      </c>
      <c r="AW1066" s="35">
        <f>MAX(INDEX(AW$381:AW$392,$D1066)+(AW1039+AW1057)*(1+$E1066),0.01)</f>
        <v/>
      </c>
      <c r="AX1066" s="35">
        <f>MAX(INDEX(AX$381:AX$392,$D1066)+(AX1039+AX1057)*(1+$E1066),0.01)</f>
        <v/>
      </c>
      <c r="AY1066" s="35">
        <f>MAX(INDEX(AY$381:AY$392,$D1066)+(AY1039+AY1057)*(1+$E1066),0.01)</f>
        <v/>
      </c>
      <c r="AZ1066" s="35">
        <f>MAX(INDEX(AZ$381:AZ$392,$D1066)+(AZ1039+AZ1057)*(1+$E1066),0.01)</f>
        <v/>
      </c>
      <c r="BA1066" s="42">
        <f>POSTTAX(INDEX(BA$381:BA$392,$D1066),BA1039+BA1057,$E1066)</f>
        <v/>
      </c>
    </row>
    <row r="1067" hidden="1" outlineLevel="2">
      <c r="A1067" s="14" t="inlineStr">
        <is>
          <t>atp</t>
        </is>
      </c>
      <c r="B1067" s="14" t="inlineStr">
        <is>
          <t>oop</t>
        </is>
      </c>
      <c r="C1067" s="14" t="inlineStr">
        <is>
          <t>rod</t>
        </is>
      </c>
      <c r="D1067" s="35">
        <f>INDEX(Inputs!$U$5:$U$132,MATCH($B1067&amp;"|"&amp;$C1067,Inputs!$A$5:$A$132,0))</f>
        <v/>
      </c>
      <c r="E1067" s="35">
        <f>INDEX(Inputs!$V$5:$V$132,MATCH($B1067&amp;"|"&amp;$C1067,Inputs!$A$5:$A$132,0))</f>
        <v/>
      </c>
      <c r="F1067" s="39" t="n"/>
      <c r="G1067" s="39" t="n"/>
      <c r="H1067" s="14">
        <f>INDEX(VarLab,MATCH($A1067,VarKey,0))&amp;INDEX(MemLab,MATCH($C1067&amp;"|"&amp;$B1067,MemKey,0))</f>
        <v/>
      </c>
      <c r="I1067" s="14">
        <f>INDEX(VarUnit,MATCH($A1067,VarKey,0))</f>
        <v/>
      </c>
      <c r="J1067" s="14">
        <f>INDEX(VarSrc,MATCH($A1067,VarKey,0))</f>
        <v/>
      </c>
      <c r="K1067" s="11">
        <f>CodePrefix&amp;$A1067&amp;IF($C1067="","","."&amp;$C1067&amp;"."&amp;$B1067)&amp;INDEX(VarEnd,MATCH($A1067,VarKey,0))&amp;K$5</f>
        <v/>
      </c>
      <c r="L1067" s="40">
        <f>MAX(INDEX(L$381:L$392,$D1067)+(L1040+L1058)*(1+$E1067),0.01)</f>
        <v/>
      </c>
      <c r="M1067" s="35">
        <f>MAX(INDEX(M$381:M$392,$D1067)+(M1040+M1058)*(1+$E1067),0.01)</f>
        <v/>
      </c>
      <c r="N1067" s="35">
        <f>MAX(INDEX(N$381:N$392,$D1067)+(N1040+N1058)*(1+$E1067),0.01)</f>
        <v/>
      </c>
      <c r="O1067" s="35">
        <f>MAX(INDEX(O$381:O$392,$D1067)+(O1040+O1058)*(1+$E1067),0.01)</f>
        <v/>
      </c>
      <c r="P1067" s="35">
        <f>MAX(INDEX(P$381:P$392,$D1067)+(P1040+P1058)*(1+$E1067),0.01)</f>
        <v/>
      </c>
      <c r="Q1067" s="35">
        <f>MAX(INDEX(Q$381:Q$392,$D1067)+(Q1040+Q1058)*(1+$E1067),0.01)</f>
        <v/>
      </c>
      <c r="R1067" s="35">
        <f>MAX(INDEX(R$381:R$392,$D1067)+(R1040+R1058)*(1+$E1067),0.01)</f>
        <v/>
      </c>
      <c r="S1067" s="35">
        <f>MAX(INDEX(S$381:S$392,$D1067)+(S1040+S1058)*(1+$E1067),0.01)</f>
        <v/>
      </c>
      <c r="T1067" s="35">
        <f>MAX(INDEX(T$381:T$392,$D1067)+(T1040+T1058)*(1+$E1067),0.01)</f>
        <v/>
      </c>
      <c r="U1067" s="35">
        <f>MAX(INDEX(U$381:U$392,$D1067)+(U1040+U1058)*(1+$E1067),0.01)</f>
        <v/>
      </c>
      <c r="V1067" s="35">
        <f>MAX(INDEX(V$381:V$392,$D1067)+(V1040+V1058)*(1+$E1067),0.01)</f>
        <v/>
      </c>
      <c r="W1067" s="35">
        <f>MAX(INDEX(W$381:W$392,$D1067)+(W1040+W1058)*(1+$E1067),0.01)</f>
        <v/>
      </c>
      <c r="X1067" s="35">
        <f>MAX(INDEX(X$381:X$392,$D1067)+(X1040+X1058)*(1+$E1067),0.01)</f>
        <v/>
      </c>
      <c r="Y1067" s="35">
        <f>MAX(INDEX(Y$381:Y$392,$D1067)+(Y1040+Y1058)*(1+$E1067),0.01)</f>
        <v/>
      </c>
      <c r="Z1067" s="35">
        <f>MAX(INDEX(Z$381:Z$392,$D1067)+(Z1040+Z1058)*(1+$E1067),0.01)</f>
        <v/>
      </c>
      <c r="AA1067" s="35">
        <f>MAX(INDEX(AA$381:AA$392,$D1067)+(AA1040+AA1058)*(1+$E1067),0.01)</f>
        <v/>
      </c>
      <c r="AB1067" s="35">
        <f>MAX(INDEX(AB$381:AB$392,$D1067)+(AB1040+AB1058)*(1+$E1067),0.01)</f>
        <v/>
      </c>
      <c r="AC1067" s="35">
        <f>MAX(INDEX(AC$381:AC$392,$D1067)+(AC1040+AC1058)*(1+$E1067),0.01)</f>
        <v/>
      </c>
      <c r="AD1067" s="35">
        <f>MAX(INDEX(AD$381:AD$392,$D1067)+(AD1040+AD1058)*(1+$E1067),0.01)</f>
        <v/>
      </c>
      <c r="AE1067" s="42">
        <f>POSTTAX(INDEX(AE$381:AE$392,$D1067),AE1040+AE1058,$E1067)</f>
        <v/>
      </c>
      <c r="AG1067" s="11">
        <f>CodePrefix&amp;$A1067&amp;IF($C1067="","","."&amp;$C1067&amp;"."&amp;$B1067)&amp;INDEX(VarEnd,MATCH($A1067,VarKey,0))&amp;AG$5</f>
        <v/>
      </c>
      <c r="AH1067" s="40">
        <f>MAX(INDEX(AH$381:AH$392,$D1067)+(AH1040+AH1058)*(1+$E1067),0.01)</f>
        <v/>
      </c>
      <c r="AI1067" s="35">
        <f>MAX(INDEX(AI$381:AI$392,$D1067)+(AI1040+AI1058)*(1+$E1067),0.01)</f>
        <v/>
      </c>
      <c r="AJ1067" s="35">
        <f>MAX(INDEX(AJ$381:AJ$392,$D1067)+(AJ1040+AJ1058)*(1+$E1067),0.01)</f>
        <v/>
      </c>
      <c r="AK1067" s="35">
        <f>MAX(INDEX(AK$381:AK$392,$D1067)+(AK1040+AK1058)*(1+$E1067),0.01)</f>
        <v/>
      </c>
      <c r="AL1067" s="35">
        <f>MAX(INDEX(AL$381:AL$392,$D1067)+(AL1040+AL1058)*(1+$E1067),0.01)</f>
        <v/>
      </c>
      <c r="AM1067" s="35">
        <f>MAX(INDEX(AM$381:AM$392,$D1067)+(AM1040+AM1058)*(1+$E1067),0.01)</f>
        <v/>
      </c>
      <c r="AN1067" s="35">
        <f>MAX(INDEX(AN$381:AN$392,$D1067)+(AN1040+AN1058)*(1+$E1067),0.01)</f>
        <v/>
      </c>
      <c r="AO1067" s="35">
        <f>MAX(INDEX(AO$381:AO$392,$D1067)+(AO1040+AO1058)*(1+$E1067),0.01)</f>
        <v/>
      </c>
      <c r="AP1067" s="35">
        <f>MAX(INDEX(AP$381:AP$392,$D1067)+(AP1040+AP1058)*(1+$E1067),0.01)</f>
        <v/>
      </c>
      <c r="AQ1067" s="35">
        <f>MAX(INDEX(AQ$381:AQ$392,$D1067)+(AQ1040+AQ1058)*(1+$E1067),0.01)</f>
        <v/>
      </c>
      <c r="AR1067" s="35">
        <f>MAX(INDEX(AR$381:AR$392,$D1067)+(AR1040+AR1058)*(1+$E1067),0.01)</f>
        <v/>
      </c>
      <c r="AS1067" s="35">
        <f>MAX(INDEX(AS$381:AS$392,$D1067)+(AS1040+AS1058)*(1+$E1067),0.01)</f>
        <v/>
      </c>
      <c r="AT1067" s="35">
        <f>MAX(INDEX(AT$381:AT$392,$D1067)+(AT1040+AT1058)*(1+$E1067),0.01)</f>
        <v/>
      </c>
      <c r="AU1067" s="35">
        <f>MAX(INDEX(AU$381:AU$392,$D1067)+(AU1040+AU1058)*(1+$E1067),0.01)</f>
        <v/>
      </c>
      <c r="AV1067" s="35">
        <f>MAX(INDEX(AV$381:AV$392,$D1067)+(AV1040+AV1058)*(1+$E1067),0.01)</f>
        <v/>
      </c>
      <c r="AW1067" s="35">
        <f>MAX(INDEX(AW$381:AW$392,$D1067)+(AW1040+AW1058)*(1+$E1067),0.01)</f>
        <v/>
      </c>
      <c r="AX1067" s="35">
        <f>MAX(INDEX(AX$381:AX$392,$D1067)+(AX1040+AX1058)*(1+$E1067),0.01)</f>
        <v/>
      </c>
      <c r="AY1067" s="35">
        <f>MAX(INDEX(AY$381:AY$392,$D1067)+(AY1040+AY1058)*(1+$E1067),0.01)</f>
        <v/>
      </c>
      <c r="AZ1067" s="35">
        <f>MAX(INDEX(AZ$381:AZ$392,$D1067)+(AZ1040+AZ1058)*(1+$E1067),0.01)</f>
        <v/>
      </c>
      <c r="BA1067" s="42">
        <f>POSTTAX(INDEX(BA$381:BA$392,$D1067),BA1040+BA1058,$E1067)</f>
        <v/>
      </c>
    </row>
    <row r="1068" hidden="1" outlineLevel="2">
      <c r="A1068" s="14" t="inlineStr">
        <is>
          <t>atp</t>
        </is>
      </c>
      <c r="B1068" s="14" t="inlineStr">
        <is>
          <t>bio</t>
        </is>
      </c>
      <c r="C1068" s="14" t="inlineStr">
        <is>
          <t>rod</t>
        </is>
      </c>
      <c r="D1068" s="35">
        <f>INDEX(Inputs!$U$5:$U$132,MATCH($B1068&amp;"|"&amp;$C1068,Inputs!$A$5:$A$132,0))</f>
        <v/>
      </c>
      <c r="E1068" s="35">
        <f>INDEX(Inputs!$V$5:$V$132,MATCH($B1068&amp;"|"&amp;$C1068,Inputs!$A$5:$A$132,0))</f>
        <v/>
      </c>
      <c r="F1068" s="39" t="n"/>
      <c r="G1068" s="39" t="n"/>
      <c r="H1068" s="14">
        <f>INDEX(VarLab,MATCH($A1068,VarKey,0))&amp;INDEX(MemLab,MATCH($C1068&amp;"|"&amp;$B1068,MemKey,0))</f>
        <v/>
      </c>
      <c r="I1068" s="14">
        <f>INDEX(VarUnit,MATCH($A1068,VarKey,0))</f>
        <v/>
      </c>
      <c r="J1068" s="14">
        <f>INDEX(VarSrc,MATCH($A1068,VarKey,0))</f>
        <v/>
      </c>
      <c r="K1068" s="11">
        <f>CodePrefix&amp;$A1068&amp;IF($C1068="","","."&amp;$C1068&amp;"."&amp;$B1068)&amp;INDEX(VarEnd,MATCH($A1068,VarKey,0))&amp;K$5</f>
        <v/>
      </c>
      <c r="L1068" s="40">
        <f>MAX(INDEX(L$381:L$392,$D1068)+(L1041+L1059)*(1+$E1068),0.01)</f>
        <v/>
      </c>
      <c r="M1068" s="35">
        <f>MAX(INDEX(M$381:M$392,$D1068)+(M1041+M1059)*(1+$E1068),0.01)</f>
        <v/>
      </c>
      <c r="N1068" s="35">
        <f>MAX(INDEX(N$381:N$392,$D1068)+(N1041+N1059)*(1+$E1068),0.01)</f>
        <v/>
      </c>
      <c r="O1068" s="35">
        <f>MAX(INDEX(O$381:O$392,$D1068)+(O1041+O1059)*(1+$E1068),0.01)</f>
        <v/>
      </c>
      <c r="P1068" s="35">
        <f>MAX(INDEX(P$381:P$392,$D1068)+(P1041+P1059)*(1+$E1068),0.01)</f>
        <v/>
      </c>
      <c r="Q1068" s="35">
        <f>MAX(INDEX(Q$381:Q$392,$D1068)+(Q1041+Q1059)*(1+$E1068),0.01)</f>
        <v/>
      </c>
      <c r="R1068" s="35">
        <f>MAX(INDEX(R$381:R$392,$D1068)+(R1041+R1059)*(1+$E1068),0.01)</f>
        <v/>
      </c>
      <c r="S1068" s="35">
        <f>MAX(INDEX(S$381:S$392,$D1068)+(S1041+S1059)*(1+$E1068),0.01)</f>
        <v/>
      </c>
      <c r="T1068" s="35">
        <f>MAX(INDEX(T$381:T$392,$D1068)+(T1041+T1059)*(1+$E1068),0.01)</f>
        <v/>
      </c>
      <c r="U1068" s="35">
        <f>MAX(INDEX(U$381:U$392,$D1068)+(U1041+U1059)*(1+$E1068),0.01)</f>
        <v/>
      </c>
      <c r="V1068" s="35">
        <f>MAX(INDEX(V$381:V$392,$D1068)+(V1041+V1059)*(1+$E1068),0.01)</f>
        <v/>
      </c>
      <c r="W1068" s="35">
        <f>MAX(INDEX(W$381:W$392,$D1068)+(W1041+W1059)*(1+$E1068),0.01)</f>
        <v/>
      </c>
      <c r="X1068" s="35">
        <f>MAX(INDEX(X$381:X$392,$D1068)+(X1041+X1059)*(1+$E1068),0.01)</f>
        <v/>
      </c>
      <c r="Y1068" s="35">
        <f>MAX(INDEX(Y$381:Y$392,$D1068)+(Y1041+Y1059)*(1+$E1068),0.01)</f>
        <v/>
      </c>
      <c r="Z1068" s="35">
        <f>MAX(INDEX(Z$381:Z$392,$D1068)+(Z1041+Z1059)*(1+$E1068),0.01)</f>
        <v/>
      </c>
      <c r="AA1068" s="35">
        <f>MAX(INDEX(AA$381:AA$392,$D1068)+(AA1041+AA1059)*(1+$E1068),0.01)</f>
        <v/>
      </c>
      <c r="AB1068" s="35">
        <f>MAX(INDEX(AB$381:AB$392,$D1068)+(AB1041+AB1059)*(1+$E1068),0.01)</f>
        <v/>
      </c>
      <c r="AC1068" s="35">
        <f>MAX(INDEX(AC$381:AC$392,$D1068)+(AC1041+AC1059)*(1+$E1068),0.01)</f>
        <v/>
      </c>
      <c r="AD1068" s="35">
        <f>MAX(INDEX(AD$381:AD$392,$D1068)+(AD1041+AD1059)*(1+$E1068),0.01)</f>
        <v/>
      </c>
      <c r="AE1068" s="42">
        <f>POSTTAX(INDEX(AE$381:AE$392,$D1068),AE1041+AE1059,$E1068)</f>
        <v/>
      </c>
      <c r="AG1068" s="11">
        <f>CodePrefix&amp;$A1068&amp;IF($C1068="","","."&amp;$C1068&amp;"."&amp;$B1068)&amp;INDEX(VarEnd,MATCH($A1068,VarKey,0))&amp;AG$5</f>
        <v/>
      </c>
      <c r="AH1068" s="40">
        <f>MAX(INDEX(AH$381:AH$392,$D1068)+(AH1041+AH1059)*(1+$E1068),0.01)</f>
        <v/>
      </c>
      <c r="AI1068" s="35">
        <f>MAX(INDEX(AI$381:AI$392,$D1068)+(AI1041+AI1059)*(1+$E1068),0.01)</f>
        <v/>
      </c>
      <c r="AJ1068" s="35">
        <f>MAX(INDEX(AJ$381:AJ$392,$D1068)+(AJ1041+AJ1059)*(1+$E1068),0.01)</f>
        <v/>
      </c>
      <c r="AK1068" s="35">
        <f>MAX(INDEX(AK$381:AK$392,$D1068)+(AK1041+AK1059)*(1+$E1068),0.01)</f>
        <v/>
      </c>
      <c r="AL1068" s="35">
        <f>MAX(INDEX(AL$381:AL$392,$D1068)+(AL1041+AL1059)*(1+$E1068),0.01)</f>
        <v/>
      </c>
      <c r="AM1068" s="35">
        <f>MAX(INDEX(AM$381:AM$392,$D1068)+(AM1041+AM1059)*(1+$E1068),0.01)</f>
        <v/>
      </c>
      <c r="AN1068" s="35">
        <f>MAX(INDEX(AN$381:AN$392,$D1068)+(AN1041+AN1059)*(1+$E1068),0.01)</f>
        <v/>
      </c>
      <c r="AO1068" s="35">
        <f>MAX(INDEX(AO$381:AO$392,$D1068)+(AO1041+AO1059)*(1+$E1068),0.01)</f>
        <v/>
      </c>
      <c r="AP1068" s="35">
        <f>MAX(INDEX(AP$381:AP$392,$D1068)+(AP1041+AP1059)*(1+$E1068),0.01)</f>
        <v/>
      </c>
      <c r="AQ1068" s="35">
        <f>MAX(INDEX(AQ$381:AQ$392,$D1068)+(AQ1041+AQ1059)*(1+$E1068),0.01)</f>
        <v/>
      </c>
      <c r="AR1068" s="35">
        <f>MAX(INDEX(AR$381:AR$392,$D1068)+(AR1041+AR1059)*(1+$E1068),0.01)</f>
        <v/>
      </c>
      <c r="AS1068" s="35">
        <f>MAX(INDEX(AS$381:AS$392,$D1068)+(AS1041+AS1059)*(1+$E1068),0.01)</f>
        <v/>
      </c>
      <c r="AT1068" s="35">
        <f>MAX(INDEX(AT$381:AT$392,$D1068)+(AT1041+AT1059)*(1+$E1068),0.01)</f>
        <v/>
      </c>
      <c r="AU1068" s="35">
        <f>MAX(INDEX(AU$381:AU$392,$D1068)+(AU1041+AU1059)*(1+$E1068),0.01)</f>
        <v/>
      </c>
      <c r="AV1068" s="35">
        <f>MAX(INDEX(AV$381:AV$392,$D1068)+(AV1041+AV1059)*(1+$E1068),0.01)</f>
        <v/>
      </c>
      <c r="AW1068" s="35">
        <f>MAX(INDEX(AW$381:AW$392,$D1068)+(AW1041+AW1059)*(1+$E1068),0.01)</f>
        <v/>
      </c>
      <c r="AX1068" s="35">
        <f>MAX(INDEX(AX$381:AX$392,$D1068)+(AX1041+AX1059)*(1+$E1068),0.01)</f>
        <v/>
      </c>
      <c r="AY1068" s="35">
        <f>MAX(INDEX(AY$381:AY$392,$D1068)+(AY1041+AY1059)*(1+$E1068),0.01)</f>
        <v/>
      </c>
      <c r="AZ1068" s="35">
        <f>MAX(INDEX(AZ$381:AZ$392,$D1068)+(AZ1041+AZ1059)*(1+$E1068),0.01)</f>
        <v/>
      </c>
      <c r="BA1068" s="42">
        <f>POSTTAX(INDEX(BA$381:BA$392,$D1068),BA1041+BA1059,$E1068)</f>
        <v/>
      </c>
    </row>
    <row r="1069" hidden="1" outlineLevel="2"/>
    <row r="1070" hidden="1" outlineLevel="2">
      <c r="A1070" s="14" t="inlineStr">
        <is>
          <t>shp</t>
        </is>
      </c>
      <c r="B1070" s="14" t="inlineStr">
        <is>
          <t>coa</t>
        </is>
      </c>
      <c r="C1070" s="14" t="inlineStr">
        <is>
          <t>rod</t>
        </is>
      </c>
      <c r="D1070" s="35">
        <f>INDEX(Inputs!$W$5:$W$132,MATCH($B1070&amp;"|"&amp;$C1070,Inputs!$A$5:$A$132,0))</f>
        <v/>
      </c>
      <c r="E1070" s="35">
        <f>INDEX(Inputs!$M$5:$M$132,MATCH($B1070&amp;"|"&amp;$C1070,Inputs!$A$5:$A$132,0))</f>
        <v/>
      </c>
      <c r="F1070" s="39" t="n"/>
      <c r="G1070" s="39" t="n"/>
      <c r="H1070" s="14">
        <f>INDEX(VarLab,MATCH($A1070,VarKey,0))&amp;INDEX(MemLab,MATCH($C1070&amp;"|"&amp;$B1070,MemKey,0))</f>
        <v/>
      </c>
      <c r="I1070" s="14">
        <f>INDEX(VarUnit,MATCH($A1070,VarKey,0))</f>
        <v/>
      </c>
      <c r="J1070" s="14">
        <f>INDEX(VarSrc,MATCH($A1070,VarKey,0))</f>
        <v/>
      </c>
      <c r="K1070" s="11">
        <f>CodePrefix&amp;$A1070&amp;IF($C1070="","","."&amp;$C1070&amp;"."&amp;$B1070)&amp;INDEX(VarEnd,MATCH($A1070,VarKey,0))&amp;K$5</f>
        <v/>
      </c>
      <c r="L1070" s="40">
        <f>INDEX(L$297:L$313,$E1070)*$D1070</f>
        <v/>
      </c>
      <c r="M1070" s="35">
        <f>INDEX(M$297:M$313,$E1070)*$D1070</f>
        <v/>
      </c>
      <c r="N1070" s="35">
        <f>INDEX(N$297:N$313,$E1070)*$D1070</f>
        <v/>
      </c>
      <c r="O1070" s="35">
        <f>INDEX(O$297:O$313,$E1070)*$D1070</f>
        <v/>
      </c>
      <c r="P1070" s="35">
        <f>INDEX(P$297:P$313,$E1070)*$D1070</f>
        <v/>
      </c>
      <c r="Q1070" s="35">
        <f>INDEX(Q$297:Q$313,$E1070)*$D1070</f>
        <v/>
      </c>
      <c r="R1070" s="35">
        <f>INDEX(R$297:R$313,$E1070)*$D1070</f>
        <v/>
      </c>
      <c r="S1070" s="35">
        <f>INDEX(S$297:S$313,$E1070)*$D1070</f>
        <v/>
      </c>
      <c r="T1070" s="35">
        <f>INDEX(T$297:T$313,$E1070)*$D1070</f>
        <v/>
      </c>
      <c r="U1070" s="35">
        <f>INDEX(U$297:U$313,$E1070)*$D1070</f>
        <v/>
      </c>
      <c r="V1070" s="35">
        <f>INDEX(V$297:V$313,$E1070)*$D1070</f>
        <v/>
      </c>
      <c r="W1070" s="35">
        <f>INDEX(W$297:W$313,$E1070)*$D1070</f>
        <v/>
      </c>
      <c r="X1070" s="35">
        <f>INDEX(X$297:X$313,$E1070)*$D1070</f>
        <v/>
      </c>
      <c r="Y1070" s="35">
        <f>INDEX(Y$297:Y$313,$E1070)*$D1070</f>
        <v/>
      </c>
      <c r="Z1070" s="35">
        <f>INDEX(Z$297:Z$313,$E1070)*$D1070</f>
        <v/>
      </c>
      <c r="AA1070" s="35">
        <f>INDEX(AA$297:AA$313,$E1070)*$D1070</f>
        <v/>
      </c>
      <c r="AB1070" s="35">
        <f>INDEX(AB$297:AB$313,$E1070)*$D1070</f>
        <v/>
      </c>
      <c r="AC1070" s="35">
        <f>INDEX(AC$297:AC$313,$E1070)*$D1070</f>
        <v/>
      </c>
      <c r="AD1070" s="35">
        <f>INDEX(AD$297:AD$313,$E1070)*$D1070</f>
        <v/>
      </c>
      <c r="AE1070" s="42">
        <f>SHADOWGJ(INDEX(AE$297:AE$313,$E1070),$D1070)</f>
        <v/>
      </c>
      <c r="AG1070" s="11">
        <f>CodePrefix&amp;$A1070&amp;IF($C1070="","","."&amp;$C1070&amp;"."&amp;$B1070)&amp;INDEX(VarEnd,MATCH($A1070,VarKey,0))&amp;AG$5</f>
        <v/>
      </c>
      <c r="AH1070" s="40">
        <f>INDEX(AH$297:AH$313,$E1070)*$D1070</f>
        <v/>
      </c>
      <c r="AI1070" s="35">
        <f>INDEX(AI$297:AI$313,$E1070)*$D1070</f>
        <v/>
      </c>
      <c r="AJ1070" s="35">
        <f>INDEX(AJ$297:AJ$313,$E1070)*$D1070</f>
        <v/>
      </c>
      <c r="AK1070" s="35">
        <f>INDEX(AK$297:AK$313,$E1070)*$D1070</f>
        <v/>
      </c>
      <c r="AL1070" s="35">
        <f>INDEX(AL$297:AL$313,$E1070)*$D1070</f>
        <v/>
      </c>
      <c r="AM1070" s="35">
        <f>INDEX(AM$297:AM$313,$E1070)*$D1070</f>
        <v/>
      </c>
      <c r="AN1070" s="35">
        <f>INDEX(AN$297:AN$313,$E1070)*$D1070</f>
        <v/>
      </c>
      <c r="AO1070" s="35">
        <f>INDEX(AO$297:AO$313,$E1070)*$D1070</f>
        <v/>
      </c>
      <c r="AP1070" s="35">
        <f>INDEX(AP$297:AP$313,$E1070)*$D1070</f>
        <v/>
      </c>
      <c r="AQ1070" s="35">
        <f>INDEX(AQ$297:AQ$313,$E1070)*$D1070</f>
        <v/>
      </c>
      <c r="AR1070" s="35">
        <f>INDEX(AR$297:AR$313,$E1070)*$D1070</f>
        <v/>
      </c>
      <c r="AS1070" s="35">
        <f>INDEX(AS$297:AS$313,$E1070)*$D1070</f>
        <v/>
      </c>
      <c r="AT1070" s="35">
        <f>INDEX(AT$297:AT$313,$E1070)*$D1070</f>
        <v/>
      </c>
      <c r="AU1070" s="35">
        <f>INDEX(AU$297:AU$313,$E1070)*$D1070</f>
        <v/>
      </c>
      <c r="AV1070" s="35">
        <f>INDEX(AV$297:AV$313,$E1070)*$D1070</f>
        <v/>
      </c>
      <c r="AW1070" s="35">
        <f>INDEX(AW$297:AW$313,$E1070)*$D1070</f>
        <v/>
      </c>
      <c r="AX1070" s="35">
        <f>INDEX(AX$297:AX$313,$E1070)*$D1070</f>
        <v/>
      </c>
      <c r="AY1070" s="35">
        <f>INDEX(AY$297:AY$313,$E1070)*$D1070</f>
        <v/>
      </c>
      <c r="AZ1070" s="35">
        <f>INDEX(AZ$297:AZ$313,$E1070)*$D1070</f>
        <v/>
      </c>
      <c r="BA1070" s="42">
        <f>SHADOWGJ(INDEX(BA$297:BA$313,$E1070),$D1070)</f>
        <v/>
      </c>
    </row>
    <row r="1071" hidden="1" outlineLevel="2">
      <c r="A1071" s="14" t="inlineStr">
        <is>
          <t>shp</t>
        </is>
      </c>
      <c r="B1071" s="14" t="inlineStr">
        <is>
          <t>nga</t>
        </is>
      </c>
      <c r="C1071" s="14" t="inlineStr">
        <is>
          <t>rod</t>
        </is>
      </c>
      <c r="D1071" s="35">
        <f>INDEX(Inputs!$W$5:$W$132,MATCH($B1071&amp;"|"&amp;$C1071,Inputs!$A$5:$A$132,0))</f>
        <v/>
      </c>
      <c r="E1071" s="35">
        <f>INDEX(Inputs!$M$5:$M$132,MATCH($B1071&amp;"|"&amp;$C1071,Inputs!$A$5:$A$132,0))</f>
        <v/>
      </c>
      <c r="F1071" s="39" t="n"/>
      <c r="G1071" s="39" t="n"/>
      <c r="H1071" s="14">
        <f>INDEX(VarLab,MATCH($A1071,VarKey,0))&amp;INDEX(MemLab,MATCH($C1071&amp;"|"&amp;$B1071,MemKey,0))</f>
        <v/>
      </c>
      <c r="I1071" s="14">
        <f>INDEX(VarUnit,MATCH($A1071,VarKey,0))</f>
        <v/>
      </c>
      <c r="J1071" s="14">
        <f>INDEX(VarSrc,MATCH($A1071,VarKey,0))</f>
        <v/>
      </c>
      <c r="K1071" s="11">
        <f>CodePrefix&amp;$A1071&amp;IF($C1071="","","."&amp;$C1071&amp;"."&amp;$B1071)&amp;INDEX(VarEnd,MATCH($A1071,VarKey,0))&amp;K$5</f>
        <v/>
      </c>
      <c r="L1071" s="40">
        <f>INDEX(L$297:L$313,$E1071)*$D1071</f>
        <v/>
      </c>
      <c r="M1071" s="35">
        <f>INDEX(M$297:M$313,$E1071)*$D1071</f>
        <v/>
      </c>
      <c r="N1071" s="35">
        <f>INDEX(N$297:N$313,$E1071)*$D1071</f>
        <v/>
      </c>
      <c r="O1071" s="35">
        <f>INDEX(O$297:O$313,$E1071)*$D1071</f>
        <v/>
      </c>
      <c r="P1071" s="35">
        <f>INDEX(P$297:P$313,$E1071)*$D1071</f>
        <v/>
      </c>
      <c r="Q1071" s="35">
        <f>INDEX(Q$297:Q$313,$E1071)*$D1071</f>
        <v/>
      </c>
      <c r="R1071" s="35">
        <f>INDEX(R$297:R$313,$E1071)*$D1071</f>
        <v/>
      </c>
      <c r="S1071" s="35">
        <f>INDEX(S$297:S$313,$E1071)*$D1071</f>
        <v/>
      </c>
      <c r="T1071" s="35">
        <f>INDEX(T$297:T$313,$E1071)*$D1071</f>
        <v/>
      </c>
      <c r="U1071" s="35">
        <f>INDEX(U$297:U$313,$E1071)*$D1071</f>
        <v/>
      </c>
      <c r="V1071" s="35">
        <f>INDEX(V$297:V$313,$E1071)*$D1071</f>
        <v/>
      </c>
      <c r="W1071" s="35">
        <f>INDEX(W$297:W$313,$E1071)*$D1071</f>
        <v/>
      </c>
      <c r="X1071" s="35">
        <f>INDEX(X$297:X$313,$E1071)*$D1071</f>
        <v/>
      </c>
      <c r="Y1071" s="35">
        <f>INDEX(Y$297:Y$313,$E1071)*$D1071</f>
        <v/>
      </c>
      <c r="Z1071" s="35">
        <f>INDEX(Z$297:Z$313,$E1071)*$D1071</f>
        <v/>
      </c>
      <c r="AA1071" s="35">
        <f>INDEX(AA$297:AA$313,$E1071)*$D1071</f>
        <v/>
      </c>
      <c r="AB1071" s="35">
        <f>INDEX(AB$297:AB$313,$E1071)*$D1071</f>
        <v/>
      </c>
      <c r="AC1071" s="35">
        <f>INDEX(AC$297:AC$313,$E1071)*$D1071</f>
        <v/>
      </c>
      <c r="AD1071" s="35">
        <f>INDEX(AD$297:AD$313,$E1071)*$D1071</f>
        <v/>
      </c>
      <c r="AE1071" s="42">
        <f>SHADOWGJ(INDEX(AE$297:AE$313,$E1071),$D1071)</f>
        <v/>
      </c>
      <c r="AG1071" s="11">
        <f>CodePrefix&amp;$A1071&amp;IF($C1071="","","."&amp;$C1071&amp;"."&amp;$B1071)&amp;INDEX(VarEnd,MATCH($A1071,VarKey,0))&amp;AG$5</f>
        <v/>
      </c>
      <c r="AH1071" s="40">
        <f>INDEX(AH$297:AH$313,$E1071)*$D1071</f>
        <v/>
      </c>
      <c r="AI1071" s="35">
        <f>INDEX(AI$297:AI$313,$E1071)*$D1071</f>
        <v/>
      </c>
      <c r="AJ1071" s="35">
        <f>INDEX(AJ$297:AJ$313,$E1071)*$D1071</f>
        <v/>
      </c>
      <c r="AK1071" s="35">
        <f>INDEX(AK$297:AK$313,$E1071)*$D1071</f>
        <v/>
      </c>
      <c r="AL1071" s="35">
        <f>INDEX(AL$297:AL$313,$E1071)*$D1071</f>
        <v/>
      </c>
      <c r="AM1071" s="35">
        <f>INDEX(AM$297:AM$313,$E1071)*$D1071</f>
        <v/>
      </c>
      <c r="AN1071" s="35">
        <f>INDEX(AN$297:AN$313,$E1071)*$D1071</f>
        <v/>
      </c>
      <c r="AO1071" s="35">
        <f>INDEX(AO$297:AO$313,$E1071)*$D1071</f>
        <v/>
      </c>
      <c r="AP1071" s="35">
        <f>INDEX(AP$297:AP$313,$E1071)*$D1071</f>
        <v/>
      </c>
      <c r="AQ1071" s="35">
        <f>INDEX(AQ$297:AQ$313,$E1071)*$D1071</f>
        <v/>
      </c>
      <c r="AR1071" s="35">
        <f>INDEX(AR$297:AR$313,$E1071)*$D1071</f>
        <v/>
      </c>
      <c r="AS1071" s="35">
        <f>INDEX(AS$297:AS$313,$E1071)*$D1071</f>
        <v/>
      </c>
      <c r="AT1071" s="35">
        <f>INDEX(AT$297:AT$313,$E1071)*$D1071</f>
        <v/>
      </c>
      <c r="AU1071" s="35">
        <f>INDEX(AU$297:AU$313,$E1071)*$D1071</f>
        <v/>
      </c>
      <c r="AV1071" s="35">
        <f>INDEX(AV$297:AV$313,$E1071)*$D1071</f>
        <v/>
      </c>
      <c r="AW1071" s="35">
        <f>INDEX(AW$297:AW$313,$E1071)*$D1071</f>
        <v/>
      </c>
      <c r="AX1071" s="35">
        <f>INDEX(AX$297:AX$313,$E1071)*$D1071</f>
        <v/>
      </c>
      <c r="AY1071" s="35">
        <f>INDEX(AY$297:AY$313,$E1071)*$D1071</f>
        <v/>
      </c>
      <c r="AZ1071" s="35">
        <f>INDEX(AZ$297:AZ$313,$E1071)*$D1071</f>
        <v/>
      </c>
      <c r="BA1071" s="42">
        <f>SHADOWGJ(INDEX(BA$297:BA$313,$E1071),$D1071)</f>
        <v/>
      </c>
    </row>
    <row r="1072" hidden="1" outlineLevel="2">
      <c r="A1072" s="14" t="inlineStr">
        <is>
          <t>shp</t>
        </is>
      </c>
      <c r="B1072" s="14" t="inlineStr">
        <is>
          <t>gso</t>
        </is>
      </c>
      <c r="C1072" s="14" t="inlineStr">
        <is>
          <t>rod</t>
        </is>
      </c>
      <c r="D1072" s="35">
        <f>INDEX(Inputs!$W$5:$W$132,MATCH($B1072&amp;"|"&amp;$C1072,Inputs!$A$5:$A$132,0))</f>
        <v/>
      </c>
      <c r="E1072" s="35">
        <f>INDEX(Inputs!$M$5:$M$132,MATCH($B1072&amp;"|"&amp;$C1072,Inputs!$A$5:$A$132,0))</f>
        <v/>
      </c>
      <c r="F1072" s="39" t="n"/>
      <c r="G1072" s="39" t="n"/>
      <c r="H1072" s="14">
        <f>INDEX(VarLab,MATCH($A1072,VarKey,0))&amp;INDEX(MemLab,MATCH($C1072&amp;"|"&amp;$B1072,MemKey,0))</f>
        <v/>
      </c>
      <c r="I1072" s="14">
        <f>INDEX(VarUnit,MATCH($A1072,VarKey,0))</f>
        <v/>
      </c>
      <c r="J1072" s="14">
        <f>INDEX(VarSrc,MATCH($A1072,VarKey,0))</f>
        <v/>
      </c>
      <c r="K1072" s="11">
        <f>CodePrefix&amp;$A1072&amp;IF($C1072="","","."&amp;$C1072&amp;"."&amp;$B1072)&amp;INDEX(VarEnd,MATCH($A1072,VarKey,0))&amp;K$5</f>
        <v/>
      </c>
      <c r="L1072" s="40">
        <f>INDEX(L$297:L$313,$E1072)*$D1072</f>
        <v/>
      </c>
      <c r="M1072" s="35">
        <f>INDEX(M$297:M$313,$E1072)*$D1072</f>
        <v/>
      </c>
      <c r="N1072" s="35">
        <f>INDEX(N$297:N$313,$E1072)*$D1072</f>
        <v/>
      </c>
      <c r="O1072" s="35">
        <f>INDEX(O$297:O$313,$E1072)*$D1072</f>
        <v/>
      </c>
      <c r="P1072" s="35">
        <f>INDEX(P$297:P$313,$E1072)*$D1072</f>
        <v/>
      </c>
      <c r="Q1072" s="35">
        <f>INDEX(Q$297:Q$313,$E1072)*$D1072</f>
        <v/>
      </c>
      <c r="R1072" s="35">
        <f>INDEX(R$297:R$313,$E1072)*$D1072</f>
        <v/>
      </c>
      <c r="S1072" s="35">
        <f>INDEX(S$297:S$313,$E1072)*$D1072</f>
        <v/>
      </c>
      <c r="T1072" s="35">
        <f>INDEX(T$297:T$313,$E1072)*$D1072</f>
        <v/>
      </c>
      <c r="U1072" s="35">
        <f>INDEX(U$297:U$313,$E1072)*$D1072</f>
        <v/>
      </c>
      <c r="V1072" s="35">
        <f>INDEX(V$297:V$313,$E1072)*$D1072</f>
        <v/>
      </c>
      <c r="W1072" s="35">
        <f>INDEX(W$297:W$313,$E1072)*$D1072</f>
        <v/>
      </c>
      <c r="X1072" s="35">
        <f>INDEX(X$297:X$313,$E1072)*$D1072</f>
        <v/>
      </c>
      <c r="Y1072" s="35">
        <f>INDEX(Y$297:Y$313,$E1072)*$D1072</f>
        <v/>
      </c>
      <c r="Z1072" s="35">
        <f>INDEX(Z$297:Z$313,$E1072)*$D1072</f>
        <v/>
      </c>
      <c r="AA1072" s="35">
        <f>INDEX(AA$297:AA$313,$E1072)*$D1072</f>
        <v/>
      </c>
      <c r="AB1072" s="35">
        <f>INDEX(AB$297:AB$313,$E1072)*$D1072</f>
        <v/>
      </c>
      <c r="AC1072" s="35">
        <f>INDEX(AC$297:AC$313,$E1072)*$D1072</f>
        <v/>
      </c>
      <c r="AD1072" s="35">
        <f>INDEX(AD$297:AD$313,$E1072)*$D1072</f>
        <v/>
      </c>
      <c r="AE1072" s="42">
        <f>SHADOWGJ(INDEX(AE$297:AE$313,$E1072),$D1072)</f>
        <v/>
      </c>
      <c r="AG1072" s="11">
        <f>CodePrefix&amp;$A1072&amp;IF($C1072="","","."&amp;$C1072&amp;"."&amp;$B1072)&amp;INDEX(VarEnd,MATCH($A1072,VarKey,0))&amp;AG$5</f>
        <v/>
      </c>
      <c r="AH1072" s="40">
        <f>INDEX(AH$297:AH$313,$E1072)*$D1072</f>
        <v/>
      </c>
      <c r="AI1072" s="35">
        <f>INDEX(AI$297:AI$313,$E1072)*$D1072</f>
        <v/>
      </c>
      <c r="AJ1072" s="35">
        <f>INDEX(AJ$297:AJ$313,$E1072)*$D1072</f>
        <v/>
      </c>
      <c r="AK1072" s="35">
        <f>INDEX(AK$297:AK$313,$E1072)*$D1072</f>
        <v/>
      </c>
      <c r="AL1072" s="35">
        <f>INDEX(AL$297:AL$313,$E1072)*$D1072</f>
        <v/>
      </c>
      <c r="AM1072" s="35">
        <f>INDEX(AM$297:AM$313,$E1072)*$D1072</f>
        <v/>
      </c>
      <c r="AN1072" s="35">
        <f>INDEX(AN$297:AN$313,$E1072)*$D1072</f>
        <v/>
      </c>
      <c r="AO1072" s="35">
        <f>INDEX(AO$297:AO$313,$E1072)*$D1072</f>
        <v/>
      </c>
      <c r="AP1072" s="35">
        <f>INDEX(AP$297:AP$313,$E1072)*$D1072</f>
        <v/>
      </c>
      <c r="AQ1072" s="35">
        <f>INDEX(AQ$297:AQ$313,$E1072)*$D1072</f>
        <v/>
      </c>
      <c r="AR1072" s="35">
        <f>INDEX(AR$297:AR$313,$E1072)*$D1072</f>
        <v/>
      </c>
      <c r="AS1072" s="35">
        <f>INDEX(AS$297:AS$313,$E1072)*$D1072</f>
        <v/>
      </c>
      <c r="AT1072" s="35">
        <f>INDEX(AT$297:AT$313,$E1072)*$D1072</f>
        <v/>
      </c>
      <c r="AU1072" s="35">
        <f>INDEX(AU$297:AU$313,$E1072)*$D1072</f>
        <v/>
      </c>
      <c r="AV1072" s="35">
        <f>INDEX(AV$297:AV$313,$E1072)*$D1072</f>
        <v/>
      </c>
      <c r="AW1072" s="35">
        <f>INDEX(AW$297:AW$313,$E1072)*$D1072</f>
        <v/>
      </c>
      <c r="AX1072" s="35">
        <f>INDEX(AX$297:AX$313,$E1072)*$D1072</f>
        <v/>
      </c>
      <c r="AY1072" s="35">
        <f>INDEX(AY$297:AY$313,$E1072)*$D1072</f>
        <v/>
      </c>
      <c r="AZ1072" s="35">
        <f>INDEX(AZ$297:AZ$313,$E1072)*$D1072</f>
        <v/>
      </c>
      <c r="BA1072" s="42">
        <f>SHADOWGJ(INDEX(BA$297:BA$313,$E1072),$D1072)</f>
        <v/>
      </c>
    </row>
    <row r="1073" hidden="1" outlineLevel="2">
      <c r="A1073" s="14" t="inlineStr">
        <is>
          <t>shp</t>
        </is>
      </c>
      <c r="B1073" s="14" t="inlineStr">
        <is>
          <t>die</t>
        </is>
      </c>
      <c r="C1073" s="14" t="inlineStr">
        <is>
          <t>rod</t>
        </is>
      </c>
      <c r="D1073" s="35">
        <f>INDEX(Inputs!$W$5:$W$132,MATCH($B1073&amp;"|"&amp;$C1073,Inputs!$A$5:$A$132,0))</f>
        <v/>
      </c>
      <c r="E1073" s="35">
        <f>INDEX(Inputs!$M$5:$M$132,MATCH($B1073&amp;"|"&amp;$C1073,Inputs!$A$5:$A$132,0))</f>
        <v/>
      </c>
      <c r="F1073" s="39" t="n"/>
      <c r="G1073" s="39" t="n"/>
      <c r="H1073" s="14">
        <f>INDEX(VarLab,MATCH($A1073,VarKey,0))&amp;INDEX(MemLab,MATCH($C1073&amp;"|"&amp;$B1073,MemKey,0))</f>
        <v/>
      </c>
      <c r="I1073" s="14">
        <f>INDEX(VarUnit,MATCH($A1073,VarKey,0))</f>
        <v/>
      </c>
      <c r="J1073" s="14">
        <f>INDEX(VarSrc,MATCH($A1073,VarKey,0))</f>
        <v/>
      </c>
      <c r="K1073" s="11">
        <f>CodePrefix&amp;$A1073&amp;IF($C1073="","","."&amp;$C1073&amp;"."&amp;$B1073)&amp;INDEX(VarEnd,MATCH($A1073,VarKey,0))&amp;K$5</f>
        <v/>
      </c>
      <c r="L1073" s="40">
        <f>INDEX(L$297:L$313,$E1073)*$D1073</f>
        <v/>
      </c>
      <c r="M1073" s="35">
        <f>INDEX(M$297:M$313,$E1073)*$D1073</f>
        <v/>
      </c>
      <c r="N1073" s="35">
        <f>INDEX(N$297:N$313,$E1073)*$D1073</f>
        <v/>
      </c>
      <c r="O1073" s="35">
        <f>INDEX(O$297:O$313,$E1073)*$D1073</f>
        <v/>
      </c>
      <c r="P1073" s="35">
        <f>INDEX(P$297:P$313,$E1073)*$D1073</f>
        <v/>
      </c>
      <c r="Q1073" s="35">
        <f>INDEX(Q$297:Q$313,$E1073)*$D1073</f>
        <v/>
      </c>
      <c r="R1073" s="35">
        <f>INDEX(R$297:R$313,$E1073)*$D1073</f>
        <v/>
      </c>
      <c r="S1073" s="35">
        <f>INDEX(S$297:S$313,$E1073)*$D1073</f>
        <v/>
      </c>
      <c r="T1073" s="35">
        <f>INDEX(T$297:T$313,$E1073)*$D1073</f>
        <v/>
      </c>
      <c r="U1073" s="35">
        <f>INDEX(U$297:U$313,$E1073)*$D1073</f>
        <v/>
      </c>
      <c r="V1073" s="35">
        <f>INDEX(V$297:V$313,$E1073)*$D1073</f>
        <v/>
      </c>
      <c r="W1073" s="35">
        <f>INDEX(W$297:W$313,$E1073)*$D1073</f>
        <v/>
      </c>
      <c r="X1073" s="35">
        <f>INDEX(X$297:X$313,$E1073)*$D1073</f>
        <v/>
      </c>
      <c r="Y1073" s="35">
        <f>INDEX(Y$297:Y$313,$E1073)*$D1073</f>
        <v/>
      </c>
      <c r="Z1073" s="35">
        <f>INDEX(Z$297:Z$313,$E1073)*$D1073</f>
        <v/>
      </c>
      <c r="AA1073" s="35">
        <f>INDEX(AA$297:AA$313,$E1073)*$D1073</f>
        <v/>
      </c>
      <c r="AB1073" s="35">
        <f>INDEX(AB$297:AB$313,$E1073)*$D1073</f>
        <v/>
      </c>
      <c r="AC1073" s="35">
        <f>INDEX(AC$297:AC$313,$E1073)*$D1073</f>
        <v/>
      </c>
      <c r="AD1073" s="35">
        <f>INDEX(AD$297:AD$313,$E1073)*$D1073</f>
        <v/>
      </c>
      <c r="AE1073" s="42">
        <f>SHADOWGJ(INDEX(AE$297:AE$313,$E1073),$D1073)</f>
        <v/>
      </c>
      <c r="AG1073" s="11">
        <f>CodePrefix&amp;$A1073&amp;IF($C1073="","","."&amp;$C1073&amp;"."&amp;$B1073)&amp;INDEX(VarEnd,MATCH($A1073,VarKey,0))&amp;AG$5</f>
        <v/>
      </c>
      <c r="AH1073" s="40">
        <f>INDEX(AH$297:AH$313,$E1073)*$D1073</f>
        <v/>
      </c>
      <c r="AI1073" s="35">
        <f>INDEX(AI$297:AI$313,$E1073)*$D1073</f>
        <v/>
      </c>
      <c r="AJ1073" s="35">
        <f>INDEX(AJ$297:AJ$313,$E1073)*$D1073</f>
        <v/>
      </c>
      <c r="AK1073" s="35">
        <f>INDEX(AK$297:AK$313,$E1073)*$D1073</f>
        <v/>
      </c>
      <c r="AL1073" s="35">
        <f>INDEX(AL$297:AL$313,$E1073)*$D1073</f>
        <v/>
      </c>
      <c r="AM1073" s="35">
        <f>INDEX(AM$297:AM$313,$E1073)*$D1073</f>
        <v/>
      </c>
      <c r="AN1073" s="35">
        <f>INDEX(AN$297:AN$313,$E1073)*$D1073</f>
        <v/>
      </c>
      <c r="AO1073" s="35">
        <f>INDEX(AO$297:AO$313,$E1073)*$D1073</f>
        <v/>
      </c>
      <c r="AP1073" s="35">
        <f>INDEX(AP$297:AP$313,$E1073)*$D1073</f>
        <v/>
      </c>
      <c r="AQ1073" s="35">
        <f>INDEX(AQ$297:AQ$313,$E1073)*$D1073</f>
        <v/>
      </c>
      <c r="AR1073" s="35">
        <f>INDEX(AR$297:AR$313,$E1073)*$D1073</f>
        <v/>
      </c>
      <c r="AS1073" s="35">
        <f>INDEX(AS$297:AS$313,$E1073)*$D1073</f>
        <v/>
      </c>
      <c r="AT1073" s="35">
        <f>INDEX(AT$297:AT$313,$E1073)*$D1073</f>
        <v/>
      </c>
      <c r="AU1073" s="35">
        <f>INDEX(AU$297:AU$313,$E1073)*$D1073</f>
        <v/>
      </c>
      <c r="AV1073" s="35">
        <f>INDEX(AV$297:AV$313,$E1073)*$D1073</f>
        <v/>
      </c>
      <c r="AW1073" s="35">
        <f>INDEX(AW$297:AW$313,$E1073)*$D1073</f>
        <v/>
      </c>
      <c r="AX1073" s="35">
        <f>INDEX(AX$297:AX$313,$E1073)*$D1073</f>
        <v/>
      </c>
      <c r="AY1073" s="35">
        <f>INDEX(AY$297:AY$313,$E1073)*$D1073</f>
        <v/>
      </c>
      <c r="AZ1073" s="35">
        <f>INDEX(AZ$297:AZ$313,$E1073)*$D1073</f>
        <v/>
      </c>
      <c r="BA1073" s="42">
        <f>SHADOWGJ(INDEX(BA$297:BA$313,$E1073),$D1073)</f>
        <v/>
      </c>
    </row>
    <row r="1074" hidden="1" outlineLevel="2">
      <c r="A1074" s="14" t="inlineStr">
        <is>
          <t>shp</t>
        </is>
      </c>
      <c r="B1074" s="14" t="inlineStr">
        <is>
          <t>lpg</t>
        </is>
      </c>
      <c r="C1074" s="14" t="inlineStr">
        <is>
          <t>rod</t>
        </is>
      </c>
      <c r="D1074" s="35">
        <f>INDEX(Inputs!$W$5:$W$132,MATCH($B1074&amp;"|"&amp;$C1074,Inputs!$A$5:$A$132,0))</f>
        <v/>
      </c>
      <c r="E1074" s="35">
        <f>INDEX(Inputs!$M$5:$M$132,MATCH($B1074&amp;"|"&amp;$C1074,Inputs!$A$5:$A$132,0))</f>
        <v/>
      </c>
      <c r="F1074" s="39" t="n"/>
      <c r="G1074" s="39" t="n"/>
      <c r="H1074" s="14">
        <f>INDEX(VarLab,MATCH($A1074,VarKey,0))&amp;INDEX(MemLab,MATCH($C1074&amp;"|"&amp;$B1074,MemKey,0))</f>
        <v/>
      </c>
      <c r="I1074" s="14">
        <f>INDEX(VarUnit,MATCH($A1074,VarKey,0))</f>
        <v/>
      </c>
      <c r="J1074" s="14">
        <f>INDEX(VarSrc,MATCH($A1074,VarKey,0))</f>
        <v/>
      </c>
      <c r="K1074" s="11">
        <f>CodePrefix&amp;$A1074&amp;IF($C1074="","","."&amp;$C1074&amp;"."&amp;$B1074)&amp;INDEX(VarEnd,MATCH($A1074,VarKey,0))&amp;K$5</f>
        <v/>
      </c>
      <c r="L1074" s="40">
        <f>INDEX(L$297:L$313,$E1074)*$D1074</f>
        <v/>
      </c>
      <c r="M1074" s="35">
        <f>INDEX(M$297:M$313,$E1074)*$D1074</f>
        <v/>
      </c>
      <c r="N1074" s="35">
        <f>INDEX(N$297:N$313,$E1074)*$D1074</f>
        <v/>
      </c>
      <c r="O1074" s="35">
        <f>INDEX(O$297:O$313,$E1074)*$D1074</f>
        <v/>
      </c>
      <c r="P1074" s="35">
        <f>INDEX(P$297:P$313,$E1074)*$D1074</f>
        <v/>
      </c>
      <c r="Q1074" s="35">
        <f>INDEX(Q$297:Q$313,$E1074)*$D1074</f>
        <v/>
      </c>
      <c r="R1074" s="35">
        <f>INDEX(R$297:R$313,$E1074)*$D1074</f>
        <v/>
      </c>
      <c r="S1074" s="35">
        <f>INDEX(S$297:S$313,$E1074)*$D1074</f>
        <v/>
      </c>
      <c r="T1074" s="35">
        <f>INDEX(T$297:T$313,$E1074)*$D1074</f>
        <v/>
      </c>
      <c r="U1074" s="35">
        <f>INDEX(U$297:U$313,$E1074)*$D1074</f>
        <v/>
      </c>
      <c r="V1074" s="35">
        <f>INDEX(V$297:V$313,$E1074)*$D1074</f>
        <v/>
      </c>
      <c r="W1074" s="35">
        <f>INDEX(W$297:W$313,$E1074)*$D1074</f>
        <v/>
      </c>
      <c r="X1074" s="35">
        <f>INDEX(X$297:X$313,$E1074)*$D1074</f>
        <v/>
      </c>
      <c r="Y1074" s="35">
        <f>INDEX(Y$297:Y$313,$E1074)*$D1074</f>
        <v/>
      </c>
      <c r="Z1074" s="35">
        <f>INDEX(Z$297:Z$313,$E1074)*$D1074</f>
        <v/>
      </c>
      <c r="AA1074" s="35">
        <f>INDEX(AA$297:AA$313,$E1074)*$D1074</f>
        <v/>
      </c>
      <c r="AB1074" s="35">
        <f>INDEX(AB$297:AB$313,$E1074)*$D1074</f>
        <v/>
      </c>
      <c r="AC1074" s="35">
        <f>INDEX(AC$297:AC$313,$E1074)*$D1074</f>
        <v/>
      </c>
      <c r="AD1074" s="35">
        <f>INDEX(AD$297:AD$313,$E1074)*$D1074</f>
        <v/>
      </c>
      <c r="AE1074" s="42">
        <f>SHADOWGJ(INDEX(AE$297:AE$313,$E1074),$D1074)</f>
        <v/>
      </c>
      <c r="AG1074" s="11">
        <f>CodePrefix&amp;$A1074&amp;IF($C1074="","","."&amp;$C1074&amp;"."&amp;$B1074)&amp;INDEX(VarEnd,MATCH($A1074,VarKey,0))&amp;AG$5</f>
        <v/>
      </c>
      <c r="AH1074" s="40">
        <f>INDEX(AH$297:AH$313,$E1074)*$D1074</f>
        <v/>
      </c>
      <c r="AI1074" s="35">
        <f>INDEX(AI$297:AI$313,$E1074)*$D1074</f>
        <v/>
      </c>
      <c r="AJ1074" s="35">
        <f>INDEX(AJ$297:AJ$313,$E1074)*$D1074</f>
        <v/>
      </c>
      <c r="AK1074" s="35">
        <f>INDEX(AK$297:AK$313,$E1074)*$D1074</f>
        <v/>
      </c>
      <c r="AL1074" s="35">
        <f>INDEX(AL$297:AL$313,$E1074)*$D1074</f>
        <v/>
      </c>
      <c r="AM1074" s="35">
        <f>INDEX(AM$297:AM$313,$E1074)*$D1074</f>
        <v/>
      </c>
      <c r="AN1074" s="35">
        <f>INDEX(AN$297:AN$313,$E1074)*$D1074</f>
        <v/>
      </c>
      <c r="AO1074" s="35">
        <f>INDEX(AO$297:AO$313,$E1074)*$D1074</f>
        <v/>
      </c>
      <c r="AP1074" s="35">
        <f>INDEX(AP$297:AP$313,$E1074)*$D1074</f>
        <v/>
      </c>
      <c r="AQ1074" s="35">
        <f>INDEX(AQ$297:AQ$313,$E1074)*$D1074</f>
        <v/>
      </c>
      <c r="AR1074" s="35">
        <f>INDEX(AR$297:AR$313,$E1074)*$D1074</f>
        <v/>
      </c>
      <c r="AS1074" s="35">
        <f>INDEX(AS$297:AS$313,$E1074)*$D1074</f>
        <v/>
      </c>
      <c r="AT1074" s="35">
        <f>INDEX(AT$297:AT$313,$E1074)*$D1074</f>
        <v/>
      </c>
      <c r="AU1074" s="35">
        <f>INDEX(AU$297:AU$313,$E1074)*$D1074</f>
        <v/>
      </c>
      <c r="AV1074" s="35">
        <f>INDEX(AV$297:AV$313,$E1074)*$D1074</f>
        <v/>
      </c>
      <c r="AW1074" s="35">
        <f>INDEX(AW$297:AW$313,$E1074)*$D1074</f>
        <v/>
      </c>
      <c r="AX1074" s="35">
        <f>INDEX(AX$297:AX$313,$E1074)*$D1074</f>
        <v/>
      </c>
      <c r="AY1074" s="35">
        <f>INDEX(AY$297:AY$313,$E1074)*$D1074</f>
        <v/>
      </c>
      <c r="AZ1074" s="35">
        <f>INDEX(AZ$297:AZ$313,$E1074)*$D1074</f>
        <v/>
      </c>
      <c r="BA1074" s="42">
        <f>SHADOWGJ(INDEX(BA$297:BA$313,$E1074),$D1074)</f>
        <v/>
      </c>
    </row>
    <row r="1075" hidden="1" outlineLevel="2">
      <c r="A1075" s="14" t="inlineStr">
        <is>
          <t>shp</t>
        </is>
      </c>
      <c r="B1075" s="14" t="inlineStr">
        <is>
          <t>ker</t>
        </is>
      </c>
      <c r="C1075" s="14" t="inlineStr">
        <is>
          <t>rod</t>
        </is>
      </c>
      <c r="D1075" s="35">
        <f>INDEX(Inputs!$W$5:$W$132,MATCH($B1075&amp;"|"&amp;$C1075,Inputs!$A$5:$A$132,0))</f>
        <v/>
      </c>
      <c r="E1075" s="35">
        <f>INDEX(Inputs!$M$5:$M$132,MATCH($B1075&amp;"|"&amp;$C1075,Inputs!$A$5:$A$132,0))</f>
        <v/>
      </c>
      <c r="F1075" s="39" t="n"/>
      <c r="G1075" s="39" t="n"/>
      <c r="H1075" s="14">
        <f>INDEX(VarLab,MATCH($A1075,VarKey,0))&amp;INDEX(MemLab,MATCH($C1075&amp;"|"&amp;$B1075,MemKey,0))</f>
        <v/>
      </c>
      <c r="I1075" s="14">
        <f>INDEX(VarUnit,MATCH($A1075,VarKey,0))</f>
        <v/>
      </c>
      <c r="J1075" s="14">
        <f>INDEX(VarSrc,MATCH($A1075,VarKey,0))</f>
        <v/>
      </c>
      <c r="K1075" s="11">
        <f>CodePrefix&amp;$A1075&amp;IF($C1075="","","."&amp;$C1075&amp;"."&amp;$B1075)&amp;INDEX(VarEnd,MATCH($A1075,VarKey,0))&amp;K$5</f>
        <v/>
      </c>
      <c r="L1075" s="40">
        <f>INDEX(L$297:L$313,$E1075)*$D1075</f>
        <v/>
      </c>
      <c r="M1075" s="35">
        <f>INDEX(M$297:M$313,$E1075)*$D1075</f>
        <v/>
      </c>
      <c r="N1075" s="35">
        <f>INDEX(N$297:N$313,$E1075)*$D1075</f>
        <v/>
      </c>
      <c r="O1075" s="35">
        <f>INDEX(O$297:O$313,$E1075)*$D1075</f>
        <v/>
      </c>
      <c r="P1075" s="35">
        <f>INDEX(P$297:P$313,$E1075)*$D1075</f>
        <v/>
      </c>
      <c r="Q1075" s="35">
        <f>INDEX(Q$297:Q$313,$E1075)*$D1075</f>
        <v/>
      </c>
      <c r="R1075" s="35">
        <f>INDEX(R$297:R$313,$E1075)*$D1075</f>
        <v/>
      </c>
      <c r="S1075" s="35">
        <f>INDEX(S$297:S$313,$E1075)*$D1075</f>
        <v/>
      </c>
      <c r="T1075" s="35">
        <f>INDEX(T$297:T$313,$E1075)*$D1075</f>
        <v/>
      </c>
      <c r="U1075" s="35">
        <f>INDEX(U$297:U$313,$E1075)*$D1075</f>
        <v/>
      </c>
      <c r="V1075" s="35">
        <f>INDEX(V$297:V$313,$E1075)*$D1075</f>
        <v/>
      </c>
      <c r="W1075" s="35">
        <f>INDEX(W$297:W$313,$E1075)*$D1075</f>
        <v/>
      </c>
      <c r="X1075" s="35">
        <f>INDEX(X$297:X$313,$E1075)*$D1075</f>
        <v/>
      </c>
      <c r="Y1075" s="35">
        <f>INDEX(Y$297:Y$313,$E1075)*$D1075</f>
        <v/>
      </c>
      <c r="Z1075" s="35">
        <f>INDEX(Z$297:Z$313,$E1075)*$D1075</f>
        <v/>
      </c>
      <c r="AA1075" s="35">
        <f>INDEX(AA$297:AA$313,$E1075)*$D1075</f>
        <v/>
      </c>
      <c r="AB1075" s="35">
        <f>INDEX(AB$297:AB$313,$E1075)*$D1075</f>
        <v/>
      </c>
      <c r="AC1075" s="35">
        <f>INDEX(AC$297:AC$313,$E1075)*$D1075</f>
        <v/>
      </c>
      <c r="AD1075" s="35">
        <f>INDEX(AD$297:AD$313,$E1075)*$D1075</f>
        <v/>
      </c>
      <c r="AE1075" s="42">
        <f>SHADOWGJ(INDEX(AE$297:AE$313,$E1075),$D1075)</f>
        <v/>
      </c>
      <c r="AG1075" s="11">
        <f>CodePrefix&amp;$A1075&amp;IF($C1075="","","."&amp;$C1075&amp;"."&amp;$B1075)&amp;INDEX(VarEnd,MATCH($A1075,VarKey,0))&amp;AG$5</f>
        <v/>
      </c>
      <c r="AH1075" s="40">
        <f>INDEX(AH$297:AH$313,$E1075)*$D1075</f>
        <v/>
      </c>
      <c r="AI1075" s="35">
        <f>INDEX(AI$297:AI$313,$E1075)*$D1075</f>
        <v/>
      </c>
      <c r="AJ1075" s="35">
        <f>INDEX(AJ$297:AJ$313,$E1075)*$D1075</f>
        <v/>
      </c>
      <c r="AK1075" s="35">
        <f>INDEX(AK$297:AK$313,$E1075)*$D1075</f>
        <v/>
      </c>
      <c r="AL1075" s="35">
        <f>INDEX(AL$297:AL$313,$E1075)*$D1075</f>
        <v/>
      </c>
      <c r="AM1075" s="35">
        <f>INDEX(AM$297:AM$313,$E1075)*$D1075</f>
        <v/>
      </c>
      <c r="AN1075" s="35">
        <f>INDEX(AN$297:AN$313,$E1075)*$D1075</f>
        <v/>
      </c>
      <c r="AO1075" s="35">
        <f>INDEX(AO$297:AO$313,$E1075)*$D1075</f>
        <v/>
      </c>
      <c r="AP1075" s="35">
        <f>INDEX(AP$297:AP$313,$E1075)*$D1075</f>
        <v/>
      </c>
      <c r="AQ1075" s="35">
        <f>INDEX(AQ$297:AQ$313,$E1075)*$D1075</f>
        <v/>
      </c>
      <c r="AR1075" s="35">
        <f>INDEX(AR$297:AR$313,$E1075)*$D1075</f>
        <v/>
      </c>
      <c r="AS1075" s="35">
        <f>INDEX(AS$297:AS$313,$E1075)*$D1075</f>
        <v/>
      </c>
      <c r="AT1075" s="35">
        <f>INDEX(AT$297:AT$313,$E1075)*$D1075</f>
        <v/>
      </c>
      <c r="AU1075" s="35">
        <f>INDEX(AU$297:AU$313,$E1075)*$D1075</f>
        <v/>
      </c>
      <c r="AV1075" s="35">
        <f>INDEX(AV$297:AV$313,$E1075)*$D1075</f>
        <v/>
      </c>
      <c r="AW1075" s="35">
        <f>INDEX(AW$297:AW$313,$E1075)*$D1075</f>
        <v/>
      </c>
      <c r="AX1075" s="35">
        <f>INDEX(AX$297:AX$313,$E1075)*$D1075</f>
        <v/>
      </c>
      <c r="AY1075" s="35">
        <f>INDEX(AY$297:AY$313,$E1075)*$D1075</f>
        <v/>
      </c>
      <c r="AZ1075" s="35">
        <f>INDEX(AZ$297:AZ$313,$E1075)*$D1075</f>
        <v/>
      </c>
      <c r="BA1075" s="42">
        <f>SHADOWGJ(INDEX(BA$297:BA$313,$E1075),$D1075)</f>
        <v/>
      </c>
    </row>
    <row r="1076" hidden="1" outlineLevel="2">
      <c r="A1076" s="14" t="inlineStr">
        <is>
          <t>shp</t>
        </is>
      </c>
      <c r="B1076" s="14" t="inlineStr">
        <is>
          <t>oop</t>
        </is>
      </c>
      <c r="C1076" s="14" t="inlineStr">
        <is>
          <t>rod</t>
        </is>
      </c>
      <c r="D1076" s="35">
        <f>INDEX(Inputs!$W$5:$W$132,MATCH($B1076&amp;"|"&amp;$C1076,Inputs!$A$5:$A$132,0))</f>
        <v/>
      </c>
      <c r="E1076" s="35">
        <f>INDEX(Inputs!$M$5:$M$132,MATCH($B1076&amp;"|"&amp;$C1076,Inputs!$A$5:$A$132,0))</f>
        <v/>
      </c>
      <c r="F1076" s="39" t="n"/>
      <c r="G1076" s="39" t="n"/>
      <c r="H1076" s="14">
        <f>INDEX(VarLab,MATCH($A1076,VarKey,0))&amp;INDEX(MemLab,MATCH($C1076&amp;"|"&amp;$B1076,MemKey,0))</f>
        <v/>
      </c>
      <c r="I1076" s="14">
        <f>INDEX(VarUnit,MATCH($A1076,VarKey,0))</f>
        <v/>
      </c>
      <c r="J1076" s="14">
        <f>INDEX(VarSrc,MATCH($A1076,VarKey,0))</f>
        <v/>
      </c>
      <c r="K1076" s="11">
        <f>CodePrefix&amp;$A1076&amp;IF($C1076="","","."&amp;$C1076&amp;"."&amp;$B1076)&amp;INDEX(VarEnd,MATCH($A1076,VarKey,0))&amp;K$5</f>
        <v/>
      </c>
      <c r="L1076" s="40">
        <f>INDEX(L$297:L$313,$E1076)*$D1076</f>
        <v/>
      </c>
      <c r="M1076" s="35">
        <f>INDEX(M$297:M$313,$E1076)*$D1076</f>
        <v/>
      </c>
      <c r="N1076" s="35">
        <f>INDEX(N$297:N$313,$E1076)*$D1076</f>
        <v/>
      </c>
      <c r="O1076" s="35">
        <f>INDEX(O$297:O$313,$E1076)*$D1076</f>
        <v/>
      </c>
      <c r="P1076" s="35">
        <f>INDEX(P$297:P$313,$E1076)*$D1076</f>
        <v/>
      </c>
      <c r="Q1076" s="35">
        <f>INDEX(Q$297:Q$313,$E1076)*$D1076</f>
        <v/>
      </c>
      <c r="R1076" s="35">
        <f>INDEX(R$297:R$313,$E1076)*$D1076</f>
        <v/>
      </c>
      <c r="S1076" s="35">
        <f>INDEX(S$297:S$313,$E1076)*$D1076</f>
        <v/>
      </c>
      <c r="T1076" s="35">
        <f>INDEX(T$297:T$313,$E1076)*$D1076</f>
        <v/>
      </c>
      <c r="U1076" s="35">
        <f>INDEX(U$297:U$313,$E1076)*$D1076</f>
        <v/>
      </c>
      <c r="V1076" s="35">
        <f>INDEX(V$297:V$313,$E1076)*$D1076</f>
        <v/>
      </c>
      <c r="W1076" s="35">
        <f>INDEX(W$297:W$313,$E1076)*$D1076</f>
        <v/>
      </c>
      <c r="X1076" s="35">
        <f>INDEX(X$297:X$313,$E1076)*$D1076</f>
        <v/>
      </c>
      <c r="Y1076" s="35">
        <f>INDEX(Y$297:Y$313,$E1076)*$D1076</f>
        <v/>
      </c>
      <c r="Z1076" s="35">
        <f>INDEX(Z$297:Z$313,$E1076)*$D1076</f>
        <v/>
      </c>
      <c r="AA1076" s="35">
        <f>INDEX(AA$297:AA$313,$E1076)*$D1076</f>
        <v/>
      </c>
      <c r="AB1076" s="35">
        <f>INDEX(AB$297:AB$313,$E1076)*$D1076</f>
        <v/>
      </c>
      <c r="AC1076" s="35">
        <f>INDEX(AC$297:AC$313,$E1076)*$D1076</f>
        <v/>
      </c>
      <c r="AD1076" s="35">
        <f>INDEX(AD$297:AD$313,$E1076)*$D1076</f>
        <v/>
      </c>
      <c r="AE1076" s="42">
        <f>SHADOWGJ(INDEX(AE$297:AE$313,$E1076),$D1076)</f>
        <v/>
      </c>
      <c r="AG1076" s="11">
        <f>CodePrefix&amp;$A1076&amp;IF($C1076="","","."&amp;$C1076&amp;"."&amp;$B1076)&amp;INDEX(VarEnd,MATCH($A1076,VarKey,0))&amp;AG$5</f>
        <v/>
      </c>
      <c r="AH1076" s="40">
        <f>INDEX(AH$297:AH$313,$E1076)*$D1076</f>
        <v/>
      </c>
      <c r="AI1076" s="35">
        <f>INDEX(AI$297:AI$313,$E1076)*$D1076</f>
        <v/>
      </c>
      <c r="AJ1076" s="35">
        <f>INDEX(AJ$297:AJ$313,$E1076)*$D1076</f>
        <v/>
      </c>
      <c r="AK1076" s="35">
        <f>INDEX(AK$297:AK$313,$E1076)*$D1076</f>
        <v/>
      </c>
      <c r="AL1076" s="35">
        <f>INDEX(AL$297:AL$313,$E1076)*$D1076</f>
        <v/>
      </c>
      <c r="AM1076" s="35">
        <f>INDEX(AM$297:AM$313,$E1076)*$D1076</f>
        <v/>
      </c>
      <c r="AN1076" s="35">
        <f>INDEX(AN$297:AN$313,$E1076)*$D1076</f>
        <v/>
      </c>
      <c r="AO1076" s="35">
        <f>INDEX(AO$297:AO$313,$E1076)*$D1076</f>
        <v/>
      </c>
      <c r="AP1076" s="35">
        <f>INDEX(AP$297:AP$313,$E1076)*$D1076</f>
        <v/>
      </c>
      <c r="AQ1076" s="35">
        <f>INDEX(AQ$297:AQ$313,$E1076)*$D1076</f>
        <v/>
      </c>
      <c r="AR1076" s="35">
        <f>INDEX(AR$297:AR$313,$E1076)*$D1076</f>
        <v/>
      </c>
      <c r="AS1076" s="35">
        <f>INDEX(AS$297:AS$313,$E1076)*$D1076</f>
        <v/>
      </c>
      <c r="AT1076" s="35">
        <f>INDEX(AT$297:AT$313,$E1076)*$D1076</f>
        <v/>
      </c>
      <c r="AU1076" s="35">
        <f>INDEX(AU$297:AU$313,$E1076)*$D1076</f>
        <v/>
      </c>
      <c r="AV1076" s="35">
        <f>INDEX(AV$297:AV$313,$E1076)*$D1076</f>
        <v/>
      </c>
      <c r="AW1076" s="35">
        <f>INDEX(AW$297:AW$313,$E1076)*$D1076</f>
        <v/>
      </c>
      <c r="AX1076" s="35">
        <f>INDEX(AX$297:AX$313,$E1076)*$D1076</f>
        <v/>
      </c>
      <c r="AY1076" s="35">
        <f>INDEX(AY$297:AY$313,$E1076)*$D1076</f>
        <v/>
      </c>
      <c r="AZ1076" s="35">
        <f>INDEX(AZ$297:AZ$313,$E1076)*$D1076</f>
        <v/>
      </c>
      <c r="BA1076" s="42">
        <f>SHADOWGJ(INDEX(BA$297:BA$313,$E1076),$D1076)</f>
        <v/>
      </c>
    </row>
    <row r="1077" hidden="1" outlineLevel="2">
      <c r="A1077" s="14" t="inlineStr">
        <is>
          <t>shp</t>
        </is>
      </c>
      <c r="B1077" s="14" t="inlineStr">
        <is>
          <t>bio</t>
        </is>
      </c>
      <c r="C1077" s="14" t="inlineStr">
        <is>
          <t>rod</t>
        </is>
      </c>
      <c r="D1077" s="35">
        <f>INDEX(Inputs!$W$5:$W$132,MATCH($B1077&amp;"|"&amp;$C1077,Inputs!$A$5:$A$132,0))</f>
        <v/>
      </c>
      <c r="E1077" s="35">
        <f>INDEX(Inputs!$M$5:$M$132,MATCH($B1077&amp;"|"&amp;$C1077,Inputs!$A$5:$A$132,0))</f>
        <v/>
      </c>
      <c r="F1077" s="39" t="n"/>
      <c r="G1077" s="39" t="n"/>
      <c r="H1077" s="14">
        <f>INDEX(VarLab,MATCH($A1077,VarKey,0))&amp;INDEX(MemLab,MATCH($C1077&amp;"|"&amp;$B1077,MemKey,0))</f>
        <v/>
      </c>
      <c r="I1077" s="14">
        <f>INDEX(VarUnit,MATCH($A1077,VarKey,0))</f>
        <v/>
      </c>
      <c r="J1077" s="14">
        <f>INDEX(VarSrc,MATCH($A1077,VarKey,0))</f>
        <v/>
      </c>
      <c r="K1077" s="11">
        <f>CodePrefix&amp;$A1077&amp;IF($C1077="","","."&amp;$C1077&amp;"."&amp;$B1077)&amp;INDEX(VarEnd,MATCH($A1077,VarKey,0))&amp;K$5</f>
        <v/>
      </c>
      <c r="L1077" s="40">
        <f>INDEX(L$297:L$313,$E1077)*$D1077</f>
        <v/>
      </c>
      <c r="M1077" s="35">
        <f>INDEX(M$297:M$313,$E1077)*$D1077</f>
        <v/>
      </c>
      <c r="N1077" s="35">
        <f>INDEX(N$297:N$313,$E1077)*$D1077</f>
        <v/>
      </c>
      <c r="O1077" s="35">
        <f>INDEX(O$297:O$313,$E1077)*$D1077</f>
        <v/>
      </c>
      <c r="P1077" s="35">
        <f>INDEX(P$297:P$313,$E1077)*$D1077</f>
        <v/>
      </c>
      <c r="Q1077" s="35">
        <f>INDEX(Q$297:Q$313,$E1077)*$D1077</f>
        <v/>
      </c>
      <c r="R1077" s="35">
        <f>INDEX(R$297:R$313,$E1077)*$D1077</f>
        <v/>
      </c>
      <c r="S1077" s="35">
        <f>INDEX(S$297:S$313,$E1077)*$D1077</f>
        <v/>
      </c>
      <c r="T1077" s="35">
        <f>INDEX(T$297:T$313,$E1077)*$D1077</f>
        <v/>
      </c>
      <c r="U1077" s="35">
        <f>INDEX(U$297:U$313,$E1077)*$D1077</f>
        <v/>
      </c>
      <c r="V1077" s="35">
        <f>INDEX(V$297:V$313,$E1077)*$D1077</f>
        <v/>
      </c>
      <c r="W1077" s="35">
        <f>INDEX(W$297:W$313,$E1077)*$D1077</f>
        <v/>
      </c>
      <c r="X1077" s="35">
        <f>INDEX(X$297:X$313,$E1077)*$D1077</f>
        <v/>
      </c>
      <c r="Y1077" s="35">
        <f>INDEX(Y$297:Y$313,$E1077)*$D1077</f>
        <v/>
      </c>
      <c r="Z1077" s="35">
        <f>INDEX(Z$297:Z$313,$E1077)*$D1077</f>
        <v/>
      </c>
      <c r="AA1077" s="35">
        <f>INDEX(AA$297:AA$313,$E1077)*$D1077</f>
        <v/>
      </c>
      <c r="AB1077" s="35">
        <f>INDEX(AB$297:AB$313,$E1077)*$D1077</f>
        <v/>
      </c>
      <c r="AC1077" s="35">
        <f>INDEX(AC$297:AC$313,$E1077)*$D1077</f>
        <v/>
      </c>
      <c r="AD1077" s="35">
        <f>INDEX(AD$297:AD$313,$E1077)*$D1077</f>
        <v/>
      </c>
      <c r="AE1077" s="42">
        <f>SHADOWGJ(INDEX(AE$297:AE$313,$E1077),$D1077)</f>
        <v/>
      </c>
      <c r="AG1077" s="11">
        <f>CodePrefix&amp;$A1077&amp;IF($C1077="","","."&amp;$C1077&amp;"."&amp;$B1077)&amp;INDEX(VarEnd,MATCH($A1077,VarKey,0))&amp;AG$5</f>
        <v/>
      </c>
      <c r="AH1077" s="40">
        <f>INDEX(AH$297:AH$313,$E1077)*$D1077</f>
        <v/>
      </c>
      <c r="AI1077" s="35">
        <f>INDEX(AI$297:AI$313,$E1077)*$D1077</f>
        <v/>
      </c>
      <c r="AJ1077" s="35">
        <f>INDEX(AJ$297:AJ$313,$E1077)*$D1077</f>
        <v/>
      </c>
      <c r="AK1077" s="35">
        <f>INDEX(AK$297:AK$313,$E1077)*$D1077</f>
        <v/>
      </c>
      <c r="AL1077" s="35">
        <f>INDEX(AL$297:AL$313,$E1077)*$D1077</f>
        <v/>
      </c>
      <c r="AM1077" s="35">
        <f>INDEX(AM$297:AM$313,$E1077)*$D1077</f>
        <v/>
      </c>
      <c r="AN1077" s="35">
        <f>INDEX(AN$297:AN$313,$E1077)*$D1077</f>
        <v/>
      </c>
      <c r="AO1077" s="35">
        <f>INDEX(AO$297:AO$313,$E1077)*$D1077</f>
        <v/>
      </c>
      <c r="AP1077" s="35">
        <f>INDEX(AP$297:AP$313,$E1077)*$D1077</f>
        <v/>
      </c>
      <c r="AQ1077" s="35">
        <f>INDEX(AQ$297:AQ$313,$E1077)*$D1077</f>
        <v/>
      </c>
      <c r="AR1077" s="35">
        <f>INDEX(AR$297:AR$313,$E1077)*$D1077</f>
        <v/>
      </c>
      <c r="AS1077" s="35">
        <f>INDEX(AS$297:AS$313,$E1077)*$D1077</f>
        <v/>
      </c>
      <c r="AT1077" s="35">
        <f>INDEX(AT$297:AT$313,$E1077)*$D1077</f>
        <v/>
      </c>
      <c r="AU1077" s="35">
        <f>INDEX(AU$297:AU$313,$E1077)*$D1077</f>
        <v/>
      </c>
      <c r="AV1077" s="35">
        <f>INDEX(AV$297:AV$313,$E1077)*$D1077</f>
        <v/>
      </c>
      <c r="AW1077" s="35">
        <f>INDEX(AW$297:AW$313,$E1077)*$D1077</f>
        <v/>
      </c>
      <c r="AX1077" s="35">
        <f>INDEX(AX$297:AX$313,$E1077)*$D1077</f>
        <v/>
      </c>
      <c r="AY1077" s="35">
        <f>INDEX(AY$297:AY$313,$E1077)*$D1077</f>
        <v/>
      </c>
      <c r="AZ1077" s="35">
        <f>INDEX(AZ$297:AZ$313,$E1077)*$D1077</f>
        <v/>
      </c>
      <c r="BA1077" s="42">
        <f>SHADOWGJ(INDEX(BA$297:BA$313,$E1077),$D1077)</f>
        <v/>
      </c>
    </row>
    <row r="1078" hidden="1" outlineLevel="2"/>
    <row r="1079" hidden="1" outlineLevel="2">
      <c r="A1079" s="14" t="inlineStr">
        <is>
          <t>ener</t>
        </is>
      </c>
      <c r="B1079" s="14" t="inlineStr">
        <is>
          <t>coa</t>
        </is>
      </c>
      <c r="C1079" s="14" t="inlineStr">
        <is>
          <t>rod</t>
        </is>
      </c>
      <c r="D1079" s="35">
        <f>INDEX(Inputs!$O$5:$O$132,MATCH($B1079&amp;"|"&amp;$C1079,Inputs!$A$5:$A$132,0))</f>
        <v/>
      </c>
      <c r="E1079" s="35">
        <f>INDEX(Inputs!$P$5:$P$132,MATCH($B1079&amp;"|"&amp;$C1079,Inputs!$A$5:$A$132,0))</f>
        <v/>
      </c>
      <c r="F1079" s="35">
        <f>INDEX(Inputs!$T$5:$T$132,MATCH($B1079&amp;"|"&amp;$C1079,Inputs!$A$5:$A$132,0))</f>
        <v/>
      </c>
      <c r="G1079" s="35">
        <f>INDEX(Inputs!$S$5:$S$132,MATCH($B1079&amp;"|"&amp;$C1079,Inputs!$A$5:$A$132,0))</f>
        <v/>
      </c>
      <c r="H1079" s="14">
        <f>INDEX(VarLab,MATCH($A1079,VarKey,0))&amp;INDEX(MemLab,MATCH($C1079&amp;"|"&amp;$B1079,MemKey,0))</f>
        <v/>
      </c>
      <c r="I1079" s="14">
        <f>INDEX(VarUnit,MATCH($A1079,VarKey,0))</f>
        <v/>
      </c>
      <c r="J1079" s="14">
        <f>INDEX(VarSrc,MATCH($A1079,VarKey,0))</f>
        <v/>
      </c>
      <c r="K1079" s="11">
        <f>CodePrefix&amp;$A1079&amp;IF($C1079="","","."&amp;$C1079&amp;"."&amp;$B1079)&amp;INDEX(VarEnd,MATCH($A1079,VarKey,0))&amp;K$5</f>
        <v/>
      </c>
      <c r="L1079" s="43">
        <f>INDEX(Inputs!$X$5:$X$132,MATCH($B1079&amp;"|"&amp;$C1079,Inputs!$A$5:$A$132,0))</f>
        <v/>
      </c>
      <c r="M1079" s="44">
        <f>L1079*$G1079*(1+M$7)^$D1079*(M1061/L1061)^$E1079*((M1061+M1070)/(L1061+L1070))^$F1079</f>
        <v/>
      </c>
      <c r="N1079" s="44">
        <f>M1079*$G1079*(1+N$7)^$D1079*(N1061/M1061)^$E1079*((N1061+N1070)/(M1061+M1070))^$F1079</f>
        <v/>
      </c>
      <c r="O1079" s="44">
        <f>N1079*$G1079*(1+O$7)^$D1079*(O1061/N1061)^$E1079*((O1061+O1070)/(N1061+N1070))^$F1079</f>
        <v/>
      </c>
      <c r="P1079" s="44">
        <f>O1079*$G1079*(1+P$7)^$D1079*(P1061/O1061)^$E1079*((P1061+P1070)/(O1061+O1070))^$F1079</f>
        <v/>
      </c>
      <c r="Q1079" s="44">
        <f>P1079*$G1079*(1+Q$7)^$D1079*(Q1061/P1061)^$E1079*((Q1061+Q1070)/(P1061+P1070))^$F1079</f>
        <v/>
      </c>
      <c r="R1079" s="44">
        <f>Q1079*$G1079*(1+R$7)^$D1079*(R1061/Q1061)^$E1079*((R1061+R1070)/(Q1061+Q1070))^$F1079</f>
        <v/>
      </c>
      <c r="S1079" s="44">
        <f>R1079*$G1079*(1+S$7)^$D1079*(S1061/R1061)^$E1079*((S1061+S1070)/(R1061+R1070))^$F1079</f>
        <v/>
      </c>
      <c r="T1079" s="44">
        <f>S1079*$G1079*(1+T$7)^$D1079*(T1061/S1061)^$E1079*((T1061+T1070)/(S1061+S1070))^$F1079</f>
        <v/>
      </c>
      <c r="U1079" s="44">
        <f>T1079*$G1079*(1+U$7)^$D1079*(U1061/T1061)^$E1079*((U1061+U1070)/(T1061+T1070))^$F1079</f>
        <v/>
      </c>
      <c r="V1079" s="44">
        <f>U1079*$G1079*(1+V$7)^$D1079*(V1061/U1061)^$E1079*((V1061+V1070)/(U1061+U1070))^$F1079</f>
        <v/>
      </c>
      <c r="W1079" s="44">
        <f>V1079*$G1079*(1+W$7)^$D1079*(W1061/V1061)^$E1079*((W1061+W1070)/(V1061+V1070))^$F1079</f>
        <v/>
      </c>
      <c r="X1079" s="44">
        <f>W1079*$G1079*(1+X$7)^$D1079*(X1061/W1061)^$E1079*((X1061+X1070)/(W1061+W1070))^$F1079</f>
        <v/>
      </c>
      <c r="Y1079" s="44">
        <f>X1079*$G1079*(1+Y$7)^$D1079*(Y1061/X1061)^$E1079*((Y1061+Y1070)/(X1061+X1070))^$F1079</f>
        <v/>
      </c>
      <c r="Z1079" s="44">
        <f>Y1079*$G1079*(1+Z$7)^$D1079*(Z1061/Y1061)^$E1079*((Z1061+Z1070)/(Y1061+Y1070))^$F1079</f>
        <v/>
      </c>
      <c r="AA1079" s="44">
        <f>Z1079*$G1079*(1+AA$7)^$D1079*(AA1061/Z1061)^$E1079*((AA1061+AA1070)/(Z1061+Z1070))^$F1079</f>
        <v/>
      </c>
      <c r="AB1079" s="44">
        <f>AA1079*$G1079*(1+AB$7)^$D1079*(AB1061/AA1061)^$E1079*((AB1061+AB1070)/(AA1061+AA1070))^$F1079</f>
        <v/>
      </c>
      <c r="AC1079" s="44">
        <f>AB1079*$G1079*(1+AC$7)^$D1079*(AC1061/AB1061)^$E1079*((AC1061+AC1070)/(AB1061+AB1070))^$F1079</f>
        <v/>
      </c>
      <c r="AD1079" s="44">
        <f>AC1079*$G1079*(1+AD$7)^$D1079*(AD1061/AC1061)^$E1079*((AD1061+AD1070)/(AC1061+AC1070))^$F1079</f>
        <v/>
      </c>
      <c r="AE1079" s="57">
        <f>FUELUSE(AD1079,AE1061,AD1061,AE1070,AD1070,AE$7,$D1079,$E1079,$F1079,$G1079)</f>
        <v/>
      </c>
      <c r="AG1079" s="11">
        <f>CodePrefix&amp;$A1079&amp;IF($C1079="","","."&amp;$C1079&amp;"."&amp;$B1079)&amp;INDEX(VarEnd,MATCH($A1079,VarKey,0))&amp;AG$5</f>
        <v/>
      </c>
      <c r="AH1079" s="43">
        <f>INDEX(Inputs!$X$5:$X$132,MATCH($B1079&amp;"|"&amp;$C1079,Inputs!$A$5:$A$132,0))</f>
        <v/>
      </c>
      <c r="AI1079" s="44">
        <f>AH1079*$G1079*(1+AI$7)^$D1079*(AI1061/AH1061)^$E1079*((AI1061+AI1070)/(AH1061+AH1070))^$F1079</f>
        <v/>
      </c>
      <c r="AJ1079" s="44">
        <f>AI1079*$G1079*(1+AJ$7)^$D1079*(AJ1061/AI1061)^$E1079*((AJ1061+AJ1070)/(AI1061+AI1070))^$F1079</f>
        <v/>
      </c>
      <c r="AK1079" s="44">
        <f>AJ1079*$G1079*(1+AK$7)^$D1079*(AK1061/AJ1061)^$E1079*((AK1061+AK1070)/(AJ1061+AJ1070))^$F1079</f>
        <v/>
      </c>
      <c r="AL1079" s="44">
        <f>AK1079*$G1079*(1+AL$7)^$D1079*(AL1061/AK1061)^$E1079*((AL1061+AL1070)/(AK1061+AK1070))^$F1079</f>
        <v/>
      </c>
      <c r="AM1079" s="44">
        <f>AL1079*$G1079*(1+AM$7)^$D1079*(AM1061/AL1061)^$E1079*((AM1061+AM1070)/(AL1061+AL1070))^$F1079</f>
        <v/>
      </c>
      <c r="AN1079" s="44">
        <f>AM1079*$G1079*(1+AN$7)^$D1079*(AN1061/AM1061)^$E1079*((AN1061+AN1070)/(AM1061+AM1070))^$F1079</f>
        <v/>
      </c>
      <c r="AO1079" s="44">
        <f>AN1079*$G1079*(1+AO$7)^$D1079*(AO1061/AN1061)^$E1079*((AO1061+AO1070)/(AN1061+AN1070))^$F1079</f>
        <v/>
      </c>
      <c r="AP1079" s="44">
        <f>AO1079*$G1079*(1+AP$7)^$D1079*(AP1061/AO1061)^$E1079*((AP1061+AP1070)/(AO1061+AO1070))^$F1079</f>
        <v/>
      </c>
      <c r="AQ1079" s="44">
        <f>AP1079*$G1079*(1+AQ$7)^$D1079*(AQ1061/AP1061)^$E1079*((AQ1061+AQ1070)/(AP1061+AP1070))^$F1079</f>
        <v/>
      </c>
      <c r="AR1079" s="44">
        <f>AQ1079*$G1079*(1+AR$7)^$D1079*(AR1061/AQ1061)^$E1079*((AR1061+AR1070)/(AQ1061+AQ1070))^$F1079</f>
        <v/>
      </c>
      <c r="AS1079" s="44">
        <f>AR1079*$G1079*(1+AS$7)^$D1079*(AS1061/AR1061)^$E1079*((AS1061+AS1070)/(AR1061+AR1070))^$F1079</f>
        <v/>
      </c>
      <c r="AT1079" s="44">
        <f>AS1079*$G1079*(1+AT$7)^$D1079*(AT1061/AS1061)^$E1079*((AT1061+AT1070)/(AS1061+AS1070))^$F1079</f>
        <v/>
      </c>
      <c r="AU1079" s="44">
        <f>AT1079*$G1079*(1+AU$7)^$D1079*(AU1061/AT1061)^$E1079*((AU1061+AU1070)/(AT1061+AT1070))^$F1079</f>
        <v/>
      </c>
      <c r="AV1079" s="44">
        <f>AU1079*$G1079*(1+AV$7)^$D1079*(AV1061/AU1061)^$E1079*((AV1061+AV1070)/(AU1061+AU1070))^$F1079</f>
        <v/>
      </c>
      <c r="AW1079" s="44">
        <f>AV1079*$G1079*(1+AW$7)^$D1079*(AW1061/AV1061)^$E1079*((AW1061+AW1070)/(AV1061+AV1070))^$F1079</f>
        <v/>
      </c>
      <c r="AX1079" s="44">
        <f>AW1079*$G1079*(1+AX$7)^$D1079*(AX1061/AW1061)^$E1079*((AX1061+AX1070)/(AW1061+AW1070))^$F1079</f>
        <v/>
      </c>
      <c r="AY1079" s="44">
        <f>AX1079*$G1079*(1+AY$7)^$D1079*(AY1061/AX1061)^$E1079*((AY1061+AY1070)/(AX1061+AX1070))^$F1079</f>
        <v/>
      </c>
      <c r="AZ1079" s="44">
        <f>AY1079*$G1079*(1+AZ$7)^$D1079*(AZ1061/AY1061)^$E1079*((AZ1061+AZ1070)/(AY1061+AY1070))^$F1079</f>
        <v/>
      </c>
      <c r="BA1079" s="57">
        <f>FUELUSE(AZ1079,BA1061,AZ1061,BA1070,AZ1070,BA$7,$D1079,$E1079,$F1079,$G1079)</f>
        <v/>
      </c>
    </row>
    <row r="1080" hidden="1" outlineLevel="2">
      <c r="A1080" s="14" t="inlineStr">
        <is>
          <t>ener</t>
        </is>
      </c>
      <c r="B1080" s="14" t="inlineStr">
        <is>
          <t>nga</t>
        </is>
      </c>
      <c r="C1080" s="14" t="inlineStr">
        <is>
          <t>rod</t>
        </is>
      </c>
      <c r="D1080" s="35">
        <f>INDEX(Inputs!$O$5:$O$132,MATCH($B1080&amp;"|"&amp;$C1080,Inputs!$A$5:$A$132,0))</f>
        <v/>
      </c>
      <c r="E1080" s="35">
        <f>INDEX(Inputs!$P$5:$P$132,MATCH($B1080&amp;"|"&amp;$C1080,Inputs!$A$5:$A$132,0))</f>
        <v/>
      </c>
      <c r="F1080" s="35">
        <f>INDEX(Inputs!$T$5:$T$132,MATCH($B1080&amp;"|"&amp;$C1080,Inputs!$A$5:$A$132,0))</f>
        <v/>
      </c>
      <c r="G1080" s="35">
        <f>INDEX(Inputs!$S$5:$S$132,MATCH($B1080&amp;"|"&amp;$C1080,Inputs!$A$5:$A$132,0))</f>
        <v/>
      </c>
      <c r="H1080" s="14">
        <f>INDEX(VarLab,MATCH($A1080,VarKey,0))&amp;INDEX(MemLab,MATCH($C1080&amp;"|"&amp;$B1080,MemKey,0))</f>
        <v/>
      </c>
      <c r="I1080" s="14">
        <f>INDEX(VarUnit,MATCH($A1080,VarKey,0))</f>
        <v/>
      </c>
      <c r="J1080" s="14">
        <f>INDEX(VarSrc,MATCH($A1080,VarKey,0))</f>
        <v/>
      </c>
      <c r="K1080" s="11">
        <f>CodePrefix&amp;$A1080&amp;IF($C1080="","","."&amp;$C1080&amp;"."&amp;$B1080)&amp;INDEX(VarEnd,MATCH($A1080,VarKey,0))&amp;K$5</f>
        <v/>
      </c>
      <c r="L1080" s="43">
        <f>INDEX(Inputs!$X$5:$X$132,MATCH($B1080&amp;"|"&amp;$C1080,Inputs!$A$5:$A$132,0))</f>
        <v/>
      </c>
      <c r="M1080" s="44">
        <f>L1080*$G1080*(1+M$7)^$D1080*(M1062/L1062)^$E1080*((M1062+M1071)/(L1062+L1071))^$F1080</f>
        <v/>
      </c>
      <c r="N1080" s="44">
        <f>M1080*$G1080*(1+N$7)^$D1080*(N1062/M1062)^$E1080*((N1062+N1071)/(M1062+M1071))^$F1080</f>
        <v/>
      </c>
      <c r="O1080" s="44">
        <f>N1080*$G1080*(1+O$7)^$D1080*(O1062/N1062)^$E1080*((O1062+O1071)/(N1062+N1071))^$F1080</f>
        <v/>
      </c>
      <c r="P1080" s="44">
        <f>O1080*$G1080*(1+P$7)^$D1080*(P1062/O1062)^$E1080*((P1062+P1071)/(O1062+O1071))^$F1080</f>
        <v/>
      </c>
      <c r="Q1080" s="44">
        <f>P1080*$G1080*(1+Q$7)^$D1080*(Q1062/P1062)^$E1080*((Q1062+Q1071)/(P1062+P1071))^$F1080</f>
        <v/>
      </c>
      <c r="R1080" s="44">
        <f>Q1080*$G1080*(1+R$7)^$D1080*(R1062/Q1062)^$E1080*((R1062+R1071)/(Q1062+Q1071))^$F1080</f>
        <v/>
      </c>
      <c r="S1080" s="44">
        <f>R1080*$G1080*(1+S$7)^$D1080*(S1062/R1062)^$E1080*((S1062+S1071)/(R1062+R1071))^$F1080</f>
        <v/>
      </c>
      <c r="T1080" s="44">
        <f>S1080*$G1080*(1+T$7)^$D1080*(T1062/S1062)^$E1080*((T1062+T1071)/(S1062+S1071))^$F1080</f>
        <v/>
      </c>
      <c r="U1080" s="44">
        <f>T1080*$G1080*(1+U$7)^$D1080*(U1062/T1062)^$E1080*((U1062+U1071)/(T1062+T1071))^$F1080</f>
        <v/>
      </c>
      <c r="V1080" s="44">
        <f>U1080*$G1080*(1+V$7)^$D1080*(V1062/U1062)^$E1080*((V1062+V1071)/(U1062+U1071))^$F1080</f>
        <v/>
      </c>
      <c r="W1080" s="44">
        <f>V1080*$G1080*(1+W$7)^$D1080*(W1062/V1062)^$E1080*((W1062+W1071)/(V1062+V1071))^$F1080</f>
        <v/>
      </c>
      <c r="X1080" s="44">
        <f>W1080*$G1080*(1+X$7)^$D1080*(X1062/W1062)^$E1080*((X1062+X1071)/(W1062+W1071))^$F1080</f>
        <v/>
      </c>
      <c r="Y1080" s="44">
        <f>X1080*$G1080*(1+Y$7)^$D1080*(Y1062/X1062)^$E1080*((Y1062+Y1071)/(X1062+X1071))^$F1080</f>
        <v/>
      </c>
      <c r="Z1080" s="44">
        <f>Y1080*$G1080*(1+Z$7)^$D1080*(Z1062/Y1062)^$E1080*((Z1062+Z1071)/(Y1062+Y1071))^$F1080</f>
        <v/>
      </c>
      <c r="AA1080" s="44">
        <f>Z1080*$G1080*(1+AA$7)^$D1080*(AA1062/Z1062)^$E1080*((AA1062+AA1071)/(Z1062+Z1071))^$F1080</f>
        <v/>
      </c>
      <c r="AB1080" s="44">
        <f>AA1080*$G1080*(1+AB$7)^$D1080*(AB1062/AA1062)^$E1080*((AB1062+AB1071)/(AA1062+AA1071))^$F1080</f>
        <v/>
      </c>
      <c r="AC1080" s="44">
        <f>AB1080*$G1080*(1+AC$7)^$D1080*(AC1062/AB1062)^$E1080*((AC1062+AC1071)/(AB1062+AB1071))^$F1080</f>
        <v/>
      </c>
      <c r="AD1080" s="44">
        <f>AC1080*$G1080*(1+AD$7)^$D1080*(AD1062/AC1062)^$E1080*((AD1062+AD1071)/(AC1062+AC1071))^$F1080</f>
        <v/>
      </c>
      <c r="AE1080" s="57">
        <f>FUELUSE(AD1080,AE1062,AD1062,AE1071,AD1071,AE$7,$D1080,$E1080,$F1080,$G1080)</f>
        <v/>
      </c>
      <c r="AG1080" s="11">
        <f>CodePrefix&amp;$A1080&amp;IF($C1080="","","."&amp;$C1080&amp;"."&amp;$B1080)&amp;INDEX(VarEnd,MATCH($A1080,VarKey,0))&amp;AG$5</f>
        <v/>
      </c>
      <c r="AH1080" s="43">
        <f>INDEX(Inputs!$X$5:$X$132,MATCH($B1080&amp;"|"&amp;$C1080,Inputs!$A$5:$A$132,0))</f>
        <v/>
      </c>
      <c r="AI1080" s="44">
        <f>AH1080*$G1080*(1+AI$7)^$D1080*(AI1062/AH1062)^$E1080*((AI1062+AI1071)/(AH1062+AH1071))^$F1080</f>
        <v/>
      </c>
      <c r="AJ1080" s="44">
        <f>AI1080*$G1080*(1+AJ$7)^$D1080*(AJ1062/AI1062)^$E1080*((AJ1062+AJ1071)/(AI1062+AI1071))^$F1080</f>
        <v/>
      </c>
      <c r="AK1080" s="44">
        <f>AJ1080*$G1080*(1+AK$7)^$D1080*(AK1062/AJ1062)^$E1080*((AK1062+AK1071)/(AJ1062+AJ1071))^$F1080</f>
        <v/>
      </c>
      <c r="AL1080" s="44">
        <f>AK1080*$G1080*(1+AL$7)^$D1080*(AL1062/AK1062)^$E1080*((AL1062+AL1071)/(AK1062+AK1071))^$F1080</f>
        <v/>
      </c>
      <c r="AM1080" s="44">
        <f>AL1080*$G1080*(1+AM$7)^$D1080*(AM1062/AL1062)^$E1080*((AM1062+AM1071)/(AL1062+AL1071))^$F1080</f>
        <v/>
      </c>
      <c r="AN1080" s="44">
        <f>AM1080*$G1080*(1+AN$7)^$D1080*(AN1062/AM1062)^$E1080*((AN1062+AN1071)/(AM1062+AM1071))^$F1080</f>
        <v/>
      </c>
      <c r="AO1080" s="44">
        <f>AN1080*$G1080*(1+AO$7)^$D1080*(AO1062/AN1062)^$E1080*((AO1062+AO1071)/(AN1062+AN1071))^$F1080</f>
        <v/>
      </c>
      <c r="AP1080" s="44">
        <f>AO1080*$G1080*(1+AP$7)^$D1080*(AP1062/AO1062)^$E1080*((AP1062+AP1071)/(AO1062+AO1071))^$F1080</f>
        <v/>
      </c>
      <c r="AQ1080" s="44">
        <f>AP1080*$G1080*(1+AQ$7)^$D1080*(AQ1062/AP1062)^$E1080*((AQ1062+AQ1071)/(AP1062+AP1071))^$F1080</f>
        <v/>
      </c>
      <c r="AR1080" s="44">
        <f>AQ1080*$G1080*(1+AR$7)^$D1080*(AR1062/AQ1062)^$E1080*((AR1062+AR1071)/(AQ1062+AQ1071))^$F1080</f>
        <v/>
      </c>
      <c r="AS1080" s="44">
        <f>AR1080*$G1080*(1+AS$7)^$D1080*(AS1062/AR1062)^$E1080*((AS1062+AS1071)/(AR1062+AR1071))^$F1080</f>
        <v/>
      </c>
      <c r="AT1080" s="44">
        <f>AS1080*$G1080*(1+AT$7)^$D1080*(AT1062/AS1062)^$E1080*((AT1062+AT1071)/(AS1062+AS1071))^$F1080</f>
        <v/>
      </c>
      <c r="AU1080" s="44">
        <f>AT1080*$G1080*(1+AU$7)^$D1080*(AU1062/AT1062)^$E1080*((AU1062+AU1071)/(AT1062+AT1071))^$F1080</f>
        <v/>
      </c>
      <c r="AV1080" s="44">
        <f>AU1080*$G1080*(1+AV$7)^$D1080*(AV1062/AU1062)^$E1080*((AV1062+AV1071)/(AU1062+AU1071))^$F1080</f>
        <v/>
      </c>
      <c r="AW1080" s="44">
        <f>AV1080*$G1080*(1+AW$7)^$D1080*(AW1062/AV1062)^$E1080*((AW1062+AW1071)/(AV1062+AV1071))^$F1080</f>
        <v/>
      </c>
      <c r="AX1080" s="44">
        <f>AW1080*$G1080*(1+AX$7)^$D1080*(AX1062/AW1062)^$E1080*((AX1062+AX1071)/(AW1062+AW1071))^$F1080</f>
        <v/>
      </c>
      <c r="AY1080" s="44">
        <f>AX1080*$G1080*(1+AY$7)^$D1080*(AY1062/AX1062)^$E1080*((AY1062+AY1071)/(AX1062+AX1071))^$F1080</f>
        <v/>
      </c>
      <c r="AZ1080" s="44">
        <f>AY1080*$G1080*(1+AZ$7)^$D1080*(AZ1062/AY1062)^$E1080*((AZ1062+AZ1071)/(AY1062+AY1071))^$F1080</f>
        <v/>
      </c>
      <c r="BA1080" s="57">
        <f>FUELUSE(AZ1080,BA1062,AZ1062,BA1071,AZ1071,BA$7,$D1080,$E1080,$F1080,$G1080)</f>
        <v/>
      </c>
    </row>
    <row r="1081" hidden="1" outlineLevel="2">
      <c r="A1081" s="14" t="inlineStr">
        <is>
          <t>ener</t>
        </is>
      </c>
      <c r="B1081" s="14" t="inlineStr">
        <is>
          <t>gso</t>
        </is>
      </c>
      <c r="C1081" s="14" t="inlineStr">
        <is>
          <t>rod</t>
        </is>
      </c>
      <c r="D1081" s="35">
        <f>INDEX(Inputs!$O$5:$O$132,MATCH($B1081&amp;"|"&amp;$C1081,Inputs!$A$5:$A$132,0))</f>
        <v/>
      </c>
      <c r="E1081" s="35">
        <f>INDEX(Inputs!$P$5:$P$132,MATCH($B1081&amp;"|"&amp;$C1081,Inputs!$A$5:$A$132,0))</f>
        <v/>
      </c>
      <c r="F1081" s="35">
        <f>INDEX(Inputs!$T$5:$T$132,MATCH($B1081&amp;"|"&amp;$C1081,Inputs!$A$5:$A$132,0))</f>
        <v/>
      </c>
      <c r="G1081" s="35">
        <f>INDEX(Inputs!$S$5:$S$132,MATCH($B1081&amp;"|"&amp;$C1081,Inputs!$A$5:$A$132,0))</f>
        <v/>
      </c>
      <c r="H1081" s="14">
        <f>INDEX(VarLab,MATCH($A1081,VarKey,0))&amp;INDEX(MemLab,MATCH($C1081&amp;"|"&amp;$B1081,MemKey,0))</f>
        <v/>
      </c>
      <c r="I1081" s="14">
        <f>INDEX(VarUnit,MATCH($A1081,VarKey,0))</f>
        <v/>
      </c>
      <c r="J1081" s="14">
        <f>INDEX(VarSrc,MATCH($A1081,VarKey,0))</f>
        <v/>
      </c>
      <c r="K1081" s="11">
        <f>CodePrefix&amp;$A1081&amp;IF($C1081="","","."&amp;$C1081&amp;"."&amp;$B1081)&amp;INDEX(VarEnd,MATCH($A1081,VarKey,0))&amp;K$5</f>
        <v/>
      </c>
      <c r="L1081" s="43">
        <f>INDEX(Inputs!$X$5:$X$132,MATCH($B1081&amp;"|"&amp;$C1081,Inputs!$A$5:$A$132,0))</f>
        <v/>
      </c>
      <c r="M1081" s="44">
        <f>L1081*$G1081*(1+M$7)^$D1081*(M1063/L1063)^$E1081*((M1063+M1072)/(L1063+L1072))^$F1081</f>
        <v/>
      </c>
      <c r="N1081" s="44">
        <f>M1081*$G1081*(1+N$7)^$D1081*(N1063/M1063)^$E1081*((N1063+N1072)/(M1063+M1072))^$F1081</f>
        <v/>
      </c>
      <c r="O1081" s="44">
        <f>N1081*$G1081*(1+O$7)^$D1081*(O1063/N1063)^$E1081*((O1063+O1072)/(N1063+N1072))^$F1081</f>
        <v/>
      </c>
      <c r="P1081" s="44">
        <f>O1081*$G1081*(1+P$7)^$D1081*(P1063/O1063)^$E1081*((P1063+P1072)/(O1063+O1072))^$F1081</f>
        <v/>
      </c>
      <c r="Q1081" s="44">
        <f>P1081*$G1081*(1+Q$7)^$D1081*(Q1063/P1063)^$E1081*((Q1063+Q1072)/(P1063+P1072))^$F1081</f>
        <v/>
      </c>
      <c r="R1081" s="44">
        <f>Q1081*$G1081*(1+R$7)^$D1081*(R1063/Q1063)^$E1081*((R1063+R1072)/(Q1063+Q1072))^$F1081</f>
        <v/>
      </c>
      <c r="S1081" s="44">
        <f>R1081*$G1081*(1+S$7)^$D1081*(S1063/R1063)^$E1081*((S1063+S1072)/(R1063+R1072))^$F1081</f>
        <v/>
      </c>
      <c r="T1081" s="44">
        <f>S1081*$G1081*(1+T$7)^$D1081*(T1063/S1063)^$E1081*((T1063+T1072)/(S1063+S1072))^$F1081</f>
        <v/>
      </c>
      <c r="U1081" s="44">
        <f>T1081*$G1081*(1+U$7)^$D1081*(U1063/T1063)^$E1081*((U1063+U1072)/(T1063+T1072))^$F1081</f>
        <v/>
      </c>
      <c r="V1081" s="44">
        <f>U1081*$G1081*(1+V$7)^$D1081*(V1063/U1063)^$E1081*((V1063+V1072)/(U1063+U1072))^$F1081</f>
        <v/>
      </c>
      <c r="W1081" s="44">
        <f>V1081*$G1081*(1+W$7)^$D1081*(W1063/V1063)^$E1081*((W1063+W1072)/(V1063+V1072))^$F1081</f>
        <v/>
      </c>
      <c r="X1081" s="44">
        <f>W1081*$G1081*(1+X$7)^$D1081*(X1063/W1063)^$E1081*((X1063+X1072)/(W1063+W1072))^$F1081</f>
        <v/>
      </c>
      <c r="Y1081" s="44">
        <f>X1081*$G1081*(1+Y$7)^$D1081*(Y1063/X1063)^$E1081*((Y1063+Y1072)/(X1063+X1072))^$F1081</f>
        <v/>
      </c>
      <c r="Z1081" s="44">
        <f>Y1081*$G1081*(1+Z$7)^$D1081*(Z1063/Y1063)^$E1081*((Z1063+Z1072)/(Y1063+Y1072))^$F1081</f>
        <v/>
      </c>
      <c r="AA1081" s="44">
        <f>Z1081*$G1081*(1+AA$7)^$D1081*(AA1063/Z1063)^$E1081*((AA1063+AA1072)/(Z1063+Z1072))^$F1081</f>
        <v/>
      </c>
      <c r="AB1081" s="44">
        <f>AA1081*$G1081*(1+AB$7)^$D1081*(AB1063/AA1063)^$E1081*((AB1063+AB1072)/(AA1063+AA1072))^$F1081</f>
        <v/>
      </c>
      <c r="AC1081" s="44">
        <f>AB1081*$G1081*(1+AC$7)^$D1081*(AC1063/AB1063)^$E1081*((AC1063+AC1072)/(AB1063+AB1072))^$F1081</f>
        <v/>
      </c>
      <c r="AD1081" s="44">
        <f>AC1081*$G1081*(1+AD$7)^$D1081*(AD1063/AC1063)^$E1081*((AD1063+AD1072)/(AC1063+AC1072))^$F1081</f>
        <v/>
      </c>
      <c r="AE1081" s="57">
        <f>FUELUSE(AD1081,AE1063,AD1063,AE1072,AD1072,AE$7,$D1081,$E1081,$F1081,$G1081)</f>
        <v/>
      </c>
      <c r="AG1081" s="11">
        <f>CodePrefix&amp;$A1081&amp;IF($C1081="","","."&amp;$C1081&amp;"."&amp;$B1081)&amp;INDEX(VarEnd,MATCH($A1081,VarKey,0))&amp;AG$5</f>
        <v/>
      </c>
      <c r="AH1081" s="43">
        <f>INDEX(Inputs!$X$5:$X$132,MATCH($B1081&amp;"|"&amp;$C1081,Inputs!$A$5:$A$132,0))</f>
        <v/>
      </c>
      <c r="AI1081" s="44">
        <f>AH1081*$G1081*(1+AI$7)^$D1081*(AI1063/AH1063)^$E1081*((AI1063+AI1072)/(AH1063+AH1072))^$F1081</f>
        <v/>
      </c>
      <c r="AJ1081" s="44">
        <f>AI1081*$G1081*(1+AJ$7)^$D1081*(AJ1063/AI1063)^$E1081*((AJ1063+AJ1072)/(AI1063+AI1072))^$F1081</f>
        <v/>
      </c>
      <c r="AK1081" s="44">
        <f>AJ1081*$G1081*(1+AK$7)^$D1081*(AK1063/AJ1063)^$E1081*((AK1063+AK1072)/(AJ1063+AJ1072))^$F1081</f>
        <v/>
      </c>
      <c r="AL1081" s="44">
        <f>AK1081*$G1081*(1+AL$7)^$D1081*(AL1063/AK1063)^$E1081*((AL1063+AL1072)/(AK1063+AK1072))^$F1081</f>
        <v/>
      </c>
      <c r="AM1081" s="44">
        <f>AL1081*$G1081*(1+AM$7)^$D1081*(AM1063/AL1063)^$E1081*((AM1063+AM1072)/(AL1063+AL1072))^$F1081</f>
        <v/>
      </c>
      <c r="AN1081" s="44">
        <f>AM1081*$G1081*(1+AN$7)^$D1081*(AN1063/AM1063)^$E1081*((AN1063+AN1072)/(AM1063+AM1072))^$F1081</f>
        <v/>
      </c>
      <c r="AO1081" s="44">
        <f>AN1081*$G1081*(1+AO$7)^$D1081*(AO1063/AN1063)^$E1081*((AO1063+AO1072)/(AN1063+AN1072))^$F1081</f>
        <v/>
      </c>
      <c r="AP1081" s="44">
        <f>AO1081*$G1081*(1+AP$7)^$D1081*(AP1063/AO1063)^$E1081*((AP1063+AP1072)/(AO1063+AO1072))^$F1081</f>
        <v/>
      </c>
      <c r="AQ1081" s="44">
        <f>AP1081*$G1081*(1+AQ$7)^$D1081*(AQ1063/AP1063)^$E1081*((AQ1063+AQ1072)/(AP1063+AP1072))^$F1081</f>
        <v/>
      </c>
      <c r="AR1081" s="44">
        <f>AQ1081*$G1081*(1+AR$7)^$D1081*(AR1063/AQ1063)^$E1081*((AR1063+AR1072)/(AQ1063+AQ1072))^$F1081</f>
        <v/>
      </c>
      <c r="AS1081" s="44">
        <f>AR1081*$G1081*(1+AS$7)^$D1081*(AS1063/AR1063)^$E1081*((AS1063+AS1072)/(AR1063+AR1072))^$F1081</f>
        <v/>
      </c>
      <c r="AT1081" s="44">
        <f>AS1081*$G1081*(1+AT$7)^$D1081*(AT1063/AS1063)^$E1081*((AT1063+AT1072)/(AS1063+AS1072))^$F1081</f>
        <v/>
      </c>
      <c r="AU1081" s="44">
        <f>AT1081*$G1081*(1+AU$7)^$D1081*(AU1063/AT1063)^$E1081*((AU1063+AU1072)/(AT1063+AT1072))^$F1081</f>
        <v/>
      </c>
      <c r="AV1081" s="44">
        <f>AU1081*$G1081*(1+AV$7)^$D1081*(AV1063/AU1063)^$E1081*((AV1063+AV1072)/(AU1063+AU1072))^$F1081</f>
        <v/>
      </c>
      <c r="AW1081" s="44">
        <f>AV1081*$G1081*(1+AW$7)^$D1081*(AW1063/AV1063)^$E1081*((AW1063+AW1072)/(AV1063+AV1072))^$F1081</f>
        <v/>
      </c>
      <c r="AX1081" s="44">
        <f>AW1081*$G1081*(1+AX$7)^$D1081*(AX1063/AW1063)^$E1081*((AX1063+AX1072)/(AW1063+AW1072))^$F1081</f>
        <v/>
      </c>
      <c r="AY1081" s="44">
        <f>AX1081*$G1081*(1+AY$7)^$D1081*(AY1063/AX1063)^$E1081*((AY1063+AY1072)/(AX1063+AX1072))^$F1081</f>
        <v/>
      </c>
      <c r="AZ1081" s="44">
        <f>AY1081*$G1081*(1+AZ$7)^$D1081*(AZ1063/AY1063)^$E1081*((AZ1063+AZ1072)/(AY1063+AY1072))^$F1081</f>
        <v/>
      </c>
      <c r="BA1081" s="57">
        <f>FUELUSE(AZ1081,BA1063,AZ1063,BA1072,AZ1072,BA$7,$D1081,$E1081,$F1081,$G1081)</f>
        <v/>
      </c>
    </row>
    <row r="1082" hidden="1" outlineLevel="2">
      <c r="A1082" s="14" t="inlineStr">
        <is>
          <t>ener</t>
        </is>
      </c>
      <c r="B1082" s="14" t="inlineStr">
        <is>
          <t>die</t>
        </is>
      </c>
      <c r="C1082" s="14" t="inlineStr">
        <is>
          <t>rod</t>
        </is>
      </c>
      <c r="D1082" s="35">
        <f>INDEX(Inputs!$O$5:$O$132,MATCH($B1082&amp;"|"&amp;$C1082,Inputs!$A$5:$A$132,0))</f>
        <v/>
      </c>
      <c r="E1082" s="35">
        <f>INDEX(Inputs!$P$5:$P$132,MATCH($B1082&amp;"|"&amp;$C1082,Inputs!$A$5:$A$132,0))</f>
        <v/>
      </c>
      <c r="F1082" s="35">
        <f>INDEX(Inputs!$T$5:$T$132,MATCH($B1082&amp;"|"&amp;$C1082,Inputs!$A$5:$A$132,0))</f>
        <v/>
      </c>
      <c r="G1082" s="35">
        <f>INDEX(Inputs!$S$5:$S$132,MATCH($B1082&amp;"|"&amp;$C1082,Inputs!$A$5:$A$132,0))</f>
        <v/>
      </c>
      <c r="H1082" s="14">
        <f>INDEX(VarLab,MATCH($A1082,VarKey,0))&amp;INDEX(MemLab,MATCH($C1082&amp;"|"&amp;$B1082,MemKey,0))</f>
        <v/>
      </c>
      <c r="I1082" s="14">
        <f>INDEX(VarUnit,MATCH($A1082,VarKey,0))</f>
        <v/>
      </c>
      <c r="J1082" s="14">
        <f>INDEX(VarSrc,MATCH($A1082,VarKey,0))</f>
        <v/>
      </c>
      <c r="K1082" s="11">
        <f>CodePrefix&amp;$A1082&amp;IF($C1082="","","."&amp;$C1082&amp;"."&amp;$B1082)&amp;INDEX(VarEnd,MATCH($A1082,VarKey,0))&amp;K$5</f>
        <v/>
      </c>
      <c r="L1082" s="43">
        <f>INDEX(Inputs!$X$5:$X$132,MATCH($B1082&amp;"|"&amp;$C1082,Inputs!$A$5:$A$132,0))</f>
        <v/>
      </c>
      <c r="M1082" s="44">
        <f>L1082*$G1082*(1+M$7)^$D1082*(M1064/L1064)^$E1082*((M1064+M1073)/(L1064+L1073))^$F1082</f>
        <v/>
      </c>
      <c r="N1082" s="44">
        <f>M1082*$G1082*(1+N$7)^$D1082*(N1064/M1064)^$E1082*((N1064+N1073)/(M1064+M1073))^$F1082</f>
        <v/>
      </c>
      <c r="O1082" s="44">
        <f>N1082*$G1082*(1+O$7)^$D1082*(O1064/N1064)^$E1082*((O1064+O1073)/(N1064+N1073))^$F1082</f>
        <v/>
      </c>
      <c r="P1082" s="44">
        <f>O1082*$G1082*(1+P$7)^$D1082*(P1064/O1064)^$E1082*((P1064+P1073)/(O1064+O1073))^$F1082</f>
        <v/>
      </c>
      <c r="Q1082" s="44">
        <f>P1082*$G1082*(1+Q$7)^$D1082*(Q1064/P1064)^$E1082*((Q1064+Q1073)/(P1064+P1073))^$F1082</f>
        <v/>
      </c>
      <c r="R1082" s="44">
        <f>Q1082*$G1082*(1+R$7)^$D1082*(R1064/Q1064)^$E1082*((R1064+R1073)/(Q1064+Q1073))^$F1082</f>
        <v/>
      </c>
      <c r="S1082" s="44">
        <f>R1082*$G1082*(1+S$7)^$D1082*(S1064/R1064)^$E1082*((S1064+S1073)/(R1064+R1073))^$F1082</f>
        <v/>
      </c>
      <c r="T1082" s="44">
        <f>S1082*$G1082*(1+T$7)^$D1082*(T1064/S1064)^$E1082*((T1064+T1073)/(S1064+S1073))^$F1082</f>
        <v/>
      </c>
      <c r="U1082" s="44">
        <f>T1082*$G1082*(1+U$7)^$D1082*(U1064/T1064)^$E1082*((U1064+U1073)/(T1064+T1073))^$F1082</f>
        <v/>
      </c>
      <c r="V1082" s="44">
        <f>U1082*$G1082*(1+V$7)^$D1082*(V1064/U1064)^$E1082*((V1064+V1073)/(U1064+U1073))^$F1082</f>
        <v/>
      </c>
      <c r="W1082" s="44">
        <f>V1082*$G1082*(1+W$7)^$D1082*(W1064/V1064)^$E1082*((W1064+W1073)/(V1064+V1073))^$F1082</f>
        <v/>
      </c>
      <c r="X1082" s="44">
        <f>W1082*$G1082*(1+X$7)^$D1082*(X1064/W1064)^$E1082*((X1064+X1073)/(W1064+W1073))^$F1082</f>
        <v/>
      </c>
      <c r="Y1082" s="44">
        <f>X1082*$G1082*(1+Y$7)^$D1082*(Y1064/X1064)^$E1082*((Y1064+Y1073)/(X1064+X1073))^$F1082</f>
        <v/>
      </c>
      <c r="Z1082" s="44">
        <f>Y1082*$G1082*(1+Z$7)^$D1082*(Z1064/Y1064)^$E1082*((Z1064+Z1073)/(Y1064+Y1073))^$F1082</f>
        <v/>
      </c>
      <c r="AA1082" s="44">
        <f>Z1082*$G1082*(1+AA$7)^$D1082*(AA1064/Z1064)^$E1082*((AA1064+AA1073)/(Z1064+Z1073))^$F1082</f>
        <v/>
      </c>
      <c r="AB1082" s="44">
        <f>AA1082*$G1082*(1+AB$7)^$D1082*(AB1064/AA1064)^$E1082*((AB1064+AB1073)/(AA1064+AA1073))^$F1082</f>
        <v/>
      </c>
      <c r="AC1082" s="44">
        <f>AB1082*$G1082*(1+AC$7)^$D1082*(AC1064/AB1064)^$E1082*((AC1064+AC1073)/(AB1064+AB1073))^$F1082</f>
        <v/>
      </c>
      <c r="AD1082" s="44">
        <f>AC1082*$G1082*(1+AD$7)^$D1082*(AD1064/AC1064)^$E1082*((AD1064+AD1073)/(AC1064+AC1073))^$F1082</f>
        <v/>
      </c>
      <c r="AE1082" s="57">
        <f>FUELUSE(AD1082,AE1064,AD1064,AE1073,AD1073,AE$7,$D1082,$E1082,$F1082,$G1082)</f>
        <v/>
      </c>
      <c r="AG1082" s="11">
        <f>CodePrefix&amp;$A1082&amp;IF($C1082="","","."&amp;$C1082&amp;"."&amp;$B1082)&amp;INDEX(VarEnd,MATCH($A1082,VarKey,0))&amp;AG$5</f>
        <v/>
      </c>
      <c r="AH1082" s="43">
        <f>INDEX(Inputs!$X$5:$X$132,MATCH($B1082&amp;"|"&amp;$C1082,Inputs!$A$5:$A$132,0))</f>
        <v/>
      </c>
      <c r="AI1082" s="44">
        <f>AH1082*$G1082*(1+AI$7)^$D1082*(AI1064/AH1064)^$E1082*((AI1064+AI1073)/(AH1064+AH1073))^$F1082</f>
        <v/>
      </c>
      <c r="AJ1082" s="44">
        <f>AI1082*$G1082*(1+AJ$7)^$D1082*(AJ1064/AI1064)^$E1082*((AJ1064+AJ1073)/(AI1064+AI1073))^$F1082</f>
        <v/>
      </c>
      <c r="AK1082" s="44">
        <f>AJ1082*$G1082*(1+AK$7)^$D1082*(AK1064/AJ1064)^$E1082*((AK1064+AK1073)/(AJ1064+AJ1073))^$F1082</f>
        <v/>
      </c>
      <c r="AL1082" s="44">
        <f>AK1082*$G1082*(1+AL$7)^$D1082*(AL1064/AK1064)^$E1082*((AL1064+AL1073)/(AK1064+AK1073))^$F1082</f>
        <v/>
      </c>
      <c r="AM1082" s="44">
        <f>AL1082*$G1082*(1+AM$7)^$D1082*(AM1064/AL1064)^$E1082*((AM1064+AM1073)/(AL1064+AL1073))^$F1082</f>
        <v/>
      </c>
      <c r="AN1082" s="44">
        <f>AM1082*$G1082*(1+AN$7)^$D1082*(AN1064/AM1064)^$E1082*((AN1064+AN1073)/(AM1064+AM1073))^$F1082</f>
        <v/>
      </c>
      <c r="AO1082" s="44">
        <f>AN1082*$G1082*(1+AO$7)^$D1082*(AO1064/AN1064)^$E1082*((AO1064+AO1073)/(AN1064+AN1073))^$F1082</f>
        <v/>
      </c>
      <c r="AP1082" s="44">
        <f>AO1082*$G1082*(1+AP$7)^$D1082*(AP1064/AO1064)^$E1082*((AP1064+AP1073)/(AO1064+AO1073))^$F1082</f>
        <v/>
      </c>
      <c r="AQ1082" s="44">
        <f>AP1082*$G1082*(1+AQ$7)^$D1082*(AQ1064/AP1064)^$E1082*((AQ1064+AQ1073)/(AP1064+AP1073))^$F1082</f>
        <v/>
      </c>
      <c r="AR1082" s="44">
        <f>AQ1082*$G1082*(1+AR$7)^$D1082*(AR1064/AQ1064)^$E1082*((AR1064+AR1073)/(AQ1064+AQ1073))^$F1082</f>
        <v/>
      </c>
      <c r="AS1082" s="44">
        <f>AR1082*$G1082*(1+AS$7)^$D1082*(AS1064/AR1064)^$E1082*((AS1064+AS1073)/(AR1064+AR1073))^$F1082</f>
        <v/>
      </c>
      <c r="AT1082" s="44">
        <f>AS1082*$G1082*(1+AT$7)^$D1082*(AT1064/AS1064)^$E1082*((AT1064+AT1073)/(AS1064+AS1073))^$F1082</f>
        <v/>
      </c>
      <c r="AU1082" s="44">
        <f>AT1082*$G1082*(1+AU$7)^$D1082*(AU1064/AT1064)^$E1082*((AU1064+AU1073)/(AT1064+AT1073))^$F1082</f>
        <v/>
      </c>
      <c r="AV1082" s="44">
        <f>AU1082*$G1082*(1+AV$7)^$D1082*(AV1064/AU1064)^$E1082*((AV1064+AV1073)/(AU1064+AU1073))^$F1082</f>
        <v/>
      </c>
      <c r="AW1082" s="44">
        <f>AV1082*$G1082*(1+AW$7)^$D1082*(AW1064/AV1064)^$E1082*((AW1064+AW1073)/(AV1064+AV1073))^$F1082</f>
        <v/>
      </c>
      <c r="AX1082" s="44">
        <f>AW1082*$G1082*(1+AX$7)^$D1082*(AX1064/AW1064)^$E1082*((AX1064+AX1073)/(AW1064+AW1073))^$F1082</f>
        <v/>
      </c>
      <c r="AY1082" s="44">
        <f>AX1082*$G1082*(1+AY$7)^$D1082*(AY1064/AX1064)^$E1082*((AY1064+AY1073)/(AX1064+AX1073))^$F1082</f>
        <v/>
      </c>
      <c r="AZ1082" s="44">
        <f>AY1082*$G1082*(1+AZ$7)^$D1082*(AZ1064/AY1064)^$E1082*((AZ1064+AZ1073)/(AY1064+AY1073))^$F1082</f>
        <v/>
      </c>
      <c r="BA1082" s="57">
        <f>FUELUSE(AZ1082,BA1064,AZ1064,BA1073,AZ1073,BA$7,$D1082,$E1082,$F1082,$G1082)</f>
        <v/>
      </c>
    </row>
    <row r="1083" hidden="1" outlineLevel="2">
      <c r="A1083" s="14" t="inlineStr">
        <is>
          <t>ener</t>
        </is>
      </c>
      <c r="B1083" s="14" t="inlineStr">
        <is>
          <t>lpg</t>
        </is>
      </c>
      <c r="C1083" s="14" t="inlineStr">
        <is>
          <t>rod</t>
        </is>
      </c>
      <c r="D1083" s="35">
        <f>INDEX(Inputs!$O$5:$O$132,MATCH($B1083&amp;"|"&amp;$C1083,Inputs!$A$5:$A$132,0))</f>
        <v/>
      </c>
      <c r="E1083" s="35">
        <f>INDEX(Inputs!$P$5:$P$132,MATCH($B1083&amp;"|"&amp;$C1083,Inputs!$A$5:$A$132,0))</f>
        <v/>
      </c>
      <c r="F1083" s="35">
        <f>INDEX(Inputs!$T$5:$T$132,MATCH($B1083&amp;"|"&amp;$C1083,Inputs!$A$5:$A$132,0))</f>
        <v/>
      </c>
      <c r="G1083" s="35">
        <f>INDEX(Inputs!$S$5:$S$132,MATCH($B1083&amp;"|"&amp;$C1083,Inputs!$A$5:$A$132,0))</f>
        <v/>
      </c>
      <c r="H1083" s="14">
        <f>INDEX(VarLab,MATCH($A1083,VarKey,0))&amp;INDEX(MemLab,MATCH($C1083&amp;"|"&amp;$B1083,MemKey,0))</f>
        <v/>
      </c>
      <c r="I1083" s="14">
        <f>INDEX(VarUnit,MATCH($A1083,VarKey,0))</f>
        <v/>
      </c>
      <c r="J1083" s="14">
        <f>INDEX(VarSrc,MATCH($A1083,VarKey,0))</f>
        <v/>
      </c>
      <c r="K1083" s="11">
        <f>CodePrefix&amp;$A1083&amp;IF($C1083="","","."&amp;$C1083&amp;"."&amp;$B1083)&amp;INDEX(VarEnd,MATCH($A1083,VarKey,0))&amp;K$5</f>
        <v/>
      </c>
      <c r="L1083" s="43">
        <f>INDEX(Inputs!$X$5:$X$132,MATCH($B1083&amp;"|"&amp;$C1083,Inputs!$A$5:$A$132,0))</f>
        <v/>
      </c>
      <c r="M1083" s="44">
        <f>L1083*$G1083*(1+M$7)^$D1083*(M1065/L1065)^$E1083*((M1065+M1074)/(L1065+L1074))^$F1083</f>
        <v/>
      </c>
      <c r="N1083" s="44">
        <f>M1083*$G1083*(1+N$7)^$D1083*(N1065/M1065)^$E1083*((N1065+N1074)/(M1065+M1074))^$F1083</f>
        <v/>
      </c>
      <c r="O1083" s="44">
        <f>N1083*$G1083*(1+O$7)^$D1083*(O1065/N1065)^$E1083*((O1065+O1074)/(N1065+N1074))^$F1083</f>
        <v/>
      </c>
      <c r="P1083" s="44">
        <f>O1083*$G1083*(1+P$7)^$D1083*(P1065/O1065)^$E1083*((P1065+P1074)/(O1065+O1074))^$F1083</f>
        <v/>
      </c>
      <c r="Q1083" s="44">
        <f>P1083*$G1083*(1+Q$7)^$D1083*(Q1065/P1065)^$E1083*((Q1065+Q1074)/(P1065+P1074))^$F1083</f>
        <v/>
      </c>
      <c r="R1083" s="44">
        <f>Q1083*$G1083*(1+R$7)^$D1083*(R1065/Q1065)^$E1083*((R1065+R1074)/(Q1065+Q1074))^$F1083</f>
        <v/>
      </c>
      <c r="S1083" s="44">
        <f>R1083*$G1083*(1+S$7)^$D1083*(S1065/R1065)^$E1083*((S1065+S1074)/(R1065+R1074))^$F1083</f>
        <v/>
      </c>
      <c r="T1083" s="44">
        <f>S1083*$G1083*(1+T$7)^$D1083*(T1065/S1065)^$E1083*((T1065+T1074)/(S1065+S1074))^$F1083</f>
        <v/>
      </c>
      <c r="U1083" s="44">
        <f>T1083*$G1083*(1+U$7)^$D1083*(U1065/T1065)^$E1083*((U1065+U1074)/(T1065+T1074))^$F1083</f>
        <v/>
      </c>
      <c r="V1083" s="44">
        <f>U1083*$G1083*(1+V$7)^$D1083*(V1065/U1065)^$E1083*((V1065+V1074)/(U1065+U1074))^$F1083</f>
        <v/>
      </c>
      <c r="W1083" s="44">
        <f>V1083*$G1083*(1+W$7)^$D1083*(W1065/V1065)^$E1083*((W1065+W1074)/(V1065+V1074))^$F1083</f>
        <v/>
      </c>
      <c r="X1083" s="44">
        <f>W1083*$G1083*(1+X$7)^$D1083*(X1065/W1065)^$E1083*((X1065+X1074)/(W1065+W1074))^$F1083</f>
        <v/>
      </c>
      <c r="Y1083" s="44">
        <f>X1083*$G1083*(1+Y$7)^$D1083*(Y1065/X1065)^$E1083*((Y1065+Y1074)/(X1065+X1074))^$F1083</f>
        <v/>
      </c>
      <c r="Z1083" s="44">
        <f>Y1083*$G1083*(1+Z$7)^$D1083*(Z1065/Y1065)^$E1083*((Z1065+Z1074)/(Y1065+Y1074))^$F1083</f>
        <v/>
      </c>
      <c r="AA1083" s="44">
        <f>Z1083*$G1083*(1+AA$7)^$D1083*(AA1065/Z1065)^$E1083*((AA1065+AA1074)/(Z1065+Z1074))^$F1083</f>
        <v/>
      </c>
      <c r="AB1083" s="44">
        <f>AA1083*$G1083*(1+AB$7)^$D1083*(AB1065/AA1065)^$E1083*((AB1065+AB1074)/(AA1065+AA1074))^$F1083</f>
        <v/>
      </c>
      <c r="AC1083" s="44">
        <f>AB1083*$G1083*(1+AC$7)^$D1083*(AC1065/AB1065)^$E1083*((AC1065+AC1074)/(AB1065+AB1074))^$F1083</f>
        <v/>
      </c>
      <c r="AD1083" s="44">
        <f>AC1083*$G1083*(1+AD$7)^$D1083*(AD1065/AC1065)^$E1083*((AD1065+AD1074)/(AC1065+AC1074))^$F1083</f>
        <v/>
      </c>
      <c r="AE1083" s="57">
        <f>FUELUSE(AD1083,AE1065,AD1065,AE1074,AD1074,AE$7,$D1083,$E1083,$F1083,$G1083)</f>
        <v/>
      </c>
      <c r="AG1083" s="11">
        <f>CodePrefix&amp;$A1083&amp;IF($C1083="","","."&amp;$C1083&amp;"."&amp;$B1083)&amp;INDEX(VarEnd,MATCH($A1083,VarKey,0))&amp;AG$5</f>
        <v/>
      </c>
      <c r="AH1083" s="43">
        <f>INDEX(Inputs!$X$5:$X$132,MATCH($B1083&amp;"|"&amp;$C1083,Inputs!$A$5:$A$132,0))</f>
        <v/>
      </c>
      <c r="AI1083" s="44">
        <f>AH1083*$G1083*(1+AI$7)^$D1083*(AI1065/AH1065)^$E1083*((AI1065+AI1074)/(AH1065+AH1074))^$F1083</f>
        <v/>
      </c>
      <c r="AJ1083" s="44">
        <f>AI1083*$G1083*(1+AJ$7)^$D1083*(AJ1065/AI1065)^$E1083*((AJ1065+AJ1074)/(AI1065+AI1074))^$F1083</f>
        <v/>
      </c>
      <c r="AK1083" s="44">
        <f>AJ1083*$G1083*(1+AK$7)^$D1083*(AK1065/AJ1065)^$E1083*((AK1065+AK1074)/(AJ1065+AJ1074))^$F1083</f>
        <v/>
      </c>
      <c r="AL1083" s="44">
        <f>AK1083*$G1083*(1+AL$7)^$D1083*(AL1065/AK1065)^$E1083*((AL1065+AL1074)/(AK1065+AK1074))^$F1083</f>
        <v/>
      </c>
      <c r="AM1083" s="44">
        <f>AL1083*$G1083*(1+AM$7)^$D1083*(AM1065/AL1065)^$E1083*((AM1065+AM1074)/(AL1065+AL1074))^$F1083</f>
        <v/>
      </c>
      <c r="AN1083" s="44">
        <f>AM1083*$G1083*(1+AN$7)^$D1083*(AN1065/AM1065)^$E1083*((AN1065+AN1074)/(AM1065+AM1074))^$F1083</f>
        <v/>
      </c>
      <c r="AO1083" s="44">
        <f>AN1083*$G1083*(1+AO$7)^$D1083*(AO1065/AN1065)^$E1083*((AO1065+AO1074)/(AN1065+AN1074))^$F1083</f>
        <v/>
      </c>
      <c r="AP1083" s="44">
        <f>AO1083*$G1083*(1+AP$7)^$D1083*(AP1065/AO1065)^$E1083*((AP1065+AP1074)/(AO1065+AO1074))^$F1083</f>
        <v/>
      </c>
      <c r="AQ1083" s="44">
        <f>AP1083*$G1083*(1+AQ$7)^$D1083*(AQ1065/AP1065)^$E1083*((AQ1065+AQ1074)/(AP1065+AP1074))^$F1083</f>
        <v/>
      </c>
      <c r="AR1083" s="44">
        <f>AQ1083*$G1083*(1+AR$7)^$D1083*(AR1065/AQ1065)^$E1083*((AR1065+AR1074)/(AQ1065+AQ1074))^$F1083</f>
        <v/>
      </c>
      <c r="AS1083" s="44">
        <f>AR1083*$G1083*(1+AS$7)^$D1083*(AS1065/AR1065)^$E1083*((AS1065+AS1074)/(AR1065+AR1074))^$F1083</f>
        <v/>
      </c>
      <c r="AT1083" s="44">
        <f>AS1083*$G1083*(1+AT$7)^$D1083*(AT1065/AS1065)^$E1083*((AT1065+AT1074)/(AS1065+AS1074))^$F1083</f>
        <v/>
      </c>
      <c r="AU1083" s="44">
        <f>AT1083*$G1083*(1+AU$7)^$D1083*(AU1065/AT1065)^$E1083*((AU1065+AU1074)/(AT1065+AT1074))^$F1083</f>
        <v/>
      </c>
      <c r="AV1083" s="44">
        <f>AU1083*$G1083*(1+AV$7)^$D1083*(AV1065/AU1065)^$E1083*((AV1065+AV1074)/(AU1065+AU1074))^$F1083</f>
        <v/>
      </c>
      <c r="AW1083" s="44">
        <f>AV1083*$G1083*(1+AW$7)^$D1083*(AW1065/AV1065)^$E1083*((AW1065+AW1074)/(AV1065+AV1074))^$F1083</f>
        <v/>
      </c>
      <c r="AX1083" s="44">
        <f>AW1083*$G1083*(1+AX$7)^$D1083*(AX1065/AW1065)^$E1083*((AX1065+AX1074)/(AW1065+AW1074))^$F1083</f>
        <v/>
      </c>
      <c r="AY1083" s="44">
        <f>AX1083*$G1083*(1+AY$7)^$D1083*(AY1065/AX1065)^$E1083*((AY1065+AY1074)/(AX1065+AX1074))^$F1083</f>
        <v/>
      </c>
      <c r="AZ1083" s="44">
        <f>AY1083*$G1083*(1+AZ$7)^$D1083*(AZ1065/AY1065)^$E1083*((AZ1065+AZ1074)/(AY1065+AY1074))^$F1083</f>
        <v/>
      </c>
      <c r="BA1083" s="57">
        <f>FUELUSE(AZ1083,BA1065,AZ1065,BA1074,AZ1074,BA$7,$D1083,$E1083,$F1083,$G1083)</f>
        <v/>
      </c>
    </row>
    <row r="1084" hidden="1" outlineLevel="2">
      <c r="A1084" s="14" t="inlineStr">
        <is>
          <t>ener</t>
        </is>
      </c>
      <c r="B1084" s="14" t="inlineStr">
        <is>
          <t>ker</t>
        </is>
      </c>
      <c r="C1084" s="14" t="inlineStr">
        <is>
          <t>rod</t>
        </is>
      </c>
      <c r="D1084" s="35">
        <f>INDEX(Inputs!$O$5:$O$132,MATCH($B1084&amp;"|"&amp;$C1084,Inputs!$A$5:$A$132,0))</f>
        <v/>
      </c>
      <c r="E1084" s="35">
        <f>INDEX(Inputs!$P$5:$P$132,MATCH($B1084&amp;"|"&amp;$C1084,Inputs!$A$5:$A$132,0))</f>
        <v/>
      </c>
      <c r="F1084" s="35">
        <f>INDEX(Inputs!$T$5:$T$132,MATCH($B1084&amp;"|"&amp;$C1084,Inputs!$A$5:$A$132,0))</f>
        <v/>
      </c>
      <c r="G1084" s="35">
        <f>INDEX(Inputs!$S$5:$S$132,MATCH($B1084&amp;"|"&amp;$C1084,Inputs!$A$5:$A$132,0))</f>
        <v/>
      </c>
      <c r="H1084" s="14">
        <f>INDEX(VarLab,MATCH($A1084,VarKey,0))&amp;INDEX(MemLab,MATCH($C1084&amp;"|"&amp;$B1084,MemKey,0))</f>
        <v/>
      </c>
      <c r="I1084" s="14">
        <f>INDEX(VarUnit,MATCH($A1084,VarKey,0))</f>
        <v/>
      </c>
      <c r="J1084" s="14">
        <f>INDEX(VarSrc,MATCH($A1084,VarKey,0))</f>
        <v/>
      </c>
      <c r="K1084" s="11">
        <f>CodePrefix&amp;$A1084&amp;IF($C1084="","","."&amp;$C1084&amp;"."&amp;$B1084)&amp;INDEX(VarEnd,MATCH($A1084,VarKey,0))&amp;K$5</f>
        <v/>
      </c>
      <c r="L1084" s="43">
        <f>INDEX(Inputs!$X$5:$X$132,MATCH($B1084&amp;"|"&amp;$C1084,Inputs!$A$5:$A$132,0))</f>
        <v/>
      </c>
      <c r="M1084" s="44">
        <f>L1084*$G1084*(1+M$7)^$D1084*(M1066/L1066)^$E1084*((M1066+M1075)/(L1066+L1075))^$F1084</f>
        <v/>
      </c>
      <c r="N1084" s="44">
        <f>M1084*$G1084*(1+N$7)^$D1084*(N1066/M1066)^$E1084*((N1066+N1075)/(M1066+M1075))^$F1084</f>
        <v/>
      </c>
      <c r="O1084" s="44">
        <f>N1084*$G1084*(1+O$7)^$D1084*(O1066/N1066)^$E1084*((O1066+O1075)/(N1066+N1075))^$F1084</f>
        <v/>
      </c>
      <c r="P1084" s="44">
        <f>O1084*$G1084*(1+P$7)^$D1084*(P1066/O1066)^$E1084*((P1066+P1075)/(O1066+O1075))^$F1084</f>
        <v/>
      </c>
      <c r="Q1084" s="44">
        <f>P1084*$G1084*(1+Q$7)^$D1084*(Q1066/P1066)^$E1084*((Q1066+Q1075)/(P1066+P1075))^$F1084</f>
        <v/>
      </c>
      <c r="R1084" s="44">
        <f>Q1084*$G1084*(1+R$7)^$D1084*(R1066/Q1066)^$E1084*((R1066+R1075)/(Q1066+Q1075))^$F1084</f>
        <v/>
      </c>
      <c r="S1084" s="44">
        <f>R1084*$G1084*(1+S$7)^$D1084*(S1066/R1066)^$E1084*((S1066+S1075)/(R1066+R1075))^$F1084</f>
        <v/>
      </c>
      <c r="T1084" s="44">
        <f>S1084*$G1084*(1+T$7)^$D1084*(T1066/S1066)^$E1084*((T1066+T1075)/(S1066+S1075))^$F1084</f>
        <v/>
      </c>
      <c r="U1084" s="44">
        <f>T1084*$G1084*(1+U$7)^$D1084*(U1066/T1066)^$E1084*((U1066+U1075)/(T1066+T1075))^$F1084</f>
        <v/>
      </c>
      <c r="V1084" s="44">
        <f>U1084*$G1084*(1+V$7)^$D1084*(V1066/U1066)^$E1084*((V1066+V1075)/(U1066+U1075))^$F1084</f>
        <v/>
      </c>
      <c r="W1084" s="44">
        <f>V1084*$G1084*(1+W$7)^$D1084*(W1066/V1066)^$E1084*((W1066+W1075)/(V1066+V1075))^$F1084</f>
        <v/>
      </c>
      <c r="X1084" s="44">
        <f>W1084*$G1084*(1+X$7)^$D1084*(X1066/W1066)^$E1084*((X1066+X1075)/(W1066+W1075))^$F1084</f>
        <v/>
      </c>
      <c r="Y1084" s="44">
        <f>X1084*$G1084*(1+Y$7)^$D1084*(Y1066/X1066)^$E1084*((Y1066+Y1075)/(X1066+X1075))^$F1084</f>
        <v/>
      </c>
      <c r="Z1084" s="44">
        <f>Y1084*$G1084*(1+Z$7)^$D1084*(Z1066/Y1066)^$E1084*((Z1066+Z1075)/(Y1066+Y1075))^$F1084</f>
        <v/>
      </c>
      <c r="AA1084" s="44">
        <f>Z1084*$G1084*(1+AA$7)^$D1084*(AA1066/Z1066)^$E1084*((AA1066+AA1075)/(Z1066+Z1075))^$F1084</f>
        <v/>
      </c>
      <c r="AB1084" s="44">
        <f>AA1084*$G1084*(1+AB$7)^$D1084*(AB1066/AA1066)^$E1084*((AB1066+AB1075)/(AA1066+AA1075))^$F1084</f>
        <v/>
      </c>
      <c r="AC1084" s="44">
        <f>AB1084*$G1084*(1+AC$7)^$D1084*(AC1066/AB1066)^$E1084*((AC1066+AC1075)/(AB1066+AB1075))^$F1084</f>
        <v/>
      </c>
      <c r="AD1084" s="44">
        <f>AC1084*$G1084*(1+AD$7)^$D1084*(AD1066/AC1066)^$E1084*((AD1066+AD1075)/(AC1066+AC1075))^$F1084</f>
        <v/>
      </c>
      <c r="AE1084" s="57">
        <f>FUELUSE(AD1084,AE1066,AD1066,AE1075,AD1075,AE$7,$D1084,$E1084,$F1084,$G1084)</f>
        <v/>
      </c>
      <c r="AG1084" s="11">
        <f>CodePrefix&amp;$A1084&amp;IF($C1084="","","."&amp;$C1084&amp;"."&amp;$B1084)&amp;INDEX(VarEnd,MATCH($A1084,VarKey,0))&amp;AG$5</f>
        <v/>
      </c>
      <c r="AH1084" s="43">
        <f>INDEX(Inputs!$X$5:$X$132,MATCH($B1084&amp;"|"&amp;$C1084,Inputs!$A$5:$A$132,0))</f>
        <v/>
      </c>
      <c r="AI1084" s="44">
        <f>AH1084*$G1084*(1+AI$7)^$D1084*(AI1066/AH1066)^$E1084*((AI1066+AI1075)/(AH1066+AH1075))^$F1084</f>
        <v/>
      </c>
      <c r="AJ1084" s="44">
        <f>AI1084*$G1084*(1+AJ$7)^$D1084*(AJ1066/AI1066)^$E1084*((AJ1066+AJ1075)/(AI1066+AI1075))^$F1084</f>
        <v/>
      </c>
      <c r="AK1084" s="44">
        <f>AJ1084*$G1084*(1+AK$7)^$D1084*(AK1066/AJ1066)^$E1084*((AK1066+AK1075)/(AJ1066+AJ1075))^$F1084</f>
        <v/>
      </c>
      <c r="AL1084" s="44">
        <f>AK1084*$G1084*(1+AL$7)^$D1084*(AL1066/AK1066)^$E1084*((AL1066+AL1075)/(AK1066+AK1075))^$F1084</f>
        <v/>
      </c>
      <c r="AM1084" s="44">
        <f>AL1084*$G1084*(1+AM$7)^$D1084*(AM1066/AL1066)^$E1084*((AM1066+AM1075)/(AL1066+AL1075))^$F1084</f>
        <v/>
      </c>
      <c r="AN1084" s="44">
        <f>AM1084*$G1084*(1+AN$7)^$D1084*(AN1066/AM1066)^$E1084*((AN1066+AN1075)/(AM1066+AM1075))^$F1084</f>
        <v/>
      </c>
      <c r="AO1084" s="44">
        <f>AN1084*$G1084*(1+AO$7)^$D1084*(AO1066/AN1066)^$E1084*((AO1066+AO1075)/(AN1066+AN1075))^$F1084</f>
        <v/>
      </c>
      <c r="AP1084" s="44">
        <f>AO1084*$G1084*(1+AP$7)^$D1084*(AP1066/AO1066)^$E1084*((AP1066+AP1075)/(AO1066+AO1075))^$F1084</f>
        <v/>
      </c>
      <c r="AQ1084" s="44">
        <f>AP1084*$G1084*(1+AQ$7)^$D1084*(AQ1066/AP1066)^$E1084*((AQ1066+AQ1075)/(AP1066+AP1075))^$F1084</f>
        <v/>
      </c>
      <c r="AR1084" s="44">
        <f>AQ1084*$G1084*(1+AR$7)^$D1084*(AR1066/AQ1066)^$E1084*((AR1066+AR1075)/(AQ1066+AQ1075))^$F1084</f>
        <v/>
      </c>
      <c r="AS1084" s="44">
        <f>AR1084*$G1084*(1+AS$7)^$D1084*(AS1066/AR1066)^$E1084*((AS1066+AS1075)/(AR1066+AR1075))^$F1084</f>
        <v/>
      </c>
      <c r="AT1084" s="44">
        <f>AS1084*$G1084*(1+AT$7)^$D1084*(AT1066/AS1066)^$E1084*((AT1066+AT1075)/(AS1066+AS1075))^$F1084</f>
        <v/>
      </c>
      <c r="AU1084" s="44">
        <f>AT1084*$G1084*(1+AU$7)^$D1084*(AU1066/AT1066)^$E1084*((AU1066+AU1075)/(AT1066+AT1075))^$F1084</f>
        <v/>
      </c>
      <c r="AV1084" s="44">
        <f>AU1084*$G1084*(1+AV$7)^$D1084*(AV1066/AU1066)^$E1084*((AV1066+AV1075)/(AU1066+AU1075))^$F1084</f>
        <v/>
      </c>
      <c r="AW1084" s="44">
        <f>AV1084*$G1084*(1+AW$7)^$D1084*(AW1066/AV1066)^$E1084*((AW1066+AW1075)/(AV1066+AV1075))^$F1084</f>
        <v/>
      </c>
      <c r="AX1084" s="44">
        <f>AW1084*$G1084*(1+AX$7)^$D1084*(AX1066/AW1066)^$E1084*((AX1066+AX1075)/(AW1066+AW1075))^$F1084</f>
        <v/>
      </c>
      <c r="AY1084" s="44">
        <f>AX1084*$G1084*(1+AY$7)^$D1084*(AY1066/AX1066)^$E1084*((AY1066+AY1075)/(AX1066+AX1075))^$F1084</f>
        <v/>
      </c>
      <c r="AZ1084" s="44">
        <f>AY1084*$G1084*(1+AZ$7)^$D1084*(AZ1066/AY1066)^$E1084*((AZ1066+AZ1075)/(AY1066+AY1075))^$F1084</f>
        <v/>
      </c>
      <c r="BA1084" s="57">
        <f>FUELUSE(AZ1084,BA1066,AZ1066,BA1075,AZ1075,BA$7,$D1084,$E1084,$F1084,$G1084)</f>
        <v/>
      </c>
    </row>
    <row r="1085" hidden="1" outlineLevel="2">
      <c r="A1085" s="14" t="inlineStr">
        <is>
          <t>ener</t>
        </is>
      </c>
      <c r="B1085" s="14" t="inlineStr">
        <is>
          <t>oop</t>
        </is>
      </c>
      <c r="C1085" s="14" t="inlineStr">
        <is>
          <t>rod</t>
        </is>
      </c>
      <c r="D1085" s="35">
        <f>INDEX(Inputs!$O$5:$O$132,MATCH($B1085&amp;"|"&amp;$C1085,Inputs!$A$5:$A$132,0))</f>
        <v/>
      </c>
      <c r="E1085" s="35">
        <f>INDEX(Inputs!$P$5:$P$132,MATCH($B1085&amp;"|"&amp;$C1085,Inputs!$A$5:$A$132,0))</f>
        <v/>
      </c>
      <c r="F1085" s="35">
        <f>INDEX(Inputs!$T$5:$T$132,MATCH($B1085&amp;"|"&amp;$C1085,Inputs!$A$5:$A$132,0))</f>
        <v/>
      </c>
      <c r="G1085" s="35">
        <f>INDEX(Inputs!$S$5:$S$132,MATCH($B1085&amp;"|"&amp;$C1085,Inputs!$A$5:$A$132,0))</f>
        <v/>
      </c>
      <c r="H1085" s="14">
        <f>INDEX(VarLab,MATCH($A1085,VarKey,0))&amp;INDEX(MemLab,MATCH($C1085&amp;"|"&amp;$B1085,MemKey,0))</f>
        <v/>
      </c>
      <c r="I1085" s="14">
        <f>INDEX(VarUnit,MATCH($A1085,VarKey,0))</f>
        <v/>
      </c>
      <c r="J1085" s="14">
        <f>INDEX(VarSrc,MATCH($A1085,VarKey,0))</f>
        <v/>
      </c>
      <c r="K1085" s="11">
        <f>CodePrefix&amp;$A1085&amp;IF($C1085="","","."&amp;$C1085&amp;"."&amp;$B1085)&amp;INDEX(VarEnd,MATCH($A1085,VarKey,0))&amp;K$5</f>
        <v/>
      </c>
      <c r="L1085" s="43">
        <f>INDEX(Inputs!$X$5:$X$132,MATCH($B1085&amp;"|"&amp;$C1085,Inputs!$A$5:$A$132,0))</f>
        <v/>
      </c>
      <c r="M1085" s="44">
        <f>L1085*$G1085*(1+M$7)^$D1085*(M1067/L1067)^$E1085*((M1067+M1076)/(L1067+L1076))^$F1085</f>
        <v/>
      </c>
      <c r="N1085" s="44">
        <f>M1085*$G1085*(1+N$7)^$D1085*(N1067/M1067)^$E1085*((N1067+N1076)/(M1067+M1076))^$F1085</f>
        <v/>
      </c>
      <c r="O1085" s="44">
        <f>N1085*$G1085*(1+O$7)^$D1085*(O1067/N1067)^$E1085*((O1067+O1076)/(N1067+N1076))^$F1085</f>
        <v/>
      </c>
      <c r="P1085" s="44">
        <f>O1085*$G1085*(1+P$7)^$D1085*(P1067/O1067)^$E1085*((P1067+P1076)/(O1067+O1076))^$F1085</f>
        <v/>
      </c>
      <c r="Q1085" s="44">
        <f>P1085*$G1085*(1+Q$7)^$D1085*(Q1067/P1067)^$E1085*((Q1067+Q1076)/(P1067+P1076))^$F1085</f>
        <v/>
      </c>
      <c r="R1085" s="44">
        <f>Q1085*$G1085*(1+R$7)^$D1085*(R1067/Q1067)^$E1085*((R1067+R1076)/(Q1067+Q1076))^$F1085</f>
        <v/>
      </c>
      <c r="S1085" s="44">
        <f>R1085*$G1085*(1+S$7)^$D1085*(S1067/R1067)^$E1085*((S1067+S1076)/(R1067+R1076))^$F1085</f>
        <v/>
      </c>
      <c r="T1085" s="44">
        <f>S1085*$G1085*(1+T$7)^$D1085*(T1067/S1067)^$E1085*((T1067+T1076)/(S1067+S1076))^$F1085</f>
        <v/>
      </c>
      <c r="U1085" s="44">
        <f>T1085*$G1085*(1+U$7)^$D1085*(U1067/T1067)^$E1085*((U1067+U1076)/(T1067+T1076))^$F1085</f>
        <v/>
      </c>
      <c r="V1085" s="44">
        <f>U1085*$G1085*(1+V$7)^$D1085*(V1067/U1067)^$E1085*((V1067+V1076)/(U1067+U1076))^$F1085</f>
        <v/>
      </c>
      <c r="W1085" s="44">
        <f>V1085*$G1085*(1+W$7)^$D1085*(W1067/V1067)^$E1085*((W1067+W1076)/(V1067+V1076))^$F1085</f>
        <v/>
      </c>
      <c r="X1085" s="44">
        <f>W1085*$G1085*(1+X$7)^$D1085*(X1067/W1067)^$E1085*((X1067+X1076)/(W1067+W1076))^$F1085</f>
        <v/>
      </c>
      <c r="Y1085" s="44">
        <f>X1085*$G1085*(1+Y$7)^$D1085*(Y1067/X1067)^$E1085*((Y1067+Y1076)/(X1067+X1076))^$F1085</f>
        <v/>
      </c>
      <c r="Z1085" s="44">
        <f>Y1085*$G1085*(1+Z$7)^$D1085*(Z1067/Y1067)^$E1085*((Z1067+Z1076)/(Y1067+Y1076))^$F1085</f>
        <v/>
      </c>
      <c r="AA1085" s="44">
        <f>Z1085*$G1085*(1+AA$7)^$D1085*(AA1067/Z1067)^$E1085*((AA1067+AA1076)/(Z1067+Z1076))^$F1085</f>
        <v/>
      </c>
      <c r="AB1085" s="44">
        <f>AA1085*$G1085*(1+AB$7)^$D1085*(AB1067/AA1067)^$E1085*((AB1067+AB1076)/(AA1067+AA1076))^$F1085</f>
        <v/>
      </c>
      <c r="AC1085" s="44">
        <f>AB1085*$G1085*(1+AC$7)^$D1085*(AC1067/AB1067)^$E1085*((AC1067+AC1076)/(AB1067+AB1076))^$F1085</f>
        <v/>
      </c>
      <c r="AD1085" s="44">
        <f>AC1085*$G1085*(1+AD$7)^$D1085*(AD1067/AC1067)^$E1085*((AD1067+AD1076)/(AC1067+AC1076))^$F1085</f>
        <v/>
      </c>
      <c r="AE1085" s="57">
        <f>FUELUSE(AD1085,AE1067,AD1067,AE1076,AD1076,AE$7,$D1085,$E1085,$F1085,$G1085)</f>
        <v/>
      </c>
      <c r="AG1085" s="11">
        <f>CodePrefix&amp;$A1085&amp;IF($C1085="","","."&amp;$C1085&amp;"."&amp;$B1085)&amp;INDEX(VarEnd,MATCH($A1085,VarKey,0))&amp;AG$5</f>
        <v/>
      </c>
      <c r="AH1085" s="43">
        <f>INDEX(Inputs!$X$5:$X$132,MATCH($B1085&amp;"|"&amp;$C1085,Inputs!$A$5:$A$132,0))</f>
        <v/>
      </c>
      <c r="AI1085" s="44">
        <f>AH1085*$G1085*(1+AI$7)^$D1085*(AI1067/AH1067)^$E1085*((AI1067+AI1076)/(AH1067+AH1076))^$F1085</f>
        <v/>
      </c>
      <c r="AJ1085" s="44">
        <f>AI1085*$G1085*(1+AJ$7)^$D1085*(AJ1067/AI1067)^$E1085*((AJ1067+AJ1076)/(AI1067+AI1076))^$F1085</f>
        <v/>
      </c>
      <c r="AK1085" s="44">
        <f>AJ1085*$G1085*(1+AK$7)^$D1085*(AK1067/AJ1067)^$E1085*((AK1067+AK1076)/(AJ1067+AJ1076))^$F1085</f>
        <v/>
      </c>
      <c r="AL1085" s="44">
        <f>AK1085*$G1085*(1+AL$7)^$D1085*(AL1067/AK1067)^$E1085*((AL1067+AL1076)/(AK1067+AK1076))^$F1085</f>
        <v/>
      </c>
      <c r="AM1085" s="44">
        <f>AL1085*$G1085*(1+AM$7)^$D1085*(AM1067/AL1067)^$E1085*((AM1067+AM1076)/(AL1067+AL1076))^$F1085</f>
        <v/>
      </c>
      <c r="AN1085" s="44">
        <f>AM1085*$G1085*(1+AN$7)^$D1085*(AN1067/AM1067)^$E1085*((AN1067+AN1076)/(AM1067+AM1076))^$F1085</f>
        <v/>
      </c>
      <c r="AO1085" s="44">
        <f>AN1085*$G1085*(1+AO$7)^$D1085*(AO1067/AN1067)^$E1085*((AO1067+AO1076)/(AN1067+AN1076))^$F1085</f>
        <v/>
      </c>
      <c r="AP1085" s="44">
        <f>AO1085*$G1085*(1+AP$7)^$D1085*(AP1067/AO1067)^$E1085*((AP1067+AP1076)/(AO1067+AO1076))^$F1085</f>
        <v/>
      </c>
      <c r="AQ1085" s="44">
        <f>AP1085*$G1085*(1+AQ$7)^$D1085*(AQ1067/AP1067)^$E1085*((AQ1067+AQ1076)/(AP1067+AP1076))^$F1085</f>
        <v/>
      </c>
      <c r="AR1085" s="44">
        <f>AQ1085*$G1085*(1+AR$7)^$D1085*(AR1067/AQ1067)^$E1085*((AR1067+AR1076)/(AQ1067+AQ1076))^$F1085</f>
        <v/>
      </c>
      <c r="AS1085" s="44">
        <f>AR1085*$G1085*(1+AS$7)^$D1085*(AS1067/AR1067)^$E1085*((AS1067+AS1076)/(AR1067+AR1076))^$F1085</f>
        <v/>
      </c>
      <c r="AT1085" s="44">
        <f>AS1085*$G1085*(1+AT$7)^$D1085*(AT1067/AS1067)^$E1085*((AT1067+AT1076)/(AS1067+AS1076))^$F1085</f>
        <v/>
      </c>
      <c r="AU1085" s="44">
        <f>AT1085*$G1085*(1+AU$7)^$D1085*(AU1067/AT1067)^$E1085*((AU1067+AU1076)/(AT1067+AT1076))^$F1085</f>
        <v/>
      </c>
      <c r="AV1085" s="44">
        <f>AU1085*$G1085*(1+AV$7)^$D1085*(AV1067/AU1067)^$E1085*((AV1067+AV1076)/(AU1067+AU1076))^$F1085</f>
        <v/>
      </c>
      <c r="AW1085" s="44">
        <f>AV1085*$G1085*(1+AW$7)^$D1085*(AW1067/AV1067)^$E1085*((AW1067+AW1076)/(AV1067+AV1076))^$F1085</f>
        <v/>
      </c>
      <c r="AX1085" s="44">
        <f>AW1085*$G1085*(1+AX$7)^$D1085*(AX1067/AW1067)^$E1085*((AX1067+AX1076)/(AW1067+AW1076))^$F1085</f>
        <v/>
      </c>
      <c r="AY1085" s="44">
        <f>AX1085*$G1085*(1+AY$7)^$D1085*(AY1067/AX1067)^$E1085*((AY1067+AY1076)/(AX1067+AX1076))^$F1085</f>
        <v/>
      </c>
      <c r="AZ1085" s="44">
        <f>AY1085*$G1085*(1+AZ$7)^$D1085*(AZ1067/AY1067)^$E1085*((AZ1067+AZ1076)/(AY1067+AY1076))^$F1085</f>
        <v/>
      </c>
      <c r="BA1085" s="57">
        <f>FUELUSE(AZ1085,BA1067,AZ1067,BA1076,AZ1076,BA$7,$D1085,$E1085,$F1085,$G1085)</f>
        <v/>
      </c>
    </row>
    <row r="1086" hidden="1" outlineLevel="2">
      <c r="A1086" s="14" t="inlineStr">
        <is>
          <t>ener</t>
        </is>
      </c>
      <c r="B1086" s="14" t="inlineStr">
        <is>
          <t>bio</t>
        </is>
      </c>
      <c r="C1086" s="14" t="inlineStr">
        <is>
          <t>rod</t>
        </is>
      </c>
      <c r="D1086" s="35">
        <f>INDEX(Inputs!$O$5:$O$132,MATCH($B1086&amp;"|"&amp;$C1086,Inputs!$A$5:$A$132,0))</f>
        <v/>
      </c>
      <c r="E1086" s="35">
        <f>INDEX(Inputs!$P$5:$P$132,MATCH($B1086&amp;"|"&amp;$C1086,Inputs!$A$5:$A$132,0))</f>
        <v/>
      </c>
      <c r="F1086" s="35">
        <f>INDEX(Inputs!$T$5:$T$132,MATCH($B1086&amp;"|"&amp;$C1086,Inputs!$A$5:$A$132,0))</f>
        <v/>
      </c>
      <c r="G1086" s="35">
        <f>INDEX(Inputs!$S$5:$S$132,MATCH($B1086&amp;"|"&amp;$C1086,Inputs!$A$5:$A$132,0))</f>
        <v/>
      </c>
      <c r="H1086" s="14">
        <f>INDEX(VarLab,MATCH($A1086,VarKey,0))&amp;INDEX(MemLab,MATCH($C1086&amp;"|"&amp;$B1086,MemKey,0))</f>
        <v/>
      </c>
      <c r="I1086" s="14">
        <f>INDEX(VarUnit,MATCH($A1086,VarKey,0))</f>
        <v/>
      </c>
      <c r="J1086" s="14">
        <f>INDEX(VarSrc,MATCH($A1086,VarKey,0))</f>
        <v/>
      </c>
      <c r="K1086" s="11">
        <f>CodePrefix&amp;$A1086&amp;IF($C1086="","","."&amp;$C1086&amp;"."&amp;$B1086)&amp;INDEX(VarEnd,MATCH($A1086,VarKey,0))&amp;K$5</f>
        <v/>
      </c>
      <c r="L1086" s="43">
        <f>INDEX(Inputs!$X$5:$X$132,MATCH($B1086&amp;"|"&amp;$C1086,Inputs!$A$5:$A$132,0))</f>
        <v/>
      </c>
      <c r="M1086" s="44">
        <f>L1086*$G1086*(1+M$7)^$D1086*(M1068/L1068)^$E1086*((M1068+M1077)/(L1068+L1077))^$F1086</f>
        <v/>
      </c>
      <c r="N1086" s="44">
        <f>M1086*$G1086*(1+N$7)^$D1086*(N1068/M1068)^$E1086*((N1068+N1077)/(M1068+M1077))^$F1086</f>
        <v/>
      </c>
      <c r="O1086" s="44">
        <f>N1086*$G1086*(1+O$7)^$D1086*(O1068/N1068)^$E1086*((O1068+O1077)/(N1068+N1077))^$F1086</f>
        <v/>
      </c>
      <c r="P1086" s="44">
        <f>O1086*$G1086*(1+P$7)^$D1086*(P1068/O1068)^$E1086*((P1068+P1077)/(O1068+O1077))^$F1086</f>
        <v/>
      </c>
      <c r="Q1086" s="44">
        <f>P1086*$G1086*(1+Q$7)^$D1086*(Q1068/P1068)^$E1086*((Q1068+Q1077)/(P1068+P1077))^$F1086</f>
        <v/>
      </c>
      <c r="R1086" s="44">
        <f>Q1086*$G1086*(1+R$7)^$D1086*(R1068/Q1068)^$E1086*((R1068+R1077)/(Q1068+Q1077))^$F1086</f>
        <v/>
      </c>
      <c r="S1086" s="44">
        <f>R1086*$G1086*(1+S$7)^$D1086*(S1068/R1068)^$E1086*((S1068+S1077)/(R1068+R1077))^$F1086</f>
        <v/>
      </c>
      <c r="T1086" s="44">
        <f>S1086*$G1086*(1+T$7)^$D1086*(T1068/S1068)^$E1086*((T1068+T1077)/(S1068+S1077))^$F1086</f>
        <v/>
      </c>
      <c r="U1086" s="44">
        <f>T1086*$G1086*(1+U$7)^$D1086*(U1068/T1068)^$E1086*((U1068+U1077)/(T1068+T1077))^$F1086</f>
        <v/>
      </c>
      <c r="V1086" s="44">
        <f>U1086*$G1086*(1+V$7)^$D1086*(V1068/U1068)^$E1086*((V1068+V1077)/(U1068+U1077))^$F1086</f>
        <v/>
      </c>
      <c r="W1086" s="44">
        <f>V1086*$G1086*(1+W$7)^$D1086*(W1068/V1068)^$E1086*((W1068+W1077)/(V1068+V1077))^$F1086</f>
        <v/>
      </c>
      <c r="X1086" s="44">
        <f>W1086*$G1086*(1+X$7)^$D1086*(X1068/W1068)^$E1086*((X1068+X1077)/(W1068+W1077))^$F1086</f>
        <v/>
      </c>
      <c r="Y1086" s="44">
        <f>X1086*$G1086*(1+Y$7)^$D1086*(Y1068/X1068)^$E1086*((Y1068+Y1077)/(X1068+X1077))^$F1086</f>
        <v/>
      </c>
      <c r="Z1086" s="44">
        <f>Y1086*$G1086*(1+Z$7)^$D1086*(Z1068/Y1068)^$E1086*((Z1068+Z1077)/(Y1068+Y1077))^$F1086</f>
        <v/>
      </c>
      <c r="AA1086" s="44">
        <f>Z1086*$G1086*(1+AA$7)^$D1086*(AA1068/Z1068)^$E1086*((AA1068+AA1077)/(Z1068+Z1077))^$F1086</f>
        <v/>
      </c>
      <c r="AB1086" s="44">
        <f>AA1086*$G1086*(1+AB$7)^$D1086*(AB1068/AA1068)^$E1086*((AB1068+AB1077)/(AA1068+AA1077))^$F1086</f>
        <v/>
      </c>
      <c r="AC1086" s="44">
        <f>AB1086*$G1086*(1+AC$7)^$D1086*(AC1068/AB1068)^$E1086*((AC1068+AC1077)/(AB1068+AB1077))^$F1086</f>
        <v/>
      </c>
      <c r="AD1086" s="44">
        <f>AC1086*$G1086*(1+AD$7)^$D1086*(AD1068/AC1068)^$E1086*((AD1068+AD1077)/(AC1068+AC1077))^$F1086</f>
        <v/>
      </c>
      <c r="AE1086" s="57">
        <f>FUELUSE(AD1086,AE1068,AD1068,AE1077,AD1077,AE$7,$D1086,$E1086,$F1086,$G1086)</f>
        <v/>
      </c>
      <c r="AG1086" s="11">
        <f>CodePrefix&amp;$A1086&amp;IF($C1086="","","."&amp;$C1086&amp;"."&amp;$B1086)&amp;INDEX(VarEnd,MATCH($A1086,VarKey,0))&amp;AG$5</f>
        <v/>
      </c>
      <c r="AH1086" s="43">
        <f>INDEX(Inputs!$X$5:$X$132,MATCH($B1086&amp;"|"&amp;$C1086,Inputs!$A$5:$A$132,0))</f>
        <v/>
      </c>
      <c r="AI1086" s="44">
        <f>AH1086*$G1086*(1+AI$7)^$D1086*(AI1068/AH1068)^$E1086*((AI1068+AI1077)/(AH1068+AH1077))^$F1086</f>
        <v/>
      </c>
      <c r="AJ1086" s="44">
        <f>AI1086*$G1086*(1+AJ$7)^$D1086*(AJ1068/AI1068)^$E1086*((AJ1068+AJ1077)/(AI1068+AI1077))^$F1086</f>
        <v/>
      </c>
      <c r="AK1086" s="44">
        <f>AJ1086*$G1086*(1+AK$7)^$D1086*(AK1068/AJ1068)^$E1086*((AK1068+AK1077)/(AJ1068+AJ1077))^$F1086</f>
        <v/>
      </c>
      <c r="AL1086" s="44">
        <f>AK1086*$G1086*(1+AL$7)^$D1086*(AL1068/AK1068)^$E1086*((AL1068+AL1077)/(AK1068+AK1077))^$F1086</f>
        <v/>
      </c>
      <c r="AM1086" s="44">
        <f>AL1086*$G1086*(1+AM$7)^$D1086*(AM1068/AL1068)^$E1086*((AM1068+AM1077)/(AL1068+AL1077))^$F1086</f>
        <v/>
      </c>
      <c r="AN1086" s="44">
        <f>AM1086*$G1086*(1+AN$7)^$D1086*(AN1068/AM1068)^$E1086*((AN1068+AN1077)/(AM1068+AM1077))^$F1086</f>
        <v/>
      </c>
      <c r="AO1086" s="44">
        <f>AN1086*$G1086*(1+AO$7)^$D1086*(AO1068/AN1068)^$E1086*((AO1068+AO1077)/(AN1068+AN1077))^$F1086</f>
        <v/>
      </c>
      <c r="AP1086" s="44">
        <f>AO1086*$G1086*(1+AP$7)^$D1086*(AP1068/AO1068)^$E1086*((AP1068+AP1077)/(AO1068+AO1077))^$F1086</f>
        <v/>
      </c>
      <c r="AQ1086" s="44">
        <f>AP1086*$G1086*(1+AQ$7)^$D1086*(AQ1068/AP1068)^$E1086*((AQ1068+AQ1077)/(AP1068+AP1077))^$F1086</f>
        <v/>
      </c>
      <c r="AR1086" s="44">
        <f>AQ1086*$G1086*(1+AR$7)^$D1086*(AR1068/AQ1068)^$E1086*((AR1068+AR1077)/(AQ1068+AQ1077))^$F1086</f>
        <v/>
      </c>
      <c r="AS1086" s="44">
        <f>AR1086*$G1086*(1+AS$7)^$D1086*(AS1068/AR1068)^$E1086*((AS1068+AS1077)/(AR1068+AR1077))^$F1086</f>
        <v/>
      </c>
      <c r="AT1086" s="44">
        <f>AS1086*$G1086*(1+AT$7)^$D1086*(AT1068/AS1068)^$E1086*((AT1068+AT1077)/(AS1068+AS1077))^$F1086</f>
        <v/>
      </c>
      <c r="AU1086" s="44">
        <f>AT1086*$G1086*(1+AU$7)^$D1086*(AU1068/AT1068)^$E1086*((AU1068+AU1077)/(AT1068+AT1077))^$F1086</f>
        <v/>
      </c>
      <c r="AV1086" s="44">
        <f>AU1086*$G1086*(1+AV$7)^$D1086*(AV1068/AU1068)^$E1086*((AV1068+AV1077)/(AU1068+AU1077))^$F1086</f>
        <v/>
      </c>
      <c r="AW1086" s="44">
        <f>AV1086*$G1086*(1+AW$7)^$D1086*(AW1068/AV1068)^$E1086*((AW1068+AW1077)/(AV1068+AV1077))^$F1086</f>
        <v/>
      </c>
      <c r="AX1086" s="44">
        <f>AW1086*$G1086*(1+AX$7)^$D1086*(AX1068/AW1068)^$E1086*((AX1068+AX1077)/(AW1068+AW1077))^$F1086</f>
        <v/>
      </c>
      <c r="AY1086" s="44">
        <f>AX1086*$G1086*(1+AY$7)^$D1086*(AY1068/AX1068)^$E1086*((AY1068+AY1077)/(AX1068+AX1077))^$F1086</f>
        <v/>
      </c>
      <c r="AZ1086" s="44">
        <f>AY1086*$G1086*(1+AZ$7)^$D1086*(AZ1068/AY1068)^$E1086*((AZ1068+AZ1077)/(AY1068+AY1077))^$F1086</f>
        <v/>
      </c>
      <c r="BA1086" s="57">
        <f>FUELUSE(AZ1086,BA1068,AZ1068,BA1077,AZ1077,BA$7,$D1086,$E1086,$F1086,$G1086)</f>
        <v/>
      </c>
    </row>
    <row r="1087" hidden="1" outlineLevel="2"/>
    <row r="1088" hidden="1" outlineLevel="2">
      <c r="A1088" s="14" t="inlineStr">
        <is>
          <t>co2</t>
        </is>
      </c>
      <c r="B1088" s="14" t="inlineStr">
        <is>
          <t>coa</t>
        </is>
      </c>
      <c r="C1088" s="14" t="inlineStr">
        <is>
          <t>rod</t>
        </is>
      </c>
      <c r="D1088" s="35">
        <f>INDEX(Inputs!$W$5:$W$132,MATCH($B1088&amp;"|"&amp;$C1088,Inputs!$A$5:$A$132,0))</f>
        <v/>
      </c>
      <c r="E1088" s="39" t="n"/>
      <c r="F1088" s="39" t="n"/>
      <c r="G1088" s="39" t="n"/>
      <c r="H1088" s="14">
        <f>INDEX(VarLab,MATCH($A1088,VarKey,0))&amp;INDEX(MemLab,MATCH($C1088&amp;"|"&amp;$B1088,MemKey,0))</f>
        <v/>
      </c>
      <c r="I1088" s="14">
        <f>INDEX(VarUnit,MATCH($A1088,VarKey,0))</f>
        <v/>
      </c>
      <c r="J1088" s="14">
        <f>INDEX(VarSrc,MATCH($A1088,VarKey,0))</f>
        <v/>
      </c>
      <c r="K1088" s="11">
        <f>CodePrefix&amp;$A1088&amp;IF($C1088="","","."&amp;$C1088&amp;"."&amp;$B1088)&amp;INDEX(VarEnd,MATCH($A1088,VarKey,0))&amp;K$5</f>
        <v/>
      </c>
      <c r="L1088" s="15">
        <f>L1079*Settings!$C$13*$D1088</f>
        <v/>
      </c>
      <c r="M1088" s="16">
        <f>M1079*Settings!$C$13*$D1088</f>
        <v/>
      </c>
      <c r="N1088" s="16">
        <f>N1079*Settings!$C$13*$D1088</f>
        <v/>
      </c>
      <c r="O1088" s="16">
        <f>O1079*Settings!$C$13*$D1088</f>
        <v/>
      </c>
      <c r="P1088" s="16">
        <f>P1079*Settings!$C$13*$D1088</f>
        <v/>
      </c>
      <c r="Q1088" s="16">
        <f>Q1079*Settings!$C$13*$D1088</f>
        <v/>
      </c>
      <c r="R1088" s="16">
        <f>R1079*Settings!$C$13*$D1088</f>
        <v/>
      </c>
      <c r="S1088" s="16">
        <f>S1079*Settings!$C$13*$D1088</f>
        <v/>
      </c>
      <c r="T1088" s="16">
        <f>T1079*Settings!$C$13*$D1088</f>
        <v/>
      </c>
      <c r="U1088" s="16">
        <f>U1079*Settings!$C$13*$D1088</f>
        <v/>
      </c>
      <c r="V1088" s="16">
        <f>V1079*Settings!$C$13*$D1088</f>
        <v/>
      </c>
      <c r="W1088" s="16">
        <f>W1079*Settings!$C$13*$D1088</f>
        <v/>
      </c>
      <c r="X1088" s="16">
        <f>X1079*Settings!$C$13*$D1088</f>
        <v/>
      </c>
      <c r="Y1088" s="16">
        <f>Y1079*Settings!$C$13*$D1088</f>
        <v/>
      </c>
      <c r="Z1088" s="16">
        <f>Z1079*Settings!$C$13*$D1088</f>
        <v/>
      </c>
      <c r="AA1088" s="16">
        <f>AA1079*Settings!$C$13*$D1088</f>
        <v/>
      </c>
      <c r="AB1088" s="16">
        <f>AB1079*Settings!$C$13*$D1088</f>
        <v/>
      </c>
      <c r="AC1088" s="16">
        <f>AC1079*Settings!$C$13*$D1088</f>
        <v/>
      </c>
      <c r="AD1088" s="16">
        <f>AD1079*Settings!$C$13*$D1088</f>
        <v/>
      </c>
      <c r="AE1088" s="49">
        <f>EMISSIONS(AE1079,Settings!$C$13,$D1088)</f>
        <v/>
      </c>
      <c r="AG1088" s="11">
        <f>CodePrefix&amp;$A1088&amp;IF($C1088="","","."&amp;$C1088&amp;"."&amp;$B1088)&amp;INDEX(VarEnd,MATCH($A1088,VarKey,0))&amp;AG$5</f>
        <v/>
      </c>
      <c r="AH1088" s="15">
        <f>AH1079*Settings!$C$13*$D1088</f>
        <v/>
      </c>
      <c r="AI1088" s="16">
        <f>AI1079*Settings!$C$13*$D1088</f>
        <v/>
      </c>
      <c r="AJ1088" s="16">
        <f>AJ1079*Settings!$C$13*$D1088</f>
        <v/>
      </c>
      <c r="AK1088" s="16">
        <f>AK1079*Settings!$C$13*$D1088</f>
        <v/>
      </c>
      <c r="AL1088" s="16">
        <f>AL1079*Settings!$C$13*$D1088</f>
        <v/>
      </c>
      <c r="AM1088" s="16">
        <f>AM1079*Settings!$C$13*$D1088</f>
        <v/>
      </c>
      <c r="AN1088" s="16">
        <f>AN1079*Settings!$C$13*$D1088</f>
        <v/>
      </c>
      <c r="AO1088" s="16">
        <f>AO1079*Settings!$C$13*$D1088</f>
        <v/>
      </c>
      <c r="AP1088" s="16">
        <f>AP1079*Settings!$C$13*$D1088</f>
        <v/>
      </c>
      <c r="AQ1088" s="16">
        <f>AQ1079*Settings!$C$13*$D1088</f>
        <v/>
      </c>
      <c r="AR1088" s="16">
        <f>AR1079*Settings!$C$13*$D1088</f>
        <v/>
      </c>
      <c r="AS1088" s="16">
        <f>AS1079*Settings!$C$13*$D1088</f>
        <v/>
      </c>
      <c r="AT1088" s="16">
        <f>AT1079*Settings!$C$13*$D1088</f>
        <v/>
      </c>
      <c r="AU1088" s="16">
        <f>AU1079*Settings!$C$13*$D1088</f>
        <v/>
      </c>
      <c r="AV1088" s="16">
        <f>AV1079*Settings!$C$13*$D1088</f>
        <v/>
      </c>
      <c r="AW1088" s="16">
        <f>AW1079*Settings!$C$13*$D1088</f>
        <v/>
      </c>
      <c r="AX1088" s="16">
        <f>AX1079*Settings!$C$13*$D1088</f>
        <v/>
      </c>
      <c r="AY1088" s="16">
        <f>AY1079*Settings!$C$13*$D1088</f>
        <v/>
      </c>
      <c r="AZ1088" s="16">
        <f>AZ1079*Settings!$C$13*$D1088</f>
        <v/>
      </c>
      <c r="BA1088" s="49">
        <f>EMISSIONS(BA1079,Settings!$C$13,$D1088)</f>
        <v/>
      </c>
    </row>
    <row r="1089" hidden="1" outlineLevel="2">
      <c r="A1089" s="14" t="inlineStr">
        <is>
          <t>co2</t>
        </is>
      </c>
      <c r="B1089" s="14" t="inlineStr">
        <is>
          <t>nga</t>
        </is>
      </c>
      <c r="C1089" s="14" t="inlineStr">
        <is>
          <t>rod</t>
        </is>
      </c>
      <c r="D1089" s="35">
        <f>INDEX(Inputs!$W$5:$W$132,MATCH($B1089&amp;"|"&amp;$C1089,Inputs!$A$5:$A$132,0))</f>
        <v/>
      </c>
      <c r="E1089" s="39" t="n"/>
      <c r="F1089" s="39" t="n"/>
      <c r="G1089" s="39" t="n"/>
      <c r="H1089" s="14">
        <f>INDEX(VarLab,MATCH($A1089,VarKey,0))&amp;INDEX(MemLab,MATCH($C1089&amp;"|"&amp;$B1089,MemKey,0))</f>
        <v/>
      </c>
      <c r="I1089" s="14">
        <f>INDEX(VarUnit,MATCH($A1089,VarKey,0))</f>
        <v/>
      </c>
      <c r="J1089" s="14">
        <f>INDEX(VarSrc,MATCH($A1089,VarKey,0))</f>
        <v/>
      </c>
      <c r="K1089" s="11">
        <f>CodePrefix&amp;$A1089&amp;IF($C1089="","","."&amp;$C1089&amp;"."&amp;$B1089)&amp;INDEX(VarEnd,MATCH($A1089,VarKey,0))&amp;K$5</f>
        <v/>
      </c>
      <c r="L1089" s="15">
        <f>L1080*Settings!$C$13*$D1089</f>
        <v/>
      </c>
      <c r="M1089" s="16">
        <f>M1080*Settings!$C$13*$D1089</f>
        <v/>
      </c>
      <c r="N1089" s="16">
        <f>N1080*Settings!$C$13*$D1089</f>
        <v/>
      </c>
      <c r="O1089" s="16">
        <f>O1080*Settings!$C$13*$D1089</f>
        <v/>
      </c>
      <c r="P1089" s="16">
        <f>P1080*Settings!$C$13*$D1089</f>
        <v/>
      </c>
      <c r="Q1089" s="16">
        <f>Q1080*Settings!$C$13*$D1089</f>
        <v/>
      </c>
      <c r="R1089" s="16">
        <f>R1080*Settings!$C$13*$D1089</f>
        <v/>
      </c>
      <c r="S1089" s="16">
        <f>S1080*Settings!$C$13*$D1089</f>
        <v/>
      </c>
      <c r="T1089" s="16">
        <f>T1080*Settings!$C$13*$D1089</f>
        <v/>
      </c>
      <c r="U1089" s="16">
        <f>U1080*Settings!$C$13*$D1089</f>
        <v/>
      </c>
      <c r="V1089" s="16">
        <f>V1080*Settings!$C$13*$D1089</f>
        <v/>
      </c>
      <c r="W1089" s="16">
        <f>W1080*Settings!$C$13*$D1089</f>
        <v/>
      </c>
      <c r="X1089" s="16">
        <f>X1080*Settings!$C$13*$D1089</f>
        <v/>
      </c>
      <c r="Y1089" s="16">
        <f>Y1080*Settings!$C$13*$D1089</f>
        <v/>
      </c>
      <c r="Z1089" s="16">
        <f>Z1080*Settings!$C$13*$D1089</f>
        <v/>
      </c>
      <c r="AA1089" s="16">
        <f>AA1080*Settings!$C$13*$D1089</f>
        <v/>
      </c>
      <c r="AB1089" s="16">
        <f>AB1080*Settings!$C$13*$D1089</f>
        <v/>
      </c>
      <c r="AC1089" s="16">
        <f>AC1080*Settings!$C$13*$D1089</f>
        <v/>
      </c>
      <c r="AD1089" s="16">
        <f>AD1080*Settings!$C$13*$D1089</f>
        <v/>
      </c>
      <c r="AE1089" s="49">
        <f>EMISSIONS(AE1080,Settings!$C$13,$D1089)</f>
        <v/>
      </c>
      <c r="AG1089" s="11">
        <f>CodePrefix&amp;$A1089&amp;IF($C1089="","","."&amp;$C1089&amp;"."&amp;$B1089)&amp;INDEX(VarEnd,MATCH($A1089,VarKey,0))&amp;AG$5</f>
        <v/>
      </c>
      <c r="AH1089" s="15">
        <f>AH1080*Settings!$C$13*$D1089</f>
        <v/>
      </c>
      <c r="AI1089" s="16">
        <f>AI1080*Settings!$C$13*$D1089</f>
        <v/>
      </c>
      <c r="AJ1089" s="16">
        <f>AJ1080*Settings!$C$13*$D1089</f>
        <v/>
      </c>
      <c r="AK1089" s="16">
        <f>AK1080*Settings!$C$13*$D1089</f>
        <v/>
      </c>
      <c r="AL1089" s="16">
        <f>AL1080*Settings!$C$13*$D1089</f>
        <v/>
      </c>
      <c r="AM1089" s="16">
        <f>AM1080*Settings!$C$13*$D1089</f>
        <v/>
      </c>
      <c r="AN1089" s="16">
        <f>AN1080*Settings!$C$13*$D1089</f>
        <v/>
      </c>
      <c r="AO1089" s="16">
        <f>AO1080*Settings!$C$13*$D1089</f>
        <v/>
      </c>
      <c r="AP1089" s="16">
        <f>AP1080*Settings!$C$13*$D1089</f>
        <v/>
      </c>
      <c r="AQ1089" s="16">
        <f>AQ1080*Settings!$C$13*$D1089</f>
        <v/>
      </c>
      <c r="AR1089" s="16">
        <f>AR1080*Settings!$C$13*$D1089</f>
        <v/>
      </c>
      <c r="AS1089" s="16">
        <f>AS1080*Settings!$C$13*$D1089</f>
        <v/>
      </c>
      <c r="AT1089" s="16">
        <f>AT1080*Settings!$C$13*$D1089</f>
        <v/>
      </c>
      <c r="AU1089" s="16">
        <f>AU1080*Settings!$C$13*$D1089</f>
        <v/>
      </c>
      <c r="AV1089" s="16">
        <f>AV1080*Settings!$C$13*$D1089</f>
        <v/>
      </c>
      <c r="AW1089" s="16">
        <f>AW1080*Settings!$C$13*$D1089</f>
        <v/>
      </c>
      <c r="AX1089" s="16">
        <f>AX1080*Settings!$C$13*$D1089</f>
        <v/>
      </c>
      <c r="AY1089" s="16">
        <f>AY1080*Settings!$C$13*$D1089</f>
        <v/>
      </c>
      <c r="AZ1089" s="16">
        <f>AZ1080*Settings!$C$13*$D1089</f>
        <v/>
      </c>
      <c r="BA1089" s="49">
        <f>EMISSIONS(BA1080,Settings!$C$13,$D1089)</f>
        <v/>
      </c>
    </row>
    <row r="1090" hidden="1" outlineLevel="2">
      <c r="A1090" s="14" t="inlineStr">
        <is>
          <t>co2</t>
        </is>
      </c>
      <c r="B1090" s="14" t="inlineStr">
        <is>
          <t>gso</t>
        </is>
      </c>
      <c r="C1090" s="14" t="inlineStr">
        <is>
          <t>rod</t>
        </is>
      </c>
      <c r="D1090" s="35">
        <f>INDEX(Inputs!$W$5:$W$132,MATCH($B1090&amp;"|"&amp;$C1090,Inputs!$A$5:$A$132,0))</f>
        <v/>
      </c>
      <c r="E1090" s="39" t="n"/>
      <c r="F1090" s="39" t="n"/>
      <c r="G1090" s="39" t="n"/>
      <c r="H1090" s="14">
        <f>INDEX(VarLab,MATCH($A1090,VarKey,0))&amp;INDEX(MemLab,MATCH($C1090&amp;"|"&amp;$B1090,MemKey,0))</f>
        <v/>
      </c>
      <c r="I1090" s="14">
        <f>INDEX(VarUnit,MATCH($A1090,VarKey,0))</f>
        <v/>
      </c>
      <c r="J1090" s="14">
        <f>INDEX(VarSrc,MATCH($A1090,VarKey,0))</f>
        <v/>
      </c>
      <c r="K1090" s="11">
        <f>CodePrefix&amp;$A1090&amp;IF($C1090="","","."&amp;$C1090&amp;"."&amp;$B1090)&amp;INDEX(VarEnd,MATCH($A1090,VarKey,0))&amp;K$5</f>
        <v/>
      </c>
      <c r="L1090" s="15">
        <f>L1081*Settings!$C$13*$D1090</f>
        <v/>
      </c>
      <c r="M1090" s="16">
        <f>M1081*Settings!$C$13*$D1090</f>
        <v/>
      </c>
      <c r="N1090" s="16">
        <f>N1081*Settings!$C$13*$D1090</f>
        <v/>
      </c>
      <c r="O1090" s="16">
        <f>O1081*Settings!$C$13*$D1090</f>
        <v/>
      </c>
      <c r="P1090" s="16">
        <f>P1081*Settings!$C$13*$D1090</f>
        <v/>
      </c>
      <c r="Q1090" s="16">
        <f>Q1081*Settings!$C$13*$D1090</f>
        <v/>
      </c>
      <c r="R1090" s="16">
        <f>R1081*Settings!$C$13*$D1090</f>
        <v/>
      </c>
      <c r="S1090" s="16">
        <f>S1081*Settings!$C$13*$D1090</f>
        <v/>
      </c>
      <c r="T1090" s="16">
        <f>T1081*Settings!$C$13*$D1090</f>
        <v/>
      </c>
      <c r="U1090" s="16">
        <f>U1081*Settings!$C$13*$D1090</f>
        <v/>
      </c>
      <c r="V1090" s="16">
        <f>V1081*Settings!$C$13*$D1090</f>
        <v/>
      </c>
      <c r="W1090" s="16">
        <f>W1081*Settings!$C$13*$D1090</f>
        <v/>
      </c>
      <c r="X1090" s="16">
        <f>X1081*Settings!$C$13*$D1090</f>
        <v/>
      </c>
      <c r="Y1090" s="16">
        <f>Y1081*Settings!$C$13*$D1090</f>
        <v/>
      </c>
      <c r="Z1090" s="16">
        <f>Z1081*Settings!$C$13*$D1090</f>
        <v/>
      </c>
      <c r="AA1090" s="16">
        <f>AA1081*Settings!$C$13*$D1090</f>
        <v/>
      </c>
      <c r="AB1090" s="16">
        <f>AB1081*Settings!$C$13*$D1090</f>
        <v/>
      </c>
      <c r="AC1090" s="16">
        <f>AC1081*Settings!$C$13*$D1090</f>
        <v/>
      </c>
      <c r="AD1090" s="16">
        <f>AD1081*Settings!$C$13*$D1090</f>
        <v/>
      </c>
      <c r="AE1090" s="49">
        <f>EMISSIONS(AE1081,Settings!$C$13,$D1090)</f>
        <v/>
      </c>
      <c r="AG1090" s="11">
        <f>CodePrefix&amp;$A1090&amp;IF($C1090="","","."&amp;$C1090&amp;"."&amp;$B1090)&amp;INDEX(VarEnd,MATCH($A1090,VarKey,0))&amp;AG$5</f>
        <v/>
      </c>
      <c r="AH1090" s="15">
        <f>AH1081*Settings!$C$13*$D1090</f>
        <v/>
      </c>
      <c r="AI1090" s="16">
        <f>AI1081*Settings!$C$13*$D1090</f>
        <v/>
      </c>
      <c r="AJ1090" s="16">
        <f>AJ1081*Settings!$C$13*$D1090</f>
        <v/>
      </c>
      <c r="AK1090" s="16">
        <f>AK1081*Settings!$C$13*$D1090</f>
        <v/>
      </c>
      <c r="AL1090" s="16">
        <f>AL1081*Settings!$C$13*$D1090</f>
        <v/>
      </c>
      <c r="AM1090" s="16">
        <f>AM1081*Settings!$C$13*$D1090</f>
        <v/>
      </c>
      <c r="AN1090" s="16">
        <f>AN1081*Settings!$C$13*$D1090</f>
        <v/>
      </c>
      <c r="AO1090" s="16">
        <f>AO1081*Settings!$C$13*$D1090</f>
        <v/>
      </c>
      <c r="AP1090" s="16">
        <f>AP1081*Settings!$C$13*$D1090</f>
        <v/>
      </c>
      <c r="AQ1090" s="16">
        <f>AQ1081*Settings!$C$13*$D1090</f>
        <v/>
      </c>
      <c r="AR1090" s="16">
        <f>AR1081*Settings!$C$13*$D1090</f>
        <v/>
      </c>
      <c r="AS1090" s="16">
        <f>AS1081*Settings!$C$13*$D1090</f>
        <v/>
      </c>
      <c r="AT1090" s="16">
        <f>AT1081*Settings!$C$13*$D1090</f>
        <v/>
      </c>
      <c r="AU1090" s="16">
        <f>AU1081*Settings!$C$13*$D1090</f>
        <v/>
      </c>
      <c r="AV1090" s="16">
        <f>AV1081*Settings!$C$13*$D1090</f>
        <v/>
      </c>
      <c r="AW1090" s="16">
        <f>AW1081*Settings!$C$13*$D1090</f>
        <v/>
      </c>
      <c r="AX1090" s="16">
        <f>AX1081*Settings!$C$13*$D1090</f>
        <v/>
      </c>
      <c r="AY1090" s="16">
        <f>AY1081*Settings!$C$13*$D1090</f>
        <v/>
      </c>
      <c r="AZ1090" s="16">
        <f>AZ1081*Settings!$C$13*$D1090</f>
        <v/>
      </c>
      <c r="BA1090" s="49">
        <f>EMISSIONS(BA1081,Settings!$C$13,$D1090)</f>
        <v/>
      </c>
    </row>
    <row r="1091" hidden="1" outlineLevel="2">
      <c r="A1091" s="14" t="inlineStr">
        <is>
          <t>co2</t>
        </is>
      </c>
      <c r="B1091" s="14" t="inlineStr">
        <is>
          <t>die</t>
        </is>
      </c>
      <c r="C1091" s="14" t="inlineStr">
        <is>
          <t>rod</t>
        </is>
      </c>
      <c r="D1091" s="35">
        <f>INDEX(Inputs!$W$5:$W$132,MATCH($B1091&amp;"|"&amp;$C1091,Inputs!$A$5:$A$132,0))</f>
        <v/>
      </c>
      <c r="E1091" s="39" t="n"/>
      <c r="F1091" s="39" t="n"/>
      <c r="G1091" s="39" t="n"/>
      <c r="H1091" s="14">
        <f>INDEX(VarLab,MATCH($A1091,VarKey,0))&amp;INDEX(MemLab,MATCH($C1091&amp;"|"&amp;$B1091,MemKey,0))</f>
        <v/>
      </c>
      <c r="I1091" s="14">
        <f>INDEX(VarUnit,MATCH($A1091,VarKey,0))</f>
        <v/>
      </c>
      <c r="J1091" s="14">
        <f>INDEX(VarSrc,MATCH($A1091,VarKey,0))</f>
        <v/>
      </c>
      <c r="K1091" s="11">
        <f>CodePrefix&amp;$A1091&amp;IF($C1091="","","."&amp;$C1091&amp;"."&amp;$B1091)&amp;INDEX(VarEnd,MATCH($A1091,VarKey,0))&amp;K$5</f>
        <v/>
      </c>
      <c r="L1091" s="15">
        <f>L1082*Settings!$C$13*$D1091</f>
        <v/>
      </c>
      <c r="M1091" s="16">
        <f>M1082*Settings!$C$13*$D1091</f>
        <v/>
      </c>
      <c r="N1091" s="16">
        <f>N1082*Settings!$C$13*$D1091</f>
        <v/>
      </c>
      <c r="O1091" s="16">
        <f>O1082*Settings!$C$13*$D1091</f>
        <v/>
      </c>
      <c r="P1091" s="16">
        <f>P1082*Settings!$C$13*$D1091</f>
        <v/>
      </c>
      <c r="Q1091" s="16">
        <f>Q1082*Settings!$C$13*$D1091</f>
        <v/>
      </c>
      <c r="R1091" s="16">
        <f>R1082*Settings!$C$13*$D1091</f>
        <v/>
      </c>
      <c r="S1091" s="16">
        <f>S1082*Settings!$C$13*$D1091</f>
        <v/>
      </c>
      <c r="T1091" s="16">
        <f>T1082*Settings!$C$13*$D1091</f>
        <v/>
      </c>
      <c r="U1091" s="16">
        <f>U1082*Settings!$C$13*$D1091</f>
        <v/>
      </c>
      <c r="V1091" s="16">
        <f>V1082*Settings!$C$13*$D1091</f>
        <v/>
      </c>
      <c r="W1091" s="16">
        <f>W1082*Settings!$C$13*$D1091</f>
        <v/>
      </c>
      <c r="X1091" s="16">
        <f>X1082*Settings!$C$13*$D1091</f>
        <v/>
      </c>
      <c r="Y1091" s="16">
        <f>Y1082*Settings!$C$13*$D1091</f>
        <v/>
      </c>
      <c r="Z1091" s="16">
        <f>Z1082*Settings!$C$13*$D1091</f>
        <v/>
      </c>
      <c r="AA1091" s="16">
        <f>AA1082*Settings!$C$13*$D1091</f>
        <v/>
      </c>
      <c r="AB1091" s="16">
        <f>AB1082*Settings!$C$13*$D1091</f>
        <v/>
      </c>
      <c r="AC1091" s="16">
        <f>AC1082*Settings!$C$13*$D1091</f>
        <v/>
      </c>
      <c r="AD1091" s="16">
        <f>AD1082*Settings!$C$13*$D1091</f>
        <v/>
      </c>
      <c r="AE1091" s="49">
        <f>EMISSIONS(AE1082,Settings!$C$13,$D1091)</f>
        <v/>
      </c>
      <c r="AG1091" s="11">
        <f>CodePrefix&amp;$A1091&amp;IF($C1091="","","."&amp;$C1091&amp;"."&amp;$B1091)&amp;INDEX(VarEnd,MATCH($A1091,VarKey,0))&amp;AG$5</f>
        <v/>
      </c>
      <c r="AH1091" s="15">
        <f>AH1082*Settings!$C$13*$D1091</f>
        <v/>
      </c>
      <c r="AI1091" s="16">
        <f>AI1082*Settings!$C$13*$D1091</f>
        <v/>
      </c>
      <c r="AJ1091" s="16">
        <f>AJ1082*Settings!$C$13*$D1091</f>
        <v/>
      </c>
      <c r="AK1091" s="16">
        <f>AK1082*Settings!$C$13*$D1091</f>
        <v/>
      </c>
      <c r="AL1091" s="16">
        <f>AL1082*Settings!$C$13*$D1091</f>
        <v/>
      </c>
      <c r="AM1091" s="16">
        <f>AM1082*Settings!$C$13*$D1091</f>
        <v/>
      </c>
      <c r="AN1091" s="16">
        <f>AN1082*Settings!$C$13*$D1091</f>
        <v/>
      </c>
      <c r="AO1091" s="16">
        <f>AO1082*Settings!$C$13*$D1091</f>
        <v/>
      </c>
      <c r="AP1091" s="16">
        <f>AP1082*Settings!$C$13*$D1091</f>
        <v/>
      </c>
      <c r="AQ1091" s="16">
        <f>AQ1082*Settings!$C$13*$D1091</f>
        <v/>
      </c>
      <c r="AR1091" s="16">
        <f>AR1082*Settings!$C$13*$D1091</f>
        <v/>
      </c>
      <c r="AS1091" s="16">
        <f>AS1082*Settings!$C$13*$D1091</f>
        <v/>
      </c>
      <c r="AT1091" s="16">
        <f>AT1082*Settings!$C$13*$D1091</f>
        <v/>
      </c>
      <c r="AU1091" s="16">
        <f>AU1082*Settings!$C$13*$D1091</f>
        <v/>
      </c>
      <c r="AV1091" s="16">
        <f>AV1082*Settings!$C$13*$D1091</f>
        <v/>
      </c>
      <c r="AW1091" s="16">
        <f>AW1082*Settings!$C$13*$D1091</f>
        <v/>
      </c>
      <c r="AX1091" s="16">
        <f>AX1082*Settings!$C$13*$D1091</f>
        <v/>
      </c>
      <c r="AY1091" s="16">
        <f>AY1082*Settings!$C$13*$D1091</f>
        <v/>
      </c>
      <c r="AZ1091" s="16">
        <f>AZ1082*Settings!$C$13*$D1091</f>
        <v/>
      </c>
      <c r="BA1091" s="49">
        <f>EMISSIONS(BA1082,Settings!$C$13,$D1091)</f>
        <v/>
      </c>
    </row>
    <row r="1092" hidden="1" outlineLevel="2">
      <c r="A1092" s="14" t="inlineStr">
        <is>
          <t>co2</t>
        </is>
      </c>
      <c r="B1092" s="14" t="inlineStr">
        <is>
          <t>lpg</t>
        </is>
      </c>
      <c r="C1092" s="14" t="inlineStr">
        <is>
          <t>rod</t>
        </is>
      </c>
      <c r="D1092" s="35">
        <f>INDEX(Inputs!$W$5:$W$132,MATCH($B1092&amp;"|"&amp;$C1092,Inputs!$A$5:$A$132,0))</f>
        <v/>
      </c>
      <c r="E1092" s="39" t="n"/>
      <c r="F1092" s="39" t="n"/>
      <c r="G1092" s="39" t="n"/>
      <c r="H1092" s="14">
        <f>INDEX(VarLab,MATCH($A1092,VarKey,0))&amp;INDEX(MemLab,MATCH($C1092&amp;"|"&amp;$B1092,MemKey,0))</f>
        <v/>
      </c>
      <c r="I1092" s="14">
        <f>INDEX(VarUnit,MATCH($A1092,VarKey,0))</f>
        <v/>
      </c>
      <c r="J1092" s="14">
        <f>INDEX(VarSrc,MATCH($A1092,VarKey,0))</f>
        <v/>
      </c>
      <c r="K1092" s="11">
        <f>CodePrefix&amp;$A1092&amp;IF($C1092="","","."&amp;$C1092&amp;"."&amp;$B1092)&amp;INDEX(VarEnd,MATCH($A1092,VarKey,0))&amp;K$5</f>
        <v/>
      </c>
      <c r="L1092" s="15">
        <f>L1083*Settings!$C$13*$D1092</f>
        <v/>
      </c>
      <c r="M1092" s="16">
        <f>M1083*Settings!$C$13*$D1092</f>
        <v/>
      </c>
      <c r="N1092" s="16">
        <f>N1083*Settings!$C$13*$D1092</f>
        <v/>
      </c>
      <c r="O1092" s="16">
        <f>O1083*Settings!$C$13*$D1092</f>
        <v/>
      </c>
      <c r="P1092" s="16">
        <f>P1083*Settings!$C$13*$D1092</f>
        <v/>
      </c>
      <c r="Q1092" s="16">
        <f>Q1083*Settings!$C$13*$D1092</f>
        <v/>
      </c>
      <c r="R1092" s="16">
        <f>R1083*Settings!$C$13*$D1092</f>
        <v/>
      </c>
      <c r="S1092" s="16">
        <f>S1083*Settings!$C$13*$D1092</f>
        <v/>
      </c>
      <c r="T1092" s="16">
        <f>T1083*Settings!$C$13*$D1092</f>
        <v/>
      </c>
      <c r="U1092" s="16">
        <f>U1083*Settings!$C$13*$D1092</f>
        <v/>
      </c>
      <c r="V1092" s="16">
        <f>V1083*Settings!$C$13*$D1092</f>
        <v/>
      </c>
      <c r="W1092" s="16">
        <f>W1083*Settings!$C$13*$D1092</f>
        <v/>
      </c>
      <c r="X1092" s="16">
        <f>X1083*Settings!$C$13*$D1092</f>
        <v/>
      </c>
      <c r="Y1092" s="16">
        <f>Y1083*Settings!$C$13*$D1092</f>
        <v/>
      </c>
      <c r="Z1092" s="16">
        <f>Z1083*Settings!$C$13*$D1092</f>
        <v/>
      </c>
      <c r="AA1092" s="16">
        <f>AA1083*Settings!$C$13*$D1092</f>
        <v/>
      </c>
      <c r="AB1092" s="16">
        <f>AB1083*Settings!$C$13*$D1092</f>
        <v/>
      </c>
      <c r="AC1092" s="16">
        <f>AC1083*Settings!$C$13*$D1092</f>
        <v/>
      </c>
      <c r="AD1092" s="16">
        <f>AD1083*Settings!$C$13*$D1092</f>
        <v/>
      </c>
      <c r="AE1092" s="49">
        <f>EMISSIONS(AE1083,Settings!$C$13,$D1092)</f>
        <v/>
      </c>
      <c r="AG1092" s="11">
        <f>CodePrefix&amp;$A1092&amp;IF($C1092="","","."&amp;$C1092&amp;"."&amp;$B1092)&amp;INDEX(VarEnd,MATCH($A1092,VarKey,0))&amp;AG$5</f>
        <v/>
      </c>
      <c r="AH1092" s="15">
        <f>AH1083*Settings!$C$13*$D1092</f>
        <v/>
      </c>
      <c r="AI1092" s="16">
        <f>AI1083*Settings!$C$13*$D1092</f>
        <v/>
      </c>
      <c r="AJ1092" s="16">
        <f>AJ1083*Settings!$C$13*$D1092</f>
        <v/>
      </c>
      <c r="AK1092" s="16">
        <f>AK1083*Settings!$C$13*$D1092</f>
        <v/>
      </c>
      <c r="AL1092" s="16">
        <f>AL1083*Settings!$C$13*$D1092</f>
        <v/>
      </c>
      <c r="AM1092" s="16">
        <f>AM1083*Settings!$C$13*$D1092</f>
        <v/>
      </c>
      <c r="AN1092" s="16">
        <f>AN1083*Settings!$C$13*$D1092</f>
        <v/>
      </c>
      <c r="AO1092" s="16">
        <f>AO1083*Settings!$C$13*$D1092</f>
        <v/>
      </c>
      <c r="AP1092" s="16">
        <f>AP1083*Settings!$C$13*$D1092</f>
        <v/>
      </c>
      <c r="AQ1092" s="16">
        <f>AQ1083*Settings!$C$13*$D1092</f>
        <v/>
      </c>
      <c r="AR1092" s="16">
        <f>AR1083*Settings!$C$13*$D1092</f>
        <v/>
      </c>
      <c r="AS1092" s="16">
        <f>AS1083*Settings!$C$13*$D1092</f>
        <v/>
      </c>
      <c r="AT1092" s="16">
        <f>AT1083*Settings!$C$13*$D1092</f>
        <v/>
      </c>
      <c r="AU1092" s="16">
        <f>AU1083*Settings!$C$13*$D1092</f>
        <v/>
      </c>
      <c r="AV1092" s="16">
        <f>AV1083*Settings!$C$13*$D1092</f>
        <v/>
      </c>
      <c r="AW1092" s="16">
        <f>AW1083*Settings!$C$13*$D1092</f>
        <v/>
      </c>
      <c r="AX1092" s="16">
        <f>AX1083*Settings!$C$13*$D1092</f>
        <v/>
      </c>
      <c r="AY1092" s="16">
        <f>AY1083*Settings!$C$13*$D1092</f>
        <v/>
      </c>
      <c r="AZ1092" s="16">
        <f>AZ1083*Settings!$C$13*$D1092</f>
        <v/>
      </c>
      <c r="BA1092" s="49">
        <f>EMISSIONS(BA1083,Settings!$C$13,$D1092)</f>
        <v/>
      </c>
    </row>
    <row r="1093" hidden="1" outlineLevel="2">
      <c r="A1093" s="14" t="inlineStr">
        <is>
          <t>co2</t>
        </is>
      </c>
      <c r="B1093" s="14" t="inlineStr">
        <is>
          <t>ker</t>
        </is>
      </c>
      <c r="C1093" s="14" t="inlineStr">
        <is>
          <t>rod</t>
        </is>
      </c>
      <c r="D1093" s="35">
        <f>INDEX(Inputs!$W$5:$W$132,MATCH($B1093&amp;"|"&amp;$C1093,Inputs!$A$5:$A$132,0))</f>
        <v/>
      </c>
      <c r="E1093" s="39" t="n"/>
      <c r="F1093" s="39" t="n"/>
      <c r="G1093" s="39" t="n"/>
      <c r="H1093" s="14">
        <f>INDEX(VarLab,MATCH($A1093,VarKey,0))&amp;INDEX(MemLab,MATCH($C1093&amp;"|"&amp;$B1093,MemKey,0))</f>
        <v/>
      </c>
      <c r="I1093" s="14">
        <f>INDEX(VarUnit,MATCH($A1093,VarKey,0))</f>
        <v/>
      </c>
      <c r="J1093" s="14">
        <f>INDEX(VarSrc,MATCH($A1093,VarKey,0))</f>
        <v/>
      </c>
      <c r="K1093" s="11">
        <f>CodePrefix&amp;$A1093&amp;IF($C1093="","","."&amp;$C1093&amp;"."&amp;$B1093)&amp;INDEX(VarEnd,MATCH($A1093,VarKey,0))&amp;K$5</f>
        <v/>
      </c>
      <c r="L1093" s="15">
        <f>L1084*Settings!$C$13*$D1093</f>
        <v/>
      </c>
      <c r="M1093" s="16">
        <f>M1084*Settings!$C$13*$D1093</f>
        <v/>
      </c>
      <c r="N1093" s="16">
        <f>N1084*Settings!$C$13*$D1093</f>
        <v/>
      </c>
      <c r="O1093" s="16">
        <f>O1084*Settings!$C$13*$D1093</f>
        <v/>
      </c>
      <c r="P1093" s="16">
        <f>P1084*Settings!$C$13*$D1093</f>
        <v/>
      </c>
      <c r="Q1093" s="16">
        <f>Q1084*Settings!$C$13*$D1093</f>
        <v/>
      </c>
      <c r="R1093" s="16">
        <f>R1084*Settings!$C$13*$D1093</f>
        <v/>
      </c>
      <c r="S1093" s="16">
        <f>S1084*Settings!$C$13*$D1093</f>
        <v/>
      </c>
      <c r="T1093" s="16">
        <f>T1084*Settings!$C$13*$D1093</f>
        <v/>
      </c>
      <c r="U1093" s="16">
        <f>U1084*Settings!$C$13*$D1093</f>
        <v/>
      </c>
      <c r="V1093" s="16">
        <f>V1084*Settings!$C$13*$D1093</f>
        <v/>
      </c>
      <c r="W1093" s="16">
        <f>W1084*Settings!$C$13*$D1093</f>
        <v/>
      </c>
      <c r="X1093" s="16">
        <f>X1084*Settings!$C$13*$D1093</f>
        <v/>
      </c>
      <c r="Y1093" s="16">
        <f>Y1084*Settings!$C$13*$D1093</f>
        <v/>
      </c>
      <c r="Z1093" s="16">
        <f>Z1084*Settings!$C$13*$D1093</f>
        <v/>
      </c>
      <c r="AA1093" s="16">
        <f>AA1084*Settings!$C$13*$D1093</f>
        <v/>
      </c>
      <c r="AB1093" s="16">
        <f>AB1084*Settings!$C$13*$D1093</f>
        <v/>
      </c>
      <c r="AC1093" s="16">
        <f>AC1084*Settings!$C$13*$D1093</f>
        <v/>
      </c>
      <c r="AD1093" s="16">
        <f>AD1084*Settings!$C$13*$D1093</f>
        <v/>
      </c>
      <c r="AE1093" s="49">
        <f>EMISSIONS(AE1084,Settings!$C$13,$D1093)</f>
        <v/>
      </c>
      <c r="AG1093" s="11">
        <f>CodePrefix&amp;$A1093&amp;IF($C1093="","","."&amp;$C1093&amp;"."&amp;$B1093)&amp;INDEX(VarEnd,MATCH($A1093,VarKey,0))&amp;AG$5</f>
        <v/>
      </c>
      <c r="AH1093" s="15">
        <f>AH1084*Settings!$C$13*$D1093</f>
        <v/>
      </c>
      <c r="AI1093" s="16">
        <f>AI1084*Settings!$C$13*$D1093</f>
        <v/>
      </c>
      <c r="AJ1093" s="16">
        <f>AJ1084*Settings!$C$13*$D1093</f>
        <v/>
      </c>
      <c r="AK1093" s="16">
        <f>AK1084*Settings!$C$13*$D1093</f>
        <v/>
      </c>
      <c r="AL1093" s="16">
        <f>AL1084*Settings!$C$13*$D1093</f>
        <v/>
      </c>
      <c r="AM1093" s="16">
        <f>AM1084*Settings!$C$13*$D1093</f>
        <v/>
      </c>
      <c r="AN1093" s="16">
        <f>AN1084*Settings!$C$13*$D1093</f>
        <v/>
      </c>
      <c r="AO1093" s="16">
        <f>AO1084*Settings!$C$13*$D1093</f>
        <v/>
      </c>
      <c r="AP1093" s="16">
        <f>AP1084*Settings!$C$13*$D1093</f>
        <v/>
      </c>
      <c r="AQ1093" s="16">
        <f>AQ1084*Settings!$C$13*$D1093</f>
        <v/>
      </c>
      <c r="AR1093" s="16">
        <f>AR1084*Settings!$C$13*$D1093</f>
        <v/>
      </c>
      <c r="AS1093" s="16">
        <f>AS1084*Settings!$C$13*$D1093</f>
        <v/>
      </c>
      <c r="AT1093" s="16">
        <f>AT1084*Settings!$C$13*$D1093</f>
        <v/>
      </c>
      <c r="AU1093" s="16">
        <f>AU1084*Settings!$C$13*$D1093</f>
        <v/>
      </c>
      <c r="AV1093" s="16">
        <f>AV1084*Settings!$C$13*$D1093</f>
        <v/>
      </c>
      <c r="AW1093" s="16">
        <f>AW1084*Settings!$C$13*$D1093</f>
        <v/>
      </c>
      <c r="AX1093" s="16">
        <f>AX1084*Settings!$C$13*$D1093</f>
        <v/>
      </c>
      <c r="AY1093" s="16">
        <f>AY1084*Settings!$C$13*$D1093</f>
        <v/>
      </c>
      <c r="AZ1093" s="16">
        <f>AZ1084*Settings!$C$13*$D1093</f>
        <v/>
      </c>
      <c r="BA1093" s="49">
        <f>EMISSIONS(BA1084,Settings!$C$13,$D1093)</f>
        <v/>
      </c>
    </row>
    <row r="1094" hidden="1" outlineLevel="2">
      <c r="A1094" s="14" t="inlineStr">
        <is>
          <t>co2</t>
        </is>
      </c>
      <c r="B1094" s="14" t="inlineStr">
        <is>
          <t>oop</t>
        </is>
      </c>
      <c r="C1094" s="14" t="inlineStr">
        <is>
          <t>rod</t>
        </is>
      </c>
      <c r="D1094" s="35">
        <f>INDEX(Inputs!$W$5:$W$132,MATCH($B1094&amp;"|"&amp;$C1094,Inputs!$A$5:$A$132,0))</f>
        <v/>
      </c>
      <c r="E1094" s="39" t="n"/>
      <c r="F1094" s="39" t="n"/>
      <c r="G1094" s="39" t="n"/>
      <c r="H1094" s="14">
        <f>INDEX(VarLab,MATCH($A1094,VarKey,0))&amp;INDEX(MemLab,MATCH($C1094&amp;"|"&amp;$B1094,MemKey,0))</f>
        <v/>
      </c>
      <c r="I1094" s="14">
        <f>INDEX(VarUnit,MATCH($A1094,VarKey,0))</f>
        <v/>
      </c>
      <c r="J1094" s="14">
        <f>INDEX(VarSrc,MATCH($A1094,VarKey,0))</f>
        <v/>
      </c>
      <c r="K1094" s="11">
        <f>CodePrefix&amp;$A1094&amp;IF($C1094="","","."&amp;$C1094&amp;"."&amp;$B1094)&amp;INDEX(VarEnd,MATCH($A1094,VarKey,0))&amp;K$5</f>
        <v/>
      </c>
      <c r="L1094" s="15">
        <f>L1085*Settings!$C$13*$D1094</f>
        <v/>
      </c>
      <c r="M1094" s="16">
        <f>M1085*Settings!$C$13*$D1094</f>
        <v/>
      </c>
      <c r="N1094" s="16">
        <f>N1085*Settings!$C$13*$D1094</f>
        <v/>
      </c>
      <c r="O1094" s="16">
        <f>O1085*Settings!$C$13*$D1094</f>
        <v/>
      </c>
      <c r="P1094" s="16">
        <f>P1085*Settings!$C$13*$D1094</f>
        <v/>
      </c>
      <c r="Q1094" s="16">
        <f>Q1085*Settings!$C$13*$D1094</f>
        <v/>
      </c>
      <c r="R1094" s="16">
        <f>R1085*Settings!$C$13*$D1094</f>
        <v/>
      </c>
      <c r="S1094" s="16">
        <f>S1085*Settings!$C$13*$D1094</f>
        <v/>
      </c>
      <c r="T1094" s="16">
        <f>T1085*Settings!$C$13*$D1094</f>
        <v/>
      </c>
      <c r="U1094" s="16">
        <f>U1085*Settings!$C$13*$D1094</f>
        <v/>
      </c>
      <c r="V1094" s="16">
        <f>V1085*Settings!$C$13*$D1094</f>
        <v/>
      </c>
      <c r="W1094" s="16">
        <f>W1085*Settings!$C$13*$D1094</f>
        <v/>
      </c>
      <c r="X1094" s="16">
        <f>X1085*Settings!$C$13*$D1094</f>
        <v/>
      </c>
      <c r="Y1094" s="16">
        <f>Y1085*Settings!$C$13*$D1094</f>
        <v/>
      </c>
      <c r="Z1094" s="16">
        <f>Z1085*Settings!$C$13*$D1094</f>
        <v/>
      </c>
      <c r="AA1094" s="16">
        <f>AA1085*Settings!$C$13*$D1094</f>
        <v/>
      </c>
      <c r="AB1094" s="16">
        <f>AB1085*Settings!$C$13*$D1094</f>
        <v/>
      </c>
      <c r="AC1094" s="16">
        <f>AC1085*Settings!$C$13*$D1094</f>
        <v/>
      </c>
      <c r="AD1094" s="16">
        <f>AD1085*Settings!$C$13*$D1094</f>
        <v/>
      </c>
      <c r="AE1094" s="49">
        <f>EMISSIONS(AE1085,Settings!$C$13,$D1094)</f>
        <v/>
      </c>
      <c r="AG1094" s="11">
        <f>CodePrefix&amp;$A1094&amp;IF($C1094="","","."&amp;$C1094&amp;"."&amp;$B1094)&amp;INDEX(VarEnd,MATCH($A1094,VarKey,0))&amp;AG$5</f>
        <v/>
      </c>
      <c r="AH1094" s="15">
        <f>AH1085*Settings!$C$13*$D1094</f>
        <v/>
      </c>
      <c r="AI1094" s="16">
        <f>AI1085*Settings!$C$13*$D1094</f>
        <v/>
      </c>
      <c r="AJ1094" s="16">
        <f>AJ1085*Settings!$C$13*$D1094</f>
        <v/>
      </c>
      <c r="AK1094" s="16">
        <f>AK1085*Settings!$C$13*$D1094</f>
        <v/>
      </c>
      <c r="AL1094" s="16">
        <f>AL1085*Settings!$C$13*$D1094</f>
        <v/>
      </c>
      <c r="AM1094" s="16">
        <f>AM1085*Settings!$C$13*$D1094</f>
        <v/>
      </c>
      <c r="AN1094" s="16">
        <f>AN1085*Settings!$C$13*$D1094</f>
        <v/>
      </c>
      <c r="AO1094" s="16">
        <f>AO1085*Settings!$C$13*$D1094</f>
        <v/>
      </c>
      <c r="AP1094" s="16">
        <f>AP1085*Settings!$C$13*$D1094</f>
        <v/>
      </c>
      <c r="AQ1094" s="16">
        <f>AQ1085*Settings!$C$13*$D1094</f>
        <v/>
      </c>
      <c r="AR1094" s="16">
        <f>AR1085*Settings!$C$13*$D1094</f>
        <v/>
      </c>
      <c r="AS1094" s="16">
        <f>AS1085*Settings!$C$13*$D1094</f>
        <v/>
      </c>
      <c r="AT1094" s="16">
        <f>AT1085*Settings!$C$13*$D1094</f>
        <v/>
      </c>
      <c r="AU1094" s="16">
        <f>AU1085*Settings!$C$13*$D1094</f>
        <v/>
      </c>
      <c r="AV1094" s="16">
        <f>AV1085*Settings!$C$13*$D1094</f>
        <v/>
      </c>
      <c r="AW1094" s="16">
        <f>AW1085*Settings!$C$13*$D1094</f>
        <v/>
      </c>
      <c r="AX1094" s="16">
        <f>AX1085*Settings!$C$13*$D1094</f>
        <v/>
      </c>
      <c r="AY1094" s="16">
        <f>AY1085*Settings!$C$13*$D1094</f>
        <v/>
      </c>
      <c r="AZ1094" s="16">
        <f>AZ1085*Settings!$C$13*$D1094</f>
        <v/>
      </c>
      <c r="BA1094" s="49">
        <f>EMISSIONS(BA1085,Settings!$C$13,$D1094)</f>
        <v/>
      </c>
    </row>
    <row r="1095" hidden="1" outlineLevel="2">
      <c r="A1095" s="14" t="inlineStr">
        <is>
          <t>co2</t>
        </is>
      </c>
      <c r="B1095" s="14" t="inlineStr">
        <is>
          <t>bio</t>
        </is>
      </c>
      <c r="C1095" s="14" t="inlineStr">
        <is>
          <t>rod</t>
        </is>
      </c>
      <c r="D1095" s="35">
        <f>INDEX(Inputs!$W$5:$W$132,MATCH($B1095&amp;"|"&amp;$C1095,Inputs!$A$5:$A$132,0))</f>
        <v/>
      </c>
      <c r="E1095" s="39" t="n"/>
      <c r="F1095" s="39" t="n"/>
      <c r="G1095" s="39" t="n"/>
      <c r="H1095" s="14">
        <f>INDEX(VarLab,MATCH($A1095,VarKey,0))&amp;INDEX(MemLab,MATCH($C1095&amp;"|"&amp;$B1095,MemKey,0))</f>
        <v/>
      </c>
      <c r="I1095" s="14">
        <f>INDEX(VarUnit,MATCH($A1095,VarKey,0))</f>
        <v/>
      </c>
      <c r="J1095" s="14">
        <f>INDEX(VarSrc,MATCH($A1095,VarKey,0))</f>
        <v/>
      </c>
      <c r="K1095" s="11">
        <f>CodePrefix&amp;$A1095&amp;IF($C1095="","","."&amp;$C1095&amp;"."&amp;$B1095)&amp;INDEX(VarEnd,MATCH($A1095,VarKey,0))&amp;K$5</f>
        <v/>
      </c>
      <c r="L1095" s="15">
        <f>L1086*Settings!$C$13*$D1095</f>
        <v/>
      </c>
      <c r="M1095" s="16">
        <f>M1086*Settings!$C$13*$D1095</f>
        <v/>
      </c>
      <c r="N1095" s="16">
        <f>N1086*Settings!$C$13*$D1095</f>
        <v/>
      </c>
      <c r="O1095" s="16">
        <f>O1086*Settings!$C$13*$D1095</f>
        <v/>
      </c>
      <c r="P1095" s="16">
        <f>P1086*Settings!$C$13*$D1095</f>
        <v/>
      </c>
      <c r="Q1095" s="16">
        <f>Q1086*Settings!$C$13*$D1095</f>
        <v/>
      </c>
      <c r="R1095" s="16">
        <f>R1086*Settings!$C$13*$D1095</f>
        <v/>
      </c>
      <c r="S1095" s="16">
        <f>S1086*Settings!$C$13*$D1095</f>
        <v/>
      </c>
      <c r="T1095" s="16">
        <f>T1086*Settings!$C$13*$D1095</f>
        <v/>
      </c>
      <c r="U1095" s="16">
        <f>U1086*Settings!$C$13*$D1095</f>
        <v/>
      </c>
      <c r="V1095" s="16">
        <f>V1086*Settings!$C$13*$D1095</f>
        <v/>
      </c>
      <c r="W1095" s="16">
        <f>W1086*Settings!$C$13*$D1095</f>
        <v/>
      </c>
      <c r="X1095" s="16">
        <f>X1086*Settings!$C$13*$D1095</f>
        <v/>
      </c>
      <c r="Y1095" s="16">
        <f>Y1086*Settings!$C$13*$D1095</f>
        <v/>
      </c>
      <c r="Z1095" s="16">
        <f>Z1086*Settings!$C$13*$D1095</f>
        <v/>
      </c>
      <c r="AA1095" s="16">
        <f>AA1086*Settings!$C$13*$D1095</f>
        <v/>
      </c>
      <c r="AB1095" s="16">
        <f>AB1086*Settings!$C$13*$D1095</f>
        <v/>
      </c>
      <c r="AC1095" s="16">
        <f>AC1086*Settings!$C$13*$D1095</f>
        <v/>
      </c>
      <c r="AD1095" s="16">
        <f>AD1086*Settings!$C$13*$D1095</f>
        <v/>
      </c>
      <c r="AE1095" s="49">
        <f>EMISSIONS(AE1086,Settings!$C$13,$D1095)</f>
        <v/>
      </c>
      <c r="AG1095" s="11">
        <f>CodePrefix&amp;$A1095&amp;IF($C1095="","","."&amp;$C1095&amp;"."&amp;$B1095)&amp;INDEX(VarEnd,MATCH($A1095,VarKey,0))&amp;AG$5</f>
        <v/>
      </c>
      <c r="AH1095" s="15">
        <f>AH1086*Settings!$C$13*$D1095</f>
        <v/>
      </c>
      <c r="AI1095" s="16">
        <f>AI1086*Settings!$C$13*$D1095</f>
        <v/>
      </c>
      <c r="AJ1095" s="16">
        <f>AJ1086*Settings!$C$13*$D1095</f>
        <v/>
      </c>
      <c r="AK1095" s="16">
        <f>AK1086*Settings!$C$13*$D1095</f>
        <v/>
      </c>
      <c r="AL1095" s="16">
        <f>AL1086*Settings!$C$13*$D1095</f>
        <v/>
      </c>
      <c r="AM1095" s="16">
        <f>AM1086*Settings!$C$13*$D1095</f>
        <v/>
      </c>
      <c r="AN1095" s="16">
        <f>AN1086*Settings!$C$13*$D1095</f>
        <v/>
      </c>
      <c r="AO1095" s="16">
        <f>AO1086*Settings!$C$13*$D1095</f>
        <v/>
      </c>
      <c r="AP1095" s="16">
        <f>AP1086*Settings!$C$13*$D1095</f>
        <v/>
      </c>
      <c r="AQ1095" s="16">
        <f>AQ1086*Settings!$C$13*$D1095</f>
        <v/>
      </c>
      <c r="AR1095" s="16">
        <f>AR1086*Settings!$C$13*$D1095</f>
        <v/>
      </c>
      <c r="AS1095" s="16">
        <f>AS1086*Settings!$C$13*$D1095</f>
        <v/>
      </c>
      <c r="AT1095" s="16">
        <f>AT1086*Settings!$C$13*$D1095</f>
        <v/>
      </c>
      <c r="AU1095" s="16">
        <f>AU1086*Settings!$C$13*$D1095</f>
        <v/>
      </c>
      <c r="AV1095" s="16">
        <f>AV1086*Settings!$C$13*$D1095</f>
        <v/>
      </c>
      <c r="AW1095" s="16">
        <f>AW1086*Settings!$C$13*$D1095</f>
        <v/>
      </c>
      <c r="AX1095" s="16">
        <f>AX1086*Settings!$C$13*$D1095</f>
        <v/>
      </c>
      <c r="AY1095" s="16">
        <f>AY1086*Settings!$C$13*$D1095</f>
        <v/>
      </c>
      <c r="AZ1095" s="16">
        <f>AZ1086*Settings!$C$13*$D1095</f>
        <v/>
      </c>
      <c r="BA1095" s="49">
        <f>EMISSIONS(BA1086,Settings!$C$13,$D1095)</f>
        <v/>
      </c>
    </row>
    <row r="1096" hidden="1" outlineLevel="2"/>
    <row r="1097" hidden="1" outlineLevel="2">
      <c r="A1097" s="14" t="inlineStr">
        <is>
          <t>rtx</t>
        </is>
      </c>
      <c r="B1097" s="14" t="inlineStr">
        <is>
          <t>coa</t>
        </is>
      </c>
      <c r="C1097" s="14" t="inlineStr">
        <is>
          <t>rod</t>
        </is>
      </c>
      <c r="D1097" s="35">
        <f>INDEX(Inputs!$U$5:$U$132,MATCH($B1097&amp;"|"&amp;$C1097,Inputs!$A$5:$A$132,0))</f>
        <v/>
      </c>
      <c r="E1097" s="35">
        <f>INDEX(Inputs!$V$5:$V$132,MATCH($B1097&amp;"|"&amp;$C1097,Inputs!$A$5:$A$132,0))</f>
        <v/>
      </c>
      <c r="F1097" s="39" t="n"/>
      <c r="G1097" s="39" t="n"/>
      <c r="H1097" s="14">
        <f>INDEX(VarLab,MATCH($A1097,VarKey,0))&amp;INDEX(MemLab,MATCH($C1097&amp;"|"&amp;$B1097,MemKey,0))</f>
        <v/>
      </c>
      <c r="I1097" s="14">
        <f>INDEX(VarUnit,MATCH($A1097,VarKey,0))</f>
        <v/>
      </c>
      <c r="J1097" s="14">
        <f>INDEX(VarSrc,MATCH($A1097,VarKey,0))</f>
        <v/>
      </c>
      <c r="K1097" s="11">
        <f>CodePrefix&amp;$A1097&amp;IF($C1097="","","."&amp;$C1097&amp;"."&amp;$B1097)&amp;INDEX(VarEnd,MATCH($A1097,VarKey,0))&amp;K$5</f>
        <v/>
      </c>
      <c r="L1097" s="43">
        <f>L1079*Settings!$C$13*(INDEX(L$407:L$418,$D1097)+INDEX(L$394:L$405,$D1097)+L1052*(1+$E1097))</f>
        <v/>
      </c>
      <c r="M1097" s="44">
        <f>M1079*Settings!$C$13*(INDEX(M$407:M$418,$D1097)+INDEX(M$394:M$405,$D1097)+M1052*(1+$E1097))</f>
        <v/>
      </c>
      <c r="N1097" s="44">
        <f>N1079*Settings!$C$13*(INDEX(N$407:N$418,$D1097)+INDEX(N$394:N$405,$D1097)+N1052*(1+$E1097))</f>
        <v/>
      </c>
      <c r="O1097" s="44">
        <f>O1079*Settings!$C$13*(INDEX(O$407:O$418,$D1097)+INDEX(O$394:O$405,$D1097)+O1052*(1+$E1097))</f>
        <v/>
      </c>
      <c r="P1097" s="44">
        <f>P1079*Settings!$C$13*(INDEX(P$407:P$418,$D1097)+INDEX(P$394:P$405,$D1097)+P1052*(1+$E1097))</f>
        <v/>
      </c>
      <c r="Q1097" s="44">
        <f>Q1079*Settings!$C$13*(INDEX(Q$407:Q$418,$D1097)+INDEX(Q$394:Q$405,$D1097)+Q1052*(1+$E1097))</f>
        <v/>
      </c>
      <c r="R1097" s="44">
        <f>R1079*Settings!$C$13*(INDEX(R$407:R$418,$D1097)+INDEX(R$394:R$405,$D1097)+R1052*(1+$E1097))</f>
        <v/>
      </c>
      <c r="S1097" s="44">
        <f>S1079*Settings!$C$13*(INDEX(S$407:S$418,$D1097)+INDEX(S$394:S$405,$D1097)+S1052*(1+$E1097))</f>
        <v/>
      </c>
      <c r="T1097" s="44">
        <f>T1079*Settings!$C$13*(INDEX(T$407:T$418,$D1097)+INDEX(T$394:T$405,$D1097)+T1052*(1+$E1097))</f>
        <v/>
      </c>
      <c r="U1097" s="44">
        <f>U1079*Settings!$C$13*(INDEX(U$407:U$418,$D1097)+INDEX(U$394:U$405,$D1097)+U1052*(1+$E1097))</f>
        <v/>
      </c>
      <c r="V1097" s="44">
        <f>V1079*Settings!$C$13*(INDEX(V$407:V$418,$D1097)+INDEX(V$394:V$405,$D1097)+V1052*(1+$E1097))</f>
        <v/>
      </c>
      <c r="W1097" s="44">
        <f>W1079*Settings!$C$13*(INDEX(W$407:W$418,$D1097)+INDEX(W$394:W$405,$D1097)+W1052*(1+$E1097))</f>
        <v/>
      </c>
      <c r="X1097" s="44">
        <f>X1079*Settings!$C$13*(INDEX(X$407:X$418,$D1097)+INDEX(X$394:X$405,$D1097)+X1052*(1+$E1097))</f>
        <v/>
      </c>
      <c r="Y1097" s="44">
        <f>Y1079*Settings!$C$13*(INDEX(Y$407:Y$418,$D1097)+INDEX(Y$394:Y$405,$D1097)+Y1052*(1+$E1097))</f>
        <v/>
      </c>
      <c r="Z1097" s="44">
        <f>Z1079*Settings!$C$13*(INDEX(Z$407:Z$418,$D1097)+INDEX(Z$394:Z$405,$D1097)+Z1052*(1+$E1097))</f>
        <v/>
      </c>
      <c r="AA1097" s="44">
        <f>AA1079*Settings!$C$13*(INDEX(AA$407:AA$418,$D1097)+INDEX(AA$394:AA$405,$D1097)+AA1052*(1+$E1097))</f>
        <v/>
      </c>
      <c r="AB1097" s="44">
        <f>AB1079*Settings!$C$13*(INDEX(AB$407:AB$418,$D1097)+INDEX(AB$394:AB$405,$D1097)+AB1052*(1+$E1097))</f>
        <v/>
      </c>
      <c r="AC1097" s="44">
        <f>AC1079*Settings!$C$13*(INDEX(AC$407:AC$418,$D1097)+INDEX(AC$394:AC$405,$D1097)+AC1052*(1+$E1097))</f>
        <v/>
      </c>
      <c r="AD1097" s="44">
        <f>AD1079*Settings!$C$13*(INDEX(AD$407:AD$418,$D1097)+INDEX(AD$394:AD$405,$D1097)+AD1052*(1+$E1097))</f>
        <v/>
      </c>
      <c r="AE1097" s="57">
        <f>REVENUE(AE1079,Settings!$C$13,INDEX(AE$407:AE$418,$D1097)+INDEX(AE$394:AE$405,$D1097)+AE1052*(1+$E1097))</f>
        <v/>
      </c>
      <c r="AG1097" s="11">
        <f>CodePrefix&amp;$A1097&amp;IF($C1097="","","."&amp;$C1097&amp;"."&amp;$B1097)&amp;INDEX(VarEnd,MATCH($A1097,VarKey,0))&amp;AG$5</f>
        <v/>
      </c>
      <c r="AH1097" s="43">
        <f>AH1079*Settings!$C$13*(INDEX(AH$407:AH$418,$D1097)+INDEX(AH$394:AH$405,$D1097)+AH1052*(1+$E1097))</f>
        <v/>
      </c>
      <c r="AI1097" s="44">
        <f>AI1079*Settings!$C$13*(INDEX(AI$407:AI$418,$D1097)+INDEX(AI$394:AI$405,$D1097)+AI1052*(1+$E1097))</f>
        <v/>
      </c>
      <c r="AJ1097" s="44">
        <f>AJ1079*Settings!$C$13*(INDEX(AJ$407:AJ$418,$D1097)+INDEX(AJ$394:AJ$405,$D1097)+AJ1052*(1+$E1097))</f>
        <v/>
      </c>
      <c r="AK1097" s="44">
        <f>AK1079*Settings!$C$13*(INDEX(AK$407:AK$418,$D1097)+INDEX(AK$394:AK$405,$D1097)+AK1052*(1+$E1097))</f>
        <v/>
      </c>
      <c r="AL1097" s="44">
        <f>AL1079*Settings!$C$13*(INDEX(AL$407:AL$418,$D1097)+INDEX(AL$394:AL$405,$D1097)+AL1052*(1+$E1097))</f>
        <v/>
      </c>
      <c r="AM1097" s="44">
        <f>AM1079*Settings!$C$13*(INDEX(AM$407:AM$418,$D1097)+INDEX(AM$394:AM$405,$D1097)+AM1052*(1+$E1097))</f>
        <v/>
      </c>
      <c r="AN1097" s="44">
        <f>AN1079*Settings!$C$13*(INDEX(AN$407:AN$418,$D1097)+INDEX(AN$394:AN$405,$D1097)+AN1052*(1+$E1097))</f>
        <v/>
      </c>
      <c r="AO1097" s="44">
        <f>AO1079*Settings!$C$13*(INDEX(AO$407:AO$418,$D1097)+INDEX(AO$394:AO$405,$D1097)+AO1052*(1+$E1097))</f>
        <v/>
      </c>
      <c r="AP1097" s="44">
        <f>AP1079*Settings!$C$13*(INDEX(AP$407:AP$418,$D1097)+INDEX(AP$394:AP$405,$D1097)+AP1052*(1+$E1097))</f>
        <v/>
      </c>
      <c r="AQ1097" s="44">
        <f>AQ1079*Settings!$C$13*(INDEX(AQ$407:AQ$418,$D1097)+INDEX(AQ$394:AQ$405,$D1097)+AQ1052*(1+$E1097))</f>
        <v/>
      </c>
      <c r="AR1097" s="44">
        <f>AR1079*Settings!$C$13*(INDEX(AR$407:AR$418,$D1097)+INDEX(AR$394:AR$405,$D1097)+AR1052*(1+$E1097))</f>
        <v/>
      </c>
      <c r="AS1097" s="44">
        <f>AS1079*Settings!$C$13*(INDEX(AS$407:AS$418,$D1097)+INDEX(AS$394:AS$405,$D1097)+AS1052*(1+$E1097))</f>
        <v/>
      </c>
      <c r="AT1097" s="44">
        <f>AT1079*Settings!$C$13*(INDEX(AT$407:AT$418,$D1097)+INDEX(AT$394:AT$405,$D1097)+AT1052*(1+$E1097))</f>
        <v/>
      </c>
      <c r="AU1097" s="44">
        <f>AU1079*Settings!$C$13*(INDEX(AU$407:AU$418,$D1097)+INDEX(AU$394:AU$405,$D1097)+AU1052*(1+$E1097))</f>
        <v/>
      </c>
      <c r="AV1097" s="44">
        <f>AV1079*Settings!$C$13*(INDEX(AV$407:AV$418,$D1097)+INDEX(AV$394:AV$405,$D1097)+AV1052*(1+$E1097))</f>
        <v/>
      </c>
      <c r="AW1097" s="44">
        <f>AW1079*Settings!$C$13*(INDEX(AW$407:AW$418,$D1097)+INDEX(AW$394:AW$405,$D1097)+AW1052*(1+$E1097))</f>
        <v/>
      </c>
      <c r="AX1097" s="44">
        <f>AX1079*Settings!$C$13*(INDEX(AX$407:AX$418,$D1097)+INDEX(AX$394:AX$405,$D1097)+AX1052*(1+$E1097))</f>
        <v/>
      </c>
      <c r="AY1097" s="44">
        <f>AY1079*Settings!$C$13*(INDEX(AY$407:AY$418,$D1097)+INDEX(AY$394:AY$405,$D1097)+AY1052*(1+$E1097))</f>
        <v/>
      </c>
      <c r="AZ1097" s="44">
        <f>AZ1079*Settings!$C$13*(INDEX(AZ$407:AZ$418,$D1097)+INDEX(AZ$394:AZ$405,$D1097)+AZ1052*(1+$E1097))</f>
        <v/>
      </c>
      <c r="BA1097" s="57">
        <f>REVENUE(BA1079,Settings!$C$13,INDEX(BA$407:BA$418,$D1097)+INDEX(BA$394:BA$405,$D1097)+BA1052*(1+$E1097))</f>
        <v/>
      </c>
    </row>
    <row r="1098" hidden="1" outlineLevel="2">
      <c r="A1098" s="14" t="inlineStr">
        <is>
          <t>rtx</t>
        </is>
      </c>
      <c r="B1098" s="14" t="inlineStr">
        <is>
          <t>nga</t>
        </is>
      </c>
      <c r="C1098" s="14" t="inlineStr">
        <is>
          <t>rod</t>
        </is>
      </c>
      <c r="D1098" s="35">
        <f>INDEX(Inputs!$U$5:$U$132,MATCH($B1098&amp;"|"&amp;$C1098,Inputs!$A$5:$A$132,0))</f>
        <v/>
      </c>
      <c r="E1098" s="35">
        <f>INDEX(Inputs!$V$5:$V$132,MATCH($B1098&amp;"|"&amp;$C1098,Inputs!$A$5:$A$132,0))</f>
        <v/>
      </c>
      <c r="F1098" s="39" t="n"/>
      <c r="G1098" s="39" t="n"/>
      <c r="H1098" s="14">
        <f>INDEX(VarLab,MATCH($A1098,VarKey,0))&amp;INDEX(MemLab,MATCH($C1098&amp;"|"&amp;$B1098,MemKey,0))</f>
        <v/>
      </c>
      <c r="I1098" s="14">
        <f>INDEX(VarUnit,MATCH($A1098,VarKey,0))</f>
        <v/>
      </c>
      <c r="J1098" s="14">
        <f>INDEX(VarSrc,MATCH($A1098,VarKey,0))</f>
        <v/>
      </c>
      <c r="K1098" s="11">
        <f>CodePrefix&amp;$A1098&amp;IF($C1098="","","."&amp;$C1098&amp;"."&amp;$B1098)&amp;INDEX(VarEnd,MATCH($A1098,VarKey,0))&amp;K$5</f>
        <v/>
      </c>
      <c r="L1098" s="43">
        <f>L1080*Settings!$C$13*(INDEX(L$407:L$418,$D1098)+INDEX(L$394:L$405,$D1098)+L1053*(1+$E1098))</f>
        <v/>
      </c>
      <c r="M1098" s="44">
        <f>M1080*Settings!$C$13*(INDEX(M$407:M$418,$D1098)+INDEX(M$394:M$405,$D1098)+M1053*(1+$E1098))</f>
        <v/>
      </c>
      <c r="N1098" s="44">
        <f>N1080*Settings!$C$13*(INDEX(N$407:N$418,$D1098)+INDEX(N$394:N$405,$D1098)+N1053*(1+$E1098))</f>
        <v/>
      </c>
      <c r="O1098" s="44">
        <f>O1080*Settings!$C$13*(INDEX(O$407:O$418,$D1098)+INDEX(O$394:O$405,$D1098)+O1053*(1+$E1098))</f>
        <v/>
      </c>
      <c r="P1098" s="44">
        <f>P1080*Settings!$C$13*(INDEX(P$407:P$418,$D1098)+INDEX(P$394:P$405,$D1098)+P1053*(1+$E1098))</f>
        <v/>
      </c>
      <c r="Q1098" s="44">
        <f>Q1080*Settings!$C$13*(INDEX(Q$407:Q$418,$D1098)+INDEX(Q$394:Q$405,$D1098)+Q1053*(1+$E1098))</f>
        <v/>
      </c>
      <c r="R1098" s="44">
        <f>R1080*Settings!$C$13*(INDEX(R$407:R$418,$D1098)+INDEX(R$394:R$405,$D1098)+R1053*(1+$E1098))</f>
        <v/>
      </c>
      <c r="S1098" s="44">
        <f>S1080*Settings!$C$13*(INDEX(S$407:S$418,$D1098)+INDEX(S$394:S$405,$D1098)+S1053*(1+$E1098))</f>
        <v/>
      </c>
      <c r="T1098" s="44">
        <f>T1080*Settings!$C$13*(INDEX(T$407:T$418,$D1098)+INDEX(T$394:T$405,$D1098)+T1053*(1+$E1098))</f>
        <v/>
      </c>
      <c r="U1098" s="44">
        <f>U1080*Settings!$C$13*(INDEX(U$407:U$418,$D1098)+INDEX(U$394:U$405,$D1098)+U1053*(1+$E1098))</f>
        <v/>
      </c>
      <c r="V1098" s="44">
        <f>V1080*Settings!$C$13*(INDEX(V$407:V$418,$D1098)+INDEX(V$394:V$405,$D1098)+V1053*(1+$E1098))</f>
        <v/>
      </c>
      <c r="W1098" s="44">
        <f>W1080*Settings!$C$13*(INDEX(W$407:W$418,$D1098)+INDEX(W$394:W$405,$D1098)+W1053*(1+$E1098))</f>
        <v/>
      </c>
      <c r="X1098" s="44">
        <f>X1080*Settings!$C$13*(INDEX(X$407:X$418,$D1098)+INDEX(X$394:X$405,$D1098)+X1053*(1+$E1098))</f>
        <v/>
      </c>
      <c r="Y1098" s="44">
        <f>Y1080*Settings!$C$13*(INDEX(Y$407:Y$418,$D1098)+INDEX(Y$394:Y$405,$D1098)+Y1053*(1+$E1098))</f>
        <v/>
      </c>
      <c r="Z1098" s="44">
        <f>Z1080*Settings!$C$13*(INDEX(Z$407:Z$418,$D1098)+INDEX(Z$394:Z$405,$D1098)+Z1053*(1+$E1098))</f>
        <v/>
      </c>
      <c r="AA1098" s="44">
        <f>AA1080*Settings!$C$13*(INDEX(AA$407:AA$418,$D1098)+INDEX(AA$394:AA$405,$D1098)+AA1053*(1+$E1098))</f>
        <v/>
      </c>
      <c r="AB1098" s="44">
        <f>AB1080*Settings!$C$13*(INDEX(AB$407:AB$418,$D1098)+INDEX(AB$394:AB$405,$D1098)+AB1053*(1+$E1098))</f>
        <v/>
      </c>
      <c r="AC1098" s="44">
        <f>AC1080*Settings!$C$13*(INDEX(AC$407:AC$418,$D1098)+INDEX(AC$394:AC$405,$D1098)+AC1053*(1+$E1098))</f>
        <v/>
      </c>
      <c r="AD1098" s="44">
        <f>AD1080*Settings!$C$13*(INDEX(AD$407:AD$418,$D1098)+INDEX(AD$394:AD$405,$D1098)+AD1053*(1+$E1098))</f>
        <v/>
      </c>
      <c r="AE1098" s="57">
        <f>REVENUE(AE1080,Settings!$C$13,INDEX(AE$407:AE$418,$D1098)+INDEX(AE$394:AE$405,$D1098)+AE1053*(1+$E1098))</f>
        <v/>
      </c>
      <c r="AG1098" s="11">
        <f>CodePrefix&amp;$A1098&amp;IF($C1098="","","."&amp;$C1098&amp;"."&amp;$B1098)&amp;INDEX(VarEnd,MATCH($A1098,VarKey,0))&amp;AG$5</f>
        <v/>
      </c>
      <c r="AH1098" s="43">
        <f>AH1080*Settings!$C$13*(INDEX(AH$407:AH$418,$D1098)+INDEX(AH$394:AH$405,$D1098)+AH1053*(1+$E1098))</f>
        <v/>
      </c>
      <c r="AI1098" s="44">
        <f>AI1080*Settings!$C$13*(INDEX(AI$407:AI$418,$D1098)+INDEX(AI$394:AI$405,$D1098)+AI1053*(1+$E1098))</f>
        <v/>
      </c>
      <c r="AJ1098" s="44">
        <f>AJ1080*Settings!$C$13*(INDEX(AJ$407:AJ$418,$D1098)+INDEX(AJ$394:AJ$405,$D1098)+AJ1053*(1+$E1098))</f>
        <v/>
      </c>
      <c r="AK1098" s="44">
        <f>AK1080*Settings!$C$13*(INDEX(AK$407:AK$418,$D1098)+INDEX(AK$394:AK$405,$D1098)+AK1053*(1+$E1098))</f>
        <v/>
      </c>
      <c r="AL1098" s="44">
        <f>AL1080*Settings!$C$13*(INDEX(AL$407:AL$418,$D1098)+INDEX(AL$394:AL$405,$D1098)+AL1053*(1+$E1098))</f>
        <v/>
      </c>
      <c r="AM1098" s="44">
        <f>AM1080*Settings!$C$13*(INDEX(AM$407:AM$418,$D1098)+INDEX(AM$394:AM$405,$D1098)+AM1053*(1+$E1098))</f>
        <v/>
      </c>
      <c r="AN1098" s="44">
        <f>AN1080*Settings!$C$13*(INDEX(AN$407:AN$418,$D1098)+INDEX(AN$394:AN$405,$D1098)+AN1053*(1+$E1098))</f>
        <v/>
      </c>
      <c r="AO1098" s="44">
        <f>AO1080*Settings!$C$13*(INDEX(AO$407:AO$418,$D1098)+INDEX(AO$394:AO$405,$D1098)+AO1053*(1+$E1098))</f>
        <v/>
      </c>
      <c r="AP1098" s="44">
        <f>AP1080*Settings!$C$13*(INDEX(AP$407:AP$418,$D1098)+INDEX(AP$394:AP$405,$D1098)+AP1053*(1+$E1098))</f>
        <v/>
      </c>
      <c r="AQ1098" s="44">
        <f>AQ1080*Settings!$C$13*(INDEX(AQ$407:AQ$418,$D1098)+INDEX(AQ$394:AQ$405,$D1098)+AQ1053*(1+$E1098))</f>
        <v/>
      </c>
      <c r="AR1098" s="44">
        <f>AR1080*Settings!$C$13*(INDEX(AR$407:AR$418,$D1098)+INDEX(AR$394:AR$405,$D1098)+AR1053*(1+$E1098))</f>
        <v/>
      </c>
      <c r="AS1098" s="44">
        <f>AS1080*Settings!$C$13*(INDEX(AS$407:AS$418,$D1098)+INDEX(AS$394:AS$405,$D1098)+AS1053*(1+$E1098))</f>
        <v/>
      </c>
      <c r="AT1098" s="44">
        <f>AT1080*Settings!$C$13*(INDEX(AT$407:AT$418,$D1098)+INDEX(AT$394:AT$405,$D1098)+AT1053*(1+$E1098))</f>
        <v/>
      </c>
      <c r="AU1098" s="44">
        <f>AU1080*Settings!$C$13*(INDEX(AU$407:AU$418,$D1098)+INDEX(AU$394:AU$405,$D1098)+AU1053*(1+$E1098))</f>
        <v/>
      </c>
      <c r="AV1098" s="44">
        <f>AV1080*Settings!$C$13*(INDEX(AV$407:AV$418,$D1098)+INDEX(AV$394:AV$405,$D1098)+AV1053*(1+$E1098))</f>
        <v/>
      </c>
      <c r="AW1098" s="44">
        <f>AW1080*Settings!$C$13*(INDEX(AW$407:AW$418,$D1098)+INDEX(AW$394:AW$405,$D1098)+AW1053*(1+$E1098))</f>
        <v/>
      </c>
      <c r="AX1098" s="44">
        <f>AX1080*Settings!$C$13*(INDEX(AX$407:AX$418,$D1098)+INDEX(AX$394:AX$405,$D1098)+AX1053*(1+$E1098))</f>
        <v/>
      </c>
      <c r="AY1098" s="44">
        <f>AY1080*Settings!$C$13*(INDEX(AY$407:AY$418,$D1098)+INDEX(AY$394:AY$405,$D1098)+AY1053*(1+$E1098))</f>
        <v/>
      </c>
      <c r="AZ1098" s="44">
        <f>AZ1080*Settings!$C$13*(INDEX(AZ$407:AZ$418,$D1098)+INDEX(AZ$394:AZ$405,$D1098)+AZ1053*(1+$E1098))</f>
        <v/>
      </c>
      <c r="BA1098" s="57">
        <f>REVENUE(BA1080,Settings!$C$13,INDEX(BA$407:BA$418,$D1098)+INDEX(BA$394:BA$405,$D1098)+BA1053*(1+$E1098))</f>
        <v/>
      </c>
    </row>
    <row r="1099" hidden="1" outlineLevel="2">
      <c r="A1099" s="14" t="inlineStr">
        <is>
          <t>rtx</t>
        </is>
      </c>
      <c r="B1099" s="14" t="inlineStr">
        <is>
          <t>gso</t>
        </is>
      </c>
      <c r="C1099" s="14" t="inlineStr">
        <is>
          <t>rod</t>
        </is>
      </c>
      <c r="D1099" s="35">
        <f>INDEX(Inputs!$U$5:$U$132,MATCH($B1099&amp;"|"&amp;$C1099,Inputs!$A$5:$A$132,0))</f>
        <v/>
      </c>
      <c r="E1099" s="35">
        <f>INDEX(Inputs!$V$5:$V$132,MATCH($B1099&amp;"|"&amp;$C1099,Inputs!$A$5:$A$132,0))</f>
        <v/>
      </c>
      <c r="F1099" s="39" t="n"/>
      <c r="G1099" s="39" t="n"/>
      <c r="H1099" s="14">
        <f>INDEX(VarLab,MATCH($A1099,VarKey,0))&amp;INDEX(MemLab,MATCH($C1099&amp;"|"&amp;$B1099,MemKey,0))</f>
        <v/>
      </c>
      <c r="I1099" s="14">
        <f>INDEX(VarUnit,MATCH($A1099,VarKey,0))</f>
        <v/>
      </c>
      <c r="J1099" s="14">
        <f>INDEX(VarSrc,MATCH($A1099,VarKey,0))</f>
        <v/>
      </c>
      <c r="K1099" s="11">
        <f>CodePrefix&amp;$A1099&amp;IF($C1099="","","."&amp;$C1099&amp;"."&amp;$B1099)&amp;INDEX(VarEnd,MATCH($A1099,VarKey,0))&amp;K$5</f>
        <v/>
      </c>
      <c r="L1099" s="43">
        <f>L1081*Settings!$C$13*(INDEX(L$407:L$418,$D1099)+INDEX(L$394:L$405,$D1099)+L1054*(1+$E1099))</f>
        <v/>
      </c>
      <c r="M1099" s="44">
        <f>M1081*Settings!$C$13*(INDEX(M$407:M$418,$D1099)+INDEX(M$394:M$405,$D1099)+M1054*(1+$E1099))</f>
        <v/>
      </c>
      <c r="N1099" s="44">
        <f>N1081*Settings!$C$13*(INDEX(N$407:N$418,$D1099)+INDEX(N$394:N$405,$D1099)+N1054*(1+$E1099))</f>
        <v/>
      </c>
      <c r="O1099" s="44">
        <f>O1081*Settings!$C$13*(INDEX(O$407:O$418,$D1099)+INDEX(O$394:O$405,$D1099)+O1054*(1+$E1099))</f>
        <v/>
      </c>
      <c r="P1099" s="44">
        <f>P1081*Settings!$C$13*(INDEX(P$407:P$418,$D1099)+INDEX(P$394:P$405,$D1099)+P1054*(1+$E1099))</f>
        <v/>
      </c>
      <c r="Q1099" s="44">
        <f>Q1081*Settings!$C$13*(INDEX(Q$407:Q$418,$D1099)+INDEX(Q$394:Q$405,$D1099)+Q1054*(1+$E1099))</f>
        <v/>
      </c>
      <c r="R1099" s="44">
        <f>R1081*Settings!$C$13*(INDEX(R$407:R$418,$D1099)+INDEX(R$394:R$405,$D1099)+R1054*(1+$E1099))</f>
        <v/>
      </c>
      <c r="S1099" s="44">
        <f>S1081*Settings!$C$13*(INDEX(S$407:S$418,$D1099)+INDEX(S$394:S$405,$D1099)+S1054*(1+$E1099))</f>
        <v/>
      </c>
      <c r="T1099" s="44">
        <f>T1081*Settings!$C$13*(INDEX(T$407:T$418,$D1099)+INDEX(T$394:T$405,$D1099)+T1054*(1+$E1099))</f>
        <v/>
      </c>
      <c r="U1099" s="44">
        <f>U1081*Settings!$C$13*(INDEX(U$407:U$418,$D1099)+INDEX(U$394:U$405,$D1099)+U1054*(1+$E1099))</f>
        <v/>
      </c>
      <c r="V1099" s="44">
        <f>V1081*Settings!$C$13*(INDEX(V$407:V$418,$D1099)+INDEX(V$394:V$405,$D1099)+V1054*(1+$E1099))</f>
        <v/>
      </c>
      <c r="W1099" s="44">
        <f>W1081*Settings!$C$13*(INDEX(W$407:W$418,$D1099)+INDEX(W$394:W$405,$D1099)+W1054*(1+$E1099))</f>
        <v/>
      </c>
      <c r="X1099" s="44">
        <f>X1081*Settings!$C$13*(INDEX(X$407:X$418,$D1099)+INDEX(X$394:X$405,$D1099)+X1054*(1+$E1099))</f>
        <v/>
      </c>
      <c r="Y1099" s="44">
        <f>Y1081*Settings!$C$13*(INDEX(Y$407:Y$418,$D1099)+INDEX(Y$394:Y$405,$D1099)+Y1054*(1+$E1099))</f>
        <v/>
      </c>
      <c r="Z1099" s="44">
        <f>Z1081*Settings!$C$13*(INDEX(Z$407:Z$418,$D1099)+INDEX(Z$394:Z$405,$D1099)+Z1054*(1+$E1099))</f>
        <v/>
      </c>
      <c r="AA1099" s="44">
        <f>AA1081*Settings!$C$13*(INDEX(AA$407:AA$418,$D1099)+INDEX(AA$394:AA$405,$D1099)+AA1054*(1+$E1099))</f>
        <v/>
      </c>
      <c r="AB1099" s="44">
        <f>AB1081*Settings!$C$13*(INDEX(AB$407:AB$418,$D1099)+INDEX(AB$394:AB$405,$D1099)+AB1054*(1+$E1099))</f>
        <v/>
      </c>
      <c r="AC1099" s="44">
        <f>AC1081*Settings!$C$13*(INDEX(AC$407:AC$418,$D1099)+INDEX(AC$394:AC$405,$D1099)+AC1054*(1+$E1099))</f>
        <v/>
      </c>
      <c r="AD1099" s="44">
        <f>AD1081*Settings!$C$13*(INDEX(AD$407:AD$418,$D1099)+INDEX(AD$394:AD$405,$D1099)+AD1054*(1+$E1099))</f>
        <v/>
      </c>
      <c r="AE1099" s="57">
        <f>REVENUE(AE1081,Settings!$C$13,INDEX(AE$407:AE$418,$D1099)+INDEX(AE$394:AE$405,$D1099)+AE1054*(1+$E1099))</f>
        <v/>
      </c>
      <c r="AG1099" s="11">
        <f>CodePrefix&amp;$A1099&amp;IF($C1099="","","."&amp;$C1099&amp;"."&amp;$B1099)&amp;INDEX(VarEnd,MATCH($A1099,VarKey,0))&amp;AG$5</f>
        <v/>
      </c>
      <c r="AH1099" s="43">
        <f>AH1081*Settings!$C$13*(INDEX(AH$407:AH$418,$D1099)+INDEX(AH$394:AH$405,$D1099)+AH1054*(1+$E1099))</f>
        <v/>
      </c>
      <c r="AI1099" s="44">
        <f>AI1081*Settings!$C$13*(INDEX(AI$407:AI$418,$D1099)+INDEX(AI$394:AI$405,$D1099)+AI1054*(1+$E1099))</f>
        <v/>
      </c>
      <c r="AJ1099" s="44">
        <f>AJ1081*Settings!$C$13*(INDEX(AJ$407:AJ$418,$D1099)+INDEX(AJ$394:AJ$405,$D1099)+AJ1054*(1+$E1099))</f>
        <v/>
      </c>
      <c r="AK1099" s="44">
        <f>AK1081*Settings!$C$13*(INDEX(AK$407:AK$418,$D1099)+INDEX(AK$394:AK$405,$D1099)+AK1054*(1+$E1099))</f>
        <v/>
      </c>
      <c r="AL1099" s="44">
        <f>AL1081*Settings!$C$13*(INDEX(AL$407:AL$418,$D1099)+INDEX(AL$394:AL$405,$D1099)+AL1054*(1+$E1099))</f>
        <v/>
      </c>
      <c r="AM1099" s="44">
        <f>AM1081*Settings!$C$13*(INDEX(AM$407:AM$418,$D1099)+INDEX(AM$394:AM$405,$D1099)+AM1054*(1+$E1099))</f>
        <v/>
      </c>
      <c r="AN1099" s="44">
        <f>AN1081*Settings!$C$13*(INDEX(AN$407:AN$418,$D1099)+INDEX(AN$394:AN$405,$D1099)+AN1054*(1+$E1099))</f>
        <v/>
      </c>
      <c r="AO1099" s="44">
        <f>AO1081*Settings!$C$13*(INDEX(AO$407:AO$418,$D1099)+INDEX(AO$394:AO$405,$D1099)+AO1054*(1+$E1099))</f>
        <v/>
      </c>
      <c r="AP1099" s="44">
        <f>AP1081*Settings!$C$13*(INDEX(AP$407:AP$418,$D1099)+INDEX(AP$394:AP$405,$D1099)+AP1054*(1+$E1099))</f>
        <v/>
      </c>
      <c r="AQ1099" s="44">
        <f>AQ1081*Settings!$C$13*(INDEX(AQ$407:AQ$418,$D1099)+INDEX(AQ$394:AQ$405,$D1099)+AQ1054*(1+$E1099))</f>
        <v/>
      </c>
      <c r="AR1099" s="44">
        <f>AR1081*Settings!$C$13*(INDEX(AR$407:AR$418,$D1099)+INDEX(AR$394:AR$405,$D1099)+AR1054*(1+$E1099))</f>
        <v/>
      </c>
      <c r="AS1099" s="44">
        <f>AS1081*Settings!$C$13*(INDEX(AS$407:AS$418,$D1099)+INDEX(AS$394:AS$405,$D1099)+AS1054*(1+$E1099))</f>
        <v/>
      </c>
      <c r="AT1099" s="44">
        <f>AT1081*Settings!$C$13*(INDEX(AT$407:AT$418,$D1099)+INDEX(AT$394:AT$405,$D1099)+AT1054*(1+$E1099))</f>
        <v/>
      </c>
      <c r="AU1099" s="44">
        <f>AU1081*Settings!$C$13*(INDEX(AU$407:AU$418,$D1099)+INDEX(AU$394:AU$405,$D1099)+AU1054*(1+$E1099))</f>
        <v/>
      </c>
      <c r="AV1099" s="44">
        <f>AV1081*Settings!$C$13*(INDEX(AV$407:AV$418,$D1099)+INDEX(AV$394:AV$405,$D1099)+AV1054*(1+$E1099))</f>
        <v/>
      </c>
      <c r="AW1099" s="44">
        <f>AW1081*Settings!$C$13*(INDEX(AW$407:AW$418,$D1099)+INDEX(AW$394:AW$405,$D1099)+AW1054*(1+$E1099))</f>
        <v/>
      </c>
      <c r="AX1099" s="44">
        <f>AX1081*Settings!$C$13*(INDEX(AX$407:AX$418,$D1099)+INDEX(AX$394:AX$405,$D1099)+AX1054*(1+$E1099))</f>
        <v/>
      </c>
      <c r="AY1099" s="44">
        <f>AY1081*Settings!$C$13*(INDEX(AY$407:AY$418,$D1099)+INDEX(AY$394:AY$405,$D1099)+AY1054*(1+$E1099))</f>
        <v/>
      </c>
      <c r="AZ1099" s="44">
        <f>AZ1081*Settings!$C$13*(INDEX(AZ$407:AZ$418,$D1099)+INDEX(AZ$394:AZ$405,$D1099)+AZ1054*(1+$E1099))</f>
        <v/>
      </c>
      <c r="BA1099" s="57">
        <f>REVENUE(BA1081,Settings!$C$13,INDEX(BA$407:BA$418,$D1099)+INDEX(BA$394:BA$405,$D1099)+BA1054*(1+$E1099))</f>
        <v/>
      </c>
    </row>
    <row r="1100" hidden="1" outlineLevel="2">
      <c r="A1100" s="14" t="inlineStr">
        <is>
          <t>rtx</t>
        </is>
      </c>
      <c r="B1100" s="14" t="inlineStr">
        <is>
          <t>die</t>
        </is>
      </c>
      <c r="C1100" s="14" t="inlineStr">
        <is>
          <t>rod</t>
        </is>
      </c>
      <c r="D1100" s="35">
        <f>INDEX(Inputs!$U$5:$U$132,MATCH($B1100&amp;"|"&amp;$C1100,Inputs!$A$5:$A$132,0))</f>
        <v/>
      </c>
      <c r="E1100" s="35">
        <f>INDEX(Inputs!$V$5:$V$132,MATCH($B1100&amp;"|"&amp;$C1100,Inputs!$A$5:$A$132,0))</f>
        <v/>
      </c>
      <c r="F1100" s="39" t="n"/>
      <c r="G1100" s="39" t="n"/>
      <c r="H1100" s="14">
        <f>INDEX(VarLab,MATCH($A1100,VarKey,0))&amp;INDEX(MemLab,MATCH($C1100&amp;"|"&amp;$B1100,MemKey,0))</f>
        <v/>
      </c>
      <c r="I1100" s="14">
        <f>INDEX(VarUnit,MATCH($A1100,VarKey,0))</f>
        <v/>
      </c>
      <c r="J1100" s="14">
        <f>INDEX(VarSrc,MATCH($A1100,VarKey,0))</f>
        <v/>
      </c>
      <c r="K1100" s="11">
        <f>CodePrefix&amp;$A1100&amp;IF($C1100="","","."&amp;$C1100&amp;"."&amp;$B1100)&amp;INDEX(VarEnd,MATCH($A1100,VarKey,0))&amp;K$5</f>
        <v/>
      </c>
      <c r="L1100" s="43">
        <f>L1082*Settings!$C$13*(INDEX(L$407:L$418,$D1100)+INDEX(L$394:L$405,$D1100)+L1055*(1+$E1100))</f>
        <v/>
      </c>
      <c r="M1100" s="44">
        <f>M1082*Settings!$C$13*(INDEX(M$407:M$418,$D1100)+INDEX(M$394:M$405,$D1100)+M1055*(1+$E1100))</f>
        <v/>
      </c>
      <c r="N1100" s="44">
        <f>N1082*Settings!$C$13*(INDEX(N$407:N$418,$D1100)+INDEX(N$394:N$405,$D1100)+N1055*(1+$E1100))</f>
        <v/>
      </c>
      <c r="O1100" s="44">
        <f>O1082*Settings!$C$13*(INDEX(O$407:O$418,$D1100)+INDEX(O$394:O$405,$D1100)+O1055*(1+$E1100))</f>
        <v/>
      </c>
      <c r="P1100" s="44">
        <f>P1082*Settings!$C$13*(INDEX(P$407:P$418,$D1100)+INDEX(P$394:P$405,$D1100)+P1055*(1+$E1100))</f>
        <v/>
      </c>
      <c r="Q1100" s="44">
        <f>Q1082*Settings!$C$13*(INDEX(Q$407:Q$418,$D1100)+INDEX(Q$394:Q$405,$D1100)+Q1055*(1+$E1100))</f>
        <v/>
      </c>
      <c r="R1100" s="44">
        <f>R1082*Settings!$C$13*(INDEX(R$407:R$418,$D1100)+INDEX(R$394:R$405,$D1100)+R1055*(1+$E1100))</f>
        <v/>
      </c>
      <c r="S1100" s="44">
        <f>S1082*Settings!$C$13*(INDEX(S$407:S$418,$D1100)+INDEX(S$394:S$405,$D1100)+S1055*(1+$E1100))</f>
        <v/>
      </c>
      <c r="T1100" s="44">
        <f>T1082*Settings!$C$13*(INDEX(T$407:T$418,$D1100)+INDEX(T$394:T$405,$D1100)+T1055*(1+$E1100))</f>
        <v/>
      </c>
      <c r="U1100" s="44">
        <f>U1082*Settings!$C$13*(INDEX(U$407:U$418,$D1100)+INDEX(U$394:U$405,$D1100)+U1055*(1+$E1100))</f>
        <v/>
      </c>
      <c r="V1100" s="44">
        <f>V1082*Settings!$C$13*(INDEX(V$407:V$418,$D1100)+INDEX(V$394:V$405,$D1100)+V1055*(1+$E1100))</f>
        <v/>
      </c>
      <c r="W1100" s="44">
        <f>W1082*Settings!$C$13*(INDEX(W$407:W$418,$D1100)+INDEX(W$394:W$405,$D1100)+W1055*(1+$E1100))</f>
        <v/>
      </c>
      <c r="X1100" s="44">
        <f>X1082*Settings!$C$13*(INDEX(X$407:X$418,$D1100)+INDEX(X$394:X$405,$D1100)+X1055*(1+$E1100))</f>
        <v/>
      </c>
      <c r="Y1100" s="44">
        <f>Y1082*Settings!$C$13*(INDEX(Y$407:Y$418,$D1100)+INDEX(Y$394:Y$405,$D1100)+Y1055*(1+$E1100))</f>
        <v/>
      </c>
      <c r="Z1100" s="44">
        <f>Z1082*Settings!$C$13*(INDEX(Z$407:Z$418,$D1100)+INDEX(Z$394:Z$405,$D1100)+Z1055*(1+$E1100))</f>
        <v/>
      </c>
      <c r="AA1100" s="44">
        <f>AA1082*Settings!$C$13*(INDEX(AA$407:AA$418,$D1100)+INDEX(AA$394:AA$405,$D1100)+AA1055*(1+$E1100))</f>
        <v/>
      </c>
      <c r="AB1100" s="44">
        <f>AB1082*Settings!$C$13*(INDEX(AB$407:AB$418,$D1100)+INDEX(AB$394:AB$405,$D1100)+AB1055*(1+$E1100))</f>
        <v/>
      </c>
      <c r="AC1100" s="44">
        <f>AC1082*Settings!$C$13*(INDEX(AC$407:AC$418,$D1100)+INDEX(AC$394:AC$405,$D1100)+AC1055*(1+$E1100))</f>
        <v/>
      </c>
      <c r="AD1100" s="44">
        <f>AD1082*Settings!$C$13*(INDEX(AD$407:AD$418,$D1100)+INDEX(AD$394:AD$405,$D1100)+AD1055*(1+$E1100))</f>
        <v/>
      </c>
      <c r="AE1100" s="57">
        <f>REVENUE(AE1082,Settings!$C$13,INDEX(AE$407:AE$418,$D1100)+INDEX(AE$394:AE$405,$D1100)+AE1055*(1+$E1100))</f>
        <v/>
      </c>
      <c r="AG1100" s="11">
        <f>CodePrefix&amp;$A1100&amp;IF($C1100="","","."&amp;$C1100&amp;"."&amp;$B1100)&amp;INDEX(VarEnd,MATCH($A1100,VarKey,0))&amp;AG$5</f>
        <v/>
      </c>
      <c r="AH1100" s="43">
        <f>AH1082*Settings!$C$13*(INDEX(AH$407:AH$418,$D1100)+INDEX(AH$394:AH$405,$D1100)+AH1055*(1+$E1100))</f>
        <v/>
      </c>
      <c r="AI1100" s="44">
        <f>AI1082*Settings!$C$13*(INDEX(AI$407:AI$418,$D1100)+INDEX(AI$394:AI$405,$D1100)+AI1055*(1+$E1100))</f>
        <v/>
      </c>
      <c r="AJ1100" s="44">
        <f>AJ1082*Settings!$C$13*(INDEX(AJ$407:AJ$418,$D1100)+INDEX(AJ$394:AJ$405,$D1100)+AJ1055*(1+$E1100))</f>
        <v/>
      </c>
      <c r="AK1100" s="44">
        <f>AK1082*Settings!$C$13*(INDEX(AK$407:AK$418,$D1100)+INDEX(AK$394:AK$405,$D1100)+AK1055*(1+$E1100))</f>
        <v/>
      </c>
      <c r="AL1100" s="44">
        <f>AL1082*Settings!$C$13*(INDEX(AL$407:AL$418,$D1100)+INDEX(AL$394:AL$405,$D1100)+AL1055*(1+$E1100))</f>
        <v/>
      </c>
      <c r="AM1100" s="44">
        <f>AM1082*Settings!$C$13*(INDEX(AM$407:AM$418,$D1100)+INDEX(AM$394:AM$405,$D1100)+AM1055*(1+$E1100))</f>
        <v/>
      </c>
      <c r="AN1100" s="44">
        <f>AN1082*Settings!$C$13*(INDEX(AN$407:AN$418,$D1100)+INDEX(AN$394:AN$405,$D1100)+AN1055*(1+$E1100))</f>
        <v/>
      </c>
      <c r="AO1100" s="44">
        <f>AO1082*Settings!$C$13*(INDEX(AO$407:AO$418,$D1100)+INDEX(AO$394:AO$405,$D1100)+AO1055*(1+$E1100))</f>
        <v/>
      </c>
      <c r="AP1100" s="44">
        <f>AP1082*Settings!$C$13*(INDEX(AP$407:AP$418,$D1100)+INDEX(AP$394:AP$405,$D1100)+AP1055*(1+$E1100))</f>
        <v/>
      </c>
      <c r="AQ1100" s="44">
        <f>AQ1082*Settings!$C$13*(INDEX(AQ$407:AQ$418,$D1100)+INDEX(AQ$394:AQ$405,$D1100)+AQ1055*(1+$E1100))</f>
        <v/>
      </c>
      <c r="AR1100" s="44">
        <f>AR1082*Settings!$C$13*(INDEX(AR$407:AR$418,$D1100)+INDEX(AR$394:AR$405,$D1100)+AR1055*(1+$E1100))</f>
        <v/>
      </c>
      <c r="AS1100" s="44">
        <f>AS1082*Settings!$C$13*(INDEX(AS$407:AS$418,$D1100)+INDEX(AS$394:AS$405,$D1100)+AS1055*(1+$E1100))</f>
        <v/>
      </c>
      <c r="AT1100" s="44">
        <f>AT1082*Settings!$C$13*(INDEX(AT$407:AT$418,$D1100)+INDEX(AT$394:AT$405,$D1100)+AT1055*(1+$E1100))</f>
        <v/>
      </c>
      <c r="AU1100" s="44">
        <f>AU1082*Settings!$C$13*(INDEX(AU$407:AU$418,$D1100)+INDEX(AU$394:AU$405,$D1100)+AU1055*(1+$E1100))</f>
        <v/>
      </c>
      <c r="AV1100" s="44">
        <f>AV1082*Settings!$C$13*(INDEX(AV$407:AV$418,$D1100)+INDEX(AV$394:AV$405,$D1100)+AV1055*(1+$E1100))</f>
        <v/>
      </c>
      <c r="AW1100" s="44">
        <f>AW1082*Settings!$C$13*(INDEX(AW$407:AW$418,$D1100)+INDEX(AW$394:AW$405,$D1100)+AW1055*(1+$E1100))</f>
        <v/>
      </c>
      <c r="AX1100" s="44">
        <f>AX1082*Settings!$C$13*(INDEX(AX$407:AX$418,$D1100)+INDEX(AX$394:AX$405,$D1100)+AX1055*(1+$E1100))</f>
        <v/>
      </c>
      <c r="AY1100" s="44">
        <f>AY1082*Settings!$C$13*(INDEX(AY$407:AY$418,$D1100)+INDEX(AY$394:AY$405,$D1100)+AY1055*(1+$E1100))</f>
        <v/>
      </c>
      <c r="AZ1100" s="44">
        <f>AZ1082*Settings!$C$13*(INDEX(AZ$407:AZ$418,$D1100)+INDEX(AZ$394:AZ$405,$D1100)+AZ1055*(1+$E1100))</f>
        <v/>
      </c>
      <c r="BA1100" s="57">
        <f>REVENUE(BA1082,Settings!$C$13,INDEX(BA$407:BA$418,$D1100)+INDEX(BA$394:BA$405,$D1100)+BA1055*(1+$E1100))</f>
        <v/>
      </c>
    </row>
    <row r="1101" hidden="1" outlineLevel="2">
      <c r="A1101" s="14" t="inlineStr">
        <is>
          <t>rtx</t>
        </is>
      </c>
      <c r="B1101" s="14" t="inlineStr">
        <is>
          <t>lpg</t>
        </is>
      </c>
      <c r="C1101" s="14" t="inlineStr">
        <is>
          <t>rod</t>
        </is>
      </c>
      <c r="D1101" s="35">
        <f>INDEX(Inputs!$U$5:$U$132,MATCH($B1101&amp;"|"&amp;$C1101,Inputs!$A$5:$A$132,0))</f>
        <v/>
      </c>
      <c r="E1101" s="35">
        <f>INDEX(Inputs!$V$5:$V$132,MATCH($B1101&amp;"|"&amp;$C1101,Inputs!$A$5:$A$132,0))</f>
        <v/>
      </c>
      <c r="F1101" s="39" t="n"/>
      <c r="G1101" s="39" t="n"/>
      <c r="H1101" s="14">
        <f>INDEX(VarLab,MATCH($A1101,VarKey,0))&amp;INDEX(MemLab,MATCH($C1101&amp;"|"&amp;$B1101,MemKey,0))</f>
        <v/>
      </c>
      <c r="I1101" s="14">
        <f>INDEX(VarUnit,MATCH($A1101,VarKey,0))</f>
        <v/>
      </c>
      <c r="J1101" s="14">
        <f>INDEX(VarSrc,MATCH($A1101,VarKey,0))</f>
        <v/>
      </c>
      <c r="K1101" s="11">
        <f>CodePrefix&amp;$A1101&amp;IF($C1101="","","."&amp;$C1101&amp;"."&amp;$B1101)&amp;INDEX(VarEnd,MATCH($A1101,VarKey,0))&amp;K$5</f>
        <v/>
      </c>
      <c r="L1101" s="43">
        <f>L1083*Settings!$C$13*(INDEX(L$407:L$418,$D1101)+INDEX(L$394:L$405,$D1101)+L1056*(1+$E1101))</f>
        <v/>
      </c>
      <c r="M1101" s="44">
        <f>M1083*Settings!$C$13*(INDEX(M$407:M$418,$D1101)+INDEX(M$394:M$405,$D1101)+M1056*(1+$E1101))</f>
        <v/>
      </c>
      <c r="N1101" s="44">
        <f>N1083*Settings!$C$13*(INDEX(N$407:N$418,$D1101)+INDEX(N$394:N$405,$D1101)+N1056*(1+$E1101))</f>
        <v/>
      </c>
      <c r="O1101" s="44">
        <f>O1083*Settings!$C$13*(INDEX(O$407:O$418,$D1101)+INDEX(O$394:O$405,$D1101)+O1056*(1+$E1101))</f>
        <v/>
      </c>
      <c r="P1101" s="44">
        <f>P1083*Settings!$C$13*(INDEX(P$407:P$418,$D1101)+INDEX(P$394:P$405,$D1101)+P1056*(1+$E1101))</f>
        <v/>
      </c>
      <c r="Q1101" s="44">
        <f>Q1083*Settings!$C$13*(INDEX(Q$407:Q$418,$D1101)+INDEX(Q$394:Q$405,$D1101)+Q1056*(1+$E1101))</f>
        <v/>
      </c>
      <c r="R1101" s="44">
        <f>R1083*Settings!$C$13*(INDEX(R$407:R$418,$D1101)+INDEX(R$394:R$405,$D1101)+R1056*(1+$E1101))</f>
        <v/>
      </c>
      <c r="S1101" s="44">
        <f>S1083*Settings!$C$13*(INDEX(S$407:S$418,$D1101)+INDEX(S$394:S$405,$D1101)+S1056*(1+$E1101))</f>
        <v/>
      </c>
      <c r="T1101" s="44">
        <f>T1083*Settings!$C$13*(INDEX(T$407:T$418,$D1101)+INDEX(T$394:T$405,$D1101)+T1056*(1+$E1101))</f>
        <v/>
      </c>
      <c r="U1101" s="44">
        <f>U1083*Settings!$C$13*(INDEX(U$407:U$418,$D1101)+INDEX(U$394:U$405,$D1101)+U1056*(1+$E1101))</f>
        <v/>
      </c>
      <c r="V1101" s="44">
        <f>V1083*Settings!$C$13*(INDEX(V$407:V$418,$D1101)+INDEX(V$394:V$405,$D1101)+V1056*(1+$E1101))</f>
        <v/>
      </c>
      <c r="W1101" s="44">
        <f>W1083*Settings!$C$13*(INDEX(W$407:W$418,$D1101)+INDEX(W$394:W$405,$D1101)+W1056*(1+$E1101))</f>
        <v/>
      </c>
      <c r="X1101" s="44">
        <f>X1083*Settings!$C$13*(INDEX(X$407:X$418,$D1101)+INDEX(X$394:X$405,$D1101)+X1056*(1+$E1101))</f>
        <v/>
      </c>
      <c r="Y1101" s="44">
        <f>Y1083*Settings!$C$13*(INDEX(Y$407:Y$418,$D1101)+INDEX(Y$394:Y$405,$D1101)+Y1056*(1+$E1101))</f>
        <v/>
      </c>
      <c r="Z1101" s="44">
        <f>Z1083*Settings!$C$13*(INDEX(Z$407:Z$418,$D1101)+INDEX(Z$394:Z$405,$D1101)+Z1056*(1+$E1101))</f>
        <v/>
      </c>
      <c r="AA1101" s="44">
        <f>AA1083*Settings!$C$13*(INDEX(AA$407:AA$418,$D1101)+INDEX(AA$394:AA$405,$D1101)+AA1056*(1+$E1101))</f>
        <v/>
      </c>
      <c r="AB1101" s="44">
        <f>AB1083*Settings!$C$13*(INDEX(AB$407:AB$418,$D1101)+INDEX(AB$394:AB$405,$D1101)+AB1056*(1+$E1101))</f>
        <v/>
      </c>
      <c r="AC1101" s="44">
        <f>AC1083*Settings!$C$13*(INDEX(AC$407:AC$418,$D1101)+INDEX(AC$394:AC$405,$D1101)+AC1056*(1+$E1101))</f>
        <v/>
      </c>
      <c r="AD1101" s="44">
        <f>AD1083*Settings!$C$13*(INDEX(AD$407:AD$418,$D1101)+INDEX(AD$394:AD$405,$D1101)+AD1056*(1+$E1101))</f>
        <v/>
      </c>
      <c r="AE1101" s="57">
        <f>REVENUE(AE1083,Settings!$C$13,INDEX(AE$407:AE$418,$D1101)+INDEX(AE$394:AE$405,$D1101)+AE1056*(1+$E1101))</f>
        <v/>
      </c>
      <c r="AG1101" s="11">
        <f>CodePrefix&amp;$A1101&amp;IF($C1101="","","."&amp;$C1101&amp;"."&amp;$B1101)&amp;INDEX(VarEnd,MATCH($A1101,VarKey,0))&amp;AG$5</f>
        <v/>
      </c>
      <c r="AH1101" s="43">
        <f>AH1083*Settings!$C$13*(INDEX(AH$407:AH$418,$D1101)+INDEX(AH$394:AH$405,$D1101)+AH1056*(1+$E1101))</f>
        <v/>
      </c>
      <c r="AI1101" s="44">
        <f>AI1083*Settings!$C$13*(INDEX(AI$407:AI$418,$D1101)+INDEX(AI$394:AI$405,$D1101)+AI1056*(1+$E1101))</f>
        <v/>
      </c>
      <c r="AJ1101" s="44">
        <f>AJ1083*Settings!$C$13*(INDEX(AJ$407:AJ$418,$D1101)+INDEX(AJ$394:AJ$405,$D1101)+AJ1056*(1+$E1101))</f>
        <v/>
      </c>
      <c r="AK1101" s="44">
        <f>AK1083*Settings!$C$13*(INDEX(AK$407:AK$418,$D1101)+INDEX(AK$394:AK$405,$D1101)+AK1056*(1+$E1101))</f>
        <v/>
      </c>
      <c r="AL1101" s="44">
        <f>AL1083*Settings!$C$13*(INDEX(AL$407:AL$418,$D1101)+INDEX(AL$394:AL$405,$D1101)+AL1056*(1+$E1101))</f>
        <v/>
      </c>
      <c r="AM1101" s="44">
        <f>AM1083*Settings!$C$13*(INDEX(AM$407:AM$418,$D1101)+INDEX(AM$394:AM$405,$D1101)+AM1056*(1+$E1101))</f>
        <v/>
      </c>
      <c r="AN1101" s="44">
        <f>AN1083*Settings!$C$13*(INDEX(AN$407:AN$418,$D1101)+INDEX(AN$394:AN$405,$D1101)+AN1056*(1+$E1101))</f>
        <v/>
      </c>
      <c r="AO1101" s="44">
        <f>AO1083*Settings!$C$13*(INDEX(AO$407:AO$418,$D1101)+INDEX(AO$394:AO$405,$D1101)+AO1056*(1+$E1101))</f>
        <v/>
      </c>
      <c r="AP1101" s="44">
        <f>AP1083*Settings!$C$13*(INDEX(AP$407:AP$418,$D1101)+INDEX(AP$394:AP$405,$D1101)+AP1056*(1+$E1101))</f>
        <v/>
      </c>
      <c r="AQ1101" s="44">
        <f>AQ1083*Settings!$C$13*(INDEX(AQ$407:AQ$418,$D1101)+INDEX(AQ$394:AQ$405,$D1101)+AQ1056*(1+$E1101))</f>
        <v/>
      </c>
      <c r="AR1101" s="44">
        <f>AR1083*Settings!$C$13*(INDEX(AR$407:AR$418,$D1101)+INDEX(AR$394:AR$405,$D1101)+AR1056*(1+$E1101))</f>
        <v/>
      </c>
      <c r="AS1101" s="44">
        <f>AS1083*Settings!$C$13*(INDEX(AS$407:AS$418,$D1101)+INDEX(AS$394:AS$405,$D1101)+AS1056*(1+$E1101))</f>
        <v/>
      </c>
      <c r="AT1101" s="44">
        <f>AT1083*Settings!$C$13*(INDEX(AT$407:AT$418,$D1101)+INDEX(AT$394:AT$405,$D1101)+AT1056*(1+$E1101))</f>
        <v/>
      </c>
      <c r="AU1101" s="44">
        <f>AU1083*Settings!$C$13*(INDEX(AU$407:AU$418,$D1101)+INDEX(AU$394:AU$405,$D1101)+AU1056*(1+$E1101))</f>
        <v/>
      </c>
      <c r="AV1101" s="44">
        <f>AV1083*Settings!$C$13*(INDEX(AV$407:AV$418,$D1101)+INDEX(AV$394:AV$405,$D1101)+AV1056*(1+$E1101))</f>
        <v/>
      </c>
      <c r="AW1101" s="44">
        <f>AW1083*Settings!$C$13*(INDEX(AW$407:AW$418,$D1101)+INDEX(AW$394:AW$405,$D1101)+AW1056*(1+$E1101))</f>
        <v/>
      </c>
      <c r="AX1101" s="44">
        <f>AX1083*Settings!$C$13*(INDEX(AX$407:AX$418,$D1101)+INDEX(AX$394:AX$405,$D1101)+AX1056*(1+$E1101))</f>
        <v/>
      </c>
      <c r="AY1101" s="44">
        <f>AY1083*Settings!$C$13*(INDEX(AY$407:AY$418,$D1101)+INDEX(AY$394:AY$405,$D1101)+AY1056*(1+$E1101))</f>
        <v/>
      </c>
      <c r="AZ1101" s="44">
        <f>AZ1083*Settings!$C$13*(INDEX(AZ$407:AZ$418,$D1101)+INDEX(AZ$394:AZ$405,$D1101)+AZ1056*(1+$E1101))</f>
        <v/>
      </c>
      <c r="BA1101" s="57">
        <f>REVENUE(BA1083,Settings!$C$13,INDEX(BA$407:BA$418,$D1101)+INDEX(BA$394:BA$405,$D1101)+BA1056*(1+$E1101))</f>
        <v/>
      </c>
    </row>
    <row r="1102" hidden="1" outlineLevel="2">
      <c r="A1102" s="14" t="inlineStr">
        <is>
          <t>rtx</t>
        </is>
      </c>
      <c r="B1102" s="14" t="inlineStr">
        <is>
          <t>ker</t>
        </is>
      </c>
      <c r="C1102" s="14" t="inlineStr">
        <is>
          <t>rod</t>
        </is>
      </c>
      <c r="D1102" s="35">
        <f>INDEX(Inputs!$U$5:$U$132,MATCH($B1102&amp;"|"&amp;$C1102,Inputs!$A$5:$A$132,0))</f>
        <v/>
      </c>
      <c r="E1102" s="35">
        <f>INDEX(Inputs!$V$5:$V$132,MATCH($B1102&amp;"|"&amp;$C1102,Inputs!$A$5:$A$132,0))</f>
        <v/>
      </c>
      <c r="F1102" s="39" t="n"/>
      <c r="G1102" s="39" t="n"/>
      <c r="H1102" s="14">
        <f>INDEX(VarLab,MATCH($A1102,VarKey,0))&amp;INDEX(MemLab,MATCH($C1102&amp;"|"&amp;$B1102,MemKey,0))</f>
        <v/>
      </c>
      <c r="I1102" s="14">
        <f>INDEX(VarUnit,MATCH($A1102,VarKey,0))</f>
        <v/>
      </c>
      <c r="J1102" s="14">
        <f>INDEX(VarSrc,MATCH($A1102,VarKey,0))</f>
        <v/>
      </c>
      <c r="K1102" s="11">
        <f>CodePrefix&amp;$A1102&amp;IF($C1102="","","."&amp;$C1102&amp;"."&amp;$B1102)&amp;INDEX(VarEnd,MATCH($A1102,VarKey,0))&amp;K$5</f>
        <v/>
      </c>
      <c r="L1102" s="43">
        <f>L1084*Settings!$C$13*(INDEX(L$407:L$418,$D1102)+INDEX(L$394:L$405,$D1102)+L1057*(1+$E1102))</f>
        <v/>
      </c>
      <c r="M1102" s="44">
        <f>M1084*Settings!$C$13*(INDEX(M$407:M$418,$D1102)+INDEX(M$394:M$405,$D1102)+M1057*(1+$E1102))</f>
        <v/>
      </c>
      <c r="N1102" s="44">
        <f>N1084*Settings!$C$13*(INDEX(N$407:N$418,$D1102)+INDEX(N$394:N$405,$D1102)+N1057*(1+$E1102))</f>
        <v/>
      </c>
      <c r="O1102" s="44">
        <f>O1084*Settings!$C$13*(INDEX(O$407:O$418,$D1102)+INDEX(O$394:O$405,$D1102)+O1057*(1+$E1102))</f>
        <v/>
      </c>
      <c r="P1102" s="44">
        <f>P1084*Settings!$C$13*(INDEX(P$407:P$418,$D1102)+INDEX(P$394:P$405,$D1102)+P1057*(1+$E1102))</f>
        <v/>
      </c>
      <c r="Q1102" s="44">
        <f>Q1084*Settings!$C$13*(INDEX(Q$407:Q$418,$D1102)+INDEX(Q$394:Q$405,$D1102)+Q1057*(1+$E1102))</f>
        <v/>
      </c>
      <c r="R1102" s="44">
        <f>R1084*Settings!$C$13*(INDEX(R$407:R$418,$D1102)+INDEX(R$394:R$405,$D1102)+R1057*(1+$E1102))</f>
        <v/>
      </c>
      <c r="S1102" s="44">
        <f>S1084*Settings!$C$13*(INDEX(S$407:S$418,$D1102)+INDEX(S$394:S$405,$D1102)+S1057*(1+$E1102))</f>
        <v/>
      </c>
      <c r="T1102" s="44">
        <f>T1084*Settings!$C$13*(INDEX(T$407:T$418,$D1102)+INDEX(T$394:T$405,$D1102)+T1057*(1+$E1102))</f>
        <v/>
      </c>
      <c r="U1102" s="44">
        <f>U1084*Settings!$C$13*(INDEX(U$407:U$418,$D1102)+INDEX(U$394:U$405,$D1102)+U1057*(1+$E1102))</f>
        <v/>
      </c>
      <c r="V1102" s="44">
        <f>V1084*Settings!$C$13*(INDEX(V$407:V$418,$D1102)+INDEX(V$394:V$405,$D1102)+V1057*(1+$E1102))</f>
        <v/>
      </c>
      <c r="W1102" s="44">
        <f>W1084*Settings!$C$13*(INDEX(W$407:W$418,$D1102)+INDEX(W$394:W$405,$D1102)+W1057*(1+$E1102))</f>
        <v/>
      </c>
      <c r="X1102" s="44">
        <f>X1084*Settings!$C$13*(INDEX(X$407:X$418,$D1102)+INDEX(X$394:X$405,$D1102)+X1057*(1+$E1102))</f>
        <v/>
      </c>
      <c r="Y1102" s="44">
        <f>Y1084*Settings!$C$13*(INDEX(Y$407:Y$418,$D1102)+INDEX(Y$394:Y$405,$D1102)+Y1057*(1+$E1102))</f>
        <v/>
      </c>
      <c r="Z1102" s="44">
        <f>Z1084*Settings!$C$13*(INDEX(Z$407:Z$418,$D1102)+INDEX(Z$394:Z$405,$D1102)+Z1057*(1+$E1102))</f>
        <v/>
      </c>
      <c r="AA1102" s="44">
        <f>AA1084*Settings!$C$13*(INDEX(AA$407:AA$418,$D1102)+INDEX(AA$394:AA$405,$D1102)+AA1057*(1+$E1102))</f>
        <v/>
      </c>
      <c r="AB1102" s="44">
        <f>AB1084*Settings!$C$13*(INDEX(AB$407:AB$418,$D1102)+INDEX(AB$394:AB$405,$D1102)+AB1057*(1+$E1102))</f>
        <v/>
      </c>
      <c r="AC1102" s="44">
        <f>AC1084*Settings!$C$13*(INDEX(AC$407:AC$418,$D1102)+INDEX(AC$394:AC$405,$D1102)+AC1057*(1+$E1102))</f>
        <v/>
      </c>
      <c r="AD1102" s="44">
        <f>AD1084*Settings!$C$13*(INDEX(AD$407:AD$418,$D1102)+INDEX(AD$394:AD$405,$D1102)+AD1057*(1+$E1102))</f>
        <v/>
      </c>
      <c r="AE1102" s="57">
        <f>REVENUE(AE1084,Settings!$C$13,INDEX(AE$407:AE$418,$D1102)+INDEX(AE$394:AE$405,$D1102)+AE1057*(1+$E1102))</f>
        <v/>
      </c>
      <c r="AG1102" s="11">
        <f>CodePrefix&amp;$A1102&amp;IF($C1102="","","."&amp;$C1102&amp;"."&amp;$B1102)&amp;INDEX(VarEnd,MATCH($A1102,VarKey,0))&amp;AG$5</f>
        <v/>
      </c>
      <c r="AH1102" s="43">
        <f>AH1084*Settings!$C$13*(INDEX(AH$407:AH$418,$D1102)+INDEX(AH$394:AH$405,$D1102)+AH1057*(1+$E1102))</f>
        <v/>
      </c>
      <c r="AI1102" s="44">
        <f>AI1084*Settings!$C$13*(INDEX(AI$407:AI$418,$D1102)+INDEX(AI$394:AI$405,$D1102)+AI1057*(1+$E1102))</f>
        <v/>
      </c>
      <c r="AJ1102" s="44">
        <f>AJ1084*Settings!$C$13*(INDEX(AJ$407:AJ$418,$D1102)+INDEX(AJ$394:AJ$405,$D1102)+AJ1057*(1+$E1102))</f>
        <v/>
      </c>
      <c r="AK1102" s="44">
        <f>AK1084*Settings!$C$13*(INDEX(AK$407:AK$418,$D1102)+INDEX(AK$394:AK$405,$D1102)+AK1057*(1+$E1102))</f>
        <v/>
      </c>
      <c r="AL1102" s="44">
        <f>AL1084*Settings!$C$13*(INDEX(AL$407:AL$418,$D1102)+INDEX(AL$394:AL$405,$D1102)+AL1057*(1+$E1102))</f>
        <v/>
      </c>
      <c r="AM1102" s="44">
        <f>AM1084*Settings!$C$13*(INDEX(AM$407:AM$418,$D1102)+INDEX(AM$394:AM$405,$D1102)+AM1057*(1+$E1102))</f>
        <v/>
      </c>
      <c r="AN1102" s="44">
        <f>AN1084*Settings!$C$13*(INDEX(AN$407:AN$418,$D1102)+INDEX(AN$394:AN$405,$D1102)+AN1057*(1+$E1102))</f>
        <v/>
      </c>
      <c r="AO1102" s="44">
        <f>AO1084*Settings!$C$13*(INDEX(AO$407:AO$418,$D1102)+INDEX(AO$394:AO$405,$D1102)+AO1057*(1+$E1102))</f>
        <v/>
      </c>
      <c r="AP1102" s="44">
        <f>AP1084*Settings!$C$13*(INDEX(AP$407:AP$418,$D1102)+INDEX(AP$394:AP$405,$D1102)+AP1057*(1+$E1102))</f>
        <v/>
      </c>
      <c r="AQ1102" s="44">
        <f>AQ1084*Settings!$C$13*(INDEX(AQ$407:AQ$418,$D1102)+INDEX(AQ$394:AQ$405,$D1102)+AQ1057*(1+$E1102))</f>
        <v/>
      </c>
      <c r="AR1102" s="44">
        <f>AR1084*Settings!$C$13*(INDEX(AR$407:AR$418,$D1102)+INDEX(AR$394:AR$405,$D1102)+AR1057*(1+$E1102))</f>
        <v/>
      </c>
      <c r="AS1102" s="44">
        <f>AS1084*Settings!$C$13*(INDEX(AS$407:AS$418,$D1102)+INDEX(AS$394:AS$405,$D1102)+AS1057*(1+$E1102))</f>
        <v/>
      </c>
      <c r="AT1102" s="44">
        <f>AT1084*Settings!$C$13*(INDEX(AT$407:AT$418,$D1102)+INDEX(AT$394:AT$405,$D1102)+AT1057*(1+$E1102))</f>
        <v/>
      </c>
      <c r="AU1102" s="44">
        <f>AU1084*Settings!$C$13*(INDEX(AU$407:AU$418,$D1102)+INDEX(AU$394:AU$405,$D1102)+AU1057*(1+$E1102))</f>
        <v/>
      </c>
      <c r="AV1102" s="44">
        <f>AV1084*Settings!$C$13*(INDEX(AV$407:AV$418,$D1102)+INDEX(AV$394:AV$405,$D1102)+AV1057*(1+$E1102))</f>
        <v/>
      </c>
      <c r="AW1102" s="44">
        <f>AW1084*Settings!$C$13*(INDEX(AW$407:AW$418,$D1102)+INDEX(AW$394:AW$405,$D1102)+AW1057*(1+$E1102))</f>
        <v/>
      </c>
      <c r="AX1102" s="44">
        <f>AX1084*Settings!$C$13*(INDEX(AX$407:AX$418,$D1102)+INDEX(AX$394:AX$405,$D1102)+AX1057*(1+$E1102))</f>
        <v/>
      </c>
      <c r="AY1102" s="44">
        <f>AY1084*Settings!$C$13*(INDEX(AY$407:AY$418,$D1102)+INDEX(AY$394:AY$405,$D1102)+AY1057*(1+$E1102))</f>
        <v/>
      </c>
      <c r="AZ1102" s="44">
        <f>AZ1084*Settings!$C$13*(INDEX(AZ$407:AZ$418,$D1102)+INDEX(AZ$394:AZ$405,$D1102)+AZ1057*(1+$E1102))</f>
        <v/>
      </c>
      <c r="BA1102" s="57">
        <f>REVENUE(BA1084,Settings!$C$13,INDEX(BA$407:BA$418,$D1102)+INDEX(BA$394:BA$405,$D1102)+BA1057*(1+$E1102))</f>
        <v/>
      </c>
    </row>
    <row r="1103" hidden="1" outlineLevel="2">
      <c r="A1103" s="14" t="inlineStr">
        <is>
          <t>rtx</t>
        </is>
      </c>
      <c r="B1103" s="14" t="inlineStr">
        <is>
          <t>oop</t>
        </is>
      </c>
      <c r="C1103" s="14" t="inlineStr">
        <is>
          <t>rod</t>
        </is>
      </c>
      <c r="D1103" s="35">
        <f>INDEX(Inputs!$U$5:$U$132,MATCH($B1103&amp;"|"&amp;$C1103,Inputs!$A$5:$A$132,0))</f>
        <v/>
      </c>
      <c r="E1103" s="35">
        <f>INDEX(Inputs!$V$5:$V$132,MATCH($B1103&amp;"|"&amp;$C1103,Inputs!$A$5:$A$132,0))</f>
        <v/>
      </c>
      <c r="F1103" s="39" t="n"/>
      <c r="G1103" s="39" t="n"/>
      <c r="H1103" s="14">
        <f>INDEX(VarLab,MATCH($A1103,VarKey,0))&amp;INDEX(MemLab,MATCH($C1103&amp;"|"&amp;$B1103,MemKey,0))</f>
        <v/>
      </c>
      <c r="I1103" s="14">
        <f>INDEX(VarUnit,MATCH($A1103,VarKey,0))</f>
        <v/>
      </c>
      <c r="J1103" s="14">
        <f>INDEX(VarSrc,MATCH($A1103,VarKey,0))</f>
        <v/>
      </c>
      <c r="K1103" s="11">
        <f>CodePrefix&amp;$A1103&amp;IF($C1103="","","."&amp;$C1103&amp;"."&amp;$B1103)&amp;INDEX(VarEnd,MATCH($A1103,VarKey,0))&amp;K$5</f>
        <v/>
      </c>
      <c r="L1103" s="43">
        <f>L1085*Settings!$C$13*(INDEX(L$407:L$418,$D1103)+INDEX(L$394:L$405,$D1103)+L1058*(1+$E1103))</f>
        <v/>
      </c>
      <c r="M1103" s="44">
        <f>M1085*Settings!$C$13*(INDEX(M$407:M$418,$D1103)+INDEX(M$394:M$405,$D1103)+M1058*(1+$E1103))</f>
        <v/>
      </c>
      <c r="N1103" s="44">
        <f>N1085*Settings!$C$13*(INDEX(N$407:N$418,$D1103)+INDEX(N$394:N$405,$D1103)+N1058*(1+$E1103))</f>
        <v/>
      </c>
      <c r="O1103" s="44">
        <f>O1085*Settings!$C$13*(INDEX(O$407:O$418,$D1103)+INDEX(O$394:O$405,$D1103)+O1058*(1+$E1103))</f>
        <v/>
      </c>
      <c r="P1103" s="44">
        <f>P1085*Settings!$C$13*(INDEX(P$407:P$418,$D1103)+INDEX(P$394:P$405,$D1103)+P1058*(1+$E1103))</f>
        <v/>
      </c>
      <c r="Q1103" s="44">
        <f>Q1085*Settings!$C$13*(INDEX(Q$407:Q$418,$D1103)+INDEX(Q$394:Q$405,$D1103)+Q1058*(1+$E1103))</f>
        <v/>
      </c>
      <c r="R1103" s="44">
        <f>R1085*Settings!$C$13*(INDEX(R$407:R$418,$D1103)+INDEX(R$394:R$405,$D1103)+R1058*(1+$E1103))</f>
        <v/>
      </c>
      <c r="S1103" s="44">
        <f>S1085*Settings!$C$13*(INDEX(S$407:S$418,$D1103)+INDEX(S$394:S$405,$D1103)+S1058*(1+$E1103))</f>
        <v/>
      </c>
      <c r="T1103" s="44">
        <f>T1085*Settings!$C$13*(INDEX(T$407:T$418,$D1103)+INDEX(T$394:T$405,$D1103)+T1058*(1+$E1103))</f>
        <v/>
      </c>
      <c r="U1103" s="44">
        <f>U1085*Settings!$C$13*(INDEX(U$407:U$418,$D1103)+INDEX(U$394:U$405,$D1103)+U1058*(1+$E1103))</f>
        <v/>
      </c>
      <c r="V1103" s="44">
        <f>V1085*Settings!$C$13*(INDEX(V$407:V$418,$D1103)+INDEX(V$394:V$405,$D1103)+V1058*(1+$E1103))</f>
        <v/>
      </c>
      <c r="W1103" s="44">
        <f>W1085*Settings!$C$13*(INDEX(W$407:W$418,$D1103)+INDEX(W$394:W$405,$D1103)+W1058*(1+$E1103))</f>
        <v/>
      </c>
      <c r="X1103" s="44">
        <f>X1085*Settings!$C$13*(INDEX(X$407:X$418,$D1103)+INDEX(X$394:X$405,$D1103)+X1058*(1+$E1103))</f>
        <v/>
      </c>
      <c r="Y1103" s="44">
        <f>Y1085*Settings!$C$13*(INDEX(Y$407:Y$418,$D1103)+INDEX(Y$394:Y$405,$D1103)+Y1058*(1+$E1103))</f>
        <v/>
      </c>
      <c r="Z1103" s="44">
        <f>Z1085*Settings!$C$13*(INDEX(Z$407:Z$418,$D1103)+INDEX(Z$394:Z$405,$D1103)+Z1058*(1+$E1103))</f>
        <v/>
      </c>
      <c r="AA1103" s="44">
        <f>AA1085*Settings!$C$13*(INDEX(AA$407:AA$418,$D1103)+INDEX(AA$394:AA$405,$D1103)+AA1058*(1+$E1103))</f>
        <v/>
      </c>
      <c r="AB1103" s="44">
        <f>AB1085*Settings!$C$13*(INDEX(AB$407:AB$418,$D1103)+INDEX(AB$394:AB$405,$D1103)+AB1058*(1+$E1103))</f>
        <v/>
      </c>
      <c r="AC1103" s="44">
        <f>AC1085*Settings!$C$13*(INDEX(AC$407:AC$418,$D1103)+INDEX(AC$394:AC$405,$D1103)+AC1058*(1+$E1103))</f>
        <v/>
      </c>
      <c r="AD1103" s="44">
        <f>AD1085*Settings!$C$13*(INDEX(AD$407:AD$418,$D1103)+INDEX(AD$394:AD$405,$D1103)+AD1058*(1+$E1103))</f>
        <v/>
      </c>
      <c r="AE1103" s="57">
        <f>REVENUE(AE1085,Settings!$C$13,INDEX(AE$407:AE$418,$D1103)+INDEX(AE$394:AE$405,$D1103)+AE1058*(1+$E1103))</f>
        <v/>
      </c>
      <c r="AG1103" s="11">
        <f>CodePrefix&amp;$A1103&amp;IF($C1103="","","."&amp;$C1103&amp;"."&amp;$B1103)&amp;INDEX(VarEnd,MATCH($A1103,VarKey,0))&amp;AG$5</f>
        <v/>
      </c>
      <c r="AH1103" s="43">
        <f>AH1085*Settings!$C$13*(INDEX(AH$407:AH$418,$D1103)+INDEX(AH$394:AH$405,$D1103)+AH1058*(1+$E1103))</f>
        <v/>
      </c>
      <c r="AI1103" s="44">
        <f>AI1085*Settings!$C$13*(INDEX(AI$407:AI$418,$D1103)+INDEX(AI$394:AI$405,$D1103)+AI1058*(1+$E1103))</f>
        <v/>
      </c>
      <c r="AJ1103" s="44">
        <f>AJ1085*Settings!$C$13*(INDEX(AJ$407:AJ$418,$D1103)+INDEX(AJ$394:AJ$405,$D1103)+AJ1058*(1+$E1103))</f>
        <v/>
      </c>
      <c r="AK1103" s="44">
        <f>AK1085*Settings!$C$13*(INDEX(AK$407:AK$418,$D1103)+INDEX(AK$394:AK$405,$D1103)+AK1058*(1+$E1103))</f>
        <v/>
      </c>
      <c r="AL1103" s="44">
        <f>AL1085*Settings!$C$13*(INDEX(AL$407:AL$418,$D1103)+INDEX(AL$394:AL$405,$D1103)+AL1058*(1+$E1103))</f>
        <v/>
      </c>
      <c r="AM1103" s="44">
        <f>AM1085*Settings!$C$13*(INDEX(AM$407:AM$418,$D1103)+INDEX(AM$394:AM$405,$D1103)+AM1058*(1+$E1103))</f>
        <v/>
      </c>
      <c r="AN1103" s="44">
        <f>AN1085*Settings!$C$13*(INDEX(AN$407:AN$418,$D1103)+INDEX(AN$394:AN$405,$D1103)+AN1058*(1+$E1103))</f>
        <v/>
      </c>
      <c r="AO1103" s="44">
        <f>AO1085*Settings!$C$13*(INDEX(AO$407:AO$418,$D1103)+INDEX(AO$394:AO$405,$D1103)+AO1058*(1+$E1103))</f>
        <v/>
      </c>
      <c r="AP1103" s="44">
        <f>AP1085*Settings!$C$13*(INDEX(AP$407:AP$418,$D1103)+INDEX(AP$394:AP$405,$D1103)+AP1058*(1+$E1103))</f>
        <v/>
      </c>
      <c r="AQ1103" s="44">
        <f>AQ1085*Settings!$C$13*(INDEX(AQ$407:AQ$418,$D1103)+INDEX(AQ$394:AQ$405,$D1103)+AQ1058*(1+$E1103))</f>
        <v/>
      </c>
      <c r="AR1103" s="44">
        <f>AR1085*Settings!$C$13*(INDEX(AR$407:AR$418,$D1103)+INDEX(AR$394:AR$405,$D1103)+AR1058*(1+$E1103))</f>
        <v/>
      </c>
      <c r="AS1103" s="44">
        <f>AS1085*Settings!$C$13*(INDEX(AS$407:AS$418,$D1103)+INDEX(AS$394:AS$405,$D1103)+AS1058*(1+$E1103))</f>
        <v/>
      </c>
      <c r="AT1103" s="44">
        <f>AT1085*Settings!$C$13*(INDEX(AT$407:AT$418,$D1103)+INDEX(AT$394:AT$405,$D1103)+AT1058*(1+$E1103))</f>
        <v/>
      </c>
      <c r="AU1103" s="44">
        <f>AU1085*Settings!$C$13*(INDEX(AU$407:AU$418,$D1103)+INDEX(AU$394:AU$405,$D1103)+AU1058*(1+$E1103))</f>
        <v/>
      </c>
      <c r="AV1103" s="44">
        <f>AV1085*Settings!$C$13*(INDEX(AV$407:AV$418,$D1103)+INDEX(AV$394:AV$405,$D1103)+AV1058*(1+$E1103))</f>
        <v/>
      </c>
      <c r="AW1103" s="44">
        <f>AW1085*Settings!$C$13*(INDEX(AW$407:AW$418,$D1103)+INDEX(AW$394:AW$405,$D1103)+AW1058*(1+$E1103))</f>
        <v/>
      </c>
      <c r="AX1103" s="44">
        <f>AX1085*Settings!$C$13*(INDEX(AX$407:AX$418,$D1103)+INDEX(AX$394:AX$405,$D1103)+AX1058*(1+$E1103))</f>
        <v/>
      </c>
      <c r="AY1103" s="44">
        <f>AY1085*Settings!$C$13*(INDEX(AY$407:AY$418,$D1103)+INDEX(AY$394:AY$405,$D1103)+AY1058*(1+$E1103))</f>
        <v/>
      </c>
      <c r="AZ1103" s="44">
        <f>AZ1085*Settings!$C$13*(INDEX(AZ$407:AZ$418,$D1103)+INDEX(AZ$394:AZ$405,$D1103)+AZ1058*(1+$E1103))</f>
        <v/>
      </c>
      <c r="BA1103" s="57">
        <f>REVENUE(BA1085,Settings!$C$13,INDEX(BA$407:BA$418,$D1103)+INDEX(BA$394:BA$405,$D1103)+BA1058*(1+$E1103))</f>
        <v/>
      </c>
    </row>
    <row r="1104" hidden="1" outlineLevel="2">
      <c r="A1104" s="14" t="inlineStr">
        <is>
          <t>rtx</t>
        </is>
      </c>
      <c r="B1104" s="14" t="inlineStr">
        <is>
          <t>bio</t>
        </is>
      </c>
      <c r="C1104" s="14" t="inlineStr">
        <is>
          <t>rod</t>
        </is>
      </c>
      <c r="D1104" s="35">
        <f>INDEX(Inputs!$U$5:$U$132,MATCH($B1104&amp;"|"&amp;$C1104,Inputs!$A$5:$A$132,0))</f>
        <v/>
      </c>
      <c r="E1104" s="35">
        <f>INDEX(Inputs!$V$5:$V$132,MATCH($B1104&amp;"|"&amp;$C1104,Inputs!$A$5:$A$132,0))</f>
        <v/>
      </c>
      <c r="F1104" s="39" t="n"/>
      <c r="G1104" s="39" t="n"/>
      <c r="H1104" s="14">
        <f>INDEX(VarLab,MATCH($A1104,VarKey,0))&amp;INDEX(MemLab,MATCH($C1104&amp;"|"&amp;$B1104,MemKey,0))</f>
        <v/>
      </c>
      <c r="I1104" s="14">
        <f>INDEX(VarUnit,MATCH($A1104,VarKey,0))</f>
        <v/>
      </c>
      <c r="J1104" s="14">
        <f>INDEX(VarSrc,MATCH($A1104,VarKey,0))</f>
        <v/>
      </c>
      <c r="K1104" s="11">
        <f>CodePrefix&amp;$A1104&amp;IF($C1104="","","."&amp;$C1104&amp;"."&amp;$B1104)&amp;INDEX(VarEnd,MATCH($A1104,VarKey,0))&amp;K$5</f>
        <v/>
      </c>
      <c r="L1104" s="43">
        <f>L1086*Settings!$C$13*(INDEX(L$407:L$418,$D1104)+INDEX(L$394:L$405,$D1104)+L1059*(1+$E1104))</f>
        <v/>
      </c>
      <c r="M1104" s="44">
        <f>M1086*Settings!$C$13*(INDEX(M$407:M$418,$D1104)+INDEX(M$394:M$405,$D1104)+M1059*(1+$E1104))</f>
        <v/>
      </c>
      <c r="N1104" s="44">
        <f>N1086*Settings!$C$13*(INDEX(N$407:N$418,$D1104)+INDEX(N$394:N$405,$D1104)+N1059*(1+$E1104))</f>
        <v/>
      </c>
      <c r="O1104" s="44">
        <f>O1086*Settings!$C$13*(INDEX(O$407:O$418,$D1104)+INDEX(O$394:O$405,$D1104)+O1059*(1+$E1104))</f>
        <v/>
      </c>
      <c r="P1104" s="44">
        <f>P1086*Settings!$C$13*(INDEX(P$407:P$418,$D1104)+INDEX(P$394:P$405,$D1104)+P1059*(1+$E1104))</f>
        <v/>
      </c>
      <c r="Q1104" s="44">
        <f>Q1086*Settings!$C$13*(INDEX(Q$407:Q$418,$D1104)+INDEX(Q$394:Q$405,$D1104)+Q1059*(1+$E1104))</f>
        <v/>
      </c>
      <c r="R1104" s="44">
        <f>R1086*Settings!$C$13*(INDEX(R$407:R$418,$D1104)+INDEX(R$394:R$405,$D1104)+R1059*(1+$E1104))</f>
        <v/>
      </c>
      <c r="S1104" s="44">
        <f>S1086*Settings!$C$13*(INDEX(S$407:S$418,$D1104)+INDEX(S$394:S$405,$D1104)+S1059*(1+$E1104))</f>
        <v/>
      </c>
      <c r="T1104" s="44">
        <f>T1086*Settings!$C$13*(INDEX(T$407:T$418,$D1104)+INDEX(T$394:T$405,$D1104)+T1059*(1+$E1104))</f>
        <v/>
      </c>
      <c r="U1104" s="44">
        <f>U1086*Settings!$C$13*(INDEX(U$407:U$418,$D1104)+INDEX(U$394:U$405,$D1104)+U1059*(1+$E1104))</f>
        <v/>
      </c>
      <c r="V1104" s="44">
        <f>V1086*Settings!$C$13*(INDEX(V$407:V$418,$D1104)+INDEX(V$394:V$405,$D1104)+V1059*(1+$E1104))</f>
        <v/>
      </c>
      <c r="W1104" s="44">
        <f>W1086*Settings!$C$13*(INDEX(W$407:W$418,$D1104)+INDEX(W$394:W$405,$D1104)+W1059*(1+$E1104))</f>
        <v/>
      </c>
      <c r="X1104" s="44">
        <f>X1086*Settings!$C$13*(INDEX(X$407:X$418,$D1104)+INDEX(X$394:X$405,$D1104)+X1059*(1+$E1104))</f>
        <v/>
      </c>
      <c r="Y1104" s="44">
        <f>Y1086*Settings!$C$13*(INDEX(Y$407:Y$418,$D1104)+INDEX(Y$394:Y$405,$D1104)+Y1059*(1+$E1104))</f>
        <v/>
      </c>
      <c r="Z1104" s="44">
        <f>Z1086*Settings!$C$13*(INDEX(Z$407:Z$418,$D1104)+INDEX(Z$394:Z$405,$D1104)+Z1059*(1+$E1104))</f>
        <v/>
      </c>
      <c r="AA1104" s="44">
        <f>AA1086*Settings!$C$13*(INDEX(AA$407:AA$418,$D1104)+INDEX(AA$394:AA$405,$D1104)+AA1059*(1+$E1104))</f>
        <v/>
      </c>
      <c r="AB1104" s="44">
        <f>AB1086*Settings!$C$13*(INDEX(AB$407:AB$418,$D1104)+INDEX(AB$394:AB$405,$D1104)+AB1059*(1+$E1104))</f>
        <v/>
      </c>
      <c r="AC1104" s="44">
        <f>AC1086*Settings!$C$13*(INDEX(AC$407:AC$418,$D1104)+INDEX(AC$394:AC$405,$D1104)+AC1059*(1+$E1104))</f>
        <v/>
      </c>
      <c r="AD1104" s="44">
        <f>AD1086*Settings!$C$13*(INDEX(AD$407:AD$418,$D1104)+INDEX(AD$394:AD$405,$D1104)+AD1059*(1+$E1104))</f>
        <v/>
      </c>
      <c r="AE1104" s="57">
        <f>REVENUE(AE1086,Settings!$C$13,INDEX(AE$407:AE$418,$D1104)+INDEX(AE$394:AE$405,$D1104)+AE1059*(1+$E1104))</f>
        <v/>
      </c>
      <c r="AG1104" s="11">
        <f>CodePrefix&amp;$A1104&amp;IF($C1104="","","."&amp;$C1104&amp;"."&amp;$B1104)&amp;INDEX(VarEnd,MATCH($A1104,VarKey,0))&amp;AG$5</f>
        <v/>
      </c>
      <c r="AH1104" s="43">
        <f>AH1086*Settings!$C$13*(INDEX(AH$407:AH$418,$D1104)+INDEX(AH$394:AH$405,$D1104)+AH1059*(1+$E1104))</f>
        <v/>
      </c>
      <c r="AI1104" s="44">
        <f>AI1086*Settings!$C$13*(INDEX(AI$407:AI$418,$D1104)+INDEX(AI$394:AI$405,$D1104)+AI1059*(1+$E1104))</f>
        <v/>
      </c>
      <c r="AJ1104" s="44">
        <f>AJ1086*Settings!$C$13*(INDEX(AJ$407:AJ$418,$D1104)+INDEX(AJ$394:AJ$405,$D1104)+AJ1059*(1+$E1104))</f>
        <v/>
      </c>
      <c r="AK1104" s="44">
        <f>AK1086*Settings!$C$13*(INDEX(AK$407:AK$418,$D1104)+INDEX(AK$394:AK$405,$D1104)+AK1059*(1+$E1104))</f>
        <v/>
      </c>
      <c r="AL1104" s="44">
        <f>AL1086*Settings!$C$13*(INDEX(AL$407:AL$418,$D1104)+INDEX(AL$394:AL$405,$D1104)+AL1059*(1+$E1104))</f>
        <v/>
      </c>
      <c r="AM1104" s="44">
        <f>AM1086*Settings!$C$13*(INDEX(AM$407:AM$418,$D1104)+INDEX(AM$394:AM$405,$D1104)+AM1059*(1+$E1104))</f>
        <v/>
      </c>
      <c r="AN1104" s="44">
        <f>AN1086*Settings!$C$13*(INDEX(AN$407:AN$418,$D1104)+INDEX(AN$394:AN$405,$D1104)+AN1059*(1+$E1104))</f>
        <v/>
      </c>
      <c r="AO1104" s="44">
        <f>AO1086*Settings!$C$13*(INDEX(AO$407:AO$418,$D1104)+INDEX(AO$394:AO$405,$D1104)+AO1059*(1+$E1104))</f>
        <v/>
      </c>
      <c r="AP1104" s="44">
        <f>AP1086*Settings!$C$13*(INDEX(AP$407:AP$418,$D1104)+INDEX(AP$394:AP$405,$D1104)+AP1059*(1+$E1104))</f>
        <v/>
      </c>
      <c r="AQ1104" s="44">
        <f>AQ1086*Settings!$C$13*(INDEX(AQ$407:AQ$418,$D1104)+INDEX(AQ$394:AQ$405,$D1104)+AQ1059*(1+$E1104))</f>
        <v/>
      </c>
      <c r="AR1104" s="44">
        <f>AR1086*Settings!$C$13*(INDEX(AR$407:AR$418,$D1104)+INDEX(AR$394:AR$405,$D1104)+AR1059*(1+$E1104))</f>
        <v/>
      </c>
      <c r="AS1104" s="44">
        <f>AS1086*Settings!$C$13*(INDEX(AS$407:AS$418,$D1104)+INDEX(AS$394:AS$405,$D1104)+AS1059*(1+$E1104))</f>
        <v/>
      </c>
      <c r="AT1104" s="44">
        <f>AT1086*Settings!$C$13*(INDEX(AT$407:AT$418,$D1104)+INDEX(AT$394:AT$405,$D1104)+AT1059*(1+$E1104))</f>
        <v/>
      </c>
      <c r="AU1104" s="44">
        <f>AU1086*Settings!$C$13*(INDEX(AU$407:AU$418,$D1104)+INDEX(AU$394:AU$405,$D1104)+AU1059*(1+$E1104))</f>
        <v/>
      </c>
      <c r="AV1104" s="44">
        <f>AV1086*Settings!$C$13*(INDEX(AV$407:AV$418,$D1104)+INDEX(AV$394:AV$405,$D1104)+AV1059*(1+$E1104))</f>
        <v/>
      </c>
      <c r="AW1104" s="44">
        <f>AW1086*Settings!$C$13*(INDEX(AW$407:AW$418,$D1104)+INDEX(AW$394:AW$405,$D1104)+AW1059*(1+$E1104))</f>
        <v/>
      </c>
      <c r="AX1104" s="44">
        <f>AX1086*Settings!$C$13*(INDEX(AX$407:AX$418,$D1104)+INDEX(AX$394:AX$405,$D1104)+AX1059*(1+$E1104))</f>
        <v/>
      </c>
      <c r="AY1104" s="44">
        <f>AY1086*Settings!$C$13*(INDEX(AY$407:AY$418,$D1104)+INDEX(AY$394:AY$405,$D1104)+AY1059*(1+$E1104))</f>
        <v/>
      </c>
      <c r="AZ1104" s="44">
        <f>AZ1086*Settings!$C$13*(INDEX(AZ$407:AZ$418,$D1104)+INDEX(AZ$394:AZ$405,$D1104)+AZ1059*(1+$E1104))</f>
        <v/>
      </c>
      <c r="BA1104" s="57">
        <f>REVENUE(BA1086,Settings!$C$13,INDEX(BA$407:BA$418,$D1104)+INDEX(BA$394:BA$405,$D1104)+BA1059*(1+$E1104))</f>
        <v/>
      </c>
    </row>
    <row r="1105" hidden="1" outlineLevel="2"/>
    <row r="1106" hidden="1" outlineLevel="2">
      <c r="A1106" s="14" t="inlineStr">
        <is>
          <t>rsub</t>
        </is>
      </c>
      <c r="B1106" s="14" t="inlineStr">
        <is>
          <t>coa</t>
        </is>
      </c>
      <c r="C1106" s="14" t="inlineStr">
        <is>
          <t>rod</t>
        </is>
      </c>
      <c r="D1106" s="35">
        <f>INDEX(Inputs!$U$5:$U$132,MATCH($B1106&amp;"|"&amp;$C1106,Inputs!$A$5:$A$132,0))</f>
        <v/>
      </c>
      <c r="E1106" s="39" t="n"/>
      <c r="F1106" s="39" t="n"/>
      <c r="G1106" s="39" t="n"/>
      <c r="H1106" s="14">
        <f>INDEX(VarLab,MATCH($A1106,VarKey,0))&amp;INDEX(MemLab,MATCH($C1106&amp;"|"&amp;$B1106,MemKey,0))</f>
        <v/>
      </c>
      <c r="I1106" s="14">
        <f>INDEX(VarUnit,MATCH($A1106,VarKey,0))</f>
        <v/>
      </c>
      <c r="J1106" s="14">
        <f>INDEX(VarSrc,MATCH($A1106,VarKey,0))</f>
        <v/>
      </c>
      <c r="K1106" s="11">
        <f>CodePrefix&amp;$A1106&amp;IF($C1106="","","."&amp;$C1106&amp;"."&amp;$B1106)&amp;INDEX(VarEnd,MATCH($A1106,VarKey,0))&amp;K$5</f>
        <v/>
      </c>
      <c r="L1106" s="43">
        <f>L1079*Settings!$C$13*(INDEX(L$420:L$431,$D1106))</f>
        <v/>
      </c>
      <c r="M1106" s="44">
        <f>M1079*Settings!$C$13*(INDEX(M$420:M$431,$D1106))</f>
        <v/>
      </c>
      <c r="N1106" s="44">
        <f>N1079*Settings!$C$13*(INDEX(N$420:N$431,$D1106))</f>
        <v/>
      </c>
      <c r="O1106" s="44">
        <f>O1079*Settings!$C$13*(INDEX(O$420:O$431,$D1106))</f>
        <v/>
      </c>
      <c r="P1106" s="44">
        <f>P1079*Settings!$C$13*(INDEX(P$420:P$431,$D1106))</f>
        <v/>
      </c>
      <c r="Q1106" s="44">
        <f>Q1079*Settings!$C$13*(INDEX(Q$420:Q$431,$D1106))</f>
        <v/>
      </c>
      <c r="R1106" s="44">
        <f>R1079*Settings!$C$13*(INDEX(R$420:R$431,$D1106))</f>
        <v/>
      </c>
      <c r="S1106" s="44">
        <f>S1079*Settings!$C$13*(INDEX(S$420:S$431,$D1106))</f>
        <v/>
      </c>
      <c r="T1106" s="44">
        <f>T1079*Settings!$C$13*(INDEX(T$420:T$431,$D1106))</f>
        <v/>
      </c>
      <c r="U1106" s="44">
        <f>U1079*Settings!$C$13*(INDEX(U$420:U$431,$D1106))</f>
        <v/>
      </c>
      <c r="V1106" s="44">
        <f>V1079*Settings!$C$13*(INDEX(V$420:V$431,$D1106))</f>
        <v/>
      </c>
      <c r="W1106" s="44">
        <f>W1079*Settings!$C$13*(INDEX(W$420:W$431,$D1106))</f>
        <v/>
      </c>
      <c r="X1106" s="44">
        <f>X1079*Settings!$C$13*(INDEX(X$420:X$431,$D1106))</f>
        <v/>
      </c>
      <c r="Y1106" s="44">
        <f>Y1079*Settings!$C$13*(INDEX(Y$420:Y$431,$D1106))</f>
        <v/>
      </c>
      <c r="Z1106" s="44">
        <f>Z1079*Settings!$C$13*(INDEX(Z$420:Z$431,$D1106))</f>
        <v/>
      </c>
      <c r="AA1106" s="44">
        <f>AA1079*Settings!$C$13*(INDEX(AA$420:AA$431,$D1106))</f>
        <v/>
      </c>
      <c r="AB1106" s="44">
        <f>AB1079*Settings!$C$13*(INDEX(AB$420:AB$431,$D1106))</f>
        <v/>
      </c>
      <c r="AC1106" s="44">
        <f>AC1079*Settings!$C$13*(INDEX(AC$420:AC$431,$D1106))</f>
        <v/>
      </c>
      <c r="AD1106" s="44">
        <f>AD1079*Settings!$C$13*(INDEX(AD$420:AD$431,$D1106))</f>
        <v/>
      </c>
      <c r="AE1106" s="57">
        <f>REVENUE(AE1079,Settings!$C$13,INDEX(AE$420:AE$431,$D1106))</f>
        <v/>
      </c>
      <c r="AG1106" s="11">
        <f>CodePrefix&amp;$A1106&amp;IF($C1106="","","."&amp;$C1106&amp;"."&amp;$B1106)&amp;INDEX(VarEnd,MATCH($A1106,VarKey,0))&amp;AG$5</f>
        <v/>
      </c>
      <c r="AH1106" s="43">
        <f>AH1079*Settings!$C$13*(INDEX(AH$420:AH$431,$D1106))</f>
        <v/>
      </c>
      <c r="AI1106" s="44">
        <f>AI1079*Settings!$C$13*(INDEX(AI$420:AI$431,$D1106))</f>
        <v/>
      </c>
      <c r="AJ1106" s="44">
        <f>AJ1079*Settings!$C$13*(INDEX(AJ$420:AJ$431,$D1106))</f>
        <v/>
      </c>
      <c r="AK1106" s="44">
        <f>AK1079*Settings!$C$13*(INDEX(AK$420:AK$431,$D1106))</f>
        <v/>
      </c>
      <c r="AL1106" s="44">
        <f>AL1079*Settings!$C$13*(INDEX(AL$420:AL$431,$D1106))</f>
        <v/>
      </c>
      <c r="AM1106" s="44">
        <f>AM1079*Settings!$C$13*(INDEX(AM$420:AM$431,$D1106))</f>
        <v/>
      </c>
      <c r="AN1106" s="44">
        <f>AN1079*Settings!$C$13*(INDEX(AN$420:AN$431,$D1106))</f>
        <v/>
      </c>
      <c r="AO1106" s="44">
        <f>AO1079*Settings!$C$13*(INDEX(AO$420:AO$431,$D1106))</f>
        <v/>
      </c>
      <c r="AP1106" s="44">
        <f>AP1079*Settings!$C$13*(INDEX(AP$420:AP$431,$D1106))</f>
        <v/>
      </c>
      <c r="AQ1106" s="44">
        <f>AQ1079*Settings!$C$13*(INDEX(AQ$420:AQ$431,$D1106))</f>
        <v/>
      </c>
      <c r="AR1106" s="44">
        <f>AR1079*Settings!$C$13*(INDEX(AR$420:AR$431,$D1106))</f>
        <v/>
      </c>
      <c r="AS1106" s="44">
        <f>AS1079*Settings!$C$13*(INDEX(AS$420:AS$431,$D1106))</f>
        <v/>
      </c>
      <c r="AT1106" s="44">
        <f>AT1079*Settings!$C$13*(INDEX(AT$420:AT$431,$D1106))</f>
        <v/>
      </c>
      <c r="AU1106" s="44">
        <f>AU1079*Settings!$C$13*(INDEX(AU$420:AU$431,$D1106))</f>
        <v/>
      </c>
      <c r="AV1106" s="44">
        <f>AV1079*Settings!$C$13*(INDEX(AV$420:AV$431,$D1106))</f>
        <v/>
      </c>
      <c r="AW1106" s="44">
        <f>AW1079*Settings!$C$13*(INDEX(AW$420:AW$431,$D1106))</f>
        <v/>
      </c>
      <c r="AX1106" s="44">
        <f>AX1079*Settings!$C$13*(INDEX(AX$420:AX$431,$D1106))</f>
        <v/>
      </c>
      <c r="AY1106" s="44">
        <f>AY1079*Settings!$C$13*(INDEX(AY$420:AY$431,$D1106))</f>
        <v/>
      </c>
      <c r="AZ1106" s="44">
        <f>AZ1079*Settings!$C$13*(INDEX(AZ$420:AZ$431,$D1106))</f>
        <v/>
      </c>
      <c r="BA1106" s="57">
        <f>REVENUE(BA1079,Settings!$C$13,INDEX(BA$420:BA$431,$D1106))</f>
        <v/>
      </c>
    </row>
    <row r="1107" hidden="1" outlineLevel="2">
      <c r="A1107" s="14" t="inlineStr">
        <is>
          <t>rsub</t>
        </is>
      </c>
      <c r="B1107" s="14" t="inlineStr">
        <is>
          <t>nga</t>
        </is>
      </c>
      <c r="C1107" s="14" t="inlineStr">
        <is>
          <t>rod</t>
        </is>
      </c>
      <c r="D1107" s="35">
        <f>INDEX(Inputs!$U$5:$U$132,MATCH($B1107&amp;"|"&amp;$C1107,Inputs!$A$5:$A$132,0))</f>
        <v/>
      </c>
      <c r="E1107" s="39" t="n"/>
      <c r="F1107" s="39" t="n"/>
      <c r="G1107" s="39" t="n"/>
      <c r="H1107" s="14">
        <f>INDEX(VarLab,MATCH($A1107,VarKey,0))&amp;INDEX(MemLab,MATCH($C1107&amp;"|"&amp;$B1107,MemKey,0))</f>
        <v/>
      </c>
      <c r="I1107" s="14">
        <f>INDEX(VarUnit,MATCH($A1107,VarKey,0))</f>
        <v/>
      </c>
      <c r="J1107" s="14">
        <f>INDEX(VarSrc,MATCH($A1107,VarKey,0))</f>
        <v/>
      </c>
      <c r="K1107" s="11">
        <f>CodePrefix&amp;$A1107&amp;IF($C1107="","","."&amp;$C1107&amp;"."&amp;$B1107)&amp;INDEX(VarEnd,MATCH($A1107,VarKey,0))&amp;K$5</f>
        <v/>
      </c>
      <c r="L1107" s="43">
        <f>L1080*Settings!$C$13*(INDEX(L$420:L$431,$D1107))</f>
        <v/>
      </c>
      <c r="M1107" s="44">
        <f>M1080*Settings!$C$13*(INDEX(M$420:M$431,$D1107))</f>
        <v/>
      </c>
      <c r="N1107" s="44">
        <f>N1080*Settings!$C$13*(INDEX(N$420:N$431,$D1107))</f>
        <v/>
      </c>
      <c r="O1107" s="44">
        <f>O1080*Settings!$C$13*(INDEX(O$420:O$431,$D1107))</f>
        <v/>
      </c>
      <c r="P1107" s="44">
        <f>P1080*Settings!$C$13*(INDEX(P$420:P$431,$D1107))</f>
        <v/>
      </c>
      <c r="Q1107" s="44">
        <f>Q1080*Settings!$C$13*(INDEX(Q$420:Q$431,$D1107))</f>
        <v/>
      </c>
      <c r="R1107" s="44">
        <f>R1080*Settings!$C$13*(INDEX(R$420:R$431,$D1107))</f>
        <v/>
      </c>
      <c r="S1107" s="44">
        <f>S1080*Settings!$C$13*(INDEX(S$420:S$431,$D1107))</f>
        <v/>
      </c>
      <c r="T1107" s="44">
        <f>T1080*Settings!$C$13*(INDEX(T$420:T$431,$D1107))</f>
        <v/>
      </c>
      <c r="U1107" s="44">
        <f>U1080*Settings!$C$13*(INDEX(U$420:U$431,$D1107))</f>
        <v/>
      </c>
      <c r="V1107" s="44">
        <f>V1080*Settings!$C$13*(INDEX(V$420:V$431,$D1107))</f>
        <v/>
      </c>
      <c r="W1107" s="44">
        <f>W1080*Settings!$C$13*(INDEX(W$420:W$431,$D1107))</f>
        <v/>
      </c>
      <c r="X1107" s="44">
        <f>X1080*Settings!$C$13*(INDEX(X$420:X$431,$D1107))</f>
        <v/>
      </c>
      <c r="Y1107" s="44">
        <f>Y1080*Settings!$C$13*(INDEX(Y$420:Y$431,$D1107))</f>
        <v/>
      </c>
      <c r="Z1107" s="44">
        <f>Z1080*Settings!$C$13*(INDEX(Z$420:Z$431,$D1107))</f>
        <v/>
      </c>
      <c r="AA1107" s="44">
        <f>AA1080*Settings!$C$13*(INDEX(AA$420:AA$431,$D1107))</f>
        <v/>
      </c>
      <c r="AB1107" s="44">
        <f>AB1080*Settings!$C$13*(INDEX(AB$420:AB$431,$D1107))</f>
        <v/>
      </c>
      <c r="AC1107" s="44">
        <f>AC1080*Settings!$C$13*(INDEX(AC$420:AC$431,$D1107))</f>
        <v/>
      </c>
      <c r="AD1107" s="44">
        <f>AD1080*Settings!$C$13*(INDEX(AD$420:AD$431,$D1107))</f>
        <v/>
      </c>
      <c r="AE1107" s="57">
        <f>REVENUE(AE1080,Settings!$C$13,INDEX(AE$420:AE$431,$D1107))</f>
        <v/>
      </c>
      <c r="AG1107" s="11">
        <f>CodePrefix&amp;$A1107&amp;IF($C1107="","","."&amp;$C1107&amp;"."&amp;$B1107)&amp;INDEX(VarEnd,MATCH($A1107,VarKey,0))&amp;AG$5</f>
        <v/>
      </c>
      <c r="AH1107" s="43">
        <f>AH1080*Settings!$C$13*(INDEX(AH$420:AH$431,$D1107))</f>
        <v/>
      </c>
      <c r="AI1107" s="44">
        <f>AI1080*Settings!$C$13*(INDEX(AI$420:AI$431,$D1107))</f>
        <v/>
      </c>
      <c r="AJ1107" s="44">
        <f>AJ1080*Settings!$C$13*(INDEX(AJ$420:AJ$431,$D1107))</f>
        <v/>
      </c>
      <c r="AK1107" s="44">
        <f>AK1080*Settings!$C$13*(INDEX(AK$420:AK$431,$D1107))</f>
        <v/>
      </c>
      <c r="AL1107" s="44">
        <f>AL1080*Settings!$C$13*(INDEX(AL$420:AL$431,$D1107))</f>
        <v/>
      </c>
      <c r="AM1107" s="44">
        <f>AM1080*Settings!$C$13*(INDEX(AM$420:AM$431,$D1107))</f>
        <v/>
      </c>
      <c r="AN1107" s="44">
        <f>AN1080*Settings!$C$13*(INDEX(AN$420:AN$431,$D1107))</f>
        <v/>
      </c>
      <c r="AO1107" s="44">
        <f>AO1080*Settings!$C$13*(INDEX(AO$420:AO$431,$D1107))</f>
        <v/>
      </c>
      <c r="AP1107" s="44">
        <f>AP1080*Settings!$C$13*(INDEX(AP$420:AP$431,$D1107))</f>
        <v/>
      </c>
      <c r="AQ1107" s="44">
        <f>AQ1080*Settings!$C$13*(INDEX(AQ$420:AQ$431,$D1107))</f>
        <v/>
      </c>
      <c r="AR1107" s="44">
        <f>AR1080*Settings!$C$13*(INDEX(AR$420:AR$431,$D1107))</f>
        <v/>
      </c>
      <c r="AS1107" s="44">
        <f>AS1080*Settings!$C$13*(INDEX(AS$420:AS$431,$D1107))</f>
        <v/>
      </c>
      <c r="AT1107" s="44">
        <f>AT1080*Settings!$C$13*(INDEX(AT$420:AT$431,$D1107))</f>
        <v/>
      </c>
      <c r="AU1107" s="44">
        <f>AU1080*Settings!$C$13*(INDEX(AU$420:AU$431,$D1107))</f>
        <v/>
      </c>
      <c r="AV1107" s="44">
        <f>AV1080*Settings!$C$13*(INDEX(AV$420:AV$431,$D1107))</f>
        <v/>
      </c>
      <c r="AW1107" s="44">
        <f>AW1080*Settings!$C$13*(INDEX(AW$420:AW$431,$D1107))</f>
        <v/>
      </c>
      <c r="AX1107" s="44">
        <f>AX1080*Settings!$C$13*(INDEX(AX$420:AX$431,$D1107))</f>
        <v/>
      </c>
      <c r="AY1107" s="44">
        <f>AY1080*Settings!$C$13*(INDEX(AY$420:AY$431,$D1107))</f>
        <v/>
      </c>
      <c r="AZ1107" s="44">
        <f>AZ1080*Settings!$C$13*(INDEX(AZ$420:AZ$431,$D1107))</f>
        <v/>
      </c>
      <c r="BA1107" s="57">
        <f>REVENUE(BA1080,Settings!$C$13,INDEX(BA$420:BA$431,$D1107))</f>
        <v/>
      </c>
    </row>
    <row r="1108" hidden="1" outlineLevel="2">
      <c r="A1108" s="14" t="inlineStr">
        <is>
          <t>rsub</t>
        </is>
      </c>
      <c r="B1108" s="14" t="inlineStr">
        <is>
          <t>gso</t>
        </is>
      </c>
      <c r="C1108" s="14" t="inlineStr">
        <is>
          <t>rod</t>
        </is>
      </c>
      <c r="D1108" s="35">
        <f>INDEX(Inputs!$U$5:$U$132,MATCH($B1108&amp;"|"&amp;$C1108,Inputs!$A$5:$A$132,0))</f>
        <v/>
      </c>
      <c r="E1108" s="39" t="n"/>
      <c r="F1108" s="39" t="n"/>
      <c r="G1108" s="39" t="n"/>
      <c r="H1108" s="14">
        <f>INDEX(VarLab,MATCH($A1108,VarKey,0))&amp;INDEX(MemLab,MATCH($C1108&amp;"|"&amp;$B1108,MemKey,0))</f>
        <v/>
      </c>
      <c r="I1108" s="14">
        <f>INDEX(VarUnit,MATCH($A1108,VarKey,0))</f>
        <v/>
      </c>
      <c r="J1108" s="14">
        <f>INDEX(VarSrc,MATCH($A1108,VarKey,0))</f>
        <v/>
      </c>
      <c r="K1108" s="11">
        <f>CodePrefix&amp;$A1108&amp;IF($C1108="","","."&amp;$C1108&amp;"."&amp;$B1108)&amp;INDEX(VarEnd,MATCH($A1108,VarKey,0))&amp;K$5</f>
        <v/>
      </c>
      <c r="L1108" s="43">
        <f>L1081*Settings!$C$13*(INDEX(L$420:L$431,$D1108))</f>
        <v/>
      </c>
      <c r="M1108" s="44">
        <f>M1081*Settings!$C$13*(INDEX(M$420:M$431,$D1108))</f>
        <v/>
      </c>
      <c r="N1108" s="44">
        <f>N1081*Settings!$C$13*(INDEX(N$420:N$431,$D1108))</f>
        <v/>
      </c>
      <c r="O1108" s="44">
        <f>O1081*Settings!$C$13*(INDEX(O$420:O$431,$D1108))</f>
        <v/>
      </c>
      <c r="P1108" s="44">
        <f>P1081*Settings!$C$13*(INDEX(P$420:P$431,$D1108))</f>
        <v/>
      </c>
      <c r="Q1108" s="44">
        <f>Q1081*Settings!$C$13*(INDEX(Q$420:Q$431,$D1108))</f>
        <v/>
      </c>
      <c r="R1108" s="44">
        <f>R1081*Settings!$C$13*(INDEX(R$420:R$431,$D1108))</f>
        <v/>
      </c>
      <c r="S1108" s="44">
        <f>S1081*Settings!$C$13*(INDEX(S$420:S$431,$D1108))</f>
        <v/>
      </c>
      <c r="T1108" s="44">
        <f>T1081*Settings!$C$13*(INDEX(T$420:T$431,$D1108))</f>
        <v/>
      </c>
      <c r="U1108" s="44">
        <f>U1081*Settings!$C$13*(INDEX(U$420:U$431,$D1108))</f>
        <v/>
      </c>
      <c r="V1108" s="44">
        <f>V1081*Settings!$C$13*(INDEX(V$420:V$431,$D1108))</f>
        <v/>
      </c>
      <c r="W1108" s="44">
        <f>W1081*Settings!$C$13*(INDEX(W$420:W$431,$D1108))</f>
        <v/>
      </c>
      <c r="X1108" s="44">
        <f>X1081*Settings!$C$13*(INDEX(X$420:X$431,$D1108))</f>
        <v/>
      </c>
      <c r="Y1108" s="44">
        <f>Y1081*Settings!$C$13*(INDEX(Y$420:Y$431,$D1108))</f>
        <v/>
      </c>
      <c r="Z1108" s="44">
        <f>Z1081*Settings!$C$13*(INDEX(Z$420:Z$431,$D1108))</f>
        <v/>
      </c>
      <c r="AA1108" s="44">
        <f>AA1081*Settings!$C$13*(INDEX(AA$420:AA$431,$D1108))</f>
        <v/>
      </c>
      <c r="AB1108" s="44">
        <f>AB1081*Settings!$C$13*(INDEX(AB$420:AB$431,$D1108))</f>
        <v/>
      </c>
      <c r="AC1108" s="44">
        <f>AC1081*Settings!$C$13*(INDEX(AC$420:AC$431,$D1108))</f>
        <v/>
      </c>
      <c r="AD1108" s="44">
        <f>AD1081*Settings!$C$13*(INDEX(AD$420:AD$431,$D1108))</f>
        <v/>
      </c>
      <c r="AE1108" s="57">
        <f>REVENUE(AE1081,Settings!$C$13,INDEX(AE$420:AE$431,$D1108))</f>
        <v/>
      </c>
      <c r="AG1108" s="11">
        <f>CodePrefix&amp;$A1108&amp;IF($C1108="","","."&amp;$C1108&amp;"."&amp;$B1108)&amp;INDEX(VarEnd,MATCH($A1108,VarKey,0))&amp;AG$5</f>
        <v/>
      </c>
      <c r="AH1108" s="43">
        <f>AH1081*Settings!$C$13*(INDEX(AH$420:AH$431,$D1108))</f>
        <v/>
      </c>
      <c r="AI1108" s="44">
        <f>AI1081*Settings!$C$13*(INDEX(AI$420:AI$431,$D1108))</f>
        <v/>
      </c>
      <c r="AJ1108" s="44">
        <f>AJ1081*Settings!$C$13*(INDEX(AJ$420:AJ$431,$D1108))</f>
        <v/>
      </c>
      <c r="AK1108" s="44">
        <f>AK1081*Settings!$C$13*(INDEX(AK$420:AK$431,$D1108))</f>
        <v/>
      </c>
      <c r="AL1108" s="44">
        <f>AL1081*Settings!$C$13*(INDEX(AL$420:AL$431,$D1108))</f>
        <v/>
      </c>
      <c r="AM1108" s="44">
        <f>AM1081*Settings!$C$13*(INDEX(AM$420:AM$431,$D1108))</f>
        <v/>
      </c>
      <c r="AN1108" s="44">
        <f>AN1081*Settings!$C$13*(INDEX(AN$420:AN$431,$D1108))</f>
        <v/>
      </c>
      <c r="AO1108" s="44">
        <f>AO1081*Settings!$C$13*(INDEX(AO$420:AO$431,$D1108))</f>
        <v/>
      </c>
      <c r="AP1108" s="44">
        <f>AP1081*Settings!$C$13*(INDEX(AP$420:AP$431,$D1108))</f>
        <v/>
      </c>
      <c r="AQ1108" s="44">
        <f>AQ1081*Settings!$C$13*(INDEX(AQ$420:AQ$431,$D1108))</f>
        <v/>
      </c>
      <c r="AR1108" s="44">
        <f>AR1081*Settings!$C$13*(INDEX(AR$420:AR$431,$D1108))</f>
        <v/>
      </c>
      <c r="AS1108" s="44">
        <f>AS1081*Settings!$C$13*(INDEX(AS$420:AS$431,$D1108))</f>
        <v/>
      </c>
      <c r="AT1108" s="44">
        <f>AT1081*Settings!$C$13*(INDEX(AT$420:AT$431,$D1108))</f>
        <v/>
      </c>
      <c r="AU1108" s="44">
        <f>AU1081*Settings!$C$13*(INDEX(AU$420:AU$431,$D1108))</f>
        <v/>
      </c>
      <c r="AV1108" s="44">
        <f>AV1081*Settings!$C$13*(INDEX(AV$420:AV$431,$D1108))</f>
        <v/>
      </c>
      <c r="AW1108" s="44">
        <f>AW1081*Settings!$C$13*(INDEX(AW$420:AW$431,$D1108))</f>
        <v/>
      </c>
      <c r="AX1108" s="44">
        <f>AX1081*Settings!$C$13*(INDEX(AX$420:AX$431,$D1108))</f>
        <v/>
      </c>
      <c r="AY1108" s="44">
        <f>AY1081*Settings!$C$13*(INDEX(AY$420:AY$431,$D1108))</f>
        <v/>
      </c>
      <c r="AZ1108" s="44">
        <f>AZ1081*Settings!$C$13*(INDEX(AZ$420:AZ$431,$D1108))</f>
        <v/>
      </c>
      <c r="BA1108" s="57">
        <f>REVENUE(BA1081,Settings!$C$13,INDEX(BA$420:BA$431,$D1108))</f>
        <v/>
      </c>
    </row>
    <row r="1109" hidden="1" outlineLevel="2">
      <c r="A1109" s="14" t="inlineStr">
        <is>
          <t>rsub</t>
        </is>
      </c>
      <c r="B1109" s="14" t="inlineStr">
        <is>
          <t>die</t>
        </is>
      </c>
      <c r="C1109" s="14" t="inlineStr">
        <is>
          <t>rod</t>
        </is>
      </c>
      <c r="D1109" s="35">
        <f>INDEX(Inputs!$U$5:$U$132,MATCH($B1109&amp;"|"&amp;$C1109,Inputs!$A$5:$A$132,0))</f>
        <v/>
      </c>
      <c r="E1109" s="39" t="n"/>
      <c r="F1109" s="39" t="n"/>
      <c r="G1109" s="39" t="n"/>
      <c r="H1109" s="14">
        <f>INDEX(VarLab,MATCH($A1109,VarKey,0))&amp;INDEX(MemLab,MATCH($C1109&amp;"|"&amp;$B1109,MemKey,0))</f>
        <v/>
      </c>
      <c r="I1109" s="14">
        <f>INDEX(VarUnit,MATCH($A1109,VarKey,0))</f>
        <v/>
      </c>
      <c r="J1109" s="14">
        <f>INDEX(VarSrc,MATCH($A1109,VarKey,0))</f>
        <v/>
      </c>
      <c r="K1109" s="11">
        <f>CodePrefix&amp;$A1109&amp;IF($C1109="","","."&amp;$C1109&amp;"."&amp;$B1109)&amp;INDEX(VarEnd,MATCH($A1109,VarKey,0))&amp;K$5</f>
        <v/>
      </c>
      <c r="L1109" s="43">
        <f>L1082*Settings!$C$13*(INDEX(L$420:L$431,$D1109))</f>
        <v/>
      </c>
      <c r="M1109" s="44">
        <f>M1082*Settings!$C$13*(INDEX(M$420:M$431,$D1109))</f>
        <v/>
      </c>
      <c r="N1109" s="44">
        <f>N1082*Settings!$C$13*(INDEX(N$420:N$431,$D1109))</f>
        <v/>
      </c>
      <c r="O1109" s="44">
        <f>O1082*Settings!$C$13*(INDEX(O$420:O$431,$D1109))</f>
        <v/>
      </c>
      <c r="P1109" s="44">
        <f>P1082*Settings!$C$13*(INDEX(P$420:P$431,$D1109))</f>
        <v/>
      </c>
      <c r="Q1109" s="44">
        <f>Q1082*Settings!$C$13*(INDEX(Q$420:Q$431,$D1109))</f>
        <v/>
      </c>
      <c r="R1109" s="44">
        <f>R1082*Settings!$C$13*(INDEX(R$420:R$431,$D1109))</f>
        <v/>
      </c>
      <c r="S1109" s="44">
        <f>S1082*Settings!$C$13*(INDEX(S$420:S$431,$D1109))</f>
        <v/>
      </c>
      <c r="T1109" s="44">
        <f>T1082*Settings!$C$13*(INDEX(T$420:T$431,$D1109))</f>
        <v/>
      </c>
      <c r="U1109" s="44">
        <f>U1082*Settings!$C$13*(INDEX(U$420:U$431,$D1109))</f>
        <v/>
      </c>
      <c r="V1109" s="44">
        <f>V1082*Settings!$C$13*(INDEX(V$420:V$431,$D1109))</f>
        <v/>
      </c>
      <c r="W1109" s="44">
        <f>W1082*Settings!$C$13*(INDEX(W$420:W$431,$D1109))</f>
        <v/>
      </c>
      <c r="X1109" s="44">
        <f>X1082*Settings!$C$13*(INDEX(X$420:X$431,$D1109))</f>
        <v/>
      </c>
      <c r="Y1109" s="44">
        <f>Y1082*Settings!$C$13*(INDEX(Y$420:Y$431,$D1109))</f>
        <v/>
      </c>
      <c r="Z1109" s="44">
        <f>Z1082*Settings!$C$13*(INDEX(Z$420:Z$431,$D1109))</f>
        <v/>
      </c>
      <c r="AA1109" s="44">
        <f>AA1082*Settings!$C$13*(INDEX(AA$420:AA$431,$D1109))</f>
        <v/>
      </c>
      <c r="AB1109" s="44">
        <f>AB1082*Settings!$C$13*(INDEX(AB$420:AB$431,$D1109))</f>
        <v/>
      </c>
      <c r="AC1109" s="44">
        <f>AC1082*Settings!$C$13*(INDEX(AC$420:AC$431,$D1109))</f>
        <v/>
      </c>
      <c r="AD1109" s="44">
        <f>AD1082*Settings!$C$13*(INDEX(AD$420:AD$431,$D1109))</f>
        <v/>
      </c>
      <c r="AE1109" s="57">
        <f>REVENUE(AE1082,Settings!$C$13,INDEX(AE$420:AE$431,$D1109))</f>
        <v/>
      </c>
      <c r="AG1109" s="11">
        <f>CodePrefix&amp;$A1109&amp;IF($C1109="","","."&amp;$C1109&amp;"."&amp;$B1109)&amp;INDEX(VarEnd,MATCH($A1109,VarKey,0))&amp;AG$5</f>
        <v/>
      </c>
      <c r="AH1109" s="43">
        <f>AH1082*Settings!$C$13*(INDEX(AH$420:AH$431,$D1109))</f>
        <v/>
      </c>
      <c r="AI1109" s="44">
        <f>AI1082*Settings!$C$13*(INDEX(AI$420:AI$431,$D1109))</f>
        <v/>
      </c>
      <c r="AJ1109" s="44">
        <f>AJ1082*Settings!$C$13*(INDEX(AJ$420:AJ$431,$D1109))</f>
        <v/>
      </c>
      <c r="AK1109" s="44">
        <f>AK1082*Settings!$C$13*(INDEX(AK$420:AK$431,$D1109))</f>
        <v/>
      </c>
      <c r="AL1109" s="44">
        <f>AL1082*Settings!$C$13*(INDEX(AL$420:AL$431,$D1109))</f>
        <v/>
      </c>
      <c r="AM1109" s="44">
        <f>AM1082*Settings!$C$13*(INDEX(AM$420:AM$431,$D1109))</f>
        <v/>
      </c>
      <c r="AN1109" s="44">
        <f>AN1082*Settings!$C$13*(INDEX(AN$420:AN$431,$D1109))</f>
        <v/>
      </c>
      <c r="AO1109" s="44">
        <f>AO1082*Settings!$C$13*(INDEX(AO$420:AO$431,$D1109))</f>
        <v/>
      </c>
      <c r="AP1109" s="44">
        <f>AP1082*Settings!$C$13*(INDEX(AP$420:AP$431,$D1109))</f>
        <v/>
      </c>
      <c r="AQ1109" s="44">
        <f>AQ1082*Settings!$C$13*(INDEX(AQ$420:AQ$431,$D1109))</f>
        <v/>
      </c>
      <c r="AR1109" s="44">
        <f>AR1082*Settings!$C$13*(INDEX(AR$420:AR$431,$D1109))</f>
        <v/>
      </c>
      <c r="AS1109" s="44">
        <f>AS1082*Settings!$C$13*(INDEX(AS$420:AS$431,$D1109))</f>
        <v/>
      </c>
      <c r="AT1109" s="44">
        <f>AT1082*Settings!$C$13*(INDEX(AT$420:AT$431,$D1109))</f>
        <v/>
      </c>
      <c r="AU1109" s="44">
        <f>AU1082*Settings!$C$13*(INDEX(AU$420:AU$431,$D1109))</f>
        <v/>
      </c>
      <c r="AV1109" s="44">
        <f>AV1082*Settings!$C$13*(INDEX(AV$420:AV$431,$D1109))</f>
        <v/>
      </c>
      <c r="AW1109" s="44">
        <f>AW1082*Settings!$C$13*(INDEX(AW$420:AW$431,$D1109))</f>
        <v/>
      </c>
      <c r="AX1109" s="44">
        <f>AX1082*Settings!$C$13*(INDEX(AX$420:AX$431,$D1109))</f>
        <v/>
      </c>
      <c r="AY1109" s="44">
        <f>AY1082*Settings!$C$13*(INDEX(AY$420:AY$431,$D1109))</f>
        <v/>
      </c>
      <c r="AZ1109" s="44">
        <f>AZ1082*Settings!$C$13*(INDEX(AZ$420:AZ$431,$D1109))</f>
        <v/>
      </c>
      <c r="BA1109" s="57">
        <f>REVENUE(BA1082,Settings!$C$13,INDEX(BA$420:BA$431,$D1109))</f>
        <v/>
      </c>
    </row>
    <row r="1110" hidden="1" outlineLevel="2">
      <c r="A1110" s="14" t="inlineStr">
        <is>
          <t>rsub</t>
        </is>
      </c>
      <c r="B1110" s="14" t="inlineStr">
        <is>
          <t>lpg</t>
        </is>
      </c>
      <c r="C1110" s="14" t="inlineStr">
        <is>
          <t>rod</t>
        </is>
      </c>
      <c r="D1110" s="35">
        <f>INDEX(Inputs!$U$5:$U$132,MATCH($B1110&amp;"|"&amp;$C1110,Inputs!$A$5:$A$132,0))</f>
        <v/>
      </c>
      <c r="E1110" s="39" t="n"/>
      <c r="F1110" s="39" t="n"/>
      <c r="G1110" s="39" t="n"/>
      <c r="H1110" s="14">
        <f>INDEX(VarLab,MATCH($A1110,VarKey,0))&amp;INDEX(MemLab,MATCH($C1110&amp;"|"&amp;$B1110,MemKey,0))</f>
        <v/>
      </c>
      <c r="I1110" s="14">
        <f>INDEX(VarUnit,MATCH($A1110,VarKey,0))</f>
        <v/>
      </c>
      <c r="J1110" s="14">
        <f>INDEX(VarSrc,MATCH($A1110,VarKey,0))</f>
        <v/>
      </c>
      <c r="K1110" s="11">
        <f>CodePrefix&amp;$A1110&amp;IF($C1110="","","."&amp;$C1110&amp;"."&amp;$B1110)&amp;INDEX(VarEnd,MATCH($A1110,VarKey,0))&amp;K$5</f>
        <v/>
      </c>
      <c r="L1110" s="43">
        <f>L1083*Settings!$C$13*(INDEX(L$420:L$431,$D1110))</f>
        <v/>
      </c>
      <c r="M1110" s="44">
        <f>M1083*Settings!$C$13*(INDEX(M$420:M$431,$D1110))</f>
        <v/>
      </c>
      <c r="N1110" s="44">
        <f>N1083*Settings!$C$13*(INDEX(N$420:N$431,$D1110))</f>
        <v/>
      </c>
      <c r="O1110" s="44">
        <f>O1083*Settings!$C$13*(INDEX(O$420:O$431,$D1110))</f>
        <v/>
      </c>
      <c r="P1110" s="44">
        <f>P1083*Settings!$C$13*(INDEX(P$420:P$431,$D1110))</f>
        <v/>
      </c>
      <c r="Q1110" s="44">
        <f>Q1083*Settings!$C$13*(INDEX(Q$420:Q$431,$D1110))</f>
        <v/>
      </c>
      <c r="R1110" s="44">
        <f>R1083*Settings!$C$13*(INDEX(R$420:R$431,$D1110))</f>
        <v/>
      </c>
      <c r="S1110" s="44">
        <f>S1083*Settings!$C$13*(INDEX(S$420:S$431,$D1110))</f>
        <v/>
      </c>
      <c r="T1110" s="44">
        <f>T1083*Settings!$C$13*(INDEX(T$420:T$431,$D1110))</f>
        <v/>
      </c>
      <c r="U1110" s="44">
        <f>U1083*Settings!$C$13*(INDEX(U$420:U$431,$D1110))</f>
        <v/>
      </c>
      <c r="V1110" s="44">
        <f>V1083*Settings!$C$13*(INDEX(V$420:V$431,$D1110))</f>
        <v/>
      </c>
      <c r="W1110" s="44">
        <f>W1083*Settings!$C$13*(INDEX(W$420:W$431,$D1110))</f>
        <v/>
      </c>
      <c r="X1110" s="44">
        <f>X1083*Settings!$C$13*(INDEX(X$420:X$431,$D1110))</f>
        <v/>
      </c>
      <c r="Y1110" s="44">
        <f>Y1083*Settings!$C$13*(INDEX(Y$420:Y$431,$D1110))</f>
        <v/>
      </c>
      <c r="Z1110" s="44">
        <f>Z1083*Settings!$C$13*(INDEX(Z$420:Z$431,$D1110))</f>
        <v/>
      </c>
      <c r="AA1110" s="44">
        <f>AA1083*Settings!$C$13*(INDEX(AA$420:AA$431,$D1110))</f>
        <v/>
      </c>
      <c r="AB1110" s="44">
        <f>AB1083*Settings!$C$13*(INDEX(AB$420:AB$431,$D1110))</f>
        <v/>
      </c>
      <c r="AC1110" s="44">
        <f>AC1083*Settings!$C$13*(INDEX(AC$420:AC$431,$D1110))</f>
        <v/>
      </c>
      <c r="AD1110" s="44">
        <f>AD1083*Settings!$C$13*(INDEX(AD$420:AD$431,$D1110))</f>
        <v/>
      </c>
      <c r="AE1110" s="57">
        <f>REVENUE(AE1083,Settings!$C$13,INDEX(AE$420:AE$431,$D1110))</f>
        <v/>
      </c>
      <c r="AG1110" s="11">
        <f>CodePrefix&amp;$A1110&amp;IF($C1110="","","."&amp;$C1110&amp;"."&amp;$B1110)&amp;INDEX(VarEnd,MATCH($A1110,VarKey,0))&amp;AG$5</f>
        <v/>
      </c>
      <c r="AH1110" s="43">
        <f>AH1083*Settings!$C$13*(INDEX(AH$420:AH$431,$D1110))</f>
        <v/>
      </c>
      <c r="AI1110" s="44">
        <f>AI1083*Settings!$C$13*(INDEX(AI$420:AI$431,$D1110))</f>
        <v/>
      </c>
      <c r="AJ1110" s="44">
        <f>AJ1083*Settings!$C$13*(INDEX(AJ$420:AJ$431,$D1110))</f>
        <v/>
      </c>
      <c r="AK1110" s="44">
        <f>AK1083*Settings!$C$13*(INDEX(AK$420:AK$431,$D1110))</f>
        <v/>
      </c>
      <c r="AL1110" s="44">
        <f>AL1083*Settings!$C$13*(INDEX(AL$420:AL$431,$D1110))</f>
        <v/>
      </c>
      <c r="AM1110" s="44">
        <f>AM1083*Settings!$C$13*(INDEX(AM$420:AM$431,$D1110))</f>
        <v/>
      </c>
      <c r="AN1110" s="44">
        <f>AN1083*Settings!$C$13*(INDEX(AN$420:AN$431,$D1110))</f>
        <v/>
      </c>
      <c r="AO1110" s="44">
        <f>AO1083*Settings!$C$13*(INDEX(AO$420:AO$431,$D1110))</f>
        <v/>
      </c>
      <c r="AP1110" s="44">
        <f>AP1083*Settings!$C$13*(INDEX(AP$420:AP$431,$D1110))</f>
        <v/>
      </c>
      <c r="AQ1110" s="44">
        <f>AQ1083*Settings!$C$13*(INDEX(AQ$420:AQ$431,$D1110))</f>
        <v/>
      </c>
      <c r="AR1110" s="44">
        <f>AR1083*Settings!$C$13*(INDEX(AR$420:AR$431,$D1110))</f>
        <v/>
      </c>
      <c r="AS1110" s="44">
        <f>AS1083*Settings!$C$13*(INDEX(AS$420:AS$431,$D1110))</f>
        <v/>
      </c>
      <c r="AT1110" s="44">
        <f>AT1083*Settings!$C$13*(INDEX(AT$420:AT$431,$D1110))</f>
        <v/>
      </c>
      <c r="AU1110" s="44">
        <f>AU1083*Settings!$C$13*(INDEX(AU$420:AU$431,$D1110))</f>
        <v/>
      </c>
      <c r="AV1110" s="44">
        <f>AV1083*Settings!$C$13*(INDEX(AV$420:AV$431,$D1110))</f>
        <v/>
      </c>
      <c r="AW1110" s="44">
        <f>AW1083*Settings!$C$13*(INDEX(AW$420:AW$431,$D1110))</f>
        <v/>
      </c>
      <c r="AX1110" s="44">
        <f>AX1083*Settings!$C$13*(INDEX(AX$420:AX$431,$D1110))</f>
        <v/>
      </c>
      <c r="AY1110" s="44">
        <f>AY1083*Settings!$C$13*(INDEX(AY$420:AY$431,$D1110))</f>
        <v/>
      </c>
      <c r="AZ1110" s="44">
        <f>AZ1083*Settings!$C$13*(INDEX(AZ$420:AZ$431,$D1110))</f>
        <v/>
      </c>
      <c r="BA1110" s="57">
        <f>REVENUE(BA1083,Settings!$C$13,INDEX(BA$420:BA$431,$D1110))</f>
        <v/>
      </c>
    </row>
    <row r="1111" hidden="1" outlineLevel="2">
      <c r="A1111" s="14" t="inlineStr">
        <is>
          <t>rsub</t>
        </is>
      </c>
      <c r="B1111" s="14" t="inlineStr">
        <is>
          <t>ker</t>
        </is>
      </c>
      <c r="C1111" s="14" t="inlineStr">
        <is>
          <t>rod</t>
        </is>
      </c>
      <c r="D1111" s="35">
        <f>INDEX(Inputs!$U$5:$U$132,MATCH($B1111&amp;"|"&amp;$C1111,Inputs!$A$5:$A$132,0))</f>
        <v/>
      </c>
      <c r="E1111" s="39" t="n"/>
      <c r="F1111" s="39" t="n"/>
      <c r="G1111" s="39" t="n"/>
      <c r="H1111" s="14">
        <f>INDEX(VarLab,MATCH($A1111,VarKey,0))&amp;INDEX(MemLab,MATCH($C1111&amp;"|"&amp;$B1111,MemKey,0))</f>
        <v/>
      </c>
      <c r="I1111" s="14">
        <f>INDEX(VarUnit,MATCH($A1111,VarKey,0))</f>
        <v/>
      </c>
      <c r="J1111" s="14">
        <f>INDEX(VarSrc,MATCH($A1111,VarKey,0))</f>
        <v/>
      </c>
      <c r="K1111" s="11">
        <f>CodePrefix&amp;$A1111&amp;IF($C1111="","","."&amp;$C1111&amp;"."&amp;$B1111)&amp;INDEX(VarEnd,MATCH($A1111,VarKey,0))&amp;K$5</f>
        <v/>
      </c>
      <c r="L1111" s="43">
        <f>L1084*Settings!$C$13*(INDEX(L$420:L$431,$D1111))</f>
        <v/>
      </c>
      <c r="M1111" s="44">
        <f>M1084*Settings!$C$13*(INDEX(M$420:M$431,$D1111))</f>
        <v/>
      </c>
      <c r="N1111" s="44">
        <f>N1084*Settings!$C$13*(INDEX(N$420:N$431,$D1111))</f>
        <v/>
      </c>
      <c r="O1111" s="44">
        <f>O1084*Settings!$C$13*(INDEX(O$420:O$431,$D1111))</f>
        <v/>
      </c>
      <c r="P1111" s="44">
        <f>P1084*Settings!$C$13*(INDEX(P$420:P$431,$D1111))</f>
        <v/>
      </c>
      <c r="Q1111" s="44">
        <f>Q1084*Settings!$C$13*(INDEX(Q$420:Q$431,$D1111))</f>
        <v/>
      </c>
      <c r="R1111" s="44">
        <f>R1084*Settings!$C$13*(INDEX(R$420:R$431,$D1111))</f>
        <v/>
      </c>
      <c r="S1111" s="44">
        <f>S1084*Settings!$C$13*(INDEX(S$420:S$431,$D1111))</f>
        <v/>
      </c>
      <c r="T1111" s="44">
        <f>T1084*Settings!$C$13*(INDEX(T$420:T$431,$D1111))</f>
        <v/>
      </c>
      <c r="U1111" s="44">
        <f>U1084*Settings!$C$13*(INDEX(U$420:U$431,$D1111))</f>
        <v/>
      </c>
      <c r="V1111" s="44">
        <f>V1084*Settings!$C$13*(INDEX(V$420:V$431,$D1111))</f>
        <v/>
      </c>
      <c r="W1111" s="44">
        <f>W1084*Settings!$C$13*(INDEX(W$420:W$431,$D1111))</f>
        <v/>
      </c>
      <c r="X1111" s="44">
        <f>X1084*Settings!$C$13*(INDEX(X$420:X$431,$D1111))</f>
        <v/>
      </c>
      <c r="Y1111" s="44">
        <f>Y1084*Settings!$C$13*(INDEX(Y$420:Y$431,$D1111))</f>
        <v/>
      </c>
      <c r="Z1111" s="44">
        <f>Z1084*Settings!$C$13*(INDEX(Z$420:Z$431,$D1111))</f>
        <v/>
      </c>
      <c r="AA1111" s="44">
        <f>AA1084*Settings!$C$13*(INDEX(AA$420:AA$431,$D1111))</f>
        <v/>
      </c>
      <c r="AB1111" s="44">
        <f>AB1084*Settings!$C$13*(INDEX(AB$420:AB$431,$D1111))</f>
        <v/>
      </c>
      <c r="AC1111" s="44">
        <f>AC1084*Settings!$C$13*(INDEX(AC$420:AC$431,$D1111))</f>
        <v/>
      </c>
      <c r="AD1111" s="44">
        <f>AD1084*Settings!$C$13*(INDEX(AD$420:AD$431,$D1111))</f>
        <v/>
      </c>
      <c r="AE1111" s="57">
        <f>REVENUE(AE1084,Settings!$C$13,INDEX(AE$420:AE$431,$D1111))</f>
        <v/>
      </c>
      <c r="AG1111" s="11">
        <f>CodePrefix&amp;$A1111&amp;IF($C1111="","","."&amp;$C1111&amp;"."&amp;$B1111)&amp;INDEX(VarEnd,MATCH($A1111,VarKey,0))&amp;AG$5</f>
        <v/>
      </c>
      <c r="AH1111" s="43">
        <f>AH1084*Settings!$C$13*(INDEX(AH$420:AH$431,$D1111))</f>
        <v/>
      </c>
      <c r="AI1111" s="44">
        <f>AI1084*Settings!$C$13*(INDEX(AI$420:AI$431,$D1111))</f>
        <v/>
      </c>
      <c r="AJ1111" s="44">
        <f>AJ1084*Settings!$C$13*(INDEX(AJ$420:AJ$431,$D1111))</f>
        <v/>
      </c>
      <c r="AK1111" s="44">
        <f>AK1084*Settings!$C$13*(INDEX(AK$420:AK$431,$D1111))</f>
        <v/>
      </c>
      <c r="AL1111" s="44">
        <f>AL1084*Settings!$C$13*(INDEX(AL$420:AL$431,$D1111))</f>
        <v/>
      </c>
      <c r="AM1111" s="44">
        <f>AM1084*Settings!$C$13*(INDEX(AM$420:AM$431,$D1111))</f>
        <v/>
      </c>
      <c r="AN1111" s="44">
        <f>AN1084*Settings!$C$13*(INDEX(AN$420:AN$431,$D1111))</f>
        <v/>
      </c>
      <c r="AO1111" s="44">
        <f>AO1084*Settings!$C$13*(INDEX(AO$420:AO$431,$D1111))</f>
        <v/>
      </c>
      <c r="AP1111" s="44">
        <f>AP1084*Settings!$C$13*(INDEX(AP$420:AP$431,$D1111))</f>
        <v/>
      </c>
      <c r="AQ1111" s="44">
        <f>AQ1084*Settings!$C$13*(INDEX(AQ$420:AQ$431,$D1111))</f>
        <v/>
      </c>
      <c r="AR1111" s="44">
        <f>AR1084*Settings!$C$13*(INDEX(AR$420:AR$431,$D1111))</f>
        <v/>
      </c>
      <c r="AS1111" s="44">
        <f>AS1084*Settings!$C$13*(INDEX(AS$420:AS$431,$D1111))</f>
        <v/>
      </c>
      <c r="AT1111" s="44">
        <f>AT1084*Settings!$C$13*(INDEX(AT$420:AT$431,$D1111))</f>
        <v/>
      </c>
      <c r="AU1111" s="44">
        <f>AU1084*Settings!$C$13*(INDEX(AU$420:AU$431,$D1111))</f>
        <v/>
      </c>
      <c r="AV1111" s="44">
        <f>AV1084*Settings!$C$13*(INDEX(AV$420:AV$431,$D1111))</f>
        <v/>
      </c>
      <c r="AW1111" s="44">
        <f>AW1084*Settings!$C$13*(INDEX(AW$420:AW$431,$D1111))</f>
        <v/>
      </c>
      <c r="AX1111" s="44">
        <f>AX1084*Settings!$C$13*(INDEX(AX$420:AX$431,$D1111))</f>
        <v/>
      </c>
      <c r="AY1111" s="44">
        <f>AY1084*Settings!$C$13*(INDEX(AY$420:AY$431,$D1111))</f>
        <v/>
      </c>
      <c r="AZ1111" s="44">
        <f>AZ1084*Settings!$C$13*(INDEX(AZ$420:AZ$431,$D1111))</f>
        <v/>
      </c>
      <c r="BA1111" s="57">
        <f>REVENUE(BA1084,Settings!$C$13,INDEX(BA$420:BA$431,$D1111))</f>
        <v/>
      </c>
    </row>
    <row r="1112" hidden="1" outlineLevel="2">
      <c r="A1112" s="14" t="inlineStr">
        <is>
          <t>rsub</t>
        </is>
      </c>
      <c r="B1112" s="14" t="inlineStr">
        <is>
          <t>oop</t>
        </is>
      </c>
      <c r="C1112" s="14" t="inlineStr">
        <is>
          <t>rod</t>
        </is>
      </c>
      <c r="D1112" s="35">
        <f>INDEX(Inputs!$U$5:$U$132,MATCH($B1112&amp;"|"&amp;$C1112,Inputs!$A$5:$A$132,0))</f>
        <v/>
      </c>
      <c r="E1112" s="39" t="n"/>
      <c r="F1112" s="39" t="n"/>
      <c r="G1112" s="39" t="n"/>
      <c r="H1112" s="14">
        <f>INDEX(VarLab,MATCH($A1112,VarKey,0))&amp;INDEX(MemLab,MATCH($C1112&amp;"|"&amp;$B1112,MemKey,0))</f>
        <v/>
      </c>
      <c r="I1112" s="14">
        <f>INDEX(VarUnit,MATCH($A1112,VarKey,0))</f>
        <v/>
      </c>
      <c r="J1112" s="14">
        <f>INDEX(VarSrc,MATCH($A1112,VarKey,0))</f>
        <v/>
      </c>
      <c r="K1112" s="11">
        <f>CodePrefix&amp;$A1112&amp;IF($C1112="","","."&amp;$C1112&amp;"."&amp;$B1112)&amp;INDEX(VarEnd,MATCH($A1112,VarKey,0))&amp;K$5</f>
        <v/>
      </c>
      <c r="L1112" s="43">
        <f>L1085*Settings!$C$13*(INDEX(L$420:L$431,$D1112))</f>
        <v/>
      </c>
      <c r="M1112" s="44">
        <f>M1085*Settings!$C$13*(INDEX(M$420:M$431,$D1112))</f>
        <v/>
      </c>
      <c r="N1112" s="44">
        <f>N1085*Settings!$C$13*(INDEX(N$420:N$431,$D1112))</f>
        <v/>
      </c>
      <c r="O1112" s="44">
        <f>O1085*Settings!$C$13*(INDEX(O$420:O$431,$D1112))</f>
        <v/>
      </c>
      <c r="P1112" s="44">
        <f>P1085*Settings!$C$13*(INDEX(P$420:P$431,$D1112))</f>
        <v/>
      </c>
      <c r="Q1112" s="44">
        <f>Q1085*Settings!$C$13*(INDEX(Q$420:Q$431,$D1112))</f>
        <v/>
      </c>
      <c r="R1112" s="44">
        <f>R1085*Settings!$C$13*(INDEX(R$420:R$431,$D1112))</f>
        <v/>
      </c>
      <c r="S1112" s="44">
        <f>S1085*Settings!$C$13*(INDEX(S$420:S$431,$D1112))</f>
        <v/>
      </c>
      <c r="T1112" s="44">
        <f>T1085*Settings!$C$13*(INDEX(T$420:T$431,$D1112))</f>
        <v/>
      </c>
      <c r="U1112" s="44">
        <f>U1085*Settings!$C$13*(INDEX(U$420:U$431,$D1112))</f>
        <v/>
      </c>
      <c r="V1112" s="44">
        <f>V1085*Settings!$C$13*(INDEX(V$420:V$431,$D1112))</f>
        <v/>
      </c>
      <c r="W1112" s="44">
        <f>W1085*Settings!$C$13*(INDEX(W$420:W$431,$D1112))</f>
        <v/>
      </c>
      <c r="X1112" s="44">
        <f>X1085*Settings!$C$13*(INDEX(X$420:X$431,$D1112))</f>
        <v/>
      </c>
      <c r="Y1112" s="44">
        <f>Y1085*Settings!$C$13*(INDEX(Y$420:Y$431,$D1112))</f>
        <v/>
      </c>
      <c r="Z1112" s="44">
        <f>Z1085*Settings!$C$13*(INDEX(Z$420:Z$431,$D1112))</f>
        <v/>
      </c>
      <c r="AA1112" s="44">
        <f>AA1085*Settings!$C$13*(INDEX(AA$420:AA$431,$D1112))</f>
        <v/>
      </c>
      <c r="AB1112" s="44">
        <f>AB1085*Settings!$C$13*(INDEX(AB$420:AB$431,$D1112))</f>
        <v/>
      </c>
      <c r="AC1112" s="44">
        <f>AC1085*Settings!$C$13*(INDEX(AC$420:AC$431,$D1112))</f>
        <v/>
      </c>
      <c r="AD1112" s="44">
        <f>AD1085*Settings!$C$13*(INDEX(AD$420:AD$431,$D1112))</f>
        <v/>
      </c>
      <c r="AE1112" s="57">
        <f>REVENUE(AE1085,Settings!$C$13,INDEX(AE$420:AE$431,$D1112))</f>
        <v/>
      </c>
      <c r="AG1112" s="11">
        <f>CodePrefix&amp;$A1112&amp;IF($C1112="","","."&amp;$C1112&amp;"."&amp;$B1112)&amp;INDEX(VarEnd,MATCH($A1112,VarKey,0))&amp;AG$5</f>
        <v/>
      </c>
      <c r="AH1112" s="43">
        <f>AH1085*Settings!$C$13*(INDEX(AH$420:AH$431,$D1112))</f>
        <v/>
      </c>
      <c r="AI1112" s="44">
        <f>AI1085*Settings!$C$13*(INDEX(AI$420:AI$431,$D1112))</f>
        <v/>
      </c>
      <c r="AJ1112" s="44">
        <f>AJ1085*Settings!$C$13*(INDEX(AJ$420:AJ$431,$D1112))</f>
        <v/>
      </c>
      <c r="AK1112" s="44">
        <f>AK1085*Settings!$C$13*(INDEX(AK$420:AK$431,$D1112))</f>
        <v/>
      </c>
      <c r="AL1112" s="44">
        <f>AL1085*Settings!$C$13*(INDEX(AL$420:AL$431,$D1112))</f>
        <v/>
      </c>
      <c r="AM1112" s="44">
        <f>AM1085*Settings!$C$13*(INDEX(AM$420:AM$431,$D1112))</f>
        <v/>
      </c>
      <c r="AN1112" s="44">
        <f>AN1085*Settings!$C$13*(INDEX(AN$420:AN$431,$D1112))</f>
        <v/>
      </c>
      <c r="AO1112" s="44">
        <f>AO1085*Settings!$C$13*(INDEX(AO$420:AO$431,$D1112))</f>
        <v/>
      </c>
      <c r="AP1112" s="44">
        <f>AP1085*Settings!$C$13*(INDEX(AP$420:AP$431,$D1112))</f>
        <v/>
      </c>
      <c r="AQ1112" s="44">
        <f>AQ1085*Settings!$C$13*(INDEX(AQ$420:AQ$431,$D1112))</f>
        <v/>
      </c>
      <c r="AR1112" s="44">
        <f>AR1085*Settings!$C$13*(INDEX(AR$420:AR$431,$D1112))</f>
        <v/>
      </c>
      <c r="AS1112" s="44">
        <f>AS1085*Settings!$C$13*(INDEX(AS$420:AS$431,$D1112))</f>
        <v/>
      </c>
      <c r="AT1112" s="44">
        <f>AT1085*Settings!$C$13*(INDEX(AT$420:AT$431,$D1112))</f>
        <v/>
      </c>
      <c r="AU1112" s="44">
        <f>AU1085*Settings!$C$13*(INDEX(AU$420:AU$431,$D1112))</f>
        <v/>
      </c>
      <c r="AV1112" s="44">
        <f>AV1085*Settings!$C$13*(INDEX(AV$420:AV$431,$D1112))</f>
        <v/>
      </c>
      <c r="AW1112" s="44">
        <f>AW1085*Settings!$C$13*(INDEX(AW$420:AW$431,$D1112))</f>
        <v/>
      </c>
      <c r="AX1112" s="44">
        <f>AX1085*Settings!$C$13*(INDEX(AX$420:AX$431,$D1112))</f>
        <v/>
      </c>
      <c r="AY1112" s="44">
        <f>AY1085*Settings!$C$13*(INDEX(AY$420:AY$431,$D1112))</f>
        <v/>
      </c>
      <c r="AZ1112" s="44">
        <f>AZ1085*Settings!$C$13*(INDEX(AZ$420:AZ$431,$D1112))</f>
        <v/>
      </c>
      <c r="BA1112" s="57">
        <f>REVENUE(BA1085,Settings!$C$13,INDEX(BA$420:BA$431,$D1112))</f>
        <v/>
      </c>
    </row>
    <row r="1113" hidden="1" outlineLevel="2">
      <c r="A1113" s="14" t="inlineStr">
        <is>
          <t>rsub</t>
        </is>
      </c>
      <c r="B1113" s="14" t="inlineStr">
        <is>
          <t>bio</t>
        </is>
      </c>
      <c r="C1113" s="14" t="inlineStr">
        <is>
          <t>rod</t>
        </is>
      </c>
      <c r="D1113" s="35">
        <f>INDEX(Inputs!$U$5:$U$132,MATCH($B1113&amp;"|"&amp;$C1113,Inputs!$A$5:$A$132,0))</f>
        <v/>
      </c>
      <c r="E1113" s="39" t="n"/>
      <c r="F1113" s="39" t="n"/>
      <c r="G1113" s="39" t="n"/>
      <c r="H1113" s="14">
        <f>INDEX(VarLab,MATCH($A1113,VarKey,0))&amp;INDEX(MemLab,MATCH($C1113&amp;"|"&amp;$B1113,MemKey,0))</f>
        <v/>
      </c>
      <c r="I1113" s="14">
        <f>INDEX(VarUnit,MATCH($A1113,VarKey,0))</f>
        <v/>
      </c>
      <c r="J1113" s="14">
        <f>INDEX(VarSrc,MATCH($A1113,VarKey,0))</f>
        <v/>
      </c>
      <c r="K1113" s="11">
        <f>CodePrefix&amp;$A1113&amp;IF($C1113="","","."&amp;$C1113&amp;"."&amp;$B1113)&amp;INDEX(VarEnd,MATCH($A1113,VarKey,0))&amp;K$5</f>
        <v/>
      </c>
      <c r="L1113" s="43">
        <f>L1086*Settings!$C$13*(INDEX(L$420:L$431,$D1113))</f>
        <v/>
      </c>
      <c r="M1113" s="44">
        <f>M1086*Settings!$C$13*(INDEX(M$420:M$431,$D1113))</f>
        <v/>
      </c>
      <c r="N1113" s="44">
        <f>N1086*Settings!$C$13*(INDEX(N$420:N$431,$D1113))</f>
        <v/>
      </c>
      <c r="O1113" s="44">
        <f>O1086*Settings!$C$13*(INDEX(O$420:O$431,$D1113))</f>
        <v/>
      </c>
      <c r="P1113" s="44">
        <f>P1086*Settings!$C$13*(INDEX(P$420:P$431,$D1113))</f>
        <v/>
      </c>
      <c r="Q1113" s="44">
        <f>Q1086*Settings!$C$13*(INDEX(Q$420:Q$431,$D1113))</f>
        <v/>
      </c>
      <c r="R1113" s="44">
        <f>R1086*Settings!$C$13*(INDEX(R$420:R$431,$D1113))</f>
        <v/>
      </c>
      <c r="S1113" s="44">
        <f>S1086*Settings!$C$13*(INDEX(S$420:S$431,$D1113))</f>
        <v/>
      </c>
      <c r="T1113" s="44">
        <f>T1086*Settings!$C$13*(INDEX(T$420:T$431,$D1113))</f>
        <v/>
      </c>
      <c r="U1113" s="44">
        <f>U1086*Settings!$C$13*(INDEX(U$420:U$431,$D1113))</f>
        <v/>
      </c>
      <c r="V1113" s="44">
        <f>V1086*Settings!$C$13*(INDEX(V$420:V$431,$D1113))</f>
        <v/>
      </c>
      <c r="W1113" s="44">
        <f>W1086*Settings!$C$13*(INDEX(W$420:W$431,$D1113))</f>
        <v/>
      </c>
      <c r="X1113" s="44">
        <f>X1086*Settings!$C$13*(INDEX(X$420:X$431,$D1113))</f>
        <v/>
      </c>
      <c r="Y1113" s="44">
        <f>Y1086*Settings!$C$13*(INDEX(Y$420:Y$431,$D1113))</f>
        <v/>
      </c>
      <c r="Z1113" s="44">
        <f>Z1086*Settings!$C$13*(INDEX(Z$420:Z$431,$D1113))</f>
        <v/>
      </c>
      <c r="AA1113" s="44">
        <f>AA1086*Settings!$C$13*(INDEX(AA$420:AA$431,$D1113))</f>
        <v/>
      </c>
      <c r="AB1113" s="44">
        <f>AB1086*Settings!$C$13*(INDEX(AB$420:AB$431,$D1113))</f>
        <v/>
      </c>
      <c r="AC1113" s="44">
        <f>AC1086*Settings!$C$13*(INDEX(AC$420:AC$431,$D1113))</f>
        <v/>
      </c>
      <c r="AD1113" s="44">
        <f>AD1086*Settings!$C$13*(INDEX(AD$420:AD$431,$D1113))</f>
        <v/>
      </c>
      <c r="AE1113" s="57">
        <f>REVENUE(AE1086,Settings!$C$13,INDEX(AE$420:AE$431,$D1113))</f>
        <v/>
      </c>
      <c r="AG1113" s="11">
        <f>CodePrefix&amp;$A1113&amp;IF($C1113="","","."&amp;$C1113&amp;"."&amp;$B1113)&amp;INDEX(VarEnd,MATCH($A1113,VarKey,0))&amp;AG$5</f>
        <v/>
      </c>
      <c r="AH1113" s="43">
        <f>AH1086*Settings!$C$13*(INDEX(AH$420:AH$431,$D1113))</f>
        <v/>
      </c>
      <c r="AI1113" s="44">
        <f>AI1086*Settings!$C$13*(INDEX(AI$420:AI$431,$D1113))</f>
        <v/>
      </c>
      <c r="AJ1113" s="44">
        <f>AJ1086*Settings!$C$13*(INDEX(AJ$420:AJ$431,$D1113))</f>
        <v/>
      </c>
      <c r="AK1113" s="44">
        <f>AK1086*Settings!$C$13*(INDEX(AK$420:AK$431,$D1113))</f>
        <v/>
      </c>
      <c r="AL1113" s="44">
        <f>AL1086*Settings!$C$13*(INDEX(AL$420:AL$431,$D1113))</f>
        <v/>
      </c>
      <c r="AM1113" s="44">
        <f>AM1086*Settings!$C$13*(INDEX(AM$420:AM$431,$D1113))</f>
        <v/>
      </c>
      <c r="AN1113" s="44">
        <f>AN1086*Settings!$C$13*(INDEX(AN$420:AN$431,$D1113))</f>
        <v/>
      </c>
      <c r="AO1113" s="44">
        <f>AO1086*Settings!$C$13*(INDEX(AO$420:AO$431,$D1113))</f>
        <v/>
      </c>
      <c r="AP1113" s="44">
        <f>AP1086*Settings!$C$13*(INDEX(AP$420:AP$431,$D1113))</f>
        <v/>
      </c>
      <c r="AQ1113" s="44">
        <f>AQ1086*Settings!$C$13*(INDEX(AQ$420:AQ$431,$D1113))</f>
        <v/>
      </c>
      <c r="AR1113" s="44">
        <f>AR1086*Settings!$C$13*(INDEX(AR$420:AR$431,$D1113))</f>
        <v/>
      </c>
      <c r="AS1113" s="44">
        <f>AS1086*Settings!$C$13*(INDEX(AS$420:AS$431,$D1113))</f>
        <v/>
      </c>
      <c r="AT1113" s="44">
        <f>AT1086*Settings!$C$13*(INDEX(AT$420:AT$431,$D1113))</f>
        <v/>
      </c>
      <c r="AU1113" s="44">
        <f>AU1086*Settings!$C$13*(INDEX(AU$420:AU$431,$D1113))</f>
        <v/>
      </c>
      <c r="AV1113" s="44">
        <f>AV1086*Settings!$C$13*(INDEX(AV$420:AV$431,$D1113))</f>
        <v/>
      </c>
      <c r="AW1113" s="44">
        <f>AW1086*Settings!$C$13*(INDEX(AW$420:AW$431,$D1113))</f>
        <v/>
      </c>
      <c r="AX1113" s="44">
        <f>AX1086*Settings!$C$13*(INDEX(AX$420:AX$431,$D1113))</f>
        <v/>
      </c>
      <c r="AY1113" s="44">
        <f>AY1086*Settings!$C$13*(INDEX(AY$420:AY$431,$D1113))</f>
        <v/>
      </c>
      <c r="AZ1113" s="44">
        <f>AZ1086*Settings!$C$13*(INDEX(AZ$420:AZ$431,$D1113))</f>
        <v/>
      </c>
      <c r="BA1113" s="57">
        <f>REVENUE(BA1086,Settings!$C$13,INDEX(BA$420:BA$431,$D1113))</f>
        <v/>
      </c>
    </row>
    <row r="1114" hidden="1" outlineLevel="2"/>
    <row r="1115" hidden="1" outlineLevel="2">
      <c r="A1115" s="14" t="inlineStr">
        <is>
          <t>rnew</t>
        </is>
      </c>
      <c r="B1115" s="14" t="inlineStr">
        <is>
          <t>coa</t>
        </is>
      </c>
      <c r="C1115" s="14" t="inlineStr">
        <is>
          <t>rod</t>
        </is>
      </c>
      <c r="D1115" s="35">
        <f>INDEX(Inputs!$V$5:$V$132,MATCH($B1115&amp;"|"&amp;$C1115,Inputs!$A$5:$A$132,0))</f>
        <v/>
      </c>
      <c r="E1115" s="39" t="n"/>
      <c r="F1115" s="39" t="n"/>
      <c r="G1115" s="39" t="n"/>
      <c r="H1115" s="14">
        <f>INDEX(VarLab,MATCH($A1115,VarKey,0))&amp;INDEX(MemLab,MATCH($C1115&amp;"|"&amp;$B1115,MemKey,0))</f>
        <v/>
      </c>
      <c r="I1115" s="14">
        <f>INDEX(VarUnit,MATCH($A1115,VarKey,0))</f>
        <v/>
      </c>
      <c r="J1115" s="14">
        <f>INDEX(VarSrc,MATCH($A1115,VarKey,0))</f>
        <v/>
      </c>
      <c r="K1115" s="11">
        <f>CodePrefix&amp;$A1115&amp;IF($C1115="","","."&amp;$C1115&amp;"."&amp;$B1115)&amp;INDEX(VarEnd,MATCH($A1115,VarKey,0))&amp;K$5</f>
        <v/>
      </c>
      <c r="L1115" s="43">
        <f>L1079*Settings!$C$13*(L1007+L1025+L1016*L$201+L1034*$D1115)</f>
        <v/>
      </c>
      <c r="M1115" s="44">
        <f>M1079*Settings!$C$13*(M1007+M1025+M1016*M$201+M1034*$D1115)</f>
        <v/>
      </c>
      <c r="N1115" s="44">
        <f>N1079*Settings!$C$13*(N1007+N1025+N1016*N$201+N1034*$D1115)</f>
        <v/>
      </c>
      <c r="O1115" s="44">
        <f>O1079*Settings!$C$13*(O1007+O1025+O1016*O$201+O1034*$D1115)</f>
        <v/>
      </c>
      <c r="P1115" s="44">
        <f>P1079*Settings!$C$13*(P1007+P1025+P1016*P$201+P1034*$D1115)</f>
        <v/>
      </c>
      <c r="Q1115" s="44">
        <f>Q1079*Settings!$C$13*(Q1007+Q1025+Q1016*Q$201+Q1034*$D1115)</f>
        <v/>
      </c>
      <c r="R1115" s="44">
        <f>R1079*Settings!$C$13*(R1007+R1025+R1016*R$201+R1034*$D1115)</f>
        <v/>
      </c>
      <c r="S1115" s="44">
        <f>S1079*Settings!$C$13*(S1007+S1025+S1016*S$201+S1034*$D1115)</f>
        <v/>
      </c>
      <c r="T1115" s="44">
        <f>T1079*Settings!$C$13*(T1007+T1025+T1016*T$201+T1034*$D1115)</f>
        <v/>
      </c>
      <c r="U1115" s="44">
        <f>U1079*Settings!$C$13*(U1007+U1025+U1016*U$201+U1034*$D1115)</f>
        <v/>
      </c>
      <c r="V1115" s="44">
        <f>V1079*Settings!$C$13*(V1007+V1025+V1016*V$201+V1034*$D1115)</f>
        <v/>
      </c>
      <c r="W1115" s="44">
        <f>W1079*Settings!$C$13*(W1007+W1025+W1016*W$201+W1034*$D1115)</f>
        <v/>
      </c>
      <c r="X1115" s="44">
        <f>X1079*Settings!$C$13*(X1007+X1025+X1016*X$201+X1034*$D1115)</f>
        <v/>
      </c>
      <c r="Y1115" s="44">
        <f>Y1079*Settings!$C$13*(Y1007+Y1025+Y1016*Y$201+Y1034*$D1115)</f>
        <v/>
      </c>
      <c r="Z1115" s="44">
        <f>Z1079*Settings!$C$13*(Z1007+Z1025+Z1016*Z$201+Z1034*$D1115)</f>
        <v/>
      </c>
      <c r="AA1115" s="44">
        <f>AA1079*Settings!$C$13*(AA1007+AA1025+AA1016*AA$201+AA1034*$D1115)</f>
        <v/>
      </c>
      <c r="AB1115" s="44">
        <f>AB1079*Settings!$C$13*(AB1007+AB1025+AB1016*AB$201+AB1034*$D1115)</f>
        <v/>
      </c>
      <c r="AC1115" s="44">
        <f>AC1079*Settings!$C$13*(AC1007+AC1025+AC1016*AC$201+AC1034*$D1115)</f>
        <v/>
      </c>
      <c r="AD1115" s="44">
        <f>AD1079*Settings!$C$13*(AD1007+AD1025+AD1016*AD$201+AD1034*$D1115)</f>
        <v/>
      </c>
      <c r="AE1115" s="57">
        <f>REVENUE(AE1079,Settings!$C$13,NEWREVRATE(AE1007,AE1025,AE1016,AE$201,AE1034,$D1115))</f>
        <v/>
      </c>
      <c r="AG1115" s="11">
        <f>CodePrefix&amp;$A1115&amp;IF($C1115="","","."&amp;$C1115&amp;"."&amp;$B1115)&amp;INDEX(VarEnd,MATCH($A1115,VarKey,0))&amp;AG$5</f>
        <v/>
      </c>
      <c r="AH1115" s="43">
        <f>AH1079*Settings!$C$13*(AH1007+AH1025+AH1016*AH$201+AH1034*$D1115)</f>
        <v/>
      </c>
      <c r="AI1115" s="44">
        <f>AI1079*Settings!$C$13*(AI1007+AI1025+AI1016*AI$201+AI1034*$D1115)</f>
        <v/>
      </c>
      <c r="AJ1115" s="44">
        <f>AJ1079*Settings!$C$13*(AJ1007+AJ1025+AJ1016*AJ$201+AJ1034*$D1115)</f>
        <v/>
      </c>
      <c r="AK1115" s="44">
        <f>AK1079*Settings!$C$13*(AK1007+AK1025+AK1016*AK$201+AK1034*$D1115)</f>
        <v/>
      </c>
      <c r="AL1115" s="44">
        <f>AL1079*Settings!$C$13*(AL1007+AL1025+AL1016*AL$201+AL1034*$D1115)</f>
        <v/>
      </c>
      <c r="AM1115" s="44">
        <f>AM1079*Settings!$C$13*(AM1007+AM1025+AM1016*AM$201+AM1034*$D1115)</f>
        <v/>
      </c>
      <c r="AN1115" s="44">
        <f>AN1079*Settings!$C$13*(AN1007+AN1025+AN1016*AN$201+AN1034*$D1115)</f>
        <v/>
      </c>
      <c r="AO1115" s="44">
        <f>AO1079*Settings!$C$13*(AO1007+AO1025+AO1016*AO$201+AO1034*$D1115)</f>
        <v/>
      </c>
      <c r="AP1115" s="44">
        <f>AP1079*Settings!$C$13*(AP1007+AP1025+AP1016*AP$201+AP1034*$D1115)</f>
        <v/>
      </c>
      <c r="AQ1115" s="44">
        <f>AQ1079*Settings!$C$13*(AQ1007+AQ1025+AQ1016*AQ$201+AQ1034*$D1115)</f>
        <v/>
      </c>
      <c r="AR1115" s="44">
        <f>AR1079*Settings!$C$13*(AR1007+AR1025+AR1016*AR$201+AR1034*$D1115)</f>
        <v/>
      </c>
      <c r="AS1115" s="44">
        <f>AS1079*Settings!$C$13*(AS1007+AS1025+AS1016*AS$201+AS1034*$D1115)</f>
        <v/>
      </c>
      <c r="AT1115" s="44">
        <f>AT1079*Settings!$C$13*(AT1007+AT1025+AT1016*AT$201+AT1034*$D1115)</f>
        <v/>
      </c>
      <c r="AU1115" s="44">
        <f>AU1079*Settings!$C$13*(AU1007+AU1025+AU1016*AU$201+AU1034*$D1115)</f>
        <v/>
      </c>
      <c r="AV1115" s="44">
        <f>AV1079*Settings!$C$13*(AV1007+AV1025+AV1016*AV$201+AV1034*$D1115)</f>
        <v/>
      </c>
      <c r="AW1115" s="44">
        <f>AW1079*Settings!$C$13*(AW1007+AW1025+AW1016*AW$201+AW1034*$D1115)</f>
        <v/>
      </c>
      <c r="AX1115" s="44">
        <f>AX1079*Settings!$C$13*(AX1007+AX1025+AX1016*AX$201+AX1034*$D1115)</f>
        <v/>
      </c>
      <c r="AY1115" s="44">
        <f>AY1079*Settings!$C$13*(AY1007+AY1025+AY1016*AY$201+AY1034*$D1115)</f>
        <v/>
      </c>
      <c r="AZ1115" s="44">
        <f>AZ1079*Settings!$C$13*(AZ1007+AZ1025+AZ1016*AZ$201+AZ1034*$D1115)</f>
        <v/>
      </c>
      <c r="BA1115" s="57">
        <f>REVENUE(BA1079,Settings!$C$13,NEWREVRATE(BA1007,BA1025,BA1016,BA$201,BA1034,$D1115))</f>
        <v/>
      </c>
    </row>
    <row r="1116" hidden="1" outlineLevel="2">
      <c r="A1116" s="14" t="inlineStr">
        <is>
          <t>rnew</t>
        </is>
      </c>
      <c r="B1116" s="14" t="inlineStr">
        <is>
          <t>nga</t>
        </is>
      </c>
      <c r="C1116" s="14" t="inlineStr">
        <is>
          <t>rod</t>
        </is>
      </c>
      <c r="D1116" s="35">
        <f>INDEX(Inputs!$V$5:$V$132,MATCH($B1116&amp;"|"&amp;$C1116,Inputs!$A$5:$A$132,0))</f>
        <v/>
      </c>
      <c r="E1116" s="39" t="n"/>
      <c r="F1116" s="39" t="n"/>
      <c r="G1116" s="39" t="n"/>
      <c r="H1116" s="14">
        <f>INDEX(VarLab,MATCH($A1116,VarKey,0))&amp;INDEX(MemLab,MATCH($C1116&amp;"|"&amp;$B1116,MemKey,0))</f>
        <v/>
      </c>
      <c r="I1116" s="14">
        <f>INDEX(VarUnit,MATCH($A1116,VarKey,0))</f>
        <v/>
      </c>
      <c r="J1116" s="14">
        <f>INDEX(VarSrc,MATCH($A1116,VarKey,0))</f>
        <v/>
      </c>
      <c r="K1116" s="11">
        <f>CodePrefix&amp;$A1116&amp;IF($C1116="","","."&amp;$C1116&amp;"."&amp;$B1116)&amp;INDEX(VarEnd,MATCH($A1116,VarKey,0))&amp;K$5</f>
        <v/>
      </c>
      <c r="L1116" s="43">
        <f>L1080*Settings!$C$13*(L1008+L1026+L1017*L$201+L1035*$D1116)</f>
        <v/>
      </c>
      <c r="M1116" s="44">
        <f>M1080*Settings!$C$13*(M1008+M1026+M1017*M$201+M1035*$D1116)</f>
        <v/>
      </c>
      <c r="N1116" s="44">
        <f>N1080*Settings!$C$13*(N1008+N1026+N1017*N$201+N1035*$D1116)</f>
        <v/>
      </c>
      <c r="O1116" s="44">
        <f>O1080*Settings!$C$13*(O1008+O1026+O1017*O$201+O1035*$D1116)</f>
        <v/>
      </c>
      <c r="P1116" s="44">
        <f>P1080*Settings!$C$13*(P1008+P1026+P1017*P$201+P1035*$D1116)</f>
        <v/>
      </c>
      <c r="Q1116" s="44">
        <f>Q1080*Settings!$C$13*(Q1008+Q1026+Q1017*Q$201+Q1035*$D1116)</f>
        <v/>
      </c>
      <c r="R1116" s="44">
        <f>R1080*Settings!$C$13*(R1008+R1026+R1017*R$201+R1035*$D1116)</f>
        <v/>
      </c>
      <c r="S1116" s="44">
        <f>S1080*Settings!$C$13*(S1008+S1026+S1017*S$201+S1035*$D1116)</f>
        <v/>
      </c>
      <c r="T1116" s="44">
        <f>T1080*Settings!$C$13*(T1008+T1026+T1017*T$201+T1035*$D1116)</f>
        <v/>
      </c>
      <c r="U1116" s="44">
        <f>U1080*Settings!$C$13*(U1008+U1026+U1017*U$201+U1035*$D1116)</f>
        <v/>
      </c>
      <c r="V1116" s="44">
        <f>V1080*Settings!$C$13*(V1008+V1026+V1017*V$201+V1035*$D1116)</f>
        <v/>
      </c>
      <c r="W1116" s="44">
        <f>W1080*Settings!$C$13*(W1008+W1026+W1017*W$201+W1035*$D1116)</f>
        <v/>
      </c>
      <c r="X1116" s="44">
        <f>X1080*Settings!$C$13*(X1008+X1026+X1017*X$201+X1035*$D1116)</f>
        <v/>
      </c>
      <c r="Y1116" s="44">
        <f>Y1080*Settings!$C$13*(Y1008+Y1026+Y1017*Y$201+Y1035*$D1116)</f>
        <v/>
      </c>
      <c r="Z1116" s="44">
        <f>Z1080*Settings!$C$13*(Z1008+Z1026+Z1017*Z$201+Z1035*$D1116)</f>
        <v/>
      </c>
      <c r="AA1116" s="44">
        <f>AA1080*Settings!$C$13*(AA1008+AA1026+AA1017*AA$201+AA1035*$D1116)</f>
        <v/>
      </c>
      <c r="AB1116" s="44">
        <f>AB1080*Settings!$C$13*(AB1008+AB1026+AB1017*AB$201+AB1035*$D1116)</f>
        <v/>
      </c>
      <c r="AC1116" s="44">
        <f>AC1080*Settings!$C$13*(AC1008+AC1026+AC1017*AC$201+AC1035*$D1116)</f>
        <v/>
      </c>
      <c r="AD1116" s="44">
        <f>AD1080*Settings!$C$13*(AD1008+AD1026+AD1017*AD$201+AD1035*$D1116)</f>
        <v/>
      </c>
      <c r="AE1116" s="57">
        <f>REVENUE(AE1080,Settings!$C$13,NEWREVRATE(AE1008,AE1026,AE1017,AE$201,AE1035,$D1116))</f>
        <v/>
      </c>
      <c r="AG1116" s="11">
        <f>CodePrefix&amp;$A1116&amp;IF($C1116="","","."&amp;$C1116&amp;"."&amp;$B1116)&amp;INDEX(VarEnd,MATCH($A1116,VarKey,0))&amp;AG$5</f>
        <v/>
      </c>
      <c r="AH1116" s="43">
        <f>AH1080*Settings!$C$13*(AH1008+AH1026+AH1017*AH$201+AH1035*$D1116)</f>
        <v/>
      </c>
      <c r="AI1116" s="44">
        <f>AI1080*Settings!$C$13*(AI1008+AI1026+AI1017*AI$201+AI1035*$D1116)</f>
        <v/>
      </c>
      <c r="AJ1116" s="44">
        <f>AJ1080*Settings!$C$13*(AJ1008+AJ1026+AJ1017*AJ$201+AJ1035*$D1116)</f>
        <v/>
      </c>
      <c r="AK1116" s="44">
        <f>AK1080*Settings!$C$13*(AK1008+AK1026+AK1017*AK$201+AK1035*$D1116)</f>
        <v/>
      </c>
      <c r="AL1116" s="44">
        <f>AL1080*Settings!$C$13*(AL1008+AL1026+AL1017*AL$201+AL1035*$D1116)</f>
        <v/>
      </c>
      <c r="AM1116" s="44">
        <f>AM1080*Settings!$C$13*(AM1008+AM1026+AM1017*AM$201+AM1035*$D1116)</f>
        <v/>
      </c>
      <c r="AN1116" s="44">
        <f>AN1080*Settings!$C$13*(AN1008+AN1026+AN1017*AN$201+AN1035*$D1116)</f>
        <v/>
      </c>
      <c r="AO1116" s="44">
        <f>AO1080*Settings!$C$13*(AO1008+AO1026+AO1017*AO$201+AO1035*$D1116)</f>
        <v/>
      </c>
      <c r="AP1116" s="44">
        <f>AP1080*Settings!$C$13*(AP1008+AP1026+AP1017*AP$201+AP1035*$D1116)</f>
        <v/>
      </c>
      <c r="AQ1116" s="44">
        <f>AQ1080*Settings!$C$13*(AQ1008+AQ1026+AQ1017*AQ$201+AQ1035*$D1116)</f>
        <v/>
      </c>
      <c r="AR1116" s="44">
        <f>AR1080*Settings!$C$13*(AR1008+AR1026+AR1017*AR$201+AR1035*$D1116)</f>
        <v/>
      </c>
      <c r="AS1116" s="44">
        <f>AS1080*Settings!$C$13*(AS1008+AS1026+AS1017*AS$201+AS1035*$D1116)</f>
        <v/>
      </c>
      <c r="AT1116" s="44">
        <f>AT1080*Settings!$C$13*(AT1008+AT1026+AT1017*AT$201+AT1035*$D1116)</f>
        <v/>
      </c>
      <c r="AU1116" s="44">
        <f>AU1080*Settings!$C$13*(AU1008+AU1026+AU1017*AU$201+AU1035*$D1116)</f>
        <v/>
      </c>
      <c r="AV1116" s="44">
        <f>AV1080*Settings!$C$13*(AV1008+AV1026+AV1017*AV$201+AV1035*$D1116)</f>
        <v/>
      </c>
      <c r="AW1116" s="44">
        <f>AW1080*Settings!$C$13*(AW1008+AW1026+AW1017*AW$201+AW1035*$D1116)</f>
        <v/>
      </c>
      <c r="AX1116" s="44">
        <f>AX1080*Settings!$C$13*(AX1008+AX1026+AX1017*AX$201+AX1035*$D1116)</f>
        <v/>
      </c>
      <c r="AY1116" s="44">
        <f>AY1080*Settings!$C$13*(AY1008+AY1026+AY1017*AY$201+AY1035*$D1116)</f>
        <v/>
      </c>
      <c r="AZ1116" s="44">
        <f>AZ1080*Settings!$C$13*(AZ1008+AZ1026+AZ1017*AZ$201+AZ1035*$D1116)</f>
        <v/>
      </c>
      <c r="BA1116" s="57">
        <f>REVENUE(BA1080,Settings!$C$13,NEWREVRATE(BA1008,BA1026,BA1017,BA$201,BA1035,$D1116))</f>
        <v/>
      </c>
    </row>
    <row r="1117" hidden="1" outlineLevel="2">
      <c r="A1117" s="14" t="inlineStr">
        <is>
          <t>rnew</t>
        </is>
      </c>
      <c r="B1117" s="14" t="inlineStr">
        <is>
          <t>gso</t>
        </is>
      </c>
      <c r="C1117" s="14" t="inlineStr">
        <is>
          <t>rod</t>
        </is>
      </c>
      <c r="D1117" s="35">
        <f>INDEX(Inputs!$V$5:$V$132,MATCH($B1117&amp;"|"&amp;$C1117,Inputs!$A$5:$A$132,0))</f>
        <v/>
      </c>
      <c r="E1117" s="39" t="n"/>
      <c r="F1117" s="39" t="n"/>
      <c r="G1117" s="39" t="n"/>
      <c r="H1117" s="14">
        <f>INDEX(VarLab,MATCH($A1117,VarKey,0))&amp;INDEX(MemLab,MATCH($C1117&amp;"|"&amp;$B1117,MemKey,0))</f>
        <v/>
      </c>
      <c r="I1117" s="14">
        <f>INDEX(VarUnit,MATCH($A1117,VarKey,0))</f>
        <v/>
      </c>
      <c r="J1117" s="14">
        <f>INDEX(VarSrc,MATCH($A1117,VarKey,0))</f>
        <v/>
      </c>
      <c r="K1117" s="11">
        <f>CodePrefix&amp;$A1117&amp;IF($C1117="","","."&amp;$C1117&amp;"."&amp;$B1117)&amp;INDEX(VarEnd,MATCH($A1117,VarKey,0))&amp;K$5</f>
        <v/>
      </c>
      <c r="L1117" s="43">
        <f>L1081*Settings!$C$13*(L1009+L1027+L1018*L$201+L1036*$D1117)</f>
        <v/>
      </c>
      <c r="M1117" s="44">
        <f>M1081*Settings!$C$13*(M1009+M1027+M1018*M$201+M1036*$D1117)</f>
        <v/>
      </c>
      <c r="N1117" s="44">
        <f>N1081*Settings!$C$13*(N1009+N1027+N1018*N$201+N1036*$D1117)</f>
        <v/>
      </c>
      <c r="O1117" s="44">
        <f>O1081*Settings!$C$13*(O1009+O1027+O1018*O$201+O1036*$D1117)</f>
        <v/>
      </c>
      <c r="P1117" s="44">
        <f>P1081*Settings!$C$13*(P1009+P1027+P1018*P$201+P1036*$D1117)</f>
        <v/>
      </c>
      <c r="Q1117" s="44">
        <f>Q1081*Settings!$C$13*(Q1009+Q1027+Q1018*Q$201+Q1036*$D1117)</f>
        <v/>
      </c>
      <c r="R1117" s="44">
        <f>R1081*Settings!$C$13*(R1009+R1027+R1018*R$201+R1036*$D1117)</f>
        <v/>
      </c>
      <c r="S1117" s="44">
        <f>S1081*Settings!$C$13*(S1009+S1027+S1018*S$201+S1036*$D1117)</f>
        <v/>
      </c>
      <c r="T1117" s="44">
        <f>T1081*Settings!$C$13*(T1009+T1027+T1018*T$201+T1036*$D1117)</f>
        <v/>
      </c>
      <c r="U1117" s="44">
        <f>U1081*Settings!$C$13*(U1009+U1027+U1018*U$201+U1036*$D1117)</f>
        <v/>
      </c>
      <c r="V1117" s="44">
        <f>V1081*Settings!$C$13*(V1009+V1027+V1018*V$201+V1036*$D1117)</f>
        <v/>
      </c>
      <c r="W1117" s="44">
        <f>W1081*Settings!$C$13*(W1009+W1027+W1018*W$201+W1036*$D1117)</f>
        <v/>
      </c>
      <c r="X1117" s="44">
        <f>X1081*Settings!$C$13*(X1009+X1027+X1018*X$201+X1036*$D1117)</f>
        <v/>
      </c>
      <c r="Y1117" s="44">
        <f>Y1081*Settings!$C$13*(Y1009+Y1027+Y1018*Y$201+Y1036*$D1117)</f>
        <v/>
      </c>
      <c r="Z1117" s="44">
        <f>Z1081*Settings!$C$13*(Z1009+Z1027+Z1018*Z$201+Z1036*$D1117)</f>
        <v/>
      </c>
      <c r="AA1117" s="44">
        <f>AA1081*Settings!$C$13*(AA1009+AA1027+AA1018*AA$201+AA1036*$D1117)</f>
        <v/>
      </c>
      <c r="AB1117" s="44">
        <f>AB1081*Settings!$C$13*(AB1009+AB1027+AB1018*AB$201+AB1036*$D1117)</f>
        <v/>
      </c>
      <c r="AC1117" s="44">
        <f>AC1081*Settings!$C$13*(AC1009+AC1027+AC1018*AC$201+AC1036*$D1117)</f>
        <v/>
      </c>
      <c r="AD1117" s="44">
        <f>AD1081*Settings!$C$13*(AD1009+AD1027+AD1018*AD$201+AD1036*$D1117)</f>
        <v/>
      </c>
      <c r="AE1117" s="57">
        <f>REVENUE(AE1081,Settings!$C$13,NEWREVRATE(AE1009,AE1027,AE1018,AE$201,AE1036,$D1117))</f>
        <v/>
      </c>
      <c r="AG1117" s="11">
        <f>CodePrefix&amp;$A1117&amp;IF($C1117="","","."&amp;$C1117&amp;"."&amp;$B1117)&amp;INDEX(VarEnd,MATCH($A1117,VarKey,0))&amp;AG$5</f>
        <v/>
      </c>
      <c r="AH1117" s="43">
        <f>AH1081*Settings!$C$13*(AH1009+AH1027+AH1018*AH$201+AH1036*$D1117)</f>
        <v/>
      </c>
      <c r="AI1117" s="44">
        <f>AI1081*Settings!$C$13*(AI1009+AI1027+AI1018*AI$201+AI1036*$D1117)</f>
        <v/>
      </c>
      <c r="AJ1117" s="44">
        <f>AJ1081*Settings!$C$13*(AJ1009+AJ1027+AJ1018*AJ$201+AJ1036*$D1117)</f>
        <v/>
      </c>
      <c r="AK1117" s="44">
        <f>AK1081*Settings!$C$13*(AK1009+AK1027+AK1018*AK$201+AK1036*$D1117)</f>
        <v/>
      </c>
      <c r="AL1117" s="44">
        <f>AL1081*Settings!$C$13*(AL1009+AL1027+AL1018*AL$201+AL1036*$D1117)</f>
        <v/>
      </c>
      <c r="AM1117" s="44">
        <f>AM1081*Settings!$C$13*(AM1009+AM1027+AM1018*AM$201+AM1036*$D1117)</f>
        <v/>
      </c>
      <c r="AN1117" s="44">
        <f>AN1081*Settings!$C$13*(AN1009+AN1027+AN1018*AN$201+AN1036*$D1117)</f>
        <v/>
      </c>
      <c r="AO1117" s="44">
        <f>AO1081*Settings!$C$13*(AO1009+AO1027+AO1018*AO$201+AO1036*$D1117)</f>
        <v/>
      </c>
      <c r="AP1117" s="44">
        <f>AP1081*Settings!$C$13*(AP1009+AP1027+AP1018*AP$201+AP1036*$D1117)</f>
        <v/>
      </c>
      <c r="AQ1117" s="44">
        <f>AQ1081*Settings!$C$13*(AQ1009+AQ1027+AQ1018*AQ$201+AQ1036*$D1117)</f>
        <v/>
      </c>
      <c r="AR1117" s="44">
        <f>AR1081*Settings!$C$13*(AR1009+AR1027+AR1018*AR$201+AR1036*$D1117)</f>
        <v/>
      </c>
      <c r="AS1117" s="44">
        <f>AS1081*Settings!$C$13*(AS1009+AS1027+AS1018*AS$201+AS1036*$D1117)</f>
        <v/>
      </c>
      <c r="AT1117" s="44">
        <f>AT1081*Settings!$C$13*(AT1009+AT1027+AT1018*AT$201+AT1036*$D1117)</f>
        <v/>
      </c>
      <c r="AU1117" s="44">
        <f>AU1081*Settings!$C$13*(AU1009+AU1027+AU1018*AU$201+AU1036*$D1117)</f>
        <v/>
      </c>
      <c r="AV1117" s="44">
        <f>AV1081*Settings!$C$13*(AV1009+AV1027+AV1018*AV$201+AV1036*$D1117)</f>
        <v/>
      </c>
      <c r="AW1117" s="44">
        <f>AW1081*Settings!$C$13*(AW1009+AW1027+AW1018*AW$201+AW1036*$D1117)</f>
        <v/>
      </c>
      <c r="AX1117" s="44">
        <f>AX1081*Settings!$C$13*(AX1009+AX1027+AX1018*AX$201+AX1036*$D1117)</f>
        <v/>
      </c>
      <c r="AY1117" s="44">
        <f>AY1081*Settings!$C$13*(AY1009+AY1027+AY1018*AY$201+AY1036*$D1117)</f>
        <v/>
      </c>
      <c r="AZ1117" s="44">
        <f>AZ1081*Settings!$C$13*(AZ1009+AZ1027+AZ1018*AZ$201+AZ1036*$D1117)</f>
        <v/>
      </c>
      <c r="BA1117" s="57">
        <f>REVENUE(BA1081,Settings!$C$13,NEWREVRATE(BA1009,BA1027,BA1018,BA$201,BA1036,$D1117))</f>
        <v/>
      </c>
    </row>
    <row r="1118" hidden="1" outlineLevel="2">
      <c r="A1118" s="14" t="inlineStr">
        <is>
          <t>rnew</t>
        </is>
      </c>
      <c r="B1118" s="14" t="inlineStr">
        <is>
          <t>die</t>
        </is>
      </c>
      <c r="C1118" s="14" t="inlineStr">
        <is>
          <t>rod</t>
        </is>
      </c>
      <c r="D1118" s="35">
        <f>INDEX(Inputs!$V$5:$V$132,MATCH($B1118&amp;"|"&amp;$C1118,Inputs!$A$5:$A$132,0))</f>
        <v/>
      </c>
      <c r="E1118" s="39" t="n"/>
      <c r="F1118" s="39" t="n"/>
      <c r="G1118" s="39" t="n"/>
      <c r="H1118" s="14">
        <f>INDEX(VarLab,MATCH($A1118,VarKey,0))&amp;INDEX(MemLab,MATCH($C1118&amp;"|"&amp;$B1118,MemKey,0))</f>
        <v/>
      </c>
      <c r="I1118" s="14">
        <f>INDEX(VarUnit,MATCH($A1118,VarKey,0))</f>
        <v/>
      </c>
      <c r="J1118" s="14">
        <f>INDEX(VarSrc,MATCH($A1118,VarKey,0))</f>
        <v/>
      </c>
      <c r="K1118" s="11">
        <f>CodePrefix&amp;$A1118&amp;IF($C1118="","","."&amp;$C1118&amp;"."&amp;$B1118)&amp;INDEX(VarEnd,MATCH($A1118,VarKey,0))&amp;K$5</f>
        <v/>
      </c>
      <c r="L1118" s="43">
        <f>L1082*Settings!$C$13*(L1010+L1028+L1019*L$201+L1037*$D1118)</f>
        <v/>
      </c>
      <c r="M1118" s="44">
        <f>M1082*Settings!$C$13*(M1010+M1028+M1019*M$201+M1037*$D1118)</f>
        <v/>
      </c>
      <c r="N1118" s="44">
        <f>N1082*Settings!$C$13*(N1010+N1028+N1019*N$201+N1037*$D1118)</f>
        <v/>
      </c>
      <c r="O1118" s="44">
        <f>O1082*Settings!$C$13*(O1010+O1028+O1019*O$201+O1037*$D1118)</f>
        <v/>
      </c>
      <c r="P1118" s="44">
        <f>P1082*Settings!$C$13*(P1010+P1028+P1019*P$201+P1037*$D1118)</f>
        <v/>
      </c>
      <c r="Q1118" s="44">
        <f>Q1082*Settings!$C$13*(Q1010+Q1028+Q1019*Q$201+Q1037*$D1118)</f>
        <v/>
      </c>
      <c r="R1118" s="44">
        <f>R1082*Settings!$C$13*(R1010+R1028+R1019*R$201+R1037*$D1118)</f>
        <v/>
      </c>
      <c r="S1118" s="44">
        <f>S1082*Settings!$C$13*(S1010+S1028+S1019*S$201+S1037*$D1118)</f>
        <v/>
      </c>
      <c r="T1118" s="44">
        <f>T1082*Settings!$C$13*(T1010+T1028+T1019*T$201+T1037*$D1118)</f>
        <v/>
      </c>
      <c r="U1118" s="44">
        <f>U1082*Settings!$C$13*(U1010+U1028+U1019*U$201+U1037*$D1118)</f>
        <v/>
      </c>
      <c r="V1118" s="44">
        <f>V1082*Settings!$C$13*(V1010+V1028+V1019*V$201+V1037*$D1118)</f>
        <v/>
      </c>
      <c r="W1118" s="44">
        <f>W1082*Settings!$C$13*(W1010+W1028+W1019*W$201+W1037*$D1118)</f>
        <v/>
      </c>
      <c r="X1118" s="44">
        <f>X1082*Settings!$C$13*(X1010+X1028+X1019*X$201+X1037*$D1118)</f>
        <v/>
      </c>
      <c r="Y1118" s="44">
        <f>Y1082*Settings!$C$13*(Y1010+Y1028+Y1019*Y$201+Y1037*$D1118)</f>
        <v/>
      </c>
      <c r="Z1118" s="44">
        <f>Z1082*Settings!$C$13*(Z1010+Z1028+Z1019*Z$201+Z1037*$D1118)</f>
        <v/>
      </c>
      <c r="AA1118" s="44">
        <f>AA1082*Settings!$C$13*(AA1010+AA1028+AA1019*AA$201+AA1037*$D1118)</f>
        <v/>
      </c>
      <c r="AB1118" s="44">
        <f>AB1082*Settings!$C$13*(AB1010+AB1028+AB1019*AB$201+AB1037*$D1118)</f>
        <v/>
      </c>
      <c r="AC1118" s="44">
        <f>AC1082*Settings!$C$13*(AC1010+AC1028+AC1019*AC$201+AC1037*$D1118)</f>
        <v/>
      </c>
      <c r="AD1118" s="44">
        <f>AD1082*Settings!$C$13*(AD1010+AD1028+AD1019*AD$201+AD1037*$D1118)</f>
        <v/>
      </c>
      <c r="AE1118" s="57">
        <f>REVENUE(AE1082,Settings!$C$13,NEWREVRATE(AE1010,AE1028,AE1019,AE$201,AE1037,$D1118))</f>
        <v/>
      </c>
      <c r="AG1118" s="11">
        <f>CodePrefix&amp;$A1118&amp;IF($C1118="","","."&amp;$C1118&amp;"."&amp;$B1118)&amp;INDEX(VarEnd,MATCH($A1118,VarKey,0))&amp;AG$5</f>
        <v/>
      </c>
      <c r="AH1118" s="43">
        <f>AH1082*Settings!$C$13*(AH1010+AH1028+AH1019*AH$201+AH1037*$D1118)</f>
        <v/>
      </c>
      <c r="AI1118" s="44">
        <f>AI1082*Settings!$C$13*(AI1010+AI1028+AI1019*AI$201+AI1037*$D1118)</f>
        <v/>
      </c>
      <c r="AJ1118" s="44">
        <f>AJ1082*Settings!$C$13*(AJ1010+AJ1028+AJ1019*AJ$201+AJ1037*$D1118)</f>
        <v/>
      </c>
      <c r="AK1118" s="44">
        <f>AK1082*Settings!$C$13*(AK1010+AK1028+AK1019*AK$201+AK1037*$D1118)</f>
        <v/>
      </c>
      <c r="AL1118" s="44">
        <f>AL1082*Settings!$C$13*(AL1010+AL1028+AL1019*AL$201+AL1037*$D1118)</f>
        <v/>
      </c>
      <c r="AM1118" s="44">
        <f>AM1082*Settings!$C$13*(AM1010+AM1028+AM1019*AM$201+AM1037*$D1118)</f>
        <v/>
      </c>
      <c r="AN1118" s="44">
        <f>AN1082*Settings!$C$13*(AN1010+AN1028+AN1019*AN$201+AN1037*$D1118)</f>
        <v/>
      </c>
      <c r="AO1118" s="44">
        <f>AO1082*Settings!$C$13*(AO1010+AO1028+AO1019*AO$201+AO1037*$D1118)</f>
        <v/>
      </c>
      <c r="AP1118" s="44">
        <f>AP1082*Settings!$C$13*(AP1010+AP1028+AP1019*AP$201+AP1037*$D1118)</f>
        <v/>
      </c>
      <c r="AQ1118" s="44">
        <f>AQ1082*Settings!$C$13*(AQ1010+AQ1028+AQ1019*AQ$201+AQ1037*$D1118)</f>
        <v/>
      </c>
      <c r="AR1118" s="44">
        <f>AR1082*Settings!$C$13*(AR1010+AR1028+AR1019*AR$201+AR1037*$D1118)</f>
        <v/>
      </c>
      <c r="AS1118" s="44">
        <f>AS1082*Settings!$C$13*(AS1010+AS1028+AS1019*AS$201+AS1037*$D1118)</f>
        <v/>
      </c>
      <c r="AT1118" s="44">
        <f>AT1082*Settings!$C$13*(AT1010+AT1028+AT1019*AT$201+AT1037*$D1118)</f>
        <v/>
      </c>
      <c r="AU1118" s="44">
        <f>AU1082*Settings!$C$13*(AU1010+AU1028+AU1019*AU$201+AU1037*$D1118)</f>
        <v/>
      </c>
      <c r="AV1118" s="44">
        <f>AV1082*Settings!$C$13*(AV1010+AV1028+AV1019*AV$201+AV1037*$D1118)</f>
        <v/>
      </c>
      <c r="AW1118" s="44">
        <f>AW1082*Settings!$C$13*(AW1010+AW1028+AW1019*AW$201+AW1037*$D1118)</f>
        <v/>
      </c>
      <c r="AX1118" s="44">
        <f>AX1082*Settings!$C$13*(AX1010+AX1028+AX1019*AX$201+AX1037*$D1118)</f>
        <v/>
      </c>
      <c r="AY1118" s="44">
        <f>AY1082*Settings!$C$13*(AY1010+AY1028+AY1019*AY$201+AY1037*$D1118)</f>
        <v/>
      </c>
      <c r="AZ1118" s="44">
        <f>AZ1082*Settings!$C$13*(AZ1010+AZ1028+AZ1019*AZ$201+AZ1037*$D1118)</f>
        <v/>
      </c>
      <c r="BA1118" s="57">
        <f>REVENUE(BA1082,Settings!$C$13,NEWREVRATE(BA1010,BA1028,BA1019,BA$201,BA1037,$D1118))</f>
        <v/>
      </c>
    </row>
    <row r="1119" hidden="1" outlineLevel="2">
      <c r="A1119" s="14" t="inlineStr">
        <is>
          <t>rnew</t>
        </is>
      </c>
      <c r="B1119" s="14" t="inlineStr">
        <is>
          <t>lpg</t>
        </is>
      </c>
      <c r="C1119" s="14" t="inlineStr">
        <is>
          <t>rod</t>
        </is>
      </c>
      <c r="D1119" s="35">
        <f>INDEX(Inputs!$V$5:$V$132,MATCH($B1119&amp;"|"&amp;$C1119,Inputs!$A$5:$A$132,0))</f>
        <v/>
      </c>
      <c r="E1119" s="39" t="n"/>
      <c r="F1119" s="39" t="n"/>
      <c r="G1119" s="39" t="n"/>
      <c r="H1119" s="14">
        <f>INDEX(VarLab,MATCH($A1119,VarKey,0))&amp;INDEX(MemLab,MATCH($C1119&amp;"|"&amp;$B1119,MemKey,0))</f>
        <v/>
      </c>
      <c r="I1119" s="14">
        <f>INDEX(VarUnit,MATCH($A1119,VarKey,0))</f>
        <v/>
      </c>
      <c r="J1119" s="14">
        <f>INDEX(VarSrc,MATCH($A1119,VarKey,0))</f>
        <v/>
      </c>
      <c r="K1119" s="11">
        <f>CodePrefix&amp;$A1119&amp;IF($C1119="","","."&amp;$C1119&amp;"."&amp;$B1119)&amp;INDEX(VarEnd,MATCH($A1119,VarKey,0))&amp;K$5</f>
        <v/>
      </c>
      <c r="L1119" s="43">
        <f>L1083*Settings!$C$13*(L1011+L1029+L1020*L$201+L1038*$D1119)</f>
        <v/>
      </c>
      <c r="M1119" s="44">
        <f>M1083*Settings!$C$13*(M1011+M1029+M1020*M$201+M1038*$D1119)</f>
        <v/>
      </c>
      <c r="N1119" s="44">
        <f>N1083*Settings!$C$13*(N1011+N1029+N1020*N$201+N1038*$D1119)</f>
        <v/>
      </c>
      <c r="O1119" s="44">
        <f>O1083*Settings!$C$13*(O1011+O1029+O1020*O$201+O1038*$D1119)</f>
        <v/>
      </c>
      <c r="P1119" s="44">
        <f>P1083*Settings!$C$13*(P1011+P1029+P1020*P$201+P1038*$D1119)</f>
        <v/>
      </c>
      <c r="Q1119" s="44">
        <f>Q1083*Settings!$C$13*(Q1011+Q1029+Q1020*Q$201+Q1038*$D1119)</f>
        <v/>
      </c>
      <c r="R1119" s="44">
        <f>R1083*Settings!$C$13*(R1011+R1029+R1020*R$201+R1038*$D1119)</f>
        <v/>
      </c>
      <c r="S1119" s="44">
        <f>S1083*Settings!$C$13*(S1011+S1029+S1020*S$201+S1038*$D1119)</f>
        <v/>
      </c>
      <c r="T1119" s="44">
        <f>T1083*Settings!$C$13*(T1011+T1029+T1020*T$201+T1038*$D1119)</f>
        <v/>
      </c>
      <c r="U1119" s="44">
        <f>U1083*Settings!$C$13*(U1011+U1029+U1020*U$201+U1038*$D1119)</f>
        <v/>
      </c>
      <c r="V1119" s="44">
        <f>V1083*Settings!$C$13*(V1011+V1029+V1020*V$201+V1038*$D1119)</f>
        <v/>
      </c>
      <c r="W1119" s="44">
        <f>W1083*Settings!$C$13*(W1011+W1029+W1020*W$201+W1038*$D1119)</f>
        <v/>
      </c>
      <c r="X1119" s="44">
        <f>X1083*Settings!$C$13*(X1011+X1029+X1020*X$201+X1038*$D1119)</f>
        <v/>
      </c>
      <c r="Y1119" s="44">
        <f>Y1083*Settings!$C$13*(Y1011+Y1029+Y1020*Y$201+Y1038*$D1119)</f>
        <v/>
      </c>
      <c r="Z1119" s="44">
        <f>Z1083*Settings!$C$13*(Z1011+Z1029+Z1020*Z$201+Z1038*$D1119)</f>
        <v/>
      </c>
      <c r="AA1119" s="44">
        <f>AA1083*Settings!$C$13*(AA1011+AA1029+AA1020*AA$201+AA1038*$D1119)</f>
        <v/>
      </c>
      <c r="AB1119" s="44">
        <f>AB1083*Settings!$C$13*(AB1011+AB1029+AB1020*AB$201+AB1038*$D1119)</f>
        <v/>
      </c>
      <c r="AC1119" s="44">
        <f>AC1083*Settings!$C$13*(AC1011+AC1029+AC1020*AC$201+AC1038*$D1119)</f>
        <v/>
      </c>
      <c r="AD1119" s="44">
        <f>AD1083*Settings!$C$13*(AD1011+AD1029+AD1020*AD$201+AD1038*$D1119)</f>
        <v/>
      </c>
      <c r="AE1119" s="57">
        <f>REVENUE(AE1083,Settings!$C$13,NEWREVRATE(AE1011,AE1029,AE1020,AE$201,AE1038,$D1119))</f>
        <v/>
      </c>
      <c r="AG1119" s="11">
        <f>CodePrefix&amp;$A1119&amp;IF($C1119="","","."&amp;$C1119&amp;"."&amp;$B1119)&amp;INDEX(VarEnd,MATCH($A1119,VarKey,0))&amp;AG$5</f>
        <v/>
      </c>
      <c r="AH1119" s="43">
        <f>AH1083*Settings!$C$13*(AH1011+AH1029+AH1020*AH$201+AH1038*$D1119)</f>
        <v/>
      </c>
      <c r="AI1119" s="44">
        <f>AI1083*Settings!$C$13*(AI1011+AI1029+AI1020*AI$201+AI1038*$D1119)</f>
        <v/>
      </c>
      <c r="AJ1119" s="44">
        <f>AJ1083*Settings!$C$13*(AJ1011+AJ1029+AJ1020*AJ$201+AJ1038*$D1119)</f>
        <v/>
      </c>
      <c r="AK1119" s="44">
        <f>AK1083*Settings!$C$13*(AK1011+AK1029+AK1020*AK$201+AK1038*$D1119)</f>
        <v/>
      </c>
      <c r="AL1119" s="44">
        <f>AL1083*Settings!$C$13*(AL1011+AL1029+AL1020*AL$201+AL1038*$D1119)</f>
        <v/>
      </c>
      <c r="AM1119" s="44">
        <f>AM1083*Settings!$C$13*(AM1011+AM1029+AM1020*AM$201+AM1038*$D1119)</f>
        <v/>
      </c>
      <c r="AN1119" s="44">
        <f>AN1083*Settings!$C$13*(AN1011+AN1029+AN1020*AN$201+AN1038*$D1119)</f>
        <v/>
      </c>
      <c r="AO1119" s="44">
        <f>AO1083*Settings!$C$13*(AO1011+AO1029+AO1020*AO$201+AO1038*$D1119)</f>
        <v/>
      </c>
      <c r="AP1119" s="44">
        <f>AP1083*Settings!$C$13*(AP1011+AP1029+AP1020*AP$201+AP1038*$D1119)</f>
        <v/>
      </c>
      <c r="AQ1119" s="44">
        <f>AQ1083*Settings!$C$13*(AQ1011+AQ1029+AQ1020*AQ$201+AQ1038*$D1119)</f>
        <v/>
      </c>
      <c r="AR1119" s="44">
        <f>AR1083*Settings!$C$13*(AR1011+AR1029+AR1020*AR$201+AR1038*$D1119)</f>
        <v/>
      </c>
      <c r="AS1119" s="44">
        <f>AS1083*Settings!$C$13*(AS1011+AS1029+AS1020*AS$201+AS1038*$D1119)</f>
        <v/>
      </c>
      <c r="AT1119" s="44">
        <f>AT1083*Settings!$C$13*(AT1011+AT1029+AT1020*AT$201+AT1038*$D1119)</f>
        <v/>
      </c>
      <c r="AU1119" s="44">
        <f>AU1083*Settings!$C$13*(AU1011+AU1029+AU1020*AU$201+AU1038*$D1119)</f>
        <v/>
      </c>
      <c r="AV1119" s="44">
        <f>AV1083*Settings!$C$13*(AV1011+AV1029+AV1020*AV$201+AV1038*$D1119)</f>
        <v/>
      </c>
      <c r="AW1119" s="44">
        <f>AW1083*Settings!$C$13*(AW1011+AW1029+AW1020*AW$201+AW1038*$D1119)</f>
        <v/>
      </c>
      <c r="AX1119" s="44">
        <f>AX1083*Settings!$C$13*(AX1011+AX1029+AX1020*AX$201+AX1038*$D1119)</f>
        <v/>
      </c>
      <c r="AY1119" s="44">
        <f>AY1083*Settings!$C$13*(AY1011+AY1029+AY1020*AY$201+AY1038*$D1119)</f>
        <v/>
      </c>
      <c r="AZ1119" s="44">
        <f>AZ1083*Settings!$C$13*(AZ1011+AZ1029+AZ1020*AZ$201+AZ1038*$D1119)</f>
        <v/>
      </c>
      <c r="BA1119" s="57">
        <f>REVENUE(BA1083,Settings!$C$13,NEWREVRATE(BA1011,BA1029,BA1020,BA$201,BA1038,$D1119))</f>
        <v/>
      </c>
    </row>
    <row r="1120" hidden="1" outlineLevel="2">
      <c r="A1120" s="14" t="inlineStr">
        <is>
          <t>rnew</t>
        </is>
      </c>
      <c r="B1120" s="14" t="inlineStr">
        <is>
          <t>ker</t>
        </is>
      </c>
      <c r="C1120" s="14" t="inlineStr">
        <is>
          <t>rod</t>
        </is>
      </c>
      <c r="D1120" s="35">
        <f>INDEX(Inputs!$V$5:$V$132,MATCH($B1120&amp;"|"&amp;$C1120,Inputs!$A$5:$A$132,0))</f>
        <v/>
      </c>
      <c r="E1120" s="39" t="n"/>
      <c r="F1120" s="39" t="n"/>
      <c r="G1120" s="39" t="n"/>
      <c r="H1120" s="14">
        <f>INDEX(VarLab,MATCH($A1120,VarKey,0))&amp;INDEX(MemLab,MATCH($C1120&amp;"|"&amp;$B1120,MemKey,0))</f>
        <v/>
      </c>
      <c r="I1120" s="14">
        <f>INDEX(VarUnit,MATCH($A1120,VarKey,0))</f>
        <v/>
      </c>
      <c r="J1120" s="14">
        <f>INDEX(VarSrc,MATCH($A1120,VarKey,0))</f>
        <v/>
      </c>
      <c r="K1120" s="11">
        <f>CodePrefix&amp;$A1120&amp;IF($C1120="","","."&amp;$C1120&amp;"."&amp;$B1120)&amp;INDEX(VarEnd,MATCH($A1120,VarKey,0))&amp;K$5</f>
        <v/>
      </c>
      <c r="L1120" s="43">
        <f>L1084*Settings!$C$13*(L1012+L1030+L1021*L$201+L1039*$D1120)</f>
        <v/>
      </c>
      <c r="M1120" s="44">
        <f>M1084*Settings!$C$13*(M1012+M1030+M1021*M$201+M1039*$D1120)</f>
        <v/>
      </c>
      <c r="N1120" s="44">
        <f>N1084*Settings!$C$13*(N1012+N1030+N1021*N$201+N1039*$D1120)</f>
        <v/>
      </c>
      <c r="O1120" s="44">
        <f>O1084*Settings!$C$13*(O1012+O1030+O1021*O$201+O1039*$D1120)</f>
        <v/>
      </c>
      <c r="P1120" s="44">
        <f>P1084*Settings!$C$13*(P1012+P1030+P1021*P$201+P1039*$D1120)</f>
        <v/>
      </c>
      <c r="Q1120" s="44">
        <f>Q1084*Settings!$C$13*(Q1012+Q1030+Q1021*Q$201+Q1039*$D1120)</f>
        <v/>
      </c>
      <c r="R1120" s="44">
        <f>R1084*Settings!$C$13*(R1012+R1030+R1021*R$201+R1039*$D1120)</f>
        <v/>
      </c>
      <c r="S1120" s="44">
        <f>S1084*Settings!$C$13*(S1012+S1030+S1021*S$201+S1039*$D1120)</f>
        <v/>
      </c>
      <c r="T1120" s="44">
        <f>T1084*Settings!$C$13*(T1012+T1030+T1021*T$201+T1039*$D1120)</f>
        <v/>
      </c>
      <c r="U1120" s="44">
        <f>U1084*Settings!$C$13*(U1012+U1030+U1021*U$201+U1039*$D1120)</f>
        <v/>
      </c>
      <c r="V1120" s="44">
        <f>V1084*Settings!$C$13*(V1012+V1030+V1021*V$201+V1039*$D1120)</f>
        <v/>
      </c>
      <c r="W1120" s="44">
        <f>W1084*Settings!$C$13*(W1012+W1030+W1021*W$201+W1039*$D1120)</f>
        <v/>
      </c>
      <c r="X1120" s="44">
        <f>X1084*Settings!$C$13*(X1012+X1030+X1021*X$201+X1039*$D1120)</f>
        <v/>
      </c>
      <c r="Y1120" s="44">
        <f>Y1084*Settings!$C$13*(Y1012+Y1030+Y1021*Y$201+Y1039*$D1120)</f>
        <v/>
      </c>
      <c r="Z1120" s="44">
        <f>Z1084*Settings!$C$13*(Z1012+Z1030+Z1021*Z$201+Z1039*$D1120)</f>
        <v/>
      </c>
      <c r="AA1120" s="44">
        <f>AA1084*Settings!$C$13*(AA1012+AA1030+AA1021*AA$201+AA1039*$D1120)</f>
        <v/>
      </c>
      <c r="AB1120" s="44">
        <f>AB1084*Settings!$C$13*(AB1012+AB1030+AB1021*AB$201+AB1039*$D1120)</f>
        <v/>
      </c>
      <c r="AC1120" s="44">
        <f>AC1084*Settings!$C$13*(AC1012+AC1030+AC1021*AC$201+AC1039*$D1120)</f>
        <v/>
      </c>
      <c r="AD1120" s="44">
        <f>AD1084*Settings!$C$13*(AD1012+AD1030+AD1021*AD$201+AD1039*$D1120)</f>
        <v/>
      </c>
      <c r="AE1120" s="57">
        <f>REVENUE(AE1084,Settings!$C$13,NEWREVRATE(AE1012,AE1030,AE1021,AE$201,AE1039,$D1120))</f>
        <v/>
      </c>
      <c r="AG1120" s="11">
        <f>CodePrefix&amp;$A1120&amp;IF($C1120="","","."&amp;$C1120&amp;"."&amp;$B1120)&amp;INDEX(VarEnd,MATCH($A1120,VarKey,0))&amp;AG$5</f>
        <v/>
      </c>
      <c r="AH1120" s="43">
        <f>AH1084*Settings!$C$13*(AH1012+AH1030+AH1021*AH$201+AH1039*$D1120)</f>
        <v/>
      </c>
      <c r="AI1120" s="44">
        <f>AI1084*Settings!$C$13*(AI1012+AI1030+AI1021*AI$201+AI1039*$D1120)</f>
        <v/>
      </c>
      <c r="AJ1120" s="44">
        <f>AJ1084*Settings!$C$13*(AJ1012+AJ1030+AJ1021*AJ$201+AJ1039*$D1120)</f>
        <v/>
      </c>
      <c r="AK1120" s="44">
        <f>AK1084*Settings!$C$13*(AK1012+AK1030+AK1021*AK$201+AK1039*$D1120)</f>
        <v/>
      </c>
      <c r="AL1120" s="44">
        <f>AL1084*Settings!$C$13*(AL1012+AL1030+AL1021*AL$201+AL1039*$D1120)</f>
        <v/>
      </c>
      <c r="AM1120" s="44">
        <f>AM1084*Settings!$C$13*(AM1012+AM1030+AM1021*AM$201+AM1039*$D1120)</f>
        <v/>
      </c>
      <c r="AN1120" s="44">
        <f>AN1084*Settings!$C$13*(AN1012+AN1030+AN1021*AN$201+AN1039*$D1120)</f>
        <v/>
      </c>
      <c r="AO1120" s="44">
        <f>AO1084*Settings!$C$13*(AO1012+AO1030+AO1021*AO$201+AO1039*$D1120)</f>
        <v/>
      </c>
      <c r="AP1120" s="44">
        <f>AP1084*Settings!$C$13*(AP1012+AP1030+AP1021*AP$201+AP1039*$D1120)</f>
        <v/>
      </c>
      <c r="AQ1120" s="44">
        <f>AQ1084*Settings!$C$13*(AQ1012+AQ1030+AQ1021*AQ$201+AQ1039*$D1120)</f>
        <v/>
      </c>
      <c r="AR1120" s="44">
        <f>AR1084*Settings!$C$13*(AR1012+AR1030+AR1021*AR$201+AR1039*$D1120)</f>
        <v/>
      </c>
      <c r="AS1120" s="44">
        <f>AS1084*Settings!$C$13*(AS1012+AS1030+AS1021*AS$201+AS1039*$D1120)</f>
        <v/>
      </c>
      <c r="AT1120" s="44">
        <f>AT1084*Settings!$C$13*(AT1012+AT1030+AT1021*AT$201+AT1039*$D1120)</f>
        <v/>
      </c>
      <c r="AU1120" s="44">
        <f>AU1084*Settings!$C$13*(AU1012+AU1030+AU1021*AU$201+AU1039*$D1120)</f>
        <v/>
      </c>
      <c r="AV1120" s="44">
        <f>AV1084*Settings!$C$13*(AV1012+AV1030+AV1021*AV$201+AV1039*$D1120)</f>
        <v/>
      </c>
      <c r="AW1120" s="44">
        <f>AW1084*Settings!$C$13*(AW1012+AW1030+AW1021*AW$201+AW1039*$D1120)</f>
        <v/>
      </c>
      <c r="AX1120" s="44">
        <f>AX1084*Settings!$C$13*(AX1012+AX1030+AX1021*AX$201+AX1039*$D1120)</f>
        <v/>
      </c>
      <c r="AY1120" s="44">
        <f>AY1084*Settings!$C$13*(AY1012+AY1030+AY1021*AY$201+AY1039*$D1120)</f>
        <v/>
      </c>
      <c r="AZ1120" s="44">
        <f>AZ1084*Settings!$C$13*(AZ1012+AZ1030+AZ1021*AZ$201+AZ1039*$D1120)</f>
        <v/>
      </c>
      <c r="BA1120" s="57">
        <f>REVENUE(BA1084,Settings!$C$13,NEWREVRATE(BA1012,BA1030,BA1021,BA$201,BA1039,$D1120))</f>
        <v/>
      </c>
    </row>
    <row r="1121" hidden="1" outlineLevel="2">
      <c r="A1121" s="14" t="inlineStr">
        <is>
          <t>rnew</t>
        </is>
      </c>
      <c r="B1121" s="14" t="inlineStr">
        <is>
          <t>oop</t>
        </is>
      </c>
      <c r="C1121" s="14" t="inlineStr">
        <is>
          <t>rod</t>
        </is>
      </c>
      <c r="D1121" s="35">
        <f>INDEX(Inputs!$V$5:$V$132,MATCH($B1121&amp;"|"&amp;$C1121,Inputs!$A$5:$A$132,0))</f>
        <v/>
      </c>
      <c r="E1121" s="39" t="n"/>
      <c r="F1121" s="39" t="n"/>
      <c r="G1121" s="39" t="n"/>
      <c r="H1121" s="14">
        <f>INDEX(VarLab,MATCH($A1121,VarKey,0))&amp;INDEX(MemLab,MATCH($C1121&amp;"|"&amp;$B1121,MemKey,0))</f>
        <v/>
      </c>
      <c r="I1121" s="14">
        <f>INDEX(VarUnit,MATCH($A1121,VarKey,0))</f>
        <v/>
      </c>
      <c r="J1121" s="14">
        <f>INDEX(VarSrc,MATCH($A1121,VarKey,0))</f>
        <v/>
      </c>
      <c r="K1121" s="11">
        <f>CodePrefix&amp;$A1121&amp;IF($C1121="","","."&amp;$C1121&amp;"."&amp;$B1121)&amp;INDEX(VarEnd,MATCH($A1121,VarKey,0))&amp;K$5</f>
        <v/>
      </c>
      <c r="L1121" s="43">
        <f>L1085*Settings!$C$13*(L1013+L1031+L1022*L$201+L1040*$D1121)</f>
        <v/>
      </c>
      <c r="M1121" s="44">
        <f>M1085*Settings!$C$13*(M1013+M1031+M1022*M$201+M1040*$D1121)</f>
        <v/>
      </c>
      <c r="N1121" s="44">
        <f>N1085*Settings!$C$13*(N1013+N1031+N1022*N$201+N1040*$D1121)</f>
        <v/>
      </c>
      <c r="O1121" s="44">
        <f>O1085*Settings!$C$13*(O1013+O1031+O1022*O$201+O1040*$D1121)</f>
        <v/>
      </c>
      <c r="P1121" s="44">
        <f>P1085*Settings!$C$13*(P1013+P1031+P1022*P$201+P1040*$D1121)</f>
        <v/>
      </c>
      <c r="Q1121" s="44">
        <f>Q1085*Settings!$C$13*(Q1013+Q1031+Q1022*Q$201+Q1040*$D1121)</f>
        <v/>
      </c>
      <c r="R1121" s="44">
        <f>R1085*Settings!$C$13*(R1013+R1031+R1022*R$201+R1040*$D1121)</f>
        <v/>
      </c>
      <c r="S1121" s="44">
        <f>S1085*Settings!$C$13*(S1013+S1031+S1022*S$201+S1040*$D1121)</f>
        <v/>
      </c>
      <c r="T1121" s="44">
        <f>T1085*Settings!$C$13*(T1013+T1031+T1022*T$201+T1040*$D1121)</f>
        <v/>
      </c>
      <c r="U1121" s="44">
        <f>U1085*Settings!$C$13*(U1013+U1031+U1022*U$201+U1040*$D1121)</f>
        <v/>
      </c>
      <c r="V1121" s="44">
        <f>V1085*Settings!$C$13*(V1013+V1031+V1022*V$201+V1040*$D1121)</f>
        <v/>
      </c>
      <c r="W1121" s="44">
        <f>W1085*Settings!$C$13*(W1013+W1031+W1022*W$201+W1040*$D1121)</f>
        <v/>
      </c>
      <c r="X1121" s="44">
        <f>X1085*Settings!$C$13*(X1013+X1031+X1022*X$201+X1040*$D1121)</f>
        <v/>
      </c>
      <c r="Y1121" s="44">
        <f>Y1085*Settings!$C$13*(Y1013+Y1031+Y1022*Y$201+Y1040*$D1121)</f>
        <v/>
      </c>
      <c r="Z1121" s="44">
        <f>Z1085*Settings!$C$13*(Z1013+Z1031+Z1022*Z$201+Z1040*$D1121)</f>
        <v/>
      </c>
      <c r="AA1121" s="44">
        <f>AA1085*Settings!$C$13*(AA1013+AA1031+AA1022*AA$201+AA1040*$D1121)</f>
        <v/>
      </c>
      <c r="AB1121" s="44">
        <f>AB1085*Settings!$C$13*(AB1013+AB1031+AB1022*AB$201+AB1040*$D1121)</f>
        <v/>
      </c>
      <c r="AC1121" s="44">
        <f>AC1085*Settings!$C$13*(AC1013+AC1031+AC1022*AC$201+AC1040*$D1121)</f>
        <v/>
      </c>
      <c r="AD1121" s="44">
        <f>AD1085*Settings!$C$13*(AD1013+AD1031+AD1022*AD$201+AD1040*$D1121)</f>
        <v/>
      </c>
      <c r="AE1121" s="57">
        <f>REVENUE(AE1085,Settings!$C$13,NEWREVRATE(AE1013,AE1031,AE1022,AE$201,AE1040,$D1121))</f>
        <v/>
      </c>
      <c r="AG1121" s="11">
        <f>CodePrefix&amp;$A1121&amp;IF($C1121="","","."&amp;$C1121&amp;"."&amp;$B1121)&amp;INDEX(VarEnd,MATCH($A1121,VarKey,0))&amp;AG$5</f>
        <v/>
      </c>
      <c r="AH1121" s="43">
        <f>AH1085*Settings!$C$13*(AH1013+AH1031+AH1022*AH$201+AH1040*$D1121)</f>
        <v/>
      </c>
      <c r="AI1121" s="44">
        <f>AI1085*Settings!$C$13*(AI1013+AI1031+AI1022*AI$201+AI1040*$D1121)</f>
        <v/>
      </c>
      <c r="AJ1121" s="44">
        <f>AJ1085*Settings!$C$13*(AJ1013+AJ1031+AJ1022*AJ$201+AJ1040*$D1121)</f>
        <v/>
      </c>
      <c r="AK1121" s="44">
        <f>AK1085*Settings!$C$13*(AK1013+AK1031+AK1022*AK$201+AK1040*$D1121)</f>
        <v/>
      </c>
      <c r="AL1121" s="44">
        <f>AL1085*Settings!$C$13*(AL1013+AL1031+AL1022*AL$201+AL1040*$D1121)</f>
        <v/>
      </c>
      <c r="AM1121" s="44">
        <f>AM1085*Settings!$C$13*(AM1013+AM1031+AM1022*AM$201+AM1040*$D1121)</f>
        <v/>
      </c>
      <c r="AN1121" s="44">
        <f>AN1085*Settings!$C$13*(AN1013+AN1031+AN1022*AN$201+AN1040*$D1121)</f>
        <v/>
      </c>
      <c r="AO1121" s="44">
        <f>AO1085*Settings!$C$13*(AO1013+AO1031+AO1022*AO$201+AO1040*$D1121)</f>
        <v/>
      </c>
      <c r="AP1121" s="44">
        <f>AP1085*Settings!$C$13*(AP1013+AP1031+AP1022*AP$201+AP1040*$D1121)</f>
        <v/>
      </c>
      <c r="AQ1121" s="44">
        <f>AQ1085*Settings!$C$13*(AQ1013+AQ1031+AQ1022*AQ$201+AQ1040*$D1121)</f>
        <v/>
      </c>
      <c r="AR1121" s="44">
        <f>AR1085*Settings!$C$13*(AR1013+AR1031+AR1022*AR$201+AR1040*$D1121)</f>
        <v/>
      </c>
      <c r="AS1121" s="44">
        <f>AS1085*Settings!$C$13*(AS1013+AS1031+AS1022*AS$201+AS1040*$D1121)</f>
        <v/>
      </c>
      <c r="AT1121" s="44">
        <f>AT1085*Settings!$C$13*(AT1013+AT1031+AT1022*AT$201+AT1040*$D1121)</f>
        <v/>
      </c>
      <c r="AU1121" s="44">
        <f>AU1085*Settings!$C$13*(AU1013+AU1031+AU1022*AU$201+AU1040*$D1121)</f>
        <v/>
      </c>
      <c r="AV1121" s="44">
        <f>AV1085*Settings!$C$13*(AV1013+AV1031+AV1022*AV$201+AV1040*$D1121)</f>
        <v/>
      </c>
      <c r="AW1121" s="44">
        <f>AW1085*Settings!$C$13*(AW1013+AW1031+AW1022*AW$201+AW1040*$D1121)</f>
        <v/>
      </c>
      <c r="AX1121" s="44">
        <f>AX1085*Settings!$C$13*(AX1013+AX1031+AX1022*AX$201+AX1040*$D1121)</f>
        <v/>
      </c>
      <c r="AY1121" s="44">
        <f>AY1085*Settings!$C$13*(AY1013+AY1031+AY1022*AY$201+AY1040*$D1121)</f>
        <v/>
      </c>
      <c r="AZ1121" s="44">
        <f>AZ1085*Settings!$C$13*(AZ1013+AZ1031+AZ1022*AZ$201+AZ1040*$D1121)</f>
        <v/>
      </c>
      <c r="BA1121" s="57">
        <f>REVENUE(BA1085,Settings!$C$13,NEWREVRATE(BA1013,BA1031,BA1022,BA$201,BA1040,$D1121))</f>
        <v/>
      </c>
    </row>
    <row r="1122" hidden="1" outlineLevel="2">
      <c r="A1122" s="14" t="inlineStr">
        <is>
          <t>rnew</t>
        </is>
      </c>
      <c r="B1122" s="14" t="inlineStr">
        <is>
          <t>bio</t>
        </is>
      </c>
      <c r="C1122" s="14" t="inlineStr">
        <is>
          <t>rod</t>
        </is>
      </c>
      <c r="D1122" s="35">
        <f>INDEX(Inputs!$V$5:$V$132,MATCH($B1122&amp;"|"&amp;$C1122,Inputs!$A$5:$A$132,0))</f>
        <v/>
      </c>
      <c r="E1122" s="39" t="n"/>
      <c r="F1122" s="39" t="n"/>
      <c r="G1122" s="39" t="n"/>
      <c r="H1122" s="14">
        <f>INDEX(VarLab,MATCH($A1122,VarKey,0))&amp;INDEX(MemLab,MATCH($C1122&amp;"|"&amp;$B1122,MemKey,0))</f>
        <v/>
      </c>
      <c r="I1122" s="14">
        <f>INDEX(VarUnit,MATCH($A1122,VarKey,0))</f>
        <v/>
      </c>
      <c r="J1122" s="14">
        <f>INDEX(VarSrc,MATCH($A1122,VarKey,0))</f>
        <v/>
      </c>
      <c r="K1122" s="11">
        <f>CodePrefix&amp;$A1122&amp;IF($C1122="","","."&amp;$C1122&amp;"."&amp;$B1122)&amp;INDEX(VarEnd,MATCH($A1122,VarKey,0))&amp;K$5</f>
        <v/>
      </c>
      <c r="L1122" s="43">
        <f>L1086*Settings!$C$13*(L1014+L1032+L1023*L$201+L1041*$D1122)</f>
        <v/>
      </c>
      <c r="M1122" s="44">
        <f>M1086*Settings!$C$13*(M1014+M1032+M1023*M$201+M1041*$D1122)</f>
        <v/>
      </c>
      <c r="N1122" s="44">
        <f>N1086*Settings!$C$13*(N1014+N1032+N1023*N$201+N1041*$D1122)</f>
        <v/>
      </c>
      <c r="O1122" s="44">
        <f>O1086*Settings!$C$13*(O1014+O1032+O1023*O$201+O1041*$D1122)</f>
        <v/>
      </c>
      <c r="P1122" s="44">
        <f>P1086*Settings!$C$13*(P1014+P1032+P1023*P$201+P1041*$D1122)</f>
        <v/>
      </c>
      <c r="Q1122" s="44">
        <f>Q1086*Settings!$C$13*(Q1014+Q1032+Q1023*Q$201+Q1041*$D1122)</f>
        <v/>
      </c>
      <c r="R1122" s="44">
        <f>R1086*Settings!$C$13*(R1014+R1032+R1023*R$201+R1041*$D1122)</f>
        <v/>
      </c>
      <c r="S1122" s="44">
        <f>S1086*Settings!$C$13*(S1014+S1032+S1023*S$201+S1041*$D1122)</f>
        <v/>
      </c>
      <c r="T1122" s="44">
        <f>T1086*Settings!$C$13*(T1014+T1032+T1023*T$201+T1041*$D1122)</f>
        <v/>
      </c>
      <c r="U1122" s="44">
        <f>U1086*Settings!$C$13*(U1014+U1032+U1023*U$201+U1041*$D1122)</f>
        <v/>
      </c>
      <c r="V1122" s="44">
        <f>V1086*Settings!$C$13*(V1014+V1032+V1023*V$201+V1041*$D1122)</f>
        <v/>
      </c>
      <c r="W1122" s="44">
        <f>W1086*Settings!$C$13*(W1014+W1032+W1023*W$201+W1041*$D1122)</f>
        <v/>
      </c>
      <c r="X1122" s="44">
        <f>X1086*Settings!$C$13*(X1014+X1032+X1023*X$201+X1041*$D1122)</f>
        <v/>
      </c>
      <c r="Y1122" s="44">
        <f>Y1086*Settings!$C$13*(Y1014+Y1032+Y1023*Y$201+Y1041*$D1122)</f>
        <v/>
      </c>
      <c r="Z1122" s="44">
        <f>Z1086*Settings!$C$13*(Z1014+Z1032+Z1023*Z$201+Z1041*$D1122)</f>
        <v/>
      </c>
      <c r="AA1122" s="44">
        <f>AA1086*Settings!$C$13*(AA1014+AA1032+AA1023*AA$201+AA1041*$D1122)</f>
        <v/>
      </c>
      <c r="AB1122" s="44">
        <f>AB1086*Settings!$C$13*(AB1014+AB1032+AB1023*AB$201+AB1041*$D1122)</f>
        <v/>
      </c>
      <c r="AC1122" s="44">
        <f>AC1086*Settings!$C$13*(AC1014+AC1032+AC1023*AC$201+AC1041*$D1122)</f>
        <v/>
      </c>
      <c r="AD1122" s="44">
        <f>AD1086*Settings!$C$13*(AD1014+AD1032+AD1023*AD$201+AD1041*$D1122)</f>
        <v/>
      </c>
      <c r="AE1122" s="57">
        <f>REVENUE(AE1086,Settings!$C$13,NEWREVRATE(AE1014,AE1032,AE1023,AE$201,AE1041,$D1122))</f>
        <v/>
      </c>
      <c r="AG1122" s="11">
        <f>CodePrefix&amp;$A1122&amp;IF($C1122="","","."&amp;$C1122&amp;"."&amp;$B1122)&amp;INDEX(VarEnd,MATCH($A1122,VarKey,0))&amp;AG$5</f>
        <v/>
      </c>
      <c r="AH1122" s="43">
        <f>AH1086*Settings!$C$13*(AH1014+AH1032+AH1023*AH$201+AH1041*$D1122)</f>
        <v/>
      </c>
      <c r="AI1122" s="44">
        <f>AI1086*Settings!$C$13*(AI1014+AI1032+AI1023*AI$201+AI1041*$D1122)</f>
        <v/>
      </c>
      <c r="AJ1122" s="44">
        <f>AJ1086*Settings!$C$13*(AJ1014+AJ1032+AJ1023*AJ$201+AJ1041*$D1122)</f>
        <v/>
      </c>
      <c r="AK1122" s="44">
        <f>AK1086*Settings!$C$13*(AK1014+AK1032+AK1023*AK$201+AK1041*$D1122)</f>
        <v/>
      </c>
      <c r="AL1122" s="44">
        <f>AL1086*Settings!$C$13*(AL1014+AL1032+AL1023*AL$201+AL1041*$D1122)</f>
        <v/>
      </c>
      <c r="AM1122" s="44">
        <f>AM1086*Settings!$C$13*(AM1014+AM1032+AM1023*AM$201+AM1041*$D1122)</f>
        <v/>
      </c>
      <c r="AN1122" s="44">
        <f>AN1086*Settings!$C$13*(AN1014+AN1032+AN1023*AN$201+AN1041*$D1122)</f>
        <v/>
      </c>
      <c r="AO1122" s="44">
        <f>AO1086*Settings!$C$13*(AO1014+AO1032+AO1023*AO$201+AO1041*$D1122)</f>
        <v/>
      </c>
      <c r="AP1122" s="44">
        <f>AP1086*Settings!$C$13*(AP1014+AP1032+AP1023*AP$201+AP1041*$D1122)</f>
        <v/>
      </c>
      <c r="AQ1122" s="44">
        <f>AQ1086*Settings!$C$13*(AQ1014+AQ1032+AQ1023*AQ$201+AQ1041*$D1122)</f>
        <v/>
      </c>
      <c r="AR1122" s="44">
        <f>AR1086*Settings!$C$13*(AR1014+AR1032+AR1023*AR$201+AR1041*$D1122)</f>
        <v/>
      </c>
      <c r="AS1122" s="44">
        <f>AS1086*Settings!$C$13*(AS1014+AS1032+AS1023*AS$201+AS1041*$D1122)</f>
        <v/>
      </c>
      <c r="AT1122" s="44">
        <f>AT1086*Settings!$C$13*(AT1014+AT1032+AT1023*AT$201+AT1041*$D1122)</f>
        <v/>
      </c>
      <c r="AU1122" s="44">
        <f>AU1086*Settings!$C$13*(AU1014+AU1032+AU1023*AU$201+AU1041*$D1122)</f>
        <v/>
      </c>
      <c r="AV1122" s="44">
        <f>AV1086*Settings!$C$13*(AV1014+AV1032+AV1023*AV$201+AV1041*$D1122)</f>
        <v/>
      </c>
      <c r="AW1122" s="44">
        <f>AW1086*Settings!$C$13*(AW1014+AW1032+AW1023*AW$201+AW1041*$D1122)</f>
        <v/>
      </c>
      <c r="AX1122" s="44">
        <f>AX1086*Settings!$C$13*(AX1014+AX1032+AX1023*AX$201+AX1041*$D1122)</f>
        <v/>
      </c>
      <c r="AY1122" s="44">
        <f>AY1086*Settings!$C$13*(AY1014+AY1032+AY1023*AY$201+AY1041*$D1122)</f>
        <v/>
      </c>
      <c r="AZ1122" s="44">
        <f>AZ1086*Settings!$C$13*(AZ1014+AZ1032+AZ1023*AZ$201+AZ1041*$D1122)</f>
        <v/>
      </c>
      <c r="BA1122" s="57">
        <f>REVENUE(BA1086,Settings!$C$13,NEWREVRATE(BA1014,BA1032,BA1023,BA$201,BA1041,$D1122))</f>
        <v/>
      </c>
    </row>
    <row r="1123" hidden="1" outlineLevel="2"/>
    <row r="1124" hidden="1" outlineLevel="2">
      <c r="A1124" s="14" t="inlineStr">
        <is>
          <t>rxcp</t>
        </is>
      </c>
      <c r="B1124" s="14" t="inlineStr">
        <is>
          <t>coa</t>
        </is>
      </c>
      <c r="C1124" s="14" t="inlineStr">
        <is>
          <t>rod</t>
        </is>
      </c>
      <c r="D1124" s="39" t="n"/>
      <c r="E1124" s="39" t="n"/>
      <c r="F1124" s="39" t="n"/>
      <c r="G1124" s="39" t="n"/>
      <c r="H1124" s="14">
        <f>INDEX(VarLab,MATCH($A1124,VarKey,0))&amp;INDEX(MemLab,MATCH($C1124&amp;"|"&amp;$B1124,MemKey,0))</f>
        <v/>
      </c>
      <c r="I1124" s="14">
        <f>INDEX(VarUnit,MATCH($A1124,VarKey,0))</f>
        <v/>
      </c>
      <c r="J1124" s="14">
        <f>INDEX(VarSrc,MATCH($A1124,VarKey,0))</f>
        <v/>
      </c>
      <c r="K1124" s="11">
        <f>CodePrefix&amp;$A1124&amp;IF($C1124="","","."&amp;$C1124&amp;"."&amp;$B1124)&amp;INDEX(VarEnd,MATCH($A1124,VarKey,0))&amp;K$5</f>
        <v/>
      </c>
      <c r="L1124" s="43">
        <f>L1079*Settings!$C$13*(L1043)</f>
        <v/>
      </c>
      <c r="M1124" s="44">
        <f>M1079*Settings!$C$13*(M1043)</f>
        <v/>
      </c>
      <c r="N1124" s="44">
        <f>N1079*Settings!$C$13*(N1043)</f>
        <v/>
      </c>
      <c r="O1124" s="44">
        <f>O1079*Settings!$C$13*(O1043)</f>
        <v/>
      </c>
      <c r="P1124" s="44">
        <f>P1079*Settings!$C$13*(P1043)</f>
        <v/>
      </c>
      <c r="Q1124" s="44">
        <f>Q1079*Settings!$C$13*(Q1043)</f>
        <v/>
      </c>
      <c r="R1124" s="44">
        <f>R1079*Settings!$C$13*(R1043)</f>
        <v/>
      </c>
      <c r="S1124" s="44">
        <f>S1079*Settings!$C$13*(S1043)</f>
        <v/>
      </c>
      <c r="T1124" s="44">
        <f>T1079*Settings!$C$13*(T1043)</f>
        <v/>
      </c>
      <c r="U1124" s="44">
        <f>U1079*Settings!$C$13*(U1043)</f>
        <v/>
      </c>
      <c r="V1124" s="44">
        <f>V1079*Settings!$C$13*(V1043)</f>
        <v/>
      </c>
      <c r="W1124" s="44">
        <f>W1079*Settings!$C$13*(W1043)</f>
        <v/>
      </c>
      <c r="X1124" s="44">
        <f>X1079*Settings!$C$13*(X1043)</f>
        <v/>
      </c>
      <c r="Y1124" s="44">
        <f>Y1079*Settings!$C$13*(Y1043)</f>
        <v/>
      </c>
      <c r="Z1124" s="44">
        <f>Z1079*Settings!$C$13*(Z1043)</f>
        <v/>
      </c>
      <c r="AA1124" s="44">
        <f>AA1079*Settings!$C$13*(AA1043)</f>
        <v/>
      </c>
      <c r="AB1124" s="44">
        <f>AB1079*Settings!$C$13*(AB1043)</f>
        <v/>
      </c>
      <c r="AC1124" s="44">
        <f>AC1079*Settings!$C$13*(AC1043)</f>
        <v/>
      </c>
      <c r="AD1124" s="44">
        <f>AD1079*Settings!$C$13*(AD1043)</f>
        <v/>
      </c>
      <c r="AE1124" s="57">
        <f>REVENUE(AE1079,Settings!$C$13,AE1043)</f>
        <v/>
      </c>
      <c r="AG1124" s="11">
        <f>CodePrefix&amp;$A1124&amp;IF($C1124="","","."&amp;$C1124&amp;"."&amp;$B1124)&amp;INDEX(VarEnd,MATCH($A1124,VarKey,0))&amp;AG$5</f>
        <v/>
      </c>
      <c r="AH1124" s="43">
        <f>AH1079*Settings!$C$13*(AH1043)</f>
        <v/>
      </c>
      <c r="AI1124" s="44">
        <f>AI1079*Settings!$C$13*(AI1043)</f>
        <v/>
      </c>
      <c r="AJ1124" s="44">
        <f>AJ1079*Settings!$C$13*(AJ1043)</f>
        <v/>
      </c>
      <c r="AK1124" s="44">
        <f>AK1079*Settings!$C$13*(AK1043)</f>
        <v/>
      </c>
      <c r="AL1124" s="44">
        <f>AL1079*Settings!$C$13*(AL1043)</f>
        <v/>
      </c>
      <c r="AM1124" s="44">
        <f>AM1079*Settings!$C$13*(AM1043)</f>
        <v/>
      </c>
      <c r="AN1124" s="44">
        <f>AN1079*Settings!$C$13*(AN1043)</f>
        <v/>
      </c>
      <c r="AO1124" s="44">
        <f>AO1079*Settings!$C$13*(AO1043)</f>
        <v/>
      </c>
      <c r="AP1124" s="44">
        <f>AP1079*Settings!$C$13*(AP1043)</f>
        <v/>
      </c>
      <c r="AQ1124" s="44">
        <f>AQ1079*Settings!$C$13*(AQ1043)</f>
        <v/>
      </c>
      <c r="AR1124" s="44">
        <f>AR1079*Settings!$C$13*(AR1043)</f>
        <v/>
      </c>
      <c r="AS1124" s="44">
        <f>AS1079*Settings!$C$13*(AS1043)</f>
        <v/>
      </c>
      <c r="AT1124" s="44">
        <f>AT1079*Settings!$C$13*(AT1043)</f>
        <v/>
      </c>
      <c r="AU1124" s="44">
        <f>AU1079*Settings!$C$13*(AU1043)</f>
        <v/>
      </c>
      <c r="AV1124" s="44">
        <f>AV1079*Settings!$C$13*(AV1043)</f>
        <v/>
      </c>
      <c r="AW1124" s="44">
        <f>AW1079*Settings!$C$13*(AW1043)</f>
        <v/>
      </c>
      <c r="AX1124" s="44">
        <f>AX1079*Settings!$C$13*(AX1043)</f>
        <v/>
      </c>
      <c r="AY1124" s="44">
        <f>AY1079*Settings!$C$13*(AY1043)</f>
        <v/>
      </c>
      <c r="AZ1124" s="44">
        <f>AZ1079*Settings!$C$13*(AZ1043)</f>
        <v/>
      </c>
      <c r="BA1124" s="57">
        <f>REVENUE(BA1079,Settings!$C$13,BA1043)</f>
        <v/>
      </c>
    </row>
    <row r="1125" hidden="1" outlineLevel="2">
      <c r="A1125" s="14" t="inlineStr">
        <is>
          <t>rxcp</t>
        </is>
      </c>
      <c r="B1125" s="14" t="inlineStr">
        <is>
          <t>nga</t>
        </is>
      </c>
      <c r="C1125" s="14" t="inlineStr">
        <is>
          <t>rod</t>
        </is>
      </c>
      <c r="D1125" s="39" t="n"/>
      <c r="E1125" s="39" t="n"/>
      <c r="F1125" s="39" t="n"/>
      <c r="G1125" s="39" t="n"/>
      <c r="H1125" s="14">
        <f>INDEX(VarLab,MATCH($A1125,VarKey,0))&amp;INDEX(MemLab,MATCH($C1125&amp;"|"&amp;$B1125,MemKey,0))</f>
        <v/>
      </c>
      <c r="I1125" s="14">
        <f>INDEX(VarUnit,MATCH($A1125,VarKey,0))</f>
        <v/>
      </c>
      <c r="J1125" s="14">
        <f>INDEX(VarSrc,MATCH($A1125,VarKey,0))</f>
        <v/>
      </c>
      <c r="K1125" s="11">
        <f>CodePrefix&amp;$A1125&amp;IF($C1125="","","."&amp;$C1125&amp;"."&amp;$B1125)&amp;INDEX(VarEnd,MATCH($A1125,VarKey,0))&amp;K$5</f>
        <v/>
      </c>
      <c r="L1125" s="43">
        <f>L1080*Settings!$C$13*(L1044)</f>
        <v/>
      </c>
      <c r="M1125" s="44">
        <f>M1080*Settings!$C$13*(M1044)</f>
        <v/>
      </c>
      <c r="N1125" s="44">
        <f>N1080*Settings!$C$13*(N1044)</f>
        <v/>
      </c>
      <c r="O1125" s="44">
        <f>O1080*Settings!$C$13*(O1044)</f>
        <v/>
      </c>
      <c r="P1125" s="44">
        <f>P1080*Settings!$C$13*(P1044)</f>
        <v/>
      </c>
      <c r="Q1125" s="44">
        <f>Q1080*Settings!$C$13*(Q1044)</f>
        <v/>
      </c>
      <c r="R1125" s="44">
        <f>R1080*Settings!$C$13*(R1044)</f>
        <v/>
      </c>
      <c r="S1125" s="44">
        <f>S1080*Settings!$C$13*(S1044)</f>
        <v/>
      </c>
      <c r="T1125" s="44">
        <f>T1080*Settings!$C$13*(T1044)</f>
        <v/>
      </c>
      <c r="U1125" s="44">
        <f>U1080*Settings!$C$13*(U1044)</f>
        <v/>
      </c>
      <c r="V1125" s="44">
        <f>V1080*Settings!$C$13*(V1044)</f>
        <v/>
      </c>
      <c r="W1125" s="44">
        <f>W1080*Settings!$C$13*(W1044)</f>
        <v/>
      </c>
      <c r="X1125" s="44">
        <f>X1080*Settings!$C$13*(X1044)</f>
        <v/>
      </c>
      <c r="Y1125" s="44">
        <f>Y1080*Settings!$C$13*(Y1044)</f>
        <v/>
      </c>
      <c r="Z1125" s="44">
        <f>Z1080*Settings!$C$13*(Z1044)</f>
        <v/>
      </c>
      <c r="AA1125" s="44">
        <f>AA1080*Settings!$C$13*(AA1044)</f>
        <v/>
      </c>
      <c r="AB1125" s="44">
        <f>AB1080*Settings!$C$13*(AB1044)</f>
        <v/>
      </c>
      <c r="AC1125" s="44">
        <f>AC1080*Settings!$C$13*(AC1044)</f>
        <v/>
      </c>
      <c r="AD1125" s="44">
        <f>AD1080*Settings!$C$13*(AD1044)</f>
        <v/>
      </c>
      <c r="AE1125" s="57">
        <f>REVENUE(AE1080,Settings!$C$13,AE1044)</f>
        <v/>
      </c>
      <c r="AG1125" s="11">
        <f>CodePrefix&amp;$A1125&amp;IF($C1125="","","."&amp;$C1125&amp;"."&amp;$B1125)&amp;INDEX(VarEnd,MATCH($A1125,VarKey,0))&amp;AG$5</f>
        <v/>
      </c>
      <c r="AH1125" s="43">
        <f>AH1080*Settings!$C$13*(AH1044)</f>
        <v/>
      </c>
      <c r="AI1125" s="44">
        <f>AI1080*Settings!$C$13*(AI1044)</f>
        <v/>
      </c>
      <c r="AJ1125" s="44">
        <f>AJ1080*Settings!$C$13*(AJ1044)</f>
        <v/>
      </c>
      <c r="AK1125" s="44">
        <f>AK1080*Settings!$C$13*(AK1044)</f>
        <v/>
      </c>
      <c r="AL1125" s="44">
        <f>AL1080*Settings!$C$13*(AL1044)</f>
        <v/>
      </c>
      <c r="AM1125" s="44">
        <f>AM1080*Settings!$C$13*(AM1044)</f>
        <v/>
      </c>
      <c r="AN1125" s="44">
        <f>AN1080*Settings!$C$13*(AN1044)</f>
        <v/>
      </c>
      <c r="AO1125" s="44">
        <f>AO1080*Settings!$C$13*(AO1044)</f>
        <v/>
      </c>
      <c r="AP1125" s="44">
        <f>AP1080*Settings!$C$13*(AP1044)</f>
        <v/>
      </c>
      <c r="AQ1125" s="44">
        <f>AQ1080*Settings!$C$13*(AQ1044)</f>
        <v/>
      </c>
      <c r="AR1125" s="44">
        <f>AR1080*Settings!$C$13*(AR1044)</f>
        <v/>
      </c>
      <c r="AS1125" s="44">
        <f>AS1080*Settings!$C$13*(AS1044)</f>
        <v/>
      </c>
      <c r="AT1125" s="44">
        <f>AT1080*Settings!$C$13*(AT1044)</f>
        <v/>
      </c>
      <c r="AU1125" s="44">
        <f>AU1080*Settings!$C$13*(AU1044)</f>
        <v/>
      </c>
      <c r="AV1125" s="44">
        <f>AV1080*Settings!$C$13*(AV1044)</f>
        <v/>
      </c>
      <c r="AW1125" s="44">
        <f>AW1080*Settings!$C$13*(AW1044)</f>
        <v/>
      </c>
      <c r="AX1125" s="44">
        <f>AX1080*Settings!$C$13*(AX1044)</f>
        <v/>
      </c>
      <c r="AY1125" s="44">
        <f>AY1080*Settings!$C$13*(AY1044)</f>
        <v/>
      </c>
      <c r="AZ1125" s="44">
        <f>AZ1080*Settings!$C$13*(AZ1044)</f>
        <v/>
      </c>
      <c r="BA1125" s="57">
        <f>REVENUE(BA1080,Settings!$C$13,BA1044)</f>
        <v/>
      </c>
    </row>
    <row r="1126" hidden="1" outlineLevel="2">
      <c r="A1126" s="14" t="inlineStr">
        <is>
          <t>rxcp</t>
        </is>
      </c>
      <c r="B1126" s="14" t="inlineStr">
        <is>
          <t>gso</t>
        </is>
      </c>
      <c r="C1126" s="14" t="inlineStr">
        <is>
          <t>rod</t>
        </is>
      </c>
      <c r="D1126" s="39" t="n"/>
      <c r="E1126" s="39" t="n"/>
      <c r="F1126" s="39" t="n"/>
      <c r="G1126" s="39" t="n"/>
      <c r="H1126" s="14">
        <f>INDEX(VarLab,MATCH($A1126,VarKey,0))&amp;INDEX(MemLab,MATCH($C1126&amp;"|"&amp;$B1126,MemKey,0))</f>
        <v/>
      </c>
      <c r="I1126" s="14">
        <f>INDEX(VarUnit,MATCH($A1126,VarKey,0))</f>
        <v/>
      </c>
      <c r="J1126" s="14">
        <f>INDEX(VarSrc,MATCH($A1126,VarKey,0))</f>
        <v/>
      </c>
      <c r="K1126" s="11">
        <f>CodePrefix&amp;$A1126&amp;IF($C1126="","","."&amp;$C1126&amp;"."&amp;$B1126)&amp;INDEX(VarEnd,MATCH($A1126,VarKey,0))&amp;K$5</f>
        <v/>
      </c>
      <c r="L1126" s="43">
        <f>L1081*Settings!$C$13*(L1045)</f>
        <v/>
      </c>
      <c r="M1126" s="44">
        <f>M1081*Settings!$C$13*(M1045)</f>
        <v/>
      </c>
      <c r="N1126" s="44">
        <f>N1081*Settings!$C$13*(N1045)</f>
        <v/>
      </c>
      <c r="O1126" s="44">
        <f>O1081*Settings!$C$13*(O1045)</f>
        <v/>
      </c>
      <c r="P1126" s="44">
        <f>P1081*Settings!$C$13*(P1045)</f>
        <v/>
      </c>
      <c r="Q1126" s="44">
        <f>Q1081*Settings!$C$13*(Q1045)</f>
        <v/>
      </c>
      <c r="R1126" s="44">
        <f>R1081*Settings!$C$13*(R1045)</f>
        <v/>
      </c>
      <c r="S1126" s="44">
        <f>S1081*Settings!$C$13*(S1045)</f>
        <v/>
      </c>
      <c r="T1126" s="44">
        <f>T1081*Settings!$C$13*(T1045)</f>
        <v/>
      </c>
      <c r="U1126" s="44">
        <f>U1081*Settings!$C$13*(U1045)</f>
        <v/>
      </c>
      <c r="V1126" s="44">
        <f>V1081*Settings!$C$13*(V1045)</f>
        <v/>
      </c>
      <c r="W1126" s="44">
        <f>W1081*Settings!$C$13*(W1045)</f>
        <v/>
      </c>
      <c r="X1126" s="44">
        <f>X1081*Settings!$C$13*(X1045)</f>
        <v/>
      </c>
      <c r="Y1126" s="44">
        <f>Y1081*Settings!$C$13*(Y1045)</f>
        <v/>
      </c>
      <c r="Z1126" s="44">
        <f>Z1081*Settings!$C$13*(Z1045)</f>
        <v/>
      </c>
      <c r="AA1126" s="44">
        <f>AA1081*Settings!$C$13*(AA1045)</f>
        <v/>
      </c>
      <c r="AB1126" s="44">
        <f>AB1081*Settings!$C$13*(AB1045)</f>
        <v/>
      </c>
      <c r="AC1126" s="44">
        <f>AC1081*Settings!$C$13*(AC1045)</f>
        <v/>
      </c>
      <c r="AD1126" s="44">
        <f>AD1081*Settings!$C$13*(AD1045)</f>
        <v/>
      </c>
      <c r="AE1126" s="57">
        <f>REVENUE(AE1081,Settings!$C$13,AE1045)</f>
        <v/>
      </c>
      <c r="AG1126" s="11">
        <f>CodePrefix&amp;$A1126&amp;IF($C1126="","","."&amp;$C1126&amp;"."&amp;$B1126)&amp;INDEX(VarEnd,MATCH($A1126,VarKey,0))&amp;AG$5</f>
        <v/>
      </c>
      <c r="AH1126" s="43">
        <f>AH1081*Settings!$C$13*(AH1045)</f>
        <v/>
      </c>
      <c r="AI1126" s="44">
        <f>AI1081*Settings!$C$13*(AI1045)</f>
        <v/>
      </c>
      <c r="AJ1126" s="44">
        <f>AJ1081*Settings!$C$13*(AJ1045)</f>
        <v/>
      </c>
      <c r="AK1126" s="44">
        <f>AK1081*Settings!$C$13*(AK1045)</f>
        <v/>
      </c>
      <c r="AL1126" s="44">
        <f>AL1081*Settings!$C$13*(AL1045)</f>
        <v/>
      </c>
      <c r="AM1126" s="44">
        <f>AM1081*Settings!$C$13*(AM1045)</f>
        <v/>
      </c>
      <c r="AN1126" s="44">
        <f>AN1081*Settings!$C$13*(AN1045)</f>
        <v/>
      </c>
      <c r="AO1126" s="44">
        <f>AO1081*Settings!$C$13*(AO1045)</f>
        <v/>
      </c>
      <c r="AP1126" s="44">
        <f>AP1081*Settings!$C$13*(AP1045)</f>
        <v/>
      </c>
      <c r="AQ1126" s="44">
        <f>AQ1081*Settings!$C$13*(AQ1045)</f>
        <v/>
      </c>
      <c r="AR1126" s="44">
        <f>AR1081*Settings!$C$13*(AR1045)</f>
        <v/>
      </c>
      <c r="AS1126" s="44">
        <f>AS1081*Settings!$C$13*(AS1045)</f>
        <v/>
      </c>
      <c r="AT1126" s="44">
        <f>AT1081*Settings!$C$13*(AT1045)</f>
        <v/>
      </c>
      <c r="AU1126" s="44">
        <f>AU1081*Settings!$C$13*(AU1045)</f>
        <v/>
      </c>
      <c r="AV1126" s="44">
        <f>AV1081*Settings!$C$13*(AV1045)</f>
        <v/>
      </c>
      <c r="AW1126" s="44">
        <f>AW1081*Settings!$C$13*(AW1045)</f>
        <v/>
      </c>
      <c r="AX1126" s="44">
        <f>AX1081*Settings!$C$13*(AX1045)</f>
        <v/>
      </c>
      <c r="AY1126" s="44">
        <f>AY1081*Settings!$C$13*(AY1045)</f>
        <v/>
      </c>
      <c r="AZ1126" s="44">
        <f>AZ1081*Settings!$C$13*(AZ1045)</f>
        <v/>
      </c>
      <c r="BA1126" s="57">
        <f>REVENUE(BA1081,Settings!$C$13,BA1045)</f>
        <v/>
      </c>
    </row>
    <row r="1127" hidden="1" outlineLevel="2">
      <c r="A1127" s="14" t="inlineStr">
        <is>
          <t>rxcp</t>
        </is>
      </c>
      <c r="B1127" s="14" t="inlineStr">
        <is>
          <t>die</t>
        </is>
      </c>
      <c r="C1127" s="14" t="inlineStr">
        <is>
          <t>rod</t>
        </is>
      </c>
      <c r="D1127" s="39" t="n"/>
      <c r="E1127" s="39" t="n"/>
      <c r="F1127" s="39" t="n"/>
      <c r="G1127" s="39" t="n"/>
      <c r="H1127" s="14">
        <f>INDEX(VarLab,MATCH($A1127,VarKey,0))&amp;INDEX(MemLab,MATCH($C1127&amp;"|"&amp;$B1127,MemKey,0))</f>
        <v/>
      </c>
      <c r="I1127" s="14">
        <f>INDEX(VarUnit,MATCH($A1127,VarKey,0))</f>
        <v/>
      </c>
      <c r="J1127" s="14">
        <f>INDEX(VarSrc,MATCH($A1127,VarKey,0))</f>
        <v/>
      </c>
      <c r="K1127" s="11">
        <f>CodePrefix&amp;$A1127&amp;IF($C1127="","","."&amp;$C1127&amp;"."&amp;$B1127)&amp;INDEX(VarEnd,MATCH($A1127,VarKey,0))&amp;K$5</f>
        <v/>
      </c>
      <c r="L1127" s="43">
        <f>L1082*Settings!$C$13*(L1046)</f>
        <v/>
      </c>
      <c r="M1127" s="44">
        <f>M1082*Settings!$C$13*(M1046)</f>
        <v/>
      </c>
      <c r="N1127" s="44">
        <f>N1082*Settings!$C$13*(N1046)</f>
        <v/>
      </c>
      <c r="O1127" s="44">
        <f>O1082*Settings!$C$13*(O1046)</f>
        <v/>
      </c>
      <c r="P1127" s="44">
        <f>P1082*Settings!$C$13*(P1046)</f>
        <v/>
      </c>
      <c r="Q1127" s="44">
        <f>Q1082*Settings!$C$13*(Q1046)</f>
        <v/>
      </c>
      <c r="R1127" s="44">
        <f>R1082*Settings!$C$13*(R1046)</f>
        <v/>
      </c>
      <c r="S1127" s="44">
        <f>S1082*Settings!$C$13*(S1046)</f>
        <v/>
      </c>
      <c r="T1127" s="44">
        <f>T1082*Settings!$C$13*(T1046)</f>
        <v/>
      </c>
      <c r="U1127" s="44">
        <f>U1082*Settings!$C$13*(U1046)</f>
        <v/>
      </c>
      <c r="V1127" s="44">
        <f>V1082*Settings!$C$13*(V1046)</f>
        <v/>
      </c>
      <c r="W1127" s="44">
        <f>W1082*Settings!$C$13*(W1046)</f>
        <v/>
      </c>
      <c r="X1127" s="44">
        <f>X1082*Settings!$C$13*(X1046)</f>
        <v/>
      </c>
      <c r="Y1127" s="44">
        <f>Y1082*Settings!$C$13*(Y1046)</f>
        <v/>
      </c>
      <c r="Z1127" s="44">
        <f>Z1082*Settings!$C$13*(Z1046)</f>
        <v/>
      </c>
      <c r="AA1127" s="44">
        <f>AA1082*Settings!$C$13*(AA1046)</f>
        <v/>
      </c>
      <c r="AB1127" s="44">
        <f>AB1082*Settings!$C$13*(AB1046)</f>
        <v/>
      </c>
      <c r="AC1127" s="44">
        <f>AC1082*Settings!$C$13*(AC1046)</f>
        <v/>
      </c>
      <c r="AD1127" s="44">
        <f>AD1082*Settings!$C$13*(AD1046)</f>
        <v/>
      </c>
      <c r="AE1127" s="57">
        <f>REVENUE(AE1082,Settings!$C$13,AE1046)</f>
        <v/>
      </c>
      <c r="AG1127" s="11">
        <f>CodePrefix&amp;$A1127&amp;IF($C1127="","","."&amp;$C1127&amp;"."&amp;$B1127)&amp;INDEX(VarEnd,MATCH($A1127,VarKey,0))&amp;AG$5</f>
        <v/>
      </c>
      <c r="AH1127" s="43">
        <f>AH1082*Settings!$C$13*(AH1046)</f>
        <v/>
      </c>
      <c r="AI1127" s="44">
        <f>AI1082*Settings!$C$13*(AI1046)</f>
        <v/>
      </c>
      <c r="AJ1127" s="44">
        <f>AJ1082*Settings!$C$13*(AJ1046)</f>
        <v/>
      </c>
      <c r="AK1127" s="44">
        <f>AK1082*Settings!$C$13*(AK1046)</f>
        <v/>
      </c>
      <c r="AL1127" s="44">
        <f>AL1082*Settings!$C$13*(AL1046)</f>
        <v/>
      </c>
      <c r="AM1127" s="44">
        <f>AM1082*Settings!$C$13*(AM1046)</f>
        <v/>
      </c>
      <c r="AN1127" s="44">
        <f>AN1082*Settings!$C$13*(AN1046)</f>
        <v/>
      </c>
      <c r="AO1127" s="44">
        <f>AO1082*Settings!$C$13*(AO1046)</f>
        <v/>
      </c>
      <c r="AP1127" s="44">
        <f>AP1082*Settings!$C$13*(AP1046)</f>
        <v/>
      </c>
      <c r="AQ1127" s="44">
        <f>AQ1082*Settings!$C$13*(AQ1046)</f>
        <v/>
      </c>
      <c r="AR1127" s="44">
        <f>AR1082*Settings!$C$13*(AR1046)</f>
        <v/>
      </c>
      <c r="AS1127" s="44">
        <f>AS1082*Settings!$C$13*(AS1046)</f>
        <v/>
      </c>
      <c r="AT1127" s="44">
        <f>AT1082*Settings!$C$13*(AT1046)</f>
        <v/>
      </c>
      <c r="AU1127" s="44">
        <f>AU1082*Settings!$C$13*(AU1046)</f>
        <v/>
      </c>
      <c r="AV1127" s="44">
        <f>AV1082*Settings!$C$13*(AV1046)</f>
        <v/>
      </c>
      <c r="AW1127" s="44">
        <f>AW1082*Settings!$C$13*(AW1046)</f>
        <v/>
      </c>
      <c r="AX1127" s="44">
        <f>AX1082*Settings!$C$13*(AX1046)</f>
        <v/>
      </c>
      <c r="AY1127" s="44">
        <f>AY1082*Settings!$C$13*(AY1046)</f>
        <v/>
      </c>
      <c r="AZ1127" s="44">
        <f>AZ1082*Settings!$C$13*(AZ1046)</f>
        <v/>
      </c>
      <c r="BA1127" s="57">
        <f>REVENUE(BA1082,Settings!$C$13,BA1046)</f>
        <v/>
      </c>
    </row>
    <row r="1128" hidden="1" outlineLevel="2">
      <c r="A1128" s="14" t="inlineStr">
        <is>
          <t>rxcp</t>
        </is>
      </c>
      <c r="B1128" s="14" t="inlineStr">
        <is>
          <t>lpg</t>
        </is>
      </c>
      <c r="C1128" s="14" t="inlineStr">
        <is>
          <t>rod</t>
        </is>
      </c>
      <c r="D1128" s="39" t="n"/>
      <c r="E1128" s="39" t="n"/>
      <c r="F1128" s="39" t="n"/>
      <c r="G1128" s="39" t="n"/>
      <c r="H1128" s="14">
        <f>INDEX(VarLab,MATCH($A1128,VarKey,0))&amp;INDEX(MemLab,MATCH($C1128&amp;"|"&amp;$B1128,MemKey,0))</f>
        <v/>
      </c>
      <c r="I1128" s="14">
        <f>INDEX(VarUnit,MATCH($A1128,VarKey,0))</f>
        <v/>
      </c>
      <c r="J1128" s="14">
        <f>INDEX(VarSrc,MATCH($A1128,VarKey,0))</f>
        <v/>
      </c>
      <c r="K1128" s="11">
        <f>CodePrefix&amp;$A1128&amp;IF($C1128="","","."&amp;$C1128&amp;"."&amp;$B1128)&amp;INDEX(VarEnd,MATCH($A1128,VarKey,0))&amp;K$5</f>
        <v/>
      </c>
      <c r="L1128" s="43">
        <f>L1083*Settings!$C$13*(L1047)</f>
        <v/>
      </c>
      <c r="M1128" s="44">
        <f>M1083*Settings!$C$13*(M1047)</f>
        <v/>
      </c>
      <c r="N1128" s="44">
        <f>N1083*Settings!$C$13*(N1047)</f>
        <v/>
      </c>
      <c r="O1128" s="44">
        <f>O1083*Settings!$C$13*(O1047)</f>
        <v/>
      </c>
      <c r="P1128" s="44">
        <f>P1083*Settings!$C$13*(P1047)</f>
        <v/>
      </c>
      <c r="Q1128" s="44">
        <f>Q1083*Settings!$C$13*(Q1047)</f>
        <v/>
      </c>
      <c r="R1128" s="44">
        <f>R1083*Settings!$C$13*(R1047)</f>
        <v/>
      </c>
      <c r="S1128" s="44">
        <f>S1083*Settings!$C$13*(S1047)</f>
        <v/>
      </c>
      <c r="T1128" s="44">
        <f>T1083*Settings!$C$13*(T1047)</f>
        <v/>
      </c>
      <c r="U1128" s="44">
        <f>U1083*Settings!$C$13*(U1047)</f>
        <v/>
      </c>
      <c r="V1128" s="44">
        <f>V1083*Settings!$C$13*(V1047)</f>
        <v/>
      </c>
      <c r="W1128" s="44">
        <f>W1083*Settings!$C$13*(W1047)</f>
        <v/>
      </c>
      <c r="X1128" s="44">
        <f>X1083*Settings!$C$13*(X1047)</f>
        <v/>
      </c>
      <c r="Y1128" s="44">
        <f>Y1083*Settings!$C$13*(Y1047)</f>
        <v/>
      </c>
      <c r="Z1128" s="44">
        <f>Z1083*Settings!$C$13*(Z1047)</f>
        <v/>
      </c>
      <c r="AA1128" s="44">
        <f>AA1083*Settings!$C$13*(AA1047)</f>
        <v/>
      </c>
      <c r="AB1128" s="44">
        <f>AB1083*Settings!$C$13*(AB1047)</f>
        <v/>
      </c>
      <c r="AC1128" s="44">
        <f>AC1083*Settings!$C$13*(AC1047)</f>
        <v/>
      </c>
      <c r="AD1128" s="44">
        <f>AD1083*Settings!$C$13*(AD1047)</f>
        <v/>
      </c>
      <c r="AE1128" s="57">
        <f>REVENUE(AE1083,Settings!$C$13,AE1047)</f>
        <v/>
      </c>
      <c r="AG1128" s="11">
        <f>CodePrefix&amp;$A1128&amp;IF($C1128="","","."&amp;$C1128&amp;"."&amp;$B1128)&amp;INDEX(VarEnd,MATCH($A1128,VarKey,0))&amp;AG$5</f>
        <v/>
      </c>
      <c r="AH1128" s="43">
        <f>AH1083*Settings!$C$13*(AH1047)</f>
        <v/>
      </c>
      <c r="AI1128" s="44">
        <f>AI1083*Settings!$C$13*(AI1047)</f>
        <v/>
      </c>
      <c r="AJ1128" s="44">
        <f>AJ1083*Settings!$C$13*(AJ1047)</f>
        <v/>
      </c>
      <c r="AK1128" s="44">
        <f>AK1083*Settings!$C$13*(AK1047)</f>
        <v/>
      </c>
      <c r="AL1128" s="44">
        <f>AL1083*Settings!$C$13*(AL1047)</f>
        <v/>
      </c>
      <c r="AM1128" s="44">
        <f>AM1083*Settings!$C$13*(AM1047)</f>
        <v/>
      </c>
      <c r="AN1128" s="44">
        <f>AN1083*Settings!$C$13*(AN1047)</f>
        <v/>
      </c>
      <c r="AO1128" s="44">
        <f>AO1083*Settings!$C$13*(AO1047)</f>
        <v/>
      </c>
      <c r="AP1128" s="44">
        <f>AP1083*Settings!$C$13*(AP1047)</f>
        <v/>
      </c>
      <c r="AQ1128" s="44">
        <f>AQ1083*Settings!$C$13*(AQ1047)</f>
        <v/>
      </c>
      <c r="AR1128" s="44">
        <f>AR1083*Settings!$C$13*(AR1047)</f>
        <v/>
      </c>
      <c r="AS1128" s="44">
        <f>AS1083*Settings!$C$13*(AS1047)</f>
        <v/>
      </c>
      <c r="AT1128" s="44">
        <f>AT1083*Settings!$C$13*(AT1047)</f>
        <v/>
      </c>
      <c r="AU1128" s="44">
        <f>AU1083*Settings!$C$13*(AU1047)</f>
        <v/>
      </c>
      <c r="AV1128" s="44">
        <f>AV1083*Settings!$C$13*(AV1047)</f>
        <v/>
      </c>
      <c r="AW1128" s="44">
        <f>AW1083*Settings!$C$13*(AW1047)</f>
        <v/>
      </c>
      <c r="AX1128" s="44">
        <f>AX1083*Settings!$C$13*(AX1047)</f>
        <v/>
      </c>
      <c r="AY1128" s="44">
        <f>AY1083*Settings!$C$13*(AY1047)</f>
        <v/>
      </c>
      <c r="AZ1128" s="44">
        <f>AZ1083*Settings!$C$13*(AZ1047)</f>
        <v/>
      </c>
      <c r="BA1128" s="57">
        <f>REVENUE(BA1083,Settings!$C$13,BA1047)</f>
        <v/>
      </c>
    </row>
    <row r="1129" hidden="1" outlineLevel="2">
      <c r="A1129" s="14" t="inlineStr">
        <is>
          <t>rxcp</t>
        </is>
      </c>
      <c r="B1129" s="14" t="inlineStr">
        <is>
          <t>ker</t>
        </is>
      </c>
      <c r="C1129" s="14" t="inlineStr">
        <is>
          <t>rod</t>
        </is>
      </c>
      <c r="D1129" s="39" t="n"/>
      <c r="E1129" s="39" t="n"/>
      <c r="F1129" s="39" t="n"/>
      <c r="G1129" s="39" t="n"/>
      <c r="H1129" s="14">
        <f>INDEX(VarLab,MATCH($A1129,VarKey,0))&amp;INDEX(MemLab,MATCH($C1129&amp;"|"&amp;$B1129,MemKey,0))</f>
        <v/>
      </c>
      <c r="I1129" s="14">
        <f>INDEX(VarUnit,MATCH($A1129,VarKey,0))</f>
        <v/>
      </c>
      <c r="J1129" s="14">
        <f>INDEX(VarSrc,MATCH($A1129,VarKey,0))</f>
        <v/>
      </c>
      <c r="K1129" s="11">
        <f>CodePrefix&amp;$A1129&amp;IF($C1129="","","."&amp;$C1129&amp;"."&amp;$B1129)&amp;INDEX(VarEnd,MATCH($A1129,VarKey,0))&amp;K$5</f>
        <v/>
      </c>
      <c r="L1129" s="43">
        <f>L1084*Settings!$C$13*(L1048)</f>
        <v/>
      </c>
      <c r="M1129" s="44">
        <f>M1084*Settings!$C$13*(M1048)</f>
        <v/>
      </c>
      <c r="N1129" s="44">
        <f>N1084*Settings!$C$13*(N1048)</f>
        <v/>
      </c>
      <c r="O1129" s="44">
        <f>O1084*Settings!$C$13*(O1048)</f>
        <v/>
      </c>
      <c r="P1129" s="44">
        <f>P1084*Settings!$C$13*(P1048)</f>
        <v/>
      </c>
      <c r="Q1129" s="44">
        <f>Q1084*Settings!$C$13*(Q1048)</f>
        <v/>
      </c>
      <c r="R1129" s="44">
        <f>R1084*Settings!$C$13*(R1048)</f>
        <v/>
      </c>
      <c r="S1129" s="44">
        <f>S1084*Settings!$C$13*(S1048)</f>
        <v/>
      </c>
      <c r="T1129" s="44">
        <f>T1084*Settings!$C$13*(T1048)</f>
        <v/>
      </c>
      <c r="U1129" s="44">
        <f>U1084*Settings!$C$13*(U1048)</f>
        <v/>
      </c>
      <c r="V1129" s="44">
        <f>V1084*Settings!$C$13*(V1048)</f>
        <v/>
      </c>
      <c r="W1129" s="44">
        <f>W1084*Settings!$C$13*(W1048)</f>
        <v/>
      </c>
      <c r="X1129" s="44">
        <f>X1084*Settings!$C$13*(X1048)</f>
        <v/>
      </c>
      <c r="Y1129" s="44">
        <f>Y1084*Settings!$C$13*(Y1048)</f>
        <v/>
      </c>
      <c r="Z1129" s="44">
        <f>Z1084*Settings!$C$13*(Z1048)</f>
        <v/>
      </c>
      <c r="AA1129" s="44">
        <f>AA1084*Settings!$C$13*(AA1048)</f>
        <v/>
      </c>
      <c r="AB1129" s="44">
        <f>AB1084*Settings!$C$13*(AB1048)</f>
        <v/>
      </c>
      <c r="AC1129" s="44">
        <f>AC1084*Settings!$C$13*(AC1048)</f>
        <v/>
      </c>
      <c r="AD1129" s="44">
        <f>AD1084*Settings!$C$13*(AD1048)</f>
        <v/>
      </c>
      <c r="AE1129" s="57">
        <f>REVENUE(AE1084,Settings!$C$13,AE1048)</f>
        <v/>
      </c>
      <c r="AG1129" s="11">
        <f>CodePrefix&amp;$A1129&amp;IF($C1129="","","."&amp;$C1129&amp;"."&amp;$B1129)&amp;INDEX(VarEnd,MATCH($A1129,VarKey,0))&amp;AG$5</f>
        <v/>
      </c>
      <c r="AH1129" s="43">
        <f>AH1084*Settings!$C$13*(AH1048)</f>
        <v/>
      </c>
      <c r="AI1129" s="44">
        <f>AI1084*Settings!$C$13*(AI1048)</f>
        <v/>
      </c>
      <c r="AJ1129" s="44">
        <f>AJ1084*Settings!$C$13*(AJ1048)</f>
        <v/>
      </c>
      <c r="AK1129" s="44">
        <f>AK1084*Settings!$C$13*(AK1048)</f>
        <v/>
      </c>
      <c r="AL1129" s="44">
        <f>AL1084*Settings!$C$13*(AL1048)</f>
        <v/>
      </c>
      <c r="AM1129" s="44">
        <f>AM1084*Settings!$C$13*(AM1048)</f>
        <v/>
      </c>
      <c r="AN1129" s="44">
        <f>AN1084*Settings!$C$13*(AN1048)</f>
        <v/>
      </c>
      <c r="AO1129" s="44">
        <f>AO1084*Settings!$C$13*(AO1048)</f>
        <v/>
      </c>
      <c r="AP1129" s="44">
        <f>AP1084*Settings!$C$13*(AP1048)</f>
        <v/>
      </c>
      <c r="AQ1129" s="44">
        <f>AQ1084*Settings!$C$13*(AQ1048)</f>
        <v/>
      </c>
      <c r="AR1129" s="44">
        <f>AR1084*Settings!$C$13*(AR1048)</f>
        <v/>
      </c>
      <c r="AS1129" s="44">
        <f>AS1084*Settings!$C$13*(AS1048)</f>
        <v/>
      </c>
      <c r="AT1129" s="44">
        <f>AT1084*Settings!$C$13*(AT1048)</f>
        <v/>
      </c>
      <c r="AU1129" s="44">
        <f>AU1084*Settings!$C$13*(AU1048)</f>
        <v/>
      </c>
      <c r="AV1129" s="44">
        <f>AV1084*Settings!$C$13*(AV1048)</f>
        <v/>
      </c>
      <c r="AW1129" s="44">
        <f>AW1084*Settings!$C$13*(AW1048)</f>
        <v/>
      </c>
      <c r="AX1129" s="44">
        <f>AX1084*Settings!$C$13*(AX1048)</f>
        <v/>
      </c>
      <c r="AY1129" s="44">
        <f>AY1084*Settings!$C$13*(AY1048)</f>
        <v/>
      </c>
      <c r="AZ1129" s="44">
        <f>AZ1084*Settings!$C$13*(AZ1048)</f>
        <v/>
      </c>
      <c r="BA1129" s="57">
        <f>REVENUE(BA1084,Settings!$C$13,BA1048)</f>
        <v/>
      </c>
    </row>
    <row r="1130" hidden="1" outlineLevel="2">
      <c r="A1130" s="14" t="inlineStr">
        <is>
          <t>rxcp</t>
        </is>
      </c>
      <c r="B1130" s="14" t="inlineStr">
        <is>
          <t>oop</t>
        </is>
      </c>
      <c r="C1130" s="14" t="inlineStr">
        <is>
          <t>rod</t>
        </is>
      </c>
      <c r="D1130" s="39" t="n"/>
      <c r="E1130" s="39" t="n"/>
      <c r="F1130" s="39" t="n"/>
      <c r="G1130" s="39" t="n"/>
      <c r="H1130" s="14">
        <f>INDEX(VarLab,MATCH($A1130,VarKey,0))&amp;INDEX(MemLab,MATCH($C1130&amp;"|"&amp;$B1130,MemKey,0))</f>
        <v/>
      </c>
      <c r="I1130" s="14">
        <f>INDEX(VarUnit,MATCH($A1130,VarKey,0))</f>
        <v/>
      </c>
      <c r="J1130" s="14">
        <f>INDEX(VarSrc,MATCH($A1130,VarKey,0))</f>
        <v/>
      </c>
      <c r="K1130" s="11">
        <f>CodePrefix&amp;$A1130&amp;IF($C1130="","","."&amp;$C1130&amp;"."&amp;$B1130)&amp;INDEX(VarEnd,MATCH($A1130,VarKey,0))&amp;K$5</f>
        <v/>
      </c>
      <c r="L1130" s="43">
        <f>L1085*Settings!$C$13*(L1049)</f>
        <v/>
      </c>
      <c r="M1130" s="44">
        <f>M1085*Settings!$C$13*(M1049)</f>
        <v/>
      </c>
      <c r="N1130" s="44">
        <f>N1085*Settings!$C$13*(N1049)</f>
        <v/>
      </c>
      <c r="O1130" s="44">
        <f>O1085*Settings!$C$13*(O1049)</f>
        <v/>
      </c>
      <c r="P1130" s="44">
        <f>P1085*Settings!$C$13*(P1049)</f>
        <v/>
      </c>
      <c r="Q1130" s="44">
        <f>Q1085*Settings!$C$13*(Q1049)</f>
        <v/>
      </c>
      <c r="R1130" s="44">
        <f>R1085*Settings!$C$13*(R1049)</f>
        <v/>
      </c>
      <c r="S1130" s="44">
        <f>S1085*Settings!$C$13*(S1049)</f>
        <v/>
      </c>
      <c r="T1130" s="44">
        <f>T1085*Settings!$C$13*(T1049)</f>
        <v/>
      </c>
      <c r="U1130" s="44">
        <f>U1085*Settings!$C$13*(U1049)</f>
        <v/>
      </c>
      <c r="V1130" s="44">
        <f>V1085*Settings!$C$13*(V1049)</f>
        <v/>
      </c>
      <c r="W1130" s="44">
        <f>W1085*Settings!$C$13*(W1049)</f>
        <v/>
      </c>
      <c r="X1130" s="44">
        <f>X1085*Settings!$C$13*(X1049)</f>
        <v/>
      </c>
      <c r="Y1130" s="44">
        <f>Y1085*Settings!$C$13*(Y1049)</f>
        <v/>
      </c>
      <c r="Z1130" s="44">
        <f>Z1085*Settings!$C$13*(Z1049)</f>
        <v/>
      </c>
      <c r="AA1130" s="44">
        <f>AA1085*Settings!$C$13*(AA1049)</f>
        <v/>
      </c>
      <c r="AB1130" s="44">
        <f>AB1085*Settings!$C$13*(AB1049)</f>
        <v/>
      </c>
      <c r="AC1130" s="44">
        <f>AC1085*Settings!$C$13*(AC1049)</f>
        <v/>
      </c>
      <c r="AD1130" s="44">
        <f>AD1085*Settings!$C$13*(AD1049)</f>
        <v/>
      </c>
      <c r="AE1130" s="57">
        <f>REVENUE(AE1085,Settings!$C$13,AE1049)</f>
        <v/>
      </c>
      <c r="AG1130" s="11">
        <f>CodePrefix&amp;$A1130&amp;IF($C1130="","","."&amp;$C1130&amp;"."&amp;$B1130)&amp;INDEX(VarEnd,MATCH($A1130,VarKey,0))&amp;AG$5</f>
        <v/>
      </c>
      <c r="AH1130" s="43">
        <f>AH1085*Settings!$C$13*(AH1049)</f>
        <v/>
      </c>
      <c r="AI1130" s="44">
        <f>AI1085*Settings!$C$13*(AI1049)</f>
        <v/>
      </c>
      <c r="AJ1130" s="44">
        <f>AJ1085*Settings!$C$13*(AJ1049)</f>
        <v/>
      </c>
      <c r="AK1130" s="44">
        <f>AK1085*Settings!$C$13*(AK1049)</f>
        <v/>
      </c>
      <c r="AL1130" s="44">
        <f>AL1085*Settings!$C$13*(AL1049)</f>
        <v/>
      </c>
      <c r="AM1130" s="44">
        <f>AM1085*Settings!$C$13*(AM1049)</f>
        <v/>
      </c>
      <c r="AN1130" s="44">
        <f>AN1085*Settings!$C$13*(AN1049)</f>
        <v/>
      </c>
      <c r="AO1130" s="44">
        <f>AO1085*Settings!$C$13*(AO1049)</f>
        <v/>
      </c>
      <c r="AP1130" s="44">
        <f>AP1085*Settings!$C$13*(AP1049)</f>
        <v/>
      </c>
      <c r="AQ1130" s="44">
        <f>AQ1085*Settings!$C$13*(AQ1049)</f>
        <v/>
      </c>
      <c r="AR1130" s="44">
        <f>AR1085*Settings!$C$13*(AR1049)</f>
        <v/>
      </c>
      <c r="AS1130" s="44">
        <f>AS1085*Settings!$C$13*(AS1049)</f>
        <v/>
      </c>
      <c r="AT1130" s="44">
        <f>AT1085*Settings!$C$13*(AT1049)</f>
        <v/>
      </c>
      <c r="AU1130" s="44">
        <f>AU1085*Settings!$C$13*(AU1049)</f>
        <v/>
      </c>
      <c r="AV1130" s="44">
        <f>AV1085*Settings!$C$13*(AV1049)</f>
        <v/>
      </c>
      <c r="AW1130" s="44">
        <f>AW1085*Settings!$C$13*(AW1049)</f>
        <v/>
      </c>
      <c r="AX1130" s="44">
        <f>AX1085*Settings!$C$13*(AX1049)</f>
        <v/>
      </c>
      <c r="AY1130" s="44">
        <f>AY1085*Settings!$C$13*(AY1049)</f>
        <v/>
      </c>
      <c r="AZ1130" s="44">
        <f>AZ1085*Settings!$C$13*(AZ1049)</f>
        <v/>
      </c>
      <c r="BA1130" s="57">
        <f>REVENUE(BA1085,Settings!$C$13,BA1049)</f>
        <v/>
      </c>
    </row>
    <row r="1131" hidden="1" outlineLevel="2">
      <c r="A1131" s="14" t="inlineStr">
        <is>
          <t>rxcp</t>
        </is>
      </c>
      <c r="B1131" s="14" t="inlineStr">
        <is>
          <t>bio</t>
        </is>
      </c>
      <c r="C1131" s="14" t="inlineStr">
        <is>
          <t>rod</t>
        </is>
      </c>
      <c r="D1131" s="39" t="n"/>
      <c r="E1131" s="39" t="n"/>
      <c r="F1131" s="39" t="n"/>
      <c r="G1131" s="39" t="n"/>
      <c r="H1131" s="14">
        <f>INDEX(VarLab,MATCH($A1131,VarKey,0))&amp;INDEX(MemLab,MATCH($C1131&amp;"|"&amp;$B1131,MemKey,0))</f>
        <v/>
      </c>
      <c r="I1131" s="14">
        <f>INDEX(VarUnit,MATCH($A1131,VarKey,0))</f>
        <v/>
      </c>
      <c r="J1131" s="14">
        <f>INDEX(VarSrc,MATCH($A1131,VarKey,0))</f>
        <v/>
      </c>
      <c r="K1131" s="11">
        <f>CodePrefix&amp;$A1131&amp;IF($C1131="","","."&amp;$C1131&amp;"."&amp;$B1131)&amp;INDEX(VarEnd,MATCH($A1131,VarKey,0))&amp;K$5</f>
        <v/>
      </c>
      <c r="L1131" s="43">
        <f>L1086*Settings!$C$13*(L1050)</f>
        <v/>
      </c>
      <c r="M1131" s="44">
        <f>M1086*Settings!$C$13*(M1050)</f>
        <v/>
      </c>
      <c r="N1131" s="44">
        <f>N1086*Settings!$C$13*(N1050)</f>
        <v/>
      </c>
      <c r="O1131" s="44">
        <f>O1086*Settings!$C$13*(O1050)</f>
        <v/>
      </c>
      <c r="P1131" s="44">
        <f>P1086*Settings!$C$13*(P1050)</f>
        <v/>
      </c>
      <c r="Q1131" s="44">
        <f>Q1086*Settings!$C$13*(Q1050)</f>
        <v/>
      </c>
      <c r="R1131" s="44">
        <f>R1086*Settings!$C$13*(R1050)</f>
        <v/>
      </c>
      <c r="S1131" s="44">
        <f>S1086*Settings!$C$13*(S1050)</f>
        <v/>
      </c>
      <c r="T1131" s="44">
        <f>T1086*Settings!$C$13*(T1050)</f>
        <v/>
      </c>
      <c r="U1131" s="44">
        <f>U1086*Settings!$C$13*(U1050)</f>
        <v/>
      </c>
      <c r="V1131" s="44">
        <f>V1086*Settings!$C$13*(V1050)</f>
        <v/>
      </c>
      <c r="W1131" s="44">
        <f>W1086*Settings!$C$13*(W1050)</f>
        <v/>
      </c>
      <c r="X1131" s="44">
        <f>X1086*Settings!$C$13*(X1050)</f>
        <v/>
      </c>
      <c r="Y1131" s="44">
        <f>Y1086*Settings!$C$13*(Y1050)</f>
        <v/>
      </c>
      <c r="Z1131" s="44">
        <f>Z1086*Settings!$C$13*(Z1050)</f>
        <v/>
      </c>
      <c r="AA1131" s="44">
        <f>AA1086*Settings!$C$13*(AA1050)</f>
        <v/>
      </c>
      <c r="AB1131" s="44">
        <f>AB1086*Settings!$C$13*(AB1050)</f>
        <v/>
      </c>
      <c r="AC1131" s="44">
        <f>AC1086*Settings!$C$13*(AC1050)</f>
        <v/>
      </c>
      <c r="AD1131" s="44">
        <f>AD1086*Settings!$C$13*(AD1050)</f>
        <v/>
      </c>
      <c r="AE1131" s="57">
        <f>REVENUE(AE1086,Settings!$C$13,AE1050)</f>
        <v/>
      </c>
      <c r="AG1131" s="11">
        <f>CodePrefix&amp;$A1131&amp;IF($C1131="","","."&amp;$C1131&amp;"."&amp;$B1131)&amp;INDEX(VarEnd,MATCH($A1131,VarKey,0))&amp;AG$5</f>
        <v/>
      </c>
      <c r="AH1131" s="43">
        <f>AH1086*Settings!$C$13*(AH1050)</f>
        <v/>
      </c>
      <c r="AI1131" s="44">
        <f>AI1086*Settings!$C$13*(AI1050)</f>
        <v/>
      </c>
      <c r="AJ1131" s="44">
        <f>AJ1086*Settings!$C$13*(AJ1050)</f>
        <v/>
      </c>
      <c r="AK1131" s="44">
        <f>AK1086*Settings!$C$13*(AK1050)</f>
        <v/>
      </c>
      <c r="AL1131" s="44">
        <f>AL1086*Settings!$C$13*(AL1050)</f>
        <v/>
      </c>
      <c r="AM1131" s="44">
        <f>AM1086*Settings!$C$13*(AM1050)</f>
        <v/>
      </c>
      <c r="AN1131" s="44">
        <f>AN1086*Settings!$C$13*(AN1050)</f>
        <v/>
      </c>
      <c r="AO1131" s="44">
        <f>AO1086*Settings!$C$13*(AO1050)</f>
        <v/>
      </c>
      <c r="AP1131" s="44">
        <f>AP1086*Settings!$C$13*(AP1050)</f>
        <v/>
      </c>
      <c r="AQ1131" s="44">
        <f>AQ1086*Settings!$C$13*(AQ1050)</f>
        <v/>
      </c>
      <c r="AR1131" s="44">
        <f>AR1086*Settings!$C$13*(AR1050)</f>
        <v/>
      </c>
      <c r="AS1131" s="44">
        <f>AS1086*Settings!$C$13*(AS1050)</f>
        <v/>
      </c>
      <c r="AT1131" s="44">
        <f>AT1086*Settings!$C$13*(AT1050)</f>
        <v/>
      </c>
      <c r="AU1131" s="44">
        <f>AU1086*Settings!$C$13*(AU1050)</f>
        <v/>
      </c>
      <c r="AV1131" s="44">
        <f>AV1086*Settings!$C$13*(AV1050)</f>
        <v/>
      </c>
      <c r="AW1131" s="44">
        <f>AW1086*Settings!$C$13*(AW1050)</f>
        <v/>
      </c>
      <c r="AX1131" s="44">
        <f>AX1086*Settings!$C$13*(AX1050)</f>
        <v/>
      </c>
      <c r="AY1131" s="44">
        <f>AY1086*Settings!$C$13*(AY1050)</f>
        <v/>
      </c>
      <c r="AZ1131" s="44">
        <f>AZ1086*Settings!$C$13*(AZ1050)</f>
        <v/>
      </c>
      <c r="BA1131" s="57">
        <f>REVENUE(BA1086,Settings!$C$13,BA1050)</f>
        <v/>
      </c>
    </row>
    <row r="1132" hidden="1" outlineLevel="2"/>
    <row r="1133" hidden="1" outlineLevel="1" collapsed="1">
      <c r="A1133" s="1" t="inlineStr">
        <is>
          <t>ener</t>
        </is>
      </c>
      <c r="B1133" s="1" t="inlineStr">
        <is>
          <t>all</t>
        </is>
      </c>
      <c r="C1133" s="1" t="inlineStr">
        <is>
          <t>ral</t>
        </is>
      </c>
      <c r="H1133" s="1">
        <f>INDEX(VarLab,MATCH($A1133,VarKey,0))&amp;INDEX(MemLab,MATCH($C1133&amp;"|"&amp;$B1133,MemKey,0))</f>
        <v/>
      </c>
      <c r="I1133" s="1">
        <f>INDEX(VarUnit,MATCH($A1133,VarKey,0))</f>
        <v/>
      </c>
      <c r="J1133" s="1">
        <f>INDEX(VarSrc,MATCH($A1133,VarKey,0))</f>
        <v/>
      </c>
      <c r="K1133" s="17">
        <f>CodePrefix&amp;$A1133&amp;IF($C1133="","","."&amp;$C1133&amp;"."&amp;$B1133)&amp;INDEX(VarEnd,MATCH($A1133,VarKey,0))&amp;K$5</f>
        <v/>
      </c>
      <c r="L1133" s="68">
        <f>SUM(L1207:L1214)</f>
        <v/>
      </c>
      <c r="M1133" s="69">
        <f>SUM(M1207:M1214)</f>
        <v/>
      </c>
      <c r="N1133" s="69">
        <f>SUM(N1207:N1214)</f>
        <v/>
      </c>
      <c r="O1133" s="69">
        <f>SUM(O1207:O1214)</f>
        <v/>
      </c>
      <c r="P1133" s="69">
        <f>SUM(P1207:P1214)</f>
        <v/>
      </c>
      <c r="Q1133" s="69">
        <f>SUM(Q1207:Q1214)</f>
        <v/>
      </c>
      <c r="R1133" s="69">
        <f>SUM(R1207:R1214)</f>
        <v/>
      </c>
      <c r="S1133" s="69">
        <f>SUM(S1207:S1214)</f>
        <v/>
      </c>
      <c r="T1133" s="69">
        <f>SUM(T1207:T1214)</f>
        <v/>
      </c>
      <c r="U1133" s="69">
        <f>SUM(U1207:U1214)</f>
        <v/>
      </c>
      <c r="V1133" s="69">
        <f>SUM(V1207:V1214)</f>
        <v/>
      </c>
      <c r="W1133" s="69">
        <f>SUM(W1207:W1214)</f>
        <v/>
      </c>
      <c r="X1133" s="69">
        <f>SUM(X1207:X1214)</f>
        <v/>
      </c>
      <c r="Y1133" s="69">
        <f>SUM(Y1207:Y1214)</f>
        <v/>
      </c>
      <c r="Z1133" s="69">
        <f>SUM(Z1207:Z1214)</f>
        <v/>
      </c>
      <c r="AA1133" s="69">
        <f>SUM(AA1207:AA1214)</f>
        <v/>
      </c>
      <c r="AB1133" s="69">
        <f>SUM(AB1207:AB1214)</f>
        <v/>
      </c>
      <c r="AC1133" s="69">
        <f>SUM(AC1207:AC1214)</f>
        <v/>
      </c>
      <c r="AD1133" s="69">
        <f>SUM(AD1207:AD1214)</f>
        <v/>
      </c>
      <c r="AE1133" s="69">
        <f>SUM(AE1207:AE1214)</f>
        <v/>
      </c>
      <c r="AG1133" s="17">
        <f>CodePrefix&amp;$A1133&amp;IF($C1133="","","."&amp;$C1133&amp;"."&amp;$B1133)&amp;INDEX(VarEnd,MATCH($A1133,VarKey,0))&amp;AG$5</f>
        <v/>
      </c>
      <c r="AH1133" s="68">
        <f>SUM(AH1207:AH1214)</f>
        <v/>
      </c>
      <c r="AI1133" s="69">
        <f>SUM(AI1207:AI1214)</f>
        <v/>
      </c>
      <c r="AJ1133" s="69">
        <f>SUM(AJ1207:AJ1214)</f>
        <v/>
      </c>
      <c r="AK1133" s="69">
        <f>SUM(AK1207:AK1214)</f>
        <v/>
      </c>
      <c r="AL1133" s="69">
        <f>SUM(AL1207:AL1214)</f>
        <v/>
      </c>
      <c r="AM1133" s="69">
        <f>SUM(AM1207:AM1214)</f>
        <v/>
      </c>
      <c r="AN1133" s="69">
        <f>SUM(AN1207:AN1214)</f>
        <v/>
      </c>
      <c r="AO1133" s="69">
        <f>SUM(AO1207:AO1214)</f>
        <v/>
      </c>
      <c r="AP1133" s="69">
        <f>SUM(AP1207:AP1214)</f>
        <v/>
      </c>
      <c r="AQ1133" s="69">
        <f>SUM(AQ1207:AQ1214)</f>
        <v/>
      </c>
      <c r="AR1133" s="69">
        <f>SUM(AR1207:AR1214)</f>
        <v/>
      </c>
      <c r="AS1133" s="69">
        <f>SUM(AS1207:AS1214)</f>
        <v/>
      </c>
      <c r="AT1133" s="69">
        <f>SUM(AT1207:AT1214)</f>
        <v/>
      </c>
      <c r="AU1133" s="69">
        <f>SUM(AU1207:AU1214)</f>
        <v/>
      </c>
      <c r="AV1133" s="69">
        <f>SUM(AV1207:AV1214)</f>
        <v/>
      </c>
      <c r="AW1133" s="69">
        <f>SUM(AW1207:AW1214)</f>
        <v/>
      </c>
      <c r="AX1133" s="69">
        <f>SUM(AX1207:AX1214)</f>
        <v/>
      </c>
      <c r="AY1133" s="69">
        <f>SUM(AY1207:AY1214)</f>
        <v/>
      </c>
      <c r="AZ1133" s="69">
        <f>SUM(AZ1207:AZ1214)</f>
        <v/>
      </c>
      <c r="BA1133" s="69">
        <f>SUM(BA1207:BA1214)</f>
        <v/>
      </c>
    </row>
    <row r="1134" hidden="1" outlineLevel="1">
      <c r="A1134" s="67" t="inlineStr">
        <is>
          <t>eldem</t>
        </is>
      </c>
      <c r="B1134" s="67" t="inlineStr">
        <is>
          <t>ecy</t>
        </is>
      </c>
      <c r="C1134" s="67" t="inlineStr">
        <is>
          <t>ral</t>
        </is>
      </c>
      <c r="H1134" s="67">
        <f>INDEX(VarLab,MATCH($A1134,VarKey,0))&amp;INDEX(MemLab,MATCH($C1134&amp;"|"&amp;$B1134,MemKey,0))</f>
        <v/>
      </c>
      <c r="I1134" s="67">
        <f>INDEX(VarUnit,MATCH($A1134,VarKey,0))</f>
        <v/>
      </c>
      <c r="J1134" s="67">
        <f>INDEX(VarSrc,MATCH($A1134,VarKey,0))</f>
        <v/>
      </c>
      <c r="K1134" s="70">
        <f>CodePrefix&amp;$A1134&amp;IF($C1134="","","."&amp;$C1134&amp;"."&amp;$B1134)&amp;INDEX(VarEnd,MATCH($A1134,VarKey,0))&amp;K$5</f>
        <v/>
      </c>
      <c r="L1134" s="71">
        <f>SUMIF($C$674:$C$688,$C1134,L$674:L$688)</f>
        <v/>
      </c>
      <c r="M1134" s="72">
        <f>SUMIF($C$674:$C$688,$C1134,M$674:M$688)</f>
        <v/>
      </c>
      <c r="N1134" s="72">
        <f>SUMIF($C$674:$C$688,$C1134,N$674:N$688)</f>
        <v/>
      </c>
      <c r="O1134" s="72">
        <f>SUMIF($C$674:$C$688,$C1134,O$674:O$688)</f>
        <v/>
      </c>
      <c r="P1134" s="72">
        <f>SUMIF($C$674:$C$688,$C1134,P$674:P$688)</f>
        <v/>
      </c>
      <c r="Q1134" s="72">
        <f>SUMIF($C$674:$C$688,$C1134,Q$674:Q$688)</f>
        <v/>
      </c>
      <c r="R1134" s="72">
        <f>SUMIF($C$674:$C$688,$C1134,R$674:R$688)</f>
        <v/>
      </c>
      <c r="S1134" s="72">
        <f>SUMIF($C$674:$C$688,$C1134,S$674:S$688)</f>
        <v/>
      </c>
      <c r="T1134" s="72">
        <f>SUMIF($C$674:$C$688,$C1134,T$674:T$688)</f>
        <v/>
      </c>
      <c r="U1134" s="72">
        <f>SUMIF($C$674:$C$688,$C1134,U$674:U$688)</f>
        <v/>
      </c>
      <c r="V1134" s="72">
        <f>SUMIF($C$674:$C$688,$C1134,V$674:V$688)</f>
        <v/>
      </c>
      <c r="W1134" s="72">
        <f>SUMIF($C$674:$C$688,$C1134,W$674:W$688)</f>
        <v/>
      </c>
      <c r="X1134" s="72">
        <f>SUMIF($C$674:$C$688,$C1134,X$674:X$688)</f>
        <v/>
      </c>
      <c r="Y1134" s="72">
        <f>SUMIF($C$674:$C$688,$C1134,Y$674:Y$688)</f>
        <v/>
      </c>
      <c r="Z1134" s="72">
        <f>SUMIF($C$674:$C$688,$C1134,Z$674:Z$688)</f>
        <v/>
      </c>
      <c r="AA1134" s="72">
        <f>SUMIF($C$674:$C$688,$C1134,AA$674:AA$688)</f>
        <v/>
      </c>
      <c r="AB1134" s="72">
        <f>SUMIF($C$674:$C$688,$C1134,AB$674:AB$688)</f>
        <v/>
      </c>
      <c r="AC1134" s="72">
        <f>SUMIF($C$674:$C$688,$C1134,AC$674:AC$688)</f>
        <v/>
      </c>
      <c r="AD1134" s="72">
        <f>SUMIF($C$674:$C$688,$C1134,AD$674:AD$688)</f>
        <v/>
      </c>
      <c r="AE1134" s="72">
        <f>SUMIF($C$674:$C$688,$C1134,AE$674:AE$688)</f>
        <v/>
      </c>
      <c r="AG1134" s="70">
        <f>CodePrefix&amp;$A1134&amp;IF($C1134="","","."&amp;$C1134&amp;"."&amp;$B1134)&amp;INDEX(VarEnd,MATCH($A1134,VarKey,0))&amp;AG$5</f>
        <v/>
      </c>
      <c r="AH1134" s="71">
        <f>SUMIF($C$674:$C$688,$C1134,AH$674:AH$688)</f>
        <v/>
      </c>
      <c r="AI1134" s="72">
        <f>SUMIF($C$674:$C$688,$C1134,AI$674:AI$688)</f>
        <v/>
      </c>
      <c r="AJ1134" s="72">
        <f>SUMIF($C$674:$C$688,$C1134,AJ$674:AJ$688)</f>
        <v/>
      </c>
      <c r="AK1134" s="72">
        <f>SUMIF($C$674:$C$688,$C1134,AK$674:AK$688)</f>
        <v/>
      </c>
      <c r="AL1134" s="72">
        <f>SUMIF($C$674:$C$688,$C1134,AL$674:AL$688)</f>
        <v/>
      </c>
      <c r="AM1134" s="72">
        <f>SUMIF($C$674:$C$688,$C1134,AM$674:AM$688)</f>
        <v/>
      </c>
      <c r="AN1134" s="72">
        <f>SUMIF($C$674:$C$688,$C1134,AN$674:AN$688)</f>
        <v/>
      </c>
      <c r="AO1134" s="72">
        <f>SUMIF($C$674:$C$688,$C1134,AO$674:AO$688)</f>
        <v/>
      </c>
      <c r="AP1134" s="72">
        <f>SUMIF($C$674:$C$688,$C1134,AP$674:AP$688)</f>
        <v/>
      </c>
      <c r="AQ1134" s="72">
        <f>SUMIF($C$674:$C$688,$C1134,AQ$674:AQ$688)</f>
        <v/>
      </c>
      <c r="AR1134" s="72">
        <f>SUMIF($C$674:$C$688,$C1134,AR$674:AR$688)</f>
        <v/>
      </c>
      <c r="AS1134" s="72">
        <f>SUMIF($C$674:$C$688,$C1134,AS$674:AS$688)</f>
        <v/>
      </c>
      <c r="AT1134" s="72">
        <f>SUMIF($C$674:$C$688,$C1134,AT$674:AT$688)</f>
        <v/>
      </c>
      <c r="AU1134" s="72">
        <f>SUMIF($C$674:$C$688,$C1134,AU$674:AU$688)</f>
        <v/>
      </c>
      <c r="AV1134" s="72">
        <f>SUMIF($C$674:$C$688,$C1134,AV$674:AV$688)</f>
        <v/>
      </c>
      <c r="AW1134" s="72">
        <f>SUMIF($C$674:$C$688,$C1134,AW$674:AW$688)</f>
        <v/>
      </c>
      <c r="AX1134" s="72">
        <f>SUMIF($C$674:$C$688,$C1134,AX$674:AX$688)</f>
        <v/>
      </c>
      <c r="AY1134" s="72">
        <f>SUMIF($C$674:$C$688,$C1134,AY$674:AY$688)</f>
        <v/>
      </c>
      <c r="AZ1134" s="72">
        <f>SUMIF($C$674:$C$688,$C1134,AZ$674:AZ$688)</f>
        <v/>
      </c>
      <c r="BA1134" s="72">
        <f>SUMIF($C$674:$C$688,$C1134,BA$674:BA$688)</f>
        <v/>
      </c>
    </row>
    <row r="1135" hidden="1" outlineLevel="2">
      <c r="A1135" s="14" t="inlineStr">
        <is>
          <t>ctxnew</t>
        </is>
      </c>
      <c r="B1135" s="14" t="inlineStr">
        <is>
          <t>coa</t>
        </is>
      </c>
      <c r="C1135" s="14" t="inlineStr">
        <is>
          <t>ral</t>
        </is>
      </c>
      <c r="D1135" s="35">
        <f>INDEX(Inputs!$W$5:$W$132,MATCH($B1135&amp;"|"&amp;$C1135,Inputs!$A$5:$A$132,0))</f>
        <v/>
      </c>
      <c r="E1135" s="35">
        <f>INDEX(Inputs!$L$5:$L$132,MATCH($B1135&amp;"|"&amp;$C1135,Inputs!$A$5:$A$132,0))</f>
        <v/>
      </c>
      <c r="F1135" s="35">
        <f>INDEX(Inputs!$M$5:$M$132,MATCH($B1135&amp;"|"&amp;$C1135,Inputs!$A$5:$A$132,0))</f>
        <v/>
      </c>
      <c r="G1135" s="39" t="n"/>
      <c r="H1135" s="14">
        <f>INDEX(VarLab,MATCH($A1135,VarKey,0))&amp;INDEX(MemLab,MATCH($C1135&amp;"|"&amp;$B1135,MemKey,0))</f>
        <v/>
      </c>
      <c r="I1135" s="14">
        <f>INDEX(VarUnit,MATCH($A1135,VarKey,0))</f>
        <v/>
      </c>
      <c r="J1135" s="14">
        <f>INDEX(VarSrc,MATCH($A1135,VarKey,0))</f>
        <v/>
      </c>
      <c r="K1135" s="11">
        <f>CodePrefix&amp;$A1135&amp;IF($C1135="","","."&amp;$C1135&amp;"."&amp;$B1135)&amp;INDEX(VarEnd,MATCH($A1135,VarKey,0))&amp;K$5</f>
        <v/>
      </c>
      <c r="L1135" s="40">
        <f>INDEX(L$263:L$279,$F1135)*$D1135*INDEX(L$23:L$30,$E1135)</f>
        <v/>
      </c>
      <c r="M1135" s="35">
        <f>INDEX(M$263:M$279,$F1135)*$D1135*INDEX(M$23:M$30,$E1135)</f>
        <v/>
      </c>
      <c r="N1135" s="35">
        <f>INDEX(N$263:N$279,$F1135)*$D1135*INDEX(N$23:N$30,$E1135)</f>
        <v/>
      </c>
      <c r="O1135" s="35">
        <f>INDEX(O$263:O$279,$F1135)*$D1135*INDEX(O$23:O$30,$E1135)</f>
        <v/>
      </c>
      <c r="P1135" s="35">
        <f>INDEX(P$263:P$279,$F1135)*$D1135*INDEX(P$23:P$30,$E1135)</f>
        <v/>
      </c>
      <c r="Q1135" s="35">
        <f>INDEX(Q$263:Q$279,$F1135)*$D1135*INDEX(Q$23:Q$30,$E1135)</f>
        <v/>
      </c>
      <c r="R1135" s="35">
        <f>INDEX(R$263:R$279,$F1135)*$D1135*INDEX(R$23:R$30,$E1135)</f>
        <v/>
      </c>
      <c r="S1135" s="35">
        <f>INDEX(S$263:S$279,$F1135)*$D1135*INDEX(S$23:S$30,$E1135)</f>
        <v/>
      </c>
      <c r="T1135" s="35">
        <f>INDEX(T$263:T$279,$F1135)*$D1135*INDEX(T$23:T$30,$E1135)</f>
        <v/>
      </c>
      <c r="U1135" s="35">
        <f>INDEX(U$263:U$279,$F1135)*$D1135*INDEX(U$23:U$30,$E1135)</f>
        <v/>
      </c>
      <c r="V1135" s="35">
        <f>INDEX(V$263:V$279,$F1135)*$D1135*INDEX(V$23:V$30,$E1135)</f>
        <v/>
      </c>
      <c r="W1135" s="35">
        <f>INDEX(W$263:W$279,$F1135)*$D1135*INDEX(W$23:W$30,$E1135)</f>
        <v/>
      </c>
      <c r="X1135" s="35">
        <f>INDEX(X$263:X$279,$F1135)*$D1135*INDEX(X$23:X$30,$E1135)</f>
        <v/>
      </c>
      <c r="Y1135" s="35">
        <f>INDEX(Y$263:Y$279,$F1135)*$D1135*INDEX(Y$23:Y$30,$E1135)</f>
        <v/>
      </c>
      <c r="Z1135" s="35">
        <f>INDEX(Z$263:Z$279,$F1135)*$D1135*INDEX(Z$23:Z$30,$E1135)</f>
        <v/>
      </c>
      <c r="AA1135" s="35">
        <f>INDEX(AA$263:AA$279,$F1135)*$D1135*INDEX(AA$23:AA$30,$E1135)</f>
        <v/>
      </c>
      <c r="AB1135" s="35">
        <f>INDEX(AB$263:AB$279,$F1135)*$D1135*INDEX(AB$23:AB$30,$E1135)</f>
        <v/>
      </c>
      <c r="AC1135" s="35">
        <f>INDEX(AC$263:AC$279,$F1135)*$D1135*INDEX(AC$23:AC$30,$E1135)</f>
        <v/>
      </c>
      <c r="AD1135" s="35">
        <f>INDEX(AD$263:AD$279,$F1135)*$D1135*INDEX(AD$23:AD$30,$E1135)</f>
        <v/>
      </c>
      <c r="AE1135" s="42">
        <f>CARBONTAX(INDEX(AE$263:AE$279,$F1135),$D1135,INDEX(AE$23:AE$30,$E1135))</f>
        <v/>
      </c>
      <c r="AG1135" s="11">
        <f>CodePrefix&amp;$A1135&amp;IF($C1135="","","."&amp;$C1135&amp;"."&amp;$B1135)&amp;INDEX(VarEnd,MATCH($A1135,VarKey,0))&amp;AG$5</f>
        <v/>
      </c>
      <c r="AH1135" s="40">
        <f>INDEX(AH$263:AH$279,$F1135)*$D1135*INDEX(AH$23:AH$30,$E1135)</f>
        <v/>
      </c>
      <c r="AI1135" s="35">
        <f>INDEX(AI$263:AI$279,$F1135)*$D1135*INDEX(AI$23:AI$30,$E1135)</f>
        <v/>
      </c>
      <c r="AJ1135" s="35">
        <f>INDEX(AJ$263:AJ$279,$F1135)*$D1135*INDEX(AJ$23:AJ$30,$E1135)</f>
        <v/>
      </c>
      <c r="AK1135" s="35">
        <f>INDEX(AK$263:AK$279,$F1135)*$D1135*INDEX(AK$23:AK$30,$E1135)</f>
        <v/>
      </c>
      <c r="AL1135" s="35">
        <f>INDEX(AL$263:AL$279,$F1135)*$D1135*INDEX(AL$23:AL$30,$E1135)</f>
        <v/>
      </c>
      <c r="AM1135" s="35">
        <f>INDEX(AM$263:AM$279,$F1135)*$D1135*INDEX(AM$23:AM$30,$E1135)</f>
        <v/>
      </c>
      <c r="AN1135" s="35">
        <f>INDEX(AN$263:AN$279,$F1135)*$D1135*INDEX(AN$23:AN$30,$E1135)</f>
        <v/>
      </c>
      <c r="AO1135" s="35">
        <f>INDEX(AO$263:AO$279,$F1135)*$D1135*INDEX(AO$23:AO$30,$E1135)</f>
        <v/>
      </c>
      <c r="AP1135" s="35">
        <f>INDEX(AP$263:AP$279,$F1135)*$D1135*INDEX(AP$23:AP$30,$E1135)</f>
        <v/>
      </c>
      <c r="AQ1135" s="35">
        <f>INDEX(AQ$263:AQ$279,$F1135)*$D1135*INDEX(AQ$23:AQ$30,$E1135)</f>
        <v/>
      </c>
      <c r="AR1135" s="35">
        <f>INDEX(AR$263:AR$279,$F1135)*$D1135*INDEX(AR$23:AR$30,$E1135)</f>
        <v/>
      </c>
      <c r="AS1135" s="35">
        <f>INDEX(AS$263:AS$279,$F1135)*$D1135*INDEX(AS$23:AS$30,$E1135)</f>
        <v/>
      </c>
      <c r="AT1135" s="35">
        <f>INDEX(AT$263:AT$279,$F1135)*$D1135*INDEX(AT$23:AT$30,$E1135)</f>
        <v/>
      </c>
      <c r="AU1135" s="35">
        <f>INDEX(AU$263:AU$279,$F1135)*$D1135*INDEX(AU$23:AU$30,$E1135)</f>
        <v/>
      </c>
      <c r="AV1135" s="35">
        <f>INDEX(AV$263:AV$279,$F1135)*$D1135*INDEX(AV$23:AV$30,$E1135)</f>
        <v/>
      </c>
      <c r="AW1135" s="35">
        <f>INDEX(AW$263:AW$279,$F1135)*$D1135*INDEX(AW$23:AW$30,$E1135)</f>
        <v/>
      </c>
      <c r="AX1135" s="35">
        <f>INDEX(AX$263:AX$279,$F1135)*$D1135*INDEX(AX$23:AX$30,$E1135)</f>
        <v/>
      </c>
      <c r="AY1135" s="35">
        <f>INDEX(AY$263:AY$279,$F1135)*$D1135*INDEX(AY$23:AY$30,$E1135)</f>
        <v/>
      </c>
      <c r="AZ1135" s="35">
        <f>INDEX(AZ$263:AZ$279,$F1135)*$D1135*INDEX(AZ$23:AZ$30,$E1135)</f>
        <v/>
      </c>
      <c r="BA1135" s="42">
        <f>CARBONTAX(INDEX(BA$263:BA$279,$F1135),$D1135,INDEX(BA$23:BA$30,$E1135))</f>
        <v/>
      </c>
    </row>
    <row r="1136" hidden="1" outlineLevel="2">
      <c r="A1136" s="14" t="inlineStr">
        <is>
          <t>ctxnew</t>
        </is>
      </c>
      <c r="B1136" s="14" t="inlineStr">
        <is>
          <t>nga</t>
        </is>
      </c>
      <c r="C1136" s="14" t="inlineStr">
        <is>
          <t>ral</t>
        </is>
      </c>
      <c r="D1136" s="35">
        <f>INDEX(Inputs!$W$5:$W$132,MATCH($B1136&amp;"|"&amp;$C1136,Inputs!$A$5:$A$132,0))</f>
        <v/>
      </c>
      <c r="E1136" s="35">
        <f>INDEX(Inputs!$L$5:$L$132,MATCH($B1136&amp;"|"&amp;$C1136,Inputs!$A$5:$A$132,0))</f>
        <v/>
      </c>
      <c r="F1136" s="35">
        <f>INDEX(Inputs!$M$5:$M$132,MATCH($B1136&amp;"|"&amp;$C1136,Inputs!$A$5:$A$132,0))</f>
        <v/>
      </c>
      <c r="G1136" s="39" t="n"/>
      <c r="H1136" s="14">
        <f>INDEX(VarLab,MATCH($A1136,VarKey,0))&amp;INDEX(MemLab,MATCH($C1136&amp;"|"&amp;$B1136,MemKey,0))</f>
        <v/>
      </c>
      <c r="I1136" s="14">
        <f>INDEX(VarUnit,MATCH($A1136,VarKey,0))</f>
        <v/>
      </c>
      <c r="J1136" s="14">
        <f>INDEX(VarSrc,MATCH($A1136,VarKey,0))</f>
        <v/>
      </c>
      <c r="K1136" s="11">
        <f>CodePrefix&amp;$A1136&amp;IF($C1136="","","."&amp;$C1136&amp;"."&amp;$B1136)&amp;INDEX(VarEnd,MATCH($A1136,VarKey,0))&amp;K$5</f>
        <v/>
      </c>
      <c r="L1136" s="40">
        <f>INDEX(L$263:L$279,$F1136)*$D1136*INDEX(L$23:L$30,$E1136)</f>
        <v/>
      </c>
      <c r="M1136" s="35">
        <f>INDEX(M$263:M$279,$F1136)*$D1136*INDEX(M$23:M$30,$E1136)</f>
        <v/>
      </c>
      <c r="N1136" s="35">
        <f>INDEX(N$263:N$279,$F1136)*$D1136*INDEX(N$23:N$30,$E1136)</f>
        <v/>
      </c>
      <c r="O1136" s="35">
        <f>INDEX(O$263:O$279,$F1136)*$D1136*INDEX(O$23:O$30,$E1136)</f>
        <v/>
      </c>
      <c r="P1136" s="35">
        <f>INDEX(P$263:P$279,$F1136)*$D1136*INDEX(P$23:P$30,$E1136)</f>
        <v/>
      </c>
      <c r="Q1136" s="35">
        <f>INDEX(Q$263:Q$279,$F1136)*$D1136*INDEX(Q$23:Q$30,$E1136)</f>
        <v/>
      </c>
      <c r="R1136" s="35">
        <f>INDEX(R$263:R$279,$F1136)*$D1136*INDEX(R$23:R$30,$E1136)</f>
        <v/>
      </c>
      <c r="S1136" s="35">
        <f>INDEX(S$263:S$279,$F1136)*$D1136*INDEX(S$23:S$30,$E1136)</f>
        <v/>
      </c>
      <c r="T1136" s="35">
        <f>INDEX(T$263:T$279,$F1136)*$D1136*INDEX(T$23:T$30,$E1136)</f>
        <v/>
      </c>
      <c r="U1136" s="35">
        <f>INDEX(U$263:U$279,$F1136)*$D1136*INDEX(U$23:U$30,$E1136)</f>
        <v/>
      </c>
      <c r="V1136" s="35">
        <f>INDEX(V$263:V$279,$F1136)*$D1136*INDEX(V$23:V$30,$E1136)</f>
        <v/>
      </c>
      <c r="W1136" s="35">
        <f>INDEX(W$263:W$279,$F1136)*$D1136*INDEX(W$23:W$30,$E1136)</f>
        <v/>
      </c>
      <c r="X1136" s="35">
        <f>INDEX(X$263:X$279,$F1136)*$D1136*INDEX(X$23:X$30,$E1136)</f>
        <v/>
      </c>
      <c r="Y1136" s="35">
        <f>INDEX(Y$263:Y$279,$F1136)*$D1136*INDEX(Y$23:Y$30,$E1136)</f>
        <v/>
      </c>
      <c r="Z1136" s="35">
        <f>INDEX(Z$263:Z$279,$F1136)*$D1136*INDEX(Z$23:Z$30,$E1136)</f>
        <v/>
      </c>
      <c r="AA1136" s="35">
        <f>INDEX(AA$263:AA$279,$F1136)*$D1136*INDEX(AA$23:AA$30,$E1136)</f>
        <v/>
      </c>
      <c r="AB1136" s="35">
        <f>INDEX(AB$263:AB$279,$F1136)*$D1136*INDEX(AB$23:AB$30,$E1136)</f>
        <v/>
      </c>
      <c r="AC1136" s="35">
        <f>INDEX(AC$263:AC$279,$F1136)*$D1136*INDEX(AC$23:AC$30,$E1136)</f>
        <v/>
      </c>
      <c r="AD1136" s="35">
        <f>INDEX(AD$263:AD$279,$F1136)*$D1136*INDEX(AD$23:AD$30,$E1136)</f>
        <v/>
      </c>
      <c r="AE1136" s="42">
        <f>CARBONTAX(INDEX(AE$263:AE$279,$F1136),$D1136,INDEX(AE$23:AE$30,$E1136))</f>
        <v/>
      </c>
      <c r="AG1136" s="11">
        <f>CodePrefix&amp;$A1136&amp;IF($C1136="","","."&amp;$C1136&amp;"."&amp;$B1136)&amp;INDEX(VarEnd,MATCH($A1136,VarKey,0))&amp;AG$5</f>
        <v/>
      </c>
      <c r="AH1136" s="40">
        <f>INDEX(AH$263:AH$279,$F1136)*$D1136*INDEX(AH$23:AH$30,$E1136)</f>
        <v/>
      </c>
      <c r="AI1136" s="35">
        <f>INDEX(AI$263:AI$279,$F1136)*$D1136*INDEX(AI$23:AI$30,$E1136)</f>
        <v/>
      </c>
      <c r="AJ1136" s="35">
        <f>INDEX(AJ$263:AJ$279,$F1136)*$D1136*INDEX(AJ$23:AJ$30,$E1136)</f>
        <v/>
      </c>
      <c r="AK1136" s="35">
        <f>INDEX(AK$263:AK$279,$F1136)*$D1136*INDEX(AK$23:AK$30,$E1136)</f>
        <v/>
      </c>
      <c r="AL1136" s="35">
        <f>INDEX(AL$263:AL$279,$F1136)*$D1136*INDEX(AL$23:AL$30,$E1136)</f>
        <v/>
      </c>
      <c r="AM1136" s="35">
        <f>INDEX(AM$263:AM$279,$F1136)*$D1136*INDEX(AM$23:AM$30,$E1136)</f>
        <v/>
      </c>
      <c r="AN1136" s="35">
        <f>INDEX(AN$263:AN$279,$F1136)*$D1136*INDEX(AN$23:AN$30,$E1136)</f>
        <v/>
      </c>
      <c r="AO1136" s="35">
        <f>INDEX(AO$263:AO$279,$F1136)*$D1136*INDEX(AO$23:AO$30,$E1136)</f>
        <v/>
      </c>
      <c r="AP1136" s="35">
        <f>INDEX(AP$263:AP$279,$F1136)*$D1136*INDEX(AP$23:AP$30,$E1136)</f>
        <v/>
      </c>
      <c r="AQ1136" s="35">
        <f>INDEX(AQ$263:AQ$279,$F1136)*$D1136*INDEX(AQ$23:AQ$30,$E1136)</f>
        <v/>
      </c>
      <c r="AR1136" s="35">
        <f>INDEX(AR$263:AR$279,$F1136)*$D1136*INDEX(AR$23:AR$30,$E1136)</f>
        <v/>
      </c>
      <c r="AS1136" s="35">
        <f>INDEX(AS$263:AS$279,$F1136)*$D1136*INDEX(AS$23:AS$30,$E1136)</f>
        <v/>
      </c>
      <c r="AT1136" s="35">
        <f>INDEX(AT$263:AT$279,$F1136)*$D1136*INDEX(AT$23:AT$30,$E1136)</f>
        <v/>
      </c>
      <c r="AU1136" s="35">
        <f>INDEX(AU$263:AU$279,$F1136)*$D1136*INDEX(AU$23:AU$30,$E1136)</f>
        <v/>
      </c>
      <c r="AV1136" s="35">
        <f>INDEX(AV$263:AV$279,$F1136)*$D1136*INDEX(AV$23:AV$30,$E1136)</f>
        <v/>
      </c>
      <c r="AW1136" s="35">
        <f>INDEX(AW$263:AW$279,$F1136)*$D1136*INDEX(AW$23:AW$30,$E1136)</f>
        <v/>
      </c>
      <c r="AX1136" s="35">
        <f>INDEX(AX$263:AX$279,$F1136)*$D1136*INDEX(AX$23:AX$30,$E1136)</f>
        <v/>
      </c>
      <c r="AY1136" s="35">
        <f>INDEX(AY$263:AY$279,$F1136)*$D1136*INDEX(AY$23:AY$30,$E1136)</f>
        <v/>
      </c>
      <c r="AZ1136" s="35">
        <f>INDEX(AZ$263:AZ$279,$F1136)*$D1136*INDEX(AZ$23:AZ$30,$E1136)</f>
        <v/>
      </c>
      <c r="BA1136" s="42">
        <f>CARBONTAX(INDEX(BA$263:BA$279,$F1136),$D1136,INDEX(BA$23:BA$30,$E1136))</f>
        <v/>
      </c>
    </row>
    <row r="1137" hidden="1" outlineLevel="2">
      <c r="A1137" s="14" t="inlineStr">
        <is>
          <t>ctxnew</t>
        </is>
      </c>
      <c r="B1137" s="14" t="inlineStr">
        <is>
          <t>gso</t>
        </is>
      </c>
      <c r="C1137" s="14" t="inlineStr">
        <is>
          <t>ral</t>
        </is>
      </c>
      <c r="D1137" s="35">
        <f>INDEX(Inputs!$W$5:$W$132,MATCH($B1137&amp;"|"&amp;$C1137,Inputs!$A$5:$A$132,0))</f>
        <v/>
      </c>
      <c r="E1137" s="35">
        <f>INDEX(Inputs!$L$5:$L$132,MATCH($B1137&amp;"|"&amp;$C1137,Inputs!$A$5:$A$132,0))</f>
        <v/>
      </c>
      <c r="F1137" s="35">
        <f>INDEX(Inputs!$M$5:$M$132,MATCH($B1137&amp;"|"&amp;$C1137,Inputs!$A$5:$A$132,0))</f>
        <v/>
      </c>
      <c r="G1137" s="39" t="n"/>
      <c r="H1137" s="14">
        <f>INDEX(VarLab,MATCH($A1137,VarKey,0))&amp;INDEX(MemLab,MATCH($C1137&amp;"|"&amp;$B1137,MemKey,0))</f>
        <v/>
      </c>
      <c r="I1137" s="14">
        <f>INDEX(VarUnit,MATCH($A1137,VarKey,0))</f>
        <v/>
      </c>
      <c r="J1137" s="14">
        <f>INDEX(VarSrc,MATCH($A1137,VarKey,0))</f>
        <v/>
      </c>
      <c r="K1137" s="11">
        <f>CodePrefix&amp;$A1137&amp;IF($C1137="","","."&amp;$C1137&amp;"."&amp;$B1137)&amp;INDEX(VarEnd,MATCH($A1137,VarKey,0))&amp;K$5</f>
        <v/>
      </c>
      <c r="L1137" s="40">
        <f>INDEX(L$263:L$279,$F1137)*$D1137*INDEX(L$23:L$30,$E1137)</f>
        <v/>
      </c>
      <c r="M1137" s="35">
        <f>INDEX(M$263:M$279,$F1137)*$D1137*INDEX(M$23:M$30,$E1137)</f>
        <v/>
      </c>
      <c r="N1137" s="35">
        <f>INDEX(N$263:N$279,$F1137)*$D1137*INDEX(N$23:N$30,$E1137)</f>
        <v/>
      </c>
      <c r="O1137" s="35">
        <f>INDEX(O$263:O$279,$F1137)*$D1137*INDEX(O$23:O$30,$E1137)</f>
        <v/>
      </c>
      <c r="P1137" s="35">
        <f>INDEX(P$263:P$279,$F1137)*$D1137*INDEX(P$23:P$30,$E1137)</f>
        <v/>
      </c>
      <c r="Q1137" s="35">
        <f>INDEX(Q$263:Q$279,$F1137)*$D1137*INDEX(Q$23:Q$30,$E1137)</f>
        <v/>
      </c>
      <c r="R1137" s="35">
        <f>INDEX(R$263:R$279,$F1137)*$D1137*INDEX(R$23:R$30,$E1137)</f>
        <v/>
      </c>
      <c r="S1137" s="35">
        <f>INDEX(S$263:S$279,$F1137)*$D1137*INDEX(S$23:S$30,$E1137)</f>
        <v/>
      </c>
      <c r="T1137" s="35">
        <f>INDEX(T$263:T$279,$F1137)*$D1137*INDEX(T$23:T$30,$E1137)</f>
        <v/>
      </c>
      <c r="U1137" s="35">
        <f>INDEX(U$263:U$279,$F1137)*$D1137*INDEX(U$23:U$30,$E1137)</f>
        <v/>
      </c>
      <c r="V1137" s="35">
        <f>INDEX(V$263:V$279,$F1137)*$D1137*INDEX(V$23:V$30,$E1137)</f>
        <v/>
      </c>
      <c r="W1137" s="35">
        <f>INDEX(W$263:W$279,$F1137)*$D1137*INDEX(W$23:W$30,$E1137)</f>
        <v/>
      </c>
      <c r="X1137" s="35">
        <f>INDEX(X$263:X$279,$F1137)*$D1137*INDEX(X$23:X$30,$E1137)</f>
        <v/>
      </c>
      <c r="Y1137" s="35">
        <f>INDEX(Y$263:Y$279,$F1137)*$D1137*INDEX(Y$23:Y$30,$E1137)</f>
        <v/>
      </c>
      <c r="Z1137" s="35">
        <f>INDEX(Z$263:Z$279,$F1137)*$D1137*INDEX(Z$23:Z$30,$E1137)</f>
        <v/>
      </c>
      <c r="AA1137" s="35">
        <f>INDEX(AA$263:AA$279,$F1137)*$D1137*INDEX(AA$23:AA$30,$E1137)</f>
        <v/>
      </c>
      <c r="AB1137" s="35">
        <f>INDEX(AB$263:AB$279,$F1137)*$D1137*INDEX(AB$23:AB$30,$E1137)</f>
        <v/>
      </c>
      <c r="AC1137" s="35">
        <f>INDEX(AC$263:AC$279,$F1137)*$D1137*INDEX(AC$23:AC$30,$E1137)</f>
        <v/>
      </c>
      <c r="AD1137" s="35">
        <f>INDEX(AD$263:AD$279,$F1137)*$D1137*INDEX(AD$23:AD$30,$E1137)</f>
        <v/>
      </c>
      <c r="AE1137" s="42">
        <f>CARBONTAX(INDEX(AE$263:AE$279,$F1137),$D1137,INDEX(AE$23:AE$30,$E1137))</f>
        <v/>
      </c>
      <c r="AG1137" s="11">
        <f>CodePrefix&amp;$A1137&amp;IF($C1137="","","."&amp;$C1137&amp;"."&amp;$B1137)&amp;INDEX(VarEnd,MATCH($A1137,VarKey,0))&amp;AG$5</f>
        <v/>
      </c>
      <c r="AH1137" s="40">
        <f>INDEX(AH$263:AH$279,$F1137)*$D1137*INDEX(AH$23:AH$30,$E1137)</f>
        <v/>
      </c>
      <c r="AI1137" s="35">
        <f>INDEX(AI$263:AI$279,$F1137)*$D1137*INDEX(AI$23:AI$30,$E1137)</f>
        <v/>
      </c>
      <c r="AJ1137" s="35">
        <f>INDEX(AJ$263:AJ$279,$F1137)*$D1137*INDEX(AJ$23:AJ$30,$E1137)</f>
        <v/>
      </c>
      <c r="AK1137" s="35">
        <f>INDEX(AK$263:AK$279,$F1137)*$D1137*INDEX(AK$23:AK$30,$E1137)</f>
        <v/>
      </c>
      <c r="AL1137" s="35">
        <f>INDEX(AL$263:AL$279,$F1137)*$D1137*INDEX(AL$23:AL$30,$E1137)</f>
        <v/>
      </c>
      <c r="AM1137" s="35">
        <f>INDEX(AM$263:AM$279,$F1137)*$D1137*INDEX(AM$23:AM$30,$E1137)</f>
        <v/>
      </c>
      <c r="AN1137" s="35">
        <f>INDEX(AN$263:AN$279,$F1137)*$D1137*INDEX(AN$23:AN$30,$E1137)</f>
        <v/>
      </c>
      <c r="AO1137" s="35">
        <f>INDEX(AO$263:AO$279,$F1137)*$D1137*INDEX(AO$23:AO$30,$E1137)</f>
        <v/>
      </c>
      <c r="AP1137" s="35">
        <f>INDEX(AP$263:AP$279,$F1137)*$D1137*INDEX(AP$23:AP$30,$E1137)</f>
        <v/>
      </c>
      <c r="AQ1137" s="35">
        <f>INDEX(AQ$263:AQ$279,$F1137)*$D1137*INDEX(AQ$23:AQ$30,$E1137)</f>
        <v/>
      </c>
      <c r="AR1137" s="35">
        <f>INDEX(AR$263:AR$279,$F1137)*$D1137*INDEX(AR$23:AR$30,$E1137)</f>
        <v/>
      </c>
      <c r="AS1137" s="35">
        <f>INDEX(AS$263:AS$279,$F1137)*$D1137*INDEX(AS$23:AS$30,$E1137)</f>
        <v/>
      </c>
      <c r="AT1137" s="35">
        <f>INDEX(AT$263:AT$279,$F1137)*$D1137*INDEX(AT$23:AT$30,$E1137)</f>
        <v/>
      </c>
      <c r="AU1137" s="35">
        <f>INDEX(AU$263:AU$279,$F1137)*$D1137*INDEX(AU$23:AU$30,$E1137)</f>
        <v/>
      </c>
      <c r="AV1137" s="35">
        <f>INDEX(AV$263:AV$279,$F1137)*$D1137*INDEX(AV$23:AV$30,$E1137)</f>
        <v/>
      </c>
      <c r="AW1137" s="35">
        <f>INDEX(AW$263:AW$279,$F1137)*$D1137*INDEX(AW$23:AW$30,$E1137)</f>
        <v/>
      </c>
      <c r="AX1137" s="35">
        <f>INDEX(AX$263:AX$279,$F1137)*$D1137*INDEX(AX$23:AX$30,$E1137)</f>
        <v/>
      </c>
      <c r="AY1137" s="35">
        <f>INDEX(AY$263:AY$279,$F1137)*$D1137*INDEX(AY$23:AY$30,$E1137)</f>
        <v/>
      </c>
      <c r="AZ1137" s="35">
        <f>INDEX(AZ$263:AZ$279,$F1137)*$D1137*INDEX(AZ$23:AZ$30,$E1137)</f>
        <v/>
      </c>
      <c r="BA1137" s="42">
        <f>CARBONTAX(INDEX(BA$263:BA$279,$F1137),$D1137,INDEX(BA$23:BA$30,$E1137))</f>
        <v/>
      </c>
    </row>
    <row r="1138" hidden="1" outlineLevel="2">
      <c r="A1138" s="14" t="inlineStr">
        <is>
          <t>ctxnew</t>
        </is>
      </c>
      <c r="B1138" s="14" t="inlineStr">
        <is>
          <t>die</t>
        </is>
      </c>
      <c r="C1138" s="14" t="inlineStr">
        <is>
          <t>ral</t>
        </is>
      </c>
      <c r="D1138" s="35">
        <f>INDEX(Inputs!$W$5:$W$132,MATCH($B1138&amp;"|"&amp;$C1138,Inputs!$A$5:$A$132,0))</f>
        <v/>
      </c>
      <c r="E1138" s="35">
        <f>INDEX(Inputs!$L$5:$L$132,MATCH($B1138&amp;"|"&amp;$C1138,Inputs!$A$5:$A$132,0))</f>
        <v/>
      </c>
      <c r="F1138" s="35">
        <f>INDEX(Inputs!$M$5:$M$132,MATCH($B1138&amp;"|"&amp;$C1138,Inputs!$A$5:$A$132,0))</f>
        <v/>
      </c>
      <c r="G1138" s="39" t="n"/>
      <c r="H1138" s="14">
        <f>INDEX(VarLab,MATCH($A1138,VarKey,0))&amp;INDEX(MemLab,MATCH($C1138&amp;"|"&amp;$B1138,MemKey,0))</f>
        <v/>
      </c>
      <c r="I1138" s="14">
        <f>INDEX(VarUnit,MATCH($A1138,VarKey,0))</f>
        <v/>
      </c>
      <c r="J1138" s="14">
        <f>INDEX(VarSrc,MATCH($A1138,VarKey,0))</f>
        <v/>
      </c>
      <c r="K1138" s="11">
        <f>CodePrefix&amp;$A1138&amp;IF($C1138="","","."&amp;$C1138&amp;"."&amp;$B1138)&amp;INDEX(VarEnd,MATCH($A1138,VarKey,0))&amp;K$5</f>
        <v/>
      </c>
      <c r="L1138" s="40">
        <f>INDEX(L$263:L$279,$F1138)*$D1138*INDEX(L$23:L$30,$E1138)</f>
        <v/>
      </c>
      <c r="M1138" s="35">
        <f>INDEX(M$263:M$279,$F1138)*$D1138*INDEX(M$23:M$30,$E1138)</f>
        <v/>
      </c>
      <c r="N1138" s="35">
        <f>INDEX(N$263:N$279,$F1138)*$D1138*INDEX(N$23:N$30,$E1138)</f>
        <v/>
      </c>
      <c r="O1138" s="35">
        <f>INDEX(O$263:O$279,$F1138)*$D1138*INDEX(O$23:O$30,$E1138)</f>
        <v/>
      </c>
      <c r="P1138" s="35">
        <f>INDEX(P$263:P$279,$F1138)*$D1138*INDEX(P$23:P$30,$E1138)</f>
        <v/>
      </c>
      <c r="Q1138" s="35">
        <f>INDEX(Q$263:Q$279,$F1138)*$D1138*INDEX(Q$23:Q$30,$E1138)</f>
        <v/>
      </c>
      <c r="R1138" s="35">
        <f>INDEX(R$263:R$279,$F1138)*$D1138*INDEX(R$23:R$30,$E1138)</f>
        <v/>
      </c>
      <c r="S1138" s="35">
        <f>INDEX(S$263:S$279,$F1138)*$D1138*INDEX(S$23:S$30,$E1138)</f>
        <v/>
      </c>
      <c r="T1138" s="35">
        <f>INDEX(T$263:T$279,$F1138)*$D1138*INDEX(T$23:T$30,$E1138)</f>
        <v/>
      </c>
      <c r="U1138" s="35">
        <f>INDEX(U$263:U$279,$F1138)*$D1138*INDEX(U$23:U$30,$E1138)</f>
        <v/>
      </c>
      <c r="V1138" s="35">
        <f>INDEX(V$263:V$279,$F1138)*$D1138*INDEX(V$23:V$30,$E1138)</f>
        <v/>
      </c>
      <c r="W1138" s="35">
        <f>INDEX(W$263:W$279,$F1138)*$D1138*INDEX(W$23:W$30,$E1138)</f>
        <v/>
      </c>
      <c r="X1138" s="35">
        <f>INDEX(X$263:X$279,$F1138)*$D1138*INDEX(X$23:X$30,$E1138)</f>
        <v/>
      </c>
      <c r="Y1138" s="35">
        <f>INDEX(Y$263:Y$279,$F1138)*$D1138*INDEX(Y$23:Y$30,$E1138)</f>
        <v/>
      </c>
      <c r="Z1138" s="35">
        <f>INDEX(Z$263:Z$279,$F1138)*$D1138*INDEX(Z$23:Z$30,$E1138)</f>
        <v/>
      </c>
      <c r="AA1138" s="35">
        <f>INDEX(AA$263:AA$279,$F1138)*$D1138*INDEX(AA$23:AA$30,$E1138)</f>
        <v/>
      </c>
      <c r="AB1138" s="35">
        <f>INDEX(AB$263:AB$279,$F1138)*$D1138*INDEX(AB$23:AB$30,$E1138)</f>
        <v/>
      </c>
      <c r="AC1138" s="35">
        <f>INDEX(AC$263:AC$279,$F1138)*$D1138*INDEX(AC$23:AC$30,$E1138)</f>
        <v/>
      </c>
      <c r="AD1138" s="35">
        <f>INDEX(AD$263:AD$279,$F1138)*$D1138*INDEX(AD$23:AD$30,$E1138)</f>
        <v/>
      </c>
      <c r="AE1138" s="42">
        <f>CARBONTAX(INDEX(AE$263:AE$279,$F1138),$D1138,INDEX(AE$23:AE$30,$E1138))</f>
        <v/>
      </c>
      <c r="AG1138" s="11">
        <f>CodePrefix&amp;$A1138&amp;IF($C1138="","","."&amp;$C1138&amp;"."&amp;$B1138)&amp;INDEX(VarEnd,MATCH($A1138,VarKey,0))&amp;AG$5</f>
        <v/>
      </c>
      <c r="AH1138" s="40">
        <f>INDEX(AH$263:AH$279,$F1138)*$D1138*INDEX(AH$23:AH$30,$E1138)</f>
        <v/>
      </c>
      <c r="AI1138" s="35">
        <f>INDEX(AI$263:AI$279,$F1138)*$D1138*INDEX(AI$23:AI$30,$E1138)</f>
        <v/>
      </c>
      <c r="AJ1138" s="35">
        <f>INDEX(AJ$263:AJ$279,$F1138)*$D1138*INDEX(AJ$23:AJ$30,$E1138)</f>
        <v/>
      </c>
      <c r="AK1138" s="35">
        <f>INDEX(AK$263:AK$279,$F1138)*$D1138*INDEX(AK$23:AK$30,$E1138)</f>
        <v/>
      </c>
      <c r="AL1138" s="35">
        <f>INDEX(AL$263:AL$279,$F1138)*$D1138*INDEX(AL$23:AL$30,$E1138)</f>
        <v/>
      </c>
      <c r="AM1138" s="35">
        <f>INDEX(AM$263:AM$279,$F1138)*$D1138*INDEX(AM$23:AM$30,$E1138)</f>
        <v/>
      </c>
      <c r="AN1138" s="35">
        <f>INDEX(AN$263:AN$279,$F1138)*$D1138*INDEX(AN$23:AN$30,$E1138)</f>
        <v/>
      </c>
      <c r="AO1138" s="35">
        <f>INDEX(AO$263:AO$279,$F1138)*$D1138*INDEX(AO$23:AO$30,$E1138)</f>
        <v/>
      </c>
      <c r="AP1138" s="35">
        <f>INDEX(AP$263:AP$279,$F1138)*$D1138*INDEX(AP$23:AP$30,$E1138)</f>
        <v/>
      </c>
      <c r="AQ1138" s="35">
        <f>INDEX(AQ$263:AQ$279,$F1138)*$D1138*INDEX(AQ$23:AQ$30,$E1138)</f>
        <v/>
      </c>
      <c r="AR1138" s="35">
        <f>INDEX(AR$263:AR$279,$F1138)*$D1138*INDEX(AR$23:AR$30,$E1138)</f>
        <v/>
      </c>
      <c r="AS1138" s="35">
        <f>INDEX(AS$263:AS$279,$F1138)*$D1138*INDEX(AS$23:AS$30,$E1138)</f>
        <v/>
      </c>
      <c r="AT1138" s="35">
        <f>INDEX(AT$263:AT$279,$F1138)*$D1138*INDEX(AT$23:AT$30,$E1138)</f>
        <v/>
      </c>
      <c r="AU1138" s="35">
        <f>INDEX(AU$263:AU$279,$F1138)*$D1138*INDEX(AU$23:AU$30,$E1138)</f>
        <v/>
      </c>
      <c r="AV1138" s="35">
        <f>INDEX(AV$263:AV$279,$F1138)*$D1138*INDEX(AV$23:AV$30,$E1138)</f>
        <v/>
      </c>
      <c r="AW1138" s="35">
        <f>INDEX(AW$263:AW$279,$F1138)*$D1138*INDEX(AW$23:AW$30,$E1138)</f>
        <v/>
      </c>
      <c r="AX1138" s="35">
        <f>INDEX(AX$263:AX$279,$F1138)*$D1138*INDEX(AX$23:AX$30,$E1138)</f>
        <v/>
      </c>
      <c r="AY1138" s="35">
        <f>INDEX(AY$263:AY$279,$F1138)*$D1138*INDEX(AY$23:AY$30,$E1138)</f>
        <v/>
      </c>
      <c r="AZ1138" s="35">
        <f>INDEX(AZ$263:AZ$279,$F1138)*$D1138*INDEX(AZ$23:AZ$30,$E1138)</f>
        <v/>
      </c>
      <c r="BA1138" s="42">
        <f>CARBONTAX(INDEX(BA$263:BA$279,$F1138),$D1138,INDEX(BA$23:BA$30,$E1138))</f>
        <v/>
      </c>
    </row>
    <row r="1139" hidden="1" outlineLevel="2">
      <c r="A1139" s="14" t="inlineStr">
        <is>
          <t>ctxnew</t>
        </is>
      </c>
      <c r="B1139" s="14" t="inlineStr">
        <is>
          <t>lpg</t>
        </is>
      </c>
      <c r="C1139" s="14" t="inlineStr">
        <is>
          <t>ral</t>
        </is>
      </c>
      <c r="D1139" s="35">
        <f>INDEX(Inputs!$W$5:$W$132,MATCH($B1139&amp;"|"&amp;$C1139,Inputs!$A$5:$A$132,0))</f>
        <v/>
      </c>
      <c r="E1139" s="35">
        <f>INDEX(Inputs!$L$5:$L$132,MATCH($B1139&amp;"|"&amp;$C1139,Inputs!$A$5:$A$132,0))</f>
        <v/>
      </c>
      <c r="F1139" s="35">
        <f>INDEX(Inputs!$M$5:$M$132,MATCH($B1139&amp;"|"&amp;$C1139,Inputs!$A$5:$A$132,0))</f>
        <v/>
      </c>
      <c r="G1139" s="39" t="n"/>
      <c r="H1139" s="14">
        <f>INDEX(VarLab,MATCH($A1139,VarKey,0))&amp;INDEX(MemLab,MATCH($C1139&amp;"|"&amp;$B1139,MemKey,0))</f>
        <v/>
      </c>
      <c r="I1139" s="14">
        <f>INDEX(VarUnit,MATCH($A1139,VarKey,0))</f>
        <v/>
      </c>
      <c r="J1139" s="14">
        <f>INDEX(VarSrc,MATCH($A1139,VarKey,0))</f>
        <v/>
      </c>
      <c r="K1139" s="11">
        <f>CodePrefix&amp;$A1139&amp;IF($C1139="","","."&amp;$C1139&amp;"."&amp;$B1139)&amp;INDEX(VarEnd,MATCH($A1139,VarKey,0))&amp;K$5</f>
        <v/>
      </c>
      <c r="L1139" s="40">
        <f>INDEX(L$263:L$279,$F1139)*$D1139*INDEX(L$23:L$30,$E1139)</f>
        <v/>
      </c>
      <c r="M1139" s="35">
        <f>INDEX(M$263:M$279,$F1139)*$D1139*INDEX(M$23:M$30,$E1139)</f>
        <v/>
      </c>
      <c r="N1139" s="35">
        <f>INDEX(N$263:N$279,$F1139)*$D1139*INDEX(N$23:N$30,$E1139)</f>
        <v/>
      </c>
      <c r="O1139" s="35">
        <f>INDEX(O$263:O$279,$F1139)*$D1139*INDEX(O$23:O$30,$E1139)</f>
        <v/>
      </c>
      <c r="P1139" s="35">
        <f>INDEX(P$263:P$279,$F1139)*$D1139*INDEX(P$23:P$30,$E1139)</f>
        <v/>
      </c>
      <c r="Q1139" s="35">
        <f>INDEX(Q$263:Q$279,$F1139)*$D1139*INDEX(Q$23:Q$30,$E1139)</f>
        <v/>
      </c>
      <c r="R1139" s="35">
        <f>INDEX(R$263:R$279,$F1139)*$D1139*INDEX(R$23:R$30,$E1139)</f>
        <v/>
      </c>
      <c r="S1139" s="35">
        <f>INDEX(S$263:S$279,$F1139)*$D1139*INDEX(S$23:S$30,$E1139)</f>
        <v/>
      </c>
      <c r="T1139" s="35">
        <f>INDEX(T$263:T$279,$F1139)*$D1139*INDEX(T$23:T$30,$E1139)</f>
        <v/>
      </c>
      <c r="U1139" s="35">
        <f>INDEX(U$263:U$279,$F1139)*$D1139*INDEX(U$23:U$30,$E1139)</f>
        <v/>
      </c>
      <c r="V1139" s="35">
        <f>INDEX(V$263:V$279,$F1139)*$D1139*INDEX(V$23:V$30,$E1139)</f>
        <v/>
      </c>
      <c r="W1139" s="35">
        <f>INDEX(W$263:W$279,$F1139)*$D1139*INDEX(W$23:W$30,$E1139)</f>
        <v/>
      </c>
      <c r="X1139" s="35">
        <f>INDEX(X$263:X$279,$F1139)*$D1139*INDEX(X$23:X$30,$E1139)</f>
        <v/>
      </c>
      <c r="Y1139" s="35">
        <f>INDEX(Y$263:Y$279,$F1139)*$D1139*INDEX(Y$23:Y$30,$E1139)</f>
        <v/>
      </c>
      <c r="Z1139" s="35">
        <f>INDEX(Z$263:Z$279,$F1139)*$D1139*INDEX(Z$23:Z$30,$E1139)</f>
        <v/>
      </c>
      <c r="AA1139" s="35">
        <f>INDEX(AA$263:AA$279,$F1139)*$D1139*INDEX(AA$23:AA$30,$E1139)</f>
        <v/>
      </c>
      <c r="AB1139" s="35">
        <f>INDEX(AB$263:AB$279,$F1139)*$D1139*INDEX(AB$23:AB$30,$E1139)</f>
        <v/>
      </c>
      <c r="AC1139" s="35">
        <f>INDEX(AC$263:AC$279,$F1139)*$D1139*INDEX(AC$23:AC$30,$E1139)</f>
        <v/>
      </c>
      <c r="AD1139" s="35">
        <f>INDEX(AD$263:AD$279,$F1139)*$D1139*INDEX(AD$23:AD$30,$E1139)</f>
        <v/>
      </c>
      <c r="AE1139" s="42">
        <f>CARBONTAX(INDEX(AE$263:AE$279,$F1139),$D1139,INDEX(AE$23:AE$30,$E1139))</f>
        <v/>
      </c>
      <c r="AG1139" s="11">
        <f>CodePrefix&amp;$A1139&amp;IF($C1139="","","."&amp;$C1139&amp;"."&amp;$B1139)&amp;INDEX(VarEnd,MATCH($A1139,VarKey,0))&amp;AG$5</f>
        <v/>
      </c>
      <c r="AH1139" s="40">
        <f>INDEX(AH$263:AH$279,$F1139)*$D1139*INDEX(AH$23:AH$30,$E1139)</f>
        <v/>
      </c>
      <c r="AI1139" s="35">
        <f>INDEX(AI$263:AI$279,$F1139)*$D1139*INDEX(AI$23:AI$30,$E1139)</f>
        <v/>
      </c>
      <c r="AJ1139" s="35">
        <f>INDEX(AJ$263:AJ$279,$F1139)*$D1139*INDEX(AJ$23:AJ$30,$E1139)</f>
        <v/>
      </c>
      <c r="AK1139" s="35">
        <f>INDEX(AK$263:AK$279,$F1139)*$D1139*INDEX(AK$23:AK$30,$E1139)</f>
        <v/>
      </c>
      <c r="AL1139" s="35">
        <f>INDEX(AL$263:AL$279,$F1139)*$D1139*INDEX(AL$23:AL$30,$E1139)</f>
        <v/>
      </c>
      <c r="AM1139" s="35">
        <f>INDEX(AM$263:AM$279,$F1139)*$D1139*INDEX(AM$23:AM$30,$E1139)</f>
        <v/>
      </c>
      <c r="AN1139" s="35">
        <f>INDEX(AN$263:AN$279,$F1139)*$D1139*INDEX(AN$23:AN$30,$E1139)</f>
        <v/>
      </c>
      <c r="AO1139" s="35">
        <f>INDEX(AO$263:AO$279,$F1139)*$D1139*INDEX(AO$23:AO$30,$E1139)</f>
        <v/>
      </c>
      <c r="AP1139" s="35">
        <f>INDEX(AP$263:AP$279,$F1139)*$D1139*INDEX(AP$23:AP$30,$E1139)</f>
        <v/>
      </c>
      <c r="AQ1139" s="35">
        <f>INDEX(AQ$263:AQ$279,$F1139)*$D1139*INDEX(AQ$23:AQ$30,$E1139)</f>
        <v/>
      </c>
      <c r="AR1139" s="35">
        <f>INDEX(AR$263:AR$279,$F1139)*$D1139*INDEX(AR$23:AR$30,$E1139)</f>
        <v/>
      </c>
      <c r="AS1139" s="35">
        <f>INDEX(AS$263:AS$279,$F1139)*$D1139*INDEX(AS$23:AS$30,$E1139)</f>
        <v/>
      </c>
      <c r="AT1139" s="35">
        <f>INDEX(AT$263:AT$279,$F1139)*$D1139*INDEX(AT$23:AT$30,$E1139)</f>
        <v/>
      </c>
      <c r="AU1139" s="35">
        <f>INDEX(AU$263:AU$279,$F1139)*$D1139*INDEX(AU$23:AU$30,$E1139)</f>
        <v/>
      </c>
      <c r="AV1139" s="35">
        <f>INDEX(AV$263:AV$279,$F1139)*$D1139*INDEX(AV$23:AV$30,$E1139)</f>
        <v/>
      </c>
      <c r="AW1139" s="35">
        <f>INDEX(AW$263:AW$279,$F1139)*$D1139*INDEX(AW$23:AW$30,$E1139)</f>
        <v/>
      </c>
      <c r="AX1139" s="35">
        <f>INDEX(AX$263:AX$279,$F1139)*$D1139*INDEX(AX$23:AX$30,$E1139)</f>
        <v/>
      </c>
      <c r="AY1139" s="35">
        <f>INDEX(AY$263:AY$279,$F1139)*$D1139*INDEX(AY$23:AY$30,$E1139)</f>
        <v/>
      </c>
      <c r="AZ1139" s="35">
        <f>INDEX(AZ$263:AZ$279,$F1139)*$D1139*INDEX(AZ$23:AZ$30,$E1139)</f>
        <v/>
      </c>
      <c r="BA1139" s="42">
        <f>CARBONTAX(INDEX(BA$263:BA$279,$F1139),$D1139,INDEX(BA$23:BA$30,$E1139))</f>
        <v/>
      </c>
    </row>
    <row r="1140" hidden="1" outlineLevel="2">
      <c r="A1140" s="14" t="inlineStr">
        <is>
          <t>ctxnew</t>
        </is>
      </c>
      <c r="B1140" s="14" t="inlineStr">
        <is>
          <t>ker</t>
        </is>
      </c>
      <c r="C1140" s="14" t="inlineStr">
        <is>
          <t>ral</t>
        </is>
      </c>
      <c r="D1140" s="35">
        <f>INDEX(Inputs!$W$5:$W$132,MATCH($B1140&amp;"|"&amp;$C1140,Inputs!$A$5:$A$132,0))</f>
        <v/>
      </c>
      <c r="E1140" s="35">
        <f>INDEX(Inputs!$L$5:$L$132,MATCH($B1140&amp;"|"&amp;$C1140,Inputs!$A$5:$A$132,0))</f>
        <v/>
      </c>
      <c r="F1140" s="35">
        <f>INDEX(Inputs!$M$5:$M$132,MATCH($B1140&amp;"|"&amp;$C1140,Inputs!$A$5:$A$132,0))</f>
        <v/>
      </c>
      <c r="G1140" s="39" t="n"/>
      <c r="H1140" s="14">
        <f>INDEX(VarLab,MATCH($A1140,VarKey,0))&amp;INDEX(MemLab,MATCH($C1140&amp;"|"&amp;$B1140,MemKey,0))</f>
        <v/>
      </c>
      <c r="I1140" s="14">
        <f>INDEX(VarUnit,MATCH($A1140,VarKey,0))</f>
        <v/>
      </c>
      <c r="J1140" s="14">
        <f>INDEX(VarSrc,MATCH($A1140,VarKey,0))</f>
        <v/>
      </c>
      <c r="K1140" s="11">
        <f>CodePrefix&amp;$A1140&amp;IF($C1140="","","."&amp;$C1140&amp;"."&amp;$B1140)&amp;INDEX(VarEnd,MATCH($A1140,VarKey,0))&amp;K$5</f>
        <v/>
      </c>
      <c r="L1140" s="40">
        <f>INDEX(L$263:L$279,$F1140)*$D1140*INDEX(L$23:L$30,$E1140)</f>
        <v/>
      </c>
      <c r="M1140" s="35">
        <f>INDEX(M$263:M$279,$F1140)*$D1140*INDEX(M$23:M$30,$E1140)</f>
        <v/>
      </c>
      <c r="N1140" s="35">
        <f>INDEX(N$263:N$279,$F1140)*$D1140*INDEX(N$23:N$30,$E1140)</f>
        <v/>
      </c>
      <c r="O1140" s="35">
        <f>INDEX(O$263:O$279,$F1140)*$D1140*INDEX(O$23:O$30,$E1140)</f>
        <v/>
      </c>
      <c r="P1140" s="35">
        <f>INDEX(P$263:P$279,$F1140)*$D1140*INDEX(P$23:P$30,$E1140)</f>
        <v/>
      </c>
      <c r="Q1140" s="35">
        <f>INDEX(Q$263:Q$279,$F1140)*$D1140*INDEX(Q$23:Q$30,$E1140)</f>
        <v/>
      </c>
      <c r="R1140" s="35">
        <f>INDEX(R$263:R$279,$F1140)*$D1140*INDEX(R$23:R$30,$E1140)</f>
        <v/>
      </c>
      <c r="S1140" s="35">
        <f>INDEX(S$263:S$279,$F1140)*$D1140*INDEX(S$23:S$30,$E1140)</f>
        <v/>
      </c>
      <c r="T1140" s="35">
        <f>INDEX(T$263:T$279,$F1140)*$D1140*INDEX(T$23:T$30,$E1140)</f>
        <v/>
      </c>
      <c r="U1140" s="35">
        <f>INDEX(U$263:U$279,$F1140)*$D1140*INDEX(U$23:U$30,$E1140)</f>
        <v/>
      </c>
      <c r="V1140" s="35">
        <f>INDEX(V$263:V$279,$F1140)*$D1140*INDEX(V$23:V$30,$E1140)</f>
        <v/>
      </c>
      <c r="W1140" s="35">
        <f>INDEX(W$263:W$279,$F1140)*$D1140*INDEX(W$23:W$30,$E1140)</f>
        <v/>
      </c>
      <c r="X1140" s="35">
        <f>INDEX(X$263:X$279,$F1140)*$D1140*INDEX(X$23:X$30,$E1140)</f>
        <v/>
      </c>
      <c r="Y1140" s="35">
        <f>INDEX(Y$263:Y$279,$F1140)*$D1140*INDEX(Y$23:Y$30,$E1140)</f>
        <v/>
      </c>
      <c r="Z1140" s="35">
        <f>INDEX(Z$263:Z$279,$F1140)*$D1140*INDEX(Z$23:Z$30,$E1140)</f>
        <v/>
      </c>
      <c r="AA1140" s="35">
        <f>INDEX(AA$263:AA$279,$F1140)*$D1140*INDEX(AA$23:AA$30,$E1140)</f>
        <v/>
      </c>
      <c r="AB1140" s="35">
        <f>INDEX(AB$263:AB$279,$F1140)*$D1140*INDEX(AB$23:AB$30,$E1140)</f>
        <v/>
      </c>
      <c r="AC1140" s="35">
        <f>INDEX(AC$263:AC$279,$F1140)*$D1140*INDEX(AC$23:AC$30,$E1140)</f>
        <v/>
      </c>
      <c r="AD1140" s="35">
        <f>INDEX(AD$263:AD$279,$F1140)*$D1140*INDEX(AD$23:AD$30,$E1140)</f>
        <v/>
      </c>
      <c r="AE1140" s="42">
        <f>CARBONTAX(INDEX(AE$263:AE$279,$F1140),$D1140,INDEX(AE$23:AE$30,$E1140))</f>
        <v/>
      </c>
      <c r="AG1140" s="11">
        <f>CodePrefix&amp;$A1140&amp;IF($C1140="","","."&amp;$C1140&amp;"."&amp;$B1140)&amp;INDEX(VarEnd,MATCH($A1140,VarKey,0))&amp;AG$5</f>
        <v/>
      </c>
      <c r="AH1140" s="40">
        <f>INDEX(AH$263:AH$279,$F1140)*$D1140*INDEX(AH$23:AH$30,$E1140)</f>
        <v/>
      </c>
      <c r="AI1140" s="35">
        <f>INDEX(AI$263:AI$279,$F1140)*$D1140*INDEX(AI$23:AI$30,$E1140)</f>
        <v/>
      </c>
      <c r="AJ1140" s="35">
        <f>INDEX(AJ$263:AJ$279,$F1140)*$D1140*INDEX(AJ$23:AJ$30,$E1140)</f>
        <v/>
      </c>
      <c r="AK1140" s="35">
        <f>INDEX(AK$263:AK$279,$F1140)*$D1140*INDEX(AK$23:AK$30,$E1140)</f>
        <v/>
      </c>
      <c r="AL1140" s="35">
        <f>INDEX(AL$263:AL$279,$F1140)*$D1140*INDEX(AL$23:AL$30,$E1140)</f>
        <v/>
      </c>
      <c r="AM1140" s="35">
        <f>INDEX(AM$263:AM$279,$F1140)*$D1140*INDEX(AM$23:AM$30,$E1140)</f>
        <v/>
      </c>
      <c r="AN1140" s="35">
        <f>INDEX(AN$263:AN$279,$F1140)*$D1140*INDEX(AN$23:AN$30,$E1140)</f>
        <v/>
      </c>
      <c r="AO1140" s="35">
        <f>INDEX(AO$263:AO$279,$F1140)*$D1140*INDEX(AO$23:AO$30,$E1140)</f>
        <v/>
      </c>
      <c r="AP1140" s="35">
        <f>INDEX(AP$263:AP$279,$F1140)*$D1140*INDEX(AP$23:AP$30,$E1140)</f>
        <v/>
      </c>
      <c r="AQ1140" s="35">
        <f>INDEX(AQ$263:AQ$279,$F1140)*$D1140*INDEX(AQ$23:AQ$30,$E1140)</f>
        <v/>
      </c>
      <c r="AR1140" s="35">
        <f>INDEX(AR$263:AR$279,$F1140)*$D1140*INDEX(AR$23:AR$30,$E1140)</f>
        <v/>
      </c>
      <c r="AS1140" s="35">
        <f>INDEX(AS$263:AS$279,$F1140)*$D1140*INDEX(AS$23:AS$30,$E1140)</f>
        <v/>
      </c>
      <c r="AT1140" s="35">
        <f>INDEX(AT$263:AT$279,$F1140)*$D1140*INDEX(AT$23:AT$30,$E1140)</f>
        <v/>
      </c>
      <c r="AU1140" s="35">
        <f>INDEX(AU$263:AU$279,$F1140)*$D1140*INDEX(AU$23:AU$30,$E1140)</f>
        <v/>
      </c>
      <c r="AV1140" s="35">
        <f>INDEX(AV$263:AV$279,$F1140)*$D1140*INDEX(AV$23:AV$30,$E1140)</f>
        <v/>
      </c>
      <c r="AW1140" s="35">
        <f>INDEX(AW$263:AW$279,$F1140)*$D1140*INDEX(AW$23:AW$30,$E1140)</f>
        <v/>
      </c>
      <c r="AX1140" s="35">
        <f>INDEX(AX$263:AX$279,$F1140)*$D1140*INDEX(AX$23:AX$30,$E1140)</f>
        <v/>
      </c>
      <c r="AY1140" s="35">
        <f>INDEX(AY$263:AY$279,$F1140)*$D1140*INDEX(AY$23:AY$30,$E1140)</f>
        <v/>
      </c>
      <c r="AZ1140" s="35">
        <f>INDEX(AZ$263:AZ$279,$F1140)*$D1140*INDEX(AZ$23:AZ$30,$E1140)</f>
        <v/>
      </c>
      <c r="BA1140" s="42">
        <f>CARBONTAX(INDEX(BA$263:BA$279,$F1140),$D1140,INDEX(BA$23:BA$30,$E1140))</f>
        <v/>
      </c>
    </row>
    <row r="1141" hidden="1" outlineLevel="2">
      <c r="A1141" s="14" t="inlineStr">
        <is>
          <t>ctxnew</t>
        </is>
      </c>
      <c r="B1141" s="14" t="inlineStr">
        <is>
          <t>oop</t>
        </is>
      </c>
      <c r="C1141" s="14" t="inlineStr">
        <is>
          <t>ral</t>
        </is>
      </c>
      <c r="D1141" s="35">
        <f>INDEX(Inputs!$W$5:$W$132,MATCH($B1141&amp;"|"&amp;$C1141,Inputs!$A$5:$A$132,0))</f>
        <v/>
      </c>
      <c r="E1141" s="35">
        <f>INDEX(Inputs!$L$5:$L$132,MATCH($B1141&amp;"|"&amp;$C1141,Inputs!$A$5:$A$132,0))</f>
        <v/>
      </c>
      <c r="F1141" s="35">
        <f>INDEX(Inputs!$M$5:$M$132,MATCH($B1141&amp;"|"&amp;$C1141,Inputs!$A$5:$A$132,0))</f>
        <v/>
      </c>
      <c r="G1141" s="39" t="n"/>
      <c r="H1141" s="14">
        <f>INDEX(VarLab,MATCH($A1141,VarKey,0))&amp;INDEX(MemLab,MATCH($C1141&amp;"|"&amp;$B1141,MemKey,0))</f>
        <v/>
      </c>
      <c r="I1141" s="14">
        <f>INDEX(VarUnit,MATCH($A1141,VarKey,0))</f>
        <v/>
      </c>
      <c r="J1141" s="14">
        <f>INDEX(VarSrc,MATCH($A1141,VarKey,0))</f>
        <v/>
      </c>
      <c r="K1141" s="11">
        <f>CodePrefix&amp;$A1141&amp;IF($C1141="","","."&amp;$C1141&amp;"."&amp;$B1141)&amp;INDEX(VarEnd,MATCH($A1141,VarKey,0))&amp;K$5</f>
        <v/>
      </c>
      <c r="L1141" s="40">
        <f>INDEX(L$263:L$279,$F1141)*$D1141*INDEX(L$23:L$30,$E1141)</f>
        <v/>
      </c>
      <c r="M1141" s="35">
        <f>INDEX(M$263:M$279,$F1141)*$D1141*INDEX(M$23:M$30,$E1141)</f>
        <v/>
      </c>
      <c r="N1141" s="35">
        <f>INDEX(N$263:N$279,$F1141)*$D1141*INDEX(N$23:N$30,$E1141)</f>
        <v/>
      </c>
      <c r="O1141" s="35">
        <f>INDEX(O$263:O$279,$F1141)*$D1141*INDEX(O$23:O$30,$E1141)</f>
        <v/>
      </c>
      <c r="P1141" s="35">
        <f>INDEX(P$263:P$279,$F1141)*$D1141*INDEX(P$23:P$30,$E1141)</f>
        <v/>
      </c>
      <c r="Q1141" s="35">
        <f>INDEX(Q$263:Q$279,$F1141)*$D1141*INDEX(Q$23:Q$30,$E1141)</f>
        <v/>
      </c>
      <c r="R1141" s="35">
        <f>INDEX(R$263:R$279,$F1141)*$D1141*INDEX(R$23:R$30,$E1141)</f>
        <v/>
      </c>
      <c r="S1141" s="35">
        <f>INDEX(S$263:S$279,$F1141)*$D1141*INDEX(S$23:S$30,$E1141)</f>
        <v/>
      </c>
      <c r="T1141" s="35">
        <f>INDEX(T$263:T$279,$F1141)*$D1141*INDEX(T$23:T$30,$E1141)</f>
        <v/>
      </c>
      <c r="U1141" s="35">
        <f>INDEX(U$263:U$279,$F1141)*$D1141*INDEX(U$23:U$30,$E1141)</f>
        <v/>
      </c>
      <c r="V1141" s="35">
        <f>INDEX(V$263:V$279,$F1141)*$D1141*INDEX(V$23:V$30,$E1141)</f>
        <v/>
      </c>
      <c r="W1141" s="35">
        <f>INDEX(W$263:W$279,$F1141)*$D1141*INDEX(W$23:W$30,$E1141)</f>
        <v/>
      </c>
      <c r="X1141" s="35">
        <f>INDEX(X$263:X$279,$F1141)*$D1141*INDEX(X$23:X$30,$E1141)</f>
        <v/>
      </c>
      <c r="Y1141" s="35">
        <f>INDEX(Y$263:Y$279,$F1141)*$D1141*INDEX(Y$23:Y$30,$E1141)</f>
        <v/>
      </c>
      <c r="Z1141" s="35">
        <f>INDEX(Z$263:Z$279,$F1141)*$D1141*INDEX(Z$23:Z$30,$E1141)</f>
        <v/>
      </c>
      <c r="AA1141" s="35">
        <f>INDEX(AA$263:AA$279,$F1141)*$D1141*INDEX(AA$23:AA$30,$E1141)</f>
        <v/>
      </c>
      <c r="AB1141" s="35">
        <f>INDEX(AB$263:AB$279,$F1141)*$D1141*INDEX(AB$23:AB$30,$E1141)</f>
        <v/>
      </c>
      <c r="AC1141" s="35">
        <f>INDEX(AC$263:AC$279,$F1141)*$D1141*INDEX(AC$23:AC$30,$E1141)</f>
        <v/>
      </c>
      <c r="AD1141" s="35">
        <f>INDEX(AD$263:AD$279,$F1141)*$D1141*INDEX(AD$23:AD$30,$E1141)</f>
        <v/>
      </c>
      <c r="AE1141" s="42">
        <f>CARBONTAX(INDEX(AE$263:AE$279,$F1141),$D1141,INDEX(AE$23:AE$30,$E1141))</f>
        <v/>
      </c>
      <c r="AG1141" s="11">
        <f>CodePrefix&amp;$A1141&amp;IF($C1141="","","."&amp;$C1141&amp;"."&amp;$B1141)&amp;INDEX(VarEnd,MATCH($A1141,VarKey,0))&amp;AG$5</f>
        <v/>
      </c>
      <c r="AH1141" s="40">
        <f>INDEX(AH$263:AH$279,$F1141)*$D1141*INDEX(AH$23:AH$30,$E1141)</f>
        <v/>
      </c>
      <c r="AI1141" s="35">
        <f>INDEX(AI$263:AI$279,$F1141)*$D1141*INDEX(AI$23:AI$30,$E1141)</f>
        <v/>
      </c>
      <c r="AJ1141" s="35">
        <f>INDEX(AJ$263:AJ$279,$F1141)*$D1141*INDEX(AJ$23:AJ$30,$E1141)</f>
        <v/>
      </c>
      <c r="AK1141" s="35">
        <f>INDEX(AK$263:AK$279,$F1141)*$D1141*INDEX(AK$23:AK$30,$E1141)</f>
        <v/>
      </c>
      <c r="AL1141" s="35">
        <f>INDEX(AL$263:AL$279,$F1141)*$D1141*INDEX(AL$23:AL$30,$E1141)</f>
        <v/>
      </c>
      <c r="AM1141" s="35">
        <f>INDEX(AM$263:AM$279,$F1141)*$D1141*INDEX(AM$23:AM$30,$E1141)</f>
        <v/>
      </c>
      <c r="AN1141" s="35">
        <f>INDEX(AN$263:AN$279,$F1141)*$D1141*INDEX(AN$23:AN$30,$E1141)</f>
        <v/>
      </c>
      <c r="AO1141" s="35">
        <f>INDEX(AO$263:AO$279,$F1141)*$D1141*INDEX(AO$23:AO$30,$E1141)</f>
        <v/>
      </c>
      <c r="AP1141" s="35">
        <f>INDEX(AP$263:AP$279,$F1141)*$D1141*INDEX(AP$23:AP$30,$E1141)</f>
        <v/>
      </c>
      <c r="AQ1141" s="35">
        <f>INDEX(AQ$263:AQ$279,$F1141)*$D1141*INDEX(AQ$23:AQ$30,$E1141)</f>
        <v/>
      </c>
      <c r="AR1141" s="35">
        <f>INDEX(AR$263:AR$279,$F1141)*$D1141*INDEX(AR$23:AR$30,$E1141)</f>
        <v/>
      </c>
      <c r="AS1141" s="35">
        <f>INDEX(AS$263:AS$279,$F1141)*$D1141*INDEX(AS$23:AS$30,$E1141)</f>
        <v/>
      </c>
      <c r="AT1141" s="35">
        <f>INDEX(AT$263:AT$279,$F1141)*$D1141*INDEX(AT$23:AT$30,$E1141)</f>
        <v/>
      </c>
      <c r="AU1141" s="35">
        <f>INDEX(AU$263:AU$279,$F1141)*$D1141*INDEX(AU$23:AU$30,$E1141)</f>
        <v/>
      </c>
      <c r="AV1141" s="35">
        <f>INDEX(AV$263:AV$279,$F1141)*$D1141*INDEX(AV$23:AV$30,$E1141)</f>
        <v/>
      </c>
      <c r="AW1141" s="35">
        <f>INDEX(AW$263:AW$279,$F1141)*$D1141*INDEX(AW$23:AW$30,$E1141)</f>
        <v/>
      </c>
      <c r="AX1141" s="35">
        <f>INDEX(AX$263:AX$279,$F1141)*$D1141*INDEX(AX$23:AX$30,$E1141)</f>
        <v/>
      </c>
      <c r="AY1141" s="35">
        <f>INDEX(AY$263:AY$279,$F1141)*$D1141*INDEX(AY$23:AY$30,$E1141)</f>
        <v/>
      </c>
      <c r="AZ1141" s="35">
        <f>INDEX(AZ$263:AZ$279,$F1141)*$D1141*INDEX(AZ$23:AZ$30,$E1141)</f>
        <v/>
      </c>
      <c r="BA1141" s="42">
        <f>CARBONTAX(INDEX(BA$263:BA$279,$F1141),$D1141,INDEX(BA$23:BA$30,$E1141))</f>
        <v/>
      </c>
    </row>
    <row r="1142" hidden="1" outlineLevel="2">
      <c r="A1142" s="14" t="inlineStr">
        <is>
          <t>ctxnew</t>
        </is>
      </c>
      <c r="B1142" s="14" t="inlineStr">
        <is>
          <t>bio</t>
        </is>
      </c>
      <c r="C1142" s="14" t="inlineStr">
        <is>
          <t>ral</t>
        </is>
      </c>
      <c r="D1142" s="35">
        <f>INDEX(Inputs!$W$5:$W$132,MATCH($B1142&amp;"|"&amp;$C1142,Inputs!$A$5:$A$132,0))</f>
        <v/>
      </c>
      <c r="E1142" s="35">
        <f>INDEX(Inputs!$L$5:$L$132,MATCH($B1142&amp;"|"&amp;$C1142,Inputs!$A$5:$A$132,0))</f>
        <v/>
      </c>
      <c r="F1142" s="35">
        <f>INDEX(Inputs!$M$5:$M$132,MATCH($B1142&amp;"|"&amp;$C1142,Inputs!$A$5:$A$132,0))</f>
        <v/>
      </c>
      <c r="G1142" s="39" t="n"/>
      <c r="H1142" s="14">
        <f>INDEX(VarLab,MATCH($A1142,VarKey,0))&amp;INDEX(MemLab,MATCH($C1142&amp;"|"&amp;$B1142,MemKey,0))</f>
        <v/>
      </c>
      <c r="I1142" s="14">
        <f>INDEX(VarUnit,MATCH($A1142,VarKey,0))</f>
        <v/>
      </c>
      <c r="J1142" s="14">
        <f>INDEX(VarSrc,MATCH($A1142,VarKey,0))</f>
        <v/>
      </c>
      <c r="K1142" s="11">
        <f>CodePrefix&amp;$A1142&amp;IF($C1142="","","."&amp;$C1142&amp;"."&amp;$B1142)&amp;INDEX(VarEnd,MATCH($A1142,VarKey,0))&amp;K$5</f>
        <v/>
      </c>
      <c r="L1142" s="40">
        <f>INDEX(L$263:L$279,$F1142)*$D1142*INDEX(L$23:L$30,$E1142)</f>
        <v/>
      </c>
      <c r="M1142" s="35">
        <f>INDEX(M$263:M$279,$F1142)*$D1142*INDEX(M$23:M$30,$E1142)</f>
        <v/>
      </c>
      <c r="N1142" s="35">
        <f>INDEX(N$263:N$279,$F1142)*$D1142*INDEX(N$23:N$30,$E1142)</f>
        <v/>
      </c>
      <c r="O1142" s="35">
        <f>INDEX(O$263:O$279,$F1142)*$D1142*INDEX(O$23:O$30,$E1142)</f>
        <v/>
      </c>
      <c r="P1142" s="35">
        <f>INDEX(P$263:P$279,$F1142)*$D1142*INDEX(P$23:P$30,$E1142)</f>
        <v/>
      </c>
      <c r="Q1142" s="35">
        <f>INDEX(Q$263:Q$279,$F1142)*$D1142*INDEX(Q$23:Q$30,$E1142)</f>
        <v/>
      </c>
      <c r="R1142" s="35">
        <f>INDEX(R$263:R$279,$F1142)*$D1142*INDEX(R$23:R$30,$E1142)</f>
        <v/>
      </c>
      <c r="S1142" s="35">
        <f>INDEX(S$263:S$279,$F1142)*$D1142*INDEX(S$23:S$30,$E1142)</f>
        <v/>
      </c>
      <c r="T1142" s="35">
        <f>INDEX(T$263:T$279,$F1142)*$D1142*INDEX(T$23:T$30,$E1142)</f>
        <v/>
      </c>
      <c r="U1142" s="35">
        <f>INDEX(U$263:U$279,$F1142)*$D1142*INDEX(U$23:U$30,$E1142)</f>
        <v/>
      </c>
      <c r="V1142" s="35">
        <f>INDEX(V$263:V$279,$F1142)*$D1142*INDEX(V$23:V$30,$E1142)</f>
        <v/>
      </c>
      <c r="W1142" s="35">
        <f>INDEX(W$263:W$279,$F1142)*$D1142*INDEX(W$23:W$30,$E1142)</f>
        <v/>
      </c>
      <c r="X1142" s="35">
        <f>INDEX(X$263:X$279,$F1142)*$D1142*INDEX(X$23:X$30,$E1142)</f>
        <v/>
      </c>
      <c r="Y1142" s="35">
        <f>INDEX(Y$263:Y$279,$F1142)*$D1142*INDEX(Y$23:Y$30,$E1142)</f>
        <v/>
      </c>
      <c r="Z1142" s="35">
        <f>INDEX(Z$263:Z$279,$F1142)*$D1142*INDEX(Z$23:Z$30,$E1142)</f>
        <v/>
      </c>
      <c r="AA1142" s="35">
        <f>INDEX(AA$263:AA$279,$F1142)*$D1142*INDEX(AA$23:AA$30,$E1142)</f>
        <v/>
      </c>
      <c r="AB1142" s="35">
        <f>INDEX(AB$263:AB$279,$F1142)*$D1142*INDEX(AB$23:AB$30,$E1142)</f>
        <v/>
      </c>
      <c r="AC1142" s="35">
        <f>INDEX(AC$263:AC$279,$F1142)*$D1142*INDEX(AC$23:AC$30,$E1142)</f>
        <v/>
      </c>
      <c r="AD1142" s="35">
        <f>INDEX(AD$263:AD$279,$F1142)*$D1142*INDEX(AD$23:AD$30,$E1142)</f>
        <v/>
      </c>
      <c r="AE1142" s="42">
        <f>CARBONTAX(INDEX(AE$263:AE$279,$F1142),$D1142,INDEX(AE$23:AE$30,$E1142))</f>
        <v/>
      </c>
      <c r="AG1142" s="11">
        <f>CodePrefix&amp;$A1142&amp;IF($C1142="","","."&amp;$C1142&amp;"."&amp;$B1142)&amp;INDEX(VarEnd,MATCH($A1142,VarKey,0))&amp;AG$5</f>
        <v/>
      </c>
      <c r="AH1142" s="40">
        <f>INDEX(AH$263:AH$279,$F1142)*$D1142*INDEX(AH$23:AH$30,$E1142)</f>
        <v/>
      </c>
      <c r="AI1142" s="35">
        <f>INDEX(AI$263:AI$279,$F1142)*$D1142*INDEX(AI$23:AI$30,$E1142)</f>
        <v/>
      </c>
      <c r="AJ1142" s="35">
        <f>INDEX(AJ$263:AJ$279,$F1142)*$D1142*INDEX(AJ$23:AJ$30,$E1142)</f>
        <v/>
      </c>
      <c r="AK1142" s="35">
        <f>INDEX(AK$263:AK$279,$F1142)*$D1142*INDEX(AK$23:AK$30,$E1142)</f>
        <v/>
      </c>
      <c r="AL1142" s="35">
        <f>INDEX(AL$263:AL$279,$F1142)*$D1142*INDEX(AL$23:AL$30,$E1142)</f>
        <v/>
      </c>
      <c r="AM1142" s="35">
        <f>INDEX(AM$263:AM$279,$F1142)*$D1142*INDEX(AM$23:AM$30,$E1142)</f>
        <v/>
      </c>
      <c r="AN1142" s="35">
        <f>INDEX(AN$263:AN$279,$F1142)*$D1142*INDEX(AN$23:AN$30,$E1142)</f>
        <v/>
      </c>
      <c r="AO1142" s="35">
        <f>INDEX(AO$263:AO$279,$F1142)*$D1142*INDEX(AO$23:AO$30,$E1142)</f>
        <v/>
      </c>
      <c r="AP1142" s="35">
        <f>INDEX(AP$263:AP$279,$F1142)*$D1142*INDEX(AP$23:AP$30,$E1142)</f>
        <v/>
      </c>
      <c r="AQ1142" s="35">
        <f>INDEX(AQ$263:AQ$279,$F1142)*$D1142*INDEX(AQ$23:AQ$30,$E1142)</f>
        <v/>
      </c>
      <c r="AR1142" s="35">
        <f>INDEX(AR$263:AR$279,$F1142)*$D1142*INDEX(AR$23:AR$30,$E1142)</f>
        <v/>
      </c>
      <c r="AS1142" s="35">
        <f>INDEX(AS$263:AS$279,$F1142)*$D1142*INDEX(AS$23:AS$30,$E1142)</f>
        <v/>
      </c>
      <c r="AT1142" s="35">
        <f>INDEX(AT$263:AT$279,$F1142)*$D1142*INDEX(AT$23:AT$30,$E1142)</f>
        <v/>
      </c>
      <c r="AU1142" s="35">
        <f>INDEX(AU$263:AU$279,$F1142)*$D1142*INDEX(AU$23:AU$30,$E1142)</f>
        <v/>
      </c>
      <c r="AV1142" s="35">
        <f>INDEX(AV$263:AV$279,$F1142)*$D1142*INDEX(AV$23:AV$30,$E1142)</f>
        <v/>
      </c>
      <c r="AW1142" s="35">
        <f>INDEX(AW$263:AW$279,$F1142)*$D1142*INDEX(AW$23:AW$30,$E1142)</f>
        <v/>
      </c>
      <c r="AX1142" s="35">
        <f>INDEX(AX$263:AX$279,$F1142)*$D1142*INDEX(AX$23:AX$30,$E1142)</f>
        <v/>
      </c>
      <c r="AY1142" s="35">
        <f>INDEX(AY$263:AY$279,$F1142)*$D1142*INDEX(AY$23:AY$30,$E1142)</f>
        <v/>
      </c>
      <c r="AZ1142" s="35">
        <f>INDEX(AZ$263:AZ$279,$F1142)*$D1142*INDEX(AZ$23:AZ$30,$E1142)</f>
        <v/>
      </c>
      <c r="BA1142" s="42">
        <f>CARBONTAX(INDEX(BA$263:BA$279,$F1142),$D1142,INDEX(BA$23:BA$30,$E1142))</f>
        <v/>
      </c>
    </row>
    <row r="1143" hidden="1" outlineLevel="2"/>
    <row r="1144" hidden="1" outlineLevel="2">
      <c r="A1144" s="14" t="inlineStr">
        <is>
          <t>ets</t>
        </is>
      </c>
      <c r="B1144" s="14" t="inlineStr">
        <is>
          <t>coa</t>
        </is>
      </c>
      <c r="C1144" s="14" t="inlineStr">
        <is>
          <t>ral</t>
        </is>
      </c>
      <c r="D1144" s="35">
        <f>INDEX(Inputs!$W$5:$W$132,MATCH($B1144&amp;"|"&amp;$C1144,Inputs!$A$5:$A$132,0))</f>
        <v/>
      </c>
      <c r="E1144" s="35">
        <f>INDEX(Inputs!$M$5:$M$132,MATCH($B1144&amp;"|"&amp;$C1144,Inputs!$A$5:$A$132,0))</f>
        <v/>
      </c>
      <c r="F1144" s="39" t="n"/>
      <c r="G1144" s="39" t="n"/>
      <c r="H1144" s="14">
        <f>INDEX(VarLab,MATCH($A1144,VarKey,0))&amp;INDEX(MemLab,MATCH($C1144&amp;"|"&amp;$B1144,MemKey,0))</f>
        <v/>
      </c>
      <c r="I1144" s="14">
        <f>INDEX(VarUnit,MATCH($A1144,VarKey,0))</f>
        <v/>
      </c>
      <c r="J1144" s="14">
        <f>INDEX(VarSrc,MATCH($A1144,VarKey,0))</f>
        <v/>
      </c>
      <c r="K1144" s="11">
        <f>CodePrefix&amp;$A1144&amp;IF($C1144="","","."&amp;$C1144&amp;"."&amp;$B1144)&amp;INDEX(VarEnd,MATCH($A1144,VarKey,0))&amp;K$5</f>
        <v/>
      </c>
      <c r="L1144" s="40">
        <f>INDEX(L$280:L$296,$E1144)*$D1144</f>
        <v/>
      </c>
      <c r="M1144" s="35">
        <f>INDEX(M$280:M$296,$E1144)*$D1144</f>
        <v/>
      </c>
      <c r="N1144" s="35">
        <f>INDEX(N$280:N$296,$E1144)*$D1144</f>
        <v/>
      </c>
      <c r="O1144" s="35">
        <f>INDEX(O$280:O$296,$E1144)*$D1144</f>
        <v/>
      </c>
      <c r="P1144" s="35">
        <f>INDEX(P$280:P$296,$E1144)*$D1144</f>
        <v/>
      </c>
      <c r="Q1144" s="35">
        <f>INDEX(Q$280:Q$296,$E1144)*$D1144</f>
        <v/>
      </c>
      <c r="R1144" s="35">
        <f>INDEX(R$280:R$296,$E1144)*$D1144</f>
        <v/>
      </c>
      <c r="S1144" s="35">
        <f>INDEX(S$280:S$296,$E1144)*$D1144</f>
        <v/>
      </c>
      <c r="T1144" s="35">
        <f>INDEX(T$280:T$296,$E1144)*$D1144</f>
        <v/>
      </c>
      <c r="U1144" s="35">
        <f>INDEX(U$280:U$296,$E1144)*$D1144</f>
        <v/>
      </c>
      <c r="V1144" s="35">
        <f>INDEX(V$280:V$296,$E1144)*$D1144</f>
        <v/>
      </c>
      <c r="W1144" s="35">
        <f>INDEX(W$280:W$296,$E1144)*$D1144</f>
        <v/>
      </c>
      <c r="X1144" s="35">
        <f>INDEX(X$280:X$296,$E1144)*$D1144</f>
        <v/>
      </c>
      <c r="Y1144" s="35">
        <f>INDEX(Y$280:Y$296,$E1144)*$D1144</f>
        <v/>
      </c>
      <c r="Z1144" s="35">
        <f>INDEX(Z$280:Z$296,$E1144)*$D1144</f>
        <v/>
      </c>
      <c r="AA1144" s="35">
        <f>INDEX(AA$280:AA$296,$E1144)*$D1144</f>
        <v/>
      </c>
      <c r="AB1144" s="35">
        <f>INDEX(AB$280:AB$296,$E1144)*$D1144</f>
        <v/>
      </c>
      <c r="AC1144" s="35">
        <f>INDEX(AC$280:AC$296,$E1144)*$D1144</f>
        <v/>
      </c>
      <c r="AD1144" s="35">
        <f>INDEX(AD$280:AD$296,$E1144)*$D1144</f>
        <v/>
      </c>
      <c r="AE1144" s="42">
        <f>ETSCOST(INDEX(AE$280:AE$296,$E1144),$D1144)</f>
        <v/>
      </c>
      <c r="AG1144" s="11">
        <f>CodePrefix&amp;$A1144&amp;IF($C1144="","","."&amp;$C1144&amp;"."&amp;$B1144)&amp;INDEX(VarEnd,MATCH($A1144,VarKey,0))&amp;AG$5</f>
        <v/>
      </c>
      <c r="AH1144" s="40">
        <f>INDEX(AH$280:AH$296,$E1144)*$D1144</f>
        <v/>
      </c>
      <c r="AI1144" s="35">
        <f>INDEX(AI$280:AI$296,$E1144)*$D1144</f>
        <v/>
      </c>
      <c r="AJ1144" s="35">
        <f>INDEX(AJ$280:AJ$296,$E1144)*$D1144</f>
        <v/>
      </c>
      <c r="AK1144" s="35">
        <f>INDEX(AK$280:AK$296,$E1144)*$D1144</f>
        <v/>
      </c>
      <c r="AL1144" s="35">
        <f>INDEX(AL$280:AL$296,$E1144)*$D1144</f>
        <v/>
      </c>
      <c r="AM1144" s="35">
        <f>INDEX(AM$280:AM$296,$E1144)*$D1144</f>
        <v/>
      </c>
      <c r="AN1144" s="35">
        <f>INDEX(AN$280:AN$296,$E1144)*$D1144</f>
        <v/>
      </c>
      <c r="AO1144" s="35">
        <f>INDEX(AO$280:AO$296,$E1144)*$D1144</f>
        <v/>
      </c>
      <c r="AP1144" s="35">
        <f>INDEX(AP$280:AP$296,$E1144)*$D1144</f>
        <v/>
      </c>
      <c r="AQ1144" s="35">
        <f>INDEX(AQ$280:AQ$296,$E1144)*$D1144</f>
        <v/>
      </c>
      <c r="AR1144" s="35">
        <f>INDEX(AR$280:AR$296,$E1144)*$D1144</f>
        <v/>
      </c>
      <c r="AS1144" s="35">
        <f>INDEX(AS$280:AS$296,$E1144)*$D1144</f>
        <v/>
      </c>
      <c r="AT1144" s="35">
        <f>INDEX(AT$280:AT$296,$E1144)*$D1144</f>
        <v/>
      </c>
      <c r="AU1144" s="35">
        <f>INDEX(AU$280:AU$296,$E1144)*$D1144</f>
        <v/>
      </c>
      <c r="AV1144" s="35">
        <f>INDEX(AV$280:AV$296,$E1144)*$D1144</f>
        <v/>
      </c>
      <c r="AW1144" s="35">
        <f>INDEX(AW$280:AW$296,$E1144)*$D1144</f>
        <v/>
      </c>
      <c r="AX1144" s="35">
        <f>INDEX(AX$280:AX$296,$E1144)*$D1144</f>
        <v/>
      </c>
      <c r="AY1144" s="35">
        <f>INDEX(AY$280:AY$296,$E1144)*$D1144</f>
        <v/>
      </c>
      <c r="AZ1144" s="35">
        <f>INDEX(AZ$280:AZ$296,$E1144)*$D1144</f>
        <v/>
      </c>
      <c r="BA1144" s="42">
        <f>ETSCOST(INDEX(BA$280:BA$296,$E1144),$D1144)</f>
        <v/>
      </c>
    </row>
    <row r="1145" hidden="1" outlineLevel="2">
      <c r="A1145" s="14" t="inlineStr">
        <is>
          <t>ets</t>
        </is>
      </c>
      <c r="B1145" s="14" t="inlineStr">
        <is>
          <t>nga</t>
        </is>
      </c>
      <c r="C1145" s="14" t="inlineStr">
        <is>
          <t>ral</t>
        </is>
      </c>
      <c r="D1145" s="35">
        <f>INDEX(Inputs!$W$5:$W$132,MATCH($B1145&amp;"|"&amp;$C1145,Inputs!$A$5:$A$132,0))</f>
        <v/>
      </c>
      <c r="E1145" s="35">
        <f>INDEX(Inputs!$M$5:$M$132,MATCH($B1145&amp;"|"&amp;$C1145,Inputs!$A$5:$A$132,0))</f>
        <v/>
      </c>
      <c r="F1145" s="39" t="n"/>
      <c r="G1145" s="39" t="n"/>
      <c r="H1145" s="14">
        <f>INDEX(VarLab,MATCH($A1145,VarKey,0))&amp;INDEX(MemLab,MATCH($C1145&amp;"|"&amp;$B1145,MemKey,0))</f>
        <v/>
      </c>
      <c r="I1145" s="14">
        <f>INDEX(VarUnit,MATCH($A1145,VarKey,0))</f>
        <v/>
      </c>
      <c r="J1145" s="14">
        <f>INDEX(VarSrc,MATCH($A1145,VarKey,0))</f>
        <v/>
      </c>
      <c r="K1145" s="11">
        <f>CodePrefix&amp;$A1145&amp;IF($C1145="","","."&amp;$C1145&amp;"."&amp;$B1145)&amp;INDEX(VarEnd,MATCH($A1145,VarKey,0))&amp;K$5</f>
        <v/>
      </c>
      <c r="L1145" s="40">
        <f>INDEX(L$280:L$296,$E1145)*$D1145</f>
        <v/>
      </c>
      <c r="M1145" s="35">
        <f>INDEX(M$280:M$296,$E1145)*$D1145</f>
        <v/>
      </c>
      <c r="N1145" s="35">
        <f>INDEX(N$280:N$296,$E1145)*$D1145</f>
        <v/>
      </c>
      <c r="O1145" s="35">
        <f>INDEX(O$280:O$296,$E1145)*$D1145</f>
        <v/>
      </c>
      <c r="P1145" s="35">
        <f>INDEX(P$280:P$296,$E1145)*$D1145</f>
        <v/>
      </c>
      <c r="Q1145" s="35">
        <f>INDEX(Q$280:Q$296,$E1145)*$D1145</f>
        <v/>
      </c>
      <c r="R1145" s="35">
        <f>INDEX(R$280:R$296,$E1145)*$D1145</f>
        <v/>
      </c>
      <c r="S1145" s="35">
        <f>INDEX(S$280:S$296,$E1145)*$D1145</f>
        <v/>
      </c>
      <c r="T1145" s="35">
        <f>INDEX(T$280:T$296,$E1145)*$D1145</f>
        <v/>
      </c>
      <c r="U1145" s="35">
        <f>INDEX(U$280:U$296,$E1145)*$D1145</f>
        <v/>
      </c>
      <c r="V1145" s="35">
        <f>INDEX(V$280:V$296,$E1145)*$D1145</f>
        <v/>
      </c>
      <c r="W1145" s="35">
        <f>INDEX(W$280:W$296,$E1145)*$D1145</f>
        <v/>
      </c>
      <c r="X1145" s="35">
        <f>INDEX(X$280:X$296,$E1145)*$D1145</f>
        <v/>
      </c>
      <c r="Y1145" s="35">
        <f>INDEX(Y$280:Y$296,$E1145)*$D1145</f>
        <v/>
      </c>
      <c r="Z1145" s="35">
        <f>INDEX(Z$280:Z$296,$E1145)*$D1145</f>
        <v/>
      </c>
      <c r="AA1145" s="35">
        <f>INDEX(AA$280:AA$296,$E1145)*$D1145</f>
        <v/>
      </c>
      <c r="AB1145" s="35">
        <f>INDEX(AB$280:AB$296,$E1145)*$D1145</f>
        <v/>
      </c>
      <c r="AC1145" s="35">
        <f>INDEX(AC$280:AC$296,$E1145)*$D1145</f>
        <v/>
      </c>
      <c r="AD1145" s="35">
        <f>INDEX(AD$280:AD$296,$E1145)*$D1145</f>
        <v/>
      </c>
      <c r="AE1145" s="42">
        <f>ETSCOST(INDEX(AE$280:AE$296,$E1145),$D1145)</f>
        <v/>
      </c>
      <c r="AG1145" s="11">
        <f>CodePrefix&amp;$A1145&amp;IF($C1145="","","."&amp;$C1145&amp;"."&amp;$B1145)&amp;INDEX(VarEnd,MATCH($A1145,VarKey,0))&amp;AG$5</f>
        <v/>
      </c>
      <c r="AH1145" s="40">
        <f>INDEX(AH$280:AH$296,$E1145)*$D1145</f>
        <v/>
      </c>
      <c r="AI1145" s="35">
        <f>INDEX(AI$280:AI$296,$E1145)*$D1145</f>
        <v/>
      </c>
      <c r="AJ1145" s="35">
        <f>INDEX(AJ$280:AJ$296,$E1145)*$D1145</f>
        <v/>
      </c>
      <c r="AK1145" s="35">
        <f>INDEX(AK$280:AK$296,$E1145)*$D1145</f>
        <v/>
      </c>
      <c r="AL1145" s="35">
        <f>INDEX(AL$280:AL$296,$E1145)*$D1145</f>
        <v/>
      </c>
      <c r="AM1145" s="35">
        <f>INDEX(AM$280:AM$296,$E1145)*$D1145</f>
        <v/>
      </c>
      <c r="AN1145" s="35">
        <f>INDEX(AN$280:AN$296,$E1145)*$D1145</f>
        <v/>
      </c>
      <c r="AO1145" s="35">
        <f>INDEX(AO$280:AO$296,$E1145)*$D1145</f>
        <v/>
      </c>
      <c r="AP1145" s="35">
        <f>INDEX(AP$280:AP$296,$E1145)*$D1145</f>
        <v/>
      </c>
      <c r="AQ1145" s="35">
        <f>INDEX(AQ$280:AQ$296,$E1145)*$D1145</f>
        <v/>
      </c>
      <c r="AR1145" s="35">
        <f>INDEX(AR$280:AR$296,$E1145)*$D1145</f>
        <v/>
      </c>
      <c r="AS1145" s="35">
        <f>INDEX(AS$280:AS$296,$E1145)*$D1145</f>
        <v/>
      </c>
      <c r="AT1145" s="35">
        <f>INDEX(AT$280:AT$296,$E1145)*$D1145</f>
        <v/>
      </c>
      <c r="AU1145" s="35">
        <f>INDEX(AU$280:AU$296,$E1145)*$D1145</f>
        <v/>
      </c>
      <c r="AV1145" s="35">
        <f>INDEX(AV$280:AV$296,$E1145)*$D1145</f>
        <v/>
      </c>
      <c r="AW1145" s="35">
        <f>INDEX(AW$280:AW$296,$E1145)*$D1145</f>
        <v/>
      </c>
      <c r="AX1145" s="35">
        <f>INDEX(AX$280:AX$296,$E1145)*$D1145</f>
        <v/>
      </c>
      <c r="AY1145" s="35">
        <f>INDEX(AY$280:AY$296,$E1145)*$D1145</f>
        <v/>
      </c>
      <c r="AZ1145" s="35">
        <f>INDEX(AZ$280:AZ$296,$E1145)*$D1145</f>
        <v/>
      </c>
      <c r="BA1145" s="42">
        <f>ETSCOST(INDEX(BA$280:BA$296,$E1145),$D1145)</f>
        <v/>
      </c>
    </row>
    <row r="1146" hidden="1" outlineLevel="2">
      <c r="A1146" s="14" t="inlineStr">
        <is>
          <t>ets</t>
        </is>
      </c>
      <c r="B1146" s="14" t="inlineStr">
        <is>
          <t>gso</t>
        </is>
      </c>
      <c r="C1146" s="14" t="inlineStr">
        <is>
          <t>ral</t>
        </is>
      </c>
      <c r="D1146" s="35">
        <f>INDEX(Inputs!$W$5:$W$132,MATCH($B1146&amp;"|"&amp;$C1146,Inputs!$A$5:$A$132,0))</f>
        <v/>
      </c>
      <c r="E1146" s="35">
        <f>INDEX(Inputs!$M$5:$M$132,MATCH($B1146&amp;"|"&amp;$C1146,Inputs!$A$5:$A$132,0))</f>
        <v/>
      </c>
      <c r="F1146" s="39" t="n"/>
      <c r="G1146" s="39" t="n"/>
      <c r="H1146" s="14">
        <f>INDEX(VarLab,MATCH($A1146,VarKey,0))&amp;INDEX(MemLab,MATCH($C1146&amp;"|"&amp;$B1146,MemKey,0))</f>
        <v/>
      </c>
      <c r="I1146" s="14">
        <f>INDEX(VarUnit,MATCH($A1146,VarKey,0))</f>
        <v/>
      </c>
      <c r="J1146" s="14">
        <f>INDEX(VarSrc,MATCH($A1146,VarKey,0))</f>
        <v/>
      </c>
      <c r="K1146" s="11">
        <f>CodePrefix&amp;$A1146&amp;IF($C1146="","","."&amp;$C1146&amp;"."&amp;$B1146)&amp;INDEX(VarEnd,MATCH($A1146,VarKey,0))&amp;K$5</f>
        <v/>
      </c>
      <c r="L1146" s="40">
        <f>INDEX(L$280:L$296,$E1146)*$D1146</f>
        <v/>
      </c>
      <c r="M1146" s="35">
        <f>INDEX(M$280:M$296,$E1146)*$D1146</f>
        <v/>
      </c>
      <c r="N1146" s="35">
        <f>INDEX(N$280:N$296,$E1146)*$D1146</f>
        <v/>
      </c>
      <c r="O1146" s="35">
        <f>INDEX(O$280:O$296,$E1146)*$D1146</f>
        <v/>
      </c>
      <c r="P1146" s="35">
        <f>INDEX(P$280:P$296,$E1146)*$D1146</f>
        <v/>
      </c>
      <c r="Q1146" s="35">
        <f>INDEX(Q$280:Q$296,$E1146)*$D1146</f>
        <v/>
      </c>
      <c r="R1146" s="35">
        <f>INDEX(R$280:R$296,$E1146)*$D1146</f>
        <v/>
      </c>
      <c r="S1146" s="35">
        <f>INDEX(S$280:S$296,$E1146)*$D1146</f>
        <v/>
      </c>
      <c r="T1146" s="35">
        <f>INDEX(T$280:T$296,$E1146)*$D1146</f>
        <v/>
      </c>
      <c r="U1146" s="35">
        <f>INDEX(U$280:U$296,$E1146)*$D1146</f>
        <v/>
      </c>
      <c r="V1146" s="35">
        <f>INDEX(V$280:V$296,$E1146)*$D1146</f>
        <v/>
      </c>
      <c r="W1146" s="35">
        <f>INDEX(W$280:W$296,$E1146)*$D1146</f>
        <v/>
      </c>
      <c r="X1146" s="35">
        <f>INDEX(X$280:X$296,$E1146)*$D1146</f>
        <v/>
      </c>
      <c r="Y1146" s="35">
        <f>INDEX(Y$280:Y$296,$E1146)*$D1146</f>
        <v/>
      </c>
      <c r="Z1146" s="35">
        <f>INDEX(Z$280:Z$296,$E1146)*$D1146</f>
        <v/>
      </c>
      <c r="AA1146" s="35">
        <f>INDEX(AA$280:AA$296,$E1146)*$D1146</f>
        <v/>
      </c>
      <c r="AB1146" s="35">
        <f>INDEX(AB$280:AB$296,$E1146)*$D1146</f>
        <v/>
      </c>
      <c r="AC1146" s="35">
        <f>INDEX(AC$280:AC$296,$E1146)*$D1146</f>
        <v/>
      </c>
      <c r="AD1146" s="35">
        <f>INDEX(AD$280:AD$296,$E1146)*$D1146</f>
        <v/>
      </c>
      <c r="AE1146" s="42">
        <f>ETSCOST(INDEX(AE$280:AE$296,$E1146),$D1146)</f>
        <v/>
      </c>
      <c r="AG1146" s="11">
        <f>CodePrefix&amp;$A1146&amp;IF($C1146="","","."&amp;$C1146&amp;"."&amp;$B1146)&amp;INDEX(VarEnd,MATCH($A1146,VarKey,0))&amp;AG$5</f>
        <v/>
      </c>
      <c r="AH1146" s="40">
        <f>INDEX(AH$280:AH$296,$E1146)*$D1146</f>
        <v/>
      </c>
      <c r="AI1146" s="35">
        <f>INDEX(AI$280:AI$296,$E1146)*$D1146</f>
        <v/>
      </c>
      <c r="AJ1146" s="35">
        <f>INDEX(AJ$280:AJ$296,$E1146)*$D1146</f>
        <v/>
      </c>
      <c r="AK1146" s="35">
        <f>INDEX(AK$280:AK$296,$E1146)*$D1146</f>
        <v/>
      </c>
      <c r="AL1146" s="35">
        <f>INDEX(AL$280:AL$296,$E1146)*$D1146</f>
        <v/>
      </c>
      <c r="AM1146" s="35">
        <f>INDEX(AM$280:AM$296,$E1146)*$D1146</f>
        <v/>
      </c>
      <c r="AN1146" s="35">
        <f>INDEX(AN$280:AN$296,$E1146)*$D1146</f>
        <v/>
      </c>
      <c r="AO1146" s="35">
        <f>INDEX(AO$280:AO$296,$E1146)*$D1146</f>
        <v/>
      </c>
      <c r="AP1146" s="35">
        <f>INDEX(AP$280:AP$296,$E1146)*$D1146</f>
        <v/>
      </c>
      <c r="AQ1146" s="35">
        <f>INDEX(AQ$280:AQ$296,$E1146)*$D1146</f>
        <v/>
      </c>
      <c r="AR1146" s="35">
        <f>INDEX(AR$280:AR$296,$E1146)*$D1146</f>
        <v/>
      </c>
      <c r="AS1146" s="35">
        <f>INDEX(AS$280:AS$296,$E1146)*$D1146</f>
        <v/>
      </c>
      <c r="AT1146" s="35">
        <f>INDEX(AT$280:AT$296,$E1146)*$D1146</f>
        <v/>
      </c>
      <c r="AU1146" s="35">
        <f>INDEX(AU$280:AU$296,$E1146)*$D1146</f>
        <v/>
      </c>
      <c r="AV1146" s="35">
        <f>INDEX(AV$280:AV$296,$E1146)*$D1146</f>
        <v/>
      </c>
      <c r="AW1146" s="35">
        <f>INDEX(AW$280:AW$296,$E1146)*$D1146</f>
        <v/>
      </c>
      <c r="AX1146" s="35">
        <f>INDEX(AX$280:AX$296,$E1146)*$D1146</f>
        <v/>
      </c>
      <c r="AY1146" s="35">
        <f>INDEX(AY$280:AY$296,$E1146)*$D1146</f>
        <v/>
      </c>
      <c r="AZ1146" s="35">
        <f>INDEX(AZ$280:AZ$296,$E1146)*$D1146</f>
        <v/>
      </c>
      <c r="BA1146" s="42">
        <f>ETSCOST(INDEX(BA$280:BA$296,$E1146),$D1146)</f>
        <v/>
      </c>
    </row>
    <row r="1147" hidden="1" outlineLevel="2">
      <c r="A1147" s="14" t="inlineStr">
        <is>
          <t>ets</t>
        </is>
      </c>
      <c r="B1147" s="14" t="inlineStr">
        <is>
          <t>die</t>
        </is>
      </c>
      <c r="C1147" s="14" t="inlineStr">
        <is>
          <t>ral</t>
        </is>
      </c>
      <c r="D1147" s="35">
        <f>INDEX(Inputs!$W$5:$W$132,MATCH($B1147&amp;"|"&amp;$C1147,Inputs!$A$5:$A$132,0))</f>
        <v/>
      </c>
      <c r="E1147" s="35">
        <f>INDEX(Inputs!$M$5:$M$132,MATCH($B1147&amp;"|"&amp;$C1147,Inputs!$A$5:$A$132,0))</f>
        <v/>
      </c>
      <c r="F1147" s="39" t="n"/>
      <c r="G1147" s="39" t="n"/>
      <c r="H1147" s="14">
        <f>INDEX(VarLab,MATCH($A1147,VarKey,0))&amp;INDEX(MemLab,MATCH($C1147&amp;"|"&amp;$B1147,MemKey,0))</f>
        <v/>
      </c>
      <c r="I1147" s="14">
        <f>INDEX(VarUnit,MATCH($A1147,VarKey,0))</f>
        <v/>
      </c>
      <c r="J1147" s="14">
        <f>INDEX(VarSrc,MATCH($A1147,VarKey,0))</f>
        <v/>
      </c>
      <c r="K1147" s="11">
        <f>CodePrefix&amp;$A1147&amp;IF($C1147="","","."&amp;$C1147&amp;"."&amp;$B1147)&amp;INDEX(VarEnd,MATCH($A1147,VarKey,0))&amp;K$5</f>
        <v/>
      </c>
      <c r="L1147" s="40">
        <f>INDEX(L$280:L$296,$E1147)*$D1147</f>
        <v/>
      </c>
      <c r="M1147" s="35">
        <f>INDEX(M$280:M$296,$E1147)*$D1147</f>
        <v/>
      </c>
      <c r="N1147" s="35">
        <f>INDEX(N$280:N$296,$E1147)*$D1147</f>
        <v/>
      </c>
      <c r="O1147" s="35">
        <f>INDEX(O$280:O$296,$E1147)*$D1147</f>
        <v/>
      </c>
      <c r="P1147" s="35">
        <f>INDEX(P$280:P$296,$E1147)*$D1147</f>
        <v/>
      </c>
      <c r="Q1147" s="35">
        <f>INDEX(Q$280:Q$296,$E1147)*$D1147</f>
        <v/>
      </c>
      <c r="R1147" s="35">
        <f>INDEX(R$280:R$296,$E1147)*$D1147</f>
        <v/>
      </c>
      <c r="S1147" s="35">
        <f>INDEX(S$280:S$296,$E1147)*$D1147</f>
        <v/>
      </c>
      <c r="T1147" s="35">
        <f>INDEX(T$280:T$296,$E1147)*$D1147</f>
        <v/>
      </c>
      <c r="U1147" s="35">
        <f>INDEX(U$280:U$296,$E1147)*$D1147</f>
        <v/>
      </c>
      <c r="V1147" s="35">
        <f>INDEX(V$280:V$296,$E1147)*$D1147</f>
        <v/>
      </c>
      <c r="W1147" s="35">
        <f>INDEX(W$280:W$296,$E1147)*$D1147</f>
        <v/>
      </c>
      <c r="X1147" s="35">
        <f>INDEX(X$280:X$296,$E1147)*$D1147</f>
        <v/>
      </c>
      <c r="Y1147" s="35">
        <f>INDEX(Y$280:Y$296,$E1147)*$D1147</f>
        <v/>
      </c>
      <c r="Z1147" s="35">
        <f>INDEX(Z$280:Z$296,$E1147)*$D1147</f>
        <v/>
      </c>
      <c r="AA1147" s="35">
        <f>INDEX(AA$280:AA$296,$E1147)*$D1147</f>
        <v/>
      </c>
      <c r="AB1147" s="35">
        <f>INDEX(AB$280:AB$296,$E1147)*$D1147</f>
        <v/>
      </c>
      <c r="AC1147" s="35">
        <f>INDEX(AC$280:AC$296,$E1147)*$D1147</f>
        <v/>
      </c>
      <c r="AD1147" s="35">
        <f>INDEX(AD$280:AD$296,$E1147)*$D1147</f>
        <v/>
      </c>
      <c r="AE1147" s="42">
        <f>ETSCOST(INDEX(AE$280:AE$296,$E1147),$D1147)</f>
        <v/>
      </c>
      <c r="AG1147" s="11">
        <f>CodePrefix&amp;$A1147&amp;IF($C1147="","","."&amp;$C1147&amp;"."&amp;$B1147)&amp;INDEX(VarEnd,MATCH($A1147,VarKey,0))&amp;AG$5</f>
        <v/>
      </c>
      <c r="AH1147" s="40">
        <f>INDEX(AH$280:AH$296,$E1147)*$D1147</f>
        <v/>
      </c>
      <c r="AI1147" s="35">
        <f>INDEX(AI$280:AI$296,$E1147)*$D1147</f>
        <v/>
      </c>
      <c r="AJ1147" s="35">
        <f>INDEX(AJ$280:AJ$296,$E1147)*$D1147</f>
        <v/>
      </c>
      <c r="AK1147" s="35">
        <f>INDEX(AK$280:AK$296,$E1147)*$D1147</f>
        <v/>
      </c>
      <c r="AL1147" s="35">
        <f>INDEX(AL$280:AL$296,$E1147)*$D1147</f>
        <v/>
      </c>
      <c r="AM1147" s="35">
        <f>INDEX(AM$280:AM$296,$E1147)*$D1147</f>
        <v/>
      </c>
      <c r="AN1147" s="35">
        <f>INDEX(AN$280:AN$296,$E1147)*$D1147</f>
        <v/>
      </c>
      <c r="AO1147" s="35">
        <f>INDEX(AO$280:AO$296,$E1147)*$D1147</f>
        <v/>
      </c>
      <c r="AP1147" s="35">
        <f>INDEX(AP$280:AP$296,$E1147)*$D1147</f>
        <v/>
      </c>
      <c r="AQ1147" s="35">
        <f>INDEX(AQ$280:AQ$296,$E1147)*$D1147</f>
        <v/>
      </c>
      <c r="AR1147" s="35">
        <f>INDEX(AR$280:AR$296,$E1147)*$D1147</f>
        <v/>
      </c>
      <c r="AS1147" s="35">
        <f>INDEX(AS$280:AS$296,$E1147)*$D1147</f>
        <v/>
      </c>
      <c r="AT1147" s="35">
        <f>INDEX(AT$280:AT$296,$E1147)*$D1147</f>
        <v/>
      </c>
      <c r="AU1147" s="35">
        <f>INDEX(AU$280:AU$296,$E1147)*$D1147</f>
        <v/>
      </c>
      <c r="AV1147" s="35">
        <f>INDEX(AV$280:AV$296,$E1147)*$D1147</f>
        <v/>
      </c>
      <c r="AW1147" s="35">
        <f>INDEX(AW$280:AW$296,$E1147)*$D1147</f>
        <v/>
      </c>
      <c r="AX1147" s="35">
        <f>INDEX(AX$280:AX$296,$E1147)*$D1147</f>
        <v/>
      </c>
      <c r="AY1147" s="35">
        <f>INDEX(AY$280:AY$296,$E1147)*$D1147</f>
        <v/>
      </c>
      <c r="AZ1147" s="35">
        <f>INDEX(AZ$280:AZ$296,$E1147)*$D1147</f>
        <v/>
      </c>
      <c r="BA1147" s="42">
        <f>ETSCOST(INDEX(BA$280:BA$296,$E1147),$D1147)</f>
        <v/>
      </c>
    </row>
    <row r="1148" hidden="1" outlineLevel="2">
      <c r="A1148" s="14" t="inlineStr">
        <is>
          <t>ets</t>
        </is>
      </c>
      <c r="B1148" s="14" t="inlineStr">
        <is>
          <t>lpg</t>
        </is>
      </c>
      <c r="C1148" s="14" t="inlineStr">
        <is>
          <t>ral</t>
        </is>
      </c>
      <c r="D1148" s="35">
        <f>INDEX(Inputs!$W$5:$W$132,MATCH($B1148&amp;"|"&amp;$C1148,Inputs!$A$5:$A$132,0))</f>
        <v/>
      </c>
      <c r="E1148" s="35">
        <f>INDEX(Inputs!$M$5:$M$132,MATCH($B1148&amp;"|"&amp;$C1148,Inputs!$A$5:$A$132,0))</f>
        <v/>
      </c>
      <c r="F1148" s="39" t="n"/>
      <c r="G1148" s="39" t="n"/>
      <c r="H1148" s="14">
        <f>INDEX(VarLab,MATCH($A1148,VarKey,0))&amp;INDEX(MemLab,MATCH($C1148&amp;"|"&amp;$B1148,MemKey,0))</f>
        <v/>
      </c>
      <c r="I1148" s="14">
        <f>INDEX(VarUnit,MATCH($A1148,VarKey,0))</f>
        <v/>
      </c>
      <c r="J1148" s="14">
        <f>INDEX(VarSrc,MATCH($A1148,VarKey,0))</f>
        <v/>
      </c>
      <c r="K1148" s="11">
        <f>CodePrefix&amp;$A1148&amp;IF($C1148="","","."&amp;$C1148&amp;"."&amp;$B1148)&amp;INDEX(VarEnd,MATCH($A1148,VarKey,0))&amp;K$5</f>
        <v/>
      </c>
      <c r="L1148" s="40">
        <f>INDEX(L$280:L$296,$E1148)*$D1148</f>
        <v/>
      </c>
      <c r="M1148" s="35">
        <f>INDEX(M$280:M$296,$E1148)*$D1148</f>
        <v/>
      </c>
      <c r="N1148" s="35">
        <f>INDEX(N$280:N$296,$E1148)*$D1148</f>
        <v/>
      </c>
      <c r="O1148" s="35">
        <f>INDEX(O$280:O$296,$E1148)*$D1148</f>
        <v/>
      </c>
      <c r="P1148" s="35">
        <f>INDEX(P$280:P$296,$E1148)*$D1148</f>
        <v/>
      </c>
      <c r="Q1148" s="35">
        <f>INDEX(Q$280:Q$296,$E1148)*$D1148</f>
        <v/>
      </c>
      <c r="R1148" s="35">
        <f>INDEX(R$280:R$296,$E1148)*$D1148</f>
        <v/>
      </c>
      <c r="S1148" s="35">
        <f>INDEX(S$280:S$296,$E1148)*$D1148</f>
        <v/>
      </c>
      <c r="T1148" s="35">
        <f>INDEX(T$280:T$296,$E1148)*$D1148</f>
        <v/>
      </c>
      <c r="U1148" s="35">
        <f>INDEX(U$280:U$296,$E1148)*$D1148</f>
        <v/>
      </c>
      <c r="V1148" s="35">
        <f>INDEX(V$280:V$296,$E1148)*$D1148</f>
        <v/>
      </c>
      <c r="W1148" s="35">
        <f>INDEX(W$280:W$296,$E1148)*$D1148</f>
        <v/>
      </c>
      <c r="X1148" s="35">
        <f>INDEX(X$280:X$296,$E1148)*$D1148</f>
        <v/>
      </c>
      <c r="Y1148" s="35">
        <f>INDEX(Y$280:Y$296,$E1148)*$D1148</f>
        <v/>
      </c>
      <c r="Z1148" s="35">
        <f>INDEX(Z$280:Z$296,$E1148)*$D1148</f>
        <v/>
      </c>
      <c r="AA1148" s="35">
        <f>INDEX(AA$280:AA$296,$E1148)*$D1148</f>
        <v/>
      </c>
      <c r="AB1148" s="35">
        <f>INDEX(AB$280:AB$296,$E1148)*$D1148</f>
        <v/>
      </c>
      <c r="AC1148" s="35">
        <f>INDEX(AC$280:AC$296,$E1148)*$D1148</f>
        <v/>
      </c>
      <c r="AD1148" s="35">
        <f>INDEX(AD$280:AD$296,$E1148)*$D1148</f>
        <v/>
      </c>
      <c r="AE1148" s="42">
        <f>ETSCOST(INDEX(AE$280:AE$296,$E1148),$D1148)</f>
        <v/>
      </c>
      <c r="AG1148" s="11">
        <f>CodePrefix&amp;$A1148&amp;IF($C1148="","","."&amp;$C1148&amp;"."&amp;$B1148)&amp;INDEX(VarEnd,MATCH($A1148,VarKey,0))&amp;AG$5</f>
        <v/>
      </c>
      <c r="AH1148" s="40">
        <f>INDEX(AH$280:AH$296,$E1148)*$D1148</f>
        <v/>
      </c>
      <c r="AI1148" s="35">
        <f>INDEX(AI$280:AI$296,$E1148)*$D1148</f>
        <v/>
      </c>
      <c r="AJ1148" s="35">
        <f>INDEX(AJ$280:AJ$296,$E1148)*$D1148</f>
        <v/>
      </c>
      <c r="AK1148" s="35">
        <f>INDEX(AK$280:AK$296,$E1148)*$D1148</f>
        <v/>
      </c>
      <c r="AL1148" s="35">
        <f>INDEX(AL$280:AL$296,$E1148)*$D1148</f>
        <v/>
      </c>
      <c r="AM1148" s="35">
        <f>INDEX(AM$280:AM$296,$E1148)*$D1148</f>
        <v/>
      </c>
      <c r="AN1148" s="35">
        <f>INDEX(AN$280:AN$296,$E1148)*$D1148</f>
        <v/>
      </c>
      <c r="AO1148" s="35">
        <f>INDEX(AO$280:AO$296,$E1148)*$D1148</f>
        <v/>
      </c>
      <c r="AP1148" s="35">
        <f>INDEX(AP$280:AP$296,$E1148)*$D1148</f>
        <v/>
      </c>
      <c r="AQ1148" s="35">
        <f>INDEX(AQ$280:AQ$296,$E1148)*$D1148</f>
        <v/>
      </c>
      <c r="AR1148" s="35">
        <f>INDEX(AR$280:AR$296,$E1148)*$D1148</f>
        <v/>
      </c>
      <c r="AS1148" s="35">
        <f>INDEX(AS$280:AS$296,$E1148)*$D1148</f>
        <v/>
      </c>
      <c r="AT1148" s="35">
        <f>INDEX(AT$280:AT$296,$E1148)*$D1148</f>
        <v/>
      </c>
      <c r="AU1148" s="35">
        <f>INDEX(AU$280:AU$296,$E1148)*$D1148</f>
        <v/>
      </c>
      <c r="AV1148" s="35">
        <f>INDEX(AV$280:AV$296,$E1148)*$D1148</f>
        <v/>
      </c>
      <c r="AW1148" s="35">
        <f>INDEX(AW$280:AW$296,$E1148)*$D1148</f>
        <v/>
      </c>
      <c r="AX1148" s="35">
        <f>INDEX(AX$280:AX$296,$E1148)*$D1148</f>
        <v/>
      </c>
      <c r="AY1148" s="35">
        <f>INDEX(AY$280:AY$296,$E1148)*$D1148</f>
        <v/>
      </c>
      <c r="AZ1148" s="35">
        <f>INDEX(AZ$280:AZ$296,$E1148)*$D1148</f>
        <v/>
      </c>
      <c r="BA1148" s="42">
        <f>ETSCOST(INDEX(BA$280:BA$296,$E1148),$D1148)</f>
        <v/>
      </c>
    </row>
    <row r="1149" hidden="1" outlineLevel="2">
      <c r="A1149" s="14" t="inlineStr">
        <is>
          <t>ets</t>
        </is>
      </c>
      <c r="B1149" s="14" t="inlineStr">
        <is>
          <t>ker</t>
        </is>
      </c>
      <c r="C1149" s="14" t="inlineStr">
        <is>
          <t>ral</t>
        </is>
      </c>
      <c r="D1149" s="35">
        <f>INDEX(Inputs!$W$5:$W$132,MATCH($B1149&amp;"|"&amp;$C1149,Inputs!$A$5:$A$132,0))</f>
        <v/>
      </c>
      <c r="E1149" s="35">
        <f>INDEX(Inputs!$M$5:$M$132,MATCH($B1149&amp;"|"&amp;$C1149,Inputs!$A$5:$A$132,0))</f>
        <v/>
      </c>
      <c r="F1149" s="39" t="n"/>
      <c r="G1149" s="39" t="n"/>
      <c r="H1149" s="14">
        <f>INDEX(VarLab,MATCH($A1149,VarKey,0))&amp;INDEX(MemLab,MATCH($C1149&amp;"|"&amp;$B1149,MemKey,0))</f>
        <v/>
      </c>
      <c r="I1149" s="14">
        <f>INDEX(VarUnit,MATCH($A1149,VarKey,0))</f>
        <v/>
      </c>
      <c r="J1149" s="14">
        <f>INDEX(VarSrc,MATCH($A1149,VarKey,0))</f>
        <v/>
      </c>
      <c r="K1149" s="11">
        <f>CodePrefix&amp;$A1149&amp;IF($C1149="","","."&amp;$C1149&amp;"."&amp;$B1149)&amp;INDEX(VarEnd,MATCH($A1149,VarKey,0))&amp;K$5</f>
        <v/>
      </c>
      <c r="L1149" s="40">
        <f>INDEX(L$280:L$296,$E1149)*$D1149</f>
        <v/>
      </c>
      <c r="M1149" s="35">
        <f>INDEX(M$280:M$296,$E1149)*$D1149</f>
        <v/>
      </c>
      <c r="N1149" s="35">
        <f>INDEX(N$280:N$296,$E1149)*$D1149</f>
        <v/>
      </c>
      <c r="O1149" s="35">
        <f>INDEX(O$280:O$296,$E1149)*$D1149</f>
        <v/>
      </c>
      <c r="P1149" s="35">
        <f>INDEX(P$280:P$296,$E1149)*$D1149</f>
        <v/>
      </c>
      <c r="Q1149" s="35">
        <f>INDEX(Q$280:Q$296,$E1149)*$D1149</f>
        <v/>
      </c>
      <c r="R1149" s="35">
        <f>INDEX(R$280:R$296,$E1149)*$D1149</f>
        <v/>
      </c>
      <c r="S1149" s="35">
        <f>INDEX(S$280:S$296,$E1149)*$D1149</f>
        <v/>
      </c>
      <c r="T1149" s="35">
        <f>INDEX(T$280:T$296,$E1149)*$D1149</f>
        <v/>
      </c>
      <c r="U1149" s="35">
        <f>INDEX(U$280:U$296,$E1149)*$D1149</f>
        <v/>
      </c>
      <c r="V1149" s="35">
        <f>INDEX(V$280:V$296,$E1149)*$D1149</f>
        <v/>
      </c>
      <c r="W1149" s="35">
        <f>INDEX(W$280:W$296,$E1149)*$D1149</f>
        <v/>
      </c>
      <c r="X1149" s="35">
        <f>INDEX(X$280:X$296,$E1149)*$D1149</f>
        <v/>
      </c>
      <c r="Y1149" s="35">
        <f>INDEX(Y$280:Y$296,$E1149)*$D1149</f>
        <v/>
      </c>
      <c r="Z1149" s="35">
        <f>INDEX(Z$280:Z$296,$E1149)*$D1149</f>
        <v/>
      </c>
      <c r="AA1149" s="35">
        <f>INDEX(AA$280:AA$296,$E1149)*$D1149</f>
        <v/>
      </c>
      <c r="AB1149" s="35">
        <f>INDEX(AB$280:AB$296,$E1149)*$D1149</f>
        <v/>
      </c>
      <c r="AC1149" s="35">
        <f>INDEX(AC$280:AC$296,$E1149)*$D1149</f>
        <v/>
      </c>
      <c r="AD1149" s="35">
        <f>INDEX(AD$280:AD$296,$E1149)*$D1149</f>
        <v/>
      </c>
      <c r="AE1149" s="42">
        <f>ETSCOST(INDEX(AE$280:AE$296,$E1149),$D1149)</f>
        <v/>
      </c>
      <c r="AG1149" s="11">
        <f>CodePrefix&amp;$A1149&amp;IF($C1149="","","."&amp;$C1149&amp;"."&amp;$B1149)&amp;INDEX(VarEnd,MATCH($A1149,VarKey,0))&amp;AG$5</f>
        <v/>
      </c>
      <c r="AH1149" s="40">
        <f>INDEX(AH$280:AH$296,$E1149)*$D1149</f>
        <v/>
      </c>
      <c r="AI1149" s="35">
        <f>INDEX(AI$280:AI$296,$E1149)*$D1149</f>
        <v/>
      </c>
      <c r="AJ1149" s="35">
        <f>INDEX(AJ$280:AJ$296,$E1149)*$D1149</f>
        <v/>
      </c>
      <c r="AK1149" s="35">
        <f>INDEX(AK$280:AK$296,$E1149)*$D1149</f>
        <v/>
      </c>
      <c r="AL1149" s="35">
        <f>INDEX(AL$280:AL$296,$E1149)*$D1149</f>
        <v/>
      </c>
      <c r="AM1149" s="35">
        <f>INDEX(AM$280:AM$296,$E1149)*$D1149</f>
        <v/>
      </c>
      <c r="AN1149" s="35">
        <f>INDEX(AN$280:AN$296,$E1149)*$D1149</f>
        <v/>
      </c>
      <c r="AO1149" s="35">
        <f>INDEX(AO$280:AO$296,$E1149)*$D1149</f>
        <v/>
      </c>
      <c r="AP1149" s="35">
        <f>INDEX(AP$280:AP$296,$E1149)*$D1149</f>
        <v/>
      </c>
      <c r="AQ1149" s="35">
        <f>INDEX(AQ$280:AQ$296,$E1149)*$D1149</f>
        <v/>
      </c>
      <c r="AR1149" s="35">
        <f>INDEX(AR$280:AR$296,$E1149)*$D1149</f>
        <v/>
      </c>
      <c r="AS1149" s="35">
        <f>INDEX(AS$280:AS$296,$E1149)*$D1149</f>
        <v/>
      </c>
      <c r="AT1149" s="35">
        <f>INDEX(AT$280:AT$296,$E1149)*$D1149</f>
        <v/>
      </c>
      <c r="AU1149" s="35">
        <f>INDEX(AU$280:AU$296,$E1149)*$D1149</f>
        <v/>
      </c>
      <c r="AV1149" s="35">
        <f>INDEX(AV$280:AV$296,$E1149)*$D1149</f>
        <v/>
      </c>
      <c r="AW1149" s="35">
        <f>INDEX(AW$280:AW$296,$E1149)*$D1149</f>
        <v/>
      </c>
      <c r="AX1149" s="35">
        <f>INDEX(AX$280:AX$296,$E1149)*$D1149</f>
        <v/>
      </c>
      <c r="AY1149" s="35">
        <f>INDEX(AY$280:AY$296,$E1149)*$D1149</f>
        <v/>
      </c>
      <c r="AZ1149" s="35">
        <f>INDEX(AZ$280:AZ$296,$E1149)*$D1149</f>
        <v/>
      </c>
      <c r="BA1149" s="42">
        <f>ETSCOST(INDEX(BA$280:BA$296,$E1149),$D1149)</f>
        <v/>
      </c>
    </row>
    <row r="1150" hidden="1" outlineLevel="2">
      <c r="A1150" s="14" t="inlineStr">
        <is>
          <t>ets</t>
        </is>
      </c>
      <c r="B1150" s="14" t="inlineStr">
        <is>
          <t>oop</t>
        </is>
      </c>
      <c r="C1150" s="14" t="inlineStr">
        <is>
          <t>ral</t>
        </is>
      </c>
      <c r="D1150" s="35">
        <f>INDEX(Inputs!$W$5:$W$132,MATCH($B1150&amp;"|"&amp;$C1150,Inputs!$A$5:$A$132,0))</f>
        <v/>
      </c>
      <c r="E1150" s="35">
        <f>INDEX(Inputs!$M$5:$M$132,MATCH($B1150&amp;"|"&amp;$C1150,Inputs!$A$5:$A$132,0))</f>
        <v/>
      </c>
      <c r="F1150" s="39" t="n"/>
      <c r="G1150" s="39" t="n"/>
      <c r="H1150" s="14">
        <f>INDEX(VarLab,MATCH($A1150,VarKey,0))&amp;INDEX(MemLab,MATCH($C1150&amp;"|"&amp;$B1150,MemKey,0))</f>
        <v/>
      </c>
      <c r="I1150" s="14">
        <f>INDEX(VarUnit,MATCH($A1150,VarKey,0))</f>
        <v/>
      </c>
      <c r="J1150" s="14">
        <f>INDEX(VarSrc,MATCH($A1150,VarKey,0))</f>
        <v/>
      </c>
      <c r="K1150" s="11">
        <f>CodePrefix&amp;$A1150&amp;IF($C1150="","","."&amp;$C1150&amp;"."&amp;$B1150)&amp;INDEX(VarEnd,MATCH($A1150,VarKey,0))&amp;K$5</f>
        <v/>
      </c>
      <c r="L1150" s="40">
        <f>INDEX(L$280:L$296,$E1150)*$D1150</f>
        <v/>
      </c>
      <c r="M1150" s="35">
        <f>INDEX(M$280:M$296,$E1150)*$D1150</f>
        <v/>
      </c>
      <c r="N1150" s="35">
        <f>INDEX(N$280:N$296,$E1150)*$D1150</f>
        <v/>
      </c>
      <c r="O1150" s="35">
        <f>INDEX(O$280:O$296,$E1150)*$D1150</f>
        <v/>
      </c>
      <c r="P1150" s="35">
        <f>INDEX(P$280:P$296,$E1150)*$D1150</f>
        <v/>
      </c>
      <c r="Q1150" s="35">
        <f>INDEX(Q$280:Q$296,$E1150)*$D1150</f>
        <v/>
      </c>
      <c r="R1150" s="35">
        <f>INDEX(R$280:R$296,$E1150)*$D1150</f>
        <v/>
      </c>
      <c r="S1150" s="35">
        <f>INDEX(S$280:S$296,$E1150)*$D1150</f>
        <v/>
      </c>
      <c r="T1150" s="35">
        <f>INDEX(T$280:T$296,$E1150)*$D1150</f>
        <v/>
      </c>
      <c r="U1150" s="35">
        <f>INDEX(U$280:U$296,$E1150)*$D1150</f>
        <v/>
      </c>
      <c r="V1150" s="35">
        <f>INDEX(V$280:V$296,$E1150)*$D1150</f>
        <v/>
      </c>
      <c r="W1150" s="35">
        <f>INDEX(W$280:W$296,$E1150)*$D1150</f>
        <v/>
      </c>
      <c r="X1150" s="35">
        <f>INDEX(X$280:X$296,$E1150)*$D1150</f>
        <v/>
      </c>
      <c r="Y1150" s="35">
        <f>INDEX(Y$280:Y$296,$E1150)*$D1150</f>
        <v/>
      </c>
      <c r="Z1150" s="35">
        <f>INDEX(Z$280:Z$296,$E1150)*$D1150</f>
        <v/>
      </c>
      <c r="AA1150" s="35">
        <f>INDEX(AA$280:AA$296,$E1150)*$D1150</f>
        <v/>
      </c>
      <c r="AB1150" s="35">
        <f>INDEX(AB$280:AB$296,$E1150)*$D1150</f>
        <v/>
      </c>
      <c r="AC1150" s="35">
        <f>INDEX(AC$280:AC$296,$E1150)*$D1150</f>
        <v/>
      </c>
      <c r="AD1150" s="35">
        <f>INDEX(AD$280:AD$296,$E1150)*$D1150</f>
        <v/>
      </c>
      <c r="AE1150" s="42">
        <f>ETSCOST(INDEX(AE$280:AE$296,$E1150),$D1150)</f>
        <v/>
      </c>
      <c r="AG1150" s="11">
        <f>CodePrefix&amp;$A1150&amp;IF($C1150="","","."&amp;$C1150&amp;"."&amp;$B1150)&amp;INDEX(VarEnd,MATCH($A1150,VarKey,0))&amp;AG$5</f>
        <v/>
      </c>
      <c r="AH1150" s="40">
        <f>INDEX(AH$280:AH$296,$E1150)*$D1150</f>
        <v/>
      </c>
      <c r="AI1150" s="35">
        <f>INDEX(AI$280:AI$296,$E1150)*$D1150</f>
        <v/>
      </c>
      <c r="AJ1150" s="35">
        <f>INDEX(AJ$280:AJ$296,$E1150)*$D1150</f>
        <v/>
      </c>
      <c r="AK1150" s="35">
        <f>INDEX(AK$280:AK$296,$E1150)*$D1150</f>
        <v/>
      </c>
      <c r="AL1150" s="35">
        <f>INDEX(AL$280:AL$296,$E1150)*$D1150</f>
        <v/>
      </c>
      <c r="AM1150" s="35">
        <f>INDEX(AM$280:AM$296,$E1150)*$D1150</f>
        <v/>
      </c>
      <c r="AN1150" s="35">
        <f>INDEX(AN$280:AN$296,$E1150)*$D1150</f>
        <v/>
      </c>
      <c r="AO1150" s="35">
        <f>INDEX(AO$280:AO$296,$E1150)*$D1150</f>
        <v/>
      </c>
      <c r="AP1150" s="35">
        <f>INDEX(AP$280:AP$296,$E1150)*$D1150</f>
        <v/>
      </c>
      <c r="AQ1150" s="35">
        <f>INDEX(AQ$280:AQ$296,$E1150)*$D1150</f>
        <v/>
      </c>
      <c r="AR1150" s="35">
        <f>INDEX(AR$280:AR$296,$E1150)*$D1150</f>
        <v/>
      </c>
      <c r="AS1150" s="35">
        <f>INDEX(AS$280:AS$296,$E1150)*$D1150</f>
        <v/>
      </c>
      <c r="AT1150" s="35">
        <f>INDEX(AT$280:AT$296,$E1150)*$D1150</f>
        <v/>
      </c>
      <c r="AU1150" s="35">
        <f>INDEX(AU$280:AU$296,$E1150)*$D1150</f>
        <v/>
      </c>
      <c r="AV1150" s="35">
        <f>INDEX(AV$280:AV$296,$E1150)*$D1150</f>
        <v/>
      </c>
      <c r="AW1150" s="35">
        <f>INDEX(AW$280:AW$296,$E1150)*$D1150</f>
        <v/>
      </c>
      <c r="AX1150" s="35">
        <f>INDEX(AX$280:AX$296,$E1150)*$D1150</f>
        <v/>
      </c>
      <c r="AY1150" s="35">
        <f>INDEX(AY$280:AY$296,$E1150)*$D1150</f>
        <v/>
      </c>
      <c r="AZ1150" s="35">
        <f>INDEX(AZ$280:AZ$296,$E1150)*$D1150</f>
        <v/>
      </c>
      <c r="BA1150" s="42">
        <f>ETSCOST(INDEX(BA$280:BA$296,$E1150),$D1150)</f>
        <v/>
      </c>
    </row>
    <row r="1151" hidden="1" outlineLevel="2">
      <c r="A1151" s="14" t="inlineStr">
        <is>
          <t>ets</t>
        </is>
      </c>
      <c r="B1151" s="14" t="inlineStr">
        <is>
          <t>bio</t>
        </is>
      </c>
      <c r="C1151" s="14" t="inlineStr">
        <is>
          <t>ral</t>
        </is>
      </c>
      <c r="D1151" s="35">
        <f>INDEX(Inputs!$W$5:$W$132,MATCH($B1151&amp;"|"&amp;$C1151,Inputs!$A$5:$A$132,0))</f>
        <v/>
      </c>
      <c r="E1151" s="35">
        <f>INDEX(Inputs!$M$5:$M$132,MATCH($B1151&amp;"|"&amp;$C1151,Inputs!$A$5:$A$132,0))</f>
        <v/>
      </c>
      <c r="F1151" s="39" t="n"/>
      <c r="G1151" s="39" t="n"/>
      <c r="H1151" s="14">
        <f>INDEX(VarLab,MATCH($A1151,VarKey,0))&amp;INDEX(MemLab,MATCH($C1151&amp;"|"&amp;$B1151,MemKey,0))</f>
        <v/>
      </c>
      <c r="I1151" s="14">
        <f>INDEX(VarUnit,MATCH($A1151,VarKey,0))</f>
        <v/>
      </c>
      <c r="J1151" s="14">
        <f>INDEX(VarSrc,MATCH($A1151,VarKey,0))</f>
        <v/>
      </c>
      <c r="K1151" s="11">
        <f>CodePrefix&amp;$A1151&amp;IF($C1151="","","."&amp;$C1151&amp;"."&amp;$B1151)&amp;INDEX(VarEnd,MATCH($A1151,VarKey,0))&amp;K$5</f>
        <v/>
      </c>
      <c r="L1151" s="40">
        <f>INDEX(L$280:L$296,$E1151)*$D1151</f>
        <v/>
      </c>
      <c r="M1151" s="35">
        <f>INDEX(M$280:M$296,$E1151)*$D1151</f>
        <v/>
      </c>
      <c r="N1151" s="35">
        <f>INDEX(N$280:N$296,$E1151)*$D1151</f>
        <v/>
      </c>
      <c r="O1151" s="35">
        <f>INDEX(O$280:O$296,$E1151)*$D1151</f>
        <v/>
      </c>
      <c r="P1151" s="35">
        <f>INDEX(P$280:P$296,$E1151)*$D1151</f>
        <v/>
      </c>
      <c r="Q1151" s="35">
        <f>INDEX(Q$280:Q$296,$E1151)*$D1151</f>
        <v/>
      </c>
      <c r="R1151" s="35">
        <f>INDEX(R$280:R$296,$E1151)*$D1151</f>
        <v/>
      </c>
      <c r="S1151" s="35">
        <f>INDEX(S$280:S$296,$E1151)*$D1151</f>
        <v/>
      </c>
      <c r="T1151" s="35">
        <f>INDEX(T$280:T$296,$E1151)*$D1151</f>
        <v/>
      </c>
      <c r="U1151" s="35">
        <f>INDEX(U$280:U$296,$E1151)*$D1151</f>
        <v/>
      </c>
      <c r="V1151" s="35">
        <f>INDEX(V$280:V$296,$E1151)*$D1151</f>
        <v/>
      </c>
      <c r="W1151" s="35">
        <f>INDEX(W$280:W$296,$E1151)*$D1151</f>
        <v/>
      </c>
      <c r="X1151" s="35">
        <f>INDEX(X$280:X$296,$E1151)*$D1151</f>
        <v/>
      </c>
      <c r="Y1151" s="35">
        <f>INDEX(Y$280:Y$296,$E1151)*$D1151</f>
        <v/>
      </c>
      <c r="Z1151" s="35">
        <f>INDEX(Z$280:Z$296,$E1151)*$D1151</f>
        <v/>
      </c>
      <c r="AA1151" s="35">
        <f>INDEX(AA$280:AA$296,$E1151)*$D1151</f>
        <v/>
      </c>
      <c r="AB1151" s="35">
        <f>INDEX(AB$280:AB$296,$E1151)*$D1151</f>
        <v/>
      </c>
      <c r="AC1151" s="35">
        <f>INDEX(AC$280:AC$296,$E1151)*$D1151</f>
        <v/>
      </c>
      <c r="AD1151" s="35">
        <f>INDEX(AD$280:AD$296,$E1151)*$D1151</f>
        <v/>
      </c>
      <c r="AE1151" s="42">
        <f>ETSCOST(INDEX(AE$280:AE$296,$E1151),$D1151)</f>
        <v/>
      </c>
      <c r="AG1151" s="11">
        <f>CodePrefix&amp;$A1151&amp;IF($C1151="","","."&amp;$C1151&amp;"."&amp;$B1151)&amp;INDEX(VarEnd,MATCH($A1151,VarKey,0))&amp;AG$5</f>
        <v/>
      </c>
      <c r="AH1151" s="40">
        <f>INDEX(AH$280:AH$296,$E1151)*$D1151</f>
        <v/>
      </c>
      <c r="AI1151" s="35">
        <f>INDEX(AI$280:AI$296,$E1151)*$D1151</f>
        <v/>
      </c>
      <c r="AJ1151" s="35">
        <f>INDEX(AJ$280:AJ$296,$E1151)*$D1151</f>
        <v/>
      </c>
      <c r="AK1151" s="35">
        <f>INDEX(AK$280:AK$296,$E1151)*$D1151</f>
        <v/>
      </c>
      <c r="AL1151" s="35">
        <f>INDEX(AL$280:AL$296,$E1151)*$D1151</f>
        <v/>
      </c>
      <c r="AM1151" s="35">
        <f>INDEX(AM$280:AM$296,$E1151)*$D1151</f>
        <v/>
      </c>
      <c r="AN1151" s="35">
        <f>INDEX(AN$280:AN$296,$E1151)*$D1151</f>
        <v/>
      </c>
      <c r="AO1151" s="35">
        <f>INDEX(AO$280:AO$296,$E1151)*$D1151</f>
        <v/>
      </c>
      <c r="AP1151" s="35">
        <f>INDEX(AP$280:AP$296,$E1151)*$D1151</f>
        <v/>
      </c>
      <c r="AQ1151" s="35">
        <f>INDEX(AQ$280:AQ$296,$E1151)*$D1151</f>
        <v/>
      </c>
      <c r="AR1151" s="35">
        <f>INDEX(AR$280:AR$296,$E1151)*$D1151</f>
        <v/>
      </c>
      <c r="AS1151" s="35">
        <f>INDEX(AS$280:AS$296,$E1151)*$D1151</f>
        <v/>
      </c>
      <c r="AT1151" s="35">
        <f>INDEX(AT$280:AT$296,$E1151)*$D1151</f>
        <v/>
      </c>
      <c r="AU1151" s="35">
        <f>INDEX(AU$280:AU$296,$E1151)*$D1151</f>
        <v/>
      </c>
      <c r="AV1151" s="35">
        <f>INDEX(AV$280:AV$296,$E1151)*$D1151</f>
        <v/>
      </c>
      <c r="AW1151" s="35">
        <f>INDEX(AW$280:AW$296,$E1151)*$D1151</f>
        <v/>
      </c>
      <c r="AX1151" s="35">
        <f>INDEX(AX$280:AX$296,$E1151)*$D1151</f>
        <v/>
      </c>
      <c r="AY1151" s="35">
        <f>INDEX(AY$280:AY$296,$E1151)*$D1151</f>
        <v/>
      </c>
      <c r="AZ1151" s="35">
        <f>INDEX(AZ$280:AZ$296,$E1151)*$D1151</f>
        <v/>
      </c>
      <c r="BA1151" s="42">
        <f>ETSCOST(INDEX(BA$280:BA$296,$E1151),$D1151)</f>
        <v/>
      </c>
    </row>
    <row r="1152" hidden="1" outlineLevel="2"/>
    <row r="1153" hidden="1" outlineLevel="2">
      <c r="A1153" s="14" t="inlineStr">
        <is>
          <t>ntx</t>
        </is>
      </c>
      <c r="B1153" s="14" t="inlineStr">
        <is>
          <t>coa</t>
        </is>
      </c>
      <c r="C1153" s="14" t="inlineStr">
        <is>
          <t>ral</t>
        </is>
      </c>
      <c r="D1153" s="35">
        <f>INDEX(Inputs!$N$5:$N$132,MATCH($B1153&amp;"|"&amp;$C1153,Inputs!$A$5:$A$132,0))</f>
        <v/>
      </c>
      <c r="E1153" s="35">
        <f>INDEX(Inputs!$K$5:$K$132,MATCH($B1153&amp;"|"&amp;$C1153,Inputs!$A$5:$A$132,0))</f>
        <v/>
      </c>
      <c r="F1153" s="39" t="n"/>
      <c r="G1153" s="39" t="n"/>
      <c r="H1153" s="14">
        <f>INDEX(VarLab,MATCH($A1153,VarKey,0))&amp;INDEX(MemLab,MATCH($C1153&amp;"|"&amp;$B1153,MemKey,0))</f>
        <v/>
      </c>
      <c r="I1153" s="14">
        <f>INDEX(VarUnit,MATCH($A1153,VarKey,0))</f>
        <v/>
      </c>
      <c r="J1153" s="14">
        <f>INDEX(VarSrc,MATCH($A1153,VarKey,0))</f>
        <v/>
      </c>
      <c r="K1153" s="11">
        <f>CodePrefix&amp;$A1153&amp;IF($C1153="","","."&amp;$C1153&amp;"."&amp;$B1153)&amp;INDEX(VarEnd,MATCH($A1153,VarKey,0))&amp;K$5</f>
        <v/>
      </c>
      <c r="L1153" s="40">
        <f>INDEX(L$80:L$93,$D1153)/$E1153</f>
        <v/>
      </c>
      <c r="M1153" s="35">
        <f>INDEX(M$80:M$93,$D1153)/$E1153</f>
        <v/>
      </c>
      <c r="N1153" s="35">
        <f>INDEX(N$80:N$93,$D1153)/$E1153</f>
        <v/>
      </c>
      <c r="O1153" s="35">
        <f>INDEX(O$80:O$93,$D1153)/$E1153</f>
        <v/>
      </c>
      <c r="P1153" s="35">
        <f>INDEX(P$80:P$93,$D1153)/$E1153</f>
        <v/>
      </c>
      <c r="Q1153" s="35">
        <f>INDEX(Q$80:Q$93,$D1153)/$E1153</f>
        <v/>
      </c>
      <c r="R1153" s="35">
        <f>INDEX(R$80:R$93,$D1153)/$E1153</f>
        <v/>
      </c>
      <c r="S1153" s="35">
        <f>INDEX(S$80:S$93,$D1153)/$E1153</f>
        <v/>
      </c>
      <c r="T1153" s="35">
        <f>INDEX(T$80:T$93,$D1153)/$E1153</f>
        <v/>
      </c>
      <c r="U1153" s="35">
        <f>INDEX(U$80:U$93,$D1153)/$E1153</f>
        <v/>
      </c>
      <c r="V1153" s="35">
        <f>INDEX(V$80:V$93,$D1153)/$E1153</f>
        <v/>
      </c>
      <c r="W1153" s="35">
        <f>INDEX(W$80:W$93,$D1153)/$E1153</f>
        <v/>
      </c>
      <c r="X1153" s="35">
        <f>INDEX(X$80:X$93,$D1153)/$E1153</f>
        <v/>
      </c>
      <c r="Y1153" s="35">
        <f>INDEX(Y$80:Y$93,$D1153)/$E1153</f>
        <v/>
      </c>
      <c r="Z1153" s="35">
        <f>INDEX(Z$80:Z$93,$D1153)/$E1153</f>
        <v/>
      </c>
      <c r="AA1153" s="35">
        <f>INDEX(AA$80:AA$93,$D1153)/$E1153</f>
        <v/>
      </c>
      <c r="AB1153" s="35">
        <f>INDEX(AB$80:AB$93,$D1153)/$E1153</f>
        <v/>
      </c>
      <c r="AC1153" s="35">
        <f>INDEX(AC$80:AC$93,$D1153)/$E1153</f>
        <v/>
      </c>
      <c r="AD1153" s="35">
        <f>INDEX(AD$80:AD$93,$D1153)/$E1153</f>
        <v/>
      </c>
      <c r="AE1153" s="42">
        <f>NEWEXCISE(INDEX(AE$80:AE$93,$D1153),$E1153)</f>
        <v/>
      </c>
      <c r="AG1153" s="11">
        <f>CodePrefix&amp;$A1153&amp;IF($C1153="","","."&amp;$C1153&amp;"."&amp;$B1153)&amp;INDEX(VarEnd,MATCH($A1153,VarKey,0))&amp;AG$5</f>
        <v/>
      </c>
      <c r="AH1153" s="40">
        <f>INDEX(AH$80:AH$93,$D1153)/$E1153</f>
        <v/>
      </c>
      <c r="AI1153" s="35">
        <f>INDEX(AI$80:AI$93,$D1153)/$E1153</f>
        <v/>
      </c>
      <c r="AJ1153" s="35">
        <f>INDEX(AJ$80:AJ$93,$D1153)/$E1153</f>
        <v/>
      </c>
      <c r="AK1153" s="35">
        <f>INDEX(AK$80:AK$93,$D1153)/$E1153</f>
        <v/>
      </c>
      <c r="AL1153" s="35">
        <f>INDEX(AL$80:AL$93,$D1153)/$E1153</f>
        <v/>
      </c>
      <c r="AM1153" s="35">
        <f>INDEX(AM$80:AM$93,$D1153)/$E1153</f>
        <v/>
      </c>
      <c r="AN1153" s="35">
        <f>INDEX(AN$80:AN$93,$D1153)/$E1153</f>
        <v/>
      </c>
      <c r="AO1153" s="35">
        <f>INDEX(AO$80:AO$93,$D1153)/$E1153</f>
        <v/>
      </c>
      <c r="AP1153" s="35">
        <f>INDEX(AP$80:AP$93,$D1153)/$E1153</f>
        <v/>
      </c>
      <c r="AQ1153" s="35">
        <f>INDEX(AQ$80:AQ$93,$D1153)/$E1153</f>
        <v/>
      </c>
      <c r="AR1153" s="35">
        <f>INDEX(AR$80:AR$93,$D1153)/$E1153</f>
        <v/>
      </c>
      <c r="AS1153" s="35">
        <f>INDEX(AS$80:AS$93,$D1153)/$E1153</f>
        <v/>
      </c>
      <c r="AT1153" s="35">
        <f>INDEX(AT$80:AT$93,$D1153)/$E1153</f>
        <v/>
      </c>
      <c r="AU1153" s="35">
        <f>INDEX(AU$80:AU$93,$D1153)/$E1153</f>
        <v/>
      </c>
      <c r="AV1153" s="35">
        <f>INDEX(AV$80:AV$93,$D1153)/$E1153</f>
        <v/>
      </c>
      <c r="AW1153" s="35">
        <f>INDEX(AW$80:AW$93,$D1153)/$E1153</f>
        <v/>
      </c>
      <c r="AX1153" s="35">
        <f>INDEX(AX$80:AX$93,$D1153)/$E1153</f>
        <v/>
      </c>
      <c r="AY1153" s="35">
        <f>INDEX(AY$80:AY$93,$D1153)/$E1153</f>
        <v/>
      </c>
      <c r="AZ1153" s="35">
        <f>INDEX(AZ$80:AZ$93,$D1153)/$E1153</f>
        <v/>
      </c>
      <c r="BA1153" s="42">
        <f>NEWEXCISE(INDEX(BA$80:BA$93,$D1153),$E1153)</f>
        <v/>
      </c>
    </row>
    <row r="1154" hidden="1" outlineLevel="2">
      <c r="A1154" s="14" t="inlineStr">
        <is>
          <t>ntx</t>
        </is>
      </c>
      <c r="B1154" s="14" t="inlineStr">
        <is>
          <t>nga</t>
        </is>
      </c>
      <c r="C1154" s="14" t="inlineStr">
        <is>
          <t>ral</t>
        </is>
      </c>
      <c r="D1154" s="35">
        <f>INDEX(Inputs!$N$5:$N$132,MATCH($B1154&amp;"|"&amp;$C1154,Inputs!$A$5:$A$132,0))</f>
        <v/>
      </c>
      <c r="E1154" s="35">
        <f>INDEX(Inputs!$K$5:$K$132,MATCH($B1154&amp;"|"&amp;$C1154,Inputs!$A$5:$A$132,0))</f>
        <v/>
      </c>
      <c r="F1154" s="39" t="n"/>
      <c r="G1154" s="39" t="n"/>
      <c r="H1154" s="14">
        <f>INDEX(VarLab,MATCH($A1154,VarKey,0))&amp;INDEX(MemLab,MATCH($C1154&amp;"|"&amp;$B1154,MemKey,0))</f>
        <v/>
      </c>
      <c r="I1154" s="14">
        <f>INDEX(VarUnit,MATCH($A1154,VarKey,0))</f>
        <v/>
      </c>
      <c r="J1154" s="14">
        <f>INDEX(VarSrc,MATCH($A1154,VarKey,0))</f>
        <v/>
      </c>
      <c r="K1154" s="11">
        <f>CodePrefix&amp;$A1154&amp;IF($C1154="","","."&amp;$C1154&amp;"."&amp;$B1154)&amp;INDEX(VarEnd,MATCH($A1154,VarKey,0))&amp;K$5</f>
        <v/>
      </c>
      <c r="L1154" s="40">
        <f>INDEX(L$80:L$93,$D1154)/$E1154</f>
        <v/>
      </c>
      <c r="M1154" s="35">
        <f>INDEX(M$80:M$93,$D1154)/$E1154</f>
        <v/>
      </c>
      <c r="N1154" s="35">
        <f>INDEX(N$80:N$93,$D1154)/$E1154</f>
        <v/>
      </c>
      <c r="O1154" s="35">
        <f>INDEX(O$80:O$93,$D1154)/$E1154</f>
        <v/>
      </c>
      <c r="P1154" s="35">
        <f>INDEX(P$80:P$93,$D1154)/$E1154</f>
        <v/>
      </c>
      <c r="Q1154" s="35">
        <f>INDEX(Q$80:Q$93,$D1154)/$E1154</f>
        <v/>
      </c>
      <c r="R1154" s="35">
        <f>INDEX(R$80:R$93,$D1154)/$E1154</f>
        <v/>
      </c>
      <c r="S1154" s="35">
        <f>INDEX(S$80:S$93,$D1154)/$E1154</f>
        <v/>
      </c>
      <c r="T1154" s="35">
        <f>INDEX(T$80:T$93,$D1154)/$E1154</f>
        <v/>
      </c>
      <c r="U1154" s="35">
        <f>INDEX(U$80:U$93,$D1154)/$E1154</f>
        <v/>
      </c>
      <c r="V1154" s="35">
        <f>INDEX(V$80:V$93,$D1154)/$E1154</f>
        <v/>
      </c>
      <c r="W1154" s="35">
        <f>INDEX(W$80:W$93,$D1154)/$E1154</f>
        <v/>
      </c>
      <c r="X1154" s="35">
        <f>INDEX(X$80:X$93,$D1154)/$E1154</f>
        <v/>
      </c>
      <c r="Y1154" s="35">
        <f>INDEX(Y$80:Y$93,$D1154)/$E1154</f>
        <v/>
      </c>
      <c r="Z1154" s="35">
        <f>INDEX(Z$80:Z$93,$D1154)/$E1154</f>
        <v/>
      </c>
      <c r="AA1154" s="35">
        <f>INDEX(AA$80:AA$93,$D1154)/$E1154</f>
        <v/>
      </c>
      <c r="AB1154" s="35">
        <f>INDEX(AB$80:AB$93,$D1154)/$E1154</f>
        <v/>
      </c>
      <c r="AC1154" s="35">
        <f>INDEX(AC$80:AC$93,$D1154)/$E1154</f>
        <v/>
      </c>
      <c r="AD1154" s="35">
        <f>INDEX(AD$80:AD$93,$D1154)/$E1154</f>
        <v/>
      </c>
      <c r="AE1154" s="42">
        <f>NEWEXCISE(INDEX(AE$80:AE$93,$D1154),$E1154)</f>
        <v/>
      </c>
      <c r="AG1154" s="11">
        <f>CodePrefix&amp;$A1154&amp;IF($C1154="","","."&amp;$C1154&amp;"."&amp;$B1154)&amp;INDEX(VarEnd,MATCH($A1154,VarKey,0))&amp;AG$5</f>
        <v/>
      </c>
      <c r="AH1154" s="40">
        <f>INDEX(AH$80:AH$93,$D1154)/$E1154</f>
        <v/>
      </c>
      <c r="AI1154" s="35">
        <f>INDEX(AI$80:AI$93,$D1154)/$E1154</f>
        <v/>
      </c>
      <c r="AJ1154" s="35">
        <f>INDEX(AJ$80:AJ$93,$D1154)/$E1154</f>
        <v/>
      </c>
      <c r="AK1154" s="35">
        <f>INDEX(AK$80:AK$93,$D1154)/$E1154</f>
        <v/>
      </c>
      <c r="AL1154" s="35">
        <f>INDEX(AL$80:AL$93,$D1154)/$E1154</f>
        <v/>
      </c>
      <c r="AM1154" s="35">
        <f>INDEX(AM$80:AM$93,$D1154)/$E1154</f>
        <v/>
      </c>
      <c r="AN1154" s="35">
        <f>INDEX(AN$80:AN$93,$D1154)/$E1154</f>
        <v/>
      </c>
      <c r="AO1154" s="35">
        <f>INDEX(AO$80:AO$93,$D1154)/$E1154</f>
        <v/>
      </c>
      <c r="AP1154" s="35">
        <f>INDEX(AP$80:AP$93,$D1154)/$E1154</f>
        <v/>
      </c>
      <c r="AQ1154" s="35">
        <f>INDEX(AQ$80:AQ$93,$D1154)/$E1154</f>
        <v/>
      </c>
      <c r="AR1154" s="35">
        <f>INDEX(AR$80:AR$93,$D1154)/$E1154</f>
        <v/>
      </c>
      <c r="AS1154" s="35">
        <f>INDEX(AS$80:AS$93,$D1154)/$E1154</f>
        <v/>
      </c>
      <c r="AT1154" s="35">
        <f>INDEX(AT$80:AT$93,$D1154)/$E1154</f>
        <v/>
      </c>
      <c r="AU1154" s="35">
        <f>INDEX(AU$80:AU$93,$D1154)/$E1154</f>
        <v/>
      </c>
      <c r="AV1154" s="35">
        <f>INDEX(AV$80:AV$93,$D1154)/$E1154</f>
        <v/>
      </c>
      <c r="AW1154" s="35">
        <f>INDEX(AW$80:AW$93,$D1154)/$E1154</f>
        <v/>
      </c>
      <c r="AX1154" s="35">
        <f>INDEX(AX$80:AX$93,$D1154)/$E1154</f>
        <v/>
      </c>
      <c r="AY1154" s="35">
        <f>INDEX(AY$80:AY$93,$D1154)/$E1154</f>
        <v/>
      </c>
      <c r="AZ1154" s="35">
        <f>INDEX(AZ$80:AZ$93,$D1154)/$E1154</f>
        <v/>
      </c>
      <c r="BA1154" s="42">
        <f>NEWEXCISE(INDEX(BA$80:BA$93,$D1154),$E1154)</f>
        <v/>
      </c>
    </row>
    <row r="1155" hidden="1" outlineLevel="2">
      <c r="A1155" s="14" t="inlineStr">
        <is>
          <t>ntx</t>
        </is>
      </c>
      <c r="B1155" s="14" t="inlineStr">
        <is>
          <t>gso</t>
        </is>
      </c>
      <c r="C1155" s="14" t="inlineStr">
        <is>
          <t>ral</t>
        </is>
      </c>
      <c r="D1155" s="35">
        <f>INDEX(Inputs!$N$5:$N$132,MATCH($B1155&amp;"|"&amp;$C1155,Inputs!$A$5:$A$132,0))</f>
        <v/>
      </c>
      <c r="E1155" s="35">
        <f>INDEX(Inputs!$K$5:$K$132,MATCH($B1155&amp;"|"&amp;$C1155,Inputs!$A$5:$A$132,0))</f>
        <v/>
      </c>
      <c r="F1155" s="39" t="n"/>
      <c r="G1155" s="39" t="n"/>
      <c r="H1155" s="14">
        <f>INDEX(VarLab,MATCH($A1155,VarKey,0))&amp;INDEX(MemLab,MATCH($C1155&amp;"|"&amp;$B1155,MemKey,0))</f>
        <v/>
      </c>
      <c r="I1155" s="14">
        <f>INDEX(VarUnit,MATCH($A1155,VarKey,0))</f>
        <v/>
      </c>
      <c r="J1155" s="14">
        <f>INDEX(VarSrc,MATCH($A1155,VarKey,0))</f>
        <v/>
      </c>
      <c r="K1155" s="11">
        <f>CodePrefix&amp;$A1155&amp;IF($C1155="","","."&amp;$C1155&amp;"."&amp;$B1155)&amp;INDEX(VarEnd,MATCH($A1155,VarKey,0))&amp;K$5</f>
        <v/>
      </c>
      <c r="L1155" s="40">
        <f>INDEX(L$80:L$93,$D1155)/$E1155</f>
        <v/>
      </c>
      <c r="M1155" s="35">
        <f>INDEX(M$80:M$93,$D1155)/$E1155</f>
        <v/>
      </c>
      <c r="N1155" s="35">
        <f>INDEX(N$80:N$93,$D1155)/$E1155</f>
        <v/>
      </c>
      <c r="O1155" s="35">
        <f>INDEX(O$80:O$93,$D1155)/$E1155</f>
        <v/>
      </c>
      <c r="P1155" s="35">
        <f>INDEX(P$80:P$93,$D1155)/$E1155</f>
        <v/>
      </c>
      <c r="Q1155" s="35">
        <f>INDEX(Q$80:Q$93,$D1155)/$E1155</f>
        <v/>
      </c>
      <c r="R1155" s="35">
        <f>INDEX(R$80:R$93,$D1155)/$E1155</f>
        <v/>
      </c>
      <c r="S1155" s="35">
        <f>INDEX(S$80:S$93,$D1155)/$E1155</f>
        <v/>
      </c>
      <c r="T1155" s="35">
        <f>INDEX(T$80:T$93,$D1155)/$E1155</f>
        <v/>
      </c>
      <c r="U1155" s="35">
        <f>INDEX(U$80:U$93,$D1155)/$E1155</f>
        <v/>
      </c>
      <c r="V1155" s="35">
        <f>INDEX(V$80:V$93,$D1155)/$E1155</f>
        <v/>
      </c>
      <c r="W1155" s="35">
        <f>INDEX(W$80:W$93,$D1155)/$E1155</f>
        <v/>
      </c>
      <c r="X1155" s="35">
        <f>INDEX(X$80:X$93,$D1155)/$E1155</f>
        <v/>
      </c>
      <c r="Y1155" s="35">
        <f>INDEX(Y$80:Y$93,$D1155)/$E1155</f>
        <v/>
      </c>
      <c r="Z1155" s="35">
        <f>INDEX(Z$80:Z$93,$D1155)/$E1155</f>
        <v/>
      </c>
      <c r="AA1155" s="35">
        <f>INDEX(AA$80:AA$93,$D1155)/$E1155</f>
        <v/>
      </c>
      <c r="AB1155" s="35">
        <f>INDEX(AB$80:AB$93,$D1155)/$E1155</f>
        <v/>
      </c>
      <c r="AC1155" s="35">
        <f>INDEX(AC$80:AC$93,$D1155)/$E1155</f>
        <v/>
      </c>
      <c r="AD1155" s="35">
        <f>INDEX(AD$80:AD$93,$D1155)/$E1155</f>
        <v/>
      </c>
      <c r="AE1155" s="42">
        <f>NEWEXCISE(INDEX(AE$80:AE$93,$D1155),$E1155)</f>
        <v/>
      </c>
      <c r="AG1155" s="11">
        <f>CodePrefix&amp;$A1155&amp;IF($C1155="","","."&amp;$C1155&amp;"."&amp;$B1155)&amp;INDEX(VarEnd,MATCH($A1155,VarKey,0))&amp;AG$5</f>
        <v/>
      </c>
      <c r="AH1155" s="40">
        <f>INDEX(AH$80:AH$93,$D1155)/$E1155</f>
        <v/>
      </c>
      <c r="AI1155" s="35">
        <f>INDEX(AI$80:AI$93,$D1155)/$E1155</f>
        <v/>
      </c>
      <c r="AJ1155" s="35">
        <f>INDEX(AJ$80:AJ$93,$D1155)/$E1155</f>
        <v/>
      </c>
      <c r="AK1155" s="35">
        <f>INDEX(AK$80:AK$93,$D1155)/$E1155</f>
        <v/>
      </c>
      <c r="AL1155" s="35">
        <f>INDEX(AL$80:AL$93,$D1155)/$E1155</f>
        <v/>
      </c>
      <c r="AM1155" s="35">
        <f>INDEX(AM$80:AM$93,$D1155)/$E1155</f>
        <v/>
      </c>
      <c r="AN1155" s="35">
        <f>INDEX(AN$80:AN$93,$D1155)/$E1155</f>
        <v/>
      </c>
      <c r="AO1155" s="35">
        <f>INDEX(AO$80:AO$93,$D1155)/$E1155</f>
        <v/>
      </c>
      <c r="AP1155" s="35">
        <f>INDEX(AP$80:AP$93,$D1155)/$E1155</f>
        <v/>
      </c>
      <c r="AQ1155" s="35">
        <f>INDEX(AQ$80:AQ$93,$D1155)/$E1155</f>
        <v/>
      </c>
      <c r="AR1155" s="35">
        <f>INDEX(AR$80:AR$93,$D1155)/$E1155</f>
        <v/>
      </c>
      <c r="AS1155" s="35">
        <f>INDEX(AS$80:AS$93,$D1155)/$E1155</f>
        <v/>
      </c>
      <c r="AT1155" s="35">
        <f>INDEX(AT$80:AT$93,$D1155)/$E1155</f>
        <v/>
      </c>
      <c r="AU1155" s="35">
        <f>INDEX(AU$80:AU$93,$D1155)/$E1155</f>
        <v/>
      </c>
      <c r="AV1155" s="35">
        <f>INDEX(AV$80:AV$93,$D1155)/$E1155</f>
        <v/>
      </c>
      <c r="AW1155" s="35">
        <f>INDEX(AW$80:AW$93,$D1155)/$E1155</f>
        <v/>
      </c>
      <c r="AX1155" s="35">
        <f>INDEX(AX$80:AX$93,$D1155)/$E1155</f>
        <v/>
      </c>
      <c r="AY1155" s="35">
        <f>INDEX(AY$80:AY$93,$D1155)/$E1155</f>
        <v/>
      </c>
      <c r="AZ1155" s="35">
        <f>INDEX(AZ$80:AZ$93,$D1155)/$E1155</f>
        <v/>
      </c>
      <c r="BA1155" s="42">
        <f>NEWEXCISE(INDEX(BA$80:BA$93,$D1155),$E1155)</f>
        <v/>
      </c>
    </row>
    <row r="1156" hidden="1" outlineLevel="2">
      <c r="A1156" s="14" t="inlineStr">
        <is>
          <t>ntx</t>
        </is>
      </c>
      <c r="B1156" s="14" t="inlineStr">
        <is>
          <t>die</t>
        </is>
      </c>
      <c r="C1156" s="14" t="inlineStr">
        <is>
          <t>ral</t>
        </is>
      </c>
      <c r="D1156" s="35">
        <f>INDEX(Inputs!$N$5:$N$132,MATCH($B1156&amp;"|"&amp;$C1156,Inputs!$A$5:$A$132,0))</f>
        <v/>
      </c>
      <c r="E1156" s="35">
        <f>INDEX(Inputs!$K$5:$K$132,MATCH($B1156&amp;"|"&amp;$C1156,Inputs!$A$5:$A$132,0))</f>
        <v/>
      </c>
      <c r="F1156" s="39" t="n"/>
      <c r="G1156" s="39" t="n"/>
      <c r="H1156" s="14">
        <f>INDEX(VarLab,MATCH($A1156,VarKey,0))&amp;INDEX(MemLab,MATCH($C1156&amp;"|"&amp;$B1156,MemKey,0))</f>
        <v/>
      </c>
      <c r="I1156" s="14">
        <f>INDEX(VarUnit,MATCH($A1156,VarKey,0))</f>
        <v/>
      </c>
      <c r="J1156" s="14">
        <f>INDEX(VarSrc,MATCH($A1156,VarKey,0))</f>
        <v/>
      </c>
      <c r="K1156" s="11">
        <f>CodePrefix&amp;$A1156&amp;IF($C1156="","","."&amp;$C1156&amp;"."&amp;$B1156)&amp;INDEX(VarEnd,MATCH($A1156,VarKey,0))&amp;K$5</f>
        <v/>
      </c>
      <c r="L1156" s="40">
        <f>INDEX(L$80:L$93,$D1156)/$E1156</f>
        <v/>
      </c>
      <c r="M1156" s="35">
        <f>INDEX(M$80:M$93,$D1156)/$E1156</f>
        <v/>
      </c>
      <c r="N1156" s="35">
        <f>INDEX(N$80:N$93,$D1156)/$E1156</f>
        <v/>
      </c>
      <c r="O1156" s="35">
        <f>INDEX(O$80:O$93,$D1156)/$E1156</f>
        <v/>
      </c>
      <c r="P1156" s="35">
        <f>INDEX(P$80:P$93,$D1156)/$E1156</f>
        <v/>
      </c>
      <c r="Q1156" s="35">
        <f>INDEX(Q$80:Q$93,$D1156)/$E1156</f>
        <v/>
      </c>
      <c r="R1156" s="35">
        <f>INDEX(R$80:R$93,$D1156)/$E1156</f>
        <v/>
      </c>
      <c r="S1156" s="35">
        <f>INDEX(S$80:S$93,$D1156)/$E1156</f>
        <v/>
      </c>
      <c r="T1156" s="35">
        <f>INDEX(T$80:T$93,$D1156)/$E1156</f>
        <v/>
      </c>
      <c r="U1156" s="35">
        <f>INDEX(U$80:U$93,$D1156)/$E1156</f>
        <v/>
      </c>
      <c r="V1156" s="35">
        <f>INDEX(V$80:V$93,$D1156)/$E1156</f>
        <v/>
      </c>
      <c r="W1156" s="35">
        <f>INDEX(W$80:W$93,$D1156)/$E1156</f>
        <v/>
      </c>
      <c r="X1156" s="35">
        <f>INDEX(X$80:X$93,$D1156)/$E1156</f>
        <v/>
      </c>
      <c r="Y1156" s="35">
        <f>INDEX(Y$80:Y$93,$D1156)/$E1156</f>
        <v/>
      </c>
      <c r="Z1156" s="35">
        <f>INDEX(Z$80:Z$93,$D1156)/$E1156</f>
        <v/>
      </c>
      <c r="AA1156" s="35">
        <f>INDEX(AA$80:AA$93,$D1156)/$E1156</f>
        <v/>
      </c>
      <c r="AB1156" s="35">
        <f>INDEX(AB$80:AB$93,$D1156)/$E1156</f>
        <v/>
      </c>
      <c r="AC1156" s="35">
        <f>INDEX(AC$80:AC$93,$D1156)/$E1156</f>
        <v/>
      </c>
      <c r="AD1156" s="35">
        <f>INDEX(AD$80:AD$93,$D1156)/$E1156</f>
        <v/>
      </c>
      <c r="AE1156" s="42">
        <f>NEWEXCISE(INDEX(AE$80:AE$93,$D1156),$E1156)</f>
        <v/>
      </c>
      <c r="AG1156" s="11">
        <f>CodePrefix&amp;$A1156&amp;IF($C1156="","","."&amp;$C1156&amp;"."&amp;$B1156)&amp;INDEX(VarEnd,MATCH($A1156,VarKey,0))&amp;AG$5</f>
        <v/>
      </c>
      <c r="AH1156" s="40">
        <f>INDEX(AH$80:AH$93,$D1156)/$E1156</f>
        <v/>
      </c>
      <c r="AI1156" s="35">
        <f>INDEX(AI$80:AI$93,$D1156)/$E1156</f>
        <v/>
      </c>
      <c r="AJ1156" s="35">
        <f>INDEX(AJ$80:AJ$93,$D1156)/$E1156</f>
        <v/>
      </c>
      <c r="AK1156" s="35">
        <f>INDEX(AK$80:AK$93,$D1156)/$E1156</f>
        <v/>
      </c>
      <c r="AL1156" s="35">
        <f>INDEX(AL$80:AL$93,$D1156)/$E1156</f>
        <v/>
      </c>
      <c r="AM1156" s="35">
        <f>INDEX(AM$80:AM$93,$D1156)/$E1156</f>
        <v/>
      </c>
      <c r="AN1156" s="35">
        <f>INDEX(AN$80:AN$93,$D1156)/$E1156</f>
        <v/>
      </c>
      <c r="AO1156" s="35">
        <f>INDEX(AO$80:AO$93,$D1156)/$E1156</f>
        <v/>
      </c>
      <c r="AP1156" s="35">
        <f>INDEX(AP$80:AP$93,$D1156)/$E1156</f>
        <v/>
      </c>
      <c r="AQ1156" s="35">
        <f>INDEX(AQ$80:AQ$93,$D1156)/$E1156</f>
        <v/>
      </c>
      <c r="AR1156" s="35">
        <f>INDEX(AR$80:AR$93,$D1156)/$E1156</f>
        <v/>
      </c>
      <c r="AS1156" s="35">
        <f>INDEX(AS$80:AS$93,$D1156)/$E1156</f>
        <v/>
      </c>
      <c r="AT1156" s="35">
        <f>INDEX(AT$80:AT$93,$D1156)/$E1156</f>
        <v/>
      </c>
      <c r="AU1156" s="35">
        <f>INDEX(AU$80:AU$93,$D1156)/$E1156</f>
        <v/>
      </c>
      <c r="AV1156" s="35">
        <f>INDEX(AV$80:AV$93,$D1156)/$E1156</f>
        <v/>
      </c>
      <c r="AW1156" s="35">
        <f>INDEX(AW$80:AW$93,$D1156)/$E1156</f>
        <v/>
      </c>
      <c r="AX1156" s="35">
        <f>INDEX(AX$80:AX$93,$D1156)/$E1156</f>
        <v/>
      </c>
      <c r="AY1156" s="35">
        <f>INDEX(AY$80:AY$93,$D1156)/$E1156</f>
        <v/>
      </c>
      <c r="AZ1156" s="35">
        <f>INDEX(AZ$80:AZ$93,$D1156)/$E1156</f>
        <v/>
      </c>
      <c r="BA1156" s="42">
        <f>NEWEXCISE(INDEX(BA$80:BA$93,$D1156),$E1156)</f>
        <v/>
      </c>
    </row>
    <row r="1157" hidden="1" outlineLevel="2">
      <c r="A1157" s="14" t="inlineStr">
        <is>
          <t>ntx</t>
        </is>
      </c>
      <c r="B1157" s="14" t="inlineStr">
        <is>
          <t>lpg</t>
        </is>
      </c>
      <c r="C1157" s="14" t="inlineStr">
        <is>
          <t>ral</t>
        </is>
      </c>
      <c r="D1157" s="35">
        <f>INDEX(Inputs!$N$5:$N$132,MATCH($B1157&amp;"|"&amp;$C1157,Inputs!$A$5:$A$132,0))</f>
        <v/>
      </c>
      <c r="E1157" s="35">
        <f>INDEX(Inputs!$K$5:$K$132,MATCH($B1157&amp;"|"&amp;$C1157,Inputs!$A$5:$A$132,0))</f>
        <v/>
      </c>
      <c r="F1157" s="39" t="n"/>
      <c r="G1157" s="39" t="n"/>
      <c r="H1157" s="14">
        <f>INDEX(VarLab,MATCH($A1157,VarKey,0))&amp;INDEX(MemLab,MATCH($C1157&amp;"|"&amp;$B1157,MemKey,0))</f>
        <v/>
      </c>
      <c r="I1157" s="14">
        <f>INDEX(VarUnit,MATCH($A1157,VarKey,0))</f>
        <v/>
      </c>
      <c r="J1157" s="14">
        <f>INDEX(VarSrc,MATCH($A1157,VarKey,0))</f>
        <v/>
      </c>
      <c r="K1157" s="11">
        <f>CodePrefix&amp;$A1157&amp;IF($C1157="","","."&amp;$C1157&amp;"."&amp;$B1157)&amp;INDEX(VarEnd,MATCH($A1157,VarKey,0))&amp;K$5</f>
        <v/>
      </c>
      <c r="L1157" s="40">
        <f>INDEX(L$80:L$93,$D1157)/$E1157</f>
        <v/>
      </c>
      <c r="M1157" s="35">
        <f>INDEX(M$80:M$93,$D1157)/$E1157</f>
        <v/>
      </c>
      <c r="N1157" s="35">
        <f>INDEX(N$80:N$93,$D1157)/$E1157</f>
        <v/>
      </c>
      <c r="O1157" s="35">
        <f>INDEX(O$80:O$93,$D1157)/$E1157</f>
        <v/>
      </c>
      <c r="P1157" s="35">
        <f>INDEX(P$80:P$93,$D1157)/$E1157</f>
        <v/>
      </c>
      <c r="Q1157" s="35">
        <f>INDEX(Q$80:Q$93,$D1157)/$E1157</f>
        <v/>
      </c>
      <c r="R1157" s="35">
        <f>INDEX(R$80:R$93,$D1157)/$E1157</f>
        <v/>
      </c>
      <c r="S1157" s="35">
        <f>INDEX(S$80:S$93,$D1157)/$E1157</f>
        <v/>
      </c>
      <c r="T1157" s="35">
        <f>INDEX(T$80:T$93,$D1157)/$E1157</f>
        <v/>
      </c>
      <c r="U1157" s="35">
        <f>INDEX(U$80:U$93,$D1157)/$E1157</f>
        <v/>
      </c>
      <c r="V1157" s="35">
        <f>INDEX(V$80:V$93,$D1157)/$E1157</f>
        <v/>
      </c>
      <c r="W1157" s="35">
        <f>INDEX(W$80:W$93,$D1157)/$E1157</f>
        <v/>
      </c>
      <c r="X1157" s="35">
        <f>INDEX(X$80:X$93,$D1157)/$E1157</f>
        <v/>
      </c>
      <c r="Y1157" s="35">
        <f>INDEX(Y$80:Y$93,$D1157)/$E1157</f>
        <v/>
      </c>
      <c r="Z1157" s="35">
        <f>INDEX(Z$80:Z$93,$D1157)/$E1157</f>
        <v/>
      </c>
      <c r="AA1157" s="35">
        <f>INDEX(AA$80:AA$93,$D1157)/$E1157</f>
        <v/>
      </c>
      <c r="AB1157" s="35">
        <f>INDEX(AB$80:AB$93,$D1157)/$E1157</f>
        <v/>
      </c>
      <c r="AC1157" s="35">
        <f>INDEX(AC$80:AC$93,$D1157)/$E1157</f>
        <v/>
      </c>
      <c r="AD1157" s="35">
        <f>INDEX(AD$80:AD$93,$D1157)/$E1157</f>
        <v/>
      </c>
      <c r="AE1157" s="42">
        <f>NEWEXCISE(INDEX(AE$80:AE$93,$D1157),$E1157)</f>
        <v/>
      </c>
      <c r="AG1157" s="11">
        <f>CodePrefix&amp;$A1157&amp;IF($C1157="","","."&amp;$C1157&amp;"."&amp;$B1157)&amp;INDEX(VarEnd,MATCH($A1157,VarKey,0))&amp;AG$5</f>
        <v/>
      </c>
      <c r="AH1157" s="40">
        <f>INDEX(AH$80:AH$93,$D1157)/$E1157</f>
        <v/>
      </c>
      <c r="AI1157" s="35">
        <f>INDEX(AI$80:AI$93,$D1157)/$E1157</f>
        <v/>
      </c>
      <c r="AJ1157" s="35">
        <f>INDEX(AJ$80:AJ$93,$D1157)/$E1157</f>
        <v/>
      </c>
      <c r="AK1157" s="35">
        <f>INDEX(AK$80:AK$93,$D1157)/$E1157</f>
        <v/>
      </c>
      <c r="AL1157" s="35">
        <f>INDEX(AL$80:AL$93,$D1157)/$E1157</f>
        <v/>
      </c>
      <c r="AM1157" s="35">
        <f>INDEX(AM$80:AM$93,$D1157)/$E1157</f>
        <v/>
      </c>
      <c r="AN1157" s="35">
        <f>INDEX(AN$80:AN$93,$D1157)/$E1157</f>
        <v/>
      </c>
      <c r="AO1157" s="35">
        <f>INDEX(AO$80:AO$93,$D1157)/$E1157</f>
        <v/>
      </c>
      <c r="AP1157" s="35">
        <f>INDEX(AP$80:AP$93,$D1157)/$E1157</f>
        <v/>
      </c>
      <c r="AQ1157" s="35">
        <f>INDEX(AQ$80:AQ$93,$D1157)/$E1157</f>
        <v/>
      </c>
      <c r="AR1157" s="35">
        <f>INDEX(AR$80:AR$93,$D1157)/$E1157</f>
        <v/>
      </c>
      <c r="AS1157" s="35">
        <f>INDEX(AS$80:AS$93,$D1157)/$E1157</f>
        <v/>
      </c>
      <c r="AT1157" s="35">
        <f>INDEX(AT$80:AT$93,$D1157)/$E1157</f>
        <v/>
      </c>
      <c r="AU1157" s="35">
        <f>INDEX(AU$80:AU$93,$D1157)/$E1157</f>
        <v/>
      </c>
      <c r="AV1157" s="35">
        <f>INDEX(AV$80:AV$93,$D1157)/$E1157</f>
        <v/>
      </c>
      <c r="AW1157" s="35">
        <f>INDEX(AW$80:AW$93,$D1157)/$E1157</f>
        <v/>
      </c>
      <c r="AX1157" s="35">
        <f>INDEX(AX$80:AX$93,$D1157)/$E1157</f>
        <v/>
      </c>
      <c r="AY1157" s="35">
        <f>INDEX(AY$80:AY$93,$D1157)/$E1157</f>
        <v/>
      </c>
      <c r="AZ1157" s="35">
        <f>INDEX(AZ$80:AZ$93,$D1157)/$E1157</f>
        <v/>
      </c>
      <c r="BA1157" s="42">
        <f>NEWEXCISE(INDEX(BA$80:BA$93,$D1157),$E1157)</f>
        <v/>
      </c>
    </row>
    <row r="1158" hidden="1" outlineLevel="2">
      <c r="A1158" s="14" t="inlineStr">
        <is>
          <t>ntx</t>
        </is>
      </c>
      <c r="B1158" s="14" t="inlineStr">
        <is>
          <t>ker</t>
        </is>
      </c>
      <c r="C1158" s="14" t="inlineStr">
        <is>
          <t>ral</t>
        </is>
      </c>
      <c r="D1158" s="35">
        <f>INDEX(Inputs!$N$5:$N$132,MATCH($B1158&amp;"|"&amp;$C1158,Inputs!$A$5:$A$132,0))</f>
        <v/>
      </c>
      <c r="E1158" s="35">
        <f>INDEX(Inputs!$K$5:$K$132,MATCH($B1158&amp;"|"&amp;$C1158,Inputs!$A$5:$A$132,0))</f>
        <v/>
      </c>
      <c r="F1158" s="39" t="n"/>
      <c r="G1158" s="39" t="n"/>
      <c r="H1158" s="14">
        <f>INDEX(VarLab,MATCH($A1158,VarKey,0))&amp;INDEX(MemLab,MATCH($C1158&amp;"|"&amp;$B1158,MemKey,0))</f>
        <v/>
      </c>
      <c r="I1158" s="14">
        <f>INDEX(VarUnit,MATCH($A1158,VarKey,0))</f>
        <v/>
      </c>
      <c r="J1158" s="14">
        <f>INDEX(VarSrc,MATCH($A1158,VarKey,0))</f>
        <v/>
      </c>
      <c r="K1158" s="11">
        <f>CodePrefix&amp;$A1158&amp;IF($C1158="","","."&amp;$C1158&amp;"."&amp;$B1158)&amp;INDEX(VarEnd,MATCH($A1158,VarKey,0))&amp;K$5</f>
        <v/>
      </c>
      <c r="L1158" s="40">
        <f>INDEX(L$80:L$93,$D1158)/$E1158</f>
        <v/>
      </c>
      <c r="M1158" s="35">
        <f>INDEX(M$80:M$93,$D1158)/$E1158</f>
        <v/>
      </c>
      <c r="N1158" s="35">
        <f>INDEX(N$80:N$93,$D1158)/$E1158</f>
        <v/>
      </c>
      <c r="O1158" s="35">
        <f>INDEX(O$80:O$93,$D1158)/$E1158</f>
        <v/>
      </c>
      <c r="P1158" s="35">
        <f>INDEX(P$80:P$93,$D1158)/$E1158</f>
        <v/>
      </c>
      <c r="Q1158" s="35">
        <f>INDEX(Q$80:Q$93,$D1158)/$E1158</f>
        <v/>
      </c>
      <c r="R1158" s="35">
        <f>INDEX(R$80:R$93,$D1158)/$E1158</f>
        <v/>
      </c>
      <c r="S1158" s="35">
        <f>INDEX(S$80:S$93,$D1158)/$E1158</f>
        <v/>
      </c>
      <c r="T1158" s="35">
        <f>INDEX(T$80:T$93,$D1158)/$E1158</f>
        <v/>
      </c>
      <c r="U1158" s="35">
        <f>INDEX(U$80:U$93,$D1158)/$E1158</f>
        <v/>
      </c>
      <c r="V1158" s="35">
        <f>INDEX(V$80:V$93,$D1158)/$E1158</f>
        <v/>
      </c>
      <c r="W1158" s="35">
        <f>INDEX(W$80:W$93,$D1158)/$E1158</f>
        <v/>
      </c>
      <c r="X1158" s="35">
        <f>INDEX(X$80:X$93,$D1158)/$E1158</f>
        <v/>
      </c>
      <c r="Y1158" s="35">
        <f>INDEX(Y$80:Y$93,$D1158)/$E1158</f>
        <v/>
      </c>
      <c r="Z1158" s="35">
        <f>INDEX(Z$80:Z$93,$D1158)/$E1158</f>
        <v/>
      </c>
      <c r="AA1158" s="35">
        <f>INDEX(AA$80:AA$93,$D1158)/$E1158</f>
        <v/>
      </c>
      <c r="AB1158" s="35">
        <f>INDEX(AB$80:AB$93,$D1158)/$E1158</f>
        <v/>
      </c>
      <c r="AC1158" s="35">
        <f>INDEX(AC$80:AC$93,$D1158)/$E1158</f>
        <v/>
      </c>
      <c r="AD1158" s="35">
        <f>INDEX(AD$80:AD$93,$D1158)/$E1158</f>
        <v/>
      </c>
      <c r="AE1158" s="42">
        <f>NEWEXCISE(INDEX(AE$80:AE$93,$D1158),$E1158)</f>
        <v/>
      </c>
      <c r="AG1158" s="11">
        <f>CodePrefix&amp;$A1158&amp;IF($C1158="","","."&amp;$C1158&amp;"."&amp;$B1158)&amp;INDEX(VarEnd,MATCH($A1158,VarKey,0))&amp;AG$5</f>
        <v/>
      </c>
      <c r="AH1158" s="40">
        <f>INDEX(AH$80:AH$93,$D1158)/$E1158</f>
        <v/>
      </c>
      <c r="AI1158" s="35">
        <f>INDEX(AI$80:AI$93,$D1158)/$E1158</f>
        <v/>
      </c>
      <c r="AJ1158" s="35">
        <f>INDEX(AJ$80:AJ$93,$D1158)/$E1158</f>
        <v/>
      </c>
      <c r="AK1158" s="35">
        <f>INDEX(AK$80:AK$93,$D1158)/$E1158</f>
        <v/>
      </c>
      <c r="AL1158" s="35">
        <f>INDEX(AL$80:AL$93,$D1158)/$E1158</f>
        <v/>
      </c>
      <c r="AM1158" s="35">
        <f>INDEX(AM$80:AM$93,$D1158)/$E1158</f>
        <v/>
      </c>
      <c r="AN1158" s="35">
        <f>INDEX(AN$80:AN$93,$D1158)/$E1158</f>
        <v/>
      </c>
      <c r="AO1158" s="35">
        <f>INDEX(AO$80:AO$93,$D1158)/$E1158</f>
        <v/>
      </c>
      <c r="AP1158" s="35">
        <f>INDEX(AP$80:AP$93,$D1158)/$E1158</f>
        <v/>
      </c>
      <c r="AQ1158" s="35">
        <f>INDEX(AQ$80:AQ$93,$D1158)/$E1158</f>
        <v/>
      </c>
      <c r="AR1158" s="35">
        <f>INDEX(AR$80:AR$93,$D1158)/$E1158</f>
        <v/>
      </c>
      <c r="AS1158" s="35">
        <f>INDEX(AS$80:AS$93,$D1158)/$E1158</f>
        <v/>
      </c>
      <c r="AT1158" s="35">
        <f>INDEX(AT$80:AT$93,$D1158)/$E1158</f>
        <v/>
      </c>
      <c r="AU1158" s="35">
        <f>INDEX(AU$80:AU$93,$D1158)/$E1158</f>
        <v/>
      </c>
      <c r="AV1158" s="35">
        <f>INDEX(AV$80:AV$93,$D1158)/$E1158</f>
        <v/>
      </c>
      <c r="AW1158" s="35">
        <f>INDEX(AW$80:AW$93,$D1158)/$E1158</f>
        <v/>
      </c>
      <c r="AX1158" s="35">
        <f>INDEX(AX$80:AX$93,$D1158)/$E1158</f>
        <v/>
      </c>
      <c r="AY1158" s="35">
        <f>INDEX(AY$80:AY$93,$D1158)/$E1158</f>
        <v/>
      </c>
      <c r="AZ1158" s="35">
        <f>INDEX(AZ$80:AZ$93,$D1158)/$E1158</f>
        <v/>
      </c>
      <c r="BA1158" s="42">
        <f>NEWEXCISE(INDEX(BA$80:BA$93,$D1158),$E1158)</f>
        <v/>
      </c>
    </row>
    <row r="1159" hidden="1" outlineLevel="2">
      <c r="A1159" s="14" t="inlineStr">
        <is>
          <t>ntx</t>
        </is>
      </c>
      <c r="B1159" s="14" t="inlineStr">
        <is>
          <t>oop</t>
        </is>
      </c>
      <c r="C1159" s="14" t="inlineStr">
        <is>
          <t>ral</t>
        </is>
      </c>
      <c r="D1159" s="35">
        <f>INDEX(Inputs!$N$5:$N$132,MATCH($B1159&amp;"|"&amp;$C1159,Inputs!$A$5:$A$132,0))</f>
        <v/>
      </c>
      <c r="E1159" s="35">
        <f>INDEX(Inputs!$K$5:$K$132,MATCH($B1159&amp;"|"&amp;$C1159,Inputs!$A$5:$A$132,0))</f>
        <v/>
      </c>
      <c r="F1159" s="39" t="n"/>
      <c r="G1159" s="39" t="n"/>
      <c r="H1159" s="14">
        <f>INDEX(VarLab,MATCH($A1159,VarKey,0))&amp;INDEX(MemLab,MATCH($C1159&amp;"|"&amp;$B1159,MemKey,0))</f>
        <v/>
      </c>
      <c r="I1159" s="14">
        <f>INDEX(VarUnit,MATCH($A1159,VarKey,0))</f>
        <v/>
      </c>
      <c r="J1159" s="14">
        <f>INDEX(VarSrc,MATCH($A1159,VarKey,0))</f>
        <v/>
      </c>
      <c r="K1159" s="11">
        <f>CodePrefix&amp;$A1159&amp;IF($C1159="","","."&amp;$C1159&amp;"."&amp;$B1159)&amp;INDEX(VarEnd,MATCH($A1159,VarKey,0))&amp;K$5</f>
        <v/>
      </c>
      <c r="L1159" s="40">
        <f>INDEX(L$80:L$93,$D1159)/$E1159</f>
        <v/>
      </c>
      <c r="M1159" s="35">
        <f>INDEX(M$80:M$93,$D1159)/$E1159</f>
        <v/>
      </c>
      <c r="N1159" s="35">
        <f>INDEX(N$80:N$93,$D1159)/$E1159</f>
        <v/>
      </c>
      <c r="O1159" s="35">
        <f>INDEX(O$80:O$93,$D1159)/$E1159</f>
        <v/>
      </c>
      <c r="P1159" s="35">
        <f>INDEX(P$80:P$93,$D1159)/$E1159</f>
        <v/>
      </c>
      <c r="Q1159" s="35">
        <f>INDEX(Q$80:Q$93,$D1159)/$E1159</f>
        <v/>
      </c>
      <c r="R1159" s="35">
        <f>INDEX(R$80:R$93,$D1159)/$E1159</f>
        <v/>
      </c>
      <c r="S1159" s="35">
        <f>INDEX(S$80:S$93,$D1159)/$E1159</f>
        <v/>
      </c>
      <c r="T1159" s="35">
        <f>INDEX(T$80:T$93,$D1159)/$E1159</f>
        <v/>
      </c>
      <c r="U1159" s="35">
        <f>INDEX(U$80:U$93,$D1159)/$E1159</f>
        <v/>
      </c>
      <c r="V1159" s="35">
        <f>INDEX(V$80:V$93,$D1159)/$E1159</f>
        <v/>
      </c>
      <c r="W1159" s="35">
        <f>INDEX(W$80:W$93,$D1159)/$E1159</f>
        <v/>
      </c>
      <c r="X1159" s="35">
        <f>INDEX(X$80:X$93,$D1159)/$E1159</f>
        <v/>
      </c>
      <c r="Y1159" s="35">
        <f>INDEX(Y$80:Y$93,$D1159)/$E1159</f>
        <v/>
      </c>
      <c r="Z1159" s="35">
        <f>INDEX(Z$80:Z$93,$D1159)/$E1159</f>
        <v/>
      </c>
      <c r="AA1159" s="35">
        <f>INDEX(AA$80:AA$93,$D1159)/$E1159</f>
        <v/>
      </c>
      <c r="AB1159" s="35">
        <f>INDEX(AB$80:AB$93,$D1159)/$E1159</f>
        <v/>
      </c>
      <c r="AC1159" s="35">
        <f>INDEX(AC$80:AC$93,$D1159)/$E1159</f>
        <v/>
      </c>
      <c r="AD1159" s="35">
        <f>INDEX(AD$80:AD$93,$D1159)/$E1159</f>
        <v/>
      </c>
      <c r="AE1159" s="42">
        <f>NEWEXCISE(INDEX(AE$80:AE$93,$D1159),$E1159)</f>
        <v/>
      </c>
      <c r="AG1159" s="11">
        <f>CodePrefix&amp;$A1159&amp;IF($C1159="","","."&amp;$C1159&amp;"."&amp;$B1159)&amp;INDEX(VarEnd,MATCH($A1159,VarKey,0))&amp;AG$5</f>
        <v/>
      </c>
      <c r="AH1159" s="40">
        <f>INDEX(AH$80:AH$93,$D1159)/$E1159</f>
        <v/>
      </c>
      <c r="AI1159" s="35">
        <f>INDEX(AI$80:AI$93,$D1159)/$E1159</f>
        <v/>
      </c>
      <c r="AJ1159" s="35">
        <f>INDEX(AJ$80:AJ$93,$D1159)/$E1159</f>
        <v/>
      </c>
      <c r="AK1159" s="35">
        <f>INDEX(AK$80:AK$93,$D1159)/$E1159</f>
        <v/>
      </c>
      <c r="AL1159" s="35">
        <f>INDEX(AL$80:AL$93,$D1159)/$E1159</f>
        <v/>
      </c>
      <c r="AM1159" s="35">
        <f>INDEX(AM$80:AM$93,$D1159)/$E1159</f>
        <v/>
      </c>
      <c r="AN1159" s="35">
        <f>INDEX(AN$80:AN$93,$D1159)/$E1159</f>
        <v/>
      </c>
      <c r="AO1159" s="35">
        <f>INDEX(AO$80:AO$93,$D1159)/$E1159</f>
        <v/>
      </c>
      <c r="AP1159" s="35">
        <f>INDEX(AP$80:AP$93,$D1159)/$E1159</f>
        <v/>
      </c>
      <c r="AQ1159" s="35">
        <f>INDEX(AQ$80:AQ$93,$D1159)/$E1159</f>
        <v/>
      </c>
      <c r="AR1159" s="35">
        <f>INDEX(AR$80:AR$93,$D1159)/$E1159</f>
        <v/>
      </c>
      <c r="AS1159" s="35">
        <f>INDEX(AS$80:AS$93,$D1159)/$E1159</f>
        <v/>
      </c>
      <c r="AT1159" s="35">
        <f>INDEX(AT$80:AT$93,$D1159)/$E1159</f>
        <v/>
      </c>
      <c r="AU1159" s="35">
        <f>INDEX(AU$80:AU$93,$D1159)/$E1159</f>
        <v/>
      </c>
      <c r="AV1159" s="35">
        <f>INDEX(AV$80:AV$93,$D1159)/$E1159</f>
        <v/>
      </c>
      <c r="AW1159" s="35">
        <f>INDEX(AW$80:AW$93,$D1159)/$E1159</f>
        <v/>
      </c>
      <c r="AX1159" s="35">
        <f>INDEX(AX$80:AX$93,$D1159)/$E1159</f>
        <v/>
      </c>
      <c r="AY1159" s="35">
        <f>INDEX(AY$80:AY$93,$D1159)/$E1159</f>
        <v/>
      </c>
      <c r="AZ1159" s="35">
        <f>INDEX(AZ$80:AZ$93,$D1159)/$E1159</f>
        <v/>
      </c>
      <c r="BA1159" s="42">
        <f>NEWEXCISE(INDEX(BA$80:BA$93,$D1159),$E1159)</f>
        <v/>
      </c>
    </row>
    <row r="1160" hidden="1" outlineLevel="2">
      <c r="A1160" s="14" t="inlineStr">
        <is>
          <t>ntx</t>
        </is>
      </c>
      <c r="B1160" s="14" t="inlineStr">
        <is>
          <t>bio</t>
        </is>
      </c>
      <c r="C1160" s="14" t="inlineStr">
        <is>
          <t>ral</t>
        </is>
      </c>
      <c r="D1160" s="35">
        <f>INDEX(Inputs!$N$5:$N$132,MATCH($B1160&amp;"|"&amp;$C1160,Inputs!$A$5:$A$132,0))</f>
        <v/>
      </c>
      <c r="E1160" s="35">
        <f>INDEX(Inputs!$K$5:$K$132,MATCH($B1160&amp;"|"&amp;$C1160,Inputs!$A$5:$A$132,0))</f>
        <v/>
      </c>
      <c r="F1160" s="39" t="n"/>
      <c r="G1160" s="39" t="n"/>
      <c r="H1160" s="14">
        <f>INDEX(VarLab,MATCH($A1160,VarKey,0))&amp;INDEX(MemLab,MATCH($C1160&amp;"|"&amp;$B1160,MemKey,0))</f>
        <v/>
      </c>
      <c r="I1160" s="14">
        <f>INDEX(VarUnit,MATCH($A1160,VarKey,0))</f>
        <v/>
      </c>
      <c r="J1160" s="14">
        <f>INDEX(VarSrc,MATCH($A1160,VarKey,0))</f>
        <v/>
      </c>
      <c r="K1160" s="11">
        <f>CodePrefix&amp;$A1160&amp;IF($C1160="","","."&amp;$C1160&amp;"."&amp;$B1160)&amp;INDEX(VarEnd,MATCH($A1160,VarKey,0))&amp;K$5</f>
        <v/>
      </c>
      <c r="L1160" s="40">
        <f>INDEX(L$80:L$93,$D1160)/$E1160</f>
        <v/>
      </c>
      <c r="M1160" s="35">
        <f>INDEX(M$80:M$93,$D1160)/$E1160</f>
        <v/>
      </c>
      <c r="N1160" s="35">
        <f>INDEX(N$80:N$93,$D1160)/$E1160</f>
        <v/>
      </c>
      <c r="O1160" s="35">
        <f>INDEX(O$80:O$93,$D1160)/$E1160</f>
        <v/>
      </c>
      <c r="P1160" s="35">
        <f>INDEX(P$80:P$93,$D1160)/$E1160</f>
        <v/>
      </c>
      <c r="Q1160" s="35">
        <f>INDEX(Q$80:Q$93,$D1160)/$E1160</f>
        <v/>
      </c>
      <c r="R1160" s="35">
        <f>INDEX(R$80:R$93,$D1160)/$E1160</f>
        <v/>
      </c>
      <c r="S1160" s="35">
        <f>INDEX(S$80:S$93,$D1160)/$E1160</f>
        <v/>
      </c>
      <c r="T1160" s="35">
        <f>INDEX(T$80:T$93,$D1160)/$E1160</f>
        <v/>
      </c>
      <c r="U1160" s="35">
        <f>INDEX(U$80:U$93,$D1160)/$E1160</f>
        <v/>
      </c>
      <c r="V1160" s="35">
        <f>INDEX(V$80:V$93,$D1160)/$E1160</f>
        <v/>
      </c>
      <c r="W1160" s="35">
        <f>INDEX(W$80:W$93,$D1160)/$E1160</f>
        <v/>
      </c>
      <c r="X1160" s="35">
        <f>INDEX(X$80:X$93,$D1160)/$E1160</f>
        <v/>
      </c>
      <c r="Y1160" s="35">
        <f>INDEX(Y$80:Y$93,$D1160)/$E1160</f>
        <v/>
      </c>
      <c r="Z1160" s="35">
        <f>INDEX(Z$80:Z$93,$D1160)/$E1160</f>
        <v/>
      </c>
      <c r="AA1160" s="35">
        <f>INDEX(AA$80:AA$93,$D1160)/$E1160</f>
        <v/>
      </c>
      <c r="AB1160" s="35">
        <f>INDEX(AB$80:AB$93,$D1160)/$E1160</f>
        <v/>
      </c>
      <c r="AC1160" s="35">
        <f>INDEX(AC$80:AC$93,$D1160)/$E1160</f>
        <v/>
      </c>
      <c r="AD1160" s="35">
        <f>INDEX(AD$80:AD$93,$D1160)/$E1160</f>
        <v/>
      </c>
      <c r="AE1160" s="42">
        <f>NEWEXCISE(INDEX(AE$80:AE$93,$D1160),$E1160)</f>
        <v/>
      </c>
      <c r="AG1160" s="11">
        <f>CodePrefix&amp;$A1160&amp;IF($C1160="","","."&amp;$C1160&amp;"."&amp;$B1160)&amp;INDEX(VarEnd,MATCH($A1160,VarKey,0))&amp;AG$5</f>
        <v/>
      </c>
      <c r="AH1160" s="40">
        <f>INDEX(AH$80:AH$93,$D1160)/$E1160</f>
        <v/>
      </c>
      <c r="AI1160" s="35">
        <f>INDEX(AI$80:AI$93,$D1160)/$E1160</f>
        <v/>
      </c>
      <c r="AJ1160" s="35">
        <f>INDEX(AJ$80:AJ$93,$D1160)/$E1160</f>
        <v/>
      </c>
      <c r="AK1160" s="35">
        <f>INDEX(AK$80:AK$93,$D1160)/$E1160</f>
        <v/>
      </c>
      <c r="AL1160" s="35">
        <f>INDEX(AL$80:AL$93,$D1160)/$E1160</f>
        <v/>
      </c>
      <c r="AM1160" s="35">
        <f>INDEX(AM$80:AM$93,$D1160)/$E1160</f>
        <v/>
      </c>
      <c r="AN1160" s="35">
        <f>INDEX(AN$80:AN$93,$D1160)/$E1160</f>
        <v/>
      </c>
      <c r="AO1160" s="35">
        <f>INDEX(AO$80:AO$93,$D1160)/$E1160</f>
        <v/>
      </c>
      <c r="AP1160" s="35">
        <f>INDEX(AP$80:AP$93,$D1160)/$E1160</f>
        <v/>
      </c>
      <c r="AQ1160" s="35">
        <f>INDEX(AQ$80:AQ$93,$D1160)/$E1160</f>
        <v/>
      </c>
      <c r="AR1160" s="35">
        <f>INDEX(AR$80:AR$93,$D1160)/$E1160</f>
        <v/>
      </c>
      <c r="AS1160" s="35">
        <f>INDEX(AS$80:AS$93,$D1160)/$E1160</f>
        <v/>
      </c>
      <c r="AT1160" s="35">
        <f>INDEX(AT$80:AT$93,$D1160)/$E1160</f>
        <v/>
      </c>
      <c r="AU1160" s="35">
        <f>INDEX(AU$80:AU$93,$D1160)/$E1160</f>
        <v/>
      </c>
      <c r="AV1160" s="35">
        <f>INDEX(AV$80:AV$93,$D1160)/$E1160</f>
        <v/>
      </c>
      <c r="AW1160" s="35">
        <f>INDEX(AW$80:AW$93,$D1160)/$E1160</f>
        <v/>
      </c>
      <c r="AX1160" s="35">
        <f>INDEX(AX$80:AX$93,$D1160)/$E1160</f>
        <v/>
      </c>
      <c r="AY1160" s="35">
        <f>INDEX(AY$80:AY$93,$D1160)/$E1160</f>
        <v/>
      </c>
      <c r="AZ1160" s="35">
        <f>INDEX(AZ$80:AZ$93,$D1160)/$E1160</f>
        <v/>
      </c>
      <c r="BA1160" s="42">
        <f>NEWEXCISE(INDEX(BA$80:BA$93,$D1160),$E1160)</f>
        <v/>
      </c>
    </row>
    <row r="1161" hidden="1" outlineLevel="2"/>
    <row r="1162" hidden="1" outlineLevel="2">
      <c r="A1162" s="14" t="inlineStr">
        <is>
          <t>nce</t>
        </is>
      </c>
      <c r="B1162" s="14" t="inlineStr">
        <is>
          <t>coa</t>
        </is>
      </c>
      <c r="C1162" s="14" t="inlineStr">
        <is>
          <t>ral</t>
        </is>
      </c>
      <c r="D1162" s="39" t="n"/>
      <c r="E1162" s="39" t="n"/>
      <c r="F1162" s="39" t="n"/>
      <c r="G1162" s="39" t="n"/>
      <c r="H1162" s="14">
        <f>INDEX(VarLab,MATCH($A1162,VarKey,0))&amp;INDEX(MemLab,MATCH($C1162&amp;"|"&amp;$B1162,MemKey,0))</f>
        <v/>
      </c>
      <c r="I1162" s="14">
        <f>INDEX(VarUnit,MATCH($A1162,VarKey,0))</f>
        <v/>
      </c>
      <c r="J1162" s="14">
        <f>INDEX(VarSrc,MATCH($A1162,VarKey,0))</f>
        <v/>
      </c>
      <c r="K1162" s="11">
        <f>CodePrefix&amp;$A1162&amp;IF($C1162="","","."&amp;$C1162&amp;"."&amp;$B1162)&amp;INDEX(VarEnd,MATCH($A1162,VarKey,0))&amp;K$5</f>
        <v/>
      </c>
      <c r="L1162" s="40">
        <f>L1135+L1144+L1153</f>
        <v/>
      </c>
      <c r="M1162" s="35">
        <f>M1135+M1144+M1153</f>
        <v/>
      </c>
      <c r="N1162" s="35">
        <f>N1135+N1144+N1153</f>
        <v/>
      </c>
      <c r="O1162" s="35">
        <f>O1135+O1144+O1153</f>
        <v/>
      </c>
      <c r="P1162" s="35">
        <f>P1135+P1144+P1153</f>
        <v/>
      </c>
      <c r="Q1162" s="35">
        <f>Q1135+Q1144+Q1153</f>
        <v/>
      </c>
      <c r="R1162" s="35">
        <f>R1135+R1144+R1153</f>
        <v/>
      </c>
      <c r="S1162" s="35">
        <f>S1135+S1144+S1153</f>
        <v/>
      </c>
      <c r="T1162" s="35">
        <f>T1135+T1144+T1153</f>
        <v/>
      </c>
      <c r="U1162" s="35">
        <f>U1135+U1144+U1153</f>
        <v/>
      </c>
      <c r="V1162" s="35">
        <f>V1135+V1144+V1153</f>
        <v/>
      </c>
      <c r="W1162" s="35">
        <f>W1135+W1144+W1153</f>
        <v/>
      </c>
      <c r="X1162" s="35">
        <f>X1135+X1144+X1153</f>
        <v/>
      </c>
      <c r="Y1162" s="35">
        <f>Y1135+Y1144+Y1153</f>
        <v/>
      </c>
      <c r="Z1162" s="35">
        <f>Z1135+Z1144+Z1153</f>
        <v/>
      </c>
      <c r="AA1162" s="35">
        <f>AA1135+AA1144+AA1153</f>
        <v/>
      </c>
      <c r="AB1162" s="35">
        <f>AB1135+AB1144+AB1153</f>
        <v/>
      </c>
      <c r="AC1162" s="35">
        <f>AC1135+AC1144+AC1153</f>
        <v/>
      </c>
      <c r="AD1162" s="35">
        <f>AD1135+AD1144+AD1153</f>
        <v/>
      </c>
      <c r="AE1162" s="42">
        <f>NEWPOLICY(AE1135,AE1144,AE1153)</f>
        <v/>
      </c>
      <c r="AG1162" s="11">
        <f>CodePrefix&amp;$A1162&amp;IF($C1162="","","."&amp;$C1162&amp;"."&amp;$B1162)&amp;INDEX(VarEnd,MATCH($A1162,VarKey,0))&amp;AG$5</f>
        <v/>
      </c>
      <c r="AH1162" s="40">
        <f>AH1135+AH1144+AH1153</f>
        <v/>
      </c>
      <c r="AI1162" s="35">
        <f>AI1135+AI1144+AI1153</f>
        <v/>
      </c>
      <c r="AJ1162" s="35">
        <f>AJ1135+AJ1144+AJ1153</f>
        <v/>
      </c>
      <c r="AK1162" s="35">
        <f>AK1135+AK1144+AK1153</f>
        <v/>
      </c>
      <c r="AL1162" s="35">
        <f>AL1135+AL1144+AL1153</f>
        <v/>
      </c>
      <c r="AM1162" s="35">
        <f>AM1135+AM1144+AM1153</f>
        <v/>
      </c>
      <c r="AN1162" s="35">
        <f>AN1135+AN1144+AN1153</f>
        <v/>
      </c>
      <c r="AO1162" s="35">
        <f>AO1135+AO1144+AO1153</f>
        <v/>
      </c>
      <c r="AP1162" s="35">
        <f>AP1135+AP1144+AP1153</f>
        <v/>
      </c>
      <c r="AQ1162" s="35">
        <f>AQ1135+AQ1144+AQ1153</f>
        <v/>
      </c>
      <c r="AR1162" s="35">
        <f>AR1135+AR1144+AR1153</f>
        <v/>
      </c>
      <c r="AS1162" s="35">
        <f>AS1135+AS1144+AS1153</f>
        <v/>
      </c>
      <c r="AT1162" s="35">
        <f>AT1135+AT1144+AT1153</f>
        <v/>
      </c>
      <c r="AU1162" s="35">
        <f>AU1135+AU1144+AU1153</f>
        <v/>
      </c>
      <c r="AV1162" s="35">
        <f>AV1135+AV1144+AV1153</f>
        <v/>
      </c>
      <c r="AW1162" s="35">
        <f>AW1135+AW1144+AW1153</f>
        <v/>
      </c>
      <c r="AX1162" s="35">
        <f>AX1135+AX1144+AX1153</f>
        <v/>
      </c>
      <c r="AY1162" s="35">
        <f>AY1135+AY1144+AY1153</f>
        <v/>
      </c>
      <c r="AZ1162" s="35">
        <f>AZ1135+AZ1144+AZ1153</f>
        <v/>
      </c>
      <c r="BA1162" s="42">
        <f>NEWPOLICY(BA1135,BA1144,BA1153)</f>
        <v/>
      </c>
    </row>
    <row r="1163" hidden="1" outlineLevel="2">
      <c r="A1163" s="14" t="inlineStr">
        <is>
          <t>nce</t>
        </is>
      </c>
      <c r="B1163" s="14" t="inlineStr">
        <is>
          <t>nga</t>
        </is>
      </c>
      <c r="C1163" s="14" t="inlineStr">
        <is>
          <t>ral</t>
        </is>
      </c>
      <c r="D1163" s="39" t="n"/>
      <c r="E1163" s="39" t="n"/>
      <c r="F1163" s="39" t="n"/>
      <c r="G1163" s="39" t="n"/>
      <c r="H1163" s="14">
        <f>INDEX(VarLab,MATCH($A1163,VarKey,0))&amp;INDEX(MemLab,MATCH($C1163&amp;"|"&amp;$B1163,MemKey,0))</f>
        <v/>
      </c>
      <c r="I1163" s="14">
        <f>INDEX(VarUnit,MATCH($A1163,VarKey,0))</f>
        <v/>
      </c>
      <c r="J1163" s="14">
        <f>INDEX(VarSrc,MATCH($A1163,VarKey,0))</f>
        <v/>
      </c>
      <c r="K1163" s="11">
        <f>CodePrefix&amp;$A1163&amp;IF($C1163="","","."&amp;$C1163&amp;"."&amp;$B1163)&amp;INDEX(VarEnd,MATCH($A1163,VarKey,0))&amp;K$5</f>
        <v/>
      </c>
      <c r="L1163" s="40">
        <f>L1136+L1145+L1154</f>
        <v/>
      </c>
      <c r="M1163" s="35">
        <f>M1136+M1145+M1154</f>
        <v/>
      </c>
      <c r="N1163" s="35">
        <f>N1136+N1145+N1154</f>
        <v/>
      </c>
      <c r="O1163" s="35">
        <f>O1136+O1145+O1154</f>
        <v/>
      </c>
      <c r="P1163" s="35">
        <f>P1136+P1145+P1154</f>
        <v/>
      </c>
      <c r="Q1163" s="35">
        <f>Q1136+Q1145+Q1154</f>
        <v/>
      </c>
      <c r="R1163" s="35">
        <f>R1136+R1145+R1154</f>
        <v/>
      </c>
      <c r="S1163" s="35">
        <f>S1136+S1145+S1154</f>
        <v/>
      </c>
      <c r="T1163" s="35">
        <f>T1136+T1145+T1154</f>
        <v/>
      </c>
      <c r="U1163" s="35">
        <f>U1136+U1145+U1154</f>
        <v/>
      </c>
      <c r="V1163" s="35">
        <f>V1136+V1145+V1154</f>
        <v/>
      </c>
      <c r="W1163" s="35">
        <f>W1136+W1145+W1154</f>
        <v/>
      </c>
      <c r="X1163" s="35">
        <f>X1136+X1145+X1154</f>
        <v/>
      </c>
      <c r="Y1163" s="35">
        <f>Y1136+Y1145+Y1154</f>
        <v/>
      </c>
      <c r="Z1163" s="35">
        <f>Z1136+Z1145+Z1154</f>
        <v/>
      </c>
      <c r="AA1163" s="35">
        <f>AA1136+AA1145+AA1154</f>
        <v/>
      </c>
      <c r="AB1163" s="35">
        <f>AB1136+AB1145+AB1154</f>
        <v/>
      </c>
      <c r="AC1163" s="35">
        <f>AC1136+AC1145+AC1154</f>
        <v/>
      </c>
      <c r="AD1163" s="35">
        <f>AD1136+AD1145+AD1154</f>
        <v/>
      </c>
      <c r="AE1163" s="42">
        <f>NEWPOLICY(AE1136,AE1145,AE1154)</f>
        <v/>
      </c>
      <c r="AG1163" s="11">
        <f>CodePrefix&amp;$A1163&amp;IF($C1163="","","."&amp;$C1163&amp;"."&amp;$B1163)&amp;INDEX(VarEnd,MATCH($A1163,VarKey,0))&amp;AG$5</f>
        <v/>
      </c>
      <c r="AH1163" s="40">
        <f>AH1136+AH1145+AH1154</f>
        <v/>
      </c>
      <c r="AI1163" s="35">
        <f>AI1136+AI1145+AI1154</f>
        <v/>
      </c>
      <c r="AJ1163" s="35">
        <f>AJ1136+AJ1145+AJ1154</f>
        <v/>
      </c>
      <c r="AK1163" s="35">
        <f>AK1136+AK1145+AK1154</f>
        <v/>
      </c>
      <c r="AL1163" s="35">
        <f>AL1136+AL1145+AL1154</f>
        <v/>
      </c>
      <c r="AM1163" s="35">
        <f>AM1136+AM1145+AM1154</f>
        <v/>
      </c>
      <c r="AN1163" s="35">
        <f>AN1136+AN1145+AN1154</f>
        <v/>
      </c>
      <c r="AO1163" s="35">
        <f>AO1136+AO1145+AO1154</f>
        <v/>
      </c>
      <c r="AP1163" s="35">
        <f>AP1136+AP1145+AP1154</f>
        <v/>
      </c>
      <c r="AQ1163" s="35">
        <f>AQ1136+AQ1145+AQ1154</f>
        <v/>
      </c>
      <c r="AR1163" s="35">
        <f>AR1136+AR1145+AR1154</f>
        <v/>
      </c>
      <c r="AS1163" s="35">
        <f>AS1136+AS1145+AS1154</f>
        <v/>
      </c>
      <c r="AT1163" s="35">
        <f>AT1136+AT1145+AT1154</f>
        <v/>
      </c>
      <c r="AU1163" s="35">
        <f>AU1136+AU1145+AU1154</f>
        <v/>
      </c>
      <c r="AV1163" s="35">
        <f>AV1136+AV1145+AV1154</f>
        <v/>
      </c>
      <c r="AW1163" s="35">
        <f>AW1136+AW1145+AW1154</f>
        <v/>
      </c>
      <c r="AX1163" s="35">
        <f>AX1136+AX1145+AX1154</f>
        <v/>
      </c>
      <c r="AY1163" s="35">
        <f>AY1136+AY1145+AY1154</f>
        <v/>
      </c>
      <c r="AZ1163" s="35">
        <f>AZ1136+AZ1145+AZ1154</f>
        <v/>
      </c>
      <c r="BA1163" s="42">
        <f>NEWPOLICY(BA1136,BA1145,BA1154)</f>
        <v/>
      </c>
    </row>
    <row r="1164" hidden="1" outlineLevel="2">
      <c r="A1164" s="14" t="inlineStr">
        <is>
          <t>nce</t>
        </is>
      </c>
      <c r="B1164" s="14" t="inlineStr">
        <is>
          <t>gso</t>
        </is>
      </c>
      <c r="C1164" s="14" t="inlineStr">
        <is>
          <t>ral</t>
        </is>
      </c>
      <c r="D1164" s="39" t="n"/>
      <c r="E1164" s="39" t="n"/>
      <c r="F1164" s="39" t="n"/>
      <c r="G1164" s="39" t="n"/>
      <c r="H1164" s="14">
        <f>INDEX(VarLab,MATCH($A1164,VarKey,0))&amp;INDEX(MemLab,MATCH($C1164&amp;"|"&amp;$B1164,MemKey,0))</f>
        <v/>
      </c>
      <c r="I1164" s="14">
        <f>INDEX(VarUnit,MATCH($A1164,VarKey,0))</f>
        <v/>
      </c>
      <c r="J1164" s="14">
        <f>INDEX(VarSrc,MATCH($A1164,VarKey,0))</f>
        <v/>
      </c>
      <c r="K1164" s="11">
        <f>CodePrefix&amp;$A1164&amp;IF($C1164="","","."&amp;$C1164&amp;"."&amp;$B1164)&amp;INDEX(VarEnd,MATCH($A1164,VarKey,0))&amp;K$5</f>
        <v/>
      </c>
      <c r="L1164" s="40">
        <f>L1137+L1146+L1155</f>
        <v/>
      </c>
      <c r="M1164" s="35">
        <f>M1137+M1146+M1155</f>
        <v/>
      </c>
      <c r="N1164" s="35">
        <f>N1137+N1146+N1155</f>
        <v/>
      </c>
      <c r="O1164" s="35">
        <f>O1137+O1146+O1155</f>
        <v/>
      </c>
      <c r="P1164" s="35">
        <f>P1137+P1146+P1155</f>
        <v/>
      </c>
      <c r="Q1164" s="35">
        <f>Q1137+Q1146+Q1155</f>
        <v/>
      </c>
      <c r="R1164" s="35">
        <f>R1137+R1146+R1155</f>
        <v/>
      </c>
      <c r="S1164" s="35">
        <f>S1137+S1146+S1155</f>
        <v/>
      </c>
      <c r="T1164" s="35">
        <f>T1137+T1146+T1155</f>
        <v/>
      </c>
      <c r="U1164" s="35">
        <f>U1137+U1146+U1155</f>
        <v/>
      </c>
      <c r="V1164" s="35">
        <f>V1137+V1146+V1155</f>
        <v/>
      </c>
      <c r="W1164" s="35">
        <f>W1137+W1146+W1155</f>
        <v/>
      </c>
      <c r="X1164" s="35">
        <f>X1137+X1146+X1155</f>
        <v/>
      </c>
      <c r="Y1164" s="35">
        <f>Y1137+Y1146+Y1155</f>
        <v/>
      </c>
      <c r="Z1164" s="35">
        <f>Z1137+Z1146+Z1155</f>
        <v/>
      </c>
      <c r="AA1164" s="35">
        <f>AA1137+AA1146+AA1155</f>
        <v/>
      </c>
      <c r="AB1164" s="35">
        <f>AB1137+AB1146+AB1155</f>
        <v/>
      </c>
      <c r="AC1164" s="35">
        <f>AC1137+AC1146+AC1155</f>
        <v/>
      </c>
      <c r="AD1164" s="35">
        <f>AD1137+AD1146+AD1155</f>
        <v/>
      </c>
      <c r="AE1164" s="42">
        <f>NEWPOLICY(AE1137,AE1146,AE1155)</f>
        <v/>
      </c>
      <c r="AG1164" s="11">
        <f>CodePrefix&amp;$A1164&amp;IF($C1164="","","."&amp;$C1164&amp;"."&amp;$B1164)&amp;INDEX(VarEnd,MATCH($A1164,VarKey,0))&amp;AG$5</f>
        <v/>
      </c>
      <c r="AH1164" s="40">
        <f>AH1137+AH1146+AH1155</f>
        <v/>
      </c>
      <c r="AI1164" s="35">
        <f>AI1137+AI1146+AI1155</f>
        <v/>
      </c>
      <c r="AJ1164" s="35">
        <f>AJ1137+AJ1146+AJ1155</f>
        <v/>
      </c>
      <c r="AK1164" s="35">
        <f>AK1137+AK1146+AK1155</f>
        <v/>
      </c>
      <c r="AL1164" s="35">
        <f>AL1137+AL1146+AL1155</f>
        <v/>
      </c>
      <c r="AM1164" s="35">
        <f>AM1137+AM1146+AM1155</f>
        <v/>
      </c>
      <c r="AN1164" s="35">
        <f>AN1137+AN1146+AN1155</f>
        <v/>
      </c>
      <c r="AO1164" s="35">
        <f>AO1137+AO1146+AO1155</f>
        <v/>
      </c>
      <c r="AP1164" s="35">
        <f>AP1137+AP1146+AP1155</f>
        <v/>
      </c>
      <c r="AQ1164" s="35">
        <f>AQ1137+AQ1146+AQ1155</f>
        <v/>
      </c>
      <c r="AR1164" s="35">
        <f>AR1137+AR1146+AR1155</f>
        <v/>
      </c>
      <c r="AS1164" s="35">
        <f>AS1137+AS1146+AS1155</f>
        <v/>
      </c>
      <c r="AT1164" s="35">
        <f>AT1137+AT1146+AT1155</f>
        <v/>
      </c>
      <c r="AU1164" s="35">
        <f>AU1137+AU1146+AU1155</f>
        <v/>
      </c>
      <c r="AV1164" s="35">
        <f>AV1137+AV1146+AV1155</f>
        <v/>
      </c>
      <c r="AW1164" s="35">
        <f>AW1137+AW1146+AW1155</f>
        <v/>
      </c>
      <c r="AX1164" s="35">
        <f>AX1137+AX1146+AX1155</f>
        <v/>
      </c>
      <c r="AY1164" s="35">
        <f>AY1137+AY1146+AY1155</f>
        <v/>
      </c>
      <c r="AZ1164" s="35">
        <f>AZ1137+AZ1146+AZ1155</f>
        <v/>
      </c>
      <c r="BA1164" s="42">
        <f>NEWPOLICY(BA1137,BA1146,BA1155)</f>
        <v/>
      </c>
    </row>
    <row r="1165" hidden="1" outlineLevel="2">
      <c r="A1165" s="14" t="inlineStr">
        <is>
          <t>nce</t>
        </is>
      </c>
      <c r="B1165" s="14" t="inlineStr">
        <is>
          <t>die</t>
        </is>
      </c>
      <c r="C1165" s="14" t="inlineStr">
        <is>
          <t>ral</t>
        </is>
      </c>
      <c r="D1165" s="39" t="n"/>
      <c r="E1165" s="39" t="n"/>
      <c r="F1165" s="39" t="n"/>
      <c r="G1165" s="39" t="n"/>
      <c r="H1165" s="14">
        <f>INDEX(VarLab,MATCH($A1165,VarKey,0))&amp;INDEX(MemLab,MATCH($C1165&amp;"|"&amp;$B1165,MemKey,0))</f>
        <v/>
      </c>
      <c r="I1165" s="14">
        <f>INDEX(VarUnit,MATCH($A1165,VarKey,0))</f>
        <v/>
      </c>
      <c r="J1165" s="14">
        <f>INDEX(VarSrc,MATCH($A1165,VarKey,0))</f>
        <v/>
      </c>
      <c r="K1165" s="11">
        <f>CodePrefix&amp;$A1165&amp;IF($C1165="","","."&amp;$C1165&amp;"."&amp;$B1165)&amp;INDEX(VarEnd,MATCH($A1165,VarKey,0))&amp;K$5</f>
        <v/>
      </c>
      <c r="L1165" s="40">
        <f>L1138+L1147+L1156</f>
        <v/>
      </c>
      <c r="M1165" s="35">
        <f>M1138+M1147+M1156</f>
        <v/>
      </c>
      <c r="N1165" s="35">
        <f>N1138+N1147+N1156</f>
        <v/>
      </c>
      <c r="O1165" s="35">
        <f>O1138+O1147+O1156</f>
        <v/>
      </c>
      <c r="P1165" s="35">
        <f>P1138+P1147+P1156</f>
        <v/>
      </c>
      <c r="Q1165" s="35">
        <f>Q1138+Q1147+Q1156</f>
        <v/>
      </c>
      <c r="R1165" s="35">
        <f>R1138+R1147+R1156</f>
        <v/>
      </c>
      <c r="S1165" s="35">
        <f>S1138+S1147+S1156</f>
        <v/>
      </c>
      <c r="T1165" s="35">
        <f>T1138+T1147+T1156</f>
        <v/>
      </c>
      <c r="U1165" s="35">
        <f>U1138+U1147+U1156</f>
        <v/>
      </c>
      <c r="V1165" s="35">
        <f>V1138+V1147+V1156</f>
        <v/>
      </c>
      <c r="W1165" s="35">
        <f>W1138+W1147+W1156</f>
        <v/>
      </c>
      <c r="X1165" s="35">
        <f>X1138+X1147+X1156</f>
        <v/>
      </c>
      <c r="Y1165" s="35">
        <f>Y1138+Y1147+Y1156</f>
        <v/>
      </c>
      <c r="Z1165" s="35">
        <f>Z1138+Z1147+Z1156</f>
        <v/>
      </c>
      <c r="AA1165" s="35">
        <f>AA1138+AA1147+AA1156</f>
        <v/>
      </c>
      <c r="AB1165" s="35">
        <f>AB1138+AB1147+AB1156</f>
        <v/>
      </c>
      <c r="AC1165" s="35">
        <f>AC1138+AC1147+AC1156</f>
        <v/>
      </c>
      <c r="AD1165" s="35">
        <f>AD1138+AD1147+AD1156</f>
        <v/>
      </c>
      <c r="AE1165" s="42">
        <f>NEWPOLICY(AE1138,AE1147,AE1156)</f>
        <v/>
      </c>
      <c r="AG1165" s="11">
        <f>CodePrefix&amp;$A1165&amp;IF($C1165="","","."&amp;$C1165&amp;"."&amp;$B1165)&amp;INDEX(VarEnd,MATCH($A1165,VarKey,0))&amp;AG$5</f>
        <v/>
      </c>
      <c r="AH1165" s="40">
        <f>AH1138+AH1147+AH1156</f>
        <v/>
      </c>
      <c r="AI1165" s="35">
        <f>AI1138+AI1147+AI1156</f>
        <v/>
      </c>
      <c r="AJ1165" s="35">
        <f>AJ1138+AJ1147+AJ1156</f>
        <v/>
      </c>
      <c r="AK1165" s="35">
        <f>AK1138+AK1147+AK1156</f>
        <v/>
      </c>
      <c r="AL1165" s="35">
        <f>AL1138+AL1147+AL1156</f>
        <v/>
      </c>
      <c r="AM1165" s="35">
        <f>AM1138+AM1147+AM1156</f>
        <v/>
      </c>
      <c r="AN1165" s="35">
        <f>AN1138+AN1147+AN1156</f>
        <v/>
      </c>
      <c r="AO1165" s="35">
        <f>AO1138+AO1147+AO1156</f>
        <v/>
      </c>
      <c r="AP1165" s="35">
        <f>AP1138+AP1147+AP1156</f>
        <v/>
      </c>
      <c r="AQ1165" s="35">
        <f>AQ1138+AQ1147+AQ1156</f>
        <v/>
      </c>
      <c r="AR1165" s="35">
        <f>AR1138+AR1147+AR1156</f>
        <v/>
      </c>
      <c r="AS1165" s="35">
        <f>AS1138+AS1147+AS1156</f>
        <v/>
      </c>
      <c r="AT1165" s="35">
        <f>AT1138+AT1147+AT1156</f>
        <v/>
      </c>
      <c r="AU1165" s="35">
        <f>AU1138+AU1147+AU1156</f>
        <v/>
      </c>
      <c r="AV1165" s="35">
        <f>AV1138+AV1147+AV1156</f>
        <v/>
      </c>
      <c r="AW1165" s="35">
        <f>AW1138+AW1147+AW1156</f>
        <v/>
      </c>
      <c r="AX1165" s="35">
        <f>AX1138+AX1147+AX1156</f>
        <v/>
      </c>
      <c r="AY1165" s="35">
        <f>AY1138+AY1147+AY1156</f>
        <v/>
      </c>
      <c r="AZ1165" s="35">
        <f>AZ1138+AZ1147+AZ1156</f>
        <v/>
      </c>
      <c r="BA1165" s="42">
        <f>NEWPOLICY(BA1138,BA1147,BA1156)</f>
        <v/>
      </c>
    </row>
    <row r="1166" hidden="1" outlineLevel="2">
      <c r="A1166" s="14" t="inlineStr">
        <is>
          <t>nce</t>
        </is>
      </c>
      <c r="B1166" s="14" t="inlineStr">
        <is>
          <t>lpg</t>
        </is>
      </c>
      <c r="C1166" s="14" t="inlineStr">
        <is>
          <t>ral</t>
        </is>
      </c>
      <c r="D1166" s="39" t="n"/>
      <c r="E1166" s="39" t="n"/>
      <c r="F1166" s="39" t="n"/>
      <c r="G1166" s="39" t="n"/>
      <c r="H1166" s="14">
        <f>INDEX(VarLab,MATCH($A1166,VarKey,0))&amp;INDEX(MemLab,MATCH($C1166&amp;"|"&amp;$B1166,MemKey,0))</f>
        <v/>
      </c>
      <c r="I1166" s="14">
        <f>INDEX(VarUnit,MATCH($A1166,VarKey,0))</f>
        <v/>
      </c>
      <c r="J1166" s="14">
        <f>INDEX(VarSrc,MATCH($A1166,VarKey,0))</f>
        <v/>
      </c>
      <c r="K1166" s="11">
        <f>CodePrefix&amp;$A1166&amp;IF($C1166="","","."&amp;$C1166&amp;"."&amp;$B1166)&amp;INDEX(VarEnd,MATCH($A1166,VarKey,0))&amp;K$5</f>
        <v/>
      </c>
      <c r="L1166" s="40">
        <f>L1139+L1148+L1157</f>
        <v/>
      </c>
      <c r="M1166" s="35">
        <f>M1139+M1148+M1157</f>
        <v/>
      </c>
      <c r="N1166" s="35">
        <f>N1139+N1148+N1157</f>
        <v/>
      </c>
      <c r="O1166" s="35">
        <f>O1139+O1148+O1157</f>
        <v/>
      </c>
      <c r="P1166" s="35">
        <f>P1139+P1148+P1157</f>
        <v/>
      </c>
      <c r="Q1166" s="35">
        <f>Q1139+Q1148+Q1157</f>
        <v/>
      </c>
      <c r="R1166" s="35">
        <f>R1139+R1148+R1157</f>
        <v/>
      </c>
      <c r="S1166" s="35">
        <f>S1139+S1148+S1157</f>
        <v/>
      </c>
      <c r="T1166" s="35">
        <f>T1139+T1148+T1157</f>
        <v/>
      </c>
      <c r="U1166" s="35">
        <f>U1139+U1148+U1157</f>
        <v/>
      </c>
      <c r="V1166" s="35">
        <f>V1139+V1148+V1157</f>
        <v/>
      </c>
      <c r="W1166" s="35">
        <f>W1139+W1148+W1157</f>
        <v/>
      </c>
      <c r="X1166" s="35">
        <f>X1139+X1148+X1157</f>
        <v/>
      </c>
      <c r="Y1166" s="35">
        <f>Y1139+Y1148+Y1157</f>
        <v/>
      </c>
      <c r="Z1166" s="35">
        <f>Z1139+Z1148+Z1157</f>
        <v/>
      </c>
      <c r="AA1166" s="35">
        <f>AA1139+AA1148+AA1157</f>
        <v/>
      </c>
      <c r="AB1166" s="35">
        <f>AB1139+AB1148+AB1157</f>
        <v/>
      </c>
      <c r="AC1166" s="35">
        <f>AC1139+AC1148+AC1157</f>
        <v/>
      </c>
      <c r="AD1166" s="35">
        <f>AD1139+AD1148+AD1157</f>
        <v/>
      </c>
      <c r="AE1166" s="42">
        <f>NEWPOLICY(AE1139,AE1148,AE1157)</f>
        <v/>
      </c>
      <c r="AG1166" s="11">
        <f>CodePrefix&amp;$A1166&amp;IF($C1166="","","."&amp;$C1166&amp;"."&amp;$B1166)&amp;INDEX(VarEnd,MATCH($A1166,VarKey,0))&amp;AG$5</f>
        <v/>
      </c>
      <c r="AH1166" s="40">
        <f>AH1139+AH1148+AH1157</f>
        <v/>
      </c>
      <c r="AI1166" s="35">
        <f>AI1139+AI1148+AI1157</f>
        <v/>
      </c>
      <c r="AJ1166" s="35">
        <f>AJ1139+AJ1148+AJ1157</f>
        <v/>
      </c>
      <c r="AK1166" s="35">
        <f>AK1139+AK1148+AK1157</f>
        <v/>
      </c>
      <c r="AL1166" s="35">
        <f>AL1139+AL1148+AL1157</f>
        <v/>
      </c>
      <c r="AM1166" s="35">
        <f>AM1139+AM1148+AM1157</f>
        <v/>
      </c>
      <c r="AN1166" s="35">
        <f>AN1139+AN1148+AN1157</f>
        <v/>
      </c>
      <c r="AO1166" s="35">
        <f>AO1139+AO1148+AO1157</f>
        <v/>
      </c>
      <c r="AP1166" s="35">
        <f>AP1139+AP1148+AP1157</f>
        <v/>
      </c>
      <c r="AQ1166" s="35">
        <f>AQ1139+AQ1148+AQ1157</f>
        <v/>
      </c>
      <c r="AR1166" s="35">
        <f>AR1139+AR1148+AR1157</f>
        <v/>
      </c>
      <c r="AS1166" s="35">
        <f>AS1139+AS1148+AS1157</f>
        <v/>
      </c>
      <c r="AT1166" s="35">
        <f>AT1139+AT1148+AT1157</f>
        <v/>
      </c>
      <c r="AU1166" s="35">
        <f>AU1139+AU1148+AU1157</f>
        <v/>
      </c>
      <c r="AV1166" s="35">
        <f>AV1139+AV1148+AV1157</f>
        <v/>
      </c>
      <c r="AW1166" s="35">
        <f>AW1139+AW1148+AW1157</f>
        <v/>
      </c>
      <c r="AX1166" s="35">
        <f>AX1139+AX1148+AX1157</f>
        <v/>
      </c>
      <c r="AY1166" s="35">
        <f>AY1139+AY1148+AY1157</f>
        <v/>
      </c>
      <c r="AZ1166" s="35">
        <f>AZ1139+AZ1148+AZ1157</f>
        <v/>
      </c>
      <c r="BA1166" s="42">
        <f>NEWPOLICY(BA1139,BA1148,BA1157)</f>
        <v/>
      </c>
    </row>
    <row r="1167" hidden="1" outlineLevel="2">
      <c r="A1167" s="14" t="inlineStr">
        <is>
          <t>nce</t>
        </is>
      </c>
      <c r="B1167" s="14" t="inlineStr">
        <is>
          <t>ker</t>
        </is>
      </c>
      <c r="C1167" s="14" t="inlineStr">
        <is>
          <t>ral</t>
        </is>
      </c>
      <c r="D1167" s="39" t="n"/>
      <c r="E1167" s="39" t="n"/>
      <c r="F1167" s="39" t="n"/>
      <c r="G1167" s="39" t="n"/>
      <c r="H1167" s="14">
        <f>INDEX(VarLab,MATCH($A1167,VarKey,0))&amp;INDEX(MemLab,MATCH($C1167&amp;"|"&amp;$B1167,MemKey,0))</f>
        <v/>
      </c>
      <c r="I1167" s="14">
        <f>INDEX(VarUnit,MATCH($A1167,VarKey,0))</f>
        <v/>
      </c>
      <c r="J1167" s="14">
        <f>INDEX(VarSrc,MATCH($A1167,VarKey,0))</f>
        <v/>
      </c>
      <c r="K1167" s="11">
        <f>CodePrefix&amp;$A1167&amp;IF($C1167="","","."&amp;$C1167&amp;"."&amp;$B1167)&amp;INDEX(VarEnd,MATCH($A1167,VarKey,0))&amp;K$5</f>
        <v/>
      </c>
      <c r="L1167" s="40">
        <f>L1140+L1149+L1158</f>
        <v/>
      </c>
      <c r="M1167" s="35">
        <f>M1140+M1149+M1158</f>
        <v/>
      </c>
      <c r="N1167" s="35">
        <f>N1140+N1149+N1158</f>
        <v/>
      </c>
      <c r="O1167" s="35">
        <f>O1140+O1149+O1158</f>
        <v/>
      </c>
      <c r="P1167" s="35">
        <f>P1140+P1149+P1158</f>
        <v/>
      </c>
      <c r="Q1167" s="35">
        <f>Q1140+Q1149+Q1158</f>
        <v/>
      </c>
      <c r="R1167" s="35">
        <f>R1140+R1149+R1158</f>
        <v/>
      </c>
      <c r="S1167" s="35">
        <f>S1140+S1149+S1158</f>
        <v/>
      </c>
      <c r="T1167" s="35">
        <f>T1140+T1149+T1158</f>
        <v/>
      </c>
      <c r="U1167" s="35">
        <f>U1140+U1149+U1158</f>
        <v/>
      </c>
      <c r="V1167" s="35">
        <f>V1140+V1149+V1158</f>
        <v/>
      </c>
      <c r="W1167" s="35">
        <f>W1140+W1149+W1158</f>
        <v/>
      </c>
      <c r="X1167" s="35">
        <f>X1140+X1149+X1158</f>
        <v/>
      </c>
      <c r="Y1167" s="35">
        <f>Y1140+Y1149+Y1158</f>
        <v/>
      </c>
      <c r="Z1167" s="35">
        <f>Z1140+Z1149+Z1158</f>
        <v/>
      </c>
      <c r="AA1167" s="35">
        <f>AA1140+AA1149+AA1158</f>
        <v/>
      </c>
      <c r="AB1167" s="35">
        <f>AB1140+AB1149+AB1158</f>
        <v/>
      </c>
      <c r="AC1167" s="35">
        <f>AC1140+AC1149+AC1158</f>
        <v/>
      </c>
      <c r="AD1167" s="35">
        <f>AD1140+AD1149+AD1158</f>
        <v/>
      </c>
      <c r="AE1167" s="42">
        <f>NEWPOLICY(AE1140,AE1149,AE1158)</f>
        <v/>
      </c>
      <c r="AG1167" s="11">
        <f>CodePrefix&amp;$A1167&amp;IF($C1167="","","."&amp;$C1167&amp;"."&amp;$B1167)&amp;INDEX(VarEnd,MATCH($A1167,VarKey,0))&amp;AG$5</f>
        <v/>
      </c>
      <c r="AH1167" s="40">
        <f>AH1140+AH1149+AH1158</f>
        <v/>
      </c>
      <c r="AI1167" s="35">
        <f>AI1140+AI1149+AI1158</f>
        <v/>
      </c>
      <c r="AJ1167" s="35">
        <f>AJ1140+AJ1149+AJ1158</f>
        <v/>
      </c>
      <c r="AK1167" s="35">
        <f>AK1140+AK1149+AK1158</f>
        <v/>
      </c>
      <c r="AL1167" s="35">
        <f>AL1140+AL1149+AL1158</f>
        <v/>
      </c>
      <c r="AM1167" s="35">
        <f>AM1140+AM1149+AM1158</f>
        <v/>
      </c>
      <c r="AN1167" s="35">
        <f>AN1140+AN1149+AN1158</f>
        <v/>
      </c>
      <c r="AO1167" s="35">
        <f>AO1140+AO1149+AO1158</f>
        <v/>
      </c>
      <c r="AP1167" s="35">
        <f>AP1140+AP1149+AP1158</f>
        <v/>
      </c>
      <c r="AQ1167" s="35">
        <f>AQ1140+AQ1149+AQ1158</f>
        <v/>
      </c>
      <c r="AR1167" s="35">
        <f>AR1140+AR1149+AR1158</f>
        <v/>
      </c>
      <c r="AS1167" s="35">
        <f>AS1140+AS1149+AS1158</f>
        <v/>
      </c>
      <c r="AT1167" s="35">
        <f>AT1140+AT1149+AT1158</f>
        <v/>
      </c>
      <c r="AU1167" s="35">
        <f>AU1140+AU1149+AU1158</f>
        <v/>
      </c>
      <c r="AV1167" s="35">
        <f>AV1140+AV1149+AV1158</f>
        <v/>
      </c>
      <c r="AW1167" s="35">
        <f>AW1140+AW1149+AW1158</f>
        <v/>
      </c>
      <c r="AX1167" s="35">
        <f>AX1140+AX1149+AX1158</f>
        <v/>
      </c>
      <c r="AY1167" s="35">
        <f>AY1140+AY1149+AY1158</f>
        <v/>
      </c>
      <c r="AZ1167" s="35">
        <f>AZ1140+AZ1149+AZ1158</f>
        <v/>
      </c>
      <c r="BA1167" s="42">
        <f>NEWPOLICY(BA1140,BA1149,BA1158)</f>
        <v/>
      </c>
    </row>
    <row r="1168" hidden="1" outlineLevel="2">
      <c r="A1168" s="14" t="inlineStr">
        <is>
          <t>nce</t>
        </is>
      </c>
      <c r="B1168" s="14" t="inlineStr">
        <is>
          <t>oop</t>
        </is>
      </c>
      <c r="C1168" s="14" t="inlineStr">
        <is>
          <t>ral</t>
        </is>
      </c>
      <c r="D1168" s="39" t="n"/>
      <c r="E1168" s="39" t="n"/>
      <c r="F1168" s="39" t="n"/>
      <c r="G1168" s="39" t="n"/>
      <c r="H1168" s="14">
        <f>INDEX(VarLab,MATCH($A1168,VarKey,0))&amp;INDEX(MemLab,MATCH($C1168&amp;"|"&amp;$B1168,MemKey,0))</f>
        <v/>
      </c>
      <c r="I1168" s="14">
        <f>INDEX(VarUnit,MATCH($A1168,VarKey,0))</f>
        <v/>
      </c>
      <c r="J1168" s="14">
        <f>INDEX(VarSrc,MATCH($A1168,VarKey,0))</f>
        <v/>
      </c>
      <c r="K1168" s="11">
        <f>CodePrefix&amp;$A1168&amp;IF($C1168="","","."&amp;$C1168&amp;"."&amp;$B1168)&amp;INDEX(VarEnd,MATCH($A1168,VarKey,0))&amp;K$5</f>
        <v/>
      </c>
      <c r="L1168" s="40">
        <f>L1141+L1150+L1159</f>
        <v/>
      </c>
      <c r="M1168" s="35">
        <f>M1141+M1150+M1159</f>
        <v/>
      </c>
      <c r="N1168" s="35">
        <f>N1141+N1150+N1159</f>
        <v/>
      </c>
      <c r="O1168" s="35">
        <f>O1141+O1150+O1159</f>
        <v/>
      </c>
      <c r="P1168" s="35">
        <f>P1141+P1150+P1159</f>
        <v/>
      </c>
      <c r="Q1168" s="35">
        <f>Q1141+Q1150+Q1159</f>
        <v/>
      </c>
      <c r="R1168" s="35">
        <f>R1141+R1150+R1159</f>
        <v/>
      </c>
      <c r="S1168" s="35">
        <f>S1141+S1150+S1159</f>
        <v/>
      </c>
      <c r="T1168" s="35">
        <f>T1141+T1150+T1159</f>
        <v/>
      </c>
      <c r="U1168" s="35">
        <f>U1141+U1150+U1159</f>
        <v/>
      </c>
      <c r="V1168" s="35">
        <f>V1141+V1150+V1159</f>
        <v/>
      </c>
      <c r="W1168" s="35">
        <f>W1141+W1150+W1159</f>
        <v/>
      </c>
      <c r="X1168" s="35">
        <f>X1141+X1150+X1159</f>
        <v/>
      </c>
      <c r="Y1168" s="35">
        <f>Y1141+Y1150+Y1159</f>
        <v/>
      </c>
      <c r="Z1168" s="35">
        <f>Z1141+Z1150+Z1159</f>
        <v/>
      </c>
      <c r="AA1168" s="35">
        <f>AA1141+AA1150+AA1159</f>
        <v/>
      </c>
      <c r="AB1168" s="35">
        <f>AB1141+AB1150+AB1159</f>
        <v/>
      </c>
      <c r="AC1168" s="35">
        <f>AC1141+AC1150+AC1159</f>
        <v/>
      </c>
      <c r="AD1168" s="35">
        <f>AD1141+AD1150+AD1159</f>
        <v/>
      </c>
      <c r="AE1168" s="42">
        <f>NEWPOLICY(AE1141,AE1150,AE1159)</f>
        <v/>
      </c>
      <c r="AG1168" s="11">
        <f>CodePrefix&amp;$A1168&amp;IF($C1168="","","."&amp;$C1168&amp;"."&amp;$B1168)&amp;INDEX(VarEnd,MATCH($A1168,VarKey,0))&amp;AG$5</f>
        <v/>
      </c>
      <c r="AH1168" s="40">
        <f>AH1141+AH1150+AH1159</f>
        <v/>
      </c>
      <c r="AI1168" s="35">
        <f>AI1141+AI1150+AI1159</f>
        <v/>
      </c>
      <c r="AJ1168" s="35">
        <f>AJ1141+AJ1150+AJ1159</f>
        <v/>
      </c>
      <c r="AK1168" s="35">
        <f>AK1141+AK1150+AK1159</f>
        <v/>
      </c>
      <c r="AL1168" s="35">
        <f>AL1141+AL1150+AL1159</f>
        <v/>
      </c>
      <c r="AM1168" s="35">
        <f>AM1141+AM1150+AM1159</f>
        <v/>
      </c>
      <c r="AN1168" s="35">
        <f>AN1141+AN1150+AN1159</f>
        <v/>
      </c>
      <c r="AO1168" s="35">
        <f>AO1141+AO1150+AO1159</f>
        <v/>
      </c>
      <c r="AP1168" s="35">
        <f>AP1141+AP1150+AP1159</f>
        <v/>
      </c>
      <c r="AQ1168" s="35">
        <f>AQ1141+AQ1150+AQ1159</f>
        <v/>
      </c>
      <c r="AR1168" s="35">
        <f>AR1141+AR1150+AR1159</f>
        <v/>
      </c>
      <c r="AS1168" s="35">
        <f>AS1141+AS1150+AS1159</f>
        <v/>
      </c>
      <c r="AT1168" s="35">
        <f>AT1141+AT1150+AT1159</f>
        <v/>
      </c>
      <c r="AU1168" s="35">
        <f>AU1141+AU1150+AU1159</f>
        <v/>
      </c>
      <c r="AV1168" s="35">
        <f>AV1141+AV1150+AV1159</f>
        <v/>
      </c>
      <c r="AW1168" s="35">
        <f>AW1141+AW1150+AW1159</f>
        <v/>
      </c>
      <c r="AX1168" s="35">
        <f>AX1141+AX1150+AX1159</f>
        <v/>
      </c>
      <c r="AY1168" s="35">
        <f>AY1141+AY1150+AY1159</f>
        <v/>
      </c>
      <c r="AZ1168" s="35">
        <f>AZ1141+AZ1150+AZ1159</f>
        <v/>
      </c>
      <c r="BA1168" s="42">
        <f>NEWPOLICY(BA1141,BA1150,BA1159)</f>
        <v/>
      </c>
    </row>
    <row r="1169" hidden="1" outlineLevel="2">
      <c r="A1169" s="14" t="inlineStr">
        <is>
          <t>nce</t>
        </is>
      </c>
      <c r="B1169" s="14" t="inlineStr">
        <is>
          <t>bio</t>
        </is>
      </c>
      <c r="C1169" s="14" t="inlineStr">
        <is>
          <t>ral</t>
        </is>
      </c>
      <c r="D1169" s="39" t="n"/>
      <c r="E1169" s="39" t="n"/>
      <c r="F1169" s="39" t="n"/>
      <c r="G1169" s="39" t="n"/>
      <c r="H1169" s="14">
        <f>INDEX(VarLab,MATCH($A1169,VarKey,0))&amp;INDEX(MemLab,MATCH($C1169&amp;"|"&amp;$B1169,MemKey,0))</f>
        <v/>
      </c>
      <c r="I1169" s="14">
        <f>INDEX(VarUnit,MATCH($A1169,VarKey,0))</f>
        <v/>
      </c>
      <c r="J1169" s="14">
        <f>INDEX(VarSrc,MATCH($A1169,VarKey,0))</f>
        <v/>
      </c>
      <c r="K1169" s="11">
        <f>CodePrefix&amp;$A1169&amp;IF($C1169="","","."&amp;$C1169&amp;"."&amp;$B1169)&amp;INDEX(VarEnd,MATCH($A1169,VarKey,0))&amp;K$5</f>
        <v/>
      </c>
      <c r="L1169" s="40">
        <f>L1142+L1151+L1160</f>
        <v/>
      </c>
      <c r="M1169" s="35">
        <f>M1142+M1151+M1160</f>
        <v/>
      </c>
      <c r="N1169" s="35">
        <f>N1142+N1151+N1160</f>
        <v/>
      </c>
      <c r="O1169" s="35">
        <f>O1142+O1151+O1160</f>
        <v/>
      </c>
      <c r="P1169" s="35">
        <f>P1142+P1151+P1160</f>
        <v/>
      </c>
      <c r="Q1169" s="35">
        <f>Q1142+Q1151+Q1160</f>
        <v/>
      </c>
      <c r="R1169" s="35">
        <f>R1142+R1151+R1160</f>
        <v/>
      </c>
      <c r="S1169" s="35">
        <f>S1142+S1151+S1160</f>
        <v/>
      </c>
      <c r="T1169" s="35">
        <f>T1142+T1151+T1160</f>
        <v/>
      </c>
      <c r="U1169" s="35">
        <f>U1142+U1151+U1160</f>
        <v/>
      </c>
      <c r="V1169" s="35">
        <f>V1142+V1151+V1160</f>
        <v/>
      </c>
      <c r="W1169" s="35">
        <f>W1142+W1151+W1160</f>
        <v/>
      </c>
      <c r="X1169" s="35">
        <f>X1142+X1151+X1160</f>
        <v/>
      </c>
      <c r="Y1169" s="35">
        <f>Y1142+Y1151+Y1160</f>
        <v/>
      </c>
      <c r="Z1169" s="35">
        <f>Z1142+Z1151+Z1160</f>
        <v/>
      </c>
      <c r="AA1169" s="35">
        <f>AA1142+AA1151+AA1160</f>
        <v/>
      </c>
      <c r="AB1169" s="35">
        <f>AB1142+AB1151+AB1160</f>
        <v/>
      </c>
      <c r="AC1169" s="35">
        <f>AC1142+AC1151+AC1160</f>
        <v/>
      </c>
      <c r="AD1169" s="35">
        <f>AD1142+AD1151+AD1160</f>
        <v/>
      </c>
      <c r="AE1169" s="42">
        <f>NEWPOLICY(AE1142,AE1151,AE1160)</f>
        <v/>
      </c>
      <c r="AG1169" s="11">
        <f>CodePrefix&amp;$A1169&amp;IF($C1169="","","."&amp;$C1169&amp;"."&amp;$B1169)&amp;INDEX(VarEnd,MATCH($A1169,VarKey,0))&amp;AG$5</f>
        <v/>
      </c>
      <c r="AH1169" s="40">
        <f>AH1142+AH1151+AH1160</f>
        <v/>
      </c>
      <c r="AI1169" s="35">
        <f>AI1142+AI1151+AI1160</f>
        <v/>
      </c>
      <c r="AJ1169" s="35">
        <f>AJ1142+AJ1151+AJ1160</f>
        <v/>
      </c>
      <c r="AK1169" s="35">
        <f>AK1142+AK1151+AK1160</f>
        <v/>
      </c>
      <c r="AL1169" s="35">
        <f>AL1142+AL1151+AL1160</f>
        <v/>
      </c>
      <c r="AM1169" s="35">
        <f>AM1142+AM1151+AM1160</f>
        <v/>
      </c>
      <c r="AN1169" s="35">
        <f>AN1142+AN1151+AN1160</f>
        <v/>
      </c>
      <c r="AO1169" s="35">
        <f>AO1142+AO1151+AO1160</f>
        <v/>
      </c>
      <c r="AP1169" s="35">
        <f>AP1142+AP1151+AP1160</f>
        <v/>
      </c>
      <c r="AQ1169" s="35">
        <f>AQ1142+AQ1151+AQ1160</f>
        <v/>
      </c>
      <c r="AR1169" s="35">
        <f>AR1142+AR1151+AR1160</f>
        <v/>
      </c>
      <c r="AS1169" s="35">
        <f>AS1142+AS1151+AS1160</f>
        <v/>
      </c>
      <c r="AT1169" s="35">
        <f>AT1142+AT1151+AT1160</f>
        <v/>
      </c>
      <c r="AU1169" s="35">
        <f>AU1142+AU1151+AU1160</f>
        <v/>
      </c>
      <c r="AV1169" s="35">
        <f>AV1142+AV1151+AV1160</f>
        <v/>
      </c>
      <c r="AW1169" s="35">
        <f>AW1142+AW1151+AW1160</f>
        <v/>
      </c>
      <c r="AX1169" s="35">
        <f>AX1142+AX1151+AX1160</f>
        <v/>
      </c>
      <c r="AY1169" s="35">
        <f>AY1142+AY1151+AY1160</f>
        <v/>
      </c>
      <c r="AZ1169" s="35">
        <f>AZ1142+AZ1151+AZ1160</f>
        <v/>
      </c>
      <c r="BA1169" s="42">
        <f>NEWPOLICY(BA1142,BA1151,BA1160)</f>
        <v/>
      </c>
    </row>
    <row r="1170" hidden="1" outlineLevel="2"/>
    <row r="1171" hidden="1" outlineLevel="2">
      <c r="A1171" s="14" t="inlineStr">
        <is>
          <t>xcp</t>
        </is>
      </c>
      <c r="B1171" s="14" t="inlineStr">
        <is>
          <t>coa</t>
        </is>
      </c>
      <c r="C1171" s="14" t="inlineStr">
        <is>
          <t>ral</t>
        </is>
      </c>
      <c r="D1171" s="35">
        <f>INDEX(Inputs!$W$5:$W$132,MATCH($B1171&amp;"|"&amp;$C1171,Inputs!$A$5:$A$132,0))</f>
        <v/>
      </c>
      <c r="E1171" s="35">
        <f>INDEX(Inputs!$Z$5:$Z$132,MATCH($B1171&amp;"|"&amp;$C1171,Inputs!$A$5:$A$132,0))</f>
        <v/>
      </c>
      <c r="F1171" s="35">
        <f>INDEX(Inputs!$AA$5:$AA$132,MATCH($B1171&amp;"|"&amp;$C1171,Inputs!$A$5:$A$132,0))</f>
        <v/>
      </c>
      <c r="G1171" s="39" t="n"/>
      <c r="H1171" s="14">
        <f>INDEX(VarLab,MATCH($A1171,VarKey,0))&amp;INDEX(MemLab,MATCH($C1171&amp;"|"&amp;$B1171,MemKey,0))</f>
        <v/>
      </c>
      <c r="I1171" s="14">
        <f>INDEX(VarUnit,MATCH($A1171,VarKey,0))</f>
        <v/>
      </c>
      <c r="J1171" s="14">
        <f>INDEX(VarSrc,MATCH($A1171,VarKey,0))</f>
        <v/>
      </c>
      <c r="K1171" s="11">
        <f>CodePrefix&amp;$A1171&amp;IF($C1171="","","."&amp;$C1171&amp;"."&amp;$B1171)&amp;INDEX(VarEnd,MATCH($A1171,VarKey,0))&amp;K$5</f>
        <v/>
      </c>
      <c r="L1171" s="40">
        <f>$D1171*($E1171*L$321+$F1171*L$324)</f>
        <v/>
      </c>
      <c r="M1171" s="35">
        <f>$D1171*($E1171*M$321+$F1171*M$324)</f>
        <v/>
      </c>
      <c r="N1171" s="35">
        <f>$D1171*($E1171*N$321+$F1171*N$324)</f>
        <v/>
      </c>
      <c r="O1171" s="35">
        <f>$D1171*($E1171*O$321+$F1171*O$324)</f>
        <v/>
      </c>
      <c r="P1171" s="35">
        <f>$D1171*($E1171*P$321+$F1171*P$324)</f>
        <v/>
      </c>
      <c r="Q1171" s="35">
        <f>$D1171*($E1171*Q$321+$F1171*Q$324)</f>
        <v/>
      </c>
      <c r="R1171" s="35">
        <f>$D1171*($E1171*R$321+$F1171*R$324)</f>
        <v/>
      </c>
      <c r="S1171" s="35">
        <f>$D1171*($E1171*S$321+$F1171*S$324)</f>
        <v/>
      </c>
      <c r="T1171" s="35">
        <f>$D1171*($E1171*T$321+$F1171*T$324)</f>
        <v/>
      </c>
      <c r="U1171" s="35">
        <f>$D1171*($E1171*U$321+$F1171*U$324)</f>
        <v/>
      </c>
      <c r="V1171" s="35">
        <f>$D1171*($E1171*V$321+$F1171*V$324)</f>
        <v/>
      </c>
      <c r="W1171" s="35">
        <f>$D1171*($E1171*W$321+$F1171*W$324)</f>
        <v/>
      </c>
      <c r="X1171" s="35">
        <f>$D1171*($E1171*X$321+$F1171*X$324)</f>
        <v/>
      </c>
      <c r="Y1171" s="35">
        <f>$D1171*($E1171*Y$321+$F1171*Y$324)</f>
        <v/>
      </c>
      <c r="Z1171" s="35">
        <f>$D1171*($E1171*Z$321+$F1171*Z$324)</f>
        <v/>
      </c>
      <c r="AA1171" s="35">
        <f>$D1171*($E1171*AA$321+$F1171*AA$324)</f>
        <v/>
      </c>
      <c r="AB1171" s="35">
        <f>$D1171*($E1171*AB$321+$F1171*AB$324)</f>
        <v/>
      </c>
      <c r="AC1171" s="35">
        <f>$D1171*($E1171*AC$321+$F1171*AC$324)</f>
        <v/>
      </c>
      <c r="AD1171" s="35">
        <f>$D1171*($E1171*AD$321+$F1171*AD$324)</f>
        <v/>
      </c>
      <c r="AE1171" s="42">
        <f>XCARBON($D1171,$E1171,AE$321,$F1171,AE$324)</f>
        <v/>
      </c>
      <c r="AG1171" s="11">
        <f>CodePrefix&amp;$A1171&amp;IF($C1171="","","."&amp;$C1171&amp;"."&amp;$B1171)&amp;INDEX(VarEnd,MATCH($A1171,VarKey,0))&amp;AG$5</f>
        <v/>
      </c>
      <c r="AH1171" s="40">
        <f>$D1171*($E1171*AH$321+$F1171*AH$324)</f>
        <v/>
      </c>
      <c r="AI1171" s="35">
        <f>$D1171*($E1171*AI$321+$F1171*AI$324)</f>
        <v/>
      </c>
      <c r="AJ1171" s="35">
        <f>$D1171*($E1171*AJ$321+$F1171*AJ$324)</f>
        <v/>
      </c>
      <c r="AK1171" s="35">
        <f>$D1171*($E1171*AK$321+$F1171*AK$324)</f>
        <v/>
      </c>
      <c r="AL1171" s="35">
        <f>$D1171*($E1171*AL$321+$F1171*AL$324)</f>
        <v/>
      </c>
      <c r="AM1171" s="35">
        <f>$D1171*($E1171*AM$321+$F1171*AM$324)</f>
        <v/>
      </c>
      <c r="AN1171" s="35">
        <f>$D1171*($E1171*AN$321+$F1171*AN$324)</f>
        <v/>
      </c>
      <c r="AO1171" s="35">
        <f>$D1171*($E1171*AO$321+$F1171*AO$324)</f>
        <v/>
      </c>
      <c r="AP1171" s="35">
        <f>$D1171*($E1171*AP$321+$F1171*AP$324)</f>
        <v/>
      </c>
      <c r="AQ1171" s="35">
        <f>$D1171*($E1171*AQ$321+$F1171*AQ$324)</f>
        <v/>
      </c>
      <c r="AR1171" s="35">
        <f>$D1171*($E1171*AR$321+$F1171*AR$324)</f>
        <v/>
      </c>
      <c r="AS1171" s="35">
        <f>$D1171*($E1171*AS$321+$F1171*AS$324)</f>
        <v/>
      </c>
      <c r="AT1171" s="35">
        <f>$D1171*($E1171*AT$321+$F1171*AT$324)</f>
        <v/>
      </c>
      <c r="AU1171" s="35">
        <f>$D1171*($E1171*AU$321+$F1171*AU$324)</f>
        <v/>
      </c>
      <c r="AV1171" s="35">
        <f>$D1171*($E1171*AV$321+$F1171*AV$324)</f>
        <v/>
      </c>
      <c r="AW1171" s="35">
        <f>$D1171*($E1171*AW$321+$F1171*AW$324)</f>
        <v/>
      </c>
      <c r="AX1171" s="35">
        <f>$D1171*($E1171*AX$321+$F1171*AX$324)</f>
        <v/>
      </c>
      <c r="AY1171" s="35">
        <f>$D1171*($E1171*AY$321+$F1171*AY$324)</f>
        <v/>
      </c>
      <c r="AZ1171" s="35">
        <f>$D1171*($E1171*AZ$321+$F1171*AZ$324)</f>
        <v/>
      </c>
      <c r="BA1171" s="42">
        <f>XCARBON($D1171,$E1171,BA$321,$F1171,BA$324)</f>
        <v/>
      </c>
    </row>
    <row r="1172" hidden="1" outlineLevel="2">
      <c r="A1172" s="14" t="inlineStr">
        <is>
          <t>xcp</t>
        </is>
      </c>
      <c r="B1172" s="14" t="inlineStr">
        <is>
          <t>nga</t>
        </is>
      </c>
      <c r="C1172" s="14" t="inlineStr">
        <is>
          <t>ral</t>
        </is>
      </c>
      <c r="D1172" s="35">
        <f>INDEX(Inputs!$W$5:$W$132,MATCH($B1172&amp;"|"&amp;$C1172,Inputs!$A$5:$A$132,0))</f>
        <v/>
      </c>
      <c r="E1172" s="35">
        <f>INDEX(Inputs!$Z$5:$Z$132,MATCH($B1172&amp;"|"&amp;$C1172,Inputs!$A$5:$A$132,0))</f>
        <v/>
      </c>
      <c r="F1172" s="35">
        <f>INDEX(Inputs!$AA$5:$AA$132,MATCH($B1172&amp;"|"&amp;$C1172,Inputs!$A$5:$A$132,0))</f>
        <v/>
      </c>
      <c r="G1172" s="39" t="n"/>
      <c r="H1172" s="14">
        <f>INDEX(VarLab,MATCH($A1172,VarKey,0))&amp;INDEX(MemLab,MATCH($C1172&amp;"|"&amp;$B1172,MemKey,0))</f>
        <v/>
      </c>
      <c r="I1172" s="14">
        <f>INDEX(VarUnit,MATCH($A1172,VarKey,0))</f>
        <v/>
      </c>
      <c r="J1172" s="14">
        <f>INDEX(VarSrc,MATCH($A1172,VarKey,0))</f>
        <v/>
      </c>
      <c r="K1172" s="11">
        <f>CodePrefix&amp;$A1172&amp;IF($C1172="","","."&amp;$C1172&amp;"."&amp;$B1172)&amp;INDEX(VarEnd,MATCH($A1172,VarKey,0))&amp;K$5</f>
        <v/>
      </c>
      <c r="L1172" s="40">
        <f>$D1172*($E1172*L$321+$F1172*L$324)</f>
        <v/>
      </c>
      <c r="M1172" s="35">
        <f>$D1172*($E1172*M$321+$F1172*M$324)</f>
        <v/>
      </c>
      <c r="N1172" s="35">
        <f>$D1172*($E1172*N$321+$F1172*N$324)</f>
        <v/>
      </c>
      <c r="O1172" s="35">
        <f>$D1172*($E1172*O$321+$F1172*O$324)</f>
        <v/>
      </c>
      <c r="P1172" s="35">
        <f>$D1172*($E1172*P$321+$F1172*P$324)</f>
        <v/>
      </c>
      <c r="Q1172" s="35">
        <f>$D1172*($E1172*Q$321+$F1172*Q$324)</f>
        <v/>
      </c>
      <c r="R1172" s="35">
        <f>$D1172*($E1172*R$321+$F1172*R$324)</f>
        <v/>
      </c>
      <c r="S1172" s="35">
        <f>$D1172*($E1172*S$321+$F1172*S$324)</f>
        <v/>
      </c>
      <c r="T1172" s="35">
        <f>$D1172*($E1172*T$321+$F1172*T$324)</f>
        <v/>
      </c>
      <c r="U1172" s="35">
        <f>$D1172*($E1172*U$321+$F1172*U$324)</f>
        <v/>
      </c>
      <c r="V1172" s="35">
        <f>$D1172*($E1172*V$321+$F1172*V$324)</f>
        <v/>
      </c>
      <c r="W1172" s="35">
        <f>$D1172*($E1172*W$321+$F1172*W$324)</f>
        <v/>
      </c>
      <c r="X1172" s="35">
        <f>$D1172*($E1172*X$321+$F1172*X$324)</f>
        <v/>
      </c>
      <c r="Y1172" s="35">
        <f>$D1172*($E1172*Y$321+$F1172*Y$324)</f>
        <v/>
      </c>
      <c r="Z1172" s="35">
        <f>$D1172*($E1172*Z$321+$F1172*Z$324)</f>
        <v/>
      </c>
      <c r="AA1172" s="35">
        <f>$D1172*($E1172*AA$321+$F1172*AA$324)</f>
        <v/>
      </c>
      <c r="AB1172" s="35">
        <f>$D1172*($E1172*AB$321+$F1172*AB$324)</f>
        <v/>
      </c>
      <c r="AC1172" s="35">
        <f>$D1172*($E1172*AC$321+$F1172*AC$324)</f>
        <v/>
      </c>
      <c r="AD1172" s="35">
        <f>$D1172*($E1172*AD$321+$F1172*AD$324)</f>
        <v/>
      </c>
      <c r="AE1172" s="42">
        <f>XCARBON($D1172,$E1172,AE$321,$F1172,AE$324)</f>
        <v/>
      </c>
      <c r="AG1172" s="11">
        <f>CodePrefix&amp;$A1172&amp;IF($C1172="","","."&amp;$C1172&amp;"."&amp;$B1172)&amp;INDEX(VarEnd,MATCH($A1172,VarKey,0))&amp;AG$5</f>
        <v/>
      </c>
      <c r="AH1172" s="40">
        <f>$D1172*($E1172*AH$321+$F1172*AH$324)</f>
        <v/>
      </c>
      <c r="AI1172" s="35">
        <f>$D1172*($E1172*AI$321+$F1172*AI$324)</f>
        <v/>
      </c>
      <c r="AJ1172" s="35">
        <f>$D1172*($E1172*AJ$321+$F1172*AJ$324)</f>
        <v/>
      </c>
      <c r="AK1172" s="35">
        <f>$D1172*($E1172*AK$321+$F1172*AK$324)</f>
        <v/>
      </c>
      <c r="AL1172" s="35">
        <f>$D1172*($E1172*AL$321+$F1172*AL$324)</f>
        <v/>
      </c>
      <c r="AM1172" s="35">
        <f>$D1172*($E1172*AM$321+$F1172*AM$324)</f>
        <v/>
      </c>
      <c r="AN1172" s="35">
        <f>$D1172*($E1172*AN$321+$F1172*AN$324)</f>
        <v/>
      </c>
      <c r="AO1172" s="35">
        <f>$D1172*($E1172*AO$321+$F1172*AO$324)</f>
        <v/>
      </c>
      <c r="AP1172" s="35">
        <f>$D1172*($E1172*AP$321+$F1172*AP$324)</f>
        <v/>
      </c>
      <c r="AQ1172" s="35">
        <f>$D1172*($E1172*AQ$321+$F1172*AQ$324)</f>
        <v/>
      </c>
      <c r="AR1172" s="35">
        <f>$D1172*($E1172*AR$321+$F1172*AR$324)</f>
        <v/>
      </c>
      <c r="AS1172" s="35">
        <f>$D1172*($E1172*AS$321+$F1172*AS$324)</f>
        <v/>
      </c>
      <c r="AT1172" s="35">
        <f>$D1172*($E1172*AT$321+$F1172*AT$324)</f>
        <v/>
      </c>
      <c r="AU1172" s="35">
        <f>$D1172*($E1172*AU$321+$F1172*AU$324)</f>
        <v/>
      </c>
      <c r="AV1172" s="35">
        <f>$D1172*($E1172*AV$321+$F1172*AV$324)</f>
        <v/>
      </c>
      <c r="AW1172" s="35">
        <f>$D1172*($E1172*AW$321+$F1172*AW$324)</f>
        <v/>
      </c>
      <c r="AX1172" s="35">
        <f>$D1172*($E1172*AX$321+$F1172*AX$324)</f>
        <v/>
      </c>
      <c r="AY1172" s="35">
        <f>$D1172*($E1172*AY$321+$F1172*AY$324)</f>
        <v/>
      </c>
      <c r="AZ1172" s="35">
        <f>$D1172*($E1172*AZ$321+$F1172*AZ$324)</f>
        <v/>
      </c>
      <c r="BA1172" s="42">
        <f>XCARBON($D1172,$E1172,BA$321,$F1172,BA$324)</f>
        <v/>
      </c>
    </row>
    <row r="1173" hidden="1" outlineLevel="2">
      <c r="A1173" s="14" t="inlineStr">
        <is>
          <t>xcp</t>
        </is>
      </c>
      <c r="B1173" s="14" t="inlineStr">
        <is>
          <t>gso</t>
        </is>
      </c>
      <c r="C1173" s="14" t="inlineStr">
        <is>
          <t>ral</t>
        </is>
      </c>
      <c r="D1173" s="35">
        <f>INDEX(Inputs!$W$5:$W$132,MATCH($B1173&amp;"|"&amp;$C1173,Inputs!$A$5:$A$132,0))</f>
        <v/>
      </c>
      <c r="E1173" s="35">
        <f>INDEX(Inputs!$Z$5:$Z$132,MATCH($B1173&amp;"|"&amp;$C1173,Inputs!$A$5:$A$132,0))</f>
        <v/>
      </c>
      <c r="F1173" s="35">
        <f>INDEX(Inputs!$AA$5:$AA$132,MATCH($B1173&amp;"|"&amp;$C1173,Inputs!$A$5:$A$132,0))</f>
        <v/>
      </c>
      <c r="G1173" s="39" t="n"/>
      <c r="H1173" s="14">
        <f>INDEX(VarLab,MATCH($A1173,VarKey,0))&amp;INDEX(MemLab,MATCH($C1173&amp;"|"&amp;$B1173,MemKey,0))</f>
        <v/>
      </c>
      <c r="I1173" s="14">
        <f>INDEX(VarUnit,MATCH($A1173,VarKey,0))</f>
        <v/>
      </c>
      <c r="J1173" s="14">
        <f>INDEX(VarSrc,MATCH($A1173,VarKey,0))</f>
        <v/>
      </c>
      <c r="K1173" s="11">
        <f>CodePrefix&amp;$A1173&amp;IF($C1173="","","."&amp;$C1173&amp;"."&amp;$B1173)&amp;INDEX(VarEnd,MATCH($A1173,VarKey,0))&amp;K$5</f>
        <v/>
      </c>
      <c r="L1173" s="40">
        <f>$D1173*($E1173*L$321+$F1173*L$324)</f>
        <v/>
      </c>
      <c r="M1173" s="35">
        <f>$D1173*($E1173*M$321+$F1173*M$324)</f>
        <v/>
      </c>
      <c r="N1173" s="35">
        <f>$D1173*($E1173*N$321+$F1173*N$324)</f>
        <v/>
      </c>
      <c r="O1173" s="35">
        <f>$D1173*($E1173*O$321+$F1173*O$324)</f>
        <v/>
      </c>
      <c r="P1173" s="35">
        <f>$D1173*($E1173*P$321+$F1173*P$324)</f>
        <v/>
      </c>
      <c r="Q1173" s="35">
        <f>$D1173*($E1173*Q$321+$F1173*Q$324)</f>
        <v/>
      </c>
      <c r="R1173" s="35">
        <f>$D1173*($E1173*R$321+$F1173*R$324)</f>
        <v/>
      </c>
      <c r="S1173" s="35">
        <f>$D1173*($E1173*S$321+$F1173*S$324)</f>
        <v/>
      </c>
      <c r="T1173" s="35">
        <f>$D1173*($E1173*T$321+$F1173*T$324)</f>
        <v/>
      </c>
      <c r="U1173" s="35">
        <f>$D1173*($E1173*U$321+$F1173*U$324)</f>
        <v/>
      </c>
      <c r="V1173" s="35">
        <f>$D1173*($E1173*V$321+$F1173*V$324)</f>
        <v/>
      </c>
      <c r="W1173" s="35">
        <f>$D1173*($E1173*W$321+$F1173*W$324)</f>
        <v/>
      </c>
      <c r="X1173" s="35">
        <f>$D1173*($E1173*X$321+$F1173*X$324)</f>
        <v/>
      </c>
      <c r="Y1173" s="35">
        <f>$D1173*($E1173*Y$321+$F1173*Y$324)</f>
        <v/>
      </c>
      <c r="Z1173" s="35">
        <f>$D1173*($E1173*Z$321+$F1173*Z$324)</f>
        <v/>
      </c>
      <c r="AA1173" s="35">
        <f>$D1173*($E1173*AA$321+$F1173*AA$324)</f>
        <v/>
      </c>
      <c r="AB1173" s="35">
        <f>$D1173*($E1173*AB$321+$F1173*AB$324)</f>
        <v/>
      </c>
      <c r="AC1173" s="35">
        <f>$D1173*($E1173*AC$321+$F1173*AC$324)</f>
        <v/>
      </c>
      <c r="AD1173" s="35">
        <f>$D1173*($E1173*AD$321+$F1173*AD$324)</f>
        <v/>
      </c>
      <c r="AE1173" s="42">
        <f>XCARBON($D1173,$E1173,AE$321,$F1173,AE$324)</f>
        <v/>
      </c>
      <c r="AG1173" s="11">
        <f>CodePrefix&amp;$A1173&amp;IF($C1173="","","."&amp;$C1173&amp;"."&amp;$B1173)&amp;INDEX(VarEnd,MATCH($A1173,VarKey,0))&amp;AG$5</f>
        <v/>
      </c>
      <c r="AH1173" s="40">
        <f>$D1173*($E1173*AH$321+$F1173*AH$324)</f>
        <v/>
      </c>
      <c r="AI1173" s="35">
        <f>$D1173*($E1173*AI$321+$F1173*AI$324)</f>
        <v/>
      </c>
      <c r="AJ1173" s="35">
        <f>$D1173*($E1173*AJ$321+$F1173*AJ$324)</f>
        <v/>
      </c>
      <c r="AK1173" s="35">
        <f>$D1173*($E1173*AK$321+$F1173*AK$324)</f>
        <v/>
      </c>
      <c r="AL1173" s="35">
        <f>$D1173*($E1173*AL$321+$F1173*AL$324)</f>
        <v/>
      </c>
      <c r="AM1173" s="35">
        <f>$D1173*($E1173*AM$321+$F1173*AM$324)</f>
        <v/>
      </c>
      <c r="AN1173" s="35">
        <f>$D1173*($E1173*AN$321+$F1173*AN$324)</f>
        <v/>
      </c>
      <c r="AO1173" s="35">
        <f>$D1173*($E1173*AO$321+$F1173*AO$324)</f>
        <v/>
      </c>
      <c r="AP1173" s="35">
        <f>$D1173*($E1173*AP$321+$F1173*AP$324)</f>
        <v/>
      </c>
      <c r="AQ1173" s="35">
        <f>$D1173*($E1173*AQ$321+$F1173*AQ$324)</f>
        <v/>
      </c>
      <c r="AR1173" s="35">
        <f>$D1173*($E1173*AR$321+$F1173*AR$324)</f>
        <v/>
      </c>
      <c r="AS1173" s="35">
        <f>$D1173*($E1173*AS$321+$F1173*AS$324)</f>
        <v/>
      </c>
      <c r="AT1173" s="35">
        <f>$D1173*($E1173*AT$321+$F1173*AT$324)</f>
        <v/>
      </c>
      <c r="AU1173" s="35">
        <f>$D1173*($E1173*AU$321+$F1173*AU$324)</f>
        <v/>
      </c>
      <c r="AV1173" s="35">
        <f>$D1173*($E1173*AV$321+$F1173*AV$324)</f>
        <v/>
      </c>
      <c r="AW1173" s="35">
        <f>$D1173*($E1173*AW$321+$F1173*AW$324)</f>
        <v/>
      </c>
      <c r="AX1173" s="35">
        <f>$D1173*($E1173*AX$321+$F1173*AX$324)</f>
        <v/>
      </c>
      <c r="AY1173" s="35">
        <f>$D1173*($E1173*AY$321+$F1173*AY$324)</f>
        <v/>
      </c>
      <c r="AZ1173" s="35">
        <f>$D1173*($E1173*AZ$321+$F1173*AZ$324)</f>
        <v/>
      </c>
      <c r="BA1173" s="42">
        <f>XCARBON($D1173,$E1173,BA$321,$F1173,BA$324)</f>
        <v/>
      </c>
    </row>
    <row r="1174" hidden="1" outlineLevel="2">
      <c r="A1174" s="14" t="inlineStr">
        <is>
          <t>xcp</t>
        </is>
      </c>
      <c r="B1174" s="14" t="inlineStr">
        <is>
          <t>die</t>
        </is>
      </c>
      <c r="C1174" s="14" t="inlineStr">
        <is>
          <t>ral</t>
        </is>
      </c>
      <c r="D1174" s="35">
        <f>INDEX(Inputs!$W$5:$W$132,MATCH($B1174&amp;"|"&amp;$C1174,Inputs!$A$5:$A$132,0))</f>
        <v/>
      </c>
      <c r="E1174" s="35">
        <f>INDEX(Inputs!$Z$5:$Z$132,MATCH($B1174&amp;"|"&amp;$C1174,Inputs!$A$5:$A$132,0))</f>
        <v/>
      </c>
      <c r="F1174" s="35">
        <f>INDEX(Inputs!$AA$5:$AA$132,MATCH($B1174&amp;"|"&amp;$C1174,Inputs!$A$5:$A$132,0))</f>
        <v/>
      </c>
      <c r="G1174" s="39" t="n"/>
      <c r="H1174" s="14">
        <f>INDEX(VarLab,MATCH($A1174,VarKey,0))&amp;INDEX(MemLab,MATCH($C1174&amp;"|"&amp;$B1174,MemKey,0))</f>
        <v/>
      </c>
      <c r="I1174" s="14">
        <f>INDEX(VarUnit,MATCH($A1174,VarKey,0))</f>
        <v/>
      </c>
      <c r="J1174" s="14">
        <f>INDEX(VarSrc,MATCH($A1174,VarKey,0))</f>
        <v/>
      </c>
      <c r="K1174" s="11">
        <f>CodePrefix&amp;$A1174&amp;IF($C1174="","","."&amp;$C1174&amp;"."&amp;$B1174)&amp;INDEX(VarEnd,MATCH($A1174,VarKey,0))&amp;K$5</f>
        <v/>
      </c>
      <c r="L1174" s="40">
        <f>$D1174*($E1174*L$321+$F1174*L$324)</f>
        <v/>
      </c>
      <c r="M1174" s="35">
        <f>$D1174*($E1174*M$321+$F1174*M$324)</f>
        <v/>
      </c>
      <c r="N1174" s="35">
        <f>$D1174*($E1174*N$321+$F1174*N$324)</f>
        <v/>
      </c>
      <c r="O1174" s="35">
        <f>$D1174*($E1174*O$321+$F1174*O$324)</f>
        <v/>
      </c>
      <c r="P1174" s="35">
        <f>$D1174*($E1174*P$321+$F1174*P$324)</f>
        <v/>
      </c>
      <c r="Q1174" s="35">
        <f>$D1174*($E1174*Q$321+$F1174*Q$324)</f>
        <v/>
      </c>
      <c r="R1174" s="35">
        <f>$D1174*($E1174*R$321+$F1174*R$324)</f>
        <v/>
      </c>
      <c r="S1174" s="35">
        <f>$D1174*($E1174*S$321+$F1174*S$324)</f>
        <v/>
      </c>
      <c r="T1174" s="35">
        <f>$D1174*($E1174*T$321+$F1174*T$324)</f>
        <v/>
      </c>
      <c r="U1174" s="35">
        <f>$D1174*($E1174*U$321+$F1174*U$324)</f>
        <v/>
      </c>
      <c r="V1174" s="35">
        <f>$D1174*($E1174*V$321+$F1174*V$324)</f>
        <v/>
      </c>
      <c r="W1174" s="35">
        <f>$D1174*($E1174*W$321+$F1174*W$324)</f>
        <v/>
      </c>
      <c r="X1174" s="35">
        <f>$D1174*($E1174*X$321+$F1174*X$324)</f>
        <v/>
      </c>
      <c r="Y1174" s="35">
        <f>$D1174*($E1174*Y$321+$F1174*Y$324)</f>
        <v/>
      </c>
      <c r="Z1174" s="35">
        <f>$D1174*($E1174*Z$321+$F1174*Z$324)</f>
        <v/>
      </c>
      <c r="AA1174" s="35">
        <f>$D1174*($E1174*AA$321+$F1174*AA$324)</f>
        <v/>
      </c>
      <c r="AB1174" s="35">
        <f>$D1174*($E1174*AB$321+$F1174*AB$324)</f>
        <v/>
      </c>
      <c r="AC1174" s="35">
        <f>$D1174*($E1174*AC$321+$F1174*AC$324)</f>
        <v/>
      </c>
      <c r="AD1174" s="35">
        <f>$D1174*($E1174*AD$321+$F1174*AD$324)</f>
        <v/>
      </c>
      <c r="AE1174" s="42">
        <f>XCARBON($D1174,$E1174,AE$321,$F1174,AE$324)</f>
        <v/>
      </c>
      <c r="AG1174" s="11">
        <f>CodePrefix&amp;$A1174&amp;IF($C1174="","","."&amp;$C1174&amp;"."&amp;$B1174)&amp;INDEX(VarEnd,MATCH($A1174,VarKey,0))&amp;AG$5</f>
        <v/>
      </c>
      <c r="AH1174" s="40">
        <f>$D1174*($E1174*AH$321+$F1174*AH$324)</f>
        <v/>
      </c>
      <c r="AI1174" s="35">
        <f>$D1174*($E1174*AI$321+$F1174*AI$324)</f>
        <v/>
      </c>
      <c r="AJ1174" s="35">
        <f>$D1174*($E1174*AJ$321+$F1174*AJ$324)</f>
        <v/>
      </c>
      <c r="AK1174" s="35">
        <f>$D1174*($E1174*AK$321+$F1174*AK$324)</f>
        <v/>
      </c>
      <c r="AL1174" s="35">
        <f>$D1174*($E1174*AL$321+$F1174*AL$324)</f>
        <v/>
      </c>
      <c r="AM1174" s="35">
        <f>$D1174*($E1174*AM$321+$F1174*AM$324)</f>
        <v/>
      </c>
      <c r="AN1174" s="35">
        <f>$D1174*($E1174*AN$321+$F1174*AN$324)</f>
        <v/>
      </c>
      <c r="AO1174" s="35">
        <f>$D1174*($E1174*AO$321+$F1174*AO$324)</f>
        <v/>
      </c>
      <c r="AP1174" s="35">
        <f>$D1174*($E1174*AP$321+$F1174*AP$324)</f>
        <v/>
      </c>
      <c r="AQ1174" s="35">
        <f>$D1174*($E1174*AQ$321+$F1174*AQ$324)</f>
        <v/>
      </c>
      <c r="AR1174" s="35">
        <f>$D1174*($E1174*AR$321+$F1174*AR$324)</f>
        <v/>
      </c>
      <c r="AS1174" s="35">
        <f>$D1174*($E1174*AS$321+$F1174*AS$324)</f>
        <v/>
      </c>
      <c r="AT1174" s="35">
        <f>$D1174*($E1174*AT$321+$F1174*AT$324)</f>
        <v/>
      </c>
      <c r="AU1174" s="35">
        <f>$D1174*($E1174*AU$321+$F1174*AU$324)</f>
        <v/>
      </c>
      <c r="AV1174" s="35">
        <f>$D1174*($E1174*AV$321+$F1174*AV$324)</f>
        <v/>
      </c>
      <c r="AW1174" s="35">
        <f>$D1174*($E1174*AW$321+$F1174*AW$324)</f>
        <v/>
      </c>
      <c r="AX1174" s="35">
        <f>$D1174*($E1174*AX$321+$F1174*AX$324)</f>
        <v/>
      </c>
      <c r="AY1174" s="35">
        <f>$D1174*($E1174*AY$321+$F1174*AY$324)</f>
        <v/>
      </c>
      <c r="AZ1174" s="35">
        <f>$D1174*($E1174*AZ$321+$F1174*AZ$324)</f>
        <v/>
      </c>
      <c r="BA1174" s="42">
        <f>XCARBON($D1174,$E1174,BA$321,$F1174,BA$324)</f>
        <v/>
      </c>
    </row>
    <row r="1175" hidden="1" outlineLevel="2">
      <c r="A1175" s="14" t="inlineStr">
        <is>
          <t>xcp</t>
        </is>
      </c>
      <c r="B1175" s="14" t="inlineStr">
        <is>
          <t>lpg</t>
        </is>
      </c>
      <c r="C1175" s="14" t="inlineStr">
        <is>
          <t>ral</t>
        </is>
      </c>
      <c r="D1175" s="35">
        <f>INDEX(Inputs!$W$5:$W$132,MATCH($B1175&amp;"|"&amp;$C1175,Inputs!$A$5:$A$132,0))</f>
        <v/>
      </c>
      <c r="E1175" s="35">
        <f>INDEX(Inputs!$Z$5:$Z$132,MATCH($B1175&amp;"|"&amp;$C1175,Inputs!$A$5:$A$132,0))</f>
        <v/>
      </c>
      <c r="F1175" s="35">
        <f>INDEX(Inputs!$AA$5:$AA$132,MATCH($B1175&amp;"|"&amp;$C1175,Inputs!$A$5:$A$132,0))</f>
        <v/>
      </c>
      <c r="G1175" s="39" t="n"/>
      <c r="H1175" s="14">
        <f>INDEX(VarLab,MATCH($A1175,VarKey,0))&amp;INDEX(MemLab,MATCH($C1175&amp;"|"&amp;$B1175,MemKey,0))</f>
        <v/>
      </c>
      <c r="I1175" s="14">
        <f>INDEX(VarUnit,MATCH($A1175,VarKey,0))</f>
        <v/>
      </c>
      <c r="J1175" s="14">
        <f>INDEX(VarSrc,MATCH($A1175,VarKey,0))</f>
        <v/>
      </c>
      <c r="K1175" s="11">
        <f>CodePrefix&amp;$A1175&amp;IF($C1175="","","."&amp;$C1175&amp;"."&amp;$B1175)&amp;INDEX(VarEnd,MATCH($A1175,VarKey,0))&amp;K$5</f>
        <v/>
      </c>
      <c r="L1175" s="40">
        <f>$D1175*($E1175*L$321+$F1175*L$324)</f>
        <v/>
      </c>
      <c r="M1175" s="35">
        <f>$D1175*($E1175*M$321+$F1175*M$324)</f>
        <v/>
      </c>
      <c r="N1175" s="35">
        <f>$D1175*($E1175*N$321+$F1175*N$324)</f>
        <v/>
      </c>
      <c r="O1175" s="35">
        <f>$D1175*($E1175*O$321+$F1175*O$324)</f>
        <v/>
      </c>
      <c r="P1175" s="35">
        <f>$D1175*($E1175*P$321+$F1175*P$324)</f>
        <v/>
      </c>
      <c r="Q1175" s="35">
        <f>$D1175*($E1175*Q$321+$F1175*Q$324)</f>
        <v/>
      </c>
      <c r="R1175" s="35">
        <f>$D1175*($E1175*R$321+$F1175*R$324)</f>
        <v/>
      </c>
      <c r="S1175" s="35">
        <f>$D1175*($E1175*S$321+$F1175*S$324)</f>
        <v/>
      </c>
      <c r="T1175" s="35">
        <f>$D1175*($E1175*T$321+$F1175*T$324)</f>
        <v/>
      </c>
      <c r="U1175" s="35">
        <f>$D1175*($E1175*U$321+$F1175*U$324)</f>
        <v/>
      </c>
      <c r="V1175" s="35">
        <f>$D1175*($E1175*V$321+$F1175*V$324)</f>
        <v/>
      </c>
      <c r="W1175" s="35">
        <f>$D1175*($E1175*W$321+$F1175*W$324)</f>
        <v/>
      </c>
      <c r="X1175" s="35">
        <f>$D1175*($E1175*X$321+$F1175*X$324)</f>
        <v/>
      </c>
      <c r="Y1175" s="35">
        <f>$D1175*($E1175*Y$321+$F1175*Y$324)</f>
        <v/>
      </c>
      <c r="Z1175" s="35">
        <f>$D1175*($E1175*Z$321+$F1175*Z$324)</f>
        <v/>
      </c>
      <c r="AA1175" s="35">
        <f>$D1175*($E1175*AA$321+$F1175*AA$324)</f>
        <v/>
      </c>
      <c r="AB1175" s="35">
        <f>$D1175*($E1175*AB$321+$F1175*AB$324)</f>
        <v/>
      </c>
      <c r="AC1175" s="35">
        <f>$D1175*($E1175*AC$321+$F1175*AC$324)</f>
        <v/>
      </c>
      <c r="AD1175" s="35">
        <f>$D1175*($E1175*AD$321+$F1175*AD$324)</f>
        <v/>
      </c>
      <c r="AE1175" s="42">
        <f>XCARBON($D1175,$E1175,AE$321,$F1175,AE$324)</f>
        <v/>
      </c>
      <c r="AG1175" s="11">
        <f>CodePrefix&amp;$A1175&amp;IF($C1175="","","."&amp;$C1175&amp;"."&amp;$B1175)&amp;INDEX(VarEnd,MATCH($A1175,VarKey,0))&amp;AG$5</f>
        <v/>
      </c>
      <c r="AH1175" s="40">
        <f>$D1175*($E1175*AH$321+$F1175*AH$324)</f>
        <v/>
      </c>
      <c r="AI1175" s="35">
        <f>$D1175*($E1175*AI$321+$F1175*AI$324)</f>
        <v/>
      </c>
      <c r="AJ1175" s="35">
        <f>$D1175*($E1175*AJ$321+$F1175*AJ$324)</f>
        <v/>
      </c>
      <c r="AK1175" s="35">
        <f>$D1175*($E1175*AK$321+$F1175*AK$324)</f>
        <v/>
      </c>
      <c r="AL1175" s="35">
        <f>$D1175*($E1175*AL$321+$F1175*AL$324)</f>
        <v/>
      </c>
      <c r="AM1175" s="35">
        <f>$D1175*($E1175*AM$321+$F1175*AM$324)</f>
        <v/>
      </c>
      <c r="AN1175" s="35">
        <f>$D1175*($E1175*AN$321+$F1175*AN$324)</f>
        <v/>
      </c>
      <c r="AO1175" s="35">
        <f>$D1175*($E1175*AO$321+$F1175*AO$324)</f>
        <v/>
      </c>
      <c r="AP1175" s="35">
        <f>$D1175*($E1175*AP$321+$F1175*AP$324)</f>
        <v/>
      </c>
      <c r="AQ1175" s="35">
        <f>$D1175*($E1175*AQ$321+$F1175*AQ$324)</f>
        <v/>
      </c>
      <c r="AR1175" s="35">
        <f>$D1175*($E1175*AR$321+$F1175*AR$324)</f>
        <v/>
      </c>
      <c r="AS1175" s="35">
        <f>$D1175*($E1175*AS$321+$F1175*AS$324)</f>
        <v/>
      </c>
      <c r="AT1175" s="35">
        <f>$D1175*($E1175*AT$321+$F1175*AT$324)</f>
        <v/>
      </c>
      <c r="AU1175" s="35">
        <f>$D1175*($E1175*AU$321+$F1175*AU$324)</f>
        <v/>
      </c>
      <c r="AV1175" s="35">
        <f>$D1175*($E1175*AV$321+$F1175*AV$324)</f>
        <v/>
      </c>
      <c r="AW1175" s="35">
        <f>$D1175*($E1175*AW$321+$F1175*AW$324)</f>
        <v/>
      </c>
      <c r="AX1175" s="35">
        <f>$D1175*($E1175*AX$321+$F1175*AX$324)</f>
        <v/>
      </c>
      <c r="AY1175" s="35">
        <f>$D1175*($E1175*AY$321+$F1175*AY$324)</f>
        <v/>
      </c>
      <c r="AZ1175" s="35">
        <f>$D1175*($E1175*AZ$321+$F1175*AZ$324)</f>
        <v/>
      </c>
      <c r="BA1175" s="42">
        <f>XCARBON($D1175,$E1175,BA$321,$F1175,BA$324)</f>
        <v/>
      </c>
    </row>
    <row r="1176" hidden="1" outlineLevel="2">
      <c r="A1176" s="14" t="inlineStr">
        <is>
          <t>xcp</t>
        </is>
      </c>
      <c r="B1176" s="14" t="inlineStr">
        <is>
          <t>ker</t>
        </is>
      </c>
      <c r="C1176" s="14" t="inlineStr">
        <is>
          <t>ral</t>
        </is>
      </c>
      <c r="D1176" s="35">
        <f>INDEX(Inputs!$W$5:$W$132,MATCH($B1176&amp;"|"&amp;$C1176,Inputs!$A$5:$A$132,0))</f>
        <v/>
      </c>
      <c r="E1176" s="35">
        <f>INDEX(Inputs!$Z$5:$Z$132,MATCH($B1176&amp;"|"&amp;$C1176,Inputs!$A$5:$A$132,0))</f>
        <v/>
      </c>
      <c r="F1176" s="35">
        <f>INDEX(Inputs!$AA$5:$AA$132,MATCH($B1176&amp;"|"&amp;$C1176,Inputs!$A$5:$A$132,0))</f>
        <v/>
      </c>
      <c r="G1176" s="39" t="n"/>
      <c r="H1176" s="14">
        <f>INDEX(VarLab,MATCH($A1176,VarKey,0))&amp;INDEX(MemLab,MATCH($C1176&amp;"|"&amp;$B1176,MemKey,0))</f>
        <v/>
      </c>
      <c r="I1176" s="14">
        <f>INDEX(VarUnit,MATCH($A1176,VarKey,0))</f>
        <v/>
      </c>
      <c r="J1176" s="14">
        <f>INDEX(VarSrc,MATCH($A1176,VarKey,0))</f>
        <v/>
      </c>
      <c r="K1176" s="11">
        <f>CodePrefix&amp;$A1176&amp;IF($C1176="","","."&amp;$C1176&amp;"."&amp;$B1176)&amp;INDEX(VarEnd,MATCH($A1176,VarKey,0))&amp;K$5</f>
        <v/>
      </c>
      <c r="L1176" s="40">
        <f>$D1176*($E1176*L$321+$F1176*L$324)</f>
        <v/>
      </c>
      <c r="M1176" s="35">
        <f>$D1176*($E1176*M$321+$F1176*M$324)</f>
        <v/>
      </c>
      <c r="N1176" s="35">
        <f>$D1176*($E1176*N$321+$F1176*N$324)</f>
        <v/>
      </c>
      <c r="O1176" s="35">
        <f>$D1176*($E1176*O$321+$F1176*O$324)</f>
        <v/>
      </c>
      <c r="P1176" s="35">
        <f>$D1176*($E1176*P$321+$F1176*P$324)</f>
        <v/>
      </c>
      <c r="Q1176" s="35">
        <f>$D1176*($E1176*Q$321+$F1176*Q$324)</f>
        <v/>
      </c>
      <c r="R1176" s="35">
        <f>$D1176*($E1176*R$321+$F1176*R$324)</f>
        <v/>
      </c>
      <c r="S1176" s="35">
        <f>$D1176*($E1176*S$321+$F1176*S$324)</f>
        <v/>
      </c>
      <c r="T1176" s="35">
        <f>$D1176*($E1176*T$321+$F1176*T$324)</f>
        <v/>
      </c>
      <c r="U1176" s="35">
        <f>$D1176*($E1176*U$321+$F1176*U$324)</f>
        <v/>
      </c>
      <c r="V1176" s="35">
        <f>$D1176*($E1176*V$321+$F1176*V$324)</f>
        <v/>
      </c>
      <c r="W1176" s="35">
        <f>$D1176*($E1176*W$321+$F1176*W$324)</f>
        <v/>
      </c>
      <c r="X1176" s="35">
        <f>$D1176*($E1176*X$321+$F1176*X$324)</f>
        <v/>
      </c>
      <c r="Y1176" s="35">
        <f>$D1176*($E1176*Y$321+$F1176*Y$324)</f>
        <v/>
      </c>
      <c r="Z1176" s="35">
        <f>$D1176*($E1176*Z$321+$F1176*Z$324)</f>
        <v/>
      </c>
      <c r="AA1176" s="35">
        <f>$D1176*($E1176*AA$321+$F1176*AA$324)</f>
        <v/>
      </c>
      <c r="AB1176" s="35">
        <f>$D1176*($E1176*AB$321+$F1176*AB$324)</f>
        <v/>
      </c>
      <c r="AC1176" s="35">
        <f>$D1176*($E1176*AC$321+$F1176*AC$324)</f>
        <v/>
      </c>
      <c r="AD1176" s="35">
        <f>$D1176*($E1176*AD$321+$F1176*AD$324)</f>
        <v/>
      </c>
      <c r="AE1176" s="42">
        <f>XCARBON($D1176,$E1176,AE$321,$F1176,AE$324)</f>
        <v/>
      </c>
      <c r="AG1176" s="11">
        <f>CodePrefix&amp;$A1176&amp;IF($C1176="","","."&amp;$C1176&amp;"."&amp;$B1176)&amp;INDEX(VarEnd,MATCH($A1176,VarKey,0))&amp;AG$5</f>
        <v/>
      </c>
      <c r="AH1176" s="40">
        <f>$D1176*($E1176*AH$321+$F1176*AH$324)</f>
        <v/>
      </c>
      <c r="AI1176" s="35">
        <f>$D1176*($E1176*AI$321+$F1176*AI$324)</f>
        <v/>
      </c>
      <c r="AJ1176" s="35">
        <f>$D1176*($E1176*AJ$321+$F1176*AJ$324)</f>
        <v/>
      </c>
      <c r="AK1176" s="35">
        <f>$D1176*($E1176*AK$321+$F1176*AK$324)</f>
        <v/>
      </c>
      <c r="AL1176" s="35">
        <f>$D1176*($E1176*AL$321+$F1176*AL$324)</f>
        <v/>
      </c>
      <c r="AM1176" s="35">
        <f>$D1176*($E1176*AM$321+$F1176*AM$324)</f>
        <v/>
      </c>
      <c r="AN1176" s="35">
        <f>$D1176*($E1176*AN$321+$F1176*AN$324)</f>
        <v/>
      </c>
      <c r="AO1176" s="35">
        <f>$D1176*($E1176*AO$321+$F1176*AO$324)</f>
        <v/>
      </c>
      <c r="AP1176" s="35">
        <f>$D1176*($E1176*AP$321+$F1176*AP$324)</f>
        <v/>
      </c>
      <c r="AQ1176" s="35">
        <f>$D1176*($E1176*AQ$321+$F1176*AQ$324)</f>
        <v/>
      </c>
      <c r="AR1176" s="35">
        <f>$D1176*($E1176*AR$321+$F1176*AR$324)</f>
        <v/>
      </c>
      <c r="AS1176" s="35">
        <f>$D1176*($E1176*AS$321+$F1176*AS$324)</f>
        <v/>
      </c>
      <c r="AT1176" s="35">
        <f>$D1176*($E1176*AT$321+$F1176*AT$324)</f>
        <v/>
      </c>
      <c r="AU1176" s="35">
        <f>$D1176*($E1176*AU$321+$F1176*AU$324)</f>
        <v/>
      </c>
      <c r="AV1176" s="35">
        <f>$D1176*($E1176*AV$321+$F1176*AV$324)</f>
        <v/>
      </c>
      <c r="AW1176" s="35">
        <f>$D1176*($E1176*AW$321+$F1176*AW$324)</f>
        <v/>
      </c>
      <c r="AX1176" s="35">
        <f>$D1176*($E1176*AX$321+$F1176*AX$324)</f>
        <v/>
      </c>
      <c r="AY1176" s="35">
        <f>$D1176*($E1176*AY$321+$F1176*AY$324)</f>
        <v/>
      </c>
      <c r="AZ1176" s="35">
        <f>$D1176*($E1176*AZ$321+$F1176*AZ$324)</f>
        <v/>
      </c>
      <c r="BA1176" s="42">
        <f>XCARBON($D1176,$E1176,BA$321,$F1176,BA$324)</f>
        <v/>
      </c>
    </row>
    <row r="1177" hidden="1" outlineLevel="2">
      <c r="A1177" s="14" t="inlineStr">
        <is>
          <t>xcp</t>
        </is>
      </c>
      <c r="B1177" s="14" t="inlineStr">
        <is>
          <t>oop</t>
        </is>
      </c>
      <c r="C1177" s="14" t="inlineStr">
        <is>
          <t>ral</t>
        </is>
      </c>
      <c r="D1177" s="35">
        <f>INDEX(Inputs!$W$5:$W$132,MATCH($B1177&amp;"|"&amp;$C1177,Inputs!$A$5:$A$132,0))</f>
        <v/>
      </c>
      <c r="E1177" s="35">
        <f>INDEX(Inputs!$Z$5:$Z$132,MATCH($B1177&amp;"|"&amp;$C1177,Inputs!$A$5:$A$132,0))</f>
        <v/>
      </c>
      <c r="F1177" s="35">
        <f>INDEX(Inputs!$AA$5:$AA$132,MATCH($B1177&amp;"|"&amp;$C1177,Inputs!$A$5:$A$132,0))</f>
        <v/>
      </c>
      <c r="G1177" s="39" t="n"/>
      <c r="H1177" s="14">
        <f>INDEX(VarLab,MATCH($A1177,VarKey,0))&amp;INDEX(MemLab,MATCH($C1177&amp;"|"&amp;$B1177,MemKey,0))</f>
        <v/>
      </c>
      <c r="I1177" s="14">
        <f>INDEX(VarUnit,MATCH($A1177,VarKey,0))</f>
        <v/>
      </c>
      <c r="J1177" s="14">
        <f>INDEX(VarSrc,MATCH($A1177,VarKey,0))</f>
        <v/>
      </c>
      <c r="K1177" s="11">
        <f>CodePrefix&amp;$A1177&amp;IF($C1177="","","."&amp;$C1177&amp;"."&amp;$B1177)&amp;INDEX(VarEnd,MATCH($A1177,VarKey,0))&amp;K$5</f>
        <v/>
      </c>
      <c r="L1177" s="40">
        <f>$D1177*($E1177*L$321+$F1177*L$324)</f>
        <v/>
      </c>
      <c r="M1177" s="35">
        <f>$D1177*($E1177*M$321+$F1177*M$324)</f>
        <v/>
      </c>
      <c r="N1177" s="35">
        <f>$D1177*($E1177*N$321+$F1177*N$324)</f>
        <v/>
      </c>
      <c r="O1177" s="35">
        <f>$D1177*($E1177*O$321+$F1177*O$324)</f>
        <v/>
      </c>
      <c r="P1177" s="35">
        <f>$D1177*($E1177*P$321+$F1177*P$324)</f>
        <v/>
      </c>
      <c r="Q1177" s="35">
        <f>$D1177*($E1177*Q$321+$F1177*Q$324)</f>
        <v/>
      </c>
      <c r="R1177" s="35">
        <f>$D1177*($E1177*R$321+$F1177*R$324)</f>
        <v/>
      </c>
      <c r="S1177" s="35">
        <f>$D1177*($E1177*S$321+$F1177*S$324)</f>
        <v/>
      </c>
      <c r="T1177" s="35">
        <f>$D1177*($E1177*T$321+$F1177*T$324)</f>
        <v/>
      </c>
      <c r="U1177" s="35">
        <f>$D1177*($E1177*U$321+$F1177*U$324)</f>
        <v/>
      </c>
      <c r="V1177" s="35">
        <f>$D1177*($E1177*V$321+$F1177*V$324)</f>
        <v/>
      </c>
      <c r="W1177" s="35">
        <f>$D1177*($E1177*W$321+$F1177*W$324)</f>
        <v/>
      </c>
      <c r="X1177" s="35">
        <f>$D1177*($E1177*X$321+$F1177*X$324)</f>
        <v/>
      </c>
      <c r="Y1177" s="35">
        <f>$D1177*($E1177*Y$321+$F1177*Y$324)</f>
        <v/>
      </c>
      <c r="Z1177" s="35">
        <f>$D1177*($E1177*Z$321+$F1177*Z$324)</f>
        <v/>
      </c>
      <c r="AA1177" s="35">
        <f>$D1177*($E1177*AA$321+$F1177*AA$324)</f>
        <v/>
      </c>
      <c r="AB1177" s="35">
        <f>$D1177*($E1177*AB$321+$F1177*AB$324)</f>
        <v/>
      </c>
      <c r="AC1177" s="35">
        <f>$D1177*($E1177*AC$321+$F1177*AC$324)</f>
        <v/>
      </c>
      <c r="AD1177" s="35">
        <f>$D1177*($E1177*AD$321+$F1177*AD$324)</f>
        <v/>
      </c>
      <c r="AE1177" s="42">
        <f>XCARBON($D1177,$E1177,AE$321,$F1177,AE$324)</f>
        <v/>
      </c>
      <c r="AG1177" s="11">
        <f>CodePrefix&amp;$A1177&amp;IF($C1177="","","."&amp;$C1177&amp;"."&amp;$B1177)&amp;INDEX(VarEnd,MATCH($A1177,VarKey,0))&amp;AG$5</f>
        <v/>
      </c>
      <c r="AH1177" s="40">
        <f>$D1177*($E1177*AH$321+$F1177*AH$324)</f>
        <v/>
      </c>
      <c r="AI1177" s="35">
        <f>$D1177*($E1177*AI$321+$F1177*AI$324)</f>
        <v/>
      </c>
      <c r="AJ1177" s="35">
        <f>$D1177*($E1177*AJ$321+$F1177*AJ$324)</f>
        <v/>
      </c>
      <c r="AK1177" s="35">
        <f>$D1177*($E1177*AK$321+$F1177*AK$324)</f>
        <v/>
      </c>
      <c r="AL1177" s="35">
        <f>$D1177*($E1177*AL$321+$F1177*AL$324)</f>
        <v/>
      </c>
      <c r="AM1177" s="35">
        <f>$D1177*($E1177*AM$321+$F1177*AM$324)</f>
        <v/>
      </c>
      <c r="AN1177" s="35">
        <f>$D1177*($E1177*AN$321+$F1177*AN$324)</f>
        <v/>
      </c>
      <c r="AO1177" s="35">
        <f>$D1177*($E1177*AO$321+$F1177*AO$324)</f>
        <v/>
      </c>
      <c r="AP1177" s="35">
        <f>$D1177*($E1177*AP$321+$F1177*AP$324)</f>
        <v/>
      </c>
      <c r="AQ1177" s="35">
        <f>$D1177*($E1177*AQ$321+$F1177*AQ$324)</f>
        <v/>
      </c>
      <c r="AR1177" s="35">
        <f>$D1177*($E1177*AR$321+$F1177*AR$324)</f>
        <v/>
      </c>
      <c r="AS1177" s="35">
        <f>$D1177*($E1177*AS$321+$F1177*AS$324)</f>
        <v/>
      </c>
      <c r="AT1177" s="35">
        <f>$D1177*($E1177*AT$321+$F1177*AT$324)</f>
        <v/>
      </c>
      <c r="AU1177" s="35">
        <f>$D1177*($E1177*AU$321+$F1177*AU$324)</f>
        <v/>
      </c>
      <c r="AV1177" s="35">
        <f>$D1177*($E1177*AV$321+$F1177*AV$324)</f>
        <v/>
      </c>
      <c r="AW1177" s="35">
        <f>$D1177*($E1177*AW$321+$F1177*AW$324)</f>
        <v/>
      </c>
      <c r="AX1177" s="35">
        <f>$D1177*($E1177*AX$321+$F1177*AX$324)</f>
        <v/>
      </c>
      <c r="AY1177" s="35">
        <f>$D1177*($E1177*AY$321+$F1177*AY$324)</f>
        <v/>
      </c>
      <c r="AZ1177" s="35">
        <f>$D1177*($E1177*AZ$321+$F1177*AZ$324)</f>
        <v/>
      </c>
      <c r="BA1177" s="42">
        <f>XCARBON($D1177,$E1177,BA$321,$F1177,BA$324)</f>
        <v/>
      </c>
    </row>
    <row r="1178" hidden="1" outlineLevel="2">
      <c r="A1178" s="14" t="inlineStr">
        <is>
          <t>xcp</t>
        </is>
      </c>
      <c r="B1178" s="14" t="inlineStr">
        <is>
          <t>bio</t>
        </is>
      </c>
      <c r="C1178" s="14" t="inlineStr">
        <is>
          <t>ral</t>
        </is>
      </c>
      <c r="D1178" s="35">
        <f>INDEX(Inputs!$W$5:$W$132,MATCH($B1178&amp;"|"&amp;$C1178,Inputs!$A$5:$A$132,0))</f>
        <v/>
      </c>
      <c r="E1178" s="35">
        <f>INDEX(Inputs!$Z$5:$Z$132,MATCH($B1178&amp;"|"&amp;$C1178,Inputs!$A$5:$A$132,0))</f>
        <v/>
      </c>
      <c r="F1178" s="35">
        <f>INDEX(Inputs!$AA$5:$AA$132,MATCH($B1178&amp;"|"&amp;$C1178,Inputs!$A$5:$A$132,0))</f>
        <v/>
      </c>
      <c r="G1178" s="39" t="n"/>
      <c r="H1178" s="14">
        <f>INDEX(VarLab,MATCH($A1178,VarKey,0))&amp;INDEX(MemLab,MATCH($C1178&amp;"|"&amp;$B1178,MemKey,0))</f>
        <v/>
      </c>
      <c r="I1178" s="14">
        <f>INDEX(VarUnit,MATCH($A1178,VarKey,0))</f>
        <v/>
      </c>
      <c r="J1178" s="14">
        <f>INDEX(VarSrc,MATCH($A1178,VarKey,0))</f>
        <v/>
      </c>
      <c r="K1178" s="11">
        <f>CodePrefix&amp;$A1178&amp;IF($C1178="","","."&amp;$C1178&amp;"."&amp;$B1178)&amp;INDEX(VarEnd,MATCH($A1178,VarKey,0))&amp;K$5</f>
        <v/>
      </c>
      <c r="L1178" s="40">
        <f>$D1178*($E1178*L$321+$F1178*L$324)</f>
        <v/>
      </c>
      <c r="M1178" s="35">
        <f>$D1178*($E1178*M$321+$F1178*M$324)</f>
        <v/>
      </c>
      <c r="N1178" s="35">
        <f>$D1178*($E1178*N$321+$F1178*N$324)</f>
        <v/>
      </c>
      <c r="O1178" s="35">
        <f>$D1178*($E1178*O$321+$F1178*O$324)</f>
        <v/>
      </c>
      <c r="P1178" s="35">
        <f>$D1178*($E1178*P$321+$F1178*P$324)</f>
        <v/>
      </c>
      <c r="Q1178" s="35">
        <f>$D1178*($E1178*Q$321+$F1178*Q$324)</f>
        <v/>
      </c>
      <c r="R1178" s="35">
        <f>$D1178*($E1178*R$321+$F1178*R$324)</f>
        <v/>
      </c>
      <c r="S1178" s="35">
        <f>$D1178*($E1178*S$321+$F1178*S$324)</f>
        <v/>
      </c>
      <c r="T1178" s="35">
        <f>$D1178*($E1178*T$321+$F1178*T$324)</f>
        <v/>
      </c>
      <c r="U1178" s="35">
        <f>$D1178*($E1178*U$321+$F1178*U$324)</f>
        <v/>
      </c>
      <c r="V1178" s="35">
        <f>$D1178*($E1178*V$321+$F1178*V$324)</f>
        <v/>
      </c>
      <c r="W1178" s="35">
        <f>$D1178*($E1178*W$321+$F1178*W$324)</f>
        <v/>
      </c>
      <c r="X1178" s="35">
        <f>$D1178*($E1178*X$321+$F1178*X$324)</f>
        <v/>
      </c>
      <c r="Y1178" s="35">
        <f>$D1178*($E1178*Y$321+$F1178*Y$324)</f>
        <v/>
      </c>
      <c r="Z1178" s="35">
        <f>$D1178*($E1178*Z$321+$F1178*Z$324)</f>
        <v/>
      </c>
      <c r="AA1178" s="35">
        <f>$D1178*($E1178*AA$321+$F1178*AA$324)</f>
        <v/>
      </c>
      <c r="AB1178" s="35">
        <f>$D1178*($E1178*AB$321+$F1178*AB$324)</f>
        <v/>
      </c>
      <c r="AC1178" s="35">
        <f>$D1178*($E1178*AC$321+$F1178*AC$324)</f>
        <v/>
      </c>
      <c r="AD1178" s="35">
        <f>$D1178*($E1178*AD$321+$F1178*AD$324)</f>
        <v/>
      </c>
      <c r="AE1178" s="42">
        <f>XCARBON($D1178,$E1178,AE$321,$F1178,AE$324)</f>
        <v/>
      </c>
      <c r="AG1178" s="11">
        <f>CodePrefix&amp;$A1178&amp;IF($C1178="","","."&amp;$C1178&amp;"."&amp;$B1178)&amp;INDEX(VarEnd,MATCH($A1178,VarKey,0))&amp;AG$5</f>
        <v/>
      </c>
      <c r="AH1178" s="40">
        <f>$D1178*($E1178*AH$321+$F1178*AH$324)</f>
        <v/>
      </c>
      <c r="AI1178" s="35">
        <f>$D1178*($E1178*AI$321+$F1178*AI$324)</f>
        <v/>
      </c>
      <c r="AJ1178" s="35">
        <f>$D1178*($E1178*AJ$321+$F1178*AJ$324)</f>
        <v/>
      </c>
      <c r="AK1178" s="35">
        <f>$D1178*($E1178*AK$321+$F1178*AK$324)</f>
        <v/>
      </c>
      <c r="AL1178" s="35">
        <f>$D1178*($E1178*AL$321+$F1178*AL$324)</f>
        <v/>
      </c>
      <c r="AM1178" s="35">
        <f>$D1178*($E1178*AM$321+$F1178*AM$324)</f>
        <v/>
      </c>
      <c r="AN1178" s="35">
        <f>$D1178*($E1178*AN$321+$F1178*AN$324)</f>
        <v/>
      </c>
      <c r="AO1178" s="35">
        <f>$D1178*($E1178*AO$321+$F1178*AO$324)</f>
        <v/>
      </c>
      <c r="AP1178" s="35">
        <f>$D1178*($E1178*AP$321+$F1178*AP$324)</f>
        <v/>
      </c>
      <c r="AQ1178" s="35">
        <f>$D1178*($E1178*AQ$321+$F1178*AQ$324)</f>
        <v/>
      </c>
      <c r="AR1178" s="35">
        <f>$D1178*($E1178*AR$321+$F1178*AR$324)</f>
        <v/>
      </c>
      <c r="AS1178" s="35">
        <f>$D1178*($E1178*AS$321+$F1178*AS$324)</f>
        <v/>
      </c>
      <c r="AT1178" s="35">
        <f>$D1178*($E1178*AT$321+$F1178*AT$324)</f>
        <v/>
      </c>
      <c r="AU1178" s="35">
        <f>$D1178*($E1178*AU$321+$F1178*AU$324)</f>
        <v/>
      </c>
      <c r="AV1178" s="35">
        <f>$D1178*($E1178*AV$321+$F1178*AV$324)</f>
        <v/>
      </c>
      <c r="AW1178" s="35">
        <f>$D1178*($E1178*AW$321+$F1178*AW$324)</f>
        <v/>
      </c>
      <c r="AX1178" s="35">
        <f>$D1178*($E1178*AX$321+$F1178*AX$324)</f>
        <v/>
      </c>
      <c r="AY1178" s="35">
        <f>$D1178*($E1178*AY$321+$F1178*AY$324)</f>
        <v/>
      </c>
      <c r="AZ1178" s="35">
        <f>$D1178*($E1178*AZ$321+$F1178*AZ$324)</f>
        <v/>
      </c>
      <c r="BA1178" s="42">
        <f>XCARBON($D1178,$E1178,BA$321,$F1178,BA$324)</f>
        <v/>
      </c>
    </row>
    <row r="1179" hidden="1" outlineLevel="2"/>
    <row r="1180" hidden="1" outlineLevel="2">
      <c r="A1180" s="14" t="inlineStr">
        <is>
          <t>xcpd</t>
        </is>
      </c>
      <c r="B1180" s="14" t="inlineStr">
        <is>
          <t>coa</t>
        </is>
      </c>
      <c r="C1180" s="14" t="inlineStr">
        <is>
          <t>ral</t>
        </is>
      </c>
      <c r="D1180" s="35">
        <f>INDEX(Inputs!$W$5:$W$132,MATCH($B1180&amp;"|"&amp;$C1180,Inputs!$A$5:$A$132,0))</f>
        <v/>
      </c>
      <c r="E1180" s="35">
        <f>INDEX(Inputs!$Z$5:$Z$132,MATCH($B1180&amp;"|"&amp;$C1180,Inputs!$A$5:$A$132,0))</f>
        <v/>
      </c>
      <c r="F1180" s="35">
        <f>INDEX(Inputs!$AA$5:$AA$132,MATCH($B1180&amp;"|"&amp;$C1180,Inputs!$A$5:$A$132,0))</f>
        <v/>
      </c>
      <c r="G1180" s="39" t="n"/>
      <c r="H1180" s="14">
        <f>INDEX(VarLab,MATCH($A1180,VarKey,0))&amp;INDEX(MemLab,MATCH($C1180&amp;"|"&amp;$B1180,MemKey,0))</f>
        <v/>
      </c>
      <c r="I1180" s="14">
        <f>INDEX(VarUnit,MATCH($A1180,VarKey,0))</f>
        <v/>
      </c>
      <c r="J1180" s="14">
        <f>INDEX(VarSrc,MATCH($A1180,VarKey,0))</f>
        <v/>
      </c>
      <c r="K1180" s="11">
        <f>CodePrefix&amp;$A1180&amp;IF($C1180="","","."&amp;$C1180&amp;"."&amp;$B1180)&amp;INDEX(VarEnd,MATCH($A1180,VarKey,0))&amp;K$5</f>
        <v/>
      </c>
      <c r="L1180" s="40">
        <f>$D1180*($E1180*(L$321-L$322)+$F1180*(L$324-L$325))</f>
        <v/>
      </c>
      <c r="M1180" s="35">
        <f>$D1180*($E1180*(M$321-M$322)+$F1180*(M$324-M$325))</f>
        <v/>
      </c>
      <c r="N1180" s="35">
        <f>$D1180*($E1180*(N$321-N$322)+$F1180*(N$324-N$325))</f>
        <v/>
      </c>
      <c r="O1180" s="35">
        <f>$D1180*($E1180*(O$321-O$322)+$F1180*(O$324-O$325))</f>
        <v/>
      </c>
      <c r="P1180" s="35">
        <f>$D1180*($E1180*(P$321-P$322)+$F1180*(P$324-P$325))</f>
        <v/>
      </c>
      <c r="Q1180" s="35">
        <f>$D1180*($E1180*(Q$321-Q$322)+$F1180*(Q$324-Q$325))</f>
        <v/>
      </c>
      <c r="R1180" s="35">
        <f>$D1180*($E1180*(R$321-R$322)+$F1180*(R$324-R$325))</f>
        <v/>
      </c>
      <c r="S1180" s="35">
        <f>$D1180*($E1180*(S$321-S$322)+$F1180*(S$324-S$325))</f>
        <v/>
      </c>
      <c r="T1180" s="35">
        <f>$D1180*($E1180*(T$321-T$322)+$F1180*(T$324-T$325))</f>
        <v/>
      </c>
      <c r="U1180" s="35">
        <f>$D1180*($E1180*(U$321-U$322)+$F1180*(U$324-U$325))</f>
        <v/>
      </c>
      <c r="V1180" s="35">
        <f>$D1180*($E1180*(V$321-V$322)+$F1180*(V$324-V$325))</f>
        <v/>
      </c>
      <c r="W1180" s="35">
        <f>$D1180*($E1180*(W$321-W$322)+$F1180*(W$324-W$325))</f>
        <v/>
      </c>
      <c r="X1180" s="35">
        <f>$D1180*($E1180*(X$321-X$322)+$F1180*(X$324-X$325))</f>
        <v/>
      </c>
      <c r="Y1180" s="35">
        <f>$D1180*($E1180*(Y$321-Y$322)+$F1180*(Y$324-Y$325))</f>
        <v/>
      </c>
      <c r="Z1180" s="35">
        <f>$D1180*($E1180*(Z$321-Z$322)+$F1180*(Z$324-Z$325))</f>
        <v/>
      </c>
      <c r="AA1180" s="35">
        <f>$D1180*($E1180*(AA$321-AA$322)+$F1180*(AA$324-AA$325))</f>
        <v/>
      </c>
      <c r="AB1180" s="35">
        <f>$D1180*($E1180*(AB$321-AB$322)+$F1180*(AB$324-AB$325))</f>
        <v/>
      </c>
      <c r="AC1180" s="35">
        <f>$D1180*($E1180*(AC$321-AC$322)+$F1180*(AC$324-AC$325))</f>
        <v/>
      </c>
      <c r="AD1180" s="35">
        <f>$D1180*($E1180*(AD$321-AD$322)+$F1180*(AD$324-AD$325))</f>
        <v/>
      </c>
      <c r="AE1180" s="42">
        <f>XCARBON($D1180,$E1180,(AE$321-AE$322),$F1180,(AE$324-AE$325))</f>
        <v/>
      </c>
      <c r="AG1180" s="11">
        <f>CodePrefix&amp;$A1180&amp;IF($C1180="","","."&amp;$C1180&amp;"."&amp;$B1180)&amp;INDEX(VarEnd,MATCH($A1180,VarKey,0))&amp;AG$5</f>
        <v/>
      </c>
      <c r="AH1180" s="40">
        <f>$D1180*($E1180*(AH$321-AH$322)+$F1180*(AH$324-AH$325))</f>
        <v/>
      </c>
      <c r="AI1180" s="35">
        <f>$D1180*($E1180*(AI$321-AI$322)+$F1180*(AI$324-AI$325))</f>
        <v/>
      </c>
      <c r="AJ1180" s="35">
        <f>$D1180*($E1180*(AJ$321-AJ$322)+$F1180*(AJ$324-AJ$325))</f>
        <v/>
      </c>
      <c r="AK1180" s="35">
        <f>$D1180*($E1180*(AK$321-AK$322)+$F1180*(AK$324-AK$325))</f>
        <v/>
      </c>
      <c r="AL1180" s="35">
        <f>$D1180*($E1180*(AL$321-AL$322)+$F1180*(AL$324-AL$325))</f>
        <v/>
      </c>
      <c r="AM1180" s="35">
        <f>$D1180*($E1180*(AM$321-AM$322)+$F1180*(AM$324-AM$325))</f>
        <v/>
      </c>
      <c r="AN1180" s="35">
        <f>$D1180*($E1180*(AN$321-AN$322)+$F1180*(AN$324-AN$325))</f>
        <v/>
      </c>
      <c r="AO1180" s="35">
        <f>$D1180*($E1180*(AO$321-AO$322)+$F1180*(AO$324-AO$325))</f>
        <v/>
      </c>
      <c r="AP1180" s="35">
        <f>$D1180*($E1180*(AP$321-AP$322)+$F1180*(AP$324-AP$325))</f>
        <v/>
      </c>
      <c r="AQ1180" s="35">
        <f>$D1180*($E1180*(AQ$321-AQ$322)+$F1180*(AQ$324-AQ$325))</f>
        <v/>
      </c>
      <c r="AR1180" s="35">
        <f>$D1180*($E1180*(AR$321-AR$322)+$F1180*(AR$324-AR$325))</f>
        <v/>
      </c>
      <c r="AS1180" s="35">
        <f>$D1180*($E1180*(AS$321-AS$322)+$F1180*(AS$324-AS$325))</f>
        <v/>
      </c>
      <c r="AT1180" s="35">
        <f>$D1180*($E1180*(AT$321-AT$322)+$F1180*(AT$324-AT$325))</f>
        <v/>
      </c>
      <c r="AU1180" s="35">
        <f>$D1180*($E1180*(AU$321-AU$322)+$F1180*(AU$324-AU$325))</f>
        <v/>
      </c>
      <c r="AV1180" s="35">
        <f>$D1180*($E1180*(AV$321-AV$322)+$F1180*(AV$324-AV$325))</f>
        <v/>
      </c>
      <c r="AW1180" s="35">
        <f>$D1180*($E1180*(AW$321-AW$322)+$F1180*(AW$324-AW$325))</f>
        <v/>
      </c>
      <c r="AX1180" s="35">
        <f>$D1180*($E1180*(AX$321-AX$322)+$F1180*(AX$324-AX$325))</f>
        <v/>
      </c>
      <c r="AY1180" s="35">
        <f>$D1180*($E1180*(AY$321-AY$322)+$F1180*(AY$324-AY$325))</f>
        <v/>
      </c>
      <c r="AZ1180" s="35">
        <f>$D1180*($E1180*(AZ$321-AZ$322)+$F1180*(AZ$324-AZ$325))</f>
        <v/>
      </c>
      <c r="BA1180" s="42">
        <f>XCARBON($D1180,$E1180,(BA$321-BA$322),$F1180,(BA$324-BA$325))</f>
        <v/>
      </c>
    </row>
    <row r="1181" hidden="1" outlineLevel="2">
      <c r="A1181" s="14" t="inlineStr">
        <is>
          <t>xcpd</t>
        </is>
      </c>
      <c r="B1181" s="14" t="inlineStr">
        <is>
          <t>nga</t>
        </is>
      </c>
      <c r="C1181" s="14" t="inlineStr">
        <is>
          <t>ral</t>
        </is>
      </c>
      <c r="D1181" s="35">
        <f>INDEX(Inputs!$W$5:$W$132,MATCH($B1181&amp;"|"&amp;$C1181,Inputs!$A$5:$A$132,0))</f>
        <v/>
      </c>
      <c r="E1181" s="35">
        <f>INDEX(Inputs!$Z$5:$Z$132,MATCH($B1181&amp;"|"&amp;$C1181,Inputs!$A$5:$A$132,0))</f>
        <v/>
      </c>
      <c r="F1181" s="35">
        <f>INDEX(Inputs!$AA$5:$AA$132,MATCH($B1181&amp;"|"&amp;$C1181,Inputs!$A$5:$A$132,0))</f>
        <v/>
      </c>
      <c r="G1181" s="39" t="n"/>
      <c r="H1181" s="14">
        <f>INDEX(VarLab,MATCH($A1181,VarKey,0))&amp;INDEX(MemLab,MATCH($C1181&amp;"|"&amp;$B1181,MemKey,0))</f>
        <v/>
      </c>
      <c r="I1181" s="14">
        <f>INDEX(VarUnit,MATCH($A1181,VarKey,0))</f>
        <v/>
      </c>
      <c r="J1181" s="14">
        <f>INDEX(VarSrc,MATCH($A1181,VarKey,0))</f>
        <v/>
      </c>
      <c r="K1181" s="11">
        <f>CodePrefix&amp;$A1181&amp;IF($C1181="","","."&amp;$C1181&amp;"."&amp;$B1181)&amp;INDEX(VarEnd,MATCH($A1181,VarKey,0))&amp;K$5</f>
        <v/>
      </c>
      <c r="L1181" s="40">
        <f>$D1181*($E1181*(L$321-L$322)+$F1181*(L$324-L$325))</f>
        <v/>
      </c>
      <c r="M1181" s="35">
        <f>$D1181*($E1181*(M$321-M$322)+$F1181*(M$324-M$325))</f>
        <v/>
      </c>
      <c r="N1181" s="35">
        <f>$D1181*($E1181*(N$321-N$322)+$F1181*(N$324-N$325))</f>
        <v/>
      </c>
      <c r="O1181" s="35">
        <f>$D1181*($E1181*(O$321-O$322)+$F1181*(O$324-O$325))</f>
        <v/>
      </c>
      <c r="P1181" s="35">
        <f>$D1181*($E1181*(P$321-P$322)+$F1181*(P$324-P$325))</f>
        <v/>
      </c>
      <c r="Q1181" s="35">
        <f>$D1181*($E1181*(Q$321-Q$322)+$F1181*(Q$324-Q$325))</f>
        <v/>
      </c>
      <c r="R1181" s="35">
        <f>$D1181*($E1181*(R$321-R$322)+$F1181*(R$324-R$325))</f>
        <v/>
      </c>
      <c r="S1181" s="35">
        <f>$D1181*($E1181*(S$321-S$322)+$F1181*(S$324-S$325))</f>
        <v/>
      </c>
      <c r="T1181" s="35">
        <f>$D1181*($E1181*(T$321-T$322)+$F1181*(T$324-T$325))</f>
        <v/>
      </c>
      <c r="U1181" s="35">
        <f>$D1181*($E1181*(U$321-U$322)+$F1181*(U$324-U$325))</f>
        <v/>
      </c>
      <c r="V1181" s="35">
        <f>$D1181*($E1181*(V$321-V$322)+$F1181*(V$324-V$325))</f>
        <v/>
      </c>
      <c r="W1181" s="35">
        <f>$D1181*($E1181*(W$321-W$322)+$F1181*(W$324-W$325))</f>
        <v/>
      </c>
      <c r="X1181" s="35">
        <f>$D1181*($E1181*(X$321-X$322)+$F1181*(X$324-X$325))</f>
        <v/>
      </c>
      <c r="Y1181" s="35">
        <f>$D1181*($E1181*(Y$321-Y$322)+$F1181*(Y$324-Y$325))</f>
        <v/>
      </c>
      <c r="Z1181" s="35">
        <f>$D1181*($E1181*(Z$321-Z$322)+$F1181*(Z$324-Z$325))</f>
        <v/>
      </c>
      <c r="AA1181" s="35">
        <f>$D1181*($E1181*(AA$321-AA$322)+$F1181*(AA$324-AA$325))</f>
        <v/>
      </c>
      <c r="AB1181" s="35">
        <f>$D1181*($E1181*(AB$321-AB$322)+$F1181*(AB$324-AB$325))</f>
        <v/>
      </c>
      <c r="AC1181" s="35">
        <f>$D1181*($E1181*(AC$321-AC$322)+$F1181*(AC$324-AC$325))</f>
        <v/>
      </c>
      <c r="AD1181" s="35">
        <f>$D1181*($E1181*(AD$321-AD$322)+$F1181*(AD$324-AD$325))</f>
        <v/>
      </c>
      <c r="AE1181" s="42">
        <f>XCARBON($D1181,$E1181,(AE$321-AE$322),$F1181,(AE$324-AE$325))</f>
        <v/>
      </c>
      <c r="AG1181" s="11">
        <f>CodePrefix&amp;$A1181&amp;IF($C1181="","","."&amp;$C1181&amp;"."&amp;$B1181)&amp;INDEX(VarEnd,MATCH($A1181,VarKey,0))&amp;AG$5</f>
        <v/>
      </c>
      <c r="AH1181" s="40">
        <f>$D1181*($E1181*(AH$321-AH$322)+$F1181*(AH$324-AH$325))</f>
        <v/>
      </c>
      <c r="AI1181" s="35">
        <f>$D1181*($E1181*(AI$321-AI$322)+$F1181*(AI$324-AI$325))</f>
        <v/>
      </c>
      <c r="AJ1181" s="35">
        <f>$D1181*($E1181*(AJ$321-AJ$322)+$F1181*(AJ$324-AJ$325))</f>
        <v/>
      </c>
      <c r="AK1181" s="35">
        <f>$D1181*($E1181*(AK$321-AK$322)+$F1181*(AK$324-AK$325))</f>
        <v/>
      </c>
      <c r="AL1181" s="35">
        <f>$D1181*($E1181*(AL$321-AL$322)+$F1181*(AL$324-AL$325))</f>
        <v/>
      </c>
      <c r="AM1181" s="35">
        <f>$D1181*($E1181*(AM$321-AM$322)+$F1181*(AM$324-AM$325))</f>
        <v/>
      </c>
      <c r="AN1181" s="35">
        <f>$D1181*($E1181*(AN$321-AN$322)+$F1181*(AN$324-AN$325))</f>
        <v/>
      </c>
      <c r="AO1181" s="35">
        <f>$D1181*($E1181*(AO$321-AO$322)+$F1181*(AO$324-AO$325))</f>
        <v/>
      </c>
      <c r="AP1181" s="35">
        <f>$D1181*($E1181*(AP$321-AP$322)+$F1181*(AP$324-AP$325))</f>
        <v/>
      </c>
      <c r="AQ1181" s="35">
        <f>$D1181*($E1181*(AQ$321-AQ$322)+$F1181*(AQ$324-AQ$325))</f>
        <v/>
      </c>
      <c r="AR1181" s="35">
        <f>$D1181*($E1181*(AR$321-AR$322)+$F1181*(AR$324-AR$325))</f>
        <v/>
      </c>
      <c r="AS1181" s="35">
        <f>$D1181*($E1181*(AS$321-AS$322)+$F1181*(AS$324-AS$325))</f>
        <v/>
      </c>
      <c r="AT1181" s="35">
        <f>$D1181*($E1181*(AT$321-AT$322)+$F1181*(AT$324-AT$325))</f>
        <v/>
      </c>
      <c r="AU1181" s="35">
        <f>$D1181*($E1181*(AU$321-AU$322)+$F1181*(AU$324-AU$325))</f>
        <v/>
      </c>
      <c r="AV1181" s="35">
        <f>$D1181*($E1181*(AV$321-AV$322)+$F1181*(AV$324-AV$325))</f>
        <v/>
      </c>
      <c r="AW1181" s="35">
        <f>$D1181*($E1181*(AW$321-AW$322)+$F1181*(AW$324-AW$325))</f>
        <v/>
      </c>
      <c r="AX1181" s="35">
        <f>$D1181*($E1181*(AX$321-AX$322)+$F1181*(AX$324-AX$325))</f>
        <v/>
      </c>
      <c r="AY1181" s="35">
        <f>$D1181*($E1181*(AY$321-AY$322)+$F1181*(AY$324-AY$325))</f>
        <v/>
      </c>
      <c r="AZ1181" s="35">
        <f>$D1181*($E1181*(AZ$321-AZ$322)+$F1181*(AZ$324-AZ$325))</f>
        <v/>
      </c>
      <c r="BA1181" s="42">
        <f>XCARBON($D1181,$E1181,(BA$321-BA$322),$F1181,(BA$324-BA$325))</f>
        <v/>
      </c>
    </row>
    <row r="1182" hidden="1" outlineLevel="2">
      <c r="A1182" s="14" t="inlineStr">
        <is>
          <t>xcpd</t>
        </is>
      </c>
      <c r="B1182" s="14" t="inlineStr">
        <is>
          <t>gso</t>
        </is>
      </c>
      <c r="C1182" s="14" t="inlineStr">
        <is>
          <t>ral</t>
        </is>
      </c>
      <c r="D1182" s="35">
        <f>INDEX(Inputs!$W$5:$W$132,MATCH($B1182&amp;"|"&amp;$C1182,Inputs!$A$5:$A$132,0))</f>
        <v/>
      </c>
      <c r="E1182" s="35">
        <f>INDEX(Inputs!$Z$5:$Z$132,MATCH($B1182&amp;"|"&amp;$C1182,Inputs!$A$5:$A$132,0))</f>
        <v/>
      </c>
      <c r="F1182" s="35">
        <f>INDEX(Inputs!$AA$5:$AA$132,MATCH($B1182&amp;"|"&amp;$C1182,Inputs!$A$5:$A$132,0))</f>
        <v/>
      </c>
      <c r="G1182" s="39" t="n"/>
      <c r="H1182" s="14">
        <f>INDEX(VarLab,MATCH($A1182,VarKey,0))&amp;INDEX(MemLab,MATCH($C1182&amp;"|"&amp;$B1182,MemKey,0))</f>
        <v/>
      </c>
      <c r="I1182" s="14">
        <f>INDEX(VarUnit,MATCH($A1182,VarKey,0))</f>
        <v/>
      </c>
      <c r="J1182" s="14">
        <f>INDEX(VarSrc,MATCH($A1182,VarKey,0))</f>
        <v/>
      </c>
      <c r="K1182" s="11">
        <f>CodePrefix&amp;$A1182&amp;IF($C1182="","","."&amp;$C1182&amp;"."&amp;$B1182)&amp;INDEX(VarEnd,MATCH($A1182,VarKey,0))&amp;K$5</f>
        <v/>
      </c>
      <c r="L1182" s="40">
        <f>$D1182*($E1182*(L$321-L$322)+$F1182*(L$324-L$325))</f>
        <v/>
      </c>
      <c r="M1182" s="35">
        <f>$D1182*($E1182*(M$321-M$322)+$F1182*(M$324-M$325))</f>
        <v/>
      </c>
      <c r="N1182" s="35">
        <f>$D1182*($E1182*(N$321-N$322)+$F1182*(N$324-N$325))</f>
        <v/>
      </c>
      <c r="O1182" s="35">
        <f>$D1182*($E1182*(O$321-O$322)+$F1182*(O$324-O$325))</f>
        <v/>
      </c>
      <c r="P1182" s="35">
        <f>$D1182*($E1182*(P$321-P$322)+$F1182*(P$324-P$325))</f>
        <v/>
      </c>
      <c r="Q1182" s="35">
        <f>$D1182*($E1182*(Q$321-Q$322)+$F1182*(Q$324-Q$325))</f>
        <v/>
      </c>
      <c r="R1182" s="35">
        <f>$D1182*($E1182*(R$321-R$322)+$F1182*(R$324-R$325))</f>
        <v/>
      </c>
      <c r="S1182" s="35">
        <f>$D1182*($E1182*(S$321-S$322)+$F1182*(S$324-S$325))</f>
        <v/>
      </c>
      <c r="T1182" s="35">
        <f>$D1182*($E1182*(T$321-T$322)+$F1182*(T$324-T$325))</f>
        <v/>
      </c>
      <c r="U1182" s="35">
        <f>$D1182*($E1182*(U$321-U$322)+$F1182*(U$324-U$325))</f>
        <v/>
      </c>
      <c r="V1182" s="35">
        <f>$D1182*($E1182*(V$321-V$322)+$F1182*(V$324-V$325))</f>
        <v/>
      </c>
      <c r="W1182" s="35">
        <f>$D1182*($E1182*(W$321-W$322)+$F1182*(W$324-W$325))</f>
        <v/>
      </c>
      <c r="X1182" s="35">
        <f>$D1182*($E1182*(X$321-X$322)+$F1182*(X$324-X$325))</f>
        <v/>
      </c>
      <c r="Y1182" s="35">
        <f>$D1182*($E1182*(Y$321-Y$322)+$F1182*(Y$324-Y$325))</f>
        <v/>
      </c>
      <c r="Z1182" s="35">
        <f>$D1182*($E1182*(Z$321-Z$322)+$F1182*(Z$324-Z$325))</f>
        <v/>
      </c>
      <c r="AA1182" s="35">
        <f>$D1182*($E1182*(AA$321-AA$322)+$F1182*(AA$324-AA$325))</f>
        <v/>
      </c>
      <c r="AB1182" s="35">
        <f>$D1182*($E1182*(AB$321-AB$322)+$F1182*(AB$324-AB$325))</f>
        <v/>
      </c>
      <c r="AC1182" s="35">
        <f>$D1182*($E1182*(AC$321-AC$322)+$F1182*(AC$324-AC$325))</f>
        <v/>
      </c>
      <c r="AD1182" s="35">
        <f>$D1182*($E1182*(AD$321-AD$322)+$F1182*(AD$324-AD$325))</f>
        <v/>
      </c>
      <c r="AE1182" s="42">
        <f>XCARBON($D1182,$E1182,(AE$321-AE$322),$F1182,(AE$324-AE$325))</f>
        <v/>
      </c>
      <c r="AG1182" s="11">
        <f>CodePrefix&amp;$A1182&amp;IF($C1182="","","."&amp;$C1182&amp;"."&amp;$B1182)&amp;INDEX(VarEnd,MATCH($A1182,VarKey,0))&amp;AG$5</f>
        <v/>
      </c>
      <c r="AH1182" s="40">
        <f>$D1182*($E1182*(AH$321-AH$322)+$F1182*(AH$324-AH$325))</f>
        <v/>
      </c>
      <c r="AI1182" s="35">
        <f>$D1182*($E1182*(AI$321-AI$322)+$F1182*(AI$324-AI$325))</f>
        <v/>
      </c>
      <c r="AJ1182" s="35">
        <f>$D1182*($E1182*(AJ$321-AJ$322)+$F1182*(AJ$324-AJ$325))</f>
        <v/>
      </c>
      <c r="AK1182" s="35">
        <f>$D1182*($E1182*(AK$321-AK$322)+$F1182*(AK$324-AK$325))</f>
        <v/>
      </c>
      <c r="AL1182" s="35">
        <f>$D1182*($E1182*(AL$321-AL$322)+$F1182*(AL$324-AL$325))</f>
        <v/>
      </c>
      <c r="AM1182" s="35">
        <f>$D1182*($E1182*(AM$321-AM$322)+$F1182*(AM$324-AM$325))</f>
        <v/>
      </c>
      <c r="AN1182" s="35">
        <f>$D1182*($E1182*(AN$321-AN$322)+$F1182*(AN$324-AN$325))</f>
        <v/>
      </c>
      <c r="AO1182" s="35">
        <f>$D1182*($E1182*(AO$321-AO$322)+$F1182*(AO$324-AO$325))</f>
        <v/>
      </c>
      <c r="AP1182" s="35">
        <f>$D1182*($E1182*(AP$321-AP$322)+$F1182*(AP$324-AP$325))</f>
        <v/>
      </c>
      <c r="AQ1182" s="35">
        <f>$D1182*($E1182*(AQ$321-AQ$322)+$F1182*(AQ$324-AQ$325))</f>
        <v/>
      </c>
      <c r="AR1182" s="35">
        <f>$D1182*($E1182*(AR$321-AR$322)+$F1182*(AR$324-AR$325))</f>
        <v/>
      </c>
      <c r="AS1182" s="35">
        <f>$D1182*($E1182*(AS$321-AS$322)+$F1182*(AS$324-AS$325))</f>
        <v/>
      </c>
      <c r="AT1182" s="35">
        <f>$D1182*($E1182*(AT$321-AT$322)+$F1182*(AT$324-AT$325))</f>
        <v/>
      </c>
      <c r="AU1182" s="35">
        <f>$D1182*($E1182*(AU$321-AU$322)+$F1182*(AU$324-AU$325))</f>
        <v/>
      </c>
      <c r="AV1182" s="35">
        <f>$D1182*($E1182*(AV$321-AV$322)+$F1182*(AV$324-AV$325))</f>
        <v/>
      </c>
      <c r="AW1182" s="35">
        <f>$D1182*($E1182*(AW$321-AW$322)+$F1182*(AW$324-AW$325))</f>
        <v/>
      </c>
      <c r="AX1182" s="35">
        <f>$D1182*($E1182*(AX$321-AX$322)+$F1182*(AX$324-AX$325))</f>
        <v/>
      </c>
      <c r="AY1182" s="35">
        <f>$D1182*($E1182*(AY$321-AY$322)+$F1182*(AY$324-AY$325))</f>
        <v/>
      </c>
      <c r="AZ1182" s="35">
        <f>$D1182*($E1182*(AZ$321-AZ$322)+$F1182*(AZ$324-AZ$325))</f>
        <v/>
      </c>
      <c r="BA1182" s="42">
        <f>XCARBON($D1182,$E1182,(BA$321-BA$322),$F1182,(BA$324-BA$325))</f>
        <v/>
      </c>
    </row>
    <row r="1183" hidden="1" outlineLevel="2">
      <c r="A1183" s="14" t="inlineStr">
        <is>
          <t>xcpd</t>
        </is>
      </c>
      <c r="B1183" s="14" t="inlineStr">
        <is>
          <t>die</t>
        </is>
      </c>
      <c r="C1183" s="14" t="inlineStr">
        <is>
          <t>ral</t>
        </is>
      </c>
      <c r="D1183" s="35">
        <f>INDEX(Inputs!$W$5:$W$132,MATCH($B1183&amp;"|"&amp;$C1183,Inputs!$A$5:$A$132,0))</f>
        <v/>
      </c>
      <c r="E1183" s="35">
        <f>INDEX(Inputs!$Z$5:$Z$132,MATCH($B1183&amp;"|"&amp;$C1183,Inputs!$A$5:$A$132,0))</f>
        <v/>
      </c>
      <c r="F1183" s="35">
        <f>INDEX(Inputs!$AA$5:$AA$132,MATCH($B1183&amp;"|"&amp;$C1183,Inputs!$A$5:$A$132,0))</f>
        <v/>
      </c>
      <c r="G1183" s="39" t="n"/>
      <c r="H1183" s="14">
        <f>INDEX(VarLab,MATCH($A1183,VarKey,0))&amp;INDEX(MemLab,MATCH($C1183&amp;"|"&amp;$B1183,MemKey,0))</f>
        <v/>
      </c>
      <c r="I1183" s="14">
        <f>INDEX(VarUnit,MATCH($A1183,VarKey,0))</f>
        <v/>
      </c>
      <c r="J1183" s="14">
        <f>INDEX(VarSrc,MATCH($A1183,VarKey,0))</f>
        <v/>
      </c>
      <c r="K1183" s="11">
        <f>CodePrefix&amp;$A1183&amp;IF($C1183="","","."&amp;$C1183&amp;"."&amp;$B1183)&amp;INDEX(VarEnd,MATCH($A1183,VarKey,0))&amp;K$5</f>
        <v/>
      </c>
      <c r="L1183" s="40">
        <f>$D1183*($E1183*(L$321-L$322)+$F1183*(L$324-L$325))</f>
        <v/>
      </c>
      <c r="M1183" s="35">
        <f>$D1183*($E1183*(M$321-M$322)+$F1183*(M$324-M$325))</f>
        <v/>
      </c>
      <c r="N1183" s="35">
        <f>$D1183*($E1183*(N$321-N$322)+$F1183*(N$324-N$325))</f>
        <v/>
      </c>
      <c r="O1183" s="35">
        <f>$D1183*($E1183*(O$321-O$322)+$F1183*(O$324-O$325))</f>
        <v/>
      </c>
      <c r="P1183" s="35">
        <f>$D1183*($E1183*(P$321-P$322)+$F1183*(P$324-P$325))</f>
        <v/>
      </c>
      <c r="Q1183" s="35">
        <f>$D1183*($E1183*(Q$321-Q$322)+$F1183*(Q$324-Q$325))</f>
        <v/>
      </c>
      <c r="R1183" s="35">
        <f>$D1183*($E1183*(R$321-R$322)+$F1183*(R$324-R$325))</f>
        <v/>
      </c>
      <c r="S1183" s="35">
        <f>$D1183*($E1183*(S$321-S$322)+$F1183*(S$324-S$325))</f>
        <v/>
      </c>
      <c r="T1183" s="35">
        <f>$D1183*($E1183*(T$321-T$322)+$F1183*(T$324-T$325))</f>
        <v/>
      </c>
      <c r="U1183" s="35">
        <f>$D1183*($E1183*(U$321-U$322)+$F1183*(U$324-U$325))</f>
        <v/>
      </c>
      <c r="V1183" s="35">
        <f>$D1183*($E1183*(V$321-V$322)+$F1183*(V$324-V$325))</f>
        <v/>
      </c>
      <c r="W1183" s="35">
        <f>$D1183*($E1183*(W$321-W$322)+$F1183*(W$324-W$325))</f>
        <v/>
      </c>
      <c r="X1183" s="35">
        <f>$D1183*($E1183*(X$321-X$322)+$F1183*(X$324-X$325))</f>
        <v/>
      </c>
      <c r="Y1183" s="35">
        <f>$D1183*($E1183*(Y$321-Y$322)+$F1183*(Y$324-Y$325))</f>
        <v/>
      </c>
      <c r="Z1183" s="35">
        <f>$D1183*($E1183*(Z$321-Z$322)+$F1183*(Z$324-Z$325))</f>
        <v/>
      </c>
      <c r="AA1183" s="35">
        <f>$D1183*($E1183*(AA$321-AA$322)+$F1183*(AA$324-AA$325))</f>
        <v/>
      </c>
      <c r="AB1183" s="35">
        <f>$D1183*($E1183*(AB$321-AB$322)+$F1183*(AB$324-AB$325))</f>
        <v/>
      </c>
      <c r="AC1183" s="35">
        <f>$D1183*($E1183*(AC$321-AC$322)+$F1183*(AC$324-AC$325))</f>
        <v/>
      </c>
      <c r="AD1183" s="35">
        <f>$D1183*($E1183*(AD$321-AD$322)+$F1183*(AD$324-AD$325))</f>
        <v/>
      </c>
      <c r="AE1183" s="42">
        <f>XCARBON($D1183,$E1183,(AE$321-AE$322),$F1183,(AE$324-AE$325))</f>
        <v/>
      </c>
      <c r="AG1183" s="11">
        <f>CodePrefix&amp;$A1183&amp;IF($C1183="","","."&amp;$C1183&amp;"."&amp;$B1183)&amp;INDEX(VarEnd,MATCH($A1183,VarKey,0))&amp;AG$5</f>
        <v/>
      </c>
      <c r="AH1183" s="40">
        <f>$D1183*($E1183*(AH$321-AH$322)+$F1183*(AH$324-AH$325))</f>
        <v/>
      </c>
      <c r="AI1183" s="35">
        <f>$D1183*($E1183*(AI$321-AI$322)+$F1183*(AI$324-AI$325))</f>
        <v/>
      </c>
      <c r="AJ1183" s="35">
        <f>$D1183*($E1183*(AJ$321-AJ$322)+$F1183*(AJ$324-AJ$325))</f>
        <v/>
      </c>
      <c r="AK1183" s="35">
        <f>$D1183*($E1183*(AK$321-AK$322)+$F1183*(AK$324-AK$325))</f>
        <v/>
      </c>
      <c r="AL1183" s="35">
        <f>$D1183*($E1183*(AL$321-AL$322)+$F1183*(AL$324-AL$325))</f>
        <v/>
      </c>
      <c r="AM1183" s="35">
        <f>$D1183*($E1183*(AM$321-AM$322)+$F1183*(AM$324-AM$325))</f>
        <v/>
      </c>
      <c r="AN1183" s="35">
        <f>$D1183*($E1183*(AN$321-AN$322)+$F1183*(AN$324-AN$325))</f>
        <v/>
      </c>
      <c r="AO1183" s="35">
        <f>$D1183*($E1183*(AO$321-AO$322)+$F1183*(AO$324-AO$325))</f>
        <v/>
      </c>
      <c r="AP1183" s="35">
        <f>$D1183*($E1183*(AP$321-AP$322)+$F1183*(AP$324-AP$325))</f>
        <v/>
      </c>
      <c r="AQ1183" s="35">
        <f>$D1183*($E1183*(AQ$321-AQ$322)+$F1183*(AQ$324-AQ$325))</f>
        <v/>
      </c>
      <c r="AR1183" s="35">
        <f>$D1183*($E1183*(AR$321-AR$322)+$F1183*(AR$324-AR$325))</f>
        <v/>
      </c>
      <c r="AS1183" s="35">
        <f>$D1183*($E1183*(AS$321-AS$322)+$F1183*(AS$324-AS$325))</f>
        <v/>
      </c>
      <c r="AT1183" s="35">
        <f>$D1183*($E1183*(AT$321-AT$322)+$F1183*(AT$324-AT$325))</f>
        <v/>
      </c>
      <c r="AU1183" s="35">
        <f>$D1183*($E1183*(AU$321-AU$322)+$F1183*(AU$324-AU$325))</f>
        <v/>
      </c>
      <c r="AV1183" s="35">
        <f>$D1183*($E1183*(AV$321-AV$322)+$F1183*(AV$324-AV$325))</f>
        <v/>
      </c>
      <c r="AW1183" s="35">
        <f>$D1183*($E1183*(AW$321-AW$322)+$F1183*(AW$324-AW$325))</f>
        <v/>
      </c>
      <c r="AX1183" s="35">
        <f>$D1183*($E1183*(AX$321-AX$322)+$F1183*(AX$324-AX$325))</f>
        <v/>
      </c>
      <c r="AY1183" s="35">
        <f>$D1183*($E1183*(AY$321-AY$322)+$F1183*(AY$324-AY$325))</f>
        <v/>
      </c>
      <c r="AZ1183" s="35">
        <f>$D1183*($E1183*(AZ$321-AZ$322)+$F1183*(AZ$324-AZ$325))</f>
        <v/>
      </c>
      <c r="BA1183" s="42">
        <f>XCARBON($D1183,$E1183,(BA$321-BA$322),$F1183,(BA$324-BA$325))</f>
        <v/>
      </c>
    </row>
    <row r="1184" hidden="1" outlineLevel="2">
      <c r="A1184" s="14" t="inlineStr">
        <is>
          <t>xcpd</t>
        </is>
      </c>
      <c r="B1184" s="14" t="inlineStr">
        <is>
          <t>lpg</t>
        </is>
      </c>
      <c r="C1184" s="14" t="inlineStr">
        <is>
          <t>ral</t>
        </is>
      </c>
      <c r="D1184" s="35">
        <f>INDEX(Inputs!$W$5:$W$132,MATCH($B1184&amp;"|"&amp;$C1184,Inputs!$A$5:$A$132,0))</f>
        <v/>
      </c>
      <c r="E1184" s="35">
        <f>INDEX(Inputs!$Z$5:$Z$132,MATCH($B1184&amp;"|"&amp;$C1184,Inputs!$A$5:$A$132,0))</f>
        <v/>
      </c>
      <c r="F1184" s="35">
        <f>INDEX(Inputs!$AA$5:$AA$132,MATCH($B1184&amp;"|"&amp;$C1184,Inputs!$A$5:$A$132,0))</f>
        <v/>
      </c>
      <c r="G1184" s="39" t="n"/>
      <c r="H1184" s="14">
        <f>INDEX(VarLab,MATCH($A1184,VarKey,0))&amp;INDEX(MemLab,MATCH($C1184&amp;"|"&amp;$B1184,MemKey,0))</f>
        <v/>
      </c>
      <c r="I1184" s="14">
        <f>INDEX(VarUnit,MATCH($A1184,VarKey,0))</f>
        <v/>
      </c>
      <c r="J1184" s="14">
        <f>INDEX(VarSrc,MATCH($A1184,VarKey,0))</f>
        <v/>
      </c>
      <c r="K1184" s="11">
        <f>CodePrefix&amp;$A1184&amp;IF($C1184="","","."&amp;$C1184&amp;"."&amp;$B1184)&amp;INDEX(VarEnd,MATCH($A1184,VarKey,0))&amp;K$5</f>
        <v/>
      </c>
      <c r="L1184" s="40">
        <f>$D1184*($E1184*(L$321-L$322)+$F1184*(L$324-L$325))</f>
        <v/>
      </c>
      <c r="M1184" s="35">
        <f>$D1184*($E1184*(M$321-M$322)+$F1184*(M$324-M$325))</f>
        <v/>
      </c>
      <c r="N1184" s="35">
        <f>$D1184*($E1184*(N$321-N$322)+$F1184*(N$324-N$325))</f>
        <v/>
      </c>
      <c r="O1184" s="35">
        <f>$D1184*($E1184*(O$321-O$322)+$F1184*(O$324-O$325))</f>
        <v/>
      </c>
      <c r="P1184" s="35">
        <f>$D1184*($E1184*(P$321-P$322)+$F1184*(P$324-P$325))</f>
        <v/>
      </c>
      <c r="Q1184" s="35">
        <f>$D1184*($E1184*(Q$321-Q$322)+$F1184*(Q$324-Q$325))</f>
        <v/>
      </c>
      <c r="R1184" s="35">
        <f>$D1184*($E1184*(R$321-R$322)+$F1184*(R$324-R$325))</f>
        <v/>
      </c>
      <c r="S1184" s="35">
        <f>$D1184*($E1184*(S$321-S$322)+$F1184*(S$324-S$325))</f>
        <v/>
      </c>
      <c r="T1184" s="35">
        <f>$D1184*($E1184*(T$321-T$322)+$F1184*(T$324-T$325))</f>
        <v/>
      </c>
      <c r="U1184" s="35">
        <f>$D1184*($E1184*(U$321-U$322)+$F1184*(U$324-U$325))</f>
        <v/>
      </c>
      <c r="V1184" s="35">
        <f>$D1184*($E1184*(V$321-V$322)+$F1184*(V$324-V$325))</f>
        <v/>
      </c>
      <c r="W1184" s="35">
        <f>$D1184*($E1184*(W$321-W$322)+$F1184*(W$324-W$325))</f>
        <v/>
      </c>
      <c r="X1184" s="35">
        <f>$D1184*($E1184*(X$321-X$322)+$F1184*(X$324-X$325))</f>
        <v/>
      </c>
      <c r="Y1184" s="35">
        <f>$D1184*($E1184*(Y$321-Y$322)+$F1184*(Y$324-Y$325))</f>
        <v/>
      </c>
      <c r="Z1184" s="35">
        <f>$D1184*($E1184*(Z$321-Z$322)+$F1184*(Z$324-Z$325))</f>
        <v/>
      </c>
      <c r="AA1184" s="35">
        <f>$D1184*($E1184*(AA$321-AA$322)+$F1184*(AA$324-AA$325))</f>
        <v/>
      </c>
      <c r="AB1184" s="35">
        <f>$D1184*($E1184*(AB$321-AB$322)+$F1184*(AB$324-AB$325))</f>
        <v/>
      </c>
      <c r="AC1184" s="35">
        <f>$D1184*($E1184*(AC$321-AC$322)+$F1184*(AC$324-AC$325))</f>
        <v/>
      </c>
      <c r="AD1184" s="35">
        <f>$D1184*($E1184*(AD$321-AD$322)+$F1184*(AD$324-AD$325))</f>
        <v/>
      </c>
      <c r="AE1184" s="42">
        <f>XCARBON($D1184,$E1184,(AE$321-AE$322),$F1184,(AE$324-AE$325))</f>
        <v/>
      </c>
      <c r="AG1184" s="11">
        <f>CodePrefix&amp;$A1184&amp;IF($C1184="","","."&amp;$C1184&amp;"."&amp;$B1184)&amp;INDEX(VarEnd,MATCH($A1184,VarKey,0))&amp;AG$5</f>
        <v/>
      </c>
      <c r="AH1184" s="40">
        <f>$D1184*($E1184*(AH$321-AH$322)+$F1184*(AH$324-AH$325))</f>
        <v/>
      </c>
      <c r="AI1184" s="35">
        <f>$D1184*($E1184*(AI$321-AI$322)+$F1184*(AI$324-AI$325))</f>
        <v/>
      </c>
      <c r="AJ1184" s="35">
        <f>$D1184*($E1184*(AJ$321-AJ$322)+$F1184*(AJ$324-AJ$325))</f>
        <v/>
      </c>
      <c r="AK1184" s="35">
        <f>$D1184*($E1184*(AK$321-AK$322)+$F1184*(AK$324-AK$325))</f>
        <v/>
      </c>
      <c r="AL1184" s="35">
        <f>$D1184*($E1184*(AL$321-AL$322)+$F1184*(AL$324-AL$325))</f>
        <v/>
      </c>
      <c r="AM1184" s="35">
        <f>$D1184*($E1184*(AM$321-AM$322)+$F1184*(AM$324-AM$325))</f>
        <v/>
      </c>
      <c r="AN1184" s="35">
        <f>$D1184*($E1184*(AN$321-AN$322)+$F1184*(AN$324-AN$325))</f>
        <v/>
      </c>
      <c r="AO1184" s="35">
        <f>$D1184*($E1184*(AO$321-AO$322)+$F1184*(AO$324-AO$325))</f>
        <v/>
      </c>
      <c r="AP1184" s="35">
        <f>$D1184*($E1184*(AP$321-AP$322)+$F1184*(AP$324-AP$325))</f>
        <v/>
      </c>
      <c r="AQ1184" s="35">
        <f>$D1184*($E1184*(AQ$321-AQ$322)+$F1184*(AQ$324-AQ$325))</f>
        <v/>
      </c>
      <c r="AR1184" s="35">
        <f>$D1184*($E1184*(AR$321-AR$322)+$F1184*(AR$324-AR$325))</f>
        <v/>
      </c>
      <c r="AS1184" s="35">
        <f>$D1184*($E1184*(AS$321-AS$322)+$F1184*(AS$324-AS$325))</f>
        <v/>
      </c>
      <c r="AT1184" s="35">
        <f>$D1184*($E1184*(AT$321-AT$322)+$F1184*(AT$324-AT$325))</f>
        <v/>
      </c>
      <c r="AU1184" s="35">
        <f>$D1184*($E1184*(AU$321-AU$322)+$F1184*(AU$324-AU$325))</f>
        <v/>
      </c>
      <c r="AV1184" s="35">
        <f>$D1184*($E1184*(AV$321-AV$322)+$F1184*(AV$324-AV$325))</f>
        <v/>
      </c>
      <c r="AW1184" s="35">
        <f>$D1184*($E1184*(AW$321-AW$322)+$F1184*(AW$324-AW$325))</f>
        <v/>
      </c>
      <c r="AX1184" s="35">
        <f>$D1184*($E1184*(AX$321-AX$322)+$F1184*(AX$324-AX$325))</f>
        <v/>
      </c>
      <c r="AY1184" s="35">
        <f>$D1184*($E1184*(AY$321-AY$322)+$F1184*(AY$324-AY$325))</f>
        <v/>
      </c>
      <c r="AZ1184" s="35">
        <f>$D1184*($E1184*(AZ$321-AZ$322)+$F1184*(AZ$324-AZ$325))</f>
        <v/>
      </c>
      <c r="BA1184" s="42">
        <f>XCARBON($D1184,$E1184,(BA$321-BA$322),$F1184,(BA$324-BA$325))</f>
        <v/>
      </c>
    </row>
    <row r="1185" hidden="1" outlineLevel="2">
      <c r="A1185" s="14" t="inlineStr">
        <is>
          <t>xcpd</t>
        </is>
      </c>
      <c r="B1185" s="14" t="inlineStr">
        <is>
          <t>ker</t>
        </is>
      </c>
      <c r="C1185" s="14" t="inlineStr">
        <is>
          <t>ral</t>
        </is>
      </c>
      <c r="D1185" s="35">
        <f>INDEX(Inputs!$W$5:$W$132,MATCH($B1185&amp;"|"&amp;$C1185,Inputs!$A$5:$A$132,0))</f>
        <v/>
      </c>
      <c r="E1185" s="35">
        <f>INDEX(Inputs!$Z$5:$Z$132,MATCH($B1185&amp;"|"&amp;$C1185,Inputs!$A$5:$A$132,0))</f>
        <v/>
      </c>
      <c r="F1185" s="35">
        <f>INDEX(Inputs!$AA$5:$AA$132,MATCH($B1185&amp;"|"&amp;$C1185,Inputs!$A$5:$A$132,0))</f>
        <v/>
      </c>
      <c r="G1185" s="39" t="n"/>
      <c r="H1185" s="14">
        <f>INDEX(VarLab,MATCH($A1185,VarKey,0))&amp;INDEX(MemLab,MATCH($C1185&amp;"|"&amp;$B1185,MemKey,0))</f>
        <v/>
      </c>
      <c r="I1185" s="14">
        <f>INDEX(VarUnit,MATCH($A1185,VarKey,0))</f>
        <v/>
      </c>
      <c r="J1185" s="14">
        <f>INDEX(VarSrc,MATCH($A1185,VarKey,0))</f>
        <v/>
      </c>
      <c r="K1185" s="11">
        <f>CodePrefix&amp;$A1185&amp;IF($C1185="","","."&amp;$C1185&amp;"."&amp;$B1185)&amp;INDEX(VarEnd,MATCH($A1185,VarKey,0))&amp;K$5</f>
        <v/>
      </c>
      <c r="L1185" s="40">
        <f>$D1185*($E1185*(L$321-L$322)+$F1185*(L$324-L$325))</f>
        <v/>
      </c>
      <c r="M1185" s="35">
        <f>$D1185*($E1185*(M$321-M$322)+$F1185*(M$324-M$325))</f>
        <v/>
      </c>
      <c r="N1185" s="35">
        <f>$D1185*($E1185*(N$321-N$322)+$F1185*(N$324-N$325))</f>
        <v/>
      </c>
      <c r="O1185" s="35">
        <f>$D1185*($E1185*(O$321-O$322)+$F1185*(O$324-O$325))</f>
        <v/>
      </c>
      <c r="P1185" s="35">
        <f>$D1185*($E1185*(P$321-P$322)+$F1185*(P$324-P$325))</f>
        <v/>
      </c>
      <c r="Q1185" s="35">
        <f>$D1185*($E1185*(Q$321-Q$322)+$F1185*(Q$324-Q$325))</f>
        <v/>
      </c>
      <c r="R1185" s="35">
        <f>$D1185*($E1185*(R$321-R$322)+$F1185*(R$324-R$325))</f>
        <v/>
      </c>
      <c r="S1185" s="35">
        <f>$D1185*($E1185*(S$321-S$322)+$F1185*(S$324-S$325))</f>
        <v/>
      </c>
      <c r="T1185" s="35">
        <f>$D1185*($E1185*(T$321-T$322)+$F1185*(T$324-T$325))</f>
        <v/>
      </c>
      <c r="U1185" s="35">
        <f>$D1185*($E1185*(U$321-U$322)+$F1185*(U$324-U$325))</f>
        <v/>
      </c>
      <c r="V1185" s="35">
        <f>$D1185*($E1185*(V$321-V$322)+$F1185*(V$324-V$325))</f>
        <v/>
      </c>
      <c r="W1185" s="35">
        <f>$D1185*($E1185*(W$321-W$322)+$F1185*(W$324-W$325))</f>
        <v/>
      </c>
      <c r="X1185" s="35">
        <f>$D1185*($E1185*(X$321-X$322)+$F1185*(X$324-X$325))</f>
        <v/>
      </c>
      <c r="Y1185" s="35">
        <f>$D1185*($E1185*(Y$321-Y$322)+$F1185*(Y$324-Y$325))</f>
        <v/>
      </c>
      <c r="Z1185" s="35">
        <f>$D1185*($E1185*(Z$321-Z$322)+$F1185*(Z$324-Z$325))</f>
        <v/>
      </c>
      <c r="AA1185" s="35">
        <f>$D1185*($E1185*(AA$321-AA$322)+$F1185*(AA$324-AA$325))</f>
        <v/>
      </c>
      <c r="AB1185" s="35">
        <f>$D1185*($E1185*(AB$321-AB$322)+$F1185*(AB$324-AB$325))</f>
        <v/>
      </c>
      <c r="AC1185" s="35">
        <f>$D1185*($E1185*(AC$321-AC$322)+$F1185*(AC$324-AC$325))</f>
        <v/>
      </c>
      <c r="AD1185" s="35">
        <f>$D1185*($E1185*(AD$321-AD$322)+$F1185*(AD$324-AD$325))</f>
        <v/>
      </c>
      <c r="AE1185" s="42">
        <f>XCARBON($D1185,$E1185,(AE$321-AE$322),$F1185,(AE$324-AE$325))</f>
        <v/>
      </c>
      <c r="AG1185" s="11">
        <f>CodePrefix&amp;$A1185&amp;IF($C1185="","","."&amp;$C1185&amp;"."&amp;$B1185)&amp;INDEX(VarEnd,MATCH($A1185,VarKey,0))&amp;AG$5</f>
        <v/>
      </c>
      <c r="AH1185" s="40">
        <f>$D1185*($E1185*(AH$321-AH$322)+$F1185*(AH$324-AH$325))</f>
        <v/>
      </c>
      <c r="AI1185" s="35">
        <f>$D1185*($E1185*(AI$321-AI$322)+$F1185*(AI$324-AI$325))</f>
        <v/>
      </c>
      <c r="AJ1185" s="35">
        <f>$D1185*($E1185*(AJ$321-AJ$322)+$F1185*(AJ$324-AJ$325))</f>
        <v/>
      </c>
      <c r="AK1185" s="35">
        <f>$D1185*($E1185*(AK$321-AK$322)+$F1185*(AK$324-AK$325))</f>
        <v/>
      </c>
      <c r="AL1185" s="35">
        <f>$D1185*($E1185*(AL$321-AL$322)+$F1185*(AL$324-AL$325))</f>
        <v/>
      </c>
      <c r="AM1185" s="35">
        <f>$D1185*($E1185*(AM$321-AM$322)+$F1185*(AM$324-AM$325))</f>
        <v/>
      </c>
      <c r="AN1185" s="35">
        <f>$D1185*($E1185*(AN$321-AN$322)+$F1185*(AN$324-AN$325))</f>
        <v/>
      </c>
      <c r="AO1185" s="35">
        <f>$D1185*($E1185*(AO$321-AO$322)+$F1185*(AO$324-AO$325))</f>
        <v/>
      </c>
      <c r="AP1185" s="35">
        <f>$D1185*($E1185*(AP$321-AP$322)+$F1185*(AP$324-AP$325))</f>
        <v/>
      </c>
      <c r="AQ1185" s="35">
        <f>$D1185*($E1185*(AQ$321-AQ$322)+$F1185*(AQ$324-AQ$325))</f>
        <v/>
      </c>
      <c r="AR1185" s="35">
        <f>$D1185*($E1185*(AR$321-AR$322)+$F1185*(AR$324-AR$325))</f>
        <v/>
      </c>
      <c r="AS1185" s="35">
        <f>$D1185*($E1185*(AS$321-AS$322)+$F1185*(AS$324-AS$325))</f>
        <v/>
      </c>
      <c r="AT1185" s="35">
        <f>$D1185*($E1185*(AT$321-AT$322)+$F1185*(AT$324-AT$325))</f>
        <v/>
      </c>
      <c r="AU1185" s="35">
        <f>$D1185*($E1185*(AU$321-AU$322)+$F1185*(AU$324-AU$325))</f>
        <v/>
      </c>
      <c r="AV1185" s="35">
        <f>$D1185*($E1185*(AV$321-AV$322)+$F1185*(AV$324-AV$325))</f>
        <v/>
      </c>
      <c r="AW1185" s="35">
        <f>$D1185*($E1185*(AW$321-AW$322)+$F1185*(AW$324-AW$325))</f>
        <v/>
      </c>
      <c r="AX1185" s="35">
        <f>$D1185*($E1185*(AX$321-AX$322)+$F1185*(AX$324-AX$325))</f>
        <v/>
      </c>
      <c r="AY1185" s="35">
        <f>$D1185*($E1185*(AY$321-AY$322)+$F1185*(AY$324-AY$325))</f>
        <v/>
      </c>
      <c r="AZ1185" s="35">
        <f>$D1185*($E1185*(AZ$321-AZ$322)+$F1185*(AZ$324-AZ$325))</f>
        <v/>
      </c>
      <c r="BA1185" s="42">
        <f>XCARBON($D1185,$E1185,(BA$321-BA$322),$F1185,(BA$324-BA$325))</f>
        <v/>
      </c>
    </row>
    <row r="1186" hidden="1" outlineLevel="2">
      <c r="A1186" s="14" t="inlineStr">
        <is>
          <t>xcpd</t>
        </is>
      </c>
      <c r="B1186" s="14" t="inlineStr">
        <is>
          <t>oop</t>
        </is>
      </c>
      <c r="C1186" s="14" t="inlineStr">
        <is>
          <t>ral</t>
        </is>
      </c>
      <c r="D1186" s="35">
        <f>INDEX(Inputs!$W$5:$W$132,MATCH($B1186&amp;"|"&amp;$C1186,Inputs!$A$5:$A$132,0))</f>
        <v/>
      </c>
      <c r="E1186" s="35">
        <f>INDEX(Inputs!$Z$5:$Z$132,MATCH($B1186&amp;"|"&amp;$C1186,Inputs!$A$5:$A$132,0))</f>
        <v/>
      </c>
      <c r="F1186" s="35">
        <f>INDEX(Inputs!$AA$5:$AA$132,MATCH($B1186&amp;"|"&amp;$C1186,Inputs!$A$5:$A$132,0))</f>
        <v/>
      </c>
      <c r="G1186" s="39" t="n"/>
      <c r="H1186" s="14">
        <f>INDEX(VarLab,MATCH($A1186,VarKey,0))&amp;INDEX(MemLab,MATCH($C1186&amp;"|"&amp;$B1186,MemKey,0))</f>
        <v/>
      </c>
      <c r="I1186" s="14">
        <f>INDEX(VarUnit,MATCH($A1186,VarKey,0))</f>
        <v/>
      </c>
      <c r="J1186" s="14">
        <f>INDEX(VarSrc,MATCH($A1186,VarKey,0))</f>
        <v/>
      </c>
      <c r="K1186" s="11">
        <f>CodePrefix&amp;$A1186&amp;IF($C1186="","","."&amp;$C1186&amp;"."&amp;$B1186)&amp;INDEX(VarEnd,MATCH($A1186,VarKey,0))&amp;K$5</f>
        <v/>
      </c>
      <c r="L1186" s="40">
        <f>$D1186*($E1186*(L$321-L$322)+$F1186*(L$324-L$325))</f>
        <v/>
      </c>
      <c r="M1186" s="35">
        <f>$D1186*($E1186*(M$321-M$322)+$F1186*(M$324-M$325))</f>
        <v/>
      </c>
      <c r="N1186" s="35">
        <f>$D1186*($E1186*(N$321-N$322)+$F1186*(N$324-N$325))</f>
        <v/>
      </c>
      <c r="O1186" s="35">
        <f>$D1186*($E1186*(O$321-O$322)+$F1186*(O$324-O$325))</f>
        <v/>
      </c>
      <c r="P1186" s="35">
        <f>$D1186*($E1186*(P$321-P$322)+$F1186*(P$324-P$325))</f>
        <v/>
      </c>
      <c r="Q1186" s="35">
        <f>$D1186*($E1186*(Q$321-Q$322)+$F1186*(Q$324-Q$325))</f>
        <v/>
      </c>
      <c r="R1186" s="35">
        <f>$D1186*($E1186*(R$321-R$322)+$F1186*(R$324-R$325))</f>
        <v/>
      </c>
      <c r="S1186" s="35">
        <f>$D1186*($E1186*(S$321-S$322)+$F1186*(S$324-S$325))</f>
        <v/>
      </c>
      <c r="T1186" s="35">
        <f>$D1186*($E1186*(T$321-T$322)+$F1186*(T$324-T$325))</f>
        <v/>
      </c>
      <c r="U1186" s="35">
        <f>$D1186*($E1186*(U$321-U$322)+$F1186*(U$324-U$325))</f>
        <v/>
      </c>
      <c r="V1186" s="35">
        <f>$D1186*($E1186*(V$321-V$322)+$F1186*(V$324-V$325))</f>
        <v/>
      </c>
      <c r="W1186" s="35">
        <f>$D1186*($E1186*(W$321-W$322)+$F1186*(W$324-W$325))</f>
        <v/>
      </c>
      <c r="X1186" s="35">
        <f>$D1186*($E1186*(X$321-X$322)+$F1186*(X$324-X$325))</f>
        <v/>
      </c>
      <c r="Y1186" s="35">
        <f>$D1186*($E1186*(Y$321-Y$322)+$F1186*(Y$324-Y$325))</f>
        <v/>
      </c>
      <c r="Z1186" s="35">
        <f>$D1186*($E1186*(Z$321-Z$322)+$F1186*(Z$324-Z$325))</f>
        <v/>
      </c>
      <c r="AA1186" s="35">
        <f>$D1186*($E1186*(AA$321-AA$322)+$F1186*(AA$324-AA$325))</f>
        <v/>
      </c>
      <c r="AB1186" s="35">
        <f>$D1186*($E1186*(AB$321-AB$322)+$F1186*(AB$324-AB$325))</f>
        <v/>
      </c>
      <c r="AC1186" s="35">
        <f>$D1186*($E1186*(AC$321-AC$322)+$F1186*(AC$324-AC$325))</f>
        <v/>
      </c>
      <c r="AD1186" s="35">
        <f>$D1186*($E1186*(AD$321-AD$322)+$F1186*(AD$324-AD$325))</f>
        <v/>
      </c>
      <c r="AE1186" s="42">
        <f>XCARBON($D1186,$E1186,(AE$321-AE$322),$F1186,(AE$324-AE$325))</f>
        <v/>
      </c>
      <c r="AG1186" s="11">
        <f>CodePrefix&amp;$A1186&amp;IF($C1186="","","."&amp;$C1186&amp;"."&amp;$B1186)&amp;INDEX(VarEnd,MATCH($A1186,VarKey,0))&amp;AG$5</f>
        <v/>
      </c>
      <c r="AH1186" s="40">
        <f>$D1186*($E1186*(AH$321-AH$322)+$F1186*(AH$324-AH$325))</f>
        <v/>
      </c>
      <c r="AI1186" s="35">
        <f>$D1186*($E1186*(AI$321-AI$322)+$F1186*(AI$324-AI$325))</f>
        <v/>
      </c>
      <c r="AJ1186" s="35">
        <f>$D1186*($E1186*(AJ$321-AJ$322)+$F1186*(AJ$324-AJ$325))</f>
        <v/>
      </c>
      <c r="AK1186" s="35">
        <f>$D1186*($E1186*(AK$321-AK$322)+$F1186*(AK$324-AK$325))</f>
        <v/>
      </c>
      <c r="AL1186" s="35">
        <f>$D1186*($E1186*(AL$321-AL$322)+$F1186*(AL$324-AL$325))</f>
        <v/>
      </c>
      <c r="AM1186" s="35">
        <f>$D1186*($E1186*(AM$321-AM$322)+$F1186*(AM$324-AM$325))</f>
        <v/>
      </c>
      <c r="AN1186" s="35">
        <f>$D1186*($E1186*(AN$321-AN$322)+$F1186*(AN$324-AN$325))</f>
        <v/>
      </c>
      <c r="AO1186" s="35">
        <f>$D1186*($E1186*(AO$321-AO$322)+$F1186*(AO$324-AO$325))</f>
        <v/>
      </c>
      <c r="AP1186" s="35">
        <f>$D1186*($E1186*(AP$321-AP$322)+$F1186*(AP$324-AP$325))</f>
        <v/>
      </c>
      <c r="AQ1186" s="35">
        <f>$D1186*($E1186*(AQ$321-AQ$322)+$F1186*(AQ$324-AQ$325))</f>
        <v/>
      </c>
      <c r="AR1186" s="35">
        <f>$D1186*($E1186*(AR$321-AR$322)+$F1186*(AR$324-AR$325))</f>
        <v/>
      </c>
      <c r="AS1186" s="35">
        <f>$D1186*($E1186*(AS$321-AS$322)+$F1186*(AS$324-AS$325))</f>
        <v/>
      </c>
      <c r="AT1186" s="35">
        <f>$D1186*($E1186*(AT$321-AT$322)+$F1186*(AT$324-AT$325))</f>
        <v/>
      </c>
      <c r="AU1186" s="35">
        <f>$D1186*($E1186*(AU$321-AU$322)+$F1186*(AU$324-AU$325))</f>
        <v/>
      </c>
      <c r="AV1186" s="35">
        <f>$D1186*($E1186*(AV$321-AV$322)+$F1186*(AV$324-AV$325))</f>
        <v/>
      </c>
      <c r="AW1186" s="35">
        <f>$D1186*($E1186*(AW$321-AW$322)+$F1186*(AW$324-AW$325))</f>
        <v/>
      </c>
      <c r="AX1186" s="35">
        <f>$D1186*($E1186*(AX$321-AX$322)+$F1186*(AX$324-AX$325))</f>
        <v/>
      </c>
      <c r="AY1186" s="35">
        <f>$D1186*($E1186*(AY$321-AY$322)+$F1186*(AY$324-AY$325))</f>
        <v/>
      </c>
      <c r="AZ1186" s="35">
        <f>$D1186*($E1186*(AZ$321-AZ$322)+$F1186*(AZ$324-AZ$325))</f>
        <v/>
      </c>
      <c r="BA1186" s="42">
        <f>XCARBON($D1186,$E1186,(BA$321-BA$322),$F1186,(BA$324-BA$325))</f>
        <v/>
      </c>
    </row>
    <row r="1187" hidden="1" outlineLevel="2">
      <c r="A1187" s="14" t="inlineStr">
        <is>
          <t>xcpd</t>
        </is>
      </c>
      <c r="B1187" s="14" t="inlineStr">
        <is>
          <t>bio</t>
        </is>
      </c>
      <c r="C1187" s="14" t="inlineStr">
        <is>
          <t>ral</t>
        </is>
      </c>
      <c r="D1187" s="35">
        <f>INDEX(Inputs!$W$5:$W$132,MATCH($B1187&amp;"|"&amp;$C1187,Inputs!$A$5:$A$132,0))</f>
        <v/>
      </c>
      <c r="E1187" s="35">
        <f>INDEX(Inputs!$Z$5:$Z$132,MATCH($B1187&amp;"|"&amp;$C1187,Inputs!$A$5:$A$132,0))</f>
        <v/>
      </c>
      <c r="F1187" s="35">
        <f>INDEX(Inputs!$AA$5:$AA$132,MATCH($B1187&amp;"|"&amp;$C1187,Inputs!$A$5:$A$132,0))</f>
        <v/>
      </c>
      <c r="G1187" s="39" t="n"/>
      <c r="H1187" s="14">
        <f>INDEX(VarLab,MATCH($A1187,VarKey,0))&amp;INDEX(MemLab,MATCH($C1187&amp;"|"&amp;$B1187,MemKey,0))</f>
        <v/>
      </c>
      <c r="I1187" s="14">
        <f>INDEX(VarUnit,MATCH($A1187,VarKey,0))</f>
        <v/>
      </c>
      <c r="J1187" s="14">
        <f>INDEX(VarSrc,MATCH($A1187,VarKey,0))</f>
        <v/>
      </c>
      <c r="K1187" s="11">
        <f>CodePrefix&amp;$A1187&amp;IF($C1187="","","."&amp;$C1187&amp;"."&amp;$B1187)&amp;INDEX(VarEnd,MATCH($A1187,VarKey,0))&amp;K$5</f>
        <v/>
      </c>
      <c r="L1187" s="40">
        <f>$D1187*($E1187*(L$321-L$322)+$F1187*(L$324-L$325))</f>
        <v/>
      </c>
      <c r="M1187" s="35">
        <f>$D1187*($E1187*(M$321-M$322)+$F1187*(M$324-M$325))</f>
        <v/>
      </c>
      <c r="N1187" s="35">
        <f>$D1187*($E1187*(N$321-N$322)+$F1187*(N$324-N$325))</f>
        <v/>
      </c>
      <c r="O1187" s="35">
        <f>$D1187*($E1187*(O$321-O$322)+$F1187*(O$324-O$325))</f>
        <v/>
      </c>
      <c r="P1187" s="35">
        <f>$D1187*($E1187*(P$321-P$322)+$F1187*(P$324-P$325))</f>
        <v/>
      </c>
      <c r="Q1187" s="35">
        <f>$D1187*($E1187*(Q$321-Q$322)+$F1187*(Q$324-Q$325))</f>
        <v/>
      </c>
      <c r="R1187" s="35">
        <f>$D1187*($E1187*(R$321-R$322)+$F1187*(R$324-R$325))</f>
        <v/>
      </c>
      <c r="S1187" s="35">
        <f>$D1187*($E1187*(S$321-S$322)+$F1187*(S$324-S$325))</f>
        <v/>
      </c>
      <c r="T1187" s="35">
        <f>$D1187*($E1187*(T$321-T$322)+$F1187*(T$324-T$325))</f>
        <v/>
      </c>
      <c r="U1187" s="35">
        <f>$D1187*($E1187*(U$321-U$322)+$F1187*(U$324-U$325))</f>
        <v/>
      </c>
      <c r="V1187" s="35">
        <f>$D1187*($E1187*(V$321-V$322)+$F1187*(V$324-V$325))</f>
        <v/>
      </c>
      <c r="W1187" s="35">
        <f>$D1187*($E1187*(W$321-W$322)+$F1187*(W$324-W$325))</f>
        <v/>
      </c>
      <c r="X1187" s="35">
        <f>$D1187*($E1187*(X$321-X$322)+$F1187*(X$324-X$325))</f>
        <v/>
      </c>
      <c r="Y1187" s="35">
        <f>$D1187*($E1187*(Y$321-Y$322)+$F1187*(Y$324-Y$325))</f>
        <v/>
      </c>
      <c r="Z1187" s="35">
        <f>$D1187*($E1187*(Z$321-Z$322)+$F1187*(Z$324-Z$325))</f>
        <v/>
      </c>
      <c r="AA1187" s="35">
        <f>$D1187*($E1187*(AA$321-AA$322)+$F1187*(AA$324-AA$325))</f>
        <v/>
      </c>
      <c r="AB1187" s="35">
        <f>$D1187*($E1187*(AB$321-AB$322)+$F1187*(AB$324-AB$325))</f>
        <v/>
      </c>
      <c r="AC1187" s="35">
        <f>$D1187*($E1187*(AC$321-AC$322)+$F1187*(AC$324-AC$325))</f>
        <v/>
      </c>
      <c r="AD1187" s="35">
        <f>$D1187*($E1187*(AD$321-AD$322)+$F1187*(AD$324-AD$325))</f>
        <v/>
      </c>
      <c r="AE1187" s="42">
        <f>XCARBON($D1187,$E1187,(AE$321-AE$322),$F1187,(AE$324-AE$325))</f>
        <v/>
      </c>
      <c r="AG1187" s="11">
        <f>CodePrefix&amp;$A1187&amp;IF($C1187="","","."&amp;$C1187&amp;"."&amp;$B1187)&amp;INDEX(VarEnd,MATCH($A1187,VarKey,0))&amp;AG$5</f>
        <v/>
      </c>
      <c r="AH1187" s="40">
        <f>$D1187*($E1187*(AH$321-AH$322)+$F1187*(AH$324-AH$325))</f>
        <v/>
      </c>
      <c r="AI1187" s="35">
        <f>$D1187*($E1187*(AI$321-AI$322)+$F1187*(AI$324-AI$325))</f>
        <v/>
      </c>
      <c r="AJ1187" s="35">
        <f>$D1187*($E1187*(AJ$321-AJ$322)+$F1187*(AJ$324-AJ$325))</f>
        <v/>
      </c>
      <c r="AK1187" s="35">
        <f>$D1187*($E1187*(AK$321-AK$322)+$F1187*(AK$324-AK$325))</f>
        <v/>
      </c>
      <c r="AL1187" s="35">
        <f>$D1187*($E1187*(AL$321-AL$322)+$F1187*(AL$324-AL$325))</f>
        <v/>
      </c>
      <c r="AM1187" s="35">
        <f>$D1187*($E1187*(AM$321-AM$322)+$F1187*(AM$324-AM$325))</f>
        <v/>
      </c>
      <c r="AN1187" s="35">
        <f>$D1187*($E1187*(AN$321-AN$322)+$F1187*(AN$324-AN$325))</f>
        <v/>
      </c>
      <c r="AO1187" s="35">
        <f>$D1187*($E1187*(AO$321-AO$322)+$F1187*(AO$324-AO$325))</f>
        <v/>
      </c>
      <c r="AP1187" s="35">
        <f>$D1187*($E1187*(AP$321-AP$322)+$F1187*(AP$324-AP$325))</f>
        <v/>
      </c>
      <c r="AQ1187" s="35">
        <f>$D1187*($E1187*(AQ$321-AQ$322)+$F1187*(AQ$324-AQ$325))</f>
        <v/>
      </c>
      <c r="AR1187" s="35">
        <f>$D1187*($E1187*(AR$321-AR$322)+$F1187*(AR$324-AR$325))</f>
        <v/>
      </c>
      <c r="AS1187" s="35">
        <f>$D1187*($E1187*(AS$321-AS$322)+$F1187*(AS$324-AS$325))</f>
        <v/>
      </c>
      <c r="AT1187" s="35">
        <f>$D1187*($E1187*(AT$321-AT$322)+$F1187*(AT$324-AT$325))</f>
        <v/>
      </c>
      <c r="AU1187" s="35">
        <f>$D1187*($E1187*(AU$321-AU$322)+$F1187*(AU$324-AU$325))</f>
        <v/>
      </c>
      <c r="AV1187" s="35">
        <f>$D1187*($E1187*(AV$321-AV$322)+$F1187*(AV$324-AV$325))</f>
        <v/>
      </c>
      <c r="AW1187" s="35">
        <f>$D1187*($E1187*(AW$321-AW$322)+$F1187*(AW$324-AW$325))</f>
        <v/>
      </c>
      <c r="AX1187" s="35">
        <f>$D1187*($E1187*(AX$321-AX$322)+$F1187*(AX$324-AX$325))</f>
        <v/>
      </c>
      <c r="AY1187" s="35">
        <f>$D1187*($E1187*(AY$321-AY$322)+$F1187*(AY$324-AY$325))</f>
        <v/>
      </c>
      <c r="AZ1187" s="35">
        <f>$D1187*($E1187*(AZ$321-AZ$322)+$F1187*(AZ$324-AZ$325))</f>
        <v/>
      </c>
      <c r="BA1187" s="42">
        <f>XCARBON($D1187,$E1187,(BA$321-BA$322),$F1187,(BA$324-BA$325))</f>
        <v/>
      </c>
    </row>
    <row r="1188" hidden="1" outlineLevel="2"/>
    <row r="1189" hidden="1" outlineLevel="2">
      <c r="A1189" s="14" t="inlineStr">
        <is>
          <t>atp</t>
        </is>
      </c>
      <c r="B1189" s="14" t="inlineStr">
        <is>
          <t>coa</t>
        </is>
      </c>
      <c r="C1189" s="14" t="inlineStr">
        <is>
          <t>ral</t>
        </is>
      </c>
      <c r="D1189" s="35">
        <f>INDEX(Inputs!$U$5:$U$132,MATCH($B1189&amp;"|"&amp;$C1189,Inputs!$A$5:$A$132,0))</f>
        <v/>
      </c>
      <c r="E1189" s="35">
        <f>INDEX(Inputs!$V$5:$V$132,MATCH($B1189&amp;"|"&amp;$C1189,Inputs!$A$5:$A$132,0))</f>
        <v/>
      </c>
      <c r="F1189" s="39" t="n"/>
      <c r="G1189" s="39" t="n"/>
      <c r="H1189" s="14">
        <f>INDEX(VarLab,MATCH($A1189,VarKey,0))&amp;INDEX(MemLab,MATCH($C1189&amp;"|"&amp;$B1189,MemKey,0))</f>
        <v/>
      </c>
      <c r="I1189" s="14">
        <f>INDEX(VarUnit,MATCH($A1189,VarKey,0))</f>
        <v/>
      </c>
      <c r="J1189" s="14">
        <f>INDEX(VarSrc,MATCH($A1189,VarKey,0))</f>
        <v/>
      </c>
      <c r="K1189" s="11">
        <f>CodePrefix&amp;$A1189&amp;IF($C1189="","","."&amp;$C1189&amp;"."&amp;$B1189)&amp;INDEX(VarEnd,MATCH($A1189,VarKey,0))&amp;K$5</f>
        <v/>
      </c>
      <c r="L1189" s="40">
        <f>MAX(INDEX(L$381:L$392,$D1189)+(L1162+L1180)*(1+$E1189),0.01)</f>
        <v/>
      </c>
      <c r="M1189" s="35">
        <f>MAX(INDEX(M$381:M$392,$D1189)+(M1162+M1180)*(1+$E1189),0.01)</f>
        <v/>
      </c>
      <c r="N1189" s="35">
        <f>MAX(INDEX(N$381:N$392,$D1189)+(N1162+N1180)*(1+$E1189),0.01)</f>
        <v/>
      </c>
      <c r="O1189" s="35">
        <f>MAX(INDEX(O$381:O$392,$D1189)+(O1162+O1180)*(1+$E1189),0.01)</f>
        <v/>
      </c>
      <c r="P1189" s="35">
        <f>MAX(INDEX(P$381:P$392,$D1189)+(P1162+P1180)*(1+$E1189),0.01)</f>
        <v/>
      </c>
      <c r="Q1189" s="35">
        <f>MAX(INDEX(Q$381:Q$392,$D1189)+(Q1162+Q1180)*(1+$E1189),0.01)</f>
        <v/>
      </c>
      <c r="R1189" s="35">
        <f>MAX(INDEX(R$381:R$392,$D1189)+(R1162+R1180)*(1+$E1189),0.01)</f>
        <v/>
      </c>
      <c r="S1189" s="35">
        <f>MAX(INDEX(S$381:S$392,$D1189)+(S1162+S1180)*(1+$E1189),0.01)</f>
        <v/>
      </c>
      <c r="T1189" s="35">
        <f>MAX(INDEX(T$381:T$392,$D1189)+(T1162+T1180)*(1+$E1189),0.01)</f>
        <v/>
      </c>
      <c r="U1189" s="35">
        <f>MAX(INDEX(U$381:U$392,$D1189)+(U1162+U1180)*(1+$E1189),0.01)</f>
        <v/>
      </c>
      <c r="V1189" s="35">
        <f>MAX(INDEX(V$381:V$392,$D1189)+(V1162+V1180)*(1+$E1189),0.01)</f>
        <v/>
      </c>
      <c r="W1189" s="35">
        <f>MAX(INDEX(W$381:W$392,$D1189)+(W1162+W1180)*(1+$E1189),0.01)</f>
        <v/>
      </c>
      <c r="X1189" s="35">
        <f>MAX(INDEX(X$381:X$392,$D1189)+(X1162+X1180)*(1+$E1189),0.01)</f>
        <v/>
      </c>
      <c r="Y1189" s="35">
        <f>MAX(INDEX(Y$381:Y$392,$D1189)+(Y1162+Y1180)*(1+$E1189),0.01)</f>
        <v/>
      </c>
      <c r="Z1189" s="35">
        <f>MAX(INDEX(Z$381:Z$392,$D1189)+(Z1162+Z1180)*(1+$E1189),0.01)</f>
        <v/>
      </c>
      <c r="AA1189" s="35">
        <f>MAX(INDEX(AA$381:AA$392,$D1189)+(AA1162+AA1180)*(1+$E1189),0.01)</f>
        <v/>
      </c>
      <c r="AB1189" s="35">
        <f>MAX(INDEX(AB$381:AB$392,$D1189)+(AB1162+AB1180)*(1+$E1189),0.01)</f>
        <v/>
      </c>
      <c r="AC1189" s="35">
        <f>MAX(INDEX(AC$381:AC$392,$D1189)+(AC1162+AC1180)*(1+$E1189),0.01)</f>
        <v/>
      </c>
      <c r="AD1189" s="35">
        <f>MAX(INDEX(AD$381:AD$392,$D1189)+(AD1162+AD1180)*(1+$E1189),0.01)</f>
        <v/>
      </c>
      <c r="AE1189" s="42">
        <f>POSTTAX(INDEX(AE$381:AE$392,$D1189),AE1162+AE1180,$E1189)</f>
        <v/>
      </c>
      <c r="AG1189" s="11">
        <f>CodePrefix&amp;$A1189&amp;IF($C1189="","","."&amp;$C1189&amp;"."&amp;$B1189)&amp;INDEX(VarEnd,MATCH($A1189,VarKey,0))&amp;AG$5</f>
        <v/>
      </c>
      <c r="AH1189" s="40">
        <f>MAX(INDEX(AH$381:AH$392,$D1189)+(AH1162+AH1180)*(1+$E1189),0.01)</f>
        <v/>
      </c>
      <c r="AI1189" s="35">
        <f>MAX(INDEX(AI$381:AI$392,$D1189)+(AI1162+AI1180)*(1+$E1189),0.01)</f>
        <v/>
      </c>
      <c r="AJ1189" s="35">
        <f>MAX(INDEX(AJ$381:AJ$392,$D1189)+(AJ1162+AJ1180)*(1+$E1189),0.01)</f>
        <v/>
      </c>
      <c r="AK1189" s="35">
        <f>MAX(INDEX(AK$381:AK$392,$D1189)+(AK1162+AK1180)*(1+$E1189),0.01)</f>
        <v/>
      </c>
      <c r="AL1189" s="35">
        <f>MAX(INDEX(AL$381:AL$392,$D1189)+(AL1162+AL1180)*(1+$E1189),0.01)</f>
        <v/>
      </c>
      <c r="AM1189" s="35">
        <f>MAX(INDEX(AM$381:AM$392,$D1189)+(AM1162+AM1180)*(1+$E1189),0.01)</f>
        <v/>
      </c>
      <c r="AN1189" s="35">
        <f>MAX(INDEX(AN$381:AN$392,$D1189)+(AN1162+AN1180)*(1+$E1189),0.01)</f>
        <v/>
      </c>
      <c r="AO1189" s="35">
        <f>MAX(INDEX(AO$381:AO$392,$D1189)+(AO1162+AO1180)*(1+$E1189),0.01)</f>
        <v/>
      </c>
      <c r="AP1189" s="35">
        <f>MAX(INDEX(AP$381:AP$392,$D1189)+(AP1162+AP1180)*(1+$E1189),0.01)</f>
        <v/>
      </c>
      <c r="AQ1189" s="35">
        <f>MAX(INDEX(AQ$381:AQ$392,$D1189)+(AQ1162+AQ1180)*(1+$E1189),0.01)</f>
        <v/>
      </c>
      <c r="AR1189" s="35">
        <f>MAX(INDEX(AR$381:AR$392,$D1189)+(AR1162+AR1180)*(1+$E1189),0.01)</f>
        <v/>
      </c>
      <c r="AS1189" s="35">
        <f>MAX(INDEX(AS$381:AS$392,$D1189)+(AS1162+AS1180)*(1+$E1189),0.01)</f>
        <v/>
      </c>
      <c r="AT1189" s="35">
        <f>MAX(INDEX(AT$381:AT$392,$D1189)+(AT1162+AT1180)*(1+$E1189),0.01)</f>
        <v/>
      </c>
      <c r="AU1189" s="35">
        <f>MAX(INDEX(AU$381:AU$392,$D1189)+(AU1162+AU1180)*(1+$E1189),0.01)</f>
        <v/>
      </c>
      <c r="AV1189" s="35">
        <f>MAX(INDEX(AV$381:AV$392,$D1189)+(AV1162+AV1180)*(1+$E1189),0.01)</f>
        <v/>
      </c>
      <c r="AW1189" s="35">
        <f>MAX(INDEX(AW$381:AW$392,$D1189)+(AW1162+AW1180)*(1+$E1189),0.01)</f>
        <v/>
      </c>
      <c r="AX1189" s="35">
        <f>MAX(INDEX(AX$381:AX$392,$D1189)+(AX1162+AX1180)*(1+$E1189),0.01)</f>
        <v/>
      </c>
      <c r="AY1189" s="35">
        <f>MAX(INDEX(AY$381:AY$392,$D1189)+(AY1162+AY1180)*(1+$E1189),0.01)</f>
        <v/>
      </c>
      <c r="AZ1189" s="35">
        <f>MAX(INDEX(AZ$381:AZ$392,$D1189)+(AZ1162+AZ1180)*(1+$E1189),0.01)</f>
        <v/>
      </c>
      <c r="BA1189" s="42">
        <f>POSTTAX(INDEX(BA$381:BA$392,$D1189),BA1162+BA1180,$E1189)</f>
        <v/>
      </c>
    </row>
    <row r="1190" hidden="1" outlineLevel="2">
      <c r="A1190" s="14" t="inlineStr">
        <is>
          <t>atp</t>
        </is>
      </c>
      <c r="B1190" s="14" t="inlineStr">
        <is>
          <t>nga</t>
        </is>
      </c>
      <c r="C1190" s="14" t="inlineStr">
        <is>
          <t>ral</t>
        </is>
      </c>
      <c r="D1190" s="35">
        <f>INDEX(Inputs!$U$5:$U$132,MATCH($B1190&amp;"|"&amp;$C1190,Inputs!$A$5:$A$132,0))</f>
        <v/>
      </c>
      <c r="E1190" s="35">
        <f>INDEX(Inputs!$V$5:$V$132,MATCH($B1190&amp;"|"&amp;$C1190,Inputs!$A$5:$A$132,0))</f>
        <v/>
      </c>
      <c r="F1190" s="39" t="n"/>
      <c r="G1190" s="39" t="n"/>
      <c r="H1190" s="14">
        <f>INDEX(VarLab,MATCH($A1190,VarKey,0))&amp;INDEX(MemLab,MATCH($C1190&amp;"|"&amp;$B1190,MemKey,0))</f>
        <v/>
      </c>
      <c r="I1190" s="14">
        <f>INDEX(VarUnit,MATCH($A1190,VarKey,0))</f>
        <v/>
      </c>
      <c r="J1190" s="14">
        <f>INDEX(VarSrc,MATCH($A1190,VarKey,0))</f>
        <v/>
      </c>
      <c r="K1190" s="11">
        <f>CodePrefix&amp;$A1190&amp;IF($C1190="","","."&amp;$C1190&amp;"."&amp;$B1190)&amp;INDEX(VarEnd,MATCH($A1190,VarKey,0))&amp;K$5</f>
        <v/>
      </c>
      <c r="L1190" s="40">
        <f>MAX(INDEX(L$381:L$392,$D1190)+(L1163+L1181)*(1+$E1190),0.01)</f>
        <v/>
      </c>
      <c r="M1190" s="35">
        <f>MAX(INDEX(M$381:M$392,$D1190)+(M1163+M1181)*(1+$E1190),0.01)</f>
        <v/>
      </c>
      <c r="N1190" s="35">
        <f>MAX(INDEX(N$381:N$392,$D1190)+(N1163+N1181)*(1+$E1190),0.01)</f>
        <v/>
      </c>
      <c r="O1190" s="35">
        <f>MAX(INDEX(O$381:O$392,$D1190)+(O1163+O1181)*(1+$E1190),0.01)</f>
        <v/>
      </c>
      <c r="P1190" s="35">
        <f>MAX(INDEX(P$381:P$392,$D1190)+(P1163+P1181)*(1+$E1190),0.01)</f>
        <v/>
      </c>
      <c r="Q1190" s="35">
        <f>MAX(INDEX(Q$381:Q$392,$D1190)+(Q1163+Q1181)*(1+$E1190),0.01)</f>
        <v/>
      </c>
      <c r="R1190" s="35">
        <f>MAX(INDEX(R$381:R$392,$D1190)+(R1163+R1181)*(1+$E1190),0.01)</f>
        <v/>
      </c>
      <c r="S1190" s="35">
        <f>MAX(INDEX(S$381:S$392,$D1190)+(S1163+S1181)*(1+$E1190),0.01)</f>
        <v/>
      </c>
      <c r="T1190" s="35">
        <f>MAX(INDEX(T$381:T$392,$D1190)+(T1163+T1181)*(1+$E1190),0.01)</f>
        <v/>
      </c>
      <c r="U1190" s="35">
        <f>MAX(INDEX(U$381:U$392,$D1190)+(U1163+U1181)*(1+$E1190),0.01)</f>
        <v/>
      </c>
      <c r="V1190" s="35">
        <f>MAX(INDEX(V$381:V$392,$D1190)+(V1163+V1181)*(1+$E1190),0.01)</f>
        <v/>
      </c>
      <c r="W1190" s="35">
        <f>MAX(INDEX(W$381:W$392,$D1190)+(W1163+W1181)*(1+$E1190),0.01)</f>
        <v/>
      </c>
      <c r="X1190" s="35">
        <f>MAX(INDEX(X$381:X$392,$D1190)+(X1163+X1181)*(1+$E1190),0.01)</f>
        <v/>
      </c>
      <c r="Y1190" s="35">
        <f>MAX(INDEX(Y$381:Y$392,$D1190)+(Y1163+Y1181)*(1+$E1190),0.01)</f>
        <v/>
      </c>
      <c r="Z1190" s="35">
        <f>MAX(INDEX(Z$381:Z$392,$D1190)+(Z1163+Z1181)*(1+$E1190),0.01)</f>
        <v/>
      </c>
      <c r="AA1190" s="35">
        <f>MAX(INDEX(AA$381:AA$392,$D1190)+(AA1163+AA1181)*(1+$E1190),0.01)</f>
        <v/>
      </c>
      <c r="AB1190" s="35">
        <f>MAX(INDEX(AB$381:AB$392,$D1190)+(AB1163+AB1181)*(1+$E1190),0.01)</f>
        <v/>
      </c>
      <c r="AC1190" s="35">
        <f>MAX(INDEX(AC$381:AC$392,$D1190)+(AC1163+AC1181)*(1+$E1190),0.01)</f>
        <v/>
      </c>
      <c r="AD1190" s="35">
        <f>MAX(INDEX(AD$381:AD$392,$D1190)+(AD1163+AD1181)*(1+$E1190),0.01)</f>
        <v/>
      </c>
      <c r="AE1190" s="42">
        <f>POSTTAX(INDEX(AE$381:AE$392,$D1190),AE1163+AE1181,$E1190)</f>
        <v/>
      </c>
      <c r="AG1190" s="11">
        <f>CodePrefix&amp;$A1190&amp;IF($C1190="","","."&amp;$C1190&amp;"."&amp;$B1190)&amp;INDEX(VarEnd,MATCH($A1190,VarKey,0))&amp;AG$5</f>
        <v/>
      </c>
      <c r="AH1190" s="40">
        <f>MAX(INDEX(AH$381:AH$392,$D1190)+(AH1163+AH1181)*(1+$E1190),0.01)</f>
        <v/>
      </c>
      <c r="AI1190" s="35">
        <f>MAX(INDEX(AI$381:AI$392,$D1190)+(AI1163+AI1181)*(1+$E1190),0.01)</f>
        <v/>
      </c>
      <c r="AJ1190" s="35">
        <f>MAX(INDEX(AJ$381:AJ$392,$D1190)+(AJ1163+AJ1181)*(1+$E1190),0.01)</f>
        <v/>
      </c>
      <c r="AK1190" s="35">
        <f>MAX(INDEX(AK$381:AK$392,$D1190)+(AK1163+AK1181)*(1+$E1190),0.01)</f>
        <v/>
      </c>
      <c r="AL1190" s="35">
        <f>MAX(INDEX(AL$381:AL$392,$D1190)+(AL1163+AL1181)*(1+$E1190),0.01)</f>
        <v/>
      </c>
      <c r="AM1190" s="35">
        <f>MAX(INDEX(AM$381:AM$392,$D1190)+(AM1163+AM1181)*(1+$E1190),0.01)</f>
        <v/>
      </c>
      <c r="AN1190" s="35">
        <f>MAX(INDEX(AN$381:AN$392,$D1190)+(AN1163+AN1181)*(1+$E1190),0.01)</f>
        <v/>
      </c>
      <c r="AO1190" s="35">
        <f>MAX(INDEX(AO$381:AO$392,$D1190)+(AO1163+AO1181)*(1+$E1190),0.01)</f>
        <v/>
      </c>
      <c r="AP1190" s="35">
        <f>MAX(INDEX(AP$381:AP$392,$D1190)+(AP1163+AP1181)*(1+$E1190),0.01)</f>
        <v/>
      </c>
      <c r="AQ1190" s="35">
        <f>MAX(INDEX(AQ$381:AQ$392,$D1190)+(AQ1163+AQ1181)*(1+$E1190),0.01)</f>
        <v/>
      </c>
      <c r="AR1190" s="35">
        <f>MAX(INDEX(AR$381:AR$392,$D1190)+(AR1163+AR1181)*(1+$E1190),0.01)</f>
        <v/>
      </c>
      <c r="AS1190" s="35">
        <f>MAX(INDEX(AS$381:AS$392,$D1190)+(AS1163+AS1181)*(1+$E1190),0.01)</f>
        <v/>
      </c>
      <c r="AT1190" s="35">
        <f>MAX(INDEX(AT$381:AT$392,$D1190)+(AT1163+AT1181)*(1+$E1190),0.01)</f>
        <v/>
      </c>
      <c r="AU1190" s="35">
        <f>MAX(INDEX(AU$381:AU$392,$D1190)+(AU1163+AU1181)*(1+$E1190),0.01)</f>
        <v/>
      </c>
      <c r="AV1190" s="35">
        <f>MAX(INDEX(AV$381:AV$392,$D1190)+(AV1163+AV1181)*(1+$E1190),0.01)</f>
        <v/>
      </c>
      <c r="AW1190" s="35">
        <f>MAX(INDEX(AW$381:AW$392,$D1190)+(AW1163+AW1181)*(1+$E1190),0.01)</f>
        <v/>
      </c>
      <c r="AX1190" s="35">
        <f>MAX(INDEX(AX$381:AX$392,$D1190)+(AX1163+AX1181)*(1+$E1190),0.01)</f>
        <v/>
      </c>
      <c r="AY1190" s="35">
        <f>MAX(INDEX(AY$381:AY$392,$D1190)+(AY1163+AY1181)*(1+$E1190),0.01)</f>
        <v/>
      </c>
      <c r="AZ1190" s="35">
        <f>MAX(INDEX(AZ$381:AZ$392,$D1190)+(AZ1163+AZ1181)*(1+$E1190),0.01)</f>
        <v/>
      </c>
      <c r="BA1190" s="42">
        <f>POSTTAX(INDEX(BA$381:BA$392,$D1190),BA1163+BA1181,$E1190)</f>
        <v/>
      </c>
    </row>
    <row r="1191" hidden="1" outlineLevel="2">
      <c r="A1191" s="14" t="inlineStr">
        <is>
          <t>atp</t>
        </is>
      </c>
      <c r="B1191" s="14" t="inlineStr">
        <is>
          <t>gso</t>
        </is>
      </c>
      <c r="C1191" s="14" t="inlineStr">
        <is>
          <t>ral</t>
        </is>
      </c>
      <c r="D1191" s="35">
        <f>INDEX(Inputs!$U$5:$U$132,MATCH($B1191&amp;"|"&amp;$C1191,Inputs!$A$5:$A$132,0))</f>
        <v/>
      </c>
      <c r="E1191" s="35">
        <f>INDEX(Inputs!$V$5:$V$132,MATCH($B1191&amp;"|"&amp;$C1191,Inputs!$A$5:$A$132,0))</f>
        <v/>
      </c>
      <c r="F1191" s="39" t="n"/>
      <c r="G1191" s="39" t="n"/>
      <c r="H1191" s="14">
        <f>INDEX(VarLab,MATCH($A1191,VarKey,0))&amp;INDEX(MemLab,MATCH($C1191&amp;"|"&amp;$B1191,MemKey,0))</f>
        <v/>
      </c>
      <c r="I1191" s="14">
        <f>INDEX(VarUnit,MATCH($A1191,VarKey,0))</f>
        <v/>
      </c>
      <c r="J1191" s="14">
        <f>INDEX(VarSrc,MATCH($A1191,VarKey,0))</f>
        <v/>
      </c>
      <c r="K1191" s="11">
        <f>CodePrefix&amp;$A1191&amp;IF($C1191="","","."&amp;$C1191&amp;"."&amp;$B1191)&amp;INDEX(VarEnd,MATCH($A1191,VarKey,0))&amp;K$5</f>
        <v/>
      </c>
      <c r="L1191" s="40">
        <f>MAX(INDEX(L$381:L$392,$D1191)+(L1164+L1182)*(1+$E1191),0.01)</f>
        <v/>
      </c>
      <c r="M1191" s="35">
        <f>MAX(INDEX(M$381:M$392,$D1191)+(M1164+M1182)*(1+$E1191),0.01)</f>
        <v/>
      </c>
      <c r="N1191" s="35">
        <f>MAX(INDEX(N$381:N$392,$D1191)+(N1164+N1182)*(1+$E1191),0.01)</f>
        <v/>
      </c>
      <c r="O1191" s="35">
        <f>MAX(INDEX(O$381:O$392,$D1191)+(O1164+O1182)*(1+$E1191),0.01)</f>
        <v/>
      </c>
      <c r="P1191" s="35">
        <f>MAX(INDEX(P$381:P$392,$D1191)+(P1164+P1182)*(1+$E1191),0.01)</f>
        <v/>
      </c>
      <c r="Q1191" s="35">
        <f>MAX(INDEX(Q$381:Q$392,$D1191)+(Q1164+Q1182)*(1+$E1191),0.01)</f>
        <v/>
      </c>
      <c r="R1191" s="35">
        <f>MAX(INDEX(R$381:R$392,$D1191)+(R1164+R1182)*(1+$E1191),0.01)</f>
        <v/>
      </c>
      <c r="S1191" s="35">
        <f>MAX(INDEX(S$381:S$392,$D1191)+(S1164+S1182)*(1+$E1191),0.01)</f>
        <v/>
      </c>
      <c r="T1191" s="35">
        <f>MAX(INDEX(T$381:T$392,$D1191)+(T1164+T1182)*(1+$E1191),0.01)</f>
        <v/>
      </c>
      <c r="U1191" s="35">
        <f>MAX(INDEX(U$381:U$392,$D1191)+(U1164+U1182)*(1+$E1191),0.01)</f>
        <v/>
      </c>
      <c r="V1191" s="35">
        <f>MAX(INDEX(V$381:V$392,$D1191)+(V1164+V1182)*(1+$E1191),0.01)</f>
        <v/>
      </c>
      <c r="W1191" s="35">
        <f>MAX(INDEX(W$381:W$392,$D1191)+(W1164+W1182)*(1+$E1191),0.01)</f>
        <v/>
      </c>
      <c r="X1191" s="35">
        <f>MAX(INDEX(X$381:X$392,$D1191)+(X1164+X1182)*(1+$E1191),0.01)</f>
        <v/>
      </c>
      <c r="Y1191" s="35">
        <f>MAX(INDEX(Y$381:Y$392,$D1191)+(Y1164+Y1182)*(1+$E1191),0.01)</f>
        <v/>
      </c>
      <c r="Z1191" s="35">
        <f>MAX(INDEX(Z$381:Z$392,$D1191)+(Z1164+Z1182)*(1+$E1191),0.01)</f>
        <v/>
      </c>
      <c r="AA1191" s="35">
        <f>MAX(INDEX(AA$381:AA$392,$D1191)+(AA1164+AA1182)*(1+$E1191),0.01)</f>
        <v/>
      </c>
      <c r="AB1191" s="35">
        <f>MAX(INDEX(AB$381:AB$392,$D1191)+(AB1164+AB1182)*(1+$E1191),0.01)</f>
        <v/>
      </c>
      <c r="AC1191" s="35">
        <f>MAX(INDEX(AC$381:AC$392,$D1191)+(AC1164+AC1182)*(1+$E1191),0.01)</f>
        <v/>
      </c>
      <c r="AD1191" s="35">
        <f>MAX(INDEX(AD$381:AD$392,$D1191)+(AD1164+AD1182)*(1+$E1191),0.01)</f>
        <v/>
      </c>
      <c r="AE1191" s="42">
        <f>POSTTAX(INDEX(AE$381:AE$392,$D1191),AE1164+AE1182,$E1191)</f>
        <v/>
      </c>
      <c r="AG1191" s="11">
        <f>CodePrefix&amp;$A1191&amp;IF($C1191="","","."&amp;$C1191&amp;"."&amp;$B1191)&amp;INDEX(VarEnd,MATCH($A1191,VarKey,0))&amp;AG$5</f>
        <v/>
      </c>
      <c r="AH1191" s="40">
        <f>MAX(INDEX(AH$381:AH$392,$D1191)+(AH1164+AH1182)*(1+$E1191),0.01)</f>
        <v/>
      </c>
      <c r="AI1191" s="35">
        <f>MAX(INDEX(AI$381:AI$392,$D1191)+(AI1164+AI1182)*(1+$E1191),0.01)</f>
        <v/>
      </c>
      <c r="AJ1191" s="35">
        <f>MAX(INDEX(AJ$381:AJ$392,$D1191)+(AJ1164+AJ1182)*(1+$E1191),0.01)</f>
        <v/>
      </c>
      <c r="AK1191" s="35">
        <f>MAX(INDEX(AK$381:AK$392,$D1191)+(AK1164+AK1182)*(1+$E1191),0.01)</f>
        <v/>
      </c>
      <c r="AL1191" s="35">
        <f>MAX(INDEX(AL$381:AL$392,$D1191)+(AL1164+AL1182)*(1+$E1191),0.01)</f>
        <v/>
      </c>
      <c r="AM1191" s="35">
        <f>MAX(INDEX(AM$381:AM$392,$D1191)+(AM1164+AM1182)*(1+$E1191),0.01)</f>
        <v/>
      </c>
      <c r="AN1191" s="35">
        <f>MAX(INDEX(AN$381:AN$392,$D1191)+(AN1164+AN1182)*(1+$E1191),0.01)</f>
        <v/>
      </c>
      <c r="AO1191" s="35">
        <f>MAX(INDEX(AO$381:AO$392,$D1191)+(AO1164+AO1182)*(1+$E1191),0.01)</f>
        <v/>
      </c>
      <c r="AP1191" s="35">
        <f>MAX(INDEX(AP$381:AP$392,$D1191)+(AP1164+AP1182)*(1+$E1191),0.01)</f>
        <v/>
      </c>
      <c r="AQ1191" s="35">
        <f>MAX(INDEX(AQ$381:AQ$392,$D1191)+(AQ1164+AQ1182)*(1+$E1191),0.01)</f>
        <v/>
      </c>
      <c r="AR1191" s="35">
        <f>MAX(INDEX(AR$381:AR$392,$D1191)+(AR1164+AR1182)*(1+$E1191),0.01)</f>
        <v/>
      </c>
      <c r="AS1191" s="35">
        <f>MAX(INDEX(AS$381:AS$392,$D1191)+(AS1164+AS1182)*(1+$E1191),0.01)</f>
        <v/>
      </c>
      <c r="AT1191" s="35">
        <f>MAX(INDEX(AT$381:AT$392,$D1191)+(AT1164+AT1182)*(1+$E1191),0.01)</f>
        <v/>
      </c>
      <c r="AU1191" s="35">
        <f>MAX(INDEX(AU$381:AU$392,$D1191)+(AU1164+AU1182)*(1+$E1191),0.01)</f>
        <v/>
      </c>
      <c r="AV1191" s="35">
        <f>MAX(INDEX(AV$381:AV$392,$D1191)+(AV1164+AV1182)*(1+$E1191),0.01)</f>
        <v/>
      </c>
      <c r="AW1191" s="35">
        <f>MAX(INDEX(AW$381:AW$392,$D1191)+(AW1164+AW1182)*(1+$E1191),0.01)</f>
        <v/>
      </c>
      <c r="AX1191" s="35">
        <f>MAX(INDEX(AX$381:AX$392,$D1191)+(AX1164+AX1182)*(1+$E1191),0.01)</f>
        <v/>
      </c>
      <c r="AY1191" s="35">
        <f>MAX(INDEX(AY$381:AY$392,$D1191)+(AY1164+AY1182)*(1+$E1191),0.01)</f>
        <v/>
      </c>
      <c r="AZ1191" s="35">
        <f>MAX(INDEX(AZ$381:AZ$392,$D1191)+(AZ1164+AZ1182)*(1+$E1191),0.01)</f>
        <v/>
      </c>
      <c r="BA1191" s="42">
        <f>POSTTAX(INDEX(BA$381:BA$392,$D1191),BA1164+BA1182,$E1191)</f>
        <v/>
      </c>
    </row>
    <row r="1192" hidden="1" outlineLevel="2">
      <c r="A1192" s="14" t="inlineStr">
        <is>
          <t>atp</t>
        </is>
      </c>
      <c r="B1192" s="14" t="inlineStr">
        <is>
          <t>die</t>
        </is>
      </c>
      <c r="C1192" s="14" t="inlineStr">
        <is>
          <t>ral</t>
        </is>
      </c>
      <c r="D1192" s="35">
        <f>INDEX(Inputs!$U$5:$U$132,MATCH($B1192&amp;"|"&amp;$C1192,Inputs!$A$5:$A$132,0))</f>
        <v/>
      </c>
      <c r="E1192" s="35">
        <f>INDEX(Inputs!$V$5:$V$132,MATCH($B1192&amp;"|"&amp;$C1192,Inputs!$A$5:$A$132,0))</f>
        <v/>
      </c>
      <c r="F1192" s="39" t="n"/>
      <c r="G1192" s="39" t="n"/>
      <c r="H1192" s="14">
        <f>INDEX(VarLab,MATCH($A1192,VarKey,0))&amp;INDEX(MemLab,MATCH($C1192&amp;"|"&amp;$B1192,MemKey,0))</f>
        <v/>
      </c>
      <c r="I1192" s="14">
        <f>INDEX(VarUnit,MATCH($A1192,VarKey,0))</f>
        <v/>
      </c>
      <c r="J1192" s="14">
        <f>INDEX(VarSrc,MATCH($A1192,VarKey,0))</f>
        <v/>
      </c>
      <c r="K1192" s="11">
        <f>CodePrefix&amp;$A1192&amp;IF($C1192="","","."&amp;$C1192&amp;"."&amp;$B1192)&amp;INDEX(VarEnd,MATCH($A1192,VarKey,0))&amp;K$5</f>
        <v/>
      </c>
      <c r="L1192" s="40">
        <f>MAX(INDEX(L$381:L$392,$D1192)+(L1165+L1183)*(1+$E1192),0.01)</f>
        <v/>
      </c>
      <c r="M1192" s="35">
        <f>MAX(INDEX(M$381:M$392,$D1192)+(M1165+M1183)*(1+$E1192),0.01)</f>
        <v/>
      </c>
      <c r="N1192" s="35">
        <f>MAX(INDEX(N$381:N$392,$D1192)+(N1165+N1183)*(1+$E1192),0.01)</f>
        <v/>
      </c>
      <c r="O1192" s="35">
        <f>MAX(INDEX(O$381:O$392,$D1192)+(O1165+O1183)*(1+$E1192),0.01)</f>
        <v/>
      </c>
      <c r="P1192" s="35">
        <f>MAX(INDEX(P$381:P$392,$D1192)+(P1165+P1183)*(1+$E1192),0.01)</f>
        <v/>
      </c>
      <c r="Q1192" s="35">
        <f>MAX(INDEX(Q$381:Q$392,$D1192)+(Q1165+Q1183)*(1+$E1192),0.01)</f>
        <v/>
      </c>
      <c r="R1192" s="35">
        <f>MAX(INDEX(R$381:R$392,$D1192)+(R1165+R1183)*(1+$E1192),0.01)</f>
        <v/>
      </c>
      <c r="S1192" s="35">
        <f>MAX(INDEX(S$381:S$392,$D1192)+(S1165+S1183)*(1+$E1192),0.01)</f>
        <v/>
      </c>
      <c r="T1192" s="35">
        <f>MAX(INDEX(T$381:T$392,$D1192)+(T1165+T1183)*(1+$E1192),0.01)</f>
        <v/>
      </c>
      <c r="U1192" s="35">
        <f>MAX(INDEX(U$381:U$392,$D1192)+(U1165+U1183)*(1+$E1192),0.01)</f>
        <v/>
      </c>
      <c r="V1192" s="35">
        <f>MAX(INDEX(V$381:V$392,$D1192)+(V1165+V1183)*(1+$E1192),0.01)</f>
        <v/>
      </c>
      <c r="W1192" s="35">
        <f>MAX(INDEX(W$381:W$392,$D1192)+(W1165+W1183)*(1+$E1192),0.01)</f>
        <v/>
      </c>
      <c r="X1192" s="35">
        <f>MAX(INDEX(X$381:X$392,$D1192)+(X1165+X1183)*(1+$E1192),0.01)</f>
        <v/>
      </c>
      <c r="Y1192" s="35">
        <f>MAX(INDEX(Y$381:Y$392,$D1192)+(Y1165+Y1183)*(1+$E1192),0.01)</f>
        <v/>
      </c>
      <c r="Z1192" s="35">
        <f>MAX(INDEX(Z$381:Z$392,$D1192)+(Z1165+Z1183)*(1+$E1192),0.01)</f>
        <v/>
      </c>
      <c r="AA1192" s="35">
        <f>MAX(INDEX(AA$381:AA$392,$D1192)+(AA1165+AA1183)*(1+$E1192),0.01)</f>
        <v/>
      </c>
      <c r="AB1192" s="35">
        <f>MAX(INDEX(AB$381:AB$392,$D1192)+(AB1165+AB1183)*(1+$E1192),0.01)</f>
        <v/>
      </c>
      <c r="AC1192" s="35">
        <f>MAX(INDEX(AC$381:AC$392,$D1192)+(AC1165+AC1183)*(1+$E1192),0.01)</f>
        <v/>
      </c>
      <c r="AD1192" s="35">
        <f>MAX(INDEX(AD$381:AD$392,$D1192)+(AD1165+AD1183)*(1+$E1192),0.01)</f>
        <v/>
      </c>
      <c r="AE1192" s="42">
        <f>POSTTAX(INDEX(AE$381:AE$392,$D1192),AE1165+AE1183,$E1192)</f>
        <v/>
      </c>
      <c r="AG1192" s="11">
        <f>CodePrefix&amp;$A1192&amp;IF($C1192="","","."&amp;$C1192&amp;"."&amp;$B1192)&amp;INDEX(VarEnd,MATCH($A1192,VarKey,0))&amp;AG$5</f>
        <v/>
      </c>
      <c r="AH1192" s="40">
        <f>MAX(INDEX(AH$381:AH$392,$D1192)+(AH1165+AH1183)*(1+$E1192),0.01)</f>
        <v/>
      </c>
      <c r="AI1192" s="35">
        <f>MAX(INDEX(AI$381:AI$392,$D1192)+(AI1165+AI1183)*(1+$E1192),0.01)</f>
        <v/>
      </c>
      <c r="AJ1192" s="35">
        <f>MAX(INDEX(AJ$381:AJ$392,$D1192)+(AJ1165+AJ1183)*(1+$E1192),0.01)</f>
        <v/>
      </c>
      <c r="AK1192" s="35">
        <f>MAX(INDEX(AK$381:AK$392,$D1192)+(AK1165+AK1183)*(1+$E1192),0.01)</f>
        <v/>
      </c>
      <c r="AL1192" s="35">
        <f>MAX(INDEX(AL$381:AL$392,$D1192)+(AL1165+AL1183)*(1+$E1192),0.01)</f>
        <v/>
      </c>
      <c r="AM1192" s="35">
        <f>MAX(INDEX(AM$381:AM$392,$D1192)+(AM1165+AM1183)*(1+$E1192),0.01)</f>
        <v/>
      </c>
      <c r="AN1192" s="35">
        <f>MAX(INDEX(AN$381:AN$392,$D1192)+(AN1165+AN1183)*(1+$E1192),0.01)</f>
        <v/>
      </c>
      <c r="AO1192" s="35">
        <f>MAX(INDEX(AO$381:AO$392,$D1192)+(AO1165+AO1183)*(1+$E1192),0.01)</f>
        <v/>
      </c>
      <c r="AP1192" s="35">
        <f>MAX(INDEX(AP$381:AP$392,$D1192)+(AP1165+AP1183)*(1+$E1192),0.01)</f>
        <v/>
      </c>
      <c r="AQ1192" s="35">
        <f>MAX(INDEX(AQ$381:AQ$392,$D1192)+(AQ1165+AQ1183)*(1+$E1192),0.01)</f>
        <v/>
      </c>
      <c r="AR1192" s="35">
        <f>MAX(INDEX(AR$381:AR$392,$D1192)+(AR1165+AR1183)*(1+$E1192),0.01)</f>
        <v/>
      </c>
      <c r="AS1192" s="35">
        <f>MAX(INDEX(AS$381:AS$392,$D1192)+(AS1165+AS1183)*(1+$E1192),0.01)</f>
        <v/>
      </c>
      <c r="AT1192" s="35">
        <f>MAX(INDEX(AT$381:AT$392,$D1192)+(AT1165+AT1183)*(1+$E1192),0.01)</f>
        <v/>
      </c>
      <c r="AU1192" s="35">
        <f>MAX(INDEX(AU$381:AU$392,$D1192)+(AU1165+AU1183)*(1+$E1192),0.01)</f>
        <v/>
      </c>
      <c r="AV1192" s="35">
        <f>MAX(INDEX(AV$381:AV$392,$D1192)+(AV1165+AV1183)*(1+$E1192),0.01)</f>
        <v/>
      </c>
      <c r="AW1192" s="35">
        <f>MAX(INDEX(AW$381:AW$392,$D1192)+(AW1165+AW1183)*(1+$E1192),0.01)</f>
        <v/>
      </c>
      <c r="AX1192" s="35">
        <f>MAX(INDEX(AX$381:AX$392,$D1192)+(AX1165+AX1183)*(1+$E1192),0.01)</f>
        <v/>
      </c>
      <c r="AY1192" s="35">
        <f>MAX(INDEX(AY$381:AY$392,$D1192)+(AY1165+AY1183)*(1+$E1192),0.01)</f>
        <v/>
      </c>
      <c r="AZ1192" s="35">
        <f>MAX(INDEX(AZ$381:AZ$392,$D1192)+(AZ1165+AZ1183)*(1+$E1192),0.01)</f>
        <v/>
      </c>
      <c r="BA1192" s="42">
        <f>POSTTAX(INDEX(BA$381:BA$392,$D1192),BA1165+BA1183,$E1192)</f>
        <v/>
      </c>
    </row>
    <row r="1193" hidden="1" outlineLevel="2">
      <c r="A1193" s="14" t="inlineStr">
        <is>
          <t>atp</t>
        </is>
      </c>
      <c r="B1193" s="14" t="inlineStr">
        <is>
          <t>lpg</t>
        </is>
      </c>
      <c r="C1193" s="14" t="inlineStr">
        <is>
          <t>ral</t>
        </is>
      </c>
      <c r="D1193" s="35">
        <f>INDEX(Inputs!$U$5:$U$132,MATCH($B1193&amp;"|"&amp;$C1193,Inputs!$A$5:$A$132,0))</f>
        <v/>
      </c>
      <c r="E1193" s="35">
        <f>INDEX(Inputs!$V$5:$V$132,MATCH($B1193&amp;"|"&amp;$C1193,Inputs!$A$5:$A$132,0))</f>
        <v/>
      </c>
      <c r="F1193" s="39" t="n"/>
      <c r="G1193" s="39" t="n"/>
      <c r="H1193" s="14">
        <f>INDEX(VarLab,MATCH($A1193,VarKey,0))&amp;INDEX(MemLab,MATCH($C1193&amp;"|"&amp;$B1193,MemKey,0))</f>
        <v/>
      </c>
      <c r="I1193" s="14">
        <f>INDEX(VarUnit,MATCH($A1193,VarKey,0))</f>
        <v/>
      </c>
      <c r="J1193" s="14">
        <f>INDEX(VarSrc,MATCH($A1193,VarKey,0))</f>
        <v/>
      </c>
      <c r="K1193" s="11">
        <f>CodePrefix&amp;$A1193&amp;IF($C1193="","","."&amp;$C1193&amp;"."&amp;$B1193)&amp;INDEX(VarEnd,MATCH($A1193,VarKey,0))&amp;K$5</f>
        <v/>
      </c>
      <c r="L1193" s="40">
        <f>MAX(INDEX(L$381:L$392,$D1193)+(L1166+L1184)*(1+$E1193),0.01)</f>
        <v/>
      </c>
      <c r="M1193" s="35">
        <f>MAX(INDEX(M$381:M$392,$D1193)+(M1166+M1184)*(1+$E1193),0.01)</f>
        <v/>
      </c>
      <c r="N1193" s="35">
        <f>MAX(INDEX(N$381:N$392,$D1193)+(N1166+N1184)*(1+$E1193),0.01)</f>
        <v/>
      </c>
      <c r="O1193" s="35">
        <f>MAX(INDEX(O$381:O$392,$D1193)+(O1166+O1184)*(1+$E1193),0.01)</f>
        <v/>
      </c>
      <c r="P1193" s="35">
        <f>MAX(INDEX(P$381:P$392,$D1193)+(P1166+P1184)*(1+$E1193),0.01)</f>
        <v/>
      </c>
      <c r="Q1193" s="35">
        <f>MAX(INDEX(Q$381:Q$392,$D1193)+(Q1166+Q1184)*(1+$E1193),0.01)</f>
        <v/>
      </c>
      <c r="R1193" s="35">
        <f>MAX(INDEX(R$381:R$392,$D1193)+(R1166+R1184)*(1+$E1193),0.01)</f>
        <v/>
      </c>
      <c r="S1193" s="35">
        <f>MAX(INDEX(S$381:S$392,$D1193)+(S1166+S1184)*(1+$E1193),0.01)</f>
        <v/>
      </c>
      <c r="T1193" s="35">
        <f>MAX(INDEX(T$381:T$392,$D1193)+(T1166+T1184)*(1+$E1193),0.01)</f>
        <v/>
      </c>
      <c r="U1193" s="35">
        <f>MAX(INDEX(U$381:U$392,$D1193)+(U1166+U1184)*(1+$E1193),0.01)</f>
        <v/>
      </c>
      <c r="V1193" s="35">
        <f>MAX(INDEX(V$381:V$392,$D1193)+(V1166+V1184)*(1+$E1193),0.01)</f>
        <v/>
      </c>
      <c r="W1193" s="35">
        <f>MAX(INDEX(W$381:W$392,$D1193)+(W1166+W1184)*(1+$E1193),0.01)</f>
        <v/>
      </c>
      <c r="X1193" s="35">
        <f>MAX(INDEX(X$381:X$392,$D1193)+(X1166+X1184)*(1+$E1193),0.01)</f>
        <v/>
      </c>
      <c r="Y1193" s="35">
        <f>MAX(INDEX(Y$381:Y$392,$D1193)+(Y1166+Y1184)*(1+$E1193),0.01)</f>
        <v/>
      </c>
      <c r="Z1193" s="35">
        <f>MAX(INDEX(Z$381:Z$392,$D1193)+(Z1166+Z1184)*(1+$E1193),0.01)</f>
        <v/>
      </c>
      <c r="AA1193" s="35">
        <f>MAX(INDEX(AA$381:AA$392,$D1193)+(AA1166+AA1184)*(1+$E1193),0.01)</f>
        <v/>
      </c>
      <c r="AB1193" s="35">
        <f>MAX(INDEX(AB$381:AB$392,$D1193)+(AB1166+AB1184)*(1+$E1193),0.01)</f>
        <v/>
      </c>
      <c r="AC1193" s="35">
        <f>MAX(INDEX(AC$381:AC$392,$D1193)+(AC1166+AC1184)*(1+$E1193),0.01)</f>
        <v/>
      </c>
      <c r="AD1193" s="35">
        <f>MAX(INDEX(AD$381:AD$392,$D1193)+(AD1166+AD1184)*(1+$E1193),0.01)</f>
        <v/>
      </c>
      <c r="AE1193" s="42">
        <f>POSTTAX(INDEX(AE$381:AE$392,$D1193),AE1166+AE1184,$E1193)</f>
        <v/>
      </c>
      <c r="AG1193" s="11">
        <f>CodePrefix&amp;$A1193&amp;IF($C1193="","","."&amp;$C1193&amp;"."&amp;$B1193)&amp;INDEX(VarEnd,MATCH($A1193,VarKey,0))&amp;AG$5</f>
        <v/>
      </c>
      <c r="AH1193" s="40">
        <f>MAX(INDEX(AH$381:AH$392,$D1193)+(AH1166+AH1184)*(1+$E1193),0.01)</f>
        <v/>
      </c>
      <c r="AI1193" s="35">
        <f>MAX(INDEX(AI$381:AI$392,$D1193)+(AI1166+AI1184)*(1+$E1193),0.01)</f>
        <v/>
      </c>
      <c r="AJ1193" s="35">
        <f>MAX(INDEX(AJ$381:AJ$392,$D1193)+(AJ1166+AJ1184)*(1+$E1193),0.01)</f>
        <v/>
      </c>
      <c r="AK1193" s="35">
        <f>MAX(INDEX(AK$381:AK$392,$D1193)+(AK1166+AK1184)*(1+$E1193),0.01)</f>
        <v/>
      </c>
      <c r="AL1193" s="35">
        <f>MAX(INDEX(AL$381:AL$392,$D1193)+(AL1166+AL1184)*(1+$E1193),0.01)</f>
        <v/>
      </c>
      <c r="AM1193" s="35">
        <f>MAX(INDEX(AM$381:AM$392,$D1193)+(AM1166+AM1184)*(1+$E1193),0.01)</f>
        <v/>
      </c>
      <c r="AN1193" s="35">
        <f>MAX(INDEX(AN$381:AN$392,$D1193)+(AN1166+AN1184)*(1+$E1193),0.01)</f>
        <v/>
      </c>
      <c r="AO1193" s="35">
        <f>MAX(INDEX(AO$381:AO$392,$D1193)+(AO1166+AO1184)*(1+$E1193),0.01)</f>
        <v/>
      </c>
      <c r="AP1193" s="35">
        <f>MAX(INDEX(AP$381:AP$392,$D1193)+(AP1166+AP1184)*(1+$E1193),0.01)</f>
        <v/>
      </c>
      <c r="AQ1193" s="35">
        <f>MAX(INDEX(AQ$381:AQ$392,$D1193)+(AQ1166+AQ1184)*(1+$E1193),0.01)</f>
        <v/>
      </c>
      <c r="AR1193" s="35">
        <f>MAX(INDEX(AR$381:AR$392,$D1193)+(AR1166+AR1184)*(1+$E1193),0.01)</f>
        <v/>
      </c>
      <c r="AS1193" s="35">
        <f>MAX(INDEX(AS$381:AS$392,$D1193)+(AS1166+AS1184)*(1+$E1193),0.01)</f>
        <v/>
      </c>
      <c r="AT1193" s="35">
        <f>MAX(INDEX(AT$381:AT$392,$D1193)+(AT1166+AT1184)*(1+$E1193),0.01)</f>
        <v/>
      </c>
      <c r="AU1193" s="35">
        <f>MAX(INDEX(AU$381:AU$392,$D1193)+(AU1166+AU1184)*(1+$E1193),0.01)</f>
        <v/>
      </c>
      <c r="AV1193" s="35">
        <f>MAX(INDEX(AV$381:AV$392,$D1193)+(AV1166+AV1184)*(1+$E1193),0.01)</f>
        <v/>
      </c>
      <c r="AW1193" s="35">
        <f>MAX(INDEX(AW$381:AW$392,$D1193)+(AW1166+AW1184)*(1+$E1193),0.01)</f>
        <v/>
      </c>
      <c r="AX1193" s="35">
        <f>MAX(INDEX(AX$381:AX$392,$D1193)+(AX1166+AX1184)*(1+$E1193),0.01)</f>
        <v/>
      </c>
      <c r="AY1193" s="35">
        <f>MAX(INDEX(AY$381:AY$392,$D1193)+(AY1166+AY1184)*(1+$E1193),0.01)</f>
        <v/>
      </c>
      <c r="AZ1193" s="35">
        <f>MAX(INDEX(AZ$381:AZ$392,$D1193)+(AZ1166+AZ1184)*(1+$E1193),0.01)</f>
        <v/>
      </c>
      <c r="BA1193" s="42">
        <f>POSTTAX(INDEX(BA$381:BA$392,$D1193),BA1166+BA1184,$E1193)</f>
        <v/>
      </c>
    </row>
    <row r="1194" hidden="1" outlineLevel="2">
      <c r="A1194" s="14" t="inlineStr">
        <is>
          <t>atp</t>
        </is>
      </c>
      <c r="B1194" s="14" t="inlineStr">
        <is>
          <t>ker</t>
        </is>
      </c>
      <c r="C1194" s="14" t="inlineStr">
        <is>
          <t>ral</t>
        </is>
      </c>
      <c r="D1194" s="35">
        <f>INDEX(Inputs!$U$5:$U$132,MATCH($B1194&amp;"|"&amp;$C1194,Inputs!$A$5:$A$132,0))</f>
        <v/>
      </c>
      <c r="E1194" s="35">
        <f>INDEX(Inputs!$V$5:$V$132,MATCH($B1194&amp;"|"&amp;$C1194,Inputs!$A$5:$A$132,0))</f>
        <v/>
      </c>
      <c r="F1194" s="39" t="n"/>
      <c r="G1194" s="39" t="n"/>
      <c r="H1194" s="14">
        <f>INDEX(VarLab,MATCH($A1194,VarKey,0))&amp;INDEX(MemLab,MATCH($C1194&amp;"|"&amp;$B1194,MemKey,0))</f>
        <v/>
      </c>
      <c r="I1194" s="14">
        <f>INDEX(VarUnit,MATCH($A1194,VarKey,0))</f>
        <v/>
      </c>
      <c r="J1194" s="14">
        <f>INDEX(VarSrc,MATCH($A1194,VarKey,0))</f>
        <v/>
      </c>
      <c r="K1194" s="11">
        <f>CodePrefix&amp;$A1194&amp;IF($C1194="","","."&amp;$C1194&amp;"."&amp;$B1194)&amp;INDEX(VarEnd,MATCH($A1194,VarKey,0))&amp;K$5</f>
        <v/>
      </c>
      <c r="L1194" s="40">
        <f>MAX(INDEX(L$381:L$392,$D1194)+(L1167+L1185)*(1+$E1194),0.01)</f>
        <v/>
      </c>
      <c r="M1194" s="35">
        <f>MAX(INDEX(M$381:M$392,$D1194)+(M1167+M1185)*(1+$E1194),0.01)</f>
        <v/>
      </c>
      <c r="N1194" s="35">
        <f>MAX(INDEX(N$381:N$392,$D1194)+(N1167+N1185)*(1+$E1194),0.01)</f>
        <v/>
      </c>
      <c r="O1194" s="35">
        <f>MAX(INDEX(O$381:O$392,$D1194)+(O1167+O1185)*(1+$E1194),0.01)</f>
        <v/>
      </c>
      <c r="P1194" s="35">
        <f>MAX(INDEX(P$381:P$392,$D1194)+(P1167+P1185)*(1+$E1194),0.01)</f>
        <v/>
      </c>
      <c r="Q1194" s="35">
        <f>MAX(INDEX(Q$381:Q$392,$D1194)+(Q1167+Q1185)*(1+$E1194),0.01)</f>
        <v/>
      </c>
      <c r="R1194" s="35">
        <f>MAX(INDEX(R$381:R$392,$D1194)+(R1167+R1185)*(1+$E1194),0.01)</f>
        <v/>
      </c>
      <c r="S1194" s="35">
        <f>MAX(INDEX(S$381:S$392,$D1194)+(S1167+S1185)*(1+$E1194),0.01)</f>
        <v/>
      </c>
      <c r="T1194" s="35">
        <f>MAX(INDEX(T$381:T$392,$D1194)+(T1167+T1185)*(1+$E1194),0.01)</f>
        <v/>
      </c>
      <c r="U1194" s="35">
        <f>MAX(INDEX(U$381:U$392,$D1194)+(U1167+U1185)*(1+$E1194),0.01)</f>
        <v/>
      </c>
      <c r="V1194" s="35">
        <f>MAX(INDEX(V$381:V$392,$D1194)+(V1167+V1185)*(1+$E1194),0.01)</f>
        <v/>
      </c>
      <c r="W1194" s="35">
        <f>MAX(INDEX(W$381:W$392,$D1194)+(W1167+W1185)*(1+$E1194),0.01)</f>
        <v/>
      </c>
      <c r="X1194" s="35">
        <f>MAX(INDEX(X$381:X$392,$D1194)+(X1167+X1185)*(1+$E1194),0.01)</f>
        <v/>
      </c>
      <c r="Y1194" s="35">
        <f>MAX(INDEX(Y$381:Y$392,$D1194)+(Y1167+Y1185)*(1+$E1194),0.01)</f>
        <v/>
      </c>
      <c r="Z1194" s="35">
        <f>MAX(INDEX(Z$381:Z$392,$D1194)+(Z1167+Z1185)*(1+$E1194),0.01)</f>
        <v/>
      </c>
      <c r="AA1194" s="35">
        <f>MAX(INDEX(AA$381:AA$392,$D1194)+(AA1167+AA1185)*(1+$E1194),0.01)</f>
        <v/>
      </c>
      <c r="AB1194" s="35">
        <f>MAX(INDEX(AB$381:AB$392,$D1194)+(AB1167+AB1185)*(1+$E1194),0.01)</f>
        <v/>
      </c>
      <c r="AC1194" s="35">
        <f>MAX(INDEX(AC$381:AC$392,$D1194)+(AC1167+AC1185)*(1+$E1194),0.01)</f>
        <v/>
      </c>
      <c r="AD1194" s="35">
        <f>MAX(INDEX(AD$381:AD$392,$D1194)+(AD1167+AD1185)*(1+$E1194),0.01)</f>
        <v/>
      </c>
      <c r="AE1194" s="42">
        <f>POSTTAX(INDEX(AE$381:AE$392,$D1194),AE1167+AE1185,$E1194)</f>
        <v/>
      </c>
      <c r="AG1194" s="11">
        <f>CodePrefix&amp;$A1194&amp;IF($C1194="","","."&amp;$C1194&amp;"."&amp;$B1194)&amp;INDEX(VarEnd,MATCH($A1194,VarKey,0))&amp;AG$5</f>
        <v/>
      </c>
      <c r="AH1194" s="40">
        <f>MAX(INDEX(AH$381:AH$392,$D1194)+(AH1167+AH1185)*(1+$E1194),0.01)</f>
        <v/>
      </c>
      <c r="AI1194" s="35">
        <f>MAX(INDEX(AI$381:AI$392,$D1194)+(AI1167+AI1185)*(1+$E1194),0.01)</f>
        <v/>
      </c>
      <c r="AJ1194" s="35">
        <f>MAX(INDEX(AJ$381:AJ$392,$D1194)+(AJ1167+AJ1185)*(1+$E1194),0.01)</f>
        <v/>
      </c>
      <c r="AK1194" s="35">
        <f>MAX(INDEX(AK$381:AK$392,$D1194)+(AK1167+AK1185)*(1+$E1194),0.01)</f>
        <v/>
      </c>
      <c r="AL1194" s="35">
        <f>MAX(INDEX(AL$381:AL$392,$D1194)+(AL1167+AL1185)*(1+$E1194),0.01)</f>
        <v/>
      </c>
      <c r="AM1194" s="35">
        <f>MAX(INDEX(AM$381:AM$392,$D1194)+(AM1167+AM1185)*(1+$E1194),0.01)</f>
        <v/>
      </c>
      <c r="AN1194" s="35">
        <f>MAX(INDEX(AN$381:AN$392,$D1194)+(AN1167+AN1185)*(1+$E1194),0.01)</f>
        <v/>
      </c>
      <c r="AO1194" s="35">
        <f>MAX(INDEX(AO$381:AO$392,$D1194)+(AO1167+AO1185)*(1+$E1194),0.01)</f>
        <v/>
      </c>
      <c r="AP1194" s="35">
        <f>MAX(INDEX(AP$381:AP$392,$D1194)+(AP1167+AP1185)*(1+$E1194),0.01)</f>
        <v/>
      </c>
      <c r="AQ1194" s="35">
        <f>MAX(INDEX(AQ$381:AQ$392,$D1194)+(AQ1167+AQ1185)*(1+$E1194),0.01)</f>
        <v/>
      </c>
      <c r="AR1194" s="35">
        <f>MAX(INDEX(AR$381:AR$392,$D1194)+(AR1167+AR1185)*(1+$E1194),0.01)</f>
        <v/>
      </c>
      <c r="AS1194" s="35">
        <f>MAX(INDEX(AS$381:AS$392,$D1194)+(AS1167+AS1185)*(1+$E1194),0.01)</f>
        <v/>
      </c>
      <c r="AT1194" s="35">
        <f>MAX(INDEX(AT$381:AT$392,$D1194)+(AT1167+AT1185)*(1+$E1194),0.01)</f>
        <v/>
      </c>
      <c r="AU1194" s="35">
        <f>MAX(INDEX(AU$381:AU$392,$D1194)+(AU1167+AU1185)*(1+$E1194),0.01)</f>
        <v/>
      </c>
      <c r="AV1194" s="35">
        <f>MAX(INDEX(AV$381:AV$392,$D1194)+(AV1167+AV1185)*(1+$E1194),0.01)</f>
        <v/>
      </c>
      <c r="AW1194" s="35">
        <f>MAX(INDEX(AW$381:AW$392,$D1194)+(AW1167+AW1185)*(1+$E1194),0.01)</f>
        <v/>
      </c>
      <c r="AX1194" s="35">
        <f>MAX(INDEX(AX$381:AX$392,$D1194)+(AX1167+AX1185)*(1+$E1194),0.01)</f>
        <v/>
      </c>
      <c r="AY1194" s="35">
        <f>MAX(INDEX(AY$381:AY$392,$D1194)+(AY1167+AY1185)*(1+$E1194),0.01)</f>
        <v/>
      </c>
      <c r="AZ1194" s="35">
        <f>MAX(INDEX(AZ$381:AZ$392,$D1194)+(AZ1167+AZ1185)*(1+$E1194),0.01)</f>
        <v/>
      </c>
      <c r="BA1194" s="42">
        <f>POSTTAX(INDEX(BA$381:BA$392,$D1194),BA1167+BA1185,$E1194)</f>
        <v/>
      </c>
    </row>
    <row r="1195" hidden="1" outlineLevel="2">
      <c r="A1195" s="14" t="inlineStr">
        <is>
          <t>atp</t>
        </is>
      </c>
      <c r="B1195" s="14" t="inlineStr">
        <is>
          <t>oop</t>
        </is>
      </c>
      <c r="C1195" s="14" t="inlineStr">
        <is>
          <t>ral</t>
        </is>
      </c>
      <c r="D1195" s="35">
        <f>INDEX(Inputs!$U$5:$U$132,MATCH($B1195&amp;"|"&amp;$C1195,Inputs!$A$5:$A$132,0))</f>
        <v/>
      </c>
      <c r="E1195" s="35">
        <f>INDEX(Inputs!$V$5:$V$132,MATCH($B1195&amp;"|"&amp;$C1195,Inputs!$A$5:$A$132,0))</f>
        <v/>
      </c>
      <c r="F1195" s="39" t="n"/>
      <c r="G1195" s="39" t="n"/>
      <c r="H1195" s="14">
        <f>INDEX(VarLab,MATCH($A1195,VarKey,0))&amp;INDEX(MemLab,MATCH($C1195&amp;"|"&amp;$B1195,MemKey,0))</f>
        <v/>
      </c>
      <c r="I1195" s="14">
        <f>INDEX(VarUnit,MATCH($A1195,VarKey,0))</f>
        <v/>
      </c>
      <c r="J1195" s="14">
        <f>INDEX(VarSrc,MATCH($A1195,VarKey,0))</f>
        <v/>
      </c>
      <c r="K1195" s="11">
        <f>CodePrefix&amp;$A1195&amp;IF($C1195="","","."&amp;$C1195&amp;"."&amp;$B1195)&amp;INDEX(VarEnd,MATCH($A1195,VarKey,0))&amp;K$5</f>
        <v/>
      </c>
      <c r="L1195" s="40">
        <f>MAX(INDEX(L$381:L$392,$D1195)+(L1168+L1186)*(1+$E1195),0.01)</f>
        <v/>
      </c>
      <c r="M1195" s="35">
        <f>MAX(INDEX(M$381:M$392,$D1195)+(M1168+M1186)*(1+$E1195),0.01)</f>
        <v/>
      </c>
      <c r="N1195" s="35">
        <f>MAX(INDEX(N$381:N$392,$D1195)+(N1168+N1186)*(1+$E1195),0.01)</f>
        <v/>
      </c>
      <c r="O1195" s="35">
        <f>MAX(INDEX(O$381:O$392,$D1195)+(O1168+O1186)*(1+$E1195),0.01)</f>
        <v/>
      </c>
      <c r="P1195" s="35">
        <f>MAX(INDEX(P$381:P$392,$D1195)+(P1168+P1186)*(1+$E1195),0.01)</f>
        <v/>
      </c>
      <c r="Q1195" s="35">
        <f>MAX(INDEX(Q$381:Q$392,$D1195)+(Q1168+Q1186)*(1+$E1195),0.01)</f>
        <v/>
      </c>
      <c r="R1195" s="35">
        <f>MAX(INDEX(R$381:R$392,$D1195)+(R1168+R1186)*(1+$E1195),0.01)</f>
        <v/>
      </c>
      <c r="S1195" s="35">
        <f>MAX(INDEX(S$381:S$392,$D1195)+(S1168+S1186)*(1+$E1195),0.01)</f>
        <v/>
      </c>
      <c r="T1195" s="35">
        <f>MAX(INDEX(T$381:T$392,$D1195)+(T1168+T1186)*(1+$E1195),0.01)</f>
        <v/>
      </c>
      <c r="U1195" s="35">
        <f>MAX(INDEX(U$381:U$392,$D1195)+(U1168+U1186)*(1+$E1195),0.01)</f>
        <v/>
      </c>
      <c r="V1195" s="35">
        <f>MAX(INDEX(V$381:V$392,$D1195)+(V1168+V1186)*(1+$E1195),0.01)</f>
        <v/>
      </c>
      <c r="W1195" s="35">
        <f>MAX(INDEX(W$381:W$392,$D1195)+(W1168+W1186)*(1+$E1195),0.01)</f>
        <v/>
      </c>
      <c r="X1195" s="35">
        <f>MAX(INDEX(X$381:X$392,$D1195)+(X1168+X1186)*(1+$E1195),0.01)</f>
        <v/>
      </c>
      <c r="Y1195" s="35">
        <f>MAX(INDEX(Y$381:Y$392,$D1195)+(Y1168+Y1186)*(1+$E1195),0.01)</f>
        <v/>
      </c>
      <c r="Z1195" s="35">
        <f>MAX(INDEX(Z$381:Z$392,$D1195)+(Z1168+Z1186)*(1+$E1195),0.01)</f>
        <v/>
      </c>
      <c r="AA1195" s="35">
        <f>MAX(INDEX(AA$381:AA$392,$D1195)+(AA1168+AA1186)*(1+$E1195),0.01)</f>
        <v/>
      </c>
      <c r="AB1195" s="35">
        <f>MAX(INDEX(AB$381:AB$392,$D1195)+(AB1168+AB1186)*(1+$E1195),0.01)</f>
        <v/>
      </c>
      <c r="AC1195" s="35">
        <f>MAX(INDEX(AC$381:AC$392,$D1195)+(AC1168+AC1186)*(1+$E1195),0.01)</f>
        <v/>
      </c>
      <c r="AD1195" s="35">
        <f>MAX(INDEX(AD$381:AD$392,$D1195)+(AD1168+AD1186)*(1+$E1195),0.01)</f>
        <v/>
      </c>
      <c r="AE1195" s="42">
        <f>POSTTAX(INDEX(AE$381:AE$392,$D1195),AE1168+AE1186,$E1195)</f>
        <v/>
      </c>
      <c r="AG1195" s="11">
        <f>CodePrefix&amp;$A1195&amp;IF($C1195="","","."&amp;$C1195&amp;"."&amp;$B1195)&amp;INDEX(VarEnd,MATCH($A1195,VarKey,0))&amp;AG$5</f>
        <v/>
      </c>
      <c r="AH1195" s="40">
        <f>MAX(INDEX(AH$381:AH$392,$D1195)+(AH1168+AH1186)*(1+$E1195),0.01)</f>
        <v/>
      </c>
      <c r="AI1195" s="35">
        <f>MAX(INDEX(AI$381:AI$392,$D1195)+(AI1168+AI1186)*(1+$E1195),0.01)</f>
        <v/>
      </c>
      <c r="AJ1195" s="35">
        <f>MAX(INDEX(AJ$381:AJ$392,$D1195)+(AJ1168+AJ1186)*(1+$E1195),0.01)</f>
        <v/>
      </c>
      <c r="AK1195" s="35">
        <f>MAX(INDEX(AK$381:AK$392,$D1195)+(AK1168+AK1186)*(1+$E1195),0.01)</f>
        <v/>
      </c>
      <c r="AL1195" s="35">
        <f>MAX(INDEX(AL$381:AL$392,$D1195)+(AL1168+AL1186)*(1+$E1195),0.01)</f>
        <v/>
      </c>
      <c r="AM1195" s="35">
        <f>MAX(INDEX(AM$381:AM$392,$D1195)+(AM1168+AM1186)*(1+$E1195),0.01)</f>
        <v/>
      </c>
      <c r="AN1195" s="35">
        <f>MAX(INDEX(AN$381:AN$392,$D1195)+(AN1168+AN1186)*(1+$E1195),0.01)</f>
        <v/>
      </c>
      <c r="AO1195" s="35">
        <f>MAX(INDEX(AO$381:AO$392,$D1195)+(AO1168+AO1186)*(1+$E1195),0.01)</f>
        <v/>
      </c>
      <c r="AP1195" s="35">
        <f>MAX(INDEX(AP$381:AP$392,$D1195)+(AP1168+AP1186)*(1+$E1195),0.01)</f>
        <v/>
      </c>
      <c r="AQ1195" s="35">
        <f>MAX(INDEX(AQ$381:AQ$392,$D1195)+(AQ1168+AQ1186)*(1+$E1195),0.01)</f>
        <v/>
      </c>
      <c r="AR1195" s="35">
        <f>MAX(INDEX(AR$381:AR$392,$D1195)+(AR1168+AR1186)*(1+$E1195),0.01)</f>
        <v/>
      </c>
      <c r="AS1195" s="35">
        <f>MAX(INDEX(AS$381:AS$392,$D1195)+(AS1168+AS1186)*(1+$E1195),0.01)</f>
        <v/>
      </c>
      <c r="AT1195" s="35">
        <f>MAX(INDEX(AT$381:AT$392,$D1195)+(AT1168+AT1186)*(1+$E1195),0.01)</f>
        <v/>
      </c>
      <c r="AU1195" s="35">
        <f>MAX(INDEX(AU$381:AU$392,$D1195)+(AU1168+AU1186)*(1+$E1195),0.01)</f>
        <v/>
      </c>
      <c r="AV1195" s="35">
        <f>MAX(INDEX(AV$381:AV$392,$D1195)+(AV1168+AV1186)*(1+$E1195),0.01)</f>
        <v/>
      </c>
      <c r="AW1195" s="35">
        <f>MAX(INDEX(AW$381:AW$392,$D1195)+(AW1168+AW1186)*(1+$E1195),0.01)</f>
        <v/>
      </c>
      <c r="AX1195" s="35">
        <f>MAX(INDEX(AX$381:AX$392,$D1195)+(AX1168+AX1186)*(1+$E1195),0.01)</f>
        <v/>
      </c>
      <c r="AY1195" s="35">
        <f>MAX(INDEX(AY$381:AY$392,$D1195)+(AY1168+AY1186)*(1+$E1195),0.01)</f>
        <v/>
      </c>
      <c r="AZ1195" s="35">
        <f>MAX(INDEX(AZ$381:AZ$392,$D1195)+(AZ1168+AZ1186)*(1+$E1195),0.01)</f>
        <v/>
      </c>
      <c r="BA1195" s="42">
        <f>POSTTAX(INDEX(BA$381:BA$392,$D1195),BA1168+BA1186,$E1195)</f>
        <v/>
      </c>
    </row>
    <row r="1196" hidden="1" outlineLevel="2">
      <c r="A1196" s="14" t="inlineStr">
        <is>
          <t>atp</t>
        </is>
      </c>
      <c r="B1196" s="14" t="inlineStr">
        <is>
          <t>bio</t>
        </is>
      </c>
      <c r="C1196" s="14" t="inlineStr">
        <is>
          <t>ral</t>
        </is>
      </c>
      <c r="D1196" s="35">
        <f>INDEX(Inputs!$U$5:$U$132,MATCH($B1196&amp;"|"&amp;$C1196,Inputs!$A$5:$A$132,0))</f>
        <v/>
      </c>
      <c r="E1196" s="35">
        <f>INDEX(Inputs!$V$5:$V$132,MATCH($B1196&amp;"|"&amp;$C1196,Inputs!$A$5:$A$132,0))</f>
        <v/>
      </c>
      <c r="F1196" s="39" t="n"/>
      <c r="G1196" s="39" t="n"/>
      <c r="H1196" s="14">
        <f>INDEX(VarLab,MATCH($A1196,VarKey,0))&amp;INDEX(MemLab,MATCH($C1196&amp;"|"&amp;$B1196,MemKey,0))</f>
        <v/>
      </c>
      <c r="I1196" s="14">
        <f>INDEX(VarUnit,MATCH($A1196,VarKey,0))</f>
        <v/>
      </c>
      <c r="J1196" s="14">
        <f>INDEX(VarSrc,MATCH($A1196,VarKey,0))</f>
        <v/>
      </c>
      <c r="K1196" s="11">
        <f>CodePrefix&amp;$A1196&amp;IF($C1196="","","."&amp;$C1196&amp;"."&amp;$B1196)&amp;INDEX(VarEnd,MATCH($A1196,VarKey,0))&amp;K$5</f>
        <v/>
      </c>
      <c r="L1196" s="40">
        <f>MAX(INDEX(L$381:L$392,$D1196)+(L1169+L1187)*(1+$E1196),0.01)</f>
        <v/>
      </c>
      <c r="M1196" s="35">
        <f>MAX(INDEX(M$381:M$392,$D1196)+(M1169+M1187)*(1+$E1196),0.01)</f>
        <v/>
      </c>
      <c r="N1196" s="35">
        <f>MAX(INDEX(N$381:N$392,$D1196)+(N1169+N1187)*(1+$E1196),0.01)</f>
        <v/>
      </c>
      <c r="O1196" s="35">
        <f>MAX(INDEX(O$381:O$392,$D1196)+(O1169+O1187)*(1+$E1196),0.01)</f>
        <v/>
      </c>
      <c r="P1196" s="35">
        <f>MAX(INDEX(P$381:P$392,$D1196)+(P1169+P1187)*(1+$E1196),0.01)</f>
        <v/>
      </c>
      <c r="Q1196" s="35">
        <f>MAX(INDEX(Q$381:Q$392,$D1196)+(Q1169+Q1187)*(1+$E1196),0.01)</f>
        <v/>
      </c>
      <c r="R1196" s="35">
        <f>MAX(INDEX(R$381:R$392,$D1196)+(R1169+R1187)*(1+$E1196),0.01)</f>
        <v/>
      </c>
      <c r="S1196" s="35">
        <f>MAX(INDEX(S$381:S$392,$D1196)+(S1169+S1187)*(1+$E1196),0.01)</f>
        <v/>
      </c>
      <c r="T1196" s="35">
        <f>MAX(INDEX(T$381:T$392,$D1196)+(T1169+T1187)*(1+$E1196),0.01)</f>
        <v/>
      </c>
      <c r="U1196" s="35">
        <f>MAX(INDEX(U$381:U$392,$D1196)+(U1169+U1187)*(1+$E1196),0.01)</f>
        <v/>
      </c>
      <c r="V1196" s="35">
        <f>MAX(INDEX(V$381:V$392,$D1196)+(V1169+V1187)*(1+$E1196),0.01)</f>
        <v/>
      </c>
      <c r="W1196" s="35">
        <f>MAX(INDEX(W$381:W$392,$D1196)+(W1169+W1187)*(1+$E1196),0.01)</f>
        <v/>
      </c>
      <c r="X1196" s="35">
        <f>MAX(INDEX(X$381:X$392,$D1196)+(X1169+X1187)*(1+$E1196),0.01)</f>
        <v/>
      </c>
      <c r="Y1196" s="35">
        <f>MAX(INDEX(Y$381:Y$392,$D1196)+(Y1169+Y1187)*(1+$E1196),0.01)</f>
        <v/>
      </c>
      <c r="Z1196" s="35">
        <f>MAX(INDEX(Z$381:Z$392,$D1196)+(Z1169+Z1187)*(1+$E1196),0.01)</f>
        <v/>
      </c>
      <c r="AA1196" s="35">
        <f>MAX(INDEX(AA$381:AA$392,$D1196)+(AA1169+AA1187)*(1+$E1196),0.01)</f>
        <v/>
      </c>
      <c r="AB1196" s="35">
        <f>MAX(INDEX(AB$381:AB$392,$D1196)+(AB1169+AB1187)*(1+$E1196),0.01)</f>
        <v/>
      </c>
      <c r="AC1196" s="35">
        <f>MAX(INDEX(AC$381:AC$392,$D1196)+(AC1169+AC1187)*(1+$E1196),0.01)</f>
        <v/>
      </c>
      <c r="AD1196" s="35">
        <f>MAX(INDEX(AD$381:AD$392,$D1196)+(AD1169+AD1187)*(1+$E1196),0.01)</f>
        <v/>
      </c>
      <c r="AE1196" s="42">
        <f>POSTTAX(INDEX(AE$381:AE$392,$D1196),AE1169+AE1187,$E1196)</f>
        <v/>
      </c>
      <c r="AG1196" s="11">
        <f>CodePrefix&amp;$A1196&amp;IF($C1196="","","."&amp;$C1196&amp;"."&amp;$B1196)&amp;INDEX(VarEnd,MATCH($A1196,VarKey,0))&amp;AG$5</f>
        <v/>
      </c>
      <c r="AH1196" s="40">
        <f>MAX(INDEX(AH$381:AH$392,$D1196)+(AH1169+AH1187)*(1+$E1196),0.01)</f>
        <v/>
      </c>
      <c r="AI1196" s="35">
        <f>MAX(INDEX(AI$381:AI$392,$D1196)+(AI1169+AI1187)*(1+$E1196),0.01)</f>
        <v/>
      </c>
      <c r="AJ1196" s="35">
        <f>MAX(INDEX(AJ$381:AJ$392,$D1196)+(AJ1169+AJ1187)*(1+$E1196),0.01)</f>
        <v/>
      </c>
      <c r="AK1196" s="35">
        <f>MAX(INDEX(AK$381:AK$392,$D1196)+(AK1169+AK1187)*(1+$E1196),0.01)</f>
        <v/>
      </c>
      <c r="AL1196" s="35">
        <f>MAX(INDEX(AL$381:AL$392,$D1196)+(AL1169+AL1187)*(1+$E1196),0.01)</f>
        <v/>
      </c>
      <c r="AM1196" s="35">
        <f>MAX(INDEX(AM$381:AM$392,$D1196)+(AM1169+AM1187)*(1+$E1196),0.01)</f>
        <v/>
      </c>
      <c r="AN1196" s="35">
        <f>MAX(INDEX(AN$381:AN$392,$D1196)+(AN1169+AN1187)*(1+$E1196),0.01)</f>
        <v/>
      </c>
      <c r="AO1196" s="35">
        <f>MAX(INDEX(AO$381:AO$392,$D1196)+(AO1169+AO1187)*(1+$E1196),0.01)</f>
        <v/>
      </c>
      <c r="AP1196" s="35">
        <f>MAX(INDEX(AP$381:AP$392,$D1196)+(AP1169+AP1187)*(1+$E1196),0.01)</f>
        <v/>
      </c>
      <c r="AQ1196" s="35">
        <f>MAX(INDEX(AQ$381:AQ$392,$D1196)+(AQ1169+AQ1187)*(1+$E1196),0.01)</f>
        <v/>
      </c>
      <c r="AR1196" s="35">
        <f>MAX(INDEX(AR$381:AR$392,$D1196)+(AR1169+AR1187)*(1+$E1196),0.01)</f>
        <v/>
      </c>
      <c r="AS1196" s="35">
        <f>MAX(INDEX(AS$381:AS$392,$D1196)+(AS1169+AS1187)*(1+$E1196),0.01)</f>
        <v/>
      </c>
      <c r="AT1196" s="35">
        <f>MAX(INDEX(AT$381:AT$392,$D1196)+(AT1169+AT1187)*(1+$E1196),0.01)</f>
        <v/>
      </c>
      <c r="AU1196" s="35">
        <f>MAX(INDEX(AU$381:AU$392,$D1196)+(AU1169+AU1187)*(1+$E1196),0.01)</f>
        <v/>
      </c>
      <c r="AV1196" s="35">
        <f>MAX(INDEX(AV$381:AV$392,$D1196)+(AV1169+AV1187)*(1+$E1196),0.01)</f>
        <v/>
      </c>
      <c r="AW1196" s="35">
        <f>MAX(INDEX(AW$381:AW$392,$D1196)+(AW1169+AW1187)*(1+$E1196),0.01)</f>
        <v/>
      </c>
      <c r="AX1196" s="35">
        <f>MAX(INDEX(AX$381:AX$392,$D1196)+(AX1169+AX1187)*(1+$E1196),0.01)</f>
        <v/>
      </c>
      <c r="AY1196" s="35">
        <f>MAX(INDEX(AY$381:AY$392,$D1196)+(AY1169+AY1187)*(1+$E1196),0.01)</f>
        <v/>
      </c>
      <c r="AZ1196" s="35">
        <f>MAX(INDEX(AZ$381:AZ$392,$D1196)+(AZ1169+AZ1187)*(1+$E1196),0.01)</f>
        <v/>
      </c>
      <c r="BA1196" s="42">
        <f>POSTTAX(INDEX(BA$381:BA$392,$D1196),BA1169+BA1187,$E1196)</f>
        <v/>
      </c>
    </row>
    <row r="1197" hidden="1" outlineLevel="2"/>
    <row r="1198" hidden="1" outlineLevel="2">
      <c r="A1198" s="14" t="inlineStr">
        <is>
          <t>shp</t>
        </is>
      </c>
      <c r="B1198" s="14" t="inlineStr">
        <is>
          <t>coa</t>
        </is>
      </c>
      <c r="C1198" s="14" t="inlineStr">
        <is>
          <t>ral</t>
        </is>
      </c>
      <c r="D1198" s="35">
        <f>INDEX(Inputs!$W$5:$W$132,MATCH($B1198&amp;"|"&amp;$C1198,Inputs!$A$5:$A$132,0))</f>
        <v/>
      </c>
      <c r="E1198" s="35">
        <f>INDEX(Inputs!$M$5:$M$132,MATCH($B1198&amp;"|"&amp;$C1198,Inputs!$A$5:$A$132,0))</f>
        <v/>
      </c>
      <c r="F1198" s="39" t="n"/>
      <c r="G1198" s="39" t="n"/>
      <c r="H1198" s="14">
        <f>INDEX(VarLab,MATCH($A1198,VarKey,0))&amp;INDEX(MemLab,MATCH($C1198&amp;"|"&amp;$B1198,MemKey,0))</f>
        <v/>
      </c>
      <c r="I1198" s="14">
        <f>INDEX(VarUnit,MATCH($A1198,VarKey,0))</f>
        <v/>
      </c>
      <c r="J1198" s="14">
        <f>INDEX(VarSrc,MATCH($A1198,VarKey,0))</f>
        <v/>
      </c>
      <c r="K1198" s="11">
        <f>CodePrefix&amp;$A1198&amp;IF($C1198="","","."&amp;$C1198&amp;"."&amp;$B1198)&amp;INDEX(VarEnd,MATCH($A1198,VarKey,0))&amp;K$5</f>
        <v/>
      </c>
      <c r="L1198" s="40">
        <f>INDEX(L$297:L$313,$E1198)*$D1198</f>
        <v/>
      </c>
      <c r="M1198" s="35">
        <f>INDEX(M$297:M$313,$E1198)*$D1198</f>
        <v/>
      </c>
      <c r="N1198" s="35">
        <f>INDEX(N$297:N$313,$E1198)*$D1198</f>
        <v/>
      </c>
      <c r="O1198" s="35">
        <f>INDEX(O$297:O$313,$E1198)*$D1198</f>
        <v/>
      </c>
      <c r="P1198" s="35">
        <f>INDEX(P$297:P$313,$E1198)*$D1198</f>
        <v/>
      </c>
      <c r="Q1198" s="35">
        <f>INDEX(Q$297:Q$313,$E1198)*$D1198</f>
        <v/>
      </c>
      <c r="R1198" s="35">
        <f>INDEX(R$297:R$313,$E1198)*$D1198</f>
        <v/>
      </c>
      <c r="S1198" s="35">
        <f>INDEX(S$297:S$313,$E1198)*$D1198</f>
        <v/>
      </c>
      <c r="T1198" s="35">
        <f>INDEX(T$297:T$313,$E1198)*$D1198</f>
        <v/>
      </c>
      <c r="U1198" s="35">
        <f>INDEX(U$297:U$313,$E1198)*$D1198</f>
        <v/>
      </c>
      <c r="V1198" s="35">
        <f>INDEX(V$297:V$313,$E1198)*$D1198</f>
        <v/>
      </c>
      <c r="W1198" s="35">
        <f>INDEX(W$297:W$313,$E1198)*$D1198</f>
        <v/>
      </c>
      <c r="X1198" s="35">
        <f>INDEX(X$297:X$313,$E1198)*$D1198</f>
        <v/>
      </c>
      <c r="Y1198" s="35">
        <f>INDEX(Y$297:Y$313,$E1198)*$D1198</f>
        <v/>
      </c>
      <c r="Z1198" s="35">
        <f>INDEX(Z$297:Z$313,$E1198)*$D1198</f>
        <v/>
      </c>
      <c r="AA1198" s="35">
        <f>INDEX(AA$297:AA$313,$E1198)*$D1198</f>
        <v/>
      </c>
      <c r="AB1198" s="35">
        <f>INDEX(AB$297:AB$313,$E1198)*$D1198</f>
        <v/>
      </c>
      <c r="AC1198" s="35">
        <f>INDEX(AC$297:AC$313,$E1198)*$D1198</f>
        <v/>
      </c>
      <c r="AD1198" s="35">
        <f>INDEX(AD$297:AD$313,$E1198)*$D1198</f>
        <v/>
      </c>
      <c r="AE1198" s="42">
        <f>SHADOWGJ(INDEX(AE$297:AE$313,$E1198),$D1198)</f>
        <v/>
      </c>
      <c r="AG1198" s="11">
        <f>CodePrefix&amp;$A1198&amp;IF($C1198="","","."&amp;$C1198&amp;"."&amp;$B1198)&amp;INDEX(VarEnd,MATCH($A1198,VarKey,0))&amp;AG$5</f>
        <v/>
      </c>
      <c r="AH1198" s="40">
        <f>INDEX(AH$297:AH$313,$E1198)*$D1198</f>
        <v/>
      </c>
      <c r="AI1198" s="35">
        <f>INDEX(AI$297:AI$313,$E1198)*$D1198</f>
        <v/>
      </c>
      <c r="AJ1198" s="35">
        <f>INDEX(AJ$297:AJ$313,$E1198)*$D1198</f>
        <v/>
      </c>
      <c r="AK1198" s="35">
        <f>INDEX(AK$297:AK$313,$E1198)*$D1198</f>
        <v/>
      </c>
      <c r="AL1198" s="35">
        <f>INDEX(AL$297:AL$313,$E1198)*$D1198</f>
        <v/>
      </c>
      <c r="AM1198" s="35">
        <f>INDEX(AM$297:AM$313,$E1198)*$D1198</f>
        <v/>
      </c>
      <c r="AN1198" s="35">
        <f>INDEX(AN$297:AN$313,$E1198)*$D1198</f>
        <v/>
      </c>
      <c r="AO1198" s="35">
        <f>INDEX(AO$297:AO$313,$E1198)*$D1198</f>
        <v/>
      </c>
      <c r="AP1198" s="35">
        <f>INDEX(AP$297:AP$313,$E1198)*$D1198</f>
        <v/>
      </c>
      <c r="AQ1198" s="35">
        <f>INDEX(AQ$297:AQ$313,$E1198)*$D1198</f>
        <v/>
      </c>
      <c r="AR1198" s="35">
        <f>INDEX(AR$297:AR$313,$E1198)*$D1198</f>
        <v/>
      </c>
      <c r="AS1198" s="35">
        <f>INDEX(AS$297:AS$313,$E1198)*$D1198</f>
        <v/>
      </c>
      <c r="AT1198" s="35">
        <f>INDEX(AT$297:AT$313,$E1198)*$D1198</f>
        <v/>
      </c>
      <c r="AU1198" s="35">
        <f>INDEX(AU$297:AU$313,$E1198)*$D1198</f>
        <v/>
      </c>
      <c r="AV1198" s="35">
        <f>INDEX(AV$297:AV$313,$E1198)*$D1198</f>
        <v/>
      </c>
      <c r="AW1198" s="35">
        <f>INDEX(AW$297:AW$313,$E1198)*$D1198</f>
        <v/>
      </c>
      <c r="AX1198" s="35">
        <f>INDEX(AX$297:AX$313,$E1198)*$D1198</f>
        <v/>
      </c>
      <c r="AY1198" s="35">
        <f>INDEX(AY$297:AY$313,$E1198)*$D1198</f>
        <v/>
      </c>
      <c r="AZ1198" s="35">
        <f>INDEX(AZ$297:AZ$313,$E1198)*$D1198</f>
        <v/>
      </c>
      <c r="BA1198" s="42">
        <f>SHADOWGJ(INDEX(BA$297:BA$313,$E1198),$D1198)</f>
        <v/>
      </c>
    </row>
    <row r="1199" hidden="1" outlineLevel="2">
      <c r="A1199" s="14" t="inlineStr">
        <is>
          <t>shp</t>
        </is>
      </c>
      <c r="B1199" s="14" t="inlineStr">
        <is>
          <t>nga</t>
        </is>
      </c>
      <c r="C1199" s="14" t="inlineStr">
        <is>
          <t>ral</t>
        </is>
      </c>
      <c r="D1199" s="35">
        <f>INDEX(Inputs!$W$5:$W$132,MATCH($B1199&amp;"|"&amp;$C1199,Inputs!$A$5:$A$132,0))</f>
        <v/>
      </c>
      <c r="E1199" s="35">
        <f>INDEX(Inputs!$M$5:$M$132,MATCH($B1199&amp;"|"&amp;$C1199,Inputs!$A$5:$A$132,0))</f>
        <v/>
      </c>
      <c r="F1199" s="39" t="n"/>
      <c r="G1199" s="39" t="n"/>
      <c r="H1199" s="14">
        <f>INDEX(VarLab,MATCH($A1199,VarKey,0))&amp;INDEX(MemLab,MATCH($C1199&amp;"|"&amp;$B1199,MemKey,0))</f>
        <v/>
      </c>
      <c r="I1199" s="14">
        <f>INDEX(VarUnit,MATCH($A1199,VarKey,0))</f>
        <v/>
      </c>
      <c r="J1199" s="14">
        <f>INDEX(VarSrc,MATCH($A1199,VarKey,0))</f>
        <v/>
      </c>
      <c r="K1199" s="11">
        <f>CodePrefix&amp;$A1199&amp;IF($C1199="","","."&amp;$C1199&amp;"."&amp;$B1199)&amp;INDEX(VarEnd,MATCH($A1199,VarKey,0))&amp;K$5</f>
        <v/>
      </c>
      <c r="L1199" s="40">
        <f>INDEX(L$297:L$313,$E1199)*$D1199</f>
        <v/>
      </c>
      <c r="M1199" s="35">
        <f>INDEX(M$297:M$313,$E1199)*$D1199</f>
        <v/>
      </c>
      <c r="N1199" s="35">
        <f>INDEX(N$297:N$313,$E1199)*$D1199</f>
        <v/>
      </c>
      <c r="O1199" s="35">
        <f>INDEX(O$297:O$313,$E1199)*$D1199</f>
        <v/>
      </c>
      <c r="P1199" s="35">
        <f>INDEX(P$297:P$313,$E1199)*$D1199</f>
        <v/>
      </c>
      <c r="Q1199" s="35">
        <f>INDEX(Q$297:Q$313,$E1199)*$D1199</f>
        <v/>
      </c>
      <c r="R1199" s="35">
        <f>INDEX(R$297:R$313,$E1199)*$D1199</f>
        <v/>
      </c>
      <c r="S1199" s="35">
        <f>INDEX(S$297:S$313,$E1199)*$D1199</f>
        <v/>
      </c>
      <c r="T1199" s="35">
        <f>INDEX(T$297:T$313,$E1199)*$D1199</f>
        <v/>
      </c>
      <c r="U1199" s="35">
        <f>INDEX(U$297:U$313,$E1199)*$D1199</f>
        <v/>
      </c>
      <c r="V1199" s="35">
        <f>INDEX(V$297:V$313,$E1199)*$D1199</f>
        <v/>
      </c>
      <c r="W1199" s="35">
        <f>INDEX(W$297:W$313,$E1199)*$D1199</f>
        <v/>
      </c>
      <c r="X1199" s="35">
        <f>INDEX(X$297:X$313,$E1199)*$D1199</f>
        <v/>
      </c>
      <c r="Y1199" s="35">
        <f>INDEX(Y$297:Y$313,$E1199)*$D1199</f>
        <v/>
      </c>
      <c r="Z1199" s="35">
        <f>INDEX(Z$297:Z$313,$E1199)*$D1199</f>
        <v/>
      </c>
      <c r="AA1199" s="35">
        <f>INDEX(AA$297:AA$313,$E1199)*$D1199</f>
        <v/>
      </c>
      <c r="AB1199" s="35">
        <f>INDEX(AB$297:AB$313,$E1199)*$D1199</f>
        <v/>
      </c>
      <c r="AC1199" s="35">
        <f>INDEX(AC$297:AC$313,$E1199)*$D1199</f>
        <v/>
      </c>
      <c r="AD1199" s="35">
        <f>INDEX(AD$297:AD$313,$E1199)*$D1199</f>
        <v/>
      </c>
      <c r="AE1199" s="42">
        <f>SHADOWGJ(INDEX(AE$297:AE$313,$E1199),$D1199)</f>
        <v/>
      </c>
      <c r="AG1199" s="11">
        <f>CodePrefix&amp;$A1199&amp;IF($C1199="","","."&amp;$C1199&amp;"."&amp;$B1199)&amp;INDEX(VarEnd,MATCH($A1199,VarKey,0))&amp;AG$5</f>
        <v/>
      </c>
      <c r="AH1199" s="40">
        <f>INDEX(AH$297:AH$313,$E1199)*$D1199</f>
        <v/>
      </c>
      <c r="AI1199" s="35">
        <f>INDEX(AI$297:AI$313,$E1199)*$D1199</f>
        <v/>
      </c>
      <c r="AJ1199" s="35">
        <f>INDEX(AJ$297:AJ$313,$E1199)*$D1199</f>
        <v/>
      </c>
      <c r="AK1199" s="35">
        <f>INDEX(AK$297:AK$313,$E1199)*$D1199</f>
        <v/>
      </c>
      <c r="AL1199" s="35">
        <f>INDEX(AL$297:AL$313,$E1199)*$D1199</f>
        <v/>
      </c>
      <c r="AM1199" s="35">
        <f>INDEX(AM$297:AM$313,$E1199)*$D1199</f>
        <v/>
      </c>
      <c r="AN1199" s="35">
        <f>INDEX(AN$297:AN$313,$E1199)*$D1199</f>
        <v/>
      </c>
      <c r="AO1199" s="35">
        <f>INDEX(AO$297:AO$313,$E1199)*$D1199</f>
        <v/>
      </c>
      <c r="AP1199" s="35">
        <f>INDEX(AP$297:AP$313,$E1199)*$D1199</f>
        <v/>
      </c>
      <c r="AQ1199" s="35">
        <f>INDEX(AQ$297:AQ$313,$E1199)*$D1199</f>
        <v/>
      </c>
      <c r="AR1199" s="35">
        <f>INDEX(AR$297:AR$313,$E1199)*$D1199</f>
        <v/>
      </c>
      <c r="AS1199" s="35">
        <f>INDEX(AS$297:AS$313,$E1199)*$D1199</f>
        <v/>
      </c>
      <c r="AT1199" s="35">
        <f>INDEX(AT$297:AT$313,$E1199)*$D1199</f>
        <v/>
      </c>
      <c r="AU1199" s="35">
        <f>INDEX(AU$297:AU$313,$E1199)*$D1199</f>
        <v/>
      </c>
      <c r="AV1199" s="35">
        <f>INDEX(AV$297:AV$313,$E1199)*$D1199</f>
        <v/>
      </c>
      <c r="AW1199" s="35">
        <f>INDEX(AW$297:AW$313,$E1199)*$D1199</f>
        <v/>
      </c>
      <c r="AX1199" s="35">
        <f>INDEX(AX$297:AX$313,$E1199)*$D1199</f>
        <v/>
      </c>
      <c r="AY1199" s="35">
        <f>INDEX(AY$297:AY$313,$E1199)*$D1199</f>
        <v/>
      </c>
      <c r="AZ1199" s="35">
        <f>INDEX(AZ$297:AZ$313,$E1199)*$D1199</f>
        <v/>
      </c>
      <c r="BA1199" s="42">
        <f>SHADOWGJ(INDEX(BA$297:BA$313,$E1199),$D1199)</f>
        <v/>
      </c>
    </row>
    <row r="1200" hidden="1" outlineLevel="2">
      <c r="A1200" s="14" t="inlineStr">
        <is>
          <t>shp</t>
        </is>
      </c>
      <c r="B1200" s="14" t="inlineStr">
        <is>
          <t>gso</t>
        </is>
      </c>
      <c r="C1200" s="14" t="inlineStr">
        <is>
          <t>ral</t>
        </is>
      </c>
      <c r="D1200" s="35">
        <f>INDEX(Inputs!$W$5:$W$132,MATCH($B1200&amp;"|"&amp;$C1200,Inputs!$A$5:$A$132,0))</f>
        <v/>
      </c>
      <c r="E1200" s="35">
        <f>INDEX(Inputs!$M$5:$M$132,MATCH($B1200&amp;"|"&amp;$C1200,Inputs!$A$5:$A$132,0))</f>
        <v/>
      </c>
      <c r="F1200" s="39" t="n"/>
      <c r="G1200" s="39" t="n"/>
      <c r="H1200" s="14">
        <f>INDEX(VarLab,MATCH($A1200,VarKey,0))&amp;INDEX(MemLab,MATCH($C1200&amp;"|"&amp;$B1200,MemKey,0))</f>
        <v/>
      </c>
      <c r="I1200" s="14">
        <f>INDEX(VarUnit,MATCH($A1200,VarKey,0))</f>
        <v/>
      </c>
      <c r="J1200" s="14">
        <f>INDEX(VarSrc,MATCH($A1200,VarKey,0))</f>
        <v/>
      </c>
      <c r="K1200" s="11">
        <f>CodePrefix&amp;$A1200&amp;IF($C1200="","","."&amp;$C1200&amp;"."&amp;$B1200)&amp;INDEX(VarEnd,MATCH($A1200,VarKey,0))&amp;K$5</f>
        <v/>
      </c>
      <c r="L1200" s="40">
        <f>INDEX(L$297:L$313,$E1200)*$D1200</f>
        <v/>
      </c>
      <c r="M1200" s="35">
        <f>INDEX(M$297:M$313,$E1200)*$D1200</f>
        <v/>
      </c>
      <c r="N1200" s="35">
        <f>INDEX(N$297:N$313,$E1200)*$D1200</f>
        <v/>
      </c>
      <c r="O1200" s="35">
        <f>INDEX(O$297:O$313,$E1200)*$D1200</f>
        <v/>
      </c>
      <c r="P1200" s="35">
        <f>INDEX(P$297:P$313,$E1200)*$D1200</f>
        <v/>
      </c>
      <c r="Q1200" s="35">
        <f>INDEX(Q$297:Q$313,$E1200)*$D1200</f>
        <v/>
      </c>
      <c r="R1200" s="35">
        <f>INDEX(R$297:R$313,$E1200)*$D1200</f>
        <v/>
      </c>
      <c r="S1200" s="35">
        <f>INDEX(S$297:S$313,$E1200)*$D1200</f>
        <v/>
      </c>
      <c r="T1200" s="35">
        <f>INDEX(T$297:T$313,$E1200)*$D1200</f>
        <v/>
      </c>
      <c r="U1200" s="35">
        <f>INDEX(U$297:U$313,$E1200)*$D1200</f>
        <v/>
      </c>
      <c r="V1200" s="35">
        <f>INDEX(V$297:V$313,$E1200)*$D1200</f>
        <v/>
      </c>
      <c r="W1200" s="35">
        <f>INDEX(W$297:W$313,$E1200)*$D1200</f>
        <v/>
      </c>
      <c r="X1200" s="35">
        <f>INDEX(X$297:X$313,$E1200)*$D1200</f>
        <v/>
      </c>
      <c r="Y1200" s="35">
        <f>INDEX(Y$297:Y$313,$E1200)*$D1200</f>
        <v/>
      </c>
      <c r="Z1200" s="35">
        <f>INDEX(Z$297:Z$313,$E1200)*$D1200</f>
        <v/>
      </c>
      <c r="AA1200" s="35">
        <f>INDEX(AA$297:AA$313,$E1200)*$D1200</f>
        <v/>
      </c>
      <c r="AB1200" s="35">
        <f>INDEX(AB$297:AB$313,$E1200)*$D1200</f>
        <v/>
      </c>
      <c r="AC1200" s="35">
        <f>INDEX(AC$297:AC$313,$E1200)*$D1200</f>
        <v/>
      </c>
      <c r="AD1200" s="35">
        <f>INDEX(AD$297:AD$313,$E1200)*$D1200</f>
        <v/>
      </c>
      <c r="AE1200" s="42">
        <f>SHADOWGJ(INDEX(AE$297:AE$313,$E1200),$D1200)</f>
        <v/>
      </c>
      <c r="AG1200" s="11">
        <f>CodePrefix&amp;$A1200&amp;IF($C1200="","","."&amp;$C1200&amp;"."&amp;$B1200)&amp;INDEX(VarEnd,MATCH($A1200,VarKey,0))&amp;AG$5</f>
        <v/>
      </c>
      <c r="AH1200" s="40">
        <f>INDEX(AH$297:AH$313,$E1200)*$D1200</f>
        <v/>
      </c>
      <c r="AI1200" s="35">
        <f>INDEX(AI$297:AI$313,$E1200)*$D1200</f>
        <v/>
      </c>
      <c r="AJ1200" s="35">
        <f>INDEX(AJ$297:AJ$313,$E1200)*$D1200</f>
        <v/>
      </c>
      <c r="AK1200" s="35">
        <f>INDEX(AK$297:AK$313,$E1200)*$D1200</f>
        <v/>
      </c>
      <c r="AL1200" s="35">
        <f>INDEX(AL$297:AL$313,$E1200)*$D1200</f>
        <v/>
      </c>
      <c r="AM1200" s="35">
        <f>INDEX(AM$297:AM$313,$E1200)*$D1200</f>
        <v/>
      </c>
      <c r="AN1200" s="35">
        <f>INDEX(AN$297:AN$313,$E1200)*$D1200</f>
        <v/>
      </c>
      <c r="AO1200" s="35">
        <f>INDEX(AO$297:AO$313,$E1200)*$D1200</f>
        <v/>
      </c>
      <c r="AP1200" s="35">
        <f>INDEX(AP$297:AP$313,$E1200)*$D1200</f>
        <v/>
      </c>
      <c r="AQ1200" s="35">
        <f>INDEX(AQ$297:AQ$313,$E1200)*$D1200</f>
        <v/>
      </c>
      <c r="AR1200" s="35">
        <f>INDEX(AR$297:AR$313,$E1200)*$D1200</f>
        <v/>
      </c>
      <c r="AS1200" s="35">
        <f>INDEX(AS$297:AS$313,$E1200)*$D1200</f>
        <v/>
      </c>
      <c r="AT1200" s="35">
        <f>INDEX(AT$297:AT$313,$E1200)*$D1200</f>
        <v/>
      </c>
      <c r="AU1200" s="35">
        <f>INDEX(AU$297:AU$313,$E1200)*$D1200</f>
        <v/>
      </c>
      <c r="AV1200" s="35">
        <f>INDEX(AV$297:AV$313,$E1200)*$D1200</f>
        <v/>
      </c>
      <c r="AW1200" s="35">
        <f>INDEX(AW$297:AW$313,$E1200)*$D1200</f>
        <v/>
      </c>
      <c r="AX1200" s="35">
        <f>INDEX(AX$297:AX$313,$E1200)*$D1200</f>
        <v/>
      </c>
      <c r="AY1200" s="35">
        <f>INDEX(AY$297:AY$313,$E1200)*$D1200</f>
        <v/>
      </c>
      <c r="AZ1200" s="35">
        <f>INDEX(AZ$297:AZ$313,$E1200)*$D1200</f>
        <v/>
      </c>
      <c r="BA1200" s="42">
        <f>SHADOWGJ(INDEX(BA$297:BA$313,$E1200),$D1200)</f>
        <v/>
      </c>
    </row>
    <row r="1201" hidden="1" outlineLevel="2">
      <c r="A1201" s="14" t="inlineStr">
        <is>
          <t>shp</t>
        </is>
      </c>
      <c r="B1201" s="14" t="inlineStr">
        <is>
          <t>die</t>
        </is>
      </c>
      <c r="C1201" s="14" t="inlineStr">
        <is>
          <t>ral</t>
        </is>
      </c>
      <c r="D1201" s="35">
        <f>INDEX(Inputs!$W$5:$W$132,MATCH($B1201&amp;"|"&amp;$C1201,Inputs!$A$5:$A$132,0))</f>
        <v/>
      </c>
      <c r="E1201" s="35">
        <f>INDEX(Inputs!$M$5:$M$132,MATCH($B1201&amp;"|"&amp;$C1201,Inputs!$A$5:$A$132,0))</f>
        <v/>
      </c>
      <c r="F1201" s="39" t="n"/>
      <c r="G1201" s="39" t="n"/>
      <c r="H1201" s="14">
        <f>INDEX(VarLab,MATCH($A1201,VarKey,0))&amp;INDEX(MemLab,MATCH($C1201&amp;"|"&amp;$B1201,MemKey,0))</f>
        <v/>
      </c>
      <c r="I1201" s="14">
        <f>INDEX(VarUnit,MATCH($A1201,VarKey,0))</f>
        <v/>
      </c>
      <c r="J1201" s="14">
        <f>INDEX(VarSrc,MATCH($A1201,VarKey,0))</f>
        <v/>
      </c>
      <c r="K1201" s="11">
        <f>CodePrefix&amp;$A1201&amp;IF($C1201="","","."&amp;$C1201&amp;"."&amp;$B1201)&amp;INDEX(VarEnd,MATCH($A1201,VarKey,0))&amp;K$5</f>
        <v/>
      </c>
      <c r="L1201" s="40">
        <f>INDEX(L$297:L$313,$E1201)*$D1201</f>
        <v/>
      </c>
      <c r="M1201" s="35">
        <f>INDEX(M$297:M$313,$E1201)*$D1201</f>
        <v/>
      </c>
      <c r="N1201" s="35">
        <f>INDEX(N$297:N$313,$E1201)*$D1201</f>
        <v/>
      </c>
      <c r="O1201" s="35">
        <f>INDEX(O$297:O$313,$E1201)*$D1201</f>
        <v/>
      </c>
      <c r="P1201" s="35">
        <f>INDEX(P$297:P$313,$E1201)*$D1201</f>
        <v/>
      </c>
      <c r="Q1201" s="35">
        <f>INDEX(Q$297:Q$313,$E1201)*$D1201</f>
        <v/>
      </c>
      <c r="R1201" s="35">
        <f>INDEX(R$297:R$313,$E1201)*$D1201</f>
        <v/>
      </c>
      <c r="S1201" s="35">
        <f>INDEX(S$297:S$313,$E1201)*$D1201</f>
        <v/>
      </c>
      <c r="T1201" s="35">
        <f>INDEX(T$297:T$313,$E1201)*$D1201</f>
        <v/>
      </c>
      <c r="U1201" s="35">
        <f>INDEX(U$297:U$313,$E1201)*$D1201</f>
        <v/>
      </c>
      <c r="V1201" s="35">
        <f>INDEX(V$297:V$313,$E1201)*$D1201</f>
        <v/>
      </c>
      <c r="W1201" s="35">
        <f>INDEX(W$297:W$313,$E1201)*$D1201</f>
        <v/>
      </c>
      <c r="X1201" s="35">
        <f>INDEX(X$297:X$313,$E1201)*$D1201</f>
        <v/>
      </c>
      <c r="Y1201" s="35">
        <f>INDEX(Y$297:Y$313,$E1201)*$D1201</f>
        <v/>
      </c>
      <c r="Z1201" s="35">
        <f>INDEX(Z$297:Z$313,$E1201)*$D1201</f>
        <v/>
      </c>
      <c r="AA1201" s="35">
        <f>INDEX(AA$297:AA$313,$E1201)*$D1201</f>
        <v/>
      </c>
      <c r="AB1201" s="35">
        <f>INDEX(AB$297:AB$313,$E1201)*$D1201</f>
        <v/>
      </c>
      <c r="AC1201" s="35">
        <f>INDEX(AC$297:AC$313,$E1201)*$D1201</f>
        <v/>
      </c>
      <c r="AD1201" s="35">
        <f>INDEX(AD$297:AD$313,$E1201)*$D1201</f>
        <v/>
      </c>
      <c r="AE1201" s="42">
        <f>SHADOWGJ(INDEX(AE$297:AE$313,$E1201),$D1201)</f>
        <v/>
      </c>
      <c r="AG1201" s="11">
        <f>CodePrefix&amp;$A1201&amp;IF($C1201="","","."&amp;$C1201&amp;"."&amp;$B1201)&amp;INDEX(VarEnd,MATCH($A1201,VarKey,0))&amp;AG$5</f>
        <v/>
      </c>
      <c r="AH1201" s="40">
        <f>INDEX(AH$297:AH$313,$E1201)*$D1201</f>
        <v/>
      </c>
      <c r="AI1201" s="35">
        <f>INDEX(AI$297:AI$313,$E1201)*$D1201</f>
        <v/>
      </c>
      <c r="AJ1201" s="35">
        <f>INDEX(AJ$297:AJ$313,$E1201)*$D1201</f>
        <v/>
      </c>
      <c r="AK1201" s="35">
        <f>INDEX(AK$297:AK$313,$E1201)*$D1201</f>
        <v/>
      </c>
      <c r="AL1201" s="35">
        <f>INDEX(AL$297:AL$313,$E1201)*$D1201</f>
        <v/>
      </c>
      <c r="AM1201" s="35">
        <f>INDEX(AM$297:AM$313,$E1201)*$D1201</f>
        <v/>
      </c>
      <c r="AN1201" s="35">
        <f>INDEX(AN$297:AN$313,$E1201)*$D1201</f>
        <v/>
      </c>
      <c r="AO1201" s="35">
        <f>INDEX(AO$297:AO$313,$E1201)*$D1201</f>
        <v/>
      </c>
      <c r="AP1201" s="35">
        <f>INDEX(AP$297:AP$313,$E1201)*$D1201</f>
        <v/>
      </c>
      <c r="AQ1201" s="35">
        <f>INDEX(AQ$297:AQ$313,$E1201)*$D1201</f>
        <v/>
      </c>
      <c r="AR1201" s="35">
        <f>INDEX(AR$297:AR$313,$E1201)*$D1201</f>
        <v/>
      </c>
      <c r="AS1201" s="35">
        <f>INDEX(AS$297:AS$313,$E1201)*$D1201</f>
        <v/>
      </c>
      <c r="AT1201" s="35">
        <f>INDEX(AT$297:AT$313,$E1201)*$D1201</f>
        <v/>
      </c>
      <c r="AU1201" s="35">
        <f>INDEX(AU$297:AU$313,$E1201)*$D1201</f>
        <v/>
      </c>
      <c r="AV1201" s="35">
        <f>INDEX(AV$297:AV$313,$E1201)*$D1201</f>
        <v/>
      </c>
      <c r="AW1201" s="35">
        <f>INDEX(AW$297:AW$313,$E1201)*$D1201</f>
        <v/>
      </c>
      <c r="AX1201" s="35">
        <f>INDEX(AX$297:AX$313,$E1201)*$D1201</f>
        <v/>
      </c>
      <c r="AY1201" s="35">
        <f>INDEX(AY$297:AY$313,$E1201)*$D1201</f>
        <v/>
      </c>
      <c r="AZ1201" s="35">
        <f>INDEX(AZ$297:AZ$313,$E1201)*$D1201</f>
        <v/>
      </c>
      <c r="BA1201" s="42">
        <f>SHADOWGJ(INDEX(BA$297:BA$313,$E1201),$D1201)</f>
        <v/>
      </c>
    </row>
    <row r="1202" hidden="1" outlineLevel="2">
      <c r="A1202" s="14" t="inlineStr">
        <is>
          <t>shp</t>
        </is>
      </c>
      <c r="B1202" s="14" t="inlineStr">
        <is>
          <t>lpg</t>
        </is>
      </c>
      <c r="C1202" s="14" t="inlineStr">
        <is>
          <t>ral</t>
        </is>
      </c>
      <c r="D1202" s="35">
        <f>INDEX(Inputs!$W$5:$W$132,MATCH($B1202&amp;"|"&amp;$C1202,Inputs!$A$5:$A$132,0))</f>
        <v/>
      </c>
      <c r="E1202" s="35">
        <f>INDEX(Inputs!$M$5:$M$132,MATCH($B1202&amp;"|"&amp;$C1202,Inputs!$A$5:$A$132,0))</f>
        <v/>
      </c>
      <c r="F1202" s="39" t="n"/>
      <c r="G1202" s="39" t="n"/>
      <c r="H1202" s="14">
        <f>INDEX(VarLab,MATCH($A1202,VarKey,0))&amp;INDEX(MemLab,MATCH($C1202&amp;"|"&amp;$B1202,MemKey,0))</f>
        <v/>
      </c>
      <c r="I1202" s="14">
        <f>INDEX(VarUnit,MATCH($A1202,VarKey,0))</f>
        <v/>
      </c>
      <c r="J1202" s="14">
        <f>INDEX(VarSrc,MATCH($A1202,VarKey,0))</f>
        <v/>
      </c>
      <c r="K1202" s="11">
        <f>CodePrefix&amp;$A1202&amp;IF($C1202="","","."&amp;$C1202&amp;"."&amp;$B1202)&amp;INDEX(VarEnd,MATCH($A1202,VarKey,0))&amp;K$5</f>
        <v/>
      </c>
      <c r="L1202" s="40">
        <f>INDEX(L$297:L$313,$E1202)*$D1202</f>
        <v/>
      </c>
      <c r="M1202" s="35">
        <f>INDEX(M$297:M$313,$E1202)*$D1202</f>
        <v/>
      </c>
      <c r="N1202" s="35">
        <f>INDEX(N$297:N$313,$E1202)*$D1202</f>
        <v/>
      </c>
      <c r="O1202" s="35">
        <f>INDEX(O$297:O$313,$E1202)*$D1202</f>
        <v/>
      </c>
      <c r="P1202" s="35">
        <f>INDEX(P$297:P$313,$E1202)*$D1202</f>
        <v/>
      </c>
      <c r="Q1202" s="35">
        <f>INDEX(Q$297:Q$313,$E1202)*$D1202</f>
        <v/>
      </c>
      <c r="R1202" s="35">
        <f>INDEX(R$297:R$313,$E1202)*$D1202</f>
        <v/>
      </c>
      <c r="S1202" s="35">
        <f>INDEX(S$297:S$313,$E1202)*$D1202</f>
        <v/>
      </c>
      <c r="T1202" s="35">
        <f>INDEX(T$297:T$313,$E1202)*$D1202</f>
        <v/>
      </c>
      <c r="U1202" s="35">
        <f>INDEX(U$297:U$313,$E1202)*$D1202</f>
        <v/>
      </c>
      <c r="V1202" s="35">
        <f>INDEX(V$297:V$313,$E1202)*$D1202</f>
        <v/>
      </c>
      <c r="W1202" s="35">
        <f>INDEX(W$297:W$313,$E1202)*$D1202</f>
        <v/>
      </c>
      <c r="X1202" s="35">
        <f>INDEX(X$297:X$313,$E1202)*$D1202</f>
        <v/>
      </c>
      <c r="Y1202" s="35">
        <f>INDEX(Y$297:Y$313,$E1202)*$D1202</f>
        <v/>
      </c>
      <c r="Z1202" s="35">
        <f>INDEX(Z$297:Z$313,$E1202)*$D1202</f>
        <v/>
      </c>
      <c r="AA1202" s="35">
        <f>INDEX(AA$297:AA$313,$E1202)*$D1202</f>
        <v/>
      </c>
      <c r="AB1202" s="35">
        <f>INDEX(AB$297:AB$313,$E1202)*$D1202</f>
        <v/>
      </c>
      <c r="AC1202" s="35">
        <f>INDEX(AC$297:AC$313,$E1202)*$D1202</f>
        <v/>
      </c>
      <c r="AD1202" s="35">
        <f>INDEX(AD$297:AD$313,$E1202)*$D1202</f>
        <v/>
      </c>
      <c r="AE1202" s="42">
        <f>SHADOWGJ(INDEX(AE$297:AE$313,$E1202),$D1202)</f>
        <v/>
      </c>
      <c r="AG1202" s="11">
        <f>CodePrefix&amp;$A1202&amp;IF($C1202="","","."&amp;$C1202&amp;"."&amp;$B1202)&amp;INDEX(VarEnd,MATCH($A1202,VarKey,0))&amp;AG$5</f>
        <v/>
      </c>
      <c r="AH1202" s="40">
        <f>INDEX(AH$297:AH$313,$E1202)*$D1202</f>
        <v/>
      </c>
      <c r="AI1202" s="35">
        <f>INDEX(AI$297:AI$313,$E1202)*$D1202</f>
        <v/>
      </c>
      <c r="AJ1202" s="35">
        <f>INDEX(AJ$297:AJ$313,$E1202)*$D1202</f>
        <v/>
      </c>
      <c r="AK1202" s="35">
        <f>INDEX(AK$297:AK$313,$E1202)*$D1202</f>
        <v/>
      </c>
      <c r="AL1202" s="35">
        <f>INDEX(AL$297:AL$313,$E1202)*$D1202</f>
        <v/>
      </c>
      <c r="AM1202" s="35">
        <f>INDEX(AM$297:AM$313,$E1202)*$D1202</f>
        <v/>
      </c>
      <c r="AN1202" s="35">
        <f>INDEX(AN$297:AN$313,$E1202)*$D1202</f>
        <v/>
      </c>
      <c r="AO1202" s="35">
        <f>INDEX(AO$297:AO$313,$E1202)*$D1202</f>
        <v/>
      </c>
      <c r="AP1202" s="35">
        <f>INDEX(AP$297:AP$313,$E1202)*$D1202</f>
        <v/>
      </c>
      <c r="AQ1202" s="35">
        <f>INDEX(AQ$297:AQ$313,$E1202)*$D1202</f>
        <v/>
      </c>
      <c r="AR1202" s="35">
        <f>INDEX(AR$297:AR$313,$E1202)*$D1202</f>
        <v/>
      </c>
      <c r="AS1202" s="35">
        <f>INDEX(AS$297:AS$313,$E1202)*$D1202</f>
        <v/>
      </c>
      <c r="AT1202" s="35">
        <f>INDEX(AT$297:AT$313,$E1202)*$D1202</f>
        <v/>
      </c>
      <c r="AU1202" s="35">
        <f>INDEX(AU$297:AU$313,$E1202)*$D1202</f>
        <v/>
      </c>
      <c r="AV1202" s="35">
        <f>INDEX(AV$297:AV$313,$E1202)*$D1202</f>
        <v/>
      </c>
      <c r="AW1202" s="35">
        <f>INDEX(AW$297:AW$313,$E1202)*$D1202</f>
        <v/>
      </c>
      <c r="AX1202" s="35">
        <f>INDEX(AX$297:AX$313,$E1202)*$D1202</f>
        <v/>
      </c>
      <c r="AY1202" s="35">
        <f>INDEX(AY$297:AY$313,$E1202)*$D1202</f>
        <v/>
      </c>
      <c r="AZ1202" s="35">
        <f>INDEX(AZ$297:AZ$313,$E1202)*$D1202</f>
        <v/>
      </c>
      <c r="BA1202" s="42">
        <f>SHADOWGJ(INDEX(BA$297:BA$313,$E1202),$D1202)</f>
        <v/>
      </c>
    </row>
    <row r="1203" hidden="1" outlineLevel="2">
      <c r="A1203" s="14" t="inlineStr">
        <is>
          <t>shp</t>
        </is>
      </c>
      <c r="B1203" s="14" t="inlineStr">
        <is>
          <t>ker</t>
        </is>
      </c>
      <c r="C1203" s="14" t="inlineStr">
        <is>
          <t>ral</t>
        </is>
      </c>
      <c r="D1203" s="35">
        <f>INDEX(Inputs!$W$5:$W$132,MATCH($B1203&amp;"|"&amp;$C1203,Inputs!$A$5:$A$132,0))</f>
        <v/>
      </c>
      <c r="E1203" s="35">
        <f>INDEX(Inputs!$M$5:$M$132,MATCH($B1203&amp;"|"&amp;$C1203,Inputs!$A$5:$A$132,0))</f>
        <v/>
      </c>
      <c r="F1203" s="39" t="n"/>
      <c r="G1203" s="39" t="n"/>
      <c r="H1203" s="14">
        <f>INDEX(VarLab,MATCH($A1203,VarKey,0))&amp;INDEX(MemLab,MATCH($C1203&amp;"|"&amp;$B1203,MemKey,0))</f>
        <v/>
      </c>
      <c r="I1203" s="14">
        <f>INDEX(VarUnit,MATCH($A1203,VarKey,0))</f>
        <v/>
      </c>
      <c r="J1203" s="14">
        <f>INDEX(VarSrc,MATCH($A1203,VarKey,0))</f>
        <v/>
      </c>
      <c r="K1203" s="11">
        <f>CodePrefix&amp;$A1203&amp;IF($C1203="","","."&amp;$C1203&amp;"."&amp;$B1203)&amp;INDEX(VarEnd,MATCH($A1203,VarKey,0))&amp;K$5</f>
        <v/>
      </c>
      <c r="L1203" s="40">
        <f>INDEX(L$297:L$313,$E1203)*$D1203</f>
        <v/>
      </c>
      <c r="M1203" s="35">
        <f>INDEX(M$297:M$313,$E1203)*$D1203</f>
        <v/>
      </c>
      <c r="N1203" s="35">
        <f>INDEX(N$297:N$313,$E1203)*$D1203</f>
        <v/>
      </c>
      <c r="O1203" s="35">
        <f>INDEX(O$297:O$313,$E1203)*$D1203</f>
        <v/>
      </c>
      <c r="P1203" s="35">
        <f>INDEX(P$297:P$313,$E1203)*$D1203</f>
        <v/>
      </c>
      <c r="Q1203" s="35">
        <f>INDEX(Q$297:Q$313,$E1203)*$D1203</f>
        <v/>
      </c>
      <c r="R1203" s="35">
        <f>INDEX(R$297:R$313,$E1203)*$D1203</f>
        <v/>
      </c>
      <c r="S1203" s="35">
        <f>INDEX(S$297:S$313,$E1203)*$D1203</f>
        <v/>
      </c>
      <c r="T1203" s="35">
        <f>INDEX(T$297:T$313,$E1203)*$D1203</f>
        <v/>
      </c>
      <c r="U1203" s="35">
        <f>INDEX(U$297:U$313,$E1203)*$D1203</f>
        <v/>
      </c>
      <c r="V1203" s="35">
        <f>INDEX(V$297:V$313,$E1203)*$D1203</f>
        <v/>
      </c>
      <c r="W1203" s="35">
        <f>INDEX(W$297:W$313,$E1203)*$D1203</f>
        <v/>
      </c>
      <c r="X1203" s="35">
        <f>INDEX(X$297:X$313,$E1203)*$D1203</f>
        <v/>
      </c>
      <c r="Y1203" s="35">
        <f>INDEX(Y$297:Y$313,$E1203)*$D1203</f>
        <v/>
      </c>
      <c r="Z1203" s="35">
        <f>INDEX(Z$297:Z$313,$E1203)*$D1203</f>
        <v/>
      </c>
      <c r="AA1203" s="35">
        <f>INDEX(AA$297:AA$313,$E1203)*$D1203</f>
        <v/>
      </c>
      <c r="AB1203" s="35">
        <f>INDEX(AB$297:AB$313,$E1203)*$D1203</f>
        <v/>
      </c>
      <c r="AC1203" s="35">
        <f>INDEX(AC$297:AC$313,$E1203)*$D1203</f>
        <v/>
      </c>
      <c r="AD1203" s="35">
        <f>INDEX(AD$297:AD$313,$E1203)*$D1203</f>
        <v/>
      </c>
      <c r="AE1203" s="42">
        <f>SHADOWGJ(INDEX(AE$297:AE$313,$E1203),$D1203)</f>
        <v/>
      </c>
      <c r="AG1203" s="11">
        <f>CodePrefix&amp;$A1203&amp;IF($C1203="","","."&amp;$C1203&amp;"."&amp;$B1203)&amp;INDEX(VarEnd,MATCH($A1203,VarKey,0))&amp;AG$5</f>
        <v/>
      </c>
      <c r="AH1203" s="40">
        <f>INDEX(AH$297:AH$313,$E1203)*$D1203</f>
        <v/>
      </c>
      <c r="AI1203" s="35">
        <f>INDEX(AI$297:AI$313,$E1203)*$D1203</f>
        <v/>
      </c>
      <c r="AJ1203" s="35">
        <f>INDEX(AJ$297:AJ$313,$E1203)*$D1203</f>
        <v/>
      </c>
      <c r="AK1203" s="35">
        <f>INDEX(AK$297:AK$313,$E1203)*$D1203</f>
        <v/>
      </c>
      <c r="AL1203" s="35">
        <f>INDEX(AL$297:AL$313,$E1203)*$D1203</f>
        <v/>
      </c>
      <c r="AM1203" s="35">
        <f>INDEX(AM$297:AM$313,$E1203)*$D1203</f>
        <v/>
      </c>
      <c r="AN1203" s="35">
        <f>INDEX(AN$297:AN$313,$E1203)*$D1203</f>
        <v/>
      </c>
      <c r="AO1203" s="35">
        <f>INDEX(AO$297:AO$313,$E1203)*$D1203</f>
        <v/>
      </c>
      <c r="AP1203" s="35">
        <f>INDEX(AP$297:AP$313,$E1203)*$D1203</f>
        <v/>
      </c>
      <c r="AQ1203" s="35">
        <f>INDEX(AQ$297:AQ$313,$E1203)*$D1203</f>
        <v/>
      </c>
      <c r="AR1203" s="35">
        <f>INDEX(AR$297:AR$313,$E1203)*$D1203</f>
        <v/>
      </c>
      <c r="AS1203" s="35">
        <f>INDEX(AS$297:AS$313,$E1203)*$D1203</f>
        <v/>
      </c>
      <c r="AT1203" s="35">
        <f>INDEX(AT$297:AT$313,$E1203)*$D1203</f>
        <v/>
      </c>
      <c r="AU1203" s="35">
        <f>INDEX(AU$297:AU$313,$E1203)*$D1203</f>
        <v/>
      </c>
      <c r="AV1203" s="35">
        <f>INDEX(AV$297:AV$313,$E1203)*$D1203</f>
        <v/>
      </c>
      <c r="AW1203" s="35">
        <f>INDEX(AW$297:AW$313,$E1203)*$D1203</f>
        <v/>
      </c>
      <c r="AX1203" s="35">
        <f>INDEX(AX$297:AX$313,$E1203)*$D1203</f>
        <v/>
      </c>
      <c r="AY1203" s="35">
        <f>INDEX(AY$297:AY$313,$E1203)*$D1203</f>
        <v/>
      </c>
      <c r="AZ1203" s="35">
        <f>INDEX(AZ$297:AZ$313,$E1203)*$D1203</f>
        <v/>
      </c>
      <c r="BA1203" s="42">
        <f>SHADOWGJ(INDEX(BA$297:BA$313,$E1203),$D1203)</f>
        <v/>
      </c>
    </row>
    <row r="1204" hidden="1" outlineLevel="2">
      <c r="A1204" s="14" t="inlineStr">
        <is>
          <t>shp</t>
        </is>
      </c>
      <c r="B1204" s="14" t="inlineStr">
        <is>
          <t>oop</t>
        </is>
      </c>
      <c r="C1204" s="14" t="inlineStr">
        <is>
          <t>ral</t>
        </is>
      </c>
      <c r="D1204" s="35">
        <f>INDEX(Inputs!$W$5:$W$132,MATCH($B1204&amp;"|"&amp;$C1204,Inputs!$A$5:$A$132,0))</f>
        <v/>
      </c>
      <c r="E1204" s="35">
        <f>INDEX(Inputs!$M$5:$M$132,MATCH($B1204&amp;"|"&amp;$C1204,Inputs!$A$5:$A$132,0))</f>
        <v/>
      </c>
      <c r="F1204" s="39" t="n"/>
      <c r="G1204" s="39" t="n"/>
      <c r="H1204" s="14">
        <f>INDEX(VarLab,MATCH($A1204,VarKey,0))&amp;INDEX(MemLab,MATCH($C1204&amp;"|"&amp;$B1204,MemKey,0))</f>
        <v/>
      </c>
      <c r="I1204" s="14">
        <f>INDEX(VarUnit,MATCH($A1204,VarKey,0))</f>
        <v/>
      </c>
      <c r="J1204" s="14">
        <f>INDEX(VarSrc,MATCH($A1204,VarKey,0))</f>
        <v/>
      </c>
      <c r="K1204" s="11">
        <f>CodePrefix&amp;$A1204&amp;IF($C1204="","","."&amp;$C1204&amp;"."&amp;$B1204)&amp;INDEX(VarEnd,MATCH($A1204,VarKey,0))&amp;K$5</f>
        <v/>
      </c>
      <c r="L1204" s="40">
        <f>INDEX(L$297:L$313,$E1204)*$D1204</f>
        <v/>
      </c>
      <c r="M1204" s="35">
        <f>INDEX(M$297:M$313,$E1204)*$D1204</f>
        <v/>
      </c>
      <c r="N1204" s="35">
        <f>INDEX(N$297:N$313,$E1204)*$D1204</f>
        <v/>
      </c>
      <c r="O1204" s="35">
        <f>INDEX(O$297:O$313,$E1204)*$D1204</f>
        <v/>
      </c>
      <c r="P1204" s="35">
        <f>INDEX(P$297:P$313,$E1204)*$D1204</f>
        <v/>
      </c>
      <c r="Q1204" s="35">
        <f>INDEX(Q$297:Q$313,$E1204)*$D1204</f>
        <v/>
      </c>
      <c r="R1204" s="35">
        <f>INDEX(R$297:R$313,$E1204)*$D1204</f>
        <v/>
      </c>
      <c r="S1204" s="35">
        <f>INDEX(S$297:S$313,$E1204)*$D1204</f>
        <v/>
      </c>
      <c r="T1204" s="35">
        <f>INDEX(T$297:T$313,$E1204)*$D1204</f>
        <v/>
      </c>
      <c r="U1204" s="35">
        <f>INDEX(U$297:U$313,$E1204)*$D1204</f>
        <v/>
      </c>
      <c r="V1204" s="35">
        <f>INDEX(V$297:V$313,$E1204)*$D1204</f>
        <v/>
      </c>
      <c r="W1204" s="35">
        <f>INDEX(W$297:W$313,$E1204)*$D1204</f>
        <v/>
      </c>
      <c r="X1204" s="35">
        <f>INDEX(X$297:X$313,$E1204)*$D1204</f>
        <v/>
      </c>
      <c r="Y1204" s="35">
        <f>INDEX(Y$297:Y$313,$E1204)*$D1204</f>
        <v/>
      </c>
      <c r="Z1204" s="35">
        <f>INDEX(Z$297:Z$313,$E1204)*$D1204</f>
        <v/>
      </c>
      <c r="AA1204" s="35">
        <f>INDEX(AA$297:AA$313,$E1204)*$D1204</f>
        <v/>
      </c>
      <c r="AB1204" s="35">
        <f>INDEX(AB$297:AB$313,$E1204)*$D1204</f>
        <v/>
      </c>
      <c r="AC1204" s="35">
        <f>INDEX(AC$297:AC$313,$E1204)*$D1204</f>
        <v/>
      </c>
      <c r="AD1204" s="35">
        <f>INDEX(AD$297:AD$313,$E1204)*$D1204</f>
        <v/>
      </c>
      <c r="AE1204" s="42">
        <f>SHADOWGJ(INDEX(AE$297:AE$313,$E1204),$D1204)</f>
        <v/>
      </c>
      <c r="AG1204" s="11">
        <f>CodePrefix&amp;$A1204&amp;IF($C1204="","","."&amp;$C1204&amp;"."&amp;$B1204)&amp;INDEX(VarEnd,MATCH($A1204,VarKey,0))&amp;AG$5</f>
        <v/>
      </c>
      <c r="AH1204" s="40">
        <f>INDEX(AH$297:AH$313,$E1204)*$D1204</f>
        <v/>
      </c>
      <c r="AI1204" s="35">
        <f>INDEX(AI$297:AI$313,$E1204)*$D1204</f>
        <v/>
      </c>
      <c r="AJ1204" s="35">
        <f>INDEX(AJ$297:AJ$313,$E1204)*$D1204</f>
        <v/>
      </c>
      <c r="AK1204" s="35">
        <f>INDEX(AK$297:AK$313,$E1204)*$D1204</f>
        <v/>
      </c>
      <c r="AL1204" s="35">
        <f>INDEX(AL$297:AL$313,$E1204)*$D1204</f>
        <v/>
      </c>
      <c r="AM1204" s="35">
        <f>INDEX(AM$297:AM$313,$E1204)*$D1204</f>
        <v/>
      </c>
      <c r="AN1204" s="35">
        <f>INDEX(AN$297:AN$313,$E1204)*$D1204</f>
        <v/>
      </c>
      <c r="AO1204" s="35">
        <f>INDEX(AO$297:AO$313,$E1204)*$D1204</f>
        <v/>
      </c>
      <c r="AP1204" s="35">
        <f>INDEX(AP$297:AP$313,$E1204)*$D1204</f>
        <v/>
      </c>
      <c r="AQ1204" s="35">
        <f>INDEX(AQ$297:AQ$313,$E1204)*$D1204</f>
        <v/>
      </c>
      <c r="AR1204" s="35">
        <f>INDEX(AR$297:AR$313,$E1204)*$D1204</f>
        <v/>
      </c>
      <c r="AS1204" s="35">
        <f>INDEX(AS$297:AS$313,$E1204)*$D1204</f>
        <v/>
      </c>
      <c r="AT1204" s="35">
        <f>INDEX(AT$297:AT$313,$E1204)*$D1204</f>
        <v/>
      </c>
      <c r="AU1204" s="35">
        <f>INDEX(AU$297:AU$313,$E1204)*$D1204</f>
        <v/>
      </c>
      <c r="AV1204" s="35">
        <f>INDEX(AV$297:AV$313,$E1204)*$D1204</f>
        <v/>
      </c>
      <c r="AW1204" s="35">
        <f>INDEX(AW$297:AW$313,$E1204)*$D1204</f>
        <v/>
      </c>
      <c r="AX1204" s="35">
        <f>INDEX(AX$297:AX$313,$E1204)*$D1204</f>
        <v/>
      </c>
      <c r="AY1204" s="35">
        <f>INDEX(AY$297:AY$313,$E1204)*$D1204</f>
        <v/>
      </c>
      <c r="AZ1204" s="35">
        <f>INDEX(AZ$297:AZ$313,$E1204)*$D1204</f>
        <v/>
      </c>
      <c r="BA1204" s="42">
        <f>SHADOWGJ(INDEX(BA$297:BA$313,$E1204),$D1204)</f>
        <v/>
      </c>
    </row>
    <row r="1205" hidden="1" outlineLevel="2">
      <c r="A1205" s="14" t="inlineStr">
        <is>
          <t>shp</t>
        </is>
      </c>
      <c r="B1205" s="14" t="inlineStr">
        <is>
          <t>bio</t>
        </is>
      </c>
      <c r="C1205" s="14" t="inlineStr">
        <is>
          <t>ral</t>
        </is>
      </c>
      <c r="D1205" s="35">
        <f>INDEX(Inputs!$W$5:$W$132,MATCH($B1205&amp;"|"&amp;$C1205,Inputs!$A$5:$A$132,0))</f>
        <v/>
      </c>
      <c r="E1205" s="35">
        <f>INDEX(Inputs!$M$5:$M$132,MATCH($B1205&amp;"|"&amp;$C1205,Inputs!$A$5:$A$132,0))</f>
        <v/>
      </c>
      <c r="F1205" s="39" t="n"/>
      <c r="G1205" s="39" t="n"/>
      <c r="H1205" s="14">
        <f>INDEX(VarLab,MATCH($A1205,VarKey,0))&amp;INDEX(MemLab,MATCH($C1205&amp;"|"&amp;$B1205,MemKey,0))</f>
        <v/>
      </c>
      <c r="I1205" s="14">
        <f>INDEX(VarUnit,MATCH($A1205,VarKey,0))</f>
        <v/>
      </c>
      <c r="J1205" s="14">
        <f>INDEX(VarSrc,MATCH($A1205,VarKey,0))</f>
        <v/>
      </c>
      <c r="K1205" s="11">
        <f>CodePrefix&amp;$A1205&amp;IF($C1205="","","."&amp;$C1205&amp;"."&amp;$B1205)&amp;INDEX(VarEnd,MATCH($A1205,VarKey,0))&amp;K$5</f>
        <v/>
      </c>
      <c r="L1205" s="40">
        <f>INDEX(L$297:L$313,$E1205)*$D1205</f>
        <v/>
      </c>
      <c r="M1205" s="35">
        <f>INDEX(M$297:M$313,$E1205)*$D1205</f>
        <v/>
      </c>
      <c r="N1205" s="35">
        <f>INDEX(N$297:N$313,$E1205)*$D1205</f>
        <v/>
      </c>
      <c r="O1205" s="35">
        <f>INDEX(O$297:O$313,$E1205)*$D1205</f>
        <v/>
      </c>
      <c r="P1205" s="35">
        <f>INDEX(P$297:P$313,$E1205)*$D1205</f>
        <v/>
      </c>
      <c r="Q1205" s="35">
        <f>INDEX(Q$297:Q$313,$E1205)*$D1205</f>
        <v/>
      </c>
      <c r="R1205" s="35">
        <f>INDEX(R$297:R$313,$E1205)*$D1205</f>
        <v/>
      </c>
      <c r="S1205" s="35">
        <f>INDEX(S$297:S$313,$E1205)*$D1205</f>
        <v/>
      </c>
      <c r="T1205" s="35">
        <f>INDEX(T$297:T$313,$E1205)*$D1205</f>
        <v/>
      </c>
      <c r="U1205" s="35">
        <f>INDEX(U$297:U$313,$E1205)*$D1205</f>
        <v/>
      </c>
      <c r="V1205" s="35">
        <f>INDEX(V$297:V$313,$E1205)*$D1205</f>
        <v/>
      </c>
      <c r="W1205" s="35">
        <f>INDEX(W$297:W$313,$E1205)*$D1205</f>
        <v/>
      </c>
      <c r="X1205" s="35">
        <f>INDEX(X$297:X$313,$E1205)*$D1205</f>
        <v/>
      </c>
      <c r="Y1205" s="35">
        <f>INDEX(Y$297:Y$313,$E1205)*$D1205</f>
        <v/>
      </c>
      <c r="Z1205" s="35">
        <f>INDEX(Z$297:Z$313,$E1205)*$D1205</f>
        <v/>
      </c>
      <c r="AA1205" s="35">
        <f>INDEX(AA$297:AA$313,$E1205)*$D1205</f>
        <v/>
      </c>
      <c r="AB1205" s="35">
        <f>INDEX(AB$297:AB$313,$E1205)*$D1205</f>
        <v/>
      </c>
      <c r="AC1205" s="35">
        <f>INDEX(AC$297:AC$313,$E1205)*$D1205</f>
        <v/>
      </c>
      <c r="AD1205" s="35">
        <f>INDEX(AD$297:AD$313,$E1205)*$D1205</f>
        <v/>
      </c>
      <c r="AE1205" s="42">
        <f>SHADOWGJ(INDEX(AE$297:AE$313,$E1205),$D1205)</f>
        <v/>
      </c>
      <c r="AG1205" s="11">
        <f>CodePrefix&amp;$A1205&amp;IF($C1205="","","."&amp;$C1205&amp;"."&amp;$B1205)&amp;INDEX(VarEnd,MATCH($A1205,VarKey,0))&amp;AG$5</f>
        <v/>
      </c>
      <c r="AH1205" s="40">
        <f>INDEX(AH$297:AH$313,$E1205)*$D1205</f>
        <v/>
      </c>
      <c r="AI1205" s="35">
        <f>INDEX(AI$297:AI$313,$E1205)*$D1205</f>
        <v/>
      </c>
      <c r="AJ1205" s="35">
        <f>INDEX(AJ$297:AJ$313,$E1205)*$D1205</f>
        <v/>
      </c>
      <c r="AK1205" s="35">
        <f>INDEX(AK$297:AK$313,$E1205)*$D1205</f>
        <v/>
      </c>
      <c r="AL1205" s="35">
        <f>INDEX(AL$297:AL$313,$E1205)*$D1205</f>
        <v/>
      </c>
      <c r="AM1205" s="35">
        <f>INDEX(AM$297:AM$313,$E1205)*$D1205</f>
        <v/>
      </c>
      <c r="AN1205" s="35">
        <f>INDEX(AN$297:AN$313,$E1205)*$D1205</f>
        <v/>
      </c>
      <c r="AO1205" s="35">
        <f>INDEX(AO$297:AO$313,$E1205)*$D1205</f>
        <v/>
      </c>
      <c r="AP1205" s="35">
        <f>INDEX(AP$297:AP$313,$E1205)*$D1205</f>
        <v/>
      </c>
      <c r="AQ1205" s="35">
        <f>INDEX(AQ$297:AQ$313,$E1205)*$D1205</f>
        <v/>
      </c>
      <c r="AR1205" s="35">
        <f>INDEX(AR$297:AR$313,$E1205)*$D1205</f>
        <v/>
      </c>
      <c r="AS1205" s="35">
        <f>INDEX(AS$297:AS$313,$E1205)*$D1205</f>
        <v/>
      </c>
      <c r="AT1205" s="35">
        <f>INDEX(AT$297:AT$313,$E1205)*$D1205</f>
        <v/>
      </c>
      <c r="AU1205" s="35">
        <f>INDEX(AU$297:AU$313,$E1205)*$D1205</f>
        <v/>
      </c>
      <c r="AV1205" s="35">
        <f>INDEX(AV$297:AV$313,$E1205)*$D1205</f>
        <v/>
      </c>
      <c r="AW1205" s="35">
        <f>INDEX(AW$297:AW$313,$E1205)*$D1205</f>
        <v/>
      </c>
      <c r="AX1205" s="35">
        <f>INDEX(AX$297:AX$313,$E1205)*$D1205</f>
        <v/>
      </c>
      <c r="AY1205" s="35">
        <f>INDEX(AY$297:AY$313,$E1205)*$D1205</f>
        <v/>
      </c>
      <c r="AZ1205" s="35">
        <f>INDEX(AZ$297:AZ$313,$E1205)*$D1205</f>
        <v/>
      </c>
      <c r="BA1205" s="42">
        <f>SHADOWGJ(INDEX(BA$297:BA$313,$E1205),$D1205)</f>
        <v/>
      </c>
    </row>
    <row r="1206" hidden="1" outlineLevel="2"/>
    <row r="1207" hidden="1" outlineLevel="2">
      <c r="A1207" s="14" t="inlineStr">
        <is>
          <t>ener</t>
        </is>
      </c>
      <c r="B1207" s="14" t="inlineStr">
        <is>
          <t>coa</t>
        </is>
      </c>
      <c r="C1207" s="14" t="inlineStr">
        <is>
          <t>ral</t>
        </is>
      </c>
      <c r="D1207" s="35">
        <f>INDEX(Inputs!$O$5:$O$132,MATCH($B1207&amp;"|"&amp;$C1207,Inputs!$A$5:$A$132,0))</f>
        <v/>
      </c>
      <c r="E1207" s="35">
        <f>INDEX(Inputs!$P$5:$P$132,MATCH($B1207&amp;"|"&amp;$C1207,Inputs!$A$5:$A$132,0))</f>
        <v/>
      </c>
      <c r="F1207" s="35">
        <f>INDEX(Inputs!$T$5:$T$132,MATCH($B1207&amp;"|"&amp;$C1207,Inputs!$A$5:$A$132,0))</f>
        <v/>
      </c>
      <c r="G1207" s="35">
        <f>INDEX(Inputs!$S$5:$S$132,MATCH($B1207&amp;"|"&amp;$C1207,Inputs!$A$5:$A$132,0))</f>
        <v/>
      </c>
      <c r="H1207" s="14">
        <f>INDEX(VarLab,MATCH($A1207,VarKey,0))&amp;INDEX(MemLab,MATCH($C1207&amp;"|"&amp;$B1207,MemKey,0))</f>
        <v/>
      </c>
      <c r="I1207" s="14">
        <f>INDEX(VarUnit,MATCH($A1207,VarKey,0))</f>
        <v/>
      </c>
      <c r="J1207" s="14">
        <f>INDEX(VarSrc,MATCH($A1207,VarKey,0))</f>
        <v/>
      </c>
      <c r="K1207" s="11">
        <f>CodePrefix&amp;$A1207&amp;IF($C1207="","","."&amp;$C1207&amp;"."&amp;$B1207)&amp;INDEX(VarEnd,MATCH($A1207,VarKey,0))&amp;K$5</f>
        <v/>
      </c>
      <c r="L1207" s="43">
        <f>INDEX(Inputs!$X$5:$X$132,MATCH($B1207&amp;"|"&amp;$C1207,Inputs!$A$5:$A$132,0))</f>
        <v/>
      </c>
      <c r="M1207" s="44">
        <f>L1207*$G1207*(1+M$7)^$D1207*(M1189/L1189)^$E1207*((M1189+M1198)/(L1189+L1198))^$F1207</f>
        <v/>
      </c>
      <c r="N1207" s="44">
        <f>M1207*$G1207*(1+N$7)^$D1207*(N1189/M1189)^$E1207*((N1189+N1198)/(M1189+M1198))^$F1207</f>
        <v/>
      </c>
      <c r="O1207" s="44">
        <f>N1207*$G1207*(1+O$7)^$D1207*(O1189/N1189)^$E1207*((O1189+O1198)/(N1189+N1198))^$F1207</f>
        <v/>
      </c>
      <c r="P1207" s="44">
        <f>O1207*$G1207*(1+P$7)^$D1207*(P1189/O1189)^$E1207*((P1189+P1198)/(O1189+O1198))^$F1207</f>
        <v/>
      </c>
      <c r="Q1207" s="44">
        <f>P1207*$G1207*(1+Q$7)^$D1207*(Q1189/P1189)^$E1207*((Q1189+Q1198)/(P1189+P1198))^$F1207</f>
        <v/>
      </c>
      <c r="R1207" s="44">
        <f>Q1207*$G1207*(1+R$7)^$D1207*(R1189/Q1189)^$E1207*((R1189+R1198)/(Q1189+Q1198))^$F1207</f>
        <v/>
      </c>
      <c r="S1207" s="44">
        <f>R1207*$G1207*(1+S$7)^$D1207*(S1189/R1189)^$E1207*((S1189+S1198)/(R1189+R1198))^$F1207</f>
        <v/>
      </c>
      <c r="T1207" s="44">
        <f>S1207*$G1207*(1+T$7)^$D1207*(T1189/S1189)^$E1207*((T1189+T1198)/(S1189+S1198))^$F1207</f>
        <v/>
      </c>
      <c r="U1207" s="44">
        <f>T1207*$G1207*(1+U$7)^$D1207*(U1189/T1189)^$E1207*((U1189+U1198)/(T1189+T1198))^$F1207</f>
        <v/>
      </c>
      <c r="V1207" s="44">
        <f>U1207*$G1207*(1+V$7)^$D1207*(V1189/U1189)^$E1207*((V1189+V1198)/(U1189+U1198))^$F1207</f>
        <v/>
      </c>
      <c r="W1207" s="44">
        <f>V1207*$G1207*(1+W$7)^$D1207*(W1189/V1189)^$E1207*((W1189+W1198)/(V1189+V1198))^$F1207</f>
        <v/>
      </c>
      <c r="X1207" s="44">
        <f>W1207*$G1207*(1+X$7)^$D1207*(X1189/W1189)^$E1207*((X1189+X1198)/(W1189+W1198))^$F1207</f>
        <v/>
      </c>
      <c r="Y1207" s="44">
        <f>X1207*$G1207*(1+Y$7)^$D1207*(Y1189/X1189)^$E1207*((Y1189+Y1198)/(X1189+X1198))^$F1207</f>
        <v/>
      </c>
      <c r="Z1207" s="44">
        <f>Y1207*$G1207*(1+Z$7)^$D1207*(Z1189/Y1189)^$E1207*((Z1189+Z1198)/(Y1189+Y1198))^$F1207</f>
        <v/>
      </c>
      <c r="AA1207" s="44">
        <f>Z1207*$G1207*(1+AA$7)^$D1207*(AA1189/Z1189)^$E1207*((AA1189+AA1198)/(Z1189+Z1198))^$F1207</f>
        <v/>
      </c>
      <c r="AB1207" s="44">
        <f>AA1207*$G1207*(1+AB$7)^$D1207*(AB1189/AA1189)^$E1207*((AB1189+AB1198)/(AA1189+AA1198))^$F1207</f>
        <v/>
      </c>
      <c r="AC1207" s="44">
        <f>AB1207*$G1207*(1+AC$7)^$D1207*(AC1189/AB1189)^$E1207*((AC1189+AC1198)/(AB1189+AB1198))^$F1207</f>
        <v/>
      </c>
      <c r="AD1207" s="44">
        <f>AC1207*$G1207*(1+AD$7)^$D1207*(AD1189/AC1189)^$E1207*((AD1189+AD1198)/(AC1189+AC1198))^$F1207</f>
        <v/>
      </c>
      <c r="AE1207" s="57">
        <f>FUELUSE(AD1207,AE1189,AD1189,AE1198,AD1198,AE$7,$D1207,$E1207,$F1207,$G1207)</f>
        <v/>
      </c>
      <c r="AG1207" s="11">
        <f>CodePrefix&amp;$A1207&amp;IF($C1207="","","."&amp;$C1207&amp;"."&amp;$B1207)&amp;INDEX(VarEnd,MATCH($A1207,VarKey,0))&amp;AG$5</f>
        <v/>
      </c>
      <c r="AH1207" s="43">
        <f>INDEX(Inputs!$X$5:$X$132,MATCH($B1207&amp;"|"&amp;$C1207,Inputs!$A$5:$A$132,0))</f>
        <v/>
      </c>
      <c r="AI1207" s="44">
        <f>AH1207*$G1207*(1+AI$7)^$D1207*(AI1189/AH1189)^$E1207*((AI1189+AI1198)/(AH1189+AH1198))^$F1207</f>
        <v/>
      </c>
      <c r="AJ1207" s="44">
        <f>AI1207*$G1207*(1+AJ$7)^$D1207*(AJ1189/AI1189)^$E1207*((AJ1189+AJ1198)/(AI1189+AI1198))^$F1207</f>
        <v/>
      </c>
      <c r="AK1207" s="44">
        <f>AJ1207*$G1207*(1+AK$7)^$D1207*(AK1189/AJ1189)^$E1207*((AK1189+AK1198)/(AJ1189+AJ1198))^$F1207</f>
        <v/>
      </c>
      <c r="AL1207" s="44">
        <f>AK1207*$G1207*(1+AL$7)^$D1207*(AL1189/AK1189)^$E1207*((AL1189+AL1198)/(AK1189+AK1198))^$F1207</f>
        <v/>
      </c>
      <c r="AM1207" s="44">
        <f>AL1207*$G1207*(1+AM$7)^$D1207*(AM1189/AL1189)^$E1207*((AM1189+AM1198)/(AL1189+AL1198))^$F1207</f>
        <v/>
      </c>
      <c r="AN1207" s="44">
        <f>AM1207*$G1207*(1+AN$7)^$D1207*(AN1189/AM1189)^$E1207*((AN1189+AN1198)/(AM1189+AM1198))^$F1207</f>
        <v/>
      </c>
      <c r="AO1207" s="44">
        <f>AN1207*$G1207*(1+AO$7)^$D1207*(AO1189/AN1189)^$E1207*((AO1189+AO1198)/(AN1189+AN1198))^$F1207</f>
        <v/>
      </c>
      <c r="AP1207" s="44">
        <f>AO1207*$G1207*(1+AP$7)^$D1207*(AP1189/AO1189)^$E1207*((AP1189+AP1198)/(AO1189+AO1198))^$F1207</f>
        <v/>
      </c>
      <c r="AQ1207" s="44">
        <f>AP1207*$G1207*(1+AQ$7)^$D1207*(AQ1189/AP1189)^$E1207*((AQ1189+AQ1198)/(AP1189+AP1198))^$F1207</f>
        <v/>
      </c>
      <c r="AR1207" s="44">
        <f>AQ1207*$G1207*(1+AR$7)^$D1207*(AR1189/AQ1189)^$E1207*((AR1189+AR1198)/(AQ1189+AQ1198))^$F1207</f>
        <v/>
      </c>
      <c r="AS1207" s="44">
        <f>AR1207*$G1207*(1+AS$7)^$D1207*(AS1189/AR1189)^$E1207*((AS1189+AS1198)/(AR1189+AR1198))^$F1207</f>
        <v/>
      </c>
      <c r="AT1207" s="44">
        <f>AS1207*$G1207*(1+AT$7)^$D1207*(AT1189/AS1189)^$E1207*((AT1189+AT1198)/(AS1189+AS1198))^$F1207</f>
        <v/>
      </c>
      <c r="AU1207" s="44">
        <f>AT1207*$G1207*(1+AU$7)^$D1207*(AU1189/AT1189)^$E1207*((AU1189+AU1198)/(AT1189+AT1198))^$F1207</f>
        <v/>
      </c>
      <c r="AV1207" s="44">
        <f>AU1207*$G1207*(1+AV$7)^$D1207*(AV1189/AU1189)^$E1207*((AV1189+AV1198)/(AU1189+AU1198))^$F1207</f>
        <v/>
      </c>
      <c r="AW1207" s="44">
        <f>AV1207*$G1207*(1+AW$7)^$D1207*(AW1189/AV1189)^$E1207*((AW1189+AW1198)/(AV1189+AV1198))^$F1207</f>
        <v/>
      </c>
      <c r="AX1207" s="44">
        <f>AW1207*$G1207*(1+AX$7)^$D1207*(AX1189/AW1189)^$E1207*((AX1189+AX1198)/(AW1189+AW1198))^$F1207</f>
        <v/>
      </c>
      <c r="AY1207" s="44">
        <f>AX1207*$G1207*(1+AY$7)^$D1207*(AY1189/AX1189)^$E1207*((AY1189+AY1198)/(AX1189+AX1198))^$F1207</f>
        <v/>
      </c>
      <c r="AZ1207" s="44">
        <f>AY1207*$G1207*(1+AZ$7)^$D1207*(AZ1189/AY1189)^$E1207*((AZ1189+AZ1198)/(AY1189+AY1198))^$F1207</f>
        <v/>
      </c>
      <c r="BA1207" s="57">
        <f>FUELUSE(AZ1207,BA1189,AZ1189,BA1198,AZ1198,BA$7,$D1207,$E1207,$F1207,$G1207)</f>
        <v/>
      </c>
    </row>
    <row r="1208" hidden="1" outlineLevel="2">
      <c r="A1208" s="14" t="inlineStr">
        <is>
          <t>ener</t>
        </is>
      </c>
      <c r="B1208" s="14" t="inlineStr">
        <is>
          <t>nga</t>
        </is>
      </c>
      <c r="C1208" s="14" t="inlineStr">
        <is>
          <t>ral</t>
        </is>
      </c>
      <c r="D1208" s="35">
        <f>INDEX(Inputs!$O$5:$O$132,MATCH($B1208&amp;"|"&amp;$C1208,Inputs!$A$5:$A$132,0))</f>
        <v/>
      </c>
      <c r="E1208" s="35">
        <f>INDEX(Inputs!$P$5:$P$132,MATCH($B1208&amp;"|"&amp;$C1208,Inputs!$A$5:$A$132,0))</f>
        <v/>
      </c>
      <c r="F1208" s="35">
        <f>INDEX(Inputs!$T$5:$T$132,MATCH($B1208&amp;"|"&amp;$C1208,Inputs!$A$5:$A$132,0))</f>
        <v/>
      </c>
      <c r="G1208" s="35">
        <f>INDEX(Inputs!$S$5:$S$132,MATCH($B1208&amp;"|"&amp;$C1208,Inputs!$A$5:$A$132,0))</f>
        <v/>
      </c>
      <c r="H1208" s="14">
        <f>INDEX(VarLab,MATCH($A1208,VarKey,0))&amp;INDEX(MemLab,MATCH($C1208&amp;"|"&amp;$B1208,MemKey,0))</f>
        <v/>
      </c>
      <c r="I1208" s="14">
        <f>INDEX(VarUnit,MATCH($A1208,VarKey,0))</f>
        <v/>
      </c>
      <c r="J1208" s="14">
        <f>INDEX(VarSrc,MATCH($A1208,VarKey,0))</f>
        <v/>
      </c>
      <c r="K1208" s="11">
        <f>CodePrefix&amp;$A1208&amp;IF($C1208="","","."&amp;$C1208&amp;"."&amp;$B1208)&amp;INDEX(VarEnd,MATCH($A1208,VarKey,0))&amp;K$5</f>
        <v/>
      </c>
      <c r="L1208" s="43">
        <f>INDEX(Inputs!$X$5:$X$132,MATCH($B1208&amp;"|"&amp;$C1208,Inputs!$A$5:$A$132,0))</f>
        <v/>
      </c>
      <c r="M1208" s="44">
        <f>L1208*$G1208*(1+M$7)^$D1208*(M1190/L1190)^$E1208*((M1190+M1199)/(L1190+L1199))^$F1208</f>
        <v/>
      </c>
      <c r="N1208" s="44">
        <f>M1208*$G1208*(1+N$7)^$D1208*(N1190/M1190)^$E1208*((N1190+N1199)/(M1190+M1199))^$F1208</f>
        <v/>
      </c>
      <c r="O1208" s="44">
        <f>N1208*$G1208*(1+O$7)^$D1208*(O1190/N1190)^$E1208*((O1190+O1199)/(N1190+N1199))^$F1208</f>
        <v/>
      </c>
      <c r="P1208" s="44">
        <f>O1208*$G1208*(1+P$7)^$D1208*(P1190/O1190)^$E1208*((P1190+P1199)/(O1190+O1199))^$F1208</f>
        <v/>
      </c>
      <c r="Q1208" s="44">
        <f>P1208*$G1208*(1+Q$7)^$D1208*(Q1190/P1190)^$E1208*((Q1190+Q1199)/(P1190+P1199))^$F1208</f>
        <v/>
      </c>
      <c r="R1208" s="44">
        <f>Q1208*$G1208*(1+R$7)^$D1208*(R1190/Q1190)^$E1208*((R1190+R1199)/(Q1190+Q1199))^$F1208</f>
        <v/>
      </c>
      <c r="S1208" s="44">
        <f>R1208*$G1208*(1+S$7)^$D1208*(S1190/R1190)^$E1208*((S1190+S1199)/(R1190+R1199))^$F1208</f>
        <v/>
      </c>
      <c r="T1208" s="44">
        <f>S1208*$G1208*(1+T$7)^$D1208*(T1190/S1190)^$E1208*((T1190+T1199)/(S1190+S1199))^$F1208</f>
        <v/>
      </c>
      <c r="U1208" s="44">
        <f>T1208*$G1208*(1+U$7)^$D1208*(U1190/T1190)^$E1208*((U1190+U1199)/(T1190+T1199))^$F1208</f>
        <v/>
      </c>
      <c r="V1208" s="44">
        <f>U1208*$G1208*(1+V$7)^$D1208*(V1190/U1190)^$E1208*((V1190+V1199)/(U1190+U1199))^$F1208</f>
        <v/>
      </c>
      <c r="W1208" s="44">
        <f>V1208*$G1208*(1+W$7)^$D1208*(W1190/V1190)^$E1208*((W1190+W1199)/(V1190+V1199))^$F1208</f>
        <v/>
      </c>
      <c r="X1208" s="44">
        <f>W1208*$G1208*(1+X$7)^$D1208*(X1190/W1190)^$E1208*((X1190+X1199)/(W1190+W1199))^$F1208</f>
        <v/>
      </c>
      <c r="Y1208" s="44">
        <f>X1208*$G1208*(1+Y$7)^$D1208*(Y1190/X1190)^$E1208*((Y1190+Y1199)/(X1190+X1199))^$F1208</f>
        <v/>
      </c>
      <c r="Z1208" s="44">
        <f>Y1208*$G1208*(1+Z$7)^$D1208*(Z1190/Y1190)^$E1208*((Z1190+Z1199)/(Y1190+Y1199))^$F1208</f>
        <v/>
      </c>
      <c r="AA1208" s="44">
        <f>Z1208*$G1208*(1+AA$7)^$D1208*(AA1190/Z1190)^$E1208*((AA1190+AA1199)/(Z1190+Z1199))^$F1208</f>
        <v/>
      </c>
      <c r="AB1208" s="44">
        <f>AA1208*$G1208*(1+AB$7)^$D1208*(AB1190/AA1190)^$E1208*((AB1190+AB1199)/(AA1190+AA1199))^$F1208</f>
        <v/>
      </c>
      <c r="AC1208" s="44">
        <f>AB1208*$G1208*(1+AC$7)^$D1208*(AC1190/AB1190)^$E1208*((AC1190+AC1199)/(AB1190+AB1199))^$F1208</f>
        <v/>
      </c>
      <c r="AD1208" s="44">
        <f>AC1208*$G1208*(1+AD$7)^$D1208*(AD1190/AC1190)^$E1208*((AD1190+AD1199)/(AC1190+AC1199))^$F1208</f>
        <v/>
      </c>
      <c r="AE1208" s="57">
        <f>FUELUSE(AD1208,AE1190,AD1190,AE1199,AD1199,AE$7,$D1208,$E1208,$F1208,$G1208)</f>
        <v/>
      </c>
      <c r="AG1208" s="11">
        <f>CodePrefix&amp;$A1208&amp;IF($C1208="","","."&amp;$C1208&amp;"."&amp;$B1208)&amp;INDEX(VarEnd,MATCH($A1208,VarKey,0))&amp;AG$5</f>
        <v/>
      </c>
      <c r="AH1208" s="43">
        <f>INDEX(Inputs!$X$5:$X$132,MATCH($B1208&amp;"|"&amp;$C1208,Inputs!$A$5:$A$132,0))</f>
        <v/>
      </c>
      <c r="AI1208" s="44">
        <f>AH1208*$G1208*(1+AI$7)^$D1208*(AI1190/AH1190)^$E1208*((AI1190+AI1199)/(AH1190+AH1199))^$F1208</f>
        <v/>
      </c>
      <c r="AJ1208" s="44">
        <f>AI1208*$G1208*(1+AJ$7)^$D1208*(AJ1190/AI1190)^$E1208*((AJ1190+AJ1199)/(AI1190+AI1199))^$F1208</f>
        <v/>
      </c>
      <c r="AK1208" s="44">
        <f>AJ1208*$G1208*(1+AK$7)^$D1208*(AK1190/AJ1190)^$E1208*((AK1190+AK1199)/(AJ1190+AJ1199))^$F1208</f>
        <v/>
      </c>
      <c r="AL1208" s="44">
        <f>AK1208*$G1208*(1+AL$7)^$D1208*(AL1190/AK1190)^$E1208*((AL1190+AL1199)/(AK1190+AK1199))^$F1208</f>
        <v/>
      </c>
      <c r="AM1208" s="44">
        <f>AL1208*$G1208*(1+AM$7)^$D1208*(AM1190/AL1190)^$E1208*((AM1190+AM1199)/(AL1190+AL1199))^$F1208</f>
        <v/>
      </c>
      <c r="AN1208" s="44">
        <f>AM1208*$G1208*(1+AN$7)^$D1208*(AN1190/AM1190)^$E1208*((AN1190+AN1199)/(AM1190+AM1199))^$F1208</f>
        <v/>
      </c>
      <c r="AO1208" s="44">
        <f>AN1208*$G1208*(1+AO$7)^$D1208*(AO1190/AN1190)^$E1208*((AO1190+AO1199)/(AN1190+AN1199))^$F1208</f>
        <v/>
      </c>
      <c r="AP1208" s="44">
        <f>AO1208*$G1208*(1+AP$7)^$D1208*(AP1190/AO1190)^$E1208*((AP1190+AP1199)/(AO1190+AO1199))^$F1208</f>
        <v/>
      </c>
      <c r="AQ1208" s="44">
        <f>AP1208*$G1208*(1+AQ$7)^$D1208*(AQ1190/AP1190)^$E1208*((AQ1190+AQ1199)/(AP1190+AP1199))^$F1208</f>
        <v/>
      </c>
      <c r="AR1208" s="44">
        <f>AQ1208*$G1208*(1+AR$7)^$D1208*(AR1190/AQ1190)^$E1208*((AR1190+AR1199)/(AQ1190+AQ1199))^$F1208</f>
        <v/>
      </c>
      <c r="AS1208" s="44">
        <f>AR1208*$G1208*(1+AS$7)^$D1208*(AS1190/AR1190)^$E1208*((AS1190+AS1199)/(AR1190+AR1199))^$F1208</f>
        <v/>
      </c>
      <c r="AT1208" s="44">
        <f>AS1208*$G1208*(1+AT$7)^$D1208*(AT1190/AS1190)^$E1208*((AT1190+AT1199)/(AS1190+AS1199))^$F1208</f>
        <v/>
      </c>
      <c r="AU1208" s="44">
        <f>AT1208*$G1208*(1+AU$7)^$D1208*(AU1190/AT1190)^$E1208*((AU1190+AU1199)/(AT1190+AT1199))^$F1208</f>
        <v/>
      </c>
      <c r="AV1208" s="44">
        <f>AU1208*$G1208*(1+AV$7)^$D1208*(AV1190/AU1190)^$E1208*((AV1190+AV1199)/(AU1190+AU1199))^$F1208</f>
        <v/>
      </c>
      <c r="AW1208" s="44">
        <f>AV1208*$G1208*(1+AW$7)^$D1208*(AW1190/AV1190)^$E1208*((AW1190+AW1199)/(AV1190+AV1199))^$F1208</f>
        <v/>
      </c>
      <c r="AX1208" s="44">
        <f>AW1208*$G1208*(1+AX$7)^$D1208*(AX1190/AW1190)^$E1208*((AX1190+AX1199)/(AW1190+AW1199))^$F1208</f>
        <v/>
      </c>
      <c r="AY1208" s="44">
        <f>AX1208*$G1208*(1+AY$7)^$D1208*(AY1190/AX1190)^$E1208*((AY1190+AY1199)/(AX1190+AX1199))^$F1208</f>
        <v/>
      </c>
      <c r="AZ1208" s="44">
        <f>AY1208*$G1208*(1+AZ$7)^$D1208*(AZ1190/AY1190)^$E1208*((AZ1190+AZ1199)/(AY1190+AY1199))^$F1208</f>
        <v/>
      </c>
      <c r="BA1208" s="57">
        <f>FUELUSE(AZ1208,BA1190,AZ1190,BA1199,AZ1199,BA$7,$D1208,$E1208,$F1208,$G1208)</f>
        <v/>
      </c>
    </row>
    <row r="1209" hidden="1" outlineLevel="2">
      <c r="A1209" s="14" t="inlineStr">
        <is>
          <t>ener</t>
        </is>
      </c>
      <c r="B1209" s="14" t="inlineStr">
        <is>
          <t>gso</t>
        </is>
      </c>
      <c r="C1209" s="14" t="inlineStr">
        <is>
          <t>ral</t>
        </is>
      </c>
      <c r="D1209" s="35">
        <f>INDEX(Inputs!$O$5:$O$132,MATCH($B1209&amp;"|"&amp;$C1209,Inputs!$A$5:$A$132,0))</f>
        <v/>
      </c>
      <c r="E1209" s="35">
        <f>INDEX(Inputs!$P$5:$P$132,MATCH($B1209&amp;"|"&amp;$C1209,Inputs!$A$5:$A$132,0))</f>
        <v/>
      </c>
      <c r="F1209" s="35">
        <f>INDEX(Inputs!$T$5:$T$132,MATCH($B1209&amp;"|"&amp;$C1209,Inputs!$A$5:$A$132,0))</f>
        <v/>
      </c>
      <c r="G1209" s="35">
        <f>INDEX(Inputs!$S$5:$S$132,MATCH($B1209&amp;"|"&amp;$C1209,Inputs!$A$5:$A$132,0))</f>
        <v/>
      </c>
      <c r="H1209" s="14">
        <f>INDEX(VarLab,MATCH($A1209,VarKey,0))&amp;INDEX(MemLab,MATCH($C1209&amp;"|"&amp;$B1209,MemKey,0))</f>
        <v/>
      </c>
      <c r="I1209" s="14">
        <f>INDEX(VarUnit,MATCH($A1209,VarKey,0))</f>
        <v/>
      </c>
      <c r="J1209" s="14">
        <f>INDEX(VarSrc,MATCH($A1209,VarKey,0))</f>
        <v/>
      </c>
      <c r="K1209" s="11">
        <f>CodePrefix&amp;$A1209&amp;IF($C1209="","","."&amp;$C1209&amp;"."&amp;$B1209)&amp;INDEX(VarEnd,MATCH($A1209,VarKey,0))&amp;K$5</f>
        <v/>
      </c>
      <c r="L1209" s="43">
        <f>INDEX(Inputs!$X$5:$X$132,MATCH($B1209&amp;"|"&amp;$C1209,Inputs!$A$5:$A$132,0))</f>
        <v/>
      </c>
      <c r="M1209" s="44">
        <f>L1209*$G1209*(1+M$7)^$D1209*(M1191/L1191)^$E1209*((M1191+M1200)/(L1191+L1200))^$F1209</f>
        <v/>
      </c>
      <c r="N1209" s="44">
        <f>M1209*$G1209*(1+N$7)^$D1209*(N1191/M1191)^$E1209*((N1191+N1200)/(M1191+M1200))^$F1209</f>
        <v/>
      </c>
      <c r="O1209" s="44">
        <f>N1209*$G1209*(1+O$7)^$D1209*(O1191/N1191)^$E1209*((O1191+O1200)/(N1191+N1200))^$F1209</f>
        <v/>
      </c>
      <c r="P1209" s="44">
        <f>O1209*$G1209*(1+P$7)^$D1209*(P1191/O1191)^$E1209*((P1191+P1200)/(O1191+O1200))^$F1209</f>
        <v/>
      </c>
      <c r="Q1209" s="44">
        <f>P1209*$G1209*(1+Q$7)^$D1209*(Q1191/P1191)^$E1209*((Q1191+Q1200)/(P1191+P1200))^$F1209</f>
        <v/>
      </c>
      <c r="R1209" s="44">
        <f>Q1209*$G1209*(1+R$7)^$D1209*(R1191/Q1191)^$E1209*((R1191+R1200)/(Q1191+Q1200))^$F1209</f>
        <v/>
      </c>
      <c r="S1209" s="44">
        <f>R1209*$G1209*(1+S$7)^$D1209*(S1191/R1191)^$E1209*((S1191+S1200)/(R1191+R1200))^$F1209</f>
        <v/>
      </c>
      <c r="T1209" s="44">
        <f>S1209*$G1209*(1+T$7)^$D1209*(T1191/S1191)^$E1209*((T1191+T1200)/(S1191+S1200))^$F1209</f>
        <v/>
      </c>
      <c r="U1209" s="44">
        <f>T1209*$G1209*(1+U$7)^$D1209*(U1191/T1191)^$E1209*((U1191+U1200)/(T1191+T1200))^$F1209</f>
        <v/>
      </c>
      <c r="V1209" s="44">
        <f>U1209*$G1209*(1+V$7)^$D1209*(V1191/U1191)^$E1209*((V1191+V1200)/(U1191+U1200))^$F1209</f>
        <v/>
      </c>
      <c r="W1209" s="44">
        <f>V1209*$G1209*(1+W$7)^$D1209*(W1191/V1191)^$E1209*((W1191+W1200)/(V1191+V1200))^$F1209</f>
        <v/>
      </c>
      <c r="X1209" s="44">
        <f>W1209*$G1209*(1+X$7)^$D1209*(X1191/W1191)^$E1209*((X1191+X1200)/(W1191+W1200))^$F1209</f>
        <v/>
      </c>
      <c r="Y1209" s="44">
        <f>X1209*$G1209*(1+Y$7)^$D1209*(Y1191/X1191)^$E1209*((Y1191+Y1200)/(X1191+X1200))^$F1209</f>
        <v/>
      </c>
      <c r="Z1209" s="44">
        <f>Y1209*$G1209*(1+Z$7)^$D1209*(Z1191/Y1191)^$E1209*((Z1191+Z1200)/(Y1191+Y1200))^$F1209</f>
        <v/>
      </c>
      <c r="AA1209" s="44">
        <f>Z1209*$G1209*(1+AA$7)^$D1209*(AA1191/Z1191)^$E1209*((AA1191+AA1200)/(Z1191+Z1200))^$F1209</f>
        <v/>
      </c>
      <c r="AB1209" s="44">
        <f>AA1209*$G1209*(1+AB$7)^$D1209*(AB1191/AA1191)^$E1209*((AB1191+AB1200)/(AA1191+AA1200))^$F1209</f>
        <v/>
      </c>
      <c r="AC1209" s="44">
        <f>AB1209*$G1209*(1+AC$7)^$D1209*(AC1191/AB1191)^$E1209*((AC1191+AC1200)/(AB1191+AB1200))^$F1209</f>
        <v/>
      </c>
      <c r="AD1209" s="44">
        <f>AC1209*$G1209*(1+AD$7)^$D1209*(AD1191/AC1191)^$E1209*((AD1191+AD1200)/(AC1191+AC1200))^$F1209</f>
        <v/>
      </c>
      <c r="AE1209" s="57">
        <f>FUELUSE(AD1209,AE1191,AD1191,AE1200,AD1200,AE$7,$D1209,$E1209,$F1209,$G1209)</f>
        <v/>
      </c>
      <c r="AG1209" s="11">
        <f>CodePrefix&amp;$A1209&amp;IF($C1209="","","."&amp;$C1209&amp;"."&amp;$B1209)&amp;INDEX(VarEnd,MATCH($A1209,VarKey,0))&amp;AG$5</f>
        <v/>
      </c>
      <c r="AH1209" s="43">
        <f>INDEX(Inputs!$X$5:$X$132,MATCH($B1209&amp;"|"&amp;$C1209,Inputs!$A$5:$A$132,0))</f>
        <v/>
      </c>
      <c r="AI1209" s="44">
        <f>AH1209*$G1209*(1+AI$7)^$D1209*(AI1191/AH1191)^$E1209*((AI1191+AI1200)/(AH1191+AH1200))^$F1209</f>
        <v/>
      </c>
      <c r="AJ1209" s="44">
        <f>AI1209*$G1209*(1+AJ$7)^$D1209*(AJ1191/AI1191)^$E1209*((AJ1191+AJ1200)/(AI1191+AI1200))^$F1209</f>
        <v/>
      </c>
      <c r="AK1209" s="44">
        <f>AJ1209*$G1209*(1+AK$7)^$D1209*(AK1191/AJ1191)^$E1209*((AK1191+AK1200)/(AJ1191+AJ1200))^$F1209</f>
        <v/>
      </c>
      <c r="AL1209" s="44">
        <f>AK1209*$G1209*(1+AL$7)^$D1209*(AL1191/AK1191)^$E1209*((AL1191+AL1200)/(AK1191+AK1200))^$F1209</f>
        <v/>
      </c>
      <c r="AM1209" s="44">
        <f>AL1209*$G1209*(1+AM$7)^$D1209*(AM1191/AL1191)^$E1209*((AM1191+AM1200)/(AL1191+AL1200))^$F1209</f>
        <v/>
      </c>
      <c r="AN1209" s="44">
        <f>AM1209*$G1209*(1+AN$7)^$D1209*(AN1191/AM1191)^$E1209*((AN1191+AN1200)/(AM1191+AM1200))^$F1209</f>
        <v/>
      </c>
      <c r="AO1209" s="44">
        <f>AN1209*$G1209*(1+AO$7)^$D1209*(AO1191/AN1191)^$E1209*((AO1191+AO1200)/(AN1191+AN1200))^$F1209</f>
        <v/>
      </c>
      <c r="AP1209" s="44">
        <f>AO1209*$G1209*(1+AP$7)^$D1209*(AP1191/AO1191)^$E1209*((AP1191+AP1200)/(AO1191+AO1200))^$F1209</f>
        <v/>
      </c>
      <c r="AQ1209" s="44">
        <f>AP1209*$G1209*(1+AQ$7)^$D1209*(AQ1191/AP1191)^$E1209*((AQ1191+AQ1200)/(AP1191+AP1200))^$F1209</f>
        <v/>
      </c>
      <c r="AR1209" s="44">
        <f>AQ1209*$G1209*(1+AR$7)^$D1209*(AR1191/AQ1191)^$E1209*((AR1191+AR1200)/(AQ1191+AQ1200))^$F1209</f>
        <v/>
      </c>
      <c r="AS1209" s="44">
        <f>AR1209*$G1209*(1+AS$7)^$D1209*(AS1191/AR1191)^$E1209*((AS1191+AS1200)/(AR1191+AR1200))^$F1209</f>
        <v/>
      </c>
      <c r="AT1209" s="44">
        <f>AS1209*$G1209*(1+AT$7)^$D1209*(AT1191/AS1191)^$E1209*((AT1191+AT1200)/(AS1191+AS1200))^$F1209</f>
        <v/>
      </c>
      <c r="AU1209" s="44">
        <f>AT1209*$G1209*(1+AU$7)^$D1209*(AU1191/AT1191)^$E1209*((AU1191+AU1200)/(AT1191+AT1200))^$F1209</f>
        <v/>
      </c>
      <c r="AV1209" s="44">
        <f>AU1209*$G1209*(1+AV$7)^$D1209*(AV1191/AU1191)^$E1209*((AV1191+AV1200)/(AU1191+AU1200))^$F1209</f>
        <v/>
      </c>
      <c r="AW1209" s="44">
        <f>AV1209*$G1209*(1+AW$7)^$D1209*(AW1191/AV1191)^$E1209*((AW1191+AW1200)/(AV1191+AV1200))^$F1209</f>
        <v/>
      </c>
      <c r="AX1209" s="44">
        <f>AW1209*$G1209*(1+AX$7)^$D1209*(AX1191/AW1191)^$E1209*((AX1191+AX1200)/(AW1191+AW1200))^$F1209</f>
        <v/>
      </c>
      <c r="AY1209" s="44">
        <f>AX1209*$G1209*(1+AY$7)^$D1209*(AY1191/AX1191)^$E1209*((AY1191+AY1200)/(AX1191+AX1200))^$F1209</f>
        <v/>
      </c>
      <c r="AZ1209" s="44">
        <f>AY1209*$G1209*(1+AZ$7)^$D1209*(AZ1191/AY1191)^$E1209*((AZ1191+AZ1200)/(AY1191+AY1200))^$F1209</f>
        <v/>
      </c>
      <c r="BA1209" s="57">
        <f>FUELUSE(AZ1209,BA1191,AZ1191,BA1200,AZ1200,BA$7,$D1209,$E1209,$F1209,$G1209)</f>
        <v/>
      </c>
    </row>
    <row r="1210" hidden="1" outlineLevel="2">
      <c r="A1210" s="14" t="inlineStr">
        <is>
          <t>ener</t>
        </is>
      </c>
      <c r="B1210" s="14" t="inlineStr">
        <is>
          <t>die</t>
        </is>
      </c>
      <c r="C1210" s="14" t="inlineStr">
        <is>
          <t>ral</t>
        </is>
      </c>
      <c r="D1210" s="35">
        <f>INDEX(Inputs!$O$5:$O$132,MATCH($B1210&amp;"|"&amp;$C1210,Inputs!$A$5:$A$132,0))</f>
        <v/>
      </c>
      <c r="E1210" s="35">
        <f>INDEX(Inputs!$P$5:$P$132,MATCH($B1210&amp;"|"&amp;$C1210,Inputs!$A$5:$A$132,0))</f>
        <v/>
      </c>
      <c r="F1210" s="35">
        <f>INDEX(Inputs!$T$5:$T$132,MATCH($B1210&amp;"|"&amp;$C1210,Inputs!$A$5:$A$132,0))</f>
        <v/>
      </c>
      <c r="G1210" s="35">
        <f>INDEX(Inputs!$S$5:$S$132,MATCH($B1210&amp;"|"&amp;$C1210,Inputs!$A$5:$A$132,0))</f>
        <v/>
      </c>
      <c r="H1210" s="14">
        <f>INDEX(VarLab,MATCH($A1210,VarKey,0))&amp;INDEX(MemLab,MATCH($C1210&amp;"|"&amp;$B1210,MemKey,0))</f>
        <v/>
      </c>
      <c r="I1210" s="14">
        <f>INDEX(VarUnit,MATCH($A1210,VarKey,0))</f>
        <v/>
      </c>
      <c r="J1210" s="14">
        <f>INDEX(VarSrc,MATCH($A1210,VarKey,0))</f>
        <v/>
      </c>
      <c r="K1210" s="11">
        <f>CodePrefix&amp;$A1210&amp;IF($C1210="","","."&amp;$C1210&amp;"."&amp;$B1210)&amp;INDEX(VarEnd,MATCH($A1210,VarKey,0))&amp;K$5</f>
        <v/>
      </c>
      <c r="L1210" s="43">
        <f>INDEX(Inputs!$X$5:$X$132,MATCH($B1210&amp;"|"&amp;$C1210,Inputs!$A$5:$A$132,0))</f>
        <v/>
      </c>
      <c r="M1210" s="44">
        <f>L1210*$G1210*(1+M$7)^$D1210*(M1192/L1192)^$E1210*((M1192+M1201)/(L1192+L1201))^$F1210</f>
        <v/>
      </c>
      <c r="N1210" s="44">
        <f>M1210*$G1210*(1+N$7)^$D1210*(N1192/M1192)^$E1210*((N1192+N1201)/(M1192+M1201))^$F1210</f>
        <v/>
      </c>
      <c r="O1210" s="44">
        <f>N1210*$G1210*(1+O$7)^$D1210*(O1192/N1192)^$E1210*((O1192+O1201)/(N1192+N1201))^$F1210</f>
        <v/>
      </c>
      <c r="P1210" s="44">
        <f>O1210*$G1210*(1+P$7)^$D1210*(P1192/O1192)^$E1210*((P1192+P1201)/(O1192+O1201))^$F1210</f>
        <v/>
      </c>
      <c r="Q1210" s="44">
        <f>P1210*$G1210*(1+Q$7)^$D1210*(Q1192/P1192)^$E1210*((Q1192+Q1201)/(P1192+P1201))^$F1210</f>
        <v/>
      </c>
      <c r="R1210" s="44">
        <f>Q1210*$G1210*(1+R$7)^$D1210*(R1192/Q1192)^$E1210*((R1192+R1201)/(Q1192+Q1201))^$F1210</f>
        <v/>
      </c>
      <c r="S1210" s="44">
        <f>R1210*$G1210*(1+S$7)^$D1210*(S1192/R1192)^$E1210*((S1192+S1201)/(R1192+R1201))^$F1210</f>
        <v/>
      </c>
      <c r="T1210" s="44">
        <f>S1210*$G1210*(1+T$7)^$D1210*(T1192/S1192)^$E1210*((T1192+T1201)/(S1192+S1201))^$F1210</f>
        <v/>
      </c>
      <c r="U1210" s="44">
        <f>T1210*$G1210*(1+U$7)^$D1210*(U1192/T1192)^$E1210*((U1192+U1201)/(T1192+T1201))^$F1210</f>
        <v/>
      </c>
      <c r="V1210" s="44">
        <f>U1210*$G1210*(1+V$7)^$D1210*(V1192/U1192)^$E1210*((V1192+V1201)/(U1192+U1201))^$F1210</f>
        <v/>
      </c>
      <c r="W1210" s="44">
        <f>V1210*$G1210*(1+W$7)^$D1210*(W1192/V1192)^$E1210*((W1192+W1201)/(V1192+V1201))^$F1210</f>
        <v/>
      </c>
      <c r="X1210" s="44">
        <f>W1210*$G1210*(1+X$7)^$D1210*(X1192/W1192)^$E1210*((X1192+X1201)/(W1192+W1201))^$F1210</f>
        <v/>
      </c>
      <c r="Y1210" s="44">
        <f>X1210*$G1210*(1+Y$7)^$D1210*(Y1192/X1192)^$E1210*((Y1192+Y1201)/(X1192+X1201))^$F1210</f>
        <v/>
      </c>
      <c r="Z1210" s="44">
        <f>Y1210*$G1210*(1+Z$7)^$D1210*(Z1192/Y1192)^$E1210*((Z1192+Z1201)/(Y1192+Y1201))^$F1210</f>
        <v/>
      </c>
      <c r="AA1210" s="44">
        <f>Z1210*$G1210*(1+AA$7)^$D1210*(AA1192/Z1192)^$E1210*((AA1192+AA1201)/(Z1192+Z1201))^$F1210</f>
        <v/>
      </c>
      <c r="AB1210" s="44">
        <f>AA1210*$G1210*(1+AB$7)^$D1210*(AB1192/AA1192)^$E1210*((AB1192+AB1201)/(AA1192+AA1201))^$F1210</f>
        <v/>
      </c>
      <c r="AC1210" s="44">
        <f>AB1210*$G1210*(1+AC$7)^$D1210*(AC1192/AB1192)^$E1210*((AC1192+AC1201)/(AB1192+AB1201))^$F1210</f>
        <v/>
      </c>
      <c r="AD1210" s="44">
        <f>AC1210*$G1210*(1+AD$7)^$D1210*(AD1192/AC1192)^$E1210*((AD1192+AD1201)/(AC1192+AC1201))^$F1210</f>
        <v/>
      </c>
      <c r="AE1210" s="57">
        <f>FUELUSE(AD1210,AE1192,AD1192,AE1201,AD1201,AE$7,$D1210,$E1210,$F1210,$G1210)</f>
        <v/>
      </c>
      <c r="AG1210" s="11">
        <f>CodePrefix&amp;$A1210&amp;IF($C1210="","","."&amp;$C1210&amp;"."&amp;$B1210)&amp;INDEX(VarEnd,MATCH($A1210,VarKey,0))&amp;AG$5</f>
        <v/>
      </c>
      <c r="AH1210" s="43">
        <f>INDEX(Inputs!$X$5:$X$132,MATCH($B1210&amp;"|"&amp;$C1210,Inputs!$A$5:$A$132,0))</f>
        <v/>
      </c>
      <c r="AI1210" s="44">
        <f>AH1210*$G1210*(1+AI$7)^$D1210*(AI1192/AH1192)^$E1210*((AI1192+AI1201)/(AH1192+AH1201))^$F1210</f>
        <v/>
      </c>
      <c r="AJ1210" s="44">
        <f>AI1210*$G1210*(1+AJ$7)^$D1210*(AJ1192/AI1192)^$E1210*((AJ1192+AJ1201)/(AI1192+AI1201))^$F1210</f>
        <v/>
      </c>
      <c r="AK1210" s="44">
        <f>AJ1210*$G1210*(1+AK$7)^$D1210*(AK1192/AJ1192)^$E1210*((AK1192+AK1201)/(AJ1192+AJ1201))^$F1210</f>
        <v/>
      </c>
      <c r="AL1210" s="44">
        <f>AK1210*$G1210*(1+AL$7)^$D1210*(AL1192/AK1192)^$E1210*((AL1192+AL1201)/(AK1192+AK1201))^$F1210</f>
        <v/>
      </c>
      <c r="AM1210" s="44">
        <f>AL1210*$G1210*(1+AM$7)^$D1210*(AM1192/AL1192)^$E1210*((AM1192+AM1201)/(AL1192+AL1201))^$F1210</f>
        <v/>
      </c>
      <c r="AN1210" s="44">
        <f>AM1210*$G1210*(1+AN$7)^$D1210*(AN1192/AM1192)^$E1210*((AN1192+AN1201)/(AM1192+AM1201))^$F1210</f>
        <v/>
      </c>
      <c r="AO1210" s="44">
        <f>AN1210*$G1210*(1+AO$7)^$D1210*(AO1192/AN1192)^$E1210*((AO1192+AO1201)/(AN1192+AN1201))^$F1210</f>
        <v/>
      </c>
      <c r="AP1210" s="44">
        <f>AO1210*$G1210*(1+AP$7)^$D1210*(AP1192/AO1192)^$E1210*((AP1192+AP1201)/(AO1192+AO1201))^$F1210</f>
        <v/>
      </c>
      <c r="AQ1210" s="44">
        <f>AP1210*$G1210*(1+AQ$7)^$D1210*(AQ1192/AP1192)^$E1210*((AQ1192+AQ1201)/(AP1192+AP1201))^$F1210</f>
        <v/>
      </c>
      <c r="AR1210" s="44">
        <f>AQ1210*$G1210*(1+AR$7)^$D1210*(AR1192/AQ1192)^$E1210*((AR1192+AR1201)/(AQ1192+AQ1201))^$F1210</f>
        <v/>
      </c>
      <c r="AS1210" s="44">
        <f>AR1210*$G1210*(1+AS$7)^$D1210*(AS1192/AR1192)^$E1210*((AS1192+AS1201)/(AR1192+AR1201))^$F1210</f>
        <v/>
      </c>
      <c r="AT1210" s="44">
        <f>AS1210*$G1210*(1+AT$7)^$D1210*(AT1192/AS1192)^$E1210*((AT1192+AT1201)/(AS1192+AS1201))^$F1210</f>
        <v/>
      </c>
      <c r="AU1210" s="44">
        <f>AT1210*$G1210*(1+AU$7)^$D1210*(AU1192/AT1192)^$E1210*((AU1192+AU1201)/(AT1192+AT1201))^$F1210</f>
        <v/>
      </c>
      <c r="AV1210" s="44">
        <f>AU1210*$G1210*(1+AV$7)^$D1210*(AV1192/AU1192)^$E1210*((AV1192+AV1201)/(AU1192+AU1201))^$F1210</f>
        <v/>
      </c>
      <c r="AW1210" s="44">
        <f>AV1210*$G1210*(1+AW$7)^$D1210*(AW1192/AV1192)^$E1210*((AW1192+AW1201)/(AV1192+AV1201))^$F1210</f>
        <v/>
      </c>
      <c r="AX1210" s="44">
        <f>AW1210*$G1210*(1+AX$7)^$D1210*(AX1192/AW1192)^$E1210*((AX1192+AX1201)/(AW1192+AW1201))^$F1210</f>
        <v/>
      </c>
      <c r="AY1210" s="44">
        <f>AX1210*$G1210*(1+AY$7)^$D1210*(AY1192/AX1192)^$E1210*((AY1192+AY1201)/(AX1192+AX1201))^$F1210</f>
        <v/>
      </c>
      <c r="AZ1210" s="44">
        <f>AY1210*$G1210*(1+AZ$7)^$D1210*(AZ1192/AY1192)^$E1210*((AZ1192+AZ1201)/(AY1192+AY1201))^$F1210</f>
        <v/>
      </c>
      <c r="BA1210" s="57">
        <f>FUELUSE(AZ1210,BA1192,AZ1192,BA1201,AZ1201,BA$7,$D1210,$E1210,$F1210,$G1210)</f>
        <v/>
      </c>
    </row>
    <row r="1211" hidden="1" outlineLevel="2">
      <c r="A1211" s="14" t="inlineStr">
        <is>
          <t>ener</t>
        </is>
      </c>
      <c r="B1211" s="14" t="inlineStr">
        <is>
          <t>lpg</t>
        </is>
      </c>
      <c r="C1211" s="14" t="inlineStr">
        <is>
          <t>ral</t>
        </is>
      </c>
      <c r="D1211" s="35">
        <f>INDEX(Inputs!$O$5:$O$132,MATCH($B1211&amp;"|"&amp;$C1211,Inputs!$A$5:$A$132,0))</f>
        <v/>
      </c>
      <c r="E1211" s="35">
        <f>INDEX(Inputs!$P$5:$P$132,MATCH($B1211&amp;"|"&amp;$C1211,Inputs!$A$5:$A$132,0))</f>
        <v/>
      </c>
      <c r="F1211" s="35">
        <f>INDEX(Inputs!$T$5:$T$132,MATCH($B1211&amp;"|"&amp;$C1211,Inputs!$A$5:$A$132,0))</f>
        <v/>
      </c>
      <c r="G1211" s="35">
        <f>INDEX(Inputs!$S$5:$S$132,MATCH($B1211&amp;"|"&amp;$C1211,Inputs!$A$5:$A$132,0))</f>
        <v/>
      </c>
      <c r="H1211" s="14">
        <f>INDEX(VarLab,MATCH($A1211,VarKey,0))&amp;INDEX(MemLab,MATCH($C1211&amp;"|"&amp;$B1211,MemKey,0))</f>
        <v/>
      </c>
      <c r="I1211" s="14">
        <f>INDEX(VarUnit,MATCH($A1211,VarKey,0))</f>
        <v/>
      </c>
      <c r="J1211" s="14">
        <f>INDEX(VarSrc,MATCH($A1211,VarKey,0))</f>
        <v/>
      </c>
      <c r="K1211" s="11">
        <f>CodePrefix&amp;$A1211&amp;IF($C1211="","","."&amp;$C1211&amp;"."&amp;$B1211)&amp;INDEX(VarEnd,MATCH($A1211,VarKey,0))&amp;K$5</f>
        <v/>
      </c>
      <c r="L1211" s="43">
        <f>INDEX(Inputs!$X$5:$X$132,MATCH($B1211&amp;"|"&amp;$C1211,Inputs!$A$5:$A$132,0))</f>
        <v/>
      </c>
      <c r="M1211" s="44">
        <f>L1211*$G1211*(1+M$7)^$D1211*(M1193/L1193)^$E1211*((M1193+M1202)/(L1193+L1202))^$F1211</f>
        <v/>
      </c>
      <c r="N1211" s="44">
        <f>M1211*$G1211*(1+N$7)^$D1211*(N1193/M1193)^$E1211*((N1193+N1202)/(M1193+M1202))^$F1211</f>
        <v/>
      </c>
      <c r="O1211" s="44">
        <f>N1211*$G1211*(1+O$7)^$D1211*(O1193/N1193)^$E1211*((O1193+O1202)/(N1193+N1202))^$F1211</f>
        <v/>
      </c>
      <c r="P1211" s="44">
        <f>O1211*$G1211*(1+P$7)^$D1211*(P1193/O1193)^$E1211*((P1193+P1202)/(O1193+O1202))^$F1211</f>
        <v/>
      </c>
      <c r="Q1211" s="44">
        <f>P1211*$G1211*(1+Q$7)^$D1211*(Q1193/P1193)^$E1211*((Q1193+Q1202)/(P1193+P1202))^$F1211</f>
        <v/>
      </c>
      <c r="R1211" s="44">
        <f>Q1211*$G1211*(1+R$7)^$D1211*(R1193/Q1193)^$E1211*((R1193+R1202)/(Q1193+Q1202))^$F1211</f>
        <v/>
      </c>
      <c r="S1211" s="44">
        <f>R1211*$G1211*(1+S$7)^$D1211*(S1193/R1193)^$E1211*((S1193+S1202)/(R1193+R1202))^$F1211</f>
        <v/>
      </c>
      <c r="T1211" s="44">
        <f>S1211*$G1211*(1+T$7)^$D1211*(T1193/S1193)^$E1211*((T1193+T1202)/(S1193+S1202))^$F1211</f>
        <v/>
      </c>
      <c r="U1211" s="44">
        <f>T1211*$G1211*(1+U$7)^$D1211*(U1193/T1193)^$E1211*((U1193+U1202)/(T1193+T1202))^$F1211</f>
        <v/>
      </c>
      <c r="V1211" s="44">
        <f>U1211*$G1211*(1+V$7)^$D1211*(V1193/U1193)^$E1211*((V1193+V1202)/(U1193+U1202))^$F1211</f>
        <v/>
      </c>
      <c r="W1211" s="44">
        <f>V1211*$G1211*(1+W$7)^$D1211*(W1193/V1193)^$E1211*((W1193+W1202)/(V1193+V1202))^$F1211</f>
        <v/>
      </c>
      <c r="X1211" s="44">
        <f>W1211*$G1211*(1+X$7)^$D1211*(X1193/W1193)^$E1211*((X1193+X1202)/(W1193+W1202))^$F1211</f>
        <v/>
      </c>
      <c r="Y1211" s="44">
        <f>X1211*$G1211*(1+Y$7)^$D1211*(Y1193/X1193)^$E1211*((Y1193+Y1202)/(X1193+X1202))^$F1211</f>
        <v/>
      </c>
      <c r="Z1211" s="44">
        <f>Y1211*$G1211*(1+Z$7)^$D1211*(Z1193/Y1193)^$E1211*((Z1193+Z1202)/(Y1193+Y1202))^$F1211</f>
        <v/>
      </c>
      <c r="AA1211" s="44">
        <f>Z1211*$G1211*(1+AA$7)^$D1211*(AA1193/Z1193)^$E1211*((AA1193+AA1202)/(Z1193+Z1202))^$F1211</f>
        <v/>
      </c>
      <c r="AB1211" s="44">
        <f>AA1211*$G1211*(1+AB$7)^$D1211*(AB1193/AA1193)^$E1211*((AB1193+AB1202)/(AA1193+AA1202))^$F1211</f>
        <v/>
      </c>
      <c r="AC1211" s="44">
        <f>AB1211*$G1211*(1+AC$7)^$D1211*(AC1193/AB1193)^$E1211*((AC1193+AC1202)/(AB1193+AB1202))^$F1211</f>
        <v/>
      </c>
      <c r="AD1211" s="44">
        <f>AC1211*$G1211*(1+AD$7)^$D1211*(AD1193/AC1193)^$E1211*((AD1193+AD1202)/(AC1193+AC1202))^$F1211</f>
        <v/>
      </c>
      <c r="AE1211" s="57">
        <f>FUELUSE(AD1211,AE1193,AD1193,AE1202,AD1202,AE$7,$D1211,$E1211,$F1211,$G1211)</f>
        <v/>
      </c>
      <c r="AG1211" s="11">
        <f>CodePrefix&amp;$A1211&amp;IF($C1211="","","."&amp;$C1211&amp;"."&amp;$B1211)&amp;INDEX(VarEnd,MATCH($A1211,VarKey,0))&amp;AG$5</f>
        <v/>
      </c>
      <c r="AH1211" s="43">
        <f>INDEX(Inputs!$X$5:$X$132,MATCH($B1211&amp;"|"&amp;$C1211,Inputs!$A$5:$A$132,0))</f>
        <v/>
      </c>
      <c r="AI1211" s="44">
        <f>AH1211*$G1211*(1+AI$7)^$D1211*(AI1193/AH1193)^$E1211*((AI1193+AI1202)/(AH1193+AH1202))^$F1211</f>
        <v/>
      </c>
      <c r="AJ1211" s="44">
        <f>AI1211*$G1211*(1+AJ$7)^$D1211*(AJ1193/AI1193)^$E1211*((AJ1193+AJ1202)/(AI1193+AI1202))^$F1211</f>
        <v/>
      </c>
      <c r="AK1211" s="44">
        <f>AJ1211*$G1211*(1+AK$7)^$D1211*(AK1193/AJ1193)^$E1211*((AK1193+AK1202)/(AJ1193+AJ1202))^$F1211</f>
        <v/>
      </c>
      <c r="AL1211" s="44">
        <f>AK1211*$G1211*(1+AL$7)^$D1211*(AL1193/AK1193)^$E1211*((AL1193+AL1202)/(AK1193+AK1202))^$F1211</f>
        <v/>
      </c>
      <c r="AM1211" s="44">
        <f>AL1211*$G1211*(1+AM$7)^$D1211*(AM1193/AL1193)^$E1211*((AM1193+AM1202)/(AL1193+AL1202))^$F1211</f>
        <v/>
      </c>
      <c r="AN1211" s="44">
        <f>AM1211*$G1211*(1+AN$7)^$D1211*(AN1193/AM1193)^$E1211*((AN1193+AN1202)/(AM1193+AM1202))^$F1211</f>
        <v/>
      </c>
      <c r="AO1211" s="44">
        <f>AN1211*$G1211*(1+AO$7)^$D1211*(AO1193/AN1193)^$E1211*((AO1193+AO1202)/(AN1193+AN1202))^$F1211</f>
        <v/>
      </c>
      <c r="AP1211" s="44">
        <f>AO1211*$G1211*(1+AP$7)^$D1211*(AP1193/AO1193)^$E1211*((AP1193+AP1202)/(AO1193+AO1202))^$F1211</f>
        <v/>
      </c>
      <c r="AQ1211" s="44">
        <f>AP1211*$G1211*(1+AQ$7)^$D1211*(AQ1193/AP1193)^$E1211*((AQ1193+AQ1202)/(AP1193+AP1202))^$F1211</f>
        <v/>
      </c>
      <c r="AR1211" s="44">
        <f>AQ1211*$G1211*(1+AR$7)^$D1211*(AR1193/AQ1193)^$E1211*((AR1193+AR1202)/(AQ1193+AQ1202))^$F1211</f>
        <v/>
      </c>
      <c r="AS1211" s="44">
        <f>AR1211*$G1211*(1+AS$7)^$D1211*(AS1193/AR1193)^$E1211*((AS1193+AS1202)/(AR1193+AR1202))^$F1211</f>
        <v/>
      </c>
      <c r="AT1211" s="44">
        <f>AS1211*$G1211*(1+AT$7)^$D1211*(AT1193/AS1193)^$E1211*((AT1193+AT1202)/(AS1193+AS1202))^$F1211</f>
        <v/>
      </c>
      <c r="AU1211" s="44">
        <f>AT1211*$G1211*(1+AU$7)^$D1211*(AU1193/AT1193)^$E1211*((AU1193+AU1202)/(AT1193+AT1202))^$F1211</f>
        <v/>
      </c>
      <c r="AV1211" s="44">
        <f>AU1211*$G1211*(1+AV$7)^$D1211*(AV1193/AU1193)^$E1211*((AV1193+AV1202)/(AU1193+AU1202))^$F1211</f>
        <v/>
      </c>
      <c r="AW1211" s="44">
        <f>AV1211*$G1211*(1+AW$7)^$D1211*(AW1193/AV1193)^$E1211*((AW1193+AW1202)/(AV1193+AV1202))^$F1211</f>
        <v/>
      </c>
      <c r="AX1211" s="44">
        <f>AW1211*$G1211*(1+AX$7)^$D1211*(AX1193/AW1193)^$E1211*((AX1193+AX1202)/(AW1193+AW1202))^$F1211</f>
        <v/>
      </c>
      <c r="AY1211" s="44">
        <f>AX1211*$G1211*(1+AY$7)^$D1211*(AY1193/AX1193)^$E1211*((AY1193+AY1202)/(AX1193+AX1202))^$F1211</f>
        <v/>
      </c>
      <c r="AZ1211" s="44">
        <f>AY1211*$G1211*(1+AZ$7)^$D1211*(AZ1193/AY1193)^$E1211*((AZ1193+AZ1202)/(AY1193+AY1202))^$F1211</f>
        <v/>
      </c>
      <c r="BA1211" s="57">
        <f>FUELUSE(AZ1211,BA1193,AZ1193,BA1202,AZ1202,BA$7,$D1211,$E1211,$F1211,$G1211)</f>
        <v/>
      </c>
    </row>
    <row r="1212" hidden="1" outlineLevel="2">
      <c r="A1212" s="14" t="inlineStr">
        <is>
          <t>ener</t>
        </is>
      </c>
      <c r="B1212" s="14" t="inlineStr">
        <is>
          <t>ker</t>
        </is>
      </c>
      <c r="C1212" s="14" t="inlineStr">
        <is>
          <t>ral</t>
        </is>
      </c>
      <c r="D1212" s="35">
        <f>INDEX(Inputs!$O$5:$O$132,MATCH($B1212&amp;"|"&amp;$C1212,Inputs!$A$5:$A$132,0))</f>
        <v/>
      </c>
      <c r="E1212" s="35">
        <f>INDEX(Inputs!$P$5:$P$132,MATCH($B1212&amp;"|"&amp;$C1212,Inputs!$A$5:$A$132,0))</f>
        <v/>
      </c>
      <c r="F1212" s="35">
        <f>INDEX(Inputs!$T$5:$T$132,MATCH($B1212&amp;"|"&amp;$C1212,Inputs!$A$5:$A$132,0))</f>
        <v/>
      </c>
      <c r="G1212" s="35">
        <f>INDEX(Inputs!$S$5:$S$132,MATCH($B1212&amp;"|"&amp;$C1212,Inputs!$A$5:$A$132,0))</f>
        <v/>
      </c>
      <c r="H1212" s="14">
        <f>INDEX(VarLab,MATCH($A1212,VarKey,0))&amp;INDEX(MemLab,MATCH($C1212&amp;"|"&amp;$B1212,MemKey,0))</f>
        <v/>
      </c>
      <c r="I1212" s="14">
        <f>INDEX(VarUnit,MATCH($A1212,VarKey,0))</f>
        <v/>
      </c>
      <c r="J1212" s="14">
        <f>INDEX(VarSrc,MATCH($A1212,VarKey,0))</f>
        <v/>
      </c>
      <c r="K1212" s="11">
        <f>CodePrefix&amp;$A1212&amp;IF($C1212="","","."&amp;$C1212&amp;"."&amp;$B1212)&amp;INDEX(VarEnd,MATCH($A1212,VarKey,0))&amp;K$5</f>
        <v/>
      </c>
      <c r="L1212" s="43">
        <f>INDEX(Inputs!$X$5:$X$132,MATCH($B1212&amp;"|"&amp;$C1212,Inputs!$A$5:$A$132,0))</f>
        <v/>
      </c>
      <c r="M1212" s="44">
        <f>L1212*$G1212*(1+M$7)^$D1212*(M1194/L1194)^$E1212*((M1194+M1203)/(L1194+L1203))^$F1212</f>
        <v/>
      </c>
      <c r="N1212" s="44">
        <f>M1212*$G1212*(1+N$7)^$D1212*(N1194/M1194)^$E1212*((N1194+N1203)/(M1194+M1203))^$F1212</f>
        <v/>
      </c>
      <c r="O1212" s="44">
        <f>N1212*$G1212*(1+O$7)^$D1212*(O1194/N1194)^$E1212*((O1194+O1203)/(N1194+N1203))^$F1212</f>
        <v/>
      </c>
      <c r="P1212" s="44">
        <f>O1212*$G1212*(1+P$7)^$D1212*(P1194/O1194)^$E1212*((P1194+P1203)/(O1194+O1203))^$F1212</f>
        <v/>
      </c>
      <c r="Q1212" s="44">
        <f>P1212*$G1212*(1+Q$7)^$D1212*(Q1194/P1194)^$E1212*((Q1194+Q1203)/(P1194+P1203))^$F1212</f>
        <v/>
      </c>
      <c r="R1212" s="44">
        <f>Q1212*$G1212*(1+R$7)^$D1212*(R1194/Q1194)^$E1212*((R1194+R1203)/(Q1194+Q1203))^$F1212</f>
        <v/>
      </c>
      <c r="S1212" s="44">
        <f>R1212*$G1212*(1+S$7)^$D1212*(S1194/R1194)^$E1212*((S1194+S1203)/(R1194+R1203))^$F1212</f>
        <v/>
      </c>
      <c r="T1212" s="44">
        <f>S1212*$G1212*(1+T$7)^$D1212*(T1194/S1194)^$E1212*((T1194+T1203)/(S1194+S1203))^$F1212</f>
        <v/>
      </c>
      <c r="U1212" s="44">
        <f>T1212*$G1212*(1+U$7)^$D1212*(U1194/T1194)^$E1212*((U1194+U1203)/(T1194+T1203))^$F1212</f>
        <v/>
      </c>
      <c r="V1212" s="44">
        <f>U1212*$G1212*(1+V$7)^$D1212*(V1194/U1194)^$E1212*((V1194+V1203)/(U1194+U1203))^$F1212</f>
        <v/>
      </c>
      <c r="W1212" s="44">
        <f>V1212*$G1212*(1+W$7)^$D1212*(W1194/V1194)^$E1212*((W1194+W1203)/(V1194+V1203))^$F1212</f>
        <v/>
      </c>
      <c r="X1212" s="44">
        <f>W1212*$G1212*(1+X$7)^$D1212*(X1194/W1194)^$E1212*((X1194+X1203)/(W1194+W1203))^$F1212</f>
        <v/>
      </c>
      <c r="Y1212" s="44">
        <f>X1212*$G1212*(1+Y$7)^$D1212*(Y1194/X1194)^$E1212*((Y1194+Y1203)/(X1194+X1203))^$F1212</f>
        <v/>
      </c>
      <c r="Z1212" s="44">
        <f>Y1212*$G1212*(1+Z$7)^$D1212*(Z1194/Y1194)^$E1212*((Z1194+Z1203)/(Y1194+Y1203))^$F1212</f>
        <v/>
      </c>
      <c r="AA1212" s="44">
        <f>Z1212*$G1212*(1+AA$7)^$D1212*(AA1194/Z1194)^$E1212*((AA1194+AA1203)/(Z1194+Z1203))^$F1212</f>
        <v/>
      </c>
      <c r="AB1212" s="44">
        <f>AA1212*$G1212*(1+AB$7)^$D1212*(AB1194/AA1194)^$E1212*((AB1194+AB1203)/(AA1194+AA1203))^$F1212</f>
        <v/>
      </c>
      <c r="AC1212" s="44">
        <f>AB1212*$G1212*(1+AC$7)^$D1212*(AC1194/AB1194)^$E1212*((AC1194+AC1203)/(AB1194+AB1203))^$F1212</f>
        <v/>
      </c>
      <c r="AD1212" s="44">
        <f>AC1212*$G1212*(1+AD$7)^$D1212*(AD1194/AC1194)^$E1212*((AD1194+AD1203)/(AC1194+AC1203))^$F1212</f>
        <v/>
      </c>
      <c r="AE1212" s="57">
        <f>FUELUSE(AD1212,AE1194,AD1194,AE1203,AD1203,AE$7,$D1212,$E1212,$F1212,$G1212)</f>
        <v/>
      </c>
      <c r="AG1212" s="11">
        <f>CodePrefix&amp;$A1212&amp;IF($C1212="","","."&amp;$C1212&amp;"."&amp;$B1212)&amp;INDEX(VarEnd,MATCH($A1212,VarKey,0))&amp;AG$5</f>
        <v/>
      </c>
      <c r="AH1212" s="43">
        <f>INDEX(Inputs!$X$5:$X$132,MATCH($B1212&amp;"|"&amp;$C1212,Inputs!$A$5:$A$132,0))</f>
        <v/>
      </c>
      <c r="AI1212" s="44">
        <f>AH1212*$G1212*(1+AI$7)^$D1212*(AI1194/AH1194)^$E1212*((AI1194+AI1203)/(AH1194+AH1203))^$F1212</f>
        <v/>
      </c>
      <c r="AJ1212" s="44">
        <f>AI1212*$G1212*(1+AJ$7)^$D1212*(AJ1194/AI1194)^$E1212*((AJ1194+AJ1203)/(AI1194+AI1203))^$F1212</f>
        <v/>
      </c>
      <c r="AK1212" s="44">
        <f>AJ1212*$G1212*(1+AK$7)^$D1212*(AK1194/AJ1194)^$E1212*((AK1194+AK1203)/(AJ1194+AJ1203))^$F1212</f>
        <v/>
      </c>
      <c r="AL1212" s="44">
        <f>AK1212*$G1212*(1+AL$7)^$D1212*(AL1194/AK1194)^$E1212*((AL1194+AL1203)/(AK1194+AK1203))^$F1212</f>
        <v/>
      </c>
      <c r="AM1212" s="44">
        <f>AL1212*$G1212*(1+AM$7)^$D1212*(AM1194/AL1194)^$E1212*((AM1194+AM1203)/(AL1194+AL1203))^$F1212</f>
        <v/>
      </c>
      <c r="AN1212" s="44">
        <f>AM1212*$G1212*(1+AN$7)^$D1212*(AN1194/AM1194)^$E1212*((AN1194+AN1203)/(AM1194+AM1203))^$F1212</f>
        <v/>
      </c>
      <c r="AO1212" s="44">
        <f>AN1212*$G1212*(1+AO$7)^$D1212*(AO1194/AN1194)^$E1212*((AO1194+AO1203)/(AN1194+AN1203))^$F1212</f>
        <v/>
      </c>
      <c r="AP1212" s="44">
        <f>AO1212*$G1212*(1+AP$7)^$D1212*(AP1194/AO1194)^$E1212*((AP1194+AP1203)/(AO1194+AO1203))^$F1212</f>
        <v/>
      </c>
      <c r="AQ1212" s="44">
        <f>AP1212*$G1212*(1+AQ$7)^$D1212*(AQ1194/AP1194)^$E1212*((AQ1194+AQ1203)/(AP1194+AP1203))^$F1212</f>
        <v/>
      </c>
      <c r="AR1212" s="44">
        <f>AQ1212*$G1212*(1+AR$7)^$D1212*(AR1194/AQ1194)^$E1212*((AR1194+AR1203)/(AQ1194+AQ1203))^$F1212</f>
        <v/>
      </c>
      <c r="AS1212" s="44">
        <f>AR1212*$G1212*(1+AS$7)^$D1212*(AS1194/AR1194)^$E1212*((AS1194+AS1203)/(AR1194+AR1203))^$F1212</f>
        <v/>
      </c>
      <c r="AT1212" s="44">
        <f>AS1212*$G1212*(1+AT$7)^$D1212*(AT1194/AS1194)^$E1212*((AT1194+AT1203)/(AS1194+AS1203))^$F1212</f>
        <v/>
      </c>
      <c r="AU1212" s="44">
        <f>AT1212*$G1212*(1+AU$7)^$D1212*(AU1194/AT1194)^$E1212*((AU1194+AU1203)/(AT1194+AT1203))^$F1212</f>
        <v/>
      </c>
      <c r="AV1212" s="44">
        <f>AU1212*$G1212*(1+AV$7)^$D1212*(AV1194/AU1194)^$E1212*((AV1194+AV1203)/(AU1194+AU1203))^$F1212</f>
        <v/>
      </c>
      <c r="AW1212" s="44">
        <f>AV1212*$G1212*(1+AW$7)^$D1212*(AW1194/AV1194)^$E1212*((AW1194+AW1203)/(AV1194+AV1203))^$F1212</f>
        <v/>
      </c>
      <c r="AX1212" s="44">
        <f>AW1212*$G1212*(1+AX$7)^$D1212*(AX1194/AW1194)^$E1212*((AX1194+AX1203)/(AW1194+AW1203))^$F1212</f>
        <v/>
      </c>
      <c r="AY1212" s="44">
        <f>AX1212*$G1212*(1+AY$7)^$D1212*(AY1194/AX1194)^$E1212*((AY1194+AY1203)/(AX1194+AX1203))^$F1212</f>
        <v/>
      </c>
      <c r="AZ1212" s="44">
        <f>AY1212*$G1212*(1+AZ$7)^$D1212*(AZ1194/AY1194)^$E1212*((AZ1194+AZ1203)/(AY1194+AY1203))^$F1212</f>
        <v/>
      </c>
      <c r="BA1212" s="57">
        <f>FUELUSE(AZ1212,BA1194,AZ1194,BA1203,AZ1203,BA$7,$D1212,$E1212,$F1212,$G1212)</f>
        <v/>
      </c>
    </row>
    <row r="1213" hidden="1" outlineLevel="2">
      <c r="A1213" s="14" t="inlineStr">
        <is>
          <t>ener</t>
        </is>
      </c>
      <c r="B1213" s="14" t="inlineStr">
        <is>
          <t>oop</t>
        </is>
      </c>
      <c r="C1213" s="14" t="inlineStr">
        <is>
          <t>ral</t>
        </is>
      </c>
      <c r="D1213" s="35">
        <f>INDEX(Inputs!$O$5:$O$132,MATCH($B1213&amp;"|"&amp;$C1213,Inputs!$A$5:$A$132,0))</f>
        <v/>
      </c>
      <c r="E1213" s="35">
        <f>INDEX(Inputs!$P$5:$P$132,MATCH($B1213&amp;"|"&amp;$C1213,Inputs!$A$5:$A$132,0))</f>
        <v/>
      </c>
      <c r="F1213" s="35">
        <f>INDEX(Inputs!$T$5:$T$132,MATCH($B1213&amp;"|"&amp;$C1213,Inputs!$A$5:$A$132,0))</f>
        <v/>
      </c>
      <c r="G1213" s="35">
        <f>INDEX(Inputs!$S$5:$S$132,MATCH($B1213&amp;"|"&amp;$C1213,Inputs!$A$5:$A$132,0))</f>
        <v/>
      </c>
      <c r="H1213" s="14">
        <f>INDEX(VarLab,MATCH($A1213,VarKey,0))&amp;INDEX(MemLab,MATCH($C1213&amp;"|"&amp;$B1213,MemKey,0))</f>
        <v/>
      </c>
      <c r="I1213" s="14">
        <f>INDEX(VarUnit,MATCH($A1213,VarKey,0))</f>
        <v/>
      </c>
      <c r="J1213" s="14">
        <f>INDEX(VarSrc,MATCH($A1213,VarKey,0))</f>
        <v/>
      </c>
      <c r="K1213" s="11">
        <f>CodePrefix&amp;$A1213&amp;IF($C1213="","","."&amp;$C1213&amp;"."&amp;$B1213)&amp;INDEX(VarEnd,MATCH($A1213,VarKey,0))&amp;K$5</f>
        <v/>
      </c>
      <c r="L1213" s="43">
        <f>INDEX(Inputs!$X$5:$X$132,MATCH($B1213&amp;"|"&amp;$C1213,Inputs!$A$5:$A$132,0))</f>
        <v/>
      </c>
      <c r="M1213" s="44">
        <f>L1213*$G1213*(1+M$7)^$D1213*(M1195/L1195)^$E1213*((M1195+M1204)/(L1195+L1204))^$F1213</f>
        <v/>
      </c>
      <c r="N1213" s="44">
        <f>M1213*$G1213*(1+N$7)^$D1213*(N1195/M1195)^$E1213*((N1195+N1204)/(M1195+M1204))^$F1213</f>
        <v/>
      </c>
      <c r="O1213" s="44">
        <f>N1213*$G1213*(1+O$7)^$D1213*(O1195/N1195)^$E1213*((O1195+O1204)/(N1195+N1204))^$F1213</f>
        <v/>
      </c>
      <c r="P1213" s="44">
        <f>O1213*$G1213*(1+P$7)^$D1213*(P1195/O1195)^$E1213*((P1195+P1204)/(O1195+O1204))^$F1213</f>
        <v/>
      </c>
      <c r="Q1213" s="44">
        <f>P1213*$G1213*(1+Q$7)^$D1213*(Q1195/P1195)^$E1213*((Q1195+Q1204)/(P1195+P1204))^$F1213</f>
        <v/>
      </c>
      <c r="R1213" s="44">
        <f>Q1213*$G1213*(1+R$7)^$D1213*(R1195/Q1195)^$E1213*((R1195+R1204)/(Q1195+Q1204))^$F1213</f>
        <v/>
      </c>
      <c r="S1213" s="44">
        <f>R1213*$G1213*(1+S$7)^$D1213*(S1195/R1195)^$E1213*((S1195+S1204)/(R1195+R1204))^$F1213</f>
        <v/>
      </c>
      <c r="T1213" s="44">
        <f>S1213*$G1213*(1+T$7)^$D1213*(T1195/S1195)^$E1213*((T1195+T1204)/(S1195+S1204))^$F1213</f>
        <v/>
      </c>
      <c r="U1213" s="44">
        <f>T1213*$G1213*(1+U$7)^$D1213*(U1195/T1195)^$E1213*((U1195+U1204)/(T1195+T1204))^$F1213</f>
        <v/>
      </c>
      <c r="V1213" s="44">
        <f>U1213*$G1213*(1+V$7)^$D1213*(V1195/U1195)^$E1213*((V1195+V1204)/(U1195+U1204))^$F1213</f>
        <v/>
      </c>
      <c r="W1213" s="44">
        <f>V1213*$G1213*(1+W$7)^$D1213*(W1195/V1195)^$E1213*((W1195+W1204)/(V1195+V1204))^$F1213</f>
        <v/>
      </c>
      <c r="X1213" s="44">
        <f>W1213*$G1213*(1+X$7)^$D1213*(X1195/W1195)^$E1213*((X1195+X1204)/(W1195+W1204))^$F1213</f>
        <v/>
      </c>
      <c r="Y1213" s="44">
        <f>X1213*$G1213*(1+Y$7)^$D1213*(Y1195/X1195)^$E1213*((Y1195+Y1204)/(X1195+X1204))^$F1213</f>
        <v/>
      </c>
      <c r="Z1213" s="44">
        <f>Y1213*$G1213*(1+Z$7)^$D1213*(Z1195/Y1195)^$E1213*((Z1195+Z1204)/(Y1195+Y1204))^$F1213</f>
        <v/>
      </c>
      <c r="AA1213" s="44">
        <f>Z1213*$G1213*(1+AA$7)^$D1213*(AA1195/Z1195)^$E1213*((AA1195+AA1204)/(Z1195+Z1204))^$F1213</f>
        <v/>
      </c>
      <c r="AB1213" s="44">
        <f>AA1213*$G1213*(1+AB$7)^$D1213*(AB1195/AA1195)^$E1213*((AB1195+AB1204)/(AA1195+AA1204))^$F1213</f>
        <v/>
      </c>
      <c r="AC1213" s="44">
        <f>AB1213*$G1213*(1+AC$7)^$D1213*(AC1195/AB1195)^$E1213*((AC1195+AC1204)/(AB1195+AB1204))^$F1213</f>
        <v/>
      </c>
      <c r="AD1213" s="44">
        <f>AC1213*$G1213*(1+AD$7)^$D1213*(AD1195/AC1195)^$E1213*((AD1195+AD1204)/(AC1195+AC1204))^$F1213</f>
        <v/>
      </c>
      <c r="AE1213" s="57">
        <f>FUELUSE(AD1213,AE1195,AD1195,AE1204,AD1204,AE$7,$D1213,$E1213,$F1213,$G1213)</f>
        <v/>
      </c>
      <c r="AG1213" s="11">
        <f>CodePrefix&amp;$A1213&amp;IF($C1213="","","."&amp;$C1213&amp;"."&amp;$B1213)&amp;INDEX(VarEnd,MATCH($A1213,VarKey,0))&amp;AG$5</f>
        <v/>
      </c>
      <c r="AH1213" s="43">
        <f>INDEX(Inputs!$X$5:$X$132,MATCH($B1213&amp;"|"&amp;$C1213,Inputs!$A$5:$A$132,0))</f>
        <v/>
      </c>
      <c r="AI1213" s="44">
        <f>AH1213*$G1213*(1+AI$7)^$D1213*(AI1195/AH1195)^$E1213*((AI1195+AI1204)/(AH1195+AH1204))^$F1213</f>
        <v/>
      </c>
      <c r="AJ1213" s="44">
        <f>AI1213*$G1213*(1+AJ$7)^$D1213*(AJ1195/AI1195)^$E1213*((AJ1195+AJ1204)/(AI1195+AI1204))^$F1213</f>
        <v/>
      </c>
      <c r="AK1213" s="44">
        <f>AJ1213*$G1213*(1+AK$7)^$D1213*(AK1195/AJ1195)^$E1213*((AK1195+AK1204)/(AJ1195+AJ1204))^$F1213</f>
        <v/>
      </c>
      <c r="AL1213" s="44">
        <f>AK1213*$G1213*(1+AL$7)^$D1213*(AL1195/AK1195)^$E1213*((AL1195+AL1204)/(AK1195+AK1204))^$F1213</f>
        <v/>
      </c>
      <c r="AM1213" s="44">
        <f>AL1213*$G1213*(1+AM$7)^$D1213*(AM1195/AL1195)^$E1213*((AM1195+AM1204)/(AL1195+AL1204))^$F1213</f>
        <v/>
      </c>
      <c r="AN1213" s="44">
        <f>AM1213*$G1213*(1+AN$7)^$D1213*(AN1195/AM1195)^$E1213*((AN1195+AN1204)/(AM1195+AM1204))^$F1213</f>
        <v/>
      </c>
      <c r="AO1213" s="44">
        <f>AN1213*$G1213*(1+AO$7)^$D1213*(AO1195/AN1195)^$E1213*((AO1195+AO1204)/(AN1195+AN1204))^$F1213</f>
        <v/>
      </c>
      <c r="AP1213" s="44">
        <f>AO1213*$G1213*(1+AP$7)^$D1213*(AP1195/AO1195)^$E1213*((AP1195+AP1204)/(AO1195+AO1204))^$F1213</f>
        <v/>
      </c>
      <c r="AQ1213" s="44">
        <f>AP1213*$G1213*(1+AQ$7)^$D1213*(AQ1195/AP1195)^$E1213*((AQ1195+AQ1204)/(AP1195+AP1204))^$F1213</f>
        <v/>
      </c>
      <c r="AR1213" s="44">
        <f>AQ1213*$G1213*(1+AR$7)^$D1213*(AR1195/AQ1195)^$E1213*((AR1195+AR1204)/(AQ1195+AQ1204))^$F1213</f>
        <v/>
      </c>
      <c r="AS1213" s="44">
        <f>AR1213*$G1213*(1+AS$7)^$D1213*(AS1195/AR1195)^$E1213*((AS1195+AS1204)/(AR1195+AR1204))^$F1213</f>
        <v/>
      </c>
      <c r="AT1213" s="44">
        <f>AS1213*$G1213*(1+AT$7)^$D1213*(AT1195/AS1195)^$E1213*((AT1195+AT1204)/(AS1195+AS1204))^$F1213</f>
        <v/>
      </c>
      <c r="AU1213" s="44">
        <f>AT1213*$G1213*(1+AU$7)^$D1213*(AU1195/AT1195)^$E1213*((AU1195+AU1204)/(AT1195+AT1204))^$F1213</f>
        <v/>
      </c>
      <c r="AV1213" s="44">
        <f>AU1213*$G1213*(1+AV$7)^$D1213*(AV1195/AU1195)^$E1213*((AV1195+AV1204)/(AU1195+AU1204))^$F1213</f>
        <v/>
      </c>
      <c r="AW1213" s="44">
        <f>AV1213*$G1213*(1+AW$7)^$D1213*(AW1195/AV1195)^$E1213*((AW1195+AW1204)/(AV1195+AV1204))^$F1213</f>
        <v/>
      </c>
      <c r="AX1213" s="44">
        <f>AW1213*$G1213*(1+AX$7)^$D1213*(AX1195/AW1195)^$E1213*((AX1195+AX1204)/(AW1195+AW1204))^$F1213</f>
        <v/>
      </c>
      <c r="AY1213" s="44">
        <f>AX1213*$G1213*(1+AY$7)^$D1213*(AY1195/AX1195)^$E1213*((AY1195+AY1204)/(AX1195+AX1204))^$F1213</f>
        <v/>
      </c>
      <c r="AZ1213" s="44">
        <f>AY1213*$G1213*(1+AZ$7)^$D1213*(AZ1195/AY1195)^$E1213*((AZ1195+AZ1204)/(AY1195+AY1204))^$F1213</f>
        <v/>
      </c>
      <c r="BA1213" s="57">
        <f>FUELUSE(AZ1213,BA1195,AZ1195,BA1204,AZ1204,BA$7,$D1213,$E1213,$F1213,$G1213)</f>
        <v/>
      </c>
    </row>
    <row r="1214" hidden="1" outlineLevel="2">
      <c r="A1214" s="14" t="inlineStr">
        <is>
          <t>ener</t>
        </is>
      </c>
      <c r="B1214" s="14" t="inlineStr">
        <is>
          <t>bio</t>
        </is>
      </c>
      <c r="C1214" s="14" t="inlineStr">
        <is>
          <t>ral</t>
        </is>
      </c>
      <c r="D1214" s="35">
        <f>INDEX(Inputs!$O$5:$O$132,MATCH($B1214&amp;"|"&amp;$C1214,Inputs!$A$5:$A$132,0))</f>
        <v/>
      </c>
      <c r="E1214" s="35">
        <f>INDEX(Inputs!$P$5:$P$132,MATCH($B1214&amp;"|"&amp;$C1214,Inputs!$A$5:$A$132,0))</f>
        <v/>
      </c>
      <c r="F1214" s="35">
        <f>INDEX(Inputs!$T$5:$T$132,MATCH($B1214&amp;"|"&amp;$C1214,Inputs!$A$5:$A$132,0))</f>
        <v/>
      </c>
      <c r="G1214" s="35">
        <f>INDEX(Inputs!$S$5:$S$132,MATCH($B1214&amp;"|"&amp;$C1214,Inputs!$A$5:$A$132,0))</f>
        <v/>
      </c>
      <c r="H1214" s="14">
        <f>INDEX(VarLab,MATCH($A1214,VarKey,0))&amp;INDEX(MemLab,MATCH($C1214&amp;"|"&amp;$B1214,MemKey,0))</f>
        <v/>
      </c>
      <c r="I1214" s="14">
        <f>INDEX(VarUnit,MATCH($A1214,VarKey,0))</f>
        <v/>
      </c>
      <c r="J1214" s="14">
        <f>INDEX(VarSrc,MATCH($A1214,VarKey,0))</f>
        <v/>
      </c>
      <c r="K1214" s="11">
        <f>CodePrefix&amp;$A1214&amp;IF($C1214="","","."&amp;$C1214&amp;"."&amp;$B1214)&amp;INDEX(VarEnd,MATCH($A1214,VarKey,0))&amp;K$5</f>
        <v/>
      </c>
      <c r="L1214" s="43">
        <f>INDEX(Inputs!$X$5:$X$132,MATCH($B1214&amp;"|"&amp;$C1214,Inputs!$A$5:$A$132,0))</f>
        <v/>
      </c>
      <c r="M1214" s="44">
        <f>L1214*$G1214*(1+M$7)^$D1214*(M1196/L1196)^$E1214*((M1196+M1205)/(L1196+L1205))^$F1214</f>
        <v/>
      </c>
      <c r="N1214" s="44">
        <f>M1214*$G1214*(1+N$7)^$D1214*(N1196/M1196)^$E1214*((N1196+N1205)/(M1196+M1205))^$F1214</f>
        <v/>
      </c>
      <c r="O1214" s="44">
        <f>N1214*$G1214*(1+O$7)^$D1214*(O1196/N1196)^$E1214*((O1196+O1205)/(N1196+N1205))^$F1214</f>
        <v/>
      </c>
      <c r="P1214" s="44">
        <f>O1214*$G1214*(1+P$7)^$D1214*(P1196/O1196)^$E1214*((P1196+P1205)/(O1196+O1205))^$F1214</f>
        <v/>
      </c>
      <c r="Q1214" s="44">
        <f>P1214*$G1214*(1+Q$7)^$D1214*(Q1196/P1196)^$E1214*((Q1196+Q1205)/(P1196+P1205))^$F1214</f>
        <v/>
      </c>
      <c r="R1214" s="44">
        <f>Q1214*$G1214*(1+R$7)^$D1214*(R1196/Q1196)^$E1214*((R1196+R1205)/(Q1196+Q1205))^$F1214</f>
        <v/>
      </c>
      <c r="S1214" s="44">
        <f>R1214*$G1214*(1+S$7)^$D1214*(S1196/R1196)^$E1214*((S1196+S1205)/(R1196+R1205))^$F1214</f>
        <v/>
      </c>
      <c r="T1214" s="44">
        <f>S1214*$G1214*(1+T$7)^$D1214*(T1196/S1196)^$E1214*((T1196+T1205)/(S1196+S1205))^$F1214</f>
        <v/>
      </c>
      <c r="U1214" s="44">
        <f>T1214*$G1214*(1+U$7)^$D1214*(U1196/T1196)^$E1214*((U1196+U1205)/(T1196+T1205))^$F1214</f>
        <v/>
      </c>
      <c r="V1214" s="44">
        <f>U1214*$G1214*(1+V$7)^$D1214*(V1196/U1196)^$E1214*((V1196+V1205)/(U1196+U1205))^$F1214</f>
        <v/>
      </c>
      <c r="W1214" s="44">
        <f>V1214*$G1214*(1+W$7)^$D1214*(W1196/V1196)^$E1214*((W1196+W1205)/(V1196+V1205))^$F1214</f>
        <v/>
      </c>
      <c r="X1214" s="44">
        <f>W1214*$G1214*(1+X$7)^$D1214*(X1196/W1196)^$E1214*((X1196+X1205)/(W1196+W1205))^$F1214</f>
        <v/>
      </c>
      <c r="Y1214" s="44">
        <f>X1214*$G1214*(1+Y$7)^$D1214*(Y1196/X1196)^$E1214*((Y1196+Y1205)/(X1196+X1205))^$F1214</f>
        <v/>
      </c>
      <c r="Z1214" s="44">
        <f>Y1214*$G1214*(1+Z$7)^$D1214*(Z1196/Y1196)^$E1214*((Z1196+Z1205)/(Y1196+Y1205))^$F1214</f>
        <v/>
      </c>
      <c r="AA1214" s="44">
        <f>Z1214*$G1214*(1+AA$7)^$D1214*(AA1196/Z1196)^$E1214*((AA1196+AA1205)/(Z1196+Z1205))^$F1214</f>
        <v/>
      </c>
      <c r="AB1214" s="44">
        <f>AA1214*$G1214*(1+AB$7)^$D1214*(AB1196/AA1196)^$E1214*((AB1196+AB1205)/(AA1196+AA1205))^$F1214</f>
        <v/>
      </c>
      <c r="AC1214" s="44">
        <f>AB1214*$G1214*(1+AC$7)^$D1214*(AC1196/AB1196)^$E1214*((AC1196+AC1205)/(AB1196+AB1205))^$F1214</f>
        <v/>
      </c>
      <c r="AD1214" s="44">
        <f>AC1214*$G1214*(1+AD$7)^$D1214*(AD1196/AC1196)^$E1214*((AD1196+AD1205)/(AC1196+AC1205))^$F1214</f>
        <v/>
      </c>
      <c r="AE1214" s="57">
        <f>FUELUSE(AD1214,AE1196,AD1196,AE1205,AD1205,AE$7,$D1214,$E1214,$F1214,$G1214)</f>
        <v/>
      </c>
      <c r="AG1214" s="11">
        <f>CodePrefix&amp;$A1214&amp;IF($C1214="","","."&amp;$C1214&amp;"."&amp;$B1214)&amp;INDEX(VarEnd,MATCH($A1214,VarKey,0))&amp;AG$5</f>
        <v/>
      </c>
      <c r="AH1214" s="43">
        <f>INDEX(Inputs!$X$5:$X$132,MATCH($B1214&amp;"|"&amp;$C1214,Inputs!$A$5:$A$132,0))</f>
        <v/>
      </c>
      <c r="AI1214" s="44">
        <f>AH1214*$G1214*(1+AI$7)^$D1214*(AI1196/AH1196)^$E1214*((AI1196+AI1205)/(AH1196+AH1205))^$F1214</f>
        <v/>
      </c>
      <c r="AJ1214" s="44">
        <f>AI1214*$G1214*(1+AJ$7)^$D1214*(AJ1196/AI1196)^$E1214*((AJ1196+AJ1205)/(AI1196+AI1205))^$F1214</f>
        <v/>
      </c>
      <c r="AK1214" s="44">
        <f>AJ1214*$G1214*(1+AK$7)^$D1214*(AK1196/AJ1196)^$E1214*((AK1196+AK1205)/(AJ1196+AJ1205))^$F1214</f>
        <v/>
      </c>
      <c r="AL1214" s="44">
        <f>AK1214*$G1214*(1+AL$7)^$D1214*(AL1196/AK1196)^$E1214*((AL1196+AL1205)/(AK1196+AK1205))^$F1214</f>
        <v/>
      </c>
      <c r="AM1214" s="44">
        <f>AL1214*$G1214*(1+AM$7)^$D1214*(AM1196/AL1196)^$E1214*((AM1196+AM1205)/(AL1196+AL1205))^$F1214</f>
        <v/>
      </c>
      <c r="AN1214" s="44">
        <f>AM1214*$G1214*(1+AN$7)^$D1214*(AN1196/AM1196)^$E1214*((AN1196+AN1205)/(AM1196+AM1205))^$F1214</f>
        <v/>
      </c>
      <c r="AO1214" s="44">
        <f>AN1214*$G1214*(1+AO$7)^$D1214*(AO1196/AN1196)^$E1214*((AO1196+AO1205)/(AN1196+AN1205))^$F1214</f>
        <v/>
      </c>
      <c r="AP1214" s="44">
        <f>AO1214*$G1214*(1+AP$7)^$D1214*(AP1196/AO1196)^$E1214*((AP1196+AP1205)/(AO1196+AO1205))^$F1214</f>
        <v/>
      </c>
      <c r="AQ1214" s="44">
        <f>AP1214*$G1214*(1+AQ$7)^$D1214*(AQ1196/AP1196)^$E1214*((AQ1196+AQ1205)/(AP1196+AP1205))^$F1214</f>
        <v/>
      </c>
      <c r="AR1214" s="44">
        <f>AQ1214*$G1214*(1+AR$7)^$D1214*(AR1196/AQ1196)^$E1214*((AR1196+AR1205)/(AQ1196+AQ1205))^$F1214</f>
        <v/>
      </c>
      <c r="AS1214" s="44">
        <f>AR1214*$G1214*(1+AS$7)^$D1214*(AS1196/AR1196)^$E1214*((AS1196+AS1205)/(AR1196+AR1205))^$F1214</f>
        <v/>
      </c>
      <c r="AT1214" s="44">
        <f>AS1214*$G1214*(1+AT$7)^$D1214*(AT1196/AS1196)^$E1214*((AT1196+AT1205)/(AS1196+AS1205))^$F1214</f>
        <v/>
      </c>
      <c r="AU1214" s="44">
        <f>AT1214*$G1214*(1+AU$7)^$D1214*(AU1196/AT1196)^$E1214*((AU1196+AU1205)/(AT1196+AT1205))^$F1214</f>
        <v/>
      </c>
      <c r="AV1214" s="44">
        <f>AU1214*$G1214*(1+AV$7)^$D1214*(AV1196/AU1196)^$E1214*((AV1196+AV1205)/(AU1196+AU1205))^$F1214</f>
        <v/>
      </c>
      <c r="AW1214" s="44">
        <f>AV1214*$G1214*(1+AW$7)^$D1214*(AW1196/AV1196)^$E1214*((AW1196+AW1205)/(AV1196+AV1205))^$F1214</f>
        <v/>
      </c>
      <c r="AX1214" s="44">
        <f>AW1214*$G1214*(1+AX$7)^$D1214*(AX1196/AW1196)^$E1214*((AX1196+AX1205)/(AW1196+AW1205))^$F1214</f>
        <v/>
      </c>
      <c r="AY1214" s="44">
        <f>AX1214*$G1214*(1+AY$7)^$D1214*(AY1196/AX1196)^$E1214*((AY1196+AY1205)/(AX1196+AX1205))^$F1214</f>
        <v/>
      </c>
      <c r="AZ1214" s="44">
        <f>AY1214*$G1214*(1+AZ$7)^$D1214*(AZ1196/AY1196)^$E1214*((AZ1196+AZ1205)/(AY1196+AY1205))^$F1214</f>
        <v/>
      </c>
      <c r="BA1214" s="57">
        <f>FUELUSE(AZ1214,BA1196,AZ1196,BA1205,AZ1205,BA$7,$D1214,$E1214,$F1214,$G1214)</f>
        <v/>
      </c>
    </row>
    <row r="1215" hidden="1" outlineLevel="2"/>
    <row r="1216" hidden="1" outlineLevel="2">
      <c r="A1216" s="14" t="inlineStr">
        <is>
          <t>co2</t>
        </is>
      </c>
      <c r="B1216" s="14" t="inlineStr">
        <is>
          <t>coa</t>
        </is>
      </c>
      <c r="C1216" s="14" t="inlineStr">
        <is>
          <t>ral</t>
        </is>
      </c>
      <c r="D1216" s="35">
        <f>INDEX(Inputs!$W$5:$W$132,MATCH($B1216&amp;"|"&amp;$C1216,Inputs!$A$5:$A$132,0))</f>
        <v/>
      </c>
      <c r="E1216" s="39" t="n"/>
      <c r="F1216" s="39" t="n"/>
      <c r="G1216" s="39" t="n"/>
      <c r="H1216" s="14">
        <f>INDEX(VarLab,MATCH($A1216,VarKey,0))&amp;INDEX(MemLab,MATCH($C1216&amp;"|"&amp;$B1216,MemKey,0))</f>
        <v/>
      </c>
      <c r="I1216" s="14">
        <f>INDEX(VarUnit,MATCH($A1216,VarKey,0))</f>
        <v/>
      </c>
      <c r="J1216" s="14">
        <f>INDEX(VarSrc,MATCH($A1216,VarKey,0))</f>
        <v/>
      </c>
      <c r="K1216" s="11">
        <f>CodePrefix&amp;$A1216&amp;IF($C1216="","","."&amp;$C1216&amp;"."&amp;$B1216)&amp;INDEX(VarEnd,MATCH($A1216,VarKey,0))&amp;K$5</f>
        <v/>
      </c>
      <c r="L1216" s="15">
        <f>L1207*Settings!$C$13*$D1216</f>
        <v/>
      </c>
      <c r="M1216" s="16">
        <f>M1207*Settings!$C$13*$D1216</f>
        <v/>
      </c>
      <c r="N1216" s="16">
        <f>N1207*Settings!$C$13*$D1216</f>
        <v/>
      </c>
      <c r="O1216" s="16">
        <f>O1207*Settings!$C$13*$D1216</f>
        <v/>
      </c>
      <c r="P1216" s="16">
        <f>P1207*Settings!$C$13*$D1216</f>
        <v/>
      </c>
      <c r="Q1216" s="16">
        <f>Q1207*Settings!$C$13*$D1216</f>
        <v/>
      </c>
      <c r="R1216" s="16">
        <f>R1207*Settings!$C$13*$D1216</f>
        <v/>
      </c>
      <c r="S1216" s="16">
        <f>S1207*Settings!$C$13*$D1216</f>
        <v/>
      </c>
      <c r="T1216" s="16">
        <f>T1207*Settings!$C$13*$D1216</f>
        <v/>
      </c>
      <c r="U1216" s="16">
        <f>U1207*Settings!$C$13*$D1216</f>
        <v/>
      </c>
      <c r="V1216" s="16">
        <f>V1207*Settings!$C$13*$D1216</f>
        <v/>
      </c>
      <c r="W1216" s="16">
        <f>W1207*Settings!$C$13*$D1216</f>
        <v/>
      </c>
      <c r="X1216" s="16">
        <f>X1207*Settings!$C$13*$D1216</f>
        <v/>
      </c>
      <c r="Y1216" s="16">
        <f>Y1207*Settings!$C$13*$D1216</f>
        <v/>
      </c>
      <c r="Z1216" s="16">
        <f>Z1207*Settings!$C$13*$D1216</f>
        <v/>
      </c>
      <c r="AA1216" s="16">
        <f>AA1207*Settings!$C$13*$D1216</f>
        <v/>
      </c>
      <c r="AB1216" s="16">
        <f>AB1207*Settings!$C$13*$D1216</f>
        <v/>
      </c>
      <c r="AC1216" s="16">
        <f>AC1207*Settings!$C$13*$D1216</f>
        <v/>
      </c>
      <c r="AD1216" s="16">
        <f>AD1207*Settings!$C$13*$D1216</f>
        <v/>
      </c>
      <c r="AE1216" s="49">
        <f>EMISSIONS(AE1207,Settings!$C$13,$D1216)</f>
        <v/>
      </c>
      <c r="AG1216" s="11">
        <f>CodePrefix&amp;$A1216&amp;IF($C1216="","","."&amp;$C1216&amp;"."&amp;$B1216)&amp;INDEX(VarEnd,MATCH($A1216,VarKey,0))&amp;AG$5</f>
        <v/>
      </c>
      <c r="AH1216" s="15">
        <f>AH1207*Settings!$C$13*$D1216</f>
        <v/>
      </c>
      <c r="AI1216" s="16">
        <f>AI1207*Settings!$C$13*$D1216</f>
        <v/>
      </c>
      <c r="AJ1216" s="16">
        <f>AJ1207*Settings!$C$13*$D1216</f>
        <v/>
      </c>
      <c r="AK1216" s="16">
        <f>AK1207*Settings!$C$13*$D1216</f>
        <v/>
      </c>
      <c r="AL1216" s="16">
        <f>AL1207*Settings!$C$13*$D1216</f>
        <v/>
      </c>
      <c r="AM1216" s="16">
        <f>AM1207*Settings!$C$13*$D1216</f>
        <v/>
      </c>
      <c r="AN1216" s="16">
        <f>AN1207*Settings!$C$13*$D1216</f>
        <v/>
      </c>
      <c r="AO1216" s="16">
        <f>AO1207*Settings!$C$13*$D1216</f>
        <v/>
      </c>
      <c r="AP1216" s="16">
        <f>AP1207*Settings!$C$13*$D1216</f>
        <v/>
      </c>
      <c r="AQ1216" s="16">
        <f>AQ1207*Settings!$C$13*$D1216</f>
        <v/>
      </c>
      <c r="AR1216" s="16">
        <f>AR1207*Settings!$C$13*$D1216</f>
        <v/>
      </c>
      <c r="AS1216" s="16">
        <f>AS1207*Settings!$C$13*$D1216</f>
        <v/>
      </c>
      <c r="AT1216" s="16">
        <f>AT1207*Settings!$C$13*$D1216</f>
        <v/>
      </c>
      <c r="AU1216" s="16">
        <f>AU1207*Settings!$C$13*$D1216</f>
        <v/>
      </c>
      <c r="AV1216" s="16">
        <f>AV1207*Settings!$C$13*$D1216</f>
        <v/>
      </c>
      <c r="AW1216" s="16">
        <f>AW1207*Settings!$C$13*$D1216</f>
        <v/>
      </c>
      <c r="AX1216" s="16">
        <f>AX1207*Settings!$C$13*$D1216</f>
        <v/>
      </c>
      <c r="AY1216" s="16">
        <f>AY1207*Settings!$C$13*$D1216</f>
        <v/>
      </c>
      <c r="AZ1216" s="16">
        <f>AZ1207*Settings!$C$13*$D1216</f>
        <v/>
      </c>
      <c r="BA1216" s="49">
        <f>EMISSIONS(BA1207,Settings!$C$13,$D1216)</f>
        <v/>
      </c>
    </row>
    <row r="1217" hidden="1" outlineLevel="2">
      <c r="A1217" s="14" t="inlineStr">
        <is>
          <t>co2</t>
        </is>
      </c>
      <c r="B1217" s="14" t="inlineStr">
        <is>
          <t>nga</t>
        </is>
      </c>
      <c r="C1217" s="14" t="inlineStr">
        <is>
          <t>ral</t>
        </is>
      </c>
      <c r="D1217" s="35">
        <f>INDEX(Inputs!$W$5:$W$132,MATCH($B1217&amp;"|"&amp;$C1217,Inputs!$A$5:$A$132,0))</f>
        <v/>
      </c>
      <c r="E1217" s="39" t="n"/>
      <c r="F1217" s="39" t="n"/>
      <c r="G1217" s="39" t="n"/>
      <c r="H1217" s="14">
        <f>INDEX(VarLab,MATCH($A1217,VarKey,0))&amp;INDEX(MemLab,MATCH($C1217&amp;"|"&amp;$B1217,MemKey,0))</f>
        <v/>
      </c>
      <c r="I1217" s="14">
        <f>INDEX(VarUnit,MATCH($A1217,VarKey,0))</f>
        <v/>
      </c>
      <c r="J1217" s="14">
        <f>INDEX(VarSrc,MATCH($A1217,VarKey,0))</f>
        <v/>
      </c>
      <c r="K1217" s="11">
        <f>CodePrefix&amp;$A1217&amp;IF($C1217="","","."&amp;$C1217&amp;"."&amp;$B1217)&amp;INDEX(VarEnd,MATCH($A1217,VarKey,0))&amp;K$5</f>
        <v/>
      </c>
      <c r="L1217" s="15">
        <f>L1208*Settings!$C$13*$D1217</f>
        <v/>
      </c>
      <c r="M1217" s="16">
        <f>M1208*Settings!$C$13*$D1217</f>
        <v/>
      </c>
      <c r="N1217" s="16">
        <f>N1208*Settings!$C$13*$D1217</f>
        <v/>
      </c>
      <c r="O1217" s="16">
        <f>O1208*Settings!$C$13*$D1217</f>
        <v/>
      </c>
      <c r="P1217" s="16">
        <f>P1208*Settings!$C$13*$D1217</f>
        <v/>
      </c>
      <c r="Q1217" s="16">
        <f>Q1208*Settings!$C$13*$D1217</f>
        <v/>
      </c>
      <c r="R1217" s="16">
        <f>R1208*Settings!$C$13*$D1217</f>
        <v/>
      </c>
      <c r="S1217" s="16">
        <f>S1208*Settings!$C$13*$D1217</f>
        <v/>
      </c>
      <c r="T1217" s="16">
        <f>T1208*Settings!$C$13*$D1217</f>
        <v/>
      </c>
      <c r="U1217" s="16">
        <f>U1208*Settings!$C$13*$D1217</f>
        <v/>
      </c>
      <c r="V1217" s="16">
        <f>V1208*Settings!$C$13*$D1217</f>
        <v/>
      </c>
      <c r="W1217" s="16">
        <f>W1208*Settings!$C$13*$D1217</f>
        <v/>
      </c>
      <c r="X1217" s="16">
        <f>X1208*Settings!$C$13*$D1217</f>
        <v/>
      </c>
      <c r="Y1217" s="16">
        <f>Y1208*Settings!$C$13*$D1217</f>
        <v/>
      </c>
      <c r="Z1217" s="16">
        <f>Z1208*Settings!$C$13*$D1217</f>
        <v/>
      </c>
      <c r="AA1217" s="16">
        <f>AA1208*Settings!$C$13*$D1217</f>
        <v/>
      </c>
      <c r="AB1217" s="16">
        <f>AB1208*Settings!$C$13*$D1217</f>
        <v/>
      </c>
      <c r="AC1217" s="16">
        <f>AC1208*Settings!$C$13*$D1217</f>
        <v/>
      </c>
      <c r="AD1217" s="16">
        <f>AD1208*Settings!$C$13*$D1217</f>
        <v/>
      </c>
      <c r="AE1217" s="49">
        <f>EMISSIONS(AE1208,Settings!$C$13,$D1217)</f>
        <v/>
      </c>
      <c r="AG1217" s="11">
        <f>CodePrefix&amp;$A1217&amp;IF($C1217="","","."&amp;$C1217&amp;"."&amp;$B1217)&amp;INDEX(VarEnd,MATCH($A1217,VarKey,0))&amp;AG$5</f>
        <v/>
      </c>
      <c r="AH1217" s="15">
        <f>AH1208*Settings!$C$13*$D1217</f>
        <v/>
      </c>
      <c r="AI1217" s="16">
        <f>AI1208*Settings!$C$13*$D1217</f>
        <v/>
      </c>
      <c r="AJ1217" s="16">
        <f>AJ1208*Settings!$C$13*$D1217</f>
        <v/>
      </c>
      <c r="AK1217" s="16">
        <f>AK1208*Settings!$C$13*$D1217</f>
        <v/>
      </c>
      <c r="AL1217" s="16">
        <f>AL1208*Settings!$C$13*$D1217</f>
        <v/>
      </c>
      <c r="AM1217" s="16">
        <f>AM1208*Settings!$C$13*$D1217</f>
        <v/>
      </c>
      <c r="AN1217" s="16">
        <f>AN1208*Settings!$C$13*$D1217</f>
        <v/>
      </c>
      <c r="AO1217" s="16">
        <f>AO1208*Settings!$C$13*$D1217</f>
        <v/>
      </c>
      <c r="AP1217" s="16">
        <f>AP1208*Settings!$C$13*$D1217</f>
        <v/>
      </c>
      <c r="AQ1217" s="16">
        <f>AQ1208*Settings!$C$13*$D1217</f>
        <v/>
      </c>
      <c r="AR1217" s="16">
        <f>AR1208*Settings!$C$13*$D1217</f>
        <v/>
      </c>
      <c r="AS1217" s="16">
        <f>AS1208*Settings!$C$13*$D1217</f>
        <v/>
      </c>
      <c r="AT1217" s="16">
        <f>AT1208*Settings!$C$13*$D1217</f>
        <v/>
      </c>
      <c r="AU1217" s="16">
        <f>AU1208*Settings!$C$13*$D1217</f>
        <v/>
      </c>
      <c r="AV1217" s="16">
        <f>AV1208*Settings!$C$13*$D1217</f>
        <v/>
      </c>
      <c r="AW1217" s="16">
        <f>AW1208*Settings!$C$13*$D1217</f>
        <v/>
      </c>
      <c r="AX1217" s="16">
        <f>AX1208*Settings!$C$13*$D1217</f>
        <v/>
      </c>
      <c r="AY1217" s="16">
        <f>AY1208*Settings!$C$13*$D1217</f>
        <v/>
      </c>
      <c r="AZ1217" s="16">
        <f>AZ1208*Settings!$C$13*$D1217</f>
        <v/>
      </c>
      <c r="BA1217" s="49">
        <f>EMISSIONS(BA1208,Settings!$C$13,$D1217)</f>
        <v/>
      </c>
    </row>
    <row r="1218" hidden="1" outlineLevel="2">
      <c r="A1218" s="14" t="inlineStr">
        <is>
          <t>co2</t>
        </is>
      </c>
      <c r="B1218" s="14" t="inlineStr">
        <is>
          <t>gso</t>
        </is>
      </c>
      <c r="C1218" s="14" t="inlineStr">
        <is>
          <t>ral</t>
        </is>
      </c>
      <c r="D1218" s="35">
        <f>INDEX(Inputs!$W$5:$W$132,MATCH($B1218&amp;"|"&amp;$C1218,Inputs!$A$5:$A$132,0))</f>
        <v/>
      </c>
      <c r="E1218" s="39" t="n"/>
      <c r="F1218" s="39" t="n"/>
      <c r="G1218" s="39" t="n"/>
      <c r="H1218" s="14">
        <f>INDEX(VarLab,MATCH($A1218,VarKey,0))&amp;INDEX(MemLab,MATCH($C1218&amp;"|"&amp;$B1218,MemKey,0))</f>
        <v/>
      </c>
      <c r="I1218" s="14">
        <f>INDEX(VarUnit,MATCH($A1218,VarKey,0))</f>
        <v/>
      </c>
      <c r="J1218" s="14">
        <f>INDEX(VarSrc,MATCH($A1218,VarKey,0))</f>
        <v/>
      </c>
      <c r="K1218" s="11">
        <f>CodePrefix&amp;$A1218&amp;IF($C1218="","","."&amp;$C1218&amp;"."&amp;$B1218)&amp;INDEX(VarEnd,MATCH($A1218,VarKey,0))&amp;K$5</f>
        <v/>
      </c>
      <c r="L1218" s="15">
        <f>L1209*Settings!$C$13*$D1218</f>
        <v/>
      </c>
      <c r="M1218" s="16">
        <f>M1209*Settings!$C$13*$D1218</f>
        <v/>
      </c>
      <c r="N1218" s="16">
        <f>N1209*Settings!$C$13*$D1218</f>
        <v/>
      </c>
      <c r="O1218" s="16">
        <f>O1209*Settings!$C$13*$D1218</f>
        <v/>
      </c>
      <c r="P1218" s="16">
        <f>P1209*Settings!$C$13*$D1218</f>
        <v/>
      </c>
      <c r="Q1218" s="16">
        <f>Q1209*Settings!$C$13*$D1218</f>
        <v/>
      </c>
      <c r="R1218" s="16">
        <f>R1209*Settings!$C$13*$D1218</f>
        <v/>
      </c>
      <c r="S1218" s="16">
        <f>S1209*Settings!$C$13*$D1218</f>
        <v/>
      </c>
      <c r="T1218" s="16">
        <f>T1209*Settings!$C$13*$D1218</f>
        <v/>
      </c>
      <c r="U1218" s="16">
        <f>U1209*Settings!$C$13*$D1218</f>
        <v/>
      </c>
      <c r="V1218" s="16">
        <f>V1209*Settings!$C$13*$D1218</f>
        <v/>
      </c>
      <c r="W1218" s="16">
        <f>W1209*Settings!$C$13*$D1218</f>
        <v/>
      </c>
      <c r="X1218" s="16">
        <f>X1209*Settings!$C$13*$D1218</f>
        <v/>
      </c>
      <c r="Y1218" s="16">
        <f>Y1209*Settings!$C$13*$D1218</f>
        <v/>
      </c>
      <c r="Z1218" s="16">
        <f>Z1209*Settings!$C$13*$D1218</f>
        <v/>
      </c>
      <c r="AA1218" s="16">
        <f>AA1209*Settings!$C$13*$D1218</f>
        <v/>
      </c>
      <c r="AB1218" s="16">
        <f>AB1209*Settings!$C$13*$D1218</f>
        <v/>
      </c>
      <c r="AC1218" s="16">
        <f>AC1209*Settings!$C$13*$D1218</f>
        <v/>
      </c>
      <c r="AD1218" s="16">
        <f>AD1209*Settings!$C$13*$D1218</f>
        <v/>
      </c>
      <c r="AE1218" s="49">
        <f>EMISSIONS(AE1209,Settings!$C$13,$D1218)</f>
        <v/>
      </c>
      <c r="AG1218" s="11">
        <f>CodePrefix&amp;$A1218&amp;IF($C1218="","","."&amp;$C1218&amp;"."&amp;$B1218)&amp;INDEX(VarEnd,MATCH($A1218,VarKey,0))&amp;AG$5</f>
        <v/>
      </c>
      <c r="AH1218" s="15">
        <f>AH1209*Settings!$C$13*$D1218</f>
        <v/>
      </c>
      <c r="AI1218" s="16">
        <f>AI1209*Settings!$C$13*$D1218</f>
        <v/>
      </c>
      <c r="AJ1218" s="16">
        <f>AJ1209*Settings!$C$13*$D1218</f>
        <v/>
      </c>
      <c r="AK1218" s="16">
        <f>AK1209*Settings!$C$13*$D1218</f>
        <v/>
      </c>
      <c r="AL1218" s="16">
        <f>AL1209*Settings!$C$13*$D1218</f>
        <v/>
      </c>
      <c r="AM1218" s="16">
        <f>AM1209*Settings!$C$13*$D1218</f>
        <v/>
      </c>
      <c r="AN1218" s="16">
        <f>AN1209*Settings!$C$13*$D1218</f>
        <v/>
      </c>
      <c r="AO1218" s="16">
        <f>AO1209*Settings!$C$13*$D1218</f>
        <v/>
      </c>
      <c r="AP1218" s="16">
        <f>AP1209*Settings!$C$13*$D1218</f>
        <v/>
      </c>
      <c r="AQ1218" s="16">
        <f>AQ1209*Settings!$C$13*$D1218</f>
        <v/>
      </c>
      <c r="AR1218" s="16">
        <f>AR1209*Settings!$C$13*$D1218</f>
        <v/>
      </c>
      <c r="AS1218" s="16">
        <f>AS1209*Settings!$C$13*$D1218</f>
        <v/>
      </c>
      <c r="AT1218" s="16">
        <f>AT1209*Settings!$C$13*$D1218</f>
        <v/>
      </c>
      <c r="AU1218" s="16">
        <f>AU1209*Settings!$C$13*$D1218</f>
        <v/>
      </c>
      <c r="AV1218" s="16">
        <f>AV1209*Settings!$C$13*$D1218</f>
        <v/>
      </c>
      <c r="AW1218" s="16">
        <f>AW1209*Settings!$C$13*$D1218</f>
        <v/>
      </c>
      <c r="AX1218" s="16">
        <f>AX1209*Settings!$C$13*$D1218</f>
        <v/>
      </c>
      <c r="AY1218" s="16">
        <f>AY1209*Settings!$C$13*$D1218</f>
        <v/>
      </c>
      <c r="AZ1218" s="16">
        <f>AZ1209*Settings!$C$13*$D1218</f>
        <v/>
      </c>
      <c r="BA1218" s="49">
        <f>EMISSIONS(BA1209,Settings!$C$13,$D1218)</f>
        <v/>
      </c>
    </row>
    <row r="1219" hidden="1" outlineLevel="2">
      <c r="A1219" s="14" t="inlineStr">
        <is>
          <t>co2</t>
        </is>
      </c>
      <c r="B1219" s="14" t="inlineStr">
        <is>
          <t>die</t>
        </is>
      </c>
      <c r="C1219" s="14" t="inlineStr">
        <is>
          <t>ral</t>
        </is>
      </c>
      <c r="D1219" s="35">
        <f>INDEX(Inputs!$W$5:$W$132,MATCH($B1219&amp;"|"&amp;$C1219,Inputs!$A$5:$A$132,0))</f>
        <v/>
      </c>
      <c r="E1219" s="39" t="n"/>
      <c r="F1219" s="39" t="n"/>
      <c r="G1219" s="39" t="n"/>
      <c r="H1219" s="14">
        <f>INDEX(VarLab,MATCH($A1219,VarKey,0))&amp;INDEX(MemLab,MATCH($C1219&amp;"|"&amp;$B1219,MemKey,0))</f>
        <v/>
      </c>
      <c r="I1219" s="14">
        <f>INDEX(VarUnit,MATCH($A1219,VarKey,0))</f>
        <v/>
      </c>
      <c r="J1219" s="14">
        <f>INDEX(VarSrc,MATCH($A1219,VarKey,0))</f>
        <v/>
      </c>
      <c r="K1219" s="11">
        <f>CodePrefix&amp;$A1219&amp;IF($C1219="","","."&amp;$C1219&amp;"."&amp;$B1219)&amp;INDEX(VarEnd,MATCH($A1219,VarKey,0))&amp;K$5</f>
        <v/>
      </c>
      <c r="L1219" s="15">
        <f>L1210*Settings!$C$13*$D1219</f>
        <v/>
      </c>
      <c r="M1219" s="16">
        <f>M1210*Settings!$C$13*$D1219</f>
        <v/>
      </c>
      <c r="N1219" s="16">
        <f>N1210*Settings!$C$13*$D1219</f>
        <v/>
      </c>
      <c r="O1219" s="16">
        <f>O1210*Settings!$C$13*$D1219</f>
        <v/>
      </c>
      <c r="P1219" s="16">
        <f>P1210*Settings!$C$13*$D1219</f>
        <v/>
      </c>
      <c r="Q1219" s="16">
        <f>Q1210*Settings!$C$13*$D1219</f>
        <v/>
      </c>
      <c r="R1219" s="16">
        <f>R1210*Settings!$C$13*$D1219</f>
        <v/>
      </c>
      <c r="S1219" s="16">
        <f>S1210*Settings!$C$13*$D1219</f>
        <v/>
      </c>
      <c r="T1219" s="16">
        <f>T1210*Settings!$C$13*$D1219</f>
        <v/>
      </c>
      <c r="U1219" s="16">
        <f>U1210*Settings!$C$13*$D1219</f>
        <v/>
      </c>
      <c r="V1219" s="16">
        <f>V1210*Settings!$C$13*$D1219</f>
        <v/>
      </c>
      <c r="W1219" s="16">
        <f>W1210*Settings!$C$13*$D1219</f>
        <v/>
      </c>
      <c r="X1219" s="16">
        <f>X1210*Settings!$C$13*$D1219</f>
        <v/>
      </c>
      <c r="Y1219" s="16">
        <f>Y1210*Settings!$C$13*$D1219</f>
        <v/>
      </c>
      <c r="Z1219" s="16">
        <f>Z1210*Settings!$C$13*$D1219</f>
        <v/>
      </c>
      <c r="AA1219" s="16">
        <f>AA1210*Settings!$C$13*$D1219</f>
        <v/>
      </c>
      <c r="AB1219" s="16">
        <f>AB1210*Settings!$C$13*$D1219</f>
        <v/>
      </c>
      <c r="AC1219" s="16">
        <f>AC1210*Settings!$C$13*$D1219</f>
        <v/>
      </c>
      <c r="AD1219" s="16">
        <f>AD1210*Settings!$C$13*$D1219</f>
        <v/>
      </c>
      <c r="AE1219" s="49">
        <f>EMISSIONS(AE1210,Settings!$C$13,$D1219)</f>
        <v/>
      </c>
      <c r="AG1219" s="11">
        <f>CodePrefix&amp;$A1219&amp;IF($C1219="","","."&amp;$C1219&amp;"."&amp;$B1219)&amp;INDEX(VarEnd,MATCH($A1219,VarKey,0))&amp;AG$5</f>
        <v/>
      </c>
      <c r="AH1219" s="15">
        <f>AH1210*Settings!$C$13*$D1219</f>
        <v/>
      </c>
      <c r="AI1219" s="16">
        <f>AI1210*Settings!$C$13*$D1219</f>
        <v/>
      </c>
      <c r="AJ1219" s="16">
        <f>AJ1210*Settings!$C$13*$D1219</f>
        <v/>
      </c>
      <c r="AK1219" s="16">
        <f>AK1210*Settings!$C$13*$D1219</f>
        <v/>
      </c>
      <c r="AL1219" s="16">
        <f>AL1210*Settings!$C$13*$D1219</f>
        <v/>
      </c>
      <c r="AM1219" s="16">
        <f>AM1210*Settings!$C$13*$D1219</f>
        <v/>
      </c>
      <c r="AN1219" s="16">
        <f>AN1210*Settings!$C$13*$D1219</f>
        <v/>
      </c>
      <c r="AO1219" s="16">
        <f>AO1210*Settings!$C$13*$D1219</f>
        <v/>
      </c>
      <c r="AP1219" s="16">
        <f>AP1210*Settings!$C$13*$D1219</f>
        <v/>
      </c>
      <c r="AQ1219" s="16">
        <f>AQ1210*Settings!$C$13*$D1219</f>
        <v/>
      </c>
      <c r="AR1219" s="16">
        <f>AR1210*Settings!$C$13*$D1219</f>
        <v/>
      </c>
      <c r="AS1219" s="16">
        <f>AS1210*Settings!$C$13*$D1219</f>
        <v/>
      </c>
      <c r="AT1219" s="16">
        <f>AT1210*Settings!$C$13*$D1219</f>
        <v/>
      </c>
      <c r="AU1219" s="16">
        <f>AU1210*Settings!$C$13*$D1219</f>
        <v/>
      </c>
      <c r="AV1219" s="16">
        <f>AV1210*Settings!$C$13*$D1219</f>
        <v/>
      </c>
      <c r="AW1219" s="16">
        <f>AW1210*Settings!$C$13*$D1219</f>
        <v/>
      </c>
      <c r="AX1219" s="16">
        <f>AX1210*Settings!$C$13*$D1219</f>
        <v/>
      </c>
      <c r="AY1219" s="16">
        <f>AY1210*Settings!$C$13*$D1219</f>
        <v/>
      </c>
      <c r="AZ1219" s="16">
        <f>AZ1210*Settings!$C$13*$D1219</f>
        <v/>
      </c>
      <c r="BA1219" s="49">
        <f>EMISSIONS(BA1210,Settings!$C$13,$D1219)</f>
        <v/>
      </c>
    </row>
    <row r="1220" hidden="1" outlineLevel="2">
      <c r="A1220" s="14" t="inlineStr">
        <is>
          <t>co2</t>
        </is>
      </c>
      <c r="B1220" s="14" t="inlineStr">
        <is>
          <t>lpg</t>
        </is>
      </c>
      <c r="C1220" s="14" t="inlineStr">
        <is>
          <t>ral</t>
        </is>
      </c>
      <c r="D1220" s="35">
        <f>INDEX(Inputs!$W$5:$W$132,MATCH($B1220&amp;"|"&amp;$C1220,Inputs!$A$5:$A$132,0))</f>
        <v/>
      </c>
      <c r="E1220" s="39" t="n"/>
      <c r="F1220" s="39" t="n"/>
      <c r="G1220" s="39" t="n"/>
      <c r="H1220" s="14">
        <f>INDEX(VarLab,MATCH($A1220,VarKey,0))&amp;INDEX(MemLab,MATCH($C1220&amp;"|"&amp;$B1220,MemKey,0))</f>
        <v/>
      </c>
      <c r="I1220" s="14">
        <f>INDEX(VarUnit,MATCH($A1220,VarKey,0))</f>
        <v/>
      </c>
      <c r="J1220" s="14">
        <f>INDEX(VarSrc,MATCH($A1220,VarKey,0))</f>
        <v/>
      </c>
      <c r="K1220" s="11">
        <f>CodePrefix&amp;$A1220&amp;IF($C1220="","","."&amp;$C1220&amp;"."&amp;$B1220)&amp;INDEX(VarEnd,MATCH($A1220,VarKey,0))&amp;K$5</f>
        <v/>
      </c>
      <c r="L1220" s="15">
        <f>L1211*Settings!$C$13*$D1220</f>
        <v/>
      </c>
      <c r="M1220" s="16">
        <f>M1211*Settings!$C$13*$D1220</f>
        <v/>
      </c>
      <c r="N1220" s="16">
        <f>N1211*Settings!$C$13*$D1220</f>
        <v/>
      </c>
      <c r="O1220" s="16">
        <f>O1211*Settings!$C$13*$D1220</f>
        <v/>
      </c>
      <c r="P1220" s="16">
        <f>P1211*Settings!$C$13*$D1220</f>
        <v/>
      </c>
      <c r="Q1220" s="16">
        <f>Q1211*Settings!$C$13*$D1220</f>
        <v/>
      </c>
      <c r="R1220" s="16">
        <f>R1211*Settings!$C$13*$D1220</f>
        <v/>
      </c>
      <c r="S1220" s="16">
        <f>S1211*Settings!$C$13*$D1220</f>
        <v/>
      </c>
      <c r="T1220" s="16">
        <f>T1211*Settings!$C$13*$D1220</f>
        <v/>
      </c>
      <c r="U1220" s="16">
        <f>U1211*Settings!$C$13*$D1220</f>
        <v/>
      </c>
      <c r="V1220" s="16">
        <f>V1211*Settings!$C$13*$D1220</f>
        <v/>
      </c>
      <c r="W1220" s="16">
        <f>W1211*Settings!$C$13*$D1220</f>
        <v/>
      </c>
      <c r="X1220" s="16">
        <f>X1211*Settings!$C$13*$D1220</f>
        <v/>
      </c>
      <c r="Y1220" s="16">
        <f>Y1211*Settings!$C$13*$D1220</f>
        <v/>
      </c>
      <c r="Z1220" s="16">
        <f>Z1211*Settings!$C$13*$D1220</f>
        <v/>
      </c>
      <c r="AA1220" s="16">
        <f>AA1211*Settings!$C$13*$D1220</f>
        <v/>
      </c>
      <c r="AB1220" s="16">
        <f>AB1211*Settings!$C$13*$D1220</f>
        <v/>
      </c>
      <c r="AC1220" s="16">
        <f>AC1211*Settings!$C$13*$D1220</f>
        <v/>
      </c>
      <c r="AD1220" s="16">
        <f>AD1211*Settings!$C$13*$D1220</f>
        <v/>
      </c>
      <c r="AE1220" s="49">
        <f>EMISSIONS(AE1211,Settings!$C$13,$D1220)</f>
        <v/>
      </c>
      <c r="AG1220" s="11">
        <f>CodePrefix&amp;$A1220&amp;IF($C1220="","","."&amp;$C1220&amp;"."&amp;$B1220)&amp;INDEX(VarEnd,MATCH($A1220,VarKey,0))&amp;AG$5</f>
        <v/>
      </c>
      <c r="AH1220" s="15">
        <f>AH1211*Settings!$C$13*$D1220</f>
        <v/>
      </c>
      <c r="AI1220" s="16">
        <f>AI1211*Settings!$C$13*$D1220</f>
        <v/>
      </c>
      <c r="AJ1220" s="16">
        <f>AJ1211*Settings!$C$13*$D1220</f>
        <v/>
      </c>
      <c r="AK1220" s="16">
        <f>AK1211*Settings!$C$13*$D1220</f>
        <v/>
      </c>
      <c r="AL1220" s="16">
        <f>AL1211*Settings!$C$13*$D1220</f>
        <v/>
      </c>
      <c r="AM1220" s="16">
        <f>AM1211*Settings!$C$13*$D1220</f>
        <v/>
      </c>
      <c r="AN1220" s="16">
        <f>AN1211*Settings!$C$13*$D1220</f>
        <v/>
      </c>
      <c r="AO1220" s="16">
        <f>AO1211*Settings!$C$13*$D1220</f>
        <v/>
      </c>
      <c r="AP1220" s="16">
        <f>AP1211*Settings!$C$13*$D1220</f>
        <v/>
      </c>
      <c r="AQ1220" s="16">
        <f>AQ1211*Settings!$C$13*$D1220</f>
        <v/>
      </c>
      <c r="AR1220" s="16">
        <f>AR1211*Settings!$C$13*$D1220</f>
        <v/>
      </c>
      <c r="AS1220" s="16">
        <f>AS1211*Settings!$C$13*$D1220</f>
        <v/>
      </c>
      <c r="AT1220" s="16">
        <f>AT1211*Settings!$C$13*$D1220</f>
        <v/>
      </c>
      <c r="AU1220" s="16">
        <f>AU1211*Settings!$C$13*$D1220</f>
        <v/>
      </c>
      <c r="AV1220" s="16">
        <f>AV1211*Settings!$C$13*$D1220</f>
        <v/>
      </c>
      <c r="AW1220" s="16">
        <f>AW1211*Settings!$C$13*$D1220</f>
        <v/>
      </c>
      <c r="AX1220" s="16">
        <f>AX1211*Settings!$C$13*$D1220</f>
        <v/>
      </c>
      <c r="AY1220" s="16">
        <f>AY1211*Settings!$C$13*$D1220</f>
        <v/>
      </c>
      <c r="AZ1220" s="16">
        <f>AZ1211*Settings!$C$13*$D1220</f>
        <v/>
      </c>
      <c r="BA1220" s="49">
        <f>EMISSIONS(BA1211,Settings!$C$13,$D1220)</f>
        <v/>
      </c>
    </row>
    <row r="1221" hidden="1" outlineLevel="2">
      <c r="A1221" s="14" t="inlineStr">
        <is>
          <t>co2</t>
        </is>
      </c>
      <c r="B1221" s="14" t="inlineStr">
        <is>
          <t>ker</t>
        </is>
      </c>
      <c r="C1221" s="14" t="inlineStr">
        <is>
          <t>ral</t>
        </is>
      </c>
      <c r="D1221" s="35">
        <f>INDEX(Inputs!$W$5:$W$132,MATCH($B1221&amp;"|"&amp;$C1221,Inputs!$A$5:$A$132,0))</f>
        <v/>
      </c>
      <c r="E1221" s="39" t="n"/>
      <c r="F1221" s="39" t="n"/>
      <c r="G1221" s="39" t="n"/>
      <c r="H1221" s="14">
        <f>INDEX(VarLab,MATCH($A1221,VarKey,0))&amp;INDEX(MemLab,MATCH($C1221&amp;"|"&amp;$B1221,MemKey,0))</f>
        <v/>
      </c>
      <c r="I1221" s="14">
        <f>INDEX(VarUnit,MATCH($A1221,VarKey,0))</f>
        <v/>
      </c>
      <c r="J1221" s="14">
        <f>INDEX(VarSrc,MATCH($A1221,VarKey,0))</f>
        <v/>
      </c>
      <c r="K1221" s="11">
        <f>CodePrefix&amp;$A1221&amp;IF($C1221="","","."&amp;$C1221&amp;"."&amp;$B1221)&amp;INDEX(VarEnd,MATCH($A1221,VarKey,0))&amp;K$5</f>
        <v/>
      </c>
      <c r="L1221" s="15">
        <f>L1212*Settings!$C$13*$D1221</f>
        <v/>
      </c>
      <c r="M1221" s="16">
        <f>M1212*Settings!$C$13*$D1221</f>
        <v/>
      </c>
      <c r="N1221" s="16">
        <f>N1212*Settings!$C$13*$D1221</f>
        <v/>
      </c>
      <c r="O1221" s="16">
        <f>O1212*Settings!$C$13*$D1221</f>
        <v/>
      </c>
      <c r="P1221" s="16">
        <f>P1212*Settings!$C$13*$D1221</f>
        <v/>
      </c>
      <c r="Q1221" s="16">
        <f>Q1212*Settings!$C$13*$D1221</f>
        <v/>
      </c>
      <c r="R1221" s="16">
        <f>R1212*Settings!$C$13*$D1221</f>
        <v/>
      </c>
      <c r="S1221" s="16">
        <f>S1212*Settings!$C$13*$D1221</f>
        <v/>
      </c>
      <c r="T1221" s="16">
        <f>T1212*Settings!$C$13*$D1221</f>
        <v/>
      </c>
      <c r="U1221" s="16">
        <f>U1212*Settings!$C$13*$D1221</f>
        <v/>
      </c>
      <c r="V1221" s="16">
        <f>V1212*Settings!$C$13*$D1221</f>
        <v/>
      </c>
      <c r="W1221" s="16">
        <f>W1212*Settings!$C$13*$D1221</f>
        <v/>
      </c>
      <c r="X1221" s="16">
        <f>X1212*Settings!$C$13*$D1221</f>
        <v/>
      </c>
      <c r="Y1221" s="16">
        <f>Y1212*Settings!$C$13*$D1221</f>
        <v/>
      </c>
      <c r="Z1221" s="16">
        <f>Z1212*Settings!$C$13*$D1221</f>
        <v/>
      </c>
      <c r="AA1221" s="16">
        <f>AA1212*Settings!$C$13*$D1221</f>
        <v/>
      </c>
      <c r="AB1221" s="16">
        <f>AB1212*Settings!$C$13*$D1221</f>
        <v/>
      </c>
      <c r="AC1221" s="16">
        <f>AC1212*Settings!$C$13*$D1221</f>
        <v/>
      </c>
      <c r="AD1221" s="16">
        <f>AD1212*Settings!$C$13*$D1221</f>
        <v/>
      </c>
      <c r="AE1221" s="49">
        <f>EMISSIONS(AE1212,Settings!$C$13,$D1221)</f>
        <v/>
      </c>
      <c r="AG1221" s="11">
        <f>CodePrefix&amp;$A1221&amp;IF($C1221="","","."&amp;$C1221&amp;"."&amp;$B1221)&amp;INDEX(VarEnd,MATCH($A1221,VarKey,0))&amp;AG$5</f>
        <v/>
      </c>
      <c r="AH1221" s="15">
        <f>AH1212*Settings!$C$13*$D1221</f>
        <v/>
      </c>
      <c r="AI1221" s="16">
        <f>AI1212*Settings!$C$13*$D1221</f>
        <v/>
      </c>
      <c r="AJ1221" s="16">
        <f>AJ1212*Settings!$C$13*$D1221</f>
        <v/>
      </c>
      <c r="AK1221" s="16">
        <f>AK1212*Settings!$C$13*$D1221</f>
        <v/>
      </c>
      <c r="AL1221" s="16">
        <f>AL1212*Settings!$C$13*$D1221</f>
        <v/>
      </c>
      <c r="AM1221" s="16">
        <f>AM1212*Settings!$C$13*$D1221</f>
        <v/>
      </c>
      <c r="AN1221" s="16">
        <f>AN1212*Settings!$C$13*$D1221</f>
        <v/>
      </c>
      <c r="AO1221" s="16">
        <f>AO1212*Settings!$C$13*$D1221</f>
        <v/>
      </c>
      <c r="AP1221" s="16">
        <f>AP1212*Settings!$C$13*$D1221</f>
        <v/>
      </c>
      <c r="AQ1221" s="16">
        <f>AQ1212*Settings!$C$13*$D1221</f>
        <v/>
      </c>
      <c r="AR1221" s="16">
        <f>AR1212*Settings!$C$13*$D1221</f>
        <v/>
      </c>
      <c r="AS1221" s="16">
        <f>AS1212*Settings!$C$13*$D1221</f>
        <v/>
      </c>
      <c r="AT1221" s="16">
        <f>AT1212*Settings!$C$13*$D1221</f>
        <v/>
      </c>
      <c r="AU1221" s="16">
        <f>AU1212*Settings!$C$13*$D1221</f>
        <v/>
      </c>
      <c r="AV1221" s="16">
        <f>AV1212*Settings!$C$13*$D1221</f>
        <v/>
      </c>
      <c r="AW1221" s="16">
        <f>AW1212*Settings!$C$13*$D1221</f>
        <v/>
      </c>
      <c r="AX1221" s="16">
        <f>AX1212*Settings!$C$13*$D1221</f>
        <v/>
      </c>
      <c r="AY1221" s="16">
        <f>AY1212*Settings!$C$13*$D1221</f>
        <v/>
      </c>
      <c r="AZ1221" s="16">
        <f>AZ1212*Settings!$C$13*$D1221</f>
        <v/>
      </c>
      <c r="BA1221" s="49">
        <f>EMISSIONS(BA1212,Settings!$C$13,$D1221)</f>
        <v/>
      </c>
    </row>
    <row r="1222" hidden="1" outlineLevel="2">
      <c r="A1222" s="14" t="inlineStr">
        <is>
          <t>co2</t>
        </is>
      </c>
      <c r="B1222" s="14" t="inlineStr">
        <is>
          <t>oop</t>
        </is>
      </c>
      <c r="C1222" s="14" t="inlineStr">
        <is>
          <t>ral</t>
        </is>
      </c>
      <c r="D1222" s="35">
        <f>INDEX(Inputs!$W$5:$W$132,MATCH($B1222&amp;"|"&amp;$C1222,Inputs!$A$5:$A$132,0))</f>
        <v/>
      </c>
      <c r="E1222" s="39" t="n"/>
      <c r="F1222" s="39" t="n"/>
      <c r="G1222" s="39" t="n"/>
      <c r="H1222" s="14">
        <f>INDEX(VarLab,MATCH($A1222,VarKey,0))&amp;INDEX(MemLab,MATCH($C1222&amp;"|"&amp;$B1222,MemKey,0))</f>
        <v/>
      </c>
      <c r="I1222" s="14">
        <f>INDEX(VarUnit,MATCH($A1222,VarKey,0))</f>
        <v/>
      </c>
      <c r="J1222" s="14">
        <f>INDEX(VarSrc,MATCH($A1222,VarKey,0))</f>
        <v/>
      </c>
      <c r="K1222" s="11">
        <f>CodePrefix&amp;$A1222&amp;IF($C1222="","","."&amp;$C1222&amp;"."&amp;$B1222)&amp;INDEX(VarEnd,MATCH($A1222,VarKey,0))&amp;K$5</f>
        <v/>
      </c>
      <c r="L1222" s="15">
        <f>L1213*Settings!$C$13*$D1222</f>
        <v/>
      </c>
      <c r="M1222" s="16">
        <f>M1213*Settings!$C$13*$D1222</f>
        <v/>
      </c>
      <c r="N1222" s="16">
        <f>N1213*Settings!$C$13*$D1222</f>
        <v/>
      </c>
      <c r="O1222" s="16">
        <f>O1213*Settings!$C$13*$D1222</f>
        <v/>
      </c>
      <c r="P1222" s="16">
        <f>P1213*Settings!$C$13*$D1222</f>
        <v/>
      </c>
      <c r="Q1222" s="16">
        <f>Q1213*Settings!$C$13*$D1222</f>
        <v/>
      </c>
      <c r="R1222" s="16">
        <f>R1213*Settings!$C$13*$D1222</f>
        <v/>
      </c>
      <c r="S1222" s="16">
        <f>S1213*Settings!$C$13*$D1222</f>
        <v/>
      </c>
      <c r="T1222" s="16">
        <f>T1213*Settings!$C$13*$D1222</f>
        <v/>
      </c>
      <c r="U1222" s="16">
        <f>U1213*Settings!$C$13*$D1222</f>
        <v/>
      </c>
      <c r="V1222" s="16">
        <f>V1213*Settings!$C$13*$D1222</f>
        <v/>
      </c>
      <c r="W1222" s="16">
        <f>W1213*Settings!$C$13*$D1222</f>
        <v/>
      </c>
      <c r="X1222" s="16">
        <f>X1213*Settings!$C$13*$D1222</f>
        <v/>
      </c>
      <c r="Y1222" s="16">
        <f>Y1213*Settings!$C$13*$D1222</f>
        <v/>
      </c>
      <c r="Z1222" s="16">
        <f>Z1213*Settings!$C$13*$D1222</f>
        <v/>
      </c>
      <c r="AA1222" s="16">
        <f>AA1213*Settings!$C$13*$D1222</f>
        <v/>
      </c>
      <c r="AB1222" s="16">
        <f>AB1213*Settings!$C$13*$D1222</f>
        <v/>
      </c>
      <c r="AC1222" s="16">
        <f>AC1213*Settings!$C$13*$D1222</f>
        <v/>
      </c>
      <c r="AD1222" s="16">
        <f>AD1213*Settings!$C$13*$D1222</f>
        <v/>
      </c>
      <c r="AE1222" s="49">
        <f>EMISSIONS(AE1213,Settings!$C$13,$D1222)</f>
        <v/>
      </c>
      <c r="AG1222" s="11">
        <f>CodePrefix&amp;$A1222&amp;IF($C1222="","","."&amp;$C1222&amp;"."&amp;$B1222)&amp;INDEX(VarEnd,MATCH($A1222,VarKey,0))&amp;AG$5</f>
        <v/>
      </c>
      <c r="AH1222" s="15">
        <f>AH1213*Settings!$C$13*$D1222</f>
        <v/>
      </c>
      <c r="AI1222" s="16">
        <f>AI1213*Settings!$C$13*$D1222</f>
        <v/>
      </c>
      <c r="AJ1222" s="16">
        <f>AJ1213*Settings!$C$13*$D1222</f>
        <v/>
      </c>
      <c r="AK1222" s="16">
        <f>AK1213*Settings!$C$13*$D1222</f>
        <v/>
      </c>
      <c r="AL1222" s="16">
        <f>AL1213*Settings!$C$13*$D1222</f>
        <v/>
      </c>
      <c r="AM1222" s="16">
        <f>AM1213*Settings!$C$13*$D1222</f>
        <v/>
      </c>
      <c r="AN1222" s="16">
        <f>AN1213*Settings!$C$13*$D1222</f>
        <v/>
      </c>
      <c r="AO1222" s="16">
        <f>AO1213*Settings!$C$13*$D1222</f>
        <v/>
      </c>
      <c r="AP1222" s="16">
        <f>AP1213*Settings!$C$13*$D1222</f>
        <v/>
      </c>
      <c r="AQ1222" s="16">
        <f>AQ1213*Settings!$C$13*$D1222</f>
        <v/>
      </c>
      <c r="AR1222" s="16">
        <f>AR1213*Settings!$C$13*$D1222</f>
        <v/>
      </c>
      <c r="AS1222" s="16">
        <f>AS1213*Settings!$C$13*$D1222</f>
        <v/>
      </c>
      <c r="AT1222" s="16">
        <f>AT1213*Settings!$C$13*$D1222</f>
        <v/>
      </c>
      <c r="AU1222" s="16">
        <f>AU1213*Settings!$C$13*$D1222</f>
        <v/>
      </c>
      <c r="AV1222" s="16">
        <f>AV1213*Settings!$C$13*$D1222</f>
        <v/>
      </c>
      <c r="AW1222" s="16">
        <f>AW1213*Settings!$C$13*$D1222</f>
        <v/>
      </c>
      <c r="AX1222" s="16">
        <f>AX1213*Settings!$C$13*$D1222</f>
        <v/>
      </c>
      <c r="AY1222" s="16">
        <f>AY1213*Settings!$C$13*$D1222</f>
        <v/>
      </c>
      <c r="AZ1222" s="16">
        <f>AZ1213*Settings!$C$13*$D1222</f>
        <v/>
      </c>
      <c r="BA1222" s="49">
        <f>EMISSIONS(BA1213,Settings!$C$13,$D1222)</f>
        <v/>
      </c>
    </row>
    <row r="1223" hidden="1" outlineLevel="2">
      <c r="A1223" s="14" t="inlineStr">
        <is>
          <t>co2</t>
        </is>
      </c>
      <c r="B1223" s="14" t="inlineStr">
        <is>
          <t>bio</t>
        </is>
      </c>
      <c r="C1223" s="14" t="inlineStr">
        <is>
          <t>ral</t>
        </is>
      </c>
      <c r="D1223" s="35">
        <f>INDEX(Inputs!$W$5:$W$132,MATCH($B1223&amp;"|"&amp;$C1223,Inputs!$A$5:$A$132,0))</f>
        <v/>
      </c>
      <c r="E1223" s="39" t="n"/>
      <c r="F1223" s="39" t="n"/>
      <c r="G1223" s="39" t="n"/>
      <c r="H1223" s="14">
        <f>INDEX(VarLab,MATCH($A1223,VarKey,0))&amp;INDEX(MemLab,MATCH($C1223&amp;"|"&amp;$B1223,MemKey,0))</f>
        <v/>
      </c>
      <c r="I1223" s="14">
        <f>INDEX(VarUnit,MATCH($A1223,VarKey,0))</f>
        <v/>
      </c>
      <c r="J1223" s="14">
        <f>INDEX(VarSrc,MATCH($A1223,VarKey,0))</f>
        <v/>
      </c>
      <c r="K1223" s="11">
        <f>CodePrefix&amp;$A1223&amp;IF($C1223="","","."&amp;$C1223&amp;"."&amp;$B1223)&amp;INDEX(VarEnd,MATCH($A1223,VarKey,0))&amp;K$5</f>
        <v/>
      </c>
      <c r="L1223" s="15">
        <f>L1214*Settings!$C$13*$D1223</f>
        <v/>
      </c>
      <c r="M1223" s="16">
        <f>M1214*Settings!$C$13*$D1223</f>
        <v/>
      </c>
      <c r="N1223" s="16">
        <f>N1214*Settings!$C$13*$D1223</f>
        <v/>
      </c>
      <c r="O1223" s="16">
        <f>O1214*Settings!$C$13*$D1223</f>
        <v/>
      </c>
      <c r="P1223" s="16">
        <f>P1214*Settings!$C$13*$D1223</f>
        <v/>
      </c>
      <c r="Q1223" s="16">
        <f>Q1214*Settings!$C$13*$D1223</f>
        <v/>
      </c>
      <c r="R1223" s="16">
        <f>R1214*Settings!$C$13*$D1223</f>
        <v/>
      </c>
      <c r="S1223" s="16">
        <f>S1214*Settings!$C$13*$D1223</f>
        <v/>
      </c>
      <c r="T1223" s="16">
        <f>T1214*Settings!$C$13*$D1223</f>
        <v/>
      </c>
      <c r="U1223" s="16">
        <f>U1214*Settings!$C$13*$D1223</f>
        <v/>
      </c>
      <c r="V1223" s="16">
        <f>V1214*Settings!$C$13*$D1223</f>
        <v/>
      </c>
      <c r="W1223" s="16">
        <f>W1214*Settings!$C$13*$D1223</f>
        <v/>
      </c>
      <c r="X1223" s="16">
        <f>X1214*Settings!$C$13*$D1223</f>
        <v/>
      </c>
      <c r="Y1223" s="16">
        <f>Y1214*Settings!$C$13*$D1223</f>
        <v/>
      </c>
      <c r="Z1223" s="16">
        <f>Z1214*Settings!$C$13*$D1223</f>
        <v/>
      </c>
      <c r="AA1223" s="16">
        <f>AA1214*Settings!$C$13*$D1223</f>
        <v/>
      </c>
      <c r="AB1223" s="16">
        <f>AB1214*Settings!$C$13*$D1223</f>
        <v/>
      </c>
      <c r="AC1223" s="16">
        <f>AC1214*Settings!$C$13*$D1223</f>
        <v/>
      </c>
      <c r="AD1223" s="16">
        <f>AD1214*Settings!$C$13*$D1223</f>
        <v/>
      </c>
      <c r="AE1223" s="49">
        <f>EMISSIONS(AE1214,Settings!$C$13,$D1223)</f>
        <v/>
      </c>
      <c r="AG1223" s="11">
        <f>CodePrefix&amp;$A1223&amp;IF($C1223="","","."&amp;$C1223&amp;"."&amp;$B1223)&amp;INDEX(VarEnd,MATCH($A1223,VarKey,0))&amp;AG$5</f>
        <v/>
      </c>
      <c r="AH1223" s="15">
        <f>AH1214*Settings!$C$13*$D1223</f>
        <v/>
      </c>
      <c r="AI1223" s="16">
        <f>AI1214*Settings!$C$13*$D1223</f>
        <v/>
      </c>
      <c r="AJ1223" s="16">
        <f>AJ1214*Settings!$C$13*$D1223</f>
        <v/>
      </c>
      <c r="AK1223" s="16">
        <f>AK1214*Settings!$C$13*$D1223</f>
        <v/>
      </c>
      <c r="AL1223" s="16">
        <f>AL1214*Settings!$C$13*$D1223</f>
        <v/>
      </c>
      <c r="AM1223" s="16">
        <f>AM1214*Settings!$C$13*$D1223</f>
        <v/>
      </c>
      <c r="AN1223" s="16">
        <f>AN1214*Settings!$C$13*$D1223</f>
        <v/>
      </c>
      <c r="AO1223" s="16">
        <f>AO1214*Settings!$C$13*$D1223</f>
        <v/>
      </c>
      <c r="AP1223" s="16">
        <f>AP1214*Settings!$C$13*$D1223</f>
        <v/>
      </c>
      <c r="AQ1223" s="16">
        <f>AQ1214*Settings!$C$13*$D1223</f>
        <v/>
      </c>
      <c r="AR1223" s="16">
        <f>AR1214*Settings!$C$13*$D1223</f>
        <v/>
      </c>
      <c r="AS1223" s="16">
        <f>AS1214*Settings!$C$13*$D1223</f>
        <v/>
      </c>
      <c r="AT1223" s="16">
        <f>AT1214*Settings!$C$13*$D1223</f>
        <v/>
      </c>
      <c r="AU1223" s="16">
        <f>AU1214*Settings!$C$13*$D1223</f>
        <v/>
      </c>
      <c r="AV1223" s="16">
        <f>AV1214*Settings!$C$13*$D1223</f>
        <v/>
      </c>
      <c r="AW1223" s="16">
        <f>AW1214*Settings!$C$13*$D1223</f>
        <v/>
      </c>
      <c r="AX1223" s="16">
        <f>AX1214*Settings!$C$13*$D1223</f>
        <v/>
      </c>
      <c r="AY1223" s="16">
        <f>AY1214*Settings!$C$13*$D1223</f>
        <v/>
      </c>
      <c r="AZ1223" s="16">
        <f>AZ1214*Settings!$C$13*$D1223</f>
        <v/>
      </c>
      <c r="BA1223" s="49">
        <f>EMISSIONS(BA1214,Settings!$C$13,$D1223)</f>
        <v/>
      </c>
    </row>
    <row r="1224" hidden="1" outlineLevel="2"/>
    <row r="1225" hidden="1" outlineLevel="2">
      <c r="A1225" s="14" t="inlineStr">
        <is>
          <t>rtx</t>
        </is>
      </c>
      <c r="B1225" s="14" t="inlineStr">
        <is>
          <t>coa</t>
        </is>
      </c>
      <c r="C1225" s="14" t="inlineStr">
        <is>
          <t>ral</t>
        </is>
      </c>
      <c r="D1225" s="35">
        <f>INDEX(Inputs!$U$5:$U$132,MATCH($B1225&amp;"|"&amp;$C1225,Inputs!$A$5:$A$132,0))</f>
        <v/>
      </c>
      <c r="E1225" s="35">
        <f>INDEX(Inputs!$V$5:$V$132,MATCH($B1225&amp;"|"&amp;$C1225,Inputs!$A$5:$A$132,0))</f>
        <v/>
      </c>
      <c r="F1225" s="39" t="n"/>
      <c r="G1225" s="39" t="n"/>
      <c r="H1225" s="14">
        <f>INDEX(VarLab,MATCH($A1225,VarKey,0))&amp;INDEX(MemLab,MATCH($C1225&amp;"|"&amp;$B1225,MemKey,0))</f>
        <v/>
      </c>
      <c r="I1225" s="14">
        <f>INDEX(VarUnit,MATCH($A1225,VarKey,0))</f>
        <v/>
      </c>
      <c r="J1225" s="14">
        <f>INDEX(VarSrc,MATCH($A1225,VarKey,0))</f>
        <v/>
      </c>
      <c r="K1225" s="11">
        <f>CodePrefix&amp;$A1225&amp;IF($C1225="","","."&amp;$C1225&amp;"."&amp;$B1225)&amp;INDEX(VarEnd,MATCH($A1225,VarKey,0))&amp;K$5</f>
        <v/>
      </c>
      <c r="L1225" s="43">
        <f>L1207*Settings!$C$13*(INDEX(L$407:L$418,$D1225)+INDEX(L$394:L$405,$D1225)+L1180*(1+$E1225))</f>
        <v/>
      </c>
      <c r="M1225" s="44">
        <f>M1207*Settings!$C$13*(INDEX(M$407:M$418,$D1225)+INDEX(M$394:M$405,$D1225)+M1180*(1+$E1225))</f>
        <v/>
      </c>
      <c r="N1225" s="44">
        <f>N1207*Settings!$C$13*(INDEX(N$407:N$418,$D1225)+INDEX(N$394:N$405,$D1225)+N1180*(1+$E1225))</f>
        <v/>
      </c>
      <c r="O1225" s="44">
        <f>O1207*Settings!$C$13*(INDEX(O$407:O$418,$D1225)+INDEX(O$394:O$405,$D1225)+O1180*(1+$E1225))</f>
        <v/>
      </c>
      <c r="P1225" s="44">
        <f>P1207*Settings!$C$13*(INDEX(P$407:P$418,$D1225)+INDEX(P$394:P$405,$D1225)+P1180*(1+$E1225))</f>
        <v/>
      </c>
      <c r="Q1225" s="44">
        <f>Q1207*Settings!$C$13*(INDEX(Q$407:Q$418,$D1225)+INDEX(Q$394:Q$405,$D1225)+Q1180*(1+$E1225))</f>
        <v/>
      </c>
      <c r="R1225" s="44">
        <f>R1207*Settings!$C$13*(INDEX(R$407:R$418,$D1225)+INDEX(R$394:R$405,$D1225)+R1180*(1+$E1225))</f>
        <v/>
      </c>
      <c r="S1225" s="44">
        <f>S1207*Settings!$C$13*(INDEX(S$407:S$418,$D1225)+INDEX(S$394:S$405,$D1225)+S1180*(1+$E1225))</f>
        <v/>
      </c>
      <c r="T1225" s="44">
        <f>T1207*Settings!$C$13*(INDEX(T$407:T$418,$D1225)+INDEX(T$394:T$405,$D1225)+T1180*(1+$E1225))</f>
        <v/>
      </c>
      <c r="U1225" s="44">
        <f>U1207*Settings!$C$13*(INDEX(U$407:U$418,$D1225)+INDEX(U$394:U$405,$D1225)+U1180*(1+$E1225))</f>
        <v/>
      </c>
      <c r="V1225" s="44">
        <f>V1207*Settings!$C$13*(INDEX(V$407:V$418,$D1225)+INDEX(V$394:V$405,$D1225)+V1180*(1+$E1225))</f>
        <v/>
      </c>
      <c r="W1225" s="44">
        <f>W1207*Settings!$C$13*(INDEX(W$407:W$418,$D1225)+INDEX(W$394:W$405,$D1225)+W1180*(1+$E1225))</f>
        <v/>
      </c>
      <c r="X1225" s="44">
        <f>X1207*Settings!$C$13*(INDEX(X$407:X$418,$D1225)+INDEX(X$394:X$405,$D1225)+X1180*(1+$E1225))</f>
        <v/>
      </c>
      <c r="Y1225" s="44">
        <f>Y1207*Settings!$C$13*(INDEX(Y$407:Y$418,$D1225)+INDEX(Y$394:Y$405,$D1225)+Y1180*(1+$E1225))</f>
        <v/>
      </c>
      <c r="Z1225" s="44">
        <f>Z1207*Settings!$C$13*(INDEX(Z$407:Z$418,$D1225)+INDEX(Z$394:Z$405,$D1225)+Z1180*(1+$E1225))</f>
        <v/>
      </c>
      <c r="AA1225" s="44">
        <f>AA1207*Settings!$C$13*(INDEX(AA$407:AA$418,$D1225)+INDEX(AA$394:AA$405,$D1225)+AA1180*(1+$E1225))</f>
        <v/>
      </c>
      <c r="AB1225" s="44">
        <f>AB1207*Settings!$C$13*(INDEX(AB$407:AB$418,$D1225)+INDEX(AB$394:AB$405,$D1225)+AB1180*(1+$E1225))</f>
        <v/>
      </c>
      <c r="AC1225" s="44">
        <f>AC1207*Settings!$C$13*(INDEX(AC$407:AC$418,$D1225)+INDEX(AC$394:AC$405,$D1225)+AC1180*(1+$E1225))</f>
        <v/>
      </c>
      <c r="AD1225" s="44">
        <f>AD1207*Settings!$C$13*(INDEX(AD$407:AD$418,$D1225)+INDEX(AD$394:AD$405,$D1225)+AD1180*(1+$E1225))</f>
        <v/>
      </c>
      <c r="AE1225" s="57">
        <f>REVENUE(AE1207,Settings!$C$13,INDEX(AE$407:AE$418,$D1225)+INDEX(AE$394:AE$405,$D1225)+AE1180*(1+$E1225))</f>
        <v/>
      </c>
      <c r="AG1225" s="11">
        <f>CodePrefix&amp;$A1225&amp;IF($C1225="","","."&amp;$C1225&amp;"."&amp;$B1225)&amp;INDEX(VarEnd,MATCH($A1225,VarKey,0))&amp;AG$5</f>
        <v/>
      </c>
      <c r="AH1225" s="43">
        <f>AH1207*Settings!$C$13*(INDEX(AH$407:AH$418,$D1225)+INDEX(AH$394:AH$405,$D1225)+AH1180*(1+$E1225))</f>
        <v/>
      </c>
      <c r="AI1225" s="44">
        <f>AI1207*Settings!$C$13*(INDEX(AI$407:AI$418,$D1225)+INDEX(AI$394:AI$405,$D1225)+AI1180*(1+$E1225))</f>
        <v/>
      </c>
      <c r="AJ1225" s="44">
        <f>AJ1207*Settings!$C$13*(INDEX(AJ$407:AJ$418,$D1225)+INDEX(AJ$394:AJ$405,$D1225)+AJ1180*(1+$E1225))</f>
        <v/>
      </c>
      <c r="AK1225" s="44">
        <f>AK1207*Settings!$C$13*(INDEX(AK$407:AK$418,$D1225)+INDEX(AK$394:AK$405,$D1225)+AK1180*(1+$E1225))</f>
        <v/>
      </c>
      <c r="AL1225" s="44">
        <f>AL1207*Settings!$C$13*(INDEX(AL$407:AL$418,$D1225)+INDEX(AL$394:AL$405,$D1225)+AL1180*(1+$E1225))</f>
        <v/>
      </c>
      <c r="AM1225" s="44">
        <f>AM1207*Settings!$C$13*(INDEX(AM$407:AM$418,$D1225)+INDEX(AM$394:AM$405,$D1225)+AM1180*(1+$E1225))</f>
        <v/>
      </c>
      <c r="AN1225" s="44">
        <f>AN1207*Settings!$C$13*(INDEX(AN$407:AN$418,$D1225)+INDEX(AN$394:AN$405,$D1225)+AN1180*(1+$E1225))</f>
        <v/>
      </c>
      <c r="AO1225" s="44">
        <f>AO1207*Settings!$C$13*(INDEX(AO$407:AO$418,$D1225)+INDEX(AO$394:AO$405,$D1225)+AO1180*(1+$E1225))</f>
        <v/>
      </c>
      <c r="AP1225" s="44">
        <f>AP1207*Settings!$C$13*(INDEX(AP$407:AP$418,$D1225)+INDEX(AP$394:AP$405,$D1225)+AP1180*(1+$E1225))</f>
        <v/>
      </c>
      <c r="AQ1225" s="44">
        <f>AQ1207*Settings!$C$13*(INDEX(AQ$407:AQ$418,$D1225)+INDEX(AQ$394:AQ$405,$D1225)+AQ1180*(1+$E1225))</f>
        <v/>
      </c>
      <c r="AR1225" s="44">
        <f>AR1207*Settings!$C$13*(INDEX(AR$407:AR$418,$D1225)+INDEX(AR$394:AR$405,$D1225)+AR1180*(1+$E1225))</f>
        <v/>
      </c>
      <c r="AS1225" s="44">
        <f>AS1207*Settings!$C$13*(INDEX(AS$407:AS$418,$D1225)+INDEX(AS$394:AS$405,$D1225)+AS1180*(1+$E1225))</f>
        <v/>
      </c>
      <c r="AT1225" s="44">
        <f>AT1207*Settings!$C$13*(INDEX(AT$407:AT$418,$D1225)+INDEX(AT$394:AT$405,$D1225)+AT1180*(1+$E1225))</f>
        <v/>
      </c>
      <c r="AU1225" s="44">
        <f>AU1207*Settings!$C$13*(INDEX(AU$407:AU$418,$D1225)+INDEX(AU$394:AU$405,$D1225)+AU1180*(1+$E1225))</f>
        <v/>
      </c>
      <c r="AV1225" s="44">
        <f>AV1207*Settings!$C$13*(INDEX(AV$407:AV$418,$D1225)+INDEX(AV$394:AV$405,$D1225)+AV1180*(1+$E1225))</f>
        <v/>
      </c>
      <c r="AW1225" s="44">
        <f>AW1207*Settings!$C$13*(INDEX(AW$407:AW$418,$D1225)+INDEX(AW$394:AW$405,$D1225)+AW1180*(1+$E1225))</f>
        <v/>
      </c>
      <c r="AX1225" s="44">
        <f>AX1207*Settings!$C$13*(INDEX(AX$407:AX$418,$D1225)+INDEX(AX$394:AX$405,$D1225)+AX1180*(1+$E1225))</f>
        <v/>
      </c>
      <c r="AY1225" s="44">
        <f>AY1207*Settings!$C$13*(INDEX(AY$407:AY$418,$D1225)+INDEX(AY$394:AY$405,$D1225)+AY1180*(1+$E1225))</f>
        <v/>
      </c>
      <c r="AZ1225" s="44">
        <f>AZ1207*Settings!$C$13*(INDEX(AZ$407:AZ$418,$D1225)+INDEX(AZ$394:AZ$405,$D1225)+AZ1180*(1+$E1225))</f>
        <v/>
      </c>
      <c r="BA1225" s="57">
        <f>REVENUE(BA1207,Settings!$C$13,INDEX(BA$407:BA$418,$D1225)+INDEX(BA$394:BA$405,$D1225)+BA1180*(1+$E1225))</f>
        <v/>
      </c>
    </row>
    <row r="1226" hidden="1" outlineLevel="2">
      <c r="A1226" s="14" t="inlineStr">
        <is>
          <t>rtx</t>
        </is>
      </c>
      <c r="B1226" s="14" t="inlineStr">
        <is>
          <t>nga</t>
        </is>
      </c>
      <c r="C1226" s="14" t="inlineStr">
        <is>
          <t>ral</t>
        </is>
      </c>
      <c r="D1226" s="35">
        <f>INDEX(Inputs!$U$5:$U$132,MATCH($B1226&amp;"|"&amp;$C1226,Inputs!$A$5:$A$132,0))</f>
        <v/>
      </c>
      <c r="E1226" s="35">
        <f>INDEX(Inputs!$V$5:$V$132,MATCH($B1226&amp;"|"&amp;$C1226,Inputs!$A$5:$A$132,0))</f>
        <v/>
      </c>
      <c r="F1226" s="39" t="n"/>
      <c r="G1226" s="39" t="n"/>
      <c r="H1226" s="14">
        <f>INDEX(VarLab,MATCH($A1226,VarKey,0))&amp;INDEX(MemLab,MATCH($C1226&amp;"|"&amp;$B1226,MemKey,0))</f>
        <v/>
      </c>
      <c r="I1226" s="14">
        <f>INDEX(VarUnit,MATCH($A1226,VarKey,0))</f>
        <v/>
      </c>
      <c r="J1226" s="14">
        <f>INDEX(VarSrc,MATCH($A1226,VarKey,0))</f>
        <v/>
      </c>
      <c r="K1226" s="11">
        <f>CodePrefix&amp;$A1226&amp;IF($C1226="","","."&amp;$C1226&amp;"."&amp;$B1226)&amp;INDEX(VarEnd,MATCH($A1226,VarKey,0))&amp;K$5</f>
        <v/>
      </c>
      <c r="L1226" s="43">
        <f>L1208*Settings!$C$13*(INDEX(L$407:L$418,$D1226)+INDEX(L$394:L$405,$D1226)+L1181*(1+$E1226))</f>
        <v/>
      </c>
      <c r="M1226" s="44">
        <f>M1208*Settings!$C$13*(INDEX(M$407:M$418,$D1226)+INDEX(M$394:M$405,$D1226)+M1181*(1+$E1226))</f>
        <v/>
      </c>
      <c r="N1226" s="44">
        <f>N1208*Settings!$C$13*(INDEX(N$407:N$418,$D1226)+INDEX(N$394:N$405,$D1226)+N1181*(1+$E1226))</f>
        <v/>
      </c>
      <c r="O1226" s="44">
        <f>O1208*Settings!$C$13*(INDEX(O$407:O$418,$D1226)+INDEX(O$394:O$405,$D1226)+O1181*(1+$E1226))</f>
        <v/>
      </c>
      <c r="P1226" s="44">
        <f>P1208*Settings!$C$13*(INDEX(P$407:P$418,$D1226)+INDEX(P$394:P$405,$D1226)+P1181*(1+$E1226))</f>
        <v/>
      </c>
      <c r="Q1226" s="44">
        <f>Q1208*Settings!$C$13*(INDEX(Q$407:Q$418,$D1226)+INDEX(Q$394:Q$405,$D1226)+Q1181*(1+$E1226))</f>
        <v/>
      </c>
      <c r="R1226" s="44">
        <f>R1208*Settings!$C$13*(INDEX(R$407:R$418,$D1226)+INDEX(R$394:R$405,$D1226)+R1181*(1+$E1226))</f>
        <v/>
      </c>
      <c r="S1226" s="44">
        <f>S1208*Settings!$C$13*(INDEX(S$407:S$418,$D1226)+INDEX(S$394:S$405,$D1226)+S1181*(1+$E1226))</f>
        <v/>
      </c>
      <c r="T1226" s="44">
        <f>T1208*Settings!$C$13*(INDEX(T$407:T$418,$D1226)+INDEX(T$394:T$405,$D1226)+T1181*(1+$E1226))</f>
        <v/>
      </c>
      <c r="U1226" s="44">
        <f>U1208*Settings!$C$13*(INDEX(U$407:U$418,$D1226)+INDEX(U$394:U$405,$D1226)+U1181*(1+$E1226))</f>
        <v/>
      </c>
      <c r="V1226" s="44">
        <f>V1208*Settings!$C$13*(INDEX(V$407:V$418,$D1226)+INDEX(V$394:V$405,$D1226)+V1181*(1+$E1226))</f>
        <v/>
      </c>
      <c r="W1226" s="44">
        <f>W1208*Settings!$C$13*(INDEX(W$407:W$418,$D1226)+INDEX(W$394:W$405,$D1226)+W1181*(1+$E1226))</f>
        <v/>
      </c>
      <c r="X1226" s="44">
        <f>X1208*Settings!$C$13*(INDEX(X$407:X$418,$D1226)+INDEX(X$394:X$405,$D1226)+X1181*(1+$E1226))</f>
        <v/>
      </c>
      <c r="Y1226" s="44">
        <f>Y1208*Settings!$C$13*(INDEX(Y$407:Y$418,$D1226)+INDEX(Y$394:Y$405,$D1226)+Y1181*(1+$E1226))</f>
        <v/>
      </c>
      <c r="Z1226" s="44">
        <f>Z1208*Settings!$C$13*(INDEX(Z$407:Z$418,$D1226)+INDEX(Z$394:Z$405,$D1226)+Z1181*(1+$E1226))</f>
        <v/>
      </c>
      <c r="AA1226" s="44">
        <f>AA1208*Settings!$C$13*(INDEX(AA$407:AA$418,$D1226)+INDEX(AA$394:AA$405,$D1226)+AA1181*(1+$E1226))</f>
        <v/>
      </c>
      <c r="AB1226" s="44">
        <f>AB1208*Settings!$C$13*(INDEX(AB$407:AB$418,$D1226)+INDEX(AB$394:AB$405,$D1226)+AB1181*(1+$E1226))</f>
        <v/>
      </c>
      <c r="AC1226" s="44">
        <f>AC1208*Settings!$C$13*(INDEX(AC$407:AC$418,$D1226)+INDEX(AC$394:AC$405,$D1226)+AC1181*(1+$E1226))</f>
        <v/>
      </c>
      <c r="AD1226" s="44">
        <f>AD1208*Settings!$C$13*(INDEX(AD$407:AD$418,$D1226)+INDEX(AD$394:AD$405,$D1226)+AD1181*(1+$E1226))</f>
        <v/>
      </c>
      <c r="AE1226" s="57">
        <f>REVENUE(AE1208,Settings!$C$13,INDEX(AE$407:AE$418,$D1226)+INDEX(AE$394:AE$405,$D1226)+AE1181*(1+$E1226))</f>
        <v/>
      </c>
      <c r="AG1226" s="11">
        <f>CodePrefix&amp;$A1226&amp;IF($C1226="","","."&amp;$C1226&amp;"."&amp;$B1226)&amp;INDEX(VarEnd,MATCH($A1226,VarKey,0))&amp;AG$5</f>
        <v/>
      </c>
      <c r="AH1226" s="43">
        <f>AH1208*Settings!$C$13*(INDEX(AH$407:AH$418,$D1226)+INDEX(AH$394:AH$405,$D1226)+AH1181*(1+$E1226))</f>
        <v/>
      </c>
      <c r="AI1226" s="44">
        <f>AI1208*Settings!$C$13*(INDEX(AI$407:AI$418,$D1226)+INDEX(AI$394:AI$405,$D1226)+AI1181*(1+$E1226))</f>
        <v/>
      </c>
      <c r="AJ1226" s="44">
        <f>AJ1208*Settings!$C$13*(INDEX(AJ$407:AJ$418,$D1226)+INDEX(AJ$394:AJ$405,$D1226)+AJ1181*(1+$E1226))</f>
        <v/>
      </c>
      <c r="AK1226" s="44">
        <f>AK1208*Settings!$C$13*(INDEX(AK$407:AK$418,$D1226)+INDEX(AK$394:AK$405,$D1226)+AK1181*(1+$E1226))</f>
        <v/>
      </c>
      <c r="AL1226" s="44">
        <f>AL1208*Settings!$C$13*(INDEX(AL$407:AL$418,$D1226)+INDEX(AL$394:AL$405,$D1226)+AL1181*(1+$E1226))</f>
        <v/>
      </c>
      <c r="AM1226" s="44">
        <f>AM1208*Settings!$C$13*(INDEX(AM$407:AM$418,$D1226)+INDEX(AM$394:AM$405,$D1226)+AM1181*(1+$E1226))</f>
        <v/>
      </c>
      <c r="AN1226" s="44">
        <f>AN1208*Settings!$C$13*(INDEX(AN$407:AN$418,$D1226)+INDEX(AN$394:AN$405,$D1226)+AN1181*(1+$E1226))</f>
        <v/>
      </c>
      <c r="AO1226" s="44">
        <f>AO1208*Settings!$C$13*(INDEX(AO$407:AO$418,$D1226)+INDEX(AO$394:AO$405,$D1226)+AO1181*(1+$E1226))</f>
        <v/>
      </c>
      <c r="AP1226" s="44">
        <f>AP1208*Settings!$C$13*(INDEX(AP$407:AP$418,$D1226)+INDEX(AP$394:AP$405,$D1226)+AP1181*(1+$E1226))</f>
        <v/>
      </c>
      <c r="AQ1226" s="44">
        <f>AQ1208*Settings!$C$13*(INDEX(AQ$407:AQ$418,$D1226)+INDEX(AQ$394:AQ$405,$D1226)+AQ1181*(1+$E1226))</f>
        <v/>
      </c>
      <c r="AR1226" s="44">
        <f>AR1208*Settings!$C$13*(INDEX(AR$407:AR$418,$D1226)+INDEX(AR$394:AR$405,$D1226)+AR1181*(1+$E1226))</f>
        <v/>
      </c>
      <c r="AS1226" s="44">
        <f>AS1208*Settings!$C$13*(INDEX(AS$407:AS$418,$D1226)+INDEX(AS$394:AS$405,$D1226)+AS1181*(1+$E1226))</f>
        <v/>
      </c>
      <c r="AT1226" s="44">
        <f>AT1208*Settings!$C$13*(INDEX(AT$407:AT$418,$D1226)+INDEX(AT$394:AT$405,$D1226)+AT1181*(1+$E1226))</f>
        <v/>
      </c>
      <c r="AU1226" s="44">
        <f>AU1208*Settings!$C$13*(INDEX(AU$407:AU$418,$D1226)+INDEX(AU$394:AU$405,$D1226)+AU1181*(1+$E1226))</f>
        <v/>
      </c>
      <c r="AV1226" s="44">
        <f>AV1208*Settings!$C$13*(INDEX(AV$407:AV$418,$D1226)+INDEX(AV$394:AV$405,$D1226)+AV1181*(1+$E1226))</f>
        <v/>
      </c>
      <c r="AW1226" s="44">
        <f>AW1208*Settings!$C$13*(INDEX(AW$407:AW$418,$D1226)+INDEX(AW$394:AW$405,$D1226)+AW1181*(1+$E1226))</f>
        <v/>
      </c>
      <c r="AX1226" s="44">
        <f>AX1208*Settings!$C$13*(INDEX(AX$407:AX$418,$D1226)+INDEX(AX$394:AX$405,$D1226)+AX1181*(1+$E1226))</f>
        <v/>
      </c>
      <c r="AY1226" s="44">
        <f>AY1208*Settings!$C$13*(INDEX(AY$407:AY$418,$D1226)+INDEX(AY$394:AY$405,$D1226)+AY1181*(1+$E1226))</f>
        <v/>
      </c>
      <c r="AZ1226" s="44">
        <f>AZ1208*Settings!$C$13*(INDEX(AZ$407:AZ$418,$D1226)+INDEX(AZ$394:AZ$405,$D1226)+AZ1181*(1+$E1226))</f>
        <v/>
      </c>
      <c r="BA1226" s="57">
        <f>REVENUE(BA1208,Settings!$C$13,INDEX(BA$407:BA$418,$D1226)+INDEX(BA$394:BA$405,$D1226)+BA1181*(1+$E1226))</f>
        <v/>
      </c>
    </row>
    <row r="1227" hidden="1" outlineLevel="2">
      <c r="A1227" s="14" t="inlineStr">
        <is>
          <t>rtx</t>
        </is>
      </c>
      <c r="B1227" s="14" t="inlineStr">
        <is>
          <t>gso</t>
        </is>
      </c>
      <c r="C1227" s="14" t="inlineStr">
        <is>
          <t>ral</t>
        </is>
      </c>
      <c r="D1227" s="35">
        <f>INDEX(Inputs!$U$5:$U$132,MATCH($B1227&amp;"|"&amp;$C1227,Inputs!$A$5:$A$132,0))</f>
        <v/>
      </c>
      <c r="E1227" s="35">
        <f>INDEX(Inputs!$V$5:$V$132,MATCH($B1227&amp;"|"&amp;$C1227,Inputs!$A$5:$A$132,0))</f>
        <v/>
      </c>
      <c r="F1227" s="39" t="n"/>
      <c r="G1227" s="39" t="n"/>
      <c r="H1227" s="14">
        <f>INDEX(VarLab,MATCH($A1227,VarKey,0))&amp;INDEX(MemLab,MATCH($C1227&amp;"|"&amp;$B1227,MemKey,0))</f>
        <v/>
      </c>
      <c r="I1227" s="14">
        <f>INDEX(VarUnit,MATCH($A1227,VarKey,0))</f>
        <v/>
      </c>
      <c r="J1227" s="14">
        <f>INDEX(VarSrc,MATCH($A1227,VarKey,0))</f>
        <v/>
      </c>
      <c r="K1227" s="11">
        <f>CodePrefix&amp;$A1227&amp;IF($C1227="","","."&amp;$C1227&amp;"."&amp;$B1227)&amp;INDEX(VarEnd,MATCH($A1227,VarKey,0))&amp;K$5</f>
        <v/>
      </c>
      <c r="L1227" s="43">
        <f>L1209*Settings!$C$13*(INDEX(L$407:L$418,$D1227)+INDEX(L$394:L$405,$D1227)+L1182*(1+$E1227))</f>
        <v/>
      </c>
      <c r="M1227" s="44">
        <f>M1209*Settings!$C$13*(INDEX(M$407:M$418,$D1227)+INDEX(M$394:M$405,$D1227)+M1182*(1+$E1227))</f>
        <v/>
      </c>
      <c r="N1227" s="44">
        <f>N1209*Settings!$C$13*(INDEX(N$407:N$418,$D1227)+INDEX(N$394:N$405,$D1227)+N1182*(1+$E1227))</f>
        <v/>
      </c>
      <c r="O1227" s="44">
        <f>O1209*Settings!$C$13*(INDEX(O$407:O$418,$D1227)+INDEX(O$394:O$405,$D1227)+O1182*(1+$E1227))</f>
        <v/>
      </c>
      <c r="P1227" s="44">
        <f>P1209*Settings!$C$13*(INDEX(P$407:P$418,$D1227)+INDEX(P$394:P$405,$D1227)+P1182*(1+$E1227))</f>
        <v/>
      </c>
      <c r="Q1227" s="44">
        <f>Q1209*Settings!$C$13*(INDEX(Q$407:Q$418,$D1227)+INDEX(Q$394:Q$405,$D1227)+Q1182*(1+$E1227))</f>
        <v/>
      </c>
      <c r="R1227" s="44">
        <f>R1209*Settings!$C$13*(INDEX(R$407:R$418,$D1227)+INDEX(R$394:R$405,$D1227)+R1182*(1+$E1227))</f>
        <v/>
      </c>
      <c r="S1227" s="44">
        <f>S1209*Settings!$C$13*(INDEX(S$407:S$418,$D1227)+INDEX(S$394:S$405,$D1227)+S1182*(1+$E1227))</f>
        <v/>
      </c>
      <c r="T1227" s="44">
        <f>T1209*Settings!$C$13*(INDEX(T$407:T$418,$D1227)+INDEX(T$394:T$405,$D1227)+T1182*(1+$E1227))</f>
        <v/>
      </c>
      <c r="U1227" s="44">
        <f>U1209*Settings!$C$13*(INDEX(U$407:U$418,$D1227)+INDEX(U$394:U$405,$D1227)+U1182*(1+$E1227))</f>
        <v/>
      </c>
      <c r="V1227" s="44">
        <f>V1209*Settings!$C$13*(INDEX(V$407:V$418,$D1227)+INDEX(V$394:V$405,$D1227)+V1182*(1+$E1227))</f>
        <v/>
      </c>
      <c r="W1227" s="44">
        <f>W1209*Settings!$C$13*(INDEX(W$407:W$418,$D1227)+INDEX(W$394:W$405,$D1227)+W1182*(1+$E1227))</f>
        <v/>
      </c>
      <c r="X1227" s="44">
        <f>X1209*Settings!$C$13*(INDEX(X$407:X$418,$D1227)+INDEX(X$394:X$405,$D1227)+X1182*(1+$E1227))</f>
        <v/>
      </c>
      <c r="Y1227" s="44">
        <f>Y1209*Settings!$C$13*(INDEX(Y$407:Y$418,$D1227)+INDEX(Y$394:Y$405,$D1227)+Y1182*(1+$E1227))</f>
        <v/>
      </c>
      <c r="Z1227" s="44">
        <f>Z1209*Settings!$C$13*(INDEX(Z$407:Z$418,$D1227)+INDEX(Z$394:Z$405,$D1227)+Z1182*(1+$E1227))</f>
        <v/>
      </c>
      <c r="AA1227" s="44">
        <f>AA1209*Settings!$C$13*(INDEX(AA$407:AA$418,$D1227)+INDEX(AA$394:AA$405,$D1227)+AA1182*(1+$E1227))</f>
        <v/>
      </c>
      <c r="AB1227" s="44">
        <f>AB1209*Settings!$C$13*(INDEX(AB$407:AB$418,$D1227)+INDEX(AB$394:AB$405,$D1227)+AB1182*(1+$E1227))</f>
        <v/>
      </c>
      <c r="AC1227" s="44">
        <f>AC1209*Settings!$C$13*(INDEX(AC$407:AC$418,$D1227)+INDEX(AC$394:AC$405,$D1227)+AC1182*(1+$E1227))</f>
        <v/>
      </c>
      <c r="AD1227" s="44">
        <f>AD1209*Settings!$C$13*(INDEX(AD$407:AD$418,$D1227)+INDEX(AD$394:AD$405,$D1227)+AD1182*(1+$E1227))</f>
        <v/>
      </c>
      <c r="AE1227" s="57">
        <f>REVENUE(AE1209,Settings!$C$13,INDEX(AE$407:AE$418,$D1227)+INDEX(AE$394:AE$405,$D1227)+AE1182*(1+$E1227))</f>
        <v/>
      </c>
      <c r="AG1227" s="11">
        <f>CodePrefix&amp;$A1227&amp;IF($C1227="","","."&amp;$C1227&amp;"."&amp;$B1227)&amp;INDEX(VarEnd,MATCH($A1227,VarKey,0))&amp;AG$5</f>
        <v/>
      </c>
      <c r="AH1227" s="43">
        <f>AH1209*Settings!$C$13*(INDEX(AH$407:AH$418,$D1227)+INDEX(AH$394:AH$405,$D1227)+AH1182*(1+$E1227))</f>
        <v/>
      </c>
      <c r="AI1227" s="44">
        <f>AI1209*Settings!$C$13*(INDEX(AI$407:AI$418,$D1227)+INDEX(AI$394:AI$405,$D1227)+AI1182*(1+$E1227))</f>
        <v/>
      </c>
      <c r="AJ1227" s="44">
        <f>AJ1209*Settings!$C$13*(INDEX(AJ$407:AJ$418,$D1227)+INDEX(AJ$394:AJ$405,$D1227)+AJ1182*(1+$E1227))</f>
        <v/>
      </c>
      <c r="AK1227" s="44">
        <f>AK1209*Settings!$C$13*(INDEX(AK$407:AK$418,$D1227)+INDEX(AK$394:AK$405,$D1227)+AK1182*(1+$E1227))</f>
        <v/>
      </c>
      <c r="AL1227" s="44">
        <f>AL1209*Settings!$C$13*(INDEX(AL$407:AL$418,$D1227)+INDEX(AL$394:AL$405,$D1227)+AL1182*(1+$E1227))</f>
        <v/>
      </c>
      <c r="AM1227" s="44">
        <f>AM1209*Settings!$C$13*(INDEX(AM$407:AM$418,$D1227)+INDEX(AM$394:AM$405,$D1227)+AM1182*(1+$E1227))</f>
        <v/>
      </c>
      <c r="AN1227" s="44">
        <f>AN1209*Settings!$C$13*(INDEX(AN$407:AN$418,$D1227)+INDEX(AN$394:AN$405,$D1227)+AN1182*(1+$E1227))</f>
        <v/>
      </c>
      <c r="AO1227" s="44">
        <f>AO1209*Settings!$C$13*(INDEX(AO$407:AO$418,$D1227)+INDEX(AO$394:AO$405,$D1227)+AO1182*(1+$E1227))</f>
        <v/>
      </c>
      <c r="AP1227" s="44">
        <f>AP1209*Settings!$C$13*(INDEX(AP$407:AP$418,$D1227)+INDEX(AP$394:AP$405,$D1227)+AP1182*(1+$E1227))</f>
        <v/>
      </c>
      <c r="AQ1227" s="44">
        <f>AQ1209*Settings!$C$13*(INDEX(AQ$407:AQ$418,$D1227)+INDEX(AQ$394:AQ$405,$D1227)+AQ1182*(1+$E1227))</f>
        <v/>
      </c>
      <c r="AR1227" s="44">
        <f>AR1209*Settings!$C$13*(INDEX(AR$407:AR$418,$D1227)+INDEX(AR$394:AR$405,$D1227)+AR1182*(1+$E1227))</f>
        <v/>
      </c>
      <c r="AS1227" s="44">
        <f>AS1209*Settings!$C$13*(INDEX(AS$407:AS$418,$D1227)+INDEX(AS$394:AS$405,$D1227)+AS1182*(1+$E1227))</f>
        <v/>
      </c>
      <c r="AT1227" s="44">
        <f>AT1209*Settings!$C$13*(INDEX(AT$407:AT$418,$D1227)+INDEX(AT$394:AT$405,$D1227)+AT1182*(1+$E1227))</f>
        <v/>
      </c>
      <c r="AU1227" s="44">
        <f>AU1209*Settings!$C$13*(INDEX(AU$407:AU$418,$D1227)+INDEX(AU$394:AU$405,$D1227)+AU1182*(1+$E1227))</f>
        <v/>
      </c>
      <c r="AV1227" s="44">
        <f>AV1209*Settings!$C$13*(INDEX(AV$407:AV$418,$D1227)+INDEX(AV$394:AV$405,$D1227)+AV1182*(1+$E1227))</f>
        <v/>
      </c>
      <c r="AW1227" s="44">
        <f>AW1209*Settings!$C$13*(INDEX(AW$407:AW$418,$D1227)+INDEX(AW$394:AW$405,$D1227)+AW1182*(1+$E1227))</f>
        <v/>
      </c>
      <c r="AX1227" s="44">
        <f>AX1209*Settings!$C$13*(INDEX(AX$407:AX$418,$D1227)+INDEX(AX$394:AX$405,$D1227)+AX1182*(1+$E1227))</f>
        <v/>
      </c>
      <c r="AY1227" s="44">
        <f>AY1209*Settings!$C$13*(INDEX(AY$407:AY$418,$D1227)+INDEX(AY$394:AY$405,$D1227)+AY1182*(1+$E1227))</f>
        <v/>
      </c>
      <c r="AZ1227" s="44">
        <f>AZ1209*Settings!$C$13*(INDEX(AZ$407:AZ$418,$D1227)+INDEX(AZ$394:AZ$405,$D1227)+AZ1182*(1+$E1227))</f>
        <v/>
      </c>
      <c r="BA1227" s="57">
        <f>REVENUE(BA1209,Settings!$C$13,INDEX(BA$407:BA$418,$D1227)+INDEX(BA$394:BA$405,$D1227)+BA1182*(1+$E1227))</f>
        <v/>
      </c>
    </row>
    <row r="1228" hidden="1" outlineLevel="2">
      <c r="A1228" s="14" t="inlineStr">
        <is>
          <t>rtx</t>
        </is>
      </c>
      <c r="B1228" s="14" t="inlineStr">
        <is>
          <t>die</t>
        </is>
      </c>
      <c r="C1228" s="14" t="inlineStr">
        <is>
          <t>ral</t>
        </is>
      </c>
      <c r="D1228" s="35">
        <f>INDEX(Inputs!$U$5:$U$132,MATCH($B1228&amp;"|"&amp;$C1228,Inputs!$A$5:$A$132,0))</f>
        <v/>
      </c>
      <c r="E1228" s="35">
        <f>INDEX(Inputs!$V$5:$V$132,MATCH($B1228&amp;"|"&amp;$C1228,Inputs!$A$5:$A$132,0))</f>
        <v/>
      </c>
      <c r="F1228" s="39" t="n"/>
      <c r="G1228" s="39" t="n"/>
      <c r="H1228" s="14">
        <f>INDEX(VarLab,MATCH($A1228,VarKey,0))&amp;INDEX(MemLab,MATCH($C1228&amp;"|"&amp;$B1228,MemKey,0))</f>
        <v/>
      </c>
      <c r="I1228" s="14">
        <f>INDEX(VarUnit,MATCH($A1228,VarKey,0))</f>
        <v/>
      </c>
      <c r="J1228" s="14">
        <f>INDEX(VarSrc,MATCH($A1228,VarKey,0))</f>
        <v/>
      </c>
      <c r="K1228" s="11">
        <f>CodePrefix&amp;$A1228&amp;IF($C1228="","","."&amp;$C1228&amp;"."&amp;$B1228)&amp;INDEX(VarEnd,MATCH($A1228,VarKey,0))&amp;K$5</f>
        <v/>
      </c>
      <c r="L1228" s="43">
        <f>L1210*Settings!$C$13*(INDEX(L$407:L$418,$D1228)+INDEX(L$394:L$405,$D1228)+L1183*(1+$E1228))</f>
        <v/>
      </c>
      <c r="M1228" s="44">
        <f>M1210*Settings!$C$13*(INDEX(M$407:M$418,$D1228)+INDEX(M$394:M$405,$D1228)+M1183*(1+$E1228))</f>
        <v/>
      </c>
      <c r="N1228" s="44">
        <f>N1210*Settings!$C$13*(INDEX(N$407:N$418,$D1228)+INDEX(N$394:N$405,$D1228)+N1183*(1+$E1228))</f>
        <v/>
      </c>
      <c r="O1228" s="44">
        <f>O1210*Settings!$C$13*(INDEX(O$407:O$418,$D1228)+INDEX(O$394:O$405,$D1228)+O1183*(1+$E1228))</f>
        <v/>
      </c>
      <c r="P1228" s="44">
        <f>P1210*Settings!$C$13*(INDEX(P$407:P$418,$D1228)+INDEX(P$394:P$405,$D1228)+P1183*(1+$E1228))</f>
        <v/>
      </c>
      <c r="Q1228" s="44">
        <f>Q1210*Settings!$C$13*(INDEX(Q$407:Q$418,$D1228)+INDEX(Q$394:Q$405,$D1228)+Q1183*(1+$E1228))</f>
        <v/>
      </c>
      <c r="R1228" s="44">
        <f>R1210*Settings!$C$13*(INDEX(R$407:R$418,$D1228)+INDEX(R$394:R$405,$D1228)+R1183*(1+$E1228))</f>
        <v/>
      </c>
      <c r="S1228" s="44">
        <f>S1210*Settings!$C$13*(INDEX(S$407:S$418,$D1228)+INDEX(S$394:S$405,$D1228)+S1183*(1+$E1228))</f>
        <v/>
      </c>
      <c r="T1228" s="44">
        <f>T1210*Settings!$C$13*(INDEX(T$407:T$418,$D1228)+INDEX(T$394:T$405,$D1228)+T1183*(1+$E1228))</f>
        <v/>
      </c>
      <c r="U1228" s="44">
        <f>U1210*Settings!$C$13*(INDEX(U$407:U$418,$D1228)+INDEX(U$394:U$405,$D1228)+U1183*(1+$E1228))</f>
        <v/>
      </c>
      <c r="V1228" s="44">
        <f>V1210*Settings!$C$13*(INDEX(V$407:V$418,$D1228)+INDEX(V$394:V$405,$D1228)+V1183*(1+$E1228))</f>
        <v/>
      </c>
      <c r="W1228" s="44">
        <f>W1210*Settings!$C$13*(INDEX(W$407:W$418,$D1228)+INDEX(W$394:W$405,$D1228)+W1183*(1+$E1228))</f>
        <v/>
      </c>
      <c r="X1228" s="44">
        <f>X1210*Settings!$C$13*(INDEX(X$407:X$418,$D1228)+INDEX(X$394:X$405,$D1228)+X1183*(1+$E1228))</f>
        <v/>
      </c>
      <c r="Y1228" s="44">
        <f>Y1210*Settings!$C$13*(INDEX(Y$407:Y$418,$D1228)+INDEX(Y$394:Y$405,$D1228)+Y1183*(1+$E1228))</f>
        <v/>
      </c>
      <c r="Z1228" s="44">
        <f>Z1210*Settings!$C$13*(INDEX(Z$407:Z$418,$D1228)+INDEX(Z$394:Z$405,$D1228)+Z1183*(1+$E1228))</f>
        <v/>
      </c>
      <c r="AA1228" s="44">
        <f>AA1210*Settings!$C$13*(INDEX(AA$407:AA$418,$D1228)+INDEX(AA$394:AA$405,$D1228)+AA1183*(1+$E1228))</f>
        <v/>
      </c>
      <c r="AB1228" s="44">
        <f>AB1210*Settings!$C$13*(INDEX(AB$407:AB$418,$D1228)+INDEX(AB$394:AB$405,$D1228)+AB1183*(1+$E1228))</f>
        <v/>
      </c>
      <c r="AC1228" s="44">
        <f>AC1210*Settings!$C$13*(INDEX(AC$407:AC$418,$D1228)+INDEX(AC$394:AC$405,$D1228)+AC1183*(1+$E1228))</f>
        <v/>
      </c>
      <c r="AD1228" s="44">
        <f>AD1210*Settings!$C$13*(INDEX(AD$407:AD$418,$D1228)+INDEX(AD$394:AD$405,$D1228)+AD1183*(1+$E1228))</f>
        <v/>
      </c>
      <c r="AE1228" s="57">
        <f>REVENUE(AE1210,Settings!$C$13,INDEX(AE$407:AE$418,$D1228)+INDEX(AE$394:AE$405,$D1228)+AE1183*(1+$E1228))</f>
        <v/>
      </c>
      <c r="AG1228" s="11">
        <f>CodePrefix&amp;$A1228&amp;IF($C1228="","","."&amp;$C1228&amp;"."&amp;$B1228)&amp;INDEX(VarEnd,MATCH($A1228,VarKey,0))&amp;AG$5</f>
        <v/>
      </c>
      <c r="AH1228" s="43">
        <f>AH1210*Settings!$C$13*(INDEX(AH$407:AH$418,$D1228)+INDEX(AH$394:AH$405,$D1228)+AH1183*(1+$E1228))</f>
        <v/>
      </c>
      <c r="AI1228" s="44">
        <f>AI1210*Settings!$C$13*(INDEX(AI$407:AI$418,$D1228)+INDEX(AI$394:AI$405,$D1228)+AI1183*(1+$E1228))</f>
        <v/>
      </c>
      <c r="AJ1228" s="44">
        <f>AJ1210*Settings!$C$13*(INDEX(AJ$407:AJ$418,$D1228)+INDEX(AJ$394:AJ$405,$D1228)+AJ1183*(1+$E1228))</f>
        <v/>
      </c>
      <c r="AK1228" s="44">
        <f>AK1210*Settings!$C$13*(INDEX(AK$407:AK$418,$D1228)+INDEX(AK$394:AK$405,$D1228)+AK1183*(1+$E1228))</f>
        <v/>
      </c>
      <c r="AL1228" s="44">
        <f>AL1210*Settings!$C$13*(INDEX(AL$407:AL$418,$D1228)+INDEX(AL$394:AL$405,$D1228)+AL1183*(1+$E1228))</f>
        <v/>
      </c>
      <c r="AM1228" s="44">
        <f>AM1210*Settings!$C$13*(INDEX(AM$407:AM$418,$D1228)+INDEX(AM$394:AM$405,$D1228)+AM1183*(1+$E1228))</f>
        <v/>
      </c>
      <c r="AN1228" s="44">
        <f>AN1210*Settings!$C$13*(INDEX(AN$407:AN$418,$D1228)+INDEX(AN$394:AN$405,$D1228)+AN1183*(1+$E1228))</f>
        <v/>
      </c>
      <c r="AO1228" s="44">
        <f>AO1210*Settings!$C$13*(INDEX(AO$407:AO$418,$D1228)+INDEX(AO$394:AO$405,$D1228)+AO1183*(1+$E1228))</f>
        <v/>
      </c>
      <c r="AP1228" s="44">
        <f>AP1210*Settings!$C$13*(INDEX(AP$407:AP$418,$D1228)+INDEX(AP$394:AP$405,$D1228)+AP1183*(1+$E1228))</f>
        <v/>
      </c>
      <c r="AQ1228" s="44">
        <f>AQ1210*Settings!$C$13*(INDEX(AQ$407:AQ$418,$D1228)+INDEX(AQ$394:AQ$405,$D1228)+AQ1183*(1+$E1228))</f>
        <v/>
      </c>
      <c r="AR1228" s="44">
        <f>AR1210*Settings!$C$13*(INDEX(AR$407:AR$418,$D1228)+INDEX(AR$394:AR$405,$D1228)+AR1183*(1+$E1228))</f>
        <v/>
      </c>
      <c r="AS1228" s="44">
        <f>AS1210*Settings!$C$13*(INDEX(AS$407:AS$418,$D1228)+INDEX(AS$394:AS$405,$D1228)+AS1183*(1+$E1228))</f>
        <v/>
      </c>
      <c r="AT1228" s="44">
        <f>AT1210*Settings!$C$13*(INDEX(AT$407:AT$418,$D1228)+INDEX(AT$394:AT$405,$D1228)+AT1183*(1+$E1228))</f>
        <v/>
      </c>
      <c r="AU1228" s="44">
        <f>AU1210*Settings!$C$13*(INDEX(AU$407:AU$418,$D1228)+INDEX(AU$394:AU$405,$D1228)+AU1183*(1+$E1228))</f>
        <v/>
      </c>
      <c r="AV1228" s="44">
        <f>AV1210*Settings!$C$13*(INDEX(AV$407:AV$418,$D1228)+INDEX(AV$394:AV$405,$D1228)+AV1183*(1+$E1228))</f>
        <v/>
      </c>
      <c r="AW1228" s="44">
        <f>AW1210*Settings!$C$13*(INDEX(AW$407:AW$418,$D1228)+INDEX(AW$394:AW$405,$D1228)+AW1183*(1+$E1228))</f>
        <v/>
      </c>
      <c r="AX1228" s="44">
        <f>AX1210*Settings!$C$13*(INDEX(AX$407:AX$418,$D1228)+INDEX(AX$394:AX$405,$D1228)+AX1183*(1+$E1228))</f>
        <v/>
      </c>
      <c r="AY1228" s="44">
        <f>AY1210*Settings!$C$13*(INDEX(AY$407:AY$418,$D1228)+INDEX(AY$394:AY$405,$D1228)+AY1183*(1+$E1228))</f>
        <v/>
      </c>
      <c r="AZ1228" s="44">
        <f>AZ1210*Settings!$C$13*(INDEX(AZ$407:AZ$418,$D1228)+INDEX(AZ$394:AZ$405,$D1228)+AZ1183*(1+$E1228))</f>
        <v/>
      </c>
      <c r="BA1228" s="57">
        <f>REVENUE(BA1210,Settings!$C$13,INDEX(BA$407:BA$418,$D1228)+INDEX(BA$394:BA$405,$D1228)+BA1183*(1+$E1228))</f>
        <v/>
      </c>
    </row>
    <row r="1229" hidden="1" outlineLevel="2">
      <c r="A1229" s="14" t="inlineStr">
        <is>
          <t>rtx</t>
        </is>
      </c>
      <c r="B1229" s="14" t="inlineStr">
        <is>
          <t>lpg</t>
        </is>
      </c>
      <c r="C1229" s="14" t="inlineStr">
        <is>
          <t>ral</t>
        </is>
      </c>
      <c r="D1229" s="35">
        <f>INDEX(Inputs!$U$5:$U$132,MATCH($B1229&amp;"|"&amp;$C1229,Inputs!$A$5:$A$132,0))</f>
        <v/>
      </c>
      <c r="E1229" s="35">
        <f>INDEX(Inputs!$V$5:$V$132,MATCH($B1229&amp;"|"&amp;$C1229,Inputs!$A$5:$A$132,0))</f>
        <v/>
      </c>
      <c r="F1229" s="39" t="n"/>
      <c r="G1229" s="39" t="n"/>
      <c r="H1229" s="14">
        <f>INDEX(VarLab,MATCH($A1229,VarKey,0))&amp;INDEX(MemLab,MATCH($C1229&amp;"|"&amp;$B1229,MemKey,0))</f>
        <v/>
      </c>
      <c r="I1229" s="14">
        <f>INDEX(VarUnit,MATCH($A1229,VarKey,0))</f>
        <v/>
      </c>
      <c r="J1229" s="14">
        <f>INDEX(VarSrc,MATCH($A1229,VarKey,0))</f>
        <v/>
      </c>
      <c r="K1229" s="11">
        <f>CodePrefix&amp;$A1229&amp;IF($C1229="","","."&amp;$C1229&amp;"."&amp;$B1229)&amp;INDEX(VarEnd,MATCH($A1229,VarKey,0))&amp;K$5</f>
        <v/>
      </c>
      <c r="L1229" s="43">
        <f>L1211*Settings!$C$13*(INDEX(L$407:L$418,$D1229)+INDEX(L$394:L$405,$D1229)+L1184*(1+$E1229))</f>
        <v/>
      </c>
      <c r="M1229" s="44">
        <f>M1211*Settings!$C$13*(INDEX(M$407:M$418,$D1229)+INDEX(M$394:M$405,$D1229)+M1184*(1+$E1229))</f>
        <v/>
      </c>
      <c r="N1229" s="44">
        <f>N1211*Settings!$C$13*(INDEX(N$407:N$418,$D1229)+INDEX(N$394:N$405,$D1229)+N1184*(1+$E1229))</f>
        <v/>
      </c>
      <c r="O1229" s="44">
        <f>O1211*Settings!$C$13*(INDEX(O$407:O$418,$D1229)+INDEX(O$394:O$405,$D1229)+O1184*(1+$E1229))</f>
        <v/>
      </c>
      <c r="P1229" s="44">
        <f>P1211*Settings!$C$13*(INDEX(P$407:P$418,$D1229)+INDEX(P$394:P$405,$D1229)+P1184*(1+$E1229))</f>
        <v/>
      </c>
      <c r="Q1229" s="44">
        <f>Q1211*Settings!$C$13*(INDEX(Q$407:Q$418,$D1229)+INDEX(Q$394:Q$405,$D1229)+Q1184*(1+$E1229))</f>
        <v/>
      </c>
      <c r="R1229" s="44">
        <f>R1211*Settings!$C$13*(INDEX(R$407:R$418,$D1229)+INDEX(R$394:R$405,$D1229)+R1184*(1+$E1229))</f>
        <v/>
      </c>
      <c r="S1229" s="44">
        <f>S1211*Settings!$C$13*(INDEX(S$407:S$418,$D1229)+INDEX(S$394:S$405,$D1229)+S1184*(1+$E1229))</f>
        <v/>
      </c>
      <c r="T1229" s="44">
        <f>T1211*Settings!$C$13*(INDEX(T$407:T$418,$D1229)+INDEX(T$394:T$405,$D1229)+T1184*(1+$E1229))</f>
        <v/>
      </c>
      <c r="U1229" s="44">
        <f>U1211*Settings!$C$13*(INDEX(U$407:U$418,$D1229)+INDEX(U$394:U$405,$D1229)+U1184*(1+$E1229))</f>
        <v/>
      </c>
      <c r="V1229" s="44">
        <f>V1211*Settings!$C$13*(INDEX(V$407:V$418,$D1229)+INDEX(V$394:V$405,$D1229)+V1184*(1+$E1229))</f>
        <v/>
      </c>
      <c r="W1229" s="44">
        <f>W1211*Settings!$C$13*(INDEX(W$407:W$418,$D1229)+INDEX(W$394:W$405,$D1229)+W1184*(1+$E1229))</f>
        <v/>
      </c>
      <c r="X1229" s="44">
        <f>X1211*Settings!$C$13*(INDEX(X$407:X$418,$D1229)+INDEX(X$394:X$405,$D1229)+X1184*(1+$E1229))</f>
        <v/>
      </c>
      <c r="Y1229" s="44">
        <f>Y1211*Settings!$C$13*(INDEX(Y$407:Y$418,$D1229)+INDEX(Y$394:Y$405,$D1229)+Y1184*(1+$E1229))</f>
        <v/>
      </c>
      <c r="Z1229" s="44">
        <f>Z1211*Settings!$C$13*(INDEX(Z$407:Z$418,$D1229)+INDEX(Z$394:Z$405,$D1229)+Z1184*(1+$E1229))</f>
        <v/>
      </c>
      <c r="AA1229" s="44">
        <f>AA1211*Settings!$C$13*(INDEX(AA$407:AA$418,$D1229)+INDEX(AA$394:AA$405,$D1229)+AA1184*(1+$E1229))</f>
        <v/>
      </c>
      <c r="AB1229" s="44">
        <f>AB1211*Settings!$C$13*(INDEX(AB$407:AB$418,$D1229)+INDEX(AB$394:AB$405,$D1229)+AB1184*(1+$E1229))</f>
        <v/>
      </c>
      <c r="AC1229" s="44">
        <f>AC1211*Settings!$C$13*(INDEX(AC$407:AC$418,$D1229)+INDEX(AC$394:AC$405,$D1229)+AC1184*(1+$E1229))</f>
        <v/>
      </c>
      <c r="AD1229" s="44">
        <f>AD1211*Settings!$C$13*(INDEX(AD$407:AD$418,$D1229)+INDEX(AD$394:AD$405,$D1229)+AD1184*(1+$E1229))</f>
        <v/>
      </c>
      <c r="AE1229" s="57">
        <f>REVENUE(AE1211,Settings!$C$13,INDEX(AE$407:AE$418,$D1229)+INDEX(AE$394:AE$405,$D1229)+AE1184*(1+$E1229))</f>
        <v/>
      </c>
      <c r="AG1229" s="11">
        <f>CodePrefix&amp;$A1229&amp;IF($C1229="","","."&amp;$C1229&amp;"."&amp;$B1229)&amp;INDEX(VarEnd,MATCH($A1229,VarKey,0))&amp;AG$5</f>
        <v/>
      </c>
      <c r="AH1229" s="43">
        <f>AH1211*Settings!$C$13*(INDEX(AH$407:AH$418,$D1229)+INDEX(AH$394:AH$405,$D1229)+AH1184*(1+$E1229))</f>
        <v/>
      </c>
      <c r="AI1229" s="44">
        <f>AI1211*Settings!$C$13*(INDEX(AI$407:AI$418,$D1229)+INDEX(AI$394:AI$405,$D1229)+AI1184*(1+$E1229))</f>
        <v/>
      </c>
      <c r="AJ1229" s="44">
        <f>AJ1211*Settings!$C$13*(INDEX(AJ$407:AJ$418,$D1229)+INDEX(AJ$394:AJ$405,$D1229)+AJ1184*(1+$E1229))</f>
        <v/>
      </c>
      <c r="AK1229" s="44">
        <f>AK1211*Settings!$C$13*(INDEX(AK$407:AK$418,$D1229)+INDEX(AK$394:AK$405,$D1229)+AK1184*(1+$E1229))</f>
        <v/>
      </c>
      <c r="AL1229" s="44">
        <f>AL1211*Settings!$C$13*(INDEX(AL$407:AL$418,$D1229)+INDEX(AL$394:AL$405,$D1229)+AL1184*(1+$E1229))</f>
        <v/>
      </c>
      <c r="AM1229" s="44">
        <f>AM1211*Settings!$C$13*(INDEX(AM$407:AM$418,$D1229)+INDEX(AM$394:AM$405,$D1229)+AM1184*(1+$E1229))</f>
        <v/>
      </c>
      <c r="AN1229" s="44">
        <f>AN1211*Settings!$C$13*(INDEX(AN$407:AN$418,$D1229)+INDEX(AN$394:AN$405,$D1229)+AN1184*(1+$E1229))</f>
        <v/>
      </c>
      <c r="AO1229" s="44">
        <f>AO1211*Settings!$C$13*(INDEX(AO$407:AO$418,$D1229)+INDEX(AO$394:AO$405,$D1229)+AO1184*(1+$E1229))</f>
        <v/>
      </c>
      <c r="AP1229" s="44">
        <f>AP1211*Settings!$C$13*(INDEX(AP$407:AP$418,$D1229)+INDEX(AP$394:AP$405,$D1229)+AP1184*(1+$E1229))</f>
        <v/>
      </c>
      <c r="AQ1229" s="44">
        <f>AQ1211*Settings!$C$13*(INDEX(AQ$407:AQ$418,$D1229)+INDEX(AQ$394:AQ$405,$D1229)+AQ1184*(1+$E1229))</f>
        <v/>
      </c>
      <c r="AR1229" s="44">
        <f>AR1211*Settings!$C$13*(INDEX(AR$407:AR$418,$D1229)+INDEX(AR$394:AR$405,$D1229)+AR1184*(1+$E1229))</f>
        <v/>
      </c>
      <c r="AS1229" s="44">
        <f>AS1211*Settings!$C$13*(INDEX(AS$407:AS$418,$D1229)+INDEX(AS$394:AS$405,$D1229)+AS1184*(1+$E1229))</f>
        <v/>
      </c>
      <c r="AT1229" s="44">
        <f>AT1211*Settings!$C$13*(INDEX(AT$407:AT$418,$D1229)+INDEX(AT$394:AT$405,$D1229)+AT1184*(1+$E1229))</f>
        <v/>
      </c>
      <c r="AU1229" s="44">
        <f>AU1211*Settings!$C$13*(INDEX(AU$407:AU$418,$D1229)+INDEX(AU$394:AU$405,$D1229)+AU1184*(1+$E1229))</f>
        <v/>
      </c>
      <c r="AV1229" s="44">
        <f>AV1211*Settings!$C$13*(INDEX(AV$407:AV$418,$D1229)+INDEX(AV$394:AV$405,$D1229)+AV1184*(1+$E1229))</f>
        <v/>
      </c>
      <c r="AW1229" s="44">
        <f>AW1211*Settings!$C$13*(INDEX(AW$407:AW$418,$D1229)+INDEX(AW$394:AW$405,$D1229)+AW1184*(1+$E1229))</f>
        <v/>
      </c>
      <c r="AX1229" s="44">
        <f>AX1211*Settings!$C$13*(INDEX(AX$407:AX$418,$D1229)+INDEX(AX$394:AX$405,$D1229)+AX1184*(1+$E1229))</f>
        <v/>
      </c>
      <c r="AY1229" s="44">
        <f>AY1211*Settings!$C$13*(INDEX(AY$407:AY$418,$D1229)+INDEX(AY$394:AY$405,$D1229)+AY1184*(1+$E1229))</f>
        <v/>
      </c>
      <c r="AZ1229" s="44">
        <f>AZ1211*Settings!$C$13*(INDEX(AZ$407:AZ$418,$D1229)+INDEX(AZ$394:AZ$405,$D1229)+AZ1184*(1+$E1229))</f>
        <v/>
      </c>
      <c r="BA1229" s="57">
        <f>REVENUE(BA1211,Settings!$C$13,INDEX(BA$407:BA$418,$D1229)+INDEX(BA$394:BA$405,$D1229)+BA1184*(1+$E1229))</f>
        <v/>
      </c>
    </row>
    <row r="1230" hidden="1" outlineLevel="2">
      <c r="A1230" s="14" t="inlineStr">
        <is>
          <t>rtx</t>
        </is>
      </c>
      <c r="B1230" s="14" t="inlineStr">
        <is>
          <t>ker</t>
        </is>
      </c>
      <c r="C1230" s="14" t="inlineStr">
        <is>
          <t>ral</t>
        </is>
      </c>
      <c r="D1230" s="35">
        <f>INDEX(Inputs!$U$5:$U$132,MATCH($B1230&amp;"|"&amp;$C1230,Inputs!$A$5:$A$132,0))</f>
        <v/>
      </c>
      <c r="E1230" s="35">
        <f>INDEX(Inputs!$V$5:$V$132,MATCH($B1230&amp;"|"&amp;$C1230,Inputs!$A$5:$A$132,0))</f>
        <v/>
      </c>
      <c r="F1230" s="39" t="n"/>
      <c r="G1230" s="39" t="n"/>
      <c r="H1230" s="14">
        <f>INDEX(VarLab,MATCH($A1230,VarKey,0))&amp;INDEX(MemLab,MATCH($C1230&amp;"|"&amp;$B1230,MemKey,0))</f>
        <v/>
      </c>
      <c r="I1230" s="14">
        <f>INDEX(VarUnit,MATCH($A1230,VarKey,0))</f>
        <v/>
      </c>
      <c r="J1230" s="14">
        <f>INDEX(VarSrc,MATCH($A1230,VarKey,0))</f>
        <v/>
      </c>
      <c r="K1230" s="11">
        <f>CodePrefix&amp;$A1230&amp;IF($C1230="","","."&amp;$C1230&amp;"."&amp;$B1230)&amp;INDEX(VarEnd,MATCH($A1230,VarKey,0))&amp;K$5</f>
        <v/>
      </c>
      <c r="L1230" s="43">
        <f>L1212*Settings!$C$13*(INDEX(L$407:L$418,$D1230)+INDEX(L$394:L$405,$D1230)+L1185*(1+$E1230))</f>
        <v/>
      </c>
      <c r="M1230" s="44">
        <f>M1212*Settings!$C$13*(INDEX(M$407:M$418,$D1230)+INDEX(M$394:M$405,$D1230)+M1185*(1+$E1230))</f>
        <v/>
      </c>
      <c r="N1230" s="44">
        <f>N1212*Settings!$C$13*(INDEX(N$407:N$418,$D1230)+INDEX(N$394:N$405,$D1230)+N1185*(1+$E1230))</f>
        <v/>
      </c>
      <c r="O1230" s="44">
        <f>O1212*Settings!$C$13*(INDEX(O$407:O$418,$D1230)+INDEX(O$394:O$405,$D1230)+O1185*(1+$E1230))</f>
        <v/>
      </c>
      <c r="P1230" s="44">
        <f>P1212*Settings!$C$13*(INDEX(P$407:P$418,$D1230)+INDEX(P$394:P$405,$D1230)+P1185*(1+$E1230))</f>
        <v/>
      </c>
      <c r="Q1230" s="44">
        <f>Q1212*Settings!$C$13*(INDEX(Q$407:Q$418,$D1230)+INDEX(Q$394:Q$405,$D1230)+Q1185*(1+$E1230))</f>
        <v/>
      </c>
      <c r="R1230" s="44">
        <f>R1212*Settings!$C$13*(INDEX(R$407:R$418,$D1230)+INDEX(R$394:R$405,$D1230)+R1185*(1+$E1230))</f>
        <v/>
      </c>
      <c r="S1230" s="44">
        <f>S1212*Settings!$C$13*(INDEX(S$407:S$418,$D1230)+INDEX(S$394:S$405,$D1230)+S1185*(1+$E1230))</f>
        <v/>
      </c>
      <c r="T1230" s="44">
        <f>T1212*Settings!$C$13*(INDEX(T$407:T$418,$D1230)+INDEX(T$394:T$405,$D1230)+T1185*(1+$E1230))</f>
        <v/>
      </c>
      <c r="U1230" s="44">
        <f>U1212*Settings!$C$13*(INDEX(U$407:U$418,$D1230)+INDEX(U$394:U$405,$D1230)+U1185*(1+$E1230))</f>
        <v/>
      </c>
      <c r="V1230" s="44">
        <f>V1212*Settings!$C$13*(INDEX(V$407:V$418,$D1230)+INDEX(V$394:V$405,$D1230)+V1185*(1+$E1230))</f>
        <v/>
      </c>
      <c r="W1230" s="44">
        <f>W1212*Settings!$C$13*(INDEX(W$407:W$418,$D1230)+INDEX(W$394:W$405,$D1230)+W1185*(1+$E1230))</f>
        <v/>
      </c>
      <c r="X1230" s="44">
        <f>X1212*Settings!$C$13*(INDEX(X$407:X$418,$D1230)+INDEX(X$394:X$405,$D1230)+X1185*(1+$E1230))</f>
        <v/>
      </c>
      <c r="Y1230" s="44">
        <f>Y1212*Settings!$C$13*(INDEX(Y$407:Y$418,$D1230)+INDEX(Y$394:Y$405,$D1230)+Y1185*(1+$E1230))</f>
        <v/>
      </c>
      <c r="Z1230" s="44">
        <f>Z1212*Settings!$C$13*(INDEX(Z$407:Z$418,$D1230)+INDEX(Z$394:Z$405,$D1230)+Z1185*(1+$E1230))</f>
        <v/>
      </c>
      <c r="AA1230" s="44">
        <f>AA1212*Settings!$C$13*(INDEX(AA$407:AA$418,$D1230)+INDEX(AA$394:AA$405,$D1230)+AA1185*(1+$E1230))</f>
        <v/>
      </c>
      <c r="AB1230" s="44">
        <f>AB1212*Settings!$C$13*(INDEX(AB$407:AB$418,$D1230)+INDEX(AB$394:AB$405,$D1230)+AB1185*(1+$E1230))</f>
        <v/>
      </c>
      <c r="AC1230" s="44">
        <f>AC1212*Settings!$C$13*(INDEX(AC$407:AC$418,$D1230)+INDEX(AC$394:AC$405,$D1230)+AC1185*(1+$E1230))</f>
        <v/>
      </c>
      <c r="AD1230" s="44">
        <f>AD1212*Settings!$C$13*(INDEX(AD$407:AD$418,$D1230)+INDEX(AD$394:AD$405,$D1230)+AD1185*(1+$E1230))</f>
        <v/>
      </c>
      <c r="AE1230" s="57">
        <f>REVENUE(AE1212,Settings!$C$13,INDEX(AE$407:AE$418,$D1230)+INDEX(AE$394:AE$405,$D1230)+AE1185*(1+$E1230))</f>
        <v/>
      </c>
      <c r="AG1230" s="11">
        <f>CodePrefix&amp;$A1230&amp;IF($C1230="","","."&amp;$C1230&amp;"."&amp;$B1230)&amp;INDEX(VarEnd,MATCH($A1230,VarKey,0))&amp;AG$5</f>
        <v/>
      </c>
      <c r="AH1230" s="43">
        <f>AH1212*Settings!$C$13*(INDEX(AH$407:AH$418,$D1230)+INDEX(AH$394:AH$405,$D1230)+AH1185*(1+$E1230))</f>
        <v/>
      </c>
      <c r="AI1230" s="44">
        <f>AI1212*Settings!$C$13*(INDEX(AI$407:AI$418,$D1230)+INDEX(AI$394:AI$405,$D1230)+AI1185*(1+$E1230))</f>
        <v/>
      </c>
      <c r="AJ1230" s="44">
        <f>AJ1212*Settings!$C$13*(INDEX(AJ$407:AJ$418,$D1230)+INDEX(AJ$394:AJ$405,$D1230)+AJ1185*(1+$E1230))</f>
        <v/>
      </c>
      <c r="AK1230" s="44">
        <f>AK1212*Settings!$C$13*(INDEX(AK$407:AK$418,$D1230)+INDEX(AK$394:AK$405,$D1230)+AK1185*(1+$E1230))</f>
        <v/>
      </c>
      <c r="AL1230" s="44">
        <f>AL1212*Settings!$C$13*(INDEX(AL$407:AL$418,$D1230)+INDEX(AL$394:AL$405,$D1230)+AL1185*(1+$E1230))</f>
        <v/>
      </c>
      <c r="AM1230" s="44">
        <f>AM1212*Settings!$C$13*(INDEX(AM$407:AM$418,$D1230)+INDEX(AM$394:AM$405,$D1230)+AM1185*(1+$E1230))</f>
        <v/>
      </c>
      <c r="AN1230" s="44">
        <f>AN1212*Settings!$C$13*(INDEX(AN$407:AN$418,$D1230)+INDEX(AN$394:AN$405,$D1230)+AN1185*(1+$E1230))</f>
        <v/>
      </c>
      <c r="AO1230" s="44">
        <f>AO1212*Settings!$C$13*(INDEX(AO$407:AO$418,$D1230)+INDEX(AO$394:AO$405,$D1230)+AO1185*(1+$E1230))</f>
        <v/>
      </c>
      <c r="AP1230" s="44">
        <f>AP1212*Settings!$C$13*(INDEX(AP$407:AP$418,$D1230)+INDEX(AP$394:AP$405,$D1230)+AP1185*(1+$E1230))</f>
        <v/>
      </c>
      <c r="AQ1230" s="44">
        <f>AQ1212*Settings!$C$13*(INDEX(AQ$407:AQ$418,$D1230)+INDEX(AQ$394:AQ$405,$D1230)+AQ1185*(1+$E1230))</f>
        <v/>
      </c>
      <c r="AR1230" s="44">
        <f>AR1212*Settings!$C$13*(INDEX(AR$407:AR$418,$D1230)+INDEX(AR$394:AR$405,$D1230)+AR1185*(1+$E1230))</f>
        <v/>
      </c>
      <c r="AS1230" s="44">
        <f>AS1212*Settings!$C$13*(INDEX(AS$407:AS$418,$D1230)+INDEX(AS$394:AS$405,$D1230)+AS1185*(1+$E1230))</f>
        <v/>
      </c>
      <c r="AT1230" s="44">
        <f>AT1212*Settings!$C$13*(INDEX(AT$407:AT$418,$D1230)+INDEX(AT$394:AT$405,$D1230)+AT1185*(1+$E1230))</f>
        <v/>
      </c>
      <c r="AU1230" s="44">
        <f>AU1212*Settings!$C$13*(INDEX(AU$407:AU$418,$D1230)+INDEX(AU$394:AU$405,$D1230)+AU1185*(1+$E1230))</f>
        <v/>
      </c>
      <c r="AV1230" s="44">
        <f>AV1212*Settings!$C$13*(INDEX(AV$407:AV$418,$D1230)+INDEX(AV$394:AV$405,$D1230)+AV1185*(1+$E1230))</f>
        <v/>
      </c>
      <c r="AW1230" s="44">
        <f>AW1212*Settings!$C$13*(INDEX(AW$407:AW$418,$D1230)+INDEX(AW$394:AW$405,$D1230)+AW1185*(1+$E1230))</f>
        <v/>
      </c>
      <c r="AX1230" s="44">
        <f>AX1212*Settings!$C$13*(INDEX(AX$407:AX$418,$D1230)+INDEX(AX$394:AX$405,$D1230)+AX1185*(1+$E1230))</f>
        <v/>
      </c>
      <c r="AY1230" s="44">
        <f>AY1212*Settings!$C$13*(INDEX(AY$407:AY$418,$D1230)+INDEX(AY$394:AY$405,$D1230)+AY1185*(1+$E1230))</f>
        <v/>
      </c>
      <c r="AZ1230" s="44">
        <f>AZ1212*Settings!$C$13*(INDEX(AZ$407:AZ$418,$D1230)+INDEX(AZ$394:AZ$405,$D1230)+AZ1185*(1+$E1230))</f>
        <v/>
      </c>
      <c r="BA1230" s="57">
        <f>REVENUE(BA1212,Settings!$C$13,INDEX(BA$407:BA$418,$D1230)+INDEX(BA$394:BA$405,$D1230)+BA1185*(1+$E1230))</f>
        <v/>
      </c>
    </row>
    <row r="1231" hidden="1" outlineLevel="2">
      <c r="A1231" s="14" t="inlineStr">
        <is>
          <t>rtx</t>
        </is>
      </c>
      <c r="B1231" s="14" t="inlineStr">
        <is>
          <t>oop</t>
        </is>
      </c>
      <c r="C1231" s="14" t="inlineStr">
        <is>
          <t>ral</t>
        </is>
      </c>
      <c r="D1231" s="35">
        <f>INDEX(Inputs!$U$5:$U$132,MATCH($B1231&amp;"|"&amp;$C1231,Inputs!$A$5:$A$132,0))</f>
        <v/>
      </c>
      <c r="E1231" s="35">
        <f>INDEX(Inputs!$V$5:$V$132,MATCH($B1231&amp;"|"&amp;$C1231,Inputs!$A$5:$A$132,0))</f>
        <v/>
      </c>
      <c r="F1231" s="39" t="n"/>
      <c r="G1231" s="39" t="n"/>
      <c r="H1231" s="14">
        <f>INDEX(VarLab,MATCH($A1231,VarKey,0))&amp;INDEX(MemLab,MATCH($C1231&amp;"|"&amp;$B1231,MemKey,0))</f>
        <v/>
      </c>
      <c r="I1231" s="14">
        <f>INDEX(VarUnit,MATCH($A1231,VarKey,0))</f>
        <v/>
      </c>
      <c r="J1231" s="14">
        <f>INDEX(VarSrc,MATCH($A1231,VarKey,0))</f>
        <v/>
      </c>
      <c r="K1231" s="11">
        <f>CodePrefix&amp;$A1231&amp;IF($C1231="","","."&amp;$C1231&amp;"."&amp;$B1231)&amp;INDEX(VarEnd,MATCH($A1231,VarKey,0))&amp;K$5</f>
        <v/>
      </c>
      <c r="L1231" s="43">
        <f>L1213*Settings!$C$13*(INDEX(L$407:L$418,$D1231)+INDEX(L$394:L$405,$D1231)+L1186*(1+$E1231))</f>
        <v/>
      </c>
      <c r="M1231" s="44">
        <f>M1213*Settings!$C$13*(INDEX(M$407:M$418,$D1231)+INDEX(M$394:M$405,$D1231)+M1186*(1+$E1231))</f>
        <v/>
      </c>
      <c r="N1231" s="44">
        <f>N1213*Settings!$C$13*(INDEX(N$407:N$418,$D1231)+INDEX(N$394:N$405,$D1231)+N1186*(1+$E1231))</f>
        <v/>
      </c>
      <c r="O1231" s="44">
        <f>O1213*Settings!$C$13*(INDEX(O$407:O$418,$D1231)+INDEX(O$394:O$405,$D1231)+O1186*(1+$E1231))</f>
        <v/>
      </c>
      <c r="P1231" s="44">
        <f>P1213*Settings!$C$13*(INDEX(P$407:P$418,$D1231)+INDEX(P$394:P$405,$D1231)+P1186*(1+$E1231))</f>
        <v/>
      </c>
      <c r="Q1231" s="44">
        <f>Q1213*Settings!$C$13*(INDEX(Q$407:Q$418,$D1231)+INDEX(Q$394:Q$405,$D1231)+Q1186*(1+$E1231))</f>
        <v/>
      </c>
      <c r="R1231" s="44">
        <f>R1213*Settings!$C$13*(INDEX(R$407:R$418,$D1231)+INDEX(R$394:R$405,$D1231)+R1186*(1+$E1231))</f>
        <v/>
      </c>
      <c r="S1231" s="44">
        <f>S1213*Settings!$C$13*(INDEX(S$407:S$418,$D1231)+INDEX(S$394:S$405,$D1231)+S1186*(1+$E1231))</f>
        <v/>
      </c>
      <c r="T1231" s="44">
        <f>T1213*Settings!$C$13*(INDEX(T$407:T$418,$D1231)+INDEX(T$394:T$405,$D1231)+T1186*(1+$E1231))</f>
        <v/>
      </c>
      <c r="U1231" s="44">
        <f>U1213*Settings!$C$13*(INDEX(U$407:U$418,$D1231)+INDEX(U$394:U$405,$D1231)+U1186*(1+$E1231))</f>
        <v/>
      </c>
      <c r="V1231" s="44">
        <f>V1213*Settings!$C$13*(INDEX(V$407:V$418,$D1231)+INDEX(V$394:V$405,$D1231)+V1186*(1+$E1231))</f>
        <v/>
      </c>
      <c r="W1231" s="44">
        <f>W1213*Settings!$C$13*(INDEX(W$407:W$418,$D1231)+INDEX(W$394:W$405,$D1231)+W1186*(1+$E1231))</f>
        <v/>
      </c>
      <c r="X1231" s="44">
        <f>X1213*Settings!$C$13*(INDEX(X$407:X$418,$D1231)+INDEX(X$394:X$405,$D1231)+X1186*(1+$E1231))</f>
        <v/>
      </c>
      <c r="Y1231" s="44">
        <f>Y1213*Settings!$C$13*(INDEX(Y$407:Y$418,$D1231)+INDEX(Y$394:Y$405,$D1231)+Y1186*(1+$E1231))</f>
        <v/>
      </c>
      <c r="Z1231" s="44">
        <f>Z1213*Settings!$C$13*(INDEX(Z$407:Z$418,$D1231)+INDEX(Z$394:Z$405,$D1231)+Z1186*(1+$E1231))</f>
        <v/>
      </c>
      <c r="AA1231" s="44">
        <f>AA1213*Settings!$C$13*(INDEX(AA$407:AA$418,$D1231)+INDEX(AA$394:AA$405,$D1231)+AA1186*(1+$E1231))</f>
        <v/>
      </c>
      <c r="AB1231" s="44">
        <f>AB1213*Settings!$C$13*(INDEX(AB$407:AB$418,$D1231)+INDEX(AB$394:AB$405,$D1231)+AB1186*(1+$E1231))</f>
        <v/>
      </c>
      <c r="AC1231" s="44">
        <f>AC1213*Settings!$C$13*(INDEX(AC$407:AC$418,$D1231)+INDEX(AC$394:AC$405,$D1231)+AC1186*(1+$E1231))</f>
        <v/>
      </c>
      <c r="AD1231" s="44">
        <f>AD1213*Settings!$C$13*(INDEX(AD$407:AD$418,$D1231)+INDEX(AD$394:AD$405,$D1231)+AD1186*(1+$E1231))</f>
        <v/>
      </c>
      <c r="AE1231" s="57">
        <f>REVENUE(AE1213,Settings!$C$13,INDEX(AE$407:AE$418,$D1231)+INDEX(AE$394:AE$405,$D1231)+AE1186*(1+$E1231))</f>
        <v/>
      </c>
      <c r="AG1231" s="11">
        <f>CodePrefix&amp;$A1231&amp;IF($C1231="","","."&amp;$C1231&amp;"."&amp;$B1231)&amp;INDEX(VarEnd,MATCH($A1231,VarKey,0))&amp;AG$5</f>
        <v/>
      </c>
      <c r="AH1231" s="43">
        <f>AH1213*Settings!$C$13*(INDEX(AH$407:AH$418,$D1231)+INDEX(AH$394:AH$405,$D1231)+AH1186*(1+$E1231))</f>
        <v/>
      </c>
      <c r="AI1231" s="44">
        <f>AI1213*Settings!$C$13*(INDEX(AI$407:AI$418,$D1231)+INDEX(AI$394:AI$405,$D1231)+AI1186*(1+$E1231))</f>
        <v/>
      </c>
      <c r="AJ1231" s="44">
        <f>AJ1213*Settings!$C$13*(INDEX(AJ$407:AJ$418,$D1231)+INDEX(AJ$394:AJ$405,$D1231)+AJ1186*(1+$E1231))</f>
        <v/>
      </c>
      <c r="AK1231" s="44">
        <f>AK1213*Settings!$C$13*(INDEX(AK$407:AK$418,$D1231)+INDEX(AK$394:AK$405,$D1231)+AK1186*(1+$E1231))</f>
        <v/>
      </c>
      <c r="AL1231" s="44">
        <f>AL1213*Settings!$C$13*(INDEX(AL$407:AL$418,$D1231)+INDEX(AL$394:AL$405,$D1231)+AL1186*(1+$E1231))</f>
        <v/>
      </c>
      <c r="AM1231" s="44">
        <f>AM1213*Settings!$C$13*(INDEX(AM$407:AM$418,$D1231)+INDEX(AM$394:AM$405,$D1231)+AM1186*(1+$E1231))</f>
        <v/>
      </c>
      <c r="AN1231" s="44">
        <f>AN1213*Settings!$C$13*(INDEX(AN$407:AN$418,$D1231)+INDEX(AN$394:AN$405,$D1231)+AN1186*(1+$E1231))</f>
        <v/>
      </c>
      <c r="AO1231" s="44">
        <f>AO1213*Settings!$C$13*(INDEX(AO$407:AO$418,$D1231)+INDEX(AO$394:AO$405,$D1231)+AO1186*(1+$E1231))</f>
        <v/>
      </c>
      <c r="AP1231" s="44">
        <f>AP1213*Settings!$C$13*(INDEX(AP$407:AP$418,$D1231)+INDEX(AP$394:AP$405,$D1231)+AP1186*(1+$E1231))</f>
        <v/>
      </c>
      <c r="AQ1231" s="44">
        <f>AQ1213*Settings!$C$13*(INDEX(AQ$407:AQ$418,$D1231)+INDEX(AQ$394:AQ$405,$D1231)+AQ1186*(1+$E1231))</f>
        <v/>
      </c>
      <c r="AR1231" s="44">
        <f>AR1213*Settings!$C$13*(INDEX(AR$407:AR$418,$D1231)+INDEX(AR$394:AR$405,$D1231)+AR1186*(1+$E1231))</f>
        <v/>
      </c>
      <c r="AS1231" s="44">
        <f>AS1213*Settings!$C$13*(INDEX(AS$407:AS$418,$D1231)+INDEX(AS$394:AS$405,$D1231)+AS1186*(1+$E1231))</f>
        <v/>
      </c>
      <c r="AT1231" s="44">
        <f>AT1213*Settings!$C$13*(INDEX(AT$407:AT$418,$D1231)+INDEX(AT$394:AT$405,$D1231)+AT1186*(1+$E1231))</f>
        <v/>
      </c>
      <c r="AU1231" s="44">
        <f>AU1213*Settings!$C$13*(INDEX(AU$407:AU$418,$D1231)+INDEX(AU$394:AU$405,$D1231)+AU1186*(1+$E1231))</f>
        <v/>
      </c>
      <c r="AV1231" s="44">
        <f>AV1213*Settings!$C$13*(INDEX(AV$407:AV$418,$D1231)+INDEX(AV$394:AV$405,$D1231)+AV1186*(1+$E1231))</f>
        <v/>
      </c>
      <c r="AW1231" s="44">
        <f>AW1213*Settings!$C$13*(INDEX(AW$407:AW$418,$D1231)+INDEX(AW$394:AW$405,$D1231)+AW1186*(1+$E1231))</f>
        <v/>
      </c>
      <c r="AX1231" s="44">
        <f>AX1213*Settings!$C$13*(INDEX(AX$407:AX$418,$D1231)+INDEX(AX$394:AX$405,$D1231)+AX1186*(1+$E1231))</f>
        <v/>
      </c>
      <c r="AY1231" s="44">
        <f>AY1213*Settings!$C$13*(INDEX(AY$407:AY$418,$D1231)+INDEX(AY$394:AY$405,$D1231)+AY1186*(1+$E1231))</f>
        <v/>
      </c>
      <c r="AZ1231" s="44">
        <f>AZ1213*Settings!$C$13*(INDEX(AZ$407:AZ$418,$D1231)+INDEX(AZ$394:AZ$405,$D1231)+AZ1186*(1+$E1231))</f>
        <v/>
      </c>
      <c r="BA1231" s="57">
        <f>REVENUE(BA1213,Settings!$C$13,INDEX(BA$407:BA$418,$D1231)+INDEX(BA$394:BA$405,$D1231)+BA1186*(1+$E1231))</f>
        <v/>
      </c>
    </row>
    <row r="1232" hidden="1" outlineLevel="2">
      <c r="A1232" s="14" t="inlineStr">
        <is>
          <t>rtx</t>
        </is>
      </c>
      <c r="B1232" s="14" t="inlineStr">
        <is>
          <t>bio</t>
        </is>
      </c>
      <c r="C1232" s="14" t="inlineStr">
        <is>
          <t>ral</t>
        </is>
      </c>
      <c r="D1232" s="35">
        <f>INDEX(Inputs!$U$5:$U$132,MATCH($B1232&amp;"|"&amp;$C1232,Inputs!$A$5:$A$132,0))</f>
        <v/>
      </c>
      <c r="E1232" s="35">
        <f>INDEX(Inputs!$V$5:$V$132,MATCH($B1232&amp;"|"&amp;$C1232,Inputs!$A$5:$A$132,0))</f>
        <v/>
      </c>
      <c r="F1232" s="39" t="n"/>
      <c r="G1232" s="39" t="n"/>
      <c r="H1232" s="14">
        <f>INDEX(VarLab,MATCH($A1232,VarKey,0))&amp;INDEX(MemLab,MATCH($C1232&amp;"|"&amp;$B1232,MemKey,0))</f>
        <v/>
      </c>
      <c r="I1232" s="14">
        <f>INDEX(VarUnit,MATCH($A1232,VarKey,0))</f>
        <v/>
      </c>
      <c r="J1232" s="14">
        <f>INDEX(VarSrc,MATCH($A1232,VarKey,0))</f>
        <v/>
      </c>
      <c r="K1232" s="11">
        <f>CodePrefix&amp;$A1232&amp;IF($C1232="","","."&amp;$C1232&amp;"."&amp;$B1232)&amp;INDEX(VarEnd,MATCH($A1232,VarKey,0))&amp;K$5</f>
        <v/>
      </c>
      <c r="L1232" s="43">
        <f>L1214*Settings!$C$13*(INDEX(L$407:L$418,$D1232)+INDEX(L$394:L$405,$D1232)+L1187*(1+$E1232))</f>
        <v/>
      </c>
      <c r="M1232" s="44">
        <f>M1214*Settings!$C$13*(INDEX(M$407:M$418,$D1232)+INDEX(M$394:M$405,$D1232)+M1187*(1+$E1232))</f>
        <v/>
      </c>
      <c r="N1232" s="44">
        <f>N1214*Settings!$C$13*(INDEX(N$407:N$418,$D1232)+INDEX(N$394:N$405,$D1232)+N1187*(1+$E1232))</f>
        <v/>
      </c>
      <c r="O1232" s="44">
        <f>O1214*Settings!$C$13*(INDEX(O$407:O$418,$D1232)+INDEX(O$394:O$405,$D1232)+O1187*(1+$E1232))</f>
        <v/>
      </c>
      <c r="P1232" s="44">
        <f>P1214*Settings!$C$13*(INDEX(P$407:P$418,$D1232)+INDEX(P$394:P$405,$D1232)+P1187*(1+$E1232))</f>
        <v/>
      </c>
      <c r="Q1232" s="44">
        <f>Q1214*Settings!$C$13*(INDEX(Q$407:Q$418,$D1232)+INDEX(Q$394:Q$405,$D1232)+Q1187*(1+$E1232))</f>
        <v/>
      </c>
      <c r="R1232" s="44">
        <f>R1214*Settings!$C$13*(INDEX(R$407:R$418,$D1232)+INDEX(R$394:R$405,$D1232)+R1187*(1+$E1232))</f>
        <v/>
      </c>
      <c r="S1232" s="44">
        <f>S1214*Settings!$C$13*(INDEX(S$407:S$418,$D1232)+INDEX(S$394:S$405,$D1232)+S1187*(1+$E1232))</f>
        <v/>
      </c>
      <c r="T1232" s="44">
        <f>T1214*Settings!$C$13*(INDEX(T$407:T$418,$D1232)+INDEX(T$394:T$405,$D1232)+T1187*(1+$E1232))</f>
        <v/>
      </c>
      <c r="U1232" s="44">
        <f>U1214*Settings!$C$13*(INDEX(U$407:U$418,$D1232)+INDEX(U$394:U$405,$D1232)+U1187*(1+$E1232))</f>
        <v/>
      </c>
      <c r="V1232" s="44">
        <f>V1214*Settings!$C$13*(INDEX(V$407:V$418,$D1232)+INDEX(V$394:V$405,$D1232)+V1187*(1+$E1232))</f>
        <v/>
      </c>
      <c r="W1232" s="44">
        <f>W1214*Settings!$C$13*(INDEX(W$407:W$418,$D1232)+INDEX(W$394:W$405,$D1232)+W1187*(1+$E1232))</f>
        <v/>
      </c>
      <c r="X1232" s="44">
        <f>X1214*Settings!$C$13*(INDEX(X$407:X$418,$D1232)+INDEX(X$394:X$405,$D1232)+X1187*(1+$E1232))</f>
        <v/>
      </c>
      <c r="Y1232" s="44">
        <f>Y1214*Settings!$C$13*(INDEX(Y$407:Y$418,$D1232)+INDEX(Y$394:Y$405,$D1232)+Y1187*(1+$E1232))</f>
        <v/>
      </c>
      <c r="Z1232" s="44">
        <f>Z1214*Settings!$C$13*(INDEX(Z$407:Z$418,$D1232)+INDEX(Z$394:Z$405,$D1232)+Z1187*(1+$E1232))</f>
        <v/>
      </c>
      <c r="AA1232" s="44">
        <f>AA1214*Settings!$C$13*(INDEX(AA$407:AA$418,$D1232)+INDEX(AA$394:AA$405,$D1232)+AA1187*(1+$E1232))</f>
        <v/>
      </c>
      <c r="AB1232" s="44">
        <f>AB1214*Settings!$C$13*(INDEX(AB$407:AB$418,$D1232)+INDEX(AB$394:AB$405,$D1232)+AB1187*(1+$E1232))</f>
        <v/>
      </c>
      <c r="AC1232" s="44">
        <f>AC1214*Settings!$C$13*(INDEX(AC$407:AC$418,$D1232)+INDEX(AC$394:AC$405,$D1232)+AC1187*(1+$E1232))</f>
        <v/>
      </c>
      <c r="AD1232" s="44">
        <f>AD1214*Settings!$C$13*(INDEX(AD$407:AD$418,$D1232)+INDEX(AD$394:AD$405,$D1232)+AD1187*(1+$E1232))</f>
        <v/>
      </c>
      <c r="AE1232" s="57">
        <f>REVENUE(AE1214,Settings!$C$13,INDEX(AE$407:AE$418,$D1232)+INDEX(AE$394:AE$405,$D1232)+AE1187*(1+$E1232))</f>
        <v/>
      </c>
      <c r="AG1232" s="11">
        <f>CodePrefix&amp;$A1232&amp;IF($C1232="","","."&amp;$C1232&amp;"."&amp;$B1232)&amp;INDEX(VarEnd,MATCH($A1232,VarKey,0))&amp;AG$5</f>
        <v/>
      </c>
      <c r="AH1232" s="43">
        <f>AH1214*Settings!$C$13*(INDEX(AH$407:AH$418,$D1232)+INDEX(AH$394:AH$405,$D1232)+AH1187*(1+$E1232))</f>
        <v/>
      </c>
      <c r="AI1232" s="44">
        <f>AI1214*Settings!$C$13*(INDEX(AI$407:AI$418,$D1232)+INDEX(AI$394:AI$405,$D1232)+AI1187*(1+$E1232))</f>
        <v/>
      </c>
      <c r="AJ1232" s="44">
        <f>AJ1214*Settings!$C$13*(INDEX(AJ$407:AJ$418,$D1232)+INDEX(AJ$394:AJ$405,$D1232)+AJ1187*(1+$E1232))</f>
        <v/>
      </c>
      <c r="AK1232" s="44">
        <f>AK1214*Settings!$C$13*(INDEX(AK$407:AK$418,$D1232)+INDEX(AK$394:AK$405,$D1232)+AK1187*(1+$E1232))</f>
        <v/>
      </c>
      <c r="AL1232" s="44">
        <f>AL1214*Settings!$C$13*(INDEX(AL$407:AL$418,$D1232)+INDEX(AL$394:AL$405,$D1232)+AL1187*(1+$E1232))</f>
        <v/>
      </c>
      <c r="AM1232" s="44">
        <f>AM1214*Settings!$C$13*(INDEX(AM$407:AM$418,$D1232)+INDEX(AM$394:AM$405,$D1232)+AM1187*(1+$E1232))</f>
        <v/>
      </c>
      <c r="AN1232" s="44">
        <f>AN1214*Settings!$C$13*(INDEX(AN$407:AN$418,$D1232)+INDEX(AN$394:AN$405,$D1232)+AN1187*(1+$E1232))</f>
        <v/>
      </c>
      <c r="AO1232" s="44">
        <f>AO1214*Settings!$C$13*(INDEX(AO$407:AO$418,$D1232)+INDEX(AO$394:AO$405,$D1232)+AO1187*(1+$E1232))</f>
        <v/>
      </c>
      <c r="AP1232" s="44">
        <f>AP1214*Settings!$C$13*(INDEX(AP$407:AP$418,$D1232)+INDEX(AP$394:AP$405,$D1232)+AP1187*(1+$E1232))</f>
        <v/>
      </c>
      <c r="AQ1232" s="44">
        <f>AQ1214*Settings!$C$13*(INDEX(AQ$407:AQ$418,$D1232)+INDEX(AQ$394:AQ$405,$D1232)+AQ1187*(1+$E1232))</f>
        <v/>
      </c>
      <c r="AR1232" s="44">
        <f>AR1214*Settings!$C$13*(INDEX(AR$407:AR$418,$D1232)+INDEX(AR$394:AR$405,$D1232)+AR1187*(1+$E1232))</f>
        <v/>
      </c>
      <c r="AS1232" s="44">
        <f>AS1214*Settings!$C$13*(INDEX(AS$407:AS$418,$D1232)+INDEX(AS$394:AS$405,$D1232)+AS1187*(1+$E1232))</f>
        <v/>
      </c>
      <c r="AT1232" s="44">
        <f>AT1214*Settings!$C$13*(INDEX(AT$407:AT$418,$D1232)+INDEX(AT$394:AT$405,$D1232)+AT1187*(1+$E1232))</f>
        <v/>
      </c>
      <c r="AU1232" s="44">
        <f>AU1214*Settings!$C$13*(INDEX(AU$407:AU$418,$D1232)+INDEX(AU$394:AU$405,$D1232)+AU1187*(1+$E1232))</f>
        <v/>
      </c>
      <c r="AV1232" s="44">
        <f>AV1214*Settings!$C$13*(INDEX(AV$407:AV$418,$D1232)+INDEX(AV$394:AV$405,$D1232)+AV1187*(1+$E1232))</f>
        <v/>
      </c>
      <c r="AW1232" s="44">
        <f>AW1214*Settings!$C$13*(INDEX(AW$407:AW$418,$D1232)+INDEX(AW$394:AW$405,$D1232)+AW1187*(1+$E1232))</f>
        <v/>
      </c>
      <c r="AX1232" s="44">
        <f>AX1214*Settings!$C$13*(INDEX(AX$407:AX$418,$D1232)+INDEX(AX$394:AX$405,$D1232)+AX1187*(1+$E1232))</f>
        <v/>
      </c>
      <c r="AY1232" s="44">
        <f>AY1214*Settings!$C$13*(INDEX(AY$407:AY$418,$D1232)+INDEX(AY$394:AY$405,$D1232)+AY1187*(1+$E1232))</f>
        <v/>
      </c>
      <c r="AZ1232" s="44">
        <f>AZ1214*Settings!$C$13*(INDEX(AZ$407:AZ$418,$D1232)+INDEX(AZ$394:AZ$405,$D1232)+AZ1187*(1+$E1232))</f>
        <v/>
      </c>
      <c r="BA1232" s="57">
        <f>REVENUE(BA1214,Settings!$C$13,INDEX(BA$407:BA$418,$D1232)+INDEX(BA$394:BA$405,$D1232)+BA1187*(1+$E1232))</f>
        <v/>
      </c>
    </row>
    <row r="1233" hidden="1" outlineLevel="2"/>
    <row r="1234" hidden="1" outlineLevel="2">
      <c r="A1234" s="14" t="inlineStr">
        <is>
          <t>rsub</t>
        </is>
      </c>
      <c r="B1234" s="14" t="inlineStr">
        <is>
          <t>coa</t>
        </is>
      </c>
      <c r="C1234" s="14" t="inlineStr">
        <is>
          <t>ral</t>
        </is>
      </c>
      <c r="D1234" s="35">
        <f>INDEX(Inputs!$U$5:$U$132,MATCH($B1234&amp;"|"&amp;$C1234,Inputs!$A$5:$A$132,0))</f>
        <v/>
      </c>
      <c r="E1234" s="39" t="n"/>
      <c r="F1234" s="39" t="n"/>
      <c r="G1234" s="39" t="n"/>
      <c r="H1234" s="14">
        <f>INDEX(VarLab,MATCH($A1234,VarKey,0))&amp;INDEX(MemLab,MATCH($C1234&amp;"|"&amp;$B1234,MemKey,0))</f>
        <v/>
      </c>
      <c r="I1234" s="14">
        <f>INDEX(VarUnit,MATCH($A1234,VarKey,0))</f>
        <v/>
      </c>
      <c r="J1234" s="14">
        <f>INDEX(VarSrc,MATCH($A1234,VarKey,0))</f>
        <v/>
      </c>
      <c r="K1234" s="11">
        <f>CodePrefix&amp;$A1234&amp;IF($C1234="","","."&amp;$C1234&amp;"."&amp;$B1234)&amp;INDEX(VarEnd,MATCH($A1234,VarKey,0))&amp;K$5</f>
        <v/>
      </c>
      <c r="L1234" s="43">
        <f>L1207*Settings!$C$13*(INDEX(L$420:L$431,$D1234))</f>
        <v/>
      </c>
      <c r="M1234" s="44">
        <f>M1207*Settings!$C$13*(INDEX(M$420:M$431,$D1234))</f>
        <v/>
      </c>
      <c r="N1234" s="44">
        <f>N1207*Settings!$C$13*(INDEX(N$420:N$431,$D1234))</f>
        <v/>
      </c>
      <c r="O1234" s="44">
        <f>O1207*Settings!$C$13*(INDEX(O$420:O$431,$D1234))</f>
        <v/>
      </c>
      <c r="P1234" s="44">
        <f>P1207*Settings!$C$13*(INDEX(P$420:P$431,$D1234))</f>
        <v/>
      </c>
      <c r="Q1234" s="44">
        <f>Q1207*Settings!$C$13*(INDEX(Q$420:Q$431,$D1234))</f>
        <v/>
      </c>
      <c r="R1234" s="44">
        <f>R1207*Settings!$C$13*(INDEX(R$420:R$431,$D1234))</f>
        <v/>
      </c>
      <c r="S1234" s="44">
        <f>S1207*Settings!$C$13*(INDEX(S$420:S$431,$D1234))</f>
        <v/>
      </c>
      <c r="T1234" s="44">
        <f>T1207*Settings!$C$13*(INDEX(T$420:T$431,$D1234))</f>
        <v/>
      </c>
      <c r="U1234" s="44">
        <f>U1207*Settings!$C$13*(INDEX(U$420:U$431,$D1234))</f>
        <v/>
      </c>
      <c r="V1234" s="44">
        <f>V1207*Settings!$C$13*(INDEX(V$420:V$431,$D1234))</f>
        <v/>
      </c>
      <c r="W1234" s="44">
        <f>W1207*Settings!$C$13*(INDEX(W$420:W$431,$D1234))</f>
        <v/>
      </c>
      <c r="X1234" s="44">
        <f>X1207*Settings!$C$13*(INDEX(X$420:X$431,$D1234))</f>
        <v/>
      </c>
      <c r="Y1234" s="44">
        <f>Y1207*Settings!$C$13*(INDEX(Y$420:Y$431,$D1234))</f>
        <v/>
      </c>
      <c r="Z1234" s="44">
        <f>Z1207*Settings!$C$13*(INDEX(Z$420:Z$431,$D1234))</f>
        <v/>
      </c>
      <c r="AA1234" s="44">
        <f>AA1207*Settings!$C$13*(INDEX(AA$420:AA$431,$D1234))</f>
        <v/>
      </c>
      <c r="AB1234" s="44">
        <f>AB1207*Settings!$C$13*(INDEX(AB$420:AB$431,$D1234))</f>
        <v/>
      </c>
      <c r="AC1234" s="44">
        <f>AC1207*Settings!$C$13*(INDEX(AC$420:AC$431,$D1234))</f>
        <v/>
      </c>
      <c r="AD1234" s="44">
        <f>AD1207*Settings!$C$13*(INDEX(AD$420:AD$431,$D1234))</f>
        <v/>
      </c>
      <c r="AE1234" s="57">
        <f>REVENUE(AE1207,Settings!$C$13,INDEX(AE$420:AE$431,$D1234))</f>
        <v/>
      </c>
      <c r="AG1234" s="11">
        <f>CodePrefix&amp;$A1234&amp;IF($C1234="","","."&amp;$C1234&amp;"."&amp;$B1234)&amp;INDEX(VarEnd,MATCH($A1234,VarKey,0))&amp;AG$5</f>
        <v/>
      </c>
      <c r="AH1234" s="43">
        <f>AH1207*Settings!$C$13*(INDEX(AH$420:AH$431,$D1234))</f>
        <v/>
      </c>
      <c r="AI1234" s="44">
        <f>AI1207*Settings!$C$13*(INDEX(AI$420:AI$431,$D1234))</f>
        <v/>
      </c>
      <c r="AJ1234" s="44">
        <f>AJ1207*Settings!$C$13*(INDEX(AJ$420:AJ$431,$D1234))</f>
        <v/>
      </c>
      <c r="AK1234" s="44">
        <f>AK1207*Settings!$C$13*(INDEX(AK$420:AK$431,$D1234))</f>
        <v/>
      </c>
      <c r="AL1234" s="44">
        <f>AL1207*Settings!$C$13*(INDEX(AL$420:AL$431,$D1234))</f>
        <v/>
      </c>
      <c r="AM1234" s="44">
        <f>AM1207*Settings!$C$13*(INDEX(AM$420:AM$431,$D1234))</f>
        <v/>
      </c>
      <c r="AN1234" s="44">
        <f>AN1207*Settings!$C$13*(INDEX(AN$420:AN$431,$D1234))</f>
        <v/>
      </c>
      <c r="AO1234" s="44">
        <f>AO1207*Settings!$C$13*(INDEX(AO$420:AO$431,$D1234))</f>
        <v/>
      </c>
      <c r="AP1234" s="44">
        <f>AP1207*Settings!$C$13*(INDEX(AP$420:AP$431,$D1234))</f>
        <v/>
      </c>
      <c r="AQ1234" s="44">
        <f>AQ1207*Settings!$C$13*(INDEX(AQ$420:AQ$431,$D1234))</f>
        <v/>
      </c>
      <c r="AR1234" s="44">
        <f>AR1207*Settings!$C$13*(INDEX(AR$420:AR$431,$D1234))</f>
        <v/>
      </c>
      <c r="AS1234" s="44">
        <f>AS1207*Settings!$C$13*(INDEX(AS$420:AS$431,$D1234))</f>
        <v/>
      </c>
      <c r="AT1234" s="44">
        <f>AT1207*Settings!$C$13*(INDEX(AT$420:AT$431,$D1234))</f>
        <v/>
      </c>
      <c r="AU1234" s="44">
        <f>AU1207*Settings!$C$13*(INDEX(AU$420:AU$431,$D1234))</f>
        <v/>
      </c>
      <c r="AV1234" s="44">
        <f>AV1207*Settings!$C$13*(INDEX(AV$420:AV$431,$D1234))</f>
        <v/>
      </c>
      <c r="AW1234" s="44">
        <f>AW1207*Settings!$C$13*(INDEX(AW$420:AW$431,$D1234))</f>
        <v/>
      </c>
      <c r="AX1234" s="44">
        <f>AX1207*Settings!$C$13*(INDEX(AX$420:AX$431,$D1234))</f>
        <v/>
      </c>
      <c r="AY1234" s="44">
        <f>AY1207*Settings!$C$13*(INDEX(AY$420:AY$431,$D1234))</f>
        <v/>
      </c>
      <c r="AZ1234" s="44">
        <f>AZ1207*Settings!$C$13*(INDEX(AZ$420:AZ$431,$D1234))</f>
        <v/>
      </c>
      <c r="BA1234" s="57">
        <f>REVENUE(BA1207,Settings!$C$13,INDEX(BA$420:BA$431,$D1234))</f>
        <v/>
      </c>
    </row>
    <row r="1235" hidden="1" outlineLevel="2">
      <c r="A1235" s="14" t="inlineStr">
        <is>
          <t>rsub</t>
        </is>
      </c>
      <c r="B1235" s="14" t="inlineStr">
        <is>
          <t>nga</t>
        </is>
      </c>
      <c r="C1235" s="14" t="inlineStr">
        <is>
          <t>ral</t>
        </is>
      </c>
      <c r="D1235" s="35">
        <f>INDEX(Inputs!$U$5:$U$132,MATCH($B1235&amp;"|"&amp;$C1235,Inputs!$A$5:$A$132,0))</f>
        <v/>
      </c>
      <c r="E1235" s="39" t="n"/>
      <c r="F1235" s="39" t="n"/>
      <c r="G1235" s="39" t="n"/>
      <c r="H1235" s="14">
        <f>INDEX(VarLab,MATCH($A1235,VarKey,0))&amp;INDEX(MemLab,MATCH($C1235&amp;"|"&amp;$B1235,MemKey,0))</f>
        <v/>
      </c>
      <c r="I1235" s="14">
        <f>INDEX(VarUnit,MATCH($A1235,VarKey,0))</f>
        <v/>
      </c>
      <c r="J1235" s="14">
        <f>INDEX(VarSrc,MATCH($A1235,VarKey,0))</f>
        <v/>
      </c>
      <c r="K1235" s="11">
        <f>CodePrefix&amp;$A1235&amp;IF($C1235="","","."&amp;$C1235&amp;"."&amp;$B1235)&amp;INDEX(VarEnd,MATCH($A1235,VarKey,0))&amp;K$5</f>
        <v/>
      </c>
      <c r="L1235" s="43">
        <f>L1208*Settings!$C$13*(INDEX(L$420:L$431,$D1235))</f>
        <v/>
      </c>
      <c r="M1235" s="44">
        <f>M1208*Settings!$C$13*(INDEX(M$420:M$431,$D1235))</f>
        <v/>
      </c>
      <c r="N1235" s="44">
        <f>N1208*Settings!$C$13*(INDEX(N$420:N$431,$D1235))</f>
        <v/>
      </c>
      <c r="O1235" s="44">
        <f>O1208*Settings!$C$13*(INDEX(O$420:O$431,$D1235))</f>
        <v/>
      </c>
      <c r="P1235" s="44">
        <f>P1208*Settings!$C$13*(INDEX(P$420:P$431,$D1235))</f>
        <v/>
      </c>
      <c r="Q1235" s="44">
        <f>Q1208*Settings!$C$13*(INDEX(Q$420:Q$431,$D1235))</f>
        <v/>
      </c>
      <c r="R1235" s="44">
        <f>R1208*Settings!$C$13*(INDEX(R$420:R$431,$D1235))</f>
        <v/>
      </c>
      <c r="S1235" s="44">
        <f>S1208*Settings!$C$13*(INDEX(S$420:S$431,$D1235))</f>
        <v/>
      </c>
      <c r="T1235" s="44">
        <f>T1208*Settings!$C$13*(INDEX(T$420:T$431,$D1235))</f>
        <v/>
      </c>
      <c r="U1235" s="44">
        <f>U1208*Settings!$C$13*(INDEX(U$420:U$431,$D1235))</f>
        <v/>
      </c>
      <c r="V1235" s="44">
        <f>V1208*Settings!$C$13*(INDEX(V$420:V$431,$D1235))</f>
        <v/>
      </c>
      <c r="W1235" s="44">
        <f>W1208*Settings!$C$13*(INDEX(W$420:W$431,$D1235))</f>
        <v/>
      </c>
      <c r="X1235" s="44">
        <f>X1208*Settings!$C$13*(INDEX(X$420:X$431,$D1235))</f>
        <v/>
      </c>
      <c r="Y1235" s="44">
        <f>Y1208*Settings!$C$13*(INDEX(Y$420:Y$431,$D1235))</f>
        <v/>
      </c>
      <c r="Z1235" s="44">
        <f>Z1208*Settings!$C$13*(INDEX(Z$420:Z$431,$D1235))</f>
        <v/>
      </c>
      <c r="AA1235" s="44">
        <f>AA1208*Settings!$C$13*(INDEX(AA$420:AA$431,$D1235))</f>
        <v/>
      </c>
      <c r="AB1235" s="44">
        <f>AB1208*Settings!$C$13*(INDEX(AB$420:AB$431,$D1235))</f>
        <v/>
      </c>
      <c r="AC1235" s="44">
        <f>AC1208*Settings!$C$13*(INDEX(AC$420:AC$431,$D1235))</f>
        <v/>
      </c>
      <c r="AD1235" s="44">
        <f>AD1208*Settings!$C$13*(INDEX(AD$420:AD$431,$D1235))</f>
        <v/>
      </c>
      <c r="AE1235" s="57">
        <f>REVENUE(AE1208,Settings!$C$13,INDEX(AE$420:AE$431,$D1235))</f>
        <v/>
      </c>
      <c r="AG1235" s="11">
        <f>CodePrefix&amp;$A1235&amp;IF($C1235="","","."&amp;$C1235&amp;"."&amp;$B1235)&amp;INDEX(VarEnd,MATCH($A1235,VarKey,0))&amp;AG$5</f>
        <v/>
      </c>
      <c r="AH1235" s="43">
        <f>AH1208*Settings!$C$13*(INDEX(AH$420:AH$431,$D1235))</f>
        <v/>
      </c>
      <c r="AI1235" s="44">
        <f>AI1208*Settings!$C$13*(INDEX(AI$420:AI$431,$D1235))</f>
        <v/>
      </c>
      <c r="AJ1235" s="44">
        <f>AJ1208*Settings!$C$13*(INDEX(AJ$420:AJ$431,$D1235))</f>
        <v/>
      </c>
      <c r="AK1235" s="44">
        <f>AK1208*Settings!$C$13*(INDEX(AK$420:AK$431,$D1235))</f>
        <v/>
      </c>
      <c r="AL1235" s="44">
        <f>AL1208*Settings!$C$13*(INDEX(AL$420:AL$431,$D1235))</f>
        <v/>
      </c>
      <c r="AM1235" s="44">
        <f>AM1208*Settings!$C$13*(INDEX(AM$420:AM$431,$D1235))</f>
        <v/>
      </c>
      <c r="AN1235" s="44">
        <f>AN1208*Settings!$C$13*(INDEX(AN$420:AN$431,$D1235))</f>
        <v/>
      </c>
      <c r="AO1235" s="44">
        <f>AO1208*Settings!$C$13*(INDEX(AO$420:AO$431,$D1235))</f>
        <v/>
      </c>
      <c r="AP1235" s="44">
        <f>AP1208*Settings!$C$13*(INDEX(AP$420:AP$431,$D1235))</f>
        <v/>
      </c>
      <c r="AQ1235" s="44">
        <f>AQ1208*Settings!$C$13*(INDEX(AQ$420:AQ$431,$D1235))</f>
        <v/>
      </c>
      <c r="AR1235" s="44">
        <f>AR1208*Settings!$C$13*(INDEX(AR$420:AR$431,$D1235))</f>
        <v/>
      </c>
      <c r="AS1235" s="44">
        <f>AS1208*Settings!$C$13*(INDEX(AS$420:AS$431,$D1235))</f>
        <v/>
      </c>
      <c r="AT1235" s="44">
        <f>AT1208*Settings!$C$13*(INDEX(AT$420:AT$431,$D1235))</f>
        <v/>
      </c>
      <c r="AU1235" s="44">
        <f>AU1208*Settings!$C$13*(INDEX(AU$420:AU$431,$D1235))</f>
        <v/>
      </c>
      <c r="AV1235" s="44">
        <f>AV1208*Settings!$C$13*(INDEX(AV$420:AV$431,$D1235))</f>
        <v/>
      </c>
      <c r="AW1235" s="44">
        <f>AW1208*Settings!$C$13*(INDEX(AW$420:AW$431,$D1235))</f>
        <v/>
      </c>
      <c r="AX1235" s="44">
        <f>AX1208*Settings!$C$13*(INDEX(AX$420:AX$431,$D1235))</f>
        <v/>
      </c>
      <c r="AY1235" s="44">
        <f>AY1208*Settings!$C$13*(INDEX(AY$420:AY$431,$D1235))</f>
        <v/>
      </c>
      <c r="AZ1235" s="44">
        <f>AZ1208*Settings!$C$13*(INDEX(AZ$420:AZ$431,$D1235))</f>
        <v/>
      </c>
      <c r="BA1235" s="57">
        <f>REVENUE(BA1208,Settings!$C$13,INDEX(BA$420:BA$431,$D1235))</f>
        <v/>
      </c>
    </row>
    <row r="1236" hidden="1" outlineLevel="2">
      <c r="A1236" s="14" t="inlineStr">
        <is>
          <t>rsub</t>
        </is>
      </c>
      <c r="B1236" s="14" t="inlineStr">
        <is>
          <t>gso</t>
        </is>
      </c>
      <c r="C1236" s="14" t="inlineStr">
        <is>
          <t>ral</t>
        </is>
      </c>
      <c r="D1236" s="35">
        <f>INDEX(Inputs!$U$5:$U$132,MATCH($B1236&amp;"|"&amp;$C1236,Inputs!$A$5:$A$132,0))</f>
        <v/>
      </c>
      <c r="E1236" s="39" t="n"/>
      <c r="F1236" s="39" t="n"/>
      <c r="G1236" s="39" t="n"/>
      <c r="H1236" s="14">
        <f>INDEX(VarLab,MATCH($A1236,VarKey,0))&amp;INDEX(MemLab,MATCH($C1236&amp;"|"&amp;$B1236,MemKey,0))</f>
        <v/>
      </c>
      <c r="I1236" s="14">
        <f>INDEX(VarUnit,MATCH($A1236,VarKey,0))</f>
        <v/>
      </c>
      <c r="J1236" s="14">
        <f>INDEX(VarSrc,MATCH($A1236,VarKey,0))</f>
        <v/>
      </c>
      <c r="K1236" s="11">
        <f>CodePrefix&amp;$A1236&amp;IF($C1236="","","."&amp;$C1236&amp;"."&amp;$B1236)&amp;INDEX(VarEnd,MATCH($A1236,VarKey,0))&amp;K$5</f>
        <v/>
      </c>
      <c r="L1236" s="43">
        <f>L1209*Settings!$C$13*(INDEX(L$420:L$431,$D1236))</f>
        <v/>
      </c>
      <c r="M1236" s="44">
        <f>M1209*Settings!$C$13*(INDEX(M$420:M$431,$D1236))</f>
        <v/>
      </c>
      <c r="N1236" s="44">
        <f>N1209*Settings!$C$13*(INDEX(N$420:N$431,$D1236))</f>
        <v/>
      </c>
      <c r="O1236" s="44">
        <f>O1209*Settings!$C$13*(INDEX(O$420:O$431,$D1236))</f>
        <v/>
      </c>
      <c r="P1236" s="44">
        <f>P1209*Settings!$C$13*(INDEX(P$420:P$431,$D1236))</f>
        <v/>
      </c>
      <c r="Q1236" s="44">
        <f>Q1209*Settings!$C$13*(INDEX(Q$420:Q$431,$D1236))</f>
        <v/>
      </c>
      <c r="R1236" s="44">
        <f>R1209*Settings!$C$13*(INDEX(R$420:R$431,$D1236))</f>
        <v/>
      </c>
      <c r="S1236" s="44">
        <f>S1209*Settings!$C$13*(INDEX(S$420:S$431,$D1236))</f>
        <v/>
      </c>
      <c r="T1236" s="44">
        <f>T1209*Settings!$C$13*(INDEX(T$420:T$431,$D1236))</f>
        <v/>
      </c>
      <c r="U1236" s="44">
        <f>U1209*Settings!$C$13*(INDEX(U$420:U$431,$D1236))</f>
        <v/>
      </c>
      <c r="V1236" s="44">
        <f>V1209*Settings!$C$13*(INDEX(V$420:V$431,$D1236))</f>
        <v/>
      </c>
      <c r="W1236" s="44">
        <f>W1209*Settings!$C$13*(INDEX(W$420:W$431,$D1236))</f>
        <v/>
      </c>
      <c r="X1236" s="44">
        <f>X1209*Settings!$C$13*(INDEX(X$420:X$431,$D1236))</f>
        <v/>
      </c>
      <c r="Y1236" s="44">
        <f>Y1209*Settings!$C$13*(INDEX(Y$420:Y$431,$D1236))</f>
        <v/>
      </c>
      <c r="Z1236" s="44">
        <f>Z1209*Settings!$C$13*(INDEX(Z$420:Z$431,$D1236))</f>
        <v/>
      </c>
      <c r="AA1236" s="44">
        <f>AA1209*Settings!$C$13*(INDEX(AA$420:AA$431,$D1236))</f>
        <v/>
      </c>
      <c r="AB1236" s="44">
        <f>AB1209*Settings!$C$13*(INDEX(AB$420:AB$431,$D1236))</f>
        <v/>
      </c>
      <c r="AC1236" s="44">
        <f>AC1209*Settings!$C$13*(INDEX(AC$420:AC$431,$D1236))</f>
        <v/>
      </c>
      <c r="AD1236" s="44">
        <f>AD1209*Settings!$C$13*(INDEX(AD$420:AD$431,$D1236))</f>
        <v/>
      </c>
      <c r="AE1236" s="57">
        <f>REVENUE(AE1209,Settings!$C$13,INDEX(AE$420:AE$431,$D1236))</f>
        <v/>
      </c>
      <c r="AG1236" s="11">
        <f>CodePrefix&amp;$A1236&amp;IF($C1236="","","."&amp;$C1236&amp;"."&amp;$B1236)&amp;INDEX(VarEnd,MATCH($A1236,VarKey,0))&amp;AG$5</f>
        <v/>
      </c>
      <c r="AH1236" s="43">
        <f>AH1209*Settings!$C$13*(INDEX(AH$420:AH$431,$D1236))</f>
        <v/>
      </c>
      <c r="AI1236" s="44">
        <f>AI1209*Settings!$C$13*(INDEX(AI$420:AI$431,$D1236))</f>
        <v/>
      </c>
      <c r="AJ1236" s="44">
        <f>AJ1209*Settings!$C$13*(INDEX(AJ$420:AJ$431,$D1236))</f>
        <v/>
      </c>
      <c r="AK1236" s="44">
        <f>AK1209*Settings!$C$13*(INDEX(AK$420:AK$431,$D1236))</f>
        <v/>
      </c>
      <c r="AL1236" s="44">
        <f>AL1209*Settings!$C$13*(INDEX(AL$420:AL$431,$D1236))</f>
        <v/>
      </c>
      <c r="AM1236" s="44">
        <f>AM1209*Settings!$C$13*(INDEX(AM$420:AM$431,$D1236))</f>
        <v/>
      </c>
      <c r="AN1236" s="44">
        <f>AN1209*Settings!$C$13*(INDEX(AN$420:AN$431,$D1236))</f>
        <v/>
      </c>
      <c r="AO1236" s="44">
        <f>AO1209*Settings!$C$13*(INDEX(AO$420:AO$431,$D1236))</f>
        <v/>
      </c>
      <c r="AP1236" s="44">
        <f>AP1209*Settings!$C$13*(INDEX(AP$420:AP$431,$D1236))</f>
        <v/>
      </c>
      <c r="AQ1236" s="44">
        <f>AQ1209*Settings!$C$13*(INDEX(AQ$420:AQ$431,$D1236))</f>
        <v/>
      </c>
      <c r="AR1236" s="44">
        <f>AR1209*Settings!$C$13*(INDEX(AR$420:AR$431,$D1236))</f>
        <v/>
      </c>
      <c r="AS1236" s="44">
        <f>AS1209*Settings!$C$13*(INDEX(AS$420:AS$431,$D1236))</f>
        <v/>
      </c>
      <c r="AT1236" s="44">
        <f>AT1209*Settings!$C$13*(INDEX(AT$420:AT$431,$D1236))</f>
        <v/>
      </c>
      <c r="AU1236" s="44">
        <f>AU1209*Settings!$C$13*(INDEX(AU$420:AU$431,$D1236))</f>
        <v/>
      </c>
      <c r="AV1236" s="44">
        <f>AV1209*Settings!$C$13*(INDEX(AV$420:AV$431,$D1236))</f>
        <v/>
      </c>
      <c r="AW1236" s="44">
        <f>AW1209*Settings!$C$13*(INDEX(AW$420:AW$431,$D1236))</f>
        <v/>
      </c>
      <c r="AX1236" s="44">
        <f>AX1209*Settings!$C$13*(INDEX(AX$420:AX$431,$D1236))</f>
        <v/>
      </c>
      <c r="AY1236" s="44">
        <f>AY1209*Settings!$C$13*(INDEX(AY$420:AY$431,$D1236))</f>
        <v/>
      </c>
      <c r="AZ1236" s="44">
        <f>AZ1209*Settings!$C$13*(INDEX(AZ$420:AZ$431,$D1236))</f>
        <v/>
      </c>
      <c r="BA1236" s="57">
        <f>REVENUE(BA1209,Settings!$C$13,INDEX(BA$420:BA$431,$D1236))</f>
        <v/>
      </c>
    </row>
    <row r="1237" hidden="1" outlineLevel="2">
      <c r="A1237" s="14" t="inlineStr">
        <is>
          <t>rsub</t>
        </is>
      </c>
      <c r="B1237" s="14" t="inlineStr">
        <is>
          <t>die</t>
        </is>
      </c>
      <c r="C1237" s="14" t="inlineStr">
        <is>
          <t>ral</t>
        </is>
      </c>
      <c r="D1237" s="35">
        <f>INDEX(Inputs!$U$5:$U$132,MATCH($B1237&amp;"|"&amp;$C1237,Inputs!$A$5:$A$132,0))</f>
        <v/>
      </c>
      <c r="E1237" s="39" t="n"/>
      <c r="F1237" s="39" t="n"/>
      <c r="G1237" s="39" t="n"/>
      <c r="H1237" s="14">
        <f>INDEX(VarLab,MATCH($A1237,VarKey,0))&amp;INDEX(MemLab,MATCH($C1237&amp;"|"&amp;$B1237,MemKey,0))</f>
        <v/>
      </c>
      <c r="I1237" s="14">
        <f>INDEX(VarUnit,MATCH($A1237,VarKey,0))</f>
        <v/>
      </c>
      <c r="J1237" s="14">
        <f>INDEX(VarSrc,MATCH($A1237,VarKey,0))</f>
        <v/>
      </c>
      <c r="K1237" s="11">
        <f>CodePrefix&amp;$A1237&amp;IF($C1237="","","."&amp;$C1237&amp;"."&amp;$B1237)&amp;INDEX(VarEnd,MATCH($A1237,VarKey,0))&amp;K$5</f>
        <v/>
      </c>
      <c r="L1237" s="43">
        <f>L1210*Settings!$C$13*(INDEX(L$420:L$431,$D1237))</f>
        <v/>
      </c>
      <c r="M1237" s="44">
        <f>M1210*Settings!$C$13*(INDEX(M$420:M$431,$D1237))</f>
        <v/>
      </c>
      <c r="N1237" s="44">
        <f>N1210*Settings!$C$13*(INDEX(N$420:N$431,$D1237))</f>
        <v/>
      </c>
      <c r="O1237" s="44">
        <f>O1210*Settings!$C$13*(INDEX(O$420:O$431,$D1237))</f>
        <v/>
      </c>
      <c r="P1237" s="44">
        <f>P1210*Settings!$C$13*(INDEX(P$420:P$431,$D1237))</f>
        <v/>
      </c>
      <c r="Q1237" s="44">
        <f>Q1210*Settings!$C$13*(INDEX(Q$420:Q$431,$D1237))</f>
        <v/>
      </c>
      <c r="R1237" s="44">
        <f>R1210*Settings!$C$13*(INDEX(R$420:R$431,$D1237))</f>
        <v/>
      </c>
      <c r="S1237" s="44">
        <f>S1210*Settings!$C$13*(INDEX(S$420:S$431,$D1237))</f>
        <v/>
      </c>
      <c r="T1237" s="44">
        <f>T1210*Settings!$C$13*(INDEX(T$420:T$431,$D1237))</f>
        <v/>
      </c>
      <c r="U1237" s="44">
        <f>U1210*Settings!$C$13*(INDEX(U$420:U$431,$D1237))</f>
        <v/>
      </c>
      <c r="V1237" s="44">
        <f>V1210*Settings!$C$13*(INDEX(V$420:V$431,$D1237))</f>
        <v/>
      </c>
      <c r="W1237" s="44">
        <f>W1210*Settings!$C$13*(INDEX(W$420:W$431,$D1237))</f>
        <v/>
      </c>
      <c r="X1237" s="44">
        <f>X1210*Settings!$C$13*(INDEX(X$420:X$431,$D1237))</f>
        <v/>
      </c>
      <c r="Y1237" s="44">
        <f>Y1210*Settings!$C$13*(INDEX(Y$420:Y$431,$D1237))</f>
        <v/>
      </c>
      <c r="Z1237" s="44">
        <f>Z1210*Settings!$C$13*(INDEX(Z$420:Z$431,$D1237))</f>
        <v/>
      </c>
      <c r="AA1237" s="44">
        <f>AA1210*Settings!$C$13*(INDEX(AA$420:AA$431,$D1237))</f>
        <v/>
      </c>
      <c r="AB1237" s="44">
        <f>AB1210*Settings!$C$13*(INDEX(AB$420:AB$431,$D1237))</f>
        <v/>
      </c>
      <c r="AC1237" s="44">
        <f>AC1210*Settings!$C$13*(INDEX(AC$420:AC$431,$D1237))</f>
        <v/>
      </c>
      <c r="AD1237" s="44">
        <f>AD1210*Settings!$C$13*(INDEX(AD$420:AD$431,$D1237))</f>
        <v/>
      </c>
      <c r="AE1237" s="57">
        <f>REVENUE(AE1210,Settings!$C$13,INDEX(AE$420:AE$431,$D1237))</f>
        <v/>
      </c>
      <c r="AG1237" s="11">
        <f>CodePrefix&amp;$A1237&amp;IF($C1237="","","."&amp;$C1237&amp;"."&amp;$B1237)&amp;INDEX(VarEnd,MATCH($A1237,VarKey,0))&amp;AG$5</f>
        <v/>
      </c>
      <c r="AH1237" s="43">
        <f>AH1210*Settings!$C$13*(INDEX(AH$420:AH$431,$D1237))</f>
        <v/>
      </c>
      <c r="AI1237" s="44">
        <f>AI1210*Settings!$C$13*(INDEX(AI$420:AI$431,$D1237))</f>
        <v/>
      </c>
      <c r="AJ1237" s="44">
        <f>AJ1210*Settings!$C$13*(INDEX(AJ$420:AJ$431,$D1237))</f>
        <v/>
      </c>
      <c r="AK1237" s="44">
        <f>AK1210*Settings!$C$13*(INDEX(AK$420:AK$431,$D1237))</f>
        <v/>
      </c>
      <c r="AL1237" s="44">
        <f>AL1210*Settings!$C$13*(INDEX(AL$420:AL$431,$D1237))</f>
        <v/>
      </c>
      <c r="AM1237" s="44">
        <f>AM1210*Settings!$C$13*(INDEX(AM$420:AM$431,$D1237))</f>
        <v/>
      </c>
      <c r="AN1237" s="44">
        <f>AN1210*Settings!$C$13*(INDEX(AN$420:AN$431,$D1237))</f>
        <v/>
      </c>
      <c r="AO1237" s="44">
        <f>AO1210*Settings!$C$13*(INDEX(AO$420:AO$431,$D1237))</f>
        <v/>
      </c>
      <c r="AP1237" s="44">
        <f>AP1210*Settings!$C$13*(INDEX(AP$420:AP$431,$D1237))</f>
        <v/>
      </c>
      <c r="AQ1237" s="44">
        <f>AQ1210*Settings!$C$13*(INDEX(AQ$420:AQ$431,$D1237))</f>
        <v/>
      </c>
      <c r="AR1237" s="44">
        <f>AR1210*Settings!$C$13*(INDEX(AR$420:AR$431,$D1237))</f>
        <v/>
      </c>
      <c r="AS1237" s="44">
        <f>AS1210*Settings!$C$13*(INDEX(AS$420:AS$431,$D1237))</f>
        <v/>
      </c>
      <c r="AT1237" s="44">
        <f>AT1210*Settings!$C$13*(INDEX(AT$420:AT$431,$D1237))</f>
        <v/>
      </c>
      <c r="AU1237" s="44">
        <f>AU1210*Settings!$C$13*(INDEX(AU$420:AU$431,$D1237))</f>
        <v/>
      </c>
      <c r="AV1237" s="44">
        <f>AV1210*Settings!$C$13*(INDEX(AV$420:AV$431,$D1237))</f>
        <v/>
      </c>
      <c r="AW1237" s="44">
        <f>AW1210*Settings!$C$13*(INDEX(AW$420:AW$431,$D1237))</f>
        <v/>
      </c>
      <c r="AX1237" s="44">
        <f>AX1210*Settings!$C$13*(INDEX(AX$420:AX$431,$D1237))</f>
        <v/>
      </c>
      <c r="AY1237" s="44">
        <f>AY1210*Settings!$C$13*(INDEX(AY$420:AY$431,$D1237))</f>
        <v/>
      </c>
      <c r="AZ1237" s="44">
        <f>AZ1210*Settings!$C$13*(INDEX(AZ$420:AZ$431,$D1237))</f>
        <v/>
      </c>
      <c r="BA1237" s="57">
        <f>REVENUE(BA1210,Settings!$C$13,INDEX(BA$420:BA$431,$D1237))</f>
        <v/>
      </c>
    </row>
    <row r="1238" hidden="1" outlineLevel="2">
      <c r="A1238" s="14" t="inlineStr">
        <is>
          <t>rsub</t>
        </is>
      </c>
      <c r="B1238" s="14" t="inlineStr">
        <is>
          <t>lpg</t>
        </is>
      </c>
      <c r="C1238" s="14" t="inlineStr">
        <is>
          <t>ral</t>
        </is>
      </c>
      <c r="D1238" s="35">
        <f>INDEX(Inputs!$U$5:$U$132,MATCH($B1238&amp;"|"&amp;$C1238,Inputs!$A$5:$A$132,0))</f>
        <v/>
      </c>
      <c r="E1238" s="39" t="n"/>
      <c r="F1238" s="39" t="n"/>
      <c r="G1238" s="39" t="n"/>
      <c r="H1238" s="14">
        <f>INDEX(VarLab,MATCH($A1238,VarKey,0))&amp;INDEX(MemLab,MATCH($C1238&amp;"|"&amp;$B1238,MemKey,0))</f>
        <v/>
      </c>
      <c r="I1238" s="14">
        <f>INDEX(VarUnit,MATCH($A1238,VarKey,0))</f>
        <v/>
      </c>
      <c r="J1238" s="14">
        <f>INDEX(VarSrc,MATCH($A1238,VarKey,0))</f>
        <v/>
      </c>
      <c r="K1238" s="11">
        <f>CodePrefix&amp;$A1238&amp;IF($C1238="","","."&amp;$C1238&amp;"."&amp;$B1238)&amp;INDEX(VarEnd,MATCH($A1238,VarKey,0))&amp;K$5</f>
        <v/>
      </c>
      <c r="L1238" s="43">
        <f>L1211*Settings!$C$13*(INDEX(L$420:L$431,$D1238))</f>
        <v/>
      </c>
      <c r="M1238" s="44">
        <f>M1211*Settings!$C$13*(INDEX(M$420:M$431,$D1238))</f>
        <v/>
      </c>
      <c r="N1238" s="44">
        <f>N1211*Settings!$C$13*(INDEX(N$420:N$431,$D1238))</f>
        <v/>
      </c>
      <c r="O1238" s="44">
        <f>O1211*Settings!$C$13*(INDEX(O$420:O$431,$D1238))</f>
        <v/>
      </c>
      <c r="P1238" s="44">
        <f>P1211*Settings!$C$13*(INDEX(P$420:P$431,$D1238))</f>
        <v/>
      </c>
      <c r="Q1238" s="44">
        <f>Q1211*Settings!$C$13*(INDEX(Q$420:Q$431,$D1238))</f>
        <v/>
      </c>
      <c r="R1238" s="44">
        <f>R1211*Settings!$C$13*(INDEX(R$420:R$431,$D1238))</f>
        <v/>
      </c>
      <c r="S1238" s="44">
        <f>S1211*Settings!$C$13*(INDEX(S$420:S$431,$D1238))</f>
        <v/>
      </c>
      <c r="T1238" s="44">
        <f>T1211*Settings!$C$13*(INDEX(T$420:T$431,$D1238))</f>
        <v/>
      </c>
      <c r="U1238" s="44">
        <f>U1211*Settings!$C$13*(INDEX(U$420:U$431,$D1238))</f>
        <v/>
      </c>
      <c r="V1238" s="44">
        <f>V1211*Settings!$C$13*(INDEX(V$420:V$431,$D1238))</f>
        <v/>
      </c>
      <c r="W1238" s="44">
        <f>W1211*Settings!$C$13*(INDEX(W$420:W$431,$D1238))</f>
        <v/>
      </c>
      <c r="X1238" s="44">
        <f>X1211*Settings!$C$13*(INDEX(X$420:X$431,$D1238))</f>
        <v/>
      </c>
      <c r="Y1238" s="44">
        <f>Y1211*Settings!$C$13*(INDEX(Y$420:Y$431,$D1238))</f>
        <v/>
      </c>
      <c r="Z1238" s="44">
        <f>Z1211*Settings!$C$13*(INDEX(Z$420:Z$431,$D1238))</f>
        <v/>
      </c>
      <c r="AA1238" s="44">
        <f>AA1211*Settings!$C$13*(INDEX(AA$420:AA$431,$D1238))</f>
        <v/>
      </c>
      <c r="AB1238" s="44">
        <f>AB1211*Settings!$C$13*(INDEX(AB$420:AB$431,$D1238))</f>
        <v/>
      </c>
      <c r="AC1238" s="44">
        <f>AC1211*Settings!$C$13*(INDEX(AC$420:AC$431,$D1238))</f>
        <v/>
      </c>
      <c r="AD1238" s="44">
        <f>AD1211*Settings!$C$13*(INDEX(AD$420:AD$431,$D1238))</f>
        <v/>
      </c>
      <c r="AE1238" s="57">
        <f>REVENUE(AE1211,Settings!$C$13,INDEX(AE$420:AE$431,$D1238))</f>
        <v/>
      </c>
      <c r="AG1238" s="11">
        <f>CodePrefix&amp;$A1238&amp;IF($C1238="","","."&amp;$C1238&amp;"."&amp;$B1238)&amp;INDEX(VarEnd,MATCH($A1238,VarKey,0))&amp;AG$5</f>
        <v/>
      </c>
      <c r="AH1238" s="43">
        <f>AH1211*Settings!$C$13*(INDEX(AH$420:AH$431,$D1238))</f>
        <v/>
      </c>
      <c r="AI1238" s="44">
        <f>AI1211*Settings!$C$13*(INDEX(AI$420:AI$431,$D1238))</f>
        <v/>
      </c>
      <c r="AJ1238" s="44">
        <f>AJ1211*Settings!$C$13*(INDEX(AJ$420:AJ$431,$D1238))</f>
        <v/>
      </c>
      <c r="AK1238" s="44">
        <f>AK1211*Settings!$C$13*(INDEX(AK$420:AK$431,$D1238))</f>
        <v/>
      </c>
      <c r="AL1238" s="44">
        <f>AL1211*Settings!$C$13*(INDEX(AL$420:AL$431,$D1238))</f>
        <v/>
      </c>
      <c r="AM1238" s="44">
        <f>AM1211*Settings!$C$13*(INDEX(AM$420:AM$431,$D1238))</f>
        <v/>
      </c>
      <c r="AN1238" s="44">
        <f>AN1211*Settings!$C$13*(INDEX(AN$420:AN$431,$D1238))</f>
        <v/>
      </c>
      <c r="AO1238" s="44">
        <f>AO1211*Settings!$C$13*(INDEX(AO$420:AO$431,$D1238))</f>
        <v/>
      </c>
      <c r="AP1238" s="44">
        <f>AP1211*Settings!$C$13*(INDEX(AP$420:AP$431,$D1238))</f>
        <v/>
      </c>
      <c r="AQ1238" s="44">
        <f>AQ1211*Settings!$C$13*(INDEX(AQ$420:AQ$431,$D1238))</f>
        <v/>
      </c>
      <c r="AR1238" s="44">
        <f>AR1211*Settings!$C$13*(INDEX(AR$420:AR$431,$D1238))</f>
        <v/>
      </c>
      <c r="AS1238" s="44">
        <f>AS1211*Settings!$C$13*(INDEX(AS$420:AS$431,$D1238))</f>
        <v/>
      </c>
      <c r="AT1238" s="44">
        <f>AT1211*Settings!$C$13*(INDEX(AT$420:AT$431,$D1238))</f>
        <v/>
      </c>
      <c r="AU1238" s="44">
        <f>AU1211*Settings!$C$13*(INDEX(AU$420:AU$431,$D1238))</f>
        <v/>
      </c>
      <c r="AV1238" s="44">
        <f>AV1211*Settings!$C$13*(INDEX(AV$420:AV$431,$D1238))</f>
        <v/>
      </c>
      <c r="AW1238" s="44">
        <f>AW1211*Settings!$C$13*(INDEX(AW$420:AW$431,$D1238))</f>
        <v/>
      </c>
      <c r="AX1238" s="44">
        <f>AX1211*Settings!$C$13*(INDEX(AX$420:AX$431,$D1238))</f>
        <v/>
      </c>
      <c r="AY1238" s="44">
        <f>AY1211*Settings!$C$13*(INDEX(AY$420:AY$431,$D1238))</f>
        <v/>
      </c>
      <c r="AZ1238" s="44">
        <f>AZ1211*Settings!$C$13*(INDEX(AZ$420:AZ$431,$D1238))</f>
        <v/>
      </c>
      <c r="BA1238" s="57">
        <f>REVENUE(BA1211,Settings!$C$13,INDEX(BA$420:BA$431,$D1238))</f>
        <v/>
      </c>
    </row>
    <row r="1239" hidden="1" outlineLevel="2">
      <c r="A1239" s="14" t="inlineStr">
        <is>
          <t>rsub</t>
        </is>
      </c>
      <c r="B1239" s="14" t="inlineStr">
        <is>
          <t>ker</t>
        </is>
      </c>
      <c r="C1239" s="14" t="inlineStr">
        <is>
          <t>ral</t>
        </is>
      </c>
      <c r="D1239" s="35">
        <f>INDEX(Inputs!$U$5:$U$132,MATCH($B1239&amp;"|"&amp;$C1239,Inputs!$A$5:$A$132,0))</f>
        <v/>
      </c>
      <c r="E1239" s="39" t="n"/>
      <c r="F1239" s="39" t="n"/>
      <c r="G1239" s="39" t="n"/>
      <c r="H1239" s="14">
        <f>INDEX(VarLab,MATCH($A1239,VarKey,0))&amp;INDEX(MemLab,MATCH($C1239&amp;"|"&amp;$B1239,MemKey,0))</f>
        <v/>
      </c>
      <c r="I1239" s="14">
        <f>INDEX(VarUnit,MATCH($A1239,VarKey,0))</f>
        <v/>
      </c>
      <c r="J1239" s="14">
        <f>INDEX(VarSrc,MATCH($A1239,VarKey,0))</f>
        <v/>
      </c>
      <c r="K1239" s="11">
        <f>CodePrefix&amp;$A1239&amp;IF($C1239="","","."&amp;$C1239&amp;"."&amp;$B1239)&amp;INDEX(VarEnd,MATCH($A1239,VarKey,0))&amp;K$5</f>
        <v/>
      </c>
      <c r="L1239" s="43">
        <f>L1212*Settings!$C$13*(INDEX(L$420:L$431,$D1239))</f>
        <v/>
      </c>
      <c r="M1239" s="44">
        <f>M1212*Settings!$C$13*(INDEX(M$420:M$431,$D1239))</f>
        <v/>
      </c>
      <c r="N1239" s="44">
        <f>N1212*Settings!$C$13*(INDEX(N$420:N$431,$D1239))</f>
        <v/>
      </c>
      <c r="O1239" s="44">
        <f>O1212*Settings!$C$13*(INDEX(O$420:O$431,$D1239))</f>
        <v/>
      </c>
      <c r="P1239" s="44">
        <f>P1212*Settings!$C$13*(INDEX(P$420:P$431,$D1239))</f>
        <v/>
      </c>
      <c r="Q1239" s="44">
        <f>Q1212*Settings!$C$13*(INDEX(Q$420:Q$431,$D1239))</f>
        <v/>
      </c>
      <c r="R1239" s="44">
        <f>R1212*Settings!$C$13*(INDEX(R$420:R$431,$D1239))</f>
        <v/>
      </c>
      <c r="S1239" s="44">
        <f>S1212*Settings!$C$13*(INDEX(S$420:S$431,$D1239))</f>
        <v/>
      </c>
      <c r="T1239" s="44">
        <f>T1212*Settings!$C$13*(INDEX(T$420:T$431,$D1239))</f>
        <v/>
      </c>
      <c r="U1239" s="44">
        <f>U1212*Settings!$C$13*(INDEX(U$420:U$431,$D1239))</f>
        <v/>
      </c>
      <c r="V1239" s="44">
        <f>V1212*Settings!$C$13*(INDEX(V$420:V$431,$D1239))</f>
        <v/>
      </c>
      <c r="W1239" s="44">
        <f>W1212*Settings!$C$13*(INDEX(W$420:W$431,$D1239))</f>
        <v/>
      </c>
      <c r="X1239" s="44">
        <f>X1212*Settings!$C$13*(INDEX(X$420:X$431,$D1239))</f>
        <v/>
      </c>
      <c r="Y1239" s="44">
        <f>Y1212*Settings!$C$13*(INDEX(Y$420:Y$431,$D1239))</f>
        <v/>
      </c>
      <c r="Z1239" s="44">
        <f>Z1212*Settings!$C$13*(INDEX(Z$420:Z$431,$D1239))</f>
        <v/>
      </c>
      <c r="AA1239" s="44">
        <f>AA1212*Settings!$C$13*(INDEX(AA$420:AA$431,$D1239))</f>
        <v/>
      </c>
      <c r="AB1239" s="44">
        <f>AB1212*Settings!$C$13*(INDEX(AB$420:AB$431,$D1239))</f>
        <v/>
      </c>
      <c r="AC1239" s="44">
        <f>AC1212*Settings!$C$13*(INDEX(AC$420:AC$431,$D1239))</f>
        <v/>
      </c>
      <c r="AD1239" s="44">
        <f>AD1212*Settings!$C$13*(INDEX(AD$420:AD$431,$D1239))</f>
        <v/>
      </c>
      <c r="AE1239" s="57">
        <f>REVENUE(AE1212,Settings!$C$13,INDEX(AE$420:AE$431,$D1239))</f>
        <v/>
      </c>
      <c r="AG1239" s="11">
        <f>CodePrefix&amp;$A1239&amp;IF($C1239="","","."&amp;$C1239&amp;"."&amp;$B1239)&amp;INDEX(VarEnd,MATCH($A1239,VarKey,0))&amp;AG$5</f>
        <v/>
      </c>
      <c r="AH1239" s="43">
        <f>AH1212*Settings!$C$13*(INDEX(AH$420:AH$431,$D1239))</f>
        <v/>
      </c>
      <c r="AI1239" s="44">
        <f>AI1212*Settings!$C$13*(INDEX(AI$420:AI$431,$D1239))</f>
        <v/>
      </c>
      <c r="AJ1239" s="44">
        <f>AJ1212*Settings!$C$13*(INDEX(AJ$420:AJ$431,$D1239))</f>
        <v/>
      </c>
      <c r="AK1239" s="44">
        <f>AK1212*Settings!$C$13*(INDEX(AK$420:AK$431,$D1239))</f>
        <v/>
      </c>
      <c r="AL1239" s="44">
        <f>AL1212*Settings!$C$13*(INDEX(AL$420:AL$431,$D1239))</f>
        <v/>
      </c>
      <c r="AM1239" s="44">
        <f>AM1212*Settings!$C$13*(INDEX(AM$420:AM$431,$D1239))</f>
        <v/>
      </c>
      <c r="AN1239" s="44">
        <f>AN1212*Settings!$C$13*(INDEX(AN$420:AN$431,$D1239))</f>
        <v/>
      </c>
      <c r="AO1239" s="44">
        <f>AO1212*Settings!$C$13*(INDEX(AO$420:AO$431,$D1239))</f>
        <v/>
      </c>
      <c r="AP1239" s="44">
        <f>AP1212*Settings!$C$13*(INDEX(AP$420:AP$431,$D1239))</f>
        <v/>
      </c>
      <c r="AQ1239" s="44">
        <f>AQ1212*Settings!$C$13*(INDEX(AQ$420:AQ$431,$D1239))</f>
        <v/>
      </c>
      <c r="AR1239" s="44">
        <f>AR1212*Settings!$C$13*(INDEX(AR$420:AR$431,$D1239))</f>
        <v/>
      </c>
      <c r="AS1239" s="44">
        <f>AS1212*Settings!$C$13*(INDEX(AS$420:AS$431,$D1239))</f>
        <v/>
      </c>
      <c r="AT1239" s="44">
        <f>AT1212*Settings!$C$13*(INDEX(AT$420:AT$431,$D1239))</f>
        <v/>
      </c>
      <c r="AU1239" s="44">
        <f>AU1212*Settings!$C$13*(INDEX(AU$420:AU$431,$D1239))</f>
        <v/>
      </c>
      <c r="AV1239" s="44">
        <f>AV1212*Settings!$C$13*(INDEX(AV$420:AV$431,$D1239))</f>
        <v/>
      </c>
      <c r="AW1239" s="44">
        <f>AW1212*Settings!$C$13*(INDEX(AW$420:AW$431,$D1239))</f>
        <v/>
      </c>
      <c r="AX1239" s="44">
        <f>AX1212*Settings!$C$13*(INDEX(AX$420:AX$431,$D1239))</f>
        <v/>
      </c>
      <c r="AY1239" s="44">
        <f>AY1212*Settings!$C$13*(INDEX(AY$420:AY$431,$D1239))</f>
        <v/>
      </c>
      <c r="AZ1239" s="44">
        <f>AZ1212*Settings!$C$13*(INDEX(AZ$420:AZ$431,$D1239))</f>
        <v/>
      </c>
      <c r="BA1239" s="57">
        <f>REVENUE(BA1212,Settings!$C$13,INDEX(BA$420:BA$431,$D1239))</f>
        <v/>
      </c>
    </row>
    <row r="1240" hidden="1" outlineLevel="2">
      <c r="A1240" s="14" t="inlineStr">
        <is>
          <t>rsub</t>
        </is>
      </c>
      <c r="B1240" s="14" t="inlineStr">
        <is>
          <t>oop</t>
        </is>
      </c>
      <c r="C1240" s="14" t="inlineStr">
        <is>
          <t>ral</t>
        </is>
      </c>
      <c r="D1240" s="35">
        <f>INDEX(Inputs!$U$5:$U$132,MATCH($B1240&amp;"|"&amp;$C1240,Inputs!$A$5:$A$132,0))</f>
        <v/>
      </c>
      <c r="E1240" s="39" t="n"/>
      <c r="F1240" s="39" t="n"/>
      <c r="G1240" s="39" t="n"/>
      <c r="H1240" s="14">
        <f>INDEX(VarLab,MATCH($A1240,VarKey,0))&amp;INDEX(MemLab,MATCH($C1240&amp;"|"&amp;$B1240,MemKey,0))</f>
        <v/>
      </c>
      <c r="I1240" s="14">
        <f>INDEX(VarUnit,MATCH($A1240,VarKey,0))</f>
        <v/>
      </c>
      <c r="J1240" s="14">
        <f>INDEX(VarSrc,MATCH($A1240,VarKey,0))</f>
        <v/>
      </c>
      <c r="K1240" s="11">
        <f>CodePrefix&amp;$A1240&amp;IF($C1240="","","."&amp;$C1240&amp;"."&amp;$B1240)&amp;INDEX(VarEnd,MATCH($A1240,VarKey,0))&amp;K$5</f>
        <v/>
      </c>
      <c r="L1240" s="43">
        <f>L1213*Settings!$C$13*(INDEX(L$420:L$431,$D1240))</f>
        <v/>
      </c>
      <c r="M1240" s="44">
        <f>M1213*Settings!$C$13*(INDEX(M$420:M$431,$D1240))</f>
        <v/>
      </c>
      <c r="N1240" s="44">
        <f>N1213*Settings!$C$13*(INDEX(N$420:N$431,$D1240))</f>
        <v/>
      </c>
      <c r="O1240" s="44">
        <f>O1213*Settings!$C$13*(INDEX(O$420:O$431,$D1240))</f>
        <v/>
      </c>
      <c r="P1240" s="44">
        <f>P1213*Settings!$C$13*(INDEX(P$420:P$431,$D1240))</f>
        <v/>
      </c>
      <c r="Q1240" s="44">
        <f>Q1213*Settings!$C$13*(INDEX(Q$420:Q$431,$D1240))</f>
        <v/>
      </c>
      <c r="R1240" s="44">
        <f>R1213*Settings!$C$13*(INDEX(R$420:R$431,$D1240))</f>
        <v/>
      </c>
      <c r="S1240" s="44">
        <f>S1213*Settings!$C$13*(INDEX(S$420:S$431,$D1240))</f>
        <v/>
      </c>
      <c r="T1240" s="44">
        <f>T1213*Settings!$C$13*(INDEX(T$420:T$431,$D1240))</f>
        <v/>
      </c>
      <c r="U1240" s="44">
        <f>U1213*Settings!$C$13*(INDEX(U$420:U$431,$D1240))</f>
        <v/>
      </c>
      <c r="V1240" s="44">
        <f>V1213*Settings!$C$13*(INDEX(V$420:V$431,$D1240))</f>
        <v/>
      </c>
      <c r="W1240" s="44">
        <f>W1213*Settings!$C$13*(INDEX(W$420:W$431,$D1240))</f>
        <v/>
      </c>
      <c r="X1240" s="44">
        <f>X1213*Settings!$C$13*(INDEX(X$420:X$431,$D1240))</f>
        <v/>
      </c>
      <c r="Y1240" s="44">
        <f>Y1213*Settings!$C$13*(INDEX(Y$420:Y$431,$D1240))</f>
        <v/>
      </c>
      <c r="Z1240" s="44">
        <f>Z1213*Settings!$C$13*(INDEX(Z$420:Z$431,$D1240))</f>
        <v/>
      </c>
      <c r="AA1240" s="44">
        <f>AA1213*Settings!$C$13*(INDEX(AA$420:AA$431,$D1240))</f>
        <v/>
      </c>
      <c r="AB1240" s="44">
        <f>AB1213*Settings!$C$13*(INDEX(AB$420:AB$431,$D1240))</f>
        <v/>
      </c>
      <c r="AC1240" s="44">
        <f>AC1213*Settings!$C$13*(INDEX(AC$420:AC$431,$D1240))</f>
        <v/>
      </c>
      <c r="AD1240" s="44">
        <f>AD1213*Settings!$C$13*(INDEX(AD$420:AD$431,$D1240))</f>
        <v/>
      </c>
      <c r="AE1240" s="57">
        <f>REVENUE(AE1213,Settings!$C$13,INDEX(AE$420:AE$431,$D1240))</f>
        <v/>
      </c>
      <c r="AG1240" s="11">
        <f>CodePrefix&amp;$A1240&amp;IF($C1240="","","."&amp;$C1240&amp;"."&amp;$B1240)&amp;INDEX(VarEnd,MATCH($A1240,VarKey,0))&amp;AG$5</f>
        <v/>
      </c>
      <c r="AH1240" s="43">
        <f>AH1213*Settings!$C$13*(INDEX(AH$420:AH$431,$D1240))</f>
        <v/>
      </c>
      <c r="AI1240" s="44">
        <f>AI1213*Settings!$C$13*(INDEX(AI$420:AI$431,$D1240))</f>
        <v/>
      </c>
      <c r="AJ1240" s="44">
        <f>AJ1213*Settings!$C$13*(INDEX(AJ$420:AJ$431,$D1240))</f>
        <v/>
      </c>
      <c r="AK1240" s="44">
        <f>AK1213*Settings!$C$13*(INDEX(AK$420:AK$431,$D1240))</f>
        <v/>
      </c>
      <c r="AL1240" s="44">
        <f>AL1213*Settings!$C$13*(INDEX(AL$420:AL$431,$D1240))</f>
        <v/>
      </c>
      <c r="AM1240" s="44">
        <f>AM1213*Settings!$C$13*(INDEX(AM$420:AM$431,$D1240))</f>
        <v/>
      </c>
      <c r="AN1240" s="44">
        <f>AN1213*Settings!$C$13*(INDEX(AN$420:AN$431,$D1240))</f>
        <v/>
      </c>
      <c r="AO1240" s="44">
        <f>AO1213*Settings!$C$13*(INDEX(AO$420:AO$431,$D1240))</f>
        <v/>
      </c>
      <c r="AP1240" s="44">
        <f>AP1213*Settings!$C$13*(INDEX(AP$420:AP$431,$D1240))</f>
        <v/>
      </c>
      <c r="AQ1240" s="44">
        <f>AQ1213*Settings!$C$13*(INDEX(AQ$420:AQ$431,$D1240))</f>
        <v/>
      </c>
      <c r="AR1240" s="44">
        <f>AR1213*Settings!$C$13*(INDEX(AR$420:AR$431,$D1240))</f>
        <v/>
      </c>
      <c r="AS1240" s="44">
        <f>AS1213*Settings!$C$13*(INDEX(AS$420:AS$431,$D1240))</f>
        <v/>
      </c>
      <c r="AT1240" s="44">
        <f>AT1213*Settings!$C$13*(INDEX(AT$420:AT$431,$D1240))</f>
        <v/>
      </c>
      <c r="AU1240" s="44">
        <f>AU1213*Settings!$C$13*(INDEX(AU$420:AU$431,$D1240))</f>
        <v/>
      </c>
      <c r="AV1240" s="44">
        <f>AV1213*Settings!$C$13*(INDEX(AV$420:AV$431,$D1240))</f>
        <v/>
      </c>
      <c r="AW1240" s="44">
        <f>AW1213*Settings!$C$13*(INDEX(AW$420:AW$431,$D1240))</f>
        <v/>
      </c>
      <c r="AX1240" s="44">
        <f>AX1213*Settings!$C$13*(INDEX(AX$420:AX$431,$D1240))</f>
        <v/>
      </c>
      <c r="AY1240" s="44">
        <f>AY1213*Settings!$C$13*(INDEX(AY$420:AY$431,$D1240))</f>
        <v/>
      </c>
      <c r="AZ1240" s="44">
        <f>AZ1213*Settings!$C$13*(INDEX(AZ$420:AZ$431,$D1240))</f>
        <v/>
      </c>
      <c r="BA1240" s="57">
        <f>REVENUE(BA1213,Settings!$C$13,INDEX(BA$420:BA$431,$D1240))</f>
        <v/>
      </c>
    </row>
    <row r="1241" hidden="1" outlineLevel="2">
      <c r="A1241" s="14" t="inlineStr">
        <is>
          <t>rsub</t>
        </is>
      </c>
      <c r="B1241" s="14" t="inlineStr">
        <is>
          <t>bio</t>
        </is>
      </c>
      <c r="C1241" s="14" t="inlineStr">
        <is>
          <t>ral</t>
        </is>
      </c>
      <c r="D1241" s="35">
        <f>INDEX(Inputs!$U$5:$U$132,MATCH($B1241&amp;"|"&amp;$C1241,Inputs!$A$5:$A$132,0))</f>
        <v/>
      </c>
      <c r="E1241" s="39" t="n"/>
      <c r="F1241" s="39" t="n"/>
      <c r="G1241" s="39" t="n"/>
      <c r="H1241" s="14">
        <f>INDEX(VarLab,MATCH($A1241,VarKey,0))&amp;INDEX(MemLab,MATCH($C1241&amp;"|"&amp;$B1241,MemKey,0))</f>
        <v/>
      </c>
      <c r="I1241" s="14">
        <f>INDEX(VarUnit,MATCH($A1241,VarKey,0))</f>
        <v/>
      </c>
      <c r="J1241" s="14">
        <f>INDEX(VarSrc,MATCH($A1241,VarKey,0))</f>
        <v/>
      </c>
      <c r="K1241" s="11">
        <f>CodePrefix&amp;$A1241&amp;IF($C1241="","","."&amp;$C1241&amp;"."&amp;$B1241)&amp;INDEX(VarEnd,MATCH($A1241,VarKey,0))&amp;K$5</f>
        <v/>
      </c>
      <c r="L1241" s="43">
        <f>L1214*Settings!$C$13*(INDEX(L$420:L$431,$D1241))</f>
        <v/>
      </c>
      <c r="M1241" s="44">
        <f>M1214*Settings!$C$13*(INDEX(M$420:M$431,$D1241))</f>
        <v/>
      </c>
      <c r="N1241" s="44">
        <f>N1214*Settings!$C$13*(INDEX(N$420:N$431,$D1241))</f>
        <v/>
      </c>
      <c r="O1241" s="44">
        <f>O1214*Settings!$C$13*(INDEX(O$420:O$431,$D1241))</f>
        <v/>
      </c>
      <c r="P1241" s="44">
        <f>P1214*Settings!$C$13*(INDEX(P$420:P$431,$D1241))</f>
        <v/>
      </c>
      <c r="Q1241" s="44">
        <f>Q1214*Settings!$C$13*(INDEX(Q$420:Q$431,$D1241))</f>
        <v/>
      </c>
      <c r="R1241" s="44">
        <f>R1214*Settings!$C$13*(INDEX(R$420:R$431,$D1241))</f>
        <v/>
      </c>
      <c r="S1241" s="44">
        <f>S1214*Settings!$C$13*(INDEX(S$420:S$431,$D1241))</f>
        <v/>
      </c>
      <c r="T1241" s="44">
        <f>T1214*Settings!$C$13*(INDEX(T$420:T$431,$D1241))</f>
        <v/>
      </c>
      <c r="U1241" s="44">
        <f>U1214*Settings!$C$13*(INDEX(U$420:U$431,$D1241))</f>
        <v/>
      </c>
      <c r="V1241" s="44">
        <f>V1214*Settings!$C$13*(INDEX(V$420:V$431,$D1241))</f>
        <v/>
      </c>
      <c r="W1241" s="44">
        <f>W1214*Settings!$C$13*(INDEX(W$420:W$431,$D1241))</f>
        <v/>
      </c>
      <c r="X1241" s="44">
        <f>X1214*Settings!$C$13*(INDEX(X$420:X$431,$D1241))</f>
        <v/>
      </c>
      <c r="Y1241" s="44">
        <f>Y1214*Settings!$C$13*(INDEX(Y$420:Y$431,$D1241))</f>
        <v/>
      </c>
      <c r="Z1241" s="44">
        <f>Z1214*Settings!$C$13*(INDEX(Z$420:Z$431,$D1241))</f>
        <v/>
      </c>
      <c r="AA1241" s="44">
        <f>AA1214*Settings!$C$13*(INDEX(AA$420:AA$431,$D1241))</f>
        <v/>
      </c>
      <c r="AB1241" s="44">
        <f>AB1214*Settings!$C$13*(INDEX(AB$420:AB$431,$D1241))</f>
        <v/>
      </c>
      <c r="AC1241" s="44">
        <f>AC1214*Settings!$C$13*(INDEX(AC$420:AC$431,$D1241))</f>
        <v/>
      </c>
      <c r="AD1241" s="44">
        <f>AD1214*Settings!$C$13*(INDEX(AD$420:AD$431,$D1241))</f>
        <v/>
      </c>
      <c r="AE1241" s="57">
        <f>REVENUE(AE1214,Settings!$C$13,INDEX(AE$420:AE$431,$D1241))</f>
        <v/>
      </c>
      <c r="AG1241" s="11">
        <f>CodePrefix&amp;$A1241&amp;IF($C1241="","","."&amp;$C1241&amp;"."&amp;$B1241)&amp;INDEX(VarEnd,MATCH($A1241,VarKey,0))&amp;AG$5</f>
        <v/>
      </c>
      <c r="AH1241" s="43">
        <f>AH1214*Settings!$C$13*(INDEX(AH$420:AH$431,$D1241))</f>
        <v/>
      </c>
      <c r="AI1241" s="44">
        <f>AI1214*Settings!$C$13*(INDEX(AI$420:AI$431,$D1241))</f>
        <v/>
      </c>
      <c r="AJ1241" s="44">
        <f>AJ1214*Settings!$C$13*(INDEX(AJ$420:AJ$431,$D1241))</f>
        <v/>
      </c>
      <c r="AK1241" s="44">
        <f>AK1214*Settings!$C$13*(INDEX(AK$420:AK$431,$D1241))</f>
        <v/>
      </c>
      <c r="AL1241" s="44">
        <f>AL1214*Settings!$C$13*(INDEX(AL$420:AL$431,$D1241))</f>
        <v/>
      </c>
      <c r="AM1241" s="44">
        <f>AM1214*Settings!$C$13*(INDEX(AM$420:AM$431,$D1241))</f>
        <v/>
      </c>
      <c r="AN1241" s="44">
        <f>AN1214*Settings!$C$13*(INDEX(AN$420:AN$431,$D1241))</f>
        <v/>
      </c>
      <c r="AO1241" s="44">
        <f>AO1214*Settings!$C$13*(INDEX(AO$420:AO$431,$D1241))</f>
        <v/>
      </c>
      <c r="AP1241" s="44">
        <f>AP1214*Settings!$C$13*(INDEX(AP$420:AP$431,$D1241))</f>
        <v/>
      </c>
      <c r="AQ1241" s="44">
        <f>AQ1214*Settings!$C$13*(INDEX(AQ$420:AQ$431,$D1241))</f>
        <v/>
      </c>
      <c r="AR1241" s="44">
        <f>AR1214*Settings!$C$13*(INDEX(AR$420:AR$431,$D1241))</f>
        <v/>
      </c>
      <c r="AS1241" s="44">
        <f>AS1214*Settings!$C$13*(INDEX(AS$420:AS$431,$D1241))</f>
        <v/>
      </c>
      <c r="AT1241" s="44">
        <f>AT1214*Settings!$C$13*(INDEX(AT$420:AT$431,$D1241))</f>
        <v/>
      </c>
      <c r="AU1241" s="44">
        <f>AU1214*Settings!$C$13*(INDEX(AU$420:AU$431,$D1241))</f>
        <v/>
      </c>
      <c r="AV1241" s="44">
        <f>AV1214*Settings!$C$13*(INDEX(AV$420:AV$431,$D1241))</f>
        <v/>
      </c>
      <c r="AW1241" s="44">
        <f>AW1214*Settings!$C$13*(INDEX(AW$420:AW$431,$D1241))</f>
        <v/>
      </c>
      <c r="AX1241" s="44">
        <f>AX1214*Settings!$C$13*(INDEX(AX$420:AX$431,$D1241))</f>
        <v/>
      </c>
      <c r="AY1241" s="44">
        <f>AY1214*Settings!$C$13*(INDEX(AY$420:AY$431,$D1241))</f>
        <v/>
      </c>
      <c r="AZ1241" s="44">
        <f>AZ1214*Settings!$C$13*(INDEX(AZ$420:AZ$431,$D1241))</f>
        <v/>
      </c>
      <c r="BA1241" s="57">
        <f>REVENUE(BA1214,Settings!$C$13,INDEX(BA$420:BA$431,$D1241))</f>
        <v/>
      </c>
    </row>
    <row r="1242" hidden="1" outlineLevel="2"/>
    <row r="1243" hidden="1" outlineLevel="2">
      <c r="A1243" s="14" t="inlineStr">
        <is>
          <t>rnew</t>
        </is>
      </c>
      <c r="B1243" s="14" t="inlineStr">
        <is>
          <t>coa</t>
        </is>
      </c>
      <c r="C1243" s="14" t="inlineStr">
        <is>
          <t>ral</t>
        </is>
      </c>
      <c r="D1243" s="35">
        <f>INDEX(Inputs!$V$5:$V$132,MATCH($B1243&amp;"|"&amp;$C1243,Inputs!$A$5:$A$132,0))</f>
        <v/>
      </c>
      <c r="E1243" s="39" t="n"/>
      <c r="F1243" s="39" t="n"/>
      <c r="G1243" s="39" t="n"/>
      <c r="H1243" s="14">
        <f>INDEX(VarLab,MATCH($A1243,VarKey,0))&amp;INDEX(MemLab,MATCH($C1243&amp;"|"&amp;$B1243,MemKey,0))</f>
        <v/>
      </c>
      <c r="I1243" s="14">
        <f>INDEX(VarUnit,MATCH($A1243,VarKey,0))</f>
        <v/>
      </c>
      <c r="J1243" s="14">
        <f>INDEX(VarSrc,MATCH($A1243,VarKey,0))</f>
        <v/>
      </c>
      <c r="K1243" s="11">
        <f>CodePrefix&amp;$A1243&amp;IF($C1243="","","."&amp;$C1243&amp;"."&amp;$B1243)&amp;INDEX(VarEnd,MATCH($A1243,VarKey,0))&amp;K$5</f>
        <v/>
      </c>
      <c r="L1243" s="43">
        <f>L1207*Settings!$C$13*(L1135+L1153+L1144*L$201+L1162*$D1243)</f>
        <v/>
      </c>
      <c r="M1243" s="44">
        <f>M1207*Settings!$C$13*(M1135+M1153+M1144*M$201+M1162*$D1243)</f>
        <v/>
      </c>
      <c r="N1243" s="44">
        <f>N1207*Settings!$C$13*(N1135+N1153+N1144*N$201+N1162*$D1243)</f>
        <v/>
      </c>
      <c r="O1243" s="44">
        <f>O1207*Settings!$C$13*(O1135+O1153+O1144*O$201+O1162*$D1243)</f>
        <v/>
      </c>
      <c r="P1243" s="44">
        <f>P1207*Settings!$C$13*(P1135+P1153+P1144*P$201+P1162*$D1243)</f>
        <v/>
      </c>
      <c r="Q1243" s="44">
        <f>Q1207*Settings!$C$13*(Q1135+Q1153+Q1144*Q$201+Q1162*$D1243)</f>
        <v/>
      </c>
      <c r="R1243" s="44">
        <f>R1207*Settings!$C$13*(R1135+R1153+R1144*R$201+R1162*$D1243)</f>
        <v/>
      </c>
      <c r="S1243" s="44">
        <f>S1207*Settings!$C$13*(S1135+S1153+S1144*S$201+S1162*$D1243)</f>
        <v/>
      </c>
      <c r="T1243" s="44">
        <f>T1207*Settings!$C$13*(T1135+T1153+T1144*T$201+T1162*$D1243)</f>
        <v/>
      </c>
      <c r="U1243" s="44">
        <f>U1207*Settings!$C$13*(U1135+U1153+U1144*U$201+U1162*$D1243)</f>
        <v/>
      </c>
      <c r="V1243" s="44">
        <f>V1207*Settings!$C$13*(V1135+V1153+V1144*V$201+V1162*$D1243)</f>
        <v/>
      </c>
      <c r="W1243" s="44">
        <f>W1207*Settings!$C$13*(W1135+W1153+W1144*W$201+W1162*$D1243)</f>
        <v/>
      </c>
      <c r="X1243" s="44">
        <f>X1207*Settings!$C$13*(X1135+X1153+X1144*X$201+X1162*$D1243)</f>
        <v/>
      </c>
      <c r="Y1243" s="44">
        <f>Y1207*Settings!$C$13*(Y1135+Y1153+Y1144*Y$201+Y1162*$D1243)</f>
        <v/>
      </c>
      <c r="Z1243" s="44">
        <f>Z1207*Settings!$C$13*(Z1135+Z1153+Z1144*Z$201+Z1162*$D1243)</f>
        <v/>
      </c>
      <c r="AA1243" s="44">
        <f>AA1207*Settings!$C$13*(AA1135+AA1153+AA1144*AA$201+AA1162*$D1243)</f>
        <v/>
      </c>
      <c r="AB1243" s="44">
        <f>AB1207*Settings!$C$13*(AB1135+AB1153+AB1144*AB$201+AB1162*$D1243)</f>
        <v/>
      </c>
      <c r="AC1243" s="44">
        <f>AC1207*Settings!$C$13*(AC1135+AC1153+AC1144*AC$201+AC1162*$D1243)</f>
        <v/>
      </c>
      <c r="AD1243" s="44">
        <f>AD1207*Settings!$C$13*(AD1135+AD1153+AD1144*AD$201+AD1162*$D1243)</f>
        <v/>
      </c>
      <c r="AE1243" s="57">
        <f>REVENUE(AE1207,Settings!$C$13,NEWREVRATE(AE1135,AE1153,AE1144,AE$201,AE1162,$D1243))</f>
        <v/>
      </c>
      <c r="AG1243" s="11">
        <f>CodePrefix&amp;$A1243&amp;IF($C1243="","","."&amp;$C1243&amp;"."&amp;$B1243)&amp;INDEX(VarEnd,MATCH($A1243,VarKey,0))&amp;AG$5</f>
        <v/>
      </c>
      <c r="AH1243" s="43">
        <f>AH1207*Settings!$C$13*(AH1135+AH1153+AH1144*AH$201+AH1162*$D1243)</f>
        <v/>
      </c>
      <c r="AI1243" s="44">
        <f>AI1207*Settings!$C$13*(AI1135+AI1153+AI1144*AI$201+AI1162*$D1243)</f>
        <v/>
      </c>
      <c r="AJ1243" s="44">
        <f>AJ1207*Settings!$C$13*(AJ1135+AJ1153+AJ1144*AJ$201+AJ1162*$D1243)</f>
        <v/>
      </c>
      <c r="AK1243" s="44">
        <f>AK1207*Settings!$C$13*(AK1135+AK1153+AK1144*AK$201+AK1162*$D1243)</f>
        <v/>
      </c>
      <c r="AL1243" s="44">
        <f>AL1207*Settings!$C$13*(AL1135+AL1153+AL1144*AL$201+AL1162*$D1243)</f>
        <v/>
      </c>
      <c r="AM1243" s="44">
        <f>AM1207*Settings!$C$13*(AM1135+AM1153+AM1144*AM$201+AM1162*$D1243)</f>
        <v/>
      </c>
      <c r="AN1243" s="44">
        <f>AN1207*Settings!$C$13*(AN1135+AN1153+AN1144*AN$201+AN1162*$D1243)</f>
        <v/>
      </c>
      <c r="AO1243" s="44">
        <f>AO1207*Settings!$C$13*(AO1135+AO1153+AO1144*AO$201+AO1162*$D1243)</f>
        <v/>
      </c>
      <c r="AP1243" s="44">
        <f>AP1207*Settings!$C$13*(AP1135+AP1153+AP1144*AP$201+AP1162*$D1243)</f>
        <v/>
      </c>
      <c r="AQ1243" s="44">
        <f>AQ1207*Settings!$C$13*(AQ1135+AQ1153+AQ1144*AQ$201+AQ1162*$D1243)</f>
        <v/>
      </c>
      <c r="AR1243" s="44">
        <f>AR1207*Settings!$C$13*(AR1135+AR1153+AR1144*AR$201+AR1162*$D1243)</f>
        <v/>
      </c>
      <c r="AS1243" s="44">
        <f>AS1207*Settings!$C$13*(AS1135+AS1153+AS1144*AS$201+AS1162*$D1243)</f>
        <v/>
      </c>
      <c r="AT1243" s="44">
        <f>AT1207*Settings!$C$13*(AT1135+AT1153+AT1144*AT$201+AT1162*$D1243)</f>
        <v/>
      </c>
      <c r="AU1243" s="44">
        <f>AU1207*Settings!$C$13*(AU1135+AU1153+AU1144*AU$201+AU1162*$D1243)</f>
        <v/>
      </c>
      <c r="AV1243" s="44">
        <f>AV1207*Settings!$C$13*(AV1135+AV1153+AV1144*AV$201+AV1162*$D1243)</f>
        <v/>
      </c>
      <c r="AW1243" s="44">
        <f>AW1207*Settings!$C$13*(AW1135+AW1153+AW1144*AW$201+AW1162*$D1243)</f>
        <v/>
      </c>
      <c r="AX1243" s="44">
        <f>AX1207*Settings!$C$13*(AX1135+AX1153+AX1144*AX$201+AX1162*$D1243)</f>
        <v/>
      </c>
      <c r="AY1243" s="44">
        <f>AY1207*Settings!$C$13*(AY1135+AY1153+AY1144*AY$201+AY1162*$D1243)</f>
        <v/>
      </c>
      <c r="AZ1243" s="44">
        <f>AZ1207*Settings!$C$13*(AZ1135+AZ1153+AZ1144*AZ$201+AZ1162*$D1243)</f>
        <v/>
      </c>
      <c r="BA1243" s="57">
        <f>REVENUE(BA1207,Settings!$C$13,NEWREVRATE(BA1135,BA1153,BA1144,BA$201,BA1162,$D1243))</f>
        <v/>
      </c>
    </row>
    <row r="1244" hidden="1" outlineLevel="2">
      <c r="A1244" s="14" t="inlineStr">
        <is>
          <t>rnew</t>
        </is>
      </c>
      <c r="B1244" s="14" t="inlineStr">
        <is>
          <t>nga</t>
        </is>
      </c>
      <c r="C1244" s="14" t="inlineStr">
        <is>
          <t>ral</t>
        </is>
      </c>
      <c r="D1244" s="35">
        <f>INDEX(Inputs!$V$5:$V$132,MATCH($B1244&amp;"|"&amp;$C1244,Inputs!$A$5:$A$132,0))</f>
        <v/>
      </c>
      <c r="E1244" s="39" t="n"/>
      <c r="F1244" s="39" t="n"/>
      <c r="G1244" s="39" t="n"/>
      <c r="H1244" s="14">
        <f>INDEX(VarLab,MATCH($A1244,VarKey,0))&amp;INDEX(MemLab,MATCH($C1244&amp;"|"&amp;$B1244,MemKey,0))</f>
        <v/>
      </c>
      <c r="I1244" s="14">
        <f>INDEX(VarUnit,MATCH($A1244,VarKey,0))</f>
        <v/>
      </c>
      <c r="J1244" s="14">
        <f>INDEX(VarSrc,MATCH($A1244,VarKey,0))</f>
        <v/>
      </c>
      <c r="K1244" s="11">
        <f>CodePrefix&amp;$A1244&amp;IF($C1244="","","."&amp;$C1244&amp;"."&amp;$B1244)&amp;INDEX(VarEnd,MATCH($A1244,VarKey,0))&amp;K$5</f>
        <v/>
      </c>
      <c r="L1244" s="43">
        <f>L1208*Settings!$C$13*(L1136+L1154+L1145*L$201+L1163*$D1244)</f>
        <v/>
      </c>
      <c r="M1244" s="44">
        <f>M1208*Settings!$C$13*(M1136+M1154+M1145*M$201+M1163*$D1244)</f>
        <v/>
      </c>
      <c r="N1244" s="44">
        <f>N1208*Settings!$C$13*(N1136+N1154+N1145*N$201+N1163*$D1244)</f>
        <v/>
      </c>
      <c r="O1244" s="44">
        <f>O1208*Settings!$C$13*(O1136+O1154+O1145*O$201+O1163*$D1244)</f>
        <v/>
      </c>
      <c r="P1244" s="44">
        <f>P1208*Settings!$C$13*(P1136+P1154+P1145*P$201+P1163*$D1244)</f>
        <v/>
      </c>
      <c r="Q1244" s="44">
        <f>Q1208*Settings!$C$13*(Q1136+Q1154+Q1145*Q$201+Q1163*$D1244)</f>
        <v/>
      </c>
      <c r="R1244" s="44">
        <f>R1208*Settings!$C$13*(R1136+R1154+R1145*R$201+R1163*$D1244)</f>
        <v/>
      </c>
      <c r="S1244" s="44">
        <f>S1208*Settings!$C$13*(S1136+S1154+S1145*S$201+S1163*$D1244)</f>
        <v/>
      </c>
      <c r="T1244" s="44">
        <f>T1208*Settings!$C$13*(T1136+T1154+T1145*T$201+T1163*$D1244)</f>
        <v/>
      </c>
      <c r="U1244" s="44">
        <f>U1208*Settings!$C$13*(U1136+U1154+U1145*U$201+U1163*$D1244)</f>
        <v/>
      </c>
      <c r="V1244" s="44">
        <f>V1208*Settings!$C$13*(V1136+V1154+V1145*V$201+V1163*$D1244)</f>
        <v/>
      </c>
      <c r="W1244" s="44">
        <f>W1208*Settings!$C$13*(W1136+W1154+W1145*W$201+W1163*$D1244)</f>
        <v/>
      </c>
      <c r="X1244" s="44">
        <f>X1208*Settings!$C$13*(X1136+X1154+X1145*X$201+X1163*$D1244)</f>
        <v/>
      </c>
      <c r="Y1244" s="44">
        <f>Y1208*Settings!$C$13*(Y1136+Y1154+Y1145*Y$201+Y1163*$D1244)</f>
        <v/>
      </c>
      <c r="Z1244" s="44">
        <f>Z1208*Settings!$C$13*(Z1136+Z1154+Z1145*Z$201+Z1163*$D1244)</f>
        <v/>
      </c>
      <c r="AA1244" s="44">
        <f>AA1208*Settings!$C$13*(AA1136+AA1154+AA1145*AA$201+AA1163*$D1244)</f>
        <v/>
      </c>
      <c r="AB1244" s="44">
        <f>AB1208*Settings!$C$13*(AB1136+AB1154+AB1145*AB$201+AB1163*$D1244)</f>
        <v/>
      </c>
      <c r="AC1244" s="44">
        <f>AC1208*Settings!$C$13*(AC1136+AC1154+AC1145*AC$201+AC1163*$D1244)</f>
        <v/>
      </c>
      <c r="AD1244" s="44">
        <f>AD1208*Settings!$C$13*(AD1136+AD1154+AD1145*AD$201+AD1163*$D1244)</f>
        <v/>
      </c>
      <c r="AE1244" s="57">
        <f>REVENUE(AE1208,Settings!$C$13,NEWREVRATE(AE1136,AE1154,AE1145,AE$201,AE1163,$D1244))</f>
        <v/>
      </c>
      <c r="AG1244" s="11">
        <f>CodePrefix&amp;$A1244&amp;IF($C1244="","","."&amp;$C1244&amp;"."&amp;$B1244)&amp;INDEX(VarEnd,MATCH($A1244,VarKey,0))&amp;AG$5</f>
        <v/>
      </c>
      <c r="AH1244" s="43">
        <f>AH1208*Settings!$C$13*(AH1136+AH1154+AH1145*AH$201+AH1163*$D1244)</f>
        <v/>
      </c>
      <c r="AI1244" s="44">
        <f>AI1208*Settings!$C$13*(AI1136+AI1154+AI1145*AI$201+AI1163*$D1244)</f>
        <v/>
      </c>
      <c r="AJ1244" s="44">
        <f>AJ1208*Settings!$C$13*(AJ1136+AJ1154+AJ1145*AJ$201+AJ1163*$D1244)</f>
        <v/>
      </c>
      <c r="AK1244" s="44">
        <f>AK1208*Settings!$C$13*(AK1136+AK1154+AK1145*AK$201+AK1163*$D1244)</f>
        <v/>
      </c>
      <c r="AL1244" s="44">
        <f>AL1208*Settings!$C$13*(AL1136+AL1154+AL1145*AL$201+AL1163*$D1244)</f>
        <v/>
      </c>
      <c r="AM1244" s="44">
        <f>AM1208*Settings!$C$13*(AM1136+AM1154+AM1145*AM$201+AM1163*$D1244)</f>
        <v/>
      </c>
      <c r="AN1244" s="44">
        <f>AN1208*Settings!$C$13*(AN1136+AN1154+AN1145*AN$201+AN1163*$D1244)</f>
        <v/>
      </c>
      <c r="AO1244" s="44">
        <f>AO1208*Settings!$C$13*(AO1136+AO1154+AO1145*AO$201+AO1163*$D1244)</f>
        <v/>
      </c>
      <c r="AP1244" s="44">
        <f>AP1208*Settings!$C$13*(AP1136+AP1154+AP1145*AP$201+AP1163*$D1244)</f>
        <v/>
      </c>
      <c r="AQ1244" s="44">
        <f>AQ1208*Settings!$C$13*(AQ1136+AQ1154+AQ1145*AQ$201+AQ1163*$D1244)</f>
        <v/>
      </c>
      <c r="AR1244" s="44">
        <f>AR1208*Settings!$C$13*(AR1136+AR1154+AR1145*AR$201+AR1163*$D1244)</f>
        <v/>
      </c>
      <c r="AS1244" s="44">
        <f>AS1208*Settings!$C$13*(AS1136+AS1154+AS1145*AS$201+AS1163*$D1244)</f>
        <v/>
      </c>
      <c r="AT1244" s="44">
        <f>AT1208*Settings!$C$13*(AT1136+AT1154+AT1145*AT$201+AT1163*$D1244)</f>
        <v/>
      </c>
      <c r="AU1244" s="44">
        <f>AU1208*Settings!$C$13*(AU1136+AU1154+AU1145*AU$201+AU1163*$D1244)</f>
        <v/>
      </c>
      <c r="AV1244" s="44">
        <f>AV1208*Settings!$C$13*(AV1136+AV1154+AV1145*AV$201+AV1163*$D1244)</f>
        <v/>
      </c>
      <c r="AW1244" s="44">
        <f>AW1208*Settings!$C$13*(AW1136+AW1154+AW1145*AW$201+AW1163*$D1244)</f>
        <v/>
      </c>
      <c r="AX1244" s="44">
        <f>AX1208*Settings!$C$13*(AX1136+AX1154+AX1145*AX$201+AX1163*$D1244)</f>
        <v/>
      </c>
      <c r="AY1244" s="44">
        <f>AY1208*Settings!$C$13*(AY1136+AY1154+AY1145*AY$201+AY1163*$D1244)</f>
        <v/>
      </c>
      <c r="AZ1244" s="44">
        <f>AZ1208*Settings!$C$13*(AZ1136+AZ1154+AZ1145*AZ$201+AZ1163*$D1244)</f>
        <v/>
      </c>
      <c r="BA1244" s="57">
        <f>REVENUE(BA1208,Settings!$C$13,NEWREVRATE(BA1136,BA1154,BA1145,BA$201,BA1163,$D1244))</f>
        <v/>
      </c>
    </row>
    <row r="1245" hidden="1" outlineLevel="2">
      <c r="A1245" s="14" t="inlineStr">
        <is>
          <t>rnew</t>
        </is>
      </c>
      <c r="B1245" s="14" t="inlineStr">
        <is>
          <t>gso</t>
        </is>
      </c>
      <c r="C1245" s="14" t="inlineStr">
        <is>
          <t>ral</t>
        </is>
      </c>
      <c r="D1245" s="35">
        <f>INDEX(Inputs!$V$5:$V$132,MATCH($B1245&amp;"|"&amp;$C1245,Inputs!$A$5:$A$132,0))</f>
        <v/>
      </c>
      <c r="E1245" s="39" t="n"/>
      <c r="F1245" s="39" t="n"/>
      <c r="G1245" s="39" t="n"/>
      <c r="H1245" s="14">
        <f>INDEX(VarLab,MATCH($A1245,VarKey,0))&amp;INDEX(MemLab,MATCH($C1245&amp;"|"&amp;$B1245,MemKey,0))</f>
        <v/>
      </c>
      <c r="I1245" s="14">
        <f>INDEX(VarUnit,MATCH($A1245,VarKey,0))</f>
        <v/>
      </c>
      <c r="J1245" s="14">
        <f>INDEX(VarSrc,MATCH($A1245,VarKey,0))</f>
        <v/>
      </c>
      <c r="K1245" s="11">
        <f>CodePrefix&amp;$A1245&amp;IF($C1245="","","."&amp;$C1245&amp;"."&amp;$B1245)&amp;INDEX(VarEnd,MATCH($A1245,VarKey,0))&amp;K$5</f>
        <v/>
      </c>
      <c r="L1245" s="43">
        <f>L1209*Settings!$C$13*(L1137+L1155+L1146*L$201+L1164*$D1245)</f>
        <v/>
      </c>
      <c r="M1245" s="44">
        <f>M1209*Settings!$C$13*(M1137+M1155+M1146*M$201+M1164*$D1245)</f>
        <v/>
      </c>
      <c r="N1245" s="44">
        <f>N1209*Settings!$C$13*(N1137+N1155+N1146*N$201+N1164*$D1245)</f>
        <v/>
      </c>
      <c r="O1245" s="44">
        <f>O1209*Settings!$C$13*(O1137+O1155+O1146*O$201+O1164*$D1245)</f>
        <v/>
      </c>
      <c r="P1245" s="44">
        <f>P1209*Settings!$C$13*(P1137+P1155+P1146*P$201+P1164*$D1245)</f>
        <v/>
      </c>
      <c r="Q1245" s="44">
        <f>Q1209*Settings!$C$13*(Q1137+Q1155+Q1146*Q$201+Q1164*$D1245)</f>
        <v/>
      </c>
      <c r="R1245" s="44">
        <f>R1209*Settings!$C$13*(R1137+R1155+R1146*R$201+R1164*$D1245)</f>
        <v/>
      </c>
      <c r="S1245" s="44">
        <f>S1209*Settings!$C$13*(S1137+S1155+S1146*S$201+S1164*$D1245)</f>
        <v/>
      </c>
      <c r="T1245" s="44">
        <f>T1209*Settings!$C$13*(T1137+T1155+T1146*T$201+T1164*$D1245)</f>
        <v/>
      </c>
      <c r="U1245" s="44">
        <f>U1209*Settings!$C$13*(U1137+U1155+U1146*U$201+U1164*$D1245)</f>
        <v/>
      </c>
      <c r="V1245" s="44">
        <f>V1209*Settings!$C$13*(V1137+V1155+V1146*V$201+V1164*$D1245)</f>
        <v/>
      </c>
      <c r="W1245" s="44">
        <f>W1209*Settings!$C$13*(W1137+W1155+W1146*W$201+W1164*$D1245)</f>
        <v/>
      </c>
      <c r="X1245" s="44">
        <f>X1209*Settings!$C$13*(X1137+X1155+X1146*X$201+X1164*$D1245)</f>
        <v/>
      </c>
      <c r="Y1245" s="44">
        <f>Y1209*Settings!$C$13*(Y1137+Y1155+Y1146*Y$201+Y1164*$D1245)</f>
        <v/>
      </c>
      <c r="Z1245" s="44">
        <f>Z1209*Settings!$C$13*(Z1137+Z1155+Z1146*Z$201+Z1164*$D1245)</f>
        <v/>
      </c>
      <c r="AA1245" s="44">
        <f>AA1209*Settings!$C$13*(AA1137+AA1155+AA1146*AA$201+AA1164*$D1245)</f>
        <v/>
      </c>
      <c r="AB1245" s="44">
        <f>AB1209*Settings!$C$13*(AB1137+AB1155+AB1146*AB$201+AB1164*$D1245)</f>
        <v/>
      </c>
      <c r="AC1245" s="44">
        <f>AC1209*Settings!$C$13*(AC1137+AC1155+AC1146*AC$201+AC1164*$D1245)</f>
        <v/>
      </c>
      <c r="AD1245" s="44">
        <f>AD1209*Settings!$C$13*(AD1137+AD1155+AD1146*AD$201+AD1164*$D1245)</f>
        <v/>
      </c>
      <c r="AE1245" s="57">
        <f>REVENUE(AE1209,Settings!$C$13,NEWREVRATE(AE1137,AE1155,AE1146,AE$201,AE1164,$D1245))</f>
        <v/>
      </c>
      <c r="AG1245" s="11">
        <f>CodePrefix&amp;$A1245&amp;IF($C1245="","","."&amp;$C1245&amp;"."&amp;$B1245)&amp;INDEX(VarEnd,MATCH($A1245,VarKey,0))&amp;AG$5</f>
        <v/>
      </c>
      <c r="AH1245" s="43">
        <f>AH1209*Settings!$C$13*(AH1137+AH1155+AH1146*AH$201+AH1164*$D1245)</f>
        <v/>
      </c>
      <c r="AI1245" s="44">
        <f>AI1209*Settings!$C$13*(AI1137+AI1155+AI1146*AI$201+AI1164*$D1245)</f>
        <v/>
      </c>
      <c r="AJ1245" s="44">
        <f>AJ1209*Settings!$C$13*(AJ1137+AJ1155+AJ1146*AJ$201+AJ1164*$D1245)</f>
        <v/>
      </c>
      <c r="AK1245" s="44">
        <f>AK1209*Settings!$C$13*(AK1137+AK1155+AK1146*AK$201+AK1164*$D1245)</f>
        <v/>
      </c>
      <c r="AL1245" s="44">
        <f>AL1209*Settings!$C$13*(AL1137+AL1155+AL1146*AL$201+AL1164*$D1245)</f>
        <v/>
      </c>
      <c r="AM1245" s="44">
        <f>AM1209*Settings!$C$13*(AM1137+AM1155+AM1146*AM$201+AM1164*$D1245)</f>
        <v/>
      </c>
      <c r="AN1245" s="44">
        <f>AN1209*Settings!$C$13*(AN1137+AN1155+AN1146*AN$201+AN1164*$D1245)</f>
        <v/>
      </c>
      <c r="AO1245" s="44">
        <f>AO1209*Settings!$C$13*(AO1137+AO1155+AO1146*AO$201+AO1164*$D1245)</f>
        <v/>
      </c>
      <c r="AP1245" s="44">
        <f>AP1209*Settings!$C$13*(AP1137+AP1155+AP1146*AP$201+AP1164*$D1245)</f>
        <v/>
      </c>
      <c r="AQ1245" s="44">
        <f>AQ1209*Settings!$C$13*(AQ1137+AQ1155+AQ1146*AQ$201+AQ1164*$D1245)</f>
        <v/>
      </c>
      <c r="AR1245" s="44">
        <f>AR1209*Settings!$C$13*(AR1137+AR1155+AR1146*AR$201+AR1164*$D1245)</f>
        <v/>
      </c>
      <c r="AS1245" s="44">
        <f>AS1209*Settings!$C$13*(AS1137+AS1155+AS1146*AS$201+AS1164*$D1245)</f>
        <v/>
      </c>
      <c r="AT1245" s="44">
        <f>AT1209*Settings!$C$13*(AT1137+AT1155+AT1146*AT$201+AT1164*$D1245)</f>
        <v/>
      </c>
      <c r="AU1245" s="44">
        <f>AU1209*Settings!$C$13*(AU1137+AU1155+AU1146*AU$201+AU1164*$D1245)</f>
        <v/>
      </c>
      <c r="AV1245" s="44">
        <f>AV1209*Settings!$C$13*(AV1137+AV1155+AV1146*AV$201+AV1164*$D1245)</f>
        <v/>
      </c>
      <c r="AW1245" s="44">
        <f>AW1209*Settings!$C$13*(AW1137+AW1155+AW1146*AW$201+AW1164*$D1245)</f>
        <v/>
      </c>
      <c r="AX1245" s="44">
        <f>AX1209*Settings!$C$13*(AX1137+AX1155+AX1146*AX$201+AX1164*$D1245)</f>
        <v/>
      </c>
      <c r="AY1245" s="44">
        <f>AY1209*Settings!$C$13*(AY1137+AY1155+AY1146*AY$201+AY1164*$D1245)</f>
        <v/>
      </c>
      <c r="AZ1245" s="44">
        <f>AZ1209*Settings!$C$13*(AZ1137+AZ1155+AZ1146*AZ$201+AZ1164*$D1245)</f>
        <v/>
      </c>
      <c r="BA1245" s="57">
        <f>REVENUE(BA1209,Settings!$C$13,NEWREVRATE(BA1137,BA1155,BA1146,BA$201,BA1164,$D1245))</f>
        <v/>
      </c>
    </row>
    <row r="1246" hidden="1" outlineLevel="2">
      <c r="A1246" s="14" t="inlineStr">
        <is>
          <t>rnew</t>
        </is>
      </c>
      <c r="B1246" s="14" t="inlineStr">
        <is>
          <t>die</t>
        </is>
      </c>
      <c r="C1246" s="14" t="inlineStr">
        <is>
          <t>ral</t>
        </is>
      </c>
      <c r="D1246" s="35">
        <f>INDEX(Inputs!$V$5:$V$132,MATCH($B1246&amp;"|"&amp;$C1246,Inputs!$A$5:$A$132,0))</f>
        <v/>
      </c>
      <c r="E1246" s="39" t="n"/>
      <c r="F1246" s="39" t="n"/>
      <c r="G1246" s="39" t="n"/>
      <c r="H1246" s="14">
        <f>INDEX(VarLab,MATCH($A1246,VarKey,0))&amp;INDEX(MemLab,MATCH($C1246&amp;"|"&amp;$B1246,MemKey,0))</f>
        <v/>
      </c>
      <c r="I1246" s="14">
        <f>INDEX(VarUnit,MATCH($A1246,VarKey,0))</f>
        <v/>
      </c>
      <c r="J1246" s="14">
        <f>INDEX(VarSrc,MATCH($A1246,VarKey,0))</f>
        <v/>
      </c>
      <c r="K1246" s="11">
        <f>CodePrefix&amp;$A1246&amp;IF($C1246="","","."&amp;$C1246&amp;"."&amp;$B1246)&amp;INDEX(VarEnd,MATCH($A1246,VarKey,0))&amp;K$5</f>
        <v/>
      </c>
      <c r="L1246" s="43">
        <f>L1210*Settings!$C$13*(L1138+L1156+L1147*L$201+L1165*$D1246)</f>
        <v/>
      </c>
      <c r="M1246" s="44">
        <f>M1210*Settings!$C$13*(M1138+M1156+M1147*M$201+M1165*$D1246)</f>
        <v/>
      </c>
      <c r="N1246" s="44">
        <f>N1210*Settings!$C$13*(N1138+N1156+N1147*N$201+N1165*$D1246)</f>
        <v/>
      </c>
      <c r="O1246" s="44">
        <f>O1210*Settings!$C$13*(O1138+O1156+O1147*O$201+O1165*$D1246)</f>
        <v/>
      </c>
      <c r="P1246" s="44">
        <f>P1210*Settings!$C$13*(P1138+P1156+P1147*P$201+P1165*$D1246)</f>
        <v/>
      </c>
      <c r="Q1246" s="44">
        <f>Q1210*Settings!$C$13*(Q1138+Q1156+Q1147*Q$201+Q1165*$D1246)</f>
        <v/>
      </c>
      <c r="R1246" s="44">
        <f>R1210*Settings!$C$13*(R1138+R1156+R1147*R$201+R1165*$D1246)</f>
        <v/>
      </c>
      <c r="S1246" s="44">
        <f>S1210*Settings!$C$13*(S1138+S1156+S1147*S$201+S1165*$D1246)</f>
        <v/>
      </c>
      <c r="T1246" s="44">
        <f>T1210*Settings!$C$13*(T1138+T1156+T1147*T$201+T1165*$D1246)</f>
        <v/>
      </c>
      <c r="U1246" s="44">
        <f>U1210*Settings!$C$13*(U1138+U1156+U1147*U$201+U1165*$D1246)</f>
        <v/>
      </c>
      <c r="V1246" s="44">
        <f>V1210*Settings!$C$13*(V1138+V1156+V1147*V$201+V1165*$D1246)</f>
        <v/>
      </c>
      <c r="W1246" s="44">
        <f>W1210*Settings!$C$13*(W1138+W1156+W1147*W$201+W1165*$D1246)</f>
        <v/>
      </c>
      <c r="X1246" s="44">
        <f>X1210*Settings!$C$13*(X1138+X1156+X1147*X$201+X1165*$D1246)</f>
        <v/>
      </c>
      <c r="Y1246" s="44">
        <f>Y1210*Settings!$C$13*(Y1138+Y1156+Y1147*Y$201+Y1165*$D1246)</f>
        <v/>
      </c>
      <c r="Z1246" s="44">
        <f>Z1210*Settings!$C$13*(Z1138+Z1156+Z1147*Z$201+Z1165*$D1246)</f>
        <v/>
      </c>
      <c r="AA1246" s="44">
        <f>AA1210*Settings!$C$13*(AA1138+AA1156+AA1147*AA$201+AA1165*$D1246)</f>
        <v/>
      </c>
      <c r="AB1246" s="44">
        <f>AB1210*Settings!$C$13*(AB1138+AB1156+AB1147*AB$201+AB1165*$D1246)</f>
        <v/>
      </c>
      <c r="AC1246" s="44">
        <f>AC1210*Settings!$C$13*(AC1138+AC1156+AC1147*AC$201+AC1165*$D1246)</f>
        <v/>
      </c>
      <c r="AD1246" s="44">
        <f>AD1210*Settings!$C$13*(AD1138+AD1156+AD1147*AD$201+AD1165*$D1246)</f>
        <v/>
      </c>
      <c r="AE1246" s="57">
        <f>REVENUE(AE1210,Settings!$C$13,NEWREVRATE(AE1138,AE1156,AE1147,AE$201,AE1165,$D1246))</f>
        <v/>
      </c>
      <c r="AG1246" s="11">
        <f>CodePrefix&amp;$A1246&amp;IF($C1246="","","."&amp;$C1246&amp;"."&amp;$B1246)&amp;INDEX(VarEnd,MATCH($A1246,VarKey,0))&amp;AG$5</f>
        <v/>
      </c>
      <c r="AH1246" s="43">
        <f>AH1210*Settings!$C$13*(AH1138+AH1156+AH1147*AH$201+AH1165*$D1246)</f>
        <v/>
      </c>
      <c r="AI1246" s="44">
        <f>AI1210*Settings!$C$13*(AI1138+AI1156+AI1147*AI$201+AI1165*$D1246)</f>
        <v/>
      </c>
      <c r="AJ1246" s="44">
        <f>AJ1210*Settings!$C$13*(AJ1138+AJ1156+AJ1147*AJ$201+AJ1165*$D1246)</f>
        <v/>
      </c>
      <c r="AK1246" s="44">
        <f>AK1210*Settings!$C$13*(AK1138+AK1156+AK1147*AK$201+AK1165*$D1246)</f>
        <v/>
      </c>
      <c r="AL1246" s="44">
        <f>AL1210*Settings!$C$13*(AL1138+AL1156+AL1147*AL$201+AL1165*$D1246)</f>
        <v/>
      </c>
      <c r="AM1246" s="44">
        <f>AM1210*Settings!$C$13*(AM1138+AM1156+AM1147*AM$201+AM1165*$D1246)</f>
        <v/>
      </c>
      <c r="AN1246" s="44">
        <f>AN1210*Settings!$C$13*(AN1138+AN1156+AN1147*AN$201+AN1165*$D1246)</f>
        <v/>
      </c>
      <c r="AO1246" s="44">
        <f>AO1210*Settings!$C$13*(AO1138+AO1156+AO1147*AO$201+AO1165*$D1246)</f>
        <v/>
      </c>
      <c r="AP1246" s="44">
        <f>AP1210*Settings!$C$13*(AP1138+AP1156+AP1147*AP$201+AP1165*$D1246)</f>
        <v/>
      </c>
      <c r="AQ1246" s="44">
        <f>AQ1210*Settings!$C$13*(AQ1138+AQ1156+AQ1147*AQ$201+AQ1165*$D1246)</f>
        <v/>
      </c>
      <c r="AR1246" s="44">
        <f>AR1210*Settings!$C$13*(AR1138+AR1156+AR1147*AR$201+AR1165*$D1246)</f>
        <v/>
      </c>
      <c r="AS1246" s="44">
        <f>AS1210*Settings!$C$13*(AS1138+AS1156+AS1147*AS$201+AS1165*$D1246)</f>
        <v/>
      </c>
      <c r="AT1246" s="44">
        <f>AT1210*Settings!$C$13*(AT1138+AT1156+AT1147*AT$201+AT1165*$D1246)</f>
        <v/>
      </c>
      <c r="AU1246" s="44">
        <f>AU1210*Settings!$C$13*(AU1138+AU1156+AU1147*AU$201+AU1165*$D1246)</f>
        <v/>
      </c>
      <c r="AV1246" s="44">
        <f>AV1210*Settings!$C$13*(AV1138+AV1156+AV1147*AV$201+AV1165*$D1246)</f>
        <v/>
      </c>
      <c r="AW1246" s="44">
        <f>AW1210*Settings!$C$13*(AW1138+AW1156+AW1147*AW$201+AW1165*$D1246)</f>
        <v/>
      </c>
      <c r="AX1246" s="44">
        <f>AX1210*Settings!$C$13*(AX1138+AX1156+AX1147*AX$201+AX1165*$D1246)</f>
        <v/>
      </c>
      <c r="AY1246" s="44">
        <f>AY1210*Settings!$C$13*(AY1138+AY1156+AY1147*AY$201+AY1165*$D1246)</f>
        <v/>
      </c>
      <c r="AZ1246" s="44">
        <f>AZ1210*Settings!$C$13*(AZ1138+AZ1156+AZ1147*AZ$201+AZ1165*$D1246)</f>
        <v/>
      </c>
      <c r="BA1246" s="57">
        <f>REVENUE(BA1210,Settings!$C$13,NEWREVRATE(BA1138,BA1156,BA1147,BA$201,BA1165,$D1246))</f>
        <v/>
      </c>
    </row>
    <row r="1247" hidden="1" outlineLevel="2">
      <c r="A1247" s="14" t="inlineStr">
        <is>
          <t>rnew</t>
        </is>
      </c>
      <c r="B1247" s="14" t="inlineStr">
        <is>
          <t>lpg</t>
        </is>
      </c>
      <c r="C1247" s="14" t="inlineStr">
        <is>
          <t>ral</t>
        </is>
      </c>
      <c r="D1247" s="35">
        <f>INDEX(Inputs!$V$5:$V$132,MATCH($B1247&amp;"|"&amp;$C1247,Inputs!$A$5:$A$132,0))</f>
        <v/>
      </c>
      <c r="E1247" s="39" t="n"/>
      <c r="F1247" s="39" t="n"/>
      <c r="G1247" s="39" t="n"/>
      <c r="H1247" s="14">
        <f>INDEX(VarLab,MATCH($A1247,VarKey,0))&amp;INDEX(MemLab,MATCH($C1247&amp;"|"&amp;$B1247,MemKey,0))</f>
        <v/>
      </c>
      <c r="I1247" s="14">
        <f>INDEX(VarUnit,MATCH($A1247,VarKey,0))</f>
        <v/>
      </c>
      <c r="J1247" s="14">
        <f>INDEX(VarSrc,MATCH($A1247,VarKey,0))</f>
        <v/>
      </c>
      <c r="K1247" s="11">
        <f>CodePrefix&amp;$A1247&amp;IF($C1247="","","."&amp;$C1247&amp;"."&amp;$B1247)&amp;INDEX(VarEnd,MATCH($A1247,VarKey,0))&amp;K$5</f>
        <v/>
      </c>
      <c r="L1247" s="43">
        <f>L1211*Settings!$C$13*(L1139+L1157+L1148*L$201+L1166*$D1247)</f>
        <v/>
      </c>
      <c r="M1247" s="44">
        <f>M1211*Settings!$C$13*(M1139+M1157+M1148*M$201+M1166*$D1247)</f>
        <v/>
      </c>
      <c r="N1247" s="44">
        <f>N1211*Settings!$C$13*(N1139+N1157+N1148*N$201+N1166*$D1247)</f>
        <v/>
      </c>
      <c r="O1247" s="44">
        <f>O1211*Settings!$C$13*(O1139+O1157+O1148*O$201+O1166*$D1247)</f>
        <v/>
      </c>
      <c r="P1247" s="44">
        <f>P1211*Settings!$C$13*(P1139+P1157+P1148*P$201+P1166*$D1247)</f>
        <v/>
      </c>
      <c r="Q1247" s="44">
        <f>Q1211*Settings!$C$13*(Q1139+Q1157+Q1148*Q$201+Q1166*$D1247)</f>
        <v/>
      </c>
      <c r="R1247" s="44">
        <f>R1211*Settings!$C$13*(R1139+R1157+R1148*R$201+R1166*$D1247)</f>
        <v/>
      </c>
      <c r="S1247" s="44">
        <f>S1211*Settings!$C$13*(S1139+S1157+S1148*S$201+S1166*$D1247)</f>
        <v/>
      </c>
      <c r="T1247" s="44">
        <f>T1211*Settings!$C$13*(T1139+T1157+T1148*T$201+T1166*$D1247)</f>
        <v/>
      </c>
      <c r="U1247" s="44">
        <f>U1211*Settings!$C$13*(U1139+U1157+U1148*U$201+U1166*$D1247)</f>
        <v/>
      </c>
      <c r="V1247" s="44">
        <f>V1211*Settings!$C$13*(V1139+V1157+V1148*V$201+V1166*$D1247)</f>
        <v/>
      </c>
      <c r="W1247" s="44">
        <f>W1211*Settings!$C$13*(W1139+W1157+W1148*W$201+W1166*$D1247)</f>
        <v/>
      </c>
      <c r="X1247" s="44">
        <f>X1211*Settings!$C$13*(X1139+X1157+X1148*X$201+X1166*$D1247)</f>
        <v/>
      </c>
      <c r="Y1247" s="44">
        <f>Y1211*Settings!$C$13*(Y1139+Y1157+Y1148*Y$201+Y1166*$D1247)</f>
        <v/>
      </c>
      <c r="Z1247" s="44">
        <f>Z1211*Settings!$C$13*(Z1139+Z1157+Z1148*Z$201+Z1166*$D1247)</f>
        <v/>
      </c>
      <c r="AA1247" s="44">
        <f>AA1211*Settings!$C$13*(AA1139+AA1157+AA1148*AA$201+AA1166*$D1247)</f>
        <v/>
      </c>
      <c r="AB1247" s="44">
        <f>AB1211*Settings!$C$13*(AB1139+AB1157+AB1148*AB$201+AB1166*$D1247)</f>
        <v/>
      </c>
      <c r="AC1247" s="44">
        <f>AC1211*Settings!$C$13*(AC1139+AC1157+AC1148*AC$201+AC1166*$D1247)</f>
        <v/>
      </c>
      <c r="AD1247" s="44">
        <f>AD1211*Settings!$C$13*(AD1139+AD1157+AD1148*AD$201+AD1166*$D1247)</f>
        <v/>
      </c>
      <c r="AE1247" s="57">
        <f>REVENUE(AE1211,Settings!$C$13,NEWREVRATE(AE1139,AE1157,AE1148,AE$201,AE1166,$D1247))</f>
        <v/>
      </c>
      <c r="AG1247" s="11">
        <f>CodePrefix&amp;$A1247&amp;IF($C1247="","","."&amp;$C1247&amp;"."&amp;$B1247)&amp;INDEX(VarEnd,MATCH($A1247,VarKey,0))&amp;AG$5</f>
        <v/>
      </c>
      <c r="AH1247" s="43">
        <f>AH1211*Settings!$C$13*(AH1139+AH1157+AH1148*AH$201+AH1166*$D1247)</f>
        <v/>
      </c>
      <c r="AI1247" s="44">
        <f>AI1211*Settings!$C$13*(AI1139+AI1157+AI1148*AI$201+AI1166*$D1247)</f>
        <v/>
      </c>
      <c r="AJ1247" s="44">
        <f>AJ1211*Settings!$C$13*(AJ1139+AJ1157+AJ1148*AJ$201+AJ1166*$D1247)</f>
        <v/>
      </c>
      <c r="AK1247" s="44">
        <f>AK1211*Settings!$C$13*(AK1139+AK1157+AK1148*AK$201+AK1166*$D1247)</f>
        <v/>
      </c>
      <c r="AL1247" s="44">
        <f>AL1211*Settings!$C$13*(AL1139+AL1157+AL1148*AL$201+AL1166*$D1247)</f>
        <v/>
      </c>
      <c r="AM1247" s="44">
        <f>AM1211*Settings!$C$13*(AM1139+AM1157+AM1148*AM$201+AM1166*$D1247)</f>
        <v/>
      </c>
      <c r="AN1247" s="44">
        <f>AN1211*Settings!$C$13*(AN1139+AN1157+AN1148*AN$201+AN1166*$D1247)</f>
        <v/>
      </c>
      <c r="AO1247" s="44">
        <f>AO1211*Settings!$C$13*(AO1139+AO1157+AO1148*AO$201+AO1166*$D1247)</f>
        <v/>
      </c>
      <c r="AP1247" s="44">
        <f>AP1211*Settings!$C$13*(AP1139+AP1157+AP1148*AP$201+AP1166*$D1247)</f>
        <v/>
      </c>
      <c r="AQ1247" s="44">
        <f>AQ1211*Settings!$C$13*(AQ1139+AQ1157+AQ1148*AQ$201+AQ1166*$D1247)</f>
        <v/>
      </c>
      <c r="AR1247" s="44">
        <f>AR1211*Settings!$C$13*(AR1139+AR1157+AR1148*AR$201+AR1166*$D1247)</f>
        <v/>
      </c>
      <c r="AS1247" s="44">
        <f>AS1211*Settings!$C$13*(AS1139+AS1157+AS1148*AS$201+AS1166*$D1247)</f>
        <v/>
      </c>
      <c r="AT1247" s="44">
        <f>AT1211*Settings!$C$13*(AT1139+AT1157+AT1148*AT$201+AT1166*$D1247)</f>
        <v/>
      </c>
      <c r="AU1247" s="44">
        <f>AU1211*Settings!$C$13*(AU1139+AU1157+AU1148*AU$201+AU1166*$D1247)</f>
        <v/>
      </c>
      <c r="AV1247" s="44">
        <f>AV1211*Settings!$C$13*(AV1139+AV1157+AV1148*AV$201+AV1166*$D1247)</f>
        <v/>
      </c>
      <c r="AW1247" s="44">
        <f>AW1211*Settings!$C$13*(AW1139+AW1157+AW1148*AW$201+AW1166*$D1247)</f>
        <v/>
      </c>
      <c r="AX1247" s="44">
        <f>AX1211*Settings!$C$13*(AX1139+AX1157+AX1148*AX$201+AX1166*$D1247)</f>
        <v/>
      </c>
      <c r="AY1247" s="44">
        <f>AY1211*Settings!$C$13*(AY1139+AY1157+AY1148*AY$201+AY1166*$D1247)</f>
        <v/>
      </c>
      <c r="AZ1247" s="44">
        <f>AZ1211*Settings!$C$13*(AZ1139+AZ1157+AZ1148*AZ$201+AZ1166*$D1247)</f>
        <v/>
      </c>
      <c r="BA1247" s="57">
        <f>REVENUE(BA1211,Settings!$C$13,NEWREVRATE(BA1139,BA1157,BA1148,BA$201,BA1166,$D1247))</f>
        <v/>
      </c>
    </row>
    <row r="1248" hidden="1" outlineLevel="2">
      <c r="A1248" s="14" t="inlineStr">
        <is>
          <t>rnew</t>
        </is>
      </c>
      <c r="B1248" s="14" t="inlineStr">
        <is>
          <t>ker</t>
        </is>
      </c>
      <c r="C1248" s="14" t="inlineStr">
        <is>
          <t>ral</t>
        </is>
      </c>
      <c r="D1248" s="35">
        <f>INDEX(Inputs!$V$5:$V$132,MATCH($B1248&amp;"|"&amp;$C1248,Inputs!$A$5:$A$132,0))</f>
        <v/>
      </c>
      <c r="E1248" s="39" t="n"/>
      <c r="F1248" s="39" t="n"/>
      <c r="G1248" s="39" t="n"/>
      <c r="H1248" s="14">
        <f>INDEX(VarLab,MATCH($A1248,VarKey,0))&amp;INDEX(MemLab,MATCH($C1248&amp;"|"&amp;$B1248,MemKey,0))</f>
        <v/>
      </c>
      <c r="I1248" s="14">
        <f>INDEX(VarUnit,MATCH($A1248,VarKey,0))</f>
        <v/>
      </c>
      <c r="J1248" s="14">
        <f>INDEX(VarSrc,MATCH($A1248,VarKey,0))</f>
        <v/>
      </c>
      <c r="K1248" s="11">
        <f>CodePrefix&amp;$A1248&amp;IF($C1248="","","."&amp;$C1248&amp;"."&amp;$B1248)&amp;INDEX(VarEnd,MATCH($A1248,VarKey,0))&amp;K$5</f>
        <v/>
      </c>
      <c r="L1248" s="43">
        <f>L1212*Settings!$C$13*(L1140+L1158+L1149*L$201+L1167*$D1248)</f>
        <v/>
      </c>
      <c r="M1248" s="44">
        <f>M1212*Settings!$C$13*(M1140+M1158+M1149*M$201+M1167*$D1248)</f>
        <v/>
      </c>
      <c r="N1248" s="44">
        <f>N1212*Settings!$C$13*(N1140+N1158+N1149*N$201+N1167*$D1248)</f>
        <v/>
      </c>
      <c r="O1248" s="44">
        <f>O1212*Settings!$C$13*(O1140+O1158+O1149*O$201+O1167*$D1248)</f>
        <v/>
      </c>
      <c r="P1248" s="44">
        <f>P1212*Settings!$C$13*(P1140+P1158+P1149*P$201+P1167*$D1248)</f>
        <v/>
      </c>
      <c r="Q1248" s="44">
        <f>Q1212*Settings!$C$13*(Q1140+Q1158+Q1149*Q$201+Q1167*$D1248)</f>
        <v/>
      </c>
      <c r="R1248" s="44">
        <f>R1212*Settings!$C$13*(R1140+R1158+R1149*R$201+R1167*$D1248)</f>
        <v/>
      </c>
      <c r="S1248" s="44">
        <f>S1212*Settings!$C$13*(S1140+S1158+S1149*S$201+S1167*$D1248)</f>
        <v/>
      </c>
      <c r="T1248" s="44">
        <f>T1212*Settings!$C$13*(T1140+T1158+T1149*T$201+T1167*$D1248)</f>
        <v/>
      </c>
      <c r="U1248" s="44">
        <f>U1212*Settings!$C$13*(U1140+U1158+U1149*U$201+U1167*$D1248)</f>
        <v/>
      </c>
      <c r="V1248" s="44">
        <f>V1212*Settings!$C$13*(V1140+V1158+V1149*V$201+V1167*$D1248)</f>
        <v/>
      </c>
      <c r="W1248" s="44">
        <f>W1212*Settings!$C$13*(W1140+W1158+W1149*W$201+W1167*$D1248)</f>
        <v/>
      </c>
      <c r="X1248" s="44">
        <f>X1212*Settings!$C$13*(X1140+X1158+X1149*X$201+X1167*$D1248)</f>
        <v/>
      </c>
      <c r="Y1248" s="44">
        <f>Y1212*Settings!$C$13*(Y1140+Y1158+Y1149*Y$201+Y1167*$D1248)</f>
        <v/>
      </c>
      <c r="Z1248" s="44">
        <f>Z1212*Settings!$C$13*(Z1140+Z1158+Z1149*Z$201+Z1167*$D1248)</f>
        <v/>
      </c>
      <c r="AA1248" s="44">
        <f>AA1212*Settings!$C$13*(AA1140+AA1158+AA1149*AA$201+AA1167*$D1248)</f>
        <v/>
      </c>
      <c r="AB1248" s="44">
        <f>AB1212*Settings!$C$13*(AB1140+AB1158+AB1149*AB$201+AB1167*$D1248)</f>
        <v/>
      </c>
      <c r="AC1248" s="44">
        <f>AC1212*Settings!$C$13*(AC1140+AC1158+AC1149*AC$201+AC1167*$D1248)</f>
        <v/>
      </c>
      <c r="AD1248" s="44">
        <f>AD1212*Settings!$C$13*(AD1140+AD1158+AD1149*AD$201+AD1167*$D1248)</f>
        <v/>
      </c>
      <c r="AE1248" s="57">
        <f>REVENUE(AE1212,Settings!$C$13,NEWREVRATE(AE1140,AE1158,AE1149,AE$201,AE1167,$D1248))</f>
        <v/>
      </c>
      <c r="AG1248" s="11">
        <f>CodePrefix&amp;$A1248&amp;IF($C1248="","","."&amp;$C1248&amp;"."&amp;$B1248)&amp;INDEX(VarEnd,MATCH($A1248,VarKey,0))&amp;AG$5</f>
        <v/>
      </c>
      <c r="AH1248" s="43">
        <f>AH1212*Settings!$C$13*(AH1140+AH1158+AH1149*AH$201+AH1167*$D1248)</f>
        <v/>
      </c>
      <c r="AI1248" s="44">
        <f>AI1212*Settings!$C$13*(AI1140+AI1158+AI1149*AI$201+AI1167*$D1248)</f>
        <v/>
      </c>
      <c r="AJ1248" s="44">
        <f>AJ1212*Settings!$C$13*(AJ1140+AJ1158+AJ1149*AJ$201+AJ1167*$D1248)</f>
        <v/>
      </c>
      <c r="AK1248" s="44">
        <f>AK1212*Settings!$C$13*(AK1140+AK1158+AK1149*AK$201+AK1167*$D1248)</f>
        <v/>
      </c>
      <c r="AL1248" s="44">
        <f>AL1212*Settings!$C$13*(AL1140+AL1158+AL1149*AL$201+AL1167*$D1248)</f>
        <v/>
      </c>
      <c r="AM1248" s="44">
        <f>AM1212*Settings!$C$13*(AM1140+AM1158+AM1149*AM$201+AM1167*$D1248)</f>
        <v/>
      </c>
      <c r="AN1248" s="44">
        <f>AN1212*Settings!$C$13*(AN1140+AN1158+AN1149*AN$201+AN1167*$D1248)</f>
        <v/>
      </c>
      <c r="AO1248" s="44">
        <f>AO1212*Settings!$C$13*(AO1140+AO1158+AO1149*AO$201+AO1167*$D1248)</f>
        <v/>
      </c>
      <c r="AP1248" s="44">
        <f>AP1212*Settings!$C$13*(AP1140+AP1158+AP1149*AP$201+AP1167*$D1248)</f>
        <v/>
      </c>
      <c r="AQ1248" s="44">
        <f>AQ1212*Settings!$C$13*(AQ1140+AQ1158+AQ1149*AQ$201+AQ1167*$D1248)</f>
        <v/>
      </c>
      <c r="AR1248" s="44">
        <f>AR1212*Settings!$C$13*(AR1140+AR1158+AR1149*AR$201+AR1167*$D1248)</f>
        <v/>
      </c>
      <c r="AS1248" s="44">
        <f>AS1212*Settings!$C$13*(AS1140+AS1158+AS1149*AS$201+AS1167*$D1248)</f>
        <v/>
      </c>
      <c r="AT1248" s="44">
        <f>AT1212*Settings!$C$13*(AT1140+AT1158+AT1149*AT$201+AT1167*$D1248)</f>
        <v/>
      </c>
      <c r="AU1248" s="44">
        <f>AU1212*Settings!$C$13*(AU1140+AU1158+AU1149*AU$201+AU1167*$D1248)</f>
        <v/>
      </c>
      <c r="AV1248" s="44">
        <f>AV1212*Settings!$C$13*(AV1140+AV1158+AV1149*AV$201+AV1167*$D1248)</f>
        <v/>
      </c>
      <c r="AW1248" s="44">
        <f>AW1212*Settings!$C$13*(AW1140+AW1158+AW1149*AW$201+AW1167*$D1248)</f>
        <v/>
      </c>
      <c r="AX1248" s="44">
        <f>AX1212*Settings!$C$13*(AX1140+AX1158+AX1149*AX$201+AX1167*$D1248)</f>
        <v/>
      </c>
      <c r="AY1248" s="44">
        <f>AY1212*Settings!$C$13*(AY1140+AY1158+AY1149*AY$201+AY1167*$D1248)</f>
        <v/>
      </c>
      <c r="AZ1248" s="44">
        <f>AZ1212*Settings!$C$13*(AZ1140+AZ1158+AZ1149*AZ$201+AZ1167*$D1248)</f>
        <v/>
      </c>
      <c r="BA1248" s="57">
        <f>REVENUE(BA1212,Settings!$C$13,NEWREVRATE(BA1140,BA1158,BA1149,BA$201,BA1167,$D1248))</f>
        <v/>
      </c>
    </row>
    <row r="1249" hidden="1" outlineLevel="2">
      <c r="A1249" s="14" t="inlineStr">
        <is>
          <t>rnew</t>
        </is>
      </c>
      <c r="B1249" s="14" t="inlineStr">
        <is>
          <t>oop</t>
        </is>
      </c>
      <c r="C1249" s="14" t="inlineStr">
        <is>
          <t>ral</t>
        </is>
      </c>
      <c r="D1249" s="35">
        <f>INDEX(Inputs!$V$5:$V$132,MATCH($B1249&amp;"|"&amp;$C1249,Inputs!$A$5:$A$132,0))</f>
        <v/>
      </c>
      <c r="E1249" s="39" t="n"/>
      <c r="F1249" s="39" t="n"/>
      <c r="G1249" s="39" t="n"/>
      <c r="H1249" s="14">
        <f>INDEX(VarLab,MATCH($A1249,VarKey,0))&amp;INDEX(MemLab,MATCH($C1249&amp;"|"&amp;$B1249,MemKey,0))</f>
        <v/>
      </c>
      <c r="I1249" s="14">
        <f>INDEX(VarUnit,MATCH($A1249,VarKey,0))</f>
        <v/>
      </c>
      <c r="J1249" s="14">
        <f>INDEX(VarSrc,MATCH($A1249,VarKey,0))</f>
        <v/>
      </c>
      <c r="K1249" s="11">
        <f>CodePrefix&amp;$A1249&amp;IF($C1249="","","."&amp;$C1249&amp;"."&amp;$B1249)&amp;INDEX(VarEnd,MATCH($A1249,VarKey,0))&amp;K$5</f>
        <v/>
      </c>
      <c r="L1249" s="43">
        <f>L1213*Settings!$C$13*(L1141+L1159+L1150*L$201+L1168*$D1249)</f>
        <v/>
      </c>
      <c r="M1249" s="44">
        <f>M1213*Settings!$C$13*(M1141+M1159+M1150*M$201+M1168*$D1249)</f>
        <v/>
      </c>
      <c r="N1249" s="44">
        <f>N1213*Settings!$C$13*(N1141+N1159+N1150*N$201+N1168*$D1249)</f>
        <v/>
      </c>
      <c r="O1249" s="44">
        <f>O1213*Settings!$C$13*(O1141+O1159+O1150*O$201+O1168*$D1249)</f>
        <v/>
      </c>
      <c r="P1249" s="44">
        <f>P1213*Settings!$C$13*(P1141+P1159+P1150*P$201+P1168*$D1249)</f>
        <v/>
      </c>
      <c r="Q1249" s="44">
        <f>Q1213*Settings!$C$13*(Q1141+Q1159+Q1150*Q$201+Q1168*$D1249)</f>
        <v/>
      </c>
      <c r="R1249" s="44">
        <f>R1213*Settings!$C$13*(R1141+R1159+R1150*R$201+R1168*$D1249)</f>
        <v/>
      </c>
      <c r="S1249" s="44">
        <f>S1213*Settings!$C$13*(S1141+S1159+S1150*S$201+S1168*$D1249)</f>
        <v/>
      </c>
      <c r="T1249" s="44">
        <f>T1213*Settings!$C$13*(T1141+T1159+T1150*T$201+T1168*$D1249)</f>
        <v/>
      </c>
      <c r="U1249" s="44">
        <f>U1213*Settings!$C$13*(U1141+U1159+U1150*U$201+U1168*$D1249)</f>
        <v/>
      </c>
      <c r="V1249" s="44">
        <f>V1213*Settings!$C$13*(V1141+V1159+V1150*V$201+V1168*$D1249)</f>
        <v/>
      </c>
      <c r="W1249" s="44">
        <f>W1213*Settings!$C$13*(W1141+W1159+W1150*W$201+W1168*$D1249)</f>
        <v/>
      </c>
      <c r="X1249" s="44">
        <f>X1213*Settings!$C$13*(X1141+X1159+X1150*X$201+X1168*$D1249)</f>
        <v/>
      </c>
      <c r="Y1249" s="44">
        <f>Y1213*Settings!$C$13*(Y1141+Y1159+Y1150*Y$201+Y1168*$D1249)</f>
        <v/>
      </c>
      <c r="Z1249" s="44">
        <f>Z1213*Settings!$C$13*(Z1141+Z1159+Z1150*Z$201+Z1168*$D1249)</f>
        <v/>
      </c>
      <c r="AA1249" s="44">
        <f>AA1213*Settings!$C$13*(AA1141+AA1159+AA1150*AA$201+AA1168*$D1249)</f>
        <v/>
      </c>
      <c r="AB1249" s="44">
        <f>AB1213*Settings!$C$13*(AB1141+AB1159+AB1150*AB$201+AB1168*$D1249)</f>
        <v/>
      </c>
      <c r="AC1249" s="44">
        <f>AC1213*Settings!$C$13*(AC1141+AC1159+AC1150*AC$201+AC1168*$D1249)</f>
        <v/>
      </c>
      <c r="AD1249" s="44">
        <f>AD1213*Settings!$C$13*(AD1141+AD1159+AD1150*AD$201+AD1168*$D1249)</f>
        <v/>
      </c>
      <c r="AE1249" s="57">
        <f>REVENUE(AE1213,Settings!$C$13,NEWREVRATE(AE1141,AE1159,AE1150,AE$201,AE1168,$D1249))</f>
        <v/>
      </c>
      <c r="AG1249" s="11">
        <f>CodePrefix&amp;$A1249&amp;IF($C1249="","","."&amp;$C1249&amp;"."&amp;$B1249)&amp;INDEX(VarEnd,MATCH($A1249,VarKey,0))&amp;AG$5</f>
        <v/>
      </c>
      <c r="AH1249" s="43">
        <f>AH1213*Settings!$C$13*(AH1141+AH1159+AH1150*AH$201+AH1168*$D1249)</f>
        <v/>
      </c>
      <c r="AI1249" s="44">
        <f>AI1213*Settings!$C$13*(AI1141+AI1159+AI1150*AI$201+AI1168*$D1249)</f>
        <v/>
      </c>
      <c r="AJ1249" s="44">
        <f>AJ1213*Settings!$C$13*(AJ1141+AJ1159+AJ1150*AJ$201+AJ1168*$D1249)</f>
        <v/>
      </c>
      <c r="AK1249" s="44">
        <f>AK1213*Settings!$C$13*(AK1141+AK1159+AK1150*AK$201+AK1168*$D1249)</f>
        <v/>
      </c>
      <c r="AL1249" s="44">
        <f>AL1213*Settings!$C$13*(AL1141+AL1159+AL1150*AL$201+AL1168*$D1249)</f>
        <v/>
      </c>
      <c r="AM1249" s="44">
        <f>AM1213*Settings!$C$13*(AM1141+AM1159+AM1150*AM$201+AM1168*$D1249)</f>
        <v/>
      </c>
      <c r="AN1249" s="44">
        <f>AN1213*Settings!$C$13*(AN1141+AN1159+AN1150*AN$201+AN1168*$D1249)</f>
        <v/>
      </c>
      <c r="AO1249" s="44">
        <f>AO1213*Settings!$C$13*(AO1141+AO1159+AO1150*AO$201+AO1168*$D1249)</f>
        <v/>
      </c>
      <c r="AP1249" s="44">
        <f>AP1213*Settings!$C$13*(AP1141+AP1159+AP1150*AP$201+AP1168*$D1249)</f>
        <v/>
      </c>
      <c r="AQ1249" s="44">
        <f>AQ1213*Settings!$C$13*(AQ1141+AQ1159+AQ1150*AQ$201+AQ1168*$D1249)</f>
        <v/>
      </c>
      <c r="AR1249" s="44">
        <f>AR1213*Settings!$C$13*(AR1141+AR1159+AR1150*AR$201+AR1168*$D1249)</f>
        <v/>
      </c>
      <c r="AS1249" s="44">
        <f>AS1213*Settings!$C$13*(AS1141+AS1159+AS1150*AS$201+AS1168*$D1249)</f>
        <v/>
      </c>
      <c r="AT1249" s="44">
        <f>AT1213*Settings!$C$13*(AT1141+AT1159+AT1150*AT$201+AT1168*$D1249)</f>
        <v/>
      </c>
      <c r="AU1249" s="44">
        <f>AU1213*Settings!$C$13*(AU1141+AU1159+AU1150*AU$201+AU1168*$D1249)</f>
        <v/>
      </c>
      <c r="AV1249" s="44">
        <f>AV1213*Settings!$C$13*(AV1141+AV1159+AV1150*AV$201+AV1168*$D1249)</f>
        <v/>
      </c>
      <c r="AW1249" s="44">
        <f>AW1213*Settings!$C$13*(AW1141+AW1159+AW1150*AW$201+AW1168*$D1249)</f>
        <v/>
      </c>
      <c r="AX1249" s="44">
        <f>AX1213*Settings!$C$13*(AX1141+AX1159+AX1150*AX$201+AX1168*$D1249)</f>
        <v/>
      </c>
      <c r="AY1249" s="44">
        <f>AY1213*Settings!$C$13*(AY1141+AY1159+AY1150*AY$201+AY1168*$D1249)</f>
        <v/>
      </c>
      <c r="AZ1249" s="44">
        <f>AZ1213*Settings!$C$13*(AZ1141+AZ1159+AZ1150*AZ$201+AZ1168*$D1249)</f>
        <v/>
      </c>
      <c r="BA1249" s="57">
        <f>REVENUE(BA1213,Settings!$C$13,NEWREVRATE(BA1141,BA1159,BA1150,BA$201,BA1168,$D1249))</f>
        <v/>
      </c>
    </row>
    <row r="1250" hidden="1" outlineLevel="2">
      <c r="A1250" s="14" t="inlineStr">
        <is>
          <t>rnew</t>
        </is>
      </c>
      <c r="B1250" s="14" t="inlineStr">
        <is>
          <t>bio</t>
        </is>
      </c>
      <c r="C1250" s="14" t="inlineStr">
        <is>
          <t>ral</t>
        </is>
      </c>
      <c r="D1250" s="35">
        <f>INDEX(Inputs!$V$5:$V$132,MATCH($B1250&amp;"|"&amp;$C1250,Inputs!$A$5:$A$132,0))</f>
        <v/>
      </c>
      <c r="E1250" s="39" t="n"/>
      <c r="F1250" s="39" t="n"/>
      <c r="G1250" s="39" t="n"/>
      <c r="H1250" s="14">
        <f>INDEX(VarLab,MATCH($A1250,VarKey,0))&amp;INDEX(MemLab,MATCH($C1250&amp;"|"&amp;$B1250,MemKey,0))</f>
        <v/>
      </c>
      <c r="I1250" s="14">
        <f>INDEX(VarUnit,MATCH($A1250,VarKey,0))</f>
        <v/>
      </c>
      <c r="J1250" s="14">
        <f>INDEX(VarSrc,MATCH($A1250,VarKey,0))</f>
        <v/>
      </c>
      <c r="K1250" s="11">
        <f>CodePrefix&amp;$A1250&amp;IF($C1250="","","."&amp;$C1250&amp;"."&amp;$B1250)&amp;INDEX(VarEnd,MATCH($A1250,VarKey,0))&amp;K$5</f>
        <v/>
      </c>
      <c r="L1250" s="43">
        <f>L1214*Settings!$C$13*(L1142+L1160+L1151*L$201+L1169*$D1250)</f>
        <v/>
      </c>
      <c r="M1250" s="44">
        <f>M1214*Settings!$C$13*(M1142+M1160+M1151*M$201+M1169*$D1250)</f>
        <v/>
      </c>
      <c r="N1250" s="44">
        <f>N1214*Settings!$C$13*(N1142+N1160+N1151*N$201+N1169*$D1250)</f>
        <v/>
      </c>
      <c r="O1250" s="44">
        <f>O1214*Settings!$C$13*(O1142+O1160+O1151*O$201+O1169*$D1250)</f>
        <v/>
      </c>
      <c r="P1250" s="44">
        <f>P1214*Settings!$C$13*(P1142+P1160+P1151*P$201+P1169*$D1250)</f>
        <v/>
      </c>
      <c r="Q1250" s="44">
        <f>Q1214*Settings!$C$13*(Q1142+Q1160+Q1151*Q$201+Q1169*$D1250)</f>
        <v/>
      </c>
      <c r="R1250" s="44">
        <f>R1214*Settings!$C$13*(R1142+R1160+R1151*R$201+R1169*$D1250)</f>
        <v/>
      </c>
      <c r="S1250" s="44">
        <f>S1214*Settings!$C$13*(S1142+S1160+S1151*S$201+S1169*$D1250)</f>
        <v/>
      </c>
      <c r="T1250" s="44">
        <f>T1214*Settings!$C$13*(T1142+T1160+T1151*T$201+T1169*$D1250)</f>
        <v/>
      </c>
      <c r="U1250" s="44">
        <f>U1214*Settings!$C$13*(U1142+U1160+U1151*U$201+U1169*$D1250)</f>
        <v/>
      </c>
      <c r="V1250" s="44">
        <f>V1214*Settings!$C$13*(V1142+V1160+V1151*V$201+V1169*$D1250)</f>
        <v/>
      </c>
      <c r="W1250" s="44">
        <f>W1214*Settings!$C$13*(W1142+W1160+W1151*W$201+W1169*$D1250)</f>
        <v/>
      </c>
      <c r="X1250" s="44">
        <f>X1214*Settings!$C$13*(X1142+X1160+X1151*X$201+X1169*$D1250)</f>
        <v/>
      </c>
      <c r="Y1250" s="44">
        <f>Y1214*Settings!$C$13*(Y1142+Y1160+Y1151*Y$201+Y1169*$D1250)</f>
        <v/>
      </c>
      <c r="Z1250" s="44">
        <f>Z1214*Settings!$C$13*(Z1142+Z1160+Z1151*Z$201+Z1169*$D1250)</f>
        <v/>
      </c>
      <c r="AA1250" s="44">
        <f>AA1214*Settings!$C$13*(AA1142+AA1160+AA1151*AA$201+AA1169*$D1250)</f>
        <v/>
      </c>
      <c r="AB1250" s="44">
        <f>AB1214*Settings!$C$13*(AB1142+AB1160+AB1151*AB$201+AB1169*$D1250)</f>
        <v/>
      </c>
      <c r="AC1250" s="44">
        <f>AC1214*Settings!$C$13*(AC1142+AC1160+AC1151*AC$201+AC1169*$D1250)</f>
        <v/>
      </c>
      <c r="AD1250" s="44">
        <f>AD1214*Settings!$C$13*(AD1142+AD1160+AD1151*AD$201+AD1169*$D1250)</f>
        <v/>
      </c>
      <c r="AE1250" s="57">
        <f>REVENUE(AE1214,Settings!$C$13,NEWREVRATE(AE1142,AE1160,AE1151,AE$201,AE1169,$D1250))</f>
        <v/>
      </c>
      <c r="AG1250" s="11">
        <f>CodePrefix&amp;$A1250&amp;IF($C1250="","","."&amp;$C1250&amp;"."&amp;$B1250)&amp;INDEX(VarEnd,MATCH($A1250,VarKey,0))&amp;AG$5</f>
        <v/>
      </c>
      <c r="AH1250" s="43">
        <f>AH1214*Settings!$C$13*(AH1142+AH1160+AH1151*AH$201+AH1169*$D1250)</f>
        <v/>
      </c>
      <c r="AI1250" s="44">
        <f>AI1214*Settings!$C$13*(AI1142+AI1160+AI1151*AI$201+AI1169*$D1250)</f>
        <v/>
      </c>
      <c r="AJ1250" s="44">
        <f>AJ1214*Settings!$C$13*(AJ1142+AJ1160+AJ1151*AJ$201+AJ1169*$D1250)</f>
        <v/>
      </c>
      <c r="AK1250" s="44">
        <f>AK1214*Settings!$C$13*(AK1142+AK1160+AK1151*AK$201+AK1169*$D1250)</f>
        <v/>
      </c>
      <c r="AL1250" s="44">
        <f>AL1214*Settings!$C$13*(AL1142+AL1160+AL1151*AL$201+AL1169*$D1250)</f>
        <v/>
      </c>
      <c r="AM1250" s="44">
        <f>AM1214*Settings!$C$13*(AM1142+AM1160+AM1151*AM$201+AM1169*$D1250)</f>
        <v/>
      </c>
      <c r="AN1250" s="44">
        <f>AN1214*Settings!$C$13*(AN1142+AN1160+AN1151*AN$201+AN1169*$D1250)</f>
        <v/>
      </c>
      <c r="AO1250" s="44">
        <f>AO1214*Settings!$C$13*(AO1142+AO1160+AO1151*AO$201+AO1169*$D1250)</f>
        <v/>
      </c>
      <c r="AP1250" s="44">
        <f>AP1214*Settings!$C$13*(AP1142+AP1160+AP1151*AP$201+AP1169*$D1250)</f>
        <v/>
      </c>
      <c r="AQ1250" s="44">
        <f>AQ1214*Settings!$C$13*(AQ1142+AQ1160+AQ1151*AQ$201+AQ1169*$D1250)</f>
        <v/>
      </c>
      <c r="AR1250" s="44">
        <f>AR1214*Settings!$C$13*(AR1142+AR1160+AR1151*AR$201+AR1169*$D1250)</f>
        <v/>
      </c>
      <c r="AS1250" s="44">
        <f>AS1214*Settings!$C$13*(AS1142+AS1160+AS1151*AS$201+AS1169*$D1250)</f>
        <v/>
      </c>
      <c r="AT1250" s="44">
        <f>AT1214*Settings!$C$13*(AT1142+AT1160+AT1151*AT$201+AT1169*$D1250)</f>
        <v/>
      </c>
      <c r="AU1250" s="44">
        <f>AU1214*Settings!$C$13*(AU1142+AU1160+AU1151*AU$201+AU1169*$D1250)</f>
        <v/>
      </c>
      <c r="AV1250" s="44">
        <f>AV1214*Settings!$C$13*(AV1142+AV1160+AV1151*AV$201+AV1169*$D1250)</f>
        <v/>
      </c>
      <c r="AW1250" s="44">
        <f>AW1214*Settings!$C$13*(AW1142+AW1160+AW1151*AW$201+AW1169*$D1250)</f>
        <v/>
      </c>
      <c r="AX1250" s="44">
        <f>AX1214*Settings!$C$13*(AX1142+AX1160+AX1151*AX$201+AX1169*$D1250)</f>
        <v/>
      </c>
      <c r="AY1250" s="44">
        <f>AY1214*Settings!$C$13*(AY1142+AY1160+AY1151*AY$201+AY1169*$D1250)</f>
        <v/>
      </c>
      <c r="AZ1250" s="44">
        <f>AZ1214*Settings!$C$13*(AZ1142+AZ1160+AZ1151*AZ$201+AZ1169*$D1250)</f>
        <v/>
      </c>
      <c r="BA1250" s="57">
        <f>REVENUE(BA1214,Settings!$C$13,NEWREVRATE(BA1142,BA1160,BA1151,BA$201,BA1169,$D1250))</f>
        <v/>
      </c>
    </row>
    <row r="1251" hidden="1" outlineLevel="2"/>
    <row r="1252" hidden="1" outlineLevel="2">
      <c r="A1252" s="14" t="inlineStr">
        <is>
          <t>rxcp</t>
        </is>
      </c>
      <c r="B1252" s="14" t="inlineStr">
        <is>
          <t>coa</t>
        </is>
      </c>
      <c r="C1252" s="14" t="inlineStr">
        <is>
          <t>ral</t>
        </is>
      </c>
      <c r="D1252" s="39" t="n"/>
      <c r="E1252" s="39" t="n"/>
      <c r="F1252" s="39" t="n"/>
      <c r="G1252" s="39" t="n"/>
      <c r="H1252" s="14">
        <f>INDEX(VarLab,MATCH($A1252,VarKey,0))&amp;INDEX(MemLab,MATCH($C1252&amp;"|"&amp;$B1252,MemKey,0))</f>
        <v/>
      </c>
      <c r="I1252" s="14">
        <f>INDEX(VarUnit,MATCH($A1252,VarKey,0))</f>
        <v/>
      </c>
      <c r="J1252" s="14">
        <f>INDEX(VarSrc,MATCH($A1252,VarKey,0))</f>
        <v/>
      </c>
      <c r="K1252" s="11">
        <f>CodePrefix&amp;$A1252&amp;IF($C1252="","","."&amp;$C1252&amp;"."&amp;$B1252)&amp;INDEX(VarEnd,MATCH($A1252,VarKey,0))&amp;K$5</f>
        <v/>
      </c>
      <c r="L1252" s="43">
        <f>L1207*Settings!$C$13*(L1171)</f>
        <v/>
      </c>
      <c r="M1252" s="44">
        <f>M1207*Settings!$C$13*(M1171)</f>
        <v/>
      </c>
      <c r="N1252" s="44">
        <f>N1207*Settings!$C$13*(N1171)</f>
        <v/>
      </c>
      <c r="O1252" s="44">
        <f>O1207*Settings!$C$13*(O1171)</f>
        <v/>
      </c>
      <c r="P1252" s="44">
        <f>P1207*Settings!$C$13*(P1171)</f>
        <v/>
      </c>
      <c r="Q1252" s="44">
        <f>Q1207*Settings!$C$13*(Q1171)</f>
        <v/>
      </c>
      <c r="R1252" s="44">
        <f>R1207*Settings!$C$13*(R1171)</f>
        <v/>
      </c>
      <c r="S1252" s="44">
        <f>S1207*Settings!$C$13*(S1171)</f>
        <v/>
      </c>
      <c r="T1252" s="44">
        <f>T1207*Settings!$C$13*(T1171)</f>
        <v/>
      </c>
      <c r="U1252" s="44">
        <f>U1207*Settings!$C$13*(U1171)</f>
        <v/>
      </c>
      <c r="V1252" s="44">
        <f>V1207*Settings!$C$13*(V1171)</f>
        <v/>
      </c>
      <c r="W1252" s="44">
        <f>W1207*Settings!$C$13*(W1171)</f>
        <v/>
      </c>
      <c r="X1252" s="44">
        <f>X1207*Settings!$C$13*(X1171)</f>
        <v/>
      </c>
      <c r="Y1252" s="44">
        <f>Y1207*Settings!$C$13*(Y1171)</f>
        <v/>
      </c>
      <c r="Z1252" s="44">
        <f>Z1207*Settings!$C$13*(Z1171)</f>
        <v/>
      </c>
      <c r="AA1252" s="44">
        <f>AA1207*Settings!$C$13*(AA1171)</f>
        <v/>
      </c>
      <c r="AB1252" s="44">
        <f>AB1207*Settings!$C$13*(AB1171)</f>
        <v/>
      </c>
      <c r="AC1252" s="44">
        <f>AC1207*Settings!$C$13*(AC1171)</f>
        <v/>
      </c>
      <c r="AD1252" s="44">
        <f>AD1207*Settings!$C$13*(AD1171)</f>
        <v/>
      </c>
      <c r="AE1252" s="57">
        <f>REVENUE(AE1207,Settings!$C$13,AE1171)</f>
        <v/>
      </c>
      <c r="AG1252" s="11">
        <f>CodePrefix&amp;$A1252&amp;IF($C1252="","","."&amp;$C1252&amp;"."&amp;$B1252)&amp;INDEX(VarEnd,MATCH($A1252,VarKey,0))&amp;AG$5</f>
        <v/>
      </c>
      <c r="AH1252" s="43">
        <f>AH1207*Settings!$C$13*(AH1171)</f>
        <v/>
      </c>
      <c r="AI1252" s="44">
        <f>AI1207*Settings!$C$13*(AI1171)</f>
        <v/>
      </c>
      <c r="AJ1252" s="44">
        <f>AJ1207*Settings!$C$13*(AJ1171)</f>
        <v/>
      </c>
      <c r="AK1252" s="44">
        <f>AK1207*Settings!$C$13*(AK1171)</f>
        <v/>
      </c>
      <c r="AL1252" s="44">
        <f>AL1207*Settings!$C$13*(AL1171)</f>
        <v/>
      </c>
      <c r="AM1252" s="44">
        <f>AM1207*Settings!$C$13*(AM1171)</f>
        <v/>
      </c>
      <c r="AN1252" s="44">
        <f>AN1207*Settings!$C$13*(AN1171)</f>
        <v/>
      </c>
      <c r="AO1252" s="44">
        <f>AO1207*Settings!$C$13*(AO1171)</f>
        <v/>
      </c>
      <c r="AP1252" s="44">
        <f>AP1207*Settings!$C$13*(AP1171)</f>
        <v/>
      </c>
      <c r="AQ1252" s="44">
        <f>AQ1207*Settings!$C$13*(AQ1171)</f>
        <v/>
      </c>
      <c r="AR1252" s="44">
        <f>AR1207*Settings!$C$13*(AR1171)</f>
        <v/>
      </c>
      <c r="AS1252" s="44">
        <f>AS1207*Settings!$C$13*(AS1171)</f>
        <v/>
      </c>
      <c r="AT1252" s="44">
        <f>AT1207*Settings!$C$13*(AT1171)</f>
        <v/>
      </c>
      <c r="AU1252" s="44">
        <f>AU1207*Settings!$C$13*(AU1171)</f>
        <v/>
      </c>
      <c r="AV1252" s="44">
        <f>AV1207*Settings!$C$13*(AV1171)</f>
        <v/>
      </c>
      <c r="AW1252" s="44">
        <f>AW1207*Settings!$C$13*(AW1171)</f>
        <v/>
      </c>
      <c r="AX1252" s="44">
        <f>AX1207*Settings!$C$13*(AX1171)</f>
        <v/>
      </c>
      <c r="AY1252" s="44">
        <f>AY1207*Settings!$C$13*(AY1171)</f>
        <v/>
      </c>
      <c r="AZ1252" s="44">
        <f>AZ1207*Settings!$C$13*(AZ1171)</f>
        <v/>
      </c>
      <c r="BA1252" s="57">
        <f>REVENUE(BA1207,Settings!$C$13,BA1171)</f>
        <v/>
      </c>
    </row>
    <row r="1253" hidden="1" outlineLevel="2">
      <c r="A1253" s="14" t="inlineStr">
        <is>
          <t>rxcp</t>
        </is>
      </c>
      <c r="B1253" s="14" t="inlineStr">
        <is>
          <t>nga</t>
        </is>
      </c>
      <c r="C1253" s="14" t="inlineStr">
        <is>
          <t>ral</t>
        </is>
      </c>
      <c r="D1253" s="39" t="n"/>
      <c r="E1253" s="39" t="n"/>
      <c r="F1253" s="39" t="n"/>
      <c r="G1253" s="39" t="n"/>
      <c r="H1253" s="14">
        <f>INDEX(VarLab,MATCH($A1253,VarKey,0))&amp;INDEX(MemLab,MATCH($C1253&amp;"|"&amp;$B1253,MemKey,0))</f>
        <v/>
      </c>
      <c r="I1253" s="14">
        <f>INDEX(VarUnit,MATCH($A1253,VarKey,0))</f>
        <v/>
      </c>
      <c r="J1253" s="14">
        <f>INDEX(VarSrc,MATCH($A1253,VarKey,0))</f>
        <v/>
      </c>
      <c r="K1253" s="11">
        <f>CodePrefix&amp;$A1253&amp;IF($C1253="","","."&amp;$C1253&amp;"."&amp;$B1253)&amp;INDEX(VarEnd,MATCH($A1253,VarKey,0))&amp;K$5</f>
        <v/>
      </c>
      <c r="L1253" s="43">
        <f>L1208*Settings!$C$13*(L1172)</f>
        <v/>
      </c>
      <c r="M1253" s="44">
        <f>M1208*Settings!$C$13*(M1172)</f>
        <v/>
      </c>
      <c r="N1253" s="44">
        <f>N1208*Settings!$C$13*(N1172)</f>
        <v/>
      </c>
      <c r="O1253" s="44">
        <f>O1208*Settings!$C$13*(O1172)</f>
        <v/>
      </c>
      <c r="P1253" s="44">
        <f>P1208*Settings!$C$13*(P1172)</f>
        <v/>
      </c>
      <c r="Q1253" s="44">
        <f>Q1208*Settings!$C$13*(Q1172)</f>
        <v/>
      </c>
      <c r="R1253" s="44">
        <f>R1208*Settings!$C$13*(R1172)</f>
        <v/>
      </c>
      <c r="S1253" s="44">
        <f>S1208*Settings!$C$13*(S1172)</f>
        <v/>
      </c>
      <c r="T1253" s="44">
        <f>T1208*Settings!$C$13*(T1172)</f>
        <v/>
      </c>
      <c r="U1253" s="44">
        <f>U1208*Settings!$C$13*(U1172)</f>
        <v/>
      </c>
      <c r="V1253" s="44">
        <f>V1208*Settings!$C$13*(V1172)</f>
        <v/>
      </c>
      <c r="W1253" s="44">
        <f>W1208*Settings!$C$13*(W1172)</f>
        <v/>
      </c>
      <c r="X1253" s="44">
        <f>X1208*Settings!$C$13*(X1172)</f>
        <v/>
      </c>
      <c r="Y1253" s="44">
        <f>Y1208*Settings!$C$13*(Y1172)</f>
        <v/>
      </c>
      <c r="Z1253" s="44">
        <f>Z1208*Settings!$C$13*(Z1172)</f>
        <v/>
      </c>
      <c r="AA1253" s="44">
        <f>AA1208*Settings!$C$13*(AA1172)</f>
        <v/>
      </c>
      <c r="AB1253" s="44">
        <f>AB1208*Settings!$C$13*(AB1172)</f>
        <v/>
      </c>
      <c r="AC1253" s="44">
        <f>AC1208*Settings!$C$13*(AC1172)</f>
        <v/>
      </c>
      <c r="AD1253" s="44">
        <f>AD1208*Settings!$C$13*(AD1172)</f>
        <v/>
      </c>
      <c r="AE1253" s="57">
        <f>REVENUE(AE1208,Settings!$C$13,AE1172)</f>
        <v/>
      </c>
      <c r="AG1253" s="11">
        <f>CodePrefix&amp;$A1253&amp;IF($C1253="","","."&amp;$C1253&amp;"."&amp;$B1253)&amp;INDEX(VarEnd,MATCH($A1253,VarKey,0))&amp;AG$5</f>
        <v/>
      </c>
      <c r="AH1253" s="43">
        <f>AH1208*Settings!$C$13*(AH1172)</f>
        <v/>
      </c>
      <c r="AI1253" s="44">
        <f>AI1208*Settings!$C$13*(AI1172)</f>
        <v/>
      </c>
      <c r="AJ1253" s="44">
        <f>AJ1208*Settings!$C$13*(AJ1172)</f>
        <v/>
      </c>
      <c r="AK1253" s="44">
        <f>AK1208*Settings!$C$13*(AK1172)</f>
        <v/>
      </c>
      <c r="AL1253" s="44">
        <f>AL1208*Settings!$C$13*(AL1172)</f>
        <v/>
      </c>
      <c r="AM1253" s="44">
        <f>AM1208*Settings!$C$13*(AM1172)</f>
        <v/>
      </c>
      <c r="AN1253" s="44">
        <f>AN1208*Settings!$C$13*(AN1172)</f>
        <v/>
      </c>
      <c r="AO1253" s="44">
        <f>AO1208*Settings!$C$13*(AO1172)</f>
        <v/>
      </c>
      <c r="AP1253" s="44">
        <f>AP1208*Settings!$C$13*(AP1172)</f>
        <v/>
      </c>
      <c r="AQ1253" s="44">
        <f>AQ1208*Settings!$C$13*(AQ1172)</f>
        <v/>
      </c>
      <c r="AR1253" s="44">
        <f>AR1208*Settings!$C$13*(AR1172)</f>
        <v/>
      </c>
      <c r="AS1253" s="44">
        <f>AS1208*Settings!$C$13*(AS1172)</f>
        <v/>
      </c>
      <c r="AT1253" s="44">
        <f>AT1208*Settings!$C$13*(AT1172)</f>
        <v/>
      </c>
      <c r="AU1253" s="44">
        <f>AU1208*Settings!$C$13*(AU1172)</f>
        <v/>
      </c>
      <c r="AV1253" s="44">
        <f>AV1208*Settings!$C$13*(AV1172)</f>
        <v/>
      </c>
      <c r="AW1253" s="44">
        <f>AW1208*Settings!$C$13*(AW1172)</f>
        <v/>
      </c>
      <c r="AX1253" s="44">
        <f>AX1208*Settings!$C$13*(AX1172)</f>
        <v/>
      </c>
      <c r="AY1253" s="44">
        <f>AY1208*Settings!$C$13*(AY1172)</f>
        <v/>
      </c>
      <c r="AZ1253" s="44">
        <f>AZ1208*Settings!$C$13*(AZ1172)</f>
        <v/>
      </c>
      <c r="BA1253" s="57">
        <f>REVENUE(BA1208,Settings!$C$13,BA1172)</f>
        <v/>
      </c>
    </row>
    <row r="1254" hidden="1" outlineLevel="2">
      <c r="A1254" s="14" t="inlineStr">
        <is>
          <t>rxcp</t>
        </is>
      </c>
      <c r="B1254" s="14" t="inlineStr">
        <is>
          <t>gso</t>
        </is>
      </c>
      <c r="C1254" s="14" t="inlineStr">
        <is>
          <t>ral</t>
        </is>
      </c>
      <c r="D1254" s="39" t="n"/>
      <c r="E1254" s="39" t="n"/>
      <c r="F1254" s="39" t="n"/>
      <c r="G1254" s="39" t="n"/>
      <c r="H1254" s="14">
        <f>INDEX(VarLab,MATCH($A1254,VarKey,0))&amp;INDEX(MemLab,MATCH($C1254&amp;"|"&amp;$B1254,MemKey,0))</f>
        <v/>
      </c>
      <c r="I1254" s="14">
        <f>INDEX(VarUnit,MATCH($A1254,VarKey,0))</f>
        <v/>
      </c>
      <c r="J1254" s="14">
        <f>INDEX(VarSrc,MATCH($A1254,VarKey,0))</f>
        <v/>
      </c>
      <c r="K1254" s="11">
        <f>CodePrefix&amp;$A1254&amp;IF($C1254="","","."&amp;$C1254&amp;"."&amp;$B1254)&amp;INDEX(VarEnd,MATCH($A1254,VarKey,0))&amp;K$5</f>
        <v/>
      </c>
      <c r="L1254" s="43">
        <f>L1209*Settings!$C$13*(L1173)</f>
        <v/>
      </c>
      <c r="M1254" s="44">
        <f>M1209*Settings!$C$13*(M1173)</f>
        <v/>
      </c>
      <c r="N1254" s="44">
        <f>N1209*Settings!$C$13*(N1173)</f>
        <v/>
      </c>
      <c r="O1254" s="44">
        <f>O1209*Settings!$C$13*(O1173)</f>
        <v/>
      </c>
      <c r="P1254" s="44">
        <f>P1209*Settings!$C$13*(P1173)</f>
        <v/>
      </c>
      <c r="Q1254" s="44">
        <f>Q1209*Settings!$C$13*(Q1173)</f>
        <v/>
      </c>
      <c r="R1254" s="44">
        <f>R1209*Settings!$C$13*(R1173)</f>
        <v/>
      </c>
      <c r="S1254" s="44">
        <f>S1209*Settings!$C$13*(S1173)</f>
        <v/>
      </c>
      <c r="T1254" s="44">
        <f>T1209*Settings!$C$13*(T1173)</f>
        <v/>
      </c>
      <c r="U1254" s="44">
        <f>U1209*Settings!$C$13*(U1173)</f>
        <v/>
      </c>
      <c r="V1254" s="44">
        <f>V1209*Settings!$C$13*(V1173)</f>
        <v/>
      </c>
      <c r="W1254" s="44">
        <f>W1209*Settings!$C$13*(W1173)</f>
        <v/>
      </c>
      <c r="X1254" s="44">
        <f>X1209*Settings!$C$13*(X1173)</f>
        <v/>
      </c>
      <c r="Y1254" s="44">
        <f>Y1209*Settings!$C$13*(Y1173)</f>
        <v/>
      </c>
      <c r="Z1254" s="44">
        <f>Z1209*Settings!$C$13*(Z1173)</f>
        <v/>
      </c>
      <c r="AA1254" s="44">
        <f>AA1209*Settings!$C$13*(AA1173)</f>
        <v/>
      </c>
      <c r="AB1254" s="44">
        <f>AB1209*Settings!$C$13*(AB1173)</f>
        <v/>
      </c>
      <c r="AC1254" s="44">
        <f>AC1209*Settings!$C$13*(AC1173)</f>
        <v/>
      </c>
      <c r="AD1254" s="44">
        <f>AD1209*Settings!$C$13*(AD1173)</f>
        <v/>
      </c>
      <c r="AE1254" s="57">
        <f>REVENUE(AE1209,Settings!$C$13,AE1173)</f>
        <v/>
      </c>
      <c r="AG1254" s="11">
        <f>CodePrefix&amp;$A1254&amp;IF($C1254="","","."&amp;$C1254&amp;"."&amp;$B1254)&amp;INDEX(VarEnd,MATCH($A1254,VarKey,0))&amp;AG$5</f>
        <v/>
      </c>
      <c r="AH1254" s="43">
        <f>AH1209*Settings!$C$13*(AH1173)</f>
        <v/>
      </c>
      <c r="AI1254" s="44">
        <f>AI1209*Settings!$C$13*(AI1173)</f>
        <v/>
      </c>
      <c r="AJ1254" s="44">
        <f>AJ1209*Settings!$C$13*(AJ1173)</f>
        <v/>
      </c>
      <c r="AK1254" s="44">
        <f>AK1209*Settings!$C$13*(AK1173)</f>
        <v/>
      </c>
      <c r="AL1254" s="44">
        <f>AL1209*Settings!$C$13*(AL1173)</f>
        <v/>
      </c>
      <c r="AM1254" s="44">
        <f>AM1209*Settings!$C$13*(AM1173)</f>
        <v/>
      </c>
      <c r="AN1254" s="44">
        <f>AN1209*Settings!$C$13*(AN1173)</f>
        <v/>
      </c>
      <c r="AO1254" s="44">
        <f>AO1209*Settings!$C$13*(AO1173)</f>
        <v/>
      </c>
      <c r="AP1254" s="44">
        <f>AP1209*Settings!$C$13*(AP1173)</f>
        <v/>
      </c>
      <c r="AQ1254" s="44">
        <f>AQ1209*Settings!$C$13*(AQ1173)</f>
        <v/>
      </c>
      <c r="AR1254" s="44">
        <f>AR1209*Settings!$C$13*(AR1173)</f>
        <v/>
      </c>
      <c r="AS1254" s="44">
        <f>AS1209*Settings!$C$13*(AS1173)</f>
        <v/>
      </c>
      <c r="AT1254" s="44">
        <f>AT1209*Settings!$C$13*(AT1173)</f>
        <v/>
      </c>
      <c r="AU1254" s="44">
        <f>AU1209*Settings!$C$13*(AU1173)</f>
        <v/>
      </c>
      <c r="AV1254" s="44">
        <f>AV1209*Settings!$C$13*(AV1173)</f>
        <v/>
      </c>
      <c r="AW1254" s="44">
        <f>AW1209*Settings!$C$13*(AW1173)</f>
        <v/>
      </c>
      <c r="AX1254" s="44">
        <f>AX1209*Settings!$C$13*(AX1173)</f>
        <v/>
      </c>
      <c r="AY1254" s="44">
        <f>AY1209*Settings!$C$13*(AY1173)</f>
        <v/>
      </c>
      <c r="AZ1254" s="44">
        <f>AZ1209*Settings!$C$13*(AZ1173)</f>
        <v/>
      </c>
      <c r="BA1254" s="57">
        <f>REVENUE(BA1209,Settings!$C$13,BA1173)</f>
        <v/>
      </c>
    </row>
    <row r="1255" hidden="1" outlineLevel="2">
      <c r="A1255" s="14" t="inlineStr">
        <is>
          <t>rxcp</t>
        </is>
      </c>
      <c r="B1255" s="14" t="inlineStr">
        <is>
          <t>die</t>
        </is>
      </c>
      <c r="C1255" s="14" t="inlineStr">
        <is>
          <t>ral</t>
        </is>
      </c>
      <c r="D1255" s="39" t="n"/>
      <c r="E1255" s="39" t="n"/>
      <c r="F1255" s="39" t="n"/>
      <c r="G1255" s="39" t="n"/>
      <c r="H1255" s="14">
        <f>INDEX(VarLab,MATCH($A1255,VarKey,0))&amp;INDEX(MemLab,MATCH($C1255&amp;"|"&amp;$B1255,MemKey,0))</f>
        <v/>
      </c>
      <c r="I1255" s="14">
        <f>INDEX(VarUnit,MATCH($A1255,VarKey,0))</f>
        <v/>
      </c>
      <c r="J1255" s="14">
        <f>INDEX(VarSrc,MATCH($A1255,VarKey,0))</f>
        <v/>
      </c>
      <c r="K1255" s="11">
        <f>CodePrefix&amp;$A1255&amp;IF($C1255="","","."&amp;$C1255&amp;"."&amp;$B1255)&amp;INDEX(VarEnd,MATCH($A1255,VarKey,0))&amp;K$5</f>
        <v/>
      </c>
      <c r="L1255" s="43">
        <f>L1210*Settings!$C$13*(L1174)</f>
        <v/>
      </c>
      <c r="M1255" s="44">
        <f>M1210*Settings!$C$13*(M1174)</f>
        <v/>
      </c>
      <c r="N1255" s="44">
        <f>N1210*Settings!$C$13*(N1174)</f>
        <v/>
      </c>
      <c r="O1255" s="44">
        <f>O1210*Settings!$C$13*(O1174)</f>
        <v/>
      </c>
      <c r="P1255" s="44">
        <f>P1210*Settings!$C$13*(P1174)</f>
        <v/>
      </c>
      <c r="Q1255" s="44">
        <f>Q1210*Settings!$C$13*(Q1174)</f>
        <v/>
      </c>
      <c r="R1255" s="44">
        <f>R1210*Settings!$C$13*(R1174)</f>
        <v/>
      </c>
      <c r="S1255" s="44">
        <f>S1210*Settings!$C$13*(S1174)</f>
        <v/>
      </c>
      <c r="T1255" s="44">
        <f>T1210*Settings!$C$13*(T1174)</f>
        <v/>
      </c>
      <c r="U1255" s="44">
        <f>U1210*Settings!$C$13*(U1174)</f>
        <v/>
      </c>
      <c r="V1255" s="44">
        <f>V1210*Settings!$C$13*(V1174)</f>
        <v/>
      </c>
      <c r="W1255" s="44">
        <f>W1210*Settings!$C$13*(W1174)</f>
        <v/>
      </c>
      <c r="X1255" s="44">
        <f>X1210*Settings!$C$13*(X1174)</f>
        <v/>
      </c>
      <c r="Y1255" s="44">
        <f>Y1210*Settings!$C$13*(Y1174)</f>
        <v/>
      </c>
      <c r="Z1255" s="44">
        <f>Z1210*Settings!$C$13*(Z1174)</f>
        <v/>
      </c>
      <c r="AA1255" s="44">
        <f>AA1210*Settings!$C$13*(AA1174)</f>
        <v/>
      </c>
      <c r="AB1255" s="44">
        <f>AB1210*Settings!$C$13*(AB1174)</f>
        <v/>
      </c>
      <c r="AC1255" s="44">
        <f>AC1210*Settings!$C$13*(AC1174)</f>
        <v/>
      </c>
      <c r="AD1255" s="44">
        <f>AD1210*Settings!$C$13*(AD1174)</f>
        <v/>
      </c>
      <c r="AE1255" s="57">
        <f>REVENUE(AE1210,Settings!$C$13,AE1174)</f>
        <v/>
      </c>
      <c r="AG1255" s="11">
        <f>CodePrefix&amp;$A1255&amp;IF($C1255="","","."&amp;$C1255&amp;"."&amp;$B1255)&amp;INDEX(VarEnd,MATCH($A1255,VarKey,0))&amp;AG$5</f>
        <v/>
      </c>
      <c r="AH1255" s="43">
        <f>AH1210*Settings!$C$13*(AH1174)</f>
        <v/>
      </c>
      <c r="AI1255" s="44">
        <f>AI1210*Settings!$C$13*(AI1174)</f>
        <v/>
      </c>
      <c r="AJ1255" s="44">
        <f>AJ1210*Settings!$C$13*(AJ1174)</f>
        <v/>
      </c>
      <c r="AK1255" s="44">
        <f>AK1210*Settings!$C$13*(AK1174)</f>
        <v/>
      </c>
      <c r="AL1255" s="44">
        <f>AL1210*Settings!$C$13*(AL1174)</f>
        <v/>
      </c>
      <c r="AM1255" s="44">
        <f>AM1210*Settings!$C$13*(AM1174)</f>
        <v/>
      </c>
      <c r="AN1255" s="44">
        <f>AN1210*Settings!$C$13*(AN1174)</f>
        <v/>
      </c>
      <c r="AO1255" s="44">
        <f>AO1210*Settings!$C$13*(AO1174)</f>
        <v/>
      </c>
      <c r="AP1255" s="44">
        <f>AP1210*Settings!$C$13*(AP1174)</f>
        <v/>
      </c>
      <c r="AQ1255" s="44">
        <f>AQ1210*Settings!$C$13*(AQ1174)</f>
        <v/>
      </c>
      <c r="AR1255" s="44">
        <f>AR1210*Settings!$C$13*(AR1174)</f>
        <v/>
      </c>
      <c r="AS1255" s="44">
        <f>AS1210*Settings!$C$13*(AS1174)</f>
        <v/>
      </c>
      <c r="AT1255" s="44">
        <f>AT1210*Settings!$C$13*(AT1174)</f>
        <v/>
      </c>
      <c r="AU1255" s="44">
        <f>AU1210*Settings!$C$13*(AU1174)</f>
        <v/>
      </c>
      <c r="AV1255" s="44">
        <f>AV1210*Settings!$C$13*(AV1174)</f>
        <v/>
      </c>
      <c r="AW1255" s="44">
        <f>AW1210*Settings!$C$13*(AW1174)</f>
        <v/>
      </c>
      <c r="AX1255" s="44">
        <f>AX1210*Settings!$C$13*(AX1174)</f>
        <v/>
      </c>
      <c r="AY1255" s="44">
        <f>AY1210*Settings!$C$13*(AY1174)</f>
        <v/>
      </c>
      <c r="AZ1255" s="44">
        <f>AZ1210*Settings!$C$13*(AZ1174)</f>
        <v/>
      </c>
      <c r="BA1255" s="57">
        <f>REVENUE(BA1210,Settings!$C$13,BA1174)</f>
        <v/>
      </c>
    </row>
    <row r="1256" hidden="1" outlineLevel="2">
      <c r="A1256" s="14" t="inlineStr">
        <is>
          <t>rxcp</t>
        </is>
      </c>
      <c r="B1256" s="14" t="inlineStr">
        <is>
          <t>lpg</t>
        </is>
      </c>
      <c r="C1256" s="14" t="inlineStr">
        <is>
          <t>ral</t>
        </is>
      </c>
      <c r="D1256" s="39" t="n"/>
      <c r="E1256" s="39" t="n"/>
      <c r="F1256" s="39" t="n"/>
      <c r="G1256" s="39" t="n"/>
      <c r="H1256" s="14">
        <f>INDEX(VarLab,MATCH($A1256,VarKey,0))&amp;INDEX(MemLab,MATCH($C1256&amp;"|"&amp;$B1256,MemKey,0))</f>
        <v/>
      </c>
      <c r="I1256" s="14">
        <f>INDEX(VarUnit,MATCH($A1256,VarKey,0))</f>
        <v/>
      </c>
      <c r="J1256" s="14">
        <f>INDEX(VarSrc,MATCH($A1256,VarKey,0))</f>
        <v/>
      </c>
      <c r="K1256" s="11">
        <f>CodePrefix&amp;$A1256&amp;IF($C1256="","","."&amp;$C1256&amp;"."&amp;$B1256)&amp;INDEX(VarEnd,MATCH($A1256,VarKey,0))&amp;K$5</f>
        <v/>
      </c>
      <c r="L1256" s="43">
        <f>L1211*Settings!$C$13*(L1175)</f>
        <v/>
      </c>
      <c r="M1256" s="44">
        <f>M1211*Settings!$C$13*(M1175)</f>
        <v/>
      </c>
      <c r="N1256" s="44">
        <f>N1211*Settings!$C$13*(N1175)</f>
        <v/>
      </c>
      <c r="O1256" s="44">
        <f>O1211*Settings!$C$13*(O1175)</f>
        <v/>
      </c>
      <c r="P1256" s="44">
        <f>P1211*Settings!$C$13*(P1175)</f>
        <v/>
      </c>
      <c r="Q1256" s="44">
        <f>Q1211*Settings!$C$13*(Q1175)</f>
        <v/>
      </c>
      <c r="R1256" s="44">
        <f>R1211*Settings!$C$13*(R1175)</f>
        <v/>
      </c>
      <c r="S1256" s="44">
        <f>S1211*Settings!$C$13*(S1175)</f>
        <v/>
      </c>
      <c r="T1256" s="44">
        <f>T1211*Settings!$C$13*(T1175)</f>
        <v/>
      </c>
      <c r="U1256" s="44">
        <f>U1211*Settings!$C$13*(U1175)</f>
        <v/>
      </c>
      <c r="V1256" s="44">
        <f>V1211*Settings!$C$13*(V1175)</f>
        <v/>
      </c>
      <c r="W1256" s="44">
        <f>W1211*Settings!$C$13*(W1175)</f>
        <v/>
      </c>
      <c r="X1256" s="44">
        <f>X1211*Settings!$C$13*(X1175)</f>
        <v/>
      </c>
      <c r="Y1256" s="44">
        <f>Y1211*Settings!$C$13*(Y1175)</f>
        <v/>
      </c>
      <c r="Z1256" s="44">
        <f>Z1211*Settings!$C$13*(Z1175)</f>
        <v/>
      </c>
      <c r="AA1256" s="44">
        <f>AA1211*Settings!$C$13*(AA1175)</f>
        <v/>
      </c>
      <c r="AB1256" s="44">
        <f>AB1211*Settings!$C$13*(AB1175)</f>
        <v/>
      </c>
      <c r="AC1256" s="44">
        <f>AC1211*Settings!$C$13*(AC1175)</f>
        <v/>
      </c>
      <c r="AD1256" s="44">
        <f>AD1211*Settings!$C$13*(AD1175)</f>
        <v/>
      </c>
      <c r="AE1256" s="57">
        <f>REVENUE(AE1211,Settings!$C$13,AE1175)</f>
        <v/>
      </c>
      <c r="AG1256" s="11">
        <f>CodePrefix&amp;$A1256&amp;IF($C1256="","","."&amp;$C1256&amp;"."&amp;$B1256)&amp;INDEX(VarEnd,MATCH($A1256,VarKey,0))&amp;AG$5</f>
        <v/>
      </c>
      <c r="AH1256" s="43">
        <f>AH1211*Settings!$C$13*(AH1175)</f>
        <v/>
      </c>
      <c r="AI1256" s="44">
        <f>AI1211*Settings!$C$13*(AI1175)</f>
        <v/>
      </c>
      <c r="AJ1256" s="44">
        <f>AJ1211*Settings!$C$13*(AJ1175)</f>
        <v/>
      </c>
      <c r="AK1256" s="44">
        <f>AK1211*Settings!$C$13*(AK1175)</f>
        <v/>
      </c>
      <c r="AL1256" s="44">
        <f>AL1211*Settings!$C$13*(AL1175)</f>
        <v/>
      </c>
      <c r="AM1256" s="44">
        <f>AM1211*Settings!$C$13*(AM1175)</f>
        <v/>
      </c>
      <c r="AN1256" s="44">
        <f>AN1211*Settings!$C$13*(AN1175)</f>
        <v/>
      </c>
      <c r="AO1256" s="44">
        <f>AO1211*Settings!$C$13*(AO1175)</f>
        <v/>
      </c>
      <c r="AP1256" s="44">
        <f>AP1211*Settings!$C$13*(AP1175)</f>
        <v/>
      </c>
      <c r="AQ1256" s="44">
        <f>AQ1211*Settings!$C$13*(AQ1175)</f>
        <v/>
      </c>
      <c r="AR1256" s="44">
        <f>AR1211*Settings!$C$13*(AR1175)</f>
        <v/>
      </c>
      <c r="AS1256" s="44">
        <f>AS1211*Settings!$C$13*(AS1175)</f>
        <v/>
      </c>
      <c r="AT1256" s="44">
        <f>AT1211*Settings!$C$13*(AT1175)</f>
        <v/>
      </c>
      <c r="AU1256" s="44">
        <f>AU1211*Settings!$C$13*(AU1175)</f>
        <v/>
      </c>
      <c r="AV1256" s="44">
        <f>AV1211*Settings!$C$13*(AV1175)</f>
        <v/>
      </c>
      <c r="AW1256" s="44">
        <f>AW1211*Settings!$C$13*(AW1175)</f>
        <v/>
      </c>
      <c r="AX1256" s="44">
        <f>AX1211*Settings!$C$13*(AX1175)</f>
        <v/>
      </c>
      <c r="AY1256" s="44">
        <f>AY1211*Settings!$C$13*(AY1175)</f>
        <v/>
      </c>
      <c r="AZ1256" s="44">
        <f>AZ1211*Settings!$C$13*(AZ1175)</f>
        <v/>
      </c>
      <c r="BA1256" s="57">
        <f>REVENUE(BA1211,Settings!$C$13,BA1175)</f>
        <v/>
      </c>
    </row>
    <row r="1257" hidden="1" outlineLevel="2">
      <c r="A1257" s="14" t="inlineStr">
        <is>
          <t>rxcp</t>
        </is>
      </c>
      <c r="B1257" s="14" t="inlineStr">
        <is>
          <t>ker</t>
        </is>
      </c>
      <c r="C1257" s="14" t="inlineStr">
        <is>
          <t>ral</t>
        </is>
      </c>
      <c r="D1257" s="39" t="n"/>
      <c r="E1257" s="39" t="n"/>
      <c r="F1257" s="39" t="n"/>
      <c r="G1257" s="39" t="n"/>
      <c r="H1257" s="14">
        <f>INDEX(VarLab,MATCH($A1257,VarKey,0))&amp;INDEX(MemLab,MATCH($C1257&amp;"|"&amp;$B1257,MemKey,0))</f>
        <v/>
      </c>
      <c r="I1257" s="14">
        <f>INDEX(VarUnit,MATCH($A1257,VarKey,0))</f>
        <v/>
      </c>
      <c r="J1257" s="14">
        <f>INDEX(VarSrc,MATCH($A1257,VarKey,0))</f>
        <v/>
      </c>
      <c r="K1257" s="11">
        <f>CodePrefix&amp;$A1257&amp;IF($C1257="","","."&amp;$C1257&amp;"."&amp;$B1257)&amp;INDEX(VarEnd,MATCH($A1257,VarKey,0))&amp;K$5</f>
        <v/>
      </c>
      <c r="L1257" s="43">
        <f>L1212*Settings!$C$13*(L1176)</f>
        <v/>
      </c>
      <c r="M1257" s="44">
        <f>M1212*Settings!$C$13*(M1176)</f>
        <v/>
      </c>
      <c r="N1257" s="44">
        <f>N1212*Settings!$C$13*(N1176)</f>
        <v/>
      </c>
      <c r="O1257" s="44">
        <f>O1212*Settings!$C$13*(O1176)</f>
        <v/>
      </c>
      <c r="P1257" s="44">
        <f>P1212*Settings!$C$13*(P1176)</f>
        <v/>
      </c>
      <c r="Q1257" s="44">
        <f>Q1212*Settings!$C$13*(Q1176)</f>
        <v/>
      </c>
      <c r="R1257" s="44">
        <f>R1212*Settings!$C$13*(R1176)</f>
        <v/>
      </c>
      <c r="S1257" s="44">
        <f>S1212*Settings!$C$13*(S1176)</f>
        <v/>
      </c>
      <c r="T1257" s="44">
        <f>T1212*Settings!$C$13*(T1176)</f>
        <v/>
      </c>
      <c r="U1257" s="44">
        <f>U1212*Settings!$C$13*(U1176)</f>
        <v/>
      </c>
      <c r="V1257" s="44">
        <f>V1212*Settings!$C$13*(V1176)</f>
        <v/>
      </c>
      <c r="W1257" s="44">
        <f>W1212*Settings!$C$13*(W1176)</f>
        <v/>
      </c>
      <c r="X1257" s="44">
        <f>X1212*Settings!$C$13*(X1176)</f>
        <v/>
      </c>
      <c r="Y1257" s="44">
        <f>Y1212*Settings!$C$13*(Y1176)</f>
        <v/>
      </c>
      <c r="Z1257" s="44">
        <f>Z1212*Settings!$C$13*(Z1176)</f>
        <v/>
      </c>
      <c r="AA1257" s="44">
        <f>AA1212*Settings!$C$13*(AA1176)</f>
        <v/>
      </c>
      <c r="AB1257" s="44">
        <f>AB1212*Settings!$C$13*(AB1176)</f>
        <v/>
      </c>
      <c r="AC1257" s="44">
        <f>AC1212*Settings!$C$13*(AC1176)</f>
        <v/>
      </c>
      <c r="AD1257" s="44">
        <f>AD1212*Settings!$C$13*(AD1176)</f>
        <v/>
      </c>
      <c r="AE1257" s="57">
        <f>REVENUE(AE1212,Settings!$C$13,AE1176)</f>
        <v/>
      </c>
      <c r="AG1257" s="11">
        <f>CodePrefix&amp;$A1257&amp;IF($C1257="","","."&amp;$C1257&amp;"."&amp;$B1257)&amp;INDEX(VarEnd,MATCH($A1257,VarKey,0))&amp;AG$5</f>
        <v/>
      </c>
      <c r="AH1257" s="43">
        <f>AH1212*Settings!$C$13*(AH1176)</f>
        <v/>
      </c>
      <c r="AI1257" s="44">
        <f>AI1212*Settings!$C$13*(AI1176)</f>
        <v/>
      </c>
      <c r="AJ1257" s="44">
        <f>AJ1212*Settings!$C$13*(AJ1176)</f>
        <v/>
      </c>
      <c r="AK1257" s="44">
        <f>AK1212*Settings!$C$13*(AK1176)</f>
        <v/>
      </c>
      <c r="AL1257" s="44">
        <f>AL1212*Settings!$C$13*(AL1176)</f>
        <v/>
      </c>
      <c r="AM1257" s="44">
        <f>AM1212*Settings!$C$13*(AM1176)</f>
        <v/>
      </c>
      <c r="AN1257" s="44">
        <f>AN1212*Settings!$C$13*(AN1176)</f>
        <v/>
      </c>
      <c r="AO1257" s="44">
        <f>AO1212*Settings!$C$13*(AO1176)</f>
        <v/>
      </c>
      <c r="AP1257" s="44">
        <f>AP1212*Settings!$C$13*(AP1176)</f>
        <v/>
      </c>
      <c r="AQ1257" s="44">
        <f>AQ1212*Settings!$C$13*(AQ1176)</f>
        <v/>
      </c>
      <c r="AR1257" s="44">
        <f>AR1212*Settings!$C$13*(AR1176)</f>
        <v/>
      </c>
      <c r="AS1257" s="44">
        <f>AS1212*Settings!$C$13*(AS1176)</f>
        <v/>
      </c>
      <c r="AT1257" s="44">
        <f>AT1212*Settings!$C$13*(AT1176)</f>
        <v/>
      </c>
      <c r="AU1257" s="44">
        <f>AU1212*Settings!$C$13*(AU1176)</f>
        <v/>
      </c>
      <c r="AV1257" s="44">
        <f>AV1212*Settings!$C$13*(AV1176)</f>
        <v/>
      </c>
      <c r="AW1257" s="44">
        <f>AW1212*Settings!$C$13*(AW1176)</f>
        <v/>
      </c>
      <c r="AX1257" s="44">
        <f>AX1212*Settings!$C$13*(AX1176)</f>
        <v/>
      </c>
      <c r="AY1257" s="44">
        <f>AY1212*Settings!$C$13*(AY1176)</f>
        <v/>
      </c>
      <c r="AZ1257" s="44">
        <f>AZ1212*Settings!$C$13*(AZ1176)</f>
        <v/>
      </c>
      <c r="BA1257" s="57">
        <f>REVENUE(BA1212,Settings!$C$13,BA1176)</f>
        <v/>
      </c>
    </row>
    <row r="1258" hidden="1" outlineLevel="2">
      <c r="A1258" s="14" t="inlineStr">
        <is>
          <t>rxcp</t>
        </is>
      </c>
      <c r="B1258" s="14" t="inlineStr">
        <is>
          <t>oop</t>
        </is>
      </c>
      <c r="C1258" s="14" t="inlineStr">
        <is>
          <t>ral</t>
        </is>
      </c>
      <c r="D1258" s="39" t="n"/>
      <c r="E1258" s="39" t="n"/>
      <c r="F1258" s="39" t="n"/>
      <c r="G1258" s="39" t="n"/>
      <c r="H1258" s="14">
        <f>INDEX(VarLab,MATCH($A1258,VarKey,0))&amp;INDEX(MemLab,MATCH($C1258&amp;"|"&amp;$B1258,MemKey,0))</f>
        <v/>
      </c>
      <c r="I1258" s="14">
        <f>INDEX(VarUnit,MATCH($A1258,VarKey,0))</f>
        <v/>
      </c>
      <c r="J1258" s="14">
        <f>INDEX(VarSrc,MATCH($A1258,VarKey,0))</f>
        <v/>
      </c>
      <c r="K1258" s="11">
        <f>CodePrefix&amp;$A1258&amp;IF($C1258="","","."&amp;$C1258&amp;"."&amp;$B1258)&amp;INDEX(VarEnd,MATCH($A1258,VarKey,0))&amp;K$5</f>
        <v/>
      </c>
      <c r="L1258" s="43">
        <f>L1213*Settings!$C$13*(L1177)</f>
        <v/>
      </c>
      <c r="M1258" s="44">
        <f>M1213*Settings!$C$13*(M1177)</f>
        <v/>
      </c>
      <c r="N1258" s="44">
        <f>N1213*Settings!$C$13*(N1177)</f>
        <v/>
      </c>
      <c r="O1258" s="44">
        <f>O1213*Settings!$C$13*(O1177)</f>
        <v/>
      </c>
      <c r="P1258" s="44">
        <f>P1213*Settings!$C$13*(P1177)</f>
        <v/>
      </c>
      <c r="Q1258" s="44">
        <f>Q1213*Settings!$C$13*(Q1177)</f>
        <v/>
      </c>
      <c r="R1258" s="44">
        <f>R1213*Settings!$C$13*(R1177)</f>
        <v/>
      </c>
      <c r="S1258" s="44">
        <f>S1213*Settings!$C$13*(S1177)</f>
        <v/>
      </c>
      <c r="T1258" s="44">
        <f>T1213*Settings!$C$13*(T1177)</f>
        <v/>
      </c>
      <c r="U1258" s="44">
        <f>U1213*Settings!$C$13*(U1177)</f>
        <v/>
      </c>
      <c r="V1258" s="44">
        <f>V1213*Settings!$C$13*(V1177)</f>
        <v/>
      </c>
      <c r="W1258" s="44">
        <f>W1213*Settings!$C$13*(W1177)</f>
        <v/>
      </c>
      <c r="X1258" s="44">
        <f>X1213*Settings!$C$13*(X1177)</f>
        <v/>
      </c>
      <c r="Y1258" s="44">
        <f>Y1213*Settings!$C$13*(Y1177)</f>
        <v/>
      </c>
      <c r="Z1258" s="44">
        <f>Z1213*Settings!$C$13*(Z1177)</f>
        <v/>
      </c>
      <c r="AA1258" s="44">
        <f>AA1213*Settings!$C$13*(AA1177)</f>
        <v/>
      </c>
      <c r="AB1258" s="44">
        <f>AB1213*Settings!$C$13*(AB1177)</f>
        <v/>
      </c>
      <c r="AC1258" s="44">
        <f>AC1213*Settings!$C$13*(AC1177)</f>
        <v/>
      </c>
      <c r="AD1258" s="44">
        <f>AD1213*Settings!$C$13*(AD1177)</f>
        <v/>
      </c>
      <c r="AE1258" s="57">
        <f>REVENUE(AE1213,Settings!$C$13,AE1177)</f>
        <v/>
      </c>
      <c r="AG1258" s="11">
        <f>CodePrefix&amp;$A1258&amp;IF($C1258="","","."&amp;$C1258&amp;"."&amp;$B1258)&amp;INDEX(VarEnd,MATCH($A1258,VarKey,0))&amp;AG$5</f>
        <v/>
      </c>
      <c r="AH1258" s="43">
        <f>AH1213*Settings!$C$13*(AH1177)</f>
        <v/>
      </c>
      <c r="AI1258" s="44">
        <f>AI1213*Settings!$C$13*(AI1177)</f>
        <v/>
      </c>
      <c r="AJ1258" s="44">
        <f>AJ1213*Settings!$C$13*(AJ1177)</f>
        <v/>
      </c>
      <c r="AK1258" s="44">
        <f>AK1213*Settings!$C$13*(AK1177)</f>
        <v/>
      </c>
      <c r="AL1258" s="44">
        <f>AL1213*Settings!$C$13*(AL1177)</f>
        <v/>
      </c>
      <c r="AM1258" s="44">
        <f>AM1213*Settings!$C$13*(AM1177)</f>
        <v/>
      </c>
      <c r="AN1258" s="44">
        <f>AN1213*Settings!$C$13*(AN1177)</f>
        <v/>
      </c>
      <c r="AO1258" s="44">
        <f>AO1213*Settings!$C$13*(AO1177)</f>
        <v/>
      </c>
      <c r="AP1258" s="44">
        <f>AP1213*Settings!$C$13*(AP1177)</f>
        <v/>
      </c>
      <c r="AQ1258" s="44">
        <f>AQ1213*Settings!$C$13*(AQ1177)</f>
        <v/>
      </c>
      <c r="AR1258" s="44">
        <f>AR1213*Settings!$C$13*(AR1177)</f>
        <v/>
      </c>
      <c r="AS1258" s="44">
        <f>AS1213*Settings!$C$13*(AS1177)</f>
        <v/>
      </c>
      <c r="AT1258" s="44">
        <f>AT1213*Settings!$C$13*(AT1177)</f>
        <v/>
      </c>
      <c r="AU1258" s="44">
        <f>AU1213*Settings!$C$13*(AU1177)</f>
        <v/>
      </c>
      <c r="AV1258" s="44">
        <f>AV1213*Settings!$C$13*(AV1177)</f>
        <v/>
      </c>
      <c r="AW1258" s="44">
        <f>AW1213*Settings!$C$13*(AW1177)</f>
        <v/>
      </c>
      <c r="AX1258" s="44">
        <f>AX1213*Settings!$C$13*(AX1177)</f>
        <v/>
      </c>
      <c r="AY1258" s="44">
        <f>AY1213*Settings!$C$13*(AY1177)</f>
        <v/>
      </c>
      <c r="AZ1258" s="44">
        <f>AZ1213*Settings!$C$13*(AZ1177)</f>
        <v/>
      </c>
      <c r="BA1258" s="57">
        <f>REVENUE(BA1213,Settings!$C$13,BA1177)</f>
        <v/>
      </c>
    </row>
    <row r="1259" hidden="1" outlineLevel="2">
      <c r="A1259" s="14" t="inlineStr">
        <is>
          <t>rxcp</t>
        </is>
      </c>
      <c r="B1259" s="14" t="inlineStr">
        <is>
          <t>bio</t>
        </is>
      </c>
      <c r="C1259" s="14" t="inlineStr">
        <is>
          <t>ral</t>
        </is>
      </c>
      <c r="D1259" s="39" t="n"/>
      <c r="E1259" s="39" t="n"/>
      <c r="F1259" s="39" t="n"/>
      <c r="G1259" s="39" t="n"/>
      <c r="H1259" s="14">
        <f>INDEX(VarLab,MATCH($A1259,VarKey,0))&amp;INDEX(MemLab,MATCH($C1259&amp;"|"&amp;$B1259,MemKey,0))</f>
        <v/>
      </c>
      <c r="I1259" s="14">
        <f>INDEX(VarUnit,MATCH($A1259,VarKey,0))</f>
        <v/>
      </c>
      <c r="J1259" s="14">
        <f>INDEX(VarSrc,MATCH($A1259,VarKey,0))</f>
        <v/>
      </c>
      <c r="K1259" s="11">
        <f>CodePrefix&amp;$A1259&amp;IF($C1259="","","."&amp;$C1259&amp;"."&amp;$B1259)&amp;INDEX(VarEnd,MATCH($A1259,VarKey,0))&amp;K$5</f>
        <v/>
      </c>
      <c r="L1259" s="43">
        <f>L1214*Settings!$C$13*(L1178)</f>
        <v/>
      </c>
      <c r="M1259" s="44">
        <f>M1214*Settings!$C$13*(M1178)</f>
        <v/>
      </c>
      <c r="N1259" s="44">
        <f>N1214*Settings!$C$13*(N1178)</f>
        <v/>
      </c>
      <c r="O1259" s="44">
        <f>O1214*Settings!$C$13*(O1178)</f>
        <v/>
      </c>
      <c r="P1259" s="44">
        <f>P1214*Settings!$C$13*(P1178)</f>
        <v/>
      </c>
      <c r="Q1259" s="44">
        <f>Q1214*Settings!$C$13*(Q1178)</f>
        <v/>
      </c>
      <c r="R1259" s="44">
        <f>R1214*Settings!$C$13*(R1178)</f>
        <v/>
      </c>
      <c r="S1259" s="44">
        <f>S1214*Settings!$C$13*(S1178)</f>
        <v/>
      </c>
      <c r="T1259" s="44">
        <f>T1214*Settings!$C$13*(T1178)</f>
        <v/>
      </c>
      <c r="U1259" s="44">
        <f>U1214*Settings!$C$13*(U1178)</f>
        <v/>
      </c>
      <c r="V1259" s="44">
        <f>V1214*Settings!$C$13*(V1178)</f>
        <v/>
      </c>
      <c r="W1259" s="44">
        <f>W1214*Settings!$C$13*(W1178)</f>
        <v/>
      </c>
      <c r="X1259" s="44">
        <f>X1214*Settings!$C$13*(X1178)</f>
        <v/>
      </c>
      <c r="Y1259" s="44">
        <f>Y1214*Settings!$C$13*(Y1178)</f>
        <v/>
      </c>
      <c r="Z1259" s="44">
        <f>Z1214*Settings!$C$13*(Z1178)</f>
        <v/>
      </c>
      <c r="AA1259" s="44">
        <f>AA1214*Settings!$C$13*(AA1178)</f>
        <v/>
      </c>
      <c r="AB1259" s="44">
        <f>AB1214*Settings!$C$13*(AB1178)</f>
        <v/>
      </c>
      <c r="AC1259" s="44">
        <f>AC1214*Settings!$C$13*(AC1178)</f>
        <v/>
      </c>
      <c r="AD1259" s="44">
        <f>AD1214*Settings!$C$13*(AD1178)</f>
        <v/>
      </c>
      <c r="AE1259" s="57">
        <f>REVENUE(AE1214,Settings!$C$13,AE1178)</f>
        <v/>
      </c>
      <c r="AG1259" s="11">
        <f>CodePrefix&amp;$A1259&amp;IF($C1259="","","."&amp;$C1259&amp;"."&amp;$B1259)&amp;INDEX(VarEnd,MATCH($A1259,VarKey,0))&amp;AG$5</f>
        <v/>
      </c>
      <c r="AH1259" s="43">
        <f>AH1214*Settings!$C$13*(AH1178)</f>
        <v/>
      </c>
      <c r="AI1259" s="44">
        <f>AI1214*Settings!$C$13*(AI1178)</f>
        <v/>
      </c>
      <c r="AJ1259" s="44">
        <f>AJ1214*Settings!$C$13*(AJ1178)</f>
        <v/>
      </c>
      <c r="AK1259" s="44">
        <f>AK1214*Settings!$C$13*(AK1178)</f>
        <v/>
      </c>
      <c r="AL1259" s="44">
        <f>AL1214*Settings!$C$13*(AL1178)</f>
        <v/>
      </c>
      <c r="AM1259" s="44">
        <f>AM1214*Settings!$C$13*(AM1178)</f>
        <v/>
      </c>
      <c r="AN1259" s="44">
        <f>AN1214*Settings!$C$13*(AN1178)</f>
        <v/>
      </c>
      <c r="AO1259" s="44">
        <f>AO1214*Settings!$C$13*(AO1178)</f>
        <v/>
      </c>
      <c r="AP1259" s="44">
        <f>AP1214*Settings!$C$13*(AP1178)</f>
        <v/>
      </c>
      <c r="AQ1259" s="44">
        <f>AQ1214*Settings!$C$13*(AQ1178)</f>
        <v/>
      </c>
      <c r="AR1259" s="44">
        <f>AR1214*Settings!$C$13*(AR1178)</f>
        <v/>
      </c>
      <c r="AS1259" s="44">
        <f>AS1214*Settings!$C$13*(AS1178)</f>
        <v/>
      </c>
      <c r="AT1259" s="44">
        <f>AT1214*Settings!$C$13*(AT1178)</f>
        <v/>
      </c>
      <c r="AU1259" s="44">
        <f>AU1214*Settings!$C$13*(AU1178)</f>
        <v/>
      </c>
      <c r="AV1259" s="44">
        <f>AV1214*Settings!$C$13*(AV1178)</f>
        <v/>
      </c>
      <c r="AW1259" s="44">
        <f>AW1214*Settings!$C$13*(AW1178)</f>
        <v/>
      </c>
      <c r="AX1259" s="44">
        <f>AX1214*Settings!$C$13*(AX1178)</f>
        <v/>
      </c>
      <c r="AY1259" s="44">
        <f>AY1214*Settings!$C$13*(AY1178)</f>
        <v/>
      </c>
      <c r="AZ1259" s="44">
        <f>AZ1214*Settings!$C$13*(AZ1178)</f>
        <v/>
      </c>
      <c r="BA1259" s="57">
        <f>REVENUE(BA1214,Settings!$C$13,BA1178)</f>
        <v/>
      </c>
    </row>
    <row r="1260" hidden="1" outlineLevel="2"/>
    <row r="1261" hidden="1" outlineLevel="1" collapsed="1">
      <c r="A1261" s="1" t="inlineStr">
        <is>
          <t>ener</t>
        </is>
      </c>
      <c r="B1261" s="1" t="inlineStr">
        <is>
          <t>all</t>
        </is>
      </c>
      <c r="C1261" s="1" t="inlineStr">
        <is>
          <t>avi</t>
        </is>
      </c>
      <c r="H1261" s="1">
        <f>INDEX(VarLab,MATCH($A1261,VarKey,0))&amp;INDEX(MemLab,MATCH($C1261&amp;"|"&amp;$B1261,MemKey,0))</f>
        <v/>
      </c>
      <c r="I1261" s="1">
        <f>INDEX(VarUnit,MATCH($A1261,VarKey,0))</f>
        <v/>
      </c>
      <c r="J1261" s="1">
        <f>INDEX(VarSrc,MATCH($A1261,VarKey,0))</f>
        <v/>
      </c>
      <c r="K1261" s="17">
        <f>CodePrefix&amp;$A1261&amp;IF($C1261="","","."&amp;$C1261&amp;"."&amp;$B1261)&amp;INDEX(VarEnd,MATCH($A1261,VarKey,0))&amp;K$5</f>
        <v/>
      </c>
      <c r="L1261" s="68">
        <f>SUM(L1335:L1342)</f>
        <v/>
      </c>
      <c r="M1261" s="69">
        <f>SUM(M1335:M1342)</f>
        <v/>
      </c>
      <c r="N1261" s="69">
        <f>SUM(N1335:N1342)</f>
        <v/>
      </c>
      <c r="O1261" s="69">
        <f>SUM(O1335:O1342)</f>
        <v/>
      </c>
      <c r="P1261" s="69">
        <f>SUM(P1335:P1342)</f>
        <v/>
      </c>
      <c r="Q1261" s="69">
        <f>SUM(Q1335:Q1342)</f>
        <v/>
      </c>
      <c r="R1261" s="69">
        <f>SUM(R1335:R1342)</f>
        <v/>
      </c>
      <c r="S1261" s="69">
        <f>SUM(S1335:S1342)</f>
        <v/>
      </c>
      <c r="T1261" s="69">
        <f>SUM(T1335:T1342)</f>
        <v/>
      </c>
      <c r="U1261" s="69">
        <f>SUM(U1335:U1342)</f>
        <v/>
      </c>
      <c r="V1261" s="69">
        <f>SUM(V1335:V1342)</f>
        <v/>
      </c>
      <c r="W1261" s="69">
        <f>SUM(W1335:W1342)</f>
        <v/>
      </c>
      <c r="X1261" s="69">
        <f>SUM(X1335:X1342)</f>
        <v/>
      </c>
      <c r="Y1261" s="69">
        <f>SUM(Y1335:Y1342)</f>
        <v/>
      </c>
      <c r="Z1261" s="69">
        <f>SUM(Z1335:Z1342)</f>
        <v/>
      </c>
      <c r="AA1261" s="69">
        <f>SUM(AA1335:AA1342)</f>
        <v/>
      </c>
      <c r="AB1261" s="69">
        <f>SUM(AB1335:AB1342)</f>
        <v/>
      </c>
      <c r="AC1261" s="69">
        <f>SUM(AC1335:AC1342)</f>
        <v/>
      </c>
      <c r="AD1261" s="69">
        <f>SUM(AD1335:AD1342)</f>
        <v/>
      </c>
      <c r="AE1261" s="69">
        <f>SUM(AE1335:AE1342)</f>
        <v/>
      </c>
      <c r="AG1261" s="17">
        <f>CodePrefix&amp;$A1261&amp;IF($C1261="","","."&amp;$C1261&amp;"."&amp;$B1261)&amp;INDEX(VarEnd,MATCH($A1261,VarKey,0))&amp;AG$5</f>
        <v/>
      </c>
      <c r="AH1261" s="68">
        <f>SUM(AH1335:AH1342)</f>
        <v/>
      </c>
      <c r="AI1261" s="69">
        <f>SUM(AI1335:AI1342)</f>
        <v/>
      </c>
      <c r="AJ1261" s="69">
        <f>SUM(AJ1335:AJ1342)</f>
        <v/>
      </c>
      <c r="AK1261" s="69">
        <f>SUM(AK1335:AK1342)</f>
        <v/>
      </c>
      <c r="AL1261" s="69">
        <f>SUM(AL1335:AL1342)</f>
        <v/>
      </c>
      <c r="AM1261" s="69">
        <f>SUM(AM1335:AM1342)</f>
        <v/>
      </c>
      <c r="AN1261" s="69">
        <f>SUM(AN1335:AN1342)</f>
        <v/>
      </c>
      <c r="AO1261" s="69">
        <f>SUM(AO1335:AO1342)</f>
        <v/>
      </c>
      <c r="AP1261" s="69">
        <f>SUM(AP1335:AP1342)</f>
        <v/>
      </c>
      <c r="AQ1261" s="69">
        <f>SUM(AQ1335:AQ1342)</f>
        <v/>
      </c>
      <c r="AR1261" s="69">
        <f>SUM(AR1335:AR1342)</f>
        <v/>
      </c>
      <c r="AS1261" s="69">
        <f>SUM(AS1335:AS1342)</f>
        <v/>
      </c>
      <c r="AT1261" s="69">
        <f>SUM(AT1335:AT1342)</f>
        <v/>
      </c>
      <c r="AU1261" s="69">
        <f>SUM(AU1335:AU1342)</f>
        <v/>
      </c>
      <c r="AV1261" s="69">
        <f>SUM(AV1335:AV1342)</f>
        <v/>
      </c>
      <c r="AW1261" s="69">
        <f>SUM(AW1335:AW1342)</f>
        <v/>
      </c>
      <c r="AX1261" s="69">
        <f>SUM(AX1335:AX1342)</f>
        <v/>
      </c>
      <c r="AY1261" s="69">
        <f>SUM(AY1335:AY1342)</f>
        <v/>
      </c>
      <c r="AZ1261" s="69">
        <f>SUM(AZ1335:AZ1342)</f>
        <v/>
      </c>
      <c r="BA1261" s="69">
        <f>SUM(BA1335:BA1342)</f>
        <v/>
      </c>
    </row>
    <row r="1262" hidden="1" outlineLevel="1">
      <c r="A1262" s="67" t="inlineStr">
        <is>
          <t>eldem</t>
        </is>
      </c>
      <c r="B1262" s="67" t="inlineStr">
        <is>
          <t>ecy</t>
        </is>
      </c>
      <c r="C1262" s="67" t="inlineStr">
        <is>
          <t>avi</t>
        </is>
      </c>
      <c r="H1262" s="67">
        <f>INDEX(VarLab,MATCH($A1262,VarKey,0))&amp;INDEX(MemLab,MATCH($C1262&amp;"|"&amp;$B1262,MemKey,0))</f>
        <v/>
      </c>
      <c r="I1262" s="67">
        <f>INDEX(VarUnit,MATCH($A1262,VarKey,0))</f>
        <v/>
      </c>
      <c r="J1262" s="67">
        <f>INDEX(VarSrc,MATCH($A1262,VarKey,0))</f>
        <v/>
      </c>
      <c r="K1262" s="70">
        <f>CodePrefix&amp;$A1262&amp;IF($C1262="","","."&amp;$C1262&amp;"."&amp;$B1262)&amp;INDEX(VarEnd,MATCH($A1262,VarKey,0))&amp;K$5</f>
        <v/>
      </c>
      <c r="L1262" s="71">
        <f>SUMIF($C$674:$C$688,$C1262,L$674:L$688)</f>
        <v/>
      </c>
      <c r="M1262" s="72">
        <f>SUMIF($C$674:$C$688,$C1262,M$674:M$688)</f>
        <v/>
      </c>
      <c r="N1262" s="72">
        <f>SUMIF($C$674:$C$688,$C1262,N$674:N$688)</f>
        <v/>
      </c>
      <c r="O1262" s="72">
        <f>SUMIF($C$674:$C$688,$C1262,O$674:O$688)</f>
        <v/>
      </c>
      <c r="P1262" s="72">
        <f>SUMIF($C$674:$C$688,$C1262,P$674:P$688)</f>
        <v/>
      </c>
      <c r="Q1262" s="72">
        <f>SUMIF($C$674:$C$688,$C1262,Q$674:Q$688)</f>
        <v/>
      </c>
      <c r="R1262" s="72">
        <f>SUMIF($C$674:$C$688,$C1262,R$674:R$688)</f>
        <v/>
      </c>
      <c r="S1262" s="72">
        <f>SUMIF($C$674:$C$688,$C1262,S$674:S$688)</f>
        <v/>
      </c>
      <c r="T1262" s="72">
        <f>SUMIF($C$674:$C$688,$C1262,T$674:T$688)</f>
        <v/>
      </c>
      <c r="U1262" s="72">
        <f>SUMIF($C$674:$C$688,$C1262,U$674:U$688)</f>
        <v/>
      </c>
      <c r="V1262" s="72">
        <f>SUMIF($C$674:$C$688,$C1262,V$674:V$688)</f>
        <v/>
      </c>
      <c r="W1262" s="72">
        <f>SUMIF($C$674:$C$688,$C1262,W$674:W$688)</f>
        <v/>
      </c>
      <c r="X1262" s="72">
        <f>SUMIF($C$674:$C$688,$C1262,X$674:X$688)</f>
        <v/>
      </c>
      <c r="Y1262" s="72">
        <f>SUMIF($C$674:$C$688,$C1262,Y$674:Y$688)</f>
        <v/>
      </c>
      <c r="Z1262" s="72">
        <f>SUMIF($C$674:$C$688,$C1262,Z$674:Z$688)</f>
        <v/>
      </c>
      <c r="AA1262" s="72">
        <f>SUMIF($C$674:$C$688,$C1262,AA$674:AA$688)</f>
        <v/>
      </c>
      <c r="AB1262" s="72">
        <f>SUMIF($C$674:$C$688,$C1262,AB$674:AB$688)</f>
        <v/>
      </c>
      <c r="AC1262" s="72">
        <f>SUMIF($C$674:$C$688,$C1262,AC$674:AC$688)</f>
        <v/>
      </c>
      <c r="AD1262" s="72">
        <f>SUMIF($C$674:$C$688,$C1262,AD$674:AD$688)</f>
        <v/>
      </c>
      <c r="AE1262" s="72">
        <f>SUMIF($C$674:$C$688,$C1262,AE$674:AE$688)</f>
        <v/>
      </c>
      <c r="AG1262" s="70">
        <f>CodePrefix&amp;$A1262&amp;IF($C1262="","","."&amp;$C1262&amp;"."&amp;$B1262)&amp;INDEX(VarEnd,MATCH($A1262,VarKey,0))&amp;AG$5</f>
        <v/>
      </c>
      <c r="AH1262" s="71">
        <f>SUMIF($C$674:$C$688,$C1262,AH$674:AH$688)</f>
        <v/>
      </c>
      <c r="AI1262" s="72">
        <f>SUMIF($C$674:$C$688,$C1262,AI$674:AI$688)</f>
        <v/>
      </c>
      <c r="AJ1262" s="72">
        <f>SUMIF($C$674:$C$688,$C1262,AJ$674:AJ$688)</f>
        <v/>
      </c>
      <c r="AK1262" s="72">
        <f>SUMIF($C$674:$C$688,$C1262,AK$674:AK$688)</f>
        <v/>
      </c>
      <c r="AL1262" s="72">
        <f>SUMIF($C$674:$C$688,$C1262,AL$674:AL$688)</f>
        <v/>
      </c>
      <c r="AM1262" s="72">
        <f>SUMIF($C$674:$C$688,$C1262,AM$674:AM$688)</f>
        <v/>
      </c>
      <c r="AN1262" s="72">
        <f>SUMIF($C$674:$C$688,$C1262,AN$674:AN$688)</f>
        <v/>
      </c>
      <c r="AO1262" s="72">
        <f>SUMIF($C$674:$C$688,$C1262,AO$674:AO$688)</f>
        <v/>
      </c>
      <c r="AP1262" s="72">
        <f>SUMIF($C$674:$C$688,$C1262,AP$674:AP$688)</f>
        <v/>
      </c>
      <c r="AQ1262" s="72">
        <f>SUMIF($C$674:$C$688,$C1262,AQ$674:AQ$688)</f>
        <v/>
      </c>
      <c r="AR1262" s="72">
        <f>SUMIF($C$674:$C$688,$C1262,AR$674:AR$688)</f>
        <v/>
      </c>
      <c r="AS1262" s="72">
        <f>SUMIF($C$674:$C$688,$C1262,AS$674:AS$688)</f>
        <v/>
      </c>
      <c r="AT1262" s="72">
        <f>SUMIF($C$674:$C$688,$C1262,AT$674:AT$688)</f>
        <v/>
      </c>
      <c r="AU1262" s="72">
        <f>SUMIF($C$674:$C$688,$C1262,AU$674:AU$688)</f>
        <v/>
      </c>
      <c r="AV1262" s="72">
        <f>SUMIF($C$674:$C$688,$C1262,AV$674:AV$688)</f>
        <v/>
      </c>
      <c r="AW1262" s="72">
        <f>SUMIF($C$674:$C$688,$C1262,AW$674:AW$688)</f>
        <v/>
      </c>
      <c r="AX1262" s="72">
        <f>SUMIF($C$674:$C$688,$C1262,AX$674:AX$688)</f>
        <v/>
      </c>
      <c r="AY1262" s="72">
        <f>SUMIF($C$674:$C$688,$C1262,AY$674:AY$688)</f>
        <v/>
      </c>
      <c r="AZ1262" s="72">
        <f>SUMIF($C$674:$C$688,$C1262,AZ$674:AZ$688)</f>
        <v/>
      </c>
      <c r="BA1262" s="72">
        <f>SUMIF($C$674:$C$688,$C1262,BA$674:BA$688)</f>
        <v/>
      </c>
    </row>
    <row r="1263" hidden="1" outlineLevel="2">
      <c r="A1263" s="14" t="inlineStr">
        <is>
          <t>ctxnew</t>
        </is>
      </c>
      <c r="B1263" s="14" t="inlineStr">
        <is>
          <t>coa</t>
        </is>
      </c>
      <c r="C1263" s="14" t="inlineStr">
        <is>
          <t>avi</t>
        </is>
      </c>
      <c r="D1263" s="35">
        <f>INDEX(Inputs!$W$5:$W$132,MATCH($B1263&amp;"|"&amp;$C1263,Inputs!$A$5:$A$132,0))</f>
        <v/>
      </c>
      <c r="E1263" s="35">
        <f>INDEX(Inputs!$L$5:$L$132,MATCH($B1263&amp;"|"&amp;$C1263,Inputs!$A$5:$A$132,0))</f>
        <v/>
      </c>
      <c r="F1263" s="35">
        <f>INDEX(Inputs!$M$5:$M$132,MATCH($B1263&amp;"|"&amp;$C1263,Inputs!$A$5:$A$132,0))</f>
        <v/>
      </c>
      <c r="G1263" s="39" t="n"/>
      <c r="H1263" s="14">
        <f>INDEX(VarLab,MATCH($A1263,VarKey,0))&amp;INDEX(MemLab,MATCH($C1263&amp;"|"&amp;$B1263,MemKey,0))</f>
        <v/>
      </c>
      <c r="I1263" s="14">
        <f>INDEX(VarUnit,MATCH($A1263,VarKey,0))</f>
        <v/>
      </c>
      <c r="J1263" s="14">
        <f>INDEX(VarSrc,MATCH($A1263,VarKey,0))</f>
        <v/>
      </c>
      <c r="K1263" s="11">
        <f>CodePrefix&amp;$A1263&amp;IF($C1263="","","."&amp;$C1263&amp;"."&amp;$B1263)&amp;INDEX(VarEnd,MATCH($A1263,VarKey,0))&amp;K$5</f>
        <v/>
      </c>
      <c r="L1263" s="40">
        <f>INDEX(L$263:L$279,$F1263)*$D1263*INDEX(L$23:L$30,$E1263)</f>
        <v/>
      </c>
      <c r="M1263" s="35">
        <f>INDEX(M$263:M$279,$F1263)*$D1263*INDEX(M$23:M$30,$E1263)</f>
        <v/>
      </c>
      <c r="N1263" s="35">
        <f>INDEX(N$263:N$279,$F1263)*$D1263*INDEX(N$23:N$30,$E1263)</f>
        <v/>
      </c>
      <c r="O1263" s="35">
        <f>INDEX(O$263:O$279,$F1263)*$D1263*INDEX(O$23:O$30,$E1263)</f>
        <v/>
      </c>
      <c r="P1263" s="35">
        <f>INDEX(P$263:P$279,$F1263)*$D1263*INDEX(P$23:P$30,$E1263)</f>
        <v/>
      </c>
      <c r="Q1263" s="35">
        <f>INDEX(Q$263:Q$279,$F1263)*$D1263*INDEX(Q$23:Q$30,$E1263)</f>
        <v/>
      </c>
      <c r="R1263" s="35">
        <f>INDEX(R$263:R$279,$F1263)*$D1263*INDEX(R$23:R$30,$E1263)</f>
        <v/>
      </c>
      <c r="S1263" s="35">
        <f>INDEX(S$263:S$279,$F1263)*$D1263*INDEX(S$23:S$30,$E1263)</f>
        <v/>
      </c>
      <c r="T1263" s="35">
        <f>INDEX(T$263:T$279,$F1263)*$D1263*INDEX(T$23:T$30,$E1263)</f>
        <v/>
      </c>
      <c r="U1263" s="35">
        <f>INDEX(U$263:U$279,$F1263)*$D1263*INDEX(U$23:U$30,$E1263)</f>
        <v/>
      </c>
      <c r="V1263" s="35">
        <f>INDEX(V$263:V$279,$F1263)*$D1263*INDEX(V$23:V$30,$E1263)</f>
        <v/>
      </c>
      <c r="W1263" s="35">
        <f>INDEX(W$263:W$279,$F1263)*$D1263*INDEX(W$23:W$30,$E1263)</f>
        <v/>
      </c>
      <c r="X1263" s="35">
        <f>INDEX(X$263:X$279,$F1263)*$D1263*INDEX(X$23:X$30,$E1263)</f>
        <v/>
      </c>
      <c r="Y1263" s="35">
        <f>INDEX(Y$263:Y$279,$F1263)*$D1263*INDEX(Y$23:Y$30,$E1263)</f>
        <v/>
      </c>
      <c r="Z1263" s="35">
        <f>INDEX(Z$263:Z$279,$F1263)*$D1263*INDEX(Z$23:Z$30,$E1263)</f>
        <v/>
      </c>
      <c r="AA1263" s="35">
        <f>INDEX(AA$263:AA$279,$F1263)*$D1263*INDEX(AA$23:AA$30,$E1263)</f>
        <v/>
      </c>
      <c r="AB1263" s="35">
        <f>INDEX(AB$263:AB$279,$F1263)*$D1263*INDEX(AB$23:AB$30,$E1263)</f>
        <v/>
      </c>
      <c r="AC1263" s="35">
        <f>INDEX(AC$263:AC$279,$F1263)*$D1263*INDEX(AC$23:AC$30,$E1263)</f>
        <v/>
      </c>
      <c r="AD1263" s="35">
        <f>INDEX(AD$263:AD$279,$F1263)*$D1263*INDEX(AD$23:AD$30,$E1263)</f>
        <v/>
      </c>
      <c r="AE1263" s="42">
        <f>CARBONTAX(INDEX(AE$263:AE$279,$F1263),$D1263,INDEX(AE$23:AE$30,$E1263))</f>
        <v/>
      </c>
      <c r="AG1263" s="11">
        <f>CodePrefix&amp;$A1263&amp;IF($C1263="","","."&amp;$C1263&amp;"."&amp;$B1263)&amp;INDEX(VarEnd,MATCH($A1263,VarKey,0))&amp;AG$5</f>
        <v/>
      </c>
      <c r="AH1263" s="40">
        <f>INDEX(AH$263:AH$279,$F1263)*$D1263*INDEX(AH$23:AH$30,$E1263)</f>
        <v/>
      </c>
      <c r="AI1263" s="35">
        <f>INDEX(AI$263:AI$279,$F1263)*$D1263*INDEX(AI$23:AI$30,$E1263)</f>
        <v/>
      </c>
      <c r="AJ1263" s="35">
        <f>INDEX(AJ$263:AJ$279,$F1263)*$D1263*INDEX(AJ$23:AJ$30,$E1263)</f>
        <v/>
      </c>
      <c r="AK1263" s="35">
        <f>INDEX(AK$263:AK$279,$F1263)*$D1263*INDEX(AK$23:AK$30,$E1263)</f>
        <v/>
      </c>
      <c r="AL1263" s="35">
        <f>INDEX(AL$263:AL$279,$F1263)*$D1263*INDEX(AL$23:AL$30,$E1263)</f>
        <v/>
      </c>
      <c r="AM1263" s="35">
        <f>INDEX(AM$263:AM$279,$F1263)*$D1263*INDEX(AM$23:AM$30,$E1263)</f>
        <v/>
      </c>
      <c r="AN1263" s="35">
        <f>INDEX(AN$263:AN$279,$F1263)*$D1263*INDEX(AN$23:AN$30,$E1263)</f>
        <v/>
      </c>
      <c r="AO1263" s="35">
        <f>INDEX(AO$263:AO$279,$F1263)*$D1263*INDEX(AO$23:AO$30,$E1263)</f>
        <v/>
      </c>
      <c r="AP1263" s="35">
        <f>INDEX(AP$263:AP$279,$F1263)*$D1263*INDEX(AP$23:AP$30,$E1263)</f>
        <v/>
      </c>
      <c r="AQ1263" s="35">
        <f>INDEX(AQ$263:AQ$279,$F1263)*$D1263*INDEX(AQ$23:AQ$30,$E1263)</f>
        <v/>
      </c>
      <c r="AR1263" s="35">
        <f>INDEX(AR$263:AR$279,$F1263)*$D1263*INDEX(AR$23:AR$30,$E1263)</f>
        <v/>
      </c>
      <c r="AS1263" s="35">
        <f>INDEX(AS$263:AS$279,$F1263)*$D1263*INDEX(AS$23:AS$30,$E1263)</f>
        <v/>
      </c>
      <c r="AT1263" s="35">
        <f>INDEX(AT$263:AT$279,$F1263)*$D1263*INDEX(AT$23:AT$30,$E1263)</f>
        <v/>
      </c>
      <c r="AU1263" s="35">
        <f>INDEX(AU$263:AU$279,$F1263)*$D1263*INDEX(AU$23:AU$30,$E1263)</f>
        <v/>
      </c>
      <c r="AV1263" s="35">
        <f>INDEX(AV$263:AV$279,$F1263)*$D1263*INDEX(AV$23:AV$30,$E1263)</f>
        <v/>
      </c>
      <c r="AW1263" s="35">
        <f>INDEX(AW$263:AW$279,$F1263)*$D1263*INDEX(AW$23:AW$30,$E1263)</f>
        <v/>
      </c>
      <c r="AX1263" s="35">
        <f>INDEX(AX$263:AX$279,$F1263)*$D1263*INDEX(AX$23:AX$30,$E1263)</f>
        <v/>
      </c>
      <c r="AY1263" s="35">
        <f>INDEX(AY$263:AY$279,$F1263)*$D1263*INDEX(AY$23:AY$30,$E1263)</f>
        <v/>
      </c>
      <c r="AZ1263" s="35">
        <f>INDEX(AZ$263:AZ$279,$F1263)*$D1263*INDEX(AZ$23:AZ$30,$E1263)</f>
        <v/>
      </c>
      <c r="BA1263" s="42">
        <f>CARBONTAX(INDEX(BA$263:BA$279,$F1263),$D1263,INDEX(BA$23:BA$30,$E1263))</f>
        <v/>
      </c>
    </row>
    <row r="1264" hidden="1" outlineLevel="2">
      <c r="A1264" s="14" t="inlineStr">
        <is>
          <t>ctxnew</t>
        </is>
      </c>
      <c r="B1264" s="14" t="inlineStr">
        <is>
          <t>nga</t>
        </is>
      </c>
      <c r="C1264" s="14" t="inlineStr">
        <is>
          <t>avi</t>
        </is>
      </c>
      <c r="D1264" s="35">
        <f>INDEX(Inputs!$W$5:$W$132,MATCH($B1264&amp;"|"&amp;$C1264,Inputs!$A$5:$A$132,0))</f>
        <v/>
      </c>
      <c r="E1264" s="35">
        <f>INDEX(Inputs!$L$5:$L$132,MATCH($B1264&amp;"|"&amp;$C1264,Inputs!$A$5:$A$132,0))</f>
        <v/>
      </c>
      <c r="F1264" s="35">
        <f>INDEX(Inputs!$M$5:$M$132,MATCH($B1264&amp;"|"&amp;$C1264,Inputs!$A$5:$A$132,0))</f>
        <v/>
      </c>
      <c r="G1264" s="39" t="n"/>
      <c r="H1264" s="14">
        <f>INDEX(VarLab,MATCH($A1264,VarKey,0))&amp;INDEX(MemLab,MATCH($C1264&amp;"|"&amp;$B1264,MemKey,0))</f>
        <v/>
      </c>
      <c r="I1264" s="14">
        <f>INDEX(VarUnit,MATCH($A1264,VarKey,0))</f>
        <v/>
      </c>
      <c r="J1264" s="14">
        <f>INDEX(VarSrc,MATCH($A1264,VarKey,0))</f>
        <v/>
      </c>
      <c r="K1264" s="11">
        <f>CodePrefix&amp;$A1264&amp;IF($C1264="","","."&amp;$C1264&amp;"."&amp;$B1264)&amp;INDEX(VarEnd,MATCH($A1264,VarKey,0))&amp;K$5</f>
        <v/>
      </c>
      <c r="L1264" s="40">
        <f>INDEX(L$263:L$279,$F1264)*$D1264*INDEX(L$23:L$30,$E1264)</f>
        <v/>
      </c>
      <c r="M1264" s="35">
        <f>INDEX(M$263:M$279,$F1264)*$D1264*INDEX(M$23:M$30,$E1264)</f>
        <v/>
      </c>
      <c r="N1264" s="35">
        <f>INDEX(N$263:N$279,$F1264)*$D1264*INDEX(N$23:N$30,$E1264)</f>
        <v/>
      </c>
      <c r="O1264" s="35">
        <f>INDEX(O$263:O$279,$F1264)*$D1264*INDEX(O$23:O$30,$E1264)</f>
        <v/>
      </c>
      <c r="P1264" s="35">
        <f>INDEX(P$263:P$279,$F1264)*$D1264*INDEX(P$23:P$30,$E1264)</f>
        <v/>
      </c>
      <c r="Q1264" s="35">
        <f>INDEX(Q$263:Q$279,$F1264)*$D1264*INDEX(Q$23:Q$30,$E1264)</f>
        <v/>
      </c>
      <c r="R1264" s="35">
        <f>INDEX(R$263:R$279,$F1264)*$D1264*INDEX(R$23:R$30,$E1264)</f>
        <v/>
      </c>
      <c r="S1264" s="35">
        <f>INDEX(S$263:S$279,$F1264)*$D1264*INDEX(S$23:S$30,$E1264)</f>
        <v/>
      </c>
      <c r="T1264" s="35">
        <f>INDEX(T$263:T$279,$F1264)*$D1264*INDEX(T$23:T$30,$E1264)</f>
        <v/>
      </c>
      <c r="U1264" s="35">
        <f>INDEX(U$263:U$279,$F1264)*$D1264*INDEX(U$23:U$30,$E1264)</f>
        <v/>
      </c>
      <c r="V1264" s="35">
        <f>INDEX(V$263:V$279,$F1264)*$D1264*INDEX(V$23:V$30,$E1264)</f>
        <v/>
      </c>
      <c r="W1264" s="35">
        <f>INDEX(W$263:W$279,$F1264)*$D1264*INDEX(W$23:W$30,$E1264)</f>
        <v/>
      </c>
      <c r="X1264" s="35">
        <f>INDEX(X$263:X$279,$F1264)*$D1264*INDEX(X$23:X$30,$E1264)</f>
        <v/>
      </c>
      <c r="Y1264" s="35">
        <f>INDEX(Y$263:Y$279,$F1264)*$D1264*INDEX(Y$23:Y$30,$E1264)</f>
        <v/>
      </c>
      <c r="Z1264" s="35">
        <f>INDEX(Z$263:Z$279,$F1264)*$D1264*INDEX(Z$23:Z$30,$E1264)</f>
        <v/>
      </c>
      <c r="AA1264" s="35">
        <f>INDEX(AA$263:AA$279,$F1264)*$D1264*INDEX(AA$23:AA$30,$E1264)</f>
        <v/>
      </c>
      <c r="AB1264" s="35">
        <f>INDEX(AB$263:AB$279,$F1264)*$D1264*INDEX(AB$23:AB$30,$E1264)</f>
        <v/>
      </c>
      <c r="AC1264" s="35">
        <f>INDEX(AC$263:AC$279,$F1264)*$D1264*INDEX(AC$23:AC$30,$E1264)</f>
        <v/>
      </c>
      <c r="AD1264" s="35">
        <f>INDEX(AD$263:AD$279,$F1264)*$D1264*INDEX(AD$23:AD$30,$E1264)</f>
        <v/>
      </c>
      <c r="AE1264" s="42">
        <f>CARBONTAX(INDEX(AE$263:AE$279,$F1264),$D1264,INDEX(AE$23:AE$30,$E1264))</f>
        <v/>
      </c>
      <c r="AG1264" s="11">
        <f>CodePrefix&amp;$A1264&amp;IF($C1264="","","."&amp;$C1264&amp;"."&amp;$B1264)&amp;INDEX(VarEnd,MATCH($A1264,VarKey,0))&amp;AG$5</f>
        <v/>
      </c>
      <c r="AH1264" s="40">
        <f>INDEX(AH$263:AH$279,$F1264)*$D1264*INDEX(AH$23:AH$30,$E1264)</f>
        <v/>
      </c>
      <c r="AI1264" s="35">
        <f>INDEX(AI$263:AI$279,$F1264)*$D1264*INDEX(AI$23:AI$30,$E1264)</f>
        <v/>
      </c>
      <c r="AJ1264" s="35">
        <f>INDEX(AJ$263:AJ$279,$F1264)*$D1264*INDEX(AJ$23:AJ$30,$E1264)</f>
        <v/>
      </c>
      <c r="AK1264" s="35">
        <f>INDEX(AK$263:AK$279,$F1264)*$D1264*INDEX(AK$23:AK$30,$E1264)</f>
        <v/>
      </c>
      <c r="AL1264" s="35">
        <f>INDEX(AL$263:AL$279,$F1264)*$D1264*INDEX(AL$23:AL$30,$E1264)</f>
        <v/>
      </c>
      <c r="AM1264" s="35">
        <f>INDEX(AM$263:AM$279,$F1264)*$D1264*INDEX(AM$23:AM$30,$E1264)</f>
        <v/>
      </c>
      <c r="AN1264" s="35">
        <f>INDEX(AN$263:AN$279,$F1264)*$D1264*INDEX(AN$23:AN$30,$E1264)</f>
        <v/>
      </c>
      <c r="AO1264" s="35">
        <f>INDEX(AO$263:AO$279,$F1264)*$D1264*INDEX(AO$23:AO$30,$E1264)</f>
        <v/>
      </c>
      <c r="AP1264" s="35">
        <f>INDEX(AP$263:AP$279,$F1264)*$D1264*INDEX(AP$23:AP$30,$E1264)</f>
        <v/>
      </c>
      <c r="AQ1264" s="35">
        <f>INDEX(AQ$263:AQ$279,$F1264)*$D1264*INDEX(AQ$23:AQ$30,$E1264)</f>
        <v/>
      </c>
      <c r="AR1264" s="35">
        <f>INDEX(AR$263:AR$279,$F1264)*$D1264*INDEX(AR$23:AR$30,$E1264)</f>
        <v/>
      </c>
      <c r="AS1264" s="35">
        <f>INDEX(AS$263:AS$279,$F1264)*$D1264*INDEX(AS$23:AS$30,$E1264)</f>
        <v/>
      </c>
      <c r="AT1264" s="35">
        <f>INDEX(AT$263:AT$279,$F1264)*$D1264*INDEX(AT$23:AT$30,$E1264)</f>
        <v/>
      </c>
      <c r="AU1264" s="35">
        <f>INDEX(AU$263:AU$279,$F1264)*$D1264*INDEX(AU$23:AU$30,$E1264)</f>
        <v/>
      </c>
      <c r="AV1264" s="35">
        <f>INDEX(AV$263:AV$279,$F1264)*$D1264*INDEX(AV$23:AV$30,$E1264)</f>
        <v/>
      </c>
      <c r="AW1264" s="35">
        <f>INDEX(AW$263:AW$279,$F1264)*$D1264*INDEX(AW$23:AW$30,$E1264)</f>
        <v/>
      </c>
      <c r="AX1264" s="35">
        <f>INDEX(AX$263:AX$279,$F1264)*$D1264*INDEX(AX$23:AX$30,$E1264)</f>
        <v/>
      </c>
      <c r="AY1264" s="35">
        <f>INDEX(AY$263:AY$279,$F1264)*$D1264*INDEX(AY$23:AY$30,$E1264)</f>
        <v/>
      </c>
      <c r="AZ1264" s="35">
        <f>INDEX(AZ$263:AZ$279,$F1264)*$D1264*INDEX(AZ$23:AZ$30,$E1264)</f>
        <v/>
      </c>
      <c r="BA1264" s="42">
        <f>CARBONTAX(INDEX(BA$263:BA$279,$F1264),$D1264,INDEX(BA$23:BA$30,$E1264))</f>
        <v/>
      </c>
    </row>
    <row r="1265" hidden="1" outlineLevel="2">
      <c r="A1265" s="14" t="inlineStr">
        <is>
          <t>ctxnew</t>
        </is>
      </c>
      <c r="B1265" s="14" t="inlineStr">
        <is>
          <t>gso</t>
        </is>
      </c>
      <c r="C1265" s="14" t="inlineStr">
        <is>
          <t>avi</t>
        </is>
      </c>
      <c r="D1265" s="35">
        <f>INDEX(Inputs!$W$5:$W$132,MATCH($B1265&amp;"|"&amp;$C1265,Inputs!$A$5:$A$132,0))</f>
        <v/>
      </c>
      <c r="E1265" s="35">
        <f>INDEX(Inputs!$L$5:$L$132,MATCH($B1265&amp;"|"&amp;$C1265,Inputs!$A$5:$A$132,0))</f>
        <v/>
      </c>
      <c r="F1265" s="35">
        <f>INDEX(Inputs!$M$5:$M$132,MATCH($B1265&amp;"|"&amp;$C1265,Inputs!$A$5:$A$132,0))</f>
        <v/>
      </c>
      <c r="G1265" s="39" t="n"/>
      <c r="H1265" s="14">
        <f>INDEX(VarLab,MATCH($A1265,VarKey,0))&amp;INDEX(MemLab,MATCH($C1265&amp;"|"&amp;$B1265,MemKey,0))</f>
        <v/>
      </c>
      <c r="I1265" s="14">
        <f>INDEX(VarUnit,MATCH($A1265,VarKey,0))</f>
        <v/>
      </c>
      <c r="J1265" s="14">
        <f>INDEX(VarSrc,MATCH($A1265,VarKey,0))</f>
        <v/>
      </c>
      <c r="K1265" s="11">
        <f>CodePrefix&amp;$A1265&amp;IF($C1265="","","."&amp;$C1265&amp;"."&amp;$B1265)&amp;INDEX(VarEnd,MATCH($A1265,VarKey,0))&amp;K$5</f>
        <v/>
      </c>
      <c r="L1265" s="40">
        <f>INDEX(L$263:L$279,$F1265)*$D1265*INDEX(L$23:L$30,$E1265)</f>
        <v/>
      </c>
      <c r="M1265" s="35">
        <f>INDEX(M$263:M$279,$F1265)*$D1265*INDEX(M$23:M$30,$E1265)</f>
        <v/>
      </c>
      <c r="N1265" s="35">
        <f>INDEX(N$263:N$279,$F1265)*$D1265*INDEX(N$23:N$30,$E1265)</f>
        <v/>
      </c>
      <c r="O1265" s="35">
        <f>INDEX(O$263:O$279,$F1265)*$D1265*INDEX(O$23:O$30,$E1265)</f>
        <v/>
      </c>
      <c r="P1265" s="35">
        <f>INDEX(P$263:P$279,$F1265)*$D1265*INDEX(P$23:P$30,$E1265)</f>
        <v/>
      </c>
      <c r="Q1265" s="35">
        <f>INDEX(Q$263:Q$279,$F1265)*$D1265*INDEX(Q$23:Q$30,$E1265)</f>
        <v/>
      </c>
      <c r="R1265" s="35">
        <f>INDEX(R$263:R$279,$F1265)*$D1265*INDEX(R$23:R$30,$E1265)</f>
        <v/>
      </c>
      <c r="S1265" s="35">
        <f>INDEX(S$263:S$279,$F1265)*$D1265*INDEX(S$23:S$30,$E1265)</f>
        <v/>
      </c>
      <c r="T1265" s="35">
        <f>INDEX(T$263:T$279,$F1265)*$D1265*INDEX(T$23:T$30,$E1265)</f>
        <v/>
      </c>
      <c r="U1265" s="35">
        <f>INDEX(U$263:U$279,$F1265)*$D1265*INDEX(U$23:U$30,$E1265)</f>
        <v/>
      </c>
      <c r="V1265" s="35">
        <f>INDEX(V$263:V$279,$F1265)*$D1265*INDEX(V$23:V$30,$E1265)</f>
        <v/>
      </c>
      <c r="W1265" s="35">
        <f>INDEX(W$263:W$279,$F1265)*$D1265*INDEX(W$23:W$30,$E1265)</f>
        <v/>
      </c>
      <c r="X1265" s="35">
        <f>INDEX(X$263:X$279,$F1265)*$D1265*INDEX(X$23:X$30,$E1265)</f>
        <v/>
      </c>
      <c r="Y1265" s="35">
        <f>INDEX(Y$263:Y$279,$F1265)*$D1265*INDEX(Y$23:Y$30,$E1265)</f>
        <v/>
      </c>
      <c r="Z1265" s="35">
        <f>INDEX(Z$263:Z$279,$F1265)*$D1265*INDEX(Z$23:Z$30,$E1265)</f>
        <v/>
      </c>
      <c r="AA1265" s="35">
        <f>INDEX(AA$263:AA$279,$F1265)*$D1265*INDEX(AA$23:AA$30,$E1265)</f>
        <v/>
      </c>
      <c r="AB1265" s="35">
        <f>INDEX(AB$263:AB$279,$F1265)*$D1265*INDEX(AB$23:AB$30,$E1265)</f>
        <v/>
      </c>
      <c r="AC1265" s="35">
        <f>INDEX(AC$263:AC$279,$F1265)*$D1265*INDEX(AC$23:AC$30,$E1265)</f>
        <v/>
      </c>
      <c r="AD1265" s="35">
        <f>INDEX(AD$263:AD$279,$F1265)*$D1265*INDEX(AD$23:AD$30,$E1265)</f>
        <v/>
      </c>
      <c r="AE1265" s="42">
        <f>CARBONTAX(INDEX(AE$263:AE$279,$F1265),$D1265,INDEX(AE$23:AE$30,$E1265))</f>
        <v/>
      </c>
      <c r="AG1265" s="11">
        <f>CodePrefix&amp;$A1265&amp;IF($C1265="","","."&amp;$C1265&amp;"."&amp;$B1265)&amp;INDEX(VarEnd,MATCH($A1265,VarKey,0))&amp;AG$5</f>
        <v/>
      </c>
      <c r="AH1265" s="40">
        <f>INDEX(AH$263:AH$279,$F1265)*$D1265*INDEX(AH$23:AH$30,$E1265)</f>
        <v/>
      </c>
      <c r="AI1265" s="35">
        <f>INDEX(AI$263:AI$279,$F1265)*$D1265*INDEX(AI$23:AI$30,$E1265)</f>
        <v/>
      </c>
      <c r="AJ1265" s="35">
        <f>INDEX(AJ$263:AJ$279,$F1265)*$D1265*INDEX(AJ$23:AJ$30,$E1265)</f>
        <v/>
      </c>
      <c r="AK1265" s="35">
        <f>INDEX(AK$263:AK$279,$F1265)*$D1265*INDEX(AK$23:AK$30,$E1265)</f>
        <v/>
      </c>
      <c r="AL1265" s="35">
        <f>INDEX(AL$263:AL$279,$F1265)*$D1265*INDEX(AL$23:AL$30,$E1265)</f>
        <v/>
      </c>
      <c r="AM1265" s="35">
        <f>INDEX(AM$263:AM$279,$F1265)*$D1265*INDEX(AM$23:AM$30,$E1265)</f>
        <v/>
      </c>
      <c r="AN1265" s="35">
        <f>INDEX(AN$263:AN$279,$F1265)*$D1265*INDEX(AN$23:AN$30,$E1265)</f>
        <v/>
      </c>
      <c r="AO1265" s="35">
        <f>INDEX(AO$263:AO$279,$F1265)*$D1265*INDEX(AO$23:AO$30,$E1265)</f>
        <v/>
      </c>
      <c r="AP1265" s="35">
        <f>INDEX(AP$263:AP$279,$F1265)*$D1265*INDEX(AP$23:AP$30,$E1265)</f>
        <v/>
      </c>
      <c r="AQ1265" s="35">
        <f>INDEX(AQ$263:AQ$279,$F1265)*$D1265*INDEX(AQ$23:AQ$30,$E1265)</f>
        <v/>
      </c>
      <c r="AR1265" s="35">
        <f>INDEX(AR$263:AR$279,$F1265)*$D1265*INDEX(AR$23:AR$30,$E1265)</f>
        <v/>
      </c>
      <c r="AS1265" s="35">
        <f>INDEX(AS$263:AS$279,$F1265)*$D1265*INDEX(AS$23:AS$30,$E1265)</f>
        <v/>
      </c>
      <c r="AT1265" s="35">
        <f>INDEX(AT$263:AT$279,$F1265)*$D1265*INDEX(AT$23:AT$30,$E1265)</f>
        <v/>
      </c>
      <c r="AU1265" s="35">
        <f>INDEX(AU$263:AU$279,$F1265)*$D1265*INDEX(AU$23:AU$30,$E1265)</f>
        <v/>
      </c>
      <c r="AV1265" s="35">
        <f>INDEX(AV$263:AV$279,$F1265)*$D1265*INDEX(AV$23:AV$30,$E1265)</f>
        <v/>
      </c>
      <c r="AW1265" s="35">
        <f>INDEX(AW$263:AW$279,$F1265)*$D1265*INDEX(AW$23:AW$30,$E1265)</f>
        <v/>
      </c>
      <c r="AX1265" s="35">
        <f>INDEX(AX$263:AX$279,$F1265)*$D1265*INDEX(AX$23:AX$30,$E1265)</f>
        <v/>
      </c>
      <c r="AY1265" s="35">
        <f>INDEX(AY$263:AY$279,$F1265)*$D1265*INDEX(AY$23:AY$30,$E1265)</f>
        <v/>
      </c>
      <c r="AZ1265" s="35">
        <f>INDEX(AZ$263:AZ$279,$F1265)*$D1265*INDEX(AZ$23:AZ$30,$E1265)</f>
        <v/>
      </c>
      <c r="BA1265" s="42">
        <f>CARBONTAX(INDEX(BA$263:BA$279,$F1265),$D1265,INDEX(BA$23:BA$30,$E1265))</f>
        <v/>
      </c>
    </row>
    <row r="1266" hidden="1" outlineLevel="2">
      <c r="A1266" s="14" t="inlineStr">
        <is>
          <t>ctxnew</t>
        </is>
      </c>
      <c r="B1266" s="14" t="inlineStr">
        <is>
          <t>die</t>
        </is>
      </c>
      <c r="C1266" s="14" t="inlineStr">
        <is>
          <t>avi</t>
        </is>
      </c>
      <c r="D1266" s="35">
        <f>INDEX(Inputs!$W$5:$W$132,MATCH($B1266&amp;"|"&amp;$C1266,Inputs!$A$5:$A$132,0))</f>
        <v/>
      </c>
      <c r="E1266" s="35">
        <f>INDEX(Inputs!$L$5:$L$132,MATCH($B1266&amp;"|"&amp;$C1266,Inputs!$A$5:$A$132,0))</f>
        <v/>
      </c>
      <c r="F1266" s="35">
        <f>INDEX(Inputs!$M$5:$M$132,MATCH($B1266&amp;"|"&amp;$C1266,Inputs!$A$5:$A$132,0))</f>
        <v/>
      </c>
      <c r="G1266" s="39" t="n"/>
      <c r="H1266" s="14">
        <f>INDEX(VarLab,MATCH($A1266,VarKey,0))&amp;INDEX(MemLab,MATCH($C1266&amp;"|"&amp;$B1266,MemKey,0))</f>
        <v/>
      </c>
      <c r="I1266" s="14">
        <f>INDEX(VarUnit,MATCH($A1266,VarKey,0))</f>
        <v/>
      </c>
      <c r="J1266" s="14">
        <f>INDEX(VarSrc,MATCH($A1266,VarKey,0))</f>
        <v/>
      </c>
      <c r="K1266" s="11">
        <f>CodePrefix&amp;$A1266&amp;IF($C1266="","","."&amp;$C1266&amp;"."&amp;$B1266)&amp;INDEX(VarEnd,MATCH($A1266,VarKey,0))&amp;K$5</f>
        <v/>
      </c>
      <c r="L1266" s="40">
        <f>INDEX(L$263:L$279,$F1266)*$D1266*INDEX(L$23:L$30,$E1266)</f>
        <v/>
      </c>
      <c r="M1266" s="35">
        <f>INDEX(M$263:M$279,$F1266)*$D1266*INDEX(M$23:M$30,$E1266)</f>
        <v/>
      </c>
      <c r="N1266" s="35">
        <f>INDEX(N$263:N$279,$F1266)*$D1266*INDEX(N$23:N$30,$E1266)</f>
        <v/>
      </c>
      <c r="O1266" s="35">
        <f>INDEX(O$263:O$279,$F1266)*$D1266*INDEX(O$23:O$30,$E1266)</f>
        <v/>
      </c>
      <c r="P1266" s="35">
        <f>INDEX(P$263:P$279,$F1266)*$D1266*INDEX(P$23:P$30,$E1266)</f>
        <v/>
      </c>
      <c r="Q1266" s="35">
        <f>INDEX(Q$263:Q$279,$F1266)*$D1266*INDEX(Q$23:Q$30,$E1266)</f>
        <v/>
      </c>
      <c r="R1266" s="35">
        <f>INDEX(R$263:R$279,$F1266)*$D1266*INDEX(R$23:R$30,$E1266)</f>
        <v/>
      </c>
      <c r="S1266" s="35">
        <f>INDEX(S$263:S$279,$F1266)*$D1266*INDEX(S$23:S$30,$E1266)</f>
        <v/>
      </c>
      <c r="T1266" s="35">
        <f>INDEX(T$263:T$279,$F1266)*$D1266*INDEX(T$23:T$30,$E1266)</f>
        <v/>
      </c>
      <c r="U1266" s="35">
        <f>INDEX(U$263:U$279,$F1266)*$D1266*INDEX(U$23:U$30,$E1266)</f>
        <v/>
      </c>
      <c r="V1266" s="35">
        <f>INDEX(V$263:V$279,$F1266)*$D1266*INDEX(V$23:V$30,$E1266)</f>
        <v/>
      </c>
      <c r="W1266" s="35">
        <f>INDEX(W$263:W$279,$F1266)*$D1266*INDEX(W$23:W$30,$E1266)</f>
        <v/>
      </c>
      <c r="X1266" s="35">
        <f>INDEX(X$263:X$279,$F1266)*$D1266*INDEX(X$23:X$30,$E1266)</f>
        <v/>
      </c>
      <c r="Y1266" s="35">
        <f>INDEX(Y$263:Y$279,$F1266)*$D1266*INDEX(Y$23:Y$30,$E1266)</f>
        <v/>
      </c>
      <c r="Z1266" s="35">
        <f>INDEX(Z$263:Z$279,$F1266)*$D1266*INDEX(Z$23:Z$30,$E1266)</f>
        <v/>
      </c>
      <c r="AA1266" s="35">
        <f>INDEX(AA$263:AA$279,$F1266)*$D1266*INDEX(AA$23:AA$30,$E1266)</f>
        <v/>
      </c>
      <c r="AB1266" s="35">
        <f>INDEX(AB$263:AB$279,$F1266)*$D1266*INDEX(AB$23:AB$30,$E1266)</f>
        <v/>
      </c>
      <c r="AC1266" s="35">
        <f>INDEX(AC$263:AC$279,$F1266)*$D1266*INDEX(AC$23:AC$30,$E1266)</f>
        <v/>
      </c>
      <c r="AD1266" s="35">
        <f>INDEX(AD$263:AD$279,$F1266)*$D1266*INDEX(AD$23:AD$30,$E1266)</f>
        <v/>
      </c>
      <c r="AE1266" s="42">
        <f>CARBONTAX(INDEX(AE$263:AE$279,$F1266),$D1266,INDEX(AE$23:AE$30,$E1266))</f>
        <v/>
      </c>
      <c r="AG1266" s="11">
        <f>CodePrefix&amp;$A1266&amp;IF($C1266="","","."&amp;$C1266&amp;"."&amp;$B1266)&amp;INDEX(VarEnd,MATCH($A1266,VarKey,0))&amp;AG$5</f>
        <v/>
      </c>
      <c r="AH1266" s="40">
        <f>INDEX(AH$263:AH$279,$F1266)*$D1266*INDEX(AH$23:AH$30,$E1266)</f>
        <v/>
      </c>
      <c r="AI1266" s="35">
        <f>INDEX(AI$263:AI$279,$F1266)*$D1266*INDEX(AI$23:AI$30,$E1266)</f>
        <v/>
      </c>
      <c r="AJ1266" s="35">
        <f>INDEX(AJ$263:AJ$279,$F1266)*$D1266*INDEX(AJ$23:AJ$30,$E1266)</f>
        <v/>
      </c>
      <c r="AK1266" s="35">
        <f>INDEX(AK$263:AK$279,$F1266)*$D1266*INDEX(AK$23:AK$30,$E1266)</f>
        <v/>
      </c>
      <c r="AL1266" s="35">
        <f>INDEX(AL$263:AL$279,$F1266)*$D1266*INDEX(AL$23:AL$30,$E1266)</f>
        <v/>
      </c>
      <c r="AM1266" s="35">
        <f>INDEX(AM$263:AM$279,$F1266)*$D1266*INDEX(AM$23:AM$30,$E1266)</f>
        <v/>
      </c>
      <c r="AN1266" s="35">
        <f>INDEX(AN$263:AN$279,$F1266)*$D1266*INDEX(AN$23:AN$30,$E1266)</f>
        <v/>
      </c>
      <c r="AO1266" s="35">
        <f>INDEX(AO$263:AO$279,$F1266)*$D1266*INDEX(AO$23:AO$30,$E1266)</f>
        <v/>
      </c>
      <c r="AP1266" s="35">
        <f>INDEX(AP$263:AP$279,$F1266)*$D1266*INDEX(AP$23:AP$30,$E1266)</f>
        <v/>
      </c>
      <c r="AQ1266" s="35">
        <f>INDEX(AQ$263:AQ$279,$F1266)*$D1266*INDEX(AQ$23:AQ$30,$E1266)</f>
        <v/>
      </c>
      <c r="AR1266" s="35">
        <f>INDEX(AR$263:AR$279,$F1266)*$D1266*INDEX(AR$23:AR$30,$E1266)</f>
        <v/>
      </c>
      <c r="AS1266" s="35">
        <f>INDEX(AS$263:AS$279,$F1266)*$D1266*INDEX(AS$23:AS$30,$E1266)</f>
        <v/>
      </c>
      <c r="AT1266" s="35">
        <f>INDEX(AT$263:AT$279,$F1266)*$D1266*INDEX(AT$23:AT$30,$E1266)</f>
        <v/>
      </c>
      <c r="AU1266" s="35">
        <f>INDEX(AU$263:AU$279,$F1266)*$D1266*INDEX(AU$23:AU$30,$E1266)</f>
        <v/>
      </c>
      <c r="AV1266" s="35">
        <f>INDEX(AV$263:AV$279,$F1266)*$D1266*INDEX(AV$23:AV$30,$E1266)</f>
        <v/>
      </c>
      <c r="AW1266" s="35">
        <f>INDEX(AW$263:AW$279,$F1266)*$D1266*INDEX(AW$23:AW$30,$E1266)</f>
        <v/>
      </c>
      <c r="AX1266" s="35">
        <f>INDEX(AX$263:AX$279,$F1266)*$D1266*INDEX(AX$23:AX$30,$E1266)</f>
        <v/>
      </c>
      <c r="AY1266" s="35">
        <f>INDEX(AY$263:AY$279,$F1266)*$D1266*INDEX(AY$23:AY$30,$E1266)</f>
        <v/>
      </c>
      <c r="AZ1266" s="35">
        <f>INDEX(AZ$263:AZ$279,$F1266)*$D1266*INDEX(AZ$23:AZ$30,$E1266)</f>
        <v/>
      </c>
      <c r="BA1266" s="42">
        <f>CARBONTAX(INDEX(BA$263:BA$279,$F1266),$D1266,INDEX(BA$23:BA$30,$E1266))</f>
        <v/>
      </c>
    </row>
    <row r="1267" hidden="1" outlineLevel="2">
      <c r="A1267" s="14" t="inlineStr">
        <is>
          <t>ctxnew</t>
        </is>
      </c>
      <c r="B1267" s="14" t="inlineStr">
        <is>
          <t>lpg</t>
        </is>
      </c>
      <c r="C1267" s="14" t="inlineStr">
        <is>
          <t>avi</t>
        </is>
      </c>
      <c r="D1267" s="35">
        <f>INDEX(Inputs!$W$5:$W$132,MATCH($B1267&amp;"|"&amp;$C1267,Inputs!$A$5:$A$132,0))</f>
        <v/>
      </c>
      <c r="E1267" s="35">
        <f>INDEX(Inputs!$L$5:$L$132,MATCH($B1267&amp;"|"&amp;$C1267,Inputs!$A$5:$A$132,0))</f>
        <v/>
      </c>
      <c r="F1267" s="35">
        <f>INDEX(Inputs!$M$5:$M$132,MATCH($B1267&amp;"|"&amp;$C1267,Inputs!$A$5:$A$132,0))</f>
        <v/>
      </c>
      <c r="G1267" s="39" t="n"/>
      <c r="H1267" s="14">
        <f>INDEX(VarLab,MATCH($A1267,VarKey,0))&amp;INDEX(MemLab,MATCH($C1267&amp;"|"&amp;$B1267,MemKey,0))</f>
        <v/>
      </c>
      <c r="I1267" s="14">
        <f>INDEX(VarUnit,MATCH($A1267,VarKey,0))</f>
        <v/>
      </c>
      <c r="J1267" s="14">
        <f>INDEX(VarSrc,MATCH($A1267,VarKey,0))</f>
        <v/>
      </c>
      <c r="K1267" s="11">
        <f>CodePrefix&amp;$A1267&amp;IF($C1267="","","."&amp;$C1267&amp;"."&amp;$B1267)&amp;INDEX(VarEnd,MATCH($A1267,VarKey,0))&amp;K$5</f>
        <v/>
      </c>
      <c r="L1267" s="40">
        <f>INDEX(L$263:L$279,$F1267)*$D1267*INDEX(L$23:L$30,$E1267)</f>
        <v/>
      </c>
      <c r="M1267" s="35">
        <f>INDEX(M$263:M$279,$F1267)*$D1267*INDEX(M$23:M$30,$E1267)</f>
        <v/>
      </c>
      <c r="N1267" s="35">
        <f>INDEX(N$263:N$279,$F1267)*$D1267*INDEX(N$23:N$30,$E1267)</f>
        <v/>
      </c>
      <c r="O1267" s="35">
        <f>INDEX(O$263:O$279,$F1267)*$D1267*INDEX(O$23:O$30,$E1267)</f>
        <v/>
      </c>
      <c r="P1267" s="35">
        <f>INDEX(P$263:P$279,$F1267)*$D1267*INDEX(P$23:P$30,$E1267)</f>
        <v/>
      </c>
      <c r="Q1267" s="35">
        <f>INDEX(Q$263:Q$279,$F1267)*$D1267*INDEX(Q$23:Q$30,$E1267)</f>
        <v/>
      </c>
      <c r="R1267" s="35">
        <f>INDEX(R$263:R$279,$F1267)*$D1267*INDEX(R$23:R$30,$E1267)</f>
        <v/>
      </c>
      <c r="S1267" s="35">
        <f>INDEX(S$263:S$279,$F1267)*$D1267*INDEX(S$23:S$30,$E1267)</f>
        <v/>
      </c>
      <c r="T1267" s="35">
        <f>INDEX(T$263:T$279,$F1267)*$D1267*INDEX(T$23:T$30,$E1267)</f>
        <v/>
      </c>
      <c r="U1267" s="35">
        <f>INDEX(U$263:U$279,$F1267)*$D1267*INDEX(U$23:U$30,$E1267)</f>
        <v/>
      </c>
      <c r="V1267" s="35">
        <f>INDEX(V$263:V$279,$F1267)*$D1267*INDEX(V$23:V$30,$E1267)</f>
        <v/>
      </c>
      <c r="W1267" s="35">
        <f>INDEX(W$263:W$279,$F1267)*$D1267*INDEX(W$23:W$30,$E1267)</f>
        <v/>
      </c>
      <c r="X1267" s="35">
        <f>INDEX(X$263:X$279,$F1267)*$D1267*INDEX(X$23:X$30,$E1267)</f>
        <v/>
      </c>
      <c r="Y1267" s="35">
        <f>INDEX(Y$263:Y$279,$F1267)*$D1267*INDEX(Y$23:Y$30,$E1267)</f>
        <v/>
      </c>
      <c r="Z1267" s="35">
        <f>INDEX(Z$263:Z$279,$F1267)*$D1267*INDEX(Z$23:Z$30,$E1267)</f>
        <v/>
      </c>
      <c r="AA1267" s="35">
        <f>INDEX(AA$263:AA$279,$F1267)*$D1267*INDEX(AA$23:AA$30,$E1267)</f>
        <v/>
      </c>
      <c r="AB1267" s="35">
        <f>INDEX(AB$263:AB$279,$F1267)*$D1267*INDEX(AB$23:AB$30,$E1267)</f>
        <v/>
      </c>
      <c r="AC1267" s="35">
        <f>INDEX(AC$263:AC$279,$F1267)*$D1267*INDEX(AC$23:AC$30,$E1267)</f>
        <v/>
      </c>
      <c r="AD1267" s="35">
        <f>INDEX(AD$263:AD$279,$F1267)*$D1267*INDEX(AD$23:AD$30,$E1267)</f>
        <v/>
      </c>
      <c r="AE1267" s="42">
        <f>CARBONTAX(INDEX(AE$263:AE$279,$F1267),$D1267,INDEX(AE$23:AE$30,$E1267))</f>
        <v/>
      </c>
      <c r="AG1267" s="11">
        <f>CodePrefix&amp;$A1267&amp;IF($C1267="","","."&amp;$C1267&amp;"."&amp;$B1267)&amp;INDEX(VarEnd,MATCH($A1267,VarKey,0))&amp;AG$5</f>
        <v/>
      </c>
      <c r="AH1267" s="40">
        <f>INDEX(AH$263:AH$279,$F1267)*$D1267*INDEX(AH$23:AH$30,$E1267)</f>
        <v/>
      </c>
      <c r="AI1267" s="35">
        <f>INDEX(AI$263:AI$279,$F1267)*$D1267*INDEX(AI$23:AI$30,$E1267)</f>
        <v/>
      </c>
      <c r="AJ1267" s="35">
        <f>INDEX(AJ$263:AJ$279,$F1267)*$D1267*INDEX(AJ$23:AJ$30,$E1267)</f>
        <v/>
      </c>
      <c r="AK1267" s="35">
        <f>INDEX(AK$263:AK$279,$F1267)*$D1267*INDEX(AK$23:AK$30,$E1267)</f>
        <v/>
      </c>
      <c r="AL1267" s="35">
        <f>INDEX(AL$263:AL$279,$F1267)*$D1267*INDEX(AL$23:AL$30,$E1267)</f>
        <v/>
      </c>
      <c r="AM1267" s="35">
        <f>INDEX(AM$263:AM$279,$F1267)*$D1267*INDEX(AM$23:AM$30,$E1267)</f>
        <v/>
      </c>
      <c r="AN1267" s="35">
        <f>INDEX(AN$263:AN$279,$F1267)*$D1267*INDEX(AN$23:AN$30,$E1267)</f>
        <v/>
      </c>
      <c r="AO1267" s="35">
        <f>INDEX(AO$263:AO$279,$F1267)*$D1267*INDEX(AO$23:AO$30,$E1267)</f>
        <v/>
      </c>
      <c r="AP1267" s="35">
        <f>INDEX(AP$263:AP$279,$F1267)*$D1267*INDEX(AP$23:AP$30,$E1267)</f>
        <v/>
      </c>
      <c r="AQ1267" s="35">
        <f>INDEX(AQ$263:AQ$279,$F1267)*$D1267*INDEX(AQ$23:AQ$30,$E1267)</f>
        <v/>
      </c>
      <c r="AR1267" s="35">
        <f>INDEX(AR$263:AR$279,$F1267)*$D1267*INDEX(AR$23:AR$30,$E1267)</f>
        <v/>
      </c>
      <c r="AS1267" s="35">
        <f>INDEX(AS$263:AS$279,$F1267)*$D1267*INDEX(AS$23:AS$30,$E1267)</f>
        <v/>
      </c>
      <c r="AT1267" s="35">
        <f>INDEX(AT$263:AT$279,$F1267)*$D1267*INDEX(AT$23:AT$30,$E1267)</f>
        <v/>
      </c>
      <c r="AU1267" s="35">
        <f>INDEX(AU$263:AU$279,$F1267)*$D1267*INDEX(AU$23:AU$30,$E1267)</f>
        <v/>
      </c>
      <c r="AV1267" s="35">
        <f>INDEX(AV$263:AV$279,$F1267)*$D1267*INDEX(AV$23:AV$30,$E1267)</f>
        <v/>
      </c>
      <c r="AW1267" s="35">
        <f>INDEX(AW$263:AW$279,$F1267)*$D1267*INDEX(AW$23:AW$30,$E1267)</f>
        <v/>
      </c>
      <c r="AX1267" s="35">
        <f>INDEX(AX$263:AX$279,$F1267)*$D1267*INDEX(AX$23:AX$30,$E1267)</f>
        <v/>
      </c>
      <c r="AY1267" s="35">
        <f>INDEX(AY$263:AY$279,$F1267)*$D1267*INDEX(AY$23:AY$30,$E1267)</f>
        <v/>
      </c>
      <c r="AZ1267" s="35">
        <f>INDEX(AZ$263:AZ$279,$F1267)*$D1267*INDEX(AZ$23:AZ$30,$E1267)</f>
        <v/>
      </c>
      <c r="BA1267" s="42">
        <f>CARBONTAX(INDEX(BA$263:BA$279,$F1267),$D1267,INDEX(BA$23:BA$30,$E1267))</f>
        <v/>
      </c>
    </row>
    <row r="1268" hidden="1" outlineLevel="2">
      <c r="A1268" s="14" t="inlineStr">
        <is>
          <t>ctxnew</t>
        </is>
      </c>
      <c r="B1268" s="14" t="inlineStr">
        <is>
          <t>ker</t>
        </is>
      </c>
      <c r="C1268" s="14" t="inlineStr">
        <is>
          <t>avi</t>
        </is>
      </c>
      <c r="D1268" s="35">
        <f>INDEX(Inputs!$W$5:$W$132,MATCH($B1268&amp;"|"&amp;$C1268,Inputs!$A$5:$A$132,0))</f>
        <v/>
      </c>
      <c r="E1268" s="35">
        <f>INDEX(Inputs!$L$5:$L$132,MATCH($B1268&amp;"|"&amp;$C1268,Inputs!$A$5:$A$132,0))</f>
        <v/>
      </c>
      <c r="F1268" s="35">
        <f>INDEX(Inputs!$M$5:$M$132,MATCH($B1268&amp;"|"&amp;$C1268,Inputs!$A$5:$A$132,0))</f>
        <v/>
      </c>
      <c r="G1268" s="39" t="n"/>
      <c r="H1268" s="14">
        <f>INDEX(VarLab,MATCH($A1268,VarKey,0))&amp;INDEX(MemLab,MATCH($C1268&amp;"|"&amp;$B1268,MemKey,0))</f>
        <v/>
      </c>
      <c r="I1268" s="14">
        <f>INDEX(VarUnit,MATCH($A1268,VarKey,0))</f>
        <v/>
      </c>
      <c r="J1268" s="14">
        <f>INDEX(VarSrc,MATCH($A1268,VarKey,0))</f>
        <v/>
      </c>
      <c r="K1268" s="11">
        <f>CodePrefix&amp;$A1268&amp;IF($C1268="","","."&amp;$C1268&amp;"."&amp;$B1268)&amp;INDEX(VarEnd,MATCH($A1268,VarKey,0))&amp;K$5</f>
        <v/>
      </c>
      <c r="L1268" s="40">
        <f>INDEX(L$263:L$279,$F1268)*$D1268*INDEX(L$23:L$30,$E1268)</f>
        <v/>
      </c>
      <c r="M1268" s="35">
        <f>INDEX(M$263:M$279,$F1268)*$D1268*INDEX(M$23:M$30,$E1268)</f>
        <v/>
      </c>
      <c r="N1268" s="35">
        <f>INDEX(N$263:N$279,$F1268)*$D1268*INDEX(N$23:N$30,$E1268)</f>
        <v/>
      </c>
      <c r="O1268" s="35">
        <f>INDEX(O$263:O$279,$F1268)*$D1268*INDEX(O$23:O$30,$E1268)</f>
        <v/>
      </c>
      <c r="P1268" s="35">
        <f>INDEX(P$263:P$279,$F1268)*$D1268*INDEX(P$23:P$30,$E1268)</f>
        <v/>
      </c>
      <c r="Q1268" s="35">
        <f>INDEX(Q$263:Q$279,$F1268)*$D1268*INDEX(Q$23:Q$30,$E1268)</f>
        <v/>
      </c>
      <c r="R1268" s="35">
        <f>INDEX(R$263:R$279,$F1268)*$D1268*INDEX(R$23:R$30,$E1268)</f>
        <v/>
      </c>
      <c r="S1268" s="35">
        <f>INDEX(S$263:S$279,$F1268)*$D1268*INDEX(S$23:S$30,$E1268)</f>
        <v/>
      </c>
      <c r="T1268" s="35">
        <f>INDEX(T$263:T$279,$F1268)*$D1268*INDEX(T$23:T$30,$E1268)</f>
        <v/>
      </c>
      <c r="U1268" s="35">
        <f>INDEX(U$263:U$279,$F1268)*$D1268*INDEX(U$23:U$30,$E1268)</f>
        <v/>
      </c>
      <c r="V1268" s="35">
        <f>INDEX(V$263:V$279,$F1268)*$D1268*INDEX(V$23:V$30,$E1268)</f>
        <v/>
      </c>
      <c r="W1268" s="35">
        <f>INDEX(W$263:W$279,$F1268)*$D1268*INDEX(W$23:W$30,$E1268)</f>
        <v/>
      </c>
      <c r="X1268" s="35">
        <f>INDEX(X$263:X$279,$F1268)*$D1268*INDEX(X$23:X$30,$E1268)</f>
        <v/>
      </c>
      <c r="Y1268" s="35">
        <f>INDEX(Y$263:Y$279,$F1268)*$D1268*INDEX(Y$23:Y$30,$E1268)</f>
        <v/>
      </c>
      <c r="Z1268" s="35">
        <f>INDEX(Z$263:Z$279,$F1268)*$D1268*INDEX(Z$23:Z$30,$E1268)</f>
        <v/>
      </c>
      <c r="AA1268" s="35">
        <f>INDEX(AA$263:AA$279,$F1268)*$D1268*INDEX(AA$23:AA$30,$E1268)</f>
        <v/>
      </c>
      <c r="AB1268" s="35">
        <f>INDEX(AB$263:AB$279,$F1268)*$D1268*INDEX(AB$23:AB$30,$E1268)</f>
        <v/>
      </c>
      <c r="AC1268" s="35">
        <f>INDEX(AC$263:AC$279,$F1268)*$D1268*INDEX(AC$23:AC$30,$E1268)</f>
        <v/>
      </c>
      <c r="AD1268" s="35">
        <f>INDEX(AD$263:AD$279,$F1268)*$D1268*INDEX(AD$23:AD$30,$E1268)</f>
        <v/>
      </c>
      <c r="AE1268" s="42">
        <f>CARBONTAX(INDEX(AE$263:AE$279,$F1268),$D1268,INDEX(AE$23:AE$30,$E1268))</f>
        <v/>
      </c>
      <c r="AG1268" s="11">
        <f>CodePrefix&amp;$A1268&amp;IF($C1268="","","."&amp;$C1268&amp;"."&amp;$B1268)&amp;INDEX(VarEnd,MATCH($A1268,VarKey,0))&amp;AG$5</f>
        <v/>
      </c>
      <c r="AH1268" s="40">
        <f>INDEX(AH$263:AH$279,$F1268)*$D1268*INDEX(AH$23:AH$30,$E1268)</f>
        <v/>
      </c>
      <c r="AI1268" s="35">
        <f>INDEX(AI$263:AI$279,$F1268)*$D1268*INDEX(AI$23:AI$30,$E1268)</f>
        <v/>
      </c>
      <c r="AJ1268" s="35">
        <f>INDEX(AJ$263:AJ$279,$F1268)*$D1268*INDEX(AJ$23:AJ$30,$E1268)</f>
        <v/>
      </c>
      <c r="AK1268" s="35">
        <f>INDEX(AK$263:AK$279,$F1268)*$D1268*INDEX(AK$23:AK$30,$E1268)</f>
        <v/>
      </c>
      <c r="AL1268" s="35">
        <f>INDEX(AL$263:AL$279,$F1268)*$D1268*INDEX(AL$23:AL$30,$E1268)</f>
        <v/>
      </c>
      <c r="AM1268" s="35">
        <f>INDEX(AM$263:AM$279,$F1268)*$D1268*INDEX(AM$23:AM$30,$E1268)</f>
        <v/>
      </c>
      <c r="AN1268" s="35">
        <f>INDEX(AN$263:AN$279,$F1268)*$D1268*INDEX(AN$23:AN$30,$E1268)</f>
        <v/>
      </c>
      <c r="AO1268" s="35">
        <f>INDEX(AO$263:AO$279,$F1268)*$D1268*INDEX(AO$23:AO$30,$E1268)</f>
        <v/>
      </c>
      <c r="AP1268" s="35">
        <f>INDEX(AP$263:AP$279,$F1268)*$D1268*INDEX(AP$23:AP$30,$E1268)</f>
        <v/>
      </c>
      <c r="AQ1268" s="35">
        <f>INDEX(AQ$263:AQ$279,$F1268)*$D1268*INDEX(AQ$23:AQ$30,$E1268)</f>
        <v/>
      </c>
      <c r="AR1268" s="35">
        <f>INDEX(AR$263:AR$279,$F1268)*$D1268*INDEX(AR$23:AR$30,$E1268)</f>
        <v/>
      </c>
      <c r="AS1268" s="35">
        <f>INDEX(AS$263:AS$279,$F1268)*$D1268*INDEX(AS$23:AS$30,$E1268)</f>
        <v/>
      </c>
      <c r="AT1268" s="35">
        <f>INDEX(AT$263:AT$279,$F1268)*$D1268*INDEX(AT$23:AT$30,$E1268)</f>
        <v/>
      </c>
      <c r="AU1268" s="35">
        <f>INDEX(AU$263:AU$279,$F1268)*$D1268*INDEX(AU$23:AU$30,$E1268)</f>
        <v/>
      </c>
      <c r="AV1268" s="35">
        <f>INDEX(AV$263:AV$279,$F1268)*$D1268*INDEX(AV$23:AV$30,$E1268)</f>
        <v/>
      </c>
      <c r="AW1268" s="35">
        <f>INDEX(AW$263:AW$279,$F1268)*$D1268*INDEX(AW$23:AW$30,$E1268)</f>
        <v/>
      </c>
      <c r="AX1268" s="35">
        <f>INDEX(AX$263:AX$279,$F1268)*$D1268*INDEX(AX$23:AX$30,$E1268)</f>
        <v/>
      </c>
      <c r="AY1268" s="35">
        <f>INDEX(AY$263:AY$279,$F1268)*$D1268*INDEX(AY$23:AY$30,$E1268)</f>
        <v/>
      </c>
      <c r="AZ1268" s="35">
        <f>INDEX(AZ$263:AZ$279,$F1268)*$D1268*INDEX(AZ$23:AZ$30,$E1268)</f>
        <v/>
      </c>
      <c r="BA1268" s="42">
        <f>CARBONTAX(INDEX(BA$263:BA$279,$F1268),$D1268,INDEX(BA$23:BA$30,$E1268))</f>
        <v/>
      </c>
    </row>
    <row r="1269" hidden="1" outlineLevel="2">
      <c r="A1269" s="14" t="inlineStr">
        <is>
          <t>ctxnew</t>
        </is>
      </c>
      <c r="B1269" s="14" t="inlineStr">
        <is>
          <t>oop</t>
        </is>
      </c>
      <c r="C1269" s="14" t="inlineStr">
        <is>
          <t>avi</t>
        </is>
      </c>
      <c r="D1269" s="35">
        <f>INDEX(Inputs!$W$5:$W$132,MATCH($B1269&amp;"|"&amp;$C1269,Inputs!$A$5:$A$132,0))</f>
        <v/>
      </c>
      <c r="E1269" s="35">
        <f>INDEX(Inputs!$L$5:$L$132,MATCH($B1269&amp;"|"&amp;$C1269,Inputs!$A$5:$A$132,0))</f>
        <v/>
      </c>
      <c r="F1269" s="35">
        <f>INDEX(Inputs!$M$5:$M$132,MATCH($B1269&amp;"|"&amp;$C1269,Inputs!$A$5:$A$132,0))</f>
        <v/>
      </c>
      <c r="G1269" s="39" t="n"/>
      <c r="H1269" s="14">
        <f>INDEX(VarLab,MATCH($A1269,VarKey,0))&amp;INDEX(MemLab,MATCH($C1269&amp;"|"&amp;$B1269,MemKey,0))</f>
        <v/>
      </c>
      <c r="I1269" s="14">
        <f>INDEX(VarUnit,MATCH($A1269,VarKey,0))</f>
        <v/>
      </c>
      <c r="J1269" s="14">
        <f>INDEX(VarSrc,MATCH($A1269,VarKey,0))</f>
        <v/>
      </c>
      <c r="K1269" s="11">
        <f>CodePrefix&amp;$A1269&amp;IF($C1269="","","."&amp;$C1269&amp;"."&amp;$B1269)&amp;INDEX(VarEnd,MATCH($A1269,VarKey,0))&amp;K$5</f>
        <v/>
      </c>
      <c r="L1269" s="40">
        <f>INDEX(L$263:L$279,$F1269)*$D1269*INDEX(L$23:L$30,$E1269)</f>
        <v/>
      </c>
      <c r="M1269" s="35">
        <f>INDEX(M$263:M$279,$F1269)*$D1269*INDEX(M$23:M$30,$E1269)</f>
        <v/>
      </c>
      <c r="N1269" s="35">
        <f>INDEX(N$263:N$279,$F1269)*$D1269*INDEX(N$23:N$30,$E1269)</f>
        <v/>
      </c>
      <c r="O1269" s="35">
        <f>INDEX(O$263:O$279,$F1269)*$D1269*INDEX(O$23:O$30,$E1269)</f>
        <v/>
      </c>
      <c r="P1269" s="35">
        <f>INDEX(P$263:P$279,$F1269)*$D1269*INDEX(P$23:P$30,$E1269)</f>
        <v/>
      </c>
      <c r="Q1269" s="35">
        <f>INDEX(Q$263:Q$279,$F1269)*$D1269*INDEX(Q$23:Q$30,$E1269)</f>
        <v/>
      </c>
      <c r="R1269" s="35">
        <f>INDEX(R$263:R$279,$F1269)*$D1269*INDEX(R$23:R$30,$E1269)</f>
        <v/>
      </c>
      <c r="S1269" s="35">
        <f>INDEX(S$263:S$279,$F1269)*$D1269*INDEX(S$23:S$30,$E1269)</f>
        <v/>
      </c>
      <c r="T1269" s="35">
        <f>INDEX(T$263:T$279,$F1269)*$D1269*INDEX(T$23:T$30,$E1269)</f>
        <v/>
      </c>
      <c r="U1269" s="35">
        <f>INDEX(U$263:U$279,$F1269)*$D1269*INDEX(U$23:U$30,$E1269)</f>
        <v/>
      </c>
      <c r="V1269" s="35">
        <f>INDEX(V$263:V$279,$F1269)*$D1269*INDEX(V$23:V$30,$E1269)</f>
        <v/>
      </c>
      <c r="W1269" s="35">
        <f>INDEX(W$263:W$279,$F1269)*$D1269*INDEX(W$23:W$30,$E1269)</f>
        <v/>
      </c>
      <c r="X1269" s="35">
        <f>INDEX(X$263:X$279,$F1269)*$D1269*INDEX(X$23:X$30,$E1269)</f>
        <v/>
      </c>
      <c r="Y1269" s="35">
        <f>INDEX(Y$263:Y$279,$F1269)*$D1269*INDEX(Y$23:Y$30,$E1269)</f>
        <v/>
      </c>
      <c r="Z1269" s="35">
        <f>INDEX(Z$263:Z$279,$F1269)*$D1269*INDEX(Z$23:Z$30,$E1269)</f>
        <v/>
      </c>
      <c r="AA1269" s="35">
        <f>INDEX(AA$263:AA$279,$F1269)*$D1269*INDEX(AA$23:AA$30,$E1269)</f>
        <v/>
      </c>
      <c r="AB1269" s="35">
        <f>INDEX(AB$263:AB$279,$F1269)*$D1269*INDEX(AB$23:AB$30,$E1269)</f>
        <v/>
      </c>
      <c r="AC1269" s="35">
        <f>INDEX(AC$263:AC$279,$F1269)*$D1269*INDEX(AC$23:AC$30,$E1269)</f>
        <v/>
      </c>
      <c r="AD1269" s="35">
        <f>INDEX(AD$263:AD$279,$F1269)*$D1269*INDEX(AD$23:AD$30,$E1269)</f>
        <v/>
      </c>
      <c r="AE1269" s="42">
        <f>CARBONTAX(INDEX(AE$263:AE$279,$F1269),$D1269,INDEX(AE$23:AE$30,$E1269))</f>
        <v/>
      </c>
      <c r="AG1269" s="11">
        <f>CodePrefix&amp;$A1269&amp;IF($C1269="","","."&amp;$C1269&amp;"."&amp;$B1269)&amp;INDEX(VarEnd,MATCH($A1269,VarKey,0))&amp;AG$5</f>
        <v/>
      </c>
      <c r="AH1269" s="40">
        <f>INDEX(AH$263:AH$279,$F1269)*$D1269*INDEX(AH$23:AH$30,$E1269)</f>
        <v/>
      </c>
      <c r="AI1269" s="35">
        <f>INDEX(AI$263:AI$279,$F1269)*$D1269*INDEX(AI$23:AI$30,$E1269)</f>
        <v/>
      </c>
      <c r="AJ1269" s="35">
        <f>INDEX(AJ$263:AJ$279,$F1269)*$D1269*INDEX(AJ$23:AJ$30,$E1269)</f>
        <v/>
      </c>
      <c r="AK1269" s="35">
        <f>INDEX(AK$263:AK$279,$F1269)*$D1269*INDEX(AK$23:AK$30,$E1269)</f>
        <v/>
      </c>
      <c r="AL1269" s="35">
        <f>INDEX(AL$263:AL$279,$F1269)*$D1269*INDEX(AL$23:AL$30,$E1269)</f>
        <v/>
      </c>
      <c r="AM1269" s="35">
        <f>INDEX(AM$263:AM$279,$F1269)*$D1269*INDEX(AM$23:AM$30,$E1269)</f>
        <v/>
      </c>
      <c r="AN1269" s="35">
        <f>INDEX(AN$263:AN$279,$F1269)*$D1269*INDEX(AN$23:AN$30,$E1269)</f>
        <v/>
      </c>
      <c r="AO1269" s="35">
        <f>INDEX(AO$263:AO$279,$F1269)*$D1269*INDEX(AO$23:AO$30,$E1269)</f>
        <v/>
      </c>
      <c r="AP1269" s="35">
        <f>INDEX(AP$263:AP$279,$F1269)*$D1269*INDEX(AP$23:AP$30,$E1269)</f>
        <v/>
      </c>
      <c r="AQ1269" s="35">
        <f>INDEX(AQ$263:AQ$279,$F1269)*$D1269*INDEX(AQ$23:AQ$30,$E1269)</f>
        <v/>
      </c>
      <c r="AR1269" s="35">
        <f>INDEX(AR$263:AR$279,$F1269)*$D1269*INDEX(AR$23:AR$30,$E1269)</f>
        <v/>
      </c>
      <c r="AS1269" s="35">
        <f>INDEX(AS$263:AS$279,$F1269)*$D1269*INDEX(AS$23:AS$30,$E1269)</f>
        <v/>
      </c>
      <c r="AT1269" s="35">
        <f>INDEX(AT$263:AT$279,$F1269)*$D1269*INDEX(AT$23:AT$30,$E1269)</f>
        <v/>
      </c>
      <c r="AU1269" s="35">
        <f>INDEX(AU$263:AU$279,$F1269)*$D1269*INDEX(AU$23:AU$30,$E1269)</f>
        <v/>
      </c>
      <c r="AV1269" s="35">
        <f>INDEX(AV$263:AV$279,$F1269)*$D1269*INDEX(AV$23:AV$30,$E1269)</f>
        <v/>
      </c>
      <c r="AW1269" s="35">
        <f>INDEX(AW$263:AW$279,$F1269)*$D1269*INDEX(AW$23:AW$30,$E1269)</f>
        <v/>
      </c>
      <c r="AX1269" s="35">
        <f>INDEX(AX$263:AX$279,$F1269)*$D1269*INDEX(AX$23:AX$30,$E1269)</f>
        <v/>
      </c>
      <c r="AY1269" s="35">
        <f>INDEX(AY$263:AY$279,$F1269)*$D1269*INDEX(AY$23:AY$30,$E1269)</f>
        <v/>
      </c>
      <c r="AZ1269" s="35">
        <f>INDEX(AZ$263:AZ$279,$F1269)*$D1269*INDEX(AZ$23:AZ$30,$E1269)</f>
        <v/>
      </c>
      <c r="BA1269" s="42">
        <f>CARBONTAX(INDEX(BA$263:BA$279,$F1269),$D1269,INDEX(BA$23:BA$30,$E1269))</f>
        <v/>
      </c>
    </row>
    <row r="1270" hidden="1" outlineLevel="2">
      <c r="A1270" s="14" t="inlineStr">
        <is>
          <t>ctxnew</t>
        </is>
      </c>
      <c r="B1270" s="14" t="inlineStr">
        <is>
          <t>bio</t>
        </is>
      </c>
      <c r="C1270" s="14" t="inlineStr">
        <is>
          <t>avi</t>
        </is>
      </c>
      <c r="D1270" s="35">
        <f>INDEX(Inputs!$W$5:$W$132,MATCH($B1270&amp;"|"&amp;$C1270,Inputs!$A$5:$A$132,0))</f>
        <v/>
      </c>
      <c r="E1270" s="35">
        <f>INDEX(Inputs!$L$5:$L$132,MATCH($B1270&amp;"|"&amp;$C1270,Inputs!$A$5:$A$132,0))</f>
        <v/>
      </c>
      <c r="F1270" s="35">
        <f>INDEX(Inputs!$M$5:$M$132,MATCH($B1270&amp;"|"&amp;$C1270,Inputs!$A$5:$A$132,0))</f>
        <v/>
      </c>
      <c r="G1270" s="39" t="n"/>
      <c r="H1270" s="14">
        <f>INDEX(VarLab,MATCH($A1270,VarKey,0))&amp;INDEX(MemLab,MATCH($C1270&amp;"|"&amp;$B1270,MemKey,0))</f>
        <v/>
      </c>
      <c r="I1270" s="14">
        <f>INDEX(VarUnit,MATCH($A1270,VarKey,0))</f>
        <v/>
      </c>
      <c r="J1270" s="14">
        <f>INDEX(VarSrc,MATCH($A1270,VarKey,0))</f>
        <v/>
      </c>
      <c r="K1270" s="11">
        <f>CodePrefix&amp;$A1270&amp;IF($C1270="","","."&amp;$C1270&amp;"."&amp;$B1270)&amp;INDEX(VarEnd,MATCH($A1270,VarKey,0))&amp;K$5</f>
        <v/>
      </c>
      <c r="L1270" s="40">
        <f>INDEX(L$263:L$279,$F1270)*$D1270*INDEX(L$23:L$30,$E1270)</f>
        <v/>
      </c>
      <c r="M1270" s="35">
        <f>INDEX(M$263:M$279,$F1270)*$D1270*INDEX(M$23:M$30,$E1270)</f>
        <v/>
      </c>
      <c r="N1270" s="35">
        <f>INDEX(N$263:N$279,$F1270)*$D1270*INDEX(N$23:N$30,$E1270)</f>
        <v/>
      </c>
      <c r="O1270" s="35">
        <f>INDEX(O$263:O$279,$F1270)*$D1270*INDEX(O$23:O$30,$E1270)</f>
        <v/>
      </c>
      <c r="P1270" s="35">
        <f>INDEX(P$263:P$279,$F1270)*$D1270*INDEX(P$23:P$30,$E1270)</f>
        <v/>
      </c>
      <c r="Q1270" s="35">
        <f>INDEX(Q$263:Q$279,$F1270)*$D1270*INDEX(Q$23:Q$30,$E1270)</f>
        <v/>
      </c>
      <c r="R1270" s="35">
        <f>INDEX(R$263:R$279,$F1270)*$D1270*INDEX(R$23:R$30,$E1270)</f>
        <v/>
      </c>
      <c r="S1270" s="35">
        <f>INDEX(S$263:S$279,$F1270)*$D1270*INDEX(S$23:S$30,$E1270)</f>
        <v/>
      </c>
      <c r="T1270" s="35">
        <f>INDEX(T$263:T$279,$F1270)*$D1270*INDEX(T$23:T$30,$E1270)</f>
        <v/>
      </c>
      <c r="U1270" s="35">
        <f>INDEX(U$263:U$279,$F1270)*$D1270*INDEX(U$23:U$30,$E1270)</f>
        <v/>
      </c>
      <c r="V1270" s="35">
        <f>INDEX(V$263:V$279,$F1270)*$D1270*INDEX(V$23:V$30,$E1270)</f>
        <v/>
      </c>
      <c r="W1270" s="35">
        <f>INDEX(W$263:W$279,$F1270)*$D1270*INDEX(W$23:W$30,$E1270)</f>
        <v/>
      </c>
      <c r="X1270" s="35">
        <f>INDEX(X$263:X$279,$F1270)*$D1270*INDEX(X$23:X$30,$E1270)</f>
        <v/>
      </c>
      <c r="Y1270" s="35">
        <f>INDEX(Y$263:Y$279,$F1270)*$D1270*INDEX(Y$23:Y$30,$E1270)</f>
        <v/>
      </c>
      <c r="Z1270" s="35">
        <f>INDEX(Z$263:Z$279,$F1270)*$D1270*INDEX(Z$23:Z$30,$E1270)</f>
        <v/>
      </c>
      <c r="AA1270" s="35">
        <f>INDEX(AA$263:AA$279,$F1270)*$D1270*INDEX(AA$23:AA$30,$E1270)</f>
        <v/>
      </c>
      <c r="AB1270" s="35">
        <f>INDEX(AB$263:AB$279,$F1270)*$D1270*INDEX(AB$23:AB$30,$E1270)</f>
        <v/>
      </c>
      <c r="AC1270" s="35">
        <f>INDEX(AC$263:AC$279,$F1270)*$D1270*INDEX(AC$23:AC$30,$E1270)</f>
        <v/>
      </c>
      <c r="AD1270" s="35">
        <f>INDEX(AD$263:AD$279,$F1270)*$D1270*INDEX(AD$23:AD$30,$E1270)</f>
        <v/>
      </c>
      <c r="AE1270" s="42">
        <f>CARBONTAX(INDEX(AE$263:AE$279,$F1270),$D1270,INDEX(AE$23:AE$30,$E1270))</f>
        <v/>
      </c>
      <c r="AG1270" s="11">
        <f>CodePrefix&amp;$A1270&amp;IF($C1270="","","."&amp;$C1270&amp;"."&amp;$B1270)&amp;INDEX(VarEnd,MATCH($A1270,VarKey,0))&amp;AG$5</f>
        <v/>
      </c>
      <c r="AH1270" s="40">
        <f>INDEX(AH$263:AH$279,$F1270)*$D1270*INDEX(AH$23:AH$30,$E1270)</f>
        <v/>
      </c>
      <c r="AI1270" s="35">
        <f>INDEX(AI$263:AI$279,$F1270)*$D1270*INDEX(AI$23:AI$30,$E1270)</f>
        <v/>
      </c>
      <c r="AJ1270" s="35">
        <f>INDEX(AJ$263:AJ$279,$F1270)*$D1270*INDEX(AJ$23:AJ$30,$E1270)</f>
        <v/>
      </c>
      <c r="AK1270" s="35">
        <f>INDEX(AK$263:AK$279,$F1270)*$D1270*INDEX(AK$23:AK$30,$E1270)</f>
        <v/>
      </c>
      <c r="AL1270" s="35">
        <f>INDEX(AL$263:AL$279,$F1270)*$D1270*INDEX(AL$23:AL$30,$E1270)</f>
        <v/>
      </c>
      <c r="AM1270" s="35">
        <f>INDEX(AM$263:AM$279,$F1270)*$D1270*INDEX(AM$23:AM$30,$E1270)</f>
        <v/>
      </c>
      <c r="AN1270" s="35">
        <f>INDEX(AN$263:AN$279,$F1270)*$D1270*INDEX(AN$23:AN$30,$E1270)</f>
        <v/>
      </c>
      <c r="AO1270" s="35">
        <f>INDEX(AO$263:AO$279,$F1270)*$D1270*INDEX(AO$23:AO$30,$E1270)</f>
        <v/>
      </c>
      <c r="AP1270" s="35">
        <f>INDEX(AP$263:AP$279,$F1270)*$D1270*INDEX(AP$23:AP$30,$E1270)</f>
        <v/>
      </c>
      <c r="AQ1270" s="35">
        <f>INDEX(AQ$263:AQ$279,$F1270)*$D1270*INDEX(AQ$23:AQ$30,$E1270)</f>
        <v/>
      </c>
      <c r="AR1270" s="35">
        <f>INDEX(AR$263:AR$279,$F1270)*$D1270*INDEX(AR$23:AR$30,$E1270)</f>
        <v/>
      </c>
      <c r="AS1270" s="35">
        <f>INDEX(AS$263:AS$279,$F1270)*$D1270*INDEX(AS$23:AS$30,$E1270)</f>
        <v/>
      </c>
      <c r="AT1270" s="35">
        <f>INDEX(AT$263:AT$279,$F1270)*$D1270*INDEX(AT$23:AT$30,$E1270)</f>
        <v/>
      </c>
      <c r="AU1270" s="35">
        <f>INDEX(AU$263:AU$279,$F1270)*$D1270*INDEX(AU$23:AU$30,$E1270)</f>
        <v/>
      </c>
      <c r="AV1270" s="35">
        <f>INDEX(AV$263:AV$279,$F1270)*$D1270*INDEX(AV$23:AV$30,$E1270)</f>
        <v/>
      </c>
      <c r="AW1270" s="35">
        <f>INDEX(AW$263:AW$279,$F1270)*$D1270*INDEX(AW$23:AW$30,$E1270)</f>
        <v/>
      </c>
      <c r="AX1270" s="35">
        <f>INDEX(AX$263:AX$279,$F1270)*$D1270*INDEX(AX$23:AX$30,$E1270)</f>
        <v/>
      </c>
      <c r="AY1270" s="35">
        <f>INDEX(AY$263:AY$279,$F1270)*$D1270*INDEX(AY$23:AY$30,$E1270)</f>
        <v/>
      </c>
      <c r="AZ1270" s="35">
        <f>INDEX(AZ$263:AZ$279,$F1270)*$D1270*INDEX(AZ$23:AZ$30,$E1270)</f>
        <v/>
      </c>
      <c r="BA1270" s="42">
        <f>CARBONTAX(INDEX(BA$263:BA$279,$F1270),$D1270,INDEX(BA$23:BA$30,$E1270))</f>
        <v/>
      </c>
    </row>
    <row r="1271" hidden="1" outlineLevel="2"/>
    <row r="1272" hidden="1" outlineLevel="2">
      <c r="A1272" s="14" t="inlineStr">
        <is>
          <t>ets</t>
        </is>
      </c>
      <c r="B1272" s="14" t="inlineStr">
        <is>
          <t>coa</t>
        </is>
      </c>
      <c r="C1272" s="14" t="inlineStr">
        <is>
          <t>avi</t>
        </is>
      </c>
      <c r="D1272" s="35">
        <f>INDEX(Inputs!$W$5:$W$132,MATCH($B1272&amp;"|"&amp;$C1272,Inputs!$A$5:$A$132,0))</f>
        <v/>
      </c>
      <c r="E1272" s="35">
        <f>INDEX(Inputs!$M$5:$M$132,MATCH($B1272&amp;"|"&amp;$C1272,Inputs!$A$5:$A$132,0))</f>
        <v/>
      </c>
      <c r="F1272" s="39" t="n"/>
      <c r="G1272" s="39" t="n"/>
      <c r="H1272" s="14">
        <f>INDEX(VarLab,MATCH($A1272,VarKey,0))&amp;INDEX(MemLab,MATCH($C1272&amp;"|"&amp;$B1272,MemKey,0))</f>
        <v/>
      </c>
      <c r="I1272" s="14">
        <f>INDEX(VarUnit,MATCH($A1272,VarKey,0))</f>
        <v/>
      </c>
      <c r="J1272" s="14">
        <f>INDEX(VarSrc,MATCH($A1272,VarKey,0))</f>
        <v/>
      </c>
      <c r="K1272" s="11">
        <f>CodePrefix&amp;$A1272&amp;IF($C1272="","","."&amp;$C1272&amp;"."&amp;$B1272)&amp;INDEX(VarEnd,MATCH($A1272,VarKey,0))&amp;K$5</f>
        <v/>
      </c>
      <c r="L1272" s="40">
        <f>INDEX(L$280:L$296,$E1272)*$D1272</f>
        <v/>
      </c>
      <c r="M1272" s="35">
        <f>INDEX(M$280:M$296,$E1272)*$D1272</f>
        <v/>
      </c>
      <c r="N1272" s="35">
        <f>INDEX(N$280:N$296,$E1272)*$D1272</f>
        <v/>
      </c>
      <c r="O1272" s="35">
        <f>INDEX(O$280:O$296,$E1272)*$D1272</f>
        <v/>
      </c>
      <c r="P1272" s="35">
        <f>INDEX(P$280:P$296,$E1272)*$D1272</f>
        <v/>
      </c>
      <c r="Q1272" s="35">
        <f>INDEX(Q$280:Q$296,$E1272)*$D1272</f>
        <v/>
      </c>
      <c r="R1272" s="35">
        <f>INDEX(R$280:R$296,$E1272)*$D1272</f>
        <v/>
      </c>
      <c r="S1272" s="35">
        <f>INDEX(S$280:S$296,$E1272)*$D1272</f>
        <v/>
      </c>
      <c r="T1272" s="35">
        <f>INDEX(T$280:T$296,$E1272)*$D1272</f>
        <v/>
      </c>
      <c r="U1272" s="35">
        <f>INDEX(U$280:U$296,$E1272)*$D1272</f>
        <v/>
      </c>
      <c r="V1272" s="35">
        <f>INDEX(V$280:V$296,$E1272)*$D1272</f>
        <v/>
      </c>
      <c r="W1272" s="35">
        <f>INDEX(W$280:W$296,$E1272)*$D1272</f>
        <v/>
      </c>
      <c r="X1272" s="35">
        <f>INDEX(X$280:X$296,$E1272)*$D1272</f>
        <v/>
      </c>
      <c r="Y1272" s="35">
        <f>INDEX(Y$280:Y$296,$E1272)*$D1272</f>
        <v/>
      </c>
      <c r="Z1272" s="35">
        <f>INDEX(Z$280:Z$296,$E1272)*$D1272</f>
        <v/>
      </c>
      <c r="AA1272" s="35">
        <f>INDEX(AA$280:AA$296,$E1272)*$D1272</f>
        <v/>
      </c>
      <c r="AB1272" s="35">
        <f>INDEX(AB$280:AB$296,$E1272)*$D1272</f>
        <v/>
      </c>
      <c r="AC1272" s="35">
        <f>INDEX(AC$280:AC$296,$E1272)*$D1272</f>
        <v/>
      </c>
      <c r="AD1272" s="35">
        <f>INDEX(AD$280:AD$296,$E1272)*$D1272</f>
        <v/>
      </c>
      <c r="AE1272" s="42">
        <f>ETSCOST(INDEX(AE$280:AE$296,$E1272),$D1272)</f>
        <v/>
      </c>
      <c r="AG1272" s="11">
        <f>CodePrefix&amp;$A1272&amp;IF($C1272="","","."&amp;$C1272&amp;"."&amp;$B1272)&amp;INDEX(VarEnd,MATCH($A1272,VarKey,0))&amp;AG$5</f>
        <v/>
      </c>
      <c r="AH1272" s="40">
        <f>INDEX(AH$280:AH$296,$E1272)*$D1272</f>
        <v/>
      </c>
      <c r="AI1272" s="35">
        <f>INDEX(AI$280:AI$296,$E1272)*$D1272</f>
        <v/>
      </c>
      <c r="AJ1272" s="35">
        <f>INDEX(AJ$280:AJ$296,$E1272)*$D1272</f>
        <v/>
      </c>
      <c r="AK1272" s="35">
        <f>INDEX(AK$280:AK$296,$E1272)*$D1272</f>
        <v/>
      </c>
      <c r="AL1272" s="35">
        <f>INDEX(AL$280:AL$296,$E1272)*$D1272</f>
        <v/>
      </c>
      <c r="AM1272" s="35">
        <f>INDEX(AM$280:AM$296,$E1272)*$D1272</f>
        <v/>
      </c>
      <c r="AN1272" s="35">
        <f>INDEX(AN$280:AN$296,$E1272)*$D1272</f>
        <v/>
      </c>
      <c r="AO1272" s="35">
        <f>INDEX(AO$280:AO$296,$E1272)*$D1272</f>
        <v/>
      </c>
      <c r="AP1272" s="35">
        <f>INDEX(AP$280:AP$296,$E1272)*$D1272</f>
        <v/>
      </c>
      <c r="AQ1272" s="35">
        <f>INDEX(AQ$280:AQ$296,$E1272)*$D1272</f>
        <v/>
      </c>
      <c r="AR1272" s="35">
        <f>INDEX(AR$280:AR$296,$E1272)*$D1272</f>
        <v/>
      </c>
      <c r="AS1272" s="35">
        <f>INDEX(AS$280:AS$296,$E1272)*$D1272</f>
        <v/>
      </c>
      <c r="AT1272" s="35">
        <f>INDEX(AT$280:AT$296,$E1272)*$D1272</f>
        <v/>
      </c>
      <c r="AU1272" s="35">
        <f>INDEX(AU$280:AU$296,$E1272)*$D1272</f>
        <v/>
      </c>
      <c r="AV1272" s="35">
        <f>INDEX(AV$280:AV$296,$E1272)*$D1272</f>
        <v/>
      </c>
      <c r="AW1272" s="35">
        <f>INDEX(AW$280:AW$296,$E1272)*$D1272</f>
        <v/>
      </c>
      <c r="AX1272" s="35">
        <f>INDEX(AX$280:AX$296,$E1272)*$D1272</f>
        <v/>
      </c>
      <c r="AY1272" s="35">
        <f>INDEX(AY$280:AY$296,$E1272)*$D1272</f>
        <v/>
      </c>
      <c r="AZ1272" s="35">
        <f>INDEX(AZ$280:AZ$296,$E1272)*$D1272</f>
        <v/>
      </c>
      <c r="BA1272" s="42">
        <f>ETSCOST(INDEX(BA$280:BA$296,$E1272),$D1272)</f>
        <v/>
      </c>
    </row>
    <row r="1273" hidden="1" outlineLevel="2">
      <c r="A1273" s="14" t="inlineStr">
        <is>
          <t>ets</t>
        </is>
      </c>
      <c r="B1273" s="14" t="inlineStr">
        <is>
          <t>nga</t>
        </is>
      </c>
      <c r="C1273" s="14" t="inlineStr">
        <is>
          <t>avi</t>
        </is>
      </c>
      <c r="D1273" s="35">
        <f>INDEX(Inputs!$W$5:$W$132,MATCH($B1273&amp;"|"&amp;$C1273,Inputs!$A$5:$A$132,0))</f>
        <v/>
      </c>
      <c r="E1273" s="35">
        <f>INDEX(Inputs!$M$5:$M$132,MATCH($B1273&amp;"|"&amp;$C1273,Inputs!$A$5:$A$132,0))</f>
        <v/>
      </c>
      <c r="F1273" s="39" t="n"/>
      <c r="G1273" s="39" t="n"/>
      <c r="H1273" s="14">
        <f>INDEX(VarLab,MATCH($A1273,VarKey,0))&amp;INDEX(MemLab,MATCH($C1273&amp;"|"&amp;$B1273,MemKey,0))</f>
        <v/>
      </c>
      <c r="I1273" s="14">
        <f>INDEX(VarUnit,MATCH($A1273,VarKey,0))</f>
        <v/>
      </c>
      <c r="J1273" s="14">
        <f>INDEX(VarSrc,MATCH($A1273,VarKey,0))</f>
        <v/>
      </c>
      <c r="K1273" s="11">
        <f>CodePrefix&amp;$A1273&amp;IF($C1273="","","."&amp;$C1273&amp;"."&amp;$B1273)&amp;INDEX(VarEnd,MATCH($A1273,VarKey,0))&amp;K$5</f>
        <v/>
      </c>
      <c r="L1273" s="40">
        <f>INDEX(L$280:L$296,$E1273)*$D1273</f>
        <v/>
      </c>
      <c r="M1273" s="35">
        <f>INDEX(M$280:M$296,$E1273)*$D1273</f>
        <v/>
      </c>
      <c r="N1273" s="35">
        <f>INDEX(N$280:N$296,$E1273)*$D1273</f>
        <v/>
      </c>
      <c r="O1273" s="35">
        <f>INDEX(O$280:O$296,$E1273)*$D1273</f>
        <v/>
      </c>
      <c r="P1273" s="35">
        <f>INDEX(P$280:P$296,$E1273)*$D1273</f>
        <v/>
      </c>
      <c r="Q1273" s="35">
        <f>INDEX(Q$280:Q$296,$E1273)*$D1273</f>
        <v/>
      </c>
      <c r="R1273" s="35">
        <f>INDEX(R$280:R$296,$E1273)*$D1273</f>
        <v/>
      </c>
      <c r="S1273" s="35">
        <f>INDEX(S$280:S$296,$E1273)*$D1273</f>
        <v/>
      </c>
      <c r="T1273" s="35">
        <f>INDEX(T$280:T$296,$E1273)*$D1273</f>
        <v/>
      </c>
      <c r="U1273" s="35">
        <f>INDEX(U$280:U$296,$E1273)*$D1273</f>
        <v/>
      </c>
      <c r="V1273" s="35">
        <f>INDEX(V$280:V$296,$E1273)*$D1273</f>
        <v/>
      </c>
      <c r="W1273" s="35">
        <f>INDEX(W$280:W$296,$E1273)*$D1273</f>
        <v/>
      </c>
      <c r="X1273" s="35">
        <f>INDEX(X$280:X$296,$E1273)*$D1273</f>
        <v/>
      </c>
      <c r="Y1273" s="35">
        <f>INDEX(Y$280:Y$296,$E1273)*$D1273</f>
        <v/>
      </c>
      <c r="Z1273" s="35">
        <f>INDEX(Z$280:Z$296,$E1273)*$D1273</f>
        <v/>
      </c>
      <c r="AA1273" s="35">
        <f>INDEX(AA$280:AA$296,$E1273)*$D1273</f>
        <v/>
      </c>
      <c r="AB1273" s="35">
        <f>INDEX(AB$280:AB$296,$E1273)*$D1273</f>
        <v/>
      </c>
      <c r="AC1273" s="35">
        <f>INDEX(AC$280:AC$296,$E1273)*$D1273</f>
        <v/>
      </c>
      <c r="AD1273" s="35">
        <f>INDEX(AD$280:AD$296,$E1273)*$D1273</f>
        <v/>
      </c>
      <c r="AE1273" s="42">
        <f>ETSCOST(INDEX(AE$280:AE$296,$E1273),$D1273)</f>
        <v/>
      </c>
      <c r="AG1273" s="11">
        <f>CodePrefix&amp;$A1273&amp;IF($C1273="","","."&amp;$C1273&amp;"."&amp;$B1273)&amp;INDEX(VarEnd,MATCH($A1273,VarKey,0))&amp;AG$5</f>
        <v/>
      </c>
      <c r="AH1273" s="40">
        <f>INDEX(AH$280:AH$296,$E1273)*$D1273</f>
        <v/>
      </c>
      <c r="AI1273" s="35">
        <f>INDEX(AI$280:AI$296,$E1273)*$D1273</f>
        <v/>
      </c>
      <c r="AJ1273" s="35">
        <f>INDEX(AJ$280:AJ$296,$E1273)*$D1273</f>
        <v/>
      </c>
      <c r="AK1273" s="35">
        <f>INDEX(AK$280:AK$296,$E1273)*$D1273</f>
        <v/>
      </c>
      <c r="AL1273" s="35">
        <f>INDEX(AL$280:AL$296,$E1273)*$D1273</f>
        <v/>
      </c>
      <c r="AM1273" s="35">
        <f>INDEX(AM$280:AM$296,$E1273)*$D1273</f>
        <v/>
      </c>
      <c r="AN1273" s="35">
        <f>INDEX(AN$280:AN$296,$E1273)*$D1273</f>
        <v/>
      </c>
      <c r="AO1273" s="35">
        <f>INDEX(AO$280:AO$296,$E1273)*$D1273</f>
        <v/>
      </c>
      <c r="AP1273" s="35">
        <f>INDEX(AP$280:AP$296,$E1273)*$D1273</f>
        <v/>
      </c>
      <c r="AQ1273" s="35">
        <f>INDEX(AQ$280:AQ$296,$E1273)*$D1273</f>
        <v/>
      </c>
      <c r="AR1273" s="35">
        <f>INDEX(AR$280:AR$296,$E1273)*$D1273</f>
        <v/>
      </c>
      <c r="AS1273" s="35">
        <f>INDEX(AS$280:AS$296,$E1273)*$D1273</f>
        <v/>
      </c>
      <c r="AT1273" s="35">
        <f>INDEX(AT$280:AT$296,$E1273)*$D1273</f>
        <v/>
      </c>
      <c r="AU1273" s="35">
        <f>INDEX(AU$280:AU$296,$E1273)*$D1273</f>
        <v/>
      </c>
      <c r="AV1273" s="35">
        <f>INDEX(AV$280:AV$296,$E1273)*$D1273</f>
        <v/>
      </c>
      <c r="AW1273" s="35">
        <f>INDEX(AW$280:AW$296,$E1273)*$D1273</f>
        <v/>
      </c>
      <c r="AX1273" s="35">
        <f>INDEX(AX$280:AX$296,$E1273)*$D1273</f>
        <v/>
      </c>
      <c r="AY1273" s="35">
        <f>INDEX(AY$280:AY$296,$E1273)*$D1273</f>
        <v/>
      </c>
      <c r="AZ1273" s="35">
        <f>INDEX(AZ$280:AZ$296,$E1273)*$D1273</f>
        <v/>
      </c>
      <c r="BA1273" s="42">
        <f>ETSCOST(INDEX(BA$280:BA$296,$E1273),$D1273)</f>
        <v/>
      </c>
    </row>
    <row r="1274" hidden="1" outlineLevel="2">
      <c r="A1274" s="14" t="inlineStr">
        <is>
          <t>ets</t>
        </is>
      </c>
      <c r="B1274" s="14" t="inlineStr">
        <is>
          <t>gso</t>
        </is>
      </c>
      <c r="C1274" s="14" t="inlineStr">
        <is>
          <t>avi</t>
        </is>
      </c>
      <c r="D1274" s="35">
        <f>INDEX(Inputs!$W$5:$W$132,MATCH($B1274&amp;"|"&amp;$C1274,Inputs!$A$5:$A$132,0))</f>
        <v/>
      </c>
      <c r="E1274" s="35">
        <f>INDEX(Inputs!$M$5:$M$132,MATCH($B1274&amp;"|"&amp;$C1274,Inputs!$A$5:$A$132,0))</f>
        <v/>
      </c>
      <c r="F1274" s="39" t="n"/>
      <c r="G1274" s="39" t="n"/>
      <c r="H1274" s="14">
        <f>INDEX(VarLab,MATCH($A1274,VarKey,0))&amp;INDEX(MemLab,MATCH($C1274&amp;"|"&amp;$B1274,MemKey,0))</f>
        <v/>
      </c>
      <c r="I1274" s="14">
        <f>INDEX(VarUnit,MATCH($A1274,VarKey,0))</f>
        <v/>
      </c>
      <c r="J1274" s="14">
        <f>INDEX(VarSrc,MATCH($A1274,VarKey,0))</f>
        <v/>
      </c>
      <c r="K1274" s="11">
        <f>CodePrefix&amp;$A1274&amp;IF($C1274="","","."&amp;$C1274&amp;"."&amp;$B1274)&amp;INDEX(VarEnd,MATCH($A1274,VarKey,0))&amp;K$5</f>
        <v/>
      </c>
      <c r="L1274" s="40">
        <f>INDEX(L$280:L$296,$E1274)*$D1274</f>
        <v/>
      </c>
      <c r="M1274" s="35">
        <f>INDEX(M$280:M$296,$E1274)*$D1274</f>
        <v/>
      </c>
      <c r="N1274" s="35">
        <f>INDEX(N$280:N$296,$E1274)*$D1274</f>
        <v/>
      </c>
      <c r="O1274" s="35">
        <f>INDEX(O$280:O$296,$E1274)*$D1274</f>
        <v/>
      </c>
      <c r="P1274" s="35">
        <f>INDEX(P$280:P$296,$E1274)*$D1274</f>
        <v/>
      </c>
      <c r="Q1274" s="35">
        <f>INDEX(Q$280:Q$296,$E1274)*$D1274</f>
        <v/>
      </c>
      <c r="R1274" s="35">
        <f>INDEX(R$280:R$296,$E1274)*$D1274</f>
        <v/>
      </c>
      <c r="S1274" s="35">
        <f>INDEX(S$280:S$296,$E1274)*$D1274</f>
        <v/>
      </c>
      <c r="T1274" s="35">
        <f>INDEX(T$280:T$296,$E1274)*$D1274</f>
        <v/>
      </c>
      <c r="U1274" s="35">
        <f>INDEX(U$280:U$296,$E1274)*$D1274</f>
        <v/>
      </c>
      <c r="V1274" s="35">
        <f>INDEX(V$280:V$296,$E1274)*$D1274</f>
        <v/>
      </c>
      <c r="W1274" s="35">
        <f>INDEX(W$280:W$296,$E1274)*$D1274</f>
        <v/>
      </c>
      <c r="X1274" s="35">
        <f>INDEX(X$280:X$296,$E1274)*$D1274</f>
        <v/>
      </c>
      <c r="Y1274" s="35">
        <f>INDEX(Y$280:Y$296,$E1274)*$D1274</f>
        <v/>
      </c>
      <c r="Z1274" s="35">
        <f>INDEX(Z$280:Z$296,$E1274)*$D1274</f>
        <v/>
      </c>
      <c r="AA1274" s="35">
        <f>INDEX(AA$280:AA$296,$E1274)*$D1274</f>
        <v/>
      </c>
      <c r="AB1274" s="35">
        <f>INDEX(AB$280:AB$296,$E1274)*$D1274</f>
        <v/>
      </c>
      <c r="AC1274" s="35">
        <f>INDEX(AC$280:AC$296,$E1274)*$D1274</f>
        <v/>
      </c>
      <c r="AD1274" s="35">
        <f>INDEX(AD$280:AD$296,$E1274)*$D1274</f>
        <v/>
      </c>
      <c r="AE1274" s="42">
        <f>ETSCOST(INDEX(AE$280:AE$296,$E1274),$D1274)</f>
        <v/>
      </c>
      <c r="AG1274" s="11">
        <f>CodePrefix&amp;$A1274&amp;IF($C1274="","","."&amp;$C1274&amp;"."&amp;$B1274)&amp;INDEX(VarEnd,MATCH($A1274,VarKey,0))&amp;AG$5</f>
        <v/>
      </c>
      <c r="AH1274" s="40">
        <f>INDEX(AH$280:AH$296,$E1274)*$D1274</f>
        <v/>
      </c>
      <c r="AI1274" s="35">
        <f>INDEX(AI$280:AI$296,$E1274)*$D1274</f>
        <v/>
      </c>
      <c r="AJ1274" s="35">
        <f>INDEX(AJ$280:AJ$296,$E1274)*$D1274</f>
        <v/>
      </c>
      <c r="AK1274" s="35">
        <f>INDEX(AK$280:AK$296,$E1274)*$D1274</f>
        <v/>
      </c>
      <c r="AL1274" s="35">
        <f>INDEX(AL$280:AL$296,$E1274)*$D1274</f>
        <v/>
      </c>
      <c r="AM1274" s="35">
        <f>INDEX(AM$280:AM$296,$E1274)*$D1274</f>
        <v/>
      </c>
      <c r="AN1274" s="35">
        <f>INDEX(AN$280:AN$296,$E1274)*$D1274</f>
        <v/>
      </c>
      <c r="AO1274" s="35">
        <f>INDEX(AO$280:AO$296,$E1274)*$D1274</f>
        <v/>
      </c>
      <c r="AP1274" s="35">
        <f>INDEX(AP$280:AP$296,$E1274)*$D1274</f>
        <v/>
      </c>
      <c r="AQ1274" s="35">
        <f>INDEX(AQ$280:AQ$296,$E1274)*$D1274</f>
        <v/>
      </c>
      <c r="AR1274" s="35">
        <f>INDEX(AR$280:AR$296,$E1274)*$D1274</f>
        <v/>
      </c>
      <c r="AS1274" s="35">
        <f>INDEX(AS$280:AS$296,$E1274)*$D1274</f>
        <v/>
      </c>
      <c r="AT1274" s="35">
        <f>INDEX(AT$280:AT$296,$E1274)*$D1274</f>
        <v/>
      </c>
      <c r="AU1274" s="35">
        <f>INDEX(AU$280:AU$296,$E1274)*$D1274</f>
        <v/>
      </c>
      <c r="AV1274" s="35">
        <f>INDEX(AV$280:AV$296,$E1274)*$D1274</f>
        <v/>
      </c>
      <c r="AW1274" s="35">
        <f>INDEX(AW$280:AW$296,$E1274)*$D1274</f>
        <v/>
      </c>
      <c r="AX1274" s="35">
        <f>INDEX(AX$280:AX$296,$E1274)*$D1274</f>
        <v/>
      </c>
      <c r="AY1274" s="35">
        <f>INDEX(AY$280:AY$296,$E1274)*$D1274</f>
        <v/>
      </c>
      <c r="AZ1274" s="35">
        <f>INDEX(AZ$280:AZ$296,$E1274)*$D1274</f>
        <v/>
      </c>
      <c r="BA1274" s="42">
        <f>ETSCOST(INDEX(BA$280:BA$296,$E1274),$D1274)</f>
        <v/>
      </c>
    </row>
    <row r="1275" hidden="1" outlineLevel="2">
      <c r="A1275" s="14" t="inlineStr">
        <is>
          <t>ets</t>
        </is>
      </c>
      <c r="B1275" s="14" t="inlineStr">
        <is>
          <t>die</t>
        </is>
      </c>
      <c r="C1275" s="14" t="inlineStr">
        <is>
          <t>avi</t>
        </is>
      </c>
      <c r="D1275" s="35">
        <f>INDEX(Inputs!$W$5:$W$132,MATCH($B1275&amp;"|"&amp;$C1275,Inputs!$A$5:$A$132,0))</f>
        <v/>
      </c>
      <c r="E1275" s="35">
        <f>INDEX(Inputs!$M$5:$M$132,MATCH($B1275&amp;"|"&amp;$C1275,Inputs!$A$5:$A$132,0))</f>
        <v/>
      </c>
      <c r="F1275" s="39" t="n"/>
      <c r="G1275" s="39" t="n"/>
      <c r="H1275" s="14">
        <f>INDEX(VarLab,MATCH($A1275,VarKey,0))&amp;INDEX(MemLab,MATCH($C1275&amp;"|"&amp;$B1275,MemKey,0))</f>
        <v/>
      </c>
      <c r="I1275" s="14">
        <f>INDEX(VarUnit,MATCH($A1275,VarKey,0))</f>
        <v/>
      </c>
      <c r="J1275" s="14">
        <f>INDEX(VarSrc,MATCH($A1275,VarKey,0))</f>
        <v/>
      </c>
      <c r="K1275" s="11">
        <f>CodePrefix&amp;$A1275&amp;IF($C1275="","","."&amp;$C1275&amp;"."&amp;$B1275)&amp;INDEX(VarEnd,MATCH($A1275,VarKey,0))&amp;K$5</f>
        <v/>
      </c>
      <c r="L1275" s="40">
        <f>INDEX(L$280:L$296,$E1275)*$D1275</f>
        <v/>
      </c>
      <c r="M1275" s="35">
        <f>INDEX(M$280:M$296,$E1275)*$D1275</f>
        <v/>
      </c>
      <c r="N1275" s="35">
        <f>INDEX(N$280:N$296,$E1275)*$D1275</f>
        <v/>
      </c>
      <c r="O1275" s="35">
        <f>INDEX(O$280:O$296,$E1275)*$D1275</f>
        <v/>
      </c>
      <c r="P1275" s="35">
        <f>INDEX(P$280:P$296,$E1275)*$D1275</f>
        <v/>
      </c>
      <c r="Q1275" s="35">
        <f>INDEX(Q$280:Q$296,$E1275)*$D1275</f>
        <v/>
      </c>
      <c r="R1275" s="35">
        <f>INDEX(R$280:R$296,$E1275)*$D1275</f>
        <v/>
      </c>
      <c r="S1275" s="35">
        <f>INDEX(S$280:S$296,$E1275)*$D1275</f>
        <v/>
      </c>
      <c r="T1275" s="35">
        <f>INDEX(T$280:T$296,$E1275)*$D1275</f>
        <v/>
      </c>
      <c r="U1275" s="35">
        <f>INDEX(U$280:U$296,$E1275)*$D1275</f>
        <v/>
      </c>
      <c r="V1275" s="35">
        <f>INDEX(V$280:V$296,$E1275)*$D1275</f>
        <v/>
      </c>
      <c r="W1275" s="35">
        <f>INDEX(W$280:W$296,$E1275)*$D1275</f>
        <v/>
      </c>
      <c r="X1275" s="35">
        <f>INDEX(X$280:X$296,$E1275)*$D1275</f>
        <v/>
      </c>
      <c r="Y1275" s="35">
        <f>INDEX(Y$280:Y$296,$E1275)*$D1275</f>
        <v/>
      </c>
      <c r="Z1275" s="35">
        <f>INDEX(Z$280:Z$296,$E1275)*$D1275</f>
        <v/>
      </c>
      <c r="AA1275" s="35">
        <f>INDEX(AA$280:AA$296,$E1275)*$D1275</f>
        <v/>
      </c>
      <c r="AB1275" s="35">
        <f>INDEX(AB$280:AB$296,$E1275)*$D1275</f>
        <v/>
      </c>
      <c r="AC1275" s="35">
        <f>INDEX(AC$280:AC$296,$E1275)*$D1275</f>
        <v/>
      </c>
      <c r="AD1275" s="35">
        <f>INDEX(AD$280:AD$296,$E1275)*$D1275</f>
        <v/>
      </c>
      <c r="AE1275" s="42">
        <f>ETSCOST(INDEX(AE$280:AE$296,$E1275),$D1275)</f>
        <v/>
      </c>
      <c r="AG1275" s="11">
        <f>CodePrefix&amp;$A1275&amp;IF($C1275="","","."&amp;$C1275&amp;"."&amp;$B1275)&amp;INDEX(VarEnd,MATCH($A1275,VarKey,0))&amp;AG$5</f>
        <v/>
      </c>
      <c r="AH1275" s="40">
        <f>INDEX(AH$280:AH$296,$E1275)*$D1275</f>
        <v/>
      </c>
      <c r="AI1275" s="35">
        <f>INDEX(AI$280:AI$296,$E1275)*$D1275</f>
        <v/>
      </c>
      <c r="AJ1275" s="35">
        <f>INDEX(AJ$280:AJ$296,$E1275)*$D1275</f>
        <v/>
      </c>
      <c r="AK1275" s="35">
        <f>INDEX(AK$280:AK$296,$E1275)*$D1275</f>
        <v/>
      </c>
      <c r="AL1275" s="35">
        <f>INDEX(AL$280:AL$296,$E1275)*$D1275</f>
        <v/>
      </c>
      <c r="AM1275" s="35">
        <f>INDEX(AM$280:AM$296,$E1275)*$D1275</f>
        <v/>
      </c>
      <c r="AN1275" s="35">
        <f>INDEX(AN$280:AN$296,$E1275)*$D1275</f>
        <v/>
      </c>
      <c r="AO1275" s="35">
        <f>INDEX(AO$280:AO$296,$E1275)*$D1275</f>
        <v/>
      </c>
      <c r="AP1275" s="35">
        <f>INDEX(AP$280:AP$296,$E1275)*$D1275</f>
        <v/>
      </c>
      <c r="AQ1275" s="35">
        <f>INDEX(AQ$280:AQ$296,$E1275)*$D1275</f>
        <v/>
      </c>
      <c r="AR1275" s="35">
        <f>INDEX(AR$280:AR$296,$E1275)*$D1275</f>
        <v/>
      </c>
      <c r="AS1275" s="35">
        <f>INDEX(AS$280:AS$296,$E1275)*$D1275</f>
        <v/>
      </c>
      <c r="AT1275" s="35">
        <f>INDEX(AT$280:AT$296,$E1275)*$D1275</f>
        <v/>
      </c>
      <c r="AU1275" s="35">
        <f>INDEX(AU$280:AU$296,$E1275)*$D1275</f>
        <v/>
      </c>
      <c r="AV1275" s="35">
        <f>INDEX(AV$280:AV$296,$E1275)*$D1275</f>
        <v/>
      </c>
      <c r="AW1275" s="35">
        <f>INDEX(AW$280:AW$296,$E1275)*$D1275</f>
        <v/>
      </c>
      <c r="AX1275" s="35">
        <f>INDEX(AX$280:AX$296,$E1275)*$D1275</f>
        <v/>
      </c>
      <c r="AY1275" s="35">
        <f>INDEX(AY$280:AY$296,$E1275)*$D1275</f>
        <v/>
      </c>
      <c r="AZ1275" s="35">
        <f>INDEX(AZ$280:AZ$296,$E1275)*$D1275</f>
        <v/>
      </c>
      <c r="BA1275" s="42">
        <f>ETSCOST(INDEX(BA$280:BA$296,$E1275),$D1275)</f>
        <v/>
      </c>
    </row>
    <row r="1276" hidden="1" outlineLevel="2">
      <c r="A1276" s="14" t="inlineStr">
        <is>
          <t>ets</t>
        </is>
      </c>
      <c r="B1276" s="14" t="inlineStr">
        <is>
          <t>lpg</t>
        </is>
      </c>
      <c r="C1276" s="14" t="inlineStr">
        <is>
          <t>avi</t>
        </is>
      </c>
      <c r="D1276" s="35">
        <f>INDEX(Inputs!$W$5:$W$132,MATCH($B1276&amp;"|"&amp;$C1276,Inputs!$A$5:$A$132,0))</f>
        <v/>
      </c>
      <c r="E1276" s="35">
        <f>INDEX(Inputs!$M$5:$M$132,MATCH($B1276&amp;"|"&amp;$C1276,Inputs!$A$5:$A$132,0))</f>
        <v/>
      </c>
      <c r="F1276" s="39" t="n"/>
      <c r="G1276" s="39" t="n"/>
      <c r="H1276" s="14">
        <f>INDEX(VarLab,MATCH($A1276,VarKey,0))&amp;INDEX(MemLab,MATCH($C1276&amp;"|"&amp;$B1276,MemKey,0))</f>
        <v/>
      </c>
      <c r="I1276" s="14">
        <f>INDEX(VarUnit,MATCH($A1276,VarKey,0))</f>
        <v/>
      </c>
      <c r="J1276" s="14">
        <f>INDEX(VarSrc,MATCH($A1276,VarKey,0))</f>
        <v/>
      </c>
      <c r="K1276" s="11">
        <f>CodePrefix&amp;$A1276&amp;IF($C1276="","","."&amp;$C1276&amp;"."&amp;$B1276)&amp;INDEX(VarEnd,MATCH($A1276,VarKey,0))&amp;K$5</f>
        <v/>
      </c>
      <c r="L1276" s="40">
        <f>INDEX(L$280:L$296,$E1276)*$D1276</f>
        <v/>
      </c>
      <c r="M1276" s="35">
        <f>INDEX(M$280:M$296,$E1276)*$D1276</f>
        <v/>
      </c>
      <c r="N1276" s="35">
        <f>INDEX(N$280:N$296,$E1276)*$D1276</f>
        <v/>
      </c>
      <c r="O1276" s="35">
        <f>INDEX(O$280:O$296,$E1276)*$D1276</f>
        <v/>
      </c>
      <c r="P1276" s="35">
        <f>INDEX(P$280:P$296,$E1276)*$D1276</f>
        <v/>
      </c>
      <c r="Q1276" s="35">
        <f>INDEX(Q$280:Q$296,$E1276)*$D1276</f>
        <v/>
      </c>
      <c r="R1276" s="35">
        <f>INDEX(R$280:R$296,$E1276)*$D1276</f>
        <v/>
      </c>
      <c r="S1276" s="35">
        <f>INDEX(S$280:S$296,$E1276)*$D1276</f>
        <v/>
      </c>
      <c r="T1276" s="35">
        <f>INDEX(T$280:T$296,$E1276)*$D1276</f>
        <v/>
      </c>
      <c r="U1276" s="35">
        <f>INDEX(U$280:U$296,$E1276)*$D1276</f>
        <v/>
      </c>
      <c r="V1276" s="35">
        <f>INDEX(V$280:V$296,$E1276)*$D1276</f>
        <v/>
      </c>
      <c r="W1276" s="35">
        <f>INDEX(W$280:W$296,$E1276)*$D1276</f>
        <v/>
      </c>
      <c r="X1276" s="35">
        <f>INDEX(X$280:X$296,$E1276)*$D1276</f>
        <v/>
      </c>
      <c r="Y1276" s="35">
        <f>INDEX(Y$280:Y$296,$E1276)*$D1276</f>
        <v/>
      </c>
      <c r="Z1276" s="35">
        <f>INDEX(Z$280:Z$296,$E1276)*$D1276</f>
        <v/>
      </c>
      <c r="AA1276" s="35">
        <f>INDEX(AA$280:AA$296,$E1276)*$D1276</f>
        <v/>
      </c>
      <c r="AB1276" s="35">
        <f>INDEX(AB$280:AB$296,$E1276)*$D1276</f>
        <v/>
      </c>
      <c r="AC1276" s="35">
        <f>INDEX(AC$280:AC$296,$E1276)*$D1276</f>
        <v/>
      </c>
      <c r="AD1276" s="35">
        <f>INDEX(AD$280:AD$296,$E1276)*$D1276</f>
        <v/>
      </c>
      <c r="AE1276" s="42">
        <f>ETSCOST(INDEX(AE$280:AE$296,$E1276),$D1276)</f>
        <v/>
      </c>
      <c r="AG1276" s="11">
        <f>CodePrefix&amp;$A1276&amp;IF($C1276="","","."&amp;$C1276&amp;"."&amp;$B1276)&amp;INDEX(VarEnd,MATCH($A1276,VarKey,0))&amp;AG$5</f>
        <v/>
      </c>
      <c r="AH1276" s="40">
        <f>INDEX(AH$280:AH$296,$E1276)*$D1276</f>
        <v/>
      </c>
      <c r="AI1276" s="35">
        <f>INDEX(AI$280:AI$296,$E1276)*$D1276</f>
        <v/>
      </c>
      <c r="AJ1276" s="35">
        <f>INDEX(AJ$280:AJ$296,$E1276)*$D1276</f>
        <v/>
      </c>
      <c r="AK1276" s="35">
        <f>INDEX(AK$280:AK$296,$E1276)*$D1276</f>
        <v/>
      </c>
      <c r="AL1276" s="35">
        <f>INDEX(AL$280:AL$296,$E1276)*$D1276</f>
        <v/>
      </c>
      <c r="AM1276" s="35">
        <f>INDEX(AM$280:AM$296,$E1276)*$D1276</f>
        <v/>
      </c>
      <c r="AN1276" s="35">
        <f>INDEX(AN$280:AN$296,$E1276)*$D1276</f>
        <v/>
      </c>
      <c r="AO1276" s="35">
        <f>INDEX(AO$280:AO$296,$E1276)*$D1276</f>
        <v/>
      </c>
      <c r="AP1276" s="35">
        <f>INDEX(AP$280:AP$296,$E1276)*$D1276</f>
        <v/>
      </c>
      <c r="AQ1276" s="35">
        <f>INDEX(AQ$280:AQ$296,$E1276)*$D1276</f>
        <v/>
      </c>
      <c r="AR1276" s="35">
        <f>INDEX(AR$280:AR$296,$E1276)*$D1276</f>
        <v/>
      </c>
      <c r="AS1276" s="35">
        <f>INDEX(AS$280:AS$296,$E1276)*$D1276</f>
        <v/>
      </c>
      <c r="AT1276" s="35">
        <f>INDEX(AT$280:AT$296,$E1276)*$D1276</f>
        <v/>
      </c>
      <c r="AU1276" s="35">
        <f>INDEX(AU$280:AU$296,$E1276)*$D1276</f>
        <v/>
      </c>
      <c r="AV1276" s="35">
        <f>INDEX(AV$280:AV$296,$E1276)*$D1276</f>
        <v/>
      </c>
      <c r="AW1276" s="35">
        <f>INDEX(AW$280:AW$296,$E1276)*$D1276</f>
        <v/>
      </c>
      <c r="AX1276" s="35">
        <f>INDEX(AX$280:AX$296,$E1276)*$D1276</f>
        <v/>
      </c>
      <c r="AY1276" s="35">
        <f>INDEX(AY$280:AY$296,$E1276)*$D1276</f>
        <v/>
      </c>
      <c r="AZ1276" s="35">
        <f>INDEX(AZ$280:AZ$296,$E1276)*$D1276</f>
        <v/>
      </c>
      <c r="BA1276" s="42">
        <f>ETSCOST(INDEX(BA$280:BA$296,$E1276),$D1276)</f>
        <v/>
      </c>
    </row>
    <row r="1277" hidden="1" outlineLevel="2">
      <c r="A1277" s="14" t="inlineStr">
        <is>
          <t>ets</t>
        </is>
      </c>
      <c r="B1277" s="14" t="inlineStr">
        <is>
          <t>ker</t>
        </is>
      </c>
      <c r="C1277" s="14" t="inlineStr">
        <is>
          <t>avi</t>
        </is>
      </c>
      <c r="D1277" s="35">
        <f>INDEX(Inputs!$W$5:$W$132,MATCH($B1277&amp;"|"&amp;$C1277,Inputs!$A$5:$A$132,0))</f>
        <v/>
      </c>
      <c r="E1277" s="35">
        <f>INDEX(Inputs!$M$5:$M$132,MATCH($B1277&amp;"|"&amp;$C1277,Inputs!$A$5:$A$132,0))</f>
        <v/>
      </c>
      <c r="F1277" s="39" t="n"/>
      <c r="G1277" s="39" t="n"/>
      <c r="H1277" s="14">
        <f>INDEX(VarLab,MATCH($A1277,VarKey,0))&amp;INDEX(MemLab,MATCH($C1277&amp;"|"&amp;$B1277,MemKey,0))</f>
        <v/>
      </c>
      <c r="I1277" s="14">
        <f>INDEX(VarUnit,MATCH($A1277,VarKey,0))</f>
        <v/>
      </c>
      <c r="J1277" s="14">
        <f>INDEX(VarSrc,MATCH($A1277,VarKey,0))</f>
        <v/>
      </c>
      <c r="K1277" s="11">
        <f>CodePrefix&amp;$A1277&amp;IF($C1277="","","."&amp;$C1277&amp;"."&amp;$B1277)&amp;INDEX(VarEnd,MATCH($A1277,VarKey,0))&amp;K$5</f>
        <v/>
      </c>
      <c r="L1277" s="40">
        <f>INDEX(L$280:L$296,$E1277)*$D1277</f>
        <v/>
      </c>
      <c r="M1277" s="35">
        <f>INDEX(M$280:M$296,$E1277)*$D1277</f>
        <v/>
      </c>
      <c r="N1277" s="35">
        <f>INDEX(N$280:N$296,$E1277)*$D1277</f>
        <v/>
      </c>
      <c r="O1277" s="35">
        <f>INDEX(O$280:O$296,$E1277)*$D1277</f>
        <v/>
      </c>
      <c r="P1277" s="35">
        <f>INDEX(P$280:P$296,$E1277)*$D1277</f>
        <v/>
      </c>
      <c r="Q1277" s="35">
        <f>INDEX(Q$280:Q$296,$E1277)*$D1277</f>
        <v/>
      </c>
      <c r="R1277" s="35">
        <f>INDEX(R$280:R$296,$E1277)*$D1277</f>
        <v/>
      </c>
      <c r="S1277" s="35">
        <f>INDEX(S$280:S$296,$E1277)*$D1277</f>
        <v/>
      </c>
      <c r="T1277" s="35">
        <f>INDEX(T$280:T$296,$E1277)*$D1277</f>
        <v/>
      </c>
      <c r="U1277" s="35">
        <f>INDEX(U$280:U$296,$E1277)*$D1277</f>
        <v/>
      </c>
      <c r="V1277" s="35">
        <f>INDEX(V$280:V$296,$E1277)*$D1277</f>
        <v/>
      </c>
      <c r="W1277" s="35">
        <f>INDEX(W$280:W$296,$E1277)*$D1277</f>
        <v/>
      </c>
      <c r="X1277" s="35">
        <f>INDEX(X$280:X$296,$E1277)*$D1277</f>
        <v/>
      </c>
      <c r="Y1277" s="35">
        <f>INDEX(Y$280:Y$296,$E1277)*$D1277</f>
        <v/>
      </c>
      <c r="Z1277" s="35">
        <f>INDEX(Z$280:Z$296,$E1277)*$D1277</f>
        <v/>
      </c>
      <c r="AA1277" s="35">
        <f>INDEX(AA$280:AA$296,$E1277)*$D1277</f>
        <v/>
      </c>
      <c r="AB1277" s="35">
        <f>INDEX(AB$280:AB$296,$E1277)*$D1277</f>
        <v/>
      </c>
      <c r="AC1277" s="35">
        <f>INDEX(AC$280:AC$296,$E1277)*$D1277</f>
        <v/>
      </c>
      <c r="AD1277" s="35">
        <f>INDEX(AD$280:AD$296,$E1277)*$D1277</f>
        <v/>
      </c>
      <c r="AE1277" s="42">
        <f>ETSCOST(INDEX(AE$280:AE$296,$E1277),$D1277)</f>
        <v/>
      </c>
      <c r="AG1277" s="11">
        <f>CodePrefix&amp;$A1277&amp;IF($C1277="","","."&amp;$C1277&amp;"."&amp;$B1277)&amp;INDEX(VarEnd,MATCH($A1277,VarKey,0))&amp;AG$5</f>
        <v/>
      </c>
      <c r="AH1277" s="40">
        <f>INDEX(AH$280:AH$296,$E1277)*$D1277</f>
        <v/>
      </c>
      <c r="AI1277" s="35">
        <f>INDEX(AI$280:AI$296,$E1277)*$D1277</f>
        <v/>
      </c>
      <c r="AJ1277" s="35">
        <f>INDEX(AJ$280:AJ$296,$E1277)*$D1277</f>
        <v/>
      </c>
      <c r="AK1277" s="35">
        <f>INDEX(AK$280:AK$296,$E1277)*$D1277</f>
        <v/>
      </c>
      <c r="AL1277" s="35">
        <f>INDEX(AL$280:AL$296,$E1277)*$D1277</f>
        <v/>
      </c>
      <c r="AM1277" s="35">
        <f>INDEX(AM$280:AM$296,$E1277)*$D1277</f>
        <v/>
      </c>
      <c r="AN1277" s="35">
        <f>INDEX(AN$280:AN$296,$E1277)*$D1277</f>
        <v/>
      </c>
      <c r="AO1277" s="35">
        <f>INDEX(AO$280:AO$296,$E1277)*$D1277</f>
        <v/>
      </c>
      <c r="AP1277" s="35">
        <f>INDEX(AP$280:AP$296,$E1277)*$D1277</f>
        <v/>
      </c>
      <c r="AQ1277" s="35">
        <f>INDEX(AQ$280:AQ$296,$E1277)*$D1277</f>
        <v/>
      </c>
      <c r="AR1277" s="35">
        <f>INDEX(AR$280:AR$296,$E1277)*$D1277</f>
        <v/>
      </c>
      <c r="AS1277" s="35">
        <f>INDEX(AS$280:AS$296,$E1277)*$D1277</f>
        <v/>
      </c>
      <c r="AT1277" s="35">
        <f>INDEX(AT$280:AT$296,$E1277)*$D1277</f>
        <v/>
      </c>
      <c r="AU1277" s="35">
        <f>INDEX(AU$280:AU$296,$E1277)*$D1277</f>
        <v/>
      </c>
      <c r="AV1277" s="35">
        <f>INDEX(AV$280:AV$296,$E1277)*$D1277</f>
        <v/>
      </c>
      <c r="AW1277" s="35">
        <f>INDEX(AW$280:AW$296,$E1277)*$D1277</f>
        <v/>
      </c>
      <c r="AX1277" s="35">
        <f>INDEX(AX$280:AX$296,$E1277)*$D1277</f>
        <v/>
      </c>
      <c r="AY1277" s="35">
        <f>INDEX(AY$280:AY$296,$E1277)*$D1277</f>
        <v/>
      </c>
      <c r="AZ1277" s="35">
        <f>INDEX(AZ$280:AZ$296,$E1277)*$D1277</f>
        <v/>
      </c>
      <c r="BA1277" s="42">
        <f>ETSCOST(INDEX(BA$280:BA$296,$E1277),$D1277)</f>
        <v/>
      </c>
    </row>
    <row r="1278" hidden="1" outlineLevel="2">
      <c r="A1278" s="14" t="inlineStr">
        <is>
          <t>ets</t>
        </is>
      </c>
      <c r="B1278" s="14" t="inlineStr">
        <is>
          <t>oop</t>
        </is>
      </c>
      <c r="C1278" s="14" t="inlineStr">
        <is>
          <t>avi</t>
        </is>
      </c>
      <c r="D1278" s="35">
        <f>INDEX(Inputs!$W$5:$W$132,MATCH($B1278&amp;"|"&amp;$C1278,Inputs!$A$5:$A$132,0))</f>
        <v/>
      </c>
      <c r="E1278" s="35">
        <f>INDEX(Inputs!$M$5:$M$132,MATCH($B1278&amp;"|"&amp;$C1278,Inputs!$A$5:$A$132,0))</f>
        <v/>
      </c>
      <c r="F1278" s="39" t="n"/>
      <c r="G1278" s="39" t="n"/>
      <c r="H1278" s="14">
        <f>INDEX(VarLab,MATCH($A1278,VarKey,0))&amp;INDEX(MemLab,MATCH($C1278&amp;"|"&amp;$B1278,MemKey,0))</f>
        <v/>
      </c>
      <c r="I1278" s="14">
        <f>INDEX(VarUnit,MATCH($A1278,VarKey,0))</f>
        <v/>
      </c>
      <c r="J1278" s="14">
        <f>INDEX(VarSrc,MATCH($A1278,VarKey,0))</f>
        <v/>
      </c>
      <c r="K1278" s="11">
        <f>CodePrefix&amp;$A1278&amp;IF($C1278="","","."&amp;$C1278&amp;"."&amp;$B1278)&amp;INDEX(VarEnd,MATCH($A1278,VarKey,0))&amp;K$5</f>
        <v/>
      </c>
      <c r="L1278" s="40">
        <f>INDEX(L$280:L$296,$E1278)*$D1278</f>
        <v/>
      </c>
      <c r="M1278" s="35">
        <f>INDEX(M$280:M$296,$E1278)*$D1278</f>
        <v/>
      </c>
      <c r="N1278" s="35">
        <f>INDEX(N$280:N$296,$E1278)*$D1278</f>
        <v/>
      </c>
      <c r="O1278" s="35">
        <f>INDEX(O$280:O$296,$E1278)*$D1278</f>
        <v/>
      </c>
      <c r="P1278" s="35">
        <f>INDEX(P$280:P$296,$E1278)*$D1278</f>
        <v/>
      </c>
      <c r="Q1278" s="35">
        <f>INDEX(Q$280:Q$296,$E1278)*$D1278</f>
        <v/>
      </c>
      <c r="R1278" s="35">
        <f>INDEX(R$280:R$296,$E1278)*$D1278</f>
        <v/>
      </c>
      <c r="S1278" s="35">
        <f>INDEX(S$280:S$296,$E1278)*$D1278</f>
        <v/>
      </c>
      <c r="T1278" s="35">
        <f>INDEX(T$280:T$296,$E1278)*$D1278</f>
        <v/>
      </c>
      <c r="U1278" s="35">
        <f>INDEX(U$280:U$296,$E1278)*$D1278</f>
        <v/>
      </c>
      <c r="V1278" s="35">
        <f>INDEX(V$280:V$296,$E1278)*$D1278</f>
        <v/>
      </c>
      <c r="W1278" s="35">
        <f>INDEX(W$280:W$296,$E1278)*$D1278</f>
        <v/>
      </c>
      <c r="X1278" s="35">
        <f>INDEX(X$280:X$296,$E1278)*$D1278</f>
        <v/>
      </c>
      <c r="Y1278" s="35">
        <f>INDEX(Y$280:Y$296,$E1278)*$D1278</f>
        <v/>
      </c>
      <c r="Z1278" s="35">
        <f>INDEX(Z$280:Z$296,$E1278)*$D1278</f>
        <v/>
      </c>
      <c r="AA1278" s="35">
        <f>INDEX(AA$280:AA$296,$E1278)*$D1278</f>
        <v/>
      </c>
      <c r="AB1278" s="35">
        <f>INDEX(AB$280:AB$296,$E1278)*$D1278</f>
        <v/>
      </c>
      <c r="AC1278" s="35">
        <f>INDEX(AC$280:AC$296,$E1278)*$D1278</f>
        <v/>
      </c>
      <c r="AD1278" s="35">
        <f>INDEX(AD$280:AD$296,$E1278)*$D1278</f>
        <v/>
      </c>
      <c r="AE1278" s="42">
        <f>ETSCOST(INDEX(AE$280:AE$296,$E1278),$D1278)</f>
        <v/>
      </c>
      <c r="AG1278" s="11">
        <f>CodePrefix&amp;$A1278&amp;IF($C1278="","","."&amp;$C1278&amp;"."&amp;$B1278)&amp;INDEX(VarEnd,MATCH($A1278,VarKey,0))&amp;AG$5</f>
        <v/>
      </c>
      <c r="AH1278" s="40">
        <f>INDEX(AH$280:AH$296,$E1278)*$D1278</f>
        <v/>
      </c>
      <c r="AI1278" s="35">
        <f>INDEX(AI$280:AI$296,$E1278)*$D1278</f>
        <v/>
      </c>
      <c r="AJ1278" s="35">
        <f>INDEX(AJ$280:AJ$296,$E1278)*$D1278</f>
        <v/>
      </c>
      <c r="AK1278" s="35">
        <f>INDEX(AK$280:AK$296,$E1278)*$D1278</f>
        <v/>
      </c>
      <c r="AL1278" s="35">
        <f>INDEX(AL$280:AL$296,$E1278)*$D1278</f>
        <v/>
      </c>
      <c r="AM1278" s="35">
        <f>INDEX(AM$280:AM$296,$E1278)*$D1278</f>
        <v/>
      </c>
      <c r="AN1278" s="35">
        <f>INDEX(AN$280:AN$296,$E1278)*$D1278</f>
        <v/>
      </c>
      <c r="AO1278" s="35">
        <f>INDEX(AO$280:AO$296,$E1278)*$D1278</f>
        <v/>
      </c>
      <c r="AP1278" s="35">
        <f>INDEX(AP$280:AP$296,$E1278)*$D1278</f>
        <v/>
      </c>
      <c r="AQ1278" s="35">
        <f>INDEX(AQ$280:AQ$296,$E1278)*$D1278</f>
        <v/>
      </c>
      <c r="AR1278" s="35">
        <f>INDEX(AR$280:AR$296,$E1278)*$D1278</f>
        <v/>
      </c>
      <c r="AS1278" s="35">
        <f>INDEX(AS$280:AS$296,$E1278)*$D1278</f>
        <v/>
      </c>
      <c r="AT1278" s="35">
        <f>INDEX(AT$280:AT$296,$E1278)*$D1278</f>
        <v/>
      </c>
      <c r="AU1278" s="35">
        <f>INDEX(AU$280:AU$296,$E1278)*$D1278</f>
        <v/>
      </c>
      <c r="AV1278" s="35">
        <f>INDEX(AV$280:AV$296,$E1278)*$D1278</f>
        <v/>
      </c>
      <c r="AW1278" s="35">
        <f>INDEX(AW$280:AW$296,$E1278)*$D1278</f>
        <v/>
      </c>
      <c r="AX1278" s="35">
        <f>INDEX(AX$280:AX$296,$E1278)*$D1278</f>
        <v/>
      </c>
      <c r="AY1278" s="35">
        <f>INDEX(AY$280:AY$296,$E1278)*$D1278</f>
        <v/>
      </c>
      <c r="AZ1278" s="35">
        <f>INDEX(AZ$280:AZ$296,$E1278)*$D1278</f>
        <v/>
      </c>
      <c r="BA1278" s="42">
        <f>ETSCOST(INDEX(BA$280:BA$296,$E1278),$D1278)</f>
        <v/>
      </c>
    </row>
    <row r="1279" hidden="1" outlineLevel="2">
      <c r="A1279" s="14" t="inlineStr">
        <is>
          <t>ets</t>
        </is>
      </c>
      <c r="B1279" s="14" t="inlineStr">
        <is>
          <t>bio</t>
        </is>
      </c>
      <c r="C1279" s="14" t="inlineStr">
        <is>
          <t>avi</t>
        </is>
      </c>
      <c r="D1279" s="35">
        <f>INDEX(Inputs!$W$5:$W$132,MATCH($B1279&amp;"|"&amp;$C1279,Inputs!$A$5:$A$132,0))</f>
        <v/>
      </c>
      <c r="E1279" s="35">
        <f>INDEX(Inputs!$M$5:$M$132,MATCH($B1279&amp;"|"&amp;$C1279,Inputs!$A$5:$A$132,0))</f>
        <v/>
      </c>
      <c r="F1279" s="39" t="n"/>
      <c r="G1279" s="39" t="n"/>
      <c r="H1279" s="14">
        <f>INDEX(VarLab,MATCH($A1279,VarKey,0))&amp;INDEX(MemLab,MATCH($C1279&amp;"|"&amp;$B1279,MemKey,0))</f>
        <v/>
      </c>
      <c r="I1279" s="14">
        <f>INDEX(VarUnit,MATCH($A1279,VarKey,0))</f>
        <v/>
      </c>
      <c r="J1279" s="14">
        <f>INDEX(VarSrc,MATCH($A1279,VarKey,0))</f>
        <v/>
      </c>
      <c r="K1279" s="11">
        <f>CodePrefix&amp;$A1279&amp;IF($C1279="","","."&amp;$C1279&amp;"."&amp;$B1279)&amp;INDEX(VarEnd,MATCH($A1279,VarKey,0))&amp;K$5</f>
        <v/>
      </c>
      <c r="L1279" s="40">
        <f>INDEX(L$280:L$296,$E1279)*$D1279</f>
        <v/>
      </c>
      <c r="M1279" s="35">
        <f>INDEX(M$280:M$296,$E1279)*$D1279</f>
        <v/>
      </c>
      <c r="N1279" s="35">
        <f>INDEX(N$280:N$296,$E1279)*$D1279</f>
        <v/>
      </c>
      <c r="O1279" s="35">
        <f>INDEX(O$280:O$296,$E1279)*$D1279</f>
        <v/>
      </c>
      <c r="P1279" s="35">
        <f>INDEX(P$280:P$296,$E1279)*$D1279</f>
        <v/>
      </c>
      <c r="Q1279" s="35">
        <f>INDEX(Q$280:Q$296,$E1279)*$D1279</f>
        <v/>
      </c>
      <c r="R1279" s="35">
        <f>INDEX(R$280:R$296,$E1279)*$D1279</f>
        <v/>
      </c>
      <c r="S1279" s="35">
        <f>INDEX(S$280:S$296,$E1279)*$D1279</f>
        <v/>
      </c>
      <c r="T1279" s="35">
        <f>INDEX(T$280:T$296,$E1279)*$D1279</f>
        <v/>
      </c>
      <c r="U1279" s="35">
        <f>INDEX(U$280:U$296,$E1279)*$D1279</f>
        <v/>
      </c>
      <c r="V1279" s="35">
        <f>INDEX(V$280:V$296,$E1279)*$D1279</f>
        <v/>
      </c>
      <c r="W1279" s="35">
        <f>INDEX(W$280:W$296,$E1279)*$D1279</f>
        <v/>
      </c>
      <c r="X1279" s="35">
        <f>INDEX(X$280:X$296,$E1279)*$D1279</f>
        <v/>
      </c>
      <c r="Y1279" s="35">
        <f>INDEX(Y$280:Y$296,$E1279)*$D1279</f>
        <v/>
      </c>
      <c r="Z1279" s="35">
        <f>INDEX(Z$280:Z$296,$E1279)*$D1279</f>
        <v/>
      </c>
      <c r="AA1279" s="35">
        <f>INDEX(AA$280:AA$296,$E1279)*$D1279</f>
        <v/>
      </c>
      <c r="AB1279" s="35">
        <f>INDEX(AB$280:AB$296,$E1279)*$D1279</f>
        <v/>
      </c>
      <c r="AC1279" s="35">
        <f>INDEX(AC$280:AC$296,$E1279)*$D1279</f>
        <v/>
      </c>
      <c r="AD1279" s="35">
        <f>INDEX(AD$280:AD$296,$E1279)*$D1279</f>
        <v/>
      </c>
      <c r="AE1279" s="42">
        <f>ETSCOST(INDEX(AE$280:AE$296,$E1279),$D1279)</f>
        <v/>
      </c>
      <c r="AG1279" s="11">
        <f>CodePrefix&amp;$A1279&amp;IF($C1279="","","."&amp;$C1279&amp;"."&amp;$B1279)&amp;INDEX(VarEnd,MATCH($A1279,VarKey,0))&amp;AG$5</f>
        <v/>
      </c>
      <c r="AH1279" s="40">
        <f>INDEX(AH$280:AH$296,$E1279)*$D1279</f>
        <v/>
      </c>
      <c r="AI1279" s="35">
        <f>INDEX(AI$280:AI$296,$E1279)*$D1279</f>
        <v/>
      </c>
      <c r="AJ1279" s="35">
        <f>INDEX(AJ$280:AJ$296,$E1279)*$D1279</f>
        <v/>
      </c>
      <c r="AK1279" s="35">
        <f>INDEX(AK$280:AK$296,$E1279)*$D1279</f>
        <v/>
      </c>
      <c r="AL1279" s="35">
        <f>INDEX(AL$280:AL$296,$E1279)*$D1279</f>
        <v/>
      </c>
      <c r="AM1279" s="35">
        <f>INDEX(AM$280:AM$296,$E1279)*$D1279</f>
        <v/>
      </c>
      <c r="AN1279" s="35">
        <f>INDEX(AN$280:AN$296,$E1279)*$D1279</f>
        <v/>
      </c>
      <c r="AO1279" s="35">
        <f>INDEX(AO$280:AO$296,$E1279)*$D1279</f>
        <v/>
      </c>
      <c r="AP1279" s="35">
        <f>INDEX(AP$280:AP$296,$E1279)*$D1279</f>
        <v/>
      </c>
      <c r="AQ1279" s="35">
        <f>INDEX(AQ$280:AQ$296,$E1279)*$D1279</f>
        <v/>
      </c>
      <c r="AR1279" s="35">
        <f>INDEX(AR$280:AR$296,$E1279)*$D1279</f>
        <v/>
      </c>
      <c r="AS1279" s="35">
        <f>INDEX(AS$280:AS$296,$E1279)*$D1279</f>
        <v/>
      </c>
      <c r="AT1279" s="35">
        <f>INDEX(AT$280:AT$296,$E1279)*$D1279</f>
        <v/>
      </c>
      <c r="AU1279" s="35">
        <f>INDEX(AU$280:AU$296,$E1279)*$D1279</f>
        <v/>
      </c>
      <c r="AV1279" s="35">
        <f>INDEX(AV$280:AV$296,$E1279)*$D1279</f>
        <v/>
      </c>
      <c r="AW1279" s="35">
        <f>INDEX(AW$280:AW$296,$E1279)*$D1279</f>
        <v/>
      </c>
      <c r="AX1279" s="35">
        <f>INDEX(AX$280:AX$296,$E1279)*$D1279</f>
        <v/>
      </c>
      <c r="AY1279" s="35">
        <f>INDEX(AY$280:AY$296,$E1279)*$D1279</f>
        <v/>
      </c>
      <c r="AZ1279" s="35">
        <f>INDEX(AZ$280:AZ$296,$E1279)*$D1279</f>
        <v/>
      </c>
      <c r="BA1279" s="42">
        <f>ETSCOST(INDEX(BA$280:BA$296,$E1279),$D1279)</f>
        <v/>
      </c>
    </row>
    <row r="1280" hidden="1" outlineLevel="2"/>
    <row r="1281" hidden="1" outlineLevel="2">
      <c r="A1281" s="14" t="inlineStr">
        <is>
          <t>ntx</t>
        </is>
      </c>
      <c r="B1281" s="14" t="inlineStr">
        <is>
          <t>coa</t>
        </is>
      </c>
      <c r="C1281" s="14" t="inlineStr">
        <is>
          <t>avi</t>
        </is>
      </c>
      <c r="D1281" s="35">
        <f>INDEX(Inputs!$N$5:$N$132,MATCH($B1281&amp;"|"&amp;$C1281,Inputs!$A$5:$A$132,0))</f>
        <v/>
      </c>
      <c r="E1281" s="35">
        <f>INDEX(Inputs!$K$5:$K$132,MATCH($B1281&amp;"|"&amp;$C1281,Inputs!$A$5:$A$132,0))</f>
        <v/>
      </c>
      <c r="F1281" s="39" t="n"/>
      <c r="G1281" s="39" t="n"/>
      <c r="H1281" s="14">
        <f>INDEX(VarLab,MATCH($A1281,VarKey,0))&amp;INDEX(MemLab,MATCH($C1281&amp;"|"&amp;$B1281,MemKey,0))</f>
        <v/>
      </c>
      <c r="I1281" s="14">
        <f>INDEX(VarUnit,MATCH($A1281,VarKey,0))</f>
        <v/>
      </c>
      <c r="J1281" s="14">
        <f>INDEX(VarSrc,MATCH($A1281,VarKey,0))</f>
        <v/>
      </c>
      <c r="K1281" s="11">
        <f>CodePrefix&amp;$A1281&amp;IF($C1281="","","."&amp;$C1281&amp;"."&amp;$B1281)&amp;INDEX(VarEnd,MATCH($A1281,VarKey,0))&amp;K$5</f>
        <v/>
      </c>
      <c r="L1281" s="40">
        <f>INDEX(L$80:L$93,$D1281)/$E1281</f>
        <v/>
      </c>
      <c r="M1281" s="35">
        <f>INDEX(M$80:M$93,$D1281)/$E1281</f>
        <v/>
      </c>
      <c r="N1281" s="35">
        <f>INDEX(N$80:N$93,$D1281)/$E1281</f>
        <v/>
      </c>
      <c r="O1281" s="35">
        <f>INDEX(O$80:O$93,$D1281)/$E1281</f>
        <v/>
      </c>
      <c r="P1281" s="35">
        <f>INDEX(P$80:P$93,$D1281)/$E1281</f>
        <v/>
      </c>
      <c r="Q1281" s="35">
        <f>INDEX(Q$80:Q$93,$D1281)/$E1281</f>
        <v/>
      </c>
      <c r="R1281" s="35">
        <f>INDEX(R$80:R$93,$D1281)/$E1281</f>
        <v/>
      </c>
      <c r="S1281" s="35">
        <f>INDEX(S$80:S$93,$D1281)/$E1281</f>
        <v/>
      </c>
      <c r="T1281" s="35">
        <f>INDEX(T$80:T$93,$D1281)/$E1281</f>
        <v/>
      </c>
      <c r="U1281" s="35">
        <f>INDEX(U$80:U$93,$D1281)/$E1281</f>
        <v/>
      </c>
      <c r="V1281" s="35">
        <f>INDEX(V$80:V$93,$D1281)/$E1281</f>
        <v/>
      </c>
      <c r="W1281" s="35">
        <f>INDEX(W$80:W$93,$D1281)/$E1281</f>
        <v/>
      </c>
      <c r="X1281" s="35">
        <f>INDEX(X$80:X$93,$D1281)/$E1281</f>
        <v/>
      </c>
      <c r="Y1281" s="35">
        <f>INDEX(Y$80:Y$93,$D1281)/$E1281</f>
        <v/>
      </c>
      <c r="Z1281" s="35">
        <f>INDEX(Z$80:Z$93,$D1281)/$E1281</f>
        <v/>
      </c>
      <c r="AA1281" s="35">
        <f>INDEX(AA$80:AA$93,$D1281)/$E1281</f>
        <v/>
      </c>
      <c r="AB1281" s="35">
        <f>INDEX(AB$80:AB$93,$D1281)/$E1281</f>
        <v/>
      </c>
      <c r="AC1281" s="35">
        <f>INDEX(AC$80:AC$93,$D1281)/$E1281</f>
        <v/>
      </c>
      <c r="AD1281" s="35">
        <f>INDEX(AD$80:AD$93,$D1281)/$E1281</f>
        <v/>
      </c>
      <c r="AE1281" s="42">
        <f>NEWEXCISE(INDEX(AE$80:AE$93,$D1281),$E1281)</f>
        <v/>
      </c>
      <c r="AG1281" s="11">
        <f>CodePrefix&amp;$A1281&amp;IF($C1281="","","."&amp;$C1281&amp;"."&amp;$B1281)&amp;INDEX(VarEnd,MATCH($A1281,VarKey,0))&amp;AG$5</f>
        <v/>
      </c>
      <c r="AH1281" s="40">
        <f>INDEX(AH$80:AH$93,$D1281)/$E1281</f>
        <v/>
      </c>
      <c r="AI1281" s="35">
        <f>INDEX(AI$80:AI$93,$D1281)/$E1281</f>
        <v/>
      </c>
      <c r="AJ1281" s="35">
        <f>INDEX(AJ$80:AJ$93,$D1281)/$E1281</f>
        <v/>
      </c>
      <c r="AK1281" s="35">
        <f>INDEX(AK$80:AK$93,$D1281)/$E1281</f>
        <v/>
      </c>
      <c r="AL1281" s="35">
        <f>INDEX(AL$80:AL$93,$D1281)/$E1281</f>
        <v/>
      </c>
      <c r="AM1281" s="35">
        <f>INDEX(AM$80:AM$93,$D1281)/$E1281</f>
        <v/>
      </c>
      <c r="AN1281" s="35">
        <f>INDEX(AN$80:AN$93,$D1281)/$E1281</f>
        <v/>
      </c>
      <c r="AO1281" s="35">
        <f>INDEX(AO$80:AO$93,$D1281)/$E1281</f>
        <v/>
      </c>
      <c r="AP1281" s="35">
        <f>INDEX(AP$80:AP$93,$D1281)/$E1281</f>
        <v/>
      </c>
      <c r="AQ1281" s="35">
        <f>INDEX(AQ$80:AQ$93,$D1281)/$E1281</f>
        <v/>
      </c>
      <c r="AR1281" s="35">
        <f>INDEX(AR$80:AR$93,$D1281)/$E1281</f>
        <v/>
      </c>
      <c r="AS1281" s="35">
        <f>INDEX(AS$80:AS$93,$D1281)/$E1281</f>
        <v/>
      </c>
      <c r="AT1281" s="35">
        <f>INDEX(AT$80:AT$93,$D1281)/$E1281</f>
        <v/>
      </c>
      <c r="AU1281" s="35">
        <f>INDEX(AU$80:AU$93,$D1281)/$E1281</f>
        <v/>
      </c>
      <c r="AV1281" s="35">
        <f>INDEX(AV$80:AV$93,$D1281)/$E1281</f>
        <v/>
      </c>
      <c r="AW1281" s="35">
        <f>INDEX(AW$80:AW$93,$D1281)/$E1281</f>
        <v/>
      </c>
      <c r="AX1281" s="35">
        <f>INDEX(AX$80:AX$93,$D1281)/$E1281</f>
        <v/>
      </c>
      <c r="AY1281" s="35">
        <f>INDEX(AY$80:AY$93,$D1281)/$E1281</f>
        <v/>
      </c>
      <c r="AZ1281" s="35">
        <f>INDEX(AZ$80:AZ$93,$D1281)/$E1281</f>
        <v/>
      </c>
      <c r="BA1281" s="42">
        <f>NEWEXCISE(INDEX(BA$80:BA$93,$D1281),$E1281)</f>
        <v/>
      </c>
    </row>
    <row r="1282" hidden="1" outlineLevel="2">
      <c r="A1282" s="14" t="inlineStr">
        <is>
          <t>ntx</t>
        </is>
      </c>
      <c r="B1282" s="14" t="inlineStr">
        <is>
          <t>nga</t>
        </is>
      </c>
      <c r="C1282" s="14" t="inlineStr">
        <is>
          <t>avi</t>
        </is>
      </c>
      <c r="D1282" s="35">
        <f>INDEX(Inputs!$N$5:$N$132,MATCH($B1282&amp;"|"&amp;$C1282,Inputs!$A$5:$A$132,0))</f>
        <v/>
      </c>
      <c r="E1282" s="35">
        <f>INDEX(Inputs!$K$5:$K$132,MATCH($B1282&amp;"|"&amp;$C1282,Inputs!$A$5:$A$132,0))</f>
        <v/>
      </c>
      <c r="F1282" s="39" t="n"/>
      <c r="G1282" s="39" t="n"/>
      <c r="H1282" s="14">
        <f>INDEX(VarLab,MATCH($A1282,VarKey,0))&amp;INDEX(MemLab,MATCH($C1282&amp;"|"&amp;$B1282,MemKey,0))</f>
        <v/>
      </c>
      <c r="I1282" s="14">
        <f>INDEX(VarUnit,MATCH($A1282,VarKey,0))</f>
        <v/>
      </c>
      <c r="J1282" s="14">
        <f>INDEX(VarSrc,MATCH($A1282,VarKey,0))</f>
        <v/>
      </c>
      <c r="K1282" s="11">
        <f>CodePrefix&amp;$A1282&amp;IF($C1282="","","."&amp;$C1282&amp;"."&amp;$B1282)&amp;INDEX(VarEnd,MATCH($A1282,VarKey,0))&amp;K$5</f>
        <v/>
      </c>
      <c r="L1282" s="40">
        <f>INDEX(L$80:L$93,$D1282)/$E1282</f>
        <v/>
      </c>
      <c r="M1282" s="35">
        <f>INDEX(M$80:M$93,$D1282)/$E1282</f>
        <v/>
      </c>
      <c r="N1282" s="35">
        <f>INDEX(N$80:N$93,$D1282)/$E1282</f>
        <v/>
      </c>
      <c r="O1282" s="35">
        <f>INDEX(O$80:O$93,$D1282)/$E1282</f>
        <v/>
      </c>
      <c r="P1282" s="35">
        <f>INDEX(P$80:P$93,$D1282)/$E1282</f>
        <v/>
      </c>
      <c r="Q1282" s="35">
        <f>INDEX(Q$80:Q$93,$D1282)/$E1282</f>
        <v/>
      </c>
      <c r="R1282" s="35">
        <f>INDEX(R$80:R$93,$D1282)/$E1282</f>
        <v/>
      </c>
      <c r="S1282" s="35">
        <f>INDEX(S$80:S$93,$D1282)/$E1282</f>
        <v/>
      </c>
      <c r="T1282" s="35">
        <f>INDEX(T$80:T$93,$D1282)/$E1282</f>
        <v/>
      </c>
      <c r="U1282" s="35">
        <f>INDEX(U$80:U$93,$D1282)/$E1282</f>
        <v/>
      </c>
      <c r="V1282" s="35">
        <f>INDEX(V$80:V$93,$D1282)/$E1282</f>
        <v/>
      </c>
      <c r="W1282" s="35">
        <f>INDEX(W$80:W$93,$D1282)/$E1282</f>
        <v/>
      </c>
      <c r="X1282" s="35">
        <f>INDEX(X$80:X$93,$D1282)/$E1282</f>
        <v/>
      </c>
      <c r="Y1282" s="35">
        <f>INDEX(Y$80:Y$93,$D1282)/$E1282</f>
        <v/>
      </c>
      <c r="Z1282" s="35">
        <f>INDEX(Z$80:Z$93,$D1282)/$E1282</f>
        <v/>
      </c>
      <c r="AA1282" s="35">
        <f>INDEX(AA$80:AA$93,$D1282)/$E1282</f>
        <v/>
      </c>
      <c r="AB1282" s="35">
        <f>INDEX(AB$80:AB$93,$D1282)/$E1282</f>
        <v/>
      </c>
      <c r="AC1282" s="35">
        <f>INDEX(AC$80:AC$93,$D1282)/$E1282</f>
        <v/>
      </c>
      <c r="AD1282" s="35">
        <f>INDEX(AD$80:AD$93,$D1282)/$E1282</f>
        <v/>
      </c>
      <c r="AE1282" s="42">
        <f>NEWEXCISE(INDEX(AE$80:AE$93,$D1282),$E1282)</f>
        <v/>
      </c>
      <c r="AG1282" s="11">
        <f>CodePrefix&amp;$A1282&amp;IF($C1282="","","."&amp;$C1282&amp;"."&amp;$B1282)&amp;INDEX(VarEnd,MATCH($A1282,VarKey,0))&amp;AG$5</f>
        <v/>
      </c>
      <c r="AH1282" s="40">
        <f>INDEX(AH$80:AH$93,$D1282)/$E1282</f>
        <v/>
      </c>
      <c r="AI1282" s="35">
        <f>INDEX(AI$80:AI$93,$D1282)/$E1282</f>
        <v/>
      </c>
      <c r="AJ1282" s="35">
        <f>INDEX(AJ$80:AJ$93,$D1282)/$E1282</f>
        <v/>
      </c>
      <c r="AK1282" s="35">
        <f>INDEX(AK$80:AK$93,$D1282)/$E1282</f>
        <v/>
      </c>
      <c r="AL1282" s="35">
        <f>INDEX(AL$80:AL$93,$D1282)/$E1282</f>
        <v/>
      </c>
      <c r="AM1282" s="35">
        <f>INDEX(AM$80:AM$93,$D1282)/$E1282</f>
        <v/>
      </c>
      <c r="AN1282" s="35">
        <f>INDEX(AN$80:AN$93,$D1282)/$E1282</f>
        <v/>
      </c>
      <c r="AO1282" s="35">
        <f>INDEX(AO$80:AO$93,$D1282)/$E1282</f>
        <v/>
      </c>
      <c r="AP1282" s="35">
        <f>INDEX(AP$80:AP$93,$D1282)/$E1282</f>
        <v/>
      </c>
      <c r="AQ1282" s="35">
        <f>INDEX(AQ$80:AQ$93,$D1282)/$E1282</f>
        <v/>
      </c>
      <c r="AR1282" s="35">
        <f>INDEX(AR$80:AR$93,$D1282)/$E1282</f>
        <v/>
      </c>
      <c r="AS1282" s="35">
        <f>INDEX(AS$80:AS$93,$D1282)/$E1282</f>
        <v/>
      </c>
      <c r="AT1282" s="35">
        <f>INDEX(AT$80:AT$93,$D1282)/$E1282</f>
        <v/>
      </c>
      <c r="AU1282" s="35">
        <f>INDEX(AU$80:AU$93,$D1282)/$E1282</f>
        <v/>
      </c>
      <c r="AV1282" s="35">
        <f>INDEX(AV$80:AV$93,$D1282)/$E1282</f>
        <v/>
      </c>
      <c r="AW1282" s="35">
        <f>INDEX(AW$80:AW$93,$D1282)/$E1282</f>
        <v/>
      </c>
      <c r="AX1282" s="35">
        <f>INDEX(AX$80:AX$93,$D1282)/$E1282</f>
        <v/>
      </c>
      <c r="AY1282" s="35">
        <f>INDEX(AY$80:AY$93,$D1282)/$E1282</f>
        <v/>
      </c>
      <c r="AZ1282" s="35">
        <f>INDEX(AZ$80:AZ$93,$D1282)/$E1282</f>
        <v/>
      </c>
      <c r="BA1282" s="42">
        <f>NEWEXCISE(INDEX(BA$80:BA$93,$D1282),$E1282)</f>
        <v/>
      </c>
    </row>
    <row r="1283" hidden="1" outlineLevel="2">
      <c r="A1283" s="14" t="inlineStr">
        <is>
          <t>ntx</t>
        </is>
      </c>
      <c r="B1283" s="14" t="inlineStr">
        <is>
          <t>gso</t>
        </is>
      </c>
      <c r="C1283" s="14" t="inlineStr">
        <is>
          <t>avi</t>
        </is>
      </c>
      <c r="D1283" s="35">
        <f>INDEX(Inputs!$N$5:$N$132,MATCH($B1283&amp;"|"&amp;$C1283,Inputs!$A$5:$A$132,0))</f>
        <v/>
      </c>
      <c r="E1283" s="35">
        <f>INDEX(Inputs!$K$5:$K$132,MATCH($B1283&amp;"|"&amp;$C1283,Inputs!$A$5:$A$132,0))</f>
        <v/>
      </c>
      <c r="F1283" s="39" t="n"/>
      <c r="G1283" s="39" t="n"/>
      <c r="H1283" s="14">
        <f>INDEX(VarLab,MATCH($A1283,VarKey,0))&amp;INDEX(MemLab,MATCH($C1283&amp;"|"&amp;$B1283,MemKey,0))</f>
        <v/>
      </c>
      <c r="I1283" s="14">
        <f>INDEX(VarUnit,MATCH($A1283,VarKey,0))</f>
        <v/>
      </c>
      <c r="J1283" s="14">
        <f>INDEX(VarSrc,MATCH($A1283,VarKey,0))</f>
        <v/>
      </c>
      <c r="K1283" s="11">
        <f>CodePrefix&amp;$A1283&amp;IF($C1283="","","."&amp;$C1283&amp;"."&amp;$B1283)&amp;INDEX(VarEnd,MATCH($A1283,VarKey,0))&amp;K$5</f>
        <v/>
      </c>
      <c r="L1283" s="40">
        <f>INDEX(L$80:L$93,$D1283)/$E1283</f>
        <v/>
      </c>
      <c r="M1283" s="35">
        <f>INDEX(M$80:M$93,$D1283)/$E1283</f>
        <v/>
      </c>
      <c r="N1283" s="35">
        <f>INDEX(N$80:N$93,$D1283)/$E1283</f>
        <v/>
      </c>
      <c r="O1283" s="35">
        <f>INDEX(O$80:O$93,$D1283)/$E1283</f>
        <v/>
      </c>
      <c r="P1283" s="35">
        <f>INDEX(P$80:P$93,$D1283)/$E1283</f>
        <v/>
      </c>
      <c r="Q1283" s="35">
        <f>INDEX(Q$80:Q$93,$D1283)/$E1283</f>
        <v/>
      </c>
      <c r="R1283" s="35">
        <f>INDEX(R$80:R$93,$D1283)/$E1283</f>
        <v/>
      </c>
      <c r="S1283" s="35">
        <f>INDEX(S$80:S$93,$D1283)/$E1283</f>
        <v/>
      </c>
      <c r="T1283" s="35">
        <f>INDEX(T$80:T$93,$D1283)/$E1283</f>
        <v/>
      </c>
      <c r="U1283" s="35">
        <f>INDEX(U$80:U$93,$D1283)/$E1283</f>
        <v/>
      </c>
      <c r="V1283" s="35">
        <f>INDEX(V$80:V$93,$D1283)/$E1283</f>
        <v/>
      </c>
      <c r="W1283" s="35">
        <f>INDEX(W$80:W$93,$D1283)/$E1283</f>
        <v/>
      </c>
      <c r="X1283" s="35">
        <f>INDEX(X$80:X$93,$D1283)/$E1283</f>
        <v/>
      </c>
      <c r="Y1283" s="35">
        <f>INDEX(Y$80:Y$93,$D1283)/$E1283</f>
        <v/>
      </c>
      <c r="Z1283" s="35">
        <f>INDEX(Z$80:Z$93,$D1283)/$E1283</f>
        <v/>
      </c>
      <c r="AA1283" s="35">
        <f>INDEX(AA$80:AA$93,$D1283)/$E1283</f>
        <v/>
      </c>
      <c r="AB1283" s="35">
        <f>INDEX(AB$80:AB$93,$D1283)/$E1283</f>
        <v/>
      </c>
      <c r="AC1283" s="35">
        <f>INDEX(AC$80:AC$93,$D1283)/$E1283</f>
        <v/>
      </c>
      <c r="AD1283" s="35">
        <f>INDEX(AD$80:AD$93,$D1283)/$E1283</f>
        <v/>
      </c>
      <c r="AE1283" s="42">
        <f>NEWEXCISE(INDEX(AE$80:AE$93,$D1283),$E1283)</f>
        <v/>
      </c>
      <c r="AG1283" s="11">
        <f>CodePrefix&amp;$A1283&amp;IF($C1283="","","."&amp;$C1283&amp;"."&amp;$B1283)&amp;INDEX(VarEnd,MATCH($A1283,VarKey,0))&amp;AG$5</f>
        <v/>
      </c>
      <c r="AH1283" s="40">
        <f>INDEX(AH$80:AH$93,$D1283)/$E1283</f>
        <v/>
      </c>
      <c r="AI1283" s="35">
        <f>INDEX(AI$80:AI$93,$D1283)/$E1283</f>
        <v/>
      </c>
      <c r="AJ1283" s="35">
        <f>INDEX(AJ$80:AJ$93,$D1283)/$E1283</f>
        <v/>
      </c>
      <c r="AK1283" s="35">
        <f>INDEX(AK$80:AK$93,$D1283)/$E1283</f>
        <v/>
      </c>
      <c r="AL1283" s="35">
        <f>INDEX(AL$80:AL$93,$D1283)/$E1283</f>
        <v/>
      </c>
      <c r="AM1283" s="35">
        <f>INDEX(AM$80:AM$93,$D1283)/$E1283</f>
        <v/>
      </c>
      <c r="AN1283" s="35">
        <f>INDEX(AN$80:AN$93,$D1283)/$E1283</f>
        <v/>
      </c>
      <c r="AO1283" s="35">
        <f>INDEX(AO$80:AO$93,$D1283)/$E1283</f>
        <v/>
      </c>
      <c r="AP1283" s="35">
        <f>INDEX(AP$80:AP$93,$D1283)/$E1283</f>
        <v/>
      </c>
      <c r="AQ1283" s="35">
        <f>INDEX(AQ$80:AQ$93,$D1283)/$E1283</f>
        <v/>
      </c>
      <c r="AR1283" s="35">
        <f>INDEX(AR$80:AR$93,$D1283)/$E1283</f>
        <v/>
      </c>
      <c r="AS1283" s="35">
        <f>INDEX(AS$80:AS$93,$D1283)/$E1283</f>
        <v/>
      </c>
      <c r="AT1283" s="35">
        <f>INDEX(AT$80:AT$93,$D1283)/$E1283</f>
        <v/>
      </c>
      <c r="AU1283" s="35">
        <f>INDEX(AU$80:AU$93,$D1283)/$E1283</f>
        <v/>
      </c>
      <c r="AV1283" s="35">
        <f>INDEX(AV$80:AV$93,$D1283)/$E1283</f>
        <v/>
      </c>
      <c r="AW1283" s="35">
        <f>INDEX(AW$80:AW$93,$D1283)/$E1283</f>
        <v/>
      </c>
      <c r="AX1283" s="35">
        <f>INDEX(AX$80:AX$93,$D1283)/$E1283</f>
        <v/>
      </c>
      <c r="AY1283" s="35">
        <f>INDEX(AY$80:AY$93,$D1283)/$E1283</f>
        <v/>
      </c>
      <c r="AZ1283" s="35">
        <f>INDEX(AZ$80:AZ$93,$D1283)/$E1283</f>
        <v/>
      </c>
      <c r="BA1283" s="42">
        <f>NEWEXCISE(INDEX(BA$80:BA$93,$D1283),$E1283)</f>
        <v/>
      </c>
    </row>
    <row r="1284" hidden="1" outlineLevel="2">
      <c r="A1284" s="14" t="inlineStr">
        <is>
          <t>ntx</t>
        </is>
      </c>
      <c r="B1284" s="14" t="inlineStr">
        <is>
          <t>die</t>
        </is>
      </c>
      <c r="C1284" s="14" t="inlineStr">
        <is>
          <t>avi</t>
        </is>
      </c>
      <c r="D1284" s="35">
        <f>INDEX(Inputs!$N$5:$N$132,MATCH($B1284&amp;"|"&amp;$C1284,Inputs!$A$5:$A$132,0))</f>
        <v/>
      </c>
      <c r="E1284" s="35">
        <f>INDEX(Inputs!$K$5:$K$132,MATCH($B1284&amp;"|"&amp;$C1284,Inputs!$A$5:$A$132,0))</f>
        <v/>
      </c>
      <c r="F1284" s="39" t="n"/>
      <c r="G1284" s="39" t="n"/>
      <c r="H1284" s="14">
        <f>INDEX(VarLab,MATCH($A1284,VarKey,0))&amp;INDEX(MemLab,MATCH($C1284&amp;"|"&amp;$B1284,MemKey,0))</f>
        <v/>
      </c>
      <c r="I1284" s="14">
        <f>INDEX(VarUnit,MATCH($A1284,VarKey,0))</f>
        <v/>
      </c>
      <c r="J1284" s="14">
        <f>INDEX(VarSrc,MATCH($A1284,VarKey,0))</f>
        <v/>
      </c>
      <c r="K1284" s="11">
        <f>CodePrefix&amp;$A1284&amp;IF($C1284="","","."&amp;$C1284&amp;"."&amp;$B1284)&amp;INDEX(VarEnd,MATCH($A1284,VarKey,0))&amp;K$5</f>
        <v/>
      </c>
      <c r="L1284" s="40">
        <f>INDEX(L$80:L$93,$D1284)/$E1284</f>
        <v/>
      </c>
      <c r="M1284" s="35">
        <f>INDEX(M$80:M$93,$D1284)/$E1284</f>
        <v/>
      </c>
      <c r="N1284" s="35">
        <f>INDEX(N$80:N$93,$D1284)/$E1284</f>
        <v/>
      </c>
      <c r="O1284" s="35">
        <f>INDEX(O$80:O$93,$D1284)/$E1284</f>
        <v/>
      </c>
      <c r="P1284" s="35">
        <f>INDEX(P$80:P$93,$D1284)/$E1284</f>
        <v/>
      </c>
      <c r="Q1284" s="35">
        <f>INDEX(Q$80:Q$93,$D1284)/$E1284</f>
        <v/>
      </c>
      <c r="R1284" s="35">
        <f>INDEX(R$80:R$93,$D1284)/$E1284</f>
        <v/>
      </c>
      <c r="S1284" s="35">
        <f>INDEX(S$80:S$93,$D1284)/$E1284</f>
        <v/>
      </c>
      <c r="T1284" s="35">
        <f>INDEX(T$80:T$93,$D1284)/$E1284</f>
        <v/>
      </c>
      <c r="U1284" s="35">
        <f>INDEX(U$80:U$93,$D1284)/$E1284</f>
        <v/>
      </c>
      <c r="V1284" s="35">
        <f>INDEX(V$80:V$93,$D1284)/$E1284</f>
        <v/>
      </c>
      <c r="W1284" s="35">
        <f>INDEX(W$80:W$93,$D1284)/$E1284</f>
        <v/>
      </c>
      <c r="X1284" s="35">
        <f>INDEX(X$80:X$93,$D1284)/$E1284</f>
        <v/>
      </c>
      <c r="Y1284" s="35">
        <f>INDEX(Y$80:Y$93,$D1284)/$E1284</f>
        <v/>
      </c>
      <c r="Z1284" s="35">
        <f>INDEX(Z$80:Z$93,$D1284)/$E1284</f>
        <v/>
      </c>
      <c r="AA1284" s="35">
        <f>INDEX(AA$80:AA$93,$D1284)/$E1284</f>
        <v/>
      </c>
      <c r="AB1284" s="35">
        <f>INDEX(AB$80:AB$93,$D1284)/$E1284</f>
        <v/>
      </c>
      <c r="AC1284" s="35">
        <f>INDEX(AC$80:AC$93,$D1284)/$E1284</f>
        <v/>
      </c>
      <c r="AD1284" s="35">
        <f>INDEX(AD$80:AD$93,$D1284)/$E1284</f>
        <v/>
      </c>
      <c r="AE1284" s="42">
        <f>NEWEXCISE(INDEX(AE$80:AE$93,$D1284),$E1284)</f>
        <v/>
      </c>
      <c r="AG1284" s="11">
        <f>CodePrefix&amp;$A1284&amp;IF($C1284="","","."&amp;$C1284&amp;"."&amp;$B1284)&amp;INDEX(VarEnd,MATCH($A1284,VarKey,0))&amp;AG$5</f>
        <v/>
      </c>
      <c r="AH1284" s="40">
        <f>INDEX(AH$80:AH$93,$D1284)/$E1284</f>
        <v/>
      </c>
      <c r="AI1284" s="35">
        <f>INDEX(AI$80:AI$93,$D1284)/$E1284</f>
        <v/>
      </c>
      <c r="AJ1284" s="35">
        <f>INDEX(AJ$80:AJ$93,$D1284)/$E1284</f>
        <v/>
      </c>
      <c r="AK1284" s="35">
        <f>INDEX(AK$80:AK$93,$D1284)/$E1284</f>
        <v/>
      </c>
      <c r="AL1284" s="35">
        <f>INDEX(AL$80:AL$93,$D1284)/$E1284</f>
        <v/>
      </c>
      <c r="AM1284" s="35">
        <f>INDEX(AM$80:AM$93,$D1284)/$E1284</f>
        <v/>
      </c>
      <c r="AN1284" s="35">
        <f>INDEX(AN$80:AN$93,$D1284)/$E1284</f>
        <v/>
      </c>
      <c r="AO1284" s="35">
        <f>INDEX(AO$80:AO$93,$D1284)/$E1284</f>
        <v/>
      </c>
      <c r="AP1284" s="35">
        <f>INDEX(AP$80:AP$93,$D1284)/$E1284</f>
        <v/>
      </c>
      <c r="AQ1284" s="35">
        <f>INDEX(AQ$80:AQ$93,$D1284)/$E1284</f>
        <v/>
      </c>
      <c r="AR1284" s="35">
        <f>INDEX(AR$80:AR$93,$D1284)/$E1284</f>
        <v/>
      </c>
      <c r="AS1284" s="35">
        <f>INDEX(AS$80:AS$93,$D1284)/$E1284</f>
        <v/>
      </c>
      <c r="AT1284" s="35">
        <f>INDEX(AT$80:AT$93,$D1284)/$E1284</f>
        <v/>
      </c>
      <c r="AU1284" s="35">
        <f>INDEX(AU$80:AU$93,$D1284)/$E1284</f>
        <v/>
      </c>
      <c r="AV1284" s="35">
        <f>INDEX(AV$80:AV$93,$D1284)/$E1284</f>
        <v/>
      </c>
      <c r="AW1284" s="35">
        <f>INDEX(AW$80:AW$93,$D1284)/$E1284</f>
        <v/>
      </c>
      <c r="AX1284" s="35">
        <f>INDEX(AX$80:AX$93,$D1284)/$E1284</f>
        <v/>
      </c>
      <c r="AY1284" s="35">
        <f>INDEX(AY$80:AY$93,$D1284)/$E1284</f>
        <v/>
      </c>
      <c r="AZ1284" s="35">
        <f>INDEX(AZ$80:AZ$93,$D1284)/$E1284</f>
        <v/>
      </c>
      <c r="BA1284" s="42">
        <f>NEWEXCISE(INDEX(BA$80:BA$93,$D1284),$E1284)</f>
        <v/>
      </c>
    </row>
    <row r="1285" hidden="1" outlineLevel="2">
      <c r="A1285" s="14" t="inlineStr">
        <is>
          <t>ntx</t>
        </is>
      </c>
      <c r="B1285" s="14" t="inlineStr">
        <is>
          <t>lpg</t>
        </is>
      </c>
      <c r="C1285" s="14" t="inlineStr">
        <is>
          <t>avi</t>
        </is>
      </c>
      <c r="D1285" s="35">
        <f>INDEX(Inputs!$N$5:$N$132,MATCH($B1285&amp;"|"&amp;$C1285,Inputs!$A$5:$A$132,0))</f>
        <v/>
      </c>
      <c r="E1285" s="35">
        <f>INDEX(Inputs!$K$5:$K$132,MATCH($B1285&amp;"|"&amp;$C1285,Inputs!$A$5:$A$132,0))</f>
        <v/>
      </c>
      <c r="F1285" s="39" t="n"/>
      <c r="G1285" s="39" t="n"/>
      <c r="H1285" s="14">
        <f>INDEX(VarLab,MATCH($A1285,VarKey,0))&amp;INDEX(MemLab,MATCH($C1285&amp;"|"&amp;$B1285,MemKey,0))</f>
        <v/>
      </c>
      <c r="I1285" s="14">
        <f>INDEX(VarUnit,MATCH($A1285,VarKey,0))</f>
        <v/>
      </c>
      <c r="J1285" s="14">
        <f>INDEX(VarSrc,MATCH($A1285,VarKey,0))</f>
        <v/>
      </c>
      <c r="K1285" s="11">
        <f>CodePrefix&amp;$A1285&amp;IF($C1285="","","."&amp;$C1285&amp;"."&amp;$B1285)&amp;INDEX(VarEnd,MATCH($A1285,VarKey,0))&amp;K$5</f>
        <v/>
      </c>
      <c r="L1285" s="40">
        <f>INDEX(L$80:L$93,$D1285)/$E1285</f>
        <v/>
      </c>
      <c r="M1285" s="35">
        <f>INDEX(M$80:M$93,$D1285)/$E1285</f>
        <v/>
      </c>
      <c r="N1285" s="35">
        <f>INDEX(N$80:N$93,$D1285)/$E1285</f>
        <v/>
      </c>
      <c r="O1285" s="35">
        <f>INDEX(O$80:O$93,$D1285)/$E1285</f>
        <v/>
      </c>
      <c r="P1285" s="35">
        <f>INDEX(P$80:P$93,$D1285)/$E1285</f>
        <v/>
      </c>
      <c r="Q1285" s="35">
        <f>INDEX(Q$80:Q$93,$D1285)/$E1285</f>
        <v/>
      </c>
      <c r="R1285" s="35">
        <f>INDEX(R$80:R$93,$D1285)/$E1285</f>
        <v/>
      </c>
      <c r="S1285" s="35">
        <f>INDEX(S$80:S$93,$D1285)/$E1285</f>
        <v/>
      </c>
      <c r="T1285" s="35">
        <f>INDEX(T$80:T$93,$D1285)/$E1285</f>
        <v/>
      </c>
      <c r="U1285" s="35">
        <f>INDEX(U$80:U$93,$D1285)/$E1285</f>
        <v/>
      </c>
      <c r="V1285" s="35">
        <f>INDEX(V$80:V$93,$D1285)/$E1285</f>
        <v/>
      </c>
      <c r="W1285" s="35">
        <f>INDEX(W$80:W$93,$D1285)/$E1285</f>
        <v/>
      </c>
      <c r="X1285" s="35">
        <f>INDEX(X$80:X$93,$D1285)/$E1285</f>
        <v/>
      </c>
      <c r="Y1285" s="35">
        <f>INDEX(Y$80:Y$93,$D1285)/$E1285</f>
        <v/>
      </c>
      <c r="Z1285" s="35">
        <f>INDEX(Z$80:Z$93,$D1285)/$E1285</f>
        <v/>
      </c>
      <c r="AA1285" s="35">
        <f>INDEX(AA$80:AA$93,$D1285)/$E1285</f>
        <v/>
      </c>
      <c r="AB1285" s="35">
        <f>INDEX(AB$80:AB$93,$D1285)/$E1285</f>
        <v/>
      </c>
      <c r="AC1285" s="35">
        <f>INDEX(AC$80:AC$93,$D1285)/$E1285</f>
        <v/>
      </c>
      <c r="AD1285" s="35">
        <f>INDEX(AD$80:AD$93,$D1285)/$E1285</f>
        <v/>
      </c>
      <c r="AE1285" s="42">
        <f>NEWEXCISE(INDEX(AE$80:AE$93,$D1285),$E1285)</f>
        <v/>
      </c>
      <c r="AG1285" s="11">
        <f>CodePrefix&amp;$A1285&amp;IF($C1285="","","."&amp;$C1285&amp;"."&amp;$B1285)&amp;INDEX(VarEnd,MATCH($A1285,VarKey,0))&amp;AG$5</f>
        <v/>
      </c>
      <c r="AH1285" s="40">
        <f>INDEX(AH$80:AH$93,$D1285)/$E1285</f>
        <v/>
      </c>
      <c r="AI1285" s="35">
        <f>INDEX(AI$80:AI$93,$D1285)/$E1285</f>
        <v/>
      </c>
      <c r="AJ1285" s="35">
        <f>INDEX(AJ$80:AJ$93,$D1285)/$E1285</f>
        <v/>
      </c>
      <c r="AK1285" s="35">
        <f>INDEX(AK$80:AK$93,$D1285)/$E1285</f>
        <v/>
      </c>
      <c r="AL1285" s="35">
        <f>INDEX(AL$80:AL$93,$D1285)/$E1285</f>
        <v/>
      </c>
      <c r="AM1285" s="35">
        <f>INDEX(AM$80:AM$93,$D1285)/$E1285</f>
        <v/>
      </c>
      <c r="AN1285" s="35">
        <f>INDEX(AN$80:AN$93,$D1285)/$E1285</f>
        <v/>
      </c>
      <c r="AO1285" s="35">
        <f>INDEX(AO$80:AO$93,$D1285)/$E1285</f>
        <v/>
      </c>
      <c r="AP1285" s="35">
        <f>INDEX(AP$80:AP$93,$D1285)/$E1285</f>
        <v/>
      </c>
      <c r="AQ1285" s="35">
        <f>INDEX(AQ$80:AQ$93,$D1285)/$E1285</f>
        <v/>
      </c>
      <c r="AR1285" s="35">
        <f>INDEX(AR$80:AR$93,$D1285)/$E1285</f>
        <v/>
      </c>
      <c r="AS1285" s="35">
        <f>INDEX(AS$80:AS$93,$D1285)/$E1285</f>
        <v/>
      </c>
      <c r="AT1285" s="35">
        <f>INDEX(AT$80:AT$93,$D1285)/$E1285</f>
        <v/>
      </c>
      <c r="AU1285" s="35">
        <f>INDEX(AU$80:AU$93,$D1285)/$E1285</f>
        <v/>
      </c>
      <c r="AV1285" s="35">
        <f>INDEX(AV$80:AV$93,$D1285)/$E1285</f>
        <v/>
      </c>
      <c r="AW1285" s="35">
        <f>INDEX(AW$80:AW$93,$D1285)/$E1285</f>
        <v/>
      </c>
      <c r="AX1285" s="35">
        <f>INDEX(AX$80:AX$93,$D1285)/$E1285</f>
        <v/>
      </c>
      <c r="AY1285" s="35">
        <f>INDEX(AY$80:AY$93,$D1285)/$E1285</f>
        <v/>
      </c>
      <c r="AZ1285" s="35">
        <f>INDEX(AZ$80:AZ$93,$D1285)/$E1285</f>
        <v/>
      </c>
      <c r="BA1285" s="42">
        <f>NEWEXCISE(INDEX(BA$80:BA$93,$D1285),$E1285)</f>
        <v/>
      </c>
    </row>
    <row r="1286" hidden="1" outlineLevel="2">
      <c r="A1286" s="14" t="inlineStr">
        <is>
          <t>ntx</t>
        </is>
      </c>
      <c r="B1286" s="14" t="inlineStr">
        <is>
          <t>ker</t>
        </is>
      </c>
      <c r="C1286" s="14" t="inlineStr">
        <is>
          <t>avi</t>
        </is>
      </c>
      <c r="D1286" s="35">
        <f>INDEX(Inputs!$N$5:$N$132,MATCH($B1286&amp;"|"&amp;$C1286,Inputs!$A$5:$A$132,0))</f>
        <v/>
      </c>
      <c r="E1286" s="35">
        <f>INDEX(Inputs!$K$5:$K$132,MATCH($B1286&amp;"|"&amp;$C1286,Inputs!$A$5:$A$132,0))</f>
        <v/>
      </c>
      <c r="F1286" s="39" t="n"/>
      <c r="G1286" s="39" t="n"/>
      <c r="H1286" s="14">
        <f>INDEX(VarLab,MATCH($A1286,VarKey,0))&amp;INDEX(MemLab,MATCH($C1286&amp;"|"&amp;$B1286,MemKey,0))</f>
        <v/>
      </c>
      <c r="I1286" s="14">
        <f>INDEX(VarUnit,MATCH($A1286,VarKey,0))</f>
        <v/>
      </c>
      <c r="J1286" s="14">
        <f>INDEX(VarSrc,MATCH($A1286,VarKey,0))</f>
        <v/>
      </c>
      <c r="K1286" s="11">
        <f>CodePrefix&amp;$A1286&amp;IF($C1286="","","."&amp;$C1286&amp;"."&amp;$B1286)&amp;INDEX(VarEnd,MATCH($A1286,VarKey,0))&amp;K$5</f>
        <v/>
      </c>
      <c r="L1286" s="40">
        <f>INDEX(L$80:L$93,$D1286)/$E1286</f>
        <v/>
      </c>
      <c r="M1286" s="35">
        <f>INDEX(M$80:M$93,$D1286)/$E1286</f>
        <v/>
      </c>
      <c r="N1286" s="35">
        <f>INDEX(N$80:N$93,$D1286)/$E1286</f>
        <v/>
      </c>
      <c r="O1286" s="35">
        <f>INDEX(O$80:O$93,$D1286)/$E1286</f>
        <v/>
      </c>
      <c r="P1286" s="35">
        <f>INDEX(P$80:P$93,$D1286)/$E1286</f>
        <v/>
      </c>
      <c r="Q1286" s="35">
        <f>INDEX(Q$80:Q$93,$D1286)/$E1286</f>
        <v/>
      </c>
      <c r="R1286" s="35">
        <f>INDEX(R$80:R$93,$D1286)/$E1286</f>
        <v/>
      </c>
      <c r="S1286" s="35">
        <f>INDEX(S$80:S$93,$D1286)/$E1286</f>
        <v/>
      </c>
      <c r="T1286" s="35">
        <f>INDEX(T$80:T$93,$D1286)/$E1286</f>
        <v/>
      </c>
      <c r="U1286" s="35">
        <f>INDEX(U$80:U$93,$D1286)/$E1286</f>
        <v/>
      </c>
      <c r="V1286" s="35">
        <f>INDEX(V$80:V$93,$D1286)/$E1286</f>
        <v/>
      </c>
      <c r="W1286" s="35">
        <f>INDEX(W$80:W$93,$D1286)/$E1286</f>
        <v/>
      </c>
      <c r="X1286" s="35">
        <f>INDEX(X$80:X$93,$D1286)/$E1286</f>
        <v/>
      </c>
      <c r="Y1286" s="35">
        <f>INDEX(Y$80:Y$93,$D1286)/$E1286</f>
        <v/>
      </c>
      <c r="Z1286" s="35">
        <f>INDEX(Z$80:Z$93,$D1286)/$E1286</f>
        <v/>
      </c>
      <c r="AA1286" s="35">
        <f>INDEX(AA$80:AA$93,$D1286)/$E1286</f>
        <v/>
      </c>
      <c r="AB1286" s="35">
        <f>INDEX(AB$80:AB$93,$D1286)/$E1286</f>
        <v/>
      </c>
      <c r="AC1286" s="35">
        <f>INDEX(AC$80:AC$93,$D1286)/$E1286</f>
        <v/>
      </c>
      <c r="AD1286" s="35">
        <f>INDEX(AD$80:AD$93,$D1286)/$E1286</f>
        <v/>
      </c>
      <c r="AE1286" s="42">
        <f>NEWEXCISE(INDEX(AE$80:AE$93,$D1286),$E1286)</f>
        <v/>
      </c>
      <c r="AG1286" s="11">
        <f>CodePrefix&amp;$A1286&amp;IF($C1286="","","."&amp;$C1286&amp;"."&amp;$B1286)&amp;INDEX(VarEnd,MATCH($A1286,VarKey,0))&amp;AG$5</f>
        <v/>
      </c>
      <c r="AH1286" s="40">
        <f>INDEX(AH$80:AH$93,$D1286)/$E1286</f>
        <v/>
      </c>
      <c r="AI1286" s="35">
        <f>INDEX(AI$80:AI$93,$D1286)/$E1286</f>
        <v/>
      </c>
      <c r="AJ1286" s="35">
        <f>INDEX(AJ$80:AJ$93,$D1286)/$E1286</f>
        <v/>
      </c>
      <c r="AK1286" s="35">
        <f>INDEX(AK$80:AK$93,$D1286)/$E1286</f>
        <v/>
      </c>
      <c r="AL1286" s="35">
        <f>INDEX(AL$80:AL$93,$D1286)/$E1286</f>
        <v/>
      </c>
      <c r="AM1286" s="35">
        <f>INDEX(AM$80:AM$93,$D1286)/$E1286</f>
        <v/>
      </c>
      <c r="AN1286" s="35">
        <f>INDEX(AN$80:AN$93,$D1286)/$E1286</f>
        <v/>
      </c>
      <c r="AO1286" s="35">
        <f>INDEX(AO$80:AO$93,$D1286)/$E1286</f>
        <v/>
      </c>
      <c r="AP1286" s="35">
        <f>INDEX(AP$80:AP$93,$D1286)/$E1286</f>
        <v/>
      </c>
      <c r="AQ1286" s="35">
        <f>INDEX(AQ$80:AQ$93,$D1286)/$E1286</f>
        <v/>
      </c>
      <c r="AR1286" s="35">
        <f>INDEX(AR$80:AR$93,$D1286)/$E1286</f>
        <v/>
      </c>
      <c r="AS1286" s="35">
        <f>INDEX(AS$80:AS$93,$D1286)/$E1286</f>
        <v/>
      </c>
      <c r="AT1286" s="35">
        <f>INDEX(AT$80:AT$93,$D1286)/$E1286</f>
        <v/>
      </c>
      <c r="AU1286" s="35">
        <f>INDEX(AU$80:AU$93,$D1286)/$E1286</f>
        <v/>
      </c>
      <c r="AV1286" s="35">
        <f>INDEX(AV$80:AV$93,$D1286)/$E1286</f>
        <v/>
      </c>
      <c r="AW1286" s="35">
        <f>INDEX(AW$80:AW$93,$D1286)/$E1286</f>
        <v/>
      </c>
      <c r="AX1286" s="35">
        <f>INDEX(AX$80:AX$93,$D1286)/$E1286</f>
        <v/>
      </c>
      <c r="AY1286" s="35">
        <f>INDEX(AY$80:AY$93,$D1286)/$E1286</f>
        <v/>
      </c>
      <c r="AZ1286" s="35">
        <f>INDEX(AZ$80:AZ$93,$D1286)/$E1286</f>
        <v/>
      </c>
      <c r="BA1286" s="42">
        <f>NEWEXCISE(INDEX(BA$80:BA$93,$D1286),$E1286)</f>
        <v/>
      </c>
    </row>
    <row r="1287" hidden="1" outlineLevel="2">
      <c r="A1287" s="14" t="inlineStr">
        <is>
          <t>ntx</t>
        </is>
      </c>
      <c r="B1287" s="14" t="inlineStr">
        <is>
          <t>oop</t>
        </is>
      </c>
      <c r="C1287" s="14" t="inlineStr">
        <is>
          <t>avi</t>
        </is>
      </c>
      <c r="D1287" s="35">
        <f>INDEX(Inputs!$N$5:$N$132,MATCH($B1287&amp;"|"&amp;$C1287,Inputs!$A$5:$A$132,0))</f>
        <v/>
      </c>
      <c r="E1287" s="35">
        <f>INDEX(Inputs!$K$5:$K$132,MATCH($B1287&amp;"|"&amp;$C1287,Inputs!$A$5:$A$132,0))</f>
        <v/>
      </c>
      <c r="F1287" s="39" t="n"/>
      <c r="G1287" s="39" t="n"/>
      <c r="H1287" s="14">
        <f>INDEX(VarLab,MATCH($A1287,VarKey,0))&amp;INDEX(MemLab,MATCH($C1287&amp;"|"&amp;$B1287,MemKey,0))</f>
        <v/>
      </c>
      <c r="I1287" s="14">
        <f>INDEX(VarUnit,MATCH($A1287,VarKey,0))</f>
        <v/>
      </c>
      <c r="J1287" s="14">
        <f>INDEX(VarSrc,MATCH($A1287,VarKey,0))</f>
        <v/>
      </c>
      <c r="K1287" s="11">
        <f>CodePrefix&amp;$A1287&amp;IF($C1287="","","."&amp;$C1287&amp;"."&amp;$B1287)&amp;INDEX(VarEnd,MATCH($A1287,VarKey,0))&amp;K$5</f>
        <v/>
      </c>
      <c r="L1287" s="40">
        <f>INDEX(L$80:L$93,$D1287)/$E1287</f>
        <v/>
      </c>
      <c r="M1287" s="35">
        <f>INDEX(M$80:M$93,$D1287)/$E1287</f>
        <v/>
      </c>
      <c r="N1287" s="35">
        <f>INDEX(N$80:N$93,$D1287)/$E1287</f>
        <v/>
      </c>
      <c r="O1287" s="35">
        <f>INDEX(O$80:O$93,$D1287)/$E1287</f>
        <v/>
      </c>
      <c r="P1287" s="35">
        <f>INDEX(P$80:P$93,$D1287)/$E1287</f>
        <v/>
      </c>
      <c r="Q1287" s="35">
        <f>INDEX(Q$80:Q$93,$D1287)/$E1287</f>
        <v/>
      </c>
      <c r="R1287" s="35">
        <f>INDEX(R$80:R$93,$D1287)/$E1287</f>
        <v/>
      </c>
      <c r="S1287" s="35">
        <f>INDEX(S$80:S$93,$D1287)/$E1287</f>
        <v/>
      </c>
      <c r="T1287" s="35">
        <f>INDEX(T$80:T$93,$D1287)/$E1287</f>
        <v/>
      </c>
      <c r="U1287" s="35">
        <f>INDEX(U$80:U$93,$D1287)/$E1287</f>
        <v/>
      </c>
      <c r="V1287" s="35">
        <f>INDEX(V$80:V$93,$D1287)/$E1287</f>
        <v/>
      </c>
      <c r="W1287" s="35">
        <f>INDEX(W$80:W$93,$D1287)/$E1287</f>
        <v/>
      </c>
      <c r="X1287" s="35">
        <f>INDEX(X$80:X$93,$D1287)/$E1287</f>
        <v/>
      </c>
      <c r="Y1287" s="35">
        <f>INDEX(Y$80:Y$93,$D1287)/$E1287</f>
        <v/>
      </c>
      <c r="Z1287" s="35">
        <f>INDEX(Z$80:Z$93,$D1287)/$E1287</f>
        <v/>
      </c>
      <c r="AA1287" s="35">
        <f>INDEX(AA$80:AA$93,$D1287)/$E1287</f>
        <v/>
      </c>
      <c r="AB1287" s="35">
        <f>INDEX(AB$80:AB$93,$D1287)/$E1287</f>
        <v/>
      </c>
      <c r="AC1287" s="35">
        <f>INDEX(AC$80:AC$93,$D1287)/$E1287</f>
        <v/>
      </c>
      <c r="AD1287" s="35">
        <f>INDEX(AD$80:AD$93,$D1287)/$E1287</f>
        <v/>
      </c>
      <c r="AE1287" s="42">
        <f>NEWEXCISE(INDEX(AE$80:AE$93,$D1287),$E1287)</f>
        <v/>
      </c>
      <c r="AG1287" s="11">
        <f>CodePrefix&amp;$A1287&amp;IF($C1287="","","."&amp;$C1287&amp;"."&amp;$B1287)&amp;INDEX(VarEnd,MATCH($A1287,VarKey,0))&amp;AG$5</f>
        <v/>
      </c>
      <c r="AH1287" s="40">
        <f>INDEX(AH$80:AH$93,$D1287)/$E1287</f>
        <v/>
      </c>
      <c r="AI1287" s="35">
        <f>INDEX(AI$80:AI$93,$D1287)/$E1287</f>
        <v/>
      </c>
      <c r="AJ1287" s="35">
        <f>INDEX(AJ$80:AJ$93,$D1287)/$E1287</f>
        <v/>
      </c>
      <c r="AK1287" s="35">
        <f>INDEX(AK$80:AK$93,$D1287)/$E1287</f>
        <v/>
      </c>
      <c r="AL1287" s="35">
        <f>INDEX(AL$80:AL$93,$D1287)/$E1287</f>
        <v/>
      </c>
      <c r="AM1287" s="35">
        <f>INDEX(AM$80:AM$93,$D1287)/$E1287</f>
        <v/>
      </c>
      <c r="AN1287" s="35">
        <f>INDEX(AN$80:AN$93,$D1287)/$E1287</f>
        <v/>
      </c>
      <c r="AO1287" s="35">
        <f>INDEX(AO$80:AO$93,$D1287)/$E1287</f>
        <v/>
      </c>
      <c r="AP1287" s="35">
        <f>INDEX(AP$80:AP$93,$D1287)/$E1287</f>
        <v/>
      </c>
      <c r="AQ1287" s="35">
        <f>INDEX(AQ$80:AQ$93,$D1287)/$E1287</f>
        <v/>
      </c>
      <c r="AR1287" s="35">
        <f>INDEX(AR$80:AR$93,$D1287)/$E1287</f>
        <v/>
      </c>
      <c r="AS1287" s="35">
        <f>INDEX(AS$80:AS$93,$D1287)/$E1287</f>
        <v/>
      </c>
      <c r="AT1287" s="35">
        <f>INDEX(AT$80:AT$93,$D1287)/$E1287</f>
        <v/>
      </c>
      <c r="AU1287" s="35">
        <f>INDEX(AU$80:AU$93,$D1287)/$E1287</f>
        <v/>
      </c>
      <c r="AV1287" s="35">
        <f>INDEX(AV$80:AV$93,$D1287)/$E1287</f>
        <v/>
      </c>
      <c r="AW1287" s="35">
        <f>INDEX(AW$80:AW$93,$D1287)/$E1287</f>
        <v/>
      </c>
      <c r="AX1287" s="35">
        <f>INDEX(AX$80:AX$93,$D1287)/$E1287</f>
        <v/>
      </c>
      <c r="AY1287" s="35">
        <f>INDEX(AY$80:AY$93,$D1287)/$E1287</f>
        <v/>
      </c>
      <c r="AZ1287" s="35">
        <f>INDEX(AZ$80:AZ$93,$D1287)/$E1287</f>
        <v/>
      </c>
      <c r="BA1287" s="42">
        <f>NEWEXCISE(INDEX(BA$80:BA$93,$D1287),$E1287)</f>
        <v/>
      </c>
    </row>
    <row r="1288" hidden="1" outlineLevel="2">
      <c r="A1288" s="14" t="inlineStr">
        <is>
          <t>ntx</t>
        </is>
      </c>
      <c r="B1288" s="14" t="inlineStr">
        <is>
          <t>bio</t>
        </is>
      </c>
      <c r="C1288" s="14" t="inlineStr">
        <is>
          <t>avi</t>
        </is>
      </c>
      <c r="D1288" s="35">
        <f>INDEX(Inputs!$N$5:$N$132,MATCH($B1288&amp;"|"&amp;$C1288,Inputs!$A$5:$A$132,0))</f>
        <v/>
      </c>
      <c r="E1288" s="35">
        <f>INDEX(Inputs!$K$5:$K$132,MATCH($B1288&amp;"|"&amp;$C1288,Inputs!$A$5:$A$132,0))</f>
        <v/>
      </c>
      <c r="F1288" s="39" t="n"/>
      <c r="G1288" s="39" t="n"/>
      <c r="H1288" s="14">
        <f>INDEX(VarLab,MATCH($A1288,VarKey,0))&amp;INDEX(MemLab,MATCH($C1288&amp;"|"&amp;$B1288,MemKey,0))</f>
        <v/>
      </c>
      <c r="I1288" s="14">
        <f>INDEX(VarUnit,MATCH($A1288,VarKey,0))</f>
        <v/>
      </c>
      <c r="J1288" s="14">
        <f>INDEX(VarSrc,MATCH($A1288,VarKey,0))</f>
        <v/>
      </c>
      <c r="K1288" s="11">
        <f>CodePrefix&amp;$A1288&amp;IF($C1288="","","."&amp;$C1288&amp;"."&amp;$B1288)&amp;INDEX(VarEnd,MATCH($A1288,VarKey,0))&amp;K$5</f>
        <v/>
      </c>
      <c r="L1288" s="40">
        <f>INDEX(L$80:L$93,$D1288)/$E1288</f>
        <v/>
      </c>
      <c r="M1288" s="35">
        <f>INDEX(M$80:M$93,$D1288)/$E1288</f>
        <v/>
      </c>
      <c r="N1288" s="35">
        <f>INDEX(N$80:N$93,$D1288)/$E1288</f>
        <v/>
      </c>
      <c r="O1288" s="35">
        <f>INDEX(O$80:O$93,$D1288)/$E1288</f>
        <v/>
      </c>
      <c r="P1288" s="35">
        <f>INDEX(P$80:P$93,$D1288)/$E1288</f>
        <v/>
      </c>
      <c r="Q1288" s="35">
        <f>INDEX(Q$80:Q$93,$D1288)/$E1288</f>
        <v/>
      </c>
      <c r="R1288" s="35">
        <f>INDEX(R$80:R$93,$D1288)/$E1288</f>
        <v/>
      </c>
      <c r="S1288" s="35">
        <f>INDEX(S$80:S$93,$D1288)/$E1288</f>
        <v/>
      </c>
      <c r="T1288" s="35">
        <f>INDEX(T$80:T$93,$D1288)/$E1288</f>
        <v/>
      </c>
      <c r="U1288" s="35">
        <f>INDEX(U$80:U$93,$D1288)/$E1288</f>
        <v/>
      </c>
      <c r="V1288" s="35">
        <f>INDEX(V$80:V$93,$D1288)/$E1288</f>
        <v/>
      </c>
      <c r="W1288" s="35">
        <f>INDEX(W$80:W$93,$D1288)/$E1288</f>
        <v/>
      </c>
      <c r="X1288" s="35">
        <f>INDEX(X$80:X$93,$D1288)/$E1288</f>
        <v/>
      </c>
      <c r="Y1288" s="35">
        <f>INDEX(Y$80:Y$93,$D1288)/$E1288</f>
        <v/>
      </c>
      <c r="Z1288" s="35">
        <f>INDEX(Z$80:Z$93,$D1288)/$E1288</f>
        <v/>
      </c>
      <c r="AA1288" s="35">
        <f>INDEX(AA$80:AA$93,$D1288)/$E1288</f>
        <v/>
      </c>
      <c r="AB1288" s="35">
        <f>INDEX(AB$80:AB$93,$D1288)/$E1288</f>
        <v/>
      </c>
      <c r="AC1288" s="35">
        <f>INDEX(AC$80:AC$93,$D1288)/$E1288</f>
        <v/>
      </c>
      <c r="AD1288" s="35">
        <f>INDEX(AD$80:AD$93,$D1288)/$E1288</f>
        <v/>
      </c>
      <c r="AE1288" s="42">
        <f>NEWEXCISE(INDEX(AE$80:AE$93,$D1288),$E1288)</f>
        <v/>
      </c>
      <c r="AG1288" s="11">
        <f>CodePrefix&amp;$A1288&amp;IF($C1288="","","."&amp;$C1288&amp;"."&amp;$B1288)&amp;INDEX(VarEnd,MATCH($A1288,VarKey,0))&amp;AG$5</f>
        <v/>
      </c>
      <c r="AH1288" s="40">
        <f>INDEX(AH$80:AH$93,$D1288)/$E1288</f>
        <v/>
      </c>
      <c r="AI1288" s="35">
        <f>INDEX(AI$80:AI$93,$D1288)/$E1288</f>
        <v/>
      </c>
      <c r="AJ1288" s="35">
        <f>INDEX(AJ$80:AJ$93,$D1288)/$E1288</f>
        <v/>
      </c>
      <c r="AK1288" s="35">
        <f>INDEX(AK$80:AK$93,$D1288)/$E1288</f>
        <v/>
      </c>
      <c r="AL1288" s="35">
        <f>INDEX(AL$80:AL$93,$D1288)/$E1288</f>
        <v/>
      </c>
      <c r="AM1288" s="35">
        <f>INDEX(AM$80:AM$93,$D1288)/$E1288</f>
        <v/>
      </c>
      <c r="AN1288" s="35">
        <f>INDEX(AN$80:AN$93,$D1288)/$E1288</f>
        <v/>
      </c>
      <c r="AO1288" s="35">
        <f>INDEX(AO$80:AO$93,$D1288)/$E1288</f>
        <v/>
      </c>
      <c r="AP1288" s="35">
        <f>INDEX(AP$80:AP$93,$D1288)/$E1288</f>
        <v/>
      </c>
      <c r="AQ1288" s="35">
        <f>INDEX(AQ$80:AQ$93,$D1288)/$E1288</f>
        <v/>
      </c>
      <c r="AR1288" s="35">
        <f>INDEX(AR$80:AR$93,$D1288)/$E1288</f>
        <v/>
      </c>
      <c r="AS1288" s="35">
        <f>INDEX(AS$80:AS$93,$D1288)/$E1288</f>
        <v/>
      </c>
      <c r="AT1288" s="35">
        <f>INDEX(AT$80:AT$93,$D1288)/$E1288</f>
        <v/>
      </c>
      <c r="AU1288" s="35">
        <f>INDEX(AU$80:AU$93,$D1288)/$E1288</f>
        <v/>
      </c>
      <c r="AV1288" s="35">
        <f>INDEX(AV$80:AV$93,$D1288)/$E1288</f>
        <v/>
      </c>
      <c r="AW1288" s="35">
        <f>INDEX(AW$80:AW$93,$D1288)/$E1288</f>
        <v/>
      </c>
      <c r="AX1288" s="35">
        <f>INDEX(AX$80:AX$93,$D1288)/$E1288</f>
        <v/>
      </c>
      <c r="AY1288" s="35">
        <f>INDEX(AY$80:AY$93,$D1288)/$E1288</f>
        <v/>
      </c>
      <c r="AZ1288" s="35">
        <f>INDEX(AZ$80:AZ$93,$D1288)/$E1288</f>
        <v/>
      </c>
      <c r="BA1288" s="42">
        <f>NEWEXCISE(INDEX(BA$80:BA$93,$D1288),$E1288)</f>
        <v/>
      </c>
    </row>
    <row r="1289" hidden="1" outlineLevel="2"/>
    <row r="1290" hidden="1" outlineLevel="2">
      <c r="A1290" s="14" t="inlineStr">
        <is>
          <t>nce</t>
        </is>
      </c>
      <c r="B1290" s="14" t="inlineStr">
        <is>
          <t>coa</t>
        </is>
      </c>
      <c r="C1290" s="14" t="inlineStr">
        <is>
          <t>avi</t>
        </is>
      </c>
      <c r="D1290" s="39" t="n"/>
      <c r="E1290" s="39" t="n"/>
      <c r="F1290" s="39" t="n"/>
      <c r="G1290" s="39" t="n"/>
      <c r="H1290" s="14">
        <f>INDEX(VarLab,MATCH($A1290,VarKey,0))&amp;INDEX(MemLab,MATCH($C1290&amp;"|"&amp;$B1290,MemKey,0))</f>
        <v/>
      </c>
      <c r="I1290" s="14">
        <f>INDEX(VarUnit,MATCH($A1290,VarKey,0))</f>
        <v/>
      </c>
      <c r="J1290" s="14">
        <f>INDEX(VarSrc,MATCH($A1290,VarKey,0))</f>
        <v/>
      </c>
      <c r="K1290" s="11">
        <f>CodePrefix&amp;$A1290&amp;IF($C1290="","","."&amp;$C1290&amp;"."&amp;$B1290)&amp;INDEX(VarEnd,MATCH($A1290,VarKey,0))&amp;K$5</f>
        <v/>
      </c>
      <c r="L1290" s="40">
        <f>L1263+L1272+L1281</f>
        <v/>
      </c>
      <c r="M1290" s="35">
        <f>M1263+M1272+M1281</f>
        <v/>
      </c>
      <c r="N1290" s="35">
        <f>N1263+N1272+N1281</f>
        <v/>
      </c>
      <c r="O1290" s="35">
        <f>O1263+O1272+O1281</f>
        <v/>
      </c>
      <c r="P1290" s="35">
        <f>P1263+P1272+P1281</f>
        <v/>
      </c>
      <c r="Q1290" s="35">
        <f>Q1263+Q1272+Q1281</f>
        <v/>
      </c>
      <c r="R1290" s="35">
        <f>R1263+R1272+R1281</f>
        <v/>
      </c>
      <c r="S1290" s="35">
        <f>S1263+S1272+S1281</f>
        <v/>
      </c>
      <c r="T1290" s="35">
        <f>T1263+T1272+T1281</f>
        <v/>
      </c>
      <c r="U1290" s="35">
        <f>U1263+U1272+U1281</f>
        <v/>
      </c>
      <c r="V1290" s="35">
        <f>V1263+V1272+V1281</f>
        <v/>
      </c>
      <c r="W1290" s="35">
        <f>W1263+W1272+W1281</f>
        <v/>
      </c>
      <c r="X1290" s="35">
        <f>X1263+X1272+X1281</f>
        <v/>
      </c>
      <c r="Y1290" s="35">
        <f>Y1263+Y1272+Y1281</f>
        <v/>
      </c>
      <c r="Z1290" s="35">
        <f>Z1263+Z1272+Z1281</f>
        <v/>
      </c>
      <c r="AA1290" s="35">
        <f>AA1263+AA1272+AA1281</f>
        <v/>
      </c>
      <c r="AB1290" s="35">
        <f>AB1263+AB1272+AB1281</f>
        <v/>
      </c>
      <c r="AC1290" s="35">
        <f>AC1263+AC1272+AC1281</f>
        <v/>
      </c>
      <c r="AD1290" s="35">
        <f>AD1263+AD1272+AD1281</f>
        <v/>
      </c>
      <c r="AE1290" s="42">
        <f>NEWPOLICY(AE1263,AE1272,AE1281)</f>
        <v/>
      </c>
      <c r="AG1290" s="11">
        <f>CodePrefix&amp;$A1290&amp;IF($C1290="","","."&amp;$C1290&amp;"."&amp;$B1290)&amp;INDEX(VarEnd,MATCH($A1290,VarKey,0))&amp;AG$5</f>
        <v/>
      </c>
      <c r="AH1290" s="40">
        <f>AH1263+AH1272+AH1281</f>
        <v/>
      </c>
      <c r="AI1290" s="35">
        <f>AI1263+AI1272+AI1281</f>
        <v/>
      </c>
      <c r="AJ1290" s="35">
        <f>AJ1263+AJ1272+AJ1281</f>
        <v/>
      </c>
      <c r="AK1290" s="35">
        <f>AK1263+AK1272+AK1281</f>
        <v/>
      </c>
      <c r="AL1290" s="35">
        <f>AL1263+AL1272+AL1281</f>
        <v/>
      </c>
      <c r="AM1290" s="35">
        <f>AM1263+AM1272+AM1281</f>
        <v/>
      </c>
      <c r="AN1290" s="35">
        <f>AN1263+AN1272+AN1281</f>
        <v/>
      </c>
      <c r="AO1290" s="35">
        <f>AO1263+AO1272+AO1281</f>
        <v/>
      </c>
      <c r="AP1290" s="35">
        <f>AP1263+AP1272+AP1281</f>
        <v/>
      </c>
      <c r="AQ1290" s="35">
        <f>AQ1263+AQ1272+AQ1281</f>
        <v/>
      </c>
      <c r="AR1290" s="35">
        <f>AR1263+AR1272+AR1281</f>
        <v/>
      </c>
      <c r="AS1290" s="35">
        <f>AS1263+AS1272+AS1281</f>
        <v/>
      </c>
      <c r="AT1290" s="35">
        <f>AT1263+AT1272+AT1281</f>
        <v/>
      </c>
      <c r="AU1290" s="35">
        <f>AU1263+AU1272+AU1281</f>
        <v/>
      </c>
      <c r="AV1290" s="35">
        <f>AV1263+AV1272+AV1281</f>
        <v/>
      </c>
      <c r="AW1290" s="35">
        <f>AW1263+AW1272+AW1281</f>
        <v/>
      </c>
      <c r="AX1290" s="35">
        <f>AX1263+AX1272+AX1281</f>
        <v/>
      </c>
      <c r="AY1290" s="35">
        <f>AY1263+AY1272+AY1281</f>
        <v/>
      </c>
      <c r="AZ1290" s="35">
        <f>AZ1263+AZ1272+AZ1281</f>
        <v/>
      </c>
      <c r="BA1290" s="42">
        <f>NEWPOLICY(BA1263,BA1272,BA1281)</f>
        <v/>
      </c>
    </row>
    <row r="1291" hidden="1" outlineLevel="2">
      <c r="A1291" s="14" t="inlineStr">
        <is>
          <t>nce</t>
        </is>
      </c>
      <c r="B1291" s="14" t="inlineStr">
        <is>
          <t>nga</t>
        </is>
      </c>
      <c r="C1291" s="14" t="inlineStr">
        <is>
          <t>avi</t>
        </is>
      </c>
      <c r="D1291" s="39" t="n"/>
      <c r="E1291" s="39" t="n"/>
      <c r="F1291" s="39" t="n"/>
      <c r="G1291" s="39" t="n"/>
      <c r="H1291" s="14">
        <f>INDEX(VarLab,MATCH($A1291,VarKey,0))&amp;INDEX(MemLab,MATCH($C1291&amp;"|"&amp;$B1291,MemKey,0))</f>
        <v/>
      </c>
      <c r="I1291" s="14">
        <f>INDEX(VarUnit,MATCH($A1291,VarKey,0))</f>
        <v/>
      </c>
      <c r="J1291" s="14">
        <f>INDEX(VarSrc,MATCH($A1291,VarKey,0))</f>
        <v/>
      </c>
      <c r="K1291" s="11">
        <f>CodePrefix&amp;$A1291&amp;IF($C1291="","","."&amp;$C1291&amp;"."&amp;$B1291)&amp;INDEX(VarEnd,MATCH($A1291,VarKey,0))&amp;K$5</f>
        <v/>
      </c>
      <c r="L1291" s="40">
        <f>L1264+L1273+L1282</f>
        <v/>
      </c>
      <c r="M1291" s="35">
        <f>M1264+M1273+M1282</f>
        <v/>
      </c>
      <c r="N1291" s="35">
        <f>N1264+N1273+N1282</f>
        <v/>
      </c>
      <c r="O1291" s="35">
        <f>O1264+O1273+O1282</f>
        <v/>
      </c>
      <c r="P1291" s="35">
        <f>P1264+P1273+P1282</f>
        <v/>
      </c>
      <c r="Q1291" s="35">
        <f>Q1264+Q1273+Q1282</f>
        <v/>
      </c>
      <c r="R1291" s="35">
        <f>R1264+R1273+R1282</f>
        <v/>
      </c>
      <c r="S1291" s="35">
        <f>S1264+S1273+S1282</f>
        <v/>
      </c>
      <c r="T1291" s="35">
        <f>T1264+T1273+T1282</f>
        <v/>
      </c>
      <c r="U1291" s="35">
        <f>U1264+U1273+U1282</f>
        <v/>
      </c>
      <c r="V1291" s="35">
        <f>V1264+V1273+V1282</f>
        <v/>
      </c>
      <c r="W1291" s="35">
        <f>W1264+W1273+W1282</f>
        <v/>
      </c>
      <c r="X1291" s="35">
        <f>X1264+X1273+X1282</f>
        <v/>
      </c>
      <c r="Y1291" s="35">
        <f>Y1264+Y1273+Y1282</f>
        <v/>
      </c>
      <c r="Z1291" s="35">
        <f>Z1264+Z1273+Z1282</f>
        <v/>
      </c>
      <c r="AA1291" s="35">
        <f>AA1264+AA1273+AA1282</f>
        <v/>
      </c>
      <c r="AB1291" s="35">
        <f>AB1264+AB1273+AB1282</f>
        <v/>
      </c>
      <c r="AC1291" s="35">
        <f>AC1264+AC1273+AC1282</f>
        <v/>
      </c>
      <c r="AD1291" s="35">
        <f>AD1264+AD1273+AD1282</f>
        <v/>
      </c>
      <c r="AE1291" s="42">
        <f>NEWPOLICY(AE1264,AE1273,AE1282)</f>
        <v/>
      </c>
      <c r="AG1291" s="11">
        <f>CodePrefix&amp;$A1291&amp;IF($C1291="","","."&amp;$C1291&amp;"."&amp;$B1291)&amp;INDEX(VarEnd,MATCH($A1291,VarKey,0))&amp;AG$5</f>
        <v/>
      </c>
      <c r="AH1291" s="40">
        <f>AH1264+AH1273+AH1282</f>
        <v/>
      </c>
      <c r="AI1291" s="35">
        <f>AI1264+AI1273+AI1282</f>
        <v/>
      </c>
      <c r="AJ1291" s="35">
        <f>AJ1264+AJ1273+AJ1282</f>
        <v/>
      </c>
      <c r="AK1291" s="35">
        <f>AK1264+AK1273+AK1282</f>
        <v/>
      </c>
      <c r="AL1291" s="35">
        <f>AL1264+AL1273+AL1282</f>
        <v/>
      </c>
      <c r="AM1291" s="35">
        <f>AM1264+AM1273+AM1282</f>
        <v/>
      </c>
      <c r="AN1291" s="35">
        <f>AN1264+AN1273+AN1282</f>
        <v/>
      </c>
      <c r="AO1291" s="35">
        <f>AO1264+AO1273+AO1282</f>
        <v/>
      </c>
      <c r="AP1291" s="35">
        <f>AP1264+AP1273+AP1282</f>
        <v/>
      </c>
      <c r="AQ1291" s="35">
        <f>AQ1264+AQ1273+AQ1282</f>
        <v/>
      </c>
      <c r="AR1291" s="35">
        <f>AR1264+AR1273+AR1282</f>
        <v/>
      </c>
      <c r="AS1291" s="35">
        <f>AS1264+AS1273+AS1282</f>
        <v/>
      </c>
      <c r="AT1291" s="35">
        <f>AT1264+AT1273+AT1282</f>
        <v/>
      </c>
      <c r="AU1291" s="35">
        <f>AU1264+AU1273+AU1282</f>
        <v/>
      </c>
      <c r="AV1291" s="35">
        <f>AV1264+AV1273+AV1282</f>
        <v/>
      </c>
      <c r="AW1291" s="35">
        <f>AW1264+AW1273+AW1282</f>
        <v/>
      </c>
      <c r="AX1291" s="35">
        <f>AX1264+AX1273+AX1282</f>
        <v/>
      </c>
      <c r="AY1291" s="35">
        <f>AY1264+AY1273+AY1282</f>
        <v/>
      </c>
      <c r="AZ1291" s="35">
        <f>AZ1264+AZ1273+AZ1282</f>
        <v/>
      </c>
      <c r="BA1291" s="42">
        <f>NEWPOLICY(BA1264,BA1273,BA1282)</f>
        <v/>
      </c>
    </row>
    <row r="1292" hidden="1" outlineLevel="2">
      <c r="A1292" s="14" t="inlineStr">
        <is>
          <t>nce</t>
        </is>
      </c>
      <c r="B1292" s="14" t="inlineStr">
        <is>
          <t>gso</t>
        </is>
      </c>
      <c r="C1292" s="14" t="inlineStr">
        <is>
          <t>avi</t>
        </is>
      </c>
      <c r="D1292" s="39" t="n"/>
      <c r="E1292" s="39" t="n"/>
      <c r="F1292" s="39" t="n"/>
      <c r="G1292" s="39" t="n"/>
      <c r="H1292" s="14">
        <f>INDEX(VarLab,MATCH($A1292,VarKey,0))&amp;INDEX(MemLab,MATCH($C1292&amp;"|"&amp;$B1292,MemKey,0))</f>
        <v/>
      </c>
      <c r="I1292" s="14">
        <f>INDEX(VarUnit,MATCH($A1292,VarKey,0))</f>
        <v/>
      </c>
      <c r="J1292" s="14">
        <f>INDEX(VarSrc,MATCH($A1292,VarKey,0))</f>
        <v/>
      </c>
      <c r="K1292" s="11">
        <f>CodePrefix&amp;$A1292&amp;IF($C1292="","","."&amp;$C1292&amp;"."&amp;$B1292)&amp;INDEX(VarEnd,MATCH($A1292,VarKey,0))&amp;K$5</f>
        <v/>
      </c>
      <c r="L1292" s="40">
        <f>L1265+L1274+L1283</f>
        <v/>
      </c>
      <c r="M1292" s="35">
        <f>M1265+M1274+M1283</f>
        <v/>
      </c>
      <c r="N1292" s="35">
        <f>N1265+N1274+N1283</f>
        <v/>
      </c>
      <c r="O1292" s="35">
        <f>O1265+O1274+O1283</f>
        <v/>
      </c>
      <c r="P1292" s="35">
        <f>P1265+P1274+P1283</f>
        <v/>
      </c>
      <c r="Q1292" s="35">
        <f>Q1265+Q1274+Q1283</f>
        <v/>
      </c>
      <c r="R1292" s="35">
        <f>R1265+R1274+R1283</f>
        <v/>
      </c>
      <c r="S1292" s="35">
        <f>S1265+S1274+S1283</f>
        <v/>
      </c>
      <c r="T1292" s="35">
        <f>T1265+T1274+T1283</f>
        <v/>
      </c>
      <c r="U1292" s="35">
        <f>U1265+U1274+U1283</f>
        <v/>
      </c>
      <c r="V1292" s="35">
        <f>V1265+V1274+V1283</f>
        <v/>
      </c>
      <c r="W1292" s="35">
        <f>W1265+W1274+W1283</f>
        <v/>
      </c>
      <c r="X1292" s="35">
        <f>X1265+X1274+X1283</f>
        <v/>
      </c>
      <c r="Y1292" s="35">
        <f>Y1265+Y1274+Y1283</f>
        <v/>
      </c>
      <c r="Z1292" s="35">
        <f>Z1265+Z1274+Z1283</f>
        <v/>
      </c>
      <c r="AA1292" s="35">
        <f>AA1265+AA1274+AA1283</f>
        <v/>
      </c>
      <c r="AB1292" s="35">
        <f>AB1265+AB1274+AB1283</f>
        <v/>
      </c>
      <c r="AC1292" s="35">
        <f>AC1265+AC1274+AC1283</f>
        <v/>
      </c>
      <c r="AD1292" s="35">
        <f>AD1265+AD1274+AD1283</f>
        <v/>
      </c>
      <c r="AE1292" s="42">
        <f>NEWPOLICY(AE1265,AE1274,AE1283)</f>
        <v/>
      </c>
      <c r="AG1292" s="11">
        <f>CodePrefix&amp;$A1292&amp;IF($C1292="","","."&amp;$C1292&amp;"."&amp;$B1292)&amp;INDEX(VarEnd,MATCH($A1292,VarKey,0))&amp;AG$5</f>
        <v/>
      </c>
      <c r="AH1292" s="40">
        <f>AH1265+AH1274+AH1283</f>
        <v/>
      </c>
      <c r="AI1292" s="35">
        <f>AI1265+AI1274+AI1283</f>
        <v/>
      </c>
      <c r="AJ1292" s="35">
        <f>AJ1265+AJ1274+AJ1283</f>
        <v/>
      </c>
      <c r="AK1292" s="35">
        <f>AK1265+AK1274+AK1283</f>
        <v/>
      </c>
      <c r="AL1292" s="35">
        <f>AL1265+AL1274+AL1283</f>
        <v/>
      </c>
      <c r="AM1292" s="35">
        <f>AM1265+AM1274+AM1283</f>
        <v/>
      </c>
      <c r="AN1292" s="35">
        <f>AN1265+AN1274+AN1283</f>
        <v/>
      </c>
      <c r="AO1292" s="35">
        <f>AO1265+AO1274+AO1283</f>
        <v/>
      </c>
      <c r="AP1292" s="35">
        <f>AP1265+AP1274+AP1283</f>
        <v/>
      </c>
      <c r="AQ1292" s="35">
        <f>AQ1265+AQ1274+AQ1283</f>
        <v/>
      </c>
      <c r="AR1292" s="35">
        <f>AR1265+AR1274+AR1283</f>
        <v/>
      </c>
      <c r="AS1292" s="35">
        <f>AS1265+AS1274+AS1283</f>
        <v/>
      </c>
      <c r="AT1292" s="35">
        <f>AT1265+AT1274+AT1283</f>
        <v/>
      </c>
      <c r="AU1292" s="35">
        <f>AU1265+AU1274+AU1283</f>
        <v/>
      </c>
      <c r="AV1292" s="35">
        <f>AV1265+AV1274+AV1283</f>
        <v/>
      </c>
      <c r="AW1292" s="35">
        <f>AW1265+AW1274+AW1283</f>
        <v/>
      </c>
      <c r="AX1292" s="35">
        <f>AX1265+AX1274+AX1283</f>
        <v/>
      </c>
      <c r="AY1292" s="35">
        <f>AY1265+AY1274+AY1283</f>
        <v/>
      </c>
      <c r="AZ1292" s="35">
        <f>AZ1265+AZ1274+AZ1283</f>
        <v/>
      </c>
      <c r="BA1292" s="42">
        <f>NEWPOLICY(BA1265,BA1274,BA1283)</f>
        <v/>
      </c>
    </row>
    <row r="1293" hidden="1" outlineLevel="2">
      <c r="A1293" s="14" t="inlineStr">
        <is>
          <t>nce</t>
        </is>
      </c>
      <c r="B1293" s="14" t="inlineStr">
        <is>
          <t>die</t>
        </is>
      </c>
      <c r="C1293" s="14" t="inlineStr">
        <is>
          <t>avi</t>
        </is>
      </c>
      <c r="D1293" s="39" t="n"/>
      <c r="E1293" s="39" t="n"/>
      <c r="F1293" s="39" t="n"/>
      <c r="G1293" s="39" t="n"/>
      <c r="H1293" s="14">
        <f>INDEX(VarLab,MATCH($A1293,VarKey,0))&amp;INDEX(MemLab,MATCH($C1293&amp;"|"&amp;$B1293,MemKey,0))</f>
        <v/>
      </c>
      <c r="I1293" s="14">
        <f>INDEX(VarUnit,MATCH($A1293,VarKey,0))</f>
        <v/>
      </c>
      <c r="J1293" s="14">
        <f>INDEX(VarSrc,MATCH($A1293,VarKey,0))</f>
        <v/>
      </c>
      <c r="K1293" s="11">
        <f>CodePrefix&amp;$A1293&amp;IF($C1293="","","."&amp;$C1293&amp;"."&amp;$B1293)&amp;INDEX(VarEnd,MATCH($A1293,VarKey,0))&amp;K$5</f>
        <v/>
      </c>
      <c r="L1293" s="40">
        <f>L1266+L1275+L1284</f>
        <v/>
      </c>
      <c r="M1293" s="35">
        <f>M1266+M1275+M1284</f>
        <v/>
      </c>
      <c r="N1293" s="35">
        <f>N1266+N1275+N1284</f>
        <v/>
      </c>
      <c r="O1293" s="35">
        <f>O1266+O1275+O1284</f>
        <v/>
      </c>
      <c r="P1293" s="35">
        <f>P1266+P1275+P1284</f>
        <v/>
      </c>
      <c r="Q1293" s="35">
        <f>Q1266+Q1275+Q1284</f>
        <v/>
      </c>
      <c r="R1293" s="35">
        <f>R1266+R1275+R1284</f>
        <v/>
      </c>
      <c r="S1293" s="35">
        <f>S1266+S1275+S1284</f>
        <v/>
      </c>
      <c r="T1293" s="35">
        <f>T1266+T1275+T1284</f>
        <v/>
      </c>
      <c r="U1293" s="35">
        <f>U1266+U1275+U1284</f>
        <v/>
      </c>
      <c r="V1293" s="35">
        <f>V1266+V1275+V1284</f>
        <v/>
      </c>
      <c r="W1293" s="35">
        <f>W1266+W1275+W1284</f>
        <v/>
      </c>
      <c r="X1293" s="35">
        <f>X1266+X1275+X1284</f>
        <v/>
      </c>
      <c r="Y1293" s="35">
        <f>Y1266+Y1275+Y1284</f>
        <v/>
      </c>
      <c r="Z1293" s="35">
        <f>Z1266+Z1275+Z1284</f>
        <v/>
      </c>
      <c r="AA1293" s="35">
        <f>AA1266+AA1275+AA1284</f>
        <v/>
      </c>
      <c r="AB1293" s="35">
        <f>AB1266+AB1275+AB1284</f>
        <v/>
      </c>
      <c r="AC1293" s="35">
        <f>AC1266+AC1275+AC1284</f>
        <v/>
      </c>
      <c r="AD1293" s="35">
        <f>AD1266+AD1275+AD1284</f>
        <v/>
      </c>
      <c r="AE1293" s="42">
        <f>NEWPOLICY(AE1266,AE1275,AE1284)</f>
        <v/>
      </c>
      <c r="AG1293" s="11">
        <f>CodePrefix&amp;$A1293&amp;IF($C1293="","","."&amp;$C1293&amp;"."&amp;$B1293)&amp;INDEX(VarEnd,MATCH($A1293,VarKey,0))&amp;AG$5</f>
        <v/>
      </c>
      <c r="AH1293" s="40">
        <f>AH1266+AH1275+AH1284</f>
        <v/>
      </c>
      <c r="AI1293" s="35">
        <f>AI1266+AI1275+AI1284</f>
        <v/>
      </c>
      <c r="AJ1293" s="35">
        <f>AJ1266+AJ1275+AJ1284</f>
        <v/>
      </c>
      <c r="AK1293" s="35">
        <f>AK1266+AK1275+AK1284</f>
        <v/>
      </c>
      <c r="AL1293" s="35">
        <f>AL1266+AL1275+AL1284</f>
        <v/>
      </c>
      <c r="AM1293" s="35">
        <f>AM1266+AM1275+AM1284</f>
        <v/>
      </c>
      <c r="AN1293" s="35">
        <f>AN1266+AN1275+AN1284</f>
        <v/>
      </c>
      <c r="AO1293" s="35">
        <f>AO1266+AO1275+AO1284</f>
        <v/>
      </c>
      <c r="AP1293" s="35">
        <f>AP1266+AP1275+AP1284</f>
        <v/>
      </c>
      <c r="AQ1293" s="35">
        <f>AQ1266+AQ1275+AQ1284</f>
        <v/>
      </c>
      <c r="AR1293" s="35">
        <f>AR1266+AR1275+AR1284</f>
        <v/>
      </c>
      <c r="AS1293" s="35">
        <f>AS1266+AS1275+AS1284</f>
        <v/>
      </c>
      <c r="AT1293" s="35">
        <f>AT1266+AT1275+AT1284</f>
        <v/>
      </c>
      <c r="AU1293" s="35">
        <f>AU1266+AU1275+AU1284</f>
        <v/>
      </c>
      <c r="AV1293" s="35">
        <f>AV1266+AV1275+AV1284</f>
        <v/>
      </c>
      <c r="AW1293" s="35">
        <f>AW1266+AW1275+AW1284</f>
        <v/>
      </c>
      <c r="AX1293" s="35">
        <f>AX1266+AX1275+AX1284</f>
        <v/>
      </c>
      <c r="AY1293" s="35">
        <f>AY1266+AY1275+AY1284</f>
        <v/>
      </c>
      <c r="AZ1293" s="35">
        <f>AZ1266+AZ1275+AZ1284</f>
        <v/>
      </c>
      <c r="BA1293" s="42">
        <f>NEWPOLICY(BA1266,BA1275,BA1284)</f>
        <v/>
      </c>
    </row>
    <row r="1294" hidden="1" outlineLevel="2">
      <c r="A1294" s="14" t="inlineStr">
        <is>
          <t>nce</t>
        </is>
      </c>
      <c r="B1294" s="14" t="inlineStr">
        <is>
          <t>lpg</t>
        </is>
      </c>
      <c r="C1294" s="14" t="inlineStr">
        <is>
          <t>avi</t>
        </is>
      </c>
      <c r="D1294" s="39" t="n"/>
      <c r="E1294" s="39" t="n"/>
      <c r="F1294" s="39" t="n"/>
      <c r="G1294" s="39" t="n"/>
      <c r="H1294" s="14">
        <f>INDEX(VarLab,MATCH($A1294,VarKey,0))&amp;INDEX(MemLab,MATCH($C1294&amp;"|"&amp;$B1294,MemKey,0))</f>
        <v/>
      </c>
      <c r="I1294" s="14">
        <f>INDEX(VarUnit,MATCH($A1294,VarKey,0))</f>
        <v/>
      </c>
      <c r="J1294" s="14">
        <f>INDEX(VarSrc,MATCH($A1294,VarKey,0))</f>
        <v/>
      </c>
      <c r="K1294" s="11">
        <f>CodePrefix&amp;$A1294&amp;IF($C1294="","","."&amp;$C1294&amp;"."&amp;$B1294)&amp;INDEX(VarEnd,MATCH($A1294,VarKey,0))&amp;K$5</f>
        <v/>
      </c>
      <c r="L1294" s="40">
        <f>L1267+L1276+L1285</f>
        <v/>
      </c>
      <c r="M1294" s="35">
        <f>M1267+M1276+M1285</f>
        <v/>
      </c>
      <c r="N1294" s="35">
        <f>N1267+N1276+N1285</f>
        <v/>
      </c>
      <c r="O1294" s="35">
        <f>O1267+O1276+O1285</f>
        <v/>
      </c>
      <c r="P1294" s="35">
        <f>P1267+P1276+P1285</f>
        <v/>
      </c>
      <c r="Q1294" s="35">
        <f>Q1267+Q1276+Q1285</f>
        <v/>
      </c>
      <c r="R1294" s="35">
        <f>R1267+R1276+R1285</f>
        <v/>
      </c>
      <c r="S1294" s="35">
        <f>S1267+S1276+S1285</f>
        <v/>
      </c>
      <c r="T1294" s="35">
        <f>T1267+T1276+T1285</f>
        <v/>
      </c>
      <c r="U1294" s="35">
        <f>U1267+U1276+U1285</f>
        <v/>
      </c>
      <c r="V1294" s="35">
        <f>V1267+V1276+V1285</f>
        <v/>
      </c>
      <c r="W1294" s="35">
        <f>W1267+W1276+W1285</f>
        <v/>
      </c>
      <c r="X1294" s="35">
        <f>X1267+X1276+X1285</f>
        <v/>
      </c>
      <c r="Y1294" s="35">
        <f>Y1267+Y1276+Y1285</f>
        <v/>
      </c>
      <c r="Z1294" s="35">
        <f>Z1267+Z1276+Z1285</f>
        <v/>
      </c>
      <c r="AA1294" s="35">
        <f>AA1267+AA1276+AA1285</f>
        <v/>
      </c>
      <c r="AB1294" s="35">
        <f>AB1267+AB1276+AB1285</f>
        <v/>
      </c>
      <c r="AC1294" s="35">
        <f>AC1267+AC1276+AC1285</f>
        <v/>
      </c>
      <c r="AD1294" s="35">
        <f>AD1267+AD1276+AD1285</f>
        <v/>
      </c>
      <c r="AE1294" s="42">
        <f>NEWPOLICY(AE1267,AE1276,AE1285)</f>
        <v/>
      </c>
      <c r="AG1294" s="11">
        <f>CodePrefix&amp;$A1294&amp;IF($C1294="","","."&amp;$C1294&amp;"."&amp;$B1294)&amp;INDEX(VarEnd,MATCH($A1294,VarKey,0))&amp;AG$5</f>
        <v/>
      </c>
      <c r="AH1294" s="40">
        <f>AH1267+AH1276+AH1285</f>
        <v/>
      </c>
      <c r="AI1294" s="35">
        <f>AI1267+AI1276+AI1285</f>
        <v/>
      </c>
      <c r="AJ1294" s="35">
        <f>AJ1267+AJ1276+AJ1285</f>
        <v/>
      </c>
      <c r="AK1294" s="35">
        <f>AK1267+AK1276+AK1285</f>
        <v/>
      </c>
      <c r="AL1294" s="35">
        <f>AL1267+AL1276+AL1285</f>
        <v/>
      </c>
      <c r="AM1294" s="35">
        <f>AM1267+AM1276+AM1285</f>
        <v/>
      </c>
      <c r="AN1294" s="35">
        <f>AN1267+AN1276+AN1285</f>
        <v/>
      </c>
      <c r="AO1294" s="35">
        <f>AO1267+AO1276+AO1285</f>
        <v/>
      </c>
      <c r="AP1294" s="35">
        <f>AP1267+AP1276+AP1285</f>
        <v/>
      </c>
      <c r="AQ1294" s="35">
        <f>AQ1267+AQ1276+AQ1285</f>
        <v/>
      </c>
      <c r="AR1294" s="35">
        <f>AR1267+AR1276+AR1285</f>
        <v/>
      </c>
      <c r="AS1294" s="35">
        <f>AS1267+AS1276+AS1285</f>
        <v/>
      </c>
      <c r="AT1294" s="35">
        <f>AT1267+AT1276+AT1285</f>
        <v/>
      </c>
      <c r="AU1294" s="35">
        <f>AU1267+AU1276+AU1285</f>
        <v/>
      </c>
      <c r="AV1294" s="35">
        <f>AV1267+AV1276+AV1285</f>
        <v/>
      </c>
      <c r="AW1294" s="35">
        <f>AW1267+AW1276+AW1285</f>
        <v/>
      </c>
      <c r="AX1294" s="35">
        <f>AX1267+AX1276+AX1285</f>
        <v/>
      </c>
      <c r="AY1294" s="35">
        <f>AY1267+AY1276+AY1285</f>
        <v/>
      </c>
      <c r="AZ1294" s="35">
        <f>AZ1267+AZ1276+AZ1285</f>
        <v/>
      </c>
      <c r="BA1294" s="42">
        <f>NEWPOLICY(BA1267,BA1276,BA1285)</f>
        <v/>
      </c>
    </row>
    <row r="1295" hidden="1" outlineLevel="2">
      <c r="A1295" s="14" t="inlineStr">
        <is>
          <t>nce</t>
        </is>
      </c>
      <c r="B1295" s="14" t="inlineStr">
        <is>
          <t>ker</t>
        </is>
      </c>
      <c r="C1295" s="14" t="inlineStr">
        <is>
          <t>avi</t>
        </is>
      </c>
      <c r="D1295" s="39" t="n"/>
      <c r="E1295" s="39" t="n"/>
      <c r="F1295" s="39" t="n"/>
      <c r="G1295" s="39" t="n"/>
      <c r="H1295" s="14">
        <f>INDEX(VarLab,MATCH($A1295,VarKey,0))&amp;INDEX(MemLab,MATCH($C1295&amp;"|"&amp;$B1295,MemKey,0))</f>
        <v/>
      </c>
      <c r="I1295" s="14">
        <f>INDEX(VarUnit,MATCH($A1295,VarKey,0))</f>
        <v/>
      </c>
      <c r="J1295" s="14">
        <f>INDEX(VarSrc,MATCH($A1295,VarKey,0))</f>
        <v/>
      </c>
      <c r="K1295" s="11">
        <f>CodePrefix&amp;$A1295&amp;IF($C1295="","","."&amp;$C1295&amp;"."&amp;$B1295)&amp;INDEX(VarEnd,MATCH($A1295,VarKey,0))&amp;K$5</f>
        <v/>
      </c>
      <c r="L1295" s="40">
        <f>L1268+L1277+L1286</f>
        <v/>
      </c>
      <c r="M1295" s="35">
        <f>M1268+M1277+M1286</f>
        <v/>
      </c>
      <c r="N1295" s="35">
        <f>N1268+N1277+N1286</f>
        <v/>
      </c>
      <c r="O1295" s="35">
        <f>O1268+O1277+O1286</f>
        <v/>
      </c>
      <c r="P1295" s="35">
        <f>P1268+P1277+P1286</f>
        <v/>
      </c>
      <c r="Q1295" s="35">
        <f>Q1268+Q1277+Q1286</f>
        <v/>
      </c>
      <c r="R1295" s="35">
        <f>R1268+R1277+R1286</f>
        <v/>
      </c>
      <c r="S1295" s="35">
        <f>S1268+S1277+S1286</f>
        <v/>
      </c>
      <c r="T1295" s="35">
        <f>T1268+T1277+T1286</f>
        <v/>
      </c>
      <c r="U1295" s="35">
        <f>U1268+U1277+U1286</f>
        <v/>
      </c>
      <c r="V1295" s="35">
        <f>V1268+V1277+V1286</f>
        <v/>
      </c>
      <c r="W1295" s="35">
        <f>W1268+W1277+W1286</f>
        <v/>
      </c>
      <c r="X1295" s="35">
        <f>X1268+X1277+X1286</f>
        <v/>
      </c>
      <c r="Y1295" s="35">
        <f>Y1268+Y1277+Y1286</f>
        <v/>
      </c>
      <c r="Z1295" s="35">
        <f>Z1268+Z1277+Z1286</f>
        <v/>
      </c>
      <c r="AA1295" s="35">
        <f>AA1268+AA1277+AA1286</f>
        <v/>
      </c>
      <c r="AB1295" s="35">
        <f>AB1268+AB1277+AB1286</f>
        <v/>
      </c>
      <c r="AC1295" s="35">
        <f>AC1268+AC1277+AC1286</f>
        <v/>
      </c>
      <c r="AD1295" s="35">
        <f>AD1268+AD1277+AD1286</f>
        <v/>
      </c>
      <c r="AE1295" s="42">
        <f>NEWPOLICY(AE1268,AE1277,AE1286)</f>
        <v/>
      </c>
      <c r="AG1295" s="11">
        <f>CodePrefix&amp;$A1295&amp;IF($C1295="","","."&amp;$C1295&amp;"."&amp;$B1295)&amp;INDEX(VarEnd,MATCH($A1295,VarKey,0))&amp;AG$5</f>
        <v/>
      </c>
      <c r="AH1295" s="40">
        <f>AH1268+AH1277+AH1286</f>
        <v/>
      </c>
      <c r="AI1295" s="35">
        <f>AI1268+AI1277+AI1286</f>
        <v/>
      </c>
      <c r="AJ1295" s="35">
        <f>AJ1268+AJ1277+AJ1286</f>
        <v/>
      </c>
      <c r="AK1295" s="35">
        <f>AK1268+AK1277+AK1286</f>
        <v/>
      </c>
      <c r="AL1295" s="35">
        <f>AL1268+AL1277+AL1286</f>
        <v/>
      </c>
      <c r="AM1295" s="35">
        <f>AM1268+AM1277+AM1286</f>
        <v/>
      </c>
      <c r="AN1295" s="35">
        <f>AN1268+AN1277+AN1286</f>
        <v/>
      </c>
      <c r="AO1295" s="35">
        <f>AO1268+AO1277+AO1286</f>
        <v/>
      </c>
      <c r="AP1295" s="35">
        <f>AP1268+AP1277+AP1286</f>
        <v/>
      </c>
      <c r="AQ1295" s="35">
        <f>AQ1268+AQ1277+AQ1286</f>
        <v/>
      </c>
      <c r="AR1295" s="35">
        <f>AR1268+AR1277+AR1286</f>
        <v/>
      </c>
      <c r="AS1295" s="35">
        <f>AS1268+AS1277+AS1286</f>
        <v/>
      </c>
      <c r="AT1295" s="35">
        <f>AT1268+AT1277+AT1286</f>
        <v/>
      </c>
      <c r="AU1295" s="35">
        <f>AU1268+AU1277+AU1286</f>
        <v/>
      </c>
      <c r="AV1295" s="35">
        <f>AV1268+AV1277+AV1286</f>
        <v/>
      </c>
      <c r="AW1295" s="35">
        <f>AW1268+AW1277+AW1286</f>
        <v/>
      </c>
      <c r="AX1295" s="35">
        <f>AX1268+AX1277+AX1286</f>
        <v/>
      </c>
      <c r="AY1295" s="35">
        <f>AY1268+AY1277+AY1286</f>
        <v/>
      </c>
      <c r="AZ1295" s="35">
        <f>AZ1268+AZ1277+AZ1286</f>
        <v/>
      </c>
      <c r="BA1295" s="42">
        <f>NEWPOLICY(BA1268,BA1277,BA1286)</f>
        <v/>
      </c>
    </row>
    <row r="1296" hidden="1" outlineLevel="2">
      <c r="A1296" s="14" t="inlineStr">
        <is>
          <t>nce</t>
        </is>
      </c>
      <c r="B1296" s="14" t="inlineStr">
        <is>
          <t>oop</t>
        </is>
      </c>
      <c r="C1296" s="14" t="inlineStr">
        <is>
          <t>avi</t>
        </is>
      </c>
      <c r="D1296" s="39" t="n"/>
      <c r="E1296" s="39" t="n"/>
      <c r="F1296" s="39" t="n"/>
      <c r="G1296" s="39" t="n"/>
      <c r="H1296" s="14">
        <f>INDEX(VarLab,MATCH($A1296,VarKey,0))&amp;INDEX(MemLab,MATCH($C1296&amp;"|"&amp;$B1296,MemKey,0))</f>
        <v/>
      </c>
      <c r="I1296" s="14">
        <f>INDEX(VarUnit,MATCH($A1296,VarKey,0))</f>
        <v/>
      </c>
      <c r="J1296" s="14">
        <f>INDEX(VarSrc,MATCH($A1296,VarKey,0))</f>
        <v/>
      </c>
      <c r="K1296" s="11">
        <f>CodePrefix&amp;$A1296&amp;IF($C1296="","","."&amp;$C1296&amp;"."&amp;$B1296)&amp;INDEX(VarEnd,MATCH($A1296,VarKey,0))&amp;K$5</f>
        <v/>
      </c>
      <c r="L1296" s="40">
        <f>L1269+L1278+L1287</f>
        <v/>
      </c>
      <c r="M1296" s="35">
        <f>M1269+M1278+M1287</f>
        <v/>
      </c>
      <c r="N1296" s="35">
        <f>N1269+N1278+N1287</f>
        <v/>
      </c>
      <c r="O1296" s="35">
        <f>O1269+O1278+O1287</f>
        <v/>
      </c>
      <c r="P1296" s="35">
        <f>P1269+P1278+P1287</f>
        <v/>
      </c>
      <c r="Q1296" s="35">
        <f>Q1269+Q1278+Q1287</f>
        <v/>
      </c>
      <c r="R1296" s="35">
        <f>R1269+R1278+R1287</f>
        <v/>
      </c>
      <c r="S1296" s="35">
        <f>S1269+S1278+S1287</f>
        <v/>
      </c>
      <c r="T1296" s="35">
        <f>T1269+T1278+T1287</f>
        <v/>
      </c>
      <c r="U1296" s="35">
        <f>U1269+U1278+U1287</f>
        <v/>
      </c>
      <c r="V1296" s="35">
        <f>V1269+V1278+V1287</f>
        <v/>
      </c>
      <c r="W1296" s="35">
        <f>W1269+W1278+W1287</f>
        <v/>
      </c>
      <c r="X1296" s="35">
        <f>X1269+X1278+X1287</f>
        <v/>
      </c>
      <c r="Y1296" s="35">
        <f>Y1269+Y1278+Y1287</f>
        <v/>
      </c>
      <c r="Z1296" s="35">
        <f>Z1269+Z1278+Z1287</f>
        <v/>
      </c>
      <c r="AA1296" s="35">
        <f>AA1269+AA1278+AA1287</f>
        <v/>
      </c>
      <c r="AB1296" s="35">
        <f>AB1269+AB1278+AB1287</f>
        <v/>
      </c>
      <c r="AC1296" s="35">
        <f>AC1269+AC1278+AC1287</f>
        <v/>
      </c>
      <c r="AD1296" s="35">
        <f>AD1269+AD1278+AD1287</f>
        <v/>
      </c>
      <c r="AE1296" s="42">
        <f>NEWPOLICY(AE1269,AE1278,AE1287)</f>
        <v/>
      </c>
      <c r="AG1296" s="11">
        <f>CodePrefix&amp;$A1296&amp;IF($C1296="","","."&amp;$C1296&amp;"."&amp;$B1296)&amp;INDEX(VarEnd,MATCH($A1296,VarKey,0))&amp;AG$5</f>
        <v/>
      </c>
      <c r="AH1296" s="40">
        <f>AH1269+AH1278+AH1287</f>
        <v/>
      </c>
      <c r="AI1296" s="35">
        <f>AI1269+AI1278+AI1287</f>
        <v/>
      </c>
      <c r="AJ1296" s="35">
        <f>AJ1269+AJ1278+AJ1287</f>
        <v/>
      </c>
      <c r="AK1296" s="35">
        <f>AK1269+AK1278+AK1287</f>
        <v/>
      </c>
      <c r="AL1296" s="35">
        <f>AL1269+AL1278+AL1287</f>
        <v/>
      </c>
      <c r="AM1296" s="35">
        <f>AM1269+AM1278+AM1287</f>
        <v/>
      </c>
      <c r="AN1296" s="35">
        <f>AN1269+AN1278+AN1287</f>
        <v/>
      </c>
      <c r="AO1296" s="35">
        <f>AO1269+AO1278+AO1287</f>
        <v/>
      </c>
      <c r="AP1296" s="35">
        <f>AP1269+AP1278+AP1287</f>
        <v/>
      </c>
      <c r="AQ1296" s="35">
        <f>AQ1269+AQ1278+AQ1287</f>
        <v/>
      </c>
      <c r="AR1296" s="35">
        <f>AR1269+AR1278+AR1287</f>
        <v/>
      </c>
      <c r="AS1296" s="35">
        <f>AS1269+AS1278+AS1287</f>
        <v/>
      </c>
      <c r="AT1296" s="35">
        <f>AT1269+AT1278+AT1287</f>
        <v/>
      </c>
      <c r="AU1296" s="35">
        <f>AU1269+AU1278+AU1287</f>
        <v/>
      </c>
      <c r="AV1296" s="35">
        <f>AV1269+AV1278+AV1287</f>
        <v/>
      </c>
      <c r="AW1296" s="35">
        <f>AW1269+AW1278+AW1287</f>
        <v/>
      </c>
      <c r="AX1296" s="35">
        <f>AX1269+AX1278+AX1287</f>
        <v/>
      </c>
      <c r="AY1296" s="35">
        <f>AY1269+AY1278+AY1287</f>
        <v/>
      </c>
      <c r="AZ1296" s="35">
        <f>AZ1269+AZ1278+AZ1287</f>
        <v/>
      </c>
      <c r="BA1296" s="42">
        <f>NEWPOLICY(BA1269,BA1278,BA1287)</f>
        <v/>
      </c>
    </row>
    <row r="1297" hidden="1" outlineLevel="2">
      <c r="A1297" s="14" t="inlineStr">
        <is>
          <t>nce</t>
        </is>
      </c>
      <c r="B1297" s="14" t="inlineStr">
        <is>
          <t>bio</t>
        </is>
      </c>
      <c r="C1297" s="14" t="inlineStr">
        <is>
          <t>avi</t>
        </is>
      </c>
      <c r="D1297" s="39" t="n"/>
      <c r="E1297" s="39" t="n"/>
      <c r="F1297" s="39" t="n"/>
      <c r="G1297" s="39" t="n"/>
      <c r="H1297" s="14">
        <f>INDEX(VarLab,MATCH($A1297,VarKey,0))&amp;INDEX(MemLab,MATCH($C1297&amp;"|"&amp;$B1297,MemKey,0))</f>
        <v/>
      </c>
      <c r="I1297" s="14">
        <f>INDEX(VarUnit,MATCH($A1297,VarKey,0))</f>
        <v/>
      </c>
      <c r="J1297" s="14">
        <f>INDEX(VarSrc,MATCH($A1297,VarKey,0))</f>
        <v/>
      </c>
      <c r="K1297" s="11">
        <f>CodePrefix&amp;$A1297&amp;IF($C1297="","","."&amp;$C1297&amp;"."&amp;$B1297)&amp;INDEX(VarEnd,MATCH($A1297,VarKey,0))&amp;K$5</f>
        <v/>
      </c>
      <c r="L1297" s="40">
        <f>L1270+L1279+L1288</f>
        <v/>
      </c>
      <c r="M1297" s="35">
        <f>M1270+M1279+M1288</f>
        <v/>
      </c>
      <c r="N1297" s="35">
        <f>N1270+N1279+N1288</f>
        <v/>
      </c>
      <c r="O1297" s="35">
        <f>O1270+O1279+O1288</f>
        <v/>
      </c>
      <c r="P1297" s="35">
        <f>P1270+P1279+P1288</f>
        <v/>
      </c>
      <c r="Q1297" s="35">
        <f>Q1270+Q1279+Q1288</f>
        <v/>
      </c>
      <c r="R1297" s="35">
        <f>R1270+R1279+R1288</f>
        <v/>
      </c>
      <c r="S1297" s="35">
        <f>S1270+S1279+S1288</f>
        <v/>
      </c>
      <c r="T1297" s="35">
        <f>T1270+T1279+T1288</f>
        <v/>
      </c>
      <c r="U1297" s="35">
        <f>U1270+U1279+U1288</f>
        <v/>
      </c>
      <c r="V1297" s="35">
        <f>V1270+V1279+V1288</f>
        <v/>
      </c>
      <c r="W1297" s="35">
        <f>W1270+W1279+W1288</f>
        <v/>
      </c>
      <c r="X1297" s="35">
        <f>X1270+X1279+X1288</f>
        <v/>
      </c>
      <c r="Y1297" s="35">
        <f>Y1270+Y1279+Y1288</f>
        <v/>
      </c>
      <c r="Z1297" s="35">
        <f>Z1270+Z1279+Z1288</f>
        <v/>
      </c>
      <c r="AA1297" s="35">
        <f>AA1270+AA1279+AA1288</f>
        <v/>
      </c>
      <c r="AB1297" s="35">
        <f>AB1270+AB1279+AB1288</f>
        <v/>
      </c>
      <c r="AC1297" s="35">
        <f>AC1270+AC1279+AC1288</f>
        <v/>
      </c>
      <c r="AD1297" s="35">
        <f>AD1270+AD1279+AD1288</f>
        <v/>
      </c>
      <c r="AE1297" s="42">
        <f>NEWPOLICY(AE1270,AE1279,AE1288)</f>
        <v/>
      </c>
      <c r="AG1297" s="11">
        <f>CodePrefix&amp;$A1297&amp;IF($C1297="","","."&amp;$C1297&amp;"."&amp;$B1297)&amp;INDEX(VarEnd,MATCH($A1297,VarKey,0))&amp;AG$5</f>
        <v/>
      </c>
      <c r="AH1297" s="40">
        <f>AH1270+AH1279+AH1288</f>
        <v/>
      </c>
      <c r="AI1297" s="35">
        <f>AI1270+AI1279+AI1288</f>
        <v/>
      </c>
      <c r="AJ1297" s="35">
        <f>AJ1270+AJ1279+AJ1288</f>
        <v/>
      </c>
      <c r="AK1297" s="35">
        <f>AK1270+AK1279+AK1288</f>
        <v/>
      </c>
      <c r="AL1297" s="35">
        <f>AL1270+AL1279+AL1288</f>
        <v/>
      </c>
      <c r="AM1297" s="35">
        <f>AM1270+AM1279+AM1288</f>
        <v/>
      </c>
      <c r="AN1297" s="35">
        <f>AN1270+AN1279+AN1288</f>
        <v/>
      </c>
      <c r="AO1297" s="35">
        <f>AO1270+AO1279+AO1288</f>
        <v/>
      </c>
      <c r="AP1297" s="35">
        <f>AP1270+AP1279+AP1288</f>
        <v/>
      </c>
      <c r="AQ1297" s="35">
        <f>AQ1270+AQ1279+AQ1288</f>
        <v/>
      </c>
      <c r="AR1297" s="35">
        <f>AR1270+AR1279+AR1288</f>
        <v/>
      </c>
      <c r="AS1297" s="35">
        <f>AS1270+AS1279+AS1288</f>
        <v/>
      </c>
      <c r="AT1297" s="35">
        <f>AT1270+AT1279+AT1288</f>
        <v/>
      </c>
      <c r="AU1297" s="35">
        <f>AU1270+AU1279+AU1288</f>
        <v/>
      </c>
      <c r="AV1297" s="35">
        <f>AV1270+AV1279+AV1288</f>
        <v/>
      </c>
      <c r="AW1297" s="35">
        <f>AW1270+AW1279+AW1288</f>
        <v/>
      </c>
      <c r="AX1297" s="35">
        <f>AX1270+AX1279+AX1288</f>
        <v/>
      </c>
      <c r="AY1297" s="35">
        <f>AY1270+AY1279+AY1288</f>
        <v/>
      </c>
      <c r="AZ1297" s="35">
        <f>AZ1270+AZ1279+AZ1288</f>
        <v/>
      </c>
      <c r="BA1297" s="42">
        <f>NEWPOLICY(BA1270,BA1279,BA1288)</f>
        <v/>
      </c>
    </row>
    <row r="1298" hidden="1" outlineLevel="2"/>
    <row r="1299" hidden="1" outlineLevel="2">
      <c r="A1299" s="14" t="inlineStr">
        <is>
          <t>xcp</t>
        </is>
      </c>
      <c r="B1299" s="14" t="inlineStr">
        <is>
          <t>coa</t>
        </is>
      </c>
      <c r="C1299" s="14" t="inlineStr">
        <is>
          <t>avi</t>
        </is>
      </c>
      <c r="D1299" s="35">
        <f>INDEX(Inputs!$W$5:$W$132,MATCH($B1299&amp;"|"&amp;$C1299,Inputs!$A$5:$A$132,0))</f>
        <v/>
      </c>
      <c r="E1299" s="35">
        <f>INDEX(Inputs!$Z$5:$Z$132,MATCH($B1299&amp;"|"&amp;$C1299,Inputs!$A$5:$A$132,0))</f>
        <v/>
      </c>
      <c r="F1299" s="35">
        <f>INDEX(Inputs!$AA$5:$AA$132,MATCH($B1299&amp;"|"&amp;$C1299,Inputs!$A$5:$A$132,0))</f>
        <v/>
      </c>
      <c r="G1299" s="39" t="n"/>
      <c r="H1299" s="14">
        <f>INDEX(VarLab,MATCH($A1299,VarKey,0))&amp;INDEX(MemLab,MATCH($C1299&amp;"|"&amp;$B1299,MemKey,0))</f>
        <v/>
      </c>
      <c r="I1299" s="14">
        <f>INDEX(VarUnit,MATCH($A1299,VarKey,0))</f>
        <v/>
      </c>
      <c r="J1299" s="14">
        <f>INDEX(VarSrc,MATCH($A1299,VarKey,0))</f>
        <v/>
      </c>
      <c r="K1299" s="11">
        <f>CodePrefix&amp;$A1299&amp;IF($C1299="","","."&amp;$C1299&amp;"."&amp;$B1299)&amp;INDEX(VarEnd,MATCH($A1299,VarKey,0))&amp;K$5</f>
        <v/>
      </c>
      <c r="L1299" s="40">
        <f>$D1299*($E1299*L$321+$F1299*L$324)</f>
        <v/>
      </c>
      <c r="M1299" s="35">
        <f>$D1299*($E1299*M$321+$F1299*M$324)</f>
        <v/>
      </c>
      <c r="N1299" s="35">
        <f>$D1299*($E1299*N$321+$F1299*N$324)</f>
        <v/>
      </c>
      <c r="O1299" s="35">
        <f>$D1299*($E1299*O$321+$F1299*O$324)</f>
        <v/>
      </c>
      <c r="P1299" s="35">
        <f>$D1299*($E1299*P$321+$F1299*P$324)</f>
        <v/>
      </c>
      <c r="Q1299" s="35">
        <f>$D1299*($E1299*Q$321+$F1299*Q$324)</f>
        <v/>
      </c>
      <c r="R1299" s="35">
        <f>$D1299*($E1299*R$321+$F1299*R$324)</f>
        <v/>
      </c>
      <c r="S1299" s="35">
        <f>$D1299*($E1299*S$321+$F1299*S$324)</f>
        <v/>
      </c>
      <c r="T1299" s="35">
        <f>$D1299*($E1299*T$321+$F1299*T$324)</f>
        <v/>
      </c>
      <c r="U1299" s="35">
        <f>$D1299*($E1299*U$321+$F1299*U$324)</f>
        <v/>
      </c>
      <c r="V1299" s="35">
        <f>$D1299*($E1299*V$321+$F1299*V$324)</f>
        <v/>
      </c>
      <c r="W1299" s="35">
        <f>$D1299*($E1299*W$321+$F1299*W$324)</f>
        <v/>
      </c>
      <c r="X1299" s="35">
        <f>$D1299*($E1299*X$321+$F1299*X$324)</f>
        <v/>
      </c>
      <c r="Y1299" s="35">
        <f>$D1299*($E1299*Y$321+$F1299*Y$324)</f>
        <v/>
      </c>
      <c r="Z1299" s="35">
        <f>$D1299*($E1299*Z$321+$F1299*Z$324)</f>
        <v/>
      </c>
      <c r="AA1299" s="35">
        <f>$D1299*($E1299*AA$321+$F1299*AA$324)</f>
        <v/>
      </c>
      <c r="AB1299" s="35">
        <f>$D1299*($E1299*AB$321+$F1299*AB$324)</f>
        <v/>
      </c>
      <c r="AC1299" s="35">
        <f>$D1299*($E1299*AC$321+$F1299*AC$324)</f>
        <v/>
      </c>
      <c r="AD1299" s="35">
        <f>$D1299*($E1299*AD$321+$F1299*AD$324)</f>
        <v/>
      </c>
      <c r="AE1299" s="42">
        <f>XCARBON($D1299,$E1299,AE$321,$F1299,AE$324)</f>
        <v/>
      </c>
      <c r="AG1299" s="11">
        <f>CodePrefix&amp;$A1299&amp;IF($C1299="","","."&amp;$C1299&amp;"."&amp;$B1299)&amp;INDEX(VarEnd,MATCH($A1299,VarKey,0))&amp;AG$5</f>
        <v/>
      </c>
      <c r="AH1299" s="40">
        <f>$D1299*($E1299*AH$321+$F1299*AH$324)</f>
        <v/>
      </c>
      <c r="AI1299" s="35">
        <f>$D1299*($E1299*AI$321+$F1299*AI$324)</f>
        <v/>
      </c>
      <c r="AJ1299" s="35">
        <f>$D1299*($E1299*AJ$321+$F1299*AJ$324)</f>
        <v/>
      </c>
      <c r="AK1299" s="35">
        <f>$D1299*($E1299*AK$321+$F1299*AK$324)</f>
        <v/>
      </c>
      <c r="AL1299" s="35">
        <f>$D1299*($E1299*AL$321+$F1299*AL$324)</f>
        <v/>
      </c>
      <c r="AM1299" s="35">
        <f>$D1299*($E1299*AM$321+$F1299*AM$324)</f>
        <v/>
      </c>
      <c r="AN1299" s="35">
        <f>$D1299*($E1299*AN$321+$F1299*AN$324)</f>
        <v/>
      </c>
      <c r="AO1299" s="35">
        <f>$D1299*($E1299*AO$321+$F1299*AO$324)</f>
        <v/>
      </c>
      <c r="AP1299" s="35">
        <f>$D1299*($E1299*AP$321+$F1299*AP$324)</f>
        <v/>
      </c>
      <c r="AQ1299" s="35">
        <f>$D1299*($E1299*AQ$321+$F1299*AQ$324)</f>
        <v/>
      </c>
      <c r="AR1299" s="35">
        <f>$D1299*($E1299*AR$321+$F1299*AR$324)</f>
        <v/>
      </c>
      <c r="AS1299" s="35">
        <f>$D1299*($E1299*AS$321+$F1299*AS$324)</f>
        <v/>
      </c>
      <c r="AT1299" s="35">
        <f>$D1299*($E1299*AT$321+$F1299*AT$324)</f>
        <v/>
      </c>
      <c r="AU1299" s="35">
        <f>$D1299*($E1299*AU$321+$F1299*AU$324)</f>
        <v/>
      </c>
      <c r="AV1299" s="35">
        <f>$D1299*($E1299*AV$321+$F1299*AV$324)</f>
        <v/>
      </c>
      <c r="AW1299" s="35">
        <f>$D1299*($E1299*AW$321+$F1299*AW$324)</f>
        <v/>
      </c>
      <c r="AX1299" s="35">
        <f>$D1299*($E1299*AX$321+$F1299*AX$324)</f>
        <v/>
      </c>
      <c r="AY1299" s="35">
        <f>$D1299*($E1299*AY$321+$F1299*AY$324)</f>
        <v/>
      </c>
      <c r="AZ1299" s="35">
        <f>$D1299*($E1299*AZ$321+$F1299*AZ$324)</f>
        <v/>
      </c>
      <c r="BA1299" s="42">
        <f>XCARBON($D1299,$E1299,BA$321,$F1299,BA$324)</f>
        <v/>
      </c>
    </row>
    <row r="1300" hidden="1" outlineLevel="2">
      <c r="A1300" s="14" t="inlineStr">
        <is>
          <t>xcp</t>
        </is>
      </c>
      <c r="B1300" s="14" t="inlineStr">
        <is>
          <t>nga</t>
        </is>
      </c>
      <c r="C1300" s="14" t="inlineStr">
        <is>
          <t>avi</t>
        </is>
      </c>
      <c r="D1300" s="35">
        <f>INDEX(Inputs!$W$5:$W$132,MATCH($B1300&amp;"|"&amp;$C1300,Inputs!$A$5:$A$132,0))</f>
        <v/>
      </c>
      <c r="E1300" s="35">
        <f>INDEX(Inputs!$Z$5:$Z$132,MATCH($B1300&amp;"|"&amp;$C1300,Inputs!$A$5:$A$132,0))</f>
        <v/>
      </c>
      <c r="F1300" s="35">
        <f>INDEX(Inputs!$AA$5:$AA$132,MATCH($B1300&amp;"|"&amp;$C1300,Inputs!$A$5:$A$132,0))</f>
        <v/>
      </c>
      <c r="G1300" s="39" t="n"/>
      <c r="H1300" s="14">
        <f>INDEX(VarLab,MATCH($A1300,VarKey,0))&amp;INDEX(MemLab,MATCH($C1300&amp;"|"&amp;$B1300,MemKey,0))</f>
        <v/>
      </c>
      <c r="I1300" s="14">
        <f>INDEX(VarUnit,MATCH($A1300,VarKey,0))</f>
        <v/>
      </c>
      <c r="J1300" s="14">
        <f>INDEX(VarSrc,MATCH($A1300,VarKey,0))</f>
        <v/>
      </c>
      <c r="K1300" s="11">
        <f>CodePrefix&amp;$A1300&amp;IF($C1300="","","."&amp;$C1300&amp;"."&amp;$B1300)&amp;INDEX(VarEnd,MATCH($A1300,VarKey,0))&amp;K$5</f>
        <v/>
      </c>
      <c r="L1300" s="40">
        <f>$D1300*($E1300*L$321+$F1300*L$324)</f>
        <v/>
      </c>
      <c r="M1300" s="35">
        <f>$D1300*($E1300*M$321+$F1300*M$324)</f>
        <v/>
      </c>
      <c r="N1300" s="35">
        <f>$D1300*($E1300*N$321+$F1300*N$324)</f>
        <v/>
      </c>
      <c r="O1300" s="35">
        <f>$D1300*($E1300*O$321+$F1300*O$324)</f>
        <v/>
      </c>
      <c r="P1300" s="35">
        <f>$D1300*($E1300*P$321+$F1300*P$324)</f>
        <v/>
      </c>
      <c r="Q1300" s="35">
        <f>$D1300*($E1300*Q$321+$F1300*Q$324)</f>
        <v/>
      </c>
      <c r="R1300" s="35">
        <f>$D1300*($E1300*R$321+$F1300*R$324)</f>
        <v/>
      </c>
      <c r="S1300" s="35">
        <f>$D1300*($E1300*S$321+$F1300*S$324)</f>
        <v/>
      </c>
      <c r="T1300" s="35">
        <f>$D1300*($E1300*T$321+$F1300*T$324)</f>
        <v/>
      </c>
      <c r="U1300" s="35">
        <f>$D1300*($E1300*U$321+$F1300*U$324)</f>
        <v/>
      </c>
      <c r="V1300" s="35">
        <f>$D1300*($E1300*V$321+$F1300*V$324)</f>
        <v/>
      </c>
      <c r="W1300" s="35">
        <f>$D1300*($E1300*W$321+$F1300*W$324)</f>
        <v/>
      </c>
      <c r="X1300" s="35">
        <f>$D1300*($E1300*X$321+$F1300*X$324)</f>
        <v/>
      </c>
      <c r="Y1300" s="35">
        <f>$D1300*($E1300*Y$321+$F1300*Y$324)</f>
        <v/>
      </c>
      <c r="Z1300" s="35">
        <f>$D1300*($E1300*Z$321+$F1300*Z$324)</f>
        <v/>
      </c>
      <c r="AA1300" s="35">
        <f>$D1300*($E1300*AA$321+$F1300*AA$324)</f>
        <v/>
      </c>
      <c r="AB1300" s="35">
        <f>$D1300*($E1300*AB$321+$F1300*AB$324)</f>
        <v/>
      </c>
      <c r="AC1300" s="35">
        <f>$D1300*($E1300*AC$321+$F1300*AC$324)</f>
        <v/>
      </c>
      <c r="AD1300" s="35">
        <f>$D1300*($E1300*AD$321+$F1300*AD$324)</f>
        <v/>
      </c>
      <c r="AE1300" s="42">
        <f>XCARBON($D1300,$E1300,AE$321,$F1300,AE$324)</f>
        <v/>
      </c>
      <c r="AG1300" s="11">
        <f>CodePrefix&amp;$A1300&amp;IF($C1300="","","."&amp;$C1300&amp;"."&amp;$B1300)&amp;INDEX(VarEnd,MATCH($A1300,VarKey,0))&amp;AG$5</f>
        <v/>
      </c>
      <c r="AH1300" s="40">
        <f>$D1300*($E1300*AH$321+$F1300*AH$324)</f>
        <v/>
      </c>
      <c r="AI1300" s="35">
        <f>$D1300*($E1300*AI$321+$F1300*AI$324)</f>
        <v/>
      </c>
      <c r="AJ1300" s="35">
        <f>$D1300*($E1300*AJ$321+$F1300*AJ$324)</f>
        <v/>
      </c>
      <c r="AK1300" s="35">
        <f>$D1300*($E1300*AK$321+$F1300*AK$324)</f>
        <v/>
      </c>
      <c r="AL1300" s="35">
        <f>$D1300*($E1300*AL$321+$F1300*AL$324)</f>
        <v/>
      </c>
      <c r="AM1300" s="35">
        <f>$D1300*($E1300*AM$321+$F1300*AM$324)</f>
        <v/>
      </c>
      <c r="AN1300" s="35">
        <f>$D1300*($E1300*AN$321+$F1300*AN$324)</f>
        <v/>
      </c>
      <c r="AO1300" s="35">
        <f>$D1300*($E1300*AO$321+$F1300*AO$324)</f>
        <v/>
      </c>
      <c r="AP1300" s="35">
        <f>$D1300*($E1300*AP$321+$F1300*AP$324)</f>
        <v/>
      </c>
      <c r="AQ1300" s="35">
        <f>$D1300*($E1300*AQ$321+$F1300*AQ$324)</f>
        <v/>
      </c>
      <c r="AR1300" s="35">
        <f>$D1300*($E1300*AR$321+$F1300*AR$324)</f>
        <v/>
      </c>
      <c r="AS1300" s="35">
        <f>$D1300*($E1300*AS$321+$F1300*AS$324)</f>
        <v/>
      </c>
      <c r="AT1300" s="35">
        <f>$D1300*($E1300*AT$321+$F1300*AT$324)</f>
        <v/>
      </c>
      <c r="AU1300" s="35">
        <f>$D1300*($E1300*AU$321+$F1300*AU$324)</f>
        <v/>
      </c>
      <c r="AV1300" s="35">
        <f>$D1300*($E1300*AV$321+$F1300*AV$324)</f>
        <v/>
      </c>
      <c r="AW1300" s="35">
        <f>$D1300*($E1300*AW$321+$F1300*AW$324)</f>
        <v/>
      </c>
      <c r="AX1300" s="35">
        <f>$D1300*($E1300*AX$321+$F1300*AX$324)</f>
        <v/>
      </c>
      <c r="AY1300" s="35">
        <f>$D1300*($E1300*AY$321+$F1300*AY$324)</f>
        <v/>
      </c>
      <c r="AZ1300" s="35">
        <f>$D1300*($E1300*AZ$321+$F1300*AZ$324)</f>
        <v/>
      </c>
      <c r="BA1300" s="42">
        <f>XCARBON($D1300,$E1300,BA$321,$F1300,BA$324)</f>
        <v/>
      </c>
    </row>
    <row r="1301" hidden="1" outlineLevel="2">
      <c r="A1301" s="14" t="inlineStr">
        <is>
          <t>xcp</t>
        </is>
      </c>
      <c r="B1301" s="14" t="inlineStr">
        <is>
          <t>gso</t>
        </is>
      </c>
      <c r="C1301" s="14" t="inlineStr">
        <is>
          <t>avi</t>
        </is>
      </c>
      <c r="D1301" s="35">
        <f>INDEX(Inputs!$W$5:$W$132,MATCH($B1301&amp;"|"&amp;$C1301,Inputs!$A$5:$A$132,0))</f>
        <v/>
      </c>
      <c r="E1301" s="35">
        <f>INDEX(Inputs!$Z$5:$Z$132,MATCH($B1301&amp;"|"&amp;$C1301,Inputs!$A$5:$A$132,0))</f>
        <v/>
      </c>
      <c r="F1301" s="35">
        <f>INDEX(Inputs!$AA$5:$AA$132,MATCH($B1301&amp;"|"&amp;$C1301,Inputs!$A$5:$A$132,0))</f>
        <v/>
      </c>
      <c r="G1301" s="39" t="n"/>
      <c r="H1301" s="14">
        <f>INDEX(VarLab,MATCH($A1301,VarKey,0))&amp;INDEX(MemLab,MATCH($C1301&amp;"|"&amp;$B1301,MemKey,0))</f>
        <v/>
      </c>
      <c r="I1301" s="14">
        <f>INDEX(VarUnit,MATCH($A1301,VarKey,0))</f>
        <v/>
      </c>
      <c r="J1301" s="14">
        <f>INDEX(VarSrc,MATCH($A1301,VarKey,0))</f>
        <v/>
      </c>
      <c r="K1301" s="11">
        <f>CodePrefix&amp;$A1301&amp;IF($C1301="","","."&amp;$C1301&amp;"."&amp;$B1301)&amp;INDEX(VarEnd,MATCH($A1301,VarKey,0))&amp;K$5</f>
        <v/>
      </c>
      <c r="L1301" s="40">
        <f>$D1301*($E1301*L$321+$F1301*L$324)</f>
        <v/>
      </c>
      <c r="M1301" s="35">
        <f>$D1301*($E1301*M$321+$F1301*M$324)</f>
        <v/>
      </c>
      <c r="N1301" s="35">
        <f>$D1301*($E1301*N$321+$F1301*N$324)</f>
        <v/>
      </c>
      <c r="O1301" s="35">
        <f>$D1301*($E1301*O$321+$F1301*O$324)</f>
        <v/>
      </c>
      <c r="P1301" s="35">
        <f>$D1301*($E1301*P$321+$F1301*P$324)</f>
        <v/>
      </c>
      <c r="Q1301" s="35">
        <f>$D1301*($E1301*Q$321+$F1301*Q$324)</f>
        <v/>
      </c>
      <c r="R1301" s="35">
        <f>$D1301*($E1301*R$321+$F1301*R$324)</f>
        <v/>
      </c>
      <c r="S1301" s="35">
        <f>$D1301*($E1301*S$321+$F1301*S$324)</f>
        <v/>
      </c>
      <c r="T1301" s="35">
        <f>$D1301*($E1301*T$321+$F1301*T$324)</f>
        <v/>
      </c>
      <c r="U1301" s="35">
        <f>$D1301*($E1301*U$321+$F1301*U$324)</f>
        <v/>
      </c>
      <c r="V1301" s="35">
        <f>$D1301*($E1301*V$321+$F1301*V$324)</f>
        <v/>
      </c>
      <c r="W1301" s="35">
        <f>$D1301*($E1301*W$321+$F1301*W$324)</f>
        <v/>
      </c>
      <c r="X1301" s="35">
        <f>$D1301*($E1301*X$321+$F1301*X$324)</f>
        <v/>
      </c>
      <c r="Y1301" s="35">
        <f>$D1301*($E1301*Y$321+$F1301*Y$324)</f>
        <v/>
      </c>
      <c r="Z1301" s="35">
        <f>$D1301*($E1301*Z$321+$F1301*Z$324)</f>
        <v/>
      </c>
      <c r="AA1301" s="35">
        <f>$D1301*($E1301*AA$321+$F1301*AA$324)</f>
        <v/>
      </c>
      <c r="AB1301" s="35">
        <f>$D1301*($E1301*AB$321+$F1301*AB$324)</f>
        <v/>
      </c>
      <c r="AC1301" s="35">
        <f>$D1301*($E1301*AC$321+$F1301*AC$324)</f>
        <v/>
      </c>
      <c r="AD1301" s="35">
        <f>$D1301*($E1301*AD$321+$F1301*AD$324)</f>
        <v/>
      </c>
      <c r="AE1301" s="42">
        <f>XCARBON($D1301,$E1301,AE$321,$F1301,AE$324)</f>
        <v/>
      </c>
      <c r="AG1301" s="11">
        <f>CodePrefix&amp;$A1301&amp;IF($C1301="","","."&amp;$C1301&amp;"."&amp;$B1301)&amp;INDEX(VarEnd,MATCH($A1301,VarKey,0))&amp;AG$5</f>
        <v/>
      </c>
      <c r="AH1301" s="40">
        <f>$D1301*($E1301*AH$321+$F1301*AH$324)</f>
        <v/>
      </c>
      <c r="AI1301" s="35">
        <f>$D1301*($E1301*AI$321+$F1301*AI$324)</f>
        <v/>
      </c>
      <c r="AJ1301" s="35">
        <f>$D1301*($E1301*AJ$321+$F1301*AJ$324)</f>
        <v/>
      </c>
      <c r="AK1301" s="35">
        <f>$D1301*($E1301*AK$321+$F1301*AK$324)</f>
        <v/>
      </c>
      <c r="AL1301" s="35">
        <f>$D1301*($E1301*AL$321+$F1301*AL$324)</f>
        <v/>
      </c>
      <c r="AM1301" s="35">
        <f>$D1301*($E1301*AM$321+$F1301*AM$324)</f>
        <v/>
      </c>
      <c r="AN1301" s="35">
        <f>$D1301*($E1301*AN$321+$F1301*AN$324)</f>
        <v/>
      </c>
      <c r="AO1301" s="35">
        <f>$D1301*($E1301*AO$321+$F1301*AO$324)</f>
        <v/>
      </c>
      <c r="AP1301" s="35">
        <f>$D1301*($E1301*AP$321+$F1301*AP$324)</f>
        <v/>
      </c>
      <c r="AQ1301" s="35">
        <f>$D1301*($E1301*AQ$321+$F1301*AQ$324)</f>
        <v/>
      </c>
      <c r="AR1301" s="35">
        <f>$D1301*($E1301*AR$321+$F1301*AR$324)</f>
        <v/>
      </c>
      <c r="AS1301" s="35">
        <f>$D1301*($E1301*AS$321+$F1301*AS$324)</f>
        <v/>
      </c>
      <c r="AT1301" s="35">
        <f>$D1301*($E1301*AT$321+$F1301*AT$324)</f>
        <v/>
      </c>
      <c r="AU1301" s="35">
        <f>$D1301*($E1301*AU$321+$F1301*AU$324)</f>
        <v/>
      </c>
      <c r="AV1301" s="35">
        <f>$D1301*($E1301*AV$321+$F1301*AV$324)</f>
        <v/>
      </c>
      <c r="AW1301" s="35">
        <f>$D1301*($E1301*AW$321+$F1301*AW$324)</f>
        <v/>
      </c>
      <c r="AX1301" s="35">
        <f>$D1301*($E1301*AX$321+$F1301*AX$324)</f>
        <v/>
      </c>
      <c r="AY1301" s="35">
        <f>$D1301*($E1301*AY$321+$F1301*AY$324)</f>
        <v/>
      </c>
      <c r="AZ1301" s="35">
        <f>$D1301*($E1301*AZ$321+$F1301*AZ$324)</f>
        <v/>
      </c>
      <c r="BA1301" s="42">
        <f>XCARBON($D1301,$E1301,BA$321,$F1301,BA$324)</f>
        <v/>
      </c>
    </row>
    <row r="1302" hidden="1" outlineLevel="2">
      <c r="A1302" s="14" t="inlineStr">
        <is>
          <t>xcp</t>
        </is>
      </c>
      <c r="B1302" s="14" t="inlineStr">
        <is>
          <t>die</t>
        </is>
      </c>
      <c r="C1302" s="14" t="inlineStr">
        <is>
          <t>avi</t>
        </is>
      </c>
      <c r="D1302" s="35">
        <f>INDEX(Inputs!$W$5:$W$132,MATCH($B1302&amp;"|"&amp;$C1302,Inputs!$A$5:$A$132,0))</f>
        <v/>
      </c>
      <c r="E1302" s="35">
        <f>INDEX(Inputs!$Z$5:$Z$132,MATCH($B1302&amp;"|"&amp;$C1302,Inputs!$A$5:$A$132,0))</f>
        <v/>
      </c>
      <c r="F1302" s="35">
        <f>INDEX(Inputs!$AA$5:$AA$132,MATCH($B1302&amp;"|"&amp;$C1302,Inputs!$A$5:$A$132,0))</f>
        <v/>
      </c>
      <c r="G1302" s="39" t="n"/>
      <c r="H1302" s="14">
        <f>INDEX(VarLab,MATCH($A1302,VarKey,0))&amp;INDEX(MemLab,MATCH($C1302&amp;"|"&amp;$B1302,MemKey,0))</f>
        <v/>
      </c>
      <c r="I1302" s="14">
        <f>INDEX(VarUnit,MATCH($A1302,VarKey,0))</f>
        <v/>
      </c>
      <c r="J1302" s="14">
        <f>INDEX(VarSrc,MATCH($A1302,VarKey,0))</f>
        <v/>
      </c>
      <c r="K1302" s="11">
        <f>CodePrefix&amp;$A1302&amp;IF($C1302="","","."&amp;$C1302&amp;"."&amp;$B1302)&amp;INDEX(VarEnd,MATCH($A1302,VarKey,0))&amp;K$5</f>
        <v/>
      </c>
      <c r="L1302" s="40">
        <f>$D1302*($E1302*L$321+$F1302*L$324)</f>
        <v/>
      </c>
      <c r="M1302" s="35">
        <f>$D1302*($E1302*M$321+$F1302*M$324)</f>
        <v/>
      </c>
      <c r="N1302" s="35">
        <f>$D1302*($E1302*N$321+$F1302*N$324)</f>
        <v/>
      </c>
      <c r="O1302" s="35">
        <f>$D1302*($E1302*O$321+$F1302*O$324)</f>
        <v/>
      </c>
      <c r="P1302" s="35">
        <f>$D1302*($E1302*P$321+$F1302*P$324)</f>
        <v/>
      </c>
      <c r="Q1302" s="35">
        <f>$D1302*($E1302*Q$321+$F1302*Q$324)</f>
        <v/>
      </c>
      <c r="R1302" s="35">
        <f>$D1302*($E1302*R$321+$F1302*R$324)</f>
        <v/>
      </c>
      <c r="S1302" s="35">
        <f>$D1302*($E1302*S$321+$F1302*S$324)</f>
        <v/>
      </c>
      <c r="T1302" s="35">
        <f>$D1302*($E1302*T$321+$F1302*T$324)</f>
        <v/>
      </c>
      <c r="U1302" s="35">
        <f>$D1302*($E1302*U$321+$F1302*U$324)</f>
        <v/>
      </c>
      <c r="V1302" s="35">
        <f>$D1302*($E1302*V$321+$F1302*V$324)</f>
        <v/>
      </c>
      <c r="W1302" s="35">
        <f>$D1302*($E1302*W$321+$F1302*W$324)</f>
        <v/>
      </c>
      <c r="X1302" s="35">
        <f>$D1302*($E1302*X$321+$F1302*X$324)</f>
        <v/>
      </c>
      <c r="Y1302" s="35">
        <f>$D1302*($E1302*Y$321+$F1302*Y$324)</f>
        <v/>
      </c>
      <c r="Z1302" s="35">
        <f>$D1302*($E1302*Z$321+$F1302*Z$324)</f>
        <v/>
      </c>
      <c r="AA1302" s="35">
        <f>$D1302*($E1302*AA$321+$F1302*AA$324)</f>
        <v/>
      </c>
      <c r="AB1302" s="35">
        <f>$D1302*($E1302*AB$321+$F1302*AB$324)</f>
        <v/>
      </c>
      <c r="AC1302" s="35">
        <f>$D1302*($E1302*AC$321+$F1302*AC$324)</f>
        <v/>
      </c>
      <c r="AD1302" s="35">
        <f>$D1302*($E1302*AD$321+$F1302*AD$324)</f>
        <v/>
      </c>
      <c r="AE1302" s="42">
        <f>XCARBON($D1302,$E1302,AE$321,$F1302,AE$324)</f>
        <v/>
      </c>
      <c r="AG1302" s="11">
        <f>CodePrefix&amp;$A1302&amp;IF($C1302="","","."&amp;$C1302&amp;"."&amp;$B1302)&amp;INDEX(VarEnd,MATCH($A1302,VarKey,0))&amp;AG$5</f>
        <v/>
      </c>
      <c r="AH1302" s="40">
        <f>$D1302*($E1302*AH$321+$F1302*AH$324)</f>
        <v/>
      </c>
      <c r="AI1302" s="35">
        <f>$D1302*($E1302*AI$321+$F1302*AI$324)</f>
        <v/>
      </c>
      <c r="AJ1302" s="35">
        <f>$D1302*($E1302*AJ$321+$F1302*AJ$324)</f>
        <v/>
      </c>
      <c r="AK1302" s="35">
        <f>$D1302*($E1302*AK$321+$F1302*AK$324)</f>
        <v/>
      </c>
      <c r="AL1302" s="35">
        <f>$D1302*($E1302*AL$321+$F1302*AL$324)</f>
        <v/>
      </c>
      <c r="AM1302" s="35">
        <f>$D1302*($E1302*AM$321+$F1302*AM$324)</f>
        <v/>
      </c>
      <c r="AN1302" s="35">
        <f>$D1302*($E1302*AN$321+$F1302*AN$324)</f>
        <v/>
      </c>
      <c r="AO1302" s="35">
        <f>$D1302*($E1302*AO$321+$F1302*AO$324)</f>
        <v/>
      </c>
      <c r="AP1302" s="35">
        <f>$D1302*($E1302*AP$321+$F1302*AP$324)</f>
        <v/>
      </c>
      <c r="AQ1302" s="35">
        <f>$D1302*($E1302*AQ$321+$F1302*AQ$324)</f>
        <v/>
      </c>
      <c r="AR1302" s="35">
        <f>$D1302*($E1302*AR$321+$F1302*AR$324)</f>
        <v/>
      </c>
      <c r="AS1302" s="35">
        <f>$D1302*($E1302*AS$321+$F1302*AS$324)</f>
        <v/>
      </c>
      <c r="AT1302" s="35">
        <f>$D1302*($E1302*AT$321+$F1302*AT$324)</f>
        <v/>
      </c>
      <c r="AU1302" s="35">
        <f>$D1302*($E1302*AU$321+$F1302*AU$324)</f>
        <v/>
      </c>
      <c r="AV1302" s="35">
        <f>$D1302*($E1302*AV$321+$F1302*AV$324)</f>
        <v/>
      </c>
      <c r="AW1302" s="35">
        <f>$D1302*($E1302*AW$321+$F1302*AW$324)</f>
        <v/>
      </c>
      <c r="AX1302" s="35">
        <f>$D1302*($E1302*AX$321+$F1302*AX$324)</f>
        <v/>
      </c>
      <c r="AY1302" s="35">
        <f>$D1302*($E1302*AY$321+$F1302*AY$324)</f>
        <v/>
      </c>
      <c r="AZ1302" s="35">
        <f>$D1302*($E1302*AZ$321+$F1302*AZ$324)</f>
        <v/>
      </c>
      <c r="BA1302" s="42">
        <f>XCARBON($D1302,$E1302,BA$321,$F1302,BA$324)</f>
        <v/>
      </c>
    </row>
    <row r="1303" hidden="1" outlineLevel="2">
      <c r="A1303" s="14" t="inlineStr">
        <is>
          <t>xcp</t>
        </is>
      </c>
      <c r="B1303" s="14" t="inlineStr">
        <is>
          <t>lpg</t>
        </is>
      </c>
      <c r="C1303" s="14" t="inlineStr">
        <is>
          <t>avi</t>
        </is>
      </c>
      <c r="D1303" s="35">
        <f>INDEX(Inputs!$W$5:$W$132,MATCH($B1303&amp;"|"&amp;$C1303,Inputs!$A$5:$A$132,0))</f>
        <v/>
      </c>
      <c r="E1303" s="35">
        <f>INDEX(Inputs!$Z$5:$Z$132,MATCH($B1303&amp;"|"&amp;$C1303,Inputs!$A$5:$A$132,0))</f>
        <v/>
      </c>
      <c r="F1303" s="35">
        <f>INDEX(Inputs!$AA$5:$AA$132,MATCH($B1303&amp;"|"&amp;$C1303,Inputs!$A$5:$A$132,0))</f>
        <v/>
      </c>
      <c r="G1303" s="39" t="n"/>
      <c r="H1303" s="14">
        <f>INDEX(VarLab,MATCH($A1303,VarKey,0))&amp;INDEX(MemLab,MATCH($C1303&amp;"|"&amp;$B1303,MemKey,0))</f>
        <v/>
      </c>
      <c r="I1303" s="14">
        <f>INDEX(VarUnit,MATCH($A1303,VarKey,0))</f>
        <v/>
      </c>
      <c r="J1303" s="14">
        <f>INDEX(VarSrc,MATCH($A1303,VarKey,0))</f>
        <v/>
      </c>
      <c r="K1303" s="11">
        <f>CodePrefix&amp;$A1303&amp;IF($C1303="","","."&amp;$C1303&amp;"."&amp;$B1303)&amp;INDEX(VarEnd,MATCH($A1303,VarKey,0))&amp;K$5</f>
        <v/>
      </c>
      <c r="L1303" s="40">
        <f>$D1303*($E1303*L$321+$F1303*L$324)</f>
        <v/>
      </c>
      <c r="M1303" s="35">
        <f>$D1303*($E1303*M$321+$F1303*M$324)</f>
        <v/>
      </c>
      <c r="N1303" s="35">
        <f>$D1303*($E1303*N$321+$F1303*N$324)</f>
        <v/>
      </c>
      <c r="O1303" s="35">
        <f>$D1303*($E1303*O$321+$F1303*O$324)</f>
        <v/>
      </c>
      <c r="P1303" s="35">
        <f>$D1303*($E1303*P$321+$F1303*P$324)</f>
        <v/>
      </c>
      <c r="Q1303" s="35">
        <f>$D1303*($E1303*Q$321+$F1303*Q$324)</f>
        <v/>
      </c>
      <c r="R1303" s="35">
        <f>$D1303*($E1303*R$321+$F1303*R$324)</f>
        <v/>
      </c>
      <c r="S1303" s="35">
        <f>$D1303*($E1303*S$321+$F1303*S$324)</f>
        <v/>
      </c>
      <c r="T1303" s="35">
        <f>$D1303*($E1303*T$321+$F1303*T$324)</f>
        <v/>
      </c>
      <c r="U1303" s="35">
        <f>$D1303*($E1303*U$321+$F1303*U$324)</f>
        <v/>
      </c>
      <c r="V1303" s="35">
        <f>$D1303*($E1303*V$321+$F1303*V$324)</f>
        <v/>
      </c>
      <c r="W1303" s="35">
        <f>$D1303*($E1303*W$321+$F1303*W$324)</f>
        <v/>
      </c>
      <c r="X1303" s="35">
        <f>$D1303*($E1303*X$321+$F1303*X$324)</f>
        <v/>
      </c>
      <c r="Y1303" s="35">
        <f>$D1303*($E1303*Y$321+$F1303*Y$324)</f>
        <v/>
      </c>
      <c r="Z1303" s="35">
        <f>$D1303*($E1303*Z$321+$F1303*Z$324)</f>
        <v/>
      </c>
      <c r="AA1303" s="35">
        <f>$D1303*($E1303*AA$321+$F1303*AA$324)</f>
        <v/>
      </c>
      <c r="AB1303" s="35">
        <f>$D1303*($E1303*AB$321+$F1303*AB$324)</f>
        <v/>
      </c>
      <c r="AC1303" s="35">
        <f>$D1303*($E1303*AC$321+$F1303*AC$324)</f>
        <v/>
      </c>
      <c r="AD1303" s="35">
        <f>$D1303*($E1303*AD$321+$F1303*AD$324)</f>
        <v/>
      </c>
      <c r="AE1303" s="42">
        <f>XCARBON($D1303,$E1303,AE$321,$F1303,AE$324)</f>
        <v/>
      </c>
      <c r="AG1303" s="11">
        <f>CodePrefix&amp;$A1303&amp;IF($C1303="","","."&amp;$C1303&amp;"."&amp;$B1303)&amp;INDEX(VarEnd,MATCH($A1303,VarKey,0))&amp;AG$5</f>
        <v/>
      </c>
      <c r="AH1303" s="40">
        <f>$D1303*($E1303*AH$321+$F1303*AH$324)</f>
        <v/>
      </c>
      <c r="AI1303" s="35">
        <f>$D1303*($E1303*AI$321+$F1303*AI$324)</f>
        <v/>
      </c>
      <c r="AJ1303" s="35">
        <f>$D1303*($E1303*AJ$321+$F1303*AJ$324)</f>
        <v/>
      </c>
      <c r="AK1303" s="35">
        <f>$D1303*($E1303*AK$321+$F1303*AK$324)</f>
        <v/>
      </c>
      <c r="AL1303" s="35">
        <f>$D1303*($E1303*AL$321+$F1303*AL$324)</f>
        <v/>
      </c>
      <c r="AM1303" s="35">
        <f>$D1303*($E1303*AM$321+$F1303*AM$324)</f>
        <v/>
      </c>
      <c r="AN1303" s="35">
        <f>$D1303*($E1303*AN$321+$F1303*AN$324)</f>
        <v/>
      </c>
      <c r="AO1303" s="35">
        <f>$D1303*($E1303*AO$321+$F1303*AO$324)</f>
        <v/>
      </c>
      <c r="AP1303" s="35">
        <f>$D1303*($E1303*AP$321+$F1303*AP$324)</f>
        <v/>
      </c>
      <c r="AQ1303" s="35">
        <f>$D1303*($E1303*AQ$321+$F1303*AQ$324)</f>
        <v/>
      </c>
      <c r="AR1303" s="35">
        <f>$D1303*($E1303*AR$321+$F1303*AR$324)</f>
        <v/>
      </c>
      <c r="AS1303" s="35">
        <f>$D1303*($E1303*AS$321+$F1303*AS$324)</f>
        <v/>
      </c>
      <c r="AT1303" s="35">
        <f>$D1303*($E1303*AT$321+$F1303*AT$324)</f>
        <v/>
      </c>
      <c r="AU1303" s="35">
        <f>$D1303*($E1303*AU$321+$F1303*AU$324)</f>
        <v/>
      </c>
      <c r="AV1303" s="35">
        <f>$D1303*($E1303*AV$321+$F1303*AV$324)</f>
        <v/>
      </c>
      <c r="AW1303" s="35">
        <f>$D1303*($E1303*AW$321+$F1303*AW$324)</f>
        <v/>
      </c>
      <c r="AX1303" s="35">
        <f>$D1303*($E1303*AX$321+$F1303*AX$324)</f>
        <v/>
      </c>
      <c r="AY1303" s="35">
        <f>$D1303*($E1303*AY$321+$F1303*AY$324)</f>
        <v/>
      </c>
      <c r="AZ1303" s="35">
        <f>$D1303*($E1303*AZ$321+$F1303*AZ$324)</f>
        <v/>
      </c>
      <c r="BA1303" s="42">
        <f>XCARBON($D1303,$E1303,BA$321,$F1303,BA$324)</f>
        <v/>
      </c>
    </row>
    <row r="1304" hidden="1" outlineLevel="2">
      <c r="A1304" s="14" t="inlineStr">
        <is>
          <t>xcp</t>
        </is>
      </c>
      <c r="B1304" s="14" t="inlineStr">
        <is>
          <t>ker</t>
        </is>
      </c>
      <c r="C1304" s="14" t="inlineStr">
        <is>
          <t>avi</t>
        </is>
      </c>
      <c r="D1304" s="35">
        <f>INDEX(Inputs!$W$5:$W$132,MATCH($B1304&amp;"|"&amp;$C1304,Inputs!$A$5:$A$132,0))</f>
        <v/>
      </c>
      <c r="E1304" s="35">
        <f>INDEX(Inputs!$Z$5:$Z$132,MATCH($B1304&amp;"|"&amp;$C1304,Inputs!$A$5:$A$132,0))</f>
        <v/>
      </c>
      <c r="F1304" s="35">
        <f>INDEX(Inputs!$AA$5:$AA$132,MATCH($B1304&amp;"|"&amp;$C1304,Inputs!$A$5:$A$132,0))</f>
        <v/>
      </c>
      <c r="G1304" s="39" t="n"/>
      <c r="H1304" s="14">
        <f>INDEX(VarLab,MATCH($A1304,VarKey,0))&amp;INDEX(MemLab,MATCH($C1304&amp;"|"&amp;$B1304,MemKey,0))</f>
        <v/>
      </c>
      <c r="I1304" s="14">
        <f>INDEX(VarUnit,MATCH($A1304,VarKey,0))</f>
        <v/>
      </c>
      <c r="J1304" s="14">
        <f>INDEX(VarSrc,MATCH($A1304,VarKey,0))</f>
        <v/>
      </c>
      <c r="K1304" s="11">
        <f>CodePrefix&amp;$A1304&amp;IF($C1304="","","."&amp;$C1304&amp;"."&amp;$B1304)&amp;INDEX(VarEnd,MATCH($A1304,VarKey,0))&amp;K$5</f>
        <v/>
      </c>
      <c r="L1304" s="40">
        <f>$D1304*($E1304*L$321+$F1304*L$324)</f>
        <v/>
      </c>
      <c r="M1304" s="35">
        <f>$D1304*($E1304*M$321+$F1304*M$324)</f>
        <v/>
      </c>
      <c r="N1304" s="35">
        <f>$D1304*($E1304*N$321+$F1304*N$324)</f>
        <v/>
      </c>
      <c r="O1304" s="35">
        <f>$D1304*($E1304*O$321+$F1304*O$324)</f>
        <v/>
      </c>
      <c r="P1304" s="35">
        <f>$D1304*($E1304*P$321+$F1304*P$324)</f>
        <v/>
      </c>
      <c r="Q1304" s="35">
        <f>$D1304*($E1304*Q$321+$F1304*Q$324)</f>
        <v/>
      </c>
      <c r="R1304" s="35">
        <f>$D1304*($E1304*R$321+$F1304*R$324)</f>
        <v/>
      </c>
      <c r="S1304" s="35">
        <f>$D1304*($E1304*S$321+$F1304*S$324)</f>
        <v/>
      </c>
      <c r="T1304" s="35">
        <f>$D1304*($E1304*T$321+$F1304*T$324)</f>
        <v/>
      </c>
      <c r="U1304" s="35">
        <f>$D1304*($E1304*U$321+$F1304*U$324)</f>
        <v/>
      </c>
      <c r="V1304" s="35">
        <f>$D1304*($E1304*V$321+$F1304*V$324)</f>
        <v/>
      </c>
      <c r="W1304" s="35">
        <f>$D1304*($E1304*W$321+$F1304*W$324)</f>
        <v/>
      </c>
      <c r="X1304" s="35">
        <f>$D1304*($E1304*X$321+$F1304*X$324)</f>
        <v/>
      </c>
      <c r="Y1304" s="35">
        <f>$D1304*($E1304*Y$321+$F1304*Y$324)</f>
        <v/>
      </c>
      <c r="Z1304" s="35">
        <f>$D1304*($E1304*Z$321+$F1304*Z$324)</f>
        <v/>
      </c>
      <c r="AA1304" s="35">
        <f>$D1304*($E1304*AA$321+$F1304*AA$324)</f>
        <v/>
      </c>
      <c r="AB1304" s="35">
        <f>$D1304*($E1304*AB$321+$F1304*AB$324)</f>
        <v/>
      </c>
      <c r="AC1304" s="35">
        <f>$D1304*($E1304*AC$321+$F1304*AC$324)</f>
        <v/>
      </c>
      <c r="AD1304" s="35">
        <f>$D1304*($E1304*AD$321+$F1304*AD$324)</f>
        <v/>
      </c>
      <c r="AE1304" s="42">
        <f>XCARBON($D1304,$E1304,AE$321,$F1304,AE$324)</f>
        <v/>
      </c>
      <c r="AG1304" s="11">
        <f>CodePrefix&amp;$A1304&amp;IF($C1304="","","."&amp;$C1304&amp;"."&amp;$B1304)&amp;INDEX(VarEnd,MATCH($A1304,VarKey,0))&amp;AG$5</f>
        <v/>
      </c>
      <c r="AH1304" s="40">
        <f>$D1304*($E1304*AH$321+$F1304*AH$324)</f>
        <v/>
      </c>
      <c r="AI1304" s="35">
        <f>$D1304*($E1304*AI$321+$F1304*AI$324)</f>
        <v/>
      </c>
      <c r="AJ1304" s="35">
        <f>$D1304*($E1304*AJ$321+$F1304*AJ$324)</f>
        <v/>
      </c>
      <c r="AK1304" s="35">
        <f>$D1304*($E1304*AK$321+$F1304*AK$324)</f>
        <v/>
      </c>
      <c r="AL1304" s="35">
        <f>$D1304*($E1304*AL$321+$F1304*AL$324)</f>
        <v/>
      </c>
      <c r="AM1304" s="35">
        <f>$D1304*($E1304*AM$321+$F1304*AM$324)</f>
        <v/>
      </c>
      <c r="AN1304" s="35">
        <f>$D1304*($E1304*AN$321+$F1304*AN$324)</f>
        <v/>
      </c>
      <c r="AO1304" s="35">
        <f>$D1304*($E1304*AO$321+$F1304*AO$324)</f>
        <v/>
      </c>
      <c r="AP1304" s="35">
        <f>$D1304*($E1304*AP$321+$F1304*AP$324)</f>
        <v/>
      </c>
      <c r="AQ1304" s="35">
        <f>$D1304*($E1304*AQ$321+$F1304*AQ$324)</f>
        <v/>
      </c>
      <c r="AR1304" s="35">
        <f>$D1304*($E1304*AR$321+$F1304*AR$324)</f>
        <v/>
      </c>
      <c r="AS1304" s="35">
        <f>$D1304*($E1304*AS$321+$F1304*AS$324)</f>
        <v/>
      </c>
      <c r="AT1304" s="35">
        <f>$D1304*($E1304*AT$321+$F1304*AT$324)</f>
        <v/>
      </c>
      <c r="AU1304" s="35">
        <f>$D1304*($E1304*AU$321+$F1304*AU$324)</f>
        <v/>
      </c>
      <c r="AV1304" s="35">
        <f>$D1304*($E1304*AV$321+$F1304*AV$324)</f>
        <v/>
      </c>
      <c r="AW1304" s="35">
        <f>$D1304*($E1304*AW$321+$F1304*AW$324)</f>
        <v/>
      </c>
      <c r="AX1304" s="35">
        <f>$D1304*($E1304*AX$321+$F1304*AX$324)</f>
        <v/>
      </c>
      <c r="AY1304" s="35">
        <f>$D1304*($E1304*AY$321+$F1304*AY$324)</f>
        <v/>
      </c>
      <c r="AZ1304" s="35">
        <f>$D1304*($E1304*AZ$321+$F1304*AZ$324)</f>
        <v/>
      </c>
      <c r="BA1304" s="42">
        <f>XCARBON($D1304,$E1304,BA$321,$F1304,BA$324)</f>
        <v/>
      </c>
    </row>
    <row r="1305" hidden="1" outlineLevel="2">
      <c r="A1305" s="14" t="inlineStr">
        <is>
          <t>xcp</t>
        </is>
      </c>
      <c r="B1305" s="14" t="inlineStr">
        <is>
          <t>oop</t>
        </is>
      </c>
      <c r="C1305" s="14" t="inlineStr">
        <is>
          <t>avi</t>
        </is>
      </c>
      <c r="D1305" s="35">
        <f>INDEX(Inputs!$W$5:$W$132,MATCH($B1305&amp;"|"&amp;$C1305,Inputs!$A$5:$A$132,0))</f>
        <v/>
      </c>
      <c r="E1305" s="35">
        <f>INDEX(Inputs!$Z$5:$Z$132,MATCH($B1305&amp;"|"&amp;$C1305,Inputs!$A$5:$A$132,0))</f>
        <v/>
      </c>
      <c r="F1305" s="35">
        <f>INDEX(Inputs!$AA$5:$AA$132,MATCH($B1305&amp;"|"&amp;$C1305,Inputs!$A$5:$A$132,0))</f>
        <v/>
      </c>
      <c r="G1305" s="39" t="n"/>
      <c r="H1305" s="14">
        <f>INDEX(VarLab,MATCH($A1305,VarKey,0))&amp;INDEX(MemLab,MATCH($C1305&amp;"|"&amp;$B1305,MemKey,0))</f>
        <v/>
      </c>
      <c r="I1305" s="14">
        <f>INDEX(VarUnit,MATCH($A1305,VarKey,0))</f>
        <v/>
      </c>
      <c r="J1305" s="14">
        <f>INDEX(VarSrc,MATCH($A1305,VarKey,0))</f>
        <v/>
      </c>
      <c r="K1305" s="11">
        <f>CodePrefix&amp;$A1305&amp;IF($C1305="","","."&amp;$C1305&amp;"."&amp;$B1305)&amp;INDEX(VarEnd,MATCH($A1305,VarKey,0))&amp;K$5</f>
        <v/>
      </c>
      <c r="L1305" s="40">
        <f>$D1305*($E1305*L$321+$F1305*L$324)</f>
        <v/>
      </c>
      <c r="M1305" s="35">
        <f>$D1305*($E1305*M$321+$F1305*M$324)</f>
        <v/>
      </c>
      <c r="N1305" s="35">
        <f>$D1305*($E1305*N$321+$F1305*N$324)</f>
        <v/>
      </c>
      <c r="O1305" s="35">
        <f>$D1305*($E1305*O$321+$F1305*O$324)</f>
        <v/>
      </c>
      <c r="P1305" s="35">
        <f>$D1305*($E1305*P$321+$F1305*P$324)</f>
        <v/>
      </c>
      <c r="Q1305" s="35">
        <f>$D1305*($E1305*Q$321+$F1305*Q$324)</f>
        <v/>
      </c>
      <c r="R1305" s="35">
        <f>$D1305*($E1305*R$321+$F1305*R$324)</f>
        <v/>
      </c>
      <c r="S1305" s="35">
        <f>$D1305*($E1305*S$321+$F1305*S$324)</f>
        <v/>
      </c>
      <c r="T1305" s="35">
        <f>$D1305*($E1305*T$321+$F1305*T$324)</f>
        <v/>
      </c>
      <c r="U1305" s="35">
        <f>$D1305*($E1305*U$321+$F1305*U$324)</f>
        <v/>
      </c>
      <c r="V1305" s="35">
        <f>$D1305*($E1305*V$321+$F1305*V$324)</f>
        <v/>
      </c>
      <c r="W1305" s="35">
        <f>$D1305*($E1305*W$321+$F1305*W$324)</f>
        <v/>
      </c>
      <c r="X1305" s="35">
        <f>$D1305*($E1305*X$321+$F1305*X$324)</f>
        <v/>
      </c>
      <c r="Y1305" s="35">
        <f>$D1305*($E1305*Y$321+$F1305*Y$324)</f>
        <v/>
      </c>
      <c r="Z1305" s="35">
        <f>$D1305*($E1305*Z$321+$F1305*Z$324)</f>
        <v/>
      </c>
      <c r="AA1305" s="35">
        <f>$D1305*($E1305*AA$321+$F1305*AA$324)</f>
        <v/>
      </c>
      <c r="AB1305" s="35">
        <f>$D1305*($E1305*AB$321+$F1305*AB$324)</f>
        <v/>
      </c>
      <c r="AC1305" s="35">
        <f>$D1305*($E1305*AC$321+$F1305*AC$324)</f>
        <v/>
      </c>
      <c r="AD1305" s="35">
        <f>$D1305*($E1305*AD$321+$F1305*AD$324)</f>
        <v/>
      </c>
      <c r="AE1305" s="42">
        <f>XCARBON($D1305,$E1305,AE$321,$F1305,AE$324)</f>
        <v/>
      </c>
      <c r="AG1305" s="11">
        <f>CodePrefix&amp;$A1305&amp;IF($C1305="","","."&amp;$C1305&amp;"."&amp;$B1305)&amp;INDEX(VarEnd,MATCH($A1305,VarKey,0))&amp;AG$5</f>
        <v/>
      </c>
      <c r="AH1305" s="40">
        <f>$D1305*($E1305*AH$321+$F1305*AH$324)</f>
        <v/>
      </c>
      <c r="AI1305" s="35">
        <f>$D1305*($E1305*AI$321+$F1305*AI$324)</f>
        <v/>
      </c>
      <c r="AJ1305" s="35">
        <f>$D1305*($E1305*AJ$321+$F1305*AJ$324)</f>
        <v/>
      </c>
      <c r="AK1305" s="35">
        <f>$D1305*($E1305*AK$321+$F1305*AK$324)</f>
        <v/>
      </c>
      <c r="AL1305" s="35">
        <f>$D1305*($E1305*AL$321+$F1305*AL$324)</f>
        <v/>
      </c>
      <c r="AM1305" s="35">
        <f>$D1305*($E1305*AM$321+$F1305*AM$324)</f>
        <v/>
      </c>
      <c r="AN1305" s="35">
        <f>$D1305*($E1305*AN$321+$F1305*AN$324)</f>
        <v/>
      </c>
      <c r="AO1305" s="35">
        <f>$D1305*($E1305*AO$321+$F1305*AO$324)</f>
        <v/>
      </c>
      <c r="AP1305" s="35">
        <f>$D1305*($E1305*AP$321+$F1305*AP$324)</f>
        <v/>
      </c>
      <c r="AQ1305" s="35">
        <f>$D1305*($E1305*AQ$321+$F1305*AQ$324)</f>
        <v/>
      </c>
      <c r="AR1305" s="35">
        <f>$D1305*($E1305*AR$321+$F1305*AR$324)</f>
        <v/>
      </c>
      <c r="AS1305" s="35">
        <f>$D1305*($E1305*AS$321+$F1305*AS$324)</f>
        <v/>
      </c>
      <c r="AT1305" s="35">
        <f>$D1305*($E1305*AT$321+$F1305*AT$324)</f>
        <v/>
      </c>
      <c r="AU1305" s="35">
        <f>$D1305*($E1305*AU$321+$F1305*AU$324)</f>
        <v/>
      </c>
      <c r="AV1305" s="35">
        <f>$D1305*($E1305*AV$321+$F1305*AV$324)</f>
        <v/>
      </c>
      <c r="AW1305" s="35">
        <f>$D1305*($E1305*AW$321+$F1305*AW$324)</f>
        <v/>
      </c>
      <c r="AX1305" s="35">
        <f>$D1305*($E1305*AX$321+$F1305*AX$324)</f>
        <v/>
      </c>
      <c r="AY1305" s="35">
        <f>$D1305*($E1305*AY$321+$F1305*AY$324)</f>
        <v/>
      </c>
      <c r="AZ1305" s="35">
        <f>$D1305*($E1305*AZ$321+$F1305*AZ$324)</f>
        <v/>
      </c>
      <c r="BA1305" s="42">
        <f>XCARBON($D1305,$E1305,BA$321,$F1305,BA$324)</f>
        <v/>
      </c>
    </row>
    <row r="1306" hidden="1" outlineLevel="2">
      <c r="A1306" s="14" t="inlineStr">
        <is>
          <t>xcp</t>
        </is>
      </c>
      <c r="B1306" s="14" t="inlineStr">
        <is>
          <t>bio</t>
        </is>
      </c>
      <c r="C1306" s="14" t="inlineStr">
        <is>
          <t>avi</t>
        </is>
      </c>
      <c r="D1306" s="35">
        <f>INDEX(Inputs!$W$5:$W$132,MATCH($B1306&amp;"|"&amp;$C1306,Inputs!$A$5:$A$132,0))</f>
        <v/>
      </c>
      <c r="E1306" s="35">
        <f>INDEX(Inputs!$Z$5:$Z$132,MATCH($B1306&amp;"|"&amp;$C1306,Inputs!$A$5:$A$132,0))</f>
        <v/>
      </c>
      <c r="F1306" s="35">
        <f>INDEX(Inputs!$AA$5:$AA$132,MATCH($B1306&amp;"|"&amp;$C1306,Inputs!$A$5:$A$132,0))</f>
        <v/>
      </c>
      <c r="G1306" s="39" t="n"/>
      <c r="H1306" s="14">
        <f>INDEX(VarLab,MATCH($A1306,VarKey,0))&amp;INDEX(MemLab,MATCH($C1306&amp;"|"&amp;$B1306,MemKey,0))</f>
        <v/>
      </c>
      <c r="I1306" s="14">
        <f>INDEX(VarUnit,MATCH($A1306,VarKey,0))</f>
        <v/>
      </c>
      <c r="J1306" s="14">
        <f>INDEX(VarSrc,MATCH($A1306,VarKey,0))</f>
        <v/>
      </c>
      <c r="K1306" s="11">
        <f>CodePrefix&amp;$A1306&amp;IF($C1306="","","."&amp;$C1306&amp;"."&amp;$B1306)&amp;INDEX(VarEnd,MATCH($A1306,VarKey,0))&amp;K$5</f>
        <v/>
      </c>
      <c r="L1306" s="40">
        <f>$D1306*($E1306*L$321+$F1306*L$324)</f>
        <v/>
      </c>
      <c r="M1306" s="35">
        <f>$D1306*($E1306*M$321+$F1306*M$324)</f>
        <v/>
      </c>
      <c r="N1306" s="35">
        <f>$D1306*($E1306*N$321+$F1306*N$324)</f>
        <v/>
      </c>
      <c r="O1306" s="35">
        <f>$D1306*($E1306*O$321+$F1306*O$324)</f>
        <v/>
      </c>
      <c r="P1306" s="35">
        <f>$D1306*($E1306*P$321+$F1306*P$324)</f>
        <v/>
      </c>
      <c r="Q1306" s="35">
        <f>$D1306*($E1306*Q$321+$F1306*Q$324)</f>
        <v/>
      </c>
      <c r="R1306" s="35">
        <f>$D1306*($E1306*R$321+$F1306*R$324)</f>
        <v/>
      </c>
      <c r="S1306" s="35">
        <f>$D1306*($E1306*S$321+$F1306*S$324)</f>
        <v/>
      </c>
      <c r="T1306" s="35">
        <f>$D1306*($E1306*T$321+$F1306*T$324)</f>
        <v/>
      </c>
      <c r="U1306" s="35">
        <f>$D1306*($E1306*U$321+$F1306*U$324)</f>
        <v/>
      </c>
      <c r="V1306" s="35">
        <f>$D1306*($E1306*V$321+$F1306*V$324)</f>
        <v/>
      </c>
      <c r="W1306" s="35">
        <f>$D1306*($E1306*W$321+$F1306*W$324)</f>
        <v/>
      </c>
      <c r="X1306" s="35">
        <f>$D1306*($E1306*X$321+$F1306*X$324)</f>
        <v/>
      </c>
      <c r="Y1306" s="35">
        <f>$D1306*($E1306*Y$321+$F1306*Y$324)</f>
        <v/>
      </c>
      <c r="Z1306" s="35">
        <f>$D1306*($E1306*Z$321+$F1306*Z$324)</f>
        <v/>
      </c>
      <c r="AA1306" s="35">
        <f>$D1306*($E1306*AA$321+$F1306*AA$324)</f>
        <v/>
      </c>
      <c r="AB1306" s="35">
        <f>$D1306*($E1306*AB$321+$F1306*AB$324)</f>
        <v/>
      </c>
      <c r="AC1306" s="35">
        <f>$D1306*($E1306*AC$321+$F1306*AC$324)</f>
        <v/>
      </c>
      <c r="AD1306" s="35">
        <f>$D1306*($E1306*AD$321+$F1306*AD$324)</f>
        <v/>
      </c>
      <c r="AE1306" s="42">
        <f>XCARBON($D1306,$E1306,AE$321,$F1306,AE$324)</f>
        <v/>
      </c>
      <c r="AG1306" s="11">
        <f>CodePrefix&amp;$A1306&amp;IF($C1306="","","."&amp;$C1306&amp;"."&amp;$B1306)&amp;INDEX(VarEnd,MATCH($A1306,VarKey,0))&amp;AG$5</f>
        <v/>
      </c>
      <c r="AH1306" s="40">
        <f>$D1306*($E1306*AH$321+$F1306*AH$324)</f>
        <v/>
      </c>
      <c r="AI1306" s="35">
        <f>$D1306*($E1306*AI$321+$F1306*AI$324)</f>
        <v/>
      </c>
      <c r="AJ1306" s="35">
        <f>$D1306*($E1306*AJ$321+$F1306*AJ$324)</f>
        <v/>
      </c>
      <c r="AK1306" s="35">
        <f>$D1306*($E1306*AK$321+$F1306*AK$324)</f>
        <v/>
      </c>
      <c r="AL1306" s="35">
        <f>$D1306*($E1306*AL$321+$F1306*AL$324)</f>
        <v/>
      </c>
      <c r="AM1306" s="35">
        <f>$D1306*($E1306*AM$321+$F1306*AM$324)</f>
        <v/>
      </c>
      <c r="AN1306" s="35">
        <f>$D1306*($E1306*AN$321+$F1306*AN$324)</f>
        <v/>
      </c>
      <c r="AO1306" s="35">
        <f>$D1306*($E1306*AO$321+$F1306*AO$324)</f>
        <v/>
      </c>
      <c r="AP1306" s="35">
        <f>$D1306*($E1306*AP$321+$F1306*AP$324)</f>
        <v/>
      </c>
      <c r="AQ1306" s="35">
        <f>$D1306*($E1306*AQ$321+$F1306*AQ$324)</f>
        <v/>
      </c>
      <c r="AR1306" s="35">
        <f>$D1306*($E1306*AR$321+$F1306*AR$324)</f>
        <v/>
      </c>
      <c r="AS1306" s="35">
        <f>$D1306*($E1306*AS$321+$F1306*AS$324)</f>
        <v/>
      </c>
      <c r="AT1306" s="35">
        <f>$D1306*($E1306*AT$321+$F1306*AT$324)</f>
        <v/>
      </c>
      <c r="AU1306" s="35">
        <f>$D1306*($E1306*AU$321+$F1306*AU$324)</f>
        <v/>
      </c>
      <c r="AV1306" s="35">
        <f>$D1306*($E1306*AV$321+$F1306*AV$324)</f>
        <v/>
      </c>
      <c r="AW1306" s="35">
        <f>$D1306*($E1306*AW$321+$F1306*AW$324)</f>
        <v/>
      </c>
      <c r="AX1306" s="35">
        <f>$D1306*($E1306*AX$321+$F1306*AX$324)</f>
        <v/>
      </c>
      <c r="AY1306" s="35">
        <f>$D1306*($E1306*AY$321+$F1306*AY$324)</f>
        <v/>
      </c>
      <c r="AZ1306" s="35">
        <f>$D1306*($E1306*AZ$321+$F1306*AZ$324)</f>
        <v/>
      </c>
      <c r="BA1306" s="42">
        <f>XCARBON($D1306,$E1306,BA$321,$F1306,BA$324)</f>
        <v/>
      </c>
    </row>
    <row r="1307" hidden="1" outlineLevel="2"/>
    <row r="1308" hidden="1" outlineLevel="2">
      <c r="A1308" s="14" t="inlineStr">
        <is>
          <t>xcpd</t>
        </is>
      </c>
      <c r="B1308" s="14" t="inlineStr">
        <is>
          <t>coa</t>
        </is>
      </c>
      <c r="C1308" s="14" t="inlineStr">
        <is>
          <t>avi</t>
        </is>
      </c>
      <c r="D1308" s="35">
        <f>INDEX(Inputs!$W$5:$W$132,MATCH($B1308&amp;"|"&amp;$C1308,Inputs!$A$5:$A$132,0))</f>
        <v/>
      </c>
      <c r="E1308" s="35">
        <f>INDEX(Inputs!$Z$5:$Z$132,MATCH($B1308&amp;"|"&amp;$C1308,Inputs!$A$5:$A$132,0))</f>
        <v/>
      </c>
      <c r="F1308" s="35">
        <f>INDEX(Inputs!$AA$5:$AA$132,MATCH($B1308&amp;"|"&amp;$C1308,Inputs!$A$5:$A$132,0))</f>
        <v/>
      </c>
      <c r="G1308" s="39" t="n"/>
      <c r="H1308" s="14">
        <f>INDEX(VarLab,MATCH($A1308,VarKey,0))&amp;INDEX(MemLab,MATCH($C1308&amp;"|"&amp;$B1308,MemKey,0))</f>
        <v/>
      </c>
      <c r="I1308" s="14">
        <f>INDEX(VarUnit,MATCH($A1308,VarKey,0))</f>
        <v/>
      </c>
      <c r="J1308" s="14">
        <f>INDEX(VarSrc,MATCH($A1308,VarKey,0))</f>
        <v/>
      </c>
      <c r="K1308" s="11">
        <f>CodePrefix&amp;$A1308&amp;IF($C1308="","","."&amp;$C1308&amp;"."&amp;$B1308)&amp;INDEX(VarEnd,MATCH($A1308,VarKey,0))&amp;K$5</f>
        <v/>
      </c>
      <c r="L1308" s="40">
        <f>$D1308*($E1308*(L$321-L$322)+$F1308*(L$324-L$325))</f>
        <v/>
      </c>
      <c r="M1308" s="35">
        <f>$D1308*($E1308*(M$321-M$322)+$F1308*(M$324-M$325))</f>
        <v/>
      </c>
      <c r="N1308" s="35">
        <f>$D1308*($E1308*(N$321-N$322)+$F1308*(N$324-N$325))</f>
        <v/>
      </c>
      <c r="O1308" s="35">
        <f>$D1308*($E1308*(O$321-O$322)+$F1308*(O$324-O$325))</f>
        <v/>
      </c>
      <c r="P1308" s="35">
        <f>$D1308*($E1308*(P$321-P$322)+$F1308*(P$324-P$325))</f>
        <v/>
      </c>
      <c r="Q1308" s="35">
        <f>$D1308*($E1308*(Q$321-Q$322)+$F1308*(Q$324-Q$325))</f>
        <v/>
      </c>
      <c r="R1308" s="35">
        <f>$D1308*($E1308*(R$321-R$322)+$F1308*(R$324-R$325))</f>
        <v/>
      </c>
      <c r="S1308" s="35">
        <f>$D1308*($E1308*(S$321-S$322)+$F1308*(S$324-S$325))</f>
        <v/>
      </c>
      <c r="T1308" s="35">
        <f>$D1308*($E1308*(T$321-T$322)+$F1308*(T$324-T$325))</f>
        <v/>
      </c>
      <c r="U1308" s="35">
        <f>$D1308*($E1308*(U$321-U$322)+$F1308*(U$324-U$325))</f>
        <v/>
      </c>
      <c r="V1308" s="35">
        <f>$D1308*($E1308*(V$321-V$322)+$F1308*(V$324-V$325))</f>
        <v/>
      </c>
      <c r="W1308" s="35">
        <f>$D1308*($E1308*(W$321-W$322)+$F1308*(W$324-W$325))</f>
        <v/>
      </c>
      <c r="X1308" s="35">
        <f>$D1308*($E1308*(X$321-X$322)+$F1308*(X$324-X$325))</f>
        <v/>
      </c>
      <c r="Y1308" s="35">
        <f>$D1308*($E1308*(Y$321-Y$322)+$F1308*(Y$324-Y$325))</f>
        <v/>
      </c>
      <c r="Z1308" s="35">
        <f>$D1308*($E1308*(Z$321-Z$322)+$F1308*(Z$324-Z$325))</f>
        <v/>
      </c>
      <c r="AA1308" s="35">
        <f>$D1308*($E1308*(AA$321-AA$322)+$F1308*(AA$324-AA$325))</f>
        <v/>
      </c>
      <c r="AB1308" s="35">
        <f>$D1308*($E1308*(AB$321-AB$322)+$F1308*(AB$324-AB$325))</f>
        <v/>
      </c>
      <c r="AC1308" s="35">
        <f>$D1308*($E1308*(AC$321-AC$322)+$F1308*(AC$324-AC$325))</f>
        <v/>
      </c>
      <c r="AD1308" s="35">
        <f>$D1308*($E1308*(AD$321-AD$322)+$F1308*(AD$324-AD$325))</f>
        <v/>
      </c>
      <c r="AE1308" s="42">
        <f>XCARBON($D1308,$E1308,(AE$321-AE$322),$F1308,(AE$324-AE$325))</f>
        <v/>
      </c>
      <c r="AG1308" s="11">
        <f>CodePrefix&amp;$A1308&amp;IF($C1308="","","."&amp;$C1308&amp;"."&amp;$B1308)&amp;INDEX(VarEnd,MATCH($A1308,VarKey,0))&amp;AG$5</f>
        <v/>
      </c>
      <c r="AH1308" s="40">
        <f>$D1308*($E1308*(AH$321-AH$322)+$F1308*(AH$324-AH$325))</f>
        <v/>
      </c>
      <c r="AI1308" s="35">
        <f>$D1308*($E1308*(AI$321-AI$322)+$F1308*(AI$324-AI$325))</f>
        <v/>
      </c>
      <c r="AJ1308" s="35">
        <f>$D1308*($E1308*(AJ$321-AJ$322)+$F1308*(AJ$324-AJ$325))</f>
        <v/>
      </c>
      <c r="AK1308" s="35">
        <f>$D1308*($E1308*(AK$321-AK$322)+$F1308*(AK$324-AK$325))</f>
        <v/>
      </c>
      <c r="AL1308" s="35">
        <f>$D1308*($E1308*(AL$321-AL$322)+$F1308*(AL$324-AL$325))</f>
        <v/>
      </c>
      <c r="AM1308" s="35">
        <f>$D1308*($E1308*(AM$321-AM$322)+$F1308*(AM$324-AM$325))</f>
        <v/>
      </c>
      <c r="AN1308" s="35">
        <f>$D1308*($E1308*(AN$321-AN$322)+$F1308*(AN$324-AN$325))</f>
        <v/>
      </c>
      <c r="AO1308" s="35">
        <f>$D1308*($E1308*(AO$321-AO$322)+$F1308*(AO$324-AO$325))</f>
        <v/>
      </c>
      <c r="AP1308" s="35">
        <f>$D1308*($E1308*(AP$321-AP$322)+$F1308*(AP$324-AP$325))</f>
        <v/>
      </c>
      <c r="AQ1308" s="35">
        <f>$D1308*($E1308*(AQ$321-AQ$322)+$F1308*(AQ$324-AQ$325))</f>
        <v/>
      </c>
      <c r="AR1308" s="35">
        <f>$D1308*($E1308*(AR$321-AR$322)+$F1308*(AR$324-AR$325))</f>
        <v/>
      </c>
      <c r="AS1308" s="35">
        <f>$D1308*($E1308*(AS$321-AS$322)+$F1308*(AS$324-AS$325))</f>
        <v/>
      </c>
      <c r="AT1308" s="35">
        <f>$D1308*($E1308*(AT$321-AT$322)+$F1308*(AT$324-AT$325))</f>
        <v/>
      </c>
      <c r="AU1308" s="35">
        <f>$D1308*($E1308*(AU$321-AU$322)+$F1308*(AU$324-AU$325))</f>
        <v/>
      </c>
      <c r="AV1308" s="35">
        <f>$D1308*($E1308*(AV$321-AV$322)+$F1308*(AV$324-AV$325))</f>
        <v/>
      </c>
      <c r="AW1308" s="35">
        <f>$D1308*($E1308*(AW$321-AW$322)+$F1308*(AW$324-AW$325))</f>
        <v/>
      </c>
      <c r="AX1308" s="35">
        <f>$D1308*($E1308*(AX$321-AX$322)+$F1308*(AX$324-AX$325))</f>
        <v/>
      </c>
      <c r="AY1308" s="35">
        <f>$D1308*($E1308*(AY$321-AY$322)+$F1308*(AY$324-AY$325))</f>
        <v/>
      </c>
      <c r="AZ1308" s="35">
        <f>$D1308*($E1308*(AZ$321-AZ$322)+$F1308*(AZ$324-AZ$325))</f>
        <v/>
      </c>
      <c r="BA1308" s="42">
        <f>XCARBON($D1308,$E1308,(BA$321-BA$322),$F1308,(BA$324-BA$325))</f>
        <v/>
      </c>
    </row>
    <row r="1309" hidden="1" outlineLevel="2">
      <c r="A1309" s="14" t="inlineStr">
        <is>
          <t>xcpd</t>
        </is>
      </c>
      <c r="B1309" s="14" t="inlineStr">
        <is>
          <t>nga</t>
        </is>
      </c>
      <c r="C1309" s="14" t="inlineStr">
        <is>
          <t>avi</t>
        </is>
      </c>
      <c r="D1309" s="35">
        <f>INDEX(Inputs!$W$5:$W$132,MATCH($B1309&amp;"|"&amp;$C1309,Inputs!$A$5:$A$132,0))</f>
        <v/>
      </c>
      <c r="E1309" s="35">
        <f>INDEX(Inputs!$Z$5:$Z$132,MATCH($B1309&amp;"|"&amp;$C1309,Inputs!$A$5:$A$132,0))</f>
        <v/>
      </c>
      <c r="F1309" s="35">
        <f>INDEX(Inputs!$AA$5:$AA$132,MATCH($B1309&amp;"|"&amp;$C1309,Inputs!$A$5:$A$132,0))</f>
        <v/>
      </c>
      <c r="G1309" s="39" t="n"/>
      <c r="H1309" s="14">
        <f>INDEX(VarLab,MATCH($A1309,VarKey,0))&amp;INDEX(MemLab,MATCH($C1309&amp;"|"&amp;$B1309,MemKey,0))</f>
        <v/>
      </c>
      <c r="I1309" s="14">
        <f>INDEX(VarUnit,MATCH($A1309,VarKey,0))</f>
        <v/>
      </c>
      <c r="J1309" s="14">
        <f>INDEX(VarSrc,MATCH($A1309,VarKey,0))</f>
        <v/>
      </c>
      <c r="K1309" s="11">
        <f>CodePrefix&amp;$A1309&amp;IF($C1309="","","."&amp;$C1309&amp;"."&amp;$B1309)&amp;INDEX(VarEnd,MATCH($A1309,VarKey,0))&amp;K$5</f>
        <v/>
      </c>
      <c r="L1309" s="40">
        <f>$D1309*($E1309*(L$321-L$322)+$F1309*(L$324-L$325))</f>
        <v/>
      </c>
      <c r="M1309" s="35">
        <f>$D1309*($E1309*(M$321-M$322)+$F1309*(M$324-M$325))</f>
        <v/>
      </c>
      <c r="N1309" s="35">
        <f>$D1309*($E1309*(N$321-N$322)+$F1309*(N$324-N$325))</f>
        <v/>
      </c>
      <c r="O1309" s="35">
        <f>$D1309*($E1309*(O$321-O$322)+$F1309*(O$324-O$325))</f>
        <v/>
      </c>
      <c r="P1309" s="35">
        <f>$D1309*($E1309*(P$321-P$322)+$F1309*(P$324-P$325))</f>
        <v/>
      </c>
      <c r="Q1309" s="35">
        <f>$D1309*($E1309*(Q$321-Q$322)+$F1309*(Q$324-Q$325))</f>
        <v/>
      </c>
      <c r="R1309" s="35">
        <f>$D1309*($E1309*(R$321-R$322)+$F1309*(R$324-R$325))</f>
        <v/>
      </c>
      <c r="S1309" s="35">
        <f>$D1309*($E1309*(S$321-S$322)+$F1309*(S$324-S$325))</f>
        <v/>
      </c>
      <c r="T1309" s="35">
        <f>$D1309*($E1309*(T$321-T$322)+$F1309*(T$324-T$325))</f>
        <v/>
      </c>
      <c r="U1309" s="35">
        <f>$D1309*($E1309*(U$321-U$322)+$F1309*(U$324-U$325))</f>
        <v/>
      </c>
      <c r="V1309" s="35">
        <f>$D1309*($E1309*(V$321-V$322)+$F1309*(V$324-V$325))</f>
        <v/>
      </c>
      <c r="W1309" s="35">
        <f>$D1309*($E1309*(W$321-W$322)+$F1309*(W$324-W$325))</f>
        <v/>
      </c>
      <c r="X1309" s="35">
        <f>$D1309*($E1309*(X$321-X$322)+$F1309*(X$324-X$325))</f>
        <v/>
      </c>
      <c r="Y1309" s="35">
        <f>$D1309*($E1309*(Y$321-Y$322)+$F1309*(Y$324-Y$325))</f>
        <v/>
      </c>
      <c r="Z1309" s="35">
        <f>$D1309*($E1309*(Z$321-Z$322)+$F1309*(Z$324-Z$325))</f>
        <v/>
      </c>
      <c r="AA1309" s="35">
        <f>$D1309*($E1309*(AA$321-AA$322)+$F1309*(AA$324-AA$325))</f>
        <v/>
      </c>
      <c r="AB1309" s="35">
        <f>$D1309*($E1309*(AB$321-AB$322)+$F1309*(AB$324-AB$325))</f>
        <v/>
      </c>
      <c r="AC1309" s="35">
        <f>$D1309*($E1309*(AC$321-AC$322)+$F1309*(AC$324-AC$325))</f>
        <v/>
      </c>
      <c r="AD1309" s="35">
        <f>$D1309*($E1309*(AD$321-AD$322)+$F1309*(AD$324-AD$325))</f>
        <v/>
      </c>
      <c r="AE1309" s="42">
        <f>XCARBON($D1309,$E1309,(AE$321-AE$322),$F1309,(AE$324-AE$325))</f>
        <v/>
      </c>
      <c r="AG1309" s="11">
        <f>CodePrefix&amp;$A1309&amp;IF($C1309="","","."&amp;$C1309&amp;"."&amp;$B1309)&amp;INDEX(VarEnd,MATCH($A1309,VarKey,0))&amp;AG$5</f>
        <v/>
      </c>
      <c r="AH1309" s="40">
        <f>$D1309*($E1309*(AH$321-AH$322)+$F1309*(AH$324-AH$325))</f>
        <v/>
      </c>
      <c r="AI1309" s="35">
        <f>$D1309*($E1309*(AI$321-AI$322)+$F1309*(AI$324-AI$325))</f>
        <v/>
      </c>
      <c r="AJ1309" s="35">
        <f>$D1309*($E1309*(AJ$321-AJ$322)+$F1309*(AJ$324-AJ$325))</f>
        <v/>
      </c>
      <c r="AK1309" s="35">
        <f>$D1309*($E1309*(AK$321-AK$322)+$F1309*(AK$324-AK$325))</f>
        <v/>
      </c>
      <c r="AL1309" s="35">
        <f>$D1309*($E1309*(AL$321-AL$322)+$F1309*(AL$324-AL$325))</f>
        <v/>
      </c>
      <c r="AM1309" s="35">
        <f>$D1309*($E1309*(AM$321-AM$322)+$F1309*(AM$324-AM$325))</f>
        <v/>
      </c>
      <c r="AN1309" s="35">
        <f>$D1309*($E1309*(AN$321-AN$322)+$F1309*(AN$324-AN$325))</f>
        <v/>
      </c>
      <c r="AO1309" s="35">
        <f>$D1309*($E1309*(AO$321-AO$322)+$F1309*(AO$324-AO$325))</f>
        <v/>
      </c>
      <c r="AP1309" s="35">
        <f>$D1309*($E1309*(AP$321-AP$322)+$F1309*(AP$324-AP$325))</f>
        <v/>
      </c>
      <c r="AQ1309" s="35">
        <f>$D1309*($E1309*(AQ$321-AQ$322)+$F1309*(AQ$324-AQ$325))</f>
        <v/>
      </c>
      <c r="AR1309" s="35">
        <f>$D1309*($E1309*(AR$321-AR$322)+$F1309*(AR$324-AR$325))</f>
        <v/>
      </c>
      <c r="AS1309" s="35">
        <f>$D1309*($E1309*(AS$321-AS$322)+$F1309*(AS$324-AS$325))</f>
        <v/>
      </c>
      <c r="AT1309" s="35">
        <f>$D1309*($E1309*(AT$321-AT$322)+$F1309*(AT$324-AT$325))</f>
        <v/>
      </c>
      <c r="AU1309" s="35">
        <f>$D1309*($E1309*(AU$321-AU$322)+$F1309*(AU$324-AU$325))</f>
        <v/>
      </c>
      <c r="AV1309" s="35">
        <f>$D1309*($E1309*(AV$321-AV$322)+$F1309*(AV$324-AV$325))</f>
        <v/>
      </c>
      <c r="AW1309" s="35">
        <f>$D1309*($E1309*(AW$321-AW$322)+$F1309*(AW$324-AW$325))</f>
        <v/>
      </c>
      <c r="AX1309" s="35">
        <f>$D1309*($E1309*(AX$321-AX$322)+$F1309*(AX$324-AX$325))</f>
        <v/>
      </c>
      <c r="AY1309" s="35">
        <f>$D1309*($E1309*(AY$321-AY$322)+$F1309*(AY$324-AY$325))</f>
        <v/>
      </c>
      <c r="AZ1309" s="35">
        <f>$D1309*($E1309*(AZ$321-AZ$322)+$F1309*(AZ$324-AZ$325))</f>
        <v/>
      </c>
      <c r="BA1309" s="42">
        <f>XCARBON($D1309,$E1309,(BA$321-BA$322),$F1309,(BA$324-BA$325))</f>
        <v/>
      </c>
    </row>
    <row r="1310" hidden="1" outlineLevel="2">
      <c r="A1310" s="14" t="inlineStr">
        <is>
          <t>xcpd</t>
        </is>
      </c>
      <c r="B1310" s="14" t="inlineStr">
        <is>
          <t>gso</t>
        </is>
      </c>
      <c r="C1310" s="14" t="inlineStr">
        <is>
          <t>avi</t>
        </is>
      </c>
      <c r="D1310" s="35">
        <f>INDEX(Inputs!$W$5:$W$132,MATCH($B1310&amp;"|"&amp;$C1310,Inputs!$A$5:$A$132,0))</f>
        <v/>
      </c>
      <c r="E1310" s="35">
        <f>INDEX(Inputs!$Z$5:$Z$132,MATCH($B1310&amp;"|"&amp;$C1310,Inputs!$A$5:$A$132,0))</f>
        <v/>
      </c>
      <c r="F1310" s="35">
        <f>INDEX(Inputs!$AA$5:$AA$132,MATCH($B1310&amp;"|"&amp;$C1310,Inputs!$A$5:$A$132,0))</f>
        <v/>
      </c>
      <c r="G1310" s="39" t="n"/>
      <c r="H1310" s="14">
        <f>INDEX(VarLab,MATCH($A1310,VarKey,0))&amp;INDEX(MemLab,MATCH($C1310&amp;"|"&amp;$B1310,MemKey,0))</f>
        <v/>
      </c>
      <c r="I1310" s="14">
        <f>INDEX(VarUnit,MATCH($A1310,VarKey,0))</f>
        <v/>
      </c>
      <c r="J1310" s="14">
        <f>INDEX(VarSrc,MATCH($A1310,VarKey,0))</f>
        <v/>
      </c>
      <c r="K1310" s="11">
        <f>CodePrefix&amp;$A1310&amp;IF($C1310="","","."&amp;$C1310&amp;"."&amp;$B1310)&amp;INDEX(VarEnd,MATCH($A1310,VarKey,0))&amp;K$5</f>
        <v/>
      </c>
      <c r="L1310" s="40">
        <f>$D1310*($E1310*(L$321-L$322)+$F1310*(L$324-L$325))</f>
        <v/>
      </c>
      <c r="M1310" s="35">
        <f>$D1310*($E1310*(M$321-M$322)+$F1310*(M$324-M$325))</f>
        <v/>
      </c>
      <c r="N1310" s="35">
        <f>$D1310*($E1310*(N$321-N$322)+$F1310*(N$324-N$325))</f>
        <v/>
      </c>
      <c r="O1310" s="35">
        <f>$D1310*($E1310*(O$321-O$322)+$F1310*(O$324-O$325))</f>
        <v/>
      </c>
      <c r="P1310" s="35">
        <f>$D1310*($E1310*(P$321-P$322)+$F1310*(P$324-P$325))</f>
        <v/>
      </c>
      <c r="Q1310" s="35">
        <f>$D1310*($E1310*(Q$321-Q$322)+$F1310*(Q$324-Q$325))</f>
        <v/>
      </c>
      <c r="R1310" s="35">
        <f>$D1310*($E1310*(R$321-R$322)+$F1310*(R$324-R$325))</f>
        <v/>
      </c>
      <c r="S1310" s="35">
        <f>$D1310*($E1310*(S$321-S$322)+$F1310*(S$324-S$325))</f>
        <v/>
      </c>
      <c r="T1310" s="35">
        <f>$D1310*($E1310*(T$321-T$322)+$F1310*(T$324-T$325))</f>
        <v/>
      </c>
      <c r="U1310" s="35">
        <f>$D1310*($E1310*(U$321-U$322)+$F1310*(U$324-U$325))</f>
        <v/>
      </c>
      <c r="V1310" s="35">
        <f>$D1310*($E1310*(V$321-V$322)+$F1310*(V$324-V$325))</f>
        <v/>
      </c>
      <c r="W1310" s="35">
        <f>$D1310*($E1310*(W$321-W$322)+$F1310*(W$324-W$325))</f>
        <v/>
      </c>
      <c r="X1310" s="35">
        <f>$D1310*($E1310*(X$321-X$322)+$F1310*(X$324-X$325))</f>
        <v/>
      </c>
      <c r="Y1310" s="35">
        <f>$D1310*($E1310*(Y$321-Y$322)+$F1310*(Y$324-Y$325))</f>
        <v/>
      </c>
      <c r="Z1310" s="35">
        <f>$D1310*($E1310*(Z$321-Z$322)+$F1310*(Z$324-Z$325))</f>
        <v/>
      </c>
      <c r="AA1310" s="35">
        <f>$D1310*($E1310*(AA$321-AA$322)+$F1310*(AA$324-AA$325))</f>
        <v/>
      </c>
      <c r="AB1310" s="35">
        <f>$D1310*($E1310*(AB$321-AB$322)+$F1310*(AB$324-AB$325))</f>
        <v/>
      </c>
      <c r="AC1310" s="35">
        <f>$D1310*($E1310*(AC$321-AC$322)+$F1310*(AC$324-AC$325))</f>
        <v/>
      </c>
      <c r="AD1310" s="35">
        <f>$D1310*($E1310*(AD$321-AD$322)+$F1310*(AD$324-AD$325))</f>
        <v/>
      </c>
      <c r="AE1310" s="42">
        <f>XCARBON($D1310,$E1310,(AE$321-AE$322),$F1310,(AE$324-AE$325))</f>
        <v/>
      </c>
      <c r="AG1310" s="11">
        <f>CodePrefix&amp;$A1310&amp;IF($C1310="","","."&amp;$C1310&amp;"."&amp;$B1310)&amp;INDEX(VarEnd,MATCH($A1310,VarKey,0))&amp;AG$5</f>
        <v/>
      </c>
      <c r="AH1310" s="40">
        <f>$D1310*($E1310*(AH$321-AH$322)+$F1310*(AH$324-AH$325))</f>
        <v/>
      </c>
      <c r="AI1310" s="35">
        <f>$D1310*($E1310*(AI$321-AI$322)+$F1310*(AI$324-AI$325))</f>
        <v/>
      </c>
      <c r="AJ1310" s="35">
        <f>$D1310*($E1310*(AJ$321-AJ$322)+$F1310*(AJ$324-AJ$325))</f>
        <v/>
      </c>
      <c r="AK1310" s="35">
        <f>$D1310*($E1310*(AK$321-AK$322)+$F1310*(AK$324-AK$325))</f>
        <v/>
      </c>
      <c r="AL1310" s="35">
        <f>$D1310*($E1310*(AL$321-AL$322)+$F1310*(AL$324-AL$325))</f>
        <v/>
      </c>
      <c r="AM1310" s="35">
        <f>$D1310*($E1310*(AM$321-AM$322)+$F1310*(AM$324-AM$325))</f>
        <v/>
      </c>
      <c r="AN1310" s="35">
        <f>$D1310*($E1310*(AN$321-AN$322)+$F1310*(AN$324-AN$325))</f>
        <v/>
      </c>
      <c r="AO1310" s="35">
        <f>$D1310*($E1310*(AO$321-AO$322)+$F1310*(AO$324-AO$325))</f>
        <v/>
      </c>
      <c r="AP1310" s="35">
        <f>$D1310*($E1310*(AP$321-AP$322)+$F1310*(AP$324-AP$325))</f>
        <v/>
      </c>
      <c r="AQ1310" s="35">
        <f>$D1310*($E1310*(AQ$321-AQ$322)+$F1310*(AQ$324-AQ$325))</f>
        <v/>
      </c>
      <c r="AR1310" s="35">
        <f>$D1310*($E1310*(AR$321-AR$322)+$F1310*(AR$324-AR$325))</f>
        <v/>
      </c>
      <c r="AS1310" s="35">
        <f>$D1310*($E1310*(AS$321-AS$322)+$F1310*(AS$324-AS$325))</f>
        <v/>
      </c>
      <c r="AT1310" s="35">
        <f>$D1310*($E1310*(AT$321-AT$322)+$F1310*(AT$324-AT$325))</f>
        <v/>
      </c>
      <c r="AU1310" s="35">
        <f>$D1310*($E1310*(AU$321-AU$322)+$F1310*(AU$324-AU$325))</f>
        <v/>
      </c>
      <c r="AV1310" s="35">
        <f>$D1310*($E1310*(AV$321-AV$322)+$F1310*(AV$324-AV$325))</f>
        <v/>
      </c>
      <c r="AW1310" s="35">
        <f>$D1310*($E1310*(AW$321-AW$322)+$F1310*(AW$324-AW$325))</f>
        <v/>
      </c>
      <c r="AX1310" s="35">
        <f>$D1310*($E1310*(AX$321-AX$322)+$F1310*(AX$324-AX$325))</f>
        <v/>
      </c>
      <c r="AY1310" s="35">
        <f>$D1310*($E1310*(AY$321-AY$322)+$F1310*(AY$324-AY$325))</f>
        <v/>
      </c>
      <c r="AZ1310" s="35">
        <f>$D1310*($E1310*(AZ$321-AZ$322)+$F1310*(AZ$324-AZ$325))</f>
        <v/>
      </c>
      <c r="BA1310" s="42">
        <f>XCARBON($D1310,$E1310,(BA$321-BA$322),$F1310,(BA$324-BA$325))</f>
        <v/>
      </c>
    </row>
    <row r="1311" hidden="1" outlineLevel="2">
      <c r="A1311" s="14" t="inlineStr">
        <is>
          <t>xcpd</t>
        </is>
      </c>
      <c r="B1311" s="14" t="inlineStr">
        <is>
          <t>die</t>
        </is>
      </c>
      <c r="C1311" s="14" t="inlineStr">
        <is>
          <t>avi</t>
        </is>
      </c>
      <c r="D1311" s="35">
        <f>INDEX(Inputs!$W$5:$W$132,MATCH($B1311&amp;"|"&amp;$C1311,Inputs!$A$5:$A$132,0))</f>
        <v/>
      </c>
      <c r="E1311" s="35">
        <f>INDEX(Inputs!$Z$5:$Z$132,MATCH($B1311&amp;"|"&amp;$C1311,Inputs!$A$5:$A$132,0))</f>
        <v/>
      </c>
      <c r="F1311" s="35">
        <f>INDEX(Inputs!$AA$5:$AA$132,MATCH($B1311&amp;"|"&amp;$C1311,Inputs!$A$5:$A$132,0))</f>
        <v/>
      </c>
      <c r="G1311" s="39" t="n"/>
      <c r="H1311" s="14">
        <f>INDEX(VarLab,MATCH($A1311,VarKey,0))&amp;INDEX(MemLab,MATCH($C1311&amp;"|"&amp;$B1311,MemKey,0))</f>
        <v/>
      </c>
      <c r="I1311" s="14">
        <f>INDEX(VarUnit,MATCH($A1311,VarKey,0))</f>
        <v/>
      </c>
      <c r="J1311" s="14">
        <f>INDEX(VarSrc,MATCH($A1311,VarKey,0))</f>
        <v/>
      </c>
      <c r="K1311" s="11">
        <f>CodePrefix&amp;$A1311&amp;IF($C1311="","","."&amp;$C1311&amp;"."&amp;$B1311)&amp;INDEX(VarEnd,MATCH($A1311,VarKey,0))&amp;K$5</f>
        <v/>
      </c>
      <c r="L1311" s="40">
        <f>$D1311*($E1311*(L$321-L$322)+$F1311*(L$324-L$325))</f>
        <v/>
      </c>
      <c r="M1311" s="35">
        <f>$D1311*($E1311*(M$321-M$322)+$F1311*(M$324-M$325))</f>
        <v/>
      </c>
      <c r="N1311" s="35">
        <f>$D1311*($E1311*(N$321-N$322)+$F1311*(N$324-N$325))</f>
        <v/>
      </c>
      <c r="O1311" s="35">
        <f>$D1311*($E1311*(O$321-O$322)+$F1311*(O$324-O$325))</f>
        <v/>
      </c>
      <c r="P1311" s="35">
        <f>$D1311*($E1311*(P$321-P$322)+$F1311*(P$324-P$325))</f>
        <v/>
      </c>
      <c r="Q1311" s="35">
        <f>$D1311*($E1311*(Q$321-Q$322)+$F1311*(Q$324-Q$325))</f>
        <v/>
      </c>
      <c r="R1311" s="35">
        <f>$D1311*($E1311*(R$321-R$322)+$F1311*(R$324-R$325))</f>
        <v/>
      </c>
      <c r="S1311" s="35">
        <f>$D1311*($E1311*(S$321-S$322)+$F1311*(S$324-S$325))</f>
        <v/>
      </c>
      <c r="T1311" s="35">
        <f>$D1311*($E1311*(T$321-T$322)+$F1311*(T$324-T$325))</f>
        <v/>
      </c>
      <c r="U1311" s="35">
        <f>$D1311*($E1311*(U$321-U$322)+$F1311*(U$324-U$325))</f>
        <v/>
      </c>
      <c r="V1311" s="35">
        <f>$D1311*($E1311*(V$321-V$322)+$F1311*(V$324-V$325))</f>
        <v/>
      </c>
      <c r="W1311" s="35">
        <f>$D1311*($E1311*(W$321-W$322)+$F1311*(W$324-W$325))</f>
        <v/>
      </c>
      <c r="X1311" s="35">
        <f>$D1311*($E1311*(X$321-X$322)+$F1311*(X$324-X$325))</f>
        <v/>
      </c>
      <c r="Y1311" s="35">
        <f>$D1311*($E1311*(Y$321-Y$322)+$F1311*(Y$324-Y$325))</f>
        <v/>
      </c>
      <c r="Z1311" s="35">
        <f>$D1311*($E1311*(Z$321-Z$322)+$F1311*(Z$324-Z$325))</f>
        <v/>
      </c>
      <c r="AA1311" s="35">
        <f>$D1311*($E1311*(AA$321-AA$322)+$F1311*(AA$324-AA$325))</f>
        <v/>
      </c>
      <c r="AB1311" s="35">
        <f>$D1311*($E1311*(AB$321-AB$322)+$F1311*(AB$324-AB$325))</f>
        <v/>
      </c>
      <c r="AC1311" s="35">
        <f>$D1311*($E1311*(AC$321-AC$322)+$F1311*(AC$324-AC$325))</f>
        <v/>
      </c>
      <c r="AD1311" s="35">
        <f>$D1311*($E1311*(AD$321-AD$322)+$F1311*(AD$324-AD$325))</f>
        <v/>
      </c>
      <c r="AE1311" s="42">
        <f>XCARBON($D1311,$E1311,(AE$321-AE$322),$F1311,(AE$324-AE$325))</f>
        <v/>
      </c>
      <c r="AG1311" s="11">
        <f>CodePrefix&amp;$A1311&amp;IF($C1311="","","."&amp;$C1311&amp;"."&amp;$B1311)&amp;INDEX(VarEnd,MATCH($A1311,VarKey,0))&amp;AG$5</f>
        <v/>
      </c>
      <c r="AH1311" s="40">
        <f>$D1311*($E1311*(AH$321-AH$322)+$F1311*(AH$324-AH$325))</f>
        <v/>
      </c>
      <c r="AI1311" s="35">
        <f>$D1311*($E1311*(AI$321-AI$322)+$F1311*(AI$324-AI$325))</f>
        <v/>
      </c>
      <c r="AJ1311" s="35">
        <f>$D1311*($E1311*(AJ$321-AJ$322)+$F1311*(AJ$324-AJ$325))</f>
        <v/>
      </c>
      <c r="AK1311" s="35">
        <f>$D1311*($E1311*(AK$321-AK$322)+$F1311*(AK$324-AK$325))</f>
        <v/>
      </c>
      <c r="AL1311" s="35">
        <f>$D1311*($E1311*(AL$321-AL$322)+$F1311*(AL$324-AL$325))</f>
        <v/>
      </c>
      <c r="AM1311" s="35">
        <f>$D1311*($E1311*(AM$321-AM$322)+$F1311*(AM$324-AM$325))</f>
        <v/>
      </c>
      <c r="AN1311" s="35">
        <f>$D1311*($E1311*(AN$321-AN$322)+$F1311*(AN$324-AN$325))</f>
        <v/>
      </c>
      <c r="AO1311" s="35">
        <f>$D1311*($E1311*(AO$321-AO$322)+$F1311*(AO$324-AO$325))</f>
        <v/>
      </c>
      <c r="AP1311" s="35">
        <f>$D1311*($E1311*(AP$321-AP$322)+$F1311*(AP$324-AP$325))</f>
        <v/>
      </c>
      <c r="AQ1311" s="35">
        <f>$D1311*($E1311*(AQ$321-AQ$322)+$F1311*(AQ$324-AQ$325))</f>
        <v/>
      </c>
      <c r="AR1311" s="35">
        <f>$D1311*($E1311*(AR$321-AR$322)+$F1311*(AR$324-AR$325))</f>
        <v/>
      </c>
      <c r="AS1311" s="35">
        <f>$D1311*($E1311*(AS$321-AS$322)+$F1311*(AS$324-AS$325))</f>
        <v/>
      </c>
      <c r="AT1311" s="35">
        <f>$D1311*($E1311*(AT$321-AT$322)+$F1311*(AT$324-AT$325))</f>
        <v/>
      </c>
      <c r="AU1311" s="35">
        <f>$D1311*($E1311*(AU$321-AU$322)+$F1311*(AU$324-AU$325))</f>
        <v/>
      </c>
      <c r="AV1311" s="35">
        <f>$D1311*($E1311*(AV$321-AV$322)+$F1311*(AV$324-AV$325))</f>
        <v/>
      </c>
      <c r="AW1311" s="35">
        <f>$D1311*($E1311*(AW$321-AW$322)+$F1311*(AW$324-AW$325))</f>
        <v/>
      </c>
      <c r="AX1311" s="35">
        <f>$D1311*($E1311*(AX$321-AX$322)+$F1311*(AX$324-AX$325))</f>
        <v/>
      </c>
      <c r="AY1311" s="35">
        <f>$D1311*($E1311*(AY$321-AY$322)+$F1311*(AY$324-AY$325))</f>
        <v/>
      </c>
      <c r="AZ1311" s="35">
        <f>$D1311*($E1311*(AZ$321-AZ$322)+$F1311*(AZ$324-AZ$325))</f>
        <v/>
      </c>
      <c r="BA1311" s="42">
        <f>XCARBON($D1311,$E1311,(BA$321-BA$322),$F1311,(BA$324-BA$325))</f>
        <v/>
      </c>
    </row>
    <row r="1312" hidden="1" outlineLevel="2">
      <c r="A1312" s="14" t="inlineStr">
        <is>
          <t>xcpd</t>
        </is>
      </c>
      <c r="B1312" s="14" t="inlineStr">
        <is>
          <t>lpg</t>
        </is>
      </c>
      <c r="C1312" s="14" t="inlineStr">
        <is>
          <t>avi</t>
        </is>
      </c>
      <c r="D1312" s="35">
        <f>INDEX(Inputs!$W$5:$W$132,MATCH($B1312&amp;"|"&amp;$C1312,Inputs!$A$5:$A$132,0))</f>
        <v/>
      </c>
      <c r="E1312" s="35">
        <f>INDEX(Inputs!$Z$5:$Z$132,MATCH($B1312&amp;"|"&amp;$C1312,Inputs!$A$5:$A$132,0))</f>
        <v/>
      </c>
      <c r="F1312" s="35">
        <f>INDEX(Inputs!$AA$5:$AA$132,MATCH($B1312&amp;"|"&amp;$C1312,Inputs!$A$5:$A$132,0))</f>
        <v/>
      </c>
      <c r="G1312" s="39" t="n"/>
      <c r="H1312" s="14">
        <f>INDEX(VarLab,MATCH($A1312,VarKey,0))&amp;INDEX(MemLab,MATCH($C1312&amp;"|"&amp;$B1312,MemKey,0))</f>
        <v/>
      </c>
      <c r="I1312" s="14">
        <f>INDEX(VarUnit,MATCH($A1312,VarKey,0))</f>
        <v/>
      </c>
      <c r="J1312" s="14">
        <f>INDEX(VarSrc,MATCH($A1312,VarKey,0))</f>
        <v/>
      </c>
      <c r="K1312" s="11">
        <f>CodePrefix&amp;$A1312&amp;IF($C1312="","","."&amp;$C1312&amp;"."&amp;$B1312)&amp;INDEX(VarEnd,MATCH($A1312,VarKey,0))&amp;K$5</f>
        <v/>
      </c>
      <c r="L1312" s="40">
        <f>$D1312*($E1312*(L$321-L$322)+$F1312*(L$324-L$325))</f>
        <v/>
      </c>
      <c r="M1312" s="35">
        <f>$D1312*($E1312*(M$321-M$322)+$F1312*(M$324-M$325))</f>
        <v/>
      </c>
      <c r="N1312" s="35">
        <f>$D1312*($E1312*(N$321-N$322)+$F1312*(N$324-N$325))</f>
        <v/>
      </c>
      <c r="O1312" s="35">
        <f>$D1312*($E1312*(O$321-O$322)+$F1312*(O$324-O$325))</f>
        <v/>
      </c>
      <c r="P1312" s="35">
        <f>$D1312*($E1312*(P$321-P$322)+$F1312*(P$324-P$325))</f>
        <v/>
      </c>
      <c r="Q1312" s="35">
        <f>$D1312*($E1312*(Q$321-Q$322)+$F1312*(Q$324-Q$325))</f>
        <v/>
      </c>
      <c r="R1312" s="35">
        <f>$D1312*($E1312*(R$321-R$322)+$F1312*(R$324-R$325))</f>
        <v/>
      </c>
      <c r="S1312" s="35">
        <f>$D1312*($E1312*(S$321-S$322)+$F1312*(S$324-S$325))</f>
        <v/>
      </c>
      <c r="T1312" s="35">
        <f>$D1312*($E1312*(T$321-T$322)+$F1312*(T$324-T$325))</f>
        <v/>
      </c>
      <c r="U1312" s="35">
        <f>$D1312*($E1312*(U$321-U$322)+$F1312*(U$324-U$325))</f>
        <v/>
      </c>
      <c r="V1312" s="35">
        <f>$D1312*($E1312*(V$321-V$322)+$F1312*(V$324-V$325))</f>
        <v/>
      </c>
      <c r="W1312" s="35">
        <f>$D1312*($E1312*(W$321-W$322)+$F1312*(W$324-W$325))</f>
        <v/>
      </c>
      <c r="X1312" s="35">
        <f>$D1312*($E1312*(X$321-X$322)+$F1312*(X$324-X$325))</f>
        <v/>
      </c>
      <c r="Y1312" s="35">
        <f>$D1312*($E1312*(Y$321-Y$322)+$F1312*(Y$324-Y$325))</f>
        <v/>
      </c>
      <c r="Z1312" s="35">
        <f>$D1312*($E1312*(Z$321-Z$322)+$F1312*(Z$324-Z$325))</f>
        <v/>
      </c>
      <c r="AA1312" s="35">
        <f>$D1312*($E1312*(AA$321-AA$322)+$F1312*(AA$324-AA$325))</f>
        <v/>
      </c>
      <c r="AB1312" s="35">
        <f>$D1312*($E1312*(AB$321-AB$322)+$F1312*(AB$324-AB$325))</f>
        <v/>
      </c>
      <c r="AC1312" s="35">
        <f>$D1312*($E1312*(AC$321-AC$322)+$F1312*(AC$324-AC$325))</f>
        <v/>
      </c>
      <c r="AD1312" s="35">
        <f>$D1312*($E1312*(AD$321-AD$322)+$F1312*(AD$324-AD$325))</f>
        <v/>
      </c>
      <c r="AE1312" s="42">
        <f>XCARBON($D1312,$E1312,(AE$321-AE$322),$F1312,(AE$324-AE$325))</f>
        <v/>
      </c>
      <c r="AG1312" s="11">
        <f>CodePrefix&amp;$A1312&amp;IF($C1312="","","."&amp;$C1312&amp;"."&amp;$B1312)&amp;INDEX(VarEnd,MATCH($A1312,VarKey,0))&amp;AG$5</f>
        <v/>
      </c>
      <c r="AH1312" s="40">
        <f>$D1312*($E1312*(AH$321-AH$322)+$F1312*(AH$324-AH$325))</f>
        <v/>
      </c>
      <c r="AI1312" s="35">
        <f>$D1312*($E1312*(AI$321-AI$322)+$F1312*(AI$324-AI$325))</f>
        <v/>
      </c>
      <c r="AJ1312" s="35">
        <f>$D1312*($E1312*(AJ$321-AJ$322)+$F1312*(AJ$324-AJ$325))</f>
        <v/>
      </c>
      <c r="AK1312" s="35">
        <f>$D1312*($E1312*(AK$321-AK$322)+$F1312*(AK$324-AK$325))</f>
        <v/>
      </c>
      <c r="AL1312" s="35">
        <f>$D1312*($E1312*(AL$321-AL$322)+$F1312*(AL$324-AL$325))</f>
        <v/>
      </c>
      <c r="AM1312" s="35">
        <f>$D1312*($E1312*(AM$321-AM$322)+$F1312*(AM$324-AM$325))</f>
        <v/>
      </c>
      <c r="AN1312" s="35">
        <f>$D1312*($E1312*(AN$321-AN$322)+$F1312*(AN$324-AN$325))</f>
        <v/>
      </c>
      <c r="AO1312" s="35">
        <f>$D1312*($E1312*(AO$321-AO$322)+$F1312*(AO$324-AO$325))</f>
        <v/>
      </c>
      <c r="AP1312" s="35">
        <f>$D1312*($E1312*(AP$321-AP$322)+$F1312*(AP$324-AP$325))</f>
        <v/>
      </c>
      <c r="AQ1312" s="35">
        <f>$D1312*($E1312*(AQ$321-AQ$322)+$F1312*(AQ$324-AQ$325))</f>
        <v/>
      </c>
      <c r="AR1312" s="35">
        <f>$D1312*($E1312*(AR$321-AR$322)+$F1312*(AR$324-AR$325))</f>
        <v/>
      </c>
      <c r="AS1312" s="35">
        <f>$D1312*($E1312*(AS$321-AS$322)+$F1312*(AS$324-AS$325))</f>
        <v/>
      </c>
      <c r="AT1312" s="35">
        <f>$D1312*($E1312*(AT$321-AT$322)+$F1312*(AT$324-AT$325))</f>
        <v/>
      </c>
      <c r="AU1312" s="35">
        <f>$D1312*($E1312*(AU$321-AU$322)+$F1312*(AU$324-AU$325))</f>
        <v/>
      </c>
      <c r="AV1312" s="35">
        <f>$D1312*($E1312*(AV$321-AV$322)+$F1312*(AV$324-AV$325))</f>
        <v/>
      </c>
      <c r="AW1312" s="35">
        <f>$D1312*($E1312*(AW$321-AW$322)+$F1312*(AW$324-AW$325))</f>
        <v/>
      </c>
      <c r="AX1312" s="35">
        <f>$D1312*($E1312*(AX$321-AX$322)+$F1312*(AX$324-AX$325))</f>
        <v/>
      </c>
      <c r="AY1312" s="35">
        <f>$D1312*($E1312*(AY$321-AY$322)+$F1312*(AY$324-AY$325))</f>
        <v/>
      </c>
      <c r="AZ1312" s="35">
        <f>$D1312*($E1312*(AZ$321-AZ$322)+$F1312*(AZ$324-AZ$325))</f>
        <v/>
      </c>
      <c r="BA1312" s="42">
        <f>XCARBON($D1312,$E1312,(BA$321-BA$322),$F1312,(BA$324-BA$325))</f>
        <v/>
      </c>
    </row>
    <row r="1313" hidden="1" outlineLevel="2">
      <c r="A1313" s="14" t="inlineStr">
        <is>
          <t>xcpd</t>
        </is>
      </c>
      <c r="B1313" s="14" t="inlineStr">
        <is>
          <t>ker</t>
        </is>
      </c>
      <c r="C1313" s="14" t="inlineStr">
        <is>
          <t>avi</t>
        </is>
      </c>
      <c r="D1313" s="35">
        <f>INDEX(Inputs!$W$5:$W$132,MATCH($B1313&amp;"|"&amp;$C1313,Inputs!$A$5:$A$132,0))</f>
        <v/>
      </c>
      <c r="E1313" s="35">
        <f>INDEX(Inputs!$Z$5:$Z$132,MATCH($B1313&amp;"|"&amp;$C1313,Inputs!$A$5:$A$132,0))</f>
        <v/>
      </c>
      <c r="F1313" s="35">
        <f>INDEX(Inputs!$AA$5:$AA$132,MATCH($B1313&amp;"|"&amp;$C1313,Inputs!$A$5:$A$132,0))</f>
        <v/>
      </c>
      <c r="G1313" s="39" t="n"/>
      <c r="H1313" s="14">
        <f>INDEX(VarLab,MATCH($A1313,VarKey,0))&amp;INDEX(MemLab,MATCH($C1313&amp;"|"&amp;$B1313,MemKey,0))</f>
        <v/>
      </c>
      <c r="I1313" s="14">
        <f>INDEX(VarUnit,MATCH($A1313,VarKey,0))</f>
        <v/>
      </c>
      <c r="J1313" s="14">
        <f>INDEX(VarSrc,MATCH($A1313,VarKey,0))</f>
        <v/>
      </c>
      <c r="K1313" s="11">
        <f>CodePrefix&amp;$A1313&amp;IF($C1313="","","."&amp;$C1313&amp;"."&amp;$B1313)&amp;INDEX(VarEnd,MATCH($A1313,VarKey,0))&amp;K$5</f>
        <v/>
      </c>
      <c r="L1313" s="40">
        <f>$D1313*($E1313*(L$321-L$322)+$F1313*(L$324-L$325))</f>
        <v/>
      </c>
      <c r="M1313" s="35">
        <f>$D1313*($E1313*(M$321-M$322)+$F1313*(M$324-M$325))</f>
        <v/>
      </c>
      <c r="N1313" s="35">
        <f>$D1313*($E1313*(N$321-N$322)+$F1313*(N$324-N$325))</f>
        <v/>
      </c>
      <c r="O1313" s="35">
        <f>$D1313*($E1313*(O$321-O$322)+$F1313*(O$324-O$325))</f>
        <v/>
      </c>
      <c r="P1313" s="35">
        <f>$D1313*($E1313*(P$321-P$322)+$F1313*(P$324-P$325))</f>
        <v/>
      </c>
      <c r="Q1313" s="35">
        <f>$D1313*($E1313*(Q$321-Q$322)+$F1313*(Q$324-Q$325))</f>
        <v/>
      </c>
      <c r="R1313" s="35">
        <f>$D1313*($E1313*(R$321-R$322)+$F1313*(R$324-R$325))</f>
        <v/>
      </c>
      <c r="S1313" s="35">
        <f>$D1313*($E1313*(S$321-S$322)+$F1313*(S$324-S$325))</f>
        <v/>
      </c>
      <c r="T1313" s="35">
        <f>$D1313*($E1313*(T$321-T$322)+$F1313*(T$324-T$325))</f>
        <v/>
      </c>
      <c r="U1313" s="35">
        <f>$D1313*($E1313*(U$321-U$322)+$F1313*(U$324-U$325))</f>
        <v/>
      </c>
      <c r="V1313" s="35">
        <f>$D1313*($E1313*(V$321-V$322)+$F1313*(V$324-V$325))</f>
        <v/>
      </c>
      <c r="W1313" s="35">
        <f>$D1313*($E1313*(W$321-W$322)+$F1313*(W$324-W$325))</f>
        <v/>
      </c>
      <c r="X1313" s="35">
        <f>$D1313*($E1313*(X$321-X$322)+$F1313*(X$324-X$325))</f>
        <v/>
      </c>
      <c r="Y1313" s="35">
        <f>$D1313*($E1313*(Y$321-Y$322)+$F1313*(Y$324-Y$325))</f>
        <v/>
      </c>
      <c r="Z1313" s="35">
        <f>$D1313*($E1313*(Z$321-Z$322)+$F1313*(Z$324-Z$325))</f>
        <v/>
      </c>
      <c r="AA1313" s="35">
        <f>$D1313*($E1313*(AA$321-AA$322)+$F1313*(AA$324-AA$325))</f>
        <v/>
      </c>
      <c r="AB1313" s="35">
        <f>$D1313*($E1313*(AB$321-AB$322)+$F1313*(AB$324-AB$325))</f>
        <v/>
      </c>
      <c r="AC1313" s="35">
        <f>$D1313*($E1313*(AC$321-AC$322)+$F1313*(AC$324-AC$325))</f>
        <v/>
      </c>
      <c r="AD1313" s="35">
        <f>$D1313*($E1313*(AD$321-AD$322)+$F1313*(AD$324-AD$325))</f>
        <v/>
      </c>
      <c r="AE1313" s="42">
        <f>XCARBON($D1313,$E1313,(AE$321-AE$322),$F1313,(AE$324-AE$325))</f>
        <v/>
      </c>
      <c r="AG1313" s="11">
        <f>CodePrefix&amp;$A1313&amp;IF($C1313="","","."&amp;$C1313&amp;"."&amp;$B1313)&amp;INDEX(VarEnd,MATCH($A1313,VarKey,0))&amp;AG$5</f>
        <v/>
      </c>
      <c r="AH1313" s="40">
        <f>$D1313*($E1313*(AH$321-AH$322)+$F1313*(AH$324-AH$325))</f>
        <v/>
      </c>
      <c r="AI1313" s="35">
        <f>$D1313*($E1313*(AI$321-AI$322)+$F1313*(AI$324-AI$325))</f>
        <v/>
      </c>
      <c r="AJ1313" s="35">
        <f>$D1313*($E1313*(AJ$321-AJ$322)+$F1313*(AJ$324-AJ$325))</f>
        <v/>
      </c>
      <c r="AK1313" s="35">
        <f>$D1313*($E1313*(AK$321-AK$322)+$F1313*(AK$324-AK$325))</f>
        <v/>
      </c>
      <c r="AL1313" s="35">
        <f>$D1313*($E1313*(AL$321-AL$322)+$F1313*(AL$324-AL$325))</f>
        <v/>
      </c>
      <c r="AM1313" s="35">
        <f>$D1313*($E1313*(AM$321-AM$322)+$F1313*(AM$324-AM$325))</f>
        <v/>
      </c>
      <c r="AN1313" s="35">
        <f>$D1313*($E1313*(AN$321-AN$322)+$F1313*(AN$324-AN$325))</f>
        <v/>
      </c>
      <c r="AO1313" s="35">
        <f>$D1313*($E1313*(AO$321-AO$322)+$F1313*(AO$324-AO$325))</f>
        <v/>
      </c>
      <c r="AP1313" s="35">
        <f>$D1313*($E1313*(AP$321-AP$322)+$F1313*(AP$324-AP$325))</f>
        <v/>
      </c>
      <c r="AQ1313" s="35">
        <f>$D1313*($E1313*(AQ$321-AQ$322)+$F1313*(AQ$324-AQ$325))</f>
        <v/>
      </c>
      <c r="AR1313" s="35">
        <f>$D1313*($E1313*(AR$321-AR$322)+$F1313*(AR$324-AR$325))</f>
        <v/>
      </c>
      <c r="AS1313" s="35">
        <f>$D1313*($E1313*(AS$321-AS$322)+$F1313*(AS$324-AS$325))</f>
        <v/>
      </c>
      <c r="AT1313" s="35">
        <f>$D1313*($E1313*(AT$321-AT$322)+$F1313*(AT$324-AT$325))</f>
        <v/>
      </c>
      <c r="AU1313" s="35">
        <f>$D1313*($E1313*(AU$321-AU$322)+$F1313*(AU$324-AU$325))</f>
        <v/>
      </c>
      <c r="AV1313" s="35">
        <f>$D1313*($E1313*(AV$321-AV$322)+$F1313*(AV$324-AV$325))</f>
        <v/>
      </c>
      <c r="AW1313" s="35">
        <f>$D1313*($E1313*(AW$321-AW$322)+$F1313*(AW$324-AW$325))</f>
        <v/>
      </c>
      <c r="AX1313" s="35">
        <f>$D1313*($E1313*(AX$321-AX$322)+$F1313*(AX$324-AX$325))</f>
        <v/>
      </c>
      <c r="AY1313" s="35">
        <f>$D1313*($E1313*(AY$321-AY$322)+$F1313*(AY$324-AY$325))</f>
        <v/>
      </c>
      <c r="AZ1313" s="35">
        <f>$D1313*($E1313*(AZ$321-AZ$322)+$F1313*(AZ$324-AZ$325))</f>
        <v/>
      </c>
      <c r="BA1313" s="42">
        <f>XCARBON($D1313,$E1313,(BA$321-BA$322),$F1313,(BA$324-BA$325))</f>
        <v/>
      </c>
    </row>
    <row r="1314" hidden="1" outlineLevel="2">
      <c r="A1314" s="14" t="inlineStr">
        <is>
          <t>xcpd</t>
        </is>
      </c>
      <c r="B1314" s="14" t="inlineStr">
        <is>
          <t>oop</t>
        </is>
      </c>
      <c r="C1314" s="14" t="inlineStr">
        <is>
          <t>avi</t>
        </is>
      </c>
      <c r="D1314" s="35">
        <f>INDEX(Inputs!$W$5:$W$132,MATCH($B1314&amp;"|"&amp;$C1314,Inputs!$A$5:$A$132,0))</f>
        <v/>
      </c>
      <c r="E1314" s="35">
        <f>INDEX(Inputs!$Z$5:$Z$132,MATCH($B1314&amp;"|"&amp;$C1314,Inputs!$A$5:$A$132,0))</f>
        <v/>
      </c>
      <c r="F1314" s="35">
        <f>INDEX(Inputs!$AA$5:$AA$132,MATCH($B1314&amp;"|"&amp;$C1314,Inputs!$A$5:$A$132,0))</f>
        <v/>
      </c>
      <c r="G1314" s="39" t="n"/>
      <c r="H1314" s="14">
        <f>INDEX(VarLab,MATCH($A1314,VarKey,0))&amp;INDEX(MemLab,MATCH($C1314&amp;"|"&amp;$B1314,MemKey,0))</f>
        <v/>
      </c>
      <c r="I1314" s="14">
        <f>INDEX(VarUnit,MATCH($A1314,VarKey,0))</f>
        <v/>
      </c>
      <c r="J1314" s="14">
        <f>INDEX(VarSrc,MATCH($A1314,VarKey,0))</f>
        <v/>
      </c>
      <c r="K1314" s="11">
        <f>CodePrefix&amp;$A1314&amp;IF($C1314="","","."&amp;$C1314&amp;"."&amp;$B1314)&amp;INDEX(VarEnd,MATCH($A1314,VarKey,0))&amp;K$5</f>
        <v/>
      </c>
      <c r="L1314" s="40">
        <f>$D1314*($E1314*(L$321-L$322)+$F1314*(L$324-L$325))</f>
        <v/>
      </c>
      <c r="M1314" s="35">
        <f>$D1314*($E1314*(M$321-M$322)+$F1314*(M$324-M$325))</f>
        <v/>
      </c>
      <c r="N1314" s="35">
        <f>$D1314*($E1314*(N$321-N$322)+$F1314*(N$324-N$325))</f>
        <v/>
      </c>
      <c r="O1314" s="35">
        <f>$D1314*($E1314*(O$321-O$322)+$F1314*(O$324-O$325))</f>
        <v/>
      </c>
      <c r="P1314" s="35">
        <f>$D1314*($E1314*(P$321-P$322)+$F1314*(P$324-P$325))</f>
        <v/>
      </c>
      <c r="Q1314" s="35">
        <f>$D1314*($E1314*(Q$321-Q$322)+$F1314*(Q$324-Q$325))</f>
        <v/>
      </c>
      <c r="R1314" s="35">
        <f>$D1314*($E1314*(R$321-R$322)+$F1314*(R$324-R$325))</f>
        <v/>
      </c>
      <c r="S1314" s="35">
        <f>$D1314*($E1314*(S$321-S$322)+$F1314*(S$324-S$325))</f>
        <v/>
      </c>
      <c r="T1314" s="35">
        <f>$D1314*($E1314*(T$321-T$322)+$F1314*(T$324-T$325))</f>
        <v/>
      </c>
      <c r="U1314" s="35">
        <f>$D1314*($E1314*(U$321-U$322)+$F1314*(U$324-U$325))</f>
        <v/>
      </c>
      <c r="V1314" s="35">
        <f>$D1314*($E1314*(V$321-V$322)+$F1314*(V$324-V$325))</f>
        <v/>
      </c>
      <c r="W1314" s="35">
        <f>$D1314*($E1314*(W$321-W$322)+$F1314*(W$324-W$325))</f>
        <v/>
      </c>
      <c r="X1314" s="35">
        <f>$D1314*($E1314*(X$321-X$322)+$F1314*(X$324-X$325))</f>
        <v/>
      </c>
      <c r="Y1314" s="35">
        <f>$D1314*($E1314*(Y$321-Y$322)+$F1314*(Y$324-Y$325))</f>
        <v/>
      </c>
      <c r="Z1314" s="35">
        <f>$D1314*($E1314*(Z$321-Z$322)+$F1314*(Z$324-Z$325))</f>
        <v/>
      </c>
      <c r="AA1314" s="35">
        <f>$D1314*($E1314*(AA$321-AA$322)+$F1314*(AA$324-AA$325))</f>
        <v/>
      </c>
      <c r="AB1314" s="35">
        <f>$D1314*($E1314*(AB$321-AB$322)+$F1314*(AB$324-AB$325))</f>
        <v/>
      </c>
      <c r="AC1314" s="35">
        <f>$D1314*($E1314*(AC$321-AC$322)+$F1314*(AC$324-AC$325))</f>
        <v/>
      </c>
      <c r="AD1314" s="35">
        <f>$D1314*($E1314*(AD$321-AD$322)+$F1314*(AD$324-AD$325))</f>
        <v/>
      </c>
      <c r="AE1314" s="42">
        <f>XCARBON($D1314,$E1314,(AE$321-AE$322),$F1314,(AE$324-AE$325))</f>
        <v/>
      </c>
      <c r="AG1314" s="11">
        <f>CodePrefix&amp;$A1314&amp;IF($C1314="","","."&amp;$C1314&amp;"."&amp;$B1314)&amp;INDEX(VarEnd,MATCH($A1314,VarKey,0))&amp;AG$5</f>
        <v/>
      </c>
      <c r="AH1314" s="40">
        <f>$D1314*($E1314*(AH$321-AH$322)+$F1314*(AH$324-AH$325))</f>
        <v/>
      </c>
      <c r="AI1314" s="35">
        <f>$D1314*($E1314*(AI$321-AI$322)+$F1314*(AI$324-AI$325))</f>
        <v/>
      </c>
      <c r="AJ1314" s="35">
        <f>$D1314*($E1314*(AJ$321-AJ$322)+$F1314*(AJ$324-AJ$325))</f>
        <v/>
      </c>
      <c r="AK1314" s="35">
        <f>$D1314*($E1314*(AK$321-AK$322)+$F1314*(AK$324-AK$325))</f>
        <v/>
      </c>
      <c r="AL1314" s="35">
        <f>$D1314*($E1314*(AL$321-AL$322)+$F1314*(AL$324-AL$325))</f>
        <v/>
      </c>
      <c r="AM1314" s="35">
        <f>$D1314*($E1314*(AM$321-AM$322)+$F1314*(AM$324-AM$325))</f>
        <v/>
      </c>
      <c r="AN1314" s="35">
        <f>$D1314*($E1314*(AN$321-AN$322)+$F1314*(AN$324-AN$325))</f>
        <v/>
      </c>
      <c r="AO1314" s="35">
        <f>$D1314*($E1314*(AO$321-AO$322)+$F1314*(AO$324-AO$325))</f>
        <v/>
      </c>
      <c r="AP1314" s="35">
        <f>$D1314*($E1314*(AP$321-AP$322)+$F1314*(AP$324-AP$325))</f>
        <v/>
      </c>
      <c r="AQ1314" s="35">
        <f>$D1314*($E1314*(AQ$321-AQ$322)+$F1314*(AQ$324-AQ$325))</f>
        <v/>
      </c>
      <c r="AR1314" s="35">
        <f>$D1314*($E1314*(AR$321-AR$322)+$F1314*(AR$324-AR$325))</f>
        <v/>
      </c>
      <c r="AS1314" s="35">
        <f>$D1314*($E1314*(AS$321-AS$322)+$F1314*(AS$324-AS$325))</f>
        <v/>
      </c>
      <c r="AT1314" s="35">
        <f>$D1314*($E1314*(AT$321-AT$322)+$F1314*(AT$324-AT$325))</f>
        <v/>
      </c>
      <c r="AU1314" s="35">
        <f>$D1314*($E1314*(AU$321-AU$322)+$F1314*(AU$324-AU$325))</f>
        <v/>
      </c>
      <c r="AV1314" s="35">
        <f>$D1314*($E1314*(AV$321-AV$322)+$F1314*(AV$324-AV$325))</f>
        <v/>
      </c>
      <c r="AW1314" s="35">
        <f>$D1314*($E1314*(AW$321-AW$322)+$F1314*(AW$324-AW$325))</f>
        <v/>
      </c>
      <c r="AX1314" s="35">
        <f>$D1314*($E1314*(AX$321-AX$322)+$F1314*(AX$324-AX$325))</f>
        <v/>
      </c>
      <c r="AY1314" s="35">
        <f>$D1314*($E1314*(AY$321-AY$322)+$F1314*(AY$324-AY$325))</f>
        <v/>
      </c>
      <c r="AZ1314" s="35">
        <f>$D1314*($E1314*(AZ$321-AZ$322)+$F1314*(AZ$324-AZ$325))</f>
        <v/>
      </c>
      <c r="BA1314" s="42">
        <f>XCARBON($D1314,$E1314,(BA$321-BA$322),$F1314,(BA$324-BA$325))</f>
        <v/>
      </c>
    </row>
    <row r="1315" hidden="1" outlineLevel="2">
      <c r="A1315" s="14" t="inlineStr">
        <is>
          <t>xcpd</t>
        </is>
      </c>
      <c r="B1315" s="14" t="inlineStr">
        <is>
          <t>bio</t>
        </is>
      </c>
      <c r="C1315" s="14" t="inlineStr">
        <is>
          <t>avi</t>
        </is>
      </c>
      <c r="D1315" s="35">
        <f>INDEX(Inputs!$W$5:$W$132,MATCH($B1315&amp;"|"&amp;$C1315,Inputs!$A$5:$A$132,0))</f>
        <v/>
      </c>
      <c r="E1315" s="35">
        <f>INDEX(Inputs!$Z$5:$Z$132,MATCH($B1315&amp;"|"&amp;$C1315,Inputs!$A$5:$A$132,0))</f>
        <v/>
      </c>
      <c r="F1315" s="35">
        <f>INDEX(Inputs!$AA$5:$AA$132,MATCH($B1315&amp;"|"&amp;$C1315,Inputs!$A$5:$A$132,0))</f>
        <v/>
      </c>
      <c r="G1315" s="39" t="n"/>
      <c r="H1315" s="14">
        <f>INDEX(VarLab,MATCH($A1315,VarKey,0))&amp;INDEX(MemLab,MATCH($C1315&amp;"|"&amp;$B1315,MemKey,0))</f>
        <v/>
      </c>
      <c r="I1315" s="14">
        <f>INDEX(VarUnit,MATCH($A1315,VarKey,0))</f>
        <v/>
      </c>
      <c r="J1315" s="14">
        <f>INDEX(VarSrc,MATCH($A1315,VarKey,0))</f>
        <v/>
      </c>
      <c r="K1315" s="11">
        <f>CodePrefix&amp;$A1315&amp;IF($C1315="","","."&amp;$C1315&amp;"."&amp;$B1315)&amp;INDEX(VarEnd,MATCH($A1315,VarKey,0))&amp;K$5</f>
        <v/>
      </c>
      <c r="L1315" s="40">
        <f>$D1315*($E1315*(L$321-L$322)+$F1315*(L$324-L$325))</f>
        <v/>
      </c>
      <c r="M1315" s="35">
        <f>$D1315*($E1315*(M$321-M$322)+$F1315*(M$324-M$325))</f>
        <v/>
      </c>
      <c r="N1315" s="35">
        <f>$D1315*($E1315*(N$321-N$322)+$F1315*(N$324-N$325))</f>
        <v/>
      </c>
      <c r="O1315" s="35">
        <f>$D1315*($E1315*(O$321-O$322)+$F1315*(O$324-O$325))</f>
        <v/>
      </c>
      <c r="P1315" s="35">
        <f>$D1315*($E1315*(P$321-P$322)+$F1315*(P$324-P$325))</f>
        <v/>
      </c>
      <c r="Q1315" s="35">
        <f>$D1315*($E1315*(Q$321-Q$322)+$F1315*(Q$324-Q$325))</f>
        <v/>
      </c>
      <c r="R1315" s="35">
        <f>$D1315*($E1315*(R$321-R$322)+$F1315*(R$324-R$325))</f>
        <v/>
      </c>
      <c r="S1315" s="35">
        <f>$D1315*($E1315*(S$321-S$322)+$F1315*(S$324-S$325))</f>
        <v/>
      </c>
      <c r="T1315" s="35">
        <f>$D1315*($E1315*(T$321-T$322)+$F1315*(T$324-T$325))</f>
        <v/>
      </c>
      <c r="U1315" s="35">
        <f>$D1315*($E1315*(U$321-U$322)+$F1315*(U$324-U$325))</f>
        <v/>
      </c>
      <c r="V1315" s="35">
        <f>$D1315*($E1315*(V$321-V$322)+$F1315*(V$324-V$325))</f>
        <v/>
      </c>
      <c r="W1315" s="35">
        <f>$D1315*($E1315*(W$321-W$322)+$F1315*(W$324-W$325))</f>
        <v/>
      </c>
      <c r="X1315" s="35">
        <f>$D1315*($E1315*(X$321-X$322)+$F1315*(X$324-X$325))</f>
        <v/>
      </c>
      <c r="Y1315" s="35">
        <f>$D1315*($E1315*(Y$321-Y$322)+$F1315*(Y$324-Y$325))</f>
        <v/>
      </c>
      <c r="Z1315" s="35">
        <f>$D1315*($E1315*(Z$321-Z$322)+$F1315*(Z$324-Z$325))</f>
        <v/>
      </c>
      <c r="AA1315" s="35">
        <f>$D1315*($E1315*(AA$321-AA$322)+$F1315*(AA$324-AA$325))</f>
        <v/>
      </c>
      <c r="AB1315" s="35">
        <f>$D1315*($E1315*(AB$321-AB$322)+$F1315*(AB$324-AB$325))</f>
        <v/>
      </c>
      <c r="AC1315" s="35">
        <f>$D1315*($E1315*(AC$321-AC$322)+$F1315*(AC$324-AC$325))</f>
        <v/>
      </c>
      <c r="AD1315" s="35">
        <f>$D1315*($E1315*(AD$321-AD$322)+$F1315*(AD$324-AD$325))</f>
        <v/>
      </c>
      <c r="AE1315" s="42">
        <f>XCARBON($D1315,$E1315,(AE$321-AE$322),$F1315,(AE$324-AE$325))</f>
        <v/>
      </c>
      <c r="AG1315" s="11">
        <f>CodePrefix&amp;$A1315&amp;IF($C1315="","","."&amp;$C1315&amp;"."&amp;$B1315)&amp;INDEX(VarEnd,MATCH($A1315,VarKey,0))&amp;AG$5</f>
        <v/>
      </c>
      <c r="AH1315" s="40">
        <f>$D1315*($E1315*(AH$321-AH$322)+$F1315*(AH$324-AH$325))</f>
        <v/>
      </c>
      <c r="AI1315" s="35">
        <f>$D1315*($E1315*(AI$321-AI$322)+$F1315*(AI$324-AI$325))</f>
        <v/>
      </c>
      <c r="AJ1315" s="35">
        <f>$D1315*($E1315*(AJ$321-AJ$322)+$F1315*(AJ$324-AJ$325))</f>
        <v/>
      </c>
      <c r="AK1315" s="35">
        <f>$D1315*($E1315*(AK$321-AK$322)+$F1315*(AK$324-AK$325))</f>
        <v/>
      </c>
      <c r="AL1315" s="35">
        <f>$D1315*($E1315*(AL$321-AL$322)+$F1315*(AL$324-AL$325))</f>
        <v/>
      </c>
      <c r="AM1315" s="35">
        <f>$D1315*($E1315*(AM$321-AM$322)+$F1315*(AM$324-AM$325))</f>
        <v/>
      </c>
      <c r="AN1315" s="35">
        <f>$D1315*($E1315*(AN$321-AN$322)+$F1315*(AN$324-AN$325))</f>
        <v/>
      </c>
      <c r="AO1315" s="35">
        <f>$D1315*($E1315*(AO$321-AO$322)+$F1315*(AO$324-AO$325))</f>
        <v/>
      </c>
      <c r="AP1315" s="35">
        <f>$D1315*($E1315*(AP$321-AP$322)+$F1315*(AP$324-AP$325))</f>
        <v/>
      </c>
      <c r="AQ1315" s="35">
        <f>$D1315*($E1315*(AQ$321-AQ$322)+$F1315*(AQ$324-AQ$325))</f>
        <v/>
      </c>
      <c r="AR1315" s="35">
        <f>$D1315*($E1315*(AR$321-AR$322)+$F1315*(AR$324-AR$325))</f>
        <v/>
      </c>
      <c r="AS1315" s="35">
        <f>$D1315*($E1315*(AS$321-AS$322)+$F1315*(AS$324-AS$325))</f>
        <v/>
      </c>
      <c r="AT1315" s="35">
        <f>$D1315*($E1315*(AT$321-AT$322)+$F1315*(AT$324-AT$325))</f>
        <v/>
      </c>
      <c r="AU1315" s="35">
        <f>$D1315*($E1315*(AU$321-AU$322)+$F1315*(AU$324-AU$325))</f>
        <v/>
      </c>
      <c r="AV1315" s="35">
        <f>$D1315*($E1315*(AV$321-AV$322)+$F1315*(AV$324-AV$325))</f>
        <v/>
      </c>
      <c r="AW1315" s="35">
        <f>$D1315*($E1315*(AW$321-AW$322)+$F1315*(AW$324-AW$325))</f>
        <v/>
      </c>
      <c r="AX1315" s="35">
        <f>$D1315*($E1315*(AX$321-AX$322)+$F1315*(AX$324-AX$325))</f>
        <v/>
      </c>
      <c r="AY1315" s="35">
        <f>$D1315*($E1315*(AY$321-AY$322)+$F1315*(AY$324-AY$325))</f>
        <v/>
      </c>
      <c r="AZ1315" s="35">
        <f>$D1315*($E1315*(AZ$321-AZ$322)+$F1315*(AZ$324-AZ$325))</f>
        <v/>
      </c>
      <c r="BA1315" s="42">
        <f>XCARBON($D1315,$E1315,(BA$321-BA$322),$F1315,(BA$324-BA$325))</f>
        <v/>
      </c>
    </row>
    <row r="1316" hidden="1" outlineLevel="2"/>
    <row r="1317" hidden="1" outlineLevel="2">
      <c r="A1317" s="14" t="inlineStr">
        <is>
          <t>atp</t>
        </is>
      </c>
      <c r="B1317" s="14" t="inlineStr">
        <is>
          <t>coa</t>
        </is>
      </c>
      <c r="C1317" s="14" t="inlineStr">
        <is>
          <t>avi</t>
        </is>
      </c>
      <c r="D1317" s="35">
        <f>INDEX(Inputs!$U$5:$U$132,MATCH($B1317&amp;"|"&amp;$C1317,Inputs!$A$5:$A$132,0))</f>
        <v/>
      </c>
      <c r="E1317" s="35">
        <f>INDEX(Inputs!$V$5:$V$132,MATCH($B1317&amp;"|"&amp;$C1317,Inputs!$A$5:$A$132,0))</f>
        <v/>
      </c>
      <c r="F1317" s="39" t="n"/>
      <c r="G1317" s="39" t="n"/>
      <c r="H1317" s="14">
        <f>INDEX(VarLab,MATCH($A1317,VarKey,0))&amp;INDEX(MemLab,MATCH($C1317&amp;"|"&amp;$B1317,MemKey,0))</f>
        <v/>
      </c>
      <c r="I1317" s="14">
        <f>INDEX(VarUnit,MATCH($A1317,VarKey,0))</f>
        <v/>
      </c>
      <c r="J1317" s="14">
        <f>INDEX(VarSrc,MATCH($A1317,VarKey,0))</f>
        <v/>
      </c>
      <c r="K1317" s="11">
        <f>CodePrefix&amp;$A1317&amp;IF($C1317="","","."&amp;$C1317&amp;"."&amp;$B1317)&amp;INDEX(VarEnd,MATCH($A1317,VarKey,0))&amp;K$5</f>
        <v/>
      </c>
      <c r="L1317" s="40">
        <f>MAX(INDEX(L$381:L$392,$D1317)+(L1290+L1308)*(1+$E1317),0.01)</f>
        <v/>
      </c>
      <c r="M1317" s="35">
        <f>MAX(INDEX(M$381:M$392,$D1317)+(M1290+M1308)*(1+$E1317),0.01)</f>
        <v/>
      </c>
      <c r="N1317" s="35">
        <f>MAX(INDEX(N$381:N$392,$D1317)+(N1290+N1308)*(1+$E1317),0.01)</f>
        <v/>
      </c>
      <c r="O1317" s="35">
        <f>MAX(INDEX(O$381:O$392,$D1317)+(O1290+O1308)*(1+$E1317),0.01)</f>
        <v/>
      </c>
      <c r="P1317" s="35">
        <f>MAX(INDEX(P$381:P$392,$D1317)+(P1290+P1308)*(1+$E1317),0.01)</f>
        <v/>
      </c>
      <c r="Q1317" s="35">
        <f>MAX(INDEX(Q$381:Q$392,$D1317)+(Q1290+Q1308)*(1+$E1317),0.01)</f>
        <v/>
      </c>
      <c r="R1317" s="35">
        <f>MAX(INDEX(R$381:R$392,$D1317)+(R1290+R1308)*(1+$E1317),0.01)</f>
        <v/>
      </c>
      <c r="S1317" s="35">
        <f>MAX(INDEX(S$381:S$392,$D1317)+(S1290+S1308)*(1+$E1317),0.01)</f>
        <v/>
      </c>
      <c r="T1317" s="35">
        <f>MAX(INDEX(T$381:T$392,$D1317)+(T1290+T1308)*(1+$E1317),0.01)</f>
        <v/>
      </c>
      <c r="U1317" s="35">
        <f>MAX(INDEX(U$381:U$392,$D1317)+(U1290+U1308)*(1+$E1317),0.01)</f>
        <v/>
      </c>
      <c r="V1317" s="35">
        <f>MAX(INDEX(V$381:V$392,$D1317)+(V1290+V1308)*(1+$E1317),0.01)</f>
        <v/>
      </c>
      <c r="W1317" s="35">
        <f>MAX(INDEX(W$381:W$392,$D1317)+(W1290+W1308)*(1+$E1317),0.01)</f>
        <v/>
      </c>
      <c r="X1317" s="35">
        <f>MAX(INDEX(X$381:X$392,$D1317)+(X1290+X1308)*(1+$E1317),0.01)</f>
        <v/>
      </c>
      <c r="Y1317" s="35">
        <f>MAX(INDEX(Y$381:Y$392,$D1317)+(Y1290+Y1308)*(1+$E1317),0.01)</f>
        <v/>
      </c>
      <c r="Z1317" s="35">
        <f>MAX(INDEX(Z$381:Z$392,$D1317)+(Z1290+Z1308)*(1+$E1317),0.01)</f>
        <v/>
      </c>
      <c r="AA1317" s="35">
        <f>MAX(INDEX(AA$381:AA$392,$D1317)+(AA1290+AA1308)*(1+$E1317),0.01)</f>
        <v/>
      </c>
      <c r="AB1317" s="35">
        <f>MAX(INDEX(AB$381:AB$392,$D1317)+(AB1290+AB1308)*(1+$E1317),0.01)</f>
        <v/>
      </c>
      <c r="AC1317" s="35">
        <f>MAX(INDEX(AC$381:AC$392,$D1317)+(AC1290+AC1308)*(1+$E1317),0.01)</f>
        <v/>
      </c>
      <c r="AD1317" s="35">
        <f>MAX(INDEX(AD$381:AD$392,$D1317)+(AD1290+AD1308)*(1+$E1317),0.01)</f>
        <v/>
      </c>
      <c r="AE1317" s="42">
        <f>POSTTAX(INDEX(AE$381:AE$392,$D1317),AE1290+AE1308,$E1317)</f>
        <v/>
      </c>
      <c r="AG1317" s="11">
        <f>CodePrefix&amp;$A1317&amp;IF($C1317="","","."&amp;$C1317&amp;"."&amp;$B1317)&amp;INDEX(VarEnd,MATCH($A1317,VarKey,0))&amp;AG$5</f>
        <v/>
      </c>
      <c r="AH1317" s="40">
        <f>MAX(INDEX(AH$381:AH$392,$D1317)+(AH1290+AH1308)*(1+$E1317),0.01)</f>
        <v/>
      </c>
      <c r="AI1317" s="35">
        <f>MAX(INDEX(AI$381:AI$392,$D1317)+(AI1290+AI1308)*(1+$E1317),0.01)</f>
        <v/>
      </c>
      <c r="AJ1317" s="35">
        <f>MAX(INDEX(AJ$381:AJ$392,$D1317)+(AJ1290+AJ1308)*(1+$E1317),0.01)</f>
        <v/>
      </c>
      <c r="AK1317" s="35">
        <f>MAX(INDEX(AK$381:AK$392,$D1317)+(AK1290+AK1308)*(1+$E1317),0.01)</f>
        <v/>
      </c>
      <c r="AL1317" s="35">
        <f>MAX(INDEX(AL$381:AL$392,$D1317)+(AL1290+AL1308)*(1+$E1317),0.01)</f>
        <v/>
      </c>
      <c r="AM1317" s="35">
        <f>MAX(INDEX(AM$381:AM$392,$D1317)+(AM1290+AM1308)*(1+$E1317),0.01)</f>
        <v/>
      </c>
      <c r="AN1317" s="35">
        <f>MAX(INDEX(AN$381:AN$392,$D1317)+(AN1290+AN1308)*(1+$E1317),0.01)</f>
        <v/>
      </c>
      <c r="AO1317" s="35">
        <f>MAX(INDEX(AO$381:AO$392,$D1317)+(AO1290+AO1308)*(1+$E1317),0.01)</f>
        <v/>
      </c>
      <c r="AP1317" s="35">
        <f>MAX(INDEX(AP$381:AP$392,$D1317)+(AP1290+AP1308)*(1+$E1317),0.01)</f>
        <v/>
      </c>
      <c r="AQ1317" s="35">
        <f>MAX(INDEX(AQ$381:AQ$392,$D1317)+(AQ1290+AQ1308)*(1+$E1317),0.01)</f>
        <v/>
      </c>
      <c r="AR1317" s="35">
        <f>MAX(INDEX(AR$381:AR$392,$D1317)+(AR1290+AR1308)*(1+$E1317),0.01)</f>
        <v/>
      </c>
      <c r="AS1317" s="35">
        <f>MAX(INDEX(AS$381:AS$392,$D1317)+(AS1290+AS1308)*(1+$E1317),0.01)</f>
        <v/>
      </c>
      <c r="AT1317" s="35">
        <f>MAX(INDEX(AT$381:AT$392,$D1317)+(AT1290+AT1308)*(1+$E1317),0.01)</f>
        <v/>
      </c>
      <c r="AU1317" s="35">
        <f>MAX(INDEX(AU$381:AU$392,$D1317)+(AU1290+AU1308)*(1+$E1317),0.01)</f>
        <v/>
      </c>
      <c r="AV1317" s="35">
        <f>MAX(INDEX(AV$381:AV$392,$D1317)+(AV1290+AV1308)*(1+$E1317),0.01)</f>
        <v/>
      </c>
      <c r="AW1317" s="35">
        <f>MAX(INDEX(AW$381:AW$392,$D1317)+(AW1290+AW1308)*(1+$E1317),0.01)</f>
        <v/>
      </c>
      <c r="AX1317" s="35">
        <f>MAX(INDEX(AX$381:AX$392,$D1317)+(AX1290+AX1308)*(1+$E1317),0.01)</f>
        <v/>
      </c>
      <c r="AY1317" s="35">
        <f>MAX(INDEX(AY$381:AY$392,$D1317)+(AY1290+AY1308)*(1+$E1317),0.01)</f>
        <v/>
      </c>
      <c r="AZ1317" s="35">
        <f>MAX(INDEX(AZ$381:AZ$392,$D1317)+(AZ1290+AZ1308)*(1+$E1317),0.01)</f>
        <v/>
      </c>
      <c r="BA1317" s="42">
        <f>POSTTAX(INDEX(BA$381:BA$392,$D1317),BA1290+BA1308,$E1317)</f>
        <v/>
      </c>
    </row>
    <row r="1318" hidden="1" outlineLevel="2">
      <c r="A1318" s="14" t="inlineStr">
        <is>
          <t>atp</t>
        </is>
      </c>
      <c r="B1318" s="14" t="inlineStr">
        <is>
          <t>nga</t>
        </is>
      </c>
      <c r="C1318" s="14" t="inlineStr">
        <is>
          <t>avi</t>
        </is>
      </c>
      <c r="D1318" s="35">
        <f>INDEX(Inputs!$U$5:$U$132,MATCH($B1318&amp;"|"&amp;$C1318,Inputs!$A$5:$A$132,0))</f>
        <v/>
      </c>
      <c r="E1318" s="35">
        <f>INDEX(Inputs!$V$5:$V$132,MATCH($B1318&amp;"|"&amp;$C1318,Inputs!$A$5:$A$132,0))</f>
        <v/>
      </c>
      <c r="F1318" s="39" t="n"/>
      <c r="G1318" s="39" t="n"/>
      <c r="H1318" s="14">
        <f>INDEX(VarLab,MATCH($A1318,VarKey,0))&amp;INDEX(MemLab,MATCH($C1318&amp;"|"&amp;$B1318,MemKey,0))</f>
        <v/>
      </c>
      <c r="I1318" s="14">
        <f>INDEX(VarUnit,MATCH($A1318,VarKey,0))</f>
        <v/>
      </c>
      <c r="J1318" s="14">
        <f>INDEX(VarSrc,MATCH($A1318,VarKey,0))</f>
        <v/>
      </c>
      <c r="K1318" s="11">
        <f>CodePrefix&amp;$A1318&amp;IF($C1318="","","."&amp;$C1318&amp;"."&amp;$B1318)&amp;INDEX(VarEnd,MATCH($A1318,VarKey,0))&amp;K$5</f>
        <v/>
      </c>
      <c r="L1318" s="40">
        <f>MAX(INDEX(L$381:L$392,$D1318)+(L1291+L1309)*(1+$E1318),0.01)</f>
        <v/>
      </c>
      <c r="M1318" s="35">
        <f>MAX(INDEX(M$381:M$392,$D1318)+(M1291+M1309)*(1+$E1318),0.01)</f>
        <v/>
      </c>
      <c r="N1318" s="35">
        <f>MAX(INDEX(N$381:N$392,$D1318)+(N1291+N1309)*(1+$E1318),0.01)</f>
        <v/>
      </c>
      <c r="O1318" s="35">
        <f>MAX(INDEX(O$381:O$392,$D1318)+(O1291+O1309)*(1+$E1318),0.01)</f>
        <v/>
      </c>
      <c r="P1318" s="35">
        <f>MAX(INDEX(P$381:P$392,$D1318)+(P1291+P1309)*(1+$E1318),0.01)</f>
        <v/>
      </c>
      <c r="Q1318" s="35">
        <f>MAX(INDEX(Q$381:Q$392,$D1318)+(Q1291+Q1309)*(1+$E1318),0.01)</f>
        <v/>
      </c>
      <c r="R1318" s="35">
        <f>MAX(INDEX(R$381:R$392,$D1318)+(R1291+R1309)*(1+$E1318),0.01)</f>
        <v/>
      </c>
      <c r="S1318" s="35">
        <f>MAX(INDEX(S$381:S$392,$D1318)+(S1291+S1309)*(1+$E1318),0.01)</f>
        <v/>
      </c>
      <c r="T1318" s="35">
        <f>MAX(INDEX(T$381:T$392,$D1318)+(T1291+T1309)*(1+$E1318),0.01)</f>
        <v/>
      </c>
      <c r="U1318" s="35">
        <f>MAX(INDEX(U$381:U$392,$D1318)+(U1291+U1309)*(1+$E1318),0.01)</f>
        <v/>
      </c>
      <c r="V1318" s="35">
        <f>MAX(INDEX(V$381:V$392,$D1318)+(V1291+V1309)*(1+$E1318),0.01)</f>
        <v/>
      </c>
      <c r="W1318" s="35">
        <f>MAX(INDEX(W$381:W$392,$D1318)+(W1291+W1309)*(1+$E1318),0.01)</f>
        <v/>
      </c>
      <c r="X1318" s="35">
        <f>MAX(INDEX(X$381:X$392,$D1318)+(X1291+X1309)*(1+$E1318),0.01)</f>
        <v/>
      </c>
      <c r="Y1318" s="35">
        <f>MAX(INDEX(Y$381:Y$392,$D1318)+(Y1291+Y1309)*(1+$E1318),0.01)</f>
        <v/>
      </c>
      <c r="Z1318" s="35">
        <f>MAX(INDEX(Z$381:Z$392,$D1318)+(Z1291+Z1309)*(1+$E1318),0.01)</f>
        <v/>
      </c>
      <c r="AA1318" s="35">
        <f>MAX(INDEX(AA$381:AA$392,$D1318)+(AA1291+AA1309)*(1+$E1318),0.01)</f>
        <v/>
      </c>
      <c r="AB1318" s="35">
        <f>MAX(INDEX(AB$381:AB$392,$D1318)+(AB1291+AB1309)*(1+$E1318),0.01)</f>
        <v/>
      </c>
      <c r="AC1318" s="35">
        <f>MAX(INDEX(AC$381:AC$392,$D1318)+(AC1291+AC1309)*(1+$E1318),0.01)</f>
        <v/>
      </c>
      <c r="AD1318" s="35">
        <f>MAX(INDEX(AD$381:AD$392,$D1318)+(AD1291+AD1309)*(1+$E1318),0.01)</f>
        <v/>
      </c>
      <c r="AE1318" s="42">
        <f>POSTTAX(INDEX(AE$381:AE$392,$D1318),AE1291+AE1309,$E1318)</f>
        <v/>
      </c>
      <c r="AG1318" s="11">
        <f>CodePrefix&amp;$A1318&amp;IF($C1318="","","."&amp;$C1318&amp;"."&amp;$B1318)&amp;INDEX(VarEnd,MATCH($A1318,VarKey,0))&amp;AG$5</f>
        <v/>
      </c>
      <c r="AH1318" s="40">
        <f>MAX(INDEX(AH$381:AH$392,$D1318)+(AH1291+AH1309)*(1+$E1318),0.01)</f>
        <v/>
      </c>
      <c r="AI1318" s="35">
        <f>MAX(INDEX(AI$381:AI$392,$D1318)+(AI1291+AI1309)*(1+$E1318),0.01)</f>
        <v/>
      </c>
      <c r="AJ1318" s="35">
        <f>MAX(INDEX(AJ$381:AJ$392,$D1318)+(AJ1291+AJ1309)*(1+$E1318),0.01)</f>
        <v/>
      </c>
      <c r="AK1318" s="35">
        <f>MAX(INDEX(AK$381:AK$392,$D1318)+(AK1291+AK1309)*(1+$E1318),0.01)</f>
        <v/>
      </c>
      <c r="AL1318" s="35">
        <f>MAX(INDEX(AL$381:AL$392,$D1318)+(AL1291+AL1309)*(1+$E1318),0.01)</f>
        <v/>
      </c>
      <c r="AM1318" s="35">
        <f>MAX(INDEX(AM$381:AM$392,$D1318)+(AM1291+AM1309)*(1+$E1318),0.01)</f>
        <v/>
      </c>
      <c r="AN1318" s="35">
        <f>MAX(INDEX(AN$381:AN$392,$D1318)+(AN1291+AN1309)*(1+$E1318),0.01)</f>
        <v/>
      </c>
      <c r="AO1318" s="35">
        <f>MAX(INDEX(AO$381:AO$392,$D1318)+(AO1291+AO1309)*(1+$E1318),0.01)</f>
        <v/>
      </c>
      <c r="AP1318" s="35">
        <f>MAX(INDEX(AP$381:AP$392,$D1318)+(AP1291+AP1309)*(1+$E1318),0.01)</f>
        <v/>
      </c>
      <c r="AQ1318" s="35">
        <f>MAX(INDEX(AQ$381:AQ$392,$D1318)+(AQ1291+AQ1309)*(1+$E1318),0.01)</f>
        <v/>
      </c>
      <c r="AR1318" s="35">
        <f>MAX(INDEX(AR$381:AR$392,$D1318)+(AR1291+AR1309)*(1+$E1318),0.01)</f>
        <v/>
      </c>
      <c r="AS1318" s="35">
        <f>MAX(INDEX(AS$381:AS$392,$D1318)+(AS1291+AS1309)*(1+$E1318),0.01)</f>
        <v/>
      </c>
      <c r="AT1318" s="35">
        <f>MAX(INDEX(AT$381:AT$392,$D1318)+(AT1291+AT1309)*(1+$E1318),0.01)</f>
        <v/>
      </c>
      <c r="AU1318" s="35">
        <f>MAX(INDEX(AU$381:AU$392,$D1318)+(AU1291+AU1309)*(1+$E1318),0.01)</f>
        <v/>
      </c>
      <c r="AV1318" s="35">
        <f>MAX(INDEX(AV$381:AV$392,$D1318)+(AV1291+AV1309)*(1+$E1318),0.01)</f>
        <v/>
      </c>
      <c r="AW1318" s="35">
        <f>MAX(INDEX(AW$381:AW$392,$D1318)+(AW1291+AW1309)*(1+$E1318),0.01)</f>
        <v/>
      </c>
      <c r="AX1318" s="35">
        <f>MAX(INDEX(AX$381:AX$392,$D1318)+(AX1291+AX1309)*(1+$E1318),0.01)</f>
        <v/>
      </c>
      <c r="AY1318" s="35">
        <f>MAX(INDEX(AY$381:AY$392,$D1318)+(AY1291+AY1309)*(1+$E1318),0.01)</f>
        <v/>
      </c>
      <c r="AZ1318" s="35">
        <f>MAX(INDEX(AZ$381:AZ$392,$D1318)+(AZ1291+AZ1309)*(1+$E1318),0.01)</f>
        <v/>
      </c>
      <c r="BA1318" s="42">
        <f>POSTTAX(INDEX(BA$381:BA$392,$D1318),BA1291+BA1309,$E1318)</f>
        <v/>
      </c>
    </row>
    <row r="1319" hidden="1" outlineLevel="2">
      <c r="A1319" s="14" t="inlineStr">
        <is>
          <t>atp</t>
        </is>
      </c>
      <c r="B1319" s="14" t="inlineStr">
        <is>
          <t>gso</t>
        </is>
      </c>
      <c r="C1319" s="14" t="inlineStr">
        <is>
          <t>avi</t>
        </is>
      </c>
      <c r="D1319" s="35">
        <f>INDEX(Inputs!$U$5:$U$132,MATCH($B1319&amp;"|"&amp;$C1319,Inputs!$A$5:$A$132,0))</f>
        <v/>
      </c>
      <c r="E1319" s="35">
        <f>INDEX(Inputs!$V$5:$V$132,MATCH($B1319&amp;"|"&amp;$C1319,Inputs!$A$5:$A$132,0))</f>
        <v/>
      </c>
      <c r="F1319" s="39" t="n"/>
      <c r="G1319" s="39" t="n"/>
      <c r="H1319" s="14">
        <f>INDEX(VarLab,MATCH($A1319,VarKey,0))&amp;INDEX(MemLab,MATCH($C1319&amp;"|"&amp;$B1319,MemKey,0))</f>
        <v/>
      </c>
      <c r="I1319" s="14">
        <f>INDEX(VarUnit,MATCH($A1319,VarKey,0))</f>
        <v/>
      </c>
      <c r="J1319" s="14">
        <f>INDEX(VarSrc,MATCH($A1319,VarKey,0))</f>
        <v/>
      </c>
      <c r="K1319" s="11">
        <f>CodePrefix&amp;$A1319&amp;IF($C1319="","","."&amp;$C1319&amp;"."&amp;$B1319)&amp;INDEX(VarEnd,MATCH($A1319,VarKey,0))&amp;K$5</f>
        <v/>
      </c>
      <c r="L1319" s="40">
        <f>MAX(INDEX(L$381:L$392,$D1319)+(L1292+L1310)*(1+$E1319),0.01)</f>
        <v/>
      </c>
      <c r="M1319" s="35">
        <f>MAX(INDEX(M$381:M$392,$D1319)+(M1292+M1310)*(1+$E1319),0.01)</f>
        <v/>
      </c>
      <c r="N1319" s="35">
        <f>MAX(INDEX(N$381:N$392,$D1319)+(N1292+N1310)*(1+$E1319),0.01)</f>
        <v/>
      </c>
      <c r="O1319" s="35">
        <f>MAX(INDEX(O$381:O$392,$D1319)+(O1292+O1310)*(1+$E1319),0.01)</f>
        <v/>
      </c>
      <c r="P1319" s="35">
        <f>MAX(INDEX(P$381:P$392,$D1319)+(P1292+P1310)*(1+$E1319),0.01)</f>
        <v/>
      </c>
      <c r="Q1319" s="35">
        <f>MAX(INDEX(Q$381:Q$392,$D1319)+(Q1292+Q1310)*(1+$E1319),0.01)</f>
        <v/>
      </c>
      <c r="R1319" s="35">
        <f>MAX(INDEX(R$381:R$392,$D1319)+(R1292+R1310)*(1+$E1319),0.01)</f>
        <v/>
      </c>
      <c r="S1319" s="35">
        <f>MAX(INDEX(S$381:S$392,$D1319)+(S1292+S1310)*(1+$E1319),0.01)</f>
        <v/>
      </c>
      <c r="T1319" s="35">
        <f>MAX(INDEX(T$381:T$392,$D1319)+(T1292+T1310)*(1+$E1319),0.01)</f>
        <v/>
      </c>
      <c r="U1319" s="35">
        <f>MAX(INDEX(U$381:U$392,$D1319)+(U1292+U1310)*(1+$E1319),0.01)</f>
        <v/>
      </c>
      <c r="V1319" s="35">
        <f>MAX(INDEX(V$381:V$392,$D1319)+(V1292+V1310)*(1+$E1319),0.01)</f>
        <v/>
      </c>
      <c r="W1319" s="35">
        <f>MAX(INDEX(W$381:W$392,$D1319)+(W1292+W1310)*(1+$E1319),0.01)</f>
        <v/>
      </c>
      <c r="X1319" s="35">
        <f>MAX(INDEX(X$381:X$392,$D1319)+(X1292+X1310)*(1+$E1319),0.01)</f>
        <v/>
      </c>
      <c r="Y1319" s="35">
        <f>MAX(INDEX(Y$381:Y$392,$D1319)+(Y1292+Y1310)*(1+$E1319),0.01)</f>
        <v/>
      </c>
      <c r="Z1319" s="35">
        <f>MAX(INDEX(Z$381:Z$392,$D1319)+(Z1292+Z1310)*(1+$E1319),0.01)</f>
        <v/>
      </c>
      <c r="AA1319" s="35">
        <f>MAX(INDEX(AA$381:AA$392,$D1319)+(AA1292+AA1310)*(1+$E1319),0.01)</f>
        <v/>
      </c>
      <c r="AB1319" s="35">
        <f>MAX(INDEX(AB$381:AB$392,$D1319)+(AB1292+AB1310)*(1+$E1319),0.01)</f>
        <v/>
      </c>
      <c r="AC1319" s="35">
        <f>MAX(INDEX(AC$381:AC$392,$D1319)+(AC1292+AC1310)*(1+$E1319),0.01)</f>
        <v/>
      </c>
      <c r="AD1319" s="35">
        <f>MAX(INDEX(AD$381:AD$392,$D1319)+(AD1292+AD1310)*(1+$E1319),0.01)</f>
        <v/>
      </c>
      <c r="AE1319" s="42">
        <f>POSTTAX(INDEX(AE$381:AE$392,$D1319),AE1292+AE1310,$E1319)</f>
        <v/>
      </c>
      <c r="AG1319" s="11">
        <f>CodePrefix&amp;$A1319&amp;IF($C1319="","","."&amp;$C1319&amp;"."&amp;$B1319)&amp;INDEX(VarEnd,MATCH($A1319,VarKey,0))&amp;AG$5</f>
        <v/>
      </c>
      <c r="AH1319" s="40">
        <f>MAX(INDEX(AH$381:AH$392,$D1319)+(AH1292+AH1310)*(1+$E1319),0.01)</f>
        <v/>
      </c>
      <c r="AI1319" s="35">
        <f>MAX(INDEX(AI$381:AI$392,$D1319)+(AI1292+AI1310)*(1+$E1319),0.01)</f>
        <v/>
      </c>
      <c r="AJ1319" s="35">
        <f>MAX(INDEX(AJ$381:AJ$392,$D1319)+(AJ1292+AJ1310)*(1+$E1319),0.01)</f>
        <v/>
      </c>
      <c r="AK1319" s="35">
        <f>MAX(INDEX(AK$381:AK$392,$D1319)+(AK1292+AK1310)*(1+$E1319),0.01)</f>
        <v/>
      </c>
      <c r="AL1319" s="35">
        <f>MAX(INDEX(AL$381:AL$392,$D1319)+(AL1292+AL1310)*(1+$E1319),0.01)</f>
        <v/>
      </c>
      <c r="AM1319" s="35">
        <f>MAX(INDEX(AM$381:AM$392,$D1319)+(AM1292+AM1310)*(1+$E1319),0.01)</f>
        <v/>
      </c>
      <c r="AN1319" s="35">
        <f>MAX(INDEX(AN$381:AN$392,$D1319)+(AN1292+AN1310)*(1+$E1319),0.01)</f>
        <v/>
      </c>
      <c r="AO1319" s="35">
        <f>MAX(INDEX(AO$381:AO$392,$D1319)+(AO1292+AO1310)*(1+$E1319),0.01)</f>
        <v/>
      </c>
      <c r="AP1319" s="35">
        <f>MAX(INDEX(AP$381:AP$392,$D1319)+(AP1292+AP1310)*(1+$E1319),0.01)</f>
        <v/>
      </c>
      <c r="AQ1319" s="35">
        <f>MAX(INDEX(AQ$381:AQ$392,$D1319)+(AQ1292+AQ1310)*(1+$E1319),0.01)</f>
        <v/>
      </c>
      <c r="AR1319" s="35">
        <f>MAX(INDEX(AR$381:AR$392,$D1319)+(AR1292+AR1310)*(1+$E1319),0.01)</f>
        <v/>
      </c>
      <c r="AS1319" s="35">
        <f>MAX(INDEX(AS$381:AS$392,$D1319)+(AS1292+AS1310)*(1+$E1319),0.01)</f>
        <v/>
      </c>
      <c r="AT1319" s="35">
        <f>MAX(INDEX(AT$381:AT$392,$D1319)+(AT1292+AT1310)*(1+$E1319),0.01)</f>
        <v/>
      </c>
      <c r="AU1319" s="35">
        <f>MAX(INDEX(AU$381:AU$392,$D1319)+(AU1292+AU1310)*(1+$E1319),0.01)</f>
        <v/>
      </c>
      <c r="AV1319" s="35">
        <f>MAX(INDEX(AV$381:AV$392,$D1319)+(AV1292+AV1310)*(1+$E1319),0.01)</f>
        <v/>
      </c>
      <c r="AW1319" s="35">
        <f>MAX(INDEX(AW$381:AW$392,$D1319)+(AW1292+AW1310)*(1+$E1319),0.01)</f>
        <v/>
      </c>
      <c r="AX1319" s="35">
        <f>MAX(INDEX(AX$381:AX$392,$D1319)+(AX1292+AX1310)*(1+$E1319),0.01)</f>
        <v/>
      </c>
      <c r="AY1319" s="35">
        <f>MAX(INDEX(AY$381:AY$392,$D1319)+(AY1292+AY1310)*(1+$E1319),0.01)</f>
        <v/>
      </c>
      <c r="AZ1319" s="35">
        <f>MAX(INDEX(AZ$381:AZ$392,$D1319)+(AZ1292+AZ1310)*(1+$E1319),0.01)</f>
        <v/>
      </c>
      <c r="BA1319" s="42">
        <f>POSTTAX(INDEX(BA$381:BA$392,$D1319),BA1292+BA1310,$E1319)</f>
        <v/>
      </c>
    </row>
    <row r="1320" hidden="1" outlineLevel="2">
      <c r="A1320" s="14" t="inlineStr">
        <is>
          <t>atp</t>
        </is>
      </c>
      <c r="B1320" s="14" t="inlineStr">
        <is>
          <t>die</t>
        </is>
      </c>
      <c r="C1320" s="14" t="inlineStr">
        <is>
          <t>avi</t>
        </is>
      </c>
      <c r="D1320" s="35">
        <f>INDEX(Inputs!$U$5:$U$132,MATCH($B1320&amp;"|"&amp;$C1320,Inputs!$A$5:$A$132,0))</f>
        <v/>
      </c>
      <c r="E1320" s="35">
        <f>INDEX(Inputs!$V$5:$V$132,MATCH($B1320&amp;"|"&amp;$C1320,Inputs!$A$5:$A$132,0))</f>
        <v/>
      </c>
      <c r="F1320" s="39" t="n"/>
      <c r="G1320" s="39" t="n"/>
      <c r="H1320" s="14">
        <f>INDEX(VarLab,MATCH($A1320,VarKey,0))&amp;INDEX(MemLab,MATCH($C1320&amp;"|"&amp;$B1320,MemKey,0))</f>
        <v/>
      </c>
      <c r="I1320" s="14">
        <f>INDEX(VarUnit,MATCH($A1320,VarKey,0))</f>
        <v/>
      </c>
      <c r="J1320" s="14">
        <f>INDEX(VarSrc,MATCH($A1320,VarKey,0))</f>
        <v/>
      </c>
      <c r="K1320" s="11">
        <f>CodePrefix&amp;$A1320&amp;IF($C1320="","","."&amp;$C1320&amp;"."&amp;$B1320)&amp;INDEX(VarEnd,MATCH($A1320,VarKey,0))&amp;K$5</f>
        <v/>
      </c>
      <c r="L1320" s="40">
        <f>MAX(INDEX(L$381:L$392,$D1320)+(L1293+L1311)*(1+$E1320),0.01)</f>
        <v/>
      </c>
      <c r="M1320" s="35">
        <f>MAX(INDEX(M$381:M$392,$D1320)+(M1293+M1311)*(1+$E1320),0.01)</f>
        <v/>
      </c>
      <c r="N1320" s="35">
        <f>MAX(INDEX(N$381:N$392,$D1320)+(N1293+N1311)*(1+$E1320),0.01)</f>
        <v/>
      </c>
      <c r="O1320" s="35">
        <f>MAX(INDEX(O$381:O$392,$D1320)+(O1293+O1311)*(1+$E1320),0.01)</f>
        <v/>
      </c>
      <c r="P1320" s="35">
        <f>MAX(INDEX(P$381:P$392,$D1320)+(P1293+P1311)*(1+$E1320),0.01)</f>
        <v/>
      </c>
      <c r="Q1320" s="35">
        <f>MAX(INDEX(Q$381:Q$392,$D1320)+(Q1293+Q1311)*(1+$E1320),0.01)</f>
        <v/>
      </c>
      <c r="R1320" s="35">
        <f>MAX(INDEX(R$381:R$392,$D1320)+(R1293+R1311)*(1+$E1320),0.01)</f>
        <v/>
      </c>
      <c r="S1320" s="35">
        <f>MAX(INDEX(S$381:S$392,$D1320)+(S1293+S1311)*(1+$E1320),0.01)</f>
        <v/>
      </c>
      <c r="T1320" s="35">
        <f>MAX(INDEX(T$381:T$392,$D1320)+(T1293+T1311)*(1+$E1320),0.01)</f>
        <v/>
      </c>
      <c r="U1320" s="35">
        <f>MAX(INDEX(U$381:U$392,$D1320)+(U1293+U1311)*(1+$E1320),0.01)</f>
        <v/>
      </c>
      <c r="V1320" s="35">
        <f>MAX(INDEX(V$381:V$392,$D1320)+(V1293+V1311)*(1+$E1320),0.01)</f>
        <v/>
      </c>
      <c r="W1320" s="35">
        <f>MAX(INDEX(W$381:W$392,$D1320)+(W1293+W1311)*(1+$E1320),0.01)</f>
        <v/>
      </c>
      <c r="X1320" s="35">
        <f>MAX(INDEX(X$381:X$392,$D1320)+(X1293+X1311)*(1+$E1320),0.01)</f>
        <v/>
      </c>
      <c r="Y1320" s="35">
        <f>MAX(INDEX(Y$381:Y$392,$D1320)+(Y1293+Y1311)*(1+$E1320),0.01)</f>
        <v/>
      </c>
      <c r="Z1320" s="35">
        <f>MAX(INDEX(Z$381:Z$392,$D1320)+(Z1293+Z1311)*(1+$E1320),0.01)</f>
        <v/>
      </c>
      <c r="AA1320" s="35">
        <f>MAX(INDEX(AA$381:AA$392,$D1320)+(AA1293+AA1311)*(1+$E1320),0.01)</f>
        <v/>
      </c>
      <c r="AB1320" s="35">
        <f>MAX(INDEX(AB$381:AB$392,$D1320)+(AB1293+AB1311)*(1+$E1320),0.01)</f>
        <v/>
      </c>
      <c r="AC1320" s="35">
        <f>MAX(INDEX(AC$381:AC$392,$D1320)+(AC1293+AC1311)*(1+$E1320),0.01)</f>
        <v/>
      </c>
      <c r="AD1320" s="35">
        <f>MAX(INDEX(AD$381:AD$392,$D1320)+(AD1293+AD1311)*(1+$E1320),0.01)</f>
        <v/>
      </c>
      <c r="AE1320" s="42">
        <f>POSTTAX(INDEX(AE$381:AE$392,$D1320),AE1293+AE1311,$E1320)</f>
        <v/>
      </c>
      <c r="AG1320" s="11">
        <f>CodePrefix&amp;$A1320&amp;IF($C1320="","","."&amp;$C1320&amp;"."&amp;$B1320)&amp;INDEX(VarEnd,MATCH($A1320,VarKey,0))&amp;AG$5</f>
        <v/>
      </c>
      <c r="AH1320" s="40">
        <f>MAX(INDEX(AH$381:AH$392,$D1320)+(AH1293+AH1311)*(1+$E1320),0.01)</f>
        <v/>
      </c>
      <c r="AI1320" s="35">
        <f>MAX(INDEX(AI$381:AI$392,$D1320)+(AI1293+AI1311)*(1+$E1320),0.01)</f>
        <v/>
      </c>
      <c r="AJ1320" s="35">
        <f>MAX(INDEX(AJ$381:AJ$392,$D1320)+(AJ1293+AJ1311)*(1+$E1320),0.01)</f>
        <v/>
      </c>
      <c r="AK1320" s="35">
        <f>MAX(INDEX(AK$381:AK$392,$D1320)+(AK1293+AK1311)*(1+$E1320),0.01)</f>
        <v/>
      </c>
      <c r="AL1320" s="35">
        <f>MAX(INDEX(AL$381:AL$392,$D1320)+(AL1293+AL1311)*(1+$E1320),0.01)</f>
        <v/>
      </c>
      <c r="AM1320" s="35">
        <f>MAX(INDEX(AM$381:AM$392,$D1320)+(AM1293+AM1311)*(1+$E1320),0.01)</f>
        <v/>
      </c>
      <c r="AN1320" s="35">
        <f>MAX(INDEX(AN$381:AN$392,$D1320)+(AN1293+AN1311)*(1+$E1320),0.01)</f>
        <v/>
      </c>
      <c r="AO1320" s="35">
        <f>MAX(INDEX(AO$381:AO$392,$D1320)+(AO1293+AO1311)*(1+$E1320),0.01)</f>
        <v/>
      </c>
      <c r="AP1320" s="35">
        <f>MAX(INDEX(AP$381:AP$392,$D1320)+(AP1293+AP1311)*(1+$E1320),0.01)</f>
        <v/>
      </c>
      <c r="AQ1320" s="35">
        <f>MAX(INDEX(AQ$381:AQ$392,$D1320)+(AQ1293+AQ1311)*(1+$E1320),0.01)</f>
        <v/>
      </c>
      <c r="AR1320" s="35">
        <f>MAX(INDEX(AR$381:AR$392,$D1320)+(AR1293+AR1311)*(1+$E1320),0.01)</f>
        <v/>
      </c>
      <c r="AS1320" s="35">
        <f>MAX(INDEX(AS$381:AS$392,$D1320)+(AS1293+AS1311)*(1+$E1320),0.01)</f>
        <v/>
      </c>
      <c r="AT1320" s="35">
        <f>MAX(INDEX(AT$381:AT$392,$D1320)+(AT1293+AT1311)*(1+$E1320),0.01)</f>
        <v/>
      </c>
      <c r="AU1320" s="35">
        <f>MAX(INDEX(AU$381:AU$392,$D1320)+(AU1293+AU1311)*(1+$E1320),0.01)</f>
        <v/>
      </c>
      <c r="AV1320" s="35">
        <f>MAX(INDEX(AV$381:AV$392,$D1320)+(AV1293+AV1311)*(1+$E1320),0.01)</f>
        <v/>
      </c>
      <c r="AW1320" s="35">
        <f>MAX(INDEX(AW$381:AW$392,$D1320)+(AW1293+AW1311)*(1+$E1320),0.01)</f>
        <v/>
      </c>
      <c r="AX1320" s="35">
        <f>MAX(INDEX(AX$381:AX$392,$D1320)+(AX1293+AX1311)*(1+$E1320),0.01)</f>
        <v/>
      </c>
      <c r="AY1320" s="35">
        <f>MAX(INDEX(AY$381:AY$392,$D1320)+(AY1293+AY1311)*(1+$E1320),0.01)</f>
        <v/>
      </c>
      <c r="AZ1320" s="35">
        <f>MAX(INDEX(AZ$381:AZ$392,$D1320)+(AZ1293+AZ1311)*(1+$E1320),0.01)</f>
        <v/>
      </c>
      <c r="BA1320" s="42">
        <f>POSTTAX(INDEX(BA$381:BA$392,$D1320),BA1293+BA1311,$E1320)</f>
        <v/>
      </c>
    </row>
    <row r="1321" hidden="1" outlineLevel="2">
      <c r="A1321" s="14" t="inlineStr">
        <is>
          <t>atp</t>
        </is>
      </c>
      <c r="B1321" s="14" t="inlineStr">
        <is>
          <t>lpg</t>
        </is>
      </c>
      <c r="C1321" s="14" t="inlineStr">
        <is>
          <t>avi</t>
        </is>
      </c>
      <c r="D1321" s="35">
        <f>INDEX(Inputs!$U$5:$U$132,MATCH($B1321&amp;"|"&amp;$C1321,Inputs!$A$5:$A$132,0))</f>
        <v/>
      </c>
      <c r="E1321" s="35">
        <f>INDEX(Inputs!$V$5:$V$132,MATCH($B1321&amp;"|"&amp;$C1321,Inputs!$A$5:$A$132,0))</f>
        <v/>
      </c>
      <c r="F1321" s="39" t="n"/>
      <c r="G1321" s="39" t="n"/>
      <c r="H1321" s="14">
        <f>INDEX(VarLab,MATCH($A1321,VarKey,0))&amp;INDEX(MemLab,MATCH($C1321&amp;"|"&amp;$B1321,MemKey,0))</f>
        <v/>
      </c>
      <c r="I1321" s="14">
        <f>INDEX(VarUnit,MATCH($A1321,VarKey,0))</f>
        <v/>
      </c>
      <c r="J1321" s="14">
        <f>INDEX(VarSrc,MATCH($A1321,VarKey,0))</f>
        <v/>
      </c>
      <c r="K1321" s="11">
        <f>CodePrefix&amp;$A1321&amp;IF($C1321="","","."&amp;$C1321&amp;"."&amp;$B1321)&amp;INDEX(VarEnd,MATCH($A1321,VarKey,0))&amp;K$5</f>
        <v/>
      </c>
      <c r="L1321" s="40">
        <f>MAX(INDEX(L$381:L$392,$D1321)+(L1294+L1312)*(1+$E1321),0.01)</f>
        <v/>
      </c>
      <c r="M1321" s="35">
        <f>MAX(INDEX(M$381:M$392,$D1321)+(M1294+M1312)*(1+$E1321),0.01)</f>
        <v/>
      </c>
      <c r="N1321" s="35">
        <f>MAX(INDEX(N$381:N$392,$D1321)+(N1294+N1312)*(1+$E1321),0.01)</f>
        <v/>
      </c>
      <c r="O1321" s="35">
        <f>MAX(INDEX(O$381:O$392,$D1321)+(O1294+O1312)*(1+$E1321),0.01)</f>
        <v/>
      </c>
      <c r="P1321" s="35">
        <f>MAX(INDEX(P$381:P$392,$D1321)+(P1294+P1312)*(1+$E1321),0.01)</f>
        <v/>
      </c>
      <c r="Q1321" s="35">
        <f>MAX(INDEX(Q$381:Q$392,$D1321)+(Q1294+Q1312)*(1+$E1321),0.01)</f>
        <v/>
      </c>
      <c r="R1321" s="35">
        <f>MAX(INDEX(R$381:R$392,$D1321)+(R1294+R1312)*(1+$E1321),0.01)</f>
        <v/>
      </c>
      <c r="S1321" s="35">
        <f>MAX(INDEX(S$381:S$392,$D1321)+(S1294+S1312)*(1+$E1321),0.01)</f>
        <v/>
      </c>
      <c r="T1321" s="35">
        <f>MAX(INDEX(T$381:T$392,$D1321)+(T1294+T1312)*(1+$E1321),0.01)</f>
        <v/>
      </c>
      <c r="U1321" s="35">
        <f>MAX(INDEX(U$381:U$392,$D1321)+(U1294+U1312)*(1+$E1321),0.01)</f>
        <v/>
      </c>
      <c r="V1321" s="35">
        <f>MAX(INDEX(V$381:V$392,$D1321)+(V1294+V1312)*(1+$E1321),0.01)</f>
        <v/>
      </c>
      <c r="W1321" s="35">
        <f>MAX(INDEX(W$381:W$392,$D1321)+(W1294+W1312)*(1+$E1321),0.01)</f>
        <v/>
      </c>
      <c r="X1321" s="35">
        <f>MAX(INDEX(X$381:X$392,$D1321)+(X1294+X1312)*(1+$E1321),0.01)</f>
        <v/>
      </c>
      <c r="Y1321" s="35">
        <f>MAX(INDEX(Y$381:Y$392,$D1321)+(Y1294+Y1312)*(1+$E1321),0.01)</f>
        <v/>
      </c>
      <c r="Z1321" s="35">
        <f>MAX(INDEX(Z$381:Z$392,$D1321)+(Z1294+Z1312)*(1+$E1321),0.01)</f>
        <v/>
      </c>
      <c r="AA1321" s="35">
        <f>MAX(INDEX(AA$381:AA$392,$D1321)+(AA1294+AA1312)*(1+$E1321),0.01)</f>
        <v/>
      </c>
      <c r="AB1321" s="35">
        <f>MAX(INDEX(AB$381:AB$392,$D1321)+(AB1294+AB1312)*(1+$E1321),0.01)</f>
        <v/>
      </c>
      <c r="AC1321" s="35">
        <f>MAX(INDEX(AC$381:AC$392,$D1321)+(AC1294+AC1312)*(1+$E1321),0.01)</f>
        <v/>
      </c>
      <c r="AD1321" s="35">
        <f>MAX(INDEX(AD$381:AD$392,$D1321)+(AD1294+AD1312)*(1+$E1321),0.01)</f>
        <v/>
      </c>
      <c r="AE1321" s="42">
        <f>POSTTAX(INDEX(AE$381:AE$392,$D1321),AE1294+AE1312,$E1321)</f>
        <v/>
      </c>
      <c r="AG1321" s="11">
        <f>CodePrefix&amp;$A1321&amp;IF($C1321="","","."&amp;$C1321&amp;"."&amp;$B1321)&amp;INDEX(VarEnd,MATCH($A1321,VarKey,0))&amp;AG$5</f>
        <v/>
      </c>
      <c r="AH1321" s="40">
        <f>MAX(INDEX(AH$381:AH$392,$D1321)+(AH1294+AH1312)*(1+$E1321),0.01)</f>
        <v/>
      </c>
      <c r="AI1321" s="35">
        <f>MAX(INDEX(AI$381:AI$392,$D1321)+(AI1294+AI1312)*(1+$E1321),0.01)</f>
        <v/>
      </c>
      <c r="AJ1321" s="35">
        <f>MAX(INDEX(AJ$381:AJ$392,$D1321)+(AJ1294+AJ1312)*(1+$E1321),0.01)</f>
        <v/>
      </c>
      <c r="AK1321" s="35">
        <f>MAX(INDEX(AK$381:AK$392,$D1321)+(AK1294+AK1312)*(1+$E1321),0.01)</f>
        <v/>
      </c>
      <c r="AL1321" s="35">
        <f>MAX(INDEX(AL$381:AL$392,$D1321)+(AL1294+AL1312)*(1+$E1321),0.01)</f>
        <v/>
      </c>
      <c r="AM1321" s="35">
        <f>MAX(INDEX(AM$381:AM$392,$D1321)+(AM1294+AM1312)*(1+$E1321),0.01)</f>
        <v/>
      </c>
      <c r="AN1321" s="35">
        <f>MAX(INDEX(AN$381:AN$392,$D1321)+(AN1294+AN1312)*(1+$E1321),0.01)</f>
        <v/>
      </c>
      <c r="AO1321" s="35">
        <f>MAX(INDEX(AO$381:AO$392,$D1321)+(AO1294+AO1312)*(1+$E1321),0.01)</f>
        <v/>
      </c>
      <c r="AP1321" s="35">
        <f>MAX(INDEX(AP$381:AP$392,$D1321)+(AP1294+AP1312)*(1+$E1321),0.01)</f>
        <v/>
      </c>
      <c r="AQ1321" s="35">
        <f>MAX(INDEX(AQ$381:AQ$392,$D1321)+(AQ1294+AQ1312)*(1+$E1321),0.01)</f>
        <v/>
      </c>
      <c r="AR1321" s="35">
        <f>MAX(INDEX(AR$381:AR$392,$D1321)+(AR1294+AR1312)*(1+$E1321),0.01)</f>
        <v/>
      </c>
      <c r="AS1321" s="35">
        <f>MAX(INDEX(AS$381:AS$392,$D1321)+(AS1294+AS1312)*(1+$E1321),0.01)</f>
        <v/>
      </c>
      <c r="AT1321" s="35">
        <f>MAX(INDEX(AT$381:AT$392,$D1321)+(AT1294+AT1312)*(1+$E1321),0.01)</f>
        <v/>
      </c>
      <c r="AU1321" s="35">
        <f>MAX(INDEX(AU$381:AU$392,$D1321)+(AU1294+AU1312)*(1+$E1321),0.01)</f>
        <v/>
      </c>
      <c r="AV1321" s="35">
        <f>MAX(INDEX(AV$381:AV$392,$D1321)+(AV1294+AV1312)*(1+$E1321),0.01)</f>
        <v/>
      </c>
      <c r="AW1321" s="35">
        <f>MAX(INDEX(AW$381:AW$392,$D1321)+(AW1294+AW1312)*(1+$E1321),0.01)</f>
        <v/>
      </c>
      <c r="AX1321" s="35">
        <f>MAX(INDEX(AX$381:AX$392,$D1321)+(AX1294+AX1312)*(1+$E1321),0.01)</f>
        <v/>
      </c>
      <c r="AY1321" s="35">
        <f>MAX(INDEX(AY$381:AY$392,$D1321)+(AY1294+AY1312)*(1+$E1321),0.01)</f>
        <v/>
      </c>
      <c r="AZ1321" s="35">
        <f>MAX(INDEX(AZ$381:AZ$392,$D1321)+(AZ1294+AZ1312)*(1+$E1321),0.01)</f>
        <v/>
      </c>
      <c r="BA1321" s="42">
        <f>POSTTAX(INDEX(BA$381:BA$392,$D1321),BA1294+BA1312,$E1321)</f>
        <v/>
      </c>
    </row>
    <row r="1322" hidden="1" outlineLevel="2">
      <c r="A1322" s="14" t="inlineStr">
        <is>
          <t>atp</t>
        </is>
      </c>
      <c r="B1322" s="14" t="inlineStr">
        <is>
          <t>ker</t>
        </is>
      </c>
      <c r="C1322" s="14" t="inlineStr">
        <is>
          <t>avi</t>
        </is>
      </c>
      <c r="D1322" s="35">
        <f>INDEX(Inputs!$U$5:$U$132,MATCH($B1322&amp;"|"&amp;$C1322,Inputs!$A$5:$A$132,0))</f>
        <v/>
      </c>
      <c r="E1322" s="35">
        <f>INDEX(Inputs!$V$5:$V$132,MATCH($B1322&amp;"|"&amp;$C1322,Inputs!$A$5:$A$132,0))</f>
        <v/>
      </c>
      <c r="F1322" s="39" t="n"/>
      <c r="G1322" s="39" t="n"/>
      <c r="H1322" s="14">
        <f>INDEX(VarLab,MATCH($A1322,VarKey,0))&amp;INDEX(MemLab,MATCH($C1322&amp;"|"&amp;$B1322,MemKey,0))</f>
        <v/>
      </c>
      <c r="I1322" s="14">
        <f>INDEX(VarUnit,MATCH($A1322,VarKey,0))</f>
        <v/>
      </c>
      <c r="J1322" s="14">
        <f>INDEX(VarSrc,MATCH($A1322,VarKey,0))</f>
        <v/>
      </c>
      <c r="K1322" s="11">
        <f>CodePrefix&amp;$A1322&amp;IF($C1322="","","."&amp;$C1322&amp;"."&amp;$B1322)&amp;INDEX(VarEnd,MATCH($A1322,VarKey,0))&amp;K$5</f>
        <v/>
      </c>
      <c r="L1322" s="40">
        <f>MAX(INDEX(L$381:L$392,$D1322)+(L1295+L1313)*(1+$E1322),0.01)</f>
        <v/>
      </c>
      <c r="M1322" s="35">
        <f>MAX(INDEX(M$381:M$392,$D1322)+(M1295+M1313)*(1+$E1322),0.01)</f>
        <v/>
      </c>
      <c r="N1322" s="35">
        <f>MAX(INDEX(N$381:N$392,$D1322)+(N1295+N1313)*(1+$E1322),0.01)</f>
        <v/>
      </c>
      <c r="O1322" s="35">
        <f>MAX(INDEX(O$381:O$392,$D1322)+(O1295+O1313)*(1+$E1322),0.01)</f>
        <v/>
      </c>
      <c r="P1322" s="35">
        <f>MAX(INDEX(P$381:P$392,$D1322)+(P1295+P1313)*(1+$E1322),0.01)</f>
        <v/>
      </c>
      <c r="Q1322" s="35">
        <f>MAX(INDEX(Q$381:Q$392,$D1322)+(Q1295+Q1313)*(1+$E1322),0.01)</f>
        <v/>
      </c>
      <c r="R1322" s="35">
        <f>MAX(INDEX(R$381:R$392,$D1322)+(R1295+R1313)*(1+$E1322),0.01)</f>
        <v/>
      </c>
      <c r="S1322" s="35">
        <f>MAX(INDEX(S$381:S$392,$D1322)+(S1295+S1313)*(1+$E1322),0.01)</f>
        <v/>
      </c>
      <c r="T1322" s="35">
        <f>MAX(INDEX(T$381:T$392,$D1322)+(T1295+T1313)*(1+$E1322),0.01)</f>
        <v/>
      </c>
      <c r="U1322" s="35">
        <f>MAX(INDEX(U$381:U$392,$D1322)+(U1295+U1313)*(1+$E1322),0.01)</f>
        <v/>
      </c>
      <c r="V1322" s="35">
        <f>MAX(INDEX(V$381:V$392,$D1322)+(V1295+V1313)*(1+$E1322),0.01)</f>
        <v/>
      </c>
      <c r="W1322" s="35">
        <f>MAX(INDEX(W$381:W$392,$D1322)+(W1295+W1313)*(1+$E1322),0.01)</f>
        <v/>
      </c>
      <c r="X1322" s="35">
        <f>MAX(INDEX(X$381:X$392,$D1322)+(X1295+X1313)*(1+$E1322),0.01)</f>
        <v/>
      </c>
      <c r="Y1322" s="35">
        <f>MAX(INDEX(Y$381:Y$392,$D1322)+(Y1295+Y1313)*(1+$E1322),0.01)</f>
        <v/>
      </c>
      <c r="Z1322" s="35">
        <f>MAX(INDEX(Z$381:Z$392,$D1322)+(Z1295+Z1313)*(1+$E1322),0.01)</f>
        <v/>
      </c>
      <c r="AA1322" s="35">
        <f>MAX(INDEX(AA$381:AA$392,$D1322)+(AA1295+AA1313)*(1+$E1322),0.01)</f>
        <v/>
      </c>
      <c r="AB1322" s="35">
        <f>MAX(INDEX(AB$381:AB$392,$D1322)+(AB1295+AB1313)*(1+$E1322),0.01)</f>
        <v/>
      </c>
      <c r="AC1322" s="35">
        <f>MAX(INDEX(AC$381:AC$392,$D1322)+(AC1295+AC1313)*(1+$E1322),0.01)</f>
        <v/>
      </c>
      <c r="AD1322" s="35">
        <f>MAX(INDEX(AD$381:AD$392,$D1322)+(AD1295+AD1313)*(1+$E1322),0.01)</f>
        <v/>
      </c>
      <c r="AE1322" s="42">
        <f>POSTTAX(INDEX(AE$381:AE$392,$D1322),AE1295+AE1313,$E1322)</f>
        <v/>
      </c>
      <c r="AG1322" s="11">
        <f>CodePrefix&amp;$A1322&amp;IF($C1322="","","."&amp;$C1322&amp;"."&amp;$B1322)&amp;INDEX(VarEnd,MATCH($A1322,VarKey,0))&amp;AG$5</f>
        <v/>
      </c>
      <c r="AH1322" s="40">
        <f>MAX(INDEX(AH$381:AH$392,$D1322)+(AH1295+AH1313)*(1+$E1322),0.01)</f>
        <v/>
      </c>
      <c r="AI1322" s="35">
        <f>MAX(INDEX(AI$381:AI$392,$D1322)+(AI1295+AI1313)*(1+$E1322),0.01)</f>
        <v/>
      </c>
      <c r="AJ1322" s="35">
        <f>MAX(INDEX(AJ$381:AJ$392,$D1322)+(AJ1295+AJ1313)*(1+$E1322),0.01)</f>
        <v/>
      </c>
      <c r="AK1322" s="35">
        <f>MAX(INDEX(AK$381:AK$392,$D1322)+(AK1295+AK1313)*(1+$E1322),0.01)</f>
        <v/>
      </c>
      <c r="AL1322" s="35">
        <f>MAX(INDEX(AL$381:AL$392,$D1322)+(AL1295+AL1313)*(1+$E1322),0.01)</f>
        <v/>
      </c>
      <c r="AM1322" s="35">
        <f>MAX(INDEX(AM$381:AM$392,$D1322)+(AM1295+AM1313)*(1+$E1322),0.01)</f>
        <v/>
      </c>
      <c r="AN1322" s="35">
        <f>MAX(INDEX(AN$381:AN$392,$D1322)+(AN1295+AN1313)*(1+$E1322),0.01)</f>
        <v/>
      </c>
      <c r="AO1322" s="35">
        <f>MAX(INDEX(AO$381:AO$392,$D1322)+(AO1295+AO1313)*(1+$E1322),0.01)</f>
        <v/>
      </c>
      <c r="AP1322" s="35">
        <f>MAX(INDEX(AP$381:AP$392,$D1322)+(AP1295+AP1313)*(1+$E1322),0.01)</f>
        <v/>
      </c>
      <c r="AQ1322" s="35">
        <f>MAX(INDEX(AQ$381:AQ$392,$D1322)+(AQ1295+AQ1313)*(1+$E1322),0.01)</f>
        <v/>
      </c>
      <c r="AR1322" s="35">
        <f>MAX(INDEX(AR$381:AR$392,$D1322)+(AR1295+AR1313)*(1+$E1322),0.01)</f>
        <v/>
      </c>
      <c r="AS1322" s="35">
        <f>MAX(INDEX(AS$381:AS$392,$D1322)+(AS1295+AS1313)*(1+$E1322),0.01)</f>
        <v/>
      </c>
      <c r="AT1322" s="35">
        <f>MAX(INDEX(AT$381:AT$392,$D1322)+(AT1295+AT1313)*(1+$E1322),0.01)</f>
        <v/>
      </c>
      <c r="AU1322" s="35">
        <f>MAX(INDEX(AU$381:AU$392,$D1322)+(AU1295+AU1313)*(1+$E1322),0.01)</f>
        <v/>
      </c>
      <c r="AV1322" s="35">
        <f>MAX(INDEX(AV$381:AV$392,$D1322)+(AV1295+AV1313)*(1+$E1322),0.01)</f>
        <v/>
      </c>
      <c r="AW1322" s="35">
        <f>MAX(INDEX(AW$381:AW$392,$D1322)+(AW1295+AW1313)*(1+$E1322),0.01)</f>
        <v/>
      </c>
      <c r="AX1322" s="35">
        <f>MAX(INDEX(AX$381:AX$392,$D1322)+(AX1295+AX1313)*(1+$E1322),0.01)</f>
        <v/>
      </c>
      <c r="AY1322" s="35">
        <f>MAX(INDEX(AY$381:AY$392,$D1322)+(AY1295+AY1313)*(1+$E1322),0.01)</f>
        <v/>
      </c>
      <c r="AZ1322" s="35">
        <f>MAX(INDEX(AZ$381:AZ$392,$D1322)+(AZ1295+AZ1313)*(1+$E1322),0.01)</f>
        <v/>
      </c>
      <c r="BA1322" s="42">
        <f>POSTTAX(INDEX(BA$381:BA$392,$D1322),BA1295+BA1313,$E1322)</f>
        <v/>
      </c>
    </row>
    <row r="1323" hidden="1" outlineLevel="2">
      <c r="A1323" s="14" t="inlineStr">
        <is>
          <t>atp</t>
        </is>
      </c>
      <c r="B1323" s="14" t="inlineStr">
        <is>
          <t>oop</t>
        </is>
      </c>
      <c r="C1323" s="14" t="inlineStr">
        <is>
          <t>avi</t>
        </is>
      </c>
      <c r="D1323" s="35">
        <f>INDEX(Inputs!$U$5:$U$132,MATCH($B1323&amp;"|"&amp;$C1323,Inputs!$A$5:$A$132,0))</f>
        <v/>
      </c>
      <c r="E1323" s="35">
        <f>INDEX(Inputs!$V$5:$V$132,MATCH($B1323&amp;"|"&amp;$C1323,Inputs!$A$5:$A$132,0))</f>
        <v/>
      </c>
      <c r="F1323" s="39" t="n"/>
      <c r="G1323" s="39" t="n"/>
      <c r="H1323" s="14">
        <f>INDEX(VarLab,MATCH($A1323,VarKey,0))&amp;INDEX(MemLab,MATCH($C1323&amp;"|"&amp;$B1323,MemKey,0))</f>
        <v/>
      </c>
      <c r="I1323" s="14">
        <f>INDEX(VarUnit,MATCH($A1323,VarKey,0))</f>
        <v/>
      </c>
      <c r="J1323" s="14">
        <f>INDEX(VarSrc,MATCH($A1323,VarKey,0))</f>
        <v/>
      </c>
      <c r="K1323" s="11">
        <f>CodePrefix&amp;$A1323&amp;IF($C1323="","","."&amp;$C1323&amp;"."&amp;$B1323)&amp;INDEX(VarEnd,MATCH($A1323,VarKey,0))&amp;K$5</f>
        <v/>
      </c>
      <c r="L1323" s="40">
        <f>MAX(INDEX(L$381:L$392,$D1323)+(L1296+L1314)*(1+$E1323),0.01)</f>
        <v/>
      </c>
      <c r="M1323" s="35">
        <f>MAX(INDEX(M$381:M$392,$D1323)+(M1296+M1314)*(1+$E1323),0.01)</f>
        <v/>
      </c>
      <c r="N1323" s="35">
        <f>MAX(INDEX(N$381:N$392,$D1323)+(N1296+N1314)*(1+$E1323),0.01)</f>
        <v/>
      </c>
      <c r="O1323" s="35">
        <f>MAX(INDEX(O$381:O$392,$D1323)+(O1296+O1314)*(1+$E1323),0.01)</f>
        <v/>
      </c>
      <c r="P1323" s="35">
        <f>MAX(INDEX(P$381:P$392,$D1323)+(P1296+P1314)*(1+$E1323),0.01)</f>
        <v/>
      </c>
      <c r="Q1323" s="35">
        <f>MAX(INDEX(Q$381:Q$392,$D1323)+(Q1296+Q1314)*(1+$E1323),0.01)</f>
        <v/>
      </c>
      <c r="R1323" s="35">
        <f>MAX(INDEX(R$381:R$392,$D1323)+(R1296+R1314)*(1+$E1323),0.01)</f>
        <v/>
      </c>
      <c r="S1323" s="35">
        <f>MAX(INDEX(S$381:S$392,$D1323)+(S1296+S1314)*(1+$E1323),0.01)</f>
        <v/>
      </c>
      <c r="T1323" s="35">
        <f>MAX(INDEX(T$381:T$392,$D1323)+(T1296+T1314)*(1+$E1323),0.01)</f>
        <v/>
      </c>
      <c r="U1323" s="35">
        <f>MAX(INDEX(U$381:U$392,$D1323)+(U1296+U1314)*(1+$E1323),0.01)</f>
        <v/>
      </c>
      <c r="V1323" s="35">
        <f>MAX(INDEX(V$381:V$392,$D1323)+(V1296+V1314)*(1+$E1323),0.01)</f>
        <v/>
      </c>
      <c r="W1323" s="35">
        <f>MAX(INDEX(W$381:W$392,$D1323)+(W1296+W1314)*(1+$E1323),0.01)</f>
        <v/>
      </c>
      <c r="X1323" s="35">
        <f>MAX(INDEX(X$381:X$392,$D1323)+(X1296+X1314)*(1+$E1323),0.01)</f>
        <v/>
      </c>
      <c r="Y1323" s="35">
        <f>MAX(INDEX(Y$381:Y$392,$D1323)+(Y1296+Y1314)*(1+$E1323),0.01)</f>
        <v/>
      </c>
      <c r="Z1323" s="35">
        <f>MAX(INDEX(Z$381:Z$392,$D1323)+(Z1296+Z1314)*(1+$E1323),0.01)</f>
        <v/>
      </c>
      <c r="AA1323" s="35">
        <f>MAX(INDEX(AA$381:AA$392,$D1323)+(AA1296+AA1314)*(1+$E1323),0.01)</f>
        <v/>
      </c>
      <c r="AB1323" s="35">
        <f>MAX(INDEX(AB$381:AB$392,$D1323)+(AB1296+AB1314)*(1+$E1323),0.01)</f>
        <v/>
      </c>
      <c r="AC1323" s="35">
        <f>MAX(INDEX(AC$381:AC$392,$D1323)+(AC1296+AC1314)*(1+$E1323),0.01)</f>
        <v/>
      </c>
      <c r="AD1323" s="35">
        <f>MAX(INDEX(AD$381:AD$392,$D1323)+(AD1296+AD1314)*(1+$E1323),0.01)</f>
        <v/>
      </c>
      <c r="AE1323" s="42">
        <f>POSTTAX(INDEX(AE$381:AE$392,$D1323),AE1296+AE1314,$E1323)</f>
        <v/>
      </c>
      <c r="AG1323" s="11">
        <f>CodePrefix&amp;$A1323&amp;IF($C1323="","","."&amp;$C1323&amp;"."&amp;$B1323)&amp;INDEX(VarEnd,MATCH($A1323,VarKey,0))&amp;AG$5</f>
        <v/>
      </c>
      <c r="AH1323" s="40">
        <f>MAX(INDEX(AH$381:AH$392,$D1323)+(AH1296+AH1314)*(1+$E1323),0.01)</f>
        <v/>
      </c>
      <c r="AI1323" s="35">
        <f>MAX(INDEX(AI$381:AI$392,$D1323)+(AI1296+AI1314)*(1+$E1323),0.01)</f>
        <v/>
      </c>
      <c r="AJ1323" s="35">
        <f>MAX(INDEX(AJ$381:AJ$392,$D1323)+(AJ1296+AJ1314)*(1+$E1323),0.01)</f>
        <v/>
      </c>
      <c r="AK1323" s="35">
        <f>MAX(INDEX(AK$381:AK$392,$D1323)+(AK1296+AK1314)*(1+$E1323),0.01)</f>
        <v/>
      </c>
      <c r="AL1323" s="35">
        <f>MAX(INDEX(AL$381:AL$392,$D1323)+(AL1296+AL1314)*(1+$E1323),0.01)</f>
        <v/>
      </c>
      <c r="AM1323" s="35">
        <f>MAX(INDEX(AM$381:AM$392,$D1323)+(AM1296+AM1314)*(1+$E1323),0.01)</f>
        <v/>
      </c>
      <c r="AN1323" s="35">
        <f>MAX(INDEX(AN$381:AN$392,$D1323)+(AN1296+AN1314)*(1+$E1323),0.01)</f>
        <v/>
      </c>
      <c r="AO1323" s="35">
        <f>MAX(INDEX(AO$381:AO$392,$D1323)+(AO1296+AO1314)*(1+$E1323),0.01)</f>
        <v/>
      </c>
      <c r="AP1323" s="35">
        <f>MAX(INDEX(AP$381:AP$392,$D1323)+(AP1296+AP1314)*(1+$E1323),0.01)</f>
        <v/>
      </c>
      <c r="AQ1323" s="35">
        <f>MAX(INDEX(AQ$381:AQ$392,$D1323)+(AQ1296+AQ1314)*(1+$E1323),0.01)</f>
        <v/>
      </c>
      <c r="AR1323" s="35">
        <f>MAX(INDEX(AR$381:AR$392,$D1323)+(AR1296+AR1314)*(1+$E1323),0.01)</f>
        <v/>
      </c>
      <c r="AS1323" s="35">
        <f>MAX(INDEX(AS$381:AS$392,$D1323)+(AS1296+AS1314)*(1+$E1323),0.01)</f>
        <v/>
      </c>
      <c r="AT1323" s="35">
        <f>MAX(INDEX(AT$381:AT$392,$D1323)+(AT1296+AT1314)*(1+$E1323),0.01)</f>
        <v/>
      </c>
      <c r="AU1323" s="35">
        <f>MAX(INDEX(AU$381:AU$392,$D1323)+(AU1296+AU1314)*(1+$E1323),0.01)</f>
        <v/>
      </c>
      <c r="AV1323" s="35">
        <f>MAX(INDEX(AV$381:AV$392,$D1323)+(AV1296+AV1314)*(1+$E1323),0.01)</f>
        <v/>
      </c>
      <c r="AW1323" s="35">
        <f>MAX(INDEX(AW$381:AW$392,$D1323)+(AW1296+AW1314)*(1+$E1323),0.01)</f>
        <v/>
      </c>
      <c r="AX1323" s="35">
        <f>MAX(INDEX(AX$381:AX$392,$D1323)+(AX1296+AX1314)*(1+$E1323),0.01)</f>
        <v/>
      </c>
      <c r="AY1323" s="35">
        <f>MAX(INDEX(AY$381:AY$392,$D1323)+(AY1296+AY1314)*(1+$E1323),0.01)</f>
        <v/>
      </c>
      <c r="AZ1323" s="35">
        <f>MAX(INDEX(AZ$381:AZ$392,$D1323)+(AZ1296+AZ1314)*(1+$E1323),0.01)</f>
        <v/>
      </c>
      <c r="BA1323" s="42">
        <f>POSTTAX(INDEX(BA$381:BA$392,$D1323),BA1296+BA1314,$E1323)</f>
        <v/>
      </c>
    </row>
    <row r="1324" hidden="1" outlineLevel="2">
      <c r="A1324" s="14" t="inlineStr">
        <is>
          <t>atp</t>
        </is>
      </c>
      <c r="B1324" s="14" t="inlineStr">
        <is>
          <t>bio</t>
        </is>
      </c>
      <c r="C1324" s="14" t="inlineStr">
        <is>
          <t>avi</t>
        </is>
      </c>
      <c r="D1324" s="35">
        <f>INDEX(Inputs!$U$5:$U$132,MATCH($B1324&amp;"|"&amp;$C1324,Inputs!$A$5:$A$132,0))</f>
        <v/>
      </c>
      <c r="E1324" s="35">
        <f>INDEX(Inputs!$V$5:$V$132,MATCH($B1324&amp;"|"&amp;$C1324,Inputs!$A$5:$A$132,0))</f>
        <v/>
      </c>
      <c r="F1324" s="39" t="n"/>
      <c r="G1324" s="39" t="n"/>
      <c r="H1324" s="14">
        <f>INDEX(VarLab,MATCH($A1324,VarKey,0))&amp;INDEX(MemLab,MATCH($C1324&amp;"|"&amp;$B1324,MemKey,0))</f>
        <v/>
      </c>
      <c r="I1324" s="14">
        <f>INDEX(VarUnit,MATCH($A1324,VarKey,0))</f>
        <v/>
      </c>
      <c r="J1324" s="14">
        <f>INDEX(VarSrc,MATCH($A1324,VarKey,0))</f>
        <v/>
      </c>
      <c r="K1324" s="11">
        <f>CodePrefix&amp;$A1324&amp;IF($C1324="","","."&amp;$C1324&amp;"."&amp;$B1324)&amp;INDEX(VarEnd,MATCH($A1324,VarKey,0))&amp;K$5</f>
        <v/>
      </c>
      <c r="L1324" s="40">
        <f>MAX(INDEX(L$381:L$392,$D1324)+(L1297+L1315)*(1+$E1324),0.01)</f>
        <v/>
      </c>
      <c r="M1324" s="35">
        <f>MAX(INDEX(M$381:M$392,$D1324)+(M1297+M1315)*(1+$E1324),0.01)</f>
        <v/>
      </c>
      <c r="N1324" s="35">
        <f>MAX(INDEX(N$381:N$392,$D1324)+(N1297+N1315)*(1+$E1324),0.01)</f>
        <v/>
      </c>
      <c r="O1324" s="35">
        <f>MAX(INDEX(O$381:O$392,$D1324)+(O1297+O1315)*(1+$E1324),0.01)</f>
        <v/>
      </c>
      <c r="P1324" s="35">
        <f>MAX(INDEX(P$381:P$392,$D1324)+(P1297+P1315)*(1+$E1324),0.01)</f>
        <v/>
      </c>
      <c r="Q1324" s="35">
        <f>MAX(INDEX(Q$381:Q$392,$D1324)+(Q1297+Q1315)*(1+$E1324),0.01)</f>
        <v/>
      </c>
      <c r="R1324" s="35">
        <f>MAX(INDEX(R$381:R$392,$D1324)+(R1297+R1315)*(1+$E1324),0.01)</f>
        <v/>
      </c>
      <c r="S1324" s="35">
        <f>MAX(INDEX(S$381:S$392,$D1324)+(S1297+S1315)*(1+$E1324),0.01)</f>
        <v/>
      </c>
      <c r="T1324" s="35">
        <f>MAX(INDEX(T$381:T$392,$D1324)+(T1297+T1315)*(1+$E1324),0.01)</f>
        <v/>
      </c>
      <c r="U1324" s="35">
        <f>MAX(INDEX(U$381:U$392,$D1324)+(U1297+U1315)*(1+$E1324),0.01)</f>
        <v/>
      </c>
      <c r="V1324" s="35">
        <f>MAX(INDEX(V$381:V$392,$D1324)+(V1297+V1315)*(1+$E1324),0.01)</f>
        <v/>
      </c>
      <c r="W1324" s="35">
        <f>MAX(INDEX(W$381:W$392,$D1324)+(W1297+W1315)*(1+$E1324),0.01)</f>
        <v/>
      </c>
      <c r="X1324" s="35">
        <f>MAX(INDEX(X$381:X$392,$D1324)+(X1297+X1315)*(1+$E1324),0.01)</f>
        <v/>
      </c>
      <c r="Y1324" s="35">
        <f>MAX(INDEX(Y$381:Y$392,$D1324)+(Y1297+Y1315)*(1+$E1324),0.01)</f>
        <v/>
      </c>
      <c r="Z1324" s="35">
        <f>MAX(INDEX(Z$381:Z$392,$D1324)+(Z1297+Z1315)*(1+$E1324),0.01)</f>
        <v/>
      </c>
      <c r="AA1324" s="35">
        <f>MAX(INDEX(AA$381:AA$392,$D1324)+(AA1297+AA1315)*(1+$E1324),0.01)</f>
        <v/>
      </c>
      <c r="AB1324" s="35">
        <f>MAX(INDEX(AB$381:AB$392,$D1324)+(AB1297+AB1315)*(1+$E1324),0.01)</f>
        <v/>
      </c>
      <c r="AC1324" s="35">
        <f>MAX(INDEX(AC$381:AC$392,$D1324)+(AC1297+AC1315)*(1+$E1324),0.01)</f>
        <v/>
      </c>
      <c r="AD1324" s="35">
        <f>MAX(INDEX(AD$381:AD$392,$D1324)+(AD1297+AD1315)*(1+$E1324),0.01)</f>
        <v/>
      </c>
      <c r="AE1324" s="42">
        <f>POSTTAX(INDEX(AE$381:AE$392,$D1324),AE1297+AE1315,$E1324)</f>
        <v/>
      </c>
      <c r="AG1324" s="11">
        <f>CodePrefix&amp;$A1324&amp;IF($C1324="","","."&amp;$C1324&amp;"."&amp;$B1324)&amp;INDEX(VarEnd,MATCH($A1324,VarKey,0))&amp;AG$5</f>
        <v/>
      </c>
      <c r="AH1324" s="40">
        <f>MAX(INDEX(AH$381:AH$392,$D1324)+(AH1297+AH1315)*(1+$E1324),0.01)</f>
        <v/>
      </c>
      <c r="AI1324" s="35">
        <f>MAX(INDEX(AI$381:AI$392,$D1324)+(AI1297+AI1315)*(1+$E1324),0.01)</f>
        <v/>
      </c>
      <c r="AJ1324" s="35">
        <f>MAX(INDEX(AJ$381:AJ$392,$D1324)+(AJ1297+AJ1315)*(1+$E1324),0.01)</f>
        <v/>
      </c>
      <c r="AK1324" s="35">
        <f>MAX(INDEX(AK$381:AK$392,$D1324)+(AK1297+AK1315)*(1+$E1324),0.01)</f>
        <v/>
      </c>
      <c r="AL1324" s="35">
        <f>MAX(INDEX(AL$381:AL$392,$D1324)+(AL1297+AL1315)*(1+$E1324),0.01)</f>
        <v/>
      </c>
      <c r="AM1324" s="35">
        <f>MAX(INDEX(AM$381:AM$392,$D1324)+(AM1297+AM1315)*(1+$E1324),0.01)</f>
        <v/>
      </c>
      <c r="AN1324" s="35">
        <f>MAX(INDEX(AN$381:AN$392,$D1324)+(AN1297+AN1315)*(1+$E1324),0.01)</f>
        <v/>
      </c>
      <c r="AO1324" s="35">
        <f>MAX(INDEX(AO$381:AO$392,$D1324)+(AO1297+AO1315)*(1+$E1324),0.01)</f>
        <v/>
      </c>
      <c r="AP1324" s="35">
        <f>MAX(INDEX(AP$381:AP$392,$D1324)+(AP1297+AP1315)*(1+$E1324),0.01)</f>
        <v/>
      </c>
      <c r="AQ1324" s="35">
        <f>MAX(INDEX(AQ$381:AQ$392,$D1324)+(AQ1297+AQ1315)*(1+$E1324),0.01)</f>
        <v/>
      </c>
      <c r="AR1324" s="35">
        <f>MAX(INDEX(AR$381:AR$392,$D1324)+(AR1297+AR1315)*(1+$E1324),0.01)</f>
        <v/>
      </c>
      <c r="AS1324" s="35">
        <f>MAX(INDEX(AS$381:AS$392,$D1324)+(AS1297+AS1315)*(1+$E1324),0.01)</f>
        <v/>
      </c>
      <c r="AT1324" s="35">
        <f>MAX(INDEX(AT$381:AT$392,$D1324)+(AT1297+AT1315)*(1+$E1324),0.01)</f>
        <v/>
      </c>
      <c r="AU1324" s="35">
        <f>MAX(INDEX(AU$381:AU$392,$D1324)+(AU1297+AU1315)*(1+$E1324),0.01)</f>
        <v/>
      </c>
      <c r="AV1324" s="35">
        <f>MAX(INDEX(AV$381:AV$392,$D1324)+(AV1297+AV1315)*(1+$E1324),0.01)</f>
        <v/>
      </c>
      <c r="AW1324" s="35">
        <f>MAX(INDEX(AW$381:AW$392,$D1324)+(AW1297+AW1315)*(1+$E1324),0.01)</f>
        <v/>
      </c>
      <c r="AX1324" s="35">
        <f>MAX(INDEX(AX$381:AX$392,$D1324)+(AX1297+AX1315)*(1+$E1324),0.01)</f>
        <v/>
      </c>
      <c r="AY1324" s="35">
        <f>MAX(INDEX(AY$381:AY$392,$D1324)+(AY1297+AY1315)*(1+$E1324),0.01)</f>
        <v/>
      </c>
      <c r="AZ1324" s="35">
        <f>MAX(INDEX(AZ$381:AZ$392,$D1324)+(AZ1297+AZ1315)*(1+$E1324),0.01)</f>
        <v/>
      </c>
      <c r="BA1324" s="42">
        <f>POSTTAX(INDEX(BA$381:BA$392,$D1324),BA1297+BA1315,$E1324)</f>
        <v/>
      </c>
    </row>
    <row r="1325" hidden="1" outlineLevel="2"/>
    <row r="1326" hidden="1" outlineLevel="2">
      <c r="A1326" s="14" t="inlineStr">
        <is>
          <t>shp</t>
        </is>
      </c>
      <c r="B1326" s="14" t="inlineStr">
        <is>
          <t>coa</t>
        </is>
      </c>
      <c r="C1326" s="14" t="inlineStr">
        <is>
          <t>avi</t>
        </is>
      </c>
      <c r="D1326" s="35">
        <f>INDEX(Inputs!$W$5:$W$132,MATCH($B1326&amp;"|"&amp;$C1326,Inputs!$A$5:$A$132,0))</f>
        <v/>
      </c>
      <c r="E1326" s="35">
        <f>INDEX(Inputs!$M$5:$M$132,MATCH($B1326&amp;"|"&amp;$C1326,Inputs!$A$5:$A$132,0))</f>
        <v/>
      </c>
      <c r="F1326" s="39" t="n"/>
      <c r="G1326" s="39" t="n"/>
      <c r="H1326" s="14">
        <f>INDEX(VarLab,MATCH($A1326,VarKey,0))&amp;INDEX(MemLab,MATCH($C1326&amp;"|"&amp;$B1326,MemKey,0))</f>
        <v/>
      </c>
      <c r="I1326" s="14">
        <f>INDEX(VarUnit,MATCH($A1326,VarKey,0))</f>
        <v/>
      </c>
      <c r="J1326" s="14">
        <f>INDEX(VarSrc,MATCH($A1326,VarKey,0))</f>
        <v/>
      </c>
      <c r="K1326" s="11">
        <f>CodePrefix&amp;$A1326&amp;IF($C1326="","","."&amp;$C1326&amp;"."&amp;$B1326)&amp;INDEX(VarEnd,MATCH($A1326,VarKey,0))&amp;K$5</f>
        <v/>
      </c>
      <c r="L1326" s="40">
        <f>INDEX(L$297:L$313,$E1326)*$D1326</f>
        <v/>
      </c>
      <c r="M1326" s="35">
        <f>INDEX(M$297:M$313,$E1326)*$D1326</f>
        <v/>
      </c>
      <c r="N1326" s="35">
        <f>INDEX(N$297:N$313,$E1326)*$D1326</f>
        <v/>
      </c>
      <c r="O1326" s="35">
        <f>INDEX(O$297:O$313,$E1326)*$D1326</f>
        <v/>
      </c>
      <c r="P1326" s="35">
        <f>INDEX(P$297:P$313,$E1326)*$D1326</f>
        <v/>
      </c>
      <c r="Q1326" s="35">
        <f>INDEX(Q$297:Q$313,$E1326)*$D1326</f>
        <v/>
      </c>
      <c r="R1326" s="35">
        <f>INDEX(R$297:R$313,$E1326)*$D1326</f>
        <v/>
      </c>
      <c r="S1326" s="35">
        <f>INDEX(S$297:S$313,$E1326)*$D1326</f>
        <v/>
      </c>
      <c r="T1326" s="35">
        <f>INDEX(T$297:T$313,$E1326)*$D1326</f>
        <v/>
      </c>
      <c r="U1326" s="35">
        <f>INDEX(U$297:U$313,$E1326)*$D1326</f>
        <v/>
      </c>
      <c r="V1326" s="35">
        <f>INDEX(V$297:V$313,$E1326)*$D1326</f>
        <v/>
      </c>
      <c r="W1326" s="35">
        <f>INDEX(W$297:W$313,$E1326)*$D1326</f>
        <v/>
      </c>
      <c r="X1326" s="35">
        <f>INDEX(X$297:X$313,$E1326)*$D1326</f>
        <v/>
      </c>
      <c r="Y1326" s="35">
        <f>INDEX(Y$297:Y$313,$E1326)*$D1326</f>
        <v/>
      </c>
      <c r="Z1326" s="35">
        <f>INDEX(Z$297:Z$313,$E1326)*$D1326</f>
        <v/>
      </c>
      <c r="AA1326" s="35">
        <f>INDEX(AA$297:AA$313,$E1326)*$D1326</f>
        <v/>
      </c>
      <c r="AB1326" s="35">
        <f>INDEX(AB$297:AB$313,$E1326)*$D1326</f>
        <v/>
      </c>
      <c r="AC1326" s="35">
        <f>INDEX(AC$297:AC$313,$E1326)*$D1326</f>
        <v/>
      </c>
      <c r="AD1326" s="35">
        <f>INDEX(AD$297:AD$313,$E1326)*$D1326</f>
        <v/>
      </c>
      <c r="AE1326" s="42">
        <f>SHADOWGJ(INDEX(AE$297:AE$313,$E1326),$D1326)</f>
        <v/>
      </c>
      <c r="AG1326" s="11">
        <f>CodePrefix&amp;$A1326&amp;IF($C1326="","","."&amp;$C1326&amp;"."&amp;$B1326)&amp;INDEX(VarEnd,MATCH($A1326,VarKey,0))&amp;AG$5</f>
        <v/>
      </c>
      <c r="AH1326" s="40">
        <f>INDEX(AH$297:AH$313,$E1326)*$D1326</f>
        <v/>
      </c>
      <c r="AI1326" s="35">
        <f>INDEX(AI$297:AI$313,$E1326)*$D1326</f>
        <v/>
      </c>
      <c r="AJ1326" s="35">
        <f>INDEX(AJ$297:AJ$313,$E1326)*$D1326</f>
        <v/>
      </c>
      <c r="AK1326" s="35">
        <f>INDEX(AK$297:AK$313,$E1326)*$D1326</f>
        <v/>
      </c>
      <c r="AL1326" s="35">
        <f>INDEX(AL$297:AL$313,$E1326)*$D1326</f>
        <v/>
      </c>
      <c r="AM1326" s="35">
        <f>INDEX(AM$297:AM$313,$E1326)*$D1326</f>
        <v/>
      </c>
      <c r="AN1326" s="35">
        <f>INDEX(AN$297:AN$313,$E1326)*$D1326</f>
        <v/>
      </c>
      <c r="AO1326" s="35">
        <f>INDEX(AO$297:AO$313,$E1326)*$D1326</f>
        <v/>
      </c>
      <c r="AP1326" s="35">
        <f>INDEX(AP$297:AP$313,$E1326)*$D1326</f>
        <v/>
      </c>
      <c r="AQ1326" s="35">
        <f>INDEX(AQ$297:AQ$313,$E1326)*$D1326</f>
        <v/>
      </c>
      <c r="AR1326" s="35">
        <f>INDEX(AR$297:AR$313,$E1326)*$D1326</f>
        <v/>
      </c>
      <c r="AS1326" s="35">
        <f>INDEX(AS$297:AS$313,$E1326)*$D1326</f>
        <v/>
      </c>
      <c r="AT1326" s="35">
        <f>INDEX(AT$297:AT$313,$E1326)*$D1326</f>
        <v/>
      </c>
      <c r="AU1326" s="35">
        <f>INDEX(AU$297:AU$313,$E1326)*$D1326</f>
        <v/>
      </c>
      <c r="AV1326" s="35">
        <f>INDEX(AV$297:AV$313,$E1326)*$D1326</f>
        <v/>
      </c>
      <c r="AW1326" s="35">
        <f>INDEX(AW$297:AW$313,$E1326)*$D1326</f>
        <v/>
      </c>
      <c r="AX1326" s="35">
        <f>INDEX(AX$297:AX$313,$E1326)*$D1326</f>
        <v/>
      </c>
      <c r="AY1326" s="35">
        <f>INDEX(AY$297:AY$313,$E1326)*$D1326</f>
        <v/>
      </c>
      <c r="AZ1326" s="35">
        <f>INDEX(AZ$297:AZ$313,$E1326)*$D1326</f>
        <v/>
      </c>
      <c r="BA1326" s="42">
        <f>SHADOWGJ(INDEX(BA$297:BA$313,$E1326),$D1326)</f>
        <v/>
      </c>
    </row>
    <row r="1327" hidden="1" outlineLevel="2">
      <c r="A1327" s="14" t="inlineStr">
        <is>
          <t>shp</t>
        </is>
      </c>
      <c r="B1327" s="14" t="inlineStr">
        <is>
          <t>nga</t>
        </is>
      </c>
      <c r="C1327" s="14" t="inlineStr">
        <is>
          <t>avi</t>
        </is>
      </c>
      <c r="D1327" s="35">
        <f>INDEX(Inputs!$W$5:$W$132,MATCH($B1327&amp;"|"&amp;$C1327,Inputs!$A$5:$A$132,0))</f>
        <v/>
      </c>
      <c r="E1327" s="35">
        <f>INDEX(Inputs!$M$5:$M$132,MATCH($B1327&amp;"|"&amp;$C1327,Inputs!$A$5:$A$132,0))</f>
        <v/>
      </c>
      <c r="F1327" s="39" t="n"/>
      <c r="G1327" s="39" t="n"/>
      <c r="H1327" s="14">
        <f>INDEX(VarLab,MATCH($A1327,VarKey,0))&amp;INDEX(MemLab,MATCH($C1327&amp;"|"&amp;$B1327,MemKey,0))</f>
        <v/>
      </c>
      <c r="I1327" s="14">
        <f>INDEX(VarUnit,MATCH($A1327,VarKey,0))</f>
        <v/>
      </c>
      <c r="J1327" s="14">
        <f>INDEX(VarSrc,MATCH($A1327,VarKey,0))</f>
        <v/>
      </c>
      <c r="K1327" s="11">
        <f>CodePrefix&amp;$A1327&amp;IF($C1327="","","."&amp;$C1327&amp;"."&amp;$B1327)&amp;INDEX(VarEnd,MATCH($A1327,VarKey,0))&amp;K$5</f>
        <v/>
      </c>
      <c r="L1327" s="40">
        <f>INDEX(L$297:L$313,$E1327)*$D1327</f>
        <v/>
      </c>
      <c r="M1327" s="35">
        <f>INDEX(M$297:M$313,$E1327)*$D1327</f>
        <v/>
      </c>
      <c r="N1327" s="35">
        <f>INDEX(N$297:N$313,$E1327)*$D1327</f>
        <v/>
      </c>
      <c r="O1327" s="35">
        <f>INDEX(O$297:O$313,$E1327)*$D1327</f>
        <v/>
      </c>
      <c r="P1327" s="35">
        <f>INDEX(P$297:P$313,$E1327)*$D1327</f>
        <v/>
      </c>
      <c r="Q1327" s="35">
        <f>INDEX(Q$297:Q$313,$E1327)*$D1327</f>
        <v/>
      </c>
      <c r="R1327" s="35">
        <f>INDEX(R$297:R$313,$E1327)*$D1327</f>
        <v/>
      </c>
      <c r="S1327" s="35">
        <f>INDEX(S$297:S$313,$E1327)*$D1327</f>
        <v/>
      </c>
      <c r="T1327" s="35">
        <f>INDEX(T$297:T$313,$E1327)*$D1327</f>
        <v/>
      </c>
      <c r="U1327" s="35">
        <f>INDEX(U$297:U$313,$E1327)*$D1327</f>
        <v/>
      </c>
      <c r="V1327" s="35">
        <f>INDEX(V$297:V$313,$E1327)*$D1327</f>
        <v/>
      </c>
      <c r="W1327" s="35">
        <f>INDEX(W$297:W$313,$E1327)*$D1327</f>
        <v/>
      </c>
      <c r="X1327" s="35">
        <f>INDEX(X$297:X$313,$E1327)*$D1327</f>
        <v/>
      </c>
      <c r="Y1327" s="35">
        <f>INDEX(Y$297:Y$313,$E1327)*$D1327</f>
        <v/>
      </c>
      <c r="Z1327" s="35">
        <f>INDEX(Z$297:Z$313,$E1327)*$D1327</f>
        <v/>
      </c>
      <c r="AA1327" s="35">
        <f>INDEX(AA$297:AA$313,$E1327)*$D1327</f>
        <v/>
      </c>
      <c r="AB1327" s="35">
        <f>INDEX(AB$297:AB$313,$E1327)*$D1327</f>
        <v/>
      </c>
      <c r="AC1327" s="35">
        <f>INDEX(AC$297:AC$313,$E1327)*$D1327</f>
        <v/>
      </c>
      <c r="AD1327" s="35">
        <f>INDEX(AD$297:AD$313,$E1327)*$D1327</f>
        <v/>
      </c>
      <c r="AE1327" s="42">
        <f>SHADOWGJ(INDEX(AE$297:AE$313,$E1327),$D1327)</f>
        <v/>
      </c>
      <c r="AG1327" s="11">
        <f>CodePrefix&amp;$A1327&amp;IF($C1327="","","."&amp;$C1327&amp;"."&amp;$B1327)&amp;INDEX(VarEnd,MATCH($A1327,VarKey,0))&amp;AG$5</f>
        <v/>
      </c>
      <c r="AH1327" s="40">
        <f>INDEX(AH$297:AH$313,$E1327)*$D1327</f>
        <v/>
      </c>
      <c r="AI1327" s="35">
        <f>INDEX(AI$297:AI$313,$E1327)*$D1327</f>
        <v/>
      </c>
      <c r="AJ1327" s="35">
        <f>INDEX(AJ$297:AJ$313,$E1327)*$D1327</f>
        <v/>
      </c>
      <c r="AK1327" s="35">
        <f>INDEX(AK$297:AK$313,$E1327)*$D1327</f>
        <v/>
      </c>
      <c r="AL1327" s="35">
        <f>INDEX(AL$297:AL$313,$E1327)*$D1327</f>
        <v/>
      </c>
      <c r="AM1327" s="35">
        <f>INDEX(AM$297:AM$313,$E1327)*$D1327</f>
        <v/>
      </c>
      <c r="AN1327" s="35">
        <f>INDEX(AN$297:AN$313,$E1327)*$D1327</f>
        <v/>
      </c>
      <c r="AO1327" s="35">
        <f>INDEX(AO$297:AO$313,$E1327)*$D1327</f>
        <v/>
      </c>
      <c r="AP1327" s="35">
        <f>INDEX(AP$297:AP$313,$E1327)*$D1327</f>
        <v/>
      </c>
      <c r="AQ1327" s="35">
        <f>INDEX(AQ$297:AQ$313,$E1327)*$D1327</f>
        <v/>
      </c>
      <c r="AR1327" s="35">
        <f>INDEX(AR$297:AR$313,$E1327)*$D1327</f>
        <v/>
      </c>
      <c r="AS1327" s="35">
        <f>INDEX(AS$297:AS$313,$E1327)*$D1327</f>
        <v/>
      </c>
      <c r="AT1327" s="35">
        <f>INDEX(AT$297:AT$313,$E1327)*$D1327</f>
        <v/>
      </c>
      <c r="AU1327" s="35">
        <f>INDEX(AU$297:AU$313,$E1327)*$D1327</f>
        <v/>
      </c>
      <c r="AV1327" s="35">
        <f>INDEX(AV$297:AV$313,$E1327)*$D1327</f>
        <v/>
      </c>
      <c r="AW1327" s="35">
        <f>INDEX(AW$297:AW$313,$E1327)*$D1327</f>
        <v/>
      </c>
      <c r="AX1327" s="35">
        <f>INDEX(AX$297:AX$313,$E1327)*$D1327</f>
        <v/>
      </c>
      <c r="AY1327" s="35">
        <f>INDEX(AY$297:AY$313,$E1327)*$D1327</f>
        <v/>
      </c>
      <c r="AZ1327" s="35">
        <f>INDEX(AZ$297:AZ$313,$E1327)*$D1327</f>
        <v/>
      </c>
      <c r="BA1327" s="42">
        <f>SHADOWGJ(INDEX(BA$297:BA$313,$E1327),$D1327)</f>
        <v/>
      </c>
    </row>
    <row r="1328" hidden="1" outlineLevel="2">
      <c r="A1328" s="14" t="inlineStr">
        <is>
          <t>shp</t>
        </is>
      </c>
      <c r="B1328" s="14" t="inlineStr">
        <is>
          <t>gso</t>
        </is>
      </c>
      <c r="C1328" s="14" t="inlineStr">
        <is>
          <t>avi</t>
        </is>
      </c>
      <c r="D1328" s="35">
        <f>INDEX(Inputs!$W$5:$W$132,MATCH($B1328&amp;"|"&amp;$C1328,Inputs!$A$5:$A$132,0))</f>
        <v/>
      </c>
      <c r="E1328" s="35">
        <f>INDEX(Inputs!$M$5:$M$132,MATCH($B1328&amp;"|"&amp;$C1328,Inputs!$A$5:$A$132,0))</f>
        <v/>
      </c>
      <c r="F1328" s="39" t="n"/>
      <c r="G1328" s="39" t="n"/>
      <c r="H1328" s="14">
        <f>INDEX(VarLab,MATCH($A1328,VarKey,0))&amp;INDEX(MemLab,MATCH($C1328&amp;"|"&amp;$B1328,MemKey,0))</f>
        <v/>
      </c>
      <c r="I1328" s="14">
        <f>INDEX(VarUnit,MATCH($A1328,VarKey,0))</f>
        <v/>
      </c>
      <c r="J1328" s="14">
        <f>INDEX(VarSrc,MATCH($A1328,VarKey,0))</f>
        <v/>
      </c>
      <c r="K1328" s="11">
        <f>CodePrefix&amp;$A1328&amp;IF($C1328="","","."&amp;$C1328&amp;"."&amp;$B1328)&amp;INDEX(VarEnd,MATCH($A1328,VarKey,0))&amp;K$5</f>
        <v/>
      </c>
      <c r="L1328" s="40">
        <f>INDEX(L$297:L$313,$E1328)*$D1328</f>
        <v/>
      </c>
      <c r="M1328" s="35">
        <f>INDEX(M$297:M$313,$E1328)*$D1328</f>
        <v/>
      </c>
      <c r="N1328" s="35">
        <f>INDEX(N$297:N$313,$E1328)*$D1328</f>
        <v/>
      </c>
      <c r="O1328" s="35">
        <f>INDEX(O$297:O$313,$E1328)*$D1328</f>
        <v/>
      </c>
      <c r="P1328" s="35">
        <f>INDEX(P$297:P$313,$E1328)*$D1328</f>
        <v/>
      </c>
      <c r="Q1328" s="35">
        <f>INDEX(Q$297:Q$313,$E1328)*$D1328</f>
        <v/>
      </c>
      <c r="R1328" s="35">
        <f>INDEX(R$297:R$313,$E1328)*$D1328</f>
        <v/>
      </c>
      <c r="S1328" s="35">
        <f>INDEX(S$297:S$313,$E1328)*$D1328</f>
        <v/>
      </c>
      <c r="T1328" s="35">
        <f>INDEX(T$297:T$313,$E1328)*$D1328</f>
        <v/>
      </c>
      <c r="U1328" s="35">
        <f>INDEX(U$297:U$313,$E1328)*$D1328</f>
        <v/>
      </c>
      <c r="V1328" s="35">
        <f>INDEX(V$297:V$313,$E1328)*$D1328</f>
        <v/>
      </c>
      <c r="W1328" s="35">
        <f>INDEX(W$297:W$313,$E1328)*$D1328</f>
        <v/>
      </c>
      <c r="X1328" s="35">
        <f>INDEX(X$297:X$313,$E1328)*$D1328</f>
        <v/>
      </c>
      <c r="Y1328" s="35">
        <f>INDEX(Y$297:Y$313,$E1328)*$D1328</f>
        <v/>
      </c>
      <c r="Z1328" s="35">
        <f>INDEX(Z$297:Z$313,$E1328)*$D1328</f>
        <v/>
      </c>
      <c r="AA1328" s="35">
        <f>INDEX(AA$297:AA$313,$E1328)*$D1328</f>
        <v/>
      </c>
      <c r="AB1328" s="35">
        <f>INDEX(AB$297:AB$313,$E1328)*$D1328</f>
        <v/>
      </c>
      <c r="AC1328" s="35">
        <f>INDEX(AC$297:AC$313,$E1328)*$D1328</f>
        <v/>
      </c>
      <c r="AD1328" s="35">
        <f>INDEX(AD$297:AD$313,$E1328)*$D1328</f>
        <v/>
      </c>
      <c r="AE1328" s="42">
        <f>SHADOWGJ(INDEX(AE$297:AE$313,$E1328),$D1328)</f>
        <v/>
      </c>
      <c r="AG1328" s="11">
        <f>CodePrefix&amp;$A1328&amp;IF($C1328="","","."&amp;$C1328&amp;"."&amp;$B1328)&amp;INDEX(VarEnd,MATCH($A1328,VarKey,0))&amp;AG$5</f>
        <v/>
      </c>
      <c r="AH1328" s="40">
        <f>INDEX(AH$297:AH$313,$E1328)*$D1328</f>
        <v/>
      </c>
      <c r="AI1328" s="35">
        <f>INDEX(AI$297:AI$313,$E1328)*$D1328</f>
        <v/>
      </c>
      <c r="AJ1328" s="35">
        <f>INDEX(AJ$297:AJ$313,$E1328)*$D1328</f>
        <v/>
      </c>
      <c r="AK1328" s="35">
        <f>INDEX(AK$297:AK$313,$E1328)*$D1328</f>
        <v/>
      </c>
      <c r="AL1328" s="35">
        <f>INDEX(AL$297:AL$313,$E1328)*$D1328</f>
        <v/>
      </c>
      <c r="AM1328" s="35">
        <f>INDEX(AM$297:AM$313,$E1328)*$D1328</f>
        <v/>
      </c>
      <c r="AN1328" s="35">
        <f>INDEX(AN$297:AN$313,$E1328)*$D1328</f>
        <v/>
      </c>
      <c r="AO1328" s="35">
        <f>INDEX(AO$297:AO$313,$E1328)*$D1328</f>
        <v/>
      </c>
      <c r="AP1328" s="35">
        <f>INDEX(AP$297:AP$313,$E1328)*$D1328</f>
        <v/>
      </c>
      <c r="AQ1328" s="35">
        <f>INDEX(AQ$297:AQ$313,$E1328)*$D1328</f>
        <v/>
      </c>
      <c r="AR1328" s="35">
        <f>INDEX(AR$297:AR$313,$E1328)*$D1328</f>
        <v/>
      </c>
      <c r="AS1328" s="35">
        <f>INDEX(AS$297:AS$313,$E1328)*$D1328</f>
        <v/>
      </c>
      <c r="AT1328" s="35">
        <f>INDEX(AT$297:AT$313,$E1328)*$D1328</f>
        <v/>
      </c>
      <c r="AU1328" s="35">
        <f>INDEX(AU$297:AU$313,$E1328)*$D1328</f>
        <v/>
      </c>
      <c r="AV1328" s="35">
        <f>INDEX(AV$297:AV$313,$E1328)*$D1328</f>
        <v/>
      </c>
      <c r="AW1328" s="35">
        <f>INDEX(AW$297:AW$313,$E1328)*$D1328</f>
        <v/>
      </c>
      <c r="AX1328" s="35">
        <f>INDEX(AX$297:AX$313,$E1328)*$D1328</f>
        <v/>
      </c>
      <c r="AY1328" s="35">
        <f>INDEX(AY$297:AY$313,$E1328)*$D1328</f>
        <v/>
      </c>
      <c r="AZ1328" s="35">
        <f>INDEX(AZ$297:AZ$313,$E1328)*$D1328</f>
        <v/>
      </c>
      <c r="BA1328" s="42">
        <f>SHADOWGJ(INDEX(BA$297:BA$313,$E1328),$D1328)</f>
        <v/>
      </c>
    </row>
    <row r="1329" hidden="1" outlineLevel="2">
      <c r="A1329" s="14" t="inlineStr">
        <is>
          <t>shp</t>
        </is>
      </c>
      <c r="B1329" s="14" t="inlineStr">
        <is>
          <t>die</t>
        </is>
      </c>
      <c r="C1329" s="14" t="inlineStr">
        <is>
          <t>avi</t>
        </is>
      </c>
      <c r="D1329" s="35">
        <f>INDEX(Inputs!$W$5:$W$132,MATCH($B1329&amp;"|"&amp;$C1329,Inputs!$A$5:$A$132,0))</f>
        <v/>
      </c>
      <c r="E1329" s="35">
        <f>INDEX(Inputs!$M$5:$M$132,MATCH($B1329&amp;"|"&amp;$C1329,Inputs!$A$5:$A$132,0))</f>
        <v/>
      </c>
      <c r="F1329" s="39" t="n"/>
      <c r="G1329" s="39" t="n"/>
      <c r="H1329" s="14">
        <f>INDEX(VarLab,MATCH($A1329,VarKey,0))&amp;INDEX(MemLab,MATCH($C1329&amp;"|"&amp;$B1329,MemKey,0))</f>
        <v/>
      </c>
      <c r="I1329" s="14">
        <f>INDEX(VarUnit,MATCH($A1329,VarKey,0))</f>
        <v/>
      </c>
      <c r="J1329" s="14">
        <f>INDEX(VarSrc,MATCH($A1329,VarKey,0))</f>
        <v/>
      </c>
      <c r="K1329" s="11">
        <f>CodePrefix&amp;$A1329&amp;IF($C1329="","","."&amp;$C1329&amp;"."&amp;$B1329)&amp;INDEX(VarEnd,MATCH($A1329,VarKey,0))&amp;K$5</f>
        <v/>
      </c>
      <c r="L1329" s="40">
        <f>INDEX(L$297:L$313,$E1329)*$D1329</f>
        <v/>
      </c>
      <c r="M1329" s="35">
        <f>INDEX(M$297:M$313,$E1329)*$D1329</f>
        <v/>
      </c>
      <c r="N1329" s="35">
        <f>INDEX(N$297:N$313,$E1329)*$D1329</f>
        <v/>
      </c>
      <c r="O1329" s="35">
        <f>INDEX(O$297:O$313,$E1329)*$D1329</f>
        <v/>
      </c>
      <c r="P1329" s="35">
        <f>INDEX(P$297:P$313,$E1329)*$D1329</f>
        <v/>
      </c>
      <c r="Q1329" s="35">
        <f>INDEX(Q$297:Q$313,$E1329)*$D1329</f>
        <v/>
      </c>
      <c r="R1329" s="35">
        <f>INDEX(R$297:R$313,$E1329)*$D1329</f>
        <v/>
      </c>
      <c r="S1329" s="35">
        <f>INDEX(S$297:S$313,$E1329)*$D1329</f>
        <v/>
      </c>
      <c r="T1329" s="35">
        <f>INDEX(T$297:T$313,$E1329)*$D1329</f>
        <v/>
      </c>
      <c r="U1329" s="35">
        <f>INDEX(U$297:U$313,$E1329)*$D1329</f>
        <v/>
      </c>
      <c r="V1329" s="35">
        <f>INDEX(V$297:V$313,$E1329)*$D1329</f>
        <v/>
      </c>
      <c r="W1329" s="35">
        <f>INDEX(W$297:W$313,$E1329)*$D1329</f>
        <v/>
      </c>
      <c r="X1329" s="35">
        <f>INDEX(X$297:X$313,$E1329)*$D1329</f>
        <v/>
      </c>
      <c r="Y1329" s="35">
        <f>INDEX(Y$297:Y$313,$E1329)*$D1329</f>
        <v/>
      </c>
      <c r="Z1329" s="35">
        <f>INDEX(Z$297:Z$313,$E1329)*$D1329</f>
        <v/>
      </c>
      <c r="AA1329" s="35">
        <f>INDEX(AA$297:AA$313,$E1329)*$D1329</f>
        <v/>
      </c>
      <c r="AB1329" s="35">
        <f>INDEX(AB$297:AB$313,$E1329)*$D1329</f>
        <v/>
      </c>
      <c r="AC1329" s="35">
        <f>INDEX(AC$297:AC$313,$E1329)*$D1329</f>
        <v/>
      </c>
      <c r="AD1329" s="35">
        <f>INDEX(AD$297:AD$313,$E1329)*$D1329</f>
        <v/>
      </c>
      <c r="AE1329" s="42">
        <f>SHADOWGJ(INDEX(AE$297:AE$313,$E1329),$D1329)</f>
        <v/>
      </c>
      <c r="AG1329" s="11">
        <f>CodePrefix&amp;$A1329&amp;IF($C1329="","","."&amp;$C1329&amp;"."&amp;$B1329)&amp;INDEX(VarEnd,MATCH($A1329,VarKey,0))&amp;AG$5</f>
        <v/>
      </c>
      <c r="AH1329" s="40">
        <f>INDEX(AH$297:AH$313,$E1329)*$D1329</f>
        <v/>
      </c>
      <c r="AI1329" s="35">
        <f>INDEX(AI$297:AI$313,$E1329)*$D1329</f>
        <v/>
      </c>
      <c r="AJ1329" s="35">
        <f>INDEX(AJ$297:AJ$313,$E1329)*$D1329</f>
        <v/>
      </c>
      <c r="AK1329" s="35">
        <f>INDEX(AK$297:AK$313,$E1329)*$D1329</f>
        <v/>
      </c>
      <c r="AL1329" s="35">
        <f>INDEX(AL$297:AL$313,$E1329)*$D1329</f>
        <v/>
      </c>
      <c r="AM1329" s="35">
        <f>INDEX(AM$297:AM$313,$E1329)*$D1329</f>
        <v/>
      </c>
      <c r="AN1329" s="35">
        <f>INDEX(AN$297:AN$313,$E1329)*$D1329</f>
        <v/>
      </c>
      <c r="AO1329" s="35">
        <f>INDEX(AO$297:AO$313,$E1329)*$D1329</f>
        <v/>
      </c>
      <c r="AP1329" s="35">
        <f>INDEX(AP$297:AP$313,$E1329)*$D1329</f>
        <v/>
      </c>
      <c r="AQ1329" s="35">
        <f>INDEX(AQ$297:AQ$313,$E1329)*$D1329</f>
        <v/>
      </c>
      <c r="AR1329" s="35">
        <f>INDEX(AR$297:AR$313,$E1329)*$D1329</f>
        <v/>
      </c>
      <c r="AS1329" s="35">
        <f>INDEX(AS$297:AS$313,$E1329)*$D1329</f>
        <v/>
      </c>
      <c r="AT1329" s="35">
        <f>INDEX(AT$297:AT$313,$E1329)*$D1329</f>
        <v/>
      </c>
      <c r="AU1329" s="35">
        <f>INDEX(AU$297:AU$313,$E1329)*$D1329</f>
        <v/>
      </c>
      <c r="AV1329" s="35">
        <f>INDEX(AV$297:AV$313,$E1329)*$D1329</f>
        <v/>
      </c>
      <c r="AW1329" s="35">
        <f>INDEX(AW$297:AW$313,$E1329)*$D1329</f>
        <v/>
      </c>
      <c r="AX1329" s="35">
        <f>INDEX(AX$297:AX$313,$E1329)*$D1329</f>
        <v/>
      </c>
      <c r="AY1329" s="35">
        <f>INDEX(AY$297:AY$313,$E1329)*$D1329</f>
        <v/>
      </c>
      <c r="AZ1329" s="35">
        <f>INDEX(AZ$297:AZ$313,$E1329)*$D1329</f>
        <v/>
      </c>
      <c r="BA1329" s="42">
        <f>SHADOWGJ(INDEX(BA$297:BA$313,$E1329),$D1329)</f>
        <v/>
      </c>
    </row>
    <row r="1330" hidden="1" outlineLevel="2">
      <c r="A1330" s="14" t="inlineStr">
        <is>
          <t>shp</t>
        </is>
      </c>
      <c r="B1330" s="14" t="inlineStr">
        <is>
          <t>lpg</t>
        </is>
      </c>
      <c r="C1330" s="14" t="inlineStr">
        <is>
          <t>avi</t>
        </is>
      </c>
      <c r="D1330" s="35">
        <f>INDEX(Inputs!$W$5:$W$132,MATCH($B1330&amp;"|"&amp;$C1330,Inputs!$A$5:$A$132,0))</f>
        <v/>
      </c>
      <c r="E1330" s="35">
        <f>INDEX(Inputs!$M$5:$M$132,MATCH($B1330&amp;"|"&amp;$C1330,Inputs!$A$5:$A$132,0))</f>
        <v/>
      </c>
      <c r="F1330" s="39" t="n"/>
      <c r="G1330" s="39" t="n"/>
      <c r="H1330" s="14">
        <f>INDEX(VarLab,MATCH($A1330,VarKey,0))&amp;INDEX(MemLab,MATCH($C1330&amp;"|"&amp;$B1330,MemKey,0))</f>
        <v/>
      </c>
      <c r="I1330" s="14">
        <f>INDEX(VarUnit,MATCH($A1330,VarKey,0))</f>
        <v/>
      </c>
      <c r="J1330" s="14">
        <f>INDEX(VarSrc,MATCH($A1330,VarKey,0))</f>
        <v/>
      </c>
      <c r="K1330" s="11">
        <f>CodePrefix&amp;$A1330&amp;IF($C1330="","","."&amp;$C1330&amp;"."&amp;$B1330)&amp;INDEX(VarEnd,MATCH($A1330,VarKey,0))&amp;K$5</f>
        <v/>
      </c>
      <c r="L1330" s="40">
        <f>INDEX(L$297:L$313,$E1330)*$D1330</f>
        <v/>
      </c>
      <c r="M1330" s="35">
        <f>INDEX(M$297:M$313,$E1330)*$D1330</f>
        <v/>
      </c>
      <c r="N1330" s="35">
        <f>INDEX(N$297:N$313,$E1330)*$D1330</f>
        <v/>
      </c>
      <c r="O1330" s="35">
        <f>INDEX(O$297:O$313,$E1330)*$D1330</f>
        <v/>
      </c>
      <c r="P1330" s="35">
        <f>INDEX(P$297:P$313,$E1330)*$D1330</f>
        <v/>
      </c>
      <c r="Q1330" s="35">
        <f>INDEX(Q$297:Q$313,$E1330)*$D1330</f>
        <v/>
      </c>
      <c r="R1330" s="35">
        <f>INDEX(R$297:R$313,$E1330)*$D1330</f>
        <v/>
      </c>
      <c r="S1330" s="35">
        <f>INDEX(S$297:S$313,$E1330)*$D1330</f>
        <v/>
      </c>
      <c r="T1330" s="35">
        <f>INDEX(T$297:T$313,$E1330)*$D1330</f>
        <v/>
      </c>
      <c r="U1330" s="35">
        <f>INDEX(U$297:U$313,$E1330)*$D1330</f>
        <v/>
      </c>
      <c r="V1330" s="35">
        <f>INDEX(V$297:V$313,$E1330)*$D1330</f>
        <v/>
      </c>
      <c r="W1330" s="35">
        <f>INDEX(W$297:W$313,$E1330)*$D1330</f>
        <v/>
      </c>
      <c r="X1330" s="35">
        <f>INDEX(X$297:X$313,$E1330)*$D1330</f>
        <v/>
      </c>
      <c r="Y1330" s="35">
        <f>INDEX(Y$297:Y$313,$E1330)*$D1330</f>
        <v/>
      </c>
      <c r="Z1330" s="35">
        <f>INDEX(Z$297:Z$313,$E1330)*$D1330</f>
        <v/>
      </c>
      <c r="AA1330" s="35">
        <f>INDEX(AA$297:AA$313,$E1330)*$D1330</f>
        <v/>
      </c>
      <c r="AB1330" s="35">
        <f>INDEX(AB$297:AB$313,$E1330)*$D1330</f>
        <v/>
      </c>
      <c r="AC1330" s="35">
        <f>INDEX(AC$297:AC$313,$E1330)*$D1330</f>
        <v/>
      </c>
      <c r="AD1330" s="35">
        <f>INDEX(AD$297:AD$313,$E1330)*$D1330</f>
        <v/>
      </c>
      <c r="AE1330" s="42">
        <f>SHADOWGJ(INDEX(AE$297:AE$313,$E1330),$D1330)</f>
        <v/>
      </c>
      <c r="AG1330" s="11">
        <f>CodePrefix&amp;$A1330&amp;IF($C1330="","","."&amp;$C1330&amp;"."&amp;$B1330)&amp;INDEX(VarEnd,MATCH($A1330,VarKey,0))&amp;AG$5</f>
        <v/>
      </c>
      <c r="AH1330" s="40">
        <f>INDEX(AH$297:AH$313,$E1330)*$D1330</f>
        <v/>
      </c>
      <c r="AI1330" s="35">
        <f>INDEX(AI$297:AI$313,$E1330)*$D1330</f>
        <v/>
      </c>
      <c r="AJ1330" s="35">
        <f>INDEX(AJ$297:AJ$313,$E1330)*$D1330</f>
        <v/>
      </c>
      <c r="AK1330" s="35">
        <f>INDEX(AK$297:AK$313,$E1330)*$D1330</f>
        <v/>
      </c>
      <c r="AL1330" s="35">
        <f>INDEX(AL$297:AL$313,$E1330)*$D1330</f>
        <v/>
      </c>
      <c r="AM1330" s="35">
        <f>INDEX(AM$297:AM$313,$E1330)*$D1330</f>
        <v/>
      </c>
      <c r="AN1330" s="35">
        <f>INDEX(AN$297:AN$313,$E1330)*$D1330</f>
        <v/>
      </c>
      <c r="AO1330" s="35">
        <f>INDEX(AO$297:AO$313,$E1330)*$D1330</f>
        <v/>
      </c>
      <c r="AP1330" s="35">
        <f>INDEX(AP$297:AP$313,$E1330)*$D1330</f>
        <v/>
      </c>
      <c r="AQ1330" s="35">
        <f>INDEX(AQ$297:AQ$313,$E1330)*$D1330</f>
        <v/>
      </c>
      <c r="AR1330" s="35">
        <f>INDEX(AR$297:AR$313,$E1330)*$D1330</f>
        <v/>
      </c>
      <c r="AS1330" s="35">
        <f>INDEX(AS$297:AS$313,$E1330)*$D1330</f>
        <v/>
      </c>
      <c r="AT1330" s="35">
        <f>INDEX(AT$297:AT$313,$E1330)*$D1330</f>
        <v/>
      </c>
      <c r="AU1330" s="35">
        <f>INDEX(AU$297:AU$313,$E1330)*$D1330</f>
        <v/>
      </c>
      <c r="AV1330" s="35">
        <f>INDEX(AV$297:AV$313,$E1330)*$D1330</f>
        <v/>
      </c>
      <c r="AW1330" s="35">
        <f>INDEX(AW$297:AW$313,$E1330)*$D1330</f>
        <v/>
      </c>
      <c r="AX1330" s="35">
        <f>INDEX(AX$297:AX$313,$E1330)*$D1330</f>
        <v/>
      </c>
      <c r="AY1330" s="35">
        <f>INDEX(AY$297:AY$313,$E1330)*$D1330</f>
        <v/>
      </c>
      <c r="AZ1330" s="35">
        <f>INDEX(AZ$297:AZ$313,$E1330)*$D1330</f>
        <v/>
      </c>
      <c r="BA1330" s="42">
        <f>SHADOWGJ(INDEX(BA$297:BA$313,$E1330),$D1330)</f>
        <v/>
      </c>
    </row>
    <row r="1331" hidden="1" outlineLevel="2">
      <c r="A1331" s="14" t="inlineStr">
        <is>
          <t>shp</t>
        </is>
      </c>
      <c r="B1331" s="14" t="inlineStr">
        <is>
          <t>ker</t>
        </is>
      </c>
      <c r="C1331" s="14" t="inlineStr">
        <is>
          <t>avi</t>
        </is>
      </c>
      <c r="D1331" s="35">
        <f>INDEX(Inputs!$W$5:$W$132,MATCH($B1331&amp;"|"&amp;$C1331,Inputs!$A$5:$A$132,0))</f>
        <v/>
      </c>
      <c r="E1331" s="35">
        <f>INDEX(Inputs!$M$5:$M$132,MATCH($B1331&amp;"|"&amp;$C1331,Inputs!$A$5:$A$132,0))</f>
        <v/>
      </c>
      <c r="F1331" s="39" t="n"/>
      <c r="G1331" s="39" t="n"/>
      <c r="H1331" s="14">
        <f>INDEX(VarLab,MATCH($A1331,VarKey,0))&amp;INDEX(MemLab,MATCH($C1331&amp;"|"&amp;$B1331,MemKey,0))</f>
        <v/>
      </c>
      <c r="I1331" s="14">
        <f>INDEX(VarUnit,MATCH($A1331,VarKey,0))</f>
        <v/>
      </c>
      <c r="J1331" s="14">
        <f>INDEX(VarSrc,MATCH($A1331,VarKey,0))</f>
        <v/>
      </c>
      <c r="K1331" s="11">
        <f>CodePrefix&amp;$A1331&amp;IF($C1331="","","."&amp;$C1331&amp;"."&amp;$B1331)&amp;INDEX(VarEnd,MATCH($A1331,VarKey,0))&amp;K$5</f>
        <v/>
      </c>
      <c r="L1331" s="40">
        <f>INDEX(L$297:L$313,$E1331)*$D1331</f>
        <v/>
      </c>
      <c r="M1331" s="35">
        <f>INDEX(M$297:M$313,$E1331)*$D1331</f>
        <v/>
      </c>
      <c r="N1331" s="35">
        <f>INDEX(N$297:N$313,$E1331)*$D1331</f>
        <v/>
      </c>
      <c r="O1331" s="35">
        <f>INDEX(O$297:O$313,$E1331)*$D1331</f>
        <v/>
      </c>
      <c r="P1331" s="35">
        <f>INDEX(P$297:P$313,$E1331)*$D1331</f>
        <v/>
      </c>
      <c r="Q1331" s="35">
        <f>INDEX(Q$297:Q$313,$E1331)*$D1331</f>
        <v/>
      </c>
      <c r="R1331" s="35">
        <f>INDEX(R$297:R$313,$E1331)*$D1331</f>
        <v/>
      </c>
      <c r="S1331" s="35">
        <f>INDEX(S$297:S$313,$E1331)*$D1331</f>
        <v/>
      </c>
      <c r="T1331" s="35">
        <f>INDEX(T$297:T$313,$E1331)*$D1331</f>
        <v/>
      </c>
      <c r="U1331" s="35">
        <f>INDEX(U$297:U$313,$E1331)*$D1331</f>
        <v/>
      </c>
      <c r="V1331" s="35">
        <f>INDEX(V$297:V$313,$E1331)*$D1331</f>
        <v/>
      </c>
      <c r="W1331" s="35">
        <f>INDEX(W$297:W$313,$E1331)*$D1331</f>
        <v/>
      </c>
      <c r="X1331" s="35">
        <f>INDEX(X$297:X$313,$E1331)*$D1331</f>
        <v/>
      </c>
      <c r="Y1331" s="35">
        <f>INDEX(Y$297:Y$313,$E1331)*$D1331</f>
        <v/>
      </c>
      <c r="Z1331" s="35">
        <f>INDEX(Z$297:Z$313,$E1331)*$D1331</f>
        <v/>
      </c>
      <c r="AA1331" s="35">
        <f>INDEX(AA$297:AA$313,$E1331)*$D1331</f>
        <v/>
      </c>
      <c r="AB1331" s="35">
        <f>INDEX(AB$297:AB$313,$E1331)*$D1331</f>
        <v/>
      </c>
      <c r="AC1331" s="35">
        <f>INDEX(AC$297:AC$313,$E1331)*$D1331</f>
        <v/>
      </c>
      <c r="AD1331" s="35">
        <f>INDEX(AD$297:AD$313,$E1331)*$D1331</f>
        <v/>
      </c>
      <c r="AE1331" s="42">
        <f>SHADOWGJ(INDEX(AE$297:AE$313,$E1331),$D1331)</f>
        <v/>
      </c>
      <c r="AG1331" s="11">
        <f>CodePrefix&amp;$A1331&amp;IF($C1331="","","."&amp;$C1331&amp;"."&amp;$B1331)&amp;INDEX(VarEnd,MATCH($A1331,VarKey,0))&amp;AG$5</f>
        <v/>
      </c>
      <c r="AH1331" s="40">
        <f>INDEX(AH$297:AH$313,$E1331)*$D1331</f>
        <v/>
      </c>
      <c r="AI1331" s="35">
        <f>INDEX(AI$297:AI$313,$E1331)*$D1331</f>
        <v/>
      </c>
      <c r="AJ1331" s="35">
        <f>INDEX(AJ$297:AJ$313,$E1331)*$D1331</f>
        <v/>
      </c>
      <c r="AK1331" s="35">
        <f>INDEX(AK$297:AK$313,$E1331)*$D1331</f>
        <v/>
      </c>
      <c r="AL1331" s="35">
        <f>INDEX(AL$297:AL$313,$E1331)*$D1331</f>
        <v/>
      </c>
      <c r="AM1331" s="35">
        <f>INDEX(AM$297:AM$313,$E1331)*$D1331</f>
        <v/>
      </c>
      <c r="AN1331" s="35">
        <f>INDEX(AN$297:AN$313,$E1331)*$D1331</f>
        <v/>
      </c>
      <c r="AO1331" s="35">
        <f>INDEX(AO$297:AO$313,$E1331)*$D1331</f>
        <v/>
      </c>
      <c r="AP1331" s="35">
        <f>INDEX(AP$297:AP$313,$E1331)*$D1331</f>
        <v/>
      </c>
      <c r="AQ1331" s="35">
        <f>INDEX(AQ$297:AQ$313,$E1331)*$D1331</f>
        <v/>
      </c>
      <c r="AR1331" s="35">
        <f>INDEX(AR$297:AR$313,$E1331)*$D1331</f>
        <v/>
      </c>
      <c r="AS1331" s="35">
        <f>INDEX(AS$297:AS$313,$E1331)*$D1331</f>
        <v/>
      </c>
      <c r="AT1331" s="35">
        <f>INDEX(AT$297:AT$313,$E1331)*$D1331</f>
        <v/>
      </c>
      <c r="AU1331" s="35">
        <f>INDEX(AU$297:AU$313,$E1331)*$D1331</f>
        <v/>
      </c>
      <c r="AV1331" s="35">
        <f>INDEX(AV$297:AV$313,$E1331)*$D1331</f>
        <v/>
      </c>
      <c r="AW1331" s="35">
        <f>INDEX(AW$297:AW$313,$E1331)*$D1331</f>
        <v/>
      </c>
      <c r="AX1331" s="35">
        <f>INDEX(AX$297:AX$313,$E1331)*$D1331</f>
        <v/>
      </c>
      <c r="AY1331" s="35">
        <f>INDEX(AY$297:AY$313,$E1331)*$D1331</f>
        <v/>
      </c>
      <c r="AZ1331" s="35">
        <f>INDEX(AZ$297:AZ$313,$E1331)*$D1331</f>
        <v/>
      </c>
      <c r="BA1331" s="42">
        <f>SHADOWGJ(INDEX(BA$297:BA$313,$E1331),$D1331)</f>
        <v/>
      </c>
    </row>
    <row r="1332" hidden="1" outlineLevel="2">
      <c r="A1332" s="14" t="inlineStr">
        <is>
          <t>shp</t>
        </is>
      </c>
      <c r="B1332" s="14" t="inlineStr">
        <is>
          <t>oop</t>
        </is>
      </c>
      <c r="C1332" s="14" t="inlineStr">
        <is>
          <t>avi</t>
        </is>
      </c>
      <c r="D1332" s="35">
        <f>INDEX(Inputs!$W$5:$W$132,MATCH($B1332&amp;"|"&amp;$C1332,Inputs!$A$5:$A$132,0))</f>
        <v/>
      </c>
      <c r="E1332" s="35">
        <f>INDEX(Inputs!$M$5:$M$132,MATCH($B1332&amp;"|"&amp;$C1332,Inputs!$A$5:$A$132,0))</f>
        <v/>
      </c>
      <c r="F1332" s="39" t="n"/>
      <c r="G1332" s="39" t="n"/>
      <c r="H1332" s="14">
        <f>INDEX(VarLab,MATCH($A1332,VarKey,0))&amp;INDEX(MemLab,MATCH($C1332&amp;"|"&amp;$B1332,MemKey,0))</f>
        <v/>
      </c>
      <c r="I1332" s="14">
        <f>INDEX(VarUnit,MATCH($A1332,VarKey,0))</f>
        <v/>
      </c>
      <c r="J1332" s="14">
        <f>INDEX(VarSrc,MATCH($A1332,VarKey,0))</f>
        <v/>
      </c>
      <c r="K1332" s="11">
        <f>CodePrefix&amp;$A1332&amp;IF($C1332="","","."&amp;$C1332&amp;"."&amp;$B1332)&amp;INDEX(VarEnd,MATCH($A1332,VarKey,0))&amp;K$5</f>
        <v/>
      </c>
      <c r="L1332" s="40">
        <f>INDEX(L$297:L$313,$E1332)*$D1332</f>
        <v/>
      </c>
      <c r="M1332" s="35">
        <f>INDEX(M$297:M$313,$E1332)*$D1332</f>
        <v/>
      </c>
      <c r="N1332" s="35">
        <f>INDEX(N$297:N$313,$E1332)*$D1332</f>
        <v/>
      </c>
      <c r="O1332" s="35">
        <f>INDEX(O$297:O$313,$E1332)*$D1332</f>
        <v/>
      </c>
      <c r="P1332" s="35">
        <f>INDEX(P$297:P$313,$E1332)*$D1332</f>
        <v/>
      </c>
      <c r="Q1332" s="35">
        <f>INDEX(Q$297:Q$313,$E1332)*$D1332</f>
        <v/>
      </c>
      <c r="R1332" s="35">
        <f>INDEX(R$297:R$313,$E1332)*$D1332</f>
        <v/>
      </c>
      <c r="S1332" s="35">
        <f>INDEX(S$297:S$313,$E1332)*$D1332</f>
        <v/>
      </c>
      <c r="T1332" s="35">
        <f>INDEX(T$297:T$313,$E1332)*$D1332</f>
        <v/>
      </c>
      <c r="U1332" s="35">
        <f>INDEX(U$297:U$313,$E1332)*$D1332</f>
        <v/>
      </c>
      <c r="V1332" s="35">
        <f>INDEX(V$297:V$313,$E1332)*$D1332</f>
        <v/>
      </c>
      <c r="W1332" s="35">
        <f>INDEX(W$297:W$313,$E1332)*$D1332</f>
        <v/>
      </c>
      <c r="X1332" s="35">
        <f>INDEX(X$297:X$313,$E1332)*$D1332</f>
        <v/>
      </c>
      <c r="Y1332" s="35">
        <f>INDEX(Y$297:Y$313,$E1332)*$D1332</f>
        <v/>
      </c>
      <c r="Z1332" s="35">
        <f>INDEX(Z$297:Z$313,$E1332)*$D1332</f>
        <v/>
      </c>
      <c r="AA1332" s="35">
        <f>INDEX(AA$297:AA$313,$E1332)*$D1332</f>
        <v/>
      </c>
      <c r="AB1332" s="35">
        <f>INDEX(AB$297:AB$313,$E1332)*$D1332</f>
        <v/>
      </c>
      <c r="AC1332" s="35">
        <f>INDEX(AC$297:AC$313,$E1332)*$D1332</f>
        <v/>
      </c>
      <c r="AD1332" s="35">
        <f>INDEX(AD$297:AD$313,$E1332)*$D1332</f>
        <v/>
      </c>
      <c r="AE1332" s="42">
        <f>SHADOWGJ(INDEX(AE$297:AE$313,$E1332),$D1332)</f>
        <v/>
      </c>
      <c r="AG1332" s="11">
        <f>CodePrefix&amp;$A1332&amp;IF($C1332="","","."&amp;$C1332&amp;"."&amp;$B1332)&amp;INDEX(VarEnd,MATCH($A1332,VarKey,0))&amp;AG$5</f>
        <v/>
      </c>
      <c r="AH1332" s="40">
        <f>INDEX(AH$297:AH$313,$E1332)*$D1332</f>
        <v/>
      </c>
      <c r="AI1332" s="35">
        <f>INDEX(AI$297:AI$313,$E1332)*$D1332</f>
        <v/>
      </c>
      <c r="AJ1332" s="35">
        <f>INDEX(AJ$297:AJ$313,$E1332)*$D1332</f>
        <v/>
      </c>
      <c r="AK1332" s="35">
        <f>INDEX(AK$297:AK$313,$E1332)*$D1332</f>
        <v/>
      </c>
      <c r="AL1332" s="35">
        <f>INDEX(AL$297:AL$313,$E1332)*$D1332</f>
        <v/>
      </c>
      <c r="AM1332" s="35">
        <f>INDEX(AM$297:AM$313,$E1332)*$D1332</f>
        <v/>
      </c>
      <c r="AN1332" s="35">
        <f>INDEX(AN$297:AN$313,$E1332)*$D1332</f>
        <v/>
      </c>
      <c r="AO1332" s="35">
        <f>INDEX(AO$297:AO$313,$E1332)*$D1332</f>
        <v/>
      </c>
      <c r="AP1332" s="35">
        <f>INDEX(AP$297:AP$313,$E1332)*$D1332</f>
        <v/>
      </c>
      <c r="AQ1332" s="35">
        <f>INDEX(AQ$297:AQ$313,$E1332)*$D1332</f>
        <v/>
      </c>
      <c r="AR1332" s="35">
        <f>INDEX(AR$297:AR$313,$E1332)*$D1332</f>
        <v/>
      </c>
      <c r="AS1332" s="35">
        <f>INDEX(AS$297:AS$313,$E1332)*$D1332</f>
        <v/>
      </c>
      <c r="AT1332" s="35">
        <f>INDEX(AT$297:AT$313,$E1332)*$D1332</f>
        <v/>
      </c>
      <c r="AU1332" s="35">
        <f>INDEX(AU$297:AU$313,$E1332)*$D1332</f>
        <v/>
      </c>
      <c r="AV1332" s="35">
        <f>INDEX(AV$297:AV$313,$E1332)*$D1332</f>
        <v/>
      </c>
      <c r="AW1332" s="35">
        <f>INDEX(AW$297:AW$313,$E1332)*$D1332</f>
        <v/>
      </c>
      <c r="AX1332" s="35">
        <f>INDEX(AX$297:AX$313,$E1332)*$D1332</f>
        <v/>
      </c>
      <c r="AY1332" s="35">
        <f>INDEX(AY$297:AY$313,$E1332)*$D1332</f>
        <v/>
      </c>
      <c r="AZ1332" s="35">
        <f>INDEX(AZ$297:AZ$313,$E1332)*$D1332</f>
        <v/>
      </c>
      <c r="BA1332" s="42">
        <f>SHADOWGJ(INDEX(BA$297:BA$313,$E1332),$D1332)</f>
        <v/>
      </c>
    </row>
    <row r="1333" hidden="1" outlineLevel="2">
      <c r="A1333" s="14" t="inlineStr">
        <is>
          <t>shp</t>
        </is>
      </c>
      <c r="B1333" s="14" t="inlineStr">
        <is>
          <t>bio</t>
        </is>
      </c>
      <c r="C1333" s="14" t="inlineStr">
        <is>
          <t>avi</t>
        </is>
      </c>
      <c r="D1333" s="35">
        <f>INDEX(Inputs!$W$5:$W$132,MATCH($B1333&amp;"|"&amp;$C1333,Inputs!$A$5:$A$132,0))</f>
        <v/>
      </c>
      <c r="E1333" s="35">
        <f>INDEX(Inputs!$M$5:$M$132,MATCH($B1333&amp;"|"&amp;$C1333,Inputs!$A$5:$A$132,0))</f>
        <v/>
      </c>
      <c r="F1333" s="39" t="n"/>
      <c r="G1333" s="39" t="n"/>
      <c r="H1333" s="14">
        <f>INDEX(VarLab,MATCH($A1333,VarKey,0))&amp;INDEX(MemLab,MATCH($C1333&amp;"|"&amp;$B1333,MemKey,0))</f>
        <v/>
      </c>
      <c r="I1333" s="14">
        <f>INDEX(VarUnit,MATCH($A1333,VarKey,0))</f>
        <v/>
      </c>
      <c r="J1333" s="14">
        <f>INDEX(VarSrc,MATCH($A1333,VarKey,0))</f>
        <v/>
      </c>
      <c r="K1333" s="11">
        <f>CodePrefix&amp;$A1333&amp;IF($C1333="","","."&amp;$C1333&amp;"."&amp;$B1333)&amp;INDEX(VarEnd,MATCH($A1333,VarKey,0))&amp;K$5</f>
        <v/>
      </c>
      <c r="L1333" s="40">
        <f>INDEX(L$297:L$313,$E1333)*$D1333</f>
        <v/>
      </c>
      <c r="M1333" s="35">
        <f>INDEX(M$297:M$313,$E1333)*$D1333</f>
        <v/>
      </c>
      <c r="N1333" s="35">
        <f>INDEX(N$297:N$313,$E1333)*$D1333</f>
        <v/>
      </c>
      <c r="O1333" s="35">
        <f>INDEX(O$297:O$313,$E1333)*$D1333</f>
        <v/>
      </c>
      <c r="P1333" s="35">
        <f>INDEX(P$297:P$313,$E1333)*$D1333</f>
        <v/>
      </c>
      <c r="Q1333" s="35">
        <f>INDEX(Q$297:Q$313,$E1333)*$D1333</f>
        <v/>
      </c>
      <c r="R1333" s="35">
        <f>INDEX(R$297:R$313,$E1333)*$D1333</f>
        <v/>
      </c>
      <c r="S1333" s="35">
        <f>INDEX(S$297:S$313,$E1333)*$D1333</f>
        <v/>
      </c>
      <c r="T1333" s="35">
        <f>INDEX(T$297:T$313,$E1333)*$D1333</f>
        <v/>
      </c>
      <c r="U1333" s="35">
        <f>INDEX(U$297:U$313,$E1333)*$D1333</f>
        <v/>
      </c>
      <c r="V1333" s="35">
        <f>INDEX(V$297:V$313,$E1333)*$D1333</f>
        <v/>
      </c>
      <c r="W1333" s="35">
        <f>INDEX(W$297:W$313,$E1333)*$D1333</f>
        <v/>
      </c>
      <c r="X1333" s="35">
        <f>INDEX(X$297:X$313,$E1333)*$D1333</f>
        <v/>
      </c>
      <c r="Y1333" s="35">
        <f>INDEX(Y$297:Y$313,$E1333)*$D1333</f>
        <v/>
      </c>
      <c r="Z1333" s="35">
        <f>INDEX(Z$297:Z$313,$E1333)*$D1333</f>
        <v/>
      </c>
      <c r="AA1333" s="35">
        <f>INDEX(AA$297:AA$313,$E1333)*$D1333</f>
        <v/>
      </c>
      <c r="AB1333" s="35">
        <f>INDEX(AB$297:AB$313,$E1333)*$D1333</f>
        <v/>
      </c>
      <c r="AC1333" s="35">
        <f>INDEX(AC$297:AC$313,$E1333)*$D1333</f>
        <v/>
      </c>
      <c r="AD1333" s="35">
        <f>INDEX(AD$297:AD$313,$E1333)*$D1333</f>
        <v/>
      </c>
      <c r="AE1333" s="42">
        <f>SHADOWGJ(INDEX(AE$297:AE$313,$E1333),$D1333)</f>
        <v/>
      </c>
      <c r="AG1333" s="11">
        <f>CodePrefix&amp;$A1333&amp;IF($C1333="","","."&amp;$C1333&amp;"."&amp;$B1333)&amp;INDEX(VarEnd,MATCH($A1333,VarKey,0))&amp;AG$5</f>
        <v/>
      </c>
      <c r="AH1333" s="40">
        <f>INDEX(AH$297:AH$313,$E1333)*$D1333</f>
        <v/>
      </c>
      <c r="AI1333" s="35">
        <f>INDEX(AI$297:AI$313,$E1333)*$D1333</f>
        <v/>
      </c>
      <c r="AJ1333" s="35">
        <f>INDEX(AJ$297:AJ$313,$E1333)*$D1333</f>
        <v/>
      </c>
      <c r="AK1333" s="35">
        <f>INDEX(AK$297:AK$313,$E1333)*$D1333</f>
        <v/>
      </c>
      <c r="AL1333" s="35">
        <f>INDEX(AL$297:AL$313,$E1333)*$D1333</f>
        <v/>
      </c>
      <c r="AM1333" s="35">
        <f>INDEX(AM$297:AM$313,$E1333)*$D1333</f>
        <v/>
      </c>
      <c r="AN1333" s="35">
        <f>INDEX(AN$297:AN$313,$E1333)*$D1333</f>
        <v/>
      </c>
      <c r="AO1333" s="35">
        <f>INDEX(AO$297:AO$313,$E1333)*$D1333</f>
        <v/>
      </c>
      <c r="AP1333" s="35">
        <f>INDEX(AP$297:AP$313,$E1333)*$D1333</f>
        <v/>
      </c>
      <c r="AQ1333" s="35">
        <f>INDEX(AQ$297:AQ$313,$E1333)*$D1333</f>
        <v/>
      </c>
      <c r="AR1333" s="35">
        <f>INDEX(AR$297:AR$313,$E1333)*$D1333</f>
        <v/>
      </c>
      <c r="AS1333" s="35">
        <f>INDEX(AS$297:AS$313,$E1333)*$D1333</f>
        <v/>
      </c>
      <c r="AT1333" s="35">
        <f>INDEX(AT$297:AT$313,$E1333)*$D1333</f>
        <v/>
      </c>
      <c r="AU1333" s="35">
        <f>INDEX(AU$297:AU$313,$E1333)*$D1333</f>
        <v/>
      </c>
      <c r="AV1333" s="35">
        <f>INDEX(AV$297:AV$313,$E1333)*$D1333</f>
        <v/>
      </c>
      <c r="AW1333" s="35">
        <f>INDEX(AW$297:AW$313,$E1333)*$D1333</f>
        <v/>
      </c>
      <c r="AX1333" s="35">
        <f>INDEX(AX$297:AX$313,$E1333)*$D1333</f>
        <v/>
      </c>
      <c r="AY1333" s="35">
        <f>INDEX(AY$297:AY$313,$E1333)*$D1333</f>
        <v/>
      </c>
      <c r="AZ1333" s="35">
        <f>INDEX(AZ$297:AZ$313,$E1333)*$D1333</f>
        <v/>
      </c>
      <c r="BA1333" s="42">
        <f>SHADOWGJ(INDEX(BA$297:BA$313,$E1333),$D1333)</f>
        <v/>
      </c>
    </row>
    <row r="1334" hidden="1" outlineLevel="2"/>
    <row r="1335" hidden="1" outlineLevel="2">
      <c r="A1335" s="14" t="inlineStr">
        <is>
          <t>ener</t>
        </is>
      </c>
      <c r="B1335" s="14" t="inlineStr">
        <is>
          <t>coa</t>
        </is>
      </c>
      <c r="C1335" s="14" t="inlineStr">
        <is>
          <t>avi</t>
        </is>
      </c>
      <c r="D1335" s="35">
        <f>INDEX(Inputs!$O$5:$O$132,MATCH($B1335&amp;"|"&amp;$C1335,Inputs!$A$5:$A$132,0))</f>
        <v/>
      </c>
      <c r="E1335" s="35">
        <f>INDEX(Inputs!$P$5:$P$132,MATCH($B1335&amp;"|"&amp;$C1335,Inputs!$A$5:$A$132,0))</f>
        <v/>
      </c>
      <c r="F1335" s="35">
        <f>INDEX(Inputs!$T$5:$T$132,MATCH($B1335&amp;"|"&amp;$C1335,Inputs!$A$5:$A$132,0))</f>
        <v/>
      </c>
      <c r="G1335" s="35">
        <f>INDEX(Inputs!$S$5:$S$132,MATCH($B1335&amp;"|"&amp;$C1335,Inputs!$A$5:$A$132,0))</f>
        <v/>
      </c>
      <c r="H1335" s="14">
        <f>INDEX(VarLab,MATCH($A1335,VarKey,0))&amp;INDEX(MemLab,MATCH($C1335&amp;"|"&amp;$B1335,MemKey,0))</f>
        <v/>
      </c>
      <c r="I1335" s="14">
        <f>INDEX(VarUnit,MATCH($A1335,VarKey,0))</f>
        <v/>
      </c>
      <c r="J1335" s="14">
        <f>INDEX(VarSrc,MATCH($A1335,VarKey,0))</f>
        <v/>
      </c>
      <c r="K1335" s="11">
        <f>CodePrefix&amp;$A1335&amp;IF($C1335="","","."&amp;$C1335&amp;"."&amp;$B1335)&amp;INDEX(VarEnd,MATCH($A1335,VarKey,0))&amp;K$5</f>
        <v/>
      </c>
      <c r="L1335" s="43">
        <f>INDEX(Inputs!$X$5:$X$132,MATCH($B1335&amp;"|"&amp;$C1335,Inputs!$A$5:$A$132,0))</f>
        <v/>
      </c>
      <c r="M1335" s="44">
        <f>L1335*$G1335*(1+M$7)^$D1335*(M1317/L1317)^$E1335*((M1317+M1326)/(L1317+L1326))^$F1335</f>
        <v/>
      </c>
      <c r="N1335" s="44">
        <f>M1335*$G1335*(1+N$7)^$D1335*(N1317/M1317)^$E1335*((N1317+N1326)/(M1317+M1326))^$F1335</f>
        <v/>
      </c>
      <c r="O1335" s="44">
        <f>N1335*$G1335*(1+O$7)^$D1335*(O1317/N1317)^$E1335*((O1317+O1326)/(N1317+N1326))^$F1335</f>
        <v/>
      </c>
      <c r="P1335" s="44">
        <f>O1335*$G1335*(1+P$7)^$D1335*(P1317/O1317)^$E1335*((P1317+P1326)/(O1317+O1326))^$F1335</f>
        <v/>
      </c>
      <c r="Q1335" s="44">
        <f>P1335*$G1335*(1+Q$7)^$D1335*(Q1317/P1317)^$E1335*((Q1317+Q1326)/(P1317+P1326))^$F1335</f>
        <v/>
      </c>
      <c r="R1335" s="44">
        <f>Q1335*$G1335*(1+R$7)^$D1335*(R1317/Q1317)^$E1335*((R1317+R1326)/(Q1317+Q1326))^$F1335</f>
        <v/>
      </c>
      <c r="S1335" s="44">
        <f>R1335*$G1335*(1+S$7)^$D1335*(S1317/R1317)^$E1335*((S1317+S1326)/(R1317+R1326))^$F1335</f>
        <v/>
      </c>
      <c r="T1335" s="44">
        <f>S1335*$G1335*(1+T$7)^$D1335*(T1317/S1317)^$E1335*((T1317+T1326)/(S1317+S1326))^$F1335</f>
        <v/>
      </c>
      <c r="U1335" s="44">
        <f>T1335*$G1335*(1+U$7)^$D1335*(U1317/T1317)^$E1335*((U1317+U1326)/(T1317+T1326))^$F1335</f>
        <v/>
      </c>
      <c r="V1335" s="44">
        <f>U1335*$G1335*(1+V$7)^$D1335*(V1317/U1317)^$E1335*((V1317+V1326)/(U1317+U1326))^$F1335</f>
        <v/>
      </c>
      <c r="W1335" s="44">
        <f>V1335*$G1335*(1+W$7)^$D1335*(W1317/V1317)^$E1335*((W1317+W1326)/(V1317+V1326))^$F1335</f>
        <v/>
      </c>
      <c r="X1335" s="44">
        <f>W1335*$G1335*(1+X$7)^$D1335*(X1317/W1317)^$E1335*((X1317+X1326)/(W1317+W1326))^$F1335</f>
        <v/>
      </c>
      <c r="Y1335" s="44">
        <f>X1335*$G1335*(1+Y$7)^$D1335*(Y1317/X1317)^$E1335*((Y1317+Y1326)/(X1317+X1326))^$F1335</f>
        <v/>
      </c>
      <c r="Z1335" s="44">
        <f>Y1335*$G1335*(1+Z$7)^$D1335*(Z1317/Y1317)^$E1335*((Z1317+Z1326)/(Y1317+Y1326))^$F1335</f>
        <v/>
      </c>
      <c r="AA1335" s="44">
        <f>Z1335*$G1335*(1+AA$7)^$D1335*(AA1317/Z1317)^$E1335*((AA1317+AA1326)/(Z1317+Z1326))^$F1335</f>
        <v/>
      </c>
      <c r="AB1335" s="44">
        <f>AA1335*$G1335*(1+AB$7)^$D1335*(AB1317/AA1317)^$E1335*((AB1317+AB1326)/(AA1317+AA1326))^$F1335</f>
        <v/>
      </c>
      <c r="AC1335" s="44">
        <f>AB1335*$G1335*(1+AC$7)^$D1335*(AC1317/AB1317)^$E1335*((AC1317+AC1326)/(AB1317+AB1326))^$F1335</f>
        <v/>
      </c>
      <c r="AD1335" s="44">
        <f>AC1335*$G1335*(1+AD$7)^$D1335*(AD1317/AC1317)^$E1335*((AD1317+AD1326)/(AC1317+AC1326))^$F1335</f>
        <v/>
      </c>
      <c r="AE1335" s="57">
        <f>FUELUSE(AD1335,AE1317,AD1317,AE1326,AD1326,AE$7,$D1335,$E1335,$F1335,$G1335)</f>
        <v/>
      </c>
      <c r="AG1335" s="11">
        <f>CodePrefix&amp;$A1335&amp;IF($C1335="","","."&amp;$C1335&amp;"."&amp;$B1335)&amp;INDEX(VarEnd,MATCH($A1335,VarKey,0))&amp;AG$5</f>
        <v/>
      </c>
      <c r="AH1335" s="43">
        <f>INDEX(Inputs!$X$5:$X$132,MATCH($B1335&amp;"|"&amp;$C1335,Inputs!$A$5:$A$132,0))</f>
        <v/>
      </c>
      <c r="AI1335" s="44">
        <f>AH1335*$G1335*(1+AI$7)^$D1335*(AI1317/AH1317)^$E1335*((AI1317+AI1326)/(AH1317+AH1326))^$F1335</f>
        <v/>
      </c>
      <c r="AJ1335" s="44">
        <f>AI1335*$G1335*(1+AJ$7)^$D1335*(AJ1317/AI1317)^$E1335*((AJ1317+AJ1326)/(AI1317+AI1326))^$F1335</f>
        <v/>
      </c>
      <c r="AK1335" s="44">
        <f>AJ1335*$G1335*(1+AK$7)^$D1335*(AK1317/AJ1317)^$E1335*((AK1317+AK1326)/(AJ1317+AJ1326))^$F1335</f>
        <v/>
      </c>
      <c r="AL1335" s="44">
        <f>AK1335*$G1335*(1+AL$7)^$D1335*(AL1317/AK1317)^$E1335*((AL1317+AL1326)/(AK1317+AK1326))^$F1335</f>
        <v/>
      </c>
      <c r="AM1335" s="44">
        <f>AL1335*$G1335*(1+AM$7)^$D1335*(AM1317/AL1317)^$E1335*((AM1317+AM1326)/(AL1317+AL1326))^$F1335</f>
        <v/>
      </c>
      <c r="AN1335" s="44">
        <f>AM1335*$G1335*(1+AN$7)^$D1335*(AN1317/AM1317)^$E1335*((AN1317+AN1326)/(AM1317+AM1326))^$F1335</f>
        <v/>
      </c>
      <c r="AO1335" s="44">
        <f>AN1335*$G1335*(1+AO$7)^$D1335*(AO1317/AN1317)^$E1335*((AO1317+AO1326)/(AN1317+AN1326))^$F1335</f>
        <v/>
      </c>
      <c r="AP1335" s="44">
        <f>AO1335*$G1335*(1+AP$7)^$D1335*(AP1317/AO1317)^$E1335*((AP1317+AP1326)/(AO1317+AO1326))^$F1335</f>
        <v/>
      </c>
      <c r="AQ1335" s="44">
        <f>AP1335*$G1335*(1+AQ$7)^$D1335*(AQ1317/AP1317)^$E1335*((AQ1317+AQ1326)/(AP1317+AP1326))^$F1335</f>
        <v/>
      </c>
      <c r="AR1335" s="44">
        <f>AQ1335*$G1335*(1+AR$7)^$D1335*(AR1317/AQ1317)^$E1335*((AR1317+AR1326)/(AQ1317+AQ1326))^$F1335</f>
        <v/>
      </c>
      <c r="AS1335" s="44">
        <f>AR1335*$G1335*(1+AS$7)^$D1335*(AS1317/AR1317)^$E1335*((AS1317+AS1326)/(AR1317+AR1326))^$F1335</f>
        <v/>
      </c>
      <c r="AT1335" s="44">
        <f>AS1335*$G1335*(1+AT$7)^$D1335*(AT1317/AS1317)^$E1335*((AT1317+AT1326)/(AS1317+AS1326))^$F1335</f>
        <v/>
      </c>
      <c r="AU1335" s="44">
        <f>AT1335*$G1335*(1+AU$7)^$D1335*(AU1317/AT1317)^$E1335*((AU1317+AU1326)/(AT1317+AT1326))^$F1335</f>
        <v/>
      </c>
      <c r="AV1335" s="44">
        <f>AU1335*$G1335*(1+AV$7)^$D1335*(AV1317/AU1317)^$E1335*((AV1317+AV1326)/(AU1317+AU1326))^$F1335</f>
        <v/>
      </c>
      <c r="AW1335" s="44">
        <f>AV1335*$G1335*(1+AW$7)^$D1335*(AW1317/AV1317)^$E1335*((AW1317+AW1326)/(AV1317+AV1326))^$F1335</f>
        <v/>
      </c>
      <c r="AX1335" s="44">
        <f>AW1335*$G1335*(1+AX$7)^$D1335*(AX1317/AW1317)^$E1335*((AX1317+AX1326)/(AW1317+AW1326))^$F1335</f>
        <v/>
      </c>
      <c r="AY1335" s="44">
        <f>AX1335*$G1335*(1+AY$7)^$D1335*(AY1317/AX1317)^$E1335*((AY1317+AY1326)/(AX1317+AX1326))^$F1335</f>
        <v/>
      </c>
      <c r="AZ1335" s="44">
        <f>AY1335*$G1335*(1+AZ$7)^$D1335*(AZ1317/AY1317)^$E1335*((AZ1317+AZ1326)/(AY1317+AY1326))^$F1335</f>
        <v/>
      </c>
      <c r="BA1335" s="57">
        <f>FUELUSE(AZ1335,BA1317,AZ1317,BA1326,AZ1326,BA$7,$D1335,$E1335,$F1335,$G1335)</f>
        <v/>
      </c>
    </row>
    <row r="1336" hidden="1" outlineLevel="2">
      <c r="A1336" s="14" t="inlineStr">
        <is>
          <t>ener</t>
        </is>
      </c>
      <c r="B1336" s="14" t="inlineStr">
        <is>
          <t>nga</t>
        </is>
      </c>
      <c r="C1336" s="14" t="inlineStr">
        <is>
          <t>avi</t>
        </is>
      </c>
      <c r="D1336" s="35">
        <f>INDEX(Inputs!$O$5:$O$132,MATCH($B1336&amp;"|"&amp;$C1336,Inputs!$A$5:$A$132,0))</f>
        <v/>
      </c>
      <c r="E1336" s="35">
        <f>INDEX(Inputs!$P$5:$P$132,MATCH($B1336&amp;"|"&amp;$C1336,Inputs!$A$5:$A$132,0))</f>
        <v/>
      </c>
      <c r="F1336" s="35">
        <f>INDEX(Inputs!$T$5:$T$132,MATCH($B1336&amp;"|"&amp;$C1336,Inputs!$A$5:$A$132,0))</f>
        <v/>
      </c>
      <c r="G1336" s="35">
        <f>INDEX(Inputs!$S$5:$S$132,MATCH($B1336&amp;"|"&amp;$C1336,Inputs!$A$5:$A$132,0))</f>
        <v/>
      </c>
      <c r="H1336" s="14">
        <f>INDEX(VarLab,MATCH($A1336,VarKey,0))&amp;INDEX(MemLab,MATCH($C1336&amp;"|"&amp;$B1336,MemKey,0))</f>
        <v/>
      </c>
      <c r="I1336" s="14">
        <f>INDEX(VarUnit,MATCH($A1336,VarKey,0))</f>
        <v/>
      </c>
      <c r="J1336" s="14">
        <f>INDEX(VarSrc,MATCH($A1336,VarKey,0))</f>
        <v/>
      </c>
      <c r="K1336" s="11">
        <f>CodePrefix&amp;$A1336&amp;IF($C1336="","","."&amp;$C1336&amp;"."&amp;$B1336)&amp;INDEX(VarEnd,MATCH($A1336,VarKey,0))&amp;K$5</f>
        <v/>
      </c>
      <c r="L1336" s="43">
        <f>INDEX(Inputs!$X$5:$X$132,MATCH($B1336&amp;"|"&amp;$C1336,Inputs!$A$5:$A$132,0))</f>
        <v/>
      </c>
      <c r="M1336" s="44">
        <f>L1336*$G1336*(1+M$7)^$D1336*(M1318/L1318)^$E1336*((M1318+M1327)/(L1318+L1327))^$F1336</f>
        <v/>
      </c>
      <c r="N1336" s="44">
        <f>M1336*$G1336*(1+N$7)^$D1336*(N1318/M1318)^$E1336*((N1318+N1327)/(M1318+M1327))^$F1336</f>
        <v/>
      </c>
      <c r="O1336" s="44">
        <f>N1336*$G1336*(1+O$7)^$D1336*(O1318/N1318)^$E1336*((O1318+O1327)/(N1318+N1327))^$F1336</f>
        <v/>
      </c>
      <c r="P1336" s="44">
        <f>O1336*$G1336*(1+P$7)^$D1336*(P1318/O1318)^$E1336*((P1318+P1327)/(O1318+O1327))^$F1336</f>
        <v/>
      </c>
      <c r="Q1336" s="44">
        <f>P1336*$G1336*(1+Q$7)^$D1336*(Q1318/P1318)^$E1336*((Q1318+Q1327)/(P1318+P1327))^$F1336</f>
        <v/>
      </c>
      <c r="R1336" s="44">
        <f>Q1336*$G1336*(1+R$7)^$D1336*(R1318/Q1318)^$E1336*((R1318+R1327)/(Q1318+Q1327))^$F1336</f>
        <v/>
      </c>
      <c r="S1336" s="44">
        <f>R1336*$G1336*(1+S$7)^$D1336*(S1318/R1318)^$E1336*((S1318+S1327)/(R1318+R1327))^$F1336</f>
        <v/>
      </c>
      <c r="T1336" s="44">
        <f>S1336*$G1336*(1+T$7)^$D1336*(T1318/S1318)^$E1336*((T1318+T1327)/(S1318+S1327))^$F1336</f>
        <v/>
      </c>
      <c r="U1336" s="44">
        <f>T1336*$G1336*(1+U$7)^$D1336*(U1318/T1318)^$E1336*((U1318+U1327)/(T1318+T1327))^$F1336</f>
        <v/>
      </c>
      <c r="V1336" s="44">
        <f>U1336*$G1336*(1+V$7)^$D1336*(V1318/U1318)^$E1336*((V1318+V1327)/(U1318+U1327))^$F1336</f>
        <v/>
      </c>
      <c r="W1336" s="44">
        <f>V1336*$G1336*(1+W$7)^$D1336*(W1318/V1318)^$E1336*((W1318+W1327)/(V1318+V1327))^$F1336</f>
        <v/>
      </c>
      <c r="X1336" s="44">
        <f>W1336*$G1336*(1+X$7)^$D1336*(X1318/W1318)^$E1336*((X1318+X1327)/(W1318+W1327))^$F1336</f>
        <v/>
      </c>
      <c r="Y1336" s="44">
        <f>X1336*$G1336*(1+Y$7)^$D1336*(Y1318/X1318)^$E1336*((Y1318+Y1327)/(X1318+X1327))^$F1336</f>
        <v/>
      </c>
      <c r="Z1336" s="44">
        <f>Y1336*$G1336*(1+Z$7)^$D1336*(Z1318/Y1318)^$E1336*((Z1318+Z1327)/(Y1318+Y1327))^$F1336</f>
        <v/>
      </c>
      <c r="AA1336" s="44">
        <f>Z1336*$G1336*(1+AA$7)^$D1336*(AA1318/Z1318)^$E1336*((AA1318+AA1327)/(Z1318+Z1327))^$F1336</f>
        <v/>
      </c>
      <c r="AB1336" s="44">
        <f>AA1336*$G1336*(1+AB$7)^$D1336*(AB1318/AA1318)^$E1336*((AB1318+AB1327)/(AA1318+AA1327))^$F1336</f>
        <v/>
      </c>
      <c r="AC1336" s="44">
        <f>AB1336*$G1336*(1+AC$7)^$D1336*(AC1318/AB1318)^$E1336*((AC1318+AC1327)/(AB1318+AB1327))^$F1336</f>
        <v/>
      </c>
      <c r="AD1336" s="44">
        <f>AC1336*$G1336*(1+AD$7)^$D1336*(AD1318/AC1318)^$E1336*((AD1318+AD1327)/(AC1318+AC1327))^$F1336</f>
        <v/>
      </c>
      <c r="AE1336" s="57">
        <f>FUELUSE(AD1336,AE1318,AD1318,AE1327,AD1327,AE$7,$D1336,$E1336,$F1336,$G1336)</f>
        <v/>
      </c>
      <c r="AG1336" s="11">
        <f>CodePrefix&amp;$A1336&amp;IF($C1336="","","."&amp;$C1336&amp;"."&amp;$B1336)&amp;INDEX(VarEnd,MATCH($A1336,VarKey,0))&amp;AG$5</f>
        <v/>
      </c>
      <c r="AH1336" s="43">
        <f>INDEX(Inputs!$X$5:$X$132,MATCH($B1336&amp;"|"&amp;$C1336,Inputs!$A$5:$A$132,0))</f>
        <v/>
      </c>
      <c r="AI1336" s="44">
        <f>AH1336*$G1336*(1+AI$7)^$D1336*(AI1318/AH1318)^$E1336*((AI1318+AI1327)/(AH1318+AH1327))^$F1336</f>
        <v/>
      </c>
      <c r="AJ1336" s="44">
        <f>AI1336*$G1336*(1+AJ$7)^$D1336*(AJ1318/AI1318)^$E1336*((AJ1318+AJ1327)/(AI1318+AI1327))^$F1336</f>
        <v/>
      </c>
      <c r="AK1336" s="44">
        <f>AJ1336*$G1336*(1+AK$7)^$D1336*(AK1318/AJ1318)^$E1336*((AK1318+AK1327)/(AJ1318+AJ1327))^$F1336</f>
        <v/>
      </c>
      <c r="AL1336" s="44">
        <f>AK1336*$G1336*(1+AL$7)^$D1336*(AL1318/AK1318)^$E1336*((AL1318+AL1327)/(AK1318+AK1327))^$F1336</f>
        <v/>
      </c>
      <c r="AM1336" s="44">
        <f>AL1336*$G1336*(1+AM$7)^$D1336*(AM1318/AL1318)^$E1336*((AM1318+AM1327)/(AL1318+AL1327))^$F1336</f>
        <v/>
      </c>
      <c r="AN1336" s="44">
        <f>AM1336*$G1336*(1+AN$7)^$D1336*(AN1318/AM1318)^$E1336*((AN1318+AN1327)/(AM1318+AM1327))^$F1336</f>
        <v/>
      </c>
      <c r="AO1336" s="44">
        <f>AN1336*$G1336*(1+AO$7)^$D1336*(AO1318/AN1318)^$E1336*((AO1318+AO1327)/(AN1318+AN1327))^$F1336</f>
        <v/>
      </c>
      <c r="AP1336" s="44">
        <f>AO1336*$G1336*(1+AP$7)^$D1336*(AP1318/AO1318)^$E1336*((AP1318+AP1327)/(AO1318+AO1327))^$F1336</f>
        <v/>
      </c>
      <c r="AQ1336" s="44">
        <f>AP1336*$G1336*(1+AQ$7)^$D1336*(AQ1318/AP1318)^$E1336*((AQ1318+AQ1327)/(AP1318+AP1327))^$F1336</f>
        <v/>
      </c>
      <c r="AR1336" s="44">
        <f>AQ1336*$G1336*(1+AR$7)^$D1336*(AR1318/AQ1318)^$E1336*((AR1318+AR1327)/(AQ1318+AQ1327))^$F1336</f>
        <v/>
      </c>
      <c r="AS1336" s="44">
        <f>AR1336*$G1336*(1+AS$7)^$D1336*(AS1318/AR1318)^$E1336*((AS1318+AS1327)/(AR1318+AR1327))^$F1336</f>
        <v/>
      </c>
      <c r="AT1336" s="44">
        <f>AS1336*$G1336*(1+AT$7)^$D1336*(AT1318/AS1318)^$E1336*((AT1318+AT1327)/(AS1318+AS1327))^$F1336</f>
        <v/>
      </c>
      <c r="AU1336" s="44">
        <f>AT1336*$G1336*(1+AU$7)^$D1336*(AU1318/AT1318)^$E1336*((AU1318+AU1327)/(AT1318+AT1327))^$F1336</f>
        <v/>
      </c>
      <c r="AV1336" s="44">
        <f>AU1336*$G1336*(1+AV$7)^$D1336*(AV1318/AU1318)^$E1336*((AV1318+AV1327)/(AU1318+AU1327))^$F1336</f>
        <v/>
      </c>
      <c r="AW1336" s="44">
        <f>AV1336*$G1336*(1+AW$7)^$D1336*(AW1318/AV1318)^$E1336*((AW1318+AW1327)/(AV1318+AV1327))^$F1336</f>
        <v/>
      </c>
      <c r="AX1336" s="44">
        <f>AW1336*$G1336*(1+AX$7)^$D1336*(AX1318/AW1318)^$E1336*((AX1318+AX1327)/(AW1318+AW1327))^$F1336</f>
        <v/>
      </c>
      <c r="AY1336" s="44">
        <f>AX1336*$G1336*(1+AY$7)^$D1336*(AY1318/AX1318)^$E1336*((AY1318+AY1327)/(AX1318+AX1327))^$F1336</f>
        <v/>
      </c>
      <c r="AZ1336" s="44">
        <f>AY1336*$G1336*(1+AZ$7)^$D1336*(AZ1318/AY1318)^$E1336*((AZ1318+AZ1327)/(AY1318+AY1327))^$F1336</f>
        <v/>
      </c>
      <c r="BA1336" s="57">
        <f>FUELUSE(AZ1336,BA1318,AZ1318,BA1327,AZ1327,BA$7,$D1336,$E1336,$F1336,$G1336)</f>
        <v/>
      </c>
    </row>
    <row r="1337" hidden="1" outlineLevel="2">
      <c r="A1337" s="14" t="inlineStr">
        <is>
          <t>ener</t>
        </is>
      </c>
      <c r="B1337" s="14" t="inlineStr">
        <is>
          <t>gso</t>
        </is>
      </c>
      <c r="C1337" s="14" t="inlineStr">
        <is>
          <t>avi</t>
        </is>
      </c>
      <c r="D1337" s="35">
        <f>INDEX(Inputs!$O$5:$O$132,MATCH($B1337&amp;"|"&amp;$C1337,Inputs!$A$5:$A$132,0))</f>
        <v/>
      </c>
      <c r="E1337" s="35">
        <f>INDEX(Inputs!$P$5:$P$132,MATCH($B1337&amp;"|"&amp;$C1337,Inputs!$A$5:$A$132,0))</f>
        <v/>
      </c>
      <c r="F1337" s="35">
        <f>INDEX(Inputs!$T$5:$T$132,MATCH($B1337&amp;"|"&amp;$C1337,Inputs!$A$5:$A$132,0))</f>
        <v/>
      </c>
      <c r="G1337" s="35">
        <f>INDEX(Inputs!$S$5:$S$132,MATCH($B1337&amp;"|"&amp;$C1337,Inputs!$A$5:$A$132,0))</f>
        <v/>
      </c>
      <c r="H1337" s="14">
        <f>INDEX(VarLab,MATCH($A1337,VarKey,0))&amp;INDEX(MemLab,MATCH($C1337&amp;"|"&amp;$B1337,MemKey,0))</f>
        <v/>
      </c>
      <c r="I1337" s="14">
        <f>INDEX(VarUnit,MATCH($A1337,VarKey,0))</f>
        <v/>
      </c>
      <c r="J1337" s="14">
        <f>INDEX(VarSrc,MATCH($A1337,VarKey,0))</f>
        <v/>
      </c>
      <c r="K1337" s="11">
        <f>CodePrefix&amp;$A1337&amp;IF($C1337="","","."&amp;$C1337&amp;"."&amp;$B1337)&amp;INDEX(VarEnd,MATCH($A1337,VarKey,0))&amp;K$5</f>
        <v/>
      </c>
      <c r="L1337" s="43">
        <f>INDEX(Inputs!$X$5:$X$132,MATCH($B1337&amp;"|"&amp;$C1337,Inputs!$A$5:$A$132,0))</f>
        <v/>
      </c>
      <c r="M1337" s="44">
        <f>L1337*$G1337*(1+M$7)^$D1337*(M1319/L1319)^$E1337*((M1319+M1328)/(L1319+L1328))^$F1337</f>
        <v/>
      </c>
      <c r="N1337" s="44">
        <f>M1337*$G1337*(1+N$7)^$D1337*(N1319/M1319)^$E1337*((N1319+N1328)/(M1319+M1328))^$F1337</f>
        <v/>
      </c>
      <c r="O1337" s="44">
        <f>N1337*$G1337*(1+O$7)^$D1337*(O1319/N1319)^$E1337*((O1319+O1328)/(N1319+N1328))^$F1337</f>
        <v/>
      </c>
      <c r="P1337" s="44">
        <f>O1337*$G1337*(1+P$7)^$D1337*(P1319/O1319)^$E1337*((P1319+P1328)/(O1319+O1328))^$F1337</f>
        <v/>
      </c>
      <c r="Q1337" s="44">
        <f>P1337*$G1337*(1+Q$7)^$D1337*(Q1319/P1319)^$E1337*((Q1319+Q1328)/(P1319+P1328))^$F1337</f>
        <v/>
      </c>
      <c r="R1337" s="44">
        <f>Q1337*$G1337*(1+R$7)^$D1337*(R1319/Q1319)^$E1337*((R1319+R1328)/(Q1319+Q1328))^$F1337</f>
        <v/>
      </c>
      <c r="S1337" s="44">
        <f>R1337*$G1337*(1+S$7)^$D1337*(S1319/R1319)^$E1337*((S1319+S1328)/(R1319+R1328))^$F1337</f>
        <v/>
      </c>
      <c r="T1337" s="44">
        <f>S1337*$G1337*(1+T$7)^$D1337*(T1319/S1319)^$E1337*((T1319+T1328)/(S1319+S1328))^$F1337</f>
        <v/>
      </c>
      <c r="U1337" s="44">
        <f>T1337*$G1337*(1+U$7)^$D1337*(U1319/T1319)^$E1337*((U1319+U1328)/(T1319+T1328))^$F1337</f>
        <v/>
      </c>
      <c r="V1337" s="44">
        <f>U1337*$G1337*(1+V$7)^$D1337*(V1319/U1319)^$E1337*((V1319+V1328)/(U1319+U1328))^$F1337</f>
        <v/>
      </c>
      <c r="W1337" s="44">
        <f>V1337*$G1337*(1+W$7)^$D1337*(W1319/V1319)^$E1337*((W1319+W1328)/(V1319+V1328))^$F1337</f>
        <v/>
      </c>
      <c r="X1337" s="44">
        <f>W1337*$G1337*(1+X$7)^$D1337*(X1319/W1319)^$E1337*((X1319+X1328)/(W1319+W1328))^$F1337</f>
        <v/>
      </c>
      <c r="Y1337" s="44">
        <f>X1337*$G1337*(1+Y$7)^$D1337*(Y1319/X1319)^$E1337*((Y1319+Y1328)/(X1319+X1328))^$F1337</f>
        <v/>
      </c>
      <c r="Z1337" s="44">
        <f>Y1337*$G1337*(1+Z$7)^$D1337*(Z1319/Y1319)^$E1337*((Z1319+Z1328)/(Y1319+Y1328))^$F1337</f>
        <v/>
      </c>
      <c r="AA1337" s="44">
        <f>Z1337*$G1337*(1+AA$7)^$D1337*(AA1319/Z1319)^$E1337*((AA1319+AA1328)/(Z1319+Z1328))^$F1337</f>
        <v/>
      </c>
      <c r="AB1337" s="44">
        <f>AA1337*$G1337*(1+AB$7)^$D1337*(AB1319/AA1319)^$E1337*((AB1319+AB1328)/(AA1319+AA1328))^$F1337</f>
        <v/>
      </c>
      <c r="AC1337" s="44">
        <f>AB1337*$G1337*(1+AC$7)^$D1337*(AC1319/AB1319)^$E1337*((AC1319+AC1328)/(AB1319+AB1328))^$F1337</f>
        <v/>
      </c>
      <c r="AD1337" s="44">
        <f>AC1337*$G1337*(1+AD$7)^$D1337*(AD1319/AC1319)^$E1337*((AD1319+AD1328)/(AC1319+AC1328))^$F1337</f>
        <v/>
      </c>
      <c r="AE1337" s="57">
        <f>FUELUSE(AD1337,AE1319,AD1319,AE1328,AD1328,AE$7,$D1337,$E1337,$F1337,$G1337)</f>
        <v/>
      </c>
      <c r="AG1337" s="11">
        <f>CodePrefix&amp;$A1337&amp;IF($C1337="","","."&amp;$C1337&amp;"."&amp;$B1337)&amp;INDEX(VarEnd,MATCH($A1337,VarKey,0))&amp;AG$5</f>
        <v/>
      </c>
      <c r="AH1337" s="43">
        <f>INDEX(Inputs!$X$5:$X$132,MATCH($B1337&amp;"|"&amp;$C1337,Inputs!$A$5:$A$132,0))</f>
        <v/>
      </c>
      <c r="AI1337" s="44">
        <f>AH1337*$G1337*(1+AI$7)^$D1337*(AI1319/AH1319)^$E1337*((AI1319+AI1328)/(AH1319+AH1328))^$F1337</f>
        <v/>
      </c>
      <c r="AJ1337" s="44">
        <f>AI1337*$G1337*(1+AJ$7)^$D1337*(AJ1319/AI1319)^$E1337*((AJ1319+AJ1328)/(AI1319+AI1328))^$F1337</f>
        <v/>
      </c>
      <c r="AK1337" s="44">
        <f>AJ1337*$G1337*(1+AK$7)^$D1337*(AK1319/AJ1319)^$E1337*((AK1319+AK1328)/(AJ1319+AJ1328))^$F1337</f>
        <v/>
      </c>
      <c r="AL1337" s="44">
        <f>AK1337*$G1337*(1+AL$7)^$D1337*(AL1319/AK1319)^$E1337*((AL1319+AL1328)/(AK1319+AK1328))^$F1337</f>
        <v/>
      </c>
      <c r="AM1337" s="44">
        <f>AL1337*$G1337*(1+AM$7)^$D1337*(AM1319/AL1319)^$E1337*((AM1319+AM1328)/(AL1319+AL1328))^$F1337</f>
        <v/>
      </c>
      <c r="AN1337" s="44">
        <f>AM1337*$G1337*(1+AN$7)^$D1337*(AN1319/AM1319)^$E1337*((AN1319+AN1328)/(AM1319+AM1328))^$F1337</f>
        <v/>
      </c>
      <c r="AO1337" s="44">
        <f>AN1337*$G1337*(1+AO$7)^$D1337*(AO1319/AN1319)^$E1337*((AO1319+AO1328)/(AN1319+AN1328))^$F1337</f>
        <v/>
      </c>
      <c r="AP1337" s="44">
        <f>AO1337*$G1337*(1+AP$7)^$D1337*(AP1319/AO1319)^$E1337*((AP1319+AP1328)/(AO1319+AO1328))^$F1337</f>
        <v/>
      </c>
      <c r="AQ1337" s="44">
        <f>AP1337*$G1337*(1+AQ$7)^$D1337*(AQ1319/AP1319)^$E1337*((AQ1319+AQ1328)/(AP1319+AP1328))^$F1337</f>
        <v/>
      </c>
      <c r="AR1337" s="44">
        <f>AQ1337*$G1337*(1+AR$7)^$D1337*(AR1319/AQ1319)^$E1337*((AR1319+AR1328)/(AQ1319+AQ1328))^$F1337</f>
        <v/>
      </c>
      <c r="AS1337" s="44">
        <f>AR1337*$G1337*(1+AS$7)^$D1337*(AS1319/AR1319)^$E1337*((AS1319+AS1328)/(AR1319+AR1328))^$F1337</f>
        <v/>
      </c>
      <c r="AT1337" s="44">
        <f>AS1337*$G1337*(1+AT$7)^$D1337*(AT1319/AS1319)^$E1337*((AT1319+AT1328)/(AS1319+AS1328))^$F1337</f>
        <v/>
      </c>
      <c r="AU1337" s="44">
        <f>AT1337*$G1337*(1+AU$7)^$D1337*(AU1319/AT1319)^$E1337*((AU1319+AU1328)/(AT1319+AT1328))^$F1337</f>
        <v/>
      </c>
      <c r="AV1337" s="44">
        <f>AU1337*$G1337*(1+AV$7)^$D1337*(AV1319/AU1319)^$E1337*((AV1319+AV1328)/(AU1319+AU1328))^$F1337</f>
        <v/>
      </c>
      <c r="AW1337" s="44">
        <f>AV1337*$G1337*(1+AW$7)^$D1337*(AW1319/AV1319)^$E1337*((AW1319+AW1328)/(AV1319+AV1328))^$F1337</f>
        <v/>
      </c>
      <c r="AX1337" s="44">
        <f>AW1337*$G1337*(1+AX$7)^$D1337*(AX1319/AW1319)^$E1337*((AX1319+AX1328)/(AW1319+AW1328))^$F1337</f>
        <v/>
      </c>
      <c r="AY1337" s="44">
        <f>AX1337*$G1337*(1+AY$7)^$D1337*(AY1319/AX1319)^$E1337*((AY1319+AY1328)/(AX1319+AX1328))^$F1337</f>
        <v/>
      </c>
      <c r="AZ1337" s="44">
        <f>AY1337*$G1337*(1+AZ$7)^$D1337*(AZ1319/AY1319)^$E1337*((AZ1319+AZ1328)/(AY1319+AY1328))^$F1337</f>
        <v/>
      </c>
      <c r="BA1337" s="57">
        <f>FUELUSE(AZ1337,BA1319,AZ1319,BA1328,AZ1328,BA$7,$D1337,$E1337,$F1337,$G1337)</f>
        <v/>
      </c>
    </row>
    <row r="1338" hidden="1" outlineLevel="2">
      <c r="A1338" s="14" t="inlineStr">
        <is>
          <t>ener</t>
        </is>
      </c>
      <c r="B1338" s="14" t="inlineStr">
        <is>
          <t>die</t>
        </is>
      </c>
      <c r="C1338" s="14" t="inlineStr">
        <is>
          <t>avi</t>
        </is>
      </c>
      <c r="D1338" s="35">
        <f>INDEX(Inputs!$O$5:$O$132,MATCH($B1338&amp;"|"&amp;$C1338,Inputs!$A$5:$A$132,0))</f>
        <v/>
      </c>
      <c r="E1338" s="35">
        <f>INDEX(Inputs!$P$5:$P$132,MATCH($B1338&amp;"|"&amp;$C1338,Inputs!$A$5:$A$132,0))</f>
        <v/>
      </c>
      <c r="F1338" s="35">
        <f>INDEX(Inputs!$T$5:$T$132,MATCH($B1338&amp;"|"&amp;$C1338,Inputs!$A$5:$A$132,0))</f>
        <v/>
      </c>
      <c r="G1338" s="35">
        <f>INDEX(Inputs!$S$5:$S$132,MATCH($B1338&amp;"|"&amp;$C1338,Inputs!$A$5:$A$132,0))</f>
        <v/>
      </c>
      <c r="H1338" s="14">
        <f>INDEX(VarLab,MATCH($A1338,VarKey,0))&amp;INDEX(MemLab,MATCH($C1338&amp;"|"&amp;$B1338,MemKey,0))</f>
        <v/>
      </c>
      <c r="I1338" s="14">
        <f>INDEX(VarUnit,MATCH($A1338,VarKey,0))</f>
        <v/>
      </c>
      <c r="J1338" s="14">
        <f>INDEX(VarSrc,MATCH($A1338,VarKey,0))</f>
        <v/>
      </c>
      <c r="K1338" s="11">
        <f>CodePrefix&amp;$A1338&amp;IF($C1338="","","."&amp;$C1338&amp;"."&amp;$B1338)&amp;INDEX(VarEnd,MATCH($A1338,VarKey,0))&amp;K$5</f>
        <v/>
      </c>
      <c r="L1338" s="43">
        <f>INDEX(Inputs!$X$5:$X$132,MATCH($B1338&amp;"|"&amp;$C1338,Inputs!$A$5:$A$132,0))</f>
        <v/>
      </c>
      <c r="M1338" s="44">
        <f>L1338*$G1338*(1+M$7)^$D1338*(M1320/L1320)^$E1338*((M1320+M1329)/(L1320+L1329))^$F1338</f>
        <v/>
      </c>
      <c r="N1338" s="44">
        <f>M1338*$G1338*(1+N$7)^$D1338*(N1320/M1320)^$E1338*((N1320+N1329)/(M1320+M1329))^$F1338</f>
        <v/>
      </c>
      <c r="O1338" s="44">
        <f>N1338*$G1338*(1+O$7)^$D1338*(O1320/N1320)^$E1338*((O1320+O1329)/(N1320+N1329))^$F1338</f>
        <v/>
      </c>
      <c r="P1338" s="44">
        <f>O1338*$G1338*(1+P$7)^$D1338*(P1320/O1320)^$E1338*((P1320+P1329)/(O1320+O1329))^$F1338</f>
        <v/>
      </c>
      <c r="Q1338" s="44">
        <f>P1338*$G1338*(1+Q$7)^$D1338*(Q1320/P1320)^$E1338*((Q1320+Q1329)/(P1320+P1329))^$F1338</f>
        <v/>
      </c>
      <c r="R1338" s="44">
        <f>Q1338*$G1338*(1+R$7)^$D1338*(R1320/Q1320)^$E1338*((R1320+R1329)/(Q1320+Q1329))^$F1338</f>
        <v/>
      </c>
      <c r="S1338" s="44">
        <f>R1338*$G1338*(1+S$7)^$D1338*(S1320/R1320)^$E1338*((S1320+S1329)/(R1320+R1329))^$F1338</f>
        <v/>
      </c>
      <c r="T1338" s="44">
        <f>S1338*$G1338*(1+T$7)^$D1338*(T1320/S1320)^$E1338*((T1320+T1329)/(S1320+S1329))^$F1338</f>
        <v/>
      </c>
      <c r="U1338" s="44">
        <f>T1338*$G1338*(1+U$7)^$D1338*(U1320/T1320)^$E1338*((U1320+U1329)/(T1320+T1329))^$F1338</f>
        <v/>
      </c>
      <c r="V1338" s="44">
        <f>U1338*$G1338*(1+V$7)^$D1338*(V1320/U1320)^$E1338*((V1320+V1329)/(U1320+U1329))^$F1338</f>
        <v/>
      </c>
      <c r="W1338" s="44">
        <f>V1338*$G1338*(1+W$7)^$D1338*(W1320/V1320)^$E1338*((W1320+W1329)/(V1320+V1329))^$F1338</f>
        <v/>
      </c>
      <c r="X1338" s="44">
        <f>W1338*$G1338*(1+X$7)^$D1338*(X1320/W1320)^$E1338*((X1320+X1329)/(W1320+W1329))^$F1338</f>
        <v/>
      </c>
      <c r="Y1338" s="44">
        <f>X1338*$G1338*(1+Y$7)^$D1338*(Y1320/X1320)^$E1338*((Y1320+Y1329)/(X1320+X1329))^$F1338</f>
        <v/>
      </c>
      <c r="Z1338" s="44">
        <f>Y1338*$G1338*(1+Z$7)^$D1338*(Z1320/Y1320)^$E1338*((Z1320+Z1329)/(Y1320+Y1329))^$F1338</f>
        <v/>
      </c>
      <c r="AA1338" s="44">
        <f>Z1338*$G1338*(1+AA$7)^$D1338*(AA1320/Z1320)^$E1338*((AA1320+AA1329)/(Z1320+Z1329))^$F1338</f>
        <v/>
      </c>
      <c r="AB1338" s="44">
        <f>AA1338*$G1338*(1+AB$7)^$D1338*(AB1320/AA1320)^$E1338*((AB1320+AB1329)/(AA1320+AA1329))^$F1338</f>
        <v/>
      </c>
      <c r="AC1338" s="44">
        <f>AB1338*$G1338*(1+AC$7)^$D1338*(AC1320/AB1320)^$E1338*((AC1320+AC1329)/(AB1320+AB1329))^$F1338</f>
        <v/>
      </c>
      <c r="AD1338" s="44">
        <f>AC1338*$G1338*(1+AD$7)^$D1338*(AD1320/AC1320)^$E1338*((AD1320+AD1329)/(AC1320+AC1329))^$F1338</f>
        <v/>
      </c>
      <c r="AE1338" s="57">
        <f>FUELUSE(AD1338,AE1320,AD1320,AE1329,AD1329,AE$7,$D1338,$E1338,$F1338,$G1338)</f>
        <v/>
      </c>
      <c r="AG1338" s="11">
        <f>CodePrefix&amp;$A1338&amp;IF($C1338="","","."&amp;$C1338&amp;"."&amp;$B1338)&amp;INDEX(VarEnd,MATCH($A1338,VarKey,0))&amp;AG$5</f>
        <v/>
      </c>
      <c r="AH1338" s="43">
        <f>INDEX(Inputs!$X$5:$X$132,MATCH($B1338&amp;"|"&amp;$C1338,Inputs!$A$5:$A$132,0))</f>
        <v/>
      </c>
      <c r="AI1338" s="44">
        <f>AH1338*$G1338*(1+AI$7)^$D1338*(AI1320/AH1320)^$E1338*((AI1320+AI1329)/(AH1320+AH1329))^$F1338</f>
        <v/>
      </c>
      <c r="AJ1338" s="44">
        <f>AI1338*$G1338*(1+AJ$7)^$D1338*(AJ1320/AI1320)^$E1338*((AJ1320+AJ1329)/(AI1320+AI1329))^$F1338</f>
        <v/>
      </c>
      <c r="AK1338" s="44">
        <f>AJ1338*$G1338*(1+AK$7)^$D1338*(AK1320/AJ1320)^$E1338*((AK1320+AK1329)/(AJ1320+AJ1329))^$F1338</f>
        <v/>
      </c>
      <c r="AL1338" s="44">
        <f>AK1338*$G1338*(1+AL$7)^$D1338*(AL1320/AK1320)^$E1338*((AL1320+AL1329)/(AK1320+AK1329))^$F1338</f>
        <v/>
      </c>
      <c r="AM1338" s="44">
        <f>AL1338*$G1338*(1+AM$7)^$D1338*(AM1320/AL1320)^$E1338*((AM1320+AM1329)/(AL1320+AL1329))^$F1338</f>
        <v/>
      </c>
      <c r="AN1338" s="44">
        <f>AM1338*$G1338*(1+AN$7)^$D1338*(AN1320/AM1320)^$E1338*((AN1320+AN1329)/(AM1320+AM1329))^$F1338</f>
        <v/>
      </c>
      <c r="AO1338" s="44">
        <f>AN1338*$G1338*(1+AO$7)^$D1338*(AO1320/AN1320)^$E1338*((AO1320+AO1329)/(AN1320+AN1329))^$F1338</f>
        <v/>
      </c>
      <c r="AP1338" s="44">
        <f>AO1338*$G1338*(1+AP$7)^$D1338*(AP1320/AO1320)^$E1338*((AP1320+AP1329)/(AO1320+AO1329))^$F1338</f>
        <v/>
      </c>
      <c r="AQ1338" s="44">
        <f>AP1338*$G1338*(1+AQ$7)^$D1338*(AQ1320/AP1320)^$E1338*((AQ1320+AQ1329)/(AP1320+AP1329))^$F1338</f>
        <v/>
      </c>
      <c r="AR1338" s="44">
        <f>AQ1338*$G1338*(1+AR$7)^$D1338*(AR1320/AQ1320)^$E1338*((AR1320+AR1329)/(AQ1320+AQ1329))^$F1338</f>
        <v/>
      </c>
      <c r="AS1338" s="44">
        <f>AR1338*$G1338*(1+AS$7)^$D1338*(AS1320/AR1320)^$E1338*((AS1320+AS1329)/(AR1320+AR1329))^$F1338</f>
        <v/>
      </c>
      <c r="AT1338" s="44">
        <f>AS1338*$G1338*(1+AT$7)^$D1338*(AT1320/AS1320)^$E1338*((AT1320+AT1329)/(AS1320+AS1329))^$F1338</f>
        <v/>
      </c>
      <c r="AU1338" s="44">
        <f>AT1338*$G1338*(1+AU$7)^$D1338*(AU1320/AT1320)^$E1338*((AU1320+AU1329)/(AT1320+AT1329))^$F1338</f>
        <v/>
      </c>
      <c r="AV1338" s="44">
        <f>AU1338*$G1338*(1+AV$7)^$D1338*(AV1320/AU1320)^$E1338*((AV1320+AV1329)/(AU1320+AU1329))^$F1338</f>
        <v/>
      </c>
      <c r="AW1338" s="44">
        <f>AV1338*$G1338*(1+AW$7)^$D1338*(AW1320/AV1320)^$E1338*((AW1320+AW1329)/(AV1320+AV1329))^$F1338</f>
        <v/>
      </c>
      <c r="AX1338" s="44">
        <f>AW1338*$G1338*(1+AX$7)^$D1338*(AX1320/AW1320)^$E1338*((AX1320+AX1329)/(AW1320+AW1329))^$F1338</f>
        <v/>
      </c>
      <c r="AY1338" s="44">
        <f>AX1338*$G1338*(1+AY$7)^$D1338*(AY1320/AX1320)^$E1338*((AY1320+AY1329)/(AX1320+AX1329))^$F1338</f>
        <v/>
      </c>
      <c r="AZ1338" s="44">
        <f>AY1338*$G1338*(1+AZ$7)^$D1338*(AZ1320/AY1320)^$E1338*((AZ1320+AZ1329)/(AY1320+AY1329))^$F1338</f>
        <v/>
      </c>
      <c r="BA1338" s="57">
        <f>FUELUSE(AZ1338,BA1320,AZ1320,BA1329,AZ1329,BA$7,$D1338,$E1338,$F1338,$G1338)</f>
        <v/>
      </c>
    </row>
    <row r="1339" hidden="1" outlineLevel="2">
      <c r="A1339" s="14" t="inlineStr">
        <is>
          <t>ener</t>
        </is>
      </c>
      <c r="B1339" s="14" t="inlineStr">
        <is>
          <t>lpg</t>
        </is>
      </c>
      <c r="C1339" s="14" t="inlineStr">
        <is>
          <t>avi</t>
        </is>
      </c>
      <c r="D1339" s="35">
        <f>INDEX(Inputs!$O$5:$O$132,MATCH($B1339&amp;"|"&amp;$C1339,Inputs!$A$5:$A$132,0))</f>
        <v/>
      </c>
      <c r="E1339" s="35">
        <f>INDEX(Inputs!$P$5:$P$132,MATCH($B1339&amp;"|"&amp;$C1339,Inputs!$A$5:$A$132,0))</f>
        <v/>
      </c>
      <c r="F1339" s="35">
        <f>INDEX(Inputs!$T$5:$T$132,MATCH($B1339&amp;"|"&amp;$C1339,Inputs!$A$5:$A$132,0))</f>
        <v/>
      </c>
      <c r="G1339" s="35">
        <f>INDEX(Inputs!$S$5:$S$132,MATCH($B1339&amp;"|"&amp;$C1339,Inputs!$A$5:$A$132,0))</f>
        <v/>
      </c>
      <c r="H1339" s="14">
        <f>INDEX(VarLab,MATCH($A1339,VarKey,0))&amp;INDEX(MemLab,MATCH($C1339&amp;"|"&amp;$B1339,MemKey,0))</f>
        <v/>
      </c>
      <c r="I1339" s="14">
        <f>INDEX(VarUnit,MATCH($A1339,VarKey,0))</f>
        <v/>
      </c>
      <c r="J1339" s="14">
        <f>INDEX(VarSrc,MATCH($A1339,VarKey,0))</f>
        <v/>
      </c>
      <c r="K1339" s="11">
        <f>CodePrefix&amp;$A1339&amp;IF($C1339="","","."&amp;$C1339&amp;"."&amp;$B1339)&amp;INDEX(VarEnd,MATCH($A1339,VarKey,0))&amp;K$5</f>
        <v/>
      </c>
      <c r="L1339" s="43">
        <f>INDEX(Inputs!$X$5:$X$132,MATCH($B1339&amp;"|"&amp;$C1339,Inputs!$A$5:$A$132,0))</f>
        <v/>
      </c>
      <c r="M1339" s="44">
        <f>L1339*$G1339*(1+M$7)^$D1339*(M1321/L1321)^$E1339*((M1321+M1330)/(L1321+L1330))^$F1339</f>
        <v/>
      </c>
      <c r="N1339" s="44">
        <f>M1339*$G1339*(1+N$7)^$D1339*(N1321/M1321)^$E1339*((N1321+N1330)/(M1321+M1330))^$F1339</f>
        <v/>
      </c>
      <c r="O1339" s="44">
        <f>N1339*$G1339*(1+O$7)^$D1339*(O1321/N1321)^$E1339*((O1321+O1330)/(N1321+N1330))^$F1339</f>
        <v/>
      </c>
      <c r="P1339" s="44">
        <f>O1339*$G1339*(1+P$7)^$D1339*(P1321/O1321)^$E1339*((P1321+P1330)/(O1321+O1330))^$F1339</f>
        <v/>
      </c>
      <c r="Q1339" s="44">
        <f>P1339*$G1339*(1+Q$7)^$D1339*(Q1321/P1321)^$E1339*((Q1321+Q1330)/(P1321+P1330))^$F1339</f>
        <v/>
      </c>
      <c r="R1339" s="44">
        <f>Q1339*$G1339*(1+R$7)^$D1339*(R1321/Q1321)^$E1339*((R1321+R1330)/(Q1321+Q1330))^$F1339</f>
        <v/>
      </c>
      <c r="S1339" s="44">
        <f>R1339*$G1339*(1+S$7)^$D1339*(S1321/R1321)^$E1339*((S1321+S1330)/(R1321+R1330))^$F1339</f>
        <v/>
      </c>
      <c r="T1339" s="44">
        <f>S1339*$G1339*(1+T$7)^$D1339*(T1321/S1321)^$E1339*((T1321+T1330)/(S1321+S1330))^$F1339</f>
        <v/>
      </c>
      <c r="U1339" s="44">
        <f>T1339*$G1339*(1+U$7)^$D1339*(U1321/T1321)^$E1339*((U1321+U1330)/(T1321+T1330))^$F1339</f>
        <v/>
      </c>
      <c r="V1339" s="44">
        <f>U1339*$G1339*(1+V$7)^$D1339*(V1321/U1321)^$E1339*((V1321+V1330)/(U1321+U1330))^$F1339</f>
        <v/>
      </c>
      <c r="W1339" s="44">
        <f>V1339*$G1339*(1+W$7)^$D1339*(W1321/V1321)^$E1339*((W1321+W1330)/(V1321+V1330))^$F1339</f>
        <v/>
      </c>
      <c r="X1339" s="44">
        <f>W1339*$G1339*(1+X$7)^$D1339*(X1321/W1321)^$E1339*((X1321+X1330)/(W1321+W1330))^$F1339</f>
        <v/>
      </c>
      <c r="Y1339" s="44">
        <f>X1339*$G1339*(1+Y$7)^$D1339*(Y1321/X1321)^$E1339*((Y1321+Y1330)/(X1321+X1330))^$F1339</f>
        <v/>
      </c>
      <c r="Z1339" s="44">
        <f>Y1339*$G1339*(1+Z$7)^$D1339*(Z1321/Y1321)^$E1339*((Z1321+Z1330)/(Y1321+Y1330))^$F1339</f>
        <v/>
      </c>
      <c r="AA1339" s="44">
        <f>Z1339*$G1339*(1+AA$7)^$D1339*(AA1321/Z1321)^$E1339*((AA1321+AA1330)/(Z1321+Z1330))^$F1339</f>
        <v/>
      </c>
      <c r="AB1339" s="44">
        <f>AA1339*$G1339*(1+AB$7)^$D1339*(AB1321/AA1321)^$E1339*((AB1321+AB1330)/(AA1321+AA1330))^$F1339</f>
        <v/>
      </c>
      <c r="AC1339" s="44">
        <f>AB1339*$G1339*(1+AC$7)^$D1339*(AC1321/AB1321)^$E1339*((AC1321+AC1330)/(AB1321+AB1330))^$F1339</f>
        <v/>
      </c>
      <c r="AD1339" s="44">
        <f>AC1339*$G1339*(1+AD$7)^$D1339*(AD1321/AC1321)^$E1339*((AD1321+AD1330)/(AC1321+AC1330))^$F1339</f>
        <v/>
      </c>
      <c r="AE1339" s="57">
        <f>FUELUSE(AD1339,AE1321,AD1321,AE1330,AD1330,AE$7,$D1339,$E1339,$F1339,$G1339)</f>
        <v/>
      </c>
      <c r="AG1339" s="11">
        <f>CodePrefix&amp;$A1339&amp;IF($C1339="","","."&amp;$C1339&amp;"."&amp;$B1339)&amp;INDEX(VarEnd,MATCH($A1339,VarKey,0))&amp;AG$5</f>
        <v/>
      </c>
      <c r="AH1339" s="43">
        <f>INDEX(Inputs!$X$5:$X$132,MATCH($B1339&amp;"|"&amp;$C1339,Inputs!$A$5:$A$132,0))</f>
        <v/>
      </c>
      <c r="AI1339" s="44">
        <f>AH1339*$G1339*(1+AI$7)^$D1339*(AI1321/AH1321)^$E1339*((AI1321+AI1330)/(AH1321+AH1330))^$F1339</f>
        <v/>
      </c>
      <c r="AJ1339" s="44">
        <f>AI1339*$G1339*(1+AJ$7)^$D1339*(AJ1321/AI1321)^$E1339*((AJ1321+AJ1330)/(AI1321+AI1330))^$F1339</f>
        <v/>
      </c>
      <c r="AK1339" s="44">
        <f>AJ1339*$G1339*(1+AK$7)^$D1339*(AK1321/AJ1321)^$E1339*((AK1321+AK1330)/(AJ1321+AJ1330))^$F1339</f>
        <v/>
      </c>
      <c r="AL1339" s="44">
        <f>AK1339*$G1339*(1+AL$7)^$D1339*(AL1321/AK1321)^$E1339*((AL1321+AL1330)/(AK1321+AK1330))^$F1339</f>
        <v/>
      </c>
      <c r="AM1339" s="44">
        <f>AL1339*$G1339*(1+AM$7)^$D1339*(AM1321/AL1321)^$E1339*((AM1321+AM1330)/(AL1321+AL1330))^$F1339</f>
        <v/>
      </c>
      <c r="AN1339" s="44">
        <f>AM1339*$G1339*(1+AN$7)^$D1339*(AN1321/AM1321)^$E1339*((AN1321+AN1330)/(AM1321+AM1330))^$F1339</f>
        <v/>
      </c>
      <c r="AO1339" s="44">
        <f>AN1339*$G1339*(1+AO$7)^$D1339*(AO1321/AN1321)^$E1339*((AO1321+AO1330)/(AN1321+AN1330))^$F1339</f>
        <v/>
      </c>
      <c r="AP1339" s="44">
        <f>AO1339*$G1339*(1+AP$7)^$D1339*(AP1321/AO1321)^$E1339*((AP1321+AP1330)/(AO1321+AO1330))^$F1339</f>
        <v/>
      </c>
      <c r="AQ1339" s="44">
        <f>AP1339*$G1339*(1+AQ$7)^$D1339*(AQ1321/AP1321)^$E1339*((AQ1321+AQ1330)/(AP1321+AP1330))^$F1339</f>
        <v/>
      </c>
      <c r="AR1339" s="44">
        <f>AQ1339*$G1339*(1+AR$7)^$D1339*(AR1321/AQ1321)^$E1339*((AR1321+AR1330)/(AQ1321+AQ1330))^$F1339</f>
        <v/>
      </c>
      <c r="AS1339" s="44">
        <f>AR1339*$G1339*(1+AS$7)^$D1339*(AS1321/AR1321)^$E1339*((AS1321+AS1330)/(AR1321+AR1330))^$F1339</f>
        <v/>
      </c>
      <c r="AT1339" s="44">
        <f>AS1339*$G1339*(1+AT$7)^$D1339*(AT1321/AS1321)^$E1339*((AT1321+AT1330)/(AS1321+AS1330))^$F1339</f>
        <v/>
      </c>
      <c r="AU1339" s="44">
        <f>AT1339*$G1339*(1+AU$7)^$D1339*(AU1321/AT1321)^$E1339*((AU1321+AU1330)/(AT1321+AT1330))^$F1339</f>
        <v/>
      </c>
      <c r="AV1339" s="44">
        <f>AU1339*$G1339*(1+AV$7)^$D1339*(AV1321/AU1321)^$E1339*((AV1321+AV1330)/(AU1321+AU1330))^$F1339</f>
        <v/>
      </c>
      <c r="AW1339" s="44">
        <f>AV1339*$G1339*(1+AW$7)^$D1339*(AW1321/AV1321)^$E1339*((AW1321+AW1330)/(AV1321+AV1330))^$F1339</f>
        <v/>
      </c>
      <c r="AX1339" s="44">
        <f>AW1339*$G1339*(1+AX$7)^$D1339*(AX1321/AW1321)^$E1339*((AX1321+AX1330)/(AW1321+AW1330))^$F1339</f>
        <v/>
      </c>
      <c r="AY1339" s="44">
        <f>AX1339*$G1339*(1+AY$7)^$D1339*(AY1321/AX1321)^$E1339*((AY1321+AY1330)/(AX1321+AX1330))^$F1339</f>
        <v/>
      </c>
      <c r="AZ1339" s="44">
        <f>AY1339*$G1339*(1+AZ$7)^$D1339*(AZ1321/AY1321)^$E1339*((AZ1321+AZ1330)/(AY1321+AY1330))^$F1339</f>
        <v/>
      </c>
      <c r="BA1339" s="57">
        <f>FUELUSE(AZ1339,BA1321,AZ1321,BA1330,AZ1330,BA$7,$D1339,$E1339,$F1339,$G1339)</f>
        <v/>
      </c>
    </row>
    <row r="1340" hidden="1" outlineLevel="2">
      <c r="A1340" s="14" t="inlineStr">
        <is>
          <t>ener</t>
        </is>
      </c>
      <c r="B1340" s="14" t="inlineStr">
        <is>
          <t>ker</t>
        </is>
      </c>
      <c r="C1340" s="14" t="inlineStr">
        <is>
          <t>avi</t>
        </is>
      </c>
      <c r="D1340" s="35">
        <f>INDEX(Inputs!$O$5:$O$132,MATCH($B1340&amp;"|"&amp;$C1340,Inputs!$A$5:$A$132,0))</f>
        <v/>
      </c>
      <c r="E1340" s="35">
        <f>INDEX(Inputs!$P$5:$P$132,MATCH($B1340&amp;"|"&amp;$C1340,Inputs!$A$5:$A$132,0))</f>
        <v/>
      </c>
      <c r="F1340" s="35">
        <f>INDEX(Inputs!$T$5:$T$132,MATCH($B1340&amp;"|"&amp;$C1340,Inputs!$A$5:$A$132,0))</f>
        <v/>
      </c>
      <c r="G1340" s="35">
        <f>INDEX(Inputs!$S$5:$S$132,MATCH($B1340&amp;"|"&amp;$C1340,Inputs!$A$5:$A$132,0))</f>
        <v/>
      </c>
      <c r="H1340" s="14">
        <f>INDEX(VarLab,MATCH($A1340,VarKey,0))&amp;INDEX(MemLab,MATCH($C1340&amp;"|"&amp;$B1340,MemKey,0))</f>
        <v/>
      </c>
      <c r="I1340" s="14">
        <f>INDEX(VarUnit,MATCH($A1340,VarKey,0))</f>
        <v/>
      </c>
      <c r="J1340" s="14">
        <f>INDEX(VarSrc,MATCH($A1340,VarKey,0))</f>
        <v/>
      </c>
      <c r="K1340" s="11">
        <f>CodePrefix&amp;$A1340&amp;IF($C1340="","","."&amp;$C1340&amp;"."&amp;$B1340)&amp;INDEX(VarEnd,MATCH($A1340,VarKey,0))&amp;K$5</f>
        <v/>
      </c>
      <c r="L1340" s="43">
        <f>INDEX(Inputs!$X$5:$X$132,MATCH($B1340&amp;"|"&amp;$C1340,Inputs!$A$5:$A$132,0))</f>
        <v/>
      </c>
      <c r="M1340" s="44">
        <f>L1340*$G1340*(1+M$7)^$D1340*(M1322/L1322)^$E1340*((M1322+M1331)/(L1322+L1331))^$F1340</f>
        <v/>
      </c>
      <c r="N1340" s="44">
        <f>M1340*$G1340*(1+N$7)^$D1340*(N1322/M1322)^$E1340*((N1322+N1331)/(M1322+M1331))^$F1340</f>
        <v/>
      </c>
      <c r="O1340" s="44">
        <f>N1340*$G1340*(1+O$7)^$D1340*(O1322/N1322)^$E1340*((O1322+O1331)/(N1322+N1331))^$F1340</f>
        <v/>
      </c>
      <c r="P1340" s="44">
        <f>O1340*$G1340*(1+P$7)^$D1340*(P1322/O1322)^$E1340*((P1322+P1331)/(O1322+O1331))^$F1340</f>
        <v/>
      </c>
      <c r="Q1340" s="44">
        <f>P1340*$G1340*(1+Q$7)^$D1340*(Q1322/P1322)^$E1340*((Q1322+Q1331)/(P1322+P1331))^$F1340</f>
        <v/>
      </c>
      <c r="R1340" s="44">
        <f>Q1340*$G1340*(1+R$7)^$D1340*(R1322/Q1322)^$E1340*((R1322+R1331)/(Q1322+Q1331))^$F1340</f>
        <v/>
      </c>
      <c r="S1340" s="44">
        <f>R1340*$G1340*(1+S$7)^$D1340*(S1322/R1322)^$E1340*((S1322+S1331)/(R1322+R1331))^$F1340</f>
        <v/>
      </c>
      <c r="T1340" s="44">
        <f>S1340*$G1340*(1+T$7)^$D1340*(T1322/S1322)^$E1340*((T1322+T1331)/(S1322+S1331))^$F1340</f>
        <v/>
      </c>
      <c r="U1340" s="44">
        <f>T1340*$G1340*(1+U$7)^$D1340*(U1322/T1322)^$E1340*((U1322+U1331)/(T1322+T1331))^$F1340</f>
        <v/>
      </c>
      <c r="V1340" s="44">
        <f>U1340*$G1340*(1+V$7)^$D1340*(V1322/U1322)^$E1340*((V1322+V1331)/(U1322+U1331))^$F1340</f>
        <v/>
      </c>
      <c r="W1340" s="44">
        <f>V1340*$G1340*(1+W$7)^$D1340*(W1322/V1322)^$E1340*((W1322+W1331)/(V1322+V1331))^$F1340</f>
        <v/>
      </c>
      <c r="X1340" s="44">
        <f>W1340*$G1340*(1+X$7)^$D1340*(X1322/W1322)^$E1340*((X1322+X1331)/(W1322+W1331))^$F1340</f>
        <v/>
      </c>
      <c r="Y1340" s="44">
        <f>X1340*$G1340*(1+Y$7)^$D1340*(Y1322/X1322)^$E1340*((Y1322+Y1331)/(X1322+X1331))^$F1340</f>
        <v/>
      </c>
      <c r="Z1340" s="44">
        <f>Y1340*$G1340*(1+Z$7)^$D1340*(Z1322/Y1322)^$E1340*((Z1322+Z1331)/(Y1322+Y1331))^$F1340</f>
        <v/>
      </c>
      <c r="AA1340" s="44">
        <f>Z1340*$G1340*(1+AA$7)^$D1340*(AA1322/Z1322)^$E1340*((AA1322+AA1331)/(Z1322+Z1331))^$F1340</f>
        <v/>
      </c>
      <c r="AB1340" s="44">
        <f>AA1340*$G1340*(1+AB$7)^$D1340*(AB1322/AA1322)^$E1340*((AB1322+AB1331)/(AA1322+AA1331))^$F1340</f>
        <v/>
      </c>
      <c r="AC1340" s="44">
        <f>AB1340*$G1340*(1+AC$7)^$D1340*(AC1322/AB1322)^$E1340*((AC1322+AC1331)/(AB1322+AB1331))^$F1340</f>
        <v/>
      </c>
      <c r="AD1340" s="44">
        <f>AC1340*$G1340*(1+AD$7)^$D1340*(AD1322/AC1322)^$E1340*((AD1322+AD1331)/(AC1322+AC1331))^$F1340</f>
        <v/>
      </c>
      <c r="AE1340" s="57">
        <f>FUELUSE(AD1340,AE1322,AD1322,AE1331,AD1331,AE$7,$D1340,$E1340,$F1340,$G1340)</f>
        <v/>
      </c>
      <c r="AG1340" s="11">
        <f>CodePrefix&amp;$A1340&amp;IF($C1340="","","."&amp;$C1340&amp;"."&amp;$B1340)&amp;INDEX(VarEnd,MATCH($A1340,VarKey,0))&amp;AG$5</f>
        <v/>
      </c>
      <c r="AH1340" s="43">
        <f>INDEX(Inputs!$X$5:$X$132,MATCH($B1340&amp;"|"&amp;$C1340,Inputs!$A$5:$A$132,0))</f>
        <v/>
      </c>
      <c r="AI1340" s="44">
        <f>AH1340*$G1340*(1+AI$7)^$D1340*(AI1322/AH1322)^$E1340*((AI1322+AI1331)/(AH1322+AH1331))^$F1340</f>
        <v/>
      </c>
      <c r="AJ1340" s="44">
        <f>AI1340*$G1340*(1+AJ$7)^$D1340*(AJ1322/AI1322)^$E1340*((AJ1322+AJ1331)/(AI1322+AI1331))^$F1340</f>
        <v/>
      </c>
      <c r="AK1340" s="44">
        <f>AJ1340*$G1340*(1+AK$7)^$D1340*(AK1322/AJ1322)^$E1340*((AK1322+AK1331)/(AJ1322+AJ1331))^$F1340</f>
        <v/>
      </c>
      <c r="AL1340" s="44">
        <f>AK1340*$G1340*(1+AL$7)^$D1340*(AL1322/AK1322)^$E1340*((AL1322+AL1331)/(AK1322+AK1331))^$F1340</f>
        <v/>
      </c>
      <c r="AM1340" s="44">
        <f>AL1340*$G1340*(1+AM$7)^$D1340*(AM1322/AL1322)^$E1340*((AM1322+AM1331)/(AL1322+AL1331))^$F1340</f>
        <v/>
      </c>
      <c r="AN1340" s="44">
        <f>AM1340*$G1340*(1+AN$7)^$D1340*(AN1322/AM1322)^$E1340*((AN1322+AN1331)/(AM1322+AM1331))^$F1340</f>
        <v/>
      </c>
      <c r="AO1340" s="44">
        <f>AN1340*$G1340*(1+AO$7)^$D1340*(AO1322/AN1322)^$E1340*((AO1322+AO1331)/(AN1322+AN1331))^$F1340</f>
        <v/>
      </c>
      <c r="AP1340" s="44">
        <f>AO1340*$G1340*(1+AP$7)^$D1340*(AP1322/AO1322)^$E1340*((AP1322+AP1331)/(AO1322+AO1331))^$F1340</f>
        <v/>
      </c>
      <c r="AQ1340" s="44">
        <f>AP1340*$G1340*(1+AQ$7)^$D1340*(AQ1322/AP1322)^$E1340*((AQ1322+AQ1331)/(AP1322+AP1331))^$F1340</f>
        <v/>
      </c>
      <c r="AR1340" s="44">
        <f>AQ1340*$G1340*(1+AR$7)^$D1340*(AR1322/AQ1322)^$E1340*((AR1322+AR1331)/(AQ1322+AQ1331))^$F1340</f>
        <v/>
      </c>
      <c r="AS1340" s="44">
        <f>AR1340*$G1340*(1+AS$7)^$D1340*(AS1322/AR1322)^$E1340*((AS1322+AS1331)/(AR1322+AR1331))^$F1340</f>
        <v/>
      </c>
      <c r="AT1340" s="44">
        <f>AS1340*$G1340*(1+AT$7)^$D1340*(AT1322/AS1322)^$E1340*((AT1322+AT1331)/(AS1322+AS1331))^$F1340</f>
        <v/>
      </c>
      <c r="AU1340" s="44">
        <f>AT1340*$G1340*(1+AU$7)^$D1340*(AU1322/AT1322)^$E1340*((AU1322+AU1331)/(AT1322+AT1331))^$F1340</f>
        <v/>
      </c>
      <c r="AV1340" s="44">
        <f>AU1340*$G1340*(1+AV$7)^$D1340*(AV1322/AU1322)^$E1340*((AV1322+AV1331)/(AU1322+AU1331))^$F1340</f>
        <v/>
      </c>
      <c r="AW1340" s="44">
        <f>AV1340*$G1340*(1+AW$7)^$D1340*(AW1322/AV1322)^$E1340*((AW1322+AW1331)/(AV1322+AV1331))^$F1340</f>
        <v/>
      </c>
      <c r="AX1340" s="44">
        <f>AW1340*$G1340*(1+AX$7)^$D1340*(AX1322/AW1322)^$E1340*((AX1322+AX1331)/(AW1322+AW1331))^$F1340</f>
        <v/>
      </c>
      <c r="AY1340" s="44">
        <f>AX1340*$G1340*(1+AY$7)^$D1340*(AY1322/AX1322)^$E1340*((AY1322+AY1331)/(AX1322+AX1331))^$F1340</f>
        <v/>
      </c>
      <c r="AZ1340" s="44">
        <f>AY1340*$G1340*(1+AZ$7)^$D1340*(AZ1322/AY1322)^$E1340*((AZ1322+AZ1331)/(AY1322+AY1331))^$F1340</f>
        <v/>
      </c>
      <c r="BA1340" s="57">
        <f>FUELUSE(AZ1340,BA1322,AZ1322,BA1331,AZ1331,BA$7,$D1340,$E1340,$F1340,$G1340)</f>
        <v/>
      </c>
    </row>
    <row r="1341" hidden="1" outlineLevel="2">
      <c r="A1341" s="14" t="inlineStr">
        <is>
          <t>ener</t>
        </is>
      </c>
      <c r="B1341" s="14" t="inlineStr">
        <is>
          <t>oop</t>
        </is>
      </c>
      <c r="C1341" s="14" t="inlineStr">
        <is>
          <t>avi</t>
        </is>
      </c>
      <c r="D1341" s="35">
        <f>INDEX(Inputs!$O$5:$O$132,MATCH($B1341&amp;"|"&amp;$C1341,Inputs!$A$5:$A$132,0))</f>
        <v/>
      </c>
      <c r="E1341" s="35">
        <f>INDEX(Inputs!$P$5:$P$132,MATCH($B1341&amp;"|"&amp;$C1341,Inputs!$A$5:$A$132,0))</f>
        <v/>
      </c>
      <c r="F1341" s="35">
        <f>INDEX(Inputs!$T$5:$T$132,MATCH($B1341&amp;"|"&amp;$C1341,Inputs!$A$5:$A$132,0))</f>
        <v/>
      </c>
      <c r="G1341" s="35">
        <f>INDEX(Inputs!$S$5:$S$132,MATCH($B1341&amp;"|"&amp;$C1341,Inputs!$A$5:$A$132,0))</f>
        <v/>
      </c>
      <c r="H1341" s="14">
        <f>INDEX(VarLab,MATCH($A1341,VarKey,0))&amp;INDEX(MemLab,MATCH($C1341&amp;"|"&amp;$B1341,MemKey,0))</f>
        <v/>
      </c>
      <c r="I1341" s="14">
        <f>INDEX(VarUnit,MATCH($A1341,VarKey,0))</f>
        <v/>
      </c>
      <c r="J1341" s="14">
        <f>INDEX(VarSrc,MATCH($A1341,VarKey,0))</f>
        <v/>
      </c>
      <c r="K1341" s="11">
        <f>CodePrefix&amp;$A1341&amp;IF($C1341="","","."&amp;$C1341&amp;"."&amp;$B1341)&amp;INDEX(VarEnd,MATCH($A1341,VarKey,0))&amp;K$5</f>
        <v/>
      </c>
      <c r="L1341" s="43">
        <f>INDEX(Inputs!$X$5:$X$132,MATCH($B1341&amp;"|"&amp;$C1341,Inputs!$A$5:$A$132,0))</f>
        <v/>
      </c>
      <c r="M1341" s="44">
        <f>L1341*$G1341*(1+M$7)^$D1341*(M1323/L1323)^$E1341*((M1323+M1332)/(L1323+L1332))^$F1341</f>
        <v/>
      </c>
      <c r="N1341" s="44">
        <f>M1341*$G1341*(1+N$7)^$D1341*(N1323/M1323)^$E1341*((N1323+N1332)/(M1323+M1332))^$F1341</f>
        <v/>
      </c>
      <c r="O1341" s="44">
        <f>N1341*$G1341*(1+O$7)^$D1341*(O1323/N1323)^$E1341*((O1323+O1332)/(N1323+N1332))^$F1341</f>
        <v/>
      </c>
      <c r="P1341" s="44">
        <f>O1341*$G1341*(1+P$7)^$D1341*(P1323/O1323)^$E1341*((P1323+P1332)/(O1323+O1332))^$F1341</f>
        <v/>
      </c>
      <c r="Q1341" s="44">
        <f>P1341*$G1341*(1+Q$7)^$D1341*(Q1323/P1323)^$E1341*((Q1323+Q1332)/(P1323+P1332))^$F1341</f>
        <v/>
      </c>
      <c r="R1341" s="44">
        <f>Q1341*$G1341*(1+R$7)^$D1341*(R1323/Q1323)^$E1341*((R1323+R1332)/(Q1323+Q1332))^$F1341</f>
        <v/>
      </c>
      <c r="S1341" s="44">
        <f>R1341*$G1341*(1+S$7)^$D1341*(S1323/R1323)^$E1341*((S1323+S1332)/(R1323+R1332))^$F1341</f>
        <v/>
      </c>
      <c r="T1341" s="44">
        <f>S1341*$G1341*(1+T$7)^$D1341*(T1323/S1323)^$E1341*((T1323+T1332)/(S1323+S1332))^$F1341</f>
        <v/>
      </c>
      <c r="U1341" s="44">
        <f>T1341*$G1341*(1+U$7)^$D1341*(U1323/T1323)^$E1341*((U1323+U1332)/(T1323+T1332))^$F1341</f>
        <v/>
      </c>
      <c r="V1341" s="44">
        <f>U1341*$G1341*(1+V$7)^$D1341*(V1323/U1323)^$E1341*((V1323+V1332)/(U1323+U1332))^$F1341</f>
        <v/>
      </c>
      <c r="W1341" s="44">
        <f>V1341*$G1341*(1+W$7)^$D1341*(W1323/V1323)^$E1341*((W1323+W1332)/(V1323+V1332))^$F1341</f>
        <v/>
      </c>
      <c r="X1341" s="44">
        <f>W1341*$G1341*(1+X$7)^$D1341*(X1323/W1323)^$E1341*((X1323+X1332)/(W1323+W1332))^$F1341</f>
        <v/>
      </c>
      <c r="Y1341" s="44">
        <f>X1341*$G1341*(1+Y$7)^$D1341*(Y1323/X1323)^$E1341*((Y1323+Y1332)/(X1323+X1332))^$F1341</f>
        <v/>
      </c>
      <c r="Z1341" s="44">
        <f>Y1341*$G1341*(1+Z$7)^$D1341*(Z1323/Y1323)^$E1341*((Z1323+Z1332)/(Y1323+Y1332))^$F1341</f>
        <v/>
      </c>
      <c r="AA1341" s="44">
        <f>Z1341*$G1341*(1+AA$7)^$D1341*(AA1323/Z1323)^$E1341*((AA1323+AA1332)/(Z1323+Z1332))^$F1341</f>
        <v/>
      </c>
      <c r="AB1341" s="44">
        <f>AA1341*$G1341*(1+AB$7)^$D1341*(AB1323/AA1323)^$E1341*((AB1323+AB1332)/(AA1323+AA1332))^$F1341</f>
        <v/>
      </c>
      <c r="AC1341" s="44">
        <f>AB1341*$G1341*(1+AC$7)^$D1341*(AC1323/AB1323)^$E1341*((AC1323+AC1332)/(AB1323+AB1332))^$F1341</f>
        <v/>
      </c>
      <c r="AD1341" s="44">
        <f>AC1341*$G1341*(1+AD$7)^$D1341*(AD1323/AC1323)^$E1341*((AD1323+AD1332)/(AC1323+AC1332))^$F1341</f>
        <v/>
      </c>
      <c r="AE1341" s="57">
        <f>FUELUSE(AD1341,AE1323,AD1323,AE1332,AD1332,AE$7,$D1341,$E1341,$F1341,$G1341)</f>
        <v/>
      </c>
      <c r="AG1341" s="11">
        <f>CodePrefix&amp;$A1341&amp;IF($C1341="","","."&amp;$C1341&amp;"."&amp;$B1341)&amp;INDEX(VarEnd,MATCH($A1341,VarKey,0))&amp;AG$5</f>
        <v/>
      </c>
      <c r="AH1341" s="43">
        <f>INDEX(Inputs!$X$5:$X$132,MATCH($B1341&amp;"|"&amp;$C1341,Inputs!$A$5:$A$132,0))</f>
        <v/>
      </c>
      <c r="AI1341" s="44">
        <f>AH1341*$G1341*(1+AI$7)^$D1341*(AI1323/AH1323)^$E1341*((AI1323+AI1332)/(AH1323+AH1332))^$F1341</f>
        <v/>
      </c>
      <c r="AJ1341" s="44">
        <f>AI1341*$G1341*(1+AJ$7)^$D1341*(AJ1323/AI1323)^$E1341*((AJ1323+AJ1332)/(AI1323+AI1332))^$F1341</f>
        <v/>
      </c>
      <c r="AK1341" s="44">
        <f>AJ1341*$G1341*(1+AK$7)^$D1341*(AK1323/AJ1323)^$E1341*((AK1323+AK1332)/(AJ1323+AJ1332))^$F1341</f>
        <v/>
      </c>
      <c r="AL1341" s="44">
        <f>AK1341*$G1341*(1+AL$7)^$D1341*(AL1323/AK1323)^$E1341*((AL1323+AL1332)/(AK1323+AK1332))^$F1341</f>
        <v/>
      </c>
      <c r="AM1341" s="44">
        <f>AL1341*$G1341*(1+AM$7)^$D1341*(AM1323/AL1323)^$E1341*((AM1323+AM1332)/(AL1323+AL1332))^$F1341</f>
        <v/>
      </c>
      <c r="AN1341" s="44">
        <f>AM1341*$G1341*(1+AN$7)^$D1341*(AN1323/AM1323)^$E1341*((AN1323+AN1332)/(AM1323+AM1332))^$F1341</f>
        <v/>
      </c>
      <c r="AO1341" s="44">
        <f>AN1341*$G1341*(1+AO$7)^$D1341*(AO1323/AN1323)^$E1341*((AO1323+AO1332)/(AN1323+AN1332))^$F1341</f>
        <v/>
      </c>
      <c r="AP1341" s="44">
        <f>AO1341*$G1341*(1+AP$7)^$D1341*(AP1323/AO1323)^$E1341*((AP1323+AP1332)/(AO1323+AO1332))^$F1341</f>
        <v/>
      </c>
      <c r="AQ1341" s="44">
        <f>AP1341*$G1341*(1+AQ$7)^$D1341*(AQ1323/AP1323)^$E1341*((AQ1323+AQ1332)/(AP1323+AP1332))^$F1341</f>
        <v/>
      </c>
      <c r="AR1341" s="44">
        <f>AQ1341*$G1341*(1+AR$7)^$D1341*(AR1323/AQ1323)^$E1341*((AR1323+AR1332)/(AQ1323+AQ1332))^$F1341</f>
        <v/>
      </c>
      <c r="AS1341" s="44">
        <f>AR1341*$G1341*(1+AS$7)^$D1341*(AS1323/AR1323)^$E1341*((AS1323+AS1332)/(AR1323+AR1332))^$F1341</f>
        <v/>
      </c>
      <c r="AT1341" s="44">
        <f>AS1341*$G1341*(1+AT$7)^$D1341*(AT1323/AS1323)^$E1341*((AT1323+AT1332)/(AS1323+AS1332))^$F1341</f>
        <v/>
      </c>
      <c r="AU1341" s="44">
        <f>AT1341*$G1341*(1+AU$7)^$D1341*(AU1323/AT1323)^$E1341*((AU1323+AU1332)/(AT1323+AT1332))^$F1341</f>
        <v/>
      </c>
      <c r="AV1341" s="44">
        <f>AU1341*$G1341*(1+AV$7)^$D1341*(AV1323/AU1323)^$E1341*((AV1323+AV1332)/(AU1323+AU1332))^$F1341</f>
        <v/>
      </c>
      <c r="AW1341" s="44">
        <f>AV1341*$G1341*(1+AW$7)^$D1341*(AW1323/AV1323)^$E1341*((AW1323+AW1332)/(AV1323+AV1332))^$F1341</f>
        <v/>
      </c>
      <c r="AX1341" s="44">
        <f>AW1341*$G1341*(1+AX$7)^$D1341*(AX1323/AW1323)^$E1341*((AX1323+AX1332)/(AW1323+AW1332))^$F1341</f>
        <v/>
      </c>
      <c r="AY1341" s="44">
        <f>AX1341*$G1341*(1+AY$7)^$D1341*(AY1323/AX1323)^$E1341*((AY1323+AY1332)/(AX1323+AX1332))^$F1341</f>
        <v/>
      </c>
      <c r="AZ1341" s="44">
        <f>AY1341*$G1341*(1+AZ$7)^$D1341*(AZ1323/AY1323)^$E1341*((AZ1323+AZ1332)/(AY1323+AY1332))^$F1341</f>
        <v/>
      </c>
      <c r="BA1341" s="57">
        <f>FUELUSE(AZ1341,BA1323,AZ1323,BA1332,AZ1332,BA$7,$D1341,$E1341,$F1341,$G1341)</f>
        <v/>
      </c>
    </row>
    <row r="1342" hidden="1" outlineLevel="2">
      <c r="A1342" s="14" t="inlineStr">
        <is>
          <t>ener</t>
        </is>
      </c>
      <c r="B1342" s="14" t="inlineStr">
        <is>
          <t>bio</t>
        </is>
      </c>
      <c r="C1342" s="14" t="inlineStr">
        <is>
          <t>avi</t>
        </is>
      </c>
      <c r="D1342" s="35">
        <f>INDEX(Inputs!$O$5:$O$132,MATCH($B1342&amp;"|"&amp;$C1342,Inputs!$A$5:$A$132,0))</f>
        <v/>
      </c>
      <c r="E1342" s="35">
        <f>INDEX(Inputs!$P$5:$P$132,MATCH($B1342&amp;"|"&amp;$C1342,Inputs!$A$5:$A$132,0))</f>
        <v/>
      </c>
      <c r="F1342" s="35">
        <f>INDEX(Inputs!$T$5:$T$132,MATCH($B1342&amp;"|"&amp;$C1342,Inputs!$A$5:$A$132,0))</f>
        <v/>
      </c>
      <c r="G1342" s="35">
        <f>INDEX(Inputs!$S$5:$S$132,MATCH($B1342&amp;"|"&amp;$C1342,Inputs!$A$5:$A$132,0))</f>
        <v/>
      </c>
      <c r="H1342" s="14">
        <f>INDEX(VarLab,MATCH($A1342,VarKey,0))&amp;INDEX(MemLab,MATCH($C1342&amp;"|"&amp;$B1342,MemKey,0))</f>
        <v/>
      </c>
      <c r="I1342" s="14">
        <f>INDEX(VarUnit,MATCH($A1342,VarKey,0))</f>
        <v/>
      </c>
      <c r="J1342" s="14">
        <f>INDEX(VarSrc,MATCH($A1342,VarKey,0))</f>
        <v/>
      </c>
      <c r="K1342" s="11">
        <f>CodePrefix&amp;$A1342&amp;IF($C1342="","","."&amp;$C1342&amp;"."&amp;$B1342)&amp;INDEX(VarEnd,MATCH($A1342,VarKey,0))&amp;K$5</f>
        <v/>
      </c>
      <c r="L1342" s="43">
        <f>INDEX(Inputs!$X$5:$X$132,MATCH($B1342&amp;"|"&amp;$C1342,Inputs!$A$5:$A$132,0))</f>
        <v/>
      </c>
      <c r="M1342" s="44">
        <f>L1342*$G1342*(1+M$7)^$D1342*(M1324/L1324)^$E1342*((M1324+M1333)/(L1324+L1333))^$F1342</f>
        <v/>
      </c>
      <c r="N1342" s="44">
        <f>M1342*$G1342*(1+N$7)^$D1342*(N1324/M1324)^$E1342*((N1324+N1333)/(M1324+M1333))^$F1342</f>
        <v/>
      </c>
      <c r="O1342" s="44">
        <f>N1342*$G1342*(1+O$7)^$D1342*(O1324/N1324)^$E1342*((O1324+O1333)/(N1324+N1333))^$F1342</f>
        <v/>
      </c>
      <c r="P1342" s="44">
        <f>O1342*$G1342*(1+P$7)^$D1342*(P1324/O1324)^$E1342*((P1324+P1333)/(O1324+O1333))^$F1342</f>
        <v/>
      </c>
      <c r="Q1342" s="44">
        <f>P1342*$G1342*(1+Q$7)^$D1342*(Q1324/P1324)^$E1342*((Q1324+Q1333)/(P1324+P1333))^$F1342</f>
        <v/>
      </c>
      <c r="R1342" s="44">
        <f>Q1342*$G1342*(1+R$7)^$D1342*(R1324/Q1324)^$E1342*((R1324+R1333)/(Q1324+Q1333))^$F1342</f>
        <v/>
      </c>
      <c r="S1342" s="44">
        <f>R1342*$G1342*(1+S$7)^$D1342*(S1324/R1324)^$E1342*((S1324+S1333)/(R1324+R1333))^$F1342</f>
        <v/>
      </c>
      <c r="T1342" s="44">
        <f>S1342*$G1342*(1+T$7)^$D1342*(T1324/S1324)^$E1342*((T1324+T1333)/(S1324+S1333))^$F1342</f>
        <v/>
      </c>
      <c r="U1342" s="44">
        <f>T1342*$G1342*(1+U$7)^$D1342*(U1324/T1324)^$E1342*((U1324+U1333)/(T1324+T1333))^$F1342</f>
        <v/>
      </c>
      <c r="V1342" s="44">
        <f>U1342*$G1342*(1+V$7)^$D1342*(V1324/U1324)^$E1342*((V1324+V1333)/(U1324+U1333))^$F1342</f>
        <v/>
      </c>
      <c r="W1342" s="44">
        <f>V1342*$G1342*(1+W$7)^$D1342*(W1324/V1324)^$E1342*((W1324+W1333)/(V1324+V1333))^$F1342</f>
        <v/>
      </c>
      <c r="X1342" s="44">
        <f>W1342*$G1342*(1+X$7)^$D1342*(X1324/W1324)^$E1342*((X1324+X1333)/(W1324+W1333))^$F1342</f>
        <v/>
      </c>
      <c r="Y1342" s="44">
        <f>X1342*$G1342*(1+Y$7)^$D1342*(Y1324/X1324)^$E1342*((Y1324+Y1333)/(X1324+X1333))^$F1342</f>
        <v/>
      </c>
      <c r="Z1342" s="44">
        <f>Y1342*$G1342*(1+Z$7)^$D1342*(Z1324/Y1324)^$E1342*((Z1324+Z1333)/(Y1324+Y1333))^$F1342</f>
        <v/>
      </c>
      <c r="AA1342" s="44">
        <f>Z1342*$G1342*(1+AA$7)^$D1342*(AA1324/Z1324)^$E1342*((AA1324+AA1333)/(Z1324+Z1333))^$F1342</f>
        <v/>
      </c>
      <c r="AB1342" s="44">
        <f>AA1342*$G1342*(1+AB$7)^$D1342*(AB1324/AA1324)^$E1342*((AB1324+AB1333)/(AA1324+AA1333))^$F1342</f>
        <v/>
      </c>
      <c r="AC1342" s="44">
        <f>AB1342*$G1342*(1+AC$7)^$D1342*(AC1324/AB1324)^$E1342*((AC1324+AC1333)/(AB1324+AB1333))^$F1342</f>
        <v/>
      </c>
      <c r="AD1342" s="44">
        <f>AC1342*$G1342*(1+AD$7)^$D1342*(AD1324/AC1324)^$E1342*((AD1324+AD1333)/(AC1324+AC1333))^$F1342</f>
        <v/>
      </c>
      <c r="AE1342" s="57">
        <f>FUELUSE(AD1342,AE1324,AD1324,AE1333,AD1333,AE$7,$D1342,$E1342,$F1342,$G1342)</f>
        <v/>
      </c>
      <c r="AG1342" s="11">
        <f>CodePrefix&amp;$A1342&amp;IF($C1342="","","."&amp;$C1342&amp;"."&amp;$B1342)&amp;INDEX(VarEnd,MATCH($A1342,VarKey,0))&amp;AG$5</f>
        <v/>
      </c>
      <c r="AH1342" s="43">
        <f>INDEX(Inputs!$X$5:$X$132,MATCH($B1342&amp;"|"&amp;$C1342,Inputs!$A$5:$A$132,0))</f>
        <v/>
      </c>
      <c r="AI1342" s="44">
        <f>AH1342*$G1342*(1+AI$7)^$D1342*(AI1324/AH1324)^$E1342*((AI1324+AI1333)/(AH1324+AH1333))^$F1342</f>
        <v/>
      </c>
      <c r="AJ1342" s="44">
        <f>AI1342*$G1342*(1+AJ$7)^$D1342*(AJ1324/AI1324)^$E1342*((AJ1324+AJ1333)/(AI1324+AI1333))^$F1342</f>
        <v/>
      </c>
      <c r="AK1342" s="44">
        <f>AJ1342*$G1342*(1+AK$7)^$D1342*(AK1324/AJ1324)^$E1342*((AK1324+AK1333)/(AJ1324+AJ1333))^$F1342</f>
        <v/>
      </c>
      <c r="AL1342" s="44">
        <f>AK1342*$G1342*(1+AL$7)^$D1342*(AL1324/AK1324)^$E1342*((AL1324+AL1333)/(AK1324+AK1333))^$F1342</f>
        <v/>
      </c>
      <c r="AM1342" s="44">
        <f>AL1342*$G1342*(1+AM$7)^$D1342*(AM1324/AL1324)^$E1342*((AM1324+AM1333)/(AL1324+AL1333))^$F1342</f>
        <v/>
      </c>
      <c r="AN1342" s="44">
        <f>AM1342*$G1342*(1+AN$7)^$D1342*(AN1324/AM1324)^$E1342*((AN1324+AN1333)/(AM1324+AM1333))^$F1342</f>
        <v/>
      </c>
      <c r="AO1342" s="44">
        <f>AN1342*$G1342*(1+AO$7)^$D1342*(AO1324/AN1324)^$E1342*((AO1324+AO1333)/(AN1324+AN1333))^$F1342</f>
        <v/>
      </c>
      <c r="AP1342" s="44">
        <f>AO1342*$G1342*(1+AP$7)^$D1342*(AP1324/AO1324)^$E1342*((AP1324+AP1333)/(AO1324+AO1333))^$F1342</f>
        <v/>
      </c>
      <c r="AQ1342" s="44">
        <f>AP1342*$G1342*(1+AQ$7)^$D1342*(AQ1324/AP1324)^$E1342*((AQ1324+AQ1333)/(AP1324+AP1333))^$F1342</f>
        <v/>
      </c>
      <c r="AR1342" s="44">
        <f>AQ1342*$G1342*(1+AR$7)^$D1342*(AR1324/AQ1324)^$E1342*((AR1324+AR1333)/(AQ1324+AQ1333))^$F1342</f>
        <v/>
      </c>
      <c r="AS1342" s="44">
        <f>AR1342*$G1342*(1+AS$7)^$D1342*(AS1324/AR1324)^$E1342*((AS1324+AS1333)/(AR1324+AR1333))^$F1342</f>
        <v/>
      </c>
      <c r="AT1342" s="44">
        <f>AS1342*$G1342*(1+AT$7)^$D1342*(AT1324/AS1324)^$E1342*((AT1324+AT1333)/(AS1324+AS1333))^$F1342</f>
        <v/>
      </c>
      <c r="AU1342" s="44">
        <f>AT1342*$G1342*(1+AU$7)^$D1342*(AU1324/AT1324)^$E1342*((AU1324+AU1333)/(AT1324+AT1333))^$F1342</f>
        <v/>
      </c>
      <c r="AV1342" s="44">
        <f>AU1342*$G1342*(1+AV$7)^$D1342*(AV1324/AU1324)^$E1342*((AV1324+AV1333)/(AU1324+AU1333))^$F1342</f>
        <v/>
      </c>
      <c r="AW1342" s="44">
        <f>AV1342*$G1342*(1+AW$7)^$D1342*(AW1324/AV1324)^$E1342*((AW1324+AW1333)/(AV1324+AV1333))^$F1342</f>
        <v/>
      </c>
      <c r="AX1342" s="44">
        <f>AW1342*$G1342*(1+AX$7)^$D1342*(AX1324/AW1324)^$E1342*((AX1324+AX1333)/(AW1324+AW1333))^$F1342</f>
        <v/>
      </c>
      <c r="AY1342" s="44">
        <f>AX1342*$G1342*(1+AY$7)^$D1342*(AY1324/AX1324)^$E1342*((AY1324+AY1333)/(AX1324+AX1333))^$F1342</f>
        <v/>
      </c>
      <c r="AZ1342" s="44">
        <f>AY1342*$G1342*(1+AZ$7)^$D1342*(AZ1324/AY1324)^$E1342*((AZ1324+AZ1333)/(AY1324+AY1333))^$F1342</f>
        <v/>
      </c>
      <c r="BA1342" s="57">
        <f>FUELUSE(AZ1342,BA1324,AZ1324,BA1333,AZ1333,BA$7,$D1342,$E1342,$F1342,$G1342)</f>
        <v/>
      </c>
    </row>
    <row r="1343" hidden="1" outlineLevel="2"/>
    <row r="1344" hidden="1" outlineLevel="2">
      <c r="A1344" s="14" t="inlineStr">
        <is>
          <t>co2</t>
        </is>
      </c>
      <c r="B1344" s="14" t="inlineStr">
        <is>
          <t>coa</t>
        </is>
      </c>
      <c r="C1344" s="14" t="inlineStr">
        <is>
          <t>avi</t>
        </is>
      </c>
      <c r="D1344" s="35">
        <f>INDEX(Inputs!$W$5:$W$132,MATCH($B1344&amp;"|"&amp;$C1344,Inputs!$A$5:$A$132,0))</f>
        <v/>
      </c>
      <c r="E1344" s="39" t="n"/>
      <c r="F1344" s="39" t="n"/>
      <c r="G1344" s="39" t="n"/>
      <c r="H1344" s="14">
        <f>INDEX(VarLab,MATCH($A1344,VarKey,0))&amp;INDEX(MemLab,MATCH($C1344&amp;"|"&amp;$B1344,MemKey,0))</f>
        <v/>
      </c>
      <c r="I1344" s="14">
        <f>INDEX(VarUnit,MATCH($A1344,VarKey,0))</f>
        <v/>
      </c>
      <c r="J1344" s="14">
        <f>INDEX(VarSrc,MATCH($A1344,VarKey,0))</f>
        <v/>
      </c>
      <c r="K1344" s="11">
        <f>CodePrefix&amp;$A1344&amp;IF($C1344="","","."&amp;$C1344&amp;"."&amp;$B1344)&amp;INDEX(VarEnd,MATCH($A1344,VarKey,0))&amp;K$5</f>
        <v/>
      </c>
      <c r="L1344" s="15">
        <f>L1335*Settings!$C$13*$D1344</f>
        <v/>
      </c>
      <c r="M1344" s="16">
        <f>M1335*Settings!$C$13*$D1344</f>
        <v/>
      </c>
      <c r="N1344" s="16">
        <f>N1335*Settings!$C$13*$D1344</f>
        <v/>
      </c>
      <c r="O1344" s="16">
        <f>O1335*Settings!$C$13*$D1344</f>
        <v/>
      </c>
      <c r="P1344" s="16">
        <f>P1335*Settings!$C$13*$D1344</f>
        <v/>
      </c>
      <c r="Q1344" s="16">
        <f>Q1335*Settings!$C$13*$D1344</f>
        <v/>
      </c>
      <c r="R1344" s="16">
        <f>R1335*Settings!$C$13*$D1344</f>
        <v/>
      </c>
      <c r="S1344" s="16">
        <f>S1335*Settings!$C$13*$D1344</f>
        <v/>
      </c>
      <c r="T1344" s="16">
        <f>T1335*Settings!$C$13*$D1344</f>
        <v/>
      </c>
      <c r="U1344" s="16">
        <f>U1335*Settings!$C$13*$D1344</f>
        <v/>
      </c>
      <c r="V1344" s="16">
        <f>V1335*Settings!$C$13*$D1344</f>
        <v/>
      </c>
      <c r="W1344" s="16">
        <f>W1335*Settings!$C$13*$D1344</f>
        <v/>
      </c>
      <c r="X1344" s="16">
        <f>X1335*Settings!$C$13*$D1344</f>
        <v/>
      </c>
      <c r="Y1344" s="16">
        <f>Y1335*Settings!$C$13*$D1344</f>
        <v/>
      </c>
      <c r="Z1344" s="16">
        <f>Z1335*Settings!$C$13*$D1344</f>
        <v/>
      </c>
      <c r="AA1344" s="16">
        <f>AA1335*Settings!$C$13*$D1344</f>
        <v/>
      </c>
      <c r="AB1344" s="16">
        <f>AB1335*Settings!$C$13*$D1344</f>
        <v/>
      </c>
      <c r="AC1344" s="16">
        <f>AC1335*Settings!$C$13*$D1344</f>
        <v/>
      </c>
      <c r="AD1344" s="16">
        <f>AD1335*Settings!$C$13*$D1344</f>
        <v/>
      </c>
      <c r="AE1344" s="49">
        <f>EMISSIONS(AE1335,Settings!$C$13,$D1344)</f>
        <v/>
      </c>
      <c r="AG1344" s="11">
        <f>CodePrefix&amp;$A1344&amp;IF($C1344="","","."&amp;$C1344&amp;"."&amp;$B1344)&amp;INDEX(VarEnd,MATCH($A1344,VarKey,0))&amp;AG$5</f>
        <v/>
      </c>
      <c r="AH1344" s="15">
        <f>AH1335*Settings!$C$13*$D1344</f>
        <v/>
      </c>
      <c r="AI1344" s="16">
        <f>AI1335*Settings!$C$13*$D1344</f>
        <v/>
      </c>
      <c r="AJ1344" s="16">
        <f>AJ1335*Settings!$C$13*$D1344</f>
        <v/>
      </c>
      <c r="AK1344" s="16">
        <f>AK1335*Settings!$C$13*$D1344</f>
        <v/>
      </c>
      <c r="AL1344" s="16">
        <f>AL1335*Settings!$C$13*$D1344</f>
        <v/>
      </c>
      <c r="AM1344" s="16">
        <f>AM1335*Settings!$C$13*$D1344</f>
        <v/>
      </c>
      <c r="AN1344" s="16">
        <f>AN1335*Settings!$C$13*$D1344</f>
        <v/>
      </c>
      <c r="AO1344" s="16">
        <f>AO1335*Settings!$C$13*$D1344</f>
        <v/>
      </c>
      <c r="AP1344" s="16">
        <f>AP1335*Settings!$C$13*$D1344</f>
        <v/>
      </c>
      <c r="AQ1344" s="16">
        <f>AQ1335*Settings!$C$13*$D1344</f>
        <v/>
      </c>
      <c r="AR1344" s="16">
        <f>AR1335*Settings!$C$13*$D1344</f>
        <v/>
      </c>
      <c r="AS1344" s="16">
        <f>AS1335*Settings!$C$13*$D1344</f>
        <v/>
      </c>
      <c r="AT1344" s="16">
        <f>AT1335*Settings!$C$13*$D1344</f>
        <v/>
      </c>
      <c r="AU1344" s="16">
        <f>AU1335*Settings!$C$13*$D1344</f>
        <v/>
      </c>
      <c r="AV1344" s="16">
        <f>AV1335*Settings!$C$13*$D1344</f>
        <v/>
      </c>
      <c r="AW1344" s="16">
        <f>AW1335*Settings!$C$13*$D1344</f>
        <v/>
      </c>
      <c r="AX1344" s="16">
        <f>AX1335*Settings!$C$13*$D1344</f>
        <v/>
      </c>
      <c r="AY1344" s="16">
        <f>AY1335*Settings!$C$13*$D1344</f>
        <v/>
      </c>
      <c r="AZ1344" s="16">
        <f>AZ1335*Settings!$C$13*$D1344</f>
        <v/>
      </c>
      <c r="BA1344" s="49">
        <f>EMISSIONS(BA1335,Settings!$C$13,$D1344)</f>
        <v/>
      </c>
    </row>
    <row r="1345" hidden="1" outlineLevel="2">
      <c r="A1345" s="14" t="inlineStr">
        <is>
          <t>co2</t>
        </is>
      </c>
      <c r="B1345" s="14" t="inlineStr">
        <is>
          <t>nga</t>
        </is>
      </c>
      <c r="C1345" s="14" t="inlineStr">
        <is>
          <t>avi</t>
        </is>
      </c>
      <c r="D1345" s="35">
        <f>INDEX(Inputs!$W$5:$W$132,MATCH($B1345&amp;"|"&amp;$C1345,Inputs!$A$5:$A$132,0))</f>
        <v/>
      </c>
      <c r="E1345" s="39" t="n"/>
      <c r="F1345" s="39" t="n"/>
      <c r="G1345" s="39" t="n"/>
      <c r="H1345" s="14">
        <f>INDEX(VarLab,MATCH($A1345,VarKey,0))&amp;INDEX(MemLab,MATCH($C1345&amp;"|"&amp;$B1345,MemKey,0))</f>
        <v/>
      </c>
      <c r="I1345" s="14">
        <f>INDEX(VarUnit,MATCH($A1345,VarKey,0))</f>
        <v/>
      </c>
      <c r="J1345" s="14">
        <f>INDEX(VarSrc,MATCH($A1345,VarKey,0))</f>
        <v/>
      </c>
      <c r="K1345" s="11">
        <f>CodePrefix&amp;$A1345&amp;IF($C1345="","","."&amp;$C1345&amp;"."&amp;$B1345)&amp;INDEX(VarEnd,MATCH($A1345,VarKey,0))&amp;K$5</f>
        <v/>
      </c>
      <c r="L1345" s="15">
        <f>L1336*Settings!$C$13*$D1345</f>
        <v/>
      </c>
      <c r="M1345" s="16">
        <f>M1336*Settings!$C$13*$D1345</f>
        <v/>
      </c>
      <c r="N1345" s="16">
        <f>N1336*Settings!$C$13*$D1345</f>
        <v/>
      </c>
      <c r="O1345" s="16">
        <f>O1336*Settings!$C$13*$D1345</f>
        <v/>
      </c>
      <c r="P1345" s="16">
        <f>P1336*Settings!$C$13*$D1345</f>
        <v/>
      </c>
      <c r="Q1345" s="16">
        <f>Q1336*Settings!$C$13*$D1345</f>
        <v/>
      </c>
      <c r="R1345" s="16">
        <f>R1336*Settings!$C$13*$D1345</f>
        <v/>
      </c>
      <c r="S1345" s="16">
        <f>S1336*Settings!$C$13*$D1345</f>
        <v/>
      </c>
      <c r="T1345" s="16">
        <f>T1336*Settings!$C$13*$D1345</f>
        <v/>
      </c>
      <c r="U1345" s="16">
        <f>U1336*Settings!$C$13*$D1345</f>
        <v/>
      </c>
      <c r="V1345" s="16">
        <f>V1336*Settings!$C$13*$D1345</f>
        <v/>
      </c>
      <c r="W1345" s="16">
        <f>W1336*Settings!$C$13*$D1345</f>
        <v/>
      </c>
      <c r="X1345" s="16">
        <f>X1336*Settings!$C$13*$D1345</f>
        <v/>
      </c>
      <c r="Y1345" s="16">
        <f>Y1336*Settings!$C$13*$D1345</f>
        <v/>
      </c>
      <c r="Z1345" s="16">
        <f>Z1336*Settings!$C$13*$D1345</f>
        <v/>
      </c>
      <c r="AA1345" s="16">
        <f>AA1336*Settings!$C$13*$D1345</f>
        <v/>
      </c>
      <c r="AB1345" s="16">
        <f>AB1336*Settings!$C$13*$D1345</f>
        <v/>
      </c>
      <c r="AC1345" s="16">
        <f>AC1336*Settings!$C$13*$D1345</f>
        <v/>
      </c>
      <c r="AD1345" s="16">
        <f>AD1336*Settings!$C$13*$D1345</f>
        <v/>
      </c>
      <c r="AE1345" s="49">
        <f>EMISSIONS(AE1336,Settings!$C$13,$D1345)</f>
        <v/>
      </c>
      <c r="AG1345" s="11">
        <f>CodePrefix&amp;$A1345&amp;IF($C1345="","","."&amp;$C1345&amp;"."&amp;$B1345)&amp;INDEX(VarEnd,MATCH($A1345,VarKey,0))&amp;AG$5</f>
        <v/>
      </c>
      <c r="AH1345" s="15">
        <f>AH1336*Settings!$C$13*$D1345</f>
        <v/>
      </c>
      <c r="AI1345" s="16">
        <f>AI1336*Settings!$C$13*$D1345</f>
        <v/>
      </c>
      <c r="AJ1345" s="16">
        <f>AJ1336*Settings!$C$13*$D1345</f>
        <v/>
      </c>
      <c r="AK1345" s="16">
        <f>AK1336*Settings!$C$13*$D1345</f>
        <v/>
      </c>
      <c r="AL1345" s="16">
        <f>AL1336*Settings!$C$13*$D1345</f>
        <v/>
      </c>
      <c r="AM1345" s="16">
        <f>AM1336*Settings!$C$13*$D1345</f>
        <v/>
      </c>
      <c r="AN1345" s="16">
        <f>AN1336*Settings!$C$13*$D1345</f>
        <v/>
      </c>
      <c r="AO1345" s="16">
        <f>AO1336*Settings!$C$13*$D1345</f>
        <v/>
      </c>
      <c r="AP1345" s="16">
        <f>AP1336*Settings!$C$13*$D1345</f>
        <v/>
      </c>
      <c r="AQ1345" s="16">
        <f>AQ1336*Settings!$C$13*$D1345</f>
        <v/>
      </c>
      <c r="AR1345" s="16">
        <f>AR1336*Settings!$C$13*$D1345</f>
        <v/>
      </c>
      <c r="AS1345" s="16">
        <f>AS1336*Settings!$C$13*$D1345</f>
        <v/>
      </c>
      <c r="AT1345" s="16">
        <f>AT1336*Settings!$C$13*$D1345</f>
        <v/>
      </c>
      <c r="AU1345" s="16">
        <f>AU1336*Settings!$C$13*$D1345</f>
        <v/>
      </c>
      <c r="AV1345" s="16">
        <f>AV1336*Settings!$C$13*$D1345</f>
        <v/>
      </c>
      <c r="AW1345" s="16">
        <f>AW1336*Settings!$C$13*$D1345</f>
        <v/>
      </c>
      <c r="AX1345" s="16">
        <f>AX1336*Settings!$C$13*$D1345</f>
        <v/>
      </c>
      <c r="AY1345" s="16">
        <f>AY1336*Settings!$C$13*$D1345</f>
        <v/>
      </c>
      <c r="AZ1345" s="16">
        <f>AZ1336*Settings!$C$13*$D1345</f>
        <v/>
      </c>
      <c r="BA1345" s="49">
        <f>EMISSIONS(BA1336,Settings!$C$13,$D1345)</f>
        <v/>
      </c>
    </row>
    <row r="1346" hidden="1" outlineLevel="2">
      <c r="A1346" s="14" t="inlineStr">
        <is>
          <t>co2</t>
        </is>
      </c>
      <c r="B1346" s="14" t="inlineStr">
        <is>
          <t>gso</t>
        </is>
      </c>
      <c r="C1346" s="14" t="inlineStr">
        <is>
          <t>avi</t>
        </is>
      </c>
      <c r="D1346" s="35">
        <f>INDEX(Inputs!$W$5:$W$132,MATCH($B1346&amp;"|"&amp;$C1346,Inputs!$A$5:$A$132,0))</f>
        <v/>
      </c>
      <c r="E1346" s="39" t="n"/>
      <c r="F1346" s="39" t="n"/>
      <c r="G1346" s="39" t="n"/>
      <c r="H1346" s="14">
        <f>INDEX(VarLab,MATCH($A1346,VarKey,0))&amp;INDEX(MemLab,MATCH($C1346&amp;"|"&amp;$B1346,MemKey,0))</f>
        <v/>
      </c>
      <c r="I1346" s="14">
        <f>INDEX(VarUnit,MATCH($A1346,VarKey,0))</f>
        <v/>
      </c>
      <c r="J1346" s="14">
        <f>INDEX(VarSrc,MATCH($A1346,VarKey,0))</f>
        <v/>
      </c>
      <c r="K1346" s="11">
        <f>CodePrefix&amp;$A1346&amp;IF($C1346="","","."&amp;$C1346&amp;"."&amp;$B1346)&amp;INDEX(VarEnd,MATCH($A1346,VarKey,0))&amp;K$5</f>
        <v/>
      </c>
      <c r="L1346" s="15">
        <f>L1337*Settings!$C$13*$D1346</f>
        <v/>
      </c>
      <c r="M1346" s="16">
        <f>M1337*Settings!$C$13*$D1346</f>
        <v/>
      </c>
      <c r="N1346" s="16">
        <f>N1337*Settings!$C$13*$D1346</f>
        <v/>
      </c>
      <c r="O1346" s="16">
        <f>O1337*Settings!$C$13*$D1346</f>
        <v/>
      </c>
      <c r="P1346" s="16">
        <f>P1337*Settings!$C$13*$D1346</f>
        <v/>
      </c>
      <c r="Q1346" s="16">
        <f>Q1337*Settings!$C$13*$D1346</f>
        <v/>
      </c>
      <c r="R1346" s="16">
        <f>R1337*Settings!$C$13*$D1346</f>
        <v/>
      </c>
      <c r="S1346" s="16">
        <f>S1337*Settings!$C$13*$D1346</f>
        <v/>
      </c>
      <c r="T1346" s="16">
        <f>T1337*Settings!$C$13*$D1346</f>
        <v/>
      </c>
      <c r="U1346" s="16">
        <f>U1337*Settings!$C$13*$D1346</f>
        <v/>
      </c>
      <c r="V1346" s="16">
        <f>V1337*Settings!$C$13*$D1346</f>
        <v/>
      </c>
      <c r="W1346" s="16">
        <f>W1337*Settings!$C$13*$D1346</f>
        <v/>
      </c>
      <c r="X1346" s="16">
        <f>X1337*Settings!$C$13*$D1346</f>
        <v/>
      </c>
      <c r="Y1346" s="16">
        <f>Y1337*Settings!$C$13*$D1346</f>
        <v/>
      </c>
      <c r="Z1346" s="16">
        <f>Z1337*Settings!$C$13*$D1346</f>
        <v/>
      </c>
      <c r="AA1346" s="16">
        <f>AA1337*Settings!$C$13*$D1346</f>
        <v/>
      </c>
      <c r="AB1346" s="16">
        <f>AB1337*Settings!$C$13*$D1346</f>
        <v/>
      </c>
      <c r="AC1346" s="16">
        <f>AC1337*Settings!$C$13*$D1346</f>
        <v/>
      </c>
      <c r="AD1346" s="16">
        <f>AD1337*Settings!$C$13*$D1346</f>
        <v/>
      </c>
      <c r="AE1346" s="49">
        <f>EMISSIONS(AE1337,Settings!$C$13,$D1346)</f>
        <v/>
      </c>
      <c r="AG1346" s="11">
        <f>CodePrefix&amp;$A1346&amp;IF($C1346="","","."&amp;$C1346&amp;"."&amp;$B1346)&amp;INDEX(VarEnd,MATCH($A1346,VarKey,0))&amp;AG$5</f>
        <v/>
      </c>
      <c r="AH1346" s="15">
        <f>AH1337*Settings!$C$13*$D1346</f>
        <v/>
      </c>
      <c r="AI1346" s="16">
        <f>AI1337*Settings!$C$13*$D1346</f>
        <v/>
      </c>
      <c r="AJ1346" s="16">
        <f>AJ1337*Settings!$C$13*$D1346</f>
        <v/>
      </c>
      <c r="AK1346" s="16">
        <f>AK1337*Settings!$C$13*$D1346</f>
        <v/>
      </c>
      <c r="AL1346" s="16">
        <f>AL1337*Settings!$C$13*$D1346</f>
        <v/>
      </c>
      <c r="AM1346" s="16">
        <f>AM1337*Settings!$C$13*$D1346</f>
        <v/>
      </c>
      <c r="AN1346" s="16">
        <f>AN1337*Settings!$C$13*$D1346</f>
        <v/>
      </c>
      <c r="AO1346" s="16">
        <f>AO1337*Settings!$C$13*$D1346</f>
        <v/>
      </c>
      <c r="AP1346" s="16">
        <f>AP1337*Settings!$C$13*$D1346</f>
        <v/>
      </c>
      <c r="AQ1346" s="16">
        <f>AQ1337*Settings!$C$13*$D1346</f>
        <v/>
      </c>
      <c r="AR1346" s="16">
        <f>AR1337*Settings!$C$13*$D1346</f>
        <v/>
      </c>
      <c r="AS1346" s="16">
        <f>AS1337*Settings!$C$13*$D1346</f>
        <v/>
      </c>
      <c r="AT1346" s="16">
        <f>AT1337*Settings!$C$13*$D1346</f>
        <v/>
      </c>
      <c r="AU1346" s="16">
        <f>AU1337*Settings!$C$13*$D1346</f>
        <v/>
      </c>
      <c r="AV1346" s="16">
        <f>AV1337*Settings!$C$13*$D1346</f>
        <v/>
      </c>
      <c r="AW1346" s="16">
        <f>AW1337*Settings!$C$13*$D1346</f>
        <v/>
      </c>
      <c r="AX1346" s="16">
        <f>AX1337*Settings!$C$13*$D1346</f>
        <v/>
      </c>
      <c r="AY1346" s="16">
        <f>AY1337*Settings!$C$13*$D1346</f>
        <v/>
      </c>
      <c r="AZ1346" s="16">
        <f>AZ1337*Settings!$C$13*$D1346</f>
        <v/>
      </c>
      <c r="BA1346" s="49">
        <f>EMISSIONS(BA1337,Settings!$C$13,$D1346)</f>
        <v/>
      </c>
    </row>
    <row r="1347" hidden="1" outlineLevel="2">
      <c r="A1347" s="14" t="inlineStr">
        <is>
          <t>co2</t>
        </is>
      </c>
      <c r="B1347" s="14" t="inlineStr">
        <is>
          <t>die</t>
        </is>
      </c>
      <c r="C1347" s="14" t="inlineStr">
        <is>
          <t>avi</t>
        </is>
      </c>
      <c r="D1347" s="35">
        <f>INDEX(Inputs!$W$5:$W$132,MATCH($B1347&amp;"|"&amp;$C1347,Inputs!$A$5:$A$132,0))</f>
        <v/>
      </c>
      <c r="E1347" s="39" t="n"/>
      <c r="F1347" s="39" t="n"/>
      <c r="G1347" s="39" t="n"/>
      <c r="H1347" s="14">
        <f>INDEX(VarLab,MATCH($A1347,VarKey,0))&amp;INDEX(MemLab,MATCH($C1347&amp;"|"&amp;$B1347,MemKey,0))</f>
        <v/>
      </c>
      <c r="I1347" s="14">
        <f>INDEX(VarUnit,MATCH($A1347,VarKey,0))</f>
        <v/>
      </c>
      <c r="J1347" s="14">
        <f>INDEX(VarSrc,MATCH($A1347,VarKey,0))</f>
        <v/>
      </c>
      <c r="K1347" s="11">
        <f>CodePrefix&amp;$A1347&amp;IF($C1347="","","."&amp;$C1347&amp;"."&amp;$B1347)&amp;INDEX(VarEnd,MATCH($A1347,VarKey,0))&amp;K$5</f>
        <v/>
      </c>
      <c r="L1347" s="15">
        <f>L1338*Settings!$C$13*$D1347</f>
        <v/>
      </c>
      <c r="M1347" s="16">
        <f>M1338*Settings!$C$13*$D1347</f>
        <v/>
      </c>
      <c r="N1347" s="16">
        <f>N1338*Settings!$C$13*$D1347</f>
        <v/>
      </c>
      <c r="O1347" s="16">
        <f>O1338*Settings!$C$13*$D1347</f>
        <v/>
      </c>
      <c r="P1347" s="16">
        <f>P1338*Settings!$C$13*$D1347</f>
        <v/>
      </c>
      <c r="Q1347" s="16">
        <f>Q1338*Settings!$C$13*$D1347</f>
        <v/>
      </c>
      <c r="R1347" s="16">
        <f>R1338*Settings!$C$13*$D1347</f>
        <v/>
      </c>
      <c r="S1347" s="16">
        <f>S1338*Settings!$C$13*$D1347</f>
        <v/>
      </c>
      <c r="T1347" s="16">
        <f>T1338*Settings!$C$13*$D1347</f>
        <v/>
      </c>
      <c r="U1347" s="16">
        <f>U1338*Settings!$C$13*$D1347</f>
        <v/>
      </c>
      <c r="V1347" s="16">
        <f>V1338*Settings!$C$13*$D1347</f>
        <v/>
      </c>
      <c r="W1347" s="16">
        <f>W1338*Settings!$C$13*$D1347</f>
        <v/>
      </c>
      <c r="X1347" s="16">
        <f>X1338*Settings!$C$13*$D1347</f>
        <v/>
      </c>
      <c r="Y1347" s="16">
        <f>Y1338*Settings!$C$13*$D1347</f>
        <v/>
      </c>
      <c r="Z1347" s="16">
        <f>Z1338*Settings!$C$13*$D1347</f>
        <v/>
      </c>
      <c r="AA1347" s="16">
        <f>AA1338*Settings!$C$13*$D1347</f>
        <v/>
      </c>
      <c r="AB1347" s="16">
        <f>AB1338*Settings!$C$13*$D1347</f>
        <v/>
      </c>
      <c r="AC1347" s="16">
        <f>AC1338*Settings!$C$13*$D1347</f>
        <v/>
      </c>
      <c r="AD1347" s="16">
        <f>AD1338*Settings!$C$13*$D1347</f>
        <v/>
      </c>
      <c r="AE1347" s="49">
        <f>EMISSIONS(AE1338,Settings!$C$13,$D1347)</f>
        <v/>
      </c>
      <c r="AG1347" s="11">
        <f>CodePrefix&amp;$A1347&amp;IF($C1347="","","."&amp;$C1347&amp;"."&amp;$B1347)&amp;INDEX(VarEnd,MATCH($A1347,VarKey,0))&amp;AG$5</f>
        <v/>
      </c>
      <c r="AH1347" s="15">
        <f>AH1338*Settings!$C$13*$D1347</f>
        <v/>
      </c>
      <c r="AI1347" s="16">
        <f>AI1338*Settings!$C$13*$D1347</f>
        <v/>
      </c>
      <c r="AJ1347" s="16">
        <f>AJ1338*Settings!$C$13*$D1347</f>
        <v/>
      </c>
      <c r="AK1347" s="16">
        <f>AK1338*Settings!$C$13*$D1347</f>
        <v/>
      </c>
      <c r="AL1347" s="16">
        <f>AL1338*Settings!$C$13*$D1347</f>
        <v/>
      </c>
      <c r="AM1347" s="16">
        <f>AM1338*Settings!$C$13*$D1347</f>
        <v/>
      </c>
      <c r="AN1347" s="16">
        <f>AN1338*Settings!$C$13*$D1347</f>
        <v/>
      </c>
      <c r="AO1347" s="16">
        <f>AO1338*Settings!$C$13*$D1347</f>
        <v/>
      </c>
      <c r="AP1347" s="16">
        <f>AP1338*Settings!$C$13*$D1347</f>
        <v/>
      </c>
      <c r="AQ1347" s="16">
        <f>AQ1338*Settings!$C$13*$D1347</f>
        <v/>
      </c>
      <c r="AR1347" s="16">
        <f>AR1338*Settings!$C$13*$D1347</f>
        <v/>
      </c>
      <c r="AS1347" s="16">
        <f>AS1338*Settings!$C$13*$D1347</f>
        <v/>
      </c>
      <c r="AT1347" s="16">
        <f>AT1338*Settings!$C$13*$D1347</f>
        <v/>
      </c>
      <c r="AU1347" s="16">
        <f>AU1338*Settings!$C$13*$D1347</f>
        <v/>
      </c>
      <c r="AV1347" s="16">
        <f>AV1338*Settings!$C$13*$D1347</f>
        <v/>
      </c>
      <c r="AW1347" s="16">
        <f>AW1338*Settings!$C$13*$D1347</f>
        <v/>
      </c>
      <c r="AX1347" s="16">
        <f>AX1338*Settings!$C$13*$D1347</f>
        <v/>
      </c>
      <c r="AY1347" s="16">
        <f>AY1338*Settings!$C$13*$D1347</f>
        <v/>
      </c>
      <c r="AZ1347" s="16">
        <f>AZ1338*Settings!$C$13*$D1347</f>
        <v/>
      </c>
      <c r="BA1347" s="49">
        <f>EMISSIONS(BA1338,Settings!$C$13,$D1347)</f>
        <v/>
      </c>
    </row>
    <row r="1348" hidden="1" outlineLevel="2">
      <c r="A1348" s="14" t="inlineStr">
        <is>
          <t>co2</t>
        </is>
      </c>
      <c r="B1348" s="14" t="inlineStr">
        <is>
          <t>lpg</t>
        </is>
      </c>
      <c r="C1348" s="14" t="inlineStr">
        <is>
          <t>avi</t>
        </is>
      </c>
      <c r="D1348" s="35">
        <f>INDEX(Inputs!$W$5:$W$132,MATCH($B1348&amp;"|"&amp;$C1348,Inputs!$A$5:$A$132,0))</f>
        <v/>
      </c>
      <c r="E1348" s="39" t="n"/>
      <c r="F1348" s="39" t="n"/>
      <c r="G1348" s="39" t="n"/>
      <c r="H1348" s="14">
        <f>INDEX(VarLab,MATCH($A1348,VarKey,0))&amp;INDEX(MemLab,MATCH($C1348&amp;"|"&amp;$B1348,MemKey,0))</f>
        <v/>
      </c>
      <c r="I1348" s="14">
        <f>INDEX(VarUnit,MATCH($A1348,VarKey,0))</f>
        <v/>
      </c>
      <c r="J1348" s="14">
        <f>INDEX(VarSrc,MATCH($A1348,VarKey,0))</f>
        <v/>
      </c>
      <c r="K1348" s="11">
        <f>CodePrefix&amp;$A1348&amp;IF($C1348="","","."&amp;$C1348&amp;"."&amp;$B1348)&amp;INDEX(VarEnd,MATCH($A1348,VarKey,0))&amp;K$5</f>
        <v/>
      </c>
      <c r="L1348" s="15">
        <f>L1339*Settings!$C$13*$D1348</f>
        <v/>
      </c>
      <c r="M1348" s="16">
        <f>M1339*Settings!$C$13*$D1348</f>
        <v/>
      </c>
      <c r="N1348" s="16">
        <f>N1339*Settings!$C$13*$D1348</f>
        <v/>
      </c>
      <c r="O1348" s="16">
        <f>O1339*Settings!$C$13*$D1348</f>
        <v/>
      </c>
      <c r="P1348" s="16">
        <f>P1339*Settings!$C$13*$D1348</f>
        <v/>
      </c>
      <c r="Q1348" s="16">
        <f>Q1339*Settings!$C$13*$D1348</f>
        <v/>
      </c>
      <c r="R1348" s="16">
        <f>R1339*Settings!$C$13*$D1348</f>
        <v/>
      </c>
      <c r="S1348" s="16">
        <f>S1339*Settings!$C$13*$D1348</f>
        <v/>
      </c>
      <c r="T1348" s="16">
        <f>T1339*Settings!$C$13*$D1348</f>
        <v/>
      </c>
      <c r="U1348" s="16">
        <f>U1339*Settings!$C$13*$D1348</f>
        <v/>
      </c>
      <c r="V1348" s="16">
        <f>V1339*Settings!$C$13*$D1348</f>
        <v/>
      </c>
      <c r="W1348" s="16">
        <f>W1339*Settings!$C$13*$D1348</f>
        <v/>
      </c>
      <c r="X1348" s="16">
        <f>X1339*Settings!$C$13*$D1348</f>
        <v/>
      </c>
      <c r="Y1348" s="16">
        <f>Y1339*Settings!$C$13*$D1348</f>
        <v/>
      </c>
      <c r="Z1348" s="16">
        <f>Z1339*Settings!$C$13*$D1348</f>
        <v/>
      </c>
      <c r="AA1348" s="16">
        <f>AA1339*Settings!$C$13*$D1348</f>
        <v/>
      </c>
      <c r="AB1348" s="16">
        <f>AB1339*Settings!$C$13*$D1348</f>
        <v/>
      </c>
      <c r="AC1348" s="16">
        <f>AC1339*Settings!$C$13*$D1348</f>
        <v/>
      </c>
      <c r="AD1348" s="16">
        <f>AD1339*Settings!$C$13*$D1348</f>
        <v/>
      </c>
      <c r="AE1348" s="49">
        <f>EMISSIONS(AE1339,Settings!$C$13,$D1348)</f>
        <v/>
      </c>
      <c r="AG1348" s="11">
        <f>CodePrefix&amp;$A1348&amp;IF($C1348="","","."&amp;$C1348&amp;"."&amp;$B1348)&amp;INDEX(VarEnd,MATCH($A1348,VarKey,0))&amp;AG$5</f>
        <v/>
      </c>
      <c r="AH1348" s="15">
        <f>AH1339*Settings!$C$13*$D1348</f>
        <v/>
      </c>
      <c r="AI1348" s="16">
        <f>AI1339*Settings!$C$13*$D1348</f>
        <v/>
      </c>
      <c r="AJ1348" s="16">
        <f>AJ1339*Settings!$C$13*$D1348</f>
        <v/>
      </c>
      <c r="AK1348" s="16">
        <f>AK1339*Settings!$C$13*$D1348</f>
        <v/>
      </c>
      <c r="AL1348" s="16">
        <f>AL1339*Settings!$C$13*$D1348</f>
        <v/>
      </c>
      <c r="AM1348" s="16">
        <f>AM1339*Settings!$C$13*$D1348</f>
        <v/>
      </c>
      <c r="AN1348" s="16">
        <f>AN1339*Settings!$C$13*$D1348</f>
        <v/>
      </c>
      <c r="AO1348" s="16">
        <f>AO1339*Settings!$C$13*$D1348</f>
        <v/>
      </c>
      <c r="AP1348" s="16">
        <f>AP1339*Settings!$C$13*$D1348</f>
        <v/>
      </c>
      <c r="AQ1348" s="16">
        <f>AQ1339*Settings!$C$13*$D1348</f>
        <v/>
      </c>
      <c r="AR1348" s="16">
        <f>AR1339*Settings!$C$13*$D1348</f>
        <v/>
      </c>
      <c r="AS1348" s="16">
        <f>AS1339*Settings!$C$13*$D1348</f>
        <v/>
      </c>
      <c r="AT1348" s="16">
        <f>AT1339*Settings!$C$13*$D1348</f>
        <v/>
      </c>
      <c r="AU1348" s="16">
        <f>AU1339*Settings!$C$13*$D1348</f>
        <v/>
      </c>
      <c r="AV1348" s="16">
        <f>AV1339*Settings!$C$13*$D1348</f>
        <v/>
      </c>
      <c r="AW1348" s="16">
        <f>AW1339*Settings!$C$13*$D1348</f>
        <v/>
      </c>
      <c r="AX1348" s="16">
        <f>AX1339*Settings!$C$13*$D1348</f>
        <v/>
      </c>
      <c r="AY1348" s="16">
        <f>AY1339*Settings!$C$13*$D1348</f>
        <v/>
      </c>
      <c r="AZ1348" s="16">
        <f>AZ1339*Settings!$C$13*$D1348</f>
        <v/>
      </c>
      <c r="BA1348" s="49">
        <f>EMISSIONS(BA1339,Settings!$C$13,$D1348)</f>
        <v/>
      </c>
    </row>
    <row r="1349" hidden="1" outlineLevel="2">
      <c r="A1349" s="14" t="inlineStr">
        <is>
          <t>co2</t>
        </is>
      </c>
      <c r="B1349" s="14" t="inlineStr">
        <is>
          <t>ker</t>
        </is>
      </c>
      <c r="C1349" s="14" t="inlineStr">
        <is>
          <t>avi</t>
        </is>
      </c>
      <c r="D1349" s="35">
        <f>INDEX(Inputs!$W$5:$W$132,MATCH($B1349&amp;"|"&amp;$C1349,Inputs!$A$5:$A$132,0))</f>
        <v/>
      </c>
      <c r="E1349" s="39" t="n"/>
      <c r="F1349" s="39" t="n"/>
      <c r="G1349" s="39" t="n"/>
      <c r="H1349" s="14">
        <f>INDEX(VarLab,MATCH($A1349,VarKey,0))&amp;INDEX(MemLab,MATCH($C1349&amp;"|"&amp;$B1349,MemKey,0))</f>
        <v/>
      </c>
      <c r="I1349" s="14">
        <f>INDEX(VarUnit,MATCH($A1349,VarKey,0))</f>
        <v/>
      </c>
      <c r="J1349" s="14">
        <f>INDEX(VarSrc,MATCH($A1349,VarKey,0))</f>
        <v/>
      </c>
      <c r="K1349" s="11">
        <f>CodePrefix&amp;$A1349&amp;IF($C1349="","","."&amp;$C1349&amp;"."&amp;$B1349)&amp;INDEX(VarEnd,MATCH($A1349,VarKey,0))&amp;K$5</f>
        <v/>
      </c>
      <c r="L1349" s="15">
        <f>L1340*Settings!$C$13*$D1349</f>
        <v/>
      </c>
      <c r="M1349" s="16">
        <f>M1340*Settings!$C$13*$D1349</f>
        <v/>
      </c>
      <c r="N1349" s="16">
        <f>N1340*Settings!$C$13*$D1349</f>
        <v/>
      </c>
      <c r="O1349" s="16">
        <f>O1340*Settings!$C$13*$D1349</f>
        <v/>
      </c>
      <c r="P1349" s="16">
        <f>P1340*Settings!$C$13*$D1349</f>
        <v/>
      </c>
      <c r="Q1349" s="16">
        <f>Q1340*Settings!$C$13*$D1349</f>
        <v/>
      </c>
      <c r="R1349" s="16">
        <f>R1340*Settings!$C$13*$D1349</f>
        <v/>
      </c>
      <c r="S1349" s="16">
        <f>S1340*Settings!$C$13*$D1349</f>
        <v/>
      </c>
      <c r="T1349" s="16">
        <f>T1340*Settings!$C$13*$D1349</f>
        <v/>
      </c>
      <c r="U1349" s="16">
        <f>U1340*Settings!$C$13*$D1349</f>
        <v/>
      </c>
      <c r="V1349" s="16">
        <f>V1340*Settings!$C$13*$D1349</f>
        <v/>
      </c>
      <c r="W1349" s="16">
        <f>W1340*Settings!$C$13*$D1349</f>
        <v/>
      </c>
      <c r="X1349" s="16">
        <f>X1340*Settings!$C$13*$D1349</f>
        <v/>
      </c>
      <c r="Y1349" s="16">
        <f>Y1340*Settings!$C$13*$D1349</f>
        <v/>
      </c>
      <c r="Z1349" s="16">
        <f>Z1340*Settings!$C$13*$D1349</f>
        <v/>
      </c>
      <c r="AA1349" s="16">
        <f>AA1340*Settings!$C$13*$D1349</f>
        <v/>
      </c>
      <c r="AB1349" s="16">
        <f>AB1340*Settings!$C$13*$D1349</f>
        <v/>
      </c>
      <c r="AC1349" s="16">
        <f>AC1340*Settings!$C$13*$D1349</f>
        <v/>
      </c>
      <c r="AD1349" s="16">
        <f>AD1340*Settings!$C$13*$D1349</f>
        <v/>
      </c>
      <c r="AE1349" s="49">
        <f>EMISSIONS(AE1340,Settings!$C$13,$D1349)</f>
        <v/>
      </c>
      <c r="AG1349" s="11">
        <f>CodePrefix&amp;$A1349&amp;IF($C1349="","","."&amp;$C1349&amp;"."&amp;$B1349)&amp;INDEX(VarEnd,MATCH($A1349,VarKey,0))&amp;AG$5</f>
        <v/>
      </c>
      <c r="AH1349" s="15">
        <f>AH1340*Settings!$C$13*$D1349</f>
        <v/>
      </c>
      <c r="AI1349" s="16">
        <f>AI1340*Settings!$C$13*$D1349</f>
        <v/>
      </c>
      <c r="AJ1349" s="16">
        <f>AJ1340*Settings!$C$13*$D1349</f>
        <v/>
      </c>
      <c r="AK1349" s="16">
        <f>AK1340*Settings!$C$13*$D1349</f>
        <v/>
      </c>
      <c r="AL1349" s="16">
        <f>AL1340*Settings!$C$13*$D1349</f>
        <v/>
      </c>
      <c r="AM1349" s="16">
        <f>AM1340*Settings!$C$13*$D1349</f>
        <v/>
      </c>
      <c r="AN1349" s="16">
        <f>AN1340*Settings!$C$13*$D1349</f>
        <v/>
      </c>
      <c r="AO1349" s="16">
        <f>AO1340*Settings!$C$13*$D1349</f>
        <v/>
      </c>
      <c r="AP1349" s="16">
        <f>AP1340*Settings!$C$13*$D1349</f>
        <v/>
      </c>
      <c r="AQ1349" s="16">
        <f>AQ1340*Settings!$C$13*$D1349</f>
        <v/>
      </c>
      <c r="AR1349" s="16">
        <f>AR1340*Settings!$C$13*$D1349</f>
        <v/>
      </c>
      <c r="AS1349" s="16">
        <f>AS1340*Settings!$C$13*$D1349</f>
        <v/>
      </c>
      <c r="AT1349" s="16">
        <f>AT1340*Settings!$C$13*$D1349</f>
        <v/>
      </c>
      <c r="AU1349" s="16">
        <f>AU1340*Settings!$C$13*$D1349</f>
        <v/>
      </c>
      <c r="AV1349" s="16">
        <f>AV1340*Settings!$C$13*$D1349</f>
        <v/>
      </c>
      <c r="AW1349" s="16">
        <f>AW1340*Settings!$C$13*$D1349</f>
        <v/>
      </c>
      <c r="AX1349" s="16">
        <f>AX1340*Settings!$C$13*$D1349</f>
        <v/>
      </c>
      <c r="AY1349" s="16">
        <f>AY1340*Settings!$C$13*$D1349</f>
        <v/>
      </c>
      <c r="AZ1349" s="16">
        <f>AZ1340*Settings!$C$13*$D1349</f>
        <v/>
      </c>
      <c r="BA1349" s="49">
        <f>EMISSIONS(BA1340,Settings!$C$13,$D1349)</f>
        <v/>
      </c>
    </row>
    <row r="1350" hidden="1" outlineLevel="2">
      <c r="A1350" s="14" t="inlineStr">
        <is>
          <t>co2</t>
        </is>
      </c>
      <c r="B1350" s="14" t="inlineStr">
        <is>
          <t>oop</t>
        </is>
      </c>
      <c r="C1350" s="14" t="inlineStr">
        <is>
          <t>avi</t>
        </is>
      </c>
      <c r="D1350" s="35">
        <f>INDEX(Inputs!$W$5:$W$132,MATCH($B1350&amp;"|"&amp;$C1350,Inputs!$A$5:$A$132,0))</f>
        <v/>
      </c>
      <c r="E1350" s="39" t="n"/>
      <c r="F1350" s="39" t="n"/>
      <c r="G1350" s="39" t="n"/>
      <c r="H1350" s="14">
        <f>INDEX(VarLab,MATCH($A1350,VarKey,0))&amp;INDEX(MemLab,MATCH($C1350&amp;"|"&amp;$B1350,MemKey,0))</f>
        <v/>
      </c>
      <c r="I1350" s="14">
        <f>INDEX(VarUnit,MATCH($A1350,VarKey,0))</f>
        <v/>
      </c>
      <c r="J1350" s="14">
        <f>INDEX(VarSrc,MATCH($A1350,VarKey,0))</f>
        <v/>
      </c>
      <c r="K1350" s="11">
        <f>CodePrefix&amp;$A1350&amp;IF($C1350="","","."&amp;$C1350&amp;"."&amp;$B1350)&amp;INDEX(VarEnd,MATCH($A1350,VarKey,0))&amp;K$5</f>
        <v/>
      </c>
      <c r="L1350" s="15">
        <f>L1341*Settings!$C$13*$D1350</f>
        <v/>
      </c>
      <c r="M1350" s="16">
        <f>M1341*Settings!$C$13*$D1350</f>
        <v/>
      </c>
      <c r="N1350" s="16">
        <f>N1341*Settings!$C$13*$D1350</f>
        <v/>
      </c>
      <c r="O1350" s="16">
        <f>O1341*Settings!$C$13*$D1350</f>
        <v/>
      </c>
      <c r="P1350" s="16">
        <f>P1341*Settings!$C$13*$D1350</f>
        <v/>
      </c>
      <c r="Q1350" s="16">
        <f>Q1341*Settings!$C$13*$D1350</f>
        <v/>
      </c>
      <c r="R1350" s="16">
        <f>R1341*Settings!$C$13*$D1350</f>
        <v/>
      </c>
      <c r="S1350" s="16">
        <f>S1341*Settings!$C$13*$D1350</f>
        <v/>
      </c>
      <c r="T1350" s="16">
        <f>T1341*Settings!$C$13*$D1350</f>
        <v/>
      </c>
      <c r="U1350" s="16">
        <f>U1341*Settings!$C$13*$D1350</f>
        <v/>
      </c>
      <c r="V1350" s="16">
        <f>V1341*Settings!$C$13*$D1350</f>
        <v/>
      </c>
      <c r="W1350" s="16">
        <f>W1341*Settings!$C$13*$D1350</f>
        <v/>
      </c>
      <c r="X1350" s="16">
        <f>X1341*Settings!$C$13*$D1350</f>
        <v/>
      </c>
      <c r="Y1350" s="16">
        <f>Y1341*Settings!$C$13*$D1350</f>
        <v/>
      </c>
      <c r="Z1350" s="16">
        <f>Z1341*Settings!$C$13*$D1350</f>
        <v/>
      </c>
      <c r="AA1350" s="16">
        <f>AA1341*Settings!$C$13*$D1350</f>
        <v/>
      </c>
      <c r="AB1350" s="16">
        <f>AB1341*Settings!$C$13*$D1350</f>
        <v/>
      </c>
      <c r="AC1350" s="16">
        <f>AC1341*Settings!$C$13*$D1350</f>
        <v/>
      </c>
      <c r="AD1350" s="16">
        <f>AD1341*Settings!$C$13*$D1350</f>
        <v/>
      </c>
      <c r="AE1350" s="49">
        <f>EMISSIONS(AE1341,Settings!$C$13,$D1350)</f>
        <v/>
      </c>
      <c r="AG1350" s="11">
        <f>CodePrefix&amp;$A1350&amp;IF($C1350="","","."&amp;$C1350&amp;"."&amp;$B1350)&amp;INDEX(VarEnd,MATCH($A1350,VarKey,0))&amp;AG$5</f>
        <v/>
      </c>
      <c r="AH1350" s="15">
        <f>AH1341*Settings!$C$13*$D1350</f>
        <v/>
      </c>
      <c r="AI1350" s="16">
        <f>AI1341*Settings!$C$13*$D1350</f>
        <v/>
      </c>
      <c r="AJ1350" s="16">
        <f>AJ1341*Settings!$C$13*$D1350</f>
        <v/>
      </c>
      <c r="AK1350" s="16">
        <f>AK1341*Settings!$C$13*$D1350</f>
        <v/>
      </c>
      <c r="AL1350" s="16">
        <f>AL1341*Settings!$C$13*$D1350</f>
        <v/>
      </c>
      <c r="AM1350" s="16">
        <f>AM1341*Settings!$C$13*$D1350</f>
        <v/>
      </c>
      <c r="AN1350" s="16">
        <f>AN1341*Settings!$C$13*$D1350</f>
        <v/>
      </c>
      <c r="AO1350" s="16">
        <f>AO1341*Settings!$C$13*$D1350</f>
        <v/>
      </c>
      <c r="AP1350" s="16">
        <f>AP1341*Settings!$C$13*$D1350</f>
        <v/>
      </c>
      <c r="AQ1350" s="16">
        <f>AQ1341*Settings!$C$13*$D1350</f>
        <v/>
      </c>
      <c r="AR1350" s="16">
        <f>AR1341*Settings!$C$13*$D1350</f>
        <v/>
      </c>
      <c r="AS1350" s="16">
        <f>AS1341*Settings!$C$13*$D1350</f>
        <v/>
      </c>
      <c r="AT1350" s="16">
        <f>AT1341*Settings!$C$13*$D1350</f>
        <v/>
      </c>
      <c r="AU1350" s="16">
        <f>AU1341*Settings!$C$13*$D1350</f>
        <v/>
      </c>
      <c r="AV1350" s="16">
        <f>AV1341*Settings!$C$13*$D1350</f>
        <v/>
      </c>
      <c r="AW1350" s="16">
        <f>AW1341*Settings!$C$13*$D1350</f>
        <v/>
      </c>
      <c r="AX1350" s="16">
        <f>AX1341*Settings!$C$13*$D1350</f>
        <v/>
      </c>
      <c r="AY1350" s="16">
        <f>AY1341*Settings!$C$13*$D1350</f>
        <v/>
      </c>
      <c r="AZ1350" s="16">
        <f>AZ1341*Settings!$C$13*$D1350</f>
        <v/>
      </c>
      <c r="BA1350" s="49">
        <f>EMISSIONS(BA1341,Settings!$C$13,$D1350)</f>
        <v/>
      </c>
    </row>
    <row r="1351" hidden="1" outlineLevel="2">
      <c r="A1351" s="14" t="inlineStr">
        <is>
          <t>co2</t>
        </is>
      </c>
      <c r="B1351" s="14" t="inlineStr">
        <is>
          <t>bio</t>
        </is>
      </c>
      <c r="C1351" s="14" t="inlineStr">
        <is>
          <t>avi</t>
        </is>
      </c>
      <c r="D1351" s="35">
        <f>INDEX(Inputs!$W$5:$W$132,MATCH($B1351&amp;"|"&amp;$C1351,Inputs!$A$5:$A$132,0))</f>
        <v/>
      </c>
      <c r="E1351" s="39" t="n"/>
      <c r="F1351" s="39" t="n"/>
      <c r="G1351" s="39" t="n"/>
      <c r="H1351" s="14">
        <f>INDEX(VarLab,MATCH($A1351,VarKey,0))&amp;INDEX(MemLab,MATCH($C1351&amp;"|"&amp;$B1351,MemKey,0))</f>
        <v/>
      </c>
      <c r="I1351" s="14">
        <f>INDEX(VarUnit,MATCH($A1351,VarKey,0))</f>
        <v/>
      </c>
      <c r="J1351" s="14">
        <f>INDEX(VarSrc,MATCH($A1351,VarKey,0))</f>
        <v/>
      </c>
      <c r="K1351" s="11">
        <f>CodePrefix&amp;$A1351&amp;IF($C1351="","","."&amp;$C1351&amp;"."&amp;$B1351)&amp;INDEX(VarEnd,MATCH($A1351,VarKey,0))&amp;K$5</f>
        <v/>
      </c>
      <c r="L1351" s="15">
        <f>L1342*Settings!$C$13*$D1351</f>
        <v/>
      </c>
      <c r="M1351" s="16">
        <f>M1342*Settings!$C$13*$D1351</f>
        <v/>
      </c>
      <c r="N1351" s="16">
        <f>N1342*Settings!$C$13*$D1351</f>
        <v/>
      </c>
      <c r="O1351" s="16">
        <f>O1342*Settings!$C$13*$D1351</f>
        <v/>
      </c>
      <c r="P1351" s="16">
        <f>P1342*Settings!$C$13*$D1351</f>
        <v/>
      </c>
      <c r="Q1351" s="16">
        <f>Q1342*Settings!$C$13*$D1351</f>
        <v/>
      </c>
      <c r="R1351" s="16">
        <f>R1342*Settings!$C$13*$D1351</f>
        <v/>
      </c>
      <c r="S1351" s="16">
        <f>S1342*Settings!$C$13*$D1351</f>
        <v/>
      </c>
      <c r="T1351" s="16">
        <f>T1342*Settings!$C$13*$D1351</f>
        <v/>
      </c>
      <c r="U1351" s="16">
        <f>U1342*Settings!$C$13*$D1351</f>
        <v/>
      </c>
      <c r="V1351" s="16">
        <f>V1342*Settings!$C$13*$D1351</f>
        <v/>
      </c>
      <c r="W1351" s="16">
        <f>W1342*Settings!$C$13*$D1351</f>
        <v/>
      </c>
      <c r="X1351" s="16">
        <f>X1342*Settings!$C$13*$D1351</f>
        <v/>
      </c>
      <c r="Y1351" s="16">
        <f>Y1342*Settings!$C$13*$D1351</f>
        <v/>
      </c>
      <c r="Z1351" s="16">
        <f>Z1342*Settings!$C$13*$D1351</f>
        <v/>
      </c>
      <c r="AA1351" s="16">
        <f>AA1342*Settings!$C$13*$D1351</f>
        <v/>
      </c>
      <c r="AB1351" s="16">
        <f>AB1342*Settings!$C$13*$D1351</f>
        <v/>
      </c>
      <c r="AC1351" s="16">
        <f>AC1342*Settings!$C$13*$D1351</f>
        <v/>
      </c>
      <c r="AD1351" s="16">
        <f>AD1342*Settings!$C$13*$D1351</f>
        <v/>
      </c>
      <c r="AE1351" s="49">
        <f>EMISSIONS(AE1342,Settings!$C$13,$D1351)</f>
        <v/>
      </c>
      <c r="AG1351" s="11">
        <f>CodePrefix&amp;$A1351&amp;IF($C1351="","","."&amp;$C1351&amp;"."&amp;$B1351)&amp;INDEX(VarEnd,MATCH($A1351,VarKey,0))&amp;AG$5</f>
        <v/>
      </c>
      <c r="AH1351" s="15">
        <f>AH1342*Settings!$C$13*$D1351</f>
        <v/>
      </c>
      <c r="AI1351" s="16">
        <f>AI1342*Settings!$C$13*$D1351</f>
        <v/>
      </c>
      <c r="AJ1351" s="16">
        <f>AJ1342*Settings!$C$13*$D1351</f>
        <v/>
      </c>
      <c r="AK1351" s="16">
        <f>AK1342*Settings!$C$13*$D1351</f>
        <v/>
      </c>
      <c r="AL1351" s="16">
        <f>AL1342*Settings!$C$13*$D1351</f>
        <v/>
      </c>
      <c r="AM1351" s="16">
        <f>AM1342*Settings!$C$13*$D1351</f>
        <v/>
      </c>
      <c r="AN1351" s="16">
        <f>AN1342*Settings!$C$13*$D1351</f>
        <v/>
      </c>
      <c r="AO1351" s="16">
        <f>AO1342*Settings!$C$13*$D1351</f>
        <v/>
      </c>
      <c r="AP1351" s="16">
        <f>AP1342*Settings!$C$13*$D1351</f>
        <v/>
      </c>
      <c r="AQ1351" s="16">
        <f>AQ1342*Settings!$C$13*$D1351</f>
        <v/>
      </c>
      <c r="AR1351" s="16">
        <f>AR1342*Settings!$C$13*$D1351</f>
        <v/>
      </c>
      <c r="AS1351" s="16">
        <f>AS1342*Settings!$C$13*$D1351</f>
        <v/>
      </c>
      <c r="AT1351" s="16">
        <f>AT1342*Settings!$C$13*$D1351</f>
        <v/>
      </c>
      <c r="AU1351" s="16">
        <f>AU1342*Settings!$C$13*$D1351</f>
        <v/>
      </c>
      <c r="AV1351" s="16">
        <f>AV1342*Settings!$C$13*$D1351</f>
        <v/>
      </c>
      <c r="AW1351" s="16">
        <f>AW1342*Settings!$C$13*$D1351</f>
        <v/>
      </c>
      <c r="AX1351" s="16">
        <f>AX1342*Settings!$C$13*$D1351</f>
        <v/>
      </c>
      <c r="AY1351" s="16">
        <f>AY1342*Settings!$C$13*$D1351</f>
        <v/>
      </c>
      <c r="AZ1351" s="16">
        <f>AZ1342*Settings!$C$13*$D1351</f>
        <v/>
      </c>
      <c r="BA1351" s="49">
        <f>EMISSIONS(BA1342,Settings!$C$13,$D1351)</f>
        <v/>
      </c>
    </row>
    <row r="1352" hidden="1" outlineLevel="2"/>
    <row r="1353" hidden="1" outlineLevel="2">
      <c r="A1353" s="14" t="inlineStr">
        <is>
          <t>rtx</t>
        </is>
      </c>
      <c r="B1353" s="14" t="inlineStr">
        <is>
          <t>coa</t>
        </is>
      </c>
      <c r="C1353" s="14" t="inlineStr">
        <is>
          <t>avi</t>
        </is>
      </c>
      <c r="D1353" s="35">
        <f>INDEX(Inputs!$U$5:$U$132,MATCH($B1353&amp;"|"&amp;$C1353,Inputs!$A$5:$A$132,0))</f>
        <v/>
      </c>
      <c r="E1353" s="35">
        <f>INDEX(Inputs!$V$5:$V$132,MATCH($B1353&amp;"|"&amp;$C1353,Inputs!$A$5:$A$132,0))</f>
        <v/>
      </c>
      <c r="F1353" s="39" t="n"/>
      <c r="G1353" s="39" t="n"/>
      <c r="H1353" s="14">
        <f>INDEX(VarLab,MATCH($A1353,VarKey,0))&amp;INDEX(MemLab,MATCH($C1353&amp;"|"&amp;$B1353,MemKey,0))</f>
        <v/>
      </c>
      <c r="I1353" s="14">
        <f>INDEX(VarUnit,MATCH($A1353,VarKey,0))</f>
        <v/>
      </c>
      <c r="J1353" s="14">
        <f>INDEX(VarSrc,MATCH($A1353,VarKey,0))</f>
        <v/>
      </c>
      <c r="K1353" s="11">
        <f>CodePrefix&amp;$A1353&amp;IF($C1353="","","."&amp;$C1353&amp;"."&amp;$B1353)&amp;INDEX(VarEnd,MATCH($A1353,VarKey,0))&amp;K$5</f>
        <v/>
      </c>
      <c r="L1353" s="43">
        <f>L1335*Settings!$C$13*(INDEX(L$407:L$418,$D1353)+INDEX(L$394:L$405,$D1353)+L1308*(1+$E1353))</f>
        <v/>
      </c>
      <c r="M1353" s="44">
        <f>M1335*Settings!$C$13*(INDEX(M$407:M$418,$D1353)+INDEX(M$394:M$405,$D1353)+M1308*(1+$E1353))</f>
        <v/>
      </c>
      <c r="N1353" s="44">
        <f>N1335*Settings!$C$13*(INDEX(N$407:N$418,$D1353)+INDEX(N$394:N$405,$D1353)+N1308*(1+$E1353))</f>
        <v/>
      </c>
      <c r="O1353" s="44">
        <f>O1335*Settings!$C$13*(INDEX(O$407:O$418,$D1353)+INDEX(O$394:O$405,$D1353)+O1308*(1+$E1353))</f>
        <v/>
      </c>
      <c r="P1353" s="44">
        <f>P1335*Settings!$C$13*(INDEX(P$407:P$418,$D1353)+INDEX(P$394:P$405,$D1353)+P1308*(1+$E1353))</f>
        <v/>
      </c>
      <c r="Q1353" s="44">
        <f>Q1335*Settings!$C$13*(INDEX(Q$407:Q$418,$D1353)+INDEX(Q$394:Q$405,$D1353)+Q1308*(1+$E1353))</f>
        <v/>
      </c>
      <c r="R1353" s="44">
        <f>R1335*Settings!$C$13*(INDEX(R$407:R$418,$D1353)+INDEX(R$394:R$405,$D1353)+R1308*(1+$E1353))</f>
        <v/>
      </c>
      <c r="S1353" s="44">
        <f>S1335*Settings!$C$13*(INDEX(S$407:S$418,$D1353)+INDEX(S$394:S$405,$D1353)+S1308*(1+$E1353))</f>
        <v/>
      </c>
      <c r="T1353" s="44">
        <f>T1335*Settings!$C$13*(INDEX(T$407:T$418,$D1353)+INDEX(T$394:T$405,$D1353)+T1308*(1+$E1353))</f>
        <v/>
      </c>
      <c r="U1353" s="44">
        <f>U1335*Settings!$C$13*(INDEX(U$407:U$418,$D1353)+INDEX(U$394:U$405,$D1353)+U1308*(1+$E1353))</f>
        <v/>
      </c>
      <c r="V1353" s="44">
        <f>V1335*Settings!$C$13*(INDEX(V$407:V$418,$D1353)+INDEX(V$394:V$405,$D1353)+V1308*(1+$E1353))</f>
        <v/>
      </c>
      <c r="W1353" s="44">
        <f>W1335*Settings!$C$13*(INDEX(W$407:W$418,$D1353)+INDEX(W$394:W$405,$D1353)+W1308*(1+$E1353))</f>
        <v/>
      </c>
      <c r="X1353" s="44">
        <f>X1335*Settings!$C$13*(INDEX(X$407:X$418,$D1353)+INDEX(X$394:X$405,$D1353)+X1308*(1+$E1353))</f>
        <v/>
      </c>
      <c r="Y1353" s="44">
        <f>Y1335*Settings!$C$13*(INDEX(Y$407:Y$418,$D1353)+INDEX(Y$394:Y$405,$D1353)+Y1308*(1+$E1353))</f>
        <v/>
      </c>
      <c r="Z1353" s="44">
        <f>Z1335*Settings!$C$13*(INDEX(Z$407:Z$418,$D1353)+INDEX(Z$394:Z$405,$D1353)+Z1308*(1+$E1353))</f>
        <v/>
      </c>
      <c r="AA1353" s="44">
        <f>AA1335*Settings!$C$13*(INDEX(AA$407:AA$418,$D1353)+INDEX(AA$394:AA$405,$D1353)+AA1308*(1+$E1353))</f>
        <v/>
      </c>
      <c r="AB1353" s="44">
        <f>AB1335*Settings!$C$13*(INDEX(AB$407:AB$418,$D1353)+INDEX(AB$394:AB$405,$D1353)+AB1308*(1+$E1353))</f>
        <v/>
      </c>
      <c r="AC1353" s="44">
        <f>AC1335*Settings!$C$13*(INDEX(AC$407:AC$418,$D1353)+INDEX(AC$394:AC$405,$D1353)+AC1308*(1+$E1353))</f>
        <v/>
      </c>
      <c r="AD1353" s="44">
        <f>AD1335*Settings!$C$13*(INDEX(AD$407:AD$418,$D1353)+INDEX(AD$394:AD$405,$D1353)+AD1308*(1+$E1353))</f>
        <v/>
      </c>
      <c r="AE1353" s="57">
        <f>REVENUE(AE1335,Settings!$C$13,INDEX(AE$407:AE$418,$D1353)+INDEX(AE$394:AE$405,$D1353)+AE1308*(1+$E1353))</f>
        <v/>
      </c>
      <c r="AG1353" s="11">
        <f>CodePrefix&amp;$A1353&amp;IF($C1353="","","."&amp;$C1353&amp;"."&amp;$B1353)&amp;INDEX(VarEnd,MATCH($A1353,VarKey,0))&amp;AG$5</f>
        <v/>
      </c>
      <c r="AH1353" s="43">
        <f>AH1335*Settings!$C$13*(INDEX(AH$407:AH$418,$D1353)+INDEX(AH$394:AH$405,$D1353)+AH1308*(1+$E1353))</f>
        <v/>
      </c>
      <c r="AI1353" s="44">
        <f>AI1335*Settings!$C$13*(INDEX(AI$407:AI$418,$D1353)+INDEX(AI$394:AI$405,$D1353)+AI1308*(1+$E1353))</f>
        <v/>
      </c>
      <c r="AJ1353" s="44">
        <f>AJ1335*Settings!$C$13*(INDEX(AJ$407:AJ$418,$D1353)+INDEX(AJ$394:AJ$405,$D1353)+AJ1308*(1+$E1353))</f>
        <v/>
      </c>
      <c r="AK1353" s="44">
        <f>AK1335*Settings!$C$13*(INDEX(AK$407:AK$418,$D1353)+INDEX(AK$394:AK$405,$D1353)+AK1308*(1+$E1353))</f>
        <v/>
      </c>
      <c r="AL1353" s="44">
        <f>AL1335*Settings!$C$13*(INDEX(AL$407:AL$418,$D1353)+INDEX(AL$394:AL$405,$D1353)+AL1308*(1+$E1353))</f>
        <v/>
      </c>
      <c r="AM1353" s="44">
        <f>AM1335*Settings!$C$13*(INDEX(AM$407:AM$418,$D1353)+INDEX(AM$394:AM$405,$D1353)+AM1308*(1+$E1353))</f>
        <v/>
      </c>
      <c r="AN1353" s="44">
        <f>AN1335*Settings!$C$13*(INDEX(AN$407:AN$418,$D1353)+INDEX(AN$394:AN$405,$D1353)+AN1308*(1+$E1353))</f>
        <v/>
      </c>
      <c r="AO1353" s="44">
        <f>AO1335*Settings!$C$13*(INDEX(AO$407:AO$418,$D1353)+INDEX(AO$394:AO$405,$D1353)+AO1308*(1+$E1353))</f>
        <v/>
      </c>
      <c r="AP1353" s="44">
        <f>AP1335*Settings!$C$13*(INDEX(AP$407:AP$418,$D1353)+INDEX(AP$394:AP$405,$D1353)+AP1308*(1+$E1353))</f>
        <v/>
      </c>
      <c r="AQ1353" s="44">
        <f>AQ1335*Settings!$C$13*(INDEX(AQ$407:AQ$418,$D1353)+INDEX(AQ$394:AQ$405,$D1353)+AQ1308*(1+$E1353))</f>
        <v/>
      </c>
      <c r="AR1353" s="44">
        <f>AR1335*Settings!$C$13*(INDEX(AR$407:AR$418,$D1353)+INDEX(AR$394:AR$405,$D1353)+AR1308*(1+$E1353))</f>
        <v/>
      </c>
      <c r="AS1353" s="44">
        <f>AS1335*Settings!$C$13*(INDEX(AS$407:AS$418,$D1353)+INDEX(AS$394:AS$405,$D1353)+AS1308*(1+$E1353))</f>
        <v/>
      </c>
      <c r="AT1353" s="44">
        <f>AT1335*Settings!$C$13*(INDEX(AT$407:AT$418,$D1353)+INDEX(AT$394:AT$405,$D1353)+AT1308*(1+$E1353))</f>
        <v/>
      </c>
      <c r="AU1353" s="44">
        <f>AU1335*Settings!$C$13*(INDEX(AU$407:AU$418,$D1353)+INDEX(AU$394:AU$405,$D1353)+AU1308*(1+$E1353))</f>
        <v/>
      </c>
      <c r="AV1353" s="44">
        <f>AV1335*Settings!$C$13*(INDEX(AV$407:AV$418,$D1353)+INDEX(AV$394:AV$405,$D1353)+AV1308*(1+$E1353))</f>
        <v/>
      </c>
      <c r="AW1353" s="44">
        <f>AW1335*Settings!$C$13*(INDEX(AW$407:AW$418,$D1353)+INDEX(AW$394:AW$405,$D1353)+AW1308*(1+$E1353))</f>
        <v/>
      </c>
      <c r="AX1353" s="44">
        <f>AX1335*Settings!$C$13*(INDEX(AX$407:AX$418,$D1353)+INDEX(AX$394:AX$405,$D1353)+AX1308*(1+$E1353))</f>
        <v/>
      </c>
      <c r="AY1353" s="44">
        <f>AY1335*Settings!$C$13*(INDEX(AY$407:AY$418,$D1353)+INDEX(AY$394:AY$405,$D1353)+AY1308*(1+$E1353))</f>
        <v/>
      </c>
      <c r="AZ1353" s="44">
        <f>AZ1335*Settings!$C$13*(INDEX(AZ$407:AZ$418,$D1353)+INDEX(AZ$394:AZ$405,$D1353)+AZ1308*(1+$E1353))</f>
        <v/>
      </c>
      <c r="BA1353" s="57">
        <f>REVENUE(BA1335,Settings!$C$13,INDEX(BA$407:BA$418,$D1353)+INDEX(BA$394:BA$405,$D1353)+BA1308*(1+$E1353))</f>
        <v/>
      </c>
    </row>
    <row r="1354" hidden="1" outlineLevel="2">
      <c r="A1354" s="14" t="inlineStr">
        <is>
          <t>rtx</t>
        </is>
      </c>
      <c r="B1354" s="14" t="inlineStr">
        <is>
          <t>nga</t>
        </is>
      </c>
      <c r="C1354" s="14" t="inlineStr">
        <is>
          <t>avi</t>
        </is>
      </c>
      <c r="D1354" s="35">
        <f>INDEX(Inputs!$U$5:$U$132,MATCH($B1354&amp;"|"&amp;$C1354,Inputs!$A$5:$A$132,0))</f>
        <v/>
      </c>
      <c r="E1354" s="35">
        <f>INDEX(Inputs!$V$5:$V$132,MATCH($B1354&amp;"|"&amp;$C1354,Inputs!$A$5:$A$132,0))</f>
        <v/>
      </c>
      <c r="F1354" s="39" t="n"/>
      <c r="G1354" s="39" t="n"/>
      <c r="H1354" s="14">
        <f>INDEX(VarLab,MATCH($A1354,VarKey,0))&amp;INDEX(MemLab,MATCH($C1354&amp;"|"&amp;$B1354,MemKey,0))</f>
        <v/>
      </c>
      <c r="I1354" s="14">
        <f>INDEX(VarUnit,MATCH($A1354,VarKey,0))</f>
        <v/>
      </c>
      <c r="J1354" s="14">
        <f>INDEX(VarSrc,MATCH($A1354,VarKey,0))</f>
        <v/>
      </c>
      <c r="K1354" s="11">
        <f>CodePrefix&amp;$A1354&amp;IF($C1354="","","."&amp;$C1354&amp;"."&amp;$B1354)&amp;INDEX(VarEnd,MATCH($A1354,VarKey,0))&amp;K$5</f>
        <v/>
      </c>
      <c r="L1354" s="43">
        <f>L1336*Settings!$C$13*(INDEX(L$407:L$418,$D1354)+INDEX(L$394:L$405,$D1354)+L1309*(1+$E1354))</f>
        <v/>
      </c>
      <c r="M1354" s="44">
        <f>M1336*Settings!$C$13*(INDEX(M$407:M$418,$D1354)+INDEX(M$394:M$405,$D1354)+M1309*(1+$E1354))</f>
        <v/>
      </c>
      <c r="N1354" s="44">
        <f>N1336*Settings!$C$13*(INDEX(N$407:N$418,$D1354)+INDEX(N$394:N$405,$D1354)+N1309*(1+$E1354))</f>
        <v/>
      </c>
      <c r="O1354" s="44">
        <f>O1336*Settings!$C$13*(INDEX(O$407:O$418,$D1354)+INDEX(O$394:O$405,$D1354)+O1309*(1+$E1354))</f>
        <v/>
      </c>
      <c r="P1354" s="44">
        <f>P1336*Settings!$C$13*(INDEX(P$407:P$418,$D1354)+INDEX(P$394:P$405,$D1354)+P1309*(1+$E1354))</f>
        <v/>
      </c>
      <c r="Q1354" s="44">
        <f>Q1336*Settings!$C$13*(INDEX(Q$407:Q$418,$D1354)+INDEX(Q$394:Q$405,$D1354)+Q1309*(1+$E1354))</f>
        <v/>
      </c>
      <c r="R1354" s="44">
        <f>R1336*Settings!$C$13*(INDEX(R$407:R$418,$D1354)+INDEX(R$394:R$405,$D1354)+R1309*(1+$E1354))</f>
        <v/>
      </c>
      <c r="S1354" s="44">
        <f>S1336*Settings!$C$13*(INDEX(S$407:S$418,$D1354)+INDEX(S$394:S$405,$D1354)+S1309*(1+$E1354))</f>
        <v/>
      </c>
      <c r="T1354" s="44">
        <f>T1336*Settings!$C$13*(INDEX(T$407:T$418,$D1354)+INDEX(T$394:T$405,$D1354)+T1309*(1+$E1354))</f>
        <v/>
      </c>
      <c r="U1354" s="44">
        <f>U1336*Settings!$C$13*(INDEX(U$407:U$418,$D1354)+INDEX(U$394:U$405,$D1354)+U1309*(1+$E1354))</f>
        <v/>
      </c>
      <c r="V1354" s="44">
        <f>V1336*Settings!$C$13*(INDEX(V$407:V$418,$D1354)+INDEX(V$394:V$405,$D1354)+V1309*(1+$E1354))</f>
        <v/>
      </c>
      <c r="W1354" s="44">
        <f>W1336*Settings!$C$13*(INDEX(W$407:W$418,$D1354)+INDEX(W$394:W$405,$D1354)+W1309*(1+$E1354))</f>
        <v/>
      </c>
      <c r="X1354" s="44">
        <f>X1336*Settings!$C$13*(INDEX(X$407:X$418,$D1354)+INDEX(X$394:X$405,$D1354)+X1309*(1+$E1354))</f>
        <v/>
      </c>
      <c r="Y1354" s="44">
        <f>Y1336*Settings!$C$13*(INDEX(Y$407:Y$418,$D1354)+INDEX(Y$394:Y$405,$D1354)+Y1309*(1+$E1354))</f>
        <v/>
      </c>
      <c r="Z1354" s="44">
        <f>Z1336*Settings!$C$13*(INDEX(Z$407:Z$418,$D1354)+INDEX(Z$394:Z$405,$D1354)+Z1309*(1+$E1354))</f>
        <v/>
      </c>
      <c r="AA1354" s="44">
        <f>AA1336*Settings!$C$13*(INDEX(AA$407:AA$418,$D1354)+INDEX(AA$394:AA$405,$D1354)+AA1309*(1+$E1354))</f>
        <v/>
      </c>
      <c r="AB1354" s="44">
        <f>AB1336*Settings!$C$13*(INDEX(AB$407:AB$418,$D1354)+INDEX(AB$394:AB$405,$D1354)+AB1309*(1+$E1354))</f>
        <v/>
      </c>
      <c r="AC1354" s="44">
        <f>AC1336*Settings!$C$13*(INDEX(AC$407:AC$418,$D1354)+INDEX(AC$394:AC$405,$D1354)+AC1309*(1+$E1354))</f>
        <v/>
      </c>
      <c r="AD1354" s="44">
        <f>AD1336*Settings!$C$13*(INDEX(AD$407:AD$418,$D1354)+INDEX(AD$394:AD$405,$D1354)+AD1309*(1+$E1354))</f>
        <v/>
      </c>
      <c r="AE1354" s="57">
        <f>REVENUE(AE1336,Settings!$C$13,INDEX(AE$407:AE$418,$D1354)+INDEX(AE$394:AE$405,$D1354)+AE1309*(1+$E1354))</f>
        <v/>
      </c>
      <c r="AG1354" s="11">
        <f>CodePrefix&amp;$A1354&amp;IF($C1354="","","."&amp;$C1354&amp;"."&amp;$B1354)&amp;INDEX(VarEnd,MATCH($A1354,VarKey,0))&amp;AG$5</f>
        <v/>
      </c>
      <c r="AH1354" s="43">
        <f>AH1336*Settings!$C$13*(INDEX(AH$407:AH$418,$D1354)+INDEX(AH$394:AH$405,$D1354)+AH1309*(1+$E1354))</f>
        <v/>
      </c>
      <c r="AI1354" s="44">
        <f>AI1336*Settings!$C$13*(INDEX(AI$407:AI$418,$D1354)+INDEX(AI$394:AI$405,$D1354)+AI1309*(1+$E1354))</f>
        <v/>
      </c>
      <c r="AJ1354" s="44">
        <f>AJ1336*Settings!$C$13*(INDEX(AJ$407:AJ$418,$D1354)+INDEX(AJ$394:AJ$405,$D1354)+AJ1309*(1+$E1354))</f>
        <v/>
      </c>
      <c r="AK1354" s="44">
        <f>AK1336*Settings!$C$13*(INDEX(AK$407:AK$418,$D1354)+INDEX(AK$394:AK$405,$D1354)+AK1309*(1+$E1354))</f>
        <v/>
      </c>
      <c r="AL1354" s="44">
        <f>AL1336*Settings!$C$13*(INDEX(AL$407:AL$418,$D1354)+INDEX(AL$394:AL$405,$D1354)+AL1309*(1+$E1354))</f>
        <v/>
      </c>
      <c r="AM1354" s="44">
        <f>AM1336*Settings!$C$13*(INDEX(AM$407:AM$418,$D1354)+INDEX(AM$394:AM$405,$D1354)+AM1309*(1+$E1354))</f>
        <v/>
      </c>
      <c r="AN1354" s="44">
        <f>AN1336*Settings!$C$13*(INDEX(AN$407:AN$418,$D1354)+INDEX(AN$394:AN$405,$D1354)+AN1309*(1+$E1354))</f>
        <v/>
      </c>
      <c r="AO1354" s="44">
        <f>AO1336*Settings!$C$13*(INDEX(AO$407:AO$418,$D1354)+INDEX(AO$394:AO$405,$D1354)+AO1309*(1+$E1354))</f>
        <v/>
      </c>
      <c r="AP1354" s="44">
        <f>AP1336*Settings!$C$13*(INDEX(AP$407:AP$418,$D1354)+INDEX(AP$394:AP$405,$D1354)+AP1309*(1+$E1354))</f>
        <v/>
      </c>
      <c r="AQ1354" s="44">
        <f>AQ1336*Settings!$C$13*(INDEX(AQ$407:AQ$418,$D1354)+INDEX(AQ$394:AQ$405,$D1354)+AQ1309*(1+$E1354))</f>
        <v/>
      </c>
      <c r="AR1354" s="44">
        <f>AR1336*Settings!$C$13*(INDEX(AR$407:AR$418,$D1354)+INDEX(AR$394:AR$405,$D1354)+AR1309*(1+$E1354))</f>
        <v/>
      </c>
      <c r="AS1354" s="44">
        <f>AS1336*Settings!$C$13*(INDEX(AS$407:AS$418,$D1354)+INDEX(AS$394:AS$405,$D1354)+AS1309*(1+$E1354))</f>
        <v/>
      </c>
      <c r="AT1354" s="44">
        <f>AT1336*Settings!$C$13*(INDEX(AT$407:AT$418,$D1354)+INDEX(AT$394:AT$405,$D1354)+AT1309*(1+$E1354))</f>
        <v/>
      </c>
      <c r="AU1354" s="44">
        <f>AU1336*Settings!$C$13*(INDEX(AU$407:AU$418,$D1354)+INDEX(AU$394:AU$405,$D1354)+AU1309*(1+$E1354))</f>
        <v/>
      </c>
      <c r="AV1354" s="44">
        <f>AV1336*Settings!$C$13*(INDEX(AV$407:AV$418,$D1354)+INDEX(AV$394:AV$405,$D1354)+AV1309*(1+$E1354))</f>
        <v/>
      </c>
      <c r="AW1354" s="44">
        <f>AW1336*Settings!$C$13*(INDEX(AW$407:AW$418,$D1354)+INDEX(AW$394:AW$405,$D1354)+AW1309*(1+$E1354))</f>
        <v/>
      </c>
      <c r="AX1354" s="44">
        <f>AX1336*Settings!$C$13*(INDEX(AX$407:AX$418,$D1354)+INDEX(AX$394:AX$405,$D1354)+AX1309*(1+$E1354))</f>
        <v/>
      </c>
      <c r="AY1354" s="44">
        <f>AY1336*Settings!$C$13*(INDEX(AY$407:AY$418,$D1354)+INDEX(AY$394:AY$405,$D1354)+AY1309*(1+$E1354))</f>
        <v/>
      </c>
      <c r="AZ1354" s="44">
        <f>AZ1336*Settings!$C$13*(INDEX(AZ$407:AZ$418,$D1354)+INDEX(AZ$394:AZ$405,$D1354)+AZ1309*(1+$E1354))</f>
        <v/>
      </c>
      <c r="BA1354" s="57">
        <f>REVENUE(BA1336,Settings!$C$13,INDEX(BA$407:BA$418,$D1354)+INDEX(BA$394:BA$405,$D1354)+BA1309*(1+$E1354))</f>
        <v/>
      </c>
    </row>
    <row r="1355" hidden="1" outlineLevel="2">
      <c r="A1355" s="14" t="inlineStr">
        <is>
          <t>rtx</t>
        </is>
      </c>
      <c r="B1355" s="14" t="inlineStr">
        <is>
          <t>gso</t>
        </is>
      </c>
      <c r="C1355" s="14" t="inlineStr">
        <is>
          <t>avi</t>
        </is>
      </c>
      <c r="D1355" s="35">
        <f>INDEX(Inputs!$U$5:$U$132,MATCH($B1355&amp;"|"&amp;$C1355,Inputs!$A$5:$A$132,0))</f>
        <v/>
      </c>
      <c r="E1355" s="35">
        <f>INDEX(Inputs!$V$5:$V$132,MATCH($B1355&amp;"|"&amp;$C1355,Inputs!$A$5:$A$132,0))</f>
        <v/>
      </c>
      <c r="F1355" s="39" t="n"/>
      <c r="G1355" s="39" t="n"/>
      <c r="H1355" s="14">
        <f>INDEX(VarLab,MATCH($A1355,VarKey,0))&amp;INDEX(MemLab,MATCH($C1355&amp;"|"&amp;$B1355,MemKey,0))</f>
        <v/>
      </c>
      <c r="I1355" s="14">
        <f>INDEX(VarUnit,MATCH($A1355,VarKey,0))</f>
        <v/>
      </c>
      <c r="J1355" s="14">
        <f>INDEX(VarSrc,MATCH($A1355,VarKey,0))</f>
        <v/>
      </c>
      <c r="K1355" s="11">
        <f>CodePrefix&amp;$A1355&amp;IF($C1355="","","."&amp;$C1355&amp;"."&amp;$B1355)&amp;INDEX(VarEnd,MATCH($A1355,VarKey,0))&amp;K$5</f>
        <v/>
      </c>
      <c r="L1355" s="43">
        <f>L1337*Settings!$C$13*(INDEX(L$407:L$418,$D1355)+INDEX(L$394:L$405,$D1355)+L1310*(1+$E1355))</f>
        <v/>
      </c>
      <c r="M1355" s="44">
        <f>M1337*Settings!$C$13*(INDEX(M$407:M$418,$D1355)+INDEX(M$394:M$405,$D1355)+M1310*(1+$E1355))</f>
        <v/>
      </c>
      <c r="N1355" s="44">
        <f>N1337*Settings!$C$13*(INDEX(N$407:N$418,$D1355)+INDEX(N$394:N$405,$D1355)+N1310*(1+$E1355))</f>
        <v/>
      </c>
      <c r="O1355" s="44">
        <f>O1337*Settings!$C$13*(INDEX(O$407:O$418,$D1355)+INDEX(O$394:O$405,$D1355)+O1310*(1+$E1355))</f>
        <v/>
      </c>
      <c r="P1355" s="44">
        <f>P1337*Settings!$C$13*(INDEX(P$407:P$418,$D1355)+INDEX(P$394:P$405,$D1355)+P1310*(1+$E1355))</f>
        <v/>
      </c>
      <c r="Q1355" s="44">
        <f>Q1337*Settings!$C$13*(INDEX(Q$407:Q$418,$D1355)+INDEX(Q$394:Q$405,$D1355)+Q1310*(1+$E1355))</f>
        <v/>
      </c>
      <c r="R1355" s="44">
        <f>R1337*Settings!$C$13*(INDEX(R$407:R$418,$D1355)+INDEX(R$394:R$405,$D1355)+R1310*(1+$E1355))</f>
        <v/>
      </c>
      <c r="S1355" s="44">
        <f>S1337*Settings!$C$13*(INDEX(S$407:S$418,$D1355)+INDEX(S$394:S$405,$D1355)+S1310*(1+$E1355))</f>
        <v/>
      </c>
      <c r="T1355" s="44">
        <f>T1337*Settings!$C$13*(INDEX(T$407:T$418,$D1355)+INDEX(T$394:T$405,$D1355)+T1310*(1+$E1355))</f>
        <v/>
      </c>
      <c r="U1355" s="44">
        <f>U1337*Settings!$C$13*(INDEX(U$407:U$418,$D1355)+INDEX(U$394:U$405,$D1355)+U1310*(1+$E1355))</f>
        <v/>
      </c>
      <c r="V1355" s="44">
        <f>V1337*Settings!$C$13*(INDEX(V$407:V$418,$D1355)+INDEX(V$394:V$405,$D1355)+V1310*(1+$E1355))</f>
        <v/>
      </c>
      <c r="W1355" s="44">
        <f>W1337*Settings!$C$13*(INDEX(W$407:W$418,$D1355)+INDEX(W$394:W$405,$D1355)+W1310*(1+$E1355))</f>
        <v/>
      </c>
      <c r="X1355" s="44">
        <f>X1337*Settings!$C$13*(INDEX(X$407:X$418,$D1355)+INDEX(X$394:X$405,$D1355)+X1310*(1+$E1355))</f>
        <v/>
      </c>
      <c r="Y1355" s="44">
        <f>Y1337*Settings!$C$13*(INDEX(Y$407:Y$418,$D1355)+INDEX(Y$394:Y$405,$D1355)+Y1310*(1+$E1355))</f>
        <v/>
      </c>
      <c r="Z1355" s="44">
        <f>Z1337*Settings!$C$13*(INDEX(Z$407:Z$418,$D1355)+INDEX(Z$394:Z$405,$D1355)+Z1310*(1+$E1355))</f>
        <v/>
      </c>
      <c r="AA1355" s="44">
        <f>AA1337*Settings!$C$13*(INDEX(AA$407:AA$418,$D1355)+INDEX(AA$394:AA$405,$D1355)+AA1310*(1+$E1355))</f>
        <v/>
      </c>
      <c r="AB1355" s="44">
        <f>AB1337*Settings!$C$13*(INDEX(AB$407:AB$418,$D1355)+INDEX(AB$394:AB$405,$D1355)+AB1310*(1+$E1355))</f>
        <v/>
      </c>
      <c r="AC1355" s="44">
        <f>AC1337*Settings!$C$13*(INDEX(AC$407:AC$418,$D1355)+INDEX(AC$394:AC$405,$D1355)+AC1310*(1+$E1355))</f>
        <v/>
      </c>
      <c r="AD1355" s="44">
        <f>AD1337*Settings!$C$13*(INDEX(AD$407:AD$418,$D1355)+INDEX(AD$394:AD$405,$D1355)+AD1310*(1+$E1355))</f>
        <v/>
      </c>
      <c r="AE1355" s="57">
        <f>REVENUE(AE1337,Settings!$C$13,INDEX(AE$407:AE$418,$D1355)+INDEX(AE$394:AE$405,$D1355)+AE1310*(1+$E1355))</f>
        <v/>
      </c>
      <c r="AG1355" s="11">
        <f>CodePrefix&amp;$A1355&amp;IF($C1355="","","."&amp;$C1355&amp;"."&amp;$B1355)&amp;INDEX(VarEnd,MATCH($A1355,VarKey,0))&amp;AG$5</f>
        <v/>
      </c>
      <c r="AH1355" s="43">
        <f>AH1337*Settings!$C$13*(INDEX(AH$407:AH$418,$D1355)+INDEX(AH$394:AH$405,$D1355)+AH1310*(1+$E1355))</f>
        <v/>
      </c>
      <c r="AI1355" s="44">
        <f>AI1337*Settings!$C$13*(INDEX(AI$407:AI$418,$D1355)+INDEX(AI$394:AI$405,$D1355)+AI1310*(1+$E1355))</f>
        <v/>
      </c>
      <c r="AJ1355" s="44">
        <f>AJ1337*Settings!$C$13*(INDEX(AJ$407:AJ$418,$D1355)+INDEX(AJ$394:AJ$405,$D1355)+AJ1310*(1+$E1355))</f>
        <v/>
      </c>
      <c r="AK1355" s="44">
        <f>AK1337*Settings!$C$13*(INDEX(AK$407:AK$418,$D1355)+INDEX(AK$394:AK$405,$D1355)+AK1310*(1+$E1355))</f>
        <v/>
      </c>
      <c r="AL1355" s="44">
        <f>AL1337*Settings!$C$13*(INDEX(AL$407:AL$418,$D1355)+INDEX(AL$394:AL$405,$D1355)+AL1310*(1+$E1355))</f>
        <v/>
      </c>
      <c r="AM1355" s="44">
        <f>AM1337*Settings!$C$13*(INDEX(AM$407:AM$418,$D1355)+INDEX(AM$394:AM$405,$D1355)+AM1310*(1+$E1355))</f>
        <v/>
      </c>
      <c r="AN1355" s="44">
        <f>AN1337*Settings!$C$13*(INDEX(AN$407:AN$418,$D1355)+INDEX(AN$394:AN$405,$D1355)+AN1310*(1+$E1355))</f>
        <v/>
      </c>
      <c r="AO1355" s="44">
        <f>AO1337*Settings!$C$13*(INDEX(AO$407:AO$418,$D1355)+INDEX(AO$394:AO$405,$D1355)+AO1310*(1+$E1355))</f>
        <v/>
      </c>
      <c r="AP1355" s="44">
        <f>AP1337*Settings!$C$13*(INDEX(AP$407:AP$418,$D1355)+INDEX(AP$394:AP$405,$D1355)+AP1310*(1+$E1355))</f>
        <v/>
      </c>
      <c r="AQ1355" s="44">
        <f>AQ1337*Settings!$C$13*(INDEX(AQ$407:AQ$418,$D1355)+INDEX(AQ$394:AQ$405,$D1355)+AQ1310*(1+$E1355))</f>
        <v/>
      </c>
      <c r="AR1355" s="44">
        <f>AR1337*Settings!$C$13*(INDEX(AR$407:AR$418,$D1355)+INDEX(AR$394:AR$405,$D1355)+AR1310*(1+$E1355))</f>
        <v/>
      </c>
      <c r="AS1355" s="44">
        <f>AS1337*Settings!$C$13*(INDEX(AS$407:AS$418,$D1355)+INDEX(AS$394:AS$405,$D1355)+AS1310*(1+$E1355))</f>
        <v/>
      </c>
      <c r="AT1355" s="44">
        <f>AT1337*Settings!$C$13*(INDEX(AT$407:AT$418,$D1355)+INDEX(AT$394:AT$405,$D1355)+AT1310*(1+$E1355))</f>
        <v/>
      </c>
      <c r="AU1355" s="44">
        <f>AU1337*Settings!$C$13*(INDEX(AU$407:AU$418,$D1355)+INDEX(AU$394:AU$405,$D1355)+AU1310*(1+$E1355))</f>
        <v/>
      </c>
      <c r="AV1355" s="44">
        <f>AV1337*Settings!$C$13*(INDEX(AV$407:AV$418,$D1355)+INDEX(AV$394:AV$405,$D1355)+AV1310*(1+$E1355))</f>
        <v/>
      </c>
      <c r="AW1355" s="44">
        <f>AW1337*Settings!$C$13*(INDEX(AW$407:AW$418,$D1355)+INDEX(AW$394:AW$405,$D1355)+AW1310*(1+$E1355))</f>
        <v/>
      </c>
      <c r="AX1355" s="44">
        <f>AX1337*Settings!$C$13*(INDEX(AX$407:AX$418,$D1355)+INDEX(AX$394:AX$405,$D1355)+AX1310*(1+$E1355))</f>
        <v/>
      </c>
      <c r="AY1355" s="44">
        <f>AY1337*Settings!$C$13*(INDEX(AY$407:AY$418,$D1355)+INDEX(AY$394:AY$405,$D1355)+AY1310*(1+$E1355))</f>
        <v/>
      </c>
      <c r="AZ1355" s="44">
        <f>AZ1337*Settings!$C$13*(INDEX(AZ$407:AZ$418,$D1355)+INDEX(AZ$394:AZ$405,$D1355)+AZ1310*(1+$E1355))</f>
        <v/>
      </c>
      <c r="BA1355" s="57">
        <f>REVENUE(BA1337,Settings!$C$13,INDEX(BA$407:BA$418,$D1355)+INDEX(BA$394:BA$405,$D1355)+BA1310*(1+$E1355))</f>
        <v/>
      </c>
    </row>
    <row r="1356" hidden="1" outlineLevel="2">
      <c r="A1356" s="14" t="inlineStr">
        <is>
          <t>rtx</t>
        </is>
      </c>
      <c r="B1356" s="14" t="inlineStr">
        <is>
          <t>die</t>
        </is>
      </c>
      <c r="C1356" s="14" t="inlineStr">
        <is>
          <t>avi</t>
        </is>
      </c>
      <c r="D1356" s="35">
        <f>INDEX(Inputs!$U$5:$U$132,MATCH($B1356&amp;"|"&amp;$C1356,Inputs!$A$5:$A$132,0))</f>
        <v/>
      </c>
      <c r="E1356" s="35">
        <f>INDEX(Inputs!$V$5:$V$132,MATCH($B1356&amp;"|"&amp;$C1356,Inputs!$A$5:$A$132,0))</f>
        <v/>
      </c>
      <c r="F1356" s="39" t="n"/>
      <c r="G1356" s="39" t="n"/>
      <c r="H1356" s="14">
        <f>INDEX(VarLab,MATCH($A1356,VarKey,0))&amp;INDEX(MemLab,MATCH($C1356&amp;"|"&amp;$B1356,MemKey,0))</f>
        <v/>
      </c>
      <c r="I1356" s="14">
        <f>INDEX(VarUnit,MATCH($A1356,VarKey,0))</f>
        <v/>
      </c>
      <c r="J1356" s="14">
        <f>INDEX(VarSrc,MATCH($A1356,VarKey,0))</f>
        <v/>
      </c>
      <c r="K1356" s="11">
        <f>CodePrefix&amp;$A1356&amp;IF($C1356="","","."&amp;$C1356&amp;"."&amp;$B1356)&amp;INDEX(VarEnd,MATCH($A1356,VarKey,0))&amp;K$5</f>
        <v/>
      </c>
      <c r="L1356" s="43">
        <f>L1338*Settings!$C$13*(INDEX(L$407:L$418,$D1356)+INDEX(L$394:L$405,$D1356)+L1311*(1+$E1356))</f>
        <v/>
      </c>
      <c r="M1356" s="44">
        <f>M1338*Settings!$C$13*(INDEX(M$407:M$418,$D1356)+INDEX(M$394:M$405,$D1356)+M1311*(1+$E1356))</f>
        <v/>
      </c>
      <c r="N1356" s="44">
        <f>N1338*Settings!$C$13*(INDEX(N$407:N$418,$D1356)+INDEX(N$394:N$405,$D1356)+N1311*(1+$E1356))</f>
        <v/>
      </c>
      <c r="O1356" s="44">
        <f>O1338*Settings!$C$13*(INDEX(O$407:O$418,$D1356)+INDEX(O$394:O$405,$D1356)+O1311*(1+$E1356))</f>
        <v/>
      </c>
      <c r="P1356" s="44">
        <f>P1338*Settings!$C$13*(INDEX(P$407:P$418,$D1356)+INDEX(P$394:P$405,$D1356)+P1311*(1+$E1356))</f>
        <v/>
      </c>
      <c r="Q1356" s="44">
        <f>Q1338*Settings!$C$13*(INDEX(Q$407:Q$418,$D1356)+INDEX(Q$394:Q$405,$D1356)+Q1311*(1+$E1356))</f>
        <v/>
      </c>
      <c r="R1356" s="44">
        <f>R1338*Settings!$C$13*(INDEX(R$407:R$418,$D1356)+INDEX(R$394:R$405,$D1356)+R1311*(1+$E1356))</f>
        <v/>
      </c>
      <c r="S1356" s="44">
        <f>S1338*Settings!$C$13*(INDEX(S$407:S$418,$D1356)+INDEX(S$394:S$405,$D1356)+S1311*(1+$E1356))</f>
        <v/>
      </c>
      <c r="T1356" s="44">
        <f>T1338*Settings!$C$13*(INDEX(T$407:T$418,$D1356)+INDEX(T$394:T$405,$D1356)+T1311*(1+$E1356))</f>
        <v/>
      </c>
      <c r="U1356" s="44">
        <f>U1338*Settings!$C$13*(INDEX(U$407:U$418,$D1356)+INDEX(U$394:U$405,$D1356)+U1311*(1+$E1356))</f>
        <v/>
      </c>
      <c r="V1356" s="44">
        <f>V1338*Settings!$C$13*(INDEX(V$407:V$418,$D1356)+INDEX(V$394:V$405,$D1356)+V1311*(1+$E1356))</f>
        <v/>
      </c>
      <c r="W1356" s="44">
        <f>W1338*Settings!$C$13*(INDEX(W$407:W$418,$D1356)+INDEX(W$394:W$405,$D1356)+W1311*(1+$E1356))</f>
        <v/>
      </c>
      <c r="X1356" s="44">
        <f>X1338*Settings!$C$13*(INDEX(X$407:X$418,$D1356)+INDEX(X$394:X$405,$D1356)+X1311*(1+$E1356))</f>
        <v/>
      </c>
      <c r="Y1356" s="44">
        <f>Y1338*Settings!$C$13*(INDEX(Y$407:Y$418,$D1356)+INDEX(Y$394:Y$405,$D1356)+Y1311*(1+$E1356))</f>
        <v/>
      </c>
      <c r="Z1356" s="44">
        <f>Z1338*Settings!$C$13*(INDEX(Z$407:Z$418,$D1356)+INDEX(Z$394:Z$405,$D1356)+Z1311*(1+$E1356))</f>
        <v/>
      </c>
      <c r="AA1356" s="44">
        <f>AA1338*Settings!$C$13*(INDEX(AA$407:AA$418,$D1356)+INDEX(AA$394:AA$405,$D1356)+AA1311*(1+$E1356))</f>
        <v/>
      </c>
      <c r="AB1356" s="44">
        <f>AB1338*Settings!$C$13*(INDEX(AB$407:AB$418,$D1356)+INDEX(AB$394:AB$405,$D1356)+AB1311*(1+$E1356))</f>
        <v/>
      </c>
      <c r="AC1356" s="44">
        <f>AC1338*Settings!$C$13*(INDEX(AC$407:AC$418,$D1356)+INDEX(AC$394:AC$405,$D1356)+AC1311*(1+$E1356))</f>
        <v/>
      </c>
      <c r="AD1356" s="44">
        <f>AD1338*Settings!$C$13*(INDEX(AD$407:AD$418,$D1356)+INDEX(AD$394:AD$405,$D1356)+AD1311*(1+$E1356))</f>
        <v/>
      </c>
      <c r="AE1356" s="57">
        <f>REVENUE(AE1338,Settings!$C$13,INDEX(AE$407:AE$418,$D1356)+INDEX(AE$394:AE$405,$D1356)+AE1311*(1+$E1356))</f>
        <v/>
      </c>
      <c r="AG1356" s="11">
        <f>CodePrefix&amp;$A1356&amp;IF($C1356="","","."&amp;$C1356&amp;"."&amp;$B1356)&amp;INDEX(VarEnd,MATCH($A1356,VarKey,0))&amp;AG$5</f>
        <v/>
      </c>
      <c r="AH1356" s="43">
        <f>AH1338*Settings!$C$13*(INDEX(AH$407:AH$418,$D1356)+INDEX(AH$394:AH$405,$D1356)+AH1311*(1+$E1356))</f>
        <v/>
      </c>
      <c r="AI1356" s="44">
        <f>AI1338*Settings!$C$13*(INDEX(AI$407:AI$418,$D1356)+INDEX(AI$394:AI$405,$D1356)+AI1311*(1+$E1356))</f>
        <v/>
      </c>
      <c r="AJ1356" s="44">
        <f>AJ1338*Settings!$C$13*(INDEX(AJ$407:AJ$418,$D1356)+INDEX(AJ$394:AJ$405,$D1356)+AJ1311*(1+$E1356))</f>
        <v/>
      </c>
      <c r="AK1356" s="44">
        <f>AK1338*Settings!$C$13*(INDEX(AK$407:AK$418,$D1356)+INDEX(AK$394:AK$405,$D1356)+AK1311*(1+$E1356))</f>
        <v/>
      </c>
      <c r="AL1356" s="44">
        <f>AL1338*Settings!$C$13*(INDEX(AL$407:AL$418,$D1356)+INDEX(AL$394:AL$405,$D1356)+AL1311*(1+$E1356))</f>
        <v/>
      </c>
      <c r="AM1356" s="44">
        <f>AM1338*Settings!$C$13*(INDEX(AM$407:AM$418,$D1356)+INDEX(AM$394:AM$405,$D1356)+AM1311*(1+$E1356))</f>
        <v/>
      </c>
      <c r="AN1356" s="44">
        <f>AN1338*Settings!$C$13*(INDEX(AN$407:AN$418,$D1356)+INDEX(AN$394:AN$405,$D1356)+AN1311*(1+$E1356))</f>
        <v/>
      </c>
      <c r="AO1356" s="44">
        <f>AO1338*Settings!$C$13*(INDEX(AO$407:AO$418,$D1356)+INDEX(AO$394:AO$405,$D1356)+AO1311*(1+$E1356))</f>
        <v/>
      </c>
      <c r="AP1356" s="44">
        <f>AP1338*Settings!$C$13*(INDEX(AP$407:AP$418,$D1356)+INDEX(AP$394:AP$405,$D1356)+AP1311*(1+$E1356))</f>
        <v/>
      </c>
      <c r="AQ1356" s="44">
        <f>AQ1338*Settings!$C$13*(INDEX(AQ$407:AQ$418,$D1356)+INDEX(AQ$394:AQ$405,$D1356)+AQ1311*(1+$E1356))</f>
        <v/>
      </c>
      <c r="AR1356" s="44">
        <f>AR1338*Settings!$C$13*(INDEX(AR$407:AR$418,$D1356)+INDEX(AR$394:AR$405,$D1356)+AR1311*(1+$E1356))</f>
        <v/>
      </c>
      <c r="AS1356" s="44">
        <f>AS1338*Settings!$C$13*(INDEX(AS$407:AS$418,$D1356)+INDEX(AS$394:AS$405,$D1356)+AS1311*(1+$E1356))</f>
        <v/>
      </c>
      <c r="AT1356" s="44">
        <f>AT1338*Settings!$C$13*(INDEX(AT$407:AT$418,$D1356)+INDEX(AT$394:AT$405,$D1356)+AT1311*(1+$E1356))</f>
        <v/>
      </c>
      <c r="AU1356" s="44">
        <f>AU1338*Settings!$C$13*(INDEX(AU$407:AU$418,$D1356)+INDEX(AU$394:AU$405,$D1356)+AU1311*(1+$E1356))</f>
        <v/>
      </c>
      <c r="AV1356" s="44">
        <f>AV1338*Settings!$C$13*(INDEX(AV$407:AV$418,$D1356)+INDEX(AV$394:AV$405,$D1356)+AV1311*(1+$E1356))</f>
        <v/>
      </c>
      <c r="AW1356" s="44">
        <f>AW1338*Settings!$C$13*(INDEX(AW$407:AW$418,$D1356)+INDEX(AW$394:AW$405,$D1356)+AW1311*(1+$E1356))</f>
        <v/>
      </c>
      <c r="AX1356" s="44">
        <f>AX1338*Settings!$C$13*(INDEX(AX$407:AX$418,$D1356)+INDEX(AX$394:AX$405,$D1356)+AX1311*(1+$E1356))</f>
        <v/>
      </c>
      <c r="AY1356" s="44">
        <f>AY1338*Settings!$C$13*(INDEX(AY$407:AY$418,$D1356)+INDEX(AY$394:AY$405,$D1356)+AY1311*(1+$E1356))</f>
        <v/>
      </c>
      <c r="AZ1356" s="44">
        <f>AZ1338*Settings!$C$13*(INDEX(AZ$407:AZ$418,$D1356)+INDEX(AZ$394:AZ$405,$D1356)+AZ1311*(1+$E1356))</f>
        <v/>
      </c>
      <c r="BA1356" s="57">
        <f>REVENUE(BA1338,Settings!$C$13,INDEX(BA$407:BA$418,$D1356)+INDEX(BA$394:BA$405,$D1356)+BA1311*(1+$E1356))</f>
        <v/>
      </c>
    </row>
    <row r="1357" hidden="1" outlineLevel="2">
      <c r="A1357" s="14" t="inlineStr">
        <is>
          <t>rtx</t>
        </is>
      </c>
      <c r="B1357" s="14" t="inlineStr">
        <is>
          <t>lpg</t>
        </is>
      </c>
      <c r="C1357" s="14" t="inlineStr">
        <is>
          <t>avi</t>
        </is>
      </c>
      <c r="D1357" s="35">
        <f>INDEX(Inputs!$U$5:$U$132,MATCH($B1357&amp;"|"&amp;$C1357,Inputs!$A$5:$A$132,0))</f>
        <v/>
      </c>
      <c r="E1357" s="35">
        <f>INDEX(Inputs!$V$5:$V$132,MATCH($B1357&amp;"|"&amp;$C1357,Inputs!$A$5:$A$132,0))</f>
        <v/>
      </c>
      <c r="F1357" s="39" t="n"/>
      <c r="G1357" s="39" t="n"/>
      <c r="H1357" s="14">
        <f>INDEX(VarLab,MATCH($A1357,VarKey,0))&amp;INDEX(MemLab,MATCH($C1357&amp;"|"&amp;$B1357,MemKey,0))</f>
        <v/>
      </c>
      <c r="I1357" s="14">
        <f>INDEX(VarUnit,MATCH($A1357,VarKey,0))</f>
        <v/>
      </c>
      <c r="J1357" s="14">
        <f>INDEX(VarSrc,MATCH($A1357,VarKey,0))</f>
        <v/>
      </c>
      <c r="K1357" s="11">
        <f>CodePrefix&amp;$A1357&amp;IF($C1357="","","."&amp;$C1357&amp;"."&amp;$B1357)&amp;INDEX(VarEnd,MATCH($A1357,VarKey,0))&amp;K$5</f>
        <v/>
      </c>
      <c r="L1357" s="43">
        <f>L1339*Settings!$C$13*(INDEX(L$407:L$418,$D1357)+INDEX(L$394:L$405,$D1357)+L1312*(1+$E1357))</f>
        <v/>
      </c>
      <c r="M1357" s="44">
        <f>M1339*Settings!$C$13*(INDEX(M$407:M$418,$D1357)+INDEX(M$394:M$405,$D1357)+M1312*(1+$E1357))</f>
        <v/>
      </c>
      <c r="N1357" s="44">
        <f>N1339*Settings!$C$13*(INDEX(N$407:N$418,$D1357)+INDEX(N$394:N$405,$D1357)+N1312*(1+$E1357))</f>
        <v/>
      </c>
      <c r="O1357" s="44">
        <f>O1339*Settings!$C$13*(INDEX(O$407:O$418,$D1357)+INDEX(O$394:O$405,$D1357)+O1312*(1+$E1357))</f>
        <v/>
      </c>
      <c r="P1357" s="44">
        <f>P1339*Settings!$C$13*(INDEX(P$407:P$418,$D1357)+INDEX(P$394:P$405,$D1357)+P1312*(1+$E1357))</f>
        <v/>
      </c>
      <c r="Q1357" s="44">
        <f>Q1339*Settings!$C$13*(INDEX(Q$407:Q$418,$D1357)+INDEX(Q$394:Q$405,$D1357)+Q1312*(1+$E1357))</f>
        <v/>
      </c>
      <c r="R1357" s="44">
        <f>R1339*Settings!$C$13*(INDEX(R$407:R$418,$D1357)+INDEX(R$394:R$405,$D1357)+R1312*(1+$E1357))</f>
        <v/>
      </c>
      <c r="S1357" s="44">
        <f>S1339*Settings!$C$13*(INDEX(S$407:S$418,$D1357)+INDEX(S$394:S$405,$D1357)+S1312*(1+$E1357))</f>
        <v/>
      </c>
      <c r="T1357" s="44">
        <f>T1339*Settings!$C$13*(INDEX(T$407:T$418,$D1357)+INDEX(T$394:T$405,$D1357)+T1312*(1+$E1357))</f>
        <v/>
      </c>
      <c r="U1357" s="44">
        <f>U1339*Settings!$C$13*(INDEX(U$407:U$418,$D1357)+INDEX(U$394:U$405,$D1357)+U1312*(1+$E1357))</f>
        <v/>
      </c>
      <c r="V1357" s="44">
        <f>V1339*Settings!$C$13*(INDEX(V$407:V$418,$D1357)+INDEX(V$394:V$405,$D1357)+V1312*(1+$E1357))</f>
        <v/>
      </c>
      <c r="W1357" s="44">
        <f>W1339*Settings!$C$13*(INDEX(W$407:W$418,$D1357)+INDEX(W$394:W$405,$D1357)+W1312*(1+$E1357))</f>
        <v/>
      </c>
      <c r="X1357" s="44">
        <f>X1339*Settings!$C$13*(INDEX(X$407:X$418,$D1357)+INDEX(X$394:X$405,$D1357)+X1312*(1+$E1357))</f>
        <v/>
      </c>
      <c r="Y1357" s="44">
        <f>Y1339*Settings!$C$13*(INDEX(Y$407:Y$418,$D1357)+INDEX(Y$394:Y$405,$D1357)+Y1312*(1+$E1357))</f>
        <v/>
      </c>
      <c r="Z1357" s="44">
        <f>Z1339*Settings!$C$13*(INDEX(Z$407:Z$418,$D1357)+INDEX(Z$394:Z$405,$D1357)+Z1312*(1+$E1357))</f>
        <v/>
      </c>
      <c r="AA1357" s="44">
        <f>AA1339*Settings!$C$13*(INDEX(AA$407:AA$418,$D1357)+INDEX(AA$394:AA$405,$D1357)+AA1312*(1+$E1357))</f>
        <v/>
      </c>
      <c r="AB1357" s="44">
        <f>AB1339*Settings!$C$13*(INDEX(AB$407:AB$418,$D1357)+INDEX(AB$394:AB$405,$D1357)+AB1312*(1+$E1357))</f>
        <v/>
      </c>
      <c r="AC1357" s="44">
        <f>AC1339*Settings!$C$13*(INDEX(AC$407:AC$418,$D1357)+INDEX(AC$394:AC$405,$D1357)+AC1312*(1+$E1357))</f>
        <v/>
      </c>
      <c r="AD1357" s="44">
        <f>AD1339*Settings!$C$13*(INDEX(AD$407:AD$418,$D1357)+INDEX(AD$394:AD$405,$D1357)+AD1312*(1+$E1357))</f>
        <v/>
      </c>
      <c r="AE1357" s="57">
        <f>REVENUE(AE1339,Settings!$C$13,INDEX(AE$407:AE$418,$D1357)+INDEX(AE$394:AE$405,$D1357)+AE1312*(1+$E1357))</f>
        <v/>
      </c>
      <c r="AG1357" s="11">
        <f>CodePrefix&amp;$A1357&amp;IF($C1357="","","."&amp;$C1357&amp;"."&amp;$B1357)&amp;INDEX(VarEnd,MATCH($A1357,VarKey,0))&amp;AG$5</f>
        <v/>
      </c>
      <c r="AH1357" s="43">
        <f>AH1339*Settings!$C$13*(INDEX(AH$407:AH$418,$D1357)+INDEX(AH$394:AH$405,$D1357)+AH1312*(1+$E1357))</f>
        <v/>
      </c>
      <c r="AI1357" s="44">
        <f>AI1339*Settings!$C$13*(INDEX(AI$407:AI$418,$D1357)+INDEX(AI$394:AI$405,$D1357)+AI1312*(1+$E1357))</f>
        <v/>
      </c>
      <c r="AJ1357" s="44">
        <f>AJ1339*Settings!$C$13*(INDEX(AJ$407:AJ$418,$D1357)+INDEX(AJ$394:AJ$405,$D1357)+AJ1312*(1+$E1357))</f>
        <v/>
      </c>
      <c r="AK1357" s="44">
        <f>AK1339*Settings!$C$13*(INDEX(AK$407:AK$418,$D1357)+INDEX(AK$394:AK$405,$D1357)+AK1312*(1+$E1357))</f>
        <v/>
      </c>
      <c r="AL1357" s="44">
        <f>AL1339*Settings!$C$13*(INDEX(AL$407:AL$418,$D1357)+INDEX(AL$394:AL$405,$D1357)+AL1312*(1+$E1357))</f>
        <v/>
      </c>
      <c r="AM1357" s="44">
        <f>AM1339*Settings!$C$13*(INDEX(AM$407:AM$418,$D1357)+INDEX(AM$394:AM$405,$D1357)+AM1312*(1+$E1357))</f>
        <v/>
      </c>
      <c r="AN1357" s="44">
        <f>AN1339*Settings!$C$13*(INDEX(AN$407:AN$418,$D1357)+INDEX(AN$394:AN$405,$D1357)+AN1312*(1+$E1357))</f>
        <v/>
      </c>
      <c r="AO1357" s="44">
        <f>AO1339*Settings!$C$13*(INDEX(AO$407:AO$418,$D1357)+INDEX(AO$394:AO$405,$D1357)+AO1312*(1+$E1357))</f>
        <v/>
      </c>
      <c r="AP1357" s="44">
        <f>AP1339*Settings!$C$13*(INDEX(AP$407:AP$418,$D1357)+INDEX(AP$394:AP$405,$D1357)+AP1312*(1+$E1357))</f>
        <v/>
      </c>
      <c r="AQ1357" s="44">
        <f>AQ1339*Settings!$C$13*(INDEX(AQ$407:AQ$418,$D1357)+INDEX(AQ$394:AQ$405,$D1357)+AQ1312*(1+$E1357))</f>
        <v/>
      </c>
      <c r="AR1357" s="44">
        <f>AR1339*Settings!$C$13*(INDEX(AR$407:AR$418,$D1357)+INDEX(AR$394:AR$405,$D1357)+AR1312*(1+$E1357))</f>
        <v/>
      </c>
      <c r="AS1357" s="44">
        <f>AS1339*Settings!$C$13*(INDEX(AS$407:AS$418,$D1357)+INDEX(AS$394:AS$405,$D1357)+AS1312*(1+$E1357))</f>
        <v/>
      </c>
      <c r="AT1357" s="44">
        <f>AT1339*Settings!$C$13*(INDEX(AT$407:AT$418,$D1357)+INDEX(AT$394:AT$405,$D1357)+AT1312*(1+$E1357))</f>
        <v/>
      </c>
      <c r="AU1357" s="44">
        <f>AU1339*Settings!$C$13*(INDEX(AU$407:AU$418,$D1357)+INDEX(AU$394:AU$405,$D1357)+AU1312*(1+$E1357))</f>
        <v/>
      </c>
      <c r="AV1357" s="44">
        <f>AV1339*Settings!$C$13*(INDEX(AV$407:AV$418,$D1357)+INDEX(AV$394:AV$405,$D1357)+AV1312*(1+$E1357))</f>
        <v/>
      </c>
      <c r="AW1357" s="44">
        <f>AW1339*Settings!$C$13*(INDEX(AW$407:AW$418,$D1357)+INDEX(AW$394:AW$405,$D1357)+AW1312*(1+$E1357))</f>
        <v/>
      </c>
      <c r="AX1357" s="44">
        <f>AX1339*Settings!$C$13*(INDEX(AX$407:AX$418,$D1357)+INDEX(AX$394:AX$405,$D1357)+AX1312*(1+$E1357))</f>
        <v/>
      </c>
      <c r="AY1357" s="44">
        <f>AY1339*Settings!$C$13*(INDEX(AY$407:AY$418,$D1357)+INDEX(AY$394:AY$405,$D1357)+AY1312*(1+$E1357))</f>
        <v/>
      </c>
      <c r="AZ1357" s="44">
        <f>AZ1339*Settings!$C$13*(INDEX(AZ$407:AZ$418,$D1357)+INDEX(AZ$394:AZ$405,$D1357)+AZ1312*(1+$E1357))</f>
        <v/>
      </c>
      <c r="BA1357" s="57">
        <f>REVENUE(BA1339,Settings!$C$13,INDEX(BA$407:BA$418,$D1357)+INDEX(BA$394:BA$405,$D1357)+BA1312*(1+$E1357))</f>
        <v/>
      </c>
    </row>
    <row r="1358" hidden="1" outlineLevel="2">
      <c r="A1358" s="14" t="inlineStr">
        <is>
          <t>rtx</t>
        </is>
      </c>
      <c r="B1358" s="14" t="inlineStr">
        <is>
          <t>ker</t>
        </is>
      </c>
      <c r="C1358" s="14" t="inlineStr">
        <is>
          <t>avi</t>
        </is>
      </c>
      <c r="D1358" s="35">
        <f>INDEX(Inputs!$U$5:$U$132,MATCH($B1358&amp;"|"&amp;$C1358,Inputs!$A$5:$A$132,0))</f>
        <v/>
      </c>
      <c r="E1358" s="35">
        <f>INDEX(Inputs!$V$5:$V$132,MATCH($B1358&amp;"|"&amp;$C1358,Inputs!$A$5:$A$132,0))</f>
        <v/>
      </c>
      <c r="F1358" s="39" t="n"/>
      <c r="G1358" s="39" t="n"/>
      <c r="H1358" s="14">
        <f>INDEX(VarLab,MATCH($A1358,VarKey,0))&amp;INDEX(MemLab,MATCH($C1358&amp;"|"&amp;$B1358,MemKey,0))</f>
        <v/>
      </c>
      <c r="I1358" s="14">
        <f>INDEX(VarUnit,MATCH($A1358,VarKey,0))</f>
        <v/>
      </c>
      <c r="J1358" s="14">
        <f>INDEX(VarSrc,MATCH($A1358,VarKey,0))</f>
        <v/>
      </c>
      <c r="K1358" s="11">
        <f>CodePrefix&amp;$A1358&amp;IF($C1358="","","."&amp;$C1358&amp;"."&amp;$B1358)&amp;INDEX(VarEnd,MATCH($A1358,VarKey,0))&amp;K$5</f>
        <v/>
      </c>
      <c r="L1358" s="43">
        <f>L1340*Settings!$C$13*(INDEX(L$407:L$418,$D1358)+INDEX(L$394:L$405,$D1358)+L1313*(1+$E1358))</f>
        <v/>
      </c>
      <c r="M1358" s="44">
        <f>M1340*Settings!$C$13*(INDEX(M$407:M$418,$D1358)+INDEX(M$394:M$405,$D1358)+M1313*(1+$E1358))</f>
        <v/>
      </c>
      <c r="N1358" s="44">
        <f>N1340*Settings!$C$13*(INDEX(N$407:N$418,$D1358)+INDEX(N$394:N$405,$D1358)+N1313*(1+$E1358))</f>
        <v/>
      </c>
      <c r="O1358" s="44">
        <f>O1340*Settings!$C$13*(INDEX(O$407:O$418,$D1358)+INDEX(O$394:O$405,$D1358)+O1313*(1+$E1358))</f>
        <v/>
      </c>
      <c r="P1358" s="44">
        <f>P1340*Settings!$C$13*(INDEX(P$407:P$418,$D1358)+INDEX(P$394:P$405,$D1358)+P1313*(1+$E1358))</f>
        <v/>
      </c>
      <c r="Q1358" s="44">
        <f>Q1340*Settings!$C$13*(INDEX(Q$407:Q$418,$D1358)+INDEX(Q$394:Q$405,$D1358)+Q1313*(1+$E1358))</f>
        <v/>
      </c>
      <c r="R1358" s="44">
        <f>R1340*Settings!$C$13*(INDEX(R$407:R$418,$D1358)+INDEX(R$394:R$405,$D1358)+R1313*(1+$E1358))</f>
        <v/>
      </c>
      <c r="S1358" s="44">
        <f>S1340*Settings!$C$13*(INDEX(S$407:S$418,$D1358)+INDEX(S$394:S$405,$D1358)+S1313*(1+$E1358))</f>
        <v/>
      </c>
      <c r="T1358" s="44">
        <f>T1340*Settings!$C$13*(INDEX(T$407:T$418,$D1358)+INDEX(T$394:T$405,$D1358)+T1313*(1+$E1358))</f>
        <v/>
      </c>
      <c r="U1358" s="44">
        <f>U1340*Settings!$C$13*(INDEX(U$407:U$418,$D1358)+INDEX(U$394:U$405,$D1358)+U1313*(1+$E1358))</f>
        <v/>
      </c>
      <c r="V1358" s="44">
        <f>V1340*Settings!$C$13*(INDEX(V$407:V$418,$D1358)+INDEX(V$394:V$405,$D1358)+V1313*(1+$E1358))</f>
        <v/>
      </c>
      <c r="W1358" s="44">
        <f>W1340*Settings!$C$13*(INDEX(W$407:W$418,$D1358)+INDEX(W$394:W$405,$D1358)+W1313*(1+$E1358))</f>
        <v/>
      </c>
      <c r="X1358" s="44">
        <f>X1340*Settings!$C$13*(INDEX(X$407:X$418,$D1358)+INDEX(X$394:X$405,$D1358)+X1313*(1+$E1358))</f>
        <v/>
      </c>
      <c r="Y1358" s="44">
        <f>Y1340*Settings!$C$13*(INDEX(Y$407:Y$418,$D1358)+INDEX(Y$394:Y$405,$D1358)+Y1313*(1+$E1358))</f>
        <v/>
      </c>
      <c r="Z1358" s="44">
        <f>Z1340*Settings!$C$13*(INDEX(Z$407:Z$418,$D1358)+INDEX(Z$394:Z$405,$D1358)+Z1313*(1+$E1358))</f>
        <v/>
      </c>
      <c r="AA1358" s="44">
        <f>AA1340*Settings!$C$13*(INDEX(AA$407:AA$418,$D1358)+INDEX(AA$394:AA$405,$D1358)+AA1313*(1+$E1358))</f>
        <v/>
      </c>
      <c r="AB1358" s="44">
        <f>AB1340*Settings!$C$13*(INDEX(AB$407:AB$418,$D1358)+INDEX(AB$394:AB$405,$D1358)+AB1313*(1+$E1358))</f>
        <v/>
      </c>
      <c r="AC1358" s="44">
        <f>AC1340*Settings!$C$13*(INDEX(AC$407:AC$418,$D1358)+INDEX(AC$394:AC$405,$D1358)+AC1313*(1+$E1358))</f>
        <v/>
      </c>
      <c r="AD1358" s="44">
        <f>AD1340*Settings!$C$13*(INDEX(AD$407:AD$418,$D1358)+INDEX(AD$394:AD$405,$D1358)+AD1313*(1+$E1358))</f>
        <v/>
      </c>
      <c r="AE1358" s="57">
        <f>REVENUE(AE1340,Settings!$C$13,INDEX(AE$407:AE$418,$D1358)+INDEX(AE$394:AE$405,$D1358)+AE1313*(1+$E1358))</f>
        <v/>
      </c>
      <c r="AG1358" s="11">
        <f>CodePrefix&amp;$A1358&amp;IF($C1358="","","."&amp;$C1358&amp;"."&amp;$B1358)&amp;INDEX(VarEnd,MATCH($A1358,VarKey,0))&amp;AG$5</f>
        <v/>
      </c>
      <c r="AH1358" s="43">
        <f>AH1340*Settings!$C$13*(INDEX(AH$407:AH$418,$D1358)+INDEX(AH$394:AH$405,$D1358)+AH1313*(1+$E1358))</f>
        <v/>
      </c>
      <c r="AI1358" s="44">
        <f>AI1340*Settings!$C$13*(INDEX(AI$407:AI$418,$D1358)+INDEX(AI$394:AI$405,$D1358)+AI1313*(1+$E1358))</f>
        <v/>
      </c>
      <c r="AJ1358" s="44">
        <f>AJ1340*Settings!$C$13*(INDEX(AJ$407:AJ$418,$D1358)+INDEX(AJ$394:AJ$405,$D1358)+AJ1313*(1+$E1358))</f>
        <v/>
      </c>
      <c r="AK1358" s="44">
        <f>AK1340*Settings!$C$13*(INDEX(AK$407:AK$418,$D1358)+INDEX(AK$394:AK$405,$D1358)+AK1313*(1+$E1358))</f>
        <v/>
      </c>
      <c r="AL1358" s="44">
        <f>AL1340*Settings!$C$13*(INDEX(AL$407:AL$418,$D1358)+INDEX(AL$394:AL$405,$D1358)+AL1313*(1+$E1358))</f>
        <v/>
      </c>
      <c r="AM1358" s="44">
        <f>AM1340*Settings!$C$13*(INDEX(AM$407:AM$418,$D1358)+INDEX(AM$394:AM$405,$D1358)+AM1313*(1+$E1358))</f>
        <v/>
      </c>
      <c r="AN1358" s="44">
        <f>AN1340*Settings!$C$13*(INDEX(AN$407:AN$418,$D1358)+INDEX(AN$394:AN$405,$D1358)+AN1313*(1+$E1358))</f>
        <v/>
      </c>
      <c r="AO1358" s="44">
        <f>AO1340*Settings!$C$13*(INDEX(AO$407:AO$418,$D1358)+INDEX(AO$394:AO$405,$D1358)+AO1313*(1+$E1358))</f>
        <v/>
      </c>
      <c r="AP1358" s="44">
        <f>AP1340*Settings!$C$13*(INDEX(AP$407:AP$418,$D1358)+INDEX(AP$394:AP$405,$D1358)+AP1313*(1+$E1358))</f>
        <v/>
      </c>
      <c r="AQ1358" s="44">
        <f>AQ1340*Settings!$C$13*(INDEX(AQ$407:AQ$418,$D1358)+INDEX(AQ$394:AQ$405,$D1358)+AQ1313*(1+$E1358))</f>
        <v/>
      </c>
      <c r="AR1358" s="44">
        <f>AR1340*Settings!$C$13*(INDEX(AR$407:AR$418,$D1358)+INDEX(AR$394:AR$405,$D1358)+AR1313*(1+$E1358))</f>
        <v/>
      </c>
      <c r="AS1358" s="44">
        <f>AS1340*Settings!$C$13*(INDEX(AS$407:AS$418,$D1358)+INDEX(AS$394:AS$405,$D1358)+AS1313*(1+$E1358))</f>
        <v/>
      </c>
      <c r="AT1358" s="44">
        <f>AT1340*Settings!$C$13*(INDEX(AT$407:AT$418,$D1358)+INDEX(AT$394:AT$405,$D1358)+AT1313*(1+$E1358))</f>
        <v/>
      </c>
      <c r="AU1358" s="44">
        <f>AU1340*Settings!$C$13*(INDEX(AU$407:AU$418,$D1358)+INDEX(AU$394:AU$405,$D1358)+AU1313*(1+$E1358))</f>
        <v/>
      </c>
      <c r="AV1358" s="44">
        <f>AV1340*Settings!$C$13*(INDEX(AV$407:AV$418,$D1358)+INDEX(AV$394:AV$405,$D1358)+AV1313*(1+$E1358))</f>
        <v/>
      </c>
      <c r="AW1358" s="44">
        <f>AW1340*Settings!$C$13*(INDEX(AW$407:AW$418,$D1358)+INDEX(AW$394:AW$405,$D1358)+AW1313*(1+$E1358))</f>
        <v/>
      </c>
      <c r="AX1358" s="44">
        <f>AX1340*Settings!$C$13*(INDEX(AX$407:AX$418,$D1358)+INDEX(AX$394:AX$405,$D1358)+AX1313*(1+$E1358))</f>
        <v/>
      </c>
      <c r="AY1358" s="44">
        <f>AY1340*Settings!$C$13*(INDEX(AY$407:AY$418,$D1358)+INDEX(AY$394:AY$405,$D1358)+AY1313*(1+$E1358))</f>
        <v/>
      </c>
      <c r="AZ1358" s="44">
        <f>AZ1340*Settings!$C$13*(INDEX(AZ$407:AZ$418,$D1358)+INDEX(AZ$394:AZ$405,$D1358)+AZ1313*(1+$E1358))</f>
        <v/>
      </c>
      <c r="BA1358" s="57">
        <f>REVENUE(BA1340,Settings!$C$13,INDEX(BA$407:BA$418,$D1358)+INDEX(BA$394:BA$405,$D1358)+BA1313*(1+$E1358))</f>
        <v/>
      </c>
    </row>
    <row r="1359" hidden="1" outlineLevel="2">
      <c r="A1359" s="14" t="inlineStr">
        <is>
          <t>rtx</t>
        </is>
      </c>
      <c r="B1359" s="14" t="inlineStr">
        <is>
          <t>oop</t>
        </is>
      </c>
      <c r="C1359" s="14" t="inlineStr">
        <is>
          <t>avi</t>
        </is>
      </c>
      <c r="D1359" s="35">
        <f>INDEX(Inputs!$U$5:$U$132,MATCH($B1359&amp;"|"&amp;$C1359,Inputs!$A$5:$A$132,0))</f>
        <v/>
      </c>
      <c r="E1359" s="35">
        <f>INDEX(Inputs!$V$5:$V$132,MATCH($B1359&amp;"|"&amp;$C1359,Inputs!$A$5:$A$132,0))</f>
        <v/>
      </c>
      <c r="F1359" s="39" t="n"/>
      <c r="G1359" s="39" t="n"/>
      <c r="H1359" s="14">
        <f>INDEX(VarLab,MATCH($A1359,VarKey,0))&amp;INDEX(MemLab,MATCH($C1359&amp;"|"&amp;$B1359,MemKey,0))</f>
        <v/>
      </c>
      <c r="I1359" s="14">
        <f>INDEX(VarUnit,MATCH($A1359,VarKey,0))</f>
        <v/>
      </c>
      <c r="J1359" s="14">
        <f>INDEX(VarSrc,MATCH($A1359,VarKey,0))</f>
        <v/>
      </c>
      <c r="K1359" s="11">
        <f>CodePrefix&amp;$A1359&amp;IF($C1359="","","."&amp;$C1359&amp;"."&amp;$B1359)&amp;INDEX(VarEnd,MATCH($A1359,VarKey,0))&amp;K$5</f>
        <v/>
      </c>
      <c r="L1359" s="43">
        <f>L1341*Settings!$C$13*(INDEX(L$407:L$418,$D1359)+INDEX(L$394:L$405,$D1359)+L1314*(1+$E1359))</f>
        <v/>
      </c>
      <c r="M1359" s="44">
        <f>M1341*Settings!$C$13*(INDEX(M$407:M$418,$D1359)+INDEX(M$394:M$405,$D1359)+M1314*(1+$E1359))</f>
        <v/>
      </c>
      <c r="N1359" s="44">
        <f>N1341*Settings!$C$13*(INDEX(N$407:N$418,$D1359)+INDEX(N$394:N$405,$D1359)+N1314*(1+$E1359))</f>
        <v/>
      </c>
      <c r="O1359" s="44">
        <f>O1341*Settings!$C$13*(INDEX(O$407:O$418,$D1359)+INDEX(O$394:O$405,$D1359)+O1314*(1+$E1359))</f>
        <v/>
      </c>
      <c r="P1359" s="44">
        <f>P1341*Settings!$C$13*(INDEX(P$407:P$418,$D1359)+INDEX(P$394:P$405,$D1359)+P1314*(1+$E1359))</f>
        <v/>
      </c>
      <c r="Q1359" s="44">
        <f>Q1341*Settings!$C$13*(INDEX(Q$407:Q$418,$D1359)+INDEX(Q$394:Q$405,$D1359)+Q1314*(1+$E1359))</f>
        <v/>
      </c>
      <c r="R1359" s="44">
        <f>R1341*Settings!$C$13*(INDEX(R$407:R$418,$D1359)+INDEX(R$394:R$405,$D1359)+R1314*(1+$E1359))</f>
        <v/>
      </c>
      <c r="S1359" s="44">
        <f>S1341*Settings!$C$13*(INDEX(S$407:S$418,$D1359)+INDEX(S$394:S$405,$D1359)+S1314*(1+$E1359))</f>
        <v/>
      </c>
      <c r="T1359" s="44">
        <f>T1341*Settings!$C$13*(INDEX(T$407:T$418,$D1359)+INDEX(T$394:T$405,$D1359)+T1314*(1+$E1359))</f>
        <v/>
      </c>
      <c r="U1359" s="44">
        <f>U1341*Settings!$C$13*(INDEX(U$407:U$418,$D1359)+INDEX(U$394:U$405,$D1359)+U1314*(1+$E1359))</f>
        <v/>
      </c>
      <c r="V1359" s="44">
        <f>V1341*Settings!$C$13*(INDEX(V$407:V$418,$D1359)+INDEX(V$394:V$405,$D1359)+V1314*(1+$E1359))</f>
        <v/>
      </c>
      <c r="W1359" s="44">
        <f>W1341*Settings!$C$13*(INDEX(W$407:W$418,$D1359)+INDEX(W$394:W$405,$D1359)+W1314*(1+$E1359))</f>
        <v/>
      </c>
      <c r="X1359" s="44">
        <f>X1341*Settings!$C$13*(INDEX(X$407:X$418,$D1359)+INDEX(X$394:X$405,$D1359)+X1314*(1+$E1359))</f>
        <v/>
      </c>
      <c r="Y1359" s="44">
        <f>Y1341*Settings!$C$13*(INDEX(Y$407:Y$418,$D1359)+INDEX(Y$394:Y$405,$D1359)+Y1314*(1+$E1359))</f>
        <v/>
      </c>
      <c r="Z1359" s="44">
        <f>Z1341*Settings!$C$13*(INDEX(Z$407:Z$418,$D1359)+INDEX(Z$394:Z$405,$D1359)+Z1314*(1+$E1359))</f>
        <v/>
      </c>
      <c r="AA1359" s="44">
        <f>AA1341*Settings!$C$13*(INDEX(AA$407:AA$418,$D1359)+INDEX(AA$394:AA$405,$D1359)+AA1314*(1+$E1359))</f>
        <v/>
      </c>
      <c r="AB1359" s="44">
        <f>AB1341*Settings!$C$13*(INDEX(AB$407:AB$418,$D1359)+INDEX(AB$394:AB$405,$D1359)+AB1314*(1+$E1359))</f>
        <v/>
      </c>
      <c r="AC1359" s="44">
        <f>AC1341*Settings!$C$13*(INDEX(AC$407:AC$418,$D1359)+INDEX(AC$394:AC$405,$D1359)+AC1314*(1+$E1359))</f>
        <v/>
      </c>
      <c r="AD1359" s="44">
        <f>AD1341*Settings!$C$13*(INDEX(AD$407:AD$418,$D1359)+INDEX(AD$394:AD$405,$D1359)+AD1314*(1+$E1359))</f>
        <v/>
      </c>
      <c r="AE1359" s="57">
        <f>REVENUE(AE1341,Settings!$C$13,INDEX(AE$407:AE$418,$D1359)+INDEX(AE$394:AE$405,$D1359)+AE1314*(1+$E1359))</f>
        <v/>
      </c>
      <c r="AG1359" s="11">
        <f>CodePrefix&amp;$A1359&amp;IF($C1359="","","."&amp;$C1359&amp;"."&amp;$B1359)&amp;INDEX(VarEnd,MATCH($A1359,VarKey,0))&amp;AG$5</f>
        <v/>
      </c>
      <c r="AH1359" s="43">
        <f>AH1341*Settings!$C$13*(INDEX(AH$407:AH$418,$D1359)+INDEX(AH$394:AH$405,$D1359)+AH1314*(1+$E1359))</f>
        <v/>
      </c>
      <c r="AI1359" s="44">
        <f>AI1341*Settings!$C$13*(INDEX(AI$407:AI$418,$D1359)+INDEX(AI$394:AI$405,$D1359)+AI1314*(1+$E1359))</f>
        <v/>
      </c>
      <c r="AJ1359" s="44">
        <f>AJ1341*Settings!$C$13*(INDEX(AJ$407:AJ$418,$D1359)+INDEX(AJ$394:AJ$405,$D1359)+AJ1314*(1+$E1359))</f>
        <v/>
      </c>
      <c r="AK1359" s="44">
        <f>AK1341*Settings!$C$13*(INDEX(AK$407:AK$418,$D1359)+INDEX(AK$394:AK$405,$D1359)+AK1314*(1+$E1359))</f>
        <v/>
      </c>
      <c r="AL1359" s="44">
        <f>AL1341*Settings!$C$13*(INDEX(AL$407:AL$418,$D1359)+INDEX(AL$394:AL$405,$D1359)+AL1314*(1+$E1359))</f>
        <v/>
      </c>
      <c r="AM1359" s="44">
        <f>AM1341*Settings!$C$13*(INDEX(AM$407:AM$418,$D1359)+INDEX(AM$394:AM$405,$D1359)+AM1314*(1+$E1359))</f>
        <v/>
      </c>
      <c r="AN1359" s="44">
        <f>AN1341*Settings!$C$13*(INDEX(AN$407:AN$418,$D1359)+INDEX(AN$394:AN$405,$D1359)+AN1314*(1+$E1359))</f>
        <v/>
      </c>
      <c r="AO1359" s="44">
        <f>AO1341*Settings!$C$13*(INDEX(AO$407:AO$418,$D1359)+INDEX(AO$394:AO$405,$D1359)+AO1314*(1+$E1359))</f>
        <v/>
      </c>
      <c r="AP1359" s="44">
        <f>AP1341*Settings!$C$13*(INDEX(AP$407:AP$418,$D1359)+INDEX(AP$394:AP$405,$D1359)+AP1314*(1+$E1359))</f>
        <v/>
      </c>
      <c r="AQ1359" s="44">
        <f>AQ1341*Settings!$C$13*(INDEX(AQ$407:AQ$418,$D1359)+INDEX(AQ$394:AQ$405,$D1359)+AQ1314*(1+$E1359))</f>
        <v/>
      </c>
      <c r="AR1359" s="44">
        <f>AR1341*Settings!$C$13*(INDEX(AR$407:AR$418,$D1359)+INDEX(AR$394:AR$405,$D1359)+AR1314*(1+$E1359))</f>
        <v/>
      </c>
      <c r="AS1359" s="44">
        <f>AS1341*Settings!$C$13*(INDEX(AS$407:AS$418,$D1359)+INDEX(AS$394:AS$405,$D1359)+AS1314*(1+$E1359))</f>
        <v/>
      </c>
      <c r="AT1359" s="44">
        <f>AT1341*Settings!$C$13*(INDEX(AT$407:AT$418,$D1359)+INDEX(AT$394:AT$405,$D1359)+AT1314*(1+$E1359))</f>
        <v/>
      </c>
      <c r="AU1359" s="44">
        <f>AU1341*Settings!$C$13*(INDEX(AU$407:AU$418,$D1359)+INDEX(AU$394:AU$405,$D1359)+AU1314*(1+$E1359))</f>
        <v/>
      </c>
      <c r="AV1359" s="44">
        <f>AV1341*Settings!$C$13*(INDEX(AV$407:AV$418,$D1359)+INDEX(AV$394:AV$405,$D1359)+AV1314*(1+$E1359))</f>
        <v/>
      </c>
      <c r="AW1359" s="44">
        <f>AW1341*Settings!$C$13*(INDEX(AW$407:AW$418,$D1359)+INDEX(AW$394:AW$405,$D1359)+AW1314*(1+$E1359))</f>
        <v/>
      </c>
      <c r="AX1359" s="44">
        <f>AX1341*Settings!$C$13*(INDEX(AX$407:AX$418,$D1359)+INDEX(AX$394:AX$405,$D1359)+AX1314*(1+$E1359))</f>
        <v/>
      </c>
      <c r="AY1359" s="44">
        <f>AY1341*Settings!$C$13*(INDEX(AY$407:AY$418,$D1359)+INDEX(AY$394:AY$405,$D1359)+AY1314*(1+$E1359))</f>
        <v/>
      </c>
      <c r="AZ1359" s="44">
        <f>AZ1341*Settings!$C$13*(INDEX(AZ$407:AZ$418,$D1359)+INDEX(AZ$394:AZ$405,$D1359)+AZ1314*(1+$E1359))</f>
        <v/>
      </c>
      <c r="BA1359" s="57">
        <f>REVENUE(BA1341,Settings!$C$13,INDEX(BA$407:BA$418,$D1359)+INDEX(BA$394:BA$405,$D1359)+BA1314*(1+$E1359))</f>
        <v/>
      </c>
    </row>
    <row r="1360" hidden="1" outlineLevel="2">
      <c r="A1360" s="14" t="inlineStr">
        <is>
          <t>rtx</t>
        </is>
      </c>
      <c r="B1360" s="14" t="inlineStr">
        <is>
          <t>bio</t>
        </is>
      </c>
      <c r="C1360" s="14" t="inlineStr">
        <is>
          <t>avi</t>
        </is>
      </c>
      <c r="D1360" s="35">
        <f>INDEX(Inputs!$U$5:$U$132,MATCH($B1360&amp;"|"&amp;$C1360,Inputs!$A$5:$A$132,0))</f>
        <v/>
      </c>
      <c r="E1360" s="35">
        <f>INDEX(Inputs!$V$5:$V$132,MATCH($B1360&amp;"|"&amp;$C1360,Inputs!$A$5:$A$132,0))</f>
        <v/>
      </c>
      <c r="F1360" s="39" t="n"/>
      <c r="G1360" s="39" t="n"/>
      <c r="H1360" s="14">
        <f>INDEX(VarLab,MATCH($A1360,VarKey,0))&amp;INDEX(MemLab,MATCH($C1360&amp;"|"&amp;$B1360,MemKey,0))</f>
        <v/>
      </c>
      <c r="I1360" s="14">
        <f>INDEX(VarUnit,MATCH($A1360,VarKey,0))</f>
        <v/>
      </c>
      <c r="J1360" s="14">
        <f>INDEX(VarSrc,MATCH($A1360,VarKey,0))</f>
        <v/>
      </c>
      <c r="K1360" s="11">
        <f>CodePrefix&amp;$A1360&amp;IF($C1360="","","."&amp;$C1360&amp;"."&amp;$B1360)&amp;INDEX(VarEnd,MATCH($A1360,VarKey,0))&amp;K$5</f>
        <v/>
      </c>
      <c r="L1360" s="43">
        <f>L1342*Settings!$C$13*(INDEX(L$407:L$418,$D1360)+INDEX(L$394:L$405,$D1360)+L1315*(1+$E1360))</f>
        <v/>
      </c>
      <c r="M1360" s="44">
        <f>M1342*Settings!$C$13*(INDEX(M$407:M$418,$D1360)+INDEX(M$394:M$405,$D1360)+M1315*(1+$E1360))</f>
        <v/>
      </c>
      <c r="N1360" s="44">
        <f>N1342*Settings!$C$13*(INDEX(N$407:N$418,$D1360)+INDEX(N$394:N$405,$D1360)+N1315*(1+$E1360))</f>
        <v/>
      </c>
      <c r="O1360" s="44">
        <f>O1342*Settings!$C$13*(INDEX(O$407:O$418,$D1360)+INDEX(O$394:O$405,$D1360)+O1315*(1+$E1360))</f>
        <v/>
      </c>
      <c r="P1360" s="44">
        <f>P1342*Settings!$C$13*(INDEX(P$407:P$418,$D1360)+INDEX(P$394:P$405,$D1360)+P1315*(1+$E1360))</f>
        <v/>
      </c>
      <c r="Q1360" s="44">
        <f>Q1342*Settings!$C$13*(INDEX(Q$407:Q$418,$D1360)+INDEX(Q$394:Q$405,$D1360)+Q1315*(1+$E1360))</f>
        <v/>
      </c>
      <c r="R1360" s="44">
        <f>R1342*Settings!$C$13*(INDEX(R$407:R$418,$D1360)+INDEX(R$394:R$405,$D1360)+R1315*(1+$E1360))</f>
        <v/>
      </c>
      <c r="S1360" s="44">
        <f>S1342*Settings!$C$13*(INDEX(S$407:S$418,$D1360)+INDEX(S$394:S$405,$D1360)+S1315*(1+$E1360))</f>
        <v/>
      </c>
      <c r="T1360" s="44">
        <f>T1342*Settings!$C$13*(INDEX(T$407:T$418,$D1360)+INDEX(T$394:T$405,$D1360)+T1315*(1+$E1360))</f>
        <v/>
      </c>
      <c r="U1360" s="44">
        <f>U1342*Settings!$C$13*(INDEX(U$407:U$418,$D1360)+INDEX(U$394:U$405,$D1360)+U1315*(1+$E1360))</f>
        <v/>
      </c>
      <c r="V1360" s="44">
        <f>V1342*Settings!$C$13*(INDEX(V$407:V$418,$D1360)+INDEX(V$394:V$405,$D1360)+V1315*(1+$E1360))</f>
        <v/>
      </c>
      <c r="W1360" s="44">
        <f>W1342*Settings!$C$13*(INDEX(W$407:W$418,$D1360)+INDEX(W$394:W$405,$D1360)+W1315*(1+$E1360))</f>
        <v/>
      </c>
      <c r="X1360" s="44">
        <f>X1342*Settings!$C$13*(INDEX(X$407:X$418,$D1360)+INDEX(X$394:X$405,$D1360)+X1315*(1+$E1360))</f>
        <v/>
      </c>
      <c r="Y1360" s="44">
        <f>Y1342*Settings!$C$13*(INDEX(Y$407:Y$418,$D1360)+INDEX(Y$394:Y$405,$D1360)+Y1315*(1+$E1360))</f>
        <v/>
      </c>
      <c r="Z1360" s="44">
        <f>Z1342*Settings!$C$13*(INDEX(Z$407:Z$418,$D1360)+INDEX(Z$394:Z$405,$D1360)+Z1315*(1+$E1360))</f>
        <v/>
      </c>
      <c r="AA1360" s="44">
        <f>AA1342*Settings!$C$13*(INDEX(AA$407:AA$418,$D1360)+INDEX(AA$394:AA$405,$D1360)+AA1315*(1+$E1360))</f>
        <v/>
      </c>
      <c r="AB1360" s="44">
        <f>AB1342*Settings!$C$13*(INDEX(AB$407:AB$418,$D1360)+INDEX(AB$394:AB$405,$D1360)+AB1315*(1+$E1360))</f>
        <v/>
      </c>
      <c r="AC1360" s="44">
        <f>AC1342*Settings!$C$13*(INDEX(AC$407:AC$418,$D1360)+INDEX(AC$394:AC$405,$D1360)+AC1315*(1+$E1360))</f>
        <v/>
      </c>
      <c r="AD1360" s="44">
        <f>AD1342*Settings!$C$13*(INDEX(AD$407:AD$418,$D1360)+INDEX(AD$394:AD$405,$D1360)+AD1315*(1+$E1360))</f>
        <v/>
      </c>
      <c r="AE1360" s="57">
        <f>REVENUE(AE1342,Settings!$C$13,INDEX(AE$407:AE$418,$D1360)+INDEX(AE$394:AE$405,$D1360)+AE1315*(1+$E1360))</f>
        <v/>
      </c>
      <c r="AG1360" s="11">
        <f>CodePrefix&amp;$A1360&amp;IF($C1360="","","."&amp;$C1360&amp;"."&amp;$B1360)&amp;INDEX(VarEnd,MATCH($A1360,VarKey,0))&amp;AG$5</f>
        <v/>
      </c>
      <c r="AH1360" s="43">
        <f>AH1342*Settings!$C$13*(INDEX(AH$407:AH$418,$D1360)+INDEX(AH$394:AH$405,$D1360)+AH1315*(1+$E1360))</f>
        <v/>
      </c>
      <c r="AI1360" s="44">
        <f>AI1342*Settings!$C$13*(INDEX(AI$407:AI$418,$D1360)+INDEX(AI$394:AI$405,$D1360)+AI1315*(1+$E1360))</f>
        <v/>
      </c>
      <c r="AJ1360" s="44">
        <f>AJ1342*Settings!$C$13*(INDEX(AJ$407:AJ$418,$D1360)+INDEX(AJ$394:AJ$405,$D1360)+AJ1315*(1+$E1360))</f>
        <v/>
      </c>
      <c r="AK1360" s="44">
        <f>AK1342*Settings!$C$13*(INDEX(AK$407:AK$418,$D1360)+INDEX(AK$394:AK$405,$D1360)+AK1315*(1+$E1360))</f>
        <v/>
      </c>
      <c r="AL1360" s="44">
        <f>AL1342*Settings!$C$13*(INDEX(AL$407:AL$418,$D1360)+INDEX(AL$394:AL$405,$D1360)+AL1315*(1+$E1360))</f>
        <v/>
      </c>
      <c r="AM1360" s="44">
        <f>AM1342*Settings!$C$13*(INDEX(AM$407:AM$418,$D1360)+INDEX(AM$394:AM$405,$D1360)+AM1315*(1+$E1360))</f>
        <v/>
      </c>
      <c r="AN1360" s="44">
        <f>AN1342*Settings!$C$13*(INDEX(AN$407:AN$418,$D1360)+INDEX(AN$394:AN$405,$D1360)+AN1315*(1+$E1360))</f>
        <v/>
      </c>
      <c r="AO1360" s="44">
        <f>AO1342*Settings!$C$13*(INDEX(AO$407:AO$418,$D1360)+INDEX(AO$394:AO$405,$D1360)+AO1315*(1+$E1360))</f>
        <v/>
      </c>
      <c r="AP1360" s="44">
        <f>AP1342*Settings!$C$13*(INDEX(AP$407:AP$418,$D1360)+INDEX(AP$394:AP$405,$D1360)+AP1315*(1+$E1360))</f>
        <v/>
      </c>
      <c r="AQ1360" s="44">
        <f>AQ1342*Settings!$C$13*(INDEX(AQ$407:AQ$418,$D1360)+INDEX(AQ$394:AQ$405,$D1360)+AQ1315*(1+$E1360))</f>
        <v/>
      </c>
      <c r="AR1360" s="44">
        <f>AR1342*Settings!$C$13*(INDEX(AR$407:AR$418,$D1360)+INDEX(AR$394:AR$405,$D1360)+AR1315*(1+$E1360))</f>
        <v/>
      </c>
      <c r="AS1360" s="44">
        <f>AS1342*Settings!$C$13*(INDEX(AS$407:AS$418,$D1360)+INDEX(AS$394:AS$405,$D1360)+AS1315*(1+$E1360))</f>
        <v/>
      </c>
      <c r="AT1360" s="44">
        <f>AT1342*Settings!$C$13*(INDEX(AT$407:AT$418,$D1360)+INDEX(AT$394:AT$405,$D1360)+AT1315*(1+$E1360))</f>
        <v/>
      </c>
      <c r="AU1360" s="44">
        <f>AU1342*Settings!$C$13*(INDEX(AU$407:AU$418,$D1360)+INDEX(AU$394:AU$405,$D1360)+AU1315*(1+$E1360))</f>
        <v/>
      </c>
      <c r="AV1360" s="44">
        <f>AV1342*Settings!$C$13*(INDEX(AV$407:AV$418,$D1360)+INDEX(AV$394:AV$405,$D1360)+AV1315*(1+$E1360))</f>
        <v/>
      </c>
      <c r="AW1360" s="44">
        <f>AW1342*Settings!$C$13*(INDEX(AW$407:AW$418,$D1360)+INDEX(AW$394:AW$405,$D1360)+AW1315*(1+$E1360))</f>
        <v/>
      </c>
      <c r="AX1360" s="44">
        <f>AX1342*Settings!$C$13*(INDEX(AX$407:AX$418,$D1360)+INDEX(AX$394:AX$405,$D1360)+AX1315*(1+$E1360))</f>
        <v/>
      </c>
      <c r="AY1360" s="44">
        <f>AY1342*Settings!$C$13*(INDEX(AY$407:AY$418,$D1360)+INDEX(AY$394:AY$405,$D1360)+AY1315*(1+$E1360))</f>
        <v/>
      </c>
      <c r="AZ1360" s="44">
        <f>AZ1342*Settings!$C$13*(INDEX(AZ$407:AZ$418,$D1360)+INDEX(AZ$394:AZ$405,$D1360)+AZ1315*(1+$E1360))</f>
        <v/>
      </c>
      <c r="BA1360" s="57">
        <f>REVENUE(BA1342,Settings!$C$13,INDEX(BA$407:BA$418,$D1360)+INDEX(BA$394:BA$405,$D1360)+BA1315*(1+$E1360))</f>
        <v/>
      </c>
    </row>
    <row r="1361" hidden="1" outlineLevel="2"/>
    <row r="1362" hidden="1" outlineLevel="2">
      <c r="A1362" s="14" t="inlineStr">
        <is>
          <t>rsub</t>
        </is>
      </c>
      <c r="B1362" s="14" t="inlineStr">
        <is>
          <t>coa</t>
        </is>
      </c>
      <c r="C1362" s="14" t="inlineStr">
        <is>
          <t>avi</t>
        </is>
      </c>
      <c r="D1362" s="35">
        <f>INDEX(Inputs!$U$5:$U$132,MATCH($B1362&amp;"|"&amp;$C1362,Inputs!$A$5:$A$132,0))</f>
        <v/>
      </c>
      <c r="E1362" s="39" t="n"/>
      <c r="F1362" s="39" t="n"/>
      <c r="G1362" s="39" t="n"/>
      <c r="H1362" s="14">
        <f>INDEX(VarLab,MATCH($A1362,VarKey,0))&amp;INDEX(MemLab,MATCH($C1362&amp;"|"&amp;$B1362,MemKey,0))</f>
        <v/>
      </c>
      <c r="I1362" s="14">
        <f>INDEX(VarUnit,MATCH($A1362,VarKey,0))</f>
        <v/>
      </c>
      <c r="J1362" s="14">
        <f>INDEX(VarSrc,MATCH($A1362,VarKey,0))</f>
        <v/>
      </c>
      <c r="K1362" s="11">
        <f>CodePrefix&amp;$A1362&amp;IF($C1362="","","."&amp;$C1362&amp;"."&amp;$B1362)&amp;INDEX(VarEnd,MATCH($A1362,VarKey,0))&amp;K$5</f>
        <v/>
      </c>
      <c r="L1362" s="43">
        <f>L1335*Settings!$C$13*(INDEX(L$420:L$431,$D1362))</f>
        <v/>
      </c>
      <c r="M1362" s="44">
        <f>M1335*Settings!$C$13*(INDEX(M$420:M$431,$D1362))</f>
        <v/>
      </c>
      <c r="N1362" s="44">
        <f>N1335*Settings!$C$13*(INDEX(N$420:N$431,$D1362))</f>
        <v/>
      </c>
      <c r="O1362" s="44">
        <f>O1335*Settings!$C$13*(INDEX(O$420:O$431,$D1362))</f>
        <v/>
      </c>
      <c r="P1362" s="44">
        <f>P1335*Settings!$C$13*(INDEX(P$420:P$431,$D1362))</f>
        <v/>
      </c>
      <c r="Q1362" s="44">
        <f>Q1335*Settings!$C$13*(INDEX(Q$420:Q$431,$D1362))</f>
        <v/>
      </c>
      <c r="R1362" s="44">
        <f>R1335*Settings!$C$13*(INDEX(R$420:R$431,$D1362))</f>
        <v/>
      </c>
      <c r="S1362" s="44">
        <f>S1335*Settings!$C$13*(INDEX(S$420:S$431,$D1362))</f>
        <v/>
      </c>
      <c r="T1362" s="44">
        <f>T1335*Settings!$C$13*(INDEX(T$420:T$431,$D1362))</f>
        <v/>
      </c>
      <c r="U1362" s="44">
        <f>U1335*Settings!$C$13*(INDEX(U$420:U$431,$D1362))</f>
        <v/>
      </c>
      <c r="V1362" s="44">
        <f>V1335*Settings!$C$13*(INDEX(V$420:V$431,$D1362))</f>
        <v/>
      </c>
      <c r="W1362" s="44">
        <f>W1335*Settings!$C$13*(INDEX(W$420:W$431,$D1362))</f>
        <v/>
      </c>
      <c r="X1362" s="44">
        <f>X1335*Settings!$C$13*(INDEX(X$420:X$431,$D1362))</f>
        <v/>
      </c>
      <c r="Y1362" s="44">
        <f>Y1335*Settings!$C$13*(INDEX(Y$420:Y$431,$D1362))</f>
        <v/>
      </c>
      <c r="Z1362" s="44">
        <f>Z1335*Settings!$C$13*(INDEX(Z$420:Z$431,$D1362))</f>
        <v/>
      </c>
      <c r="AA1362" s="44">
        <f>AA1335*Settings!$C$13*(INDEX(AA$420:AA$431,$D1362))</f>
        <v/>
      </c>
      <c r="AB1362" s="44">
        <f>AB1335*Settings!$C$13*(INDEX(AB$420:AB$431,$D1362))</f>
        <v/>
      </c>
      <c r="AC1362" s="44">
        <f>AC1335*Settings!$C$13*(INDEX(AC$420:AC$431,$D1362))</f>
        <v/>
      </c>
      <c r="AD1362" s="44">
        <f>AD1335*Settings!$C$13*(INDEX(AD$420:AD$431,$D1362))</f>
        <v/>
      </c>
      <c r="AE1362" s="57">
        <f>REVENUE(AE1335,Settings!$C$13,INDEX(AE$420:AE$431,$D1362))</f>
        <v/>
      </c>
      <c r="AG1362" s="11">
        <f>CodePrefix&amp;$A1362&amp;IF($C1362="","","."&amp;$C1362&amp;"."&amp;$B1362)&amp;INDEX(VarEnd,MATCH($A1362,VarKey,0))&amp;AG$5</f>
        <v/>
      </c>
      <c r="AH1362" s="43">
        <f>AH1335*Settings!$C$13*(INDEX(AH$420:AH$431,$D1362))</f>
        <v/>
      </c>
      <c r="AI1362" s="44">
        <f>AI1335*Settings!$C$13*(INDEX(AI$420:AI$431,$D1362))</f>
        <v/>
      </c>
      <c r="AJ1362" s="44">
        <f>AJ1335*Settings!$C$13*(INDEX(AJ$420:AJ$431,$D1362))</f>
        <v/>
      </c>
      <c r="AK1362" s="44">
        <f>AK1335*Settings!$C$13*(INDEX(AK$420:AK$431,$D1362))</f>
        <v/>
      </c>
      <c r="AL1362" s="44">
        <f>AL1335*Settings!$C$13*(INDEX(AL$420:AL$431,$D1362))</f>
        <v/>
      </c>
      <c r="AM1362" s="44">
        <f>AM1335*Settings!$C$13*(INDEX(AM$420:AM$431,$D1362))</f>
        <v/>
      </c>
      <c r="AN1362" s="44">
        <f>AN1335*Settings!$C$13*(INDEX(AN$420:AN$431,$D1362))</f>
        <v/>
      </c>
      <c r="AO1362" s="44">
        <f>AO1335*Settings!$C$13*(INDEX(AO$420:AO$431,$D1362))</f>
        <v/>
      </c>
      <c r="AP1362" s="44">
        <f>AP1335*Settings!$C$13*(INDEX(AP$420:AP$431,$D1362))</f>
        <v/>
      </c>
      <c r="AQ1362" s="44">
        <f>AQ1335*Settings!$C$13*(INDEX(AQ$420:AQ$431,$D1362))</f>
        <v/>
      </c>
      <c r="AR1362" s="44">
        <f>AR1335*Settings!$C$13*(INDEX(AR$420:AR$431,$D1362))</f>
        <v/>
      </c>
      <c r="AS1362" s="44">
        <f>AS1335*Settings!$C$13*(INDEX(AS$420:AS$431,$D1362))</f>
        <v/>
      </c>
      <c r="AT1362" s="44">
        <f>AT1335*Settings!$C$13*(INDEX(AT$420:AT$431,$D1362))</f>
        <v/>
      </c>
      <c r="AU1362" s="44">
        <f>AU1335*Settings!$C$13*(INDEX(AU$420:AU$431,$D1362))</f>
        <v/>
      </c>
      <c r="AV1362" s="44">
        <f>AV1335*Settings!$C$13*(INDEX(AV$420:AV$431,$D1362))</f>
        <v/>
      </c>
      <c r="AW1362" s="44">
        <f>AW1335*Settings!$C$13*(INDEX(AW$420:AW$431,$D1362))</f>
        <v/>
      </c>
      <c r="AX1362" s="44">
        <f>AX1335*Settings!$C$13*(INDEX(AX$420:AX$431,$D1362))</f>
        <v/>
      </c>
      <c r="AY1362" s="44">
        <f>AY1335*Settings!$C$13*(INDEX(AY$420:AY$431,$D1362))</f>
        <v/>
      </c>
      <c r="AZ1362" s="44">
        <f>AZ1335*Settings!$C$13*(INDEX(AZ$420:AZ$431,$D1362))</f>
        <v/>
      </c>
      <c r="BA1362" s="57">
        <f>REVENUE(BA1335,Settings!$C$13,INDEX(BA$420:BA$431,$D1362))</f>
        <v/>
      </c>
    </row>
    <row r="1363" hidden="1" outlineLevel="2">
      <c r="A1363" s="14" t="inlineStr">
        <is>
          <t>rsub</t>
        </is>
      </c>
      <c r="B1363" s="14" t="inlineStr">
        <is>
          <t>nga</t>
        </is>
      </c>
      <c r="C1363" s="14" t="inlineStr">
        <is>
          <t>avi</t>
        </is>
      </c>
      <c r="D1363" s="35">
        <f>INDEX(Inputs!$U$5:$U$132,MATCH($B1363&amp;"|"&amp;$C1363,Inputs!$A$5:$A$132,0))</f>
        <v/>
      </c>
      <c r="E1363" s="39" t="n"/>
      <c r="F1363" s="39" t="n"/>
      <c r="G1363" s="39" t="n"/>
      <c r="H1363" s="14">
        <f>INDEX(VarLab,MATCH($A1363,VarKey,0))&amp;INDEX(MemLab,MATCH($C1363&amp;"|"&amp;$B1363,MemKey,0))</f>
        <v/>
      </c>
      <c r="I1363" s="14">
        <f>INDEX(VarUnit,MATCH($A1363,VarKey,0))</f>
        <v/>
      </c>
      <c r="J1363" s="14">
        <f>INDEX(VarSrc,MATCH($A1363,VarKey,0))</f>
        <v/>
      </c>
      <c r="K1363" s="11">
        <f>CodePrefix&amp;$A1363&amp;IF($C1363="","","."&amp;$C1363&amp;"."&amp;$B1363)&amp;INDEX(VarEnd,MATCH($A1363,VarKey,0))&amp;K$5</f>
        <v/>
      </c>
      <c r="L1363" s="43">
        <f>L1336*Settings!$C$13*(INDEX(L$420:L$431,$D1363))</f>
        <v/>
      </c>
      <c r="M1363" s="44">
        <f>M1336*Settings!$C$13*(INDEX(M$420:M$431,$D1363))</f>
        <v/>
      </c>
      <c r="N1363" s="44">
        <f>N1336*Settings!$C$13*(INDEX(N$420:N$431,$D1363))</f>
        <v/>
      </c>
      <c r="O1363" s="44">
        <f>O1336*Settings!$C$13*(INDEX(O$420:O$431,$D1363))</f>
        <v/>
      </c>
      <c r="P1363" s="44">
        <f>P1336*Settings!$C$13*(INDEX(P$420:P$431,$D1363))</f>
        <v/>
      </c>
      <c r="Q1363" s="44">
        <f>Q1336*Settings!$C$13*(INDEX(Q$420:Q$431,$D1363))</f>
        <v/>
      </c>
      <c r="R1363" s="44">
        <f>R1336*Settings!$C$13*(INDEX(R$420:R$431,$D1363))</f>
        <v/>
      </c>
      <c r="S1363" s="44">
        <f>S1336*Settings!$C$13*(INDEX(S$420:S$431,$D1363))</f>
        <v/>
      </c>
      <c r="T1363" s="44">
        <f>T1336*Settings!$C$13*(INDEX(T$420:T$431,$D1363))</f>
        <v/>
      </c>
      <c r="U1363" s="44">
        <f>U1336*Settings!$C$13*(INDEX(U$420:U$431,$D1363))</f>
        <v/>
      </c>
      <c r="V1363" s="44">
        <f>V1336*Settings!$C$13*(INDEX(V$420:V$431,$D1363))</f>
        <v/>
      </c>
      <c r="W1363" s="44">
        <f>W1336*Settings!$C$13*(INDEX(W$420:W$431,$D1363))</f>
        <v/>
      </c>
      <c r="X1363" s="44">
        <f>X1336*Settings!$C$13*(INDEX(X$420:X$431,$D1363))</f>
        <v/>
      </c>
      <c r="Y1363" s="44">
        <f>Y1336*Settings!$C$13*(INDEX(Y$420:Y$431,$D1363))</f>
        <v/>
      </c>
      <c r="Z1363" s="44">
        <f>Z1336*Settings!$C$13*(INDEX(Z$420:Z$431,$D1363))</f>
        <v/>
      </c>
      <c r="AA1363" s="44">
        <f>AA1336*Settings!$C$13*(INDEX(AA$420:AA$431,$D1363))</f>
        <v/>
      </c>
      <c r="AB1363" s="44">
        <f>AB1336*Settings!$C$13*(INDEX(AB$420:AB$431,$D1363))</f>
        <v/>
      </c>
      <c r="AC1363" s="44">
        <f>AC1336*Settings!$C$13*(INDEX(AC$420:AC$431,$D1363))</f>
        <v/>
      </c>
      <c r="AD1363" s="44">
        <f>AD1336*Settings!$C$13*(INDEX(AD$420:AD$431,$D1363))</f>
        <v/>
      </c>
      <c r="AE1363" s="57">
        <f>REVENUE(AE1336,Settings!$C$13,INDEX(AE$420:AE$431,$D1363))</f>
        <v/>
      </c>
      <c r="AG1363" s="11">
        <f>CodePrefix&amp;$A1363&amp;IF($C1363="","","."&amp;$C1363&amp;"."&amp;$B1363)&amp;INDEX(VarEnd,MATCH($A1363,VarKey,0))&amp;AG$5</f>
        <v/>
      </c>
      <c r="AH1363" s="43">
        <f>AH1336*Settings!$C$13*(INDEX(AH$420:AH$431,$D1363))</f>
        <v/>
      </c>
      <c r="AI1363" s="44">
        <f>AI1336*Settings!$C$13*(INDEX(AI$420:AI$431,$D1363))</f>
        <v/>
      </c>
      <c r="AJ1363" s="44">
        <f>AJ1336*Settings!$C$13*(INDEX(AJ$420:AJ$431,$D1363))</f>
        <v/>
      </c>
      <c r="AK1363" s="44">
        <f>AK1336*Settings!$C$13*(INDEX(AK$420:AK$431,$D1363))</f>
        <v/>
      </c>
      <c r="AL1363" s="44">
        <f>AL1336*Settings!$C$13*(INDEX(AL$420:AL$431,$D1363))</f>
        <v/>
      </c>
      <c r="AM1363" s="44">
        <f>AM1336*Settings!$C$13*(INDEX(AM$420:AM$431,$D1363))</f>
        <v/>
      </c>
      <c r="AN1363" s="44">
        <f>AN1336*Settings!$C$13*(INDEX(AN$420:AN$431,$D1363))</f>
        <v/>
      </c>
      <c r="AO1363" s="44">
        <f>AO1336*Settings!$C$13*(INDEX(AO$420:AO$431,$D1363))</f>
        <v/>
      </c>
      <c r="AP1363" s="44">
        <f>AP1336*Settings!$C$13*(INDEX(AP$420:AP$431,$D1363))</f>
        <v/>
      </c>
      <c r="AQ1363" s="44">
        <f>AQ1336*Settings!$C$13*(INDEX(AQ$420:AQ$431,$D1363))</f>
        <v/>
      </c>
      <c r="AR1363" s="44">
        <f>AR1336*Settings!$C$13*(INDEX(AR$420:AR$431,$D1363))</f>
        <v/>
      </c>
      <c r="AS1363" s="44">
        <f>AS1336*Settings!$C$13*(INDEX(AS$420:AS$431,$D1363))</f>
        <v/>
      </c>
      <c r="AT1363" s="44">
        <f>AT1336*Settings!$C$13*(INDEX(AT$420:AT$431,$D1363))</f>
        <v/>
      </c>
      <c r="AU1363" s="44">
        <f>AU1336*Settings!$C$13*(INDEX(AU$420:AU$431,$D1363))</f>
        <v/>
      </c>
      <c r="AV1363" s="44">
        <f>AV1336*Settings!$C$13*(INDEX(AV$420:AV$431,$D1363))</f>
        <v/>
      </c>
      <c r="AW1363" s="44">
        <f>AW1336*Settings!$C$13*(INDEX(AW$420:AW$431,$D1363))</f>
        <v/>
      </c>
      <c r="AX1363" s="44">
        <f>AX1336*Settings!$C$13*(INDEX(AX$420:AX$431,$D1363))</f>
        <v/>
      </c>
      <c r="AY1363" s="44">
        <f>AY1336*Settings!$C$13*(INDEX(AY$420:AY$431,$D1363))</f>
        <v/>
      </c>
      <c r="AZ1363" s="44">
        <f>AZ1336*Settings!$C$13*(INDEX(AZ$420:AZ$431,$D1363))</f>
        <v/>
      </c>
      <c r="BA1363" s="57">
        <f>REVENUE(BA1336,Settings!$C$13,INDEX(BA$420:BA$431,$D1363))</f>
        <v/>
      </c>
    </row>
    <row r="1364" hidden="1" outlineLevel="2">
      <c r="A1364" s="14" t="inlineStr">
        <is>
          <t>rsub</t>
        </is>
      </c>
      <c r="B1364" s="14" t="inlineStr">
        <is>
          <t>gso</t>
        </is>
      </c>
      <c r="C1364" s="14" t="inlineStr">
        <is>
          <t>avi</t>
        </is>
      </c>
      <c r="D1364" s="35">
        <f>INDEX(Inputs!$U$5:$U$132,MATCH($B1364&amp;"|"&amp;$C1364,Inputs!$A$5:$A$132,0))</f>
        <v/>
      </c>
      <c r="E1364" s="39" t="n"/>
      <c r="F1364" s="39" t="n"/>
      <c r="G1364" s="39" t="n"/>
      <c r="H1364" s="14">
        <f>INDEX(VarLab,MATCH($A1364,VarKey,0))&amp;INDEX(MemLab,MATCH($C1364&amp;"|"&amp;$B1364,MemKey,0))</f>
        <v/>
      </c>
      <c r="I1364" s="14">
        <f>INDEX(VarUnit,MATCH($A1364,VarKey,0))</f>
        <v/>
      </c>
      <c r="J1364" s="14">
        <f>INDEX(VarSrc,MATCH($A1364,VarKey,0))</f>
        <v/>
      </c>
      <c r="K1364" s="11">
        <f>CodePrefix&amp;$A1364&amp;IF($C1364="","","."&amp;$C1364&amp;"."&amp;$B1364)&amp;INDEX(VarEnd,MATCH($A1364,VarKey,0))&amp;K$5</f>
        <v/>
      </c>
      <c r="L1364" s="43">
        <f>L1337*Settings!$C$13*(INDEX(L$420:L$431,$D1364))</f>
        <v/>
      </c>
      <c r="M1364" s="44">
        <f>M1337*Settings!$C$13*(INDEX(M$420:M$431,$D1364))</f>
        <v/>
      </c>
      <c r="N1364" s="44">
        <f>N1337*Settings!$C$13*(INDEX(N$420:N$431,$D1364))</f>
        <v/>
      </c>
      <c r="O1364" s="44">
        <f>O1337*Settings!$C$13*(INDEX(O$420:O$431,$D1364))</f>
        <v/>
      </c>
      <c r="P1364" s="44">
        <f>P1337*Settings!$C$13*(INDEX(P$420:P$431,$D1364))</f>
        <v/>
      </c>
      <c r="Q1364" s="44">
        <f>Q1337*Settings!$C$13*(INDEX(Q$420:Q$431,$D1364))</f>
        <v/>
      </c>
      <c r="R1364" s="44">
        <f>R1337*Settings!$C$13*(INDEX(R$420:R$431,$D1364))</f>
        <v/>
      </c>
      <c r="S1364" s="44">
        <f>S1337*Settings!$C$13*(INDEX(S$420:S$431,$D1364))</f>
        <v/>
      </c>
      <c r="T1364" s="44">
        <f>T1337*Settings!$C$13*(INDEX(T$420:T$431,$D1364))</f>
        <v/>
      </c>
      <c r="U1364" s="44">
        <f>U1337*Settings!$C$13*(INDEX(U$420:U$431,$D1364))</f>
        <v/>
      </c>
      <c r="V1364" s="44">
        <f>V1337*Settings!$C$13*(INDEX(V$420:V$431,$D1364))</f>
        <v/>
      </c>
      <c r="W1364" s="44">
        <f>W1337*Settings!$C$13*(INDEX(W$420:W$431,$D1364))</f>
        <v/>
      </c>
      <c r="X1364" s="44">
        <f>X1337*Settings!$C$13*(INDEX(X$420:X$431,$D1364))</f>
        <v/>
      </c>
      <c r="Y1364" s="44">
        <f>Y1337*Settings!$C$13*(INDEX(Y$420:Y$431,$D1364))</f>
        <v/>
      </c>
      <c r="Z1364" s="44">
        <f>Z1337*Settings!$C$13*(INDEX(Z$420:Z$431,$D1364))</f>
        <v/>
      </c>
      <c r="AA1364" s="44">
        <f>AA1337*Settings!$C$13*(INDEX(AA$420:AA$431,$D1364))</f>
        <v/>
      </c>
      <c r="AB1364" s="44">
        <f>AB1337*Settings!$C$13*(INDEX(AB$420:AB$431,$D1364))</f>
        <v/>
      </c>
      <c r="AC1364" s="44">
        <f>AC1337*Settings!$C$13*(INDEX(AC$420:AC$431,$D1364))</f>
        <v/>
      </c>
      <c r="AD1364" s="44">
        <f>AD1337*Settings!$C$13*(INDEX(AD$420:AD$431,$D1364))</f>
        <v/>
      </c>
      <c r="AE1364" s="57">
        <f>REVENUE(AE1337,Settings!$C$13,INDEX(AE$420:AE$431,$D1364))</f>
        <v/>
      </c>
      <c r="AG1364" s="11">
        <f>CodePrefix&amp;$A1364&amp;IF($C1364="","","."&amp;$C1364&amp;"."&amp;$B1364)&amp;INDEX(VarEnd,MATCH($A1364,VarKey,0))&amp;AG$5</f>
        <v/>
      </c>
      <c r="AH1364" s="43">
        <f>AH1337*Settings!$C$13*(INDEX(AH$420:AH$431,$D1364))</f>
        <v/>
      </c>
      <c r="AI1364" s="44">
        <f>AI1337*Settings!$C$13*(INDEX(AI$420:AI$431,$D1364))</f>
        <v/>
      </c>
      <c r="AJ1364" s="44">
        <f>AJ1337*Settings!$C$13*(INDEX(AJ$420:AJ$431,$D1364))</f>
        <v/>
      </c>
      <c r="AK1364" s="44">
        <f>AK1337*Settings!$C$13*(INDEX(AK$420:AK$431,$D1364))</f>
        <v/>
      </c>
      <c r="AL1364" s="44">
        <f>AL1337*Settings!$C$13*(INDEX(AL$420:AL$431,$D1364))</f>
        <v/>
      </c>
      <c r="AM1364" s="44">
        <f>AM1337*Settings!$C$13*(INDEX(AM$420:AM$431,$D1364))</f>
        <v/>
      </c>
      <c r="AN1364" s="44">
        <f>AN1337*Settings!$C$13*(INDEX(AN$420:AN$431,$D1364))</f>
        <v/>
      </c>
      <c r="AO1364" s="44">
        <f>AO1337*Settings!$C$13*(INDEX(AO$420:AO$431,$D1364))</f>
        <v/>
      </c>
      <c r="AP1364" s="44">
        <f>AP1337*Settings!$C$13*(INDEX(AP$420:AP$431,$D1364))</f>
        <v/>
      </c>
      <c r="AQ1364" s="44">
        <f>AQ1337*Settings!$C$13*(INDEX(AQ$420:AQ$431,$D1364))</f>
        <v/>
      </c>
      <c r="AR1364" s="44">
        <f>AR1337*Settings!$C$13*(INDEX(AR$420:AR$431,$D1364))</f>
        <v/>
      </c>
      <c r="AS1364" s="44">
        <f>AS1337*Settings!$C$13*(INDEX(AS$420:AS$431,$D1364))</f>
        <v/>
      </c>
      <c r="AT1364" s="44">
        <f>AT1337*Settings!$C$13*(INDEX(AT$420:AT$431,$D1364))</f>
        <v/>
      </c>
      <c r="AU1364" s="44">
        <f>AU1337*Settings!$C$13*(INDEX(AU$420:AU$431,$D1364))</f>
        <v/>
      </c>
      <c r="AV1364" s="44">
        <f>AV1337*Settings!$C$13*(INDEX(AV$420:AV$431,$D1364))</f>
        <v/>
      </c>
      <c r="AW1364" s="44">
        <f>AW1337*Settings!$C$13*(INDEX(AW$420:AW$431,$D1364))</f>
        <v/>
      </c>
      <c r="AX1364" s="44">
        <f>AX1337*Settings!$C$13*(INDEX(AX$420:AX$431,$D1364))</f>
        <v/>
      </c>
      <c r="AY1364" s="44">
        <f>AY1337*Settings!$C$13*(INDEX(AY$420:AY$431,$D1364))</f>
        <v/>
      </c>
      <c r="AZ1364" s="44">
        <f>AZ1337*Settings!$C$13*(INDEX(AZ$420:AZ$431,$D1364))</f>
        <v/>
      </c>
      <c r="BA1364" s="57">
        <f>REVENUE(BA1337,Settings!$C$13,INDEX(BA$420:BA$431,$D1364))</f>
        <v/>
      </c>
    </row>
    <row r="1365" hidden="1" outlineLevel="2">
      <c r="A1365" s="14" t="inlineStr">
        <is>
          <t>rsub</t>
        </is>
      </c>
      <c r="B1365" s="14" t="inlineStr">
        <is>
          <t>die</t>
        </is>
      </c>
      <c r="C1365" s="14" t="inlineStr">
        <is>
          <t>avi</t>
        </is>
      </c>
      <c r="D1365" s="35">
        <f>INDEX(Inputs!$U$5:$U$132,MATCH($B1365&amp;"|"&amp;$C1365,Inputs!$A$5:$A$132,0))</f>
        <v/>
      </c>
      <c r="E1365" s="39" t="n"/>
      <c r="F1365" s="39" t="n"/>
      <c r="G1365" s="39" t="n"/>
      <c r="H1365" s="14">
        <f>INDEX(VarLab,MATCH($A1365,VarKey,0))&amp;INDEX(MemLab,MATCH($C1365&amp;"|"&amp;$B1365,MemKey,0))</f>
        <v/>
      </c>
      <c r="I1365" s="14">
        <f>INDEX(VarUnit,MATCH($A1365,VarKey,0))</f>
        <v/>
      </c>
      <c r="J1365" s="14">
        <f>INDEX(VarSrc,MATCH($A1365,VarKey,0))</f>
        <v/>
      </c>
      <c r="K1365" s="11">
        <f>CodePrefix&amp;$A1365&amp;IF($C1365="","","."&amp;$C1365&amp;"."&amp;$B1365)&amp;INDEX(VarEnd,MATCH($A1365,VarKey,0))&amp;K$5</f>
        <v/>
      </c>
      <c r="L1365" s="43">
        <f>L1338*Settings!$C$13*(INDEX(L$420:L$431,$D1365))</f>
        <v/>
      </c>
      <c r="M1365" s="44">
        <f>M1338*Settings!$C$13*(INDEX(M$420:M$431,$D1365))</f>
        <v/>
      </c>
      <c r="N1365" s="44">
        <f>N1338*Settings!$C$13*(INDEX(N$420:N$431,$D1365))</f>
        <v/>
      </c>
      <c r="O1365" s="44">
        <f>O1338*Settings!$C$13*(INDEX(O$420:O$431,$D1365))</f>
        <v/>
      </c>
      <c r="P1365" s="44">
        <f>P1338*Settings!$C$13*(INDEX(P$420:P$431,$D1365))</f>
        <v/>
      </c>
      <c r="Q1365" s="44">
        <f>Q1338*Settings!$C$13*(INDEX(Q$420:Q$431,$D1365))</f>
        <v/>
      </c>
      <c r="R1365" s="44">
        <f>R1338*Settings!$C$13*(INDEX(R$420:R$431,$D1365))</f>
        <v/>
      </c>
      <c r="S1365" s="44">
        <f>S1338*Settings!$C$13*(INDEX(S$420:S$431,$D1365))</f>
        <v/>
      </c>
      <c r="T1365" s="44">
        <f>T1338*Settings!$C$13*(INDEX(T$420:T$431,$D1365))</f>
        <v/>
      </c>
      <c r="U1365" s="44">
        <f>U1338*Settings!$C$13*(INDEX(U$420:U$431,$D1365))</f>
        <v/>
      </c>
      <c r="V1365" s="44">
        <f>V1338*Settings!$C$13*(INDEX(V$420:V$431,$D1365))</f>
        <v/>
      </c>
      <c r="W1365" s="44">
        <f>W1338*Settings!$C$13*(INDEX(W$420:W$431,$D1365))</f>
        <v/>
      </c>
      <c r="X1365" s="44">
        <f>X1338*Settings!$C$13*(INDEX(X$420:X$431,$D1365))</f>
        <v/>
      </c>
      <c r="Y1365" s="44">
        <f>Y1338*Settings!$C$13*(INDEX(Y$420:Y$431,$D1365))</f>
        <v/>
      </c>
      <c r="Z1365" s="44">
        <f>Z1338*Settings!$C$13*(INDEX(Z$420:Z$431,$D1365))</f>
        <v/>
      </c>
      <c r="AA1365" s="44">
        <f>AA1338*Settings!$C$13*(INDEX(AA$420:AA$431,$D1365))</f>
        <v/>
      </c>
      <c r="AB1365" s="44">
        <f>AB1338*Settings!$C$13*(INDEX(AB$420:AB$431,$D1365))</f>
        <v/>
      </c>
      <c r="AC1365" s="44">
        <f>AC1338*Settings!$C$13*(INDEX(AC$420:AC$431,$D1365))</f>
        <v/>
      </c>
      <c r="AD1365" s="44">
        <f>AD1338*Settings!$C$13*(INDEX(AD$420:AD$431,$D1365))</f>
        <v/>
      </c>
      <c r="AE1365" s="57">
        <f>REVENUE(AE1338,Settings!$C$13,INDEX(AE$420:AE$431,$D1365))</f>
        <v/>
      </c>
      <c r="AG1365" s="11">
        <f>CodePrefix&amp;$A1365&amp;IF($C1365="","","."&amp;$C1365&amp;"."&amp;$B1365)&amp;INDEX(VarEnd,MATCH($A1365,VarKey,0))&amp;AG$5</f>
        <v/>
      </c>
      <c r="AH1365" s="43">
        <f>AH1338*Settings!$C$13*(INDEX(AH$420:AH$431,$D1365))</f>
        <v/>
      </c>
      <c r="AI1365" s="44">
        <f>AI1338*Settings!$C$13*(INDEX(AI$420:AI$431,$D1365))</f>
        <v/>
      </c>
      <c r="AJ1365" s="44">
        <f>AJ1338*Settings!$C$13*(INDEX(AJ$420:AJ$431,$D1365))</f>
        <v/>
      </c>
      <c r="AK1365" s="44">
        <f>AK1338*Settings!$C$13*(INDEX(AK$420:AK$431,$D1365))</f>
        <v/>
      </c>
      <c r="AL1365" s="44">
        <f>AL1338*Settings!$C$13*(INDEX(AL$420:AL$431,$D1365))</f>
        <v/>
      </c>
      <c r="AM1365" s="44">
        <f>AM1338*Settings!$C$13*(INDEX(AM$420:AM$431,$D1365))</f>
        <v/>
      </c>
      <c r="AN1365" s="44">
        <f>AN1338*Settings!$C$13*(INDEX(AN$420:AN$431,$D1365))</f>
        <v/>
      </c>
      <c r="AO1365" s="44">
        <f>AO1338*Settings!$C$13*(INDEX(AO$420:AO$431,$D1365))</f>
        <v/>
      </c>
      <c r="AP1365" s="44">
        <f>AP1338*Settings!$C$13*(INDEX(AP$420:AP$431,$D1365))</f>
        <v/>
      </c>
      <c r="AQ1365" s="44">
        <f>AQ1338*Settings!$C$13*(INDEX(AQ$420:AQ$431,$D1365))</f>
        <v/>
      </c>
      <c r="AR1365" s="44">
        <f>AR1338*Settings!$C$13*(INDEX(AR$420:AR$431,$D1365))</f>
        <v/>
      </c>
      <c r="AS1365" s="44">
        <f>AS1338*Settings!$C$13*(INDEX(AS$420:AS$431,$D1365))</f>
        <v/>
      </c>
      <c r="AT1365" s="44">
        <f>AT1338*Settings!$C$13*(INDEX(AT$420:AT$431,$D1365))</f>
        <v/>
      </c>
      <c r="AU1365" s="44">
        <f>AU1338*Settings!$C$13*(INDEX(AU$420:AU$431,$D1365))</f>
        <v/>
      </c>
      <c r="AV1365" s="44">
        <f>AV1338*Settings!$C$13*(INDEX(AV$420:AV$431,$D1365))</f>
        <v/>
      </c>
      <c r="AW1365" s="44">
        <f>AW1338*Settings!$C$13*(INDEX(AW$420:AW$431,$D1365))</f>
        <v/>
      </c>
      <c r="AX1365" s="44">
        <f>AX1338*Settings!$C$13*(INDEX(AX$420:AX$431,$D1365))</f>
        <v/>
      </c>
      <c r="AY1365" s="44">
        <f>AY1338*Settings!$C$13*(INDEX(AY$420:AY$431,$D1365))</f>
        <v/>
      </c>
      <c r="AZ1365" s="44">
        <f>AZ1338*Settings!$C$13*(INDEX(AZ$420:AZ$431,$D1365))</f>
        <v/>
      </c>
      <c r="BA1365" s="57">
        <f>REVENUE(BA1338,Settings!$C$13,INDEX(BA$420:BA$431,$D1365))</f>
        <v/>
      </c>
    </row>
    <row r="1366" hidden="1" outlineLevel="2">
      <c r="A1366" s="14" t="inlineStr">
        <is>
          <t>rsub</t>
        </is>
      </c>
      <c r="B1366" s="14" t="inlineStr">
        <is>
          <t>lpg</t>
        </is>
      </c>
      <c r="C1366" s="14" t="inlineStr">
        <is>
          <t>avi</t>
        </is>
      </c>
      <c r="D1366" s="35">
        <f>INDEX(Inputs!$U$5:$U$132,MATCH($B1366&amp;"|"&amp;$C1366,Inputs!$A$5:$A$132,0))</f>
        <v/>
      </c>
      <c r="E1366" s="39" t="n"/>
      <c r="F1366" s="39" t="n"/>
      <c r="G1366" s="39" t="n"/>
      <c r="H1366" s="14">
        <f>INDEX(VarLab,MATCH($A1366,VarKey,0))&amp;INDEX(MemLab,MATCH($C1366&amp;"|"&amp;$B1366,MemKey,0))</f>
        <v/>
      </c>
      <c r="I1366" s="14">
        <f>INDEX(VarUnit,MATCH($A1366,VarKey,0))</f>
        <v/>
      </c>
      <c r="J1366" s="14">
        <f>INDEX(VarSrc,MATCH($A1366,VarKey,0))</f>
        <v/>
      </c>
      <c r="K1366" s="11">
        <f>CodePrefix&amp;$A1366&amp;IF($C1366="","","."&amp;$C1366&amp;"."&amp;$B1366)&amp;INDEX(VarEnd,MATCH($A1366,VarKey,0))&amp;K$5</f>
        <v/>
      </c>
      <c r="L1366" s="43">
        <f>L1339*Settings!$C$13*(INDEX(L$420:L$431,$D1366))</f>
        <v/>
      </c>
      <c r="M1366" s="44">
        <f>M1339*Settings!$C$13*(INDEX(M$420:M$431,$D1366))</f>
        <v/>
      </c>
      <c r="N1366" s="44">
        <f>N1339*Settings!$C$13*(INDEX(N$420:N$431,$D1366))</f>
        <v/>
      </c>
      <c r="O1366" s="44">
        <f>O1339*Settings!$C$13*(INDEX(O$420:O$431,$D1366))</f>
        <v/>
      </c>
      <c r="P1366" s="44">
        <f>P1339*Settings!$C$13*(INDEX(P$420:P$431,$D1366))</f>
        <v/>
      </c>
      <c r="Q1366" s="44">
        <f>Q1339*Settings!$C$13*(INDEX(Q$420:Q$431,$D1366))</f>
        <v/>
      </c>
      <c r="R1366" s="44">
        <f>R1339*Settings!$C$13*(INDEX(R$420:R$431,$D1366))</f>
        <v/>
      </c>
      <c r="S1366" s="44">
        <f>S1339*Settings!$C$13*(INDEX(S$420:S$431,$D1366))</f>
        <v/>
      </c>
      <c r="T1366" s="44">
        <f>T1339*Settings!$C$13*(INDEX(T$420:T$431,$D1366))</f>
        <v/>
      </c>
      <c r="U1366" s="44">
        <f>U1339*Settings!$C$13*(INDEX(U$420:U$431,$D1366))</f>
        <v/>
      </c>
      <c r="V1366" s="44">
        <f>V1339*Settings!$C$13*(INDEX(V$420:V$431,$D1366))</f>
        <v/>
      </c>
      <c r="W1366" s="44">
        <f>W1339*Settings!$C$13*(INDEX(W$420:W$431,$D1366))</f>
        <v/>
      </c>
      <c r="X1366" s="44">
        <f>X1339*Settings!$C$13*(INDEX(X$420:X$431,$D1366))</f>
        <v/>
      </c>
      <c r="Y1366" s="44">
        <f>Y1339*Settings!$C$13*(INDEX(Y$420:Y$431,$D1366))</f>
        <v/>
      </c>
      <c r="Z1366" s="44">
        <f>Z1339*Settings!$C$13*(INDEX(Z$420:Z$431,$D1366))</f>
        <v/>
      </c>
      <c r="AA1366" s="44">
        <f>AA1339*Settings!$C$13*(INDEX(AA$420:AA$431,$D1366))</f>
        <v/>
      </c>
      <c r="AB1366" s="44">
        <f>AB1339*Settings!$C$13*(INDEX(AB$420:AB$431,$D1366))</f>
        <v/>
      </c>
      <c r="AC1366" s="44">
        <f>AC1339*Settings!$C$13*(INDEX(AC$420:AC$431,$D1366))</f>
        <v/>
      </c>
      <c r="AD1366" s="44">
        <f>AD1339*Settings!$C$13*(INDEX(AD$420:AD$431,$D1366))</f>
        <v/>
      </c>
      <c r="AE1366" s="57">
        <f>REVENUE(AE1339,Settings!$C$13,INDEX(AE$420:AE$431,$D1366))</f>
        <v/>
      </c>
      <c r="AG1366" s="11">
        <f>CodePrefix&amp;$A1366&amp;IF($C1366="","","."&amp;$C1366&amp;"."&amp;$B1366)&amp;INDEX(VarEnd,MATCH($A1366,VarKey,0))&amp;AG$5</f>
        <v/>
      </c>
      <c r="AH1366" s="43">
        <f>AH1339*Settings!$C$13*(INDEX(AH$420:AH$431,$D1366))</f>
        <v/>
      </c>
      <c r="AI1366" s="44">
        <f>AI1339*Settings!$C$13*(INDEX(AI$420:AI$431,$D1366))</f>
        <v/>
      </c>
      <c r="AJ1366" s="44">
        <f>AJ1339*Settings!$C$13*(INDEX(AJ$420:AJ$431,$D1366))</f>
        <v/>
      </c>
      <c r="AK1366" s="44">
        <f>AK1339*Settings!$C$13*(INDEX(AK$420:AK$431,$D1366))</f>
        <v/>
      </c>
      <c r="AL1366" s="44">
        <f>AL1339*Settings!$C$13*(INDEX(AL$420:AL$431,$D1366))</f>
        <v/>
      </c>
      <c r="AM1366" s="44">
        <f>AM1339*Settings!$C$13*(INDEX(AM$420:AM$431,$D1366))</f>
        <v/>
      </c>
      <c r="AN1366" s="44">
        <f>AN1339*Settings!$C$13*(INDEX(AN$420:AN$431,$D1366))</f>
        <v/>
      </c>
      <c r="AO1366" s="44">
        <f>AO1339*Settings!$C$13*(INDEX(AO$420:AO$431,$D1366))</f>
        <v/>
      </c>
      <c r="AP1366" s="44">
        <f>AP1339*Settings!$C$13*(INDEX(AP$420:AP$431,$D1366))</f>
        <v/>
      </c>
      <c r="AQ1366" s="44">
        <f>AQ1339*Settings!$C$13*(INDEX(AQ$420:AQ$431,$D1366))</f>
        <v/>
      </c>
      <c r="AR1366" s="44">
        <f>AR1339*Settings!$C$13*(INDEX(AR$420:AR$431,$D1366))</f>
        <v/>
      </c>
      <c r="AS1366" s="44">
        <f>AS1339*Settings!$C$13*(INDEX(AS$420:AS$431,$D1366))</f>
        <v/>
      </c>
      <c r="AT1366" s="44">
        <f>AT1339*Settings!$C$13*(INDEX(AT$420:AT$431,$D1366))</f>
        <v/>
      </c>
      <c r="AU1366" s="44">
        <f>AU1339*Settings!$C$13*(INDEX(AU$420:AU$431,$D1366))</f>
        <v/>
      </c>
      <c r="AV1366" s="44">
        <f>AV1339*Settings!$C$13*(INDEX(AV$420:AV$431,$D1366))</f>
        <v/>
      </c>
      <c r="AW1366" s="44">
        <f>AW1339*Settings!$C$13*(INDEX(AW$420:AW$431,$D1366))</f>
        <v/>
      </c>
      <c r="AX1366" s="44">
        <f>AX1339*Settings!$C$13*(INDEX(AX$420:AX$431,$D1366))</f>
        <v/>
      </c>
      <c r="AY1366" s="44">
        <f>AY1339*Settings!$C$13*(INDEX(AY$420:AY$431,$D1366))</f>
        <v/>
      </c>
      <c r="AZ1366" s="44">
        <f>AZ1339*Settings!$C$13*(INDEX(AZ$420:AZ$431,$D1366))</f>
        <v/>
      </c>
      <c r="BA1366" s="57">
        <f>REVENUE(BA1339,Settings!$C$13,INDEX(BA$420:BA$431,$D1366))</f>
        <v/>
      </c>
    </row>
    <row r="1367" hidden="1" outlineLevel="2">
      <c r="A1367" s="14" t="inlineStr">
        <is>
          <t>rsub</t>
        </is>
      </c>
      <c r="B1367" s="14" t="inlineStr">
        <is>
          <t>ker</t>
        </is>
      </c>
      <c r="C1367" s="14" t="inlineStr">
        <is>
          <t>avi</t>
        </is>
      </c>
      <c r="D1367" s="35">
        <f>INDEX(Inputs!$U$5:$U$132,MATCH($B1367&amp;"|"&amp;$C1367,Inputs!$A$5:$A$132,0))</f>
        <v/>
      </c>
      <c r="E1367" s="39" t="n"/>
      <c r="F1367" s="39" t="n"/>
      <c r="G1367" s="39" t="n"/>
      <c r="H1367" s="14">
        <f>INDEX(VarLab,MATCH($A1367,VarKey,0))&amp;INDEX(MemLab,MATCH($C1367&amp;"|"&amp;$B1367,MemKey,0))</f>
        <v/>
      </c>
      <c r="I1367" s="14">
        <f>INDEX(VarUnit,MATCH($A1367,VarKey,0))</f>
        <v/>
      </c>
      <c r="J1367" s="14">
        <f>INDEX(VarSrc,MATCH($A1367,VarKey,0))</f>
        <v/>
      </c>
      <c r="K1367" s="11">
        <f>CodePrefix&amp;$A1367&amp;IF($C1367="","","."&amp;$C1367&amp;"."&amp;$B1367)&amp;INDEX(VarEnd,MATCH($A1367,VarKey,0))&amp;K$5</f>
        <v/>
      </c>
      <c r="L1367" s="43">
        <f>L1340*Settings!$C$13*(INDEX(L$420:L$431,$D1367))</f>
        <v/>
      </c>
      <c r="M1367" s="44">
        <f>M1340*Settings!$C$13*(INDEX(M$420:M$431,$D1367))</f>
        <v/>
      </c>
      <c r="N1367" s="44">
        <f>N1340*Settings!$C$13*(INDEX(N$420:N$431,$D1367))</f>
        <v/>
      </c>
      <c r="O1367" s="44">
        <f>O1340*Settings!$C$13*(INDEX(O$420:O$431,$D1367))</f>
        <v/>
      </c>
      <c r="P1367" s="44">
        <f>P1340*Settings!$C$13*(INDEX(P$420:P$431,$D1367))</f>
        <v/>
      </c>
      <c r="Q1367" s="44">
        <f>Q1340*Settings!$C$13*(INDEX(Q$420:Q$431,$D1367))</f>
        <v/>
      </c>
      <c r="R1367" s="44">
        <f>R1340*Settings!$C$13*(INDEX(R$420:R$431,$D1367))</f>
        <v/>
      </c>
      <c r="S1367" s="44">
        <f>S1340*Settings!$C$13*(INDEX(S$420:S$431,$D1367))</f>
        <v/>
      </c>
      <c r="T1367" s="44">
        <f>T1340*Settings!$C$13*(INDEX(T$420:T$431,$D1367))</f>
        <v/>
      </c>
      <c r="U1367" s="44">
        <f>U1340*Settings!$C$13*(INDEX(U$420:U$431,$D1367))</f>
        <v/>
      </c>
      <c r="V1367" s="44">
        <f>V1340*Settings!$C$13*(INDEX(V$420:V$431,$D1367))</f>
        <v/>
      </c>
      <c r="W1367" s="44">
        <f>W1340*Settings!$C$13*(INDEX(W$420:W$431,$D1367))</f>
        <v/>
      </c>
      <c r="X1367" s="44">
        <f>X1340*Settings!$C$13*(INDEX(X$420:X$431,$D1367))</f>
        <v/>
      </c>
      <c r="Y1367" s="44">
        <f>Y1340*Settings!$C$13*(INDEX(Y$420:Y$431,$D1367))</f>
        <v/>
      </c>
      <c r="Z1367" s="44">
        <f>Z1340*Settings!$C$13*(INDEX(Z$420:Z$431,$D1367))</f>
        <v/>
      </c>
      <c r="AA1367" s="44">
        <f>AA1340*Settings!$C$13*(INDEX(AA$420:AA$431,$D1367))</f>
        <v/>
      </c>
      <c r="AB1367" s="44">
        <f>AB1340*Settings!$C$13*(INDEX(AB$420:AB$431,$D1367))</f>
        <v/>
      </c>
      <c r="AC1367" s="44">
        <f>AC1340*Settings!$C$13*(INDEX(AC$420:AC$431,$D1367))</f>
        <v/>
      </c>
      <c r="AD1367" s="44">
        <f>AD1340*Settings!$C$13*(INDEX(AD$420:AD$431,$D1367))</f>
        <v/>
      </c>
      <c r="AE1367" s="57">
        <f>REVENUE(AE1340,Settings!$C$13,INDEX(AE$420:AE$431,$D1367))</f>
        <v/>
      </c>
      <c r="AG1367" s="11">
        <f>CodePrefix&amp;$A1367&amp;IF($C1367="","","."&amp;$C1367&amp;"."&amp;$B1367)&amp;INDEX(VarEnd,MATCH($A1367,VarKey,0))&amp;AG$5</f>
        <v/>
      </c>
      <c r="AH1367" s="43">
        <f>AH1340*Settings!$C$13*(INDEX(AH$420:AH$431,$D1367))</f>
        <v/>
      </c>
      <c r="AI1367" s="44">
        <f>AI1340*Settings!$C$13*(INDEX(AI$420:AI$431,$D1367))</f>
        <v/>
      </c>
      <c r="AJ1367" s="44">
        <f>AJ1340*Settings!$C$13*(INDEX(AJ$420:AJ$431,$D1367))</f>
        <v/>
      </c>
      <c r="AK1367" s="44">
        <f>AK1340*Settings!$C$13*(INDEX(AK$420:AK$431,$D1367))</f>
        <v/>
      </c>
      <c r="AL1367" s="44">
        <f>AL1340*Settings!$C$13*(INDEX(AL$420:AL$431,$D1367))</f>
        <v/>
      </c>
      <c r="AM1367" s="44">
        <f>AM1340*Settings!$C$13*(INDEX(AM$420:AM$431,$D1367))</f>
        <v/>
      </c>
      <c r="AN1367" s="44">
        <f>AN1340*Settings!$C$13*(INDEX(AN$420:AN$431,$D1367))</f>
        <v/>
      </c>
      <c r="AO1367" s="44">
        <f>AO1340*Settings!$C$13*(INDEX(AO$420:AO$431,$D1367))</f>
        <v/>
      </c>
      <c r="AP1367" s="44">
        <f>AP1340*Settings!$C$13*(INDEX(AP$420:AP$431,$D1367))</f>
        <v/>
      </c>
      <c r="AQ1367" s="44">
        <f>AQ1340*Settings!$C$13*(INDEX(AQ$420:AQ$431,$D1367))</f>
        <v/>
      </c>
      <c r="AR1367" s="44">
        <f>AR1340*Settings!$C$13*(INDEX(AR$420:AR$431,$D1367))</f>
        <v/>
      </c>
      <c r="AS1367" s="44">
        <f>AS1340*Settings!$C$13*(INDEX(AS$420:AS$431,$D1367))</f>
        <v/>
      </c>
      <c r="AT1367" s="44">
        <f>AT1340*Settings!$C$13*(INDEX(AT$420:AT$431,$D1367))</f>
        <v/>
      </c>
      <c r="AU1367" s="44">
        <f>AU1340*Settings!$C$13*(INDEX(AU$420:AU$431,$D1367))</f>
        <v/>
      </c>
      <c r="AV1367" s="44">
        <f>AV1340*Settings!$C$13*(INDEX(AV$420:AV$431,$D1367))</f>
        <v/>
      </c>
      <c r="AW1367" s="44">
        <f>AW1340*Settings!$C$13*(INDEX(AW$420:AW$431,$D1367))</f>
        <v/>
      </c>
      <c r="AX1367" s="44">
        <f>AX1340*Settings!$C$13*(INDEX(AX$420:AX$431,$D1367))</f>
        <v/>
      </c>
      <c r="AY1367" s="44">
        <f>AY1340*Settings!$C$13*(INDEX(AY$420:AY$431,$D1367))</f>
        <v/>
      </c>
      <c r="AZ1367" s="44">
        <f>AZ1340*Settings!$C$13*(INDEX(AZ$420:AZ$431,$D1367))</f>
        <v/>
      </c>
      <c r="BA1367" s="57">
        <f>REVENUE(BA1340,Settings!$C$13,INDEX(BA$420:BA$431,$D1367))</f>
        <v/>
      </c>
    </row>
    <row r="1368" hidden="1" outlineLevel="2">
      <c r="A1368" s="14" t="inlineStr">
        <is>
          <t>rsub</t>
        </is>
      </c>
      <c r="B1368" s="14" t="inlineStr">
        <is>
          <t>oop</t>
        </is>
      </c>
      <c r="C1368" s="14" t="inlineStr">
        <is>
          <t>avi</t>
        </is>
      </c>
      <c r="D1368" s="35">
        <f>INDEX(Inputs!$U$5:$U$132,MATCH($B1368&amp;"|"&amp;$C1368,Inputs!$A$5:$A$132,0))</f>
        <v/>
      </c>
      <c r="E1368" s="39" t="n"/>
      <c r="F1368" s="39" t="n"/>
      <c r="G1368" s="39" t="n"/>
      <c r="H1368" s="14">
        <f>INDEX(VarLab,MATCH($A1368,VarKey,0))&amp;INDEX(MemLab,MATCH($C1368&amp;"|"&amp;$B1368,MemKey,0))</f>
        <v/>
      </c>
      <c r="I1368" s="14">
        <f>INDEX(VarUnit,MATCH($A1368,VarKey,0))</f>
        <v/>
      </c>
      <c r="J1368" s="14">
        <f>INDEX(VarSrc,MATCH($A1368,VarKey,0))</f>
        <v/>
      </c>
      <c r="K1368" s="11">
        <f>CodePrefix&amp;$A1368&amp;IF($C1368="","","."&amp;$C1368&amp;"."&amp;$B1368)&amp;INDEX(VarEnd,MATCH($A1368,VarKey,0))&amp;K$5</f>
        <v/>
      </c>
      <c r="L1368" s="43">
        <f>L1341*Settings!$C$13*(INDEX(L$420:L$431,$D1368))</f>
        <v/>
      </c>
      <c r="M1368" s="44">
        <f>M1341*Settings!$C$13*(INDEX(M$420:M$431,$D1368))</f>
        <v/>
      </c>
      <c r="N1368" s="44">
        <f>N1341*Settings!$C$13*(INDEX(N$420:N$431,$D1368))</f>
        <v/>
      </c>
      <c r="O1368" s="44">
        <f>O1341*Settings!$C$13*(INDEX(O$420:O$431,$D1368))</f>
        <v/>
      </c>
      <c r="P1368" s="44">
        <f>P1341*Settings!$C$13*(INDEX(P$420:P$431,$D1368))</f>
        <v/>
      </c>
      <c r="Q1368" s="44">
        <f>Q1341*Settings!$C$13*(INDEX(Q$420:Q$431,$D1368))</f>
        <v/>
      </c>
      <c r="R1368" s="44">
        <f>R1341*Settings!$C$13*(INDEX(R$420:R$431,$D1368))</f>
        <v/>
      </c>
      <c r="S1368" s="44">
        <f>S1341*Settings!$C$13*(INDEX(S$420:S$431,$D1368))</f>
        <v/>
      </c>
      <c r="T1368" s="44">
        <f>T1341*Settings!$C$13*(INDEX(T$420:T$431,$D1368))</f>
        <v/>
      </c>
      <c r="U1368" s="44">
        <f>U1341*Settings!$C$13*(INDEX(U$420:U$431,$D1368))</f>
        <v/>
      </c>
      <c r="V1368" s="44">
        <f>V1341*Settings!$C$13*(INDEX(V$420:V$431,$D1368))</f>
        <v/>
      </c>
      <c r="W1368" s="44">
        <f>W1341*Settings!$C$13*(INDEX(W$420:W$431,$D1368))</f>
        <v/>
      </c>
      <c r="X1368" s="44">
        <f>X1341*Settings!$C$13*(INDEX(X$420:X$431,$D1368))</f>
        <v/>
      </c>
      <c r="Y1368" s="44">
        <f>Y1341*Settings!$C$13*(INDEX(Y$420:Y$431,$D1368))</f>
        <v/>
      </c>
      <c r="Z1368" s="44">
        <f>Z1341*Settings!$C$13*(INDEX(Z$420:Z$431,$D1368))</f>
        <v/>
      </c>
      <c r="AA1368" s="44">
        <f>AA1341*Settings!$C$13*(INDEX(AA$420:AA$431,$D1368))</f>
        <v/>
      </c>
      <c r="AB1368" s="44">
        <f>AB1341*Settings!$C$13*(INDEX(AB$420:AB$431,$D1368))</f>
        <v/>
      </c>
      <c r="AC1368" s="44">
        <f>AC1341*Settings!$C$13*(INDEX(AC$420:AC$431,$D1368))</f>
        <v/>
      </c>
      <c r="AD1368" s="44">
        <f>AD1341*Settings!$C$13*(INDEX(AD$420:AD$431,$D1368))</f>
        <v/>
      </c>
      <c r="AE1368" s="57">
        <f>REVENUE(AE1341,Settings!$C$13,INDEX(AE$420:AE$431,$D1368))</f>
        <v/>
      </c>
      <c r="AG1368" s="11">
        <f>CodePrefix&amp;$A1368&amp;IF($C1368="","","."&amp;$C1368&amp;"."&amp;$B1368)&amp;INDEX(VarEnd,MATCH($A1368,VarKey,0))&amp;AG$5</f>
        <v/>
      </c>
      <c r="AH1368" s="43">
        <f>AH1341*Settings!$C$13*(INDEX(AH$420:AH$431,$D1368))</f>
        <v/>
      </c>
      <c r="AI1368" s="44">
        <f>AI1341*Settings!$C$13*(INDEX(AI$420:AI$431,$D1368))</f>
        <v/>
      </c>
      <c r="AJ1368" s="44">
        <f>AJ1341*Settings!$C$13*(INDEX(AJ$420:AJ$431,$D1368))</f>
        <v/>
      </c>
      <c r="AK1368" s="44">
        <f>AK1341*Settings!$C$13*(INDEX(AK$420:AK$431,$D1368))</f>
        <v/>
      </c>
      <c r="AL1368" s="44">
        <f>AL1341*Settings!$C$13*(INDEX(AL$420:AL$431,$D1368))</f>
        <v/>
      </c>
      <c r="AM1368" s="44">
        <f>AM1341*Settings!$C$13*(INDEX(AM$420:AM$431,$D1368))</f>
        <v/>
      </c>
      <c r="AN1368" s="44">
        <f>AN1341*Settings!$C$13*(INDEX(AN$420:AN$431,$D1368))</f>
        <v/>
      </c>
      <c r="AO1368" s="44">
        <f>AO1341*Settings!$C$13*(INDEX(AO$420:AO$431,$D1368))</f>
        <v/>
      </c>
      <c r="AP1368" s="44">
        <f>AP1341*Settings!$C$13*(INDEX(AP$420:AP$431,$D1368))</f>
        <v/>
      </c>
      <c r="AQ1368" s="44">
        <f>AQ1341*Settings!$C$13*(INDEX(AQ$420:AQ$431,$D1368))</f>
        <v/>
      </c>
      <c r="AR1368" s="44">
        <f>AR1341*Settings!$C$13*(INDEX(AR$420:AR$431,$D1368))</f>
        <v/>
      </c>
      <c r="AS1368" s="44">
        <f>AS1341*Settings!$C$13*(INDEX(AS$420:AS$431,$D1368))</f>
        <v/>
      </c>
      <c r="AT1368" s="44">
        <f>AT1341*Settings!$C$13*(INDEX(AT$420:AT$431,$D1368))</f>
        <v/>
      </c>
      <c r="AU1368" s="44">
        <f>AU1341*Settings!$C$13*(INDEX(AU$420:AU$431,$D1368))</f>
        <v/>
      </c>
      <c r="AV1368" s="44">
        <f>AV1341*Settings!$C$13*(INDEX(AV$420:AV$431,$D1368))</f>
        <v/>
      </c>
      <c r="AW1368" s="44">
        <f>AW1341*Settings!$C$13*(INDEX(AW$420:AW$431,$D1368))</f>
        <v/>
      </c>
      <c r="AX1368" s="44">
        <f>AX1341*Settings!$C$13*(INDEX(AX$420:AX$431,$D1368))</f>
        <v/>
      </c>
      <c r="AY1368" s="44">
        <f>AY1341*Settings!$C$13*(INDEX(AY$420:AY$431,$D1368))</f>
        <v/>
      </c>
      <c r="AZ1368" s="44">
        <f>AZ1341*Settings!$C$13*(INDEX(AZ$420:AZ$431,$D1368))</f>
        <v/>
      </c>
      <c r="BA1368" s="57">
        <f>REVENUE(BA1341,Settings!$C$13,INDEX(BA$420:BA$431,$D1368))</f>
        <v/>
      </c>
    </row>
    <row r="1369" hidden="1" outlineLevel="2">
      <c r="A1369" s="14" t="inlineStr">
        <is>
          <t>rsub</t>
        </is>
      </c>
      <c r="B1369" s="14" t="inlineStr">
        <is>
          <t>bio</t>
        </is>
      </c>
      <c r="C1369" s="14" t="inlineStr">
        <is>
          <t>avi</t>
        </is>
      </c>
      <c r="D1369" s="35">
        <f>INDEX(Inputs!$U$5:$U$132,MATCH($B1369&amp;"|"&amp;$C1369,Inputs!$A$5:$A$132,0))</f>
        <v/>
      </c>
      <c r="E1369" s="39" t="n"/>
      <c r="F1369" s="39" t="n"/>
      <c r="G1369" s="39" t="n"/>
      <c r="H1369" s="14">
        <f>INDEX(VarLab,MATCH($A1369,VarKey,0))&amp;INDEX(MemLab,MATCH($C1369&amp;"|"&amp;$B1369,MemKey,0))</f>
        <v/>
      </c>
      <c r="I1369" s="14">
        <f>INDEX(VarUnit,MATCH($A1369,VarKey,0))</f>
        <v/>
      </c>
      <c r="J1369" s="14">
        <f>INDEX(VarSrc,MATCH($A1369,VarKey,0))</f>
        <v/>
      </c>
      <c r="K1369" s="11">
        <f>CodePrefix&amp;$A1369&amp;IF($C1369="","","."&amp;$C1369&amp;"."&amp;$B1369)&amp;INDEX(VarEnd,MATCH($A1369,VarKey,0))&amp;K$5</f>
        <v/>
      </c>
      <c r="L1369" s="43">
        <f>L1342*Settings!$C$13*(INDEX(L$420:L$431,$D1369))</f>
        <v/>
      </c>
      <c r="M1369" s="44">
        <f>M1342*Settings!$C$13*(INDEX(M$420:M$431,$D1369))</f>
        <v/>
      </c>
      <c r="N1369" s="44">
        <f>N1342*Settings!$C$13*(INDEX(N$420:N$431,$D1369))</f>
        <v/>
      </c>
      <c r="O1369" s="44">
        <f>O1342*Settings!$C$13*(INDEX(O$420:O$431,$D1369))</f>
        <v/>
      </c>
      <c r="P1369" s="44">
        <f>P1342*Settings!$C$13*(INDEX(P$420:P$431,$D1369))</f>
        <v/>
      </c>
      <c r="Q1369" s="44">
        <f>Q1342*Settings!$C$13*(INDEX(Q$420:Q$431,$D1369))</f>
        <v/>
      </c>
      <c r="R1369" s="44">
        <f>R1342*Settings!$C$13*(INDEX(R$420:R$431,$D1369))</f>
        <v/>
      </c>
      <c r="S1369" s="44">
        <f>S1342*Settings!$C$13*(INDEX(S$420:S$431,$D1369))</f>
        <v/>
      </c>
      <c r="T1369" s="44">
        <f>T1342*Settings!$C$13*(INDEX(T$420:T$431,$D1369))</f>
        <v/>
      </c>
      <c r="U1369" s="44">
        <f>U1342*Settings!$C$13*(INDEX(U$420:U$431,$D1369))</f>
        <v/>
      </c>
      <c r="V1369" s="44">
        <f>V1342*Settings!$C$13*(INDEX(V$420:V$431,$D1369))</f>
        <v/>
      </c>
      <c r="W1369" s="44">
        <f>W1342*Settings!$C$13*(INDEX(W$420:W$431,$D1369))</f>
        <v/>
      </c>
      <c r="X1369" s="44">
        <f>X1342*Settings!$C$13*(INDEX(X$420:X$431,$D1369))</f>
        <v/>
      </c>
      <c r="Y1369" s="44">
        <f>Y1342*Settings!$C$13*(INDEX(Y$420:Y$431,$D1369))</f>
        <v/>
      </c>
      <c r="Z1369" s="44">
        <f>Z1342*Settings!$C$13*(INDEX(Z$420:Z$431,$D1369))</f>
        <v/>
      </c>
      <c r="AA1369" s="44">
        <f>AA1342*Settings!$C$13*(INDEX(AA$420:AA$431,$D1369))</f>
        <v/>
      </c>
      <c r="AB1369" s="44">
        <f>AB1342*Settings!$C$13*(INDEX(AB$420:AB$431,$D1369))</f>
        <v/>
      </c>
      <c r="AC1369" s="44">
        <f>AC1342*Settings!$C$13*(INDEX(AC$420:AC$431,$D1369))</f>
        <v/>
      </c>
      <c r="AD1369" s="44">
        <f>AD1342*Settings!$C$13*(INDEX(AD$420:AD$431,$D1369))</f>
        <v/>
      </c>
      <c r="AE1369" s="57">
        <f>REVENUE(AE1342,Settings!$C$13,INDEX(AE$420:AE$431,$D1369))</f>
        <v/>
      </c>
      <c r="AG1369" s="11">
        <f>CodePrefix&amp;$A1369&amp;IF($C1369="","","."&amp;$C1369&amp;"."&amp;$B1369)&amp;INDEX(VarEnd,MATCH($A1369,VarKey,0))&amp;AG$5</f>
        <v/>
      </c>
      <c r="AH1369" s="43">
        <f>AH1342*Settings!$C$13*(INDEX(AH$420:AH$431,$D1369))</f>
        <v/>
      </c>
      <c r="AI1369" s="44">
        <f>AI1342*Settings!$C$13*(INDEX(AI$420:AI$431,$D1369))</f>
        <v/>
      </c>
      <c r="AJ1369" s="44">
        <f>AJ1342*Settings!$C$13*(INDEX(AJ$420:AJ$431,$D1369))</f>
        <v/>
      </c>
      <c r="AK1369" s="44">
        <f>AK1342*Settings!$C$13*(INDEX(AK$420:AK$431,$D1369))</f>
        <v/>
      </c>
      <c r="AL1369" s="44">
        <f>AL1342*Settings!$C$13*(INDEX(AL$420:AL$431,$D1369))</f>
        <v/>
      </c>
      <c r="AM1369" s="44">
        <f>AM1342*Settings!$C$13*(INDEX(AM$420:AM$431,$D1369))</f>
        <v/>
      </c>
      <c r="AN1369" s="44">
        <f>AN1342*Settings!$C$13*(INDEX(AN$420:AN$431,$D1369))</f>
        <v/>
      </c>
      <c r="AO1369" s="44">
        <f>AO1342*Settings!$C$13*(INDEX(AO$420:AO$431,$D1369))</f>
        <v/>
      </c>
      <c r="AP1369" s="44">
        <f>AP1342*Settings!$C$13*(INDEX(AP$420:AP$431,$D1369))</f>
        <v/>
      </c>
      <c r="AQ1369" s="44">
        <f>AQ1342*Settings!$C$13*(INDEX(AQ$420:AQ$431,$D1369))</f>
        <v/>
      </c>
      <c r="AR1369" s="44">
        <f>AR1342*Settings!$C$13*(INDEX(AR$420:AR$431,$D1369))</f>
        <v/>
      </c>
      <c r="AS1369" s="44">
        <f>AS1342*Settings!$C$13*(INDEX(AS$420:AS$431,$D1369))</f>
        <v/>
      </c>
      <c r="AT1369" s="44">
        <f>AT1342*Settings!$C$13*(INDEX(AT$420:AT$431,$D1369))</f>
        <v/>
      </c>
      <c r="AU1369" s="44">
        <f>AU1342*Settings!$C$13*(INDEX(AU$420:AU$431,$D1369))</f>
        <v/>
      </c>
      <c r="AV1369" s="44">
        <f>AV1342*Settings!$C$13*(INDEX(AV$420:AV$431,$D1369))</f>
        <v/>
      </c>
      <c r="AW1369" s="44">
        <f>AW1342*Settings!$C$13*(INDEX(AW$420:AW$431,$D1369))</f>
        <v/>
      </c>
      <c r="AX1369" s="44">
        <f>AX1342*Settings!$C$13*(INDEX(AX$420:AX$431,$D1369))</f>
        <v/>
      </c>
      <c r="AY1369" s="44">
        <f>AY1342*Settings!$C$13*(INDEX(AY$420:AY$431,$D1369))</f>
        <v/>
      </c>
      <c r="AZ1369" s="44">
        <f>AZ1342*Settings!$C$13*(INDEX(AZ$420:AZ$431,$D1369))</f>
        <v/>
      </c>
      <c r="BA1369" s="57">
        <f>REVENUE(BA1342,Settings!$C$13,INDEX(BA$420:BA$431,$D1369))</f>
        <v/>
      </c>
    </row>
    <row r="1370" hidden="1" outlineLevel="2"/>
    <row r="1371" hidden="1" outlineLevel="2">
      <c r="A1371" s="14" t="inlineStr">
        <is>
          <t>rnew</t>
        </is>
      </c>
      <c r="B1371" s="14" t="inlineStr">
        <is>
          <t>coa</t>
        </is>
      </c>
      <c r="C1371" s="14" t="inlineStr">
        <is>
          <t>avi</t>
        </is>
      </c>
      <c r="D1371" s="35">
        <f>INDEX(Inputs!$V$5:$V$132,MATCH($B1371&amp;"|"&amp;$C1371,Inputs!$A$5:$A$132,0))</f>
        <v/>
      </c>
      <c r="E1371" s="39" t="n"/>
      <c r="F1371" s="39" t="n"/>
      <c r="G1371" s="39" t="n"/>
      <c r="H1371" s="14">
        <f>INDEX(VarLab,MATCH($A1371,VarKey,0))&amp;INDEX(MemLab,MATCH($C1371&amp;"|"&amp;$B1371,MemKey,0))</f>
        <v/>
      </c>
      <c r="I1371" s="14">
        <f>INDEX(VarUnit,MATCH($A1371,VarKey,0))</f>
        <v/>
      </c>
      <c r="J1371" s="14">
        <f>INDEX(VarSrc,MATCH($A1371,VarKey,0))</f>
        <v/>
      </c>
      <c r="K1371" s="11">
        <f>CodePrefix&amp;$A1371&amp;IF($C1371="","","."&amp;$C1371&amp;"."&amp;$B1371)&amp;INDEX(VarEnd,MATCH($A1371,VarKey,0))&amp;K$5</f>
        <v/>
      </c>
      <c r="L1371" s="43">
        <f>L1335*Settings!$C$13*(L1263+L1281+L1272*L$201+L1290*$D1371)</f>
        <v/>
      </c>
      <c r="M1371" s="44">
        <f>M1335*Settings!$C$13*(M1263+M1281+M1272*M$201+M1290*$D1371)</f>
        <v/>
      </c>
      <c r="N1371" s="44">
        <f>N1335*Settings!$C$13*(N1263+N1281+N1272*N$201+N1290*$D1371)</f>
        <v/>
      </c>
      <c r="O1371" s="44">
        <f>O1335*Settings!$C$13*(O1263+O1281+O1272*O$201+O1290*$D1371)</f>
        <v/>
      </c>
      <c r="P1371" s="44">
        <f>P1335*Settings!$C$13*(P1263+P1281+P1272*P$201+P1290*$D1371)</f>
        <v/>
      </c>
      <c r="Q1371" s="44">
        <f>Q1335*Settings!$C$13*(Q1263+Q1281+Q1272*Q$201+Q1290*$D1371)</f>
        <v/>
      </c>
      <c r="R1371" s="44">
        <f>R1335*Settings!$C$13*(R1263+R1281+R1272*R$201+R1290*$D1371)</f>
        <v/>
      </c>
      <c r="S1371" s="44">
        <f>S1335*Settings!$C$13*(S1263+S1281+S1272*S$201+S1290*$D1371)</f>
        <v/>
      </c>
      <c r="T1371" s="44">
        <f>T1335*Settings!$C$13*(T1263+T1281+T1272*T$201+T1290*$D1371)</f>
        <v/>
      </c>
      <c r="U1371" s="44">
        <f>U1335*Settings!$C$13*(U1263+U1281+U1272*U$201+U1290*$D1371)</f>
        <v/>
      </c>
      <c r="V1371" s="44">
        <f>V1335*Settings!$C$13*(V1263+V1281+V1272*V$201+V1290*$D1371)</f>
        <v/>
      </c>
      <c r="W1371" s="44">
        <f>W1335*Settings!$C$13*(W1263+W1281+W1272*W$201+W1290*$D1371)</f>
        <v/>
      </c>
      <c r="X1371" s="44">
        <f>X1335*Settings!$C$13*(X1263+X1281+X1272*X$201+X1290*$D1371)</f>
        <v/>
      </c>
      <c r="Y1371" s="44">
        <f>Y1335*Settings!$C$13*(Y1263+Y1281+Y1272*Y$201+Y1290*$D1371)</f>
        <v/>
      </c>
      <c r="Z1371" s="44">
        <f>Z1335*Settings!$C$13*(Z1263+Z1281+Z1272*Z$201+Z1290*$D1371)</f>
        <v/>
      </c>
      <c r="AA1371" s="44">
        <f>AA1335*Settings!$C$13*(AA1263+AA1281+AA1272*AA$201+AA1290*$D1371)</f>
        <v/>
      </c>
      <c r="AB1371" s="44">
        <f>AB1335*Settings!$C$13*(AB1263+AB1281+AB1272*AB$201+AB1290*$D1371)</f>
        <v/>
      </c>
      <c r="AC1371" s="44">
        <f>AC1335*Settings!$C$13*(AC1263+AC1281+AC1272*AC$201+AC1290*$D1371)</f>
        <v/>
      </c>
      <c r="AD1371" s="44">
        <f>AD1335*Settings!$C$13*(AD1263+AD1281+AD1272*AD$201+AD1290*$D1371)</f>
        <v/>
      </c>
      <c r="AE1371" s="57">
        <f>REVENUE(AE1335,Settings!$C$13,NEWREVRATE(AE1263,AE1281,AE1272,AE$201,AE1290,$D1371))</f>
        <v/>
      </c>
      <c r="AG1371" s="11">
        <f>CodePrefix&amp;$A1371&amp;IF($C1371="","","."&amp;$C1371&amp;"."&amp;$B1371)&amp;INDEX(VarEnd,MATCH($A1371,VarKey,0))&amp;AG$5</f>
        <v/>
      </c>
      <c r="AH1371" s="43">
        <f>AH1335*Settings!$C$13*(AH1263+AH1281+AH1272*AH$201+AH1290*$D1371)</f>
        <v/>
      </c>
      <c r="AI1371" s="44">
        <f>AI1335*Settings!$C$13*(AI1263+AI1281+AI1272*AI$201+AI1290*$D1371)</f>
        <v/>
      </c>
      <c r="AJ1371" s="44">
        <f>AJ1335*Settings!$C$13*(AJ1263+AJ1281+AJ1272*AJ$201+AJ1290*$D1371)</f>
        <v/>
      </c>
      <c r="AK1371" s="44">
        <f>AK1335*Settings!$C$13*(AK1263+AK1281+AK1272*AK$201+AK1290*$D1371)</f>
        <v/>
      </c>
      <c r="AL1371" s="44">
        <f>AL1335*Settings!$C$13*(AL1263+AL1281+AL1272*AL$201+AL1290*$D1371)</f>
        <v/>
      </c>
      <c r="AM1371" s="44">
        <f>AM1335*Settings!$C$13*(AM1263+AM1281+AM1272*AM$201+AM1290*$D1371)</f>
        <v/>
      </c>
      <c r="AN1371" s="44">
        <f>AN1335*Settings!$C$13*(AN1263+AN1281+AN1272*AN$201+AN1290*$D1371)</f>
        <v/>
      </c>
      <c r="AO1371" s="44">
        <f>AO1335*Settings!$C$13*(AO1263+AO1281+AO1272*AO$201+AO1290*$D1371)</f>
        <v/>
      </c>
      <c r="AP1371" s="44">
        <f>AP1335*Settings!$C$13*(AP1263+AP1281+AP1272*AP$201+AP1290*$D1371)</f>
        <v/>
      </c>
      <c r="AQ1371" s="44">
        <f>AQ1335*Settings!$C$13*(AQ1263+AQ1281+AQ1272*AQ$201+AQ1290*$D1371)</f>
        <v/>
      </c>
      <c r="AR1371" s="44">
        <f>AR1335*Settings!$C$13*(AR1263+AR1281+AR1272*AR$201+AR1290*$D1371)</f>
        <v/>
      </c>
      <c r="AS1371" s="44">
        <f>AS1335*Settings!$C$13*(AS1263+AS1281+AS1272*AS$201+AS1290*$D1371)</f>
        <v/>
      </c>
      <c r="AT1371" s="44">
        <f>AT1335*Settings!$C$13*(AT1263+AT1281+AT1272*AT$201+AT1290*$D1371)</f>
        <v/>
      </c>
      <c r="AU1371" s="44">
        <f>AU1335*Settings!$C$13*(AU1263+AU1281+AU1272*AU$201+AU1290*$D1371)</f>
        <v/>
      </c>
      <c r="AV1371" s="44">
        <f>AV1335*Settings!$C$13*(AV1263+AV1281+AV1272*AV$201+AV1290*$D1371)</f>
        <v/>
      </c>
      <c r="AW1371" s="44">
        <f>AW1335*Settings!$C$13*(AW1263+AW1281+AW1272*AW$201+AW1290*$D1371)</f>
        <v/>
      </c>
      <c r="AX1371" s="44">
        <f>AX1335*Settings!$C$13*(AX1263+AX1281+AX1272*AX$201+AX1290*$D1371)</f>
        <v/>
      </c>
      <c r="AY1371" s="44">
        <f>AY1335*Settings!$C$13*(AY1263+AY1281+AY1272*AY$201+AY1290*$D1371)</f>
        <v/>
      </c>
      <c r="AZ1371" s="44">
        <f>AZ1335*Settings!$C$13*(AZ1263+AZ1281+AZ1272*AZ$201+AZ1290*$D1371)</f>
        <v/>
      </c>
      <c r="BA1371" s="57">
        <f>REVENUE(BA1335,Settings!$C$13,NEWREVRATE(BA1263,BA1281,BA1272,BA$201,BA1290,$D1371))</f>
        <v/>
      </c>
    </row>
    <row r="1372" hidden="1" outlineLevel="2">
      <c r="A1372" s="14" t="inlineStr">
        <is>
          <t>rnew</t>
        </is>
      </c>
      <c r="B1372" s="14" t="inlineStr">
        <is>
          <t>nga</t>
        </is>
      </c>
      <c r="C1372" s="14" t="inlineStr">
        <is>
          <t>avi</t>
        </is>
      </c>
      <c r="D1372" s="35">
        <f>INDEX(Inputs!$V$5:$V$132,MATCH($B1372&amp;"|"&amp;$C1372,Inputs!$A$5:$A$132,0))</f>
        <v/>
      </c>
      <c r="E1372" s="39" t="n"/>
      <c r="F1372" s="39" t="n"/>
      <c r="G1372" s="39" t="n"/>
      <c r="H1372" s="14">
        <f>INDEX(VarLab,MATCH($A1372,VarKey,0))&amp;INDEX(MemLab,MATCH($C1372&amp;"|"&amp;$B1372,MemKey,0))</f>
        <v/>
      </c>
      <c r="I1372" s="14">
        <f>INDEX(VarUnit,MATCH($A1372,VarKey,0))</f>
        <v/>
      </c>
      <c r="J1372" s="14">
        <f>INDEX(VarSrc,MATCH($A1372,VarKey,0))</f>
        <v/>
      </c>
      <c r="K1372" s="11">
        <f>CodePrefix&amp;$A1372&amp;IF($C1372="","","."&amp;$C1372&amp;"."&amp;$B1372)&amp;INDEX(VarEnd,MATCH($A1372,VarKey,0))&amp;K$5</f>
        <v/>
      </c>
      <c r="L1372" s="43">
        <f>L1336*Settings!$C$13*(L1264+L1282+L1273*L$201+L1291*$D1372)</f>
        <v/>
      </c>
      <c r="M1372" s="44">
        <f>M1336*Settings!$C$13*(M1264+M1282+M1273*M$201+M1291*$D1372)</f>
        <v/>
      </c>
      <c r="N1372" s="44">
        <f>N1336*Settings!$C$13*(N1264+N1282+N1273*N$201+N1291*$D1372)</f>
        <v/>
      </c>
      <c r="O1372" s="44">
        <f>O1336*Settings!$C$13*(O1264+O1282+O1273*O$201+O1291*$D1372)</f>
        <v/>
      </c>
      <c r="P1372" s="44">
        <f>P1336*Settings!$C$13*(P1264+P1282+P1273*P$201+P1291*$D1372)</f>
        <v/>
      </c>
      <c r="Q1372" s="44">
        <f>Q1336*Settings!$C$13*(Q1264+Q1282+Q1273*Q$201+Q1291*$D1372)</f>
        <v/>
      </c>
      <c r="R1372" s="44">
        <f>R1336*Settings!$C$13*(R1264+R1282+R1273*R$201+R1291*$D1372)</f>
        <v/>
      </c>
      <c r="S1372" s="44">
        <f>S1336*Settings!$C$13*(S1264+S1282+S1273*S$201+S1291*$D1372)</f>
        <v/>
      </c>
      <c r="T1372" s="44">
        <f>T1336*Settings!$C$13*(T1264+T1282+T1273*T$201+T1291*$D1372)</f>
        <v/>
      </c>
      <c r="U1372" s="44">
        <f>U1336*Settings!$C$13*(U1264+U1282+U1273*U$201+U1291*$D1372)</f>
        <v/>
      </c>
      <c r="V1372" s="44">
        <f>V1336*Settings!$C$13*(V1264+V1282+V1273*V$201+V1291*$D1372)</f>
        <v/>
      </c>
      <c r="W1372" s="44">
        <f>W1336*Settings!$C$13*(W1264+W1282+W1273*W$201+W1291*$D1372)</f>
        <v/>
      </c>
      <c r="X1372" s="44">
        <f>X1336*Settings!$C$13*(X1264+X1282+X1273*X$201+X1291*$D1372)</f>
        <v/>
      </c>
      <c r="Y1372" s="44">
        <f>Y1336*Settings!$C$13*(Y1264+Y1282+Y1273*Y$201+Y1291*$D1372)</f>
        <v/>
      </c>
      <c r="Z1372" s="44">
        <f>Z1336*Settings!$C$13*(Z1264+Z1282+Z1273*Z$201+Z1291*$D1372)</f>
        <v/>
      </c>
      <c r="AA1372" s="44">
        <f>AA1336*Settings!$C$13*(AA1264+AA1282+AA1273*AA$201+AA1291*$D1372)</f>
        <v/>
      </c>
      <c r="AB1372" s="44">
        <f>AB1336*Settings!$C$13*(AB1264+AB1282+AB1273*AB$201+AB1291*$D1372)</f>
        <v/>
      </c>
      <c r="AC1372" s="44">
        <f>AC1336*Settings!$C$13*(AC1264+AC1282+AC1273*AC$201+AC1291*$D1372)</f>
        <v/>
      </c>
      <c r="AD1372" s="44">
        <f>AD1336*Settings!$C$13*(AD1264+AD1282+AD1273*AD$201+AD1291*$D1372)</f>
        <v/>
      </c>
      <c r="AE1372" s="57">
        <f>REVENUE(AE1336,Settings!$C$13,NEWREVRATE(AE1264,AE1282,AE1273,AE$201,AE1291,$D1372))</f>
        <v/>
      </c>
      <c r="AG1372" s="11">
        <f>CodePrefix&amp;$A1372&amp;IF($C1372="","","."&amp;$C1372&amp;"."&amp;$B1372)&amp;INDEX(VarEnd,MATCH($A1372,VarKey,0))&amp;AG$5</f>
        <v/>
      </c>
      <c r="AH1372" s="43">
        <f>AH1336*Settings!$C$13*(AH1264+AH1282+AH1273*AH$201+AH1291*$D1372)</f>
        <v/>
      </c>
      <c r="AI1372" s="44">
        <f>AI1336*Settings!$C$13*(AI1264+AI1282+AI1273*AI$201+AI1291*$D1372)</f>
        <v/>
      </c>
      <c r="AJ1372" s="44">
        <f>AJ1336*Settings!$C$13*(AJ1264+AJ1282+AJ1273*AJ$201+AJ1291*$D1372)</f>
        <v/>
      </c>
      <c r="AK1372" s="44">
        <f>AK1336*Settings!$C$13*(AK1264+AK1282+AK1273*AK$201+AK1291*$D1372)</f>
        <v/>
      </c>
      <c r="AL1372" s="44">
        <f>AL1336*Settings!$C$13*(AL1264+AL1282+AL1273*AL$201+AL1291*$D1372)</f>
        <v/>
      </c>
      <c r="AM1372" s="44">
        <f>AM1336*Settings!$C$13*(AM1264+AM1282+AM1273*AM$201+AM1291*$D1372)</f>
        <v/>
      </c>
      <c r="AN1372" s="44">
        <f>AN1336*Settings!$C$13*(AN1264+AN1282+AN1273*AN$201+AN1291*$D1372)</f>
        <v/>
      </c>
      <c r="AO1372" s="44">
        <f>AO1336*Settings!$C$13*(AO1264+AO1282+AO1273*AO$201+AO1291*$D1372)</f>
        <v/>
      </c>
      <c r="AP1372" s="44">
        <f>AP1336*Settings!$C$13*(AP1264+AP1282+AP1273*AP$201+AP1291*$D1372)</f>
        <v/>
      </c>
      <c r="AQ1372" s="44">
        <f>AQ1336*Settings!$C$13*(AQ1264+AQ1282+AQ1273*AQ$201+AQ1291*$D1372)</f>
        <v/>
      </c>
      <c r="AR1372" s="44">
        <f>AR1336*Settings!$C$13*(AR1264+AR1282+AR1273*AR$201+AR1291*$D1372)</f>
        <v/>
      </c>
      <c r="AS1372" s="44">
        <f>AS1336*Settings!$C$13*(AS1264+AS1282+AS1273*AS$201+AS1291*$D1372)</f>
        <v/>
      </c>
      <c r="AT1372" s="44">
        <f>AT1336*Settings!$C$13*(AT1264+AT1282+AT1273*AT$201+AT1291*$D1372)</f>
        <v/>
      </c>
      <c r="AU1372" s="44">
        <f>AU1336*Settings!$C$13*(AU1264+AU1282+AU1273*AU$201+AU1291*$D1372)</f>
        <v/>
      </c>
      <c r="AV1372" s="44">
        <f>AV1336*Settings!$C$13*(AV1264+AV1282+AV1273*AV$201+AV1291*$D1372)</f>
        <v/>
      </c>
      <c r="AW1372" s="44">
        <f>AW1336*Settings!$C$13*(AW1264+AW1282+AW1273*AW$201+AW1291*$D1372)</f>
        <v/>
      </c>
      <c r="AX1372" s="44">
        <f>AX1336*Settings!$C$13*(AX1264+AX1282+AX1273*AX$201+AX1291*$D1372)</f>
        <v/>
      </c>
      <c r="AY1372" s="44">
        <f>AY1336*Settings!$C$13*(AY1264+AY1282+AY1273*AY$201+AY1291*$D1372)</f>
        <v/>
      </c>
      <c r="AZ1372" s="44">
        <f>AZ1336*Settings!$C$13*(AZ1264+AZ1282+AZ1273*AZ$201+AZ1291*$D1372)</f>
        <v/>
      </c>
      <c r="BA1372" s="57">
        <f>REVENUE(BA1336,Settings!$C$13,NEWREVRATE(BA1264,BA1282,BA1273,BA$201,BA1291,$D1372))</f>
        <v/>
      </c>
    </row>
    <row r="1373" hidden="1" outlineLevel="2">
      <c r="A1373" s="14" t="inlineStr">
        <is>
          <t>rnew</t>
        </is>
      </c>
      <c r="B1373" s="14" t="inlineStr">
        <is>
          <t>gso</t>
        </is>
      </c>
      <c r="C1373" s="14" t="inlineStr">
        <is>
          <t>avi</t>
        </is>
      </c>
      <c r="D1373" s="35">
        <f>INDEX(Inputs!$V$5:$V$132,MATCH($B1373&amp;"|"&amp;$C1373,Inputs!$A$5:$A$132,0))</f>
        <v/>
      </c>
      <c r="E1373" s="39" t="n"/>
      <c r="F1373" s="39" t="n"/>
      <c r="G1373" s="39" t="n"/>
      <c r="H1373" s="14">
        <f>INDEX(VarLab,MATCH($A1373,VarKey,0))&amp;INDEX(MemLab,MATCH($C1373&amp;"|"&amp;$B1373,MemKey,0))</f>
        <v/>
      </c>
      <c r="I1373" s="14">
        <f>INDEX(VarUnit,MATCH($A1373,VarKey,0))</f>
        <v/>
      </c>
      <c r="J1373" s="14">
        <f>INDEX(VarSrc,MATCH($A1373,VarKey,0))</f>
        <v/>
      </c>
      <c r="K1373" s="11">
        <f>CodePrefix&amp;$A1373&amp;IF($C1373="","","."&amp;$C1373&amp;"."&amp;$B1373)&amp;INDEX(VarEnd,MATCH($A1373,VarKey,0))&amp;K$5</f>
        <v/>
      </c>
      <c r="L1373" s="43">
        <f>L1337*Settings!$C$13*(L1265+L1283+L1274*L$201+L1292*$D1373)</f>
        <v/>
      </c>
      <c r="M1373" s="44">
        <f>M1337*Settings!$C$13*(M1265+M1283+M1274*M$201+M1292*$D1373)</f>
        <v/>
      </c>
      <c r="N1373" s="44">
        <f>N1337*Settings!$C$13*(N1265+N1283+N1274*N$201+N1292*$D1373)</f>
        <v/>
      </c>
      <c r="O1373" s="44">
        <f>O1337*Settings!$C$13*(O1265+O1283+O1274*O$201+O1292*$D1373)</f>
        <v/>
      </c>
      <c r="P1373" s="44">
        <f>P1337*Settings!$C$13*(P1265+P1283+P1274*P$201+P1292*$D1373)</f>
        <v/>
      </c>
      <c r="Q1373" s="44">
        <f>Q1337*Settings!$C$13*(Q1265+Q1283+Q1274*Q$201+Q1292*$D1373)</f>
        <v/>
      </c>
      <c r="R1373" s="44">
        <f>R1337*Settings!$C$13*(R1265+R1283+R1274*R$201+R1292*$D1373)</f>
        <v/>
      </c>
      <c r="S1373" s="44">
        <f>S1337*Settings!$C$13*(S1265+S1283+S1274*S$201+S1292*$D1373)</f>
        <v/>
      </c>
      <c r="T1373" s="44">
        <f>T1337*Settings!$C$13*(T1265+T1283+T1274*T$201+T1292*$D1373)</f>
        <v/>
      </c>
      <c r="U1373" s="44">
        <f>U1337*Settings!$C$13*(U1265+U1283+U1274*U$201+U1292*$D1373)</f>
        <v/>
      </c>
      <c r="V1373" s="44">
        <f>V1337*Settings!$C$13*(V1265+V1283+V1274*V$201+V1292*$D1373)</f>
        <v/>
      </c>
      <c r="W1373" s="44">
        <f>W1337*Settings!$C$13*(W1265+W1283+W1274*W$201+W1292*$D1373)</f>
        <v/>
      </c>
      <c r="X1373" s="44">
        <f>X1337*Settings!$C$13*(X1265+X1283+X1274*X$201+X1292*$D1373)</f>
        <v/>
      </c>
      <c r="Y1373" s="44">
        <f>Y1337*Settings!$C$13*(Y1265+Y1283+Y1274*Y$201+Y1292*$D1373)</f>
        <v/>
      </c>
      <c r="Z1373" s="44">
        <f>Z1337*Settings!$C$13*(Z1265+Z1283+Z1274*Z$201+Z1292*$D1373)</f>
        <v/>
      </c>
      <c r="AA1373" s="44">
        <f>AA1337*Settings!$C$13*(AA1265+AA1283+AA1274*AA$201+AA1292*$D1373)</f>
        <v/>
      </c>
      <c r="AB1373" s="44">
        <f>AB1337*Settings!$C$13*(AB1265+AB1283+AB1274*AB$201+AB1292*$D1373)</f>
        <v/>
      </c>
      <c r="AC1373" s="44">
        <f>AC1337*Settings!$C$13*(AC1265+AC1283+AC1274*AC$201+AC1292*$D1373)</f>
        <v/>
      </c>
      <c r="AD1373" s="44">
        <f>AD1337*Settings!$C$13*(AD1265+AD1283+AD1274*AD$201+AD1292*$D1373)</f>
        <v/>
      </c>
      <c r="AE1373" s="57">
        <f>REVENUE(AE1337,Settings!$C$13,NEWREVRATE(AE1265,AE1283,AE1274,AE$201,AE1292,$D1373))</f>
        <v/>
      </c>
      <c r="AG1373" s="11">
        <f>CodePrefix&amp;$A1373&amp;IF($C1373="","","."&amp;$C1373&amp;"."&amp;$B1373)&amp;INDEX(VarEnd,MATCH($A1373,VarKey,0))&amp;AG$5</f>
        <v/>
      </c>
      <c r="AH1373" s="43">
        <f>AH1337*Settings!$C$13*(AH1265+AH1283+AH1274*AH$201+AH1292*$D1373)</f>
        <v/>
      </c>
      <c r="AI1373" s="44">
        <f>AI1337*Settings!$C$13*(AI1265+AI1283+AI1274*AI$201+AI1292*$D1373)</f>
        <v/>
      </c>
      <c r="AJ1373" s="44">
        <f>AJ1337*Settings!$C$13*(AJ1265+AJ1283+AJ1274*AJ$201+AJ1292*$D1373)</f>
        <v/>
      </c>
      <c r="AK1373" s="44">
        <f>AK1337*Settings!$C$13*(AK1265+AK1283+AK1274*AK$201+AK1292*$D1373)</f>
        <v/>
      </c>
      <c r="AL1373" s="44">
        <f>AL1337*Settings!$C$13*(AL1265+AL1283+AL1274*AL$201+AL1292*$D1373)</f>
        <v/>
      </c>
      <c r="AM1373" s="44">
        <f>AM1337*Settings!$C$13*(AM1265+AM1283+AM1274*AM$201+AM1292*$D1373)</f>
        <v/>
      </c>
      <c r="AN1373" s="44">
        <f>AN1337*Settings!$C$13*(AN1265+AN1283+AN1274*AN$201+AN1292*$D1373)</f>
        <v/>
      </c>
      <c r="AO1373" s="44">
        <f>AO1337*Settings!$C$13*(AO1265+AO1283+AO1274*AO$201+AO1292*$D1373)</f>
        <v/>
      </c>
      <c r="AP1373" s="44">
        <f>AP1337*Settings!$C$13*(AP1265+AP1283+AP1274*AP$201+AP1292*$D1373)</f>
        <v/>
      </c>
      <c r="AQ1373" s="44">
        <f>AQ1337*Settings!$C$13*(AQ1265+AQ1283+AQ1274*AQ$201+AQ1292*$D1373)</f>
        <v/>
      </c>
      <c r="AR1373" s="44">
        <f>AR1337*Settings!$C$13*(AR1265+AR1283+AR1274*AR$201+AR1292*$D1373)</f>
        <v/>
      </c>
      <c r="AS1373" s="44">
        <f>AS1337*Settings!$C$13*(AS1265+AS1283+AS1274*AS$201+AS1292*$D1373)</f>
        <v/>
      </c>
      <c r="AT1373" s="44">
        <f>AT1337*Settings!$C$13*(AT1265+AT1283+AT1274*AT$201+AT1292*$D1373)</f>
        <v/>
      </c>
      <c r="AU1373" s="44">
        <f>AU1337*Settings!$C$13*(AU1265+AU1283+AU1274*AU$201+AU1292*$D1373)</f>
        <v/>
      </c>
      <c r="AV1373" s="44">
        <f>AV1337*Settings!$C$13*(AV1265+AV1283+AV1274*AV$201+AV1292*$D1373)</f>
        <v/>
      </c>
      <c r="AW1373" s="44">
        <f>AW1337*Settings!$C$13*(AW1265+AW1283+AW1274*AW$201+AW1292*$D1373)</f>
        <v/>
      </c>
      <c r="AX1373" s="44">
        <f>AX1337*Settings!$C$13*(AX1265+AX1283+AX1274*AX$201+AX1292*$D1373)</f>
        <v/>
      </c>
      <c r="AY1373" s="44">
        <f>AY1337*Settings!$C$13*(AY1265+AY1283+AY1274*AY$201+AY1292*$D1373)</f>
        <v/>
      </c>
      <c r="AZ1373" s="44">
        <f>AZ1337*Settings!$C$13*(AZ1265+AZ1283+AZ1274*AZ$201+AZ1292*$D1373)</f>
        <v/>
      </c>
      <c r="BA1373" s="57">
        <f>REVENUE(BA1337,Settings!$C$13,NEWREVRATE(BA1265,BA1283,BA1274,BA$201,BA1292,$D1373))</f>
        <v/>
      </c>
    </row>
    <row r="1374" hidden="1" outlineLevel="2">
      <c r="A1374" s="14" t="inlineStr">
        <is>
          <t>rnew</t>
        </is>
      </c>
      <c r="B1374" s="14" t="inlineStr">
        <is>
          <t>die</t>
        </is>
      </c>
      <c r="C1374" s="14" t="inlineStr">
        <is>
          <t>avi</t>
        </is>
      </c>
      <c r="D1374" s="35">
        <f>INDEX(Inputs!$V$5:$V$132,MATCH($B1374&amp;"|"&amp;$C1374,Inputs!$A$5:$A$132,0))</f>
        <v/>
      </c>
      <c r="E1374" s="39" t="n"/>
      <c r="F1374" s="39" t="n"/>
      <c r="G1374" s="39" t="n"/>
      <c r="H1374" s="14">
        <f>INDEX(VarLab,MATCH($A1374,VarKey,0))&amp;INDEX(MemLab,MATCH($C1374&amp;"|"&amp;$B1374,MemKey,0))</f>
        <v/>
      </c>
      <c r="I1374" s="14">
        <f>INDEX(VarUnit,MATCH($A1374,VarKey,0))</f>
        <v/>
      </c>
      <c r="J1374" s="14">
        <f>INDEX(VarSrc,MATCH($A1374,VarKey,0))</f>
        <v/>
      </c>
      <c r="K1374" s="11">
        <f>CodePrefix&amp;$A1374&amp;IF($C1374="","","."&amp;$C1374&amp;"."&amp;$B1374)&amp;INDEX(VarEnd,MATCH($A1374,VarKey,0))&amp;K$5</f>
        <v/>
      </c>
      <c r="L1374" s="43">
        <f>L1338*Settings!$C$13*(L1266+L1284+L1275*L$201+L1293*$D1374)</f>
        <v/>
      </c>
      <c r="M1374" s="44">
        <f>M1338*Settings!$C$13*(M1266+M1284+M1275*M$201+M1293*$D1374)</f>
        <v/>
      </c>
      <c r="N1374" s="44">
        <f>N1338*Settings!$C$13*(N1266+N1284+N1275*N$201+N1293*$D1374)</f>
        <v/>
      </c>
      <c r="O1374" s="44">
        <f>O1338*Settings!$C$13*(O1266+O1284+O1275*O$201+O1293*$D1374)</f>
        <v/>
      </c>
      <c r="P1374" s="44">
        <f>P1338*Settings!$C$13*(P1266+P1284+P1275*P$201+P1293*$D1374)</f>
        <v/>
      </c>
      <c r="Q1374" s="44">
        <f>Q1338*Settings!$C$13*(Q1266+Q1284+Q1275*Q$201+Q1293*$D1374)</f>
        <v/>
      </c>
      <c r="R1374" s="44">
        <f>R1338*Settings!$C$13*(R1266+R1284+R1275*R$201+R1293*$D1374)</f>
        <v/>
      </c>
      <c r="S1374" s="44">
        <f>S1338*Settings!$C$13*(S1266+S1284+S1275*S$201+S1293*$D1374)</f>
        <v/>
      </c>
      <c r="T1374" s="44">
        <f>T1338*Settings!$C$13*(T1266+T1284+T1275*T$201+T1293*$D1374)</f>
        <v/>
      </c>
      <c r="U1374" s="44">
        <f>U1338*Settings!$C$13*(U1266+U1284+U1275*U$201+U1293*$D1374)</f>
        <v/>
      </c>
      <c r="V1374" s="44">
        <f>V1338*Settings!$C$13*(V1266+V1284+V1275*V$201+V1293*$D1374)</f>
        <v/>
      </c>
      <c r="W1374" s="44">
        <f>W1338*Settings!$C$13*(W1266+W1284+W1275*W$201+W1293*$D1374)</f>
        <v/>
      </c>
      <c r="X1374" s="44">
        <f>X1338*Settings!$C$13*(X1266+X1284+X1275*X$201+X1293*$D1374)</f>
        <v/>
      </c>
      <c r="Y1374" s="44">
        <f>Y1338*Settings!$C$13*(Y1266+Y1284+Y1275*Y$201+Y1293*$D1374)</f>
        <v/>
      </c>
      <c r="Z1374" s="44">
        <f>Z1338*Settings!$C$13*(Z1266+Z1284+Z1275*Z$201+Z1293*$D1374)</f>
        <v/>
      </c>
      <c r="AA1374" s="44">
        <f>AA1338*Settings!$C$13*(AA1266+AA1284+AA1275*AA$201+AA1293*$D1374)</f>
        <v/>
      </c>
      <c r="AB1374" s="44">
        <f>AB1338*Settings!$C$13*(AB1266+AB1284+AB1275*AB$201+AB1293*$D1374)</f>
        <v/>
      </c>
      <c r="AC1374" s="44">
        <f>AC1338*Settings!$C$13*(AC1266+AC1284+AC1275*AC$201+AC1293*$D1374)</f>
        <v/>
      </c>
      <c r="AD1374" s="44">
        <f>AD1338*Settings!$C$13*(AD1266+AD1284+AD1275*AD$201+AD1293*$D1374)</f>
        <v/>
      </c>
      <c r="AE1374" s="57">
        <f>REVENUE(AE1338,Settings!$C$13,NEWREVRATE(AE1266,AE1284,AE1275,AE$201,AE1293,$D1374))</f>
        <v/>
      </c>
      <c r="AG1374" s="11">
        <f>CodePrefix&amp;$A1374&amp;IF($C1374="","","."&amp;$C1374&amp;"."&amp;$B1374)&amp;INDEX(VarEnd,MATCH($A1374,VarKey,0))&amp;AG$5</f>
        <v/>
      </c>
      <c r="AH1374" s="43">
        <f>AH1338*Settings!$C$13*(AH1266+AH1284+AH1275*AH$201+AH1293*$D1374)</f>
        <v/>
      </c>
      <c r="AI1374" s="44">
        <f>AI1338*Settings!$C$13*(AI1266+AI1284+AI1275*AI$201+AI1293*$D1374)</f>
        <v/>
      </c>
      <c r="AJ1374" s="44">
        <f>AJ1338*Settings!$C$13*(AJ1266+AJ1284+AJ1275*AJ$201+AJ1293*$D1374)</f>
        <v/>
      </c>
      <c r="AK1374" s="44">
        <f>AK1338*Settings!$C$13*(AK1266+AK1284+AK1275*AK$201+AK1293*$D1374)</f>
        <v/>
      </c>
      <c r="AL1374" s="44">
        <f>AL1338*Settings!$C$13*(AL1266+AL1284+AL1275*AL$201+AL1293*$D1374)</f>
        <v/>
      </c>
      <c r="AM1374" s="44">
        <f>AM1338*Settings!$C$13*(AM1266+AM1284+AM1275*AM$201+AM1293*$D1374)</f>
        <v/>
      </c>
      <c r="AN1374" s="44">
        <f>AN1338*Settings!$C$13*(AN1266+AN1284+AN1275*AN$201+AN1293*$D1374)</f>
        <v/>
      </c>
      <c r="AO1374" s="44">
        <f>AO1338*Settings!$C$13*(AO1266+AO1284+AO1275*AO$201+AO1293*$D1374)</f>
        <v/>
      </c>
      <c r="AP1374" s="44">
        <f>AP1338*Settings!$C$13*(AP1266+AP1284+AP1275*AP$201+AP1293*$D1374)</f>
        <v/>
      </c>
      <c r="AQ1374" s="44">
        <f>AQ1338*Settings!$C$13*(AQ1266+AQ1284+AQ1275*AQ$201+AQ1293*$D1374)</f>
        <v/>
      </c>
      <c r="AR1374" s="44">
        <f>AR1338*Settings!$C$13*(AR1266+AR1284+AR1275*AR$201+AR1293*$D1374)</f>
        <v/>
      </c>
      <c r="AS1374" s="44">
        <f>AS1338*Settings!$C$13*(AS1266+AS1284+AS1275*AS$201+AS1293*$D1374)</f>
        <v/>
      </c>
      <c r="AT1374" s="44">
        <f>AT1338*Settings!$C$13*(AT1266+AT1284+AT1275*AT$201+AT1293*$D1374)</f>
        <v/>
      </c>
      <c r="AU1374" s="44">
        <f>AU1338*Settings!$C$13*(AU1266+AU1284+AU1275*AU$201+AU1293*$D1374)</f>
        <v/>
      </c>
      <c r="AV1374" s="44">
        <f>AV1338*Settings!$C$13*(AV1266+AV1284+AV1275*AV$201+AV1293*$D1374)</f>
        <v/>
      </c>
      <c r="AW1374" s="44">
        <f>AW1338*Settings!$C$13*(AW1266+AW1284+AW1275*AW$201+AW1293*$D1374)</f>
        <v/>
      </c>
      <c r="AX1374" s="44">
        <f>AX1338*Settings!$C$13*(AX1266+AX1284+AX1275*AX$201+AX1293*$D1374)</f>
        <v/>
      </c>
      <c r="AY1374" s="44">
        <f>AY1338*Settings!$C$13*(AY1266+AY1284+AY1275*AY$201+AY1293*$D1374)</f>
        <v/>
      </c>
      <c r="AZ1374" s="44">
        <f>AZ1338*Settings!$C$13*(AZ1266+AZ1284+AZ1275*AZ$201+AZ1293*$D1374)</f>
        <v/>
      </c>
      <c r="BA1374" s="57">
        <f>REVENUE(BA1338,Settings!$C$13,NEWREVRATE(BA1266,BA1284,BA1275,BA$201,BA1293,$D1374))</f>
        <v/>
      </c>
    </row>
    <row r="1375" hidden="1" outlineLevel="2">
      <c r="A1375" s="14" t="inlineStr">
        <is>
          <t>rnew</t>
        </is>
      </c>
      <c r="B1375" s="14" t="inlineStr">
        <is>
          <t>lpg</t>
        </is>
      </c>
      <c r="C1375" s="14" t="inlineStr">
        <is>
          <t>avi</t>
        </is>
      </c>
      <c r="D1375" s="35">
        <f>INDEX(Inputs!$V$5:$V$132,MATCH($B1375&amp;"|"&amp;$C1375,Inputs!$A$5:$A$132,0))</f>
        <v/>
      </c>
      <c r="E1375" s="39" t="n"/>
      <c r="F1375" s="39" t="n"/>
      <c r="G1375" s="39" t="n"/>
      <c r="H1375" s="14">
        <f>INDEX(VarLab,MATCH($A1375,VarKey,0))&amp;INDEX(MemLab,MATCH($C1375&amp;"|"&amp;$B1375,MemKey,0))</f>
        <v/>
      </c>
      <c r="I1375" s="14">
        <f>INDEX(VarUnit,MATCH($A1375,VarKey,0))</f>
        <v/>
      </c>
      <c r="J1375" s="14">
        <f>INDEX(VarSrc,MATCH($A1375,VarKey,0))</f>
        <v/>
      </c>
      <c r="K1375" s="11">
        <f>CodePrefix&amp;$A1375&amp;IF($C1375="","","."&amp;$C1375&amp;"."&amp;$B1375)&amp;INDEX(VarEnd,MATCH($A1375,VarKey,0))&amp;K$5</f>
        <v/>
      </c>
      <c r="L1375" s="43">
        <f>L1339*Settings!$C$13*(L1267+L1285+L1276*L$201+L1294*$D1375)</f>
        <v/>
      </c>
      <c r="M1375" s="44">
        <f>M1339*Settings!$C$13*(M1267+M1285+M1276*M$201+M1294*$D1375)</f>
        <v/>
      </c>
      <c r="N1375" s="44">
        <f>N1339*Settings!$C$13*(N1267+N1285+N1276*N$201+N1294*$D1375)</f>
        <v/>
      </c>
      <c r="O1375" s="44">
        <f>O1339*Settings!$C$13*(O1267+O1285+O1276*O$201+O1294*$D1375)</f>
        <v/>
      </c>
      <c r="P1375" s="44">
        <f>P1339*Settings!$C$13*(P1267+P1285+P1276*P$201+P1294*$D1375)</f>
        <v/>
      </c>
      <c r="Q1375" s="44">
        <f>Q1339*Settings!$C$13*(Q1267+Q1285+Q1276*Q$201+Q1294*$D1375)</f>
        <v/>
      </c>
      <c r="R1375" s="44">
        <f>R1339*Settings!$C$13*(R1267+R1285+R1276*R$201+R1294*$D1375)</f>
        <v/>
      </c>
      <c r="S1375" s="44">
        <f>S1339*Settings!$C$13*(S1267+S1285+S1276*S$201+S1294*$D1375)</f>
        <v/>
      </c>
      <c r="T1375" s="44">
        <f>T1339*Settings!$C$13*(T1267+T1285+T1276*T$201+T1294*$D1375)</f>
        <v/>
      </c>
      <c r="U1375" s="44">
        <f>U1339*Settings!$C$13*(U1267+U1285+U1276*U$201+U1294*$D1375)</f>
        <v/>
      </c>
      <c r="V1375" s="44">
        <f>V1339*Settings!$C$13*(V1267+V1285+V1276*V$201+V1294*$D1375)</f>
        <v/>
      </c>
      <c r="W1375" s="44">
        <f>W1339*Settings!$C$13*(W1267+W1285+W1276*W$201+W1294*$D1375)</f>
        <v/>
      </c>
      <c r="X1375" s="44">
        <f>X1339*Settings!$C$13*(X1267+X1285+X1276*X$201+X1294*$D1375)</f>
        <v/>
      </c>
      <c r="Y1375" s="44">
        <f>Y1339*Settings!$C$13*(Y1267+Y1285+Y1276*Y$201+Y1294*$D1375)</f>
        <v/>
      </c>
      <c r="Z1375" s="44">
        <f>Z1339*Settings!$C$13*(Z1267+Z1285+Z1276*Z$201+Z1294*$D1375)</f>
        <v/>
      </c>
      <c r="AA1375" s="44">
        <f>AA1339*Settings!$C$13*(AA1267+AA1285+AA1276*AA$201+AA1294*$D1375)</f>
        <v/>
      </c>
      <c r="AB1375" s="44">
        <f>AB1339*Settings!$C$13*(AB1267+AB1285+AB1276*AB$201+AB1294*$D1375)</f>
        <v/>
      </c>
      <c r="AC1375" s="44">
        <f>AC1339*Settings!$C$13*(AC1267+AC1285+AC1276*AC$201+AC1294*$D1375)</f>
        <v/>
      </c>
      <c r="AD1375" s="44">
        <f>AD1339*Settings!$C$13*(AD1267+AD1285+AD1276*AD$201+AD1294*$D1375)</f>
        <v/>
      </c>
      <c r="AE1375" s="57">
        <f>REVENUE(AE1339,Settings!$C$13,NEWREVRATE(AE1267,AE1285,AE1276,AE$201,AE1294,$D1375))</f>
        <v/>
      </c>
      <c r="AG1375" s="11">
        <f>CodePrefix&amp;$A1375&amp;IF($C1375="","","."&amp;$C1375&amp;"."&amp;$B1375)&amp;INDEX(VarEnd,MATCH($A1375,VarKey,0))&amp;AG$5</f>
        <v/>
      </c>
      <c r="AH1375" s="43">
        <f>AH1339*Settings!$C$13*(AH1267+AH1285+AH1276*AH$201+AH1294*$D1375)</f>
        <v/>
      </c>
      <c r="AI1375" s="44">
        <f>AI1339*Settings!$C$13*(AI1267+AI1285+AI1276*AI$201+AI1294*$D1375)</f>
        <v/>
      </c>
      <c r="AJ1375" s="44">
        <f>AJ1339*Settings!$C$13*(AJ1267+AJ1285+AJ1276*AJ$201+AJ1294*$D1375)</f>
        <v/>
      </c>
      <c r="AK1375" s="44">
        <f>AK1339*Settings!$C$13*(AK1267+AK1285+AK1276*AK$201+AK1294*$D1375)</f>
        <v/>
      </c>
      <c r="AL1375" s="44">
        <f>AL1339*Settings!$C$13*(AL1267+AL1285+AL1276*AL$201+AL1294*$D1375)</f>
        <v/>
      </c>
      <c r="AM1375" s="44">
        <f>AM1339*Settings!$C$13*(AM1267+AM1285+AM1276*AM$201+AM1294*$D1375)</f>
        <v/>
      </c>
      <c r="AN1375" s="44">
        <f>AN1339*Settings!$C$13*(AN1267+AN1285+AN1276*AN$201+AN1294*$D1375)</f>
        <v/>
      </c>
      <c r="AO1375" s="44">
        <f>AO1339*Settings!$C$13*(AO1267+AO1285+AO1276*AO$201+AO1294*$D1375)</f>
        <v/>
      </c>
      <c r="AP1375" s="44">
        <f>AP1339*Settings!$C$13*(AP1267+AP1285+AP1276*AP$201+AP1294*$D1375)</f>
        <v/>
      </c>
      <c r="AQ1375" s="44">
        <f>AQ1339*Settings!$C$13*(AQ1267+AQ1285+AQ1276*AQ$201+AQ1294*$D1375)</f>
        <v/>
      </c>
      <c r="AR1375" s="44">
        <f>AR1339*Settings!$C$13*(AR1267+AR1285+AR1276*AR$201+AR1294*$D1375)</f>
        <v/>
      </c>
      <c r="AS1375" s="44">
        <f>AS1339*Settings!$C$13*(AS1267+AS1285+AS1276*AS$201+AS1294*$D1375)</f>
        <v/>
      </c>
      <c r="AT1375" s="44">
        <f>AT1339*Settings!$C$13*(AT1267+AT1285+AT1276*AT$201+AT1294*$D1375)</f>
        <v/>
      </c>
      <c r="AU1375" s="44">
        <f>AU1339*Settings!$C$13*(AU1267+AU1285+AU1276*AU$201+AU1294*$D1375)</f>
        <v/>
      </c>
      <c r="AV1375" s="44">
        <f>AV1339*Settings!$C$13*(AV1267+AV1285+AV1276*AV$201+AV1294*$D1375)</f>
        <v/>
      </c>
      <c r="AW1375" s="44">
        <f>AW1339*Settings!$C$13*(AW1267+AW1285+AW1276*AW$201+AW1294*$D1375)</f>
        <v/>
      </c>
      <c r="AX1375" s="44">
        <f>AX1339*Settings!$C$13*(AX1267+AX1285+AX1276*AX$201+AX1294*$D1375)</f>
        <v/>
      </c>
      <c r="AY1375" s="44">
        <f>AY1339*Settings!$C$13*(AY1267+AY1285+AY1276*AY$201+AY1294*$D1375)</f>
        <v/>
      </c>
      <c r="AZ1375" s="44">
        <f>AZ1339*Settings!$C$13*(AZ1267+AZ1285+AZ1276*AZ$201+AZ1294*$D1375)</f>
        <v/>
      </c>
      <c r="BA1375" s="57">
        <f>REVENUE(BA1339,Settings!$C$13,NEWREVRATE(BA1267,BA1285,BA1276,BA$201,BA1294,$D1375))</f>
        <v/>
      </c>
    </row>
    <row r="1376" hidden="1" outlineLevel="2">
      <c r="A1376" s="14" t="inlineStr">
        <is>
          <t>rnew</t>
        </is>
      </c>
      <c r="B1376" s="14" t="inlineStr">
        <is>
          <t>ker</t>
        </is>
      </c>
      <c r="C1376" s="14" t="inlineStr">
        <is>
          <t>avi</t>
        </is>
      </c>
      <c r="D1376" s="35">
        <f>INDEX(Inputs!$V$5:$V$132,MATCH($B1376&amp;"|"&amp;$C1376,Inputs!$A$5:$A$132,0))</f>
        <v/>
      </c>
      <c r="E1376" s="39" t="n"/>
      <c r="F1376" s="39" t="n"/>
      <c r="G1376" s="39" t="n"/>
      <c r="H1376" s="14">
        <f>INDEX(VarLab,MATCH($A1376,VarKey,0))&amp;INDEX(MemLab,MATCH($C1376&amp;"|"&amp;$B1376,MemKey,0))</f>
        <v/>
      </c>
      <c r="I1376" s="14">
        <f>INDEX(VarUnit,MATCH($A1376,VarKey,0))</f>
        <v/>
      </c>
      <c r="J1376" s="14">
        <f>INDEX(VarSrc,MATCH($A1376,VarKey,0))</f>
        <v/>
      </c>
      <c r="K1376" s="11">
        <f>CodePrefix&amp;$A1376&amp;IF($C1376="","","."&amp;$C1376&amp;"."&amp;$B1376)&amp;INDEX(VarEnd,MATCH($A1376,VarKey,0))&amp;K$5</f>
        <v/>
      </c>
      <c r="L1376" s="43">
        <f>L1340*Settings!$C$13*(L1268+L1286+L1277*L$201+L1295*$D1376)</f>
        <v/>
      </c>
      <c r="M1376" s="44">
        <f>M1340*Settings!$C$13*(M1268+M1286+M1277*M$201+M1295*$D1376)</f>
        <v/>
      </c>
      <c r="N1376" s="44">
        <f>N1340*Settings!$C$13*(N1268+N1286+N1277*N$201+N1295*$D1376)</f>
        <v/>
      </c>
      <c r="O1376" s="44">
        <f>O1340*Settings!$C$13*(O1268+O1286+O1277*O$201+O1295*$D1376)</f>
        <v/>
      </c>
      <c r="P1376" s="44">
        <f>P1340*Settings!$C$13*(P1268+P1286+P1277*P$201+P1295*$D1376)</f>
        <v/>
      </c>
      <c r="Q1376" s="44">
        <f>Q1340*Settings!$C$13*(Q1268+Q1286+Q1277*Q$201+Q1295*$D1376)</f>
        <v/>
      </c>
      <c r="R1376" s="44">
        <f>R1340*Settings!$C$13*(R1268+R1286+R1277*R$201+R1295*$D1376)</f>
        <v/>
      </c>
      <c r="S1376" s="44">
        <f>S1340*Settings!$C$13*(S1268+S1286+S1277*S$201+S1295*$D1376)</f>
        <v/>
      </c>
      <c r="T1376" s="44">
        <f>T1340*Settings!$C$13*(T1268+T1286+T1277*T$201+T1295*$D1376)</f>
        <v/>
      </c>
      <c r="U1376" s="44">
        <f>U1340*Settings!$C$13*(U1268+U1286+U1277*U$201+U1295*$D1376)</f>
        <v/>
      </c>
      <c r="V1376" s="44">
        <f>V1340*Settings!$C$13*(V1268+V1286+V1277*V$201+V1295*$D1376)</f>
        <v/>
      </c>
      <c r="W1376" s="44">
        <f>W1340*Settings!$C$13*(W1268+W1286+W1277*W$201+W1295*$D1376)</f>
        <v/>
      </c>
      <c r="X1376" s="44">
        <f>X1340*Settings!$C$13*(X1268+X1286+X1277*X$201+X1295*$D1376)</f>
        <v/>
      </c>
      <c r="Y1376" s="44">
        <f>Y1340*Settings!$C$13*(Y1268+Y1286+Y1277*Y$201+Y1295*$D1376)</f>
        <v/>
      </c>
      <c r="Z1376" s="44">
        <f>Z1340*Settings!$C$13*(Z1268+Z1286+Z1277*Z$201+Z1295*$D1376)</f>
        <v/>
      </c>
      <c r="AA1376" s="44">
        <f>AA1340*Settings!$C$13*(AA1268+AA1286+AA1277*AA$201+AA1295*$D1376)</f>
        <v/>
      </c>
      <c r="AB1376" s="44">
        <f>AB1340*Settings!$C$13*(AB1268+AB1286+AB1277*AB$201+AB1295*$D1376)</f>
        <v/>
      </c>
      <c r="AC1376" s="44">
        <f>AC1340*Settings!$C$13*(AC1268+AC1286+AC1277*AC$201+AC1295*$D1376)</f>
        <v/>
      </c>
      <c r="AD1376" s="44">
        <f>AD1340*Settings!$C$13*(AD1268+AD1286+AD1277*AD$201+AD1295*$D1376)</f>
        <v/>
      </c>
      <c r="AE1376" s="57">
        <f>REVENUE(AE1340,Settings!$C$13,NEWREVRATE(AE1268,AE1286,AE1277,AE$201,AE1295,$D1376))</f>
        <v/>
      </c>
      <c r="AG1376" s="11">
        <f>CodePrefix&amp;$A1376&amp;IF($C1376="","","."&amp;$C1376&amp;"."&amp;$B1376)&amp;INDEX(VarEnd,MATCH($A1376,VarKey,0))&amp;AG$5</f>
        <v/>
      </c>
      <c r="AH1376" s="43">
        <f>AH1340*Settings!$C$13*(AH1268+AH1286+AH1277*AH$201+AH1295*$D1376)</f>
        <v/>
      </c>
      <c r="AI1376" s="44">
        <f>AI1340*Settings!$C$13*(AI1268+AI1286+AI1277*AI$201+AI1295*$D1376)</f>
        <v/>
      </c>
      <c r="AJ1376" s="44">
        <f>AJ1340*Settings!$C$13*(AJ1268+AJ1286+AJ1277*AJ$201+AJ1295*$D1376)</f>
        <v/>
      </c>
      <c r="AK1376" s="44">
        <f>AK1340*Settings!$C$13*(AK1268+AK1286+AK1277*AK$201+AK1295*$D1376)</f>
        <v/>
      </c>
      <c r="AL1376" s="44">
        <f>AL1340*Settings!$C$13*(AL1268+AL1286+AL1277*AL$201+AL1295*$D1376)</f>
        <v/>
      </c>
      <c r="AM1376" s="44">
        <f>AM1340*Settings!$C$13*(AM1268+AM1286+AM1277*AM$201+AM1295*$D1376)</f>
        <v/>
      </c>
      <c r="AN1376" s="44">
        <f>AN1340*Settings!$C$13*(AN1268+AN1286+AN1277*AN$201+AN1295*$D1376)</f>
        <v/>
      </c>
      <c r="AO1376" s="44">
        <f>AO1340*Settings!$C$13*(AO1268+AO1286+AO1277*AO$201+AO1295*$D1376)</f>
        <v/>
      </c>
      <c r="AP1376" s="44">
        <f>AP1340*Settings!$C$13*(AP1268+AP1286+AP1277*AP$201+AP1295*$D1376)</f>
        <v/>
      </c>
      <c r="AQ1376" s="44">
        <f>AQ1340*Settings!$C$13*(AQ1268+AQ1286+AQ1277*AQ$201+AQ1295*$D1376)</f>
        <v/>
      </c>
      <c r="AR1376" s="44">
        <f>AR1340*Settings!$C$13*(AR1268+AR1286+AR1277*AR$201+AR1295*$D1376)</f>
        <v/>
      </c>
      <c r="AS1376" s="44">
        <f>AS1340*Settings!$C$13*(AS1268+AS1286+AS1277*AS$201+AS1295*$D1376)</f>
        <v/>
      </c>
      <c r="AT1376" s="44">
        <f>AT1340*Settings!$C$13*(AT1268+AT1286+AT1277*AT$201+AT1295*$D1376)</f>
        <v/>
      </c>
      <c r="AU1376" s="44">
        <f>AU1340*Settings!$C$13*(AU1268+AU1286+AU1277*AU$201+AU1295*$D1376)</f>
        <v/>
      </c>
      <c r="AV1376" s="44">
        <f>AV1340*Settings!$C$13*(AV1268+AV1286+AV1277*AV$201+AV1295*$D1376)</f>
        <v/>
      </c>
      <c r="AW1376" s="44">
        <f>AW1340*Settings!$C$13*(AW1268+AW1286+AW1277*AW$201+AW1295*$D1376)</f>
        <v/>
      </c>
      <c r="AX1376" s="44">
        <f>AX1340*Settings!$C$13*(AX1268+AX1286+AX1277*AX$201+AX1295*$D1376)</f>
        <v/>
      </c>
      <c r="AY1376" s="44">
        <f>AY1340*Settings!$C$13*(AY1268+AY1286+AY1277*AY$201+AY1295*$D1376)</f>
        <v/>
      </c>
      <c r="AZ1376" s="44">
        <f>AZ1340*Settings!$C$13*(AZ1268+AZ1286+AZ1277*AZ$201+AZ1295*$D1376)</f>
        <v/>
      </c>
      <c r="BA1376" s="57">
        <f>REVENUE(BA1340,Settings!$C$13,NEWREVRATE(BA1268,BA1286,BA1277,BA$201,BA1295,$D1376))</f>
        <v/>
      </c>
    </row>
    <row r="1377" hidden="1" outlineLevel="2">
      <c r="A1377" s="14" t="inlineStr">
        <is>
          <t>rnew</t>
        </is>
      </c>
      <c r="B1377" s="14" t="inlineStr">
        <is>
          <t>oop</t>
        </is>
      </c>
      <c r="C1377" s="14" t="inlineStr">
        <is>
          <t>avi</t>
        </is>
      </c>
      <c r="D1377" s="35">
        <f>INDEX(Inputs!$V$5:$V$132,MATCH($B1377&amp;"|"&amp;$C1377,Inputs!$A$5:$A$132,0))</f>
        <v/>
      </c>
      <c r="E1377" s="39" t="n"/>
      <c r="F1377" s="39" t="n"/>
      <c r="G1377" s="39" t="n"/>
      <c r="H1377" s="14">
        <f>INDEX(VarLab,MATCH($A1377,VarKey,0))&amp;INDEX(MemLab,MATCH($C1377&amp;"|"&amp;$B1377,MemKey,0))</f>
        <v/>
      </c>
      <c r="I1377" s="14">
        <f>INDEX(VarUnit,MATCH($A1377,VarKey,0))</f>
        <v/>
      </c>
      <c r="J1377" s="14">
        <f>INDEX(VarSrc,MATCH($A1377,VarKey,0))</f>
        <v/>
      </c>
      <c r="K1377" s="11">
        <f>CodePrefix&amp;$A1377&amp;IF($C1377="","","."&amp;$C1377&amp;"."&amp;$B1377)&amp;INDEX(VarEnd,MATCH($A1377,VarKey,0))&amp;K$5</f>
        <v/>
      </c>
      <c r="L1377" s="43">
        <f>L1341*Settings!$C$13*(L1269+L1287+L1278*L$201+L1296*$D1377)</f>
        <v/>
      </c>
      <c r="M1377" s="44">
        <f>M1341*Settings!$C$13*(M1269+M1287+M1278*M$201+M1296*$D1377)</f>
        <v/>
      </c>
      <c r="N1377" s="44">
        <f>N1341*Settings!$C$13*(N1269+N1287+N1278*N$201+N1296*$D1377)</f>
        <v/>
      </c>
      <c r="O1377" s="44">
        <f>O1341*Settings!$C$13*(O1269+O1287+O1278*O$201+O1296*$D1377)</f>
        <v/>
      </c>
      <c r="P1377" s="44">
        <f>P1341*Settings!$C$13*(P1269+P1287+P1278*P$201+P1296*$D1377)</f>
        <v/>
      </c>
      <c r="Q1377" s="44">
        <f>Q1341*Settings!$C$13*(Q1269+Q1287+Q1278*Q$201+Q1296*$D1377)</f>
        <v/>
      </c>
      <c r="R1377" s="44">
        <f>R1341*Settings!$C$13*(R1269+R1287+R1278*R$201+R1296*$D1377)</f>
        <v/>
      </c>
      <c r="S1377" s="44">
        <f>S1341*Settings!$C$13*(S1269+S1287+S1278*S$201+S1296*$D1377)</f>
        <v/>
      </c>
      <c r="T1377" s="44">
        <f>T1341*Settings!$C$13*(T1269+T1287+T1278*T$201+T1296*$D1377)</f>
        <v/>
      </c>
      <c r="U1377" s="44">
        <f>U1341*Settings!$C$13*(U1269+U1287+U1278*U$201+U1296*$D1377)</f>
        <v/>
      </c>
      <c r="V1377" s="44">
        <f>V1341*Settings!$C$13*(V1269+V1287+V1278*V$201+V1296*$D1377)</f>
        <v/>
      </c>
      <c r="W1377" s="44">
        <f>W1341*Settings!$C$13*(W1269+W1287+W1278*W$201+W1296*$D1377)</f>
        <v/>
      </c>
      <c r="X1377" s="44">
        <f>X1341*Settings!$C$13*(X1269+X1287+X1278*X$201+X1296*$D1377)</f>
        <v/>
      </c>
      <c r="Y1377" s="44">
        <f>Y1341*Settings!$C$13*(Y1269+Y1287+Y1278*Y$201+Y1296*$D1377)</f>
        <v/>
      </c>
      <c r="Z1377" s="44">
        <f>Z1341*Settings!$C$13*(Z1269+Z1287+Z1278*Z$201+Z1296*$D1377)</f>
        <v/>
      </c>
      <c r="AA1377" s="44">
        <f>AA1341*Settings!$C$13*(AA1269+AA1287+AA1278*AA$201+AA1296*$D1377)</f>
        <v/>
      </c>
      <c r="AB1377" s="44">
        <f>AB1341*Settings!$C$13*(AB1269+AB1287+AB1278*AB$201+AB1296*$D1377)</f>
        <v/>
      </c>
      <c r="AC1377" s="44">
        <f>AC1341*Settings!$C$13*(AC1269+AC1287+AC1278*AC$201+AC1296*$D1377)</f>
        <v/>
      </c>
      <c r="AD1377" s="44">
        <f>AD1341*Settings!$C$13*(AD1269+AD1287+AD1278*AD$201+AD1296*$D1377)</f>
        <v/>
      </c>
      <c r="AE1377" s="57">
        <f>REVENUE(AE1341,Settings!$C$13,NEWREVRATE(AE1269,AE1287,AE1278,AE$201,AE1296,$D1377))</f>
        <v/>
      </c>
      <c r="AG1377" s="11">
        <f>CodePrefix&amp;$A1377&amp;IF($C1377="","","."&amp;$C1377&amp;"."&amp;$B1377)&amp;INDEX(VarEnd,MATCH($A1377,VarKey,0))&amp;AG$5</f>
        <v/>
      </c>
      <c r="AH1377" s="43">
        <f>AH1341*Settings!$C$13*(AH1269+AH1287+AH1278*AH$201+AH1296*$D1377)</f>
        <v/>
      </c>
      <c r="AI1377" s="44">
        <f>AI1341*Settings!$C$13*(AI1269+AI1287+AI1278*AI$201+AI1296*$D1377)</f>
        <v/>
      </c>
      <c r="AJ1377" s="44">
        <f>AJ1341*Settings!$C$13*(AJ1269+AJ1287+AJ1278*AJ$201+AJ1296*$D1377)</f>
        <v/>
      </c>
      <c r="AK1377" s="44">
        <f>AK1341*Settings!$C$13*(AK1269+AK1287+AK1278*AK$201+AK1296*$D1377)</f>
        <v/>
      </c>
      <c r="AL1377" s="44">
        <f>AL1341*Settings!$C$13*(AL1269+AL1287+AL1278*AL$201+AL1296*$D1377)</f>
        <v/>
      </c>
      <c r="AM1377" s="44">
        <f>AM1341*Settings!$C$13*(AM1269+AM1287+AM1278*AM$201+AM1296*$D1377)</f>
        <v/>
      </c>
      <c r="AN1377" s="44">
        <f>AN1341*Settings!$C$13*(AN1269+AN1287+AN1278*AN$201+AN1296*$D1377)</f>
        <v/>
      </c>
      <c r="AO1377" s="44">
        <f>AO1341*Settings!$C$13*(AO1269+AO1287+AO1278*AO$201+AO1296*$D1377)</f>
        <v/>
      </c>
      <c r="AP1377" s="44">
        <f>AP1341*Settings!$C$13*(AP1269+AP1287+AP1278*AP$201+AP1296*$D1377)</f>
        <v/>
      </c>
      <c r="AQ1377" s="44">
        <f>AQ1341*Settings!$C$13*(AQ1269+AQ1287+AQ1278*AQ$201+AQ1296*$D1377)</f>
        <v/>
      </c>
      <c r="AR1377" s="44">
        <f>AR1341*Settings!$C$13*(AR1269+AR1287+AR1278*AR$201+AR1296*$D1377)</f>
        <v/>
      </c>
      <c r="AS1377" s="44">
        <f>AS1341*Settings!$C$13*(AS1269+AS1287+AS1278*AS$201+AS1296*$D1377)</f>
        <v/>
      </c>
      <c r="AT1377" s="44">
        <f>AT1341*Settings!$C$13*(AT1269+AT1287+AT1278*AT$201+AT1296*$D1377)</f>
        <v/>
      </c>
      <c r="AU1377" s="44">
        <f>AU1341*Settings!$C$13*(AU1269+AU1287+AU1278*AU$201+AU1296*$D1377)</f>
        <v/>
      </c>
      <c r="AV1377" s="44">
        <f>AV1341*Settings!$C$13*(AV1269+AV1287+AV1278*AV$201+AV1296*$D1377)</f>
        <v/>
      </c>
      <c r="AW1377" s="44">
        <f>AW1341*Settings!$C$13*(AW1269+AW1287+AW1278*AW$201+AW1296*$D1377)</f>
        <v/>
      </c>
      <c r="AX1377" s="44">
        <f>AX1341*Settings!$C$13*(AX1269+AX1287+AX1278*AX$201+AX1296*$D1377)</f>
        <v/>
      </c>
      <c r="AY1377" s="44">
        <f>AY1341*Settings!$C$13*(AY1269+AY1287+AY1278*AY$201+AY1296*$D1377)</f>
        <v/>
      </c>
      <c r="AZ1377" s="44">
        <f>AZ1341*Settings!$C$13*(AZ1269+AZ1287+AZ1278*AZ$201+AZ1296*$D1377)</f>
        <v/>
      </c>
      <c r="BA1377" s="57">
        <f>REVENUE(BA1341,Settings!$C$13,NEWREVRATE(BA1269,BA1287,BA1278,BA$201,BA1296,$D1377))</f>
        <v/>
      </c>
    </row>
    <row r="1378" hidden="1" outlineLevel="2">
      <c r="A1378" s="14" t="inlineStr">
        <is>
          <t>rnew</t>
        </is>
      </c>
      <c r="B1378" s="14" t="inlineStr">
        <is>
          <t>bio</t>
        </is>
      </c>
      <c r="C1378" s="14" t="inlineStr">
        <is>
          <t>avi</t>
        </is>
      </c>
      <c r="D1378" s="35">
        <f>INDEX(Inputs!$V$5:$V$132,MATCH($B1378&amp;"|"&amp;$C1378,Inputs!$A$5:$A$132,0))</f>
        <v/>
      </c>
      <c r="E1378" s="39" t="n"/>
      <c r="F1378" s="39" t="n"/>
      <c r="G1378" s="39" t="n"/>
      <c r="H1378" s="14">
        <f>INDEX(VarLab,MATCH($A1378,VarKey,0))&amp;INDEX(MemLab,MATCH($C1378&amp;"|"&amp;$B1378,MemKey,0))</f>
        <v/>
      </c>
      <c r="I1378" s="14">
        <f>INDEX(VarUnit,MATCH($A1378,VarKey,0))</f>
        <v/>
      </c>
      <c r="J1378" s="14">
        <f>INDEX(VarSrc,MATCH($A1378,VarKey,0))</f>
        <v/>
      </c>
      <c r="K1378" s="11">
        <f>CodePrefix&amp;$A1378&amp;IF($C1378="","","."&amp;$C1378&amp;"."&amp;$B1378)&amp;INDEX(VarEnd,MATCH($A1378,VarKey,0))&amp;K$5</f>
        <v/>
      </c>
      <c r="L1378" s="43">
        <f>L1342*Settings!$C$13*(L1270+L1288+L1279*L$201+L1297*$D1378)</f>
        <v/>
      </c>
      <c r="M1378" s="44">
        <f>M1342*Settings!$C$13*(M1270+M1288+M1279*M$201+M1297*$D1378)</f>
        <v/>
      </c>
      <c r="N1378" s="44">
        <f>N1342*Settings!$C$13*(N1270+N1288+N1279*N$201+N1297*$D1378)</f>
        <v/>
      </c>
      <c r="O1378" s="44">
        <f>O1342*Settings!$C$13*(O1270+O1288+O1279*O$201+O1297*$D1378)</f>
        <v/>
      </c>
      <c r="P1378" s="44">
        <f>P1342*Settings!$C$13*(P1270+P1288+P1279*P$201+P1297*$D1378)</f>
        <v/>
      </c>
      <c r="Q1378" s="44">
        <f>Q1342*Settings!$C$13*(Q1270+Q1288+Q1279*Q$201+Q1297*$D1378)</f>
        <v/>
      </c>
      <c r="R1378" s="44">
        <f>R1342*Settings!$C$13*(R1270+R1288+R1279*R$201+R1297*$D1378)</f>
        <v/>
      </c>
      <c r="S1378" s="44">
        <f>S1342*Settings!$C$13*(S1270+S1288+S1279*S$201+S1297*$D1378)</f>
        <v/>
      </c>
      <c r="T1378" s="44">
        <f>T1342*Settings!$C$13*(T1270+T1288+T1279*T$201+T1297*$D1378)</f>
        <v/>
      </c>
      <c r="U1378" s="44">
        <f>U1342*Settings!$C$13*(U1270+U1288+U1279*U$201+U1297*$D1378)</f>
        <v/>
      </c>
      <c r="V1378" s="44">
        <f>V1342*Settings!$C$13*(V1270+V1288+V1279*V$201+V1297*$D1378)</f>
        <v/>
      </c>
      <c r="W1378" s="44">
        <f>W1342*Settings!$C$13*(W1270+W1288+W1279*W$201+W1297*$D1378)</f>
        <v/>
      </c>
      <c r="X1378" s="44">
        <f>X1342*Settings!$C$13*(X1270+X1288+X1279*X$201+X1297*$D1378)</f>
        <v/>
      </c>
      <c r="Y1378" s="44">
        <f>Y1342*Settings!$C$13*(Y1270+Y1288+Y1279*Y$201+Y1297*$D1378)</f>
        <v/>
      </c>
      <c r="Z1378" s="44">
        <f>Z1342*Settings!$C$13*(Z1270+Z1288+Z1279*Z$201+Z1297*$D1378)</f>
        <v/>
      </c>
      <c r="AA1378" s="44">
        <f>AA1342*Settings!$C$13*(AA1270+AA1288+AA1279*AA$201+AA1297*$D1378)</f>
        <v/>
      </c>
      <c r="AB1378" s="44">
        <f>AB1342*Settings!$C$13*(AB1270+AB1288+AB1279*AB$201+AB1297*$D1378)</f>
        <v/>
      </c>
      <c r="AC1378" s="44">
        <f>AC1342*Settings!$C$13*(AC1270+AC1288+AC1279*AC$201+AC1297*$D1378)</f>
        <v/>
      </c>
      <c r="AD1378" s="44">
        <f>AD1342*Settings!$C$13*(AD1270+AD1288+AD1279*AD$201+AD1297*$D1378)</f>
        <v/>
      </c>
      <c r="AE1378" s="57">
        <f>REVENUE(AE1342,Settings!$C$13,NEWREVRATE(AE1270,AE1288,AE1279,AE$201,AE1297,$D1378))</f>
        <v/>
      </c>
      <c r="AG1378" s="11">
        <f>CodePrefix&amp;$A1378&amp;IF($C1378="","","."&amp;$C1378&amp;"."&amp;$B1378)&amp;INDEX(VarEnd,MATCH($A1378,VarKey,0))&amp;AG$5</f>
        <v/>
      </c>
      <c r="AH1378" s="43">
        <f>AH1342*Settings!$C$13*(AH1270+AH1288+AH1279*AH$201+AH1297*$D1378)</f>
        <v/>
      </c>
      <c r="AI1378" s="44">
        <f>AI1342*Settings!$C$13*(AI1270+AI1288+AI1279*AI$201+AI1297*$D1378)</f>
        <v/>
      </c>
      <c r="AJ1378" s="44">
        <f>AJ1342*Settings!$C$13*(AJ1270+AJ1288+AJ1279*AJ$201+AJ1297*$D1378)</f>
        <v/>
      </c>
      <c r="AK1378" s="44">
        <f>AK1342*Settings!$C$13*(AK1270+AK1288+AK1279*AK$201+AK1297*$D1378)</f>
        <v/>
      </c>
      <c r="AL1378" s="44">
        <f>AL1342*Settings!$C$13*(AL1270+AL1288+AL1279*AL$201+AL1297*$D1378)</f>
        <v/>
      </c>
      <c r="AM1378" s="44">
        <f>AM1342*Settings!$C$13*(AM1270+AM1288+AM1279*AM$201+AM1297*$D1378)</f>
        <v/>
      </c>
      <c r="AN1378" s="44">
        <f>AN1342*Settings!$C$13*(AN1270+AN1288+AN1279*AN$201+AN1297*$D1378)</f>
        <v/>
      </c>
      <c r="AO1378" s="44">
        <f>AO1342*Settings!$C$13*(AO1270+AO1288+AO1279*AO$201+AO1297*$D1378)</f>
        <v/>
      </c>
      <c r="AP1378" s="44">
        <f>AP1342*Settings!$C$13*(AP1270+AP1288+AP1279*AP$201+AP1297*$D1378)</f>
        <v/>
      </c>
      <c r="AQ1378" s="44">
        <f>AQ1342*Settings!$C$13*(AQ1270+AQ1288+AQ1279*AQ$201+AQ1297*$D1378)</f>
        <v/>
      </c>
      <c r="AR1378" s="44">
        <f>AR1342*Settings!$C$13*(AR1270+AR1288+AR1279*AR$201+AR1297*$D1378)</f>
        <v/>
      </c>
      <c r="AS1378" s="44">
        <f>AS1342*Settings!$C$13*(AS1270+AS1288+AS1279*AS$201+AS1297*$D1378)</f>
        <v/>
      </c>
      <c r="AT1378" s="44">
        <f>AT1342*Settings!$C$13*(AT1270+AT1288+AT1279*AT$201+AT1297*$D1378)</f>
        <v/>
      </c>
      <c r="AU1378" s="44">
        <f>AU1342*Settings!$C$13*(AU1270+AU1288+AU1279*AU$201+AU1297*$D1378)</f>
        <v/>
      </c>
      <c r="AV1378" s="44">
        <f>AV1342*Settings!$C$13*(AV1270+AV1288+AV1279*AV$201+AV1297*$D1378)</f>
        <v/>
      </c>
      <c r="AW1378" s="44">
        <f>AW1342*Settings!$C$13*(AW1270+AW1288+AW1279*AW$201+AW1297*$D1378)</f>
        <v/>
      </c>
      <c r="AX1378" s="44">
        <f>AX1342*Settings!$C$13*(AX1270+AX1288+AX1279*AX$201+AX1297*$D1378)</f>
        <v/>
      </c>
      <c r="AY1378" s="44">
        <f>AY1342*Settings!$C$13*(AY1270+AY1288+AY1279*AY$201+AY1297*$D1378)</f>
        <v/>
      </c>
      <c r="AZ1378" s="44">
        <f>AZ1342*Settings!$C$13*(AZ1270+AZ1288+AZ1279*AZ$201+AZ1297*$D1378)</f>
        <v/>
      </c>
      <c r="BA1378" s="57">
        <f>REVENUE(BA1342,Settings!$C$13,NEWREVRATE(BA1270,BA1288,BA1279,BA$201,BA1297,$D1378))</f>
        <v/>
      </c>
    </row>
    <row r="1379" hidden="1" outlineLevel="2"/>
    <row r="1380" hidden="1" outlineLevel="2">
      <c r="A1380" s="14" t="inlineStr">
        <is>
          <t>rxcp</t>
        </is>
      </c>
      <c r="B1380" s="14" t="inlineStr">
        <is>
          <t>coa</t>
        </is>
      </c>
      <c r="C1380" s="14" t="inlineStr">
        <is>
          <t>avi</t>
        </is>
      </c>
      <c r="D1380" s="39" t="n"/>
      <c r="E1380" s="39" t="n"/>
      <c r="F1380" s="39" t="n"/>
      <c r="G1380" s="39" t="n"/>
      <c r="H1380" s="14">
        <f>INDEX(VarLab,MATCH($A1380,VarKey,0))&amp;INDEX(MemLab,MATCH($C1380&amp;"|"&amp;$B1380,MemKey,0))</f>
        <v/>
      </c>
      <c r="I1380" s="14">
        <f>INDEX(VarUnit,MATCH($A1380,VarKey,0))</f>
        <v/>
      </c>
      <c r="J1380" s="14">
        <f>INDEX(VarSrc,MATCH($A1380,VarKey,0))</f>
        <v/>
      </c>
      <c r="K1380" s="11">
        <f>CodePrefix&amp;$A1380&amp;IF($C1380="","","."&amp;$C1380&amp;"."&amp;$B1380)&amp;INDEX(VarEnd,MATCH($A1380,VarKey,0))&amp;K$5</f>
        <v/>
      </c>
      <c r="L1380" s="43">
        <f>L1335*Settings!$C$13*(L1299)</f>
        <v/>
      </c>
      <c r="M1380" s="44">
        <f>M1335*Settings!$C$13*(M1299)</f>
        <v/>
      </c>
      <c r="N1380" s="44">
        <f>N1335*Settings!$C$13*(N1299)</f>
        <v/>
      </c>
      <c r="O1380" s="44">
        <f>O1335*Settings!$C$13*(O1299)</f>
        <v/>
      </c>
      <c r="P1380" s="44">
        <f>P1335*Settings!$C$13*(P1299)</f>
        <v/>
      </c>
      <c r="Q1380" s="44">
        <f>Q1335*Settings!$C$13*(Q1299)</f>
        <v/>
      </c>
      <c r="R1380" s="44">
        <f>R1335*Settings!$C$13*(R1299)</f>
        <v/>
      </c>
      <c r="S1380" s="44">
        <f>S1335*Settings!$C$13*(S1299)</f>
        <v/>
      </c>
      <c r="T1380" s="44">
        <f>T1335*Settings!$C$13*(T1299)</f>
        <v/>
      </c>
      <c r="U1380" s="44">
        <f>U1335*Settings!$C$13*(U1299)</f>
        <v/>
      </c>
      <c r="V1380" s="44">
        <f>V1335*Settings!$C$13*(V1299)</f>
        <v/>
      </c>
      <c r="W1380" s="44">
        <f>W1335*Settings!$C$13*(W1299)</f>
        <v/>
      </c>
      <c r="X1380" s="44">
        <f>X1335*Settings!$C$13*(X1299)</f>
        <v/>
      </c>
      <c r="Y1380" s="44">
        <f>Y1335*Settings!$C$13*(Y1299)</f>
        <v/>
      </c>
      <c r="Z1380" s="44">
        <f>Z1335*Settings!$C$13*(Z1299)</f>
        <v/>
      </c>
      <c r="AA1380" s="44">
        <f>AA1335*Settings!$C$13*(AA1299)</f>
        <v/>
      </c>
      <c r="AB1380" s="44">
        <f>AB1335*Settings!$C$13*(AB1299)</f>
        <v/>
      </c>
      <c r="AC1380" s="44">
        <f>AC1335*Settings!$C$13*(AC1299)</f>
        <v/>
      </c>
      <c r="AD1380" s="44">
        <f>AD1335*Settings!$C$13*(AD1299)</f>
        <v/>
      </c>
      <c r="AE1380" s="57">
        <f>REVENUE(AE1335,Settings!$C$13,AE1299)</f>
        <v/>
      </c>
      <c r="AG1380" s="11">
        <f>CodePrefix&amp;$A1380&amp;IF($C1380="","","."&amp;$C1380&amp;"."&amp;$B1380)&amp;INDEX(VarEnd,MATCH($A1380,VarKey,0))&amp;AG$5</f>
        <v/>
      </c>
      <c r="AH1380" s="43">
        <f>AH1335*Settings!$C$13*(AH1299)</f>
        <v/>
      </c>
      <c r="AI1380" s="44">
        <f>AI1335*Settings!$C$13*(AI1299)</f>
        <v/>
      </c>
      <c r="AJ1380" s="44">
        <f>AJ1335*Settings!$C$13*(AJ1299)</f>
        <v/>
      </c>
      <c r="AK1380" s="44">
        <f>AK1335*Settings!$C$13*(AK1299)</f>
        <v/>
      </c>
      <c r="AL1380" s="44">
        <f>AL1335*Settings!$C$13*(AL1299)</f>
        <v/>
      </c>
      <c r="AM1380" s="44">
        <f>AM1335*Settings!$C$13*(AM1299)</f>
        <v/>
      </c>
      <c r="AN1380" s="44">
        <f>AN1335*Settings!$C$13*(AN1299)</f>
        <v/>
      </c>
      <c r="AO1380" s="44">
        <f>AO1335*Settings!$C$13*(AO1299)</f>
        <v/>
      </c>
      <c r="AP1380" s="44">
        <f>AP1335*Settings!$C$13*(AP1299)</f>
        <v/>
      </c>
      <c r="AQ1380" s="44">
        <f>AQ1335*Settings!$C$13*(AQ1299)</f>
        <v/>
      </c>
      <c r="AR1380" s="44">
        <f>AR1335*Settings!$C$13*(AR1299)</f>
        <v/>
      </c>
      <c r="AS1380" s="44">
        <f>AS1335*Settings!$C$13*(AS1299)</f>
        <v/>
      </c>
      <c r="AT1380" s="44">
        <f>AT1335*Settings!$C$13*(AT1299)</f>
        <v/>
      </c>
      <c r="AU1380" s="44">
        <f>AU1335*Settings!$C$13*(AU1299)</f>
        <v/>
      </c>
      <c r="AV1380" s="44">
        <f>AV1335*Settings!$C$13*(AV1299)</f>
        <v/>
      </c>
      <c r="AW1380" s="44">
        <f>AW1335*Settings!$C$13*(AW1299)</f>
        <v/>
      </c>
      <c r="AX1380" s="44">
        <f>AX1335*Settings!$C$13*(AX1299)</f>
        <v/>
      </c>
      <c r="AY1380" s="44">
        <f>AY1335*Settings!$C$13*(AY1299)</f>
        <v/>
      </c>
      <c r="AZ1380" s="44">
        <f>AZ1335*Settings!$C$13*(AZ1299)</f>
        <v/>
      </c>
      <c r="BA1380" s="57">
        <f>REVENUE(BA1335,Settings!$C$13,BA1299)</f>
        <v/>
      </c>
    </row>
    <row r="1381" hidden="1" outlineLevel="2">
      <c r="A1381" s="14" t="inlineStr">
        <is>
          <t>rxcp</t>
        </is>
      </c>
      <c r="B1381" s="14" t="inlineStr">
        <is>
          <t>nga</t>
        </is>
      </c>
      <c r="C1381" s="14" t="inlineStr">
        <is>
          <t>avi</t>
        </is>
      </c>
      <c r="D1381" s="39" t="n"/>
      <c r="E1381" s="39" t="n"/>
      <c r="F1381" s="39" t="n"/>
      <c r="G1381" s="39" t="n"/>
      <c r="H1381" s="14">
        <f>INDEX(VarLab,MATCH($A1381,VarKey,0))&amp;INDEX(MemLab,MATCH($C1381&amp;"|"&amp;$B1381,MemKey,0))</f>
        <v/>
      </c>
      <c r="I1381" s="14">
        <f>INDEX(VarUnit,MATCH($A1381,VarKey,0))</f>
        <v/>
      </c>
      <c r="J1381" s="14">
        <f>INDEX(VarSrc,MATCH($A1381,VarKey,0))</f>
        <v/>
      </c>
      <c r="K1381" s="11">
        <f>CodePrefix&amp;$A1381&amp;IF($C1381="","","."&amp;$C1381&amp;"."&amp;$B1381)&amp;INDEX(VarEnd,MATCH($A1381,VarKey,0))&amp;K$5</f>
        <v/>
      </c>
      <c r="L1381" s="43">
        <f>L1336*Settings!$C$13*(L1300)</f>
        <v/>
      </c>
      <c r="M1381" s="44">
        <f>M1336*Settings!$C$13*(M1300)</f>
        <v/>
      </c>
      <c r="N1381" s="44">
        <f>N1336*Settings!$C$13*(N1300)</f>
        <v/>
      </c>
      <c r="O1381" s="44">
        <f>O1336*Settings!$C$13*(O1300)</f>
        <v/>
      </c>
      <c r="P1381" s="44">
        <f>P1336*Settings!$C$13*(P1300)</f>
        <v/>
      </c>
      <c r="Q1381" s="44">
        <f>Q1336*Settings!$C$13*(Q1300)</f>
        <v/>
      </c>
      <c r="R1381" s="44">
        <f>R1336*Settings!$C$13*(R1300)</f>
        <v/>
      </c>
      <c r="S1381" s="44">
        <f>S1336*Settings!$C$13*(S1300)</f>
        <v/>
      </c>
      <c r="T1381" s="44">
        <f>T1336*Settings!$C$13*(T1300)</f>
        <v/>
      </c>
      <c r="U1381" s="44">
        <f>U1336*Settings!$C$13*(U1300)</f>
        <v/>
      </c>
      <c r="V1381" s="44">
        <f>V1336*Settings!$C$13*(V1300)</f>
        <v/>
      </c>
      <c r="W1381" s="44">
        <f>W1336*Settings!$C$13*(W1300)</f>
        <v/>
      </c>
      <c r="X1381" s="44">
        <f>X1336*Settings!$C$13*(X1300)</f>
        <v/>
      </c>
      <c r="Y1381" s="44">
        <f>Y1336*Settings!$C$13*(Y1300)</f>
        <v/>
      </c>
      <c r="Z1381" s="44">
        <f>Z1336*Settings!$C$13*(Z1300)</f>
        <v/>
      </c>
      <c r="AA1381" s="44">
        <f>AA1336*Settings!$C$13*(AA1300)</f>
        <v/>
      </c>
      <c r="AB1381" s="44">
        <f>AB1336*Settings!$C$13*(AB1300)</f>
        <v/>
      </c>
      <c r="AC1381" s="44">
        <f>AC1336*Settings!$C$13*(AC1300)</f>
        <v/>
      </c>
      <c r="AD1381" s="44">
        <f>AD1336*Settings!$C$13*(AD1300)</f>
        <v/>
      </c>
      <c r="AE1381" s="57">
        <f>REVENUE(AE1336,Settings!$C$13,AE1300)</f>
        <v/>
      </c>
      <c r="AG1381" s="11">
        <f>CodePrefix&amp;$A1381&amp;IF($C1381="","","."&amp;$C1381&amp;"."&amp;$B1381)&amp;INDEX(VarEnd,MATCH($A1381,VarKey,0))&amp;AG$5</f>
        <v/>
      </c>
      <c r="AH1381" s="43">
        <f>AH1336*Settings!$C$13*(AH1300)</f>
        <v/>
      </c>
      <c r="AI1381" s="44">
        <f>AI1336*Settings!$C$13*(AI1300)</f>
        <v/>
      </c>
      <c r="AJ1381" s="44">
        <f>AJ1336*Settings!$C$13*(AJ1300)</f>
        <v/>
      </c>
      <c r="AK1381" s="44">
        <f>AK1336*Settings!$C$13*(AK1300)</f>
        <v/>
      </c>
      <c r="AL1381" s="44">
        <f>AL1336*Settings!$C$13*(AL1300)</f>
        <v/>
      </c>
      <c r="AM1381" s="44">
        <f>AM1336*Settings!$C$13*(AM1300)</f>
        <v/>
      </c>
      <c r="AN1381" s="44">
        <f>AN1336*Settings!$C$13*(AN1300)</f>
        <v/>
      </c>
      <c r="AO1381" s="44">
        <f>AO1336*Settings!$C$13*(AO1300)</f>
        <v/>
      </c>
      <c r="AP1381" s="44">
        <f>AP1336*Settings!$C$13*(AP1300)</f>
        <v/>
      </c>
      <c r="AQ1381" s="44">
        <f>AQ1336*Settings!$C$13*(AQ1300)</f>
        <v/>
      </c>
      <c r="AR1381" s="44">
        <f>AR1336*Settings!$C$13*(AR1300)</f>
        <v/>
      </c>
      <c r="AS1381" s="44">
        <f>AS1336*Settings!$C$13*(AS1300)</f>
        <v/>
      </c>
      <c r="AT1381" s="44">
        <f>AT1336*Settings!$C$13*(AT1300)</f>
        <v/>
      </c>
      <c r="AU1381" s="44">
        <f>AU1336*Settings!$C$13*(AU1300)</f>
        <v/>
      </c>
      <c r="AV1381" s="44">
        <f>AV1336*Settings!$C$13*(AV1300)</f>
        <v/>
      </c>
      <c r="AW1381" s="44">
        <f>AW1336*Settings!$C$13*(AW1300)</f>
        <v/>
      </c>
      <c r="AX1381" s="44">
        <f>AX1336*Settings!$C$13*(AX1300)</f>
        <v/>
      </c>
      <c r="AY1381" s="44">
        <f>AY1336*Settings!$C$13*(AY1300)</f>
        <v/>
      </c>
      <c r="AZ1381" s="44">
        <f>AZ1336*Settings!$C$13*(AZ1300)</f>
        <v/>
      </c>
      <c r="BA1381" s="57">
        <f>REVENUE(BA1336,Settings!$C$13,BA1300)</f>
        <v/>
      </c>
    </row>
    <row r="1382" hidden="1" outlineLevel="2">
      <c r="A1382" s="14" t="inlineStr">
        <is>
          <t>rxcp</t>
        </is>
      </c>
      <c r="B1382" s="14" t="inlineStr">
        <is>
          <t>gso</t>
        </is>
      </c>
      <c r="C1382" s="14" t="inlineStr">
        <is>
          <t>avi</t>
        </is>
      </c>
      <c r="D1382" s="39" t="n"/>
      <c r="E1382" s="39" t="n"/>
      <c r="F1382" s="39" t="n"/>
      <c r="G1382" s="39" t="n"/>
      <c r="H1382" s="14">
        <f>INDEX(VarLab,MATCH($A1382,VarKey,0))&amp;INDEX(MemLab,MATCH($C1382&amp;"|"&amp;$B1382,MemKey,0))</f>
        <v/>
      </c>
      <c r="I1382" s="14">
        <f>INDEX(VarUnit,MATCH($A1382,VarKey,0))</f>
        <v/>
      </c>
      <c r="J1382" s="14">
        <f>INDEX(VarSrc,MATCH($A1382,VarKey,0))</f>
        <v/>
      </c>
      <c r="K1382" s="11">
        <f>CodePrefix&amp;$A1382&amp;IF($C1382="","","."&amp;$C1382&amp;"."&amp;$B1382)&amp;INDEX(VarEnd,MATCH($A1382,VarKey,0))&amp;K$5</f>
        <v/>
      </c>
      <c r="L1382" s="43">
        <f>L1337*Settings!$C$13*(L1301)</f>
        <v/>
      </c>
      <c r="M1382" s="44">
        <f>M1337*Settings!$C$13*(M1301)</f>
        <v/>
      </c>
      <c r="N1382" s="44">
        <f>N1337*Settings!$C$13*(N1301)</f>
        <v/>
      </c>
      <c r="O1382" s="44">
        <f>O1337*Settings!$C$13*(O1301)</f>
        <v/>
      </c>
      <c r="P1382" s="44">
        <f>P1337*Settings!$C$13*(P1301)</f>
        <v/>
      </c>
      <c r="Q1382" s="44">
        <f>Q1337*Settings!$C$13*(Q1301)</f>
        <v/>
      </c>
      <c r="R1382" s="44">
        <f>R1337*Settings!$C$13*(R1301)</f>
        <v/>
      </c>
      <c r="S1382" s="44">
        <f>S1337*Settings!$C$13*(S1301)</f>
        <v/>
      </c>
      <c r="T1382" s="44">
        <f>T1337*Settings!$C$13*(T1301)</f>
        <v/>
      </c>
      <c r="U1382" s="44">
        <f>U1337*Settings!$C$13*(U1301)</f>
        <v/>
      </c>
      <c r="V1382" s="44">
        <f>V1337*Settings!$C$13*(V1301)</f>
        <v/>
      </c>
      <c r="W1382" s="44">
        <f>W1337*Settings!$C$13*(W1301)</f>
        <v/>
      </c>
      <c r="X1382" s="44">
        <f>X1337*Settings!$C$13*(X1301)</f>
        <v/>
      </c>
      <c r="Y1382" s="44">
        <f>Y1337*Settings!$C$13*(Y1301)</f>
        <v/>
      </c>
      <c r="Z1382" s="44">
        <f>Z1337*Settings!$C$13*(Z1301)</f>
        <v/>
      </c>
      <c r="AA1382" s="44">
        <f>AA1337*Settings!$C$13*(AA1301)</f>
        <v/>
      </c>
      <c r="AB1382" s="44">
        <f>AB1337*Settings!$C$13*(AB1301)</f>
        <v/>
      </c>
      <c r="AC1382" s="44">
        <f>AC1337*Settings!$C$13*(AC1301)</f>
        <v/>
      </c>
      <c r="AD1382" s="44">
        <f>AD1337*Settings!$C$13*(AD1301)</f>
        <v/>
      </c>
      <c r="AE1382" s="57">
        <f>REVENUE(AE1337,Settings!$C$13,AE1301)</f>
        <v/>
      </c>
      <c r="AG1382" s="11">
        <f>CodePrefix&amp;$A1382&amp;IF($C1382="","","."&amp;$C1382&amp;"."&amp;$B1382)&amp;INDEX(VarEnd,MATCH($A1382,VarKey,0))&amp;AG$5</f>
        <v/>
      </c>
      <c r="AH1382" s="43">
        <f>AH1337*Settings!$C$13*(AH1301)</f>
        <v/>
      </c>
      <c r="AI1382" s="44">
        <f>AI1337*Settings!$C$13*(AI1301)</f>
        <v/>
      </c>
      <c r="AJ1382" s="44">
        <f>AJ1337*Settings!$C$13*(AJ1301)</f>
        <v/>
      </c>
      <c r="AK1382" s="44">
        <f>AK1337*Settings!$C$13*(AK1301)</f>
        <v/>
      </c>
      <c r="AL1382" s="44">
        <f>AL1337*Settings!$C$13*(AL1301)</f>
        <v/>
      </c>
      <c r="AM1382" s="44">
        <f>AM1337*Settings!$C$13*(AM1301)</f>
        <v/>
      </c>
      <c r="AN1382" s="44">
        <f>AN1337*Settings!$C$13*(AN1301)</f>
        <v/>
      </c>
      <c r="AO1382" s="44">
        <f>AO1337*Settings!$C$13*(AO1301)</f>
        <v/>
      </c>
      <c r="AP1382" s="44">
        <f>AP1337*Settings!$C$13*(AP1301)</f>
        <v/>
      </c>
      <c r="AQ1382" s="44">
        <f>AQ1337*Settings!$C$13*(AQ1301)</f>
        <v/>
      </c>
      <c r="AR1382" s="44">
        <f>AR1337*Settings!$C$13*(AR1301)</f>
        <v/>
      </c>
      <c r="AS1382" s="44">
        <f>AS1337*Settings!$C$13*(AS1301)</f>
        <v/>
      </c>
      <c r="AT1382" s="44">
        <f>AT1337*Settings!$C$13*(AT1301)</f>
        <v/>
      </c>
      <c r="AU1382" s="44">
        <f>AU1337*Settings!$C$13*(AU1301)</f>
        <v/>
      </c>
      <c r="AV1382" s="44">
        <f>AV1337*Settings!$C$13*(AV1301)</f>
        <v/>
      </c>
      <c r="AW1382" s="44">
        <f>AW1337*Settings!$C$13*(AW1301)</f>
        <v/>
      </c>
      <c r="AX1382" s="44">
        <f>AX1337*Settings!$C$13*(AX1301)</f>
        <v/>
      </c>
      <c r="AY1382" s="44">
        <f>AY1337*Settings!$C$13*(AY1301)</f>
        <v/>
      </c>
      <c r="AZ1382" s="44">
        <f>AZ1337*Settings!$C$13*(AZ1301)</f>
        <v/>
      </c>
      <c r="BA1382" s="57">
        <f>REVENUE(BA1337,Settings!$C$13,BA1301)</f>
        <v/>
      </c>
    </row>
    <row r="1383" hidden="1" outlineLevel="2">
      <c r="A1383" s="14" t="inlineStr">
        <is>
          <t>rxcp</t>
        </is>
      </c>
      <c r="B1383" s="14" t="inlineStr">
        <is>
          <t>die</t>
        </is>
      </c>
      <c r="C1383" s="14" t="inlineStr">
        <is>
          <t>avi</t>
        </is>
      </c>
      <c r="D1383" s="39" t="n"/>
      <c r="E1383" s="39" t="n"/>
      <c r="F1383" s="39" t="n"/>
      <c r="G1383" s="39" t="n"/>
      <c r="H1383" s="14">
        <f>INDEX(VarLab,MATCH($A1383,VarKey,0))&amp;INDEX(MemLab,MATCH($C1383&amp;"|"&amp;$B1383,MemKey,0))</f>
        <v/>
      </c>
      <c r="I1383" s="14">
        <f>INDEX(VarUnit,MATCH($A1383,VarKey,0))</f>
        <v/>
      </c>
      <c r="J1383" s="14">
        <f>INDEX(VarSrc,MATCH($A1383,VarKey,0))</f>
        <v/>
      </c>
      <c r="K1383" s="11">
        <f>CodePrefix&amp;$A1383&amp;IF($C1383="","","."&amp;$C1383&amp;"."&amp;$B1383)&amp;INDEX(VarEnd,MATCH($A1383,VarKey,0))&amp;K$5</f>
        <v/>
      </c>
      <c r="L1383" s="43">
        <f>L1338*Settings!$C$13*(L1302)</f>
        <v/>
      </c>
      <c r="M1383" s="44">
        <f>M1338*Settings!$C$13*(M1302)</f>
        <v/>
      </c>
      <c r="N1383" s="44">
        <f>N1338*Settings!$C$13*(N1302)</f>
        <v/>
      </c>
      <c r="O1383" s="44">
        <f>O1338*Settings!$C$13*(O1302)</f>
        <v/>
      </c>
      <c r="P1383" s="44">
        <f>P1338*Settings!$C$13*(P1302)</f>
        <v/>
      </c>
      <c r="Q1383" s="44">
        <f>Q1338*Settings!$C$13*(Q1302)</f>
        <v/>
      </c>
      <c r="R1383" s="44">
        <f>R1338*Settings!$C$13*(R1302)</f>
        <v/>
      </c>
      <c r="S1383" s="44">
        <f>S1338*Settings!$C$13*(S1302)</f>
        <v/>
      </c>
      <c r="T1383" s="44">
        <f>T1338*Settings!$C$13*(T1302)</f>
        <v/>
      </c>
      <c r="U1383" s="44">
        <f>U1338*Settings!$C$13*(U1302)</f>
        <v/>
      </c>
      <c r="V1383" s="44">
        <f>V1338*Settings!$C$13*(V1302)</f>
        <v/>
      </c>
      <c r="W1383" s="44">
        <f>W1338*Settings!$C$13*(W1302)</f>
        <v/>
      </c>
      <c r="X1383" s="44">
        <f>X1338*Settings!$C$13*(X1302)</f>
        <v/>
      </c>
      <c r="Y1383" s="44">
        <f>Y1338*Settings!$C$13*(Y1302)</f>
        <v/>
      </c>
      <c r="Z1383" s="44">
        <f>Z1338*Settings!$C$13*(Z1302)</f>
        <v/>
      </c>
      <c r="AA1383" s="44">
        <f>AA1338*Settings!$C$13*(AA1302)</f>
        <v/>
      </c>
      <c r="AB1383" s="44">
        <f>AB1338*Settings!$C$13*(AB1302)</f>
        <v/>
      </c>
      <c r="AC1383" s="44">
        <f>AC1338*Settings!$C$13*(AC1302)</f>
        <v/>
      </c>
      <c r="AD1383" s="44">
        <f>AD1338*Settings!$C$13*(AD1302)</f>
        <v/>
      </c>
      <c r="AE1383" s="57">
        <f>REVENUE(AE1338,Settings!$C$13,AE1302)</f>
        <v/>
      </c>
      <c r="AG1383" s="11">
        <f>CodePrefix&amp;$A1383&amp;IF($C1383="","","."&amp;$C1383&amp;"."&amp;$B1383)&amp;INDEX(VarEnd,MATCH($A1383,VarKey,0))&amp;AG$5</f>
        <v/>
      </c>
      <c r="AH1383" s="43">
        <f>AH1338*Settings!$C$13*(AH1302)</f>
        <v/>
      </c>
      <c r="AI1383" s="44">
        <f>AI1338*Settings!$C$13*(AI1302)</f>
        <v/>
      </c>
      <c r="AJ1383" s="44">
        <f>AJ1338*Settings!$C$13*(AJ1302)</f>
        <v/>
      </c>
      <c r="AK1383" s="44">
        <f>AK1338*Settings!$C$13*(AK1302)</f>
        <v/>
      </c>
      <c r="AL1383" s="44">
        <f>AL1338*Settings!$C$13*(AL1302)</f>
        <v/>
      </c>
      <c r="AM1383" s="44">
        <f>AM1338*Settings!$C$13*(AM1302)</f>
        <v/>
      </c>
      <c r="AN1383" s="44">
        <f>AN1338*Settings!$C$13*(AN1302)</f>
        <v/>
      </c>
      <c r="AO1383" s="44">
        <f>AO1338*Settings!$C$13*(AO1302)</f>
        <v/>
      </c>
      <c r="AP1383" s="44">
        <f>AP1338*Settings!$C$13*(AP1302)</f>
        <v/>
      </c>
      <c r="AQ1383" s="44">
        <f>AQ1338*Settings!$C$13*(AQ1302)</f>
        <v/>
      </c>
      <c r="AR1383" s="44">
        <f>AR1338*Settings!$C$13*(AR1302)</f>
        <v/>
      </c>
      <c r="AS1383" s="44">
        <f>AS1338*Settings!$C$13*(AS1302)</f>
        <v/>
      </c>
      <c r="AT1383" s="44">
        <f>AT1338*Settings!$C$13*(AT1302)</f>
        <v/>
      </c>
      <c r="AU1383" s="44">
        <f>AU1338*Settings!$C$13*(AU1302)</f>
        <v/>
      </c>
      <c r="AV1383" s="44">
        <f>AV1338*Settings!$C$13*(AV1302)</f>
        <v/>
      </c>
      <c r="AW1383" s="44">
        <f>AW1338*Settings!$C$13*(AW1302)</f>
        <v/>
      </c>
      <c r="AX1383" s="44">
        <f>AX1338*Settings!$C$13*(AX1302)</f>
        <v/>
      </c>
      <c r="AY1383" s="44">
        <f>AY1338*Settings!$C$13*(AY1302)</f>
        <v/>
      </c>
      <c r="AZ1383" s="44">
        <f>AZ1338*Settings!$C$13*(AZ1302)</f>
        <v/>
      </c>
      <c r="BA1383" s="57">
        <f>REVENUE(BA1338,Settings!$C$13,BA1302)</f>
        <v/>
      </c>
    </row>
    <row r="1384" hidden="1" outlineLevel="2">
      <c r="A1384" s="14" t="inlineStr">
        <is>
          <t>rxcp</t>
        </is>
      </c>
      <c r="B1384" s="14" t="inlineStr">
        <is>
          <t>lpg</t>
        </is>
      </c>
      <c r="C1384" s="14" t="inlineStr">
        <is>
          <t>avi</t>
        </is>
      </c>
      <c r="D1384" s="39" t="n"/>
      <c r="E1384" s="39" t="n"/>
      <c r="F1384" s="39" t="n"/>
      <c r="G1384" s="39" t="n"/>
      <c r="H1384" s="14">
        <f>INDEX(VarLab,MATCH($A1384,VarKey,0))&amp;INDEX(MemLab,MATCH($C1384&amp;"|"&amp;$B1384,MemKey,0))</f>
        <v/>
      </c>
      <c r="I1384" s="14">
        <f>INDEX(VarUnit,MATCH($A1384,VarKey,0))</f>
        <v/>
      </c>
      <c r="J1384" s="14">
        <f>INDEX(VarSrc,MATCH($A1384,VarKey,0))</f>
        <v/>
      </c>
      <c r="K1384" s="11">
        <f>CodePrefix&amp;$A1384&amp;IF($C1384="","","."&amp;$C1384&amp;"."&amp;$B1384)&amp;INDEX(VarEnd,MATCH($A1384,VarKey,0))&amp;K$5</f>
        <v/>
      </c>
      <c r="L1384" s="43">
        <f>L1339*Settings!$C$13*(L1303)</f>
        <v/>
      </c>
      <c r="M1384" s="44">
        <f>M1339*Settings!$C$13*(M1303)</f>
        <v/>
      </c>
      <c r="N1384" s="44">
        <f>N1339*Settings!$C$13*(N1303)</f>
        <v/>
      </c>
      <c r="O1384" s="44">
        <f>O1339*Settings!$C$13*(O1303)</f>
        <v/>
      </c>
      <c r="P1384" s="44">
        <f>P1339*Settings!$C$13*(P1303)</f>
        <v/>
      </c>
      <c r="Q1384" s="44">
        <f>Q1339*Settings!$C$13*(Q1303)</f>
        <v/>
      </c>
      <c r="R1384" s="44">
        <f>R1339*Settings!$C$13*(R1303)</f>
        <v/>
      </c>
      <c r="S1384" s="44">
        <f>S1339*Settings!$C$13*(S1303)</f>
        <v/>
      </c>
      <c r="T1384" s="44">
        <f>T1339*Settings!$C$13*(T1303)</f>
        <v/>
      </c>
      <c r="U1384" s="44">
        <f>U1339*Settings!$C$13*(U1303)</f>
        <v/>
      </c>
      <c r="V1384" s="44">
        <f>V1339*Settings!$C$13*(V1303)</f>
        <v/>
      </c>
      <c r="W1384" s="44">
        <f>W1339*Settings!$C$13*(W1303)</f>
        <v/>
      </c>
      <c r="X1384" s="44">
        <f>X1339*Settings!$C$13*(X1303)</f>
        <v/>
      </c>
      <c r="Y1384" s="44">
        <f>Y1339*Settings!$C$13*(Y1303)</f>
        <v/>
      </c>
      <c r="Z1384" s="44">
        <f>Z1339*Settings!$C$13*(Z1303)</f>
        <v/>
      </c>
      <c r="AA1384" s="44">
        <f>AA1339*Settings!$C$13*(AA1303)</f>
        <v/>
      </c>
      <c r="AB1384" s="44">
        <f>AB1339*Settings!$C$13*(AB1303)</f>
        <v/>
      </c>
      <c r="AC1384" s="44">
        <f>AC1339*Settings!$C$13*(AC1303)</f>
        <v/>
      </c>
      <c r="AD1384" s="44">
        <f>AD1339*Settings!$C$13*(AD1303)</f>
        <v/>
      </c>
      <c r="AE1384" s="57">
        <f>REVENUE(AE1339,Settings!$C$13,AE1303)</f>
        <v/>
      </c>
      <c r="AG1384" s="11">
        <f>CodePrefix&amp;$A1384&amp;IF($C1384="","","."&amp;$C1384&amp;"."&amp;$B1384)&amp;INDEX(VarEnd,MATCH($A1384,VarKey,0))&amp;AG$5</f>
        <v/>
      </c>
      <c r="AH1384" s="43">
        <f>AH1339*Settings!$C$13*(AH1303)</f>
        <v/>
      </c>
      <c r="AI1384" s="44">
        <f>AI1339*Settings!$C$13*(AI1303)</f>
        <v/>
      </c>
      <c r="AJ1384" s="44">
        <f>AJ1339*Settings!$C$13*(AJ1303)</f>
        <v/>
      </c>
      <c r="AK1384" s="44">
        <f>AK1339*Settings!$C$13*(AK1303)</f>
        <v/>
      </c>
      <c r="AL1384" s="44">
        <f>AL1339*Settings!$C$13*(AL1303)</f>
        <v/>
      </c>
      <c r="AM1384" s="44">
        <f>AM1339*Settings!$C$13*(AM1303)</f>
        <v/>
      </c>
      <c r="AN1384" s="44">
        <f>AN1339*Settings!$C$13*(AN1303)</f>
        <v/>
      </c>
      <c r="AO1384" s="44">
        <f>AO1339*Settings!$C$13*(AO1303)</f>
        <v/>
      </c>
      <c r="AP1384" s="44">
        <f>AP1339*Settings!$C$13*(AP1303)</f>
        <v/>
      </c>
      <c r="AQ1384" s="44">
        <f>AQ1339*Settings!$C$13*(AQ1303)</f>
        <v/>
      </c>
      <c r="AR1384" s="44">
        <f>AR1339*Settings!$C$13*(AR1303)</f>
        <v/>
      </c>
      <c r="AS1384" s="44">
        <f>AS1339*Settings!$C$13*(AS1303)</f>
        <v/>
      </c>
      <c r="AT1384" s="44">
        <f>AT1339*Settings!$C$13*(AT1303)</f>
        <v/>
      </c>
      <c r="AU1384" s="44">
        <f>AU1339*Settings!$C$13*(AU1303)</f>
        <v/>
      </c>
      <c r="AV1384" s="44">
        <f>AV1339*Settings!$C$13*(AV1303)</f>
        <v/>
      </c>
      <c r="AW1384" s="44">
        <f>AW1339*Settings!$C$13*(AW1303)</f>
        <v/>
      </c>
      <c r="AX1384" s="44">
        <f>AX1339*Settings!$C$13*(AX1303)</f>
        <v/>
      </c>
      <c r="AY1384" s="44">
        <f>AY1339*Settings!$C$13*(AY1303)</f>
        <v/>
      </c>
      <c r="AZ1384" s="44">
        <f>AZ1339*Settings!$C$13*(AZ1303)</f>
        <v/>
      </c>
      <c r="BA1384" s="57">
        <f>REVENUE(BA1339,Settings!$C$13,BA1303)</f>
        <v/>
      </c>
    </row>
    <row r="1385" hidden="1" outlineLevel="2">
      <c r="A1385" s="14" t="inlineStr">
        <is>
          <t>rxcp</t>
        </is>
      </c>
      <c r="B1385" s="14" t="inlineStr">
        <is>
          <t>ker</t>
        </is>
      </c>
      <c r="C1385" s="14" t="inlineStr">
        <is>
          <t>avi</t>
        </is>
      </c>
      <c r="D1385" s="39" t="n"/>
      <c r="E1385" s="39" t="n"/>
      <c r="F1385" s="39" t="n"/>
      <c r="G1385" s="39" t="n"/>
      <c r="H1385" s="14">
        <f>INDEX(VarLab,MATCH($A1385,VarKey,0))&amp;INDEX(MemLab,MATCH($C1385&amp;"|"&amp;$B1385,MemKey,0))</f>
        <v/>
      </c>
      <c r="I1385" s="14">
        <f>INDEX(VarUnit,MATCH($A1385,VarKey,0))</f>
        <v/>
      </c>
      <c r="J1385" s="14">
        <f>INDEX(VarSrc,MATCH($A1385,VarKey,0))</f>
        <v/>
      </c>
      <c r="K1385" s="11">
        <f>CodePrefix&amp;$A1385&amp;IF($C1385="","","."&amp;$C1385&amp;"."&amp;$B1385)&amp;INDEX(VarEnd,MATCH($A1385,VarKey,0))&amp;K$5</f>
        <v/>
      </c>
      <c r="L1385" s="43">
        <f>L1340*Settings!$C$13*(L1304)</f>
        <v/>
      </c>
      <c r="M1385" s="44">
        <f>M1340*Settings!$C$13*(M1304)</f>
        <v/>
      </c>
      <c r="N1385" s="44">
        <f>N1340*Settings!$C$13*(N1304)</f>
        <v/>
      </c>
      <c r="O1385" s="44">
        <f>O1340*Settings!$C$13*(O1304)</f>
        <v/>
      </c>
      <c r="P1385" s="44">
        <f>P1340*Settings!$C$13*(P1304)</f>
        <v/>
      </c>
      <c r="Q1385" s="44">
        <f>Q1340*Settings!$C$13*(Q1304)</f>
        <v/>
      </c>
      <c r="R1385" s="44">
        <f>R1340*Settings!$C$13*(R1304)</f>
        <v/>
      </c>
      <c r="S1385" s="44">
        <f>S1340*Settings!$C$13*(S1304)</f>
        <v/>
      </c>
      <c r="T1385" s="44">
        <f>T1340*Settings!$C$13*(T1304)</f>
        <v/>
      </c>
      <c r="U1385" s="44">
        <f>U1340*Settings!$C$13*(U1304)</f>
        <v/>
      </c>
      <c r="V1385" s="44">
        <f>V1340*Settings!$C$13*(V1304)</f>
        <v/>
      </c>
      <c r="W1385" s="44">
        <f>W1340*Settings!$C$13*(W1304)</f>
        <v/>
      </c>
      <c r="X1385" s="44">
        <f>X1340*Settings!$C$13*(X1304)</f>
        <v/>
      </c>
      <c r="Y1385" s="44">
        <f>Y1340*Settings!$C$13*(Y1304)</f>
        <v/>
      </c>
      <c r="Z1385" s="44">
        <f>Z1340*Settings!$C$13*(Z1304)</f>
        <v/>
      </c>
      <c r="AA1385" s="44">
        <f>AA1340*Settings!$C$13*(AA1304)</f>
        <v/>
      </c>
      <c r="AB1385" s="44">
        <f>AB1340*Settings!$C$13*(AB1304)</f>
        <v/>
      </c>
      <c r="AC1385" s="44">
        <f>AC1340*Settings!$C$13*(AC1304)</f>
        <v/>
      </c>
      <c r="AD1385" s="44">
        <f>AD1340*Settings!$C$13*(AD1304)</f>
        <v/>
      </c>
      <c r="AE1385" s="57">
        <f>REVENUE(AE1340,Settings!$C$13,AE1304)</f>
        <v/>
      </c>
      <c r="AG1385" s="11">
        <f>CodePrefix&amp;$A1385&amp;IF($C1385="","","."&amp;$C1385&amp;"."&amp;$B1385)&amp;INDEX(VarEnd,MATCH($A1385,VarKey,0))&amp;AG$5</f>
        <v/>
      </c>
      <c r="AH1385" s="43">
        <f>AH1340*Settings!$C$13*(AH1304)</f>
        <v/>
      </c>
      <c r="AI1385" s="44">
        <f>AI1340*Settings!$C$13*(AI1304)</f>
        <v/>
      </c>
      <c r="AJ1385" s="44">
        <f>AJ1340*Settings!$C$13*(AJ1304)</f>
        <v/>
      </c>
      <c r="AK1385" s="44">
        <f>AK1340*Settings!$C$13*(AK1304)</f>
        <v/>
      </c>
      <c r="AL1385" s="44">
        <f>AL1340*Settings!$C$13*(AL1304)</f>
        <v/>
      </c>
      <c r="AM1385" s="44">
        <f>AM1340*Settings!$C$13*(AM1304)</f>
        <v/>
      </c>
      <c r="AN1385" s="44">
        <f>AN1340*Settings!$C$13*(AN1304)</f>
        <v/>
      </c>
      <c r="AO1385" s="44">
        <f>AO1340*Settings!$C$13*(AO1304)</f>
        <v/>
      </c>
      <c r="AP1385" s="44">
        <f>AP1340*Settings!$C$13*(AP1304)</f>
        <v/>
      </c>
      <c r="AQ1385" s="44">
        <f>AQ1340*Settings!$C$13*(AQ1304)</f>
        <v/>
      </c>
      <c r="AR1385" s="44">
        <f>AR1340*Settings!$C$13*(AR1304)</f>
        <v/>
      </c>
      <c r="AS1385" s="44">
        <f>AS1340*Settings!$C$13*(AS1304)</f>
        <v/>
      </c>
      <c r="AT1385" s="44">
        <f>AT1340*Settings!$C$13*(AT1304)</f>
        <v/>
      </c>
      <c r="AU1385" s="44">
        <f>AU1340*Settings!$C$13*(AU1304)</f>
        <v/>
      </c>
      <c r="AV1385" s="44">
        <f>AV1340*Settings!$C$13*(AV1304)</f>
        <v/>
      </c>
      <c r="AW1385" s="44">
        <f>AW1340*Settings!$C$13*(AW1304)</f>
        <v/>
      </c>
      <c r="AX1385" s="44">
        <f>AX1340*Settings!$C$13*(AX1304)</f>
        <v/>
      </c>
      <c r="AY1385" s="44">
        <f>AY1340*Settings!$C$13*(AY1304)</f>
        <v/>
      </c>
      <c r="AZ1385" s="44">
        <f>AZ1340*Settings!$C$13*(AZ1304)</f>
        <v/>
      </c>
      <c r="BA1385" s="57">
        <f>REVENUE(BA1340,Settings!$C$13,BA1304)</f>
        <v/>
      </c>
    </row>
    <row r="1386" hidden="1" outlineLevel="2">
      <c r="A1386" s="14" t="inlineStr">
        <is>
          <t>rxcp</t>
        </is>
      </c>
      <c r="B1386" s="14" t="inlineStr">
        <is>
          <t>oop</t>
        </is>
      </c>
      <c r="C1386" s="14" t="inlineStr">
        <is>
          <t>avi</t>
        </is>
      </c>
      <c r="D1386" s="39" t="n"/>
      <c r="E1386" s="39" t="n"/>
      <c r="F1386" s="39" t="n"/>
      <c r="G1386" s="39" t="n"/>
      <c r="H1386" s="14">
        <f>INDEX(VarLab,MATCH($A1386,VarKey,0))&amp;INDEX(MemLab,MATCH($C1386&amp;"|"&amp;$B1386,MemKey,0))</f>
        <v/>
      </c>
      <c r="I1386" s="14">
        <f>INDEX(VarUnit,MATCH($A1386,VarKey,0))</f>
        <v/>
      </c>
      <c r="J1386" s="14">
        <f>INDEX(VarSrc,MATCH($A1386,VarKey,0))</f>
        <v/>
      </c>
      <c r="K1386" s="11">
        <f>CodePrefix&amp;$A1386&amp;IF($C1386="","","."&amp;$C1386&amp;"."&amp;$B1386)&amp;INDEX(VarEnd,MATCH($A1386,VarKey,0))&amp;K$5</f>
        <v/>
      </c>
      <c r="L1386" s="43">
        <f>L1341*Settings!$C$13*(L1305)</f>
        <v/>
      </c>
      <c r="M1386" s="44">
        <f>M1341*Settings!$C$13*(M1305)</f>
        <v/>
      </c>
      <c r="N1386" s="44">
        <f>N1341*Settings!$C$13*(N1305)</f>
        <v/>
      </c>
      <c r="O1386" s="44">
        <f>O1341*Settings!$C$13*(O1305)</f>
        <v/>
      </c>
      <c r="P1386" s="44">
        <f>P1341*Settings!$C$13*(P1305)</f>
        <v/>
      </c>
      <c r="Q1386" s="44">
        <f>Q1341*Settings!$C$13*(Q1305)</f>
        <v/>
      </c>
      <c r="R1386" s="44">
        <f>R1341*Settings!$C$13*(R1305)</f>
        <v/>
      </c>
      <c r="S1386" s="44">
        <f>S1341*Settings!$C$13*(S1305)</f>
        <v/>
      </c>
      <c r="T1386" s="44">
        <f>T1341*Settings!$C$13*(T1305)</f>
        <v/>
      </c>
      <c r="U1386" s="44">
        <f>U1341*Settings!$C$13*(U1305)</f>
        <v/>
      </c>
      <c r="V1386" s="44">
        <f>V1341*Settings!$C$13*(V1305)</f>
        <v/>
      </c>
      <c r="W1386" s="44">
        <f>W1341*Settings!$C$13*(W1305)</f>
        <v/>
      </c>
      <c r="X1386" s="44">
        <f>X1341*Settings!$C$13*(X1305)</f>
        <v/>
      </c>
      <c r="Y1386" s="44">
        <f>Y1341*Settings!$C$13*(Y1305)</f>
        <v/>
      </c>
      <c r="Z1386" s="44">
        <f>Z1341*Settings!$C$13*(Z1305)</f>
        <v/>
      </c>
      <c r="AA1386" s="44">
        <f>AA1341*Settings!$C$13*(AA1305)</f>
        <v/>
      </c>
      <c r="AB1386" s="44">
        <f>AB1341*Settings!$C$13*(AB1305)</f>
        <v/>
      </c>
      <c r="AC1386" s="44">
        <f>AC1341*Settings!$C$13*(AC1305)</f>
        <v/>
      </c>
      <c r="AD1386" s="44">
        <f>AD1341*Settings!$C$13*(AD1305)</f>
        <v/>
      </c>
      <c r="AE1386" s="57">
        <f>REVENUE(AE1341,Settings!$C$13,AE1305)</f>
        <v/>
      </c>
      <c r="AG1386" s="11">
        <f>CodePrefix&amp;$A1386&amp;IF($C1386="","","."&amp;$C1386&amp;"."&amp;$B1386)&amp;INDEX(VarEnd,MATCH($A1386,VarKey,0))&amp;AG$5</f>
        <v/>
      </c>
      <c r="AH1386" s="43">
        <f>AH1341*Settings!$C$13*(AH1305)</f>
        <v/>
      </c>
      <c r="AI1386" s="44">
        <f>AI1341*Settings!$C$13*(AI1305)</f>
        <v/>
      </c>
      <c r="AJ1386" s="44">
        <f>AJ1341*Settings!$C$13*(AJ1305)</f>
        <v/>
      </c>
      <c r="AK1386" s="44">
        <f>AK1341*Settings!$C$13*(AK1305)</f>
        <v/>
      </c>
      <c r="AL1386" s="44">
        <f>AL1341*Settings!$C$13*(AL1305)</f>
        <v/>
      </c>
      <c r="AM1386" s="44">
        <f>AM1341*Settings!$C$13*(AM1305)</f>
        <v/>
      </c>
      <c r="AN1386" s="44">
        <f>AN1341*Settings!$C$13*(AN1305)</f>
        <v/>
      </c>
      <c r="AO1386" s="44">
        <f>AO1341*Settings!$C$13*(AO1305)</f>
        <v/>
      </c>
      <c r="AP1386" s="44">
        <f>AP1341*Settings!$C$13*(AP1305)</f>
        <v/>
      </c>
      <c r="AQ1386" s="44">
        <f>AQ1341*Settings!$C$13*(AQ1305)</f>
        <v/>
      </c>
      <c r="AR1386" s="44">
        <f>AR1341*Settings!$C$13*(AR1305)</f>
        <v/>
      </c>
      <c r="AS1386" s="44">
        <f>AS1341*Settings!$C$13*(AS1305)</f>
        <v/>
      </c>
      <c r="AT1386" s="44">
        <f>AT1341*Settings!$C$13*(AT1305)</f>
        <v/>
      </c>
      <c r="AU1386" s="44">
        <f>AU1341*Settings!$C$13*(AU1305)</f>
        <v/>
      </c>
      <c r="AV1386" s="44">
        <f>AV1341*Settings!$C$13*(AV1305)</f>
        <v/>
      </c>
      <c r="AW1386" s="44">
        <f>AW1341*Settings!$C$13*(AW1305)</f>
        <v/>
      </c>
      <c r="AX1386" s="44">
        <f>AX1341*Settings!$C$13*(AX1305)</f>
        <v/>
      </c>
      <c r="AY1386" s="44">
        <f>AY1341*Settings!$C$13*(AY1305)</f>
        <v/>
      </c>
      <c r="AZ1386" s="44">
        <f>AZ1341*Settings!$C$13*(AZ1305)</f>
        <v/>
      </c>
      <c r="BA1386" s="57">
        <f>REVENUE(BA1341,Settings!$C$13,BA1305)</f>
        <v/>
      </c>
    </row>
    <row r="1387" hidden="1" outlineLevel="2">
      <c r="A1387" s="14" t="inlineStr">
        <is>
          <t>rxcp</t>
        </is>
      </c>
      <c r="B1387" s="14" t="inlineStr">
        <is>
          <t>bio</t>
        </is>
      </c>
      <c r="C1387" s="14" t="inlineStr">
        <is>
          <t>avi</t>
        </is>
      </c>
      <c r="D1387" s="39" t="n"/>
      <c r="E1387" s="39" t="n"/>
      <c r="F1387" s="39" t="n"/>
      <c r="G1387" s="39" t="n"/>
      <c r="H1387" s="14">
        <f>INDEX(VarLab,MATCH($A1387,VarKey,0))&amp;INDEX(MemLab,MATCH($C1387&amp;"|"&amp;$B1387,MemKey,0))</f>
        <v/>
      </c>
      <c r="I1387" s="14">
        <f>INDEX(VarUnit,MATCH($A1387,VarKey,0))</f>
        <v/>
      </c>
      <c r="J1387" s="14">
        <f>INDEX(VarSrc,MATCH($A1387,VarKey,0))</f>
        <v/>
      </c>
      <c r="K1387" s="11">
        <f>CodePrefix&amp;$A1387&amp;IF($C1387="","","."&amp;$C1387&amp;"."&amp;$B1387)&amp;INDEX(VarEnd,MATCH($A1387,VarKey,0))&amp;K$5</f>
        <v/>
      </c>
      <c r="L1387" s="43">
        <f>L1342*Settings!$C$13*(L1306)</f>
        <v/>
      </c>
      <c r="M1387" s="44">
        <f>M1342*Settings!$C$13*(M1306)</f>
        <v/>
      </c>
      <c r="N1387" s="44">
        <f>N1342*Settings!$C$13*(N1306)</f>
        <v/>
      </c>
      <c r="O1387" s="44">
        <f>O1342*Settings!$C$13*(O1306)</f>
        <v/>
      </c>
      <c r="P1387" s="44">
        <f>P1342*Settings!$C$13*(P1306)</f>
        <v/>
      </c>
      <c r="Q1387" s="44">
        <f>Q1342*Settings!$C$13*(Q1306)</f>
        <v/>
      </c>
      <c r="R1387" s="44">
        <f>R1342*Settings!$C$13*(R1306)</f>
        <v/>
      </c>
      <c r="S1387" s="44">
        <f>S1342*Settings!$C$13*(S1306)</f>
        <v/>
      </c>
      <c r="T1387" s="44">
        <f>T1342*Settings!$C$13*(T1306)</f>
        <v/>
      </c>
      <c r="U1387" s="44">
        <f>U1342*Settings!$C$13*(U1306)</f>
        <v/>
      </c>
      <c r="V1387" s="44">
        <f>V1342*Settings!$C$13*(V1306)</f>
        <v/>
      </c>
      <c r="W1387" s="44">
        <f>W1342*Settings!$C$13*(W1306)</f>
        <v/>
      </c>
      <c r="X1387" s="44">
        <f>X1342*Settings!$C$13*(X1306)</f>
        <v/>
      </c>
      <c r="Y1387" s="44">
        <f>Y1342*Settings!$C$13*(Y1306)</f>
        <v/>
      </c>
      <c r="Z1387" s="44">
        <f>Z1342*Settings!$C$13*(Z1306)</f>
        <v/>
      </c>
      <c r="AA1387" s="44">
        <f>AA1342*Settings!$C$13*(AA1306)</f>
        <v/>
      </c>
      <c r="AB1387" s="44">
        <f>AB1342*Settings!$C$13*(AB1306)</f>
        <v/>
      </c>
      <c r="AC1387" s="44">
        <f>AC1342*Settings!$C$13*(AC1306)</f>
        <v/>
      </c>
      <c r="AD1387" s="44">
        <f>AD1342*Settings!$C$13*(AD1306)</f>
        <v/>
      </c>
      <c r="AE1387" s="57">
        <f>REVENUE(AE1342,Settings!$C$13,AE1306)</f>
        <v/>
      </c>
      <c r="AG1387" s="11">
        <f>CodePrefix&amp;$A1387&amp;IF($C1387="","","."&amp;$C1387&amp;"."&amp;$B1387)&amp;INDEX(VarEnd,MATCH($A1387,VarKey,0))&amp;AG$5</f>
        <v/>
      </c>
      <c r="AH1387" s="43">
        <f>AH1342*Settings!$C$13*(AH1306)</f>
        <v/>
      </c>
      <c r="AI1387" s="44">
        <f>AI1342*Settings!$C$13*(AI1306)</f>
        <v/>
      </c>
      <c r="AJ1387" s="44">
        <f>AJ1342*Settings!$C$13*(AJ1306)</f>
        <v/>
      </c>
      <c r="AK1387" s="44">
        <f>AK1342*Settings!$C$13*(AK1306)</f>
        <v/>
      </c>
      <c r="AL1387" s="44">
        <f>AL1342*Settings!$C$13*(AL1306)</f>
        <v/>
      </c>
      <c r="AM1387" s="44">
        <f>AM1342*Settings!$C$13*(AM1306)</f>
        <v/>
      </c>
      <c r="AN1387" s="44">
        <f>AN1342*Settings!$C$13*(AN1306)</f>
        <v/>
      </c>
      <c r="AO1387" s="44">
        <f>AO1342*Settings!$C$13*(AO1306)</f>
        <v/>
      </c>
      <c r="AP1387" s="44">
        <f>AP1342*Settings!$C$13*(AP1306)</f>
        <v/>
      </c>
      <c r="AQ1387" s="44">
        <f>AQ1342*Settings!$C$13*(AQ1306)</f>
        <v/>
      </c>
      <c r="AR1387" s="44">
        <f>AR1342*Settings!$C$13*(AR1306)</f>
        <v/>
      </c>
      <c r="AS1387" s="44">
        <f>AS1342*Settings!$C$13*(AS1306)</f>
        <v/>
      </c>
      <c r="AT1387" s="44">
        <f>AT1342*Settings!$C$13*(AT1306)</f>
        <v/>
      </c>
      <c r="AU1387" s="44">
        <f>AU1342*Settings!$C$13*(AU1306)</f>
        <v/>
      </c>
      <c r="AV1387" s="44">
        <f>AV1342*Settings!$C$13*(AV1306)</f>
        <v/>
      </c>
      <c r="AW1387" s="44">
        <f>AW1342*Settings!$C$13*(AW1306)</f>
        <v/>
      </c>
      <c r="AX1387" s="44">
        <f>AX1342*Settings!$C$13*(AX1306)</f>
        <v/>
      </c>
      <c r="AY1387" s="44">
        <f>AY1342*Settings!$C$13*(AY1306)</f>
        <v/>
      </c>
      <c r="AZ1387" s="44">
        <f>AZ1342*Settings!$C$13*(AZ1306)</f>
        <v/>
      </c>
      <c r="BA1387" s="57">
        <f>REVENUE(BA1342,Settings!$C$13,BA1306)</f>
        <v/>
      </c>
    </row>
    <row r="1388" hidden="1" outlineLevel="2"/>
    <row r="1389" hidden="1" outlineLevel="1" collapsed="1">
      <c r="A1389" s="1" t="inlineStr">
        <is>
          <t>ener</t>
        </is>
      </c>
      <c r="B1389" s="1" t="inlineStr">
        <is>
          <t>all</t>
        </is>
      </c>
      <c r="C1389" s="1" t="inlineStr">
        <is>
          <t>nav</t>
        </is>
      </c>
      <c r="H1389" s="1">
        <f>INDEX(VarLab,MATCH($A1389,VarKey,0))&amp;INDEX(MemLab,MATCH($C1389&amp;"|"&amp;$B1389,MemKey,0))</f>
        <v/>
      </c>
      <c r="I1389" s="1">
        <f>INDEX(VarUnit,MATCH($A1389,VarKey,0))</f>
        <v/>
      </c>
      <c r="J1389" s="1">
        <f>INDEX(VarSrc,MATCH($A1389,VarKey,0))</f>
        <v/>
      </c>
      <c r="K1389" s="17">
        <f>CodePrefix&amp;$A1389&amp;IF($C1389="","","."&amp;$C1389&amp;"."&amp;$B1389)&amp;INDEX(VarEnd,MATCH($A1389,VarKey,0))&amp;K$5</f>
        <v/>
      </c>
      <c r="L1389" s="68">
        <f>SUM(L1463:L1470)</f>
        <v/>
      </c>
      <c r="M1389" s="69">
        <f>SUM(M1463:M1470)</f>
        <v/>
      </c>
      <c r="N1389" s="69">
        <f>SUM(N1463:N1470)</f>
        <v/>
      </c>
      <c r="O1389" s="69">
        <f>SUM(O1463:O1470)</f>
        <v/>
      </c>
      <c r="P1389" s="69">
        <f>SUM(P1463:P1470)</f>
        <v/>
      </c>
      <c r="Q1389" s="69">
        <f>SUM(Q1463:Q1470)</f>
        <v/>
      </c>
      <c r="R1389" s="69">
        <f>SUM(R1463:R1470)</f>
        <v/>
      </c>
      <c r="S1389" s="69">
        <f>SUM(S1463:S1470)</f>
        <v/>
      </c>
      <c r="T1389" s="69">
        <f>SUM(T1463:T1470)</f>
        <v/>
      </c>
      <c r="U1389" s="69">
        <f>SUM(U1463:U1470)</f>
        <v/>
      </c>
      <c r="V1389" s="69">
        <f>SUM(V1463:V1470)</f>
        <v/>
      </c>
      <c r="W1389" s="69">
        <f>SUM(W1463:W1470)</f>
        <v/>
      </c>
      <c r="X1389" s="69">
        <f>SUM(X1463:X1470)</f>
        <v/>
      </c>
      <c r="Y1389" s="69">
        <f>SUM(Y1463:Y1470)</f>
        <v/>
      </c>
      <c r="Z1389" s="69">
        <f>SUM(Z1463:Z1470)</f>
        <v/>
      </c>
      <c r="AA1389" s="69">
        <f>SUM(AA1463:AA1470)</f>
        <v/>
      </c>
      <c r="AB1389" s="69">
        <f>SUM(AB1463:AB1470)</f>
        <v/>
      </c>
      <c r="AC1389" s="69">
        <f>SUM(AC1463:AC1470)</f>
        <v/>
      </c>
      <c r="AD1389" s="69">
        <f>SUM(AD1463:AD1470)</f>
        <v/>
      </c>
      <c r="AE1389" s="69">
        <f>SUM(AE1463:AE1470)</f>
        <v/>
      </c>
      <c r="AG1389" s="17">
        <f>CodePrefix&amp;$A1389&amp;IF($C1389="","","."&amp;$C1389&amp;"."&amp;$B1389)&amp;INDEX(VarEnd,MATCH($A1389,VarKey,0))&amp;AG$5</f>
        <v/>
      </c>
      <c r="AH1389" s="68">
        <f>SUM(AH1463:AH1470)</f>
        <v/>
      </c>
      <c r="AI1389" s="69">
        <f>SUM(AI1463:AI1470)</f>
        <v/>
      </c>
      <c r="AJ1389" s="69">
        <f>SUM(AJ1463:AJ1470)</f>
        <v/>
      </c>
      <c r="AK1389" s="69">
        <f>SUM(AK1463:AK1470)</f>
        <v/>
      </c>
      <c r="AL1389" s="69">
        <f>SUM(AL1463:AL1470)</f>
        <v/>
      </c>
      <c r="AM1389" s="69">
        <f>SUM(AM1463:AM1470)</f>
        <v/>
      </c>
      <c r="AN1389" s="69">
        <f>SUM(AN1463:AN1470)</f>
        <v/>
      </c>
      <c r="AO1389" s="69">
        <f>SUM(AO1463:AO1470)</f>
        <v/>
      </c>
      <c r="AP1389" s="69">
        <f>SUM(AP1463:AP1470)</f>
        <v/>
      </c>
      <c r="AQ1389" s="69">
        <f>SUM(AQ1463:AQ1470)</f>
        <v/>
      </c>
      <c r="AR1389" s="69">
        <f>SUM(AR1463:AR1470)</f>
        <v/>
      </c>
      <c r="AS1389" s="69">
        <f>SUM(AS1463:AS1470)</f>
        <v/>
      </c>
      <c r="AT1389" s="69">
        <f>SUM(AT1463:AT1470)</f>
        <v/>
      </c>
      <c r="AU1389" s="69">
        <f>SUM(AU1463:AU1470)</f>
        <v/>
      </c>
      <c r="AV1389" s="69">
        <f>SUM(AV1463:AV1470)</f>
        <v/>
      </c>
      <c r="AW1389" s="69">
        <f>SUM(AW1463:AW1470)</f>
        <v/>
      </c>
      <c r="AX1389" s="69">
        <f>SUM(AX1463:AX1470)</f>
        <v/>
      </c>
      <c r="AY1389" s="69">
        <f>SUM(AY1463:AY1470)</f>
        <v/>
      </c>
      <c r="AZ1389" s="69">
        <f>SUM(AZ1463:AZ1470)</f>
        <v/>
      </c>
      <c r="BA1389" s="69">
        <f>SUM(BA1463:BA1470)</f>
        <v/>
      </c>
    </row>
    <row r="1390" hidden="1" outlineLevel="1">
      <c r="A1390" s="67" t="inlineStr">
        <is>
          <t>eldem</t>
        </is>
      </c>
      <c r="B1390" s="67" t="inlineStr">
        <is>
          <t>ecy</t>
        </is>
      </c>
      <c r="C1390" s="67" t="inlineStr">
        <is>
          <t>nav</t>
        </is>
      </c>
      <c r="H1390" s="67">
        <f>INDEX(VarLab,MATCH($A1390,VarKey,0))&amp;INDEX(MemLab,MATCH($C1390&amp;"|"&amp;$B1390,MemKey,0))</f>
        <v/>
      </c>
      <c r="I1390" s="67">
        <f>INDEX(VarUnit,MATCH($A1390,VarKey,0))</f>
        <v/>
      </c>
      <c r="J1390" s="67">
        <f>INDEX(VarSrc,MATCH($A1390,VarKey,0))</f>
        <v/>
      </c>
      <c r="K1390" s="70">
        <f>CodePrefix&amp;$A1390&amp;IF($C1390="","","."&amp;$C1390&amp;"."&amp;$B1390)&amp;INDEX(VarEnd,MATCH($A1390,VarKey,0))&amp;K$5</f>
        <v/>
      </c>
      <c r="L1390" s="71">
        <f>SUMIF($C$674:$C$688,$C1390,L$674:L$688)</f>
        <v/>
      </c>
      <c r="M1390" s="72">
        <f>SUMIF($C$674:$C$688,$C1390,M$674:M$688)</f>
        <v/>
      </c>
      <c r="N1390" s="72">
        <f>SUMIF($C$674:$C$688,$C1390,N$674:N$688)</f>
        <v/>
      </c>
      <c r="O1390" s="72">
        <f>SUMIF($C$674:$C$688,$C1390,O$674:O$688)</f>
        <v/>
      </c>
      <c r="P1390" s="72">
        <f>SUMIF($C$674:$C$688,$C1390,P$674:P$688)</f>
        <v/>
      </c>
      <c r="Q1390" s="72">
        <f>SUMIF($C$674:$C$688,$C1390,Q$674:Q$688)</f>
        <v/>
      </c>
      <c r="R1390" s="72">
        <f>SUMIF($C$674:$C$688,$C1390,R$674:R$688)</f>
        <v/>
      </c>
      <c r="S1390" s="72">
        <f>SUMIF($C$674:$C$688,$C1390,S$674:S$688)</f>
        <v/>
      </c>
      <c r="T1390" s="72">
        <f>SUMIF($C$674:$C$688,$C1390,T$674:T$688)</f>
        <v/>
      </c>
      <c r="U1390" s="72">
        <f>SUMIF($C$674:$C$688,$C1390,U$674:U$688)</f>
        <v/>
      </c>
      <c r="V1390" s="72">
        <f>SUMIF($C$674:$C$688,$C1390,V$674:V$688)</f>
        <v/>
      </c>
      <c r="W1390" s="72">
        <f>SUMIF($C$674:$C$688,$C1390,W$674:W$688)</f>
        <v/>
      </c>
      <c r="X1390" s="72">
        <f>SUMIF($C$674:$C$688,$C1390,X$674:X$688)</f>
        <v/>
      </c>
      <c r="Y1390" s="72">
        <f>SUMIF($C$674:$C$688,$C1390,Y$674:Y$688)</f>
        <v/>
      </c>
      <c r="Z1390" s="72">
        <f>SUMIF($C$674:$C$688,$C1390,Z$674:Z$688)</f>
        <v/>
      </c>
      <c r="AA1390" s="72">
        <f>SUMIF($C$674:$C$688,$C1390,AA$674:AA$688)</f>
        <v/>
      </c>
      <c r="AB1390" s="72">
        <f>SUMIF($C$674:$C$688,$C1390,AB$674:AB$688)</f>
        <v/>
      </c>
      <c r="AC1390" s="72">
        <f>SUMIF($C$674:$C$688,$C1390,AC$674:AC$688)</f>
        <v/>
      </c>
      <c r="AD1390" s="72">
        <f>SUMIF($C$674:$C$688,$C1390,AD$674:AD$688)</f>
        <v/>
      </c>
      <c r="AE1390" s="72">
        <f>SUMIF($C$674:$C$688,$C1390,AE$674:AE$688)</f>
        <v/>
      </c>
      <c r="AG1390" s="70">
        <f>CodePrefix&amp;$A1390&amp;IF($C1390="","","."&amp;$C1390&amp;"."&amp;$B1390)&amp;INDEX(VarEnd,MATCH($A1390,VarKey,0))&amp;AG$5</f>
        <v/>
      </c>
      <c r="AH1390" s="71">
        <f>SUMIF($C$674:$C$688,$C1390,AH$674:AH$688)</f>
        <v/>
      </c>
      <c r="AI1390" s="72">
        <f>SUMIF($C$674:$C$688,$C1390,AI$674:AI$688)</f>
        <v/>
      </c>
      <c r="AJ1390" s="72">
        <f>SUMIF($C$674:$C$688,$C1390,AJ$674:AJ$688)</f>
        <v/>
      </c>
      <c r="AK1390" s="72">
        <f>SUMIF($C$674:$C$688,$C1390,AK$674:AK$688)</f>
        <v/>
      </c>
      <c r="AL1390" s="72">
        <f>SUMIF($C$674:$C$688,$C1390,AL$674:AL$688)</f>
        <v/>
      </c>
      <c r="AM1390" s="72">
        <f>SUMIF($C$674:$C$688,$C1390,AM$674:AM$688)</f>
        <v/>
      </c>
      <c r="AN1390" s="72">
        <f>SUMIF($C$674:$C$688,$C1390,AN$674:AN$688)</f>
        <v/>
      </c>
      <c r="AO1390" s="72">
        <f>SUMIF($C$674:$C$688,$C1390,AO$674:AO$688)</f>
        <v/>
      </c>
      <c r="AP1390" s="72">
        <f>SUMIF($C$674:$C$688,$C1390,AP$674:AP$688)</f>
        <v/>
      </c>
      <c r="AQ1390" s="72">
        <f>SUMIF($C$674:$C$688,$C1390,AQ$674:AQ$688)</f>
        <v/>
      </c>
      <c r="AR1390" s="72">
        <f>SUMIF($C$674:$C$688,$C1390,AR$674:AR$688)</f>
        <v/>
      </c>
      <c r="AS1390" s="72">
        <f>SUMIF($C$674:$C$688,$C1390,AS$674:AS$688)</f>
        <v/>
      </c>
      <c r="AT1390" s="72">
        <f>SUMIF($C$674:$C$688,$C1390,AT$674:AT$688)</f>
        <v/>
      </c>
      <c r="AU1390" s="72">
        <f>SUMIF($C$674:$C$688,$C1390,AU$674:AU$688)</f>
        <v/>
      </c>
      <c r="AV1390" s="72">
        <f>SUMIF($C$674:$C$688,$C1390,AV$674:AV$688)</f>
        <v/>
      </c>
      <c r="AW1390" s="72">
        <f>SUMIF($C$674:$C$688,$C1390,AW$674:AW$688)</f>
        <v/>
      </c>
      <c r="AX1390" s="72">
        <f>SUMIF($C$674:$C$688,$C1390,AX$674:AX$688)</f>
        <v/>
      </c>
      <c r="AY1390" s="72">
        <f>SUMIF($C$674:$C$688,$C1390,AY$674:AY$688)</f>
        <v/>
      </c>
      <c r="AZ1390" s="72">
        <f>SUMIF($C$674:$C$688,$C1390,AZ$674:AZ$688)</f>
        <v/>
      </c>
      <c r="BA1390" s="72">
        <f>SUMIF($C$674:$C$688,$C1390,BA$674:BA$688)</f>
        <v/>
      </c>
    </row>
    <row r="1391" hidden="1" outlineLevel="2">
      <c r="A1391" s="14" t="inlineStr">
        <is>
          <t>ctxnew</t>
        </is>
      </c>
      <c r="B1391" s="14" t="inlineStr">
        <is>
          <t>coa</t>
        </is>
      </c>
      <c r="C1391" s="14" t="inlineStr">
        <is>
          <t>nav</t>
        </is>
      </c>
      <c r="D1391" s="35">
        <f>INDEX(Inputs!$W$5:$W$132,MATCH($B1391&amp;"|"&amp;$C1391,Inputs!$A$5:$A$132,0))</f>
        <v/>
      </c>
      <c r="E1391" s="35">
        <f>INDEX(Inputs!$L$5:$L$132,MATCH($B1391&amp;"|"&amp;$C1391,Inputs!$A$5:$A$132,0))</f>
        <v/>
      </c>
      <c r="F1391" s="35">
        <f>INDEX(Inputs!$M$5:$M$132,MATCH($B1391&amp;"|"&amp;$C1391,Inputs!$A$5:$A$132,0))</f>
        <v/>
      </c>
      <c r="G1391" s="39" t="n"/>
      <c r="H1391" s="14">
        <f>INDEX(VarLab,MATCH($A1391,VarKey,0))&amp;INDEX(MemLab,MATCH($C1391&amp;"|"&amp;$B1391,MemKey,0))</f>
        <v/>
      </c>
      <c r="I1391" s="14">
        <f>INDEX(VarUnit,MATCH($A1391,VarKey,0))</f>
        <v/>
      </c>
      <c r="J1391" s="14">
        <f>INDEX(VarSrc,MATCH($A1391,VarKey,0))</f>
        <v/>
      </c>
      <c r="K1391" s="11">
        <f>CodePrefix&amp;$A1391&amp;IF($C1391="","","."&amp;$C1391&amp;"."&amp;$B1391)&amp;INDEX(VarEnd,MATCH($A1391,VarKey,0))&amp;K$5</f>
        <v/>
      </c>
      <c r="L1391" s="40">
        <f>INDEX(L$263:L$279,$F1391)*$D1391*INDEX(L$23:L$30,$E1391)</f>
        <v/>
      </c>
      <c r="M1391" s="35">
        <f>INDEX(M$263:M$279,$F1391)*$D1391*INDEX(M$23:M$30,$E1391)</f>
        <v/>
      </c>
      <c r="N1391" s="35">
        <f>INDEX(N$263:N$279,$F1391)*$D1391*INDEX(N$23:N$30,$E1391)</f>
        <v/>
      </c>
      <c r="O1391" s="35">
        <f>INDEX(O$263:O$279,$F1391)*$D1391*INDEX(O$23:O$30,$E1391)</f>
        <v/>
      </c>
      <c r="P1391" s="35">
        <f>INDEX(P$263:P$279,$F1391)*$D1391*INDEX(P$23:P$30,$E1391)</f>
        <v/>
      </c>
      <c r="Q1391" s="35">
        <f>INDEX(Q$263:Q$279,$F1391)*$D1391*INDEX(Q$23:Q$30,$E1391)</f>
        <v/>
      </c>
      <c r="R1391" s="35">
        <f>INDEX(R$263:R$279,$F1391)*$D1391*INDEX(R$23:R$30,$E1391)</f>
        <v/>
      </c>
      <c r="S1391" s="35">
        <f>INDEX(S$263:S$279,$F1391)*$D1391*INDEX(S$23:S$30,$E1391)</f>
        <v/>
      </c>
      <c r="T1391" s="35">
        <f>INDEX(T$263:T$279,$F1391)*$D1391*INDEX(T$23:T$30,$E1391)</f>
        <v/>
      </c>
      <c r="U1391" s="35">
        <f>INDEX(U$263:U$279,$F1391)*$D1391*INDEX(U$23:U$30,$E1391)</f>
        <v/>
      </c>
      <c r="V1391" s="35">
        <f>INDEX(V$263:V$279,$F1391)*$D1391*INDEX(V$23:V$30,$E1391)</f>
        <v/>
      </c>
      <c r="W1391" s="35">
        <f>INDEX(W$263:W$279,$F1391)*$D1391*INDEX(W$23:W$30,$E1391)</f>
        <v/>
      </c>
      <c r="X1391" s="35">
        <f>INDEX(X$263:X$279,$F1391)*$D1391*INDEX(X$23:X$30,$E1391)</f>
        <v/>
      </c>
      <c r="Y1391" s="35">
        <f>INDEX(Y$263:Y$279,$F1391)*$D1391*INDEX(Y$23:Y$30,$E1391)</f>
        <v/>
      </c>
      <c r="Z1391" s="35">
        <f>INDEX(Z$263:Z$279,$F1391)*$D1391*INDEX(Z$23:Z$30,$E1391)</f>
        <v/>
      </c>
      <c r="AA1391" s="35">
        <f>INDEX(AA$263:AA$279,$F1391)*$D1391*INDEX(AA$23:AA$30,$E1391)</f>
        <v/>
      </c>
      <c r="AB1391" s="35">
        <f>INDEX(AB$263:AB$279,$F1391)*$D1391*INDEX(AB$23:AB$30,$E1391)</f>
        <v/>
      </c>
      <c r="AC1391" s="35">
        <f>INDEX(AC$263:AC$279,$F1391)*$D1391*INDEX(AC$23:AC$30,$E1391)</f>
        <v/>
      </c>
      <c r="AD1391" s="35">
        <f>INDEX(AD$263:AD$279,$F1391)*$D1391*INDEX(AD$23:AD$30,$E1391)</f>
        <v/>
      </c>
      <c r="AE1391" s="42">
        <f>CARBONTAX(INDEX(AE$263:AE$279,$F1391),$D1391,INDEX(AE$23:AE$30,$E1391))</f>
        <v/>
      </c>
      <c r="AG1391" s="11">
        <f>CodePrefix&amp;$A1391&amp;IF($C1391="","","."&amp;$C1391&amp;"."&amp;$B1391)&amp;INDEX(VarEnd,MATCH($A1391,VarKey,0))&amp;AG$5</f>
        <v/>
      </c>
      <c r="AH1391" s="40">
        <f>INDEX(AH$263:AH$279,$F1391)*$D1391*INDEX(AH$23:AH$30,$E1391)</f>
        <v/>
      </c>
      <c r="AI1391" s="35">
        <f>INDEX(AI$263:AI$279,$F1391)*$D1391*INDEX(AI$23:AI$30,$E1391)</f>
        <v/>
      </c>
      <c r="AJ1391" s="35">
        <f>INDEX(AJ$263:AJ$279,$F1391)*$D1391*INDEX(AJ$23:AJ$30,$E1391)</f>
        <v/>
      </c>
      <c r="AK1391" s="35">
        <f>INDEX(AK$263:AK$279,$F1391)*$D1391*INDEX(AK$23:AK$30,$E1391)</f>
        <v/>
      </c>
      <c r="AL1391" s="35">
        <f>INDEX(AL$263:AL$279,$F1391)*$D1391*INDEX(AL$23:AL$30,$E1391)</f>
        <v/>
      </c>
      <c r="AM1391" s="35">
        <f>INDEX(AM$263:AM$279,$F1391)*$D1391*INDEX(AM$23:AM$30,$E1391)</f>
        <v/>
      </c>
      <c r="AN1391" s="35">
        <f>INDEX(AN$263:AN$279,$F1391)*$D1391*INDEX(AN$23:AN$30,$E1391)</f>
        <v/>
      </c>
      <c r="AO1391" s="35">
        <f>INDEX(AO$263:AO$279,$F1391)*$D1391*INDEX(AO$23:AO$30,$E1391)</f>
        <v/>
      </c>
      <c r="AP1391" s="35">
        <f>INDEX(AP$263:AP$279,$F1391)*$D1391*INDEX(AP$23:AP$30,$E1391)</f>
        <v/>
      </c>
      <c r="AQ1391" s="35">
        <f>INDEX(AQ$263:AQ$279,$F1391)*$D1391*INDEX(AQ$23:AQ$30,$E1391)</f>
        <v/>
      </c>
      <c r="AR1391" s="35">
        <f>INDEX(AR$263:AR$279,$F1391)*$D1391*INDEX(AR$23:AR$30,$E1391)</f>
        <v/>
      </c>
      <c r="AS1391" s="35">
        <f>INDEX(AS$263:AS$279,$F1391)*$D1391*INDEX(AS$23:AS$30,$E1391)</f>
        <v/>
      </c>
      <c r="AT1391" s="35">
        <f>INDEX(AT$263:AT$279,$F1391)*$D1391*INDEX(AT$23:AT$30,$E1391)</f>
        <v/>
      </c>
      <c r="AU1391" s="35">
        <f>INDEX(AU$263:AU$279,$F1391)*$D1391*INDEX(AU$23:AU$30,$E1391)</f>
        <v/>
      </c>
      <c r="AV1391" s="35">
        <f>INDEX(AV$263:AV$279,$F1391)*$D1391*INDEX(AV$23:AV$30,$E1391)</f>
        <v/>
      </c>
      <c r="AW1391" s="35">
        <f>INDEX(AW$263:AW$279,$F1391)*$D1391*INDEX(AW$23:AW$30,$E1391)</f>
        <v/>
      </c>
      <c r="AX1391" s="35">
        <f>INDEX(AX$263:AX$279,$F1391)*$D1391*INDEX(AX$23:AX$30,$E1391)</f>
        <v/>
      </c>
      <c r="AY1391" s="35">
        <f>INDEX(AY$263:AY$279,$F1391)*$D1391*INDEX(AY$23:AY$30,$E1391)</f>
        <v/>
      </c>
      <c r="AZ1391" s="35">
        <f>INDEX(AZ$263:AZ$279,$F1391)*$D1391*INDEX(AZ$23:AZ$30,$E1391)</f>
        <v/>
      </c>
      <c r="BA1391" s="42">
        <f>CARBONTAX(INDEX(BA$263:BA$279,$F1391),$D1391,INDEX(BA$23:BA$30,$E1391))</f>
        <v/>
      </c>
    </row>
    <row r="1392" hidden="1" outlineLevel="2">
      <c r="A1392" s="14" t="inlineStr">
        <is>
          <t>ctxnew</t>
        </is>
      </c>
      <c r="B1392" s="14" t="inlineStr">
        <is>
          <t>nga</t>
        </is>
      </c>
      <c r="C1392" s="14" t="inlineStr">
        <is>
          <t>nav</t>
        </is>
      </c>
      <c r="D1392" s="35">
        <f>INDEX(Inputs!$W$5:$W$132,MATCH($B1392&amp;"|"&amp;$C1392,Inputs!$A$5:$A$132,0))</f>
        <v/>
      </c>
      <c r="E1392" s="35">
        <f>INDEX(Inputs!$L$5:$L$132,MATCH($B1392&amp;"|"&amp;$C1392,Inputs!$A$5:$A$132,0))</f>
        <v/>
      </c>
      <c r="F1392" s="35">
        <f>INDEX(Inputs!$M$5:$M$132,MATCH($B1392&amp;"|"&amp;$C1392,Inputs!$A$5:$A$132,0))</f>
        <v/>
      </c>
      <c r="G1392" s="39" t="n"/>
      <c r="H1392" s="14">
        <f>INDEX(VarLab,MATCH($A1392,VarKey,0))&amp;INDEX(MemLab,MATCH($C1392&amp;"|"&amp;$B1392,MemKey,0))</f>
        <v/>
      </c>
      <c r="I1392" s="14">
        <f>INDEX(VarUnit,MATCH($A1392,VarKey,0))</f>
        <v/>
      </c>
      <c r="J1392" s="14">
        <f>INDEX(VarSrc,MATCH($A1392,VarKey,0))</f>
        <v/>
      </c>
      <c r="K1392" s="11">
        <f>CodePrefix&amp;$A1392&amp;IF($C1392="","","."&amp;$C1392&amp;"."&amp;$B1392)&amp;INDEX(VarEnd,MATCH($A1392,VarKey,0))&amp;K$5</f>
        <v/>
      </c>
      <c r="L1392" s="40">
        <f>INDEX(L$263:L$279,$F1392)*$D1392*INDEX(L$23:L$30,$E1392)</f>
        <v/>
      </c>
      <c r="M1392" s="35">
        <f>INDEX(M$263:M$279,$F1392)*$D1392*INDEX(M$23:M$30,$E1392)</f>
        <v/>
      </c>
      <c r="N1392" s="35">
        <f>INDEX(N$263:N$279,$F1392)*$D1392*INDEX(N$23:N$30,$E1392)</f>
        <v/>
      </c>
      <c r="O1392" s="35">
        <f>INDEX(O$263:O$279,$F1392)*$D1392*INDEX(O$23:O$30,$E1392)</f>
        <v/>
      </c>
      <c r="P1392" s="35">
        <f>INDEX(P$263:P$279,$F1392)*$D1392*INDEX(P$23:P$30,$E1392)</f>
        <v/>
      </c>
      <c r="Q1392" s="35">
        <f>INDEX(Q$263:Q$279,$F1392)*$D1392*INDEX(Q$23:Q$30,$E1392)</f>
        <v/>
      </c>
      <c r="R1392" s="35">
        <f>INDEX(R$263:R$279,$F1392)*$D1392*INDEX(R$23:R$30,$E1392)</f>
        <v/>
      </c>
      <c r="S1392" s="35">
        <f>INDEX(S$263:S$279,$F1392)*$D1392*INDEX(S$23:S$30,$E1392)</f>
        <v/>
      </c>
      <c r="T1392" s="35">
        <f>INDEX(T$263:T$279,$F1392)*$D1392*INDEX(T$23:T$30,$E1392)</f>
        <v/>
      </c>
      <c r="U1392" s="35">
        <f>INDEX(U$263:U$279,$F1392)*$D1392*INDEX(U$23:U$30,$E1392)</f>
        <v/>
      </c>
      <c r="V1392" s="35">
        <f>INDEX(V$263:V$279,$F1392)*$D1392*INDEX(V$23:V$30,$E1392)</f>
        <v/>
      </c>
      <c r="W1392" s="35">
        <f>INDEX(W$263:W$279,$F1392)*$D1392*INDEX(W$23:W$30,$E1392)</f>
        <v/>
      </c>
      <c r="X1392" s="35">
        <f>INDEX(X$263:X$279,$F1392)*$D1392*INDEX(X$23:X$30,$E1392)</f>
        <v/>
      </c>
      <c r="Y1392" s="35">
        <f>INDEX(Y$263:Y$279,$F1392)*$D1392*INDEX(Y$23:Y$30,$E1392)</f>
        <v/>
      </c>
      <c r="Z1392" s="35">
        <f>INDEX(Z$263:Z$279,$F1392)*$D1392*INDEX(Z$23:Z$30,$E1392)</f>
        <v/>
      </c>
      <c r="AA1392" s="35">
        <f>INDEX(AA$263:AA$279,$F1392)*$D1392*INDEX(AA$23:AA$30,$E1392)</f>
        <v/>
      </c>
      <c r="AB1392" s="35">
        <f>INDEX(AB$263:AB$279,$F1392)*$D1392*INDEX(AB$23:AB$30,$E1392)</f>
        <v/>
      </c>
      <c r="AC1392" s="35">
        <f>INDEX(AC$263:AC$279,$F1392)*$D1392*INDEX(AC$23:AC$30,$E1392)</f>
        <v/>
      </c>
      <c r="AD1392" s="35">
        <f>INDEX(AD$263:AD$279,$F1392)*$D1392*INDEX(AD$23:AD$30,$E1392)</f>
        <v/>
      </c>
      <c r="AE1392" s="42">
        <f>CARBONTAX(INDEX(AE$263:AE$279,$F1392),$D1392,INDEX(AE$23:AE$30,$E1392))</f>
        <v/>
      </c>
      <c r="AG1392" s="11">
        <f>CodePrefix&amp;$A1392&amp;IF($C1392="","","."&amp;$C1392&amp;"."&amp;$B1392)&amp;INDEX(VarEnd,MATCH($A1392,VarKey,0))&amp;AG$5</f>
        <v/>
      </c>
      <c r="AH1392" s="40">
        <f>INDEX(AH$263:AH$279,$F1392)*$D1392*INDEX(AH$23:AH$30,$E1392)</f>
        <v/>
      </c>
      <c r="AI1392" s="35">
        <f>INDEX(AI$263:AI$279,$F1392)*$D1392*INDEX(AI$23:AI$30,$E1392)</f>
        <v/>
      </c>
      <c r="AJ1392" s="35">
        <f>INDEX(AJ$263:AJ$279,$F1392)*$D1392*INDEX(AJ$23:AJ$30,$E1392)</f>
        <v/>
      </c>
      <c r="AK1392" s="35">
        <f>INDEX(AK$263:AK$279,$F1392)*$D1392*INDEX(AK$23:AK$30,$E1392)</f>
        <v/>
      </c>
      <c r="AL1392" s="35">
        <f>INDEX(AL$263:AL$279,$F1392)*$D1392*INDEX(AL$23:AL$30,$E1392)</f>
        <v/>
      </c>
      <c r="AM1392" s="35">
        <f>INDEX(AM$263:AM$279,$F1392)*$D1392*INDEX(AM$23:AM$30,$E1392)</f>
        <v/>
      </c>
      <c r="AN1392" s="35">
        <f>INDEX(AN$263:AN$279,$F1392)*$D1392*INDEX(AN$23:AN$30,$E1392)</f>
        <v/>
      </c>
      <c r="AO1392" s="35">
        <f>INDEX(AO$263:AO$279,$F1392)*$D1392*INDEX(AO$23:AO$30,$E1392)</f>
        <v/>
      </c>
      <c r="AP1392" s="35">
        <f>INDEX(AP$263:AP$279,$F1392)*$D1392*INDEX(AP$23:AP$30,$E1392)</f>
        <v/>
      </c>
      <c r="AQ1392" s="35">
        <f>INDEX(AQ$263:AQ$279,$F1392)*$D1392*INDEX(AQ$23:AQ$30,$E1392)</f>
        <v/>
      </c>
      <c r="AR1392" s="35">
        <f>INDEX(AR$263:AR$279,$F1392)*$D1392*INDEX(AR$23:AR$30,$E1392)</f>
        <v/>
      </c>
      <c r="AS1392" s="35">
        <f>INDEX(AS$263:AS$279,$F1392)*$D1392*INDEX(AS$23:AS$30,$E1392)</f>
        <v/>
      </c>
      <c r="AT1392" s="35">
        <f>INDEX(AT$263:AT$279,$F1392)*$D1392*INDEX(AT$23:AT$30,$E1392)</f>
        <v/>
      </c>
      <c r="AU1392" s="35">
        <f>INDEX(AU$263:AU$279,$F1392)*$D1392*INDEX(AU$23:AU$30,$E1392)</f>
        <v/>
      </c>
      <c r="AV1392" s="35">
        <f>INDEX(AV$263:AV$279,$F1392)*$D1392*INDEX(AV$23:AV$30,$E1392)</f>
        <v/>
      </c>
      <c r="AW1392" s="35">
        <f>INDEX(AW$263:AW$279,$F1392)*$D1392*INDEX(AW$23:AW$30,$E1392)</f>
        <v/>
      </c>
      <c r="AX1392" s="35">
        <f>INDEX(AX$263:AX$279,$F1392)*$D1392*INDEX(AX$23:AX$30,$E1392)</f>
        <v/>
      </c>
      <c r="AY1392" s="35">
        <f>INDEX(AY$263:AY$279,$F1392)*$D1392*INDEX(AY$23:AY$30,$E1392)</f>
        <v/>
      </c>
      <c r="AZ1392" s="35">
        <f>INDEX(AZ$263:AZ$279,$F1392)*$D1392*INDEX(AZ$23:AZ$30,$E1392)</f>
        <v/>
      </c>
      <c r="BA1392" s="42">
        <f>CARBONTAX(INDEX(BA$263:BA$279,$F1392),$D1392,INDEX(BA$23:BA$30,$E1392))</f>
        <v/>
      </c>
    </row>
    <row r="1393" hidden="1" outlineLevel="2">
      <c r="A1393" s="14" t="inlineStr">
        <is>
          <t>ctxnew</t>
        </is>
      </c>
      <c r="B1393" s="14" t="inlineStr">
        <is>
          <t>gso</t>
        </is>
      </c>
      <c r="C1393" s="14" t="inlineStr">
        <is>
          <t>nav</t>
        </is>
      </c>
      <c r="D1393" s="35">
        <f>INDEX(Inputs!$W$5:$W$132,MATCH($B1393&amp;"|"&amp;$C1393,Inputs!$A$5:$A$132,0))</f>
        <v/>
      </c>
      <c r="E1393" s="35">
        <f>INDEX(Inputs!$L$5:$L$132,MATCH($B1393&amp;"|"&amp;$C1393,Inputs!$A$5:$A$132,0))</f>
        <v/>
      </c>
      <c r="F1393" s="35">
        <f>INDEX(Inputs!$M$5:$M$132,MATCH($B1393&amp;"|"&amp;$C1393,Inputs!$A$5:$A$132,0))</f>
        <v/>
      </c>
      <c r="G1393" s="39" t="n"/>
      <c r="H1393" s="14">
        <f>INDEX(VarLab,MATCH($A1393,VarKey,0))&amp;INDEX(MemLab,MATCH($C1393&amp;"|"&amp;$B1393,MemKey,0))</f>
        <v/>
      </c>
      <c r="I1393" s="14">
        <f>INDEX(VarUnit,MATCH($A1393,VarKey,0))</f>
        <v/>
      </c>
      <c r="J1393" s="14">
        <f>INDEX(VarSrc,MATCH($A1393,VarKey,0))</f>
        <v/>
      </c>
      <c r="K1393" s="11">
        <f>CodePrefix&amp;$A1393&amp;IF($C1393="","","."&amp;$C1393&amp;"."&amp;$B1393)&amp;INDEX(VarEnd,MATCH($A1393,VarKey,0))&amp;K$5</f>
        <v/>
      </c>
      <c r="L1393" s="40">
        <f>INDEX(L$263:L$279,$F1393)*$D1393*INDEX(L$23:L$30,$E1393)</f>
        <v/>
      </c>
      <c r="M1393" s="35">
        <f>INDEX(M$263:M$279,$F1393)*$D1393*INDEX(M$23:M$30,$E1393)</f>
        <v/>
      </c>
      <c r="N1393" s="35">
        <f>INDEX(N$263:N$279,$F1393)*$D1393*INDEX(N$23:N$30,$E1393)</f>
        <v/>
      </c>
      <c r="O1393" s="35">
        <f>INDEX(O$263:O$279,$F1393)*$D1393*INDEX(O$23:O$30,$E1393)</f>
        <v/>
      </c>
      <c r="P1393" s="35">
        <f>INDEX(P$263:P$279,$F1393)*$D1393*INDEX(P$23:P$30,$E1393)</f>
        <v/>
      </c>
      <c r="Q1393" s="35">
        <f>INDEX(Q$263:Q$279,$F1393)*$D1393*INDEX(Q$23:Q$30,$E1393)</f>
        <v/>
      </c>
      <c r="R1393" s="35">
        <f>INDEX(R$263:R$279,$F1393)*$D1393*INDEX(R$23:R$30,$E1393)</f>
        <v/>
      </c>
      <c r="S1393" s="35">
        <f>INDEX(S$263:S$279,$F1393)*$D1393*INDEX(S$23:S$30,$E1393)</f>
        <v/>
      </c>
      <c r="T1393" s="35">
        <f>INDEX(T$263:T$279,$F1393)*$D1393*INDEX(T$23:T$30,$E1393)</f>
        <v/>
      </c>
      <c r="U1393" s="35">
        <f>INDEX(U$263:U$279,$F1393)*$D1393*INDEX(U$23:U$30,$E1393)</f>
        <v/>
      </c>
      <c r="V1393" s="35">
        <f>INDEX(V$263:V$279,$F1393)*$D1393*INDEX(V$23:V$30,$E1393)</f>
        <v/>
      </c>
      <c r="W1393" s="35">
        <f>INDEX(W$263:W$279,$F1393)*$D1393*INDEX(W$23:W$30,$E1393)</f>
        <v/>
      </c>
      <c r="X1393" s="35">
        <f>INDEX(X$263:X$279,$F1393)*$D1393*INDEX(X$23:X$30,$E1393)</f>
        <v/>
      </c>
      <c r="Y1393" s="35">
        <f>INDEX(Y$263:Y$279,$F1393)*$D1393*INDEX(Y$23:Y$30,$E1393)</f>
        <v/>
      </c>
      <c r="Z1393" s="35">
        <f>INDEX(Z$263:Z$279,$F1393)*$D1393*INDEX(Z$23:Z$30,$E1393)</f>
        <v/>
      </c>
      <c r="AA1393" s="35">
        <f>INDEX(AA$263:AA$279,$F1393)*$D1393*INDEX(AA$23:AA$30,$E1393)</f>
        <v/>
      </c>
      <c r="AB1393" s="35">
        <f>INDEX(AB$263:AB$279,$F1393)*$D1393*INDEX(AB$23:AB$30,$E1393)</f>
        <v/>
      </c>
      <c r="AC1393" s="35">
        <f>INDEX(AC$263:AC$279,$F1393)*$D1393*INDEX(AC$23:AC$30,$E1393)</f>
        <v/>
      </c>
      <c r="AD1393" s="35">
        <f>INDEX(AD$263:AD$279,$F1393)*$D1393*INDEX(AD$23:AD$30,$E1393)</f>
        <v/>
      </c>
      <c r="AE1393" s="42">
        <f>CARBONTAX(INDEX(AE$263:AE$279,$F1393),$D1393,INDEX(AE$23:AE$30,$E1393))</f>
        <v/>
      </c>
      <c r="AG1393" s="11">
        <f>CodePrefix&amp;$A1393&amp;IF($C1393="","","."&amp;$C1393&amp;"."&amp;$B1393)&amp;INDEX(VarEnd,MATCH($A1393,VarKey,0))&amp;AG$5</f>
        <v/>
      </c>
      <c r="AH1393" s="40">
        <f>INDEX(AH$263:AH$279,$F1393)*$D1393*INDEX(AH$23:AH$30,$E1393)</f>
        <v/>
      </c>
      <c r="AI1393" s="35">
        <f>INDEX(AI$263:AI$279,$F1393)*$D1393*INDEX(AI$23:AI$30,$E1393)</f>
        <v/>
      </c>
      <c r="AJ1393" s="35">
        <f>INDEX(AJ$263:AJ$279,$F1393)*$D1393*INDEX(AJ$23:AJ$30,$E1393)</f>
        <v/>
      </c>
      <c r="AK1393" s="35">
        <f>INDEX(AK$263:AK$279,$F1393)*$D1393*INDEX(AK$23:AK$30,$E1393)</f>
        <v/>
      </c>
      <c r="AL1393" s="35">
        <f>INDEX(AL$263:AL$279,$F1393)*$D1393*INDEX(AL$23:AL$30,$E1393)</f>
        <v/>
      </c>
      <c r="AM1393" s="35">
        <f>INDEX(AM$263:AM$279,$F1393)*$D1393*INDEX(AM$23:AM$30,$E1393)</f>
        <v/>
      </c>
      <c r="AN1393" s="35">
        <f>INDEX(AN$263:AN$279,$F1393)*$D1393*INDEX(AN$23:AN$30,$E1393)</f>
        <v/>
      </c>
      <c r="AO1393" s="35">
        <f>INDEX(AO$263:AO$279,$F1393)*$D1393*INDEX(AO$23:AO$30,$E1393)</f>
        <v/>
      </c>
      <c r="AP1393" s="35">
        <f>INDEX(AP$263:AP$279,$F1393)*$D1393*INDEX(AP$23:AP$30,$E1393)</f>
        <v/>
      </c>
      <c r="AQ1393" s="35">
        <f>INDEX(AQ$263:AQ$279,$F1393)*$D1393*INDEX(AQ$23:AQ$30,$E1393)</f>
        <v/>
      </c>
      <c r="AR1393" s="35">
        <f>INDEX(AR$263:AR$279,$F1393)*$D1393*INDEX(AR$23:AR$30,$E1393)</f>
        <v/>
      </c>
      <c r="AS1393" s="35">
        <f>INDEX(AS$263:AS$279,$F1393)*$D1393*INDEX(AS$23:AS$30,$E1393)</f>
        <v/>
      </c>
      <c r="AT1393" s="35">
        <f>INDEX(AT$263:AT$279,$F1393)*$D1393*INDEX(AT$23:AT$30,$E1393)</f>
        <v/>
      </c>
      <c r="AU1393" s="35">
        <f>INDEX(AU$263:AU$279,$F1393)*$D1393*INDEX(AU$23:AU$30,$E1393)</f>
        <v/>
      </c>
      <c r="AV1393" s="35">
        <f>INDEX(AV$263:AV$279,$F1393)*$D1393*INDEX(AV$23:AV$30,$E1393)</f>
        <v/>
      </c>
      <c r="AW1393" s="35">
        <f>INDEX(AW$263:AW$279,$F1393)*$D1393*INDEX(AW$23:AW$30,$E1393)</f>
        <v/>
      </c>
      <c r="AX1393" s="35">
        <f>INDEX(AX$263:AX$279,$F1393)*$D1393*INDEX(AX$23:AX$30,$E1393)</f>
        <v/>
      </c>
      <c r="AY1393" s="35">
        <f>INDEX(AY$263:AY$279,$F1393)*$D1393*INDEX(AY$23:AY$30,$E1393)</f>
        <v/>
      </c>
      <c r="AZ1393" s="35">
        <f>INDEX(AZ$263:AZ$279,$F1393)*$D1393*INDEX(AZ$23:AZ$30,$E1393)</f>
        <v/>
      </c>
      <c r="BA1393" s="42">
        <f>CARBONTAX(INDEX(BA$263:BA$279,$F1393),$D1393,INDEX(BA$23:BA$30,$E1393))</f>
        <v/>
      </c>
    </row>
    <row r="1394" hidden="1" outlineLevel="2">
      <c r="A1394" s="14" t="inlineStr">
        <is>
          <t>ctxnew</t>
        </is>
      </c>
      <c r="B1394" s="14" t="inlineStr">
        <is>
          <t>die</t>
        </is>
      </c>
      <c r="C1394" s="14" t="inlineStr">
        <is>
          <t>nav</t>
        </is>
      </c>
      <c r="D1394" s="35">
        <f>INDEX(Inputs!$W$5:$W$132,MATCH($B1394&amp;"|"&amp;$C1394,Inputs!$A$5:$A$132,0))</f>
        <v/>
      </c>
      <c r="E1394" s="35">
        <f>INDEX(Inputs!$L$5:$L$132,MATCH($B1394&amp;"|"&amp;$C1394,Inputs!$A$5:$A$132,0))</f>
        <v/>
      </c>
      <c r="F1394" s="35">
        <f>INDEX(Inputs!$M$5:$M$132,MATCH($B1394&amp;"|"&amp;$C1394,Inputs!$A$5:$A$132,0))</f>
        <v/>
      </c>
      <c r="G1394" s="39" t="n"/>
      <c r="H1394" s="14">
        <f>INDEX(VarLab,MATCH($A1394,VarKey,0))&amp;INDEX(MemLab,MATCH($C1394&amp;"|"&amp;$B1394,MemKey,0))</f>
        <v/>
      </c>
      <c r="I1394" s="14">
        <f>INDEX(VarUnit,MATCH($A1394,VarKey,0))</f>
        <v/>
      </c>
      <c r="J1394" s="14">
        <f>INDEX(VarSrc,MATCH($A1394,VarKey,0))</f>
        <v/>
      </c>
      <c r="K1394" s="11">
        <f>CodePrefix&amp;$A1394&amp;IF($C1394="","","."&amp;$C1394&amp;"."&amp;$B1394)&amp;INDEX(VarEnd,MATCH($A1394,VarKey,0))&amp;K$5</f>
        <v/>
      </c>
      <c r="L1394" s="40">
        <f>INDEX(L$263:L$279,$F1394)*$D1394*INDEX(L$23:L$30,$E1394)</f>
        <v/>
      </c>
      <c r="M1394" s="35">
        <f>INDEX(M$263:M$279,$F1394)*$D1394*INDEX(M$23:M$30,$E1394)</f>
        <v/>
      </c>
      <c r="N1394" s="35">
        <f>INDEX(N$263:N$279,$F1394)*$D1394*INDEX(N$23:N$30,$E1394)</f>
        <v/>
      </c>
      <c r="O1394" s="35">
        <f>INDEX(O$263:O$279,$F1394)*$D1394*INDEX(O$23:O$30,$E1394)</f>
        <v/>
      </c>
      <c r="P1394" s="35">
        <f>INDEX(P$263:P$279,$F1394)*$D1394*INDEX(P$23:P$30,$E1394)</f>
        <v/>
      </c>
      <c r="Q1394" s="35">
        <f>INDEX(Q$263:Q$279,$F1394)*$D1394*INDEX(Q$23:Q$30,$E1394)</f>
        <v/>
      </c>
      <c r="R1394" s="35">
        <f>INDEX(R$263:R$279,$F1394)*$D1394*INDEX(R$23:R$30,$E1394)</f>
        <v/>
      </c>
      <c r="S1394" s="35">
        <f>INDEX(S$263:S$279,$F1394)*$D1394*INDEX(S$23:S$30,$E1394)</f>
        <v/>
      </c>
      <c r="T1394" s="35">
        <f>INDEX(T$263:T$279,$F1394)*$D1394*INDEX(T$23:T$30,$E1394)</f>
        <v/>
      </c>
      <c r="U1394" s="35">
        <f>INDEX(U$263:U$279,$F1394)*$D1394*INDEX(U$23:U$30,$E1394)</f>
        <v/>
      </c>
      <c r="V1394" s="35">
        <f>INDEX(V$263:V$279,$F1394)*$D1394*INDEX(V$23:V$30,$E1394)</f>
        <v/>
      </c>
      <c r="W1394" s="35">
        <f>INDEX(W$263:W$279,$F1394)*$D1394*INDEX(W$23:W$30,$E1394)</f>
        <v/>
      </c>
      <c r="X1394" s="35">
        <f>INDEX(X$263:X$279,$F1394)*$D1394*INDEX(X$23:X$30,$E1394)</f>
        <v/>
      </c>
      <c r="Y1394" s="35">
        <f>INDEX(Y$263:Y$279,$F1394)*$D1394*INDEX(Y$23:Y$30,$E1394)</f>
        <v/>
      </c>
      <c r="Z1394" s="35">
        <f>INDEX(Z$263:Z$279,$F1394)*$D1394*INDEX(Z$23:Z$30,$E1394)</f>
        <v/>
      </c>
      <c r="AA1394" s="35">
        <f>INDEX(AA$263:AA$279,$F1394)*$D1394*INDEX(AA$23:AA$30,$E1394)</f>
        <v/>
      </c>
      <c r="AB1394" s="35">
        <f>INDEX(AB$263:AB$279,$F1394)*$D1394*INDEX(AB$23:AB$30,$E1394)</f>
        <v/>
      </c>
      <c r="AC1394" s="35">
        <f>INDEX(AC$263:AC$279,$F1394)*$D1394*INDEX(AC$23:AC$30,$E1394)</f>
        <v/>
      </c>
      <c r="AD1394" s="35">
        <f>INDEX(AD$263:AD$279,$F1394)*$D1394*INDEX(AD$23:AD$30,$E1394)</f>
        <v/>
      </c>
      <c r="AE1394" s="42">
        <f>CARBONTAX(INDEX(AE$263:AE$279,$F1394),$D1394,INDEX(AE$23:AE$30,$E1394))</f>
        <v/>
      </c>
      <c r="AG1394" s="11">
        <f>CodePrefix&amp;$A1394&amp;IF($C1394="","","."&amp;$C1394&amp;"."&amp;$B1394)&amp;INDEX(VarEnd,MATCH($A1394,VarKey,0))&amp;AG$5</f>
        <v/>
      </c>
      <c r="AH1394" s="40">
        <f>INDEX(AH$263:AH$279,$F1394)*$D1394*INDEX(AH$23:AH$30,$E1394)</f>
        <v/>
      </c>
      <c r="AI1394" s="35">
        <f>INDEX(AI$263:AI$279,$F1394)*$D1394*INDEX(AI$23:AI$30,$E1394)</f>
        <v/>
      </c>
      <c r="AJ1394" s="35">
        <f>INDEX(AJ$263:AJ$279,$F1394)*$D1394*INDEX(AJ$23:AJ$30,$E1394)</f>
        <v/>
      </c>
      <c r="AK1394" s="35">
        <f>INDEX(AK$263:AK$279,$F1394)*$D1394*INDEX(AK$23:AK$30,$E1394)</f>
        <v/>
      </c>
      <c r="AL1394" s="35">
        <f>INDEX(AL$263:AL$279,$F1394)*$D1394*INDEX(AL$23:AL$30,$E1394)</f>
        <v/>
      </c>
      <c r="AM1394" s="35">
        <f>INDEX(AM$263:AM$279,$F1394)*$D1394*INDEX(AM$23:AM$30,$E1394)</f>
        <v/>
      </c>
      <c r="AN1394" s="35">
        <f>INDEX(AN$263:AN$279,$F1394)*$D1394*INDEX(AN$23:AN$30,$E1394)</f>
        <v/>
      </c>
      <c r="AO1394" s="35">
        <f>INDEX(AO$263:AO$279,$F1394)*$D1394*INDEX(AO$23:AO$30,$E1394)</f>
        <v/>
      </c>
      <c r="AP1394" s="35">
        <f>INDEX(AP$263:AP$279,$F1394)*$D1394*INDEX(AP$23:AP$30,$E1394)</f>
        <v/>
      </c>
      <c r="AQ1394" s="35">
        <f>INDEX(AQ$263:AQ$279,$F1394)*$D1394*INDEX(AQ$23:AQ$30,$E1394)</f>
        <v/>
      </c>
      <c r="AR1394" s="35">
        <f>INDEX(AR$263:AR$279,$F1394)*$D1394*INDEX(AR$23:AR$30,$E1394)</f>
        <v/>
      </c>
      <c r="AS1394" s="35">
        <f>INDEX(AS$263:AS$279,$F1394)*$D1394*INDEX(AS$23:AS$30,$E1394)</f>
        <v/>
      </c>
      <c r="AT1394" s="35">
        <f>INDEX(AT$263:AT$279,$F1394)*$D1394*INDEX(AT$23:AT$30,$E1394)</f>
        <v/>
      </c>
      <c r="AU1394" s="35">
        <f>INDEX(AU$263:AU$279,$F1394)*$D1394*INDEX(AU$23:AU$30,$E1394)</f>
        <v/>
      </c>
      <c r="AV1394" s="35">
        <f>INDEX(AV$263:AV$279,$F1394)*$D1394*INDEX(AV$23:AV$30,$E1394)</f>
        <v/>
      </c>
      <c r="AW1394" s="35">
        <f>INDEX(AW$263:AW$279,$F1394)*$D1394*INDEX(AW$23:AW$30,$E1394)</f>
        <v/>
      </c>
      <c r="AX1394" s="35">
        <f>INDEX(AX$263:AX$279,$F1394)*$D1394*INDEX(AX$23:AX$30,$E1394)</f>
        <v/>
      </c>
      <c r="AY1394" s="35">
        <f>INDEX(AY$263:AY$279,$F1394)*$D1394*INDEX(AY$23:AY$30,$E1394)</f>
        <v/>
      </c>
      <c r="AZ1394" s="35">
        <f>INDEX(AZ$263:AZ$279,$F1394)*$D1394*INDEX(AZ$23:AZ$30,$E1394)</f>
        <v/>
      </c>
      <c r="BA1394" s="42">
        <f>CARBONTAX(INDEX(BA$263:BA$279,$F1394),$D1394,INDEX(BA$23:BA$30,$E1394))</f>
        <v/>
      </c>
    </row>
    <row r="1395" hidden="1" outlineLevel="2">
      <c r="A1395" s="14" t="inlineStr">
        <is>
          <t>ctxnew</t>
        </is>
      </c>
      <c r="B1395" s="14" t="inlineStr">
        <is>
          <t>lpg</t>
        </is>
      </c>
      <c r="C1395" s="14" t="inlineStr">
        <is>
          <t>nav</t>
        </is>
      </c>
      <c r="D1395" s="35">
        <f>INDEX(Inputs!$W$5:$W$132,MATCH($B1395&amp;"|"&amp;$C1395,Inputs!$A$5:$A$132,0))</f>
        <v/>
      </c>
      <c r="E1395" s="35">
        <f>INDEX(Inputs!$L$5:$L$132,MATCH($B1395&amp;"|"&amp;$C1395,Inputs!$A$5:$A$132,0))</f>
        <v/>
      </c>
      <c r="F1395" s="35">
        <f>INDEX(Inputs!$M$5:$M$132,MATCH($B1395&amp;"|"&amp;$C1395,Inputs!$A$5:$A$132,0))</f>
        <v/>
      </c>
      <c r="G1395" s="39" t="n"/>
      <c r="H1395" s="14">
        <f>INDEX(VarLab,MATCH($A1395,VarKey,0))&amp;INDEX(MemLab,MATCH($C1395&amp;"|"&amp;$B1395,MemKey,0))</f>
        <v/>
      </c>
      <c r="I1395" s="14">
        <f>INDEX(VarUnit,MATCH($A1395,VarKey,0))</f>
        <v/>
      </c>
      <c r="J1395" s="14">
        <f>INDEX(VarSrc,MATCH($A1395,VarKey,0))</f>
        <v/>
      </c>
      <c r="K1395" s="11">
        <f>CodePrefix&amp;$A1395&amp;IF($C1395="","","."&amp;$C1395&amp;"."&amp;$B1395)&amp;INDEX(VarEnd,MATCH($A1395,VarKey,0))&amp;K$5</f>
        <v/>
      </c>
      <c r="L1395" s="40">
        <f>INDEX(L$263:L$279,$F1395)*$D1395*INDEX(L$23:L$30,$E1395)</f>
        <v/>
      </c>
      <c r="M1395" s="35">
        <f>INDEX(M$263:M$279,$F1395)*$D1395*INDEX(M$23:M$30,$E1395)</f>
        <v/>
      </c>
      <c r="N1395" s="35">
        <f>INDEX(N$263:N$279,$F1395)*$D1395*INDEX(N$23:N$30,$E1395)</f>
        <v/>
      </c>
      <c r="O1395" s="35">
        <f>INDEX(O$263:O$279,$F1395)*$D1395*INDEX(O$23:O$30,$E1395)</f>
        <v/>
      </c>
      <c r="P1395" s="35">
        <f>INDEX(P$263:P$279,$F1395)*$D1395*INDEX(P$23:P$30,$E1395)</f>
        <v/>
      </c>
      <c r="Q1395" s="35">
        <f>INDEX(Q$263:Q$279,$F1395)*$D1395*INDEX(Q$23:Q$30,$E1395)</f>
        <v/>
      </c>
      <c r="R1395" s="35">
        <f>INDEX(R$263:R$279,$F1395)*$D1395*INDEX(R$23:R$30,$E1395)</f>
        <v/>
      </c>
      <c r="S1395" s="35">
        <f>INDEX(S$263:S$279,$F1395)*$D1395*INDEX(S$23:S$30,$E1395)</f>
        <v/>
      </c>
      <c r="T1395" s="35">
        <f>INDEX(T$263:T$279,$F1395)*$D1395*INDEX(T$23:T$30,$E1395)</f>
        <v/>
      </c>
      <c r="U1395" s="35">
        <f>INDEX(U$263:U$279,$F1395)*$D1395*INDEX(U$23:U$30,$E1395)</f>
        <v/>
      </c>
      <c r="V1395" s="35">
        <f>INDEX(V$263:V$279,$F1395)*$D1395*INDEX(V$23:V$30,$E1395)</f>
        <v/>
      </c>
      <c r="W1395" s="35">
        <f>INDEX(W$263:W$279,$F1395)*$D1395*INDEX(W$23:W$30,$E1395)</f>
        <v/>
      </c>
      <c r="X1395" s="35">
        <f>INDEX(X$263:X$279,$F1395)*$D1395*INDEX(X$23:X$30,$E1395)</f>
        <v/>
      </c>
      <c r="Y1395" s="35">
        <f>INDEX(Y$263:Y$279,$F1395)*$D1395*INDEX(Y$23:Y$30,$E1395)</f>
        <v/>
      </c>
      <c r="Z1395" s="35">
        <f>INDEX(Z$263:Z$279,$F1395)*$D1395*INDEX(Z$23:Z$30,$E1395)</f>
        <v/>
      </c>
      <c r="AA1395" s="35">
        <f>INDEX(AA$263:AA$279,$F1395)*$D1395*INDEX(AA$23:AA$30,$E1395)</f>
        <v/>
      </c>
      <c r="AB1395" s="35">
        <f>INDEX(AB$263:AB$279,$F1395)*$D1395*INDEX(AB$23:AB$30,$E1395)</f>
        <v/>
      </c>
      <c r="AC1395" s="35">
        <f>INDEX(AC$263:AC$279,$F1395)*$D1395*INDEX(AC$23:AC$30,$E1395)</f>
        <v/>
      </c>
      <c r="AD1395" s="35">
        <f>INDEX(AD$263:AD$279,$F1395)*$D1395*INDEX(AD$23:AD$30,$E1395)</f>
        <v/>
      </c>
      <c r="AE1395" s="42">
        <f>CARBONTAX(INDEX(AE$263:AE$279,$F1395),$D1395,INDEX(AE$23:AE$30,$E1395))</f>
        <v/>
      </c>
      <c r="AG1395" s="11">
        <f>CodePrefix&amp;$A1395&amp;IF($C1395="","","."&amp;$C1395&amp;"."&amp;$B1395)&amp;INDEX(VarEnd,MATCH($A1395,VarKey,0))&amp;AG$5</f>
        <v/>
      </c>
      <c r="AH1395" s="40">
        <f>INDEX(AH$263:AH$279,$F1395)*$D1395*INDEX(AH$23:AH$30,$E1395)</f>
        <v/>
      </c>
      <c r="AI1395" s="35">
        <f>INDEX(AI$263:AI$279,$F1395)*$D1395*INDEX(AI$23:AI$30,$E1395)</f>
        <v/>
      </c>
      <c r="AJ1395" s="35">
        <f>INDEX(AJ$263:AJ$279,$F1395)*$D1395*INDEX(AJ$23:AJ$30,$E1395)</f>
        <v/>
      </c>
      <c r="AK1395" s="35">
        <f>INDEX(AK$263:AK$279,$F1395)*$D1395*INDEX(AK$23:AK$30,$E1395)</f>
        <v/>
      </c>
      <c r="AL1395" s="35">
        <f>INDEX(AL$263:AL$279,$F1395)*$D1395*INDEX(AL$23:AL$30,$E1395)</f>
        <v/>
      </c>
      <c r="AM1395" s="35">
        <f>INDEX(AM$263:AM$279,$F1395)*$D1395*INDEX(AM$23:AM$30,$E1395)</f>
        <v/>
      </c>
      <c r="AN1395" s="35">
        <f>INDEX(AN$263:AN$279,$F1395)*$D1395*INDEX(AN$23:AN$30,$E1395)</f>
        <v/>
      </c>
      <c r="AO1395" s="35">
        <f>INDEX(AO$263:AO$279,$F1395)*$D1395*INDEX(AO$23:AO$30,$E1395)</f>
        <v/>
      </c>
      <c r="AP1395" s="35">
        <f>INDEX(AP$263:AP$279,$F1395)*$D1395*INDEX(AP$23:AP$30,$E1395)</f>
        <v/>
      </c>
      <c r="AQ1395" s="35">
        <f>INDEX(AQ$263:AQ$279,$F1395)*$D1395*INDEX(AQ$23:AQ$30,$E1395)</f>
        <v/>
      </c>
      <c r="AR1395" s="35">
        <f>INDEX(AR$263:AR$279,$F1395)*$D1395*INDEX(AR$23:AR$30,$E1395)</f>
        <v/>
      </c>
      <c r="AS1395" s="35">
        <f>INDEX(AS$263:AS$279,$F1395)*$D1395*INDEX(AS$23:AS$30,$E1395)</f>
        <v/>
      </c>
      <c r="AT1395" s="35">
        <f>INDEX(AT$263:AT$279,$F1395)*$D1395*INDEX(AT$23:AT$30,$E1395)</f>
        <v/>
      </c>
      <c r="AU1395" s="35">
        <f>INDEX(AU$263:AU$279,$F1395)*$D1395*INDEX(AU$23:AU$30,$E1395)</f>
        <v/>
      </c>
      <c r="AV1395" s="35">
        <f>INDEX(AV$263:AV$279,$F1395)*$D1395*INDEX(AV$23:AV$30,$E1395)</f>
        <v/>
      </c>
      <c r="AW1395" s="35">
        <f>INDEX(AW$263:AW$279,$F1395)*$D1395*INDEX(AW$23:AW$30,$E1395)</f>
        <v/>
      </c>
      <c r="AX1395" s="35">
        <f>INDEX(AX$263:AX$279,$F1395)*$D1395*INDEX(AX$23:AX$30,$E1395)</f>
        <v/>
      </c>
      <c r="AY1395" s="35">
        <f>INDEX(AY$263:AY$279,$F1395)*$D1395*INDEX(AY$23:AY$30,$E1395)</f>
        <v/>
      </c>
      <c r="AZ1395" s="35">
        <f>INDEX(AZ$263:AZ$279,$F1395)*$D1395*INDEX(AZ$23:AZ$30,$E1395)</f>
        <v/>
      </c>
      <c r="BA1395" s="42">
        <f>CARBONTAX(INDEX(BA$263:BA$279,$F1395),$D1395,INDEX(BA$23:BA$30,$E1395))</f>
        <v/>
      </c>
    </row>
    <row r="1396" hidden="1" outlineLevel="2">
      <c r="A1396" s="14" t="inlineStr">
        <is>
          <t>ctxnew</t>
        </is>
      </c>
      <c r="B1396" s="14" t="inlineStr">
        <is>
          <t>ker</t>
        </is>
      </c>
      <c r="C1396" s="14" t="inlineStr">
        <is>
          <t>nav</t>
        </is>
      </c>
      <c r="D1396" s="35">
        <f>INDEX(Inputs!$W$5:$W$132,MATCH($B1396&amp;"|"&amp;$C1396,Inputs!$A$5:$A$132,0))</f>
        <v/>
      </c>
      <c r="E1396" s="35">
        <f>INDEX(Inputs!$L$5:$L$132,MATCH($B1396&amp;"|"&amp;$C1396,Inputs!$A$5:$A$132,0))</f>
        <v/>
      </c>
      <c r="F1396" s="35">
        <f>INDEX(Inputs!$M$5:$M$132,MATCH($B1396&amp;"|"&amp;$C1396,Inputs!$A$5:$A$132,0))</f>
        <v/>
      </c>
      <c r="G1396" s="39" t="n"/>
      <c r="H1396" s="14">
        <f>INDEX(VarLab,MATCH($A1396,VarKey,0))&amp;INDEX(MemLab,MATCH($C1396&amp;"|"&amp;$B1396,MemKey,0))</f>
        <v/>
      </c>
      <c r="I1396" s="14">
        <f>INDEX(VarUnit,MATCH($A1396,VarKey,0))</f>
        <v/>
      </c>
      <c r="J1396" s="14">
        <f>INDEX(VarSrc,MATCH($A1396,VarKey,0))</f>
        <v/>
      </c>
      <c r="K1396" s="11">
        <f>CodePrefix&amp;$A1396&amp;IF($C1396="","","."&amp;$C1396&amp;"."&amp;$B1396)&amp;INDEX(VarEnd,MATCH($A1396,VarKey,0))&amp;K$5</f>
        <v/>
      </c>
      <c r="L1396" s="40">
        <f>INDEX(L$263:L$279,$F1396)*$D1396*INDEX(L$23:L$30,$E1396)</f>
        <v/>
      </c>
      <c r="M1396" s="35">
        <f>INDEX(M$263:M$279,$F1396)*$D1396*INDEX(M$23:M$30,$E1396)</f>
        <v/>
      </c>
      <c r="N1396" s="35">
        <f>INDEX(N$263:N$279,$F1396)*$D1396*INDEX(N$23:N$30,$E1396)</f>
        <v/>
      </c>
      <c r="O1396" s="35">
        <f>INDEX(O$263:O$279,$F1396)*$D1396*INDEX(O$23:O$30,$E1396)</f>
        <v/>
      </c>
      <c r="P1396" s="35">
        <f>INDEX(P$263:P$279,$F1396)*$D1396*INDEX(P$23:P$30,$E1396)</f>
        <v/>
      </c>
      <c r="Q1396" s="35">
        <f>INDEX(Q$263:Q$279,$F1396)*$D1396*INDEX(Q$23:Q$30,$E1396)</f>
        <v/>
      </c>
      <c r="R1396" s="35">
        <f>INDEX(R$263:R$279,$F1396)*$D1396*INDEX(R$23:R$30,$E1396)</f>
        <v/>
      </c>
      <c r="S1396" s="35">
        <f>INDEX(S$263:S$279,$F1396)*$D1396*INDEX(S$23:S$30,$E1396)</f>
        <v/>
      </c>
      <c r="T1396" s="35">
        <f>INDEX(T$263:T$279,$F1396)*$D1396*INDEX(T$23:T$30,$E1396)</f>
        <v/>
      </c>
      <c r="U1396" s="35">
        <f>INDEX(U$263:U$279,$F1396)*$D1396*INDEX(U$23:U$30,$E1396)</f>
        <v/>
      </c>
      <c r="V1396" s="35">
        <f>INDEX(V$263:V$279,$F1396)*$D1396*INDEX(V$23:V$30,$E1396)</f>
        <v/>
      </c>
      <c r="W1396" s="35">
        <f>INDEX(W$263:W$279,$F1396)*$D1396*INDEX(W$23:W$30,$E1396)</f>
        <v/>
      </c>
      <c r="X1396" s="35">
        <f>INDEX(X$263:X$279,$F1396)*$D1396*INDEX(X$23:X$30,$E1396)</f>
        <v/>
      </c>
      <c r="Y1396" s="35">
        <f>INDEX(Y$263:Y$279,$F1396)*$D1396*INDEX(Y$23:Y$30,$E1396)</f>
        <v/>
      </c>
      <c r="Z1396" s="35">
        <f>INDEX(Z$263:Z$279,$F1396)*$D1396*INDEX(Z$23:Z$30,$E1396)</f>
        <v/>
      </c>
      <c r="AA1396" s="35">
        <f>INDEX(AA$263:AA$279,$F1396)*$D1396*INDEX(AA$23:AA$30,$E1396)</f>
        <v/>
      </c>
      <c r="AB1396" s="35">
        <f>INDEX(AB$263:AB$279,$F1396)*$D1396*INDEX(AB$23:AB$30,$E1396)</f>
        <v/>
      </c>
      <c r="AC1396" s="35">
        <f>INDEX(AC$263:AC$279,$F1396)*$D1396*INDEX(AC$23:AC$30,$E1396)</f>
        <v/>
      </c>
      <c r="AD1396" s="35">
        <f>INDEX(AD$263:AD$279,$F1396)*$D1396*INDEX(AD$23:AD$30,$E1396)</f>
        <v/>
      </c>
      <c r="AE1396" s="42">
        <f>CARBONTAX(INDEX(AE$263:AE$279,$F1396),$D1396,INDEX(AE$23:AE$30,$E1396))</f>
        <v/>
      </c>
      <c r="AG1396" s="11">
        <f>CodePrefix&amp;$A1396&amp;IF($C1396="","","."&amp;$C1396&amp;"."&amp;$B1396)&amp;INDEX(VarEnd,MATCH($A1396,VarKey,0))&amp;AG$5</f>
        <v/>
      </c>
      <c r="AH1396" s="40">
        <f>INDEX(AH$263:AH$279,$F1396)*$D1396*INDEX(AH$23:AH$30,$E1396)</f>
        <v/>
      </c>
      <c r="AI1396" s="35">
        <f>INDEX(AI$263:AI$279,$F1396)*$D1396*INDEX(AI$23:AI$30,$E1396)</f>
        <v/>
      </c>
      <c r="AJ1396" s="35">
        <f>INDEX(AJ$263:AJ$279,$F1396)*$D1396*INDEX(AJ$23:AJ$30,$E1396)</f>
        <v/>
      </c>
      <c r="AK1396" s="35">
        <f>INDEX(AK$263:AK$279,$F1396)*$D1396*INDEX(AK$23:AK$30,$E1396)</f>
        <v/>
      </c>
      <c r="AL1396" s="35">
        <f>INDEX(AL$263:AL$279,$F1396)*$D1396*INDEX(AL$23:AL$30,$E1396)</f>
        <v/>
      </c>
      <c r="AM1396" s="35">
        <f>INDEX(AM$263:AM$279,$F1396)*$D1396*INDEX(AM$23:AM$30,$E1396)</f>
        <v/>
      </c>
      <c r="AN1396" s="35">
        <f>INDEX(AN$263:AN$279,$F1396)*$D1396*INDEX(AN$23:AN$30,$E1396)</f>
        <v/>
      </c>
      <c r="AO1396" s="35">
        <f>INDEX(AO$263:AO$279,$F1396)*$D1396*INDEX(AO$23:AO$30,$E1396)</f>
        <v/>
      </c>
      <c r="AP1396" s="35">
        <f>INDEX(AP$263:AP$279,$F1396)*$D1396*INDEX(AP$23:AP$30,$E1396)</f>
        <v/>
      </c>
      <c r="AQ1396" s="35">
        <f>INDEX(AQ$263:AQ$279,$F1396)*$D1396*INDEX(AQ$23:AQ$30,$E1396)</f>
        <v/>
      </c>
      <c r="AR1396" s="35">
        <f>INDEX(AR$263:AR$279,$F1396)*$D1396*INDEX(AR$23:AR$30,$E1396)</f>
        <v/>
      </c>
      <c r="AS1396" s="35">
        <f>INDEX(AS$263:AS$279,$F1396)*$D1396*INDEX(AS$23:AS$30,$E1396)</f>
        <v/>
      </c>
      <c r="AT1396" s="35">
        <f>INDEX(AT$263:AT$279,$F1396)*$D1396*INDEX(AT$23:AT$30,$E1396)</f>
        <v/>
      </c>
      <c r="AU1396" s="35">
        <f>INDEX(AU$263:AU$279,$F1396)*$D1396*INDEX(AU$23:AU$30,$E1396)</f>
        <v/>
      </c>
      <c r="AV1396" s="35">
        <f>INDEX(AV$263:AV$279,$F1396)*$D1396*INDEX(AV$23:AV$30,$E1396)</f>
        <v/>
      </c>
      <c r="AW1396" s="35">
        <f>INDEX(AW$263:AW$279,$F1396)*$D1396*INDEX(AW$23:AW$30,$E1396)</f>
        <v/>
      </c>
      <c r="AX1396" s="35">
        <f>INDEX(AX$263:AX$279,$F1396)*$D1396*INDEX(AX$23:AX$30,$E1396)</f>
        <v/>
      </c>
      <c r="AY1396" s="35">
        <f>INDEX(AY$263:AY$279,$F1396)*$D1396*INDEX(AY$23:AY$30,$E1396)</f>
        <v/>
      </c>
      <c r="AZ1396" s="35">
        <f>INDEX(AZ$263:AZ$279,$F1396)*$D1396*INDEX(AZ$23:AZ$30,$E1396)</f>
        <v/>
      </c>
      <c r="BA1396" s="42">
        <f>CARBONTAX(INDEX(BA$263:BA$279,$F1396),$D1396,INDEX(BA$23:BA$30,$E1396))</f>
        <v/>
      </c>
    </row>
    <row r="1397" hidden="1" outlineLevel="2">
      <c r="A1397" s="14" t="inlineStr">
        <is>
          <t>ctxnew</t>
        </is>
      </c>
      <c r="B1397" s="14" t="inlineStr">
        <is>
          <t>oop</t>
        </is>
      </c>
      <c r="C1397" s="14" t="inlineStr">
        <is>
          <t>nav</t>
        </is>
      </c>
      <c r="D1397" s="35">
        <f>INDEX(Inputs!$W$5:$W$132,MATCH($B1397&amp;"|"&amp;$C1397,Inputs!$A$5:$A$132,0))</f>
        <v/>
      </c>
      <c r="E1397" s="35">
        <f>INDEX(Inputs!$L$5:$L$132,MATCH($B1397&amp;"|"&amp;$C1397,Inputs!$A$5:$A$132,0))</f>
        <v/>
      </c>
      <c r="F1397" s="35">
        <f>INDEX(Inputs!$M$5:$M$132,MATCH($B1397&amp;"|"&amp;$C1397,Inputs!$A$5:$A$132,0))</f>
        <v/>
      </c>
      <c r="G1397" s="39" t="n"/>
      <c r="H1397" s="14">
        <f>INDEX(VarLab,MATCH($A1397,VarKey,0))&amp;INDEX(MemLab,MATCH($C1397&amp;"|"&amp;$B1397,MemKey,0))</f>
        <v/>
      </c>
      <c r="I1397" s="14">
        <f>INDEX(VarUnit,MATCH($A1397,VarKey,0))</f>
        <v/>
      </c>
      <c r="J1397" s="14">
        <f>INDEX(VarSrc,MATCH($A1397,VarKey,0))</f>
        <v/>
      </c>
      <c r="K1397" s="11">
        <f>CodePrefix&amp;$A1397&amp;IF($C1397="","","."&amp;$C1397&amp;"."&amp;$B1397)&amp;INDEX(VarEnd,MATCH($A1397,VarKey,0))&amp;K$5</f>
        <v/>
      </c>
      <c r="L1397" s="40">
        <f>INDEX(L$263:L$279,$F1397)*$D1397*INDEX(L$23:L$30,$E1397)</f>
        <v/>
      </c>
      <c r="M1397" s="35">
        <f>INDEX(M$263:M$279,$F1397)*$D1397*INDEX(M$23:M$30,$E1397)</f>
        <v/>
      </c>
      <c r="N1397" s="35">
        <f>INDEX(N$263:N$279,$F1397)*$D1397*INDEX(N$23:N$30,$E1397)</f>
        <v/>
      </c>
      <c r="O1397" s="35">
        <f>INDEX(O$263:O$279,$F1397)*$D1397*INDEX(O$23:O$30,$E1397)</f>
        <v/>
      </c>
      <c r="P1397" s="35">
        <f>INDEX(P$263:P$279,$F1397)*$D1397*INDEX(P$23:P$30,$E1397)</f>
        <v/>
      </c>
      <c r="Q1397" s="35">
        <f>INDEX(Q$263:Q$279,$F1397)*$D1397*INDEX(Q$23:Q$30,$E1397)</f>
        <v/>
      </c>
      <c r="R1397" s="35">
        <f>INDEX(R$263:R$279,$F1397)*$D1397*INDEX(R$23:R$30,$E1397)</f>
        <v/>
      </c>
      <c r="S1397" s="35">
        <f>INDEX(S$263:S$279,$F1397)*$D1397*INDEX(S$23:S$30,$E1397)</f>
        <v/>
      </c>
      <c r="T1397" s="35">
        <f>INDEX(T$263:T$279,$F1397)*$D1397*INDEX(T$23:T$30,$E1397)</f>
        <v/>
      </c>
      <c r="U1397" s="35">
        <f>INDEX(U$263:U$279,$F1397)*$D1397*INDEX(U$23:U$30,$E1397)</f>
        <v/>
      </c>
      <c r="V1397" s="35">
        <f>INDEX(V$263:V$279,$F1397)*$D1397*INDEX(V$23:V$30,$E1397)</f>
        <v/>
      </c>
      <c r="W1397" s="35">
        <f>INDEX(W$263:W$279,$F1397)*$D1397*INDEX(W$23:W$30,$E1397)</f>
        <v/>
      </c>
      <c r="X1397" s="35">
        <f>INDEX(X$263:X$279,$F1397)*$D1397*INDEX(X$23:X$30,$E1397)</f>
        <v/>
      </c>
      <c r="Y1397" s="35">
        <f>INDEX(Y$263:Y$279,$F1397)*$D1397*INDEX(Y$23:Y$30,$E1397)</f>
        <v/>
      </c>
      <c r="Z1397" s="35">
        <f>INDEX(Z$263:Z$279,$F1397)*$D1397*INDEX(Z$23:Z$30,$E1397)</f>
        <v/>
      </c>
      <c r="AA1397" s="35">
        <f>INDEX(AA$263:AA$279,$F1397)*$D1397*INDEX(AA$23:AA$30,$E1397)</f>
        <v/>
      </c>
      <c r="AB1397" s="35">
        <f>INDEX(AB$263:AB$279,$F1397)*$D1397*INDEX(AB$23:AB$30,$E1397)</f>
        <v/>
      </c>
      <c r="AC1397" s="35">
        <f>INDEX(AC$263:AC$279,$F1397)*$D1397*INDEX(AC$23:AC$30,$E1397)</f>
        <v/>
      </c>
      <c r="AD1397" s="35">
        <f>INDEX(AD$263:AD$279,$F1397)*$D1397*INDEX(AD$23:AD$30,$E1397)</f>
        <v/>
      </c>
      <c r="AE1397" s="42">
        <f>CARBONTAX(INDEX(AE$263:AE$279,$F1397),$D1397,INDEX(AE$23:AE$30,$E1397))</f>
        <v/>
      </c>
      <c r="AG1397" s="11">
        <f>CodePrefix&amp;$A1397&amp;IF($C1397="","","."&amp;$C1397&amp;"."&amp;$B1397)&amp;INDEX(VarEnd,MATCH($A1397,VarKey,0))&amp;AG$5</f>
        <v/>
      </c>
      <c r="AH1397" s="40">
        <f>INDEX(AH$263:AH$279,$F1397)*$D1397*INDEX(AH$23:AH$30,$E1397)</f>
        <v/>
      </c>
      <c r="AI1397" s="35">
        <f>INDEX(AI$263:AI$279,$F1397)*$D1397*INDEX(AI$23:AI$30,$E1397)</f>
        <v/>
      </c>
      <c r="AJ1397" s="35">
        <f>INDEX(AJ$263:AJ$279,$F1397)*$D1397*INDEX(AJ$23:AJ$30,$E1397)</f>
        <v/>
      </c>
      <c r="AK1397" s="35">
        <f>INDEX(AK$263:AK$279,$F1397)*$D1397*INDEX(AK$23:AK$30,$E1397)</f>
        <v/>
      </c>
      <c r="AL1397" s="35">
        <f>INDEX(AL$263:AL$279,$F1397)*$D1397*INDEX(AL$23:AL$30,$E1397)</f>
        <v/>
      </c>
      <c r="AM1397" s="35">
        <f>INDEX(AM$263:AM$279,$F1397)*$D1397*INDEX(AM$23:AM$30,$E1397)</f>
        <v/>
      </c>
      <c r="AN1397" s="35">
        <f>INDEX(AN$263:AN$279,$F1397)*$D1397*INDEX(AN$23:AN$30,$E1397)</f>
        <v/>
      </c>
      <c r="AO1397" s="35">
        <f>INDEX(AO$263:AO$279,$F1397)*$D1397*INDEX(AO$23:AO$30,$E1397)</f>
        <v/>
      </c>
      <c r="AP1397" s="35">
        <f>INDEX(AP$263:AP$279,$F1397)*$D1397*INDEX(AP$23:AP$30,$E1397)</f>
        <v/>
      </c>
      <c r="AQ1397" s="35">
        <f>INDEX(AQ$263:AQ$279,$F1397)*$D1397*INDEX(AQ$23:AQ$30,$E1397)</f>
        <v/>
      </c>
      <c r="AR1397" s="35">
        <f>INDEX(AR$263:AR$279,$F1397)*$D1397*INDEX(AR$23:AR$30,$E1397)</f>
        <v/>
      </c>
      <c r="AS1397" s="35">
        <f>INDEX(AS$263:AS$279,$F1397)*$D1397*INDEX(AS$23:AS$30,$E1397)</f>
        <v/>
      </c>
      <c r="AT1397" s="35">
        <f>INDEX(AT$263:AT$279,$F1397)*$D1397*INDEX(AT$23:AT$30,$E1397)</f>
        <v/>
      </c>
      <c r="AU1397" s="35">
        <f>INDEX(AU$263:AU$279,$F1397)*$D1397*INDEX(AU$23:AU$30,$E1397)</f>
        <v/>
      </c>
      <c r="AV1397" s="35">
        <f>INDEX(AV$263:AV$279,$F1397)*$D1397*INDEX(AV$23:AV$30,$E1397)</f>
        <v/>
      </c>
      <c r="AW1397" s="35">
        <f>INDEX(AW$263:AW$279,$F1397)*$D1397*INDEX(AW$23:AW$30,$E1397)</f>
        <v/>
      </c>
      <c r="AX1397" s="35">
        <f>INDEX(AX$263:AX$279,$F1397)*$D1397*INDEX(AX$23:AX$30,$E1397)</f>
        <v/>
      </c>
      <c r="AY1397" s="35">
        <f>INDEX(AY$263:AY$279,$F1397)*$D1397*INDEX(AY$23:AY$30,$E1397)</f>
        <v/>
      </c>
      <c r="AZ1397" s="35">
        <f>INDEX(AZ$263:AZ$279,$F1397)*$D1397*INDEX(AZ$23:AZ$30,$E1397)</f>
        <v/>
      </c>
      <c r="BA1397" s="42">
        <f>CARBONTAX(INDEX(BA$263:BA$279,$F1397),$D1397,INDEX(BA$23:BA$30,$E1397))</f>
        <v/>
      </c>
    </row>
    <row r="1398" hidden="1" outlineLevel="2">
      <c r="A1398" s="14" t="inlineStr">
        <is>
          <t>ctxnew</t>
        </is>
      </c>
      <c r="B1398" s="14" t="inlineStr">
        <is>
          <t>bio</t>
        </is>
      </c>
      <c r="C1398" s="14" t="inlineStr">
        <is>
          <t>nav</t>
        </is>
      </c>
      <c r="D1398" s="35">
        <f>INDEX(Inputs!$W$5:$W$132,MATCH($B1398&amp;"|"&amp;$C1398,Inputs!$A$5:$A$132,0))</f>
        <v/>
      </c>
      <c r="E1398" s="35">
        <f>INDEX(Inputs!$L$5:$L$132,MATCH($B1398&amp;"|"&amp;$C1398,Inputs!$A$5:$A$132,0))</f>
        <v/>
      </c>
      <c r="F1398" s="35">
        <f>INDEX(Inputs!$M$5:$M$132,MATCH($B1398&amp;"|"&amp;$C1398,Inputs!$A$5:$A$132,0))</f>
        <v/>
      </c>
      <c r="G1398" s="39" t="n"/>
      <c r="H1398" s="14">
        <f>INDEX(VarLab,MATCH($A1398,VarKey,0))&amp;INDEX(MemLab,MATCH($C1398&amp;"|"&amp;$B1398,MemKey,0))</f>
        <v/>
      </c>
      <c r="I1398" s="14">
        <f>INDEX(VarUnit,MATCH($A1398,VarKey,0))</f>
        <v/>
      </c>
      <c r="J1398" s="14">
        <f>INDEX(VarSrc,MATCH($A1398,VarKey,0))</f>
        <v/>
      </c>
      <c r="K1398" s="11">
        <f>CodePrefix&amp;$A1398&amp;IF($C1398="","","."&amp;$C1398&amp;"."&amp;$B1398)&amp;INDEX(VarEnd,MATCH($A1398,VarKey,0))&amp;K$5</f>
        <v/>
      </c>
      <c r="L1398" s="40">
        <f>INDEX(L$263:L$279,$F1398)*$D1398*INDEX(L$23:L$30,$E1398)</f>
        <v/>
      </c>
      <c r="M1398" s="35">
        <f>INDEX(M$263:M$279,$F1398)*$D1398*INDEX(M$23:M$30,$E1398)</f>
        <v/>
      </c>
      <c r="N1398" s="35">
        <f>INDEX(N$263:N$279,$F1398)*$D1398*INDEX(N$23:N$30,$E1398)</f>
        <v/>
      </c>
      <c r="O1398" s="35">
        <f>INDEX(O$263:O$279,$F1398)*$D1398*INDEX(O$23:O$30,$E1398)</f>
        <v/>
      </c>
      <c r="P1398" s="35">
        <f>INDEX(P$263:P$279,$F1398)*$D1398*INDEX(P$23:P$30,$E1398)</f>
        <v/>
      </c>
      <c r="Q1398" s="35">
        <f>INDEX(Q$263:Q$279,$F1398)*$D1398*INDEX(Q$23:Q$30,$E1398)</f>
        <v/>
      </c>
      <c r="R1398" s="35">
        <f>INDEX(R$263:R$279,$F1398)*$D1398*INDEX(R$23:R$30,$E1398)</f>
        <v/>
      </c>
      <c r="S1398" s="35">
        <f>INDEX(S$263:S$279,$F1398)*$D1398*INDEX(S$23:S$30,$E1398)</f>
        <v/>
      </c>
      <c r="T1398" s="35">
        <f>INDEX(T$263:T$279,$F1398)*$D1398*INDEX(T$23:T$30,$E1398)</f>
        <v/>
      </c>
      <c r="U1398" s="35">
        <f>INDEX(U$263:U$279,$F1398)*$D1398*INDEX(U$23:U$30,$E1398)</f>
        <v/>
      </c>
      <c r="V1398" s="35">
        <f>INDEX(V$263:V$279,$F1398)*$D1398*INDEX(V$23:V$30,$E1398)</f>
        <v/>
      </c>
      <c r="W1398" s="35">
        <f>INDEX(W$263:W$279,$F1398)*$D1398*INDEX(W$23:W$30,$E1398)</f>
        <v/>
      </c>
      <c r="X1398" s="35">
        <f>INDEX(X$263:X$279,$F1398)*$D1398*INDEX(X$23:X$30,$E1398)</f>
        <v/>
      </c>
      <c r="Y1398" s="35">
        <f>INDEX(Y$263:Y$279,$F1398)*$D1398*INDEX(Y$23:Y$30,$E1398)</f>
        <v/>
      </c>
      <c r="Z1398" s="35">
        <f>INDEX(Z$263:Z$279,$F1398)*$D1398*INDEX(Z$23:Z$30,$E1398)</f>
        <v/>
      </c>
      <c r="AA1398" s="35">
        <f>INDEX(AA$263:AA$279,$F1398)*$D1398*INDEX(AA$23:AA$30,$E1398)</f>
        <v/>
      </c>
      <c r="AB1398" s="35">
        <f>INDEX(AB$263:AB$279,$F1398)*$D1398*INDEX(AB$23:AB$30,$E1398)</f>
        <v/>
      </c>
      <c r="AC1398" s="35">
        <f>INDEX(AC$263:AC$279,$F1398)*$D1398*INDEX(AC$23:AC$30,$E1398)</f>
        <v/>
      </c>
      <c r="AD1398" s="35">
        <f>INDEX(AD$263:AD$279,$F1398)*$D1398*INDEX(AD$23:AD$30,$E1398)</f>
        <v/>
      </c>
      <c r="AE1398" s="42">
        <f>CARBONTAX(INDEX(AE$263:AE$279,$F1398),$D1398,INDEX(AE$23:AE$30,$E1398))</f>
        <v/>
      </c>
      <c r="AG1398" s="11">
        <f>CodePrefix&amp;$A1398&amp;IF($C1398="","","."&amp;$C1398&amp;"."&amp;$B1398)&amp;INDEX(VarEnd,MATCH($A1398,VarKey,0))&amp;AG$5</f>
        <v/>
      </c>
      <c r="AH1398" s="40">
        <f>INDEX(AH$263:AH$279,$F1398)*$D1398*INDEX(AH$23:AH$30,$E1398)</f>
        <v/>
      </c>
      <c r="AI1398" s="35">
        <f>INDEX(AI$263:AI$279,$F1398)*$D1398*INDEX(AI$23:AI$30,$E1398)</f>
        <v/>
      </c>
      <c r="AJ1398" s="35">
        <f>INDEX(AJ$263:AJ$279,$F1398)*$D1398*INDEX(AJ$23:AJ$30,$E1398)</f>
        <v/>
      </c>
      <c r="AK1398" s="35">
        <f>INDEX(AK$263:AK$279,$F1398)*$D1398*INDEX(AK$23:AK$30,$E1398)</f>
        <v/>
      </c>
      <c r="AL1398" s="35">
        <f>INDEX(AL$263:AL$279,$F1398)*$D1398*INDEX(AL$23:AL$30,$E1398)</f>
        <v/>
      </c>
      <c r="AM1398" s="35">
        <f>INDEX(AM$263:AM$279,$F1398)*$D1398*INDEX(AM$23:AM$30,$E1398)</f>
        <v/>
      </c>
      <c r="AN1398" s="35">
        <f>INDEX(AN$263:AN$279,$F1398)*$D1398*INDEX(AN$23:AN$30,$E1398)</f>
        <v/>
      </c>
      <c r="AO1398" s="35">
        <f>INDEX(AO$263:AO$279,$F1398)*$D1398*INDEX(AO$23:AO$30,$E1398)</f>
        <v/>
      </c>
      <c r="AP1398" s="35">
        <f>INDEX(AP$263:AP$279,$F1398)*$D1398*INDEX(AP$23:AP$30,$E1398)</f>
        <v/>
      </c>
      <c r="AQ1398" s="35">
        <f>INDEX(AQ$263:AQ$279,$F1398)*$D1398*INDEX(AQ$23:AQ$30,$E1398)</f>
        <v/>
      </c>
      <c r="AR1398" s="35">
        <f>INDEX(AR$263:AR$279,$F1398)*$D1398*INDEX(AR$23:AR$30,$E1398)</f>
        <v/>
      </c>
      <c r="AS1398" s="35">
        <f>INDEX(AS$263:AS$279,$F1398)*$D1398*INDEX(AS$23:AS$30,$E1398)</f>
        <v/>
      </c>
      <c r="AT1398" s="35">
        <f>INDEX(AT$263:AT$279,$F1398)*$D1398*INDEX(AT$23:AT$30,$E1398)</f>
        <v/>
      </c>
      <c r="AU1398" s="35">
        <f>INDEX(AU$263:AU$279,$F1398)*$D1398*INDEX(AU$23:AU$30,$E1398)</f>
        <v/>
      </c>
      <c r="AV1398" s="35">
        <f>INDEX(AV$263:AV$279,$F1398)*$D1398*INDEX(AV$23:AV$30,$E1398)</f>
        <v/>
      </c>
      <c r="AW1398" s="35">
        <f>INDEX(AW$263:AW$279,$F1398)*$D1398*INDEX(AW$23:AW$30,$E1398)</f>
        <v/>
      </c>
      <c r="AX1398" s="35">
        <f>INDEX(AX$263:AX$279,$F1398)*$D1398*INDEX(AX$23:AX$30,$E1398)</f>
        <v/>
      </c>
      <c r="AY1398" s="35">
        <f>INDEX(AY$263:AY$279,$F1398)*$D1398*INDEX(AY$23:AY$30,$E1398)</f>
        <v/>
      </c>
      <c r="AZ1398" s="35">
        <f>INDEX(AZ$263:AZ$279,$F1398)*$D1398*INDEX(AZ$23:AZ$30,$E1398)</f>
        <v/>
      </c>
      <c r="BA1398" s="42">
        <f>CARBONTAX(INDEX(BA$263:BA$279,$F1398),$D1398,INDEX(BA$23:BA$30,$E1398))</f>
        <v/>
      </c>
    </row>
    <row r="1399" hidden="1" outlineLevel="2"/>
    <row r="1400" hidden="1" outlineLevel="2">
      <c r="A1400" s="14" t="inlineStr">
        <is>
          <t>ets</t>
        </is>
      </c>
      <c r="B1400" s="14" t="inlineStr">
        <is>
          <t>coa</t>
        </is>
      </c>
      <c r="C1400" s="14" t="inlineStr">
        <is>
          <t>nav</t>
        </is>
      </c>
      <c r="D1400" s="35">
        <f>INDEX(Inputs!$W$5:$W$132,MATCH($B1400&amp;"|"&amp;$C1400,Inputs!$A$5:$A$132,0))</f>
        <v/>
      </c>
      <c r="E1400" s="35">
        <f>INDEX(Inputs!$M$5:$M$132,MATCH($B1400&amp;"|"&amp;$C1400,Inputs!$A$5:$A$132,0))</f>
        <v/>
      </c>
      <c r="F1400" s="39" t="n"/>
      <c r="G1400" s="39" t="n"/>
      <c r="H1400" s="14">
        <f>INDEX(VarLab,MATCH($A1400,VarKey,0))&amp;INDEX(MemLab,MATCH($C1400&amp;"|"&amp;$B1400,MemKey,0))</f>
        <v/>
      </c>
      <c r="I1400" s="14">
        <f>INDEX(VarUnit,MATCH($A1400,VarKey,0))</f>
        <v/>
      </c>
      <c r="J1400" s="14">
        <f>INDEX(VarSrc,MATCH($A1400,VarKey,0))</f>
        <v/>
      </c>
      <c r="K1400" s="11">
        <f>CodePrefix&amp;$A1400&amp;IF($C1400="","","."&amp;$C1400&amp;"."&amp;$B1400)&amp;INDEX(VarEnd,MATCH($A1400,VarKey,0))&amp;K$5</f>
        <v/>
      </c>
      <c r="L1400" s="40">
        <f>INDEX(L$280:L$296,$E1400)*$D1400</f>
        <v/>
      </c>
      <c r="M1400" s="35">
        <f>INDEX(M$280:M$296,$E1400)*$D1400</f>
        <v/>
      </c>
      <c r="N1400" s="35">
        <f>INDEX(N$280:N$296,$E1400)*$D1400</f>
        <v/>
      </c>
      <c r="O1400" s="35">
        <f>INDEX(O$280:O$296,$E1400)*$D1400</f>
        <v/>
      </c>
      <c r="P1400" s="35">
        <f>INDEX(P$280:P$296,$E1400)*$D1400</f>
        <v/>
      </c>
      <c r="Q1400" s="35">
        <f>INDEX(Q$280:Q$296,$E1400)*$D1400</f>
        <v/>
      </c>
      <c r="R1400" s="35">
        <f>INDEX(R$280:R$296,$E1400)*$D1400</f>
        <v/>
      </c>
      <c r="S1400" s="35">
        <f>INDEX(S$280:S$296,$E1400)*$D1400</f>
        <v/>
      </c>
      <c r="T1400" s="35">
        <f>INDEX(T$280:T$296,$E1400)*$D1400</f>
        <v/>
      </c>
      <c r="U1400" s="35">
        <f>INDEX(U$280:U$296,$E1400)*$D1400</f>
        <v/>
      </c>
      <c r="V1400" s="35">
        <f>INDEX(V$280:V$296,$E1400)*$D1400</f>
        <v/>
      </c>
      <c r="W1400" s="35">
        <f>INDEX(W$280:W$296,$E1400)*$D1400</f>
        <v/>
      </c>
      <c r="X1400" s="35">
        <f>INDEX(X$280:X$296,$E1400)*$D1400</f>
        <v/>
      </c>
      <c r="Y1400" s="35">
        <f>INDEX(Y$280:Y$296,$E1400)*$D1400</f>
        <v/>
      </c>
      <c r="Z1400" s="35">
        <f>INDEX(Z$280:Z$296,$E1400)*$D1400</f>
        <v/>
      </c>
      <c r="AA1400" s="35">
        <f>INDEX(AA$280:AA$296,$E1400)*$D1400</f>
        <v/>
      </c>
      <c r="AB1400" s="35">
        <f>INDEX(AB$280:AB$296,$E1400)*$D1400</f>
        <v/>
      </c>
      <c r="AC1400" s="35">
        <f>INDEX(AC$280:AC$296,$E1400)*$D1400</f>
        <v/>
      </c>
      <c r="AD1400" s="35">
        <f>INDEX(AD$280:AD$296,$E1400)*$D1400</f>
        <v/>
      </c>
      <c r="AE1400" s="42">
        <f>ETSCOST(INDEX(AE$280:AE$296,$E1400),$D1400)</f>
        <v/>
      </c>
      <c r="AG1400" s="11">
        <f>CodePrefix&amp;$A1400&amp;IF($C1400="","","."&amp;$C1400&amp;"."&amp;$B1400)&amp;INDEX(VarEnd,MATCH($A1400,VarKey,0))&amp;AG$5</f>
        <v/>
      </c>
      <c r="AH1400" s="40">
        <f>INDEX(AH$280:AH$296,$E1400)*$D1400</f>
        <v/>
      </c>
      <c r="AI1400" s="35">
        <f>INDEX(AI$280:AI$296,$E1400)*$D1400</f>
        <v/>
      </c>
      <c r="AJ1400" s="35">
        <f>INDEX(AJ$280:AJ$296,$E1400)*$D1400</f>
        <v/>
      </c>
      <c r="AK1400" s="35">
        <f>INDEX(AK$280:AK$296,$E1400)*$D1400</f>
        <v/>
      </c>
      <c r="AL1400" s="35">
        <f>INDEX(AL$280:AL$296,$E1400)*$D1400</f>
        <v/>
      </c>
      <c r="AM1400" s="35">
        <f>INDEX(AM$280:AM$296,$E1400)*$D1400</f>
        <v/>
      </c>
      <c r="AN1400" s="35">
        <f>INDEX(AN$280:AN$296,$E1400)*$D1400</f>
        <v/>
      </c>
      <c r="AO1400" s="35">
        <f>INDEX(AO$280:AO$296,$E1400)*$D1400</f>
        <v/>
      </c>
      <c r="AP1400" s="35">
        <f>INDEX(AP$280:AP$296,$E1400)*$D1400</f>
        <v/>
      </c>
      <c r="AQ1400" s="35">
        <f>INDEX(AQ$280:AQ$296,$E1400)*$D1400</f>
        <v/>
      </c>
      <c r="AR1400" s="35">
        <f>INDEX(AR$280:AR$296,$E1400)*$D1400</f>
        <v/>
      </c>
      <c r="AS1400" s="35">
        <f>INDEX(AS$280:AS$296,$E1400)*$D1400</f>
        <v/>
      </c>
      <c r="AT1400" s="35">
        <f>INDEX(AT$280:AT$296,$E1400)*$D1400</f>
        <v/>
      </c>
      <c r="AU1400" s="35">
        <f>INDEX(AU$280:AU$296,$E1400)*$D1400</f>
        <v/>
      </c>
      <c r="AV1400" s="35">
        <f>INDEX(AV$280:AV$296,$E1400)*$D1400</f>
        <v/>
      </c>
      <c r="AW1400" s="35">
        <f>INDEX(AW$280:AW$296,$E1400)*$D1400</f>
        <v/>
      </c>
      <c r="AX1400" s="35">
        <f>INDEX(AX$280:AX$296,$E1400)*$D1400</f>
        <v/>
      </c>
      <c r="AY1400" s="35">
        <f>INDEX(AY$280:AY$296,$E1400)*$D1400</f>
        <v/>
      </c>
      <c r="AZ1400" s="35">
        <f>INDEX(AZ$280:AZ$296,$E1400)*$D1400</f>
        <v/>
      </c>
      <c r="BA1400" s="42">
        <f>ETSCOST(INDEX(BA$280:BA$296,$E1400),$D1400)</f>
        <v/>
      </c>
    </row>
    <row r="1401" hidden="1" outlineLevel="2">
      <c r="A1401" s="14" t="inlineStr">
        <is>
          <t>ets</t>
        </is>
      </c>
      <c r="B1401" s="14" t="inlineStr">
        <is>
          <t>nga</t>
        </is>
      </c>
      <c r="C1401" s="14" t="inlineStr">
        <is>
          <t>nav</t>
        </is>
      </c>
      <c r="D1401" s="35">
        <f>INDEX(Inputs!$W$5:$W$132,MATCH($B1401&amp;"|"&amp;$C1401,Inputs!$A$5:$A$132,0))</f>
        <v/>
      </c>
      <c r="E1401" s="35">
        <f>INDEX(Inputs!$M$5:$M$132,MATCH($B1401&amp;"|"&amp;$C1401,Inputs!$A$5:$A$132,0))</f>
        <v/>
      </c>
      <c r="F1401" s="39" t="n"/>
      <c r="G1401" s="39" t="n"/>
      <c r="H1401" s="14">
        <f>INDEX(VarLab,MATCH($A1401,VarKey,0))&amp;INDEX(MemLab,MATCH($C1401&amp;"|"&amp;$B1401,MemKey,0))</f>
        <v/>
      </c>
      <c r="I1401" s="14">
        <f>INDEX(VarUnit,MATCH($A1401,VarKey,0))</f>
        <v/>
      </c>
      <c r="J1401" s="14">
        <f>INDEX(VarSrc,MATCH($A1401,VarKey,0))</f>
        <v/>
      </c>
      <c r="K1401" s="11">
        <f>CodePrefix&amp;$A1401&amp;IF($C1401="","","."&amp;$C1401&amp;"."&amp;$B1401)&amp;INDEX(VarEnd,MATCH($A1401,VarKey,0))&amp;K$5</f>
        <v/>
      </c>
      <c r="L1401" s="40">
        <f>INDEX(L$280:L$296,$E1401)*$D1401</f>
        <v/>
      </c>
      <c r="M1401" s="35">
        <f>INDEX(M$280:M$296,$E1401)*$D1401</f>
        <v/>
      </c>
      <c r="N1401" s="35">
        <f>INDEX(N$280:N$296,$E1401)*$D1401</f>
        <v/>
      </c>
      <c r="O1401" s="35">
        <f>INDEX(O$280:O$296,$E1401)*$D1401</f>
        <v/>
      </c>
      <c r="P1401" s="35">
        <f>INDEX(P$280:P$296,$E1401)*$D1401</f>
        <v/>
      </c>
      <c r="Q1401" s="35">
        <f>INDEX(Q$280:Q$296,$E1401)*$D1401</f>
        <v/>
      </c>
      <c r="R1401" s="35">
        <f>INDEX(R$280:R$296,$E1401)*$D1401</f>
        <v/>
      </c>
      <c r="S1401" s="35">
        <f>INDEX(S$280:S$296,$E1401)*$D1401</f>
        <v/>
      </c>
      <c r="T1401" s="35">
        <f>INDEX(T$280:T$296,$E1401)*$D1401</f>
        <v/>
      </c>
      <c r="U1401" s="35">
        <f>INDEX(U$280:U$296,$E1401)*$D1401</f>
        <v/>
      </c>
      <c r="V1401" s="35">
        <f>INDEX(V$280:V$296,$E1401)*$D1401</f>
        <v/>
      </c>
      <c r="W1401" s="35">
        <f>INDEX(W$280:W$296,$E1401)*$D1401</f>
        <v/>
      </c>
      <c r="X1401" s="35">
        <f>INDEX(X$280:X$296,$E1401)*$D1401</f>
        <v/>
      </c>
      <c r="Y1401" s="35">
        <f>INDEX(Y$280:Y$296,$E1401)*$D1401</f>
        <v/>
      </c>
      <c r="Z1401" s="35">
        <f>INDEX(Z$280:Z$296,$E1401)*$D1401</f>
        <v/>
      </c>
      <c r="AA1401" s="35">
        <f>INDEX(AA$280:AA$296,$E1401)*$D1401</f>
        <v/>
      </c>
      <c r="AB1401" s="35">
        <f>INDEX(AB$280:AB$296,$E1401)*$D1401</f>
        <v/>
      </c>
      <c r="AC1401" s="35">
        <f>INDEX(AC$280:AC$296,$E1401)*$D1401</f>
        <v/>
      </c>
      <c r="AD1401" s="35">
        <f>INDEX(AD$280:AD$296,$E1401)*$D1401</f>
        <v/>
      </c>
      <c r="AE1401" s="42">
        <f>ETSCOST(INDEX(AE$280:AE$296,$E1401),$D1401)</f>
        <v/>
      </c>
      <c r="AG1401" s="11">
        <f>CodePrefix&amp;$A1401&amp;IF($C1401="","","."&amp;$C1401&amp;"."&amp;$B1401)&amp;INDEX(VarEnd,MATCH($A1401,VarKey,0))&amp;AG$5</f>
        <v/>
      </c>
      <c r="AH1401" s="40">
        <f>INDEX(AH$280:AH$296,$E1401)*$D1401</f>
        <v/>
      </c>
      <c r="AI1401" s="35">
        <f>INDEX(AI$280:AI$296,$E1401)*$D1401</f>
        <v/>
      </c>
      <c r="AJ1401" s="35">
        <f>INDEX(AJ$280:AJ$296,$E1401)*$D1401</f>
        <v/>
      </c>
      <c r="AK1401" s="35">
        <f>INDEX(AK$280:AK$296,$E1401)*$D1401</f>
        <v/>
      </c>
      <c r="AL1401" s="35">
        <f>INDEX(AL$280:AL$296,$E1401)*$D1401</f>
        <v/>
      </c>
      <c r="AM1401" s="35">
        <f>INDEX(AM$280:AM$296,$E1401)*$D1401</f>
        <v/>
      </c>
      <c r="AN1401" s="35">
        <f>INDEX(AN$280:AN$296,$E1401)*$D1401</f>
        <v/>
      </c>
      <c r="AO1401" s="35">
        <f>INDEX(AO$280:AO$296,$E1401)*$D1401</f>
        <v/>
      </c>
      <c r="AP1401" s="35">
        <f>INDEX(AP$280:AP$296,$E1401)*$D1401</f>
        <v/>
      </c>
      <c r="AQ1401" s="35">
        <f>INDEX(AQ$280:AQ$296,$E1401)*$D1401</f>
        <v/>
      </c>
      <c r="AR1401" s="35">
        <f>INDEX(AR$280:AR$296,$E1401)*$D1401</f>
        <v/>
      </c>
      <c r="AS1401" s="35">
        <f>INDEX(AS$280:AS$296,$E1401)*$D1401</f>
        <v/>
      </c>
      <c r="AT1401" s="35">
        <f>INDEX(AT$280:AT$296,$E1401)*$D1401</f>
        <v/>
      </c>
      <c r="AU1401" s="35">
        <f>INDEX(AU$280:AU$296,$E1401)*$D1401</f>
        <v/>
      </c>
      <c r="AV1401" s="35">
        <f>INDEX(AV$280:AV$296,$E1401)*$D1401</f>
        <v/>
      </c>
      <c r="AW1401" s="35">
        <f>INDEX(AW$280:AW$296,$E1401)*$D1401</f>
        <v/>
      </c>
      <c r="AX1401" s="35">
        <f>INDEX(AX$280:AX$296,$E1401)*$D1401</f>
        <v/>
      </c>
      <c r="AY1401" s="35">
        <f>INDEX(AY$280:AY$296,$E1401)*$D1401</f>
        <v/>
      </c>
      <c r="AZ1401" s="35">
        <f>INDEX(AZ$280:AZ$296,$E1401)*$D1401</f>
        <v/>
      </c>
      <c r="BA1401" s="42">
        <f>ETSCOST(INDEX(BA$280:BA$296,$E1401),$D1401)</f>
        <v/>
      </c>
    </row>
    <row r="1402" hidden="1" outlineLevel="2">
      <c r="A1402" s="14" t="inlineStr">
        <is>
          <t>ets</t>
        </is>
      </c>
      <c r="B1402" s="14" t="inlineStr">
        <is>
          <t>gso</t>
        </is>
      </c>
      <c r="C1402" s="14" t="inlineStr">
        <is>
          <t>nav</t>
        </is>
      </c>
      <c r="D1402" s="35">
        <f>INDEX(Inputs!$W$5:$W$132,MATCH($B1402&amp;"|"&amp;$C1402,Inputs!$A$5:$A$132,0))</f>
        <v/>
      </c>
      <c r="E1402" s="35">
        <f>INDEX(Inputs!$M$5:$M$132,MATCH($B1402&amp;"|"&amp;$C1402,Inputs!$A$5:$A$132,0))</f>
        <v/>
      </c>
      <c r="F1402" s="39" t="n"/>
      <c r="G1402" s="39" t="n"/>
      <c r="H1402" s="14">
        <f>INDEX(VarLab,MATCH($A1402,VarKey,0))&amp;INDEX(MemLab,MATCH($C1402&amp;"|"&amp;$B1402,MemKey,0))</f>
        <v/>
      </c>
      <c r="I1402" s="14">
        <f>INDEX(VarUnit,MATCH($A1402,VarKey,0))</f>
        <v/>
      </c>
      <c r="J1402" s="14">
        <f>INDEX(VarSrc,MATCH($A1402,VarKey,0))</f>
        <v/>
      </c>
      <c r="K1402" s="11">
        <f>CodePrefix&amp;$A1402&amp;IF($C1402="","","."&amp;$C1402&amp;"."&amp;$B1402)&amp;INDEX(VarEnd,MATCH($A1402,VarKey,0))&amp;K$5</f>
        <v/>
      </c>
      <c r="L1402" s="40">
        <f>INDEX(L$280:L$296,$E1402)*$D1402</f>
        <v/>
      </c>
      <c r="M1402" s="35">
        <f>INDEX(M$280:M$296,$E1402)*$D1402</f>
        <v/>
      </c>
      <c r="N1402" s="35">
        <f>INDEX(N$280:N$296,$E1402)*$D1402</f>
        <v/>
      </c>
      <c r="O1402" s="35">
        <f>INDEX(O$280:O$296,$E1402)*$D1402</f>
        <v/>
      </c>
      <c r="P1402" s="35">
        <f>INDEX(P$280:P$296,$E1402)*$D1402</f>
        <v/>
      </c>
      <c r="Q1402" s="35">
        <f>INDEX(Q$280:Q$296,$E1402)*$D1402</f>
        <v/>
      </c>
      <c r="R1402" s="35">
        <f>INDEX(R$280:R$296,$E1402)*$D1402</f>
        <v/>
      </c>
      <c r="S1402" s="35">
        <f>INDEX(S$280:S$296,$E1402)*$D1402</f>
        <v/>
      </c>
      <c r="T1402" s="35">
        <f>INDEX(T$280:T$296,$E1402)*$D1402</f>
        <v/>
      </c>
      <c r="U1402" s="35">
        <f>INDEX(U$280:U$296,$E1402)*$D1402</f>
        <v/>
      </c>
      <c r="V1402" s="35">
        <f>INDEX(V$280:V$296,$E1402)*$D1402</f>
        <v/>
      </c>
      <c r="W1402" s="35">
        <f>INDEX(W$280:W$296,$E1402)*$D1402</f>
        <v/>
      </c>
      <c r="X1402" s="35">
        <f>INDEX(X$280:X$296,$E1402)*$D1402</f>
        <v/>
      </c>
      <c r="Y1402" s="35">
        <f>INDEX(Y$280:Y$296,$E1402)*$D1402</f>
        <v/>
      </c>
      <c r="Z1402" s="35">
        <f>INDEX(Z$280:Z$296,$E1402)*$D1402</f>
        <v/>
      </c>
      <c r="AA1402" s="35">
        <f>INDEX(AA$280:AA$296,$E1402)*$D1402</f>
        <v/>
      </c>
      <c r="AB1402" s="35">
        <f>INDEX(AB$280:AB$296,$E1402)*$D1402</f>
        <v/>
      </c>
      <c r="AC1402" s="35">
        <f>INDEX(AC$280:AC$296,$E1402)*$D1402</f>
        <v/>
      </c>
      <c r="AD1402" s="35">
        <f>INDEX(AD$280:AD$296,$E1402)*$D1402</f>
        <v/>
      </c>
      <c r="AE1402" s="42">
        <f>ETSCOST(INDEX(AE$280:AE$296,$E1402),$D1402)</f>
        <v/>
      </c>
      <c r="AG1402" s="11">
        <f>CodePrefix&amp;$A1402&amp;IF($C1402="","","."&amp;$C1402&amp;"."&amp;$B1402)&amp;INDEX(VarEnd,MATCH($A1402,VarKey,0))&amp;AG$5</f>
        <v/>
      </c>
      <c r="AH1402" s="40">
        <f>INDEX(AH$280:AH$296,$E1402)*$D1402</f>
        <v/>
      </c>
      <c r="AI1402" s="35">
        <f>INDEX(AI$280:AI$296,$E1402)*$D1402</f>
        <v/>
      </c>
      <c r="AJ1402" s="35">
        <f>INDEX(AJ$280:AJ$296,$E1402)*$D1402</f>
        <v/>
      </c>
      <c r="AK1402" s="35">
        <f>INDEX(AK$280:AK$296,$E1402)*$D1402</f>
        <v/>
      </c>
      <c r="AL1402" s="35">
        <f>INDEX(AL$280:AL$296,$E1402)*$D1402</f>
        <v/>
      </c>
      <c r="AM1402" s="35">
        <f>INDEX(AM$280:AM$296,$E1402)*$D1402</f>
        <v/>
      </c>
      <c r="AN1402" s="35">
        <f>INDEX(AN$280:AN$296,$E1402)*$D1402</f>
        <v/>
      </c>
      <c r="AO1402" s="35">
        <f>INDEX(AO$280:AO$296,$E1402)*$D1402</f>
        <v/>
      </c>
      <c r="AP1402" s="35">
        <f>INDEX(AP$280:AP$296,$E1402)*$D1402</f>
        <v/>
      </c>
      <c r="AQ1402" s="35">
        <f>INDEX(AQ$280:AQ$296,$E1402)*$D1402</f>
        <v/>
      </c>
      <c r="AR1402" s="35">
        <f>INDEX(AR$280:AR$296,$E1402)*$D1402</f>
        <v/>
      </c>
      <c r="AS1402" s="35">
        <f>INDEX(AS$280:AS$296,$E1402)*$D1402</f>
        <v/>
      </c>
      <c r="AT1402" s="35">
        <f>INDEX(AT$280:AT$296,$E1402)*$D1402</f>
        <v/>
      </c>
      <c r="AU1402" s="35">
        <f>INDEX(AU$280:AU$296,$E1402)*$D1402</f>
        <v/>
      </c>
      <c r="AV1402" s="35">
        <f>INDEX(AV$280:AV$296,$E1402)*$D1402</f>
        <v/>
      </c>
      <c r="AW1402" s="35">
        <f>INDEX(AW$280:AW$296,$E1402)*$D1402</f>
        <v/>
      </c>
      <c r="AX1402" s="35">
        <f>INDEX(AX$280:AX$296,$E1402)*$D1402</f>
        <v/>
      </c>
      <c r="AY1402" s="35">
        <f>INDEX(AY$280:AY$296,$E1402)*$D1402</f>
        <v/>
      </c>
      <c r="AZ1402" s="35">
        <f>INDEX(AZ$280:AZ$296,$E1402)*$D1402</f>
        <v/>
      </c>
      <c r="BA1402" s="42">
        <f>ETSCOST(INDEX(BA$280:BA$296,$E1402),$D1402)</f>
        <v/>
      </c>
    </row>
    <row r="1403" hidden="1" outlineLevel="2">
      <c r="A1403" s="14" t="inlineStr">
        <is>
          <t>ets</t>
        </is>
      </c>
      <c r="B1403" s="14" t="inlineStr">
        <is>
          <t>die</t>
        </is>
      </c>
      <c r="C1403" s="14" t="inlineStr">
        <is>
          <t>nav</t>
        </is>
      </c>
      <c r="D1403" s="35">
        <f>INDEX(Inputs!$W$5:$W$132,MATCH($B1403&amp;"|"&amp;$C1403,Inputs!$A$5:$A$132,0))</f>
        <v/>
      </c>
      <c r="E1403" s="35">
        <f>INDEX(Inputs!$M$5:$M$132,MATCH($B1403&amp;"|"&amp;$C1403,Inputs!$A$5:$A$132,0))</f>
        <v/>
      </c>
      <c r="F1403" s="39" t="n"/>
      <c r="G1403" s="39" t="n"/>
      <c r="H1403" s="14">
        <f>INDEX(VarLab,MATCH($A1403,VarKey,0))&amp;INDEX(MemLab,MATCH($C1403&amp;"|"&amp;$B1403,MemKey,0))</f>
        <v/>
      </c>
      <c r="I1403" s="14">
        <f>INDEX(VarUnit,MATCH($A1403,VarKey,0))</f>
        <v/>
      </c>
      <c r="J1403" s="14">
        <f>INDEX(VarSrc,MATCH($A1403,VarKey,0))</f>
        <v/>
      </c>
      <c r="K1403" s="11">
        <f>CodePrefix&amp;$A1403&amp;IF($C1403="","","."&amp;$C1403&amp;"."&amp;$B1403)&amp;INDEX(VarEnd,MATCH($A1403,VarKey,0))&amp;K$5</f>
        <v/>
      </c>
      <c r="L1403" s="40">
        <f>INDEX(L$280:L$296,$E1403)*$D1403</f>
        <v/>
      </c>
      <c r="M1403" s="35">
        <f>INDEX(M$280:M$296,$E1403)*$D1403</f>
        <v/>
      </c>
      <c r="N1403" s="35">
        <f>INDEX(N$280:N$296,$E1403)*$D1403</f>
        <v/>
      </c>
      <c r="O1403" s="35">
        <f>INDEX(O$280:O$296,$E1403)*$D1403</f>
        <v/>
      </c>
      <c r="P1403" s="35">
        <f>INDEX(P$280:P$296,$E1403)*$D1403</f>
        <v/>
      </c>
      <c r="Q1403" s="35">
        <f>INDEX(Q$280:Q$296,$E1403)*$D1403</f>
        <v/>
      </c>
      <c r="R1403" s="35">
        <f>INDEX(R$280:R$296,$E1403)*$D1403</f>
        <v/>
      </c>
      <c r="S1403" s="35">
        <f>INDEX(S$280:S$296,$E1403)*$D1403</f>
        <v/>
      </c>
      <c r="T1403" s="35">
        <f>INDEX(T$280:T$296,$E1403)*$D1403</f>
        <v/>
      </c>
      <c r="U1403" s="35">
        <f>INDEX(U$280:U$296,$E1403)*$D1403</f>
        <v/>
      </c>
      <c r="V1403" s="35">
        <f>INDEX(V$280:V$296,$E1403)*$D1403</f>
        <v/>
      </c>
      <c r="W1403" s="35">
        <f>INDEX(W$280:W$296,$E1403)*$D1403</f>
        <v/>
      </c>
      <c r="X1403" s="35">
        <f>INDEX(X$280:X$296,$E1403)*$D1403</f>
        <v/>
      </c>
      <c r="Y1403" s="35">
        <f>INDEX(Y$280:Y$296,$E1403)*$D1403</f>
        <v/>
      </c>
      <c r="Z1403" s="35">
        <f>INDEX(Z$280:Z$296,$E1403)*$D1403</f>
        <v/>
      </c>
      <c r="AA1403" s="35">
        <f>INDEX(AA$280:AA$296,$E1403)*$D1403</f>
        <v/>
      </c>
      <c r="AB1403" s="35">
        <f>INDEX(AB$280:AB$296,$E1403)*$D1403</f>
        <v/>
      </c>
      <c r="AC1403" s="35">
        <f>INDEX(AC$280:AC$296,$E1403)*$D1403</f>
        <v/>
      </c>
      <c r="AD1403" s="35">
        <f>INDEX(AD$280:AD$296,$E1403)*$D1403</f>
        <v/>
      </c>
      <c r="AE1403" s="42">
        <f>ETSCOST(INDEX(AE$280:AE$296,$E1403),$D1403)</f>
        <v/>
      </c>
      <c r="AG1403" s="11">
        <f>CodePrefix&amp;$A1403&amp;IF($C1403="","","."&amp;$C1403&amp;"."&amp;$B1403)&amp;INDEX(VarEnd,MATCH($A1403,VarKey,0))&amp;AG$5</f>
        <v/>
      </c>
      <c r="AH1403" s="40">
        <f>INDEX(AH$280:AH$296,$E1403)*$D1403</f>
        <v/>
      </c>
      <c r="AI1403" s="35">
        <f>INDEX(AI$280:AI$296,$E1403)*$D1403</f>
        <v/>
      </c>
      <c r="AJ1403" s="35">
        <f>INDEX(AJ$280:AJ$296,$E1403)*$D1403</f>
        <v/>
      </c>
      <c r="AK1403" s="35">
        <f>INDEX(AK$280:AK$296,$E1403)*$D1403</f>
        <v/>
      </c>
      <c r="AL1403" s="35">
        <f>INDEX(AL$280:AL$296,$E1403)*$D1403</f>
        <v/>
      </c>
      <c r="AM1403" s="35">
        <f>INDEX(AM$280:AM$296,$E1403)*$D1403</f>
        <v/>
      </c>
      <c r="AN1403" s="35">
        <f>INDEX(AN$280:AN$296,$E1403)*$D1403</f>
        <v/>
      </c>
      <c r="AO1403" s="35">
        <f>INDEX(AO$280:AO$296,$E1403)*$D1403</f>
        <v/>
      </c>
      <c r="AP1403" s="35">
        <f>INDEX(AP$280:AP$296,$E1403)*$D1403</f>
        <v/>
      </c>
      <c r="AQ1403" s="35">
        <f>INDEX(AQ$280:AQ$296,$E1403)*$D1403</f>
        <v/>
      </c>
      <c r="AR1403" s="35">
        <f>INDEX(AR$280:AR$296,$E1403)*$D1403</f>
        <v/>
      </c>
      <c r="AS1403" s="35">
        <f>INDEX(AS$280:AS$296,$E1403)*$D1403</f>
        <v/>
      </c>
      <c r="AT1403" s="35">
        <f>INDEX(AT$280:AT$296,$E1403)*$D1403</f>
        <v/>
      </c>
      <c r="AU1403" s="35">
        <f>INDEX(AU$280:AU$296,$E1403)*$D1403</f>
        <v/>
      </c>
      <c r="AV1403" s="35">
        <f>INDEX(AV$280:AV$296,$E1403)*$D1403</f>
        <v/>
      </c>
      <c r="AW1403" s="35">
        <f>INDEX(AW$280:AW$296,$E1403)*$D1403</f>
        <v/>
      </c>
      <c r="AX1403" s="35">
        <f>INDEX(AX$280:AX$296,$E1403)*$D1403</f>
        <v/>
      </c>
      <c r="AY1403" s="35">
        <f>INDEX(AY$280:AY$296,$E1403)*$D1403</f>
        <v/>
      </c>
      <c r="AZ1403" s="35">
        <f>INDEX(AZ$280:AZ$296,$E1403)*$D1403</f>
        <v/>
      </c>
      <c r="BA1403" s="42">
        <f>ETSCOST(INDEX(BA$280:BA$296,$E1403),$D1403)</f>
        <v/>
      </c>
    </row>
    <row r="1404" hidden="1" outlineLevel="2">
      <c r="A1404" s="14" t="inlineStr">
        <is>
          <t>ets</t>
        </is>
      </c>
      <c r="B1404" s="14" t="inlineStr">
        <is>
          <t>lpg</t>
        </is>
      </c>
      <c r="C1404" s="14" t="inlineStr">
        <is>
          <t>nav</t>
        </is>
      </c>
      <c r="D1404" s="35">
        <f>INDEX(Inputs!$W$5:$W$132,MATCH($B1404&amp;"|"&amp;$C1404,Inputs!$A$5:$A$132,0))</f>
        <v/>
      </c>
      <c r="E1404" s="35">
        <f>INDEX(Inputs!$M$5:$M$132,MATCH($B1404&amp;"|"&amp;$C1404,Inputs!$A$5:$A$132,0))</f>
        <v/>
      </c>
      <c r="F1404" s="39" t="n"/>
      <c r="G1404" s="39" t="n"/>
      <c r="H1404" s="14">
        <f>INDEX(VarLab,MATCH($A1404,VarKey,0))&amp;INDEX(MemLab,MATCH($C1404&amp;"|"&amp;$B1404,MemKey,0))</f>
        <v/>
      </c>
      <c r="I1404" s="14">
        <f>INDEX(VarUnit,MATCH($A1404,VarKey,0))</f>
        <v/>
      </c>
      <c r="J1404" s="14">
        <f>INDEX(VarSrc,MATCH($A1404,VarKey,0))</f>
        <v/>
      </c>
      <c r="K1404" s="11">
        <f>CodePrefix&amp;$A1404&amp;IF($C1404="","","."&amp;$C1404&amp;"."&amp;$B1404)&amp;INDEX(VarEnd,MATCH($A1404,VarKey,0))&amp;K$5</f>
        <v/>
      </c>
      <c r="L1404" s="40">
        <f>INDEX(L$280:L$296,$E1404)*$D1404</f>
        <v/>
      </c>
      <c r="M1404" s="35">
        <f>INDEX(M$280:M$296,$E1404)*$D1404</f>
        <v/>
      </c>
      <c r="N1404" s="35">
        <f>INDEX(N$280:N$296,$E1404)*$D1404</f>
        <v/>
      </c>
      <c r="O1404" s="35">
        <f>INDEX(O$280:O$296,$E1404)*$D1404</f>
        <v/>
      </c>
      <c r="P1404" s="35">
        <f>INDEX(P$280:P$296,$E1404)*$D1404</f>
        <v/>
      </c>
      <c r="Q1404" s="35">
        <f>INDEX(Q$280:Q$296,$E1404)*$D1404</f>
        <v/>
      </c>
      <c r="R1404" s="35">
        <f>INDEX(R$280:R$296,$E1404)*$D1404</f>
        <v/>
      </c>
      <c r="S1404" s="35">
        <f>INDEX(S$280:S$296,$E1404)*$D1404</f>
        <v/>
      </c>
      <c r="T1404" s="35">
        <f>INDEX(T$280:T$296,$E1404)*$D1404</f>
        <v/>
      </c>
      <c r="U1404" s="35">
        <f>INDEX(U$280:U$296,$E1404)*$D1404</f>
        <v/>
      </c>
      <c r="V1404" s="35">
        <f>INDEX(V$280:V$296,$E1404)*$D1404</f>
        <v/>
      </c>
      <c r="W1404" s="35">
        <f>INDEX(W$280:W$296,$E1404)*$D1404</f>
        <v/>
      </c>
      <c r="X1404" s="35">
        <f>INDEX(X$280:X$296,$E1404)*$D1404</f>
        <v/>
      </c>
      <c r="Y1404" s="35">
        <f>INDEX(Y$280:Y$296,$E1404)*$D1404</f>
        <v/>
      </c>
      <c r="Z1404" s="35">
        <f>INDEX(Z$280:Z$296,$E1404)*$D1404</f>
        <v/>
      </c>
      <c r="AA1404" s="35">
        <f>INDEX(AA$280:AA$296,$E1404)*$D1404</f>
        <v/>
      </c>
      <c r="AB1404" s="35">
        <f>INDEX(AB$280:AB$296,$E1404)*$D1404</f>
        <v/>
      </c>
      <c r="AC1404" s="35">
        <f>INDEX(AC$280:AC$296,$E1404)*$D1404</f>
        <v/>
      </c>
      <c r="AD1404" s="35">
        <f>INDEX(AD$280:AD$296,$E1404)*$D1404</f>
        <v/>
      </c>
      <c r="AE1404" s="42">
        <f>ETSCOST(INDEX(AE$280:AE$296,$E1404),$D1404)</f>
        <v/>
      </c>
      <c r="AG1404" s="11">
        <f>CodePrefix&amp;$A1404&amp;IF($C1404="","","."&amp;$C1404&amp;"."&amp;$B1404)&amp;INDEX(VarEnd,MATCH($A1404,VarKey,0))&amp;AG$5</f>
        <v/>
      </c>
      <c r="AH1404" s="40">
        <f>INDEX(AH$280:AH$296,$E1404)*$D1404</f>
        <v/>
      </c>
      <c r="AI1404" s="35">
        <f>INDEX(AI$280:AI$296,$E1404)*$D1404</f>
        <v/>
      </c>
      <c r="AJ1404" s="35">
        <f>INDEX(AJ$280:AJ$296,$E1404)*$D1404</f>
        <v/>
      </c>
      <c r="AK1404" s="35">
        <f>INDEX(AK$280:AK$296,$E1404)*$D1404</f>
        <v/>
      </c>
      <c r="AL1404" s="35">
        <f>INDEX(AL$280:AL$296,$E1404)*$D1404</f>
        <v/>
      </c>
      <c r="AM1404" s="35">
        <f>INDEX(AM$280:AM$296,$E1404)*$D1404</f>
        <v/>
      </c>
      <c r="AN1404" s="35">
        <f>INDEX(AN$280:AN$296,$E1404)*$D1404</f>
        <v/>
      </c>
      <c r="AO1404" s="35">
        <f>INDEX(AO$280:AO$296,$E1404)*$D1404</f>
        <v/>
      </c>
      <c r="AP1404" s="35">
        <f>INDEX(AP$280:AP$296,$E1404)*$D1404</f>
        <v/>
      </c>
      <c r="AQ1404" s="35">
        <f>INDEX(AQ$280:AQ$296,$E1404)*$D1404</f>
        <v/>
      </c>
      <c r="AR1404" s="35">
        <f>INDEX(AR$280:AR$296,$E1404)*$D1404</f>
        <v/>
      </c>
      <c r="AS1404" s="35">
        <f>INDEX(AS$280:AS$296,$E1404)*$D1404</f>
        <v/>
      </c>
      <c r="AT1404" s="35">
        <f>INDEX(AT$280:AT$296,$E1404)*$D1404</f>
        <v/>
      </c>
      <c r="AU1404" s="35">
        <f>INDEX(AU$280:AU$296,$E1404)*$D1404</f>
        <v/>
      </c>
      <c r="AV1404" s="35">
        <f>INDEX(AV$280:AV$296,$E1404)*$D1404</f>
        <v/>
      </c>
      <c r="AW1404" s="35">
        <f>INDEX(AW$280:AW$296,$E1404)*$D1404</f>
        <v/>
      </c>
      <c r="AX1404" s="35">
        <f>INDEX(AX$280:AX$296,$E1404)*$D1404</f>
        <v/>
      </c>
      <c r="AY1404" s="35">
        <f>INDEX(AY$280:AY$296,$E1404)*$D1404</f>
        <v/>
      </c>
      <c r="AZ1404" s="35">
        <f>INDEX(AZ$280:AZ$296,$E1404)*$D1404</f>
        <v/>
      </c>
      <c r="BA1404" s="42">
        <f>ETSCOST(INDEX(BA$280:BA$296,$E1404),$D1404)</f>
        <v/>
      </c>
    </row>
    <row r="1405" hidden="1" outlineLevel="2">
      <c r="A1405" s="14" t="inlineStr">
        <is>
          <t>ets</t>
        </is>
      </c>
      <c r="B1405" s="14" t="inlineStr">
        <is>
          <t>ker</t>
        </is>
      </c>
      <c r="C1405" s="14" t="inlineStr">
        <is>
          <t>nav</t>
        </is>
      </c>
      <c r="D1405" s="35">
        <f>INDEX(Inputs!$W$5:$W$132,MATCH($B1405&amp;"|"&amp;$C1405,Inputs!$A$5:$A$132,0))</f>
        <v/>
      </c>
      <c r="E1405" s="35">
        <f>INDEX(Inputs!$M$5:$M$132,MATCH($B1405&amp;"|"&amp;$C1405,Inputs!$A$5:$A$132,0))</f>
        <v/>
      </c>
      <c r="F1405" s="39" t="n"/>
      <c r="G1405" s="39" t="n"/>
      <c r="H1405" s="14">
        <f>INDEX(VarLab,MATCH($A1405,VarKey,0))&amp;INDEX(MemLab,MATCH($C1405&amp;"|"&amp;$B1405,MemKey,0))</f>
        <v/>
      </c>
      <c r="I1405" s="14">
        <f>INDEX(VarUnit,MATCH($A1405,VarKey,0))</f>
        <v/>
      </c>
      <c r="J1405" s="14">
        <f>INDEX(VarSrc,MATCH($A1405,VarKey,0))</f>
        <v/>
      </c>
      <c r="K1405" s="11">
        <f>CodePrefix&amp;$A1405&amp;IF($C1405="","","."&amp;$C1405&amp;"."&amp;$B1405)&amp;INDEX(VarEnd,MATCH($A1405,VarKey,0))&amp;K$5</f>
        <v/>
      </c>
      <c r="L1405" s="40">
        <f>INDEX(L$280:L$296,$E1405)*$D1405</f>
        <v/>
      </c>
      <c r="M1405" s="35">
        <f>INDEX(M$280:M$296,$E1405)*$D1405</f>
        <v/>
      </c>
      <c r="N1405" s="35">
        <f>INDEX(N$280:N$296,$E1405)*$D1405</f>
        <v/>
      </c>
      <c r="O1405" s="35">
        <f>INDEX(O$280:O$296,$E1405)*$D1405</f>
        <v/>
      </c>
      <c r="P1405" s="35">
        <f>INDEX(P$280:P$296,$E1405)*$D1405</f>
        <v/>
      </c>
      <c r="Q1405" s="35">
        <f>INDEX(Q$280:Q$296,$E1405)*$D1405</f>
        <v/>
      </c>
      <c r="R1405" s="35">
        <f>INDEX(R$280:R$296,$E1405)*$D1405</f>
        <v/>
      </c>
      <c r="S1405" s="35">
        <f>INDEX(S$280:S$296,$E1405)*$D1405</f>
        <v/>
      </c>
      <c r="T1405" s="35">
        <f>INDEX(T$280:T$296,$E1405)*$D1405</f>
        <v/>
      </c>
      <c r="U1405" s="35">
        <f>INDEX(U$280:U$296,$E1405)*$D1405</f>
        <v/>
      </c>
      <c r="V1405" s="35">
        <f>INDEX(V$280:V$296,$E1405)*$D1405</f>
        <v/>
      </c>
      <c r="W1405" s="35">
        <f>INDEX(W$280:W$296,$E1405)*$D1405</f>
        <v/>
      </c>
      <c r="X1405" s="35">
        <f>INDEX(X$280:X$296,$E1405)*$D1405</f>
        <v/>
      </c>
      <c r="Y1405" s="35">
        <f>INDEX(Y$280:Y$296,$E1405)*$D1405</f>
        <v/>
      </c>
      <c r="Z1405" s="35">
        <f>INDEX(Z$280:Z$296,$E1405)*$D1405</f>
        <v/>
      </c>
      <c r="AA1405" s="35">
        <f>INDEX(AA$280:AA$296,$E1405)*$D1405</f>
        <v/>
      </c>
      <c r="AB1405" s="35">
        <f>INDEX(AB$280:AB$296,$E1405)*$D1405</f>
        <v/>
      </c>
      <c r="AC1405" s="35">
        <f>INDEX(AC$280:AC$296,$E1405)*$D1405</f>
        <v/>
      </c>
      <c r="AD1405" s="35">
        <f>INDEX(AD$280:AD$296,$E1405)*$D1405</f>
        <v/>
      </c>
      <c r="AE1405" s="42">
        <f>ETSCOST(INDEX(AE$280:AE$296,$E1405),$D1405)</f>
        <v/>
      </c>
      <c r="AG1405" s="11">
        <f>CodePrefix&amp;$A1405&amp;IF($C1405="","","."&amp;$C1405&amp;"."&amp;$B1405)&amp;INDEX(VarEnd,MATCH($A1405,VarKey,0))&amp;AG$5</f>
        <v/>
      </c>
      <c r="AH1405" s="40">
        <f>INDEX(AH$280:AH$296,$E1405)*$D1405</f>
        <v/>
      </c>
      <c r="AI1405" s="35">
        <f>INDEX(AI$280:AI$296,$E1405)*$D1405</f>
        <v/>
      </c>
      <c r="AJ1405" s="35">
        <f>INDEX(AJ$280:AJ$296,$E1405)*$D1405</f>
        <v/>
      </c>
      <c r="AK1405" s="35">
        <f>INDEX(AK$280:AK$296,$E1405)*$D1405</f>
        <v/>
      </c>
      <c r="AL1405" s="35">
        <f>INDEX(AL$280:AL$296,$E1405)*$D1405</f>
        <v/>
      </c>
      <c r="AM1405" s="35">
        <f>INDEX(AM$280:AM$296,$E1405)*$D1405</f>
        <v/>
      </c>
      <c r="AN1405" s="35">
        <f>INDEX(AN$280:AN$296,$E1405)*$D1405</f>
        <v/>
      </c>
      <c r="AO1405" s="35">
        <f>INDEX(AO$280:AO$296,$E1405)*$D1405</f>
        <v/>
      </c>
      <c r="AP1405" s="35">
        <f>INDEX(AP$280:AP$296,$E1405)*$D1405</f>
        <v/>
      </c>
      <c r="AQ1405" s="35">
        <f>INDEX(AQ$280:AQ$296,$E1405)*$D1405</f>
        <v/>
      </c>
      <c r="AR1405" s="35">
        <f>INDEX(AR$280:AR$296,$E1405)*$D1405</f>
        <v/>
      </c>
      <c r="AS1405" s="35">
        <f>INDEX(AS$280:AS$296,$E1405)*$D1405</f>
        <v/>
      </c>
      <c r="AT1405" s="35">
        <f>INDEX(AT$280:AT$296,$E1405)*$D1405</f>
        <v/>
      </c>
      <c r="AU1405" s="35">
        <f>INDEX(AU$280:AU$296,$E1405)*$D1405</f>
        <v/>
      </c>
      <c r="AV1405" s="35">
        <f>INDEX(AV$280:AV$296,$E1405)*$D1405</f>
        <v/>
      </c>
      <c r="AW1405" s="35">
        <f>INDEX(AW$280:AW$296,$E1405)*$D1405</f>
        <v/>
      </c>
      <c r="AX1405" s="35">
        <f>INDEX(AX$280:AX$296,$E1405)*$D1405</f>
        <v/>
      </c>
      <c r="AY1405" s="35">
        <f>INDEX(AY$280:AY$296,$E1405)*$D1405</f>
        <v/>
      </c>
      <c r="AZ1405" s="35">
        <f>INDEX(AZ$280:AZ$296,$E1405)*$D1405</f>
        <v/>
      </c>
      <c r="BA1405" s="42">
        <f>ETSCOST(INDEX(BA$280:BA$296,$E1405),$D1405)</f>
        <v/>
      </c>
    </row>
    <row r="1406" hidden="1" outlineLevel="2">
      <c r="A1406" s="14" t="inlineStr">
        <is>
          <t>ets</t>
        </is>
      </c>
      <c r="B1406" s="14" t="inlineStr">
        <is>
          <t>oop</t>
        </is>
      </c>
      <c r="C1406" s="14" t="inlineStr">
        <is>
          <t>nav</t>
        </is>
      </c>
      <c r="D1406" s="35">
        <f>INDEX(Inputs!$W$5:$W$132,MATCH($B1406&amp;"|"&amp;$C1406,Inputs!$A$5:$A$132,0))</f>
        <v/>
      </c>
      <c r="E1406" s="35">
        <f>INDEX(Inputs!$M$5:$M$132,MATCH($B1406&amp;"|"&amp;$C1406,Inputs!$A$5:$A$132,0))</f>
        <v/>
      </c>
      <c r="F1406" s="39" t="n"/>
      <c r="G1406" s="39" t="n"/>
      <c r="H1406" s="14">
        <f>INDEX(VarLab,MATCH($A1406,VarKey,0))&amp;INDEX(MemLab,MATCH($C1406&amp;"|"&amp;$B1406,MemKey,0))</f>
        <v/>
      </c>
      <c r="I1406" s="14">
        <f>INDEX(VarUnit,MATCH($A1406,VarKey,0))</f>
        <v/>
      </c>
      <c r="J1406" s="14">
        <f>INDEX(VarSrc,MATCH($A1406,VarKey,0))</f>
        <v/>
      </c>
      <c r="K1406" s="11">
        <f>CodePrefix&amp;$A1406&amp;IF($C1406="","","."&amp;$C1406&amp;"."&amp;$B1406)&amp;INDEX(VarEnd,MATCH($A1406,VarKey,0))&amp;K$5</f>
        <v/>
      </c>
      <c r="L1406" s="40">
        <f>INDEX(L$280:L$296,$E1406)*$D1406</f>
        <v/>
      </c>
      <c r="M1406" s="35">
        <f>INDEX(M$280:M$296,$E1406)*$D1406</f>
        <v/>
      </c>
      <c r="N1406" s="35">
        <f>INDEX(N$280:N$296,$E1406)*$D1406</f>
        <v/>
      </c>
      <c r="O1406" s="35">
        <f>INDEX(O$280:O$296,$E1406)*$D1406</f>
        <v/>
      </c>
      <c r="P1406" s="35">
        <f>INDEX(P$280:P$296,$E1406)*$D1406</f>
        <v/>
      </c>
      <c r="Q1406" s="35">
        <f>INDEX(Q$280:Q$296,$E1406)*$D1406</f>
        <v/>
      </c>
      <c r="R1406" s="35">
        <f>INDEX(R$280:R$296,$E1406)*$D1406</f>
        <v/>
      </c>
      <c r="S1406" s="35">
        <f>INDEX(S$280:S$296,$E1406)*$D1406</f>
        <v/>
      </c>
      <c r="T1406" s="35">
        <f>INDEX(T$280:T$296,$E1406)*$D1406</f>
        <v/>
      </c>
      <c r="U1406" s="35">
        <f>INDEX(U$280:U$296,$E1406)*$D1406</f>
        <v/>
      </c>
      <c r="V1406" s="35">
        <f>INDEX(V$280:V$296,$E1406)*$D1406</f>
        <v/>
      </c>
      <c r="W1406" s="35">
        <f>INDEX(W$280:W$296,$E1406)*$D1406</f>
        <v/>
      </c>
      <c r="X1406" s="35">
        <f>INDEX(X$280:X$296,$E1406)*$D1406</f>
        <v/>
      </c>
      <c r="Y1406" s="35">
        <f>INDEX(Y$280:Y$296,$E1406)*$D1406</f>
        <v/>
      </c>
      <c r="Z1406" s="35">
        <f>INDEX(Z$280:Z$296,$E1406)*$D1406</f>
        <v/>
      </c>
      <c r="AA1406" s="35">
        <f>INDEX(AA$280:AA$296,$E1406)*$D1406</f>
        <v/>
      </c>
      <c r="AB1406" s="35">
        <f>INDEX(AB$280:AB$296,$E1406)*$D1406</f>
        <v/>
      </c>
      <c r="AC1406" s="35">
        <f>INDEX(AC$280:AC$296,$E1406)*$D1406</f>
        <v/>
      </c>
      <c r="AD1406" s="35">
        <f>INDEX(AD$280:AD$296,$E1406)*$D1406</f>
        <v/>
      </c>
      <c r="AE1406" s="42">
        <f>ETSCOST(INDEX(AE$280:AE$296,$E1406),$D1406)</f>
        <v/>
      </c>
      <c r="AG1406" s="11">
        <f>CodePrefix&amp;$A1406&amp;IF($C1406="","","."&amp;$C1406&amp;"."&amp;$B1406)&amp;INDEX(VarEnd,MATCH($A1406,VarKey,0))&amp;AG$5</f>
        <v/>
      </c>
      <c r="AH1406" s="40">
        <f>INDEX(AH$280:AH$296,$E1406)*$D1406</f>
        <v/>
      </c>
      <c r="AI1406" s="35">
        <f>INDEX(AI$280:AI$296,$E1406)*$D1406</f>
        <v/>
      </c>
      <c r="AJ1406" s="35">
        <f>INDEX(AJ$280:AJ$296,$E1406)*$D1406</f>
        <v/>
      </c>
      <c r="AK1406" s="35">
        <f>INDEX(AK$280:AK$296,$E1406)*$D1406</f>
        <v/>
      </c>
      <c r="AL1406" s="35">
        <f>INDEX(AL$280:AL$296,$E1406)*$D1406</f>
        <v/>
      </c>
      <c r="AM1406" s="35">
        <f>INDEX(AM$280:AM$296,$E1406)*$D1406</f>
        <v/>
      </c>
      <c r="AN1406" s="35">
        <f>INDEX(AN$280:AN$296,$E1406)*$D1406</f>
        <v/>
      </c>
      <c r="AO1406" s="35">
        <f>INDEX(AO$280:AO$296,$E1406)*$D1406</f>
        <v/>
      </c>
      <c r="AP1406" s="35">
        <f>INDEX(AP$280:AP$296,$E1406)*$D1406</f>
        <v/>
      </c>
      <c r="AQ1406" s="35">
        <f>INDEX(AQ$280:AQ$296,$E1406)*$D1406</f>
        <v/>
      </c>
      <c r="AR1406" s="35">
        <f>INDEX(AR$280:AR$296,$E1406)*$D1406</f>
        <v/>
      </c>
      <c r="AS1406" s="35">
        <f>INDEX(AS$280:AS$296,$E1406)*$D1406</f>
        <v/>
      </c>
      <c r="AT1406" s="35">
        <f>INDEX(AT$280:AT$296,$E1406)*$D1406</f>
        <v/>
      </c>
      <c r="AU1406" s="35">
        <f>INDEX(AU$280:AU$296,$E1406)*$D1406</f>
        <v/>
      </c>
      <c r="AV1406" s="35">
        <f>INDEX(AV$280:AV$296,$E1406)*$D1406</f>
        <v/>
      </c>
      <c r="AW1406" s="35">
        <f>INDEX(AW$280:AW$296,$E1406)*$D1406</f>
        <v/>
      </c>
      <c r="AX1406" s="35">
        <f>INDEX(AX$280:AX$296,$E1406)*$D1406</f>
        <v/>
      </c>
      <c r="AY1406" s="35">
        <f>INDEX(AY$280:AY$296,$E1406)*$D1406</f>
        <v/>
      </c>
      <c r="AZ1406" s="35">
        <f>INDEX(AZ$280:AZ$296,$E1406)*$D1406</f>
        <v/>
      </c>
      <c r="BA1406" s="42">
        <f>ETSCOST(INDEX(BA$280:BA$296,$E1406),$D1406)</f>
        <v/>
      </c>
    </row>
    <row r="1407" hidden="1" outlineLevel="2">
      <c r="A1407" s="14" t="inlineStr">
        <is>
          <t>ets</t>
        </is>
      </c>
      <c r="B1407" s="14" t="inlineStr">
        <is>
          <t>bio</t>
        </is>
      </c>
      <c r="C1407" s="14" t="inlineStr">
        <is>
          <t>nav</t>
        </is>
      </c>
      <c r="D1407" s="35">
        <f>INDEX(Inputs!$W$5:$W$132,MATCH($B1407&amp;"|"&amp;$C1407,Inputs!$A$5:$A$132,0))</f>
        <v/>
      </c>
      <c r="E1407" s="35">
        <f>INDEX(Inputs!$M$5:$M$132,MATCH($B1407&amp;"|"&amp;$C1407,Inputs!$A$5:$A$132,0))</f>
        <v/>
      </c>
      <c r="F1407" s="39" t="n"/>
      <c r="G1407" s="39" t="n"/>
      <c r="H1407" s="14">
        <f>INDEX(VarLab,MATCH($A1407,VarKey,0))&amp;INDEX(MemLab,MATCH($C1407&amp;"|"&amp;$B1407,MemKey,0))</f>
        <v/>
      </c>
      <c r="I1407" s="14">
        <f>INDEX(VarUnit,MATCH($A1407,VarKey,0))</f>
        <v/>
      </c>
      <c r="J1407" s="14">
        <f>INDEX(VarSrc,MATCH($A1407,VarKey,0))</f>
        <v/>
      </c>
      <c r="K1407" s="11">
        <f>CodePrefix&amp;$A1407&amp;IF($C1407="","","."&amp;$C1407&amp;"."&amp;$B1407)&amp;INDEX(VarEnd,MATCH($A1407,VarKey,0))&amp;K$5</f>
        <v/>
      </c>
      <c r="L1407" s="40">
        <f>INDEX(L$280:L$296,$E1407)*$D1407</f>
        <v/>
      </c>
      <c r="M1407" s="35">
        <f>INDEX(M$280:M$296,$E1407)*$D1407</f>
        <v/>
      </c>
      <c r="N1407" s="35">
        <f>INDEX(N$280:N$296,$E1407)*$D1407</f>
        <v/>
      </c>
      <c r="O1407" s="35">
        <f>INDEX(O$280:O$296,$E1407)*$D1407</f>
        <v/>
      </c>
      <c r="P1407" s="35">
        <f>INDEX(P$280:P$296,$E1407)*$D1407</f>
        <v/>
      </c>
      <c r="Q1407" s="35">
        <f>INDEX(Q$280:Q$296,$E1407)*$D1407</f>
        <v/>
      </c>
      <c r="R1407" s="35">
        <f>INDEX(R$280:R$296,$E1407)*$D1407</f>
        <v/>
      </c>
      <c r="S1407" s="35">
        <f>INDEX(S$280:S$296,$E1407)*$D1407</f>
        <v/>
      </c>
      <c r="T1407" s="35">
        <f>INDEX(T$280:T$296,$E1407)*$D1407</f>
        <v/>
      </c>
      <c r="U1407" s="35">
        <f>INDEX(U$280:U$296,$E1407)*$D1407</f>
        <v/>
      </c>
      <c r="V1407" s="35">
        <f>INDEX(V$280:V$296,$E1407)*$D1407</f>
        <v/>
      </c>
      <c r="W1407" s="35">
        <f>INDEX(W$280:W$296,$E1407)*$D1407</f>
        <v/>
      </c>
      <c r="X1407" s="35">
        <f>INDEX(X$280:X$296,$E1407)*$D1407</f>
        <v/>
      </c>
      <c r="Y1407" s="35">
        <f>INDEX(Y$280:Y$296,$E1407)*$D1407</f>
        <v/>
      </c>
      <c r="Z1407" s="35">
        <f>INDEX(Z$280:Z$296,$E1407)*$D1407</f>
        <v/>
      </c>
      <c r="AA1407" s="35">
        <f>INDEX(AA$280:AA$296,$E1407)*$D1407</f>
        <v/>
      </c>
      <c r="AB1407" s="35">
        <f>INDEX(AB$280:AB$296,$E1407)*$D1407</f>
        <v/>
      </c>
      <c r="AC1407" s="35">
        <f>INDEX(AC$280:AC$296,$E1407)*$D1407</f>
        <v/>
      </c>
      <c r="AD1407" s="35">
        <f>INDEX(AD$280:AD$296,$E1407)*$D1407</f>
        <v/>
      </c>
      <c r="AE1407" s="42">
        <f>ETSCOST(INDEX(AE$280:AE$296,$E1407),$D1407)</f>
        <v/>
      </c>
      <c r="AG1407" s="11">
        <f>CodePrefix&amp;$A1407&amp;IF($C1407="","","."&amp;$C1407&amp;"."&amp;$B1407)&amp;INDEX(VarEnd,MATCH($A1407,VarKey,0))&amp;AG$5</f>
        <v/>
      </c>
      <c r="AH1407" s="40">
        <f>INDEX(AH$280:AH$296,$E1407)*$D1407</f>
        <v/>
      </c>
      <c r="AI1407" s="35">
        <f>INDEX(AI$280:AI$296,$E1407)*$D1407</f>
        <v/>
      </c>
      <c r="AJ1407" s="35">
        <f>INDEX(AJ$280:AJ$296,$E1407)*$D1407</f>
        <v/>
      </c>
      <c r="AK1407" s="35">
        <f>INDEX(AK$280:AK$296,$E1407)*$D1407</f>
        <v/>
      </c>
      <c r="AL1407" s="35">
        <f>INDEX(AL$280:AL$296,$E1407)*$D1407</f>
        <v/>
      </c>
      <c r="AM1407" s="35">
        <f>INDEX(AM$280:AM$296,$E1407)*$D1407</f>
        <v/>
      </c>
      <c r="AN1407" s="35">
        <f>INDEX(AN$280:AN$296,$E1407)*$D1407</f>
        <v/>
      </c>
      <c r="AO1407" s="35">
        <f>INDEX(AO$280:AO$296,$E1407)*$D1407</f>
        <v/>
      </c>
      <c r="AP1407" s="35">
        <f>INDEX(AP$280:AP$296,$E1407)*$D1407</f>
        <v/>
      </c>
      <c r="AQ1407" s="35">
        <f>INDEX(AQ$280:AQ$296,$E1407)*$D1407</f>
        <v/>
      </c>
      <c r="AR1407" s="35">
        <f>INDEX(AR$280:AR$296,$E1407)*$D1407</f>
        <v/>
      </c>
      <c r="AS1407" s="35">
        <f>INDEX(AS$280:AS$296,$E1407)*$D1407</f>
        <v/>
      </c>
      <c r="AT1407" s="35">
        <f>INDEX(AT$280:AT$296,$E1407)*$D1407</f>
        <v/>
      </c>
      <c r="AU1407" s="35">
        <f>INDEX(AU$280:AU$296,$E1407)*$D1407</f>
        <v/>
      </c>
      <c r="AV1407" s="35">
        <f>INDEX(AV$280:AV$296,$E1407)*$D1407</f>
        <v/>
      </c>
      <c r="AW1407" s="35">
        <f>INDEX(AW$280:AW$296,$E1407)*$D1407</f>
        <v/>
      </c>
      <c r="AX1407" s="35">
        <f>INDEX(AX$280:AX$296,$E1407)*$D1407</f>
        <v/>
      </c>
      <c r="AY1407" s="35">
        <f>INDEX(AY$280:AY$296,$E1407)*$D1407</f>
        <v/>
      </c>
      <c r="AZ1407" s="35">
        <f>INDEX(AZ$280:AZ$296,$E1407)*$D1407</f>
        <v/>
      </c>
      <c r="BA1407" s="42">
        <f>ETSCOST(INDEX(BA$280:BA$296,$E1407),$D1407)</f>
        <v/>
      </c>
    </row>
    <row r="1408" hidden="1" outlineLevel="2"/>
    <row r="1409" hidden="1" outlineLevel="2">
      <c r="A1409" s="14" t="inlineStr">
        <is>
          <t>ntx</t>
        </is>
      </c>
      <c r="B1409" s="14" t="inlineStr">
        <is>
          <t>coa</t>
        </is>
      </c>
      <c r="C1409" s="14" t="inlineStr">
        <is>
          <t>nav</t>
        </is>
      </c>
      <c r="D1409" s="35">
        <f>INDEX(Inputs!$N$5:$N$132,MATCH($B1409&amp;"|"&amp;$C1409,Inputs!$A$5:$A$132,0))</f>
        <v/>
      </c>
      <c r="E1409" s="35">
        <f>INDEX(Inputs!$K$5:$K$132,MATCH($B1409&amp;"|"&amp;$C1409,Inputs!$A$5:$A$132,0))</f>
        <v/>
      </c>
      <c r="F1409" s="39" t="n"/>
      <c r="G1409" s="39" t="n"/>
      <c r="H1409" s="14">
        <f>INDEX(VarLab,MATCH($A1409,VarKey,0))&amp;INDEX(MemLab,MATCH($C1409&amp;"|"&amp;$B1409,MemKey,0))</f>
        <v/>
      </c>
      <c r="I1409" s="14">
        <f>INDEX(VarUnit,MATCH($A1409,VarKey,0))</f>
        <v/>
      </c>
      <c r="J1409" s="14">
        <f>INDEX(VarSrc,MATCH($A1409,VarKey,0))</f>
        <v/>
      </c>
      <c r="K1409" s="11">
        <f>CodePrefix&amp;$A1409&amp;IF($C1409="","","."&amp;$C1409&amp;"."&amp;$B1409)&amp;INDEX(VarEnd,MATCH($A1409,VarKey,0))&amp;K$5</f>
        <v/>
      </c>
      <c r="L1409" s="40">
        <f>INDEX(L$80:L$93,$D1409)/$E1409</f>
        <v/>
      </c>
      <c r="M1409" s="35">
        <f>INDEX(M$80:M$93,$D1409)/$E1409</f>
        <v/>
      </c>
      <c r="N1409" s="35">
        <f>INDEX(N$80:N$93,$D1409)/$E1409</f>
        <v/>
      </c>
      <c r="O1409" s="35">
        <f>INDEX(O$80:O$93,$D1409)/$E1409</f>
        <v/>
      </c>
      <c r="P1409" s="35">
        <f>INDEX(P$80:P$93,$D1409)/$E1409</f>
        <v/>
      </c>
      <c r="Q1409" s="35">
        <f>INDEX(Q$80:Q$93,$D1409)/$E1409</f>
        <v/>
      </c>
      <c r="R1409" s="35">
        <f>INDEX(R$80:R$93,$D1409)/$E1409</f>
        <v/>
      </c>
      <c r="S1409" s="35">
        <f>INDEX(S$80:S$93,$D1409)/$E1409</f>
        <v/>
      </c>
      <c r="T1409" s="35">
        <f>INDEX(T$80:T$93,$D1409)/$E1409</f>
        <v/>
      </c>
      <c r="U1409" s="35">
        <f>INDEX(U$80:U$93,$D1409)/$E1409</f>
        <v/>
      </c>
      <c r="V1409" s="35">
        <f>INDEX(V$80:V$93,$D1409)/$E1409</f>
        <v/>
      </c>
      <c r="W1409" s="35">
        <f>INDEX(W$80:W$93,$D1409)/$E1409</f>
        <v/>
      </c>
      <c r="X1409" s="35">
        <f>INDEX(X$80:X$93,$D1409)/$E1409</f>
        <v/>
      </c>
      <c r="Y1409" s="35">
        <f>INDEX(Y$80:Y$93,$D1409)/$E1409</f>
        <v/>
      </c>
      <c r="Z1409" s="35">
        <f>INDEX(Z$80:Z$93,$D1409)/$E1409</f>
        <v/>
      </c>
      <c r="AA1409" s="35">
        <f>INDEX(AA$80:AA$93,$D1409)/$E1409</f>
        <v/>
      </c>
      <c r="AB1409" s="35">
        <f>INDEX(AB$80:AB$93,$D1409)/$E1409</f>
        <v/>
      </c>
      <c r="AC1409" s="35">
        <f>INDEX(AC$80:AC$93,$D1409)/$E1409</f>
        <v/>
      </c>
      <c r="AD1409" s="35">
        <f>INDEX(AD$80:AD$93,$D1409)/$E1409</f>
        <v/>
      </c>
      <c r="AE1409" s="42">
        <f>NEWEXCISE(INDEX(AE$80:AE$93,$D1409),$E1409)</f>
        <v/>
      </c>
      <c r="AG1409" s="11">
        <f>CodePrefix&amp;$A1409&amp;IF($C1409="","","."&amp;$C1409&amp;"."&amp;$B1409)&amp;INDEX(VarEnd,MATCH($A1409,VarKey,0))&amp;AG$5</f>
        <v/>
      </c>
      <c r="AH1409" s="40">
        <f>INDEX(AH$80:AH$93,$D1409)/$E1409</f>
        <v/>
      </c>
      <c r="AI1409" s="35">
        <f>INDEX(AI$80:AI$93,$D1409)/$E1409</f>
        <v/>
      </c>
      <c r="AJ1409" s="35">
        <f>INDEX(AJ$80:AJ$93,$D1409)/$E1409</f>
        <v/>
      </c>
      <c r="AK1409" s="35">
        <f>INDEX(AK$80:AK$93,$D1409)/$E1409</f>
        <v/>
      </c>
      <c r="AL1409" s="35">
        <f>INDEX(AL$80:AL$93,$D1409)/$E1409</f>
        <v/>
      </c>
      <c r="AM1409" s="35">
        <f>INDEX(AM$80:AM$93,$D1409)/$E1409</f>
        <v/>
      </c>
      <c r="AN1409" s="35">
        <f>INDEX(AN$80:AN$93,$D1409)/$E1409</f>
        <v/>
      </c>
      <c r="AO1409" s="35">
        <f>INDEX(AO$80:AO$93,$D1409)/$E1409</f>
        <v/>
      </c>
      <c r="AP1409" s="35">
        <f>INDEX(AP$80:AP$93,$D1409)/$E1409</f>
        <v/>
      </c>
      <c r="AQ1409" s="35">
        <f>INDEX(AQ$80:AQ$93,$D1409)/$E1409</f>
        <v/>
      </c>
      <c r="AR1409" s="35">
        <f>INDEX(AR$80:AR$93,$D1409)/$E1409</f>
        <v/>
      </c>
      <c r="AS1409" s="35">
        <f>INDEX(AS$80:AS$93,$D1409)/$E1409</f>
        <v/>
      </c>
      <c r="AT1409" s="35">
        <f>INDEX(AT$80:AT$93,$D1409)/$E1409</f>
        <v/>
      </c>
      <c r="AU1409" s="35">
        <f>INDEX(AU$80:AU$93,$D1409)/$E1409</f>
        <v/>
      </c>
      <c r="AV1409" s="35">
        <f>INDEX(AV$80:AV$93,$D1409)/$E1409</f>
        <v/>
      </c>
      <c r="AW1409" s="35">
        <f>INDEX(AW$80:AW$93,$D1409)/$E1409</f>
        <v/>
      </c>
      <c r="AX1409" s="35">
        <f>INDEX(AX$80:AX$93,$D1409)/$E1409</f>
        <v/>
      </c>
      <c r="AY1409" s="35">
        <f>INDEX(AY$80:AY$93,$D1409)/$E1409</f>
        <v/>
      </c>
      <c r="AZ1409" s="35">
        <f>INDEX(AZ$80:AZ$93,$D1409)/$E1409</f>
        <v/>
      </c>
      <c r="BA1409" s="42">
        <f>NEWEXCISE(INDEX(BA$80:BA$93,$D1409),$E1409)</f>
        <v/>
      </c>
    </row>
    <row r="1410" hidden="1" outlineLevel="2">
      <c r="A1410" s="14" t="inlineStr">
        <is>
          <t>ntx</t>
        </is>
      </c>
      <c r="B1410" s="14" t="inlineStr">
        <is>
          <t>nga</t>
        </is>
      </c>
      <c r="C1410" s="14" t="inlineStr">
        <is>
          <t>nav</t>
        </is>
      </c>
      <c r="D1410" s="35">
        <f>INDEX(Inputs!$N$5:$N$132,MATCH($B1410&amp;"|"&amp;$C1410,Inputs!$A$5:$A$132,0))</f>
        <v/>
      </c>
      <c r="E1410" s="35">
        <f>INDEX(Inputs!$K$5:$K$132,MATCH($B1410&amp;"|"&amp;$C1410,Inputs!$A$5:$A$132,0))</f>
        <v/>
      </c>
      <c r="F1410" s="39" t="n"/>
      <c r="G1410" s="39" t="n"/>
      <c r="H1410" s="14">
        <f>INDEX(VarLab,MATCH($A1410,VarKey,0))&amp;INDEX(MemLab,MATCH($C1410&amp;"|"&amp;$B1410,MemKey,0))</f>
        <v/>
      </c>
      <c r="I1410" s="14">
        <f>INDEX(VarUnit,MATCH($A1410,VarKey,0))</f>
        <v/>
      </c>
      <c r="J1410" s="14">
        <f>INDEX(VarSrc,MATCH($A1410,VarKey,0))</f>
        <v/>
      </c>
      <c r="K1410" s="11">
        <f>CodePrefix&amp;$A1410&amp;IF($C1410="","","."&amp;$C1410&amp;"."&amp;$B1410)&amp;INDEX(VarEnd,MATCH($A1410,VarKey,0))&amp;K$5</f>
        <v/>
      </c>
      <c r="L1410" s="40">
        <f>INDEX(L$80:L$93,$D1410)/$E1410</f>
        <v/>
      </c>
      <c r="M1410" s="35">
        <f>INDEX(M$80:M$93,$D1410)/$E1410</f>
        <v/>
      </c>
      <c r="N1410" s="35">
        <f>INDEX(N$80:N$93,$D1410)/$E1410</f>
        <v/>
      </c>
      <c r="O1410" s="35">
        <f>INDEX(O$80:O$93,$D1410)/$E1410</f>
        <v/>
      </c>
      <c r="P1410" s="35">
        <f>INDEX(P$80:P$93,$D1410)/$E1410</f>
        <v/>
      </c>
      <c r="Q1410" s="35">
        <f>INDEX(Q$80:Q$93,$D1410)/$E1410</f>
        <v/>
      </c>
      <c r="R1410" s="35">
        <f>INDEX(R$80:R$93,$D1410)/$E1410</f>
        <v/>
      </c>
      <c r="S1410" s="35">
        <f>INDEX(S$80:S$93,$D1410)/$E1410</f>
        <v/>
      </c>
      <c r="T1410" s="35">
        <f>INDEX(T$80:T$93,$D1410)/$E1410</f>
        <v/>
      </c>
      <c r="U1410" s="35">
        <f>INDEX(U$80:U$93,$D1410)/$E1410</f>
        <v/>
      </c>
      <c r="V1410" s="35">
        <f>INDEX(V$80:V$93,$D1410)/$E1410</f>
        <v/>
      </c>
      <c r="W1410" s="35">
        <f>INDEX(W$80:W$93,$D1410)/$E1410</f>
        <v/>
      </c>
      <c r="X1410" s="35">
        <f>INDEX(X$80:X$93,$D1410)/$E1410</f>
        <v/>
      </c>
      <c r="Y1410" s="35">
        <f>INDEX(Y$80:Y$93,$D1410)/$E1410</f>
        <v/>
      </c>
      <c r="Z1410" s="35">
        <f>INDEX(Z$80:Z$93,$D1410)/$E1410</f>
        <v/>
      </c>
      <c r="AA1410" s="35">
        <f>INDEX(AA$80:AA$93,$D1410)/$E1410</f>
        <v/>
      </c>
      <c r="AB1410" s="35">
        <f>INDEX(AB$80:AB$93,$D1410)/$E1410</f>
        <v/>
      </c>
      <c r="AC1410" s="35">
        <f>INDEX(AC$80:AC$93,$D1410)/$E1410</f>
        <v/>
      </c>
      <c r="AD1410" s="35">
        <f>INDEX(AD$80:AD$93,$D1410)/$E1410</f>
        <v/>
      </c>
      <c r="AE1410" s="42">
        <f>NEWEXCISE(INDEX(AE$80:AE$93,$D1410),$E1410)</f>
        <v/>
      </c>
      <c r="AG1410" s="11">
        <f>CodePrefix&amp;$A1410&amp;IF($C1410="","","."&amp;$C1410&amp;"."&amp;$B1410)&amp;INDEX(VarEnd,MATCH($A1410,VarKey,0))&amp;AG$5</f>
        <v/>
      </c>
      <c r="AH1410" s="40">
        <f>INDEX(AH$80:AH$93,$D1410)/$E1410</f>
        <v/>
      </c>
      <c r="AI1410" s="35">
        <f>INDEX(AI$80:AI$93,$D1410)/$E1410</f>
        <v/>
      </c>
      <c r="AJ1410" s="35">
        <f>INDEX(AJ$80:AJ$93,$D1410)/$E1410</f>
        <v/>
      </c>
      <c r="AK1410" s="35">
        <f>INDEX(AK$80:AK$93,$D1410)/$E1410</f>
        <v/>
      </c>
      <c r="AL1410" s="35">
        <f>INDEX(AL$80:AL$93,$D1410)/$E1410</f>
        <v/>
      </c>
      <c r="AM1410" s="35">
        <f>INDEX(AM$80:AM$93,$D1410)/$E1410</f>
        <v/>
      </c>
      <c r="AN1410" s="35">
        <f>INDEX(AN$80:AN$93,$D1410)/$E1410</f>
        <v/>
      </c>
      <c r="AO1410" s="35">
        <f>INDEX(AO$80:AO$93,$D1410)/$E1410</f>
        <v/>
      </c>
      <c r="AP1410" s="35">
        <f>INDEX(AP$80:AP$93,$D1410)/$E1410</f>
        <v/>
      </c>
      <c r="AQ1410" s="35">
        <f>INDEX(AQ$80:AQ$93,$D1410)/$E1410</f>
        <v/>
      </c>
      <c r="AR1410" s="35">
        <f>INDEX(AR$80:AR$93,$D1410)/$E1410</f>
        <v/>
      </c>
      <c r="AS1410" s="35">
        <f>INDEX(AS$80:AS$93,$D1410)/$E1410</f>
        <v/>
      </c>
      <c r="AT1410" s="35">
        <f>INDEX(AT$80:AT$93,$D1410)/$E1410</f>
        <v/>
      </c>
      <c r="AU1410" s="35">
        <f>INDEX(AU$80:AU$93,$D1410)/$E1410</f>
        <v/>
      </c>
      <c r="AV1410" s="35">
        <f>INDEX(AV$80:AV$93,$D1410)/$E1410</f>
        <v/>
      </c>
      <c r="AW1410" s="35">
        <f>INDEX(AW$80:AW$93,$D1410)/$E1410</f>
        <v/>
      </c>
      <c r="AX1410" s="35">
        <f>INDEX(AX$80:AX$93,$D1410)/$E1410</f>
        <v/>
      </c>
      <c r="AY1410" s="35">
        <f>INDEX(AY$80:AY$93,$D1410)/$E1410</f>
        <v/>
      </c>
      <c r="AZ1410" s="35">
        <f>INDEX(AZ$80:AZ$93,$D1410)/$E1410</f>
        <v/>
      </c>
      <c r="BA1410" s="42">
        <f>NEWEXCISE(INDEX(BA$80:BA$93,$D1410),$E1410)</f>
        <v/>
      </c>
    </row>
    <row r="1411" hidden="1" outlineLevel="2">
      <c r="A1411" s="14" t="inlineStr">
        <is>
          <t>ntx</t>
        </is>
      </c>
      <c r="B1411" s="14" t="inlineStr">
        <is>
          <t>gso</t>
        </is>
      </c>
      <c r="C1411" s="14" t="inlineStr">
        <is>
          <t>nav</t>
        </is>
      </c>
      <c r="D1411" s="35">
        <f>INDEX(Inputs!$N$5:$N$132,MATCH($B1411&amp;"|"&amp;$C1411,Inputs!$A$5:$A$132,0))</f>
        <v/>
      </c>
      <c r="E1411" s="35">
        <f>INDEX(Inputs!$K$5:$K$132,MATCH($B1411&amp;"|"&amp;$C1411,Inputs!$A$5:$A$132,0))</f>
        <v/>
      </c>
      <c r="F1411" s="39" t="n"/>
      <c r="G1411" s="39" t="n"/>
      <c r="H1411" s="14">
        <f>INDEX(VarLab,MATCH($A1411,VarKey,0))&amp;INDEX(MemLab,MATCH($C1411&amp;"|"&amp;$B1411,MemKey,0))</f>
        <v/>
      </c>
      <c r="I1411" s="14">
        <f>INDEX(VarUnit,MATCH($A1411,VarKey,0))</f>
        <v/>
      </c>
      <c r="J1411" s="14">
        <f>INDEX(VarSrc,MATCH($A1411,VarKey,0))</f>
        <v/>
      </c>
      <c r="K1411" s="11">
        <f>CodePrefix&amp;$A1411&amp;IF($C1411="","","."&amp;$C1411&amp;"."&amp;$B1411)&amp;INDEX(VarEnd,MATCH($A1411,VarKey,0))&amp;K$5</f>
        <v/>
      </c>
      <c r="L1411" s="40">
        <f>INDEX(L$80:L$93,$D1411)/$E1411</f>
        <v/>
      </c>
      <c r="M1411" s="35">
        <f>INDEX(M$80:M$93,$D1411)/$E1411</f>
        <v/>
      </c>
      <c r="N1411" s="35">
        <f>INDEX(N$80:N$93,$D1411)/$E1411</f>
        <v/>
      </c>
      <c r="O1411" s="35">
        <f>INDEX(O$80:O$93,$D1411)/$E1411</f>
        <v/>
      </c>
      <c r="P1411" s="35">
        <f>INDEX(P$80:P$93,$D1411)/$E1411</f>
        <v/>
      </c>
      <c r="Q1411" s="35">
        <f>INDEX(Q$80:Q$93,$D1411)/$E1411</f>
        <v/>
      </c>
      <c r="R1411" s="35">
        <f>INDEX(R$80:R$93,$D1411)/$E1411</f>
        <v/>
      </c>
      <c r="S1411" s="35">
        <f>INDEX(S$80:S$93,$D1411)/$E1411</f>
        <v/>
      </c>
      <c r="T1411" s="35">
        <f>INDEX(T$80:T$93,$D1411)/$E1411</f>
        <v/>
      </c>
      <c r="U1411" s="35">
        <f>INDEX(U$80:U$93,$D1411)/$E1411</f>
        <v/>
      </c>
      <c r="V1411" s="35">
        <f>INDEX(V$80:V$93,$D1411)/$E1411</f>
        <v/>
      </c>
      <c r="W1411" s="35">
        <f>INDEX(W$80:W$93,$D1411)/$E1411</f>
        <v/>
      </c>
      <c r="X1411" s="35">
        <f>INDEX(X$80:X$93,$D1411)/$E1411</f>
        <v/>
      </c>
      <c r="Y1411" s="35">
        <f>INDEX(Y$80:Y$93,$D1411)/$E1411</f>
        <v/>
      </c>
      <c r="Z1411" s="35">
        <f>INDEX(Z$80:Z$93,$D1411)/$E1411</f>
        <v/>
      </c>
      <c r="AA1411" s="35">
        <f>INDEX(AA$80:AA$93,$D1411)/$E1411</f>
        <v/>
      </c>
      <c r="AB1411" s="35">
        <f>INDEX(AB$80:AB$93,$D1411)/$E1411</f>
        <v/>
      </c>
      <c r="AC1411" s="35">
        <f>INDEX(AC$80:AC$93,$D1411)/$E1411</f>
        <v/>
      </c>
      <c r="AD1411" s="35">
        <f>INDEX(AD$80:AD$93,$D1411)/$E1411</f>
        <v/>
      </c>
      <c r="AE1411" s="42">
        <f>NEWEXCISE(INDEX(AE$80:AE$93,$D1411),$E1411)</f>
        <v/>
      </c>
      <c r="AG1411" s="11">
        <f>CodePrefix&amp;$A1411&amp;IF($C1411="","","."&amp;$C1411&amp;"."&amp;$B1411)&amp;INDEX(VarEnd,MATCH($A1411,VarKey,0))&amp;AG$5</f>
        <v/>
      </c>
      <c r="AH1411" s="40">
        <f>INDEX(AH$80:AH$93,$D1411)/$E1411</f>
        <v/>
      </c>
      <c r="AI1411" s="35">
        <f>INDEX(AI$80:AI$93,$D1411)/$E1411</f>
        <v/>
      </c>
      <c r="AJ1411" s="35">
        <f>INDEX(AJ$80:AJ$93,$D1411)/$E1411</f>
        <v/>
      </c>
      <c r="AK1411" s="35">
        <f>INDEX(AK$80:AK$93,$D1411)/$E1411</f>
        <v/>
      </c>
      <c r="AL1411" s="35">
        <f>INDEX(AL$80:AL$93,$D1411)/$E1411</f>
        <v/>
      </c>
      <c r="AM1411" s="35">
        <f>INDEX(AM$80:AM$93,$D1411)/$E1411</f>
        <v/>
      </c>
      <c r="AN1411" s="35">
        <f>INDEX(AN$80:AN$93,$D1411)/$E1411</f>
        <v/>
      </c>
      <c r="AO1411" s="35">
        <f>INDEX(AO$80:AO$93,$D1411)/$E1411</f>
        <v/>
      </c>
      <c r="AP1411" s="35">
        <f>INDEX(AP$80:AP$93,$D1411)/$E1411</f>
        <v/>
      </c>
      <c r="AQ1411" s="35">
        <f>INDEX(AQ$80:AQ$93,$D1411)/$E1411</f>
        <v/>
      </c>
      <c r="AR1411" s="35">
        <f>INDEX(AR$80:AR$93,$D1411)/$E1411</f>
        <v/>
      </c>
      <c r="AS1411" s="35">
        <f>INDEX(AS$80:AS$93,$D1411)/$E1411</f>
        <v/>
      </c>
      <c r="AT1411" s="35">
        <f>INDEX(AT$80:AT$93,$D1411)/$E1411</f>
        <v/>
      </c>
      <c r="AU1411" s="35">
        <f>INDEX(AU$80:AU$93,$D1411)/$E1411</f>
        <v/>
      </c>
      <c r="AV1411" s="35">
        <f>INDEX(AV$80:AV$93,$D1411)/$E1411</f>
        <v/>
      </c>
      <c r="AW1411" s="35">
        <f>INDEX(AW$80:AW$93,$D1411)/$E1411</f>
        <v/>
      </c>
      <c r="AX1411" s="35">
        <f>INDEX(AX$80:AX$93,$D1411)/$E1411</f>
        <v/>
      </c>
      <c r="AY1411" s="35">
        <f>INDEX(AY$80:AY$93,$D1411)/$E1411</f>
        <v/>
      </c>
      <c r="AZ1411" s="35">
        <f>INDEX(AZ$80:AZ$93,$D1411)/$E1411</f>
        <v/>
      </c>
      <c r="BA1411" s="42">
        <f>NEWEXCISE(INDEX(BA$80:BA$93,$D1411),$E1411)</f>
        <v/>
      </c>
    </row>
    <row r="1412" hidden="1" outlineLevel="2">
      <c r="A1412" s="14" t="inlineStr">
        <is>
          <t>ntx</t>
        </is>
      </c>
      <c r="B1412" s="14" t="inlineStr">
        <is>
          <t>die</t>
        </is>
      </c>
      <c r="C1412" s="14" t="inlineStr">
        <is>
          <t>nav</t>
        </is>
      </c>
      <c r="D1412" s="35">
        <f>INDEX(Inputs!$N$5:$N$132,MATCH($B1412&amp;"|"&amp;$C1412,Inputs!$A$5:$A$132,0))</f>
        <v/>
      </c>
      <c r="E1412" s="35">
        <f>INDEX(Inputs!$K$5:$K$132,MATCH($B1412&amp;"|"&amp;$C1412,Inputs!$A$5:$A$132,0))</f>
        <v/>
      </c>
      <c r="F1412" s="39" t="n"/>
      <c r="G1412" s="39" t="n"/>
      <c r="H1412" s="14">
        <f>INDEX(VarLab,MATCH($A1412,VarKey,0))&amp;INDEX(MemLab,MATCH($C1412&amp;"|"&amp;$B1412,MemKey,0))</f>
        <v/>
      </c>
      <c r="I1412" s="14">
        <f>INDEX(VarUnit,MATCH($A1412,VarKey,0))</f>
        <v/>
      </c>
      <c r="J1412" s="14">
        <f>INDEX(VarSrc,MATCH($A1412,VarKey,0))</f>
        <v/>
      </c>
      <c r="K1412" s="11">
        <f>CodePrefix&amp;$A1412&amp;IF($C1412="","","."&amp;$C1412&amp;"."&amp;$B1412)&amp;INDEX(VarEnd,MATCH($A1412,VarKey,0))&amp;K$5</f>
        <v/>
      </c>
      <c r="L1412" s="40">
        <f>INDEX(L$80:L$93,$D1412)/$E1412</f>
        <v/>
      </c>
      <c r="M1412" s="35">
        <f>INDEX(M$80:M$93,$D1412)/$E1412</f>
        <v/>
      </c>
      <c r="N1412" s="35">
        <f>INDEX(N$80:N$93,$D1412)/$E1412</f>
        <v/>
      </c>
      <c r="O1412" s="35">
        <f>INDEX(O$80:O$93,$D1412)/$E1412</f>
        <v/>
      </c>
      <c r="P1412" s="35">
        <f>INDEX(P$80:P$93,$D1412)/$E1412</f>
        <v/>
      </c>
      <c r="Q1412" s="35">
        <f>INDEX(Q$80:Q$93,$D1412)/$E1412</f>
        <v/>
      </c>
      <c r="R1412" s="35">
        <f>INDEX(R$80:R$93,$D1412)/$E1412</f>
        <v/>
      </c>
      <c r="S1412" s="35">
        <f>INDEX(S$80:S$93,$D1412)/$E1412</f>
        <v/>
      </c>
      <c r="T1412" s="35">
        <f>INDEX(T$80:T$93,$D1412)/$E1412</f>
        <v/>
      </c>
      <c r="U1412" s="35">
        <f>INDEX(U$80:U$93,$D1412)/$E1412</f>
        <v/>
      </c>
      <c r="V1412" s="35">
        <f>INDEX(V$80:V$93,$D1412)/$E1412</f>
        <v/>
      </c>
      <c r="W1412" s="35">
        <f>INDEX(W$80:W$93,$D1412)/$E1412</f>
        <v/>
      </c>
      <c r="X1412" s="35">
        <f>INDEX(X$80:X$93,$D1412)/$E1412</f>
        <v/>
      </c>
      <c r="Y1412" s="35">
        <f>INDEX(Y$80:Y$93,$D1412)/$E1412</f>
        <v/>
      </c>
      <c r="Z1412" s="35">
        <f>INDEX(Z$80:Z$93,$D1412)/$E1412</f>
        <v/>
      </c>
      <c r="AA1412" s="35">
        <f>INDEX(AA$80:AA$93,$D1412)/$E1412</f>
        <v/>
      </c>
      <c r="AB1412" s="35">
        <f>INDEX(AB$80:AB$93,$D1412)/$E1412</f>
        <v/>
      </c>
      <c r="AC1412" s="35">
        <f>INDEX(AC$80:AC$93,$D1412)/$E1412</f>
        <v/>
      </c>
      <c r="AD1412" s="35">
        <f>INDEX(AD$80:AD$93,$D1412)/$E1412</f>
        <v/>
      </c>
      <c r="AE1412" s="42">
        <f>NEWEXCISE(INDEX(AE$80:AE$93,$D1412),$E1412)</f>
        <v/>
      </c>
      <c r="AG1412" s="11">
        <f>CodePrefix&amp;$A1412&amp;IF($C1412="","","."&amp;$C1412&amp;"."&amp;$B1412)&amp;INDEX(VarEnd,MATCH($A1412,VarKey,0))&amp;AG$5</f>
        <v/>
      </c>
      <c r="AH1412" s="40">
        <f>INDEX(AH$80:AH$93,$D1412)/$E1412</f>
        <v/>
      </c>
      <c r="AI1412" s="35">
        <f>INDEX(AI$80:AI$93,$D1412)/$E1412</f>
        <v/>
      </c>
      <c r="AJ1412" s="35">
        <f>INDEX(AJ$80:AJ$93,$D1412)/$E1412</f>
        <v/>
      </c>
      <c r="AK1412" s="35">
        <f>INDEX(AK$80:AK$93,$D1412)/$E1412</f>
        <v/>
      </c>
      <c r="AL1412" s="35">
        <f>INDEX(AL$80:AL$93,$D1412)/$E1412</f>
        <v/>
      </c>
      <c r="AM1412" s="35">
        <f>INDEX(AM$80:AM$93,$D1412)/$E1412</f>
        <v/>
      </c>
      <c r="AN1412" s="35">
        <f>INDEX(AN$80:AN$93,$D1412)/$E1412</f>
        <v/>
      </c>
      <c r="AO1412" s="35">
        <f>INDEX(AO$80:AO$93,$D1412)/$E1412</f>
        <v/>
      </c>
      <c r="AP1412" s="35">
        <f>INDEX(AP$80:AP$93,$D1412)/$E1412</f>
        <v/>
      </c>
      <c r="AQ1412" s="35">
        <f>INDEX(AQ$80:AQ$93,$D1412)/$E1412</f>
        <v/>
      </c>
      <c r="AR1412" s="35">
        <f>INDEX(AR$80:AR$93,$D1412)/$E1412</f>
        <v/>
      </c>
      <c r="AS1412" s="35">
        <f>INDEX(AS$80:AS$93,$D1412)/$E1412</f>
        <v/>
      </c>
      <c r="AT1412" s="35">
        <f>INDEX(AT$80:AT$93,$D1412)/$E1412</f>
        <v/>
      </c>
      <c r="AU1412" s="35">
        <f>INDEX(AU$80:AU$93,$D1412)/$E1412</f>
        <v/>
      </c>
      <c r="AV1412" s="35">
        <f>INDEX(AV$80:AV$93,$D1412)/$E1412</f>
        <v/>
      </c>
      <c r="AW1412" s="35">
        <f>INDEX(AW$80:AW$93,$D1412)/$E1412</f>
        <v/>
      </c>
      <c r="AX1412" s="35">
        <f>INDEX(AX$80:AX$93,$D1412)/$E1412</f>
        <v/>
      </c>
      <c r="AY1412" s="35">
        <f>INDEX(AY$80:AY$93,$D1412)/$E1412</f>
        <v/>
      </c>
      <c r="AZ1412" s="35">
        <f>INDEX(AZ$80:AZ$93,$D1412)/$E1412</f>
        <v/>
      </c>
      <c r="BA1412" s="42">
        <f>NEWEXCISE(INDEX(BA$80:BA$93,$D1412),$E1412)</f>
        <v/>
      </c>
    </row>
    <row r="1413" hidden="1" outlineLevel="2">
      <c r="A1413" s="14" t="inlineStr">
        <is>
          <t>ntx</t>
        </is>
      </c>
      <c r="B1413" s="14" t="inlineStr">
        <is>
          <t>lpg</t>
        </is>
      </c>
      <c r="C1413" s="14" t="inlineStr">
        <is>
          <t>nav</t>
        </is>
      </c>
      <c r="D1413" s="35">
        <f>INDEX(Inputs!$N$5:$N$132,MATCH($B1413&amp;"|"&amp;$C1413,Inputs!$A$5:$A$132,0))</f>
        <v/>
      </c>
      <c r="E1413" s="35">
        <f>INDEX(Inputs!$K$5:$K$132,MATCH($B1413&amp;"|"&amp;$C1413,Inputs!$A$5:$A$132,0))</f>
        <v/>
      </c>
      <c r="F1413" s="39" t="n"/>
      <c r="G1413" s="39" t="n"/>
      <c r="H1413" s="14">
        <f>INDEX(VarLab,MATCH($A1413,VarKey,0))&amp;INDEX(MemLab,MATCH($C1413&amp;"|"&amp;$B1413,MemKey,0))</f>
        <v/>
      </c>
      <c r="I1413" s="14">
        <f>INDEX(VarUnit,MATCH($A1413,VarKey,0))</f>
        <v/>
      </c>
      <c r="J1413" s="14">
        <f>INDEX(VarSrc,MATCH($A1413,VarKey,0))</f>
        <v/>
      </c>
      <c r="K1413" s="11">
        <f>CodePrefix&amp;$A1413&amp;IF($C1413="","","."&amp;$C1413&amp;"."&amp;$B1413)&amp;INDEX(VarEnd,MATCH($A1413,VarKey,0))&amp;K$5</f>
        <v/>
      </c>
      <c r="L1413" s="40">
        <f>INDEX(L$80:L$93,$D1413)/$E1413</f>
        <v/>
      </c>
      <c r="M1413" s="35">
        <f>INDEX(M$80:M$93,$D1413)/$E1413</f>
        <v/>
      </c>
      <c r="N1413" s="35">
        <f>INDEX(N$80:N$93,$D1413)/$E1413</f>
        <v/>
      </c>
      <c r="O1413" s="35">
        <f>INDEX(O$80:O$93,$D1413)/$E1413</f>
        <v/>
      </c>
      <c r="P1413" s="35">
        <f>INDEX(P$80:P$93,$D1413)/$E1413</f>
        <v/>
      </c>
      <c r="Q1413" s="35">
        <f>INDEX(Q$80:Q$93,$D1413)/$E1413</f>
        <v/>
      </c>
      <c r="R1413" s="35">
        <f>INDEX(R$80:R$93,$D1413)/$E1413</f>
        <v/>
      </c>
      <c r="S1413" s="35">
        <f>INDEX(S$80:S$93,$D1413)/$E1413</f>
        <v/>
      </c>
      <c r="T1413" s="35">
        <f>INDEX(T$80:T$93,$D1413)/$E1413</f>
        <v/>
      </c>
      <c r="U1413" s="35">
        <f>INDEX(U$80:U$93,$D1413)/$E1413</f>
        <v/>
      </c>
      <c r="V1413" s="35">
        <f>INDEX(V$80:V$93,$D1413)/$E1413</f>
        <v/>
      </c>
      <c r="W1413" s="35">
        <f>INDEX(W$80:W$93,$D1413)/$E1413</f>
        <v/>
      </c>
      <c r="X1413" s="35">
        <f>INDEX(X$80:X$93,$D1413)/$E1413</f>
        <v/>
      </c>
      <c r="Y1413" s="35">
        <f>INDEX(Y$80:Y$93,$D1413)/$E1413</f>
        <v/>
      </c>
      <c r="Z1413" s="35">
        <f>INDEX(Z$80:Z$93,$D1413)/$E1413</f>
        <v/>
      </c>
      <c r="AA1413" s="35">
        <f>INDEX(AA$80:AA$93,$D1413)/$E1413</f>
        <v/>
      </c>
      <c r="AB1413" s="35">
        <f>INDEX(AB$80:AB$93,$D1413)/$E1413</f>
        <v/>
      </c>
      <c r="AC1413" s="35">
        <f>INDEX(AC$80:AC$93,$D1413)/$E1413</f>
        <v/>
      </c>
      <c r="AD1413" s="35">
        <f>INDEX(AD$80:AD$93,$D1413)/$E1413</f>
        <v/>
      </c>
      <c r="AE1413" s="42">
        <f>NEWEXCISE(INDEX(AE$80:AE$93,$D1413),$E1413)</f>
        <v/>
      </c>
      <c r="AG1413" s="11">
        <f>CodePrefix&amp;$A1413&amp;IF($C1413="","","."&amp;$C1413&amp;"."&amp;$B1413)&amp;INDEX(VarEnd,MATCH($A1413,VarKey,0))&amp;AG$5</f>
        <v/>
      </c>
      <c r="AH1413" s="40">
        <f>INDEX(AH$80:AH$93,$D1413)/$E1413</f>
        <v/>
      </c>
      <c r="AI1413" s="35">
        <f>INDEX(AI$80:AI$93,$D1413)/$E1413</f>
        <v/>
      </c>
      <c r="AJ1413" s="35">
        <f>INDEX(AJ$80:AJ$93,$D1413)/$E1413</f>
        <v/>
      </c>
      <c r="AK1413" s="35">
        <f>INDEX(AK$80:AK$93,$D1413)/$E1413</f>
        <v/>
      </c>
      <c r="AL1413" s="35">
        <f>INDEX(AL$80:AL$93,$D1413)/$E1413</f>
        <v/>
      </c>
      <c r="AM1413" s="35">
        <f>INDEX(AM$80:AM$93,$D1413)/$E1413</f>
        <v/>
      </c>
      <c r="AN1413" s="35">
        <f>INDEX(AN$80:AN$93,$D1413)/$E1413</f>
        <v/>
      </c>
      <c r="AO1413" s="35">
        <f>INDEX(AO$80:AO$93,$D1413)/$E1413</f>
        <v/>
      </c>
      <c r="AP1413" s="35">
        <f>INDEX(AP$80:AP$93,$D1413)/$E1413</f>
        <v/>
      </c>
      <c r="AQ1413" s="35">
        <f>INDEX(AQ$80:AQ$93,$D1413)/$E1413</f>
        <v/>
      </c>
      <c r="AR1413" s="35">
        <f>INDEX(AR$80:AR$93,$D1413)/$E1413</f>
        <v/>
      </c>
      <c r="AS1413" s="35">
        <f>INDEX(AS$80:AS$93,$D1413)/$E1413</f>
        <v/>
      </c>
      <c r="AT1413" s="35">
        <f>INDEX(AT$80:AT$93,$D1413)/$E1413</f>
        <v/>
      </c>
      <c r="AU1413" s="35">
        <f>INDEX(AU$80:AU$93,$D1413)/$E1413</f>
        <v/>
      </c>
      <c r="AV1413" s="35">
        <f>INDEX(AV$80:AV$93,$D1413)/$E1413</f>
        <v/>
      </c>
      <c r="AW1413" s="35">
        <f>INDEX(AW$80:AW$93,$D1413)/$E1413</f>
        <v/>
      </c>
      <c r="AX1413" s="35">
        <f>INDEX(AX$80:AX$93,$D1413)/$E1413</f>
        <v/>
      </c>
      <c r="AY1413" s="35">
        <f>INDEX(AY$80:AY$93,$D1413)/$E1413</f>
        <v/>
      </c>
      <c r="AZ1413" s="35">
        <f>INDEX(AZ$80:AZ$93,$D1413)/$E1413</f>
        <v/>
      </c>
      <c r="BA1413" s="42">
        <f>NEWEXCISE(INDEX(BA$80:BA$93,$D1413),$E1413)</f>
        <v/>
      </c>
    </row>
    <row r="1414" hidden="1" outlineLevel="2">
      <c r="A1414" s="14" t="inlineStr">
        <is>
          <t>ntx</t>
        </is>
      </c>
      <c r="B1414" s="14" t="inlineStr">
        <is>
          <t>ker</t>
        </is>
      </c>
      <c r="C1414" s="14" t="inlineStr">
        <is>
          <t>nav</t>
        </is>
      </c>
      <c r="D1414" s="35">
        <f>INDEX(Inputs!$N$5:$N$132,MATCH($B1414&amp;"|"&amp;$C1414,Inputs!$A$5:$A$132,0))</f>
        <v/>
      </c>
      <c r="E1414" s="35">
        <f>INDEX(Inputs!$K$5:$K$132,MATCH($B1414&amp;"|"&amp;$C1414,Inputs!$A$5:$A$132,0))</f>
        <v/>
      </c>
      <c r="F1414" s="39" t="n"/>
      <c r="G1414" s="39" t="n"/>
      <c r="H1414" s="14">
        <f>INDEX(VarLab,MATCH($A1414,VarKey,0))&amp;INDEX(MemLab,MATCH($C1414&amp;"|"&amp;$B1414,MemKey,0))</f>
        <v/>
      </c>
      <c r="I1414" s="14">
        <f>INDEX(VarUnit,MATCH($A1414,VarKey,0))</f>
        <v/>
      </c>
      <c r="J1414" s="14">
        <f>INDEX(VarSrc,MATCH($A1414,VarKey,0))</f>
        <v/>
      </c>
      <c r="K1414" s="11">
        <f>CodePrefix&amp;$A1414&amp;IF($C1414="","","."&amp;$C1414&amp;"."&amp;$B1414)&amp;INDEX(VarEnd,MATCH($A1414,VarKey,0))&amp;K$5</f>
        <v/>
      </c>
      <c r="L1414" s="40">
        <f>INDEX(L$80:L$93,$D1414)/$E1414</f>
        <v/>
      </c>
      <c r="M1414" s="35">
        <f>INDEX(M$80:M$93,$D1414)/$E1414</f>
        <v/>
      </c>
      <c r="N1414" s="35">
        <f>INDEX(N$80:N$93,$D1414)/$E1414</f>
        <v/>
      </c>
      <c r="O1414" s="35">
        <f>INDEX(O$80:O$93,$D1414)/$E1414</f>
        <v/>
      </c>
      <c r="P1414" s="35">
        <f>INDEX(P$80:P$93,$D1414)/$E1414</f>
        <v/>
      </c>
      <c r="Q1414" s="35">
        <f>INDEX(Q$80:Q$93,$D1414)/$E1414</f>
        <v/>
      </c>
      <c r="R1414" s="35">
        <f>INDEX(R$80:R$93,$D1414)/$E1414</f>
        <v/>
      </c>
      <c r="S1414" s="35">
        <f>INDEX(S$80:S$93,$D1414)/$E1414</f>
        <v/>
      </c>
      <c r="T1414" s="35">
        <f>INDEX(T$80:T$93,$D1414)/$E1414</f>
        <v/>
      </c>
      <c r="U1414" s="35">
        <f>INDEX(U$80:U$93,$D1414)/$E1414</f>
        <v/>
      </c>
      <c r="V1414" s="35">
        <f>INDEX(V$80:V$93,$D1414)/$E1414</f>
        <v/>
      </c>
      <c r="W1414" s="35">
        <f>INDEX(W$80:W$93,$D1414)/$E1414</f>
        <v/>
      </c>
      <c r="X1414" s="35">
        <f>INDEX(X$80:X$93,$D1414)/$E1414</f>
        <v/>
      </c>
      <c r="Y1414" s="35">
        <f>INDEX(Y$80:Y$93,$D1414)/$E1414</f>
        <v/>
      </c>
      <c r="Z1414" s="35">
        <f>INDEX(Z$80:Z$93,$D1414)/$E1414</f>
        <v/>
      </c>
      <c r="AA1414" s="35">
        <f>INDEX(AA$80:AA$93,$D1414)/$E1414</f>
        <v/>
      </c>
      <c r="AB1414" s="35">
        <f>INDEX(AB$80:AB$93,$D1414)/$E1414</f>
        <v/>
      </c>
      <c r="AC1414" s="35">
        <f>INDEX(AC$80:AC$93,$D1414)/$E1414</f>
        <v/>
      </c>
      <c r="AD1414" s="35">
        <f>INDEX(AD$80:AD$93,$D1414)/$E1414</f>
        <v/>
      </c>
      <c r="AE1414" s="42">
        <f>NEWEXCISE(INDEX(AE$80:AE$93,$D1414),$E1414)</f>
        <v/>
      </c>
      <c r="AG1414" s="11">
        <f>CodePrefix&amp;$A1414&amp;IF($C1414="","","."&amp;$C1414&amp;"."&amp;$B1414)&amp;INDEX(VarEnd,MATCH($A1414,VarKey,0))&amp;AG$5</f>
        <v/>
      </c>
      <c r="AH1414" s="40">
        <f>INDEX(AH$80:AH$93,$D1414)/$E1414</f>
        <v/>
      </c>
      <c r="AI1414" s="35">
        <f>INDEX(AI$80:AI$93,$D1414)/$E1414</f>
        <v/>
      </c>
      <c r="AJ1414" s="35">
        <f>INDEX(AJ$80:AJ$93,$D1414)/$E1414</f>
        <v/>
      </c>
      <c r="AK1414" s="35">
        <f>INDEX(AK$80:AK$93,$D1414)/$E1414</f>
        <v/>
      </c>
      <c r="AL1414" s="35">
        <f>INDEX(AL$80:AL$93,$D1414)/$E1414</f>
        <v/>
      </c>
      <c r="AM1414" s="35">
        <f>INDEX(AM$80:AM$93,$D1414)/$E1414</f>
        <v/>
      </c>
      <c r="AN1414" s="35">
        <f>INDEX(AN$80:AN$93,$D1414)/$E1414</f>
        <v/>
      </c>
      <c r="AO1414" s="35">
        <f>INDEX(AO$80:AO$93,$D1414)/$E1414</f>
        <v/>
      </c>
      <c r="AP1414" s="35">
        <f>INDEX(AP$80:AP$93,$D1414)/$E1414</f>
        <v/>
      </c>
      <c r="AQ1414" s="35">
        <f>INDEX(AQ$80:AQ$93,$D1414)/$E1414</f>
        <v/>
      </c>
      <c r="AR1414" s="35">
        <f>INDEX(AR$80:AR$93,$D1414)/$E1414</f>
        <v/>
      </c>
      <c r="AS1414" s="35">
        <f>INDEX(AS$80:AS$93,$D1414)/$E1414</f>
        <v/>
      </c>
      <c r="AT1414" s="35">
        <f>INDEX(AT$80:AT$93,$D1414)/$E1414</f>
        <v/>
      </c>
      <c r="AU1414" s="35">
        <f>INDEX(AU$80:AU$93,$D1414)/$E1414</f>
        <v/>
      </c>
      <c r="AV1414" s="35">
        <f>INDEX(AV$80:AV$93,$D1414)/$E1414</f>
        <v/>
      </c>
      <c r="AW1414" s="35">
        <f>INDEX(AW$80:AW$93,$D1414)/$E1414</f>
        <v/>
      </c>
      <c r="AX1414" s="35">
        <f>INDEX(AX$80:AX$93,$D1414)/$E1414</f>
        <v/>
      </c>
      <c r="AY1414" s="35">
        <f>INDEX(AY$80:AY$93,$D1414)/$E1414</f>
        <v/>
      </c>
      <c r="AZ1414" s="35">
        <f>INDEX(AZ$80:AZ$93,$D1414)/$E1414</f>
        <v/>
      </c>
      <c r="BA1414" s="42">
        <f>NEWEXCISE(INDEX(BA$80:BA$93,$D1414),$E1414)</f>
        <v/>
      </c>
    </row>
    <row r="1415" hidden="1" outlineLevel="2">
      <c r="A1415" s="14" t="inlineStr">
        <is>
          <t>ntx</t>
        </is>
      </c>
      <c r="B1415" s="14" t="inlineStr">
        <is>
          <t>oop</t>
        </is>
      </c>
      <c r="C1415" s="14" t="inlineStr">
        <is>
          <t>nav</t>
        </is>
      </c>
      <c r="D1415" s="35">
        <f>INDEX(Inputs!$N$5:$N$132,MATCH($B1415&amp;"|"&amp;$C1415,Inputs!$A$5:$A$132,0))</f>
        <v/>
      </c>
      <c r="E1415" s="35">
        <f>INDEX(Inputs!$K$5:$K$132,MATCH($B1415&amp;"|"&amp;$C1415,Inputs!$A$5:$A$132,0))</f>
        <v/>
      </c>
      <c r="F1415" s="39" t="n"/>
      <c r="G1415" s="39" t="n"/>
      <c r="H1415" s="14">
        <f>INDEX(VarLab,MATCH($A1415,VarKey,0))&amp;INDEX(MemLab,MATCH($C1415&amp;"|"&amp;$B1415,MemKey,0))</f>
        <v/>
      </c>
      <c r="I1415" s="14">
        <f>INDEX(VarUnit,MATCH($A1415,VarKey,0))</f>
        <v/>
      </c>
      <c r="J1415" s="14">
        <f>INDEX(VarSrc,MATCH($A1415,VarKey,0))</f>
        <v/>
      </c>
      <c r="K1415" s="11">
        <f>CodePrefix&amp;$A1415&amp;IF($C1415="","","."&amp;$C1415&amp;"."&amp;$B1415)&amp;INDEX(VarEnd,MATCH($A1415,VarKey,0))&amp;K$5</f>
        <v/>
      </c>
      <c r="L1415" s="40">
        <f>INDEX(L$80:L$93,$D1415)/$E1415</f>
        <v/>
      </c>
      <c r="M1415" s="35">
        <f>INDEX(M$80:M$93,$D1415)/$E1415</f>
        <v/>
      </c>
      <c r="N1415" s="35">
        <f>INDEX(N$80:N$93,$D1415)/$E1415</f>
        <v/>
      </c>
      <c r="O1415" s="35">
        <f>INDEX(O$80:O$93,$D1415)/$E1415</f>
        <v/>
      </c>
      <c r="P1415" s="35">
        <f>INDEX(P$80:P$93,$D1415)/$E1415</f>
        <v/>
      </c>
      <c r="Q1415" s="35">
        <f>INDEX(Q$80:Q$93,$D1415)/$E1415</f>
        <v/>
      </c>
      <c r="R1415" s="35">
        <f>INDEX(R$80:R$93,$D1415)/$E1415</f>
        <v/>
      </c>
      <c r="S1415" s="35">
        <f>INDEX(S$80:S$93,$D1415)/$E1415</f>
        <v/>
      </c>
      <c r="T1415" s="35">
        <f>INDEX(T$80:T$93,$D1415)/$E1415</f>
        <v/>
      </c>
      <c r="U1415" s="35">
        <f>INDEX(U$80:U$93,$D1415)/$E1415</f>
        <v/>
      </c>
      <c r="V1415" s="35">
        <f>INDEX(V$80:V$93,$D1415)/$E1415</f>
        <v/>
      </c>
      <c r="W1415" s="35">
        <f>INDEX(W$80:W$93,$D1415)/$E1415</f>
        <v/>
      </c>
      <c r="X1415" s="35">
        <f>INDEX(X$80:X$93,$D1415)/$E1415</f>
        <v/>
      </c>
      <c r="Y1415" s="35">
        <f>INDEX(Y$80:Y$93,$D1415)/$E1415</f>
        <v/>
      </c>
      <c r="Z1415" s="35">
        <f>INDEX(Z$80:Z$93,$D1415)/$E1415</f>
        <v/>
      </c>
      <c r="AA1415" s="35">
        <f>INDEX(AA$80:AA$93,$D1415)/$E1415</f>
        <v/>
      </c>
      <c r="AB1415" s="35">
        <f>INDEX(AB$80:AB$93,$D1415)/$E1415</f>
        <v/>
      </c>
      <c r="AC1415" s="35">
        <f>INDEX(AC$80:AC$93,$D1415)/$E1415</f>
        <v/>
      </c>
      <c r="AD1415" s="35">
        <f>INDEX(AD$80:AD$93,$D1415)/$E1415</f>
        <v/>
      </c>
      <c r="AE1415" s="42">
        <f>NEWEXCISE(INDEX(AE$80:AE$93,$D1415),$E1415)</f>
        <v/>
      </c>
      <c r="AG1415" s="11">
        <f>CodePrefix&amp;$A1415&amp;IF($C1415="","","."&amp;$C1415&amp;"."&amp;$B1415)&amp;INDEX(VarEnd,MATCH($A1415,VarKey,0))&amp;AG$5</f>
        <v/>
      </c>
      <c r="AH1415" s="40">
        <f>INDEX(AH$80:AH$93,$D1415)/$E1415</f>
        <v/>
      </c>
      <c r="AI1415" s="35">
        <f>INDEX(AI$80:AI$93,$D1415)/$E1415</f>
        <v/>
      </c>
      <c r="AJ1415" s="35">
        <f>INDEX(AJ$80:AJ$93,$D1415)/$E1415</f>
        <v/>
      </c>
      <c r="AK1415" s="35">
        <f>INDEX(AK$80:AK$93,$D1415)/$E1415</f>
        <v/>
      </c>
      <c r="AL1415" s="35">
        <f>INDEX(AL$80:AL$93,$D1415)/$E1415</f>
        <v/>
      </c>
      <c r="AM1415" s="35">
        <f>INDEX(AM$80:AM$93,$D1415)/$E1415</f>
        <v/>
      </c>
      <c r="AN1415" s="35">
        <f>INDEX(AN$80:AN$93,$D1415)/$E1415</f>
        <v/>
      </c>
      <c r="AO1415" s="35">
        <f>INDEX(AO$80:AO$93,$D1415)/$E1415</f>
        <v/>
      </c>
      <c r="AP1415" s="35">
        <f>INDEX(AP$80:AP$93,$D1415)/$E1415</f>
        <v/>
      </c>
      <c r="AQ1415" s="35">
        <f>INDEX(AQ$80:AQ$93,$D1415)/$E1415</f>
        <v/>
      </c>
      <c r="AR1415" s="35">
        <f>INDEX(AR$80:AR$93,$D1415)/$E1415</f>
        <v/>
      </c>
      <c r="AS1415" s="35">
        <f>INDEX(AS$80:AS$93,$D1415)/$E1415</f>
        <v/>
      </c>
      <c r="AT1415" s="35">
        <f>INDEX(AT$80:AT$93,$D1415)/$E1415</f>
        <v/>
      </c>
      <c r="AU1415" s="35">
        <f>INDEX(AU$80:AU$93,$D1415)/$E1415</f>
        <v/>
      </c>
      <c r="AV1415" s="35">
        <f>INDEX(AV$80:AV$93,$D1415)/$E1415</f>
        <v/>
      </c>
      <c r="AW1415" s="35">
        <f>INDEX(AW$80:AW$93,$D1415)/$E1415</f>
        <v/>
      </c>
      <c r="AX1415" s="35">
        <f>INDEX(AX$80:AX$93,$D1415)/$E1415</f>
        <v/>
      </c>
      <c r="AY1415" s="35">
        <f>INDEX(AY$80:AY$93,$D1415)/$E1415</f>
        <v/>
      </c>
      <c r="AZ1415" s="35">
        <f>INDEX(AZ$80:AZ$93,$D1415)/$E1415</f>
        <v/>
      </c>
      <c r="BA1415" s="42">
        <f>NEWEXCISE(INDEX(BA$80:BA$93,$D1415),$E1415)</f>
        <v/>
      </c>
    </row>
    <row r="1416" hidden="1" outlineLevel="2">
      <c r="A1416" s="14" t="inlineStr">
        <is>
          <t>ntx</t>
        </is>
      </c>
      <c r="B1416" s="14" t="inlineStr">
        <is>
          <t>bio</t>
        </is>
      </c>
      <c r="C1416" s="14" t="inlineStr">
        <is>
          <t>nav</t>
        </is>
      </c>
      <c r="D1416" s="35">
        <f>INDEX(Inputs!$N$5:$N$132,MATCH($B1416&amp;"|"&amp;$C1416,Inputs!$A$5:$A$132,0))</f>
        <v/>
      </c>
      <c r="E1416" s="35">
        <f>INDEX(Inputs!$K$5:$K$132,MATCH($B1416&amp;"|"&amp;$C1416,Inputs!$A$5:$A$132,0))</f>
        <v/>
      </c>
      <c r="F1416" s="39" t="n"/>
      <c r="G1416" s="39" t="n"/>
      <c r="H1416" s="14">
        <f>INDEX(VarLab,MATCH($A1416,VarKey,0))&amp;INDEX(MemLab,MATCH($C1416&amp;"|"&amp;$B1416,MemKey,0))</f>
        <v/>
      </c>
      <c r="I1416" s="14">
        <f>INDEX(VarUnit,MATCH($A1416,VarKey,0))</f>
        <v/>
      </c>
      <c r="J1416" s="14">
        <f>INDEX(VarSrc,MATCH($A1416,VarKey,0))</f>
        <v/>
      </c>
      <c r="K1416" s="11">
        <f>CodePrefix&amp;$A1416&amp;IF($C1416="","","."&amp;$C1416&amp;"."&amp;$B1416)&amp;INDEX(VarEnd,MATCH($A1416,VarKey,0))&amp;K$5</f>
        <v/>
      </c>
      <c r="L1416" s="40">
        <f>INDEX(L$80:L$93,$D1416)/$E1416</f>
        <v/>
      </c>
      <c r="M1416" s="35">
        <f>INDEX(M$80:M$93,$D1416)/$E1416</f>
        <v/>
      </c>
      <c r="N1416" s="35">
        <f>INDEX(N$80:N$93,$D1416)/$E1416</f>
        <v/>
      </c>
      <c r="O1416" s="35">
        <f>INDEX(O$80:O$93,$D1416)/$E1416</f>
        <v/>
      </c>
      <c r="P1416" s="35">
        <f>INDEX(P$80:P$93,$D1416)/$E1416</f>
        <v/>
      </c>
      <c r="Q1416" s="35">
        <f>INDEX(Q$80:Q$93,$D1416)/$E1416</f>
        <v/>
      </c>
      <c r="R1416" s="35">
        <f>INDEX(R$80:R$93,$D1416)/$E1416</f>
        <v/>
      </c>
      <c r="S1416" s="35">
        <f>INDEX(S$80:S$93,$D1416)/$E1416</f>
        <v/>
      </c>
      <c r="T1416" s="35">
        <f>INDEX(T$80:T$93,$D1416)/$E1416</f>
        <v/>
      </c>
      <c r="U1416" s="35">
        <f>INDEX(U$80:U$93,$D1416)/$E1416</f>
        <v/>
      </c>
      <c r="V1416" s="35">
        <f>INDEX(V$80:V$93,$D1416)/$E1416</f>
        <v/>
      </c>
      <c r="W1416" s="35">
        <f>INDEX(W$80:W$93,$D1416)/$E1416</f>
        <v/>
      </c>
      <c r="X1416" s="35">
        <f>INDEX(X$80:X$93,$D1416)/$E1416</f>
        <v/>
      </c>
      <c r="Y1416" s="35">
        <f>INDEX(Y$80:Y$93,$D1416)/$E1416</f>
        <v/>
      </c>
      <c r="Z1416" s="35">
        <f>INDEX(Z$80:Z$93,$D1416)/$E1416</f>
        <v/>
      </c>
      <c r="AA1416" s="35">
        <f>INDEX(AA$80:AA$93,$D1416)/$E1416</f>
        <v/>
      </c>
      <c r="AB1416" s="35">
        <f>INDEX(AB$80:AB$93,$D1416)/$E1416</f>
        <v/>
      </c>
      <c r="AC1416" s="35">
        <f>INDEX(AC$80:AC$93,$D1416)/$E1416</f>
        <v/>
      </c>
      <c r="AD1416" s="35">
        <f>INDEX(AD$80:AD$93,$D1416)/$E1416</f>
        <v/>
      </c>
      <c r="AE1416" s="42">
        <f>NEWEXCISE(INDEX(AE$80:AE$93,$D1416),$E1416)</f>
        <v/>
      </c>
      <c r="AG1416" s="11">
        <f>CodePrefix&amp;$A1416&amp;IF($C1416="","","."&amp;$C1416&amp;"."&amp;$B1416)&amp;INDEX(VarEnd,MATCH($A1416,VarKey,0))&amp;AG$5</f>
        <v/>
      </c>
      <c r="AH1416" s="40">
        <f>INDEX(AH$80:AH$93,$D1416)/$E1416</f>
        <v/>
      </c>
      <c r="AI1416" s="35">
        <f>INDEX(AI$80:AI$93,$D1416)/$E1416</f>
        <v/>
      </c>
      <c r="AJ1416" s="35">
        <f>INDEX(AJ$80:AJ$93,$D1416)/$E1416</f>
        <v/>
      </c>
      <c r="AK1416" s="35">
        <f>INDEX(AK$80:AK$93,$D1416)/$E1416</f>
        <v/>
      </c>
      <c r="AL1416" s="35">
        <f>INDEX(AL$80:AL$93,$D1416)/$E1416</f>
        <v/>
      </c>
      <c r="AM1416" s="35">
        <f>INDEX(AM$80:AM$93,$D1416)/$E1416</f>
        <v/>
      </c>
      <c r="AN1416" s="35">
        <f>INDEX(AN$80:AN$93,$D1416)/$E1416</f>
        <v/>
      </c>
      <c r="AO1416" s="35">
        <f>INDEX(AO$80:AO$93,$D1416)/$E1416</f>
        <v/>
      </c>
      <c r="AP1416" s="35">
        <f>INDEX(AP$80:AP$93,$D1416)/$E1416</f>
        <v/>
      </c>
      <c r="AQ1416" s="35">
        <f>INDEX(AQ$80:AQ$93,$D1416)/$E1416</f>
        <v/>
      </c>
      <c r="AR1416" s="35">
        <f>INDEX(AR$80:AR$93,$D1416)/$E1416</f>
        <v/>
      </c>
      <c r="AS1416" s="35">
        <f>INDEX(AS$80:AS$93,$D1416)/$E1416</f>
        <v/>
      </c>
      <c r="AT1416" s="35">
        <f>INDEX(AT$80:AT$93,$D1416)/$E1416</f>
        <v/>
      </c>
      <c r="AU1416" s="35">
        <f>INDEX(AU$80:AU$93,$D1416)/$E1416</f>
        <v/>
      </c>
      <c r="AV1416" s="35">
        <f>INDEX(AV$80:AV$93,$D1416)/$E1416</f>
        <v/>
      </c>
      <c r="AW1416" s="35">
        <f>INDEX(AW$80:AW$93,$D1416)/$E1416</f>
        <v/>
      </c>
      <c r="AX1416" s="35">
        <f>INDEX(AX$80:AX$93,$D1416)/$E1416</f>
        <v/>
      </c>
      <c r="AY1416" s="35">
        <f>INDEX(AY$80:AY$93,$D1416)/$E1416</f>
        <v/>
      </c>
      <c r="AZ1416" s="35">
        <f>INDEX(AZ$80:AZ$93,$D1416)/$E1416</f>
        <v/>
      </c>
      <c r="BA1416" s="42">
        <f>NEWEXCISE(INDEX(BA$80:BA$93,$D1416),$E1416)</f>
        <v/>
      </c>
    </row>
    <row r="1417" hidden="1" outlineLevel="2"/>
    <row r="1418" hidden="1" outlineLevel="2">
      <c r="A1418" s="14" t="inlineStr">
        <is>
          <t>nce</t>
        </is>
      </c>
      <c r="B1418" s="14" t="inlineStr">
        <is>
          <t>coa</t>
        </is>
      </c>
      <c r="C1418" s="14" t="inlineStr">
        <is>
          <t>nav</t>
        </is>
      </c>
      <c r="D1418" s="39" t="n"/>
      <c r="E1418" s="39" t="n"/>
      <c r="F1418" s="39" t="n"/>
      <c r="G1418" s="39" t="n"/>
      <c r="H1418" s="14">
        <f>INDEX(VarLab,MATCH($A1418,VarKey,0))&amp;INDEX(MemLab,MATCH($C1418&amp;"|"&amp;$B1418,MemKey,0))</f>
        <v/>
      </c>
      <c r="I1418" s="14">
        <f>INDEX(VarUnit,MATCH($A1418,VarKey,0))</f>
        <v/>
      </c>
      <c r="J1418" s="14">
        <f>INDEX(VarSrc,MATCH($A1418,VarKey,0))</f>
        <v/>
      </c>
      <c r="K1418" s="11">
        <f>CodePrefix&amp;$A1418&amp;IF($C1418="","","."&amp;$C1418&amp;"."&amp;$B1418)&amp;INDEX(VarEnd,MATCH($A1418,VarKey,0))&amp;K$5</f>
        <v/>
      </c>
      <c r="L1418" s="40">
        <f>L1391+L1400+L1409</f>
        <v/>
      </c>
      <c r="M1418" s="35">
        <f>M1391+M1400+M1409</f>
        <v/>
      </c>
      <c r="N1418" s="35">
        <f>N1391+N1400+N1409</f>
        <v/>
      </c>
      <c r="O1418" s="35">
        <f>O1391+O1400+O1409</f>
        <v/>
      </c>
      <c r="P1418" s="35">
        <f>P1391+P1400+P1409</f>
        <v/>
      </c>
      <c r="Q1418" s="35">
        <f>Q1391+Q1400+Q1409</f>
        <v/>
      </c>
      <c r="R1418" s="35">
        <f>R1391+R1400+R1409</f>
        <v/>
      </c>
      <c r="S1418" s="35">
        <f>S1391+S1400+S1409</f>
        <v/>
      </c>
      <c r="T1418" s="35">
        <f>T1391+T1400+T1409</f>
        <v/>
      </c>
      <c r="U1418" s="35">
        <f>U1391+U1400+U1409</f>
        <v/>
      </c>
      <c r="V1418" s="35">
        <f>V1391+V1400+V1409</f>
        <v/>
      </c>
      <c r="W1418" s="35">
        <f>W1391+W1400+W1409</f>
        <v/>
      </c>
      <c r="X1418" s="35">
        <f>X1391+X1400+X1409</f>
        <v/>
      </c>
      <c r="Y1418" s="35">
        <f>Y1391+Y1400+Y1409</f>
        <v/>
      </c>
      <c r="Z1418" s="35">
        <f>Z1391+Z1400+Z1409</f>
        <v/>
      </c>
      <c r="AA1418" s="35">
        <f>AA1391+AA1400+AA1409</f>
        <v/>
      </c>
      <c r="AB1418" s="35">
        <f>AB1391+AB1400+AB1409</f>
        <v/>
      </c>
      <c r="AC1418" s="35">
        <f>AC1391+AC1400+AC1409</f>
        <v/>
      </c>
      <c r="AD1418" s="35">
        <f>AD1391+AD1400+AD1409</f>
        <v/>
      </c>
      <c r="AE1418" s="42">
        <f>NEWPOLICY(AE1391,AE1400,AE1409)</f>
        <v/>
      </c>
      <c r="AG1418" s="11">
        <f>CodePrefix&amp;$A1418&amp;IF($C1418="","","."&amp;$C1418&amp;"."&amp;$B1418)&amp;INDEX(VarEnd,MATCH($A1418,VarKey,0))&amp;AG$5</f>
        <v/>
      </c>
      <c r="AH1418" s="40">
        <f>AH1391+AH1400+AH1409</f>
        <v/>
      </c>
      <c r="AI1418" s="35">
        <f>AI1391+AI1400+AI1409</f>
        <v/>
      </c>
      <c r="AJ1418" s="35">
        <f>AJ1391+AJ1400+AJ1409</f>
        <v/>
      </c>
      <c r="AK1418" s="35">
        <f>AK1391+AK1400+AK1409</f>
        <v/>
      </c>
      <c r="AL1418" s="35">
        <f>AL1391+AL1400+AL1409</f>
        <v/>
      </c>
      <c r="AM1418" s="35">
        <f>AM1391+AM1400+AM1409</f>
        <v/>
      </c>
      <c r="AN1418" s="35">
        <f>AN1391+AN1400+AN1409</f>
        <v/>
      </c>
      <c r="AO1418" s="35">
        <f>AO1391+AO1400+AO1409</f>
        <v/>
      </c>
      <c r="AP1418" s="35">
        <f>AP1391+AP1400+AP1409</f>
        <v/>
      </c>
      <c r="AQ1418" s="35">
        <f>AQ1391+AQ1400+AQ1409</f>
        <v/>
      </c>
      <c r="AR1418" s="35">
        <f>AR1391+AR1400+AR1409</f>
        <v/>
      </c>
      <c r="AS1418" s="35">
        <f>AS1391+AS1400+AS1409</f>
        <v/>
      </c>
      <c r="AT1418" s="35">
        <f>AT1391+AT1400+AT1409</f>
        <v/>
      </c>
      <c r="AU1418" s="35">
        <f>AU1391+AU1400+AU1409</f>
        <v/>
      </c>
      <c r="AV1418" s="35">
        <f>AV1391+AV1400+AV1409</f>
        <v/>
      </c>
      <c r="AW1418" s="35">
        <f>AW1391+AW1400+AW1409</f>
        <v/>
      </c>
      <c r="AX1418" s="35">
        <f>AX1391+AX1400+AX1409</f>
        <v/>
      </c>
      <c r="AY1418" s="35">
        <f>AY1391+AY1400+AY1409</f>
        <v/>
      </c>
      <c r="AZ1418" s="35">
        <f>AZ1391+AZ1400+AZ1409</f>
        <v/>
      </c>
      <c r="BA1418" s="42">
        <f>NEWPOLICY(BA1391,BA1400,BA1409)</f>
        <v/>
      </c>
    </row>
    <row r="1419" hidden="1" outlineLevel="2">
      <c r="A1419" s="14" t="inlineStr">
        <is>
          <t>nce</t>
        </is>
      </c>
      <c r="B1419" s="14" t="inlineStr">
        <is>
          <t>nga</t>
        </is>
      </c>
      <c r="C1419" s="14" t="inlineStr">
        <is>
          <t>nav</t>
        </is>
      </c>
      <c r="D1419" s="39" t="n"/>
      <c r="E1419" s="39" t="n"/>
      <c r="F1419" s="39" t="n"/>
      <c r="G1419" s="39" t="n"/>
      <c r="H1419" s="14">
        <f>INDEX(VarLab,MATCH($A1419,VarKey,0))&amp;INDEX(MemLab,MATCH($C1419&amp;"|"&amp;$B1419,MemKey,0))</f>
        <v/>
      </c>
      <c r="I1419" s="14">
        <f>INDEX(VarUnit,MATCH($A1419,VarKey,0))</f>
        <v/>
      </c>
      <c r="J1419" s="14">
        <f>INDEX(VarSrc,MATCH($A1419,VarKey,0))</f>
        <v/>
      </c>
      <c r="K1419" s="11">
        <f>CodePrefix&amp;$A1419&amp;IF($C1419="","","."&amp;$C1419&amp;"."&amp;$B1419)&amp;INDEX(VarEnd,MATCH($A1419,VarKey,0))&amp;K$5</f>
        <v/>
      </c>
      <c r="L1419" s="40">
        <f>L1392+L1401+L1410</f>
        <v/>
      </c>
      <c r="M1419" s="35">
        <f>M1392+M1401+M1410</f>
        <v/>
      </c>
      <c r="N1419" s="35">
        <f>N1392+N1401+N1410</f>
        <v/>
      </c>
      <c r="O1419" s="35">
        <f>O1392+O1401+O1410</f>
        <v/>
      </c>
      <c r="P1419" s="35">
        <f>P1392+P1401+P1410</f>
        <v/>
      </c>
      <c r="Q1419" s="35">
        <f>Q1392+Q1401+Q1410</f>
        <v/>
      </c>
      <c r="R1419" s="35">
        <f>R1392+R1401+R1410</f>
        <v/>
      </c>
      <c r="S1419" s="35">
        <f>S1392+S1401+S1410</f>
        <v/>
      </c>
      <c r="T1419" s="35">
        <f>T1392+T1401+T1410</f>
        <v/>
      </c>
      <c r="U1419" s="35">
        <f>U1392+U1401+U1410</f>
        <v/>
      </c>
      <c r="V1419" s="35">
        <f>V1392+V1401+V1410</f>
        <v/>
      </c>
      <c r="W1419" s="35">
        <f>W1392+W1401+W1410</f>
        <v/>
      </c>
      <c r="X1419" s="35">
        <f>X1392+X1401+X1410</f>
        <v/>
      </c>
      <c r="Y1419" s="35">
        <f>Y1392+Y1401+Y1410</f>
        <v/>
      </c>
      <c r="Z1419" s="35">
        <f>Z1392+Z1401+Z1410</f>
        <v/>
      </c>
      <c r="AA1419" s="35">
        <f>AA1392+AA1401+AA1410</f>
        <v/>
      </c>
      <c r="AB1419" s="35">
        <f>AB1392+AB1401+AB1410</f>
        <v/>
      </c>
      <c r="AC1419" s="35">
        <f>AC1392+AC1401+AC1410</f>
        <v/>
      </c>
      <c r="AD1419" s="35">
        <f>AD1392+AD1401+AD1410</f>
        <v/>
      </c>
      <c r="AE1419" s="42">
        <f>NEWPOLICY(AE1392,AE1401,AE1410)</f>
        <v/>
      </c>
      <c r="AG1419" s="11">
        <f>CodePrefix&amp;$A1419&amp;IF($C1419="","","."&amp;$C1419&amp;"."&amp;$B1419)&amp;INDEX(VarEnd,MATCH($A1419,VarKey,0))&amp;AG$5</f>
        <v/>
      </c>
      <c r="AH1419" s="40">
        <f>AH1392+AH1401+AH1410</f>
        <v/>
      </c>
      <c r="AI1419" s="35">
        <f>AI1392+AI1401+AI1410</f>
        <v/>
      </c>
      <c r="AJ1419" s="35">
        <f>AJ1392+AJ1401+AJ1410</f>
        <v/>
      </c>
      <c r="AK1419" s="35">
        <f>AK1392+AK1401+AK1410</f>
        <v/>
      </c>
      <c r="AL1419" s="35">
        <f>AL1392+AL1401+AL1410</f>
        <v/>
      </c>
      <c r="AM1419" s="35">
        <f>AM1392+AM1401+AM1410</f>
        <v/>
      </c>
      <c r="AN1419" s="35">
        <f>AN1392+AN1401+AN1410</f>
        <v/>
      </c>
      <c r="AO1419" s="35">
        <f>AO1392+AO1401+AO1410</f>
        <v/>
      </c>
      <c r="AP1419" s="35">
        <f>AP1392+AP1401+AP1410</f>
        <v/>
      </c>
      <c r="AQ1419" s="35">
        <f>AQ1392+AQ1401+AQ1410</f>
        <v/>
      </c>
      <c r="AR1419" s="35">
        <f>AR1392+AR1401+AR1410</f>
        <v/>
      </c>
      <c r="AS1419" s="35">
        <f>AS1392+AS1401+AS1410</f>
        <v/>
      </c>
      <c r="AT1419" s="35">
        <f>AT1392+AT1401+AT1410</f>
        <v/>
      </c>
      <c r="AU1419" s="35">
        <f>AU1392+AU1401+AU1410</f>
        <v/>
      </c>
      <c r="AV1419" s="35">
        <f>AV1392+AV1401+AV1410</f>
        <v/>
      </c>
      <c r="AW1419" s="35">
        <f>AW1392+AW1401+AW1410</f>
        <v/>
      </c>
      <c r="AX1419" s="35">
        <f>AX1392+AX1401+AX1410</f>
        <v/>
      </c>
      <c r="AY1419" s="35">
        <f>AY1392+AY1401+AY1410</f>
        <v/>
      </c>
      <c r="AZ1419" s="35">
        <f>AZ1392+AZ1401+AZ1410</f>
        <v/>
      </c>
      <c r="BA1419" s="42">
        <f>NEWPOLICY(BA1392,BA1401,BA1410)</f>
        <v/>
      </c>
    </row>
    <row r="1420" hidden="1" outlineLevel="2">
      <c r="A1420" s="14" t="inlineStr">
        <is>
          <t>nce</t>
        </is>
      </c>
      <c r="B1420" s="14" t="inlineStr">
        <is>
          <t>gso</t>
        </is>
      </c>
      <c r="C1420" s="14" t="inlineStr">
        <is>
          <t>nav</t>
        </is>
      </c>
      <c r="D1420" s="39" t="n"/>
      <c r="E1420" s="39" t="n"/>
      <c r="F1420" s="39" t="n"/>
      <c r="G1420" s="39" t="n"/>
      <c r="H1420" s="14">
        <f>INDEX(VarLab,MATCH($A1420,VarKey,0))&amp;INDEX(MemLab,MATCH($C1420&amp;"|"&amp;$B1420,MemKey,0))</f>
        <v/>
      </c>
      <c r="I1420" s="14">
        <f>INDEX(VarUnit,MATCH($A1420,VarKey,0))</f>
        <v/>
      </c>
      <c r="J1420" s="14">
        <f>INDEX(VarSrc,MATCH($A1420,VarKey,0))</f>
        <v/>
      </c>
      <c r="K1420" s="11">
        <f>CodePrefix&amp;$A1420&amp;IF($C1420="","","."&amp;$C1420&amp;"."&amp;$B1420)&amp;INDEX(VarEnd,MATCH($A1420,VarKey,0))&amp;K$5</f>
        <v/>
      </c>
      <c r="L1420" s="40">
        <f>L1393+L1402+L1411</f>
        <v/>
      </c>
      <c r="M1420" s="35">
        <f>M1393+M1402+M1411</f>
        <v/>
      </c>
      <c r="N1420" s="35">
        <f>N1393+N1402+N1411</f>
        <v/>
      </c>
      <c r="O1420" s="35">
        <f>O1393+O1402+O1411</f>
        <v/>
      </c>
      <c r="P1420" s="35">
        <f>P1393+P1402+P1411</f>
        <v/>
      </c>
      <c r="Q1420" s="35">
        <f>Q1393+Q1402+Q1411</f>
        <v/>
      </c>
      <c r="R1420" s="35">
        <f>R1393+R1402+R1411</f>
        <v/>
      </c>
      <c r="S1420" s="35">
        <f>S1393+S1402+S1411</f>
        <v/>
      </c>
      <c r="T1420" s="35">
        <f>T1393+T1402+T1411</f>
        <v/>
      </c>
      <c r="U1420" s="35">
        <f>U1393+U1402+U1411</f>
        <v/>
      </c>
      <c r="V1420" s="35">
        <f>V1393+V1402+V1411</f>
        <v/>
      </c>
      <c r="W1420" s="35">
        <f>W1393+W1402+W1411</f>
        <v/>
      </c>
      <c r="X1420" s="35">
        <f>X1393+X1402+X1411</f>
        <v/>
      </c>
      <c r="Y1420" s="35">
        <f>Y1393+Y1402+Y1411</f>
        <v/>
      </c>
      <c r="Z1420" s="35">
        <f>Z1393+Z1402+Z1411</f>
        <v/>
      </c>
      <c r="AA1420" s="35">
        <f>AA1393+AA1402+AA1411</f>
        <v/>
      </c>
      <c r="AB1420" s="35">
        <f>AB1393+AB1402+AB1411</f>
        <v/>
      </c>
      <c r="AC1420" s="35">
        <f>AC1393+AC1402+AC1411</f>
        <v/>
      </c>
      <c r="AD1420" s="35">
        <f>AD1393+AD1402+AD1411</f>
        <v/>
      </c>
      <c r="AE1420" s="42">
        <f>NEWPOLICY(AE1393,AE1402,AE1411)</f>
        <v/>
      </c>
      <c r="AG1420" s="11">
        <f>CodePrefix&amp;$A1420&amp;IF($C1420="","","."&amp;$C1420&amp;"."&amp;$B1420)&amp;INDEX(VarEnd,MATCH($A1420,VarKey,0))&amp;AG$5</f>
        <v/>
      </c>
      <c r="AH1420" s="40">
        <f>AH1393+AH1402+AH1411</f>
        <v/>
      </c>
      <c r="AI1420" s="35">
        <f>AI1393+AI1402+AI1411</f>
        <v/>
      </c>
      <c r="AJ1420" s="35">
        <f>AJ1393+AJ1402+AJ1411</f>
        <v/>
      </c>
      <c r="AK1420" s="35">
        <f>AK1393+AK1402+AK1411</f>
        <v/>
      </c>
      <c r="AL1420" s="35">
        <f>AL1393+AL1402+AL1411</f>
        <v/>
      </c>
      <c r="AM1420" s="35">
        <f>AM1393+AM1402+AM1411</f>
        <v/>
      </c>
      <c r="AN1420" s="35">
        <f>AN1393+AN1402+AN1411</f>
        <v/>
      </c>
      <c r="AO1420" s="35">
        <f>AO1393+AO1402+AO1411</f>
        <v/>
      </c>
      <c r="AP1420" s="35">
        <f>AP1393+AP1402+AP1411</f>
        <v/>
      </c>
      <c r="AQ1420" s="35">
        <f>AQ1393+AQ1402+AQ1411</f>
        <v/>
      </c>
      <c r="AR1420" s="35">
        <f>AR1393+AR1402+AR1411</f>
        <v/>
      </c>
      <c r="AS1420" s="35">
        <f>AS1393+AS1402+AS1411</f>
        <v/>
      </c>
      <c r="AT1420" s="35">
        <f>AT1393+AT1402+AT1411</f>
        <v/>
      </c>
      <c r="AU1420" s="35">
        <f>AU1393+AU1402+AU1411</f>
        <v/>
      </c>
      <c r="AV1420" s="35">
        <f>AV1393+AV1402+AV1411</f>
        <v/>
      </c>
      <c r="AW1420" s="35">
        <f>AW1393+AW1402+AW1411</f>
        <v/>
      </c>
      <c r="AX1420" s="35">
        <f>AX1393+AX1402+AX1411</f>
        <v/>
      </c>
      <c r="AY1420" s="35">
        <f>AY1393+AY1402+AY1411</f>
        <v/>
      </c>
      <c r="AZ1420" s="35">
        <f>AZ1393+AZ1402+AZ1411</f>
        <v/>
      </c>
      <c r="BA1420" s="42">
        <f>NEWPOLICY(BA1393,BA1402,BA1411)</f>
        <v/>
      </c>
    </row>
    <row r="1421" hidden="1" outlineLevel="2">
      <c r="A1421" s="14" t="inlineStr">
        <is>
          <t>nce</t>
        </is>
      </c>
      <c r="B1421" s="14" t="inlineStr">
        <is>
          <t>die</t>
        </is>
      </c>
      <c r="C1421" s="14" t="inlineStr">
        <is>
          <t>nav</t>
        </is>
      </c>
      <c r="D1421" s="39" t="n"/>
      <c r="E1421" s="39" t="n"/>
      <c r="F1421" s="39" t="n"/>
      <c r="G1421" s="39" t="n"/>
      <c r="H1421" s="14">
        <f>INDEX(VarLab,MATCH($A1421,VarKey,0))&amp;INDEX(MemLab,MATCH($C1421&amp;"|"&amp;$B1421,MemKey,0))</f>
        <v/>
      </c>
      <c r="I1421" s="14">
        <f>INDEX(VarUnit,MATCH($A1421,VarKey,0))</f>
        <v/>
      </c>
      <c r="J1421" s="14">
        <f>INDEX(VarSrc,MATCH($A1421,VarKey,0))</f>
        <v/>
      </c>
      <c r="K1421" s="11">
        <f>CodePrefix&amp;$A1421&amp;IF($C1421="","","."&amp;$C1421&amp;"."&amp;$B1421)&amp;INDEX(VarEnd,MATCH($A1421,VarKey,0))&amp;K$5</f>
        <v/>
      </c>
      <c r="L1421" s="40">
        <f>L1394+L1403+L1412</f>
        <v/>
      </c>
      <c r="M1421" s="35">
        <f>M1394+M1403+M1412</f>
        <v/>
      </c>
      <c r="N1421" s="35">
        <f>N1394+N1403+N1412</f>
        <v/>
      </c>
      <c r="O1421" s="35">
        <f>O1394+O1403+O1412</f>
        <v/>
      </c>
      <c r="P1421" s="35">
        <f>P1394+P1403+P1412</f>
        <v/>
      </c>
      <c r="Q1421" s="35">
        <f>Q1394+Q1403+Q1412</f>
        <v/>
      </c>
      <c r="R1421" s="35">
        <f>R1394+R1403+R1412</f>
        <v/>
      </c>
      <c r="S1421" s="35">
        <f>S1394+S1403+S1412</f>
        <v/>
      </c>
      <c r="T1421" s="35">
        <f>T1394+T1403+T1412</f>
        <v/>
      </c>
      <c r="U1421" s="35">
        <f>U1394+U1403+U1412</f>
        <v/>
      </c>
      <c r="V1421" s="35">
        <f>V1394+V1403+V1412</f>
        <v/>
      </c>
      <c r="W1421" s="35">
        <f>W1394+W1403+W1412</f>
        <v/>
      </c>
      <c r="X1421" s="35">
        <f>X1394+X1403+X1412</f>
        <v/>
      </c>
      <c r="Y1421" s="35">
        <f>Y1394+Y1403+Y1412</f>
        <v/>
      </c>
      <c r="Z1421" s="35">
        <f>Z1394+Z1403+Z1412</f>
        <v/>
      </c>
      <c r="AA1421" s="35">
        <f>AA1394+AA1403+AA1412</f>
        <v/>
      </c>
      <c r="AB1421" s="35">
        <f>AB1394+AB1403+AB1412</f>
        <v/>
      </c>
      <c r="AC1421" s="35">
        <f>AC1394+AC1403+AC1412</f>
        <v/>
      </c>
      <c r="AD1421" s="35">
        <f>AD1394+AD1403+AD1412</f>
        <v/>
      </c>
      <c r="AE1421" s="42">
        <f>NEWPOLICY(AE1394,AE1403,AE1412)</f>
        <v/>
      </c>
      <c r="AG1421" s="11">
        <f>CodePrefix&amp;$A1421&amp;IF($C1421="","","."&amp;$C1421&amp;"."&amp;$B1421)&amp;INDEX(VarEnd,MATCH($A1421,VarKey,0))&amp;AG$5</f>
        <v/>
      </c>
      <c r="AH1421" s="40">
        <f>AH1394+AH1403+AH1412</f>
        <v/>
      </c>
      <c r="AI1421" s="35">
        <f>AI1394+AI1403+AI1412</f>
        <v/>
      </c>
      <c r="AJ1421" s="35">
        <f>AJ1394+AJ1403+AJ1412</f>
        <v/>
      </c>
      <c r="AK1421" s="35">
        <f>AK1394+AK1403+AK1412</f>
        <v/>
      </c>
      <c r="AL1421" s="35">
        <f>AL1394+AL1403+AL1412</f>
        <v/>
      </c>
      <c r="AM1421" s="35">
        <f>AM1394+AM1403+AM1412</f>
        <v/>
      </c>
      <c r="AN1421" s="35">
        <f>AN1394+AN1403+AN1412</f>
        <v/>
      </c>
      <c r="AO1421" s="35">
        <f>AO1394+AO1403+AO1412</f>
        <v/>
      </c>
      <c r="AP1421" s="35">
        <f>AP1394+AP1403+AP1412</f>
        <v/>
      </c>
      <c r="AQ1421" s="35">
        <f>AQ1394+AQ1403+AQ1412</f>
        <v/>
      </c>
      <c r="AR1421" s="35">
        <f>AR1394+AR1403+AR1412</f>
        <v/>
      </c>
      <c r="AS1421" s="35">
        <f>AS1394+AS1403+AS1412</f>
        <v/>
      </c>
      <c r="AT1421" s="35">
        <f>AT1394+AT1403+AT1412</f>
        <v/>
      </c>
      <c r="AU1421" s="35">
        <f>AU1394+AU1403+AU1412</f>
        <v/>
      </c>
      <c r="AV1421" s="35">
        <f>AV1394+AV1403+AV1412</f>
        <v/>
      </c>
      <c r="AW1421" s="35">
        <f>AW1394+AW1403+AW1412</f>
        <v/>
      </c>
      <c r="AX1421" s="35">
        <f>AX1394+AX1403+AX1412</f>
        <v/>
      </c>
      <c r="AY1421" s="35">
        <f>AY1394+AY1403+AY1412</f>
        <v/>
      </c>
      <c r="AZ1421" s="35">
        <f>AZ1394+AZ1403+AZ1412</f>
        <v/>
      </c>
      <c r="BA1421" s="42">
        <f>NEWPOLICY(BA1394,BA1403,BA1412)</f>
        <v/>
      </c>
    </row>
    <row r="1422" hidden="1" outlineLevel="2">
      <c r="A1422" s="14" t="inlineStr">
        <is>
          <t>nce</t>
        </is>
      </c>
      <c r="B1422" s="14" t="inlineStr">
        <is>
          <t>lpg</t>
        </is>
      </c>
      <c r="C1422" s="14" t="inlineStr">
        <is>
          <t>nav</t>
        </is>
      </c>
      <c r="D1422" s="39" t="n"/>
      <c r="E1422" s="39" t="n"/>
      <c r="F1422" s="39" t="n"/>
      <c r="G1422" s="39" t="n"/>
      <c r="H1422" s="14">
        <f>INDEX(VarLab,MATCH($A1422,VarKey,0))&amp;INDEX(MemLab,MATCH($C1422&amp;"|"&amp;$B1422,MemKey,0))</f>
        <v/>
      </c>
      <c r="I1422" s="14">
        <f>INDEX(VarUnit,MATCH($A1422,VarKey,0))</f>
        <v/>
      </c>
      <c r="J1422" s="14">
        <f>INDEX(VarSrc,MATCH($A1422,VarKey,0))</f>
        <v/>
      </c>
      <c r="K1422" s="11">
        <f>CodePrefix&amp;$A1422&amp;IF($C1422="","","."&amp;$C1422&amp;"."&amp;$B1422)&amp;INDEX(VarEnd,MATCH($A1422,VarKey,0))&amp;K$5</f>
        <v/>
      </c>
      <c r="L1422" s="40">
        <f>L1395+L1404+L1413</f>
        <v/>
      </c>
      <c r="M1422" s="35">
        <f>M1395+M1404+M1413</f>
        <v/>
      </c>
      <c r="N1422" s="35">
        <f>N1395+N1404+N1413</f>
        <v/>
      </c>
      <c r="O1422" s="35">
        <f>O1395+O1404+O1413</f>
        <v/>
      </c>
      <c r="P1422" s="35">
        <f>P1395+P1404+P1413</f>
        <v/>
      </c>
      <c r="Q1422" s="35">
        <f>Q1395+Q1404+Q1413</f>
        <v/>
      </c>
      <c r="R1422" s="35">
        <f>R1395+R1404+R1413</f>
        <v/>
      </c>
      <c r="S1422" s="35">
        <f>S1395+S1404+S1413</f>
        <v/>
      </c>
      <c r="T1422" s="35">
        <f>T1395+T1404+T1413</f>
        <v/>
      </c>
      <c r="U1422" s="35">
        <f>U1395+U1404+U1413</f>
        <v/>
      </c>
      <c r="V1422" s="35">
        <f>V1395+V1404+V1413</f>
        <v/>
      </c>
      <c r="W1422" s="35">
        <f>W1395+W1404+W1413</f>
        <v/>
      </c>
      <c r="X1422" s="35">
        <f>X1395+X1404+X1413</f>
        <v/>
      </c>
      <c r="Y1422" s="35">
        <f>Y1395+Y1404+Y1413</f>
        <v/>
      </c>
      <c r="Z1422" s="35">
        <f>Z1395+Z1404+Z1413</f>
        <v/>
      </c>
      <c r="AA1422" s="35">
        <f>AA1395+AA1404+AA1413</f>
        <v/>
      </c>
      <c r="AB1422" s="35">
        <f>AB1395+AB1404+AB1413</f>
        <v/>
      </c>
      <c r="AC1422" s="35">
        <f>AC1395+AC1404+AC1413</f>
        <v/>
      </c>
      <c r="AD1422" s="35">
        <f>AD1395+AD1404+AD1413</f>
        <v/>
      </c>
      <c r="AE1422" s="42">
        <f>NEWPOLICY(AE1395,AE1404,AE1413)</f>
        <v/>
      </c>
      <c r="AG1422" s="11">
        <f>CodePrefix&amp;$A1422&amp;IF($C1422="","","."&amp;$C1422&amp;"."&amp;$B1422)&amp;INDEX(VarEnd,MATCH($A1422,VarKey,0))&amp;AG$5</f>
        <v/>
      </c>
      <c r="AH1422" s="40">
        <f>AH1395+AH1404+AH1413</f>
        <v/>
      </c>
      <c r="AI1422" s="35">
        <f>AI1395+AI1404+AI1413</f>
        <v/>
      </c>
      <c r="AJ1422" s="35">
        <f>AJ1395+AJ1404+AJ1413</f>
        <v/>
      </c>
      <c r="AK1422" s="35">
        <f>AK1395+AK1404+AK1413</f>
        <v/>
      </c>
      <c r="AL1422" s="35">
        <f>AL1395+AL1404+AL1413</f>
        <v/>
      </c>
      <c r="AM1422" s="35">
        <f>AM1395+AM1404+AM1413</f>
        <v/>
      </c>
      <c r="AN1422" s="35">
        <f>AN1395+AN1404+AN1413</f>
        <v/>
      </c>
      <c r="AO1422" s="35">
        <f>AO1395+AO1404+AO1413</f>
        <v/>
      </c>
      <c r="AP1422" s="35">
        <f>AP1395+AP1404+AP1413</f>
        <v/>
      </c>
      <c r="AQ1422" s="35">
        <f>AQ1395+AQ1404+AQ1413</f>
        <v/>
      </c>
      <c r="AR1422" s="35">
        <f>AR1395+AR1404+AR1413</f>
        <v/>
      </c>
      <c r="AS1422" s="35">
        <f>AS1395+AS1404+AS1413</f>
        <v/>
      </c>
      <c r="AT1422" s="35">
        <f>AT1395+AT1404+AT1413</f>
        <v/>
      </c>
      <c r="AU1422" s="35">
        <f>AU1395+AU1404+AU1413</f>
        <v/>
      </c>
      <c r="AV1422" s="35">
        <f>AV1395+AV1404+AV1413</f>
        <v/>
      </c>
      <c r="AW1422" s="35">
        <f>AW1395+AW1404+AW1413</f>
        <v/>
      </c>
      <c r="AX1422" s="35">
        <f>AX1395+AX1404+AX1413</f>
        <v/>
      </c>
      <c r="AY1422" s="35">
        <f>AY1395+AY1404+AY1413</f>
        <v/>
      </c>
      <c r="AZ1422" s="35">
        <f>AZ1395+AZ1404+AZ1413</f>
        <v/>
      </c>
      <c r="BA1422" s="42">
        <f>NEWPOLICY(BA1395,BA1404,BA1413)</f>
        <v/>
      </c>
    </row>
    <row r="1423" hidden="1" outlineLevel="2">
      <c r="A1423" s="14" t="inlineStr">
        <is>
          <t>nce</t>
        </is>
      </c>
      <c r="B1423" s="14" t="inlineStr">
        <is>
          <t>ker</t>
        </is>
      </c>
      <c r="C1423" s="14" t="inlineStr">
        <is>
          <t>nav</t>
        </is>
      </c>
      <c r="D1423" s="39" t="n"/>
      <c r="E1423" s="39" t="n"/>
      <c r="F1423" s="39" t="n"/>
      <c r="G1423" s="39" t="n"/>
      <c r="H1423" s="14">
        <f>INDEX(VarLab,MATCH($A1423,VarKey,0))&amp;INDEX(MemLab,MATCH($C1423&amp;"|"&amp;$B1423,MemKey,0))</f>
        <v/>
      </c>
      <c r="I1423" s="14">
        <f>INDEX(VarUnit,MATCH($A1423,VarKey,0))</f>
        <v/>
      </c>
      <c r="J1423" s="14">
        <f>INDEX(VarSrc,MATCH($A1423,VarKey,0))</f>
        <v/>
      </c>
      <c r="K1423" s="11">
        <f>CodePrefix&amp;$A1423&amp;IF($C1423="","","."&amp;$C1423&amp;"."&amp;$B1423)&amp;INDEX(VarEnd,MATCH($A1423,VarKey,0))&amp;K$5</f>
        <v/>
      </c>
      <c r="L1423" s="40">
        <f>L1396+L1405+L1414</f>
        <v/>
      </c>
      <c r="M1423" s="35">
        <f>M1396+M1405+M1414</f>
        <v/>
      </c>
      <c r="N1423" s="35">
        <f>N1396+N1405+N1414</f>
        <v/>
      </c>
      <c r="O1423" s="35">
        <f>O1396+O1405+O1414</f>
        <v/>
      </c>
      <c r="P1423" s="35">
        <f>P1396+P1405+P1414</f>
        <v/>
      </c>
      <c r="Q1423" s="35">
        <f>Q1396+Q1405+Q1414</f>
        <v/>
      </c>
      <c r="R1423" s="35">
        <f>R1396+R1405+R1414</f>
        <v/>
      </c>
      <c r="S1423" s="35">
        <f>S1396+S1405+S1414</f>
        <v/>
      </c>
      <c r="T1423" s="35">
        <f>T1396+T1405+T1414</f>
        <v/>
      </c>
      <c r="U1423" s="35">
        <f>U1396+U1405+U1414</f>
        <v/>
      </c>
      <c r="V1423" s="35">
        <f>V1396+V1405+V1414</f>
        <v/>
      </c>
      <c r="W1423" s="35">
        <f>W1396+W1405+W1414</f>
        <v/>
      </c>
      <c r="X1423" s="35">
        <f>X1396+X1405+X1414</f>
        <v/>
      </c>
      <c r="Y1423" s="35">
        <f>Y1396+Y1405+Y1414</f>
        <v/>
      </c>
      <c r="Z1423" s="35">
        <f>Z1396+Z1405+Z1414</f>
        <v/>
      </c>
      <c r="AA1423" s="35">
        <f>AA1396+AA1405+AA1414</f>
        <v/>
      </c>
      <c r="AB1423" s="35">
        <f>AB1396+AB1405+AB1414</f>
        <v/>
      </c>
      <c r="AC1423" s="35">
        <f>AC1396+AC1405+AC1414</f>
        <v/>
      </c>
      <c r="AD1423" s="35">
        <f>AD1396+AD1405+AD1414</f>
        <v/>
      </c>
      <c r="AE1423" s="42">
        <f>NEWPOLICY(AE1396,AE1405,AE1414)</f>
        <v/>
      </c>
      <c r="AG1423" s="11">
        <f>CodePrefix&amp;$A1423&amp;IF($C1423="","","."&amp;$C1423&amp;"."&amp;$B1423)&amp;INDEX(VarEnd,MATCH($A1423,VarKey,0))&amp;AG$5</f>
        <v/>
      </c>
      <c r="AH1423" s="40">
        <f>AH1396+AH1405+AH1414</f>
        <v/>
      </c>
      <c r="AI1423" s="35">
        <f>AI1396+AI1405+AI1414</f>
        <v/>
      </c>
      <c r="AJ1423" s="35">
        <f>AJ1396+AJ1405+AJ1414</f>
        <v/>
      </c>
      <c r="AK1423" s="35">
        <f>AK1396+AK1405+AK1414</f>
        <v/>
      </c>
      <c r="AL1423" s="35">
        <f>AL1396+AL1405+AL1414</f>
        <v/>
      </c>
      <c r="AM1423" s="35">
        <f>AM1396+AM1405+AM1414</f>
        <v/>
      </c>
      <c r="AN1423" s="35">
        <f>AN1396+AN1405+AN1414</f>
        <v/>
      </c>
      <c r="AO1423" s="35">
        <f>AO1396+AO1405+AO1414</f>
        <v/>
      </c>
      <c r="AP1423" s="35">
        <f>AP1396+AP1405+AP1414</f>
        <v/>
      </c>
      <c r="AQ1423" s="35">
        <f>AQ1396+AQ1405+AQ1414</f>
        <v/>
      </c>
      <c r="AR1423" s="35">
        <f>AR1396+AR1405+AR1414</f>
        <v/>
      </c>
      <c r="AS1423" s="35">
        <f>AS1396+AS1405+AS1414</f>
        <v/>
      </c>
      <c r="AT1423" s="35">
        <f>AT1396+AT1405+AT1414</f>
        <v/>
      </c>
      <c r="AU1423" s="35">
        <f>AU1396+AU1405+AU1414</f>
        <v/>
      </c>
      <c r="AV1423" s="35">
        <f>AV1396+AV1405+AV1414</f>
        <v/>
      </c>
      <c r="AW1423" s="35">
        <f>AW1396+AW1405+AW1414</f>
        <v/>
      </c>
      <c r="AX1423" s="35">
        <f>AX1396+AX1405+AX1414</f>
        <v/>
      </c>
      <c r="AY1423" s="35">
        <f>AY1396+AY1405+AY1414</f>
        <v/>
      </c>
      <c r="AZ1423" s="35">
        <f>AZ1396+AZ1405+AZ1414</f>
        <v/>
      </c>
      <c r="BA1423" s="42">
        <f>NEWPOLICY(BA1396,BA1405,BA1414)</f>
        <v/>
      </c>
    </row>
    <row r="1424" hidden="1" outlineLevel="2">
      <c r="A1424" s="14" t="inlineStr">
        <is>
          <t>nce</t>
        </is>
      </c>
      <c r="B1424" s="14" t="inlineStr">
        <is>
          <t>oop</t>
        </is>
      </c>
      <c r="C1424" s="14" t="inlineStr">
        <is>
          <t>nav</t>
        </is>
      </c>
      <c r="D1424" s="39" t="n"/>
      <c r="E1424" s="39" t="n"/>
      <c r="F1424" s="39" t="n"/>
      <c r="G1424" s="39" t="n"/>
      <c r="H1424" s="14">
        <f>INDEX(VarLab,MATCH($A1424,VarKey,0))&amp;INDEX(MemLab,MATCH($C1424&amp;"|"&amp;$B1424,MemKey,0))</f>
        <v/>
      </c>
      <c r="I1424" s="14">
        <f>INDEX(VarUnit,MATCH($A1424,VarKey,0))</f>
        <v/>
      </c>
      <c r="J1424" s="14">
        <f>INDEX(VarSrc,MATCH($A1424,VarKey,0))</f>
        <v/>
      </c>
      <c r="K1424" s="11">
        <f>CodePrefix&amp;$A1424&amp;IF($C1424="","","."&amp;$C1424&amp;"."&amp;$B1424)&amp;INDEX(VarEnd,MATCH($A1424,VarKey,0))&amp;K$5</f>
        <v/>
      </c>
      <c r="L1424" s="40">
        <f>L1397+L1406+L1415</f>
        <v/>
      </c>
      <c r="M1424" s="35">
        <f>M1397+M1406+M1415</f>
        <v/>
      </c>
      <c r="N1424" s="35">
        <f>N1397+N1406+N1415</f>
        <v/>
      </c>
      <c r="O1424" s="35">
        <f>O1397+O1406+O1415</f>
        <v/>
      </c>
      <c r="P1424" s="35">
        <f>P1397+P1406+P1415</f>
        <v/>
      </c>
      <c r="Q1424" s="35">
        <f>Q1397+Q1406+Q1415</f>
        <v/>
      </c>
      <c r="R1424" s="35">
        <f>R1397+R1406+R1415</f>
        <v/>
      </c>
      <c r="S1424" s="35">
        <f>S1397+S1406+S1415</f>
        <v/>
      </c>
      <c r="T1424" s="35">
        <f>T1397+T1406+T1415</f>
        <v/>
      </c>
      <c r="U1424" s="35">
        <f>U1397+U1406+U1415</f>
        <v/>
      </c>
      <c r="V1424" s="35">
        <f>V1397+V1406+V1415</f>
        <v/>
      </c>
      <c r="W1424" s="35">
        <f>W1397+W1406+W1415</f>
        <v/>
      </c>
      <c r="X1424" s="35">
        <f>X1397+X1406+X1415</f>
        <v/>
      </c>
      <c r="Y1424" s="35">
        <f>Y1397+Y1406+Y1415</f>
        <v/>
      </c>
      <c r="Z1424" s="35">
        <f>Z1397+Z1406+Z1415</f>
        <v/>
      </c>
      <c r="AA1424" s="35">
        <f>AA1397+AA1406+AA1415</f>
        <v/>
      </c>
      <c r="AB1424" s="35">
        <f>AB1397+AB1406+AB1415</f>
        <v/>
      </c>
      <c r="AC1424" s="35">
        <f>AC1397+AC1406+AC1415</f>
        <v/>
      </c>
      <c r="AD1424" s="35">
        <f>AD1397+AD1406+AD1415</f>
        <v/>
      </c>
      <c r="AE1424" s="42">
        <f>NEWPOLICY(AE1397,AE1406,AE1415)</f>
        <v/>
      </c>
      <c r="AG1424" s="11">
        <f>CodePrefix&amp;$A1424&amp;IF($C1424="","","."&amp;$C1424&amp;"."&amp;$B1424)&amp;INDEX(VarEnd,MATCH($A1424,VarKey,0))&amp;AG$5</f>
        <v/>
      </c>
      <c r="AH1424" s="40">
        <f>AH1397+AH1406+AH1415</f>
        <v/>
      </c>
      <c r="AI1424" s="35">
        <f>AI1397+AI1406+AI1415</f>
        <v/>
      </c>
      <c r="AJ1424" s="35">
        <f>AJ1397+AJ1406+AJ1415</f>
        <v/>
      </c>
      <c r="AK1424" s="35">
        <f>AK1397+AK1406+AK1415</f>
        <v/>
      </c>
      <c r="AL1424" s="35">
        <f>AL1397+AL1406+AL1415</f>
        <v/>
      </c>
      <c r="AM1424" s="35">
        <f>AM1397+AM1406+AM1415</f>
        <v/>
      </c>
      <c r="AN1424" s="35">
        <f>AN1397+AN1406+AN1415</f>
        <v/>
      </c>
      <c r="AO1424" s="35">
        <f>AO1397+AO1406+AO1415</f>
        <v/>
      </c>
      <c r="AP1424" s="35">
        <f>AP1397+AP1406+AP1415</f>
        <v/>
      </c>
      <c r="AQ1424" s="35">
        <f>AQ1397+AQ1406+AQ1415</f>
        <v/>
      </c>
      <c r="AR1424" s="35">
        <f>AR1397+AR1406+AR1415</f>
        <v/>
      </c>
      <c r="AS1424" s="35">
        <f>AS1397+AS1406+AS1415</f>
        <v/>
      </c>
      <c r="AT1424" s="35">
        <f>AT1397+AT1406+AT1415</f>
        <v/>
      </c>
      <c r="AU1424" s="35">
        <f>AU1397+AU1406+AU1415</f>
        <v/>
      </c>
      <c r="AV1424" s="35">
        <f>AV1397+AV1406+AV1415</f>
        <v/>
      </c>
      <c r="AW1424" s="35">
        <f>AW1397+AW1406+AW1415</f>
        <v/>
      </c>
      <c r="AX1424" s="35">
        <f>AX1397+AX1406+AX1415</f>
        <v/>
      </c>
      <c r="AY1424" s="35">
        <f>AY1397+AY1406+AY1415</f>
        <v/>
      </c>
      <c r="AZ1424" s="35">
        <f>AZ1397+AZ1406+AZ1415</f>
        <v/>
      </c>
      <c r="BA1424" s="42">
        <f>NEWPOLICY(BA1397,BA1406,BA1415)</f>
        <v/>
      </c>
    </row>
    <row r="1425" hidden="1" outlineLevel="2">
      <c r="A1425" s="14" t="inlineStr">
        <is>
          <t>nce</t>
        </is>
      </c>
      <c r="B1425" s="14" t="inlineStr">
        <is>
          <t>bio</t>
        </is>
      </c>
      <c r="C1425" s="14" t="inlineStr">
        <is>
          <t>nav</t>
        </is>
      </c>
      <c r="D1425" s="39" t="n"/>
      <c r="E1425" s="39" t="n"/>
      <c r="F1425" s="39" t="n"/>
      <c r="G1425" s="39" t="n"/>
      <c r="H1425" s="14">
        <f>INDEX(VarLab,MATCH($A1425,VarKey,0))&amp;INDEX(MemLab,MATCH($C1425&amp;"|"&amp;$B1425,MemKey,0))</f>
        <v/>
      </c>
      <c r="I1425" s="14">
        <f>INDEX(VarUnit,MATCH($A1425,VarKey,0))</f>
        <v/>
      </c>
      <c r="J1425" s="14">
        <f>INDEX(VarSrc,MATCH($A1425,VarKey,0))</f>
        <v/>
      </c>
      <c r="K1425" s="11">
        <f>CodePrefix&amp;$A1425&amp;IF($C1425="","","."&amp;$C1425&amp;"."&amp;$B1425)&amp;INDEX(VarEnd,MATCH($A1425,VarKey,0))&amp;K$5</f>
        <v/>
      </c>
      <c r="L1425" s="40">
        <f>L1398+L1407+L1416</f>
        <v/>
      </c>
      <c r="M1425" s="35">
        <f>M1398+M1407+M1416</f>
        <v/>
      </c>
      <c r="N1425" s="35">
        <f>N1398+N1407+N1416</f>
        <v/>
      </c>
      <c r="O1425" s="35">
        <f>O1398+O1407+O1416</f>
        <v/>
      </c>
      <c r="P1425" s="35">
        <f>P1398+P1407+P1416</f>
        <v/>
      </c>
      <c r="Q1425" s="35">
        <f>Q1398+Q1407+Q1416</f>
        <v/>
      </c>
      <c r="R1425" s="35">
        <f>R1398+R1407+R1416</f>
        <v/>
      </c>
      <c r="S1425" s="35">
        <f>S1398+S1407+S1416</f>
        <v/>
      </c>
      <c r="T1425" s="35">
        <f>T1398+T1407+T1416</f>
        <v/>
      </c>
      <c r="U1425" s="35">
        <f>U1398+U1407+U1416</f>
        <v/>
      </c>
      <c r="V1425" s="35">
        <f>V1398+V1407+V1416</f>
        <v/>
      </c>
      <c r="W1425" s="35">
        <f>W1398+W1407+W1416</f>
        <v/>
      </c>
      <c r="X1425" s="35">
        <f>X1398+X1407+X1416</f>
        <v/>
      </c>
      <c r="Y1425" s="35">
        <f>Y1398+Y1407+Y1416</f>
        <v/>
      </c>
      <c r="Z1425" s="35">
        <f>Z1398+Z1407+Z1416</f>
        <v/>
      </c>
      <c r="AA1425" s="35">
        <f>AA1398+AA1407+AA1416</f>
        <v/>
      </c>
      <c r="AB1425" s="35">
        <f>AB1398+AB1407+AB1416</f>
        <v/>
      </c>
      <c r="AC1425" s="35">
        <f>AC1398+AC1407+AC1416</f>
        <v/>
      </c>
      <c r="AD1425" s="35">
        <f>AD1398+AD1407+AD1416</f>
        <v/>
      </c>
      <c r="AE1425" s="42">
        <f>NEWPOLICY(AE1398,AE1407,AE1416)</f>
        <v/>
      </c>
      <c r="AG1425" s="11">
        <f>CodePrefix&amp;$A1425&amp;IF($C1425="","","."&amp;$C1425&amp;"."&amp;$B1425)&amp;INDEX(VarEnd,MATCH($A1425,VarKey,0))&amp;AG$5</f>
        <v/>
      </c>
      <c r="AH1425" s="40">
        <f>AH1398+AH1407+AH1416</f>
        <v/>
      </c>
      <c r="AI1425" s="35">
        <f>AI1398+AI1407+AI1416</f>
        <v/>
      </c>
      <c r="AJ1425" s="35">
        <f>AJ1398+AJ1407+AJ1416</f>
        <v/>
      </c>
      <c r="AK1425" s="35">
        <f>AK1398+AK1407+AK1416</f>
        <v/>
      </c>
      <c r="AL1425" s="35">
        <f>AL1398+AL1407+AL1416</f>
        <v/>
      </c>
      <c r="AM1425" s="35">
        <f>AM1398+AM1407+AM1416</f>
        <v/>
      </c>
      <c r="AN1425" s="35">
        <f>AN1398+AN1407+AN1416</f>
        <v/>
      </c>
      <c r="AO1425" s="35">
        <f>AO1398+AO1407+AO1416</f>
        <v/>
      </c>
      <c r="AP1425" s="35">
        <f>AP1398+AP1407+AP1416</f>
        <v/>
      </c>
      <c r="AQ1425" s="35">
        <f>AQ1398+AQ1407+AQ1416</f>
        <v/>
      </c>
      <c r="AR1425" s="35">
        <f>AR1398+AR1407+AR1416</f>
        <v/>
      </c>
      <c r="AS1425" s="35">
        <f>AS1398+AS1407+AS1416</f>
        <v/>
      </c>
      <c r="AT1425" s="35">
        <f>AT1398+AT1407+AT1416</f>
        <v/>
      </c>
      <c r="AU1425" s="35">
        <f>AU1398+AU1407+AU1416</f>
        <v/>
      </c>
      <c r="AV1425" s="35">
        <f>AV1398+AV1407+AV1416</f>
        <v/>
      </c>
      <c r="AW1425" s="35">
        <f>AW1398+AW1407+AW1416</f>
        <v/>
      </c>
      <c r="AX1425" s="35">
        <f>AX1398+AX1407+AX1416</f>
        <v/>
      </c>
      <c r="AY1425" s="35">
        <f>AY1398+AY1407+AY1416</f>
        <v/>
      </c>
      <c r="AZ1425" s="35">
        <f>AZ1398+AZ1407+AZ1416</f>
        <v/>
      </c>
      <c r="BA1425" s="42">
        <f>NEWPOLICY(BA1398,BA1407,BA1416)</f>
        <v/>
      </c>
    </row>
    <row r="1426" hidden="1" outlineLevel="2"/>
    <row r="1427" hidden="1" outlineLevel="2">
      <c r="A1427" s="14" t="inlineStr">
        <is>
          <t>xcp</t>
        </is>
      </c>
      <c r="B1427" s="14" t="inlineStr">
        <is>
          <t>coa</t>
        </is>
      </c>
      <c r="C1427" s="14" t="inlineStr">
        <is>
          <t>nav</t>
        </is>
      </c>
      <c r="D1427" s="35">
        <f>INDEX(Inputs!$W$5:$W$132,MATCH($B1427&amp;"|"&amp;$C1427,Inputs!$A$5:$A$132,0))</f>
        <v/>
      </c>
      <c r="E1427" s="35">
        <f>INDEX(Inputs!$Z$5:$Z$132,MATCH($B1427&amp;"|"&amp;$C1427,Inputs!$A$5:$A$132,0))</f>
        <v/>
      </c>
      <c r="F1427" s="35">
        <f>INDEX(Inputs!$AA$5:$AA$132,MATCH($B1427&amp;"|"&amp;$C1427,Inputs!$A$5:$A$132,0))</f>
        <v/>
      </c>
      <c r="G1427" s="39" t="n"/>
      <c r="H1427" s="14">
        <f>INDEX(VarLab,MATCH($A1427,VarKey,0))&amp;INDEX(MemLab,MATCH($C1427&amp;"|"&amp;$B1427,MemKey,0))</f>
        <v/>
      </c>
      <c r="I1427" s="14">
        <f>INDEX(VarUnit,MATCH($A1427,VarKey,0))</f>
        <v/>
      </c>
      <c r="J1427" s="14">
        <f>INDEX(VarSrc,MATCH($A1427,VarKey,0))</f>
        <v/>
      </c>
      <c r="K1427" s="11">
        <f>CodePrefix&amp;$A1427&amp;IF($C1427="","","."&amp;$C1427&amp;"."&amp;$B1427)&amp;INDEX(VarEnd,MATCH($A1427,VarKey,0))&amp;K$5</f>
        <v/>
      </c>
      <c r="L1427" s="40">
        <f>$D1427*($E1427*L$321+$F1427*L$324)</f>
        <v/>
      </c>
      <c r="M1427" s="35">
        <f>$D1427*($E1427*M$321+$F1427*M$324)</f>
        <v/>
      </c>
      <c r="N1427" s="35">
        <f>$D1427*($E1427*N$321+$F1427*N$324)</f>
        <v/>
      </c>
      <c r="O1427" s="35">
        <f>$D1427*($E1427*O$321+$F1427*O$324)</f>
        <v/>
      </c>
      <c r="P1427" s="35">
        <f>$D1427*($E1427*P$321+$F1427*P$324)</f>
        <v/>
      </c>
      <c r="Q1427" s="35">
        <f>$D1427*($E1427*Q$321+$F1427*Q$324)</f>
        <v/>
      </c>
      <c r="R1427" s="35">
        <f>$D1427*($E1427*R$321+$F1427*R$324)</f>
        <v/>
      </c>
      <c r="S1427" s="35">
        <f>$D1427*($E1427*S$321+$F1427*S$324)</f>
        <v/>
      </c>
      <c r="T1427" s="35">
        <f>$D1427*($E1427*T$321+$F1427*T$324)</f>
        <v/>
      </c>
      <c r="U1427" s="35">
        <f>$D1427*($E1427*U$321+$F1427*U$324)</f>
        <v/>
      </c>
      <c r="V1427" s="35">
        <f>$D1427*($E1427*V$321+$F1427*V$324)</f>
        <v/>
      </c>
      <c r="W1427" s="35">
        <f>$D1427*($E1427*W$321+$F1427*W$324)</f>
        <v/>
      </c>
      <c r="X1427" s="35">
        <f>$D1427*($E1427*X$321+$F1427*X$324)</f>
        <v/>
      </c>
      <c r="Y1427" s="35">
        <f>$D1427*($E1427*Y$321+$F1427*Y$324)</f>
        <v/>
      </c>
      <c r="Z1427" s="35">
        <f>$D1427*($E1427*Z$321+$F1427*Z$324)</f>
        <v/>
      </c>
      <c r="AA1427" s="35">
        <f>$D1427*($E1427*AA$321+$F1427*AA$324)</f>
        <v/>
      </c>
      <c r="AB1427" s="35">
        <f>$D1427*($E1427*AB$321+$F1427*AB$324)</f>
        <v/>
      </c>
      <c r="AC1427" s="35">
        <f>$D1427*($E1427*AC$321+$F1427*AC$324)</f>
        <v/>
      </c>
      <c r="AD1427" s="35">
        <f>$D1427*($E1427*AD$321+$F1427*AD$324)</f>
        <v/>
      </c>
      <c r="AE1427" s="42">
        <f>XCARBON($D1427,$E1427,AE$321,$F1427,AE$324)</f>
        <v/>
      </c>
      <c r="AG1427" s="11">
        <f>CodePrefix&amp;$A1427&amp;IF($C1427="","","."&amp;$C1427&amp;"."&amp;$B1427)&amp;INDEX(VarEnd,MATCH($A1427,VarKey,0))&amp;AG$5</f>
        <v/>
      </c>
      <c r="AH1427" s="40">
        <f>$D1427*($E1427*AH$321+$F1427*AH$324)</f>
        <v/>
      </c>
      <c r="AI1427" s="35">
        <f>$D1427*($E1427*AI$321+$F1427*AI$324)</f>
        <v/>
      </c>
      <c r="AJ1427" s="35">
        <f>$D1427*($E1427*AJ$321+$F1427*AJ$324)</f>
        <v/>
      </c>
      <c r="AK1427" s="35">
        <f>$D1427*($E1427*AK$321+$F1427*AK$324)</f>
        <v/>
      </c>
      <c r="AL1427" s="35">
        <f>$D1427*($E1427*AL$321+$F1427*AL$324)</f>
        <v/>
      </c>
      <c r="AM1427" s="35">
        <f>$D1427*($E1427*AM$321+$F1427*AM$324)</f>
        <v/>
      </c>
      <c r="AN1427" s="35">
        <f>$D1427*($E1427*AN$321+$F1427*AN$324)</f>
        <v/>
      </c>
      <c r="AO1427" s="35">
        <f>$D1427*($E1427*AO$321+$F1427*AO$324)</f>
        <v/>
      </c>
      <c r="AP1427" s="35">
        <f>$D1427*($E1427*AP$321+$F1427*AP$324)</f>
        <v/>
      </c>
      <c r="AQ1427" s="35">
        <f>$D1427*($E1427*AQ$321+$F1427*AQ$324)</f>
        <v/>
      </c>
      <c r="AR1427" s="35">
        <f>$D1427*($E1427*AR$321+$F1427*AR$324)</f>
        <v/>
      </c>
      <c r="AS1427" s="35">
        <f>$D1427*($E1427*AS$321+$F1427*AS$324)</f>
        <v/>
      </c>
      <c r="AT1427" s="35">
        <f>$D1427*($E1427*AT$321+$F1427*AT$324)</f>
        <v/>
      </c>
      <c r="AU1427" s="35">
        <f>$D1427*($E1427*AU$321+$F1427*AU$324)</f>
        <v/>
      </c>
      <c r="AV1427" s="35">
        <f>$D1427*($E1427*AV$321+$F1427*AV$324)</f>
        <v/>
      </c>
      <c r="AW1427" s="35">
        <f>$D1427*($E1427*AW$321+$F1427*AW$324)</f>
        <v/>
      </c>
      <c r="AX1427" s="35">
        <f>$D1427*($E1427*AX$321+$F1427*AX$324)</f>
        <v/>
      </c>
      <c r="AY1427" s="35">
        <f>$D1427*($E1427*AY$321+$F1427*AY$324)</f>
        <v/>
      </c>
      <c r="AZ1427" s="35">
        <f>$D1427*($E1427*AZ$321+$F1427*AZ$324)</f>
        <v/>
      </c>
      <c r="BA1427" s="42">
        <f>XCARBON($D1427,$E1427,BA$321,$F1427,BA$324)</f>
        <v/>
      </c>
    </row>
    <row r="1428" hidden="1" outlineLevel="2">
      <c r="A1428" s="14" t="inlineStr">
        <is>
          <t>xcp</t>
        </is>
      </c>
      <c r="B1428" s="14" t="inlineStr">
        <is>
          <t>nga</t>
        </is>
      </c>
      <c r="C1428" s="14" t="inlineStr">
        <is>
          <t>nav</t>
        </is>
      </c>
      <c r="D1428" s="35">
        <f>INDEX(Inputs!$W$5:$W$132,MATCH($B1428&amp;"|"&amp;$C1428,Inputs!$A$5:$A$132,0))</f>
        <v/>
      </c>
      <c r="E1428" s="35">
        <f>INDEX(Inputs!$Z$5:$Z$132,MATCH($B1428&amp;"|"&amp;$C1428,Inputs!$A$5:$A$132,0))</f>
        <v/>
      </c>
      <c r="F1428" s="35">
        <f>INDEX(Inputs!$AA$5:$AA$132,MATCH($B1428&amp;"|"&amp;$C1428,Inputs!$A$5:$A$132,0))</f>
        <v/>
      </c>
      <c r="G1428" s="39" t="n"/>
      <c r="H1428" s="14">
        <f>INDEX(VarLab,MATCH($A1428,VarKey,0))&amp;INDEX(MemLab,MATCH($C1428&amp;"|"&amp;$B1428,MemKey,0))</f>
        <v/>
      </c>
      <c r="I1428" s="14">
        <f>INDEX(VarUnit,MATCH($A1428,VarKey,0))</f>
        <v/>
      </c>
      <c r="J1428" s="14">
        <f>INDEX(VarSrc,MATCH($A1428,VarKey,0))</f>
        <v/>
      </c>
      <c r="K1428" s="11">
        <f>CodePrefix&amp;$A1428&amp;IF($C1428="","","."&amp;$C1428&amp;"."&amp;$B1428)&amp;INDEX(VarEnd,MATCH($A1428,VarKey,0))&amp;K$5</f>
        <v/>
      </c>
      <c r="L1428" s="40">
        <f>$D1428*($E1428*L$321+$F1428*L$324)</f>
        <v/>
      </c>
      <c r="M1428" s="35">
        <f>$D1428*($E1428*M$321+$F1428*M$324)</f>
        <v/>
      </c>
      <c r="N1428" s="35">
        <f>$D1428*($E1428*N$321+$F1428*N$324)</f>
        <v/>
      </c>
      <c r="O1428" s="35">
        <f>$D1428*($E1428*O$321+$F1428*O$324)</f>
        <v/>
      </c>
      <c r="P1428" s="35">
        <f>$D1428*($E1428*P$321+$F1428*P$324)</f>
        <v/>
      </c>
      <c r="Q1428" s="35">
        <f>$D1428*($E1428*Q$321+$F1428*Q$324)</f>
        <v/>
      </c>
      <c r="R1428" s="35">
        <f>$D1428*($E1428*R$321+$F1428*R$324)</f>
        <v/>
      </c>
      <c r="S1428" s="35">
        <f>$D1428*($E1428*S$321+$F1428*S$324)</f>
        <v/>
      </c>
      <c r="T1428" s="35">
        <f>$D1428*($E1428*T$321+$F1428*T$324)</f>
        <v/>
      </c>
      <c r="U1428" s="35">
        <f>$D1428*($E1428*U$321+$F1428*U$324)</f>
        <v/>
      </c>
      <c r="V1428" s="35">
        <f>$D1428*($E1428*V$321+$F1428*V$324)</f>
        <v/>
      </c>
      <c r="W1428" s="35">
        <f>$D1428*($E1428*W$321+$F1428*W$324)</f>
        <v/>
      </c>
      <c r="X1428" s="35">
        <f>$D1428*($E1428*X$321+$F1428*X$324)</f>
        <v/>
      </c>
      <c r="Y1428" s="35">
        <f>$D1428*($E1428*Y$321+$F1428*Y$324)</f>
        <v/>
      </c>
      <c r="Z1428" s="35">
        <f>$D1428*($E1428*Z$321+$F1428*Z$324)</f>
        <v/>
      </c>
      <c r="AA1428" s="35">
        <f>$D1428*($E1428*AA$321+$F1428*AA$324)</f>
        <v/>
      </c>
      <c r="AB1428" s="35">
        <f>$D1428*($E1428*AB$321+$F1428*AB$324)</f>
        <v/>
      </c>
      <c r="AC1428" s="35">
        <f>$D1428*($E1428*AC$321+$F1428*AC$324)</f>
        <v/>
      </c>
      <c r="AD1428" s="35">
        <f>$D1428*($E1428*AD$321+$F1428*AD$324)</f>
        <v/>
      </c>
      <c r="AE1428" s="42">
        <f>XCARBON($D1428,$E1428,AE$321,$F1428,AE$324)</f>
        <v/>
      </c>
      <c r="AG1428" s="11">
        <f>CodePrefix&amp;$A1428&amp;IF($C1428="","","."&amp;$C1428&amp;"."&amp;$B1428)&amp;INDEX(VarEnd,MATCH($A1428,VarKey,0))&amp;AG$5</f>
        <v/>
      </c>
      <c r="AH1428" s="40">
        <f>$D1428*($E1428*AH$321+$F1428*AH$324)</f>
        <v/>
      </c>
      <c r="AI1428" s="35">
        <f>$D1428*($E1428*AI$321+$F1428*AI$324)</f>
        <v/>
      </c>
      <c r="AJ1428" s="35">
        <f>$D1428*($E1428*AJ$321+$F1428*AJ$324)</f>
        <v/>
      </c>
      <c r="AK1428" s="35">
        <f>$D1428*($E1428*AK$321+$F1428*AK$324)</f>
        <v/>
      </c>
      <c r="AL1428" s="35">
        <f>$D1428*($E1428*AL$321+$F1428*AL$324)</f>
        <v/>
      </c>
      <c r="AM1428" s="35">
        <f>$D1428*($E1428*AM$321+$F1428*AM$324)</f>
        <v/>
      </c>
      <c r="AN1428" s="35">
        <f>$D1428*($E1428*AN$321+$F1428*AN$324)</f>
        <v/>
      </c>
      <c r="AO1428" s="35">
        <f>$D1428*($E1428*AO$321+$F1428*AO$324)</f>
        <v/>
      </c>
      <c r="AP1428" s="35">
        <f>$D1428*($E1428*AP$321+$F1428*AP$324)</f>
        <v/>
      </c>
      <c r="AQ1428" s="35">
        <f>$D1428*($E1428*AQ$321+$F1428*AQ$324)</f>
        <v/>
      </c>
      <c r="AR1428" s="35">
        <f>$D1428*($E1428*AR$321+$F1428*AR$324)</f>
        <v/>
      </c>
      <c r="AS1428" s="35">
        <f>$D1428*($E1428*AS$321+$F1428*AS$324)</f>
        <v/>
      </c>
      <c r="AT1428" s="35">
        <f>$D1428*($E1428*AT$321+$F1428*AT$324)</f>
        <v/>
      </c>
      <c r="AU1428" s="35">
        <f>$D1428*($E1428*AU$321+$F1428*AU$324)</f>
        <v/>
      </c>
      <c r="AV1428" s="35">
        <f>$D1428*($E1428*AV$321+$F1428*AV$324)</f>
        <v/>
      </c>
      <c r="AW1428" s="35">
        <f>$D1428*($E1428*AW$321+$F1428*AW$324)</f>
        <v/>
      </c>
      <c r="AX1428" s="35">
        <f>$D1428*($E1428*AX$321+$F1428*AX$324)</f>
        <v/>
      </c>
      <c r="AY1428" s="35">
        <f>$D1428*($E1428*AY$321+$F1428*AY$324)</f>
        <v/>
      </c>
      <c r="AZ1428" s="35">
        <f>$D1428*($E1428*AZ$321+$F1428*AZ$324)</f>
        <v/>
      </c>
      <c r="BA1428" s="42">
        <f>XCARBON($D1428,$E1428,BA$321,$F1428,BA$324)</f>
        <v/>
      </c>
    </row>
    <row r="1429" hidden="1" outlineLevel="2">
      <c r="A1429" s="14" t="inlineStr">
        <is>
          <t>xcp</t>
        </is>
      </c>
      <c r="B1429" s="14" t="inlineStr">
        <is>
          <t>gso</t>
        </is>
      </c>
      <c r="C1429" s="14" t="inlineStr">
        <is>
          <t>nav</t>
        </is>
      </c>
      <c r="D1429" s="35">
        <f>INDEX(Inputs!$W$5:$W$132,MATCH($B1429&amp;"|"&amp;$C1429,Inputs!$A$5:$A$132,0))</f>
        <v/>
      </c>
      <c r="E1429" s="35">
        <f>INDEX(Inputs!$Z$5:$Z$132,MATCH($B1429&amp;"|"&amp;$C1429,Inputs!$A$5:$A$132,0))</f>
        <v/>
      </c>
      <c r="F1429" s="35">
        <f>INDEX(Inputs!$AA$5:$AA$132,MATCH($B1429&amp;"|"&amp;$C1429,Inputs!$A$5:$A$132,0))</f>
        <v/>
      </c>
      <c r="G1429" s="39" t="n"/>
      <c r="H1429" s="14">
        <f>INDEX(VarLab,MATCH($A1429,VarKey,0))&amp;INDEX(MemLab,MATCH($C1429&amp;"|"&amp;$B1429,MemKey,0))</f>
        <v/>
      </c>
      <c r="I1429" s="14">
        <f>INDEX(VarUnit,MATCH($A1429,VarKey,0))</f>
        <v/>
      </c>
      <c r="J1429" s="14">
        <f>INDEX(VarSrc,MATCH($A1429,VarKey,0))</f>
        <v/>
      </c>
      <c r="K1429" s="11">
        <f>CodePrefix&amp;$A1429&amp;IF($C1429="","","."&amp;$C1429&amp;"."&amp;$B1429)&amp;INDEX(VarEnd,MATCH($A1429,VarKey,0))&amp;K$5</f>
        <v/>
      </c>
      <c r="L1429" s="40">
        <f>$D1429*($E1429*L$321+$F1429*L$324)</f>
        <v/>
      </c>
      <c r="M1429" s="35">
        <f>$D1429*($E1429*M$321+$F1429*M$324)</f>
        <v/>
      </c>
      <c r="N1429" s="35">
        <f>$D1429*($E1429*N$321+$F1429*N$324)</f>
        <v/>
      </c>
      <c r="O1429" s="35">
        <f>$D1429*($E1429*O$321+$F1429*O$324)</f>
        <v/>
      </c>
      <c r="P1429" s="35">
        <f>$D1429*($E1429*P$321+$F1429*P$324)</f>
        <v/>
      </c>
      <c r="Q1429" s="35">
        <f>$D1429*($E1429*Q$321+$F1429*Q$324)</f>
        <v/>
      </c>
      <c r="R1429" s="35">
        <f>$D1429*($E1429*R$321+$F1429*R$324)</f>
        <v/>
      </c>
      <c r="S1429" s="35">
        <f>$D1429*($E1429*S$321+$F1429*S$324)</f>
        <v/>
      </c>
      <c r="T1429" s="35">
        <f>$D1429*($E1429*T$321+$F1429*T$324)</f>
        <v/>
      </c>
      <c r="U1429" s="35">
        <f>$D1429*($E1429*U$321+$F1429*U$324)</f>
        <v/>
      </c>
      <c r="V1429" s="35">
        <f>$D1429*($E1429*V$321+$F1429*V$324)</f>
        <v/>
      </c>
      <c r="W1429" s="35">
        <f>$D1429*($E1429*W$321+$F1429*W$324)</f>
        <v/>
      </c>
      <c r="X1429" s="35">
        <f>$D1429*($E1429*X$321+$F1429*X$324)</f>
        <v/>
      </c>
      <c r="Y1429" s="35">
        <f>$D1429*($E1429*Y$321+$F1429*Y$324)</f>
        <v/>
      </c>
      <c r="Z1429" s="35">
        <f>$D1429*($E1429*Z$321+$F1429*Z$324)</f>
        <v/>
      </c>
      <c r="AA1429" s="35">
        <f>$D1429*($E1429*AA$321+$F1429*AA$324)</f>
        <v/>
      </c>
      <c r="AB1429" s="35">
        <f>$D1429*($E1429*AB$321+$F1429*AB$324)</f>
        <v/>
      </c>
      <c r="AC1429" s="35">
        <f>$D1429*($E1429*AC$321+$F1429*AC$324)</f>
        <v/>
      </c>
      <c r="AD1429" s="35">
        <f>$D1429*($E1429*AD$321+$F1429*AD$324)</f>
        <v/>
      </c>
      <c r="AE1429" s="42">
        <f>XCARBON($D1429,$E1429,AE$321,$F1429,AE$324)</f>
        <v/>
      </c>
      <c r="AG1429" s="11">
        <f>CodePrefix&amp;$A1429&amp;IF($C1429="","","."&amp;$C1429&amp;"."&amp;$B1429)&amp;INDEX(VarEnd,MATCH($A1429,VarKey,0))&amp;AG$5</f>
        <v/>
      </c>
      <c r="AH1429" s="40">
        <f>$D1429*($E1429*AH$321+$F1429*AH$324)</f>
        <v/>
      </c>
      <c r="AI1429" s="35">
        <f>$D1429*($E1429*AI$321+$F1429*AI$324)</f>
        <v/>
      </c>
      <c r="AJ1429" s="35">
        <f>$D1429*($E1429*AJ$321+$F1429*AJ$324)</f>
        <v/>
      </c>
      <c r="AK1429" s="35">
        <f>$D1429*($E1429*AK$321+$F1429*AK$324)</f>
        <v/>
      </c>
      <c r="AL1429" s="35">
        <f>$D1429*($E1429*AL$321+$F1429*AL$324)</f>
        <v/>
      </c>
      <c r="AM1429" s="35">
        <f>$D1429*($E1429*AM$321+$F1429*AM$324)</f>
        <v/>
      </c>
      <c r="AN1429" s="35">
        <f>$D1429*($E1429*AN$321+$F1429*AN$324)</f>
        <v/>
      </c>
      <c r="AO1429" s="35">
        <f>$D1429*($E1429*AO$321+$F1429*AO$324)</f>
        <v/>
      </c>
      <c r="AP1429" s="35">
        <f>$D1429*($E1429*AP$321+$F1429*AP$324)</f>
        <v/>
      </c>
      <c r="AQ1429" s="35">
        <f>$D1429*($E1429*AQ$321+$F1429*AQ$324)</f>
        <v/>
      </c>
      <c r="AR1429" s="35">
        <f>$D1429*($E1429*AR$321+$F1429*AR$324)</f>
        <v/>
      </c>
      <c r="AS1429" s="35">
        <f>$D1429*($E1429*AS$321+$F1429*AS$324)</f>
        <v/>
      </c>
      <c r="AT1429" s="35">
        <f>$D1429*($E1429*AT$321+$F1429*AT$324)</f>
        <v/>
      </c>
      <c r="AU1429" s="35">
        <f>$D1429*($E1429*AU$321+$F1429*AU$324)</f>
        <v/>
      </c>
      <c r="AV1429" s="35">
        <f>$D1429*($E1429*AV$321+$F1429*AV$324)</f>
        <v/>
      </c>
      <c r="AW1429" s="35">
        <f>$D1429*($E1429*AW$321+$F1429*AW$324)</f>
        <v/>
      </c>
      <c r="AX1429" s="35">
        <f>$D1429*($E1429*AX$321+$F1429*AX$324)</f>
        <v/>
      </c>
      <c r="AY1429" s="35">
        <f>$D1429*($E1429*AY$321+$F1429*AY$324)</f>
        <v/>
      </c>
      <c r="AZ1429" s="35">
        <f>$D1429*($E1429*AZ$321+$F1429*AZ$324)</f>
        <v/>
      </c>
      <c r="BA1429" s="42">
        <f>XCARBON($D1429,$E1429,BA$321,$F1429,BA$324)</f>
        <v/>
      </c>
    </row>
    <row r="1430" hidden="1" outlineLevel="2">
      <c r="A1430" s="14" t="inlineStr">
        <is>
          <t>xcp</t>
        </is>
      </c>
      <c r="B1430" s="14" t="inlineStr">
        <is>
          <t>die</t>
        </is>
      </c>
      <c r="C1430" s="14" t="inlineStr">
        <is>
          <t>nav</t>
        </is>
      </c>
      <c r="D1430" s="35">
        <f>INDEX(Inputs!$W$5:$W$132,MATCH($B1430&amp;"|"&amp;$C1430,Inputs!$A$5:$A$132,0))</f>
        <v/>
      </c>
      <c r="E1430" s="35">
        <f>INDEX(Inputs!$Z$5:$Z$132,MATCH($B1430&amp;"|"&amp;$C1430,Inputs!$A$5:$A$132,0))</f>
        <v/>
      </c>
      <c r="F1430" s="35">
        <f>INDEX(Inputs!$AA$5:$AA$132,MATCH($B1430&amp;"|"&amp;$C1430,Inputs!$A$5:$A$132,0))</f>
        <v/>
      </c>
      <c r="G1430" s="39" t="n"/>
      <c r="H1430" s="14">
        <f>INDEX(VarLab,MATCH($A1430,VarKey,0))&amp;INDEX(MemLab,MATCH($C1430&amp;"|"&amp;$B1430,MemKey,0))</f>
        <v/>
      </c>
      <c r="I1430" s="14">
        <f>INDEX(VarUnit,MATCH($A1430,VarKey,0))</f>
        <v/>
      </c>
      <c r="J1430" s="14">
        <f>INDEX(VarSrc,MATCH($A1430,VarKey,0))</f>
        <v/>
      </c>
      <c r="K1430" s="11">
        <f>CodePrefix&amp;$A1430&amp;IF($C1430="","","."&amp;$C1430&amp;"."&amp;$B1430)&amp;INDEX(VarEnd,MATCH($A1430,VarKey,0))&amp;K$5</f>
        <v/>
      </c>
      <c r="L1430" s="40">
        <f>$D1430*($E1430*L$321+$F1430*L$324)</f>
        <v/>
      </c>
      <c r="M1430" s="35">
        <f>$D1430*($E1430*M$321+$F1430*M$324)</f>
        <v/>
      </c>
      <c r="N1430" s="35">
        <f>$D1430*($E1430*N$321+$F1430*N$324)</f>
        <v/>
      </c>
      <c r="O1430" s="35">
        <f>$D1430*($E1430*O$321+$F1430*O$324)</f>
        <v/>
      </c>
      <c r="P1430" s="35">
        <f>$D1430*($E1430*P$321+$F1430*P$324)</f>
        <v/>
      </c>
      <c r="Q1430" s="35">
        <f>$D1430*($E1430*Q$321+$F1430*Q$324)</f>
        <v/>
      </c>
      <c r="R1430" s="35">
        <f>$D1430*($E1430*R$321+$F1430*R$324)</f>
        <v/>
      </c>
      <c r="S1430" s="35">
        <f>$D1430*($E1430*S$321+$F1430*S$324)</f>
        <v/>
      </c>
      <c r="T1430" s="35">
        <f>$D1430*($E1430*T$321+$F1430*T$324)</f>
        <v/>
      </c>
      <c r="U1430" s="35">
        <f>$D1430*($E1430*U$321+$F1430*U$324)</f>
        <v/>
      </c>
      <c r="V1430" s="35">
        <f>$D1430*($E1430*V$321+$F1430*V$324)</f>
        <v/>
      </c>
      <c r="W1430" s="35">
        <f>$D1430*($E1430*W$321+$F1430*W$324)</f>
        <v/>
      </c>
      <c r="X1430" s="35">
        <f>$D1430*($E1430*X$321+$F1430*X$324)</f>
        <v/>
      </c>
      <c r="Y1430" s="35">
        <f>$D1430*($E1430*Y$321+$F1430*Y$324)</f>
        <v/>
      </c>
      <c r="Z1430" s="35">
        <f>$D1430*($E1430*Z$321+$F1430*Z$324)</f>
        <v/>
      </c>
      <c r="AA1430" s="35">
        <f>$D1430*($E1430*AA$321+$F1430*AA$324)</f>
        <v/>
      </c>
      <c r="AB1430" s="35">
        <f>$D1430*($E1430*AB$321+$F1430*AB$324)</f>
        <v/>
      </c>
      <c r="AC1430" s="35">
        <f>$D1430*($E1430*AC$321+$F1430*AC$324)</f>
        <v/>
      </c>
      <c r="AD1430" s="35">
        <f>$D1430*($E1430*AD$321+$F1430*AD$324)</f>
        <v/>
      </c>
      <c r="AE1430" s="42">
        <f>XCARBON($D1430,$E1430,AE$321,$F1430,AE$324)</f>
        <v/>
      </c>
      <c r="AG1430" s="11">
        <f>CodePrefix&amp;$A1430&amp;IF($C1430="","","."&amp;$C1430&amp;"."&amp;$B1430)&amp;INDEX(VarEnd,MATCH($A1430,VarKey,0))&amp;AG$5</f>
        <v/>
      </c>
      <c r="AH1430" s="40">
        <f>$D1430*($E1430*AH$321+$F1430*AH$324)</f>
        <v/>
      </c>
      <c r="AI1430" s="35">
        <f>$D1430*($E1430*AI$321+$F1430*AI$324)</f>
        <v/>
      </c>
      <c r="AJ1430" s="35">
        <f>$D1430*($E1430*AJ$321+$F1430*AJ$324)</f>
        <v/>
      </c>
      <c r="AK1430" s="35">
        <f>$D1430*($E1430*AK$321+$F1430*AK$324)</f>
        <v/>
      </c>
      <c r="AL1430" s="35">
        <f>$D1430*($E1430*AL$321+$F1430*AL$324)</f>
        <v/>
      </c>
      <c r="AM1430" s="35">
        <f>$D1430*($E1430*AM$321+$F1430*AM$324)</f>
        <v/>
      </c>
      <c r="AN1430" s="35">
        <f>$D1430*($E1430*AN$321+$F1430*AN$324)</f>
        <v/>
      </c>
      <c r="AO1430" s="35">
        <f>$D1430*($E1430*AO$321+$F1430*AO$324)</f>
        <v/>
      </c>
      <c r="AP1430" s="35">
        <f>$D1430*($E1430*AP$321+$F1430*AP$324)</f>
        <v/>
      </c>
      <c r="AQ1430" s="35">
        <f>$D1430*($E1430*AQ$321+$F1430*AQ$324)</f>
        <v/>
      </c>
      <c r="AR1430" s="35">
        <f>$D1430*($E1430*AR$321+$F1430*AR$324)</f>
        <v/>
      </c>
      <c r="AS1430" s="35">
        <f>$D1430*($E1430*AS$321+$F1430*AS$324)</f>
        <v/>
      </c>
      <c r="AT1430" s="35">
        <f>$D1430*($E1430*AT$321+$F1430*AT$324)</f>
        <v/>
      </c>
      <c r="AU1430" s="35">
        <f>$D1430*($E1430*AU$321+$F1430*AU$324)</f>
        <v/>
      </c>
      <c r="AV1430" s="35">
        <f>$D1430*($E1430*AV$321+$F1430*AV$324)</f>
        <v/>
      </c>
      <c r="AW1430" s="35">
        <f>$D1430*($E1430*AW$321+$F1430*AW$324)</f>
        <v/>
      </c>
      <c r="AX1430" s="35">
        <f>$D1430*($E1430*AX$321+$F1430*AX$324)</f>
        <v/>
      </c>
      <c r="AY1430" s="35">
        <f>$D1430*($E1430*AY$321+$F1430*AY$324)</f>
        <v/>
      </c>
      <c r="AZ1430" s="35">
        <f>$D1430*($E1430*AZ$321+$F1430*AZ$324)</f>
        <v/>
      </c>
      <c r="BA1430" s="42">
        <f>XCARBON($D1430,$E1430,BA$321,$F1430,BA$324)</f>
        <v/>
      </c>
    </row>
    <row r="1431" hidden="1" outlineLevel="2">
      <c r="A1431" s="14" t="inlineStr">
        <is>
          <t>xcp</t>
        </is>
      </c>
      <c r="B1431" s="14" t="inlineStr">
        <is>
          <t>lpg</t>
        </is>
      </c>
      <c r="C1431" s="14" t="inlineStr">
        <is>
          <t>nav</t>
        </is>
      </c>
      <c r="D1431" s="35">
        <f>INDEX(Inputs!$W$5:$W$132,MATCH($B1431&amp;"|"&amp;$C1431,Inputs!$A$5:$A$132,0))</f>
        <v/>
      </c>
      <c r="E1431" s="35">
        <f>INDEX(Inputs!$Z$5:$Z$132,MATCH($B1431&amp;"|"&amp;$C1431,Inputs!$A$5:$A$132,0))</f>
        <v/>
      </c>
      <c r="F1431" s="35">
        <f>INDEX(Inputs!$AA$5:$AA$132,MATCH($B1431&amp;"|"&amp;$C1431,Inputs!$A$5:$A$132,0))</f>
        <v/>
      </c>
      <c r="G1431" s="39" t="n"/>
      <c r="H1431" s="14">
        <f>INDEX(VarLab,MATCH($A1431,VarKey,0))&amp;INDEX(MemLab,MATCH($C1431&amp;"|"&amp;$B1431,MemKey,0))</f>
        <v/>
      </c>
      <c r="I1431" s="14">
        <f>INDEX(VarUnit,MATCH($A1431,VarKey,0))</f>
        <v/>
      </c>
      <c r="J1431" s="14">
        <f>INDEX(VarSrc,MATCH($A1431,VarKey,0))</f>
        <v/>
      </c>
      <c r="K1431" s="11">
        <f>CodePrefix&amp;$A1431&amp;IF($C1431="","","."&amp;$C1431&amp;"."&amp;$B1431)&amp;INDEX(VarEnd,MATCH($A1431,VarKey,0))&amp;K$5</f>
        <v/>
      </c>
      <c r="L1431" s="40">
        <f>$D1431*($E1431*L$321+$F1431*L$324)</f>
        <v/>
      </c>
      <c r="M1431" s="35">
        <f>$D1431*($E1431*M$321+$F1431*M$324)</f>
        <v/>
      </c>
      <c r="N1431" s="35">
        <f>$D1431*($E1431*N$321+$F1431*N$324)</f>
        <v/>
      </c>
      <c r="O1431" s="35">
        <f>$D1431*($E1431*O$321+$F1431*O$324)</f>
        <v/>
      </c>
      <c r="P1431" s="35">
        <f>$D1431*($E1431*P$321+$F1431*P$324)</f>
        <v/>
      </c>
      <c r="Q1431" s="35">
        <f>$D1431*($E1431*Q$321+$F1431*Q$324)</f>
        <v/>
      </c>
      <c r="R1431" s="35">
        <f>$D1431*($E1431*R$321+$F1431*R$324)</f>
        <v/>
      </c>
      <c r="S1431" s="35">
        <f>$D1431*($E1431*S$321+$F1431*S$324)</f>
        <v/>
      </c>
      <c r="T1431" s="35">
        <f>$D1431*($E1431*T$321+$F1431*T$324)</f>
        <v/>
      </c>
      <c r="U1431" s="35">
        <f>$D1431*($E1431*U$321+$F1431*U$324)</f>
        <v/>
      </c>
      <c r="V1431" s="35">
        <f>$D1431*($E1431*V$321+$F1431*V$324)</f>
        <v/>
      </c>
      <c r="W1431" s="35">
        <f>$D1431*($E1431*W$321+$F1431*W$324)</f>
        <v/>
      </c>
      <c r="X1431" s="35">
        <f>$D1431*($E1431*X$321+$F1431*X$324)</f>
        <v/>
      </c>
      <c r="Y1431" s="35">
        <f>$D1431*($E1431*Y$321+$F1431*Y$324)</f>
        <v/>
      </c>
      <c r="Z1431" s="35">
        <f>$D1431*($E1431*Z$321+$F1431*Z$324)</f>
        <v/>
      </c>
      <c r="AA1431" s="35">
        <f>$D1431*($E1431*AA$321+$F1431*AA$324)</f>
        <v/>
      </c>
      <c r="AB1431" s="35">
        <f>$D1431*($E1431*AB$321+$F1431*AB$324)</f>
        <v/>
      </c>
      <c r="AC1431" s="35">
        <f>$D1431*($E1431*AC$321+$F1431*AC$324)</f>
        <v/>
      </c>
      <c r="AD1431" s="35">
        <f>$D1431*($E1431*AD$321+$F1431*AD$324)</f>
        <v/>
      </c>
      <c r="AE1431" s="42">
        <f>XCARBON($D1431,$E1431,AE$321,$F1431,AE$324)</f>
        <v/>
      </c>
      <c r="AG1431" s="11">
        <f>CodePrefix&amp;$A1431&amp;IF($C1431="","","."&amp;$C1431&amp;"."&amp;$B1431)&amp;INDEX(VarEnd,MATCH($A1431,VarKey,0))&amp;AG$5</f>
        <v/>
      </c>
      <c r="AH1431" s="40">
        <f>$D1431*($E1431*AH$321+$F1431*AH$324)</f>
        <v/>
      </c>
      <c r="AI1431" s="35">
        <f>$D1431*($E1431*AI$321+$F1431*AI$324)</f>
        <v/>
      </c>
      <c r="AJ1431" s="35">
        <f>$D1431*($E1431*AJ$321+$F1431*AJ$324)</f>
        <v/>
      </c>
      <c r="AK1431" s="35">
        <f>$D1431*($E1431*AK$321+$F1431*AK$324)</f>
        <v/>
      </c>
      <c r="AL1431" s="35">
        <f>$D1431*($E1431*AL$321+$F1431*AL$324)</f>
        <v/>
      </c>
      <c r="AM1431" s="35">
        <f>$D1431*($E1431*AM$321+$F1431*AM$324)</f>
        <v/>
      </c>
      <c r="AN1431" s="35">
        <f>$D1431*($E1431*AN$321+$F1431*AN$324)</f>
        <v/>
      </c>
      <c r="AO1431" s="35">
        <f>$D1431*($E1431*AO$321+$F1431*AO$324)</f>
        <v/>
      </c>
      <c r="AP1431" s="35">
        <f>$D1431*($E1431*AP$321+$F1431*AP$324)</f>
        <v/>
      </c>
      <c r="AQ1431" s="35">
        <f>$D1431*($E1431*AQ$321+$F1431*AQ$324)</f>
        <v/>
      </c>
      <c r="AR1431" s="35">
        <f>$D1431*($E1431*AR$321+$F1431*AR$324)</f>
        <v/>
      </c>
      <c r="AS1431" s="35">
        <f>$D1431*($E1431*AS$321+$F1431*AS$324)</f>
        <v/>
      </c>
      <c r="AT1431" s="35">
        <f>$D1431*($E1431*AT$321+$F1431*AT$324)</f>
        <v/>
      </c>
      <c r="AU1431" s="35">
        <f>$D1431*($E1431*AU$321+$F1431*AU$324)</f>
        <v/>
      </c>
      <c r="AV1431" s="35">
        <f>$D1431*($E1431*AV$321+$F1431*AV$324)</f>
        <v/>
      </c>
      <c r="AW1431" s="35">
        <f>$D1431*($E1431*AW$321+$F1431*AW$324)</f>
        <v/>
      </c>
      <c r="AX1431" s="35">
        <f>$D1431*($E1431*AX$321+$F1431*AX$324)</f>
        <v/>
      </c>
      <c r="AY1431" s="35">
        <f>$D1431*($E1431*AY$321+$F1431*AY$324)</f>
        <v/>
      </c>
      <c r="AZ1431" s="35">
        <f>$D1431*($E1431*AZ$321+$F1431*AZ$324)</f>
        <v/>
      </c>
      <c r="BA1431" s="42">
        <f>XCARBON($D1431,$E1431,BA$321,$F1431,BA$324)</f>
        <v/>
      </c>
    </row>
    <row r="1432" hidden="1" outlineLevel="2">
      <c r="A1432" s="14" t="inlineStr">
        <is>
          <t>xcp</t>
        </is>
      </c>
      <c r="B1432" s="14" t="inlineStr">
        <is>
          <t>ker</t>
        </is>
      </c>
      <c r="C1432" s="14" t="inlineStr">
        <is>
          <t>nav</t>
        </is>
      </c>
      <c r="D1432" s="35">
        <f>INDEX(Inputs!$W$5:$W$132,MATCH($B1432&amp;"|"&amp;$C1432,Inputs!$A$5:$A$132,0))</f>
        <v/>
      </c>
      <c r="E1432" s="35">
        <f>INDEX(Inputs!$Z$5:$Z$132,MATCH($B1432&amp;"|"&amp;$C1432,Inputs!$A$5:$A$132,0))</f>
        <v/>
      </c>
      <c r="F1432" s="35">
        <f>INDEX(Inputs!$AA$5:$AA$132,MATCH($B1432&amp;"|"&amp;$C1432,Inputs!$A$5:$A$132,0))</f>
        <v/>
      </c>
      <c r="G1432" s="39" t="n"/>
      <c r="H1432" s="14">
        <f>INDEX(VarLab,MATCH($A1432,VarKey,0))&amp;INDEX(MemLab,MATCH($C1432&amp;"|"&amp;$B1432,MemKey,0))</f>
        <v/>
      </c>
      <c r="I1432" s="14">
        <f>INDEX(VarUnit,MATCH($A1432,VarKey,0))</f>
        <v/>
      </c>
      <c r="J1432" s="14">
        <f>INDEX(VarSrc,MATCH($A1432,VarKey,0))</f>
        <v/>
      </c>
      <c r="K1432" s="11">
        <f>CodePrefix&amp;$A1432&amp;IF($C1432="","","."&amp;$C1432&amp;"."&amp;$B1432)&amp;INDEX(VarEnd,MATCH($A1432,VarKey,0))&amp;K$5</f>
        <v/>
      </c>
      <c r="L1432" s="40">
        <f>$D1432*($E1432*L$321+$F1432*L$324)</f>
        <v/>
      </c>
      <c r="M1432" s="35">
        <f>$D1432*($E1432*M$321+$F1432*M$324)</f>
        <v/>
      </c>
      <c r="N1432" s="35">
        <f>$D1432*($E1432*N$321+$F1432*N$324)</f>
        <v/>
      </c>
      <c r="O1432" s="35">
        <f>$D1432*($E1432*O$321+$F1432*O$324)</f>
        <v/>
      </c>
      <c r="P1432" s="35">
        <f>$D1432*($E1432*P$321+$F1432*P$324)</f>
        <v/>
      </c>
      <c r="Q1432" s="35">
        <f>$D1432*($E1432*Q$321+$F1432*Q$324)</f>
        <v/>
      </c>
      <c r="R1432" s="35">
        <f>$D1432*($E1432*R$321+$F1432*R$324)</f>
        <v/>
      </c>
      <c r="S1432" s="35">
        <f>$D1432*($E1432*S$321+$F1432*S$324)</f>
        <v/>
      </c>
      <c r="T1432" s="35">
        <f>$D1432*($E1432*T$321+$F1432*T$324)</f>
        <v/>
      </c>
      <c r="U1432" s="35">
        <f>$D1432*($E1432*U$321+$F1432*U$324)</f>
        <v/>
      </c>
      <c r="V1432" s="35">
        <f>$D1432*($E1432*V$321+$F1432*V$324)</f>
        <v/>
      </c>
      <c r="W1432" s="35">
        <f>$D1432*($E1432*W$321+$F1432*W$324)</f>
        <v/>
      </c>
      <c r="X1432" s="35">
        <f>$D1432*($E1432*X$321+$F1432*X$324)</f>
        <v/>
      </c>
      <c r="Y1432" s="35">
        <f>$D1432*($E1432*Y$321+$F1432*Y$324)</f>
        <v/>
      </c>
      <c r="Z1432" s="35">
        <f>$D1432*($E1432*Z$321+$F1432*Z$324)</f>
        <v/>
      </c>
      <c r="AA1432" s="35">
        <f>$D1432*($E1432*AA$321+$F1432*AA$324)</f>
        <v/>
      </c>
      <c r="AB1432" s="35">
        <f>$D1432*($E1432*AB$321+$F1432*AB$324)</f>
        <v/>
      </c>
      <c r="AC1432" s="35">
        <f>$D1432*($E1432*AC$321+$F1432*AC$324)</f>
        <v/>
      </c>
      <c r="AD1432" s="35">
        <f>$D1432*($E1432*AD$321+$F1432*AD$324)</f>
        <v/>
      </c>
      <c r="AE1432" s="42">
        <f>XCARBON($D1432,$E1432,AE$321,$F1432,AE$324)</f>
        <v/>
      </c>
      <c r="AG1432" s="11">
        <f>CodePrefix&amp;$A1432&amp;IF($C1432="","","."&amp;$C1432&amp;"."&amp;$B1432)&amp;INDEX(VarEnd,MATCH($A1432,VarKey,0))&amp;AG$5</f>
        <v/>
      </c>
      <c r="AH1432" s="40">
        <f>$D1432*($E1432*AH$321+$F1432*AH$324)</f>
        <v/>
      </c>
      <c r="AI1432" s="35">
        <f>$D1432*($E1432*AI$321+$F1432*AI$324)</f>
        <v/>
      </c>
      <c r="AJ1432" s="35">
        <f>$D1432*($E1432*AJ$321+$F1432*AJ$324)</f>
        <v/>
      </c>
      <c r="AK1432" s="35">
        <f>$D1432*($E1432*AK$321+$F1432*AK$324)</f>
        <v/>
      </c>
      <c r="AL1432" s="35">
        <f>$D1432*($E1432*AL$321+$F1432*AL$324)</f>
        <v/>
      </c>
      <c r="AM1432" s="35">
        <f>$D1432*($E1432*AM$321+$F1432*AM$324)</f>
        <v/>
      </c>
      <c r="AN1432" s="35">
        <f>$D1432*($E1432*AN$321+$F1432*AN$324)</f>
        <v/>
      </c>
      <c r="AO1432" s="35">
        <f>$D1432*($E1432*AO$321+$F1432*AO$324)</f>
        <v/>
      </c>
      <c r="AP1432" s="35">
        <f>$D1432*($E1432*AP$321+$F1432*AP$324)</f>
        <v/>
      </c>
      <c r="AQ1432" s="35">
        <f>$D1432*($E1432*AQ$321+$F1432*AQ$324)</f>
        <v/>
      </c>
      <c r="AR1432" s="35">
        <f>$D1432*($E1432*AR$321+$F1432*AR$324)</f>
        <v/>
      </c>
      <c r="AS1432" s="35">
        <f>$D1432*($E1432*AS$321+$F1432*AS$324)</f>
        <v/>
      </c>
      <c r="AT1432" s="35">
        <f>$D1432*($E1432*AT$321+$F1432*AT$324)</f>
        <v/>
      </c>
      <c r="AU1432" s="35">
        <f>$D1432*($E1432*AU$321+$F1432*AU$324)</f>
        <v/>
      </c>
      <c r="AV1432" s="35">
        <f>$D1432*($E1432*AV$321+$F1432*AV$324)</f>
        <v/>
      </c>
      <c r="AW1432" s="35">
        <f>$D1432*($E1432*AW$321+$F1432*AW$324)</f>
        <v/>
      </c>
      <c r="AX1432" s="35">
        <f>$D1432*($E1432*AX$321+$F1432*AX$324)</f>
        <v/>
      </c>
      <c r="AY1432" s="35">
        <f>$D1432*($E1432*AY$321+$F1432*AY$324)</f>
        <v/>
      </c>
      <c r="AZ1432" s="35">
        <f>$D1432*($E1432*AZ$321+$F1432*AZ$324)</f>
        <v/>
      </c>
      <c r="BA1432" s="42">
        <f>XCARBON($D1432,$E1432,BA$321,$F1432,BA$324)</f>
        <v/>
      </c>
    </row>
    <row r="1433" hidden="1" outlineLevel="2">
      <c r="A1433" s="14" t="inlineStr">
        <is>
          <t>xcp</t>
        </is>
      </c>
      <c r="B1433" s="14" t="inlineStr">
        <is>
          <t>oop</t>
        </is>
      </c>
      <c r="C1433" s="14" t="inlineStr">
        <is>
          <t>nav</t>
        </is>
      </c>
      <c r="D1433" s="35">
        <f>INDEX(Inputs!$W$5:$W$132,MATCH($B1433&amp;"|"&amp;$C1433,Inputs!$A$5:$A$132,0))</f>
        <v/>
      </c>
      <c r="E1433" s="35">
        <f>INDEX(Inputs!$Z$5:$Z$132,MATCH($B1433&amp;"|"&amp;$C1433,Inputs!$A$5:$A$132,0))</f>
        <v/>
      </c>
      <c r="F1433" s="35">
        <f>INDEX(Inputs!$AA$5:$AA$132,MATCH($B1433&amp;"|"&amp;$C1433,Inputs!$A$5:$A$132,0))</f>
        <v/>
      </c>
      <c r="G1433" s="39" t="n"/>
      <c r="H1433" s="14">
        <f>INDEX(VarLab,MATCH($A1433,VarKey,0))&amp;INDEX(MemLab,MATCH($C1433&amp;"|"&amp;$B1433,MemKey,0))</f>
        <v/>
      </c>
      <c r="I1433" s="14">
        <f>INDEX(VarUnit,MATCH($A1433,VarKey,0))</f>
        <v/>
      </c>
      <c r="J1433" s="14">
        <f>INDEX(VarSrc,MATCH($A1433,VarKey,0))</f>
        <v/>
      </c>
      <c r="K1433" s="11">
        <f>CodePrefix&amp;$A1433&amp;IF($C1433="","","."&amp;$C1433&amp;"."&amp;$B1433)&amp;INDEX(VarEnd,MATCH($A1433,VarKey,0))&amp;K$5</f>
        <v/>
      </c>
      <c r="L1433" s="40">
        <f>$D1433*($E1433*L$321+$F1433*L$324)</f>
        <v/>
      </c>
      <c r="M1433" s="35">
        <f>$D1433*($E1433*M$321+$F1433*M$324)</f>
        <v/>
      </c>
      <c r="N1433" s="35">
        <f>$D1433*($E1433*N$321+$F1433*N$324)</f>
        <v/>
      </c>
      <c r="O1433" s="35">
        <f>$D1433*($E1433*O$321+$F1433*O$324)</f>
        <v/>
      </c>
      <c r="P1433" s="35">
        <f>$D1433*($E1433*P$321+$F1433*P$324)</f>
        <v/>
      </c>
      <c r="Q1433" s="35">
        <f>$D1433*($E1433*Q$321+$F1433*Q$324)</f>
        <v/>
      </c>
      <c r="R1433" s="35">
        <f>$D1433*($E1433*R$321+$F1433*R$324)</f>
        <v/>
      </c>
      <c r="S1433" s="35">
        <f>$D1433*($E1433*S$321+$F1433*S$324)</f>
        <v/>
      </c>
      <c r="T1433" s="35">
        <f>$D1433*($E1433*T$321+$F1433*T$324)</f>
        <v/>
      </c>
      <c r="U1433" s="35">
        <f>$D1433*($E1433*U$321+$F1433*U$324)</f>
        <v/>
      </c>
      <c r="V1433" s="35">
        <f>$D1433*($E1433*V$321+$F1433*V$324)</f>
        <v/>
      </c>
      <c r="W1433" s="35">
        <f>$D1433*($E1433*W$321+$F1433*W$324)</f>
        <v/>
      </c>
      <c r="X1433" s="35">
        <f>$D1433*($E1433*X$321+$F1433*X$324)</f>
        <v/>
      </c>
      <c r="Y1433" s="35">
        <f>$D1433*($E1433*Y$321+$F1433*Y$324)</f>
        <v/>
      </c>
      <c r="Z1433" s="35">
        <f>$D1433*($E1433*Z$321+$F1433*Z$324)</f>
        <v/>
      </c>
      <c r="AA1433" s="35">
        <f>$D1433*($E1433*AA$321+$F1433*AA$324)</f>
        <v/>
      </c>
      <c r="AB1433" s="35">
        <f>$D1433*($E1433*AB$321+$F1433*AB$324)</f>
        <v/>
      </c>
      <c r="AC1433" s="35">
        <f>$D1433*($E1433*AC$321+$F1433*AC$324)</f>
        <v/>
      </c>
      <c r="AD1433" s="35">
        <f>$D1433*($E1433*AD$321+$F1433*AD$324)</f>
        <v/>
      </c>
      <c r="AE1433" s="42">
        <f>XCARBON($D1433,$E1433,AE$321,$F1433,AE$324)</f>
        <v/>
      </c>
      <c r="AG1433" s="11">
        <f>CodePrefix&amp;$A1433&amp;IF($C1433="","","."&amp;$C1433&amp;"."&amp;$B1433)&amp;INDEX(VarEnd,MATCH($A1433,VarKey,0))&amp;AG$5</f>
        <v/>
      </c>
      <c r="AH1433" s="40">
        <f>$D1433*($E1433*AH$321+$F1433*AH$324)</f>
        <v/>
      </c>
      <c r="AI1433" s="35">
        <f>$D1433*($E1433*AI$321+$F1433*AI$324)</f>
        <v/>
      </c>
      <c r="AJ1433" s="35">
        <f>$D1433*($E1433*AJ$321+$F1433*AJ$324)</f>
        <v/>
      </c>
      <c r="AK1433" s="35">
        <f>$D1433*($E1433*AK$321+$F1433*AK$324)</f>
        <v/>
      </c>
      <c r="AL1433" s="35">
        <f>$D1433*($E1433*AL$321+$F1433*AL$324)</f>
        <v/>
      </c>
      <c r="AM1433" s="35">
        <f>$D1433*($E1433*AM$321+$F1433*AM$324)</f>
        <v/>
      </c>
      <c r="AN1433" s="35">
        <f>$D1433*($E1433*AN$321+$F1433*AN$324)</f>
        <v/>
      </c>
      <c r="AO1433" s="35">
        <f>$D1433*($E1433*AO$321+$F1433*AO$324)</f>
        <v/>
      </c>
      <c r="AP1433" s="35">
        <f>$D1433*($E1433*AP$321+$F1433*AP$324)</f>
        <v/>
      </c>
      <c r="AQ1433" s="35">
        <f>$D1433*($E1433*AQ$321+$F1433*AQ$324)</f>
        <v/>
      </c>
      <c r="AR1433" s="35">
        <f>$D1433*($E1433*AR$321+$F1433*AR$324)</f>
        <v/>
      </c>
      <c r="AS1433" s="35">
        <f>$D1433*($E1433*AS$321+$F1433*AS$324)</f>
        <v/>
      </c>
      <c r="AT1433" s="35">
        <f>$D1433*($E1433*AT$321+$F1433*AT$324)</f>
        <v/>
      </c>
      <c r="AU1433" s="35">
        <f>$D1433*($E1433*AU$321+$F1433*AU$324)</f>
        <v/>
      </c>
      <c r="AV1433" s="35">
        <f>$D1433*($E1433*AV$321+$F1433*AV$324)</f>
        <v/>
      </c>
      <c r="AW1433" s="35">
        <f>$D1433*($E1433*AW$321+$F1433*AW$324)</f>
        <v/>
      </c>
      <c r="AX1433" s="35">
        <f>$D1433*($E1433*AX$321+$F1433*AX$324)</f>
        <v/>
      </c>
      <c r="AY1433" s="35">
        <f>$D1433*($E1433*AY$321+$F1433*AY$324)</f>
        <v/>
      </c>
      <c r="AZ1433" s="35">
        <f>$D1433*($E1433*AZ$321+$F1433*AZ$324)</f>
        <v/>
      </c>
      <c r="BA1433" s="42">
        <f>XCARBON($D1433,$E1433,BA$321,$F1433,BA$324)</f>
        <v/>
      </c>
    </row>
    <row r="1434" hidden="1" outlineLevel="2">
      <c r="A1434" s="14" t="inlineStr">
        <is>
          <t>xcp</t>
        </is>
      </c>
      <c r="B1434" s="14" t="inlineStr">
        <is>
          <t>bio</t>
        </is>
      </c>
      <c r="C1434" s="14" t="inlineStr">
        <is>
          <t>nav</t>
        </is>
      </c>
      <c r="D1434" s="35">
        <f>INDEX(Inputs!$W$5:$W$132,MATCH($B1434&amp;"|"&amp;$C1434,Inputs!$A$5:$A$132,0))</f>
        <v/>
      </c>
      <c r="E1434" s="35">
        <f>INDEX(Inputs!$Z$5:$Z$132,MATCH($B1434&amp;"|"&amp;$C1434,Inputs!$A$5:$A$132,0))</f>
        <v/>
      </c>
      <c r="F1434" s="35">
        <f>INDEX(Inputs!$AA$5:$AA$132,MATCH($B1434&amp;"|"&amp;$C1434,Inputs!$A$5:$A$132,0))</f>
        <v/>
      </c>
      <c r="G1434" s="39" t="n"/>
      <c r="H1434" s="14">
        <f>INDEX(VarLab,MATCH($A1434,VarKey,0))&amp;INDEX(MemLab,MATCH($C1434&amp;"|"&amp;$B1434,MemKey,0))</f>
        <v/>
      </c>
      <c r="I1434" s="14">
        <f>INDEX(VarUnit,MATCH($A1434,VarKey,0))</f>
        <v/>
      </c>
      <c r="J1434" s="14">
        <f>INDEX(VarSrc,MATCH($A1434,VarKey,0))</f>
        <v/>
      </c>
      <c r="K1434" s="11">
        <f>CodePrefix&amp;$A1434&amp;IF($C1434="","","."&amp;$C1434&amp;"."&amp;$B1434)&amp;INDEX(VarEnd,MATCH($A1434,VarKey,0))&amp;K$5</f>
        <v/>
      </c>
      <c r="L1434" s="40">
        <f>$D1434*($E1434*L$321+$F1434*L$324)</f>
        <v/>
      </c>
      <c r="M1434" s="35">
        <f>$D1434*($E1434*M$321+$F1434*M$324)</f>
        <v/>
      </c>
      <c r="N1434" s="35">
        <f>$D1434*($E1434*N$321+$F1434*N$324)</f>
        <v/>
      </c>
      <c r="O1434" s="35">
        <f>$D1434*($E1434*O$321+$F1434*O$324)</f>
        <v/>
      </c>
      <c r="P1434" s="35">
        <f>$D1434*($E1434*P$321+$F1434*P$324)</f>
        <v/>
      </c>
      <c r="Q1434" s="35">
        <f>$D1434*($E1434*Q$321+$F1434*Q$324)</f>
        <v/>
      </c>
      <c r="R1434" s="35">
        <f>$D1434*($E1434*R$321+$F1434*R$324)</f>
        <v/>
      </c>
      <c r="S1434" s="35">
        <f>$D1434*($E1434*S$321+$F1434*S$324)</f>
        <v/>
      </c>
      <c r="T1434" s="35">
        <f>$D1434*($E1434*T$321+$F1434*T$324)</f>
        <v/>
      </c>
      <c r="U1434" s="35">
        <f>$D1434*($E1434*U$321+$F1434*U$324)</f>
        <v/>
      </c>
      <c r="V1434" s="35">
        <f>$D1434*($E1434*V$321+$F1434*V$324)</f>
        <v/>
      </c>
      <c r="W1434" s="35">
        <f>$D1434*($E1434*W$321+$F1434*W$324)</f>
        <v/>
      </c>
      <c r="X1434" s="35">
        <f>$D1434*($E1434*X$321+$F1434*X$324)</f>
        <v/>
      </c>
      <c r="Y1434" s="35">
        <f>$D1434*($E1434*Y$321+$F1434*Y$324)</f>
        <v/>
      </c>
      <c r="Z1434" s="35">
        <f>$D1434*($E1434*Z$321+$F1434*Z$324)</f>
        <v/>
      </c>
      <c r="AA1434" s="35">
        <f>$D1434*($E1434*AA$321+$F1434*AA$324)</f>
        <v/>
      </c>
      <c r="AB1434" s="35">
        <f>$D1434*($E1434*AB$321+$F1434*AB$324)</f>
        <v/>
      </c>
      <c r="AC1434" s="35">
        <f>$D1434*($E1434*AC$321+$F1434*AC$324)</f>
        <v/>
      </c>
      <c r="AD1434" s="35">
        <f>$D1434*($E1434*AD$321+$F1434*AD$324)</f>
        <v/>
      </c>
      <c r="AE1434" s="42">
        <f>XCARBON($D1434,$E1434,AE$321,$F1434,AE$324)</f>
        <v/>
      </c>
      <c r="AG1434" s="11">
        <f>CodePrefix&amp;$A1434&amp;IF($C1434="","","."&amp;$C1434&amp;"."&amp;$B1434)&amp;INDEX(VarEnd,MATCH($A1434,VarKey,0))&amp;AG$5</f>
        <v/>
      </c>
      <c r="AH1434" s="40">
        <f>$D1434*($E1434*AH$321+$F1434*AH$324)</f>
        <v/>
      </c>
      <c r="AI1434" s="35">
        <f>$D1434*($E1434*AI$321+$F1434*AI$324)</f>
        <v/>
      </c>
      <c r="AJ1434" s="35">
        <f>$D1434*($E1434*AJ$321+$F1434*AJ$324)</f>
        <v/>
      </c>
      <c r="AK1434" s="35">
        <f>$D1434*($E1434*AK$321+$F1434*AK$324)</f>
        <v/>
      </c>
      <c r="AL1434" s="35">
        <f>$D1434*($E1434*AL$321+$F1434*AL$324)</f>
        <v/>
      </c>
      <c r="AM1434" s="35">
        <f>$D1434*($E1434*AM$321+$F1434*AM$324)</f>
        <v/>
      </c>
      <c r="AN1434" s="35">
        <f>$D1434*($E1434*AN$321+$F1434*AN$324)</f>
        <v/>
      </c>
      <c r="AO1434" s="35">
        <f>$D1434*($E1434*AO$321+$F1434*AO$324)</f>
        <v/>
      </c>
      <c r="AP1434" s="35">
        <f>$D1434*($E1434*AP$321+$F1434*AP$324)</f>
        <v/>
      </c>
      <c r="AQ1434" s="35">
        <f>$D1434*($E1434*AQ$321+$F1434*AQ$324)</f>
        <v/>
      </c>
      <c r="AR1434" s="35">
        <f>$D1434*($E1434*AR$321+$F1434*AR$324)</f>
        <v/>
      </c>
      <c r="AS1434" s="35">
        <f>$D1434*($E1434*AS$321+$F1434*AS$324)</f>
        <v/>
      </c>
      <c r="AT1434" s="35">
        <f>$D1434*($E1434*AT$321+$F1434*AT$324)</f>
        <v/>
      </c>
      <c r="AU1434" s="35">
        <f>$D1434*($E1434*AU$321+$F1434*AU$324)</f>
        <v/>
      </c>
      <c r="AV1434" s="35">
        <f>$D1434*($E1434*AV$321+$F1434*AV$324)</f>
        <v/>
      </c>
      <c r="AW1434" s="35">
        <f>$D1434*($E1434*AW$321+$F1434*AW$324)</f>
        <v/>
      </c>
      <c r="AX1434" s="35">
        <f>$D1434*($E1434*AX$321+$F1434*AX$324)</f>
        <v/>
      </c>
      <c r="AY1434" s="35">
        <f>$D1434*($E1434*AY$321+$F1434*AY$324)</f>
        <v/>
      </c>
      <c r="AZ1434" s="35">
        <f>$D1434*($E1434*AZ$321+$F1434*AZ$324)</f>
        <v/>
      </c>
      <c r="BA1434" s="42">
        <f>XCARBON($D1434,$E1434,BA$321,$F1434,BA$324)</f>
        <v/>
      </c>
    </row>
    <row r="1435" hidden="1" outlineLevel="2"/>
    <row r="1436" hidden="1" outlineLevel="2">
      <c r="A1436" s="14" t="inlineStr">
        <is>
          <t>xcpd</t>
        </is>
      </c>
      <c r="B1436" s="14" t="inlineStr">
        <is>
          <t>coa</t>
        </is>
      </c>
      <c r="C1436" s="14" t="inlineStr">
        <is>
          <t>nav</t>
        </is>
      </c>
      <c r="D1436" s="35">
        <f>INDEX(Inputs!$W$5:$W$132,MATCH($B1436&amp;"|"&amp;$C1436,Inputs!$A$5:$A$132,0))</f>
        <v/>
      </c>
      <c r="E1436" s="35">
        <f>INDEX(Inputs!$Z$5:$Z$132,MATCH($B1436&amp;"|"&amp;$C1436,Inputs!$A$5:$A$132,0))</f>
        <v/>
      </c>
      <c r="F1436" s="35">
        <f>INDEX(Inputs!$AA$5:$AA$132,MATCH($B1436&amp;"|"&amp;$C1436,Inputs!$A$5:$A$132,0))</f>
        <v/>
      </c>
      <c r="G1436" s="39" t="n"/>
      <c r="H1436" s="14">
        <f>INDEX(VarLab,MATCH($A1436,VarKey,0))&amp;INDEX(MemLab,MATCH($C1436&amp;"|"&amp;$B1436,MemKey,0))</f>
        <v/>
      </c>
      <c r="I1436" s="14">
        <f>INDEX(VarUnit,MATCH($A1436,VarKey,0))</f>
        <v/>
      </c>
      <c r="J1436" s="14">
        <f>INDEX(VarSrc,MATCH($A1436,VarKey,0))</f>
        <v/>
      </c>
      <c r="K1436" s="11">
        <f>CodePrefix&amp;$A1436&amp;IF($C1436="","","."&amp;$C1436&amp;"."&amp;$B1436)&amp;INDEX(VarEnd,MATCH($A1436,VarKey,0))&amp;K$5</f>
        <v/>
      </c>
      <c r="L1436" s="40">
        <f>$D1436*($E1436*(L$321-L$322)+$F1436*(L$324-L$325))</f>
        <v/>
      </c>
      <c r="M1436" s="35">
        <f>$D1436*($E1436*(M$321-M$322)+$F1436*(M$324-M$325))</f>
        <v/>
      </c>
      <c r="N1436" s="35">
        <f>$D1436*($E1436*(N$321-N$322)+$F1436*(N$324-N$325))</f>
        <v/>
      </c>
      <c r="O1436" s="35">
        <f>$D1436*($E1436*(O$321-O$322)+$F1436*(O$324-O$325))</f>
        <v/>
      </c>
      <c r="P1436" s="35">
        <f>$D1436*($E1436*(P$321-P$322)+$F1436*(P$324-P$325))</f>
        <v/>
      </c>
      <c r="Q1436" s="35">
        <f>$D1436*($E1436*(Q$321-Q$322)+$F1436*(Q$324-Q$325))</f>
        <v/>
      </c>
      <c r="R1436" s="35">
        <f>$D1436*($E1436*(R$321-R$322)+$F1436*(R$324-R$325))</f>
        <v/>
      </c>
      <c r="S1436" s="35">
        <f>$D1436*($E1436*(S$321-S$322)+$F1436*(S$324-S$325))</f>
        <v/>
      </c>
      <c r="T1436" s="35">
        <f>$D1436*($E1436*(T$321-T$322)+$F1436*(T$324-T$325))</f>
        <v/>
      </c>
      <c r="U1436" s="35">
        <f>$D1436*($E1436*(U$321-U$322)+$F1436*(U$324-U$325))</f>
        <v/>
      </c>
      <c r="V1436" s="35">
        <f>$D1436*($E1436*(V$321-V$322)+$F1436*(V$324-V$325))</f>
        <v/>
      </c>
      <c r="W1436" s="35">
        <f>$D1436*($E1436*(W$321-W$322)+$F1436*(W$324-W$325))</f>
        <v/>
      </c>
      <c r="X1436" s="35">
        <f>$D1436*($E1436*(X$321-X$322)+$F1436*(X$324-X$325))</f>
        <v/>
      </c>
      <c r="Y1436" s="35">
        <f>$D1436*($E1436*(Y$321-Y$322)+$F1436*(Y$324-Y$325))</f>
        <v/>
      </c>
      <c r="Z1436" s="35">
        <f>$D1436*($E1436*(Z$321-Z$322)+$F1436*(Z$324-Z$325))</f>
        <v/>
      </c>
      <c r="AA1436" s="35">
        <f>$D1436*($E1436*(AA$321-AA$322)+$F1436*(AA$324-AA$325))</f>
        <v/>
      </c>
      <c r="AB1436" s="35">
        <f>$D1436*($E1436*(AB$321-AB$322)+$F1436*(AB$324-AB$325))</f>
        <v/>
      </c>
      <c r="AC1436" s="35">
        <f>$D1436*($E1436*(AC$321-AC$322)+$F1436*(AC$324-AC$325))</f>
        <v/>
      </c>
      <c r="AD1436" s="35">
        <f>$D1436*($E1436*(AD$321-AD$322)+$F1436*(AD$324-AD$325))</f>
        <v/>
      </c>
      <c r="AE1436" s="42">
        <f>XCARBON($D1436,$E1436,(AE$321-AE$322),$F1436,(AE$324-AE$325))</f>
        <v/>
      </c>
      <c r="AG1436" s="11">
        <f>CodePrefix&amp;$A1436&amp;IF($C1436="","","."&amp;$C1436&amp;"."&amp;$B1436)&amp;INDEX(VarEnd,MATCH($A1436,VarKey,0))&amp;AG$5</f>
        <v/>
      </c>
      <c r="AH1436" s="40">
        <f>$D1436*($E1436*(AH$321-AH$322)+$F1436*(AH$324-AH$325))</f>
        <v/>
      </c>
      <c r="AI1436" s="35">
        <f>$D1436*($E1436*(AI$321-AI$322)+$F1436*(AI$324-AI$325))</f>
        <v/>
      </c>
      <c r="AJ1436" s="35">
        <f>$D1436*($E1436*(AJ$321-AJ$322)+$F1436*(AJ$324-AJ$325))</f>
        <v/>
      </c>
      <c r="AK1436" s="35">
        <f>$D1436*($E1436*(AK$321-AK$322)+$F1436*(AK$324-AK$325))</f>
        <v/>
      </c>
      <c r="AL1436" s="35">
        <f>$D1436*($E1436*(AL$321-AL$322)+$F1436*(AL$324-AL$325))</f>
        <v/>
      </c>
      <c r="AM1436" s="35">
        <f>$D1436*($E1436*(AM$321-AM$322)+$F1436*(AM$324-AM$325))</f>
        <v/>
      </c>
      <c r="AN1436" s="35">
        <f>$D1436*($E1436*(AN$321-AN$322)+$F1436*(AN$324-AN$325))</f>
        <v/>
      </c>
      <c r="AO1436" s="35">
        <f>$D1436*($E1436*(AO$321-AO$322)+$F1436*(AO$324-AO$325))</f>
        <v/>
      </c>
      <c r="AP1436" s="35">
        <f>$D1436*($E1436*(AP$321-AP$322)+$F1436*(AP$324-AP$325))</f>
        <v/>
      </c>
      <c r="AQ1436" s="35">
        <f>$D1436*($E1436*(AQ$321-AQ$322)+$F1436*(AQ$324-AQ$325))</f>
        <v/>
      </c>
      <c r="AR1436" s="35">
        <f>$D1436*($E1436*(AR$321-AR$322)+$F1436*(AR$324-AR$325))</f>
        <v/>
      </c>
      <c r="AS1436" s="35">
        <f>$D1436*($E1436*(AS$321-AS$322)+$F1436*(AS$324-AS$325))</f>
        <v/>
      </c>
      <c r="AT1436" s="35">
        <f>$D1436*($E1436*(AT$321-AT$322)+$F1436*(AT$324-AT$325))</f>
        <v/>
      </c>
      <c r="AU1436" s="35">
        <f>$D1436*($E1436*(AU$321-AU$322)+$F1436*(AU$324-AU$325))</f>
        <v/>
      </c>
      <c r="AV1436" s="35">
        <f>$D1436*($E1436*(AV$321-AV$322)+$F1436*(AV$324-AV$325))</f>
        <v/>
      </c>
      <c r="AW1436" s="35">
        <f>$D1436*($E1436*(AW$321-AW$322)+$F1436*(AW$324-AW$325))</f>
        <v/>
      </c>
      <c r="AX1436" s="35">
        <f>$D1436*($E1436*(AX$321-AX$322)+$F1436*(AX$324-AX$325))</f>
        <v/>
      </c>
      <c r="AY1436" s="35">
        <f>$D1436*($E1436*(AY$321-AY$322)+$F1436*(AY$324-AY$325))</f>
        <v/>
      </c>
      <c r="AZ1436" s="35">
        <f>$D1436*($E1436*(AZ$321-AZ$322)+$F1436*(AZ$324-AZ$325))</f>
        <v/>
      </c>
      <c r="BA1436" s="42">
        <f>XCARBON($D1436,$E1436,(BA$321-BA$322),$F1436,(BA$324-BA$325))</f>
        <v/>
      </c>
    </row>
    <row r="1437" hidden="1" outlineLevel="2">
      <c r="A1437" s="14" t="inlineStr">
        <is>
          <t>xcpd</t>
        </is>
      </c>
      <c r="B1437" s="14" t="inlineStr">
        <is>
          <t>nga</t>
        </is>
      </c>
      <c r="C1437" s="14" t="inlineStr">
        <is>
          <t>nav</t>
        </is>
      </c>
      <c r="D1437" s="35">
        <f>INDEX(Inputs!$W$5:$W$132,MATCH($B1437&amp;"|"&amp;$C1437,Inputs!$A$5:$A$132,0))</f>
        <v/>
      </c>
      <c r="E1437" s="35">
        <f>INDEX(Inputs!$Z$5:$Z$132,MATCH($B1437&amp;"|"&amp;$C1437,Inputs!$A$5:$A$132,0))</f>
        <v/>
      </c>
      <c r="F1437" s="35">
        <f>INDEX(Inputs!$AA$5:$AA$132,MATCH($B1437&amp;"|"&amp;$C1437,Inputs!$A$5:$A$132,0))</f>
        <v/>
      </c>
      <c r="G1437" s="39" t="n"/>
      <c r="H1437" s="14">
        <f>INDEX(VarLab,MATCH($A1437,VarKey,0))&amp;INDEX(MemLab,MATCH($C1437&amp;"|"&amp;$B1437,MemKey,0))</f>
        <v/>
      </c>
      <c r="I1437" s="14">
        <f>INDEX(VarUnit,MATCH($A1437,VarKey,0))</f>
        <v/>
      </c>
      <c r="J1437" s="14">
        <f>INDEX(VarSrc,MATCH($A1437,VarKey,0))</f>
        <v/>
      </c>
      <c r="K1437" s="11">
        <f>CodePrefix&amp;$A1437&amp;IF($C1437="","","."&amp;$C1437&amp;"."&amp;$B1437)&amp;INDEX(VarEnd,MATCH($A1437,VarKey,0))&amp;K$5</f>
        <v/>
      </c>
      <c r="L1437" s="40">
        <f>$D1437*($E1437*(L$321-L$322)+$F1437*(L$324-L$325))</f>
        <v/>
      </c>
      <c r="M1437" s="35">
        <f>$D1437*($E1437*(M$321-M$322)+$F1437*(M$324-M$325))</f>
        <v/>
      </c>
      <c r="N1437" s="35">
        <f>$D1437*($E1437*(N$321-N$322)+$F1437*(N$324-N$325))</f>
        <v/>
      </c>
      <c r="O1437" s="35">
        <f>$D1437*($E1437*(O$321-O$322)+$F1437*(O$324-O$325))</f>
        <v/>
      </c>
      <c r="P1437" s="35">
        <f>$D1437*($E1437*(P$321-P$322)+$F1437*(P$324-P$325))</f>
        <v/>
      </c>
      <c r="Q1437" s="35">
        <f>$D1437*($E1437*(Q$321-Q$322)+$F1437*(Q$324-Q$325))</f>
        <v/>
      </c>
      <c r="R1437" s="35">
        <f>$D1437*($E1437*(R$321-R$322)+$F1437*(R$324-R$325))</f>
        <v/>
      </c>
      <c r="S1437" s="35">
        <f>$D1437*($E1437*(S$321-S$322)+$F1437*(S$324-S$325))</f>
        <v/>
      </c>
      <c r="T1437" s="35">
        <f>$D1437*($E1437*(T$321-T$322)+$F1437*(T$324-T$325))</f>
        <v/>
      </c>
      <c r="U1437" s="35">
        <f>$D1437*($E1437*(U$321-U$322)+$F1437*(U$324-U$325))</f>
        <v/>
      </c>
      <c r="V1437" s="35">
        <f>$D1437*($E1437*(V$321-V$322)+$F1437*(V$324-V$325))</f>
        <v/>
      </c>
      <c r="W1437" s="35">
        <f>$D1437*($E1437*(W$321-W$322)+$F1437*(W$324-W$325))</f>
        <v/>
      </c>
      <c r="X1437" s="35">
        <f>$D1437*($E1437*(X$321-X$322)+$F1437*(X$324-X$325))</f>
        <v/>
      </c>
      <c r="Y1437" s="35">
        <f>$D1437*($E1437*(Y$321-Y$322)+$F1437*(Y$324-Y$325))</f>
        <v/>
      </c>
      <c r="Z1437" s="35">
        <f>$D1437*($E1437*(Z$321-Z$322)+$F1437*(Z$324-Z$325))</f>
        <v/>
      </c>
      <c r="AA1437" s="35">
        <f>$D1437*($E1437*(AA$321-AA$322)+$F1437*(AA$324-AA$325))</f>
        <v/>
      </c>
      <c r="AB1437" s="35">
        <f>$D1437*($E1437*(AB$321-AB$322)+$F1437*(AB$324-AB$325))</f>
        <v/>
      </c>
      <c r="AC1437" s="35">
        <f>$D1437*($E1437*(AC$321-AC$322)+$F1437*(AC$324-AC$325))</f>
        <v/>
      </c>
      <c r="AD1437" s="35">
        <f>$D1437*($E1437*(AD$321-AD$322)+$F1437*(AD$324-AD$325))</f>
        <v/>
      </c>
      <c r="AE1437" s="42">
        <f>XCARBON($D1437,$E1437,(AE$321-AE$322),$F1437,(AE$324-AE$325))</f>
        <v/>
      </c>
      <c r="AG1437" s="11">
        <f>CodePrefix&amp;$A1437&amp;IF($C1437="","","."&amp;$C1437&amp;"."&amp;$B1437)&amp;INDEX(VarEnd,MATCH($A1437,VarKey,0))&amp;AG$5</f>
        <v/>
      </c>
      <c r="AH1437" s="40">
        <f>$D1437*($E1437*(AH$321-AH$322)+$F1437*(AH$324-AH$325))</f>
        <v/>
      </c>
      <c r="AI1437" s="35">
        <f>$D1437*($E1437*(AI$321-AI$322)+$F1437*(AI$324-AI$325))</f>
        <v/>
      </c>
      <c r="AJ1437" s="35">
        <f>$D1437*($E1437*(AJ$321-AJ$322)+$F1437*(AJ$324-AJ$325))</f>
        <v/>
      </c>
      <c r="AK1437" s="35">
        <f>$D1437*($E1437*(AK$321-AK$322)+$F1437*(AK$324-AK$325))</f>
        <v/>
      </c>
      <c r="AL1437" s="35">
        <f>$D1437*($E1437*(AL$321-AL$322)+$F1437*(AL$324-AL$325))</f>
        <v/>
      </c>
      <c r="AM1437" s="35">
        <f>$D1437*($E1437*(AM$321-AM$322)+$F1437*(AM$324-AM$325))</f>
        <v/>
      </c>
      <c r="AN1437" s="35">
        <f>$D1437*($E1437*(AN$321-AN$322)+$F1437*(AN$324-AN$325))</f>
        <v/>
      </c>
      <c r="AO1437" s="35">
        <f>$D1437*($E1437*(AO$321-AO$322)+$F1437*(AO$324-AO$325))</f>
        <v/>
      </c>
      <c r="AP1437" s="35">
        <f>$D1437*($E1437*(AP$321-AP$322)+$F1437*(AP$324-AP$325))</f>
        <v/>
      </c>
      <c r="AQ1437" s="35">
        <f>$D1437*($E1437*(AQ$321-AQ$322)+$F1437*(AQ$324-AQ$325))</f>
        <v/>
      </c>
      <c r="AR1437" s="35">
        <f>$D1437*($E1437*(AR$321-AR$322)+$F1437*(AR$324-AR$325))</f>
        <v/>
      </c>
      <c r="AS1437" s="35">
        <f>$D1437*($E1437*(AS$321-AS$322)+$F1437*(AS$324-AS$325))</f>
        <v/>
      </c>
      <c r="AT1437" s="35">
        <f>$D1437*($E1437*(AT$321-AT$322)+$F1437*(AT$324-AT$325))</f>
        <v/>
      </c>
      <c r="AU1437" s="35">
        <f>$D1437*($E1437*(AU$321-AU$322)+$F1437*(AU$324-AU$325))</f>
        <v/>
      </c>
      <c r="AV1437" s="35">
        <f>$D1437*($E1437*(AV$321-AV$322)+$F1437*(AV$324-AV$325))</f>
        <v/>
      </c>
      <c r="AW1437" s="35">
        <f>$D1437*($E1437*(AW$321-AW$322)+$F1437*(AW$324-AW$325))</f>
        <v/>
      </c>
      <c r="AX1437" s="35">
        <f>$D1437*($E1437*(AX$321-AX$322)+$F1437*(AX$324-AX$325))</f>
        <v/>
      </c>
      <c r="AY1437" s="35">
        <f>$D1437*($E1437*(AY$321-AY$322)+$F1437*(AY$324-AY$325))</f>
        <v/>
      </c>
      <c r="AZ1437" s="35">
        <f>$D1437*($E1437*(AZ$321-AZ$322)+$F1437*(AZ$324-AZ$325))</f>
        <v/>
      </c>
      <c r="BA1437" s="42">
        <f>XCARBON($D1437,$E1437,(BA$321-BA$322),$F1437,(BA$324-BA$325))</f>
        <v/>
      </c>
    </row>
    <row r="1438" hidden="1" outlineLevel="2">
      <c r="A1438" s="14" t="inlineStr">
        <is>
          <t>xcpd</t>
        </is>
      </c>
      <c r="B1438" s="14" t="inlineStr">
        <is>
          <t>gso</t>
        </is>
      </c>
      <c r="C1438" s="14" t="inlineStr">
        <is>
          <t>nav</t>
        </is>
      </c>
      <c r="D1438" s="35">
        <f>INDEX(Inputs!$W$5:$W$132,MATCH($B1438&amp;"|"&amp;$C1438,Inputs!$A$5:$A$132,0))</f>
        <v/>
      </c>
      <c r="E1438" s="35">
        <f>INDEX(Inputs!$Z$5:$Z$132,MATCH($B1438&amp;"|"&amp;$C1438,Inputs!$A$5:$A$132,0))</f>
        <v/>
      </c>
      <c r="F1438" s="35">
        <f>INDEX(Inputs!$AA$5:$AA$132,MATCH($B1438&amp;"|"&amp;$C1438,Inputs!$A$5:$A$132,0))</f>
        <v/>
      </c>
      <c r="G1438" s="39" t="n"/>
      <c r="H1438" s="14">
        <f>INDEX(VarLab,MATCH($A1438,VarKey,0))&amp;INDEX(MemLab,MATCH($C1438&amp;"|"&amp;$B1438,MemKey,0))</f>
        <v/>
      </c>
      <c r="I1438" s="14">
        <f>INDEX(VarUnit,MATCH($A1438,VarKey,0))</f>
        <v/>
      </c>
      <c r="J1438" s="14">
        <f>INDEX(VarSrc,MATCH($A1438,VarKey,0))</f>
        <v/>
      </c>
      <c r="K1438" s="11">
        <f>CodePrefix&amp;$A1438&amp;IF($C1438="","","."&amp;$C1438&amp;"."&amp;$B1438)&amp;INDEX(VarEnd,MATCH($A1438,VarKey,0))&amp;K$5</f>
        <v/>
      </c>
      <c r="L1438" s="40">
        <f>$D1438*($E1438*(L$321-L$322)+$F1438*(L$324-L$325))</f>
        <v/>
      </c>
      <c r="M1438" s="35">
        <f>$D1438*($E1438*(M$321-M$322)+$F1438*(M$324-M$325))</f>
        <v/>
      </c>
      <c r="N1438" s="35">
        <f>$D1438*($E1438*(N$321-N$322)+$F1438*(N$324-N$325))</f>
        <v/>
      </c>
      <c r="O1438" s="35">
        <f>$D1438*($E1438*(O$321-O$322)+$F1438*(O$324-O$325))</f>
        <v/>
      </c>
      <c r="P1438" s="35">
        <f>$D1438*($E1438*(P$321-P$322)+$F1438*(P$324-P$325))</f>
        <v/>
      </c>
      <c r="Q1438" s="35">
        <f>$D1438*($E1438*(Q$321-Q$322)+$F1438*(Q$324-Q$325))</f>
        <v/>
      </c>
      <c r="R1438" s="35">
        <f>$D1438*($E1438*(R$321-R$322)+$F1438*(R$324-R$325))</f>
        <v/>
      </c>
      <c r="S1438" s="35">
        <f>$D1438*($E1438*(S$321-S$322)+$F1438*(S$324-S$325))</f>
        <v/>
      </c>
      <c r="T1438" s="35">
        <f>$D1438*($E1438*(T$321-T$322)+$F1438*(T$324-T$325))</f>
        <v/>
      </c>
      <c r="U1438" s="35">
        <f>$D1438*($E1438*(U$321-U$322)+$F1438*(U$324-U$325))</f>
        <v/>
      </c>
      <c r="V1438" s="35">
        <f>$D1438*($E1438*(V$321-V$322)+$F1438*(V$324-V$325))</f>
        <v/>
      </c>
      <c r="W1438" s="35">
        <f>$D1438*($E1438*(W$321-W$322)+$F1438*(W$324-W$325))</f>
        <v/>
      </c>
      <c r="X1438" s="35">
        <f>$D1438*($E1438*(X$321-X$322)+$F1438*(X$324-X$325))</f>
        <v/>
      </c>
      <c r="Y1438" s="35">
        <f>$D1438*($E1438*(Y$321-Y$322)+$F1438*(Y$324-Y$325))</f>
        <v/>
      </c>
      <c r="Z1438" s="35">
        <f>$D1438*($E1438*(Z$321-Z$322)+$F1438*(Z$324-Z$325))</f>
        <v/>
      </c>
      <c r="AA1438" s="35">
        <f>$D1438*($E1438*(AA$321-AA$322)+$F1438*(AA$324-AA$325))</f>
        <v/>
      </c>
      <c r="AB1438" s="35">
        <f>$D1438*($E1438*(AB$321-AB$322)+$F1438*(AB$324-AB$325))</f>
        <v/>
      </c>
      <c r="AC1438" s="35">
        <f>$D1438*($E1438*(AC$321-AC$322)+$F1438*(AC$324-AC$325))</f>
        <v/>
      </c>
      <c r="AD1438" s="35">
        <f>$D1438*($E1438*(AD$321-AD$322)+$F1438*(AD$324-AD$325))</f>
        <v/>
      </c>
      <c r="AE1438" s="42">
        <f>XCARBON($D1438,$E1438,(AE$321-AE$322),$F1438,(AE$324-AE$325))</f>
        <v/>
      </c>
      <c r="AG1438" s="11">
        <f>CodePrefix&amp;$A1438&amp;IF($C1438="","","."&amp;$C1438&amp;"."&amp;$B1438)&amp;INDEX(VarEnd,MATCH($A1438,VarKey,0))&amp;AG$5</f>
        <v/>
      </c>
      <c r="AH1438" s="40">
        <f>$D1438*($E1438*(AH$321-AH$322)+$F1438*(AH$324-AH$325))</f>
        <v/>
      </c>
      <c r="AI1438" s="35">
        <f>$D1438*($E1438*(AI$321-AI$322)+$F1438*(AI$324-AI$325))</f>
        <v/>
      </c>
      <c r="AJ1438" s="35">
        <f>$D1438*($E1438*(AJ$321-AJ$322)+$F1438*(AJ$324-AJ$325))</f>
        <v/>
      </c>
      <c r="AK1438" s="35">
        <f>$D1438*($E1438*(AK$321-AK$322)+$F1438*(AK$324-AK$325))</f>
        <v/>
      </c>
      <c r="AL1438" s="35">
        <f>$D1438*($E1438*(AL$321-AL$322)+$F1438*(AL$324-AL$325))</f>
        <v/>
      </c>
      <c r="AM1438" s="35">
        <f>$D1438*($E1438*(AM$321-AM$322)+$F1438*(AM$324-AM$325))</f>
        <v/>
      </c>
      <c r="AN1438" s="35">
        <f>$D1438*($E1438*(AN$321-AN$322)+$F1438*(AN$324-AN$325))</f>
        <v/>
      </c>
      <c r="AO1438" s="35">
        <f>$D1438*($E1438*(AO$321-AO$322)+$F1438*(AO$324-AO$325))</f>
        <v/>
      </c>
      <c r="AP1438" s="35">
        <f>$D1438*($E1438*(AP$321-AP$322)+$F1438*(AP$324-AP$325))</f>
        <v/>
      </c>
      <c r="AQ1438" s="35">
        <f>$D1438*($E1438*(AQ$321-AQ$322)+$F1438*(AQ$324-AQ$325))</f>
        <v/>
      </c>
      <c r="AR1438" s="35">
        <f>$D1438*($E1438*(AR$321-AR$322)+$F1438*(AR$324-AR$325))</f>
        <v/>
      </c>
      <c r="AS1438" s="35">
        <f>$D1438*($E1438*(AS$321-AS$322)+$F1438*(AS$324-AS$325))</f>
        <v/>
      </c>
      <c r="AT1438" s="35">
        <f>$D1438*($E1438*(AT$321-AT$322)+$F1438*(AT$324-AT$325))</f>
        <v/>
      </c>
      <c r="AU1438" s="35">
        <f>$D1438*($E1438*(AU$321-AU$322)+$F1438*(AU$324-AU$325))</f>
        <v/>
      </c>
      <c r="AV1438" s="35">
        <f>$D1438*($E1438*(AV$321-AV$322)+$F1438*(AV$324-AV$325))</f>
        <v/>
      </c>
      <c r="AW1438" s="35">
        <f>$D1438*($E1438*(AW$321-AW$322)+$F1438*(AW$324-AW$325))</f>
        <v/>
      </c>
      <c r="AX1438" s="35">
        <f>$D1438*($E1438*(AX$321-AX$322)+$F1438*(AX$324-AX$325))</f>
        <v/>
      </c>
      <c r="AY1438" s="35">
        <f>$D1438*($E1438*(AY$321-AY$322)+$F1438*(AY$324-AY$325))</f>
        <v/>
      </c>
      <c r="AZ1438" s="35">
        <f>$D1438*($E1438*(AZ$321-AZ$322)+$F1438*(AZ$324-AZ$325))</f>
        <v/>
      </c>
      <c r="BA1438" s="42">
        <f>XCARBON($D1438,$E1438,(BA$321-BA$322),$F1438,(BA$324-BA$325))</f>
        <v/>
      </c>
    </row>
    <row r="1439" hidden="1" outlineLevel="2">
      <c r="A1439" s="14" t="inlineStr">
        <is>
          <t>xcpd</t>
        </is>
      </c>
      <c r="B1439" s="14" t="inlineStr">
        <is>
          <t>die</t>
        </is>
      </c>
      <c r="C1439" s="14" t="inlineStr">
        <is>
          <t>nav</t>
        </is>
      </c>
      <c r="D1439" s="35">
        <f>INDEX(Inputs!$W$5:$W$132,MATCH($B1439&amp;"|"&amp;$C1439,Inputs!$A$5:$A$132,0))</f>
        <v/>
      </c>
      <c r="E1439" s="35">
        <f>INDEX(Inputs!$Z$5:$Z$132,MATCH($B1439&amp;"|"&amp;$C1439,Inputs!$A$5:$A$132,0))</f>
        <v/>
      </c>
      <c r="F1439" s="35">
        <f>INDEX(Inputs!$AA$5:$AA$132,MATCH($B1439&amp;"|"&amp;$C1439,Inputs!$A$5:$A$132,0))</f>
        <v/>
      </c>
      <c r="G1439" s="39" t="n"/>
      <c r="H1439" s="14">
        <f>INDEX(VarLab,MATCH($A1439,VarKey,0))&amp;INDEX(MemLab,MATCH($C1439&amp;"|"&amp;$B1439,MemKey,0))</f>
        <v/>
      </c>
      <c r="I1439" s="14">
        <f>INDEX(VarUnit,MATCH($A1439,VarKey,0))</f>
        <v/>
      </c>
      <c r="J1439" s="14">
        <f>INDEX(VarSrc,MATCH($A1439,VarKey,0))</f>
        <v/>
      </c>
      <c r="K1439" s="11">
        <f>CodePrefix&amp;$A1439&amp;IF($C1439="","","."&amp;$C1439&amp;"."&amp;$B1439)&amp;INDEX(VarEnd,MATCH($A1439,VarKey,0))&amp;K$5</f>
        <v/>
      </c>
      <c r="L1439" s="40">
        <f>$D1439*($E1439*(L$321-L$322)+$F1439*(L$324-L$325))</f>
        <v/>
      </c>
      <c r="M1439" s="35">
        <f>$D1439*($E1439*(M$321-M$322)+$F1439*(M$324-M$325))</f>
        <v/>
      </c>
      <c r="N1439" s="35">
        <f>$D1439*($E1439*(N$321-N$322)+$F1439*(N$324-N$325))</f>
        <v/>
      </c>
      <c r="O1439" s="35">
        <f>$D1439*($E1439*(O$321-O$322)+$F1439*(O$324-O$325))</f>
        <v/>
      </c>
      <c r="P1439" s="35">
        <f>$D1439*($E1439*(P$321-P$322)+$F1439*(P$324-P$325))</f>
        <v/>
      </c>
      <c r="Q1439" s="35">
        <f>$D1439*($E1439*(Q$321-Q$322)+$F1439*(Q$324-Q$325))</f>
        <v/>
      </c>
      <c r="R1439" s="35">
        <f>$D1439*($E1439*(R$321-R$322)+$F1439*(R$324-R$325))</f>
        <v/>
      </c>
      <c r="S1439" s="35">
        <f>$D1439*($E1439*(S$321-S$322)+$F1439*(S$324-S$325))</f>
        <v/>
      </c>
      <c r="T1439" s="35">
        <f>$D1439*($E1439*(T$321-T$322)+$F1439*(T$324-T$325))</f>
        <v/>
      </c>
      <c r="U1439" s="35">
        <f>$D1439*($E1439*(U$321-U$322)+$F1439*(U$324-U$325))</f>
        <v/>
      </c>
      <c r="V1439" s="35">
        <f>$D1439*($E1439*(V$321-V$322)+$F1439*(V$324-V$325))</f>
        <v/>
      </c>
      <c r="W1439" s="35">
        <f>$D1439*($E1439*(W$321-W$322)+$F1439*(W$324-W$325))</f>
        <v/>
      </c>
      <c r="X1439" s="35">
        <f>$D1439*($E1439*(X$321-X$322)+$F1439*(X$324-X$325))</f>
        <v/>
      </c>
      <c r="Y1439" s="35">
        <f>$D1439*($E1439*(Y$321-Y$322)+$F1439*(Y$324-Y$325))</f>
        <v/>
      </c>
      <c r="Z1439" s="35">
        <f>$D1439*($E1439*(Z$321-Z$322)+$F1439*(Z$324-Z$325))</f>
        <v/>
      </c>
      <c r="AA1439" s="35">
        <f>$D1439*($E1439*(AA$321-AA$322)+$F1439*(AA$324-AA$325))</f>
        <v/>
      </c>
      <c r="AB1439" s="35">
        <f>$D1439*($E1439*(AB$321-AB$322)+$F1439*(AB$324-AB$325))</f>
        <v/>
      </c>
      <c r="AC1439" s="35">
        <f>$D1439*($E1439*(AC$321-AC$322)+$F1439*(AC$324-AC$325))</f>
        <v/>
      </c>
      <c r="AD1439" s="35">
        <f>$D1439*($E1439*(AD$321-AD$322)+$F1439*(AD$324-AD$325))</f>
        <v/>
      </c>
      <c r="AE1439" s="42">
        <f>XCARBON($D1439,$E1439,(AE$321-AE$322),$F1439,(AE$324-AE$325))</f>
        <v/>
      </c>
      <c r="AG1439" s="11">
        <f>CodePrefix&amp;$A1439&amp;IF($C1439="","","."&amp;$C1439&amp;"."&amp;$B1439)&amp;INDEX(VarEnd,MATCH($A1439,VarKey,0))&amp;AG$5</f>
        <v/>
      </c>
      <c r="AH1439" s="40">
        <f>$D1439*($E1439*(AH$321-AH$322)+$F1439*(AH$324-AH$325))</f>
        <v/>
      </c>
      <c r="AI1439" s="35">
        <f>$D1439*($E1439*(AI$321-AI$322)+$F1439*(AI$324-AI$325))</f>
        <v/>
      </c>
      <c r="AJ1439" s="35">
        <f>$D1439*($E1439*(AJ$321-AJ$322)+$F1439*(AJ$324-AJ$325))</f>
        <v/>
      </c>
      <c r="AK1439" s="35">
        <f>$D1439*($E1439*(AK$321-AK$322)+$F1439*(AK$324-AK$325))</f>
        <v/>
      </c>
      <c r="AL1439" s="35">
        <f>$D1439*($E1439*(AL$321-AL$322)+$F1439*(AL$324-AL$325))</f>
        <v/>
      </c>
      <c r="AM1439" s="35">
        <f>$D1439*($E1439*(AM$321-AM$322)+$F1439*(AM$324-AM$325))</f>
        <v/>
      </c>
      <c r="AN1439" s="35">
        <f>$D1439*($E1439*(AN$321-AN$322)+$F1439*(AN$324-AN$325))</f>
        <v/>
      </c>
      <c r="AO1439" s="35">
        <f>$D1439*($E1439*(AO$321-AO$322)+$F1439*(AO$324-AO$325))</f>
        <v/>
      </c>
      <c r="AP1439" s="35">
        <f>$D1439*($E1439*(AP$321-AP$322)+$F1439*(AP$324-AP$325))</f>
        <v/>
      </c>
      <c r="AQ1439" s="35">
        <f>$D1439*($E1439*(AQ$321-AQ$322)+$F1439*(AQ$324-AQ$325))</f>
        <v/>
      </c>
      <c r="AR1439" s="35">
        <f>$D1439*($E1439*(AR$321-AR$322)+$F1439*(AR$324-AR$325))</f>
        <v/>
      </c>
      <c r="AS1439" s="35">
        <f>$D1439*($E1439*(AS$321-AS$322)+$F1439*(AS$324-AS$325))</f>
        <v/>
      </c>
      <c r="AT1439" s="35">
        <f>$D1439*($E1439*(AT$321-AT$322)+$F1439*(AT$324-AT$325))</f>
        <v/>
      </c>
      <c r="AU1439" s="35">
        <f>$D1439*($E1439*(AU$321-AU$322)+$F1439*(AU$324-AU$325))</f>
        <v/>
      </c>
      <c r="AV1439" s="35">
        <f>$D1439*($E1439*(AV$321-AV$322)+$F1439*(AV$324-AV$325))</f>
        <v/>
      </c>
      <c r="AW1439" s="35">
        <f>$D1439*($E1439*(AW$321-AW$322)+$F1439*(AW$324-AW$325))</f>
        <v/>
      </c>
      <c r="AX1439" s="35">
        <f>$D1439*($E1439*(AX$321-AX$322)+$F1439*(AX$324-AX$325))</f>
        <v/>
      </c>
      <c r="AY1439" s="35">
        <f>$D1439*($E1439*(AY$321-AY$322)+$F1439*(AY$324-AY$325))</f>
        <v/>
      </c>
      <c r="AZ1439" s="35">
        <f>$D1439*($E1439*(AZ$321-AZ$322)+$F1439*(AZ$324-AZ$325))</f>
        <v/>
      </c>
      <c r="BA1439" s="42">
        <f>XCARBON($D1439,$E1439,(BA$321-BA$322),$F1439,(BA$324-BA$325))</f>
        <v/>
      </c>
    </row>
    <row r="1440" hidden="1" outlineLevel="2">
      <c r="A1440" s="14" t="inlineStr">
        <is>
          <t>xcpd</t>
        </is>
      </c>
      <c r="B1440" s="14" t="inlineStr">
        <is>
          <t>lpg</t>
        </is>
      </c>
      <c r="C1440" s="14" t="inlineStr">
        <is>
          <t>nav</t>
        </is>
      </c>
      <c r="D1440" s="35">
        <f>INDEX(Inputs!$W$5:$W$132,MATCH($B1440&amp;"|"&amp;$C1440,Inputs!$A$5:$A$132,0))</f>
        <v/>
      </c>
      <c r="E1440" s="35">
        <f>INDEX(Inputs!$Z$5:$Z$132,MATCH($B1440&amp;"|"&amp;$C1440,Inputs!$A$5:$A$132,0))</f>
        <v/>
      </c>
      <c r="F1440" s="35">
        <f>INDEX(Inputs!$AA$5:$AA$132,MATCH($B1440&amp;"|"&amp;$C1440,Inputs!$A$5:$A$132,0))</f>
        <v/>
      </c>
      <c r="G1440" s="39" t="n"/>
      <c r="H1440" s="14">
        <f>INDEX(VarLab,MATCH($A1440,VarKey,0))&amp;INDEX(MemLab,MATCH($C1440&amp;"|"&amp;$B1440,MemKey,0))</f>
        <v/>
      </c>
      <c r="I1440" s="14">
        <f>INDEX(VarUnit,MATCH($A1440,VarKey,0))</f>
        <v/>
      </c>
      <c r="J1440" s="14">
        <f>INDEX(VarSrc,MATCH($A1440,VarKey,0))</f>
        <v/>
      </c>
      <c r="K1440" s="11">
        <f>CodePrefix&amp;$A1440&amp;IF($C1440="","","."&amp;$C1440&amp;"."&amp;$B1440)&amp;INDEX(VarEnd,MATCH($A1440,VarKey,0))&amp;K$5</f>
        <v/>
      </c>
      <c r="L1440" s="40">
        <f>$D1440*($E1440*(L$321-L$322)+$F1440*(L$324-L$325))</f>
        <v/>
      </c>
      <c r="M1440" s="35">
        <f>$D1440*($E1440*(M$321-M$322)+$F1440*(M$324-M$325))</f>
        <v/>
      </c>
      <c r="N1440" s="35">
        <f>$D1440*($E1440*(N$321-N$322)+$F1440*(N$324-N$325))</f>
        <v/>
      </c>
      <c r="O1440" s="35">
        <f>$D1440*($E1440*(O$321-O$322)+$F1440*(O$324-O$325))</f>
        <v/>
      </c>
      <c r="P1440" s="35">
        <f>$D1440*($E1440*(P$321-P$322)+$F1440*(P$324-P$325))</f>
        <v/>
      </c>
      <c r="Q1440" s="35">
        <f>$D1440*($E1440*(Q$321-Q$322)+$F1440*(Q$324-Q$325))</f>
        <v/>
      </c>
      <c r="R1440" s="35">
        <f>$D1440*($E1440*(R$321-R$322)+$F1440*(R$324-R$325))</f>
        <v/>
      </c>
      <c r="S1440" s="35">
        <f>$D1440*($E1440*(S$321-S$322)+$F1440*(S$324-S$325))</f>
        <v/>
      </c>
      <c r="T1440" s="35">
        <f>$D1440*($E1440*(T$321-T$322)+$F1440*(T$324-T$325))</f>
        <v/>
      </c>
      <c r="U1440" s="35">
        <f>$D1440*($E1440*(U$321-U$322)+$F1440*(U$324-U$325))</f>
        <v/>
      </c>
      <c r="V1440" s="35">
        <f>$D1440*($E1440*(V$321-V$322)+$F1440*(V$324-V$325))</f>
        <v/>
      </c>
      <c r="W1440" s="35">
        <f>$D1440*($E1440*(W$321-W$322)+$F1440*(W$324-W$325))</f>
        <v/>
      </c>
      <c r="X1440" s="35">
        <f>$D1440*($E1440*(X$321-X$322)+$F1440*(X$324-X$325))</f>
        <v/>
      </c>
      <c r="Y1440" s="35">
        <f>$D1440*($E1440*(Y$321-Y$322)+$F1440*(Y$324-Y$325))</f>
        <v/>
      </c>
      <c r="Z1440" s="35">
        <f>$D1440*($E1440*(Z$321-Z$322)+$F1440*(Z$324-Z$325))</f>
        <v/>
      </c>
      <c r="AA1440" s="35">
        <f>$D1440*($E1440*(AA$321-AA$322)+$F1440*(AA$324-AA$325))</f>
        <v/>
      </c>
      <c r="AB1440" s="35">
        <f>$D1440*($E1440*(AB$321-AB$322)+$F1440*(AB$324-AB$325))</f>
        <v/>
      </c>
      <c r="AC1440" s="35">
        <f>$D1440*($E1440*(AC$321-AC$322)+$F1440*(AC$324-AC$325))</f>
        <v/>
      </c>
      <c r="AD1440" s="35">
        <f>$D1440*($E1440*(AD$321-AD$322)+$F1440*(AD$324-AD$325))</f>
        <v/>
      </c>
      <c r="AE1440" s="42">
        <f>XCARBON($D1440,$E1440,(AE$321-AE$322),$F1440,(AE$324-AE$325))</f>
        <v/>
      </c>
      <c r="AG1440" s="11">
        <f>CodePrefix&amp;$A1440&amp;IF($C1440="","","."&amp;$C1440&amp;"."&amp;$B1440)&amp;INDEX(VarEnd,MATCH($A1440,VarKey,0))&amp;AG$5</f>
        <v/>
      </c>
      <c r="AH1440" s="40">
        <f>$D1440*($E1440*(AH$321-AH$322)+$F1440*(AH$324-AH$325))</f>
        <v/>
      </c>
      <c r="AI1440" s="35">
        <f>$D1440*($E1440*(AI$321-AI$322)+$F1440*(AI$324-AI$325))</f>
        <v/>
      </c>
      <c r="AJ1440" s="35">
        <f>$D1440*($E1440*(AJ$321-AJ$322)+$F1440*(AJ$324-AJ$325))</f>
        <v/>
      </c>
      <c r="AK1440" s="35">
        <f>$D1440*($E1440*(AK$321-AK$322)+$F1440*(AK$324-AK$325))</f>
        <v/>
      </c>
      <c r="AL1440" s="35">
        <f>$D1440*($E1440*(AL$321-AL$322)+$F1440*(AL$324-AL$325))</f>
        <v/>
      </c>
      <c r="AM1440" s="35">
        <f>$D1440*($E1440*(AM$321-AM$322)+$F1440*(AM$324-AM$325))</f>
        <v/>
      </c>
      <c r="AN1440" s="35">
        <f>$D1440*($E1440*(AN$321-AN$322)+$F1440*(AN$324-AN$325))</f>
        <v/>
      </c>
      <c r="AO1440" s="35">
        <f>$D1440*($E1440*(AO$321-AO$322)+$F1440*(AO$324-AO$325))</f>
        <v/>
      </c>
      <c r="AP1440" s="35">
        <f>$D1440*($E1440*(AP$321-AP$322)+$F1440*(AP$324-AP$325))</f>
        <v/>
      </c>
      <c r="AQ1440" s="35">
        <f>$D1440*($E1440*(AQ$321-AQ$322)+$F1440*(AQ$324-AQ$325))</f>
        <v/>
      </c>
      <c r="AR1440" s="35">
        <f>$D1440*($E1440*(AR$321-AR$322)+$F1440*(AR$324-AR$325))</f>
        <v/>
      </c>
      <c r="AS1440" s="35">
        <f>$D1440*($E1440*(AS$321-AS$322)+$F1440*(AS$324-AS$325))</f>
        <v/>
      </c>
      <c r="AT1440" s="35">
        <f>$D1440*($E1440*(AT$321-AT$322)+$F1440*(AT$324-AT$325))</f>
        <v/>
      </c>
      <c r="AU1440" s="35">
        <f>$D1440*($E1440*(AU$321-AU$322)+$F1440*(AU$324-AU$325))</f>
        <v/>
      </c>
      <c r="AV1440" s="35">
        <f>$D1440*($E1440*(AV$321-AV$322)+$F1440*(AV$324-AV$325))</f>
        <v/>
      </c>
      <c r="AW1440" s="35">
        <f>$D1440*($E1440*(AW$321-AW$322)+$F1440*(AW$324-AW$325))</f>
        <v/>
      </c>
      <c r="AX1440" s="35">
        <f>$D1440*($E1440*(AX$321-AX$322)+$F1440*(AX$324-AX$325))</f>
        <v/>
      </c>
      <c r="AY1440" s="35">
        <f>$D1440*($E1440*(AY$321-AY$322)+$F1440*(AY$324-AY$325))</f>
        <v/>
      </c>
      <c r="AZ1440" s="35">
        <f>$D1440*($E1440*(AZ$321-AZ$322)+$F1440*(AZ$324-AZ$325))</f>
        <v/>
      </c>
      <c r="BA1440" s="42">
        <f>XCARBON($D1440,$E1440,(BA$321-BA$322),$F1440,(BA$324-BA$325))</f>
        <v/>
      </c>
    </row>
    <row r="1441" hidden="1" outlineLevel="2">
      <c r="A1441" s="14" t="inlineStr">
        <is>
          <t>xcpd</t>
        </is>
      </c>
      <c r="B1441" s="14" t="inlineStr">
        <is>
          <t>ker</t>
        </is>
      </c>
      <c r="C1441" s="14" t="inlineStr">
        <is>
          <t>nav</t>
        </is>
      </c>
      <c r="D1441" s="35">
        <f>INDEX(Inputs!$W$5:$W$132,MATCH($B1441&amp;"|"&amp;$C1441,Inputs!$A$5:$A$132,0))</f>
        <v/>
      </c>
      <c r="E1441" s="35">
        <f>INDEX(Inputs!$Z$5:$Z$132,MATCH($B1441&amp;"|"&amp;$C1441,Inputs!$A$5:$A$132,0))</f>
        <v/>
      </c>
      <c r="F1441" s="35">
        <f>INDEX(Inputs!$AA$5:$AA$132,MATCH($B1441&amp;"|"&amp;$C1441,Inputs!$A$5:$A$132,0))</f>
        <v/>
      </c>
      <c r="G1441" s="39" t="n"/>
      <c r="H1441" s="14">
        <f>INDEX(VarLab,MATCH($A1441,VarKey,0))&amp;INDEX(MemLab,MATCH($C1441&amp;"|"&amp;$B1441,MemKey,0))</f>
        <v/>
      </c>
      <c r="I1441" s="14">
        <f>INDEX(VarUnit,MATCH($A1441,VarKey,0))</f>
        <v/>
      </c>
      <c r="J1441" s="14">
        <f>INDEX(VarSrc,MATCH($A1441,VarKey,0))</f>
        <v/>
      </c>
      <c r="K1441" s="11">
        <f>CodePrefix&amp;$A1441&amp;IF($C1441="","","."&amp;$C1441&amp;"."&amp;$B1441)&amp;INDEX(VarEnd,MATCH($A1441,VarKey,0))&amp;K$5</f>
        <v/>
      </c>
      <c r="L1441" s="40">
        <f>$D1441*($E1441*(L$321-L$322)+$F1441*(L$324-L$325))</f>
        <v/>
      </c>
      <c r="M1441" s="35">
        <f>$D1441*($E1441*(M$321-M$322)+$F1441*(M$324-M$325))</f>
        <v/>
      </c>
      <c r="N1441" s="35">
        <f>$D1441*($E1441*(N$321-N$322)+$F1441*(N$324-N$325))</f>
        <v/>
      </c>
      <c r="O1441" s="35">
        <f>$D1441*($E1441*(O$321-O$322)+$F1441*(O$324-O$325))</f>
        <v/>
      </c>
      <c r="P1441" s="35">
        <f>$D1441*($E1441*(P$321-P$322)+$F1441*(P$324-P$325))</f>
        <v/>
      </c>
      <c r="Q1441" s="35">
        <f>$D1441*($E1441*(Q$321-Q$322)+$F1441*(Q$324-Q$325))</f>
        <v/>
      </c>
      <c r="R1441" s="35">
        <f>$D1441*($E1441*(R$321-R$322)+$F1441*(R$324-R$325))</f>
        <v/>
      </c>
      <c r="S1441" s="35">
        <f>$D1441*($E1441*(S$321-S$322)+$F1441*(S$324-S$325))</f>
        <v/>
      </c>
      <c r="T1441" s="35">
        <f>$D1441*($E1441*(T$321-T$322)+$F1441*(T$324-T$325))</f>
        <v/>
      </c>
      <c r="U1441" s="35">
        <f>$D1441*($E1441*(U$321-U$322)+$F1441*(U$324-U$325))</f>
        <v/>
      </c>
      <c r="V1441" s="35">
        <f>$D1441*($E1441*(V$321-V$322)+$F1441*(V$324-V$325))</f>
        <v/>
      </c>
      <c r="W1441" s="35">
        <f>$D1441*($E1441*(W$321-W$322)+$F1441*(W$324-W$325))</f>
        <v/>
      </c>
      <c r="X1441" s="35">
        <f>$D1441*($E1441*(X$321-X$322)+$F1441*(X$324-X$325))</f>
        <v/>
      </c>
      <c r="Y1441" s="35">
        <f>$D1441*($E1441*(Y$321-Y$322)+$F1441*(Y$324-Y$325))</f>
        <v/>
      </c>
      <c r="Z1441" s="35">
        <f>$D1441*($E1441*(Z$321-Z$322)+$F1441*(Z$324-Z$325))</f>
        <v/>
      </c>
      <c r="AA1441" s="35">
        <f>$D1441*($E1441*(AA$321-AA$322)+$F1441*(AA$324-AA$325))</f>
        <v/>
      </c>
      <c r="AB1441" s="35">
        <f>$D1441*($E1441*(AB$321-AB$322)+$F1441*(AB$324-AB$325))</f>
        <v/>
      </c>
      <c r="AC1441" s="35">
        <f>$D1441*($E1441*(AC$321-AC$322)+$F1441*(AC$324-AC$325))</f>
        <v/>
      </c>
      <c r="AD1441" s="35">
        <f>$D1441*($E1441*(AD$321-AD$322)+$F1441*(AD$324-AD$325))</f>
        <v/>
      </c>
      <c r="AE1441" s="42">
        <f>XCARBON($D1441,$E1441,(AE$321-AE$322),$F1441,(AE$324-AE$325))</f>
        <v/>
      </c>
      <c r="AG1441" s="11">
        <f>CodePrefix&amp;$A1441&amp;IF($C1441="","","."&amp;$C1441&amp;"."&amp;$B1441)&amp;INDEX(VarEnd,MATCH($A1441,VarKey,0))&amp;AG$5</f>
        <v/>
      </c>
      <c r="AH1441" s="40">
        <f>$D1441*($E1441*(AH$321-AH$322)+$F1441*(AH$324-AH$325))</f>
        <v/>
      </c>
      <c r="AI1441" s="35">
        <f>$D1441*($E1441*(AI$321-AI$322)+$F1441*(AI$324-AI$325))</f>
        <v/>
      </c>
      <c r="AJ1441" s="35">
        <f>$D1441*($E1441*(AJ$321-AJ$322)+$F1441*(AJ$324-AJ$325))</f>
        <v/>
      </c>
      <c r="AK1441" s="35">
        <f>$D1441*($E1441*(AK$321-AK$322)+$F1441*(AK$324-AK$325))</f>
        <v/>
      </c>
      <c r="AL1441" s="35">
        <f>$D1441*($E1441*(AL$321-AL$322)+$F1441*(AL$324-AL$325))</f>
        <v/>
      </c>
      <c r="AM1441" s="35">
        <f>$D1441*($E1441*(AM$321-AM$322)+$F1441*(AM$324-AM$325))</f>
        <v/>
      </c>
      <c r="AN1441" s="35">
        <f>$D1441*($E1441*(AN$321-AN$322)+$F1441*(AN$324-AN$325))</f>
        <v/>
      </c>
      <c r="AO1441" s="35">
        <f>$D1441*($E1441*(AO$321-AO$322)+$F1441*(AO$324-AO$325))</f>
        <v/>
      </c>
      <c r="AP1441" s="35">
        <f>$D1441*($E1441*(AP$321-AP$322)+$F1441*(AP$324-AP$325))</f>
        <v/>
      </c>
      <c r="AQ1441" s="35">
        <f>$D1441*($E1441*(AQ$321-AQ$322)+$F1441*(AQ$324-AQ$325))</f>
        <v/>
      </c>
      <c r="AR1441" s="35">
        <f>$D1441*($E1441*(AR$321-AR$322)+$F1441*(AR$324-AR$325))</f>
        <v/>
      </c>
      <c r="AS1441" s="35">
        <f>$D1441*($E1441*(AS$321-AS$322)+$F1441*(AS$324-AS$325))</f>
        <v/>
      </c>
      <c r="AT1441" s="35">
        <f>$D1441*($E1441*(AT$321-AT$322)+$F1441*(AT$324-AT$325))</f>
        <v/>
      </c>
      <c r="AU1441" s="35">
        <f>$D1441*($E1441*(AU$321-AU$322)+$F1441*(AU$324-AU$325))</f>
        <v/>
      </c>
      <c r="AV1441" s="35">
        <f>$D1441*($E1441*(AV$321-AV$322)+$F1441*(AV$324-AV$325))</f>
        <v/>
      </c>
      <c r="AW1441" s="35">
        <f>$D1441*($E1441*(AW$321-AW$322)+$F1441*(AW$324-AW$325))</f>
        <v/>
      </c>
      <c r="AX1441" s="35">
        <f>$D1441*($E1441*(AX$321-AX$322)+$F1441*(AX$324-AX$325))</f>
        <v/>
      </c>
      <c r="AY1441" s="35">
        <f>$D1441*($E1441*(AY$321-AY$322)+$F1441*(AY$324-AY$325))</f>
        <v/>
      </c>
      <c r="AZ1441" s="35">
        <f>$D1441*($E1441*(AZ$321-AZ$322)+$F1441*(AZ$324-AZ$325))</f>
        <v/>
      </c>
      <c r="BA1441" s="42">
        <f>XCARBON($D1441,$E1441,(BA$321-BA$322),$F1441,(BA$324-BA$325))</f>
        <v/>
      </c>
    </row>
    <row r="1442" hidden="1" outlineLevel="2">
      <c r="A1442" s="14" t="inlineStr">
        <is>
          <t>xcpd</t>
        </is>
      </c>
      <c r="B1442" s="14" t="inlineStr">
        <is>
          <t>oop</t>
        </is>
      </c>
      <c r="C1442" s="14" t="inlineStr">
        <is>
          <t>nav</t>
        </is>
      </c>
      <c r="D1442" s="35">
        <f>INDEX(Inputs!$W$5:$W$132,MATCH($B1442&amp;"|"&amp;$C1442,Inputs!$A$5:$A$132,0))</f>
        <v/>
      </c>
      <c r="E1442" s="35">
        <f>INDEX(Inputs!$Z$5:$Z$132,MATCH($B1442&amp;"|"&amp;$C1442,Inputs!$A$5:$A$132,0))</f>
        <v/>
      </c>
      <c r="F1442" s="35">
        <f>INDEX(Inputs!$AA$5:$AA$132,MATCH($B1442&amp;"|"&amp;$C1442,Inputs!$A$5:$A$132,0))</f>
        <v/>
      </c>
      <c r="G1442" s="39" t="n"/>
      <c r="H1442" s="14">
        <f>INDEX(VarLab,MATCH($A1442,VarKey,0))&amp;INDEX(MemLab,MATCH($C1442&amp;"|"&amp;$B1442,MemKey,0))</f>
        <v/>
      </c>
      <c r="I1442" s="14">
        <f>INDEX(VarUnit,MATCH($A1442,VarKey,0))</f>
        <v/>
      </c>
      <c r="J1442" s="14">
        <f>INDEX(VarSrc,MATCH($A1442,VarKey,0))</f>
        <v/>
      </c>
      <c r="K1442" s="11">
        <f>CodePrefix&amp;$A1442&amp;IF($C1442="","","."&amp;$C1442&amp;"."&amp;$B1442)&amp;INDEX(VarEnd,MATCH($A1442,VarKey,0))&amp;K$5</f>
        <v/>
      </c>
      <c r="L1442" s="40">
        <f>$D1442*($E1442*(L$321-L$322)+$F1442*(L$324-L$325))</f>
        <v/>
      </c>
      <c r="M1442" s="35">
        <f>$D1442*($E1442*(M$321-M$322)+$F1442*(M$324-M$325))</f>
        <v/>
      </c>
      <c r="N1442" s="35">
        <f>$D1442*($E1442*(N$321-N$322)+$F1442*(N$324-N$325))</f>
        <v/>
      </c>
      <c r="O1442" s="35">
        <f>$D1442*($E1442*(O$321-O$322)+$F1442*(O$324-O$325))</f>
        <v/>
      </c>
      <c r="P1442" s="35">
        <f>$D1442*($E1442*(P$321-P$322)+$F1442*(P$324-P$325))</f>
        <v/>
      </c>
      <c r="Q1442" s="35">
        <f>$D1442*($E1442*(Q$321-Q$322)+$F1442*(Q$324-Q$325))</f>
        <v/>
      </c>
      <c r="R1442" s="35">
        <f>$D1442*($E1442*(R$321-R$322)+$F1442*(R$324-R$325))</f>
        <v/>
      </c>
      <c r="S1442" s="35">
        <f>$D1442*($E1442*(S$321-S$322)+$F1442*(S$324-S$325))</f>
        <v/>
      </c>
      <c r="T1442" s="35">
        <f>$D1442*($E1442*(T$321-T$322)+$F1442*(T$324-T$325))</f>
        <v/>
      </c>
      <c r="U1442" s="35">
        <f>$D1442*($E1442*(U$321-U$322)+$F1442*(U$324-U$325))</f>
        <v/>
      </c>
      <c r="V1442" s="35">
        <f>$D1442*($E1442*(V$321-V$322)+$F1442*(V$324-V$325))</f>
        <v/>
      </c>
      <c r="W1442" s="35">
        <f>$D1442*($E1442*(W$321-W$322)+$F1442*(W$324-W$325))</f>
        <v/>
      </c>
      <c r="X1442" s="35">
        <f>$D1442*($E1442*(X$321-X$322)+$F1442*(X$324-X$325))</f>
        <v/>
      </c>
      <c r="Y1442" s="35">
        <f>$D1442*($E1442*(Y$321-Y$322)+$F1442*(Y$324-Y$325))</f>
        <v/>
      </c>
      <c r="Z1442" s="35">
        <f>$D1442*($E1442*(Z$321-Z$322)+$F1442*(Z$324-Z$325))</f>
        <v/>
      </c>
      <c r="AA1442" s="35">
        <f>$D1442*($E1442*(AA$321-AA$322)+$F1442*(AA$324-AA$325))</f>
        <v/>
      </c>
      <c r="AB1442" s="35">
        <f>$D1442*($E1442*(AB$321-AB$322)+$F1442*(AB$324-AB$325))</f>
        <v/>
      </c>
      <c r="AC1442" s="35">
        <f>$D1442*($E1442*(AC$321-AC$322)+$F1442*(AC$324-AC$325))</f>
        <v/>
      </c>
      <c r="AD1442" s="35">
        <f>$D1442*($E1442*(AD$321-AD$322)+$F1442*(AD$324-AD$325))</f>
        <v/>
      </c>
      <c r="AE1442" s="42">
        <f>XCARBON($D1442,$E1442,(AE$321-AE$322),$F1442,(AE$324-AE$325))</f>
        <v/>
      </c>
      <c r="AG1442" s="11">
        <f>CodePrefix&amp;$A1442&amp;IF($C1442="","","."&amp;$C1442&amp;"."&amp;$B1442)&amp;INDEX(VarEnd,MATCH($A1442,VarKey,0))&amp;AG$5</f>
        <v/>
      </c>
      <c r="AH1442" s="40">
        <f>$D1442*($E1442*(AH$321-AH$322)+$F1442*(AH$324-AH$325))</f>
        <v/>
      </c>
      <c r="AI1442" s="35">
        <f>$D1442*($E1442*(AI$321-AI$322)+$F1442*(AI$324-AI$325))</f>
        <v/>
      </c>
      <c r="AJ1442" s="35">
        <f>$D1442*($E1442*(AJ$321-AJ$322)+$F1442*(AJ$324-AJ$325))</f>
        <v/>
      </c>
      <c r="AK1442" s="35">
        <f>$D1442*($E1442*(AK$321-AK$322)+$F1442*(AK$324-AK$325))</f>
        <v/>
      </c>
      <c r="AL1442" s="35">
        <f>$D1442*($E1442*(AL$321-AL$322)+$F1442*(AL$324-AL$325))</f>
        <v/>
      </c>
      <c r="AM1442" s="35">
        <f>$D1442*($E1442*(AM$321-AM$322)+$F1442*(AM$324-AM$325))</f>
        <v/>
      </c>
      <c r="AN1442" s="35">
        <f>$D1442*($E1442*(AN$321-AN$322)+$F1442*(AN$324-AN$325))</f>
        <v/>
      </c>
      <c r="AO1442" s="35">
        <f>$D1442*($E1442*(AO$321-AO$322)+$F1442*(AO$324-AO$325))</f>
        <v/>
      </c>
      <c r="AP1442" s="35">
        <f>$D1442*($E1442*(AP$321-AP$322)+$F1442*(AP$324-AP$325))</f>
        <v/>
      </c>
      <c r="AQ1442" s="35">
        <f>$D1442*($E1442*(AQ$321-AQ$322)+$F1442*(AQ$324-AQ$325))</f>
        <v/>
      </c>
      <c r="AR1442" s="35">
        <f>$D1442*($E1442*(AR$321-AR$322)+$F1442*(AR$324-AR$325))</f>
        <v/>
      </c>
      <c r="AS1442" s="35">
        <f>$D1442*($E1442*(AS$321-AS$322)+$F1442*(AS$324-AS$325))</f>
        <v/>
      </c>
      <c r="AT1442" s="35">
        <f>$D1442*($E1442*(AT$321-AT$322)+$F1442*(AT$324-AT$325))</f>
        <v/>
      </c>
      <c r="AU1442" s="35">
        <f>$D1442*($E1442*(AU$321-AU$322)+$F1442*(AU$324-AU$325))</f>
        <v/>
      </c>
      <c r="AV1442" s="35">
        <f>$D1442*($E1442*(AV$321-AV$322)+$F1442*(AV$324-AV$325))</f>
        <v/>
      </c>
      <c r="AW1442" s="35">
        <f>$D1442*($E1442*(AW$321-AW$322)+$F1442*(AW$324-AW$325))</f>
        <v/>
      </c>
      <c r="AX1442" s="35">
        <f>$D1442*($E1442*(AX$321-AX$322)+$F1442*(AX$324-AX$325))</f>
        <v/>
      </c>
      <c r="AY1442" s="35">
        <f>$D1442*($E1442*(AY$321-AY$322)+$F1442*(AY$324-AY$325))</f>
        <v/>
      </c>
      <c r="AZ1442" s="35">
        <f>$D1442*($E1442*(AZ$321-AZ$322)+$F1442*(AZ$324-AZ$325))</f>
        <v/>
      </c>
      <c r="BA1442" s="42">
        <f>XCARBON($D1442,$E1442,(BA$321-BA$322),$F1442,(BA$324-BA$325))</f>
        <v/>
      </c>
    </row>
    <row r="1443" hidden="1" outlineLevel="2">
      <c r="A1443" s="14" t="inlineStr">
        <is>
          <t>xcpd</t>
        </is>
      </c>
      <c r="B1443" s="14" t="inlineStr">
        <is>
          <t>bio</t>
        </is>
      </c>
      <c r="C1443" s="14" t="inlineStr">
        <is>
          <t>nav</t>
        </is>
      </c>
      <c r="D1443" s="35">
        <f>INDEX(Inputs!$W$5:$W$132,MATCH($B1443&amp;"|"&amp;$C1443,Inputs!$A$5:$A$132,0))</f>
        <v/>
      </c>
      <c r="E1443" s="35">
        <f>INDEX(Inputs!$Z$5:$Z$132,MATCH($B1443&amp;"|"&amp;$C1443,Inputs!$A$5:$A$132,0))</f>
        <v/>
      </c>
      <c r="F1443" s="35">
        <f>INDEX(Inputs!$AA$5:$AA$132,MATCH($B1443&amp;"|"&amp;$C1443,Inputs!$A$5:$A$132,0))</f>
        <v/>
      </c>
      <c r="G1443" s="39" t="n"/>
      <c r="H1443" s="14">
        <f>INDEX(VarLab,MATCH($A1443,VarKey,0))&amp;INDEX(MemLab,MATCH($C1443&amp;"|"&amp;$B1443,MemKey,0))</f>
        <v/>
      </c>
      <c r="I1443" s="14">
        <f>INDEX(VarUnit,MATCH($A1443,VarKey,0))</f>
        <v/>
      </c>
      <c r="J1443" s="14">
        <f>INDEX(VarSrc,MATCH($A1443,VarKey,0))</f>
        <v/>
      </c>
      <c r="K1443" s="11">
        <f>CodePrefix&amp;$A1443&amp;IF($C1443="","","."&amp;$C1443&amp;"."&amp;$B1443)&amp;INDEX(VarEnd,MATCH($A1443,VarKey,0))&amp;K$5</f>
        <v/>
      </c>
      <c r="L1443" s="40">
        <f>$D1443*($E1443*(L$321-L$322)+$F1443*(L$324-L$325))</f>
        <v/>
      </c>
      <c r="M1443" s="35">
        <f>$D1443*($E1443*(M$321-M$322)+$F1443*(M$324-M$325))</f>
        <v/>
      </c>
      <c r="N1443" s="35">
        <f>$D1443*($E1443*(N$321-N$322)+$F1443*(N$324-N$325))</f>
        <v/>
      </c>
      <c r="O1443" s="35">
        <f>$D1443*($E1443*(O$321-O$322)+$F1443*(O$324-O$325))</f>
        <v/>
      </c>
      <c r="P1443" s="35">
        <f>$D1443*($E1443*(P$321-P$322)+$F1443*(P$324-P$325))</f>
        <v/>
      </c>
      <c r="Q1443" s="35">
        <f>$D1443*($E1443*(Q$321-Q$322)+$F1443*(Q$324-Q$325))</f>
        <v/>
      </c>
      <c r="R1443" s="35">
        <f>$D1443*($E1443*(R$321-R$322)+$F1443*(R$324-R$325))</f>
        <v/>
      </c>
      <c r="S1443" s="35">
        <f>$D1443*($E1443*(S$321-S$322)+$F1443*(S$324-S$325))</f>
        <v/>
      </c>
      <c r="T1443" s="35">
        <f>$D1443*($E1443*(T$321-T$322)+$F1443*(T$324-T$325))</f>
        <v/>
      </c>
      <c r="U1443" s="35">
        <f>$D1443*($E1443*(U$321-U$322)+$F1443*(U$324-U$325))</f>
        <v/>
      </c>
      <c r="V1443" s="35">
        <f>$D1443*($E1443*(V$321-V$322)+$F1443*(V$324-V$325))</f>
        <v/>
      </c>
      <c r="W1443" s="35">
        <f>$D1443*($E1443*(W$321-W$322)+$F1443*(W$324-W$325))</f>
        <v/>
      </c>
      <c r="X1443" s="35">
        <f>$D1443*($E1443*(X$321-X$322)+$F1443*(X$324-X$325))</f>
        <v/>
      </c>
      <c r="Y1443" s="35">
        <f>$D1443*($E1443*(Y$321-Y$322)+$F1443*(Y$324-Y$325))</f>
        <v/>
      </c>
      <c r="Z1443" s="35">
        <f>$D1443*($E1443*(Z$321-Z$322)+$F1443*(Z$324-Z$325))</f>
        <v/>
      </c>
      <c r="AA1443" s="35">
        <f>$D1443*($E1443*(AA$321-AA$322)+$F1443*(AA$324-AA$325))</f>
        <v/>
      </c>
      <c r="AB1443" s="35">
        <f>$D1443*($E1443*(AB$321-AB$322)+$F1443*(AB$324-AB$325))</f>
        <v/>
      </c>
      <c r="AC1443" s="35">
        <f>$D1443*($E1443*(AC$321-AC$322)+$F1443*(AC$324-AC$325))</f>
        <v/>
      </c>
      <c r="AD1443" s="35">
        <f>$D1443*($E1443*(AD$321-AD$322)+$F1443*(AD$324-AD$325))</f>
        <v/>
      </c>
      <c r="AE1443" s="42">
        <f>XCARBON($D1443,$E1443,(AE$321-AE$322),$F1443,(AE$324-AE$325))</f>
        <v/>
      </c>
      <c r="AG1443" s="11">
        <f>CodePrefix&amp;$A1443&amp;IF($C1443="","","."&amp;$C1443&amp;"."&amp;$B1443)&amp;INDEX(VarEnd,MATCH($A1443,VarKey,0))&amp;AG$5</f>
        <v/>
      </c>
      <c r="AH1443" s="40">
        <f>$D1443*($E1443*(AH$321-AH$322)+$F1443*(AH$324-AH$325))</f>
        <v/>
      </c>
      <c r="AI1443" s="35">
        <f>$D1443*($E1443*(AI$321-AI$322)+$F1443*(AI$324-AI$325))</f>
        <v/>
      </c>
      <c r="AJ1443" s="35">
        <f>$D1443*($E1443*(AJ$321-AJ$322)+$F1443*(AJ$324-AJ$325))</f>
        <v/>
      </c>
      <c r="AK1443" s="35">
        <f>$D1443*($E1443*(AK$321-AK$322)+$F1443*(AK$324-AK$325))</f>
        <v/>
      </c>
      <c r="AL1443" s="35">
        <f>$D1443*($E1443*(AL$321-AL$322)+$F1443*(AL$324-AL$325))</f>
        <v/>
      </c>
      <c r="AM1443" s="35">
        <f>$D1443*($E1443*(AM$321-AM$322)+$F1443*(AM$324-AM$325))</f>
        <v/>
      </c>
      <c r="AN1443" s="35">
        <f>$D1443*($E1443*(AN$321-AN$322)+$F1443*(AN$324-AN$325))</f>
        <v/>
      </c>
      <c r="AO1443" s="35">
        <f>$D1443*($E1443*(AO$321-AO$322)+$F1443*(AO$324-AO$325))</f>
        <v/>
      </c>
      <c r="AP1443" s="35">
        <f>$D1443*($E1443*(AP$321-AP$322)+$F1443*(AP$324-AP$325))</f>
        <v/>
      </c>
      <c r="AQ1443" s="35">
        <f>$D1443*($E1443*(AQ$321-AQ$322)+$F1443*(AQ$324-AQ$325))</f>
        <v/>
      </c>
      <c r="AR1443" s="35">
        <f>$D1443*($E1443*(AR$321-AR$322)+$F1443*(AR$324-AR$325))</f>
        <v/>
      </c>
      <c r="AS1443" s="35">
        <f>$D1443*($E1443*(AS$321-AS$322)+$F1443*(AS$324-AS$325))</f>
        <v/>
      </c>
      <c r="AT1443" s="35">
        <f>$D1443*($E1443*(AT$321-AT$322)+$F1443*(AT$324-AT$325))</f>
        <v/>
      </c>
      <c r="AU1443" s="35">
        <f>$D1443*($E1443*(AU$321-AU$322)+$F1443*(AU$324-AU$325))</f>
        <v/>
      </c>
      <c r="AV1443" s="35">
        <f>$D1443*($E1443*(AV$321-AV$322)+$F1443*(AV$324-AV$325))</f>
        <v/>
      </c>
      <c r="AW1443" s="35">
        <f>$D1443*($E1443*(AW$321-AW$322)+$F1443*(AW$324-AW$325))</f>
        <v/>
      </c>
      <c r="AX1443" s="35">
        <f>$D1443*($E1443*(AX$321-AX$322)+$F1443*(AX$324-AX$325))</f>
        <v/>
      </c>
      <c r="AY1443" s="35">
        <f>$D1443*($E1443*(AY$321-AY$322)+$F1443*(AY$324-AY$325))</f>
        <v/>
      </c>
      <c r="AZ1443" s="35">
        <f>$D1443*($E1443*(AZ$321-AZ$322)+$F1443*(AZ$324-AZ$325))</f>
        <v/>
      </c>
      <c r="BA1443" s="42">
        <f>XCARBON($D1443,$E1443,(BA$321-BA$322),$F1443,(BA$324-BA$325))</f>
        <v/>
      </c>
    </row>
    <row r="1444" hidden="1" outlineLevel="2"/>
    <row r="1445" hidden="1" outlineLevel="2">
      <c r="A1445" s="14" t="inlineStr">
        <is>
          <t>atp</t>
        </is>
      </c>
      <c r="B1445" s="14" t="inlineStr">
        <is>
          <t>coa</t>
        </is>
      </c>
      <c r="C1445" s="14" t="inlineStr">
        <is>
          <t>nav</t>
        </is>
      </c>
      <c r="D1445" s="35">
        <f>INDEX(Inputs!$U$5:$U$132,MATCH($B1445&amp;"|"&amp;$C1445,Inputs!$A$5:$A$132,0))</f>
        <v/>
      </c>
      <c r="E1445" s="35">
        <f>INDEX(Inputs!$V$5:$V$132,MATCH($B1445&amp;"|"&amp;$C1445,Inputs!$A$5:$A$132,0))</f>
        <v/>
      </c>
      <c r="F1445" s="39" t="n"/>
      <c r="G1445" s="39" t="n"/>
      <c r="H1445" s="14">
        <f>INDEX(VarLab,MATCH($A1445,VarKey,0))&amp;INDEX(MemLab,MATCH($C1445&amp;"|"&amp;$B1445,MemKey,0))</f>
        <v/>
      </c>
      <c r="I1445" s="14">
        <f>INDEX(VarUnit,MATCH($A1445,VarKey,0))</f>
        <v/>
      </c>
      <c r="J1445" s="14">
        <f>INDEX(VarSrc,MATCH($A1445,VarKey,0))</f>
        <v/>
      </c>
      <c r="K1445" s="11">
        <f>CodePrefix&amp;$A1445&amp;IF($C1445="","","."&amp;$C1445&amp;"."&amp;$B1445)&amp;INDEX(VarEnd,MATCH($A1445,VarKey,0))&amp;K$5</f>
        <v/>
      </c>
      <c r="L1445" s="40">
        <f>MAX(INDEX(L$381:L$392,$D1445)+(L1418+L1436)*(1+$E1445),0.01)</f>
        <v/>
      </c>
      <c r="M1445" s="35">
        <f>MAX(INDEX(M$381:M$392,$D1445)+(M1418+M1436)*(1+$E1445),0.01)</f>
        <v/>
      </c>
      <c r="N1445" s="35">
        <f>MAX(INDEX(N$381:N$392,$D1445)+(N1418+N1436)*(1+$E1445),0.01)</f>
        <v/>
      </c>
      <c r="O1445" s="35">
        <f>MAX(INDEX(O$381:O$392,$D1445)+(O1418+O1436)*(1+$E1445),0.01)</f>
        <v/>
      </c>
      <c r="P1445" s="35">
        <f>MAX(INDEX(P$381:P$392,$D1445)+(P1418+P1436)*(1+$E1445),0.01)</f>
        <v/>
      </c>
      <c r="Q1445" s="35">
        <f>MAX(INDEX(Q$381:Q$392,$D1445)+(Q1418+Q1436)*(1+$E1445),0.01)</f>
        <v/>
      </c>
      <c r="R1445" s="35">
        <f>MAX(INDEX(R$381:R$392,$D1445)+(R1418+R1436)*(1+$E1445),0.01)</f>
        <v/>
      </c>
      <c r="S1445" s="35">
        <f>MAX(INDEX(S$381:S$392,$D1445)+(S1418+S1436)*(1+$E1445),0.01)</f>
        <v/>
      </c>
      <c r="T1445" s="35">
        <f>MAX(INDEX(T$381:T$392,$D1445)+(T1418+T1436)*(1+$E1445),0.01)</f>
        <v/>
      </c>
      <c r="U1445" s="35">
        <f>MAX(INDEX(U$381:U$392,$D1445)+(U1418+U1436)*(1+$E1445),0.01)</f>
        <v/>
      </c>
      <c r="V1445" s="35">
        <f>MAX(INDEX(V$381:V$392,$D1445)+(V1418+V1436)*(1+$E1445),0.01)</f>
        <v/>
      </c>
      <c r="W1445" s="35">
        <f>MAX(INDEX(W$381:W$392,$D1445)+(W1418+W1436)*(1+$E1445),0.01)</f>
        <v/>
      </c>
      <c r="X1445" s="35">
        <f>MAX(INDEX(X$381:X$392,$D1445)+(X1418+X1436)*(1+$E1445),0.01)</f>
        <v/>
      </c>
      <c r="Y1445" s="35">
        <f>MAX(INDEX(Y$381:Y$392,$D1445)+(Y1418+Y1436)*(1+$E1445),0.01)</f>
        <v/>
      </c>
      <c r="Z1445" s="35">
        <f>MAX(INDEX(Z$381:Z$392,$D1445)+(Z1418+Z1436)*(1+$E1445),0.01)</f>
        <v/>
      </c>
      <c r="AA1445" s="35">
        <f>MAX(INDEX(AA$381:AA$392,$D1445)+(AA1418+AA1436)*(1+$E1445),0.01)</f>
        <v/>
      </c>
      <c r="AB1445" s="35">
        <f>MAX(INDEX(AB$381:AB$392,$D1445)+(AB1418+AB1436)*(1+$E1445),0.01)</f>
        <v/>
      </c>
      <c r="AC1445" s="35">
        <f>MAX(INDEX(AC$381:AC$392,$D1445)+(AC1418+AC1436)*(1+$E1445),0.01)</f>
        <v/>
      </c>
      <c r="AD1445" s="35">
        <f>MAX(INDEX(AD$381:AD$392,$D1445)+(AD1418+AD1436)*(1+$E1445),0.01)</f>
        <v/>
      </c>
      <c r="AE1445" s="42">
        <f>POSTTAX(INDEX(AE$381:AE$392,$D1445),AE1418+AE1436,$E1445)</f>
        <v/>
      </c>
      <c r="AG1445" s="11">
        <f>CodePrefix&amp;$A1445&amp;IF($C1445="","","."&amp;$C1445&amp;"."&amp;$B1445)&amp;INDEX(VarEnd,MATCH($A1445,VarKey,0))&amp;AG$5</f>
        <v/>
      </c>
      <c r="AH1445" s="40">
        <f>MAX(INDEX(AH$381:AH$392,$D1445)+(AH1418+AH1436)*(1+$E1445),0.01)</f>
        <v/>
      </c>
      <c r="AI1445" s="35">
        <f>MAX(INDEX(AI$381:AI$392,$D1445)+(AI1418+AI1436)*(1+$E1445),0.01)</f>
        <v/>
      </c>
      <c r="AJ1445" s="35">
        <f>MAX(INDEX(AJ$381:AJ$392,$D1445)+(AJ1418+AJ1436)*(1+$E1445),0.01)</f>
        <v/>
      </c>
      <c r="AK1445" s="35">
        <f>MAX(INDEX(AK$381:AK$392,$D1445)+(AK1418+AK1436)*(1+$E1445),0.01)</f>
        <v/>
      </c>
      <c r="AL1445" s="35">
        <f>MAX(INDEX(AL$381:AL$392,$D1445)+(AL1418+AL1436)*(1+$E1445),0.01)</f>
        <v/>
      </c>
      <c r="AM1445" s="35">
        <f>MAX(INDEX(AM$381:AM$392,$D1445)+(AM1418+AM1436)*(1+$E1445),0.01)</f>
        <v/>
      </c>
      <c r="AN1445" s="35">
        <f>MAX(INDEX(AN$381:AN$392,$D1445)+(AN1418+AN1436)*(1+$E1445),0.01)</f>
        <v/>
      </c>
      <c r="AO1445" s="35">
        <f>MAX(INDEX(AO$381:AO$392,$D1445)+(AO1418+AO1436)*(1+$E1445),0.01)</f>
        <v/>
      </c>
      <c r="AP1445" s="35">
        <f>MAX(INDEX(AP$381:AP$392,$D1445)+(AP1418+AP1436)*(1+$E1445),0.01)</f>
        <v/>
      </c>
      <c r="AQ1445" s="35">
        <f>MAX(INDEX(AQ$381:AQ$392,$D1445)+(AQ1418+AQ1436)*(1+$E1445),0.01)</f>
        <v/>
      </c>
      <c r="AR1445" s="35">
        <f>MAX(INDEX(AR$381:AR$392,$D1445)+(AR1418+AR1436)*(1+$E1445),0.01)</f>
        <v/>
      </c>
      <c r="AS1445" s="35">
        <f>MAX(INDEX(AS$381:AS$392,$D1445)+(AS1418+AS1436)*(1+$E1445),0.01)</f>
        <v/>
      </c>
      <c r="AT1445" s="35">
        <f>MAX(INDEX(AT$381:AT$392,$D1445)+(AT1418+AT1436)*(1+$E1445),0.01)</f>
        <v/>
      </c>
      <c r="AU1445" s="35">
        <f>MAX(INDEX(AU$381:AU$392,$D1445)+(AU1418+AU1436)*(1+$E1445),0.01)</f>
        <v/>
      </c>
      <c r="AV1445" s="35">
        <f>MAX(INDEX(AV$381:AV$392,$D1445)+(AV1418+AV1436)*(1+$E1445),0.01)</f>
        <v/>
      </c>
      <c r="AW1445" s="35">
        <f>MAX(INDEX(AW$381:AW$392,$D1445)+(AW1418+AW1436)*(1+$E1445),0.01)</f>
        <v/>
      </c>
      <c r="AX1445" s="35">
        <f>MAX(INDEX(AX$381:AX$392,$D1445)+(AX1418+AX1436)*(1+$E1445),0.01)</f>
        <v/>
      </c>
      <c r="AY1445" s="35">
        <f>MAX(INDEX(AY$381:AY$392,$D1445)+(AY1418+AY1436)*(1+$E1445),0.01)</f>
        <v/>
      </c>
      <c r="AZ1445" s="35">
        <f>MAX(INDEX(AZ$381:AZ$392,$D1445)+(AZ1418+AZ1436)*(1+$E1445),0.01)</f>
        <v/>
      </c>
      <c r="BA1445" s="42">
        <f>POSTTAX(INDEX(BA$381:BA$392,$D1445),BA1418+BA1436,$E1445)</f>
        <v/>
      </c>
    </row>
    <row r="1446" hidden="1" outlineLevel="2">
      <c r="A1446" s="14" t="inlineStr">
        <is>
          <t>atp</t>
        </is>
      </c>
      <c r="B1446" s="14" t="inlineStr">
        <is>
          <t>nga</t>
        </is>
      </c>
      <c r="C1446" s="14" t="inlineStr">
        <is>
          <t>nav</t>
        </is>
      </c>
      <c r="D1446" s="35">
        <f>INDEX(Inputs!$U$5:$U$132,MATCH($B1446&amp;"|"&amp;$C1446,Inputs!$A$5:$A$132,0))</f>
        <v/>
      </c>
      <c r="E1446" s="35">
        <f>INDEX(Inputs!$V$5:$V$132,MATCH($B1446&amp;"|"&amp;$C1446,Inputs!$A$5:$A$132,0))</f>
        <v/>
      </c>
      <c r="F1446" s="39" t="n"/>
      <c r="G1446" s="39" t="n"/>
      <c r="H1446" s="14">
        <f>INDEX(VarLab,MATCH($A1446,VarKey,0))&amp;INDEX(MemLab,MATCH($C1446&amp;"|"&amp;$B1446,MemKey,0))</f>
        <v/>
      </c>
      <c r="I1446" s="14">
        <f>INDEX(VarUnit,MATCH($A1446,VarKey,0))</f>
        <v/>
      </c>
      <c r="J1446" s="14">
        <f>INDEX(VarSrc,MATCH($A1446,VarKey,0))</f>
        <v/>
      </c>
      <c r="K1446" s="11">
        <f>CodePrefix&amp;$A1446&amp;IF($C1446="","","."&amp;$C1446&amp;"."&amp;$B1446)&amp;INDEX(VarEnd,MATCH($A1446,VarKey,0))&amp;K$5</f>
        <v/>
      </c>
      <c r="L1446" s="40">
        <f>MAX(INDEX(L$381:L$392,$D1446)+(L1419+L1437)*(1+$E1446),0.01)</f>
        <v/>
      </c>
      <c r="M1446" s="35">
        <f>MAX(INDEX(M$381:M$392,$D1446)+(M1419+M1437)*(1+$E1446),0.01)</f>
        <v/>
      </c>
      <c r="N1446" s="35">
        <f>MAX(INDEX(N$381:N$392,$D1446)+(N1419+N1437)*(1+$E1446),0.01)</f>
        <v/>
      </c>
      <c r="O1446" s="35">
        <f>MAX(INDEX(O$381:O$392,$D1446)+(O1419+O1437)*(1+$E1446),0.01)</f>
        <v/>
      </c>
      <c r="P1446" s="35">
        <f>MAX(INDEX(P$381:P$392,$D1446)+(P1419+P1437)*(1+$E1446),0.01)</f>
        <v/>
      </c>
      <c r="Q1446" s="35">
        <f>MAX(INDEX(Q$381:Q$392,$D1446)+(Q1419+Q1437)*(1+$E1446),0.01)</f>
        <v/>
      </c>
      <c r="R1446" s="35">
        <f>MAX(INDEX(R$381:R$392,$D1446)+(R1419+R1437)*(1+$E1446),0.01)</f>
        <v/>
      </c>
      <c r="S1446" s="35">
        <f>MAX(INDEX(S$381:S$392,$D1446)+(S1419+S1437)*(1+$E1446),0.01)</f>
        <v/>
      </c>
      <c r="T1446" s="35">
        <f>MAX(INDEX(T$381:T$392,$D1446)+(T1419+T1437)*(1+$E1446),0.01)</f>
        <v/>
      </c>
      <c r="U1446" s="35">
        <f>MAX(INDEX(U$381:U$392,$D1446)+(U1419+U1437)*(1+$E1446),0.01)</f>
        <v/>
      </c>
      <c r="V1446" s="35">
        <f>MAX(INDEX(V$381:V$392,$D1446)+(V1419+V1437)*(1+$E1446),0.01)</f>
        <v/>
      </c>
      <c r="W1446" s="35">
        <f>MAX(INDEX(W$381:W$392,$D1446)+(W1419+W1437)*(1+$E1446),0.01)</f>
        <v/>
      </c>
      <c r="X1446" s="35">
        <f>MAX(INDEX(X$381:X$392,$D1446)+(X1419+X1437)*(1+$E1446),0.01)</f>
        <v/>
      </c>
      <c r="Y1446" s="35">
        <f>MAX(INDEX(Y$381:Y$392,$D1446)+(Y1419+Y1437)*(1+$E1446),0.01)</f>
        <v/>
      </c>
      <c r="Z1446" s="35">
        <f>MAX(INDEX(Z$381:Z$392,$D1446)+(Z1419+Z1437)*(1+$E1446),0.01)</f>
        <v/>
      </c>
      <c r="AA1446" s="35">
        <f>MAX(INDEX(AA$381:AA$392,$D1446)+(AA1419+AA1437)*(1+$E1446),0.01)</f>
        <v/>
      </c>
      <c r="AB1446" s="35">
        <f>MAX(INDEX(AB$381:AB$392,$D1446)+(AB1419+AB1437)*(1+$E1446),0.01)</f>
        <v/>
      </c>
      <c r="AC1446" s="35">
        <f>MAX(INDEX(AC$381:AC$392,$D1446)+(AC1419+AC1437)*(1+$E1446),0.01)</f>
        <v/>
      </c>
      <c r="AD1446" s="35">
        <f>MAX(INDEX(AD$381:AD$392,$D1446)+(AD1419+AD1437)*(1+$E1446),0.01)</f>
        <v/>
      </c>
      <c r="AE1446" s="42">
        <f>POSTTAX(INDEX(AE$381:AE$392,$D1446),AE1419+AE1437,$E1446)</f>
        <v/>
      </c>
      <c r="AG1446" s="11">
        <f>CodePrefix&amp;$A1446&amp;IF($C1446="","","."&amp;$C1446&amp;"."&amp;$B1446)&amp;INDEX(VarEnd,MATCH($A1446,VarKey,0))&amp;AG$5</f>
        <v/>
      </c>
      <c r="AH1446" s="40">
        <f>MAX(INDEX(AH$381:AH$392,$D1446)+(AH1419+AH1437)*(1+$E1446),0.01)</f>
        <v/>
      </c>
      <c r="AI1446" s="35">
        <f>MAX(INDEX(AI$381:AI$392,$D1446)+(AI1419+AI1437)*(1+$E1446),0.01)</f>
        <v/>
      </c>
      <c r="AJ1446" s="35">
        <f>MAX(INDEX(AJ$381:AJ$392,$D1446)+(AJ1419+AJ1437)*(1+$E1446),0.01)</f>
        <v/>
      </c>
      <c r="AK1446" s="35">
        <f>MAX(INDEX(AK$381:AK$392,$D1446)+(AK1419+AK1437)*(1+$E1446),0.01)</f>
        <v/>
      </c>
      <c r="AL1446" s="35">
        <f>MAX(INDEX(AL$381:AL$392,$D1446)+(AL1419+AL1437)*(1+$E1446),0.01)</f>
        <v/>
      </c>
      <c r="AM1446" s="35">
        <f>MAX(INDEX(AM$381:AM$392,$D1446)+(AM1419+AM1437)*(1+$E1446),0.01)</f>
        <v/>
      </c>
      <c r="AN1446" s="35">
        <f>MAX(INDEX(AN$381:AN$392,$D1446)+(AN1419+AN1437)*(1+$E1446),0.01)</f>
        <v/>
      </c>
      <c r="AO1446" s="35">
        <f>MAX(INDEX(AO$381:AO$392,$D1446)+(AO1419+AO1437)*(1+$E1446),0.01)</f>
        <v/>
      </c>
      <c r="AP1446" s="35">
        <f>MAX(INDEX(AP$381:AP$392,$D1446)+(AP1419+AP1437)*(1+$E1446),0.01)</f>
        <v/>
      </c>
      <c r="AQ1446" s="35">
        <f>MAX(INDEX(AQ$381:AQ$392,$D1446)+(AQ1419+AQ1437)*(1+$E1446),0.01)</f>
        <v/>
      </c>
      <c r="AR1446" s="35">
        <f>MAX(INDEX(AR$381:AR$392,$D1446)+(AR1419+AR1437)*(1+$E1446),0.01)</f>
        <v/>
      </c>
      <c r="AS1446" s="35">
        <f>MAX(INDEX(AS$381:AS$392,$D1446)+(AS1419+AS1437)*(1+$E1446),0.01)</f>
        <v/>
      </c>
      <c r="AT1446" s="35">
        <f>MAX(INDEX(AT$381:AT$392,$D1446)+(AT1419+AT1437)*(1+$E1446),0.01)</f>
        <v/>
      </c>
      <c r="AU1446" s="35">
        <f>MAX(INDEX(AU$381:AU$392,$D1446)+(AU1419+AU1437)*(1+$E1446),0.01)</f>
        <v/>
      </c>
      <c r="AV1446" s="35">
        <f>MAX(INDEX(AV$381:AV$392,$D1446)+(AV1419+AV1437)*(1+$E1446),0.01)</f>
        <v/>
      </c>
      <c r="AW1446" s="35">
        <f>MAX(INDEX(AW$381:AW$392,$D1446)+(AW1419+AW1437)*(1+$E1446),0.01)</f>
        <v/>
      </c>
      <c r="AX1446" s="35">
        <f>MAX(INDEX(AX$381:AX$392,$D1446)+(AX1419+AX1437)*(1+$E1446),0.01)</f>
        <v/>
      </c>
      <c r="AY1446" s="35">
        <f>MAX(INDEX(AY$381:AY$392,$D1446)+(AY1419+AY1437)*(1+$E1446),0.01)</f>
        <v/>
      </c>
      <c r="AZ1446" s="35">
        <f>MAX(INDEX(AZ$381:AZ$392,$D1446)+(AZ1419+AZ1437)*(1+$E1446),0.01)</f>
        <v/>
      </c>
      <c r="BA1446" s="42">
        <f>POSTTAX(INDEX(BA$381:BA$392,$D1446),BA1419+BA1437,$E1446)</f>
        <v/>
      </c>
    </row>
    <row r="1447" hidden="1" outlineLevel="2">
      <c r="A1447" s="14" t="inlineStr">
        <is>
          <t>atp</t>
        </is>
      </c>
      <c r="B1447" s="14" t="inlineStr">
        <is>
          <t>gso</t>
        </is>
      </c>
      <c r="C1447" s="14" t="inlineStr">
        <is>
          <t>nav</t>
        </is>
      </c>
      <c r="D1447" s="35">
        <f>INDEX(Inputs!$U$5:$U$132,MATCH($B1447&amp;"|"&amp;$C1447,Inputs!$A$5:$A$132,0))</f>
        <v/>
      </c>
      <c r="E1447" s="35">
        <f>INDEX(Inputs!$V$5:$V$132,MATCH($B1447&amp;"|"&amp;$C1447,Inputs!$A$5:$A$132,0))</f>
        <v/>
      </c>
      <c r="F1447" s="39" t="n"/>
      <c r="G1447" s="39" t="n"/>
      <c r="H1447" s="14">
        <f>INDEX(VarLab,MATCH($A1447,VarKey,0))&amp;INDEX(MemLab,MATCH($C1447&amp;"|"&amp;$B1447,MemKey,0))</f>
        <v/>
      </c>
      <c r="I1447" s="14">
        <f>INDEX(VarUnit,MATCH($A1447,VarKey,0))</f>
        <v/>
      </c>
      <c r="J1447" s="14">
        <f>INDEX(VarSrc,MATCH($A1447,VarKey,0))</f>
        <v/>
      </c>
      <c r="K1447" s="11">
        <f>CodePrefix&amp;$A1447&amp;IF($C1447="","","."&amp;$C1447&amp;"."&amp;$B1447)&amp;INDEX(VarEnd,MATCH($A1447,VarKey,0))&amp;K$5</f>
        <v/>
      </c>
      <c r="L1447" s="40">
        <f>MAX(INDEX(L$381:L$392,$D1447)+(L1420+L1438)*(1+$E1447),0.01)</f>
        <v/>
      </c>
      <c r="M1447" s="35">
        <f>MAX(INDEX(M$381:M$392,$D1447)+(M1420+M1438)*(1+$E1447),0.01)</f>
        <v/>
      </c>
      <c r="N1447" s="35">
        <f>MAX(INDEX(N$381:N$392,$D1447)+(N1420+N1438)*(1+$E1447),0.01)</f>
        <v/>
      </c>
      <c r="O1447" s="35">
        <f>MAX(INDEX(O$381:O$392,$D1447)+(O1420+O1438)*(1+$E1447),0.01)</f>
        <v/>
      </c>
      <c r="P1447" s="35">
        <f>MAX(INDEX(P$381:P$392,$D1447)+(P1420+P1438)*(1+$E1447),0.01)</f>
        <v/>
      </c>
      <c r="Q1447" s="35">
        <f>MAX(INDEX(Q$381:Q$392,$D1447)+(Q1420+Q1438)*(1+$E1447),0.01)</f>
        <v/>
      </c>
      <c r="R1447" s="35">
        <f>MAX(INDEX(R$381:R$392,$D1447)+(R1420+R1438)*(1+$E1447),0.01)</f>
        <v/>
      </c>
      <c r="S1447" s="35">
        <f>MAX(INDEX(S$381:S$392,$D1447)+(S1420+S1438)*(1+$E1447),0.01)</f>
        <v/>
      </c>
      <c r="T1447" s="35">
        <f>MAX(INDEX(T$381:T$392,$D1447)+(T1420+T1438)*(1+$E1447),0.01)</f>
        <v/>
      </c>
      <c r="U1447" s="35">
        <f>MAX(INDEX(U$381:U$392,$D1447)+(U1420+U1438)*(1+$E1447),0.01)</f>
        <v/>
      </c>
      <c r="V1447" s="35">
        <f>MAX(INDEX(V$381:V$392,$D1447)+(V1420+V1438)*(1+$E1447),0.01)</f>
        <v/>
      </c>
      <c r="W1447" s="35">
        <f>MAX(INDEX(W$381:W$392,$D1447)+(W1420+W1438)*(1+$E1447),0.01)</f>
        <v/>
      </c>
      <c r="X1447" s="35">
        <f>MAX(INDEX(X$381:X$392,$D1447)+(X1420+X1438)*(1+$E1447),0.01)</f>
        <v/>
      </c>
      <c r="Y1447" s="35">
        <f>MAX(INDEX(Y$381:Y$392,$D1447)+(Y1420+Y1438)*(1+$E1447),0.01)</f>
        <v/>
      </c>
      <c r="Z1447" s="35">
        <f>MAX(INDEX(Z$381:Z$392,$D1447)+(Z1420+Z1438)*(1+$E1447),0.01)</f>
        <v/>
      </c>
      <c r="AA1447" s="35">
        <f>MAX(INDEX(AA$381:AA$392,$D1447)+(AA1420+AA1438)*(1+$E1447),0.01)</f>
        <v/>
      </c>
      <c r="AB1447" s="35">
        <f>MAX(INDEX(AB$381:AB$392,$D1447)+(AB1420+AB1438)*(1+$E1447),0.01)</f>
        <v/>
      </c>
      <c r="AC1447" s="35">
        <f>MAX(INDEX(AC$381:AC$392,$D1447)+(AC1420+AC1438)*(1+$E1447),0.01)</f>
        <v/>
      </c>
      <c r="AD1447" s="35">
        <f>MAX(INDEX(AD$381:AD$392,$D1447)+(AD1420+AD1438)*(1+$E1447),0.01)</f>
        <v/>
      </c>
      <c r="AE1447" s="42">
        <f>POSTTAX(INDEX(AE$381:AE$392,$D1447),AE1420+AE1438,$E1447)</f>
        <v/>
      </c>
      <c r="AG1447" s="11">
        <f>CodePrefix&amp;$A1447&amp;IF($C1447="","","."&amp;$C1447&amp;"."&amp;$B1447)&amp;INDEX(VarEnd,MATCH($A1447,VarKey,0))&amp;AG$5</f>
        <v/>
      </c>
      <c r="AH1447" s="40">
        <f>MAX(INDEX(AH$381:AH$392,$D1447)+(AH1420+AH1438)*(1+$E1447),0.01)</f>
        <v/>
      </c>
      <c r="AI1447" s="35">
        <f>MAX(INDEX(AI$381:AI$392,$D1447)+(AI1420+AI1438)*(1+$E1447),0.01)</f>
        <v/>
      </c>
      <c r="AJ1447" s="35">
        <f>MAX(INDEX(AJ$381:AJ$392,$D1447)+(AJ1420+AJ1438)*(1+$E1447),0.01)</f>
        <v/>
      </c>
      <c r="AK1447" s="35">
        <f>MAX(INDEX(AK$381:AK$392,$D1447)+(AK1420+AK1438)*(1+$E1447),0.01)</f>
        <v/>
      </c>
      <c r="AL1447" s="35">
        <f>MAX(INDEX(AL$381:AL$392,$D1447)+(AL1420+AL1438)*(1+$E1447),0.01)</f>
        <v/>
      </c>
      <c r="AM1447" s="35">
        <f>MAX(INDEX(AM$381:AM$392,$D1447)+(AM1420+AM1438)*(1+$E1447),0.01)</f>
        <v/>
      </c>
      <c r="AN1447" s="35">
        <f>MAX(INDEX(AN$381:AN$392,$D1447)+(AN1420+AN1438)*(1+$E1447),0.01)</f>
        <v/>
      </c>
      <c r="AO1447" s="35">
        <f>MAX(INDEX(AO$381:AO$392,$D1447)+(AO1420+AO1438)*(1+$E1447),0.01)</f>
        <v/>
      </c>
      <c r="AP1447" s="35">
        <f>MAX(INDEX(AP$381:AP$392,$D1447)+(AP1420+AP1438)*(1+$E1447),0.01)</f>
        <v/>
      </c>
      <c r="AQ1447" s="35">
        <f>MAX(INDEX(AQ$381:AQ$392,$D1447)+(AQ1420+AQ1438)*(1+$E1447),0.01)</f>
        <v/>
      </c>
      <c r="AR1447" s="35">
        <f>MAX(INDEX(AR$381:AR$392,$D1447)+(AR1420+AR1438)*(1+$E1447),0.01)</f>
        <v/>
      </c>
      <c r="AS1447" s="35">
        <f>MAX(INDEX(AS$381:AS$392,$D1447)+(AS1420+AS1438)*(1+$E1447),0.01)</f>
        <v/>
      </c>
      <c r="AT1447" s="35">
        <f>MAX(INDEX(AT$381:AT$392,$D1447)+(AT1420+AT1438)*(1+$E1447),0.01)</f>
        <v/>
      </c>
      <c r="AU1447" s="35">
        <f>MAX(INDEX(AU$381:AU$392,$D1447)+(AU1420+AU1438)*(1+$E1447),0.01)</f>
        <v/>
      </c>
      <c r="AV1447" s="35">
        <f>MAX(INDEX(AV$381:AV$392,$D1447)+(AV1420+AV1438)*(1+$E1447),0.01)</f>
        <v/>
      </c>
      <c r="AW1447" s="35">
        <f>MAX(INDEX(AW$381:AW$392,$D1447)+(AW1420+AW1438)*(1+$E1447),0.01)</f>
        <v/>
      </c>
      <c r="AX1447" s="35">
        <f>MAX(INDEX(AX$381:AX$392,$D1447)+(AX1420+AX1438)*(1+$E1447),0.01)</f>
        <v/>
      </c>
      <c r="AY1447" s="35">
        <f>MAX(INDEX(AY$381:AY$392,$D1447)+(AY1420+AY1438)*(1+$E1447),0.01)</f>
        <v/>
      </c>
      <c r="AZ1447" s="35">
        <f>MAX(INDEX(AZ$381:AZ$392,$D1447)+(AZ1420+AZ1438)*(1+$E1447),0.01)</f>
        <v/>
      </c>
      <c r="BA1447" s="42">
        <f>POSTTAX(INDEX(BA$381:BA$392,$D1447),BA1420+BA1438,$E1447)</f>
        <v/>
      </c>
    </row>
    <row r="1448" hidden="1" outlineLevel="2">
      <c r="A1448" s="14" t="inlineStr">
        <is>
          <t>atp</t>
        </is>
      </c>
      <c r="B1448" s="14" t="inlineStr">
        <is>
          <t>die</t>
        </is>
      </c>
      <c r="C1448" s="14" t="inlineStr">
        <is>
          <t>nav</t>
        </is>
      </c>
      <c r="D1448" s="35">
        <f>INDEX(Inputs!$U$5:$U$132,MATCH($B1448&amp;"|"&amp;$C1448,Inputs!$A$5:$A$132,0))</f>
        <v/>
      </c>
      <c r="E1448" s="35">
        <f>INDEX(Inputs!$V$5:$V$132,MATCH($B1448&amp;"|"&amp;$C1448,Inputs!$A$5:$A$132,0))</f>
        <v/>
      </c>
      <c r="F1448" s="39" t="n"/>
      <c r="G1448" s="39" t="n"/>
      <c r="H1448" s="14">
        <f>INDEX(VarLab,MATCH($A1448,VarKey,0))&amp;INDEX(MemLab,MATCH($C1448&amp;"|"&amp;$B1448,MemKey,0))</f>
        <v/>
      </c>
      <c r="I1448" s="14">
        <f>INDEX(VarUnit,MATCH($A1448,VarKey,0))</f>
        <v/>
      </c>
      <c r="J1448" s="14">
        <f>INDEX(VarSrc,MATCH($A1448,VarKey,0))</f>
        <v/>
      </c>
      <c r="K1448" s="11">
        <f>CodePrefix&amp;$A1448&amp;IF($C1448="","","."&amp;$C1448&amp;"."&amp;$B1448)&amp;INDEX(VarEnd,MATCH($A1448,VarKey,0))&amp;K$5</f>
        <v/>
      </c>
      <c r="L1448" s="40">
        <f>MAX(INDEX(L$381:L$392,$D1448)+(L1421+L1439)*(1+$E1448),0.01)</f>
        <v/>
      </c>
      <c r="M1448" s="35">
        <f>MAX(INDEX(M$381:M$392,$D1448)+(M1421+M1439)*(1+$E1448),0.01)</f>
        <v/>
      </c>
      <c r="N1448" s="35">
        <f>MAX(INDEX(N$381:N$392,$D1448)+(N1421+N1439)*(1+$E1448),0.01)</f>
        <v/>
      </c>
      <c r="O1448" s="35">
        <f>MAX(INDEX(O$381:O$392,$D1448)+(O1421+O1439)*(1+$E1448),0.01)</f>
        <v/>
      </c>
      <c r="P1448" s="35">
        <f>MAX(INDEX(P$381:P$392,$D1448)+(P1421+P1439)*(1+$E1448),0.01)</f>
        <v/>
      </c>
      <c r="Q1448" s="35">
        <f>MAX(INDEX(Q$381:Q$392,$D1448)+(Q1421+Q1439)*(1+$E1448),0.01)</f>
        <v/>
      </c>
      <c r="R1448" s="35">
        <f>MAX(INDEX(R$381:R$392,$D1448)+(R1421+R1439)*(1+$E1448),0.01)</f>
        <v/>
      </c>
      <c r="S1448" s="35">
        <f>MAX(INDEX(S$381:S$392,$D1448)+(S1421+S1439)*(1+$E1448),0.01)</f>
        <v/>
      </c>
      <c r="T1448" s="35">
        <f>MAX(INDEX(T$381:T$392,$D1448)+(T1421+T1439)*(1+$E1448),0.01)</f>
        <v/>
      </c>
      <c r="U1448" s="35">
        <f>MAX(INDEX(U$381:U$392,$D1448)+(U1421+U1439)*(1+$E1448),0.01)</f>
        <v/>
      </c>
      <c r="V1448" s="35">
        <f>MAX(INDEX(V$381:V$392,$D1448)+(V1421+V1439)*(1+$E1448),0.01)</f>
        <v/>
      </c>
      <c r="W1448" s="35">
        <f>MAX(INDEX(W$381:W$392,$D1448)+(W1421+W1439)*(1+$E1448),0.01)</f>
        <v/>
      </c>
      <c r="X1448" s="35">
        <f>MAX(INDEX(X$381:X$392,$D1448)+(X1421+X1439)*(1+$E1448),0.01)</f>
        <v/>
      </c>
      <c r="Y1448" s="35">
        <f>MAX(INDEX(Y$381:Y$392,$D1448)+(Y1421+Y1439)*(1+$E1448),0.01)</f>
        <v/>
      </c>
      <c r="Z1448" s="35">
        <f>MAX(INDEX(Z$381:Z$392,$D1448)+(Z1421+Z1439)*(1+$E1448),0.01)</f>
        <v/>
      </c>
      <c r="AA1448" s="35">
        <f>MAX(INDEX(AA$381:AA$392,$D1448)+(AA1421+AA1439)*(1+$E1448),0.01)</f>
        <v/>
      </c>
      <c r="AB1448" s="35">
        <f>MAX(INDEX(AB$381:AB$392,$D1448)+(AB1421+AB1439)*(1+$E1448),0.01)</f>
        <v/>
      </c>
      <c r="AC1448" s="35">
        <f>MAX(INDEX(AC$381:AC$392,$D1448)+(AC1421+AC1439)*(1+$E1448),0.01)</f>
        <v/>
      </c>
      <c r="AD1448" s="35">
        <f>MAX(INDEX(AD$381:AD$392,$D1448)+(AD1421+AD1439)*(1+$E1448),0.01)</f>
        <v/>
      </c>
      <c r="AE1448" s="42">
        <f>POSTTAX(INDEX(AE$381:AE$392,$D1448),AE1421+AE1439,$E1448)</f>
        <v/>
      </c>
      <c r="AG1448" s="11">
        <f>CodePrefix&amp;$A1448&amp;IF($C1448="","","."&amp;$C1448&amp;"."&amp;$B1448)&amp;INDEX(VarEnd,MATCH($A1448,VarKey,0))&amp;AG$5</f>
        <v/>
      </c>
      <c r="AH1448" s="40">
        <f>MAX(INDEX(AH$381:AH$392,$D1448)+(AH1421+AH1439)*(1+$E1448),0.01)</f>
        <v/>
      </c>
      <c r="AI1448" s="35">
        <f>MAX(INDEX(AI$381:AI$392,$D1448)+(AI1421+AI1439)*(1+$E1448),0.01)</f>
        <v/>
      </c>
      <c r="AJ1448" s="35">
        <f>MAX(INDEX(AJ$381:AJ$392,$D1448)+(AJ1421+AJ1439)*(1+$E1448),0.01)</f>
        <v/>
      </c>
      <c r="AK1448" s="35">
        <f>MAX(INDEX(AK$381:AK$392,$D1448)+(AK1421+AK1439)*(1+$E1448),0.01)</f>
        <v/>
      </c>
      <c r="AL1448" s="35">
        <f>MAX(INDEX(AL$381:AL$392,$D1448)+(AL1421+AL1439)*(1+$E1448),0.01)</f>
        <v/>
      </c>
      <c r="AM1448" s="35">
        <f>MAX(INDEX(AM$381:AM$392,$D1448)+(AM1421+AM1439)*(1+$E1448),0.01)</f>
        <v/>
      </c>
      <c r="AN1448" s="35">
        <f>MAX(INDEX(AN$381:AN$392,$D1448)+(AN1421+AN1439)*(1+$E1448),0.01)</f>
        <v/>
      </c>
      <c r="AO1448" s="35">
        <f>MAX(INDEX(AO$381:AO$392,$D1448)+(AO1421+AO1439)*(1+$E1448),0.01)</f>
        <v/>
      </c>
      <c r="AP1448" s="35">
        <f>MAX(INDEX(AP$381:AP$392,$D1448)+(AP1421+AP1439)*(1+$E1448),0.01)</f>
        <v/>
      </c>
      <c r="AQ1448" s="35">
        <f>MAX(INDEX(AQ$381:AQ$392,$D1448)+(AQ1421+AQ1439)*(1+$E1448),0.01)</f>
        <v/>
      </c>
      <c r="AR1448" s="35">
        <f>MAX(INDEX(AR$381:AR$392,$D1448)+(AR1421+AR1439)*(1+$E1448),0.01)</f>
        <v/>
      </c>
      <c r="AS1448" s="35">
        <f>MAX(INDEX(AS$381:AS$392,$D1448)+(AS1421+AS1439)*(1+$E1448),0.01)</f>
        <v/>
      </c>
      <c r="AT1448" s="35">
        <f>MAX(INDEX(AT$381:AT$392,$D1448)+(AT1421+AT1439)*(1+$E1448),0.01)</f>
        <v/>
      </c>
      <c r="AU1448" s="35">
        <f>MAX(INDEX(AU$381:AU$392,$D1448)+(AU1421+AU1439)*(1+$E1448),0.01)</f>
        <v/>
      </c>
      <c r="AV1448" s="35">
        <f>MAX(INDEX(AV$381:AV$392,$D1448)+(AV1421+AV1439)*(1+$E1448),0.01)</f>
        <v/>
      </c>
      <c r="AW1448" s="35">
        <f>MAX(INDEX(AW$381:AW$392,$D1448)+(AW1421+AW1439)*(1+$E1448),0.01)</f>
        <v/>
      </c>
      <c r="AX1448" s="35">
        <f>MAX(INDEX(AX$381:AX$392,$D1448)+(AX1421+AX1439)*(1+$E1448),0.01)</f>
        <v/>
      </c>
      <c r="AY1448" s="35">
        <f>MAX(INDEX(AY$381:AY$392,$D1448)+(AY1421+AY1439)*(1+$E1448),0.01)</f>
        <v/>
      </c>
      <c r="AZ1448" s="35">
        <f>MAX(INDEX(AZ$381:AZ$392,$D1448)+(AZ1421+AZ1439)*(1+$E1448),0.01)</f>
        <v/>
      </c>
      <c r="BA1448" s="42">
        <f>POSTTAX(INDEX(BA$381:BA$392,$D1448),BA1421+BA1439,$E1448)</f>
        <v/>
      </c>
    </row>
    <row r="1449" hidden="1" outlineLevel="2">
      <c r="A1449" s="14" t="inlineStr">
        <is>
          <t>atp</t>
        </is>
      </c>
      <c r="B1449" s="14" t="inlineStr">
        <is>
          <t>lpg</t>
        </is>
      </c>
      <c r="C1449" s="14" t="inlineStr">
        <is>
          <t>nav</t>
        </is>
      </c>
      <c r="D1449" s="35">
        <f>INDEX(Inputs!$U$5:$U$132,MATCH($B1449&amp;"|"&amp;$C1449,Inputs!$A$5:$A$132,0))</f>
        <v/>
      </c>
      <c r="E1449" s="35">
        <f>INDEX(Inputs!$V$5:$V$132,MATCH($B1449&amp;"|"&amp;$C1449,Inputs!$A$5:$A$132,0))</f>
        <v/>
      </c>
      <c r="F1449" s="39" t="n"/>
      <c r="G1449" s="39" t="n"/>
      <c r="H1449" s="14">
        <f>INDEX(VarLab,MATCH($A1449,VarKey,0))&amp;INDEX(MemLab,MATCH($C1449&amp;"|"&amp;$B1449,MemKey,0))</f>
        <v/>
      </c>
      <c r="I1449" s="14">
        <f>INDEX(VarUnit,MATCH($A1449,VarKey,0))</f>
        <v/>
      </c>
      <c r="J1449" s="14">
        <f>INDEX(VarSrc,MATCH($A1449,VarKey,0))</f>
        <v/>
      </c>
      <c r="K1449" s="11">
        <f>CodePrefix&amp;$A1449&amp;IF($C1449="","","."&amp;$C1449&amp;"."&amp;$B1449)&amp;INDEX(VarEnd,MATCH($A1449,VarKey,0))&amp;K$5</f>
        <v/>
      </c>
      <c r="L1449" s="40">
        <f>MAX(INDEX(L$381:L$392,$D1449)+(L1422+L1440)*(1+$E1449),0.01)</f>
        <v/>
      </c>
      <c r="M1449" s="35">
        <f>MAX(INDEX(M$381:M$392,$D1449)+(M1422+M1440)*(1+$E1449),0.01)</f>
        <v/>
      </c>
      <c r="N1449" s="35">
        <f>MAX(INDEX(N$381:N$392,$D1449)+(N1422+N1440)*(1+$E1449),0.01)</f>
        <v/>
      </c>
      <c r="O1449" s="35">
        <f>MAX(INDEX(O$381:O$392,$D1449)+(O1422+O1440)*(1+$E1449),0.01)</f>
        <v/>
      </c>
      <c r="P1449" s="35">
        <f>MAX(INDEX(P$381:P$392,$D1449)+(P1422+P1440)*(1+$E1449),0.01)</f>
        <v/>
      </c>
      <c r="Q1449" s="35">
        <f>MAX(INDEX(Q$381:Q$392,$D1449)+(Q1422+Q1440)*(1+$E1449),0.01)</f>
        <v/>
      </c>
      <c r="R1449" s="35">
        <f>MAX(INDEX(R$381:R$392,$D1449)+(R1422+R1440)*(1+$E1449),0.01)</f>
        <v/>
      </c>
      <c r="S1449" s="35">
        <f>MAX(INDEX(S$381:S$392,$D1449)+(S1422+S1440)*(1+$E1449),0.01)</f>
        <v/>
      </c>
      <c r="T1449" s="35">
        <f>MAX(INDEX(T$381:T$392,$D1449)+(T1422+T1440)*(1+$E1449),0.01)</f>
        <v/>
      </c>
      <c r="U1449" s="35">
        <f>MAX(INDEX(U$381:U$392,$D1449)+(U1422+U1440)*(1+$E1449),0.01)</f>
        <v/>
      </c>
      <c r="V1449" s="35">
        <f>MAX(INDEX(V$381:V$392,$D1449)+(V1422+V1440)*(1+$E1449),0.01)</f>
        <v/>
      </c>
      <c r="W1449" s="35">
        <f>MAX(INDEX(W$381:W$392,$D1449)+(W1422+W1440)*(1+$E1449),0.01)</f>
        <v/>
      </c>
      <c r="X1449" s="35">
        <f>MAX(INDEX(X$381:X$392,$D1449)+(X1422+X1440)*(1+$E1449),0.01)</f>
        <v/>
      </c>
      <c r="Y1449" s="35">
        <f>MAX(INDEX(Y$381:Y$392,$D1449)+(Y1422+Y1440)*(1+$E1449),0.01)</f>
        <v/>
      </c>
      <c r="Z1449" s="35">
        <f>MAX(INDEX(Z$381:Z$392,$D1449)+(Z1422+Z1440)*(1+$E1449),0.01)</f>
        <v/>
      </c>
      <c r="AA1449" s="35">
        <f>MAX(INDEX(AA$381:AA$392,$D1449)+(AA1422+AA1440)*(1+$E1449),0.01)</f>
        <v/>
      </c>
      <c r="AB1449" s="35">
        <f>MAX(INDEX(AB$381:AB$392,$D1449)+(AB1422+AB1440)*(1+$E1449),0.01)</f>
        <v/>
      </c>
      <c r="AC1449" s="35">
        <f>MAX(INDEX(AC$381:AC$392,$D1449)+(AC1422+AC1440)*(1+$E1449),0.01)</f>
        <v/>
      </c>
      <c r="AD1449" s="35">
        <f>MAX(INDEX(AD$381:AD$392,$D1449)+(AD1422+AD1440)*(1+$E1449),0.01)</f>
        <v/>
      </c>
      <c r="AE1449" s="42">
        <f>POSTTAX(INDEX(AE$381:AE$392,$D1449),AE1422+AE1440,$E1449)</f>
        <v/>
      </c>
      <c r="AG1449" s="11">
        <f>CodePrefix&amp;$A1449&amp;IF($C1449="","","."&amp;$C1449&amp;"."&amp;$B1449)&amp;INDEX(VarEnd,MATCH($A1449,VarKey,0))&amp;AG$5</f>
        <v/>
      </c>
      <c r="AH1449" s="40">
        <f>MAX(INDEX(AH$381:AH$392,$D1449)+(AH1422+AH1440)*(1+$E1449),0.01)</f>
        <v/>
      </c>
      <c r="AI1449" s="35">
        <f>MAX(INDEX(AI$381:AI$392,$D1449)+(AI1422+AI1440)*(1+$E1449),0.01)</f>
        <v/>
      </c>
      <c r="AJ1449" s="35">
        <f>MAX(INDEX(AJ$381:AJ$392,$D1449)+(AJ1422+AJ1440)*(1+$E1449),0.01)</f>
        <v/>
      </c>
      <c r="AK1449" s="35">
        <f>MAX(INDEX(AK$381:AK$392,$D1449)+(AK1422+AK1440)*(1+$E1449),0.01)</f>
        <v/>
      </c>
      <c r="AL1449" s="35">
        <f>MAX(INDEX(AL$381:AL$392,$D1449)+(AL1422+AL1440)*(1+$E1449),0.01)</f>
        <v/>
      </c>
      <c r="AM1449" s="35">
        <f>MAX(INDEX(AM$381:AM$392,$D1449)+(AM1422+AM1440)*(1+$E1449),0.01)</f>
        <v/>
      </c>
      <c r="AN1449" s="35">
        <f>MAX(INDEX(AN$381:AN$392,$D1449)+(AN1422+AN1440)*(1+$E1449),0.01)</f>
        <v/>
      </c>
      <c r="AO1449" s="35">
        <f>MAX(INDEX(AO$381:AO$392,$D1449)+(AO1422+AO1440)*(1+$E1449),0.01)</f>
        <v/>
      </c>
      <c r="AP1449" s="35">
        <f>MAX(INDEX(AP$381:AP$392,$D1449)+(AP1422+AP1440)*(1+$E1449),0.01)</f>
        <v/>
      </c>
      <c r="AQ1449" s="35">
        <f>MAX(INDEX(AQ$381:AQ$392,$D1449)+(AQ1422+AQ1440)*(1+$E1449),0.01)</f>
        <v/>
      </c>
      <c r="AR1449" s="35">
        <f>MAX(INDEX(AR$381:AR$392,$D1449)+(AR1422+AR1440)*(1+$E1449),0.01)</f>
        <v/>
      </c>
      <c r="AS1449" s="35">
        <f>MAX(INDEX(AS$381:AS$392,$D1449)+(AS1422+AS1440)*(1+$E1449),0.01)</f>
        <v/>
      </c>
      <c r="AT1449" s="35">
        <f>MAX(INDEX(AT$381:AT$392,$D1449)+(AT1422+AT1440)*(1+$E1449),0.01)</f>
        <v/>
      </c>
      <c r="AU1449" s="35">
        <f>MAX(INDEX(AU$381:AU$392,$D1449)+(AU1422+AU1440)*(1+$E1449),0.01)</f>
        <v/>
      </c>
      <c r="AV1449" s="35">
        <f>MAX(INDEX(AV$381:AV$392,$D1449)+(AV1422+AV1440)*(1+$E1449),0.01)</f>
        <v/>
      </c>
      <c r="AW1449" s="35">
        <f>MAX(INDEX(AW$381:AW$392,$D1449)+(AW1422+AW1440)*(1+$E1449),0.01)</f>
        <v/>
      </c>
      <c r="AX1449" s="35">
        <f>MAX(INDEX(AX$381:AX$392,$D1449)+(AX1422+AX1440)*(1+$E1449),0.01)</f>
        <v/>
      </c>
      <c r="AY1449" s="35">
        <f>MAX(INDEX(AY$381:AY$392,$D1449)+(AY1422+AY1440)*(1+$E1449),0.01)</f>
        <v/>
      </c>
      <c r="AZ1449" s="35">
        <f>MAX(INDEX(AZ$381:AZ$392,$D1449)+(AZ1422+AZ1440)*(1+$E1449),0.01)</f>
        <v/>
      </c>
      <c r="BA1449" s="42">
        <f>POSTTAX(INDEX(BA$381:BA$392,$D1449),BA1422+BA1440,$E1449)</f>
        <v/>
      </c>
    </row>
    <row r="1450" hidden="1" outlineLevel="2">
      <c r="A1450" s="14" t="inlineStr">
        <is>
          <t>atp</t>
        </is>
      </c>
      <c r="B1450" s="14" t="inlineStr">
        <is>
          <t>ker</t>
        </is>
      </c>
      <c r="C1450" s="14" t="inlineStr">
        <is>
          <t>nav</t>
        </is>
      </c>
      <c r="D1450" s="35">
        <f>INDEX(Inputs!$U$5:$U$132,MATCH($B1450&amp;"|"&amp;$C1450,Inputs!$A$5:$A$132,0))</f>
        <v/>
      </c>
      <c r="E1450" s="35">
        <f>INDEX(Inputs!$V$5:$V$132,MATCH($B1450&amp;"|"&amp;$C1450,Inputs!$A$5:$A$132,0))</f>
        <v/>
      </c>
      <c r="F1450" s="39" t="n"/>
      <c r="G1450" s="39" t="n"/>
      <c r="H1450" s="14">
        <f>INDEX(VarLab,MATCH($A1450,VarKey,0))&amp;INDEX(MemLab,MATCH($C1450&amp;"|"&amp;$B1450,MemKey,0))</f>
        <v/>
      </c>
      <c r="I1450" s="14">
        <f>INDEX(VarUnit,MATCH($A1450,VarKey,0))</f>
        <v/>
      </c>
      <c r="J1450" s="14">
        <f>INDEX(VarSrc,MATCH($A1450,VarKey,0))</f>
        <v/>
      </c>
      <c r="K1450" s="11">
        <f>CodePrefix&amp;$A1450&amp;IF($C1450="","","."&amp;$C1450&amp;"."&amp;$B1450)&amp;INDEX(VarEnd,MATCH($A1450,VarKey,0))&amp;K$5</f>
        <v/>
      </c>
      <c r="L1450" s="40">
        <f>MAX(INDEX(L$381:L$392,$D1450)+(L1423+L1441)*(1+$E1450),0.01)</f>
        <v/>
      </c>
      <c r="M1450" s="35">
        <f>MAX(INDEX(M$381:M$392,$D1450)+(M1423+M1441)*(1+$E1450),0.01)</f>
        <v/>
      </c>
      <c r="N1450" s="35">
        <f>MAX(INDEX(N$381:N$392,$D1450)+(N1423+N1441)*(1+$E1450),0.01)</f>
        <v/>
      </c>
      <c r="O1450" s="35">
        <f>MAX(INDEX(O$381:O$392,$D1450)+(O1423+O1441)*(1+$E1450),0.01)</f>
        <v/>
      </c>
      <c r="P1450" s="35">
        <f>MAX(INDEX(P$381:P$392,$D1450)+(P1423+P1441)*(1+$E1450),0.01)</f>
        <v/>
      </c>
      <c r="Q1450" s="35">
        <f>MAX(INDEX(Q$381:Q$392,$D1450)+(Q1423+Q1441)*(1+$E1450),0.01)</f>
        <v/>
      </c>
      <c r="R1450" s="35">
        <f>MAX(INDEX(R$381:R$392,$D1450)+(R1423+R1441)*(1+$E1450),0.01)</f>
        <v/>
      </c>
      <c r="S1450" s="35">
        <f>MAX(INDEX(S$381:S$392,$D1450)+(S1423+S1441)*(1+$E1450),0.01)</f>
        <v/>
      </c>
      <c r="T1450" s="35">
        <f>MAX(INDEX(T$381:T$392,$D1450)+(T1423+T1441)*(1+$E1450),0.01)</f>
        <v/>
      </c>
      <c r="U1450" s="35">
        <f>MAX(INDEX(U$381:U$392,$D1450)+(U1423+U1441)*(1+$E1450),0.01)</f>
        <v/>
      </c>
      <c r="V1450" s="35">
        <f>MAX(INDEX(V$381:V$392,$D1450)+(V1423+V1441)*(1+$E1450),0.01)</f>
        <v/>
      </c>
      <c r="W1450" s="35">
        <f>MAX(INDEX(W$381:W$392,$D1450)+(W1423+W1441)*(1+$E1450),0.01)</f>
        <v/>
      </c>
      <c r="X1450" s="35">
        <f>MAX(INDEX(X$381:X$392,$D1450)+(X1423+X1441)*(1+$E1450),0.01)</f>
        <v/>
      </c>
      <c r="Y1450" s="35">
        <f>MAX(INDEX(Y$381:Y$392,$D1450)+(Y1423+Y1441)*(1+$E1450),0.01)</f>
        <v/>
      </c>
      <c r="Z1450" s="35">
        <f>MAX(INDEX(Z$381:Z$392,$D1450)+(Z1423+Z1441)*(1+$E1450),0.01)</f>
        <v/>
      </c>
      <c r="AA1450" s="35">
        <f>MAX(INDEX(AA$381:AA$392,$D1450)+(AA1423+AA1441)*(1+$E1450),0.01)</f>
        <v/>
      </c>
      <c r="AB1450" s="35">
        <f>MAX(INDEX(AB$381:AB$392,$D1450)+(AB1423+AB1441)*(1+$E1450),0.01)</f>
        <v/>
      </c>
      <c r="AC1450" s="35">
        <f>MAX(INDEX(AC$381:AC$392,$D1450)+(AC1423+AC1441)*(1+$E1450),0.01)</f>
        <v/>
      </c>
      <c r="AD1450" s="35">
        <f>MAX(INDEX(AD$381:AD$392,$D1450)+(AD1423+AD1441)*(1+$E1450),0.01)</f>
        <v/>
      </c>
      <c r="AE1450" s="42">
        <f>POSTTAX(INDEX(AE$381:AE$392,$D1450),AE1423+AE1441,$E1450)</f>
        <v/>
      </c>
      <c r="AG1450" s="11">
        <f>CodePrefix&amp;$A1450&amp;IF($C1450="","","."&amp;$C1450&amp;"."&amp;$B1450)&amp;INDEX(VarEnd,MATCH($A1450,VarKey,0))&amp;AG$5</f>
        <v/>
      </c>
      <c r="AH1450" s="40">
        <f>MAX(INDEX(AH$381:AH$392,$D1450)+(AH1423+AH1441)*(1+$E1450),0.01)</f>
        <v/>
      </c>
      <c r="AI1450" s="35">
        <f>MAX(INDEX(AI$381:AI$392,$D1450)+(AI1423+AI1441)*(1+$E1450),0.01)</f>
        <v/>
      </c>
      <c r="AJ1450" s="35">
        <f>MAX(INDEX(AJ$381:AJ$392,$D1450)+(AJ1423+AJ1441)*(1+$E1450),0.01)</f>
        <v/>
      </c>
      <c r="AK1450" s="35">
        <f>MAX(INDEX(AK$381:AK$392,$D1450)+(AK1423+AK1441)*(1+$E1450),0.01)</f>
        <v/>
      </c>
      <c r="AL1450" s="35">
        <f>MAX(INDEX(AL$381:AL$392,$D1450)+(AL1423+AL1441)*(1+$E1450),0.01)</f>
        <v/>
      </c>
      <c r="AM1450" s="35">
        <f>MAX(INDEX(AM$381:AM$392,$D1450)+(AM1423+AM1441)*(1+$E1450),0.01)</f>
        <v/>
      </c>
      <c r="AN1450" s="35">
        <f>MAX(INDEX(AN$381:AN$392,$D1450)+(AN1423+AN1441)*(1+$E1450),0.01)</f>
        <v/>
      </c>
      <c r="AO1450" s="35">
        <f>MAX(INDEX(AO$381:AO$392,$D1450)+(AO1423+AO1441)*(1+$E1450),0.01)</f>
        <v/>
      </c>
      <c r="AP1450" s="35">
        <f>MAX(INDEX(AP$381:AP$392,$D1450)+(AP1423+AP1441)*(1+$E1450),0.01)</f>
        <v/>
      </c>
      <c r="AQ1450" s="35">
        <f>MAX(INDEX(AQ$381:AQ$392,$D1450)+(AQ1423+AQ1441)*(1+$E1450),0.01)</f>
        <v/>
      </c>
      <c r="AR1450" s="35">
        <f>MAX(INDEX(AR$381:AR$392,$D1450)+(AR1423+AR1441)*(1+$E1450),0.01)</f>
        <v/>
      </c>
      <c r="AS1450" s="35">
        <f>MAX(INDEX(AS$381:AS$392,$D1450)+(AS1423+AS1441)*(1+$E1450),0.01)</f>
        <v/>
      </c>
      <c r="AT1450" s="35">
        <f>MAX(INDEX(AT$381:AT$392,$D1450)+(AT1423+AT1441)*(1+$E1450),0.01)</f>
        <v/>
      </c>
      <c r="AU1450" s="35">
        <f>MAX(INDEX(AU$381:AU$392,$D1450)+(AU1423+AU1441)*(1+$E1450),0.01)</f>
        <v/>
      </c>
      <c r="AV1450" s="35">
        <f>MAX(INDEX(AV$381:AV$392,$D1450)+(AV1423+AV1441)*(1+$E1450),0.01)</f>
        <v/>
      </c>
      <c r="AW1450" s="35">
        <f>MAX(INDEX(AW$381:AW$392,$D1450)+(AW1423+AW1441)*(1+$E1450),0.01)</f>
        <v/>
      </c>
      <c r="AX1450" s="35">
        <f>MAX(INDEX(AX$381:AX$392,$D1450)+(AX1423+AX1441)*(1+$E1450),0.01)</f>
        <v/>
      </c>
      <c r="AY1450" s="35">
        <f>MAX(INDEX(AY$381:AY$392,$D1450)+(AY1423+AY1441)*(1+$E1450),0.01)</f>
        <v/>
      </c>
      <c r="AZ1450" s="35">
        <f>MAX(INDEX(AZ$381:AZ$392,$D1450)+(AZ1423+AZ1441)*(1+$E1450),0.01)</f>
        <v/>
      </c>
      <c r="BA1450" s="42">
        <f>POSTTAX(INDEX(BA$381:BA$392,$D1450),BA1423+BA1441,$E1450)</f>
        <v/>
      </c>
    </row>
    <row r="1451" hidden="1" outlineLevel="2">
      <c r="A1451" s="14" t="inlineStr">
        <is>
          <t>atp</t>
        </is>
      </c>
      <c r="B1451" s="14" t="inlineStr">
        <is>
          <t>oop</t>
        </is>
      </c>
      <c r="C1451" s="14" t="inlineStr">
        <is>
          <t>nav</t>
        </is>
      </c>
      <c r="D1451" s="35">
        <f>INDEX(Inputs!$U$5:$U$132,MATCH($B1451&amp;"|"&amp;$C1451,Inputs!$A$5:$A$132,0))</f>
        <v/>
      </c>
      <c r="E1451" s="35">
        <f>INDEX(Inputs!$V$5:$V$132,MATCH($B1451&amp;"|"&amp;$C1451,Inputs!$A$5:$A$132,0))</f>
        <v/>
      </c>
      <c r="F1451" s="39" t="n"/>
      <c r="G1451" s="39" t="n"/>
      <c r="H1451" s="14">
        <f>INDEX(VarLab,MATCH($A1451,VarKey,0))&amp;INDEX(MemLab,MATCH($C1451&amp;"|"&amp;$B1451,MemKey,0))</f>
        <v/>
      </c>
      <c r="I1451" s="14">
        <f>INDEX(VarUnit,MATCH($A1451,VarKey,0))</f>
        <v/>
      </c>
      <c r="J1451" s="14">
        <f>INDEX(VarSrc,MATCH($A1451,VarKey,0))</f>
        <v/>
      </c>
      <c r="K1451" s="11">
        <f>CodePrefix&amp;$A1451&amp;IF($C1451="","","."&amp;$C1451&amp;"."&amp;$B1451)&amp;INDEX(VarEnd,MATCH($A1451,VarKey,0))&amp;K$5</f>
        <v/>
      </c>
      <c r="L1451" s="40">
        <f>MAX(INDEX(L$381:L$392,$D1451)+(L1424+L1442)*(1+$E1451),0.01)</f>
        <v/>
      </c>
      <c r="M1451" s="35">
        <f>MAX(INDEX(M$381:M$392,$D1451)+(M1424+M1442)*(1+$E1451),0.01)</f>
        <v/>
      </c>
      <c r="N1451" s="35">
        <f>MAX(INDEX(N$381:N$392,$D1451)+(N1424+N1442)*(1+$E1451),0.01)</f>
        <v/>
      </c>
      <c r="O1451" s="35">
        <f>MAX(INDEX(O$381:O$392,$D1451)+(O1424+O1442)*(1+$E1451),0.01)</f>
        <v/>
      </c>
      <c r="P1451" s="35">
        <f>MAX(INDEX(P$381:P$392,$D1451)+(P1424+P1442)*(1+$E1451),0.01)</f>
        <v/>
      </c>
      <c r="Q1451" s="35">
        <f>MAX(INDEX(Q$381:Q$392,$D1451)+(Q1424+Q1442)*(1+$E1451),0.01)</f>
        <v/>
      </c>
      <c r="R1451" s="35">
        <f>MAX(INDEX(R$381:R$392,$D1451)+(R1424+R1442)*(1+$E1451),0.01)</f>
        <v/>
      </c>
      <c r="S1451" s="35">
        <f>MAX(INDEX(S$381:S$392,$D1451)+(S1424+S1442)*(1+$E1451),0.01)</f>
        <v/>
      </c>
      <c r="T1451" s="35">
        <f>MAX(INDEX(T$381:T$392,$D1451)+(T1424+T1442)*(1+$E1451),0.01)</f>
        <v/>
      </c>
      <c r="U1451" s="35">
        <f>MAX(INDEX(U$381:U$392,$D1451)+(U1424+U1442)*(1+$E1451),0.01)</f>
        <v/>
      </c>
      <c r="V1451" s="35">
        <f>MAX(INDEX(V$381:V$392,$D1451)+(V1424+V1442)*(1+$E1451),0.01)</f>
        <v/>
      </c>
      <c r="W1451" s="35">
        <f>MAX(INDEX(W$381:W$392,$D1451)+(W1424+W1442)*(1+$E1451),0.01)</f>
        <v/>
      </c>
      <c r="X1451" s="35">
        <f>MAX(INDEX(X$381:X$392,$D1451)+(X1424+X1442)*(1+$E1451),0.01)</f>
        <v/>
      </c>
      <c r="Y1451" s="35">
        <f>MAX(INDEX(Y$381:Y$392,$D1451)+(Y1424+Y1442)*(1+$E1451),0.01)</f>
        <v/>
      </c>
      <c r="Z1451" s="35">
        <f>MAX(INDEX(Z$381:Z$392,$D1451)+(Z1424+Z1442)*(1+$E1451),0.01)</f>
        <v/>
      </c>
      <c r="AA1451" s="35">
        <f>MAX(INDEX(AA$381:AA$392,$D1451)+(AA1424+AA1442)*(1+$E1451),0.01)</f>
        <v/>
      </c>
      <c r="AB1451" s="35">
        <f>MAX(INDEX(AB$381:AB$392,$D1451)+(AB1424+AB1442)*(1+$E1451),0.01)</f>
        <v/>
      </c>
      <c r="AC1451" s="35">
        <f>MAX(INDEX(AC$381:AC$392,$D1451)+(AC1424+AC1442)*(1+$E1451),0.01)</f>
        <v/>
      </c>
      <c r="AD1451" s="35">
        <f>MAX(INDEX(AD$381:AD$392,$D1451)+(AD1424+AD1442)*(1+$E1451),0.01)</f>
        <v/>
      </c>
      <c r="AE1451" s="42">
        <f>POSTTAX(INDEX(AE$381:AE$392,$D1451),AE1424+AE1442,$E1451)</f>
        <v/>
      </c>
      <c r="AG1451" s="11">
        <f>CodePrefix&amp;$A1451&amp;IF($C1451="","","."&amp;$C1451&amp;"."&amp;$B1451)&amp;INDEX(VarEnd,MATCH($A1451,VarKey,0))&amp;AG$5</f>
        <v/>
      </c>
      <c r="AH1451" s="40">
        <f>MAX(INDEX(AH$381:AH$392,$D1451)+(AH1424+AH1442)*(1+$E1451),0.01)</f>
        <v/>
      </c>
      <c r="AI1451" s="35">
        <f>MAX(INDEX(AI$381:AI$392,$D1451)+(AI1424+AI1442)*(1+$E1451),0.01)</f>
        <v/>
      </c>
      <c r="AJ1451" s="35">
        <f>MAX(INDEX(AJ$381:AJ$392,$D1451)+(AJ1424+AJ1442)*(1+$E1451),0.01)</f>
        <v/>
      </c>
      <c r="AK1451" s="35">
        <f>MAX(INDEX(AK$381:AK$392,$D1451)+(AK1424+AK1442)*(1+$E1451),0.01)</f>
        <v/>
      </c>
      <c r="AL1451" s="35">
        <f>MAX(INDEX(AL$381:AL$392,$D1451)+(AL1424+AL1442)*(1+$E1451),0.01)</f>
        <v/>
      </c>
      <c r="AM1451" s="35">
        <f>MAX(INDEX(AM$381:AM$392,$D1451)+(AM1424+AM1442)*(1+$E1451),0.01)</f>
        <v/>
      </c>
      <c r="AN1451" s="35">
        <f>MAX(INDEX(AN$381:AN$392,$D1451)+(AN1424+AN1442)*(1+$E1451),0.01)</f>
        <v/>
      </c>
      <c r="AO1451" s="35">
        <f>MAX(INDEX(AO$381:AO$392,$D1451)+(AO1424+AO1442)*(1+$E1451),0.01)</f>
        <v/>
      </c>
      <c r="AP1451" s="35">
        <f>MAX(INDEX(AP$381:AP$392,$D1451)+(AP1424+AP1442)*(1+$E1451),0.01)</f>
        <v/>
      </c>
      <c r="AQ1451" s="35">
        <f>MAX(INDEX(AQ$381:AQ$392,$D1451)+(AQ1424+AQ1442)*(1+$E1451),0.01)</f>
        <v/>
      </c>
      <c r="AR1451" s="35">
        <f>MAX(INDEX(AR$381:AR$392,$D1451)+(AR1424+AR1442)*(1+$E1451),0.01)</f>
        <v/>
      </c>
      <c r="AS1451" s="35">
        <f>MAX(INDEX(AS$381:AS$392,$D1451)+(AS1424+AS1442)*(1+$E1451),0.01)</f>
        <v/>
      </c>
      <c r="AT1451" s="35">
        <f>MAX(INDEX(AT$381:AT$392,$D1451)+(AT1424+AT1442)*(1+$E1451),0.01)</f>
        <v/>
      </c>
      <c r="AU1451" s="35">
        <f>MAX(INDEX(AU$381:AU$392,$D1451)+(AU1424+AU1442)*(1+$E1451),0.01)</f>
        <v/>
      </c>
      <c r="AV1451" s="35">
        <f>MAX(INDEX(AV$381:AV$392,$D1451)+(AV1424+AV1442)*(1+$E1451),0.01)</f>
        <v/>
      </c>
      <c r="AW1451" s="35">
        <f>MAX(INDEX(AW$381:AW$392,$D1451)+(AW1424+AW1442)*(1+$E1451),0.01)</f>
        <v/>
      </c>
      <c r="AX1451" s="35">
        <f>MAX(INDEX(AX$381:AX$392,$D1451)+(AX1424+AX1442)*(1+$E1451),0.01)</f>
        <v/>
      </c>
      <c r="AY1451" s="35">
        <f>MAX(INDEX(AY$381:AY$392,$D1451)+(AY1424+AY1442)*(1+$E1451),0.01)</f>
        <v/>
      </c>
      <c r="AZ1451" s="35">
        <f>MAX(INDEX(AZ$381:AZ$392,$D1451)+(AZ1424+AZ1442)*(1+$E1451),0.01)</f>
        <v/>
      </c>
      <c r="BA1451" s="42">
        <f>POSTTAX(INDEX(BA$381:BA$392,$D1451),BA1424+BA1442,$E1451)</f>
        <v/>
      </c>
    </row>
    <row r="1452" hidden="1" outlineLevel="2">
      <c r="A1452" s="14" t="inlineStr">
        <is>
          <t>atp</t>
        </is>
      </c>
      <c r="B1452" s="14" t="inlineStr">
        <is>
          <t>bio</t>
        </is>
      </c>
      <c r="C1452" s="14" t="inlineStr">
        <is>
          <t>nav</t>
        </is>
      </c>
      <c r="D1452" s="35">
        <f>INDEX(Inputs!$U$5:$U$132,MATCH($B1452&amp;"|"&amp;$C1452,Inputs!$A$5:$A$132,0))</f>
        <v/>
      </c>
      <c r="E1452" s="35">
        <f>INDEX(Inputs!$V$5:$V$132,MATCH($B1452&amp;"|"&amp;$C1452,Inputs!$A$5:$A$132,0))</f>
        <v/>
      </c>
      <c r="F1452" s="39" t="n"/>
      <c r="G1452" s="39" t="n"/>
      <c r="H1452" s="14">
        <f>INDEX(VarLab,MATCH($A1452,VarKey,0))&amp;INDEX(MemLab,MATCH($C1452&amp;"|"&amp;$B1452,MemKey,0))</f>
        <v/>
      </c>
      <c r="I1452" s="14">
        <f>INDEX(VarUnit,MATCH($A1452,VarKey,0))</f>
        <v/>
      </c>
      <c r="J1452" s="14">
        <f>INDEX(VarSrc,MATCH($A1452,VarKey,0))</f>
        <v/>
      </c>
      <c r="K1452" s="11">
        <f>CodePrefix&amp;$A1452&amp;IF($C1452="","","."&amp;$C1452&amp;"."&amp;$B1452)&amp;INDEX(VarEnd,MATCH($A1452,VarKey,0))&amp;K$5</f>
        <v/>
      </c>
      <c r="L1452" s="40">
        <f>MAX(INDEX(L$381:L$392,$D1452)+(L1425+L1443)*(1+$E1452),0.01)</f>
        <v/>
      </c>
      <c r="M1452" s="35">
        <f>MAX(INDEX(M$381:M$392,$D1452)+(M1425+M1443)*(1+$E1452),0.01)</f>
        <v/>
      </c>
      <c r="N1452" s="35">
        <f>MAX(INDEX(N$381:N$392,$D1452)+(N1425+N1443)*(1+$E1452),0.01)</f>
        <v/>
      </c>
      <c r="O1452" s="35">
        <f>MAX(INDEX(O$381:O$392,$D1452)+(O1425+O1443)*(1+$E1452),0.01)</f>
        <v/>
      </c>
      <c r="P1452" s="35">
        <f>MAX(INDEX(P$381:P$392,$D1452)+(P1425+P1443)*(1+$E1452),0.01)</f>
        <v/>
      </c>
      <c r="Q1452" s="35">
        <f>MAX(INDEX(Q$381:Q$392,$D1452)+(Q1425+Q1443)*(1+$E1452),0.01)</f>
        <v/>
      </c>
      <c r="R1452" s="35">
        <f>MAX(INDEX(R$381:R$392,$D1452)+(R1425+R1443)*(1+$E1452),0.01)</f>
        <v/>
      </c>
      <c r="S1452" s="35">
        <f>MAX(INDEX(S$381:S$392,$D1452)+(S1425+S1443)*(1+$E1452),0.01)</f>
        <v/>
      </c>
      <c r="T1452" s="35">
        <f>MAX(INDEX(T$381:T$392,$D1452)+(T1425+T1443)*(1+$E1452),0.01)</f>
        <v/>
      </c>
      <c r="U1452" s="35">
        <f>MAX(INDEX(U$381:U$392,$D1452)+(U1425+U1443)*(1+$E1452),0.01)</f>
        <v/>
      </c>
      <c r="V1452" s="35">
        <f>MAX(INDEX(V$381:V$392,$D1452)+(V1425+V1443)*(1+$E1452),0.01)</f>
        <v/>
      </c>
      <c r="W1452" s="35">
        <f>MAX(INDEX(W$381:W$392,$D1452)+(W1425+W1443)*(1+$E1452),0.01)</f>
        <v/>
      </c>
      <c r="X1452" s="35">
        <f>MAX(INDEX(X$381:X$392,$D1452)+(X1425+X1443)*(1+$E1452),0.01)</f>
        <v/>
      </c>
      <c r="Y1452" s="35">
        <f>MAX(INDEX(Y$381:Y$392,$D1452)+(Y1425+Y1443)*(1+$E1452),0.01)</f>
        <v/>
      </c>
      <c r="Z1452" s="35">
        <f>MAX(INDEX(Z$381:Z$392,$D1452)+(Z1425+Z1443)*(1+$E1452),0.01)</f>
        <v/>
      </c>
      <c r="AA1452" s="35">
        <f>MAX(INDEX(AA$381:AA$392,$D1452)+(AA1425+AA1443)*(1+$E1452),0.01)</f>
        <v/>
      </c>
      <c r="AB1452" s="35">
        <f>MAX(INDEX(AB$381:AB$392,$D1452)+(AB1425+AB1443)*(1+$E1452),0.01)</f>
        <v/>
      </c>
      <c r="AC1452" s="35">
        <f>MAX(INDEX(AC$381:AC$392,$D1452)+(AC1425+AC1443)*(1+$E1452),0.01)</f>
        <v/>
      </c>
      <c r="AD1452" s="35">
        <f>MAX(INDEX(AD$381:AD$392,$D1452)+(AD1425+AD1443)*(1+$E1452),0.01)</f>
        <v/>
      </c>
      <c r="AE1452" s="42">
        <f>POSTTAX(INDEX(AE$381:AE$392,$D1452),AE1425+AE1443,$E1452)</f>
        <v/>
      </c>
      <c r="AG1452" s="11">
        <f>CodePrefix&amp;$A1452&amp;IF($C1452="","","."&amp;$C1452&amp;"."&amp;$B1452)&amp;INDEX(VarEnd,MATCH($A1452,VarKey,0))&amp;AG$5</f>
        <v/>
      </c>
      <c r="AH1452" s="40">
        <f>MAX(INDEX(AH$381:AH$392,$D1452)+(AH1425+AH1443)*(1+$E1452),0.01)</f>
        <v/>
      </c>
      <c r="AI1452" s="35">
        <f>MAX(INDEX(AI$381:AI$392,$D1452)+(AI1425+AI1443)*(1+$E1452),0.01)</f>
        <v/>
      </c>
      <c r="AJ1452" s="35">
        <f>MAX(INDEX(AJ$381:AJ$392,$D1452)+(AJ1425+AJ1443)*(1+$E1452),0.01)</f>
        <v/>
      </c>
      <c r="AK1452" s="35">
        <f>MAX(INDEX(AK$381:AK$392,$D1452)+(AK1425+AK1443)*(1+$E1452),0.01)</f>
        <v/>
      </c>
      <c r="AL1452" s="35">
        <f>MAX(INDEX(AL$381:AL$392,$D1452)+(AL1425+AL1443)*(1+$E1452),0.01)</f>
        <v/>
      </c>
      <c r="AM1452" s="35">
        <f>MAX(INDEX(AM$381:AM$392,$D1452)+(AM1425+AM1443)*(1+$E1452),0.01)</f>
        <v/>
      </c>
      <c r="AN1452" s="35">
        <f>MAX(INDEX(AN$381:AN$392,$D1452)+(AN1425+AN1443)*(1+$E1452),0.01)</f>
        <v/>
      </c>
      <c r="AO1452" s="35">
        <f>MAX(INDEX(AO$381:AO$392,$D1452)+(AO1425+AO1443)*(1+$E1452),0.01)</f>
        <v/>
      </c>
      <c r="AP1452" s="35">
        <f>MAX(INDEX(AP$381:AP$392,$D1452)+(AP1425+AP1443)*(1+$E1452),0.01)</f>
        <v/>
      </c>
      <c r="AQ1452" s="35">
        <f>MAX(INDEX(AQ$381:AQ$392,$D1452)+(AQ1425+AQ1443)*(1+$E1452),0.01)</f>
        <v/>
      </c>
      <c r="AR1452" s="35">
        <f>MAX(INDEX(AR$381:AR$392,$D1452)+(AR1425+AR1443)*(1+$E1452),0.01)</f>
        <v/>
      </c>
      <c r="AS1452" s="35">
        <f>MAX(INDEX(AS$381:AS$392,$D1452)+(AS1425+AS1443)*(1+$E1452),0.01)</f>
        <v/>
      </c>
      <c r="AT1452" s="35">
        <f>MAX(INDEX(AT$381:AT$392,$D1452)+(AT1425+AT1443)*(1+$E1452),0.01)</f>
        <v/>
      </c>
      <c r="AU1452" s="35">
        <f>MAX(INDEX(AU$381:AU$392,$D1452)+(AU1425+AU1443)*(1+$E1452),0.01)</f>
        <v/>
      </c>
      <c r="AV1452" s="35">
        <f>MAX(INDEX(AV$381:AV$392,$D1452)+(AV1425+AV1443)*(1+$E1452),0.01)</f>
        <v/>
      </c>
      <c r="AW1452" s="35">
        <f>MAX(INDEX(AW$381:AW$392,$D1452)+(AW1425+AW1443)*(1+$E1452),0.01)</f>
        <v/>
      </c>
      <c r="AX1452" s="35">
        <f>MAX(INDEX(AX$381:AX$392,$D1452)+(AX1425+AX1443)*(1+$E1452),0.01)</f>
        <v/>
      </c>
      <c r="AY1452" s="35">
        <f>MAX(INDEX(AY$381:AY$392,$D1452)+(AY1425+AY1443)*(1+$E1452),0.01)</f>
        <v/>
      </c>
      <c r="AZ1452" s="35">
        <f>MAX(INDEX(AZ$381:AZ$392,$D1452)+(AZ1425+AZ1443)*(1+$E1452),0.01)</f>
        <v/>
      </c>
      <c r="BA1452" s="42">
        <f>POSTTAX(INDEX(BA$381:BA$392,$D1452),BA1425+BA1443,$E1452)</f>
        <v/>
      </c>
    </row>
    <row r="1453" hidden="1" outlineLevel="2"/>
    <row r="1454" hidden="1" outlineLevel="2">
      <c r="A1454" s="14" t="inlineStr">
        <is>
          <t>shp</t>
        </is>
      </c>
      <c r="B1454" s="14" t="inlineStr">
        <is>
          <t>coa</t>
        </is>
      </c>
      <c r="C1454" s="14" t="inlineStr">
        <is>
          <t>nav</t>
        </is>
      </c>
      <c r="D1454" s="35">
        <f>INDEX(Inputs!$W$5:$W$132,MATCH($B1454&amp;"|"&amp;$C1454,Inputs!$A$5:$A$132,0))</f>
        <v/>
      </c>
      <c r="E1454" s="35">
        <f>INDEX(Inputs!$M$5:$M$132,MATCH($B1454&amp;"|"&amp;$C1454,Inputs!$A$5:$A$132,0))</f>
        <v/>
      </c>
      <c r="F1454" s="39" t="n"/>
      <c r="G1454" s="39" t="n"/>
      <c r="H1454" s="14">
        <f>INDEX(VarLab,MATCH($A1454,VarKey,0))&amp;INDEX(MemLab,MATCH($C1454&amp;"|"&amp;$B1454,MemKey,0))</f>
        <v/>
      </c>
      <c r="I1454" s="14">
        <f>INDEX(VarUnit,MATCH($A1454,VarKey,0))</f>
        <v/>
      </c>
      <c r="J1454" s="14">
        <f>INDEX(VarSrc,MATCH($A1454,VarKey,0))</f>
        <v/>
      </c>
      <c r="K1454" s="11">
        <f>CodePrefix&amp;$A1454&amp;IF($C1454="","","."&amp;$C1454&amp;"."&amp;$B1454)&amp;INDEX(VarEnd,MATCH($A1454,VarKey,0))&amp;K$5</f>
        <v/>
      </c>
      <c r="L1454" s="40">
        <f>INDEX(L$297:L$313,$E1454)*$D1454</f>
        <v/>
      </c>
      <c r="M1454" s="35">
        <f>INDEX(M$297:M$313,$E1454)*$D1454</f>
        <v/>
      </c>
      <c r="N1454" s="35">
        <f>INDEX(N$297:N$313,$E1454)*$D1454</f>
        <v/>
      </c>
      <c r="O1454" s="35">
        <f>INDEX(O$297:O$313,$E1454)*$D1454</f>
        <v/>
      </c>
      <c r="P1454" s="35">
        <f>INDEX(P$297:P$313,$E1454)*$D1454</f>
        <v/>
      </c>
      <c r="Q1454" s="35">
        <f>INDEX(Q$297:Q$313,$E1454)*$D1454</f>
        <v/>
      </c>
      <c r="R1454" s="35">
        <f>INDEX(R$297:R$313,$E1454)*$D1454</f>
        <v/>
      </c>
      <c r="S1454" s="35">
        <f>INDEX(S$297:S$313,$E1454)*$D1454</f>
        <v/>
      </c>
      <c r="T1454" s="35">
        <f>INDEX(T$297:T$313,$E1454)*$D1454</f>
        <v/>
      </c>
      <c r="U1454" s="35">
        <f>INDEX(U$297:U$313,$E1454)*$D1454</f>
        <v/>
      </c>
      <c r="V1454" s="35">
        <f>INDEX(V$297:V$313,$E1454)*$D1454</f>
        <v/>
      </c>
      <c r="W1454" s="35">
        <f>INDEX(W$297:W$313,$E1454)*$D1454</f>
        <v/>
      </c>
      <c r="X1454" s="35">
        <f>INDEX(X$297:X$313,$E1454)*$D1454</f>
        <v/>
      </c>
      <c r="Y1454" s="35">
        <f>INDEX(Y$297:Y$313,$E1454)*$D1454</f>
        <v/>
      </c>
      <c r="Z1454" s="35">
        <f>INDEX(Z$297:Z$313,$E1454)*$D1454</f>
        <v/>
      </c>
      <c r="AA1454" s="35">
        <f>INDEX(AA$297:AA$313,$E1454)*$D1454</f>
        <v/>
      </c>
      <c r="AB1454" s="35">
        <f>INDEX(AB$297:AB$313,$E1454)*$D1454</f>
        <v/>
      </c>
      <c r="AC1454" s="35">
        <f>INDEX(AC$297:AC$313,$E1454)*$D1454</f>
        <v/>
      </c>
      <c r="AD1454" s="35">
        <f>INDEX(AD$297:AD$313,$E1454)*$D1454</f>
        <v/>
      </c>
      <c r="AE1454" s="42">
        <f>SHADOWGJ(INDEX(AE$297:AE$313,$E1454),$D1454)</f>
        <v/>
      </c>
      <c r="AG1454" s="11">
        <f>CodePrefix&amp;$A1454&amp;IF($C1454="","","."&amp;$C1454&amp;"."&amp;$B1454)&amp;INDEX(VarEnd,MATCH($A1454,VarKey,0))&amp;AG$5</f>
        <v/>
      </c>
      <c r="AH1454" s="40">
        <f>INDEX(AH$297:AH$313,$E1454)*$D1454</f>
        <v/>
      </c>
      <c r="AI1454" s="35">
        <f>INDEX(AI$297:AI$313,$E1454)*$D1454</f>
        <v/>
      </c>
      <c r="AJ1454" s="35">
        <f>INDEX(AJ$297:AJ$313,$E1454)*$D1454</f>
        <v/>
      </c>
      <c r="AK1454" s="35">
        <f>INDEX(AK$297:AK$313,$E1454)*$D1454</f>
        <v/>
      </c>
      <c r="AL1454" s="35">
        <f>INDEX(AL$297:AL$313,$E1454)*$D1454</f>
        <v/>
      </c>
      <c r="AM1454" s="35">
        <f>INDEX(AM$297:AM$313,$E1454)*$D1454</f>
        <v/>
      </c>
      <c r="AN1454" s="35">
        <f>INDEX(AN$297:AN$313,$E1454)*$D1454</f>
        <v/>
      </c>
      <c r="AO1454" s="35">
        <f>INDEX(AO$297:AO$313,$E1454)*$D1454</f>
        <v/>
      </c>
      <c r="AP1454" s="35">
        <f>INDEX(AP$297:AP$313,$E1454)*$D1454</f>
        <v/>
      </c>
      <c r="AQ1454" s="35">
        <f>INDEX(AQ$297:AQ$313,$E1454)*$D1454</f>
        <v/>
      </c>
      <c r="AR1454" s="35">
        <f>INDEX(AR$297:AR$313,$E1454)*$D1454</f>
        <v/>
      </c>
      <c r="AS1454" s="35">
        <f>INDEX(AS$297:AS$313,$E1454)*$D1454</f>
        <v/>
      </c>
      <c r="AT1454" s="35">
        <f>INDEX(AT$297:AT$313,$E1454)*$D1454</f>
        <v/>
      </c>
      <c r="AU1454" s="35">
        <f>INDEX(AU$297:AU$313,$E1454)*$D1454</f>
        <v/>
      </c>
      <c r="AV1454" s="35">
        <f>INDEX(AV$297:AV$313,$E1454)*$D1454</f>
        <v/>
      </c>
      <c r="AW1454" s="35">
        <f>INDEX(AW$297:AW$313,$E1454)*$D1454</f>
        <v/>
      </c>
      <c r="AX1454" s="35">
        <f>INDEX(AX$297:AX$313,$E1454)*$D1454</f>
        <v/>
      </c>
      <c r="AY1454" s="35">
        <f>INDEX(AY$297:AY$313,$E1454)*$D1454</f>
        <v/>
      </c>
      <c r="AZ1454" s="35">
        <f>INDEX(AZ$297:AZ$313,$E1454)*$D1454</f>
        <v/>
      </c>
      <c r="BA1454" s="42">
        <f>SHADOWGJ(INDEX(BA$297:BA$313,$E1454),$D1454)</f>
        <v/>
      </c>
    </row>
    <row r="1455" hidden="1" outlineLevel="2">
      <c r="A1455" s="14" t="inlineStr">
        <is>
          <t>shp</t>
        </is>
      </c>
      <c r="B1455" s="14" t="inlineStr">
        <is>
          <t>nga</t>
        </is>
      </c>
      <c r="C1455" s="14" t="inlineStr">
        <is>
          <t>nav</t>
        </is>
      </c>
      <c r="D1455" s="35">
        <f>INDEX(Inputs!$W$5:$W$132,MATCH($B1455&amp;"|"&amp;$C1455,Inputs!$A$5:$A$132,0))</f>
        <v/>
      </c>
      <c r="E1455" s="35">
        <f>INDEX(Inputs!$M$5:$M$132,MATCH($B1455&amp;"|"&amp;$C1455,Inputs!$A$5:$A$132,0))</f>
        <v/>
      </c>
      <c r="F1455" s="39" t="n"/>
      <c r="G1455" s="39" t="n"/>
      <c r="H1455" s="14">
        <f>INDEX(VarLab,MATCH($A1455,VarKey,0))&amp;INDEX(MemLab,MATCH($C1455&amp;"|"&amp;$B1455,MemKey,0))</f>
        <v/>
      </c>
      <c r="I1455" s="14">
        <f>INDEX(VarUnit,MATCH($A1455,VarKey,0))</f>
        <v/>
      </c>
      <c r="J1455" s="14">
        <f>INDEX(VarSrc,MATCH($A1455,VarKey,0))</f>
        <v/>
      </c>
      <c r="K1455" s="11">
        <f>CodePrefix&amp;$A1455&amp;IF($C1455="","","."&amp;$C1455&amp;"."&amp;$B1455)&amp;INDEX(VarEnd,MATCH($A1455,VarKey,0))&amp;K$5</f>
        <v/>
      </c>
      <c r="L1455" s="40">
        <f>INDEX(L$297:L$313,$E1455)*$D1455</f>
        <v/>
      </c>
      <c r="M1455" s="35">
        <f>INDEX(M$297:M$313,$E1455)*$D1455</f>
        <v/>
      </c>
      <c r="N1455" s="35">
        <f>INDEX(N$297:N$313,$E1455)*$D1455</f>
        <v/>
      </c>
      <c r="O1455" s="35">
        <f>INDEX(O$297:O$313,$E1455)*$D1455</f>
        <v/>
      </c>
      <c r="P1455" s="35">
        <f>INDEX(P$297:P$313,$E1455)*$D1455</f>
        <v/>
      </c>
      <c r="Q1455" s="35">
        <f>INDEX(Q$297:Q$313,$E1455)*$D1455</f>
        <v/>
      </c>
      <c r="R1455" s="35">
        <f>INDEX(R$297:R$313,$E1455)*$D1455</f>
        <v/>
      </c>
      <c r="S1455" s="35">
        <f>INDEX(S$297:S$313,$E1455)*$D1455</f>
        <v/>
      </c>
      <c r="T1455" s="35">
        <f>INDEX(T$297:T$313,$E1455)*$D1455</f>
        <v/>
      </c>
      <c r="U1455" s="35">
        <f>INDEX(U$297:U$313,$E1455)*$D1455</f>
        <v/>
      </c>
      <c r="V1455" s="35">
        <f>INDEX(V$297:V$313,$E1455)*$D1455</f>
        <v/>
      </c>
      <c r="W1455" s="35">
        <f>INDEX(W$297:W$313,$E1455)*$D1455</f>
        <v/>
      </c>
      <c r="X1455" s="35">
        <f>INDEX(X$297:X$313,$E1455)*$D1455</f>
        <v/>
      </c>
      <c r="Y1455" s="35">
        <f>INDEX(Y$297:Y$313,$E1455)*$D1455</f>
        <v/>
      </c>
      <c r="Z1455" s="35">
        <f>INDEX(Z$297:Z$313,$E1455)*$D1455</f>
        <v/>
      </c>
      <c r="AA1455" s="35">
        <f>INDEX(AA$297:AA$313,$E1455)*$D1455</f>
        <v/>
      </c>
      <c r="AB1455" s="35">
        <f>INDEX(AB$297:AB$313,$E1455)*$D1455</f>
        <v/>
      </c>
      <c r="AC1455" s="35">
        <f>INDEX(AC$297:AC$313,$E1455)*$D1455</f>
        <v/>
      </c>
      <c r="AD1455" s="35">
        <f>INDEX(AD$297:AD$313,$E1455)*$D1455</f>
        <v/>
      </c>
      <c r="AE1455" s="42">
        <f>SHADOWGJ(INDEX(AE$297:AE$313,$E1455),$D1455)</f>
        <v/>
      </c>
      <c r="AG1455" s="11">
        <f>CodePrefix&amp;$A1455&amp;IF($C1455="","","."&amp;$C1455&amp;"."&amp;$B1455)&amp;INDEX(VarEnd,MATCH($A1455,VarKey,0))&amp;AG$5</f>
        <v/>
      </c>
      <c r="AH1455" s="40">
        <f>INDEX(AH$297:AH$313,$E1455)*$D1455</f>
        <v/>
      </c>
      <c r="AI1455" s="35">
        <f>INDEX(AI$297:AI$313,$E1455)*$D1455</f>
        <v/>
      </c>
      <c r="AJ1455" s="35">
        <f>INDEX(AJ$297:AJ$313,$E1455)*$D1455</f>
        <v/>
      </c>
      <c r="AK1455" s="35">
        <f>INDEX(AK$297:AK$313,$E1455)*$D1455</f>
        <v/>
      </c>
      <c r="AL1455" s="35">
        <f>INDEX(AL$297:AL$313,$E1455)*$D1455</f>
        <v/>
      </c>
      <c r="AM1455" s="35">
        <f>INDEX(AM$297:AM$313,$E1455)*$D1455</f>
        <v/>
      </c>
      <c r="AN1455" s="35">
        <f>INDEX(AN$297:AN$313,$E1455)*$D1455</f>
        <v/>
      </c>
      <c r="AO1455" s="35">
        <f>INDEX(AO$297:AO$313,$E1455)*$D1455</f>
        <v/>
      </c>
      <c r="AP1455" s="35">
        <f>INDEX(AP$297:AP$313,$E1455)*$D1455</f>
        <v/>
      </c>
      <c r="AQ1455" s="35">
        <f>INDEX(AQ$297:AQ$313,$E1455)*$D1455</f>
        <v/>
      </c>
      <c r="AR1455" s="35">
        <f>INDEX(AR$297:AR$313,$E1455)*$D1455</f>
        <v/>
      </c>
      <c r="AS1455" s="35">
        <f>INDEX(AS$297:AS$313,$E1455)*$D1455</f>
        <v/>
      </c>
      <c r="AT1455" s="35">
        <f>INDEX(AT$297:AT$313,$E1455)*$D1455</f>
        <v/>
      </c>
      <c r="AU1455" s="35">
        <f>INDEX(AU$297:AU$313,$E1455)*$D1455</f>
        <v/>
      </c>
      <c r="AV1455" s="35">
        <f>INDEX(AV$297:AV$313,$E1455)*$D1455</f>
        <v/>
      </c>
      <c r="AW1455" s="35">
        <f>INDEX(AW$297:AW$313,$E1455)*$D1455</f>
        <v/>
      </c>
      <c r="AX1455" s="35">
        <f>INDEX(AX$297:AX$313,$E1455)*$D1455</f>
        <v/>
      </c>
      <c r="AY1455" s="35">
        <f>INDEX(AY$297:AY$313,$E1455)*$D1455</f>
        <v/>
      </c>
      <c r="AZ1455" s="35">
        <f>INDEX(AZ$297:AZ$313,$E1455)*$D1455</f>
        <v/>
      </c>
      <c r="BA1455" s="42">
        <f>SHADOWGJ(INDEX(BA$297:BA$313,$E1455),$D1455)</f>
        <v/>
      </c>
    </row>
    <row r="1456" hidden="1" outlineLevel="2">
      <c r="A1456" s="14" t="inlineStr">
        <is>
          <t>shp</t>
        </is>
      </c>
      <c r="B1456" s="14" t="inlineStr">
        <is>
          <t>gso</t>
        </is>
      </c>
      <c r="C1456" s="14" t="inlineStr">
        <is>
          <t>nav</t>
        </is>
      </c>
      <c r="D1456" s="35">
        <f>INDEX(Inputs!$W$5:$W$132,MATCH($B1456&amp;"|"&amp;$C1456,Inputs!$A$5:$A$132,0))</f>
        <v/>
      </c>
      <c r="E1456" s="35">
        <f>INDEX(Inputs!$M$5:$M$132,MATCH($B1456&amp;"|"&amp;$C1456,Inputs!$A$5:$A$132,0))</f>
        <v/>
      </c>
      <c r="F1456" s="39" t="n"/>
      <c r="G1456" s="39" t="n"/>
      <c r="H1456" s="14">
        <f>INDEX(VarLab,MATCH($A1456,VarKey,0))&amp;INDEX(MemLab,MATCH($C1456&amp;"|"&amp;$B1456,MemKey,0))</f>
        <v/>
      </c>
      <c r="I1456" s="14">
        <f>INDEX(VarUnit,MATCH($A1456,VarKey,0))</f>
        <v/>
      </c>
      <c r="J1456" s="14">
        <f>INDEX(VarSrc,MATCH($A1456,VarKey,0))</f>
        <v/>
      </c>
      <c r="K1456" s="11">
        <f>CodePrefix&amp;$A1456&amp;IF($C1456="","","."&amp;$C1456&amp;"."&amp;$B1456)&amp;INDEX(VarEnd,MATCH($A1456,VarKey,0))&amp;K$5</f>
        <v/>
      </c>
      <c r="L1456" s="40">
        <f>INDEX(L$297:L$313,$E1456)*$D1456</f>
        <v/>
      </c>
      <c r="M1456" s="35">
        <f>INDEX(M$297:M$313,$E1456)*$D1456</f>
        <v/>
      </c>
      <c r="N1456" s="35">
        <f>INDEX(N$297:N$313,$E1456)*$D1456</f>
        <v/>
      </c>
      <c r="O1456" s="35">
        <f>INDEX(O$297:O$313,$E1456)*$D1456</f>
        <v/>
      </c>
      <c r="P1456" s="35">
        <f>INDEX(P$297:P$313,$E1456)*$D1456</f>
        <v/>
      </c>
      <c r="Q1456" s="35">
        <f>INDEX(Q$297:Q$313,$E1456)*$D1456</f>
        <v/>
      </c>
      <c r="R1456" s="35">
        <f>INDEX(R$297:R$313,$E1456)*$D1456</f>
        <v/>
      </c>
      <c r="S1456" s="35">
        <f>INDEX(S$297:S$313,$E1456)*$D1456</f>
        <v/>
      </c>
      <c r="T1456" s="35">
        <f>INDEX(T$297:T$313,$E1456)*$D1456</f>
        <v/>
      </c>
      <c r="U1456" s="35">
        <f>INDEX(U$297:U$313,$E1456)*$D1456</f>
        <v/>
      </c>
      <c r="V1456" s="35">
        <f>INDEX(V$297:V$313,$E1456)*$D1456</f>
        <v/>
      </c>
      <c r="W1456" s="35">
        <f>INDEX(W$297:W$313,$E1456)*$D1456</f>
        <v/>
      </c>
      <c r="X1456" s="35">
        <f>INDEX(X$297:X$313,$E1456)*$D1456</f>
        <v/>
      </c>
      <c r="Y1456" s="35">
        <f>INDEX(Y$297:Y$313,$E1456)*$D1456</f>
        <v/>
      </c>
      <c r="Z1456" s="35">
        <f>INDEX(Z$297:Z$313,$E1456)*$D1456</f>
        <v/>
      </c>
      <c r="AA1456" s="35">
        <f>INDEX(AA$297:AA$313,$E1456)*$D1456</f>
        <v/>
      </c>
      <c r="AB1456" s="35">
        <f>INDEX(AB$297:AB$313,$E1456)*$D1456</f>
        <v/>
      </c>
      <c r="AC1456" s="35">
        <f>INDEX(AC$297:AC$313,$E1456)*$D1456</f>
        <v/>
      </c>
      <c r="AD1456" s="35">
        <f>INDEX(AD$297:AD$313,$E1456)*$D1456</f>
        <v/>
      </c>
      <c r="AE1456" s="42">
        <f>SHADOWGJ(INDEX(AE$297:AE$313,$E1456),$D1456)</f>
        <v/>
      </c>
      <c r="AG1456" s="11">
        <f>CodePrefix&amp;$A1456&amp;IF($C1456="","","."&amp;$C1456&amp;"."&amp;$B1456)&amp;INDEX(VarEnd,MATCH($A1456,VarKey,0))&amp;AG$5</f>
        <v/>
      </c>
      <c r="AH1456" s="40">
        <f>INDEX(AH$297:AH$313,$E1456)*$D1456</f>
        <v/>
      </c>
      <c r="AI1456" s="35">
        <f>INDEX(AI$297:AI$313,$E1456)*$D1456</f>
        <v/>
      </c>
      <c r="AJ1456" s="35">
        <f>INDEX(AJ$297:AJ$313,$E1456)*$D1456</f>
        <v/>
      </c>
      <c r="AK1456" s="35">
        <f>INDEX(AK$297:AK$313,$E1456)*$D1456</f>
        <v/>
      </c>
      <c r="AL1456" s="35">
        <f>INDEX(AL$297:AL$313,$E1456)*$D1456</f>
        <v/>
      </c>
      <c r="AM1456" s="35">
        <f>INDEX(AM$297:AM$313,$E1456)*$D1456</f>
        <v/>
      </c>
      <c r="AN1456" s="35">
        <f>INDEX(AN$297:AN$313,$E1456)*$D1456</f>
        <v/>
      </c>
      <c r="AO1456" s="35">
        <f>INDEX(AO$297:AO$313,$E1456)*$D1456</f>
        <v/>
      </c>
      <c r="AP1456" s="35">
        <f>INDEX(AP$297:AP$313,$E1456)*$D1456</f>
        <v/>
      </c>
      <c r="AQ1456" s="35">
        <f>INDEX(AQ$297:AQ$313,$E1456)*$D1456</f>
        <v/>
      </c>
      <c r="AR1456" s="35">
        <f>INDEX(AR$297:AR$313,$E1456)*$D1456</f>
        <v/>
      </c>
      <c r="AS1456" s="35">
        <f>INDEX(AS$297:AS$313,$E1456)*$D1456</f>
        <v/>
      </c>
      <c r="AT1456" s="35">
        <f>INDEX(AT$297:AT$313,$E1456)*$D1456</f>
        <v/>
      </c>
      <c r="AU1456" s="35">
        <f>INDEX(AU$297:AU$313,$E1456)*$D1456</f>
        <v/>
      </c>
      <c r="AV1456" s="35">
        <f>INDEX(AV$297:AV$313,$E1456)*$D1456</f>
        <v/>
      </c>
      <c r="AW1456" s="35">
        <f>INDEX(AW$297:AW$313,$E1456)*$D1456</f>
        <v/>
      </c>
      <c r="AX1456" s="35">
        <f>INDEX(AX$297:AX$313,$E1456)*$D1456</f>
        <v/>
      </c>
      <c r="AY1456" s="35">
        <f>INDEX(AY$297:AY$313,$E1456)*$D1456</f>
        <v/>
      </c>
      <c r="AZ1456" s="35">
        <f>INDEX(AZ$297:AZ$313,$E1456)*$D1456</f>
        <v/>
      </c>
      <c r="BA1456" s="42">
        <f>SHADOWGJ(INDEX(BA$297:BA$313,$E1456),$D1456)</f>
        <v/>
      </c>
    </row>
    <row r="1457" hidden="1" outlineLevel="2">
      <c r="A1457" s="14" t="inlineStr">
        <is>
          <t>shp</t>
        </is>
      </c>
      <c r="B1457" s="14" t="inlineStr">
        <is>
          <t>die</t>
        </is>
      </c>
      <c r="C1457" s="14" t="inlineStr">
        <is>
          <t>nav</t>
        </is>
      </c>
      <c r="D1457" s="35">
        <f>INDEX(Inputs!$W$5:$W$132,MATCH($B1457&amp;"|"&amp;$C1457,Inputs!$A$5:$A$132,0))</f>
        <v/>
      </c>
      <c r="E1457" s="35">
        <f>INDEX(Inputs!$M$5:$M$132,MATCH($B1457&amp;"|"&amp;$C1457,Inputs!$A$5:$A$132,0))</f>
        <v/>
      </c>
      <c r="F1457" s="39" t="n"/>
      <c r="G1457" s="39" t="n"/>
      <c r="H1457" s="14">
        <f>INDEX(VarLab,MATCH($A1457,VarKey,0))&amp;INDEX(MemLab,MATCH($C1457&amp;"|"&amp;$B1457,MemKey,0))</f>
        <v/>
      </c>
      <c r="I1457" s="14">
        <f>INDEX(VarUnit,MATCH($A1457,VarKey,0))</f>
        <v/>
      </c>
      <c r="J1457" s="14">
        <f>INDEX(VarSrc,MATCH($A1457,VarKey,0))</f>
        <v/>
      </c>
      <c r="K1457" s="11">
        <f>CodePrefix&amp;$A1457&amp;IF($C1457="","","."&amp;$C1457&amp;"."&amp;$B1457)&amp;INDEX(VarEnd,MATCH($A1457,VarKey,0))&amp;K$5</f>
        <v/>
      </c>
      <c r="L1457" s="40">
        <f>INDEX(L$297:L$313,$E1457)*$D1457</f>
        <v/>
      </c>
      <c r="M1457" s="35">
        <f>INDEX(M$297:M$313,$E1457)*$D1457</f>
        <v/>
      </c>
      <c r="N1457" s="35">
        <f>INDEX(N$297:N$313,$E1457)*$D1457</f>
        <v/>
      </c>
      <c r="O1457" s="35">
        <f>INDEX(O$297:O$313,$E1457)*$D1457</f>
        <v/>
      </c>
      <c r="P1457" s="35">
        <f>INDEX(P$297:P$313,$E1457)*$D1457</f>
        <v/>
      </c>
      <c r="Q1457" s="35">
        <f>INDEX(Q$297:Q$313,$E1457)*$D1457</f>
        <v/>
      </c>
      <c r="R1457" s="35">
        <f>INDEX(R$297:R$313,$E1457)*$D1457</f>
        <v/>
      </c>
      <c r="S1457" s="35">
        <f>INDEX(S$297:S$313,$E1457)*$D1457</f>
        <v/>
      </c>
      <c r="T1457" s="35">
        <f>INDEX(T$297:T$313,$E1457)*$D1457</f>
        <v/>
      </c>
      <c r="U1457" s="35">
        <f>INDEX(U$297:U$313,$E1457)*$D1457</f>
        <v/>
      </c>
      <c r="V1457" s="35">
        <f>INDEX(V$297:V$313,$E1457)*$D1457</f>
        <v/>
      </c>
      <c r="W1457" s="35">
        <f>INDEX(W$297:W$313,$E1457)*$D1457</f>
        <v/>
      </c>
      <c r="X1457" s="35">
        <f>INDEX(X$297:X$313,$E1457)*$D1457</f>
        <v/>
      </c>
      <c r="Y1457" s="35">
        <f>INDEX(Y$297:Y$313,$E1457)*$D1457</f>
        <v/>
      </c>
      <c r="Z1457" s="35">
        <f>INDEX(Z$297:Z$313,$E1457)*$D1457</f>
        <v/>
      </c>
      <c r="AA1457" s="35">
        <f>INDEX(AA$297:AA$313,$E1457)*$D1457</f>
        <v/>
      </c>
      <c r="AB1457" s="35">
        <f>INDEX(AB$297:AB$313,$E1457)*$D1457</f>
        <v/>
      </c>
      <c r="AC1457" s="35">
        <f>INDEX(AC$297:AC$313,$E1457)*$D1457</f>
        <v/>
      </c>
      <c r="AD1457" s="35">
        <f>INDEX(AD$297:AD$313,$E1457)*$D1457</f>
        <v/>
      </c>
      <c r="AE1457" s="42">
        <f>SHADOWGJ(INDEX(AE$297:AE$313,$E1457),$D1457)</f>
        <v/>
      </c>
      <c r="AG1457" s="11">
        <f>CodePrefix&amp;$A1457&amp;IF($C1457="","","."&amp;$C1457&amp;"."&amp;$B1457)&amp;INDEX(VarEnd,MATCH($A1457,VarKey,0))&amp;AG$5</f>
        <v/>
      </c>
      <c r="AH1457" s="40">
        <f>INDEX(AH$297:AH$313,$E1457)*$D1457</f>
        <v/>
      </c>
      <c r="AI1457" s="35">
        <f>INDEX(AI$297:AI$313,$E1457)*$D1457</f>
        <v/>
      </c>
      <c r="AJ1457" s="35">
        <f>INDEX(AJ$297:AJ$313,$E1457)*$D1457</f>
        <v/>
      </c>
      <c r="AK1457" s="35">
        <f>INDEX(AK$297:AK$313,$E1457)*$D1457</f>
        <v/>
      </c>
      <c r="AL1457" s="35">
        <f>INDEX(AL$297:AL$313,$E1457)*$D1457</f>
        <v/>
      </c>
      <c r="AM1457" s="35">
        <f>INDEX(AM$297:AM$313,$E1457)*$D1457</f>
        <v/>
      </c>
      <c r="AN1457" s="35">
        <f>INDEX(AN$297:AN$313,$E1457)*$D1457</f>
        <v/>
      </c>
      <c r="AO1457" s="35">
        <f>INDEX(AO$297:AO$313,$E1457)*$D1457</f>
        <v/>
      </c>
      <c r="AP1457" s="35">
        <f>INDEX(AP$297:AP$313,$E1457)*$D1457</f>
        <v/>
      </c>
      <c r="AQ1457" s="35">
        <f>INDEX(AQ$297:AQ$313,$E1457)*$D1457</f>
        <v/>
      </c>
      <c r="AR1457" s="35">
        <f>INDEX(AR$297:AR$313,$E1457)*$D1457</f>
        <v/>
      </c>
      <c r="AS1457" s="35">
        <f>INDEX(AS$297:AS$313,$E1457)*$D1457</f>
        <v/>
      </c>
      <c r="AT1457" s="35">
        <f>INDEX(AT$297:AT$313,$E1457)*$D1457</f>
        <v/>
      </c>
      <c r="AU1457" s="35">
        <f>INDEX(AU$297:AU$313,$E1457)*$D1457</f>
        <v/>
      </c>
      <c r="AV1457" s="35">
        <f>INDEX(AV$297:AV$313,$E1457)*$D1457</f>
        <v/>
      </c>
      <c r="AW1457" s="35">
        <f>INDEX(AW$297:AW$313,$E1457)*$D1457</f>
        <v/>
      </c>
      <c r="AX1457" s="35">
        <f>INDEX(AX$297:AX$313,$E1457)*$D1457</f>
        <v/>
      </c>
      <c r="AY1457" s="35">
        <f>INDEX(AY$297:AY$313,$E1457)*$D1457</f>
        <v/>
      </c>
      <c r="AZ1457" s="35">
        <f>INDEX(AZ$297:AZ$313,$E1457)*$D1457</f>
        <v/>
      </c>
      <c r="BA1457" s="42">
        <f>SHADOWGJ(INDEX(BA$297:BA$313,$E1457),$D1457)</f>
        <v/>
      </c>
    </row>
    <row r="1458" hidden="1" outlineLevel="2">
      <c r="A1458" s="14" t="inlineStr">
        <is>
          <t>shp</t>
        </is>
      </c>
      <c r="B1458" s="14" t="inlineStr">
        <is>
          <t>lpg</t>
        </is>
      </c>
      <c r="C1458" s="14" t="inlineStr">
        <is>
          <t>nav</t>
        </is>
      </c>
      <c r="D1458" s="35">
        <f>INDEX(Inputs!$W$5:$W$132,MATCH($B1458&amp;"|"&amp;$C1458,Inputs!$A$5:$A$132,0))</f>
        <v/>
      </c>
      <c r="E1458" s="35">
        <f>INDEX(Inputs!$M$5:$M$132,MATCH($B1458&amp;"|"&amp;$C1458,Inputs!$A$5:$A$132,0))</f>
        <v/>
      </c>
      <c r="F1458" s="39" t="n"/>
      <c r="G1458" s="39" t="n"/>
      <c r="H1458" s="14">
        <f>INDEX(VarLab,MATCH($A1458,VarKey,0))&amp;INDEX(MemLab,MATCH($C1458&amp;"|"&amp;$B1458,MemKey,0))</f>
        <v/>
      </c>
      <c r="I1458" s="14">
        <f>INDEX(VarUnit,MATCH($A1458,VarKey,0))</f>
        <v/>
      </c>
      <c r="J1458" s="14">
        <f>INDEX(VarSrc,MATCH($A1458,VarKey,0))</f>
        <v/>
      </c>
      <c r="K1458" s="11">
        <f>CodePrefix&amp;$A1458&amp;IF($C1458="","","."&amp;$C1458&amp;"."&amp;$B1458)&amp;INDEX(VarEnd,MATCH($A1458,VarKey,0))&amp;K$5</f>
        <v/>
      </c>
      <c r="L1458" s="40">
        <f>INDEX(L$297:L$313,$E1458)*$D1458</f>
        <v/>
      </c>
      <c r="M1458" s="35">
        <f>INDEX(M$297:M$313,$E1458)*$D1458</f>
        <v/>
      </c>
      <c r="N1458" s="35">
        <f>INDEX(N$297:N$313,$E1458)*$D1458</f>
        <v/>
      </c>
      <c r="O1458" s="35">
        <f>INDEX(O$297:O$313,$E1458)*$D1458</f>
        <v/>
      </c>
      <c r="P1458" s="35">
        <f>INDEX(P$297:P$313,$E1458)*$D1458</f>
        <v/>
      </c>
      <c r="Q1458" s="35">
        <f>INDEX(Q$297:Q$313,$E1458)*$D1458</f>
        <v/>
      </c>
      <c r="R1458" s="35">
        <f>INDEX(R$297:R$313,$E1458)*$D1458</f>
        <v/>
      </c>
      <c r="S1458" s="35">
        <f>INDEX(S$297:S$313,$E1458)*$D1458</f>
        <v/>
      </c>
      <c r="T1458" s="35">
        <f>INDEX(T$297:T$313,$E1458)*$D1458</f>
        <v/>
      </c>
      <c r="U1458" s="35">
        <f>INDEX(U$297:U$313,$E1458)*$D1458</f>
        <v/>
      </c>
      <c r="V1458" s="35">
        <f>INDEX(V$297:V$313,$E1458)*$D1458</f>
        <v/>
      </c>
      <c r="W1458" s="35">
        <f>INDEX(W$297:W$313,$E1458)*$D1458</f>
        <v/>
      </c>
      <c r="X1458" s="35">
        <f>INDEX(X$297:X$313,$E1458)*$D1458</f>
        <v/>
      </c>
      <c r="Y1458" s="35">
        <f>INDEX(Y$297:Y$313,$E1458)*$D1458</f>
        <v/>
      </c>
      <c r="Z1458" s="35">
        <f>INDEX(Z$297:Z$313,$E1458)*$D1458</f>
        <v/>
      </c>
      <c r="AA1458" s="35">
        <f>INDEX(AA$297:AA$313,$E1458)*$D1458</f>
        <v/>
      </c>
      <c r="AB1458" s="35">
        <f>INDEX(AB$297:AB$313,$E1458)*$D1458</f>
        <v/>
      </c>
      <c r="AC1458" s="35">
        <f>INDEX(AC$297:AC$313,$E1458)*$D1458</f>
        <v/>
      </c>
      <c r="AD1458" s="35">
        <f>INDEX(AD$297:AD$313,$E1458)*$D1458</f>
        <v/>
      </c>
      <c r="AE1458" s="42">
        <f>SHADOWGJ(INDEX(AE$297:AE$313,$E1458),$D1458)</f>
        <v/>
      </c>
      <c r="AG1458" s="11">
        <f>CodePrefix&amp;$A1458&amp;IF($C1458="","","."&amp;$C1458&amp;"."&amp;$B1458)&amp;INDEX(VarEnd,MATCH($A1458,VarKey,0))&amp;AG$5</f>
        <v/>
      </c>
      <c r="AH1458" s="40">
        <f>INDEX(AH$297:AH$313,$E1458)*$D1458</f>
        <v/>
      </c>
      <c r="AI1458" s="35">
        <f>INDEX(AI$297:AI$313,$E1458)*$D1458</f>
        <v/>
      </c>
      <c r="AJ1458" s="35">
        <f>INDEX(AJ$297:AJ$313,$E1458)*$D1458</f>
        <v/>
      </c>
      <c r="AK1458" s="35">
        <f>INDEX(AK$297:AK$313,$E1458)*$D1458</f>
        <v/>
      </c>
      <c r="AL1458" s="35">
        <f>INDEX(AL$297:AL$313,$E1458)*$D1458</f>
        <v/>
      </c>
      <c r="AM1458" s="35">
        <f>INDEX(AM$297:AM$313,$E1458)*$D1458</f>
        <v/>
      </c>
      <c r="AN1458" s="35">
        <f>INDEX(AN$297:AN$313,$E1458)*$D1458</f>
        <v/>
      </c>
      <c r="AO1458" s="35">
        <f>INDEX(AO$297:AO$313,$E1458)*$D1458</f>
        <v/>
      </c>
      <c r="AP1458" s="35">
        <f>INDEX(AP$297:AP$313,$E1458)*$D1458</f>
        <v/>
      </c>
      <c r="AQ1458" s="35">
        <f>INDEX(AQ$297:AQ$313,$E1458)*$D1458</f>
        <v/>
      </c>
      <c r="AR1458" s="35">
        <f>INDEX(AR$297:AR$313,$E1458)*$D1458</f>
        <v/>
      </c>
      <c r="AS1458" s="35">
        <f>INDEX(AS$297:AS$313,$E1458)*$D1458</f>
        <v/>
      </c>
      <c r="AT1458" s="35">
        <f>INDEX(AT$297:AT$313,$E1458)*$D1458</f>
        <v/>
      </c>
      <c r="AU1458" s="35">
        <f>INDEX(AU$297:AU$313,$E1458)*$D1458</f>
        <v/>
      </c>
      <c r="AV1458" s="35">
        <f>INDEX(AV$297:AV$313,$E1458)*$D1458</f>
        <v/>
      </c>
      <c r="AW1458" s="35">
        <f>INDEX(AW$297:AW$313,$E1458)*$D1458</f>
        <v/>
      </c>
      <c r="AX1458" s="35">
        <f>INDEX(AX$297:AX$313,$E1458)*$D1458</f>
        <v/>
      </c>
      <c r="AY1458" s="35">
        <f>INDEX(AY$297:AY$313,$E1458)*$D1458</f>
        <v/>
      </c>
      <c r="AZ1458" s="35">
        <f>INDEX(AZ$297:AZ$313,$E1458)*$D1458</f>
        <v/>
      </c>
      <c r="BA1458" s="42">
        <f>SHADOWGJ(INDEX(BA$297:BA$313,$E1458),$D1458)</f>
        <v/>
      </c>
    </row>
    <row r="1459" hidden="1" outlineLevel="2">
      <c r="A1459" s="14" t="inlineStr">
        <is>
          <t>shp</t>
        </is>
      </c>
      <c r="B1459" s="14" t="inlineStr">
        <is>
          <t>ker</t>
        </is>
      </c>
      <c r="C1459" s="14" t="inlineStr">
        <is>
          <t>nav</t>
        </is>
      </c>
      <c r="D1459" s="35">
        <f>INDEX(Inputs!$W$5:$W$132,MATCH($B1459&amp;"|"&amp;$C1459,Inputs!$A$5:$A$132,0))</f>
        <v/>
      </c>
      <c r="E1459" s="35">
        <f>INDEX(Inputs!$M$5:$M$132,MATCH($B1459&amp;"|"&amp;$C1459,Inputs!$A$5:$A$132,0))</f>
        <v/>
      </c>
      <c r="F1459" s="39" t="n"/>
      <c r="G1459" s="39" t="n"/>
      <c r="H1459" s="14">
        <f>INDEX(VarLab,MATCH($A1459,VarKey,0))&amp;INDEX(MemLab,MATCH($C1459&amp;"|"&amp;$B1459,MemKey,0))</f>
        <v/>
      </c>
      <c r="I1459" s="14">
        <f>INDEX(VarUnit,MATCH($A1459,VarKey,0))</f>
        <v/>
      </c>
      <c r="J1459" s="14">
        <f>INDEX(VarSrc,MATCH($A1459,VarKey,0))</f>
        <v/>
      </c>
      <c r="K1459" s="11">
        <f>CodePrefix&amp;$A1459&amp;IF($C1459="","","."&amp;$C1459&amp;"."&amp;$B1459)&amp;INDEX(VarEnd,MATCH($A1459,VarKey,0))&amp;K$5</f>
        <v/>
      </c>
      <c r="L1459" s="40">
        <f>INDEX(L$297:L$313,$E1459)*$D1459</f>
        <v/>
      </c>
      <c r="M1459" s="35">
        <f>INDEX(M$297:M$313,$E1459)*$D1459</f>
        <v/>
      </c>
      <c r="N1459" s="35">
        <f>INDEX(N$297:N$313,$E1459)*$D1459</f>
        <v/>
      </c>
      <c r="O1459" s="35">
        <f>INDEX(O$297:O$313,$E1459)*$D1459</f>
        <v/>
      </c>
      <c r="P1459" s="35">
        <f>INDEX(P$297:P$313,$E1459)*$D1459</f>
        <v/>
      </c>
      <c r="Q1459" s="35">
        <f>INDEX(Q$297:Q$313,$E1459)*$D1459</f>
        <v/>
      </c>
      <c r="R1459" s="35">
        <f>INDEX(R$297:R$313,$E1459)*$D1459</f>
        <v/>
      </c>
      <c r="S1459" s="35">
        <f>INDEX(S$297:S$313,$E1459)*$D1459</f>
        <v/>
      </c>
      <c r="T1459" s="35">
        <f>INDEX(T$297:T$313,$E1459)*$D1459</f>
        <v/>
      </c>
      <c r="U1459" s="35">
        <f>INDEX(U$297:U$313,$E1459)*$D1459</f>
        <v/>
      </c>
      <c r="V1459" s="35">
        <f>INDEX(V$297:V$313,$E1459)*$D1459</f>
        <v/>
      </c>
      <c r="W1459" s="35">
        <f>INDEX(W$297:W$313,$E1459)*$D1459</f>
        <v/>
      </c>
      <c r="X1459" s="35">
        <f>INDEX(X$297:X$313,$E1459)*$D1459</f>
        <v/>
      </c>
      <c r="Y1459" s="35">
        <f>INDEX(Y$297:Y$313,$E1459)*$D1459</f>
        <v/>
      </c>
      <c r="Z1459" s="35">
        <f>INDEX(Z$297:Z$313,$E1459)*$D1459</f>
        <v/>
      </c>
      <c r="AA1459" s="35">
        <f>INDEX(AA$297:AA$313,$E1459)*$D1459</f>
        <v/>
      </c>
      <c r="AB1459" s="35">
        <f>INDEX(AB$297:AB$313,$E1459)*$D1459</f>
        <v/>
      </c>
      <c r="AC1459" s="35">
        <f>INDEX(AC$297:AC$313,$E1459)*$D1459</f>
        <v/>
      </c>
      <c r="AD1459" s="35">
        <f>INDEX(AD$297:AD$313,$E1459)*$D1459</f>
        <v/>
      </c>
      <c r="AE1459" s="42">
        <f>SHADOWGJ(INDEX(AE$297:AE$313,$E1459),$D1459)</f>
        <v/>
      </c>
      <c r="AG1459" s="11">
        <f>CodePrefix&amp;$A1459&amp;IF($C1459="","","."&amp;$C1459&amp;"."&amp;$B1459)&amp;INDEX(VarEnd,MATCH($A1459,VarKey,0))&amp;AG$5</f>
        <v/>
      </c>
      <c r="AH1459" s="40">
        <f>INDEX(AH$297:AH$313,$E1459)*$D1459</f>
        <v/>
      </c>
      <c r="AI1459" s="35">
        <f>INDEX(AI$297:AI$313,$E1459)*$D1459</f>
        <v/>
      </c>
      <c r="AJ1459" s="35">
        <f>INDEX(AJ$297:AJ$313,$E1459)*$D1459</f>
        <v/>
      </c>
      <c r="AK1459" s="35">
        <f>INDEX(AK$297:AK$313,$E1459)*$D1459</f>
        <v/>
      </c>
      <c r="AL1459" s="35">
        <f>INDEX(AL$297:AL$313,$E1459)*$D1459</f>
        <v/>
      </c>
      <c r="AM1459" s="35">
        <f>INDEX(AM$297:AM$313,$E1459)*$D1459</f>
        <v/>
      </c>
      <c r="AN1459" s="35">
        <f>INDEX(AN$297:AN$313,$E1459)*$D1459</f>
        <v/>
      </c>
      <c r="AO1459" s="35">
        <f>INDEX(AO$297:AO$313,$E1459)*$D1459</f>
        <v/>
      </c>
      <c r="AP1459" s="35">
        <f>INDEX(AP$297:AP$313,$E1459)*$D1459</f>
        <v/>
      </c>
      <c r="AQ1459" s="35">
        <f>INDEX(AQ$297:AQ$313,$E1459)*$D1459</f>
        <v/>
      </c>
      <c r="AR1459" s="35">
        <f>INDEX(AR$297:AR$313,$E1459)*$D1459</f>
        <v/>
      </c>
      <c r="AS1459" s="35">
        <f>INDEX(AS$297:AS$313,$E1459)*$D1459</f>
        <v/>
      </c>
      <c r="AT1459" s="35">
        <f>INDEX(AT$297:AT$313,$E1459)*$D1459</f>
        <v/>
      </c>
      <c r="AU1459" s="35">
        <f>INDEX(AU$297:AU$313,$E1459)*$D1459</f>
        <v/>
      </c>
      <c r="AV1459" s="35">
        <f>INDEX(AV$297:AV$313,$E1459)*$D1459</f>
        <v/>
      </c>
      <c r="AW1459" s="35">
        <f>INDEX(AW$297:AW$313,$E1459)*$D1459</f>
        <v/>
      </c>
      <c r="AX1459" s="35">
        <f>INDEX(AX$297:AX$313,$E1459)*$D1459</f>
        <v/>
      </c>
      <c r="AY1459" s="35">
        <f>INDEX(AY$297:AY$313,$E1459)*$D1459</f>
        <v/>
      </c>
      <c r="AZ1459" s="35">
        <f>INDEX(AZ$297:AZ$313,$E1459)*$D1459</f>
        <v/>
      </c>
      <c r="BA1459" s="42">
        <f>SHADOWGJ(INDEX(BA$297:BA$313,$E1459),$D1459)</f>
        <v/>
      </c>
    </row>
    <row r="1460" hidden="1" outlineLevel="2">
      <c r="A1460" s="14" t="inlineStr">
        <is>
          <t>shp</t>
        </is>
      </c>
      <c r="B1460" s="14" t="inlineStr">
        <is>
          <t>oop</t>
        </is>
      </c>
      <c r="C1460" s="14" t="inlineStr">
        <is>
          <t>nav</t>
        </is>
      </c>
      <c r="D1460" s="35">
        <f>INDEX(Inputs!$W$5:$W$132,MATCH($B1460&amp;"|"&amp;$C1460,Inputs!$A$5:$A$132,0))</f>
        <v/>
      </c>
      <c r="E1460" s="35">
        <f>INDEX(Inputs!$M$5:$M$132,MATCH($B1460&amp;"|"&amp;$C1460,Inputs!$A$5:$A$132,0))</f>
        <v/>
      </c>
      <c r="F1460" s="39" t="n"/>
      <c r="G1460" s="39" t="n"/>
      <c r="H1460" s="14">
        <f>INDEX(VarLab,MATCH($A1460,VarKey,0))&amp;INDEX(MemLab,MATCH($C1460&amp;"|"&amp;$B1460,MemKey,0))</f>
        <v/>
      </c>
      <c r="I1460" s="14">
        <f>INDEX(VarUnit,MATCH($A1460,VarKey,0))</f>
        <v/>
      </c>
      <c r="J1460" s="14">
        <f>INDEX(VarSrc,MATCH($A1460,VarKey,0))</f>
        <v/>
      </c>
      <c r="K1460" s="11">
        <f>CodePrefix&amp;$A1460&amp;IF($C1460="","","."&amp;$C1460&amp;"."&amp;$B1460)&amp;INDEX(VarEnd,MATCH($A1460,VarKey,0))&amp;K$5</f>
        <v/>
      </c>
      <c r="L1460" s="40">
        <f>INDEX(L$297:L$313,$E1460)*$D1460</f>
        <v/>
      </c>
      <c r="M1460" s="35">
        <f>INDEX(M$297:M$313,$E1460)*$D1460</f>
        <v/>
      </c>
      <c r="N1460" s="35">
        <f>INDEX(N$297:N$313,$E1460)*$D1460</f>
        <v/>
      </c>
      <c r="O1460" s="35">
        <f>INDEX(O$297:O$313,$E1460)*$D1460</f>
        <v/>
      </c>
      <c r="P1460" s="35">
        <f>INDEX(P$297:P$313,$E1460)*$D1460</f>
        <v/>
      </c>
      <c r="Q1460" s="35">
        <f>INDEX(Q$297:Q$313,$E1460)*$D1460</f>
        <v/>
      </c>
      <c r="R1460" s="35">
        <f>INDEX(R$297:R$313,$E1460)*$D1460</f>
        <v/>
      </c>
      <c r="S1460" s="35">
        <f>INDEX(S$297:S$313,$E1460)*$D1460</f>
        <v/>
      </c>
      <c r="T1460" s="35">
        <f>INDEX(T$297:T$313,$E1460)*$D1460</f>
        <v/>
      </c>
      <c r="U1460" s="35">
        <f>INDEX(U$297:U$313,$E1460)*$D1460</f>
        <v/>
      </c>
      <c r="V1460" s="35">
        <f>INDEX(V$297:V$313,$E1460)*$D1460</f>
        <v/>
      </c>
      <c r="W1460" s="35">
        <f>INDEX(W$297:W$313,$E1460)*$D1460</f>
        <v/>
      </c>
      <c r="X1460" s="35">
        <f>INDEX(X$297:X$313,$E1460)*$D1460</f>
        <v/>
      </c>
      <c r="Y1460" s="35">
        <f>INDEX(Y$297:Y$313,$E1460)*$D1460</f>
        <v/>
      </c>
      <c r="Z1460" s="35">
        <f>INDEX(Z$297:Z$313,$E1460)*$D1460</f>
        <v/>
      </c>
      <c r="AA1460" s="35">
        <f>INDEX(AA$297:AA$313,$E1460)*$D1460</f>
        <v/>
      </c>
      <c r="AB1460" s="35">
        <f>INDEX(AB$297:AB$313,$E1460)*$D1460</f>
        <v/>
      </c>
      <c r="AC1460" s="35">
        <f>INDEX(AC$297:AC$313,$E1460)*$D1460</f>
        <v/>
      </c>
      <c r="AD1460" s="35">
        <f>INDEX(AD$297:AD$313,$E1460)*$D1460</f>
        <v/>
      </c>
      <c r="AE1460" s="42">
        <f>SHADOWGJ(INDEX(AE$297:AE$313,$E1460),$D1460)</f>
        <v/>
      </c>
      <c r="AG1460" s="11">
        <f>CodePrefix&amp;$A1460&amp;IF($C1460="","","."&amp;$C1460&amp;"."&amp;$B1460)&amp;INDEX(VarEnd,MATCH($A1460,VarKey,0))&amp;AG$5</f>
        <v/>
      </c>
      <c r="AH1460" s="40">
        <f>INDEX(AH$297:AH$313,$E1460)*$D1460</f>
        <v/>
      </c>
      <c r="AI1460" s="35">
        <f>INDEX(AI$297:AI$313,$E1460)*$D1460</f>
        <v/>
      </c>
      <c r="AJ1460" s="35">
        <f>INDEX(AJ$297:AJ$313,$E1460)*$D1460</f>
        <v/>
      </c>
      <c r="AK1460" s="35">
        <f>INDEX(AK$297:AK$313,$E1460)*$D1460</f>
        <v/>
      </c>
      <c r="AL1460" s="35">
        <f>INDEX(AL$297:AL$313,$E1460)*$D1460</f>
        <v/>
      </c>
      <c r="AM1460" s="35">
        <f>INDEX(AM$297:AM$313,$E1460)*$D1460</f>
        <v/>
      </c>
      <c r="AN1460" s="35">
        <f>INDEX(AN$297:AN$313,$E1460)*$D1460</f>
        <v/>
      </c>
      <c r="AO1460" s="35">
        <f>INDEX(AO$297:AO$313,$E1460)*$D1460</f>
        <v/>
      </c>
      <c r="AP1460" s="35">
        <f>INDEX(AP$297:AP$313,$E1460)*$D1460</f>
        <v/>
      </c>
      <c r="AQ1460" s="35">
        <f>INDEX(AQ$297:AQ$313,$E1460)*$D1460</f>
        <v/>
      </c>
      <c r="AR1460" s="35">
        <f>INDEX(AR$297:AR$313,$E1460)*$D1460</f>
        <v/>
      </c>
      <c r="AS1460" s="35">
        <f>INDEX(AS$297:AS$313,$E1460)*$D1460</f>
        <v/>
      </c>
      <c r="AT1460" s="35">
        <f>INDEX(AT$297:AT$313,$E1460)*$D1460</f>
        <v/>
      </c>
      <c r="AU1460" s="35">
        <f>INDEX(AU$297:AU$313,$E1460)*$D1460</f>
        <v/>
      </c>
      <c r="AV1460" s="35">
        <f>INDEX(AV$297:AV$313,$E1460)*$D1460</f>
        <v/>
      </c>
      <c r="AW1460" s="35">
        <f>INDEX(AW$297:AW$313,$E1460)*$D1460</f>
        <v/>
      </c>
      <c r="AX1460" s="35">
        <f>INDEX(AX$297:AX$313,$E1460)*$D1460</f>
        <v/>
      </c>
      <c r="AY1460" s="35">
        <f>INDEX(AY$297:AY$313,$E1460)*$D1460</f>
        <v/>
      </c>
      <c r="AZ1460" s="35">
        <f>INDEX(AZ$297:AZ$313,$E1460)*$D1460</f>
        <v/>
      </c>
      <c r="BA1460" s="42">
        <f>SHADOWGJ(INDEX(BA$297:BA$313,$E1460),$D1460)</f>
        <v/>
      </c>
    </row>
    <row r="1461" hidden="1" outlineLevel="2">
      <c r="A1461" s="14" t="inlineStr">
        <is>
          <t>shp</t>
        </is>
      </c>
      <c r="B1461" s="14" t="inlineStr">
        <is>
          <t>bio</t>
        </is>
      </c>
      <c r="C1461" s="14" t="inlineStr">
        <is>
          <t>nav</t>
        </is>
      </c>
      <c r="D1461" s="35">
        <f>INDEX(Inputs!$W$5:$W$132,MATCH($B1461&amp;"|"&amp;$C1461,Inputs!$A$5:$A$132,0))</f>
        <v/>
      </c>
      <c r="E1461" s="35">
        <f>INDEX(Inputs!$M$5:$M$132,MATCH($B1461&amp;"|"&amp;$C1461,Inputs!$A$5:$A$132,0))</f>
        <v/>
      </c>
      <c r="F1461" s="39" t="n"/>
      <c r="G1461" s="39" t="n"/>
      <c r="H1461" s="14">
        <f>INDEX(VarLab,MATCH($A1461,VarKey,0))&amp;INDEX(MemLab,MATCH($C1461&amp;"|"&amp;$B1461,MemKey,0))</f>
        <v/>
      </c>
      <c r="I1461" s="14">
        <f>INDEX(VarUnit,MATCH($A1461,VarKey,0))</f>
        <v/>
      </c>
      <c r="J1461" s="14">
        <f>INDEX(VarSrc,MATCH($A1461,VarKey,0))</f>
        <v/>
      </c>
      <c r="K1461" s="11">
        <f>CodePrefix&amp;$A1461&amp;IF($C1461="","","."&amp;$C1461&amp;"."&amp;$B1461)&amp;INDEX(VarEnd,MATCH($A1461,VarKey,0))&amp;K$5</f>
        <v/>
      </c>
      <c r="L1461" s="40">
        <f>INDEX(L$297:L$313,$E1461)*$D1461</f>
        <v/>
      </c>
      <c r="M1461" s="35">
        <f>INDEX(M$297:M$313,$E1461)*$D1461</f>
        <v/>
      </c>
      <c r="N1461" s="35">
        <f>INDEX(N$297:N$313,$E1461)*$D1461</f>
        <v/>
      </c>
      <c r="O1461" s="35">
        <f>INDEX(O$297:O$313,$E1461)*$D1461</f>
        <v/>
      </c>
      <c r="P1461" s="35">
        <f>INDEX(P$297:P$313,$E1461)*$D1461</f>
        <v/>
      </c>
      <c r="Q1461" s="35">
        <f>INDEX(Q$297:Q$313,$E1461)*$D1461</f>
        <v/>
      </c>
      <c r="R1461" s="35">
        <f>INDEX(R$297:R$313,$E1461)*$D1461</f>
        <v/>
      </c>
      <c r="S1461" s="35">
        <f>INDEX(S$297:S$313,$E1461)*$D1461</f>
        <v/>
      </c>
      <c r="T1461" s="35">
        <f>INDEX(T$297:T$313,$E1461)*$D1461</f>
        <v/>
      </c>
      <c r="U1461" s="35">
        <f>INDEX(U$297:U$313,$E1461)*$D1461</f>
        <v/>
      </c>
      <c r="V1461" s="35">
        <f>INDEX(V$297:V$313,$E1461)*$D1461</f>
        <v/>
      </c>
      <c r="W1461" s="35">
        <f>INDEX(W$297:W$313,$E1461)*$D1461</f>
        <v/>
      </c>
      <c r="X1461" s="35">
        <f>INDEX(X$297:X$313,$E1461)*$D1461</f>
        <v/>
      </c>
      <c r="Y1461" s="35">
        <f>INDEX(Y$297:Y$313,$E1461)*$D1461</f>
        <v/>
      </c>
      <c r="Z1461" s="35">
        <f>INDEX(Z$297:Z$313,$E1461)*$D1461</f>
        <v/>
      </c>
      <c r="AA1461" s="35">
        <f>INDEX(AA$297:AA$313,$E1461)*$D1461</f>
        <v/>
      </c>
      <c r="AB1461" s="35">
        <f>INDEX(AB$297:AB$313,$E1461)*$D1461</f>
        <v/>
      </c>
      <c r="AC1461" s="35">
        <f>INDEX(AC$297:AC$313,$E1461)*$D1461</f>
        <v/>
      </c>
      <c r="AD1461" s="35">
        <f>INDEX(AD$297:AD$313,$E1461)*$D1461</f>
        <v/>
      </c>
      <c r="AE1461" s="42">
        <f>SHADOWGJ(INDEX(AE$297:AE$313,$E1461),$D1461)</f>
        <v/>
      </c>
      <c r="AG1461" s="11">
        <f>CodePrefix&amp;$A1461&amp;IF($C1461="","","."&amp;$C1461&amp;"."&amp;$B1461)&amp;INDEX(VarEnd,MATCH($A1461,VarKey,0))&amp;AG$5</f>
        <v/>
      </c>
      <c r="AH1461" s="40">
        <f>INDEX(AH$297:AH$313,$E1461)*$D1461</f>
        <v/>
      </c>
      <c r="AI1461" s="35">
        <f>INDEX(AI$297:AI$313,$E1461)*$D1461</f>
        <v/>
      </c>
      <c r="AJ1461" s="35">
        <f>INDEX(AJ$297:AJ$313,$E1461)*$D1461</f>
        <v/>
      </c>
      <c r="AK1461" s="35">
        <f>INDEX(AK$297:AK$313,$E1461)*$D1461</f>
        <v/>
      </c>
      <c r="AL1461" s="35">
        <f>INDEX(AL$297:AL$313,$E1461)*$D1461</f>
        <v/>
      </c>
      <c r="AM1461" s="35">
        <f>INDEX(AM$297:AM$313,$E1461)*$D1461</f>
        <v/>
      </c>
      <c r="AN1461" s="35">
        <f>INDEX(AN$297:AN$313,$E1461)*$D1461</f>
        <v/>
      </c>
      <c r="AO1461" s="35">
        <f>INDEX(AO$297:AO$313,$E1461)*$D1461</f>
        <v/>
      </c>
      <c r="AP1461" s="35">
        <f>INDEX(AP$297:AP$313,$E1461)*$D1461</f>
        <v/>
      </c>
      <c r="AQ1461" s="35">
        <f>INDEX(AQ$297:AQ$313,$E1461)*$D1461</f>
        <v/>
      </c>
      <c r="AR1461" s="35">
        <f>INDEX(AR$297:AR$313,$E1461)*$D1461</f>
        <v/>
      </c>
      <c r="AS1461" s="35">
        <f>INDEX(AS$297:AS$313,$E1461)*$D1461</f>
        <v/>
      </c>
      <c r="AT1461" s="35">
        <f>INDEX(AT$297:AT$313,$E1461)*$D1461</f>
        <v/>
      </c>
      <c r="AU1461" s="35">
        <f>INDEX(AU$297:AU$313,$E1461)*$D1461</f>
        <v/>
      </c>
      <c r="AV1461" s="35">
        <f>INDEX(AV$297:AV$313,$E1461)*$D1461</f>
        <v/>
      </c>
      <c r="AW1461" s="35">
        <f>INDEX(AW$297:AW$313,$E1461)*$D1461</f>
        <v/>
      </c>
      <c r="AX1461" s="35">
        <f>INDEX(AX$297:AX$313,$E1461)*$D1461</f>
        <v/>
      </c>
      <c r="AY1461" s="35">
        <f>INDEX(AY$297:AY$313,$E1461)*$D1461</f>
        <v/>
      </c>
      <c r="AZ1461" s="35">
        <f>INDEX(AZ$297:AZ$313,$E1461)*$D1461</f>
        <v/>
      </c>
      <c r="BA1461" s="42">
        <f>SHADOWGJ(INDEX(BA$297:BA$313,$E1461),$D1461)</f>
        <v/>
      </c>
    </row>
    <row r="1462" hidden="1" outlineLevel="2"/>
    <row r="1463" hidden="1" outlineLevel="2">
      <c r="A1463" s="14" t="inlineStr">
        <is>
          <t>ener</t>
        </is>
      </c>
      <c r="B1463" s="14" t="inlineStr">
        <is>
          <t>coa</t>
        </is>
      </c>
      <c r="C1463" s="14" t="inlineStr">
        <is>
          <t>nav</t>
        </is>
      </c>
      <c r="D1463" s="35">
        <f>INDEX(Inputs!$O$5:$O$132,MATCH($B1463&amp;"|"&amp;$C1463,Inputs!$A$5:$A$132,0))</f>
        <v/>
      </c>
      <c r="E1463" s="35">
        <f>INDEX(Inputs!$P$5:$P$132,MATCH($B1463&amp;"|"&amp;$C1463,Inputs!$A$5:$A$132,0))</f>
        <v/>
      </c>
      <c r="F1463" s="35">
        <f>INDEX(Inputs!$T$5:$T$132,MATCH($B1463&amp;"|"&amp;$C1463,Inputs!$A$5:$A$132,0))</f>
        <v/>
      </c>
      <c r="G1463" s="35">
        <f>INDEX(Inputs!$S$5:$S$132,MATCH($B1463&amp;"|"&amp;$C1463,Inputs!$A$5:$A$132,0))</f>
        <v/>
      </c>
      <c r="H1463" s="14">
        <f>INDEX(VarLab,MATCH($A1463,VarKey,0))&amp;INDEX(MemLab,MATCH($C1463&amp;"|"&amp;$B1463,MemKey,0))</f>
        <v/>
      </c>
      <c r="I1463" s="14">
        <f>INDEX(VarUnit,MATCH($A1463,VarKey,0))</f>
        <v/>
      </c>
      <c r="J1463" s="14">
        <f>INDEX(VarSrc,MATCH($A1463,VarKey,0))</f>
        <v/>
      </c>
      <c r="K1463" s="11">
        <f>CodePrefix&amp;$A1463&amp;IF($C1463="","","."&amp;$C1463&amp;"."&amp;$B1463)&amp;INDEX(VarEnd,MATCH($A1463,VarKey,0))&amp;K$5</f>
        <v/>
      </c>
      <c r="L1463" s="43">
        <f>INDEX(Inputs!$X$5:$X$132,MATCH($B1463&amp;"|"&amp;$C1463,Inputs!$A$5:$A$132,0))</f>
        <v/>
      </c>
      <c r="M1463" s="44">
        <f>L1463*$G1463*(1+M$7)^$D1463*(M1445/L1445)^$E1463*((M1445+M1454)/(L1445+L1454))^$F1463</f>
        <v/>
      </c>
      <c r="N1463" s="44">
        <f>M1463*$G1463*(1+N$7)^$D1463*(N1445/M1445)^$E1463*((N1445+N1454)/(M1445+M1454))^$F1463</f>
        <v/>
      </c>
      <c r="O1463" s="44">
        <f>N1463*$G1463*(1+O$7)^$D1463*(O1445/N1445)^$E1463*((O1445+O1454)/(N1445+N1454))^$F1463</f>
        <v/>
      </c>
      <c r="P1463" s="44">
        <f>O1463*$G1463*(1+P$7)^$D1463*(P1445/O1445)^$E1463*((P1445+P1454)/(O1445+O1454))^$F1463</f>
        <v/>
      </c>
      <c r="Q1463" s="44">
        <f>P1463*$G1463*(1+Q$7)^$D1463*(Q1445/P1445)^$E1463*((Q1445+Q1454)/(P1445+P1454))^$F1463</f>
        <v/>
      </c>
      <c r="R1463" s="44">
        <f>Q1463*$G1463*(1+R$7)^$D1463*(R1445/Q1445)^$E1463*((R1445+R1454)/(Q1445+Q1454))^$F1463</f>
        <v/>
      </c>
      <c r="S1463" s="44">
        <f>R1463*$G1463*(1+S$7)^$D1463*(S1445/R1445)^$E1463*((S1445+S1454)/(R1445+R1454))^$F1463</f>
        <v/>
      </c>
      <c r="T1463" s="44">
        <f>S1463*$G1463*(1+T$7)^$D1463*(T1445/S1445)^$E1463*((T1445+T1454)/(S1445+S1454))^$F1463</f>
        <v/>
      </c>
      <c r="U1463" s="44">
        <f>T1463*$G1463*(1+U$7)^$D1463*(U1445/T1445)^$E1463*((U1445+U1454)/(T1445+T1454))^$F1463</f>
        <v/>
      </c>
      <c r="V1463" s="44">
        <f>U1463*$G1463*(1+V$7)^$D1463*(V1445/U1445)^$E1463*((V1445+V1454)/(U1445+U1454))^$F1463</f>
        <v/>
      </c>
      <c r="W1463" s="44">
        <f>V1463*$G1463*(1+W$7)^$D1463*(W1445/V1445)^$E1463*((W1445+W1454)/(V1445+V1454))^$F1463</f>
        <v/>
      </c>
      <c r="X1463" s="44">
        <f>W1463*$G1463*(1+X$7)^$D1463*(X1445/W1445)^$E1463*((X1445+X1454)/(W1445+W1454))^$F1463</f>
        <v/>
      </c>
      <c r="Y1463" s="44">
        <f>X1463*$G1463*(1+Y$7)^$D1463*(Y1445/X1445)^$E1463*((Y1445+Y1454)/(X1445+X1454))^$F1463</f>
        <v/>
      </c>
      <c r="Z1463" s="44">
        <f>Y1463*$G1463*(1+Z$7)^$D1463*(Z1445/Y1445)^$E1463*((Z1445+Z1454)/(Y1445+Y1454))^$F1463</f>
        <v/>
      </c>
      <c r="AA1463" s="44">
        <f>Z1463*$G1463*(1+AA$7)^$D1463*(AA1445/Z1445)^$E1463*((AA1445+AA1454)/(Z1445+Z1454))^$F1463</f>
        <v/>
      </c>
      <c r="AB1463" s="44">
        <f>AA1463*$G1463*(1+AB$7)^$D1463*(AB1445/AA1445)^$E1463*((AB1445+AB1454)/(AA1445+AA1454))^$F1463</f>
        <v/>
      </c>
      <c r="AC1463" s="44">
        <f>AB1463*$G1463*(1+AC$7)^$D1463*(AC1445/AB1445)^$E1463*((AC1445+AC1454)/(AB1445+AB1454))^$F1463</f>
        <v/>
      </c>
      <c r="AD1463" s="44">
        <f>AC1463*$G1463*(1+AD$7)^$D1463*(AD1445/AC1445)^$E1463*((AD1445+AD1454)/(AC1445+AC1454))^$F1463</f>
        <v/>
      </c>
      <c r="AE1463" s="57">
        <f>FUELUSE(AD1463,AE1445,AD1445,AE1454,AD1454,AE$7,$D1463,$E1463,$F1463,$G1463)</f>
        <v/>
      </c>
      <c r="AG1463" s="11">
        <f>CodePrefix&amp;$A1463&amp;IF($C1463="","","."&amp;$C1463&amp;"."&amp;$B1463)&amp;INDEX(VarEnd,MATCH($A1463,VarKey,0))&amp;AG$5</f>
        <v/>
      </c>
      <c r="AH1463" s="43">
        <f>INDEX(Inputs!$X$5:$X$132,MATCH($B1463&amp;"|"&amp;$C1463,Inputs!$A$5:$A$132,0))</f>
        <v/>
      </c>
      <c r="AI1463" s="44">
        <f>AH1463*$G1463*(1+AI$7)^$D1463*(AI1445/AH1445)^$E1463*((AI1445+AI1454)/(AH1445+AH1454))^$F1463</f>
        <v/>
      </c>
      <c r="AJ1463" s="44">
        <f>AI1463*$G1463*(1+AJ$7)^$D1463*(AJ1445/AI1445)^$E1463*((AJ1445+AJ1454)/(AI1445+AI1454))^$F1463</f>
        <v/>
      </c>
      <c r="AK1463" s="44">
        <f>AJ1463*$G1463*(1+AK$7)^$D1463*(AK1445/AJ1445)^$E1463*((AK1445+AK1454)/(AJ1445+AJ1454))^$F1463</f>
        <v/>
      </c>
      <c r="AL1463" s="44">
        <f>AK1463*$G1463*(1+AL$7)^$D1463*(AL1445/AK1445)^$E1463*((AL1445+AL1454)/(AK1445+AK1454))^$F1463</f>
        <v/>
      </c>
      <c r="AM1463" s="44">
        <f>AL1463*$G1463*(1+AM$7)^$D1463*(AM1445/AL1445)^$E1463*((AM1445+AM1454)/(AL1445+AL1454))^$F1463</f>
        <v/>
      </c>
      <c r="AN1463" s="44">
        <f>AM1463*$G1463*(1+AN$7)^$D1463*(AN1445/AM1445)^$E1463*((AN1445+AN1454)/(AM1445+AM1454))^$F1463</f>
        <v/>
      </c>
      <c r="AO1463" s="44">
        <f>AN1463*$G1463*(1+AO$7)^$D1463*(AO1445/AN1445)^$E1463*((AO1445+AO1454)/(AN1445+AN1454))^$F1463</f>
        <v/>
      </c>
      <c r="AP1463" s="44">
        <f>AO1463*$G1463*(1+AP$7)^$D1463*(AP1445/AO1445)^$E1463*((AP1445+AP1454)/(AO1445+AO1454))^$F1463</f>
        <v/>
      </c>
      <c r="AQ1463" s="44">
        <f>AP1463*$G1463*(1+AQ$7)^$D1463*(AQ1445/AP1445)^$E1463*((AQ1445+AQ1454)/(AP1445+AP1454))^$F1463</f>
        <v/>
      </c>
      <c r="AR1463" s="44">
        <f>AQ1463*$G1463*(1+AR$7)^$D1463*(AR1445/AQ1445)^$E1463*((AR1445+AR1454)/(AQ1445+AQ1454))^$F1463</f>
        <v/>
      </c>
      <c r="AS1463" s="44">
        <f>AR1463*$G1463*(1+AS$7)^$D1463*(AS1445/AR1445)^$E1463*((AS1445+AS1454)/(AR1445+AR1454))^$F1463</f>
        <v/>
      </c>
      <c r="AT1463" s="44">
        <f>AS1463*$G1463*(1+AT$7)^$D1463*(AT1445/AS1445)^$E1463*((AT1445+AT1454)/(AS1445+AS1454))^$F1463</f>
        <v/>
      </c>
      <c r="AU1463" s="44">
        <f>AT1463*$G1463*(1+AU$7)^$D1463*(AU1445/AT1445)^$E1463*((AU1445+AU1454)/(AT1445+AT1454))^$F1463</f>
        <v/>
      </c>
      <c r="AV1463" s="44">
        <f>AU1463*$G1463*(1+AV$7)^$D1463*(AV1445/AU1445)^$E1463*((AV1445+AV1454)/(AU1445+AU1454))^$F1463</f>
        <v/>
      </c>
      <c r="AW1463" s="44">
        <f>AV1463*$G1463*(1+AW$7)^$D1463*(AW1445/AV1445)^$E1463*((AW1445+AW1454)/(AV1445+AV1454))^$F1463</f>
        <v/>
      </c>
      <c r="AX1463" s="44">
        <f>AW1463*$G1463*(1+AX$7)^$D1463*(AX1445/AW1445)^$E1463*((AX1445+AX1454)/(AW1445+AW1454))^$F1463</f>
        <v/>
      </c>
      <c r="AY1463" s="44">
        <f>AX1463*$G1463*(1+AY$7)^$D1463*(AY1445/AX1445)^$E1463*((AY1445+AY1454)/(AX1445+AX1454))^$F1463</f>
        <v/>
      </c>
      <c r="AZ1463" s="44">
        <f>AY1463*$G1463*(1+AZ$7)^$D1463*(AZ1445/AY1445)^$E1463*((AZ1445+AZ1454)/(AY1445+AY1454))^$F1463</f>
        <v/>
      </c>
      <c r="BA1463" s="57">
        <f>FUELUSE(AZ1463,BA1445,AZ1445,BA1454,AZ1454,BA$7,$D1463,$E1463,$F1463,$G1463)</f>
        <v/>
      </c>
    </row>
    <row r="1464" hidden="1" outlineLevel="2">
      <c r="A1464" s="14" t="inlineStr">
        <is>
          <t>ener</t>
        </is>
      </c>
      <c r="B1464" s="14" t="inlineStr">
        <is>
          <t>nga</t>
        </is>
      </c>
      <c r="C1464" s="14" t="inlineStr">
        <is>
          <t>nav</t>
        </is>
      </c>
      <c r="D1464" s="35">
        <f>INDEX(Inputs!$O$5:$O$132,MATCH($B1464&amp;"|"&amp;$C1464,Inputs!$A$5:$A$132,0))</f>
        <v/>
      </c>
      <c r="E1464" s="35">
        <f>INDEX(Inputs!$P$5:$P$132,MATCH($B1464&amp;"|"&amp;$C1464,Inputs!$A$5:$A$132,0))</f>
        <v/>
      </c>
      <c r="F1464" s="35">
        <f>INDEX(Inputs!$T$5:$T$132,MATCH($B1464&amp;"|"&amp;$C1464,Inputs!$A$5:$A$132,0))</f>
        <v/>
      </c>
      <c r="G1464" s="35">
        <f>INDEX(Inputs!$S$5:$S$132,MATCH($B1464&amp;"|"&amp;$C1464,Inputs!$A$5:$A$132,0))</f>
        <v/>
      </c>
      <c r="H1464" s="14">
        <f>INDEX(VarLab,MATCH($A1464,VarKey,0))&amp;INDEX(MemLab,MATCH($C1464&amp;"|"&amp;$B1464,MemKey,0))</f>
        <v/>
      </c>
      <c r="I1464" s="14">
        <f>INDEX(VarUnit,MATCH($A1464,VarKey,0))</f>
        <v/>
      </c>
      <c r="J1464" s="14">
        <f>INDEX(VarSrc,MATCH($A1464,VarKey,0))</f>
        <v/>
      </c>
      <c r="K1464" s="11">
        <f>CodePrefix&amp;$A1464&amp;IF($C1464="","","."&amp;$C1464&amp;"."&amp;$B1464)&amp;INDEX(VarEnd,MATCH($A1464,VarKey,0))&amp;K$5</f>
        <v/>
      </c>
      <c r="L1464" s="43">
        <f>INDEX(Inputs!$X$5:$X$132,MATCH($B1464&amp;"|"&amp;$C1464,Inputs!$A$5:$A$132,0))</f>
        <v/>
      </c>
      <c r="M1464" s="44">
        <f>L1464*$G1464*(1+M$7)^$D1464*(M1446/L1446)^$E1464*((M1446+M1455)/(L1446+L1455))^$F1464</f>
        <v/>
      </c>
      <c r="N1464" s="44">
        <f>M1464*$G1464*(1+N$7)^$D1464*(N1446/M1446)^$E1464*((N1446+N1455)/(M1446+M1455))^$F1464</f>
        <v/>
      </c>
      <c r="O1464" s="44">
        <f>N1464*$G1464*(1+O$7)^$D1464*(O1446/N1446)^$E1464*((O1446+O1455)/(N1446+N1455))^$F1464</f>
        <v/>
      </c>
      <c r="P1464" s="44">
        <f>O1464*$G1464*(1+P$7)^$D1464*(P1446/O1446)^$E1464*((P1446+P1455)/(O1446+O1455))^$F1464</f>
        <v/>
      </c>
      <c r="Q1464" s="44">
        <f>P1464*$G1464*(1+Q$7)^$D1464*(Q1446/P1446)^$E1464*((Q1446+Q1455)/(P1446+P1455))^$F1464</f>
        <v/>
      </c>
      <c r="R1464" s="44">
        <f>Q1464*$G1464*(1+R$7)^$D1464*(R1446/Q1446)^$E1464*((R1446+R1455)/(Q1446+Q1455))^$F1464</f>
        <v/>
      </c>
      <c r="S1464" s="44">
        <f>R1464*$G1464*(1+S$7)^$D1464*(S1446/R1446)^$E1464*((S1446+S1455)/(R1446+R1455))^$F1464</f>
        <v/>
      </c>
      <c r="T1464" s="44">
        <f>S1464*$G1464*(1+T$7)^$D1464*(T1446/S1446)^$E1464*((T1446+T1455)/(S1446+S1455))^$F1464</f>
        <v/>
      </c>
      <c r="U1464" s="44">
        <f>T1464*$G1464*(1+U$7)^$D1464*(U1446/T1446)^$E1464*((U1446+U1455)/(T1446+T1455))^$F1464</f>
        <v/>
      </c>
      <c r="V1464" s="44">
        <f>U1464*$G1464*(1+V$7)^$D1464*(V1446/U1446)^$E1464*((V1446+V1455)/(U1446+U1455))^$F1464</f>
        <v/>
      </c>
      <c r="W1464" s="44">
        <f>V1464*$G1464*(1+W$7)^$D1464*(W1446/V1446)^$E1464*((W1446+W1455)/(V1446+V1455))^$F1464</f>
        <v/>
      </c>
      <c r="X1464" s="44">
        <f>W1464*$G1464*(1+X$7)^$D1464*(X1446/W1446)^$E1464*((X1446+X1455)/(W1446+W1455))^$F1464</f>
        <v/>
      </c>
      <c r="Y1464" s="44">
        <f>X1464*$G1464*(1+Y$7)^$D1464*(Y1446/X1446)^$E1464*((Y1446+Y1455)/(X1446+X1455))^$F1464</f>
        <v/>
      </c>
      <c r="Z1464" s="44">
        <f>Y1464*$G1464*(1+Z$7)^$D1464*(Z1446/Y1446)^$E1464*((Z1446+Z1455)/(Y1446+Y1455))^$F1464</f>
        <v/>
      </c>
      <c r="AA1464" s="44">
        <f>Z1464*$G1464*(1+AA$7)^$D1464*(AA1446/Z1446)^$E1464*((AA1446+AA1455)/(Z1446+Z1455))^$F1464</f>
        <v/>
      </c>
      <c r="AB1464" s="44">
        <f>AA1464*$G1464*(1+AB$7)^$D1464*(AB1446/AA1446)^$E1464*((AB1446+AB1455)/(AA1446+AA1455))^$F1464</f>
        <v/>
      </c>
      <c r="AC1464" s="44">
        <f>AB1464*$G1464*(1+AC$7)^$D1464*(AC1446/AB1446)^$E1464*((AC1446+AC1455)/(AB1446+AB1455))^$F1464</f>
        <v/>
      </c>
      <c r="AD1464" s="44">
        <f>AC1464*$G1464*(1+AD$7)^$D1464*(AD1446/AC1446)^$E1464*((AD1446+AD1455)/(AC1446+AC1455))^$F1464</f>
        <v/>
      </c>
      <c r="AE1464" s="57">
        <f>FUELUSE(AD1464,AE1446,AD1446,AE1455,AD1455,AE$7,$D1464,$E1464,$F1464,$G1464)</f>
        <v/>
      </c>
      <c r="AG1464" s="11">
        <f>CodePrefix&amp;$A1464&amp;IF($C1464="","","."&amp;$C1464&amp;"."&amp;$B1464)&amp;INDEX(VarEnd,MATCH($A1464,VarKey,0))&amp;AG$5</f>
        <v/>
      </c>
      <c r="AH1464" s="43">
        <f>INDEX(Inputs!$X$5:$X$132,MATCH($B1464&amp;"|"&amp;$C1464,Inputs!$A$5:$A$132,0))</f>
        <v/>
      </c>
      <c r="AI1464" s="44">
        <f>AH1464*$G1464*(1+AI$7)^$D1464*(AI1446/AH1446)^$E1464*((AI1446+AI1455)/(AH1446+AH1455))^$F1464</f>
        <v/>
      </c>
      <c r="AJ1464" s="44">
        <f>AI1464*$G1464*(1+AJ$7)^$D1464*(AJ1446/AI1446)^$E1464*((AJ1446+AJ1455)/(AI1446+AI1455))^$F1464</f>
        <v/>
      </c>
      <c r="AK1464" s="44">
        <f>AJ1464*$G1464*(1+AK$7)^$D1464*(AK1446/AJ1446)^$E1464*((AK1446+AK1455)/(AJ1446+AJ1455))^$F1464</f>
        <v/>
      </c>
      <c r="AL1464" s="44">
        <f>AK1464*$G1464*(1+AL$7)^$D1464*(AL1446/AK1446)^$E1464*((AL1446+AL1455)/(AK1446+AK1455))^$F1464</f>
        <v/>
      </c>
      <c r="AM1464" s="44">
        <f>AL1464*$G1464*(1+AM$7)^$D1464*(AM1446/AL1446)^$E1464*((AM1446+AM1455)/(AL1446+AL1455))^$F1464</f>
        <v/>
      </c>
      <c r="AN1464" s="44">
        <f>AM1464*$G1464*(1+AN$7)^$D1464*(AN1446/AM1446)^$E1464*((AN1446+AN1455)/(AM1446+AM1455))^$F1464</f>
        <v/>
      </c>
      <c r="AO1464" s="44">
        <f>AN1464*$G1464*(1+AO$7)^$D1464*(AO1446/AN1446)^$E1464*((AO1446+AO1455)/(AN1446+AN1455))^$F1464</f>
        <v/>
      </c>
      <c r="AP1464" s="44">
        <f>AO1464*$G1464*(1+AP$7)^$D1464*(AP1446/AO1446)^$E1464*((AP1446+AP1455)/(AO1446+AO1455))^$F1464</f>
        <v/>
      </c>
      <c r="AQ1464" s="44">
        <f>AP1464*$G1464*(1+AQ$7)^$D1464*(AQ1446/AP1446)^$E1464*((AQ1446+AQ1455)/(AP1446+AP1455))^$F1464</f>
        <v/>
      </c>
      <c r="AR1464" s="44">
        <f>AQ1464*$G1464*(1+AR$7)^$D1464*(AR1446/AQ1446)^$E1464*((AR1446+AR1455)/(AQ1446+AQ1455))^$F1464</f>
        <v/>
      </c>
      <c r="AS1464" s="44">
        <f>AR1464*$G1464*(1+AS$7)^$D1464*(AS1446/AR1446)^$E1464*((AS1446+AS1455)/(AR1446+AR1455))^$F1464</f>
        <v/>
      </c>
      <c r="AT1464" s="44">
        <f>AS1464*$G1464*(1+AT$7)^$D1464*(AT1446/AS1446)^$E1464*((AT1446+AT1455)/(AS1446+AS1455))^$F1464</f>
        <v/>
      </c>
      <c r="AU1464" s="44">
        <f>AT1464*$G1464*(1+AU$7)^$D1464*(AU1446/AT1446)^$E1464*((AU1446+AU1455)/(AT1446+AT1455))^$F1464</f>
        <v/>
      </c>
      <c r="AV1464" s="44">
        <f>AU1464*$G1464*(1+AV$7)^$D1464*(AV1446/AU1446)^$E1464*((AV1446+AV1455)/(AU1446+AU1455))^$F1464</f>
        <v/>
      </c>
      <c r="AW1464" s="44">
        <f>AV1464*$G1464*(1+AW$7)^$D1464*(AW1446/AV1446)^$E1464*((AW1446+AW1455)/(AV1446+AV1455))^$F1464</f>
        <v/>
      </c>
      <c r="AX1464" s="44">
        <f>AW1464*$G1464*(1+AX$7)^$D1464*(AX1446/AW1446)^$E1464*((AX1446+AX1455)/(AW1446+AW1455))^$F1464</f>
        <v/>
      </c>
      <c r="AY1464" s="44">
        <f>AX1464*$G1464*(1+AY$7)^$D1464*(AY1446/AX1446)^$E1464*((AY1446+AY1455)/(AX1446+AX1455))^$F1464</f>
        <v/>
      </c>
      <c r="AZ1464" s="44">
        <f>AY1464*$G1464*(1+AZ$7)^$D1464*(AZ1446/AY1446)^$E1464*((AZ1446+AZ1455)/(AY1446+AY1455))^$F1464</f>
        <v/>
      </c>
      <c r="BA1464" s="57">
        <f>FUELUSE(AZ1464,BA1446,AZ1446,BA1455,AZ1455,BA$7,$D1464,$E1464,$F1464,$G1464)</f>
        <v/>
      </c>
    </row>
    <row r="1465" hidden="1" outlineLevel="2">
      <c r="A1465" s="14" t="inlineStr">
        <is>
          <t>ener</t>
        </is>
      </c>
      <c r="B1465" s="14" t="inlineStr">
        <is>
          <t>gso</t>
        </is>
      </c>
      <c r="C1465" s="14" t="inlineStr">
        <is>
          <t>nav</t>
        </is>
      </c>
      <c r="D1465" s="35">
        <f>INDEX(Inputs!$O$5:$O$132,MATCH($B1465&amp;"|"&amp;$C1465,Inputs!$A$5:$A$132,0))</f>
        <v/>
      </c>
      <c r="E1465" s="35">
        <f>INDEX(Inputs!$P$5:$P$132,MATCH($B1465&amp;"|"&amp;$C1465,Inputs!$A$5:$A$132,0))</f>
        <v/>
      </c>
      <c r="F1465" s="35">
        <f>INDEX(Inputs!$T$5:$T$132,MATCH($B1465&amp;"|"&amp;$C1465,Inputs!$A$5:$A$132,0))</f>
        <v/>
      </c>
      <c r="G1465" s="35">
        <f>INDEX(Inputs!$S$5:$S$132,MATCH($B1465&amp;"|"&amp;$C1465,Inputs!$A$5:$A$132,0))</f>
        <v/>
      </c>
      <c r="H1465" s="14">
        <f>INDEX(VarLab,MATCH($A1465,VarKey,0))&amp;INDEX(MemLab,MATCH($C1465&amp;"|"&amp;$B1465,MemKey,0))</f>
        <v/>
      </c>
      <c r="I1465" s="14">
        <f>INDEX(VarUnit,MATCH($A1465,VarKey,0))</f>
        <v/>
      </c>
      <c r="J1465" s="14">
        <f>INDEX(VarSrc,MATCH($A1465,VarKey,0))</f>
        <v/>
      </c>
      <c r="K1465" s="11">
        <f>CodePrefix&amp;$A1465&amp;IF($C1465="","","."&amp;$C1465&amp;"."&amp;$B1465)&amp;INDEX(VarEnd,MATCH($A1465,VarKey,0))&amp;K$5</f>
        <v/>
      </c>
      <c r="L1465" s="43">
        <f>INDEX(Inputs!$X$5:$X$132,MATCH($B1465&amp;"|"&amp;$C1465,Inputs!$A$5:$A$132,0))</f>
        <v/>
      </c>
      <c r="M1465" s="44">
        <f>L1465*$G1465*(1+M$7)^$D1465*(M1447/L1447)^$E1465*((M1447+M1456)/(L1447+L1456))^$F1465</f>
        <v/>
      </c>
      <c r="N1465" s="44">
        <f>M1465*$G1465*(1+N$7)^$D1465*(N1447/M1447)^$E1465*((N1447+N1456)/(M1447+M1456))^$F1465</f>
        <v/>
      </c>
      <c r="O1465" s="44">
        <f>N1465*$G1465*(1+O$7)^$D1465*(O1447/N1447)^$E1465*((O1447+O1456)/(N1447+N1456))^$F1465</f>
        <v/>
      </c>
      <c r="P1465" s="44">
        <f>O1465*$G1465*(1+P$7)^$D1465*(P1447/O1447)^$E1465*((P1447+P1456)/(O1447+O1456))^$F1465</f>
        <v/>
      </c>
      <c r="Q1465" s="44">
        <f>P1465*$G1465*(1+Q$7)^$D1465*(Q1447/P1447)^$E1465*((Q1447+Q1456)/(P1447+P1456))^$F1465</f>
        <v/>
      </c>
      <c r="R1465" s="44">
        <f>Q1465*$G1465*(1+R$7)^$D1465*(R1447/Q1447)^$E1465*((R1447+R1456)/(Q1447+Q1456))^$F1465</f>
        <v/>
      </c>
      <c r="S1465" s="44">
        <f>R1465*$G1465*(1+S$7)^$D1465*(S1447/R1447)^$E1465*((S1447+S1456)/(R1447+R1456))^$F1465</f>
        <v/>
      </c>
      <c r="T1465" s="44">
        <f>S1465*$G1465*(1+T$7)^$D1465*(T1447/S1447)^$E1465*((T1447+T1456)/(S1447+S1456))^$F1465</f>
        <v/>
      </c>
      <c r="U1465" s="44">
        <f>T1465*$G1465*(1+U$7)^$D1465*(U1447/T1447)^$E1465*((U1447+U1456)/(T1447+T1456))^$F1465</f>
        <v/>
      </c>
      <c r="V1465" s="44">
        <f>U1465*$G1465*(1+V$7)^$D1465*(V1447/U1447)^$E1465*((V1447+V1456)/(U1447+U1456))^$F1465</f>
        <v/>
      </c>
      <c r="W1465" s="44">
        <f>V1465*$G1465*(1+W$7)^$D1465*(W1447/V1447)^$E1465*((W1447+W1456)/(V1447+V1456))^$F1465</f>
        <v/>
      </c>
      <c r="X1465" s="44">
        <f>W1465*$G1465*(1+X$7)^$D1465*(X1447/W1447)^$E1465*((X1447+X1456)/(W1447+W1456))^$F1465</f>
        <v/>
      </c>
      <c r="Y1465" s="44">
        <f>X1465*$G1465*(1+Y$7)^$D1465*(Y1447/X1447)^$E1465*((Y1447+Y1456)/(X1447+X1456))^$F1465</f>
        <v/>
      </c>
      <c r="Z1465" s="44">
        <f>Y1465*$G1465*(1+Z$7)^$D1465*(Z1447/Y1447)^$E1465*((Z1447+Z1456)/(Y1447+Y1456))^$F1465</f>
        <v/>
      </c>
      <c r="AA1465" s="44">
        <f>Z1465*$G1465*(1+AA$7)^$D1465*(AA1447/Z1447)^$E1465*((AA1447+AA1456)/(Z1447+Z1456))^$F1465</f>
        <v/>
      </c>
      <c r="AB1465" s="44">
        <f>AA1465*$G1465*(1+AB$7)^$D1465*(AB1447/AA1447)^$E1465*((AB1447+AB1456)/(AA1447+AA1456))^$F1465</f>
        <v/>
      </c>
      <c r="AC1465" s="44">
        <f>AB1465*$G1465*(1+AC$7)^$D1465*(AC1447/AB1447)^$E1465*((AC1447+AC1456)/(AB1447+AB1456))^$F1465</f>
        <v/>
      </c>
      <c r="AD1465" s="44">
        <f>AC1465*$G1465*(1+AD$7)^$D1465*(AD1447/AC1447)^$E1465*((AD1447+AD1456)/(AC1447+AC1456))^$F1465</f>
        <v/>
      </c>
      <c r="AE1465" s="57">
        <f>FUELUSE(AD1465,AE1447,AD1447,AE1456,AD1456,AE$7,$D1465,$E1465,$F1465,$G1465)</f>
        <v/>
      </c>
      <c r="AG1465" s="11">
        <f>CodePrefix&amp;$A1465&amp;IF($C1465="","","."&amp;$C1465&amp;"."&amp;$B1465)&amp;INDEX(VarEnd,MATCH($A1465,VarKey,0))&amp;AG$5</f>
        <v/>
      </c>
      <c r="AH1465" s="43">
        <f>INDEX(Inputs!$X$5:$X$132,MATCH($B1465&amp;"|"&amp;$C1465,Inputs!$A$5:$A$132,0))</f>
        <v/>
      </c>
      <c r="AI1465" s="44">
        <f>AH1465*$G1465*(1+AI$7)^$D1465*(AI1447/AH1447)^$E1465*((AI1447+AI1456)/(AH1447+AH1456))^$F1465</f>
        <v/>
      </c>
      <c r="AJ1465" s="44">
        <f>AI1465*$G1465*(1+AJ$7)^$D1465*(AJ1447/AI1447)^$E1465*((AJ1447+AJ1456)/(AI1447+AI1456))^$F1465</f>
        <v/>
      </c>
      <c r="AK1465" s="44">
        <f>AJ1465*$G1465*(1+AK$7)^$D1465*(AK1447/AJ1447)^$E1465*((AK1447+AK1456)/(AJ1447+AJ1456))^$F1465</f>
        <v/>
      </c>
      <c r="AL1465" s="44">
        <f>AK1465*$G1465*(1+AL$7)^$D1465*(AL1447/AK1447)^$E1465*((AL1447+AL1456)/(AK1447+AK1456))^$F1465</f>
        <v/>
      </c>
      <c r="AM1465" s="44">
        <f>AL1465*$G1465*(1+AM$7)^$D1465*(AM1447/AL1447)^$E1465*((AM1447+AM1456)/(AL1447+AL1456))^$F1465</f>
        <v/>
      </c>
      <c r="AN1465" s="44">
        <f>AM1465*$G1465*(1+AN$7)^$D1465*(AN1447/AM1447)^$E1465*((AN1447+AN1456)/(AM1447+AM1456))^$F1465</f>
        <v/>
      </c>
      <c r="AO1465" s="44">
        <f>AN1465*$G1465*(1+AO$7)^$D1465*(AO1447/AN1447)^$E1465*((AO1447+AO1456)/(AN1447+AN1456))^$F1465</f>
        <v/>
      </c>
      <c r="AP1465" s="44">
        <f>AO1465*$G1465*(1+AP$7)^$D1465*(AP1447/AO1447)^$E1465*((AP1447+AP1456)/(AO1447+AO1456))^$F1465</f>
        <v/>
      </c>
      <c r="AQ1465" s="44">
        <f>AP1465*$G1465*(1+AQ$7)^$D1465*(AQ1447/AP1447)^$E1465*((AQ1447+AQ1456)/(AP1447+AP1456))^$F1465</f>
        <v/>
      </c>
      <c r="AR1465" s="44">
        <f>AQ1465*$G1465*(1+AR$7)^$D1465*(AR1447/AQ1447)^$E1465*((AR1447+AR1456)/(AQ1447+AQ1456))^$F1465</f>
        <v/>
      </c>
      <c r="AS1465" s="44">
        <f>AR1465*$G1465*(1+AS$7)^$D1465*(AS1447/AR1447)^$E1465*((AS1447+AS1456)/(AR1447+AR1456))^$F1465</f>
        <v/>
      </c>
      <c r="AT1465" s="44">
        <f>AS1465*$G1465*(1+AT$7)^$D1465*(AT1447/AS1447)^$E1465*((AT1447+AT1456)/(AS1447+AS1456))^$F1465</f>
        <v/>
      </c>
      <c r="AU1465" s="44">
        <f>AT1465*$G1465*(1+AU$7)^$D1465*(AU1447/AT1447)^$E1465*((AU1447+AU1456)/(AT1447+AT1456))^$F1465</f>
        <v/>
      </c>
      <c r="AV1465" s="44">
        <f>AU1465*$G1465*(1+AV$7)^$D1465*(AV1447/AU1447)^$E1465*((AV1447+AV1456)/(AU1447+AU1456))^$F1465</f>
        <v/>
      </c>
      <c r="AW1465" s="44">
        <f>AV1465*$G1465*(1+AW$7)^$D1465*(AW1447/AV1447)^$E1465*((AW1447+AW1456)/(AV1447+AV1456))^$F1465</f>
        <v/>
      </c>
      <c r="AX1465" s="44">
        <f>AW1465*$G1465*(1+AX$7)^$D1465*(AX1447/AW1447)^$E1465*((AX1447+AX1456)/(AW1447+AW1456))^$F1465</f>
        <v/>
      </c>
      <c r="AY1465" s="44">
        <f>AX1465*$G1465*(1+AY$7)^$D1465*(AY1447/AX1447)^$E1465*((AY1447+AY1456)/(AX1447+AX1456))^$F1465</f>
        <v/>
      </c>
      <c r="AZ1465" s="44">
        <f>AY1465*$G1465*(1+AZ$7)^$D1465*(AZ1447/AY1447)^$E1465*((AZ1447+AZ1456)/(AY1447+AY1456))^$F1465</f>
        <v/>
      </c>
      <c r="BA1465" s="57">
        <f>FUELUSE(AZ1465,BA1447,AZ1447,BA1456,AZ1456,BA$7,$D1465,$E1465,$F1465,$G1465)</f>
        <v/>
      </c>
    </row>
    <row r="1466" hidden="1" outlineLevel="2">
      <c r="A1466" s="14" t="inlineStr">
        <is>
          <t>ener</t>
        </is>
      </c>
      <c r="B1466" s="14" t="inlineStr">
        <is>
          <t>die</t>
        </is>
      </c>
      <c r="C1466" s="14" t="inlineStr">
        <is>
          <t>nav</t>
        </is>
      </c>
      <c r="D1466" s="35">
        <f>INDEX(Inputs!$O$5:$O$132,MATCH($B1466&amp;"|"&amp;$C1466,Inputs!$A$5:$A$132,0))</f>
        <v/>
      </c>
      <c r="E1466" s="35">
        <f>INDEX(Inputs!$P$5:$P$132,MATCH($B1466&amp;"|"&amp;$C1466,Inputs!$A$5:$A$132,0))</f>
        <v/>
      </c>
      <c r="F1466" s="35">
        <f>INDEX(Inputs!$T$5:$T$132,MATCH($B1466&amp;"|"&amp;$C1466,Inputs!$A$5:$A$132,0))</f>
        <v/>
      </c>
      <c r="G1466" s="35">
        <f>INDEX(Inputs!$S$5:$S$132,MATCH($B1466&amp;"|"&amp;$C1466,Inputs!$A$5:$A$132,0))</f>
        <v/>
      </c>
      <c r="H1466" s="14">
        <f>INDEX(VarLab,MATCH($A1466,VarKey,0))&amp;INDEX(MemLab,MATCH($C1466&amp;"|"&amp;$B1466,MemKey,0))</f>
        <v/>
      </c>
      <c r="I1466" s="14">
        <f>INDEX(VarUnit,MATCH($A1466,VarKey,0))</f>
        <v/>
      </c>
      <c r="J1466" s="14">
        <f>INDEX(VarSrc,MATCH($A1466,VarKey,0))</f>
        <v/>
      </c>
      <c r="K1466" s="11">
        <f>CodePrefix&amp;$A1466&amp;IF($C1466="","","."&amp;$C1466&amp;"."&amp;$B1466)&amp;INDEX(VarEnd,MATCH($A1466,VarKey,0))&amp;K$5</f>
        <v/>
      </c>
      <c r="L1466" s="43">
        <f>INDEX(Inputs!$X$5:$X$132,MATCH($B1466&amp;"|"&amp;$C1466,Inputs!$A$5:$A$132,0))</f>
        <v/>
      </c>
      <c r="M1466" s="44">
        <f>L1466*$G1466*(1+M$7)^$D1466*(M1448/L1448)^$E1466*((M1448+M1457)/(L1448+L1457))^$F1466</f>
        <v/>
      </c>
      <c r="N1466" s="44">
        <f>M1466*$G1466*(1+N$7)^$D1466*(N1448/M1448)^$E1466*((N1448+N1457)/(M1448+M1457))^$F1466</f>
        <v/>
      </c>
      <c r="O1466" s="44">
        <f>N1466*$G1466*(1+O$7)^$D1466*(O1448/N1448)^$E1466*((O1448+O1457)/(N1448+N1457))^$F1466</f>
        <v/>
      </c>
      <c r="P1466" s="44">
        <f>O1466*$G1466*(1+P$7)^$D1466*(P1448/O1448)^$E1466*((P1448+P1457)/(O1448+O1457))^$F1466</f>
        <v/>
      </c>
      <c r="Q1466" s="44">
        <f>P1466*$G1466*(1+Q$7)^$D1466*(Q1448/P1448)^$E1466*((Q1448+Q1457)/(P1448+P1457))^$F1466</f>
        <v/>
      </c>
      <c r="R1466" s="44">
        <f>Q1466*$G1466*(1+R$7)^$D1466*(R1448/Q1448)^$E1466*((R1448+R1457)/(Q1448+Q1457))^$F1466</f>
        <v/>
      </c>
      <c r="S1466" s="44">
        <f>R1466*$G1466*(1+S$7)^$D1466*(S1448/R1448)^$E1466*((S1448+S1457)/(R1448+R1457))^$F1466</f>
        <v/>
      </c>
      <c r="T1466" s="44">
        <f>S1466*$G1466*(1+T$7)^$D1466*(T1448/S1448)^$E1466*((T1448+T1457)/(S1448+S1457))^$F1466</f>
        <v/>
      </c>
      <c r="U1466" s="44">
        <f>T1466*$G1466*(1+U$7)^$D1466*(U1448/T1448)^$E1466*((U1448+U1457)/(T1448+T1457))^$F1466</f>
        <v/>
      </c>
      <c r="V1466" s="44">
        <f>U1466*$G1466*(1+V$7)^$D1466*(V1448/U1448)^$E1466*((V1448+V1457)/(U1448+U1457))^$F1466</f>
        <v/>
      </c>
      <c r="W1466" s="44">
        <f>V1466*$G1466*(1+W$7)^$D1466*(W1448/V1448)^$E1466*((W1448+W1457)/(V1448+V1457))^$F1466</f>
        <v/>
      </c>
      <c r="X1466" s="44">
        <f>W1466*$G1466*(1+X$7)^$D1466*(X1448/W1448)^$E1466*((X1448+X1457)/(W1448+W1457))^$F1466</f>
        <v/>
      </c>
      <c r="Y1466" s="44">
        <f>X1466*$G1466*(1+Y$7)^$D1466*(Y1448/X1448)^$E1466*((Y1448+Y1457)/(X1448+X1457))^$F1466</f>
        <v/>
      </c>
      <c r="Z1466" s="44">
        <f>Y1466*$G1466*(1+Z$7)^$D1466*(Z1448/Y1448)^$E1466*((Z1448+Z1457)/(Y1448+Y1457))^$F1466</f>
        <v/>
      </c>
      <c r="AA1466" s="44">
        <f>Z1466*$G1466*(1+AA$7)^$D1466*(AA1448/Z1448)^$E1466*((AA1448+AA1457)/(Z1448+Z1457))^$F1466</f>
        <v/>
      </c>
      <c r="AB1466" s="44">
        <f>AA1466*$G1466*(1+AB$7)^$D1466*(AB1448/AA1448)^$E1466*((AB1448+AB1457)/(AA1448+AA1457))^$F1466</f>
        <v/>
      </c>
      <c r="AC1466" s="44">
        <f>AB1466*$G1466*(1+AC$7)^$D1466*(AC1448/AB1448)^$E1466*((AC1448+AC1457)/(AB1448+AB1457))^$F1466</f>
        <v/>
      </c>
      <c r="AD1466" s="44">
        <f>AC1466*$G1466*(1+AD$7)^$D1466*(AD1448/AC1448)^$E1466*((AD1448+AD1457)/(AC1448+AC1457))^$F1466</f>
        <v/>
      </c>
      <c r="AE1466" s="57">
        <f>FUELUSE(AD1466,AE1448,AD1448,AE1457,AD1457,AE$7,$D1466,$E1466,$F1466,$G1466)</f>
        <v/>
      </c>
      <c r="AG1466" s="11">
        <f>CodePrefix&amp;$A1466&amp;IF($C1466="","","."&amp;$C1466&amp;"."&amp;$B1466)&amp;INDEX(VarEnd,MATCH($A1466,VarKey,0))&amp;AG$5</f>
        <v/>
      </c>
      <c r="AH1466" s="43">
        <f>INDEX(Inputs!$X$5:$X$132,MATCH($B1466&amp;"|"&amp;$C1466,Inputs!$A$5:$A$132,0))</f>
        <v/>
      </c>
      <c r="AI1466" s="44">
        <f>AH1466*$G1466*(1+AI$7)^$D1466*(AI1448/AH1448)^$E1466*((AI1448+AI1457)/(AH1448+AH1457))^$F1466</f>
        <v/>
      </c>
      <c r="AJ1466" s="44">
        <f>AI1466*$G1466*(1+AJ$7)^$D1466*(AJ1448/AI1448)^$E1466*((AJ1448+AJ1457)/(AI1448+AI1457))^$F1466</f>
        <v/>
      </c>
      <c r="AK1466" s="44">
        <f>AJ1466*$G1466*(1+AK$7)^$D1466*(AK1448/AJ1448)^$E1466*((AK1448+AK1457)/(AJ1448+AJ1457))^$F1466</f>
        <v/>
      </c>
      <c r="AL1466" s="44">
        <f>AK1466*$G1466*(1+AL$7)^$D1466*(AL1448/AK1448)^$E1466*((AL1448+AL1457)/(AK1448+AK1457))^$F1466</f>
        <v/>
      </c>
      <c r="AM1466" s="44">
        <f>AL1466*$G1466*(1+AM$7)^$D1466*(AM1448/AL1448)^$E1466*((AM1448+AM1457)/(AL1448+AL1457))^$F1466</f>
        <v/>
      </c>
      <c r="AN1466" s="44">
        <f>AM1466*$G1466*(1+AN$7)^$D1466*(AN1448/AM1448)^$E1466*((AN1448+AN1457)/(AM1448+AM1457))^$F1466</f>
        <v/>
      </c>
      <c r="AO1466" s="44">
        <f>AN1466*$G1466*(1+AO$7)^$D1466*(AO1448/AN1448)^$E1466*((AO1448+AO1457)/(AN1448+AN1457))^$F1466</f>
        <v/>
      </c>
      <c r="AP1466" s="44">
        <f>AO1466*$G1466*(1+AP$7)^$D1466*(AP1448/AO1448)^$E1466*((AP1448+AP1457)/(AO1448+AO1457))^$F1466</f>
        <v/>
      </c>
      <c r="AQ1466" s="44">
        <f>AP1466*$G1466*(1+AQ$7)^$D1466*(AQ1448/AP1448)^$E1466*((AQ1448+AQ1457)/(AP1448+AP1457))^$F1466</f>
        <v/>
      </c>
      <c r="AR1466" s="44">
        <f>AQ1466*$G1466*(1+AR$7)^$D1466*(AR1448/AQ1448)^$E1466*((AR1448+AR1457)/(AQ1448+AQ1457))^$F1466</f>
        <v/>
      </c>
      <c r="AS1466" s="44">
        <f>AR1466*$G1466*(1+AS$7)^$D1466*(AS1448/AR1448)^$E1466*((AS1448+AS1457)/(AR1448+AR1457))^$F1466</f>
        <v/>
      </c>
      <c r="AT1466" s="44">
        <f>AS1466*$G1466*(1+AT$7)^$D1466*(AT1448/AS1448)^$E1466*((AT1448+AT1457)/(AS1448+AS1457))^$F1466</f>
        <v/>
      </c>
      <c r="AU1466" s="44">
        <f>AT1466*$G1466*(1+AU$7)^$D1466*(AU1448/AT1448)^$E1466*((AU1448+AU1457)/(AT1448+AT1457))^$F1466</f>
        <v/>
      </c>
      <c r="AV1466" s="44">
        <f>AU1466*$G1466*(1+AV$7)^$D1466*(AV1448/AU1448)^$E1466*((AV1448+AV1457)/(AU1448+AU1457))^$F1466</f>
        <v/>
      </c>
      <c r="AW1466" s="44">
        <f>AV1466*$G1466*(1+AW$7)^$D1466*(AW1448/AV1448)^$E1466*((AW1448+AW1457)/(AV1448+AV1457))^$F1466</f>
        <v/>
      </c>
      <c r="AX1466" s="44">
        <f>AW1466*$G1466*(1+AX$7)^$D1466*(AX1448/AW1448)^$E1466*((AX1448+AX1457)/(AW1448+AW1457))^$F1466</f>
        <v/>
      </c>
      <c r="AY1466" s="44">
        <f>AX1466*$G1466*(1+AY$7)^$D1466*(AY1448/AX1448)^$E1466*((AY1448+AY1457)/(AX1448+AX1457))^$F1466</f>
        <v/>
      </c>
      <c r="AZ1466" s="44">
        <f>AY1466*$G1466*(1+AZ$7)^$D1466*(AZ1448/AY1448)^$E1466*((AZ1448+AZ1457)/(AY1448+AY1457))^$F1466</f>
        <v/>
      </c>
      <c r="BA1466" s="57">
        <f>FUELUSE(AZ1466,BA1448,AZ1448,BA1457,AZ1457,BA$7,$D1466,$E1466,$F1466,$G1466)</f>
        <v/>
      </c>
    </row>
    <row r="1467" hidden="1" outlineLevel="2">
      <c r="A1467" s="14" t="inlineStr">
        <is>
          <t>ener</t>
        </is>
      </c>
      <c r="B1467" s="14" t="inlineStr">
        <is>
          <t>lpg</t>
        </is>
      </c>
      <c r="C1467" s="14" t="inlineStr">
        <is>
          <t>nav</t>
        </is>
      </c>
      <c r="D1467" s="35">
        <f>INDEX(Inputs!$O$5:$O$132,MATCH($B1467&amp;"|"&amp;$C1467,Inputs!$A$5:$A$132,0))</f>
        <v/>
      </c>
      <c r="E1467" s="35">
        <f>INDEX(Inputs!$P$5:$P$132,MATCH($B1467&amp;"|"&amp;$C1467,Inputs!$A$5:$A$132,0))</f>
        <v/>
      </c>
      <c r="F1467" s="35">
        <f>INDEX(Inputs!$T$5:$T$132,MATCH($B1467&amp;"|"&amp;$C1467,Inputs!$A$5:$A$132,0))</f>
        <v/>
      </c>
      <c r="G1467" s="35">
        <f>INDEX(Inputs!$S$5:$S$132,MATCH($B1467&amp;"|"&amp;$C1467,Inputs!$A$5:$A$132,0))</f>
        <v/>
      </c>
      <c r="H1467" s="14">
        <f>INDEX(VarLab,MATCH($A1467,VarKey,0))&amp;INDEX(MemLab,MATCH($C1467&amp;"|"&amp;$B1467,MemKey,0))</f>
        <v/>
      </c>
      <c r="I1467" s="14">
        <f>INDEX(VarUnit,MATCH($A1467,VarKey,0))</f>
        <v/>
      </c>
      <c r="J1467" s="14">
        <f>INDEX(VarSrc,MATCH($A1467,VarKey,0))</f>
        <v/>
      </c>
      <c r="K1467" s="11">
        <f>CodePrefix&amp;$A1467&amp;IF($C1467="","","."&amp;$C1467&amp;"."&amp;$B1467)&amp;INDEX(VarEnd,MATCH($A1467,VarKey,0))&amp;K$5</f>
        <v/>
      </c>
      <c r="L1467" s="43">
        <f>INDEX(Inputs!$X$5:$X$132,MATCH($B1467&amp;"|"&amp;$C1467,Inputs!$A$5:$A$132,0))</f>
        <v/>
      </c>
      <c r="M1467" s="44">
        <f>L1467*$G1467*(1+M$7)^$D1467*(M1449/L1449)^$E1467*((M1449+M1458)/(L1449+L1458))^$F1467</f>
        <v/>
      </c>
      <c r="N1467" s="44">
        <f>M1467*$G1467*(1+N$7)^$D1467*(N1449/M1449)^$E1467*((N1449+N1458)/(M1449+M1458))^$F1467</f>
        <v/>
      </c>
      <c r="O1467" s="44">
        <f>N1467*$G1467*(1+O$7)^$D1467*(O1449/N1449)^$E1467*((O1449+O1458)/(N1449+N1458))^$F1467</f>
        <v/>
      </c>
      <c r="P1467" s="44">
        <f>O1467*$G1467*(1+P$7)^$D1467*(P1449/O1449)^$E1467*((P1449+P1458)/(O1449+O1458))^$F1467</f>
        <v/>
      </c>
      <c r="Q1467" s="44">
        <f>P1467*$G1467*(1+Q$7)^$D1467*(Q1449/P1449)^$E1467*((Q1449+Q1458)/(P1449+P1458))^$F1467</f>
        <v/>
      </c>
      <c r="R1467" s="44">
        <f>Q1467*$G1467*(1+R$7)^$D1467*(R1449/Q1449)^$E1467*((R1449+R1458)/(Q1449+Q1458))^$F1467</f>
        <v/>
      </c>
      <c r="S1467" s="44">
        <f>R1467*$G1467*(1+S$7)^$D1467*(S1449/R1449)^$E1467*((S1449+S1458)/(R1449+R1458))^$F1467</f>
        <v/>
      </c>
      <c r="T1467" s="44">
        <f>S1467*$G1467*(1+T$7)^$D1467*(T1449/S1449)^$E1467*((T1449+T1458)/(S1449+S1458))^$F1467</f>
        <v/>
      </c>
      <c r="U1467" s="44">
        <f>T1467*$G1467*(1+U$7)^$D1467*(U1449/T1449)^$E1467*((U1449+U1458)/(T1449+T1458))^$F1467</f>
        <v/>
      </c>
      <c r="V1467" s="44">
        <f>U1467*$G1467*(1+V$7)^$D1467*(V1449/U1449)^$E1467*((V1449+V1458)/(U1449+U1458))^$F1467</f>
        <v/>
      </c>
      <c r="W1467" s="44">
        <f>V1467*$G1467*(1+W$7)^$D1467*(W1449/V1449)^$E1467*((W1449+W1458)/(V1449+V1458))^$F1467</f>
        <v/>
      </c>
      <c r="X1467" s="44">
        <f>W1467*$G1467*(1+X$7)^$D1467*(X1449/W1449)^$E1467*((X1449+X1458)/(W1449+W1458))^$F1467</f>
        <v/>
      </c>
      <c r="Y1467" s="44">
        <f>X1467*$G1467*(1+Y$7)^$D1467*(Y1449/X1449)^$E1467*((Y1449+Y1458)/(X1449+X1458))^$F1467</f>
        <v/>
      </c>
      <c r="Z1467" s="44">
        <f>Y1467*$G1467*(1+Z$7)^$D1467*(Z1449/Y1449)^$E1467*((Z1449+Z1458)/(Y1449+Y1458))^$F1467</f>
        <v/>
      </c>
      <c r="AA1467" s="44">
        <f>Z1467*$G1467*(1+AA$7)^$D1467*(AA1449/Z1449)^$E1467*((AA1449+AA1458)/(Z1449+Z1458))^$F1467</f>
        <v/>
      </c>
      <c r="AB1467" s="44">
        <f>AA1467*$G1467*(1+AB$7)^$D1467*(AB1449/AA1449)^$E1467*((AB1449+AB1458)/(AA1449+AA1458))^$F1467</f>
        <v/>
      </c>
      <c r="AC1467" s="44">
        <f>AB1467*$G1467*(1+AC$7)^$D1467*(AC1449/AB1449)^$E1467*((AC1449+AC1458)/(AB1449+AB1458))^$F1467</f>
        <v/>
      </c>
      <c r="AD1467" s="44">
        <f>AC1467*$G1467*(1+AD$7)^$D1467*(AD1449/AC1449)^$E1467*((AD1449+AD1458)/(AC1449+AC1458))^$F1467</f>
        <v/>
      </c>
      <c r="AE1467" s="57">
        <f>FUELUSE(AD1467,AE1449,AD1449,AE1458,AD1458,AE$7,$D1467,$E1467,$F1467,$G1467)</f>
        <v/>
      </c>
      <c r="AG1467" s="11">
        <f>CodePrefix&amp;$A1467&amp;IF($C1467="","","."&amp;$C1467&amp;"."&amp;$B1467)&amp;INDEX(VarEnd,MATCH($A1467,VarKey,0))&amp;AG$5</f>
        <v/>
      </c>
      <c r="AH1467" s="43">
        <f>INDEX(Inputs!$X$5:$X$132,MATCH($B1467&amp;"|"&amp;$C1467,Inputs!$A$5:$A$132,0))</f>
        <v/>
      </c>
      <c r="AI1467" s="44">
        <f>AH1467*$G1467*(1+AI$7)^$D1467*(AI1449/AH1449)^$E1467*((AI1449+AI1458)/(AH1449+AH1458))^$F1467</f>
        <v/>
      </c>
      <c r="AJ1467" s="44">
        <f>AI1467*$G1467*(1+AJ$7)^$D1467*(AJ1449/AI1449)^$E1467*((AJ1449+AJ1458)/(AI1449+AI1458))^$F1467</f>
        <v/>
      </c>
      <c r="AK1467" s="44">
        <f>AJ1467*$G1467*(1+AK$7)^$D1467*(AK1449/AJ1449)^$E1467*((AK1449+AK1458)/(AJ1449+AJ1458))^$F1467</f>
        <v/>
      </c>
      <c r="AL1467" s="44">
        <f>AK1467*$G1467*(1+AL$7)^$D1467*(AL1449/AK1449)^$E1467*((AL1449+AL1458)/(AK1449+AK1458))^$F1467</f>
        <v/>
      </c>
      <c r="AM1467" s="44">
        <f>AL1467*$G1467*(1+AM$7)^$D1467*(AM1449/AL1449)^$E1467*((AM1449+AM1458)/(AL1449+AL1458))^$F1467</f>
        <v/>
      </c>
      <c r="AN1467" s="44">
        <f>AM1467*$G1467*(1+AN$7)^$D1467*(AN1449/AM1449)^$E1467*((AN1449+AN1458)/(AM1449+AM1458))^$F1467</f>
        <v/>
      </c>
      <c r="AO1467" s="44">
        <f>AN1467*$G1467*(1+AO$7)^$D1467*(AO1449/AN1449)^$E1467*((AO1449+AO1458)/(AN1449+AN1458))^$F1467</f>
        <v/>
      </c>
      <c r="AP1467" s="44">
        <f>AO1467*$G1467*(1+AP$7)^$D1467*(AP1449/AO1449)^$E1467*((AP1449+AP1458)/(AO1449+AO1458))^$F1467</f>
        <v/>
      </c>
      <c r="AQ1467" s="44">
        <f>AP1467*$G1467*(1+AQ$7)^$D1467*(AQ1449/AP1449)^$E1467*((AQ1449+AQ1458)/(AP1449+AP1458))^$F1467</f>
        <v/>
      </c>
      <c r="AR1467" s="44">
        <f>AQ1467*$G1467*(1+AR$7)^$D1467*(AR1449/AQ1449)^$E1467*((AR1449+AR1458)/(AQ1449+AQ1458))^$F1467</f>
        <v/>
      </c>
      <c r="AS1467" s="44">
        <f>AR1467*$G1467*(1+AS$7)^$D1467*(AS1449/AR1449)^$E1467*((AS1449+AS1458)/(AR1449+AR1458))^$F1467</f>
        <v/>
      </c>
      <c r="AT1467" s="44">
        <f>AS1467*$G1467*(1+AT$7)^$D1467*(AT1449/AS1449)^$E1467*((AT1449+AT1458)/(AS1449+AS1458))^$F1467</f>
        <v/>
      </c>
      <c r="AU1467" s="44">
        <f>AT1467*$G1467*(1+AU$7)^$D1467*(AU1449/AT1449)^$E1467*((AU1449+AU1458)/(AT1449+AT1458))^$F1467</f>
        <v/>
      </c>
      <c r="AV1467" s="44">
        <f>AU1467*$G1467*(1+AV$7)^$D1467*(AV1449/AU1449)^$E1467*((AV1449+AV1458)/(AU1449+AU1458))^$F1467</f>
        <v/>
      </c>
      <c r="AW1467" s="44">
        <f>AV1467*$G1467*(1+AW$7)^$D1467*(AW1449/AV1449)^$E1467*((AW1449+AW1458)/(AV1449+AV1458))^$F1467</f>
        <v/>
      </c>
      <c r="AX1467" s="44">
        <f>AW1467*$G1467*(1+AX$7)^$D1467*(AX1449/AW1449)^$E1467*((AX1449+AX1458)/(AW1449+AW1458))^$F1467</f>
        <v/>
      </c>
      <c r="AY1467" s="44">
        <f>AX1467*$G1467*(1+AY$7)^$D1467*(AY1449/AX1449)^$E1467*((AY1449+AY1458)/(AX1449+AX1458))^$F1467</f>
        <v/>
      </c>
      <c r="AZ1467" s="44">
        <f>AY1467*$G1467*(1+AZ$7)^$D1467*(AZ1449/AY1449)^$E1467*((AZ1449+AZ1458)/(AY1449+AY1458))^$F1467</f>
        <v/>
      </c>
      <c r="BA1467" s="57">
        <f>FUELUSE(AZ1467,BA1449,AZ1449,BA1458,AZ1458,BA$7,$D1467,$E1467,$F1467,$G1467)</f>
        <v/>
      </c>
    </row>
    <row r="1468" hidden="1" outlineLevel="2">
      <c r="A1468" s="14" t="inlineStr">
        <is>
          <t>ener</t>
        </is>
      </c>
      <c r="B1468" s="14" t="inlineStr">
        <is>
          <t>ker</t>
        </is>
      </c>
      <c r="C1468" s="14" t="inlineStr">
        <is>
          <t>nav</t>
        </is>
      </c>
      <c r="D1468" s="35">
        <f>INDEX(Inputs!$O$5:$O$132,MATCH($B1468&amp;"|"&amp;$C1468,Inputs!$A$5:$A$132,0))</f>
        <v/>
      </c>
      <c r="E1468" s="35">
        <f>INDEX(Inputs!$P$5:$P$132,MATCH($B1468&amp;"|"&amp;$C1468,Inputs!$A$5:$A$132,0))</f>
        <v/>
      </c>
      <c r="F1468" s="35">
        <f>INDEX(Inputs!$T$5:$T$132,MATCH($B1468&amp;"|"&amp;$C1468,Inputs!$A$5:$A$132,0))</f>
        <v/>
      </c>
      <c r="G1468" s="35">
        <f>INDEX(Inputs!$S$5:$S$132,MATCH($B1468&amp;"|"&amp;$C1468,Inputs!$A$5:$A$132,0))</f>
        <v/>
      </c>
      <c r="H1468" s="14">
        <f>INDEX(VarLab,MATCH($A1468,VarKey,0))&amp;INDEX(MemLab,MATCH($C1468&amp;"|"&amp;$B1468,MemKey,0))</f>
        <v/>
      </c>
      <c r="I1468" s="14">
        <f>INDEX(VarUnit,MATCH($A1468,VarKey,0))</f>
        <v/>
      </c>
      <c r="J1468" s="14">
        <f>INDEX(VarSrc,MATCH($A1468,VarKey,0))</f>
        <v/>
      </c>
      <c r="K1468" s="11">
        <f>CodePrefix&amp;$A1468&amp;IF($C1468="","","."&amp;$C1468&amp;"."&amp;$B1468)&amp;INDEX(VarEnd,MATCH($A1468,VarKey,0))&amp;K$5</f>
        <v/>
      </c>
      <c r="L1468" s="43">
        <f>INDEX(Inputs!$X$5:$X$132,MATCH($B1468&amp;"|"&amp;$C1468,Inputs!$A$5:$A$132,0))</f>
        <v/>
      </c>
      <c r="M1468" s="44">
        <f>L1468*$G1468*(1+M$7)^$D1468*(M1450/L1450)^$E1468*((M1450+M1459)/(L1450+L1459))^$F1468</f>
        <v/>
      </c>
      <c r="N1468" s="44">
        <f>M1468*$G1468*(1+N$7)^$D1468*(N1450/M1450)^$E1468*((N1450+N1459)/(M1450+M1459))^$F1468</f>
        <v/>
      </c>
      <c r="O1468" s="44">
        <f>N1468*$G1468*(1+O$7)^$D1468*(O1450/N1450)^$E1468*((O1450+O1459)/(N1450+N1459))^$F1468</f>
        <v/>
      </c>
      <c r="P1468" s="44">
        <f>O1468*$G1468*(1+P$7)^$D1468*(P1450/O1450)^$E1468*((P1450+P1459)/(O1450+O1459))^$F1468</f>
        <v/>
      </c>
      <c r="Q1468" s="44">
        <f>P1468*$G1468*(1+Q$7)^$D1468*(Q1450/P1450)^$E1468*((Q1450+Q1459)/(P1450+P1459))^$F1468</f>
        <v/>
      </c>
      <c r="R1468" s="44">
        <f>Q1468*$G1468*(1+R$7)^$D1468*(R1450/Q1450)^$E1468*((R1450+R1459)/(Q1450+Q1459))^$F1468</f>
        <v/>
      </c>
      <c r="S1468" s="44">
        <f>R1468*$G1468*(1+S$7)^$D1468*(S1450/R1450)^$E1468*((S1450+S1459)/(R1450+R1459))^$F1468</f>
        <v/>
      </c>
      <c r="T1468" s="44">
        <f>S1468*$G1468*(1+T$7)^$D1468*(T1450/S1450)^$E1468*((T1450+T1459)/(S1450+S1459))^$F1468</f>
        <v/>
      </c>
      <c r="U1468" s="44">
        <f>T1468*$G1468*(1+U$7)^$D1468*(U1450/T1450)^$E1468*((U1450+U1459)/(T1450+T1459))^$F1468</f>
        <v/>
      </c>
      <c r="V1468" s="44">
        <f>U1468*$G1468*(1+V$7)^$D1468*(V1450/U1450)^$E1468*((V1450+V1459)/(U1450+U1459))^$F1468</f>
        <v/>
      </c>
      <c r="W1468" s="44">
        <f>V1468*$G1468*(1+W$7)^$D1468*(W1450/V1450)^$E1468*((W1450+W1459)/(V1450+V1459))^$F1468</f>
        <v/>
      </c>
      <c r="X1468" s="44">
        <f>W1468*$G1468*(1+X$7)^$D1468*(X1450/W1450)^$E1468*((X1450+X1459)/(W1450+W1459))^$F1468</f>
        <v/>
      </c>
      <c r="Y1468" s="44">
        <f>X1468*$G1468*(1+Y$7)^$D1468*(Y1450/X1450)^$E1468*((Y1450+Y1459)/(X1450+X1459))^$F1468</f>
        <v/>
      </c>
      <c r="Z1468" s="44">
        <f>Y1468*$G1468*(1+Z$7)^$D1468*(Z1450/Y1450)^$E1468*((Z1450+Z1459)/(Y1450+Y1459))^$F1468</f>
        <v/>
      </c>
      <c r="AA1468" s="44">
        <f>Z1468*$G1468*(1+AA$7)^$D1468*(AA1450/Z1450)^$E1468*((AA1450+AA1459)/(Z1450+Z1459))^$F1468</f>
        <v/>
      </c>
      <c r="AB1468" s="44">
        <f>AA1468*$G1468*(1+AB$7)^$D1468*(AB1450/AA1450)^$E1468*((AB1450+AB1459)/(AA1450+AA1459))^$F1468</f>
        <v/>
      </c>
      <c r="AC1468" s="44">
        <f>AB1468*$G1468*(1+AC$7)^$D1468*(AC1450/AB1450)^$E1468*((AC1450+AC1459)/(AB1450+AB1459))^$F1468</f>
        <v/>
      </c>
      <c r="AD1468" s="44">
        <f>AC1468*$G1468*(1+AD$7)^$D1468*(AD1450/AC1450)^$E1468*((AD1450+AD1459)/(AC1450+AC1459))^$F1468</f>
        <v/>
      </c>
      <c r="AE1468" s="57">
        <f>FUELUSE(AD1468,AE1450,AD1450,AE1459,AD1459,AE$7,$D1468,$E1468,$F1468,$G1468)</f>
        <v/>
      </c>
      <c r="AG1468" s="11">
        <f>CodePrefix&amp;$A1468&amp;IF($C1468="","","."&amp;$C1468&amp;"."&amp;$B1468)&amp;INDEX(VarEnd,MATCH($A1468,VarKey,0))&amp;AG$5</f>
        <v/>
      </c>
      <c r="AH1468" s="43">
        <f>INDEX(Inputs!$X$5:$X$132,MATCH($B1468&amp;"|"&amp;$C1468,Inputs!$A$5:$A$132,0))</f>
        <v/>
      </c>
      <c r="AI1468" s="44">
        <f>AH1468*$G1468*(1+AI$7)^$D1468*(AI1450/AH1450)^$E1468*((AI1450+AI1459)/(AH1450+AH1459))^$F1468</f>
        <v/>
      </c>
      <c r="AJ1468" s="44">
        <f>AI1468*$G1468*(1+AJ$7)^$D1468*(AJ1450/AI1450)^$E1468*((AJ1450+AJ1459)/(AI1450+AI1459))^$F1468</f>
        <v/>
      </c>
      <c r="AK1468" s="44">
        <f>AJ1468*$G1468*(1+AK$7)^$D1468*(AK1450/AJ1450)^$E1468*((AK1450+AK1459)/(AJ1450+AJ1459))^$F1468</f>
        <v/>
      </c>
      <c r="AL1468" s="44">
        <f>AK1468*$G1468*(1+AL$7)^$D1468*(AL1450/AK1450)^$E1468*((AL1450+AL1459)/(AK1450+AK1459))^$F1468</f>
        <v/>
      </c>
      <c r="AM1468" s="44">
        <f>AL1468*$G1468*(1+AM$7)^$D1468*(AM1450/AL1450)^$E1468*((AM1450+AM1459)/(AL1450+AL1459))^$F1468</f>
        <v/>
      </c>
      <c r="AN1468" s="44">
        <f>AM1468*$G1468*(1+AN$7)^$D1468*(AN1450/AM1450)^$E1468*((AN1450+AN1459)/(AM1450+AM1459))^$F1468</f>
        <v/>
      </c>
      <c r="AO1468" s="44">
        <f>AN1468*$G1468*(1+AO$7)^$D1468*(AO1450/AN1450)^$E1468*((AO1450+AO1459)/(AN1450+AN1459))^$F1468</f>
        <v/>
      </c>
      <c r="AP1468" s="44">
        <f>AO1468*$G1468*(1+AP$7)^$D1468*(AP1450/AO1450)^$E1468*((AP1450+AP1459)/(AO1450+AO1459))^$F1468</f>
        <v/>
      </c>
      <c r="AQ1468" s="44">
        <f>AP1468*$G1468*(1+AQ$7)^$D1468*(AQ1450/AP1450)^$E1468*((AQ1450+AQ1459)/(AP1450+AP1459))^$F1468</f>
        <v/>
      </c>
      <c r="AR1468" s="44">
        <f>AQ1468*$G1468*(1+AR$7)^$D1468*(AR1450/AQ1450)^$E1468*((AR1450+AR1459)/(AQ1450+AQ1459))^$F1468</f>
        <v/>
      </c>
      <c r="AS1468" s="44">
        <f>AR1468*$G1468*(1+AS$7)^$D1468*(AS1450/AR1450)^$E1468*((AS1450+AS1459)/(AR1450+AR1459))^$F1468</f>
        <v/>
      </c>
      <c r="AT1468" s="44">
        <f>AS1468*$G1468*(1+AT$7)^$D1468*(AT1450/AS1450)^$E1468*((AT1450+AT1459)/(AS1450+AS1459))^$F1468</f>
        <v/>
      </c>
      <c r="AU1468" s="44">
        <f>AT1468*$G1468*(1+AU$7)^$D1468*(AU1450/AT1450)^$E1468*((AU1450+AU1459)/(AT1450+AT1459))^$F1468</f>
        <v/>
      </c>
      <c r="AV1468" s="44">
        <f>AU1468*$G1468*(1+AV$7)^$D1468*(AV1450/AU1450)^$E1468*((AV1450+AV1459)/(AU1450+AU1459))^$F1468</f>
        <v/>
      </c>
      <c r="AW1468" s="44">
        <f>AV1468*$G1468*(1+AW$7)^$D1468*(AW1450/AV1450)^$E1468*((AW1450+AW1459)/(AV1450+AV1459))^$F1468</f>
        <v/>
      </c>
      <c r="AX1468" s="44">
        <f>AW1468*$G1468*(1+AX$7)^$D1468*(AX1450/AW1450)^$E1468*((AX1450+AX1459)/(AW1450+AW1459))^$F1468</f>
        <v/>
      </c>
      <c r="AY1468" s="44">
        <f>AX1468*$G1468*(1+AY$7)^$D1468*(AY1450/AX1450)^$E1468*((AY1450+AY1459)/(AX1450+AX1459))^$F1468</f>
        <v/>
      </c>
      <c r="AZ1468" s="44">
        <f>AY1468*$G1468*(1+AZ$7)^$D1468*(AZ1450/AY1450)^$E1468*((AZ1450+AZ1459)/(AY1450+AY1459))^$F1468</f>
        <v/>
      </c>
      <c r="BA1468" s="57">
        <f>FUELUSE(AZ1468,BA1450,AZ1450,BA1459,AZ1459,BA$7,$D1468,$E1468,$F1468,$G1468)</f>
        <v/>
      </c>
    </row>
    <row r="1469" hidden="1" outlineLevel="2">
      <c r="A1469" s="14" t="inlineStr">
        <is>
          <t>ener</t>
        </is>
      </c>
      <c r="B1469" s="14" t="inlineStr">
        <is>
          <t>oop</t>
        </is>
      </c>
      <c r="C1469" s="14" t="inlineStr">
        <is>
          <t>nav</t>
        </is>
      </c>
      <c r="D1469" s="35">
        <f>INDEX(Inputs!$O$5:$O$132,MATCH($B1469&amp;"|"&amp;$C1469,Inputs!$A$5:$A$132,0))</f>
        <v/>
      </c>
      <c r="E1469" s="35">
        <f>INDEX(Inputs!$P$5:$P$132,MATCH($B1469&amp;"|"&amp;$C1469,Inputs!$A$5:$A$132,0))</f>
        <v/>
      </c>
      <c r="F1469" s="35">
        <f>INDEX(Inputs!$T$5:$T$132,MATCH($B1469&amp;"|"&amp;$C1469,Inputs!$A$5:$A$132,0))</f>
        <v/>
      </c>
      <c r="G1469" s="35">
        <f>INDEX(Inputs!$S$5:$S$132,MATCH($B1469&amp;"|"&amp;$C1469,Inputs!$A$5:$A$132,0))</f>
        <v/>
      </c>
      <c r="H1469" s="14">
        <f>INDEX(VarLab,MATCH($A1469,VarKey,0))&amp;INDEX(MemLab,MATCH($C1469&amp;"|"&amp;$B1469,MemKey,0))</f>
        <v/>
      </c>
      <c r="I1469" s="14">
        <f>INDEX(VarUnit,MATCH($A1469,VarKey,0))</f>
        <v/>
      </c>
      <c r="J1469" s="14">
        <f>INDEX(VarSrc,MATCH($A1469,VarKey,0))</f>
        <v/>
      </c>
      <c r="K1469" s="11">
        <f>CodePrefix&amp;$A1469&amp;IF($C1469="","","."&amp;$C1469&amp;"."&amp;$B1469)&amp;INDEX(VarEnd,MATCH($A1469,VarKey,0))&amp;K$5</f>
        <v/>
      </c>
      <c r="L1469" s="43">
        <f>INDEX(Inputs!$X$5:$X$132,MATCH($B1469&amp;"|"&amp;$C1469,Inputs!$A$5:$A$132,0))</f>
        <v/>
      </c>
      <c r="M1469" s="44">
        <f>L1469*$G1469*(1+M$7)^$D1469*(M1451/L1451)^$E1469*((M1451+M1460)/(L1451+L1460))^$F1469</f>
        <v/>
      </c>
      <c r="N1469" s="44">
        <f>M1469*$G1469*(1+N$7)^$D1469*(N1451/M1451)^$E1469*((N1451+N1460)/(M1451+M1460))^$F1469</f>
        <v/>
      </c>
      <c r="O1469" s="44">
        <f>N1469*$G1469*(1+O$7)^$D1469*(O1451/N1451)^$E1469*((O1451+O1460)/(N1451+N1460))^$F1469</f>
        <v/>
      </c>
      <c r="P1469" s="44">
        <f>O1469*$G1469*(1+P$7)^$D1469*(P1451/O1451)^$E1469*((P1451+P1460)/(O1451+O1460))^$F1469</f>
        <v/>
      </c>
      <c r="Q1469" s="44">
        <f>P1469*$G1469*(1+Q$7)^$D1469*(Q1451/P1451)^$E1469*((Q1451+Q1460)/(P1451+P1460))^$F1469</f>
        <v/>
      </c>
      <c r="R1469" s="44">
        <f>Q1469*$G1469*(1+R$7)^$D1469*(R1451/Q1451)^$E1469*((R1451+R1460)/(Q1451+Q1460))^$F1469</f>
        <v/>
      </c>
      <c r="S1469" s="44">
        <f>R1469*$G1469*(1+S$7)^$D1469*(S1451/R1451)^$E1469*((S1451+S1460)/(R1451+R1460))^$F1469</f>
        <v/>
      </c>
      <c r="T1469" s="44">
        <f>S1469*$G1469*(1+T$7)^$D1469*(T1451/S1451)^$E1469*((T1451+T1460)/(S1451+S1460))^$F1469</f>
        <v/>
      </c>
      <c r="U1469" s="44">
        <f>T1469*$G1469*(1+U$7)^$D1469*(U1451/T1451)^$E1469*((U1451+U1460)/(T1451+T1460))^$F1469</f>
        <v/>
      </c>
      <c r="V1469" s="44">
        <f>U1469*$G1469*(1+V$7)^$D1469*(V1451/U1451)^$E1469*((V1451+V1460)/(U1451+U1460))^$F1469</f>
        <v/>
      </c>
      <c r="W1469" s="44">
        <f>V1469*$G1469*(1+W$7)^$D1469*(W1451/V1451)^$E1469*((W1451+W1460)/(V1451+V1460))^$F1469</f>
        <v/>
      </c>
      <c r="X1469" s="44">
        <f>W1469*$G1469*(1+X$7)^$D1469*(X1451/W1451)^$E1469*((X1451+X1460)/(W1451+W1460))^$F1469</f>
        <v/>
      </c>
      <c r="Y1469" s="44">
        <f>X1469*$G1469*(1+Y$7)^$D1469*(Y1451/X1451)^$E1469*((Y1451+Y1460)/(X1451+X1460))^$F1469</f>
        <v/>
      </c>
      <c r="Z1469" s="44">
        <f>Y1469*$G1469*(1+Z$7)^$D1469*(Z1451/Y1451)^$E1469*((Z1451+Z1460)/(Y1451+Y1460))^$F1469</f>
        <v/>
      </c>
      <c r="AA1469" s="44">
        <f>Z1469*$G1469*(1+AA$7)^$D1469*(AA1451/Z1451)^$E1469*((AA1451+AA1460)/(Z1451+Z1460))^$F1469</f>
        <v/>
      </c>
      <c r="AB1469" s="44">
        <f>AA1469*$G1469*(1+AB$7)^$D1469*(AB1451/AA1451)^$E1469*((AB1451+AB1460)/(AA1451+AA1460))^$F1469</f>
        <v/>
      </c>
      <c r="AC1469" s="44">
        <f>AB1469*$G1469*(1+AC$7)^$D1469*(AC1451/AB1451)^$E1469*((AC1451+AC1460)/(AB1451+AB1460))^$F1469</f>
        <v/>
      </c>
      <c r="AD1469" s="44">
        <f>AC1469*$G1469*(1+AD$7)^$D1469*(AD1451/AC1451)^$E1469*((AD1451+AD1460)/(AC1451+AC1460))^$F1469</f>
        <v/>
      </c>
      <c r="AE1469" s="57">
        <f>FUELUSE(AD1469,AE1451,AD1451,AE1460,AD1460,AE$7,$D1469,$E1469,$F1469,$G1469)</f>
        <v/>
      </c>
      <c r="AG1469" s="11">
        <f>CodePrefix&amp;$A1469&amp;IF($C1469="","","."&amp;$C1469&amp;"."&amp;$B1469)&amp;INDEX(VarEnd,MATCH($A1469,VarKey,0))&amp;AG$5</f>
        <v/>
      </c>
      <c r="AH1469" s="43">
        <f>INDEX(Inputs!$X$5:$X$132,MATCH($B1469&amp;"|"&amp;$C1469,Inputs!$A$5:$A$132,0))</f>
        <v/>
      </c>
      <c r="AI1469" s="44">
        <f>AH1469*$G1469*(1+AI$7)^$D1469*(AI1451/AH1451)^$E1469*((AI1451+AI1460)/(AH1451+AH1460))^$F1469</f>
        <v/>
      </c>
      <c r="AJ1469" s="44">
        <f>AI1469*$G1469*(1+AJ$7)^$D1469*(AJ1451/AI1451)^$E1469*((AJ1451+AJ1460)/(AI1451+AI1460))^$F1469</f>
        <v/>
      </c>
      <c r="AK1469" s="44">
        <f>AJ1469*$G1469*(1+AK$7)^$D1469*(AK1451/AJ1451)^$E1469*((AK1451+AK1460)/(AJ1451+AJ1460))^$F1469</f>
        <v/>
      </c>
      <c r="AL1469" s="44">
        <f>AK1469*$G1469*(1+AL$7)^$D1469*(AL1451/AK1451)^$E1469*((AL1451+AL1460)/(AK1451+AK1460))^$F1469</f>
        <v/>
      </c>
      <c r="AM1469" s="44">
        <f>AL1469*$G1469*(1+AM$7)^$D1469*(AM1451/AL1451)^$E1469*((AM1451+AM1460)/(AL1451+AL1460))^$F1469</f>
        <v/>
      </c>
      <c r="AN1469" s="44">
        <f>AM1469*$G1469*(1+AN$7)^$D1469*(AN1451/AM1451)^$E1469*((AN1451+AN1460)/(AM1451+AM1460))^$F1469</f>
        <v/>
      </c>
      <c r="AO1469" s="44">
        <f>AN1469*$G1469*(1+AO$7)^$D1469*(AO1451/AN1451)^$E1469*((AO1451+AO1460)/(AN1451+AN1460))^$F1469</f>
        <v/>
      </c>
      <c r="AP1469" s="44">
        <f>AO1469*$G1469*(1+AP$7)^$D1469*(AP1451/AO1451)^$E1469*((AP1451+AP1460)/(AO1451+AO1460))^$F1469</f>
        <v/>
      </c>
      <c r="AQ1469" s="44">
        <f>AP1469*$G1469*(1+AQ$7)^$D1469*(AQ1451/AP1451)^$E1469*((AQ1451+AQ1460)/(AP1451+AP1460))^$F1469</f>
        <v/>
      </c>
      <c r="AR1469" s="44">
        <f>AQ1469*$G1469*(1+AR$7)^$D1469*(AR1451/AQ1451)^$E1469*((AR1451+AR1460)/(AQ1451+AQ1460))^$F1469</f>
        <v/>
      </c>
      <c r="AS1469" s="44">
        <f>AR1469*$G1469*(1+AS$7)^$D1469*(AS1451/AR1451)^$E1469*((AS1451+AS1460)/(AR1451+AR1460))^$F1469</f>
        <v/>
      </c>
      <c r="AT1469" s="44">
        <f>AS1469*$G1469*(1+AT$7)^$D1469*(AT1451/AS1451)^$E1469*((AT1451+AT1460)/(AS1451+AS1460))^$F1469</f>
        <v/>
      </c>
      <c r="AU1469" s="44">
        <f>AT1469*$G1469*(1+AU$7)^$D1469*(AU1451/AT1451)^$E1469*((AU1451+AU1460)/(AT1451+AT1460))^$F1469</f>
        <v/>
      </c>
      <c r="AV1469" s="44">
        <f>AU1469*$G1469*(1+AV$7)^$D1469*(AV1451/AU1451)^$E1469*((AV1451+AV1460)/(AU1451+AU1460))^$F1469</f>
        <v/>
      </c>
      <c r="AW1469" s="44">
        <f>AV1469*$G1469*(1+AW$7)^$D1469*(AW1451/AV1451)^$E1469*((AW1451+AW1460)/(AV1451+AV1460))^$F1469</f>
        <v/>
      </c>
      <c r="AX1469" s="44">
        <f>AW1469*$G1469*(1+AX$7)^$D1469*(AX1451/AW1451)^$E1469*((AX1451+AX1460)/(AW1451+AW1460))^$F1469</f>
        <v/>
      </c>
      <c r="AY1469" s="44">
        <f>AX1469*$G1469*(1+AY$7)^$D1469*(AY1451/AX1451)^$E1469*((AY1451+AY1460)/(AX1451+AX1460))^$F1469</f>
        <v/>
      </c>
      <c r="AZ1469" s="44">
        <f>AY1469*$G1469*(1+AZ$7)^$D1469*(AZ1451/AY1451)^$E1469*((AZ1451+AZ1460)/(AY1451+AY1460))^$F1469</f>
        <v/>
      </c>
      <c r="BA1469" s="57">
        <f>FUELUSE(AZ1469,BA1451,AZ1451,BA1460,AZ1460,BA$7,$D1469,$E1469,$F1469,$G1469)</f>
        <v/>
      </c>
    </row>
    <row r="1470" hidden="1" outlineLevel="2">
      <c r="A1470" s="14" t="inlineStr">
        <is>
          <t>ener</t>
        </is>
      </c>
      <c r="B1470" s="14" t="inlineStr">
        <is>
          <t>bio</t>
        </is>
      </c>
      <c r="C1470" s="14" t="inlineStr">
        <is>
          <t>nav</t>
        </is>
      </c>
      <c r="D1470" s="35">
        <f>INDEX(Inputs!$O$5:$O$132,MATCH($B1470&amp;"|"&amp;$C1470,Inputs!$A$5:$A$132,0))</f>
        <v/>
      </c>
      <c r="E1470" s="35">
        <f>INDEX(Inputs!$P$5:$P$132,MATCH($B1470&amp;"|"&amp;$C1470,Inputs!$A$5:$A$132,0))</f>
        <v/>
      </c>
      <c r="F1470" s="35">
        <f>INDEX(Inputs!$T$5:$T$132,MATCH($B1470&amp;"|"&amp;$C1470,Inputs!$A$5:$A$132,0))</f>
        <v/>
      </c>
      <c r="G1470" s="35">
        <f>INDEX(Inputs!$S$5:$S$132,MATCH($B1470&amp;"|"&amp;$C1470,Inputs!$A$5:$A$132,0))</f>
        <v/>
      </c>
      <c r="H1470" s="14">
        <f>INDEX(VarLab,MATCH($A1470,VarKey,0))&amp;INDEX(MemLab,MATCH($C1470&amp;"|"&amp;$B1470,MemKey,0))</f>
        <v/>
      </c>
      <c r="I1470" s="14">
        <f>INDEX(VarUnit,MATCH($A1470,VarKey,0))</f>
        <v/>
      </c>
      <c r="J1470" s="14">
        <f>INDEX(VarSrc,MATCH($A1470,VarKey,0))</f>
        <v/>
      </c>
      <c r="K1470" s="11">
        <f>CodePrefix&amp;$A1470&amp;IF($C1470="","","."&amp;$C1470&amp;"."&amp;$B1470)&amp;INDEX(VarEnd,MATCH($A1470,VarKey,0))&amp;K$5</f>
        <v/>
      </c>
      <c r="L1470" s="43">
        <f>INDEX(Inputs!$X$5:$X$132,MATCH($B1470&amp;"|"&amp;$C1470,Inputs!$A$5:$A$132,0))</f>
        <v/>
      </c>
      <c r="M1470" s="44">
        <f>L1470*$G1470*(1+M$7)^$D1470*(M1452/L1452)^$E1470*((M1452+M1461)/(L1452+L1461))^$F1470</f>
        <v/>
      </c>
      <c r="N1470" s="44">
        <f>M1470*$G1470*(1+N$7)^$D1470*(N1452/M1452)^$E1470*((N1452+N1461)/(M1452+M1461))^$F1470</f>
        <v/>
      </c>
      <c r="O1470" s="44">
        <f>N1470*$G1470*(1+O$7)^$D1470*(O1452/N1452)^$E1470*((O1452+O1461)/(N1452+N1461))^$F1470</f>
        <v/>
      </c>
      <c r="P1470" s="44">
        <f>O1470*$G1470*(1+P$7)^$D1470*(P1452/O1452)^$E1470*((P1452+P1461)/(O1452+O1461))^$F1470</f>
        <v/>
      </c>
      <c r="Q1470" s="44">
        <f>P1470*$G1470*(1+Q$7)^$D1470*(Q1452/P1452)^$E1470*((Q1452+Q1461)/(P1452+P1461))^$F1470</f>
        <v/>
      </c>
      <c r="R1470" s="44">
        <f>Q1470*$G1470*(1+R$7)^$D1470*(R1452/Q1452)^$E1470*((R1452+R1461)/(Q1452+Q1461))^$F1470</f>
        <v/>
      </c>
      <c r="S1470" s="44">
        <f>R1470*$G1470*(1+S$7)^$D1470*(S1452/R1452)^$E1470*((S1452+S1461)/(R1452+R1461))^$F1470</f>
        <v/>
      </c>
      <c r="T1470" s="44">
        <f>S1470*$G1470*(1+T$7)^$D1470*(T1452/S1452)^$E1470*((T1452+T1461)/(S1452+S1461))^$F1470</f>
        <v/>
      </c>
      <c r="U1470" s="44">
        <f>T1470*$G1470*(1+U$7)^$D1470*(U1452/T1452)^$E1470*((U1452+U1461)/(T1452+T1461))^$F1470</f>
        <v/>
      </c>
      <c r="V1470" s="44">
        <f>U1470*$G1470*(1+V$7)^$D1470*(V1452/U1452)^$E1470*((V1452+V1461)/(U1452+U1461))^$F1470</f>
        <v/>
      </c>
      <c r="W1470" s="44">
        <f>V1470*$G1470*(1+W$7)^$D1470*(W1452/V1452)^$E1470*((W1452+W1461)/(V1452+V1461))^$F1470</f>
        <v/>
      </c>
      <c r="X1470" s="44">
        <f>W1470*$G1470*(1+X$7)^$D1470*(X1452/W1452)^$E1470*((X1452+X1461)/(W1452+W1461))^$F1470</f>
        <v/>
      </c>
      <c r="Y1470" s="44">
        <f>X1470*$G1470*(1+Y$7)^$D1470*(Y1452/X1452)^$E1470*((Y1452+Y1461)/(X1452+X1461))^$F1470</f>
        <v/>
      </c>
      <c r="Z1470" s="44">
        <f>Y1470*$G1470*(1+Z$7)^$D1470*(Z1452/Y1452)^$E1470*((Z1452+Z1461)/(Y1452+Y1461))^$F1470</f>
        <v/>
      </c>
      <c r="AA1470" s="44">
        <f>Z1470*$G1470*(1+AA$7)^$D1470*(AA1452/Z1452)^$E1470*((AA1452+AA1461)/(Z1452+Z1461))^$F1470</f>
        <v/>
      </c>
      <c r="AB1470" s="44">
        <f>AA1470*$G1470*(1+AB$7)^$D1470*(AB1452/AA1452)^$E1470*((AB1452+AB1461)/(AA1452+AA1461))^$F1470</f>
        <v/>
      </c>
      <c r="AC1470" s="44">
        <f>AB1470*$G1470*(1+AC$7)^$D1470*(AC1452/AB1452)^$E1470*((AC1452+AC1461)/(AB1452+AB1461))^$F1470</f>
        <v/>
      </c>
      <c r="AD1470" s="44">
        <f>AC1470*$G1470*(1+AD$7)^$D1470*(AD1452/AC1452)^$E1470*((AD1452+AD1461)/(AC1452+AC1461))^$F1470</f>
        <v/>
      </c>
      <c r="AE1470" s="57">
        <f>FUELUSE(AD1470,AE1452,AD1452,AE1461,AD1461,AE$7,$D1470,$E1470,$F1470,$G1470)</f>
        <v/>
      </c>
      <c r="AG1470" s="11">
        <f>CodePrefix&amp;$A1470&amp;IF($C1470="","","."&amp;$C1470&amp;"."&amp;$B1470)&amp;INDEX(VarEnd,MATCH($A1470,VarKey,0))&amp;AG$5</f>
        <v/>
      </c>
      <c r="AH1470" s="43">
        <f>INDEX(Inputs!$X$5:$X$132,MATCH($B1470&amp;"|"&amp;$C1470,Inputs!$A$5:$A$132,0))</f>
        <v/>
      </c>
      <c r="AI1470" s="44">
        <f>AH1470*$G1470*(1+AI$7)^$D1470*(AI1452/AH1452)^$E1470*((AI1452+AI1461)/(AH1452+AH1461))^$F1470</f>
        <v/>
      </c>
      <c r="AJ1470" s="44">
        <f>AI1470*$G1470*(1+AJ$7)^$D1470*(AJ1452/AI1452)^$E1470*((AJ1452+AJ1461)/(AI1452+AI1461))^$F1470</f>
        <v/>
      </c>
      <c r="AK1470" s="44">
        <f>AJ1470*$G1470*(1+AK$7)^$D1470*(AK1452/AJ1452)^$E1470*((AK1452+AK1461)/(AJ1452+AJ1461))^$F1470</f>
        <v/>
      </c>
      <c r="AL1470" s="44">
        <f>AK1470*$G1470*(1+AL$7)^$D1470*(AL1452/AK1452)^$E1470*((AL1452+AL1461)/(AK1452+AK1461))^$F1470</f>
        <v/>
      </c>
      <c r="AM1470" s="44">
        <f>AL1470*$G1470*(1+AM$7)^$D1470*(AM1452/AL1452)^$E1470*((AM1452+AM1461)/(AL1452+AL1461))^$F1470</f>
        <v/>
      </c>
      <c r="AN1470" s="44">
        <f>AM1470*$G1470*(1+AN$7)^$D1470*(AN1452/AM1452)^$E1470*((AN1452+AN1461)/(AM1452+AM1461))^$F1470</f>
        <v/>
      </c>
      <c r="AO1470" s="44">
        <f>AN1470*$G1470*(1+AO$7)^$D1470*(AO1452/AN1452)^$E1470*((AO1452+AO1461)/(AN1452+AN1461))^$F1470</f>
        <v/>
      </c>
      <c r="AP1470" s="44">
        <f>AO1470*$G1470*(1+AP$7)^$D1470*(AP1452/AO1452)^$E1470*((AP1452+AP1461)/(AO1452+AO1461))^$F1470</f>
        <v/>
      </c>
      <c r="AQ1470" s="44">
        <f>AP1470*$G1470*(1+AQ$7)^$D1470*(AQ1452/AP1452)^$E1470*((AQ1452+AQ1461)/(AP1452+AP1461))^$F1470</f>
        <v/>
      </c>
      <c r="AR1470" s="44">
        <f>AQ1470*$G1470*(1+AR$7)^$D1470*(AR1452/AQ1452)^$E1470*((AR1452+AR1461)/(AQ1452+AQ1461))^$F1470</f>
        <v/>
      </c>
      <c r="AS1470" s="44">
        <f>AR1470*$G1470*(1+AS$7)^$D1470*(AS1452/AR1452)^$E1470*((AS1452+AS1461)/(AR1452+AR1461))^$F1470</f>
        <v/>
      </c>
      <c r="AT1470" s="44">
        <f>AS1470*$G1470*(1+AT$7)^$D1470*(AT1452/AS1452)^$E1470*((AT1452+AT1461)/(AS1452+AS1461))^$F1470</f>
        <v/>
      </c>
      <c r="AU1470" s="44">
        <f>AT1470*$G1470*(1+AU$7)^$D1470*(AU1452/AT1452)^$E1470*((AU1452+AU1461)/(AT1452+AT1461))^$F1470</f>
        <v/>
      </c>
      <c r="AV1470" s="44">
        <f>AU1470*$G1470*(1+AV$7)^$D1470*(AV1452/AU1452)^$E1470*((AV1452+AV1461)/(AU1452+AU1461))^$F1470</f>
        <v/>
      </c>
      <c r="AW1470" s="44">
        <f>AV1470*$G1470*(1+AW$7)^$D1470*(AW1452/AV1452)^$E1470*((AW1452+AW1461)/(AV1452+AV1461))^$F1470</f>
        <v/>
      </c>
      <c r="AX1470" s="44">
        <f>AW1470*$G1470*(1+AX$7)^$D1470*(AX1452/AW1452)^$E1470*((AX1452+AX1461)/(AW1452+AW1461))^$F1470</f>
        <v/>
      </c>
      <c r="AY1470" s="44">
        <f>AX1470*$G1470*(1+AY$7)^$D1470*(AY1452/AX1452)^$E1470*((AY1452+AY1461)/(AX1452+AX1461))^$F1470</f>
        <v/>
      </c>
      <c r="AZ1470" s="44">
        <f>AY1470*$G1470*(1+AZ$7)^$D1470*(AZ1452/AY1452)^$E1470*((AZ1452+AZ1461)/(AY1452+AY1461))^$F1470</f>
        <v/>
      </c>
      <c r="BA1470" s="57">
        <f>FUELUSE(AZ1470,BA1452,AZ1452,BA1461,AZ1461,BA$7,$D1470,$E1470,$F1470,$G1470)</f>
        <v/>
      </c>
    </row>
    <row r="1471" hidden="1" outlineLevel="2"/>
    <row r="1472" hidden="1" outlineLevel="2">
      <c r="A1472" s="14" t="inlineStr">
        <is>
          <t>co2</t>
        </is>
      </c>
      <c r="B1472" s="14" t="inlineStr">
        <is>
          <t>coa</t>
        </is>
      </c>
      <c r="C1472" s="14" t="inlineStr">
        <is>
          <t>nav</t>
        </is>
      </c>
      <c r="D1472" s="35">
        <f>INDEX(Inputs!$W$5:$W$132,MATCH($B1472&amp;"|"&amp;$C1472,Inputs!$A$5:$A$132,0))</f>
        <v/>
      </c>
      <c r="E1472" s="39" t="n"/>
      <c r="F1472" s="39" t="n"/>
      <c r="G1472" s="39" t="n"/>
      <c r="H1472" s="14">
        <f>INDEX(VarLab,MATCH($A1472,VarKey,0))&amp;INDEX(MemLab,MATCH($C1472&amp;"|"&amp;$B1472,MemKey,0))</f>
        <v/>
      </c>
      <c r="I1472" s="14">
        <f>INDEX(VarUnit,MATCH($A1472,VarKey,0))</f>
        <v/>
      </c>
      <c r="J1472" s="14">
        <f>INDEX(VarSrc,MATCH($A1472,VarKey,0))</f>
        <v/>
      </c>
      <c r="K1472" s="11">
        <f>CodePrefix&amp;$A1472&amp;IF($C1472="","","."&amp;$C1472&amp;"."&amp;$B1472)&amp;INDEX(VarEnd,MATCH($A1472,VarKey,0))&amp;K$5</f>
        <v/>
      </c>
      <c r="L1472" s="15">
        <f>L1463*Settings!$C$13*$D1472</f>
        <v/>
      </c>
      <c r="M1472" s="16">
        <f>M1463*Settings!$C$13*$D1472</f>
        <v/>
      </c>
      <c r="N1472" s="16">
        <f>N1463*Settings!$C$13*$D1472</f>
        <v/>
      </c>
      <c r="O1472" s="16">
        <f>O1463*Settings!$C$13*$D1472</f>
        <v/>
      </c>
      <c r="P1472" s="16">
        <f>P1463*Settings!$C$13*$D1472</f>
        <v/>
      </c>
      <c r="Q1472" s="16">
        <f>Q1463*Settings!$C$13*$D1472</f>
        <v/>
      </c>
      <c r="R1472" s="16">
        <f>R1463*Settings!$C$13*$D1472</f>
        <v/>
      </c>
      <c r="S1472" s="16">
        <f>S1463*Settings!$C$13*$D1472</f>
        <v/>
      </c>
      <c r="T1472" s="16">
        <f>T1463*Settings!$C$13*$D1472</f>
        <v/>
      </c>
      <c r="U1472" s="16">
        <f>U1463*Settings!$C$13*$D1472</f>
        <v/>
      </c>
      <c r="V1472" s="16">
        <f>V1463*Settings!$C$13*$D1472</f>
        <v/>
      </c>
      <c r="W1472" s="16">
        <f>W1463*Settings!$C$13*$D1472</f>
        <v/>
      </c>
      <c r="X1472" s="16">
        <f>X1463*Settings!$C$13*$D1472</f>
        <v/>
      </c>
      <c r="Y1472" s="16">
        <f>Y1463*Settings!$C$13*$D1472</f>
        <v/>
      </c>
      <c r="Z1472" s="16">
        <f>Z1463*Settings!$C$13*$D1472</f>
        <v/>
      </c>
      <c r="AA1472" s="16">
        <f>AA1463*Settings!$C$13*$D1472</f>
        <v/>
      </c>
      <c r="AB1472" s="16">
        <f>AB1463*Settings!$C$13*$D1472</f>
        <v/>
      </c>
      <c r="AC1472" s="16">
        <f>AC1463*Settings!$C$13*$D1472</f>
        <v/>
      </c>
      <c r="AD1472" s="16">
        <f>AD1463*Settings!$C$13*$D1472</f>
        <v/>
      </c>
      <c r="AE1472" s="49">
        <f>EMISSIONS(AE1463,Settings!$C$13,$D1472)</f>
        <v/>
      </c>
      <c r="AG1472" s="11">
        <f>CodePrefix&amp;$A1472&amp;IF($C1472="","","."&amp;$C1472&amp;"."&amp;$B1472)&amp;INDEX(VarEnd,MATCH($A1472,VarKey,0))&amp;AG$5</f>
        <v/>
      </c>
      <c r="AH1472" s="15">
        <f>AH1463*Settings!$C$13*$D1472</f>
        <v/>
      </c>
      <c r="AI1472" s="16">
        <f>AI1463*Settings!$C$13*$D1472</f>
        <v/>
      </c>
      <c r="AJ1472" s="16">
        <f>AJ1463*Settings!$C$13*$D1472</f>
        <v/>
      </c>
      <c r="AK1472" s="16">
        <f>AK1463*Settings!$C$13*$D1472</f>
        <v/>
      </c>
      <c r="AL1472" s="16">
        <f>AL1463*Settings!$C$13*$D1472</f>
        <v/>
      </c>
      <c r="AM1472" s="16">
        <f>AM1463*Settings!$C$13*$D1472</f>
        <v/>
      </c>
      <c r="AN1472" s="16">
        <f>AN1463*Settings!$C$13*$D1472</f>
        <v/>
      </c>
      <c r="AO1472" s="16">
        <f>AO1463*Settings!$C$13*$D1472</f>
        <v/>
      </c>
      <c r="AP1472" s="16">
        <f>AP1463*Settings!$C$13*$D1472</f>
        <v/>
      </c>
      <c r="AQ1472" s="16">
        <f>AQ1463*Settings!$C$13*$D1472</f>
        <v/>
      </c>
      <c r="AR1472" s="16">
        <f>AR1463*Settings!$C$13*$D1472</f>
        <v/>
      </c>
      <c r="AS1472" s="16">
        <f>AS1463*Settings!$C$13*$D1472</f>
        <v/>
      </c>
      <c r="AT1472" s="16">
        <f>AT1463*Settings!$C$13*$D1472</f>
        <v/>
      </c>
      <c r="AU1472" s="16">
        <f>AU1463*Settings!$C$13*$D1472</f>
        <v/>
      </c>
      <c r="AV1472" s="16">
        <f>AV1463*Settings!$C$13*$D1472</f>
        <v/>
      </c>
      <c r="AW1472" s="16">
        <f>AW1463*Settings!$C$13*$D1472</f>
        <v/>
      </c>
      <c r="AX1472" s="16">
        <f>AX1463*Settings!$C$13*$D1472</f>
        <v/>
      </c>
      <c r="AY1472" s="16">
        <f>AY1463*Settings!$C$13*$D1472</f>
        <v/>
      </c>
      <c r="AZ1472" s="16">
        <f>AZ1463*Settings!$C$13*$D1472</f>
        <v/>
      </c>
      <c r="BA1472" s="49">
        <f>EMISSIONS(BA1463,Settings!$C$13,$D1472)</f>
        <v/>
      </c>
    </row>
    <row r="1473" hidden="1" outlineLevel="2">
      <c r="A1473" s="14" t="inlineStr">
        <is>
          <t>co2</t>
        </is>
      </c>
      <c r="B1473" s="14" t="inlineStr">
        <is>
          <t>nga</t>
        </is>
      </c>
      <c r="C1473" s="14" t="inlineStr">
        <is>
          <t>nav</t>
        </is>
      </c>
      <c r="D1473" s="35">
        <f>INDEX(Inputs!$W$5:$W$132,MATCH($B1473&amp;"|"&amp;$C1473,Inputs!$A$5:$A$132,0))</f>
        <v/>
      </c>
      <c r="E1473" s="39" t="n"/>
      <c r="F1473" s="39" t="n"/>
      <c r="G1473" s="39" t="n"/>
      <c r="H1473" s="14">
        <f>INDEX(VarLab,MATCH($A1473,VarKey,0))&amp;INDEX(MemLab,MATCH($C1473&amp;"|"&amp;$B1473,MemKey,0))</f>
        <v/>
      </c>
      <c r="I1473" s="14">
        <f>INDEX(VarUnit,MATCH($A1473,VarKey,0))</f>
        <v/>
      </c>
      <c r="J1473" s="14">
        <f>INDEX(VarSrc,MATCH($A1473,VarKey,0))</f>
        <v/>
      </c>
      <c r="K1473" s="11">
        <f>CodePrefix&amp;$A1473&amp;IF($C1473="","","."&amp;$C1473&amp;"."&amp;$B1473)&amp;INDEX(VarEnd,MATCH($A1473,VarKey,0))&amp;K$5</f>
        <v/>
      </c>
      <c r="L1473" s="15">
        <f>L1464*Settings!$C$13*$D1473</f>
        <v/>
      </c>
      <c r="M1473" s="16">
        <f>M1464*Settings!$C$13*$D1473</f>
        <v/>
      </c>
      <c r="N1473" s="16">
        <f>N1464*Settings!$C$13*$D1473</f>
        <v/>
      </c>
      <c r="O1473" s="16">
        <f>O1464*Settings!$C$13*$D1473</f>
        <v/>
      </c>
      <c r="P1473" s="16">
        <f>P1464*Settings!$C$13*$D1473</f>
        <v/>
      </c>
      <c r="Q1473" s="16">
        <f>Q1464*Settings!$C$13*$D1473</f>
        <v/>
      </c>
      <c r="R1473" s="16">
        <f>R1464*Settings!$C$13*$D1473</f>
        <v/>
      </c>
      <c r="S1473" s="16">
        <f>S1464*Settings!$C$13*$D1473</f>
        <v/>
      </c>
      <c r="T1473" s="16">
        <f>T1464*Settings!$C$13*$D1473</f>
        <v/>
      </c>
      <c r="U1473" s="16">
        <f>U1464*Settings!$C$13*$D1473</f>
        <v/>
      </c>
      <c r="V1473" s="16">
        <f>V1464*Settings!$C$13*$D1473</f>
        <v/>
      </c>
      <c r="W1473" s="16">
        <f>W1464*Settings!$C$13*$D1473</f>
        <v/>
      </c>
      <c r="X1473" s="16">
        <f>X1464*Settings!$C$13*$D1473</f>
        <v/>
      </c>
      <c r="Y1473" s="16">
        <f>Y1464*Settings!$C$13*$D1473</f>
        <v/>
      </c>
      <c r="Z1473" s="16">
        <f>Z1464*Settings!$C$13*$D1473</f>
        <v/>
      </c>
      <c r="AA1473" s="16">
        <f>AA1464*Settings!$C$13*$D1473</f>
        <v/>
      </c>
      <c r="AB1473" s="16">
        <f>AB1464*Settings!$C$13*$D1473</f>
        <v/>
      </c>
      <c r="AC1473" s="16">
        <f>AC1464*Settings!$C$13*$D1473</f>
        <v/>
      </c>
      <c r="AD1473" s="16">
        <f>AD1464*Settings!$C$13*$D1473</f>
        <v/>
      </c>
      <c r="AE1473" s="49">
        <f>EMISSIONS(AE1464,Settings!$C$13,$D1473)</f>
        <v/>
      </c>
      <c r="AG1473" s="11">
        <f>CodePrefix&amp;$A1473&amp;IF($C1473="","","."&amp;$C1473&amp;"."&amp;$B1473)&amp;INDEX(VarEnd,MATCH($A1473,VarKey,0))&amp;AG$5</f>
        <v/>
      </c>
      <c r="AH1473" s="15">
        <f>AH1464*Settings!$C$13*$D1473</f>
        <v/>
      </c>
      <c r="AI1473" s="16">
        <f>AI1464*Settings!$C$13*$D1473</f>
        <v/>
      </c>
      <c r="AJ1473" s="16">
        <f>AJ1464*Settings!$C$13*$D1473</f>
        <v/>
      </c>
      <c r="AK1473" s="16">
        <f>AK1464*Settings!$C$13*$D1473</f>
        <v/>
      </c>
      <c r="AL1473" s="16">
        <f>AL1464*Settings!$C$13*$D1473</f>
        <v/>
      </c>
      <c r="AM1473" s="16">
        <f>AM1464*Settings!$C$13*$D1473</f>
        <v/>
      </c>
      <c r="AN1473" s="16">
        <f>AN1464*Settings!$C$13*$D1473</f>
        <v/>
      </c>
      <c r="AO1473" s="16">
        <f>AO1464*Settings!$C$13*$D1473</f>
        <v/>
      </c>
      <c r="AP1473" s="16">
        <f>AP1464*Settings!$C$13*$D1473</f>
        <v/>
      </c>
      <c r="AQ1473" s="16">
        <f>AQ1464*Settings!$C$13*$D1473</f>
        <v/>
      </c>
      <c r="AR1473" s="16">
        <f>AR1464*Settings!$C$13*$D1473</f>
        <v/>
      </c>
      <c r="AS1473" s="16">
        <f>AS1464*Settings!$C$13*$D1473</f>
        <v/>
      </c>
      <c r="AT1473" s="16">
        <f>AT1464*Settings!$C$13*$D1473</f>
        <v/>
      </c>
      <c r="AU1473" s="16">
        <f>AU1464*Settings!$C$13*$D1473</f>
        <v/>
      </c>
      <c r="AV1473" s="16">
        <f>AV1464*Settings!$C$13*$D1473</f>
        <v/>
      </c>
      <c r="AW1473" s="16">
        <f>AW1464*Settings!$C$13*$D1473</f>
        <v/>
      </c>
      <c r="AX1473" s="16">
        <f>AX1464*Settings!$C$13*$D1473</f>
        <v/>
      </c>
      <c r="AY1473" s="16">
        <f>AY1464*Settings!$C$13*$D1473</f>
        <v/>
      </c>
      <c r="AZ1473" s="16">
        <f>AZ1464*Settings!$C$13*$D1473</f>
        <v/>
      </c>
      <c r="BA1473" s="49">
        <f>EMISSIONS(BA1464,Settings!$C$13,$D1473)</f>
        <v/>
      </c>
    </row>
    <row r="1474" hidden="1" outlineLevel="2">
      <c r="A1474" s="14" t="inlineStr">
        <is>
          <t>co2</t>
        </is>
      </c>
      <c r="B1474" s="14" t="inlineStr">
        <is>
          <t>gso</t>
        </is>
      </c>
      <c r="C1474" s="14" t="inlineStr">
        <is>
          <t>nav</t>
        </is>
      </c>
      <c r="D1474" s="35">
        <f>INDEX(Inputs!$W$5:$W$132,MATCH($B1474&amp;"|"&amp;$C1474,Inputs!$A$5:$A$132,0))</f>
        <v/>
      </c>
      <c r="E1474" s="39" t="n"/>
      <c r="F1474" s="39" t="n"/>
      <c r="G1474" s="39" t="n"/>
      <c r="H1474" s="14">
        <f>INDEX(VarLab,MATCH($A1474,VarKey,0))&amp;INDEX(MemLab,MATCH($C1474&amp;"|"&amp;$B1474,MemKey,0))</f>
        <v/>
      </c>
      <c r="I1474" s="14">
        <f>INDEX(VarUnit,MATCH($A1474,VarKey,0))</f>
        <v/>
      </c>
      <c r="J1474" s="14">
        <f>INDEX(VarSrc,MATCH($A1474,VarKey,0))</f>
        <v/>
      </c>
      <c r="K1474" s="11">
        <f>CodePrefix&amp;$A1474&amp;IF($C1474="","","."&amp;$C1474&amp;"."&amp;$B1474)&amp;INDEX(VarEnd,MATCH($A1474,VarKey,0))&amp;K$5</f>
        <v/>
      </c>
      <c r="L1474" s="15">
        <f>L1465*Settings!$C$13*$D1474</f>
        <v/>
      </c>
      <c r="M1474" s="16">
        <f>M1465*Settings!$C$13*$D1474</f>
        <v/>
      </c>
      <c r="N1474" s="16">
        <f>N1465*Settings!$C$13*$D1474</f>
        <v/>
      </c>
      <c r="O1474" s="16">
        <f>O1465*Settings!$C$13*$D1474</f>
        <v/>
      </c>
      <c r="P1474" s="16">
        <f>P1465*Settings!$C$13*$D1474</f>
        <v/>
      </c>
      <c r="Q1474" s="16">
        <f>Q1465*Settings!$C$13*$D1474</f>
        <v/>
      </c>
      <c r="R1474" s="16">
        <f>R1465*Settings!$C$13*$D1474</f>
        <v/>
      </c>
      <c r="S1474" s="16">
        <f>S1465*Settings!$C$13*$D1474</f>
        <v/>
      </c>
      <c r="T1474" s="16">
        <f>T1465*Settings!$C$13*$D1474</f>
        <v/>
      </c>
      <c r="U1474" s="16">
        <f>U1465*Settings!$C$13*$D1474</f>
        <v/>
      </c>
      <c r="V1474" s="16">
        <f>V1465*Settings!$C$13*$D1474</f>
        <v/>
      </c>
      <c r="W1474" s="16">
        <f>W1465*Settings!$C$13*$D1474</f>
        <v/>
      </c>
      <c r="X1474" s="16">
        <f>X1465*Settings!$C$13*$D1474</f>
        <v/>
      </c>
      <c r="Y1474" s="16">
        <f>Y1465*Settings!$C$13*$D1474</f>
        <v/>
      </c>
      <c r="Z1474" s="16">
        <f>Z1465*Settings!$C$13*$D1474</f>
        <v/>
      </c>
      <c r="AA1474" s="16">
        <f>AA1465*Settings!$C$13*$D1474</f>
        <v/>
      </c>
      <c r="AB1474" s="16">
        <f>AB1465*Settings!$C$13*$D1474</f>
        <v/>
      </c>
      <c r="AC1474" s="16">
        <f>AC1465*Settings!$C$13*$D1474</f>
        <v/>
      </c>
      <c r="AD1474" s="16">
        <f>AD1465*Settings!$C$13*$D1474</f>
        <v/>
      </c>
      <c r="AE1474" s="49">
        <f>EMISSIONS(AE1465,Settings!$C$13,$D1474)</f>
        <v/>
      </c>
      <c r="AG1474" s="11">
        <f>CodePrefix&amp;$A1474&amp;IF($C1474="","","."&amp;$C1474&amp;"."&amp;$B1474)&amp;INDEX(VarEnd,MATCH($A1474,VarKey,0))&amp;AG$5</f>
        <v/>
      </c>
      <c r="AH1474" s="15">
        <f>AH1465*Settings!$C$13*$D1474</f>
        <v/>
      </c>
      <c r="AI1474" s="16">
        <f>AI1465*Settings!$C$13*$D1474</f>
        <v/>
      </c>
      <c r="AJ1474" s="16">
        <f>AJ1465*Settings!$C$13*$D1474</f>
        <v/>
      </c>
      <c r="AK1474" s="16">
        <f>AK1465*Settings!$C$13*$D1474</f>
        <v/>
      </c>
      <c r="AL1474" s="16">
        <f>AL1465*Settings!$C$13*$D1474</f>
        <v/>
      </c>
      <c r="AM1474" s="16">
        <f>AM1465*Settings!$C$13*$D1474</f>
        <v/>
      </c>
      <c r="AN1474" s="16">
        <f>AN1465*Settings!$C$13*$D1474</f>
        <v/>
      </c>
      <c r="AO1474" s="16">
        <f>AO1465*Settings!$C$13*$D1474</f>
        <v/>
      </c>
      <c r="AP1474" s="16">
        <f>AP1465*Settings!$C$13*$D1474</f>
        <v/>
      </c>
      <c r="AQ1474" s="16">
        <f>AQ1465*Settings!$C$13*$D1474</f>
        <v/>
      </c>
      <c r="AR1474" s="16">
        <f>AR1465*Settings!$C$13*$D1474</f>
        <v/>
      </c>
      <c r="AS1474" s="16">
        <f>AS1465*Settings!$C$13*$D1474</f>
        <v/>
      </c>
      <c r="AT1474" s="16">
        <f>AT1465*Settings!$C$13*$D1474</f>
        <v/>
      </c>
      <c r="AU1474" s="16">
        <f>AU1465*Settings!$C$13*$D1474</f>
        <v/>
      </c>
      <c r="AV1474" s="16">
        <f>AV1465*Settings!$C$13*$D1474</f>
        <v/>
      </c>
      <c r="AW1474" s="16">
        <f>AW1465*Settings!$C$13*$D1474</f>
        <v/>
      </c>
      <c r="AX1474" s="16">
        <f>AX1465*Settings!$C$13*$D1474</f>
        <v/>
      </c>
      <c r="AY1474" s="16">
        <f>AY1465*Settings!$C$13*$D1474</f>
        <v/>
      </c>
      <c r="AZ1474" s="16">
        <f>AZ1465*Settings!$C$13*$D1474</f>
        <v/>
      </c>
      <c r="BA1474" s="49">
        <f>EMISSIONS(BA1465,Settings!$C$13,$D1474)</f>
        <v/>
      </c>
    </row>
    <row r="1475" hidden="1" outlineLevel="2">
      <c r="A1475" s="14" t="inlineStr">
        <is>
          <t>co2</t>
        </is>
      </c>
      <c r="B1475" s="14" t="inlineStr">
        <is>
          <t>die</t>
        </is>
      </c>
      <c r="C1475" s="14" t="inlineStr">
        <is>
          <t>nav</t>
        </is>
      </c>
      <c r="D1475" s="35">
        <f>INDEX(Inputs!$W$5:$W$132,MATCH($B1475&amp;"|"&amp;$C1475,Inputs!$A$5:$A$132,0))</f>
        <v/>
      </c>
      <c r="E1475" s="39" t="n"/>
      <c r="F1475" s="39" t="n"/>
      <c r="G1475" s="39" t="n"/>
      <c r="H1475" s="14">
        <f>INDEX(VarLab,MATCH($A1475,VarKey,0))&amp;INDEX(MemLab,MATCH($C1475&amp;"|"&amp;$B1475,MemKey,0))</f>
        <v/>
      </c>
      <c r="I1475" s="14">
        <f>INDEX(VarUnit,MATCH($A1475,VarKey,0))</f>
        <v/>
      </c>
      <c r="J1475" s="14">
        <f>INDEX(VarSrc,MATCH($A1475,VarKey,0))</f>
        <v/>
      </c>
      <c r="K1475" s="11">
        <f>CodePrefix&amp;$A1475&amp;IF($C1475="","","."&amp;$C1475&amp;"."&amp;$B1475)&amp;INDEX(VarEnd,MATCH($A1475,VarKey,0))&amp;K$5</f>
        <v/>
      </c>
      <c r="L1475" s="15">
        <f>L1466*Settings!$C$13*$D1475</f>
        <v/>
      </c>
      <c r="M1475" s="16">
        <f>M1466*Settings!$C$13*$D1475</f>
        <v/>
      </c>
      <c r="N1475" s="16">
        <f>N1466*Settings!$C$13*$D1475</f>
        <v/>
      </c>
      <c r="O1475" s="16">
        <f>O1466*Settings!$C$13*$D1475</f>
        <v/>
      </c>
      <c r="P1475" s="16">
        <f>P1466*Settings!$C$13*$D1475</f>
        <v/>
      </c>
      <c r="Q1475" s="16">
        <f>Q1466*Settings!$C$13*$D1475</f>
        <v/>
      </c>
      <c r="R1475" s="16">
        <f>R1466*Settings!$C$13*$D1475</f>
        <v/>
      </c>
      <c r="S1475" s="16">
        <f>S1466*Settings!$C$13*$D1475</f>
        <v/>
      </c>
      <c r="T1475" s="16">
        <f>T1466*Settings!$C$13*$D1475</f>
        <v/>
      </c>
      <c r="U1475" s="16">
        <f>U1466*Settings!$C$13*$D1475</f>
        <v/>
      </c>
      <c r="V1475" s="16">
        <f>V1466*Settings!$C$13*$D1475</f>
        <v/>
      </c>
      <c r="W1475" s="16">
        <f>W1466*Settings!$C$13*$D1475</f>
        <v/>
      </c>
      <c r="X1475" s="16">
        <f>X1466*Settings!$C$13*$D1475</f>
        <v/>
      </c>
      <c r="Y1475" s="16">
        <f>Y1466*Settings!$C$13*$D1475</f>
        <v/>
      </c>
      <c r="Z1475" s="16">
        <f>Z1466*Settings!$C$13*$D1475</f>
        <v/>
      </c>
      <c r="AA1475" s="16">
        <f>AA1466*Settings!$C$13*$D1475</f>
        <v/>
      </c>
      <c r="AB1475" s="16">
        <f>AB1466*Settings!$C$13*$D1475</f>
        <v/>
      </c>
      <c r="AC1475" s="16">
        <f>AC1466*Settings!$C$13*$D1475</f>
        <v/>
      </c>
      <c r="AD1475" s="16">
        <f>AD1466*Settings!$C$13*$D1475</f>
        <v/>
      </c>
      <c r="AE1475" s="49">
        <f>EMISSIONS(AE1466,Settings!$C$13,$D1475)</f>
        <v/>
      </c>
      <c r="AG1475" s="11">
        <f>CodePrefix&amp;$A1475&amp;IF($C1475="","","."&amp;$C1475&amp;"."&amp;$B1475)&amp;INDEX(VarEnd,MATCH($A1475,VarKey,0))&amp;AG$5</f>
        <v/>
      </c>
      <c r="AH1475" s="15">
        <f>AH1466*Settings!$C$13*$D1475</f>
        <v/>
      </c>
      <c r="AI1475" s="16">
        <f>AI1466*Settings!$C$13*$D1475</f>
        <v/>
      </c>
      <c r="AJ1475" s="16">
        <f>AJ1466*Settings!$C$13*$D1475</f>
        <v/>
      </c>
      <c r="AK1475" s="16">
        <f>AK1466*Settings!$C$13*$D1475</f>
        <v/>
      </c>
      <c r="AL1475" s="16">
        <f>AL1466*Settings!$C$13*$D1475</f>
        <v/>
      </c>
      <c r="AM1475" s="16">
        <f>AM1466*Settings!$C$13*$D1475</f>
        <v/>
      </c>
      <c r="AN1475" s="16">
        <f>AN1466*Settings!$C$13*$D1475</f>
        <v/>
      </c>
      <c r="AO1475" s="16">
        <f>AO1466*Settings!$C$13*$D1475</f>
        <v/>
      </c>
      <c r="AP1475" s="16">
        <f>AP1466*Settings!$C$13*$D1475</f>
        <v/>
      </c>
      <c r="AQ1475" s="16">
        <f>AQ1466*Settings!$C$13*$D1475</f>
        <v/>
      </c>
      <c r="AR1475" s="16">
        <f>AR1466*Settings!$C$13*$D1475</f>
        <v/>
      </c>
      <c r="AS1475" s="16">
        <f>AS1466*Settings!$C$13*$D1475</f>
        <v/>
      </c>
      <c r="AT1475" s="16">
        <f>AT1466*Settings!$C$13*$D1475</f>
        <v/>
      </c>
      <c r="AU1475" s="16">
        <f>AU1466*Settings!$C$13*$D1475</f>
        <v/>
      </c>
      <c r="AV1475" s="16">
        <f>AV1466*Settings!$C$13*$D1475</f>
        <v/>
      </c>
      <c r="AW1475" s="16">
        <f>AW1466*Settings!$C$13*$D1475</f>
        <v/>
      </c>
      <c r="AX1475" s="16">
        <f>AX1466*Settings!$C$13*$D1475</f>
        <v/>
      </c>
      <c r="AY1475" s="16">
        <f>AY1466*Settings!$C$13*$D1475</f>
        <v/>
      </c>
      <c r="AZ1475" s="16">
        <f>AZ1466*Settings!$C$13*$D1475</f>
        <v/>
      </c>
      <c r="BA1475" s="49">
        <f>EMISSIONS(BA1466,Settings!$C$13,$D1475)</f>
        <v/>
      </c>
    </row>
    <row r="1476" hidden="1" outlineLevel="2">
      <c r="A1476" s="14" t="inlineStr">
        <is>
          <t>co2</t>
        </is>
      </c>
      <c r="B1476" s="14" t="inlineStr">
        <is>
          <t>lpg</t>
        </is>
      </c>
      <c r="C1476" s="14" t="inlineStr">
        <is>
          <t>nav</t>
        </is>
      </c>
      <c r="D1476" s="35">
        <f>INDEX(Inputs!$W$5:$W$132,MATCH($B1476&amp;"|"&amp;$C1476,Inputs!$A$5:$A$132,0))</f>
        <v/>
      </c>
      <c r="E1476" s="39" t="n"/>
      <c r="F1476" s="39" t="n"/>
      <c r="G1476" s="39" t="n"/>
      <c r="H1476" s="14">
        <f>INDEX(VarLab,MATCH($A1476,VarKey,0))&amp;INDEX(MemLab,MATCH($C1476&amp;"|"&amp;$B1476,MemKey,0))</f>
        <v/>
      </c>
      <c r="I1476" s="14">
        <f>INDEX(VarUnit,MATCH($A1476,VarKey,0))</f>
        <v/>
      </c>
      <c r="J1476" s="14">
        <f>INDEX(VarSrc,MATCH($A1476,VarKey,0))</f>
        <v/>
      </c>
      <c r="K1476" s="11">
        <f>CodePrefix&amp;$A1476&amp;IF($C1476="","","."&amp;$C1476&amp;"."&amp;$B1476)&amp;INDEX(VarEnd,MATCH($A1476,VarKey,0))&amp;K$5</f>
        <v/>
      </c>
      <c r="L1476" s="15">
        <f>L1467*Settings!$C$13*$D1476</f>
        <v/>
      </c>
      <c r="M1476" s="16">
        <f>M1467*Settings!$C$13*$D1476</f>
        <v/>
      </c>
      <c r="N1476" s="16">
        <f>N1467*Settings!$C$13*$D1476</f>
        <v/>
      </c>
      <c r="O1476" s="16">
        <f>O1467*Settings!$C$13*$D1476</f>
        <v/>
      </c>
      <c r="P1476" s="16">
        <f>P1467*Settings!$C$13*$D1476</f>
        <v/>
      </c>
      <c r="Q1476" s="16">
        <f>Q1467*Settings!$C$13*$D1476</f>
        <v/>
      </c>
      <c r="R1476" s="16">
        <f>R1467*Settings!$C$13*$D1476</f>
        <v/>
      </c>
      <c r="S1476" s="16">
        <f>S1467*Settings!$C$13*$D1476</f>
        <v/>
      </c>
      <c r="T1476" s="16">
        <f>T1467*Settings!$C$13*$D1476</f>
        <v/>
      </c>
      <c r="U1476" s="16">
        <f>U1467*Settings!$C$13*$D1476</f>
        <v/>
      </c>
      <c r="V1476" s="16">
        <f>V1467*Settings!$C$13*$D1476</f>
        <v/>
      </c>
      <c r="W1476" s="16">
        <f>W1467*Settings!$C$13*$D1476</f>
        <v/>
      </c>
      <c r="X1476" s="16">
        <f>X1467*Settings!$C$13*$D1476</f>
        <v/>
      </c>
      <c r="Y1476" s="16">
        <f>Y1467*Settings!$C$13*$D1476</f>
        <v/>
      </c>
      <c r="Z1476" s="16">
        <f>Z1467*Settings!$C$13*$D1476</f>
        <v/>
      </c>
      <c r="AA1476" s="16">
        <f>AA1467*Settings!$C$13*$D1476</f>
        <v/>
      </c>
      <c r="AB1476" s="16">
        <f>AB1467*Settings!$C$13*$D1476</f>
        <v/>
      </c>
      <c r="AC1476" s="16">
        <f>AC1467*Settings!$C$13*$D1476</f>
        <v/>
      </c>
      <c r="AD1476" s="16">
        <f>AD1467*Settings!$C$13*$D1476</f>
        <v/>
      </c>
      <c r="AE1476" s="49">
        <f>EMISSIONS(AE1467,Settings!$C$13,$D1476)</f>
        <v/>
      </c>
      <c r="AG1476" s="11">
        <f>CodePrefix&amp;$A1476&amp;IF($C1476="","","."&amp;$C1476&amp;"."&amp;$B1476)&amp;INDEX(VarEnd,MATCH($A1476,VarKey,0))&amp;AG$5</f>
        <v/>
      </c>
      <c r="AH1476" s="15">
        <f>AH1467*Settings!$C$13*$D1476</f>
        <v/>
      </c>
      <c r="AI1476" s="16">
        <f>AI1467*Settings!$C$13*$D1476</f>
        <v/>
      </c>
      <c r="AJ1476" s="16">
        <f>AJ1467*Settings!$C$13*$D1476</f>
        <v/>
      </c>
      <c r="AK1476" s="16">
        <f>AK1467*Settings!$C$13*$D1476</f>
        <v/>
      </c>
      <c r="AL1476" s="16">
        <f>AL1467*Settings!$C$13*$D1476</f>
        <v/>
      </c>
      <c r="AM1476" s="16">
        <f>AM1467*Settings!$C$13*$D1476</f>
        <v/>
      </c>
      <c r="AN1476" s="16">
        <f>AN1467*Settings!$C$13*$D1476</f>
        <v/>
      </c>
      <c r="AO1476" s="16">
        <f>AO1467*Settings!$C$13*$D1476</f>
        <v/>
      </c>
      <c r="AP1476" s="16">
        <f>AP1467*Settings!$C$13*$D1476</f>
        <v/>
      </c>
      <c r="AQ1476" s="16">
        <f>AQ1467*Settings!$C$13*$D1476</f>
        <v/>
      </c>
      <c r="AR1476" s="16">
        <f>AR1467*Settings!$C$13*$D1476</f>
        <v/>
      </c>
      <c r="AS1476" s="16">
        <f>AS1467*Settings!$C$13*$D1476</f>
        <v/>
      </c>
      <c r="AT1476" s="16">
        <f>AT1467*Settings!$C$13*$D1476</f>
        <v/>
      </c>
      <c r="AU1476" s="16">
        <f>AU1467*Settings!$C$13*$D1476</f>
        <v/>
      </c>
      <c r="AV1476" s="16">
        <f>AV1467*Settings!$C$13*$D1476</f>
        <v/>
      </c>
      <c r="AW1476" s="16">
        <f>AW1467*Settings!$C$13*$D1476</f>
        <v/>
      </c>
      <c r="AX1476" s="16">
        <f>AX1467*Settings!$C$13*$D1476</f>
        <v/>
      </c>
      <c r="AY1476" s="16">
        <f>AY1467*Settings!$C$13*$D1476</f>
        <v/>
      </c>
      <c r="AZ1476" s="16">
        <f>AZ1467*Settings!$C$13*$D1476</f>
        <v/>
      </c>
      <c r="BA1476" s="49">
        <f>EMISSIONS(BA1467,Settings!$C$13,$D1476)</f>
        <v/>
      </c>
    </row>
    <row r="1477" hidden="1" outlineLevel="2">
      <c r="A1477" s="14" t="inlineStr">
        <is>
          <t>co2</t>
        </is>
      </c>
      <c r="B1477" s="14" t="inlineStr">
        <is>
          <t>ker</t>
        </is>
      </c>
      <c r="C1477" s="14" t="inlineStr">
        <is>
          <t>nav</t>
        </is>
      </c>
      <c r="D1477" s="35">
        <f>INDEX(Inputs!$W$5:$W$132,MATCH($B1477&amp;"|"&amp;$C1477,Inputs!$A$5:$A$132,0))</f>
        <v/>
      </c>
      <c r="E1477" s="39" t="n"/>
      <c r="F1477" s="39" t="n"/>
      <c r="G1477" s="39" t="n"/>
      <c r="H1477" s="14">
        <f>INDEX(VarLab,MATCH($A1477,VarKey,0))&amp;INDEX(MemLab,MATCH($C1477&amp;"|"&amp;$B1477,MemKey,0))</f>
        <v/>
      </c>
      <c r="I1477" s="14">
        <f>INDEX(VarUnit,MATCH($A1477,VarKey,0))</f>
        <v/>
      </c>
      <c r="J1477" s="14">
        <f>INDEX(VarSrc,MATCH($A1477,VarKey,0))</f>
        <v/>
      </c>
      <c r="K1477" s="11">
        <f>CodePrefix&amp;$A1477&amp;IF($C1477="","","."&amp;$C1477&amp;"."&amp;$B1477)&amp;INDEX(VarEnd,MATCH($A1477,VarKey,0))&amp;K$5</f>
        <v/>
      </c>
      <c r="L1477" s="15">
        <f>L1468*Settings!$C$13*$D1477</f>
        <v/>
      </c>
      <c r="M1477" s="16">
        <f>M1468*Settings!$C$13*$D1477</f>
        <v/>
      </c>
      <c r="N1477" s="16">
        <f>N1468*Settings!$C$13*$D1477</f>
        <v/>
      </c>
      <c r="O1477" s="16">
        <f>O1468*Settings!$C$13*$D1477</f>
        <v/>
      </c>
      <c r="P1477" s="16">
        <f>P1468*Settings!$C$13*$D1477</f>
        <v/>
      </c>
      <c r="Q1477" s="16">
        <f>Q1468*Settings!$C$13*$D1477</f>
        <v/>
      </c>
      <c r="R1477" s="16">
        <f>R1468*Settings!$C$13*$D1477</f>
        <v/>
      </c>
      <c r="S1477" s="16">
        <f>S1468*Settings!$C$13*$D1477</f>
        <v/>
      </c>
      <c r="T1477" s="16">
        <f>T1468*Settings!$C$13*$D1477</f>
        <v/>
      </c>
      <c r="U1477" s="16">
        <f>U1468*Settings!$C$13*$D1477</f>
        <v/>
      </c>
      <c r="V1477" s="16">
        <f>V1468*Settings!$C$13*$D1477</f>
        <v/>
      </c>
      <c r="W1477" s="16">
        <f>W1468*Settings!$C$13*$D1477</f>
        <v/>
      </c>
      <c r="X1477" s="16">
        <f>X1468*Settings!$C$13*$D1477</f>
        <v/>
      </c>
      <c r="Y1477" s="16">
        <f>Y1468*Settings!$C$13*$D1477</f>
        <v/>
      </c>
      <c r="Z1477" s="16">
        <f>Z1468*Settings!$C$13*$D1477</f>
        <v/>
      </c>
      <c r="AA1477" s="16">
        <f>AA1468*Settings!$C$13*$D1477</f>
        <v/>
      </c>
      <c r="AB1477" s="16">
        <f>AB1468*Settings!$C$13*$D1477</f>
        <v/>
      </c>
      <c r="AC1477" s="16">
        <f>AC1468*Settings!$C$13*$D1477</f>
        <v/>
      </c>
      <c r="AD1477" s="16">
        <f>AD1468*Settings!$C$13*$D1477</f>
        <v/>
      </c>
      <c r="AE1477" s="49">
        <f>EMISSIONS(AE1468,Settings!$C$13,$D1477)</f>
        <v/>
      </c>
      <c r="AG1477" s="11">
        <f>CodePrefix&amp;$A1477&amp;IF($C1477="","","."&amp;$C1477&amp;"."&amp;$B1477)&amp;INDEX(VarEnd,MATCH($A1477,VarKey,0))&amp;AG$5</f>
        <v/>
      </c>
      <c r="AH1477" s="15">
        <f>AH1468*Settings!$C$13*$D1477</f>
        <v/>
      </c>
      <c r="AI1477" s="16">
        <f>AI1468*Settings!$C$13*$D1477</f>
        <v/>
      </c>
      <c r="AJ1477" s="16">
        <f>AJ1468*Settings!$C$13*$D1477</f>
        <v/>
      </c>
      <c r="AK1477" s="16">
        <f>AK1468*Settings!$C$13*$D1477</f>
        <v/>
      </c>
      <c r="AL1477" s="16">
        <f>AL1468*Settings!$C$13*$D1477</f>
        <v/>
      </c>
      <c r="AM1477" s="16">
        <f>AM1468*Settings!$C$13*$D1477</f>
        <v/>
      </c>
      <c r="AN1477" s="16">
        <f>AN1468*Settings!$C$13*$D1477</f>
        <v/>
      </c>
      <c r="AO1477" s="16">
        <f>AO1468*Settings!$C$13*$D1477</f>
        <v/>
      </c>
      <c r="AP1477" s="16">
        <f>AP1468*Settings!$C$13*$D1477</f>
        <v/>
      </c>
      <c r="AQ1477" s="16">
        <f>AQ1468*Settings!$C$13*$D1477</f>
        <v/>
      </c>
      <c r="AR1477" s="16">
        <f>AR1468*Settings!$C$13*$D1477</f>
        <v/>
      </c>
      <c r="AS1477" s="16">
        <f>AS1468*Settings!$C$13*$D1477</f>
        <v/>
      </c>
      <c r="AT1477" s="16">
        <f>AT1468*Settings!$C$13*$D1477</f>
        <v/>
      </c>
      <c r="AU1477" s="16">
        <f>AU1468*Settings!$C$13*$D1477</f>
        <v/>
      </c>
      <c r="AV1477" s="16">
        <f>AV1468*Settings!$C$13*$D1477</f>
        <v/>
      </c>
      <c r="AW1477" s="16">
        <f>AW1468*Settings!$C$13*$D1477</f>
        <v/>
      </c>
      <c r="AX1477" s="16">
        <f>AX1468*Settings!$C$13*$D1477</f>
        <v/>
      </c>
      <c r="AY1477" s="16">
        <f>AY1468*Settings!$C$13*$D1477</f>
        <v/>
      </c>
      <c r="AZ1477" s="16">
        <f>AZ1468*Settings!$C$13*$D1477</f>
        <v/>
      </c>
      <c r="BA1477" s="49">
        <f>EMISSIONS(BA1468,Settings!$C$13,$D1477)</f>
        <v/>
      </c>
    </row>
    <row r="1478" hidden="1" outlineLevel="2">
      <c r="A1478" s="14" t="inlineStr">
        <is>
          <t>co2</t>
        </is>
      </c>
      <c r="B1478" s="14" t="inlineStr">
        <is>
          <t>oop</t>
        </is>
      </c>
      <c r="C1478" s="14" t="inlineStr">
        <is>
          <t>nav</t>
        </is>
      </c>
      <c r="D1478" s="35">
        <f>INDEX(Inputs!$W$5:$W$132,MATCH($B1478&amp;"|"&amp;$C1478,Inputs!$A$5:$A$132,0))</f>
        <v/>
      </c>
      <c r="E1478" s="39" t="n"/>
      <c r="F1478" s="39" t="n"/>
      <c r="G1478" s="39" t="n"/>
      <c r="H1478" s="14">
        <f>INDEX(VarLab,MATCH($A1478,VarKey,0))&amp;INDEX(MemLab,MATCH($C1478&amp;"|"&amp;$B1478,MemKey,0))</f>
        <v/>
      </c>
      <c r="I1478" s="14">
        <f>INDEX(VarUnit,MATCH($A1478,VarKey,0))</f>
        <v/>
      </c>
      <c r="J1478" s="14">
        <f>INDEX(VarSrc,MATCH($A1478,VarKey,0))</f>
        <v/>
      </c>
      <c r="K1478" s="11">
        <f>CodePrefix&amp;$A1478&amp;IF($C1478="","","."&amp;$C1478&amp;"."&amp;$B1478)&amp;INDEX(VarEnd,MATCH($A1478,VarKey,0))&amp;K$5</f>
        <v/>
      </c>
      <c r="L1478" s="15">
        <f>L1469*Settings!$C$13*$D1478</f>
        <v/>
      </c>
      <c r="M1478" s="16">
        <f>M1469*Settings!$C$13*$D1478</f>
        <v/>
      </c>
      <c r="N1478" s="16">
        <f>N1469*Settings!$C$13*$D1478</f>
        <v/>
      </c>
      <c r="O1478" s="16">
        <f>O1469*Settings!$C$13*$D1478</f>
        <v/>
      </c>
      <c r="P1478" s="16">
        <f>P1469*Settings!$C$13*$D1478</f>
        <v/>
      </c>
      <c r="Q1478" s="16">
        <f>Q1469*Settings!$C$13*$D1478</f>
        <v/>
      </c>
      <c r="R1478" s="16">
        <f>R1469*Settings!$C$13*$D1478</f>
        <v/>
      </c>
      <c r="S1478" s="16">
        <f>S1469*Settings!$C$13*$D1478</f>
        <v/>
      </c>
      <c r="T1478" s="16">
        <f>T1469*Settings!$C$13*$D1478</f>
        <v/>
      </c>
      <c r="U1478" s="16">
        <f>U1469*Settings!$C$13*$D1478</f>
        <v/>
      </c>
      <c r="V1478" s="16">
        <f>V1469*Settings!$C$13*$D1478</f>
        <v/>
      </c>
      <c r="W1478" s="16">
        <f>W1469*Settings!$C$13*$D1478</f>
        <v/>
      </c>
      <c r="X1478" s="16">
        <f>X1469*Settings!$C$13*$D1478</f>
        <v/>
      </c>
      <c r="Y1478" s="16">
        <f>Y1469*Settings!$C$13*$D1478</f>
        <v/>
      </c>
      <c r="Z1478" s="16">
        <f>Z1469*Settings!$C$13*$D1478</f>
        <v/>
      </c>
      <c r="AA1478" s="16">
        <f>AA1469*Settings!$C$13*$D1478</f>
        <v/>
      </c>
      <c r="AB1478" s="16">
        <f>AB1469*Settings!$C$13*$D1478</f>
        <v/>
      </c>
      <c r="AC1478" s="16">
        <f>AC1469*Settings!$C$13*$D1478</f>
        <v/>
      </c>
      <c r="AD1478" s="16">
        <f>AD1469*Settings!$C$13*$D1478</f>
        <v/>
      </c>
      <c r="AE1478" s="49">
        <f>EMISSIONS(AE1469,Settings!$C$13,$D1478)</f>
        <v/>
      </c>
      <c r="AG1478" s="11">
        <f>CodePrefix&amp;$A1478&amp;IF($C1478="","","."&amp;$C1478&amp;"."&amp;$B1478)&amp;INDEX(VarEnd,MATCH($A1478,VarKey,0))&amp;AG$5</f>
        <v/>
      </c>
      <c r="AH1478" s="15">
        <f>AH1469*Settings!$C$13*$D1478</f>
        <v/>
      </c>
      <c r="AI1478" s="16">
        <f>AI1469*Settings!$C$13*$D1478</f>
        <v/>
      </c>
      <c r="AJ1478" s="16">
        <f>AJ1469*Settings!$C$13*$D1478</f>
        <v/>
      </c>
      <c r="AK1478" s="16">
        <f>AK1469*Settings!$C$13*$D1478</f>
        <v/>
      </c>
      <c r="AL1478" s="16">
        <f>AL1469*Settings!$C$13*$D1478</f>
        <v/>
      </c>
      <c r="AM1478" s="16">
        <f>AM1469*Settings!$C$13*$D1478</f>
        <v/>
      </c>
      <c r="AN1478" s="16">
        <f>AN1469*Settings!$C$13*$D1478</f>
        <v/>
      </c>
      <c r="AO1478" s="16">
        <f>AO1469*Settings!$C$13*$D1478</f>
        <v/>
      </c>
      <c r="AP1478" s="16">
        <f>AP1469*Settings!$C$13*$D1478</f>
        <v/>
      </c>
      <c r="AQ1478" s="16">
        <f>AQ1469*Settings!$C$13*$D1478</f>
        <v/>
      </c>
      <c r="AR1478" s="16">
        <f>AR1469*Settings!$C$13*$D1478</f>
        <v/>
      </c>
      <c r="AS1478" s="16">
        <f>AS1469*Settings!$C$13*$D1478</f>
        <v/>
      </c>
      <c r="AT1478" s="16">
        <f>AT1469*Settings!$C$13*$D1478</f>
        <v/>
      </c>
      <c r="AU1478" s="16">
        <f>AU1469*Settings!$C$13*$D1478</f>
        <v/>
      </c>
      <c r="AV1478" s="16">
        <f>AV1469*Settings!$C$13*$D1478</f>
        <v/>
      </c>
      <c r="AW1478" s="16">
        <f>AW1469*Settings!$C$13*$D1478</f>
        <v/>
      </c>
      <c r="AX1478" s="16">
        <f>AX1469*Settings!$C$13*$D1478</f>
        <v/>
      </c>
      <c r="AY1478" s="16">
        <f>AY1469*Settings!$C$13*$D1478</f>
        <v/>
      </c>
      <c r="AZ1478" s="16">
        <f>AZ1469*Settings!$C$13*$D1478</f>
        <v/>
      </c>
      <c r="BA1478" s="49">
        <f>EMISSIONS(BA1469,Settings!$C$13,$D1478)</f>
        <v/>
      </c>
    </row>
    <row r="1479" hidden="1" outlineLevel="2">
      <c r="A1479" s="14" t="inlineStr">
        <is>
          <t>co2</t>
        </is>
      </c>
      <c r="B1479" s="14" t="inlineStr">
        <is>
          <t>bio</t>
        </is>
      </c>
      <c r="C1479" s="14" t="inlineStr">
        <is>
          <t>nav</t>
        </is>
      </c>
      <c r="D1479" s="35">
        <f>INDEX(Inputs!$W$5:$W$132,MATCH($B1479&amp;"|"&amp;$C1479,Inputs!$A$5:$A$132,0))</f>
        <v/>
      </c>
      <c r="E1479" s="39" t="n"/>
      <c r="F1479" s="39" t="n"/>
      <c r="G1479" s="39" t="n"/>
      <c r="H1479" s="14">
        <f>INDEX(VarLab,MATCH($A1479,VarKey,0))&amp;INDEX(MemLab,MATCH($C1479&amp;"|"&amp;$B1479,MemKey,0))</f>
        <v/>
      </c>
      <c r="I1479" s="14">
        <f>INDEX(VarUnit,MATCH($A1479,VarKey,0))</f>
        <v/>
      </c>
      <c r="J1479" s="14">
        <f>INDEX(VarSrc,MATCH($A1479,VarKey,0))</f>
        <v/>
      </c>
      <c r="K1479" s="11">
        <f>CodePrefix&amp;$A1479&amp;IF($C1479="","","."&amp;$C1479&amp;"."&amp;$B1479)&amp;INDEX(VarEnd,MATCH($A1479,VarKey,0))&amp;K$5</f>
        <v/>
      </c>
      <c r="L1479" s="15">
        <f>L1470*Settings!$C$13*$D1479</f>
        <v/>
      </c>
      <c r="M1479" s="16">
        <f>M1470*Settings!$C$13*$D1479</f>
        <v/>
      </c>
      <c r="N1479" s="16">
        <f>N1470*Settings!$C$13*$D1479</f>
        <v/>
      </c>
      <c r="O1479" s="16">
        <f>O1470*Settings!$C$13*$D1479</f>
        <v/>
      </c>
      <c r="P1479" s="16">
        <f>P1470*Settings!$C$13*$D1479</f>
        <v/>
      </c>
      <c r="Q1479" s="16">
        <f>Q1470*Settings!$C$13*$D1479</f>
        <v/>
      </c>
      <c r="R1479" s="16">
        <f>R1470*Settings!$C$13*$D1479</f>
        <v/>
      </c>
      <c r="S1479" s="16">
        <f>S1470*Settings!$C$13*$D1479</f>
        <v/>
      </c>
      <c r="T1479" s="16">
        <f>T1470*Settings!$C$13*$D1479</f>
        <v/>
      </c>
      <c r="U1479" s="16">
        <f>U1470*Settings!$C$13*$D1479</f>
        <v/>
      </c>
      <c r="V1479" s="16">
        <f>V1470*Settings!$C$13*$D1479</f>
        <v/>
      </c>
      <c r="W1479" s="16">
        <f>W1470*Settings!$C$13*$D1479</f>
        <v/>
      </c>
      <c r="X1479" s="16">
        <f>X1470*Settings!$C$13*$D1479</f>
        <v/>
      </c>
      <c r="Y1479" s="16">
        <f>Y1470*Settings!$C$13*$D1479</f>
        <v/>
      </c>
      <c r="Z1479" s="16">
        <f>Z1470*Settings!$C$13*$D1479</f>
        <v/>
      </c>
      <c r="AA1479" s="16">
        <f>AA1470*Settings!$C$13*$D1479</f>
        <v/>
      </c>
      <c r="AB1479" s="16">
        <f>AB1470*Settings!$C$13*$D1479</f>
        <v/>
      </c>
      <c r="AC1479" s="16">
        <f>AC1470*Settings!$C$13*$D1479</f>
        <v/>
      </c>
      <c r="AD1479" s="16">
        <f>AD1470*Settings!$C$13*$D1479</f>
        <v/>
      </c>
      <c r="AE1479" s="49">
        <f>EMISSIONS(AE1470,Settings!$C$13,$D1479)</f>
        <v/>
      </c>
      <c r="AG1479" s="11">
        <f>CodePrefix&amp;$A1479&amp;IF($C1479="","","."&amp;$C1479&amp;"."&amp;$B1479)&amp;INDEX(VarEnd,MATCH($A1479,VarKey,0))&amp;AG$5</f>
        <v/>
      </c>
      <c r="AH1479" s="15">
        <f>AH1470*Settings!$C$13*$D1479</f>
        <v/>
      </c>
      <c r="AI1479" s="16">
        <f>AI1470*Settings!$C$13*$D1479</f>
        <v/>
      </c>
      <c r="AJ1479" s="16">
        <f>AJ1470*Settings!$C$13*$D1479</f>
        <v/>
      </c>
      <c r="AK1479" s="16">
        <f>AK1470*Settings!$C$13*$D1479</f>
        <v/>
      </c>
      <c r="AL1479" s="16">
        <f>AL1470*Settings!$C$13*$D1479</f>
        <v/>
      </c>
      <c r="AM1479" s="16">
        <f>AM1470*Settings!$C$13*$D1479</f>
        <v/>
      </c>
      <c r="AN1479" s="16">
        <f>AN1470*Settings!$C$13*$D1479</f>
        <v/>
      </c>
      <c r="AO1479" s="16">
        <f>AO1470*Settings!$C$13*$D1479</f>
        <v/>
      </c>
      <c r="AP1479" s="16">
        <f>AP1470*Settings!$C$13*$D1479</f>
        <v/>
      </c>
      <c r="AQ1479" s="16">
        <f>AQ1470*Settings!$C$13*$D1479</f>
        <v/>
      </c>
      <c r="AR1479" s="16">
        <f>AR1470*Settings!$C$13*$D1479</f>
        <v/>
      </c>
      <c r="AS1479" s="16">
        <f>AS1470*Settings!$C$13*$D1479</f>
        <v/>
      </c>
      <c r="AT1479" s="16">
        <f>AT1470*Settings!$C$13*$D1479</f>
        <v/>
      </c>
      <c r="AU1479" s="16">
        <f>AU1470*Settings!$C$13*$D1479</f>
        <v/>
      </c>
      <c r="AV1479" s="16">
        <f>AV1470*Settings!$C$13*$D1479</f>
        <v/>
      </c>
      <c r="AW1479" s="16">
        <f>AW1470*Settings!$C$13*$D1479</f>
        <v/>
      </c>
      <c r="AX1479" s="16">
        <f>AX1470*Settings!$C$13*$D1479</f>
        <v/>
      </c>
      <c r="AY1479" s="16">
        <f>AY1470*Settings!$C$13*$D1479</f>
        <v/>
      </c>
      <c r="AZ1479" s="16">
        <f>AZ1470*Settings!$C$13*$D1479</f>
        <v/>
      </c>
      <c r="BA1479" s="49">
        <f>EMISSIONS(BA1470,Settings!$C$13,$D1479)</f>
        <v/>
      </c>
    </row>
    <row r="1480" hidden="1" outlineLevel="2"/>
    <row r="1481" hidden="1" outlineLevel="2">
      <c r="A1481" s="14" t="inlineStr">
        <is>
          <t>rtx</t>
        </is>
      </c>
      <c r="B1481" s="14" t="inlineStr">
        <is>
          <t>coa</t>
        </is>
      </c>
      <c r="C1481" s="14" t="inlineStr">
        <is>
          <t>nav</t>
        </is>
      </c>
      <c r="D1481" s="35">
        <f>INDEX(Inputs!$U$5:$U$132,MATCH($B1481&amp;"|"&amp;$C1481,Inputs!$A$5:$A$132,0))</f>
        <v/>
      </c>
      <c r="E1481" s="35">
        <f>INDEX(Inputs!$V$5:$V$132,MATCH($B1481&amp;"|"&amp;$C1481,Inputs!$A$5:$A$132,0))</f>
        <v/>
      </c>
      <c r="F1481" s="39" t="n"/>
      <c r="G1481" s="39" t="n"/>
      <c r="H1481" s="14">
        <f>INDEX(VarLab,MATCH($A1481,VarKey,0))&amp;INDEX(MemLab,MATCH($C1481&amp;"|"&amp;$B1481,MemKey,0))</f>
        <v/>
      </c>
      <c r="I1481" s="14">
        <f>INDEX(VarUnit,MATCH($A1481,VarKey,0))</f>
        <v/>
      </c>
      <c r="J1481" s="14">
        <f>INDEX(VarSrc,MATCH($A1481,VarKey,0))</f>
        <v/>
      </c>
      <c r="K1481" s="11">
        <f>CodePrefix&amp;$A1481&amp;IF($C1481="","","."&amp;$C1481&amp;"."&amp;$B1481)&amp;INDEX(VarEnd,MATCH($A1481,VarKey,0))&amp;K$5</f>
        <v/>
      </c>
      <c r="L1481" s="43">
        <f>L1463*Settings!$C$13*(INDEX(L$407:L$418,$D1481)+INDEX(L$394:L$405,$D1481)+L1436*(1+$E1481))</f>
        <v/>
      </c>
      <c r="M1481" s="44">
        <f>M1463*Settings!$C$13*(INDEX(M$407:M$418,$D1481)+INDEX(M$394:M$405,$D1481)+M1436*(1+$E1481))</f>
        <v/>
      </c>
      <c r="N1481" s="44">
        <f>N1463*Settings!$C$13*(INDEX(N$407:N$418,$D1481)+INDEX(N$394:N$405,$D1481)+N1436*(1+$E1481))</f>
        <v/>
      </c>
      <c r="O1481" s="44">
        <f>O1463*Settings!$C$13*(INDEX(O$407:O$418,$D1481)+INDEX(O$394:O$405,$D1481)+O1436*(1+$E1481))</f>
        <v/>
      </c>
      <c r="P1481" s="44">
        <f>P1463*Settings!$C$13*(INDEX(P$407:P$418,$D1481)+INDEX(P$394:P$405,$D1481)+P1436*(1+$E1481))</f>
        <v/>
      </c>
      <c r="Q1481" s="44">
        <f>Q1463*Settings!$C$13*(INDEX(Q$407:Q$418,$D1481)+INDEX(Q$394:Q$405,$D1481)+Q1436*(1+$E1481))</f>
        <v/>
      </c>
      <c r="R1481" s="44">
        <f>R1463*Settings!$C$13*(INDEX(R$407:R$418,$D1481)+INDEX(R$394:R$405,$D1481)+R1436*(1+$E1481))</f>
        <v/>
      </c>
      <c r="S1481" s="44">
        <f>S1463*Settings!$C$13*(INDEX(S$407:S$418,$D1481)+INDEX(S$394:S$405,$D1481)+S1436*(1+$E1481))</f>
        <v/>
      </c>
      <c r="T1481" s="44">
        <f>T1463*Settings!$C$13*(INDEX(T$407:T$418,$D1481)+INDEX(T$394:T$405,$D1481)+T1436*(1+$E1481))</f>
        <v/>
      </c>
      <c r="U1481" s="44">
        <f>U1463*Settings!$C$13*(INDEX(U$407:U$418,$D1481)+INDEX(U$394:U$405,$D1481)+U1436*(1+$E1481))</f>
        <v/>
      </c>
      <c r="V1481" s="44">
        <f>V1463*Settings!$C$13*(INDEX(V$407:V$418,$D1481)+INDEX(V$394:V$405,$D1481)+V1436*(1+$E1481))</f>
        <v/>
      </c>
      <c r="W1481" s="44">
        <f>W1463*Settings!$C$13*(INDEX(W$407:W$418,$D1481)+INDEX(W$394:W$405,$D1481)+W1436*(1+$E1481))</f>
        <v/>
      </c>
      <c r="X1481" s="44">
        <f>X1463*Settings!$C$13*(INDEX(X$407:X$418,$D1481)+INDEX(X$394:X$405,$D1481)+X1436*(1+$E1481))</f>
        <v/>
      </c>
      <c r="Y1481" s="44">
        <f>Y1463*Settings!$C$13*(INDEX(Y$407:Y$418,$D1481)+INDEX(Y$394:Y$405,$D1481)+Y1436*(1+$E1481))</f>
        <v/>
      </c>
      <c r="Z1481" s="44">
        <f>Z1463*Settings!$C$13*(INDEX(Z$407:Z$418,$D1481)+INDEX(Z$394:Z$405,$D1481)+Z1436*(1+$E1481))</f>
        <v/>
      </c>
      <c r="AA1481" s="44">
        <f>AA1463*Settings!$C$13*(INDEX(AA$407:AA$418,$D1481)+INDEX(AA$394:AA$405,$D1481)+AA1436*(1+$E1481))</f>
        <v/>
      </c>
      <c r="AB1481" s="44">
        <f>AB1463*Settings!$C$13*(INDEX(AB$407:AB$418,$D1481)+INDEX(AB$394:AB$405,$D1481)+AB1436*(1+$E1481))</f>
        <v/>
      </c>
      <c r="AC1481" s="44">
        <f>AC1463*Settings!$C$13*(INDEX(AC$407:AC$418,$D1481)+INDEX(AC$394:AC$405,$D1481)+AC1436*(1+$E1481))</f>
        <v/>
      </c>
      <c r="AD1481" s="44">
        <f>AD1463*Settings!$C$13*(INDEX(AD$407:AD$418,$D1481)+INDEX(AD$394:AD$405,$D1481)+AD1436*(1+$E1481))</f>
        <v/>
      </c>
      <c r="AE1481" s="57">
        <f>REVENUE(AE1463,Settings!$C$13,INDEX(AE$407:AE$418,$D1481)+INDEX(AE$394:AE$405,$D1481)+AE1436*(1+$E1481))</f>
        <v/>
      </c>
      <c r="AG1481" s="11">
        <f>CodePrefix&amp;$A1481&amp;IF($C1481="","","."&amp;$C1481&amp;"."&amp;$B1481)&amp;INDEX(VarEnd,MATCH($A1481,VarKey,0))&amp;AG$5</f>
        <v/>
      </c>
      <c r="AH1481" s="43">
        <f>AH1463*Settings!$C$13*(INDEX(AH$407:AH$418,$D1481)+INDEX(AH$394:AH$405,$D1481)+AH1436*(1+$E1481))</f>
        <v/>
      </c>
      <c r="AI1481" s="44">
        <f>AI1463*Settings!$C$13*(INDEX(AI$407:AI$418,$D1481)+INDEX(AI$394:AI$405,$D1481)+AI1436*(1+$E1481))</f>
        <v/>
      </c>
      <c r="AJ1481" s="44">
        <f>AJ1463*Settings!$C$13*(INDEX(AJ$407:AJ$418,$D1481)+INDEX(AJ$394:AJ$405,$D1481)+AJ1436*(1+$E1481))</f>
        <v/>
      </c>
      <c r="AK1481" s="44">
        <f>AK1463*Settings!$C$13*(INDEX(AK$407:AK$418,$D1481)+INDEX(AK$394:AK$405,$D1481)+AK1436*(1+$E1481))</f>
        <v/>
      </c>
      <c r="AL1481" s="44">
        <f>AL1463*Settings!$C$13*(INDEX(AL$407:AL$418,$D1481)+INDEX(AL$394:AL$405,$D1481)+AL1436*(1+$E1481))</f>
        <v/>
      </c>
      <c r="AM1481" s="44">
        <f>AM1463*Settings!$C$13*(INDEX(AM$407:AM$418,$D1481)+INDEX(AM$394:AM$405,$D1481)+AM1436*(1+$E1481))</f>
        <v/>
      </c>
      <c r="AN1481" s="44">
        <f>AN1463*Settings!$C$13*(INDEX(AN$407:AN$418,$D1481)+INDEX(AN$394:AN$405,$D1481)+AN1436*(1+$E1481))</f>
        <v/>
      </c>
      <c r="AO1481" s="44">
        <f>AO1463*Settings!$C$13*(INDEX(AO$407:AO$418,$D1481)+INDEX(AO$394:AO$405,$D1481)+AO1436*(1+$E1481))</f>
        <v/>
      </c>
      <c r="AP1481" s="44">
        <f>AP1463*Settings!$C$13*(INDEX(AP$407:AP$418,$D1481)+INDEX(AP$394:AP$405,$D1481)+AP1436*(1+$E1481))</f>
        <v/>
      </c>
      <c r="AQ1481" s="44">
        <f>AQ1463*Settings!$C$13*(INDEX(AQ$407:AQ$418,$D1481)+INDEX(AQ$394:AQ$405,$D1481)+AQ1436*(1+$E1481))</f>
        <v/>
      </c>
      <c r="AR1481" s="44">
        <f>AR1463*Settings!$C$13*(INDEX(AR$407:AR$418,$D1481)+INDEX(AR$394:AR$405,$D1481)+AR1436*(1+$E1481))</f>
        <v/>
      </c>
      <c r="AS1481" s="44">
        <f>AS1463*Settings!$C$13*(INDEX(AS$407:AS$418,$D1481)+INDEX(AS$394:AS$405,$D1481)+AS1436*(1+$E1481))</f>
        <v/>
      </c>
      <c r="AT1481" s="44">
        <f>AT1463*Settings!$C$13*(INDEX(AT$407:AT$418,$D1481)+INDEX(AT$394:AT$405,$D1481)+AT1436*(1+$E1481))</f>
        <v/>
      </c>
      <c r="AU1481" s="44">
        <f>AU1463*Settings!$C$13*(INDEX(AU$407:AU$418,$D1481)+INDEX(AU$394:AU$405,$D1481)+AU1436*(1+$E1481))</f>
        <v/>
      </c>
      <c r="AV1481" s="44">
        <f>AV1463*Settings!$C$13*(INDEX(AV$407:AV$418,$D1481)+INDEX(AV$394:AV$405,$D1481)+AV1436*(1+$E1481))</f>
        <v/>
      </c>
      <c r="AW1481" s="44">
        <f>AW1463*Settings!$C$13*(INDEX(AW$407:AW$418,$D1481)+INDEX(AW$394:AW$405,$D1481)+AW1436*(1+$E1481))</f>
        <v/>
      </c>
      <c r="AX1481" s="44">
        <f>AX1463*Settings!$C$13*(INDEX(AX$407:AX$418,$D1481)+INDEX(AX$394:AX$405,$D1481)+AX1436*(1+$E1481))</f>
        <v/>
      </c>
      <c r="AY1481" s="44">
        <f>AY1463*Settings!$C$13*(INDEX(AY$407:AY$418,$D1481)+INDEX(AY$394:AY$405,$D1481)+AY1436*(1+$E1481))</f>
        <v/>
      </c>
      <c r="AZ1481" s="44">
        <f>AZ1463*Settings!$C$13*(INDEX(AZ$407:AZ$418,$D1481)+INDEX(AZ$394:AZ$405,$D1481)+AZ1436*(1+$E1481))</f>
        <v/>
      </c>
      <c r="BA1481" s="57">
        <f>REVENUE(BA1463,Settings!$C$13,INDEX(BA$407:BA$418,$D1481)+INDEX(BA$394:BA$405,$D1481)+BA1436*(1+$E1481))</f>
        <v/>
      </c>
    </row>
    <row r="1482" hidden="1" outlineLevel="2">
      <c r="A1482" s="14" t="inlineStr">
        <is>
          <t>rtx</t>
        </is>
      </c>
      <c r="B1482" s="14" t="inlineStr">
        <is>
          <t>nga</t>
        </is>
      </c>
      <c r="C1482" s="14" t="inlineStr">
        <is>
          <t>nav</t>
        </is>
      </c>
      <c r="D1482" s="35">
        <f>INDEX(Inputs!$U$5:$U$132,MATCH($B1482&amp;"|"&amp;$C1482,Inputs!$A$5:$A$132,0))</f>
        <v/>
      </c>
      <c r="E1482" s="35">
        <f>INDEX(Inputs!$V$5:$V$132,MATCH($B1482&amp;"|"&amp;$C1482,Inputs!$A$5:$A$132,0))</f>
        <v/>
      </c>
      <c r="F1482" s="39" t="n"/>
      <c r="G1482" s="39" t="n"/>
      <c r="H1482" s="14">
        <f>INDEX(VarLab,MATCH($A1482,VarKey,0))&amp;INDEX(MemLab,MATCH($C1482&amp;"|"&amp;$B1482,MemKey,0))</f>
        <v/>
      </c>
      <c r="I1482" s="14">
        <f>INDEX(VarUnit,MATCH($A1482,VarKey,0))</f>
        <v/>
      </c>
      <c r="J1482" s="14">
        <f>INDEX(VarSrc,MATCH($A1482,VarKey,0))</f>
        <v/>
      </c>
      <c r="K1482" s="11">
        <f>CodePrefix&amp;$A1482&amp;IF($C1482="","","."&amp;$C1482&amp;"."&amp;$B1482)&amp;INDEX(VarEnd,MATCH($A1482,VarKey,0))&amp;K$5</f>
        <v/>
      </c>
      <c r="L1482" s="43">
        <f>L1464*Settings!$C$13*(INDEX(L$407:L$418,$D1482)+INDEX(L$394:L$405,$D1482)+L1437*(1+$E1482))</f>
        <v/>
      </c>
      <c r="M1482" s="44">
        <f>M1464*Settings!$C$13*(INDEX(M$407:M$418,$D1482)+INDEX(M$394:M$405,$D1482)+M1437*(1+$E1482))</f>
        <v/>
      </c>
      <c r="N1482" s="44">
        <f>N1464*Settings!$C$13*(INDEX(N$407:N$418,$D1482)+INDEX(N$394:N$405,$D1482)+N1437*(1+$E1482))</f>
        <v/>
      </c>
      <c r="O1482" s="44">
        <f>O1464*Settings!$C$13*(INDEX(O$407:O$418,$D1482)+INDEX(O$394:O$405,$D1482)+O1437*(1+$E1482))</f>
        <v/>
      </c>
      <c r="P1482" s="44">
        <f>P1464*Settings!$C$13*(INDEX(P$407:P$418,$D1482)+INDEX(P$394:P$405,$D1482)+P1437*(1+$E1482))</f>
        <v/>
      </c>
      <c r="Q1482" s="44">
        <f>Q1464*Settings!$C$13*(INDEX(Q$407:Q$418,$D1482)+INDEX(Q$394:Q$405,$D1482)+Q1437*(1+$E1482))</f>
        <v/>
      </c>
      <c r="R1482" s="44">
        <f>R1464*Settings!$C$13*(INDEX(R$407:R$418,$D1482)+INDEX(R$394:R$405,$D1482)+R1437*(1+$E1482))</f>
        <v/>
      </c>
      <c r="S1482" s="44">
        <f>S1464*Settings!$C$13*(INDEX(S$407:S$418,$D1482)+INDEX(S$394:S$405,$D1482)+S1437*(1+$E1482))</f>
        <v/>
      </c>
      <c r="T1482" s="44">
        <f>T1464*Settings!$C$13*(INDEX(T$407:T$418,$D1482)+INDEX(T$394:T$405,$D1482)+T1437*(1+$E1482))</f>
        <v/>
      </c>
      <c r="U1482" s="44">
        <f>U1464*Settings!$C$13*(INDEX(U$407:U$418,$D1482)+INDEX(U$394:U$405,$D1482)+U1437*(1+$E1482))</f>
        <v/>
      </c>
      <c r="V1482" s="44">
        <f>V1464*Settings!$C$13*(INDEX(V$407:V$418,$D1482)+INDEX(V$394:V$405,$D1482)+V1437*(1+$E1482))</f>
        <v/>
      </c>
      <c r="W1482" s="44">
        <f>W1464*Settings!$C$13*(INDEX(W$407:W$418,$D1482)+INDEX(W$394:W$405,$D1482)+W1437*(1+$E1482))</f>
        <v/>
      </c>
      <c r="X1482" s="44">
        <f>X1464*Settings!$C$13*(INDEX(X$407:X$418,$D1482)+INDEX(X$394:X$405,$D1482)+X1437*(1+$E1482))</f>
        <v/>
      </c>
      <c r="Y1482" s="44">
        <f>Y1464*Settings!$C$13*(INDEX(Y$407:Y$418,$D1482)+INDEX(Y$394:Y$405,$D1482)+Y1437*(1+$E1482))</f>
        <v/>
      </c>
      <c r="Z1482" s="44">
        <f>Z1464*Settings!$C$13*(INDEX(Z$407:Z$418,$D1482)+INDEX(Z$394:Z$405,$D1482)+Z1437*(1+$E1482))</f>
        <v/>
      </c>
      <c r="AA1482" s="44">
        <f>AA1464*Settings!$C$13*(INDEX(AA$407:AA$418,$D1482)+INDEX(AA$394:AA$405,$D1482)+AA1437*(1+$E1482))</f>
        <v/>
      </c>
      <c r="AB1482" s="44">
        <f>AB1464*Settings!$C$13*(INDEX(AB$407:AB$418,$D1482)+INDEX(AB$394:AB$405,$D1482)+AB1437*(1+$E1482))</f>
        <v/>
      </c>
      <c r="AC1482" s="44">
        <f>AC1464*Settings!$C$13*(INDEX(AC$407:AC$418,$D1482)+INDEX(AC$394:AC$405,$D1482)+AC1437*(1+$E1482))</f>
        <v/>
      </c>
      <c r="AD1482" s="44">
        <f>AD1464*Settings!$C$13*(INDEX(AD$407:AD$418,$D1482)+INDEX(AD$394:AD$405,$D1482)+AD1437*(1+$E1482))</f>
        <v/>
      </c>
      <c r="AE1482" s="57">
        <f>REVENUE(AE1464,Settings!$C$13,INDEX(AE$407:AE$418,$D1482)+INDEX(AE$394:AE$405,$D1482)+AE1437*(1+$E1482))</f>
        <v/>
      </c>
      <c r="AG1482" s="11">
        <f>CodePrefix&amp;$A1482&amp;IF($C1482="","","."&amp;$C1482&amp;"."&amp;$B1482)&amp;INDEX(VarEnd,MATCH($A1482,VarKey,0))&amp;AG$5</f>
        <v/>
      </c>
      <c r="AH1482" s="43">
        <f>AH1464*Settings!$C$13*(INDEX(AH$407:AH$418,$D1482)+INDEX(AH$394:AH$405,$D1482)+AH1437*(1+$E1482))</f>
        <v/>
      </c>
      <c r="AI1482" s="44">
        <f>AI1464*Settings!$C$13*(INDEX(AI$407:AI$418,$D1482)+INDEX(AI$394:AI$405,$D1482)+AI1437*(1+$E1482))</f>
        <v/>
      </c>
      <c r="AJ1482" s="44">
        <f>AJ1464*Settings!$C$13*(INDEX(AJ$407:AJ$418,$D1482)+INDEX(AJ$394:AJ$405,$D1482)+AJ1437*(1+$E1482))</f>
        <v/>
      </c>
      <c r="AK1482" s="44">
        <f>AK1464*Settings!$C$13*(INDEX(AK$407:AK$418,$D1482)+INDEX(AK$394:AK$405,$D1482)+AK1437*(1+$E1482))</f>
        <v/>
      </c>
      <c r="AL1482" s="44">
        <f>AL1464*Settings!$C$13*(INDEX(AL$407:AL$418,$D1482)+INDEX(AL$394:AL$405,$D1482)+AL1437*(1+$E1482))</f>
        <v/>
      </c>
      <c r="AM1482" s="44">
        <f>AM1464*Settings!$C$13*(INDEX(AM$407:AM$418,$D1482)+INDEX(AM$394:AM$405,$D1482)+AM1437*(1+$E1482))</f>
        <v/>
      </c>
      <c r="AN1482" s="44">
        <f>AN1464*Settings!$C$13*(INDEX(AN$407:AN$418,$D1482)+INDEX(AN$394:AN$405,$D1482)+AN1437*(1+$E1482))</f>
        <v/>
      </c>
      <c r="AO1482" s="44">
        <f>AO1464*Settings!$C$13*(INDEX(AO$407:AO$418,$D1482)+INDEX(AO$394:AO$405,$D1482)+AO1437*(1+$E1482))</f>
        <v/>
      </c>
      <c r="AP1482" s="44">
        <f>AP1464*Settings!$C$13*(INDEX(AP$407:AP$418,$D1482)+INDEX(AP$394:AP$405,$D1482)+AP1437*(1+$E1482))</f>
        <v/>
      </c>
      <c r="AQ1482" s="44">
        <f>AQ1464*Settings!$C$13*(INDEX(AQ$407:AQ$418,$D1482)+INDEX(AQ$394:AQ$405,$D1482)+AQ1437*(1+$E1482))</f>
        <v/>
      </c>
      <c r="AR1482" s="44">
        <f>AR1464*Settings!$C$13*(INDEX(AR$407:AR$418,$D1482)+INDEX(AR$394:AR$405,$D1482)+AR1437*(1+$E1482))</f>
        <v/>
      </c>
      <c r="AS1482" s="44">
        <f>AS1464*Settings!$C$13*(INDEX(AS$407:AS$418,$D1482)+INDEX(AS$394:AS$405,$D1482)+AS1437*(1+$E1482))</f>
        <v/>
      </c>
      <c r="AT1482" s="44">
        <f>AT1464*Settings!$C$13*(INDEX(AT$407:AT$418,$D1482)+INDEX(AT$394:AT$405,$D1482)+AT1437*(1+$E1482))</f>
        <v/>
      </c>
      <c r="AU1482" s="44">
        <f>AU1464*Settings!$C$13*(INDEX(AU$407:AU$418,$D1482)+INDEX(AU$394:AU$405,$D1482)+AU1437*(1+$E1482))</f>
        <v/>
      </c>
      <c r="AV1482" s="44">
        <f>AV1464*Settings!$C$13*(INDEX(AV$407:AV$418,$D1482)+INDEX(AV$394:AV$405,$D1482)+AV1437*(1+$E1482))</f>
        <v/>
      </c>
      <c r="AW1482" s="44">
        <f>AW1464*Settings!$C$13*(INDEX(AW$407:AW$418,$D1482)+INDEX(AW$394:AW$405,$D1482)+AW1437*(1+$E1482))</f>
        <v/>
      </c>
      <c r="AX1482" s="44">
        <f>AX1464*Settings!$C$13*(INDEX(AX$407:AX$418,$D1482)+INDEX(AX$394:AX$405,$D1482)+AX1437*(1+$E1482))</f>
        <v/>
      </c>
      <c r="AY1482" s="44">
        <f>AY1464*Settings!$C$13*(INDEX(AY$407:AY$418,$D1482)+INDEX(AY$394:AY$405,$D1482)+AY1437*(1+$E1482))</f>
        <v/>
      </c>
      <c r="AZ1482" s="44">
        <f>AZ1464*Settings!$C$13*(INDEX(AZ$407:AZ$418,$D1482)+INDEX(AZ$394:AZ$405,$D1482)+AZ1437*(1+$E1482))</f>
        <v/>
      </c>
      <c r="BA1482" s="57">
        <f>REVENUE(BA1464,Settings!$C$13,INDEX(BA$407:BA$418,$D1482)+INDEX(BA$394:BA$405,$D1482)+BA1437*(1+$E1482))</f>
        <v/>
      </c>
    </row>
    <row r="1483" hidden="1" outlineLevel="2">
      <c r="A1483" s="14" t="inlineStr">
        <is>
          <t>rtx</t>
        </is>
      </c>
      <c r="B1483" s="14" t="inlineStr">
        <is>
          <t>gso</t>
        </is>
      </c>
      <c r="C1483" s="14" t="inlineStr">
        <is>
          <t>nav</t>
        </is>
      </c>
      <c r="D1483" s="35">
        <f>INDEX(Inputs!$U$5:$U$132,MATCH($B1483&amp;"|"&amp;$C1483,Inputs!$A$5:$A$132,0))</f>
        <v/>
      </c>
      <c r="E1483" s="35">
        <f>INDEX(Inputs!$V$5:$V$132,MATCH($B1483&amp;"|"&amp;$C1483,Inputs!$A$5:$A$132,0))</f>
        <v/>
      </c>
      <c r="F1483" s="39" t="n"/>
      <c r="G1483" s="39" t="n"/>
      <c r="H1483" s="14">
        <f>INDEX(VarLab,MATCH($A1483,VarKey,0))&amp;INDEX(MemLab,MATCH($C1483&amp;"|"&amp;$B1483,MemKey,0))</f>
        <v/>
      </c>
      <c r="I1483" s="14">
        <f>INDEX(VarUnit,MATCH($A1483,VarKey,0))</f>
        <v/>
      </c>
      <c r="J1483" s="14">
        <f>INDEX(VarSrc,MATCH($A1483,VarKey,0))</f>
        <v/>
      </c>
      <c r="K1483" s="11">
        <f>CodePrefix&amp;$A1483&amp;IF($C1483="","","."&amp;$C1483&amp;"."&amp;$B1483)&amp;INDEX(VarEnd,MATCH($A1483,VarKey,0))&amp;K$5</f>
        <v/>
      </c>
      <c r="L1483" s="43">
        <f>L1465*Settings!$C$13*(INDEX(L$407:L$418,$D1483)+INDEX(L$394:L$405,$D1483)+L1438*(1+$E1483))</f>
        <v/>
      </c>
      <c r="M1483" s="44">
        <f>M1465*Settings!$C$13*(INDEX(M$407:M$418,$D1483)+INDEX(M$394:M$405,$D1483)+M1438*(1+$E1483))</f>
        <v/>
      </c>
      <c r="N1483" s="44">
        <f>N1465*Settings!$C$13*(INDEX(N$407:N$418,$D1483)+INDEX(N$394:N$405,$D1483)+N1438*(1+$E1483))</f>
        <v/>
      </c>
      <c r="O1483" s="44">
        <f>O1465*Settings!$C$13*(INDEX(O$407:O$418,$D1483)+INDEX(O$394:O$405,$D1483)+O1438*(1+$E1483))</f>
        <v/>
      </c>
      <c r="P1483" s="44">
        <f>P1465*Settings!$C$13*(INDEX(P$407:P$418,$D1483)+INDEX(P$394:P$405,$D1483)+P1438*(1+$E1483))</f>
        <v/>
      </c>
      <c r="Q1483" s="44">
        <f>Q1465*Settings!$C$13*(INDEX(Q$407:Q$418,$D1483)+INDEX(Q$394:Q$405,$D1483)+Q1438*(1+$E1483))</f>
        <v/>
      </c>
      <c r="R1483" s="44">
        <f>R1465*Settings!$C$13*(INDEX(R$407:R$418,$D1483)+INDEX(R$394:R$405,$D1483)+R1438*(1+$E1483))</f>
        <v/>
      </c>
      <c r="S1483" s="44">
        <f>S1465*Settings!$C$13*(INDEX(S$407:S$418,$D1483)+INDEX(S$394:S$405,$D1483)+S1438*(1+$E1483))</f>
        <v/>
      </c>
      <c r="T1483" s="44">
        <f>T1465*Settings!$C$13*(INDEX(T$407:T$418,$D1483)+INDEX(T$394:T$405,$D1483)+T1438*(1+$E1483))</f>
        <v/>
      </c>
      <c r="U1483" s="44">
        <f>U1465*Settings!$C$13*(INDEX(U$407:U$418,$D1483)+INDEX(U$394:U$405,$D1483)+U1438*(1+$E1483))</f>
        <v/>
      </c>
      <c r="V1483" s="44">
        <f>V1465*Settings!$C$13*(INDEX(V$407:V$418,$D1483)+INDEX(V$394:V$405,$D1483)+V1438*(1+$E1483))</f>
        <v/>
      </c>
      <c r="W1483" s="44">
        <f>W1465*Settings!$C$13*(INDEX(W$407:W$418,$D1483)+INDEX(W$394:W$405,$D1483)+W1438*(1+$E1483))</f>
        <v/>
      </c>
      <c r="X1483" s="44">
        <f>X1465*Settings!$C$13*(INDEX(X$407:X$418,$D1483)+INDEX(X$394:X$405,$D1483)+X1438*(1+$E1483))</f>
        <v/>
      </c>
      <c r="Y1483" s="44">
        <f>Y1465*Settings!$C$13*(INDEX(Y$407:Y$418,$D1483)+INDEX(Y$394:Y$405,$D1483)+Y1438*(1+$E1483))</f>
        <v/>
      </c>
      <c r="Z1483" s="44">
        <f>Z1465*Settings!$C$13*(INDEX(Z$407:Z$418,$D1483)+INDEX(Z$394:Z$405,$D1483)+Z1438*(1+$E1483))</f>
        <v/>
      </c>
      <c r="AA1483" s="44">
        <f>AA1465*Settings!$C$13*(INDEX(AA$407:AA$418,$D1483)+INDEX(AA$394:AA$405,$D1483)+AA1438*(1+$E1483))</f>
        <v/>
      </c>
      <c r="AB1483" s="44">
        <f>AB1465*Settings!$C$13*(INDEX(AB$407:AB$418,$D1483)+INDEX(AB$394:AB$405,$D1483)+AB1438*(1+$E1483))</f>
        <v/>
      </c>
      <c r="AC1483" s="44">
        <f>AC1465*Settings!$C$13*(INDEX(AC$407:AC$418,$D1483)+INDEX(AC$394:AC$405,$D1483)+AC1438*(1+$E1483))</f>
        <v/>
      </c>
      <c r="AD1483" s="44">
        <f>AD1465*Settings!$C$13*(INDEX(AD$407:AD$418,$D1483)+INDEX(AD$394:AD$405,$D1483)+AD1438*(1+$E1483))</f>
        <v/>
      </c>
      <c r="AE1483" s="57">
        <f>REVENUE(AE1465,Settings!$C$13,INDEX(AE$407:AE$418,$D1483)+INDEX(AE$394:AE$405,$D1483)+AE1438*(1+$E1483))</f>
        <v/>
      </c>
      <c r="AG1483" s="11">
        <f>CodePrefix&amp;$A1483&amp;IF($C1483="","","."&amp;$C1483&amp;"."&amp;$B1483)&amp;INDEX(VarEnd,MATCH($A1483,VarKey,0))&amp;AG$5</f>
        <v/>
      </c>
      <c r="AH1483" s="43">
        <f>AH1465*Settings!$C$13*(INDEX(AH$407:AH$418,$D1483)+INDEX(AH$394:AH$405,$D1483)+AH1438*(1+$E1483))</f>
        <v/>
      </c>
      <c r="AI1483" s="44">
        <f>AI1465*Settings!$C$13*(INDEX(AI$407:AI$418,$D1483)+INDEX(AI$394:AI$405,$D1483)+AI1438*(1+$E1483))</f>
        <v/>
      </c>
      <c r="AJ1483" s="44">
        <f>AJ1465*Settings!$C$13*(INDEX(AJ$407:AJ$418,$D1483)+INDEX(AJ$394:AJ$405,$D1483)+AJ1438*(1+$E1483))</f>
        <v/>
      </c>
      <c r="AK1483" s="44">
        <f>AK1465*Settings!$C$13*(INDEX(AK$407:AK$418,$D1483)+INDEX(AK$394:AK$405,$D1483)+AK1438*(1+$E1483))</f>
        <v/>
      </c>
      <c r="AL1483" s="44">
        <f>AL1465*Settings!$C$13*(INDEX(AL$407:AL$418,$D1483)+INDEX(AL$394:AL$405,$D1483)+AL1438*(1+$E1483))</f>
        <v/>
      </c>
      <c r="AM1483" s="44">
        <f>AM1465*Settings!$C$13*(INDEX(AM$407:AM$418,$D1483)+INDEX(AM$394:AM$405,$D1483)+AM1438*(1+$E1483))</f>
        <v/>
      </c>
      <c r="AN1483" s="44">
        <f>AN1465*Settings!$C$13*(INDEX(AN$407:AN$418,$D1483)+INDEX(AN$394:AN$405,$D1483)+AN1438*(1+$E1483))</f>
        <v/>
      </c>
      <c r="AO1483" s="44">
        <f>AO1465*Settings!$C$13*(INDEX(AO$407:AO$418,$D1483)+INDEX(AO$394:AO$405,$D1483)+AO1438*(1+$E1483))</f>
        <v/>
      </c>
      <c r="AP1483" s="44">
        <f>AP1465*Settings!$C$13*(INDEX(AP$407:AP$418,$D1483)+INDEX(AP$394:AP$405,$D1483)+AP1438*(1+$E1483))</f>
        <v/>
      </c>
      <c r="AQ1483" s="44">
        <f>AQ1465*Settings!$C$13*(INDEX(AQ$407:AQ$418,$D1483)+INDEX(AQ$394:AQ$405,$D1483)+AQ1438*(1+$E1483))</f>
        <v/>
      </c>
      <c r="AR1483" s="44">
        <f>AR1465*Settings!$C$13*(INDEX(AR$407:AR$418,$D1483)+INDEX(AR$394:AR$405,$D1483)+AR1438*(1+$E1483))</f>
        <v/>
      </c>
      <c r="AS1483" s="44">
        <f>AS1465*Settings!$C$13*(INDEX(AS$407:AS$418,$D1483)+INDEX(AS$394:AS$405,$D1483)+AS1438*(1+$E1483))</f>
        <v/>
      </c>
      <c r="AT1483" s="44">
        <f>AT1465*Settings!$C$13*(INDEX(AT$407:AT$418,$D1483)+INDEX(AT$394:AT$405,$D1483)+AT1438*(1+$E1483))</f>
        <v/>
      </c>
      <c r="AU1483" s="44">
        <f>AU1465*Settings!$C$13*(INDEX(AU$407:AU$418,$D1483)+INDEX(AU$394:AU$405,$D1483)+AU1438*(1+$E1483))</f>
        <v/>
      </c>
      <c r="AV1483" s="44">
        <f>AV1465*Settings!$C$13*(INDEX(AV$407:AV$418,$D1483)+INDEX(AV$394:AV$405,$D1483)+AV1438*(1+$E1483))</f>
        <v/>
      </c>
      <c r="AW1483" s="44">
        <f>AW1465*Settings!$C$13*(INDEX(AW$407:AW$418,$D1483)+INDEX(AW$394:AW$405,$D1483)+AW1438*(1+$E1483))</f>
        <v/>
      </c>
      <c r="AX1483" s="44">
        <f>AX1465*Settings!$C$13*(INDEX(AX$407:AX$418,$D1483)+INDEX(AX$394:AX$405,$D1483)+AX1438*(1+$E1483))</f>
        <v/>
      </c>
      <c r="AY1483" s="44">
        <f>AY1465*Settings!$C$13*(INDEX(AY$407:AY$418,$D1483)+INDEX(AY$394:AY$405,$D1483)+AY1438*(1+$E1483))</f>
        <v/>
      </c>
      <c r="AZ1483" s="44">
        <f>AZ1465*Settings!$C$13*(INDEX(AZ$407:AZ$418,$D1483)+INDEX(AZ$394:AZ$405,$D1483)+AZ1438*(1+$E1483))</f>
        <v/>
      </c>
      <c r="BA1483" s="57">
        <f>REVENUE(BA1465,Settings!$C$13,INDEX(BA$407:BA$418,$D1483)+INDEX(BA$394:BA$405,$D1483)+BA1438*(1+$E1483))</f>
        <v/>
      </c>
    </row>
    <row r="1484" hidden="1" outlineLevel="2">
      <c r="A1484" s="14" t="inlineStr">
        <is>
          <t>rtx</t>
        </is>
      </c>
      <c r="B1484" s="14" t="inlineStr">
        <is>
          <t>die</t>
        </is>
      </c>
      <c r="C1484" s="14" t="inlineStr">
        <is>
          <t>nav</t>
        </is>
      </c>
      <c r="D1484" s="35">
        <f>INDEX(Inputs!$U$5:$U$132,MATCH($B1484&amp;"|"&amp;$C1484,Inputs!$A$5:$A$132,0))</f>
        <v/>
      </c>
      <c r="E1484" s="35">
        <f>INDEX(Inputs!$V$5:$V$132,MATCH($B1484&amp;"|"&amp;$C1484,Inputs!$A$5:$A$132,0))</f>
        <v/>
      </c>
      <c r="F1484" s="39" t="n"/>
      <c r="G1484" s="39" t="n"/>
      <c r="H1484" s="14">
        <f>INDEX(VarLab,MATCH($A1484,VarKey,0))&amp;INDEX(MemLab,MATCH($C1484&amp;"|"&amp;$B1484,MemKey,0))</f>
        <v/>
      </c>
      <c r="I1484" s="14">
        <f>INDEX(VarUnit,MATCH($A1484,VarKey,0))</f>
        <v/>
      </c>
      <c r="J1484" s="14">
        <f>INDEX(VarSrc,MATCH($A1484,VarKey,0))</f>
        <v/>
      </c>
      <c r="K1484" s="11">
        <f>CodePrefix&amp;$A1484&amp;IF($C1484="","","."&amp;$C1484&amp;"."&amp;$B1484)&amp;INDEX(VarEnd,MATCH($A1484,VarKey,0))&amp;K$5</f>
        <v/>
      </c>
      <c r="L1484" s="43">
        <f>L1466*Settings!$C$13*(INDEX(L$407:L$418,$D1484)+INDEX(L$394:L$405,$D1484)+L1439*(1+$E1484))</f>
        <v/>
      </c>
      <c r="M1484" s="44">
        <f>M1466*Settings!$C$13*(INDEX(M$407:M$418,$D1484)+INDEX(M$394:M$405,$D1484)+M1439*(1+$E1484))</f>
        <v/>
      </c>
      <c r="N1484" s="44">
        <f>N1466*Settings!$C$13*(INDEX(N$407:N$418,$D1484)+INDEX(N$394:N$405,$D1484)+N1439*(1+$E1484))</f>
        <v/>
      </c>
      <c r="O1484" s="44">
        <f>O1466*Settings!$C$13*(INDEX(O$407:O$418,$D1484)+INDEX(O$394:O$405,$D1484)+O1439*(1+$E1484))</f>
        <v/>
      </c>
      <c r="P1484" s="44">
        <f>P1466*Settings!$C$13*(INDEX(P$407:P$418,$D1484)+INDEX(P$394:P$405,$D1484)+P1439*(1+$E1484))</f>
        <v/>
      </c>
      <c r="Q1484" s="44">
        <f>Q1466*Settings!$C$13*(INDEX(Q$407:Q$418,$D1484)+INDEX(Q$394:Q$405,$D1484)+Q1439*(1+$E1484))</f>
        <v/>
      </c>
      <c r="R1484" s="44">
        <f>R1466*Settings!$C$13*(INDEX(R$407:R$418,$D1484)+INDEX(R$394:R$405,$D1484)+R1439*(1+$E1484))</f>
        <v/>
      </c>
      <c r="S1484" s="44">
        <f>S1466*Settings!$C$13*(INDEX(S$407:S$418,$D1484)+INDEX(S$394:S$405,$D1484)+S1439*(1+$E1484))</f>
        <v/>
      </c>
      <c r="T1484" s="44">
        <f>T1466*Settings!$C$13*(INDEX(T$407:T$418,$D1484)+INDEX(T$394:T$405,$D1484)+T1439*(1+$E1484))</f>
        <v/>
      </c>
      <c r="U1484" s="44">
        <f>U1466*Settings!$C$13*(INDEX(U$407:U$418,$D1484)+INDEX(U$394:U$405,$D1484)+U1439*(1+$E1484))</f>
        <v/>
      </c>
      <c r="V1484" s="44">
        <f>V1466*Settings!$C$13*(INDEX(V$407:V$418,$D1484)+INDEX(V$394:V$405,$D1484)+V1439*(1+$E1484))</f>
        <v/>
      </c>
      <c r="W1484" s="44">
        <f>W1466*Settings!$C$13*(INDEX(W$407:W$418,$D1484)+INDEX(W$394:W$405,$D1484)+W1439*(1+$E1484))</f>
        <v/>
      </c>
      <c r="X1484" s="44">
        <f>X1466*Settings!$C$13*(INDEX(X$407:X$418,$D1484)+INDEX(X$394:X$405,$D1484)+X1439*(1+$E1484))</f>
        <v/>
      </c>
      <c r="Y1484" s="44">
        <f>Y1466*Settings!$C$13*(INDEX(Y$407:Y$418,$D1484)+INDEX(Y$394:Y$405,$D1484)+Y1439*(1+$E1484))</f>
        <v/>
      </c>
      <c r="Z1484" s="44">
        <f>Z1466*Settings!$C$13*(INDEX(Z$407:Z$418,$D1484)+INDEX(Z$394:Z$405,$D1484)+Z1439*(1+$E1484))</f>
        <v/>
      </c>
      <c r="AA1484" s="44">
        <f>AA1466*Settings!$C$13*(INDEX(AA$407:AA$418,$D1484)+INDEX(AA$394:AA$405,$D1484)+AA1439*(1+$E1484))</f>
        <v/>
      </c>
      <c r="AB1484" s="44">
        <f>AB1466*Settings!$C$13*(INDEX(AB$407:AB$418,$D1484)+INDEX(AB$394:AB$405,$D1484)+AB1439*(1+$E1484))</f>
        <v/>
      </c>
      <c r="AC1484" s="44">
        <f>AC1466*Settings!$C$13*(INDEX(AC$407:AC$418,$D1484)+INDEX(AC$394:AC$405,$D1484)+AC1439*(1+$E1484))</f>
        <v/>
      </c>
      <c r="AD1484" s="44">
        <f>AD1466*Settings!$C$13*(INDEX(AD$407:AD$418,$D1484)+INDEX(AD$394:AD$405,$D1484)+AD1439*(1+$E1484))</f>
        <v/>
      </c>
      <c r="AE1484" s="57">
        <f>REVENUE(AE1466,Settings!$C$13,INDEX(AE$407:AE$418,$D1484)+INDEX(AE$394:AE$405,$D1484)+AE1439*(1+$E1484))</f>
        <v/>
      </c>
      <c r="AG1484" s="11">
        <f>CodePrefix&amp;$A1484&amp;IF($C1484="","","."&amp;$C1484&amp;"."&amp;$B1484)&amp;INDEX(VarEnd,MATCH($A1484,VarKey,0))&amp;AG$5</f>
        <v/>
      </c>
      <c r="AH1484" s="43">
        <f>AH1466*Settings!$C$13*(INDEX(AH$407:AH$418,$D1484)+INDEX(AH$394:AH$405,$D1484)+AH1439*(1+$E1484))</f>
        <v/>
      </c>
      <c r="AI1484" s="44">
        <f>AI1466*Settings!$C$13*(INDEX(AI$407:AI$418,$D1484)+INDEX(AI$394:AI$405,$D1484)+AI1439*(1+$E1484))</f>
        <v/>
      </c>
      <c r="AJ1484" s="44">
        <f>AJ1466*Settings!$C$13*(INDEX(AJ$407:AJ$418,$D1484)+INDEX(AJ$394:AJ$405,$D1484)+AJ1439*(1+$E1484))</f>
        <v/>
      </c>
      <c r="AK1484" s="44">
        <f>AK1466*Settings!$C$13*(INDEX(AK$407:AK$418,$D1484)+INDEX(AK$394:AK$405,$D1484)+AK1439*(1+$E1484))</f>
        <v/>
      </c>
      <c r="AL1484" s="44">
        <f>AL1466*Settings!$C$13*(INDEX(AL$407:AL$418,$D1484)+INDEX(AL$394:AL$405,$D1484)+AL1439*(1+$E1484))</f>
        <v/>
      </c>
      <c r="AM1484" s="44">
        <f>AM1466*Settings!$C$13*(INDEX(AM$407:AM$418,$D1484)+INDEX(AM$394:AM$405,$D1484)+AM1439*(1+$E1484))</f>
        <v/>
      </c>
      <c r="AN1484" s="44">
        <f>AN1466*Settings!$C$13*(INDEX(AN$407:AN$418,$D1484)+INDEX(AN$394:AN$405,$D1484)+AN1439*(1+$E1484))</f>
        <v/>
      </c>
      <c r="AO1484" s="44">
        <f>AO1466*Settings!$C$13*(INDEX(AO$407:AO$418,$D1484)+INDEX(AO$394:AO$405,$D1484)+AO1439*(1+$E1484))</f>
        <v/>
      </c>
      <c r="AP1484" s="44">
        <f>AP1466*Settings!$C$13*(INDEX(AP$407:AP$418,$D1484)+INDEX(AP$394:AP$405,$D1484)+AP1439*(1+$E1484))</f>
        <v/>
      </c>
      <c r="AQ1484" s="44">
        <f>AQ1466*Settings!$C$13*(INDEX(AQ$407:AQ$418,$D1484)+INDEX(AQ$394:AQ$405,$D1484)+AQ1439*(1+$E1484))</f>
        <v/>
      </c>
      <c r="AR1484" s="44">
        <f>AR1466*Settings!$C$13*(INDEX(AR$407:AR$418,$D1484)+INDEX(AR$394:AR$405,$D1484)+AR1439*(1+$E1484))</f>
        <v/>
      </c>
      <c r="AS1484" s="44">
        <f>AS1466*Settings!$C$13*(INDEX(AS$407:AS$418,$D1484)+INDEX(AS$394:AS$405,$D1484)+AS1439*(1+$E1484))</f>
        <v/>
      </c>
      <c r="AT1484" s="44">
        <f>AT1466*Settings!$C$13*(INDEX(AT$407:AT$418,$D1484)+INDEX(AT$394:AT$405,$D1484)+AT1439*(1+$E1484))</f>
        <v/>
      </c>
      <c r="AU1484" s="44">
        <f>AU1466*Settings!$C$13*(INDEX(AU$407:AU$418,$D1484)+INDEX(AU$394:AU$405,$D1484)+AU1439*(1+$E1484))</f>
        <v/>
      </c>
      <c r="AV1484" s="44">
        <f>AV1466*Settings!$C$13*(INDEX(AV$407:AV$418,$D1484)+INDEX(AV$394:AV$405,$D1484)+AV1439*(1+$E1484))</f>
        <v/>
      </c>
      <c r="AW1484" s="44">
        <f>AW1466*Settings!$C$13*(INDEX(AW$407:AW$418,$D1484)+INDEX(AW$394:AW$405,$D1484)+AW1439*(1+$E1484))</f>
        <v/>
      </c>
      <c r="AX1484" s="44">
        <f>AX1466*Settings!$C$13*(INDEX(AX$407:AX$418,$D1484)+INDEX(AX$394:AX$405,$D1484)+AX1439*(1+$E1484))</f>
        <v/>
      </c>
      <c r="AY1484" s="44">
        <f>AY1466*Settings!$C$13*(INDEX(AY$407:AY$418,$D1484)+INDEX(AY$394:AY$405,$D1484)+AY1439*(1+$E1484))</f>
        <v/>
      </c>
      <c r="AZ1484" s="44">
        <f>AZ1466*Settings!$C$13*(INDEX(AZ$407:AZ$418,$D1484)+INDEX(AZ$394:AZ$405,$D1484)+AZ1439*(1+$E1484))</f>
        <v/>
      </c>
      <c r="BA1484" s="57">
        <f>REVENUE(BA1466,Settings!$C$13,INDEX(BA$407:BA$418,$D1484)+INDEX(BA$394:BA$405,$D1484)+BA1439*(1+$E1484))</f>
        <v/>
      </c>
    </row>
    <row r="1485" hidden="1" outlineLevel="2">
      <c r="A1485" s="14" t="inlineStr">
        <is>
          <t>rtx</t>
        </is>
      </c>
      <c r="B1485" s="14" t="inlineStr">
        <is>
          <t>lpg</t>
        </is>
      </c>
      <c r="C1485" s="14" t="inlineStr">
        <is>
          <t>nav</t>
        </is>
      </c>
      <c r="D1485" s="35">
        <f>INDEX(Inputs!$U$5:$U$132,MATCH($B1485&amp;"|"&amp;$C1485,Inputs!$A$5:$A$132,0))</f>
        <v/>
      </c>
      <c r="E1485" s="35">
        <f>INDEX(Inputs!$V$5:$V$132,MATCH($B1485&amp;"|"&amp;$C1485,Inputs!$A$5:$A$132,0))</f>
        <v/>
      </c>
      <c r="F1485" s="39" t="n"/>
      <c r="G1485" s="39" t="n"/>
      <c r="H1485" s="14">
        <f>INDEX(VarLab,MATCH($A1485,VarKey,0))&amp;INDEX(MemLab,MATCH($C1485&amp;"|"&amp;$B1485,MemKey,0))</f>
        <v/>
      </c>
      <c r="I1485" s="14">
        <f>INDEX(VarUnit,MATCH($A1485,VarKey,0))</f>
        <v/>
      </c>
      <c r="J1485" s="14">
        <f>INDEX(VarSrc,MATCH($A1485,VarKey,0))</f>
        <v/>
      </c>
      <c r="K1485" s="11">
        <f>CodePrefix&amp;$A1485&amp;IF($C1485="","","."&amp;$C1485&amp;"."&amp;$B1485)&amp;INDEX(VarEnd,MATCH($A1485,VarKey,0))&amp;K$5</f>
        <v/>
      </c>
      <c r="L1485" s="43">
        <f>L1467*Settings!$C$13*(INDEX(L$407:L$418,$D1485)+INDEX(L$394:L$405,$D1485)+L1440*(1+$E1485))</f>
        <v/>
      </c>
      <c r="M1485" s="44">
        <f>M1467*Settings!$C$13*(INDEX(M$407:M$418,$D1485)+INDEX(M$394:M$405,$D1485)+M1440*(1+$E1485))</f>
        <v/>
      </c>
      <c r="N1485" s="44">
        <f>N1467*Settings!$C$13*(INDEX(N$407:N$418,$D1485)+INDEX(N$394:N$405,$D1485)+N1440*(1+$E1485))</f>
        <v/>
      </c>
      <c r="O1485" s="44">
        <f>O1467*Settings!$C$13*(INDEX(O$407:O$418,$D1485)+INDEX(O$394:O$405,$D1485)+O1440*(1+$E1485))</f>
        <v/>
      </c>
      <c r="P1485" s="44">
        <f>P1467*Settings!$C$13*(INDEX(P$407:P$418,$D1485)+INDEX(P$394:P$405,$D1485)+P1440*(1+$E1485))</f>
        <v/>
      </c>
      <c r="Q1485" s="44">
        <f>Q1467*Settings!$C$13*(INDEX(Q$407:Q$418,$D1485)+INDEX(Q$394:Q$405,$D1485)+Q1440*(1+$E1485))</f>
        <v/>
      </c>
      <c r="R1485" s="44">
        <f>R1467*Settings!$C$13*(INDEX(R$407:R$418,$D1485)+INDEX(R$394:R$405,$D1485)+R1440*(1+$E1485))</f>
        <v/>
      </c>
      <c r="S1485" s="44">
        <f>S1467*Settings!$C$13*(INDEX(S$407:S$418,$D1485)+INDEX(S$394:S$405,$D1485)+S1440*(1+$E1485))</f>
        <v/>
      </c>
      <c r="T1485" s="44">
        <f>T1467*Settings!$C$13*(INDEX(T$407:T$418,$D1485)+INDEX(T$394:T$405,$D1485)+T1440*(1+$E1485))</f>
        <v/>
      </c>
      <c r="U1485" s="44">
        <f>U1467*Settings!$C$13*(INDEX(U$407:U$418,$D1485)+INDEX(U$394:U$405,$D1485)+U1440*(1+$E1485))</f>
        <v/>
      </c>
      <c r="V1485" s="44">
        <f>V1467*Settings!$C$13*(INDEX(V$407:V$418,$D1485)+INDEX(V$394:V$405,$D1485)+V1440*(1+$E1485))</f>
        <v/>
      </c>
      <c r="W1485" s="44">
        <f>W1467*Settings!$C$13*(INDEX(W$407:W$418,$D1485)+INDEX(W$394:W$405,$D1485)+W1440*(1+$E1485))</f>
        <v/>
      </c>
      <c r="X1485" s="44">
        <f>X1467*Settings!$C$13*(INDEX(X$407:X$418,$D1485)+INDEX(X$394:X$405,$D1485)+X1440*(1+$E1485))</f>
        <v/>
      </c>
      <c r="Y1485" s="44">
        <f>Y1467*Settings!$C$13*(INDEX(Y$407:Y$418,$D1485)+INDEX(Y$394:Y$405,$D1485)+Y1440*(1+$E1485))</f>
        <v/>
      </c>
      <c r="Z1485" s="44">
        <f>Z1467*Settings!$C$13*(INDEX(Z$407:Z$418,$D1485)+INDEX(Z$394:Z$405,$D1485)+Z1440*(1+$E1485))</f>
        <v/>
      </c>
      <c r="AA1485" s="44">
        <f>AA1467*Settings!$C$13*(INDEX(AA$407:AA$418,$D1485)+INDEX(AA$394:AA$405,$D1485)+AA1440*(1+$E1485))</f>
        <v/>
      </c>
      <c r="AB1485" s="44">
        <f>AB1467*Settings!$C$13*(INDEX(AB$407:AB$418,$D1485)+INDEX(AB$394:AB$405,$D1485)+AB1440*(1+$E1485))</f>
        <v/>
      </c>
      <c r="AC1485" s="44">
        <f>AC1467*Settings!$C$13*(INDEX(AC$407:AC$418,$D1485)+INDEX(AC$394:AC$405,$D1485)+AC1440*(1+$E1485))</f>
        <v/>
      </c>
      <c r="AD1485" s="44">
        <f>AD1467*Settings!$C$13*(INDEX(AD$407:AD$418,$D1485)+INDEX(AD$394:AD$405,$D1485)+AD1440*(1+$E1485))</f>
        <v/>
      </c>
      <c r="AE1485" s="57">
        <f>REVENUE(AE1467,Settings!$C$13,INDEX(AE$407:AE$418,$D1485)+INDEX(AE$394:AE$405,$D1485)+AE1440*(1+$E1485))</f>
        <v/>
      </c>
      <c r="AG1485" s="11">
        <f>CodePrefix&amp;$A1485&amp;IF($C1485="","","."&amp;$C1485&amp;"."&amp;$B1485)&amp;INDEX(VarEnd,MATCH($A1485,VarKey,0))&amp;AG$5</f>
        <v/>
      </c>
      <c r="AH1485" s="43">
        <f>AH1467*Settings!$C$13*(INDEX(AH$407:AH$418,$D1485)+INDEX(AH$394:AH$405,$D1485)+AH1440*(1+$E1485))</f>
        <v/>
      </c>
      <c r="AI1485" s="44">
        <f>AI1467*Settings!$C$13*(INDEX(AI$407:AI$418,$D1485)+INDEX(AI$394:AI$405,$D1485)+AI1440*(1+$E1485))</f>
        <v/>
      </c>
      <c r="AJ1485" s="44">
        <f>AJ1467*Settings!$C$13*(INDEX(AJ$407:AJ$418,$D1485)+INDEX(AJ$394:AJ$405,$D1485)+AJ1440*(1+$E1485))</f>
        <v/>
      </c>
      <c r="AK1485" s="44">
        <f>AK1467*Settings!$C$13*(INDEX(AK$407:AK$418,$D1485)+INDEX(AK$394:AK$405,$D1485)+AK1440*(1+$E1485))</f>
        <v/>
      </c>
      <c r="AL1485" s="44">
        <f>AL1467*Settings!$C$13*(INDEX(AL$407:AL$418,$D1485)+INDEX(AL$394:AL$405,$D1485)+AL1440*(1+$E1485))</f>
        <v/>
      </c>
      <c r="AM1485" s="44">
        <f>AM1467*Settings!$C$13*(INDEX(AM$407:AM$418,$D1485)+INDEX(AM$394:AM$405,$D1485)+AM1440*(1+$E1485))</f>
        <v/>
      </c>
      <c r="AN1485" s="44">
        <f>AN1467*Settings!$C$13*(INDEX(AN$407:AN$418,$D1485)+INDEX(AN$394:AN$405,$D1485)+AN1440*(1+$E1485))</f>
        <v/>
      </c>
      <c r="AO1485" s="44">
        <f>AO1467*Settings!$C$13*(INDEX(AO$407:AO$418,$D1485)+INDEX(AO$394:AO$405,$D1485)+AO1440*(1+$E1485))</f>
        <v/>
      </c>
      <c r="AP1485" s="44">
        <f>AP1467*Settings!$C$13*(INDEX(AP$407:AP$418,$D1485)+INDEX(AP$394:AP$405,$D1485)+AP1440*(1+$E1485))</f>
        <v/>
      </c>
      <c r="AQ1485" s="44">
        <f>AQ1467*Settings!$C$13*(INDEX(AQ$407:AQ$418,$D1485)+INDEX(AQ$394:AQ$405,$D1485)+AQ1440*(1+$E1485))</f>
        <v/>
      </c>
      <c r="AR1485" s="44">
        <f>AR1467*Settings!$C$13*(INDEX(AR$407:AR$418,$D1485)+INDEX(AR$394:AR$405,$D1485)+AR1440*(1+$E1485))</f>
        <v/>
      </c>
      <c r="AS1485" s="44">
        <f>AS1467*Settings!$C$13*(INDEX(AS$407:AS$418,$D1485)+INDEX(AS$394:AS$405,$D1485)+AS1440*(1+$E1485))</f>
        <v/>
      </c>
      <c r="AT1485" s="44">
        <f>AT1467*Settings!$C$13*(INDEX(AT$407:AT$418,$D1485)+INDEX(AT$394:AT$405,$D1485)+AT1440*(1+$E1485))</f>
        <v/>
      </c>
      <c r="AU1485" s="44">
        <f>AU1467*Settings!$C$13*(INDEX(AU$407:AU$418,$D1485)+INDEX(AU$394:AU$405,$D1485)+AU1440*(1+$E1485))</f>
        <v/>
      </c>
      <c r="AV1485" s="44">
        <f>AV1467*Settings!$C$13*(INDEX(AV$407:AV$418,$D1485)+INDEX(AV$394:AV$405,$D1485)+AV1440*(1+$E1485))</f>
        <v/>
      </c>
      <c r="AW1485" s="44">
        <f>AW1467*Settings!$C$13*(INDEX(AW$407:AW$418,$D1485)+INDEX(AW$394:AW$405,$D1485)+AW1440*(1+$E1485))</f>
        <v/>
      </c>
      <c r="AX1485" s="44">
        <f>AX1467*Settings!$C$13*(INDEX(AX$407:AX$418,$D1485)+INDEX(AX$394:AX$405,$D1485)+AX1440*(1+$E1485))</f>
        <v/>
      </c>
      <c r="AY1485" s="44">
        <f>AY1467*Settings!$C$13*(INDEX(AY$407:AY$418,$D1485)+INDEX(AY$394:AY$405,$D1485)+AY1440*(1+$E1485))</f>
        <v/>
      </c>
      <c r="AZ1485" s="44">
        <f>AZ1467*Settings!$C$13*(INDEX(AZ$407:AZ$418,$D1485)+INDEX(AZ$394:AZ$405,$D1485)+AZ1440*(1+$E1485))</f>
        <v/>
      </c>
      <c r="BA1485" s="57">
        <f>REVENUE(BA1467,Settings!$C$13,INDEX(BA$407:BA$418,$D1485)+INDEX(BA$394:BA$405,$D1485)+BA1440*(1+$E1485))</f>
        <v/>
      </c>
    </row>
    <row r="1486" hidden="1" outlineLevel="2">
      <c r="A1486" s="14" t="inlineStr">
        <is>
          <t>rtx</t>
        </is>
      </c>
      <c r="B1486" s="14" t="inlineStr">
        <is>
          <t>ker</t>
        </is>
      </c>
      <c r="C1486" s="14" t="inlineStr">
        <is>
          <t>nav</t>
        </is>
      </c>
      <c r="D1486" s="35">
        <f>INDEX(Inputs!$U$5:$U$132,MATCH($B1486&amp;"|"&amp;$C1486,Inputs!$A$5:$A$132,0))</f>
        <v/>
      </c>
      <c r="E1486" s="35">
        <f>INDEX(Inputs!$V$5:$V$132,MATCH($B1486&amp;"|"&amp;$C1486,Inputs!$A$5:$A$132,0))</f>
        <v/>
      </c>
      <c r="F1486" s="39" t="n"/>
      <c r="G1486" s="39" t="n"/>
      <c r="H1486" s="14">
        <f>INDEX(VarLab,MATCH($A1486,VarKey,0))&amp;INDEX(MemLab,MATCH($C1486&amp;"|"&amp;$B1486,MemKey,0))</f>
        <v/>
      </c>
      <c r="I1486" s="14">
        <f>INDEX(VarUnit,MATCH($A1486,VarKey,0))</f>
        <v/>
      </c>
      <c r="J1486" s="14">
        <f>INDEX(VarSrc,MATCH($A1486,VarKey,0))</f>
        <v/>
      </c>
      <c r="K1486" s="11">
        <f>CodePrefix&amp;$A1486&amp;IF($C1486="","","."&amp;$C1486&amp;"."&amp;$B1486)&amp;INDEX(VarEnd,MATCH($A1486,VarKey,0))&amp;K$5</f>
        <v/>
      </c>
      <c r="L1486" s="43">
        <f>L1468*Settings!$C$13*(INDEX(L$407:L$418,$D1486)+INDEX(L$394:L$405,$D1486)+L1441*(1+$E1486))</f>
        <v/>
      </c>
      <c r="M1486" s="44">
        <f>M1468*Settings!$C$13*(INDEX(M$407:M$418,$D1486)+INDEX(M$394:M$405,$D1486)+M1441*(1+$E1486))</f>
        <v/>
      </c>
      <c r="N1486" s="44">
        <f>N1468*Settings!$C$13*(INDEX(N$407:N$418,$D1486)+INDEX(N$394:N$405,$D1486)+N1441*(1+$E1486))</f>
        <v/>
      </c>
      <c r="O1486" s="44">
        <f>O1468*Settings!$C$13*(INDEX(O$407:O$418,$D1486)+INDEX(O$394:O$405,$D1486)+O1441*(1+$E1486))</f>
        <v/>
      </c>
      <c r="P1486" s="44">
        <f>P1468*Settings!$C$13*(INDEX(P$407:P$418,$D1486)+INDEX(P$394:P$405,$D1486)+P1441*(1+$E1486))</f>
        <v/>
      </c>
      <c r="Q1486" s="44">
        <f>Q1468*Settings!$C$13*(INDEX(Q$407:Q$418,$D1486)+INDEX(Q$394:Q$405,$D1486)+Q1441*(1+$E1486))</f>
        <v/>
      </c>
      <c r="R1486" s="44">
        <f>R1468*Settings!$C$13*(INDEX(R$407:R$418,$D1486)+INDEX(R$394:R$405,$D1486)+R1441*(1+$E1486))</f>
        <v/>
      </c>
      <c r="S1486" s="44">
        <f>S1468*Settings!$C$13*(INDEX(S$407:S$418,$D1486)+INDEX(S$394:S$405,$D1486)+S1441*(1+$E1486))</f>
        <v/>
      </c>
      <c r="T1486" s="44">
        <f>T1468*Settings!$C$13*(INDEX(T$407:T$418,$D1486)+INDEX(T$394:T$405,$D1486)+T1441*(1+$E1486))</f>
        <v/>
      </c>
      <c r="U1486" s="44">
        <f>U1468*Settings!$C$13*(INDEX(U$407:U$418,$D1486)+INDEX(U$394:U$405,$D1486)+U1441*(1+$E1486))</f>
        <v/>
      </c>
      <c r="V1486" s="44">
        <f>V1468*Settings!$C$13*(INDEX(V$407:V$418,$D1486)+INDEX(V$394:V$405,$D1486)+V1441*(1+$E1486))</f>
        <v/>
      </c>
      <c r="W1486" s="44">
        <f>W1468*Settings!$C$13*(INDEX(W$407:W$418,$D1486)+INDEX(W$394:W$405,$D1486)+W1441*(1+$E1486))</f>
        <v/>
      </c>
      <c r="X1486" s="44">
        <f>X1468*Settings!$C$13*(INDEX(X$407:X$418,$D1486)+INDEX(X$394:X$405,$D1486)+X1441*(1+$E1486))</f>
        <v/>
      </c>
      <c r="Y1486" s="44">
        <f>Y1468*Settings!$C$13*(INDEX(Y$407:Y$418,$D1486)+INDEX(Y$394:Y$405,$D1486)+Y1441*(1+$E1486))</f>
        <v/>
      </c>
      <c r="Z1486" s="44">
        <f>Z1468*Settings!$C$13*(INDEX(Z$407:Z$418,$D1486)+INDEX(Z$394:Z$405,$D1486)+Z1441*(1+$E1486))</f>
        <v/>
      </c>
      <c r="AA1486" s="44">
        <f>AA1468*Settings!$C$13*(INDEX(AA$407:AA$418,$D1486)+INDEX(AA$394:AA$405,$D1486)+AA1441*(1+$E1486))</f>
        <v/>
      </c>
      <c r="AB1486" s="44">
        <f>AB1468*Settings!$C$13*(INDEX(AB$407:AB$418,$D1486)+INDEX(AB$394:AB$405,$D1486)+AB1441*(1+$E1486))</f>
        <v/>
      </c>
      <c r="AC1486" s="44">
        <f>AC1468*Settings!$C$13*(INDEX(AC$407:AC$418,$D1486)+INDEX(AC$394:AC$405,$D1486)+AC1441*(1+$E1486))</f>
        <v/>
      </c>
      <c r="AD1486" s="44">
        <f>AD1468*Settings!$C$13*(INDEX(AD$407:AD$418,$D1486)+INDEX(AD$394:AD$405,$D1486)+AD1441*(1+$E1486))</f>
        <v/>
      </c>
      <c r="AE1486" s="57">
        <f>REVENUE(AE1468,Settings!$C$13,INDEX(AE$407:AE$418,$D1486)+INDEX(AE$394:AE$405,$D1486)+AE1441*(1+$E1486))</f>
        <v/>
      </c>
      <c r="AG1486" s="11">
        <f>CodePrefix&amp;$A1486&amp;IF($C1486="","","."&amp;$C1486&amp;"."&amp;$B1486)&amp;INDEX(VarEnd,MATCH($A1486,VarKey,0))&amp;AG$5</f>
        <v/>
      </c>
      <c r="AH1486" s="43">
        <f>AH1468*Settings!$C$13*(INDEX(AH$407:AH$418,$D1486)+INDEX(AH$394:AH$405,$D1486)+AH1441*(1+$E1486))</f>
        <v/>
      </c>
      <c r="AI1486" s="44">
        <f>AI1468*Settings!$C$13*(INDEX(AI$407:AI$418,$D1486)+INDEX(AI$394:AI$405,$D1486)+AI1441*(1+$E1486))</f>
        <v/>
      </c>
      <c r="AJ1486" s="44">
        <f>AJ1468*Settings!$C$13*(INDEX(AJ$407:AJ$418,$D1486)+INDEX(AJ$394:AJ$405,$D1486)+AJ1441*(1+$E1486))</f>
        <v/>
      </c>
      <c r="AK1486" s="44">
        <f>AK1468*Settings!$C$13*(INDEX(AK$407:AK$418,$D1486)+INDEX(AK$394:AK$405,$D1486)+AK1441*(1+$E1486))</f>
        <v/>
      </c>
      <c r="AL1486" s="44">
        <f>AL1468*Settings!$C$13*(INDEX(AL$407:AL$418,$D1486)+INDEX(AL$394:AL$405,$D1486)+AL1441*(1+$E1486))</f>
        <v/>
      </c>
      <c r="AM1486" s="44">
        <f>AM1468*Settings!$C$13*(INDEX(AM$407:AM$418,$D1486)+INDEX(AM$394:AM$405,$D1486)+AM1441*(1+$E1486))</f>
        <v/>
      </c>
      <c r="AN1486" s="44">
        <f>AN1468*Settings!$C$13*(INDEX(AN$407:AN$418,$D1486)+INDEX(AN$394:AN$405,$D1486)+AN1441*(1+$E1486))</f>
        <v/>
      </c>
      <c r="AO1486" s="44">
        <f>AO1468*Settings!$C$13*(INDEX(AO$407:AO$418,$D1486)+INDEX(AO$394:AO$405,$D1486)+AO1441*(1+$E1486))</f>
        <v/>
      </c>
      <c r="AP1486" s="44">
        <f>AP1468*Settings!$C$13*(INDEX(AP$407:AP$418,$D1486)+INDEX(AP$394:AP$405,$D1486)+AP1441*(1+$E1486))</f>
        <v/>
      </c>
      <c r="AQ1486" s="44">
        <f>AQ1468*Settings!$C$13*(INDEX(AQ$407:AQ$418,$D1486)+INDEX(AQ$394:AQ$405,$D1486)+AQ1441*(1+$E1486))</f>
        <v/>
      </c>
      <c r="AR1486" s="44">
        <f>AR1468*Settings!$C$13*(INDEX(AR$407:AR$418,$D1486)+INDEX(AR$394:AR$405,$D1486)+AR1441*(1+$E1486))</f>
        <v/>
      </c>
      <c r="AS1486" s="44">
        <f>AS1468*Settings!$C$13*(INDEX(AS$407:AS$418,$D1486)+INDEX(AS$394:AS$405,$D1486)+AS1441*(1+$E1486))</f>
        <v/>
      </c>
      <c r="AT1486" s="44">
        <f>AT1468*Settings!$C$13*(INDEX(AT$407:AT$418,$D1486)+INDEX(AT$394:AT$405,$D1486)+AT1441*(1+$E1486))</f>
        <v/>
      </c>
      <c r="AU1486" s="44">
        <f>AU1468*Settings!$C$13*(INDEX(AU$407:AU$418,$D1486)+INDEX(AU$394:AU$405,$D1486)+AU1441*(1+$E1486))</f>
        <v/>
      </c>
      <c r="AV1486" s="44">
        <f>AV1468*Settings!$C$13*(INDEX(AV$407:AV$418,$D1486)+INDEX(AV$394:AV$405,$D1486)+AV1441*(1+$E1486))</f>
        <v/>
      </c>
      <c r="AW1486" s="44">
        <f>AW1468*Settings!$C$13*(INDEX(AW$407:AW$418,$D1486)+INDEX(AW$394:AW$405,$D1486)+AW1441*(1+$E1486))</f>
        <v/>
      </c>
      <c r="AX1486" s="44">
        <f>AX1468*Settings!$C$13*(INDEX(AX$407:AX$418,$D1486)+INDEX(AX$394:AX$405,$D1486)+AX1441*(1+$E1486))</f>
        <v/>
      </c>
      <c r="AY1486" s="44">
        <f>AY1468*Settings!$C$13*(INDEX(AY$407:AY$418,$D1486)+INDEX(AY$394:AY$405,$D1486)+AY1441*(1+$E1486))</f>
        <v/>
      </c>
      <c r="AZ1486" s="44">
        <f>AZ1468*Settings!$C$13*(INDEX(AZ$407:AZ$418,$D1486)+INDEX(AZ$394:AZ$405,$D1486)+AZ1441*(1+$E1486))</f>
        <v/>
      </c>
      <c r="BA1486" s="57">
        <f>REVENUE(BA1468,Settings!$C$13,INDEX(BA$407:BA$418,$D1486)+INDEX(BA$394:BA$405,$D1486)+BA1441*(1+$E1486))</f>
        <v/>
      </c>
    </row>
    <row r="1487" hidden="1" outlineLevel="2">
      <c r="A1487" s="14" t="inlineStr">
        <is>
          <t>rtx</t>
        </is>
      </c>
      <c r="B1487" s="14" t="inlineStr">
        <is>
          <t>oop</t>
        </is>
      </c>
      <c r="C1487" s="14" t="inlineStr">
        <is>
          <t>nav</t>
        </is>
      </c>
      <c r="D1487" s="35">
        <f>INDEX(Inputs!$U$5:$U$132,MATCH($B1487&amp;"|"&amp;$C1487,Inputs!$A$5:$A$132,0))</f>
        <v/>
      </c>
      <c r="E1487" s="35">
        <f>INDEX(Inputs!$V$5:$V$132,MATCH($B1487&amp;"|"&amp;$C1487,Inputs!$A$5:$A$132,0))</f>
        <v/>
      </c>
      <c r="F1487" s="39" t="n"/>
      <c r="G1487" s="39" t="n"/>
      <c r="H1487" s="14">
        <f>INDEX(VarLab,MATCH($A1487,VarKey,0))&amp;INDEX(MemLab,MATCH($C1487&amp;"|"&amp;$B1487,MemKey,0))</f>
        <v/>
      </c>
      <c r="I1487" s="14">
        <f>INDEX(VarUnit,MATCH($A1487,VarKey,0))</f>
        <v/>
      </c>
      <c r="J1487" s="14">
        <f>INDEX(VarSrc,MATCH($A1487,VarKey,0))</f>
        <v/>
      </c>
      <c r="K1487" s="11">
        <f>CodePrefix&amp;$A1487&amp;IF($C1487="","","."&amp;$C1487&amp;"."&amp;$B1487)&amp;INDEX(VarEnd,MATCH($A1487,VarKey,0))&amp;K$5</f>
        <v/>
      </c>
      <c r="L1487" s="43">
        <f>L1469*Settings!$C$13*(INDEX(L$407:L$418,$D1487)+INDEX(L$394:L$405,$D1487)+L1442*(1+$E1487))</f>
        <v/>
      </c>
      <c r="M1487" s="44">
        <f>M1469*Settings!$C$13*(INDEX(M$407:M$418,$D1487)+INDEX(M$394:M$405,$D1487)+M1442*(1+$E1487))</f>
        <v/>
      </c>
      <c r="N1487" s="44">
        <f>N1469*Settings!$C$13*(INDEX(N$407:N$418,$D1487)+INDEX(N$394:N$405,$D1487)+N1442*(1+$E1487))</f>
        <v/>
      </c>
      <c r="O1487" s="44">
        <f>O1469*Settings!$C$13*(INDEX(O$407:O$418,$D1487)+INDEX(O$394:O$405,$D1487)+O1442*(1+$E1487))</f>
        <v/>
      </c>
      <c r="P1487" s="44">
        <f>P1469*Settings!$C$13*(INDEX(P$407:P$418,$D1487)+INDEX(P$394:P$405,$D1487)+P1442*(1+$E1487))</f>
        <v/>
      </c>
      <c r="Q1487" s="44">
        <f>Q1469*Settings!$C$13*(INDEX(Q$407:Q$418,$D1487)+INDEX(Q$394:Q$405,$D1487)+Q1442*(1+$E1487))</f>
        <v/>
      </c>
      <c r="R1487" s="44">
        <f>R1469*Settings!$C$13*(INDEX(R$407:R$418,$D1487)+INDEX(R$394:R$405,$D1487)+R1442*(1+$E1487))</f>
        <v/>
      </c>
      <c r="S1487" s="44">
        <f>S1469*Settings!$C$13*(INDEX(S$407:S$418,$D1487)+INDEX(S$394:S$405,$D1487)+S1442*(1+$E1487))</f>
        <v/>
      </c>
      <c r="T1487" s="44">
        <f>T1469*Settings!$C$13*(INDEX(T$407:T$418,$D1487)+INDEX(T$394:T$405,$D1487)+T1442*(1+$E1487))</f>
        <v/>
      </c>
      <c r="U1487" s="44">
        <f>U1469*Settings!$C$13*(INDEX(U$407:U$418,$D1487)+INDEX(U$394:U$405,$D1487)+U1442*(1+$E1487))</f>
        <v/>
      </c>
      <c r="V1487" s="44">
        <f>V1469*Settings!$C$13*(INDEX(V$407:V$418,$D1487)+INDEX(V$394:V$405,$D1487)+V1442*(1+$E1487))</f>
        <v/>
      </c>
      <c r="W1487" s="44">
        <f>W1469*Settings!$C$13*(INDEX(W$407:W$418,$D1487)+INDEX(W$394:W$405,$D1487)+W1442*(1+$E1487))</f>
        <v/>
      </c>
      <c r="X1487" s="44">
        <f>X1469*Settings!$C$13*(INDEX(X$407:X$418,$D1487)+INDEX(X$394:X$405,$D1487)+X1442*(1+$E1487))</f>
        <v/>
      </c>
      <c r="Y1487" s="44">
        <f>Y1469*Settings!$C$13*(INDEX(Y$407:Y$418,$D1487)+INDEX(Y$394:Y$405,$D1487)+Y1442*(1+$E1487))</f>
        <v/>
      </c>
      <c r="Z1487" s="44">
        <f>Z1469*Settings!$C$13*(INDEX(Z$407:Z$418,$D1487)+INDEX(Z$394:Z$405,$D1487)+Z1442*(1+$E1487))</f>
        <v/>
      </c>
      <c r="AA1487" s="44">
        <f>AA1469*Settings!$C$13*(INDEX(AA$407:AA$418,$D1487)+INDEX(AA$394:AA$405,$D1487)+AA1442*(1+$E1487))</f>
        <v/>
      </c>
      <c r="AB1487" s="44">
        <f>AB1469*Settings!$C$13*(INDEX(AB$407:AB$418,$D1487)+INDEX(AB$394:AB$405,$D1487)+AB1442*(1+$E1487))</f>
        <v/>
      </c>
      <c r="AC1487" s="44">
        <f>AC1469*Settings!$C$13*(INDEX(AC$407:AC$418,$D1487)+INDEX(AC$394:AC$405,$D1487)+AC1442*(1+$E1487))</f>
        <v/>
      </c>
      <c r="AD1487" s="44">
        <f>AD1469*Settings!$C$13*(INDEX(AD$407:AD$418,$D1487)+INDEX(AD$394:AD$405,$D1487)+AD1442*(1+$E1487))</f>
        <v/>
      </c>
      <c r="AE1487" s="57">
        <f>REVENUE(AE1469,Settings!$C$13,INDEX(AE$407:AE$418,$D1487)+INDEX(AE$394:AE$405,$D1487)+AE1442*(1+$E1487))</f>
        <v/>
      </c>
      <c r="AG1487" s="11">
        <f>CodePrefix&amp;$A1487&amp;IF($C1487="","","."&amp;$C1487&amp;"."&amp;$B1487)&amp;INDEX(VarEnd,MATCH($A1487,VarKey,0))&amp;AG$5</f>
        <v/>
      </c>
      <c r="AH1487" s="43">
        <f>AH1469*Settings!$C$13*(INDEX(AH$407:AH$418,$D1487)+INDEX(AH$394:AH$405,$D1487)+AH1442*(1+$E1487))</f>
        <v/>
      </c>
      <c r="AI1487" s="44">
        <f>AI1469*Settings!$C$13*(INDEX(AI$407:AI$418,$D1487)+INDEX(AI$394:AI$405,$D1487)+AI1442*(1+$E1487))</f>
        <v/>
      </c>
      <c r="AJ1487" s="44">
        <f>AJ1469*Settings!$C$13*(INDEX(AJ$407:AJ$418,$D1487)+INDEX(AJ$394:AJ$405,$D1487)+AJ1442*(1+$E1487))</f>
        <v/>
      </c>
      <c r="AK1487" s="44">
        <f>AK1469*Settings!$C$13*(INDEX(AK$407:AK$418,$D1487)+INDEX(AK$394:AK$405,$D1487)+AK1442*(1+$E1487))</f>
        <v/>
      </c>
      <c r="AL1487" s="44">
        <f>AL1469*Settings!$C$13*(INDEX(AL$407:AL$418,$D1487)+INDEX(AL$394:AL$405,$D1487)+AL1442*(1+$E1487))</f>
        <v/>
      </c>
      <c r="AM1487" s="44">
        <f>AM1469*Settings!$C$13*(INDEX(AM$407:AM$418,$D1487)+INDEX(AM$394:AM$405,$D1487)+AM1442*(1+$E1487))</f>
        <v/>
      </c>
      <c r="AN1487" s="44">
        <f>AN1469*Settings!$C$13*(INDEX(AN$407:AN$418,$D1487)+INDEX(AN$394:AN$405,$D1487)+AN1442*(1+$E1487))</f>
        <v/>
      </c>
      <c r="AO1487" s="44">
        <f>AO1469*Settings!$C$13*(INDEX(AO$407:AO$418,$D1487)+INDEX(AO$394:AO$405,$D1487)+AO1442*(1+$E1487))</f>
        <v/>
      </c>
      <c r="AP1487" s="44">
        <f>AP1469*Settings!$C$13*(INDEX(AP$407:AP$418,$D1487)+INDEX(AP$394:AP$405,$D1487)+AP1442*(1+$E1487))</f>
        <v/>
      </c>
      <c r="AQ1487" s="44">
        <f>AQ1469*Settings!$C$13*(INDEX(AQ$407:AQ$418,$D1487)+INDEX(AQ$394:AQ$405,$D1487)+AQ1442*(1+$E1487))</f>
        <v/>
      </c>
      <c r="AR1487" s="44">
        <f>AR1469*Settings!$C$13*(INDEX(AR$407:AR$418,$D1487)+INDEX(AR$394:AR$405,$D1487)+AR1442*(1+$E1487))</f>
        <v/>
      </c>
      <c r="AS1487" s="44">
        <f>AS1469*Settings!$C$13*(INDEX(AS$407:AS$418,$D1487)+INDEX(AS$394:AS$405,$D1487)+AS1442*(1+$E1487))</f>
        <v/>
      </c>
      <c r="AT1487" s="44">
        <f>AT1469*Settings!$C$13*(INDEX(AT$407:AT$418,$D1487)+INDEX(AT$394:AT$405,$D1487)+AT1442*(1+$E1487))</f>
        <v/>
      </c>
      <c r="AU1487" s="44">
        <f>AU1469*Settings!$C$13*(INDEX(AU$407:AU$418,$D1487)+INDEX(AU$394:AU$405,$D1487)+AU1442*(1+$E1487))</f>
        <v/>
      </c>
      <c r="AV1487" s="44">
        <f>AV1469*Settings!$C$13*(INDEX(AV$407:AV$418,$D1487)+INDEX(AV$394:AV$405,$D1487)+AV1442*(1+$E1487))</f>
        <v/>
      </c>
      <c r="AW1487" s="44">
        <f>AW1469*Settings!$C$13*(INDEX(AW$407:AW$418,$D1487)+INDEX(AW$394:AW$405,$D1487)+AW1442*(1+$E1487))</f>
        <v/>
      </c>
      <c r="AX1487" s="44">
        <f>AX1469*Settings!$C$13*(INDEX(AX$407:AX$418,$D1487)+INDEX(AX$394:AX$405,$D1487)+AX1442*(1+$E1487))</f>
        <v/>
      </c>
      <c r="AY1487" s="44">
        <f>AY1469*Settings!$C$13*(INDEX(AY$407:AY$418,$D1487)+INDEX(AY$394:AY$405,$D1487)+AY1442*(1+$E1487))</f>
        <v/>
      </c>
      <c r="AZ1487" s="44">
        <f>AZ1469*Settings!$C$13*(INDEX(AZ$407:AZ$418,$D1487)+INDEX(AZ$394:AZ$405,$D1487)+AZ1442*(1+$E1487))</f>
        <v/>
      </c>
      <c r="BA1487" s="57">
        <f>REVENUE(BA1469,Settings!$C$13,INDEX(BA$407:BA$418,$D1487)+INDEX(BA$394:BA$405,$D1487)+BA1442*(1+$E1487))</f>
        <v/>
      </c>
    </row>
    <row r="1488" hidden="1" outlineLevel="2">
      <c r="A1488" s="14" t="inlineStr">
        <is>
          <t>rtx</t>
        </is>
      </c>
      <c r="B1488" s="14" t="inlineStr">
        <is>
          <t>bio</t>
        </is>
      </c>
      <c r="C1488" s="14" t="inlineStr">
        <is>
          <t>nav</t>
        </is>
      </c>
      <c r="D1488" s="35">
        <f>INDEX(Inputs!$U$5:$U$132,MATCH($B1488&amp;"|"&amp;$C1488,Inputs!$A$5:$A$132,0))</f>
        <v/>
      </c>
      <c r="E1488" s="35">
        <f>INDEX(Inputs!$V$5:$V$132,MATCH($B1488&amp;"|"&amp;$C1488,Inputs!$A$5:$A$132,0))</f>
        <v/>
      </c>
      <c r="F1488" s="39" t="n"/>
      <c r="G1488" s="39" t="n"/>
      <c r="H1488" s="14">
        <f>INDEX(VarLab,MATCH($A1488,VarKey,0))&amp;INDEX(MemLab,MATCH($C1488&amp;"|"&amp;$B1488,MemKey,0))</f>
        <v/>
      </c>
      <c r="I1488" s="14">
        <f>INDEX(VarUnit,MATCH($A1488,VarKey,0))</f>
        <v/>
      </c>
      <c r="J1488" s="14">
        <f>INDEX(VarSrc,MATCH($A1488,VarKey,0))</f>
        <v/>
      </c>
      <c r="K1488" s="11">
        <f>CodePrefix&amp;$A1488&amp;IF($C1488="","","."&amp;$C1488&amp;"."&amp;$B1488)&amp;INDEX(VarEnd,MATCH($A1488,VarKey,0))&amp;K$5</f>
        <v/>
      </c>
      <c r="L1488" s="43">
        <f>L1470*Settings!$C$13*(INDEX(L$407:L$418,$D1488)+INDEX(L$394:L$405,$D1488)+L1443*(1+$E1488))</f>
        <v/>
      </c>
      <c r="M1488" s="44">
        <f>M1470*Settings!$C$13*(INDEX(M$407:M$418,$D1488)+INDEX(M$394:M$405,$D1488)+M1443*(1+$E1488))</f>
        <v/>
      </c>
      <c r="N1488" s="44">
        <f>N1470*Settings!$C$13*(INDEX(N$407:N$418,$D1488)+INDEX(N$394:N$405,$D1488)+N1443*(1+$E1488))</f>
        <v/>
      </c>
      <c r="O1488" s="44">
        <f>O1470*Settings!$C$13*(INDEX(O$407:O$418,$D1488)+INDEX(O$394:O$405,$D1488)+O1443*(1+$E1488))</f>
        <v/>
      </c>
      <c r="P1488" s="44">
        <f>P1470*Settings!$C$13*(INDEX(P$407:P$418,$D1488)+INDEX(P$394:P$405,$D1488)+P1443*(1+$E1488))</f>
        <v/>
      </c>
      <c r="Q1488" s="44">
        <f>Q1470*Settings!$C$13*(INDEX(Q$407:Q$418,$D1488)+INDEX(Q$394:Q$405,$D1488)+Q1443*(1+$E1488))</f>
        <v/>
      </c>
      <c r="R1488" s="44">
        <f>R1470*Settings!$C$13*(INDEX(R$407:R$418,$D1488)+INDEX(R$394:R$405,$D1488)+R1443*(1+$E1488))</f>
        <v/>
      </c>
      <c r="S1488" s="44">
        <f>S1470*Settings!$C$13*(INDEX(S$407:S$418,$D1488)+INDEX(S$394:S$405,$D1488)+S1443*(1+$E1488))</f>
        <v/>
      </c>
      <c r="T1488" s="44">
        <f>T1470*Settings!$C$13*(INDEX(T$407:T$418,$D1488)+INDEX(T$394:T$405,$D1488)+T1443*(1+$E1488))</f>
        <v/>
      </c>
      <c r="U1488" s="44">
        <f>U1470*Settings!$C$13*(INDEX(U$407:U$418,$D1488)+INDEX(U$394:U$405,$D1488)+U1443*(1+$E1488))</f>
        <v/>
      </c>
      <c r="V1488" s="44">
        <f>V1470*Settings!$C$13*(INDEX(V$407:V$418,$D1488)+INDEX(V$394:V$405,$D1488)+V1443*(1+$E1488))</f>
        <v/>
      </c>
      <c r="W1488" s="44">
        <f>W1470*Settings!$C$13*(INDEX(W$407:W$418,$D1488)+INDEX(W$394:W$405,$D1488)+W1443*(1+$E1488))</f>
        <v/>
      </c>
      <c r="X1488" s="44">
        <f>X1470*Settings!$C$13*(INDEX(X$407:X$418,$D1488)+INDEX(X$394:X$405,$D1488)+X1443*(1+$E1488))</f>
        <v/>
      </c>
      <c r="Y1488" s="44">
        <f>Y1470*Settings!$C$13*(INDEX(Y$407:Y$418,$D1488)+INDEX(Y$394:Y$405,$D1488)+Y1443*(1+$E1488))</f>
        <v/>
      </c>
      <c r="Z1488" s="44">
        <f>Z1470*Settings!$C$13*(INDEX(Z$407:Z$418,$D1488)+INDEX(Z$394:Z$405,$D1488)+Z1443*(1+$E1488))</f>
        <v/>
      </c>
      <c r="AA1488" s="44">
        <f>AA1470*Settings!$C$13*(INDEX(AA$407:AA$418,$D1488)+INDEX(AA$394:AA$405,$D1488)+AA1443*(1+$E1488))</f>
        <v/>
      </c>
      <c r="AB1488" s="44">
        <f>AB1470*Settings!$C$13*(INDEX(AB$407:AB$418,$D1488)+INDEX(AB$394:AB$405,$D1488)+AB1443*(1+$E1488))</f>
        <v/>
      </c>
      <c r="AC1488" s="44">
        <f>AC1470*Settings!$C$13*(INDEX(AC$407:AC$418,$D1488)+INDEX(AC$394:AC$405,$D1488)+AC1443*(1+$E1488))</f>
        <v/>
      </c>
      <c r="AD1488" s="44">
        <f>AD1470*Settings!$C$13*(INDEX(AD$407:AD$418,$D1488)+INDEX(AD$394:AD$405,$D1488)+AD1443*(1+$E1488))</f>
        <v/>
      </c>
      <c r="AE1488" s="57">
        <f>REVENUE(AE1470,Settings!$C$13,INDEX(AE$407:AE$418,$D1488)+INDEX(AE$394:AE$405,$D1488)+AE1443*(1+$E1488))</f>
        <v/>
      </c>
      <c r="AG1488" s="11">
        <f>CodePrefix&amp;$A1488&amp;IF($C1488="","","."&amp;$C1488&amp;"."&amp;$B1488)&amp;INDEX(VarEnd,MATCH($A1488,VarKey,0))&amp;AG$5</f>
        <v/>
      </c>
      <c r="AH1488" s="43">
        <f>AH1470*Settings!$C$13*(INDEX(AH$407:AH$418,$D1488)+INDEX(AH$394:AH$405,$D1488)+AH1443*(1+$E1488))</f>
        <v/>
      </c>
      <c r="AI1488" s="44">
        <f>AI1470*Settings!$C$13*(INDEX(AI$407:AI$418,$D1488)+INDEX(AI$394:AI$405,$D1488)+AI1443*(1+$E1488))</f>
        <v/>
      </c>
      <c r="AJ1488" s="44">
        <f>AJ1470*Settings!$C$13*(INDEX(AJ$407:AJ$418,$D1488)+INDEX(AJ$394:AJ$405,$D1488)+AJ1443*(1+$E1488))</f>
        <v/>
      </c>
      <c r="AK1488" s="44">
        <f>AK1470*Settings!$C$13*(INDEX(AK$407:AK$418,$D1488)+INDEX(AK$394:AK$405,$D1488)+AK1443*(1+$E1488))</f>
        <v/>
      </c>
      <c r="AL1488" s="44">
        <f>AL1470*Settings!$C$13*(INDEX(AL$407:AL$418,$D1488)+INDEX(AL$394:AL$405,$D1488)+AL1443*(1+$E1488))</f>
        <v/>
      </c>
      <c r="AM1488" s="44">
        <f>AM1470*Settings!$C$13*(INDEX(AM$407:AM$418,$D1488)+INDEX(AM$394:AM$405,$D1488)+AM1443*(1+$E1488))</f>
        <v/>
      </c>
      <c r="AN1488" s="44">
        <f>AN1470*Settings!$C$13*(INDEX(AN$407:AN$418,$D1488)+INDEX(AN$394:AN$405,$D1488)+AN1443*(1+$E1488))</f>
        <v/>
      </c>
      <c r="AO1488" s="44">
        <f>AO1470*Settings!$C$13*(INDEX(AO$407:AO$418,$D1488)+INDEX(AO$394:AO$405,$D1488)+AO1443*(1+$E1488))</f>
        <v/>
      </c>
      <c r="AP1488" s="44">
        <f>AP1470*Settings!$C$13*(INDEX(AP$407:AP$418,$D1488)+INDEX(AP$394:AP$405,$D1488)+AP1443*(1+$E1488))</f>
        <v/>
      </c>
      <c r="AQ1488" s="44">
        <f>AQ1470*Settings!$C$13*(INDEX(AQ$407:AQ$418,$D1488)+INDEX(AQ$394:AQ$405,$D1488)+AQ1443*(1+$E1488))</f>
        <v/>
      </c>
      <c r="AR1488" s="44">
        <f>AR1470*Settings!$C$13*(INDEX(AR$407:AR$418,$D1488)+INDEX(AR$394:AR$405,$D1488)+AR1443*(1+$E1488))</f>
        <v/>
      </c>
      <c r="AS1488" s="44">
        <f>AS1470*Settings!$C$13*(INDEX(AS$407:AS$418,$D1488)+INDEX(AS$394:AS$405,$D1488)+AS1443*(1+$E1488))</f>
        <v/>
      </c>
      <c r="AT1488" s="44">
        <f>AT1470*Settings!$C$13*(INDEX(AT$407:AT$418,$D1488)+INDEX(AT$394:AT$405,$D1488)+AT1443*(1+$E1488))</f>
        <v/>
      </c>
      <c r="AU1488" s="44">
        <f>AU1470*Settings!$C$13*(INDEX(AU$407:AU$418,$D1488)+INDEX(AU$394:AU$405,$D1488)+AU1443*(1+$E1488))</f>
        <v/>
      </c>
      <c r="AV1488" s="44">
        <f>AV1470*Settings!$C$13*(INDEX(AV$407:AV$418,$D1488)+INDEX(AV$394:AV$405,$D1488)+AV1443*(1+$E1488))</f>
        <v/>
      </c>
      <c r="AW1488" s="44">
        <f>AW1470*Settings!$C$13*(INDEX(AW$407:AW$418,$D1488)+INDEX(AW$394:AW$405,$D1488)+AW1443*(1+$E1488))</f>
        <v/>
      </c>
      <c r="AX1488" s="44">
        <f>AX1470*Settings!$C$13*(INDEX(AX$407:AX$418,$D1488)+INDEX(AX$394:AX$405,$D1488)+AX1443*(1+$E1488))</f>
        <v/>
      </c>
      <c r="AY1488" s="44">
        <f>AY1470*Settings!$C$13*(INDEX(AY$407:AY$418,$D1488)+INDEX(AY$394:AY$405,$D1488)+AY1443*(1+$E1488))</f>
        <v/>
      </c>
      <c r="AZ1488" s="44">
        <f>AZ1470*Settings!$C$13*(INDEX(AZ$407:AZ$418,$D1488)+INDEX(AZ$394:AZ$405,$D1488)+AZ1443*(1+$E1488))</f>
        <v/>
      </c>
      <c r="BA1488" s="57">
        <f>REVENUE(BA1470,Settings!$C$13,INDEX(BA$407:BA$418,$D1488)+INDEX(BA$394:BA$405,$D1488)+BA1443*(1+$E1488))</f>
        <v/>
      </c>
    </row>
    <row r="1489" hidden="1" outlineLevel="2"/>
    <row r="1490" hidden="1" outlineLevel="2">
      <c r="A1490" s="14" t="inlineStr">
        <is>
          <t>rsub</t>
        </is>
      </c>
      <c r="B1490" s="14" t="inlineStr">
        <is>
          <t>coa</t>
        </is>
      </c>
      <c r="C1490" s="14" t="inlineStr">
        <is>
          <t>nav</t>
        </is>
      </c>
      <c r="D1490" s="35">
        <f>INDEX(Inputs!$U$5:$U$132,MATCH($B1490&amp;"|"&amp;$C1490,Inputs!$A$5:$A$132,0))</f>
        <v/>
      </c>
      <c r="E1490" s="39" t="n"/>
      <c r="F1490" s="39" t="n"/>
      <c r="G1490" s="39" t="n"/>
      <c r="H1490" s="14">
        <f>INDEX(VarLab,MATCH($A1490,VarKey,0))&amp;INDEX(MemLab,MATCH($C1490&amp;"|"&amp;$B1490,MemKey,0))</f>
        <v/>
      </c>
      <c r="I1490" s="14">
        <f>INDEX(VarUnit,MATCH($A1490,VarKey,0))</f>
        <v/>
      </c>
      <c r="J1490" s="14">
        <f>INDEX(VarSrc,MATCH($A1490,VarKey,0))</f>
        <v/>
      </c>
      <c r="K1490" s="11">
        <f>CodePrefix&amp;$A1490&amp;IF($C1490="","","."&amp;$C1490&amp;"."&amp;$B1490)&amp;INDEX(VarEnd,MATCH($A1490,VarKey,0))&amp;K$5</f>
        <v/>
      </c>
      <c r="L1490" s="43">
        <f>L1463*Settings!$C$13*(INDEX(L$420:L$431,$D1490))</f>
        <v/>
      </c>
      <c r="M1490" s="44">
        <f>M1463*Settings!$C$13*(INDEX(M$420:M$431,$D1490))</f>
        <v/>
      </c>
      <c r="N1490" s="44">
        <f>N1463*Settings!$C$13*(INDEX(N$420:N$431,$D1490))</f>
        <v/>
      </c>
      <c r="O1490" s="44">
        <f>O1463*Settings!$C$13*(INDEX(O$420:O$431,$D1490))</f>
        <v/>
      </c>
      <c r="P1490" s="44">
        <f>P1463*Settings!$C$13*(INDEX(P$420:P$431,$D1490))</f>
        <v/>
      </c>
      <c r="Q1490" s="44">
        <f>Q1463*Settings!$C$13*(INDEX(Q$420:Q$431,$D1490))</f>
        <v/>
      </c>
      <c r="R1490" s="44">
        <f>R1463*Settings!$C$13*(INDEX(R$420:R$431,$D1490))</f>
        <v/>
      </c>
      <c r="S1490" s="44">
        <f>S1463*Settings!$C$13*(INDEX(S$420:S$431,$D1490))</f>
        <v/>
      </c>
      <c r="T1490" s="44">
        <f>T1463*Settings!$C$13*(INDEX(T$420:T$431,$D1490))</f>
        <v/>
      </c>
      <c r="U1490" s="44">
        <f>U1463*Settings!$C$13*(INDEX(U$420:U$431,$D1490))</f>
        <v/>
      </c>
      <c r="V1490" s="44">
        <f>V1463*Settings!$C$13*(INDEX(V$420:V$431,$D1490))</f>
        <v/>
      </c>
      <c r="W1490" s="44">
        <f>W1463*Settings!$C$13*(INDEX(W$420:W$431,$D1490))</f>
        <v/>
      </c>
      <c r="X1490" s="44">
        <f>X1463*Settings!$C$13*(INDEX(X$420:X$431,$D1490))</f>
        <v/>
      </c>
      <c r="Y1490" s="44">
        <f>Y1463*Settings!$C$13*(INDEX(Y$420:Y$431,$D1490))</f>
        <v/>
      </c>
      <c r="Z1490" s="44">
        <f>Z1463*Settings!$C$13*(INDEX(Z$420:Z$431,$D1490))</f>
        <v/>
      </c>
      <c r="AA1490" s="44">
        <f>AA1463*Settings!$C$13*(INDEX(AA$420:AA$431,$D1490))</f>
        <v/>
      </c>
      <c r="AB1490" s="44">
        <f>AB1463*Settings!$C$13*(INDEX(AB$420:AB$431,$D1490))</f>
        <v/>
      </c>
      <c r="AC1490" s="44">
        <f>AC1463*Settings!$C$13*(INDEX(AC$420:AC$431,$D1490))</f>
        <v/>
      </c>
      <c r="AD1490" s="44">
        <f>AD1463*Settings!$C$13*(INDEX(AD$420:AD$431,$D1490))</f>
        <v/>
      </c>
      <c r="AE1490" s="57">
        <f>REVENUE(AE1463,Settings!$C$13,INDEX(AE$420:AE$431,$D1490))</f>
        <v/>
      </c>
      <c r="AG1490" s="11">
        <f>CodePrefix&amp;$A1490&amp;IF($C1490="","","."&amp;$C1490&amp;"."&amp;$B1490)&amp;INDEX(VarEnd,MATCH($A1490,VarKey,0))&amp;AG$5</f>
        <v/>
      </c>
      <c r="AH1490" s="43">
        <f>AH1463*Settings!$C$13*(INDEX(AH$420:AH$431,$D1490))</f>
        <v/>
      </c>
      <c r="AI1490" s="44">
        <f>AI1463*Settings!$C$13*(INDEX(AI$420:AI$431,$D1490))</f>
        <v/>
      </c>
      <c r="AJ1490" s="44">
        <f>AJ1463*Settings!$C$13*(INDEX(AJ$420:AJ$431,$D1490))</f>
        <v/>
      </c>
      <c r="AK1490" s="44">
        <f>AK1463*Settings!$C$13*(INDEX(AK$420:AK$431,$D1490))</f>
        <v/>
      </c>
      <c r="AL1490" s="44">
        <f>AL1463*Settings!$C$13*(INDEX(AL$420:AL$431,$D1490))</f>
        <v/>
      </c>
      <c r="AM1490" s="44">
        <f>AM1463*Settings!$C$13*(INDEX(AM$420:AM$431,$D1490))</f>
        <v/>
      </c>
      <c r="AN1490" s="44">
        <f>AN1463*Settings!$C$13*(INDEX(AN$420:AN$431,$D1490))</f>
        <v/>
      </c>
      <c r="AO1490" s="44">
        <f>AO1463*Settings!$C$13*(INDEX(AO$420:AO$431,$D1490))</f>
        <v/>
      </c>
      <c r="AP1490" s="44">
        <f>AP1463*Settings!$C$13*(INDEX(AP$420:AP$431,$D1490))</f>
        <v/>
      </c>
      <c r="AQ1490" s="44">
        <f>AQ1463*Settings!$C$13*(INDEX(AQ$420:AQ$431,$D1490))</f>
        <v/>
      </c>
      <c r="AR1490" s="44">
        <f>AR1463*Settings!$C$13*(INDEX(AR$420:AR$431,$D1490))</f>
        <v/>
      </c>
      <c r="AS1490" s="44">
        <f>AS1463*Settings!$C$13*(INDEX(AS$420:AS$431,$D1490))</f>
        <v/>
      </c>
      <c r="AT1490" s="44">
        <f>AT1463*Settings!$C$13*(INDEX(AT$420:AT$431,$D1490))</f>
        <v/>
      </c>
      <c r="AU1490" s="44">
        <f>AU1463*Settings!$C$13*(INDEX(AU$420:AU$431,$D1490))</f>
        <v/>
      </c>
      <c r="AV1490" s="44">
        <f>AV1463*Settings!$C$13*(INDEX(AV$420:AV$431,$D1490))</f>
        <v/>
      </c>
      <c r="AW1490" s="44">
        <f>AW1463*Settings!$C$13*(INDEX(AW$420:AW$431,$D1490))</f>
        <v/>
      </c>
      <c r="AX1490" s="44">
        <f>AX1463*Settings!$C$13*(INDEX(AX$420:AX$431,$D1490))</f>
        <v/>
      </c>
      <c r="AY1490" s="44">
        <f>AY1463*Settings!$C$13*(INDEX(AY$420:AY$431,$D1490))</f>
        <v/>
      </c>
      <c r="AZ1490" s="44">
        <f>AZ1463*Settings!$C$13*(INDEX(AZ$420:AZ$431,$D1490))</f>
        <v/>
      </c>
      <c r="BA1490" s="57">
        <f>REVENUE(BA1463,Settings!$C$13,INDEX(BA$420:BA$431,$D1490))</f>
        <v/>
      </c>
    </row>
    <row r="1491" hidden="1" outlineLevel="2">
      <c r="A1491" s="14" t="inlineStr">
        <is>
          <t>rsub</t>
        </is>
      </c>
      <c r="B1491" s="14" t="inlineStr">
        <is>
          <t>nga</t>
        </is>
      </c>
      <c r="C1491" s="14" t="inlineStr">
        <is>
          <t>nav</t>
        </is>
      </c>
      <c r="D1491" s="35">
        <f>INDEX(Inputs!$U$5:$U$132,MATCH($B1491&amp;"|"&amp;$C1491,Inputs!$A$5:$A$132,0))</f>
        <v/>
      </c>
      <c r="E1491" s="39" t="n"/>
      <c r="F1491" s="39" t="n"/>
      <c r="G1491" s="39" t="n"/>
      <c r="H1491" s="14">
        <f>INDEX(VarLab,MATCH($A1491,VarKey,0))&amp;INDEX(MemLab,MATCH($C1491&amp;"|"&amp;$B1491,MemKey,0))</f>
        <v/>
      </c>
      <c r="I1491" s="14">
        <f>INDEX(VarUnit,MATCH($A1491,VarKey,0))</f>
        <v/>
      </c>
      <c r="J1491" s="14">
        <f>INDEX(VarSrc,MATCH($A1491,VarKey,0))</f>
        <v/>
      </c>
      <c r="K1491" s="11">
        <f>CodePrefix&amp;$A1491&amp;IF($C1491="","","."&amp;$C1491&amp;"."&amp;$B1491)&amp;INDEX(VarEnd,MATCH($A1491,VarKey,0))&amp;K$5</f>
        <v/>
      </c>
      <c r="L1491" s="43">
        <f>L1464*Settings!$C$13*(INDEX(L$420:L$431,$D1491))</f>
        <v/>
      </c>
      <c r="M1491" s="44">
        <f>M1464*Settings!$C$13*(INDEX(M$420:M$431,$D1491))</f>
        <v/>
      </c>
      <c r="N1491" s="44">
        <f>N1464*Settings!$C$13*(INDEX(N$420:N$431,$D1491))</f>
        <v/>
      </c>
      <c r="O1491" s="44">
        <f>O1464*Settings!$C$13*(INDEX(O$420:O$431,$D1491))</f>
        <v/>
      </c>
      <c r="P1491" s="44">
        <f>P1464*Settings!$C$13*(INDEX(P$420:P$431,$D1491))</f>
        <v/>
      </c>
      <c r="Q1491" s="44">
        <f>Q1464*Settings!$C$13*(INDEX(Q$420:Q$431,$D1491))</f>
        <v/>
      </c>
      <c r="R1491" s="44">
        <f>R1464*Settings!$C$13*(INDEX(R$420:R$431,$D1491))</f>
        <v/>
      </c>
      <c r="S1491" s="44">
        <f>S1464*Settings!$C$13*(INDEX(S$420:S$431,$D1491))</f>
        <v/>
      </c>
      <c r="T1491" s="44">
        <f>T1464*Settings!$C$13*(INDEX(T$420:T$431,$D1491))</f>
        <v/>
      </c>
      <c r="U1491" s="44">
        <f>U1464*Settings!$C$13*(INDEX(U$420:U$431,$D1491))</f>
        <v/>
      </c>
      <c r="V1491" s="44">
        <f>V1464*Settings!$C$13*(INDEX(V$420:V$431,$D1491))</f>
        <v/>
      </c>
      <c r="W1491" s="44">
        <f>W1464*Settings!$C$13*(INDEX(W$420:W$431,$D1491))</f>
        <v/>
      </c>
      <c r="X1491" s="44">
        <f>X1464*Settings!$C$13*(INDEX(X$420:X$431,$D1491))</f>
        <v/>
      </c>
      <c r="Y1491" s="44">
        <f>Y1464*Settings!$C$13*(INDEX(Y$420:Y$431,$D1491))</f>
        <v/>
      </c>
      <c r="Z1491" s="44">
        <f>Z1464*Settings!$C$13*(INDEX(Z$420:Z$431,$D1491))</f>
        <v/>
      </c>
      <c r="AA1491" s="44">
        <f>AA1464*Settings!$C$13*(INDEX(AA$420:AA$431,$D1491))</f>
        <v/>
      </c>
      <c r="AB1491" s="44">
        <f>AB1464*Settings!$C$13*(INDEX(AB$420:AB$431,$D1491))</f>
        <v/>
      </c>
      <c r="AC1491" s="44">
        <f>AC1464*Settings!$C$13*(INDEX(AC$420:AC$431,$D1491))</f>
        <v/>
      </c>
      <c r="AD1491" s="44">
        <f>AD1464*Settings!$C$13*(INDEX(AD$420:AD$431,$D1491))</f>
        <v/>
      </c>
      <c r="AE1491" s="57">
        <f>REVENUE(AE1464,Settings!$C$13,INDEX(AE$420:AE$431,$D1491))</f>
        <v/>
      </c>
      <c r="AG1491" s="11">
        <f>CodePrefix&amp;$A1491&amp;IF($C1491="","","."&amp;$C1491&amp;"."&amp;$B1491)&amp;INDEX(VarEnd,MATCH($A1491,VarKey,0))&amp;AG$5</f>
        <v/>
      </c>
      <c r="AH1491" s="43">
        <f>AH1464*Settings!$C$13*(INDEX(AH$420:AH$431,$D1491))</f>
        <v/>
      </c>
      <c r="AI1491" s="44">
        <f>AI1464*Settings!$C$13*(INDEX(AI$420:AI$431,$D1491))</f>
        <v/>
      </c>
      <c r="AJ1491" s="44">
        <f>AJ1464*Settings!$C$13*(INDEX(AJ$420:AJ$431,$D1491))</f>
        <v/>
      </c>
      <c r="AK1491" s="44">
        <f>AK1464*Settings!$C$13*(INDEX(AK$420:AK$431,$D1491))</f>
        <v/>
      </c>
      <c r="AL1491" s="44">
        <f>AL1464*Settings!$C$13*(INDEX(AL$420:AL$431,$D1491))</f>
        <v/>
      </c>
      <c r="AM1491" s="44">
        <f>AM1464*Settings!$C$13*(INDEX(AM$420:AM$431,$D1491))</f>
        <v/>
      </c>
      <c r="AN1491" s="44">
        <f>AN1464*Settings!$C$13*(INDEX(AN$420:AN$431,$D1491))</f>
        <v/>
      </c>
      <c r="AO1491" s="44">
        <f>AO1464*Settings!$C$13*(INDEX(AO$420:AO$431,$D1491))</f>
        <v/>
      </c>
      <c r="AP1491" s="44">
        <f>AP1464*Settings!$C$13*(INDEX(AP$420:AP$431,$D1491))</f>
        <v/>
      </c>
      <c r="AQ1491" s="44">
        <f>AQ1464*Settings!$C$13*(INDEX(AQ$420:AQ$431,$D1491))</f>
        <v/>
      </c>
      <c r="AR1491" s="44">
        <f>AR1464*Settings!$C$13*(INDEX(AR$420:AR$431,$D1491))</f>
        <v/>
      </c>
      <c r="AS1491" s="44">
        <f>AS1464*Settings!$C$13*(INDEX(AS$420:AS$431,$D1491))</f>
        <v/>
      </c>
      <c r="AT1491" s="44">
        <f>AT1464*Settings!$C$13*(INDEX(AT$420:AT$431,$D1491))</f>
        <v/>
      </c>
      <c r="AU1491" s="44">
        <f>AU1464*Settings!$C$13*(INDEX(AU$420:AU$431,$D1491))</f>
        <v/>
      </c>
      <c r="AV1491" s="44">
        <f>AV1464*Settings!$C$13*(INDEX(AV$420:AV$431,$D1491))</f>
        <v/>
      </c>
      <c r="AW1491" s="44">
        <f>AW1464*Settings!$C$13*(INDEX(AW$420:AW$431,$D1491))</f>
        <v/>
      </c>
      <c r="AX1491" s="44">
        <f>AX1464*Settings!$C$13*(INDEX(AX$420:AX$431,$D1491))</f>
        <v/>
      </c>
      <c r="AY1491" s="44">
        <f>AY1464*Settings!$C$13*(INDEX(AY$420:AY$431,$D1491))</f>
        <v/>
      </c>
      <c r="AZ1491" s="44">
        <f>AZ1464*Settings!$C$13*(INDEX(AZ$420:AZ$431,$D1491))</f>
        <v/>
      </c>
      <c r="BA1491" s="57">
        <f>REVENUE(BA1464,Settings!$C$13,INDEX(BA$420:BA$431,$D1491))</f>
        <v/>
      </c>
    </row>
    <row r="1492" hidden="1" outlineLevel="2">
      <c r="A1492" s="14" t="inlineStr">
        <is>
          <t>rsub</t>
        </is>
      </c>
      <c r="B1492" s="14" t="inlineStr">
        <is>
          <t>gso</t>
        </is>
      </c>
      <c r="C1492" s="14" t="inlineStr">
        <is>
          <t>nav</t>
        </is>
      </c>
      <c r="D1492" s="35">
        <f>INDEX(Inputs!$U$5:$U$132,MATCH($B1492&amp;"|"&amp;$C1492,Inputs!$A$5:$A$132,0))</f>
        <v/>
      </c>
      <c r="E1492" s="39" t="n"/>
      <c r="F1492" s="39" t="n"/>
      <c r="G1492" s="39" t="n"/>
      <c r="H1492" s="14">
        <f>INDEX(VarLab,MATCH($A1492,VarKey,0))&amp;INDEX(MemLab,MATCH($C1492&amp;"|"&amp;$B1492,MemKey,0))</f>
        <v/>
      </c>
      <c r="I1492" s="14">
        <f>INDEX(VarUnit,MATCH($A1492,VarKey,0))</f>
        <v/>
      </c>
      <c r="J1492" s="14">
        <f>INDEX(VarSrc,MATCH($A1492,VarKey,0))</f>
        <v/>
      </c>
      <c r="K1492" s="11">
        <f>CodePrefix&amp;$A1492&amp;IF($C1492="","","."&amp;$C1492&amp;"."&amp;$B1492)&amp;INDEX(VarEnd,MATCH($A1492,VarKey,0))&amp;K$5</f>
        <v/>
      </c>
      <c r="L1492" s="43">
        <f>L1465*Settings!$C$13*(INDEX(L$420:L$431,$D1492))</f>
        <v/>
      </c>
      <c r="M1492" s="44">
        <f>M1465*Settings!$C$13*(INDEX(M$420:M$431,$D1492))</f>
        <v/>
      </c>
      <c r="N1492" s="44">
        <f>N1465*Settings!$C$13*(INDEX(N$420:N$431,$D1492))</f>
        <v/>
      </c>
      <c r="O1492" s="44">
        <f>O1465*Settings!$C$13*(INDEX(O$420:O$431,$D1492))</f>
        <v/>
      </c>
      <c r="P1492" s="44">
        <f>P1465*Settings!$C$13*(INDEX(P$420:P$431,$D1492))</f>
        <v/>
      </c>
      <c r="Q1492" s="44">
        <f>Q1465*Settings!$C$13*(INDEX(Q$420:Q$431,$D1492))</f>
        <v/>
      </c>
      <c r="R1492" s="44">
        <f>R1465*Settings!$C$13*(INDEX(R$420:R$431,$D1492))</f>
        <v/>
      </c>
      <c r="S1492" s="44">
        <f>S1465*Settings!$C$13*(INDEX(S$420:S$431,$D1492))</f>
        <v/>
      </c>
      <c r="T1492" s="44">
        <f>T1465*Settings!$C$13*(INDEX(T$420:T$431,$D1492))</f>
        <v/>
      </c>
      <c r="U1492" s="44">
        <f>U1465*Settings!$C$13*(INDEX(U$420:U$431,$D1492))</f>
        <v/>
      </c>
      <c r="V1492" s="44">
        <f>V1465*Settings!$C$13*(INDEX(V$420:V$431,$D1492))</f>
        <v/>
      </c>
      <c r="W1492" s="44">
        <f>W1465*Settings!$C$13*(INDEX(W$420:W$431,$D1492))</f>
        <v/>
      </c>
      <c r="X1492" s="44">
        <f>X1465*Settings!$C$13*(INDEX(X$420:X$431,$D1492))</f>
        <v/>
      </c>
      <c r="Y1492" s="44">
        <f>Y1465*Settings!$C$13*(INDEX(Y$420:Y$431,$D1492))</f>
        <v/>
      </c>
      <c r="Z1492" s="44">
        <f>Z1465*Settings!$C$13*(INDEX(Z$420:Z$431,$D1492))</f>
        <v/>
      </c>
      <c r="AA1492" s="44">
        <f>AA1465*Settings!$C$13*(INDEX(AA$420:AA$431,$D1492))</f>
        <v/>
      </c>
      <c r="AB1492" s="44">
        <f>AB1465*Settings!$C$13*(INDEX(AB$420:AB$431,$D1492))</f>
        <v/>
      </c>
      <c r="AC1492" s="44">
        <f>AC1465*Settings!$C$13*(INDEX(AC$420:AC$431,$D1492))</f>
        <v/>
      </c>
      <c r="AD1492" s="44">
        <f>AD1465*Settings!$C$13*(INDEX(AD$420:AD$431,$D1492))</f>
        <v/>
      </c>
      <c r="AE1492" s="57">
        <f>REVENUE(AE1465,Settings!$C$13,INDEX(AE$420:AE$431,$D1492))</f>
        <v/>
      </c>
      <c r="AG1492" s="11">
        <f>CodePrefix&amp;$A1492&amp;IF($C1492="","","."&amp;$C1492&amp;"."&amp;$B1492)&amp;INDEX(VarEnd,MATCH($A1492,VarKey,0))&amp;AG$5</f>
        <v/>
      </c>
      <c r="AH1492" s="43">
        <f>AH1465*Settings!$C$13*(INDEX(AH$420:AH$431,$D1492))</f>
        <v/>
      </c>
      <c r="AI1492" s="44">
        <f>AI1465*Settings!$C$13*(INDEX(AI$420:AI$431,$D1492))</f>
        <v/>
      </c>
      <c r="AJ1492" s="44">
        <f>AJ1465*Settings!$C$13*(INDEX(AJ$420:AJ$431,$D1492))</f>
        <v/>
      </c>
      <c r="AK1492" s="44">
        <f>AK1465*Settings!$C$13*(INDEX(AK$420:AK$431,$D1492))</f>
        <v/>
      </c>
      <c r="AL1492" s="44">
        <f>AL1465*Settings!$C$13*(INDEX(AL$420:AL$431,$D1492))</f>
        <v/>
      </c>
      <c r="AM1492" s="44">
        <f>AM1465*Settings!$C$13*(INDEX(AM$420:AM$431,$D1492))</f>
        <v/>
      </c>
      <c r="AN1492" s="44">
        <f>AN1465*Settings!$C$13*(INDEX(AN$420:AN$431,$D1492))</f>
        <v/>
      </c>
      <c r="AO1492" s="44">
        <f>AO1465*Settings!$C$13*(INDEX(AO$420:AO$431,$D1492))</f>
        <v/>
      </c>
      <c r="AP1492" s="44">
        <f>AP1465*Settings!$C$13*(INDEX(AP$420:AP$431,$D1492))</f>
        <v/>
      </c>
      <c r="AQ1492" s="44">
        <f>AQ1465*Settings!$C$13*(INDEX(AQ$420:AQ$431,$D1492))</f>
        <v/>
      </c>
      <c r="AR1492" s="44">
        <f>AR1465*Settings!$C$13*(INDEX(AR$420:AR$431,$D1492))</f>
        <v/>
      </c>
      <c r="AS1492" s="44">
        <f>AS1465*Settings!$C$13*(INDEX(AS$420:AS$431,$D1492))</f>
        <v/>
      </c>
      <c r="AT1492" s="44">
        <f>AT1465*Settings!$C$13*(INDEX(AT$420:AT$431,$D1492))</f>
        <v/>
      </c>
      <c r="AU1492" s="44">
        <f>AU1465*Settings!$C$13*(INDEX(AU$420:AU$431,$D1492))</f>
        <v/>
      </c>
      <c r="AV1492" s="44">
        <f>AV1465*Settings!$C$13*(INDEX(AV$420:AV$431,$D1492))</f>
        <v/>
      </c>
      <c r="AW1492" s="44">
        <f>AW1465*Settings!$C$13*(INDEX(AW$420:AW$431,$D1492))</f>
        <v/>
      </c>
      <c r="AX1492" s="44">
        <f>AX1465*Settings!$C$13*(INDEX(AX$420:AX$431,$D1492))</f>
        <v/>
      </c>
      <c r="AY1492" s="44">
        <f>AY1465*Settings!$C$13*(INDEX(AY$420:AY$431,$D1492))</f>
        <v/>
      </c>
      <c r="AZ1492" s="44">
        <f>AZ1465*Settings!$C$13*(INDEX(AZ$420:AZ$431,$D1492))</f>
        <v/>
      </c>
      <c r="BA1492" s="57">
        <f>REVENUE(BA1465,Settings!$C$13,INDEX(BA$420:BA$431,$D1492))</f>
        <v/>
      </c>
    </row>
    <row r="1493" hidden="1" outlineLevel="2">
      <c r="A1493" s="14" t="inlineStr">
        <is>
          <t>rsub</t>
        </is>
      </c>
      <c r="B1493" s="14" t="inlineStr">
        <is>
          <t>die</t>
        </is>
      </c>
      <c r="C1493" s="14" t="inlineStr">
        <is>
          <t>nav</t>
        </is>
      </c>
      <c r="D1493" s="35">
        <f>INDEX(Inputs!$U$5:$U$132,MATCH($B1493&amp;"|"&amp;$C1493,Inputs!$A$5:$A$132,0))</f>
        <v/>
      </c>
      <c r="E1493" s="39" t="n"/>
      <c r="F1493" s="39" t="n"/>
      <c r="G1493" s="39" t="n"/>
      <c r="H1493" s="14">
        <f>INDEX(VarLab,MATCH($A1493,VarKey,0))&amp;INDEX(MemLab,MATCH($C1493&amp;"|"&amp;$B1493,MemKey,0))</f>
        <v/>
      </c>
      <c r="I1493" s="14">
        <f>INDEX(VarUnit,MATCH($A1493,VarKey,0))</f>
        <v/>
      </c>
      <c r="J1493" s="14">
        <f>INDEX(VarSrc,MATCH($A1493,VarKey,0))</f>
        <v/>
      </c>
      <c r="K1493" s="11">
        <f>CodePrefix&amp;$A1493&amp;IF($C1493="","","."&amp;$C1493&amp;"."&amp;$B1493)&amp;INDEX(VarEnd,MATCH($A1493,VarKey,0))&amp;K$5</f>
        <v/>
      </c>
      <c r="L1493" s="43">
        <f>L1466*Settings!$C$13*(INDEX(L$420:L$431,$D1493))</f>
        <v/>
      </c>
      <c r="M1493" s="44">
        <f>M1466*Settings!$C$13*(INDEX(M$420:M$431,$D1493))</f>
        <v/>
      </c>
      <c r="N1493" s="44">
        <f>N1466*Settings!$C$13*(INDEX(N$420:N$431,$D1493))</f>
        <v/>
      </c>
      <c r="O1493" s="44">
        <f>O1466*Settings!$C$13*(INDEX(O$420:O$431,$D1493))</f>
        <v/>
      </c>
      <c r="P1493" s="44">
        <f>P1466*Settings!$C$13*(INDEX(P$420:P$431,$D1493))</f>
        <v/>
      </c>
      <c r="Q1493" s="44">
        <f>Q1466*Settings!$C$13*(INDEX(Q$420:Q$431,$D1493))</f>
        <v/>
      </c>
      <c r="R1493" s="44">
        <f>R1466*Settings!$C$13*(INDEX(R$420:R$431,$D1493))</f>
        <v/>
      </c>
      <c r="S1493" s="44">
        <f>S1466*Settings!$C$13*(INDEX(S$420:S$431,$D1493))</f>
        <v/>
      </c>
      <c r="T1493" s="44">
        <f>T1466*Settings!$C$13*(INDEX(T$420:T$431,$D1493))</f>
        <v/>
      </c>
      <c r="U1493" s="44">
        <f>U1466*Settings!$C$13*(INDEX(U$420:U$431,$D1493))</f>
        <v/>
      </c>
      <c r="V1493" s="44">
        <f>V1466*Settings!$C$13*(INDEX(V$420:V$431,$D1493))</f>
        <v/>
      </c>
      <c r="W1493" s="44">
        <f>W1466*Settings!$C$13*(INDEX(W$420:W$431,$D1493))</f>
        <v/>
      </c>
      <c r="X1493" s="44">
        <f>X1466*Settings!$C$13*(INDEX(X$420:X$431,$D1493))</f>
        <v/>
      </c>
      <c r="Y1493" s="44">
        <f>Y1466*Settings!$C$13*(INDEX(Y$420:Y$431,$D1493))</f>
        <v/>
      </c>
      <c r="Z1493" s="44">
        <f>Z1466*Settings!$C$13*(INDEX(Z$420:Z$431,$D1493))</f>
        <v/>
      </c>
      <c r="AA1493" s="44">
        <f>AA1466*Settings!$C$13*(INDEX(AA$420:AA$431,$D1493))</f>
        <v/>
      </c>
      <c r="AB1493" s="44">
        <f>AB1466*Settings!$C$13*(INDEX(AB$420:AB$431,$D1493))</f>
        <v/>
      </c>
      <c r="AC1493" s="44">
        <f>AC1466*Settings!$C$13*(INDEX(AC$420:AC$431,$D1493))</f>
        <v/>
      </c>
      <c r="AD1493" s="44">
        <f>AD1466*Settings!$C$13*(INDEX(AD$420:AD$431,$D1493))</f>
        <v/>
      </c>
      <c r="AE1493" s="57">
        <f>REVENUE(AE1466,Settings!$C$13,INDEX(AE$420:AE$431,$D1493))</f>
        <v/>
      </c>
      <c r="AG1493" s="11">
        <f>CodePrefix&amp;$A1493&amp;IF($C1493="","","."&amp;$C1493&amp;"."&amp;$B1493)&amp;INDEX(VarEnd,MATCH($A1493,VarKey,0))&amp;AG$5</f>
        <v/>
      </c>
      <c r="AH1493" s="43">
        <f>AH1466*Settings!$C$13*(INDEX(AH$420:AH$431,$D1493))</f>
        <v/>
      </c>
      <c r="AI1493" s="44">
        <f>AI1466*Settings!$C$13*(INDEX(AI$420:AI$431,$D1493))</f>
        <v/>
      </c>
      <c r="AJ1493" s="44">
        <f>AJ1466*Settings!$C$13*(INDEX(AJ$420:AJ$431,$D1493))</f>
        <v/>
      </c>
      <c r="AK1493" s="44">
        <f>AK1466*Settings!$C$13*(INDEX(AK$420:AK$431,$D1493))</f>
        <v/>
      </c>
      <c r="AL1493" s="44">
        <f>AL1466*Settings!$C$13*(INDEX(AL$420:AL$431,$D1493))</f>
        <v/>
      </c>
      <c r="AM1493" s="44">
        <f>AM1466*Settings!$C$13*(INDEX(AM$420:AM$431,$D1493))</f>
        <v/>
      </c>
      <c r="AN1493" s="44">
        <f>AN1466*Settings!$C$13*(INDEX(AN$420:AN$431,$D1493))</f>
        <v/>
      </c>
      <c r="AO1493" s="44">
        <f>AO1466*Settings!$C$13*(INDEX(AO$420:AO$431,$D1493))</f>
        <v/>
      </c>
      <c r="AP1493" s="44">
        <f>AP1466*Settings!$C$13*(INDEX(AP$420:AP$431,$D1493))</f>
        <v/>
      </c>
      <c r="AQ1493" s="44">
        <f>AQ1466*Settings!$C$13*(INDEX(AQ$420:AQ$431,$D1493))</f>
        <v/>
      </c>
      <c r="AR1493" s="44">
        <f>AR1466*Settings!$C$13*(INDEX(AR$420:AR$431,$D1493))</f>
        <v/>
      </c>
      <c r="AS1493" s="44">
        <f>AS1466*Settings!$C$13*(INDEX(AS$420:AS$431,$D1493))</f>
        <v/>
      </c>
      <c r="AT1493" s="44">
        <f>AT1466*Settings!$C$13*(INDEX(AT$420:AT$431,$D1493))</f>
        <v/>
      </c>
      <c r="AU1493" s="44">
        <f>AU1466*Settings!$C$13*(INDEX(AU$420:AU$431,$D1493))</f>
        <v/>
      </c>
      <c r="AV1493" s="44">
        <f>AV1466*Settings!$C$13*(INDEX(AV$420:AV$431,$D1493))</f>
        <v/>
      </c>
      <c r="AW1493" s="44">
        <f>AW1466*Settings!$C$13*(INDEX(AW$420:AW$431,$D1493))</f>
        <v/>
      </c>
      <c r="AX1493" s="44">
        <f>AX1466*Settings!$C$13*(INDEX(AX$420:AX$431,$D1493))</f>
        <v/>
      </c>
      <c r="AY1493" s="44">
        <f>AY1466*Settings!$C$13*(INDEX(AY$420:AY$431,$D1493))</f>
        <v/>
      </c>
      <c r="AZ1493" s="44">
        <f>AZ1466*Settings!$C$13*(INDEX(AZ$420:AZ$431,$D1493))</f>
        <v/>
      </c>
      <c r="BA1493" s="57">
        <f>REVENUE(BA1466,Settings!$C$13,INDEX(BA$420:BA$431,$D1493))</f>
        <v/>
      </c>
    </row>
    <row r="1494" hidden="1" outlineLevel="2">
      <c r="A1494" s="14" t="inlineStr">
        <is>
          <t>rsub</t>
        </is>
      </c>
      <c r="B1494" s="14" t="inlineStr">
        <is>
          <t>lpg</t>
        </is>
      </c>
      <c r="C1494" s="14" t="inlineStr">
        <is>
          <t>nav</t>
        </is>
      </c>
      <c r="D1494" s="35">
        <f>INDEX(Inputs!$U$5:$U$132,MATCH($B1494&amp;"|"&amp;$C1494,Inputs!$A$5:$A$132,0))</f>
        <v/>
      </c>
      <c r="E1494" s="39" t="n"/>
      <c r="F1494" s="39" t="n"/>
      <c r="G1494" s="39" t="n"/>
      <c r="H1494" s="14">
        <f>INDEX(VarLab,MATCH($A1494,VarKey,0))&amp;INDEX(MemLab,MATCH($C1494&amp;"|"&amp;$B1494,MemKey,0))</f>
        <v/>
      </c>
      <c r="I1494" s="14">
        <f>INDEX(VarUnit,MATCH($A1494,VarKey,0))</f>
        <v/>
      </c>
      <c r="J1494" s="14">
        <f>INDEX(VarSrc,MATCH($A1494,VarKey,0))</f>
        <v/>
      </c>
      <c r="K1494" s="11">
        <f>CodePrefix&amp;$A1494&amp;IF($C1494="","","."&amp;$C1494&amp;"."&amp;$B1494)&amp;INDEX(VarEnd,MATCH($A1494,VarKey,0))&amp;K$5</f>
        <v/>
      </c>
      <c r="L1494" s="43">
        <f>L1467*Settings!$C$13*(INDEX(L$420:L$431,$D1494))</f>
        <v/>
      </c>
      <c r="M1494" s="44">
        <f>M1467*Settings!$C$13*(INDEX(M$420:M$431,$D1494))</f>
        <v/>
      </c>
      <c r="N1494" s="44">
        <f>N1467*Settings!$C$13*(INDEX(N$420:N$431,$D1494))</f>
        <v/>
      </c>
      <c r="O1494" s="44">
        <f>O1467*Settings!$C$13*(INDEX(O$420:O$431,$D1494))</f>
        <v/>
      </c>
      <c r="P1494" s="44">
        <f>P1467*Settings!$C$13*(INDEX(P$420:P$431,$D1494))</f>
        <v/>
      </c>
      <c r="Q1494" s="44">
        <f>Q1467*Settings!$C$13*(INDEX(Q$420:Q$431,$D1494))</f>
        <v/>
      </c>
      <c r="R1494" s="44">
        <f>R1467*Settings!$C$13*(INDEX(R$420:R$431,$D1494))</f>
        <v/>
      </c>
      <c r="S1494" s="44">
        <f>S1467*Settings!$C$13*(INDEX(S$420:S$431,$D1494))</f>
        <v/>
      </c>
      <c r="T1494" s="44">
        <f>T1467*Settings!$C$13*(INDEX(T$420:T$431,$D1494))</f>
        <v/>
      </c>
      <c r="U1494" s="44">
        <f>U1467*Settings!$C$13*(INDEX(U$420:U$431,$D1494))</f>
        <v/>
      </c>
      <c r="V1494" s="44">
        <f>V1467*Settings!$C$13*(INDEX(V$420:V$431,$D1494))</f>
        <v/>
      </c>
      <c r="W1494" s="44">
        <f>W1467*Settings!$C$13*(INDEX(W$420:W$431,$D1494))</f>
        <v/>
      </c>
      <c r="X1494" s="44">
        <f>X1467*Settings!$C$13*(INDEX(X$420:X$431,$D1494))</f>
        <v/>
      </c>
      <c r="Y1494" s="44">
        <f>Y1467*Settings!$C$13*(INDEX(Y$420:Y$431,$D1494))</f>
        <v/>
      </c>
      <c r="Z1494" s="44">
        <f>Z1467*Settings!$C$13*(INDEX(Z$420:Z$431,$D1494))</f>
        <v/>
      </c>
      <c r="AA1494" s="44">
        <f>AA1467*Settings!$C$13*(INDEX(AA$420:AA$431,$D1494))</f>
        <v/>
      </c>
      <c r="AB1494" s="44">
        <f>AB1467*Settings!$C$13*(INDEX(AB$420:AB$431,$D1494))</f>
        <v/>
      </c>
      <c r="AC1494" s="44">
        <f>AC1467*Settings!$C$13*(INDEX(AC$420:AC$431,$D1494))</f>
        <v/>
      </c>
      <c r="AD1494" s="44">
        <f>AD1467*Settings!$C$13*(INDEX(AD$420:AD$431,$D1494))</f>
        <v/>
      </c>
      <c r="AE1494" s="57">
        <f>REVENUE(AE1467,Settings!$C$13,INDEX(AE$420:AE$431,$D1494))</f>
        <v/>
      </c>
      <c r="AG1494" s="11">
        <f>CodePrefix&amp;$A1494&amp;IF($C1494="","","."&amp;$C1494&amp;"."&amp;$B1494)&amp;INDEX(VarEnd,MATCH($A1494,VarKey,0))&amp;AG$5</f>
        <v/>
      </c>
      <c r="AH1494" s="43">
        <f>AH1467*Settings!$C$13*(INDEX(AH$420:AH$431,$D1494))</f>
        <v/>
      </c>
      <c r="AI1494" s="44">
        <f>AI1467*Settings!$C$13*(INDEX(AI$420:AI$431,$D1494))</f>
        <v/>
      </c>
      <c r="AJ1494" s="44">
        <f>AJ1467*Settings!$C$13*(INDEX(AJ$420:AJ$431,$D1494))</f>
        <v/>
      </c>
      <c r="AK1494" s="44">
        <f>AK1467*Settings!$C$13*(INDEX(AK$420:AK$431,$D1494))</f>
        <v/>
      </c>
      <c r="AL1494" s="44">
        <f>AL1467*Settings!$C$13*(INDEX(AL$420:AL$431,$D1494))</f>
        <v/>
      </c>
      <c r="AM1494" s="44">
        <f>AM1467*Settings!$C$13*(INDEX(AM$420:AM$431,$D1494))</f>
        <v/>
      </c>
      <c r="AN1494" s="44">
        <f>AN1467*Settings!$C$13*(INDEX(AN$420:AN$431,$D1494))</f>
        <v/>
      </c>
      <c r="AO1494" s="44">
        <f>AO1467*Settings!$C$13*(INDEX(AO$420:AO$431,$D1494))</f>
        <v/>
      </c>
      <c r="AP1494" s="44">
        <f>AP1467*Settings!$C$13*(INDEX(AP$420:AP$431,$D1494))</f>
        <v/>
      </c>
      <c r="AQ1494" s="44">
        <f>AQ1467*Settings!$C$13*(INDEX(AQ$420:AQ$431,$D1494))</f>
        <v/>
      </c>
      <c r="AR1494" s="44">
        <f>AR1467*Settings!$C$13*(INDEX(AR$420:AR$431,$D1494))</f>
        <v/>
      </c>
      <c r="AS1494" s="44">
        <f>AS1467*Settings!$C$13*(INDEX(AS$420:AS$431,$D1494))</f>
        <v/>
      </c>
      <c r="AT1494" s="44">
        <f>AT1467*Settings!$C$13*(INDEX(AT$420:AT$431,$D1494))</f>
        <v/>
      </c>
      <c r="AU1494" s="44">
        <f>AU1467*Settings!$C$13*(INDEX(AU$420:AU$431,$D1494))</f>
        <v/>
      </c>
      <c r="AV1494" s="44">
        <f>AV1467*Settings!$C$13*(INDEX(AV$420:AV$431,$D1494))</f>
        <v/>
      </c>
      <c r="AW1494" s="44">
        <f>AW1467*Settings!$C$13*(INDEX(AW$420:AW$431,$D1494))</f>
        <v/>
      </c>
      <c r="AX1494" s="44">
        <f>AX1467*Settings!$C$13*(INDEX(AX$420:AX$431,$D1494))</f>
        <v/>
      </c>
      <c r="AY1494" s="44">
        <f>AY1467*Settings!$C$13*(INDEX(AY$420:AY$431,$D1494))</f>
        <v/>
      </c>
      <c r="AZ1494" s="44">
        <f>AZ1467*Settings!$C$13*(INDEX(AZ$420:AZ$431,$D1494))</f>
        <v/>
      </c>
      <c r="BA1494" s="57">
        <f>REVENUE(BA1467,Settings!$C$13,INDEX(BA$420:BA$431,$D1494))</f>
        <v/>
      </c>
    </row>
    <row r="1495" hidden="1" outlineLevel="2">
      <c r="A1495" s="14" t="inlineStr">
        <is>
          <t>rsub</t>
        </is>
      </c>
      <c r="B1495" s="14" t="inlineStr">
        <is>
          <t>ker</t>
        </is>
      </c>
      <c r="C1495" s="14" t="inlineStr">
        <is>
          <t>nav</t>
        </is>
      </c>
      <c r="D1495" s="35">
        <f>INDEX(Inputs!$U$5:$U$132,MATCH($B1495&amp;"|"&amp;$C1495,Inputs!$A$5:$A$132,0))</f>
        <v/>
      </c>
      <c r="E1495" s="39" t="n"/>
      <c r="F1495" s="39" t="n"/>
      <c r="G1495" s="39" t="n"/>
      <c r="H1495" s="14">
        <f>INDEX(VarLab,MATCH($A1495,VarKey,0))&amp;INDEX(MemLab,MATCH($C1495&amp;"|"&amp;$B1495,MemKey,0))</f>
        <v/>
      </c>
      <c r="I1495" s="14">
        <f>INDEX(VarUnit,MATCH($A1495,VarKey,0))</f>
        <v/>
      </c>
      <c r="J1495" s="14">
        <f>INDEX(VarSrc,MATCH($A1495,VarKey,0))</f>
        <v/>
      </c>
      <c r="K1495" s="11">
        <f>CodePrefix&amp;$A1495&amp;IF($C1495="","","."&amp;$C1495&amp;"."&amp;$B1495)&amp;INDEX(VarEnd,MATCH($A1495,VarKey,0))&amp;K$5</f>
        <v/>
      </c>
      <c r="L1495" s="43">
        <f>L1468*Settings!$C$13*(INDEX(L$420:L$431,$D1495))</f>
        <v/>
      </c>
      <c r="M1495" s="44">
        <f>M1468*Settings!$C$13*(INDEX(M$420:M$431,$D1495))</f>
        <v/>
      </c>
      <c r="N1495" s="44">
        <f>N1468*Settings!$C$13*(INDEX(N$420:N$431,$D1495))</f>
        <v/>
      </c>
      <c r="O1495" s="44">
        <f>O1468*Settings!$C$13*(INDEX(O$420:O$431,$D1495))</f>
        <v/>
      </c>
      <c r="P1495" s="44">
        <f>P1468*Settings!$C$13*(INDEX(P$420:P$431,$D1495))</f>
        <v/>
      </c>
      <c r="Q1495" s="44">
        <f>Q1468*Settings!$C$13*(INDEX(Q$420:Q$431,$D1495))</f>
        <v/>
      </c>
      <c r="R1495" s="44">
        <f>R1468*Settings!$C$13*(INDEX(R$420:R$431,$D1495))</f>
        <v/>
      </c>
      <c r="S1495" s="44">
        <f>S1468*Settings!$C$13*(INDEX(S$420:S$431,$D1495))</f>
        <v/>
      </c>
      <c r="T1495" s="44">
        <f>T1468*Settings!$C$13*(INDEX(T$420:T$431,$D1495))</f>
        <v/>
      </c>
      <c r="U1495" s="44">
        <f>U1468*Settings!$C$13*(INDEX(U$420:U$431,$D1495))</f>
        <v/>
      </c>
      <c r="V1495" s="44">
        <f>V1468*Settings!$C$13*(INDEX(V$420:V$431,$D1495))</f>
        <v/>
      </c>
      <c r="W1495" s="44">
        <f>W1468*Settings!$C$13*(INDEX(W$420:W$431,$D1495))</f>
        <v/>
      </c>
      <c r="X1495" s="44">
        <f>X1468*Settings!$C$13*(INDEX(X$420:X$431,$D1495))</f>
        <v/>
      </c>
      <c r="Y1495" s="44">
        <f>Y1468*Settings!$C$13*(INDEX(Y$420:Y$431,$D1495))</f>
        <v/>
      </c>
      <c r="Z1495" s="44">
        <f>Z1468*Settings!$C$13*(INDEX(Z$420:Z$431,$D1495))</f>
        <v/>
      </c>
      <c r="AA1495" s="44">
        <f>AA1468*Settings!$C$13*(INDEX(AA$420:AA$431,$D1495))</f>
        <v/>
      </c>
      <c r="AB1495" s="44">
        <f>AB1468*Settings!$C$13*(INDEX(AB$420:AB$431,$D1495))</f>
        <v/>
      </c>
      <c r="AC1495" s="44">
        <f>AC1468*Settings!$C$13*(INDEX(AC$420:AC$431,$D1495))</f>
        <v/>
      </c>
      <c r="AD1495" s="44">
        <f>AD1468*Settings!$C$13*(INDEX(AD$420:AD$431,$D1495))</f>
        <v/>
      </c>
      <c r="AE1495" s="57">
        <f>REVENUE(AE1468,Settings!$C$13,INDEX(AE$420:AE$431,$D1495))</f>
        <v/>
      </c>
      <c r="AG1495" s="11">
        <f>CodePrefix&amp;$A1495&amp;IF($C1495="","","."&amp;$C1495&amp;"."&amp;$B1495)&amp;INDEX(VarEnd,MATCH($A1495,VarKey,0))&amp;AG$5</f>
        <v/>
      </c>
      <c r="AH1495" s="43">
        <f>AH1468*Settings!$C$13*(INDEX(AH$420:AH$431,$D1495))</f>
        <v/>
      </c>
      <c r="AI1495" s="44">
        <f>AI1468*Settings!$C$13*(INDEX(AI$420:AI$431,$D1495))</f>
        <v/>
      </c>
      <c r="AJ1495" s="44">
        <f>AJ1468*Settings!$C$13*(INDEX(AJ$420:AJ$431,$D1495))</f>
        <v/>
      </c>
      <c r="AK1495" s="44">
        <f>AK1468*Settings!$C$13*(INDEX(AK$420:AK$431,$D1495))</f>
        <v/>
      </c>
      <c r="AL1495" s="44">
        <f>AL1468*Settings!$C$13*(INDEX(AL$420:AL$431,$D1495))</f>
        <v/>
      </c>
      <c r="AM1495" s="44">
        <f>AM1468*Settings!$C$13*(INDEX(AM$420:AM$431,$D1495))</f>
        <v/>
      </c>
      <c r="AN1495" s="44">
        <f>AN1468*Settings!$C$13*(INDEX(AN$420:AN$431,$D1495))</f>
        <v/>
      </c>
      <c r="AO1495" s="44">
        <f>AO1468*Settings!$C$13*(INDEX(AO$420:AO$431,$D1495))</f>
        <v/>
      </c>
      <c r="AP1495" s="44">
        <f>AP1468*Settings!$C$13*(INDEX(AP$420:AP$431,$D1495))</f>
        <v/>
      </c>
      <c r="AQ1495" s="44">
        <f>AQ1468*Settings!$C$13*(INDEX(AQ$420:AQ$431,$D1495))</f>
        <v/>
      </c>
      <c r="AR1495" s="44">
        <f>AR1468*Settings!$C$13*(INDEX(AR$420:AR$431,$D1495))</f>
        <v/>
      </c>
      <c r="AS1495" s="44">
        <f>AS1468*Settings!$C$13*(INDEX(AS$420:AS$431,$D1495))</f>
        <v/>
      </c>
      <c r="AT1495" s="44">
        <f>AT1468*Settings!$C$13*(INDEX(AT$420:AT$431,$D1495))</f>
        <v/>
      </c>
      <c r="AU1495" s="44">
        <f>AU1468*Settings!$C$13*(INDEX(AU$420:AU$431,$D1495))</f>
        <v/>
      </c>
      <c r="AV1495" s="44">
        <f>AV1468*Settings!$C$13*(INDEX(AV$420:AV$431,$D1495))</f>
        <v/>
      </c>
      <c r="AW1495" s="44">
        <f>AW1468*Settings!$C$13*(INDEX(AW$420:AW$431,$D1495))</f>
        <v/>
      </c>
      <c r="AX1495" s="44">
        <f>AX1468*Settings!$C$13*(INDEX(AX$420:AX$431,$D1495))</f>
        <v/>
      </c>
      <c r="AY1495" s="44">
        <f>AY1468*Settings!$C$13*(INDEX(AY$420:AY$431,$D1495))</f>
        <v/>
      </c>
      <c r="AZ1495" s="44">
        <f>AZ1468*Settings!$C$13*(INDEX(AZ$420:AZ$431,$D1495))</f>
        <v/>
      </c>
      <c r="BA1495" s="57">
        <f>REVENUE(BA1468,Settings!$C$13,INDEX(BA$420:BA$431,$D1495))</f>
        <v/>
      </c>
    </row>
    <row r="1496" hidden="1" outlineLevel="2">
      <c r="A1496" s="14" t="inlineStr">
        <is>
          <t>rsub</t>
        </is>
      </c>
      <c r="B1496" s="14" t="inlineStr">
        <is>
          <t>oop</t>
        </is>
      </c>
      <c r="C1496" s="14" t="inlineStr">
        <is>
          <t>nav</t>
        </is>
      </c>
      <c r="D1496" s="35">
        <f>INDEX(Inputs!$U$5:$U$132,MATCH($B1496&amp;"|"&amp;$C1496,Inputs!$A$5:$A$132,0))</f>
        <v/>
      </c>
      <c r="E1496" s="39" t="n"/>
      <c r="F1496" s="39" t="n"/>
      <c r="G1496" s="39" t="n"/>
      <c r="H1496" s="14">
        <f>INDEX(VarLab,MATCH($A1496,VarKey,0))&amp;INDEX(MemLab,MATCH($C1496&amp;"|"&amp;$B1496,MemKey,0))</f>
        <v/>
      </c>
      <c r="I1496" s="14">
        <f>INDEX(VarUnit,MATCH($A1496,VarKey,0))</f>
        <v/>
      </c>
      <c r="J1496" s="14">
        <f>INDEX(VarSrc,MATCH($A1496,VarKey,0))</f>
        <v/>
      </c>
      <c r="K1496" s="11">
        <f>CodePrefix&amp;$A1496&amp;IF($C1496="","","."&amp;$C1496&amp;"."&amp;$B1496)&amp;INDEX(VarEnd,MATCH($A1496,VarKey,0))&amp;K$5</f>
        <v/>
      </c>
      <c r="L1496" s="43">
        <f>L1469*Settings!$C$13*(INDEX(L$420:L$431,$D1496))</f>
        <v/>
      </c>
      <c r="M1496" s="44">
        <f>M1469*Settings!$C$13*(INDEX(M$420:M$431,$D1496))</f>
        <v/>
      </c>
      <c r="N1496" s="44">
        <f>N1469*Settings!$C$13*(INDEX(N$420:N$431,$D1496))</f>
        <v/>
      </c>
      <c r="O1496" s="44">
        <f>O1469*Settings!$C$13*(INDEX(O$420:O$431,$D1496))</f>
        <v/>
      </c>
      <c r="P1496" s="44">
        <f>P1469*Settings!$C$13*(INDEX(P$420:P$431,$D1496))</f>
        <v/>
      </c>
      <c r="Q1496" s="44">
        <f>Q1469*Settings!$C$13*(INDEX(Q$420:Q$431,$D1496))</f>
        <v/>
      </c>
      <c r="R1496" s="44">
        <f>R1469*Settings!$C$13*(INDEX(R$420:R$431,$D1496))</f>
        <v/>
      </c>
      <c r="S1496" s="44">
        <f>S1469*Settings!$C$13*(INDEX(S$420:S$431,$D1496))</f>
        <v/>
      </c>
      <c r="T1496" s="44">
        <f>T1469*Settings!$C$13*(INDEX(T$420:T$431,$D1496))</f>
        <v/>
      </c>
      <c r="U1496" s="44">
        <f>U1469*Settings!$C$13*(INDEX(U$420:U$431,$D1496))</f>
        <v/>
      </c>
      <c r="V1496" s="44">
        <f>V1469*Settings!$C$13*(INDEX(V$420:V$431,$D1496))</f>
        <v/>
      </c>
      <c r="W1496" s="44">
        <f>W1469*Settings!$C$13*(INDEX(W$420:W$431,$D1496))</f>
        <v/>
      </c>
      <c r="X1496" s="44">
        <f>X1469*Settings!$C$13*(INDEX(X$420:X$431,$D1496))</f>
        <v/>
      </c>
      <c r="Y1496" s="44">
        <f>Y1469*Settings!$C$13*(INDEX(Y$420:Y$431,$D1496))</f>
        <v/>
      </c>
      <c r="Z1496" s="44">
        <f>Z1469*Settings!$C$13*(INDEX(Z$420:Z$431,$D1496))</f>
        <v/>
      </c>
      <c r="AA1496" s="44">
        <f>AA1469*Settings!$C$13*(INDEX(AA$420:AA$431,$D1496))</f>
        <v/>
      </c>
      <c r="AB1496" s="44">
        <f>AB1469*Settings!$C$13*(INDEX(AB$420:AB$431,$D1496))</f>
        <v/>
      </c>
      <c r="AC1496" s="44">
        <f>AC1469*Settings!$C$13*(INDEX(AC$420:AC$431,$D1496))</f>
        <v/>
      </c>
      <c r="AD1496" s="44">
        <f>AD1469*Settings!$C$13*(INDEX(AD$420:AD$431,$D1496))</f>
        <v/>
      </c>
      <c r="AE1496" s="57">
        <f>REVENUE(AE1469,Settings!$C$13,INDEX(AE$420:AE$431,$D1496))</f>
        <v/>
      </c>
      <c r="AG1496" s="11">
        <f>CodePrefix&amp;$A1496&amp;IF($C1496="","","."&amp;$C1496&amp;"."&amp;$B1496)&amp;INDEX(VarEnd,MATCH($A1496,VarKey,0))&amp;AG$5</f>
        <v/>
      </c>
      <c r="AH1496" s="43">
        <f>AH1469*Settings!$C$13*(INDEX(AH$420:AH$431,$D1496))</f>
        <v/>
      </c>
      <c r="AI1496" s="44">
        <f>AI1469*Settings!$C$13*(INDEX(AI$420:AI$431,$D1496))</f>
        <v/>
      </c>
      <c r="AJ1496" s="44">
        <f>AJ1469*Settings!$C$13*(INDEX(AJ$420:AJ$431,$D1496))</f>
        <v/>
      </c>
      <c r="AK1496" s="44">
        <f>AK1469*Settings!$C$13*(INDEX(AK$420:AK$431,$D1496))</f>
        <v/>
      </c>
      <c r="AL1496" s="44">
        <f>AL1469*Settings!$C$13*(INDEX(AL$420:AL$431,$D1496))</f>
        <v/>
      </c>
      <c r="AM1496" s="44">
        <f>AM1469*Settings!$C$13*(INDEX(AM$420:AM$431,$D1496))</f>
        <v/>
      </c>
      <c r="AN1496" s="44">
        <f>AN1469*Settings!$C$13*(INDEX(AN$420:AN$431,$D1496))</f>
        <v/>
      </c>
      <c r="AO1496" s="44">
        <f>AO1469*Settings!$C$13*(INDEX(AO$420:AO$431,$D1496))</f>
        <v/>
      </c>
      <c r="AP1496" s="44">
        <f>AP1469*Settings!$C$13*(INDEX(AP$420:AP$431,$D1496))</f>
        <v/>
      </c>
      <c r="AQ1496" s="44">
        <f>AQ1469*Settings!$C$13*(INDEX(AQ$420:AQ$431,$D1496))</f>
        <v/>
      </c>
      <c r="AR1496" s="44">
        <f>AR1469*Settings!$C$13*(INDEX(AR$420:AR$431,$D1496))</f>
        <v/>
      </c>
      <c r="AS1496" s="44">
        <f>AS1469*Settings!$C$13*(INDEX(AS$420:AS$431,$D1496))</f>
        <v/>
      </c>
      <c r="AT1496" s="44">
        <f>AT1469*Settings!$C$13*(INDEX(AT$420:AT$431,$D1496))</f>
        <v/>
      </c>
      <c r="AU1496" s="44">
        <f>AU1469*Settings!$C$13*(INDEX(AU$420:AU$431,$D1496))</f>
        <v/>
      </c>
      <c r="AV1496" s="44">
        <f>AV1469*Settings!$C$13*(INDEX(AV$420:AV$431,$D1496))</f>
        <v/>
      </c>
      <c r="AW1496" s="44">
        <f>AW1469*Settings!$C$13*(INDEX(AW$420:AW$431,$D1496))</f>
        <v/>
      </c>
      <c r="AX1496" s="44">
        <f>AX1469*Settings!$C$13*(INDEX(AX$420:AX$431,$D1496))</f>
        <v/>
      </c>
      <c r="AY1496" s="44">
        <f>AY1469*Settings!$C$13*(INDEX(AY$420:AY$431,$D1496))</f>
        <v/>
      </c>
      <c r="AZ1496" s="44">
        <f>AZ1469*Settings!$C$13*(INDEX(AZ$420:AZ$431,$D1496))</f>
        <v/>
      </c>
      <c r="BA1496" s="57">
        <f>REVENUE(BA1469,Settings!$C$13,INDEX(BA$420:BA$431,$D1496))</f>
        <v/>
      </c>
    </row>
    <row r="1497" hidden="1" outlineLevel="2">
      <c r="A1497" s="14" t="inlineStr">
        <is>
          <t>rsub</t>
        </is>
      </c>
      <c r="B1497" s="14" t="inlineStr">
        <is>
          <t>bio</t>
        </is>
      </c>
      <c r="C1497" s="14" t="inlineStr">
        <is>
          <t>nav</t>
        </is>
      </c>
      <c r="D1497" s="35">
        <f>INDEX(Inputs!$U$5:$U$132,MATCH($B1497&amp;"|"&amp;$C1497,Inputs!$A$5:$A$132,0))</f>
        <v/>
      </c>
      <c r="E1497" s="39" t="n"/>
      <c r="F1497" s="39" t="n"/>
      <c r="G1497" s="39" t="n"/>
      <c r="H1497" s="14">
        <f>INDEX(VarLab,MATCH($A1497,VarKey,0))&amp;INDEX(MemLab,MATCH($C1497&amp;"|"&amp;$B1497,MemKey,0))</f>
        <v/>
      </c>
      <c r="I1497" s="14">
        <f>INDEX(VarUnit,MATCH($A1497,VarKey,0))</f>
        <v/>
      </c>
      <c r="J1497" s="14">
        <f>INDEX(VarSrc,MATCH($A1497,VarKey,0))</f>
        <v/>
      </c>
      <c r="K1497" s="11">
        <f>CodePrefix&amp;$A1497&amp;IF($C1497="","","."&amp;$C1497&amp;"."&amp;$B1497)&amp;INDEX(VarEnd,MATCH($A1497,VarKey,0))&amp;K$5</f>
        <v/>
      </c>
      <c r="L1497" s="43">
        <f>L1470*Settings!$C$13*(INDEX(L$420:L$431,$D1497))</f>
        <v/>
      </c>
      <c r="M1497" s="44">
        <f>M1470*Settings!$C$13*(INDEX(M$420:M$431,$D1497))</f>
        <v/>
      </c>
      <c r="N1497" s="44">
        <f>N1470*Settings!$C$13*(INDEX(N$420:N$431,$D1497))</f>
        <v/>
      </c>
      <c r="O1497" s="44">
        <f>O1470*Settings!$C$13*(INDEX(O$420:O$431,$D1497))</f>
        <v/>
      </c>
      <c r="P1497" s="44">
        <f>P1470*Settings!$C$13*(INDEX(P$420:P$431,$D1497))</f>
        <v/>
      </c>
      <c r="Q1497" s="44">
        <f>Q1470*Settings!$C$13*(INDEX(Q$420:Q$431,$D1497))</f>
        <v/>
      </c>
      <c r="R1497" s="44">
        <f>R1470*Settings!$C$13*(INDEX(R$420:R$431,$D1497))</f>
        <v/>
      </c>
      <c r="S1497" s="44">
        <f>S1470*Settings!$C$13*(INDEX(S$420:S$431,$D1497))</f>
        <v/>
      </c>
      <c r="T1497" s="44">
        <f>T1470*Settings!$C$13*(INDEX(T$420:T$431,$D1497))</f>
        <v/>
      </c>
      <c r="U1497" s="44">
        <f>U1470*Settings!$C$13*(INDEX(U$420:U$431,$D1497))</f>
        <v/>
      </c>
      <c r="V1497" s="44">
        <f>V1470*Settings!$C$13*(INDEX(V$420:V$431,$D1497))</f>
        <v/>
      </c>
      <c r="W1497" s="44">
        <f>W1470*Settings!$C$13*(INDEX(W$420:W$431,$D1497))</f>
        <v/>
      </c>
      <c r="X1497" s="44">
        <f>X1470*Settings!$C$13*(INDEX(X$420:X$431,$D1497))</f>
        <v/>
      </c>
      <c r="Y1497" s="44">
        <f>Y1470*Settings!$C$13*(INDEX(Y$420:Y$431,$D1497))</f>
        <v/>
      </c>
      <c r="Z1497" s="44">
        <f>Z1470*Settings!$C$13*(INDEX(Z$420:Z$431,$D1497))</f>
        <v/>
      </c>
      <c r="AA1497" s="44">
        <f>AA1470*Settings!$C$13*(INDEX(AA$420:AA$431,$D1497))</f>
        <v/>
      </c>
      <c r="AB1497" s="44">
        <f>AB1470*Settings!$C$13*(INDEX(AB$420:AB$431,$D1497))</f>
        <v/>
      </c>
      <c r="AC1497" s="44">
        <f>AC1470*Settings!$C$13*(INDEX(AC$420:AC$431,$D1497))</f>
        <v/>
      </c>
      <c r="AD1497" s="44">
        <f>AD1470*Settings!$C$13*(INDEX(AD$420:AD$431,$D1497))</f>
        <v/>
      </c>
      <c r="AE1497" s="57">
        <f>REVENUE(AE1470,Settings!$C$13,INDEX(AE$420:AE$431,$D1497))</f>
        <v/>
      </c>
      <c r="AG1497" s="11">
        <f>CodePrefix&amp;$A1497&amp;IF($C1497="","","."&amp;$C1497&amp;"."&amp;$B1497)&amp;INDEX(VarEnd,MATCH($A1497,VarKey,0))&amp;AG$5</f>
        <v/>
      </c>
      <c r="AH1497" s="43">
        <f>AH1470*Settings!$C$13*(INDEX(AH$420:AH$431,$D1497))</f>
        <v/>
      </c>
      <c r="AI1497" s="44">
        <f>AI1470*Settings!$C$13*(INDEX(AI$420:AI$431,$D1497))</f>
        <v/>
      </c>
      <c r="AJ1497" s="44">
        <f>AJ1470*Settings!$C$13*(INDEX(AJ$420:AJ$431,$D1497))</f>
        <v/>
      </c>
      <c r="AK1497" s="44">
        <f>AK1470*Settings!$C$13*(INDEX(AK$420:AK$431,$D1497))</f>
        <v/>
      </c>
      <c r="AL1497" s="44">
        <f>AL1470*Settings!$C$13*(INDEX(AL$420:AL$431,$D1497))</f>
        <v/>
      </c>
      <c r="AM1497" s="44">
        <f>AM1470*Settings!$C$13*(INDEX(AM$420:AM$431,$D1497))</f>
        <v/>
      </c>
      <c r="AN1497" s="44">
        <f>AN1470*Settings!$C$13*(INDEX(AN$420:AN$431,$D1497))</f>
        <v/>
      </c>
      <c r="AO1497" s="44">
        <f>AO1470*Settings!$C$13*(INDEX(AO$420:AO$431,$D1497))</f>
        <v/>
      </c>
      <c r="AP1497" s="44">
        <f>AP1470*Settings!$C$13*(INDEX(AP$420:AP$431,$D1497))</f>
        <v/>
      </c>
      <c r="AQ1497" s="44">
        <f>AQ1470*Settings!$C$13*(INDEX(AQ$420:AQ$431,$D1497))</f>
        <v/>
      </c>
      <c r="AR1497" s="44">
        <f>AR1470*Settings!$C$13*(INDEX(AR$420:AR$431,$D1497))</f>
        <v/>
      </c>
      <c r="AS1497" s="44">
        <f>AS1470*Settings!$C$13*(INDEX(AS$420:AS$431,$D1497))</f>
        <v/>
      </c>
      <c r="AT1497" s="44">
        <f>AT1470*Settings!$C$13*(INDEX(AT$420:AT$431,$D1497))</f>
        <v/>
      </c>
      <c r="AU1497" s="44">
        <f>AU1470*Settings!$C$13*(INDEX(AU$420:AU$431,$D1497))</f>
        <v/>
      </c>
      <c r="AV1497" s="44">
        <f>AV1470*Settings!$C$13*(INDEX(AV$420:AV$431,$D1497))</f>
        <v/>
      </c>
      <c r="AW1497" s="44">
        <f>AW1470*Settings!$C$13*(INDEX(AW$420:AW$431,$D1497))</f>
        <v/>
      </c>
      <c r="AX1497" s="44">
        <f>AX1470*Settings!$C$13*(INDEX(AX$420:AX$431,$D1497))</f>
        <v/>
      </c>
      <c r="AY1497" s="44">
        <f>AY1470*Settings!$C$13*(INDEX(AY$420:AY$431,$D1497))</f>
        <v/>
      </c>
      <c r="AZ1497" s="44">
        <f>AZ1470*Settings!$C$13*(INDEX(AZ$420:AZ$431,$D1497))</f>
        <v/>
      </c>
      <c r="BA1497" s="57">
        <f>REVENUE(BA1470,Settings!$C$13,INDEX(BA$420:BA$431,$D1497))</f>
        <v/>
      </c>
    </row>
    <row r="1498" hidden="1" outlineLevel="2"/>
    <row r="1499" hidden="1" outlineLevel="2">
      <c r="A1499" s="14" t="inlineStr">
        <is>
          <t>rnew</t>
        </is>
      </c>
      <c r="B1499" s="14" t="inlineStr">
        <is>
          <t>coa</t>
        </is>
      </c>
      <c r="C1499" s="14" t="inlineStr">
        <is>
          <t>nav</t>
        </is>
      </c>
      <c r="D1499" s="35">
        <f>INDEX(Inputs!$V$5:$V$132,MATCH($B1499&amp;"|"&amp;$C1499,Inputs!$A$5:$A$132,0))</f>
        <v/>
      </c>
      <c r="E1499" s="39" t="n"/>
      <c r="F1499" s="39" t="n"/>
      <c r="G1499" s="39" t="n"/>
      <c r="H1499" s="14">
        <f>INDEX(VarLab,MATCH($A1499,VarKey,0))&amp;INDEX(MemLab,MATCH($C1499&amp;"|"&amp;$B1499,MemKey,0))</f>
        <v/>
      </c>
      <c r="I1499" s="14">
        <f>INDEX(VarUnit,MATCH($A1499,VarKey,0))</f>
        <v/>
      </c>
      <c r="J1499" s="14">
        <f>INDEX(VarSrc,MATCH($A1499,VarKey,0))</f>
        <v/>
      </c>
      <c r="K1499" s="11">
        <f>CodePrefix&amp;$A1499&amp;IF($C1499="","","."&amp;$C1499&amp;"."&amp;$B1499)&amp;INDEX(VarEnd,MATCH($A1499,VarKey,0))&amp;K$5</f>
        <v/>
      </c>
      <c r="L1499" s="43">
        <f>L1463*Settings!$C$13*(L1391+L1409+L1400*L$201+L1418*$D1499)</f>
        <v/>
      </c>
      <c r="M1499" s="44">
        <f>M1463*Settings!$C$13*(M1391+M1409+M1400*M$201+M1418*$D1499)</f>
        <v/>
      </c>
      <c r="N1499" s="44">
        <f>N1463*Settings!$C$13*(N1391+N1409+N1400*N$201+N1418*$D1499)</f>
        <v/>
      </c>
      <c r="O1499" s="44">
        <f>O1463*Settings!$C$13*(O1391+O1409+O1400*O$201+O1418*$D1499)</f>
        <v/>
      </c>
      <c r="P1499" s="44">
        <f>P1463*Settings!$C$13*(P1391+P1409+P1400*P$201+P1418*$D1499)</f>
        <v/>
      </c>
      <c r="Q1499" s="44">
        <f>Q1463*Settings!$C$13*(Q1391+Q1409+Q1400*Q$201+Q1418*$D1499)</f>
        <v/>
      </c>
      <c r="R1499" s="44">
        <f>R1463*Settings!$C$13*(R1391+R1409+R1400*R$201+R1418*$D1499)</f>
        <v/>
      </c>
      <c r="S1499" s="44">
        <f>S1463*Settings!$C$13*(S1391+S1409+S1400*S$201+S1418*$D1499)</f>
        <v/>
      </c>
      <c r="T1499" s="44">
        <f>T1463*Settings!$C$13*(T1391+T1409+T1400*T$201+T1418*$D1499)</f>
        <v/>
      </c>
      <c r="U1499" s="44">
        <f>U1463*Settings!$C$13*(U1391+U1409+U1400*U$201+U1418*$D1499)</f>
        <v/>
      </c>
      <c r="V1499" s="44">
        <f>V1463*Settings!$C$13*(V1391+V1409+V1400*V$201+V1418*$D1499)</f>
        <v/>
      </c>
      <c r="W1499" s="44">
        <f>W1463*Settings!$C$13*(W1391+W1409+W1400*W$201+W1418*$D1499)</f>
        <v/>
      </c>
      <c r="X1499" s="44">
        <f>X1463*Settings!$C$13*(X1391+X1409+X1400*X$201+X1418*$D1499)</f>
        <v/>
      </c>
      <c r="Y1499" s="44">
        <f>Y1463*Settings!$C$13*(Y1391+Y1409+Y1400*Y$201+Y1418*$D1499)</f>
        <v/>
      </c>
      <c r="Z1499" s="44">
        <f>Z1463*Settings!$C$13*(Z1391+Z1409+Z1400*Z$201+Z1418*$D1499)</f>
        <v/>
      </c>
      <c r="AA1499" s="44">
        <f>AA1463*Settings!$C$13*(AA1391+AA1409+AA1400*AA$201+AA1418*$D1499)</f>
        <v/>
      </c>
      <c r="AB1499" s="44">
        <f>AB1463*Settings!$C$13*(AB1391+AB1409+AB1400*AB$201+AB1418*$D1499)</f>
        <v/>
      </c>
      <c r="AC1499" s="44">
        <f>AC1463*Settings!$C$13*(AC1391+AC1409+AC1400*AC$201+AC1418*$D1499)</f>
        <v/>
      </c>
      <c r="AD1499" s="44">
        <f>AD1463*Settings!$C$13*(AD1391+AD1409+AD1400*AD$201+AD1418*$D1499)</f>
        <v/>
      </c>
      <c r="AE1499" s="57">
        <f>REVENUE(AE1463,Settings!$C$13,NEWREVRATE(AE1391,AE1409,AE1400,AE$201,AE1418,$D1499))</f>
        <v/>
      </c>
      <c r="AG1499" s="11">
        <f>CodePrefix&amp;$A1499&amp;IF($C1499="","","."&amp;$C1499&amp;"."&amp;$B1499)&amp;INDEX(VarEnd,MATCH($A1499,VarKey,0))&amp;AG$5</f>
        <v/>
      </c>
      <c r="AH1499" s="43">
        <f>AH1463*Settings!$C$13*(AH1391+AH1409+AH1400*AH$201+AH1418*$D1499)</f>
        <v/>
      </c>
      <c r="AI1499" s="44">
        <f>AI1463*Settings!$C$13*(AI1391+AI1409+AI1400*AI$201+AI1418*$D1499)</f>
        <v/>
      </c>
      <c r="AJ1499" s="44">
        <f>AJ1463*Settings!$C$13*(AJ1391+AJ1409+AJ1400*AJ$201+AJ1418*$D1499)</f>
        <v/>
      </c>
      <c r="AK1499" s="44">
        <f>AK1463*Settings!$C$13*(AK1391+AK1409+AK1400*AK$201+AK1418*$D1499)</f>
        <v/>
      </c>
      <c r="AL1499" s="44">
        <f>AL1463*Settings!$C$13*(AL1391+AL1409+AL1400*AL$201+AL1418*$D1499)</f>
        <v/>
      </c>
      <c r="AM1499" s="44">
        <f>AM1463*Settings!$C$13*(AM1391+AM1409+AM1400*AM$201+AM1418*$D1499)</f>
        <v/>
      </c>
      <c r="AN1499" s="44">
        <f>AN1463*Settings!$C$13*(AN1391+AN1409+AN1400*AN$201+AN1418*$D1499)</f>
        <v/>
      </c>
      <c r="AO1499" s="44">
        <f>AO1463*Settings!$C$13*(AO1391+AO1409+AO1400*AO$201+AO1418*$D1499)</f>
        <v/>
      </c>
      <c r="AP1499" s="44">
        <f>AP1463*Settings!$C$13*(AP1391+AP1409+AP1400*AP$201+AP1418*$D1499)</f>
        <v/>
      </c>
      <c r="AQ1499" s="44">
        <f>AQ1463*Settings!$C$13*(AQ1391+AQ1409+AQ1400*AQ$201+AQ1418*$D1499)</f>
        <v/>
      </c>
      <c r="AR1499" s="44">
        <f>AR1463*Settings!$C$13*(AR1391+AR1409+AR1400*AR$201+AR1418*$D1499)</f>
        <v/>
      </c>
      <c r="AS1499" s="44">
        <f>AS1463*Settings!$C$13*(AS1391+AS1409+AS1400*AS$201+AS1418*$D1499)</f>
        <v/>
      </c>
      <c r="AT1499" s="44">
        <f>AT1463*Settings!$C$13*(AT1391+AT1409+AT1400*AT$201+AT1418*$D1499)</f>
        <v/>
      </c>
      <c r="AU1499" s="44">
        <f>AU1463*Settings!$C$13*(AU1391+AU1409+AU1400*AU$201+AU1418*$D1499)</f>
        <v/>
      </c>
      <c r="AV1499" s="44">
        <f>AV1463*Settings!$C$13*(AV1391+AV1409+AV1400*AV$201+AV1418*$D1499)</f>
        <v/>
      </c>
      <c r="AW1499" s="44">
        <f>AW1463*Settings!$C$13*(AW1391+AW1409+AW1400*AW$201+AW1418*$D1499)</f>
        <v/>
      </c>
      <c r="AX1499" s="44">
        <f>AX1463*Settings!$C$13*(AX1391+AX1409+AX1400*AX$201+AX1418*$D1499)</f>
        <v/>
      </c>
      <c r="AY1499" s="44">
        <f>AY1463*Settings!$C$13*(AY1391+AY1409+AY1400*AY$201+AY1418*$D1499)</f>
        <v/>
      </c>
      <c r="AZ1499" s="44">
        <f>AZ1463*Settings!$C$13*(AZ1391+AZ1409+AZ1400*AZ$201+AZ1418*$D1499)</f>
        <v/>
      </c>
      <c r="BA1499" s="57">
        <f>REVENUE(BA1463,Settings!$C$13,NEWREVRATE(BA1391,BA1409,BA1400,BA$201,BA1418,$D1499))</f>
        <v/>
      </c>
    </row>
    <row r="1500" hidden="1" outlineLevel="2">
      <c r="A1500" s="14" t="inlineStr">
        <is>
          <t>rnew</t>
        </is>
      </c>
      <c r="B1500" s="14" t="inlineStr">
        <is>
          <t>nga</t>
        </is>
      </c>
      <c r="C1500" s="14" t="inlineStr">
        <is>
          <t>nav</t>
        </is>
      </c>
      <c r="D1500" s="35">
        <f>INDEX(Inputs!$V$5:$V$132,MATCH($B1500&amp;"|"&amp;$C1500,Inputs!$A$5:$A$132,0))</f>
        <v/>
      </c>
      <c r="E1500" s="39" t="n"/>
      <c r="F1500" s="39" t="n"/>
      <c r="G1500" s="39" t="n"/>
      <c r="H1500" s="14">
        <f>INDEX(VarLab,MATCH($A1500,VarKey,0))&amp;INDEX(MemLab,MATCH($C1500&amp;"|"&amp;$B1500,MemKey,0))</f>
        <v/>
      </c>
      <c r="I1500" s="14">
        <f>INDEX(VarUnit,MATCH($A1500,VarKey,0))</f>
        <v/>
      </c>
      <c r="J1500" s="14">
        <f>INDEX(VarSrc,MATCH($A1500,VarKey,0))</f>
        <v/>
      </c>
      <c r="K1500" s="11">
        <f>CodePrefix&amp;$A1500&amp;IF($C1500="","","."&amp;$C1500&amp;"."&amp;$B1500)&amp;INDEX(VarEnd,MATCH($A1500,VarKey,0))&amp;K$5</f>
        <v/>
      </c>
      <c r="L1500" s="43">
        <f>L1464*Settings!$C$13*(L1392+L1410+L1401*L$201+L1419*$D1500)</f>
        <v/>
      </c>
      <c r="M1500" s="44">
        <f>M1464*Settings!$C$13*(M1392+M1410+M1401*M$201+M1419*$D1500)</f>
        <v/>
      </c>
      <c r="N1500" s="44">
        <f>N1464*Settings!$C$13*(N1392+N1410+N1401*N$201+N1419*$D1500)</f>
        <v/>
      </c>
      <c r="O1500" s="44">
        <f>O1464*Settings!$C$13*(O1392+O1410+O1401*O$201+O1419*$D1500)</f>
        <v/>
      </c>
      <c r="P1500" s="44">
        <f>P1464*Settings!$C$13*(P1392+P1410+P1401*P$201+P1419*$D1500)</f>
        <v/>
      </c>
      <c r="Q1500" s="44">
        <f>Q1464*Settings!$C$13*(Q1392+Q1410+Q1401*Q$201+Q1419*$D1500)</f>
        <v/>
      </c>
      <c r="R1500" s="44">
        <f>R1464*Settings!$C$13*(R1392+R1410+R1401*R$201+R1419*$D1500)</f>
        <v/>
      </c>
      <c r="S1500" s="44">
        <f>S1464*Settings!$C$13*(S1392+S1410+S1401*S$201+S1419*$D1500)</f>
        <v/>
      </c>
      <c r="T1500" s="44">
        <f>T1464*Settings!$C$13*(T1392+T1410+T1401*T$201+T1419*$D1500)</f>
        <v/>
      </c>
      <c r="U1500" s="44">
        <f>U1464*Settings!$C$13*(U1392+U1410+U1401*U$201+U1419*$D1500)</f>
        <v/>
      </c>
      <c r="V1500" s="44">
        <f>V1464*Settings!$C$13*(V1392+V1410+V1401*V$201+V1419*$D1500)</f>
        <v/>
      </c>
      <c r="W1500" s="44">
        <f>W1464*Settings!$C$13*(W1392+W1410+W1401*W$201+W1419*$D1500)</f>
        <v/>
      </c>
      <c r="X1500" s="44">
        <f>X1464*Settings!$C$13*(X1392+X1410+X1401*X$201+X1419*$D1500)</f>
        <v/>
      </c>
      <c r="Y1500" s="44">
        <f>Y1464*Settings!$C$13*(Y1392+Y1410+Y1401*Y$201+Y1419*$D1500)</f>
        <v/>
      </c>
      <c r="Z1500" s="44">
        <f>Z1464*Settings!$C$13*(Z1392+Z1410+Z1401*Z$201+Z1419*$D1500)</f>
        <v/>
      </c>
      <c r="AA1500" s="44">
        <f>AA1464*Settings!$C$13*(AA1392+AA1410+AA1401*AA$201+AA1419*$D1500)</f>
        <v/>
      </c>
      <c r="AB1500" s="44">
        <f>AB1464*Settings!$C$13*(AB1392+AB1410+AB1401*AB$201+AB1419*$D1500)</f>
        <v/>
      </c>
      <c r="AC1500" s="44">
        <f>AC1464*Settings!$C$13*(AC1392+AC1410+AC1401*AC$201+AC1419*$D1500)</f>
        <v/>
      </c>
      <c r="AD1500" s="44">
        <f>AD1464*Settings!$C$13*(AD1392+AD1410+AD1401*AD$201+AD1419*$D1500)</f>
        <v/>
      </c>
      <c r="AE1500" s="57">
        <f>REVENUE(AE1464,Settings!$C$13,NEWREVRATE(AE1392,AE1410,AE1401,AE$201,AE1419,$D1500))</f>
        <v/>
      </c>
      <c r="AG1500" s="11">
        <f>CodePrefix&amp;$A1500&amp;IF($C1500="","","."&amp;$C1500&amp;"."&amp;$B1500)&amp;INDEX(VarEnd,MATCH($A1500,VarKey,0))&amp;AG$5</f>
        <v/>
      </c>
      <c r="AH1500" s="43">
        <f>AH1464*Settings!$C$13*(AH1392+AH1410+AH1401*AH$201+AH1419*$D1500)</f>
        <v/>
      </c>
      <c r="AI1500" s="44">
        <f>AI1464*Settings!$C$13*(AI1392+AI1410+AI1401*AI$201+AI1419*$D1500)</f>
        <v/>
      </c>
      <c r="AJ1500" s="44">
        <f>AJ1464*Settings!$C$13*(AJ1392+AJ1410+AJ1401*AJ$201+AJ1419*$D1500)</f>
        <v/>
      </c>
      <c r="AK1500" s="44">
        <f>AK1464*Settings!$C$13*(AK1392+AK1410+AK1401*AK$201+AK1419*$D1500)</f>
        <v/>
      </c>
      <c r="AL1500" s="44">
        <f>AL1464*Settings!$C$13*(AL1392+AL1410+AL1401*AL$201+AL1419*$D1500)</f>
        <v/>
      </c>
      <c r="AM1500" s="44">
        <f>AM1464*Settings!$C$13*(AM1392+AM1410+AM1401*AM$201+AM1419*$D1500)</f>
        <v/>
      </c>
      <c r="AN1500" s="44">
        <f>AN1464*Settings!$C$13*(AN1392+AN1410+AN1401*AN$201+AN1419*$D1500)</f>
        <v/>
      </c>
      <c r="AO1500" s="44">
        <f>AO1464*Settings!$C$13*(AO1392+AO1410+AO1401*AO$201+AO1419*$D1500)</f>
        <v/>
      </c>
      <c r="AP1500" s="44">
        <f>AP1464*Settings!$C$13*(AP1392+AP1410+AP1401*AP$201+AP1419*$D1500)</f>
        <v/>
      </c>
      <c r="AQ1500" s="44">
        <f>AQ1464*Settings!$C$13*(AQ1392+AQ1410+AQ1401*AQ$201+AQ1419*$D1500)</f>
        <v/>
      </c>
      <c r="AR1500" s="44">
        <f>AR1464*Settings!$C$13*(AR1392+AR1410+AR1401*AR$201+AR1419*$D1500)</f>
        <v/>
      </c>
      <c r="AS1500" s="44">
        <f>AS1464*Settings!$C$13*(AS1392+AS1410+AS1401*AS$201+AS1419*$D1500)</f>
        <v/>
      </c>
      <c r="AT1500" s="44">
        <f>AT1464*Settings!$C$13*(AT1392+AT1410+AT1401*AT$201+AT1419*$D1500)</f>
        <v/>
      </c>
      <c r="AU1500" s="44">
        <f>AU1464*Settings!$C$13*(AU1392+AU1410+AU1401*AU$201+AU1419*$D1500)</f>
        <v/>
      </c>
      <c r="AV1500" s="44">
        <f>AV1464*Settings!$C$13*(AV1392+AV1410+AV1401*AV$201+AV1419*$D1500)</f>
        <v/>
      </c>
      <c r="AW1500" s="44">
        <f>AW1464*Settings!$C$13*(AW1392+AW1410+AW1401*AW$201+AW1419*$D1500)</f>
        <v/>
      </c>
      <c r="AX1500" s="44">
        <f>AX1464*Settings!$C$13*(AX1392+AX1410+AX1401*AX$201+AX1419*$D1500)</f>
        <v/>
      </c>
      <c r="AY1500" s="44">
        <f>AY1464*Settings!$C$13*(AY1392+AY1410+AY1401*AY$201+AY1419*$D1500)</f>
        <v/>
      </c>
      <c r="AZ1500" s="44">
        <f>AZ1464*Settings!$C$13*(AZ1392+AZ1410+AZ1401*AZ$201+AZ1419*$D1500)</f>
        <v/>
      </c>
      <c r="BA1500" s="57">
        <f>REVENUE(BA1464,Settings!$C$13,NEWREVRATE(BA1392,BA1410,BA1401,BA$201,BA1419,$D1500))</f>
        <v/>
      </c>
    </row>
    <row r="1501" hidden="1" outlineLevel="2">
      <c r="A1501" s="14" t="inlineStr">
        <is>
          <t>rnew</t>
        </is>
      </c>
      <c r="B1501" s="14" t="inlineStr">
        <is>
          <t>gso</t>
        </is>
      </c>
      <c r="C1501" s="14" t="inlineStr">
        <is>
          <t>nav</t>
        </is>
      </c>
      <c r="D1501" s="35">
        <f>INDEX(Inputs!$V$5:$V$132,MATCH($B1501&amp;"|"&amp;$C1501,Inputs!$A$5:$A$132,0))</f>
        <v/>
      </c>
      <c r="E1501" s="39" t="n"/>
      <c r="F1501" s="39" t="n"/>
      <c r="G1501" s="39" t="n"/>
      <c r="H1501" s="14">
        <f>INDEX(VarLab,MATCH($A1501,VarKey,0))&amp;INDEX(MemLab,MATCH($C1501&amp;"|"&amp;$B1501,MemKey,0))</f>
        <v/>
      </c>
      <c r="I1501" s="14">
        <f>INDEX(VarUnit,MATCH($A1501,VarKey,0))</f>
        <v/>
      </c>
      <c r="J1501" s="14">
        <f>INDEX(VarSrc,MATCH($A1501,VarKey,0))</f>
        <v/>
      </c>
      <c r="K1501" s="11">
        <f>CodePrefix&amp;$A1501&amp;IF($C1501="","","."&amp;$C1501&amp;"."&amp;$B1501)&amp;INDEX(VarEnd,MATCH($A1501,VarKey,0))&amp;K$5</f>
        <v/>
      </c>
      <c r="L1501" s="43">
        <f>L1465*Settings!$C$13*(L1393+L1411+L1402*L$201+L1420*$D1501)</f>
        <v/>
      </c>
      <c r="M1501" s="44">
        <f>M1465*Settings!$C$13*(M1393+M1411+M1402*M$201+M1420*$D1501)</f>
        <v/>
      </c>
      <c r="N1501" s="44">
        <f>N1465*Settings!$C$13*(N1393+N1411+N1402*N$201+N1420*$D1501)</f>
        <v/>
      </c>
      <c r="O1501" s="44">
        <f>O1465*Settings!$C$13*(O1393+O1411+O1402*O$201+O1420*$D1501)</f>
        <v/>
      </c>
      <c r="P1501" s="44">
        <f>P1465*Settings!$C$13*(P1393+P1411+P1402*P$201+P1420*$D1501)</f>
        <v/>
      </c>
      <c r="Q1501" s="44">
        <f>Q1465*Settings!$C$13*(Q1393+Q1411+Q1402*Q$201+Q1420*$D1501)</f>
        <v/>
      </c>
      <c r="R1501" s="44">
        <f>R1465*Settings!$C$13*(R1393+R1411+R1402*R$201+R1420*$D1501)</f>
        <v/>
      </c>
      <c r="S1501" s="44">
        <f>S1465*Settings!$C$13*(S1393+S1411+S1402*S$201+S1420*$D1501)</f>
        <v/>
      </c>
      <c r="T1501" s="44">
        <f>T1465*Settings!$C$13*(T1393+T1411+T1402*T$201+T1420*$D1501)</f>
        <v/>
      </c>
      <c r="U1501" s="44">
        <f>U1465*Settings!$C$13*(U1393+U1411+U1402*U$201+U1420*$D1501)</f>
        <v/>
      </c>
      <c r="V1501" s="44">
        <f>V1465*Settings!$C$13*(V1393+V1411+V1402*V$201+V1420*$D1501)</f>
        <v/>
      </c>
      <c r="W1501" s="44">
        <f>W1465*Settings!$C$13*(W1393+W1411+W1402*W$201+W1420*$D1501)</f>
        <v/>
      </c>
      <c r="X1501" s="44">
        <f>X1465*Settings!$C$13*(X1393+X1411+X1402*X$201+X1420*$D1501)</f>
        <v/>
      </c>
      <c r="Y1501" s="44">
        <f>Y1465*Settings!$C$13*(Y1393+Y1411+Y1402*Y$201+Y1420*$D1501)</f>
        <v/>
      </c>
      <c r="Z1501" s="44">
        <f>Z1465*Settings!$C$13*(Z1393+Z1411+Z1402*Z$201+Z1420*$D1501)</f>
        <v/>
      </c>
      <c r="AA1501" s="44">
        <f>AA1465*Settings!$C$13*(AA1393+AA1411+AA1402*AA$201+AA1420*$D1501)</f>
        <v/>
      </c>
      <c r="AB1501" s="44">
        <f>AB1465*Settings!$C$13*(AB1393+AB1411+AB1402*AB$201+AB1420*$D1501)</f>
        <v/>
      </c>
      <c r="AC1501" s="44">
        <f>AC1465*Settings!$C$13*(AC1393+AC1411+AC1402*AC$201+AC1420*$D1501)</f>
        <v/>
      </c>
      <c r="AD1501" s="44">
        <f>AD1465*Settings!$C$13*(AD1393+AD1411+AD1402*AD$201+AD1420*$D1501)</f>
        <v/>
      </c>
      <c r="AE1501" s="57">
        <f>REVENUE(AE1465,Settings!$C$13,NEWREVRATE(AE1393,AE1411,AE1402,AE$201,AE1420,$D1501))</f>
        <v/>
      </c>
      <c r="AG1501" s="11">
        <f>CodePrefix&amp;$A1501&amp;IF($C1501="","","."&amp;$C1501&amp;"."&amp;$B1501)&amp;INDEX(VarEnd,MATCH($A1501,VarKey,0))&amp;AG$5</f>
        <v/>
      </c>
      <c r="AH1501" s="43">
        <f>AH1465*Settings!$C$13*(AH1393+AH1411+AH1402*AH$201+AH1420*$D1501)</f>
        <v/>
      </c>
      <c r="AI1501" s="44">
        <f>AI1465*Settings!$C$13*(AI1393+AI1411+AI1402*AI$201+AI1420*$D1501)</f>
        <v/>
      </c>
      <c r="AJ1501" s="44">
        <f>AJ1465*Settings!$C$13*(AJ1393+AJ1411+AJ1402*AJ$201+AJ1420*$D1501)</f>
        <v/>
      </c>
      <c r="AK1501" s="44">
        <f>AK1465*Settings!$C$13*(AK1393+AK1411+AK1402*AK$201+AK1420*$D1501)</f>
        <v/>
      </c>
      <c r="AL1501" s="44">
        <f>AL1465*Settings!$C$13*(AL1393+AL1411+AL1402*AL$201+AL1420*$D1501)</f>
        <v/>
      </c>
      <c r="AM1501" s="44">
        <f>AM1465*Settings!$C$13*(AM1393+AM1411+AM1402*AM$201+AM1420*$D1501)</f>
        <v/>
      </c>
      <c r="AN1501" s="44">
        <f>AN1465*Settings!$C$13*(AN1393+AN1411+AN1402*AN$201+AN1420*$D1501)</f>
        <v/>
      </c>
      <c r="AO1501" s="44">
        <f>AO1465*Settings!$C$13*(AO1393+AO1411+AO1402*AO$201+AO1420*$D1501)</f>
        <v/>
      </c>
      <c r="AP1501" s="44">
        <f>AP1465*Settings!$C$13*(AP1393+AP1411+AP1402*AP$201+AP1420*$D1501)</f>
        <v/>
      </c>
      <c r="AQ1501" s="44">
        <f>AQ1465*Settings!$C$13*(AQ1393+AQ1411+AQ1402*AQ$201+AQ1420*$D1501)</f>
        <v/>
      </c>
      <c r="AR1501" s="44">
        <f>AR1465*Settings!$C$13*(AR1393+AR1411+AR1402*AR$201+AR1420*$D1501)</f>
        <v/>
      </c>
      <c r="AS1501" s="44">
        <f>AS1465*Settings!$C$13*(AS1393+AS1411+AS1402*AS$201+AS1420*$D1501)</f>
        <v/>
      </c>
      <c r="AT1501" s="44">
        <f>AT1465*Settings!$C$13*(AT1393+AT1411+AT1402*AT$201+AT1420*$D1501)</f>
        <v/>
      </c>
      <c r="AU1501" s="44">
        <f>AU1465*Settings!$C$13*(AU1393+AU1411+AU1402*AU$201+AU1420*$D1501)</f>
        <v/>
      </c>
      <c r="AV1501" s="44">
        <f>AV1465*Settings!$C$13*(AV1393+AV1411+AV1402*AV$201+AV1420*$D1501)</f>
        <v/>
      </c>
      <c r="AW1501" s="44">
        <f>AW1465*Settings!$C$13*(AW1393+AW1411+AW1402*AW$201+AW1420*$D1501)</f>
        <v/>
      </c>
      <c r="AX1501" s="44">
        <f>AX1465*Settings!$C$13*(AX1393+AX1411+AX1402*AX$201+AX1420*$D1501)</f>
        <v/>
      </c>
      <c r="AY1501" s="44">
        <f>AY1465*Settings!$C$13*(AY1393+AY1411+AY1402*AY$201+AY1420*$D1501)</f>
        <v/>
      </c>
      <c r="AZ1501" s="44">
        <f>AZ1465*Settings!$C$13*(AZ1393+AZ1411+AZ1402*AZ$201+AZ1420*$D1501)</f>
        <v/>
      </c>
      <c r="BA1501" s="57">
        <f>REVENUE(BA1465,Settings!$C$13,NEWREVRATE(BA1393,BA1411,BA1402,BA$201,BA1420,$D1501))</f>
        <v/>
      </c>
    </row>
    <row r="1502" hidden="1" outlineLevel="2">
      <c r="A1502" s="14" t="inlineStr">
        <is>
          <t>rnew</t>
        </is>
      </c>
      <c r="B1502" s="14" t="inlineStr">
        <is>
          <t>die</t>
        </is>
      </c>
      <c r="C1502" s="14" t="inlineStr">
        <is>
          <t>nav</t>
        </is>
      </c>
      <c r="D1502" s="35">
        <f>INDEX(Inputs!$V$5:$V$132,MATCH($B1502&amp;"|"&amp;$C1502,Inputs!$A$5:$A$132,0))</f>
        <v/>
      </c>
      <c r="E1502" s="39" t="n"/>
      <c r="F1502" s="39" t="n"/>
      <c r="G1502" s="39" t="n"/>
      <c r="H1502" s="14">
        <f>INDEX(VarLab,MATCH($A1502,VarKey,0))&amp;INDEX(MemLab,MATCH($C1502&amp;"|"&amp;$B1502,MemKey,0))</f>
        <v/>
      </c>
      <c r="I1502" s="14">
        <f>INDEX(VarUnit,MATCH($A1502,VarKey,0))</f>
        <v/>
      </c>
      <c r="J1502" s="14">
        <f>INDEX(VarSrc,MATCH($A1502,VarKey,0))</f>
        <v/>
      </c>
      <c r="K1502" s="11">
        <f>CodePrefix&amp;$A1502&amp;IF($C1502="","","."&amp;$C1502&amp;"."&amp;$B1502)&amp;INDEX(VarEnd,MATCH($A1502,VarKey,0))&amp;K$5</f>
        <v/>
      </c>
      <c r="L1502" s="43">
        <f>L1466*Settings!$C$13*(L1394+L1412+L1403*L$201+L1421*$D1502)</f>
        <v/>
      </c>
      <c r="M1502" s="44">
        <f>M1466*Settings!$C$13*(M1394+M1412+M1403*M$201+M1421*$D1502)</f>
        <v/>
      </c>
      <c r="N1502" s="44">
        <f>N1466*Settings!$C$13*(N1394+N1412+N1403*N$201+N1421*$D1502)</f>
        <v/>
      </c>
      <c r="O1502" s="44">
        <f>O1466*Settings!$C$13*(O1394+O1412+O1403*O$201+O1421*$D1502)</f>
        <v/>
      </c>
      <c r="P1502" s="44">
        <f>P1466*Settings!$C$13*(P1394+P1412+P1403*P$201+P1421*$D1502)</f>
        <v/>
      </c>
      <c r="Q1502" s="44">
        <f>Q1466*Settings!$C$13*(Q1394+Q1412+Q1403*Q$201+Q1421*$D1502)</f>
        <v/>
      </c>
      <c r="R1502" s="44">
        <f>R1466*Settings!$C$13*(R1394+R1412+R1403*R$201+R1421*$D1502)</f>
        <v/>
      </c>
      <c r="S1502" s="44">
        <f>S1466*Settings!$C$13*(S1394+S1412+S1403*S$201+S1421*$D1502)</f>
        <v/>
      </c>
      <c r="T1502" s="44">
        <f>T1466*Settings!$C$13*(T1394+T1412+T1403*T$201+T1421*$D1502)</f>
        <v/>
      </c>
      <c r="U1502" s="44">
        <f>U1466*Settings!$C$13*(U1394+U1412+U1403*U$201+U1421*$D1502)</f>
        <v/>
      </c>
      <c r="V1502" s="44">
        <f>V1466*Settings!$C$13*(V1394+V1412+V1403*V$201+V1421*$D1502)</f>
        <v/>
      </c>
      <c r="W1502" s="44">
        <f>W1466*Settings!$C$13*(W1394+W1412+W1403*W$201+W1421*$D1502)</f>
        <v/>
      </c>
      <c r="X1502" s="44">
        <f>X1466*Settings!$C$13*(X1394+X1412+X1403*X$201+X1421*$D1502)</f>
        <v/>
      </c>
      <c r="Y1502" s="44">
        <f>Y1466*Settings!$C$13*(Y1394+Y1412+Y1403*Y$201+Y1421*$D1502)</f>
        <v/>
      </c>
      <c r="Z1502" s="44">
        <f>Z1466*Settings!$C$13*(Z1394+Z1412+Z1403*Z$201+Z1421*$D1502)</f>
        <v/>
      </c>
      <c r="AA1502" s="44">
        <f>AA1466*Settings!$C$13*(AA1394+AA1412+AA1403*AA$201+AA1421*$D1502)</f>
        <v/>
      </c>
      <c r="AB1502" s="44">
        <f>AB1466*Settings!$C$13*(AB1394+AB1412+AB1403*AB$201+AB1421*$D1502)</f>
        <v/>
      </c>
      <c r="AC1502" s="44">
        <f>AC1466*Settings!$C$13*(AC1394+AC1412+AC1403*AC$201+AC1421*$D1502)</f>
        <v/>
      </c>
      <c r="AD1502" s="44">
        <f>AD1466*Settings!$C$13*(AD1394+AD1412+AD1403*AD$201+AD1421*$D1502)</f>
        <v/>
      </c>
      <c r="AE1502" s="57">
        <f>REVENUE(AE1466,Settings!$C$13,NEWREVRATE(AE1394,AE1412,AE1403,AE$201,AE1421,$D1502))</f>
        <v/>
      </c>
      <c r="AG1502" s="11">
        <f>CodePrefix&amp;$A1502&amp;IF($C1502="","","."&amp;$C1502&amp;"."&amp;$B1502)&amp;INDEX(VarEnd,MATCH($A1502,VarKey,0))&amp;AG$5</f>
        <v/>
      </c>
      <c r="AH1502" s="43">
        <f>AH1466*Settings!$C$13*(AH1394+AH1412+AH1403*AH$201+AH1421*$D1502)</f>
        <v/>
      </c>
      <c r="AI1502" s="44">
        <f>AI1466*Settings!$C$13*(AI1394+AI1412+AI1403*AI$201+AI1421*$D1502)</f>
        <v/>
      </c>
      <c r="AJ1502" s="44">
        <f>AJ1466*Settings!$C$13*(AJ1394+AJ1412+AJ1403*AJ$201+AJ1421*$D1502)</f>
        <v/>
      </c>
      <c r="AK1502" s="44">
        <f>AK1466*Settings!$C$13*(AK1394+AK1412+AK1403*AK$201+AK1421*$D1502)</f>
        <v/>
      </c>
      <c r="AL1502" s="44">
        <f>AL1466*Settings!$C$13*(AL1394+AL1412+AL1403*AL$201+AL1421*$D1502)</f>
        <v/>
      </c>
      <c r="AM1502" s="44">
        <f>AM1466*Settings!$C$13*(AM1394+AM1412+AM1403*AM$201+AM1421*$D1502)</f>
        <v/>
      </c>
      <c r="AN1502" s="44">
        <f>AN1466*Settings!$C$13*(AN1394+AN1412+AN1403*AN$201+AN1421*$D1502)</f>
        <v/>
      </c>
      <c r="AO1502" s="44">
        <f>AO1466*Settings!$C$13*(AO1394+AO1412+AO1403*AO$201+AO1421*$D1502)</f>
        <v/>
      </c>
      <c r="AP1502" s="44">
        <f>AP1466*Settings!$C$13*(AP1394+AP1412+AP1403*AP$201+AP1421*$D1502)</f>
        <v/>
      </c>
      <c r="AQ1502" s="44">
        <f>AQ1466*Settings!$C$13*(AQ1394+AQ1412+AQ1403*AQ$201+AQ1421*$D1502)</f>
        <v/>
      </c>
      <c r="AR1502" s="44">
        <f>AR1466*Settings!$C$13*(AR1394+AR1412+AR1403*AR$201+AR1421*$D1502)</f>
        <v/>
      </c>
      <c r="AS1502" s="44">
        <f>AS1466*Settings!$C$13*(AS1394+AS1412+AS1403*AS$201+AS1421*$D1502)</f>
        <v/>
      </c>
      <c r="AT1502" s="44">
        <f>AT1466*Settings!$C$13*(AT1394+AT1412+AT1403*AT$201+AT1421*$D1502)</f>
        <v/>
      </c>
      <c r="AU1502" s="44">
        <f>AU1466*Settings!$C$13*(AU1394+AU1412+AU1403*AU$201+AU1421*$D1502)</f>
        <v/>
      </c>
      <c r="AV1502" s="44">
        <f>AV1466*Settings!$C$13*(AV1394+AV1412+AV1403*AV$201+AV1421*$D1502)</f>
        <v/>
      </c>
      <c r="AW1502" s="44">
        <f>AW1466*Settings!$C$13*(AW1394+AW1412+AW1403*AW$201+AW1421*$D1502)</f>
        <v/>
      </c>
      <c r="AX1502" s="44">
        <f>AX1466*Settings!$C$13*(AX1394+AX1412+AX1403*AX$201+AX1421*$D1502)</f>
        <v/>
      </c>
      <c r="AY1502" s="44">
        <f>AY1466*Settings!$C$13*(AY1394+AY1412+AY1403*AY$201+AY1421*$D1502)</f>
        <v/>
      </c>
      <c r="AZ1502" s="44">
        <f>AZ1466*Settings!$C$13*(AZ1394+AZ1412+AZ1403*AZ$201+AZ1421*$D1502)</f>
        <v/>
      </c>
      <c r="BA1502" s="57">
        <f>REVENUE(BA1466,Settings!$C$13,NEWREVRATE(BA1394,BA1412,BA1403,BA$201,BA1421,$D1502))</f>
        <v/>
      </c>
    </row>
    <row r="1503" hidden="1" outlineLevel="2">
      <c r="A1503" s="14" t="inlineStr">
        <is>
          <t>rnew</t>
        </is>
      </c>
      <c r="B1503" s="14" t="inlineStr">
        <is>
          <t>lpg</t>
        </is>
      </c>
      <c r="C1503" s="14" t="inlineStr">
        <is>
          <t>nav</t>
        </is>
      </c>
      <c r="D1503" s="35">
        <f>INDEX(Inputs!$V$5:$V$132,MATCH($B1503&amp;"|"&amp;$C1503,Inputs!$A$5:$A$132,0))</f>
        <v/>
      </c>
      <c r="E1503" s="39" t="n"/>
      <c r="F1503" s="39" t="n"/>
      <c r="G1503" s="39" t="n"/>
      <c r="H1503" s="14">
        <f>INDEX(VarLab,MATCH($A1503,VarKey,0))&amp;INDEX(MemLab,MATCH($C1503&amp;"|"&amp;$B1503,MemKey,0))</f>
        <v/>
      </c>
      <c r="I1503" s="14">
        <f>INDEX(VarUnit,MATCH($A1503,VarKey,0))</f>
        <v/>
      </c>
      <c r="J1503" s="14">
        <f>INDEX(VarSrc,MATCH($A1503,VarKey,0))</f>
        <v/>
      </c>
      <c r="K1503" s="11">
        <f>CodePrefix&amp;$A1503&amp;IF($C1503="","","."&amp;$C1503&amp;"."&amp;$B1503)&amp;INDEX(VarEnd,MATCH($A1503,VarKey,0))&amp;K$5</f>
        <v/>
      </c>
      <c r="L1503" s="43">
        <f>L1467*Settings!$C$13*(L1395+L1413+L1404*L$201+L1422*$D1503)</f>
        <v/>
      </c>
      <c r="M1503" s="44">
        <f>M1467*Settings!$C$13*(M1395+M1413+M1404*M$201+M1422*$D1503)</f>
        <v/>
      </c>
      <c r="N1503" s="44">
        <f>N1467*Settings!$C$13*(N1395+N1413+N1404*N$201+N1422*$D1503)</f>
        <v/>
      </c>
      <c r="O1503" s="44">
        <f>O1467*Settings!$C$13*(O1395+O1413+O1404*O$201+O1422*$D1503)</f>
        <v/>
      </c>
      <c r="P1503" s="44">
        <f>P1467*Settings!$C$13*(P1395+P1413+P1404*P$201+P1422*$D1503)</f>
        <v/>
      </c>
      <c r="Q1503" s="44">
        <f>Q1467*Settings!$C$13*(Q1395+Q1413+Q1404*Q$201+Q1422*$D1503)</f>
        <v/>
      </c>
      <c r="R1503" s="44">
        <f>R1467*Settings!$C$13*(R1395+R1413+R1404*R$201+R1422*$D1503)</f>
        <v/>
      </c>
      <c r="S1503" s="44">
        <f>S1467*Settings!$C$13*(S1395+S1413+S1404*S$201+S1422*$D1503)</f>
        <v/>
      </c>
      <c r="T1503" s="44">
        <f>T1467*Settings!$C$13*(T1395+T1413+T1404*T$201+T1422*$D1503)</f>
        <v/>
      </c>
      <c r="U1503" s="44">
        <f>U1467*Settings!$C$13*(U1395+U1413+U1404*U$201+U1422*$D1503)</f>
        <v/>
      </c>
      <c r="V1503" s="44">
        <f>V1467*Settings!$C$13*(V1395+V1413+V1404*V$201+V1422*$D1503)</f>
        <v/>
      </c>
      <c r="W1503" s="44">
        <f>W1467*Settings!$C$13*(W1395+W1413+W1404*W$201+W1422*$D1503)</f>
        <v/>
      </c>
      <c r="X1503" s="44">
        <f>X1467*Settings!$C$13*(X1395+X1413+X1404*X$201+X1422*$D1503)</f>
        <v/>
      </c>
      <c r="Y1503" s="44">
        <f>Y1467*Settings!$C$13*(Y1395+Y1413+Y1404*Y$201+Y1422*$D1503)</f>
        <v/>
      </c>
      <c r="Z1503" s="44">
        <f>Z1467*Settings!$C$13*(Z1395+Z1413+Z1404*Z$201+Z1422*$D1503)</f>
        <v/>
      </c>
      <c r="AA1503" s="44">
        <f>AA1467*Settings!$C$13*(AA1395+AA1413+AA1404*AA$201+AA1422*$D1503)</f>
        <v/>
      </c>
      <c r="AB1503" s="44">
        <f>AB1467*Settings!$C$13*(AB1395+AB1413+AB1404*AB$201+AB1422*$D1503)</f>
        <v/>
      </c>
      <c r="AC1503" s="44">
        <f>AC1467*Settings!$C$13*(AC1395+AC1413+AC1404*AC$201+AC1422*$D1503)</f>
        <v/>
      </c>
      <c r="AD1503" s="44">
        <f>AD1467*Settings!$C$13*(AD1395+AD1413+AD1404*AD$201+AD1422*$D1503)</f>
        <v/>
      </c>
      <c r="AE1503" s="57">
        <f>REVENUE(AE1467,Settings!$C$13,NEWREVRATE(AE1395,AE1413,AE1404,AE$201,AE1422,$D1503))</f>
        <v/>
      </c>
      <c r="AG1503" s="11">
        <f>CodePrefix&amp;$A1503&amp;IF($C1503="","","."&amp;$C1503&amp;"."&amp;$B1503)&amp;INDEX(VarEnd,MATCH($A1503,VarKey,0))&amp;AG$5</f>
        <v/>
      </c>
      <c r="AH1503" s="43">
        <f>AH1467*Settings!$C$13*(AH1395+AH1413+AH1404*AH$201+AH1422*$D1503)</f>
        <v/>
      </c>
      <c r="AI1503" s="44">
        <f>AI1467*Settings!$C$13*(AI1395+AI1413+AI1404*AI$201+AI1422*$D1503)</f>
        <v/>
      </c>
      <c r="AJ1503" s="44">
        <f>AJ1467*Settings!$C$13*(AJ1395+AJ1413+AJ1404*AJ$201+AJ1422*$D1503)</f>
        <v/>
      </c>
      <c r="AK1503" s="44">
        <f>AK1467*Settings!$C$13*(AK1395+AK1413+AK1404*AK$201+AK1422*$D1503)</f>
        <v/>
      </c>
      <c r="AL1503" s="44">
        <f>AL1467*Settings!$C$13*(AL1395+AL1413+AL1404*AL$201+AL1422*$D1503)</f>
        <v/>
      </c>
      <c r="AM1503" s="44">
        <f>AM1467*Settings!$C$13*(AM1395+AM1413+AM1404*AM$201+AM1422*$D1503)</f>
        <v/>
      </c>
      <c r="AN1503" s="44">
        <f>AN1467*Settings!$C$13*(AN1395+AN1413+AN1404*AN$201+AN1422*$D1503)</f>
        <v/>
      </c>
      <c r="AO1503" s="44">
        <f>AO1467*Settings!$C$13*(AO1395+AO1413+AO1404*AO$201+AO1422*$D1503)</f>
        <v/>
      </c>
      <c r="AP1503" s="44">
        <f>AP1467*Settings!$C$13*(AP1395+AP1413+AP1404*AP$201+AP1422*$D1503)</f>
        <v/>
      </c>
      <c r="AQ1503" s="44">
        <f>AQ1467*Settings!$C$13*(AQ1395+AQ1413+AQ1404*AQ$201+AQ1422*$D1503)</f>
        <v/>
      </c>
      <c r="AR1503" s="44">
        <f>AR1467*Settings!$C$13*(AR1395+AR1413+AR1404*AR$201+AR1422*$D1503)</f>
        <v/>
      </c>
      <c r="AS1503" s="44">
        <f>AS1467*Settings!$C$13*(AS1395+AS1413+AS1404*AS$201+AS1422*$D1503)</f>
        <v/>
      </c>
      <c r="AT1503" s="44">
        <f>AT1467*Settings!$C$13*(AT1395+AT1413+AT1404*AT$201+AT1422*$D1503)</f>
        <v/>
      </c>
      <c r="AU1503" s="44">
        <f>AU1467*Settings!$C$13*(AU1395+AU1413+AU1404*AU$201+AU1422*$D1503)</f>
        <v/>
      </c>
      <c r="AV1503" s="44">
        <f>AV1467*Settings!$C$13*(AV1395+AV1413+AV1404*AV$201+AV1422*$D1503)</f>
        <v/>
      </c>
      <c r="AW1503" s="44">
        <f>AW1467*Settings!$C$13*(AW1395+AW1413+AW1404*AW$201+AW1422*$D1503)</f>
        <v/>
      </c>
      <c r="AX1503" s="44">
        <f>AX1467*Settings!$C$13*(AX1395+AX1413+AX1404*AX$201+AX1422*$D1503)</f>
        <v/>
      </c>
      <c r="AY1503" s="44">
        <f>AY1467*Settings!$C$13*(AY1395+AY1413+AY1404*AY$201+AY1422*$D1503)</f>
        <v/>
      </c>
      <c r="AZ1503" s="44">
        <f>AZ1467*Settings!$C$13*(AZ1395+AZ1413+AZ1404*AZ$201+AZ1422*$D1503)</f>
        <v/>
      </c>
      <c r="BA1503" s="57">
        <f>REVENUE(BA1467,Settings!$C$13,NEWREVRATE(BA1395,BA1413,BA1404,BA$201,BA1422,$D1503))</f>
        <v/>
      </c>
    </row>
    <row r="1504" hidden="1" outlineLevel="2">
      <c r="A1504" s="14" t="inlineStr">
        <is>
          <t>rnew</t>
        </is>
      </c>
      <c r="B1504" s="14" t="inlineStr">
        <is>
          <t>ker</t>
        </is>
      </c>
      <c r="C1504" s="14" t="inlineStr">
        <is>
          <t>nav</t>
        </is>
      </c>
      <c r="D1504" s="35">
        <f>INDEX(Inputs!$V$5:$V$132,MATCH($B1504&amp;"|"&amp;$C1504,Inputs!$A$5:$A$132,0))</f>
        <v/>
      </c>
      <c r="E1504" s="39" t="n"/>
      <c r="F1504" s="39" t="n"/>
      <c r="G1504" s="39" t="n"/>
      <c r="H1504" s="14">
        <f>INDEX(VarLab,MATCH($A1504,VarKey,0))&amp;INDEX(MemLab,MATCH($C1504&amp;"|"&amp;$B1504,MemKey,0))</f>
        <v/>
      </c>
      <c r="I1504" s="14">
        <f>INDEX(VarUnit,MATCH($A1504,VarKey,0))</f>
        <v/>
      </c>
      <c r="J1504" s="14">
        <f>INDEX(VarSrc,MATCH($A1504,VarKey,0))</f>
        <v/>
      </c>
      <c r="K1504" s="11">
        <f>CodePrefix&amp;$A1504&amp;IF($C1504="","","."&amp;$C1504&amp;"."&amp;$B1504)&amp;INDEX(VarEnd,MATCH($A1504,VarKey,0))&amp;K$5</f>
        <v/>
      </c>
      <c r="L1504" s="43">
        <f>L1468*Settings!$C$13*(L1396+L1414+L1405*L$201+L1423*$D1504)</f>
        <v/>
      </c>
      <c r="M1504" s="44">
        <f>M1468*Settings!$C$13*(M1396+M1414+M1405*M$201+M1423*$D1504)</f>
        <v/>
      </c>
      <c r="N1504" s="44">
        <f>N1468*Settings!$C$13*(N1396+N1414+N1405*N$201+N1423*$D1504)</f>
        <v/>
      </c>
      <c r="O1504" s="44">
        <f>O1468*Settings!$C$13*(O1396+O1414+O1405*O$201+O1423*$D1504)</f>
        <v/>
      </c>
      <c r="P1504" s="44">
        <f>P1468*Settings!$C$13*(P1396+P1414+P1405*P$201+P1423*$D1504)</f>
        <v/>
      </c>
      <c r="Q1504" s="44">
        <f>Q1468*Settings!$C$13*(Q1396+Q1414+Q1405*Q$201+Q1423*$D1504)</f>
        <v/>
      </c>
      <c r="R1504" s="44">
        <f>R1468*Settings!$C$13*(R1396+R1414+R1405*R$201+R1423*$D1504)</f>
        <v/>
      </c>
      <c r="S1504" s="44">
        <f>S1468*Settings!$C$13*(S1396+S1414+S1405*S$201+S1423*$D1504)</f>
        <v/>
      </c>
      <c r="T1504" s="44">
        <f>T1468*Settings!$C$13*(T1396+T1414+T1405*T$201+T1423*$D1504)</f>
        <v/>
      </c>
      <c r="U1504" s="44">
        <f>U1468*Settings!$C$13*(U1396+U1414+U1405*U$201+U1423*$D1504)</f>
        <v/>
      </c>
      <c r="V1504" s="44">
        <f>V1468*Settings!$C$13*(V1396+V1414+V1405*V$201+V1423*$D1504)</f>
        <v/>
      </c>
      <c r="W1504" s="44">
        <f>W1468*Settings!$C$13*(W1396+W1414+W1405*W$201+W1423*$D1504)</f>
        <v/>
      </c>
      <c r="X1504" s="44">
        <f>X1468*Settings!$C$13*(X1396+X1414+X1405*X$201+X1423*$D1504)</f>
        <v/>
      </c>
      <c r="Y1504" s="44">
        <f>Y1468*Settings!$C$13*(Y1396+Y1414+Y1405*Y$201+Y1423*$D1504)</f>
        <v/>
      </c>
      <c r="Z1504" s="44">
        <f>Z1468*Settings!$C$13*(Z1396+Z1414+Z1405*Z$201+Z1423*$D1504)</f>
        <v/>
      </c>
      <c r="AA1504" s="44">
        <f>AA1468*Settings!$C$13*(AA1396+AA1414+AA1405*AA$201+AA1423*$D1504)</f>
        <v/>
      </c>
      <c r="AB1504" s="44">
        <f>AB1468*Settings!$C$13*(AB1396+AB1414+AB1405*AB$201+AB1423*$D1504)</f>
        <v/>
      </c>
      <c r="AC1504" s="44">
        <f>AC1468*Settings!$C$13*(AC1396+AC1414+AC1405*AC$201+AC1423*$D1504)</f>
        <v/>
      </c>
      <c r="AD1504" s="44">
        <f>AD1468*Settings!$C$13*(AD1396+AD1414+AD1405*AD$201+AD1423*$D1504)</f>
        <v/>
      </c>
      <c r="AE1504" s="57">
        <f>REVENUE(AE1468,Settings!$C$13,NEWREVRATE(AE1396,AE1414,AE1405,AE$201,AE1423,$D1504))</f>
        <v/>
      </c>
      <c r="AG1504" s="11">
        <f>CodePrefix&amp;$A1504&amp;IF($C1504="","","."&amp;$C1504&amp;"."&amp;$B1504)&amp;INDEX(VarEnd,MATCH($A1504,VarKey,0))&amp;AG$5</f>
        <v/>
      </c>
      <c r="AH1504" s="43">
        <f>AH1468*Settings!$C$13*(AH1396+AH1414+AH1405*AH$201+AH1423*$D1504)</f>
        <v/>
      </c>
      <c r="AI1504" s="44">
        <f>AI1468*Settings!$C$13*(AI1396+AI1414+AI1405*AI$201+AI1423*$D1504)</f>
        <v/>
      </c>
      <c r="AJ1504" s="44">
        <f>AJ1468*Settings!$C$13*(AJ1396+AJ1414+AJ1405*AJ$201+AJ1423*$D1504)</f>
        <v/>
      </c>
      <c r="AK1504" s="44">
        <f>AK1468*Settings!$C$13*(AK1396+AK1414+AK1405*AK$201+AK1423*$D1504)</f>
        <v/>
      </c>
      <c r="AL1504" s="44">
        <f>AL1468*Settings!$C$13*(AL1396+AL1414+AL1405*AL$201+AL1423*$D1504)</f>
        <v/>
      </c>
      <c r="AM1504" s="44">
        <f>AM1468*Settings!$C$13*(AM1396+AM1414+AM1405*AM$201+AM1423*$D1504)</f>
        <v/>
      </c>
      <c r="AN1504" s="44">
        <f>AN1468*Settings!$C$13*(AN1396+AN1414+AN1405*AN$201+AN1423*$D1504)</f>
        <v/>
      </c>
      <c r="AO1504" s="44">
        <f>AO1468*Settings!$C$13*(AO1396+AO1414+AO1405*AO$201+AO1423*$D1504)</f>
        <v/>
      </c>
      <c r="AP1504" s="44">
        <f>AP1468*Settings!$C$13*(AP1396+AP1414+AP1405*AP$201+AP1423*$D1504)</f>
        <v/>
      </c>
      <c r="AQ1504" s="44">
        <f>AQ1468*Settings!$C$13*(AQ1396+AQ1414+AQ1405*AQ$201+AQ1423*$D1504)</f>
        <v/>
      </c>
      <c r="AR1504" s="44">
        <f>AR1468*Settings!$C$13*(AR1396+AR1414+AR1405*AR$201+AR1423*$D1504)</f>
        <v/>
      </c>
      <c r="AS1504" s="44">
        <f>AS1468*Settings!$C$13*(AS1396+AS1414+AS1405*AS$201+AS1423*$D1504)</f>
        <v/>
      </c>
      <c r="AT1504" s="44">
        <f>AT1468*Settings!$C$13*(AT1396+AT1414+AT1405*AT$201+AT1423*$D1504)</f>
        <v/>
      </c>
      <c r="AU1504" s="44">
        <f>AU1468*Settings!$C$13*(AU1396+AU1414+AU1405*AU$201+AU1423*$D1504)</f>
        <v/>
      </c>
      <c r="AV1504" s="44">
        <f>AV1468*Settings!$C$13*(AV1396+AV1414+AV1405*AV$201+AV1423*$D1504)</f>
        <v/>
      </c>
      <c r="AW1504" s="44">
        <f>AW1468*Settings!$C$13*(AW1396+AW1414+AW1405*AW$201+AW1423*$D1504)</f>
        <v/>
      </c>
      <c r="AX1504" s="44">
        <f>AX1468*Settings!$C$13*(AX1396+AX1414+AX1405*AX$201+AX1423*$D1504)</f>
        <v/>
      </c>
      <c r="AY1504" s="44">
        <f>AY1468*Settings!$C$13*(AY1396+AY1414+AY1405*AY$201+AY1423*$D1504)</f>
        <v/>
      </c>
      <c r="AZ1504" s="44">
        <f>AZ1468*Settings!$C$13*(AZ1396+AZ1414+AZ1405*AZ$201+AZ1423*$D1504)</f>
        <v/>
      </c>
      <c r="BA1504" s="57">
        <f>REVENUE(BA1468,Settings!$C$13,NEWREVRATE(BA1396,BA1414,BA1405,BA$201,BA1423,$D1504))</f>
        <v/>
      </c>
    </row>
    <row r="1505" hidden="1" outlineLevel="2">
      <c r="A1505" s="14" t="inlineStr">
        <is>
          <t>rnew</t>
        </is>
      </c>
      <c r="B1505" s="14" t="inlineStr">
        <is>
          <t>oop</t>
        </is>
      </c>
      <c r="C1505" s="14" t="inlineStr">
        <is>
          <t>nav</t>
        </is>
      </c>
      <c r="D1505" s="35">
        <f>INDEX(Inputs!$V$5:$V$132,MATCH($B1505&amp;"|"&amp;$C1505,Inputs!$A$5:$A$132,0))</f>
        <v/>
      </c>
      <c r="E1505" s="39" t="n"/>
      <c r="F1505" s="39" t="n"/>
      <c r="G1505" s="39" t="n"/>
      <c r="H1505" s="14">
        <f>INDEX(VarLab,MATCH($A1505,VarKey,0))&amp;INDEX(MemLab,MATCH($C1505&amp;"|"&amp;$B1505,MemKey,0))</f>
        <v/>
      </c>
      <c r="I1505" s="14">
        <f>INDEX(VarUnit,MATCH($A1505,VarKey,0))</f>
        <v/>
      </c>
      <c r="J1505" s="14">
        <f>INDEX(VarSrc,MATCH($A1505,VarKey,0))</f>
        <v/>
      </c>
      <c r="K1505" s="11">
        <f>CodePrefix&amp;$A1505&amp;IF($C1505="","","."&amp;$C1505&amp;"."&amp;$B1505)&amp;INDEX(VarEnd,MATCH($A1505,VarKey,0))&amp;K$5</f>
        <v/>
      </c>
      <c r="L1505" s="43">
        <f>L1469*Settings!$C$13*(L1397+L1415+L1406*L$201+L1424*$D1505)</f>
        <v/>
      </c>
      <c r="M1505" s="44">
        <f>M1469*Settings!$C$13*(M1397+M1415+M1406*M$201+M1424*$D1505)</f>
        <v/>
      </c>
      <c r="N1505" s="44">
        <f>N1469*Settings!$C$13*(N1397+N1415+N1406*N$201+N1424*$D1505)</f>
        <v/>
      </c>
      <c r="O1505" s="44">
        <f>O1469*Settings!$C$13*(O1397+O1415+O1406*O$201+O1424*$D1505)</f>
        <v/>
      </c>
      <c r="P1505" s="44">
        <f>P1469*Settings!$C$13*(P1397+P1415+P1406*P$201+P1424*$D1505)</f>
        <v/>
      </c>
      <c r="Q1505" s="44">
        <f>Q1469*Settings!$C$13*(Q1397+Q1415+Q1406*Q$201+Q1424*$D1505)</f>
        <v/>
      </c>
      <c r="R1505" s="44">
        <f>R1469*Settings!$C$13*(R1397+R1415+R1406*R$201+R1424*$D1505)</f>
        <v/>
      </c>
      <c r="S1505" s="44">
        <f>S1469*Settings!$C$13*(S1397+S1415+S1406*S$201+S1424*$D1505)</f>
        <v/>
      </c>
      <c r="T1505" s="44">
        <f>T1469*Settings!$C$13*(T1397+T1415+T1406*T$201+T1424*$D1505)</f>
        <v/>
      </c>
      <c r="U1505" s="44">
        <f>U1469*Settings!$C$13*(U1397+U1415+U1406*U$201+U1424*$D1505)</f>
        <v/>
      </c>
      <c r="V1505" s="44">
        <f>V1469*Settings!$C$13*(V1397+V1415+V1406*V$201+V1424*$D1505)</f>
        <v/>
      </c>
      <c r="W1505" s="44">
        <f>W1469*Settings!$C$13*(W1397+W1415+W1406*W$201+W1424*$D1505)</f>
        <v/>
      </c>
      <c r="X1505" s="44">
        <f>X1469*Settings!$C$13*(X1397+X1415+X1406*X$201+X1424*$D1505)</f>
        <v/>
      </c>
      <c r="Y1505" s="44">
        <f>Y1469*Settings!$C$13*(Y1397+Y1415+Y1406*Y$201+Y1424*$D1505)</f>
        <v/>
      </c>
      <c r="Z1505" s="44">
        <f>Z1469*Settings!$C$13*(Z1397+Z1415+Z1406*Z$201+Z1424*$D1505)</f>
        <v/>
      </c>
      <c r="AA1505" s="44">
        <f>AA1469*Settings!$C$13*(AA1397+AA1415+AA1406*AA$201+AA1424*$D1505)</f>
        <v/>
      </c>
      <c r="AB1505" s="44">
        <f>AB1469*Settings!$C$13*(AB1397+AB1415+AB1406*AB$201+AB1424*$D1505)</f>
        <v/>
      </c>
      <c r="AC1505" s="44">
        <f>AC1469*Settings!$C$13*(AC1397+AC1415+AC1406*AC$201+AC1424*$D1505)</f>
        <v/>
      </c>
      <c r="AD1505" s="44">
        <f>AD1469*Settings!$C$13*(AD1397+AD1415+AD1406*AD$201+AD1424*$D1505)</f>
        <v/>
      </c>
      <c r="AE1505" s="57">
        <f>REVENUE(AE1469,Settings!$C$13,NEWREVRATE(AE1397,AE1415,AE1406,AE$201,AE1424,$D1505))</f>
        <v/>
      </c>
      <c r="AG1505" s="11">
        <f>CodePrefix&amp;$A1505&amp;IF($C1505="","","."&amp;$C1505&amp;"."&amp;$B1505)&amp;INDEX(VarEnd,MATCH($A1505,VarKey,0))&amp;AG$5</f>
        <v/>
      </c>
      <c r="AH1505" s="43">
        <f>AH1469*Settings!$C$13*(AH1397+AH1415+AH1406*AH$201+AH1424*$D1505)</f>
        <v/>
      </c>
      <c r="AI1505" s="44">
        <f>AI1469*Settings!$C$13*(AI1397+AI1415+AI1406*AI$201+AI1424*$D1505)</f>
        <v/>
      </c>
      <c r="AJ1505" s="44">
        <f>AJ1469*Settings!$C$13*(AJ1397+AJ1415+AJ1406*AJ$201+AJ1424*$D1505)</f>
        <v/>
      </c>
      <c r="AK1505" s="44">
        <f>AK1469*Settings!$C$13*(AK1397+AK1415+AK1406*AK$201+AK1424*$D1505)</f>
        <v/>
      </c>
      <c r="AL1505" s="44">
        <f>AL1469*Settings!$C$13*(AL1397+AL1415+AL1406*AL$201+AL1424*$D1505)</f>
        <v/>
      </c>
      <c r="AM1505" s="44">
        <f>AM1469*Settings!$C$13*(AM1397+AM1415+AM1406*AM$201+AM1424*$D1505)</f>
        <v/>
      </c>
      <c r="AN1505" s="44">
        <f>AN1469*Settings!$C$13*(AN1397+AN1415+AN1406*AN$201+AN1424*$D1505)</f>
        <v/>
      </c>
      <c r="AO1505" s="44">
        <f>AO1469*Settings!$C$13*(AO1397+AO1415+AO1406*AO$201+AO1424*$D1505)</f>
        <v/>
      </c>
      <c r="AP1505" s="44">
        <f>AP1469*Settings!$C$13*(AP1397+AP1415+AP1406*AP$201+AP1424*$D1505)</f>
        <v/>
      </c>
      <c r="AQ1505" s="44">
        <f>AQ1469*Settings!$C$13*(AQ1397+AQ1415+AQ1406*AQ$201+AQ1424*$D1505)</f>
        <v/>
      </c>
      <c r="AR1505" s="44">
        <f>AR1469*Settings!$C$13*(AR1397+AR1415+AR1406*AR$201+AR1424*$D1505)</f>
        <v/>
      </c>
      <c r="AS1505" s="44">
        <f>AS1469*Settings!$C$13*(AS1397+AS1415+AS1406*AS$201+AS1424*$D1505)</f>
        <v/>
      </c>
      <c r="AT1505" s="44">
        <f>AT1469*Settings!$C$13*(AT1397+AT1415+AT1406*AT$201+AT1424*$D1505)</f>
        <v/>
      </c>
      <c r="AU1505" s="44">
        <f>AU1469*Settings!$C$13*(AU1397+AU1415+AU1406*AU$201+AU1424*$D1505)</f>
        <v/>
      </c>
      <c r="AV1505" s="44">
        <f>AV1469*Settings!$C$13*(AV1397+AV1415+AV1406*AV$201+AV1424*$D1505)</f>
        <v/>
      </c>
      <c r="AW1505" s="44">
        <f>AW1469*Settings!$C$13*(AW1397+AW1415+AW1406*AW$201+AW1424*$D1505)</f>
        <v/>
      </c>
      <c r="AX1505" s="44">
        <f>AX1469*Settings!$C$13*(AX1397+AX1415+AX1406*AX$201+AX1424*$D1505)</f>
        <v/>
      </c>
      <c r="AY1505" s="44">
        <f>AY1469*Settings!$C$13*(AY1397+AY1415+AY1406*AY$201+AY1424*$D1505)</f>
        <v/>
      </c>
      <c r="AZ1505" s="44">
        <f>AZ1469*Settings!$C$13*(AZ1397+AZ1415+AZ1406*AZ$201+AZ1424*$D1505)</f>
        <v/>
      </c>
      <c r="BA1505" s="57">
        <f>REVENUE(BA1469,Settings!$C$13,NEWREVRATE(BA1397,BA1415,BA1406,BA$201,BA1424,$D1505))</f>
        <v/>
      </c>
    </row>
    <row r="1506" hidden="1" outlineLevel="2">
      <c r="A1506" s="14" t="inlineStr">
        <is>
          <t>rnew</t>
        </is>
      </c>
      <c r="B1506" s="14" t="inlineStr">
        <is>
          <t>bio</t>
        </is>
      </c>
      <c r="C1506" s="14" t="inlineStr">
        <is>
          <t>nav</t>
        </is>
      </c>
      <c r="D1506" s="35">
        <f>INDEX(Inputs!$V$5:$V$132,MATCH($B1506&amp;"|"&amp;$C1506,Inputs!$A$5:$A$132,0))</f>
        <v/>
      </c>
      <c r="E1506" s="39" t="n"/>
      <c r="F1506" s="39" t="n"/>
      <c r="G1506" s="39" t="n"/>
      <c r="H1506" s="14">
        <f>INDEX(VarLab,MATCH($A1506,VarKey,0))&amp;INDEX(MemLab,MATCH($C1506&amp;"|"&amp;$B1506,MemKey,0))</f>
        <v/>
      </c>
      <c r="I1506" s="14">
        <f>INDEX(VarUnit,MATCH($A1506,VarKey,0))</f>
        <v/>
      </c>
      <c r="J1506" s="14">
        <f>INDEX(VarSrc,MATCH($A1506,VarKey,0))</f>
        <v/>
      </c>
      <c r="K1506" s="11">
        <f>CodePrefix&amp;$A1506&amp;IF($C1506="","","."&amp;$C1506&amp;"."&amp;$B1506)&amp;INDEX(VarEnd,MATCH($A1506,VarKey,0))&amp;K$5</f>
        <v/>
      </c>
      <c r="L1506" s="43">
        <f>L1470*Settings!$C$13*(L1398+L1416+L1407*L$201+L1425*$D1506)</f>
        <v/>
      </c>
      <c r="M1506" s="44">
        <f>M1470*Settings!$C$13*(M1398+M1416+M1407*M$201+M1425*$D1506)</f>
        <v/>
      </c>
      <c r="N1506" s="44">
        <f>N1470*Settings!$C$13*(N1398+N1416+N1407*N$201+N1425*$D1506)</f>
        <v/>
      </c>
      <c r="O1506" s="44">
        <f>O1470*Settings!$C$13*(O1398+O1416+O1407*O$201+O1425*$D1506)</f>
        <v/>
      </c>
      <c r="P1506" s="44">
        <f>P1470*Settings!$C$13*(P1398+P1416+P1407*P$201+P1425*$D1506)</f>
        <v/>
      </c>
      <c r="Q1506" s="44">
        <f>Q1470*Settings!$C$13*(Q1398+Q1416+Q1407*Q$201+Q1425*$D1506)</f>
        <v/>
      </c>
      <c r="R1506" s="44">
        <f>R1470*Settings!$C$13*(R1398+R1416+R1407*R$201+R1425*$D1506)</f>
        <v/>
      </c>
      <c r="S1506" s="44">
        <f>S1470*Settings!$C$13*(S1398+S1416+S1407*S$201+S1425*$D1506)</f>
        <v/>
      </c>
      <c r="T1506" s="44">
        <f>T1470*Settings!$C$13*(T1398+T1416+T1407*T$201+T1425*$D1506)</f>
        <v/>
      </c>
      <c r="U1506" s="44">
        <f>U1470*Settings!$C$13*(U1398+U1416+U1407*U$201+U1425*$D1506)</f>
        <v/>
      </c>
      <c r="V1506" s="44">
        <f>V1470*Settings!$C$13*(V1398+V1416+V1407*V$201+V1425*$D1506)</f>
        <v/>
      </c>
      <c r="W1506" s="44">
        <f>W1470*Settings!$C$13*(W1398+W1416+W1407*W$201+W1425*$D1506)</f>
        <v/>
      </c>
      <c r="X1506" s="44">
        <f>X1470*Settings!$C$13*(X1398+X1416+X1407*X$201+X1425*$D1506)</f>
        <v/>
      </c>
      <c r="Y1506" s="44">
        <f>Y1470*Settings!$C$13*(Y1398+Y1416+Y1407*Y$201+Y1425*$D1506)</f>
        <v/>
      </c>
      <c r="Z1506" s="44">
        <f>Z1470*Settings!$C$13*(Z1398+Z1416+Z1407*Z$201+Z1425*$D1506)</f>
        <v/>
      </c>
      <c r="AA1506" s="44">
        <f>AA1470*Settings!$C$13*(AA1398+AA1416+AA1407*AA$201+AA1425*$D1506)</f>
        <v/>
      </c>
      <c r="AB1506" s="44">
        <f>AB1470*Settings!$C$13*(AB1398+AB1416+AB1407*AB$201+AB1425*$D1506)</f>
        <v/>
      </c>
      <c r="AC1506" s="44">
        <f>AC1470*Settings!$C$13*(AC1398+AC1416+AC1407*AC$201+AC1425*$D1506)</f>
        <v/>
      </c>
      <c r="AD1506" s="44">
        <f>AD1470*Settings!$C$13*(AD1398+AD1416+AD1407*AD$201+AD1425*$D1506)</f>
        <v/>
      </c>
      <c r="AE1506" s="57">
        <f>REVENUE(AE1470,Settings!$C$13,NEWREVRATE(AE1398,AE1416,AE1407,AE$201,AE1425,$D1506))</f>
        <v/>
      </c>
      <c r="AG1506" s="11">
        <f>CodePrefix&amp;$A1506&amp;IF($C1506="","","."&amp;$C1506&amp;"."&amp;$B1506)&amp;INDEX(VarEnd,MATCH($A1506,VarKey,0))&amp;AG$5</f>
        <v/>
      </c>
      <c r="AH1506" s="43">
        <f>AH1470*Settings!$C$13*(AH1398+AH1416+AH1407*AH$201+AH1425*$D1506)</f>
        <v/>
      </c>
      <c r="AI1506" s="44">
        <f>AI1470*Settings!$C$13*(AI1398+AI1416+AI1407*AI$201+AI1425*$D1506)</f>
        <v/>
      </c>
      <c r="AJ1506" s="44">
        <f>AJ1470*Settings!$C$13*(AJ1398+AJ1416+AJ1407*AJ$201+AJ1425*$D1506)</f>
        <v/>
      </c>
      <c r="AK1506" s="44">
        <f>AK1470*Settings!$C$13*(AK1398+AK1416+AK1407*AK$201+AK1425*$D1506)</f>
        <v/>
      </c>
      <c r="AL1506" s="44">
        <f>AL1470*Settings!$C$13*(AL1398+AL1416+AL1407*AL$201+AL1425*$D1506)</f>
        <v/>
      </c>
      <c r="AM1506" s="44">
        <f>AM1470*Settings!$C$13*(AM1398+AM1416+AM1407*AM$201+AM1425*$D1506)</f>
        <v/>
      </c>
      <c r="AN1506" s="44">
        <f>AN1470*Settings!$C$13*(AN1398+AN1416+AN1407*AN$201+AN1425*$D1506)</f>
        <v/>
      </c>
      <c r="AO1506" s="44">
        <f>AO1470*Settings!$C$13*(AO1398+AO1416+AO1407*AO$201+AO1425*$D1506)</f>
        <v/>
      </c>
      <c r="AP1506" s="44">
        <f>AP1470*Settings!$C$13*(AP1398+AP1416+AP1407*AP$201+AP1425*$D1506)</f>
        <v/>
      </c>
      <c r="AQ1506" s="44">
        <f>AQ1470*Settings!$C$13*(AQ1398+AQ1416+AQ1407*AQ$201+AQ1425*$D1506)</f>
        <v/>
      </c>
      <c r="AR1506" s="44">
        <f>AR1470*Settings!$C$13*(AR1398+AR1416+AR1407*AR$201+AR1425*$D1506)</f>
        <v/>
      </c>
      <c r="AS1506" s="44">
        <f>AS1470*Settings!$C$13*(AS1398+AS1416+AS1407*AS$201+AS1425*$D1506)</f>
        <v/>
      </c>
      <c r="AT1506" s="44">
        <f>AT1470*Settings!$C$13*(AT1398+AT1416+AT1407*AT$201+AT1425*$D1506)</f>
        <v/>
      </c>
      <c r="AU1506" s="44">
        <f>AU1470*Settings!$C$13*(AU1398+AU1416+AU1407*AU$201+AU1425*$D1506)</f>
        <v/>
      </c>
      <c r="AV1506" s="44">
        <f>AV1470*Settings!$C$13*(AV1398+AV1416+AV1407*AV$201+AV1425*$D1506)</f>
        <v/>
      </c>
      <c r="AW1506" s="44">
        <f>AW1470*Settings!$C$13*(AW1398+AW1416+AW1407*AW$201+AW1425*$D1506)</f>
        <v/>
      </c>
      <c r="AX1506" s="44">
        <f>AX1470*Settings!$C$13*(AX1398+AX1416+AX1407*AX$201+AX1425*$D1506)</f>
        <v/>
      </c>
      <c r="AY1506" s="44">
        <f>AY1470*Settings!$C$13*(AY1398+AY1416+AY1407*AY$201+AY1425*$D1506)</f>
        <v/>
      </c>
      <c r="AZ1506" s="44">
        <f>AZ1470*Settings!$C$13*(AZ1398+AZ1416+AZ1407*AZ$201+AZ1425*$D1506)</f>
        <v/>
      </c>
      <c r="BA1506" s="57">
        <f>REVENUE(BA1470,Settings!$C$13,NEWREVRATE(BA1398,BA1416,BA1407,BA$201,BA1425,$D1506))</f>
        <v/>
      </c>
    </row>
    <row r="1507" hidden="1" outlineLevel="2"/>
    <row r="1508" hidden="1" outlineLevel="2">
      <c r="A1508" s="14" t="inlineStr">
        <is>
          <t>rxcp</t>
        </is>
      </c>
      <c r="B1508" s="14" t="inlineStr">
        <is>
          <t>coa</t>
        </is>
      </c>
      <c r="C1508" s="14" t="inlineStr">
        <is>
          <t>nav</t>
        </is>
      </c>
      <c r="D1508" s="39" t="n"/>
      <c r="E1508" s="39" t="n"/>
      <c r="F1508" s="39" t="n"/>
      <c r="G1508" s="39" t="n"/>
      <c r="H1508" s="14">
        <f>INDEX(VarLab,MATCH($A1508,VarKey,0))&amp;INDEX(MemLab,MATCH($C1508&amp;"|"&amp;$B1508,MemKey,0))</f>
        <v/>
      </c>
      <c r="I1508" s="14">
        <f>INDEX(VarUnit,MATCH($A1508,VarKey,0))</f>
        <v/>
      </c>
      <c r="J1508" s="14">
        <f>INDEX(VarSrc,MATCH($A1508,VarKey,0))</f>
        <v/>
      </c>
      <c r="K1508" s="11">
        <f>CodePrefix&amp;$A1508&amp;IF($C1508="","","."&amp;$C1508&amp;"."&amp;$B1508)&amp;INDEX(VarEnd,MATCH($A1508,VarKey,0))&amp;K$5</f>
        <v/>
      </c>
      <c r="L1508" s="43">
        <f>L1463*Settings!$C$13*(L1427)</f>
        <v/>
      </c>
      <c r="M1508" s="44">
        <f>M1463*Settings!$C$13*(M1427)</f>
        <v/>
      </c>
      <c r="N1508" s="44">
        <f>N1463*Settings!$C$13*(N1427)</f>
        <v/>
      </c>
      <c r="O1508" s="44">
        <f>O1463*Settings!$C$13*(O1427)</f>
        <v/>
      </c>
      <c r="P1508" s="44">
        <f>P1463*Settings!$C$13*(P1427)</f>
        <v/>
      </c>
      <c r="Q1508" s="44">
        <f>Q1463*Settings!$C$13*(Q1427)</f>
        <v/>
      </c>
      <c r="R1508" s="44">
        <f>R1463*Settings!$C$13*(R1427)</f>
        <v/>
      </c>
      <c r="S1508" s="44">
        <f>S1463*Settings!$C$13*(S1427)</f>
        <v/>
      </c>
      <c r="T1508" s="44">
        <f>T1463*Settings!$C$13*(T1427)</f>
        <v/>
      </c>
      <c r="U1508" s="44">
        <f>U1463*Settings!$C$13*(U1427)</f>
        <v/>
      </c>
      <c r="V1508" s="44">
        <f>V1463*Settings!$C$13*(V1427)</f>
        <v/>
      </c>
      <c r="W1508" s="44">
        <f>W1463*Settings!$C$13*(W1427)</f>
        <v/>
      </c>
      <c r="X1508" s="44">
        <f>X1463*Settings!$C$13*(X1427)</f>
        <v/>
      </c>
      <c r="Y1508" s="44">
        <f>Y1463*Settings!$C$13*(Y1427)</f>
        <v/>
      </c>
      <c r="Z1508" s="44">
        <f>Z1463*Settings!$C$13*(Z1427)</f>
        <v/>
      </c>
      <c r="AA1508" s="44">
        <f>AA1463*Settings!$C$13*(AA1427)</f>
        <v/>
      </c>
      <c r="AB1508" s="44">
        <f>AB1463*Settings!$C$13*(AB1427)</f>
        <v/>
      </c>
      <c r="AC1508" s="44">
        <f>AC1463*Settings!$C$13*(AC1427)</f>
        <v/>
      </c>
      <c r="AD1508" s="44">
        <f>AD1463*Settings!$C$13*(AD1427)</f>
        <v/>
      </c>
      <c r="AE1508" s="57">
        <f>REVENUE(AE1463,Settings!$C$13,AE1427)</f>
        <v/>
      </c>
      <c r="AG1508" s="11">
        <f>CodePrefix&amp;$A1508&amp;IF($C1508="","","."&amp;$C1508&amp;"."&amp;$B1508)&amp;INDEX(VarEnd,MATCH($A1508,VarKey,0))&amp;AG$5</f>
        <v/>
      </c>
      <c r="AH1508" s="43">
        <f>AH1463*Settings!$C$13*(AH1427)</f>
        <v/>
      </c>
      <c r="AI1508" s="44">
        <f>AI1463*Settings!$C$13*(AI1427)</f>
        <v/>
      </c>
      <c r="AJ1508" s="44">
        <f>AJ1463*Settings!$C$13*(AJ1427)</f>
        <v/>
      </c>
      <c r="AK1508" s="44">
        <f>AK1463*Settings!$C$13*(AK1427)</f>
        <v/>
      </c>
      <c r="AL1508" s="44">
        <f>AL1463*Settings!$C$13*(AL1427)</f>
        <v/>
      </c>
      <c r="AM1508" s="44">
        <f>AM1463*Settings!$C$13*(AM1427)</f>
        <v/>
      </c>
      <c r="AN1508" s="44">
        <f>AN1463*Settings!$C$13*(AN1427)</f>
        <v/>
      </c>
      <c r="AO1508" s="44">
        <f>AO1463*Settings!$C$13*(AO1427)</f>
        <v/>
      </c>
      <c r="AP1508" s="44">
        <f>AP1463*Settings!$C$13*(AP1427)</f>
        <v/>
      </c>
      <c r="AQ1508" s="44">
        <f>AQ1463*Settings!$C$13*(AQ1427)</f>
        <v/>
      </c>
      <c r="AR1508" s="44">
        <f>AR1463*Settings!$C$13*(AR1427)</f>
        <v/>
      </c>
      <c r="AS1508" s="44">
        <f>AS1463*Settings!$C$13*(AS1427)</f>
        <v/>
      </c>
      <c r="AT1508" s="44">
        <f>AT1463*Settings!$C$13*(AT1427)</f>
        <v/>
      </c>
      <c r="AU1508" s="44">
        <f>AU1463*Settings!$C$13*(AU1427)</f>
        <v/>
      </c>
      <c r="AV1508" s="44">
        <f>AV1463*Settings!$C$13*(AV1427)</f>
        <v/>
      </c>
      <c r="AW1508" s="44">
        <f>AW1463*Settings!$C$13*(AW1427)</f>
        <v/>
      </c>
      <c r="AX1508" s="44">
        <f>AX1463*Settings!$C$13*(AX1427)</f>
        <v/>
      </c>
      <c r="AY1508" s="44">
        <f>AY1463*Settings!$C$13*(AY1427)</f>
        <v/>
      </c>
      <c r="AZ1508" s="44">
        <f>AZ1463*Settings!$C$13*(AZ1427)</f>
        <v/>
      </c>
      <c r="BA1508" s="57">
        <f>REVENUE(BA1463,Settings!$C$13,BA1427)</f>
        <v/>
      </c>
    </row>
    <row r="1509" hidden="1" outlineLevel="2">
      <c r="A1509" s="14" t="inlineStr">
        <is>
          <t>rxcp</t>
        </is>
      </c>
      <c r="B1509" s="14" t="inlineStr">
        <is>
          <t>nga</t>
        </is>
      </c>
      <c r="C1509" s="14" t="inlineStr">
        <is>
          <t>nav</t>
        </is>
      </c>
      <c r="D1509" s="39" t="n"/>
      <c r="E1509" s="39" t="n"/>
      <c r="F1509" s="39" t="n"/>
      <c r="G1509" s="39" t="n"/>
      <c r="H1509" s="14">
        <f>INDEX(VarLab,MATCH($A1509,VarKey,0))&amp;INDEX(MemLab,MATCH($C1509&amp;"|"&amp;$B1509,MemKey,0))</f>
        <v/>
      </c>
      <c r="I1509" s="14">
        <f>INDEX(VarUnit,MATCH($A1509,VarKey,0))</f>
        <v/>
      </c>
      <c r="J1509" s="14">
        <f>INDEX(VarSrc,MATCH($A1509,VarKey,0))</f>
        <v/>
      </c>
      <c r="K1509" s="11">
        <f>CodePrefix&amp;$A1509&amp;IF($C1509="","","."&amp;$C1509&amp;"."&amp;$B1509)&amp;INDEX(VarEnd,MATCH($A1509,VarKey,0))&amp;K$5</f>
        <v/>
      </c>
      <c r="L1509" s="43">
        <f>L1464*Settings!$C$13*(L1428)</f>
        <v/>
      </c>
      <c r="M1509" s="44">
        <f>M1464*Settings!$C$13*(M1428)</f>
        <v/>
      </c>
      <c r="N1509" s="44">
        <f>N1464*Settings!$C$13*(N1428)</f>
        <v/>
      </c>
      <c r="O1509" s="44">
        <f>O1464*Settings!$C$13*(O1428)</f>
        <v/>
      </c>
      <c r="P1509" s="44">
        <f>P1464*Settings!$C$13*(P1428)</f>
        <v/>
      </c>
      <c r="Q1509" s="44">
        <f>Q1464*Settings!$C$13*(Q1428)</f>
        <v/>
      </c>
      <c r="R1509" s="44">
        <f>R1464*Settings!$C$13*(R1428)</f>
        <v/>
      </c>
      <c r="S1509" s="44">
        <f>S1464*Settings!$C$13*(S1428)</f>
        <v/>
      </c>
      <c r="T1509" s="44">
        <f>T1464*Settings!$C$13*(T1428)</f>
        <v/>
      </c>
      <c r="U1509" s="44">
        <f>U1464*Settings!$C$13*(U1428)</f>
        <v/>
      </c>
      <c r="V1509" s="44">
        <f>V1464*Settings!$C$13*(V1428)</f>
        <v/>
      </c>
      <c r="W1509" s="44">
        <f>W1464*Settings!$C$13*(W1428)</f>
        <v/>
      </c>
      <c r="X1509" s="44">
        <f>X1464*Settings!$C$13*(X1428)</f>
        <v/>
      </c>
      <c r="Y1509" s="44">
        <f>Y1464*Settings!$C$13*(Y1428)</f>
        <v/>
      </c>
      <c r="Z1509" s="44">
        <f>Z1464*Settings!$C$13*(Z1428)</f>
        <v/>
      </c>
      <c r="AA1509" s="44">
        <f>AA1464*Settings!$C$13*(AA1428)</f>
        <v/>
      </c>
      <c r="AB1509" s="44">
        <f>AB1464*Settings!$C$13*(AB1428)</f>
        <v/>
      </c>
      <c r="AC1509" s="44">
        <f>AC1464*Settings!$C$13*(AC1428)</f>
        <v/>
      </c>
      <c r="AD1509" s="44">
        <f>AD1464*Settings!$C$13*(AD1428)</f>
        <v/>
      </c>
      <c r="AE1509" s="57">
        <f>REVENUE(AE1464,Settings!$C$13,AE1428)</f>
        <v/>
      </c>
      <c r="AG1509" s="11">
        <f>CodePrefix&amp;$A1509&amp;IF($C1509="","","."&amp;$C1509&amp;"."&amp;$B1509)&amp;INDEX(VarEnd,MATCH($A1509,VarKey,0))&amp;AG$5</f>
        <v/>
      </c>
      <c r="AH1509" s="43">
        <f>AH1464*Settings!$C$13*(AH1428)</f>
        <v/>
      </c>
      <c r="AI1509" s="44">
        <f>AI1464*Settings!$C$13*(AI1428)</f>
        <v/>
      </c>
      <c r="AJ1509" s="44">
        <f>AJ1464*Settings!$C$13*(AJ1428)</f>
        <v/>
      </c>
      <c r="AK1509" s="44">
        <f>AK1464*Settings!$C$13*(AK1428)</f>
        <v/>
      </c>
      <c r="AL1509" s="44">
        <f>AL1464*Settings!$C$13*(AL1428)</f>
        <v/>
      </c>
      <c r="AM1509" s="44">
        <f>AM1464*Settings!$C$13*(AM1428)</f>
        <v/>
      </c>
      <c r="AN1509" s="44">
        <f>AN1464*Settings!$C$13*(AN1428)</f>
        <v/>
      </c>
      <c r="AO1509" s="44">
        <f>AO1464*Settings!$C$13*(AO1428)</f>
        <v/>
      </c>
      <c r="AP1509" s="44">
        <f>AP1464*Settings!$C$13*(AP1428)</f>
        <v/>
      </c>
      <c r="AQ1509" s="44">
        <f>AQ1464*Settings!$C$13*(AQ1428)</f>
        <v/>
      </c>
      <c r="AR1509" s="44">
        <f>AR1464*Settings!$C$13*(AR1428)</f>
        <v/>
      </c>
      <c r="AS1509" s="44">
        <f>AS1464*Settings!$C$13*(AS1428)</f>
        <v/>
      </c>
      <c r="AT1509" s="44">
        <f>AT1464*Settings!$C$13*(AT1428)</f>
        <v/>
      </c>
      <c r="AU1509" s="44">
        <f>AU1464*Settings!$C$13*(AU1428)</f>
        <v/>
      </c>
      <c r="AV1509" s="44">
        <f>AV1464*Settings!$C$13*(AV1428)</f>
        <v/>
      </c>
      <c r="AW1509" s="44">
        <f>AW1464*Settings!$C$13*(AW1428)</f>
        <v/>
      </c>
      <c r="AX1509" s="44">
        <f>AX1464*Settings!$C$13*(AX1428)</f>
        <v/>
      </c>
      <c r="AY1509" s="44">
        <f>AY1464*Settings!$C$13*(AY1428)</f>
        <v/>
      </c>
      <c r="AZ1509" s="44">
        <f>AZ1464*Settings!$C$13*(AZ1428)</f>
        <v/>
      </c>
      <c r="BA1509" s="57">
        <f>REVENUE(BA1464,Settings!$C$13,BA1428)</f>
        <v/>
      </c>
    </row>
    <row r="1510" hidden="1" outlineLevel="2">
      <c r="A1510" s="14" t="inlineStr">
        <is>
          <t>rxcp</t>
        </is>
      </c>
      <c r="B1510" s="14" t="inlineStr">
        <is>
          <t>gso</t>
        </is>
      </c>
      <c r="C1510" s="14" t="inlineStr">
        <is>
          <t>nav</t>
        </is>
      </c>
      <c r="D1510" s="39" t="n"/>
      <c r="E1510" s="39" t="n"/>
      <c r="F1510" s="39" t="n"/>
      <c r="G1510" s="39" t="n"/>
      <c r="H1510" s="14">
        <f>INDEX(VarLab,MATCH($A1510,VarKey,0))&amp;INDEX(MemLab,MATCH($C1510&amp;"|"&amp;$B1510,MemKey,0))</f>
        <v/>
      </c>
      <c r="I1510" s="14">
        <f>INDEX(VarUnit,MATCH($A1510,VarKey,0))</f>
        <v/>
      </c>
      <c r="J1510" s="14">
        <f>INDEX(VarSrc,MATCH($A1510,VarKey,0))</f>
        <v/>
      </c>
      <c r="K1510" s="11">
        <f>CodePrefix&amp;$A1510&amp;IF($C1510="","","."&amp;$C1510&amp;"."&amp;$B1510)&amp;INDEX(VarEnd,MATCH($A1510,VarKey,0))&amp;K$5</f>
        <v/>
      </c>
      <c r="L1510" s="43">
        <f>L1465*Settings!$C$13*(L1429)</f>
        <v/>
      </c>
      <c r="M1510" s="44">
        <f>M1465*Settings!$C$13*(M1429)</f>
        <v/>
      </c>
      <c r="N1510" s="44">
        <f>N1465*Settings!$C$13*(N1429)</f>
        <v/>
      </c>
      <c r="O1510" s="44">
        <f>O1465*Settings!$C$13*(O1429)</f>
        <v/>
      </c>
      <c r="P1510" s="44">
        <f>P1465*Settings!$C$13*(P1429)</f>
        <v/>
      </c>
      <c r="Q1510" s="44">
        <f>Q1465*Settings!$C$13*(Q1429)</f>
        <v/>
      </c>
      <c r="R1510" s="44">
        <f>R1465*Settings!$C$13*(R1429)</f>
        <v/>
      </c>
      <c r="S1510" s="44">
        <f>S1465*Settings!$C$13*(S1429)</f>
        <v/>
      </c>
      <c r="T1510" s="44">
        <f>T1465*Settings!$C$13*(T1429)</f>
        <v/>
      </c>
      <c r="U1510" s="44">
        <f>U1465*Settings!$C$13*(U1429)</f>
        <v/>
      </c>
      <c r="V1510" s="44">
        <f>V1465*Settings!$C$13*(V1429)</f>
        <v/>
      </c>
      <c r="W1510" s="44">
        <f>W1465*Settings!$C$13*(W1429)</f>
        <v/>
      </c>
      <c r="X1510" s="44">
        <f>X1465*Settings!$C$13*(X1429)</f>
        <v/>
      </c>
      <c r="Y1510" s="44">
        <f>Y1465*Settings!$C$13*(Y1429)</f>
        <v/>
      </c>
      <c r="Z1510" s="44">
        <f>Z1465*Settings!$C$13*(Z1429)</f>
        <v/>
      </c>
      <c r="AA1510" s="44">
        <f>AA1465*Settings!$C$13*(AA1429)</f>
        <v/>
      </c>
      <c r="AB1510" s="44">
        <f>AB1465*Settings!$C$13*(AB1429)</f>
        <v/>
      </c>
      <c r="AC1510" s="44">
        <f>AC1465*Settings!$C$13*(AC1429)</f>
        <v/>
      </c>
      <c r="AD1510" s="44">
        <f>AD1465*Settings!$C$13*(AD1429)</f>
        <v/>
      </c>
      <c r="AE1510" s="57">
        <f>REVENUE(AE1465,Settings!$C$13,AE1429)</f>
        <v/>
      </c>
      <c r="AG1510" s="11">
        <f>CodePrefix&amp;$A1510&amp;IF($C1510="","","."&amp;$C1510&amp;"."&amp;$B1510)&amp;INDEX(VarEnd,MATCH($A1510,VarKey,0))&amp;AG$5</f>
        <v/>
      </c>
      <c r="AH1510" s="43">
        <f>AH1465*Settings!$C$13*(AH1429)</f>
        <v/>
      </c>
      <c r="AI1510" s="44">
        <f>AI1465*Settings!$C$13*(AI1429)</f>
        <v/>
      </c>
      <c r="AJ1510" s="44">
        <f>AJ1465*Settings!$C$13*(AJ1429)</f>
        <v/>
      </c>
      <c r="AK1510" s="44">
        <f>AK1465*Settings!$C$13*(AK1429)</f>
        <v/>
      </c>
      <c r="AL1510" s="44">
        <f>AL1465*Settings!$C$13*(AL1429)</f>
        <v/>
      </c>
      <c r="AM1510" s="44">
        <f>AM1465*Settings!$C$13*(AM1429)</f>
        <v/>
      </c>
      <c r="AN1510" s="44">
        <f>AN1465*Settings!$C$13*(AN1429)</f>
        <v/>
      </c>
      <c r="AO1510" s="44">
        <f>AO1465*Settings!$C$13*(AO1429)</f>
        <v/>
      </c>
      <c r="AP1510" s="44">
        <f>AP1465*Settings!$C$13*(AP1429)</f>
        <v/>
      </c>
      <c r="AQ1510" s="44">
        <f>AQ1465*Settings!$C$13*(AQ1429)</f>
        <v/>
      </c>
      <c r="AR1510" s="44">
        <f>AR1465*Settings!$C$13*(AR1429)</f>
        <v/>
      </c>
      <c r="AS1510" s="44">
        <f>AS1465*Settings!$C$13*(AS1429)</f>
        <v/>
      </c>
      <c r="AT1510" s="44">
        <f>AT1465*Settings!$C$13*(AT1429)</f>
        <v/>
      </c>
      <c r="AU1510" s="44">
        <f>AU1465*Settings!$C$13*(AU1429)</f>
        <v/>
      </c>
      <c r="AV1510" s="44">
        <f>AV1465*Settings!$C$13*(AV1429)</f>
        <v/>
      </c>
      <c r="AW1510" s="44">
        <f>AW1465*Settings!$C$13*(AW1429)</f>
        <v/>
      </c>
      <c r="AX1510" s="44">
        <f>AX1465*Settings!$C$13*(AX1429)</f>
        <v/>
      </c>
      <c r="AY1510" s="44">
        <f>AY1465*Settings!$C$13*(AY1429)</f>
        <v/>
      </c>
      <c r="AZ1510" s="44">
        <f>AZ1465*Settings!$C$13*(AZ1429)</f>
        <v/>
      </c>
      <c r="BA1510" s="57">
        <f>REVENUE(BA1465,Settings!$C$13,BA1429)</f>
        <v/>
      </c>
    </row>
    <row r="1511" hidden="1" outlineLevel="2">
      <c r="A1511" s="14" t="inlineStr">
        <is>
          <t>rxcp</t>
        </is>
      </c>
      <c r="B1511" s="14" t="inlineStr">
        <is>
          <t>die</t>
        </is>
      </c>
      <c r="C1511" s="14" t="inlineStr">
        <is>
          <t>nav</t>
        </is>
      </c>
      <c r="D1511" s="39" t="n"/>
      <c r="E1511" s="39" t="n"/>
      <c r="F1511" s="39" t="n"/>
      <c r="G1511" s="39" t="n"/>
      <c r="H1511" s="14">
        <f>INDEX(VarLab,MATCH($A1511,VarKey,0))&amp;INDEX(MemLab,MATCH($C1511&amp;"|"&amp;$B1511,MemKey,0))</f>
        <v/>
      </c>
      <c r="I1511" s="14">
        <f>INDEX(VarUnit,MATCH($A1511,VarKey,0))</f>
        <v/>
      </c>
      <c r="J1511" s="14">
        <f>INDEX(VarSrc,MATCH($A1511,VarKey,0))</f>
        <v/>
      </c>
      <c r="K1511" s="11">
        <f>CodePrefix&amp;$A1511&amp;IF($C1511="","","."&amp;$C1511&amp;"."&amp;$B1511)&amp;INDEX(VarEnd,MATCH($A1511,VarKey,0))&amp;K$5</f>
        <v/>
      </c>
      <c r="L1511" s="43">
        <f>L1466*Settings!$C$13*(L1430)</f>
        <v/>
      </c>
      <c r="M1511" s="44">
        <f>M1466*Settings!$C$13*(M1430)</f>
        <v/>
      </c>
      <c r="N1511" s="44">
        <f>N1466*Settings!$C$13*(N1430)</f>
        <v/>
      </c>
      <c r="O1511" s="44">
        <f>O1466*Settings!$C$13*(O1430)</f>
        <v/>
      </c>
      <c r="P1511" s="44">
        <f>P1466*Settings!$C$13*(P1430)</f>
        <v/>
      </c>
      <c r="Q1511" s="44">
        <f>Q1466*Settings!$C$13*(Q1430)</f>
        <v/>
      </c>
      <c r="R1511" s="44">
        <f>R1466*Settings!$C$13*(R1430)</f>
        <v/>
      </c>
      <c r="S1511" s="44">
        <f>S1466*Settings!$C$13*(S1430)</f>
        <v/>
      </c>
      <c r="T1511" s="44">
        <f>T1466*Settings!$C$13*(T1430)</f>
        <v/>
      </c>
      <c r="U1511" s="44">
        <f>U1466*Settings!$C$13*(U1430)</f>
        <v/>
      </c>
      <c r="V1511" s="44">
        <f>V1466*Settings!$C$13*(V1430)</f>
        <v/>
      </c>
      <c r="W1511" s="44">
        <f>W1466*Settings!$C$13*(W1430)</f>
        <v/>
      </c>
      <c r="X1511" s="44">
        <f>X1466*Settings!$C$13*(X1430)</f>
        <v/>
      </c>
      <c r="Y1511" s="44">
        <f>Y1466*Settings!$C$13*(Y1430)</f>
        <v/>
      </c>
      <c r="Z1511" s="44">
        <f>Z1466*Settings!$C$13*(Z1430)</f>
        <v/>
      </c>
      <c r="AA1511" s="44">
        <f>AA1466*Settings!$C$13*(AA1430)</f>
        <v/>
      </c>
      <c r="AB1511" s="44">
        <f>AB1466*Settings!$C$13*(AB1430)</f>
        <v/>
      </c>
      <c r="AC1511" s="44">
        <f>AC1466*Settings!$C$13*(AC1430)</f>
        <v/>
      </c>
      <c r="AD1511" s="44">
        <f>AD1466*Settings!$C$13*(AD1430)</f>
        <v/>
      </c>
      <c r="AE1511" s="57">
        <f>REVENUE(AE1466,Settings!$C$13,AE1430)</f>
        <v/>
      </c>
      <c r="AG1511" s="11">
        <f>CodePrefix&amp;$A1511&amp;IF($C1511="","","."&amp;$C1511&amp;"."&amp;$B1511)&amp;INDEX(VarEnd,MATCH($A1511,VarKey,0))&amp;AG$5</f>
        <v/>
      </c>
      <c r="AH1511" s="43">
        <f>AH1466*Settings!$C$13*(AH1430)</f>
        <v/>
      </c>
      <c r="AI1511" s="44">
        <f>AI1466*Settings!$C$13*(AI1430)</f>
        <v/>
      </c>
      <c r="AJ1511" s="44">
        <f>AJ1466*Settings!$C$13*(AJ1430)</f>
        <v/>
      </c>
      <c r="AK1511" s="44">
        <f>AK1466*Settings!$C$13*(AK1430)</f>
        <v/>
      </c>
      <c r="AL1511" s="44">
        <f>AL1466*Settings!$C$13*(AL1430)</f>
        <v/>
      </c>
      <c r="AM1511" s="44">
        <f>AM1466*Settings!$C$13*(AM1430)</f>
        <v/>
      </c>
      <c r="AN1511" s="44">
        <f>AN1466*Settings!$C$13*(AN1430)</f>
        <v/>
      </c>
      <c r="AO1511" s="44">
        <f>AO1466*Settings!$C$13*(AO1430)</f>
        <v/>
      </c>
      <c r="AP1511" s="44">
        <f>AP1466*Settings!$C$13*(AP1430)</f>
        <v/>
      </c>
      <c r="AQ1511" s="44">
        <f>AQ1466*Settings!$C$13*(AQ1430)</f>
        <v/>
      </c>
      <c r="AR1511" s="44">
        <f>AR1466*Settings!$C$13*(AR1430)</f>
        <v/>
      </c>
      <c r="AS1511" s="44">
        <f>AS1466*Settings!$C$13*(AS1430)</f>
        <v/>
      </c>
      <c r="AT1511" s="44">
        <f>AT1466*Settings!$C$13*(AT1430)</f>
        <v/>
      </c>
      <c r="AU1511" s="44">
        <f>AU1466*Settings!$C$13*(AU1430)</f>
        <v/>
      </c>
      <c r="AV1511" s="44">
        <f>AV1466*Settings!$C$13*(AV1430)</f>
        <v/>
      </c>
      <c r="AW1511" s="44">
        <f>AW1466*Settings!$C$13*(AW1430)</f>
        <v/>
      </c>
      <c r="AX1511" s="44">
        <f>AX1466*Settings!$C$13*(AX1430)</f>
        <v/>
      </c>
      <c r="AY1511" s="44">
        <f>AY1466*Settings!$C$13*(AY1430)</f>
        <v/>
      </c>
      <c r="AZ1511" s="44">
        <f>AZ1466*Settings!$C$13*(AZ1430)</f>
        <v/>
      </c>
      <c r="BA1511" s="57">
        <f>REVENUE(BA1466,Settings!$C$13,BA1430)</f>
        <v/>
      </c>
    </row>
    <row r="1512" hidden="1" outlineLevel="2">
      <c r="A1512" s="14" t="inlineStr">
        <is>
          <t>rxcp</t>
        </is>
      </c>
      <c r="B1512" s="14" t="inlineStr">
        <is>
          <t>lpg</t>
        </is>
      </c>
      <c r="C1512" s="14" t="inlineStr">
        <is>
          <t>nav</t>
        </is>
      </c>
      <c r="D1512" s="39" t="n"/>
      <c r="E1512" s="39" t="n"/>
      <c r="F1512" s="39" t="n"/>
      <c r="G1512" s="39" t="n"/>
      <c r="H1512" s="14">
        <f>INDEX(VarLab,MATCH($A1512,VarKey,0))&amp;INDEX(MemLab,MATCH($C1512&amp;"|"&amp;$B1512,MemKey,0))</f>
        <v/>
      </c>
      <c r="I1512" s="14">
        <f>INDEX(VarUnit,MATCH($A1512,VarKey,0))</f>
        <v/>
      </c>
      <c r="J1512" s="14">
        <f>INDEX(VarSrc,MATCH($A1512,VarKey,0))</f>
        <v/>
      </c>
      <c r="K1512" s="11">
        <f>CodePrefix&amp;$A1512&amp;IF($C1512="","","."&amp;$C1512&amp;"."&amp;$B1512)&amp;INDEX(VarEnd,MATCH($A1512,VarKey,0))&amp;K$5</f>
        <v/>
      </c>
      <c r="L1512" s="43">
        <f>L1467*Settings!$C$13*(L1431)</f>
        <v/>
      </c>
      <c r="M1512" s="44">
        <f>M1467*Settings!$C$13*(M1431)</f>
        <v/>
      </c>
      <c r="N1512" s="44">
        <f>N1467*Settings!$C$13*(N1431)</f>
        <v/>
      </c>
      <c r="O1512" s="44">
        <f>O1467*Settings!$C$13*(O1431)</f>
        <v/>
      </c>
      <c r="P1512" s="44">
        <f>P1467*Settings!$C$13*(P1431)</f>
        <v/>
      </c>
      <c r="Q1512" s="44">
        <f>Q1467*Settings!$C$13*(Q1431)</f>
        <v/>
      </c>
      <c r="R1512" s="44">
        <f>R1467*Settings!$C$13*(R1431)</f>
        <v/>
      </c>
      <c r="S1512" s="44">
        <f>S1467*Settings!$C$13*(S1431)</f>
        <v/>
      </c>
      <c r="T1512" s="44">
        <f>T1467*Settings!$C$13*(T1431)</f>
        <v/>
      </c>
      <c r="U1512" s="44">
        <f>U1467*Settings!$C$13*(U1431)</f>
        <v/>
      </c>
      <c r="V1512" s="44">
        <f>V1467*Settings!$C$13*(V1431)</f>
        <v/>
      </c>
      <c r="W1512" s="44">
        <f>W1467*Settings!$C$13*(W1431)</f>
        <v/>
      </c>
      <c r="X1512" s="44">
        <f>X1467*Settings!$C$13*(X1431)</f>
        <v/>
      </c>
      <c r="Y1512" s="44">
        <f>Y1467*Settings!$C$13*(Y1431)</f>
        <v/>
      </c>
      <c r="Z1512" s="44">
        <f>Z1467*Settings!$C$13*(Z1431)</f>
        <v/>
      </c>
      <c r="AA1512" s="44">
        <f>AA1467*Settings!$C$13*(AA1431)</f>
        <v/>
      </c>
      <c r="AB1512" s="44">
        <f>AB1467*Settings!$C$13*(AB1431)</f>
        <v/>
      </c>
      <c r="AC1512" s="44">
        <f>AC1467*Settings!$C$13*(AC1431)</f>
        <v/>
      </c>
      <c r="AD1512" s="44">
        <f>AD1467*Settings!$C$13*(AD1431)</f>
        <v/>
      </c>
      <c r="AE1512" s="57">
        <f>REVENUE(AE1467,Settings!$C$13,AE1431)</f>
        <v/>
      </c>
      <c r="AG1512" s="11">
        <f>CodePrefix&amp;$A1512&amp;IF($C1512="","","."&amp;$C1512&amp;"."&amp;$B1512)&amp;INDEX(VarEnd,MATCH($A1512,VarKey,0))&amp;AG$5</f>
        <v/>
      </c>
      <c r="AH1512" s="43">
        <f>AH1467*Settings!$C$13*(AH1431)</f>
        <v/>
      </c>
      <c r="AI1512" s="44">
        <f>AI1467*Settings!$C$13*(AI1431)</f>
        <v/>
      </c>
      <c r="AJ1512" s="44">
        <f>AJ1467*Settings!$C$13*(AJ1431)</f>
        <v/>
      </c>
      <c r="AK1512" s="44">
        <f>AK1467*Settings!$C$13*(AK1431)</f>
        <v/>
      </c>
      <c r="AL1512" s="44">
        <f>AL1467*Settings!$C$13*(AL1431)</f>
        <v/>
      </c>
      <c r="AM1512" s="44">
        <f>AM1467*Settings!$C$13*(AM1431)</f>
        <v/>
      </c>
      <c r="AN1512" s="44">
        <f>AN1467*Settings!$C$13*(AN1431)</f>
        <v/>
      </c>
      <c r="AO1512" s="44">
        <f>AO1467*Settings!$C$13*(AO1431)</f>
        <v/>
      </c>
      <c r="AP1512" s="44">
        <f>AP1467*Settings!$C$13*(AP1431)</f>
        <v/>
      </c>
      <c r="AQ1512" s="44">
        <f>AQ1467*Settings!$C$13*(AQ1431)</f>
        <v/>
      </c>
      <c r="AR1512" s="44">
        <f>AR1467*Settings!$C$13*(AR1431)</f>
        <v/>
      </c>
      <c r="AS1512" s="44">
        <f>AS1467*Settings!$C$13*(AS1431)</f>
        <v/>
      </c>
      <c r="AT1512" s="44">
        <f>AT1467*Settings!$C$13*(AT1431)</f>
        <v/>
      </c>
      <c r="AU1512" s="44">
        <f>AU1467*Settings!$C$13*(AU1431)</f>
        <v/>
      </c>
      <c r="AV1512" s="44">
        <f>AV1467*Settings!$C$13*(AV1431)</f>
        <v/>
      </c>
      <c r="AW1512" s="44">
        <f>AW1467*Settings!$C$13*(AW1431)</f>
        <v/>
      </c>
      <c r="AX1512" s="44">
        <f>AX1467*Settings!$C$13*(AX1431)</f>
        <v/>
      </c>
      <c r="AY1512" s="44">
        <f>AY1467*Settings!$C$13*(AY1431)</f>
        <v/>
      </c>
      <c r="AZ1512" s="44">
        <f>AZ1467*Settings!$C$13*(AZ1431)</f>
        <v/>
      </c>
      <c r="BA1512" s="57">
        <f>REVENUE(BA1467,Settings!$C$13,BA1431)</f>
        <v/>
      </c>
    </row>
    <row r="1513" hidden="1" outlineLevel="2">
      <c r="A1513" s="14" t="inlineStr">
        <is>
          <t>rxcp</t>
        </is>
      </c>
      <c r="B1513" s="14" t="inlineStr">
        <is>
          <t>ker</t>
        </is>
      </c>
      <c r="C1513" s="14" t="inlineStr">
        <is>
          <t>nav</t>
        </is>
      </c>
      <c r="D1513" s="39" t="n"/>
      <c r="E1513" s="39" t="n"/>
      <c r="F1513" s="39" t="n"/>
      <c r="G1513" s="39" t="n"/>
      <c r="H1513" s="14">
        <f>INDEX(VarLab,MATCH($A1513,VarKey,0))&amp;INDEX(MemLab,MATCH($C1513&amp;"|"&amp;$B1513,MemKey,0))</f>
        <v/>
      </c>
      <c r="I1513" s="14">
        <f>INDEX(VarUnit,MATCH($A1513,VarKey,0))</f>
        <v/>
      </c>
      <c r="J1513" s="14">
        <f>INDEX(VarSrc,MATCH($A1513,VarKey,0))</f>
        <v/>
      </c>
      <c r="K1513" s="11">
        <f>CodePrefix&amp;$A1513&amp;IF($C1513="","","."&amp;$C1513&amp;"."&amp;$B1513)&amp;INDEX(VarEnd,MATCH($A1513,VarKey,0))&amp;K$5</f>
        <v/>
      </c>
      <c r="L1513" s="43">
        <f>L1468*Settings!$C$13*(L1432)</f>
        <v/>
      </c>
      <c r="M1513" s="44">
        <f>M1468*Settings!$C$13*(M1432)</f>
        <v/>
      </c>
      <c r="N1513" s="44">
        <f>N1468*Settings!$C$13*(N1432)</f>
        <v/>
      </c>
      <c r="O1513" s="44">
        <f>O1468*Settings!$C$13*(O1432)</f>
        <v/>
      </c>
      <c r="P1513" s="44">
        <f>P1468*Settings!$C$13*(P1432)</f>
        <v/>
      </c>
      <c r="Q1513" s="44">
        <f>Q1468*Settings!$C$13*(Q1432)</f>
        <v/>
      </c>
      <c r="R1513" s="44">
        <f>R1468*Settings!$C$13*(R1432)</f>
        <v/>
      </c>
      <c r="S1513" s="44">
        <f>S1468*Settings!$C$13*(S1432)</f>
        <v/>
      </c>
      <c r="T1513" s="44">
        <f>T1468*Settings!$C$13*(T1432)</f>
        <v/>
      </c>
      <c r="U1513" s="44">
        <f>U1468*Settings!$C$13*(U1432)</f>
        <v/>
      </c>
      <c r="V1513" s="44">
        <f>V1468*Settings!$C$13*(V1432)</f>
        <v/>
      </c>
      <c r="W1513" s="44">
        <f>W1468*Settings!$C$13*(W1432)</f>
        <v/>
      </c>
      <c r="X1513" s="44">
        <f>X1468*Settings!$C$13*(X1432)</f>
        <v/>
      </c>
      <c r="Y1513" s="44">
        <f>Y1468*Settings!$C$13*(Y1432)</f>
        <v/>
      </c>
      <c r="Z1513" s="44">
        <f>Z1468*Settings!$C$13*(Z1432)</f>
        <v/>
      </c>
      <c r="AA1513" s="44">
        <f>AA1468*Settings!$C$13*(AA1432)</f>
        <v/>
      </c>
      <c r="AB1513" s="44">
        <f>AB1468*Settings!$C$13*(AB1432)</f>
        <v/>
      </c>
      <c r="AC1513" s="44">
        <f>AC1468*Settings!$C$13*(AC1432)</f>
        <v/>
      </c>
      <c r="AD1513" s="44">
        <f>AD1468*Settings!$C$13*(AD1432)</f>
        <v/>
      </c>
      <c r="AE1513" s="57">
        <f>REVENUE(AE1468,Settings!$C$13,AE1432)</f>
        <v/>
      </c>
      <c r="AG1513" s="11">
        <f>CodePrefix&amp;$A1513&amp;IF($C1513="","","."&amp;$C1513&amp;"."&amp;$B1513)&amp;INDEX(VarEnd,MATCH($A1513,VarKey,0))&amp;AG$5</f>
        <v/>
      </c>
      <c r="AH1513" s="43">
        <f>AH1468*Settings!$C$13*(AH1432)</f>
        <v/>
      </c>
      <c r="AI1513" s="44">
        <f>AI1468*Settings!$C$13*(AI1432)</f>
        <v/>
      </c>
      <c r="AJ1513" s="44">
        <f>AJ1468*Settings!$C$13*(AJ1432)</f>
        <v/>
      </c>
      <c r="AK1513" s="44">
        <f>AK1468*Settings!$C$13*(AK1432)</f>
        <v/>
      </c>
      <c r="AL1513" s="44">
        <f>AL1468*Settings!$C$13*(AL1432)</f>
        <v/>
      </c>
      <c r="AM1513" s="44">
        <f>AM1468*Settings!$C$13*(AM1432)</f>
        <v/>
      </c>
      <c r="AN1513" s="44">
        <f>AN1468*Settings!$C$13*(AN1432)</f>
        <v/>
      </c>
      <c r="AO1513" s="44">
        <f>AO1468*Settings!$C$13*(AO1432)</f>
        <v/>
      </c>
      <c r="AP1513" s="44">
        <f>AP1468*Settings!$C$13*(AP1432)</f>
        <v/>
      </c>
      <c r="AQ1513" s="44">
        <f>AQ1468*Settings!$C$13*(AQ1432)</f>
        <v/>
      </c>
      <c r="AR1513" s="44">
        <f>AR1468*Settings!$C$13*(AR1432)</f>
        <v/>
      </c>
      <c r="AS1513" s="44">
        <f>AS1468*Settings!$C$13*(AS1432)</f>
        <v/>
      </c>
      <c r="AT1513" s="44">
        <f>AT1468*Settings!$C$13*(AT1432)</f>
        <v/>
      </c>
      <c r="AU1513" s="44">
        <f>AU1468*Settings!$C$13*(AU1432)</f>
        <v/>
      </c>
      <c r="AV1513" s="44">
        <f>AV1468*Settings!$C$13*(AV1432)</f>
        <v/>
      </c>
      <c r="AW1513" s="44">
        <f>AW1468*Settings!$C$13*(AW1432)</f>
        <v/>
      </c>
      <c r="AX1513" s="44">
        <f>AX1468*Settings!$C$13*(AX1432)</f>
        <v/>
      </c>
      <c r="AY1513" s="44">
        <f>AY1468*Settings!$C$13*(AY1432)</f>
        <v/>
      </c>
      <c r="AZ1513" s="44">
        <f>AZ1468*Settings!$C$13*(AZ1432)</f>
        <v/>
      </c>
      <c r="BA1513" s="57">
        <f>REVENUE(BA1468,Settings!$C$13,BA1432)</f>
        <v/>
      </c>
    </row>
    <row r="1514" hidden="1" outlineLevel="2">
      <c r="A1514" s="14" t="inlineStr">
        <is>
          <t>rxcp</t>
        </is>
      </c>
      <c r="B1514" s="14" t="inlineStr">
        <is>
          <t>oop</t>
        </is>
      </c>
      <c r="C1514" s="14" t="inlineStr">
        <is>
          <t>nav</t>
        </is>
      </c>
      <c r="D1514" s="39" t="n"/>
      <c r="E1514" s="39" t="n"/>
      <c r="F1514" s="39" t="n"/>
      <c r="G1514" s="39" t="n"/>
      <c r="H1514" s="14">
        <f>INDEX(VarLab,MATCH($A1514,VarKey,0))&amp;INDEX(MemLab,MATCH($C1514&amp;"|"&amp;$B1514,MemKey,0))</f>
        <v/>
      </c>
      <c r="I1514" s="14">
        <f>INDEX(VarUnit,MATCH($A1514,VarKey,0))</f>
        <v/>
      </c>
      <c r="J1514" s="14">
        <f>INDEX(VarSrc,MATCH($A1514,VarKey,0))</f>
        <v/>
      </c>
      <c r="K1514" s="11">
        <f>CodePrefix&amp;$A1514&amp;IF($C1514="","","."&amp;$C1514&amp;"."&amp;$B1514)&amp;INDEX(VarEnd,MATCH($A1514,VarKey,0))&amp;K$5</f>
        <v/>
      </c>
      <c r="L1514" s="43">
        <f>L1469*Settings!$C$13*(L1433)</f>
        <v/>
      </c>
      <c r="M1514" s="44">
        <f>M1469*Settings!$C$13*(M1433)</f>
        <v/>
      </c>
      <c r="N1514" s="44">
        <f>N1469*Settings!$C$13*(N1433)</f>
        <v/>
      </c>
      <c r="O1514" s="44">
        <f>O1469*Settings!$C$13*(O1433)</f>
        <v/>
      </c>
      <c r="P1514" s="44">
        <f>P1469*Settings!$C$13*(P1433)</f>
        <v/>
      </c>
      <c r="Q1514" s="44">
        <f>Q1469*Settings!$C$13*(Q1433)</f>
        <v/>
      </c>
      <c r="R1514" s="44">
        <f>R1469*Settings!$C$13*(R1433)</f>
        <v/>
      </c>
      <c r="S1514" s="44">
        <f>S1469*Settings!$C$13*(S1433)</f>
        <v/>
      </c>
      <c r="T1514" s="44">
        <f>T1469*Settings!$C$13*(T1433)</f>
        <v/>
      </c>
      <c r="U1514" s="44">
        <f>U1469*Settings!$C$13*(U1433)</f>
        <v/>
      </c>
      <c r="V1514" s="44">
        <f>V1469*Settings!$C$13*(V1433)</f>
        <v/>
      </c>
      <c r="W1514" s="44">
        <f>W1469*Settings!$C$13*(W1433)</f>
        <v/>
      </c>
      <c r="X1514" s="44">
        <f>X1469*Settings!$C$13*(X1433)</f>
        <v/>
      </c>
      <c r="Y1514" s="44">
        <f>Y1469*Settings!$C$13*(Y1433)</f>
        <v/>
      </c>
      <c r="Z1514" s="44">
        <f>Z1469*Settings!$C$13*(Z1433)</f>
        <v/>
      </c>
      <c r="AA1514" s="44">
        <f>AA1469*Settings!$C$13*(AA1433)</f>
        <v/>
      </c>
      <c r="AB1514" s="44">
        <f>AB1469*Settings!$C$13*(AB1433)</f>
        <v/>
      </c>
      <c r="AC1514" s="44">
        <f>AC1469*Settings!$C$13*(AC1433)</f>
        <v/>
      </c>
      <c r="AD1514" s="44">
        <f>AD1469*Settings!$C$13*(AD1433)</f>
        <v/>
      </c>
      <c r="AE1514" s="57">
        <f>REVENUE(AE1469,Settings!$C$13,AE1433)</f>
        <v/>
      </c>
      <c r="AG1514" s="11">
        <f>CodePrefix&amp;$A1514&amp;IF($C1514="","","."&amp;$C1514&amp;"."&amp;$B1514)&amp;INDEX(VarEnd,MATCH($A1514,VarKey,0))&amp;AG$5</f>
        <v/>
      </c>
      <c r="AH1514" s="43">
        <f>AH1469*Settings!$C$13*(AH1433)</f>
        <v/>
      </c>
      <c r="AI1514" s="44">
        <f>AI1469*Settings!$C$13*(AI1433)</f>
        <v/>
      </c>
      <c r="AJ1514" s="44">
        <f>AJ1469*Settings!$C$13*(AJ1433)</f>
        <v/>
      </c>
      <c r="AK1514" s="44">
        <f>AK1469*Settings!$C$13*(AK1433)</f>
        <v/>
      </c>
      <c r="AL1514" s="44">
        <f>AL1469*Settings!$C$13*(AL1433)</f>
        <v/>
      </c>
      <c r="AM1514" s="44">
        <f>AM1469*Settings!$C$13*(AM1433)</f>
        <v/>
      </c>
      <c r="AN1514" s="44">
        <f>AN1469*Settings!$C$13*(AN1433)</f>
        <v/>
      </c>
      <c r="AO1514" s="44">
        <f>AO1469*Settings!$C$13*(AO1433)</f>
        <v/>
      </c>
      <c r="AP1514" s="44">
        <f>AP1469*Settings!$C$13*(AP1433)</f>
        <v/>
      </c>
      <c r="AQ1514" s="44">
        <f>AQ1469*Settings!$C$13*(AQ1433)</f>
        <v/>
      </c>
      <c r="AR1514" s="44">
        <f>AR1469*Settings!$C$13*(AR1433)</f>
        <v/>
      </c>
      <c r="AS1514" s="44">
        <f>AS1469*Settings!$C$13*(AS1433)</f>
        <v/>
      </c>
      <c r="AT1514" s="44">
        <f>AT1469*Settings!$C$13*(AT1433)</f>
        <v/>
      </c>
      <c r="AU1514" s="44">
        <f>AU1469*Settings!$C$13*(AU1433)</f>
        <v/>
      </c>
      <c r="AV1514" s="44">
        <f>AV1469*Settings!$C$13*(AV1433)</f>
        <v/>
      </c>
      <c r="AW1514" s="44">
        <f>AW1469*Settings!$C$13*(AW1433)</f>
        <v/>
      </c>
      <c r="AX1514" s="44">
        <f>AX1469*Settings!$C$13*(AX1433)</f>
        <v/>
      </c>
      <c r="AY1514" s="44">
        <f>AY1469*Settings!$C$13*(AY1433)</f>
        <v/>
      </c>
      <c r="AZ1514" s="44">
        <f>AZ1469*Settings!$C$13*(AZ1433)</f>
        <v/>
      </c>
      <c r="BA1514" s="57">
        <f>REVENUE(BA1469,Settings!$C$13,BA1433)</f>
        <v/>
      </c>
    </row>
    <row r="1515" hidden="1" outlineLevel="2">
      <c r="A1515" s="14" t="inlineStr">
        <is>
          <t>rxcp</t>
        </is>
      </c>
      <c r="B1515" s="14" t="inlineStr">
        <is>
          <t>bio</t>
        </is>
      </c>
      <c r="C1515" s="14" t="inlineStr">
        <is>
          <t>nav</t>
        </is>
      </c>
      <c r="D1515" s="39" t="n"/>
      <c r="E1515" s="39" t="n"/>
      <c r="F1515" s="39" t="n"/>
      <c r="G1515" s="39" t="n"/>
      <c r="H1515" s="14">
        <f>INDEX(VarLab,MATCH($A1515,VarKey,0))&amp;INDEX(MemLab,MATCH($C1515&amp;"|"&amp;$B1515,MemKey,0))</f>
        <v/>
      </c>
      <c r="I1515" s="14">
        <f>INDEX(VarUnit,MATCH($A1515,VarKey,0))</f>
        <v/>
      </c>
      <c r="J1515" s="14">
        <f>INDEX(VarSrc,MATCH($A1515,VarKey,0))</f>
        <v/>
      </c>
      <c r="K1515" s="11">
        <f>CodePrefix&amp;$A1515&amp;IF($C1515="","","."&amp;$C1515&amp;"."&amp;$B1515)&amp;INDEX(VarEnd,MATCH($A1515,VarKey,0))&amp;K$5</f>
        <v/>
      </c>
      <c r="L1515" s="43">
        <f>L1470*Settings!$C$13*(L1434)</f>
        <v/>
      </c>
      <c r="M1515" s="44">
        <f>M1470*Settings!$C$13*(M1434)</f>
        <v/>
      </c>
      <c r="N1515" s="44">
        <f>N1470*Settings!$C$13*(N1434)</f>
        <v/>
      </c>
      <c r="O1515" s="44">
        <f>O1470*Settings!$C$13*(O1434)</f>
        <v/>
      </c>
      <c r="P1515" s="44">
        <f>P1470*Settings!$C$13*(P1434)</f>
        <v/>
      </c>
      <c r="Q1515" s="44">
        <f>Q1470*Settings!$C$13*(Q1434)</f>
        <v/>
      </c>
      <c r="R1515" s="44">
        <f>R1470*Settings!$C$13*(R1434)</f>
        <v/>
      </c>
      <c r="S1515" s="44">
        <f>S1470*Settings!$C$13*(S1434)</f>
        <v/>
      </c>
      <c r="T1515" s="44">
        <f>T1470*Settings!$C$13*(T1434)</f>
        <v/>
      </c>
      <c r="U1515" s="44">
        <f>U1470*Settings!$C$13*(U1434)</f>
        <v/>
      </c>
      <c r="V1515" s="44">
        <f>V1470*Settings!$C$13*(V1434)</f>
        <v/>
      </c>
      <c r="W1515" s="44">
        <f>W1470*Settings!$C$13*(W1434)</f>
        <v/>
      </c>
      <c r="X1515" s="44">
        <f>X1470*Settings!$C$13*(X1434)</f>
        <v/>
      </c>
      <c r="Y1515" s="44">
        <f>Y1470*Settings!$C$13*(Y1434)</f>
        <v/>
      </c>
      <c r="Z1515" s="44">
        <f>Z1470*Settings!$C$13*(Z1434)</f>
        <v/>
      </c>
      <c r="AA1515" s="44">
        <f>AA1470*Settings!$C$13*(AA1434)</f>
        <v/>
      </c>
      <c r="AB1515" s="44">
        <f>AB1470*Settings!$C$13*(AB1434)</f>
        <v/>
      </c>
      <c r="AC1515" s="44">
        <f>AC1470*Settings!$C$13*(AC1434)</f>
        <v/>
      </c>
      <c r="AD1515" s="44">
        <f>AD1470*Settings!$C$13*(AD1434)</f>
        <v/>
      </c>
      <c r="AE1515" s="57">
        <f>REVENUE(AE1470,Settings!$C$13,AE1434)</f>
        <v/>
      </c>
      <c r="AG1515" s="11">
        <f>CodePrefix&amp;$A1515&amp;IF($C1515="","","."&amp;$C1515&amp;"."&amp;$B1515)&amp;INDEX(VarEnd,MATCH($A1515,VarKey,0))&amp;AG$5</f>
        <v/>
      </c>
      <c r="AH1515" s="43">
        <f>AH1470*Settings!$C$13*(AH1434)</f>
        <v/>
      </c>
      <c r="AI1515" s="44">
        <f>AI1470*Settings!$C$13*(AI1434)</f>
        <v/>
      </c>
      <c r="AJ1515" s="44">
        <f>AJ1470*Settings!$C$13*(AJ1434)</f>
        <v/>
      </c>
      <c r="AK1515" s="44">
        <f>AK1470*Settings!$C$13*(AK1434)</f>
        <v/>
      </c>
      <c r="AL1515" s="44">
        <f>AL1470*Settings!$C$13*(AL1434)</f>
        <v/>
      </c>
      <c r="AM1515" s="44">
        <f>AM1470*Settings!$C$13*(AM1434)</f>
        <v/>
      </c>
      <c r="AN1515" s="44">
        <f>AN1470*Settings!$C$13*(AN1434)</f>
        <v/>
      </c>
      <c r="AO1515" s="44">
        <f>AO1470*Settings!$C$13*(AO1434)</f>
        <v/>
      </c>
      <c r="AP1515" s="44">
        <f>AP1470*Settings!$C$13*(AP1434)</f>
        <v/>
      </c>
      <c r="AQ1515" s="44">
        <f>AQ1470*Settings!$C$13*(AQ1434)</f>
        <v/>
      </c>
      <c r="AR1515" s="44">
        <f>AR1470*Settings!$C$13*(AR1434)</f>
        <v/>
      </c>
      <c r="AS1515" s="44">
        <f>AS1470*Settings!$C$13*(AS1434)</f>
        <v/>
      </c>
      <c r="AT1515" s="44">
        <f>AT1470*Settings!$C$13*(AT1434)</f>
        <v/>
      </c>
      <c r="AU1515" s="44">
        <f>AU1470*Settings!$C$13*(AU1434)</f>
        <v/>
      </c>
      <c r="AV1515" s="44">
        <f>AV1470*Settings!$C$13*(AV1434)</f>
        <v/>
      </c>
      <c r="AW1515" s="44">
        <f>AW1470*Settings!$C$13*(AW1434)</f>
        <v/>
      </c>
      <c r="AX1515" s="44">
        <f>AX1470*Settings!$C$13*(AX1434)</f>
        <v/>
      </c>
      <c r="AY1515" s="44">
        <f>AY1470*Settings!$C$13*(AY1434)</f>
        <v/>
      </c>
      <c r="AZ1515" s="44">
        <f>AZ1470*Settings!$C$13*(AZ1434)</f>
        <v/>
      </c>
      <c r="BA1515" s="57">
        <f>REVENUE(BA1470,Settings!$C$13,BA1434)</f>
        <v/>
      </c>
    </row>
    <row r="1516" hidden="1" outlineLevel="2"/>
    <row r="1517" collapsed="1"/>
    <row r="1518">
      <c r="A1518" s="4" t="inlineStr">
        <is>
          <t>6. Buildings sector</t>
        </is>
      </c>
      <c r="B1518" s="5" t="n"/>
      <c r="C1518" s="5" t="n"/>
      <c r="D1518" s="5" t="n"/>
      <c r="E1518" s="5" t="n"/>
      <c r="F1518" s="5" t="n"/>
      <c r="G1518" s="5" t="n"/>
      <c r="H1518" s="5" t="n"/>
      <c r="I1518" s="5" t="n"/>
      <c r="J1518" s="5" t="n"/>
      <c r="K1518" s="5" t="n"/>
      <c r="L1518" s="5" t="n"/>
      <c r="M1518" s="5" t="n"/>
      <c r="N1518" s="5" t="n"/>
      <c r="O1518" s="5" t="n"/>
      <c r="P1518" s="5" t="n"/>
      <c r="Q1518" s="5" t="n"/>
      <c r="R1518" s="5" t="n"/>
      <c r="S1518" s="5" t="n"/>
      <c r="T1518" s="5" t="n"/>
      <c r="U1518" s="5" t="n"/>
      <c r="V1518" s="5" t="n"/>
      <c r="W1518" s="5" t="n"/>
      <c r="X1518" s="5" t="n"/>
      <c r="Y1518" s="5" t="n"/>
      <c r="Z1518" s="5" t="n"/>
      <c r="AA1518" s="5" t="n"/>
      <c r="AB1518" s="5" t="n"/>
      <c r="AC1518" s="5" t="n"/>
      <c r="AD1518" s="5" t="n"/>
      <c r="AE1518" s="5" t="n"/>
      <c r="AF1518" s="5" t="n"/>
      <c r="AG1518" s="5" t="n"/>
      <c r="AH1518" s="5" t="n"/>
      <c r="AI1518" s="5" t="n"/>
      <c r="AJ1518" s="5" t="n"/>
      <c r="AK1518" s="5" t="n"/>
      <c r="AL1518" s="5" t="n"/>
      <c r="AM1518" s="5" t="n"/>
      <c r="AN1518" s="5" t="n"/>
      <c r="AO1518" s="5" t="n"/>
      <c r="AP1518" s="5" t="n"/>
      <c r="AQ1518" s="5" t="n"/>
      <c r="AR1518" s="5" t="n"/>
      <c r="AS1518" s="5" t="n"/>
      <c r="AT1518" s="5" t="n"/>
      <c r="AU1518" s="5" t="n"/>
      <c r="AV1518" s="5" t="n"/>
      <c r="AW1518" s="5" t="n"/>
      <c r="AX1518" s="5" t="n"/>
      <c r="AY1518" s="5" t="n"/>
      <c r="AZ1518" s="5" t="n"/>
      <c r="BA1518" s="5" t="n"/>
      <c r="BB1518" s="5" t="n"/>
    </row>
    <row r="1519">
      <c r="A1519" s="1" t="inlineStr">
        <is>
          <t>ener</t>
        </is>
      </c>
      <c r="B1519" s="1" t="inlineStr">
        <is>
          <t>all</t>
        </is>
      </c>
      <c r="C1519" s="1" t="inlineStr">
        <is>
          <t>bld</t>
        </is>
      </c>
      <c r="H1519" s="1">
        <f>INDEX(VarLab,MATCH($A1519,VarKey,0))&amp;INDEX(MemLab,MATCH($C1519&amp;"|"&amp;$B1519,MemKey,0))</f>
        <v/>
      </c>
      <c r="I1519" s="1">
        <f>INDEX(VarUnit,MATCH($A1519,VarKey,0))</f>
        <v/>
      </c>
      <c r="J1519" s="1">
        <f>INDEX(VarSrc,MATCH($A1519,VarKey,0))</f>
        <v/>
      </c>
      <c r="K1519" s="17">
        <f>CodePrefix&amp;$A1519&amp;IF($C1519="","","."&amp;$C1519&amp;"."&amp;$B1519)&amp;INDEX(VarEnd,MATCH($A1519,VarKey,0))&amp;K$5</f>
        <v/>
      </c>
      <c r="L1519" s="68">
        <f>SUMIFS(L1520:L1903,$A1520:$A1903,"ener",$B1520:$B1903,"&lt;&gt;all")</f>
        <v/>
      </c>
      <c r="M1519" s="69">
        <f>SUMIFS(M1520:M1903,$A1520:$A1903,"ener",$B1520:$B1903,"&lt;&gt;all")</f>
        <v/>
      </c>
      <c r="N1519" s="69">
        <f>SUMIFS(N1520:N1903,$A1520:$A1903,"ener",$B1520:$B1903,"&lt;&gt;all")</f>
        <v/>
      </c>
      <c r="O1519" s="69">
        <f>SUMIFS(O1520:O1903,$A1520:$A1903,"ener",$B1520:$B1903,"&lt;&gt;all")</f>
        <v/>
      </c>
      <c r="P1519" s="69">
        <f>SUMIFS(P1520:P1903,$A1520:$A1903,"ener",$B1520:$B1903,"&lt;&gt;all")</f>
        <v/>
      </c>
      <c r="Q1519" s="69">
        <f>SUMIFS(Q1520:Q1903,$A1520:$A1903,"ener",$B1520:$B1903,"&lt;&gt;all")</f>
        <v/>
      </c>
      <c r="R1519" s="69">
        <f>SUMIFS(R1520:R1903,$A1520:$A1903,"ener",$B1520:$B1903,"&lt;&gt;all")</f>
        <v/>
      </c>
      <c r="S1519" s="69">
        <f>SUMIFS(S1520:S1903,$A1520:$A1903,"ener",$B1520:$B1903,"&lt;&gt;all")</f>
        <v/>
      </c>
      <c r="T1519" s="69">
        <f>SUMIFS(T1520:T1903,$A1520:$A1903,"ener",$B1520:$B1903,"&lt;&gt;all")</f>
        <v/>
      </c>
      <c r="U1519" s="69">
        <f>SUMIFS(U1520:U1903,$A1520:$A1903,"ener",$B1520:$B1903,"&lt;&gt;all")</f>
        <v/>
      </c>
      <c r="V1519" s="69">
        <f>SUMIFS(V1520:V1903,$A1520:$A1903,"ener",$B1520:$B1903,"&lt;&gt;all")</f>
        <v/>
      </c>
      <c r="W1519" s="69">
        <f>SUMIFS(W1520:W1903,$A1520:$A1903,"ener",$B1520:$B1903,"&lt;&gt;all")</f>
        <v/>
      </c>
      <c r="X1519" s="69">
        <f>SUMIFS(X1520:X1903,$A1520:$A1903,"ener",$B1520:$B1903,"&lt;&gt;all")</f>
        <v/>
      </c>
      <c r="Y1519" s="69">
        <f>SUMIFS(Y1520:Y1903,$A1520:$A1903,"ener",$B1520:$B1903,"&lt;&gt;all")</f>
        <v/>
      </c>
      <c r="Z1519" s="69">
        <f>SUMIFS(Z1520:Z1903,$A1520:$A1903,"ener",$B1520:$B1903,"&lt;&gt;all")</f>
        <v/>
      </c>
      <c r="AA1519" s="69">
        <f>SUMIFS(AA1520:AA1903,$A1520:$A1903,"ener",$B1520:$B1903,"&lt;&gt;all")</f>
        <v/>
      </c>
      <c r="AB1519" s="69">
        <f>SUMIFS(AB1520:AB1903,$A1520:$A1903,"ener",$B1520:$B1903,"&lt;&gt;all")</f>
        <v/>
      </c>
      <c r="AC1519" s="69">
        <f>SUMIFS(AC1520:AC1903,$A1520:$A1903,"ener",$B1520:$B1903,"&lt;&gt;all")</f>
        <v/>
      </c>
      <c r="AD1519" s="69">
        <f>SUMIFS(AD1520:AD1903,$A1520:$A1903,"ener",$B1520:$B1903,"&lt;&gt;all")</f>
        <v/>
      </c>
      <c r="AE1519" s="69">
        <f>SUMIFS(AE1520:AE1903,$A1520:$A1903,"ener",$B1520:$B1903,"&lt;&gt;all")</f>
        <v/>
      </c>
      <c r="AG1519" s="17">
        <f>CodePrefix&amp;$A1519&amp;IF($C1519="","","."&amp;$C1519&amp;"."&amp;$B1519)&amp;INDEX(VarEnd,MATCH($A1519,VarKey,0))&amp;AG$5</f>
        <v/>
      </c>
      <c r="AH1519" s="68">
        <f>SUMIFS(AH1520:AH1903,$A1520:$A1903,"ener",$B1520:$B1903,"&lt;&gt;all")</f>
        <v/>
      </c>
      <c r="AI1519" s="69">
        <f>SUMIFS(AI1520:AI1903,$A1520:$A1903,"ener",$B1520:$B1903,"&lt;&gt;all")</f>
        <v/>
      </c>
      <c r="AJ1519" s="69">
        <f>SUMIFS(AJ1520:AJ1903,$A1520:$A1903,"ener",$B1520:$B1903,"&lt;&gt;all")</f>
        <v/>
      </c>
      <c r="AK1519" s="69">
        <f>SUMIFS(AK1520:AK1903,$A1520:$A1903,"ener",$B1520:$B1903,"&lt;&gt;all")</f>
        <v/>
      </c>
      <c r="AL1519" s="69">
        <f>SUMIFS(AL1520:AL1903,$A1520:$A1903,"ener",$B1520:$B1903,"&lt;&gt;all")</f>
        <v/>
      </c>
      <c r="AM1519" s="69">
        <f>SUMIFS(AM1520:AM1903,$A1520:$A1903,"ener",$B1520:$B1903,"&lt;&gt;all")</f>
        <v/>
      </c>
      <c r="AN1519" s="69">
        <f>SUMIFS(AN1520:AN1903,$A1520:$A1903,"ener",$B1520:$B1903,"&lt;&gt;all")</f>
        <v/>
      </c>
      <c r="AO1519" s="69">
        <f>SUMIFS(AO1520:AO1903,$A1520:$A1903,"ener",$B1520:$B1903,"&lt;&gt;all")</f>
        <v/>
      </c>
      <c r="AP1519" s="69">
        <f>SUMIFS(AP1520:AP1903,$A1520:$A1903,"ener",$B1520:$B1903,"&lt;&gt;all")</f>
        <v/>
      </c>
      <c r="AQ1519" s="69">
        <f>SUMIFS(AQ1520:AQ1903,$A1520:$A1903,"ener",$B1520:$B1903,"&lt;&gt;all")</f>
        <v/>
      </c>
      <c r="AR1519" s="69">
        <f>SUMIFS(AR1520:AR1903,$A1520:$A1903,"ener",$B1520:$B1903,"&lt;&gt;all")</f>
        <v/>
      </c>
      <c r="AS1519" s="69">
        <f>SUMIFS(AS1520:AS1903,$A1520:$A1903,"ener",$B1520:$B1903,"&lt;&gt;all")</f>
        <v/>
      </c>
      <c r="AT1519" s="69">
        <f>SUMIFS(AT1520:AT1903,$A1520:$A1903,"ener",$B1520:$B1903,"&lt;&gt;all")</f>
        <v/>
      </c>
      <c r="AU1519" s="69">
        <f>SUMIFS(AU1520:AU1903,$A1520:$A1903,"ener",$B1520:$B1903,"&lt;&gt;all")</f>
        <v/>
      </c>
      <c r="AV1519" s="69">
        <f>SUMIFS(AV1520:AV1903,$A1520:$A1903,"ener",$B1520:$B1903,"&lt;&gt;all")</f>
        <v/>
      </c>
      <c r="AW1519" s="69">
        <f>SUMIFS(AW1520:AW1903,$A1520:$A1903,"ener",$B1520:$B1903,"&lt;&gt;all")</f>
        <v/>
      </c>
      <c r="AX1519" s="69">
        <f>SUMIFS(AX1520:AX1903,$A1520:$A1903,"ener",$B1520:$B1903,"&lt;&gt;all")</f>
        <v/>
      </c>
      <c r="AY1519" s="69">
        <f>SUMIFS(AY1520:AY1903,$A1520:$A1903,"ener",$B1520:$B1903,"&lt;&gt;all")</f>
        <v/>
      </c>
      <c r="AZ1519" s="69">
        <f>SUMIFS(AZ1520:AZ1903,$A1520:$A1903,"ener",$B1520:$B1903,"&lt;&gt;all")</f>
        <v/>
      </c>
      <c r="BA1519" s="69">
        <f>SUMIFS(BA1520:BA1903,$A1520:$A1903,"ener",$B1520:$B1903,"&lt;&gt;all")</f>
        <v/>
      </c>
    </row>
    <row r="1520" hidden="1" outlineLevel="1">
      <c r="A1520" s="1" t="inlineStr">
        <is>
          <t>ener</t>
        </is>
      </c>
      <c r="B1520" s="1" t="inlineStr">
        <is>
          <t>all</t>
        </is>
      </c>
      <c r="C1520" s="1" t="inlineStr">
        <is>
          <t>res</t>
        </is>
      </c>
      <c r="H1520" s="1">
        <f>INDEX(VarLab,MATCH($A1520,VarKey,0))&amp;INDEX(MemLab,MATCH($C1520&amp;"|"&amp;$B1520,MemKey,0))</f>
        <v/>
      </c>
      <c r="I1520" s="1">
        <f>INDEX(VarUnit,MATCH($A1520,VarKey,0))</f>
        <v/>
      </c>
      <c r="J1520" s="1">
        <f>INDEX(VarSrc,MATCH($A1520,VarKey,0))</f>
        <v/>
      </c>
      <c r="K1520" s="17">
        <f>CodePrefix&amp;$A1520&amp;IF($C1520="","","."&amp;$C1520&amp;"."&amp;$B1520)&amp;INDEX(VarEnd,MATCH($A1520,VarKey,0))&amp;K$5</f>
        <v/>
      </c>
      <c r="L1520" s="68">
        <f>SUM(L1594:L1601)</f>
        <v/>
      </c>
      <c r="M1520" s="69">
        <f>SUM(M1594:M1601)</f>
        <v/>
      </c>
      <c r="N1520" s="69">
        <f>SUM(N1594:N1601)</f>
        <v/>
      </c>
      <c r="O1520" s="69">
        <f>SUM(O1594:O1601)</f>
        <v/>
      </c>
      <c r="P1520" s="69">
        <f>SUM(P1594:P1601)</f>
        <v/>
      </c>
      <c r="Q1520" s="69">
        <f>SUM(Q1594:Q1601)</f>
        <v/>
      </c>
      <c r="R1520" s="69">
        <f>SUM(R1594:R1601)</f>
        <v/>
      </c>
      <c r="S1520" s="69">
        <f>SUM(S1594:S1601)</f>
        <v/>
      </c>
      <c r="T1520" s="69">
        <f>SUM(T1594:T1601)</f>
        <v/>
      </c>
      <c r="U1520" s="69">
        <f>SUM(U1594:U1601)</f>
        <v/>
      </c>
      <c r="V1520" s="69">
        <f>SUM(V1594:V1601)</f>
        <v/>
      </c>
      <c r="W1520" s="69">
        <f>SUM(W1594:W1601)</f>
        <v/>
      </c>
      <c r="X1520" s="69">
        <f>SUM(X1594:X1601)</f>
        <v/>
      </c>
      <c r="Y1520" s="69">
        <f>SUM(Y1594:Y1601)</f>
        <v/>
      </c>
      <c r="Z1520" s="69">
        <f>SUM(Z1594:Z1601)</f>
        <v/>
      </c>
      <c r="AA1520" s="69">
        <f>SUM(AA1594:AA1601)</f>
        <v/>
      </c>
      <c r="AB1520" s="69">
        <f>SUM(AB1594:AB1601)</f>
        <v/>
      </c>
      <c r="AC1520" s="69">
        <f>SUM(AC1594:AC1601)</f>
        <v/>
      </c>
      <c r="AD1520" s="69">
        <f>SUM(AD1594:AD1601)</f>
        <v/>
      </c>
      <c r="AE1520" s="69">
        <f>SUM(AE1594:AE1601)</f>
        <v/>
      </c>
      <c r="AG1520" s="17">
        <f>CodePrefix&amp;$A1520&amp;IF($C1520="","","."&amp;$C1520&amp;"."&amp;$B1520)&amp;INDEX(VarEnd,MATCH($A1520,VarKey,0))&amp;AG$5</f>
        <v/>
      </c>
      <c r="AH1520" s="68">
        <f>SUM(AH1594:AH1601)</f>
        <v/>
      </c>
      <c r="AI1520" s="69">
        <f>SUM(AI1594:AI1601)</f>
        <v/>
      </c>
      <c r="AJ1520" s="69">
        <f>SUM(AJ1594:AJ1601)</f>
        <v/>
      </c>
      <c r="AK1520" s="69">
        <f>SUM(AK1594:AK1601)</f>
        <v/>
      </c>
      <c r="AL1520" s="69">
        <f>SUM(AL1594:AL1601)</f>
        <v/>
      </c>
      <c r="AM1520" s="69">
        <f>SUM(AM1594:AM1601)</f>
        <v/>
      </c>
      <c r="AN1520" s="69">
        <f>SUM(AN1594:AN1601)</f>
        <v/>
      </c>
      <c r="AO1520" s="69">
        <f>SUM(AO1594:AO1601)</f>
        <v/>
      </c>
      <c r="AP1520" s="69">
        <f>SUM(AP1594:AP1601)</f>
        <v/>
      </c>
      <c r="AQ1520" s="69">
        <f>SUM(AQ1594:AQ1601)</f>
        <v/>
      </c>
      <c r="AR1520" s="69">
        <f>SUM(AR1594:AR1601)</f>
        <v/>
      </c>
      <c r="AS1520" s="69">
        <f>SUM(AS1594:AS1601)</f>
        <v/>
      </c>
      <c r="AT1520" s="69">
        <f>SUM(AT1594:AT1601)</f>
        <v/>
      </c>
      <c r="AU1520" s="69">
        <f>SUM(AU1594:AU1601)</f>
        <v/>
      </c>
      <c r="AV1520" s="69">
        <f>SUM(AV1594:AV1601)</f>
        <v/>
      </c>
      <c r="AW1520" s="69">
        <f>SUM(AW1594:AW1601)</f>
        <v/>
      </c>
      <c r="AX1520" s="69">
        <f>SUM(AX1594:AX1601)</f>
        <v/>
      </c>
      <c r="AY1520" s="69">
        <f>SUM(AY1594:AY1601)</f>
        <v/>
      </c>
      <c r="AZ1520" s="69">
        <f>SUM(AZ1594:AZ1601)</f>
        <v/>
      </c>
      <c r="BA1520" s="69">
        <f>SUM(BA1594:BA1601)</f>
        <v/>
      </c>
    </row>
    <row r="1521" hidden="1" outlineLevel="1">
      <c r="A1521" s="67" t="inlineStr">
        <is>
          <t>eldem</t>
        </is>
      </c>
      <c r="B1521" s="67" t="inlineStr">
        <is>
          <t>ecy</t>
        </is>
      </c>
      <c r="C1521" s="67" t="inlineStr">
        <is>
          <t>res</t>
        </is>
      </c>
      <c r="H1521" s="67">
        <f>INDEX(VarLab,MATCH($A1521,VarKey,0))&amp;INDEX(MemLab,MATCH($C1521&amp;"|"&amp;$B1521,MemKey,0))</f>
        <v/>
      </c>
      <c r="I1521" s="67">
        <f>INDEX(VarUnit,MATCH($A1521,VarKey,0))</f>
        <v/>
      </c>
      <c r="J1521" s="67">
        <f>INDEX(VarSrc,MATCH($A1521,VarKey,0))</f>
        <v/>
      </c>
      <c r="K1521" s="70">
        <f>CodePrefix&amp;$A1521&amp;IF($C1521="","","."&amp;$C1521&amp;"."&amp;$B1521)&amp;INDEX(VarEnd,MATCH($A1521,VarKey,0))&amp;K$5</f>
        <v/>
      </c>
      <c r="L1521" s="71">
        <f>SUMIF($C$674:$C$688,$C1521,L$674:L$688)</f>
        <v/>
      </c>
      <c r="M1521" s="72">
        <f>SUMIF($C$674:$C$688,$C1521,M$674:M$688)</f>
        <v/>
      </c>
      <c r="N1521" s="72">
        <f>SUMIF($C$674:$C$688,$C1521,N$674:N$688)</f>
        <v/>
      </c>
      <c r="O1521" s="72">
        <f>SUMIF($C$674:$C$688,$C1521,O$674:O$688)</f>
        <v/>
      </c>
      <c r="P1521" s="72">
        <f>SUMIF($C$674:$C$688,$C1521,P$674:P$688)</f>
        <v/>
      </c>
      <c r="Q1521" s="72">
        <f>SUMIF($C$674:$C$688,$C1521,Q$674:Q$688)</f>
        <v/>
      </c>
      <c r="R1521" s="72">
        <f>SUMIF($C$674:$C$688,$C1521,R$674:R$688)</f>
        <v/>
      </c>
      <c r="S1521" s="72">
        <f>SUMIF($C$674:$C$688,$C1521,S$674:S$688)</f>
        <v/>
      </c>
      <c r="T1521" s="72">
        <f>SUMIF($C$674:$C$688,$C1521,T$674:T$688)</f>
        <v/>
      </c>
      <c r="U1521" s="72">
        <f>SUMIF($C$674:$C$688,$C1521,U$674:U$688)</f>
        <v/>
      </c>
      <c r="V1521" s="72">
        <f>SUMIF($C$674:$C$688,$C1521,V$674:V$688)</f>
        <v/>
      </c>
      <c r="W1521" s="72">
        <f>SUMIF($C$674:$C$688,$C1521,W$674:W$688)</f>
        <v/>
      </c>
      <c r="X1521" s="72">
        <f>SUMIF($C$674:$C$688,$C1521,X$674:X$688)</f>
        <v/>
      </c>
      <c r="Y1521" s="72">
        <f>SUMIF($C$674:$C$688,$C1521,Y$674:Y$688)</f>
        <v/>
      </c>
      <c r="Z1521" s="72">
        <f>SUMIF($C$674:$C$688,$C1521,Z$674:Z$688)</f>
        <v/>
      </c>
      <c r="AA1521" s="72">
        <f>SUMIF($C$674:$C$688,$C1521,AA$674:AA$688)</f>
        <v/>
      </c>
      <c r="AB1521" s="72">
        <f>SUMIF($C$674:$C$688,$C1521,AB$674:AB$688)</f>
        <v/>
      </c>
      <c r="AC1521" s="72">
        <f>SUMIF($C$674:$C$688,$C1521,AC$674:AC$688)</f>
        <v/>
      </c>
      <c r="AD1521" s="72">
        <f>SUMIF($C$674:$C$688,$C1521,AD$674:AD$688)</f>
        <v/>
      </c>
      <c r="AE1521" s="72">
        <f>SUMIF($C$674:$C$688,$C1521,AE$674:AE$688)</f>
        <v/>
      </c>
      <c r="AG1521" s="70">
        <f>CodePrefix&amp;$A1521&amp;IF($C1521="","","."&amp;$C1521&amp;"."&amp;$B1521)&amp;INDEX(VarEnd,MATCH($A1521,VarKey,0))&amp;AG$5</f>
        <v/>
      </c>
      <c r="AH1521" s="71">
        <f>SUMIF($C$674:$C$688,$C1521,AH$674:AH$688)</f>
        <v/>
      </c>
      <c r="AI1521" s="72">
        <f>SUMIF($C$674:$C$688,$C1521,AI$674:AI$688)</f>
        <v/>
      </c>
      <c r="AJ1521" s="72">
        <f>SUMIF($C$674:$C$688,$C1521,AJ$674:AJ$688)</f>
        <v/>
      </c>
      <c r="AK1521" s="72">
        <f>SUMIF($C$674:$C$688,$C1521,AK$674:AK$688)</f>
        <v/>
      </c>
      <c r="AL1521" s="72">
        <f>SUMIF($C$674:$C$688,$C1521,AL$674:AL$688)</f>
        <v/>
      </c>
      <c r="AM1521" s="72">
        <f>SUMIF($C$674:$C$688,$C1521,AM$674:AM$688)</f>
        <v/>
      </c>
      <c r="AN1521" s="72">
        <f>SUMIF($C$674:$C$688,$C1521,AN$674:AN$688)</f>
        <v/>
      </c>
      <c r="AO1521" s="72">
        <f>SUMIF($C$674:$C$688,$C1521,AO$674:AO$688)</f>
        <v/>
      </c>
      <c r="AP1521" s="72">
        <f>SUMIF($C$674:$C$688,$C1521,AP$674:AP$688)</f>
        <v/>
      </c>
      <c r="AQ1521" s="72">
        <f>SUMIF($C$674:$C$688,$C1521,AQ$674:AQ$688)</f>
        <v/>
      </c>
      <c r="AR1521" s="72">
        <f>SUMIF($C$674:$C$688,$C1521,AR$674:AR$688)</f>
        <v/>
      </c>
      <c r="AS1521" s="72">
        <f>SUMIF($C$674:$C$688,$C1521,AS$674:AS$688)</f>
        <v/>
      </c>
      <c r="AT1521" s="72">
        <f>SUMIF($C$674:$C$688,$C1521,AT$674:AT$688)</f>
        <v/>
      </c>
      <c r="AU1521" s="72">
        <f>SUMIF($C$674:$C$688,$C1521,AU$674:AU$688)</f>
        <v/>
      </c>
      <c r="AV1521" s="72">
        <f>SUMIF($C$674:$C$688,$C1521,AV$674:AV$688)</f>
        <v/>
      </c>
      <c r="AW1521" s="72">
        <f>SUMIF($C$674:$C$688,$C1521,AW$674:AW$688)</f>
        <v/>
      </c>
      <c r="AX1521" s="72">
        <f>SUMIF($C$674:$C$688,$C1521,AX$674:AX$688)</f>
        <v/>
      </c>
      <c r="AY1521" s="72">
        <f>SUMIF($C$674:$C$688,$C1521,AY$674:AY$688)</f>
        <v/>
      </c>
      <c r="AZ1521" s="72">
        <f>SUMIF($C$674:$C$688,$C1521,AZ$674:AZ$688)</f>
        <v/>
      </c>
      <c r="BA1521" s="72">
        <f>SUMIF($C$674:$C$688,$C1521,BA$674:BA$688)</f>
        <v/>
      </c>
    </row>
    <row r="1522" hidden="1" outlineLevel="2">
      <c r="A1522" s="14" t="inlineStr">
        <is>
          <t>ctxnew</t>
        </is>
      </c>
      <c r="B1522" s="14" t="inlineStr">
        <is>
          <t>coa</t>
        </is>
      </c>
      <c r="C1522" s="14" t="inlineStr">
        <is>
          <t>res</t>
        </is>
      </c>
      <c r="D1522" s="35">
        <f>INDEX(Inputs!$W$5:$W$132,MATCH($B1522&amp;"|"&amp;$C1522,Inputs!$A$5:$A$132,0))</f>
        <v/>
      </c>
      <c r="E1522" s="35">
        <f>INDEX(Inputs!$L$5:$L$132,MATCH($B1522&amp;"|"&amp;$C1522,Inputs!$A$5:$A$132,0))</f>
        <v/>
      </c>
      <c r="F1522" s="35">
        <f>INDEX(Inputs!$M$5:$M$132,MATCH($B1522&amp;"|"&amp;$C1522,Inputs!$A$5:$A$132,0))</f>
        <v/>
      </c>
      <c r="G1522" s="39" t="n"/>
      <c r="H1522" s="14">
        <f>INDEX(VarLab,MATCH($A1522,VarKey,0))&amp;INDEX(MemLab,MATCH($C1522&amp;"|"&amp;$B1522,MemKey,0))</f>
        <v/>
      </c>
      <c r="I1522" s="14">
        <f>INDEX(VarUnit,MATCH($A1522,VarKey,0))</f>
        <v/>
      </c>
      <c r="J1522" s="14">
        <f>INDEX(VarSrc,MATCH($A1522,VarKey,0))</f>
        <v/>
      </c>
      <c r="K1522" s="11">
        <f>CodePrefix&amp;$A1522&amp;IF($C1522="","","."&amp;$C1522&amp;"."&amp;$B1522)&amp;INDEX(VarEnd,MATCH($A1522,VarKey,0))&amp;K$5</f>
        <v/>
      </c>
      <c r="L1522" s="40">
        <f>INDEX(L$263:L$279,$F1522)*$D1522*INDEX(L$23:L$30,$E1522)</f>
        <v/>
      </c>
      <c r="M1522" s="35">
        <f>INDEX(M$263:M$279,$F1522)*$D1522*INDEX(M$23:M$30,$E1522)</f>
        <v/>
      </c>
      <c r="N1522" s="35">
        <f>INDEX(N$263:N$279,$F1522)*$D1522*INDEX(N$23:N$30,$E1522)</f>
        <v/>
      </c>
      <c r="O1522" s="35">
        <f>INDEX(O$263:O$279,$F1522)*$D1522*INDEX(O$23:O$30,$E1522)</f>
        <v/>
      </c>
      <c r="P1522" s="35">
        <f>INDEX(P$263:P$279,$F1522)*$D1522*INDEX(P$23:P$30,$E1522)</f>
        <v/>
      </c>
      <c r="Q1522" s="35">
        <f>INDEX(Q$263:Q$279,$F1522)*$D1522*INDEX(Q$23:Q$30,$E1522)</f>
        <v/>
      </c>
      <c r="R1522" s="35">
        <f>INDEX(R$263:R$279,$F1522)*$D1522*INDEX(R$23:R$30,$E1522)</f>
        <v/>
      </c>
      <c r="S1522" s="35">
        <f>INDEX(S$263:S$279,$F1522)*$D1522*INDEX(S$23:S$30,$E1522)</f>
        <v/>
      </c>
      <c r="T1522" s="35">
        <f>INDEX(T$263:T$279,$F1522)*$D1522*INDEX(T$23:T$30,$E1522)</f>
        <v/>
      </c>
      <c r="U1522" s="35">
        <f>INDEX(U$263:U$279,$F1522)*$D1522*INDEX(U$23:U$30,$E1522)</f>
        <v/>
      </c>
      <c r="V1522" s="35">
        <f>INDEX(V$263:V$279,$F1522)*$D1522*INDEX(V$23:V$30,$E1522)</f>
        <v/>
      </c>
      <c r="W1522" s="35">
        <f>INDEX(W$263:W$279,$F1522)*$D1522*INDEX(W$23:W$30,$E1522)</f>
        <v/>
      </c>
      <c r="X1522" s="35">
        <f>INDEX(X$263:X$279,$F1522)*$D1522*INDEX(X$23:X$30,$E1522)</f>
        <v/>
      </c>
      <c r="Y1522" s="35">
        <f>INDEX(Y$263:Y$279,$F1522)*$D1522*INDEX(Y$23:Y$30,$E1522)</f>
        <v/>
      </c>
      <c r="Z1522" s="35">
        <f>INDEX(Z$263:Z$279,$F1522)*$D1522*INDEX(Z$23:Z$30,$E1522)</f>
        <v/>
      </c>
      <c r="AA1522" s="35">
        <f>INDEX(AA$263:AA$279,$F1522)*$D1522*INDEX(AA$23:AA$30,$E1522)</f>
        <v/>
      </c>
      <c r="AB1522" s="35">
        <f>INDEX(AB$263:AB$279,$F1522)*$D1522*INDEX(AB$23:AB$30,$E1522)</f>
        <v/>
      </c>
      <c r="AC1522" s="35">
        <f>INDEX(AC$263:AC$279,$F1522)*$D1522*INDEX(AC$23:AC$30,$E1522)</f>
        <v/>
      </c>
      <c r="AD1522" s="35">
        <f>INDEX(AD$263:AD$279,$F1522)*$D1522*INDEX(AD$23:AD$30,$E1522)</f>
        <v/>
      </c>
      <c r="AE1522" s="42">
        <f>CARBONTAX(INDEX(AE$263:AE$279,$F1522),$D1522,INDEX(AE$23:AE$30,$E1522))</f>
        <v/>
      </c>
      <c r="AG1522" s="11">
        <f>CodePrefix&amp;$A1522&amp;IF($C1522="","","."&amp;$C1522&amp;"."&amp;$B1522)&amp;INDEX(VarEnd,MATCH($A1522,VarKey,0))&amp;AG$5</f>
        <v/>
      </c>
      <c r="AH1522" s="40">
        <f>INDEX(AH$263:AH$279,$F1522)*$D1522*INDEX(AH$23:AH$30,$E1522)</f>
        <v/>
      </c>
      <c r="AI1522" s="35">
        <f>INDEX(AI$263:AI$279,$F1522)*$D1522*INDEX(AI$23:AI$30,$E1522)</f>
        <v/>
      </c>
      <c r="AJ1522" s="35">
        <f>INDEX(AJ$263:AJ$279,$F1522)*$D1522*INDEX(AJ$23:AJ$30,$E1522)</f>
        <v/>
      </c>
      <c r="AK1522" s="35">
        <f>INDEX(AK$263:AK$279,$F1522)*$D1522*INDEX(AK$23:AK$30,$E1522)</f>
        <v/>
      </c>
      <c r="AL1522" s="35">
        <f>INDEX(AL$263:AL$279,$F1522)*$D1522*INDEX(AL$23:AL$30,$E1522)</f>
        <v/>
      </c>
      <c r="AM1522" s="35">
        <f>INDEX(AM$263:AM$279,$F1522)*$D1522*INDEX(AM$23:AM$30,$E1522)</f>
        <v/>
      </c>
      <c r="AN1522" s="35">
        <f>INDEX(AN$263:AN$279,$F1522)*$D1522*INDEX(AN$23:AN$30,$E1522)</f>
        <v/>
      </c>
      <c r="AO1522" s="35">
        <f>INDEX(AO$263:AO$279,$F1522)*$D1522*INDEX(AO$23:AO$30,$E1522)</f>
        <v/>
      </c>
      <c r="AP1522" s="35">
        <f>INDEX(AP$263:AP$279,$F1522)*$D1522*INDEX(AP$23:AP$30,$E1522)</f>
        <v/>
      </c>
      <c r="AQ1522" s="35">
        <f>INDEX(AQ$263:AQ$279,$F1522)*$D1522*INDEX(AQ$23:AQ$30,$E1522)</f>
        <v/>
      </c>
      <c r="AR1522" s="35">
        <f>INDEX(AR$263:AR$279,$F1522)*$D1522*INDEX(AR$23:AR$30,$E1522)</f>
        <v/>
      </c>
      <c r="AS1522" s="35">
        <f>INDEX(AS$263:AS$279,$F1522)*$D1522*INDEX(AS$23:AS$30,$E1522)</f>
        <v/>
      </c>
      <c r="AT1522" s="35">
        <f>INDEX(AT$263:AT$279,$F1522)*$D1522*INDEX(AT$23:AT$30,$E1522)</f>
        <v/>
      </c>
      <c r="AU1522" s="35">
        <f>INDEX(AU$263:AU$279,$F1522)*$D1522*INDEX(AU$23:AU$30,$E1522)</f>
        <v/>
      </c>
      <c r="AV1522" s="35">
        <f>INDEX(AV$263:AV$279,$F1522)*$D1522*INDEX(AV$23:AV$30,$E1522)</f>
        <v/>
      </c>
      <c r="AW1522" s="35">
        <f>INDEX(AW$263:AW$279,$F1522)*$D1522*INDEX(AW$23:AW$30,$E1522)</f>
        <v/>
      </c>
      <c r="AX1522" s="35">
        <f>INDEX(AX$263:AX$279,$F1522)*$D1522*INDEX(AX$23:AX$30,$E1522)</f>
        <v/>
      </c>
      <c r="AY1522" s="35">
        <f>INDEX(AY$263:AY$279,$F1522)*$D1522*INDEX(AY$23:AY$30,$E1522)</f>
        <v/>
      </c>
      <c r="AZ1522" s="35">
        <f>INDEX(AZ$263:AZ$279,$F1522)*$D1522*INDEX(AZ$23:AZ$30,$E1522)</f>
        <v/>
      </c>
      <c r="BA1522" s="42">
        <f>CARBONTAX(INDEX(BA$263:BA$279,$F1522),$D1522,INDEX(BA$23:BA$30,$E1522))</f>
        <v/>
      </c>
    </row>
    <row r="1523" hidden="1" outlineLevel="2">
      <c r="A1523" s="14" t="inlineStr">
        <is>
          <t>ctxnew</t>
        </is>
      </c>
      <c r="B1523" s="14" t="inlineStr">
        <is>
          <t>nga</t>
        </is>
      </c>
      <c r="C1523" s="14" t="inlineStr">
        <is>
          <t>res</t>
        </is>
      </c>
      <c r="D1523" s="35">
        <f>INDEX(Inputs!$W$5:$W$132,MATCH($B1523&amp;"|"&amp;$C1523,Inputs!$A$5:$A$132,0))</f>
        <v/>
      </c>
      <c r="E1523" s="35">
        <f>INDEX(Inputs!$L$5:$L$132,MATCH($B1523&amp;"|"&amp;$C1523,Inputs!$A$5:$A$132,0))</f>
        <v/>
      </c>
      <c r="F1523" s="35">
        <f>INDEX(Inputs!$M$5:$M$132,MATCH($B1523&amp;"|"&amp;$C1523,Inputs!$A$5:$A$132,0))</f>
        <v/>
      </c>
      <c r="G1523" s="39" t="n"/>
      <c r="H1523" s="14">
        <f>INDEX(VarLab,MATCH($A1523,VarKey,0))&amp;INDEX(MemLab,MATCH($C1523&amp;"|"&amp;$B1523,MemKey,0))</f>
        <v/>
      </c>
      <c r="I1523" s="14">
        <f>INDEX(VarUnit,MATCH($A1523,VarKey,0))</f>
        <v/>
      </c>
      <c r="J1523" s="14">
        <f>INDEX(VarSrc,MATCH($A1523,VarKey,0))</f>
        <v/>
      </c>
      <c r="K1523" s="11">
        <f>CodePrefix&amp;$A1523&amp;IF($C1523="","","."&amp;$C1523&amp;"."&amp;$B1523)&amp;INDEX(VarEnd,MATCH($A1523,VarKey,0))&amp;K$5</f>
        <v/>
      </c>
      <c r="L1523" s="40">
        <f>INDEX(L$263:L$279,$F1523)*$D1523*INDEX(L$23:L$30,$E1523)</f>
        <v/>
      </c>
      <c r="M1523" s="35">
        <f>INDEX(M$263:M$279,$F1523)*$D1523*INDEX(M$23:M$30,$E1523)</f>
        <v/>
      </c>
      <c r="N1523" s="35">
        <f>INDEX(N$263:N$279,$F1523)*$D1523*INDEX(N$23:N$30,$E1523)</f>
        <v/>
      </c>
      <c r="O1523" s="35">
        <f>INDEX(O$263:O$279,$F1523)*$D1523*INDEX(O$23:O$30,$E1523)</f>
        <v/>
      </c>
      <c r="P1523" s="35">
        <f>INDEX(P$263:P$279,$F1523)*$D1523*INDEX(P$23:P$30,$E1523)</f>
        <v/>
      </c>
      <c r="Q1523" s="35">
        <f>INDEX(Q$263:Q$279,$F1523)*$D1523*INDEX(Q$23:Q$30,$E1523)</f>
        <v/>
      </c>
      <c r="R1523" s="35">
        <f>INDEX(R$263:R$279,$F1523)*$D1523*INDEX(R$23:R$30,$E1523)</f>
        <v/>
      </c>
      <c r="S1523" s="35">
        <f>INDEX(S$263:S$279,$F1523)*$D1523*INDEX(S$23:S$30,$E1523)</f>
        <v/>
      </c>
      <c r="T1523" s="35">
        <f>INDEX(T$263:T$279,$F1523)*$D1523*INDEX(T$23:T$30,$E1523)</f>
        <v/>
      </c>
      <c r="U1523" s="35">
        <f>INDEX(U$263:U$279,$F1523)*$D1523*INDEX(U$23:U$30,$E1523)</f>
        <v/>
      </c>
      <c r="V1523" s="35">
        <f>INDEX(V$263:V$279,$F1523)*$D1523*INDEX(V$23:V$30,$E1523)</f>
        <v/>
      </c>
      <c r="W1523" s="35">
        <f>INDEX(W$263:W$279,$F1523)*$D1523*INDEX(W$23:W$30,$E1523)</f>
        <v/>
      </c>
      <c r="X1523" s="35">
        <f>INDEX(X$263:X$279,$F1523)*$D1523*INDEX(X$23:X$30,$E1523)</f>
        <v/>
      </c>
      <c r="Y1523" s="35">
        <f>INDEX(Y$263:Y$279,$F1523)*$D1523*INDEX(Y$23:Y$30,$E1523)</f>
        <v/>
      </c>
      <c r="Z1523" s="35">
        <f>INDEX(Z$263:Z$279,$F1523)*$D1523*INDEX(Z$23:Z$30,$E1523)</f>
        <v/>
      </c>
      <c r="AA1523" s="35">
        <f>INDEX(AA$263:AA$279,$F1523)*$D1523*INDEX(AA$23:AA$30,$E1523)</f>
        <v/>
      </c>
      <c r="AB1523" s="35">
        <f>INDEX(AB$263:AB$279,$F1523)*$D1523*INDEX(AB$23:AB$30,$E1523)</f>
        <v/>
      </c>
      <c r="AC1523" s="35">
        <f>INDEX(AC$263:AC$279,$F1523)*$D1523*INDEX(AC$23:AC$30,$E1523)</f>
        <v/>
      </c>
      <c r="AD1523" s="35">
        <f>INDEX(AD$263:AD$279,$F1523)*$D1523*INDEX(AD$23:AD$30,$E1523)</f>
        <v/>
      </c>
      <c r="AE1523" s="42">
        <f>CARBONTAX(INDEX(AE$263:AE$279,$F1523),$D1523,INDEX(AE$23:AE$30,$E1523))</f>
        <v/>
      </c>
      <c r="AG1523" s="11">
        <f>CodePrefix&amp;$A1523&amp;IF($C1523="","","."&amp;$C1523&amp;"."&amp;$B1523)&amp;INDEX(VarEnd,MATCH($A1523,VarKey,0))&amp;AG$5</f>
        <v/>
      </c>
      <c r="AH1523" s="40">
        <f>INDEX(AH$263:AH$279,$F1523)*$D1523*INDEX(AH$23:AH$30,$E1523)</f>
        <v/>
      </c>
      <c r="AI1523" s="35">
        <f>INDEX(AI$263:AI$279,$F1523)*$D1523*INDEX(AI$23:AI$30,$E1523)</f>
        <v/>
      </c>
      <c r="AJ1523" s="35">
        <f>INDEX(AJ$263:AJ$279,$F1523)*$D1523*INDEX(AJ$23:AJ$30,$E1523)</f>
        <v/>
      </c>
      <c r="AK1523" s="35">
        <f>INDEX(AK$263:AK$279,$F1523)*$D1523*INDEX(AK$23:AK$30,$E1523)</f>
        <v/>
      </c>
      <c r="AL1523" s="35">
        <f>INDEX(AL$263:AL$279,$F1523)*$D1523*INDEX(AL$23:AL$30,$E1523)</f>
        <v/>
      </c>
      <c r="AM1523" s="35">
        <f>INDEX(AM$263:AM$279,$F1523)*$D1523*INDEX(AM$23:AM$30,$E1523)</f>
        <v/>
      </c>
      <c r="AN1523" s="35">
        <f>INDEX(AN$263:AN$279,$F1523)*$D1523*INDEX(AN$23:AN$30,$E1523)</f>
        <v/>
      </c>
      <c r="AO1523" s="35">
        <f>INDEX(AO$263:AO$279,$F1523)*$D1523*INDEX(AO$23:AO$30,$E1523)</f>
        <v/>
      </c>
      <c r="AP1523" s="35">
        <f>INDEX(AP$263:AP$279,$F1523)*$D1523*INDEX(AP$23:AP$30,$E1523)</f>
        <v/>
      </c>
      <c r="AQ1523" s="35">
        <f>INDEX(AQ$263:AQ$279,$F1523)*$D1523*INDEX(AQ$23:AQ$30,$E1523)</f>
        <v/>
      </c>
      <c r="AR1523" s="35">
        <f>INDEX(AR$263:AR$279,$F1523)*$D1523*INDEX(AR$23:AR$30,$E1523)</f>
        <v/>
      </c>
      <c r="AS1523" s="35">
        <f>INDEX(AS$263:AS$279,$F1523)*$D1523*INDEX(AS$23:AS$30,$E1523)</f>
        <v/>
      </c>
      <c r="AT1523" s="35">
        <f>INDEX(AT$263:AT$279,$F1523)*$D1523*INDEX(AT$23:AT$30,$E1523)</f>
        <v/>
      </c>
      <c r="AU1523" s="35">
        <f>INDEX(AU$263:AU$279,$F1523)*$D1523*INDEX(AU$23:AU$30,$E1523)</f>
        <v/>
      </c>
      <c r="AV1523" s="35">
        <f>INDEX(AV$263:AV$279,$F1523)*$D1523*INDEX(AV$23:AV$30,$E1523)</f>
        <v/>
      </c>
      <c r="AW1523" s="35">
        <f>INDEX(AW$263:AW$279,$F1523)*$D1523*INDEX(AW$23:AW$30,$E1523)</f>
        <v/>
      </c>
      <c r="AX1523" s="35">
        <f>INDEX(AX$263:AX$279,$F1523)*$D1523*INDEX(AX$23:AX$30,$E1523)</f>
        <v/>
      </c>
      <c r="AY1523" s="35">
        <f>INDEX(AY$263:AY$279,$F1523)*$D1523*INDEX(AY$23:AY$30,$E1523)</f>
        <v/>
      </c>
      <c r="AZ1523" s="35">
        <f>INDEX(AZ$263:AZ$279,$F1523)*$D1523*INDEX(AZ$23:AZ$30,$E1523)</f>
        <v/>
      </c>
      <c r="BA1523" s="42">
        <f>CARBONTAX(INDEX(BA$263:BA$279,$F1523),$D1523,INDEX(BA$23:BA$30,$E1523))</f>
        <v/>
      </c>
    </row>
    <row r="1524" hidden="1" outlineLevel="2">
      <c r="A1524" s="14" t="inlineStr">
        <is>
          <t>ctxnew</t>
        </is>
      </c>
      <c r="B1524" s="14" t="inlineStr">
        <is>
          <t>gso</t>
        </is>
      </c>
      <c r="C1524" s="14" t="inlineStr">
        <is>
          <t>res</t>
        </is>
      </c>
      <c r="D1524" s="35">
        <f>INDEX(Inputs!$W$5:$W$132,MATCH($B1524&amp;"|"&amp;$C1524,Inputs!$A$5:$A$132,0))</f>
        <v/>
      </c>
      <c r="E1524" s="35">
        <f>INDEX(Inputs!$L$5:$L$132,MATCH($B1524&amp;"|"&amp;$C1524,Inputs!$A$5:$A$132,0))</f>
        <v/>
      </c>
      <c r="F1524" s="35">
        <f>INDEX(Inputs!$M$5:$M$132,MATCH($B1524&amp;"|"&amp;$C1524,Inputs!$A$5:$A$132,0))</f>
        <v/>
      </c>
      <c r="G1524" s="39" t="n"/>
      <c r="H1524" s="14">
        <f>INDEX(VarLab,MATCH($A1524,VarKey,0))&amp;INDEX(MemLab,MATCH($C1524&amp;"|"&amp;$B1524,MemKey,0))</f>
        <v/>
      </c>
      <c r="I1524" s="14">
        <f>INDEX(VarUnit,MATCH($A1524,VarKey,0))</f>
        <v/>
      </c>
      <c r="J1524" s="14">
        <f>INDEX(VarSrc,MATCH($A1524,VarKey,0))</f>
        <v/>
      </c>
      <c r="K1524" s="11">
        <f>CodePrefix&amp;$A1524&amp;IF($C1524="","","."&amp;$C1524&amp;"."&amp;$B1524)&amp;INDEX(VarEnd,MATCH($A1524,VarKey,0))&amp;K$5</f>
        <v/>
      </c>
      <c r="L1524" s="40">
        <f>INDEX(L$263:L$279,$F1524)*$D1524*INDEX(L$23:L$30,$E1524)</f>
        <v/>
      </c>
      <c r="M1524" s="35">
        <f>INDEX(M$263:M$279,$F1524)*$D1524*INDEX(M$23:M$30,$E1524)</f>
        <v/>
      </c>
      <c r="N1524" s="35">
        <f>INDEX(N$263:N$279,$F1524)*$D1524*INDEX(N$23:N$30,$E1524)</f>
        <v/>
      </c>
      <c r="O1524" s="35">
        <f>INDEX(O$263:O$279,$F1524)*$D1524*INDEX(O$23:O$30,$E1524)</f>
        <v/>
      </c>
      <c r="P1524" s="35">
        <f>INDEX(P$263:P$279,$F1524)*$D1524*INDEX(P$23:P$30,$E1524)</f>
        <v/>
      </c>
      <c r="Q1524" s="35">
        <f>INDEX(Q$263:Q$279,$F1524)*$D1524*INDEX(Q$23:Q$30,$E1524)</f>
        <v/>
      </c>
      <c r="R1524" s="35">
        <f>INDEX(R$263:R$279,$F1524)*$D1524*INDEX(R$23:R$30,$E1524)</f>
        <v/>
      </c>
      <c r="S1524" s="35">
        <f>INDEX(S$263:S$279,$F1524)*$D1524*INDEX(S$23:S$30,$E1524)</f>
        <v/>
      </c>
      <c r="T1524" s="35">
        <f>INDEX(T$263:T$279,$F1524)*$D1524*INDEX(T$23:T$30,$E1524)</f>
        <v/>
      </c>
      <c r="U1524" s="35">
        <f>INDEX(U$263:U$279,$F1524)*$D1524*INDEX(U$23:U$30,$E1524)</f>
        <v/>
      </c>
      <c r="V1524" s="35">
        <f>INDEX(V$263:V$279,$F1524)*$D1524*INDEX(V$23:V$30,$E1524)</f>
        <v/>
      </c>
      <c r="W1524" s="35">
        <f>INDEX(W$263:W$279,$F1524)*$D1524*INDEX(W$23:W$30,$E1524)</f>
        <v/>
      </c>
      <c r="X1524" s="35">
        <f>INDEX(X$263:X$279,$F1524)*$D1524*INDEX(X$23:X$30,$E1524)</f>
        <v/>
      </c>
      <c r="Y1524" s="35">
        <f>INDEX(Y$263:Y$279,$F1524)*$D1524*INDEX(Y$23:Y$30,$E1524)</f>
        <v/>
      </c>
      <c r="Z1524" s="35">
        <f>INDEX(Z$263:Z$279,$F1524)*$D1524*INDEX(Z$23:Z$30,$E1524)</f>
        <v/>
      </c>
      <c r="AA1524" s="35">
        <f>INDEX(AA$263:AA$279,$F1524)*$D1524*INDEX(AA$23:AA$30,$E1524)</f>
        <v/>
      </c>
      <c r="AB1524" s="35">
        <f>INDEX(AB$263:AB$279,$F1524)*$D1524*INDEX(AB$23:AB$30,$E1524)</f>
        <v/>
      </c>
      <c r="AC1524" s="35">
        <f>INDEX(AC$263:AC$279,$F1524)*$D1524*INDEX(AC$23:AC$30,$E1524)</f>
        <v/>
      </c>
      <c r="AD1524" s="35">
        <f>INDEX(AD$263:AD$279,$F1524)*$D1524*INDEX(AD$23:AD$30,$E1524)</f>
        <v/>
      </c>
      <c r="AE1524" s="42">
        <f>CARBONTAX(INDEX(AE$263:AE$279,$F1524),$D1524,INDEX(AE$23:AE$30,$E1524))</f>
        <v/>
      </c>
      <c r="AG1524" s="11">
        <f>CodePrefix&amp;$A1524&amp;IF($C1524="","","."&amp;$C1524&amp;"."&amp;$B1524)&amp;INDEX(VarEnd,MATCH($A1524,VarKey,0))&amp;AG$5</f>
        <v/>
      </c>
      <c r="AH1524" s="40">
        <f>INDEX(AH$263:AH$279,$F1524)*$D1524*INDEX(AH$23:AH$30,$E1524)</f>
        <v/>
      </c>
      <c r="AI1524" s="35">
        <f>INDEX(AI$263:AI$279,$F1524)*$D1524*INDEX(AI$23:AI$30,$E1524)</f>
        <v/>
      </c>
      <c r="AJ1524" s="35">
        <f>INDEX(AJ$263:AJ$279,$F1524)*$D1524*INDEX(AJ$23:AJ$30,$E1524)</f>
        <v/>
      </c>
      <c r="AK1524" s="35">
        <f>INDEX(AK$263:AK$279,$F1524)*$D1524*INDEX(AK$23:AK$30,$E1524)</f>
        <v/>
      </c>
      <c r="AL1524" s="35">
        <f>INDEX(AL$263:AL$279,$F1524)*$D1524*INDEX(AL$23:AL$30,$E1524)</f>
        <v/>
      </c>
      <c r="AM1524" s="35">
        <f>INDEX(AM$263:AM$279,$F1524)*$D1524*INDEX(AM$23:AM$30,$E1524)</f>
        <v/>
      </c>
      <c r="AN1524" s="35">
        <f>INDEX(AN$263:AN$279,$F1524)*$D1524*INDEX(AN$23:AN$30,$E1524)</f>
        <v/>
      </c>
      <c r="AO1524" s="35">
        <f>INDEX(AO$263:AO$279,$F1524)*$D1524*INDEX(AO$23:AO$30,$E1524)</f>
        <v/>
      </c>
      <c r="AP1524" s="35">
        <f>INDEX(AP$263:AP$279,$F1524)*$D1524*INDEX(AP$23:AP$30,$E1524)</f>
        <v/>
      </c>
      <c r="AQ1524" s="35">
        <f>INDEX(AQ$263:AQ$279,$F1524)*$D1524*INDEX(AQ$23:AQ$30,$E1524)</f>
        <v/>
      </c>
      <c r="AR1524" s="35">
        <f>INDEX(AR$263:AR$279,$F1524)*$D1524*INDEX(AR$23:AR$30,$E1524)</f>
        <v/>
      </c>
      <c r="AS1524" s="35">
        <f>INDEX(AS$263:AS$279,$F1524)*$D1524*INDEX(AS$23:AS$30,$E1524)</f>
        <v/>
      </c>
      <c r="AT1524" s="35">
        <f>INDEX(AT$263:AT$279,$F1524)*$D1524*INDEX(AT$23:AT$30,$E1524)</f>
        <v/>
      </c>
      <c r="AU1524" s="35">
        <f>INDEX(AU$263:AU$279,$F1524)*$D1524*INDEX(AU$23:AU$30,$E1524)</f>
        <v/>
      </c>
      <c r="AV1524" s="35">
        <f>INDEX(AV$263:AV$279,$F1524)*$D1524*INDEX(AV$23:AV$30,$E1524)</f>
        <v/>
      </c>
      <c r="AW1524" s="35">
        <f>INDEX(AW$263:AW$279,$F1524)*$D1524*INDEX(AW$23:AW$30,$E1524)</f>
        <v/>
      </c>
      <c r="AX1524" s="35">
        <f>INDEX(AX$263:AX$279,$F1524)*$D1524*INDEX(AX$23:AX$30,$E1524)</f>
        <v/>
      </c>
      <c r="AY1524" s="35">
        <f>INDEX(AY$263:AY$279,$F1524)*$D1524*INDEX(AY$23:AY$30,$E1524)</f>
        <v/>
      </c>
      <c r="AZ1524" s="35">
        <f>INDEX(AZ$263:AZ$279,$F1524)*$D1524*INDEX(AZ$23:AZ$30,$E1524)</f>
        <v/>
      </c>
      <c r="BA1524" s="42">
        <f>CARBONTAX(INDEX(BA$263:BA$279,$F1524),$D1524,INDEX(BA$23:BA$30,$E1524))</f>
        <v/>
      </c>
    </row>
    <row r="1525" hidden="1" outlineLevel="2">
      <c r="A1525" s="14" t="inlineStr">
        <is>
          <t>ctxnew</t>
        </is>
      </c>
      <c r="B1525" s="14" t="inlineStr">
        <is>
          <t>die</t>
        </is>
      </c>
      <c r="C1525" s="14" t="inlineStr">
        <is>
          <t>res</t>
        </is>
      </c>
      <c r="D1525" s="35">
        <f>INDEX(Inputs!$W$5:$W$132,MATCH($B1525&amp;"|"&amp;$C1525,Inputs!$A$5:$A$132,0))</f>
        <v/>
      </c>
      <c r="E1525" s="35">
        <f>INDEX(Inputs!$L$5:$L$132,MATCH($B1525&amp;"|"&amp;$C1525,Inputs!$A$5:$A$132,0))</f>
        <v/>
      </c>
      <c r="F1525" s="35">
        <f>INDEX(Inputs!$M$5:$M$132,MATCH($B1525&amp;"|"&amp;$C1525,Inputs!$A$5:$A$132,0))</f>
        <v/>
      </c>
      <c r="G1525" s="39" t="n"/>
      <c r="H1525" s="14">
        <f>INDEX(VarLab,MATCH($A1525,VarKey,0))&amp;INDEX(MemLab,MATCH($C1525&amp;"|"&amp;$B1525,MemKey,0))</f>
        <v/>
      </c>
      <c r="I1525" s="14">
        <f>INDEX(VarUnit,MATCH($A1525,VarKey,0))</f>
        <v/>
      </c>
      <c r="J1525" s="14">
        <f>INDEX(VarSrc,MATCH($A1525,VarKey,0))</f>
        <v/>
      </c>
      <c r="K1525" s="11">
        <f>CodePrefix&amp;$A1525&amp;IF($C1525="","","."&amp;$C1525&amp;"."&amp;$B1525)&amp;INDEX(VarEnd,MATCH($A1525,VarKey,0))&amp;K$5</f>
        <v/>
      </c>
      <c r="L1525" s="40">
        <f>INDEX(L$263:L$279,$F1525)*$D1525*INDEX(L$23:L$30,$E1525)</f>
        <v/>
      </c>
      <c r="M1525" s="35">
        <f>INDEX(M$263:M$279,$F1525)*$D1525*INDEX(M$23:M$30,$E1525)</f>
        <v/>
      </c>
      <c r="N1525" s="35">
        <f>INDEX(N$263:N$279,$F1525)*$D1525*INDEX(N$23:N$30,$E1525)</f>
        <v/>
      </c>
      <c r="O1525" s="35">
        <f>INDEX(O$263:O$279,$F1525)*$D1525*INDEX(O$23:O$30,$E1525)</f>
        <v/>
      </c>
      <c r="P1525" s="35">
        <f>INDEX(P$263:P$279,$F1525)*$D1525*INDEX(P$23:P$30,$E1525)</f>
        <v/>
      </c>
      <c r="Q1525" s="35">
        <f>INDEX(Q$263:Q$279,$F1525)*$D1525*INDEX(Q$23:Q$30,$E1525)</f>
        <v/>
      </c>
      <c r="R1525" s="35">
        <f>INDEX(R$263:R$279,$F1525)*$D1525*INDEX(R$23:R$30,$E1525)</f>
        <v/>
      </c>
      <c r="S1525" s="35">
        <f>INDEX(S$263:S$279,$F1525)*$D1525*INDEX(S$23:S$30,$E1525)</f>
        <v/>
      </c>
      <c r="T1525" s="35">
        <f>INDEX(T$263:T$279,$F1525)*$D1525*INDEX(T$23:T$30,$E1525)</f>
        <v/>
      </c>
      <c r="U1525" s="35">
        <f>INDEX(U$263:U$279,$F1525)*$D1525*INDEX(U$23:U$30,$E1525)</f>
        <v/>
      </c>
      <c r="V1525" s="35">
        <f>INDEX(V$263:V$279,$F1525)*$D1525*INDEX(V$23:V$30,$E1525)</f>
        <v/>
      </c>
      <c r="W1525" s="35">
        <f>INDEX(W$263:W$279,$F1525)*$D1525*INDEX(W$23:W$30,$E1525)</f>
        <v/>
      </c>
      <c r="X1525" s="35">
        <f>INDEX(X$263:X$279,$F1525)*$D1525*INDEX(X$23:X$30,$E1525)</f>
        <v/>
      </c>
      <c r="Y1525" s="35">
        <f>INDEX(Y$263:Y$279,$F1525)*$D1525*INDEX(Y$23:Y$30,$E1525)</f>
        <v/>
      </c>
      <c r="Z1525" s="35">
        <f>INDEX(Z$263:Z$279,$F1525)*$D1525*INDEX(Z$23:Z$30,$E1525)</f>
        <v/>
      </c>
      <c r="AA1525" s="35">
        <f>INDEX(AA$263:AA$279,$F1525)*$D1525*INDEX(AA$23:AA$30,$E1525)</f>
        <v/>
      </c>
      <c r="AB1525" s="35">
        <f>INDEX(AB$263:AB$279,$F1525)*$D1525*INDEX(AB$23:AB$30,$E1525)</f>
        <v/>
      </c>
      <c r="AC1525" s="35">
        <f>INDEX(AC$263:AC$279,$F1525)*$D1525*INDEX(AC$23:AC$30,$E1525)</f>
        <v/>
      </c>
      <c r="AD1525" s="35">
        <f>INDEX(AD$263:AD$279,$F1525)*$D1525*INDEX(AD$23:AD$30,$E1525)</f>
        <v/>
      </c>
      <c r="AE1525" s="42">
        <f>CARBONTAX(INDEX(AE$263:AE$279,$F1525),$D1525,INDEX(AE$23:AE$30,$E1525))</f>
        <v/>
      </c>
      <c r="AG1525" s="11">
        <f>CodePrefix&amp;$A1525&amp;IF($C1525="","","."&amp;$C1525&amp;"."&amp;$B1525)&amp;INDEX(VarEnd,MATCH($A1525,VarKey,0))&amp;AG$5</f>
        <v/>
      </c>
      <c r="AH1525" s="40">
        <f>INDEX(AH$263:AH$279,$F1525)*$D1525*INDEX(AH$23:AH$30,$E1525)</f>
        <v/>
      </c>
      <c r="AI1525" s="35">
        <f>INDEX(AI$263:AI$279,$F1525)*$D1525*INDEX(AI$23:AI$30,$E1525)</f>
        <v/>
      </c>
      <c r="AJ1525" s="35">
        <f>INDEX(AJ$263:AJ$279,$F1525)*$D1525*INDEX(AJ$23:AJ$30,$E1525)</f>
        <v/>
      </c>
      <c r="AK1525" s="35">
        <f>INDEX(AK$263:AK$279,$F1525)*$D1525*INDEX(AK$23:AK$30,$E1525)</f>
        <v/>
      </c>
      <c r="AL1525" s="35">
        <f>INDEX(AL$263:AL$279,$F1525)*$D1525*INDEX(AL$23:AL$30,$E1525)</f>
        <v/>
      </c>
      <c r="AM1525" s="35">
        <f>INDEX(AM$263:AM$279,$F1525)*$D1525*INDEX(AM$23:AM$30,$E1525)</f>
        <v/>
      </c>
      <c r="AN1525" s="35">
        <f>INDEX(AN$263:AN$279,$F1525)*$D1525*INDEX(AN$23:AN$30,$E1525)</f>
        <v/>
      </c>
      <c r="AO1525" s="35">
        <f>INDEX(AO$263:AO$279,$F1525)*$D1525*INDEX(AO$23:AO$30,$E1525)</f>
        <v/>
      </c>
      <c r="AP1525" s="35">
        <f>INDEX(AP$263:AP$279,$F1525)*$D1525*INDEX(AP$23:AP$30,$E1525)</f>
        <v/>
      </c>
      <c r="AQ1525" s="35">
        <f>INDEX(AQ$263:AQ$279,$F1525)*$D1525*INDEX(AQ$23:AQ$30,$E1525)</f>
        <v/>
      </c>
      <c r="AR1525" s="35">
        <f>INDEX(AR$263:AR$279,$F1525)*$D1525*INDEX(AR$23:AR$30,$E1525)</f>
        <v/>
      </c>
      <c r="AS1525" s="35">
        <f>INDEX(AS$263:AS$279,$F1525)*$D1525*INDEX(AS$23:AS$30,$E1525)</f>
        <v/>
      </c>
      <c r="AT1525" s="35">
        <f>INDEX(AT$263:AT$279,$F1525)*$D1525*INDEX(AT$23:AT$30,$E1525)</f>
        <v/>
      </c>
      <c r="AU1525" s="35">
        <f>INDEX(AU$263:AU$279,$F1525)*$D1525*INDEX(AU$23:AU$30,$E1525)</f>
        <v/>
      </c>
      <c r="AV1525" s="35">
        <f>INDEX(AV$263:AV$279,$F1525)*$D1525*INDEX(AV$23:AV$30,$E1525)</f>
        <v/>
      </c>
      <c r="AW1525" s="35">
        <f>INDEX(AW$263:AW$279,$F1525)*$D1525*INDEX(AW$23:AW$30,$E1525)</f>
        <v/>
      </c>
      <c r="AX1525" s="35">
        <f>INDEX(AX$263:AX$279,$F1525)*$D1525*INDEX(AX$23:AX$30,$E1525)</f>
        <v/>
      </c>
      <c r="AY1525" s="35">
        <f>INDEX(AY$263:AY$279,$F1525)*$D1525*INDEX(AY$23:AY$30,$E1525)</f>
        <v/>
      </c>
      <c r="AZ1525" s="35">
        <f>INDEX(AZ$263:AZ$279,$F1525)*$D1525*INDEX(AZ$23:AZ$30,$E1525)</f>
        <v/>
      </c>
      <c r="BA1525" s="42">
        <f>CARBONTAX(INDEX(BA$263:BA$279,$F1525),$D1525,INDEX(BA$23:BA$30,$E1525))</f>
        <v/>
      </c>
    </row>
    <row r="1526" hidden="1" outlineLevel="2">
      <c r="A1526" s="14" t="inlineStr">
        <is>
          <t>ctxnew</t>
        </is>
      </c>
      <c r="B1526" s="14" t="inlineStr">
        <is>
          <t>lpg</t>
        </is>
      </c>
      <c r="C1526" s="14" t="inlineStr">
        <is>
          <t>res</t>
        </is>
      </c>
      <c r="D1526" s="35">
        <f>INDEX(Inputs!$W$5:$W$132,MATCH($B1526&amp;"|"&amp;$C1526,Inputs!$A$5:$A$132,0))</f>
        <v/>
      </c>
      <c r="E1526" s="35">
        <f>INDEX(Inputs!$L$5:$L$132,MATCH($B1526&amp;"|"&amp;$C1526,Inputs!$A$5:$A$132,0))</f>
        <v/>
      </c>
      <c r="F1526" s="35">
        <f>INDEX(Inputs!$M$5:$M$132,MATCH($B1526&amp;"|"&amp;$C1526,Inputs!$A$5:$A$132,0))</f>
        <v/>
      </c>
      <c r="G1526" s="39" t="n"/>
      <c r="H1526" s="14">
        <f>INDEX(VarLab,MATCH($A1526,VarKey,0))&amp;INDEX(MemLab,MATCH($C1526&amp;"|"&amp;$B1526,MemKey,0))</f>
        <v/>
      </c>
      <c r="I1526" s="14">
        <f>INDEX(VarUnit,MATCH($A1526,VarKey,0))</f>
        <v/>
      </c>
      <c r="J1526" s="14">
        <f>INDEX(VarSrc,MATCH($A1526,VarKey,0))</f>
        <v/>
      </c>
      <c r="K1526" s="11">
        <f>CodePrefix&amp;$A1526&amp;IF($C1526="","","."&amp;$C1526&amp;"."&amp;$B1526)&amp;INDEX(VarEnd,MATCH($A1526,VarKey,0))&amp;K$5</f>
        <v/>
      </c>
      <c r="L1526" s="40">
        <f>INDEX(L$263:L$279,$F1526)*$D1526*INDEX(L$23:L$30,$E1526)</f>
        <v/>
      </c>
      <c r="M1526" s="35">
        <f>INDEX(M$263:M$279,$F1526)*$D1526*INDEX(M$23:M$30,$E1526)</f>
        <v/>
      </c>
      <c r="N1526" s="35">
        <f>INDEX(N$263:N$279,$F1526)*$D1526*INDEX(N$23:N$30,$E1526)</f>
        <v/>
      </c>
      <c r="O1526" s="35">
        <f>INDEX(O$263:O$279,$F1526)*$D1526*INDEX(O$23:O$30,$E1526)</f>
        <v/>
      </c>
      <c r="P1526" s="35">
        <f>INDEX(P$263:P$279,$F1526)*$D1526*INDEX(P$23:P$30,$E1526)</f>
        <v/>
      </c>
      <c r="Q1526" s="35">
        <f>INDEX(Q$263:Q$279,$F1526)*$D1526*INDEX(Q$23:Q$30,$E1526)</f>
        <v/>
      </c>
      <c r="R1526" s="35">
        <f>INDEX(R$263:R$279,$F1526)*$D1526*INDEX(R$23:R$30,$E1526)</f>
        <v/>
      </c>
      <c r="S1526" s="35">
        <f>INDEX(S$263:S$279,$F1526)*$D1526*INDEX(S$23:S$30,$E1526)</f>
        <v/>
      </c>
      <c r="T1526" s="35">
        <f>INDEX(T$263:T$279,$F1526)*$D1526*INDEX(T$23:T$30,$E1526)</f>
        <v/>
      </c>
      <c r="U1526" s="35">
        <f>INDEX(U$263:U$279,$F1526)*$D1526*INDEX(U$23:U$30,$E1526)</f>
        <v/>
      </c>
      <c r="V1526" s="35">
        <f>INDEX(V$263:V$279,$F1526)*$D1526*INDEX(V$23:V$30,$E1526)</f>
        <v/>
      </c>
      <c r="W1526" s="35">
        <f>INDEX(W$263:W$279,$F1526)*$D1526*INDEX(W$23:W$30,$E1526)</f>
        <v/>
      </c>
      <c r="X1526" s="35">
        <f>INDEX(X$263:X$279,$F1526)*$D1526*INDEX(X$23:X$30,$E1526)</f>
        <v/>
      </c>
      <c r="Y1526" s="35">
        <f>INDEX(Y$263:Y$279,$F1526)*$D1526*INDEX(Y$23:Y$30,$E1526)</f>
        <v/>
      </c>
      <c r="Z1526" s="35">
        <f>INDEX(Z$263:Z$279,$F1526)*$D1526*INDEX(Z$23:Z$30,$E1526)</f>
        <v/>
      </c>
      <c r="AA1526" s="35">
        <f>INDEX(AA$263:AA$279,$F1526)*$D1526*INDEX(AA$23:AA$30,$E1526)</f>
        <v/>
      </c>
      <c r="AB1526" s="35">
        <f>INDEX(AB$263:AB$279,$F1526)*$D1526*INDEX(AB$23:AB$30,$E1526)</f>
        <v/>
      </c>
      <c r="AC1526" s="35">
        <f>INDEX(AC$263:AC$279,$F1526)*$D1526*INDEX(AC$23:AC$30,$E1526)</f>
        <v/>
      </c>
      <c r="AD1526" s="35">
        <f>INDEX(AD$263:AD$279,$F1526)*$D1526*INDEX(AD$23:AD$30,$E1526)</f>
        <v/>
      </c>
      <c r="AE1526" s="42">
        <f>CARBONTAX(INDEX(AE$263:AE$279,$F1526),$D1526,INDEX(AE$23:AE$30,$E1526))</f>
        <v/>
      </c>
      <c r="AG1526" s="11">
        <f>CodePrefix&amp;$A1526&amp;IF($C1526="","","."&amp;$C1526&amp;"."&amp;$B1526)&amp;INDEX(VarEnd,MATCH($A1526,VarKey,0))&amp;AG$5</f>
        <v/>
      </c>
      <c r="AH1526" s="40">
        <f>INDEX(AH$263:AH$279,$F1526)*$D1526*INDEX(AH$23:AH$30,$E1526)</f>
        <v/>
      </c>
      <c r="AI1526" s="35">
        <f>INDEX(AI$263:AI$279,$F1526)*$D1526*INDEX(AI$23:AI$30,$E1526)</f>
        <v/>
      </c>
      <c r="AJ1526" s="35">
        <f>INDEX(AJ$263:AJ$279,$F1526)*$D1526*INDEX(AJ$23:AJ$30,$E1526)</f>
        <v/>
      </c>
      <c r="AK1526" s="35">
        <f>INDEX(AK$263:AK$279,$F1526)*$D1526*INDEX(AK$23:AK$30,$E1526)</f>
        <v/>
      </c>
      <c r="AL1526" s="35">
        <f>INDEX(AL$263:AL$279,$F1526)*$D1526*INDEX(AL$23:AL$30,$E1526)</f>
        <v/>
      </c>
      <c r="AM1526" s="35">
        <f>INDEX(AM$263:AM$279,$F1526)*$D1526*INDEX(AM$23:AM$30,$E1526)</f>
        <v/>
      </c>
      <c r="AN1526" s="35">
        <f>INDEX(AN$263:AN$279,$F1526)*$D1526*INDEX(AN$23:AN$30,$E1526)</f>
        <v/>
      </c>
      <c r="AO1526" s="35">
        <f>INDEX(AO$263:AO$279,$F1526)*$D1526*INDEX(AO$23:AO$30,$E1526)</f>
        <v/>
      </c>
      <c r="AP1526" s="35">
        <f>INDEX(AP$263:AP$279,$F1526)*$D1526*INDEX(AP$23:AP$30,$E1526)</f>
        <v/>
      </c>
      <c r="AQ1526" s="35">
        <f>INDEX(AQ$263:AQ$279,$F1526)*$D1526*INDEX(AQ$23:AQ$30,$E1526)</f>
        <v/>
      </c>
      <c r="AR1526" s="35">
        <f>INDEX(AR$263:AR$279,$F1526)*$D1526*INDEX(AR$23:AR$30,$E1526)</f>
        <v/>
      </c>
      <c r="AS1526" s="35">
        <f>INDEX(AS$263:AS$279,$F1526)*$D1526*INDEX(AS$23:AS$30,$E1526)</f>
        <v/>
      </c>
      <c r="AT1526" s="35">
        <f>INDEX(AT$263:AT$279,$F1526)*$D1526*INDEX(AT$23:AT$30,$E1526)</f>
        <v/>
      </c>
      <c r="AU1526" s="35">
        <f>INDEX(AU$263:AU$279,$F1526)*$D1526*INDEX(AU$23:AU$30,$E1526)</f>
        <v/>
      </c>
      <c r="AV1526" s="35">
        <f>INDEX(AV$263:AV$279,$F1526)*$D1526*INDEX(AV$23:AV$30,$E1526)</f>
        <v/>
      </c>
      <c r="AW1526" s="35">
        <f>INDEX(AW$263:AW$279,$F1526)*$D1526*INDEX(AW$23:AW$30,$E1526)</f>
        <v/>
      </c>
      <c r="AX1526" s="35">
        <f>INDEX(AX$263:AX$279,$F1526)*$D1526*INDEX(AX$23:AX$30,$E1526)</f>
        <v/>
      </c>
      <c r="AY1526" s="35">
        <f>INDEX(AY$263:AY$279,$F1526)*$D1526*INDEX(AY$23:AY$30,$E1526)</f>
        <v/>
      </c>
      <c r="AZ1526" s="35">
        <f>INDEX(AZ$263:AZ$279,$F1526)*$D1526*INDEX(AZ$23:AZ$30,$E1526)</f>
        <v/>
      </c>
      <c r="BA1526" s="42">
        <f>CARBONTAX(INDEX(BA$263:BA$279,$F1526),$D1526,INDEX(BA$23:BA$30,$E1526))</f>
        <v/>
      </c>
    </row>
    <row r="1527" hidden="1" outlineLevel="2">
      <c r="A1527" s="14" t="inlineStr">
        <is>
          <t>ctxnew</t>
        </is>
      </c>
      <c r="B1527" s="14" t="inlineStr">
        <is>
          <t>ker</t>
        </is>
      </c>
      <c r="C1527" s="14" t="inlineStr">
        <is>
          <t>res</t>
        </is>
      </c>
      <c r="D1527" s="35">
        <f>INDEX(Inputs!$W$5:$W$132,MATCH($B1527&amp;"|"&amp;$C1527,Inputs!$A$5:$A$132,0))</f>
        <v/>
      </c>
      <c r="E1527" s="35">
        <f>INDEX(Inputs!$L$5:$L$132,MATCH($B1527&amp;"|"&amp;$C1527,Inputs!$A$5:$A$132,0))</f>
        <v/>
      </c>
      <c r="F1527" s="35">
        <f>INDEX(Inputs!$M$5:$M$132,MATCH($B1527&amp;"|"&amp;$C1527,Inputs!$A$5:$A$132,0))</f>
        <v/>
      </c>
      <c r="G1527" s="39" t="n"/>
      <c r="H1527" s="14">
        <f>INDEX(VarLab,MATCH($A1527,VarKey,0))&amp;INDEX(MemLab,MATCH($C1527&amp;"|"&amp;$B1527,MemKey,0))</f>
        <v/>
      </c>
      <c r="I1527" s="14">
        <f>INDEX(VarUnit,MATCH($A1527,VarKey,0))</f>
        <v/>
      </c>
      <c r="J1527" s="14">
        <f>INDEX(VarSrc,MATCH($A1527,VarKey,0))</f>
        <v/>
      </c>
      <c r="K1527" s="11">
        <f>CodePrefix&amp;$A1527&amp;IF($C1527="","","."&amp;$C1527&amp;"."&amp;$B1527)&amp;INDEX(VarEnd,MATCH($A1527,VarKey,0))&amp;K$5</f>
        <v/>
      </c>
      <c r="L1527" s="40">
        <f>INDEX(L$263:L$279,$F1527)*$D1527*INDEX(L$23:L$30,$E1527)</f>
        <v/>
      </c>
      <c r="M1527" s="35">
        <f>INDEX(M$263:M$279,$F1527)*$D1527*INDEX(M$23:M$30,$E1527)</f>
        <v/>
      </c>
      <c r="N1527" s="35">
        <f>INDEX(N$263:N$279,$F1527)*$D1527*INDEX(N$23:N$30,$E1527)</f>
        <v/>
      </c>
      <c r="O1527" s="35">
        <f>INDEX(O$263:O$279,$F1527)*$D1527*INDEX(O$23:O$30,$E1527)</f>
        <v/>
      </c>
      <c r="P1527" s="35">
        <f>INDEX(P$263:P$279,$F1527)*$D1527*INDEX(P$23:P$30,$E1527)</f>
        <v/>
      </c>
      <c r="Q1527" s="35">
        <f>INDEX(Q$263:Q$279,$F1527)*$D1527*INDEX(Q$23:Q$30,$E1527)</f>
        <v/>
      </c>
      <c r="R1527" s="35">
        <f>INDEX(R$263:R$279,$F1527)*$D1527*INDEX(R$23:R$30,$E1527)</f>
        <v/>
      </c>
      <c r="S1527" s="35">
        <f>INDEX(S$263:S$279,$F1527)*$D1527*INDEX(S$23:S$30,$E1527)</f>
        <v/>
      </c>
      <c r="T1527" s="35">
        <f>INDEX(T$263:T$279,$F1527)*$D1527*INDEX(T$23:T$30,$E1527)</f>
        <v/>
      </c>
      <c r="U1527" s="35">
        <f>INDEX(U$263:U$279,$F1527)*$D1527*INDEX(U$23:U$30,$E1527)</f>
        <v/>
      </c>
      <c r="V1527" s="35">
        <f>INDEX(V$263:V$279,$F1527)*$D1527*INDEX(V$23:V$30,$E1527)</f>
        <v/>
      </c>
      <c r="W1527" s="35">
        <f>INDEX(W$263:W$279,$F1527)*$D1527*INDEX(W$23:W$30,$E1527)</f>
        <v/>
      </c>
      <c r="X1527" s="35">
        <f>INDEX(X$263:X$279,$F1527)*$D1527*INDEX(X$23:X$30,$E1527)</f>
        <v/>
      </c>
      <c r="Y1527" s="35">
        <f>INDEX(Y$263:Y$279,$F1527)*$D1527*INDEX(Y$23:Y$30,$E1527)</f>
        <v/>
      </c>
      <c r="Z1527" s="35">
        <f>INDEX(Z$263:Z$279,$F1527)*$D1527*INDEX(Z$23:Z$30,$E1527)</f>
        <v/>
      </c>
      <c r="AA1527" s="35">
        <f>INDEX(AA$263:AA$279,$F1527)*$D1527*INDEX(AA$23:AA$30,$E1527)</f>
        <v/>
      </c>
      <c r="AB1527" s="35">
        <f>INDEX(AB$263:AB$279,$F1527)*$D1527*INDEX(AB$23:AB$30,$E1527)</f>
        <v/>
      </c>
      <c r="AC1527" s="35">
        <f>INDEX(AC$263:AC$279,$F1527)*$D1527*INDEX(AC$23:AC$30,$E1527)</f>
        <v/>
      </c>
      <c r="AD1527" s="35">
        <f>INDEX(AD$263:AD$279,$F1527)*$D1527*INDEX(AD$23:AD$30,$E1527)</f>
        <v/>
      </c>
      <c r="AE1527" s="42">
        <f>CARBONTAX(INDEX(AE$263:AE$279,$F1527),$D1527,INDEX(AE$23:AE$30,$E1527))</f>
        <v/>
      </c>
      <c r="AG1527" s="11">
        <f>CodePrefix&amp;$A1527&amp;IF($C1527="","","."&amp;$C1527&amp;"."&amp;$B1527)&amp;INDEX(VarEnd,MATCH($A1527,VarKey,0))&amp;AG$5</f>
        <v/>
      </c>
      <c r="AH1527" s="40">
        <f>INDEX(AH$263:AH$279,$F1527)*$D1527*INDEX(AH$23:AH$30,$E1527)</f>
        <v/>
      </c>
      <c r="AI1527" s="35">
        <f>INDEX(AI$263:AI$279,$F1527)*$D1527*INDEX(AI$23:AI$30,$E1527)</f>
        <v/>
      </c>
      <c r="AJ1527" s="35">
        <f>INDEX(AJ$263:AJ$279,$F1527)*$D1527*INDEX(AJ$23:AJ$30,$E1527)</f>
        <v/>
      </c>
      <c r="AK1527" s="35">
        <f>INDEX(AK$263:AK$279,$F1527)*$D1527*INDEX(AK$23:AK$30,$E1527)</f>
        <v/>
      </c>
      <c r="AL1527" s="35">
        <f>INDEX(AL$263:AL$279,$F1527)*$D1527*INDEX(AL$23:AL$30,$E1527)</f>
        <v/>
      </c>
      <c r="AM1527" s="35">
        <f>INDEX(AM$263:AM$279,$F1527)*$D1527*INDEX(AM$23:AM$30,$E1527)</f>
        <v/>
      </c>
      <c r="AN1527" s="35">
        <f>INDEX(AN$263:AN$279,$F1527)*$D1527*INDEX(AN$23:AN$30,$E1527)</f>
        <v/>
      </c>
      <c r="AO1527" s="35">
        <f>INDEX(AO$263:AO$279,$F1527)*$D1527*INDEX(AO$23:AO$30,$E1527)</f>
        <v/>
      </c>
      <c r="AP1527" s="35">
        <f>INDEX(AP$263:AP$279,$F1527)*$D1527*INDEX(AP$23:AP$30,$E1527)</f>
        <v/>
      </c>
      <c r="AQ1527" s="35">
        <f>INDEX(AQ$263:AQ$279,$F1527)*$D1527*INDEX(AQ$23:AQ$30,$E1527)</f>
        <v/>
      </c>
      <c r="AR1527" s="35">
        <f>INDEX(AR$263:AR$279,$F1527)*$D1527*INDEX(AR$23:AR$30,$E1527)</f>
        <v/>
      </c>
      <c r="AS1527" s="35">
        <f>INDEX(AS$263:AS$279,$F1527)*$D1527*INDEX(AS$23:AS$30,$E1527)</f>
        <v/>
      </c>
      <c r="AT1527" s="35">
        <f>INDEX(AT$263:AT$279,$F1527)*$D1527*INDEX(AT$23:AT$30,$E1527)</f>
        <v/>
      </c>
      <c r="AU1527" s="35">
        <f>INDEX(AU$263:AU$279,$F1527)*$D1527*INDEX(AU$23:AU$30,$E1527)</f>
        <v/>
      </c>
      <c r="AV1527" s="35">
        <f>INDEX(AV$263:AV$279,$F1527)*$D1527*INDEX(AV$23:AV$30,$E1527)</f>
        <v/>
      </c>
      <c r="AW1527" s="35">
        <f>INDEX(AW$263:AW$279,$F1527)*$D1527*INDEX(AW$23:AW$30,$E1527)</f>
        <v/>
      </c>
      <c r="AX1527" s="35">
        <f>INDEX(AX$263:AX$279,$F1527)*$D1527*INDEX(AX$23:AX$30,$E1527)</f>
        <v/>
      </c>
      <c r="AY1527" s="35">
        <f>INDEX(AY$263:AY$279,$F1527)*$D1527*INDEX(AY$23:AY$30,$E1527)</f>
        <v/>
      </c>
      <c r="AZ1527" s="35">
        <f>INDEX(AZ$263:AZ$279,$F1527)*$D1527*INDEX(AZ$23:AZ$30,$E1527)</f>
        <v/>
      </c>
      <c r="BA1527" s="42">
        <f>CARBONTAX(INDEX(BA$263:BA$279,$F1527),$D1527,INDEX(BA$23:BA$30,$E1527))</f>
        <v/>
      </c>
    </row>
    <row r="1528" hidden="1" outlineLevel="2">
      <c r="A1528" s="14" t="inlineStr">
        <is>
          <t>ctxnew</t>
        </is>
      </c>
      <c r="B1528" s="14" t="inlineStr">
        <is>
          <t>oop</t>
        </is>
      </c>
      <c r="C1528" s="14" t="inlineStr">
        <is>
          <t>res</t>
        </is>
      </c>
      <c r="D1528" s="35">
        <f>INDEX(Inputs!$W$5:$W$132,MATCH($B1528&amp;"|"&amp;$C1528,Inputs!$A$5:$A$132,0))</f>
        <v/>
      </c>
      <c r="E1528" s="35">
        <f>INDEX(Inputs!$L$5:$L$132,MATCH($B1528&amp;"|"&amp;$C1528,Inputs!$A$5:$A$132,0))</f>
        <v/>
      </c>
      <c r="F1528" s="35">
        <f>INDEX(Inputs!$M$5:$M$132,MATCH($B1528&amp;"|"&amp;$C1528,Inputs!$A$5:$A$132,0))</f>
        <v/>
      </c>
      <c r="G1528" s="39" t="n"/>
      <c r="H1528" s="14">
        <f>INDEX(VarLab,MATCH($A1528,VarKey,0))&amp;INDEX(MemLab,MATCH($C1528&amp;"|"&amp;$B1528,MemKey,0))</f>
        <v/>
      </c>
      <c r="I1528" s="14">
        <f>INDEX(VarUnit,MATCH($A1528,VarKey,0))</f>
        <v/>
      </c>
      <c r="J1528" s="14">
        <f>INDEX(VarSrc,MATCH($A1528,VarKey,0))</f>
        <v/>
      </c>
      <c r="K1528" s="11">
        <f>CodePrefix&amp;$A1528&amp;IF($C1528="","","."&amp;$C1528&amp;"."&amp;$B1528)&amp;INDEX(VarEnd,MATCH($A1528,VarKey,0))&amp;K$5</f>
        <v/>
      </c>
      <c r="L1528" s="40">
        <f>INDEX(L$263:L$279,$F1528)*$D1528*INDEX(L$23:L$30,$E1528)</f>
        <v/>
      </c>
      <c r="M1528" s="35">
        <f>INDEX(M$263:M$279,$F1528)*$D1528*INDEX(M$23:M$30,$E1528)</f>
        <v/>
      </c>
      <c r="N1528" s="35">
        <f>INDEX(N$263:N$279,$F1528)*$D1528*INDEX(N$23:N$30,$E1528)</f>
        <v/>
      </c>
      <c r="O1528" s="35">
        <f>INDEX(O$263:O$279,$F1528)*$D1528*INDEX(O$23:O$30,$E1528)</f>
        <v/>
      </c>
      <c r="P1528" s="35">
        <f>INDEX(P$263:P$279,$F1528)*$D1528*INDEX(P$23:P$30,$E1528)</f>
        <v/>
      </c>
      <c r="Q1528" s="35">
        <f>INDEX(Q$263:Q$279,$F1528)*$D1528*INDEX(Q$23:Q$30,$E1528)</f>
        <v/>
      </c>
      <c r="R1528" s="35">
        <f>INDEX(R$263:R$279,$F1528)*$D1528*INDEX(R$23:R$30,$E1528)</f>
        <v/>
      </c>
      <c r="S1528" s="35">
        <f>INDEX(S$263:S$279,$F1528)*$D1528*INDEX(S$23:S$30,$E1528)</f>
        <v/>
      </c>
      <c r="T1528" s="35">
        <f>INDEX(T$263:T$279,$F1528)*$D1528*INDEX(T$23:T$30,$E1528)</f>
        <v/>
      </c>
      <c r="U1528" s="35">
        <f>INDEX(U$263:U$279,$F1528)*$D1528*INDEX(U$23:U$30,$E1528)</f>
        <v/>
      </c>
      <c r="V1528" s="35">
        <f>INDEX(V$263:V$279,$F1528)*$D1528*INDEX(V$23:V$30,$E1528)</f>
        <v/>
      </c>
      <c r="W1528" s="35">
        <f>INDEX(W$263:W$279,$F1528)*$D1528*INDEX(W$23:W$30,$E1528)</f>
        <v/>
      </c>
      <c r="X1528" s="35">
        <f>INDEX(X$263:X$279,$F1528)*$D1528*INDEX(X$23:X$30,$E1528)</f>
        <v/>
      </c>
      <c r="Y1528" s="35">
        <f>INDEX(Y$263:Y$279,$F1528)*$D1528*INDEX(Y$23:Y$30,$E1528)</f>
        <v/>
      </c>
      <c r="Z1528" s="35">
        <f>INDEX(Z$263:Z$279,$F1528)*$D1528*INDEX(Z$23:Z$30,$E1528)</f>
        <v/>
      </c>
      <c r="AA1528" s="35">
        <f>INDEX(AA$263:AA$279,$F1528)*$D1528*INDEX(AA$23:AA$30,$E1528)</f>
        <v/>
      </c>
      <c r="AB1528" s="35">
        <f>INDEX(AB$263:AB$279,$F1528)*$D1528*INDEX(AB$23:AB$30,$E1528)</f>
        <v/>
      </c>
      <c r="AC1528" s="35">
        <f>INDEX(AC$263:AC$279,$F1528)*$D1528*INDEX(AC$23:AC$30,$E1528)</f>
        <v/>
      </c>
      <c r="AD1528" s="35">
        <f>INDEX(AD$263:AD$279,$F1528)*$D1528*INDEX(AD$23:AD$30,$E1528)</f>
        <v/>
      </c>
      <c r="AE1528" s="42">
        <f>CARBONTAX(INDEX(AE$263:AE$279,$F1528),$D1528,INDEX(AE$23:AE$30,$E1528))</f>
        <v/>
      </c>
      <c r="AG1528" s="11">
        <f>CodePrefix&amp;$A1528&amp;IF($C1528="","","."&amp;$C1528&amp;"."&amp;$B1528)&amp;INDEX(VarEnd,MATCH($A1528,VarKey,0))&amp;AG$5</f>
        <v/>
      </c>
      <c r="AH1528" s="40">
        <f>INDEX(AH$263:AH$279,$F1528)*$D1528*INDEX(AH$23:AH$30,$E1528)</f>
        <v/>
      </c>
      <c r="AI1528" s="35">
        <f>INDEX(AI$263:AI$279,$F1528)*$D1528*INDEX(AI$23:AI$30,$E1528)</f>
        <v/>
      </c>
      <c r="AJ1528" s="35">
        <f>INDEX(AJ$263:AJ$279,$F1528)*$D1528*INDEX(AJ$23:AJ$30,$E1528)</f>
        <v/>
      </c>
      <c r="AK1528" s="35">
        <f>INDEX(AK$263:AK$279,$F1528)*$D1528*INDEX(AK$23:AK$30,$E1528)</f>
        <v/>
      </c>
      <c r="AL1528" s="35">
        <f>INDEX(AL$263:AL$279,$F1528)*$D1528*INDEX(AL$23:AL$30,$E1528)</f>
        <v/>
      </c>
      <c r="AM1528" s="35">
        <f>INDEX(AM$263:AM$279,$F1528)*$D1528*INDEX(AM$23:AM$30,$E1528)</f>
        <v/>
      </c>
      <c r="AN1528" s="35">
        <f>INDEX(AN$263:AN$279,$F1528)*$D1528*INDEX(AN$23:AN$30,$E1528)</f>
        <v/>
      </c>
      <c r="AO1528" s="35">
        <f>INDEX(AO$263:AO$279,$F1528)*$D1528*INDEX(AO$23:AO$30,$E1528)</f>
        <v/>
      </c>
      <c r="AP1528" s="35">
        <f>INDEX(AP$263:AP$279,$F1528)*$D1528*INDEX(AP$23:AP$30,$E1528)</f>
        <v/>
      </c>
      <c r="AQ1528" s="35">
        <f>INDEX(AQ$263:AQ$279,$F1528)*$D1528*INDEX(AQ$23:AQ$30,$E1528)</f>
        <v/>
      </c>
      <c r="AR1528" s="35">
        <f>INDEX(AR$263:AR$279,$F1528)*$D1528*INDEX(AR$23:AR$30,$E1528)</f>
        <v/>
      </c>
      <c r="AS1528" s="35">
        <f>INDEX(AS$263:AS$279,$F1528)*$D1528*INDEX(AS$23:AS$30,$E1528)</f>
        <v/>
      </c>
      <c r="AT1528" s="35">
        <f>INDEX(AT$263:AT$279,$F1528)*$D1528*INDEX(AT$23:AT$30,$E1528)</f>
        <v/>
      </c>
      <c r="AU1528" s="35">
        <f>INDEX(AU$263:AU$279,$F1528)*$D1528*INDEX(AU$23:AU$30,$E1528)</f>
        <v/>
      </c>
      <c r="AV1528" s="35">
        <f>INDEX(AV$263:AV$279,$F1528)*$D1528*INDEX(AV$23:AV$30,$E1528)</f>
        <v/>
      </c>
      <c r="AW1528" s="35">
        <f>INDEX(AW$263:AW$279,$F1528)*$D1528*INDEX(AW$23:AW$30,$E1528)</f>
        <v/>
      </c>
      <c r="AX1528" s="35">
        <f>INDEX(AX$263:AX$279,$F1528)*$D1528*INDEX(AX$23:AX$30,$E1528)</f>
        <v/>
      </c>
      <c r="AY1528" s="35">
        <f>INDEX(AY$263:AY$279,$F1528)*$D1528*INDEX(AY$23:AY$30,$E1528)</f>
        <v/>
      </c>
      <c r="AZ1528" s="35">
        <f>INDEX(AZ$263:AZ$279,$F1528)*$D1528*INDEX(AZ$23:AZ$30,$E1528)</f>
        <v/>
      </c>
      <c r="BA1528" s="42">
        <f>CARBONTAX(INDEX(BA$263:BA$279,$F1528),$D1528,INDEX(BA$23:BA$30,$E1528))</f>
        <v/>
      </c>
    </row>
    <row r="1529" hidden="1" outlineLevel="2">
      <c r="A1529" s="14" t="inlineStr">
        <is>
          <t>ctxnew</t>
        </is>
      </c>
      <c r="B1529" s="14" t="inlineStr">
        <is>
          <t>bio</t>
        </is>
      </c>
      <c r="C1529" s="14" t="inlineStr">
        <is>
          <t>res</t>
        </is>
      </c>
      <c r="D1529" s="35">
        <f>INDEX(Inputs!$W$5:$W$132,MATCH($B1529&amp;"|"&amp;$C1529,Inputs!$A$5:$A$132,0))</f>
        <v/>
      </c>
      <c r="E1529" s="35">
        <f>INDEX(Inputs!$L$5:$L$132,MATCH($B1529&amp;"|"&amp;$C1529,Inputs!$A$5:$A$132,0))</f>
        <v/>
      </c>
      <c r="F1529" s="35">
        <f>INDEX(Inputs!$M$5:$M$132,MATCH($B1529&amp;"|"&amp;$C1529,Inputs!$A$5:$A$132,0))</f>
        <v/>
      </c>
      <c r="G1529" s="39" t="n"/>
      <c r="H1529" s="14">
        <f>INDEX(VarLab,MATCH($A1529,VarKey,0))&amp;INDEX(MemLab,MATCH($C1529&amp;"|"&amp;$B1529,MemKey,0))</f>
        <v/>
      </c>
      <c r="I1529" s="14">
        <f>INDEX(VarUnit,MATCH($A1529,VarKey,0))</f>
        <v/>
      </c>
      <c r="J1529" s="14">
        <f>INDEX(VarSrc,MATCH($A1529,VarKey,0))</f>
        <v/>
      </c>
      <c r="K1529" s="11">
        <f>CodePrefix&amp;$A1529&amp;IF($C1529="","","."&amp;$C1529&amp;"."&amp;$B1529)&amp;INDEX(VarEnd,MATCH($A1529,VarKey,0))&amp;K$5</f>
        <v/>
      </c>
      <c r="L1529" s="40">
        <f>INDEX(L$263:L$279,$F1529)*$D1529*INDEX(L$23:L$30,$E1529)</f>
        <v/>
      </c>
      <c r="M1529" s="35">
        <f>INDEX(M$263:M$279,$F1529)*$D1529*INDEX(M$23:M$30,$E1529)</f>
        <v/>
      </c>
      <c r="N1529" s="35">
        <f>INDEX(N$263:N$279,$F1529)*$D1529*INDEX(N$23:N$30,$E1529)</f>
        <v/>
      </c>
      <c r="O1529" s="35">
        <f>INDEX(O$263:O$279,$F1529)*$D1529*INDEX(O$23:O$30,$E1529)</f>
        <v/>
      </c>
      <c r="P1529" s="35">
        <f>INDEX(P$263:P$279,$F1529)*$D1529*INDEX(P$23:P$30,$E1529)</f>
        <v/>
      </c>
      <c r="Q1529" s="35">
        <f>INDEX(Q$263:Q$279,$F1529)*$D1529*INDEX(Q$23:Q$30,$E1529)</f>
        <v/>
      </c>
      <c r="R1529" s="35">
        <f>INDEX(R$263:R$279,$F1529)*$D1529*INDEX(R$23:R$30,$E1529)</f>
        <v/>
      </c>
      <c r="S1529" s="35">
        <f>INDEX(S$263:S$279,$F1529)*$D1529*INDEX(S$23:S$30,$E1529)</f>
        <v/>
      </c>
      <c r="T1529" s="35">
        <f>INDEX(T$263:T$279,$F1529)*$D1529*INDEX(T$23:T$30,$E1529)</f>
        <v/>
      </c>
      <c r="U1529" s="35">
        <f>INDEX(U$263:U$279,$F1529)*$D1529*INDEX(U$23:U$30,$E1529)</f>
        <v/>
      </c>
      <c r="V1529" s="35">
        <f>INDEX(V$263:V$279,$F1529)*$D1529*INDEX(V$23:V$30,$E1529)</f>
        <v/>
      </c>
      <c r="W1529" s="35">
        <f>INDEX(W$263:W$279,$F1529)*$D1529*INDEX(W$23:W$30,$E1529)</f>
        <v/>
      </c>
      <c r="X1529" s="35">
        <f>INDEX(X$263:X$279,$F1529)*$D1529*INDEX(X$23:X$30,$E1529)</f>
        <v/>
      </c>
      <c r="Y1529" s="35">
        <f>INDEX(Y$263:Y$279,$F1529)*$D1529*INDEX(Y$23:Y$30,$E1529)</f>
        <v/>
      </c>
      <c r="Z1529" s="35">
        <f>INDEX(Z$263:Z$279,$F1529)*$D1529*INDEX(Z$23:Z$30,$E1529)</f>
        <v/>
      </c>
      <c r="AA1529" s="35">
        <f>INDEX(AA$263:AA$279,$F1529)*$D1529*INDEX(AA$23:AA$30,$E1529)</f>
        <v/>
      </c>
      <c r="AB1529" s="35">
        <f>INDEX(AB$263:AB$279,$F1529)*$D1529*INDEX(AB$23:AB$30,$E1529)</f>
        <v/>
      </c>
      <c r="AC1529" s="35">
        <f>INDEX(AC$263:AC$279,$F1529)*$D1529*INDEX(AC$23:AC$30,$E1529)</f>
        <v/>
      </c>
      <c r="AD1529" s="35">
        <f>INDEX(AD$263:AD$279,$F1529)*$D1529*INDEX(AD$23:AD$30,$E1529)</f>
        <v/>
      </c>
      <c r="AE1529" s="42">
        <f>CARBONTAX(INDEX(AE$263:AE$279,$F1529),$D1529,INDEX(AE$23:AE$30,$E1529))</f>
        <v/>
      </c>
      <c r="AG1529" s="11">
        <f>CodePrefix&amp;$A1529&amp;IF($C1529="","","."&amp;$C1529&amp;"."&amp;$B1529)&amp;INDEX(VarEnd,MATCH($A1529,VarKey,0))&amp;AG$5</f>
        <v/>
      </c>
      <c r="AH1529" s="40">
        <f>INDEX(AH$263:AH$279,$F1529)*$D1529*INDEX(AH$23:AH$30,$E1529)</f>
        <v/>
      </c>
      <c r="AI1529" s="35">
        <f>INDEX(AI$263:AI$279,$F1529)*$D1529*INDEX(AI$23:AI$30,$E1529)</f>
        <v/>
      </c>
      <c r="AJ1529" s="35">
        <f>INDEX(AJ$263:AJ$279,$F1529)*$D1529*INDEX(AJ$23:AJ$30,$E1529)</f>
        <v/>
      </c>
      <c r="AK1529" s="35">
        <f>INDEX(AK$263:AK$279,$F1529)*$D1529*INDEX(AK$23:AK$30,$E1529)</f>
        <v/>
      </c>
      <c r="AL1529" s="35">
        <f>INDEX(AL$263:AL$279,$F1529)*$D1529*INDEX(AL$23:AL$30,$E1529)</f>
        <v/>
      </c>
      <c r="AM1529" s="35">
        <f>INDEX(AM$263:AM$279,$F1529)*$D1529*INDEX(AM$23:AM$30,$E1529)</f>
        <v/>
      </c>
      <c r="AN1529" s="35">
        <f>INDEX(AN$263:AN$279,$F1529)*$D1529*INDEX(AN$23:AN$30,$E1529)</f>
        <v/>
      </c>
      <c r="AO1529" s="35">
        <f>INDEX(AO$263:AO$279,$F1529)*$D1529*INDEX(AO$23:AO$30,$E1529)</f>
        <v/>
      </c>
      <c r="AP1529" s="35">
        <f>INDEX(AP$263:AP$279,$F1529)*$D1529*INDEX(AP$23:AP$30,$E1529)</f>
        <v/>
      </c>
      <c r="AQ1529" s="35">
        <f>INDEX(AQ$263:AQ$279,$F1529)*$D1529*INDEX(AQ$23:AQ$30,$E1529)</f>
        <v/>
      </c>
      <c r="AR1529" s="35">
        <f>INDEX(AR$263:AR$279,$F1529)*$D1529*INDEX(AR$23:AR$30,$E1529)</f>
        <v/>
      </c>
      <c r="AS1529" s="35">
        <f>INDEX(AS$263:AS$279,$F1529)*$D1529*INDEX(AS$23:AS$30,$E1529)</f>
        <v/>
      </c>
      <c r="AT1529" s="35">
        <f>INDEX(AT$263:AT$279,$F1529)*$D1529*INDEX(AT$23:AT$30,$E1529)</f>
        <v/>
      </c>
      <c r="AU1529" s="35">
        <f>INDEX(AU$263:AU$279,$F1529)*$D1529*INDEX(AU$23:AU$30,$E1529)</f>
        <v/>
      </c>
      <c r="AV1529" s="35">
        <f>INDEX(AV$263:AV$279,$F1529)*$D1529*INDEX(AV$23:AV$30,$E1529)</f>
        <v/>
      </c>
      <c r="AW1529" s="35">
        <f>INDEX(AW$263:AW$279,$F1529)*$D1529*INDEX(AW$23:AW$30,$E1529)</f>
        <v/>
      </c>
      <c r="AX1529" s="35">
        <f>INDEX(AX$263:AX$279,$F1529)*$D1529*INDEX(AX$23:AX$30,$E1529)</f>
        <v/>
      </c>
      <c r="AY1529" s="35">
        <f>INDEX(AY$263:AY$279,$F1529)*$D1529*INDEX(AY$23:AY$30,$E1529)</f>
        <v/>
      </c>
      <c r="AZ1529" s="35">
        <f>INDEX(AZ$263:AZ$279,$F1529)*$D1529*INDEX(AZ$23:AZ$30,$E1529)</f>
        <v/>
      </c>
      <c r="BA1529" s="42">
        <f>CARBONTAX(INDEX(BA$263:BA$279,$F1529),$D1529,INDEX(BA$23:BA$30,$E1529))</f>
        <v/>
      </c>
    </row>
    <row r="1530" hidden="1" outlineLevel="2"/>
    <row r="1531" hidden="1" outlineLevel="2">
      <c r="A1531" s="14" t="inlineStr">
        <is>
          <t>ets</t>
        </is>
      </c>
      <c r="B1531" s="14" t="inlineStr">
        <is>
          <t>coa</t>
        </is>
      </c>
      <c r="C1531" s="14" t="inlineStr">
        <is>
          <t>res</t>
        </is>
      </c>
      <c r="D1531" s="35">
        <f>INDEX(Inputs!$W$5:$W$132,MATCH($B1531&amp;"|"&amp;$C1531,Inputs!$A$5:$A$132,0))</f>
        <v/>
      </c>
      <c r="E1531" s="35">
        <f>INDEX(Inputs!$M$5:$M$132,MATCH($B1531&amp;"|"&amp;$C1531,Inputs!$A$5:$A$132,0))</f>
        <v/>
      </c>
      <c r="F1531" s="39" t="n"/>
      <c r="G1531" s="39" t="n"/>
      <c r="H1531" s="14">
        <f>INDEX(VarLab,MATCH($A1531,VarKey,0))&amp;INDEX(MemLab,MATCH($C1531&amp;"|"&amp;$B1531,MemKey,0))</f>
        <v/>
      </c>
      <c r="I1531" s="14">
        <f>INDEX(VarUnit,MATCH($A1531,VarKey,0))</f>
        <v/>
      </c>
      <c r="J1531" s="14">
        <f>INDEX(VarSrc,MATCH($A1531,VarKey,0))</f>
        <v/>
      </c>
      <c r="K1531" s="11">
        <f>CodePrefix&amp;$A1531&amp;IF($C1531="","","."&amp;$C1531&amp;"."&amp;$B1531)&amp;INDEX(VarEnd,MATCH($A1531,VarKey,0))&amp;K$5</f>
        <v/>
      </c>
      <c r="L1531" s="40">
        <f>INDEX(L$280:L$296,$E1531)*$D1531</f>
        <v/>
      </c>
      <c r="M1531" s="35">
        <f>INDEX(M$280:M$296,$E1531)*$D1531</f>
        <v/>
      </c>
      <c r="N1531" s="35">
        <f>INDEX(N$280:N$296,$E1531)*$D1531</f>
        <v/>
      </c>
      <c r="O1531" s="35">
        <f>INDEX(O$280:O$296,$E1531)*$D1531</f>
        <v/>
      </c>
      <c r="P1531" s="35">
        <f>INDEX(P$280:P$296,$E1531)*$D1531</f>
        <v/>
      </c>
      <c r="Q1531" s="35">
        <f>INDEX(Q$280:Q$296,$E1531)*$D1531</f>
        <v/>
      </c>
      <c r="R1531" s="35">
        <f>INDEX(R$280:R$296,$E1531)*$D1531</f>
        <v/>
      </c>
      <c r="S1531" s="35">
        <f>INDEX(S$280:S$296,$E1531)*$D1531</f>
        <v/>
      </c>
      <c r="T1531" s="35">
        <f>INDEX(T$280:T$296,$E1531)*$D1531</f>
        <v/>
      </c>
      <c r="U1531" s="35">
        <f>INDEX(U$280:U$296,$E1531)*$D1531</f>
        <v/>
      </c>
      <c r="V1531" s="35">
        <f>INDEX(V$280:V$296,$E1531)*$D1531</f>
        <v/>
      </c>
      <c r="W1531" s="35">
        <f>INDEX(W$280:W$296,$E1531)*$D1531</f>
        <v/>
      </c>
      <c r="X1531" s="35">
        <f>INDEX(X$280:X$296,$E1531)*$D1531</f>
        <v/>
      </c>
      <c r="Y1531" s="35">
        <f>INDEX(Y$280:Y$296,$E1531)*$D1531</f>
        <v/>
      </c>
      <c r="Z1531" s="35">
        <f>INDEX(Z$280:Z$296,$E1531)*$D1531</f>
        <v/>
      </c>
      <c r="AA1531" s="35">
        <f>INDEX(AA$280:AA$296,$E1531)*$D1531</f>
        <v/>
      </c>
      <c r="AB1531" s="35">
        <f>INDEX(AB$280:AB$296,$E1531)*$D1531</f>
        <v/>
      </c>
      <c r="AC1531" s="35">
        <f>INDEX(AC$280:AC$296,$E1531)*$D1531</f>
        <v/>
      </c>
      <c r="AD1531" s="35">
        <f>INDEX(AD$280:AD$296,$E1531)*$D1531</f>
        <v/>
      </c>
      <c r="AE1531" s="42">
        <f>ETSCOST(INDEX(AE$280:AE$296,$E1531),$D1531)</f>
        <v/>
      </c>
      <c r="AG1531" s="11">
        <f>CodePrefix&amp;$A1531&amp;IF($C1531="","","."&amp;$C1531&amp;"."&amp;$B1531)&amp;INDEX(VarEnd,MATCH($A1531,VarKey,0))&amp;AG$5</f>
        <v/>
      </c>
      <c r="AH1531" s="40">
        <f>INDEX(AH$280:AH$296,$E1531)*$D1531</f>
        <v/>
      </c>
      <c r="AI1531" s="35">
        <f>INDEX(AI$280:AI$296,$E1531)*$D1531</f>
        <v/>
      </c>
      <c r="AJ1531" s="35">
        <f>INDEX(AJ$280:AJ$296,$E1531)*$D1531</f>
        <v/>
      </c>
      <c r="AK1531" s="35">
        <f>INDEX(AK$280:AK$296,$E1531)*$D1531</f>
        <v/>
      </c>
      <c r="AL1531" s="35">
        <f>INDEX(AL$280:AL$296,$E1531)*$D1531</f>
        <v/>
      </c>
      <c r="AM1531" s="35">
        <f>INDEX(AM$280:AM$296,$E1531)*$D1531</f>
        <v/>
      </c>
      <c r="AN1531" s="35">
        <f>INDEX(AN$280:AN$296,$E1531)*$D1531</f>
        <v/>
      </c>
      <c r="AO1531" s="35">
        <f>INDEX(AO$280:AO$296,$E1531)*$D1531</f>
        <v/>
      </c>
      <c r="AP1531" s="35">
        <f>INDEX(AP$280:AP$296,$E1531)*$D1531</f>
        <v/>
      </c>
      <c r="AQ1531" s="35">
        <f>INDEX(AQ$280:AQ$296,$E1531)*$D1531</f>
        <v/>
      </c>
      <c r="AR1531" s="35">
        <f>INDEX(AR$280:AR$296,$E1531)*$D1531</f>
        <v/>
      </c>
      <c r="AS1531" s="35">
        <f>INDEX(AS$280:AS$296,$E1531)*$D1531</f>
        <v/>
      </c>
      <c r="AT1531" s="35">
        <f>INDEX(AT$280:AT$296,$E1531)*$D1531</f>
        <v/>
      </c>
      <c r="AU1531" s="35">
        <f>INDEX(AU$280:AU$296,$E1531)*$D1531</f>
        <v/>
      </c>
      <c r="AV1531" s="35">
        <f>INDEX(AV$280:AV$296,$E1531)*$D1531</f>
        <v/>
      </c>
      <c r="AW1531" s="35">
        <f>INDEX(AW$280:AW$296,$E1531)*$D1531</f>
        <v/>
      </c>
      <c r="AX1531" s="35">
        <f>INDEX(AX$280:AX$296,$E1531)*$D1531</f>
        <v/>
      </c>
      <c r="AY1531" s="35">
        <f>INDEX(AY$280:AY$296,$E1531)*$D1531</f>
        <v/>
      </c>
      <c r="AZ1531" s="35">
        <f>INDEX(AZ$280:AZ$296,$E1531)*$D1531</f>
        <v/>
      </c>
      <c r="BA1531" s="42">
        <f>ETSCOST(INDEX(BA$280:BA$296,$E1531),$D1531)</f>
        <v/>
      </c>
    </row>
    <row r="1532" hidden="1" outlineLevel="2">
      <c r="A1532" s="14" t="inlineStr">
        <is>
          <t>ets</t>
        </is>
      </c>
      <c r="B1532" s="14" t="inlineStr">
        <is>
          <t>nga</t>
        </is>
      </c>
      <c r="C1532" s="14" t="inlineStr">
        <is>
          <t>res</t>
        </is>
      </c>
      <c r="D1532" s="35">
        <f>INDEX(Inputs!$W$5:$W$132,MATCH($B1532&amp;"|"&amp;$C1532,Inputs!$A$5:$A$132,0))</f>
        <v/>
      </c>
      <c r="E1532" s="35">
        <f>INDEX(Inputs!$M$5:$M$132,MATCH($B1532&amp;"|"&amp;$C1532,Inputs!$A$5:$A$132,0))</f>
        <v/>
      </c>
      <c r="F1532" s="39" t="n"/>
      <c r="G1532" s="39" t="n"/>
      <c r="H1532" s="14">
        <f>INDEX(VarLab,MATCH($A1532,VarKey,0))&amp;INDEX(MemLab,MATCH($C1532&amp;"|"&amp;$B1532,MemKey,0))</f>
        <v/>
      </c>
      <c r="I1532" s="14">
        <f>INDEX(VarUnit,MATCH($A1532,VarKey,0))</f>
        <v/>
      </c>
      <c r="J1532" s="14">
        <f>INDEX(VarSrc,MATCH($A1532,VarKey,0))</f>
        <v/>
      </c>
      <c r="K1532" s="11">
        <f>CodePrefix&amp;$A1532&amp;IF($C1532="","","."&amp;$C1532&amp;"."&amp;$B1532)&amp;INDEX(VarEnd,MATCH($A1532,VarKey,0))&amp;K$5</f>
        <v/>
      </c>
      <c r="L1532" s="40">
        <f>INDEX(L$280:L$296,$E1532)*$D1532</f>
        <v/>
      </c>
      <c r="M1532" s="35">
        <f>INDEX(M$280:M$296,$E1532)*$D1532</f>
        <v/>
      </c>
      <c r="N1532" s="35">
        <f>INDEX(N$280:N$296,$E1532)*$D1532</f>
        <v/>
      </c>
      <c r="O1532" s="35">
        <f>INDEX(O$280:O$296,$E1532)*$D1532</f>
        <v/>
      </c>
      <c r="P1532" s="35">
        <f>INDEX(P$280:P$296,$E1532)*$D1532</f>
        <v/>
      </c>
      <c r="Q1532" s="35">
        <f>INDEX(Q$280:Q$296,$E1532)*$D1532</f>
        <v/>
      </c>
      <c r="R1532" s="35">
        <f>INDEX(R$280:R$296,$E1532)*$D1532</f>
        <v/>
      </c>
      <c r="S1532" s="35">
        <f>INDEX(S$280:S$296,$E1532)*$D1532</f>
        <v/>
      </c>
      <c r="T1532" s="35">
        <f>INDEX(T$280:T$296,$E1532)*$D1532</f>
        <v/>
      </c>
      <c r="U1532" s="35">
        <f>INDEX(U$280:U$296,$E1532)*$D1532</f>
        <v/>
      </c>
      <c r="V1532" s="35">
        <f>INDEX(V$280:V$296,$E1532)*$D1532</f>
        <v/>
      </c>
      <c r="W1532" s="35">
        <f>INDEX(W$280:W$296,$E1532)*$D1532</f>
        <v/>
      </c>
      <c r="X1532" s="35">
        <f>INDEX(X$280:X$296,$E1532)*$D1532</f>
        <v/>
      </c>
      <c r="Y1532" s="35">
        <f>INDEX(Y$280:Y$296,$E1532)*$D1532</f>
        <v/>
      </c>
      <c r="Z1532" s="35">
        <f>INDEX(Z$280:Z$296,$E1532)*$D1532</f>
        <v/>
      </c>
      <c r="AA1532" s="35">
        <f>INDEX(AA$280:AA$296,$E1532)*$D1532</f>
        <v/>
      </c>
      <c r="AB1532" s="35">
        <f>INDEX(AB$280:AB$296,$E1532)*$D1532</f>
        <v/>
      </c>
      <c r="AC1532" s="35">
        <f>INDEX(AC$280:AC$296,$E1532)*$D1532</f>
        <v/>
      </c>
      <c r="AD1532" s="35">
        <f>INDEX(AD$280:AD$296,$E1532)*$D1532</f>
        <v/>
      </c>
      <c r="AE1532" s="42">
        <f>ETSCOST(INDEX(AE$280:AE$296,$E1532),$D1532)</f>
        <v/>
      </c>
      <c r="AG1532" s="11">
        <f>CodePrefix&amp;$A1532&amp;IF($C1532="","","."&amp;$C1532&amp;"."&amp;$B1532)&amp;INDEX(VarEnd,MATCH($A1532,VarKey,0))&amp;AG$5</f>
        <v/>
      </c>
      <c r="AH1532" s="40">
        <f>INDEX(AH$280:AH$296,$E1532)*$D1532</f>
        <v/>
      </c>
      <c r="AI1532" s="35">
        <f>INDEX(AI$280:AI$296,$E1532)*$D1532</f>
        <v/>
      </c>
      <c r="AJ1532" s="35">
        <f>INDEX(AJ$280:AJ$296,$E1532)*$D1532</f>
        <v/>
      </c>
      <c r="AK1532" s="35">
        <f>INDEX(AK$280:AK$296,$E1532)*$D1532</f>
        <v/>
      </c>
      <c r="AL1532" s="35">
        <f>INDEX(AL$280:AL$296,$E1532)*$D1532</f>
        <v/>
      </c>
      <c r="AM1532" s="35">
        <f>INDEX(AM$280:AM$296,$E1532)*$D1532</f>
        <v/>
      </c>
      <c r="AN1532" s="35">
        <f>INDEX(AN$280:AN$296,$E1532)*$D1532</f>
        <v/>
      </c>
      <c r="AO1532" s="35">
        <f>INDEX(AO$280:AO$296,$E1532)*$D1532</f>
        <v/>
      </c>
      <c r="AP1532" s="35">
        <f>INDEX(AP$280:AP$296,$E1532)*$D1532</f>
        <v/>
      </c>
      <c r="AQ1532" s="35">
        <f>INDEX(AQ$280:AQ$296,$E1532)*$D1532</f>
        <v/>
      </c>
      <c r="AR1532" s="35">
        <f>INDEX(AR$280:AR$296,$E1532)*$D1532</f>
        <v/>
      </c>
      <c r="AS1532" s="35">
        <f>INDEX(AS$280:AS$296,$E1532)*$D1532</f>
        <v/>
      </c>
      <c r="AT1532" s="35">
        <f>INDEX(AT$280:AT$296,$E1532)*$D1532</f>
        <v/>
      </c>
      <c r="AU1532" s="35">
        <f>INDEX(AU$280:AU$296,$E1532)*$D1532</f>
        <v/>
      </c>
      <c r="AV1532" s="35">
        <f>INDEX(AV$280:AV$296,$E1532)*$D1532</f>
        <v/>
      </c>
      <c r="AW1532" s="35">
        <f>INDEX(AW$280:AW$296,$E1532)*$D1532</f>
        <v/>
      </c>
      <c r="AX1532" s="35">
        <f>INDEX(AX$280:AX$296,$E1532)*$D1532</f>
        <v/>
      </c>
      <c r="AY1532" s="35">
        <f>INDEX(AY$280:AY$296,$E1532)*$D1532</f>
        <v/>
      </c>
      <c r="AZ1532" s="35">
        <f>INDEX(AZ$280:AZ$296,$E1532)*$D1532</f>
        <v/>
      </c>
      <c r="BA1532" s="42">
        <f>ETSCOST(INDEX(BA$280:BA$296,$E1532),$D1532)</f>
        <v/>
      </c>
    </row>
    <row r="1533" hidden="1" outlineLevel="2">
      <c r="A1533" s="14" t="inlineStr">
        <is>
          <t>ets</t>
        </is>
      </c>
      <c r="B1533" s="14" t="inlineStr">
        <is>
          <t>gso</t>
        </is>
      </c>
      <c r="C1533" s="14" t="inlineStr">
        <is>
          <t>res</t>
        </is>
      </c>
      <c r="D1533" s="35">
        <f>INDEX(Inputs!$W$5:$W$132,MATCH($B1533&amp;"|"&amp;$C1533,Inputs!$A$5:$A$132,0))</f>
        <v/>
      </c>
      <c r="E1533" s="35">
        <f>INDEX(Inputs!$M$5:$M$132,MATCH($B1533&amp;"|"&amp;$C1533,Inputs!$A$5:$A$132,0))</f>
        <v/>
      </c>
      <c r="F1533" s="39" t="n"/>
      <c r="G1533" s="39" t="n"/>
      <c r="H1533" s="14">
        <f>INDEX(VarLab,MATCH($A1533,VarKey,0))&amp;INDEX(MemLab,MATCH($C1533&amp;"|"&amp;$B1533,MemKey,0))</f>
        <v/>
      </c>
      <c r="I1533" s="14">
        <f>INDEX(VarUnit,MATCH($A1533,VarKey,0))</f>
        <v/>
      </c>
      <c r="J1533" s="14">
        <f>INDEX(VarSrc,MATCH($A1533,VarKey,0))</f>
        <v/>
      </c>
      <c r="K1533" s="11">
        <f>CodePrefix&amp;$A1533&amp;IF($C1533="","","."&amp;$C1533&amp;"."&amp;$B1533)&amp;INDEX(VarEnd,MATCH($A1533,VarKey,0))&amp;K$5</f>
        <v/>
      </c>
      <c r="L1533" s="40">
        <f>INDEX(L$280:L$296,$E1533)*$D1533</f>
        <v/>
      </c>
      <c r="M1533" s="35">
        <f>INDEX(M$280:M$296,$E1533)*$D1533</f>
        <v/>
      </c>
      <c r="N1533" s="35">
        <f>INDEX(N$280:N$296,$E1533)*$D1533</f>
        <v/>
      </c>
      <c r="O1533" s="35">
        <f>INDEX(O$280:O$296,$E1533)*$D1533</f>
        <v/>
      </c>
      <c r="P1533" s="35">
        <f>INDEX(P$280:P$296,$E1533)*$D1533</f>
        <v/>
      </c>
      <c r="Q1533" s="35">
        <f>INDEX(Q$280:Q$296,$E1533)*$D1533</f>
        <v/>
      </c>
      <c r="R1533" s="35">
        <f>INDEX(R$280:R$296,$E1533)*$D1533</f>
        <v/>
      </c>
      <c r="S1533" s="35">
        <f>INDEX(S$280:S$296,$E1533)*$D1533</f>
        <v/>
      </c>
      <c r="T1533" s="35">
        <f>INDEX(T$280:T$296,$E1533)*$D1533</f>
        <v/>
      </c>
      <c r="U1533" s="35">
        <f>INDEX(U$280:U$296,$E1533)*$D1533</f>
        <v/>
      </c>
      <c r="V1533" s="35">
        <f>INDEX(V$280:V$296,$E1533)*$D1533</f>
        <v/>
      </c>
      <c r="W1533" s="35">
        <f>INDEX(W$280:W$296,$E1533)*$D1533</f>
        <v/>
      </c>
      <c r="X1533" s="35">
        <f>INDEX(X$280:X$296,$E1533)*$D1533</f>
        <v/>
      </c>
      <c r="Y1533" s="35">
        <f>INDEX(Y$280:Y$296,$E1533)*$D1533</f>
        <v/>
      </c>
      <c r="Z1533" s="35">
        <f>INDEX(Z$280:Z$296,$E1533)*$D1533</f>
        <v/>
      </c>
      <c r="AA1533" s="35">
        <f>INDEX(AA$280:AA$296,$E1533)*$D1533</f>
        <v/>
      </c>
      <c r="AB1533" s="35">
        <f>INDEX(AB$280:AB$296,$E1533)*$D1533</f>
        <v/>
      </c>
      <c r="AC1533" s="35">
        <f>INDEX(AC$280:AC$296,$E1533)*$D1533</f>
        <v/>
      </c>
      <c r="AD1533" s="35">
        <f>INDEX(AD$280:AD$296,$E1533)*$D1533</f>
        <v/>
      </c>
      <c r="AE1533" s="42">
        <f>ETSCOST(INDEX(AE$280:AE$296,$E1533),$D1533)</f>
        <v/>
      </c>
      <c r="AG1533" s="11">
        <f>CodePrefix&amp;$A1533&amp;IF($C1533="","","."&amp;$C1533&amp;"."&amp;$B1533)&amp;INDEX(VarEnd,MATCH($A1533,VarKey,0))&amp;AG$5</f>
        <v/>
      </c>
      <c r="AH1533" s="40">
        <f>INDEX(AH$280:AH$296,$E1533)*$D1533</f>
        <v/>
      </c>
      <c r="AI1533" s="35">
        <f>INDEX(AI$280:AI$296,$E1533)*$D1533</f>
        <v/>
      </c>
      <c r="AJ1533" s="35">
        <f>INDEX(AJ$280:AJ$296,$E1533)*$D1533</f>
        <v/>
      </c>
      <c r="AK1533" s="35">
        <f>INDEX(AK$280:AK$296,$E1533)*$D1533</f>
        <v/>
      </c>
      <c r="AL1533" s="35">
        <f>INDEX(AL$280:AL$296,$E1533)*$D1533</f>
        <v/>
      </c>
      <c r="AM1533" s="35">
        <f>INDEX(AM$280:AM$296,$E1533)*$D1533</f>
        <v/>
      </c>
      <c r="AN1533" s="35">
        <f>INDEX(AN$280:AN$296,$E1533)*$D1533</f>
        <v/>
      </c>
      <c r="AO1533" s="35">
        <f>INDEX(AO$280:AO$296,$E1533)*$D1533</f>
        <v/>
      </c>
      <c r="AP1533" s="35">
        <f>INDEX(AP$280:AP$296,$E1533)*$D1533</f>
        <v/>
      </c>
      <c r="AQ1533" s="35">
        <f>INDEX(AQ$280:AQ$296,$E1533)*$D1533</f>
        <v/>
      </c>
      <c r="AR1533" s="35">
        <f>INDEX(AR$280:AR$296,$E1533)*$D1533</f>
        <v/>
      </c>
      <c r="AS1533" s="35">
        <f>INDEX(AS$280:AS$296,$E1533)*$D1533</f>
        <v/>
      </c>
      <c r="AT1533" s="35">
        <f>INDEX(AT$280:AT$296,$E1533)*$D1533</f>
        <v/>
      </c>
      <c r="AU1533" s="35">
        <f>INDEX(AU$280:AU$296,$E1533)*$D1533</f>
        <v/>
      </c>
      <c r="AV1533" s="35">
        <f>INDEX(AV$280:AV$296,$E1533)*$D1533</f>
        <v/>
      </c>
      <c r="AW1533" s="35">
        <f>INDEX(AW$280:AW$296,$E1533)*$D1533</f>
        <v/>
      </c>
      <c r="AX1533" s="35">
        <f>INDEX(AX$280:AX$296,$E1533)*$D1533</f>
        <v/>
      </c>
      <c r="AY1533" s="35">
        <f>INDEX(AY$280:AY$296,$E1533)*$D1533</f>
        <v/>
      </c>
      <c r="AZ1533" s="35">
        <f>INDEX(AZ$280:AZ$296,$E1533)*$D1533</f>
        <v/>
      </c>
      <c r="BA1533" s="42">
        <f>ETSCOST(INDEX(BA$280:BA$296,$E1533),$D1533)</f>
        <v/>
      </c>
    </row>
    <row r="1534" hidden="1" outlineLevel="2">
      <c r="A1534" s="14" t="inlineStr">
        <is>
          <t>ets</t>
        </is>
      </c>
      <c r="B1534" s="14" t="inlineStr">
        <is>
          <t>die</t>
        </is>
      </c>
      <c r="C1534" s="14" t="inlineStr">
        <is>
          <t>res</t>
        </is>
      </c>
      <c r="D1534" s="35">
        <f>INDEX(Inputs!$W$5:$W$132,MATCH($B1534&amp;"|"&amp;$C1534,Inputs!$A$5:$A$132,0))</f>
        <v/>
      </c>
      <c r="E1534" s="35">
        <f>INDEX(Inputs!$M$5:$M$132,MATCH($B1534&amp;"|"&amp;$C1534,Inputs!$A$5:$A$132,0))</f>
        <v/>
      </c>
      <c r="F1534" s="39" t="n"/>
      <c r="G1534" s="39" t="n"/>
      <c r="H1534" s="14">
        <f>INDEX(VarLab,MATCH($A1534,VarKey,0))&amp;INDEX(MemLab,MATCH($C1534&amp;"|"&amp;$B1534,MemKey,0))</f>
        <v/>
      </c>
      <c r="I1534" s="14">
        <f>INDEX(VarUnit,MATCH($A1534,VarKey,0))</f>
        <v/>
      </c>
      <c r="J1534" s="14">
        <f>INDEX(VarSrc,MATCH($A1534,VarKey,0))</f>
        <v/>
      </c>
      <c r="K1534" s="11">
        <f>CodePrefix&amp;$A1534&amp;IF($C1534="","","."&amp;$C1534&amp;"."&amp;$B1534)&amp;INDEX(VarEnd,MATCH($A1534,VarKey,0))&amp;K$5</f>
        <v/>
      </c>
      <c r="L1534" s="40">
        <f>INDEX(L$280:L$296,$E1534)*$D1534</f>
        <v/>
      </c>
      <c r="M1534" s="35">
        <f>INDEX(M$280:M$296,$E1534)*$D1534</f>
        <v/>
      </c>
      <c r="N1534" s="35">
        <f>INDEX(N$280:N$296,$E1534)*$D1534</f>
        <v/>
      </c>
      <c r="O1534" s="35">
        <f>INDEX(O$280:O$296,$E1534)*$D1534</f>
        <v/>
      </c>
      <c r="P1534" s="35">
        <f>INDEX(P$280:P$296,$E1534)*$D1534</f>
        <v/>
      </c>
      <c r="Q1534" s="35">
        <f>INDEX(Q$280:Q$296,$E1534)*$D1534</f>
        <v/>
      </c>
      <c r="R1534" s="35">
        <f>INDEX(R$280:R$296,$E1534)*$D1534</f>
        <v/>
      </c>
      <c r="S1534" s="35">
        <f>INDEX(S$280:S$296,$E1534)*$D1534</f>
        <v/>
      </c>
      <c r="T1534" s="35">
        <f>INDEX(T$280:T$296,$E1534)*$D1534</f>
        <v/>
      </c>
      <c r="U1534" s="35">
        <f>INDEX(U$280:U$296,$E1534)*$D1534</f>
        <v/>
      </c>
      <c r="V1534" s="35">
        <f>INDEX(V$280:V$296,$E1534)*$D1534</f>
        <v/>
      </c>
      <c r="W1534" s="35">
        <f>INDEX(W$280:W$296,$E1534)*$D1534</f>
        <v/>
      </c>
      <c r="X1534" s="35">
        <f>INDEX(X$280:X$296,$E1534)*$D1534</f>
        <v/>
      </c>
      <c r="Y1534" s="35">
        <f>INDEX(Y$280:Y$296,$E1534)*$D1534</f>
        <v/>
      </c>
      <c r="Z1534" s="35">
        <f>INDEX(Z$280:Z$296,$E1534)*$D1534</f>
        <v/>
      </c>
      <c r="AA1534" s="35">
        <f>INDEX(AA$280:AA$296,$E1534)*$D1534</f>
        <v/>
      </c>
      <c r="AB1534" s="35">
        <f>INDEX(AB$280:AB$296,$E1534)*$D1534</f>
        <v/>
      </c>
      <c r="AC1534" s="35">
        <f>INDEX(AC$280:AC$296,$E1534)*$D1534</f>
        <v/>
      </c>
      <c r="AD1534" s="35">
        <f>INDEX(AD$280:AD$296,$E1534)*$D1534</f>
        <v/>
      </c>
      <c r="AE1534" s="42">
        <f>ETSCOST(INDEX(AE$280:AE$296,$E1534),$D1534)</f>
        <v/>
      </c>
      <c r="AG1534" s="11">
        <f>CodePrefix&amp;$A1534&amp;IF($C1534="","","."&amp;$C1534&amp;"."&amp;$B1534)&amp;INDEX(VarEnd,MATCH($A1534,VarKey,0))&amp;AG$5</f>
        <v/>
      </c>
      <c r="AH1534" s="40">
        <f>INDEX(AH$280:AH$296,$E1534)*$D1534</f>
        <v/>
      </c>
      <c r="AI1534" s="35">
        <f>INDEX(AI$280:AI$296,$E1534)*$D1534</f>
        <v/>
      </c>
      <c r="AJ1534" s="35">
        <f>INDEX(AJ$280:AJ$296,$E1534)*$D1534</f>
        <v/>
      </c>
      <c r="AK1534" s="35">
        <f>INDEX(AK$280:AK$296,$E1534)*$D1534</f>
        <v/>
      </c>
      <c r="AL1534" s="35">
        <f>INDEX(AL$280:AL$296,$E1534)*$D1534</f>
        <v/>
      </c>
      <c r="AM1534" s="35">
        <f>INDEX(AM$280:AM$296,$E1534)*$D1534</f>
        <v/>
      </c>
      <c r="AN1534" s="35">
        <f>INDEX(AN$280:AN$296,$E1534)*$D1534</f>
        <v/>
      </c>
      <c r="AO1534" s="35">
        <f>INDEX(AO$280:AO$296,$E1534)*$D1534</f>
        <v/>
      </c>
      <c r="AP1534" s="35">
        <f>INDEX(AP$280:AP$296,$E1534)*$D1534</f>
        <v/>
      </c>
      <c r="AQ1534" s="35">
        <f>INDEX(AQ$280:AQ$296,$E1534)*$D1534</f>
        <v/>
      </c>
      <c r="AR1534" s="35">
        <f>INDEX(AR$280:AR$296,$E1534)*$D1534</f>
        <v/>
      </c>
      <c r="AS1534" s="35">
        <f>INDEX(AS$280:AS$296,$E1534)*$D1534</f>
        <v/>
      </c>
      <c r="AT1534" s="35">
        <f>INDEX(AT$280:AT$296,$E1534)*$D1534</f>
        <v/>
      </c>
      <c r="AU1534" s="35">
        <f>INDEX(AU$280:AU$296,$E1534)*$D1534</f>
        <v/>
      </c>
      <c r="AV1534" s="35">
        <f>INDEX(AV$280:AV$296,$E1534)*$D1534</f>
        <v/>
      </c>
      <c r="AW1534" s="35">
        <f>INDEX(AW$280:AW$296,$E1534)*$D1534</f>
        <v/>
      </c>
      <c r="AX1534" s="35">
        <f>INDEX(AX$280:AX$296,$E1534)*$D1534</f>
        <v/>
      </c>
      <c r="AY1534" s="35">
        <f>INDEX(AY$280:AY$296,$E1534)*$D1534</f>
        <v/>
      </c>
      <c r="AZ1534" s="35">
        <f>INDEX(AZ$280:AZ$296,$E1534)*$D1534</f>
        <v/>
      </c>
      <c r="BA1534" s="42">
        <f>ETSCOST(INDEX(BA$280:BA$296,$E1534),$D1534)</f>
        <v/>
      </c>
    </row>
    <row r="1535" hidden="1" outlineLevel="2">
      <c r="A1535" s="14" t="inlineStr">
        <is>
          <t>ets</t>
        </is>
      </c>
      <c r="B1535" s="14" t="inlineStr">
        <is>
          <t>lpg</t>
        </is>
      </c>
      <c r="C1535" s="14" t="inlineStr">
        <is>
          <t>res</t>
        </is>
      </c>
      <c r="D1535" s="35">
        <f>INDEX(Inputs!$W$5:$W$132,MATCH($B1535&amp;"|"&amp;$C1535,Inputs!$A$5:$A$132,0))</f>
        <v/>
      </c>
      <c r="E1535" s="35">
        <f>INDEX(Inputs!$M$5:$M$132,MATCH($B1535&amp;"|"&amp;$C1535,Inputs!$A$5:$A$132,0))</f>
        <v/>
      </c>
      <c r="F1535" s="39" t="n"/>
      <c r="G1535" s="39" t="n"/>
      <c r="H1535" s="14">
        <f>INDEX(VarLab,MATCH($A1535,VarKey,0))&amp;INDEX(MemLab,MATCH($C1535&amp;"|"&amp;$B1535,MemKey,0))</f>
        <v/>
      </c>
      <c r="I1535" s="14">
        <f>INDEX(VarUnit,MATCH($A1535,VarKey,0))</f>
        <v/>
      </c>
      <c r="J1535" s="14">
        <f>INDEX(VarSrc,MATCH($A1535,VarKey,0))</f>
        <v/>
      </c>
      <c r="K1535" s="11">
        <f>CodePrefix&amp;$A1535&amp;IF($C1535="","","."&amp;$C1535&amp;"."&amp;$B1535)&amp;INDEX(VarEnd,MATCH($A1535,VarKey,0))&amp;K$5</f>
        <v/>
      </c>
      <c r="L1535" s="40">
        <f>INDEX(L$280:L$296,$E1535)*$D1535</f>
        <v/>
      </c>
      <c r="M1535" s="35">
        <f>INDEX(M$280:M$296,$E1535)*$D1535</f>
        <v/>
      </c>
      <c r="N1535" s="35">
        <f>INDEX(N$280:N$296,$E1535)*$D1535</f>
        <v/>
      </c>
      <c r="O1535" s="35">
        <f>INDEX(O$280:O$296,$E1535)*$D1535</f>
        <v/>
      </c>
      <c r="P1535" s="35">
        <f>INDEX(P$280:P$296,$E1535)*$D1535</f>
        <v/>
      </c>
      <c r="Q1535" s="35">
        <f>INDEX(Q$280:Q$296,$E1535)*$D1535</f>
        <v/>
      </c>
      <c r="R1535" s="35">
        <f>INDEX(R$280:R$296,$E1535)*$D1535</f>
        <v/>
      </c>
      <c r="S1535" s="35">
        <f>INDEX(S$280:S$296,$E1535)*$D1535</f>
        <v/>
      </c>
      <c r="T1535" s="35">
        <f>INDEX(T$280:T$296,$E1535)*$D1535</f>
        <v/>
      </c>
      <c r="U1535" s="35">
        <f>INDEX(U$280:U$296,$E1535)*$D1535</f>
        <v/>
      </c>
      <c r="V1535" s="35">
        <f>INDEX(V$280:V$296,$E1535)*$D1535</f>
        <v/>
      </c>
      <c r="W1535" s="35">
        <f>INDEX(W$280:W$296,$E1535)*$D1535</f>
        <v/>
      </c>
      <c r="X1535" s="35">
        <f>INDEX(X$280:X$296,$E1535)*$D1535</f>
        <v/>
      </c>
      <c r="Y1535" s="35">
        <f>INDEX(Y$280:Y$296,$E1535)*$D1535</f>
        <v/>
      </c>
      <c r="Z1535" s="35">
        <f>INDEX(Z$280:Z$296,$E1535)*$D1535</f>
        <v/>
      </c>
      <c r="AA1535" s="35">
        <f>INDEX(AA$280:AA$296,$E1535)*$D1535</f>
        <v/>
      </c>
      <c r="AB1535" s="35">
        <f>INDEX(AB$280:AB$296,$E1535)*$D1535</f>
        <v/>
      </c>
      <c r="AC1535" s="35">
        <f>INDEX(AC$280:AC$296,$E1535)*$D1535</f>
        <v/>
      </c>
      <c r="AD1535" s="35">
        <f>INDEX(AD$280:AD$296,$E1535)*$D1535</f>
        <v/>
      </c>
      <c r="AE1535" s="42">
        <f>ETSCOST(INDEX(AE$280:AE$296,$E1535),$D1535)</f>
        <v/>
      </c>
      <c r="AG1535" s="11">
        <f>CodePrefix&amp;$A1535&amp;IF($C1535="","","."&amp;$C1535&amp;"."&amp;$B1535)&amp;INDEX(VarEnd,MATCH($A1535,VarKey,0))&amp;AG$5</f>
        <v/>
      </c>
      <c r="AH1535" s="40">
        <f>INDEX(AH$280:AH$296,$E1535)*$D1535</f>
        <v/>
      </c>
      <c r="AI1535" s="35">
        <f>INDEX(AI$280:AI$296,$E1535)*$D1535</f>
        <v/>
      </c>
      <c r="AJ1535" s="35">
        <f>INDEX(AJ$280:AJ$296,$E1535)*$D1535</f>
        <v/>
      </c>
      <c r="AK1535" s="35">
        <f>INDEX(AK$280:AK$296,$E1535)*$D1535</f>
        <v/>
      </c>
      <c r="AL1535" s="35">
        <f>INDEX(AL$280:AL$296,$E1535)*$D1535</f>
        <v/>
      </c>
      <c r="AM1535" s="35">
        <f>INDEX(AM$280:AM$296,$E1535)*$D1535</f>
        <v/>
      </c>
      <c r="AN1535" s="35">
        <f>INDEX(AN$280:AN$296,$E1535)*$D1535</f>
        <v/>
      </c>
      <c r="AO1535" s="35">
        <f>INDEX(AO$280:AO$296,$E1535)*$D1535</f>
        <v/>
      </c>
      <c r="AP1535" s="35">
        <f>INDEX(AP$280:AP$296,$E1535)*$D1535</f>
        <v/>
      </c>
      <c r="AQ1535" s="35">
        <f>INDEX(AQ$280:AQ$296,$E1535)*$D1535</f>
        <v/>
      </c>
      <c r="AR1535" s="35">
        <f>INDEX(AR$280:AR$296,$E1535)*$D1535</f>
        <v/>
      </c>
      <c r="AS1535" s="35">
        <f>INDEX(AS$280:AS$296,$E1535)*$D1535</f>
        <v/>
      </c>
      <c r="AT1535" s="35">
        <f>INDEX(AT$280:AT$296,$E1535)*$D1535</f>
        <v/>
      </c>
      <c r="AU1535" s="35">
        <f>INDEX(AU$280:AU$296,$E1535)*$D1535</f>
        <v/>
      </c>
      <c r="AV1535" s="35">
        <f>INDEX(AV$280:AV$296,$E1535)*$D1535</f>
        <v/>
      </c>
      <c r="AW1535" s="35">
        <f>INDEX(AW$280:AW$296,$E1535)*$D1535</f>
        <v/>
      </c>
      <c r="AX1535" s="35">
        <f>INDEX(AX$280:AX$296,$E1535)*$D1535</f>
        <v/>
      </c>
      <c r="AY1535" s="35">
        <f>INDEX(AY$280:AY$296,$E1535)*$D1535</f>
        <v/>
      </c>
      <c r="AZ1535" s="35">
        <f>INDEX(AZ$280:AZ$296,$E1535)*$D1535</f>
        <v/>
      </c>
      <c r="BA1535" s="42">
        <f>ETSCOST(INDEX(BA$280:BA$296,$E1535),$D1535)</f>
        <v/>
      </c>
    </row>
    <row r="1536" hidden="1" outlineLevel="2">
      <c r="A1536" s="14" t="inlineStr">
        <is>
          <t>ets</t>
        </is>
      </c>
      <c r="B1536" s="14" t="inlineStr">
        <is>
          <t>ker</t>
        </is>
      </c>
      <c r="C1536" s="14" t="inlineStr">
        <is>
          <t>res</t>
        </is>
      </c>
      <c r="D1536" s="35">
        <f>INDEX(Inputs!$W$5:$W$132,MATCH($B1536&amp;"|"&amp;$C1536,Inputs!$A$5:$A$132,0))</f>
        <v/>
      </c>
      <c r="E1536" s="35">
        <f>INDEX(Inputs!$M$5:$M$132,MATCH($B1536&amp;"|"&amp;$C1536,Inputs!$A$5:$A$132,0))</f>
        <v/>
      </c>
      <c r="F1536" s="39" t="n"/>
      <c r="G1536" s="39" t="n"/>
      <c r="H1536" s="14">
        <f>INDEX(VarLab,MATCH($A1536,VarKey,0))&amp;INDEX(MemLab,MATCH($C1536&amp;"|"&amp;$B1536,MemKey,0))</f>
        <v/>
      </c>
      <c r="I1536" s="14">
        <f>INDEX(VarUnit,MATCH($A1536,VarKey,0))</f>
        <v/>
      </c>
      <c r="J1536" s="14">
        <f>INDEX(VarSrc,MATCH($A1536,VarKey,0))</f>
        <v/>
      </c>
      <c r="K1536" s="11">
        <f>CodePrefix&amp;$A1536&amp;IF($C1536="","","."&amp;$C1536&amp;"."&amp;$B1536)&amp;INDEX(VarEnd,MATCH($A1536,VarKey,0))&amp;K$5</f>
        <v/>
      </c>
      <c r="L1536" s="40">
        <f>INDEX(L$280:L$296,$E1536)*$D1536</f>
        <v/>
      </c>
      <c r="M1536" s="35">
        <f>INDEX(M$280:M$296,$E1536)*$D1536</f>
        <v/>
      </c>
      <c r="N1536" s="35">
        <f>INDEX(N$280:N$296,$E1536)*$D1536</f>
        <v/>
      </c>
      <c r="O1536" s="35">
        <f>INDEX(O$280:O$296,$E1536)*$D1536</f>
        <v/>
      </c>
      <c r="P1536" s="35">
        <f>INDEX(P$280:P$296,$E1536)*$D1536</f>
        <v/>
      </c>
      <c r="Q1536" s="35">
        <f>INDEX(Q$280:Q$296,$E1536)*$D1536</f>
        <v/>
      </c>
      <c r="R1536" s="35">
        <f>INDEX(R$280:R$296,$E1536)*$D1536</f>
        <v/>
      </c>
      <c r="S1536" s="35">
        <f>INDEX(S$280:S$296,$E1536)*$D1536</f>
        <v/>
      </c>
      <c r="T1536" s="35">
        <f>INDEX(T$280:T$296,$E1536)*$D1536</f>
        <v/>
      </c>
      <c r="U1536" s="35">
        <f>INDEX(U$280:U$296,$E1536)*$D1536</f>
        <v/>
      </c>
      <c r="V1536" s="35">
        <f>INDEX(V$280:V$296,$E1536)*$D1536</f>
        <v/>
      </c>
      <c r="W1536" s="35">
        <f>INDEX(W$280:W$296,$E1536)*$D1536</f>
        <v/>
      </c>
      <c r="X1536" s="35">
        <f>INDEX(X$280:X$296,$E1536)*$D1536</f>
        <v/>
      </c>
      <c r="Y1536" s="35">
        <f>INDEX(Y$280:Y$296,$E1536)*$D1536</f>
        <v/>
      </c>
      <c r="Z1536" s="35">
        <f>INDEX(Z$280:Z$296,$E1536)*$D1536</f>
        <v/>
      </c>
      <c r="AA1536" s="35">
        <f>INDEX(AA$280:AA$296,$E1536)*$D1536</f>
        <v/>
      </c>
      <c r="AB1536" s="35">
        <f>INDEX(AB$280:AB$296,$E1536)*$D1536</f>
        <v/>
      </c>
      <c r="AC1536" s="35">
        <f>INDEX(AC$280:AC$296,$E1536)*$D1536</f>
        <v/>
      </c>
      <c r="AD1536" s="35">
        <f>INDEX(AD$280:AD$296,$E1536)*$D1536</f>
        <v/>
      </c>
      <c r="AE1536" s="42">
        <f>ETSCOST(INDEX(AE$280:AE$296,$E1536),$D1536)</f>
        <v/>
      </c>
      <c r="AG1536" s="11">
        <f>CodePrefix&amp;$A1536&amp;IF($C1536="","","."&amp;$C1536&amp;"."&amp;$B1536)&amp;INDEX(VarEnd,MATCH($A1536,VarKey,0))&amp;AG$5</f>
        <v/>
      </c>
      <c r="AH1536" s="40">
        <f>INDEX(AH$280:AH$296,$E1536)*$D1536</f>
        <v/>
      </c>
      <c r="AI1536" s="35">
        <f>INDEX(AI$280:AI$296,$E1536)*$D1536</f>
        <v/>
      </c>
      <c r="AJ1536" s="35">
        <f>INDEX(AJ$280:AJ$296,$E1536)*$D1536</f>
        <v/>
      </c>
      <c r="AK1536" s="35">
        <f>INDEX(AK$280:AK$296,$E1536)*$D1536</f>
        <v/>
      </c>
      <c r="AL1536" s="35">
        <f>INDEX(AL$280:AL$296,$E1536)*$D1536</f>
        <v/>
      </c>
      <c r="AM1536" s="35">
        <f>INDEX(AM$280:AM$296,$E1536)*$D1536</f>
        <v/>
      </c>
      <c r="AN1536" s="35">
        <f>INDEX(AN$280:AN$296,$E1536)*$D1536</f>
        <v/>
      </c>
      <c r="AO1536" s="35">
        <f>INDEX(AO$280:AO$296,$E1536)*$D1536</f>
        <v/>
      </c>
      <c r="AP1536" s="35">
        <f>INDEX(AP$280:AP$296,$E1536)*$D1536</f>
        <v/>
      </c>
      <c r="AQ1536" s="35">
        <f>INDEX(AQ$280:AQ$296,$E1536)*$D1536</f>
        <v/>
      </c>
      <c r="AR1536" s="35">
        <f>INDEX(AR$280:AR$296,$E1536)*$D1536</f>
        <v/>
      </c>
      <c r="AS1536" s="35">
        <f>INDEX(AS$280:AS$296,$E1536)*$D1536</f>
        <v/>
      </c>
      <c r="AT1536" s="35">
        <f>INDEX(AT$280:AT$296,$E1536)*$D1536</f>
        <v/>
      </c>
      <c r="AU1536" s="35">
        <f>INDEX(AU$280:AU$296,$E1536)*$D1536</f>
        <v/>
      </c>
      <c r="AV1536" s="35">
        <f>INDEX(AV$280:AV$296,$E1536)*$D1536</f>
        <v/>
      </c>
      <c r="AW1536" s="35">
        <f>INDEX(AW$280:AW$296,$E1536)*$D1536</f>
        <v/>
      </c>
      <c r="AX1536" s="35">
        <f>INDEX(AX$280:AX$296,$E1536)*$D1536</f>
        <v/>
      </c>
      <c r="AY1536" s="35">
        <f>INDEX(AY$280:AY$296,$E1536)*$D1536</f>
        <v/>
      </c>
      <c r="AZ1536" s="35">
        <f>INDEX(AZ$280:AZ$296,$E1536)*$D1536</f>
        <v/>
      </c>
      <c r="BA1536" s="42">
        <f>ETSCOST(INDEX(BA$280:BA$296,$E1536),$D1536)</f>
        <v/>
      </c>
    </row>
    <row r="1537" hidden="1" outlineLevel="2">
      <c r="A1537" s="14" t="inlineStr">
        <is>
          <t>ets</t>
        </is>
      </c>
      <c r="B1537" s="14" t="inlineStr">
        <is>
          <t>oop</t>
        </is>
      </c>
      <c r="C1537" s="14" t="inlineStr">
        <is>
          <t>res</t>
        </is>
      </c>
      <c r="D1537" s="35">
        <f>INDEX(Inputs!$W$5:$W$132,MATCH($B1537&amp;"|"&amp;$C1537,Inputs!$A$5:$A$132,0))</f>
        <v/>
      </c>
      <c r="E1537" s="35">
        <f>INDEX(Inputs!$M$5:$M$132,MATCH($B1537&amp;"|"&amp;$C1537,Inputs!$A$5:$A$132,0))</f>
        <v/>
      </c>
      <c r="F1537" s="39" t="n"/>
      <c r="G1537" s="39" t="n"/>
      <c r="H1537" s="14">
        <f>INDEX(VarLab,MATCH($A1537,VarKey,0))&amp;INDEX(MemLab,MATCH($C1537&amp;"|"&amp;$B1537,MemKey,0))</f>
        <v/>
      </c>
      <c r="I1537" s="14">
        <f>INDEX(VarUnit,MATCH($A1537,VarKey,0))</f>
        <v/>
      </c>
      <c r="J1537" s="14">
        <f>INDEX(VarSrc,MATCH($A1537,VarKey,0))</f>
        <v/>
      </c>
      <c r="K1537" s="11">
        <f>CodePrefix&amp;$A1537&amp;IF($C1537="","","."&amp;$C1537&amp;"."&amp;$B1537)&amp;INDEX(VarEnd,MATCH($A1537,VarKey,0))&amp;K$5</f>
        <v/>
      </c>
      <c r="L1537" s="40">
        <f>INDEX(L$280:L$296,$E1537)*$D1537</f>
        <v/>
      </c>
      <c r="M1537" s="35">
        <f>INDEX(M$280:M$296,$E1537)*$D1537</f>
        <v/>
      </c>
      <c r="N1537" s="35">
        <f>INDEX(N$280:N$296,$E1537)*$D1537</f>
        <v/>
      </c>
      <c r="O1537" s="35">
        <f>INDEX(O$280:O$296,$E1537)*$D1537</f>
        <v/>
      </c>
      <c r="P1537" s="35">
        <f>INDEX(P$280:P$296,$E1537)*$D1537</f>
        <v/>
      </c>
      <c r="Q1537" s="35">
        <f>INDEX(Q$280:Q$296,$E1537)*$D1537</f>
        <v/>
      </c>
      <c r="R1537" s="35">
        <f>INDEX(R$280:R$296,$E1537)*$D1537</f>
        <v/>
      </c>
      <c r="S1537" s="35">
        <f>INDEX(S$280:S$296,$E1537)*$D1537</f>
        <v/>
      </c>
      <c r="T1537" s="35">
        <f>INDEX(T$280:T$296,$E1537)*$D1537</f>
        <v/>
      </c>
      <c r="U1537" s="35">
        <f>INDEX(U$280:U$296,$E1537)*$D1537</f>
        <v/>
      </c>
      <c r="V1537" s="35">
        <f>INDEX(V$280:V$296,$E1537)*$D1537</f>
        <v/>
      </c>
      <c r="W1537" s="35">
        <f>INDEX(W$280:W$296,$E1537)*$D1537</f>
        <v/>
      </c>
      <c r="X1537" s="35">
        <f>INDEX(X$280:X$296,$E1537)*$D1537</f>
        <v/>
      </c>
      <c r="Y1537" s="35">
        <f>INDEX(Y$280:Y$296,$E1537)*$D1537</f>
        <v/>
      </c>
      <c r="Z1537" s="35">
        <f>INDEX(Z$280:Z$296,$E1537)*$D1537</f>
        <v/>
      </c>
      <c r="AA1537" s="35">
        <f>INDEX(AA$280:AA$296,$E1537)*$D1537</f>
        <v/>
      </c>
      <c r="AB1537" s="35">
        <f>INDEX(AB$280:AB$296,$E1537)*$D1537</f>
        <v/>
      </c>
      <c r="AC1537" s="35">
        <f>INDEX(AC$280:AC$296,$E1537)*$D1537</f>
        <v/>
      </c>
      <c r="AD1537" s="35">
        <f>INDEX(AD$280:AD$296,$E1537)*$D1537</f>
        <v/>
      </c>
      <c r="AE1537" s="42">
        <f>ETSCOST(INDEX(AE$280:AE$296,$E1537),$D1537)</f>
        <v/>
      </c>
      <c r="AG1537" s="11">
        <f>CodePrefix&amp;$A1537&amp;IF($C1537="","","."&amp;$C1537&amp;"."&amp;$B1537)&amp;INDEX(VarEnd,MATCH($A1537,VarKey,0))&amp;AG$5</f>
        <v/>
      </c>
      <c r="AH1537" s="40">
        <f>INDEX(AH$280:AH$296,$E1537)*$D1537</f>
        <v/>
      </c>
      <c r="AI1537" s="35">
        <f>INDEX(AI$280:AI$296,$E1537)*$D1537</f>
        <v/>
      </c>
      <c r="AJ1537" s="35">
        <f>INDEX(AJ$280:AJ$296,$E1537)*$D1537</f>
        <v/>
      </c>
      <c r="AK1537" s="35">
        <f>INDEX(AK$280:AK$296,$E1537)*$D1537</f>
        <v/>
      </c>
      <c r="AL1537" s="35">
        <f>INDEX(AL$280:AL$296,$E1537)*$D1537</f>
        <v/>
      </c>
      <c r="AM1537" s="35">
        <f>INDEX(AM$280:AM$296,$E1537)*$D1537</f>
        <v/>
      </c>
      <c r="AN1537" s="35">
        <f>INDEX(AN$280:AN$296,$E1537)*$D1537</f>
        <v/>
      </c>
      <c r="AO1537" s="35">
        <f>INDEX(AO$280:AO$296,$E1537)*$D1537</f>
        <v/>
      </c>
      <c r="AP1537" s="35">
        <f>INDEX(AP$280:AP$296,$E1537)*$D1537</f>
        <v/>
      </c>
      <c r="AQ1537" s="35">
        <f>INDEX(AQ$280:AQ$296,$E1537)*$D1537</f>
        <v/>
      </c>
      <c r="AR1537" s="35">
        <f>INDEX(AR$280:AR$296,$E1537)*$D1537</f>
        <v/>
      </c>
      <c r="AS1537" s="35">
        <f>INDEX(AS$280:AS$296,$E1537)*$D1537</f>
        <v/>
      </c>
      <c r="AT1537" s="35">
        <f>INDEX(AT$280:AT$296,$E1537)*$D1537</f>
        <v/>
      </c>
      <c r="AU1537" s="35">
        <f>INDEX(AU$280:AU$296,$E1537)*$D1537</f>
        <v/>
      </c>
      <c r="AV1537" s="35">
        <f>INDEX(AV$280:AV$296,$E1537)*$D1537</f>
        <v/>
      </c>
      <c r="AW1537" s="35">
        <f>INDEX(AW$280:AW$296,$E1537)*$D1537</f>
        <v/>
      </c>
      <c r="AX1537" s="35">
        <f>INDEX(AX$280:AX$296,$E1537)*$D1537</f>
        <v/>
      </c>
      <c r="AY1537" s="35">
        <f>INDEX(AY$280:AY$296,$E1537)*$D1537</f>
        <v/>
      </c>
      <c r="AZ1537" s="35">
        <f>INDEX(AZ$280:AZ$296,$E1537)*$D1537</f>
        <v/>
      </c>
      <c r="BA1537" s="42">
        <f>ETSCOST(INDEX(BA$280:BA$296,$E1537),$D1537)</f>
        <v/>
      </c>
    </row>
    <row r="1538" hidden="1" outlineLevel="2">
      <c r="A1538" s="14" t="inlineStr">
        <is>
          <t>ets</t>
        </is>
      </c>
      <c r="B1538" s="14" t="inlineStr">
        <is>
          <t>bio</t>
        </is>
      </c>
      <c r="C1538" s="14" t="inlineStr">
        <is>
          <t>res</t>
        </is>
      </c>
      <c r="D1538" s="35">
        <f>INDEX(Inputs!$W$5:$W$132,MATCH($B1538&amp;"|"&amp;$C1538,Inputs!$A$5:$A$132,0))</f>
        <v/>
      </c>
      <c r="E1538" s="35">
        <f>INDEX(Inputs!$M$5:$M$132,MATCH($B1538&amp;"|"&amp;$C1538,Inputs!$A$5:$A$132,0))</f>
        <v/>
      </c>
      <c r="F1538" s="39" t="n"/>
      <c r="G1538" s="39" t="n"/>
      <c r="H1538" s="14">
        <f>INDEX(VarLab,MATCH($A1538,VarKey,0))&amp;INDEX(MemLab,MATCH($C1538&amp;"|"&amp;$B1538,MemKey,0))</f>
        <v/>
      </c>
      <c r="I1538" s="14">
        <f>INDEX(VarUnit,MATCH($A1538,VarKey,0))</f>
        <v/>
      </c>
      <c r="J1538" s="14">
        <f>INDEX(VarSrc,MATCH($A1538,VarKey,0))</f>
        <v/>
      </c>
      <c r="K1538" s="11">
        <f>CodePrefix&amp;$A1538&amp;IF($C1538="","","."&amp;$C1538&amp;"."&amp;$B1538)&amp;INDEX(VarEnd,MATCH($A1538,VarKey,0))&amp;K$5</f>
        <v/>
      </c>
      <c r="L1538" s="40">
        <f>INDEX(L$280:L$296,$E1538)*$D1538</f>
        <v/>
      </c>
      <c r="M1538" s="35">
        <f>INDEX(M$280:M$296,$E1538)*$D1538</f>
        <v/>
      </c>
      <c r="N1538" s="35">
        <f>INDEX(N$280:N$296,$E1538)*$D1538</f>
        <v/>
      </c>
      <c r="O1538" s="35">
        <f>INDEX(O$280:O$296,$E1538)*$D1538</f>
        <v/>
      </c>
      <c r="P1538" s="35">
        <f>INDEX(P$280:P$296,$E1538)*$D1538</f>
        <v/>
      </c>
      <c r="Q1538" s="35">
        <f>INDEX(Q$280:Q$296,$E1538)*$D1538</f>
        <v/>
      </c>
      <c r="R1538" s="35">
        <f>INDEX(R$280:R$296,$E1538)*$D1538</f>
        <v/>
      </c>
      <c r="S1538" s="35">
        <f>INDEX(S$280:S$296,$E1538)*$D1538</f>
        <v/>
      </c>
      <c r="T1538" s="35">
        <f>INDEX(T$280:T$296,$E1538)*$D1538</f>
        <v/>
      </c>
      <c r="U1538" s="35">
        <f>INDEX(U$280:U$296,$E1538)*$D1538</f>
        <v/>
      </c>
      <c r="V1538" s="35">
        <f>INDEX(V$280:V$296,$E1538)*$D1538</f>
        <v/>
      </c>
      <c r="W1538" s="35">
        <f>INDEX(W$280:W$296,$E1538)*$D1538</f>
        <v/>
      </c>
      <c r="X1538" s="35">
        <f>INDEX(X$280:X$296,$E1538)*$D1538</f>
        <v/>
      </c>
      <c r="Y1538" s="35">
        <f>INDEX(Y$280:Y$296,$E1538)*$D1538</f>
        <v/>
      </c>
      <c r="Z1538" s="35">
        <f>INDEX(Z$280:Z$296,$E1538)*$D1538</f>
        <v/>
      </c>
      <c r="AA1538" s="35">
        <f>INDEX(AA$280:AA$296,$E1538)*$D1538</f>
        <v/>
      </c>
      <c r="AB1538" s="35">
        <f>INDEX(AB$280:AB$296,$E1538)*$D1538</f>
        <v/>
      </c>
      <c r="AC1538" s="35">
        <f>INDEX(AC$280:AC$296,$E1538)*$D1538</f>
        <v/>
      </c>
      <c r="AD1538" s="35">
        <f>INDEX(AD$280:AD$296,$E1538)*$D1538</f>
        <v/>
      </c>
      <c r="AE1538" s="42">
        <f>ETSCOST(INDEX(AE$280:AE$296,$E1538),$D1538)</f>
        <v/>
      </c>
      <c r="AG1538" s="11">
        <f>CodePrefix&amp;$A1538&amp;IF($C1538="","","."&amp;$C1538&amp;"."&amp;$B1538)&amp;INDEX(VarEnd,MATCH($A1538,VarKey,0))&amp;AG$5</f>
        <v/>
      </c>
      <c r="AH1538" s="40">
        <f>INDEX(AH$280:AH$296,$E1538)*$D1538</f>
        <v/>
      </c>
      <c r="AI1538" s="35">
        <f>INDEX(AI$280:AI$296,$E1538)*$D1538</f>
        <v/>
      </c>
      <c r="AJ1538" s="35">
        <f>INDEX(AJ$280:AJ$296,$E1538)*$D1538</f>
        <v/>
      </c>
      <c r="AK1538" s="35">
        <f>INDEX(AK$280:AK$296,$E1538)*$D1538</f>
        <v/>
      </c>
      <c r="AL1538" s="35">
        <f>INDEX(AL$280:AL$296,$E1538)*$D1538</f>
        <v/>
      </c>
      <c r="AM1538" s="35">
        <f>INDEX(AM$280:AM$296,$E1538)*$D1538</f>
        <v/>
      </c>
      <c r="AN1538" s="35">
        <f>INDEX(AN$280:AN$296,$E1538)*$D1538</f>
        <v/>
      </c>
      <c r="AO1538" s="35">
        <f>INDEX(AO$280:AO$296,$E1538)*$D1538</f>
        <v/>
      </c>
      <c r="AP1538" s="35">
        <f>INDEX(AP$280:AP$296,$E1538)*$D1538</f>
        <v/>
      </c>
      <c r="AQ1538" s="35">
        <f>INDEX(AQ$280:AQ$296,$E1538)*$D1538</f>
        <v/>
      </c>
      <c r="AR1538" s="35">
        <f>INDEX(AR$280:AR$296,$E1538)*$D1538</f>
        <v/>
      </c>
      <c r="AS1538" s="35">
        <f>INDEX(AS$280:AS$296,$E1538)*$D1538</f>
        <v/>
      </c>
      <c r="AT1538" s="35">
        <f>INDEX(AT$280:AT$296,$E1538)*$D1538</f>
        <v/>
      </c>
      <c r="AU1538" s="35">
        <f>INDEX(AU$280:AU$296,$E1538)*$D1538</f>
        <v/>
      </c>
      <c r="AV1538" s="35">
        <f>INDEX(AV$280:AV$296,$E1538)*$D1538</f>
        <v/>
      </c>
      <c r="AW1538" s="35">
        <f>INDEX(AW$280:AW$296,$E1538)*$D1538</f>
        <v/>
      </c>
      <c r="AX1538" s="35">
        <f>INDEX(AX$280:AX$296,$E1538)*$D1538</f>
        <v/>
      </c>
      <c r="AY1538" s="35">
        <f>INDEX(AY$280:AY$296,$E1538)*$D1538</f>
        <v/>
      </c>
      <c r="AZ1538" s="35">
        <f>INDEX(AZ$280:AZ$296,$E1538)*$D1538</f>
        <v/>
      </c>
      <c r="BA1538" s="42">
        <f>ETSCOST(INDEX(BA$280:BA$296,$E1538),$D1538)</f>
        <v/>
      </c>
    </row>
    <row r="1539" hidden="1" outlineLevel="2"/>
    <row r="1540" hidden="1" outlineLevel="2">
      <c r="A1540" s="14" t="inlineStr">
        <is>
          <t>ntx</t>
        </is>
      </c>
      <c r="B1540" s="14" t="inlineStr">
        <is>
          <t>coa</t>
        </is>
      </c>
      <c r="C1540" s="14" t="inlineStr">
        <is>
          <t>res</t>
        </is>
      </c>
      <c r="D1540" s="35">
        <f>INDEX(Inputs!$N$5:$N$132,MATCH($B1540&amp;"|"&amp;$C1540,Inputs!$A$5:$A$132,0))</f>
        <v/>
      </c>
      <c r="E1540" s="35">
        <f>INDEX(Inputs!$K$5:$K$132,MATCH($B1540&amp;"|"&amp;$C1540,Inputs!$A$5:$A$132,0))</f>
        <v/>
      </c>
      <c r="F1540" s="39" t="n"/>
      <c r="G1540" s="39" t="n"/>
      <c r="H1540" s="14">
        <f>INDEX(VarLab,MATCH($A1540,VarKey,0))&amp;INDEX(MemLab,MATCH($C1540&amp;"|"&amp;$B1540,MemKey,0))</f>
        <v/>
      </c>
      <c r="I1540" s="14">
        <f>INDEX(VarUnit,MATCH($A1540,VarKey,0))</f>
        <v/>
      </c>
      <c r="J1540" s="14">
        <f>INDEX(VarSrc,MATCH($A1540,VarKey,0))</f>
        <v/>
      </c>
      <c r="K1540" s="11">
        <f>CodePrefix&amp;$A1540&amp;IF($C1540="","","."&amp;$C1540&amp;"."&amp;$B1540)&amp;INDEX(VarEnd,MATCH($A1540,VarKey,0))&amp;K$5</f>
        <v/>
      </c>
      <c r="L1540" s="40">
        <f>INDEX(L$80:L$93,$D1540)/$E1540</f>
        <v/>
      </c>
      <c r="M1540" s="35">
        <f>INDEX(M$80:M$93,$D1540)/$E1540</f>
        <v/>
      </c>
      <c r="N1540" s="35">
        <f>INDEX(N$80:N$93,$D1540)/$E1540</f>
        <v/>
      </c>
      <c r="O1540" s="35">
        <f>INDEX(O$80:O$93,$D1540)/$E1540</f>
        <v/>
      </c>
      <c r="P1540" s="35">
        <f>INDEX(P$80:P$93,$D1540)/$E1540</f>
        <v/>
      </c>
      <c r="Q1540" s="35">
        <f>INDEX(Q$80:Q$93,$D1540)/$E1540</f>
        <v/>
      </c>
      <c r="R1540" s="35">
        <f>INDEX(R$80:R$93,$D1540)/$E1540</f>
        <v/>
      </c>
      <c r="S1540" s="35">
        <f>INDEX(S$80:S$93,$D1540)/$E1540</f>
        <v/>
      </c>
      <c r="T1540" s="35">
        <f>INDEX(T$80:T$93,$D1540)/$E1540</f>
        <v/>
      </c>
      <c r="U1540" s="35">
        <f>INDEX(U$80:U$93,$D1540)/$E1540</f>
        <v/>
      </c>
      <c r="V1540" s="35">
        <f>INDEX(V$80:V$93,$D1540)/$E1540</f>
        <v/>
      </c>
      <c r="W1540" s="35">
        <f>INDEX(W$80:W$93,$D1540)/$E1540</f>
        <v/>
      </c>
      <c r="X1540" s="35">
        <f>INDEX(X$80:X$93,$D1540)/$E1540</f>
        <v/>
      </c>
      <c r="Y1540" s="35">
        <f>INDEX(Y$80:Y$93,$D1540)/$E1540</f>
        <v/>
      </c>
      <c r="Z1540" s="35">
        <f>INDEX(Z$80:Z$93,$D1540)/$E1540</f>
        <v/>
      </c>
      <c r="AA1540" s="35">
        <f>INDEX(AA$80:AA$93,$D1540)/$E1540</f>
        <v/>
      </c>
      <c r="AB1540" s="35">
        <f>INDEX(AB$80:AB$93,$D1540)/$E1540</f>
        <v/>
      </c>
      <c r="AC1540" s="35">
        <f>INDEX(AC$80:AC$93,$D1540)/$E1540</f>
        <v/>
      </c>
      <c r="AD1540" s="35">
        <f>INDEX(AD$80:AD$93,$D1540)/$E1540</f>
        <v/>
      </c>
      <c r="AE1540" s="42">
        <f>NEWEXCISE(INDEX(AE$80:AE$93,$D1540),$E1540)</f>
        <v/>
      </c>
      <c r="AG1540" s="11">
        <f>CodePrefix&amp;$A1540&amp;IF($C1540="","","."&amp;$C1540&amp;"."&amp;$B1540)&amp;INDEX(VarEnd,MATCH($A1540,VarKey,0))&amp;AG$5</f>
        <v/>
      </c>
      <c r="AH1540" s="40">
        <f>INDEX(AH$80:AH$93,$D1540)/$E1540</f>
        <v/>
      </c>
      <c r="AI1540" s="35">
        <f>INDEX(AI$80:AI$93,$D1540)/$E1540</f>
        <v/>
      </c>
      <c r="AJ1540" s="35">
        <f>INDEX(AJ$80:AJ$93,$D1540)/$E1540</f>
        <v/>
      </c>
      <c r="AK1540" s="35">
        <f>INDEX(AK$80:AK$93,$D1540)/$E1540</f>
        <v/>
      </c>
      <c r="AL1540" s="35">
        <f>INDEX(AL$80:AL$93,$D1540)/$E1540</f>
        <v/>
      </c>
      <c r="AM1540" s="35">
        <f>INDEX(AM$80:AM$93,$D1540)/$E1540</f>
        <v/>
      </c>
      <c r="AN1540" s="35">
        <f>INDEX(AN$80:AN$93,$D1540)/$E1540</f>
        <v/>
      </c>
      <c r="AO1540" s="35">
        <f>INDEX(AO$80:AO$93,$D1540)/$E1540</f>
        <v/>
      </c>
      <c r="AP1540" s="35">
        <f>INDEX(AP$80:AP$93,$D1540)/$E1540</f>
        <v/>
      </c>
      <c r="AQ1540" s="35">
        <f>INDEX(AQ$80:AQ$93,$D1540)/$E1540</f>
        <v/>
      </c>
      <c r="AR1540" s="35">
        <f>INDEX(AR$80:AR$93,$D1540)/$E1540</f>
        <v/>
      </c>
      <c r="AS1540" s="35">
        <f>INDEX(AS$80:AS$93,$D1540)/$E1540</f>
        <v/>
      </c>
      <c r="AT1540" s="35">
        <f>INDEX(AT$80:AT$93,$D1540)/$E1540</f>
        <v/>
      </c>
      <c r="AU1540" s="35">
        <f>INDEX(AU$80:AU$93,$D1540)/$E1540</f>
        <v/>
      </c>
      <c r="AV1540" s="35">
        <f>INDEX(AV$80:AV$93,$D1540)/$E1540</f>
        <v/>
      </c>
      <c r="AW1540" s="35">
        <f>INDEX(AW$80:AW$93,$D1540)/$E1540</f>
        <v/>
      </c>
      <c r="AX1540" s="35">
        <f>INDEX(AX$80:AX$93,$D1540)/$E1540</f>
        <v/>
      </c>
      <c r="AY1540" s="35">
        <f>INDEX(AY$80:AY$93,$D1540)/$E1540</f>
        <v/>
      </c>
      <c r="AZ1540" s="35">
        <f>INDEX(AZ$80:AZ$93,$D1540)/$E1540</f>
        <v/>
      </c>
      <c r="BA1540" s="42">
        <f>NEWEXCISE(INDEX(BA$80:BA$93,$D1540),$E1540)</f>
        <v/>
      </c>
    </row>
    <row r="1541" hidden="1" outlineLevel="2">
      <c r="A1541" s="14" t="inlineStr">
        <is>
          <t>ntx</t>
        </is>
      </c>
      <c r="B1541" s="14" t="inlineStr">
        <is>
          <t>nga</t>
        </is>
      </c>
      <c r="C1541" s="14" t="inlineStr">
        <is>
          <t>res</t>
        </is>
      </c>
      <c r="D1541" s="35">
        <f>INDEX(Inputs!$N$5:$N$132,MATCH($B1541&amp;"|"&amp;$C1541,Inputs!$A$5:$A$132,0))</f>
        <v/>
      </c>
      <c r="E1541" s="35">
        <f>INDEX(Inputs!$K$5:$K$132,MATCH($B1541&amp;"|"&amp;$C1541,Inputs!$A$5:$A$132,0))</f>
        <v/>
      </c>
      <c r="F1541" s="39" t="n"/>
      <c r="G1541" s="39" t="n"/>
      <c r="H1541" s="14">
        <f>INDEX(VarLab,MATCH($A1541,VarKey,0))&amp;INDEX(MemLab,MATCH($C1541&amp;"|"&amp;$B1541,MemKey,0))</f>
        <v/>
      </c>
      <c r="I1541" s="14">
        <f>INDEX(VarUnit,MATCH($A1541,VarKey,0))</f>
        <v/>
      </c>
      <c r="J1541" s="14">
        <f>INDEX(VarSrc,MATCH($A1541,VarKey,0))</f>
        <v/>
      </c>
      <c r="K1541" s="11">
        <f>CodePrefix&amp;$A1541&amp;IF($C1541="","","."&amp;$C1541&amp;"."&amp;$B1541)&amp;INDEX(VarEnd,MATCH($A1541,VarKey,0))&amp;K$5</f>
        <v/>
      </c>
      <c r="L1541" s="40">
        <f>INDEX(L$80:L$93,$D1541)/$E1541</f>
        <v/>
      </c>
      <c r="M1541" s="35">
        <f>INDEX(M$80:M$93,$D1541)/$E1541</f>
        <v/>
      </c>
      <c r="N1541" s="35">
        <f>INDEX(N$80:N$93,$D1541)/$E1541</f>
        <v/>
      </c>
      <c r="O1541" s="35">
        <f>INDEX(O$80:O$93,$D1541)/$E1541</f>
        <v/>
      </c>
      <c r="P1541" s="35">
        <f>INDEX(P$80:P$93,$D1541)/$E1541</f>
        <v/>
      </c>
      <c r="Q1541" s="35">
        <f>INDEX(Q$80:Q$93,$D1541)/$E1541</f>
        <v/>
      </c>
      <c r="R1541" s="35">
        <f>INDEX(R$80:R$93,$D1541)/$E1541</f>
        <v/>
      </c>
      <c r="S1541" s="35">
        <f>INDEX(S$80:S$93,$D1541)/$E1541</f>
        <v/>
      </c>
      <c r="T1541" s="35">
        <f>INDEX(T$80:T$93,$D1541)/$E1541</f>
        <v/>
      </c>
      <c r="U1541" s="35">
        <f>INDEX(U$80:U$93,$D1541)/$E1541</f>
        <v/>
      </c>
      <c r="V1541" s="35">
        <f>INDEX(V$80:V$93,$D1541)/$E1541</f>
        <v/>
      </c>
      <c r="W1541" s="35">
        <f>INDEX(W$80:W$93,$D1541)/$E1541</f>
        <v/>
      </c>
      <c r="X1541" s="35">
        <f>INDEX(X$80:X$93,$D1541)/$E1541</f>
        <v/>
      </c>
      <c r="Y1541" s="35">
        <f>INDEX(Y$80:Y$93,$D1541)/$E1541</f>
        <v/>
      </c>
      <c r="Z1541" s="35">
        <f>INDEX(Z$80:Z$93,$D1541)/$E1541</f>
        <v/>
      </c>
      <c r="AA1541" s="35">
        <f>INDEX(AA$80:AA$93,$D1541)/$E1541</f>
        <v/>
      </c>
      <c r="AB1541" s="35">
        <f>INDEX(AB$80:AB$93,$D1541)/$E1541</f>
        <v/>
      </c>
      <c r="AC1541" s="35">
        <f>INDEX(AC$80:AC$93,$D1541)/$E1541</f>
        <v/>
      </c>
      <c r="AD1541" s="35">
        <f>INDEX(AD$80:AD$93,$D1541)/$E1541</f>
        <v/>
      </c>
      <c r="AE1541" s="42">
        <f>NEWEXCISE(INDEX(AE$80:AE$93,$D1541),$E1541)</f>
        <v/>
      </c>
      <c r="AG1541" s="11">
        <f>CodePrefix&amp;$A1541&amp;IF($C1541="","","."&amp;$C1541&amp;"."&amp;$B1541)&amp;INDEX(VarEnd,MATCH($A1541,VarKey,0))&amp;AG$5</f>
        <v/>
      </c>
      <c r="AH1541" s="40">
        <f>INDEX(AH$80:AH$93,$D1541)/$E1541</f>
        <v/>
      </c>
      <c r="AI1541" s="35">
        <f>INDEX(AI$80:AI$93,$D1541)/$E1541</f>
        <v/>
      </c>
      <c r="AJ1541" s="35">
        <f>INDEX(AJ$80:AJ$93,$D1541)/$E1541</f>
        <v/>
      </c>
      <c r="AK1541" s="35">
        <f>INDEX(AK$80:AK$93,$D1541)/$E1541</f>
        <v/>
      </c>
      <c r="AL1541" s="35">
        <f>INDEX(AL$80:AL$93,$D1541)/$E1541</f>
        <v/>
      </c>
      <c r="AM1541" s="35">
        <f>INDEX(AM$80:AM$93,$D1541)/$E1541</f>
        <v/>
      </c>
      <c r="AN1541" s="35">
        <f>INDEX(AN$80:AN$93,$D1541)/$E1541</f>
        <v/>
      </c>
      <c r="AO1541" s="35">
        <f>INDEX(AO$80:AO$93,$D1541)/$E1541</f>
        <v/>
      </c>
      <c r="AP1541" s="35">
        <f>INDEX(AP$80:AP$93,$D1541)/$E1541</f>
        <v/>
      </c>
      <c r="AQ1541" s="35">
        <f>INDEX(AQ$80:AQ$93,$D1541)/$E1541</f>
        <v/>
      </c>
      <c r="AR1541" s="35">
        <f>INDEX(AR$80:AR$93,$D1541)/$E1541</f>
        <v/>
      </c>
      <c r="AS1541" s="35">
        <f>INDEX(AS$80:AS$93,$D1541)/$E1541</f>
        <v/>
      </c>
      <c r="AT1541" s="35">
        <f>INDEX(AT$80:AT$93,$D1541)/$E1541</f>
        <v/>
      </c>
      <c r="AU1541" s="35">
        <f>INDEX(AU$80:AU$93,$D1541)/$E1541</f>
        <v/>
      </c>
      <c r="AV1541" s="35">
        <f>INDEX(AV$80:AV$93,$D1541)/$E1541</f>
        <v/>
      </c>
      <c r="AW1541" s="35">
        <f>INDEX(AW$80:AW$93,$D1541)/$E1541</f>
        <v/>
      </c>
      <c r="AX1541" s="35">
        <f>INDEX(AX$80:AX$93,$D1541)/$E1541</f>
        <v/>
      </c>
      <c r="AY1541" s="35">
        <f>INDEX(AY$80:AY$93,$D1541)/$E1541</f>
        <v/>
      </c>
      <c r="AZ1541" s="35">
        <f>INDEX(AZ$80:AZ$93,$D1541)/$E1541</f>
        <v/>
      </c>
      <c r="BA1541" s="42">
        <f>NEWEXCISE(INDEX(BA$80:BA$93,$D1541),$E1541)</f>
        <v/>
      </c>
    </row>
    <row r="1542" hidden="1" outlineLevel="2">
      <c r="A1542" s="14" t="inlineStr">
        <is>
          <t>ntx</t>
        </is>
      </c>
      <c r="B1542" s="14" t="inlineStr">
        <is>
          <t>gso</t>
        </is>
      </c>
      <c r="C1542" s="14" t="inlineStr">
        <is>
          <t>res</t>
        </is>
      </c>
      <c r="D1542" s="35">
        <f>INDEX(Inputs!$N$5:$N$132,MATCH($B1542&amp;"|"&amp;$C1542,Inputs!$A$5:$A$132,0))</f>
        <v/>
      </c>
      <c r="E1542" s="35">
        <f>INDEX(Inputs!$K$5:$K$132,MATCH($B1542&amp;"|"&amp;$C1542,Inputs!$A$5:$A$132,0))</f>
        <v/>
      </c>
      <c r="F1542" s="39" t="n"/>
      <c r="G1542" s="39" t="n"/>
      <c r="H1542" s="14">
        <f>INDEX(VarLab,MATCH($A1542,VarKey,0))&amp;INDEX(MemLab,MATCH($C1542&amp;"|"&amp;$B1542,MemKey,0))</f>
        <v/>
      </c>
      <c r="I1542" s="14">
        <f>INDEX(VarUnit,MATCH($A1542,VarKey,0))</f>
        <v/>
      </c>
      <c r="J1542" s="14">
        <f>INDEX(VarSrc,MATCH($A1542,VarKey,0))</f>
        <v/>
      </c>
      <c r="K1542" s="11">
        <f>CodePrefix&amp;$A1542&amp;IF($C1542="","","."&amp;$C1542&amp;"."&amp;$B1542)&amp;INDEX(VarEnd,MATCH($A1542,VarKey,0))&amp;K$5</f>
        <v/>
      </c>
      <c r="L1542" s="40">
        <f>INDEX(L$80:L$93,$D1542)/$E1542</f>
        <v/>
      </c>
      <c r="M1542" s="35">
        <f>INDEX(M$80:M$93,$D1542)/$E1542</f>
        <v/>
      </c>
      <c r="N1542" s="35">
        <f>INDEX(N$80:N$93,$D1542)/$E1542</f>
        <v/>
      </c>
      <c r="O1542" s="35">
        <f>INDEX(O$80:O$93,$D1542)/$E1542</f>
        <v/>
      </c>
      <c r="P1542" s="35">
        <f>INDEX(P$80:P$93,$D1542)/$E1542</f>
        <v/>
      </c>
      <c r="Q1542" s="35">
        <f>INDEX(Q$80:Q$93,$D1542)/$E1542</f>
        <v/>
      </c>
      <c r="R1542" s="35">
        <f>INDEX(R$80:R$93,$D1542)/$E1542</f>
        <v/>
      </c>
      <c r="S1542" s="35">
        <f>INDEX(S$80:S$93,$D1542)/$E1542</f>
        <v/>
      </c>
      <c r="T1542" s="35">
        <f>INDEX(T$80:T$93,$D1542)/$E1542</f>
        <v/>
      </c>
      <c r="U1542" s="35">
        <f>INDEX(U$80:U$93,$D1542)/$E1542</f>
        <v/>
      </c>
      <c r="V1542" s="35">
        <f>INDEX(V$80:V$93,$D1542)/$E1542</f>
        <v/>
      </c>
      <c r="W1542" s="35">
        <f>INDEX(W$80:W$93,$D1542)/$E1542</f>
        <v/>
      </c>
      <c r="X1542" s="35">
        <f>INDEX(X$80:X$93,$D1542)/$E1542</f>
        <v/>
      </c>
      <c r="Y1542" s="35">
        <f>INDEX(Y$80:Y$93,$D1542)/$E1542</f>
        <v/>
      </c>
      <c r="Z1542" s="35">
        <f>INDEX(Z$80:Z$93,$D1542)/$E1542</f>
        <v/>
      </c>
      <c r="AA1542" s="35">
        <f>INDEX(AA$80:AA$93,$D1542)/$E1542</f>
        <v/>
      </c>
      <c r="AB1542" s="35">
        <f>INDEX(AB$80:AB$93,$D1542)/$E1542</f>
        <v/>
      </c>
      <c r="AC1542" s="35">
        <f>INDEX(AC$80:AC$93,$D1542)/$E1542</f>
        <v/>
      </c>
      <c r="AD1542" s="35">
        <f>INDEX(AD$80:AD$93,$D1542)/$E1542</f>
        <v/>
      </c>
      <c r="AE1542" s="42">
        <f>NEWEXCISE(INDEX(AE$80:AE$93,$D1542),$E1542)</f>
        <v/>
      </c>
      <c r="AG1542" s="11">
        <f>CodePrefix&amp;$A1542&amp;IF($C1542="","","."&amp;$C1542&amp;"."&amp;$B1542)&amp;INDEX(VarEnd,MATCH($A1542,VarKey,0))&amp;AG$5</f>
        <v/>
      </c>
      <c r="AH1542" s="40">
        <f>INDEX(AH$80:AH$93,$D1542)/$E1542</f>
        <v/>
      </c>
      <c r="AI1542" s="35">
        <f>INDEX(AI$80:AI$93,$D1542)/$E1542</f>
        <v/>
      </c>
      <c r="AJ1542" s="35">
        <f>INDEX(AJ$80:AJ$93,$D1542)/$E1542</f>
        <v/>
      </c>
      <c r="AK1542" s="35">
        <f>INDEX(AK$80:AK$93,$D1542)/$E1542</f>
        <v/>
      </c>
      <c r="AL1542" s="35">
        <f>INDEX(AL$80:AL$93,$D1542)/$E1542</f>
        <v/>
      </c>
      <c r="AM1542" s="35">
        <f>INDEX(AM$80:AM$93,$D1542)/$E1542</f>
        <v/>
      </c>
      <c r="AN1542" s="35">
        <f>INDEX(AN$80:AN$93,$D1542)/$E1542</f>
        <v/>
      </c>
      <c r="AO1542" s="35">
        <f>INDEX(AO$80:AO$93,$D1542)/$E1542</f>
        <v/>
      </c>
      <c r="AP1542" s="35">
        <f>INDEX(AP$80:AP$93,$D1542)/$E1542</f>
        <v/>
      </c>
      <c r="AQ1542" s="35">
        <f>INDEX(AQ$80:AQ$93,$D1542)/$E1542</f>
        <v/>
      </c>
      <c r="AR1542" s="35">
        <f>INDEX(AR$80:AR$93,$D1542)/$E1542</f>
        <v/>
      </c>
      <c r="AS1542" s="35">
        <f>INDEX(AS$80:AS$93,$D1542)/$E1542</f>
        <v/>
      </c>
      <c r="AT1542" s="35">
        <f>INDEX(AT$80:AT$93,$D1542)/$E1542</f>
        <v/>
      </c>
      <c r="AU1542" s="35">
        <f>INDEX(AU$80:AU$93,$D1542)/$E1542</f>
        <v/>
      </c>
      <c r="AV1542" s="35">
        <f>INDEX(AV$80:AV$93,$D1542)/$E1542</f>
        <v/>
      </c>
      <c r="AW1542" s="35">
        <f>INDEX(AW$80:AW$93,$D1542)/$E1542</f>
        <v/>
      </c>
      <c r="AX1542" s="35">
        <f>INDEX(AX$80:AX$93,$D1542)/$E1542</f>
        <v/>
      </c>
      <c r="AY1542" s="35">
        <f>INDEX(AY$80:AY$93,$D1542)/$E1542</f>
        <v/>
      </c>
      <c r="AZ1542" s="35">
        <f>INDEX(AZ$80:AZ$93,$D1542)/$E1542</f>
        <v/>
      </c>
      <c r="BA1542" s="42">
        <f>NEWEXCISE(INDEX(BA$80:BA$93,$D1542),$E1542)</f>
        <v/>
      </c>
    </row>
    <row r="1543" hidden="1" outlineLevel="2">
      <c r="A1543" s="14" t="inlineStr">
        <is>
          <t>ntx</t>
        </is>
      </c>
      <c r="B1543" s="14" t="inlineStr">
        <is>
          <t>die</t>
        </is>
      </c>
      <c r="C1543" s="14" t="inlineStr">
        <is>
          <t>res</t>
        </is>
      </c>
      <c r="D1543" s="35">
        <f>INDEX(Inputs!$N$5:$N$132,MATCH($B1543&amp;"|"&amp;$C1543,Inputs!$A$5:$A$132,0))</f>
        <v/>
      </c>
      <c r="E1543" s="35">
        <f>INDEX(Inputs!$K$5:$K$132,MATCH($B1543&amp;"|"&amp;$C1543,Inputs!$A$5:$A$132,0))</f>
        <v/>
      </c>
      <c r="F1543" s="39" t="n"/>
      <c r="G1543" s="39" t="n"/>
      <c r="H1543" s="14">
        <f>INDEX(VarLab,MATCH($A1543,VarKey,0))&amp;INDEX(MemLab,MATCH($C1543&amp;"|"&amp;$B1543,MemKey,0))</f>
        <v/>
      </c>
      <c r="I1543" s="14">
        <f>INDEX(VarUnit,MATCH($A1543,VarKey,0))</f>
        <v/>
      </c>
      <c r="J1543" s="14">
        <f>INDEX(VarSrc,MATCH($A1543,VarKey,0))</f>
        <v/>
      </c>
      <c r="K1543" s="11">
        <f>CodePrefix&amp;$A1543&amp;IF($C1543="","","."&amp;$C1543&amp;"."&amp;$B1543)&amp;INDEX(VarEnd,MATCH($A1543,VarKey,0))&amp;K$5</f>
        <v/>
      </c>
      <c r="L1543" s="40">
        <f>INDEX(L$80:L$93,$D1543)/$E1543</f>
        <v/>
      </c>
      <c r="M1543" s="35">
        <f>INDEX(M$80:M$93,$D1543)/$E1543</f>
        <v/>
      </c>
      <c r="N1543" s="35">
        <f>INDEX(N$80:N$93,$D1543)/$E1543</f>
        <v/>
      </c>
      <c r="O1543" s="35">
        <f>INDEX(O$80:O$93,$D1543)/$E1543</f>
        <v/>
      </c>
      <c r="P1543" s="35">
        <f>INDEX(P$80:P$93,$D1543)/$E1543</f>
        <v/>
      </c>
      <c r="Q1543" s="35">
        <f>INDEX(Q$80:Q$93,$D1543)/$E1543</f>
        <v/>
      </c>
      <c r="R1543" s="35">
        <f>INDEX(R$80:R$93,$D1543)/$E1543</f>
        <v/>
      </c>
      <c r="S1543" s="35">
        <f>INDEX(S$80:S$93,$D1543)/$E1543</f>
        <v/>
      </c>
      <c r="T1543" s="35">
        <f>INDEX(T$80:T$93,$D1543)/$E1543</f>
        <v/>
      </c>
      <c r="U1543" s="35">
        <f>INDEX(U$80:U$93,$D1543)/$E1543</f>
        <v/>
      </c>
      <c r="V1543" s="35">
        <f>INDEX(V$80:V$93,$D1543)/$E1543</f>
        <v/>
      </c>
      <c r="W1543" s="35">
        <f>INDEX(W$80:W$93,$D1543)/$E1543</f>
        <v/>
      </c>
      <c r="X1543" s="35">
        <f>INDEX(X$80:X$93,$D1543)/$E1543</f>
        <v/>
      </c>
      <c r="Y1543" s="35">
        <f>INDEX(Y$80:Y$93,$D1543)/$E1543</f>
        <v/>
      </c>
      <c r="Z1543" s="35">
        <f>INDEX(Z$80:Z$93,$D1543)/$E1543</f>
        <v/>
      </c>
      <c r="AA1543" s="35">
        <f>INDEX(AA$80:AA$93,$D1543)/$E1543</f>
        <v/>
      </c>
      <c r="AB1543" s="35">
        <f>INDEX(AB$80:AB$93,$D1543)/$E1543</f>
        <v/>
      </c>
      <c r="AC1543" s="35">
        <f>INDEX(AC$80:AC$93,$D1543)/$E1543</f>
        <v/>
      </c>
      <c r="AD1543" s="35">
        <f>INDEX(AD$80:AD$93,$D1543)/$E1543</f>
        <v/>
      </c>
      <c r="AE1543" s="42">
        <f>NEWEXCISE(INDEX(AE$80:AE$93,$D1543),$E1543)</f>
        <v/>
      </c>
      <c r="AG1543" s="11">
        <f>CodePrefix&amp;$A1543&amp;IF($C1543="","","."&amp;$C1543&amp;"."&amp;$B1543)&amp;INDEX(VarEnd,MATCH($A1543,VarKey,0))&amp;AG$5</f>
        <v/>
      </c>
      <c r="AH1543" s="40">
        <f>INDEX(AH$80:AH$93,$D1543)/$E1543</f>
        <v/>
      </c>
      <c r="AI1543" s="35">
        <f>INDEX(AI$80:AI$93,$D1543)/$E1543</f>
        <v/>
      </c>
      <c r="AJ1543" s="35">
        <f>INDEX(AJ$80:AJ$93,$D1543)/$E1543</f>
        <v/>
      </c>
      <c r="AK1543" s="35">
        <f>INDEX(AK$80:AK$93,$D1543)/$E1543</f>
        <v/>
      </c>
      <c r="AL1543" s="35">
        <f>INDEX(AL$80:AL$93,$D1543)/$E1543</f>
        <v/>
      </c>
      <c r="AM1543" s="35">
        <f>INDEX(AM$80:AM$93,$D1543)/$E1543</f>
        <v/>
      </c>
      <c r="AN1543" s="35">
        <f>INDEX(AN$80:AN$93,$D1543)/$E1543</f>
        <v/>
      </c>
      <c r="AO1543" s="35">
        <f>INDEX(AO$80:AO$93,$D1543)/$E1543</f>
        <v/>
      </c>
      <c r="AP1543" s="35">
        <f>INDEX(AP$80:AP$93,$D1543)/$E1543</f>
        <v/>
      </c>
      <c r="AQ1543" s="35">
        <f>INDEX(AQ$80:AQ$93,$D1543)/$E1543</f>
        <v/>
      </c>
      <c r="AR1543" s="35">
        <f>INDEX(AR$80:AR$93,$D1543)/$E1543</f>
        <v/>
      </c>
      <c r="AS1543" s="35">
        <f>INDEX(AS$80:AS$93,$D1543)/$E1543</f>
        <v/>
      </c>
      <c r="AT1543" s="35">
        <f>INDEX(AT$80:AT$93,$D1543)/$E1543</f>
        <v/>
      </c>
      <c r="AU1543" s="35">
        <f>INDEX(AU$80:AU$93,$D1543)/$E1543</f>
        <v/>
      </c>
      <c r="AV1543" s="35">
        <f>INDEX(AV$80:AV$93,$D1543)/$E1543</f>
        <v/>
      </c>
      <c r="AW1543" s="35">
        <f>INDEX(AW$80:AW$93,$D1543)/$E1543</f>
        <v/>
      </c>
      <c r="AX1543" s="35">
        <f>INDEX(AX$80:AX$93,$D1543)/$E1543</f>
        <v/>
      </c>
      <c r="AY1543" s="35">
        <f>INDEX(AY$80:AY$93,$D1543)/$E1543</f>
        <v/>
      </c>
      <c r="AZ1543" s="35">
        <f>INDEX(AZ$80:AZ$93,$D1543)/$E1543</f>
        <v/>
      </c>
      <c r="BA1543" s="42">
        <f>NEWEXCISE(INDEX(BA$80:BA$93,$D1543),$E1543)</f>
        <v/>
      </c>
    </row>
    <row r="1544" hidden="1" outlineLevel="2">
      <c r="A1544" s="14" t="inlineStr">
        <is>
          <t>ntx</t>
        </is>
      </c>
      <c r="B1544" s="14" t="inlineStr">
        <is>
          <t>lpg</t>
        </is>
      </c>
      <c r="C1544" s="14" t="inlineStr">
        <is>
          <t>res</t>
        </is>
      </c>
      <c r="D1544" s="35">
        <f>INDEX(Inputs!$N$5:$N$132,MATCH($B1544&amp;"|"&amp;$C1544,Inputs!$A$5:$A$132,0))</f>
        <v/>
      </c>
      <c r="E1544" s="35">
        <f>INDEX(Inputs!$K$5:$K$132,MATCH($B1544&amp;"|"&amp;$C1544,Inputs!$A$5:$A$132,0))</f>
        <v/>
      </c>
      <c r="F1544" s="39" t="n"/>
      <c r="G1544" s="39" t="n"/>
      <c r="H1544" s="14">
        <f>INDEX(VarLab,MATCH($A1544,VarKey,0))&amp;INDEX(MemLab,MATCH($C1544&amp;"|"&amp;$B1544,MemKey,0))</f>
        <v/>
      </c>
      <c r="I1544" s="14">
        <f>INDEX(VarUnit,MATCH($A1544,VarKey,0))</f>
        <v/>
      </c>
      <c r="J1544" s="14">
        <f>INDEX(VarSrc,MATCH($A1544,VarKey,0))</f>
        <v/>
      </c>
      <c r="K1544" s="11">
        <f>CodePrefix&amp;$A1544&amp;IF($C1544="","","."&amp;$C1544&amp;"."&amp;$B1544)&amp;INDEX(VarEnd,MATCH($A1544,VarKey,0))&amp;K$5</f>
        <v/>
      </c>
      <c r="L1544" s="40">
        <f>INDEX(L$80:L$93,$D1544)/$E1544</f>
        <v/>
      </c>
      <c r="M1544" s="35">
        <f>INDEX(M$80:M$93,$D1544)/$E1544</f>
        <v/>
      </c>
      <c r="N1544" s="35">
        <f>INDEX(N$80:N$93,$D1544)/$E1544</f>
        <v/>
      </c>
      <c r="O1544" s="35">
        <f>INDEX(O$80:O$93,$D1544)/$E1544</f>
        <v/>
      </c>
      <c r="P1544" s="35">
        <f>INDEX(P$80:P$93,$D1544)/$E1544</f>
        <v/>
      </c>
      <c r="Q1544" s="35">
        <f>INDEX(Q$80:Q$93,$D1544)/$E1544</f>
        <v/>
      </c>
      <c r="R1544" s="35">
        <f>INDEX(R$80:R$93,$D1544)/$E1544</f>
        <v/>
      </c>
      <c r="S1544" s="35">
        <f>INDEX(S$80:S$93,$D1544)/$E1544</f>
        <v/>
      </c>
      <c r="T1544" s="35">
        <f>INDEX(T$80:T$93,$D1544)/$E1544</f>
        <v/>
      </c>
      <c r="U1544" s="35">
        <f>INDEX(U$80:U$93,$D1544)/$E1544</f>
        <v/>
      </c>
      <c r="V1544" s="35">
        <f>INDEX(V$80:V$93,$D1544)/$E1544</f>
        <v/>
      </c>
      <c r="W1544" s="35">
        <f>INDEX(W$80:W$93,$D1544)/$E1544</f>
        <v/>
      </c>
      <c r="X1544" s="35">
        <f>INDEX(X$80:X$93,$D1544)/$E1544</f>
        <v/>
      </c>
      <c r="Y1544" s="35">
        <f>INDEX(Y$80:Y$93,$D1544)/$E1544</f>
        <v/>
      </c>
      <c r="Z1544" s="35">
        <f>INDEX(Z$80:Z$93,$D1544)/$E1544</f>
        <v/>
      </c>
      <c r="AA1544" s="35">
        <f>INDEX(AA$80:AA$93,$D1544)/$E1544</f>
        <v/>
      </c>
      <c r="AB1544" s="35">
        <f>INDEX(AB$80:AB$93,$D1544)/$E1544</f>
        <v/>
      </c>
      <c r="AC1544" s="35">
        <f>INDEX(AC$80:AC$93,$D1544)/$E1544</f>
        <v/>
      </c>
      <c r="AD1544" s="35">
        <f>INDEX(AD$80:AD$93,$D1544)/$E1544</f>
        <v/>
      </c>
      <c r="AE1544" s="42">
        <f>NEWEXCISE(INDEX(AE$80:AE$93,$D1544),$E1544)</f>
        <v/>
      </c>
      <c r="AG1544" s="11">
        <f>CodePrefix&amp;$A1544&amp;IF($C1544="","","."&amp;$C1544&amp;"."&amp;$B1544)&amp;INDEX(VarEnd,MATCH($A1544,VarKey,0))&amp;AG$5</f>
        <v/>
      </c>
      <c r="AH1544" s="40">
        <f>INDEX(AH$80:AH$93,$D1544)/$E1544</f>
        <v/>
      </c>
      <c r="AI1544" s="35">
        <f>INDEX(AI$80:AI$93,$D1544)/$E1544</f>
        <v/>
      </c>
      <c r="AJ1544" s="35">
        <f>INDEX(AJ$80:AJ$93,$D1544)/$E1544</f>
        <v/>
      </c>
      <c r="AK1544" s="35">
        <f>INDEX(AK$80:AK$93,$D1544)/$E1544</f>
        <v/>
      </c>
      <c r="AL1544" s="35">
        <f>INDEX(AL$80:AL$93,$D1544)/$E1544</f>
        <v/>
      </c>
      <c r="AM1544" s="35">
        <f>INDEX(AM$80:AM$93,$D1544)/$E1544</f>
        <v/>
      </c>
      <c r="AN1544" s="35">
        <f>INDEX(AN$80:AN$93,$D1544)/$E1544</f>
        <v/>
      </c>
      <c r="AO1544" s="35">
        <f>INDEX(AO$80:AO$93,$D1544)/$E1544</f>
        <v/>
      </c>
      <c r="AP1544" s="35">
        <f>INDEX(AP$80:AP$93,$D1544)/$E1544</f>
        <v/>
      </c>
      <c r="AQ1544" s="35">
        <f>INDEX(AQ$80:AQ$93,$D1544)/$E1544</f>
        <v/>
      </c>
      <c r="AR1544" s="35">
        <f>INDEX(AR$80:AR$93,$D1544)/$E1544</f>
        <v/>
      </c>
      <c r="AS1544" s="35">
        <f>INDEX(AS$80:AS$93,$D1544)/$E1544</f>
        <v/>
      </c>
      <c r="AT1544" s="35">
        <f>INDEX(AT$80:AT$93,$D1544)/$E1544</f>
        <v/>
      </c>
      <c r="AU1544" s="35">
        <f>INDEX(AU$80:AU$93,$D1544)/$E1544</f>
        <v/>
      </c>
      <c r="AV1544" s="35">
        <f>INDEX(AV$80:AV$93,$D1544)/$E1544</f>
        <v/>
      </c>
      <c r="AW1544" s="35">
        <f>INDEX(AW$80:AW$93,$D1544)/$E1544</f>
        <v/>
      </c>
      <c r="AX1544" s="35">
        <f>INDEX(AX$80:AX$93,$D1544)/$E1544</f>
        <v/>
      </c>
      <c r="AY1544" s="35">
        <f>INDEX(AY$80:AY$93,$D1544)/$E1544</f>
        <v/>
      </c>
      <c r="AZ1544" s="35">
        <f>INDEX(AZ$80:AZ$93,$D1544)/$E1544</f>
        <v/>
      </c>
      <c r="BA1544" s="42">
        <f>NEWEXCISE(INDEX(BA$80:BA$93,$D1544),$E1544)</f>
        <v/>
      </c>
    </row>
    <row r="1545" hidden="1" outlineLevel="2">
      <c r="A1545" s="14" t="inlineStr">
        <is>
          <t>ntx</t>
        </is>
      </c>
      <c r="B1545" s="14" t="inlineStr">
        <is>
          <t>ker</t>
        </is>
      </c>
      <c r="C1545" s="14" t="inlineStr">
        <is>
          <t>res</t>
        </is>
      </c>
      <c r="D1545" s="35">
        <f>INDEX(Inputs!$N$5:$N$132,MATCH($B1545&amp;"|"&amp;$C1545,Inputs!$A$5:$A$132,0))</f>
        <v/>
      </c>
      <c r="E1545" s="35">
        <f>INDEX(Inputs!$K$5:$K$132,MATCH($B1545&amp;"|"&amp;$C1545,Inputs!$A$5:$A$132,0))</f>
        <v/>
      </c>
      <c r="F1545" s="39" t="n"/>
      <c r="G1545" s="39" t="n"/>
      <c r="H1545" s="14">
        <f>INDEX(VarLab,MATCH($A1545,VarKey,0))&amp;INDEX(MemLab,MATCH($C1545&amp;"|"&amp;$B1545,MemKey,0))</f>
        <v/>
      </c>
      <c r="I1545" s="14">
        <f>INDEX(VarUnit,MATCH($A1545,VarKey,0))</f>
        <v/>
      </c>
      <c r="J1545" s="14">
        <f>INDEX(VarSrc,MATCH($A1545,VarKey,0))</f>
        <v/>
      </c>
      <c r="K1545" s="11">
        <f>CodePrefix&amp;$A1545&amp;IF($C1545="","","."&amp;$C1545&amp;"."&amp;$B1545)&amp;INDEX(VarEnd,MATCH($A1545,VarKey,0))&amp;K$5</f>
        <v/>
      </c>
      <c r="L1545" s="40">
        <f>INDEX(L$80:L$93,$D1545)/$E1545</f>
        <v/>
      </c>
      <c r="M1545" s="35">
        <f>INDEX(M$80:M$93,$D1545)/$E1545</f>
        <v/>
      </c>
      <c r="N1545" s="35">
        <f>INDEX(N$80:N$93,$D1545)/$E1545</f>
        <v/>
      </c>
      <c r="O1545" s="35">
        <f>INDEX(O$80:O$93,$D1545)/$E1545</f>
        <v/>
      </c>
      <c r="P1545" s="35">
        <f>INDEX(P$80:P$93,$D1545)/$E1545</f>
        <v/>
      </c>
      <c r="Q1545" s="35">
        <f>INDEX(Q$80:Q$93,$D1545)/$E1545</f>
        <v/>
      </c>
      <c r="R1545" s="35">
        <f>INDEX(R$80:R$93,$D1545)/$E1545</f>
        <v/>
      </c>
      <c r="S1545" s="35">
        <f>INDEX(S$80:S$93,$D1545)/$E1545</f>
        <v/>
      </c>
      <c r="T1545" s="35">
        <f>INDEX(T$80:T$93,$D1545)/$E1545</f>
        <v/>
      </c>
      <c r="U1545" s="35">
        <f>INDEX(U$80:U$93,$D1545)/$E1545</f>
        <v/>
      </c>
      <c r="V1545" s="35">
        <f>INDEX(V$80:V$93,$D1545)/$E1545</f>
        <v/>
      </c>
      <c r="W1545" s="35">
        <f>INDEX(W$80:W$93,$D1545)/$E1545</f>
        <v/>
      </c>
      <c r="X1545" s="35">
        <f>INDEX(X$80:X$93,$D1545)/$E1545</f>
        <v/>
      </c>
      <c r="Y1545" s="35">
        <f>INDEX(Y$80:Y$93,$D1545)/$E1545</f>
        <v/>
      </c>
      <c r="Z1545" s="35">
        <f>INDEX(Z$80:Z$93,$D1545)/$E1545</f>
        <v/>
      </c>
      <c r="AA1545" s="35">
        <f>INDEX(AA$80:AA$93,$D1545)/$E1545</f>
        <v/>
      </c>
      <c r="AB1545" s="35">
        <f>INDEX(AB$80:AB$93,$D1545)/$E1545</f>
        <v/>
      </c>
      <c r="AC1545" s="35">
        <f>INDEX(AC$80:AC$93,$D1545)/$E1545</f>
        <v/>
      </c>
      <c r="AD1545" s="35">
        <f>INDEX(AD$80:AD$93,$D1545)/$E1545</f>
        <v/>
      </c>
      <c r="AE1545" s="42">
        <f>NEWEXCISE(INDEX(AE$80:AE$93,$D1545),$E1545)</f>
        <v/>
      </c>
      <c r="AG1545" s="11">
        <f>CodePrefix&amp;$A1545&amp;IF($C1545="","","."&amp;$C1545&amp;"."&amp;$B1545)&amp;INDEX(VarEnd,MATCH($A1545,VarKey,0))&amp;AG$5</f>
        <v/>
      </c>
      <c r="AH1545" s="40">
        <f>INDEX(AH$80:AH$93,$D1545)/$E1545</f>
        <v/>
      </c>
      <c r="AI1545" s="35">
        <f>INDEX(AI$80:AI$93,$D1545)/$E1545</f>
        <v/>
      </c>
      <c r="AJ1545" s="35">
        <f>INDEX(AJ$80:AJ$93,$D1545)/$E1545</f>
        <v/>
      </c>
      <c r="AK1545" s="35">
        <f>INDEX(AK$80:AK$93,$D1545)/$E1545</f>
        <v/>
      </c>
      <c r="AL1545" s="35">
        <f>INDEX(AL$80:AL$93,$D1545)/$E1545</f>
        <v/>
      </c>
      <c r="AM1545" s="35">
        <f>INDEX(AM$80:AM$93,$D1545)/$E1545</f>
        <v/>
      </c>
      <c r="AN1545" s="35">
        <f>INDEX(AN$80:AN$93,$D1545)/$E1545</f>
        <v/>
      </c>
      <c r="AO1545" s="35">
        <f>INDEX(AO$80:AO$93,$D1545)/$E1545</f>
        <v/>
      </c>
      <c r="AP1545" s="35">
        <f>INDEX(AP$80:AP$93,$D1545)/$E1545</f>
        <v/>
      </c>
      <c r="AQ1545" s="35">
        <f>INDEX(AQ$80:AQ$93,$D1545)/$E1545</f>
        <v/>
      </c>
      <c r="AR1545" s="35">
        <f>INDEX(AR$80:AR$93,$D1545)/$E1545</f>
        <v/>
      </c>
      <c r="AS1545" s="35">
        <f>INDEX(AS$80:AS$93,$D1545)/$E1545</f>
        <v/>
      </c>
      <c r="AT1545" s="35">
        <f>INDEX(AT$80:AT$93,$D1545)/$E1545</f>
        <v/>
      </c>
      <c r="AU1545" s="35">
        <f>INDEX(AU$80:AU$93,$D1545)/$E1545</f>
        <v/>
      </c>
      <c r="AV1545" s="35">
        <f>INDEX(AV$80:AV$93,$D1545)/$E1545</f>
        <v/>
      </c>
      <c r="AW1545" s="35">
        <f>INDEX(AW$80:AW$93,$D1545)/$E1545</f>
        <v/>
      </c>
      <c r="AX1545" s="35">
        <f>INDEX(AX$80:AX$93,$D1545)/$E1545</f>
        <v/>
      </c>
      <c r="AY1545" s="35">
        <f>INDEX(AY$80:AY$93,$D1545)/$E1545</f>
        <v/>
      </c>
      <c r="AZ1545" s="35">
        <f>INDEX(AZ$80:AZ$93,$D1545)/$E1545</f>
        <v/>
      </c>
      <c r="BA1545" s="42">
        <f>NEWEXCISE(INDEX(BA$80:BA$93,$D1545),$E1545)</f>
        <v/>
      </c>
    </row>
    <row r="1546" hidden="1" outlineLevel="2">
      <c r="A1546" s="14" t="inlineStr">
        <is>
          <t>ntx</t>
        </is>
      </c>
      <c r="B1546" s="14" t="inlineStr">
        <is>
          <t>oop</t>
        </is>
      </c>
      <c r="C1546" s="14" t="inlineStr">
        <is>
          <t>res</t>
        </is>
      </c>
      <c r="D1546" s="35">
        <f>INDEX(Inputs!$N$5:$N$132,MATCH($B1546&amp;"|"&amp;$C1546,Inputs!$A$5:$A$132,0))</f>
        <v/>
      </c>
      <c r="E1546" s="35">
        <f>INDEX(Inputs!$K$5:$K$132,MATCH($B1546&amp;"|"&amp;$C1546,Inputs!$A$5:$A$132,0))</f>
        <v/>
      </c>
      <c r="F1546" s="39" t="n"/>
      <c r="G1546" s="39" t="n"/>
      <c r="H1546" s="14">
        <f>INDEX(VarLab,MATCH($A1546,VarKey,0))&amp;INDEX(MemLab,MATCH($C1546&amp;"|"&amp;$B1546,MemKey,0))</f>
        <v/>
      </c>
      <c r="I1546" s="14">
        <f>INDEX(VarUnit,MATCH($A1546,VarKey,0))</f>
        <v/>
      </c>
      <c r="J1546" s="14">
        <f>INDEX(VarSrc,MATCH($A1546,VarKey,0))</f>
        <v/>
      </c>
      <c r="K1546" s="11">
        <f>CodePrefix&amp;$A1546&amp;IF($C1546="","","."&amp;$C1546&amp;"."&amp;$B1546)&amp;INDEX(VarEnd,MATCH($A1546,VarKey,0))&amp;K$5</f>
        <v/>
      </c>
      <c r="L1546" s="40">
        <f>INDEX(L$80:L$93,$D1546)/$E1546</f>
        <v/>
      </c>
      <c r="M1546" s="35">
        <f>INDEX(M$80:M$93,$D1546)/$E1546</f>
        <v/>
      </c>
      <c r="N1546" s="35">
        <f>INDEX(N$80:N$93,$D1546)/$E1546</f>
        <v/>
      </c>
      <c r="O1546" s="35">
        <f>INDEX(O$80:O$93,$D1546)/$E1546</f>
        <v/>
      </c>
      <c r="P1546" s="35">
        <f>INDEX(P$80:P$93,$D1546)/$E1546</f>
        <v/>
      </c>
      <c r="Q1546" s="35">
        <f>INDEX(Q$80:Q$93,$D1546)/$E1546</f>
        <v/>
      </c>
      <c r="R1546" s="35">
        <f>INDEX(R$80:R$93,$D1546)/$E1546</f>
        <v/>
      </c>
      <c r="S1546" s="35">
        <f>INDEX(S$80:S$93,$D1546)/$E1546</f>
        <v/>
      </c>
      <c r="T1546" s="35">
        <f>INDEX(T$80:T$93,$D1546)/$E1546</f>
        <v/>
      </c>
      <c r="U1546" s="35">
        <f>INDEX(U$80:U$93,$D1546)/$E1546</f>
        <v/>
      </c>
      <c r="V1546" s="35">
        <f>INDEX(V$80:V$93,$D1546)/$E1546</f>
        <v/>
      </c>
      <c r="W1546" s="35">
        <f>INDEX(W$80:W$93,$D1546)/$E1546</f>
        <v/>
      </c>
      <c r="X1546" s="35">
        <f>INDEX(X$80:X$93,$D1546)/$E1546</f>
        <v/>
      </c>
      <c r="Y1546" s="35">
        <f>INDEX(Y$80:Y$93,$D1546)/$E1546</f>
        <v/>
      </c>
      <c r="Z1546" s="35">
        <f>INDEX(Z$80:Z$93,$D1546)/$E1546</f>
        <v/>
      </c>
      <c r="AA1546" s="35">
        <f>INDEX(AA$80:AA$93,$D1546)/$E1546</f>
        <v/>
      </c>
      <c r="AB1546" s="35">
        <f>INDEX(AB$80:AB$93,$D1546)/$E1546</f>
        <v/>
      </c>
      <c r="AC1546" s="35">
        <f>INDEX(AC$80:AC$93,$D1546)/$E1546</f>
        <v/>
      </c>
      <c r="AD1546" s="35">
        <f>INDEX(AD$80:AD$93,$D1546)/$E1546</f>
        <v/>
      </c>
      <c r="AE1546" s="42">
        <f>NEWEXCISE(INDEX(AE$80:AE$93,$D1546),$E1546)</f>
        <v/>
      </c>
      <c r="AG1546" s="11">
        <f>CodePrefix&amp;$A1546&amp;IF($C1546="","","."&amp;$C1546&amp;"."&amp;$B1546)&amp;INDEX(VarEnd,MATCH($A1546,VarKey,0))&amp;AG$5</f>
        <v/>
      </c>
      <c r="AH1546" s="40">
        <f>INDEX(AH$80:AH$93,$D1546)/$E1546</f>
        <v/>
      </c>
      <c r="AI1546" s="35">
        <f>INDEX(AI$80:AI$93,$D1546)/$E1546</f>
        <v/>
      </c>
      <c r="AJ1546" s="35">
        <f>INDEX(AJ$80:AJ$93,$D1546)/$E1546</f>
        <v/>
      </c>
      <c r="AK1546" s="35">
        <f>INDEX(AK$80:AK$93,$D1546)/$E1546</f>
        <v/>
      </c>
      <c r="AL1546" s="35">
        <f>INDEX(AL$80:AL$93,$D1546)/$E1546</f>
        <v/>
      </c>
      <c r="AM1546" s="35">
        <f>INDEX(AM$80:AM$93,$D1546)/$E1546</f>
        <v/>
      </c>
      <c r="AN1546" s="35">
        <f>INDEX(AN$80:AN$93,$D1546)/$E1546</f>
        <v/>
      </c>
      <c r="AO1546" s="35">
        <f>INDEX(AO$80:AO$93,$D1546)/$E1546</f>
        <v/>
      </c>
      <c r="AP1546" s="35">
        <f>INDEX(AP$80:AP$93,$D1546)/$E1546</f>
        <v/>
      </c>
      <c r="AQ1546" s="35">
        <f>INDEX(AQ$80:AQ$93,$D1546)/$E1546</f>
        <v/>
      </c>
      <c r="AR1546" s="35">
        <f>INDEX(AR$80:AR$93,$D1546)/$E1546</f>
        <v/>
      </c>
      <c r="AS1546" s="35">
        <f>INDEX(AS$80:AS$93,$D1546)/$E1546</f>
        <v/>
      </c>
      <c r="AT1546" s="35">
        <f>INDEX(AT$80:AT$93,$D1546)/$E1546</f>
        <v/>
      </c>
      <c r="AU1546" s="35">
        <f>INDEX(AU$80:AU$93,$D1546)/$E1546</f>
        <v/>
      </c>
      <c r="AV1546" s="35">
        <f>INDEX(AV$80:AV$93,$D1546)/$E1546</f>
        <v/>
      </c>
      <c r="AW1546" s="35">
        <f>INDEX(AW$80:AW$93,$D1546)/$E1546</f>
        <v/>
      </c>
      <c r="AX1546" s="35">
        <f>INDEX(AX$80:AX$93,$D1546)/$E1546</f>
        <v/>
      </c>
      <c r="AY1546" s="35">
        <f>INDEX(AY$80:AY$93,$D1546)/$E1546</f>
        <v/>
      </c>
      <c r="AZ1546" s="35">
        <f>INDEX(AZ$80:AZ$93,$D1546)/$E1546</f>
        <v/>
      </c>
      <c r="BA1546" s="42">
        <f>NEWEXCISE(INDEX(BA$80:BA$93,$D1546),$E1546)</f>
        <v/>
      </c>
    </row>
    <row r="1547" hidden="1" outlineLevel="2">
      <c r="A1547" s="14" t="inlineStr">
        <is>
          <t>ntx</t>
        </is>
      </c>
      <c r="B1547" s="14" t="inlineStr">
        <is>
          <t>bio</t>
        </is>
      </c>
      <c r="C1547" s="14" t="inlineStr">
        <is>
          <t>res</t>
        </is>
      </c>
      <c r="D1547" s="35">
        <f>INDEX(Inputs!$N$5:$N$132,MATCH($B1547&amp;"|"&amp;$C1547,Inputs!$A$5:$A$132,0))</f>
        <v/>
      </c>
      <c r="E1547" s="35">
        <f>INDEX(Inputs!$K$5:$K$132,MATCH($B1547&amp;"|"&amp;$C1547,Inputs!$A$5:$A$132,0))</f>
        <v/>
      </c>
      <c r="F1547" s="39" t="n"/>
      <c r="G1547" s="39" t="n"/>
      <c r="H1547" s="14">
        <f>INDEX(VarLab,MATCH($A1547,VarKey,0))&amp;INDEX(MemLab,MATCH($C1547&amp;"|"&amp;$B1547,MemKey,0))</f>
        <v/>
      </c>
      <c r="I1547" s="14">
        <f>INDEX(VarUnit,MATCH($A1547,VarKey,0))</f>
        <v/>
      </c>
      <c r="J1547" s="14">
        <f>INDEX(VarSrc,MATCH($A1547,VarKey,0))</f>
        <v/>
      </c>
      <c r="K1547" s="11">
        <f>CodePrefix&amp;$A1547&amp;IF($C1547="","","."&amp;$C1547&amp;"."&amp;$B1547)&amp;INDEX(VarEnd,MATCH($A1547,VarKey,0))&amp;K$5</f>
        <v/>
      </c>
      <c r="L1547" s="40">
        <f>INDEX(L$80:L$93,$D1547)/$E1547</f>
        <v/>
      </c>
      <c r="M1547" s="35">
        <f>INDEX(M$80:M$93,$D1547)/$E1547</f>
        <v/>
      </c>
      <c r="N1547" s="35">
        <f>INDEX(N$80:N$93,$D1547)/$E1547</f>
        <v/>
      </c>
      <c r="O1547" s="35">
        <f>INDEX(O$80:O$93,$D1547)/$E1547</f>
        <v/>
      </c>
      <c r="P1547" s="35">
        <f>INDEX(P$80:P$93,$D1547)/$E1547</f>
        <v/>
      </c>
      <c r="Q1547" s="35">
        <f>INDEX(Q$80:Q$93,$D1547)/$E1547</f>
        <v/>
      </c>
      <c r="R1547" s="35">
        <f>INDEX(R$80:R$93,$D1547)/$E1547</f>
        <v/>
      </c>
      <c r="S1547" s="35">
        <f>INDEX(S$80:S$93,$D1547)/$E1547</f>
        <v/>
      </c>
      <c r="T1547" s="35">
        <f>INDEX(T$80:T$93,$D1547)/$E1547</f>
        <v/>
      </c>
      <c r="U1547" s="35">
        <f>INDEX(U$80:U$93,$D1547)/$E1547</f>
        <v/>
      </c>
      <c r="V1547" s="35">
        <f>INDEX(V$80:V$93,$D1547)/$E1547</f>
        <v/>
      </c>
      <c r="W1547" s="35">
        <f>INDEX(W$80:W$93,$D1547)/$E1547</f>
        <v/>
      </c>
      <c r="X1547" s="35">
        <f>INDEX(X$80:X$93,$D1547)/$E1547</f>
        <v/>
      </c>
      <c r="Y1547" s="35">
        <f>INDEX(Y$80:Y$93,$D1547)/$E1547</f>
        <v/>
      </c>
      <c r="Z1547" s="35">
        <f>INDEX(Z$80:Z$93,$D1547)/$E1547</f>
        <v/>
      </c>
      <c r="AA1547" s="35">
        <f>INDEX(AA$80:AA$93,$D1547)/$E1547</f>
        <v/>
      </c>
      <c r="AB1547" s="35">
        <f>INDEX(AB$80:AB$93,$D1547)/$E1547</f>
        <v/>
      </c>
      <c r="AC1547" s="35">
        <f>INDEX(AC$80:AC$93,$D1547)/$E1547</f>
        <v/>
      </c>
      <c r="AD1547" s="35">
        <f>INDEX(AD$80:AD$93,$D1547)/$E1547</f>
        <v/>
      </c>
      <c r="AE1547" s="42">
        <f>NEWEXCISE(INDEX(AE$80:AE$93,$D1547),$E1547)</f>
        <v/>
      </c>
      <c r="AG1547" s="11">
        <f>CodePrefix&amp;$A1547&amp;IF($C1547="","","."&amp;$C1547&amp;"."&amp;$B1547)&amp;INDEX(VarEnd,MATCH($A1547,VarKey,0))&amp;AG$5</f>
        <v/>
      </c>
      <c r="AH1547" s="40">
        <f>INDEX(AH$80:AH$93,$D1547)/$E1547</f>
        <v/>
      </c>
      <c r="AI1547" s="35">
        <f>INDEX(AI$80:AI$93,$D1547)/$E1547</f>
        <v/>
      </c>
      <c r="AJ1547" s="35">
        <f>INDEX(AJ$80:AJ$93,$D1547)/$E1547</f>
        <v/>
      </c>
      <c r="AK1547" s="35">
        <f>INDEX(AK$80:AK$93,$D1547)/$E1547</f>
        <v/>
      </c>
      <c r="AL1547" s="35">
        <f>INDEX(AL$80:AL$93,$D1547)/$E1547</f>
        <v/>
      </c>
      <c r="AM1547" s="35">
        <f>INDEX(AM$80:AM$93,$D1547)/$E1547</f>
        <v/>
      </c>
      <c r="AN1547" s="35">
        <f>INDEX(AN$80:AN$93,$D1547)/$E1547</f>
        <v/>
      </c>
      <c r="AO1547" s="35">
        <f>INDEX(AO$80:AO$93,$D1547)/$E1547</f>
        <v/>
      </c>
      <c r="AP1547" s="35">
        <f>INDEX(AP$80:AP$93,$D1547)/$E1547</f>
        <v/>
      </c>
      <c r="AQ1547" s="35">
        <f>INDEX(AQ$80:AQ$93,$D1547)/$E1547</f>
        <v/>
      </c>
      <c r="AR1547" s="35">
        <f>INDEX(AR$80:AR$93,$D1547)/$E1547</f>
        <v/>
      </c>
      <c r="AS1547" s="35">
        <f>INDEX(AS$80:AS$93,$D1547)/$E1547</f>
        <v/>
      </c>
      <c r="AT1547" s="35">
        <f>INDEX(AT$80:AT$93,$D1547)/$E1547</f>
        <v/>
      </c>
      <c r="AU1547" s="35">
        <f>INDEX(AU$80:AU$93,$D1547)/$E1547</f>
        <v/>
      </c>
      <c r="AV1547" s="35">
        <f>INDEX(AV$80:AV$93,$D1547)/$E1547</f>
        <v/>
      </c>
      <c r="AW1547" s="35">
        <f>INDEX(AW$80:AW$93,$D1547)/$E1547</f>
        <v/>
      </c>
      <c r="AX1547" s="35">
        <f>INDEX(AX$80:AX$93,$D1547)/$E1547</f>
        <v/>
      </c>
      <c r="AY1547" s="35">
        <f>INDEX(AY$80:AY$93,$D1547)/$E1547</f>
        <v/>
      </c>
      <c r="AZ1547" s="35">
        <f>INDEX(AZ$80:AZ$93,$D1547)/$E1547</f>
        <v/>
      </c>
      <c r="BA1547" s="42">
        <f>NEWEXCISE(INDEX(BA$80:BA$93,$D1547),$E1547)</f>
        <v/>
      </c>
    </row>
    <row r="1548" hidden="1" outlineLevel="2"/>
    <row r="1549" hidden="1" outlineLevel="2">
      <c r="A1549" s="14" t="inlineStr">
        <is>
          <t>nce</t>
        </is>
      </c>
      <c r="B1549" s="14" t="inlineStr">
        <is>
          <t>coa</t>
        </is>
      </c>
      <c r="C1549" s="14" t="inlineStr">
        <is>
          <t>res</t>
        </is>
      </c>
      <c r="D1549" s="39" t="n"/>
      <c r="E1549" s="39" t="n"/>
      <c r="F1549" s="39" t="n"/>
      <c r="G1549" s="39" t="n"/>
      <c r="H1549" s="14">
        <f>INDEX(VarLab,MATCH($A1549,VarKey,0))&amp;INDEX(MemLab,MATCH($C1549&amp;"|"&amp;$B1549,MemKey,0))</f>
        <v/>
      </c>
      <c r="I1549" s="14">
        <f>INDEX(VarUnit,MATCH($A1549,VarKey,0))</f>
        <v/>
      </c>
      <c r="J1549" s="14">
        <f>INDEX(VarSrc,MATCH($A1549,VarKey,0))</f>
        <v/>
      </c>
      <c r="K1549" s="11">
        <f>CodePrefix&amp;$A1549&amp;IF($C1549="","","."&amp;$C1549&amp;"."&amp;$B1549)&amp;INDEX(VarEnd,MATCH($A1549,VarKey,0))&amp;K$5</f>
        <v/>
      </c>
      <c r="L1549" s="40">
        <f>L1522+L1531+L1540</f>
        <v/>
      </c>
      <c r="M1549" s="35">
        <f>M1522+M1531+M1540</f>
        <v/>
      </c>
      <c r="N1549" s="35">
        <f>N1522+N1531+N1540</f>
        <v/>
      </c>
      <c r="O1549" s="35">
        <f>O1522+O1531+O1540</f>
        <v/>
      </c>
      <c r="P1549" s="35">
        <f>P1522+P1531+P1540</f>
        <v/>
      </c>
      <c r="Q1549" s="35">
        <f>Q1522+Q1531+Q1540</f>
        <v/>
      </c>
      <c r="R1549" s="35">
        <f>R1522+R1531+R1540</f>
        <v/>
      </c>
      <c r="S1549" s="35">
        <f>S1522+S1531+S1540</f>
        <v/>
      </c>
      <c r="T1549" s="35">
        <f>T1522+T1531+T1540</f>
        <v/>
      </c>
      <c r="U1549" s="35">
        <f>U1522+U1531+U1540</f>
        <v/>
      </c>
      <c r="V1549" s="35">
        <f>V1522+V1531+V1540</f>
        <v/>
      </c>
      <c r="W1549" s="35">
        <f>W1522+W1531+W1540</f>
        <v/>
      </c>
      <c r="X1549" s="35">
        <f>X1522+X1531+X1540</f>
        <v/>
      </c>
      <c r="Y1549" s="35">
        <f>Y1522+Y1531+Y1540</f>
        <v/>
      </c>
      <c r="Z1549" s="35">
        <f>Z1522+Z1531+Z1540</f>
        <v/>
      </c>
      <c r="AA1549" s="35">
        <f>AA1522+AA1531+AA1540</f>
        <v/>
      </c>
      <c r="AB1549" s="35">
        <f>AB1522+AB1531+AB1540</f>
        <v/>
      </c>
      <c r="AC1549" s="35">
        <f>AC1522+AC1531+AC1540</f>
        <v/>
      </c>
      <c r="AD1549" s="35">
        <f>AD1522+AD1531+AD1540</f>
        <v/>
      </c>
      <c r="AE1549" s="42">
        <f>NEWPOLICY(AE1522,AE1531,AE1540)</f>
        <v/>
      </c>
      <c r="AG1549" s="11">
        <f>CodePrefix&amp;$A1549&amp;IF($C1549="","","."&amp;$C1549&amp;"."&amp;$B1549)&amp;INDEX(VarEnd,MATCH($A1549,VarKey,0))&amp;AG$5</f>
        <v/>
      </c>
      <c r="AH1549" s="40">
        <f>AH1522+AH1531+AH1540</f>
        <v/>
      </c>
      <c r="AI1549" s="35">
        <f>AI1522+AI1531+AI1540</f>
        <v/>
      </c>
      <c r="AJ1549" s="35">
        <f>AJ1522+AJ1531+AJ1540</f>
        <v/>
      </c>
      <c r="AK1549" s="35">
        <f>AK1522+AK1531+AK1540</f>
        <v/>
      </c>
      <c r="AL1549" s="35">
        <f>AL1522+AL1531+AL1540</f>
        <v/>
      </c>
      <c r="AM1549" s="35">
        <f>AM1522+AM1531+AM1540</f>
        <v/>
      </c>
      <c r="AN1549" s="35">
        <f>AN1522+AN1531+AN1540</f>
        <v/>
      </c>
      <c r="AO1549" s="35">
        <f>AO1522+AO1531+AO1540</f>
        <v/>
      </c>
      <c r="AP1549" s="35">
        <f>AP1522+AP1531+AP1540</f>
        <v/>
      </c>
      <c r="AQ1549" s="35">
        <f>AQ1522+AQ1531+AQ1540</f>
        <v/>
      </c>
      <c r="AR1549" s="35">
        <f>AR1522+AR1531+AR1540</f>
        <v/>
      </c>
      <c r="AS1549" s="35">
        <f>AS1522+AS1531+AS1540</f>
        <v/>
      </c>
      <c r="AT1549" s="35">
        <f>AT1522+AT1531+AT1540</f>
        <v/>
      </c>
      <c r="AU1549" s="35">
        <f>AU1522+AU1531+AU1540</f>
        <v/>
      </c>
      <c r="AV1549" s="35">
        <f>AV1522+AV1531+AV1540</f>
        <v/>
      </c>
      <c r="AW1549" s="35">
        <f>AW1522+AW1531+AW1540</f>
        <v/>
      </c>
      <c r="AX1549" s="35">
        <f>AX1522+AX1531+AX1540</f>
        <v/>
      </c>
      <c r="AY1549" s="35">
        <f>AY1522+AY1531+AY1540</f>
        <v/>
      </c>
      <c r="AZ1549" s="35">
        <f>AZ1522+AZ1531+AZ1540</f>
        <v/>
      </c>
      <c r="BA1549" s="42">
        <f>NEWPOLICY(BA1522,BA1531,BA1540)</f>
        <v/>
      </c>
    </row>
    <row r="1550" hidden="1" outlineLevel="2">
      <c r="A1550" s="14" t="inlineStr">
        <is>
          <t>nce</t>
        </is>
      </c>
      <c r="B1550" s="14" t="inlineStr">
        <is>
          <t>nga</t>
        </is>
      </c>
      <c r="C1550" s="14" t="inlineStr">
        <is>
          <t>res</t>
        </is>
      </c>
      <c r="D1550" s="39" t="n"/>
      <c r="E1550" s="39" t="n"/>
      <c r="F1550" s="39" t="n"/>
      <c r="G1550" s="39" t="n"/>
      <c r="H1550" s="14">
        <f>INDEX(VarLab,MATCH($A1550,VarKey,0))&amp;INDEX(MemLab,MATCH($C1550&amp;"|"&amp;$B1550,MemKey,0))</f>
        <v/>
      </c>
      <c r="I1550" s="14">
        <f>INDEX(VarUnit,MATCH($A1550,VarKey,0))</f>
        <v/>
      </c>
      <c r="J1550" s="14">
        <f>INDEX(VarSrc,MATCH($A1550,VarKey,0))</f>
        <v/>
      </c>
      <c r="K1550" s="11">
        <f>CodePrefix&amp;$A1550&amp;IF($C1550="","","."&amp;$C1550&amp;"."&amp;$B1550)&amp;INDEX(VarEnd,MATCH($A1550,VarKey,0))&amp;K$5</f>
        <v/>
      </c>
      <c r="L1550" s="40">
        <f>L1523+L1532+L1541</f>
        <v/>
      </c>
      <c r="M1550" s="35">
        <f>M1523+M1532+M1541</f>
        <v/>
      </c>
      <c r="N1550" s="35">
        <f>N1523+N1532+N1541</f>
        <v/>
      </c>
      <c r="O1550" s="35">
        <f>O1523+O1532+O1541</f>
        <v/>
      </c>
      <c r="P1550" s="35">
        <f>P1523+P1532+P1541</f>
        <v/>
      </c>
      <c r="Q1550" s="35">
        <f>Q1523+Q1532+Q1541</f>
        <v/>
      </c>
      <c r="R1550" s="35">
        <f>R1523+R1532+R1541</f>
        <v/>
      </c>
      <c r="S1550" s="35">
        <f>S1523+S1532+S1541</f>
        <v/>
      </c>
      <c r="T1550" s="35">
        <f>T1523+T1532+T1541</f>
        <v/>
      </c>
      <c r="U1550" s="35">
        <f>U1523+U1532+U1541</f>
        <v/>
      </c>
      <c r="V1550" s="35">
        <f>V1523+V1532+V1541</f>
        <v/>
      </c>
      <c r="W1550" s="35">
        <f>W1523+W1532+W1541</f>
        <v/>
      </c>
      <c r="X1550" s="35">
        <f>X1523+X1532+X1541</f>
        <v/>
      </c>
      <c r="Y1550" s="35">
        <f>Y1523+Y1532+Y1541</f>
        <v/>
      </c>
      <c r="Z1550" s="35">
        <f>Z1523+Z1532+Z1541</f>
        <v/>
      </c>
      <c r="AA1550" s="35">
        <f>AA1523+AA1532+AA1541</f>
        <v/>
      </c>
      <c r="AB1550" s="35">
        <f>AB1523+AB1532+AB1541</f>
        <v/>
      </c>
      <c r="AC1550" s="35">
        <f>AC1523+AC1532+AC1541</f>
        <v/>
      </c>
      <c r="AD1550" s="35">
        <f>AD1523+AD1532+AD1541</f>
        <v/>
      </c>
      <c r="AE1550" s="42">
        <f>NEWPOLICY(AE1523,AE1532,AE1541)</f>
        <v/>
      </c>
      <c r="AG1550" s="11">
        <f>CodePrefix&amp;$A1550&amp;IF($C1550="","","."&amp;$C1550&amp;"."&amp;$B1550)&amp;INDEX(VarEnd,MATCH($A1550,VarKey,0))&amp;AG$5</f>
        <v/>
      </c>
      <c r="AH1550" s="40">
        <f>AH1523+AH1532+AH1541</f>
        <v/>
      </c>
      <c r="AI1550" s="35">
        <f>AI1523+AI1532+AI1541</f>
        <v/>
      </c>
      <c r="AJ1550" s="35">
        <f>AJ1523+AJ1532+AJ1541</f>
        <v/>
      </c>
      <c r="AK1550" s="35">
        <f>AK1523+AK1532+AK1541</f>
        <v/>
      </c>
      <c r="AL1550" s="35">
        <f>AL1523+AL1532+AL1541</f>
        <v/>
      </c>
      <c r="AM1550" s="35">
        <f>AM1523+AM1532+AM1541</f>
        <v/>
      </c>
      <c r="AN1550" s="35">
        <f>AN1523+AN1532+AN1541</f>
        <v/>
      </c>
      <c r="AO1550" s="35">
        <f>AO1523+AO1532+AO1541</f>
        <v/>
      </c>
      <c r="AP1550" s="35">
        <f>AP1523+AP1532+AP1541</f>
        <v/>
      </c>
      <c r="AQ1550" s="35">
        <f>AQ1523+AQ1532+AQ1541</f>
        <v/>
      </c>
      <c r="AR1550" s="35">
        <f>AR1523+AR1532+AR1541</f>
        <v/>
      </c>
      <c r="AS1550" s="35">
        <f>AS1523+AS1532+AS1541</f>
        <v/>
      </c>
      <c r="AT1550" s="35">
        <f>AT1523+AT1532+AT1541</f>
        <v/>
      </c>
      <c r="AU1550" s="35">
        <f>AU1523+AU1532+AU1541</f>
        <v/>
      </c>
      <c r="AV1550" s="35">
        <f>AV1523+AV1532+AV1541</f>
        <v/>
      </c>
      <c r="AW1550" s="35">
        <f>AW1523+AW1532+AW1541</f>
        <v/>
      </c>
      <c r="AX1550" s="35">
        <f>AX1523+AX1532+AX1541</f>
        <v/>
      </c>
      <c r="AY1550" s="35">
        <f>AY1523+AY1532+AY1541</f>
        <v/>
      </c>
      <c r="AZ1550" s="35">
        <f>AZ1523+AZ1532+AZ1541</f>
        <v/>
      </c>
      <c r="BA1550" s="42">
        <f>NEWPOLICY(BA1523,BA1532,BA1541)</f>
        <v/>
      </c>
    </row>
    <row r="1551" hidden="1" outlineLevel="2">
      <c r="A1551" s="14" t="inlineStr">
        <is>
          <t>nce</t>
        </is>
      </c>
      <c r="B1551" s="14" t="inlineStr">
        <is>
          <t>gso</t>
        </is>
      </c>
      <c r="C1551" s="14" t="inlineStr">
        <is>
          <t>res</t>
        </is>
      </c>
      <c r="D1551" s="39" t="n"/>
      <c r="E1551" s="39" t="n"/>
      <c r="F1551" s="39" t="n"/>
      <c r="G1551" s="39" t="n"/>
      <c r="H1551" s="14">
        <f>INDEX(VarLab,MATCH($A1551,VarKey,0))&amp;INDEX(MemLab,MATCH($C1551&amp;"|"&amp;$B1551,MemKey,0))</f>
        <v/>
      </c>
      <c r="I1551" s="14">
        <f>INDEX(VarUnit,MATCH($A1551,VarKey,0))</f>
        <v/>
      </c>
      <c r="J1551" s="14">
        <f>INDEX(VarSrc,MATCH($A1551,VarKey,0))</f>
        <v/>
      </c>
      <c r="K1551" s="11">
        <f>CodePrefix&amp;$A1551&amp;IF($C1551="","","."&amp;$C1551&amp;"."&amp;$B1551)&amp;INDEX(VarEnd,MATCH($A1551,VarKey,0))&amp;K$5</f>
        <v/>
      </c>
      <c r="L1551" s="40">
        <f>L1524+L1533+L1542</f>
        <v/>
      </c>
      <c r="M1551" s="35">
        <f>M1524+M1533+M1542</f>
        <v/>
      </c>
      <c r="N1551" s="35">
        <f>N1524+N1533+N1542</f>
        <v/>
      </c>
      <c r="O1551" s="35">
        <f>O1524+O1533+O1542</f>
        <v/>
      </c>
      <c r="P1551" s="35">
        <f>P1524+P1533+P1542</f>
        <v/>
      </c>
      <c r="Q1551" s="35">
        <f>Q1524+Q1533+Q1542</f>
        <v/>
      </c>
      <c r="R1551" s="35">
        <f>R1524+R1533+R1542</f>
        <v/>
      </c>
      <c r="S1551" s="35">
        <f>S1524+S1533+S1542</f>
        <v/>
      </c>
      <c r="T1551" s="35">
        <f>T1524+T1533+T1542</f>
        <v/>
      </c>
      <c r="U1551" s="35">
        <f>U1524+U1533+U1542</f>
        <v/>
      </c>
      <c r="V1551" s="35">
        <f>V1524+V1533+V1542</f>
        <v/>
      </c>
      <c r="W1551" s="35">
        <f>W1524+W1533+W1542</f>
        <v/>
      </c>
      <c r="X1551" s="35">
        <f>X1524+X1533+X1542</f>
        <v/>
      </c>
      <c r="Y1551" s="35">
        <f>Y1524+Y1533+Y1542</f>
        <v/>
      </c>
      <c r="Z1551" s="35">
        <f>Z1524+Z1533+Z1542</f>
        <v/>
      </c>
      <c r="AA1551" s="35">
        <f>AA1524+AA1533+AA1542</f>
        <v/>
      </c>
      <c r="AB1551" s="35">
        <f>AB1524+AB1533+AB1542</f>
        <v/>
      </c>
      <c r="AC1551" s="35">
        <f>AC1524+AC1533+AC1542</f>
        <v/>
      </c>
      <c r="AD1551" s="35">
        <f>AD1524+AD1533+AD1542</f>
        <v/>
      </c>
      <c r="AE1551" s="42">
        <f>NEWPOLICY(AE1524,AE1533,AE1542)</f>
        <v/>
      </c>
      <c r="AG1551" s="11">
        <f>CodePrefix&amp;$A1551&amp;IF($C1551="","","."&amp;$C1551&amp;"."&amp;$B1551)&amp;INDEX(VarEnd,MATCH($A1551,VarKey,0))&amp;AG$5</f>
        <v/>
      </c>
      <c r="AH1551" s="40">
        <f>AH1524+AH1533+AH1542</f>
        <v/>
      </c>
      <c r="AI1551" s="35">
        <f>AI1524+AI1533+AI1542</f>
        <v/>
      </c>
      <c r="AJ1551" s="35">
        <f>AJ1524+AJ1533+AJ1542</f>
        <v/>
      </c>
      <c r="AK1551" s="35">
        <f>AK1524+AK1533+AK1542</f>
        <v/>
      </c>
      <c r="AL1551" s="35">
        <f>AL1524+AL1533+AL1542</f>
        <v/>
      </c>
      <c r="AM1551" s="35">
        <f>AM1524+AM1533+AM1542</f>
        <v/>
      </c>
      <c r="AN1551" s="35">
        <f>AN1524+AN1533+AN1542</f>
        <v/>
      </c>
      <c r="AO1551" s="35">
        <f>AO1524+AO1533+AO1542</f>
        <v/>
      </c>
      <c r="AP1551" s="35">
        <f>AP1524+AP1533+AP1542</f>
        <v/>
      </c>
      <c r="AQ1551" s="35">
        <f>AQ1524+AQ1533+AQ1542</f>
        <v/>
      </c>
      <c r="AR1551" s="35">
        <f>AR1524+AR1533+AR1542</f>
        <v/>
      </c>
      <c r="AS1551" s="35">
        <f>AS1524+AS1533+AS1542</f>
        <v/>
      </c>
      <c r="AT1551" s="35">
        <f>AT1524+AT1533+AT1542</f>
        <v/>
      </c>
      <c r="AU1551" s="35">
        <f>AU1524+AU1533+AU1542</f>
        <v/>
      </c>
      <c r="AV1551" s="35">
        <f>AV1524+AV1533+AV1542</f>
        <v/>
      </c>
      <c r="AW1551" s="35">
        <f>AW1524+AW1533+AW1542</f>
        <v/>
      </c>
      <c r="AX1551" s="35">
        <f>AX1524+AX1533+AX1542</f>
        <v/>
      </c>
      <c r="AY1551" s="35">
        <f>AY1524+AY1533+AY1542</f>
        <v/>
      </c>
      <c r="AZ1551" s="35">
        <f>AZ1524+AZ1533+AZ1542</f>
        <v/>
      </c>
      <c r="BA1551" s="42">
        <f>NEWPOLICY(BA1524,BA1533,BA1542)</f>
        <v/>
      </c>
    </row>
    <row r="1552" hidden="1" outlineLevel="2">
      <c r="A1552" s="14" t="inlineStr">
        <is>
          <t>nce</t>
        </is>
      </c>
      <c r="B1552" s="14" t="inlineStr">
        <is>
          <t>die</t>
        </is>
      </c>
      <c r="C1552" s="14" t="inlineStr">
        <is>
          <t>res</t>
        </is>
      </c>
      <c r="D1552" s="39" t="n"/>
      <c r="E1552" s="39" t="n"/>
      <c r="F1552" s="39" t="n"/>
      <c r="G1552" s="39" t="n"/>
      <c r="H1552" s="14">
        <f>INDEX(VarLab,MATCH($A1552,VarKey,0))&amp;INDEX(MemLab,MATCH($C1552&amp;"|"&amp;$B1552,MemKey,0))</f>
        <v/>
      </c>
      <c r="I1552" s="14">
        <f>INDEX(VarUnit,MATCH($A1552,VarKey,0))</f>
        <v/>
      </c>
      <c r="J1552" s="14">
        <f>INDEX(VarSrc,MATCH($A1552,VarKey,0))</f>
        <v/>
      </c>
      <c r="K1552" s="11">
        <f>CodePrefix&amp;$A1552&amp;IF($C1552="","","."&amp;$C1552&amp;"."&amp;$B1552)&amp;INDEX(VarEnd,MATCH($A1552,VarKey,0))&amp;K$5</f>
        <v/>
      </c>
      <c r="L1552" s="40">
        <f>L1525+L1534+L1543</f>
        <v/>
      </c>
      <c r="M1552" s="35">
        <f>M1525+M1534+M1543</f>
        <v/>
      </c>
      <c r="N1552" s="35">
        <f>N1525+N1534+N1543</f>
        <v/>
      </c>
      <c r="O1552" s="35">
        <f>O1525+O1534+O1543</f>
        <v/>
      </c>
      <c r="P1552" s="35">
        <f>P1525+P1534+P1543</f>
        <v/>
      </c>
      <c r="Q1552" s="35">
        <f>Q1525+Q1534+Q1543</f>
        <v/>
      </c>
      <c r="R1552" s="35">
        <f>R1525+R1534+R1543</f>
        <v/>
      </c>
      <c r="S1552" s="35">
        <f>S1525+S1534+S1543</f>
        <v/>
      </c>
      <c r="T1552" s="35">
        <f>T1525+T1534+T1543</f>
        <v/>
      </c>
      <c r="U1552" s="35">
        <f>U1525+U1534+U1543</f>
        <v/>
      </c>
      <c r="V1552" s="35">
        <f>V1525+V1534+V1543</f>
        <v/>
      </c>
      <c r="W1552" s="35">
        <f>W1525+W1534+W1543</f>
        <v/>
      </c>
      <c r="X1552" s="35">
        <f>X1525+X1534+X1543</f>
        <v/>
      </c>
      <c r="Y1552" s="35">
        <f>Y1525+Y1534+Y1543</f>
        <v/>
      </c>
      <c r="Z1552" s="35">
        <f>Z1525+Z1534+Z1543</f>
        <v/>
      </c>
      <c r="AA1552" s="35">
        <f>AA1525+AA1534+AA1543</f>
        <v/>
      </c>
      <c r="AB1552" s="35">
        <f>AB1525+AB1534+AB1543</f>
        <v/>
      </c>
      <c r="AC1552" s="35">
        <f>AC1525+AC1534+AC1543</f>
        <v/>
      </c>
      <c r="AD1552" s="35">
        <f>AD1525+AD1534+AD1543</f>
        <v/>
      </c>
      <c r="AE1552" s="42">
        <f>NEWPOLICY(AE1525,AE1534,AE1543)</f>
        <v/>
      </c>
      <c r="AG1552" s="11">
        <f>CodePrefix&amp;$A1552&amp;IF($C1552="","","."&amp;$C1552&amp;"."&amp;$B1552)&amp;INDEX(VarEnd,MATCH($A1552,VarKey,0))&amp;AG$5</f>
        <v/>
      </c>
      <c r="AH1552" s="40">
        <f>AH1525+AH1534+AH1543</f>
        <v/>
      </c>
      <c r="AI1552" s="35">
        <f>AI1525+AI1534+AI1543</f>
        <v/>
      </c>
      <c r="AJ1552" s="35">
        <f>AJ1525+AJ1534+AJ1543</f>
        <v/>
      </c>
      <c r="AK1552" s="35">
        <f>AK1525+AK1534+AK1543</f>
        <v/>
      </c>
      <c r="AL1552" s="35">
        <f>AL1525+AL1534+AL1543</f>
        <v/>
      </c>
      <c r="AM1552" s="35">
        <f>AM1525+AM1534+AM1543</f>
        <v/>
      </c>
      <c r="AN1552" s="35">
        <f>AN1525+AN1534+AN1543</f>
        <v/>
      </c>
      <c r="AO1552" s="35">
        <f>AO1525+AO1534+AO1543</f>
        <v/>
      </c>
      <c r="AP1552" s="35">
        <f>AP1525+AP1534+AP1543</f>
        <v/>
      </c>
      <c r="AQ1552" s="35">
        <f>AQ1525+AQ1534+AQ1543</f>
        <v/>
      </c>
      <c r="AR1552" s="35">
        <f>AR1525+AR1534+AR1543</f>
        <v/>
      </c>
      <c r="AS1552" s="35">
        <f>AS1525+AS1534+AS1543</f>
        <v/>
      </c>
      <c r="AT1552" s="35">
        <f>AT1525+AT1534+AT1543</f>
        <v/>
      </c>
      <c r="AU1552" s="35">
        <f>AU1525+AU1534+AU1543</f>
        <v/>
      </c>
      <c r="AV1552" s="35">
        <f>AV1525+AV1534+AV1543</f>
        <v/>
      </c>
      <c r="AW1552" s="35">
        <f>AW1525+AW1534+AW1543</f>
        <v/>
      </c>
      <c r="AX1552" s="35">
        <f>AX1525+AX1534+AX1543</f>
        <v/>
      </c>
      <c r="AY1552" s="35">
        <f>AY1525+AY1534+AY1543</f>
        <v/>
      </c>
      <c r="AZ1552" s="35">
        <f>AZ1525+AZ1534+AZ1543</f>
        <v/>
      </c>
      <c r="BA1552" s="42">
        <f>NEWPOLICY(BA1525,BA1534,BA1543)</f>
        <v/>
      </c>
    </row>
    <row r="1553" hidden="1" outlineLevel="2">
      <c r="A1553" s="14" t="inlineStr">
        <is>
          <t>nce</t>
        </is>
      </c>
      <c r="B1553" s="14" t="inlineStr">
        <is>
          <t>lpg</t>
        </is>
      </c>
      <c r="C1553" s="14" t="inlineStr">
        <is>
          <t>res</t>
        </is>
      </c>
      <c r="D1553" s="39" t="n"/>
      <c r="E1553" s="39" t="n"/>
      <c r="F1553" s="39" t="n"/>
      <c r="G1553" s="39" t="n"/>
      <c r="H1553" s="14">
        <f>INDEX(VarLab,MATCH($A1553,VarKey,0))&amp;INDEX(MemLab,MATCH($C1553&amp;"|"&amp;$B1553,MemKey,0))</f>
        <v/>
      </c>
      <c r="I1553" s="14">
        <f>INDEX(VarUnit,MATCH($A1553,VarKey,0))</f>
        <v/>
      </c>
      <c r="J1553" s="14">
        <f>INDEX(VarSrc,MATCH($A1553,VarKey,0))</f>
        <v/>
      </c>
      <c r="K1553" s="11">
        <f>CodePrefix&amp;$A1553&amp;IF($C1553="","","."&amp;$C1553&amp;"."&amp;$B1553)&amp;INDEX(VarEnd,MATCH($A1553,VarKey,0))&amp;K$5</f>
        <v/>
      </c>
      <c r="L1553" s="40">
        <f>L1526+L1535+L1544</f>
        <v/>
      </c>
      <c r="M1553" s="35">
        <f>M1526+M1535+M1544</f>
        <v/>
      </c>
      <c r="N1553" s="35">
        <f>N1526+N1535+N1544</f>
        <v/>
      </c>
      <c r="O1553" s="35">
        <f>O1526+O1535+O1544</f>
        <v/>
      </c>
      <c r="P1553" s="35">
        <f>P1526+P1535+P1544</f>
        <v/>
      </c>
      <c r="Q1553" s="35">
        <f>Q1526+Q1535+Q1544</f>
        <v/>
      </c>
      <c r="R1553" s="35">
        <f>R1526+R1535+R1544</f>
        <v/>
      </c>
      <c r="S1553" s="35">
        <f>S1526+S1535+S1544</f>
        <v/>
      </c>
      <c r="T1553" s="35">
        <f>T1526+T1535+T1544</f>
        <v/>
      </c>
      <c r="U1553" s="35">
        <f>U1526+U1535+U1544</f>
        <v/>
      </c>
      <c r="V1553" s="35">
        <f>V1526+V1535+V1544</f>
        <v/>
      </c>
      <c r="W1553" s="35">
        <f>W1526+W1535+W1544</f>
        <v/>
      </c>
      <c r="X1553" s="35">
        <f>X1526+X1535+X1544</f>
        <v/>
      </c>
      <c r="Y1553" s="35">
        <f>Y1526+Y1535+Y1544</f>
        <v/>
      </c>
      <c r="Z1553" s="35">
        <f>Z1526+Z1535+Z1544</f>
        <v/>
      </c>
      <c r="AA1553" s="35">
        <f>AA1526+AA1535+AA1544</f>
        <v/>
      </c>
      <c r="AB1553" s="35">
        <f>AB1526+AB1535+AB1544</f>
        <v/>
      </c>
      <c r="AC1553" s="35">
        <f>AC1526+AC1535+AC1544</f>
        <v/>
      </c>
      <c r="AD1553" s="35">
        <f>AD1526+AD1535+AD1544</f>
        <v/>
      </c>
      <c r="AE1553" s="42">
        <f>NEWPOLICY(AE1526,AE1535,AE1544)</f>
        <v/>
      </c>
      <c r="AG1553" s="11">
        <f>CodePrefix&amp;$A1553&amp;IF($C1553="","","."&amp;$C1553&amp;"."&amp;$B1553)&amp;INDEX(VarEnd,MATCH($A1553,VarKey,0))&amp;AG$5</f>
        <v/>
      </c>
      <c r="AH1553" s="40">
        <f>AH1526+AH1535+AH1544</f>
        <v/>
      </c>
      <c r="AI1553" s="35">
        <f>AI1526+AI1535+AI1544</f>
        <v/>
      </c>
      <c r="AJ1553" s="35">
        <f>AJ1526+AJ1535+AJ1544</f>
        <v/>
      </c>
      <c r="AK1553" s="35">
        <f>AK1526+AK1535+AK1544</f>
        <v/>
      </c>
      <c r="AL1553" s="35">
        <f>AL1526+AL1535+AL1544</f>
        <v/>
      </c>
      <c r="AM1553" s="35">
        <f>AM1526+AM1535+AM1544</f>
        <v/>
      </c>
      <c r="AN1553" s="35">
        <f>AN1526+AN1535+AN1544</f>
        <v/>
      </c>
      <c r="AO1553" s="35">
        <f>AO1526+AO1535+AO1544</f>
        <v/>
      </c>
      <c r="AP1553" s="35">
        <f>AP1526+AP1535+AP1544</f>
        <v/>
      </c>
      <c r="AQ1553" s="35">
        <f>AQ1526+AQ1535+AQ1544</f>
        <v/>
      </c>
      <c r="AR1553" s="35">
        <f>AR1526+AR1535+AR1544</f>
        <v/>
      </c>
      <c r="AS1553" s="35">
        <f>AS1526+AS1535+AS1544</f>
        <v/>
      </c>
      <c r="AT1553" s="35">
        <f>AT1526+AT1535+AT1544</f>
        <v/>
      </c>
      <c r="AU1553" s="35">
        <f>AU1526+AU1535+AU1544</f>
        <v/>
      </c>
      <c r="AV1553" s="35">
        <f>AV1526+AV1535+AV1544</f>
        <v/>
      </c>
      <c r="AW1553" s="35">
        <f>AW1526+AW1535+AW1544</f>
        <v/>
      </c>
      <c r="AX1553" s="35">
        <f>AX1526+AX1535+AX1544</f>
        <v/>
      </c>
      <c r="AY1553" s="35">
        <f>AY1526+AY1535+AY1544</f>
        <v/>
      </c>
      <c r="AZ1553" s="35">
        <f>AZ1526+AZ1535+AZ1544</f>
        <v/>
      </c>
      <c r="BA1553" s="42">
        <f>NEWPOLICY(BA1526,BA1535,BA1544)</f>
        <v/>
      </c>
    </row>
    <row r="1554" hidden="1" outlineLevel="2">
      <c r="A1554" s="14" t="inlineStr">
        <is>
          <t>nce</t>
        </is>
      </c>
      <c r="B1554" s="14" t="inlineStr">
        <is>
          <t>ker</t>
        </is>
      </c>
      <c r="C1554" s="14" t="inlineStr">
        <is>
          <t>res</t>
        </is>
      </c>
      <c r="D1554" s="39" t="n"/>
      <c r="E1554" s="39" t="n"/>
      <c r="F1554" s="39" t="n"/>
      <c r="G1554" s="39" t="n"/>
      <c r="H1554" s="14">
        <f>INDEX(VarLab,MATCH($A1554,VarKey,0))&amp;INDEX(MemLab,MATCH($C1554&amp;"|"&amp;$B1554,MemKey,0))</f>
        <v/>
      </c>
      <c r="I1554" s="14">
        <f>INDEX(VarUnit,MATCH($A1554,VarKey,0))</f>
        <v/>
      </c>
      <c r="J1554" s="14">
        <f>INDEX(VarSrc,MATCH($A1554,VarKey,0))</f>
        <v/>
      </c>
      <c r="K1554" s="11">
        <f>CodePrefix&amp;$A1554&amp;IF($C1554="","","."&amp;$C1554&amp;"."&amp;$B1554)&amp;INDEX(VarEnd,MATCH($A1554,VarKey,0))&amp;K$5</f>
        <v/>
      </c>
      <c r="L1554" s="40">
        <f>L1527+L1536+L1545</f>
        <v/>
      </c>
      <c r="M1554" s="35">
        <f>M1527+M1536+M1545</f>
        <v/>
      </c>
      <c r="N1554" s="35">
        <f>N1527+N1536+N1545</f>
        <v/>
      </c>
      <c r="O1554" s="35">
        <f>O1527+O1536+O1545</f>
        <v/>
      </c>
      <c r="P1554" s="35">
        <f>P1527+P1536+P1545</f>
        <v/>
      </c>
      <c r="Q1554" s="35">
        <f>Q1527+Q1536+Q1545</f>
        <v/>
      </c>
      <c r="R1554" s="35">
        <f>R1527+R1536+R1545</f>
        <v/>
      </c>
      <c r="S1554" s="35">
        <f>S1527+S1536+S1545</f>
        <v/>
      </c>
      <c r="T1554" s="35">
        <f>T1527+T1536+T1545</f>
        <v/>
      </c>
      <c r="U1554" s="35">
        <f>U1527+U1536+U1545</f>
        <v/>
      </c>
      <c r="V1554" s="35">
        <f>V1527+V1536+V1545</f>
        <v/>
      </c>
      <c r="W1554" s="35">
        <f>W1527+W1536+W1545</f>
        <v/>
      </c>
      <c r="X1554" s="35">
        <f>X1527+X1536+X1545</f>
        <v/>
      </c>
      <c r="Y1554" s="35">
        <f>Y1527+Y1536+Y1545</f>
        <v/>
      </c>
      <c r="Z1554" s="35">
        <f>Z1527+Z1536+Z1545</f>
        <v/>
      </c>
      <c r="AA1554" s="35">
        <f>AA1527+AA1536+AA1545</f>
        <v/>
      </c>
      <c r="AB1554" s="35">
        <f>AB1527+AB1536+AB1545</f>
        <v/>
      </c>
      <c r="AC1554" s="35">
        <f>AC1527+AC1536+AC1545</f>
        <v/>
      </c>
      <c r="AD1554" s="35">
        <f>AD1527+AD1536+AD1545</f>
        <v/>
      </c>
      <c r="AE1554" s="42">
        <f>NEWPOLICY(AE1527,AE1536,AE1545)</f>
        <v/>
      </c>
      <c r="AG1554" s="11">
        <f>CodePrefix&amp;$A1554&amp;IF($C1554="","","."&amp;$C1554&amp;"."&amp;$B1554)&amp;INDEX(VarEnd,MATCH($A1554,VarKey,0))&amp;AG$5</f>
        <v/>
      </c>
      <c r="AH1554" s="40">
        <f>AH1527+AH1536+AH1545</f>
        <v/>
      </c>
      <c r="AI1554" s="35">
        <f>AI1527+AI1536+AI1545</f>
        <v/>
      </c>
      <c r="AJ1554" s="35">
        <f>AJ1527+AJ1536+AJ1545</f>
        <v/>
      </c>
      <c r="AK1554" s="35">
        <f>AK1527+AK1536+AK1545</f>
        <v/>
      </c>
      <c r="AL1554" s="35">
        <f>AL1527+AL1536+AL1545</f>
        <v/>
      </c>
      <c r="AM1554" s="35">
        <f>AM1527+AM1536+AM1545</f>
        <v/>
      </c>
      <c r="AN1554" s="35">
        <f>AN1527+AN1536+AN1545</f>
        <v/>
      </c>
      <c r="AO1554" s="35">
        <f>AO1527+AO1536+AO1545</f>
        <v/>
      </c>
      <c r="AP1554" s="35">
        <f>AP1527+AP1536+AP1545</f>
        <v/>
      </c>
      <c r="AQ1554" s="35">
        <f>AQ1527+AQ1536+AQ1545</f>
        <v/>
      </c>
      <c r="AR1554" s="35">
        <f>AR1527+AR1536+AR1545</f>
        <v/>
      </c>
      <c r="AS1554" s="35">
        <f>AS1527+AS1536+AS1545</f>
        <v/>
      </c>
      <c r="AT1554" s="35">
        <f>AT1527+AT1536+AT1545</f>
        <v/>
      </c>
      <c r="AU1554" s="35">
        <f>AU1527+AU1536+AU1545</f>
        <v/>
      </c>
      <c r="AV1554" s="35">
        <f>AV1527+AV1536+AV1545</f>
        <v/>
      </c>
      <c r="AW1554" s="35">
        <f>AW1527+AW1536+AW1545</f>
        <v/>
      </c>
      <c r="AX1554" s="35">
        <f>AX1527+AX1536+AX1545</f>
        <v/>
      </c>
      <c r="AY1554" s="35">
        <f>AY1527+AY1536+AY1545</f>
        <v/>
      </c>
      <c r="AZ1554" s="35">
        <f>AZ1527+AZ1536+AZ1545</f>
        <v/>
      </c>
      <c r="BA1554" s="42">
        <f>NEWPOLICY(BA1527,BA1536,BA1545)</f>
        <v/>
      </c>
    </row>
    <row r="1555" hidden="1" outlineLevel="2">
      <c r="A1555" s="14" t="inlineStr">
        <is>
          <t>nce</t>
        </is>
      </c>
      <c r="B1555" s="14" t="inlineStr">
        <is>
          <t>oop</t>
        </is>
      </c>
      <c r="C1555" s="14" t="inlineStr">
        <is>
          <t>res</t>
        </is>
      </c>
      <c r="D1555" s="39" t="n"/>
      <c r="E1555" s="39" t="n"/>
      <c r="F1555" s="39" t="n"/>
      <c r="G1555" s="39" t="n"/>
      <c r="H1555" s="14">
        <f>INDEX(VarLab,MATCH($A1555,VarKey,0))&amp;INDEX(MemLab,MATCH($C1555&amp;"|"&amp;$B1555,MemKey,0))</f>
        <v/>
      </c>
      <c r="I1555" s="14">
        <f>INDEX(VarUnit,MATCH($A1555,VarKey,0))</f>
        <v/>
      </c>
      <c r="J1555" s="14">
        <f>INDEX(VarSrc,MATCH($A1555,VarKey,0))</f>
        <v/>
      </c>
      <c r="K1555" s="11">
        <f>CodePrefix&amp;$A1555&amp;IF($C1555="","","."&amp;$C1555&amp;"."&amp;$B1555)&amp;INDEX(VarEnd,MATCH($A1555,VarKey,0))&amp;K$5</f>
        <v/>
      </c>
      <c r="L1555" s="40">
        <f>L1528+L1537+L1546</f>
        <v/>
      </c>
      <c r="M1555" s="35">
        <f>M1528+M1537+M1546</f>
        <v/>
      </c>
      <c r="N1555" s="35">
        <f>N1528+N1537+N1546</f>
        <v/>
      </c>
      <c r="O1555" s="35">
        <f>O1528+O1537+O1546</f>
        <v/>
      </c>
      <c r="P1555" s="35">
        <f>P1528+P1537+P1546</f>
        <v/>
      </c>
      <c r="Q1555" s="35">
        <f>Q1528+Q1537+Q1546</f>
        <v/>
      </c>
      <c r="R1555" s="35">
        <f>R1528+R1537+R1546</f>
        <v/>
      </c>
      <c r="S1555" s="35">
        <f>S1528+S1537+S1546</f>
        <v/>
      </c>
      <c r="T1555" s="35">
        <f>T1528+T1537+T1546</f>
        <v/>
      </c>
      <c r="U1555" s="35">
        <f>U1528+U1537+U1546</f>
        <v/>
      </c>
      <c r="V1555" s="35">
        <f>V1528+V1537+V1546</f>
        <v/>
      </c>
      <c r="W1555" s="35">
        <f>W1528+W1537+W1546</f>
        <v/>
      </c>
      <c r="X1555" s="35">
        <f>X1528+X1537+X1546</f>
        <v/>
      </c>
      <c r="Y1555" s="35">
        <f>Y1528+Y1537+Y1546</f>
        <v/>
      </c>
      <c r="Z1555" s="35">
        <f>Z1528+Z1537+Z1546</f>
        <v/>
      </c>
      <c r="AA1555" s="35">
        <f>AA1528+AA1537+AA1546</f>
        <v/>
      </c>
      <c r="AB1555" s="35">
        <f>AB1528+AB1537+AB1546</f>
        <v/>
      </c>
      <c r="AC1555" s="35">
        <f>AC1528+AC1537+AC1546</f>
        <v/>
      </c>
      <c r="AD1555" s="35">
        <f>AD1528+AD1537+AD1546</f>
        <v/>
      </c>
      <c r="AE1555" s="42">
        <f>NEWPOLICY(AE1528,AE1537,AE1546)</f>
        <v/>
      </c>
      <c r="AG1555" s="11">
        <f>CodePrefix&amp;$A1555&amp;IF($C1555="","","."&amp;$C1555&amp;"."&amp;$B1555)&amp;INDEX(VarEnd,MATCH($A1555,VarKey,0))&amp;AG$5</f>
        <v/>
      </c>
      <c r="AH1555" s="40">
        <f>AH1528+AH1537+AH1546</f>
        <v/>
      </c>
      <c r="AI1555" s="35">
        <f>AI1528+AI1537+AI1546</f>
        <v/>
      </c>
      <c r="AJ1555" s="35">
        <f>AJ1528+AJ1537+AJ1546</f>
        <v/>
      </c>
      <c r="AK1555" s="35">
        <f>AK1528+AK1537+AK1546</f>
        <v/>
      </c>
      <c r="AL1555" s="35">
        <f>AL1528+AL1537+AL1546</f>
        <v/>
      </c>
      <c r="AM1555" s="35">
        <f>AM1528+AM1537+AM1546</f>
        <v/>
      </c>
      <c r="AN1555" s="35">
        <f>AN1528+AN1537+AN1546</f>
        <v/>
      </c>
      <c r="AO1555" s="35">
        <f>AO1528+AO1537+AO1546</f>
        <v/>
      </c>
      <c r="AP1555" s="35">
        <f>AP1528+AP1537+AP1546</f>
        <v/>
      </c>
      <c r="AQ1555" s="35">
        <f>AQ1528+AQ1537+AQ1546</f>
        <v/>
      </c>
      <c r="AR1555" s="35">
        <f>AR1528+AR1537+AR1546</f>
        <v/>
      </c>
      <c r="AS1555" s="35">
        <f>AS1528+AS1537+AS1546</f>
        <v/>
      </c>
      <c r="AT1555" s="35">
        <f>AT1528+AT1537+AT1546</f>
        <v/>
      </c>
      <c r="AU1555" s="35">
        <f>AU1528+AU1537+AU1546</f>
        <v/>
      </c>
      <c r="AV1555" s="35">
        <f>AV1528+AV1537+AV1546</f>
        <v/>
      </c>
      <c r="AW1555" s="35">
        <f>AW1528+AW1537+AW1546</f>
        <v/>
      </c>
      <c r="AX1555" s="35">
        <f>AX1528+AX1537+AX1546</f>
        <v/>
      </c>
      <c r="AY1555" s="35">
        <f>AY1528+AY1537+AY1546</f>
        <v/>
      </c>
      <c r="AZ1555" s="35">
        <f>AZ1528+AZ1537+AZ1546</f>
        <v/>
      </c>
      <c r="BA1555" s="42">
        <f>NEWPOLICY(BA1528,BA1537,BA1546)</f>
        <v/>
      </c>
    </row>
    <row r="1556" hidden="1" outlineLevel="2">
      <c r="A1556" s="14" t="inlineStr">
        <is>
          <t>nce</t>
        </is>
      </c>
      <c r="B1556" s="14" t="inlineStr">
        <is>
          <t>bio</t>
        </is>
      </c>
      <c r="C1556" s="14" t="inlineStr">
        <is>
          <t>res</t>
        </is>
      </c>
      <c r="D1556" s="39" t="n"/>
      <c r="E1556" s="39" t="n"/>
      <c r="F1556" s="39" t="n"/>
      <c r="G1556" s="39" t="n"/>
      <c r="H1556" s="14">
        <f>INDEX(VarLab,MATCH($A1556,VarKey,0))&amp;INDEX(MemLab,MATCH($C1556&amp;"|"&amp;$B1556,MemKey,0))</f>
        <v/>
      </c>
      <c r="I1556" s="14">
        <f>INDEX(VarUnit,MATCH($A1556,VarKey,0))</f>
        <v/>
      </c>
      <c r="J1556" s="14">
        <f>INDEX(VarSrc,MATCH($A1556,VarKey,0))</f>
        <v/>
      </c>
      <c r="K1556" s="11">
        <f>CodePrefix&amp;$A1556&amp;IF($C1556="","","."&amp;$C1556&amp;"."&amp;$B1556)&amp;INDEX(VarEnd,MATCH($A1556,VarKey,0))&amp;K$5</f>
        <v/>
      </c>
      <c r="L1556" s="40">
        <f>L1529+L1538+L1547</f>
        <v/>
      </c>
      <c r="M1556" s="35">
        <f>M1529+M1538+M1547</f>
        <v/>
      </c>
      <c r="N1556" s="35">
        <f>N1529+N1538+N1547</f>
        <v/>
      </c>
      <c r="O1556" s="35">
        <f>O1529+O1538+O1547</f>
        <v/>
      </c>
      <c r="P1556" s="35">
        <f>P1529+P1538+P1547</f>
        <v/>
      </c>
      <c r="Q1556" s="35">
        <f>Q1529+Q1538+Q1547</f>
        <v/>
      </c>
      <c r="R1556" s="35">
        <f>R1529+R1538+R1547</f>
        <v/>
      </c>
      <c r="S1556" s="35">
        <f>S1529+S1538+S1547</f>
        <v/>
      </c>
      <c r="T1556" s="35">
        <f>T1529+T1538+T1547</f>
        <v/>
      </c>
      <c r="U1556" s="35">
        <f>U1529+U1538+U1547</f>
        <v/>
      </c>
      <c r="V1556" s="35">
        <f>V1529+V1538+V1547</f>
        <v/>
      </c>
      <c r="W1556" s="35">
        <f>W1529+W1538+W1547</f>
        <v/>
      </c>
      <c r="X1556" s="35">
        <f>X1529+X1538+X1547</f>
        <v/>
      </c>
      <c r="Y1556" s="35">
        <f>Y1529+Y1538+Y1547</f>
        <v/>
      </c>
      <c r="Z1556" s="35">
        <f>Z1529+Z1538+Z1547</f>
        <v/>
      </c>
      <c r="AA1556" s="35">
        <f>AA1529+AA1538+AA1547</f>
        <v/>
      </c>
      <c r="AB1556" s="35">
        <f>AB1529+AB1538+AB1547</f>
        <v/>
      </c>
      <c r="AC1556" s="35">
        <f>AC1529+AC1538+AC1547</f>
        <v/>
      </c>
      <c r="AD1556" s="35">
        <f>AD1529+AD1538+AD1547</f>
        <v/>
      </c>
      <c r="AE1556" s="42">
        <f>NEWPOLICY(AE1529,AE1538,AE1547)</f>
        <v/>
      </c>
      <c r="AG1556" s="11">
        <f>CodePrefix&amp;$A1556&amp;IF($C1556="","","."&amp;$C1556&amp;"."&amp;$B1556)&amp;INDEX(VarEnd,MATCH($A1556,VarKey,0))&amp;AG$5</f>
        <v/>
      </c>
      <c r="AH1556" s="40">
        <f>AH1529+AH1538+AH1547</f>
        <v/>
      </c>
      <c r="AI1556" s="35">
        <f>AI1529+AI1538+AI1547</f>
        <v/>
      </c>
      <c r="AJ1556" s="35">
        <f>AJ1529+AJ1538+AJ1547</f>
        <v/>
      </c>
      <c r="AK1556" s="35">
        <f>AK1529+AK1538+AK1547</f>
        <v/>
      </c>
      <c r="AL1556" s="35">
        <f>AL1529+AL1538+AL1547</f>
        <v/>
      </c>
      <c r="AM1556" s="35">
        <f>AM1529+AM1538+AM1547</f>
        <v/>
      </c>
      <c r="AN1556" s="35">
        <f>AN1529+AN1538+AN1547</f>
        <v/>
      </c>
      <c r="AO1556" s="35">
        <f>AO1529+AO1538+AO1547</f>
        <v/>
      </c>
      <c r="AP1556" s="35">
        <f>AP1529+AP1538+AP1547</f>
        <v/>
      </c>
      <c r="AQ1556" s="35">
        <f>AQ1529+AQ1538+AQ1547</f>
        <v/>
      </c>
      <c r="AR1556" s="35">
        <f>AR1529+AR1538+AR1547</f>
        <v/>
      </c>
      <c r="AS1556" s="35">
        <f>AS1529+AS1538+AS1547</f>
        <v/>
      </c>
      <c r="AT1556" s="35">
        <f>AT1529+AT1538+AT1547</f>
        <v/>
      </c>
      <c r="AU1556" s="35">
        <f>AU1529+AU1538+AU1547</f>
        <v/>
      </c>
      <c r="AV1556" s="35">
        <f>AV1529+AV1538+AV1547</f>
        <v/>
      </c>
      <c r="AW1556" s="35">
        <f>AW1529+AW1538+AW1547</f>
        <v/>
      </c>
      <c r="AX1556" s="35">
        <f>AX1529+AX1538+AX1547</f>
        <v/>
      </c>
      <c r="AY1556" s="35">
        <f>AY1529+AY1538+AY1547</f>
        <v/>
      </c>
      <c r="AZ1556" s="35">
        <f>AZ1529+AZ1538+AZ1547</f>
        <v/>
      </c>
      <c r="BA1556" s="42">
        <f>NEWPOLICY(BA1529,BA1538,BA1547)</f>
        <v/>
      </c>
    </row>
    <row r="1557" hidden="1" outlineLevel="2"/>
    <row r="1558" hidden="1" outlineLevel="2">
      <c r="A1558" s="14" t="inlineStr">
        <is>
          <t>xcp</t>
        </is>
      </c>
      <c r="B1558" s="14" t="inlineStr">
        <is>
          <t>coa</t>
        </is>
      </c>
      <c r="C1558" s="14" t="inlineStr">
        <is>
          <t>res</t>
        </is>
      </c>
      <c r="D1558" s="35">
        <f>INDEX(Inputs!$W$5:$W$132,MATCH($B1558&amp;"|"&amp;$C1558,Inputs!$A$5:$A$132,0))</f>
        <v/>
      </c>
      <c r="E1558" s="35">
        <f>INDEX(Inputs!$Z$5:$Z$132,MATCH($B1558&amp;"|"&amp;$C1558,Inputs!$A$5:$A$132,0))</f>
        <v/>
      </c>
      <c r="F1558" s="35">
        <f>INDEX(Inputs!$AA$5:$AA$132,MATCH($B1558&amp;"|"&amp;$C1558,Inputs!$A$5:$A$132,0))</f>
        <v/>
      </c>
      <c r="G1558" s="39" t="n"/>
      <c r="H1558" s="14">
        <f>INDEX(VarLab,MATCH($A1558,VarKey,0))&amp;INDEX(MemLab,MATCH($C1558&amp;"|"&amp;$B1558,MemKey,0))</f>
        <v/>
      </c>
      <c r="I1558" s="14">
        <f>INDEX(VarUnit,MATCH($A1558,VarKey,0))</f>
        <v/>
      </c>
      <c r="J1558" s="14">
        <f>INDEX(VarSrc,MATCH($A1558,VarKey,0))</f>
        <v/>
      </c>
      <c r="K1558" s="11">
        <f>CodePrefix&amp;$A1558&amp;IF($C1558="","","."&amp;$C1558&amp;"."&amp;$B1558)&amp;INDEX(VarEnd,MATCH($A1558,VarKey,0))&amp;K$5</f>
        <v/>
      </c>
      <c r="L1558" s="40">
        <f>$D1558*($E1558*L$321+$F1558*L$324)</f>
        <v/>
      </c>
      <c r="M1558" s="35">
        <f>$D1558*($E1558*M$321+$F1558*M$324)</f>
        <v/>
      </c>
      <c r="N1558" s="35">
        <f>$D1558*($E1558*N$321+$F1558*N$324)</f>
        <v/>
      </c>
      <c r="O1558" s="35">
        <f>$D1558*($E1558*O$321+$F1558*O$324)</f>
        <v/>
      </c>
      <c r="P1558" s="35">
        <f>$D1558*($E1558*P$321+$F1558*P$324)</f>
        <v/>
      </c>
      <c r="Q1558" s="35">
        <f>$D1558*($E1558*Q$321+$F1558*Q$324)</f>
        <v/>
      </c>
      <c r="R1558" s="35">
        <f>$D1558*($E1558*R$321+$F1558*R$324)</f>
        <v/>
      </c>
      <c r="S1558" s="35">
        <f>$D1558*($E1558*S$321+$F1558*S$324)</f>
        <v/>
      </c>
      <c r="T1558" s="35">
        <f>$D1558*($E1558*T$321+$F1558*T$324)</f>
        <v/>
      </c>
      <c r="U1558" s="35">
        <f>$D1558*($E1558*U$321+$F1558*U$324)</f>
        <v/>
      </c>
      <c r="V1558" s="35">
        <f>$D1558*($E1558*V$321+$F1558*V$324)</f>
        <v/>
      </c>
      <c r="W1558" s="35">
        <f>$D1558*($E1558*W$321+$F1558*W$324)</f>
        <v/>
      </c>
      <c r="X1558" s="35">
        <f>$D1558*($E1558*X$321+$F1558*X$324)</f>
        <v/>
      </c>
      <c r="Y1558" s="35">
        <f>$D1558*($E1558*Y$321+$F1558*Y$324)</f>
        <v/>
      </c>
      <c r="Z1558" s="35">
        <f>$D1558*($E1558*Z$321+$F1558*Z$324)</f>
        <v/>
      </c>
      <c r="AA1558" s="35">
        <f>$D1558*($E1558*AA$321+$F1558*AA$324)</f>
        <v/>
      </c>
      <c r="AB1558" s="35">
        <f>$D1558*($E1558*AB$321+$F1558*AB$324)</f>
        <v/>
      </c>
      <c r="AC1558" s="35">
        <f>$D1558*($E1558*AC$321+$F1558*AC$324)</f>
        <v/>
      </c>
      <c r="AD1558" s="35">
        <f>$D1558*($E1558*AD$321+$F1558*AD$324)</f>
        <v/>
      </c>
      <c r="AE1558" s="42">
        <f>XCARBON($D1558,$E1558,AE$321,$F1558,AE$324)</f>
        <v/>
      </c>
      <c r="AG1558" s="11">
        <f>CodePrefix&amp;$A1558&amp;IF($C1558="","","."&amp;$C1558&amp;"."&amp;$B1558)&amp;INDEX(VarEnd,MATCH($A1558,VarKey,0))&amp;AG$5</f>
        <v/>
      </c>
      <c r="AH1558" s="40">
        <f>$D1558*($E1558*AH$321+$F1558*AH$324)</f>
        <v/>
      </c>
      <c r="AI1558" s="35">
        <f>$D1558*($E1558*AI$321+$F1558*AI$324)</f>
        <v/>
      </c>
      <c r="AJ1558" s="35">
        <f>$D1558*($E1558*AJ$321+$F1558*AJ$324)</f>
        <v/>
      </c>
      <c r="AK1558" s="35">
        <f>$D1558*($E1558*AK$321+$F1558*AK$324)</f>
        <v/>
      </c>
      <c r="AL1558" s="35">
        <f>$D1558*($E1558*AL$321+$F1558*AL$324)</f>
        <v/>
      </c>
      <c r="AM1558" s="35">
        <f>$D1558*($E1558*AM$321+$F1558*AM$324)</f>
        <v/>
      </c>
      <c r="AN1558" s="35">
        <f>$D1558*($E1558*AN$321+$F1558*AN$324)</f>
        <v/>
      </c>
      <c r="AO1558" s="35">
        <f>$D1558*($E1558*AO$321+$F1558*AO$324)</f>
        <v/>
      </c>
      <c r="AP1558" s="35">
        <f>$D1558*($E1558*AP$321+$F1558*AP$324)</f>
        <v/>
      </c>
      <c r="AQ1558" s="35">
        <f>$D1558*($E1558*AQ$321+$F1558*AQ$324)</f>
        <v/>
      </c>
      <c r="AR1558" s="35">
        <f>$D1558*($E1558*AR$321+$F1558*AR$324)</f>
        <v/>
      </c>
      <c r="AS1558" s="35">
        <f>$D1558*($E1558*AS$321+$F1558*AS$324)</f>
        <v/>
      </c>
      <c r="AT1558" s="35">
        <f>$D1558*($E1558*AT$321+$F1558*AT$324)</f>
        <v/>
      </c>
      <c r="AU1558" s="35">
        <f>$D1558*($E1558*AU$321+$F1558*AU$324)</f>
        <v/>
      </c>
      <c r="AV1558" s="35">
        <f>$D1558*($E1558*AV$321+$F1558*AV$324)</f>
        <v/>
      </c>
      <c r="AW1558" s="35">
        <f>$D1558*($E1558*AW$321+$F1558*AW$324)</f>
        <v/>
      </c>
      <c r="AX1558" s="35">
        <f>$D1558*($E1558*AX$321+$F1558*AX$324)</f>
        <v/>
      </c>
      <c r="AY1558" s="35">
        <f>$D1558*($E1558*AY$321+$F1558*AY$324)</f>
        <v/>
      </c>
      <c r="AZ1558" s="35">
        <f>$D1558*($E1558*AZ$321+$F1558*AZ$324)</f>
        <v/>
      </c>
      <c r="BA1558" s="42">
        <f>XCARBON($D1558,$E1558,BA$321,$F1558,BA$324)</f>
        <v/>
      </c>
    </row>
    <row r="1559" hidden="1" outlineLevel="2">
      <c r="A1559" s="14" t="inlineStr">
        <is>
          <t>xcp</t>
        </is>
      </c>
      <c r="B1559" s="14" t="inlineStr">
        <is>
          <t>nga</t>
        </is>
      </c>
      <c r="C1559" s="14" t="inlineStr">
        <is>
          <t>res</t>
        </is>
      </c>
      <c r="D1559" s="35">
        <f>INDEX(Inputs!$W$5:$W$132,MATCH($B1559&amp;"|"&amp;$C1559,Inputs!$A$5:$A$132,0))</f>
        <v/>
      </c>
      <c r="E1559" s="35">
        <f>INDEX(Inputs!$Z$5:$Z$132,MATCH($B1559&amp;"|"&amp;$C1559,Inputs!$A$5:$A$132,0))</f>
        <v/>
      </c>
      <c r="F1559" s="35">
        <f>INDEX(Inputs!$AA$5:$AA$132,MATCH($B1559&amp;"|"&amp;$C1559,Inputs!$A$5:$A$132,0))</f>
        <v/>
      </c>
      <c r="G1559" s="39" t="n"/>
      <c r="H1559" s="14">
        <f>INDEX(VarLab,MATCH($A1559,VarKey,0))&amp;INDEX(MemLab,MATCH($C1559&amp;"|"&amp;$B1559,MemKey,0))</f>
        <v/>
      </c>
      <c r="I1559" s="14">
        <f>INDEX(VarUnit,MATCH($A1559,VarKey,0))</f>
        <v/>
      </c>
      <c r="J1559" s="14">
        <f>INDEX(VarSrc,MATCH($A1559,VarKey,0))</f>
        <v/>
      </c>
      <c r="K1559" s="11">
        <f>CodePrefix&amp;$A1559&amp;IF($C1559="","","."&amp;$C1559&amp;"."&amp;$B1559)&amp;INDEX(VarEnd,MATCH($A1559,VarKey,0))&amp;K$5</f>
        <v/>
      </c>
      <c r="L1559" s="40">
        <f>$D1559*($E1559*L$321+$F1559*L$324)</f>
        <v/>
      </c>
      <c r="M1559" s="35">
        <f>$D1559*($E1559*M$321+$F1559*M$324)</f>
        <v/>
      </c>
      <c r="N1559" s="35">
        <f>$D1559*($E1559*N$321+$F1559*N$324)</f>
        <v/>
      </c>
      <c r="O1559" s="35">
        <f>$D1559*($E1559*O$321+$F1559*O$324)</f>
        <v/>
      </c>
      <c r="P1559" s="35">
        <f>$D1559*($E1559*P$321+$F1559*P$324)</f>
        <v/>
      </c>
      <c r="Q1559" s="35">
        <f>$D1559*($E1559*Q$321+$F1559*Q$324)</f>
        <v/>
      </c>
      <c r="R1559" s="35">
        <f>$D1559*($E1559*R$321+$F1559*R$324)</f>
        <v/>
      </c>
      <c r="S1559" s="35">
        <f>$D1559*($E1559*S$321+$F1559*S$324)</f>
        <v/>
      </c>
      <c r="T1559" s="35">
        <f>$D1559*($E1559*T$321+$F1559*T$324)</f>
        <v/>
      </c>
      <c r="U1559" s="35">
        <f>$D1559*($E1559*U$321+$F1559*U$324)</f>
        <v/>
      </c>
      <c r="V1559" s="35">
        <f>$D1559*($E1559*V$321+$F1559*V$324)</f>
        <v/>
      </c>
      <c r="W1559" s="35">
        <f>$D1559*($E1559*W$321+$F1559*W$324)</f>
        <v/>
      </c>
      <c r="X1559" s="35">
        <f>$D1559*($E1559*X$321+$F1559*X$324)</f>
        <v/>
      </c>
      <c r="Y1559" s="35">
        <f>$D1559*($E1559*Y$321+$F1559*Y$324)</f>
        <v/>
      </c>
      <c r="Z1559" s="35">
        <f>$D1559*($E1559*Z$321+$F1559*Z$324)</f>
        <v/>
      </c>
      <c r="AA1559" s="35">
        <f>$D1559*($E1559*AA$321+$F1559*AA$324)</f>
        <v/>
      </c>
      <c r="AB1559" s="35">
        <f>$D1559*($E1559*AB$321+$F1559*AB$324)</f>
        <v/>
      </c>
      <c r="AC1559" s="35">
        <f>$D1559*($E1559*AC$321+$F1559*AC$324)</f>
        <v/>
      </c>
      <c r="AD1559" s="35">
        <f>$D1559*($E1559*AD$321+$F1559*AD$324)</f>
        <v/>
      </c>
      <c r="AE1559" s="42">
        <f>XCARBON($D1559,$E1559,AE$321,$F1559,AE$324)</f>
        <v/>
      </c>
      <c r="AG1559" s="11">
        <f>CodePrefix&amp;$A1559&amp;IF($C1559="","","."&amp;$C1559&amp;"."&amp;$B1559)&amp;INDEX(VarEnd,MATCH($A1559,VarKey,0))&amp;AG$5</f>
        <v/>
      </c>
      <c r="AH1559" s="40">
        <f>$D1559*($E1559*AH$321+$F1559*AH$324)</f>
        <v/>
      </c>
      <c r="AI1559" s="35">
        <f>$D1559*($E1559*AI$321+$F1559*AI$324)</f>
        <v/>
      </c>
      <c r="AJ1559" s="35">
        <f>$D1559*($E1559*AJ$321+$F1559*AJ$324)</f>
        <v/>
      </c>
      <c r="AK1559" s="35">
        <f>$D1559*($E1559*AK$321+$F1559*AK$324)</f>
        <v/>
      </c>
      <c r="AL1559" s="35">
        <f>$D1559*($E1559*AL$321+$F1559*AL$324)</f>
        <v/>
      </c>
      <c r="AM1559" s="35">
        <f>$D1559*($E1559*AM$321+$F1559*AM$324)</f>
        <v/>
      </c>
      <c r="AN1559" s="35">
        <f>$D1559*($E1559*AN$321+$F1559*AN$324)</f>
        <v/>
      </c>
      <c r="AO1559" s="35">
        <f>$D1559*($E1559*AO$321+$F1559*AO$324)</f>
        <v/>
      </c>
      <c r="AP1559" s="35">
        <f>$D1559*($E1559*AP$321+$F1559*AP$324)</f>
        <v/>
      </c>
      <c r="AQ1559" s="35">
        <f>$D1559*($E1559*AQ$321+$F1559*AQ$324)</f>
        <v/>
      </c>
      <c r="AR1559" s="35">
        <f>$D1559*($E1559*AR$321+$F1559*AR$324)</f>
        <v/>
      </c>
      <c r="AS1559" s="35">
        <f>$D1559*($E1559*AS$321+$F1559*AS$324)</f>
        <v/>
      </c>
      <c r="AT1559" s="35">
        <f>$D1559*($E1559*AT$321+$F1559*AT$324)</f>
        <v/>
      </c>
      <c r="AU1559" s="35">
        <f>$D1559*($E1559*AU$321+$F1559*AU$324)</f>
        <v/>
      </c>
      <c r="AV1559" s="35">
        <f>$D1559*($E1559*AV$321+$F1559*AV$324)</f>
        <v/>
      </c>
      <c r="AW1559" s="35">
        <f>$D1559*($E1559*AW$321+$F1559*AW$324)</f>
        <v/>
      </c>
      <c r="AX1559" s="35">
        <f>$D1559*($E1559*AX$321+$F1559*AX$324)</f>
        <v/>
      </c>
      <c r="AY1559" s="35">
        <f>$D1559*($E1559*AY$321+$F1559*AY$324)</f>
        <v/>
      </c>
      <c r="AZ1559" s="35">
        <f>$D1559*($E1559*AZ$321+$F1559*AZ$324)</f>
        <v/>
      </c>
      <c r="BA1559" s="42">
        <f>XCARBON($D1559,$E1559,BA$321,$F1559,BA$324)</f>
        <v/>
      </c>
    </row>
    <row r="1560" hidden="1" outlineLevel="2">
      <c r="A1560" s="14" t="inlineStr">
        <is>
          <t>xcp</t>
        </is>
      </c>
      <c r="B1560" s="14" t="inlineStr">
        <is>
          <t>gso</t>
        </is>
      </c>
      <c r="C1560" s="14" t="inlineStr">
        <is>
          <t>res</t>
        </is>
      </c>
      <c r="D1560" s="35">
        <f>INDEX(Inputs!$W$5:$W$132,MATCH($B1560&amp;"|"&amp;$C1560,Inputs!$A$5:$A$132,0))</f>
        <v/>
      </c>
      <c r="E1560" s="35">
        <f>INDEX(Inputs!$Z$5:$Z$132,MATCH($B1560&amp;"|"&amp;$C1560,Inputs!$A$5:$A$132,0))</f>
        <v/>
      </c>
      <c r="F1560" s="35">
        <f>INDEX(Inputs!$AA$5:$AA$132,MATCH($B1560&amp;"|"&amp;$C1560,Inputs!$A$5:$A$132,0))</f>
        <v/>
      </c>
      <c r="G1560" s="39" t="n"/>
      <c r="H1560" s="14">
        <f>INDEX(VarLab,MATCH($A1560,VarKey,0))&amp;INDEX(MemLab,MATCH($C1560&amp;"|"&amp;$B1560,MemKey,0))</f>
        <v/>
      </c>
      <c r="I1560" s="14">
        <f>INDEX(VarUnit,MATCH($A1560,VarKey,0))</f>
        <v/>
      </c>
      <c r="J1560" s="14">
        <f>INDEX(VarSrc,MATCH($A1560,VarKey,0))</f>
        <v/>
      </c>
      <c r="K1560" s="11">
        <f>CodePrefix&amp;$A1560&amp;IF($C1560="","","."&amp;$C1560&amp;"."&amp;$B1560)&amp;INDEX(VarEnd,MATCH($A1560,VarKey,0))&amp;K$5</f>
        <v/>
      </c>
      <c r="L1560" s="40">
        <f>$D1560*($E1560*L$321+$F1560*L$324)</f>
        <v/>
      </c>
      <c r="M1560" s="35">
        <f>$D1560*($E1560*M$321+$F1560*M$324)</f>
        <v/>
      </c>
      <c r="N1560" s="35">
        <f>$D1560*($E1560*N$321+$F1560*N$324)</f>
        <v/>
      </c>
      <c r="O1560" s="35">
        <f>$D1560*($E1560*O$321+$F1560*O$324)</f>
        <v/>
      </c>
      <c r="P1560" s="35">
        <f>$D1560*($E1560*P$321+$F1560*P$324)</f>
        <v/>
      </c>
      <c r="Q1560" s="35">
        <f>$D1560*($E1560*Q$321+$F1560*Q$324)</f>
        <v/>
      </c>
      <c r="R1560" s="35">
        <f>$D1560*($E1560*R$321+$F1560*R$324)</f>
        <v/>
      </c>
      <c r="S1560" s="35">
        <f>$D1560*($E1560*S$321+$F1560*S$324)</f>
        <v/>
      </c>
      <c r="T1560" s="35">
        <f>$D1560*($E1560*T$321+$F1560*T$324)</f>
        <v/>
      </c>
      <c r="U1560" s="35">
        <f>$D1560*($E1560*U$321+$F1560*U$324)</f>
        <v/>
      </c>
      <c r="V1560" s="35">
        <f>$D1560*($E1560*V$321+$F1560*V$324)</f>
        <v/>
      </c>
      <c r="W1560" s="35">
        <f>$D1560*($E1560*W$321+$F1560*W$324)</f>
        <v/>
      </c>
      <c r="X1560" s="35">
        <f>$D1560*($E1560*X$321+$F1560*X$324)</f>
        <v/>
      </c>
      <c r="Y1560" s="35">
        <f>$D1560*($E1560*Y$321+$F1560*Y$324)</f>
        <v/>
      </c>
      <c r="Z1560" s="35">
        <f>$D1560*($E1560*Z$321+$F1560*Z$324)</f>
        <v/>
      </c>
      <c r="AA1560" s="35">
        <f>$D1560*($E1560*AA$321+$F1560*AA$324)</f>
        <v/>
      </c>
      <c r="AB1560" s="35">
        <f>$D1560*($E1560*AB$321+$F1560*AB$324)</f>
        <v/>
      </c>
      <c r="AC1560" s="35">
        <f>$D1560*($E1560*AC$321+$F1560*AC$324)</f>
        <v/>
      </c>
      <c r="AD1560" s="35">
        <f>$D1560*($E1560*AD$321+$F1560*AD$324)</f>
        <v/>
      </c>
      <c r="AE1560" s="42">
        <f>XCARBON($D1560,$E1560,AE$321,$F1560,AE$324)</f>
        <v/>
      </c>
      <c r="AG1560" s="11">
        <f>CodePrefix&amp;$A1560&amp;IF($C1560="","","."&amp;$C1560&amp;"."&amp;$B1560)&amp;INDEX(VarEnd,MATCH($A1560,VarKey,0))&amp;AG$5</f>
        <v/>
      </c>
      <c r="AH1560" s="40">
        <f>$D1560*($E1560*AH$321+$F1560*AH$324)</f>
        <v/>
      </c>
      <c r="AI1560" s="35">
        <f>$D1560*($E1560*AI$321+$F1560*AI$324)</f>
        <v/>
      </c>
      <c r="AJ1560" s="35">
        <f>$D1560*($E1560*AJ$321+$F1560*AJ$324)</f>
        <v/>
      </c>
      <c r="AK1560" s="35">
        <f>$D1560*($E1560*AK$321+$F1560*AK$324)</f>
        <v/>
      </c>
      <c r="AL1560" s="35">
        <f>$D1560*($E1560*AL$321+$F1560*AL$324)</f>
        <v/>
      </c>
      <c r="AM1560" s="35">
        <f>$D1560*($E1560*AM$321+$F1560*AM$324)</f>
        <v/>
      </c>
      <c r="AN1560" s="35">
        <f>$D1560*($E1560*AN$321+$F1560*AN$324)</f>
        <v/>
      </c>
      <c r="AO1560" s="35">
        <f>$D1560*($E1560*AO$321+$F1560*AO$324)</f>
        <v/>
      </c>
      <c r="AP1560" s="35">
        <f>$D1560*($E1560*AP$321+$F1560*AP$324)</f>
        <v/>
      </c>
      <c r="AQ1560" s="35">
        <f>$D1560*($E1560*AQ$321+$F1560*AQ$324)</f>
        <v/>
      </c>
      <c r="AR1560" s="35">
        <f>$D1560*($E1560*AR$321+$F1560*AR$324)</f>
        <v/>
      </c>
      <c r="AS1560" s="35">
        <f>$D1560*($E1560*AS$321+$F1560*AS$324)</f>
        <v/>
      </c>
      <c r="AT1560" s="35">
        <f>$D1560*($E1560*AT$321+$F1560*AT$324)</f>
        <v/>
      </c>
      <c r="AU1560" s="35">
        <f>$D1560*($E1560*AU$321+$F1560*AU$324)</f>
        <v/>
      </c>
      <c r="AV1560" s="35">
        <f>$D1560*($E1560*AV$321+$F1560*AV$324)</f>
        <v/>
      </c>
      <c r="AW1560" s="35">
        <f>$D1560*($E1560*AW$321+$F1560*AW$324)</f>
        <v/>
      </c>
      <c r="AX1560" s="35">
        <f>$D1560*($E1560*AX$321+$F1560*AX$324)</f>
        <v/>
      </c>
      <c r="AY1560" s="35">
        <f>$D1560*($E1560*AY$321+$F1560*AY$324)</f>
        <v/>
      </c>
      <c r="AZ1560" s="35">
        <f>$D1560*($E1560*AZ$321+$F1560*AZ$324)</f>
        <v/>
      </c>
      <c r="BA1560" s="42">
        <f>XCARBON($D1560,$E1560,BA$321,$F1560,BA$324)</f>
        <v/>
      </c>
    </row>
    <row r="1561" hidden="1" outlineLevel="2">
      <c r="A1561" s="14" t="inlineStr">
        <is>
          <t>xcp</t>
        </is>
      </c>
      <c r="B1561" s="14" t="inlineStr">
        <is>
          <t>die</t>
        </is>
      </c>
      <c r="C1561" s="14" t="inlineStr">
        <is>
          <t>res</t>
        </is>
      </c>
      <c r="D1561" s="35">
        <f>INDEX(Inputs!$W$5:$W$132,MATCH($B1561&amp;"|"&amp;$C1561,Inputs!$A$5:$A$132,0))</f>
        <v/>
      </c>
      <c r="E1561" s="35">
        <f>INDEX(Inputs!$Z$5:$Z$132,MATCH($B1561&amp;"|"&amp;$C1561,Inputs!$A$5:$A$132,0))</f>
        <v/>
      </c>
      <c r="F1561" s="35">
        <f>INDEX(Inputs!$AA$5:$AA$132,MATCH($B1561&amp;"|"&amp;$C1561,Inputs!$A$5:$A$132,0))</f>
        <v/>
      </c>
      <c r="G1561" s="39" t="n"/>
      <c r="H1561" s="14">
        <f>INDEX(VarLab,MATCH($A1561,VarKey,0))&amp;INDEX(MemLab,MATCH($C1561&amp;"|"&amp;$B1561,MemKey,0))</f>
        <v/>
      </c>
      <c r="I1561" s="14">
        <f>INDEX(VarUnit,MATCH($A1561,VarKey,0))</f>
        <v/>
      </c>
      <c r="J1561" s="14">
        <f>INDEX(VarSrc,MATCH($A1561,VarKey,0))</f>
        <v/>
      </c>
      <c r="K1561" s="11">
        <f>CodePrefix&amp;$A1561&amp;IF($C1561="","","."&amp;$C1561&amp;"."&amp;$B1561)&amp;INDEX(VarEnd,MATCH($A1561,VarKey,0))&amp;K$5</f>
        <v/>
      </c>
      <c r="L1561" s="40">
        <f>$D1561*($E1561*L$321+$F1561*L$324)</f>
        <v/>
      </c>
      <c r="M1561" s="35">
        <f>$D1561*($E1561*M$321+$F1561*M$324)</f>
        <v/>
      </c>
      <c r="N1561" s="35">
        <f>$D1561*($E1561*N$321+$F1561*N$324)</f>
        <v/>
      </c>
      <c r="O1561" s="35">
        <f>$D1561*($E1561*O$321+$F1561*O$324)</f>
        <v/>
      </c>
      <c r="P1561" s="35">
        <f>$D1561*($E1561*P$321+$F1561*P$324)</f>
        <v/>
      </c>
      <c r="Q1561" s="35">
        <f>$D1561*($E1561*Q$321+$F1561*Q$324)</f>
        <v/>
      </c>
      <c r="R1561" s="35">
        <f>$D1561*($E1561*R$321+$F1561*R$324)</f>
        <v/>
      </c>
      <c r="S1561" s="35">
        <f>$D1561*($E1561*S$321+$F1561*S$324)</f>
        <v/>
      </c>
      <c r="T1561" s="35">
        <f>$D1561*($E1561*T$321+$F1561*T$324)</f>
        <v/>
      </c>
      <c r="U1561" s="35">
        <f>$D1561*($E1561*U$321+$F1561*U$324)</f>
        <v/>
      </c>
      <c r="V1561" s="35">
        <f>$D1561*($E1561*V$321+$F1561*V$324)</f>
        <v/>
      </c>
      <c r="W1561" s="35">
        <f>$D1561*($E1561*W$321+$F1561*W$324)</f>
        <v/>
      </c>
      <c r="X1561" s="35">
        <f>$D1561*($E1561*X$321+$F1561*X$324)</f>
        <v/>
      </c>
      <c r="Y1561" s="35">
        <f>$D1561*($E1561*Y$321+$F1561*Y$324)</f>
        <v/>
      </c>
      <c r="Z1561" s="35">
        <f>$D1561*($E1561*Z$321+$F1561*Z$324)</f>
        <v/>
      </c>
      <c r="AA1561" s="35">
        <f>$D1561*($E1561*AA$321+$F1561*AA$324)</f>
        <v/>
      </c>
      <c r="AB1561" s="35">
        <f>$D1561*($E1561*AB$321+$F1561*AB$324)</f>
        <v/>
      </c>
      <c r="AC1561" s="35">
        <f>$D1561*($E1561*AC$321+$F1561*AC$324)</f>
        <v/>
      </c>
      <c r="AD1561" s="35">
        <f>$D1561*($E1561*AD$321+$F1561*AD$324)</f>
        <v/>
      </c>
      <c r="AE1561" s="42">
        <f>XCARBON($D1561,$E1561,AE$321,$F1561,AE$324)</f>
        <v/>
      </c>
      <c r="AG1561" s="11">
        <f>CodePrefix&amp;$A1561&amp;IF($C1561="","","."&amp;$C1561&amp;"."&amp;$B1561)&amp;INDEX(VarEnd,MATCH($A1561,VarKey,0))&amp;AG$5</f>
        <v/>
      </c>
      <c r="AH1561" s="40">
        <f>$D1561*($E1561*AH$321+$F1561*AH$324)</f>
        <v/>
      </c>
      <c r="AI1561" s="35">
        <f>$D1561*($E1561*AI$321+$F1561*AI$324)</f>
        <v/>
      </c>
      <c r="AJ1561" s="35">
        <f>$D1561*($E1561*AJ$321+$F1561*AJ$324)</f>
        <v/>
      </c>
      <c r="AK1561" s="35">
        <f>$D1561*($E1561*AK$321+$F1561*AK$324)</f>
        <v/>
      </c>
      <c r="AL1561" s="35">
        <f>$D1561*($E1561*AL$321+$F1561*AL$324)</f>
        <v/>
      </c>
      <c r="AM1561" s="35">
        <f>$D1561*($E1561*AM$321+$F1561*AM$324)</f>
        <v/>
      </c>
      <c r="AN1561" s="35">
        <f>$D1561*($E1561*AN$321+$F1561*AN$324)</f>
        <v/>
      </c>
      <c r="AO1561" s="35">
        <f>$D1561*($E1561*AO$321+$F1561*AO$324)</f>
        <v/>
      </c>
      <c r="AP1561" s="35">
        <f>$D1561*($E1561*AP$321+$F1561*AP$324)</f>
        <v/>
      </c>
      <c r="AQ1561" s="35">
        <f>$D1561*($E1561*AQ$321+$F1561*AQ$324)</f>
        <v/>
      </c>
      <c r="AR1561" s="35">
        <f>$D1561*($E1561*AR$321+$F1561*AR$324)</f>
        <v/>
      </c>
      <c r="AS1561" s="35">
        <f>$D1561*($E1561*AS$321+$F1561*AS$324)</f>
        <v/>
      </c>
      <c r="AT1561" s="35">
        <f>$D1561*($E1561*AT$321+$F1561*AT$324)</f>
        <v/>
      </c>
      <c r="AU1561" s="35">
        <f>$D1561*($E1561*AU$321+$F1561*AU$324)</f>
        <v/>
      </c>
      <c r="AV1561" s="35">
        <f>$D1561*($E1561*AV$321+$F1561*AV$324)</f>
        <v/>
      </c>
      <c r="AW1561" s="35">
        <f>$D1561*($E1561*AW$321+$F1561*AW$324)</f>
        <v/>
      </c>
      <c r="AX1561" s="35">
        <f>$D1561*($E1561*AX$321+$F1561*AX$324)</f>
        <v/>
      </c>
      <c r="AY1561" s="35">
        <f>$D1561*($E1561*AY$321+$F1561*AY$324)</f>
        <v/>
      </c>
      <c r="AZ1561" s="35">
        <f>$D1561*($E1561*AZ$321+$F1561*AZ$324)</f>
        <v/>
      </c>
      <c r="BA1561" s="42">
        <f>XCARBON($D1561,$E1561,BA$321,$F1561,BA$324)</f>
        <v/>
      </c>
    </row>
    <row r="1562" hidden="1" outlineLevel="2">
      <c r="A1562" s="14" t="inlineStr">
        <is>
          <t>xcp</t>
        </is>
      </c>
      <c r="B1562" s="14" t="inlineStr">
        <is>
          <t>lpg</t>
        </is>
      </c>
      <c r="C1562" s="14" t="inlineStr">
        <is>
          <t>res</t>
        </is>
      </c>
      <c r="D1562" s="35">
        <f>INDEX(Inputs!$W$5:$W$132,MATCH($B1562&amp;"|"&amp;$C1562,Inputs!$A$5:$A$132,0))</f>
        <v/>
      </c>
      <c r="E1562" s="35">
        <f>INDEX(Inputs!$Z$5:$Z$132,MATCH($B1562&amp;"|"&amp;$C1562,Inputs!$A$5:$A$132,0))</f>
        <v/>
      </c>
      <c r="F1562" s="35">
        <f>INDEX(Inputs!$AA$5:$AA$132,MATCH($B1562&amp;"|"&amp;$C1562,Inputs!$A$5:$A$132,0))</f>
        <v/>
      </c>
      <c r="G1562" s="39" t="n"/>
      <c r="H1562" s="14">
        <f>INDEX(VarLab,MATCH($A1562,VarKey,0))&amp;INDEX(MemLab,MATCH($C1562&amp;"|"&amp;$B1562,MemKey,0))</f>
        <v/>
      </c>
      <c r="I1562" s="14">
        <f>INDEX(VarUnit,MATCH($A1562,VarKey,0))</f>
        <v/>
      </c>
      <c r="J1562" s="14">
        <f>INDEX(VarSrc,MATCH($A1562,VarKey,0))</f>
        <v/>
      </c>
      <c r="K1562" s="11">
        <f>CodePrefix&amp;$A1562&amp;IF($C1562="","","."&amp;$C1562&amp;"."&amp;$B1562)&amp;INDEX(VarEnd,MATCH($A1562,VarKey,0))&amp;K$5</f>
        <v/>
      </c>
      <c r="L1562" s="40">
        <f>$D1562*($E1562*L$321+$F1562*L$324)</f>
        <v/>
      </c>
      <c r="M1562" s="35">
        <f>$D1562*($E1562*M$321+$F1562*M$324)</f>
        <v/>
      </c>
      <c r="N1562" s="35">
        <f>$D1562*($E1562*N$321+$F1562*N$324)</f>
        <v/>
      </c>
      <c r="O1562" s="35">
        <f>$D1562*($E1562*O$321+$F1562*O$324)</f>
        <v/>
      </c>
      <c r="P1562" s="35">
        <f>$D1562*($E1562*P$321+$F1562*P$324)</f>
        <v/>
      </c>
      <c r="Q1562" s="35">
        <f>$D1562*($E1562*Q$321+$F1562*Q$324)</f>
        <v/>
      </c>
      <c r="R1562" s="35">
        <f>$D1562*($E1562*R$321+$F1562*R$324)</f>
        <v/>
      </c>
      <c r="S1562" s="35">
        <f>$D1562*($E1562*S$321+$F1562*S$324)</f>
        <v/>
      </c>
      <c r="T1562" s="35">
        <f>$D1562*($E1562*T$321+$F1562*T$324)</f>
        <v/>
      </c>
      <c r="U1562" s="35">
        <f>$D1562*($E1562*U$321+$F1562*U$324)</f>
        <v/>
      </c>
      <c r="V1562" s="35">
        <f>$D1562*($E1562*V$321+$F1562*V$324)</f>
        <v/>
      </c>
      <c r="W1562" s="35">
        <f>$D1562*($E1562*W$321+$F1562*W$324)</f>
        <v/>
      </c>
      <c r="X1562" s="35">
        <f>$D1562*($E1562*X$321+$F1562*X$324)</f>
        <v/>
      </c>
      <c r="Y1562" s="35">
        <f>$D1562*($E1562*Y$321+$F1562*Y$324)</f>
        <v/>
      </c>
      <c r="Z1562" s="35">
        <f>$D1562*($E1562*Z$321+$F1562*Z$324)</f>
        <v/>
      </c>
      <c r="AA1562" s="35">
        <f>$D1562*($E1562*AA$321+$F1562*AA$324)</f>
        <v/>
      </c>
      <c r="AB1562" s="35">
        <f>$D1562*($E1562*AB$321+$F1562*AB$324)</f>
        <v/>
      </c>
      <c r="AC1562" s="35">
        <f>$D1562*($E1562*AC$321+$F1562*AC$324)</f>
        <v/>
      </c>
      <c r="AD1562" s="35">
        <f>$D1562*($E1562*AD$321+$F1562*AD$324)</f>
        <v/>
      </c>
      <c r="AE1562" s="42">
        <f>XCARBON($D1562,$E1562,AE$321,$F1562,AE$324)</f>
        <v/>
      </c>
      <c r="AG1562" s="11">
        <f>CodePrefix&amp;$A1562&amp;IF($C1562="","","."&amp;$C1562&amp;"."&amp;$B1562)&amp;INDEX(VarEnd,MATCH($A1562,VarKey,0))&amp;AG$5</f>
        <v/>
      </c>
      <c r="AH1562" s="40">
        <f>$D1562*($E1562*AH$321+$F1562*AH$324)</f>
        <v/>
      </c>
      <c r="AI1562" s="35">
        <f>$D1562*($E1562*AI$321+$F1562*AI$324)</f>
        <v/>
      </c>
      <c r="AJ1562" s="35">
        <f>$D1562*($E1562*AJ$321+$F1562*AJ$324)</f>
        <v/>
      </c>
      <c r="AK1562" s="35">
        <f>$D1562*($E1562*AK$321+$F1562*AK$324)</f>
        <v/>
      </c>
      <c r="AL1562" s="35">
        <f>$D1562*($E1562*AL$321+$F1562*AL$324)</f>
        <v/>
      </c>
      <c r="AM1562" s="35">
        <f>$D1562*($E1562*AM$321+$F1562*AM$324)</f>
        <v/>
      </c>
      <c r="AN1562" s="35">
        <f>$D1562*($E1562*AN$321+$F1562*AN$324)</f>
        <v/>
      </c>
      <c r="AO1562" s="35">
        <f>$D1562*($E1562*AO$321+$F1562*AO$324)</f>
        <v/>
      </c>
      <c r="AP1562" s="35">
        <f>$D1562*($E1562*AP$321+$F1562*AP$324)</f>
        <v/>
      </c>
      <c r="AQ1562" s="35">
        <f>$D1562*($E1562*AQ$321+$F1562*AQ$324)</f>
        <v/>
      </c>
      <c r="AR1562" s="35">
        <f>$D1562*($E1562*AR$321+$F1562*AR$324)</f>
        <v/>
      </c>
      <c r="AS1562" s="35">
        <f>$D1562*($E1562*AS$321+$F1562*AS$324)</f>
        <v/>
      </c>
      <c r="AT1562" s="35">
        <f>$D1562*($E1562*AT$321+$F1562*AT$324)</f>
        <v/>
      </c>
      <c r="AU1562" s="35">
        <f>$D1562*($E1562*AU$321+$F1562*AU$324)</f>
        <v/>
      </c>
      <c r="AV1562" s="35">
        <f>$D1562*($E1562*AV$321+$F1562*AV$324)</f>
        <v/>
      </c>
      <c r="AW1562" s="35">
        <f>$D1562*($E1562*AW$321+$F1562*AW$324)</f>
        <v/>
      </c>
      <c r="AX1562" s="35">
        <f>$D1562*($E1562*AX$321+$F1562*AX$324)</f>
        <v/>
      </c>
      <c r="AY1562" s="35">
        <f>$D1562*($E1562*AY$321+$F1562*AY$324)</f>
        <v/>
      </c>
      <c r="AZ1562" s="35">
        <f>$D1562*($E1562*AZ$321+$F1562*AZ$324)</f>
        <v/>
      </c>
      <c r="BA1562" s="42">
        <f>XCARBON($D1562,$E1562,BA$321,$F1562,BA$324)</f>
        <v/>
      </c>
    </row>
    <row r="1563" hidden="1" outlineLevel="2">
      <c r="A1563" s="14" t="inlineStr">
        <is>
          <t>xcp</t>
        </is>
      </c>
      <c r="B1563" s="14" t="inlineStr">
        <is>
          <t>ker</t>
        </is>
      </c>
      <c r="C1563" s="14" t="inlineStr">
        <is>
          <t>res</t>
        </is>
      </c>
      <c r="D1563" s="35">
        <f>INDEX(Inputs!$W$5:$W$132,MATCH($B1563&amp;"|"&amp;$C1563,Inputs!$A$5:$A$132,0))</f>
        <v/>
      </c>
      <c r="E1563" s="35">
        <f>INDEX(Inputs!$Z$5:$Z$132,MATCH($B1563&amp;"|"&amp;$C1563,Inputs!$A$5:$A$132,0))</f>
        <v/>
      </c>
      <c r="F1563" s="35">
        <f>INDEX(Inputs!$AA$5:$AA$132,MATCH($B1563&amp;"|"&amp;$C1563,Inputs!$A$5:$A$132,0))</f>
        <v/>
      </c>
      <c r="G1563" s="39" t="n"/>
      <c r="H1563" s="14">
        <f>INDEX(VarLab,MATCH($A1563,VarKey,0))&amp;INDEX(MemLab,MATCH($C1563&amp;"|"&amp;$B1563,MemKey,0))</f>
        <v/>
      </c>
      <c r="I1563" s="14">
        <f>INDEX(VarUnit,MATCH($A1563,VarKey,0))</f>
        <v/>
      </c>
      <c r="J1563" s="14">
        <f>INDEX(VarSrc,MATCH($A1563,VarKey,0))</f>
        <v/>
      </c>
      <c r="K1563" s="11">
        <f>CodePrefix&amp;$A1563&amp;IF($C1563="","","."&amp;$C1563&amp;"."&amp;$B1563)&amp;INDEX(VarEnd,MATCH($A1563,VarKey,0))&amp;K$5</f>
        <v/>
      </c>
      <c r="L1563" s="40">
        <f>$D1563*($E1563*L$321+$F1563*L$324)</f>
        <v/>
      </c>
      <c r="M1563" s="35">
        <f>$D1563*($E1563*M$321+$F1563*M$324)</f>
        <v/>
      </c>
      <c r="N1563" s="35">
        <f>$D1563*($E1563*N$321+$F1563*N$324)</f>
        <v/>
      </c>
      <c r="O1563" s="35">
        <f>$D1563*($E1563*O$321+$F1563*O$324)</f>
        <v/>
      </c>
      <c r="P1563" s="35">
        <f>$D1563*($E1563*P$321+$F1563*P$324)</f>
        <v/>
      </c>
      <c r="Q1563" s="35">
        <f>$D1563*($E1563*Q$321+$F1563*Q$324)</f>
        <v/>
      </c>
      <c r="R1563" s="35">
        <f>$D1563*($E1563*R$321+$F1563*R$324)</f>
        <v/>
      </c>
      <c r="S1563" s="35">
        <f>$D1563*($E1563*S$321+$F1563*S$324)</f>
        <v/>
      </c>
      <c r="T1563" s="35">
        <f>$D1563*($E1563*T$321+$F1563*T$324)</f>
        <v/>
      </c>
      <c r="U1563" s="35">
        <f>$D1563*($E1563*U$321+$F1563*U$324)</f>
        <v/>
      </c>
      <c r="V1563" s="35">
        <f>$D1563*($E1563*V$321+$F1563*V$324)</f>
        <v/>
      </c>
      <c r="W1563" s="35">
        <f>$D1563*($E1563*W$321+$F1563*W$324)</f>
        <v/>
      </c>
      <c r="X1563" s="35">
        <f>$D1563*($E1563*X$321+$F1563*X$324)</f>
        <v/>
      </c>
      <c r="Y1563" s="35">
        <f>$D1563*($E1563*Y$321+$F1563*Y$324)</f>
        <v/>
      </c>
      <c r="Z1563" s="35">
        <f>$D1563*($E1563*Z$321+$F1563*Z$324)</f>
        <v/>
      </c>
      <c r="AA1563" s="35">
        <f>$D1563*($E1563*AA$321+$F1563*AA$324)</f>
        <v/>
      </c>
      <c r="AB1563" s="35">
        <f>$D1563*($E1563*AB$321+$F1563*AB$324)</f>
        <v/>
      </c>
      <c r="AC1563" s="35">
        <f>$D1563*($E1563*AC$321+$F1563*AC$324)</f>
        <v/>
      </c>
      <c r="AD1563" s="35">
        <f>$D1563*($E1563*AD$321+$F1563*AD$324)</f>
        <v/>
      </c>
      <c r="AE1563" s="42">
        <f>XCARBON($D1563,$E1563,AE$321,$F1563,AE$324)</f>
        <v/>
      </c>
      <c r="AG1563" s="11">
        <f>CodePrefix&amp;$A1563&amp;IF($C1563="","","."&amp;$C1563&amp;"."&amp;$B1563)&amp;INDEX(VarEnd,MATCH($A1563,VarKey,0))&amp;AG$5</f>
        <v/>
      </c>
      <c r="AH1563" s="40">
        <f>$D1563*($E1563*AH$321+$F1563*AH$324)</f>
        <v/>
      </c>
      <c r="AI1563" s="35">
        <f>$D1563*($E1563*AI$321+$F1563*AI$324)</f>
        <v/>
      </c>
      <c r="AJ1563" s="35">
        <f>$D1563*($E1563*AJ$321+$F1563*AJ$324)</f>
        <v/>
      </c>
      <c r="AK1563" s="35">
        <f>$D1563*($E1563*AK$321+$F1563*AK$324)</f>
        <v/>
      </c>
      <c r="AL1563" s="35">
        <f>$D1563*($E1563*AL$321+$F1563*AL$324)</f>
        <v/>
      </c>
      <c r="AM1563" s="35">
        <f>$D1563*($E1563*AM$321+$F1563*AM$324)</f>
        <v/>
      </c>
      <c r="AN1563" s="35">
        <f>$D1563*($E1563*AN$321+$F1563*AN$324)</f>
        <v/>
      </c>
      <c r="AO1563" s="35">
        <f>$D1563*($E1563*AO$321+$F1563*AO$324)</f>
        <v/>
      </c>
      <c r="AP1563" s="35">
        <f>$D1563*($E1563*AP$321+$F1563*AP$324)</f>
        <v/>
      </c>
      <c r="AQ1563" s="35">
        <f>$D1563*($E1563*AQ$321+$F1563*AQ$324)</f>
        <v/>
      </c>
      <c r="AR1563" s="35">
        <f>$D1563*($E1563*AR$321+$F1563*AR$324)</f>
        <v/>
      </c>
      <c r="AS1563" s="35">
        <f>$D1563*($E1563*AS$321+$F1563*AS$324)</f>
        <v/>
      </c>
      <c r="AT1563" s="35">
        <f>$D1563*($E1563*AT$321+$F1563*AT$324)</f>
        <v/>
      </c>
      <c r="AU1563" s="35">
        <f>$D1563*($E1563*AU$321+$F1563*AU$324)</f>
        <v/>
      </c>
      <c r="AV1563" s="35">
        <f>$D1563*($E1563*AV$321+$F1563*AV$324)</f>
        <v/>
      </c>
      <c r="AW1563" s="35">
        <f>$D1563*($E1563*AW$321+$F1563*AW$324)</f>
        <v/>
      </c>
      <c r="AX1563" s="35">
        <f>$D1563*($E1563*AX$321+$F1563*AX$324)</f>
        <v/>
      </c>
      <c r="AY1563" s="35">
        <f>$D1563*($E1563*AY$321+$F1563*AY$324)</f>
        <v/>
      </c>
      <c r="AZ1563" s="35">
        <f>$D1563*($E1563*AZ$321+$F1563*AZ$324)</f>
        <v/>
      </c>
      <c r="BA1563" s="42">
        <f>XCARBON($D1563,$E1563,BA$321,$F1563,BA$324)</f>
        <v/>
      </c>
    </row>
    <row r="1564" hidden="1" outlineLevel="2">
      <c r="A1564" s="14" t="inlineStr">
        <is>
          <t>xcp</t>
        </is>
      </c>
      <c r="B1564" s="14" t="inlineStr">
        <is>
          <t>oop</t>
        </is>
      </c>
      <c r="C1564" s="14" t="inlineStr">
        <is>
          <t>res</t>
        </is>
      </c>
      <c r="D1564" s="35">
        <f>INDEX(Inputs!$W$5:$W$132,MATCH($B1564&amp;"|"&amp;$C1564,Inputs!$A$5:$A$132,0))</f>
        <v/>
      </c>
      <c r="E1564" s="35">
        <f>INDEX(Inputs!$Z$5:$Z$132,MATCH($B1564&amp;"|"&amp;$C1564,Inputs!$A$5:$A$132,0))</f>
        <v/>
      </c>
      <c r="F1564" s="35">
        <f>INDEX(Inputs!$AA$5:$AA$132,MATCH($B1564&amp;"|"&amp;$C1564,Inputs!$A$5:$A$132,0))</f>
        <v/>
      </c>
      <c r="G1564" s="39" t="n"/>
      <c r="H1564" s="14">
        <f>INDEX(VarLab,MATCH($A1564,VarKey,0))&amp;INDEX(MemLab,MATCH($C1564&amp;"|"&amp;$B1564,MemKey,0))</f>
        <v/>
      </c>
      <c r="I1564" s="14">
        <f>INDEX(VarUnit,MATCH($A1564,VarKey,0))</f>
        <v/>
      </c>
      <c r="J1564" s="14">
        <f>INDEX(VarSrc,MATCH($A1564,VarKey,0))</f>
        <v/>
      </c>
      <c r="K1564" s="11">
        <f>CodePrefix&amp;$A1564&amp;IF($C1564="","","."&amp;$C1564&amp;"."&amp;$B1564)&amp;INDEX(VarEnd,MATCH($A1564,VarKey,0))&amp;K$5</f>
        <v/>
      </c>
      <c r="L1564" s="40">
        <f>$D1564*($E1564*L$321+$F1564*L$324)</f>
        <v/>
      </c>
      <c r="M1564" s="35">
        <f>$D1564*($E1564*M$321+$F1564*M$324)</f>
        <v/>
      </c>
      <c r="N1564" s="35">
        <f>$D1564*($E1564*N$321+$F1564*N$324)</f>
        <v/>
      </c>
      <c r="O1564" s="35">
        <f>$D1564*($E1564*O$321+$F1564*O$324)</f>
        <v/>
      </c>
      <c r="P1564" s="35">
        <f>$D1564*($E1564*P$321+$F1564*P$324)</f>
        <v/>
      </c>
      <c r="Q1564" s="35">
        <f>$D1564*($E1564*Q$321+$F1564*Q$324)</f>
        <v/>
      </c>
      <c r="R1564" s="35">
        <f>$D1564*($E1564*R$321+$F1564*R$324)</f>
        <v/>
      </c>
      <c r="S1564" s="35">
        <f>$D1564*($E1564*S$321+$F1564*S$324)</f>
        <v/>
      </c>
      <c r="T1564" s="35">
        <f>$D1564*($E1564*T$321+$F1564*T$324)</f>
        <v/>
      </c>
      <c r="U1564" s="35">
        <f>$D1564*($E1564*U$321+$F1564*U$324)</f>
        <v/>
      </c>
      <c r="V1564" s="35">
        <f>$D1564*($E1564*V$321+$F1564*V$324)</f>
        <v/>
      </c>
      <c r="W1564" s="35">
        <f>$D1564*($E1564*W$321+$F1564*W$324)</f>
        <v/>
      </c>
      <c r="X1564" s="35">
        <f>$D1564*($E1564*X$321+$F1564*X$324)</f>
        <v/>
      </c>
      <c r="Y1564" s="35">
        <f>$D1564*($E1564*Y$321+$F1564*Y$324)</f>
        <v/>
      </c>
      <c r="Z1564" s="35">
        <f>$D1564*($E1564*Z$321+$F1564*Z$324)</f>
        <v/>
      </c>
      <c r="AA1564" s="35">
        <f>$D1564*($E1564*AA$321+$F1564*AA$324)</f>
        <v/>
      </c>
      <c r="AB1564" s="35">
        <f>$D1564*($E1564*AB$321+$F1564*AB$324)</f>
        <v/>
      </c>
      <c r="AC1564" s="35">
        <f>$D1564*($E1564*AC$321+$F1564*AC$324)</f>
        <v/>
      </c>
      <c r="AD1564" s="35">
        <f>$D1564*($E1564*AD$321+$F1564*AD$324)</f>
        <v/>
      </c>
      <c r="AE1564" s="42">
        <f>XCARBON($D1564,$E1564,AE$321,$F1564,AE$324)</f>
        <v/>
      </c>
      <c r="AG1564" s="11">
        <f>CodePrefix&amp;$A1564&amp;IF($C1564="","","."&amp;$C1564&amp;"."&amp;$B1564)&amp;INDEX(VarEnd,MATCH($A1564,VarKey,0))&amp;AG$5</f>
        <v/>
      </c>
      <c r="AH1564" s="40">
        <f>$D1564*($E1564*AH$321+$F1564*AH$324)</f>
        <v/>
      </c>
      <c r="AI1564" s="35">
        <f>$D1564*($E1564*AI$321+$F1564*AI$324)</f>
        <v/>
      </c>
      <c r="AJ1564" s="35">
        <f>$D1564*($E1564*AJ$321+$F1564*AJ$324)</f>
        <v/>
      </c>
      <c r="AK1564" s="35">
        <f>$D1564*($E1564*AK$321+$F1564*AK$324)</f>
        <v/>
      </c>
      <c r="AL1564" s="35">
        <f>$D1564*($E1564*AL$321+$F1564*AL$324)</f>
        <v/>
      </c>
      <c r="AM1564" s="35">
        <f>$D1564*($E1564*AM$321+$F1564*AM$324)</f>
        <v/>
      </c>
      <c r="AN1564" s="35">
        <f>$D1564*($E1564*AN$321+$F1564*AN$324)</f>
        <v/>
      </c>
      <c r="AO1564" s="35">
        <f>$D1564*($E1564*AO$321+$F1564*AO$324)</f>
        <v/>
      </c>
      <c r="AP1564" s="35">
        <f>$D1564*($E1564*AP$321+$F1564*AP$324)</f>
        <v/>
      </c>
      <c r="AQ1564" s="35">
        <f>$D1564*($E1564*AQ$321+$F1564*AQ$324)</f>
        <v/>
      </c>
      <c r="AR1564" s="35">
        <f>$D1564*($E1564*AR$321+$F1564*AR$324)</f>
        <v/>
      </c>
      <c r="AS1564" s="35">
        <f>$D1564*($E1564*AS$321+$F1564*AS$324)</f>
        <v/>
      </c>
      <c r="AT1564" s="35">
        <f>$D1564*($E1564*AT$321+$F1564*AT$324)</f>
        <v/>
      </c>
      <c r="AU1564" s="35">
        <f>$D1564*($E1564*AU$321+$F1564*AU$324)</f>
        <v/>
      </c>
      <c r="AV1564" s="35">
        <f>$D1564*($E1564*AV$321+$F1564*AV$324)</f>
        <v/>
      </c>
      <c r="AW1564" s="35">
        <f>$D1564*($E1564*AW$321+$F1564*AW$324)</f>
        <v/>
      </c>
      <c r="AX1564" s="35">
        <f>$D1564*($E1564*AX$321+$F1564*AX$324)</f>
        <v/>
      </c>
      <c r="AY1564" s="35">
        <f>$D1564*($E1564*AY$321+$F1564*AY$324)</f>
        <v/>
      </c>
      <c r="AZ1564" s="35">
        <f>$D1564*($E1564*AZ$321+$F1564*AZ$324)</f>
        <v/>
      </c>
      <c r="BA1564" s="42">
        <f>XCARBON($D1564,$E1564,BA$321,$F1564,BA$324)</f>
        <v/>
      </c>
    </row>
    <row r="1565" hidden="1" outlineLevel="2">
      <c r="A1565" s="14" t="inlineStr">
        <is>
          <t>xcp</t>
        </is>
      </c>
      <c r="B1565" s="14" t="inlineStr">
        <is>
          <t>bio</t>
        </is>
      </c>
      <c r="C1565" s="14" t="inlineStr">
        <is>
          <t>res</t>
        </is>
      </c>
      <c r="D1565" s="35">
        <f>INDEX(Inputs!$W$5:$W$132,MATCH($B1565&amp;"|"&amp;$C1565,Inputs!$A$5:$A$132,0))</f>
        <v/>
      </c>
      <c r="E1565" s="35">
        <f>INDEX(Inputs!$Z$5:$Z$132,MATCH($B1565&amp;"|"&amp;$C1565,Inputs!$A$5:$A$132,0))</f>
        <v/>
      </c>
      <c r="F1565" s="35">
        <f>INDEX(Inputs!$AA$5:$AA$132,MATCH($B1565&amp;"|"&amp;$C1565,Inputs!$A$5:$A$132,0))</f>
        <v/>
      </c>
      <c r="G1565" s="39" t="n"/>
      <c r="H1565" s="14">
        <f>INDEX(VarLab,MATCH($A1565,VarKey,0))&amp;INDEX(MemLab,MATCH($C1565&amp;"|"&amp;$B1565,MemKey,0))</f>
        <v/>
      </c>
      <c r="I1565" s="14">
        <f>INDEX(VarUnit,MATCH($A1565,VarKey,0))</f>
        <v/>
      </c>
      <c r="J1565" s="14">
        <f>INDEX(VarSrc,MATCH($A1565,VarKey,0))</f>
        <v/>
      </c>
      <c r="K1565" s="11">
        <f>CodePrefix&amp;$A1565&amp;IF($C1565="","","."&amp;$C1565&amp;"."&amp;$B1565)&amp;INDEX(VarEnd,MATCH($A1565,VarKey,0))&amp;K$5</f>
        <v/>
      </c>
      <c r="L1565" s="40">
        <f>$D1565*($E1565*L$321+$F1565*L$324)</f>
        <v/>
      </c>
      <c r="M1565" s="35">
        <f>$D1565*($E1565*M$321+$F1565*M$324)</f>
        <v/>
      </c>
      <c r="N1565" s="35">
        <f>$D1565*($E1565*N$321+$F1565*N$324)</f>
        <v/>
      </c>
      <c r="O1565" s="35">
        <f>$D1565*($E1565*O$321+$F1565*O$324)</f>
        <v/>
      </c>
      <c r="P1565" s="35">
        <f>$D1565*($E1565*P$321+$F1565*P$324)</f>
        <v/>
      </c>
      <c r="Q1565" s="35">
        <f>$D1565*($E1565*Q$321+$F1565*Q$324)</f>
        <v/>
      </c>
      <c r="R1565" s="35">
        <f>$D1565*($E1565*R$321+$F1565*R$324)</f>
        <v/>
      </c>
      <c r="S1565" s="35">
        <f>$D1565*($E1565*S$321+$F1565*S$324)</f>
        <v/>
      </c>
      <c r="T1565" s="35">
        <f>$D1565*($E1565*T$321+$F1565*T$324)</f>
        <v/>
      </c>
      <c r="U1565" s="35">
        <f>$D1565*($E1565*U$321+$F1565*U$324)</f>
        <v/>
      </c>
      <c r="V1565" s="35">
        <f>$D1565*($E1565*V$321+$F1565*V$324)</f>
        <v/>
      </c>
      <c r="W1565" s="35">
        <f>$D1565*($E1565*W$321+$F1565*W$324)</f>
        <v/>
      </c>
      <c r="X1565" s="35">
        <f>$D1565*($E1565*X$321+$F1565*X$324)</f>
        <v/>
      </c>
      <c r="Y1565" s="35">
        <f>$D1565*($E1565*Y$321+$F1565*Y$324)</f>
        <v/>
      </c>
      <c r="Z1565" s="35">
        <f>$D1565*($E1565*Z$321+$F1565*Z$324)</f>
        <v/>
      </c>
      <c r="AA1565" s="35">
        <f>$D1565*($E1565*AA$321+$F1565*AA$324)</f>
        <v/>
      </c>
      <c r="AB1565" s="35">
        <f>$D1565*($E1565*AB$321+$F1565*AB$324)</f>
        <v/>
      </c>
      <c r="AC1565" s="35">
        <f>$D1565*($E1565*AC$321+$F1565*AC$324)</f>
        <v/>
      </c>
      <c r="AD1565" s="35">
        <f>$D1565*($E1565*AD$321+$F1565*AD$324)</f>
        <v/>
      </c>
      <c r="AE1565" s="42">
        <f>XCARBON($D1565,$E1565,AE$321,$F1565,AE$324)</f>
        <v/>
      </c>
      <c r="AG1565" s="11">
        <f>CodePrefix&amp;$A1565&amp;IF($C1565="","","."&amp;$C1565&amp;"."&amp;$B1565)&amp;INDEX(VarEnd,MATCH($A1565,VarKey,0))&amp;AG$5</f>
        <v/>
      </c>
      <c r="AH1565" s="40">
        <f>$D1565*($E1565*AH$321+$F1565*AH$324)</f>
        <v/>
      </c>
      <c r="AI1565" s="35">
        <f>$D1565*($E1565*AI$321+$F1565*AI$324)</f>
        <v/>
      </c>
      <c r="AJ1565" s="35">
        <f>$D1565*($E1565*AJ$321+$F1565*AJ$324)</f>
        <v/>
      </c>
      <c r="AK1565" s="35">
        <f>$D1565*($E1565*AK$321+$F1565*AK$324)</f>
        <v/>
      </c>
      <c r="AL1565" s="35">
        <f>$D1565*($E1565*AL$321+$F1565*AL$324)</f>
        <v/>
      </c>
      <c r="AM1565" s="35">
        <f>$D1565*($E1565*AM$321+$F1565*AM$324)</f>
        <v/>
      </c>
      <c r="AN1565" s="35">
        <f>$D1565*($E1565*AN$321+$F1565*AN$324)</f>
        <v/>
      </c>
      <c r="AO1565" s="35">
        <f>$D1565*($E1565*AO$321+$F1565*AO$324)</f>
        <v/>
      </c>
      <c r="AP1565" s="35">
        <f>$D1565*($E1565*AP$321+$F1565*AP$324)</f>
        <v/>
      </c>
      <c r="AQ1565" s="35">
        <f>$D1565*($E1565*AQ$321+$F1565*AQ$324)</f>
        <v/>
      </c>
      <c r="AR1565" s="35">
        <f>$D1565*($E1565*AR$321+$F1565*AR$324)</f>
        <v/>
      </c>
      <c r="AS1565" s="35">
        <f>$D1565*($E1565*AS$321+$F1565*AS$324)</f>
        <v/>
      </c>
      <c r="AT1565" s="35">
        <f>$D1565*($E1565*AT$321+$F1565*AT$324)</f>
        <v/>
      </c>
      <c r="AU1565" s="35">
        <f>$D1565*($E1565*AU$321+$F1565*AU$324)</f>
        <v/>
      </c>
      <c r="AV1565" s="35">
        <f>$D1565*($E1565*AV$321+$F1565*AV$324)</f>
        <v/>
      </c>
      <c r="AW1565" s="35">
        <f>$D1565*($E1565*AW$321+$F1565*AW$324)</f>
        <v/>
      </c>
      <c r="AX1565" s="35">
        <f>$D1565*($E1565*AX$321+$F1565*AX$324)</f>
        <v/>
      </c>
      <c r="AY1565" s="35">
        <f>$D1565*($E1565*AY$321+$F1565*AY$324)</f>
        <v/>
      </c>
      <c r="AZ1565" s="35">
        <f>$D1565*($E1565*AZ$321+$F1565*AZ$324)</f>
        <v/>
      </c>
      <c r="BA1565" s="42">
        <f>XCARBON($D1565,$E1565,BA$321,$F1565,BA$324)</f>
        <v/>
      </c>
    </row>
    <row r="1566" hidden="1" outlineLevel="2"/>
    <row r="1567" hidden="1" outlineLevel="2">
      <c r="A1567" s="14" t="inlineStr">
        <is>
          <t>xcpd</t>
        </is>
      </c>
      <c r="B1567" s="14" t="inlineStr">
        <is>
          <t>coa</t>
        </is>
      </c>
      <c r="C1567" s="14" t="inlineStr">
        <is>
          <t>res</t>
        </is>
      </c>
      <c r="D1567" s="35">
        <f>INDEX(Inputs!$W$5:$W$132,MATCH($B1567&amp;"|"&amp;$C1567,Inputs!$A$5:$A$132,0))</f>
        <v/>
      </c>
      <c r="E1567" s="35">
        <f>INDEX(Inputs!$Z$5:$Z$132,MATCH($B1567&amp;"|"&amp;$C1567,Inputs!$A$5:$A$132,0))</f>
        <v/>
      </c>
      <c r="F1567" s="35">
        <f>INDEX(Inputs!$AA$5:$AA$132,MATCH($B1567&amp;"|"&amp;$C1567,Inputs!$A$5:$A$132,0))</f>
        <v/>
      </c>
      <c r="G1567" s="39" t="n"/>
      <c r="H1567" s="14">
        <f>INDEX(VarLab,MATCH($A1567,VarKey,0))&amp;INDEX(MemLab,MATCH($C1567&amp;"|"&amp;$B1567,MemKey,0))</f>
        <v/>
      </c>
      <c r="I1567" s="14">
        <f>INDEX(VarUnit,MATCH($A1567,VarKey,0))</f>
        <v/>
      </c>
      <c r="J1567" s="14">
        <f>INDEX(VarSrc,MATCH($A1567,VarKey,0))</f>
        <v/>
      </c>
      <c r="K1567" s="11">
        <f>CodePrefix&amp;$A1567&amp;IF($C1567="","","."&amp;$C1567&amp;"."&amp;$B1567)&amp;INDEX(VarEnd,MATCH($A1567,VarKey,0))&amp;K$5</f>
        <v/>
      </c>
      <c r="L1567" s="40">
        <f>$D1567*($E1567*(L$321-L$322)+$F1567*(L$324-L$325))</f>
        <v/>
      </c>
      <c r="M1567" s="35">
        <f>$D1567*($E1567*(M$321-M$322)+$F1567*(M$324-M$325))</f>
        <v/>
      </c>
      <c r="N1567" s="35">
        <f>$D1567*($E1567*(N$321-N$322)+$F1567*(N$324-N$325))</f>
        <v/>
      </c>
      <c r="O1567" s="35">
        <f>$D1567*($E1567*(O$321-O$322)+$F1567*(O$324-O$325))</f>
        <v/>
      </c>
      <c r="P1567" s="35">
        <f>$D1567*($E1567*(P$321-P$322)+$F1567*(P$324-P$325))</f>
        <v/>
      </c>
      <c r="Q1567" s="35">
        <f>$D1567*($E1567*(Q$321-Q$322)+$F1567*(Q$324-Q$325))</f>
        <v/>
      </c>
      <c r="R1567" s="35">
        <f>$D1567*($E1567*(R$321-R$322)+$F1567*(R$324-R$325))</f>
        <v/>
      </c>
      <c r="S1567" s="35">
        <f>$D1567*($E1567*(S$321-S$322)+$F1567*(S$324-S$325))</f>
        <v/>
      </c>
      <c r="T1567" s="35">
        <f>$D1567*($E1567*(T$321-T$322)+$F1567*(T$324-T$325))</f>
        <v/>
      </c>
      <c r="U1567" s="35">
        <f>$D1567*($E1567*(U$321-U$322)+$F1567*(U$324-U$325))</f>
        <v/>
      </c>
      <c r="V1567" s="35">
        <f>$D1567*($E1567*(V$321-V$322)+$F1567*(V$324-V$325))</f>
        <v/>
      </c>
      <c r="W1567" s="35">
        <f>$D1567*($E1567*(W$321-W$322)+$F1567*(W$324-W$325))</f>
        <v/>
      </c>
      <c r="X1567" s="35">
        <f>$D1567*($E1567*(X$321-X$322)+$F1567*(X$324-X$325))</f>
        <v/>
      </c>
      <c r="Y1567" s="35">
        <f>$D1567*($E1567*(Y$321-Y$322)+$F1567*(Y$324-Y$325))</f>
        <v/>
      </c>
      <c r="Z1567" s="35">
        <f>$D1567*($E1567*(Z$321-Z$322)+$F1567*(Z$324-Z$325))</f>
        <v/>
      </c>
      <c r="AA1567" s="35">
        <f>$D1567*($E1567*(AA$321-AA$322)+$F1567*(AA$324-AA$325))</f>
        <v/>
      </c>
      <c r="AB1567" s="35">
        <f>$D1567*($E1567*(AB$321-AB$322)+$F1567*(AB$324-AB$325))</f>
        <v/>
      </c>
      <c r="AC1567" s="35">
        <f>$D1567*($E1567*(AC$321-AC$322)+$F1567*(AC$324-AC$325))</f>
        <v/>
      </c>
      <c r="AD1567" s="35">
        <f>$D1567*($E1567*(AD$321-AD$322)+$F1567*(AD$324-AD$325))</f>
        <v/>
      </c>
      <c r="AE1567" s="42">
        <f>XCARBON($D1567,$E1567,(AE$321-AE$322),$F1567,(AE$324-AE$325))</f>
        <v/>
      </c>
      <c r="AG1567" s="11">
        <f>CodePrefix&amp;$A1567&amp;IF($C1567="","","."&amp;$C1567&amp;"."&amp;$B1567)&amp;INDEX(VarEnd,MATCH($A1567,VarKey,0))&amp;AG$5</f>
        <v/>
      </c>
      <c r="AH1567" s="40">
        <f>$D1567*($E1567*(AH$321-AH$322)+$F1567*(AH$324-AH$325))</f>
        <v/>
      </c>
      <c r="AI1567" s="35">
        <f>$D1567*($E1567*(AI$321-AI$322)+$F1567*(AI$324-AI$325))</f>
        <v/>
      </c>
      <c r="AJ1567" s="35">
        <f>$D1567*($E1567*(AJ$321-AJ$322)+$F1567*(AJ$324-AJ$325))</f>
        <v/>
      </c>
      <c r="AK1567" s="35">
        <f>$D1567*($E1567*(AK$321-AK$322)+$F1567*(AK$324-AK$325))</f>
        <v/>
      </c>
      <c r="AL1567" s="35">
        <f>$D1567*($E1567*(AL$321-AL$322)+$F1567*(AL$324-AL$325))</f>
        <v/>
      </c>
      <c r="AM1567" s="35">
        <f>$D1567*($E1567*(AM$321-AM$322)+$F1567*(AM$324-AM$325))</f>
        <v/>
      </c>
      <c r="AN1567" s="35">
        <f>$D1567*($E1567*(AN$321-AN$322)+$F1567*(AN$324-AN$325))</f>
        <v/>
      </c>
      <c r="AO1567" s="35">
        <f>$D1567*($E1567*(AO$321-AO$322)+$F1567*(AO$324-AO$325))</f>
        <v/>
      </c>
      <c r="AP1567" s="35">
        <f>$D1567*($E1567*(AP$321-AP$322)+$F1567*(AP$324-AP$325))</f>
        <v/>
      </c>
      <c r="AQ1567" s="35">
        <f>$D1567*($E1567*(AQ$321-AQ$322)+$F1567*(AQ$324-AQ$325))</f>
        <v/>
      </c>
      <c r="AR1567" s="35">
        <f>$D1567*($E1567*(AR$321-AR$322)+$F1567*(AR$324-AR$325))</f>
        <v/>
      </c>
      <c r="AS1567" s="35">
        <f>$D1567*($E1567*(AS$321-AS$322)+$F1567*(AS$324-AS$325))</f>
        <v/>
      </c>
      <c r="AT1567" s="35">
        <f>$D1567*($E1567*(AT$321-AT$322)+$F1567*(AT$324-AT$325))</f>
        <v/>
      </c>
      <c r="AU1567" s="35">
        <f>$D1567*($E1567*(AU$321-AU$322)+$F1567*(AU$324-AU$325))</f>
        <v/>
      </c>
      <c r="AV1567" s="35">
        <f>$D1567*($E1567*(AV$321-AV$322)+$F1567*(AV$324-AV$325))</f>
        <v/>
      </c>
      <c r="AW1567" s="35">
        <f>$D1567*($E1567*(AW$321-AW$322)+$F1567*(AW$324-AW$325))</f>
        <v/>
      </c>
      <c r="AX1567" s="35">
        <f>$D1567*($E1567*(AX$321-AX$322)+$F1567*(AX$324-AX$325))</f>
        <v/>
      </c>
      <c r="AY1567" s="35">
        <f>$D1567*($E1567*(AY$321-AY$322)+$F1567*(AY$324-AY$325))</f>
        <v/>
      </c>
      <c r="AZ1567" s="35">
        <f>$D1567*($E1567*(AZ$321-AZ$322)+$F1567*(AZ$324-AZ$325))</f>
        <v/>
      </c>
      <c r="BA1567" s="42">
        <f>XCARBON($D1567,$E1567,(BA$321-BA$322),$F1567,(BA$324-BA$325))</f>
        <v/>
      </c>
    </row>
    <row r="1568" hidden="1" outlineLevel="2">
      <c r="A1568" s="14" t="inlineStr">
        <is>
          <t>xcpd</t>
        </is>
      </c>
      <c r="B1568" s="14" t="inlineStr">
        <is>
          <t>nga</t>
        </is>
      </c>
      <c r="C1568" s="14" t="inlineStr">
        <is>
          <t>res</t>
        </is>
      </c>
      <c r="D1568" s="35">
        <f>INDEX(Inputs!$W$5:$W$132,MATCH($B1568&amp;"|"&amp;$C1568,Inputs!$A$5:$A$132,0))</f>
        <v/>
      </c>
      <c r="E1568" s="35">
        <f>INDEX(Inputs!$Z$5:$Z$132,MATCH($B1568&amp;"|"&amp;$C1568,Inputs!$A$5:$A$132,0))</f>
        <v/>
      </c>
      <c r="F1568" s="35">
        <f>INDEX(Inputs!$AA$5:$AA$132,MATCH($B1568&amp;"|"&amp;$C1568,Inputs!$A$5:$A$132,0))</f>
        <v/>
      </c>
      <c r="G1568" s="39" t="n"/>
      <c r="H1568" s="14">
        <f>INDEX(VarLab,MATCH($A1568,VarKey,0))&amp;INDEX(MemLab,MATCH($C1568&amp;"|"&amp;$B1568,MemKey,0))</f>
        <v/>
      </c>
      <c r="I1568" s="14">
        <f>INDEX(VarUnit,MATCH($A1568,VarKey,0))</f>
        <v/>
      </c>
      <c r="J1568" s="14">
        <f>INDEX(VarSrc,MATCH($A1568,VarKey,0))</f>
        <v/>
      </c>
      <c r="K1568" s="11">
        <f>CodePrefix&amp;$A1568&amp;IF($C1568="","","."&amp;$C1568&amp;"."&amp;$B1568)&amp;INDEX(VarEnd,MATCH($A1568,VarKey,0))&amp;K$5</f>
        <v/>
      </c>
      <c r="L1568" s="40">
        <f>$D1568*($E1568*(L$321-L$322)+$F1568*(L$324-L$325))</f>
        <v/>
      </c>
      <c r="M1568" s="35">
        <f>$D1568*($E1568*(M$321-M$322)+$F1568*(M$324-M$325))</f>
        <v/>
      </c>
      <c r="N1568" s="35">
        <f>$D1568*($E1568*(N$321-N$322)+$F1568*(N$324-N$325))</f>
        <v/>
      </c>
      <c r="O1568" s="35">
        <f>$D1568*($E1568*(O$321-O$322)+$F1568*(O$324-O$325))</f>
        <v/>
      </c>
      <c r="P1568" s="35">
        <f>$D1568*($E1568*(P$321-P$322)+$F1568*(P$324-P$325))</f>
        <v/>
      </c>
      <c r="Q1568" s="35">
        <f>$D1568*($E1568*(Q$321-Q$322)+$F1568*(Q$324-Q$325))</f>
        <v/>
      </c>
      <c r="R1568" s="35">
        <f>$D1568*($E1568*(R$321-R$322)+$F1568*(R$324-R$325))</f>
        <v/>
      </c>
      <c r="S1568" s="35">
        <f>$D1568*($E1568*(S$321-S$322)+$F1568*(S$324-S$325))</f>
        <v/>
      </c>
      <c r="T1568" s="35">
        <f>$D1568*($E1568*(T$321-T$322)+$F1568*(T$324-T$325))</f>
        <v/>
      </c>
      <c r="U1568" s="35">
        <f>$D1568*($E1568*(U$321-U$322)+$F1568*(U$324-U$325))</f>
        <v/>
      </c>
      <c r="V1568" s="35">
        <f>$D1568*($E1568*(V$321-V$322)+$F1568*(V$324-V$325))</f>
        <v/>
      </c>
      <c r="W1568" s="35">
        <f>$D1568*($E1568*(W$321-W$322)+$F1568*(W$324-W$325))</f>
        <v/>
      </c>
      <c r="X1568" s="35">
        <f>$D1568*($E1568*(X$321-X$322)+$F1568*(X$324-X$325))</f>
        <v/>
      </c>
      <c r="Y1568" s="35">
        <f>$D1568*($E1568*(Y$321-Y$322)+$F1568*(Y$324-Y$325))</f>
        <v/>
      </c>
      <c r="Z1568" s="35">
        <f>$D1568*($E1568*(Z$321-Z$322)+$F1568*(Z$324-Z$325))</f>
        <v/>
      </c>
      <c r="AA1568" s="35">
        <f>$D1568*($E1568*(AA$321-AA$322)+$F1568*(AA$324-AA$325))</f>
        <v/>
      </c>
      <c r="AB1568" s="35">
        <f>$D1568*($E1568*(AB$321-AB$322)+$F1568*(AB$324-AB$325))</f>
        <v/>
      </c>
      <c r="AC1568" s="35">
        <f>$D1568*($E1568*(AC$321-AC$322)+$F1568*(AC$324-AC$325))</f>
        <v/>
      </c>
      <c r="AD1568" s="35">
        <f>$D1568*($E1568*(AD$321-AD$322)+$F1568*(AD$324-AD$325))</f>
        <v/>
      </c>
      <c r="AE1568" s="42">
        <f>XCARBON($D1568,$E1568,(AE$321-AE$322),$F1568,(AE$324-AE$325))</f>
        <v/>
      </c>
      <c r="AG1568" s="11">
        <f>CodePrefix&amp;$A1568&amp;IF($C1568="","","."&amp;$C1568&amp;"."&amp;$B1568)&amp;INDEX(VarEnd,MATCH($A1568,VarKey,0))&amp;AG$5</f>
        <v/>
      </c>
      <c r="AH1568" s="40">
        <f>$D1568*($E1568*(AH$321-AH$322)+$F1568*(AH$324-AH$325))</f>
        <v/>
      </c>
      <c r="AI1568" s="35">
        <f>$D1568*($E1568*(AI$321-AI$322)+$F1568*(AI$324-AI$325))</f>
        <v/>
      </c>
      <c r="AJ1568" s="35">
        <f>$D1568*($E1568*(AJ$321-AJ$322)+$F1568*(AJ$324-AJ$325))</f>
        <v/>
      </c>
      <c r="AK1568" s="35">
        <f>$D1568*($E1568*(AK$321-AK$322)+$F1568*(AK$324-AK$325))</f>
        <v/>
      </c>
      <c r="AL1568" s="35">
        <f>$D1568*($E1568*(AL$321-AL$322)+$F1568*(AL$324-AL$325))</f>
        <v/>
      </c>
      <c r="AM1568" s="35">
        <f>$D1568*($E1568*(AM$321-AM$322)+$F1568*(AM$324-AM$325))</f>
        <v/>
      </c>
      <c r="AN1568" s="35">
        <f>$D1568*($E1568*(AN$321-AN$322)+$F1568*(AN$324-AN$325))</f>
        <v/>
      </c>
      <c r="AO1568" s="35">
        <f>$D1568*($E1568*(AO$321-AO$322)+$F1568*(AO$324-AO$325))</f>
        <v/>
      </c>
      <c r="AP1568" s="35">
        <f>$D1568*($E1568*(AP$321-AP$322)+$F1568*(AP$324-AP$325))</f>
        <v/>
      </c>
      <c r="AQ1568" s="35">
        <f>$D1568*($E1568*(AQ$321-AQ$322)+$F1568*(AQ$324-AQ$325))</f>
        <v/>
      </c>
      <c r="AR1568" s="35">
        <f>$D1568*($E1568*(AR$321-AR$322)+$F1568*(AR$324-AR$325))</f>
        <v/>
      </c>
      <c r="AS1568" s="35">
        <f>$D1568*($E1568*(AS$321-AS$322)+$F1568*(AS$324-AS$325))</f>
        <v/>
      </c>
      <c r="AT1568" s="35">
        <f>$D1568*($E1568*(AT$321-AT$322)+$F1568*(AT$324-AT$325))</f>
        <v/>
      </c>
      <c r="AU1568" s="35">
        <f>$D1568*($E1568*(AU$321-AU$322)+$F1568*(AU$324-AU$325))</f>
        <v/>
      </c>
      <c r="AV1568" s="35">
        <f>$D1568*($E1568*(AV$321-AV$322)+$F1568*(AV$324-AV$325))</f>
        <v/>
      </c>
      <c r="AW1568" s="35">
        <f>$D1568*($E1568*(AW$321-AW$322)+$F1568*(AW$324-AW$325))</f>
        <v/>
      </c>
      <c r="AX1568" s="35">
        <f>$D1568*($E1568*(AX$321-AX$322)+$F1568*(AX$324-AX$325))</f>
        <v/>
      </c>
      <c r="AY1568" s="35">
        <f>$D1568*($E1568*(AY$321-AY$322)+$F1568*(AY$324-AY$325))</f>
        <v/>
      </c>
      <c r="AZ1568" s="35">
        <f>$D1568*($E1568*(AZ$321-AZ$322)+$F1568*(AZ$324-AZ$325))</f>
        <v/>
      </c>
      <c r="BA1568" s="42">
        <f>XCARBON($D1568,$E1568,(BA$321-BA$322),$F1568,(BA$324-BA$325))</f>
        <v/>
      </c>
    </row>
    <row r="1569" hidden="1" outlineLevel="2">
      <c r="A1569" s="14" t="inlineStr">
        <is>
          <t>xcpd</t>
        </is>
      </c>
      <c r="B1569" s="14" t="inlineStr">
        <is>
          <t>gso</t>
        </is>
      </c>
      <c r="C1569" s="14" t="inlineStr">
        <is>
          <t>res</t>
        </is>
      </c>
      <c r="D1569" s="35">
        <f>INDEX(Inputs!$W$5:$W$132,MATCH($B1569&amp;"|"&amp;$C1569,Inputs!$A$5:$A$132,0))</f>
        <v/>
      </c>
      <c r="E1569" s="35">
        <f>INDEX(Inputs!$Z$5:$Z$132,MATCH($B1569&amp;"|"&amp;$C1569,Inputs!$A$5:$A$132,0))</f>
        <v/>
      </c>
      <c r="F1569" s="35">
        <f>INDEX(Inputs!$AA$5:$AA$132,MATCH($B1569&amp;"|"&amp;$C1569,Inputs!$A$5:$A$132,0))</f>
        <v/>
      </c>
      <c r="G1569" s="39" t="n"/>
      <c r="H1569" s="14">
        <f>INDEX(VarLab,MATCH($A1569,VarKey,0))&amp;INDEX(MemLab,MATCH($C1569&amp;"|"&amp;$B1569,MemKey,0))</f>
        <v/>
      </c>
      <c r="I1569" s="14">
        <f>INDEX(VarUnit,MATCH($A1569,VarKey,0))</f>
        <v/>
      </c>
      <c r="J1569" s="14">
        <f>INDEX(VarSrc,MATCH($A1569,VarKey,0))</f>
        <v/>
      </c>
      <c r="K1569" s="11">
        <f>CodePrefix&amp;$A1569&amp;IF($C1569="","","."&amp;$C1569&amp;"."&amp;$B1569)&amp;INDEX(VarEnd,MATCH($A1569,VarKey,0))&amp;K$5</f>
        <v/>
      </c>
      <c r="L1569" s="40">
        <f>$D1569*($E1569*(L$321-L$322)+$F1569*(L$324-L$325))</f>
        <v/>
      </c>
      <c r="M1569" s="35">
        <f>$D1569*($E1569*(M$321-M$322)+$F1569*(M$324-M$325))</f>
        <v/>
      </c>
      <c r="N1569" s="35">
        <f>$D1569*($E1569*(N$321-N$322)+$F1569*(N$324-N$325))</f>
        <v/>
      </c>
      <c r="O1569" s="35">
        <f>$D1569*($E1569*(O$321-O$322)+$F1569*(O$324-O$325))</f>
        <v/>
      </c>
      <c r="P1569" s="35">
        <f>$D1569*($E1569*(P$321-P$322)+$F1569*(P$324-P$325))</f>
        <v/>
      </c>
      <c r="Q1569" s="35">
        <f>$D1569*($E1569*(Q$321-Q$322)+$F1569*(Q$324-Q$325))</f>
        <v/>
      </c>
      <c r="R1569" s="35">
        <f>$D1569*($E1569*(R$321-R$322)+$F1569*(R$324-R$325))</f>
        <v/>
      </c>
      <c r="S1569" s="35">
        <f>$D1569*($E1569*(S$321-S$322)+$F1569*(S$324-S$325))</f>
        <v/>
      </c>
      <c r="T1569" s="35">
        <f>$D1569*($E1569*(T$321-T$322)+$F1569*(T$324-T$325))</f>
        <v/>
      </c>
      <c r="U1569" s="35">
        <f>$D1569*($E1569*(U$321-U$322)+$F1569*(U$324-U$325))</f>
        <v/>
      </c>
      <c r="V1569" s="35">
        <f>$D1569*($E1569*(V$321-V$322)+$F1569*(V$324-V$325))</f>
        <v/>
      </c>
      <c r="W1569" s="35">
        <f>$D1569*($E1569*(W$321-W$322)+$F1569*(W$324-W$325))</f>
        <v/>
      </c>
      <c r="X1569" s="35">
        <f>$D1569*($E1569*(X$321-X$322)+$F1569*(X$324-X$325))</f>
        <v/>
      </c>
      <c r="Y1569" s="35">
        <f>$D1569*($E1569*(Y$321-Y$322)+$F1569*(Y$324-Y$325))</f>
        <v/>
      </c>
      <c r="Z1569" s="35">
        <f>$D1569*($E1569*(Z$321-Z$322)+$F1569*(Z$324-Z$325))</f>
        <v/>
      </c>
      <c r="AA1569" s="35">
        <f>$D1569*($E1569*(AA$321-AA$322)+$F1569*(AA$324-AA$325))</f>
        <v/>
      </c>
      <c r="AB1569" s="35">
        <f>$D1569*($E1569*(AB$321-AB$322)+$F1569*(AB$324-AB$325))</f>
        <v/>
      </c>
      <c r="AC1569" s="35">
        <f>$D1569*($E1569*(AC$321-AC$322)+$F1569*(AC$324-AC$325))</f>
        <v/>
      </c>
      <c r="AD1569" s="35">
        <f>$D1569*($E1569*(AD$321-AD$322)+$F1569*(AD$324-AD$325))</f>
        <v/>
      </c>
      <c r="AE1569" s="42">
        <f>XCARBON($D1569,$E1569,(AE$321-AE$322),$F1569,(AE$324-AE$325))</f>
        <v/>
      </c>
      <c r="AG1569" s="11">
        <f>CodePrefix&amp;$A1569&amp;IF($C1569="","","."&amp;$C1569&amp;"."&amp;$B1569)&amp;INDEX(VarEnd,MATCH($A1569,VarKey,0))&amp;AG$5</f>
        <v/>
      </c>
      <c r="AH1569" s="40">
        <f>$D1569*($E1569*(AH$321-AH$322)+$F1569*(AH$324-AH$325))</f>
        <v/>
      </c>
      <c r="AI1569" s="35">
        <f>$D1569*($E1569*(AI$321-AI$322)+$F1569*(AI$324-AI$325))</f>
        <v/>
      </c>
      <c r="AJ1569" s="35">
        <f>$D1569*($E1569*(AJ$321-AJ$322)+$F1569*(AJ$324-AJ$325))</f>
        <v/>
      </c>
      <c r="AK1569" s="35">
        <f>$D1569*($E1569*(AK$321-AK$322)+$F1569*(AK$324-AK$325))</f>
        <v/>
      </c>
      <c r="AL1569" s="35">
        <f>$D1569*($E1569*(AL$321-AL$322)+$F1569*(AL$324-AL$325))</f>
        <v/>
      </c>
      <c r="AM1569" s="35">
        <f>$D1569*($E1569*(AM$321-AM$322)+$F1569*(AM$324-AM$325))</f>
        <v/>
      </c>
      <c r="AN1569" s="35">
        <f>$D1569*($E1569*(AN$321-AN$322)+$F1569*(AN$324-AN$325))</f>
        <v/>
      </c>
      <c r="AO1569" s="35">
        <f>$D1569*($E1569*(AO$321-AO$322)+$F1569*(AO$324-AO$325))</f>
        <v/>
      </c>
      <c r="AP1569" s="35">
        <f>$D1569*($E1569*(AP$321-AP$322)+$F1569*(AP$324-AP$325))</f>
        <v/>
      </c>
      <c r="AQ1569" s="35">
        <f>$D1569*($E1569*(AQ$321-AQ$322)+$F1569*(AQ$324-AQ$325))</f>
        <v/>
      </c>
      <c r="AR1569" s="35">
        <f>$D1569*($E1569*(AR$321-AR$322)+$F1569*(AR$324-AR$325))</f>
        <v/>
      </c>
      <c r="AS1569" s="35">
        <f>$D1569*($E1569*(AS$321-AS$322)+$F1569*(AS$324-AS$325))</f>
        <v/>
      </c>
      <c r="AT1569" s="35">
        <f>$D1569*($E1569*(AT$321-AT$322)+$F1569*(AT$324-AT$325))</f>
        <v/>
      </c>
      <c r="AU1569" s="35">
        <f>$D1569*($E1569*(AU$321-AU$322)+$F1569*(AU$324-AU$325))</f>
        <v/>
      </c>
      <c r="AV1569" s="35">
        <f>$D1569*($E1569*(AV$321-AV$322)+$F1569*(AV$324-AV$325))</f>
        <v/>
      </c>
      <c r="AW1569" s="35">
        <f>$D1569*($E1569*(AW$321-AW$322)+$F1569*(AW$324-AW$325))</f>
        <v/>
      </c>
      <c r="AX1569" s="35">
        <f>$D1569*($E1569*(AX$321-AX$322)+$F1569*(AX$324-AX$325))</f>
        <v/>
      </c>
      <c r="AY1569" s="35">
        <f>$D1569*($E1569*(AY$321-AY$322)+$F1569*(AY$324-AY$325))</f>
        <v/>
      </c>
      <c r="AZ1569" s="35">
        <f>$D1569*($E1569*(AZ$321-AZ$322)+$F1569*(AZ$324-AZ$325))</f>
        <v/>
      </c>
      <c r="BA1569" s="42">
        <f>XCARBON($D1569,$E1569,(BA$321-BA$322),$F1569,(BA$324-BA$325))</f>
        <v/>
      </c>
    </row>
    <row r="1570" hidden="1" outlineLevel="2">
      <c r="A1570" s="14" t="inlineStr">
        <is>
          <t>xcpd</t>
        </is>
      </c>
      <c r="B1570" s="14" t="inlineStr">
        <is>
          <t>die</t>
        </is>
      </c>
      <c r="C1570" s="14" t="inlineStr">
        <is>
          <t>res</t>
        </is>
      </c>
      <c r="D1570" s="35">
        <f>INDEX(Inputs!$W$5:$W$132,MATCH($B1570&amp;"|"&amp;$C1570,Inputs!$A$5:$A$132,0))</f>
        <v/>
      </c>
      <c r="E1570" s="35">
        <f>INDEX(Inputs!$Z$5:$Z$132,MATCH($B1570&amp;"|"&amp;$C1570,Inputs!$A$5:$A$132,0))</f>
        <v/>
      </c>
      <c r="F1570" s="35">
        <f>INDEX(Inputs!$AA$5:$AA$132,MATCH($B1570&amp;"|"&amp;$C1570,Inputs!$A$5:$A$132,0))</f>
        <v/>
      </c>
      <c r="G1570" s="39" t="n"/>
      <c r="H1570" s="14">
        <f>INDEX(VarLab,MATCH($A1570,VarKey,0))&amp;INDEX(MemLab,MATCH($C1570&amp;"|"&amp;$B1570,MemKey,0))</f>
        <v/>
      </c>
      <c r="I1570" s="14">
        <f>INDEX(VarUnit,MATCH($A1570,VarKey,0))</f>
        <v/>
      </c>
      <c r="J1570" s="14">
        <f>INDEX(VarSrc,MATCH($A1570,VarKey,0))</f>
        <v/>
      </c>
      <c r="K1570" s="11">
        <f>CodePrefix&amp;$A1570&amp;IF($C1570="","","."&amp;$C1570&amp;"."&amp;$B1570)&amp;INDEX(VarEnd,MATCH($A1570,VarKey,0))&amp;K$5</f>
        <v/>
      </c>
      <c r="L1570" s="40">
        <f>$D1570*($E1570*(L$321-L$322)+$F1570*(L$324-L$325))</f>
        <v/>
      </c>
      <c r="M1570" s="35">
        <f>$D1570*($E1570*(M$321-M$322)+$F1570*(M$324-M$325))</f>
        <v/>
      </c>
      <c r="N1570" s="35">
        <f>$D1570*($E1570*(N$321-N$322)+$F1570*(N$324-N$325))</f>
        <v/>
      </c>
      <c r="O1570" s="35">
        <f>$D1570*($E1570*(O$321-O$322)+$F1570*(O$324-O$325))</f>
        <v/>
      </c>
      <c r="P1570" s="35">
        <f>$D1570*($E1570*(P$321-P$322)+$F1570*(P$324-P$325))</f>
        <v/>
      </c>
      <c r="Q1570" s="35">
        <f>$D1570*($E1570*(Q$321-Q$322)+$F1570*(Q$324-Q$325))</f>
        <v/>
      </c>
      <c r="R1570" s="35">
        <f>$D1570*($E1570*(R$321-R$322)+$F1570*(R$324-R$325))</f>
        <v/>
      </c>
      <c r="S1570" s="35">
        <f>$D1570*($E1570*(S$321-S$322)+$F1570*(S$324-S$325))</f>
        <v/>
      </c>
      <c r="T1570" s="35">
        <f>$D1570*($E1570*(T$321-T$322)+$F1570*(T$324-T$325))</f>
        <v/>
      </c>
      <c r="U1570" s="35">
        <f>$D1570*($E1570*(U$321-U$322)+$F1570*(U$324-U$325))</f>
        <v/>
      </c>
      <c r="V1570" s="35">
        <f>$D1570*($E1570*(V$321-V$322)+$F1570*(V$324-V$325))</f>
        <v/>
      </c>
      <c r="W1570" s="35">
        <f>$D1570*($E1570*(W$321-W$322)+$F1570*(W$324-W$325))</f>
        <v/>
      </c>
      <c r="X1570" s="35">
        <f>$D1570*($E1570*(X$321-X$322)+$F1570*(X$324-X$325))</f>
        <v/>
      </c>
      <c r="Y1570" s="35">
        <f>$D1570*($E1570*(Y$321-Y$322)+$F1570*(Y$324-Y$325))</f>
        <v/>
      </c>
      <c r="Z1570" s="35">
        <f>$D1570*($E1570*(Z$321-Z$322)+$F1570*(Z$324-Z$325))</f>
        <v/>
      </c>
      <c r="AA1570" s="35">
        <f>$D1570*($E1570*(AA$321-AA$322)+$F1570*(AA$324-AA$325))</f>
        <v/>
      </c>
      <c r="AB1570" s="35">
        <f>$D1570*($E1570*(AB$321-AB$322)+$F1570*(AB$324-AB$325))</f>
        <v/>
      </c>
      <c r="AC1570" s="35">
        <f>$D1570*($E1570*(AC$321-AC$322)+$F1570*(AC$324-AC$325))</f>
        <v/>
      </c>
      <c r="AD1570" s="35">
        <f>$D1570*($E1570*(AD$321-AD$322)+$F1570*(AD$324-AD$325))</f>
        <v/>
      </c>
      <c r="AE1570" s="42">
        <f>XCARBON($D1570,$E1570,(AE$321-AE$322),$F1570,(AE$324-AE$325))</f>
        <v/>
      </c>
      <c r="AG1570" s="11">
        <f>CodePrefix&amp;$A1570&amp;IF($C1570="","","."&amp;$C1570&amp;"."&amp;$B1570)&amp;INDEX(VarEnd,MATCH($A1570,VarKey,0))&amp;AG$5</f>
        <v/>
      </c>
      <c r="AH1570" s="40">
        <f>$D1570*($E1570*(AH$321-AH$322)+$F1570*(AH$324-AH$325))</f>
        <v/>
      </c>
      <c r="AI1570" s="35">
        <f>$D1570*($E1570*(AI$321-AI$322)+$F1570*(AI$324-AI$325))</f>
        <v/>
      </c>
      <c r="AJ1570" s="35">
        <f>$D1570*($E1570*(AJ$321-AJ$322)+$F1570*(AJ$324-AJ$325))</f>
        <v/>
      </c>
      <c r="AK1570" s="35">
        <f>$D1570*($E1570*(AK$321-AK$322)+$F1570*(AK$324-AK$325))</f>
        <v/>
      </c>
      <c r="AL1570" s="35">
        <f>$D1570*($E1570*(AL$321-AL$322)+$F1570*(AL$324-AL$325))</f>
        <v/>
      </c>
      <c r="AM1570" s="35">
        <f>$D1570*($E1570*(AM$321-AM$322)+$F1570*(AM$324-AM$325))</f>
        <v/>
      </c>
      <c r="AN1570" s="35">
        <f>$D1570*($E1570*(AN$321-AN$322)+$F1570*(AN$324-AN$325))</f>
        <v/>
      </c>
      <c r="AO1570" s="35">
        <f>$D1570*($E1570*(AO$321-AO$322)+$F1570*(AO$324-AO$325))</f>
        <v/>
      </c>
      <c r="AP1570" s="35">
        <f>$D1570*($E1570*(AP$321-AP$322)+$F1570*(AP$324-AP$325))</f>
        <v/>
      </c>
      <c r="AQ1570" s="35">
        <f>$D1570*($E1570*(AQ$321-AQ$322)+$F1570*(AQ$324-AQ$325))</f>
        <v/>
      </c>
      <c r="AR1570" s="35">
        <f>$D1570*($E1570*(AR$321-AR$322)+$F1570*(AR$324-AR$325))</f>
        <v/>
      </c>
      <c r="AS1570" s="35">
        <f>$D1570*($E1570*(AS$321-AS$322)+$F1570*(AS$324-AS$325))</f>
        <v/>
      </c>
      <c r="AT1570" s="35">
        <f>$D1570*($E1570*(AT$321-AT$322)+$F1570*(AT$324-AT$325))</f>
        <v/>
      </c>
      <c r="AU1570" s="35">
        <f>$D1570*($E1570*(AU$321-AU$322)+$F1570*(AU$324-AU$325))</f>
        <v/>
      </c>
      <c r="AV1570" s="35">
        <f>$D1570*($E1570*(AV$321-AV$322)+$F1570*(AV$324-AV$325))</f>
        <v/>
      </c>
      <c r="AW1570" s="35">
        <f>$D1570*($E1570*(AW$321-AW$322)+$F1570*(AW$324-AW$325))</f>
        <v/>
      </c>
      <c r="AX1570" s="35">
        <f>$D1570*($E1570*(AX$321-AX$322)+$F1570*(AX$324-AX$325))</f>
        <v/>
      </c>
      <c r="AY1570" s="35">
        <f>$D1570*($E1570*(AY$321-AY$322)+$F1570*(AY$324-AY$325))</f>
        <v/>
      </c>
      <c r="AZ1570" s="35">
        <f>$D1570*($E1570*(AZ$321-AZ$322)+$F1570*(AZ$324-AZ$325))</f>
        <v/>
      </c>
      <c r="BA1570" s="42">
        <f>XCARBON($D1570,$E1570,(BA$321-BA$322),$F1570,(BA$324-BA$325))</f>
        <v/>
      </c>
    </row>
    <row r="1571" hidden="1" outlineLevel="2">
      <c r="A1571" s="14" t="inlineStr">
        <is>
          <t>xcpd</t>
        </is>
      </c>
      <c r="B1571" s="14" t="inlineStr">
        <is>
          <t>lpg</t>
        </is>
      </c>
      <c r="C1571" s="14" t="inlineStr">
        <is>
          <t>res</t>
        </is>
      </c>
      <c r="D1571" s="35">
        <f>INDEX(Inputs!$W$5:$W$132,MATCH($B1571&amp;"|"&amp;$C1571,Inputs!$A$5:$A$132,0))</f>
        <v/>
      </c>
      <c r="E1571" s="35">
        <f>INDEX(Inputs!$Z$5:$Z$132,MATCH($B1571&amp;"|"&amp;$C1571,Inputs!$A$5:$A$132,0))</f>
        <v/>
      </c>
      <c r="F1571" s="35">
        <f>INDEX(Inputs!$AA$5:$AA$132,MATCH($B1571&amp;"|"&amp;$C1571,Inputs!$A$5:$A$132,0))</f>
        <v/>
      </c>
      <c r="G1571" s="39" t="n"/>
      <c r="H1571" s="14">
        <f>INDEX(VarLab,MATCH($A1571,VarKey,0))&amp;INDEX(MemLab,MATCH($C1571&amp;"|"&amp;$B1571,MemKey,0))</f>
        <v/>
      </c>
      <c r="I1571" s="14">
        <f>INDEX(VarUnit,MATCH($A1571,VarKey,0))</f>
        <v/>
      </c>
      <c r="J1571" s="14">
        <f>INDEX(VarSrc,MATCH($A1571,VarKey,0))</f>
        <v/>
      </c>
      <c r="K1571" s="11">
        <f>CodePrefix&amp;$A1571&amp;IF($C1571="","","."&amp;$C1571&amp;"."&amp;$B1571)&amp;INDEX(VarEnd,MATCH($A1571,VarKey,0))&amp;K$5</f>
        <v/>
      </c>
      <c r="L1571" s="40">
        <f>$D1571*($E1571*(L$321-L$322)+$F1571*(L$324-L$325))</f>
        <v/>
      </c>
      <c r="M1571" s="35">
        <f>$D1571*($E1571*(M$321-M$322)+$F1571*(M$324-M$325))</f>
        <v/>
      </c>
      <c r="N1571" s="35">
        <f>$D1571*($E1571*(N$321-N$322)+$F1571*(N$324-N$325))</f>
        <v/>
      </c>
      <c r="O1571" s="35">
        <f>$D1571*($E1571*(O$321-O$322)+$F1571*(O$324-O$325))</f>
        <v/>
      </c>
      <c r="P1571" s="35">
        <f>$D1571*($E1571*(P$321-P$322)+$F1571*(P$324-P$325))</f>
        <v/>
      </c>
      <c r="Q1571" s="35">
        <f>$D1571*($E1571*(Q$321-Q$322)+$F1571*(Q$324-Q$325))</f>
        <v/>
      </c>
      <c r="R1571" s="35">
        <f>$D1571*($E1571*(R$321-R$322)+$F1571*(R$324-R$325))</f>
        <v/>
      </c>
      <c r="S1571" s="35">
        <f>$D1571*($E1571*(S$321-S$322)+$F1571*(S$324-S$325))</f>
        <v/>
      </c>
      <c r="T1571" s="35">
        <f>$D1571*($E1571*(T$321-T$322)+$F1571*(T$324-T$325))</f>
        <v/>
      </c>
      <c r="U1571" s="35">
        <f>$D1571*($E1571*(U$321-U$322)+$F1571*(U$324-U$325))</f>
        <v/>
      </c>
      <c r="V1571" s="35">
        <f>$D1571*($E1571*(V$321-V$322)+$F1571*(V$324-V$325))</f>
        <v/>
      </c>
      <c r="W1571" s="35">
        <f>$D1571*($E1571*(W$321-W$322)+$F1571*(W$324-W$325))</f>
        <v/>
      </c>
      <c r="X1571" s="35">
        <f>$D1571*($E1571*(X$321-X$322)+$F1571*(X$324-X$325))</f>
        <v/>
      </c>
      <c r="Y1571" s="35">
        <f>$D1571*($E1571*(Y$321-Y$322)+$F1571*(Y$324-Y$325))</f>
        <v/>
      </c>
      <c r="Z1571" s="35">
        <f>$D1571*($E1571*(Z$321-Z$322)+$F1571*(Z$324-Z$325))</f>
        <v/>
      </c>
      <c r="AA1571" s="35">
        <f>$D1571*($E1571*(AA$321-AA$322)+$F1571*(AA$324-AA$325))</f>
        <v/>
      </c>
      <c r="AB1571" s="35">
        <f>$D1571*($E1571*(AB$321-AB$322)+$F1571*(AB$324-AB$325))</f>
        <v/>
      </c>
      <c r="AC1571" s="35">
        <f>$D1571*($E1571*(AC$321-AC$322)+$F1571*(AC$324-AC$325))</f>
        <v/>
      </c>
      <c r="AD1571" s="35">
        <f>$D1571*($E1571*(AD$321-AD$322)+$F1571*(AD$324-AD$325))</f>
        <v/>
      </c>
      <c r="AE1571" s="42">
        <f>XCARBON($D1571,$E1571,(AE$321-AE$322),$F1571,(AE$324-AE$325))</f>
        <v/>
      </c>
      <c r="AG1571" s="11">
        <f>CodePrefix&amp;$A1571&amp;IF($C1571="","","."&amp;$C1571&amp;"."&amp;$B1571)&amp;INDEX(VarEnd,MATCH($A1571,VarKey,0))&amp;AG$5</f>
        <v/>
      </c>
      <c r="AH1571" s="40">
        <f>$D1571*($E1571*(AH$321-AH$322)+$F1571*(AH$324-AH$325))</f>
        <v/>
      </c>
      <c r="AI1571" s="35">
        <f>$D1571*($E1571*(AI$321-AI$322)+$F1571*(AI$324-AI$325))</f>
        <v/>
      </c>
      <c r="AJ1571" s="35">
        <f>$D1571*($E1571*(AJ$321-AJ$322)+$F1571*(AJ$324-AJ$325))</f>
        <v/>
      </c>
      <c r="AK1571" s="35">
        <f>$D1571*($E1571*(AK$321-AK$322)+$F1571*(AK$324-AK$325))</f>
        <v/>
      </c>
      <c r="AL1571" s="35">
        <f>$D1571*($E1571*(AL$321-AL$322)+$F1571*(AL$324-AL$325))</f>
        <v/>
      </c>
      <c r="AM1571" s="35">
        <f>$D1571*($E1571*(AM$321-AM$322)+$F1571*(AM$324-AM$325))</f>
        <v/>
      </c>
      <c r="AN1571" s="35">
        <f>$D1571*($E1571*(AN$321-AN$322)+$F1571*(AN$324-AN$325))</f>
        <v/>
      </c>
      <c r="AO1571" s="35">
        <f>$D1571*($E1571*(AO$321-AO$322)+$F1571*(AO$324-AO$325))</f>
        <v/>
      </c>
      <c r="AP1571" s="35">
        <f>$D1571*($E1571*(AP$321-AP$322)+$F1571*(AP$324-AP$325))</f>
        <v/>
      </c>
      <c r="AQ1571" s="35">
        <f>$D1571*($E1571*(AQ$321-AQ$322)+$F1571*(AQ$324-AQ$325))</f>
        <v/>
      </c>
      <c r="AR1571" s="35">
        <f>$D1571*($E1571*(AR$321-AR$322)+$F1571*(AR$324-AR$325))</f>
        <v/>
      </c>
      <c r="AS1571" s="35">
        <f>$D1571*($E1571*(AS$321-AS$322)+$F1571*(AS$324-AS$325))</f>
        <v/>
      </c>
      <c r="AT1571" s="35">
        <f>$D1571*($E1571*(AT$321-AT$322)+$F1571*(AT$324-AT$325))</f>
        <v/>
      </c>
      <c r="AU1571" s="35">
        <f>$D1571*($E1571*(AU$321-AU$322)+$F1571*(AU$324-AU$325))</f>
        <v/>
      </c>
      <c r="AV1571" s="35">
        <f>$D1571*($E1571*(AV$321-AV$322)+$F1571*(AV$324-AV$325))</f>
        <v/>
      </c>
      <c r="AW1571" s="35">
        <f>$D1571*($E1571*(AW$321-AW$322)+$F1571*(AW$324-AW$325))</f>
        <v/>
      </c>
      <c r="AX1571" s="35">
        <f>$D1571*($E1571*(AX$321-AX$322)+$F1571*(AX$324-AX$325))</f>
        <v/>
      </c>
      <c r="AY1571" s="35">
        <f>$D1571*($E1571*(AY$321-AY$322)+$F1571*(AY$324-AY$325))</f>
        <v/>
      </c>
      <c r="AZ1571" s="35">
        <f>$D1571*($E1571*(AZ$321-AZ$322)+$F1571*(AZ$324-AZ$325))</f>
        <v/>
      </c>
      <c r="BA1571" s="42">
        <f>XCARBON($D1571,$E1571,(BA$321-BA$322),$F1571,(BA$324-BA$325))</f>
        <v/>
      </c>
    </row>
    <row r="1572" hidden="1" outlineLevel="2">
      <c r="A1572" s="14" t="inlineStr">
        <is>
          <t>xcpd</t>
        </is>
      </c>
      <c r="B1572" s="14" t="inlineStr">
        <is>
          <t>ker</t>
        </is>
      </c>
      <c r="C1572" s="14" t="inlineStr">
        <is>
          <t>res</t>
        </is>
      </c>
      <c r="D1572" s="35">
        <f>INDEX(Inputs!$W$5:$W$132,MATCH($B1572&amp;"|"&amp;$C1572,Inputs!$A$5:$A$132,0))</f>
        <v/>
      </c>
      <c r="E1572" s="35">
        <f>INDEX(Inputs!$Z$5:$Z$132,MATCH($B1572&amp;"|"&amp;$C1572,Inputs!$A$5:$A$132,0))</f>
        <v/>
      </c>
      <c r="F1572" s="35">
        <f>INDEX(Inputs!$AA$5:$AA$132,MATCH($B1572&amp;"|"&amp;$C1572,Inputs!$A$5:$A$132,0))</f>
        <v/>
      </c>
      <c r="G1572" s="39" t="n"/>
      <c r="H1572" s="14">
        <f>INDEX(VarLab,MATCH($A1572,VarKey,0))&amp;INDEX(MemLab,MATCH($C1572&amp;"|"&amp;$B1572,MemKey,0))</f>
        <v/>
      </c>
      <c r="I1572" s="14">
        <f>INDEX(VarUnit,MATCH($A1572,VarKey,0))</f>
        <v/>
      </c>
      <c r="J1572" s="14">
        <f>INDEX(VarSrc,MATCH($A1572,VarKey,0))</f>
        <v/>
      </c>
      <c r="K1572" s="11">
        <f>CodePrefix&amp;$A1572&amp;IF($C1572="","","."&amp;$C1572&amp;"."&amp;$B1572)&amp;INDEX(VarEnd,MATCH($A1572,VarKey,0))&amp;K$5</f>
        <v/>
      </c>
      <c r="L1572" s="40">
        <f>$D1572*($E1572*(L$321-L$322)+$F1572*(L$324-L$325))</f>
        <v/>
      </c>
      <c r="M1572" s="35">
        <f>$D1572*($E1572*(M$321-M$322)+$F1572*(M$324-M$325))</f>
        <v/>
      </c>
      <c r="N1572" s="35">
        <f>$D1572*($E1572*(N$321-N$322)+$F1572*(N$324-N$325))</f>
        <v/>
      </c>
      <c r="O1572" s="35">
        <f>$D1572*($E1572*(O$321-O$322)+$F1572*(O$324-O$325))</f>
        <v/>
      </c>
      <c r="P1572" s="35">
        <f>$D1572*($E1572*(P$321-P$322)+$F1572*(P$324-P$325))</f>
        <v/>
      </c>
      <c r="Q1572" s="35">
        <f>$D1572*($E1572*(Q$321-Q$322)+$F1572*(Q$324-Q$325))</f>
        <v/>
      </c>
      <c r="R1572" s="35">
        <f>$D1572*($E1572*(R$321-R$322)+$F1572*(R$324-R$325))</f>
        <v/>
      </c>
      <c r="S1572" s="35">
        <f>$D1572*($E1572*(S$321-S$322)+$F1572*(S$324-S$325))</f>
        <v/>
      </c>
      <c r="T1572" s="35">
        <f>$D1572*($E1572*(T$321-T$322)+$F1572*(T$324-T$325))</f>
        <v/>
      </c>
      <c r="U1572" s="35">
        <f>$D1572*($E1572*(U$321-U$322)+$F1572*(U$324-U$325))</f>
        <v/>
      </c>
      <c r="V1572" s="35">
        <f>$D1572*($E1572*(V$321-V$322)+$F1572*(V$324-V$325))</f>
        <v/>
      </c>
      <c r="W1572" s="35">
        <f>$D1572*($E1572*(W$321-W$322)+$F1572*(W$324-W$325))</f>
        <v/>
      </c>
      <c r="X1572" s="35">
        <f>$D1572*($E1572*(X$321-X$322)+$F1572*(X$324-X$325))</f>
        <v/>
      </c>
      <c r="Y1572" s="35">
        <f>$D1572*($E1572*(Y$321-Y$322)+$F1572*(Y$324-Y$325))</f>
        <v/>
      </c>
      <c r="Z1572" s="35">
        <f>$D1572*($E1572*(Z$321-Z$322)+$F1572*(Z$324-Z$325))</f>
        <v/>
      </c>
      <c r="AA1572" s="35">
        <f>$D1572*($E1572*(AA$321-AA$322)+$F1572*(AA$324-AA$325))</f>
        <v/>
      </c>
      <c r="AB1572" s="35">
        <f>$D1572*($E1572*(AB$321-AB$322)+$F1572*(AB$324-AB$325))</f>
        <v/>
      </c>
      <c r="AC1572" s="35">
        <f>$D1572*($E1572*(AC$321-AC$322)+$F1572*(AC$324-AC$325))</f>
        <v/>
      </c>
      <c r="AD1572" s="35">
        <f>$D1572*($E1572*(AD$321-AD$322)+$F1572*(AD$324-AD$325))</f>
        <v/>
      </c>
      <c r="AE1572" s="42">
        <f>XCARBON($D1572,$E1572,(AE$321-AE$322),$F1572,(AE$324-AE$325))</f>
        <v/>
      </c>
      <c r="AG1572" s="11">
        <f>CodePrefix&amp;$A1572&amp;IF($C1572="","","."&amp;$C1572&amp;"."&amp;$B1572)&amp;INDEX(VarEnd,MATCH($A1572,VarKey,0))&amp;AG$5</f>
        <v/>
      </c>
      <c r="AH1572" s="40">
        <f>$D1572*($E1572*(AH$321-AH$322)+$F1572*(AH$324-AH$325))</f>
        <v/>
      </c>
      <c r="AI1572" s="35">
        <f>$D1572*($E1572*(AI$321-AI$322)+$F1572*(AI$324-AI$325))</f>
        <v/>
      </c>
      <c r="AJ1572" s="35">
        <f>$D1572*($E1572*(AJ$321-AJ$322)+$F1572*(AJ$324-AJ$325))</f>
        <v/>
      </c>
      <c r="AK1572" s="35">
        <f>$D1572*($E1572*(AK$321-AK$322)+$F1572*(AK$324-AK$325))</f>
        <v/>
      </c>
      <c r="AL1572" s="35">
        <f>$D1572*($E1572*(AL$321-AL$322)+$F1572*(AL$324-AL$325))</f>
        <v/>
      </c>
      <c r="AM1572" s="35">
        <f>$D1572*($E1572*(AM$321-AM$322)+$F1572*(AM$324-AM$325))</f>
        <v/>
      </c>
      <c r="AN1572" s="35">
        <f>$D1572*($E1572*(AN$321-AN$322)+$F1572*(AN$324-AN$325))</f>
        <v/>
      </c>
      <c r="AO1572" s="35">
        <f>$D1572*($E1572*(AO$321-AO$322)+$F1572*(AO$324-AO$325))</f>
        <v/>
      </c>
      <c r="AP1572" s="35">
        <f>$D1572*($E1572*(AP$321-AP$322)+$F1572*(AP$324-AP$325))</f>
        <v/>
      </c>
      <c r="AQ1572" s="35">
        <f>$D1572*($E1572*(AQ$321-AQ$322)+$F1572*(AQ$324-AQ$325))</f>
        <v/>
      </c>
      <c r="AR1572" s="35">
        <f>$D1572*($E1572*(AR$321-AR$322)+$F1572*(AR$324-AR$325))</f>
        <v/>
      </c>
      <c r="AS1572" s="35">
        <f>$D1572*($E1572*(AS$321-AS$322)+$F1572*(AS$324-AS$325))</f>
        <v/>
      </c>
      <c r="AT1572" s="35">
        <f>$D1572*($E1572*(AT$321-AT$322)+$F1572*(AT$324-AT$325))</f>
        <v/>
      </c>
      <c r="AU1572" s="35">
        <f>$D1572*($E1572*(AU$321-AU$322)+$F1572*(AU$324-AU$325))</f>
        <v/>
      </c>
      <c r="AV1572" s="35">
        <f>$D1572*($E1572*(AV$321-AV$322)+$F1572*(AV$324-AV$325))</f>
        <v/>
      </c>
      <c r="AW1572" s="35">
        <f>$D1572*($E1572*(AW$321-AW$322)+$F1572*(AW$324-AW$325))</f>
        <v/>
      </c>
      <c r="AX1572" s="35">
        <f>$D1572*($E1572*(AX$321-AX$322)+$F1572*(AX$324-AX$325))</f>
        <v/>
      </c>
      <c r="AY1572" s="35">
        <f>$D1572*($E1572*(AY$321-AY$322)+$F1572*(AY$324-AY$325))</f>
        <v/>
      </c>
      <c r="AZ1572" s="35">
        <f>$D1572*($E1572*(AZ$321-AZ$322)+$F1572*(AZ$324-AZ$325))</f>
        <v/>
      </c>
      <c r="BA1572" s="42">
        <f>XCARBON($D1572,$E1572,(BA$321-BA$322),$F1572,(BA$324-BA$325))</f>
        <v/>
      </c>
    </row>
    <row r="1573" hidden="1" outlineLevel="2">
      <c r="A1573" s="14" t="inlineStr">
        <is>
          <t>xcpd</t>
        </is>
      </c>
      <c r="B1573" s="14" t="inlineStr">
        <is>
          <t>oop</t>
        </is>
      </c>
      <c r="C1573" s="14" t="inlineStr">
        <is>
          <t>res</t>
        </is>
      </c>
      <c r="D1573" s="35">
        <f>INDEX(Inputs!$W$5:$W$132,MATCH($B1573&amp;"|"&amp;$C1573,Inputs!$A$5:$A$132,0))</f>
        <v/>
      </c>
      <c r="E1573" s="35">
        <f>INDEX(Inputs!$Z$5:$Z$132,MATCH($B1573&amp;"|"&amp;$C1573,Inputs!$A$5:$A$132,0))</f>
        <v/>
      </c>
      <c r="F1573" s="35">
        <f>INDEX(Inputs!$AA$5:$AA$132,MATCH($B1573&amp;"|"&amp;$C1573,Inputs!$A$5:$A$132,0))</f>
        <v/>
      </c>
      <c r="G1573" s="39" t="n"/>
      <c r="H1573" s="14">
        <f>INDEX(VarLab,MATCH($A1573,VarKey,0))&amp;INDEX(MemLab,MATCH($C1573&amp;"|"&amp;$B1573,MemKey,0))</f>
        <v/>
      </c>
      <c r="I1573" s="14">
        <f>INDEX(VarUnit,MATCH($A1573,VarKey,0))</f>
        <v/>
      </c>
      <c r="J1573" s="14">
        <f>INDEX(VarSrc,MATCH($A1573,VarKey,0))</f>
        <v/>
      </c>
      <c r="K1573" s="11">
        <f>CodePrefix&amp;$A1573&amp;IF($C1573="","","."&amp;$C1573&amp;"."&amp;$B1573)&amp;INDEX(VarEnd,MATCH($A1573,VarKey,0))&amp;K$5</f>
        <v/>
      </c>
      <c r="L1573" s="40">
        <f>$D1573*($E1573*(L$321-L$322)+$F1573*(L$324-L$325))</f>
        <v/>
      </c>
      <c r="M1573" s="35">
        <f>$D1573*($E1573*(M$321-M$322)+$F1573*(M$324-M$325))</f>
        <v/>
      </c>
      <c r="N1573" s="35">
        <f>$D1573*($E1573*(N$321-N$322)+$F1573*(N$324-N$325))</f>
        <v/>
      </c>
      <c r="O1573" s="35">
        <f>$D1573*($E1573*(O$321-O$322)+$F1573*(O$324-O$325))</f>
        <v/>
      </c>
      <c r="P1573" s="35">
        <f>$D1573*($E1573*(P$321-P$322)+$F1573*(P$324-P$325))</f>
        <v/>
      </c>
      <c r="Q1573" s="35">
        <f>$D1573*($E1573*(Q$321-Q$322)+$F1573*(Q$324-Q$325))</f>
        <v/>
      </c>
      <c r="R1573" s="35">
        <f>$D1573*($E1573*(R$321-R$322)+$F1573*(R$324-R$325))</f>
        <v/>
      </c>
      <c r="S1573" s="35">
        <f>$D1573*($E1573*(S$321-S$322)+$F1573*(S$324-S$325))</f>
        <v/>
      </c>
      <c r="T1573" s="35">
        <f>$D1573*($E1573*(T$321-T$322)+$F1573*(T$324-T$325))</f>
        <v/>
      </c>
      <c r="U1573" s="35">
        <f>$D1573*($E1573*(U$321-U$322)+$F1573*(U$324-U$325))</f>
        <v/>
      </c>
      <c r="V1573" s="35">
        <f>$D1573*($E1573*(V$321-V$322)+$F1573*(V$324-V$325))</f>
        <v/>
      </c>
      <c r="W1573" s="35">
        <f>$D1573*($E1573*(W$321-W$322)+$F1573*(W$324-W$325))</f>
        <v/>
      </c>
      <c r="X1573" s="35">
        <f>$D1573*($E1573*(X$321-X$322)+$F1573*(X$324-X$325))</f>
        <v/>
      </c>
      <c r="Y1573" s="35">
        <f>$D1573*($E1573*(Y$321-Y$322)+$F1573*(Y$324-Y$325))</f>
        <v/>
      </c>
      <c r="Z1573" s="35">
        <f>$D1573*($E1573*(Z$321-Z$322)+$F1573*(Z$324-Z$325))</f>
        <v/>
      </c>
      <c r="AA1573" s="35">
        <f>$D1573*($E1573*(AA$321-AA$322)+$F1573*(AA$324-AA$325))</f>
        <v/>
      </c>
      <c r="AB1573" s="35">
        <f>$D1573*($E1573*(AB$321-AB$322)+$F1573*(AB$324-AB$325))</f>
        <v/>
      </c>
      <c r="AC1573" s="35">
        <f>$D1573*($E1573*(AC$321-AC$322)+$F1573*(AC$324-AC$325))</f>
        <v/>
      </c>
      <c r="AD1573" s="35">
        <f>$D1573*($E1573*(AD$321-AD$322)+$F1573*(AD$324-AD$325))</f>
        <v/>
      </c>
      <c r="AE1573" s="42">
        <f>XCARBON($D1573,$E1573,(AE$321-AE$322),$F1573,(AE$324-AE$325))</f>
        <v/>
      </c>
      <c r="AG1573" s="11">
        <f>CodePrefix&amp;$A1573&amp;IF($C1573="","","."&amp;$C1573&amp;"."&amp;$B1573)&amp;INDEX(VarEnd,MATCH($A1573,VarKey,0))&amp;AG$5</f>
        <v/>
      </c>
      <c r="AH1573" s="40">
        <f>$D1573*($E1573*(AH$321-AH$322)+$F1573*(AH$324-AH$325))</f>
        <v/>
      </c>
      <c r="AI1573" s="35">
        <f>$D1573*($E1573*(AI$321-AI$322)+$F1573*(AI$324-AI$325))</f>
        <v/>
      </c>
      <c r="AJ1573" s="35">
        <f>$D1573*($E1573*(AJ$321-AJ$322)+$F1573*(AJ$324-AJ$325))</f>
        <v/>
      </c>
      <c r="AK1573" s="35">
        <f>$D1573*($E1573*(AK$321-AK$322)+$F1573*(AK$324-AK$325))</f>
        <v/>
      </c>
      <c r="AL1573" s="35">
        <f>$D1573*($E1573*(AL$321-AL$322)+$F1573*(AL$324-AL$325))</f>
        <v/>
      </c>
      <c r="AM1573" s="35">
        <f>$D1573*($E1573*(AM$321-AM$322)+$F1573*(AM$324-AM$325))</f>
        <v/>
      </c>
      <c r="AN1573" s="35">
        <f>$D1573*($E1573*(AN$321-AN$322)+$F1573*(AN$324-AN$325))</f>
        <v/>
      </c>
      <c r="AO1573" s="35">
        <f>$D1573*($E1573*(AO$321-AO$322)+$F1573*(AO$324-AO$325))</f>
        <v/>
      </c>
      <c r="AP1573" s="35">
        <f>$D1573*($E1573*(AP$321-AP$322)+$F1573*(AP$324-AP$325))</f>
        <v/>
      </c>
      <c r="AQ1573" s="35">
        <f>$D1573*($E1573*(AQ$321-AQ$322)+$F1573*(AQ$324-AQ$325))</f>
        <v/>
      </c>
      <c r="AR1573" s="35">
        <f>$D1573*($E1573*(AR$321-AR$322)+$F1573*(AR$324-AR$325))</f>
        <v/>
      </c>
      <c r="AS1573" s="35">
        <f>$D1573*($E1573*(AS$321-AS$322)+$F1573*(AS$324-AS$325))</f>
        <v/>
      </c>
      <c r="AT1573" s="35">
        <f>$D1573*($E1573*(AT$321-AT$322)+$F1573*(AT$324-AT$325))</f>
        <v/>
      </c>
      <c r="AU1573" s="35">
        <f>$D1573*($E1573*(AU$321-AU$322)+$F1573*(AU$324-AU$325))</f>
        <v/>
      </c>
      <c r="AV1573" s="35">
        <f>$D1573*($E1573*(AV$321-AV$322)+$F1573*(AV$324-AV$325))</f>
        <v/>
      </c>
      <c r="AW1573" s="35">
        <f>$D1573*($E1573*(AW$321-AW$322)+$F1573*(AW$324-AW$325))</f>
        <v/>
      </c>
      <c r="AX1573" s="35">
        <f>$D1573*($E1573*(AX$321-AX$322)+$F1573*(AX$324-AX$325))</f>
        <v/>
      </c>
      <c r="AY1573" s="35">
        <f>$D1573*($E1573*(AY$321-AY$322)+$F1573*(AY$324-AY$325))</f>
        <v/>
      </c>
      <c r="AZ1573" s="35">
        <f>$D1573*($E1573*(AZ$321-AZ$322)+$F1573*(AZ$324-AZ$325))</f>
        <v/>
      </c>
      <c r="BA1573" s="42">
        <f>XCARBON($D1573,$E1573,(BA$321-BA$322),$F1573,(BA$324-BA$325))</f>
        <v/>
      </c>
    </row>
    <row r="1574" hidden="1" outlineLevel="2">
      <c r="A1574" s="14" t="inlineStr">
        <is>
          <t>xcpd</t>
        </is>
      </c>
      <c r="B1574" s="14" t="inlineStr">
        <is>
          <t>bio</t>
        </is>
      </c>
      <c r="C1574" s="14" t="inlineStr">
        <is>
          <t>res</t>
        </is>
      </c>
      <c r="D1574" s="35">
        <f>INDEX(Inputs!$W$5:$W$132,MATCH($B1574&amp;"|"&amp;$C1574,Inputs!$A$5:$A$132,0))</f>
        <v/>
      </c>
      <c r="E1574" s="35">
        <f>INDEX(Inputs!$Z$5:$Z$132,MATCH($B1574&amp;"|"&amp;$C1574,Inputs!$A$5:$A$132,0))</f>
        <v/>
      </c>
      <c r="F1574" s="35">
        <f>INDEX(Inputs!$AA$5:$AA$132,MATCH($B1574&amp;"|"&amp;$C1574,Inputs!$A$5:$A$132,0))</f>
        <v/>
      </c>
      <c r="G1574" s="39" t="n"/>
      <c r="H1574" s="14">
        <f>INDEX(VarLab,MATCH($A1574,VarKey,0))&amp;INDEX(MemLab,MATCH($C1574&amp;"|"&amp;$B1574,MemKey,0))</f>
        <v/>
      </c>
      <c r="I1574" s="14">
        <f>INDEX(VarUnit,MATCH($A1574,VarKey,0))</f>
        <v/>
      </c>
      <c r="J1574" s="14">
        <f>INDEX(VarSrc,MATCH($A1574,VarKey,0))</f>
        <v/>
      </c>
      <c r="K1574" s="11">
        <f>CodePrefix&amp;$A1574&amp;IF($C1574="","","."&amp;$C1574&amp;"."&amp;$B1574)&amp;INDEX(VarEnd,MATCH($A1574,VarKey,0))&amp;K$5</f>
        <v/>
      </c>
      <c r="L1574" s="40">
        <f>$D1574*($E1574*(L$321-L$322)+$F1574*(L$324-L$325))</f>
        <v/>
      </c>
      <c r="M1574" s="35">
        <f>$D1574*($E1574*(M$321-M$322)+$F1574*(M$324-M$325))</f>
        <v/>
      </c>
      <c r="N1574" s="35">
        <f>$D1574*($E1574*(N$321-N$322)+$F1574*(N$324-N$325))</f>
        <v/>
      </c>
      <c r="O1574" s="35">
        <f>$D1574*($E1574*(O$321-O$322)+$F1574*(O$324-O$325))</f>
        <v/>
      </c>
      <c r="P1574" s="35">
        <f>$D1574*($E1574*(P$321-P$322)+$F1574*(P$324-P$325))</f>
        <v/>
      </c>
      <c r="Q1574" s="35">
        <f>$D1574*($E1574*(Q$321-Q$322)+$F1574*(Q$324-Q$325))</f>
        <v/>
      </c>
      <c r="R1574" s="35">
        <f>$D1574*($E1574*(R$321-R$322)+$F1574*(R$324-R$325))</f>
        <v/>
      </c>
      <c r="S1574" s="35">
        <f>$D1574*($E1574*(S$321-S$322)+$F1574*(S$324-S$325))</f>
        <v/>
      </c>
      <c r="T1574" s="35">
        <f>$D1574*($E1574*(T$321-T$322)+$F1574*(T$324-T$325))</f>
        <v/>
      </c>
      <c r="U1574" s="35">
        <f>$D1574*($E1574*(U$321-U$322)+$F1574*(U$324-U$325))</f>
        <v/>
      </c>
      <c r="V1574" s="35">
        <f>$D1574*($E1574*(V$321-V$322)+$F1574*(V$324-V$325))</f>
        <v/>
      </c>
      <c r="W1574" s="35">
        <f>$D1574*($E1574*(W$321-W$322)+$F1574*(W$324-W$325))</f>
        <v/>
      </c>
      <c r="X1574" s="35">
        <f>$D1574*($E1574*(X$321-X$322)+$F1574*(X$324-X$325))</f>
        <v/>
      </c>
      <c r="Y1574" s="35">
        <f>$D1574*($E1574*(Y$321-Y$322)+$F1574*(Y$324-Y$325))</f>
        <v/>
      </c>
      <c r="Z1574" s="35">
        <f>$D1574*($E1574*(Z$321-Z$322)+$F1574*(Z$324-Z$325))</f>
        <v/>
      </c>
      <c r="AA1574" s="35">
        <f>$D1574*($E1574*(AA$321-AA$322)+$F1574*(AA$324-AA$325))</f>
        <v/>
      </c>
      <c r="AB1574" s="35">
        <f>$D1574*($E1574*(AB$321-AB$322)+$F1574*(AB$324-AB$325))</f>
        <v/>
      </c>
      <c r="AC1574" s="35">
        <f>$D1574*($E1574*(AC$321-AC$322)+$F1574*(AC$324-AC$325))</f>
        <v/>
      </c>
      <c r="AD1574" s="35">
        <f>$D1574*($E1574*(AD$321-AD$322)+$F1574*(AD$324-AD$325))</f>
        <v/>
      </c>
      <c r="AE1574" s="42">
        <f>XCARBON($D1574,$E1574,(AE$321-AE$322),$F1574,(AE$324-AE$325))</f>
        <v/>
      </c>
      <c r="AG1574" s="11">
        <f>CodePrefix&amp;$A1574&amp;IF($C1574="","","."&amp;$C1574&amp;"."&amp;$B1574)&amp;INDEX(VarEnd,MATCH($A1574,VarKey,0))&amp;AG$5</f>
        <v/>
      </c>
      <c r="AH1574" s="40">
        <f>$D1574*($E1574*(AH$321-AH$322)+$F1574*(AH$324-AH$325))</f>
        <v/>
      </c>
      <c r="AI1574" s="35">
        <f>$D1574*($E1574*(AI$321-AI$322)+$F1574*(AI$324-AI$325))</f>
        <v/>
      </c>
      <c r="AJ1574" s="35">
        <f>$D1574*($E1574*(AJ$321-AJ$322)+$F1574*(AJ$324-AJ$325))</f>
        <v/>
      </c>
      <c r="AK1574" s="35">
        <f>$D1574*($E1574*(AK$321-AK$322)+$F1574*(AK$324-AK$325))</f>
        <v/>
      </c>
      <c r="AL1574" s="35">
        <f>$D1574*($E1574*(AL$321-AL$322)+$F1574*(AL$324-AL$325))</f>
        <v/>
      </c>
      <c r="AM1574" s="35">
        <f>$D1574*($E1574*(AM$321-AM$322)+$F1574*(AM$324-AM$325))</f>
        <v/>
      </c>
      <c r="AN1574" s="35">
        <f>$D1574*($E1574*(AN$321-AN$322)+$F1574*(AN$324-AN$325))</f>
        <v/>
      </c>
      <c r="AO1574" s="35">
        <f>$D1574*($E1574*(AO$321-AO$322)+$F1574*(AO$324-AO$325))</f>
        <v/>
      </c>
      <c r="AP1574" s="35">
        <f>$D1574*($E1574*(AP$321-AP$322)+$F1574*(AP$324-AP$325))</f>
        <v/>
      </c>
      <c r="AQ1574" s="35">
        <f>$D1574*($E1574*(AQ$321-AQ$322)+$F1574*(AQ$324-AQ$325))</f>
        <v/>
      </c>
      <c r="AR1574" s="35">
        <f>$D1574*($E1574*(AR$321-AR$322)+$F1574*(AR$324-AR$325))</f>
        <v/>
      </c>
      <c r="AS1574" s="35">
        <f>$D1574*($E1574*(AS$321-AS$322)+$F1574*(AS$324-AS$325))</f>
        <v/>
      </c>
      <c r="AT1574" s="35">
        <f>$D1574*($E1574*(AT$321-AT$322)+$F1574*(AT$324-AT$325))</f>
        <v/>
      </c>
      <c r="AU1574" s="35">
        <f>$D1574*($E1574*(AU$321-AU$322)+$F1574*(AU$324-AU$325))</f>
        <v/>
      </c>
      <c r="AV1574" s="35">
        <f>$D1574*($E1574*(AV$321-AV$322)+$F1574*(AV$324-AV$325))</f>
        <v/>
      </c>
      <c r="AW1574" s="35">
        <f>$D1574*($E1574*(AW$321-AW$322)+$F1574*(AW$324-AW$325))</f>
        <v/>
      </c>
      <c r="AX1574" s="35">
        <f>$D1574*($E1574*(AX$321-AX$322)+$F1574*(AX$324-AX$325))</f>
        <v/>
      </c>
      <c r="AY1574" s="35">
        <f>$D1574*($E1574*(AY$321-AY$322)+$F1574*(AY$324-AY$325))</f>
        <v/>
      </c>
      <c r="AZ1574" s="35">
        <f>$D1574*($E1574*(AZ$321-AZ$322)+$F1574*(AZ$324-AZ$325))</f>
        <v/>
      </c>
      <c r="BA1574" s="42">
        <f>XCARBON($D1574,$E1574,(BA$321-BA$322),$F1574,(BA$324-BA$325))</f>
        <v/>
      </c>
    </row>
    <row r="1575" hidden="1" outlineLevel="2"/>
    <row r="1576" hidden="1" outlineLevel="2">
      <c r="A1576" s="14" t="inlineStr">
        <is>
          <t>atp</t>
        </is>
      </c>
      <c r="B1576" s="14" t="inlineStr">
        <is>
          <t>coa</t>
        </is>
      </c>
      <c r="C1576" s="14" t="inlineStr">
        <is>
          <t>res</t>
        </is>
      </c>
      <c r="D1576" s="35">
        <f>INDEX(Inputs!$U$5:$U$132,MATCH($B1576&amp;"|"&amp;$C1576,Inputs!$A$5:$A$132,0))</f>
        <v/>
      </c>
      <c r="E1576" s="35">
        <f>INDEX(Inputs!$V$5:$V$132,MATCH($B1576&amp;"|"&amp;$C1576,Inputs!$A$5:$A$132,0))</f>
        <v/>
      </c>
      <c r="F1576" s="39" t="n"/>
      <c r="G1576" s="39" t="n"/>
      <c r="H1576" s="14">
        <f>INDEX(VarLab,MATCH($A1576,VarKey,0))&amp;INDEX(MemLab,MATCH($C1576&amp;"|"&amp;$B1576,MemKey,0))</f>
        <v/>
      </c>
      <c r="I1576" s="14">
        <f>INDEX(VarUnit,MATCH($A1576,VarKey,0))</f>
        <v/>
      </c>
      <c r="J1576" s="14">
        <f>INDEX(VarSrc,MATCH($A1576,VarKey,0))</f>
        <v/>
      </c>
      <c r="K1576" s="11">
        <f>CodePrefix&amp;$A1576&amp;IF($C1576="","","."&amp;$C1576&amp;"."&amp;$B1576)&amp;INDEX(VarEnd,MATCH($A1576,VarKey,0))&amp;K$5</f>
        <v/>
      </c>
      <c r="L1576" s="40">
        <f>MAX(INDEX(L$381:L$392,$D1576)+(L1549+L1567)*(1+$E1576),0.01)</f>
        <v/>
      </c>
      <c r="M1576" s="35">
        <f>MAX(INDEX(M$381:M$392,$D1576)+(M1549+M1567)*(1+$E1576),0.01)</f>
        <v/>
      </c>
      <c r="N1576" s="35">
        <f>MAX(INDEX(N$381:N$392,$D1576)+(N1549+N1567)*(1+$E1576),0.01)</f>
        <v/>
      </c>
      <c r="O1576" s="35">
        <f>MAX(INDEX(O$381:O$392,$D1576)+(O1549+O1567)*(1+$E1576),0.01)</f>
        <v/>
      </c>
      <c r="P1576" s="35">
        <f>MAX(INDEX(P$381:P$392,$D1576)+(P1549+P1567)*(1+$E1576),0.01)</f>
        <v/>
      </c>
      <c r="Q1576" s="35">
        <f>MAX(INDEX(Q$381:Q$392,$D1576)+(Q1549+Q1567)*(1+$E1576),0.01)</f>
        <v/>
      </c>
      <c r="R1576" s="35">
        <f>MAX(INDEX(R$381:R$392,$D1576)+(R1549+R1567)*(1+$E1576),0.01)</f>
        <v/>
      </c>
      <c r="S1576" s="35">
        <f>MAX(INDEX(S$381:S$392,$D1576)+(S1549+S1567)*(1+$E1576),0.01)</f>
        <v/>
      </c>
      <c r="T1576" s="35">
        <f>MAX(INDEX(T$381:T$392,$D1576)+(T1549+T1567)*(1+$E1576),0.01)</f>
        <v/>
      </c>
      <c r="U1576" s="35">
        <f>MAX(INDEX(U$381:U$392,$D1576)+(U1549+U1567)*(1+$E1576),0.01)</f>
        <v/>
      </c>
      <c r="V1576" s="35">
        <f>MAX(INDEX(V$381:V$392,$D1576)+(V1549+V1567)*(1+$E1576),0.01)</f>
        <v/>
      </c>
      <c r="W1576" s="35">
        <f>MAX(INDEX(W$381:W$392,$D1576)+(W1549+W1567)*(1+$E1576),0.01)</f>
        <v/>
      </c>
      <c r="X1576" s="35">
        <f>MAX(INDEX(X$381:X$392,$D1576)+(X1549+X1567)*(1+$E1576),0.01)</f>
        <v/>
      </c>
      <c r="Y1576" s="35">
        <f>MAX(INDEX(Y$381:Y$392,$D1576)+(Y1549+Y1567)*(1+$E1576),0.01)</f>
        <v/>
      </c>
      <c r="Z1576" s="35">
        <f>MAX(INDEX(Z$381:Z$392,$D1576)+(Z1549+Z1567)*(1+$E1576),0.01)</f>
        <v/>
      </c>
      <c r="AA1576" s="35">
        <f>MAX(INDEX(AA$381:AA$392,$D1576)+(AA1549+AA1567)*(1+$E1576),0.01)</f>
        <v/>
      </c>
      <c r="AB1576" s="35">
        <f>MAX(INDEX(AB$381:AB$392,$D1576)+(AB1549+AB1567)*(1+$E1576),0.01)</f>
        <v/>
      </c>
      <c r="AC1576" s="35">
        <f>MAX(INDEX(AC$381:AC$392,$D1576)+(AC1549+AC1567)*(1+$E1576),0.01)</f>
        <v/>
      </c>
      <c r="AD1576" s="35">
        <f>MAX(INDEX(AD$381:AD$392,$D1576)+(AD1549+AD1567)*(1+$E1576),0.01)</f>
        <v/>
      </c>
      <c r="AE1576" s="42">
        <f>POSTTAX(INDEX(AE$381:AE$392,$D1576),AE1549+AE1567,$E1576)</f>
        <v/>
      </c>
      <c r="AG1576" s="11">
        <f>CodePrefix&amp;$A1576&amp;IF($C1576="","","."&amp;$C1576&amp;"."&amp;$B1576)&amp;INDEX(VarEnd,MATCH($A1576,VarKey,0))&amp;AG$5</f>
        <v/>
      </c>
      <c r="AH1576" s="40">
        <f>MAX(INDEX(AH$381:AH$392,$D1576)+(AH1549+AH1567)*(1+$E1576),0.01)</f>
        <v/>
      </c>
      <c r="AI1576" s="35">
        <f>MAX(INDEX(AI$381:AI$392,$D1576)+(AI1549+AI1567)*(1+$E1576),0.01)</f>
        <v/>
      </c>
      <c r="AJ1576" s="35">
        <f>MAX(INDEX(AJ$381:AJ$392,$D1576)+(AJ1549+AJ1567)*(1+$E1576),0.01)</f>
        <v/>
      </c>
      <c r="AK1576" s="35">
        <f>MAX(INDEX(AK$381:AK$392,$D1576)+(AK1549+AK1567)*(1+$E1576),0.01)</f>
        <v/>
      </c>
      <c r="AL1576" s="35">
        <f>MAX(INDEX(AL$381:AL$392,$D1576)+(AL1549+AL1567)*(1+$E1576),0.01)</f>
        <v/>
      </c>
      <c r="AM1576" s="35">
        <f>MAX(INDEX(AM$381:AM$392,$D1576)+(AM1549+AM1567)*(1+$E1576),0.01)</f>
        <v/>
      </c>
      <c r="AN1576" s="35">
        <f>MAX(INDEX(AN$381:AN$392,$D1576)+(AN1549+AN1567)*(1+$E1576),0.01)</f>
        <v/>
      </c>
      <c r="AO1576" s="35">
        <f>MAX(INDEX(AO$381:AO$392,$D1576)+(AO1549+AO1567)*(1+$E1576),0.01)</f>
        <v/>
      </c>
      <c r="AP1576" s="35">
        <f>MAX(INDEX(AP$381:AP$392,$D1576)+(AP1549+AP1567)*(1+$E1576),0.01)</f>
        <v/>
      </c>
      <c r="AQ1576" s="35">
        <f>MAX(INDEX(AQ$381:AQ$392,$D1576)+(AQ1549+AQ1567)*(1+$E1576),0.01)</f>
        <v/>
      </c>
      <c r="AR1576" s="35">
        <f>MAX(INDEX(AR$381:AR$392,$D1576)+(AR1549+AR1567)*(1+$E1576),0.01)</f>
        <v/>
      </c>
      <c r="AS1576" s="35">
        <f>MAX(INDEX(AS$381:AS$392,$D1576)+(AS1549+AS1567)*(1+$E1576),0.01)</f>
        <v/>
      </c>
      <c r="AT1576" s="35">
        <f>MAX(INDEX(AT$381:AT$392,$D1576)+(AT1549+AT1567)*(1+$E1576),0.01)</f>
        <v/>
      </c>
      <c r="AU1576" s="35">
        <f>MAX(INDEX(AU$381:AU$392,$D1576)+(AU1549+AU1567)*(1+$E1576),0.01)</f>
        <v/>
      </c>
      <c r="AV1576" s="35">
        <f>MAX(INDEX(AV$381:AV$392,$D1576)+(AV1549+AV1567)*(1+$E1576),0.01)</f>
        <v/>
      </c>
      <c r="AW1576" s="35">
        <f>MAX(INDEX(AW$381:AW$392,$D1576)+(AW1549+AW1567)*(1+$E1576),0.01)</f>
        <v/>
      </c>
      <c r="AX1576" s="35">
        <f>MAX(INDEX(AX$381:AX$392,$D1576)+(AX1549+AX1567)*(1+$E1576),0.01)</f>
        <v/>
      </c>
      <c r="AY1576" s="35">
        <f>MAX(INDEX(AY$381:AY$392,$D1576)+(AY1549+AY1567)*(1+$E1576),0.01)</f>
        <v/>
      </c>
      <c r="AZ1576" s="35">
        <f>MAX(INDEX(AZ$381:AZ$392,$D1576)+(AZ1549+AZ1567)*(1+$E1576),0.01)</f>
        <v/>
      </c>
      <c r="BA1576" s="42">
        <f>POSTTAX(INDEX(BA$381:BA$392,$D1576),BA1549+BA1567,$E1576)</f>
        <v/>
      </c>
    </row>
    <row r="1577" hidden="1" outlineLevel="2">
      <c r="A1577" s="14" t="inlineStr">
        <is>
          <t>atp</t>
        </is>
      </c>
      <c r="B1577" s="14" t="inlineStr">
        <is>
          <t>nga</t>
        </is>
      </c>
      <c r="C1577" s="14" t="inlineStr">
        <is>
          <t>res</t>
        </is>
      </c>
      <c r="D1577" s="35">
        <f>INDEX(Inputs!$U$5:$U$132,MATCH($B1577&amp;"|"&amp;$C1577,Inputs!$A$5:$A$132,0))</f>
        <v/>
      </c>
      <c r="E1577" s="35">
        <f>INDEX(Inputs!$V$5:$V$132,MATCH($B1577&amp;"|"&amp;$C1577,Inputs!$A$5:$A$132,0))</f>
        <v/>
      </c>
      <c r="F1577" s="39" t="n"/>
      <c r="G1577" s="39" t="n"/>
      <c r="H1577" s="14">
        <f>INDEX(VarLab,MATCH($A1577,VarKey,0))&amp;INDEX(MemLab,MATCH($C1577&amp;"|"&amp;$B1577,MemKey,0))</f>
        <v/>
      </c>
      <c r="I1577" s="14">
        <f>INDEX(VarUnit,MATCH($A1577,VarKey,0))</f>
        <v/>
      </c>
      <c r="J1577" s="14">
        <f>INDEX(VarSrc,MATCH($A1577,VarKey,0))</f>
        <v/>
      </c>
      <c r="K1577" s="11">
        <f>CodePrefix&amp;$A1577&amp;IF($C1577="","","."&amp;$C1577&amp;"."&amp;$B1577)&amp;INDEX(VarEnd,MATCH($A1577,VarKey,0))&amp;K$5</f>
        <v/>
      </c>
      <c r="L1577" s="40">
        <f>MAX(INDEX(L$381:L$392,$D1577)+(L1550+L1568)*(1+$E1577),0.01)</f>
        <v/>
      </c>
      <c r="M1577" s="35">
        <f>MAX(INDEX(M$381:M$392,$D1577)+(M1550+M1568)*(1+$E1577),0.01)</f>
        <v/>
      </c>
      <c r="N1577" s="35">
        <f>MAX(INDEX(N$381:N$392,$D1577)+(N1550+N1568)*(1+$E1577),0.01)</f>
        <v/>
      </c>
      <c r="O1577" s="35">
        <f>MAX(INDEX(O$381:O$392,$D1577)+(O1550+O1568)*(1+$E1577),0.01)</f>
        <v/>
      </c>
      <c r="P1577" s="35">
        <f>MAX(INDEX(P$381:P$392,$D1577)+(P1550+P1568)*(1+$E1577),0.01)</f>
        <v/>
      </c>
      <c r="Q1577" s="35">
        <f>MAX(INDEX(Q$381:Q$392,$D1577)+(Q1550+Q1568)*(1+$E1577),0.01)</f>
        <v/>
      </c>
      <c r="R1577" s="35">
        <f>MAX(INDEX(R$381:R$392,$D1577)+(R1550+R1568)*(1+$E1577),0.01)</f>
        <v/>
      </c>
      <c r="S1577" s="35">
        <f>MAX(INDEX(S$381:S$392,$D1577)+(S1550+S1568)*(1+$E1577),0.01)</f>
        <v/>
      </c>
      <c r="T1577" s="35">
        <f>MAX(INDEX(T$381:T$392,$D1577)+(T1550+T1568)*(1+$E1577),0.01)</f>
        <v/>
      </c>
      <c r="U1577" s="35">
        <f>MAX(INDEX(U$381:U$392,$D1577)+(U1550+U1568)*(1+$E1577),0.01)</f>
        <v/>
      </c>
      <c r="V1577" s="35">
        <f>MAX(INDEX(V$381:V$392,$D1577)+(V1550+V1568)*(1+$E1577),0.01)</f>
        <v/>
      </c>
      <c r="W1577" s="35">
        <f>MAX(INDEX(W$381:W$392,$D1577)+(W1550+W1568)*(1+$E1577),0.01)</f>
        <v/>
      </c>
      <c r="X1577" s="35">
        <f>MAX(INDEX(X$381:X$392,$D1577)+(X1550+X1568)*(1+$E1577),0.01)</f>
        <v/>
      </c>
      <c r="Y1577" s="35">
        <f>MAX(INDEX(Y$381:Y$392,$D1577)+(Y1550+Y1568)*(1+$E1577),0.01)</f>
        <v/>
      </c>
      <c r="Z1577" s="35">
        <f>MAX(INDEX(Z$381:Z$392,$D1577)+(Z1550+Z1568)*(1+$E1577),0.01)</f>
        <v/>
      </c>
      <c r="AA1577" s="35">
        <f>MAX(INDEX(AA$381:AA$392,$D1577)+(AA1550+AA1568)*(1+$E1577),0.01)</f>
        <v/>
      </c>
      <c r="AB1577" s="35">
        <f>MAX(INDEX(AB$381:AB$392,$D1577)+(AB1550+AB1568)*(1+$E1577),0.01)</f>
        <v/>
      </c>
      <c r="AC1577" s="35">
        <f>MAX(INDEX(AC$381:AC$392,$D1577)+(AC1550+AC1568)*(1+$E1577),0.01)</f>
        <v/>
      </c>
      <c r="AD1577" s="35">
        <f>MAX(INDEX(AD$381:AD$392,$D1577)+(AD1550+AD1568)*(1+$E1577),0.01)</f>
        <v/>
      </c>
      <c r="AE1577" s="42">
        <f>POSTTAX(INDEX(AE$381:AE$392,$D1577),AE1550+AE1568,$E1577)</f>
        <v/>
      </c>
      <c r="AG1577" s="11">
        <f>CodePrefix&amp;$A1577&amp;IF($C1577="","","."&amp;$C1577&amp;"."&amp;$B1577)&amp;INDEX(VarEnd,MATCH($A1577,VarKey,0))&amp;AG$5</f>
        <v/>
      </c>
      <c r="AH1577" s="40">
        <f>MAX(INDEX(AH$381:AH$392,$D1577)+(AH1550+AH1568)*(1+$E1577),0.01)</f>
        <v/>
      </c>
      <c r="AI1577" s="35">
        <f>MAX(INDEX(AI$381:AI$392,$D1577)+(AI1550+AI1568)*(1+$E1577),0.01)</f>
        <v/>
      </c>
      <c r="AJ1577" s="35">
        <f>MAX(INDEX(AJ$381:AJ$392,$D1577)+(AJ1550+AJ1568)*(1+$E1577),0.01)</f>
        <v/>
      </c>
      <c r="AK1577" s="35">
        <f>MAX(INDEX(AK$381:AK$392,$D1577)+(AK1550+AK1568)*(1+$E1577),0.01)</f>
        <v/>
      </c>
      <c r="AL1577" s="35">
        <f>MAX(INDEX(AL$381:AL$392,$D1577)+(AL1550+AL1568)*(1+$E1577),0.01)</f>
        <v/>
      </c>
      <c r="AM1577" s="35">
        <f>MAX(INDEX(AM$381:AM$392,$D1577)+(AM1550+AM1568)*(1+$E1577),0.01)</f>
        <v/>
      </c>
      <c r="AN1577" s="35">
        <f>MAX(INDEX(AN$381:AN$392,$D1577)+(AN1550+AN1568)*(1+$E1577),0.01)</f>
        <v/>
      </c>
      <c r="AO1577" s="35">
        <f>MAX(INDEX(AO$381:AO$392,$D1577)+(AO1550+AO1568)*(1+$E1577),0.01)</f>
        <v/>
      </c>
      <c r="AP1577" s="35">
        <f>MAX(INDEX(AP$381:AP$392,$D1577)+(AP1550+AP1568)*(1+$E1577),0.01)</f>
        <v/>
      </c>
      <c r="AQ1577" s="35">
        <f>MAX(INDEX(AQ$381:AQ$392,$D1577)+(AQ1550+AQ1568)*(1+$E1577),0.01)</f>
        <v/>
      </c>
      <c r="AR1577" s="35">
        <f>MAX(INDEX(AR$381:AR$392,$D1577)+(AR1550+AR1568)*(1+$E1577),0.01)</f>
        <v/>
      </c>
      <c r="AS1577" s="35">
        <f>MAX(INDEX(AS$381:AS$392,$D1577)+(AS1550+AS1568)*(1+$E1577),0.01)</f>
        <v/>
      </c>
      <c r="AT1577" s="35">
        <f>MAX(INDEX(AT$381:AT$392,$D1577)+(AT1550+AT1568)*(1+$E1577),0.01)</f>
        <v/>
      </c>
      <c r="AU1577" s="35">
        <f>MAX(INDEX(AU$381:AU$392,$D1577)+(AU1550+AU1568)*(1+$E1577),0.01)</f>
        <v/>
      </c>
      <c r="AV1577" s="35">
        <f>MAX(INDEX(AV$381:AV$392,$D1577)+(AV1550+AV1568)*(1+$E1577),0.01)</f>
        <v/>
      </c>
      <c r="AW1577" s="35">
        <f>MAX(INDEX(AW$381:AW$392,$D1577)+(AW1550+AW1568)*(1+$E1577),0.01)</f>
        <v/>
      </c>
      <c r="AX1577" s="35">
        <f>MAX(INDEX(AX$381:AX$392,$D1577)+(AX1550+AX1568)*(1+$E1577),0.01)</f>
        <v/>
      </c>
      <c r="AY1577" s="35">
        <f>MAX(INDEX(AY$381:AY$392,$D1577)+(AY1550+AY1568)*(1+$E1577),0.01)</f>
        <v/>
      </c>
      <c r="AZ1577" s="35">
        <f>MAX(INDEX(AZ$381:AZ$392,$D1577)+(AZ1550+AZ1568)*(1+$E1577),0.01)</f>
        <v/>
      </c>
      <c r="BA1577" s="42">
        <f>POSTTAX(INDEX(BA$381:BA$392,$D1577),BA1550+BA1568,$E1577)</f>
        <v/>
      </c>
    </row>
    <row r="1578" hidden="1" outlineLevel="2">
      <c r="A1578" s="14" t="inlineStr">
        <is>
          <t>atp</t>
        </is>
      </c>
      <c r="B1578" s="14" t="inlineStr">
        <is>
          <t>gso</t>
        </is>
      </c>
      <c r="C1578" s="14" t="inlineStr">
        <is>
          <t>res</t>
        </is>
      </c>
      <c r="D1578" s="35">
        <f>INDEX(Inputs!$U$5:$U$132,MATCH($B1578&amp;"|"&amp;$C1578,Inputs!$A$5:$A$132,0))</f>
        <v/>
      </c>
      <c r="E1578" s="35">
        <f>INDEX(Inputs!$V$5:$V$132,MATCH($B1578&amp;"|"&amp;$C1578,Inputs!$A$5:$A$132,0))</f>
        <v/>
      </c>
      <c r="F1578" s="39" t="n"/>
      <c r="G1578" s="39" t="n"/>
      <c r="H1578" s="14">
        <f>INDEX(VarLab,MATCH($A1578,VarKey,0))&amp;INDEX(MemLab,MATCH($C1578&amp;"|"&amp;$B1578,MemKey,0))</f>
        <v/>
      </c>
      <c r="I1578" s="14">
        <f>INDEX(VarUnit,MATCH($A1578,VarKey,0))</f>
        <v/>
      </c>
      <c r="J1578" s="14">
        <f>INDEX(VarSrc,MATCH($A1578,VarKey,0))</f>
        <v/>
      </c>
      <c r="K1578" s="11">
        <f>CodePrefix&amp;$A1578&amp;IF($C1578="","","."&amp;$C1578&amp;"."&amp;$B1578)&amp;INDEX(VarEnd,MATCH($A1578,VarKey,0))&amp;K$5</f>
        <v/>
      </c>
      <c r="L1578" s="40">
        <f>MAX(INDEX(L$381:L$392,$D1578)+(L1551+L1569)*(1+$E1578),0.01)</f>
        <v/>
      </c>
      <c r="M1578" s="35">
        <f>MAX(INDEX(M$381:M$392,$D1578)+(M1551+M1569)*(1+$E1578),0.01)</f>
        <v/>
      </c>
      <c r="N1578" s="35">
        <f>MAX(INDEX(N$381:N$392,$D1578)+(N1551+N1569)*(1+$E1578),0.01)</f>
        <v/>
      </c>
      <c r="O1578" s="35">
        <f>MAX(INDEX(O$381:O$392,$D1578)+(O1551+O1569)*(1+$E1578),0.01)</f>
        <v/>
      </c>
      <c r="P1578" s="35">
        <f>MAX(INDEX(P$381:P$392,$D1578)+(P1551+P1569)*(1+$E1578),0.01)</f>
        <v/>
      </c>
      <c r="Q1578" s="35">
        <f>MAX(INDEX(Q$381:Q$392,$D1578)+(Q1551+Q1569)*(1+$E1578),0.01)</f>
        <v/>
      </c>
      <c r="R1578" s="35">
        <f>MAX(INDEX(R$381:R$392,$D1578)+(R1551+R1569)*(1+$E1578),0.01)</f>
        <v/>
      </c>
      <c r="S1578" s="35">
        <f>MAX(INDEX(S$381:S$392,$D1578)+(S1551+S1569)*(1+$E1578),0.01)</f>
        <v/>
      </c>
      <c r="T1578" s="35">
        <f>MAX(INDEX(T$381:T$392,$D1578)+(T1551+T1569)*(1+$E1578),0.01)</f>
        <v/>
      </c>
      <c r="U1578" s="35">
        <f>MAX(INDEX(U$381:U$392,$D1578)+(U1551+U1569)*(1+$E1578),0.01)</f>
        <v/>
      </c>
      <c r="V1578" s="35">
        <f>MAX(INDEX(V$381:V$392,$D1578)+(V1551+V1569)*(1+$E1578),0.01)</f>
        <v/>
      </c>
      <c r="W1578" s="35">
        <f>MAX(INDEX(W$381:W$392,$D1578)+(W1551+W1569)*(1+$E1578),0.01)</f>
        <v/>
      </c>
      <c r="X1578" s="35">
        <f>MAX(INDEX(X$381:X$392,$D1578)+(X1551+X1569)*(1+$E1578),0.01)</f>
        <v/>
      </c>
      <c r="Y1578" s="35">
        <f>MAX(INDEX(Y$381:Y$392,$D1578)+(Y1551+Y1569)*(1+$E1578),0.01)</f>
        <v/>
      </c>
      <c r="Z1578" s="35">
        <f>MAX(INDEX(Z$381:Z$392,$D1578)+(Z1551+Z1569)*(1+$E1578),0.01)</f>
        <v/>
      </c>
      <c r="AA1578" s="35">
        <f>MAX(INDEX(AA$381:AA$392,$D1578)+(AA1551+AA1569)*(1+$E1578),0.01)</f>
        <v/>
      </c>
      <c r="AB1578" s="35">
        <f>MAX(INDEX(AB$381:AB$392,$D1578)+(AB1551+AB1569)*(1+$E1578),0.01)</f>
        <v/>
      </c>
      <c r="AC1578" s="35">
        <f>MAX(INDEX(AC$381:AC$392,$D1578)+(AC1551+AC1569)*(1+$E1578),0.01)</f>
        <v/>
      </c>
      <c r="AD1578" s="35">
        <f>MAX(INDEX(AD$381:AD$392,$D1578)+(AD1551+AD1569)*(1+$E1578),0.01)</f>
        <v/>
      </c>
      <c r="AE1578" s="42">
        <f>POSTTAX(INDEX(AE$381:AE$392,$D1578),AE1551+AE1569,$E1578)</f>
        <v/>
      </c>
      <c r="AG1578" s="11">
        <f>CodePrefix&amp;$A1578&amp;IF($C1578="","","."&amp;$C1578&amp;"."&amp;$B1578)&amp;INDEX(VarEnd,MATCH($A1578,VarKey,0))&amp;AG$5</f>
        <v/>
      </c>
      <c r="AH1578" s="40">
        <f>MAX(INDEX(AH$381:AH$392,$D1578)+(AH1551+AH1569)*(1+$E1578),0.01)</f>
        <v/>
      </c>
      <c r="AI1578" s="35">
        <f>MAX(INDEX(AI$381:AI$392,$D1578)+(AI1551+AI1569)*(1+$E1578),0.01)</f>
        <v/>
      </c>
      <c r="AJ1578" s="35">
        <f>MAX(INDEX(AJ$381:AJ$392,$D1578)+(AJ1551+AJ1569)*(1+$E1578),0.01)</f>
        <v/>
      </c>
      <c r="AK1578" s="35">
        <f>MAX(INDEX(AK$381:AK$392,$D1578)+(AK1551+AK1569)*(1+$E1578),0.01)</f>
        <v/>
      </c>
      <c r="AL1578" s="35">
        <f>MAX(INDEX(AL$381:AL$392,$D1578)+(AL1551+AL1569)*(1+$E1578),0.01)</f>
        <v/>
      </c>
      <c r="AM1578" s="35">
        <f>MAX(INDEX(AM$381:AM$392,$D1578)+(AM1551+AM1569)*(1+$E1578),0.01)</f>
        <v/>
      </c>
      <c r="AN1578" s="35">
        <f>MAX(INDEX(AN$381:AN$392,$D1578)+(AN1551+AN1569)*(1+$E1578),0.01)</f>
        <v/>
      </c>
      <c r="AO1578" s="35">
        <f>MAX(INDEX(AO$381:AO$392,$D1578)+(AO1551+AO1569)*(1+$E1578),0.01)</f>
        <v/>
      </c>
      <c r="AP1578" s="35">
        <f>MAX(INDEX(AP$381:AP$392,$D1578)+(AP1551+AP1569)*(1+$E1578),0.01)</f>
        <v/>
      </c>
      <c r="AQ1578" s="35">
        <f>MAX(INDEX(AQ$381:AQ$392,$D1578)+(AQ1551+AQ1569)*(1+$E1578),0.01)</f>
        <v/>
      </c>
      <c r="AR1578" s="35">
        <f>MAX(INDEX(AR$381:AR$392,$D1578)+(AR1551+AR1569)*(1+$E1578),0.01)</f>
        <v/>
      </c>
      <c r="AS1578" s="35">
        <f>MAX(INDEX(AS$381:AS$392,$D1578)+(AS1551+AS1569)*(1+$E1578),0.01)</f>
        <v/>
      </c>
      <c r="AT1578" s="35">
        <f>MAX(INDEX(AT$381:AT$392,$D1578)+(AT1551+AT1569)*(1+$E1578),0.01)</f>
        <v/>
      </c>
      <c r="AU1578" s="35">
        <f>MAX(INDEX(AU$381:AU$392,$D1578)+(AU1551+AU1569)*(1+$E1578),0.01)</f>
        <v/>
      </c>
      <c r="AV1578" s="35">
        <f>MAX(INDEX(AV$381:AV$392,$D1578)+(AV1551+AV1569)*(1+$E1578),0.01)</f>
        <v/>
      </c>
      <c r="AW1578" s="35">
        <f>MAX(INDEX(AW$381:AW$392,$D1578)+(AW1551+AW1569)*(1+$E1578),0.01)</f>
        <v/>
      </c>
      <c r="AX1578" s="35">
        <f>MAX(INDEX(AX$381:AX$392,$D1578)+(AX1551+AX1569)*(1+$E1578),0.01)</f>
        <v/>
      </c>
      <c r="AY1578" s="35">
        <f>MAX(INDEX(AY$381:AY$392,$D1578)+(AY1551+AY1569)*(1+$E1578),0.01)</f>
        <v/>
      </c>
      <c r="AZ1578" s="35">
        <f>MAX(INDEX(AZ$381:AZ$392,$D1578)+(AZ1551+AZ1569)*(1+$E1578),0.01)</f>
        <v/>
      </c>
      <c r="BA1578" s="42">
        <f>POSTTAX(INDEX(BA$381:BA$392,$D1578),BA1551+BA1569,$E1578)</f>
        <v/>
      </c>
    </row>
    <row r="1579" hidden="1" outlineLevel="2">
      <c r="A1579" s="14" t="inlineStr">
        <is>
          <t>atp</t>
        </is>
      </c>
      <c r="B1579" s="14" t="inlineStr">
        <is>
          <t>die</t>
        </is>
      </c>
      <c r="C1579" s="14" t="inlineStr">
        <is>
          <t>res</t>
        </is>
      </c>
      <c r="D1579" s="35">
        <f>INDEX(Inputs!$U$5:$U$132,MATCH($B1579&amp;"|"&amp;$C1579,Inputs!$A$5:$A$132,0))</f>
        <v/>
      </c>
      <c r="E1579" s="35">
        <f>INDEX(Inputs!$V$5:$V$132,MATCH($B1579&amp;"|"&amp;$C1579,Inputs!$A$5:$A$132,0))</f>
        <v/>
      </c>
      <c r="F1579" s="39" t="n"/>
      <c r="G1579" s="39" t="n"/>
      <c r="H1579" s="14">
        <f>INDEX(VarLab,MATCH($A1579,VarKey,0))&amp;INDEX(MemLab,MATCH($C1579&amp;"|"&amp;$B1579,MemKey,0))</f>
        <v/>
      </c>
      <c r="I1579" s="14">
        <f>INDEX(VarUnit,MATCH($A1579,VarKey,0))</f>
        <v/>
      </c>
      <c r="J1579" s="14">
        <f>INDEX(VarSrc,MATCH($A1579,VarKey,0))</f>
        <v/>
      </c>
      <c r="K1579" s="11">
        <f>CodePrefix&amp;$A1579&amp;IF($C1579="","","."&amp;$C1579&amp;"."&amp;$B1579)&amp;INDEX(VarEnd,MATCH($A1579,VarKey,0))&amp;K$5</f>
        <v/>
      </c>
      <c r="L1579" s="40">
        <f>MAX(INDEX(L$381:L$392,$D1579)+(L1552+L1570)*(1+$E1579),0.01)</f>
        <v/>
      </c>
      <c r="M1579" s="35">
        <f>MAX(INDEX(M$381:M$392,$D1579)+(M1552+M1570)*(1+$E1579),0.01)</f>
        <v/>
      </c>
      <c r="N1579" s="35">
        <f>MAX(INDEX(N$381:N$392,$D1579)+(N1552+N1570)*(1+$E1579),0.01)</f>
        <v/>
      </c>
      <c r="O1579" s="35">
        <f>MAX(INDEX(O$381:O$392,$D1579)+(O1552+O1570)*(1+$E1579),0.01)</f>
        <v/>
      </c>
      <c r="P1579" s="35">
        <f>MAX(INDEX(P$381:P$392,$D1579)+(P1552+P1570)*(1+$E1579),0.01)</f>
        <v/>
      </c>
      <c r="Q1579" s="35">
        <f>MAX(INDEX(Q$381:Q$392,$D1579)+(Q1552+Q1570)*(1+$E1579),0.01)</f>
        <v/>
      </c>
      <c r="R1579" s="35">
        <f>MAX(INDEX(R$381:R$392,$D1579)+(R1552+R1570)*(1+$E1579),0.01)</f>
        <v/>
      </c>
      <c r="S1579" s="35">
        <f>MAX(INDEX(S$381:S$392,$D1579)+(S1552+S1570)*(1+$E1579),0.01)</f>
        <v/>
      </c>
      <c r="T1579" s="35">
        <f>MAX(INDEX(T$381:T$392,$D1579)+(T1552+T1570)*(1+$E1579),0.01)</f>
        <v/>
      </c>
      <c r="U1579" s="35">
        <f>MAX(INDEX(U$381:U$392,$D1579)+(U1552+U1570)*(1+$E1579),0.01)</f>
        <v/>
      </c>
      <c r="V1579" s="35">
        <f>MAX(INDEX(V$381:V$392,$D1579)+(V1552+V1570)*(1+$E1579),0.01)</f>
        <v/>
      </c>
      <c r="W1579" s="35">
        <f>MAX(INDEX(W$381:W$392,$D1579)+(W1552+W1570)*(1+$E1579),0.01)</f>
        <v/>
      </c>
      <c r="X1579" s="35">
        <f>MAX(INDEX(X$381:X$392,$D1579)+(X1552+X1570)*(1+$E1579),0.01)</f>
        <v/>
      </c>
      <c r="Y1579" s="35">
        <f>MAX(INDEX(Y$381:Y$392,$D1579)+(Y1552+Y1570)*(1+$E1579),0.01)</f>
        <v/>
      </c>
      <c r="Z1579" s="35">
        <f>MAX(INDEX(Z$381:Z$392,$D1579)+(Z1552+Z1570)*(1+$E1579),0.01)</f>
        <v/>
      </c>
      <c r="AA1579" s="35">
        <f>MAX(INDEX(AA$381:AA$392,$D1579)+(AA1552+AA1570)*(1+$E1579),0.01)</f>
        <v/>
      </c>
      <c r="AB1579" s="35">
        <f>MAX(INDEX(AB$381:AB$392,$D1579)+(AB1552+AB1570)*(1+$E1579),0.01)</f>
        <v/>
      </c>
      <c r="AC1579" s="35">
        <f>MAX(INDEX(AC$381:AC$392,$D1579)+(AC1552+AC1570)*(1+$E1579),0.01)</f>
        <v/>
      </c>
      <c r="AD1579" s="35">
        <f>MAX(INDEX(AD$381:AD$392,$D1579)+(AD1552+AD1570)*(1+$E1579),0.01)</f>
        <v/>
      </c>
      <c r="AE1579" s="42">
        <f>POSTTAX(INDEX(AE$381:AE$392,$D1579),AE1552+AE1570,$E1579)</f>
        <v/>
      </c>
      <c r="AG1579" s="11">
        <f>CodePrefix&amp;$A1579&amp;IF($C1579="","","."&amp;$C1579&amp;"."&amp;$B1579)&amp;INDEX(VarEnd,MATCH($A1579,VarKey,0))&amp;AG$5</f>
        <v/>
      </c>
      <c r="AH1579" s="40">
        <f>MAX(INDEX(AH$381:AH$392,$D1579)+(AH1552+AH1570)*(1+$E1579),0.01)</f>
        <v/>
      </c>
      <c r="AI1579" s="35">
        <f>MAX(INDEX(AI$381:AI$392,$D1579)+(AI1552+AI1570)*(1+$E1579),0.01)</f>
        <v/>
      </c>
      <c r="AJ1579" s="35">
        <f>MAX(INDEX(AJ$381:AJ$392,$D1579)+(AJ1552+AJ1570)*(1+$E1579),0.01)</f>
        <v/>
      </c>
      <c r="AK1579" s="35">
        <f>MAX(INDEX(AK$381:AK$392,$D1579)+(AK1552+AK1570)*(1+$E1579),0.01)</f>
        <v/>
      </c>
      <c r="AL1579" s="35">
        <f>MAX(INDEX(AL$381:AL$392,$D1579)+(AL1552+AL1570)*(1+$E1579),0.01)</f>
        <v/>
      </c>
      <c r="AM1579" s="35">
        <f>MAX(INDEX(AM$381:AM$392,$D1579)+(AM1552+AM1570)*(1+$E1579),0.01)</f>
        <v/>
      </c>
      <c r="AN1579" s="35">
        <f>MAX(INDEX(AN$381:AN$392,$D1579)+(AN1552+AN1570)*(1+$E1579),0.01)</f>
        <v/>
      </c>
      <c r="AO1579" s="35">
        <f>MAX(INDEX(AO$381:AO$392,$D1579)+(AO1552+AO1570)*(1+$E1579),0.01)</f>
        <v/>
      </c>
      <c r="AP1579" s="35">
        <f>MAX(INDEX(AP$381:AP$392,$D1579)+(AP1552+AP1570)*(1+$E1579),0.01)</f>
        <v/>
      </c>
      <c r="AQ1579" s="35">
        <f>MAX(INDEX(AQ$381:AQ$392,$D1579)+(AQ1552+AQ1570)*(1+$E1579),0.01)</f>
        <v/>
      </c>
      <c r="AR1579" s="35">
        <f>MAX(INDEX(AR$381:AR$392,$D1579)+(AR1552+AR1570)*(1+$E1579),0.01)</f>
        <v/>
      </c>
      <c r="AS1579" s="35">
        <f>MAX(INDEX(AS$381:AS$392,$D1579)+(AS1552+AS1570)*(1+$E1579),0.01)</f>
        <v/>
      </c>
      <c r="AT1579" s="35">
        <f>MAX(INDEX(AT$381:AT$392,$D1579)+(AT1552+AT1570)*(1+$E1579),0.01)</f>
        <v/>
      </c>
      <c r="AU1579" s="35">
        <f>MAX(INDEX(AU$381:AU$392,$D1579)+(AU1552+AU1570)*(1+$E1579),0.01)</f>
        <v/>
      </c>
      <c r="AV1579" s="35">
        <f>MAX(INDEX(AV$381:AV$392,$D1579)+(AV1552+AV1570)*(1+$E1579),0.01)</f>
        <v/>
      </c>
      <c r="AW1579" s="35">
        <f>MAX(INDEX(AW$381:AW$392,$D1579)+(AW1552+AW1570)*(1+$E1579),0.01)</f>
        <v/>
      </c>
      <c r="AX1579" s="35">
        <f>MAX(INDEX(AX$381:AX$392,$D1579)+(AX1552+AX1570)*(1+$E1579),0.01)</f>
        <v/>
      </c>
      <c r="AY1579" s="35">
        <f>MAX(INDEX(AY$381:AY$392,$D1579)+(AY1552+AY1570)*(1+$E1579),0.01)</f>
        <v/>
      </c>
      <c r="AZ1579" s="35">
        <f>MAX(INDEX(AZ$381:AZ$392,$D1579)+(AZ1552+AZ1570)*(1+$E1579),0.01)</f>
        <v/>
      </c>
      <c r="BA1579" s="42">
        <f>POSTTAX(INDEX(BA$381:BA$392,$D1579),BA1552+BA1570,$E1579)</f>
        <v/>
      </c>
    </row>
    <row r="1580" hidden="1" outlineLevel="2">
      <c r="A1580" s="14" t="inlineStr">
        <is>
          <t>atp</t>
        </is>
      </c>
      <c r="B1580" s="14" t="inlineStr">
        <is>
          <t>lpg</t>
        </is>
      </c>
      <c r="C1580" s="14" t="inlineStr">
        <is>
          <t>res</t>
        </is>
      </c>
      <c r="D1580" s="35">
        <f>INDEX(Inputs!$U$5:$U$132,MATCH($B1580&amp;"|"&amp;$C1580,Inputs!$A$5:$A$132,0))</f>
        <v/>
      </c>
      <c r="E1580" s="35">
        <f>INDEX(Inputs!$V$5:$V$132,MATCH($B1580&amp;"|"&amp;$C1580,Inputs!$A$5:$A$132,0))</f>
        <v/>
      </c>
      <c r="F1580" s="39" t="n"/>
      <c r="G1580" s="39" t="n"/>
      <c r="H1580" s="14">
        <f>INDEX(VarLab,MATCH($A1580,VarKey,0))&amp;INDEX(MemLab,MATCH($C1580&amp;"|"&amp;$B1580,MemKey,0))</f>
        <v/>
      </c>
      <c r="I1580" s="14">
        <f>INDEX(VarUnit,MATCH($A1580,VarKey,0))</f>
        <v/>
      </c>
      <c r="J1580" s="14">
        <f>INDEX(VarSrc,MATCH($A1580,VarKey,0))</f>
        <v/>
      </c>
      <c r="K1580" s="11">
        <f>CodePrefix&amp;$A1580&amp;IF($C1580="","","."&amp;$C1580&amp;"."&amp;$B1580)&amp;INDEX(VarEnd,MATCH($A1580,VarKey,0))&amp;K$5</f>
        <v/>
      </c>
      <c r="L1580" s="40">
        <f>MAX(INDEX(L$381:L$392,$D1580)+(L1553+L1571)*(1+$E1580),0.01)</f>
        <v/>
      </c>
      <c r="M1580" s="35">
        <f>MAX(INDEX(M$381:M$392,$D1580)+(M1553+M1571)*(1+$E1580),0.01)</f>
        <v/>
      </c>
      <c r="N1580" s="35">
        <f>MAX(INDEX(N$381:N$392,$D1580)+(N1553+N1571)*(1+$E1580),0.01)</f>
        <v/>
      </c>
      <c r="O1580" s="35">
        <f>MAX(INDEX(O$381:O$392,$D1580)+(O1553+O1571)*(1+$E1580),0.01)</f>
        <v/>
      </c>
      <c r="P1580" s="35">
        <f>MAX(INDEX(P$381:P$392,$D1580)+(P1553+P1571)*(1+$E1580),0.01)</f>
        <v/>
      </c>
      <c r="Q1580" s="35">
        <f>MAX(INDEX(Q$381:Q$392,$D1580)+(Q1553+Q1571)*(1+$E1580),0.01)</f>
        <v/>
      </c>
      <c r="R1580" s="35">
        <f>MAX(INDEX(R$381:R$392,$D1580)+(R1553+R1571)*(1+$E1580),0.01)</f>
        <v/>
      </c>
      <c r="S1580" s="35">
        <f>MAX(INDEX(S$381:S$392,$D1580)+(S1553+S1571)*(1+$E1580),0.01)</f>
        <v/>
      </c>
      <c r="T1580" s="35">
        <f>MAX(INDEX(T$381:T$392,$D1580)+(T1553+T1571)*(1+$E1580),0.01)</f>
        <v/>
      </c>
      <c r="U1580" s="35">
        <f>MAX(INDEX(U$381:U$392,$D1580)+(U1553+U1571)*(1+$E1580),0.01)</f>
        <v/>
      </c>
      <c r="V1580" s="35">
        <f>MAX(INDEX(V$381:V$392,$D1580)+(V1553+V1571)*(1+$E1580),0.01)</f>
        <v/>
      </c>
      <c r="W1580" s="35">
        <f>MAX(INDEX(W$381:W$392,$D1580)+(W1553+W1571)*(1+$E1580),0.01)</f>
        <v/>
      </c>
      <c r="X1580" s="35">
        <f>MAX(INDEX(X$381:X$392,$D1580)+(X1553+X1571)*(1+$E1580),0.01)</f>
        <v/>
      </c>
      <c r="Y1580" s="35">
        <f>MAX(INDEX(Y$381:Y$392,$D1580)+(Y1553+Y1571)*(1+$E1580),0.01)</f>
        <v/>
      </c>
      <c r="Z1580" s="35">
        <f>MAX(INDEX(Z$381:Z$392,$D1580)+(Z1553+Z1571)*(1+$E1580),0.01)</f>
        <v/>
      </c>
      <c r="AA1580" s="35">
        <f>MAX(INDEX(AA$381:AA$392,$D1580)+(AA1553+AA1571)*(1+$E1580),0.01)</f>
        <v/>
      </c>
      <c r="AB1580" s="35">
        <f>MAX(INDEX(AB$381:AB$392,$D1580)+(AB1553+AB1571)*(1+$E1580),0.01)</f>
        <v/>
      </c>
      <c r="AC1580" s="35">
        <f>MAX(INDEX(AC$381:AC$392,$D1580)+(AC1553+AC1571)*(1+$E1580),0.01)</f>
        <v/>
      </c>
      <c r="AD1580" s="35">
        <f>MAX(INDEX(AD$381:AD$392,$D1580)+(AD1553+AD1571)*(1+$E1580),0.01)</f>
        <v/>
      </c>
      <c r="AE1580" s="42">
        <f>POSTTAX(INDEX(AE$381:AE$392,$D1580),AE1553+AE1571,$E1580)</f>
        <v/>
      </c>
      <c r="AG1580" s="11">
        <f>CodePrefix&amp;$A1580&amp;IF($C1580="","","."&amp;$C1580&amp;"."&amp;$B1580)&amp;INDEX(VarEnd,MATCH($A1580,VarKey,0))&amp;AG$5</f>
        <v/>
      </c>
      <c r="AH1580" s="40">
        <f>MAX(INDEX(AH$381:AH$392,$D1580)+(AH1553+AH1571)*(1+$E1580),0.01)</f>
        <v/>
      </c>
      <c r="AI1580" s="35">
        <f>MAX(INDEX(AI$381:AI$392,$D1580)+(AI1553+AI1571)*(1+$E1580),0.01)</f>
        <v/>
      </c>
      <c r="AJ1580" s="35">
        <f>MAX(INDEX(AJ$381:AJ$392,$D1580)+(AJ1553+AJ1571)*(1+$E1580),0.01)</f>
        <v/>
      </c>
      <c r="AK1580" s="35">
        <f>MAX(INDEX(AK$381:AK$392,$D1580)+(AK1553+AK1571)*(1+$E1580),0.01)</f>
        <v/>
      </c>
      <c r="AL1580" s="35">
        <f>MAX(INDEX(AL$381:AL$392,$D1580)+(AL1553+AL1571)*(1+$E1580),0.01)</f>
        <v/>
      </c>
      <c r="AM1580" s="35">
        <f>MAX(INDEX(AM$381:AM$392,$D1580)+(AM1553+AM1571)*(1+$E1580),0.01)</f>
        <v/>
      </c>
      <c r="AN1580" s="35">
        <f>MAX(INDEX(AN$381:AN$392,$D1580)+(AN1553+AN1571)*(1+$E1580),0.01)</f>
        <v/>
      </c>
      <c r="AO1580" s="35">
        <f>MAX(INDEX(AO$381:AO$392,$D1580)+(AO1553+AO1571)*(1+$E1580),0.01)</f>
        <v/>
      </c>
      <c r="AP1580" s="35">
        <f>MAX(INDEX(AP$381:AP$392,$D1580)+(AP1553+AP1571)*(1+$E1580),0.01)</f>
        <v/>
      </c>
      <c r="AQ1580" s="35">
        <f>MAX(INDEX(AQ$381:AQ$392,$D1580)+(AQ1553+AQ1571)*(1+$E1580),0.01)</f>
        <v/>
      </c>
      <c r="AR1580" s="35">
        <f>MAX(INDEX(AR$381:AR$392,$D1580)+(AR1553+AR1571)*(1+$E1580),0.01)</f>
        <v/>
      </c>
      <c r="AS1580" s="35">
        <f>MAX(INDEX(AS$381:AS$392,$D1580)+(AS1553+AS1571)*(1+$E1580),0.01)</f>
        <v/>
      </c>
      <c r="AT1580" s="35">
        <f>MAX(INDEX(AT$381:AT$392,$D1580)+(AT1553+AT1571)*(1+$E1580),0.01)</f>
        <v/>
      </c>
      <c r="AU1580" s="35">
        <f>MAX(INDEX(AU$381:AU$392,$D1580)+(AU1553+AU1571)*(1+$E1580),0.01)</f>
        <v/>
      </c>
      <c r="AV1580" s="35">
        <f>MAX(INDEX(AV$381:AV$392,$D1580)+(AV1553+AV1571)*(1+$E1580),0.01)</f>
        <v/>
      </c>
      <c r="AW1580" s="35">
        <f>MAX(INDEX(AW$381:AW$392,$D1580)+(AW1553+AW1571)*(1+$E1580),0.01)</f>
        <v/>
      </c>
      <c r="AX1580" s="35">
        <f>MAX(INDEX(AX$381:AX$392,$D1580)+(AX1553+AX1571)*(1+$E1580),0.01)</f>
        <v/>
      </c>
      <c r="AY1580" s="35">
        <f>MAX(INDEX(AY$381:AY$392,$D1580)+(AY1553+AY1571)*(1+$E1580),0.01)</f>
        <v/>
      </c>
      <c r="AZ1580" s="35">
        <f>MAX(INDEX(AZ$381:AZ$392,$D1580)+(AZ1553+AZ1571)*(1+$E1580),0.01)</f>
        <v/>
      </c>
      <c r="BA1580" s="42">
        <f>POSTTAX(INDEX(BA$381:BA$392,$D1580),BA1553+BA1571,$E1580)</f>
        <v/>
      </c>
    </row>
    <row r="1581" hidden="1" outlineLevel="2">
      <c r="A1581" s="14" t="inlineStr">
        <is>
          <t>atp</t>
        </is>
      </c>
      <c r="B1581" s="14" t="inlineStr">
        <is>
          <t>ker</t>
        </is>
      </c>
      <c r="C1581" s="14" t="inlineStr">
        <is>
          <t>res</t>
        </is>
      </c>
      <c r="D1581" s="35">
        <f>INDEX(Inputs!$U$5:$U$132,MATCH($B1581&amp;"|"&amp;$C1581,Inputs!$A$5:$A$132,0))</f>
        <v/>
      </c>
      <c r="E1581" s="35">
        <f>INDEX(Inputs!$V$5:$V$132,MATCH($B1581&amp;"|"&amp;$C1581,Inputs!$A$5:$A$132,0))</f>
        <v/>
      </c>
      <c r="F1581" s="39" t="n"/>
      <c r="G1581" s="39" t="n"/>
      <c r="H1581" s="14">
        <f>INDEX(VarLab,MATCH($A1581,VarKey,0))&amp;INDEX(MemLab,MATCH($C1581&amp;"|"&amp;$B1581,MemKey,0))</f>
        <v/>
      </c>
      <c r="I1581" s="14">
        <f>INDEX(VarUnit,MATCH($A1581,VarKey,0))</f>
        <v/>
      </c>
      <c r="J1581" s="14">
        <f>INDEX(VarSrc,MATCH($A1581,VarKey,0))</f>
        <v/>
      </c>
      <c r="K1581" s="11">
        <f>CodePrefix&amp;$A1581&amp;IF($C1581="","","."&amp;$C1581&amp;"."&amp;$B1581)&amp;INDEX(VarEnd,MATCH($A1581,VarKey,0))&amp;K$5</f>
        <v/>
      </c>
      <c r="L1581" s="40">
        <f>MAX(INDEX(L$381:L$392,$D1581)+(L1554+L1572)*(1+$E1581),0.01)</f>
        <v/>
      </c>
      <c r="M1581" s="35">
        <f>MAX(INDEX(M$381:M$392,$D1581)+(M1554+M1572)*(1+$E1581),0.01)</f>
        <v/>
      </c>
      <c r="N1581" s="35">
        <f>MAX(INDEX(N$381:N$392,$D1581)+(N1554+N1572)*(1+$E1581),0.01)</f>
        <v/>
      </c>
      <c r="O1581" s="35">
        <f>MAX(INDEX(O$381:O$392,$D1581)+(O1554+O1572)*(1+$E1581),0.01)</f>
        <v/>
      </c>
      <c r="P1581" s="35">
        <f>MAX(INDEX(P$381:P$392,$D1581)+(P1554+P1572)*(1+$E1581),0.01)</f>
        <v/>
      </c>
      <c r="Q1581" s="35">
        <f>MAX(INDEX(Q$381:Q$392,$D1581)+(Q1554+Q1572)*(1+$E1581),0.01)</f>
        <v/>
      </c>
      <c r="R1581" s="35">
        <f>MAX(INDEX(R$381:R$392,$D1581)+(R1554+R1572)*(1+$E1581),0.01)</f>
        <v/>
      </c>
      <c r="S1581" s="35">
        <f>MAX(INDEX(S$381:S$392,$D1581)+(S1554+S1572)*(1+$E1581),0.01)</f>
        <v/>
      </c>
      <c r="T1581" s="35">
        <f>MAX(INDEX(T$381:T$392,$D1581)+(T1554+T1572)*(1+$E1581),0.01)</f>
        <v/>
      </c>
      <c r="U1581" s="35">
        <f>MAX(INDEX(U$381:U$392,$D1581)+(U1554+U1572)*(1+$E1581),0.01)</f>
        <v/>
      </c>
      <c r="V1581" s="35">
        <f>MAX(INDEX(V$381:V$392,$D1581)+(V1554+V1572)*(1+$E1581),0.01)</f>
        <v/>
      </c>
      <c r="W1581" s="35">
        <f>MAX(INDEX(W$381:W$392,$D1581)+(W1554+W1572)*(1+$E1581),0.01)</f>
        <v/>
      </c>
      <c r="X1581" s="35">
        <f>MAX(INDEX(X$381:X$392,$D1581)+(X1554+X1572)*(1+$E1581),0.01)</f>
        <v/>
      </c>
      <c r="Y1581" s="35">
        <f>MAX(INDEX(Y$381:Y$392,$D1581)+(Y1554+Y1572)*(1+$E1581),0.01)</f>
        <v/>
      </c>
      <c r="Z1581" s="35">
        <f>MAX(INDEX(Z$381:Z$392,$D1581)+(Z1554+Z1572)*(1+$E1581),0.01)</f>
        <v/>
      </c>
      <c r="AA1581" s="35">
        <f>MAX(INDEX(AA$381:AA$392,$D1581)+(AA1554+AA1572)*(1+$E1581),0.01)</f>
        <v/>
      </c>
      <c r="AB1581" s="35">
        <f>MAX(INDEX(AB$381:AB$392,$D1581)+(AB1554+AB1572)*(1+$E1581),0.01)</f>
        <v/>
      </c>
      <c r="AC1581" s="35">
        <f>MAX(INDEX(AC$381:AC$392,$D1581)+(AC1554+AC1572)*(1+$E1581),0.01)</f>
        <v/>
      </c>
      <c r="AD1581" s="35">
        <f>MAX(INDEX(AD$381:AD$392,$D1581)+(AD1554+AD1572)*(1+$E1581),0.01)</f>
        <v/>
      </c>
      <c r="AE1581" s="42">
        <f>POSTTAX(INDEX(AE$381:AE$392,$D1581),AE1554+AE1572,$E1581)</f>
        <v/>
      </c>
      <c r="AG1581" s="11">
        <f>CodePrefix&amp;$A1581&amp;IF($C1581="","","."&amp;$C1581&amp;"."&amp;$B1581)&amp;INDEX(VarEnd,MATCH($A1581,VarKey,0))&amp;AG$5</f>
        <v/>
      </c>
      <c r="AH1581" s="40">
        <f>MAX(INDEX(AH$381:AH$392,$D1581)+(AH1554+AH1572)*(1+$E1581),0.01)</f>
        <v/>
      </c>
      <c r="AI1581" s="35">
        <f>MAX(INDEX(AI$381:AI$392,$D1581)+(AI1554+AI1572)*(1+$E1581),0.01)</f>
        <v/>
      </c>
      <c r="AJ1581" s="35">
        <f>MAX(INDEX(AJ$381:AJ$392,$D1581)+(AJ1554+AJ1572)*(1+$E1581),0.01)</f>
        <v/>
      </c>
      <c r="AK1581" s="35">
        <f>MAX(INDEX(AK$381:AK$392,$D1581)+(AK1554+AK1572)*(1+$E1581),0.01)</f>
        <v/>
      </c>
      <c r="AL1581" s="35">
        <f>MAX(INDEX(AL$381:AL$392,$D1581)+(AL1554+AL1572)*(1+$E1581),0.01)</f>
        <v/>
      </c>
      <c r="AM1581" s="35">
        <f>MAX(INDEX(AM$381:AM$392,$D1581)+(AM1554+AM1572)*(1+$E1581),0.01)</f>
        <v/>
      </c>
      <c r="AN1581" s="35">
        <f>MAX(INDEX(AN$381:AN$392,$D1581)+(AN1554+AN1572)*(1+$E1581),0.01)</f>
        <v/>
      </c>
      <c r="AO1581" s="35">
        <f>MAX(INDEX(AO$381:AO$392,$D1581)+(AO1554+AO1572)*(1+$E1581),0.01)</f>
        <v/>
      </c>
      <c r="AP1581" s="35">
        <f>MAX(INDEX(AP$381:AP$392,$D1581)+(AP1554+AP1572)*(1+$E1581),0.01)</f>
        <v/>
      </c>
      <c r="AQ1581" s="35">
        <f>MAX(INDEX(AQ$381:AQ$392,$D1581)+(AQ1554+AQ1572)*(1+$E1581),0.01)</f>
        <v/>
      </c>
      <c r="AR1581" s="35">
        <f>MAX(INDEX(AR$381:AR$392,$D1581)+(AR1554+AR1572)*(1+$E1581),0.01)</f>
        <v/>
      </c>
      <c r="AS1581" s="35">
        <f>MAX(INDEX(AS$381:AS$392,$D1581)+(AS1554+AS1572)*(1+$E1581),0.01)</f>
        <v/>
      </c>
      <c r="AT1581" s="35">
        <f>MAX(INDEX(AT$381:AT$392,$D1581)+(AT1554+AT1572)*(1+$E1581),0.01)</f>
        <v/>
      </c>
      <c r="AU1581" s="35">
        <f>MAX(INDEX(AU$381:AU$392,$D1581)+(AU1554+AU1572)*(1+$E1581),0.01)</f>
        <v/>
      </c>
      <c r="AV1581" s="35">
        <f>MAX(INDEX(AV$381:AV$392,$D1581)+(AV1554+AV1572)*(1+$E1581),0.01)</f>
        <v/>
      </c>
      <c r="AW1581" s="35">
        <f>MAX(INDEX(AW$381:AW$392,$D1581)+(AW1554+AW1572)*(1+$E1581),0.01)</f>
        <v/>
      </c>
      <c r="AX1581" s="35">
        <f>MAX(INDEX(AX$381:AX$392,$D1581)+(AX1554+AX1572)*(1+$E1581),0.01)</f>
        <v/>
      </c>
      <c r="AY1581" s="35">
        <f>MAX(INDEX(AY$381:AY$392,$D1581)+(AY1554+AY1572)*(1+$E1581),0.01)</f>
        <v/>
      </c>
      <c r="AZ1581" s="35">
        <f>MAX(INDEX(AZ$381:AZ$392,$D1581)+(AZ1554+AZ1572)*(1+$E1581),0.01)</f>
        <v/>
      </c>
      <c r="BA1581" s="42">
        <f>POSTTAX(INDEX(BA$381:BA$392,$D1581),BA1554+BA1572,$E1581)</f>
        <v/>
      </c>
    </row>
    <row r="1582" hidden="1" outlineLevel="2">
      <c r="A1582" s="14" t="inlineStr">
        <is>
          <t>atp</t>
        </is>
      </c>
      <c r="B1582" s="14" t="inlineStr">
        <is>
          <t>oop</t>
        </is>
      </c>
      <c r="C1582" s="14" t="inlineStr">
        <is>
          <t>res</t>
        </is>
      </c>
      <c r="D1582" s="35">
        <f>INDEX(Inputs!$U$5:$U$132,MATCH($B1582&amp;"|"&amp;$C1582,Inputs!$A$5:$A$132,0))</f>
        <v/>
      </c>
      <c r="E1582" s="35">
        <f>INDEX(Inputs!$V$5:$V$132,MATCH($B1582&amp;"|"&amp;$C1582,Inputs!$A$5:$A$132,0))</f>
        <v/>
      </c>
      <c r="F1582" s="39" t="n"/>
      <c r="G1582" s="39" t="n"/>
      <c r="H1582" s="14">
        <f>INDEX(VarLab,MATCH($A1582,VarKey,0))&amp;INDEX(MemLab,MATCH($C1582&amp;"|"&amp;$B1582,MemKey,0))</f>
        <v/>
      </c>
      <c r="I1582" s="14">
        <f>INDEX(VarUnit,MATCH($A1582,VarKey,0))</f>
        <v/>
      </c>
      <c r="J1582" s="14">
        <f>INDEX(VarSrc,MATCH($A1582,VarKey,0))</f>
        <v/>
      </c>
      <c r="K1582" s="11">
        <f>CodePrefix&amp;$A1582&amp;IF($C1582="","","."&amp;$C1582&amp;"."&amp;$B1582)&amp;INDEX(VarEnd,MATCH($A1582,VarKey,0))&amp;K$5</f>
        <v/>
      </c>
      <c r="L1582" s="40">
        <f>MAX(INDEX(L$381:L$392,$D1582)+(L1555+L1573)*(1+$E1582),0.01)</f>
        <v/>
      </c>
      <c r="M1582" s="35">
        <f>MAX(INDEX(M$381:M$392,$D1582)+(M1555+M1573)*(1+$E1582),0.01)</f>
        <v/>
      </c>
      <c r="N1582" s="35">
        <f>MAX(INDEX(N$381:N$392,$D1582)+(N1555+N1573)*(1+$E1582),0.01)</f>
        <v/>
      </c>
      <c r="O1582" s="35">
        <f>MAX(INDEX(O$381:O$392,$D1582)+(O1555+O1573)*(1+$E1582),0.01)</f>
        <v/>
      </c>
      <c r="P1582" s="35">
        <f>MAX(INDEX(P$381:P$392,$D1582)+(P1555+P1573)*(1+$E1582),0.01)</f>
        <v/>
      </c>
      <c r="Q1582" s="35">
        <f>MAX(INDEX(Q$381:Q$392,$D1582)+(Q1555+Q1573)*(1+$E1582),0.01)</f>
        <v/>
      </c>
      <c r="R1582" s="35">
        <f>MAX(INDEX(R$381:R$392,$D1582)+(R1555+R1573)*(1+$E1582),0.01)</f>
        <v/>
      </c>
      <c r="S1582" s="35">
        <f>MAX(INDEX(S$381:S$392,$D1582)+(S1555+S1573)*(1+$E1582),0.01)</f>
        <v/>
      </c>
      <c r="T1582" s="35">
        <f>MAX(INDEX(T$381:T$392,$D1582)+(T1555+T1573)*(1+$E1582),0.01)</f>
        <v/>
      </c>
      <c r="U1582" s="35">
        <f>MAX(INDEX(U$381:U$392,$D1582)+(U1555+U1573)*(1+$E1582),0.01)</f>
        <v/>
      </c>
      <c r="V1582" s="35">
        <f>MAX(INDEX(V$381:V$392,$D1582)+(V1555+V1573)*(1+$E1582),0.01)</f>
        <v/>
      </c>
      <c r="W1582" s="35">
        <f>MAX(INDEX(W$381:W$392,$D1582)+(W1555+W1573)*(1+$E1582),0.01)</f>
        <v/>
      </c>
      <c r="X1582" s="35">
        <f>MAX(INDEX(X$381:X$392,$D1582)+(X1555+X1573)*(1+$E1582),0.01)</f>
        <v/>
      </c>
      <c r="Y1582" s="35">
        <f>MAX(INDEX(Y$381:Y$392,$D1582)+(Y1555+Y1573)*(1+$E1582),0.01)</f>
        <v/>
      </c>
      <c r="Z1582" s="35">
        <f>MAX(INDEX(Z$381:Z$392,$D1582)+(Z1555+Z1573)*(1+$E1582),0.01)</f>
        <v/>
      </c>
      <c r="AA1582" s="35">
        <f>MAX(INDEX(AA$381:AA$392,$D1582)+(AA1555+AA1573)*(1+$E1582),0.01)</f>
        <v/>
      </c>
      <c r="AB1582" s="35">
        <f>MAX(INDEX(AB$381:AB$392,$D1582)+(AB1555+AB1573)*(1+$E1582),0.01)</f>
        <v/>
      </c>
      <c r="AC1582" s="35">
        <f>MAX(INDEX(AC$381:AC$392,$D1582)+(AC1555+AC1573)*(1+$E1582),0.01)</f>
        <v/>
      </c>
      <c r="AD1582" s="35">
        <f>MAX(INDEX(AD$381:AD$392,$D1582)+(AD1555+AD1573)*(1+$E1582),0.01)</f>
        <v/>
      </c>
      <c r="AE1582" s="42">
        <f>POSTTAX(INDEX(AE$381:AE$392,$D1582),AE1555+AE1573,$E1582)</f>
        <v/>
      </c>
      <c r="AG1582" s="11">
        <f>CodePrefix&amp;$A1582&amp;IF($C1582="","","."&amp;$C1582&amp;"."&amp;$B1582)&amp;INDEX(VarEnd,MATCH($A1582,VarKey,0))&amp;AG$5</f>
        <v/>
      </c>
      <c r="AH1582" s="40">
        <f>MAX(INDEX(AH$381:AH$392,$D1582)+(AH1555+AH1573)*(1+$E1582),0.01)</f>
        <v/>
      </c>
      <c r="AI1582" s="35">
        <f>MAX(INDEX(AI$381:AI$392,$D1582)+(AI1555+AI1573)*(1+$E1582),0.01)</f>
        <v/>
      </c>
      <c r="AJ1582" s="35">
        <f>MAX(INDEX(AJ$381:AJ$392,$D1582)+(AJ1555+AJ1573)*(1+$E1582),0.01)</f>
        <v/>
      </c>
      <c r="AK1582" s="35">
        <f>MAX(INDEX(AK$381:AK$392,$D1582)+(AK1555+AK1573)*(1+$E1582),0.01)</f>
        <v/>
      </c>
      <c r="AL1582" s="35">
        <f>MAX(INDEX(AL$381:AL$392,$D1582)+(AL1555+AL1573)*(1+$E1582),0.01)</f>
        <v/>
      </c>
      <c r="AM1582" s="35">
        <f>MAX(INDEX(AM$381:AM$392,$D1582)+(AM1555+AM1573)*(1+$E1582),0.01)</f>
        <v/>
      </c>
      <c r="AN1582" s="35">
        <f>MAX(INDEX(AN$381:AN$392,$D1582)+(AN1555+AN1573)*(1+$E1582),0.01)</f>
        <v/>
      </c>
      <c r="AO1582" s="35">
        <f>MAX(INDEX(AO$381:AO$392,$D1582)+(AO1555+AO1573)*(1+$E1582),0.01)</f>
        <v/>
      </c>
      <c r="AP1582" s="35">
        <f>MAX(INDEX(AP$381:AP$392,$D1582)+(AP1555+AP1573)*(1+$E1582),0.01)</f>
        <v/>
      </c>
      <c r="AQ1582" s="35">
        <f>MAX(INDEX(AQ$381:AQ$392,$D1582)+(AQ1555+AQ1573)*(1+$E1582),0.01)</f>
        <v/>
      </c>
      <c r="AR1582" s="35">
        <f>MAX(INDEX(AR$381:AR$392,$D1582)+(AR1555+AR1573)*(1+$E1582),0.01)</f>
        <v/>
      </c>
      <c r="AS1582" s="35">
        <f>MAX(INDEX(AS$381:AS$392,$D1582)+(AS1555+AS1573)*(1+$E1582),0.01)</f>
        <v/>
      </c>
      <c r="AT1582" s="35">
        <f>MAX(INDEX(AT$381:AT$392,$D1582)+(AT1555+AT1573)*(1+$E1582),0.01)</f>
        <v/>
      </c>
      <c r="AU1582" s="35">
        <f>MAX(INDEX(AU$381:AU$392,$D1582)+(AU1555+AU1573)*(1+$E1582),0.01)</f>
        <v/>
      </c>
      <c r="AV1582" s="35">
        <f>MAX(INDEX(AV$381:AV$392,$D1582)+(AV1555+AV1573)*(1+$E1582),0.01)</f>
        <v/>
      </c>
      <c r="AW1582" s="35">
        <f>MAX(INDEX(AW$381:AW$392,$D1582)+(AW1555+AW1573)*(1+$E1582),0.01)</f>
        <v/>
      </c>
      <c r="AX1582" s="35">
        <f>MAX(INDEX(AX$381:AX$392,$D1582)+(AX1555+AX1573)*(1+$E1582),0.01)</f>
        <v/>
      </c>
      <c r="AY1582" s="35">
        <f>MAX(INDEX(AY$381:AY$392,$D1582)+(AY1555+AY1573)*(1+$E1582),0.01)</f>
        <v/>
      </c>
      <c r="AZ1582" s="35">
        <f>MAX(INDEX(AZ$381:AZ$392,$D1582)+(AZ1555+AZ1573)*(1+$E1582),0.01)</f>
        <v/>
      </c>
      <c r="BA1582" s="42">
        <f>POSTTAX(INDEX(BA$381:BA$392,$D1582),BA1555+BA1573,$E1582)</f>
        <v/>
      </c>
    </row>
    <row r="1583" hidden="1" outlineLevel="2">
      <c r="A1583" s="14" t="inlineStr">
        <is>
          <t>atp</t>
        </is>
      </c>
      <c r="B1583" s="14" t="inlineStr">
        <is>
          <t>bio</t>
        </is>
      </c>
      <c r="C1583" s="14" t="inlineStr">
        <is>
          <t>res</t>
        </is>
      </c>
      <c r="D1583" s="35">
        <f>INDEX(Inputs!$U$5:$U$132,MATCH($B1583&amp;"|"&amp;$C1583,Inputs!$A$5:$A$132,0))</f>
        <v/>
      </c>
      <c r="E1583" s="35">
        <f>INDEX(Inputs!$V$5:$V$132,MATCH($B1583&amp;"|"&amp;$C1583,Inputs!$A$5:$A$132,0))</f>
        <v/>
      </c>
      <c r="F1583" s="39" t="n"/>
      <c r="G1583" s="39" t="n"/>
      <c r="H1583" s="14">
        <f>INDEX(VarLab,MATCH($A1583,VarKey,0))&amp;INDEX(MemLab,MATCH($C1583&amp;"|"&amp;$B1583,MemKey,0))</f>
        <v/>
      </c>
      <c r="I1583" s="14">
        <f>INDEX(VarUnit,MATCH($A1583,VarKey,0))</f>
        <v/>
      </c>
      <c r="J1583" s="14">
        <f>INDEX(VarSrc,MATCH($A1583,VarKey,0))</f>
        <v/>
      </c>
      <c r="K1583" s="11">
        <f>CodePrefix&amp;$A1583&amp;IF($C1583="","","."&amp;$C1583&amp;"."&amp;$B1583)&amp;INDEX(VarEnd,MATCH($A1583,VarKey,0))&amp;K$5</f>
        <v/>
      </c>
      <c r="L1583" s="40">
        <f>MAX(INDEX(L$381:L$392,$D1583)+(L1556+L1574)*(1+$E1583),0.01)</f>
        <v/>
      </c>
      <c r="M1583" s="35">
        <f>MAX(INDEX(M$381:M$392,$D1583)+(M1556+M1574)*(1+$E1583),0.01)</f>
        <v/>
      </c>
      <c r="N1583" s="35">
        <f>MAX(INDEX(N$381:N$392,$D1583)+(N1556+N1574)*(1+$E1583),0.01)</f>
        <v/>
      </c>
      <c r="O1583" s="35">
        <f>MAX(INDEX(O$381:O$392,$D1583)+(O1556+O1574)*(1+$E1583),0.01)</f>
        <v/>
      </c>
      <c r="P1583" s="35">
        <f>MAX(INDEX(P$381:P$392,$D1583)+(P1556+P1574)*(1+$E1583),0.01)</f>
        <v/>
      </c>
      <c r="Q1583" s="35">
        <f>MAX(INDEX(Q$381:Q$392,$D1583)+(Q1556+Q1574)*(1+$E1583),0.01)</f>
        <v/>
      </c>
      <c r="R1583" s="35">
        <f>MAX(INDEX(R$381:R$392,$D1583)+(R1556+R1574)*(1+$E1583),0.01)</f>
        <v/>
      </c>
      <c r="S1583" s="35">
        <f>MAX(INDEX(S$381:S$392,$D1583)+(S1556+S1574)*(1+$E1583),0.01)</f>
        <v/>
      </c>
      <c r="T1583" s="35">
        <f>MAX(INDEX(T$381:T$392,$D1583)+(T1556+T1574)*(1+$E1583),0.01)</f>
        <v/>
      </c>
      <c r="U1583" s="35">
        <f>MAX(INDEX(U$381:U$392,$D1583)+(U1556+U1574)*(1+$E1583),0.01)</f>
        <v/>
      </c>
      <c r="V1583" s="35">
        <f>MAX(INDEX(V$381:V$392,$D1583)+(V1556+V1574)*(1+$E1583),0.01)</f>
        <v/>
      </c>
      <c r="W1583" s="35">
        <f>MAX(INDEX(W$381:W$392,$D1583)+(W1556+W1574)*(1+$E1583),0.01)</f>
        <v/>
      </c>
      <c r="X1583" s="35">
        <f>MAX(INDEX(X$381:X$392,$D1583)+(X1556+X1574)*(1+$E1583),0.01)</f>
        <v/>
      </c>
      <c r="Y1583" s="35">
        <f>MAX(INDEX(Y$381:Y$392,$D1583)+(Y1556+Y1574)*(1+$E1583),0.01)</f>
        <v/>
      </c>
      <c r="Z1583" s="35">
        <f>MAX(INDEX(Z$381:Z$392,$D1583)+(Z1556+Z1574)*(1+$E1583),0.01)</f>
        <v/>
      </c>
      <c r="AA1583" s="35">
        <f>MAX(INDEX(AA$381:AA$392,$D1583)+(AA1556+AA1574)*(1+$E1583),0.01)</f>
        <v/>
      </c>
      <c r="AB1583" s="35">
        <f>MAX(INDEX(AB$381:AB$392,$D1583)+(AB1556+AB1574)*(1+$E1583),0.01)</f>
        <v/>
      </c>
      <c r="AC1583" s="35">
        <f>MAX(INDEX(AC$381:AC$392,$D1583)+(AC1556+AC1574)*(1+$E1583),0.01)</f>
        <v/>
      </c>
      <c r="AD1583" s="35">
        <f>MAX(INDEX(AD$381:AD$392,$D1583)+(AD1556+AD1574)*(1+$E1583),0.01)</f>
        <v/>
      </c>
      <c r="AE1583" s="42">
        <f>POSTTAX(INDEX(AE$381:AE$392,$D1583),AE1556+AE1574,$E1583)</f>
        <v/>
      </c>
      <c r="AG1583" s="11">
        <f>CodePrefix&amp;$A1583&amp;IF($C1583="","","."&amp;$C1583&amp;"."&amp;$B1583)&amp;INDEX(VarEnd,MATCH($A1583,VarKey,0))&amp;AG$5</f>
        <v/>
      </c>
      <c r="AH1583" s="40">
        <f>MAX(INDEX(AH$381:AH$392,$D1583)+(AH1556+AH1574)*(1+$E1583),0.01)</f>
        <v/>
      </c>
      <c r="AI1583" s="35">
        <f>MAX(INDEX(AI$381:AI$392,$D1583)+(AI1556+AI1574)*(1+$E1583),0.01)</f>
        <v/>
      </c>
      <c r="AJ1583" s="35">
        <f>MAX(INDEX(AJ$381:AJ$392,$D1583)+(AJ1556+AJ1574)*(1+$E1583),0.01)</f>
        <v/>
      </c>
      <c r="AK1583" s="35">
        <f>MAX(INDEX(AK$381:AK$392,$D1583)+(AK1556+AK1574)*(1+$E1583),0.01)</f>
        <v/>
      </c>
      <c r="AL1583" s="35">
        <f>MAX(INDEX(AL$381:AL$392,$D1583)+(AL1556+AL1574)*(1+$E1583),0.01)</f>
        <v/>
      </c>
      <c r="AM1583" s="35">
        <f>MAX(INDEX(AM$381:AM$392,$D1583)+(AM1556+AM1574)*(1+$E1583),0.01)</f>
        <v/>
      </c>
      <c r="AN1583" s="35">
        <f>MAX(INDEX(AN$381:AN$392,$D1583)+(AN1556+AN1574)*(1+$E1583),0.01)</f>
        <v/>
      </c>
      <c r="AO1583" s="35">
        <f>MAX(INDEX(AO$381:AO$392,$D1583)+(AO1556+AO1574)*(1+$E1583),0.01)</f>
        <v/>
      </c>
      <c r="AP1583" s="35">
        <f>MAX(INDEX(AP$381:AP$392,$D1583)+(AP1556+AP1574)*(1+$E1583),0.01)</f>
        <v/>
      </c>
      <c r="AQ1583" s="35">
        <f>MAX(INDEX(AQ$381:AQ$392,$D1583)+(AQ1556+AQ1574)*(1+$E1583),0.01)</f>
        <v/>
      </c>
      <c r="AR1583" s="35">
        <f>MAX(INDEX(AR$381:AR$392,$D1583)+(AR1556+AR1574)*(1+$E1583),0.01)</f>
        <v/>
      </c>
      <c r="AS1583" s="35">
        <f>MAX(INDEX(AS$381:AS$392,$D1583)+(AS1556+AS1574)*(1+$E1583),0.01)</f>
        <v/>
      </c>
      <c r="AT1583" s="35">
        <f>MAX(INDEX(AT$381:AT$392,$D1583)+(AT1556+AT1574)*(1+$E1583),0.01)</f>
        <v/>
      </c>
      <c r="AU1583" s="35">
        <f>MAX(INDEX(AU$381:AU$392,$D1583)+(AU1556+AU1574)*(1+$E1583),0.01)</f>
        <v/>
      </c>
      <c r="AV1583" s="35">
        <f>MAX(INDEX(AV$381:AV$392,$D1583)+(AV1556+AV1574)*(1+$E1583),0.01)</f>
        <v/>
      </c>
      <c r="AW1583" s="35">
        <f>MAX(INDEX(AW$381:AW$392,$D1583)+(AW1556+AW1574)*(1+$E1583),0.01)</f>
        <v/>
      </c>
      <c r="AX1583" s="35">
        <f>MAX(INDEX(AX$381:AX$392,$D1583)+(AX1556+AX1574)*(1+$E1583),0.01)</f>
        <v/>
      </c>
      <c r="AY1583" s="35">
        <f>MAX(INDEX(AY$381:AY$392,$D1583)+(AY1556+AY1574)*(1+$E1583),0.01)</f>
        <v/>
      </c>
      <c r="AZ1583" s="35">
        <f>MAX(INDEX(AZ$381:AZ$392,$D1583)+(AZ1556+AZ1574)*(1+$E1583),0.01)</f>
        <v/>
      </c>
      <c r="BA1583" s="42">
        <f>POSTTAX(INDEX(BA$381:BA$392,$D1583),BA1556+BA1574,$E1583)</f>
        <v/>
      </c>
    </row>
    <row r="1584" hidden="1" outlineLevel="2"/>
    <row r="1585" hidden="1" outlineLevel="2">
      <c r="A1585" s="14" t="inlineStr">
        <is>
          <t>shp</t>
        </is>
      </c>
      <c r="B1585" s="14" t="inlineStr">
        <is>
          <t>coa</t>
        </is>
      </c>
      <c r="C1585" s="14" t="inlineStr">
        <is>
          <t>res</t>
        </is>
      </c>
      <c r="D1585" s="35">
        <f>INDEX(Inputs!$W$5:$W$132,MATCH($B1585&amp;"|"&amp;$C1585,Inputs!$A$5:$A$132,0))</f>
        <v/>
      </c>
      <c r="E1585" s="35">
        <f>INDEX(Inputs!$M$5:$M$132,MATCH($B1585&amp;"|"&amp;$C1585,Inputs!$A$5:$A$132,0))</f>
        <v/>
      </c>
      <c r="F1585" s="39" t="n"/>
      <c r="G1585" s="39" t="n"/>
      <c r="H1585" s="14">
        <f>INDEX(VarLab,MATCH($A1585,VarKey,0))&amp;INDEX(MemLab,MATCH($C1585&amp;"|"&amp;$B1585,MemKey,0))</f>
        <v/>
      </c>
      <c r="I1585" s="14">
        <f>INDEX(VarUnit,MATCH($A1585,VarKey,0))</f>
        <v/>
      </c>
      <c r="J1585" s="14">
        <f>INDEX(VarSrc,MATCH($A1585,VarKey,0))</f>
        <v/>
      </c>
      <c r="K1585" s="11">
        <f>CodePrefix&amp;$A1585&amp;IF($C1585="","","."&amp;$C1585&amp;"."&amp;$B1585)&amp;INDEX(VarEnd,MATCH($A1585,VarKey,0))&amp;K$5</f>
        <v/>
      </c>
      <c r="L1585" s="40">
        <f>INDEX(L$297:L$313,$E1585)*$D1585</f>
        <v/>
      </c>
      <c r="M1585" s="35">
        <f>INDEX(M$297:M$313,$E1585)*$D1585</f>
        <v/>
      </c>
      <c r="N1585" s="35">
        <f>INDEX(N$297:N$313,$E1585)*$D1585</f>
        <v/>
      </c>
      <c r="O1585" s="35">
        <f>INDEX(O$297:O$313,$E1585)*$D1585</f>
        <v/>
      </c>
      <c r="P1585" s="35">
        <f>INDEX(P$297:P$313,$E1585)*$D1585</f>
        <v/>
      </c>
      <c r="Q1585" s="35">
        <f>INDEX(Q$297:Q$313,$E1585)*$D1585</f>
        <v/>
      </c>
      <c r="R1585" s="35">
        <f>INDEX(R$297:R$313,$E1585)*$D1585</f>
        <v/>
      </c>
      <c r="S1585" s="35">
        <f>INDEX(S$297:S$313,$E1585)*$D1585</f>
        <v/>
      </c>
      <c r="T1585" s="35">
        <f>INDEX(T$297:T$313,$E1585)*$D1585</f>
        <v/>
      </c>
      <c r="U1585" s="35">
        <f>INDEX(U$297:U$313,$E1585)*$D1585</f>
        <v/>
      </c>
      <c r="V1585" s="35">
        <f>INDEX(V$297:V$313,$E1585)*$D1585</f>
        <v/>
      </c>
      <c r="W1585" s="35">
        <f>INDEX(W$297:W$313,$E1585)*$D1585</f>
        <v/>
      </c>
      <c r="X1585" s="35">
        <f>INDEX(X$297:X$313,$E1585)*$D1585</f>
        <v/>
      </c>
      <c r="Y1585" s="35">
        <f>INDEX(Y$297:Y$313,$E1585)*$D1585</f>
        <v/>
      </c>
      <c r="Z1585" s="35">
        <f>INDEX(Z$297:Z$313,$E1585)*$D1585</f>
        <v/>
      </c>
      <c r="AA1585" s="35">
        <f>INDEX(AA$297:AA$313,$E1585)*$D1585</f>
        <v/>
      </c>
      <c r="AB1585" s="35">
        <f>INDEX(AB$297:AB$313,$E1585)*$D1585</f>
        <v/>
      </c>
      <c r="AC1585" s="35">
        <f>INDEX(AC$297:AC$313,$E1585)*$D1585</f>
        <v/>
      </c>
      <c r="AD1585" s="35">
        <f>INDEX(AD$297:AD$313,$E1585)*$D1585</f>
        <v/>
      </c>
      <c r="AE1585" s="42">
        <f>SHADOWGJ(INDEX(AE$297:AE$313,$E1585),$D1585)</f>
        <v/>
      </c>
      <c r="AG1585" s="11">
        <f>CodePrefix&amp;$A1585&amp;IF($C1585="","","."&amp;$C1585&amp;"."&amp;$B1585)&amp;INDEX(VarEnd,MATCH($A1585,VarKey,0))&amp;AG$5</f>
        <v/>
      </c>
      <c r="AH1585" s="40">
        <f>INDEX(AH$297:AH$313,$E1585)*$D1585</f>
        <v/>
      </c>
      <c r="AI1585" s="35">
        <f>INDEX(AI$297:AI$313,$E1585)*$D1585</f>
        <v/>
      </c>
      <c r="AJ1585" s="35">
        <f>INDEX(AJ$297:AJ$313,$E1585)*$D1585</f>
        <v/>
      </c>
      <c r="AK1585" s="35">
        <f>INDEX(AK$297:AK$313,$E1585)*$D1585</f>
        <v/>
      </c>
      <c r="AL1585" s="35">
        <f>INDEX(AL$297:AL$313,$E1585)*$D1585</f>
        <v/>
      </c>
      <c r="AM1585" s="35">
        <f>INDEX(AM$297:AM$313,$E1585)*$D1585</f>
        <v/>
      </c>
      <c r="AN1585" s="35">
        <f>INDEX(AN$297:AN$313,$E1585)*$D1585</f>
        <v/>
      </c>
      <c r="AO1585" s="35">
        <f>INDEX(AO$297:AO$313,$E1585)*$D1585</f>
        <v/>
      </c>
      <c r="AP1585" s="35">
        <f>INDEX(AP$297:AP$313,$E1585)*$D1585</f>
        <v/>
      </c>
      <c r="AQ1585" s="35">
        <f>INDEX(AQ$297:AQ$313,$E1585)*$D1585</f>
        <v/>
      </c>
      <c r="AR1585" s="35">
        <f>INDEX(AR$297:AR$313,$E1585)*$D1585</f>
        <v/>
      </c>
      <c r="AS1585" s="35">
        <f>INDEX(AS$297:AS$313,$E1585)*$D1585</f>
        <v/>
      </c>
      <c r="AT1585" s="35">
        <f>INDEX(AT$297:AT$313,$E1585)*$D1585</f>
        <v/>
      </c>
      <c r="AU1585" s="35">
        <f>INDEX(AU$297:AU$313,$E1585)*$D1585</f>
        <v/>
      </c>
      <c r="AV1585" s="35">
        <f>INDEX(AV$297:AV$313,$E1585)*$D1585</f>
        <v/>
      </c>
      <c r="AW1585" s="35">
        <f>INDEX(AW$297:AW$313,$E1585)*$D1585</f>
        <v/>
      </c>
      <c r="AX1585" s="35">
        <f>INDEX(AX$297:AX$313,$E1585)*$D1585</f>
        <v/>
      </c>
      <c r="AY1585" s="35">
        <f>INDEX(AY$297:AY$313,$E1585)*$D1585</f>
        <v/>
      </c>
      <c r="AZ1585" s="35">
        <f>INDEX(AZ$297:AZ$313,$E1585)*$D1585</f>
        <v/>
      </c>
      <c r="BA1585" s="42">
        <f>SHADOWGJ(INDEX(BA$297:BA$313,$E1585),$D1585)</f>
        <v/>
      </c>
    </row>
    <row r="1586" hidden="1" outlineLevel="2">
      <c r="A1586" s="14" t="inlineStr">
        <is>
          <t>shp</t>
        </is>
      </c>
      <c r="B1586" s="14" t="inlineStr">
        <is>
          <t>nga</t>
        </is>
      </c>
      <c r="C1586" s="14" t="inlineStr">
        <is>
          <t>res</t>
        </is>
      </c>
      <c r="D1586" s="35">
        <f>INDEX(Inputs!$W$5:$W$132,MATCH($B1586&amp;"|"&amp;$C1586,Inputs!$A$5:$A$132,0))</f>
        <v/>
      </c>
      <c r="E1586" s="35">
        <f>INDEX(Inputs!$M$5:$M$132,MATCH($B1586&amp;"|"&amp;$C1586,Inputs!$A$5:$A$132,0))</f>
        <v/>
      </c>
      <c r="F1586" s="39" t="n"/>
      <c r="G1586" s="39" t="n"/>
      <c r="H1586" s="14">
        <f>INDEX(VarLab,MATCH($A1586,VarKey,0))&amp;INDEX(MemLab,MATCH($C1586&amp;"|"&amp;$B1586,MemKey,0))</f>
        <v/>
      </c>
      <c r="I1586" s="14">
        <f>INDEX(VarUnit,MATCH($A1586,VarKey,0))</f>
        <v/>
      </c>
      <c r="J1586" s="14">
        <f>INDEX(VarSrc,MATCH($A1586,VarKey,0))</f>
        <v/>
      </c>
      <c r="K1586" s="11">
        <f>CodePrefix&amp;$A1586&amp;IF($C1586="","","."&amp;$C1586&amp;"."&amp;$B1586)&amp;INDEX(VarEnd,MATCH($A1586,VarKey,0))&amp;K$5</f>
        <v/>
      </c>
      <c r="L1586" s="40">
        <f>INDEX(L$297:L$313,$E1586)*$D1586</f>
        <v/>
      </c>
      <c r="M1586" s="35">
        <f>INDEX(M$297:M$313,$E1586)*$D1586</f>
        <v/>
      </c>
      <c r="N1586" s="35">
        <f>INDEX(N$297:N$313,$E1586)*$D1586</f>
        <v/>
      </c>
      <c r="O1586" s="35">
        <f>INDEX(O$297:O$313,$E1586)*$D1586</f>
        <v/>
      </c>
      <c r="P1586" s="35">
        <f>INDEX(P$297:P$313,$E1586)*$D1586</f>
        <v/>
      </c>
      <c r="Q1586" s="35">
        <f>INDEX(Q$297:Q$313,$E1586)*$D1586</f>
        <v/>
      </c>
      <c r="R1586" s="35">
        <f>INDEX(R$297:R$313,$E1586)*$D1586</f>
        <v/>
      </c>
      <c r="S1586" s="35">
        <f>INDEX(S$297:S$313,$E1586)*$D1586</f>
        <v/>
      </c>
      <c r="T1586" s="35">
        <f>INDEX(T$297:T$313,$E1586)*$D1586</f>
        <v/>
      </c>
      <c r="U1586" s="35">
        <f>INDEX(U$297:U$313,$E1586)*$D1586</f>
        <v/>
      </c>
      <c r="V1586" s="35">
        <f>INDEX(V$297:V$313,$E1586)*$D1586</f>
        <v/>
      </c>
      <c r="W1586" s="35">
        <f>INDEX(W$297:W$313,$E1586)*$D1586</f>
        <v/>
      </c>
      <c r="X1586" s="35">
        <f>INDEX(X$297:X$313,$E1586)*$D1586</f>
        <v/>
      </c>
      <c r="Y1586" s="35">
        <f>INDEX(Y$297:Y$313,$E1586)*$D1586</f>
        <v/>
      </c>
      <c r="Z1586" s="35">
        <f>INDEX(Z$297:Z$313,$E1586)*$D1586</f>
        <v/>
      </c>
      <c r="AA1586" s="35">
        <f>INDEX(AA$297:AA$313,$E1586)*$D1586</f>
        <v/>
      </c>
      <c r="AB1586" s="35">
        <f>INDEX(AB$297:AB$313,$E1586)*$D1586</f>
        <v/>
      </c>
      <c r="AC1586" s="35">
        <f>INDEX(AC$297:AC$313,$E1586)*$D1586</f>
        <v/>
      </c>
      <c r="AD1586" s="35">
        <f>INDEX(AD$297:AD$313,$E1586)*$D1586</f>
        <v/>
      </c>
      <c r="AE1586" s="42">
        <f>SHADOWGJ(INDEX(AE$297:AE$313,$E1586),$D1586)</f>
        <v/>
      </c>
      <c r="AG1586" s="11">
        <f>CodePrefix&amp;$A1586&amp;IF($C1586="","","."&amp;$C1586&amp;"."&amp;$B1586)&amp;INDEX(VarEnd,MATCH($A1586,VarKey,0))&amp;AG$5</f>
        <v/>
      </c>
      <c r="AH1586" s="40">
        <f>INDEX(AH$297:AH$313,$E1586)*$D1586</f>
        <v/>
      </c>
      <c r="AI1586" s="35">
        <f>INDEX(AI$297:AI$313,$E1586)*$D1586</f>
        <v/>
      </c>
      <c r="AJ1586" s="35">
        <f>INDEX(AJ$297:AJ$313,$E1586)*$D1586</f>
        <v/>
      </c>
      <c r="AK1586" s="35">
        <f>INDEX(AK$297:AK$313,$E1586)*$D1586</f>
        <v/>
      </c>
      <c r="AL1586" s="35">
        <f>INDEX(AL$297:AL$313,$E1586)*$D1586</f>
        <v/>
      </c>
      <c r="AM1586" s="35">
        <f>INDEX(AM$297:AM$313,$E1586)*$D1586</f>
        <v/>
      </c>
      <c r="AN1586" s="35">
        <f>INDEX(AN$297:AN$313,$E1586)*$D1586</f>
        <v/>
      </c>
      <c r="AO1586" s="35">
        <f>INDEX(AO$297:AO$313,$E1586)*$D1586</f>
        <v/>
      </c>
      <c r="AP1586" s="35">
        <f>INDEX(AP$297:AP$313,$E1586)*$D1586</f>
        <v/>
      </c>
      <c r="AQ1586" s="35">
        <f>INDEX(AQ$297:AQ$313,$E1586)*$D1586</f>
        <v/>
      </c>
      <c r="AR1586" s="35">
        <f>INDEX(AR$297:AR$313,$E1586)*$D1586</f>
        <v/>
      </c>
      <c r="AS1586" s="35">
        <f>INDEX(AS$297:AS$313,$E1586)*$D1586</f>
        <v/>
      </c>
      <c r="AT1586" s="35">
        <f>INDEX(AT$297:AT$313,$E1586)*$D1586</f>
        <v/>
      </c>
      <c r="AU1586" s="35">
        <f>INDEX(AU$297:AU$313,$E1586)*$D1586</f>
        <v/>
      </c>
      <c r="AV1586" s="35">
        <f>INDEX(AV$297:AV$313,$E1586)*$D1586</f>
        <v/>
      </c>
      <c r="AW1586" s="35">
        <f>INDEX(AW$297:AW$313,$E1586)*$D1586</f>
        <v/>
      </c>
      <c r="AX1586" s="35">
        <f>INDEX(AX$297:AX$313,$E1586)*$D1586</f>
        <v/>
      </c>
      <c r="AY1586" s="35">
        <f>INDEX(AY$297:AY$313,$E1586)*$D1586</f>
        <v/>
      </c>
      <c r="AZ1586" s="35">
        <f>INDEX(AZ$297:AZ$313,$E1586)*$D1586</f>
        <v/>
      </c>
      <c r="BA1586" s="42">
        <f>SHADOWGJ(INDEX(BA$297:BA$313,$E1586),$D1586)</f>
        <v/>
      </c>
    </row>
    <row r="1587" hidden="1" outlineLevel="2">
      <c r="A1587" s="14" t="inlineStr">
        <is>
          <t>shp</t>
        </is>
      </c>
      <c r="B1587" s="14" t="inlineStr">
        <is>
          <t>gso</t>
        </is>
      </c>
      <c r="C1587" s="14" t="inlineStr">
        <is>
          <t>res</t>
        </is>
      </c>
      <c r="D1587" s="35">
        <f>INDEX(Inputs!$W$5:$W$132,MATCH($B1587&amp;"|"&amp;$C1587,Inputs!$A$5:$A$132,0))</f>
        <v/>
      </c>
      <c r="E1587" s="35">
        <f>INDEX(Inputs!$M$5:$M$132,MATCH($B1587&amp;"|"&amp;$C1587,Inputs!$A$5:$A$132,0))</f>
        <v/>
      </c>
      <c r="F1587" s="39" t="n"/>
      <c r="G1587" s="39" t="n"/>
      <c r="H1587" s="14">
        <f>INDEX(VarLab,MATCH($A1587,VarKey,0))&amp;INDEX(MemLab,MATCH($C1587&amp;"|"&amp;$B1587,MemKey,0))</f>
        <v/>
      </c>
      <c r="I1587" s="14">
        <f>INDEX(VarUnit,MATCH($A1587,VarKey,0))</f>
        <v/>
      </c>
      <c r="J1587" s="14">
        <f>INDEX(VarSrc,MATCH($A1587,VarKey,0))</f>
        <v/>
      </c>
      <c r="K1587" s="11">
        <f>CodePrefix&amp;$A1587&amp;IF($C1587="","","."&amp;$C1587&amp;"."&amp;$B1587)&amp;INDEX(VarEnd,MATCH($A1587,VarKey,0))&amp;K$5</f>
        <v/>
      </c>
      <c r="L1587" s="40">
        <f>INDEX(L$297:L$313,$E1587)*$D1587</f>
        <v/>
      </c>
      <c r="M1587" s="35">
        <f>INDEX(M$297:M$313,$E1587)*$D1587</f>
        <v/>
      </c>
      <c r="N1587" s="35">
        <f>INDEX(N$297:N$313,$E1587)*$D1587</f>
        <v/>
      </c>
      <c r="O1587" s="35">
        <f>INDEX(O$297:O$313,$E1587)*$D1587</f>
        <v/>
      </c>
      <c r="P1587" s="35">
        <f>INDEX(P$297:P$313,$E1587)*$D1587</f>
        <v/>
      </c>
      <c r="Q1587" s="35">
        <f>INDEX(Q$297:Q$313,$E1587)*$D1587</f>
        <v/>
      </c>
      <c r="R1587" s="35">
        <f>INDEX(R$297:R$313,$E1587)*$D1587</f>
        <v/>
      </c>
      <c r="S1587" s="35">
        <f>INDEX(S$297:S$313,$E1587)*$D1587</f>
        <v/>
      </c>
      <c r="T1587" s="35">
        <f>INDEX(T$297:T$313,$E1587)*$D1587</f>
        <v/>
      </c>
      <c r="U1587" s="35">
        <f>INDEX(U$297:U$313,$E1587)*$D1587</f>
        <v/>
      </c>
      <c r="V1587" s="35">
        <f>INDEX(V$297:V$313,$E1587)*$D1587</f>
        <v/>
      </c>
      <c r="W1587" s="35">
        <f>INDEX(W$297:W$313,$E1587)*$D1587</f>
        <v/>
      </c>
      <c r="X1587" s="35">
        <f>INDEX(X$297:X$313,$E1587)*$D1587</f>
        <v/>
      </c>
      <c r="Y1587" s="35">
        <f>INDEX(Y$297:Y$313,$E1587)*$D1587</f>
        <v/>
      </c>
      <c r="Z1587" s="35">
        <f>INDEX(Z$297:Z$313,$E1587)*$D1587</f>
        <v/>
      </c>
      <c r="AA1587" s="35">
        <f>INDEX(AA$297:AA$313,$E1587)*$D1587</f>
        <v/>
      </c>
      <c r="AB1587" s="35">
        <f>INDEX(AB$297:AB$313,$E1587)*$D1587</f>
        <v/>
      </c>
      <c r="AC1587" s="35">
        <f>INDEX(AC$297:AC$313,$E1587)*$D1587</f>
        <v/>
      </c>
      <c r="AD1587" s="35">
        <f>INDEX(AD$297:AD$313,$E1587)*$D1587</f>
        <v/>
      </c>
      <c r="AE1587" s="42">
        <f>SHADOWGJ(INDEX(AE$297:AE$313,$E1587),$D1587)</f>
        <v/>
      </c>
      <c r="AG1587" s="11">
        <f>CodePrefix&amp;$A1587&amp;IF($C1587="","","."&amp;$C1587&amp;"."&amp;$B1587)&amp;INDEX(VarEnd,MATCH($A1587,VarKey,0))&amp;AG$5</f>
        <v/>
      </c>
      <c r="AH1587" s="40">
        <f>INDEX(AH$297:AH$313,$E1587)*$D1587</f>
        <v/>
      </c>
      <c r="AI1587" s="35">
        <f>INDEX(AI$297:AI$313,$E1587)*$D1587</f>
        <v/>
      </c>
      <c r="AJ1587" s="35">
        <f>INDEX(AJ$297:AJ$313,$E1587)*$D1587</f>
        <v/>
      </c>
      <c r="AK1587" s="35">
        <f>INDEX(AK$297:AK$313,$E1587)*$D1587</f>
        <v/>
      </c>
      <c r="AL1587" s="35">
        <f>INDEX(AL$297:AL$313,$E1587)*$D1587</f>
        <v/>
      </c>
      <c r="AM1587" s="35">
        <f>INDEX(AM$297:AM$313,$E1587)*$D1587</f>
        <v/>
      </c>
      <c r="AN1587" s="35">
        <f>INDEX(AN$297:AN$313,$E1587)*$D1587</f>
        <v/>
      </c>
      <c r="AO1587" s="35">
        <f>INDEX(AO$297:AO$313,$E1587)*$D1587</f>
        <v/>
      </c>
      <c r="AP1587" s="35">
        <f>INDEX(AP$297:AP$313,$E1587)*$D1587</f>
        <v/>
      </c>
      <c r="AQ1587" s="35">
        <f>INDEX(AQ$297:AQ$313,$E1587)*$D1587</f>
        <v/>
      </c>
      <c r="AR1587" s="35">
        <f>INDEX(AR$297:AR$313,$E1587)*$D1587</f>
        <v/>
      </c>
      <c r="AS1587" s="35">
        <f>INDEX(AS$297:AS$313,$E1587)*$D1587</f>
        <v/>
      </c>
      <c r="AT1587" s="35">
        <f>INDEX(AT$297:AT$313,$E1587)*$D1587</f>
        <v/>
      </c>
      <c r="AU1587" s="35">
        <f>INDEX(AU$297:AU$313,$E1587)*$D1587</f>
        <v/>
      </c>
      <c r="AV1587" s="35">
        <f>INDEX(AV$297:AV$313,$E1587)*$D1587</f>
        <v/>
      </c>
      <c r="AW1587" s="35">
        <f>INDEX(AW$297:AW$313,$E1587)*$D1587</f>
        <v/>
      </c>
      <c r="AX1587" s="35">
        <f>INDEX(AX$297:AX$313,$E1587)*$D1587</f>
        <v/>
      </c>
      <c r="AY1587" s="35">
        <f>INDEX(AY$297:AY$313,$E1587)*$D1587</f>
        <v/>
      </c>
      <c r="AZ1587" s="35">
        <f>INDEX(AZ$297:AZ$313,$E1587)*$D1587</f>
        <v/>
      </c>
      <c r="BA1587" s="42">
        <f>SHADOWGJ(INDEX(BA$297:BA$313,$E1587),$D1587)</f>
        <v/>
      </c>
    </row>
    <row r="1588" hidden="1" outlineLevel="2">
      <c r="A1588" s="14" t="inlineStr">
        <is>
          <t>shp</t>
        </is>
      </c>
      <c r="B1588" s="14" t="inlineStr">
        <is>
          <t>die</t>
        </is>
      </c>
      <c r="C1588" s="14" t="inlineStr">
        <is>
          <t>res</t>
        </is>
      </c>
      <c r="D1588" s="35">
        <f>INDEX(Inputs!$W$5:$W$132,MATCH($B1588&amp;"|"&amp;$C1588,Inputs!$A$5:$A$132,0))</f>
        <v/>
      </c>
      <c r="E1588" s="35">
        <f>INDEX(Inputs!$M$5:$M$132,MATCH($B1588&amp;"|"&amp;$C1588,Inputs!$A$5:$A$132,0))</f>
        <v/>
      </c>
      <c r="F1588" s="39" t="n"/>
      <c r="G1588" s="39" t="n"/>
      <c r="H1588" s="14">
        <f>INDEX(VarLab,MATCH($A1588,VarKey,0))&amp;INDEX(MemLab,MATCH($C1588&amp;"|"&amp;$B1588,MemKey,0))</f>
        <v/>
      </c>
      <c r="I1588" s="14">
        <f>INDEX(VarUnit,MATCH($A1588,VarKey,0))</f>
        <v/>
      </c>
      <c r="J1588" s="14">
        <f>INDEX(VarSrc,MATCH($A1588,VarKey,0))</f>
        <v/>
      </c>
      <c r="K1588" s="11">
        <f>CodePrefix&amp;$A1588&amp;IF($C1588="","","."&amp;$C1588&amp;"."&amp;$B1588)&amp;INDEX(VarEnd,MATCH($A1588,VarKey,0))&amp;K$5</f>
        <v/>
      </c>
      <c r="L1588" s="40">
        <f>INDEX(L$297:L$313,$E1588)*$D1588</f>
        <v/>
      </c>
      <c r="M1588" s="35">
        <f>INDEX(M$297:M$313,$E1588)*$D1588</f>
        <v/>
      </c>
      <c r="N1588" s="35">
        <f>INDEX(N$297:N$313,$E1588)*$D1588</f>
        <v/>
      </c>
      <c r="O1588" s="35">
        <f>INDEX(O$297:O$313,$E1588)*$D1588</f>
        <v/>
      </c>
      <c r="P1588" s="35">
        <f>INDEX(P$297:P$313,$E1588)*$D1588</f>
        <v/>
      </c>
      <c r="Q1588" s="35">
        <f>INDEX(Q$297:Q$313,$E1588)*$D1588</f>
        <v/>
      </c>
      <c r="R1588" s="35">
        <f>INDEX(R$297:R$313,$E1588)*$D1588</f>
        <v/>
      </c>
      <c r="S1588" s="35">
        <f>INDEX(S$297:S$313,$E1588)*$D1588</f>
        <v/>
      </c>
      <c r="T1588" s="35">
        <f>INDEX(T$297:T$313,$E1588)*$D1588</f>
        <v/>
      </c>
      <c r="U1588" s="35">
        <f>INDEX(U$297:U$313,$E1588)*$D1588</f>
        <v/>
      </c>
      <c r="V1588" s="35">
        <f>INDEX(V$297:V$313,$E1588)*$D1588</f>
        <v/>
      </c>
      <c r="W1588" s="35">
        <f>INDEX(W$297:W$313,$E1588)*$D1588</f>
        <v/>
      </c>
      <c r="X1588" s="35">
        <f>INDEX(X$297:X$313,$E1588)*$D1588</f>
        <v/>
      </c>
      <c r="Y1588" s="35">
        <f>INDEX(Y$297:Y$313,$E1588)*$D1588</f>
        <v/>
      </c>
      <c r="Z1588" s="35">
        <f>INDEX(Z$297:Z$313,$E1588)*$D1588</f>
        <v/>
      </c>
      <c r="AA1588" s="35">
        <f>INDEX(AA$297:AA$313,$E1588)*$D1588</f>
        <v/>
      </c>
      <c r="AB1588" s="35">
        <f>INDEX(AB$297:AB$313,$E1588)*$D1588</f>
        <v/>
      </c>
      <c r="AC1588" s="35">
        <f>INDEX(AC$297:AC$313,$E1588)*$D1588</f>
        <v/>
      </c>
      <c r="AD1588" s="35">
        <f>INDEX(AD$297:AD$313,$E1588)*$D1588</f>
        <v/>
      </c>
      <c r="AE1588" s="42">
        <f>SHADOWGJ(INDEX(AE$297:AE$313,$E1588),$D1588)</f>
        <v/>
      </c>
      <c r="AG1588" s="11">
        <f>CodePrefix&amp;$A1588&amp;IF($C1588="","","."&amp;$C1588&amp;"."&amp;$B1588)&amp;INDEX(VarEnd,MATCH($A1588,VarKey,0))&amp;AG$5</f>
        <v/>
      </c>
      <c r="AH1588" s="40">
        <f>INDEX(AH$297:AH$313,$E1588)*$D1588</f>
        <v/>
      </c>
      <c r="AI1588" s="35">
        <f>INDEX(AI$297:AI$313,$E1588)*$D1588</f>
        <v/>
      </c>
      <c r="AJ1588" s="35">
        <f>INDEX(AJ$297:AJ$313,$E1588)*$D1588</f>
        <v/>
      </c>
      <c r="AK1588" s="35">
        <f>INDEX(AK$297:AK$313,$E1588)*$D1588</f>
        <v/>
      </c>
      <c r="AL1588" s="35">
        <f>INDEX(AL$297:AL$313,$E1588)*$D1588</f>
        <v/>
      </c>
      <c r="AM1588" s="35">
        <f>INDEX(AM$297:AM$313,$E1588)*$D1588</f>
        <v/>
      </c>
      <c r="AN1588" s="35">
        <f>INDEX(AN$297:AN$313,$E1588)*$D1588</f>
        <v/>
      </c>
      <c r="AO1588" s="35">
        <f>INDEX(AO$297:AO$313,$E1588)*$D1588</f>
        <v/>
      </c>
      <c r="AP1588" s="35">
        <f>INDEX(AP$297:AP$313,$E1588)*$D1588</f>
        <v/>
      </c>
      <c r="AQ1588" s="35">
        <f>INDEX(AQ$297:AQ$313,$E1588)*$D1588</f>
        <v/>
      </c>
      <c r="AR1588" s="35">
        <f>INDEX(AR$297:AR$313,$E1588)*$D1588</f>
        <v/>
      </c>
      <c r="AS1588" s="35">
        <f>INDEX(AS$297:AS$313,$E1588)*$D1588</f>
        <v/>
      </c>
      <c r="AT1588" s="35">
        <f>INDEX(AT$297:AT$313,$E1588)*$D1588</f>
        <v/>
      </c>
      <c r="AU1588" s="35">
        <f>INDEX(AU$297:AU$313,$E1588)*$D1588</f>
        <v/>
      </c>
      <c r="AV1588" s="35">
        <f>INDEX(AV$297:AV$313,$E1588)*$D1588</f>
        <v/>
      </c>
      <c r="AW1588" s="35">
        <f>INDEX(AW$297:AW$313,$E1588)*$D1588</f>
        <v/>
      </c>
      <c r="AX1588" s="35">
        <f>INDEX(AX$297:AX$313,$E1588)*$D1588</f>
        <v/>
      </c>
      <c r="AY1588" s="35">
        <f>INDEX(AY$297:AY$313,$E1588)*$D1588</f>
        <v/>
      </c>
      <c r="AZ1588" s="35">
        <f>INDEX(AZ$297:AZ$313,$E1588)*$D1588</f>
        <v/>
      </c>
      <c r="BA1588" s="42">
        <f>SHADOWGJ(INDEX(BA$297:BA$313,$E1588),$D1588)</f>
        <v/>
      </c>
    </row>
    <row r="1589" hidden="1" outlineLevel="2">
      <c r="A1589" s="14" t="inlineStr">
        <is>
          <t>shp</t>
        </is>
      </c>
      <c r="B1589" s="14" t="inlineStr">
        <is>
          <t>lpg</t>
        </is>
      </c>
      <c r="C1589" s="14" t="inlineStr">
        <is>
          <t>res</t>
        </is>
      </c>
      <c r="D1589" s="35">
        <f>INDEX(Inputs!$W$5:$W$132,MATCH($B1589&amp;"|"&amp;$C1589,Inputs!$A$5:$A$132,0))</f>
        <v/>
      </c>
      <c r="E1589" s="35">
        <f>INDEX(Inputs!$M$5:$M$132,MATCH($B1589&amp;"|"&amp;$C1589,Inputs!$A$5:$A$132,0))</f>
        <v/>
      </c>
      <c r="F1589" s="39" t="n"/>
      <c r="G1589" s="39" t="n"/>
      <c r="H1589" s="14">
        <f>INDEX(VarLab,MATCH($A1589,VarKey,0))&amp;INDEX(MemLab,MATCH($C1589&amp;"|"&amp;$B1589,MemKey,0))</f>
        <v/>
      </c>
      <c r="I1589" s="14">
        <f>INDEX(VarUnit,MATCH($A1589,VarKey,0))</f>
        <v/>
      </c>
      <c r="J1589" s="14">
        <f>INDEX(VarSrc,MATCH($A1589,VarKey,0))</f>
        <v/>
      </c>
      <c r="K1589" s="11">
        <f>CodePrefix&amp;$A1589&amp;IF($C1589="","","."&amp;$C1589&amp;"."&amp;$B1589)&amp;INDEX(VarEnd,MATCH($A1589,VarKey,0))&amp;K$5</f>
        <v/>
      </c>
      <c r="L1589" s="40">
        <f>INDEX(L$297:L$313,$E1589)*$D1589</f>
        <v/>
      </c>
      <c r="M1589" s="35">
        <f>INDEX(M$297:M$313,$E1589)*$D1589</f>
        <v/>
      </c>
      <c r="N1589" s="35">
        <f>INDEX(N$297:N$313,$E1589)*$D1589</f>
        <v/>
      </c>
      <c r="O1589" s="35">
        <f>INDEX(O$297:O$313,$E1589)*$D1589</f>
        <v/>
      </c>
      <c r="P1589" s="35">
        <f>INDEX(P$297:P$313,$E1589)*$D1589</f>
        <v/>
      </c>
      <c r="Q1589" s="35">
        <f>INDEX(Q$297:Q$313,$E1589)*$D1589</f>
        <v/>
      </c>
      <c r="R1589" s="35">
        <f>INDEX(R$297:R$313,$E1589)*$D1589</f>
        <v/>
      </c>
      <c r="S1589" s="35">
        <f>INDEX(S$297:S$313,$E1589)*$D1589</f>
        <v/>
      </c>
      <c r="T1589" s="35">
        <f>INDEX(T$297:T$313,$E1589)*$D1589</f>
        <v/>
      </c>
      <c r="U1589" s="35">
        <f>INDEX(U$297:U$313,$E1589)*$D1589</f>
        <v/>
      </c>
      <c r="V1589" s="35">
        <f>INDEX(V$297:V$313,$E1589)*$D1589</f>
        <v/>
      </c>
      <c r="W1589" s="35">
        <f>INDEX(W$297:W$313,$E1589)*$D1589</f>
        <v/>
      </c>
      <c r="X1589" s="35">
        <f>INDEX(X$297:X$313,$E1589)*$D1589</f>
        <v/>
      </c>
      <c r="Y1589" s="35">
        <f>INDEX(Y$297:Y$313,$E1589)*$D1589</f>
        <v/>
      </c>
      <c r="Z1589" s="35">
        <f>INDEX(Z$297:Z$313,$E1589)*$D1589</f>
        <v/>
      </c>
      <c r="AA1589" s="35">
        <f>INDEX(AA$297:AA$313,$E1589)*$D1589</f>
        <v/>
      </c>
      <c r="AB1589" s="35">
        <f>INDEX(AB$297:AB$313,$E1589)*$D1589</f>
        <v/>
      </c>
      <c r="AC1589" s="35">
        <f>INDEX(AC$297:AC$313,$E1589)*$D1589</f>
        <v/>
      </c>
      <c r="AD1589" s="35">
        <f>INDEX(AD$297:AD$313,$E1589)*$D1589</f>
        <v/>
      </c>
      <c r="AE1589" s="42">
        <f>SHADOWGJ(INDEX(AE$297:AE$313,$E1589),$D1589)</f>
        <v/>
      </c>
      <c r="AG1589" s="11">
        <f>CodePrefix&amp;$A1589&amp;IF($C1589="","","."&amp;$C1589&amp;"."&amp;$B1589)&amp;INDEX(VarEnd,MATCH($A1589,VarKey,0))&amp;AG$5</f>
        <v/>
      </c>
      <c r="AH1589" s="40">
        <f>INDEX(AH$297:AH$313,$E1589)*$D1589</f>
        <v/>
      </c>
      <c r="AI1589" s="35">
        <f>INDEX(AI$297:AI$313,$E1589)*$D1589</f>
        <v/>
      </c>
      <c r="AJ1589" s="35">
        <f>INDEX(AJ$297:AJ$313,$E1589)*$D1589</f>
        <v/>
      </c>
      <c r="AK1589" s="35">
        <f>INDEX(AK$297:AK$313,$E1589)*$D1589</f>
        <v/>
      </c>
      <c r="AL1589" s="35">
        <f>INDEX(AL$297:AL$313,$E1589)*$D1589</f>
        <v/>
      </c>
      <c r="AM1589" s="35">
        <f>INDEX(AM$297:AM$313,$E1589)*$D1589</f>
        <v/>
      </c>
      <c r="AN1589" s="35">
        <f>INDEX(AN$297:AN$313,$E1589)*$D1589</f>
        <v/>
      </c>
      <c r="AO1589" s="35">
        <f>INDEX(AO$297:AO$313,$E1589)*$D1589</f>
        <v/>
      </c>
      <c r="AP1589" s="35">
        <f>INDEX(AP$297:AP$313,$E1589)*$D1589</f>
        <v/>
      </c>
      <c r="AQ1589" s="35">
        <f>INDEX(AQ$297:AQ$313,$E1589)*$D1589</f>
        <v/>
      </c>
      <c r="AR1589" s="35">
        <f>INDEX(AR$297:AR$313,$E1589)*$D1589</f>
        <v/>
      </c>
      <c r="AS1589" s="35">
        <f>INDEX(AS$297:AS$313,$E1589)*$D1589</f>
        <v/>
      </c>
      <c r="AT1589" s="35">
        <f>INDEX(AT$297:AT$313,$E1589)*$D1589</f>
        <v/>
      </c>
      <c r="AU1589" s="35">
        <f>INDEX(AU$297:AU$313,$E1589)*$D1589</f>
        <v/>
      </c>
      <c r="AV1589" s="35">
        <f>INDEX(AV$297:AV$313,$E1589)*$D1589</f>
        <v/>
      </c>
      <c r="AW1589" s="35">
        <f>INDEX(AW$297:AW$313,$E1589)*$D1589</f>
        <v/>
      </c>
      <c r="AX1589" s="35">
        <f>INDEX(AX$297:AX$313,$E1589)*$D1589</f>
        <v/>
      </c>
      <c r="AY1589" s="35">
        <f>INDEX(AY$297:AY$313,$E1589)*$D1589</f>
        <v/>
      </c>
      <c r="AZ1589" s="35">
        <f>INDEX(AZ$297:AZ$313,$E1589)*$D1589</f>
        <v/>
      </c>
      <c r="BA1589" s="42">
        <f>SHADOWGJ(INDEX(BA$297:BA$313,$E1589),$D1589)</f>
        <v/>
      </c>
    </row>
    <row r="1590" hidden="1" outlineLevel="2">
      <c r="A1590" s="14" t="inlineStr">
        <is>
          <t>shp</t>
        </is>
      </c>
      <c r="B1590" s="14" t="inlineStr">
        <is>
          <t>ker</t>
        </is>
      </c>
      <c r="C1590" s="14" t="inlineStr">
        <is>
          <t>res</t>
        </is>
      </c>
      <c r="D1590" s="35">
        <f>INDEX(Inputs!$W$5:$W$132,MATCH($B1590&amp;"|"&amp;$C1590,Inputs!$A$5:$A$132,0))</f>
        <v/>
      </c>
      <c r="E1590" s="35">
        <f>INDEX(Inputs!$M$5:$M$132,MATCH($B1590&amp;"|"&amp;$C1590,Inputs!$A$5:$A$132,0))</f>
        <v/>
      </c>
      <c r="F1590" s="39" t="n"/>
      <c r="G1590" s="39" t="n"/>
      <c r="H1590" s="14">
        <f>INDEX(VarLab,MATCH($A1590,VarKey,0))&amp;INDEX(MemLab,MATCH($C1590&amp;"|"&amp;$B1590,MemKey,0))</f>
        <v/>
      </c>
      <c r="I1590" s="14">
        <f>INDEX(VarUnit,MATCH($A1590,VarKey,0))</f>
        <v/>
      </c>
      <c r="J1590" s="14">
        <f>INDEX(VarSrc,MATCH($A1590,VarKey,0))</f>
        <v/>
      </c>
      <c r="K1590" s="11">
        <f>CodePrefix&amp;$A1590&amp;IF($C1590="","","."&amp;$C1590&amp;"."&amp;$B1590)&amp;INDEX(VarEnd,MATCH($A1590,VarKey,0))&amp;K$5</f>
        <v/>
      </c>
      <c r="L1590" s="40">
        <f>INDEX(L$297:L$313,$E1590)*$D1590</f>
        <v/>
      </c>
      <c r="M1590" s="35">
        <f>INDEX(M$297:M$313,$E1590)*$D1590</f>
        <v/>
      </c>
      <c r="N1590" s="35">
        <f>INDEX(N$297:N$313,$E1590)*$D1590</f>
        <v/>
      </c>
      <c r="O1590" s="35">
        <f>INDEX(O$297:O$313,$E1590)*$D1590</f>
        <v/>
      </c>
      <c r="P1590" s="35">
        <f>INDEX(P$297:P$313,$E1590)*$D1590</f>
        <v/>
      </c>
      <c r="Q1590" s="35">
        <f>INDEX(Q$297:Q$313,$E1590)*$D1590</f>
        <v/>
      </c>
      <c r="R1590" s="35">
        <f>INDEX(R$297:R$313,$E1590)*$D1590</f>
        <v/>
      </c>
      <c r="S1590" s="35">
        <f>INDEX(S$297:S$313,$E1590)*$D1590</f>
        <v/>
      </c>
      <c r="T1590" s="35">
        <f>INDEX(T$297:T$313,$E1590)*$D1590</f>
        <v/>
      </c>
      <c r="U1590" s="35">
        <f>INDEX(U$297:U$313,$E1590)*$D1590</f>
        <v/>
      </c>
      <c r="V1590" s="35">
        <f>INDEX(V$297:V$313,$E1590)*$D1590</f>
        <v/>
      </c>
      <c r="W1590" s="35">
        <f>INDEX(W$297:W$313,$E1590)*$D1590</f>
        <v/>
      </c>
      <c r="X1590" s="35">
        <f>INDEX(X$297:X$313,$E1590)*$D1590</f>
        <v/>
      </c>
      <c r="Y1590" s="35">
        <f>INDEX(Y$297:Y$313,$E1590)*$D1590</f>
        <v/>
      </c>
      <c r="Z1590" s="35">
        <f>INDEX(Z$297:Z$313,$E1590)*$D1590</f>
        <v/>
      </c>
      <c r="AA1590" s="35">
        <f>INDEX(AA$297:AA$313,$E1590)*$D1590</f>
        <v/>
      </c>
      <c r="AB1590" s="35">
        <f>INDEX(AB$297:AB$313,$E1590)*$D1590</f>
        <v/>
      </c>
      <c r="AC1590" s="35">
        <f>INDEX(AC$297:AC$313,$E1590)*$D1590</f>
        <v/>
      </c>
      <c r="AD1590" s="35">
        <f>INDEX(AD$297:AD$313,$E1590)*$D1590</f>
        <v/>
      </c>
      <c r="AE1590" s="42">
        <f>SHADOWGJ(INDEX(AE$297:AE$313,$E1590),$D1590)</f>
        <v/>
      </c>
      <c r="AG1590" s="11">
        <f>CodePrefix&amp;$A1590&amp;IF($C1590="","","."&amp;$C1590&amp;"."&amp;$B1590)&amp;INDEX(VarEnd,MATCH($A1590,VarKey,0))&amp;AG$5</f>
        <v/>
      </c>
      <c r="AH1590" s="40">
        <f>INDEX(AH$297:AH$313,$E1590)*$D1590</f>
        <v/>
      </c>
      <c r="AI1590" s="35">
        <f>INDEX(AI$297:AI$313,$E1590)*$D1590</f>
        <v/>
      </c>
      <c r="AJ1590" s="35">
        <f>INDEX(AJ$297:AJ$313,$E1590)*$D1590</f>
        <v/>
      </c>
      <c r="AK1590" s="35">
        <f>INDEX(AK$297:AK$313,$E1590)*$D1590</f>
        <v/>
      </c>
      <c r="AL1590" s="35">
        <f>INDEX(AL$297:AL$313,$E1590)*$D1590</f>
        <v/>
      </c>
      <c r="AM1590" s="35">
        <f>INDEX(AM$297:AM$313,$E1590)*$D1590</f>
        <v/>
      </c>
      <c r="AN1590" s="35">
        <f>INDEX(AN$297:AN$313,$E1590)*$D1590</f>
        <v/>
      </c>
      <c r="AO1590" s="35">
        <f>INDEX(AO$297:AO$313,$E1590)*$D1590</f>
        <v/>
      </c>
      <c r="AP1590" s="35">
        <f>INDEX(AP$297:AP$313,$E1590)*$D1590</f>
        <v/>
      </c>
      <c r="AQ1590" s="35">
        <f>INDEX(AQ$297:AQ$313,$E1590)*$D1590</f>
        <v/>
      </c>
      <c r="AR1590" s="35">
        <f>INDEX(AR$297:AR$313,$E1590)*$D1590</f>
        <v/>
      </c>
      <c r="AS1590" s="35">
        <f>INDEX(AS$297:AS$313,$E1590)*$D1590</f>
        <v/>
      </c>
      <c r="AT1590" s="35">
        <f>INDEX(AT$297:AT$313,$E1590)*$D1590</f>
        <v/>
      </c>
      <c r="AU1590" s="35">
        <f>INDEX(AU$297:AU$313,$E1590)*$D1590</f>
        <v/>
      </c>
      <c r="AV1590" s="35">
        <f>INDEX(AV$297:AV$313,$E1590)*$D1590</f>
        <v/>
      </c>
      <c r="AW1590" s="35">
        <f>INDEX(AW$297:AW$313,$E1590)*$D1590</f>
        <v/>
      </c>
      <c r="AX1590" s="35">
        <f>INDEX(AX$297:AX$313,$E1590)*$D1590</f>
        <v/>
      </c>
      <c r="AY1590" s="35">
        <f>INDEX(AY$297:AY$313,$E1590)*$D1590</f>
        <v/>
      </c>
      <c r="AZ1590" s="35">
        <f>INDEX(AZ$297:AZ$313,$E1590)*$D1590</f>
        <v/>
      </c>
      <c r="BA1590" s="42">
        <f>SHADOWGJ(INDEX(BA$297:BA$313,$E1590),$D1590)</f>
        <v/>
      </c>
    </row>
    <row r="1591" hidden="1" outlineLevel="2">
      <c r="A1591" s="14" t="inlineStr">
        <is>
          <t>shp</t>
        </is>
      </c>
      <c r="B1591" s="14" t="inlineStr">
        <is>
          <t>oop</t>
        </is>
      </c>
      <c r="C1591" s="14" t="inlineStr">
        <is>
          <t>res</t>
        </is>
      </c>
      <c r="D1591" s="35">
        <f>INDEX(Inputs!$W$5:$W$132,MATCH($B1591&amp;"|"&amp;$C1591,Inputs!$A$5:$A$132,0))</f>
        <v/>
      </c>
      <c r="E1591" s="35">
        <f>INDEX(Inputs!$M$5:$M$132,MATCH($B1591&amp;"|"&amp;$C1591,Inputs!$A$5:$A$132,0))</f>
        <v/>
      </c>
      <c r="F1591" s="39" t="n"/>
      <c r="G1591" s="39" t="n"/>
      <c r="H1591" s="14">
        <f>INDEX(VarLab,MATCH($A1591,VarKey,0))&amp;INDEX(MemLab,MATCH($C1591&amp;"|"&amp;$B1591,MemKey,0))</f>
        <v/>
      </c>
      <c r="I1591" s="14">
        <f>INDEX(VarUnit,MATCH($A1591,VarKey,0))</f>
        <v/>
      </c>
      <c r="J1591" s="14">
        <f>INDEX(VarSrc,MATCH($A1591,VarKey,0))</f>
        <v/>
      </c>
      <c r="K1591" s="11">
        <f>CodePrefix&amp;$A1591&amp;IF($C1591="","","."&amp;$C1591&amp;"."&amp;$B1591)&amp;INDEX(VarEnd,MATCH($A1591,VarKey,0))&amp;K$5</f>
        <v/>
      </c>
      <c r="L1591" s="40">
        <f>INDEX(L$297:L$313,$E1591)*$D1591</f>
        <v/>
      </c>
      <c r="M1591" s="35">
        <f>INDEX(M$297:M$313,$E1591)*$D1591</f>
        <v/>
      </c>
      <c r="N1591" s="35">
        <f>INDEX(N$297:N$313,$E1591)*$D1591</f>
        <v/>
      </c>
      <c r="O1591" s="35">
        <f>INDEX(O$297:O$313,$E1591)*$D1591</f>
        <v/>
      </c>
      <c r="P1591" s="35">
        <f>INDEX(P$297:P$313,$E1591)*$D1591</f>
        <v/>
      </c>
      <c r="Q1591" s="35">
        <f>INDEX(Q$297:Q$313,$E1591)*$D1591</f>
        <v/>
      </c>
      <c r="R1591" s="35">
        <f>INDEX(R$297:R$313,$E1591)*$D1591</f>
        <v/>
      </c>
      <c r="S1591" s="35">
        <f>INDEX(S$297:S$313,$E1591)*$D1591</f>
        <v/>
      </c>
      <c r="T1591" s="35">
        <f>INDEX(T$297:T$313,$E1591)*$D1591</f>
        <v/>
      </c>
      <c r="U1591" s="35">
        <f>INDEX(U$297:U$313,$E1591)*$D1591</f>
        <v/>
      </c>
      <c r="V1591" s="35">
        <f>INDEX(V$297:V$313,$E1591)*$D1591</f>
        <v/>
      </c>
      <c r="W1591" s="35">
        <f>INDEX(W$297:W$313,$E1591)*$D1591</f>
        <v/>
      </c>
      <c r="X1591" s="35">
        <f>INDEX(X$297:X$313,$E1591)*$D1591</f>
        <v/>
      </c>
      <c r="Y1591" s="35">
        <f>INDEX(Y$297:Y$313,$E1591)*$D1591</f>
        <v/>
      </c>
      <c r="Z1591" s="35">
        <f>INDEX(Z$297:Z$313,$E1591)*$D1591</f>
        <v/>
      </c>
      <c r="AA1591" s="35">
        <f>INDEX(AA$297:AA$313,$E1591)*$D1591</f>
        <v/>
      </c>
      <c r="AB1591" s="35">
        <f>INDEX(AB$297:AB$313,$E1591)*$D1591</f>
        <v/>
      </c>
      <c r="AC1591" s="35">
        <f>INDEX(AC$297:AC$313,$E1591)*$D1591</f>
        <v/>
      </c>
      <c r="AD1591" s="35">
        <f>INDEX(AD$297:AD$313,$E1591)*$D1591</f>
        <v/>
      </c>
      <c r="AE1591" s="42">
        <f>SHADOWGJ(INDEX(AE$297:AE$313,$E1591),$D1591)</f>
        <v/>
      </c>
      <c r="AG1591" s="11">
        <f>CodePrefix&amp;$A1591&amp;IF($C1591="","","."&amp;$C1591&amp;"."&amp;$B1591)&amp;INDEX(VarEnd,MATCH($A1591,VarKey,0))&amp;AG$5</f>
        <v/>
      </c>
      <c r="AH1591" s="40">
        <f>INDEX(AH$297:AH$313,$E1591)*$D1591</f>
        <v/>
      </c>
      <c r="AI1591" s="35">
        <f>INDEX(AI$297:AI$313,$E1591)*$D1591</f>
        <v/>
      </c>
      <c r="AJ1591" s="35">
        <f>INDEX(AJ$297:AJ$313,$E1591)*$D1591</f>
        <v/>
      </c>
      <c r="AK1591" s="35">
        <f>INDEX(AK$297:AK$313,$E1591)*$D1591</f>
        <v/>
      </c>
      <c r="AL1591" s="35">
        <f>INDEX(AL$297:AL$313,$E1591)*$D1591</f>
        <v/>
      </c>
      <c r="AM1591" s="35">
        <f>INDEX(AM$297:AM$313,$E1591)*$D1591</f>
        <v/>
      </c>
      <c r="AN1591" s="35">
        <f>INDEX(AN$297:AN$313,$E1591)*$D1591</f>
        <v/>
      </c>
      <c r="AO1591" s="35">
        <f>INDEX(AO$297:AO$313,$E1591)*$D1591</f>
        <v/>
      </c>
      <c r="AP1591" s="35">
        <f>INDEX(AP$297:AP$313,$E1591)*$D1591</f>
        <v/>
      </c>
      <c r="AQ1591" s="35">
        <f>INDEX(AQ$297:AQ$313,$E1591)*$D1591</f>
        <v/>
      </c>
      <c r="AR1591" s="35">
        <f>INDEX(AR$297:AR$313,$E1591)*$D1591</f>
        <v/>
      </c>
      <c r="AS1591" s="35">
        <f>INDEX(AS$297:AS$313,$E1591)*$D1591</f>
        <v/>
      </c>
      <c r="AT1591" s="35">
        <f>INDEX(AT$297:AT$313,$E1591)*$D1591</f>
        <v/>
      </c>
      <c r="AU1591" s="35">
        <f>INDEX(AU$297:AU$313,$E1591)*$D1591</f>
        <v/>
      </c>
      <c r="AV1591" s="35">
        <f>INDEX(AV$297:AV$313,$E1591)*$D1591</f>
        <v/>
      </c>
      <c r="AW1591" s="35">
        <f>INDEX(AW$297:AW$313,$E1591)*$D1591</f>
        <v/>
      </c>
      <c r="AX1591" s="35">
        <f>INDEX(AX$297:AX$313,$E1591)*$D1591</f>
        <v/>
      </c>
      <c r="AY1591" s="35">
        <f>INDEX(AY$297:AY$313,$E1591)*$D1591</f>
        <v/>
      </c>
      <c r="AZ1591" s="35">
        <f>INDEX(AZ$297:AZ$313,$E1591)*$D1591</f>
        <v/>
      </c>
      <c r="BA1591" s="42">
        <f>SHADOWGJ(INDEX(BA$297:BA$313,$E1591),$D1591)</f>
        <v/>
      </c>
    </row>
    <row r="1592" hidden="1" outlineLevel="2">
      <c r="A1592" s="14" t="inlineStr">
        <is>
          <t>shp</t>
        </is>
      </c>
      <c r="B1592" s="14" t="inlineStr">
        <is>
          <t>bio</t>
        </is>
      </c>
      <c r="C1592" s="14" t="inlineStr">
        <is>
          <t>res</t>
        </is>
      </c>
      <c r="D1592" s="35">
        <f>INDEX(Inputs!$W$5:$W$132,MATCH($B1592&amp;"|"&amp;$C1592,Inputs!$A$5:$A$132,0))</f>
        <v/>
      </c>
      <c r="E1592" s="35">
        <f>INDEX(Inputs!$M$5:$M$132,MATCH($B1592&amp;"|"&amp;$C1592,Inputs!$A$5:$A$132,0))</f>
        <v/>
      </c>
      <c r="F1592" s="39" t="n"/>
      <c r="G1592" s="39" t="n"/>
      <c r="H1592" s="14">
        <f>INDEX(VarLab,MATCH($A1592,VarKey,0))&amp;INDEX(MemLab,MATCH($C1592&amp;"|"&amp;$B1592,MemKey,0))</f>
        <v/>
      </c>
      <c r="I1592" s="14">
        <f>INDEX(VarUnit,MATCH($A1592,VarKey,0))</f>
        <v/>
      </c>
      <c r="J1592" s="14">
        <f>INDEX(VarSrc,MATCH($A1592,VarKey,0))</f>
        <v/>
      </c>
      <c r="K1592" s="11">
        <f>CodePrefix&amp;$A1592&amp;IF($C1592="","","."&amp;$C1592&amp;"."&amp;$B1592)&amp;INDEX(VarEnd,MATCH($A1592,VarKey,0))&amp;K$5</f>
        <v/>
      </c>
      <c r="L1592" s="40">
        <f>INDEX(L$297:L$313,$E1592)*$D1592</f>
        <v/>
      </c>
      <c r="M1592" s="35">
        <f>INDEX(M$297:M$313,$E1592)*$D1592</f>
        <v/>
      </c>
      <c r="N1592" s="35">
        <f>INDEX(N$297:N$313,$E1592)*$D1592</f>
        <v/>
      </c>
      <c r="O1592" s="35">
        <f>INDEX(O$297:O$313,$E1592)*$D1592</f>
        <v/>
      </c>
      <c r="P1592" s="35">
        <f>INDEX(P$297:P$313,$E1592)*$D1592</f>
        <v/>
      </c>
      <c r="Q1592" s="35">
        <f>INDEX(Q$297:Q$313,$E1592)*$D1592</f>
        <v/>
      </c>
      <c r="R1592" s="35">
        <f>INDEX(R$297:R$313,$E1592)*$D1592</f>
        <v/>
      </c>
      <c r="S1592" s="35">
        <f>INDEX(S$297:S$313,$E1592)*$D1592</f>
        <v/>
      </c>
      <c r="T1592" s="35">
        <f>INDEX(T$297:T$313,$E1592)*$D1592</f>
        <v/>
      </c>
      <c r="U1592" s="35">
        <f>INDEX(U$297:U$313,$E1592)*$D1592</f>
        <v/>
      </c>
      <c r="V1592" s="35">
        <f>INDEX(V$297:V$313,$E1592)*$D1592</f>
        <v/>
      </c>
      <c r="W1592" s="35">
        <f>INDEX(W$297:W$313,$E1592)*$D1592</f>
        <v/>
      </c>
      <c r="X1592" s="35">
        <f>INDEX(X$297:X$313,$E1592)*$D1592</f>
        <v/>
      </c>
      <c r="Y1592" s="35">
        <f>INDEX(Y$297:Y$313,$E1592)*$D1592</f>
        <v/>
      </c>
      <c r="Z1592" s="35">
        <f>INDEX(Z$297:Z$313,$E1592)*$D1592</f>
        <v/>
      </c>
      <c r="AA1592" s="35">
        <f>INDEX(AA$297:AA$313,$E1592)*$D1592</f>
        <v/>
      </c>
      <c r="AB1592" s="35">
        <f>INDEX(AB$297:AB$313,$E1592)*$D1592</f>
        <v/>
      </c>
      <c r="AC1592" s="35">
        <f>INDEX(AC$297:AC$313,$E1592)*$D1592</f>
        <v/>
      </c>
      <c r="AD1592" s="35">
        <f>INDEX(AD$297:AD$313,$E1592)*$D1592</f>
        <v/>
      </c>
      <c r="AE1592" s="42">
        <f>SHADOWGJ(INDEX(AE$297:AE$313,$E1592),$D1592)</f>
        <v/>
      </c>
      <c r="AG1592" s="11">
        <f>CodePrefix&amp;$A1592&amp;IF($C1592="","","."&amp;$C1592&amp;"."&amp;$B1592)&amp;INDEX(VarEnd,MATCH($A1592,VarKey,0))&amp;AG$5</f>
        <v/>
      </c>
      <c r="AH1592" s="40">
        <f>INDEX(AH$297:AH$313,$E1592)*$D1592</f>
        <v/>
      </c>
      <c r="AI1592" s="35">
        <f>INDEX(AI$297:AI$313,$E1592)*$D1592</f>
        <v/>
      </c>
      <c r="AJ1592" s="35">
        <f>INDEX(AJ$297:AJ$313,$E1592)*$D1592</f>
        <v/>
      </c>
      <c r="AK1592" s="35">
        <f>INDEX(AK$297:AK$313,$E1592)*$D1592</f>
        <v/>
      </c>
      <c r="AL1592" s="35">
        <f>INDEX(AL$297:AL$313,$E1592)*$D1592</f>
        <v/>
      </c>
      <c r="AM1592" s="35">
        <f>INDEX(AM$297:AM$313,$E1592)*$D1592</f>
        <v/>
      </c>
      <c r="AN1592" s="35">
        <f>INDEX(AN$297:AN$313,$E1592)*$D1592</f>
        <v/>
      </c>
      <c r="AO1592" s="35">
        <f>INDEX(AO$297:AO$313,$E1592)*$D1592</f>
        <v/>
      </c>
      <c r="AP1592" s="35">
        <f>INDEX(AP$297:AP$313,$E1592)*$D1592</f>
        <v/>
      </c>
      <c r="AQ1592" s="35">
        <f>INDEX(AQ$297:AQ$313,$E1592)*$D1592</f>
        <v/>
      </c>
      <c r="AR1592" s="35">
        <f>INDEX(AR$297:AR$313,$E1592)*$D1592</f>
        <v/>
      </c>
      <c r="AS1592" s="35">
        <f>INDEX(AS$297:AS$313,$E1592)*$D1592</f>
        <v/>
      </c>
      <c r="AT1592" s="35">
        <f>INDEX(AT$297:AT$313,$E1592)*$D1592</f>
        <v/>
      </c>
      <c r="AU1592" s="35">
        <f>INDEX(AU$297:AU$313,$E1592)*$D1592</f>
        <v/>
      </c>
      <c r="AV1592" s="35">
        <f>INDEX(AV$297:AV$313,$E1592)*$D1592</f>
        <v/>
      </c>
      <c r="AW1592" s="35">
        <f>INDEX(AW$297:AW$313,$E1592)*$D1592</f>
        <v/>
      </c>
      <c r="AX1592" s="35">
        <f>INDEX(AX$297:AX$313,$E1592)*$D1592</f>
        <v/>
      </c>
      <c r="AY1592" s="35">
        <f>INDEX(AY$297:AY$313,$E1592)*$D1592</f>
        <v/>
      </c>
      <c r="AZ1592" s="35">
        <f>INDEX(AZ$297:AZ$313,$E1592)*$D1592</f>
        <v/>
      </c>
      <c r="BA1592" s="42">
        <f>SHADOWGJ(INDEX(BA$297:BA$313,$E1592),$D1592)</f>
        <v/>
      </c>
    </row>
    <row r="1593" hidden="1" outlineLevel="2"/>
    <row r="1594" hidden="1" outlineLevel="2">
      <c r="A1594" s="14" t="inlineStr">
        <is>
          <t>ener</t>
        </is>
      </c>
      <c r="B1594" s="14" t="inlineStr">
        <is>
          <t>coa</t>
        </is>
      </c>
      <c r="C1594" s="14" t="inlineStr">
        <is>
          <t>res</t>
        </is>
      </c>
      <c r="D1594" s="35">
        <f>INDEX(Inputs!$O$5:$O$132,MATCH($B1594&amp;"|"&amp;$C1594,Inputs!$A$5:$A$132,0))</f>
        <v/>
      </c>
      <c r="E1594" s="35">
        <f>INDEX(Inputs!$P$5:$P$132,MATCH($B1594&amp;"|"&amp;$C1594,Inputs!$A$5:$A$132,0))</f>
        <v/>
      </c>
      <c r="F1594" s="35">
        <f>INDEX(Inputs!$T$5:$T$132,MATCH($B1594&amp;"|"&amp;$C1594,Inputs!$A$5:$A$132,0))</f>
        <v/>
      </c>
      <c r="G1594" s="35">
        <f>INDEX(Inputs!$S$5:$S$132,MATCH($B1594&amp;"|"&amp;$C1594,Inputs!$A$5:$A$132,0))</f>
        <v/>
      </c>
      <c r="H1594" s="14">
        <f>INDEX(VarLab,MATCH($A1594,VarKey,0))&amp;INDEX(MemLab,MATCH($C1594&amp;"|"&amp;$B1594,MemKey,0))</f>
        <v/>
      </c>
      <c r="I1594" s="14">
        <f>INDEX(VarUnit,MATCH($A1594,VarKey,0))</f>
        <v/>
      </c>
      <c r="J1594" s="14">
        <f>INDEX(VarSrc,MATCH($A1594,VarKey,0))</f>
        <v/>
      </c>
      <c r="K1594" s="11">
        <f>CodePrefix&amp;$A1594&amp;IF($C1594="","","."&amp;$C1594&amp;"."&amp;$B1594)&amp;INDEX(VarEnd,MATCH($A1594,VarKey,0))&amp;K$5</f>
        <v/>
      </c>
      <c r="L1594" s="43">
        <f>INDEX(Inputs!$X$5:$X$132,MATCH($B1594&amp;"|"&amp;$C1594,Inputs!$A$5:$A$132,0))</f>
        <v/>
      </c>
      <c r="M1594" s="44">
        <f>L1594*$G1594*(1+M$7)^$D1594*(M1576/L1576)^$E1594*((M1576+M1585)/(L1576+L1585))^$F1594</f>
        <v/>
      </c>
      <c r="N1594" s="44">
        <f>M1594*$G1594*(1+N$7)^$D1594*(N1576/M1576)^$E1594*((N1576+N1585)/(M1576+M1585))^$F1594</f>
        <v/>
      </c>
      <c r="O1594" s="44">
        <f>N1594*$G1594*(1+O$7)^$D1594*(O1576/N1576)^$E1594*((O1576+O1585)/(N1576+N1585))^$F1594</f>
        <v/>
      </c>
      <c r="P1594" s="44">
        <f>O1594*$G1594*(1+P$7)^$D1594*(P1576/O1576)^$E1594*((P1576+P1585)/(O1576+O1585))^$F1594</f>
        <v/>
      </c>
      <c r="Q1594" s="44">
        <f>P1594*$G1594*(1+Q$7)^$D1594*(Q1576/P1576)^$E1594*((Q1576+Q1585)/(P1576+P1585))^$F1594</f>
        <v/>
      </c>
      <c r="R1594" s="44">
        <f>Q1594*$G1594*(1+R$7)^$D1594*(R1576/Q1576)^$E1594*((R1576+R1585)/(Q1576+Q1585))^$F1594</f>
        <v/>
      </c>
      <c r="S1594" s="44">
        <f>R1594*$G1594*(1+S$7)^$D1594*(S1576/R1576)^$E1594*((S1576+S1585)/(R1576+R1585))^$F1594</f>
        <v/>
      </c>
      <c r="T1594" s="44">
        <f>S1594*$G1594*(1+T$7)^$D1594*(T1576/S1576)^$E1594*((T1576+T1585)/(S1576+S1585))^$F1594</f>
        <v/>
      </c>
      <c r="U1594" s="44">
        <f>T1594*$G1594*(1+U$7)^$D1594*(U1576/T1576)^$E1594*((U1576+U1585)/(T1576+T1585))^$F1594</f>
        <v/>
      </c>
      <c r="V1594" s="44">
        <f>U1594*$G1594*(1+V$7)^$D1594*(V1576/U1576)^$E1594*((V1576+V1585)/(U1576+U1585))^$F1594</f>
        <v/>
      </c>
      <c r="W1594" s="44">
        <f>V1594*$G1594*(1+W$7)^$D1594*(W1576/V1576)^$E1594*((W1576+W1585)/(V1576+V1585))^$F1594</f>
        <v/>
      </c>
      <c r="X1594" s="44">
        <f>W1594*$G1594*(1+X$7)^$D1594*(X1576/W1576)^$E1594*((X1576+X1585)/(W1576+W1585))^$F1594</f>
        <v/>
      </c>
      <c r="Y1594" s="44">
        <f>X1594*$G1594*(1+Y$7)^$D1594*(Y1576/X1576)^$E1594*((Y1576+Y1585)/(X1576+X1585))^$F1594</f>
        <v/>
      </c>
      <c r="Z1594" s="44">
        <f>Y1594*$G1594*(1+Z$7)^$D1594*(Z1576/Y1576)^$E1594*((Z1576+Z1585)/(Y1576+Y1585))^$F1594</f>
        <v/>
      </c>
      <c r="AA1594" s="44">
        <f>Z1594*$G1594*(1+AA$7)^$D1594*(AA1576/Z1576)^$E1594*((AA1576+AA1585)/(Z1576+Z1585))^$F1594</f>
        <v/>
      </c>
      <c r="AB1594" s="44">
        <f>AA1594*$G1594*(1+AB$7)^$D1594*(AB1576/AA1576)^$E1594*((AB1576+AB1585)/(AA1576+AA1585))^$F1594</f>
        <v/>
      </c>
      <c r="AC1594" s="44">
        <f>AB1594*$G1594*(1+AC$7)^$D1594*(AC1576/AB1576)^$E1594*((AC1576+AC1585)/(AB1576+AB1585))^$F1594</f>
        <v/>
      </c>
      <c r="AD1594" s="44">
        <f>AC1594*$G1594*(1+AD$7)^$D1594*(AD1576/AC1576)^$E1594*((AD1576+AD1585)/(AC1576+AC1585))^$F1594</f>
        <v/>
      </c>
      <c r="AE1594" s="57">
        <f>FUELUSE(AD1594,AE1576,AD1576,AE1585,AD1585,AE$7,$D1594,$E1594,$F1594,$G1594)</f>
        <v/>
      </c>
      <c r="AG1594" s="11">
        <f>CodePrefix&amp;$A1594&amp;IF($C1594="","","."&amp;$C1594&amp;"."&amp;$B1594)&amp;INDEX(VarEnd,MATCH($A1594,VarKey,0))&amp;AG$5</f>
        <v/>
      </c>
      <c r="AH1594" s="43">
        <f>INDEX(Inputs!$X$5:$X$132,MATCH($B1594&amp;"|"&amp;$C1594,Inputs!$A$5:$A$132,0))</f>
        <v/>
      </c>
      <c r="AI1594" s="44">
        <f>AH1594*$G1594*(1+AI$7)^$D1594*(AI1576/AH1576)^$E1594*((AI1576+AI1585)/(AH1576+AH1585))^$F1594</f>
        <v/>
      </c>
      <c r="AJ1594" s="44">
        <f>AI1594*$G1594*(1+AJ$7)^$D1594*(AJ1576/AI1576)^$E1594*((AJ1576+AJ1585)/(AI1576+AI1585))^$F1594</f>
        <v/>
      </c>
      <c r="AK1594" s="44">
        <f>AJ1594*$G1594*(1+AK$7)^$D1594*(AK1576/AJ1576)^$E1594*((AK1576+AK1585)/(AJ1576+AJ1585))^$F1594</f>
        <v/>
      </c>
      <c r="AL1594" s="44">
        <f>AK1594*$G1594*(1+AL$7)^$D1594*(AL1576/AK1576)^$E1594*((AL1576+AL1585)/(AK1576+AK1585))^$F1594</f>
        <v/>
      </c>
      <c r="AM1594" s="44">
        <f>AL1594*$G1594*(1+AM$7)^$D1594*(AM1576/AL1576)^$E1594*((AM1576+AM1585)/(AL1576+AL1585))^$F1594</f>
        <v/>
      </c>
      <c r="AN1594" s="44">
        <f>AM1594*$G1594*(1+AN$7)^$D1594*(AN1576/AM1576)^$E1594*((AN1576+AN1585)/(AM1576+AM1585))^$F1594</f>
        <v/>
      </c>
      <c r="AO1594" s="44">
        <f>AN1594*$G1594*(1+AO$7)^$D1594*(AO1576/AN1576)^$E1594*((AO1576+AO1585)/(AN1576+AN1585))^$F1594</f>
        <v/>
      </c>
      <c r="AP1594" s="44">
        <f>AO1594*$G1594*(1+AP$7)^$D1594*(AP1576/AO1576)^$E1594*((AP1576+AP1585)/(AO1576+AO1585))^$F1594</f>
        <v/>
      </c>
      <c r="AQ1594" s="44">
        <f>AP1594*$G1594*(1+AQ$7)^$D1594*(AQ1576/AP1576)^$E1594*((AQ1576+AQ1585)/(AP1576+AP1585))^$F1594</f>
        <v/>
      </c>
      <c r="AR1594" s="44">
        <f>AQ1594*$G1594*(1+AR$7)^$D1594*(AR1576/AQ1576)^$E1594*((AR1576+AR1585)/(AQ1576+AQ1585))^$F1594</f>
        <v/>
      </c>
      <c r="AS1594" s="44">
        <f>AR1594*$G1594*(1+AS$7)^$D1594*(AS1576/AR1576)^$E1594*((AS1576+AS1585)/(AR1576+AR1585))^$F1594</f>
        <v/>
      </c>
      <c r="AT1594" s="44">
        <f>AS1594*$G1594*(1+AT$7)^$D1594*(AT1576/AS1576)^$E1594*((AT1576+AT1585)/(AS1576+AS1585))^$F1594</f>
        <v/>
      </c>
      <c r="AU1594" s="44">
        <f>AT1594*$G1594*(1+AU$7)^$D1594*(AU1576/AT1576)^$E1594*((AU1576+AU1585)/(AT1576+AT1585))^$F1594</f>
        <v/>
      </c>
      <c r="AV1594" s="44">
        <f>AU1594*$G1594*(1+AV$7)^$D1594*(AV1576/AU1576)^$E1594*((AV1576+AV1585)/(AU1576+AU1585))^$F1594</f>
        <v/>
      </c>
      <c r="AW1594" s="44">
        <f>AV1594*$G1594*(1+AW$7)^$D1594*(AW1576/AV1576)^$E1594*((AW1576+AW1585)/(AV1576+AV1585))^$F1594</f>
        <v/>
      </c>
      <c r="AX1594" s="44">
        <f>AW1594*$G1594*(1+AX$7)^$D1594*(AX1576/AW1576)^$E1594*((AX1576+AX1585)/(AW1576+AW1585))^$F1594</f>
        <v/>
      </c>
      <c r="AY1594" s="44">
        <f>AX1594*$G1594*(1+AY$7)^$D1594*(AY1576/AX1576)^$E1594*((AY1576+AY1585)/(AX1576+AX1585))^$F1594</f>
        <v/>
      </c>
      <c r="AZ1594" s="44">
        <f>AY1594*$G1594*(1+AZ$7)^$D1594*(AZ1576/AY1576)^$E1594*((AZ1576+AZ1585)/(AY1576+AY1585))^$F1594</f>
        <v/>
      </c>
      <c r="BA1594" s="57">
        <f>FUELUSE(AZ1594,BA1576,AZ1576,BA1585,AZ1585,BA$7,$D1594,$E1594,$F1594,$G1594)</f>
        <v/>
      </c>
    </row>
    <row r="1595" hidden="1" outlineLevel="2">
      <c r="A1595" s="14" t="inlineStr">
        <is>
          <t>ener</t>
        </is>
      </c>
      <c r="B1595" s="14" t="inlineStr">
        <is>
          <t>nga</t>
        </is>
      </c>
      <c r="C1595" s="14" t="inlineStr">
        <is>
          <t>res</t>
        </is>
      </c>
      <c r="D1595" s="35">
        <f>INDEX(Inputs!$O$5:$O$132,MATCH($B1595&amp;"|"&amp;$C1595,Inputs!$A$5:$A$132,0))</f>
        <v/>
      </c>
      <c r="E1595" s="35">
        <f>INDEX(Inputs!$P$5:$P$132,MATCH($B1595&amp;"|"&amp;$C1595,Inputs!$A$5:$A$132,0))</f>
        <v/>
      </c>
      <c r="F1595" s="35">
        <f>INDEX(Inputs!$T$5:$T$132,MATCH($B1595&amp;"|"&amp;$C1595,Inputs!$A$5:$A$132,0))</f>
        <v/>
      </c>
      <c r="G1595" s="35">
        <f>INDEX(Inputs!$S$5:$S$132,MATCH($B1595&amp;"|"&amp;$C1595,Inputs!$A$5:$A$132,0))</f>
        <v/>
      </c>
      <c r="H1595" s="14">
        <f>INDEX(VarLab,MATCH($A1595,VarKey,0))&amp;INDEX(MemLab,MATCH($C1595&amp;"|"&amp;$B1595,MemKey,0))</f>
        <v/>
      </c>
      <c r="I1595" s="14">
        <f>INDEX(VarUnit,MATCH($A1595,VarKey,0))</f>
        <v/>
      </c>
      <c r="J1595" s="14">
        <f>INDEX(VarSrc,MATCH($A1595,VarKey,0))</f>
        <v/>
      </c>
      <c r="K1595" s="11">
        <f>CodePrefix&amp;$A1595&amp;IF($C1595="","","."&amp;$C1595&amp;"."&amp;$B1595)&amp;INDEX(VarEnd,MATCH($A1595,VarKey,0))&amp;K$5</f>
        <v/>
      </c>
      <c r="L1595" s="43">
        <f>INDEX(Inputs!$X$5:$X$132,MATCH($B1595&amp;"|"&amp;$C1595,Inputs!$A$5:$A$132,0))</f>
        <v/>
      </c>
      <c r="M1595" s="44">
        <f>L1595*$G1595*(1+M$7)^$D1595*(M1577/L1577)^$E1595*((M1577+M1586)/(L1577+L1586))^$F1595</f>
        <v/>
      </c>
      <c r="N1595" s="44">
        <f>M1595*$G1595*(1+N$7)^$D1595*(N1577/M1577)^$E1595*((N1577+N1586)/(M1577+M1586))^$F1595</f>
        <v/>
      </c>
      <c r="O1595" s="44">
        <f>N1595*$G1595*(1+O$7)^$D1595*(O1577/N1577)^$E1595*((O1577+O1586)/(N1577+N1586))^$F1595</f>
        <v/>
      </c>
      <c r="P1595" s="44">
        <f>O1595*$G1595*(1+P$7)^$D1595*(P1577/O1577)^$E1595*((P1577+P1586)/(O1577+O1586))^$F1595</f>
        <v/>
      </c>
      <c r="Q1595" s="44">
        <f>P1595*$G1595*(1+Q$7)^$D1595*(Q1577/P1577)^$E1595*((Q1577+Q1586)/(P1577+P1586))^$F1595</f>
        <v/>
      </c>
      <c r="R1595" s="44">
        <f>Q1595*$G1595*(1+R$7)^$D1595*(R1577/Q1577)^$E1595*((R1577+R1586)/(Q1577+Q1586))^$F1595</f>
        <v/>
      </c>
      <c r="S1595" s="44">
        <f>R1595*$G1595*(1+S$7)^$D1595*(S1577/R1577)^$E1595*((S1577+S1586)/(R1577+R1586))^$F1595</f>
        <v/>
      </c>
      <c r="T1595" s="44">
        <f>S1595*$G1595*(1+T$7)^$D1595*(T1577/S1577)^$E1595*((T1577+T1586)/(S1577+S1586))^$F1595</f>
        <v/>
      </c>
      <c r="U1595" s="44">
        <f>T1595*$G1595*(1+U$7)^$D1595*(U1577/T1577)^$E1595*((U1577+U1586)/(T1577+T1586))^$F1595</f>
        <v/>
      </c>
      <c r="V1595" s="44">
        <f>U1595*$G1595*(1+V$7)^$D1595*(V1577/U1577)^$E1595*((V1577+V1586)/(U1577+U1586))^$F1595</f>
        <v/>
      </c>
      <c r="W1595" s="44">
        <f>V1595*$G1595*(1+W$7)^$D1595*(W1577/V1577)^$E1595*((W1577+W1586)/(V1577+V1586))^$F1595</f>
        <v/>
      </c>
      <c r="X1595" s="44">
        <f>W1595*$G1595*(1+X$7)^$D1595*(X1577/W1577)^$E1595*((X1577+X1586)/(W1577+W1586))^$F1595</f>
        <v/>
      </c>
      <c r="Y1595" s="44">
        <f>X1595*$G1595*(1+Y$7)^$D1595*(Y1577/X1577)^$E1595*((Y1577+Y1586)/(X1577+X1586))^$F1595</f>
        <v/>
      </c>
      <c r="Z1595" s="44">
        <f>Y1595*$G1595*(1+Z$7)^$D1595*(Z1577/Y1577)^$E1595*((Z1577+Z1586)/(Y1577+Y1586))^$F1595</f>
        <v/>
      </c>
      <c r="AA1595" s="44">
        <f>Z1595*$G1595*(1+AA$7)^$D1595*(AA1577/Z1577)^$E1595*((AA1577+AA1586)/(Z1577+Z1586))^$F1595</f>
        <v/>
      </c>
      <c r="AB1595" s="44">
        <f>AA1595*$G1595*(1+AB$7)^$D1595*(AB1577/AA1577)^$E1595*((AB1577+AB1586)/(AA1577+AA1586))^$F1595</f>
        <v/>
      </c>
      <c r="AC1595" s="44">
        <f>AB1595*$G1595*(1+AC$7)^$D1595*(AC1577/AB1577)^$E1595*((AC1577+AC1586)/(AB1577+AB1586))^$F1595</f>
        <v/>
      </c>
      <c r="AD1595" s="44">
        <f>AC1595*$G1595*(1+AD$7)^$D1595*(AD1577/AC1577)^$E1595*((AD1577+AD1586)/(AC1577+AC1586))^$F1595</f>
        <v/>
      </c>
      <c r="AE1595" s="57">
        <f>FUELUSE(AD1595,AE1577,AD1577,AE1586,AD1586,AE$7,$D1595,$E1595,$F1595,$G1595)</f>
        <v/>
      </c>
      <c r="AG1595" s="11">
        <f>CodePrefix&amp;$A1595&amp;IF($C1595="","","."&amp;$C1595&amp;"."&amp;$B1595)&amp;INDEX(VarEnd,MATCH($A1595,VarKey,0))&amp;AG$5</f>
        <v/>
      </c>
      <c r="AH1595" s="43">
        <f>INDEX(Inputs!$X$5:$X$132,MATCH($B1595&amp;"|"&amp;$C1595,Inputs!$A$5:$A$132,0))</f>
        <v/>
      </c>
      <c r="AI1595" s="44">
        <f>AH1595*$G1595*(1+AI$7)^$D1595*(AI1577/AH1577)^$E1595*((AI1577+AI1586)/(AH1577+AH1586))^$F1595</f>
        <v/>
      </c>
      <c r="AJ1595" s="44">
        <f>AI1595*$G1595*(1+AJ$7)^$D1595*(AJ1577/AI1577)^$E1595*((AJ1577+AJ1586)/(AI1577+AI1586))^$F1595</f>
        <v/>
      </c>
      <c r="AK1595" s="44">
        <f>AJ1595*$G1595*(1+AK$7)^$D1595*(AK1577/AJ1577)^$E1595*((AK1577+AK1586)/(AJ1577+AJ1586))^$F1595</f>
        <v/>
      </c>
      <c r="AL1595" s="44">
        <f>AK1595*$G1595*(1+AL$7)^$D1595*(AL1577/AK1577)^$E1595*((AL1577+AL1586)/(AK1577+AK1586))^$F1595</f>
        <v/>
      </c>
      <c r="AM1595" s="44">
        <f>AL1595*$G1595*(1+AM$7)^$D1595*(AM1577/AL1577)^$E1595*((AM1577+AM1586)/(AL1577+AL1586))^$F1595</f>
        <v/>
      </c>
      <c r="AN1595" s="44">
        <f>AM1595*$G1595*(1+AN$7)^$D1595*(AN1577/AM1577)^$E1595*((AN1577+AN1586)/(AM1577+AM1586))^$F1595</f>
        <v/>
      </c>
      <c r="AO1595" s="44">
        <f>AN1595*$G1595*(1+AO$7)^$D1595*(AO1577/AN1577)^$E1595*((AO1577+AO1586)/(AN1577+AN1586))^$F1595</f>
        <v/>
      </c>
      <c r="AP1595" s="44">
        <f>AO1595*$G1595*(1+AP$7)^$D1595*(AP1577/AO1577)^$E1595*((AP1577+AP1586)/(AO1577+AO1586))^$F1595</f>
        <v/>
      </c>
      <c r="AQ1595" s="44">
        <f>AP1595*$G1595*(1+AQ$7)^$D1595*(AQ1577/AP1577)^$E1595*((AQ1577+AQ1586)/(AP1577+AP1586))^$F1595</f>
        <v/>
      </c>
      <c r="AR1595" s="44">
        <f>AQ1595*$G1595*(1+AR$7)^$D1595*(AR1577/AQ1577)^$E1595*((AR1577+AR1586)/(AQ1577+AQ1586))^$F1595</f>
        <v/>
      </c>
      <c r="AS1595" s="44">
        <f>AR1595*$G1595*(1+AS$7)^$D1595*(AS1577/AR1577)^$E1595*((AS1577+AS1586)/(AR1577+AR1586))^$F1595</f>
        <v/>
      </c>
      <c r="AT1595" s="44">
        <f>AS1595*$G1595*(1+AT$7)^$D1595*(AT1577/AS1577)^$E1595*((AT1577+AT1586)/(AS1577+AS1586))^$F1595</f>
        <v/>
      </c>
      <c r="AU1595" s="44">
        <f>AT1595*$G1595*(1+AU$7)^$D1595*(AU1577/AT1577)^$E1595*((AU1577+AU1586)/(AT1577+AT1586))^$F1595</f>
        <v/>
      </c>
      <c r="AV1595" s="44">
        <f>AU1595*$G1595*(1+AV$7)^$D1595*(AV1577/AU1577)^$E1595*((AV1577+AV1586)/(AU1577+AU1586))^$F1595</f>
        <v/>
      </c>
      <c r="AW1595" s="44">
        <f>AV1595*$G1595*(1+AW$7)^$D1595*(AW1577/AV1577)^$E1595*((AW1577+AW1586)/(AV1577+AV1586))^$F1595</f>
        <v/>
      </c>
      <c r="AX1595" s="44">
        <f>AW1595*$G1595*(1+AX$7)^$D1595*(AX1577/AW1577)^$E1595*((AX1577+AX1586)/(AW1577+AW1586))^$F1595</f>
        <v/>
      </c>
      <c r="AY1595" s="44">
        <f>AX1595*$G1595*(1+AY$7)^$D1595*(AY1577/AX1577)^$E1595*((AY1577+AY1586)/(AX1577+AX1586))^$F1595</f>
        <v/>
      </c>
      <c r="AZ1595" s="44">
        <f>AY1595*$G1595*(1+AZ$7)^$D1595*(AZ1577/AY1577)^$E1595*((AZ1577+AZ1586)/(AY1577+AY1586))^$F1595</f>
        <v/>
      </c>
      <c r="BA1595" s="57">
        <f>FUELUSE(AZ1595,BA1577,AZ1577,BA1586,AZ1586,BA$7,$D1595,$E1595,$F1595,$G1595)</f>
        <v/>
      </c>
    </row>
    <row r="1596" hidden="1" outlineLevel="2">
      <c r="A1596" s="14" t="inlineStr">
        <is>
          <t>ener</t>
        </is>
      </c>
      <c r="B1596" s="14" t="inlineStr">
        <is>
          <t>gso</t>
        </is>
      </c>
      <c r="C1596" s="14" t="inlineStr">
        <is>
          <t>res</t>
        </is>
      </c>
      <c r="D1596" s="35">
        <f>INDEX(Inputs!$O$5:$O$132,MATCH($B1596&amp;"|"&amp;$C1596,Inputs!$A$5:$A$132,0))</f>
        <v/>
      </c>
      <c r="E1596" s="35">
        <f>INDEX(Inputs!$P$5:$P$132,MATCH($B1596&amp;"|"&amp;$C1596,Inputs!$A$5:$A$132,0))</f>
        <v/>
      </c>
      <c r="F1596" s="35">
        <f>INDEX(Inputs!$T$5:$T$132,MATCH($B1596&amp;"|"&amp;$C1596,Inputs!$A$5:$A$132,0))</f>
        <v/>
      </c>
      <c r="G1596" s="35">
        <f>INDEX(Inputs!$S$5:$S$132,MATCH($B1596&amp;"|"&amp;$C1596,Inputs!$A$5:$A$132,0))</f>
        <v/>
      </c>
      <c r="H1596" s="14">
        <f>INDEX(VarLab,MATCH($A1596,VarKey,0))&amp;INDEX(MemLab,MATCH($C1596&amp;"|"&amp;$B1596,MemKey,0))</f>
        <v/>
      </c>
      <c r="I1596" s="14">
        <f>INDEX(VarUnit,MATCH($A1596,VarKey,0))</f>
        <v/>
      </c>
      <c r="J1596" s="14">
        <f>INDEX(VarSrc,MATCH($A1596,VarKey,0))</f>
        <v/>
      </c>
      <c r="K1596" s="11">
        <f>CodePrefix&amp;$A1596&amp;IF($C1596="","","."&amp;$C1596&amp;"."&amp;$B1596)&amp;INDEX(VarEnd,MATCH($A1596,VarKey,0))&amp;K$5</f>
        <v/>
      </c>
      <c r="L1596" s="43">
        <f>INDEX(Inputs!$X$5:$X$132,MATCH($B1596&amp;"|"&amp;$C1596,Inputs!$A$5:$A$132,0))</f>
        <v/>
      </c>
      <c r="M1596" s="44">
        <f>L1596*$G1596*(1+M$7)^$D1596*(M1578/L1578)^$E1596*((M1578+M1587)/(L1578+L1587))^$F1596</f>
        <v/>
      </c>
      <c r="N1596" s="44">
        <f>M1596*$G1596*(1+N$7)^$D1596*(N1578/M1578)^$E1596*((N1578+N1587)/(M1578+M1587))^$F1596</f>
        <v/>
      </c>
      <c r="O1596" s="44">
        <f>N1596*$G1596*(1+O$7)^$D1596*(O1578/N1578)^$E1596*((O1578+O1587)/(N1578+N1587))^$F1596</f>
        <v/>
      </c>
      <c r="P1596" s="44">
        <f>O1596*$G1596*(1+P$7)^$D1596*(P1578/O1578)^$E1596*((P1578+P1587)/(O1578+O1587))^$F1596</f>
        <v/>
      </c>
      <c r="Q1596" s="44">
        <f>P1596*$G1596*(1+Q$7)^$D1596*(Q1578/P1578)^$E1596*((Q1578+Q1587)/(P1578+P1587))^$F1596</f>
        <v/>
      </c>
      <c r="R1596" s="44">
        <f>Q1596*$G1596*(1+R$7)^$D1596*(R1578/Q1578)^$E1596*((R1578+R1587)/(Q1578+Q1587))^$F1596</f>
        <v/>
      </c>
      <c r="S1596" s="44">
        <f>R1596*$G1596*(1+S$7)^$D1596*(S1578/R1578)^$E1596*((S1578+S1587)/(R1578+R1587))^$F1596</f>
        <v/>
      </c>
      <c r="T1596" s="44">
        <f>S1596*$G1596*(1+T$7)^$D1596*(T1578/S1578)^$E1596*((T1578+T1587)/(S1578+S1587))^$F1596</f>
        <v/>
      </c>
      <c r="U1596" s="44">
        <f>T1596*$G1596*(1+U$7)^$D1596*(U1578/T1578)^$E1596*((U1578+U1587)/(T1578+T1587))^$F1596</f>
        <v/>
      </c>
      <c r="V1596" s="44">
        <f>U1596*$G1596*(1+V$7)^$D1596*(V1578/U1578)^$E1596*((V1578+V1587)/(U1578+U1587))^$F1596</f>
        <v/>
      </c>
      <c r="W1596" s="44">
        <f>V1596*$G1596*(1+W$7)^$D1596*(W1578/V1578)^$E1596*((W1578+W1587)/(V1578+V1587))^$F1596</f>
        <v/>
      </c>
      <c r="X1596" s="44">
        <f>W1596*$G1596*(1+X$7)^$D1596*(X1578/W1578)^$E1596*((X1578+X1587)/(W1578+W1587))^$F1596</f>
        <v/>
      </c>
      <c r="Y1596" s="44">
        <f>X1596*$G1596*(1+Y$7)^$D1596*(Y1578/X1578)^$E1596*((Y1578+Y1587)/(X1578+X1587))^$F1596</f>
        <v/>
      </c>
      <c r="Z1596" s="44">
        <f>Y1596*$G1596*(1+Z$7)^$D1596*(Z1578/Y1578)^$E1596*((Z1578+Z1587)/(Y1578+Y1587))^$F1596</f>
        <v/>
      </c>
      <c r="AA1596" s="44">
        <f>Z1596*$G1596*(1+AA$7)^$D1596*(AA1578/Z1578)^$E1596*((AA1578+AA1587)/(Z1578+Z1587))^$F1596</f>
        <v/>
      </c>
      <c r="AB1596" s="44">
        <f>AA1596*$G1596*(1+AB$7)^$D1596*(AB1578/AA1578)^$E1596*((AB1578+AB1587)/(AA1578+AA1587))^$F1596</f>
        <v/>
      </c>
      <c r="AC1596" s="44">
        <f>AB1596*$G1596*(1+AC$7)^$D1596*(AC1578/AB1578)^$E1596*((AC1578+AC1587)/(AB1578+AB1587))^$F1596</f>
        <v/>
      </c>
      <c r="AD1596" s="44">
        <f>AC1596*$G1596*(1+AD$7)^$D1596*(AD1578/AC1578)^$E1596*((AD1578+AD1587)/(AC1578+AC1587))^$F1596</f>
        <v/>
      </c>
      <c r="AE1596" s="57">
        <f>FUELUSE(AD1596,AE1578,AD1578,AE1587,AD1587,AE$7,$D1596,$E1596,$F1596,$G1596)</f>
        <v/>
      </c>
      <c r="AG1596" s="11">
        <f>CodePrefix&amp;$A1596&amp;IF($C1596="","","."&amp;$C1596&amp;"."&amp;$B1596)&amp;INDEX(VarEnd,MATCH($A1596,VarKey,0))&amp;AG$5</f>
        <v/>
      </c>
      <c r="AH1596" s="43">
        <f>INDEX(Inputs!$X$5:$X$132,MATCH($B1596&amp;"|"&amp;$C1596,Inputs!$A$5:$A$132,0))</f>
        <v/>
      </c>
      <c r="AI1596" s="44">
        <f>AH1596*$G1596*(1+AI$7)^$D1596*(AI1578/AH1578)^$E1596*((AI1578+AI1587)/(AH1578+AH1587))^$F1596</f>
        <v/>
      </c>
      <c r="AJ1596" s="44">
        <f>AI1596*$G1596*(1+AJ$7)^$D1596*(AJ1578/AI1578)^$E1596*((AJ1578+AJ1587)/(AI1578+AI1587))^$F1596</f>
        <v/>
      </c>
      <c r="AK1596" s="44">
        <f>AJ1596*$G1596*(1+AK$7)^$D1596*(AK1578/AJ1578)^$E1596*((AK1578+AK1587)/(AJ1578+AJ1587))^$F1596</f>
        <v/>
      </c>
      <c r="AL1596" s="44">
        <f>AK1596*$G1596*(1+AL$7)^$D1596*(AL1578/AK1578)^$E1596*((AL1578+AL1587)/(AK1578+AK1587))^$F1596</f>
        <v/>
      </c>
      <c r="AM1596" s="44">
        <f>AL1596*$G1596*(1+AM$7)^$D1596*(AM1578/AL1578)^$E1596*((AM1578+AM1587)/(AL1578+AL1587))^$F1596</f>
        <v/>
      </c>
      <c r="AN1596" s="44">
        <f>AM1596*$G1596*(1+AN$7)^$D1596*(AN1578/AM1578)^$E1596*((AN1578+AN1587)/(AM1578+AM1587))^$F1596</f>
        <v/>
      </c>
      <c r="AO1596" s="44">
        <f>AN1596*$G1596*(1+AO$7)^$D1596*(AO1578/AN1578)^$E1596*((AO1578+AO1587)/(AN1578+AN1587))^$F1596</f>
        <v/>
      </c>
      <c r="AP1596" s="44">
        <f>AO1596*$G1596*(1+AP$7)^$D1596*(AP1578/AO1578)^$E1596*((AP1578+AP1587)/(AO1578+AO1587))^$F1596</f>
        <v/>
      </c>
      <c r="AQ1596" s="44">
        <f>AP1596*$G1596*(1+AQ$7)^$D1596*(AQ1578/AP1578)^$E1596*((AQ1578+AQ1587)/(AP1578+AP1587))^$F1596</f>
        <v/>
      </c>
      <c r="AR1596" s="44">
        <f>AQ1596*$G1596*(1+AR$7)^$D1596*(AR1578/AQ1578)^$E1596*((AR1578+AR1587)/(AQ1578+AQ1587))^$F1596</f>
        <v/>
      </c>
      <c r="AS1596" s="44">
        <f>AR1596*$G1596*(1+AS$7)^$D1596*(AS1578/AR1578)^$E1596*((AS1578+AS1587)/(AR1578+AR1587))^$F1596</f>
        <v/>
      </c>
      <c r="AT1596" s="44">
        <f>AS1596*$G1596*(1+AT$7)^$D1596*(AT1578/AS1578)^$E1596*((AT1578+AT1587)/(AS1578+AS1587))^$F1596</f>
        <v/>
      </c>
      <c r="AU1596" s="44">
        <f>AT1596*$G1596*(1+AU$7)^$D1596*(AU1578/AT1578)^$E1596*((AU1578+AU1587)/(AT1578+AT1587))^$F1596</f>
        <v/>
      </c>
      <c r="AV1596" s="44">
        <f>AU1596*$G1596*(1+AV$7)^$D1596*(AV1578/AU1578)^$E1596*((AV1578+AV1587)/(AU1578+AU1587))^$F1596</f>
        <v/>
      </c>
      <c r="AW1596" s="44">
        <f>AV1596*$G1596*(1+AW$7)^$D1596*(AW1578/AV1578)^$E1596*((AW1578+AW1587)/(AV1578+AV1587))^$F1596</f>
        <v/>
      </c>
      <c r="AX1596" s="44">
        <f>AW1596*$G1596*(1+AX$7)^$D1596*(AX1578/AW1578)^$E1596*((AX1578+AX1587)/(AW1578+AW1587))^$F1596</f>
        <v/>
      </c>
      <c r="AY1596" s="44">
        <f>AX1596*$G1596*(1+AY$7)^$D1596*(AY1578/AX1578)^$E1596*((AY1578+AY1587)/(AX1578+AX1587))^$F1596</f>
        <v/>
      </c>
      <c r="AZ1596" s="44">
        <f>AY1596*$G1596*(1+AZ$7)^$D1596*(AZ1578/AY1578)^$E1596*((AZ1578+AZ1587)/(AY1578+AY1587))^$F1596</f>
        <v/>
      </c>
      <c r="BA1596" s="57">
        <f>FUELUSE(AZ1596,BA1578,AZ1578,BA1587,AZ1587,BA$7,$D1596,$E1596,$F1596,$G1596)</f>
        <v/>
      </c>
    </row>
    <row r="1597" hidden="1" outlineLevel="2">
      <c r="A1597" s="14" t="inlineStr">
        <is>
          <t>ener</t>
        </is>
      </c>
      <c r="B1597" s="14" t="inlineStr">
        <is>
          <t>die</t>
        </is>
      </c>
      <c r="C1597" s="14" t="inlineStr">
        <is>
          <t>res</t>
        </is>
      </c>
      <c r="D1597" s="35">
        <f>INDEX(Inputs!$O$5:$O$132,MATCH($B1597&amp;"|"&amp;$C1597,Inputs!$A$5:$A$132,0))</f>
        <v/>
      </c>
      <c r="E1597" s="35">
        <f>INDEX(Inputs!$P$5:$P$132,MATCH($B1597&amp;"|"&amp;$C1597,Inputs!$A$5:$A$132,0))</f>
        <v/>
      </c>
      <c r="F1597" s="35">
        <f>INDEX(Inputs!$T$5:$T$132,MATCH($B1597&amp;"|"&amp;$C1597,Inputs!$A$5:$A$132,0))</f>
        <v/>
      </c>
      <c r="G1597" s="35">
        <f>INDEX(Inputs!$S$5:$S$132,MATCH($B1597&amp;"|"&amp;$C1597,Inputs!$A$5:$A$132,0))</f>
        <v/>
      </c>
      <c r="H1597" s="14">
        <f>INDEX(VarLab,MATCH($A1597,VarKey,0))&amp;INDEX(MemLab,MATCH($C1597&amp;"|"&amp;$B1597,MemKey,0))</f>
        <v/>
      </c>
      <c r="I1597" s="14">
        <f>INDEX(VarUnit,MATCH($A1597,VarKey,0))</f>
        <v/>
      </c>
      <c r="J1597" s="14">
        <f>INDEX(VarSrc,MATCH($A1597,VarKey,0))</f>
        <v/>
      </c>
      <c r="K1597" s="11">
        <f>CodePrefix&amp;$A1597&amp;IF($C1597="","","."&amp;$C1597&amp;"."&amp;$B1597)&amp;INDEX(VarEnd,MATCH($A1597,VarKey,0))&amp;K$5</f>
        <v/>
      </c>
      <c r="L1597" s="43">
        <f>INDEX(Inputs!$X$5:$X$132,MATCH($B1597&amp;"|"&amp;$C1597,Inputs!$A$5:$A$132,0))</f>
        <v/>
      </c>
      <c r="M1597" s="44">
        <f>L1597*$G1597*(1+M$7)^$D1597*(M1579/L1579)^$E1597*((M1579+M1588)/(L1579+L1588))^$F1597</f>
        <v/>
      </c>
      <c r="N1597" s="44">
        <f>M1597*$G1597*(1+N$7)^$D1597*(N1579/M1579)^$E1597*((N1579+N1588)/(M1579+M1588))^$F1597</f>
        <v/>
      </c>
      <c r="O1597" s="44">
        <f>N1597*$G1597*(1+O$7)^$D1597*(O1579/N1579)^$E1597*((O1579+O1588)/(N1579+N1588))^$F1597</f>
        <v/>
      </c>
      <c r="P1597" s="44">
        <f>O1597*$G1597*(1+P$7)^$D1597*(P1579/O1579)^$E1597*((P1579+P1588)/(O1579+O1588))^$F1597</f>
        <v/>
      </c>
      <c r="Q1597" s="44">
        <f>P1597*$G1597*(1+Q$7)^$D1597*(Q1579/P1579)^$E1597*((Q1579+Q1588)/(P1579+P1588))^$F1597</f>
        <v/>
      </c>
      <c r="R1597" s="44">
        <f>Q1597*$G1597*(1+R$7)^$D1597*(R1579/Q1579)^$E1597*((R1579+R1588)/(Q1579+Q1588))^$F1597</f>
        <v/>
      </c>
      <c r="S1597" s="44">
        <f>R1597*$G1597*(1+S$7)^$D1597*(S1579/R1579)^$E1597*((S1579+S1588)/(R1579+R1588))^$F1597</f>
        <v/>
      </c>
      <c r="T1597" s="44">
        <f>S1597*$G1597*(1+T$7)^$D1597*(T1579/S1579)^$E1597*((T1579+T1588)/(S1579+S1588))^$F1597</f>
        <v/>
      </c>
      <c r="U1597" s="44">
        <f>T1597*$G1597*(1+U$7)^$D1597*(U1579/T1579)^$E1597*((U1579+U1588)/(T1579+T1588))^$F1597</f>
        <v/>
      </c>
      <c r="V1597" s="44">
        <f>U1597*$G1597*(1+V$7)^$D1597*(V1579/U1579)^$E1597*((V1579+V1588)/(U1579+U1588))^$F1597</f>
        <v/>
      </c>
      <c r="W1597" s="44">
        <f>V1597*$G1597*(1+W$7)^$D1597*(W1579/V1579)^$E1597*((W1579+W1588)/(V1579+V1588))^$F1597</f>
        <v/>
      </c>
      <c r="X1597" s="44">
        <f>W1597*$G1597*(1+X$7)^$D1597*(X1579/W1579)^$E1597*((X1579+X1588)/(W1579+W1588))^$F1597</f>
        <v/>
      </c>
      <c r="Y1597" s="44">
        <f>X1597*$G1597*(1+Y$7)^$D1597*(Y1579/X1579)^$E1597*((Y1579+Y1588)/(X1579+X1588))^$F1597</f>
        <v/>
      </c>
      <c r="Z1597" s="44">
        <f>Y1597*$G1597*(1+Z$7)^$D1597*(Z1579/Y1579)^$E1597*((Z1579+Z1588)/(Y1579+Y1588))^$F1597</f>
        <v/>
      </c>
      <c r="AA1597" s="44">
        <f>Z1597*$G1597*(1+AA$7)^$D1597*(AA1579/Z1579)^$E1597*((AA1579+AA1588)/(Z1579+Z1588))^$F1597</f>
        <v/>
      </c>
      <c r="AB1597" s="44">
        <f>AA1597*$G1597*(1+AB$7)^$D1597*(AB1579/AA1579)^$E1597*((AB1579+AB1588)/(AA1579+AA1588))^$F1597</f>
        <v/>
      </c>
      <c r="AC1597" s="44">
        <f>AB1597*$G1597*(1+AC$7)^$D1597*(AC1579/AB1579)^$E1597*((AC1579+AC1588)/(AB1579+AB1588))^$F1597</f>
        <v/>
      </c>
      <c r="AD1597" s="44">
        <f>AC1597*$G1597*(1+AD$7)^$D1597*(AD1579/AC1579)^$E1597*((AD1579+AD1588)/(AC1579+AC1588))^$F1597</f>
        <v/>
      </c>
      <c r="AE1597" s="57">
        <f>FUELUSE(AD1597,AE1579,AD1579,AE1588,AD1588,AE$7,$D1597,$E1597,$F1597,$G1597)</f>
        <v/>
      </c>
      <c r="AG1597" s="11">
        <f>CodePrefix&amp;$A1597&amp;IF($C1597="","","."&amp;$C1597&amp;"."&amp;$B1597)&amp;INDEX(VarEnd,MATCH($A1597,VarKey,0))&amp;AG$5</f>
        <v/>
      </c>
      <c r="AH1597" s="43">
        <f>INDEX(Inputs!$X$5:$X$132,MATCH($B1597&amp;"|"&amp;$C1597,Inputs!$A$5:$A$132,0))</f>
        <v/>
      </c>
      <c r="AI1597" s="44">
        <f>AH1597*$G1597*(1+AI$7)^$D1597*(AI1579/AH1579)^$E1597*((AI1579+AI1588)/(AH1579+AH1588))^$F1597</f>
        <v/>
      </c>
      <c r="AJ1597" s="44">
        <f>AI1597*$G1597*(1+AJ$7)^$D1597*(AJ1579/AI1579)^$E1597*((AJ1579+AJ1588)/(AI1579+AI1588))^$F1597</f>
        <v/>
      </c>
      <c r="AK1597" s="44">
        <f>AJ1597*$G1597*(1+AK$7)^$D1597*(AK1579/AJ1579)^$E1597*((AK1579+AK1588)/(AJ1579+AJ1588))^$F1597</f>
        <v/>
      </c>
      <c r="AL1597" s="44">
        <f>AK1597*$G1597*(1+AL$7)^$D1597*(AL1579/AK1579)^$E1597*((AL1579+AL1588)/(AK1579+AK1588))^$F1597</f>
        <v/>
      </c>
      <c r="AM1597" s="44">
        <f>AL1597*$G1597*(1+AM$7)^$D1597*(AM1579/AL1579)^$E1597*((AM1579+AM1588)/(AL1579+AL1588))^$F1597</f>
        <v/>
      </c>
      <c r="AN1597" s="44">
        <f>AM1597*$G1597*(1+AN$7)^$D1597*(AN1579/AM1579)^$E1597*((AN1579+AN1588)/(AM1579+AM1588))^$F1597</f>
        <v/>
      </c>
      <c r="AO1597" s="44">
        <f>AN1597*$G1597*(1+AO$7)^$D1597*(AO1579/AN1579)^$E1597*((AO1579+AO1588)/(AN1579+AN1588))^$F1597</f>
        <v/>
      </c>
      <c r="AP1597" s="44">
        <f>AO1597*$G1597*(1+AP$7)^$D1597*(AP1579/AO1579)^$E1597*((AP1579+AP1588)/(AO1579+AO1588))^$F1597</f>
        <v/>
      </c>
      <c r="AQ1597" s="44">
        <f>AP1597*$G1597*(1+AQ$7)^$D1597*(AQ1579/AP1579)^$E1597*((AQ1579+AQ1588)/(AP1579+AP1588))^$F1597</f>
        <v/>
      </c>
      <c r="AR1597" s="44">
        <f>AQ1597*$G1597*(1+AR$7)^$D1597*(AR1579/AQ1579)^$E1597*((AR1579+AR1588)/(AQ1579+AQ1588))^$F1597</f>
        <v/>
      </c>
      <c r="AS1597" s="44">
        <f>AR1597*$G1597*(1+AS$7)^$D1597*(AS1579/AR1579)^$E1597*((AS1579+AS1588)/(AR1579+AR1588))^$F1597</f>
        <v/>
      </c>
      <c r="AT1597" s="44">
        <f>AS1597*$G1597*(1+AT$7)^$D1597*(AT1579/AS1579)^$E1597*((AT1579+AT1588)/(AS1579+AS1588))^$F1597</f>
        <v/>
      </c>
      <c r="AU1597" s="44">
        <f>AT1597*$G1597*(1+AU$7)^$D1597*(AU1579/AT1579)^$E1597*((AU1579+AU1588)/(AT1579+AT1588))^$F1597</f>
        <v/>
      </c>
      <c r="AV1597" s="44">
        <f>AU1597*$G1597*(1+AV$7)^$D1597*(AV1579/AU1579)^$E1597*((AV1579+AV1588)/(AU1579+AU1588))^$F1597</f>
        <v/>
      </c>
      <c r="AW1597" s="44">
        <f>AV1597*$G1597*(1+AW$7)^$D1597*(AW1579/AV1579)^$E1597*((AW1579+AW1588)/(AV1579+AV1588))^$F1597</f>
        <v/>
      </c>
      <c r="AX1597" s="44">
        <f>AW1597*$G1597*(1+AX$7)^$D1597*(AX1579/AW1579)^$E1597*((AX1579+AX1588)/(AW1579+AW1588))^$F1597</f>
        <v/>
      </c>
      <c r="AY1597" s="44">
        <f>AX1597*$G1597*(1+AY$7)^$D1597*(AY1579/AX1579)^$E1597*((AY1579+AY1588)/(AX1579+AX1588))^$F1597</f>
        <v/>
      </c>
      <c r="AZ1597" s="44">
        <f>AY1597*$G1597*(1+AZ$7)^$D1597*(AZ1579/AY1579)^$E1597*((AZ1579+AZ1588)/(AY1579+AY1588))^$F1597</f>
        <v/>
      </c>
      <c r="BA1597" s="57">
        <f>FUELUSE(AZ1597,BA1579,AZ1579,BA1588,AZ1588,BA$7,$D1597,$E1597,$F1597,$G1597)</f>
        <v/>
      </c>
    </row>
    <row r="1598" hidden="1" outlineLevel="2">
      <c r="A1598" s="14" t="inlineStr">
        <is>
          <t>ener</t>
        </is>
      </c>
      <c r="B1598" s="14" t="inlineStr">
        <is>
          <t>lpg</t>
        </is>
      </c>
      <c r="C1598" s="14" t="inlineStr">
        <is>
          <t>res</t>
        </is>
      </c>
      <c r="D1598" s="35">
        <f>INDEX(Inputs!$O$5:$O$132,MATCH($B1598&amp;"|"&amp;$C1598,Inputs!$A$5:$A$132,0))</f>
        <v/>
      </c>
      <c r="E1598" s="35">
        <f>INDEX(Inputs!$P$5:$P$132,MATCH($B1598&amp;"|"&amp;$C1598,Inputs!$A$5:$A$132,0))</f>
        <v/>
      </c>
      <c r="F1598" s="35">
        <f>INDEX(Inputs!$T$5:$T$132,MATCH($B1598&amp;"|"&amp;$C1598,Inputs!$A$5:$A$132,0))</f>
        <v/>
      </c>
      <c r="G1598" s="35">
        <f>INDEX(Inputs!$S$5:$S$132,MATCH($B1598&amp;"|"&amp;$C1598,Inputs!$A$5:$A$132,0))</f>
        <v/>
      </c>
      <c r="H1598" s="14">
        <f>INDEX(VarLab,MATCH($A1598,VarKey,0))&amp;INDEX(MemLab,MATCH($C1598&amp;"|"&amp;$B1598,MemKey,0))</f>
        <v/>
      </c>
      <c r="I1598" s="14">
        <f>INDEX(VarUnit,MATCH($A1598,VarKey,0))</f>
        <v/>
      </c>
      <c r="J1598" s="14">
        <f>INDEX(VarSrc,MATCH($A1598,VarKey,0))</f>
        <v/>
      </c>
      <c r="K1598" s="11">
        <f>CodePrefix&amp;$A1598&amp;IF($C1598="","","."&amp;$C1598&amp;"."&amp;$B1598)&amp;INDEX(VarEnd,MATCH($A1598,VarKey,0))&amp;K$5</f>
        <v/>
      </c>
      <c r="L1598" s="43">
        <f>INDEX(Inputs!$X$5:$X$132,MATCH($B1598&amp;"|"&amp;$C1598,Inputs!$A$5:$A$132,0))</f>
        <v/>
      </c>
      <c r="M1598" s="44">
        <f>L1598*$G1598*(1+M$7)^$D1598*(M1580/L1580)^$E1598*((M1580+M1589)/(L1580+L1589))^$F1598</f>
        <v/>
      </c>
      <c r="N1598" s="44">
        <f>M1598*$G1598*(1+N$7)^$D1598*(N1580/M1580)^$E1598*((N1580+N1589)/(M1580+M1589))^$F1598</f>
        <v/>
      </c>
      <c r="O1598" s="44">
        <f>N1598*$G1598*(1+O$7)^$D1598*(O1580/N1580)^$E1598*((O1580+O1589)/(N1580+N1589))^$F1598</f>
        <v/>
      </c>
      <c r="P1598" s="44">
        <f>O1598*$G1598*(1+P$7)^$D1598*(P1580/O1580)^$E1598*((P1580+P1589)/(O1580+O1589))^$F1598</f>
        <v/>
      </c>
      <c r="Q1598" s="44">
        <f>P1598*$G1598*(1+Q$7)^$D1598*(Q1580/P1580)^$E1598*((Q1580+Q1589)/(P1580+P1589))^$F1598</f>
        <v/>
      </c>
      <c r="R1598" s="44">
        <f>Q1598*$G1598*(1+R$7)^$D1598*(R1580/Q1580)^$E1598*((R1580+R1589)/(Q1580+Q1589))^$F1598</f>
        <v/>
      </c>
      <c r="S1598" s="44">
        <f>R1598*$G1598*(1+S$7)^$D1598*(S1580/R1580)^$E1598*((S1580+S1589)/(R1580+R1589))^$F1598</f>
        <v/>
      </c>
      <c r="T1598" s="44">
        <f>S1598*$G1598*(1+T$7)^$D1598*(T1580/S1580)^$E1598*((T1580+T1589)/(S1580+S1589))^$F1598</f>
        <v/>
      </c>
      <c r="U1598" s="44">
        <f>T1598*$G1598*(1+U$7)^$D1598*(U1580/T1580)^$E1598*((U1580+U1589)/(T1580+T1589))^$F1598</f>
        <v/>
      </c>
      <c r="V1598" s="44">
        <f>U1598*$G1598*(1+V$7)^$D1598*(V1580/U1580)^$E1598*((V1580+V1589)/(U1580+U1589))^$F1598</f>
        <v/>
      </c>
      <c r="W1598" s="44">
        <f>V1598*$G1598*(1+W$7)^$D1598*(W1580/V1580)^$E1598*((W1580+W1589)/(V1580+V1589))^$F1598</f>
        <v/>
      </c>
      <c r="X1598" s="44">
        <f>W1598*$G1598*(1+X$7)^$D1598*(X1580/W1580)^$E1598*((X1580+X1589)/(W1580+W1589))^$F1598</f>
        <v/>
      </c>
      <c r="Y1598" s="44">
        <f>X1598*$G1598*(1+Y$7)^$D1598*(Y1580/X1580)^$E1598*((Y1580+Y1589)/(X1580+X1589))^$F1598</f>
        <v/>
      </c>
      <c r="Z1598" s="44">
        <f>Y1598*$G1598*(1+Z$7)^$D1598*(Z1580/Y1580)^$E1598*((Z1580+Z1589)/(Y1580+Y1589))^$F1598</f>
        <v/>
      </c>
      <c r="AA1598" s="44">
        <f>Z1598*$G1598*(1+AA$7)^$D1598*(AA1580/Z1580)^$E1598*((AA1580+AA1589)/(Z1580+Z1589))^$F1598</f>
        <v/>
      </c>
      <c r="AB1598" s="44">
        <f>AA1598*$G1598*(1+AB$7)^$D1598*(AB1580/AA1580)^$E1598*((AB1580+AB1589)/(AA1580+AA1589))^$F1598</f>
        <v/>
      </c>
      <c r="AC1598" s="44">
        <f>AB1598*$G1598*(1+AC$7)^$D1598*(AC1580/AB1580)^$E1598*((AC1580+AC1589)/(AB1580+AB1589))^$F1598</f>
        <v/>
      </c>
      <c r="AD1598" s="44">
        <f>AC1598*$G1598*(1+AD$7)^$D1598*(AD1580/AC1580)^$E1598*((AD1580+AD1589)/(AC1580+AC1589))^$F1598</f>
        <v/>
      </c>
      <c r="AE1598" s="57">
        <f>FUELUSE(AD1598,AE1580,AD1580,AE1589,AD1589,AE$7,$D1598,$E1598,$F1598,$G1598)</f>
        <v/>
      </c>
      <c r="AG1598" s="11">
        <f>CodePrefix&amp;$A1598&amp;IF($C1598="","","."&amp;$C1598&amp;"."&amp;$B1598)&amp;INDEX(VarEnd,MATCH($A1598,VarKey,0))&amp;AG$5</f>
        <v/>
      </c>
      <c r="AH1598" s="43">
        <f>INDEX(Inputs!$X$5:$X$132,MATCH($B1598&amp;"|"&amp;$C1598,Inputs!$A$5:$A$132,0))</f>
        <v/>
      </c>
      <c r="AI1598" s="44">
        <f>AH1598*$G1598*(1+AI$7)^$D1598*(AI1580/AH1580)^$E1598*((AI1580+AI1589)/(AH1580+AH1589))^$F1598</f>
        <v/>
      </c>
      <c r="AJ1598" s="44">
        <f>AI1598*$G1598*(1+AJ$7)^$D1598*(AJ1580/AI1580)^$E1598*((AJ1580+AJ1589)/(AI1580+AI1589))^$F1598</f>
        <v/>
      </c>
      <c r="AK1598" s="44">
        <f>AJ1598*$G1598*(1+AK$7)^$D1598*(AK1580/AJ1580)^$E1598*((AK1580+AK1589)/(AJ1580+AJ1589))^$F1598</f>
        <v/>
      </c>
      <c r="AL1598" s="44">
        <f>AK1598*$G1598*(1+AL$7)^$D1598*(AL1580/AK1580)^$E1598*((AL1580+AL1589)/(AK1580+AK1589))^$F1598</f>
        <v/>
      </c>
      <c r="AM1598" s="44">
        <f>AL1598*$G1598*(1+AM$7)^$D1598*(AM1580/AL1580)^$E1598*((AM1580+AM1589)/(AL1580+AL1589))^$F1598</f>
        <v/>
      </c>
      <c r="AN1598" s="44">
        <f>AM1598*$G1598*(1+AN$7)^$D1598*(AN1580/AM1580)^$E1598*((AN1580+AN1589)/(AM1580+AM1589))^$F1598</f>
        <v/>
      </c>
      <c r="AO1598" s="44">
        <f>AN1598*$G1598*(1+AO$7)^$D1598*(AO1580/AN1580)^$E1598*((AO1580+AO1589)/(AN1580+AN1589))^$F1598</f>
        <v/>
      </c>
      <c r="AP1598" s="44">
        <f>AO1598*$G1598*(1+AP$7)^$D1598*(AP1580/AO1580)^$E1598*((AP1580+AP1589)/(AO1580+AO1589))^$F1598</f>
        <v/>
      </c>
      <c r="AQ1598" s="44">
        <f>AP1598*$G1598*(1+AQ$7)^$D1598*(AQ1580/AP1580)^$E1598*((AQ1580+AQ1589)/(AP1580+AP1589))^$F1598</f>
        <v/>
      </c>
      <c r="AR1598" s="44">
        <f>AQ1598*$G1598*(1+AR$7)^$D1598*(AR1580/AQ1580)^$E1598*((AR1580+AR1589)/(AQ1580+AQ1589))^$F1598</f>
        <v/>
      </c>
      <c r="AS1598" s="44">
        <f>AR1598*$G1598*(1+AS$7)^$D1598*(AS1580/AR1580)^$E1598*((AS1580+AS1589)/(AR1580+AR1589))^$F1598</f>
        <v/>
      </c>
      <c r="AT1598" s="44">
        <f>AS1598*$G1598*(1+AT$7)^$D1598*(AT1580/AS1580)^$E1598*((AT1580+AT1589)/(AS1580+AS1589))^$F1598</f>
        <v/>
      </c>
      <c r="AU1598" s="44">
        <f>AT1598*$G1598*(1+AU$7)^$D1598*(AU1580/AT1580)^$E1598*((AU1580+AU1589)/(AT1580+AT1589))^$F1598</f>
        <v/>
      </c>
      <c r="AV1598" s="44">
        <f>AU1598*$G1598*(1+AV$7)^$D1598*(AV1580/AU1580)^$E1598*((AV1580+AV1589)/(AU1580+AU1589))^$F1598</f>
        <v/>
      </c>
      <c r="AW1598" s="44">
        <f>AV1598*$G1598*(1+AW$7)^$D1598*(AW1580/AV1580)^$E1598*((AW1580+AW1589)/(AV1580+AV1589))^$F1598</f>
        <v/>
      </c>
      <c r="AX1598" s="44">
        <f>AW1598*$G1598*(1+AX$7)^$D1598*(AX1580/AW1580)^$E1598*((AX1580+AX1589)/(AW1580+AW1589))^$F1598</f>
        <v/>
      </c>
      <c r="AY1598" s="44">
        <f>AX1598*$G1598*(1+AY$7)^$D1598*(AY1580/AX1580)^$E1598*((AY1580+AY1589)/(AX1580+AX1589))^$F1598</f>
        <v/>
      </c>
      <c r="AZ1598" s="44">
        <f>AY1598*$G1598*(1+AZ$7)^$D1598*(AZ1580/AY1580)^$E1598*((AZ1580+AZ1589)/(AY1580+AY1589))^$F1598</f>
        <v/>
      </c>
      <c r="BA1598" s="57">
        <f>FUELUSE(AZ1598,BA1580,AZ1580,BA1589,AZ1589,BA$7,$D1598,$E1598,$F1598,$G1598)</f>
        <v/>
      </c>
    </row>
    <row r="1599" hidden="1" outlineLevel="2">
      <c r="A1599" s="14" t="inlineStr">
        <is>
          <t>ener</t>
        </is>
      </c>
      <c r="B1599" s="14" t="inlineStr">
        <is>
          <t>ker</t>
        </is>
      </c>
      <c r="C1599" s="14" t="inlineStr">
        <is>
          <t>res</t>
        </is>
      </c>
      <c r="D1599" s="35">
        <f>INDEX(Inputs!$O$5:$O$132,MATCH($B1599&amp;"|"&amp;$C1599,Inputs!$A$5:$A$132,0))</f>
        <v/>
      </c>
      <c r="E1599" s="35">
        <f>INDEX(Inputs!$P$5:$P$132,MATCH($B1599&amp;"|"&amp;$C1599,Inputs!$A$5:$A$132,0))</f>
        <v/>
      </c>
      <c r="F1599" s="35">
        <f>INDEX(Inputs!$T$5:$T$132,MATCH($B1599&amp;"|"&amp;$C1599,Inputs!$A$5:$A$132,0))</f>
        <v/>
      </c>
      <c r="G1599" s="35">
        <f>INDEX(Inputs!$S$5:$S$132,MATCH($B1599&amp;"|"&amp;$C1599,Inputs!$A$5:$A$132,0))</f>
        <v/>
      </c>
      <c r="H1599" s="14">
        <f>INDEX(VarLab,MATCH($A1599,VarKey,0))&amp;INDEX(MemLab,MATCH($C1599&amp;"|"&amp;$B1599,MemKey,0))</f>
        <v/>
      </c>
      <c r="I1599" s="14">
        <f>INDEX(VarUnit,MATCH($A1599,VarKey,0))</f>
        <v/>
      </c>
      <c r="J1599" s="14">
        <f>INDEX(VarSrc,MATCH($A1599,VarKey,0))</f>
        <v/>
      </c>
      <c r="K1599" s="11">
        <f>CodePrefix&amp;$A1599&amp;IF($C1599="","","."&amp;$C1599&amp;"."&amp;$B1599)&amp;INDEX(VarEnd,MATCH($A1599,VarKey,0))&amp;K$5</f>
        <v/>
      </c>
      <c r="L1599" s="43">
        <f>INDEX(Inputs!$X$5:$X$132,MATCH($B1599&amp;"|"&amp;$C1599,Inputs!$A$5:$A$132,0))</f>
        <v/>
      </c>
      <c r="M1599" s="44">
        <f>L1599*$G1599*(1+M$7)^$D1599*(M1581/L1581)^$E1599*((M1581+M1590)/(L1581+L1590))^$F1599</f>
        <v/>
      </c>
      <c r="N1599" s="44">
        <f>M1599*$G1599*(1+N$7)^$D1599*(N1581/M1581)^$E1599*((N1581+N1590)/(M1581+M1590))^$F1599</f>
        <v/>
      </c>
      <c r="O1599" s="44">
        <f>N1599*$G1599*(1+O$7)^$D1599*(O1581/N1581)^$E1599*((O1581+O1590)/(N1581+N1590))^$F1599</f>
        <v/>
      </c>
      <c r="P1599" s="44">
        <f>O1599*$G1599*(1+P$7)^$D1599*(P1581/O1581)^$E1599*((P1581+P1590)/(O1581+O1590))^$F1599</f>
        <v/>
      </c>
      <c r="Q1599" s="44">
        <f>P1599*$G1599*(1+Q$7)^$D1599*(Q1581/P1581)^$E1599*((Q1581+Q1590)/(P1581+P1590))^$F1599</f>
        <v/>
      </c>
      <c r="R1599" s="44">
        <f>Q1599*$G1599*(1+R$7)^$D1599*(R1581/Q1581)^$E1599*((R1581+R1590)/(Q1581+Q1590))^$F1599</f>
        <v/>
      </c>
      <c r="S1599" s="44">
        <f>R1599*$G1599*(1+S$7)^$D1599*(S1581/R1581)^$E1599*((S1581+S1590)/(R1581+R1590))^$F1599</f>
        <v/>
      </c>
      <c r="T1599" s="44">
        <f>S1599*$G1599*(1+T$7)^$D1599*(T1581/S1581)^$E1599*((T1581+T1590)/(S1581+S1590))^$F1599</f>
        <v/>
      </c>
      <c r="U1599" s="44">
        <f>T1599*$G1599*(1+U$7)^$D1599*(U1581/T1581)^$E1599*((U1581+U1590)/(T1581+T1590))^$F1599</f>
        <v/>
      </c>
      <c r="V1599" s="44">
        <f>U1599*$G1599*(1+V$7)^$D1599*(V1581/U1581)^$E1599*((V1581+V1590)/(U1581+U1590))^$F1599</f>
        <v/>
      </c>
      <c r="W1599" s="44">
        <f>V1599*$G1599*(1+W$7)^$D1599*(W1581/V1581)^$E1599*((W1581+W1590)/(V1581+V1590))^$F1599</f>
        <v/>
      </c>
      <c r="X1599" s="44">
        <f>W1599*$G1599*(1+X$7)^$D1599*(X1581/W1581)^$E1599*((X1581+X1590)/(W1581+W1590))^$F1599</f>
        <v/>
      </c>
      <c r="Y1599" s="44">
        <f>X1599*$G1599*(1+Y$7)^$D1599*(Y1581/X1581)^$E1599*((Y1581+Y1590)/(X1581+X1590))^$F1599</f>
        <v/>
      </c>
      <c r="Z1599" s="44">
        <f>Y1599*$G1599*(1+Z$7)^$D1599*(Z1581/Y1581)^$E1599*((Z1581+Z1590)/(Y1581+Y1590))^$F1599</f>
        <v/>
      </c>
      <c r="AA1599" s="44">
        <f>Z1599*$G1599*(1+AA$7)^$D1599*(AA1581/Z1581)^$E1599*((AA1581+AA1590)/(Z1581+Z1590))^$F1599</f>
        <v/>
      </c>
      <c r="AB1599" s="44">
        <f>AA1599*$G1599*(1+AB$7)^$D1599*(AB1581/AA1581)^$E1599*((AB1581+AB1590)/(AA1581+AA1590))^$F1599</f>
        <v/>
      </c>
      <c r="AC1599" s="44">
        <f>AB1599*$G1599*(1+AC$7)^$D1599*(AC1581/AB1581)^$E1599*((AC1581+AC1590)/(AB1581+AB1590))^$F1599</f>
        <v/>
      </c>
      <c r="AD1599" s="44">
        <f>AC1599*$G1599*(1+AD$7)^$D1599*(AD1581/AC1581)^$E1599*((AD1581+AD1590)/(AC1581+AC1590))^$F1599</f>
        <v/>
      </c>
      <c r="AE1599" s="57">
        <f>FUELUSE(AD1599,AE1581,AD1581,AE1590,AD1590,AE$7,$D1599,$E1599,$F1599,$G1599)</f>
        <v/>
      </c>
      <c r="AG1599" s="11">
        <f>CodePrefix&amp;$A1599&amp;IF($C1599="","","."&amp;$C1599&amp;"."&amp;$B1599)&amp;INDEX(VarEnd,MATCH($A1599,VarKey,0))&amp;AG$5</f>
        <v/>
      </c>
      <c r="AH1599" s="43">
        <f>INDEX(Inputs!$X$5:$X$132,MATCH($B1599&amp;"|"&amp;$C1599,Inputs!$A$5:$A$132,0))</f>
        <v/>
      </c>
      <c r="AI1599" s="44">
        <f>AH1599*$G1599*(1+AI$7)^$D1599*(AI1581/AH1581)^$E1599*((AI1581+AI1590)/(AH1581+AH1590))^$F1599</f>
        <v/>
      </c>
      <c r="AJ1599" s="44">
        <f>AI1599*$G1599*(1+AJ$7)^$D1599*(AJ1581/AI1581)^$E1599*((AJ1581+AJ1590)/(AI1581+AI1590))^$F1599</f>
        <v/>
      </c>
      <c r="AK1599" s="44">
        <f>AJ1599*$G1599*(1+AK$7)^$D1599*(AK1581/AJ1581)^$E1599*((AK1581+AK1590)/(AJ1581+AJ1590))^$F1599</f>
        <v/>
      </c>
      <c r="AL1599" s="44">
        <f>AK1599*$G1599*(1+AL$7)^$D1599*(AL1581/AK1581)^$E1599*((AL1581+AL1590)/(AK1581+AK1590))^$F1599</f>
        <v/>
      </c>
      <c r="AM1599" s="44">
        <f>AL1599*$G1599*(1+AM$7)^$D1599*(AM1581/AL1581)^$E1599*((AM1581+AM1590)/(AL1581+AL1590))^$F1599</f>
        <v/>
      </c>
      <c r="AN1599" s="44">
        <f>AM1599*$G1599*(1+AN$7)^$D1599*(AN1581/AM1581)^$E1599*((AN1581+AN1590)/(AM1581+AM1590))^$F1599</f>
        <v/>
      </c>
      <c r="AO1599" s="44">
        <f>AN1599*$G1599*(1+AO$7)^$D1599*(AO1581/AN1581)^$E1599*((AO1581+AO1590)/(AN1581+AN1590))^$F1599</f>
        <v/>
      </c>
      <c r="AP1599" s="44">
        <f>AO1599*$G1599*(1+AP$7)^$D1599*(AP1581/AO1581)^$E1599*((AP1581+AP1590)/(AO1581+AO1590))^$F1599</f>
        <v/>
      </c>
      <c r="AQ1599" s="44">
        <f>AP1599*$G1599*(1+AQ$7)^$D1599*(AQ1581/AP1581)^$E1599*((AQ1581+AQ1590)/(AP1581+AP1590))^$F1599</f>
        <v/>
      </c>
      <c r="AR1599" s="44">
        <f>AQ1599*$G1599*(1+AR$7)^$D1599*(AR1581/AQ1581)^$E1599*((AR1581+AR1590)/(AQ1581+AQ1590))^$F1599</f>
        <v/>
      </c>
      <c r="AS1599" s="44">
        <f>AR1599*$G1599*(1+AS$7)^$D1599*(AS1581/AR1581)^$E1599*((AS1581+AS1590)/(AR1581+AR1590))^$F1599</f>
        <v/>
      </c>
      <c r="AT1599" s="44">
        <f>AS1599*$G1599*(1+AT$7)^$D1599*(AT1581/AS1581)^$E1599*((AT1581+AT1590)/(AS1581+AS1590))^$F1599</f>
        <v/>
      </c>
      <c r="AU1599" s="44">
        <f>AT1599*$G1599*(1+AU$7)^$D1599*(AU1581/AT1581)^$E1599*((AU1581+AU1590)/(AT1581+AT1590))^$F1599</f>
        <v/>
      </c>
      <c r="AV1599" s="44">
        <f>AU1599*$G1599*(1+AV$7)^$D1599*(AV1581/AU1581)^$E1599*((AV1581+AV1590)/(AU1581+AU1590))^$F1599</f>
        <v/>
      </c>
      <c r="AW1599" s="44">
        <f>AV1599*$G1599*(1+AW$7)^$D1599*(AW1581/AV1581)^$E1599*((AW1581+AW1590)/(AV1581+AV1590))^$F1599</f>
        <v/>
      </c>
      <c r="AX1599" s="44">
        <f>AW1599*$G1599*(1+AX$7)^$D1599*(AX1581/AW1581)^$E1599*((AX1581+AX1590)/(AW1581+AW1590))^$F1599</f>
        <v/>
      </c>
      <c r="AY1599" s="44">
        <f>AX1599*$G1599*(1+AY$7)^$D1599*(AY1581/AX1581)^$E1599*((AY1581+AY1590)/(AX1581+AX1590))^$F1599</f>
        <v/>
      </c>
      <c r="AZ1599" s="44">
        <f>AY1599*$G1599*(1+AZ$7)^$D1599*(AZ1581/AY1581)^$E1599*((AZ1581+AZ1590)/(AY1581+AY1590))^$F1599</f>
        <v/>
      </c>
      <c r="BA1599" s="57">
        <f>FUELUSE(AZ1599,BA1581,AZ1581,BA1590,AZ1590,BA$7,$D1599,$E1599,$F1599,$G1599)</f>
        <v/>
      </c>
    </row>
    <row r="1600" hidden="1" outlineLevel="2">
      <c r="A1600" s="14" t="inlineStr">
        <is>
          <t>ener</t>
        </is>
      </c>
      <c r="B1600" s="14" t="inlineStr">
        <is>
          <t>oop</t>
        </is>
      </c>
      <c r="C1600" s="14" t="inlineStr">
        <is>
          <t>res</t>
        </is>
      </c>
      <c r="D1600" s="35">
        <f>INDEX(Inputs!$O$5:$O$132,MATCH($B1600&amp;"|"&amp;$C1600,Inputs!$A$5:$A$132,0))</f>
        <v/>
      </c>
      <c r="E1600" s="35">
        <f>INDEX(Inputs!$P$5:$P$132,MATCH($B1600&amp;"|"&amp;$C1600,Inputs!$A$5:$A$132,0))</f>
        <v/>
      </c>
      <c r="F1600" s="35">
        <f>INDEX(Inputs!$T$5:$T$132,MATCH($B1600&amp;"|"&amp;$C1600,Inputs!$A$5:$A$132,0))</f>
        <v/>
      </c>
      <c r="G1600" s="35">
        <f>INDEX(Inputs!$S$5:$S$132,MATCH($B1600&amp;"|"&amp;$C1600,Inputs!$A$5:$A$132,0))</f>
        <v/>
      </c>
      <c r="H1600" s="14">
        <f>INDEX(VarLab,MATCH($A1600,VarKey,0))&amp;INDEX(MemLab,MATCH($C1600&amp;"|"&amp;$B1600,MemKey,0))</f>
        <v/>
      </c>
      <c r="I1600" s="14">
        <f>INDEX(VarUnit,MATCH($A1600,VarKey,0))</f>
        <v/>
      </c>
      <c r="J1600" s="14">
        <f>INDEX(VarSrc,MATCH($A1600,VarKey,0))</f>
        <v/>
      </c>
      <c r="K1600" s="11">
        <f>CodePrefix&amp;$A1600&amp;IF($C1600="","","."&amp;$C1600&amp;"."&amp;$B1600)&amp;INDEX(VarEnd,MATCH($A1600,VarKey,0))&amp;K$5</f>
        <v/>
      </c>
      <c r="L1600" s="43">
        <f>INDEX(Inputs!$X$5:$X$132,MATCH($B1600&amp;"|"&amp;$C1600,Inputs!$A$5:$A$132,0))</f>
        <v/>
      </c>
      <c r="M1600" s="44">
        <f>L1600*$G1600*(1+M$7)^$D1600*(M1582/L1582)^$E1600*((M1582+M1591)/(L1582+L1591))^$F1600</f>
        <v/>
      </c>
      <c r="N1600" s="44">
        <f>M1600*$G1600*(1+N$7)^$D1600*(N1582/M1582)^$E1600*((N1582+N1591)/(M1582+M1591))^$F1600</f>
        <v/>
      </c>
      <c r="O1600" s="44">
        <f>N1600*$G1600*(1+O$7)^$D1600*(O1582/N1582)^$E1600*((O1582+O1591)/(N1582+N1591))^$F1600</f>
        <v/>
      </c>
      <c r="P1600" s="44">
        <f>O1600*$G1600*(1+P$7)^$D1600*(P1582/O1582)^$E1600*((P1582+P1591)/(O1582+O1591))^$F1600</f>
        <v/>
      </c>
      <c r="Q1600" s="44">
        <f>P1600*$G1600*(1+Q$7)^$D1600*(Q1582/P1582)^$E1600*((Q1582+Q1591)/(P1582+P1591))^$F1600</f>
        <v/>
      </c>
      <c r="R1600" s="44">
        <f>Q1600*$G1600*(1+R$7)^$D1600*(R1582/Q1582)^$E1600*((R1582+R1591)/(Q1582+Q1591))^$F1600</f>
        <v/>
      </c>
      <c r="S1600" s="44">
        <f>R1600*$G1600*(1+S$7)^$D1600*(S1582/R1582)^$E1600*((S1582+S1591)/(R1582+R1591))^$F1600</f>
        <v/>
      </c>
      <c r="T1600" s="44">
        <f>S1600*$G1600*(1+T$7)^$D1600*(T1582/S1582)^$E1600*((T1582+T1591)/(S1582+S1591))^$F1600</f>
        <v/>
      </c>
      <c r="U1600" s="44">
        <f>T1600*$G1600*(1+U$7)^$D1600*(U1582/T1582)^$E1600*((U1582+U1591)/(T1582+T1591))^$F1600</f>
        <v/>
      </c>
      <c r="V1600" s="44">
        <f>U1600*$G1600*(1+V$7)^$D1600*(V1582/U1582)^$E1600*((V1582+V1591)/(U1582+U1591))^$F1600</f>
        <v/>
      </c>
      <c r="W1600" s="44">
        <f>V1600*$G1600*(1+W$7)^$D1600*(W1582/V1582)^$E1600*((W1582+W1591)/(V1582+V1591))^$F1600</f>
        <v/>
      </c>
      <c r="X1600" s="44">
        <f>W1600*$G1600*(1+X$7)^$D1600*(X1582/W1582)^$E1600*((X1582+X1591)/(W1582+W1591))^$F1600</f>
        <v/>
      </c>
      <c r="Y1600" s="44">
        <f>X1600*$G1600*(1+Y$7)^$D1600*(Y1582/X1582)^$E1600*((Y1582+Y1591)/(X1582+X1591))^$F1600</f>
        <v/>
      </c>
      <c r="Z1600" s="44">
        <f>Y1600*$G1600*(1+Z$7)^$D1600*(Z1582/Y1582)^$E1600*((Z1582+Z1591)/(Y1582+Y1591))^$F1600</f>
        <v/>
      </c>
      <c r="AA1600" s="44">
        <f>Z1600*$G1600*(1+AA$7)^$D1600*(AA1582/Z1582)^$E1600*((AA1582+AA1591)/(Z1582+Z1591))^$F1600</f>
        <v/>
      </c>
      <c r="AB1600" s="44">
        <f>AA1600*$G1600*(1+AB$7)^$D1600*(AB1582/AA1582)^$E1600*((AB1582+AB1591)/(AA1582+AA1591))^$F1600</f>
        <v/>
      </c>
      <c r="AC1600" s="44">
        <f>AB1600*$G1600*(1+AC$7)^$D1600*(AC1582/AB1582)^$E1600*((AC1582+AC1591)/(AB1582+AB1591))^$F1600</f>
        <v/>
      </c>
      <c r="AD1600" s="44">
        <f>AC1600*$G1600*(1+AD$7)^$D1600*(AD1582/AC1582)^$E1600*((AD1582+AD1591)/(AC1582+AC1591))^$F1600</f>
        <v/>
      </c>
      <c r="AE1600" s="57">
        <f>FUELUSE(AD1600,AE1582,AD1582,AE1591,AD1591,AE$7,$D1600,$E1600,$F1600,$G1600)</f>
        <v/>
      </c>
      <c r="AG1600" s="11">
        <f>CodePrefix&amp;$A1600&amp;IF($C1600="","","."&amp;$C1600&amp;"."&amp;$B1600)&amp;INDEX(VarEnd,MATCH($A1600,VarKey,0))&amp;AG$5</f>
        <v/>
      </c>
      <c r="AH1600" s="43">
        <f>INDEX(Inputs!$X$5:$X$132,MATCH($B1600&amp;"|"&amp;$C1600,Inputs!$A$5:$A$132,0))</f>
        <v/>
      </c>
      <c r="AI1600" s="44">
        <f>AH1600*$G1600*(1+AI$7)^$D1600*(AI1582/AH1582)^$E1600*((AI1582+AI1591)/(AH1582+AH1591))^$F1600</f>
        <v/>
      </c>
      <c r="AJ1600" s="44">
        <f>AI1600*$G1600*(1+AJ$7)^$D1600*(AJ1582/AI1582)^$E1600*((AJ1582+AJ1591)/(AI1582+AI1591))^$F1600</f>
        <v/>
      </c>
      <c r="AK1600" s="44">
        <f>AJ1600*$G1600*(1+AK$7)^$D1600*(AK1582/AJ1582)^$E1600*((AK1582+AK1591)/(AJ1582+AJ1591))^$F1600</f>
        <v/>
      </c>
      <c r="AL1600" s="44">
        <f>AK1600*$G1600*(1+AL$7)^$D1600*(AL1582/AK1582)^$E1600*((AL1582+AL1591)/(AK1582+AK1591))^$F1600</f>
        <v/>
      </c>
      <c r="AM1600" s="44">
        <f>AL1600*$G1600*(1+AM$7)^$D1600*(AM1582/AL1582)^$E1600*((AM1582+AM1591)/(AL1582+AL1591))^$F1600</f>
        <v/>
      </c>
      <c r="AN1600" s="44">
        <f>AM1600*$G1600*(1+AN$7)^$D1600*(AN1582/AM1582)^$E1600*((AN1582+AN1591)/(AM1582+AM1591))^$F1600</f>
        <v/>
      </c>
      <c r="AO1600" s="44">
        <f>AN1600*$G1600*(1+AO$7)^$D1600*(AO1582/AN1582)^$E1600*((AO1582+AO1591)/(AN1582+AN1591))^$F1600</f>
        <v/>
      </c>
      <c r="AP1600" s="44">
        <f>AO1600*$G1600*(1+AP$7)^$D1600*(AP1582/AO1582)^$E1600*((AP1582+AP1591)/(AO1582+AO1591))^$F1600</f>
        <v/>
      </c>
      <c r="AQ1600" s="44">
        <f>AP1600*$G1600*(1+AQ$7)^$D1600*(AQ1582/AP1582)^$E1600*((AQ1582+AQ1591)/(AP1582+AP1591))^$F1600</f>
        <v/>
      </c>
      <c r="AR1600" s="44">
        <f>AQ1600*$G1600*(1+AR$7)^$D1600*(AR1582/AQ1582)^$E1600*((AR1582+AR1591)/(AQ1582+AQ1591))^$F1600</f>
        <v/>
      </c>
      <c r="AS1600" s="44">
        <f>AR1600*$G1600*(1+AS$7)^$D1600*(AS1582/AR1582)^$E1600*((AS1582+AS1591)/(AR1582+AR1591))^$F1600</f>
        <v/>
      </c>
      <c r="AT1600" s="44">
        <f>AS1600*$G1600*(1+AT$7)^$D1600*(AT1582/AS1582)^$E1600*((AT1582+AT1591)/(AS1582+AS1591))^$F1600</f>
        <v/>
      </c>
      <c r="AU1600" s="44">
        <f>AT1600*$G1600*(1+AU$7)^$D1600*(AU1582/AT1582)^$E1600*((AU1582+AU1591)/(AT1582+AT1591))^$F1600</f>
        <v/>
      </c>
      <c r="AV1600" s="44">
        <f>AU1600*$G1600*(1+AV$7)^$D1600*(AV1582/AU1582)^$E1600*((AV1582+AV1591)/(AU1582+AU1591))^$F1600</f>
        <v/>
      </c>
      <c r="AW1600" s="44">
        <f>AV1600*$G1600*(1+AW$7)^$D1600*(AW1582/AV1582)^$E1600*((AW1582+AW1591)/(AV1582+AV1591))^$F1600</f>
        <v/>
      </c>
      <c r="AX1600" s="44">
        <f>AW1600*$G1600*(1+AX$7)^$D1600*(AX1582/AW1582)^$E1600*((AX1582+AX1591)/(AW1582+AW1591))^$F1600</f>
        <v/>
      </c>
      <c r="AY1600" s="44">
        <f>AX1600*$G1600*(1+AY$7)^$D1600*(AY1582/AX1582)^$E1600*((AY1582+AY1591)/(AX1582+AX1591))^$F1600</f>
        <v/>
      </c>
      <c r="AZ1600" s="44">
        <f>AY1600*$G1600*(1+AZ$7)^$D1600*(AZ1582/AY1582)^$E1600*((AZ1582+AZ1591)/(AY1582+AY1591))^$F1600</f>
        <v/>
      </c>
      <c r="BA1600" s="57">
        <f>FUELUSE(AZ1600,BA1582,AZ1582,BA1591,AZ1591,BA$7,$D1600,$E1600,$F1600,$G1600)</f>
        <v/>
      </c>
    </row>
    <row r="1601" hidden="1" outlineLevel="2">
      <c r="A1601" s="14" t="inlineStr">
        <is>
          <t>ener</t>
        </is>
      </c>
      <c r="B1601" s="14" t="inlineStr">
        <is>
          <t>bio</t>
        </is>
      </c>
      <c r="C1601" s="14" t="inlineStr">
        <is>
          <t>res</t>
        </is>
      </c>
      <c r="D1601" s="35">
        <f>INDEX(Inputs!$O$5:$O$132,MATCH($B1601&amp;"|"&amp;$C1601,Inputs!$A$5:$A$132,0))</f>
        <v/>
      </c>
      <c r="E1601" s="35">
        <f>INDEX(Inputs!$P$5:$P$132,MATCH($B1601&amp;"|"&amp;$C1601,Inputs!$A$5:$A$132,0))</f>
        <v/>
      </c>
      <c r="F1601" s="35">
        <f>INDEX(Inputs!$T$5:$T$132,MATCH($B1601&amp;"|"&amp;$C1601,Inputs!$A$5:$A$132,0))</f>
        <v/>
      </c>
      <c r="G1601" s="35">
        <f>INDEX(Inputs!$S$5:$S$132,MATCH($B1601&amp;"|"&amp;$C1601,Inputs!$A$5:$A$132,0))</f>
        <v/>
      </c>
      <c r="H1601" s="14">
        <f>INDEX(VarLab,MATCH($A1601,VarKey,0))&amp;INDEX(MemLab,MATCH($C1601&amp;"|"&amp;$B1601,MemKey,0))</f>
        <v/>
      </c>
      <c r="I1601" s="14">
        <f>INDEX(VarUnit,MATCH($A1601,VarKey,0))</f>
        <v/>
      </c>
      <c r="J1601" s="14">
        <f>INDEX(VarSrc,MATCH($A1601,VarKey,0))</f>
        <v/>
      </c>
      <c r="K1601" s="11">
        <f>CodePrefix&amp;$A1601&amp;IF($C1601="","","."&amp;$C1601&amp;"."&amp;$B1601)&amp;INDEX(VarEnd,MATCH($A1601,VarKey,0))&amp;K$5</f>
        <v/>
      </c>
      <c r="L1601" s="43">
        <f>INDEX(Inputs!$X$5:$X$132,MATCH($B1601&amp;"|"&amp;$C1601,Inputs!$A$5:$A$132,0))</f>
        <v/>
      </c>
      <c r="M1601" s="44">
        <f>L1601*$G1601*(1+M$7)^$D1601*(M1583/L1583)^$E1601*((M1583+M1592)/(L1583+L1592))^$F1601</f>
        <v/>
      </c>
      <c r="N1601" s="44">
        <f>M1601*$G1601*(1+N$7)^$D1601*(N1583/M1583)^$E1601*((N1583+N1592)/(M1583+M1592))^$F1601</f>
        <v/>
      </c>
      <c r="O1601" s="44">
        <f>N1601*$G1601*(1+O$7)^$D1601*(O1583/N1583)^$E1601*((O1583+O1592)/(N1583+N1592))^$F1601</f>
        <v/>
      </c>
      <c r="P1601" s="44">
        <f>O1601*$G1601*(1+P$7)^$D1601*(P1583/O1583)^$E1601*((P1583+P1592)/(O1583+O1592))^$F1601</f>
        <v/>
      </c>
      <c r="Q1601" s="44">
        <f>P1601*$G1601*(1+Q$7)^$D1601*(Q1583/P1583)^$E1601*((Q1583+Q1592)/(P1583+P1592))^$F1601</f>
        <v/>
      </c>
      <c r="R1601" s="44">
        <f>Q1601*$G1601*(1+R$7)^$D1601*(R1583/Q1583)^$E1601*((R1583+R1592)/(Q1583+Q1592))^$F1601</f>
        <v/>
      </c>
      <c r="S1601" s="44">
        <f>R1601*$G1601*(1+S$7)^$D1601*(S1583/R1583)^$E1601*((S1583+S1592)/(R1583+R1592))^$F1601</f>
        <v/>
      </c>
      <c r="T1601" s="44">
        <f>S1601*$G1601*(1+T$7)^$D1601*(T1583/S1583)^$E1601*((T1583+T1592)/(S1583+S1592))^$F1601</f>
        <v/>
      </c>
      <c r="U1601" s="44">
        <f>T1601*$G1601*(1+U$7)^$D1601*(U1583/T1583)^$E1601*((U1583+U1592)/(T1583+T1592))^$F1601</f>
        <v/>
      </c>
      <c r="V1601" s="44">
        <f>U1601*$G1601*(1+V$7)^$D1601*(V1583/U1583)^$E1601*((V1583+V1592)/(U1583+U1592))^$F1601</f>
        <v/>
      </c>
      <c r="W1601" s="44">
        <f>V1601*$G1601*(1+W$7)^$D1601*(W1583/V1583)^$E1601*((W1583+W1592)/(V1583+V1592))^$F1601</f>
        <v/>
      </c>
      <c r="X1601" s="44">
        <f>W1601*$G1601*(1+X$7)^$D1601*(X1583/W1583)^$E1601*((X1583+X1592)/(W1583+W1592))^$F1601</f>
        <v/>
      </c>
      <c r="Y1601" s="44">
        <f>X1601*$G1601*(1+Y$7)^$D1601*(Y1583/X1583)^$E1601*((Y1583+Y1592)/(X1583+X1592))^$F1601</f>
        <v/>
      </c>
      <c r="Z1601" s="44">
        <f>Y1601*$G1601*(1+Z$7)^$D1601*(Z1583/Y1583)^$E1601*((Z1583+Z1592)/(Y1583+Y1592))^$F1601</f>
        <v/>
      </c>
      <c r="AA1601" s="44">
        <f>Z1601*$G1601*(1+AA$7)^$D1601*(AA1583/Z1583)^$E1601*((AA1583+AA1592)/(Z1583+Z1592))^$F1601</f>
        <v/>
      </c>
      <c r="AB1601" s="44">
        <f>AA1601*$G1601*(1+AB$7)^$D1601*(AB1583/AA1583)^$E1601*((AB1583+AB1592)/(AA1583+AA1592))^$F1601</f>
        <v/>
      </c>
      <c r="AC1601" s="44">
        <f>AB1601*$G1601*(1+AC$7)^$D1601*(AC1583/AB1583)^$E1601*((AC1583+AC1592)/(AB1583+AB1592))^$F1601</f>
        <v/>
      </c>
      <c r="AD1601" s="44">
        <f>AC1601*$G1601*(1+AD$7)^$D1601*(AD1583/AC1583)^$E1601*((AD1583+AD1592)/(AC1583+AC1592))^$F1601</f>
        <v/>
      </c>
      <c r="AE1601" s="57">
        <f>FUELUSE(AD1601,AE1583,AD1583,AE1592,AD1592,AE$7,$D1601,$E1601,$F1601,$G1601)</f>
        <v/>
      </c>
      <c r="AG1601" s="11">
        <f>CodePrefix&amp;$A1601&amp;IF($C1601="","","."&amp;$C1601&amp;"."&amp;$B1601)&amp;INDEX(VarEnd,MATCH($A1601,VarKey,0))&amp;AG$5</f>
        <v/>
      </c>
      <c r="AH1601" s="43">
        <f>INDEX(Inputs!$X$5:$X$132,MATCH($B1601&amp;"|"&amp;$C1601,Inputs!$A$5:$A$132,0))</f>
        <v/>
      </c>
      <c r="AI1601" s="44">
        <f>AH1601*$G1601*(1+AI$7)^$D1601*(AI1583/AH1583)^$E1601*((AI1583+AI1592)/(AH1583+AH1592))^$F1601</f>
        <v/>
      </c>
      <c r="AJ1601" s="44">
        <f>AI1601*$G1601*(1+AJ$7)^$D1601*(AJ1583/AI1583)^$E1601*((AJ1583+AJ1592)/(AI1583+AI1592))^$F1601</f>
        <v/>
      </c>
      <c r="AK1601" s="44">
        <f>AJ1601*$G1601*(1+AK$7)^$D1601*(AK1583/AJ1583)^$E1601*((AK1583+AK1592)/(AJ1583+AJ1592))^$F1601</f>
        <v/>
      </c>
      <c r="AL1601" s="44">
        <f>AK1601*$G1601*(1+AL$7)^$D1601*(AL1583/AK1583)^$E1601*((AL1583+AL1592)/(AK1583+AK1592))^$F1601</f>
        <v/>
      </c>
      <c r="AM1601" s="44">
        <f>AL1601*$G1601*(1+AM$7)^$D1601*(AM1583/AL1583)^$E1601*((AM1583+AM1592)/(AL1583+AL1592))^$F1601</f>
        <v/>
      </c>
      <c r="AN1601" s="44">
        <f>AM1601*$G1601*(1+AN$7)^$D1601*(AN1583/AM1583)^$E1601*((AN1583+AN1592)/(AM1583+AM1592))^$F1601</f>
        <v/>
      </c>
      <c r="AO1601" s="44">
        <f>AN1601*$G1601*(1+AO$7)^$D1601*(AO1583/AN1583)^$E1601*((AO1583+AO1592)/(AN1583+AN1592))^$F1601</f>
        <v/>
      </c>
      <c r="AP1601" s="44">
        <f>AO1601*$G1601*(1+AP$7)^$D1601*(AP1583/AO1583)^$E1601*((AP1583+AP1592)/(AO1583+AO1592))^$F1601</f>
        <v/>
      </c>
      <c r="AQ1601" s="44">
        <f>AP1601*$G1601*(1+AQ$7)^$D1601*(AQ1583/AP1583)^$E1601*((AQ1583+AQ1592)/(AP1583+AP1592))^$F1601</f>
        <v/>
      </c>
      <c r="AR1601" s="44">
        <f>AQ1601*$G1601*(1+AR$7)^$D1601*(AR1583/AQ1583)^$E1601*((AR1583+AR1592)/(AQ1583+AQ1592))^$F1601</f>
        <v/>
      </c>
      <c r="AS1601" s="44">
        <f>AR1601*$G1601*(1+AS$7)^$D1601*(AS1583/AR1583)^$E1601*((AS1583+AS1592)/(AR1583+AR1592))^$F1601</f>
        <v/>
      </c>
      <c r="AT1601" s="44">
        <f>AS1601*$G1601*(1+AT$7)^$D1601*(AT1583/AS1583)^$E1601*((AT1583+AT1592)/(AS1583+AS1592))^$F1601</f>
        <v/>
      </c>
      <c r="AU1601" s="44">
        <f>AT1601*$G1601*(1+AU$7)^$D1601*(AU1583/AT1583)^$E1601*((AU1583+AU1592)/(AT1583+AT1592))^$F1601</f>
        <v/>
      </c>
      <c r="AV1601" s="44">
        <f>AU1601*$G1601*(1+AV$7)^$D1601*(AV1583/AU1583)^$E1601*((AV1583+AV1592)/(AU1583+AU1592))^$F1601</f>
        <v/>
      </c>
      <c r="AW1601" s="44">
        <f>AV1601*$G1601*(1+AW$7)^$D1601*(AW1583/AV1583)^$E1601*((AW1583+AW1592)/(AV1583+AV1592))^$F1601</f>
        <v/>
      </c>
      <c r="AX1601" s="44">
        <f>AW1601*$G1601*(1+AX$7)^$D1601*(AX1583/AW1583)^$E1601*((AX1583+AX1592)/(AW1583+AW1592))^$F1601</f>
        <v/>
      </c>
      <c r="AY1601" s="44">
        <f>AX1601*$G1601*(1+AY$7)^$D1601*(AY1583/AX1583)^$E1601*((AY1583+AY1592)/(AX1583+AX1592))^$F1601</f>
        <v/>
      </c>
      <c r="AZ1601" s="44">
        <f>AY1601*$G1601*(1+AZ$7)^$D1601*(AZ1583/AY1583)^$E1601*((AZ1583+AZ1592)/(AY1583+AY1592))^$F1601</f>
        <v/>
      </c>
      <c r="BA1601" s="57">
        <f>FUELUSE(AZ1601,BA1583,AZ1583,BA1592,AZ1592,BA$7,$D1601,$E1601,$F1601,$G1601)</f>
        <v/>
      </c>
    </row>
    <row r="1602" hidden="1" outlineLevel="2"/>
    <row r="1603" hidden="1" outlineLevel="2">
      <c r="A1603" s="14" t="inlineStr">
        <is>
          <t>co2</t>
        </is>
      </c>
      <c r="B1603" s="14" t="inlineStr">
        <is>
          <t>coa</t>
        </is>
      </c>
      <c r="C1603" s="14" t="inlineStr">
        <is>
          <t>res</t>
        </is>
      </c>
      <c r="D1603" s="35">
        <f>INDEX(Inputs!$W$5:$W$132,MATCH($B1603&amp;"|"&amp;$C1603,Inputs!$A$5:$A$132,0))</f>
        <v/>
      </c>
      <c r="E1603" s="39" t="n"/>
      <c r="F1603" s="39" t="n"/>
      <c r="G1603" s="39" t="n"/>
      <c r="H1603" s="14">
        <f>INDEX(VarLab,MATCH($A1603,VarKey,0))&amp;INDEX(MemLab,MATCH($C1603&amp;"|"&amp;$B1603,MemKey,0))</f>
        <v/>
      </c>
      <c r="I1603" s="14">
        <f>INDEX(VarUnit,MATCH($A1603,VarKey,0))</f>
        <v/>
      </c>
      <c r="J1603" s="14">
        <f>INDEX(VarSrc,MATCH($A1603,VarKey,0))</f>
        <v/>
      </c>
      <c r="K1603" s="11">
        <f>CodePrefix&amp;$A1603&amp;IF($C1603="","","."&amp;$C1603&amp;"."&amp;$B1603)&amp;INDEX(VarEnd,MATCH($A1603,VarKey,0))&amp;K$5</f>
        <v/>
      </c>
      <c r="L1603" s="15">
        <f>L1594*Settings!$C$13*$D1603</f>
        <v/>
      </c>
      <c r="M1603" s="16">
        <f>M1594*Settings!$C$13*$D1603</f>
        <v/>
      </c>
      <c r="N1603" s="16">
        <f>N1594*Settings!$C$13*$D1603</f>
        <v/>
      </c>
      <c r="O1603" s="16">
        <f>O1594*Settings!$C$13*$D1603</f>
        <v/>
      </c>
      <c r="P1603" s="16">
        <f>P1594*Settings!$C$13*$D1603</f>
        <v/>
      </c>
      <c r="Q1603" s="16">
        <f>Q1594*Settings!$C$13*$D1603</f>
        <v/>
      </c>
      <c r="R1603" s="16">
        <f>R1594*Settings!$C$13*$D1603</f>
        <v/>
      </c>
      <c r="S1603" s="16">
        <f>S1594*Settings!$C$13*$D1603</f>
        <v/>
      </c>
      <c r="T1603" s="16">
        <f>T1594*Settings!$C$13*$D1603</f>
        <v/>
      </c>
      <c r="U1603" s="16">
        <f>U1594*Settings!$C$13*$D1603</f>
        <v/>
      </c>
      <c r="V1603" s="16">
        <f>V1594*Settings!$C$13*$D1603</f>
        <v/>
      </c>
      <c r="W1603" s="16">
        <f>W1594*Settings!$C$13*$D1603</f>
        <v/>
      </c>
      <c r="X1603" s="16">
        <f>X1594*Settings!$C$13*$D1603</f>
        <v/>
      </c>
      <c r="Y1603" s="16">
        <f>Y1594*Settings!$C$13*$D1603</f>
        <v/>
      </c>
      <c r="Z1603" s="16">
        <f>Z1594*Settings!$C$13*$D1603</f>
        <v/>
      </c>
      <c r="AA1603" s="16">
        <f>AA1594*Settings!$C$13*$D1603</f>
        <v/>
      </c>
      <c r="AB1603" s="16">
        <f>AB1594*Settings!$C$13*$D1603</f>
        <v/>
      </c>
      <c r="AC1603" s="16">
        <f>AC1594*Settings!$C$13*$D1603</f>
        <v/>
      </c>
      <c r="AD1603" s="16">
        <f>AD1594*Settings!$C$13*$D1603</f>
        <v/>
      </c>
      <c r="AE1603" s="49">
        <f>EMISSIONS(AE1594,Settings!$C$13,$D1603)</f>
        <v/>
      </c>
      <c r="AG1603" s="11">
        <f>CodePrefix&amp;$A1603&amp;IF($C1603="","","."&amp;$C1603&amp;"."&amp;$B1603)&amp;INDEX(VarEnd,MATCH($A1603,VarKey,0))&amp;AG$5</f>
        <v/>
      </c>
      <c r="AH1603" s="15">
        <f>AH1594*Settings!$C$13*$D1603</f>
        <v/>
      </c>
      <c r="AI1603" s="16">
        <f>AI1594*Settings!$C$13*$D1603</f>
        <v/>
      </c>
      <c r="AJ1603" s="16">
        <f>AJ1594*Settings!$C$13*$D1603</f>
        <v/>
      </c>
      <c r="AK1603" s="16">
        <f>AK1594*Settings!$C$13*$D1603</f>
        <v/>
      </c>
      <c r="AL1603" s="16">
        <f>AL1594*Settings!$C$13*$D1603</f>
        <v/>
      </c>
      <c r="AM1603" s="16">
        <f>AM1594*Settings!$C$13*$D1603</f>
        <v/>
      </c>
      <c r="AN1603" s="16">
        <f>AN1594*Settings!$C$13*$D1603</f>
        <v/>
      </c>
      <c r="AO1603" s="16">
        <f>AO1594*Settings!$C$13*$D1603</f>
        <v/>
      </c>
      <c r="AP1603" s="16">
        <f>AP1594*Settings!$C$13*$D1603</f>
        <v/>
      </c>
      <c r="AQ1603" s="16">
        <f>AQ1594*Settings!$C$13*$D1603</f>
        <v/>
      </c>
      <c r="AR1603" s="16">
        <f>AR1594*Settings!$C$13*$D1603</f>
        <v/>
      </c>
      <c r="AS1603" s="16">
        <f>AS1594*Settings!$C$13*$D1603</f>
        <v/>
      </c>
      <c r="AT1603" s="16">
        <f>AT1594*Settings!$C$13*$D1603</f>
        <v/>
      </c>
      <c r="AU1603" s="16">
        <f>AU1594*Settings!$C$13*$D1603</f>
        <v/>
      </c>
      <c r="AV1603" s="16">
        <f>AV1594*Settings!$C$13*$D1603</f>
        <v/>
      </c>
      <c r="AW1603" s="16">
        <f>AW1594*Settings!$C$13*$D1603</f>
        <v/>
      </c>
      <c r="AX1603" s="16">
        <f>AX1594*Settings!$C$13*$D1603</f>
        <v/>
      </c>
      <c r="AY1603" s="16">
        <f>AY1594*Settings!$C$13*$D1603</f>
        <v/>
      </c>
      <c r="AZ1603" s="16">
        <f>AZ1594*Settings!$C$13*$D1603</f>
        <v/>
      </c>
      <c r="BA1603" s="49">
        <f>EMISSIONS(BA1594,Settings!$C$13,$D1603)</f>
        <v/>
      </c>
    </row>
    <row r="1604" hidden="1" outlineLevel="2">
      <c r="A1604" s="14" t="inlineStr">
        <is>
          <t>co2</t>
        </is>
      </c>
      <c r="B1604" s="14" t="inlineStr">
        <is>
          <t>nga</t>
        </is>
      </c>
      <c r="C1604" s="14" t="inlineStr">
        <is>
          <t>res</t>
        </is>
      </c>
      <c r="D1604" s="35">
        <f>INDEX(Inputs!$W$5:$W$132,MATCH($B1604&amp;"|"&amp;$C1604,Inputs!$A$5:$A$132,0))</f>
        <v/>
      </c>
      <c r="E1604" s="39" t="n"/>
      <c r="F1604" s="39" t="n"/>
      <c r="G1604" s="39" t="n"/>
      <c r="H1604" s="14">
        <f>INDEX(VarLab,MATCH($A1604,VarKey,0))&amp;INDEX(MemLab,MATCH($C1604&amp;"|"&amp;$B1604,MemKey,0))</f>
        <v/>
      </c>
      <c r="I1604" s="14">
        <f>INDEX(VarUnit,MATCH($A1604,VarKey,0))</f>
        <v/>
      </c>
      <c r="J1604" s="14">
        <f>INDEX(VarSrc,MATCH($A1604,VarKey,0))</f>
        <v/>
      </c>
      <c r="K1604" s="11">
        <f>CodePrefix&amp;$A1604&amp;IF($C1604="","","."&amp;$C1604&amp;"."&amp;$B1604)&amp;INDEX(VarEnd,MATCH($A1604,VarKey,0))&amp;K$5</f>
        <v/>
      </c>
      <c r="L1604" s="15">
        <f>L1595*Settings!$C$13*$D1604</f>
        <v/>
      </c>
      <c r="M1604" s="16">
        <f>M1595*Settings!$C$13*$D1604</f>
        <v/>
      </c>
      <c r="N1604" s="16">
        <f>N1595*Settings!$C$13*$D1604</f>
        <v/>
      </c>
      <c r="O1604" s="16">
        <f>O1595*Settings!$C$13*$D1604</f>
        <v/>
      </c>
      <c r="P1604" s="16">
        <f>P1595*Settings!$C$13*$D1604</f>
        <v/>
      </c>
      <c r="Q1604" s="16">
        <f>Q1595*Settings!$C$13*$D1604</f>
        <v/>
      </c>
      <c r="R1604" s="16">
        <f>R1595*Settings!$C$13*$D1604</f>
        <v/>
      </c>
      <c r="S1604" s="16">
        <f>S1595*Settings!$C$13*$D1604</f>
        <v/>
      </c>
      <c r="T1604" s="16">
        <f>T1595*Settings!$C$13*$D1604</f>
        <v/>
      </c>
      <c r="U1604" s="16">
        <f>U1595*Settings!$C$13*$D1604</f>
        <v/>
      </c>
      <c r="V1604" s="16">
        <f>V1595*Settings!$C$13*$D1604</f>
        <v/>
      </c>
      <c r="W1604" s="16">
        <f>W1595*Settings!$C$13*$D1604</f>
        <v/>
      </c>
      <c r="X1604" s="16">
        <f>X1595*Settings!$C$13*$D1604</f>
        <v/>
      </c>
      <c r="Y1604" s="16">
        <f>Y1595*Settings!$C$13*$D1604</f>
        <v/>
      </c>
      <c r="Z1604" s="16">
        <f>Z1595*Settings!$C$13*$D1604</f>
        <v/>
      </c>
      <c r="AA1604" s="16">
        <f>AA1595*Settings!$C$13*$D1604</f>
        <v/>
      </c>
      <c r="AB1604" s="16">
        <f>AB1595*Settings!$C$13*$D1604</f>
        <v/>
      </c>
      <c r="AC1604" s="16">
        <f>AC1595*Settings!$C$13*$D1604</f>
        <v/>
      </c>
      <c r="AD1604" s="16">
        <f>AD1595*Settings!$C$13*$D1604</f>
        <v/>
      </c>
      <c r="AE1604" s="49">
        <f>EMISSIONS(AE1595,Settings!$C$13,$D1604)</f>
        <v/>
      </c>
      <c r="AG1604" s="11">
        <f>CodePrefix&amp;$A1604&amp;IF($C1604="","","."&amp;$C1604&amp;"."&amp;$B1604)&amp;INDEX(VarEnd,MATCH($A1604,VarKey,0))&amp;AG$5</f>
        <v/>
      </c>
      <c r="AH1604" s="15">
        <f>AH1595*Settings!$C$13*$D1604</f>
        <v/>
      </c>
      <c r="AI1604" s="16">
        <f>AI1595*Settings!$C$13*$D1604</f>
        <v/>
      </c>
      <c r="AJ1604" s="16">
        <f>AJ1595*Settings!$C$13*$D1604</f>
        <v/>
      </c>
      <c r="AK1604" s="16">
        <f>AK1595*Settings!$C$13*$D1604</f>
        <v/>
      </c>
      <c r="AL1604" s="16">
        <f>AL1595*Settings!$C$13*$D1604</f>
        <v/>
      </c>
      <c r="AM1604" s="16">
        <f>AM1595*Settings!$C$13*$D1604</f>
        <v/>
      </c>
      <c r="AN1604" s="16">
        <f>AN1595*Settings!$C$13*$D1604</f>
        <v/>
      </c>
      <c r="AO1604" s="16">
        <f>AO1595*Settings!$C$13*$D1604</f>
        <v/>
      </c>
      <c r="AP1604" s="16">
        <f>AP1595*Settings!$C$13*$D1604</f>
        <v/>
      </c>
      <c r="AQ1604" s="16">
        <f>AQ1595*Settings!$C$13*$D1604</f>
        <v/>
      </c>
      <c r="AR1604" s="16">
        <f>AR1595*Settings!$C$13*$D1604</f>
        <v/>
      </c>
      <c r="AS1604" s="16">
        <f>AS1595*Settings!$C$13*$D1604</f>
        <v/>
      </c>
      <c r="AT1604" s="16">
        <f>AT1595*Settings!$C$13*$D1604</f>
        <v/>
      </c>
      <c r="AU1604" s="16">
        <f>AU1595*Settings!$C$13*$D1604</f>
        <v/>
      </c>
      <c r="AV1604" s="16">
        <f>AV1595*Settings!$C$13*$D1604</f>
        <v/>
      </c>
      <c r="AW1604" s="16">
        <f>AW1595*Settings!$C$13*$D1604</f>
        <v/>
      </c>
      <c r="AX1604" s="16">
        <f>AX1595*Settings!$C$13*$D1604</f>
        <v/>
      </c>
      <c r="AY1604" s="16">
        <f>AY1595*Settings!$C$13*$D1604</f>
        <v/>
      </c>
      <c r="AZ1604" s="16">
        <f>AZ1595*Settings!$C$13*$D1604</f>
        <v/>
      </c>
      <c r="BA1604" s="49">
        <f>EMISSIONS(BA1595,Settings!$C$13,$D1604)</f>
        <v/>
      </c>
    </row>
    <row r="1605" hidden="1" outlineLevel="2">
      <c r="A1605" s="14" t="inlineStr">
        <is>
          <t>co2</t>
        </is>
      </c>
      <c r="B1605" s="14" t="inlineStr">
        <is>
          <t>gso</t>
        </is>
      </c>
      <c r="C1605" s="14" t="inlineStr">
        <is>
          <t>res</t>
        </is>
      </c>
      <c r="D1605" s="35">
        <f>INDEX(Inputs!$W$5:$W$132,MATCH($B1605&amp;"|"&amp;$C1605,Inputs!$A$5:$A$132,0))</f>
        <v/>
      </c>
      <c r="E1605" s="39" t="n"/>
      <c r="F1605" s="39" t="n"/>
      <c r="G1605" s="39" t="n"/>
      <c r="H1605" s="14">
        <f>INDEX(VarLab,MATCH($A1605,VarKey,0))&amp;INDEX(MemLab,MATCH($C1605&amp;"|"&amp;$B1605,MemKey,0))</f>
        <v/>
      </c>
      <c r="I1605" s="14">
        <f>INDEX(VarUnit,MATCH($A1605,VarKey,0))</f>
        <v/>
      </c>
      <c r="J1605" s="14">
        <f>INDEX(VarSrc,MATCH($A1605,VarKey,0))</f>
        <v/>
      </c>
      <c r="K1605" s="11">
        <f>CodePrefix&amp;$A1605&amp;IF($C1605="","","."&amp;$C1605&amp;"."&amp;$B1605)&amp;INDEX(VarEnd,MATCH($A1605,VarKey,0))&amp;K$5</f>
        <v/>
      </c>
      <c r="L1605" s="15">
        <f>L1596*Settings!$C$13*$D1605</f>
        <v/>
      </c>
      <c r="M1605" s="16">
        <f>M1596*Settings!$C$13*$D1605</f>
        <v/>
      </c>
      <c r="N1605" s="16">
        <f>N1596*Settings!$C$13*$D1605</f>
        <v/>
      </c>
      <c r="O1605" s="16">
        <f>O1596*Settings!$C$13*$D1605</f>
        <v/>
      </c>
      <c r="P1605" s="16">
        <f>P1596*Settings!$C$13*$D1605</f>
        <v/>
      </c>
      <c r="Q1605" s="16">
        <f>Q1596*Settings!$C$13*$D1605</f>
        <v/>
      </c>
      <c r="R1605" s="16">
        <f>R1596*Settings!$C$13*$D1605</f>
        <v/>
      </c>
      <c r="S1605" s="16">
        <f>S1596*Settings!$C$13*$D1605</f>
        <v/>
      </c>
      <c r="T1605" s="16">
        <f>T1596*Settings!$C$13*$D1605</f>
        <v/>
      </c>
      <c r="U1605" s="16">
        <f>U1596*Settings!$C$13*$D1605</f>
        <v/>
      </c>
      <c r="V1605" s="16">
        <f>V1596*Settings!$C$13*$D1605</f>
        <v/>
      </c>
      <c r="W1605" s="16">
        <f>W1596*Settings!$C$13*$D1605</f>
        <v/>
      </c>
      <c r="X1605" s="16">
        <f>X1596*Settings!$C$13*$D1605</f>
        <v/>
      </c>
      <c r="Y1605" s="16">
        <f>Y1596*Settings!$C$13*$D1605</f>
        <v/>
      </c>
      <c r="Z1605" s="16">
        <f>Z1596*Settings!$C$13*$D1605</f>
        <v/>
      </c>
      <c r="AA1605" s="16">
        <f>AA1596*Settings!$C$13*$D1605</f>
        <v/>
      </c>
      <c r="AB1605" s="16">
        <f>AB1596*Settings!$C$13*$D1605</f>
        <v/>
      </c>
      <c r="AC1605" s="16">
        <f>AC1596*Settings!$C$13*$D1605</f>
        <v/>
      </c>
      <c r="AD1605" s="16">
        <f>AD1596*Settings!$C$13*$D1605</f>
        <v/>
      </c>
      <c r="AE1605" s="49">
        <f>EMISSIONS(AE1596,Settings!$C$13,$D1605)</f>
        <v/>
      </c>
      <c r="AG1605" s="11">
        <f>CodePrefix&amp;$A1605&amp;IF($C1605="","","."&amp;$C1605&amp;"."&amp;$B1605)&amp;INDEX(VarEnd,MATCH($A1605,VarKey,0))&amp;AG$5</f>
        <v/>
      </c>
      <c r="AH1605" s="15">
        <f>AH1596*Settings!$C$13*$D1605</f>
        <v/>
      </c>
      <c r="AI1605" s="16">
        <f>AI1596*Settings!$C$13*$D1605</f>
        <v/>
      </c>
      <c r="AJ1605" s="16">
        <f>AJ1596*Settings!$C$13*$D1605</f>
        <v/>
      </c>
      <c r="AK1605" s="16">
        <f>AK1596*Settings!$C$13*$D1605</f>
        <v/>
      </c>
      <c r="AL1605" s="16">
        <f>AL1596*Settings!$C$13*$D1605</f>
        <v/>
      </c>
      <c r="AM1605" s="16">
        <f>AM1596*Settings!$C$13*$D1605</f>
        <v/>
      </c>
      <c r="AN1605" s="16">
        <f>AN1596*Settings!$C$13*$D1605</f>
        <v/>
      </c>
      <c r="AO1605" s="16">
        <f>AO1596*Settings!$C$13*$D1605</f>
        <v/>
      </c>
      <c r="AP1605" s="16">
        <f>AP1596*Settings!$C$13*$D1605</f>
        <v/>
      </c>
      <c r="AQ1605" s="16">
        <f>AQ1596*Settings!$C$13*$D1605</f>
        <v/>
      </c>
      <c r="AR1605" s="16">
        <f>AR1596*Settings!$C$13*$D1605</f>
        <v/>
      </c>
      <c r="AS1605" s="16">
        <f>AS1596*Settings!$C$13*$D1605</f>
        <v/>
      </c>
      <c r="AT1605" s="16">
        <f>AT1596*Settings!$C$13*$D1605</f>
        <v/>
      </c>
      <c r="AU1605" s="16">
        <f>AU1596*Settings!$C$13*$D1605</f>
        <v/>
      </c>
      <c r="AV1605" s="16">
        <f>AV1596*Settings!$C$13*$D1605</f>
        <v/>
      </c>
      <c r="AW1605" s="16">
        <f>AW1596*Settings!$C$13*$D1605</f>
        <v/>
      </c>
      <c r="AX1605" s="16">
        <f>AX1596*Settings!$C$13*$D1605</f>
        <v/>
      </c>
      <c r="AY1605" s="16">
        <f>AY1596*Settings!$C$13*$D1605</f>
        <v/>
      </c>
      <c r="AZ1605" s="16">
        <f>AZ1596*Settings!$C$13*$D1605</f>
        <v/>
      </c>
      <c r="BA1605" s="49">
        <f>EMISSIONS(BA1596,Settings!$C$13,$D1605)</f>
        <v/>
      </c>
    </row>
    <row r="1606" hidden="1" outlineLevel="2">
      <c r="A1606" s="14" t="inlineStr">
        <is>
          <t>co2</t>
        </is>
      </c>
      <c r="B1606" s="14" t="inlineStr">
        <is>
          <t>die</t>
        </is>
      </c>
      <c r="C1606" s="14" t="inlineStr">
        <is>
          <t>res</t>
        </is>
      </c>
      <c r="D1606" s="35">
        <f>INDEX(Inputs!$W$5:$W$132,MATCH($B1606&amp;"|"&amp;$C1606,Inputs!$A$5:$A$132,0))</f>
        <v/>
      </c>
      <c r="E1606" s="39" t="n"/>
      <c r="F1606" s="39" t="n"/>
      <c r="G1606" s="39" t="n"/>
      <c r="H1606" s="14">
        <f>INDEX(VarLab,MATCH($A1606,VarKey,0))&amp;INDEX(MemLab,MATCH($C1606&amp;"|"&amp;$B1606,MemKey,0))</f>
        <v/>
      </c>
      <c r="I1606" s="14">
        <f>INDEX(VarUnit,MATCH($A1606,VarKey,0))</f>
        <v/>
      </c>
      <c r="J1606" s="14">
        <f>INDEX(VarSrc,MATCH($A1606,VarKey,0))</f>
        <v/>
      </c>
      <c r="K1606" s="11">
        <f>CodePrefix&amp;$A1606&amp;IF($C1606="","","."&amp;$C1606&amp;"."&amp;$B1606)&amp;INDEX(VarEnd,MATCH($A1606,VarKey,0))&amp;K$5</f>
        <v/>
      </c>
      <c r="L1606" s="15">
        <f>L1597*Settings!$C$13*$D1606</f>
        <v/>
      </c>
      <c r="M1606" s="16">
        <f>M1597*Settings!$C$13*$D1606</f>
        <v/>
      </c>
      <c r="N1606" s="16">
        <f>N1597*Settings!$C$13*$D1606</f>
        <v/>
      </c>
      <c r="O1606" s="16">
        <f>O1597*Settings!$C$13*$D1606</f>
        <v/>
      </c>
      <c r="P1606" s="16">
        <f>P1597*Settings!$C$13*$D1606</f>
        <v/>
      </c>
      <c r="Q1606" s="16">
        <f>Q1597*Settings!$C$13*$D1606</f>
        <v/>
      </c>
      <c r="R1606" s="16">
        <f>R1597*Settings!$C$13*$D1606</f>
        <v/>
      </c>
      <c r="S1606" s="16">
        <f>S1597*Settings!$C$13*$D1606</f>
        <v/>
      </c>
      <c r="T1606" s="16">
        <f>T1597*Settings!$C$13*$D1606</f>
        <v/>
      </c>
      <c r="U1606" s="16">
        <f>U1597*Settings!$C$13*$D1606</f>
        <v/>
      </c>
      <c r="V1606" s="16">
        <f>V1597*Settings!$C$13*$D1606</f>
        <v/>
      </c>
      <c r="W1606" s="16">
        <f>W1597*Settings!$C$13*$D1606</f>
        <v/>
      </c>
      <c r="X1606" s="16">
        <f>X1597*Settings!$C$13*$D1606</f>
        <v/>
      </c>
      <c r="Y1606" s="16">
        <f>Y1597*Settings!$C$13*$D1606</f>
        <v/>
      </c>
      <c r="Z1606" s="16">
        <f>Z1597*Settings!$C$13*$D1606</f>
        <v/>
      </c>
      <c r="AA1606" s="16">
        <f>AA1597*Settings!$C$13*$D1606</f>
        <v/>
      </c>
      <c r="AB1606" s="16">
        <f>AB1597*Settings!$C$13*$D1606</f>
        <v/>
      </c>
      <c r="AC1606" s="16">
        <f>AC1597*Settings!$C$13*$D1606</f>
        <v/>
      </c>
      <c r="AD1606" s="16">
        <f>AD1597*Settings!$C$13*$D1606</f>
        <v/>
      </c>
      <c r="AE1606" s="49">
        <f>EMISSIONS(AE1597,Settings!$C$13,$D1606)</f>
        <v/>
      </c>
      <c r="AG1606" s="11">
        <f>CodePrefix&amp;$A1606&amp;IF($C1606="","","."&amp;$C1606&amp;"."&amp;$B1606)&amp;INDEX(VarEnd,MATCH($A1606,VarKey,0))&amp;AG$5</f>
        <v/>
      </c>
      <c r="AH1606" s="15">
        <f>AH1597*Settings!$C$13*$D1606</f>
        <v/>
      </c>
      <c r="AI1606" s="16">
        <f>AI1597*Settings!$C$13*$D1606</f>
        <v/>
      </c>
      <c r="AJ1606" s="16">
        <f>AJ1597*Settings!$C$13*$D1606</f>
        <v/>
      </c>
      <c r="AK1606" s="16">
        <f>AK1597*Settings!$C$13*$D1606</f>
        <v/>
      </c>
      <c r="AL1606" s="16">
        <f>AL1597*Settings!$C$13*$D1606</f>
        <v/>
      </c>
      <c r="AM1606" s="16">
        <f>AM1597*Settings!$C$13*$D1606</f>
        <v/>
      </c>
      <c r="AN1606" s="16">
        <f>AN1597*Settings!$C$13*$D1606</f>
        <v/>
      </c>
      <c r="AO1606" s="16">
        <f>AO1597*Settings!$C$13*$D1606</f>
        <v/>
      </c>
      <c r="AP1606" s="16">
        <f>AP1597*Settings!$C$13*$D1606</f>
        <v/>
      </c>
      <c r="AQ1606" s="16">
        <f>AQ1597*Settings!$C$13*$D1606</f>
        <v/>
      </c>
      <c r="AR1606" s="16">
        <f>AR1597*Settings!$C$13*$D1606</f>
        <v/>
      </c>
      <c r="AS1606" s="16">
        <f>AS1597*Settings!$C$13*$D1606</f>
        <v/>
      </c>
      <c r="AT1606" s="16">
        <f>AT1597*Settings!$C$13*$D1606</f>
        <v/>
      </c>
      <c r="AU1606" s="16">
        <f>AU1597*Settings!$C$13*$D1606</f>
        <v/>
      </c>
      <c r="AV1606" s="16">
        <f>AV1597*Settings!$C$13*$D1606</f>
        <v/>
      </c>
      <c r="AW1606" s="16">
        <f>AW1597*Settings!$C$13*$D1606</f>
        <v/>
      </c>
      <c r="AX1606" s="16">
        <f>AX1597*Settings!$C$13*$D1606</f>
        <v/>
      </c>
      <c r="AY1606" s="16">
        <f>AY1597*Settings!$C$13*$D1606</f>
        <v/>
      </c>
      <c r="AZ1606" s="16">
        <f>AZ1597*Settings!$C$13*$D1606</f>
        <v/>
      </c>
      <c r="BA1606" s="49">
        <f>EMISSIONS(BA1597,Settings!$C$13,$D1606)</f>
        <v/>
      </c>
    </row>
    <row r="1607" hidden="1" outlineLevel="2">
      <c r="A1607" s="14" t="inlineStr">
        <is>
          <t>co2</t>
        </is>
      </c>
      <c r="B1607" s="14" t="inlineStr">
        <is>
          <t>lpg</t>
        </is>
      </c>
      <c r="C1607" s="14" t="inlineStr">
        <is>
          <t>res</t>
        </is>
      </c>
      <c r="D1607" s="35">
        <f>INDEX(Inputs!$W$5:$W$132,MATCH($B1607&amp;"|"&amp;$C1607,Inputs!$A$5:$A$132,0))</f>
        <v/>
      </c>
      <c r="E1607" s="39" t="n"/>
      <c r="F1607" s="39" t="n"/>
      <c r="G1607" s="39" t="n"/>
      <c r="H1607" s="14">
        <f>INDEX(VarLab,MATCH($A1607,VarKey,0))&amp;INDEX(MemLab,MATCH($C1607&amp;"|"&amp;$B1607,MemKey,0))</f>
        <v/>
      </c>
      <c r="I1607" s="14">
        <f>INDEX(VarUnit,MATCH($A1607,VarKey,0))</f>
        <v/>
      </c>
      <c r="J1607" s="14">
        <f>INDEX(VarSrc,MATCH($A1607,VarKey,0))</f>
        <v/>
      </c>
      <c r="K1607" s="11">
        <f>CodePrefix&amp;$A1607&amp;IF($C1607="","","."&amp;$C1607&amp;"."&amp;$B1607)&amp;INDEX(VarEnd,MATCH($A1607,VarKey,0))&amp;K$5</f>
        <v/>
      </c>
      <c r="L1607" s="15">
        <f>L1598*Settings!$C$13*$D1607</f>
        <v/>
      </c>
      <c r="M1607" s="16">
        <f>M1598*Settings!$C$13*$D1607</f>
        <v/>
      </c>
      <c r="N1607" s="16">
        <f>N1598*Settings!$C$13*$D1607</f>
        <v/>
      </c>
      <c r="O1607" s="16">
        <f>O1598*Settings!$C$13*$D1607</f>
        <v/>
      </c>
      <c r="P1607" s="16">
        <f>P1598*Settings!$C$13*$D1607</f>
        <v/>
      </c>
      <c r="Q1607" s="16">
        <f>Q1598*Settings!$C$13*$D1607</f>
        <v/>
      </c>
      <c r="R1607" s="16">
        <f>R1598*Settings!$C$13*$D1607</f>
        <v/>
      </c>
      <c r="S1607" s="16">
        <f>S1598*Settings!$C$13*$D1607</f>
        <v/>
      </c>
      <c r="T1607" s="16">
        <f>T1598*Settings!$C$13*$D1607</f>
        <v/>
      </c>
      <c r="U1607" s="16">
        <f>U1598*Settings!$C$13*$D1607</f>
        <v/>
      </c>
      <c r="V1607" s="16">
        <f>V1598*Settings!$C$13*$D1607</f>
        <v/>
      </c>
      <c r="W1607" s="16">
        <f>W1598*Settings!$C$13*$D1607</f>
        <v/>
      </c>
      <c r="X1607" s="16">
        <f>X1598*Settings!$C$13*$D1607</f>
        <v/>
      </c>
      <c r="Y1607" s="16">
        <f>Y1598*Settings!$C$13*$D1607</f>
        <v/>
      </c>
      <c r="Z1607" s="16">
        <f>Z1598*Settings!$C$13*$D1607</f>
        <v/>
      </c>
      <c r="AA1607" s="16">
        <f>AA1598*Settings!$C$13*$D1607</f>
        <v/>
      </c>
      <c r="AB1607" s="16">
        <f>AB1598*Settings!$C$13*$D1607</f>
        <v/>
      </c>
      <c r="AC1607" s="16">
        <f>AC1598*Settings!$C$13*$D1607</f>
        <v/>
      </c>
      <c r="AD1607" s="16">
        <f>AD1598*Settings!$C$13*$D1607</f>
        <v/>
      </c>
      <c r="AE1607" s="49">
        <f>EMISSIONS(AE1598,Settings!$C$13,$D1607)</f>
        <v/>
      </c>
      <c r="AG1607" s="11">
        <f>CodePrefix&amp;$A1607&amp;IF($C1607="","","."&amp;$C1607&amp;"."&amp;$B1607)&amp;INDEX(VarEnd,MATCH($A1607,VarKey,0))&amp;AG$5</f>
        <v/>
      </c>
      <c r="AH1607" s="15">
        <f>AH1598*Settings!$C$13*$D1607</f>
        <v/>
      </c>
      <c r="AI1607" s="16">
        <f>AI1598*Settings!$C$13*$D1607</f>
        <v/>
      </c>
      <c r="AJ1607" s="16">
        <f>AJ1598*Settings!$C$13*$D1607</f>
        <v/>
      </c>
      <c r="AK1607" s="16">
        <f>AK1598*Settings!$C$13*$D1607</f>
        <v/>
      </c>
      <c r="AL1607" s="16">
        <f>AL1598*Settings!$C$13*$D1607</f>
        <v/>
      </c>
      <c r="AM1607" s="16">
        <f>AM1598*Settings!$C$13*$D1607</f>
        <v/>
      </c>
      <c r="AN1607" s="16">
        <f>AN1598*Settings!$C$13*$D1607</f>
        <v/>
      </c>
      <c r="AO1607" s="16">
        <f>AO1598*Settings!$C$13*$D1607</f>
        <v/>
      </c>
      <c r="AP1607" s="16">
        <f>AP1598*Settings!$C$13*$D1607</f>
        <v/>
      </c>
      <c r="AQ1607" s="16">
        <f>AQ1598*Settings!$C$13*$D1607</f>
        <v/>
      </c>
      <c r="AR1607" s="16">
        <f>AR1598*Settings!$C$13*$D1607</f>
        <v/>
      </c>
      <c r="AS1607" s="16">
        <f>AS1598*Settings!$C$13*$D1607</f>
        <v/>
      </c>
      <c r="AT1607" s="16">
        <f>AT1598*Settings!$C$13*$D1607</f>
        <v/>
      </c>
      <c r="AU1607" s="16">
        <f>AU1598*Settings!$C$13*$D1607</f>
        <v/>
      </c>
      <c r="AV1607" s="16">
        <f>AV1598*Settings!$C$13*$D1607</f>
        <v/>
      </c>
      <c r="AW1607" s="16">
        <f>AW1598*Settings!$C$13*$D1607</f>
        <v/>
      </c>
      <c r="AX1607" s="16">
        <f>AX1598*Settings!$C$13*$D1607</f>
        <v/>
      </c>
      <c r="AY1607" s="16">
        <f>AY1598*Settings!$C$13*$D1607</f>
        <v/>
      </c>
      <c r="AZ1607" s="16">
        <f>AZ1598*Settings!$C$13*$D1607</f>
        <v/>
      </c>
      <c r="BA1607" s="49">
        <f>EMISSIONS(BA1598,Settings!$C$13,$D1607)</f>
        <v/>
      </c>
    </row>
    <row r="1608" hidden="1" outlineLevel="2">
      <c r="A1608" s="14" t="inlineStr">
        <is>
          <t>co2</t>
        </is>
      </c>
      <c r="B1608" s="14" t="inlineStr">
        <is>
          <t>ker</t>
        </is>
      </c>
      <c r="C1608" s="14" t="inlineStr">
        <is>
          <t>res</t>
        </is>
      </c>
      <c r="D1608" s="35">
        <f>INDEX(Inputs!$W$5:$W$132,MATCH($B1608&amp;"|"&amp;$C1608,Inputs!$A$5:$A$132,0))</f>
        <v/>
      </c>
      <c r="E1608" s="39" t="n"/>
      <c r="F1608" s="39" t="n"/>
      <c r="G1608" s="39" t="n"/>
      <c r="H1608" s="14">
        <f>INDEX(VarLab,MATCH($A1608,VarKey,0))&amp;INDEX(MemLab,MATCH($C1608&amp;"|"&amp;$B1608,MemKey,0))</f>
        <v/>
      </c>
      <c r="I1608" s="14">
        <f>INDEX(VarUnit,MATCH($A1608,VarKey,0))</f>
        <v/>
      </c>
      <c r="J1608" s="14">
        <f>INDEX(VarSrc,MATCH($A1608,VarKey,0))</f>
        <v/>
      </c>
      <c r="K1608" s="11">
        <f>CodePrefix&amp;$A1608&amp;IF($C1608="","","."&amp;$C1608&amp;"."&amp;$B1608)&amp;INDEX(VarEnd,MATCH($A1608,VarKey,0))&amp;K$5</f>
        <v/>
      </c>
      <c r="L1608" s="15">
        <f>L1599*Settings!$C$13*$D1608</f>
        <v/>
      </c>
      <c r="M1608" s="16">
        <f>M1599*Settings!$C$13*$D1608</f>
        <v/>
      </c>
      <c r="N1608" s="16">
        <f>N1599*Settings!$C$13*$D1608</f>
        <v/>
      </c>
      <c r="O1608" s="16">
        <f>O1599*Settings!$C$13*$D1608</f>
        <v/>
      </c>
      <c r="P1608" s="16">
        <f>P1599*Settings!$C$13*$D1608</f>
        <v/>
      </c>
      <c r="Q1608" s="16">
        <f>Q1599*Settings!$C$13*$D1608</f>
        <v/>
      </c>
      <c r="R1608" s="16">
        <f>R1599*Settings!$C$13*$D1608</f>
        <v/>
      </c>
      <c r="S1608" s="16">
        <f>S1599*Settings!$C$13*$D1608</f>
        <v/>
      </c>
      <c r="T1608" s="16">
        <f>T1599*Settings!$C$13*$D1608</f>
        <v/>
      </c>
      <c r="U1608" s="16">
        <f>U1599*Settings!$C$13*$D1608</f>
        <v/>
      </c>
      <c r="V1608" s="16">
        <f>V1599*Settings!$C$13*$D1608</f>
        <v/>
      </c>
      <c r="W1608" s="16">
        <f>W1599*Settings!$C$13*$D1608</f>
        <v/>
      </c>
      <c r="X1608" s="16">
        <f>X1599*Settings!$C$13*$D1608</f>
        <v/>
      </c>
      <c r="Y1608" s="16">
        <f>Y1599*Settings!$C$13*$D1608</f>
        <v/>
      </c>
      <c r="Z1608" s="16">
        <f>Z1599*Settings!$C$13*$D1608</f>
        <v/>
      </c>
      <c r="AA1608" s="16">
        <f>AA1599*Settings!$C$13*$D1608</f>
        <v/>
      </c>
      <c r="AB1608" s="16">
        <f>AB1599*Settings!$C$13*$D1608</f>
        <v/>
      </c>
      <c r="AC1608" s="16">
        <f>AC1599*Settings!$C$13*$D1608</f>
        <v/>
      </c>
      <c r="AD1608" s="16">
        <f>AD1599*Settings!$C$13*$D1608</f>
        <v/>
      </c>
      <c r="AE1608" s="49">
        <f>EMISSIONS(AE1599,Settings!$C$13,$D1608)</f>
        <v/>
      </c>
      <c r="AG1608" s="11">
        <f>CodePrefix&amp;$A1608&amp;IF($C1608="","","."&amp;$C1608&amp;"."&amp;$B1608)&amp;INDEX(VarEnd,MATCH($A1608,VarKey,0))&amp;AG$5</f>
        <v/>
      </c>
      <c r="AH1608" s="15">
        <f>AH1599*Settings!$C$13*$D1608</f>
        <v/>
      </c>
      <c r="AI1608" s="16">
        <f>AI1599*Settings!$C$13*$D1608</f>
        <v/>
      </c>
      <c r="AJ1608" s="16">
        <f>AJ1599*Settings!$C$13*$D1608</f>
        <v/>
      </c>
      <c r="AK1608" s="16">
        <f>AK1599*Settings!$C$13*$D1608</f>
        <v/>
      </c>
      <c r="AL1608" s="16">
        <f>AL1599*Settings!$C$13*$D1608</f>
        <v/>
      </c>
      <c r="AM1608" s="16">
        <f>AM1599*Settings!$C$13*$D1608</f>
        <v/>
      </c>
      <c r="AN1608" s="16">
        <f>AN1599*Settings!$C$13*$D1608</f>
        <v/>
      </c>
      <c r="AO1608" s="16">
        <f>AO1599*Settings!$C$13*$D1608</f>
        <v/>
      </c>
      <c r="AP1608" s="16">
        <f>AP1599*Settings!$C$13*$D1608</f>
        <v/>
      </c>
      <c r="AQ1608" s="16">
        <f>AQ1599*Settings!$C$13*$D1608</f>
        <v/>
      </c>
      <c r="AR1608" s="16">
        <f>AR1599*Settings!$C$13*$D1608</f>
        <v/>
      </c>
      <c r="AS1608" s="16">
        <f>AS1599*Settings!$C$13*$D1608</f>
        <v/>
      </c>
      <c r="AT1608" s="16">
        <f>AT1599*Settings!$C$13*$D1608</f>
        <v/>
      </c>
      <c r="AU1608" s="16">
        <f>AU1599*Settings!$C$13*$D1608</f>
        <v/>
      </c>
      <c r="AV1608" s="16">
        <f>AV1599*Settings!$C$13*$D1608</f>
        <v/>
      </c>
      <c r="AW1608" s="16">
        <f>AW1599*Settings!$C$13*$D1608</f>
        <v/>
      </c>
      <c r="AX1608" s="16">
        <f>AX1599*Settings!$C$13*$D1608</f>
        <v/>
      </c>
      <c r="AY1608" s="16">
        <f>AY1599*Settings!$C$13*$D1608</f>
        <v/>
      </c>
      <c r="AZ1608" s="16">
        <f>AZ1599*Settings!$C$13*$D1608</f>
        <v/>
      </c>
      <c r="BA1608" s="49">
        <f>EMISSIONS(BA1599,Settings!$C$13,$D1608)</f>
        <v/>
      </c>
    </row>
    <row r="1609" hidden="1" outlineLevel="2">
      <c r="A1609" s="14" t="inlineStr">
        <is>
          <t>co2</t>
        </is>
      </c>
      <c r="B1609" s="14" t="inlineStr">
        <is>
          <t>oop</t>
        </is>
      </c>
      <c r="C1609" s="14" t="inlineStr">
        <is>
          <t>res</t>
        </is>
      </c>
      <c r="D1609" s="35">
        <f>INDEX(Inputs!$W$5:$W$132,MATCH($B1609&amp;"|"&amp;$C1609,Inputs!$A$5:$A$132,0))</f>
        <v/>
      </c>
      <c r="E1609" s="39" t="n"/>
      <c r="F1609" s="39" t="n"/>
      <c r="G1609" s="39" t="n"/>
      <c r="H1609" s="14">
        <f>INDEX(VarLab,MATCH($A1609,VarKey,0))&amp;INDEX(MemLab,MATCH($C1609&amp;"|"&amp;$B1609,MemKey,0))</f>
        <v/>
      </c>
      <c r="I1609" s="14">
        <f>INDEX(VarUnit,MATCH($A1609,VarKey,0))</f>
        <v/>
      </c>
      <c r="J1609" s="14">
        <f>INDEX(VarSrc,MATCH($A1609,VarKey,0))</f>
        <v/>
      </c>
      <c r="K1609" s="11">
        <f>CodePrefix&amp;$A1609&amp;IF($C1609="","","."&amp;$C1609&amp;"."&amp;$B1609)&amp;INDEX(VarEnd,MATCH($A1609,VarKey,0))&amp;K$5</f>
        <v/>
      </c>
      <c r="L1609" s="15">
        <f>L1600*Settings!$C$13*$D1609</f>
        <v/>
      </c>
      <c r="M1609" s="16">
        <f>M1600*Settings!$C$13*$D1609</f>
        <v/>
      </c>
      <c r="N1609" s="16">
        <f>N1600*Settings!$C$13*$D1609</f>
        <v/>
      </c>
      <c r="O1609" s="16">
        <f>O1600*Settings!$C$13*$D1609</f>
        <v/>
      </c>
      <c r="P1609" s="16">
        <f>P1600*Settings!$C$13*$D1609</f>
        <v/>
      </c>
      <c r="Q1609" s="16">
        <f>Q1600*Settings!$C$13*$D1609</f>
        <v/>
      </c>
      <c r="R1609" s="16">
        <f>R1600*Settings!$C$13*$D1609</f>
        <v/>
      </c>
      <c r="S1609" s="16">
        <f>S1600*Settings!$C$13*$D1609</f>
        <v/>
      </c>
      <c r="T1609" s="16">
        <f>T1600*Settings!$C$13*$D1609</f>
        <v/>
      </c>
      <c r="U1609" s="16">
        <f>U1600*Settings!$C$13*$D1609</f>
        <v/>
      </c>
      <c r="V1609" s="16">
        <f>V1600*Settings!$C$13*$D1609</f>
        <v/>
      </c>
      <c r="W1609" s="16">
        <f>W1600*Settings!$C$13*$D1609</f>
        <v/>
      </c>
      <c r="X1609" s="16">
        <f>X1600*Settings!$C$13*$D1609</f>
        <v/>
      </c>
      <c r="Y1609" s="16">
        <f>Y1600*Settings!$C$13*$D1609</f>
        <v/>
      </c>
      <c r="Z1609" s="16">
        <f>Z1600*Settings!$C$13*$D1609</f>
        <v/>
      </c>
      <c r="AA1609" s="16">
        <f>AA1600*Settings!$C$13*$D1609</f>
        <v/>
      </c>
      <c r="AB1609" s="16">
        <f>AB1600*Settings!$C$13*$D1609</f>
        <v/>
      </c>
      <c r="AC1609" s="16">
        <f>AC1600*Settings!$C$13*$D1609</f>
        <v/>
      </c>
      <c r="AD1609" s="16">
        <f>AD1600*Settings!$C$13*$D1609</f>
        <v/>
      </c>
      <c r="AE1609" s="49">
        <f>EMISSIONS(AE1600,Settings!$C$13,$D1609)</f>
        <v/>
      </c>
      <c r="AG1609" s="11">
        <f>CodePrefix&amp;$A1609&amp;IF($C1609="","","."&amp;$C1609&amp;"."&amp;$B1609)&amp;INDEX(VarEnd,MATCH($A1609,VarKey,0))&amp;AG$5</f>
        <v/>
      </c>
      <c r="AH1609" s="15">
        <f>AH1600*Settings!$C$13*$D1609</f>
        <v/>
      </c>
      <c r="AI1609" s="16">
        <f>AI1600*Settings!$C$13*$D1609</f>
        <v/>
      </c>
      <c r="AJ1609" s="16">
        <f>AJ1600*Settings!$C$13*$D1609</f>
        <v/>
      </c>
      <c r="AK1609" s="16">
        <f>AK1600*Settings!$C$13*$D1609</f>
        <v/>
      </c>
      <c r="AL1609" s="16">
        <f>AL1600*Settings!$C$13*$D1609</f>
        <v/>
      </c>
      <c r="AM1609" s="16">
        <f>AM1600*Settings!$C$13*$D1609</f>
        <v/>
      </c>
      <c r="AN1609" s="16">
        <f>AN1600*Settings!$C$13*$D1609</f>
        <v/>
      </c>
      <c r="AO1609" s="16">
        <f>AO1600*Settings!$C$13*$D1609</f>
        <v/>
      </c>
      <c r="AP1609" s="16">
        <f>AP1600*Settings!$C$13*$D1609</f>
        <v/>
      </c>
      <c r="AQ1609" s="16">
        <f>AQ1600*Settings!$C$13*$D1609</f>
        <v/>
      </c>
      <c r="AR1609" s="16">
        <f>AR1600*Settings!$C$13*$D1609</f>
        <v/>
      </c>
      <c r="AS1609" s="16">
        <f>AS1600*Settings!$C$13*$D1609</f>
        <v/>
      </c>
      <c r="AT1609" s="16">
        <f>AT1600*Settings!$C$13*$D1609</f>
        <v/>
      </c>
      <c r="AU1609" s="16">
        <f>AU1600*Settings!$C$13*$D1609</f>
        <v/>
      </c>
      <c r="AV1609" s="16">
        <f>AV1600*Settings!$C$13*$D1609</f>
        <v/>
      </c>
      <c r="AW1609" s="16">
        <f>AW1600*Settings!$C$13*$D1609</f>
        <v/>
      </c>
      <c r="AX1609" s="16">
        <f>AX1600*Settings!$C$13*$D1609</f>
        <v/>
      </c>
      <c r="AY1609" s="16">
        <f>AY1600*Settings!$C$13*$D1609</f>
        <v/>
      </c>
      <c r="AZ1609" s="16">
        <f>AZ1600*Settings!$C$13*$D1609</f>
        <v/>
      </c>
      <c r="BA1609" s="49">
        <f>EMISSIONS(BA1600,Settings!$C$13,$D1609)</f>
        <v/>
      </c>
    </row>
    <row r="1610" hidden="1" outlineLevel="2">
      <c r="A1610" s="14" t="inlineStr">
        <is>
          <t>co2</t>
        </is>
      </c>
      <c r="B1610" s="14" t="inlineStr">
        <is>
          <t>bio</t>
        </is>
      </c>
      <c r="C1610" s="14" t="inlineStr">
        <is>
          <t>res</t>
        </is>
      </c>
      <c r="D1610" s="35">
        <f>INDEX(Inputs!$W$5:$W$132,MATCH($B1610&amp;"|"&amp;$C1610,Inputs!$A$5:$A$132,0))</f>
        <v/>
      </c>
      <c r="E1610" s="39" t="n"/>
      <c r="F1610" s="39" t="n"/>
      <c r="G1610" s="39" t="n"/>
      <c r="H1610" s="14">
        <f>INDEX(VarLab,MATCH($A1610,VarKey,0))&amp;INDEX(MemLab,MATCH($C1610&amp;"|"&amp;$B1610,MemKey,0))</f>
        <v/>
      </c>
      <c r="I1610" s="14">
        <f>INDEX(VarUnit,MATCH($A1610,VarKey,0))</f>
        <v/>
      </c>
      <c r="J1610" s="14">
        <f>INDEX(VarSrc,MATCH($A1610,VarKey,0))</f>
        <v/>
      </c>
      <c r="K1610" s="11">
        <f>CodePrefix&amp;$A1610&amp;IF($C1610="","","."&amp;$C1610&amp;"."&amp;$B1610)&amp;INDEX(VarEnd,MATCH($A1610,VarKey,0))&amp;K$5</f>
        <v/>
      </c>
      <c r="L1610" s="15">
        <f>L1601*Settings!$C$13*$D1610</f>
        <v/>
      </c>
      <c r="M1610" s="16">
        <f>M1601*Settings!$C$13*$D1610</f>
        <v/>
      </c>
      <c r="N1610" s="16">
        <f>N1601*Settings!$C$13*$D1610</f>
        <v/>
      </c>
      <c r="O1610" s="16">
        <f>O1601*Settings!$C$13*$D1610</f>
        <v/>
      </c>
      <c r="P1610" s="16">
        <f>P1601*Settings!$C$13*$D1610</f>
        <v/>
      </c>
      <c r="Q1610" s="16">
        <f>Q1601*Settings!$C$13*$D1610</f>
        <v/>
      </c>
      <c r="R1610" s="16">
        <f>R1601*Settings!$C$13*$D1610</f>
        <v/>
      </c>
      <c r="S1610" s="16">
        <f>S1601*Settings!$C$13*$D1610</f>
        <v/>
      </c>
      <c r="T1610" s="16">
        <f>T1601*Settings!$C$13*$D1610</f>
        <v/>
      </c>
      <c r="U1610" s="16">
        <f>U1601*Settings!$C$13*$D1610</f>
        <v/>
      </c>
      <c r="V1610" s="16">
        <f>V1601*Settings!$C$13*$D1610</f>
        <v/>
      </c>
      <c r="W1610" s="16">
        <f>W1601*Settings!$C$13*$D1610</f>
        <v/>
      </c>
      <c r="X1610" s="16">
        <f>X1601*Settings!$C$13*$D1610</f>
        <v/>
      </c>
      <c r="Y1610" s="16">
        <f>Y1601*Settings!$C$13*$D1610</f>
        <v/>
      </c>
      <c r="Z1610" s="16">
        <f>Z1601*Settings!$C$13*$D1610</f>
        <v/>
      </c>
      <c r="AA1610" s="16">
        <f>AA1601*Settings!$C$13*$D1610</f>
        <v/>
      </c>
      <c r="AB1610" s="16">
        <f>AB1601*Settings!$C$13*$D1610</f>
        <v/>
      </c>
      <c r="AC1610" s="16">
        <f>AC1601*Settings!$C$13*$D1610</f>
        <v/>
      </c>
      <c r="AD1610" s="16">
        <f>AD1601*Settings!$C$13*$D1610</f>
        <v/>
      </c>
      <c r="AE1610" s="49">
        <f>EMISSIONS(AE1601,Settings!$C$13,$D1610)</f>
        <v/>
      </c>
      <c r="AG1610" s="11">
        <f>CodePrefix&amp;$A1610&amp;IF($C1610="","","."&amp;$C1610&amp;"."&amp;$B1610)&amp;INDEX(VarEnd,MATCH($A1610,VarKey,0))&amp;AG$5</f>
        <v/>
      </c>
      <c r="AH1610" s="15">
        <f>AH1601*Settings!$C$13*$D1610</f>
        <v/>
      </c>
      <c r="AI1610" s="16">
        <f>AI1601*Settings!$C$13*$D1610</f>
        <v/>
      </c>
      <c r="AJ1610" s="16">
        <f>AJ1601*Settings!$C$13*$D1610</f>
        <v/>
      </c>
      <c r="AK1610" s="16">
        <f>AK1601*Settings!$C$13*$D1610</f>
        <v/>
      </c>
      <c r="AL1610" s="16">
        <f>AL1601*Settings!$C$13*$D1610</f>
        <v/>
      </c>
      <c r="AM1610" s="16">
        <f>AM1601*Settings!$C$13*$D1610</f>
        <v/>
      </c>
      <c r="AN1610" s="16">
        <f>AN1601*Settings!$C$13*$D1610</f>
        <v/>
      </c>
      <c r="AO1610" s="16">
        <f>AO1601*Settings!$C$13*$D1610</f>
        <v/>
      </c>
      <c r="AP1610" s="16">
        <f>AP1601*Settings!$C$13*$D1610</f>
        <v/>
      </c>
      <c r="AQ1610" s="16">
        <f>AQ1601*Settings!$C$13*$D1610</f>
        <v/>
      </c>
      <c r="AR1610" s="16">
        <f>AR1601*Settings!$C$13*$D1610</f>
        <v/>
      </c>
      <c r="AS1610" s="16">
        <f>AS1601*Settings!$C$13*$D1610</f>
        <v/>
      </c>
      <c r="AT1610" s="16">
        <f>AT1601*Settings!$C$13*$D1610</f>
        <v/>
      </c>
      <c r="AU1610" s="16">
        <f>AU1601*Settings!$C$13*$D1610</f>
        <v/>
      </c>
      <c r="AV1610" s="16">
        <f>AV1601*Settings!$C$13*$D1610</f>
        <v/>
      </c>
      <c r="AW1610" s="16">
        <f>AW1601*Settings!$C$13*$D1610</f>
        <v/>
      </c>
      <c r="AX1610" s="16">
        <f>AX1601*Settings!$C$13*$D1610</f>
        <v/>
      </c>
      <c r="AY1610" s="16">
        <f>AY1601*Settings!$C$13*$D1610</f>
        <v/>
      </c>
      <c r="AZ1610" s="16">
        <f>AZ1601*Settings!$C$13*$D1610</f>
        <v/>
      </c>
      <c r="BA1610" s="49">
        <f>EMISSIONS(BA1601,Settings!$C$13,$D1610)</f>
        <v/>
      </c>
    </row>
    <row r="1611" hidden="1" outlineLevel="2"/>
    <row r="1612" hidden="1" outlineLevel="2">
      <c r="A1612" s="14" t="inlineStr">
        <is>
          <t>rtx</t>
        </is>
      </c>
      <c r="B1612" s="14" t="inlineStr">
        <is>
          <t>coa</t>
        </is>
      </c>
      <c r="C1612" s="14" t="inlineStr">
        <is>
          <t>res</t>
        </is>
      </c>
      <c r="D1612" s="35">
        <f>INDEX(Inputs!$U$5:$U$132,MATCH($B1612&amp;"|"&amp;$C1612,Inputs!$A$5:$A$132,0))</f>
        <v/>
      </c>
      <c r="E1612" s="35">
        <f>INDEX(Inputs!$V$5:$V$132,MATCH($B1612&amp;"|"&amp;$C1612,Inputs!$A$5:$A$132,0))</f>
        <v/>
      </c>
      <c r="F1612" s="39" t="n"/>
      <c r="G1612" s="39" t="n"/>
      <c r="H1612" s="14">
        <f>INDEX(VarLab,MATCH($A1612,VarKey,0))&amp;INDEX(MemLab,MATCH($C1612&amp;"|"&amp;$B1612,MemKey,0))</f>
        <v/>
      </c>
      <c r="I1612" s="14">
        <f>INDEX(VarUnit,MATCH($A1612,VarKey,0))</f>
        <v/>
      </c>
      <c r="J1612" s="14">
        <f>INDEX(VarSrc,MATCH($A1612,VarKey,0))</f>
        <v/>
      </c>
      <c r="K1612" s="11">
        <f>CodePrefix&amp;$A1612&amp;IF($C1612="","","."&amp;$C1612&amp;"."&amp;$B1612)&amp;INDEX(VarEnd,MATCH($A1612,VarKey,0))&amp;K$5</f>
        <v/>
      </c>
      <c r="L1612" s="43">
        <f>L1594*Settings!$C$13*(INDEX(L$407:L$418,$D1612)+INDEX(L$394:L$405,$D1612)+L1567*(1+$E1612))</f>
        <v/>
      </c>
      <c r="M1612" s="44">
        <f>M1594*Settings!$C$13*(INDEX(M$407:M$418,$D1612)+INDEX(M$394:M$405,$D1612)+M1567*(1+$E1612))</f>
        <v/>
      </c>
      <c r="N1612" s="44">
        <f>N1594*Settings!$C$13*(INDEX(N$407:N$418,$D1612)+INDEX(N$394:N$405,$D1612)+N1567*(1+$E1612))</f>
        <v/>
      </c>
      <c r="O1612" s="44">
        <f>O1594*Settings!$C$13*(INDEX(O$407:O$418,$D1612)+INDEX(O$394:O$405,$D1612)+O1567*(1+$E1612))</f>
        <v/>
      </c>
      <c r="P1612" s="44">
        <f>P1594*Settings!$C$13*(INDEX(P$407:P$418,$D1612)+INDEX(P$394:P$405,$D1612)+P1567*(1+$E1612))</f>
        <v/>
      </c>
      <c r="Q1612" s="44">
        <f>Q1594*Settings!$C$13*(INDEX(Q$407:Q$418,$D1612)+INDEX(Q$394:Q$405,$D1612)+Q1567*(1+$E1612))</f>
        <v/>
      </c>
      <c r="R1612" s="44">
        <f>R1594*Settings!$C$13*(INDEX(R$407:R$418,$D1612)+INDEX(R$394:R$405,$D1612)+R1567*(1+$E1612))</f>
        <v/>
      </c>
      <c r="S1612" s="44">
        <f>S1594*Settings!$C$13*(INDEX(S$407:S$418,$D1612)+INDEX(S$394:S$405,$D1612)+S1567*(1+$E1612))</f>
        <v/>
      </c>
      <c r="T1612" s="44">
        <f>T1594*Settings!$C$13*(INDEX(T$407:T$418,$D1612)+INDEX(T$394:T$405,$D1612)+T1567*(1+$E1612))</f>
        <v/>
      </c>
      <c r="U1612" s="44">
        <f>U1594*Settings!$C$13*(INDEX(U$407:U$418,$D1612)+INDEX(U$394:U$405,$D1612)+U1567*(1+$E1612))</f>
        <v/>
      </c>
      <c r="V1612" s="44">
        <f>V1594*Settings!$C$13*(INDEX(V$407:V$418,$D1612)+INDEX(V$394:V$405,$D1612)+V1567*(1+$E1612))</f>
        <v/>
      </c>
      <c r="W1612" s="44">
        <f>W1594*Settings!$C$13*(INDEX(W$407:W$418,$D1612)+INDEX(W$394:W$405,$D1612)+W1567*(1+$E1612))</f>
        <v/>
      </c>
      <c r="X1612" s="44">
        <f>X1594*Settings!$C$13*(INDEX(X$407:X$418,$D1612)+INDEX(X$394:X$405,$D1612)+X1567*(1+$E1612))</f>
        <v/>
      </c>
      <c r="Y1612" s="44">
        <f>Y1594*Settings!$C$13*(INDEX(Y$407:Y$418,$D1612)+INDEX(Y$394:Y$405,$D1612)+Y1567*(1+$E1612))</f>
        <v/>
      </c>
      <c r="Z1612" s="44">
        <f>Z1594*Settings!$C$13*(INDEX(Z$407:Z$418,$D1612)+INDEX(Z$394:Z$405,$D1612)+Z1567*(1+$E1612))</f>
        <v/>
      </c>
      <c r="AA1612" s="44">
        <f>AA1594*Settings!$C$13*(INDEX(AA$407:AA$418,$D1612)+INDEX(AA$394:AA$405,$D1612)+AA1567*(1+$E1612))</f>
        <v/>
      </c>
      <c r="AB1612" s="44">
        <f>AB1594*Settings!$C$13*(INDEX(AB$407:AB$418,$D1612)+INDEX(AB$394:AB$405,$D1612)+AB1567*(1+$E1612))</f>
        <v/>
      </c>
      <c r="AC1612" s="44">
        <f>AC1594*Settings!$C$13*(INDEX(AC$407:AC$418,$D1612)+INDEX(AC$394:AC$405,$D1612)+AC1567*(1+$E1612))</f>
        <v/>
      </c>
      <c r="AD1612" s="44">
        <f>AD1594*Settings!$C$13*(INDEX(AD$407:AD$418,$D1612)+INDEX(AD$394:AD$405,$D1612)+AD1567*(1+$E1612))</f>
        <v/>
      </c>
      <c r="AE1612" s="57">
        <f>REVENUE(AE1594,Settings!$C$13,INDEX(AE$407:AE$418,$D1612)+INDEX(AE$394:AE$405,$D1612)+AE1567*(1+$E1612))</f>
        <v/>
      </c>
      <c r="AG1612" s="11">
        <f>CodePrefix&amp;$A1612&amp;IF($C1612="","","."&amp;$C1612&amp;"."&amp;$B1612)&amp;INDEX(VarEnd,MATCH($A1612,VarKey,0))&amp;AG$5</f>
        <v/>
      </c>
      <c r="AH1612" s="43">
        <f>AH1594*Settings!$C$13*(INDEX(AH$407:AH$418,$D1612)+INDEX(AH$394:AH$405,$D1612)+AH1567*(1+$E1612))</f>
        <v/>
      </c>
      <c r="AI1612" s="44">
        <f>AI1594*Settings!$C$13*(INDEX(AI$407:AI$418,$D1612)+INDEX(AI$394:AI$405,$D1612)+AI1567*(1+$E1612))</f>
        <v/>
      </c>
      <c r="AJ1612" s="44">
        <f>AJ1594*Settings!$C$13*(INDEX(AJ$407:AJ$418,$D1612)+INDEX(AJ$394:AJ$405,$D1612)+AJ1567*(1+$E1612))</f>
        <v/>
      </c>
      <c r="AK1612" s="44">
        <f>AK1594*Settings!$C$13*(INDEX(AK$407:AK$418,$D1612)+INDEX(AK$394:AK$405,$D1612)+AK1567*(1+$E1612))</f>
        <v/>
      </c>
      <c r="AL1612" s="44">
        <f>AL1594*Settings!$C$13*(INDEX(AL$407:AL$418,$D1612)+INDEX(AL$394:AL$405,$D1612)+AL1567*(1+$E1612))</f>
        <v/>
      </c>
      <c r="AM1612" s="44">
        <f>AM1594*Settings!$C$13*(INDEX(AM$407:AM$418,$D1612)+INDEX(AM$394:AM$405,$D1612)+AM1567*(1+$E1612))</f>
        <v/>
      </c>
      <c r="AN1612" s="44">
        <f>AN1594*Settings!$C$13*(INDEX(AN$407:AN$418,$D1612)+INDEX(AN$394:AN$405,$D1612)+AN1567*(1+$E1612))</f>
        <v/>
      </c>
      <c r="AO1612" s="44">
        <f>AO1594*Settings!$C$13*(INDEX(AO$407:AO$418,$D1612)+INDEX(AO$394:AO$405,$D1612)+AO1567*(1+$E1612))</f>
        <v/>
      </c>
      <c r="AP1612" s="44">
        <f>AP1594*Settings!$C$13*(INDEX(AP$407:AP$418,$D1612)+INDEX(AP$394:AP$405,$D1612)+AP1567*(1+$E1612))</f>
        <v/>
      </c>
      <c r="AQ1612" s="44">
        <f>AQ1594*Settings!$C$13*(INDEX(AQ$407:AQ$418,$D1612)+INDEX(AQ$394:AQ$405,$D1612)+AQ1567*(1+$E1612))</f>
        <v/>
      </c>
      <c r="AR1612" s="44">
        <f>AR1594*Settings!$C$13*(INDEX(AR$407:AR$418,$D1612)+INDEX(AR$394:AR$405,$D1612)+AR1567*(1+$E1612))</f>
        <v/>
      </c>
      <c r="AS1612" s="44">
        <f>AS1594*Settings!$C$13*(INDEX(AS$407:AS$418,$D1612)+INDEX(AS$394:AS$405,$D1612)+AS1567*(1+$E1612))</f>
        <v/>
      </c>
      <c r="AT1612" s="44">
        <f>AT1594*Settings!$C$13*(INDEX(AT$407:AT$418,$D1612)+INDEX(AT$394:AT$405,$D1612)+AT1567*(1+$E1612))</f>
        <v/>
      </c>
      <c r="AU1612" s="44">
        <f>AU1594*Settings!$C$13*(INDEX(AU$407:AU$418,$D1612)+INDEX(AU$394:AU$405,$D1612)+AU1567*(1+$E1612))</f>
        <v/>
      </c>
      <c r="AV1612" s="44">
        <f>AV1594*Settings!$C$13*(INDEX(AV$407:AV$418,$D1612)+INDEX(AV$394:AV$405,$D1612)+AV1567*(1+$E1612))</f>
        <v/>
      </c>
      <c r="AW1612" s="44">
        <f>AW1594*Settings!$C$13*(INDEX(AW$407:AW$418,$D1612)+INDEX(AW$394:AW$405,$D1612)+AW1567*(1+$E1612))</f>
        <v/>
      </c>
      <c r="AX1612" s="44">
        <f>AX1594*Settings!$C$13*(INDEX(AX$407:AX$418,$D1612)+INDEX(AX$394:AX$405,$D1612)+AX1567*(1+$E1612))</f>
        <v/>
      </c>
      <c r="AY1612" s="44">
        <f>AY1594*Settings!$C$13*(INDEX(AY$407:AY$418,$D1612)+INDEX(AY$394:AY$405,$D1612)+AY1567*(1+$E1612))</f>
        <v/>
      </c>
      <c r="AZ1612" s="44">
        <f>AZ1594*Settings!$C$13*(INDEX(AZ$407:AZ$418,$D1612)+INDEX(AZ$394:AZ$405,$D1612)+AZ1567*(1+$E1612))</f>
        <v/>
      </c>
      <c r="BA1612" s="57">
        <f>REVENUE(BA1594,Settings!$C$13,INDEX(BA$407:BA$418,$D1612)+INDEX(BA$394:BA$405,$D1612)+BA1567*(1+$E1612))</f>
        <v/>
      </c>
    </row>
    <row r="1613" hidden="1" outlineLevel="2">
      <c r="A1613" s="14" t="inlineStr">
        <is>
          <t>rtx</t>
        </is>
      </c>
      <c r="B1613" s="14" t="inlineStr">
        <is>
          <t>nga</t>
        </is>
      </c>
      <c r="C1613" s="14" t="inlineStr">
        <is>
          <t>res</t>
        </is>
      </c>
      <c r="D1613" s="35">
        <f>INDEX(Inputs!$U$5:$U$132,MATCH($B1613&amp;"|"&amp;$C1613,Inputs!$A$5:$A$132,0))</f>
        <v/>
      </c>
      <c r="E1613" s="35">
        <f>INDEX(Inputs!$V$5:$V$132,MATCH($B1613&amp;"|"&amp;$C1613,Inputs!$A$5:$A$132,0))</f>
        <v/>
      </c>
      <c r="F1613" s="39" t="n"/>
      <c r="G1613" s="39" t="n"/>
      <c r="H1613" s="14">
        <f>INDEX(VarLab,MATCH($A1613,VarKey,0))&amp;INDEX(MemLab,MATCH($C1613&amp;"|"&amp;$B1613,MemKey,0))</f>
        <v/>
      </c>
      <c r="I1613" s="14">
        <f>INDEX(VarUnit,MATCH($A1613,VarKey,0))</f>
        <v/>
      </c>
      <c r="J1613" s="14">
        <f>INDEX(VarSrc,MATCH($A1613,VarKey,0))</f>
        <v/>
      </c>
      <c r="K1613" s="11">
        <f>CodePrefix&amp;$A1613&amp;IF($C1613="","","."&amp;$C1613&amp;"."&amp;$B1613)&amp;INDEX(VarEnd,MATCH($A1613,VarKey,0))&amp;K$5</f>
        <v/>
      </c>
      <c r="L1613" s="43">
        <f>L1595*Settings!$C$13*(INDEX(L$407:L$418,$D1613)+INDEX(L$394:L$405,$D1613)+L1568*(1+$E1613))</f>
        <v/>
      </c>
      <c r="M1613" s="44">
        <f>M1595*Settings!$C$13*(INDEX(M$407:M$418,$D1613)+INDEX(M$394:M$405,$D1613)+M1568*(1+$E1613))</f>
        <v/>
      </c>
      <c r="N1613" s="44">
        <f>N1595*Settings!$C$13*(INDEX(N$407:N$418,$D1613)+INDEX(N$394:N$405,$D1613)+N1568*(1+$E1613))</f>
        <v/>
      </c>
      <c r="O1613" s="44">
        <f>O1595*Settings!$C$13*(INDEX(O$407:O$418,$D1613)+INDEX(O$394:O$405,$D1613)+O1568*(1+$E1613))</f>
        <v/>
      </c>
      <c r="P1613" s="44">
        <f>P1595*Settings!$C$13*(INDEX(P$407:P$418,$D1613)+INDEX(P$394:P$405,$D1613)+P1568*(1+$E1613))</f>
        <v/>
      </c>
      <c r="Q1613" s="44">
        <f>Q1595*Settings!$C$13*(INDEX(Q$407:Q$418,$D1613)+INDEX(Q$394:Q$405,$D1613)+Q1568*(1+$E1613))</f>
        <v/>
      </c>
      <c r="R1613" s="44">
        <f>R1595*Settings!$C$13*(INDEX(R$407:R$418,$D1613)+INDEX(R$394:R$405,$D1613)+R1568*(1+$E1613))</f>
        <v/>
      </c>
      <c r="S1613" s="44">
        <f>S1595*Settings!$C$13*(INDEX(S$407:S$418,$D1613)+INDEX(S$394:S$405,$D1613)+S1568*(1+$E1613))</f>
        <v/>
      </c>
      <c r="T1613" s="44">
        <f>T1595*Settings!$C$13*(INDEX(T$407:T$418,$D1613)+INDEX(T$394:T$405,$D1613)+T1568*(1+$E1613))</f>
        <v/>
      </c>
      <c r="U1613" s="44">
        <f>U1595*Settings!$C$13*(INDEX(U$407:U$418,$D1613)+INDEX(U$394:U$405,$D1613)+U1568*(1+$E1613))</f>
        <v/>
      </c>
      <c r="V1613" s="44">
        <f>V1595*Settings!$C$13*(INDEX(V$407:V$418,$D1613)+INDEX(V$394:V$405,$D1613)+V1568*(1+$E1613))</f>
        <v/>
      </c>
      <c r="W1613" s="44">
        <f>W1595*Settings!$C$13*(INDEX(W$407:W$418,$D1613)+INDEX(W$394:W$405,$D1613)+W1568*(1+$E1613))</f>
        <v/>
      </c>
      <c r="X1613" s="44">
        <f>X1595*Settings!$C$13*(INDEX(X$407:X$418,$D1613)+INDEX(X$394:X$405,$D1613)+X1568*(1+$E1613))</f>
        <v/>
      </c>
      <c r="Y1613" s="44">
        <f>Y1595*Settings!$C$13*(INDEX(Y$407:Y$418,$D1613)+INDEX(Y$394:Y$405,$D1613)+Y1568*(1+$E1613))</f>
        <v/>
      </c>
      <c r="Z1613" s="44">
        <f>Z1595*Settings!$C$13*(INDEX(Z$407:Z$418,$D1613)+INDEX(Z$394:Z$405,$D1613)+Z1568*(1+$E1613))</f>
        <v/>
      </c>
      <c r="AA1613" s="44">
        <f>AA1595*Settings!$C$13*(INDEX(AA$407:AA$418,$D1613)+INDEX(AA$394:AA$405,$D1613)+AA1568*(1+$E1613))</f>
        <v/>
      </c>
      <c r="AB1613" s="44">
        <f>AB1595*Settings!$C$13*(INDEX(AB$407:AB$418,$D1613)+INDEX(AB$394:AB$405,$D1613)+AB1568*(1+$E1613))</f>
        <v/>
      </c>
      <c r="AC1613" s="44">
        <f>AC1595*Settings!$C$13*(INDEX(AC$407:AC$418,$D1613)+INDEX(AC$394:AC$405,$D1613)+AC1568*(1+$E1613))</f>
        <v/>
      </c>
      <c r="AD1613" s="44">
        <f>AD1595*Settings!$C$13*(INDEX(AD$407:AD$418,$D1613)+INDEX(AD$394:AD$405,$D1613)+AD1568*(1+$E1613))</f>
        <v/>
      </c>
      <c r="AE1613" s="57">
        <f>REVENUE(AE1595,Settings!$C$13,INDEX(AE$407:AE$418,$D1613)+INDEX(AE$394:AE$405,$D1613)+AE1568*(1+$E1613))</f>
        <v/>
      </c>
      <c r="AG1613" s="11">
        <f>CodePrefix&amp;$A1613&amp;IF($C1613="","","."&amp;$C1613&amp;"."&amp;$B1613)&amp;INDEX(VarEnd,MATCH($A1613,VarKey,0))&amp;AG$5</f>
        <v/>
      </c>
      <c r="AH1613" s="43">
        <f>AH1595*Settings!$C$13*(INDEX(AH$407:AH$418,$D1613)+INDEX(AH$394:AH$405,$D1613)+AH1568*(1+$E1613))</f>
        <v/>
      </c>
      <c r="AI1613" s="44">
        <f>AI1595*Settings!$C$13*(INDEX(AI$407:AI$418,$D1613)+INDEX(AI$394:AI$405,$D1613)+AI1568*(1+$E1613))</f>
        <v/>
      </c>
      <c r="AJ1613" s="44">
        <f>AJ1595*Settings!$C$13*(INDEX(AJ$407:AJ$418,$D1613)+INDEX(AJ$394:AJ$405,$D1613)+AJ1568*(1+$E1613))</f>
        <v/>
      </c>
      <c r="AK1613" s="44">
        <f>AK1595*Settings!$C$13*(INDEX(AK$407:AK$418,$D1613)+INDEX(AK$394:AK$405,$D1613)+AK1568*(1+$E1613))</f>
        <v/>
      </c>
      <c r="AL1613" s="44">
        <f>AL1595*Settings!$C$13*(INDEX(AL$407:AL$418,$D1613)+INDEX(AL$394:AL$405,$D1613)+AL1568*(1+$E1613))</f>
        <v/>
      </c>
      <c r="AM1613" s="44">
        <f>AM1595*Settings!$C$13*(INDEX(AM$407:AM$418,$D1613)+INDEX(AM$394:AM$405,$D1613)+AM1568*(1+$E1613))</f>
        <v/>
      </c>
      <c r="AN1613" s="44">
        <f>AN1595*Settings!$C$13*(INDEX(AN$407:AN$418,$D1613)+INDEX(AN$394:AN$405,$D1613)+AN1568*(1+$E1613))</f>
        <v/>
      </c>
      <c r="AO1613" s="44">
        <f>AO1595*Settings!$C$13*(INDEX(AO$407:AO$418,$D1613)+INDEX(AO$394:AO$405,$D1613)+AO1568*(1+$E1613))</f>
        <v/>
      </c>
      <c r="AP1613" s="44">
        <f>AP1595*Settings!$C$13*(INDEX(AP$407:AP$418,$D1613)+INDEX(AP$394:AP$405,$D1613)+AP1568*(1+$E1613))</f>
        <v/>
      </c>
      <c r="AQ1613" s="44">
        <f>AQ1595*Settings!$C$13*(INDEX(AQ$407:AQ$418,$D1613)+INDEX(AQ$394:AQ$405,$D1613)+AQ1568*(1+$E1613))</f>
        <v/>
      </c>
      <c r="AR1613" s="44">
        <f>AR1595*Settings!$C$13*(INDEX(AR$407:AR$418,$D1613)+INDEX(AR$394:AR$405,$D1613)+AR1568*(1+$E1613))</f>
        <v/>
      </c>
      <c r="AS1613" s="44">
        <f>AS1595*Settings!$C$13*(INDEX(AS$407:AS$418,$D1613)+INDEX(AS$394:AS$405,$D1613)+AS1568*(1+$E1613))</f>
        <v/>
      </c>
      <c r="AT1613" s="44">
        <f>AT1595*Settings!$C$13*(INDEX(AT$407:AT$418,$D1613)+INDEX(AT$394:AT$405,$D1613)+AT1568*(1+$E1613))</f>
        <v/>
      </c>
      <c r="AU1613" s="44">
        <f>AU1595*Settings!$C$13*(INDEX(AU$407:AU$418,$D1613)+INDEX(AU$394:AU$405,$D1613)+AU1568*(1+$E1613))</f>
        <v/>
      </c>
      <c r="AV1613" s="44">
        <f>AV1595*Settings!$C$13*(INDEX(AV$407:AV$418,$D1613)+INDEX(AV$394:AV$405,$D1613)+AV1568*(1+$E1613))</f>
        <v/>
      </c>
      <c r="AW1613" s="44">
        <f>AW1595*Settings!$C$13*(INDEX(AW$407:AW$418,$D1613)+INDEX(AW$394:AW$405,$D1613)+AW1568*(1+$E1613))</f>
        <v/>
      </c>
      <c r="AX1613" s="44">
        <f>AX1595*Settings!$C$13*(INDEX(AX$407:AX$418,$D1613)+INDEX(AX$394:AX$405,$D1613)+AX1568*(1+$E1613))</f>
        <v/>
      </c>
      <c r="AY1613" s="44">
        <f>AY1595*Settings!$C$13*(INDEX(AY$407:AY$418,$D1613)+INDEX(AY$394:AY$405,$D1613)+AY1568*(1+$E1613))</f>
        <v/>
      </c>
      <c r="AZ1613" s="44">
        <f>AZ1595*Settings!$C$13*(INDEX(AZ$407:AZ$418,$D1613)+INDEX(AZ$394:AZ$405,$D1613)+AZ1568*(1+$E1613))</f>
        <v/>
      </c>
      <c r="BA1613" s="57">
        <f>REVENUE(BA1595,Settings!$C$13,INDEX(BA$407:BA$418,$D1613)+INDEX(BA$394:BA$405,$D1613)+BA1568*(1+$E1613))</f>
        <v/>
      </c>
    </row>
    <row r="1614" hidden="1" outlineLevel="2">
      <c r="A1614" s="14" t="inlineStr">
        <is>
          <t>rtx</t>
        </is>
      </c>
      <c r="B1614" s="14" t="inlineStr">
        <is>
          <t>gso</t>
        </is>
      </c>
      <c r="C1614" s="14" t="inlineStr">
        <is>
          <t>res</t>
        </is>
      </c>
      <c r="D1614" s="35">
        <f>INDEX(Inputs!$U$5:$U$132,MATCH($B1614&amp;"|"&amp;$C1614,Inputs!$A$5:$A$132,0))</f>
        <v/>
      </c>
      <c r="E1614" s="35">
        <f>INDEX(Inputs!$V$5:$V$132,MATCH($B1614&amp;"|"&amp;$C1614,Inputs!$A$5:$A$132,0))</f>
        <v/>
      </c>
      <c r="F1614" s="39" t="n"/>
      <c r="G1614" s="39" t="n"/>
      <c r="H1614" s="14">
        <f>INDEX(VarLab,MATCH($A1614,VarKey,0))&amp;INDEX(MemLab,MATCH($C1614&amp;"|"&amp;$B1614,MemKey,0))</f>
        <v/>
      </c>
      <c r="I1614" s="14">
        <f>INDEX(VarUnit,MATCH($A1614,VarKey,0))</f>
        <v/>
      </c>
      <c r="J1614" s="14">
        <f>INDEX(VarSrc,MATCH($A1614,VarKey,0))</f>
        <v/>
      </c>
      <c r="K1614" s="11">
        <f>CodePrefix&amp;$A1614&amp;IF($C1614="","","."&amp;$C1614&amp;"."&amp;$B1614)&amp;INDEX(VarEnd,MATCH($A1614,VarKey,0))&amp;K$5</f>
        <v/>
      </c>
      <c r="L1614" s="43">
        <f>L1596*Settings!$C$13*(INDEX(L$407:L$418,$D1614)+INDEX(L$394:L$405,$D1614)+L1569*(1+$E1614))</f>
        <v/>
      </c>
      <c r="M1614" s="44">
        <f>M1596*Settings!$C$13*(INDEX(M$407:M$418,$D1614)+INDEX(M$394:M$405,$D1614)+M1569*(1+$E1614))</f>
        <v/>
      </c>
      <c r="N1614" s="44">
        <f>N1596*Settings!$C$13*(INDEX(N$407:N$418,$D1614)+INDEX(N$394:N$405,$D1614)+N1569*(1+$E1614))</f>
        <v/>
      </c>
      <c r="O1614" s="44">
        <f>O1596*Settings!$C$13*(INDEX(O$407:O$418,$D1614)+INDEX(O$394:O$405,$D1614)+O1569*(1+$E1614))</f>
        <v/>
      </c>
      <c r="P1614" s="44">
        <f>P1596*Settings!$C$13*(INDEX(P$407:P$418,$D1614)+INDEX(P$394:P$405,$D1614)+P1569*(1+$E1614))</f>
        <v/>
      </c>
      <c r="Q1614" s="44">
        <f>Q1596*Settings!$C$13*(INDEX(Q$407:Q$418,$D1614)+INDEX(Q$394:Q$405,$D1614)+Q1569*(1+$E1614))</f>
        <v/>
      </c>
      <c r="R1614" s="44">
        <f>R1596*Settings!$C$13*(INDEX(R$407:R$418,$D1614)+INDEX(R$394:R$405,$D1614)+R1569*(1+$E1614))</f>
        <v/>
      </c>
      <c r="S1614" s="44">
        <f>S1596*Settings!$C$13*(INDEX(S$407:S$418,$D1614)+INDEX(S$394:S$405,$D1614)+S1569*(1+$E1614))</f>
        <v/>
      </c>
      <c r="T1614" s="44">
        <f>T1596*Settings!$C$13*(INDEX(T$407:T$418,$D1614)+INDEX(T$394:T$405,$D1614)+T1569*(1+$E1614))</f>
        <v/>
      </c>
      <c r="U1614" s="44">
        <f>U1596*Settings!$C$13*(INDEX(U$407:U$418,$D1614)+INDEX(U$394:U$405,$D1614)+U1569*(1+$E1614))</f>
        <v/>
      </c>
      <c r="V1614" s="44">
        <f>V1596*Settings!$C$13*(INDEX(V$407:V$418,$D1614)+INDEX(V$394:V$405,$D1614)+V1569*(1+$E1614))</f>
        <v/>
      </c>
      <c r="W1614" s="44">
        <f>W1596*Settings!$C$13*(INDEX(W$407:W$418,$D1614)+INDEX(W$394:W$405,$D1614)+W1569*(1+$E1614))</f>
        <v/>
      </c>
      <c r="X1614" s="44">
        <f>X1596*Settings!$C$13*(INDEX(X$407:X$418,$D1614)+INDEX(X$394:X$405,$D1614)+X1569*(1+$E1614))</f>
        <v/>
      </c>
      <c r="Y1614" s="44">
        <f>Y1596*Settings!$C$13*(INDEX(Y$407:Y$418,$D1614)+INDEX(Y$394:Y$405,$D1614)+Y1569*(1+$E1614))</f>
        <v/>
      </c>
      <c r="Z1614" s="44">
        <f>Z1596*Settings!$C$13*(INDEX(Z$407:Z$418,$D1614)+INDEX(Z$394:Z$405,$D1614)+Z1569*(1+$E1614))</f>
        <v/>
      </c>
      <c r="AA1614" s="44">
        <f>AA1596*Settings!$C$13*(INDEX(AA$407:AA$418,$D1614)+INDEX(AA$394:AA$405,$D1614)+AA1569*(1+$E1614))</f>
        <v/>
      </c>
      <c r="AB1614" s="44">
        <f>AB1596*Settings!$C$13*(INDEX(AB$407:AB$418,$D1614)+INDEX(AB$394:AB$405,$D1614)+AB1569*(1+$E1614))</f>
        <v/>
      </c>
      <c r="AC1614" s="44">
        <f>AC1596*Settings!$C$13*(INDEX(AC$407:AC$418,$D1614)+INDEX(AC$394:AC$405,$D1614)+AC1569*(1+$E1614))</f>
        <v/>
      </c>
      <c r="AD1614" s="44">
        <f>AD1596*Settings!$C$13*(INDEX(AD$407:AD$418,$D1614)+INDEX(AD$394:AD$405,$D1614)+AD1569*(1+$E1614))</f>
        <v/>
      </c>
      <c r="AE1614" s="57">
        <f>REVENUE(AE1596,Settings!$C$13,INDEX(AE$407:AE$418,$D1614)+INDEX(AE$394:AE$405,$D1614)+AE1569*(1+$E1614))</f>
        <v/>
      </c>
      <c r="AG1614" s="11">
        <f>CodePrefix&amp;$A1614&amp;IF($C1614="","","."&amp;$C1614&amp;"."&amp;$B1614)&amp;INDEX(VarEnd,MATCH($A1614,VarKey,0))&amp;AG$5</f>
        <v/>
      </c>
      <c r="AH1614" s="43">
        <f>AH1596*Settings!$C$13*(INDEX(AH$407:AH$418,$D1614)+INDEX(AH$394:AH$405,$D1614)+AH1569*(1+$E1614))</f>
        <v/>
      </c>
      <c r="AI1614" s="44">
        <f>AI1596*Settings!$C$13*(INDEX(AI$407:AI$418,$D1614)+INDEX(AI$394:AI$405,$D1614)+AI1569*(1+$E1614))</f>
        <v/>
      </c>
      <c r="AJ1614" s="44">
        <f>AJ1596*Settings!$C$13*(INDEX(AJ$407:AJ$418,$D1614)+INDEX(AJ$394:AJ$405,$D1614)+AJ1569*(1+$E1614))</f>
        <v/>
      </c>
      <c r="AK1614" s="44">
        <f>AK1596*Settings!$C$13*(INDEX(AK$407:AK$418,$D1614)+INDEX(AK$394:AK$405,$D1614)+AK1569*(1+$E1614))</f>
        <v/>
      </c>
      <c r="AL1614" s="44">
        <f>AL1596*Settings!$C$13*(INDEX(AL$407:AL$418,$D1614)+INDEX(AL$394:AL$405,$D1614)+AL1569*(1+$E1614))</f>
        <v/>
      </c>
      <c r="AM1614" s="44">
        <f>AM1596*Settings!$C$13*(INDEX(AM$407:AM$418,$D1614)+INDEX(AM$394:AM$405,$D1614)+AM1569*(1+$E1614))</f>
        <v/>
      </c>
      <c r="AN1614" s="44">
        <f>AN1596*Settings!$C$13*(INDEX(AN$407:AN$418,$D1614)+INDEX(AN$394:AN$405,$D1614)+AN1569*(1+$E1614))</f>
        <v/>
      </c>
      <c r="AO1614" s="44">
        <f>AO1596*Settings!$C$13*(INDEX(AO$407:AO$418,$D1614)+INDEX(AO$394:AO$405,$D1614)+AO1569*(1+$E1614))</f>
        <v/>
      </c>
      <c r="AP1614" s="44">
        <f>AP1596*Settings!$C$13*(INDEX(AP$407:AP$418,$D1614)+INDEX(AP$394:AP$405,$D1614)+AP1569*(1+$E1614))</f>
        <v/>
      </c>
      <c r="AQ1614" s="44">
        <f>AQ1596*Settings!$C$13*(INDEX(AQ$407:AQ$418,$D1614)+INDEX(AQ$394:AQ$405,$D1614)+AQ1569*(1+$E1614))</f>
        <v/>
      </c>
      <c r="AR1614" s="44">
        <f>AR1596*Settings!$C$13*(INDEX(AR$407:AR$418,$D1614)+INDEX(AR$394:AR$405,$D1614)+AR1569*(1+$E1614))</f>
        <v/>
      </c>
      <c r="AS1614" s="44">
        <f>AS1596*Settings!$C$13*(INDEX(AS$407:AS$418,$D1614)+INDEX(AS$394:AS$405,$D1614)+AS1569*(1+$E1614))</f>
        <v/>
      </c>
      <c r="AT1614" s="44">
        <f>AT1596*Settings!$C$13*(INDEX(AT$407:AT$418,$D1614)+INDEX(AT$394:AT$405,$D1614)+AT1569*(1+$E1614))</f>
        <v/>
      </c>
      <c r="AU1614" s="44">
        <f>AU1596*Settings!$C$13*(INDEX(AU$407:AU$418,$D1614)+INDEX(AU$394:AU$405,$D1614)+AU1569*(1+$E1614))</f>
        <v/>
      </c>
      <c r="AV1614" s="44">
        <f>AV1596*Settings!$C$13*(INDEX(AV$407:AV$418,$D1614)+INDEX(AV$394:AV$405,$D1614)+AV1569*(1+$E1614))</f>
        <v/>
      </c>
      <c r="AW1614" s="44">
        <f>AW1596*Settings!$C$13*(INDEX(AW$407:AW$418,$D1614)+INDEX(AW$394:AW$405,$D1614)+AW1569*(1+$E1614))</f>
        <v/>
      </c>
      <c r="AX1614" s="44">
        <f>AX1596*Settings!$C$13*(INDEX(AX$407:AX$418,$D1614)+INDEX(AX$394:AX$405,$D1614)+AX1569*(1+$E1614))</f>
        <v/>
      </c>
      <c r="AY1614" s="44">
        <f>AY1596*Settings!$C$13*(INDEX(AY$407:AY$418,$D1614)+INDEX(AY$394:AY$405,$D1614)+AY1569*(1+$E1614))</f>
        <v/>
      </c>
      <c r="AZ1614" s="44">
        <f>AZ1596*Settings!$C$13*(INDEX(AZ$407:AZ$418,$D1614)+INDEX(AZ$394:AZ$405,$D1614)+AZ1569*(1+$E1614))</f>
        <v/>
      </c>
      <c r="BA1614" s="57">
        <f>REVENUE(BA1596,Settings!$C$13,INDEX(BA$407:BA$418,$D1614)+INDEX(BA$394:BA$405,$D1614)+BA1569*(1+$E1614))</f>
        <v/>
      </c>
    </row>
    <row r="1615" hidden="1" outlineLevel="2">
      <c r="A1615" s="14" t="inlineStr">
        <is>
          <t>rtx</t>
        </is>
      </c>
      <c r="B1615" s="14" t="inlineStr">
        <is>
          <t>die</t>
        </is>
      </c>
      <c r="C1615" s="14" t="inlineStr">
        <is>
          <t>res</t>
        </is>
      </c>
      <c r="D1615" s="35">
        <f>INDEX(Inputs!$U$5:$U$132,MATCH($B1615&amp;"|"&amp;$C1615,Inputs!$A$5:$A$132,0))</f>
        <v/>
      </c>
      <c r="E1615" s="35">
        <f>INDEX(Inputs!$V$5:$V$132,MATCH($B1615&amp;"|"&amp;$C1615,Inputs!$A$5:$A$132,0))</f>
        <v/>
      </c>
      <c r="F1615" s="39" t="n"/>
      <c r="G1615" s="39" t="n"/>
      <c r="H1615" s="14">
        <f>INDEX(VarLab,MATCH($A1615,VarKey,0))&amp;INDEX(MemLab,MATCH($C1615&amp;"|"&amp;$B1615,MemKey,0))</f>
        <v/>
      </c>
      <c r="I1615" s="14">
        <f>INDEX(VarUnit,MATCH($A1615,VarKey,0))</f>
        <v/>
      </c>
      <c r="J1615" s="14">
        <f>INDEX(VarSrc,MATCH($A1615,VarKey,0))</f>
        <v/>
      </c>
      <c r="K1615" s="11">
        <f>CodePrefix&amp;$A1615&amp;IF($C1615="","","."&amp;$C1615&amp;"."&amp;$B1615)&amp;INDEX(VarEnd,MATCH($A1615,VarKey,0))&amp;K$5</f>
        <v/>
      </c>
      <c r="L1615" s="43">
        <f>L1597*Settings!$C$13*(INDEX(L$407:L$418,$D1615)+INDEX(L$394:L$405,$D1615)+L1570*(1+$E1615))</f>
        <v/>
      </c>
      <c r="M1615" s="44">
        <f>M1597*Settings!$C$13*(INDEX(M$407:M$418,$D1615)+INDEX(M$394:M$405,$D1615)+M1570*(1+$E1615))</f>
        <v/>
      </c>
      <c r="N1615" s="44">
        <f>N1597*Settings!$C$13*(INDEX(N$407:N$418,$D1615)+INDEX(N$394:N$405,$D1615)+N1570*(1+$E1615))</f>
        <v/>
      </c>
      <c r="O1615" s="44">
        <f>O1597*Settings!$C$13*(INDEX(O$407:O$418,$D1615)+INDEX(O$394:O$405,$D1615)+O1570*(1+$E1615))</f>
        <v/>
      </c>
      <c r="P1615" s="44">
        <f>P1597*Settings!$C$13*(INDEX(P$407:P$418,$D1615)+INDEX(P$394:P$405,$D1615)+P1570*(1+$E1615))</f>
        <v/>
      </c>
      <c r="Q1615" s="44">
        <f>Q1597*Settings!$C$13*(INDEX(Q$407:Q$418,$D1615)+INDEX(Q$394:Q$405,$D1615)+Q1570*(1+$E1615))</f>
        <v/>
      </c>
      <c r="R1615" s="44">
        <f>R1597*Settings!$C$13*(INDEX(R$407:R$418,$D1615)+INDEX(R$394:R$405,$D1615)+R1570*(1+$E1615))</f>
        <v/>
      </c>
      <c r="S1615" s="44">
        <f>S1597*Settings!$C$13*(INDEX(S$407:S$418,$D1615)+INDEX(S$394:S$405,$D1615)+S1570*(1+$E1615))</f>
        <v/>
      </c>
      <c r="T1615" s="44">
        <f>T1597*Settings!$C$13*(INDEX(T$407:T$418,$D1615)+INDEX(T$394:T$405,$D1615)+T1570*(1+$E1615))</f>
        <v/>
      </c>
      <c r="U1615" s="44">
        <f>U1597*Settings!$C$13*(INDEX(U$407:U$418,$D1615)+INDEX(U$394:U$405,$D1615)+U1570*(1+$E1615))</f>
        <v/>
      </c>
      <c r="V1615" s="44">
        <f>V1597*Settings!$C$13*(INDEX(V$407:V$418,$D1615)+INDEX(V$394:V$405,$D1615)+V1570*(1+$E1615))</f>
        <v/>
      </c>
      <c r="W1615" s="44">
        <f>W1597*Settings!$C$13*(INDEX(W$407:W$418,$D1615)+INDEX(W$394:W$405,$D1615)+W1570*(1+$E1615))</f>
        <v/>
      </c>
      <c r="X1615" s="44">
        <f>X1597*Settings!$C$13*(INDEX(X$407:X$418,$D1615)+INDEX(X$394:X$405,$D1615)+X1570*(1+$E1615))</f>
        <v/>
      </c>
      <c r="Y1615" s="44">
        <f>Y1597*Settings!$C$13*(INDEX(Y$407:Y$418,$D1615)+INDEX(Y$394:Y$405,$D1615)+Y1570*(1+$E1615))</f>
        <v/>
      </c>
      <c r="Z1615" s="44">
        <f>Z1597*Settings!$C$13*(INDEX(Z$407:Z$418,$D1615)+INDEX(Z$394:Z$405,$D1615)+Z1570*(1+$E1615))</f>
        <v/>
      </c>
      <c r="AA1615" s="44">
        <f>AA1597*Settings!$C$13*(INDEX(AA$407:AA$418,$D1615)+INDEX(AA$394:AA$405,$D1615)+AA1570*(1+$E1615))</f>
        <v/>
      </c>
      <c r="AB1615" s="44">
        <f>AB1597*Settings!$C$13*(INDEX(AB$407:AB$418,$D1615)+INDEX(AB$394:AB$405,$D1615)+AB1570*(1+$E1615))</f>
        <v/>
      </c>
      <c r="AC1615" s="44">
        <f>AC1597*Settings!$C$13*(INDEX(AC$407:AC$418,$D1615)+INDEX(AC$394:AC$405,$D1615)+AC1570*(1+$E1615))</f>
        <v/>
      </c>
      <c r="AD1615" s="44">
        <f>AD1597*Settings!$C$13*(INDEX(AD$407:AD$418,$D1615)+INDEX(AD$394:AD$405,$D1615)+AD1570*(1+$E1615))</f>
        <v/>
      </c>
      <c r="AE1615" s="57">
        <f>REVENUE(AE1597,Settings!$C$13,INDEX(AE$407:AE$418,$D1615)+INDEX(AE$394:AE$405,$D1615)+AE1570*(1+$E1615))</f>
        <v/>
      </c>
      <c r="AG1615" s="11">
        <f>CodePrefix&amp;$A1615&amp;IF($C1615="","","."&amp;$C1615&amp;"."&amp;$B1615)&amp;INDEX(VarEnd,MATCH($A1615,VarKey,0))&amp;AG$5</f>
        <v/>
      </c>
      <c r="AH1615" s="43">
        <f>AH1597*Settings!$C$13*(INDEX(AH$407:AH$418,$D1615)+INDEX(AH$394:AH$405,$D1615)+AH1570*(1+$E1615))</f>
        <v/>
      </c>
      <c r="AI1615" s="44">
        <f>AI1597*Settings!$C$13*(INDEX(AI$407:AI$418,$D1615)+INDEX(AI$394:AI$405,$D1615)+AI1570*(1+$E1615))</f>
        <v/>
      </c>
      <c r="AJ1615" s="44">
        <f>AJ1597*Settings!$C$13*(INDEX(AJ$407:AJ$418,$D1615)+INDEX(AJ$394:AJ$405,$D1615)+AJ1570*(1+$E1615))</f>
        <v/>
      </c>
      <c r="AK1615" s="44">
        <f>AK1597*Settings!$C$13*(INDEX(AK$407:AK$418,$D1615)+INDEX(AK$394:AK$405,$D1615)+AK1570*(1+$E1615))</f>
        <v/>
      </c>
      <c r="AL1615" s="44">
        <f>AL1597*Settings!$C$13*(INDEX(AL$407:AL$418,$D1615)+INDEX(AL$394:AL$405,$D1615)+AL1570*(1+$E1615))</f>
        <v/>
      </c>
      <c r="AM1615" s="44">
        <f>AM1597*Settings!$C$13*(INDEX(AM$407:AM$418,$D1615)+INDEX(AM$394:AM$405,$D1615)+AM1570*(1+$E1615))</f>
        <v/>
      </c>
      <c r="AN1615" s="44">
        <f>AN1597*Settings!$C$13*(INDEX(AN$407:AN$418,$D1615)+INDEX(AN$394:AN$405,$D1615)+AN1570*(1+$E1615))</f>
        <v/>
      </c>
      <c r="AO1615" s="44">
        <f>AO1597*Settings!$C$13*(INDEX(AO$407:AO$418,$D1615)+INDEX(AO$394:AO$405,$D1615)+AO1570*(1+$E1615))</f>
        <v/>
      </c>
      <c r="AP1615" s="44">
        <f>AP1597*Settings!$C$13*(INDEX(AP$407:AP$418,$D1615)+INDEX(AP$394:AP$405,$D1615)+AP1570*(1+$E1615))</f>
        <v/>
      </c>
      <c r="AQ1615" s="44">
        <f>AQ1597*Settings!$C$13*(INDEX(AQ$407:AQ$418,$D1615)+INDEX(AQ$394:AQ$405,$D1615)+AQ1570*(1+$E1615))</f>
        <v/>
      </c>
      <c r="AR1615" s="44">
        <f>AR1597*Settings!$C$13*(INDEX(AR$407:AR$418,$D1615)+INDEX(AR$394:AR$405,$D1615)+AR1570*(1+$E1615))</f>
        <v/>
      </c>
      <c r="AS1615" s="44">
        <f>AS1597*Settings!$C$13*(INDEX(AS$407:AS$418,$D1615)+INDEX(AS$394:AS$405,$D1615)+AS1570*(1+$E1615))</f>
        <v/>
      </c>
      <c r="AT1615" s="44">
        <f>AT1597*Settings!$C$13*(INDEX(AT$407:AT$418,$D1615)+INDEX(AT$394:AT$405,$D1615)+AT1570*(1+$E1615))</f>
        <v/>
      </c>
      <c r="AU1615" s="44">
        <f>AU1597*Settings!$C$13*(INDEX(AU$407:AU$418,$D1615)+INDEX(AU$394:AU$405,$D1615)+AU1570*(1+$E1615))</f>
        <v/>
      </c>
      <c r="AV1615" s="44">
        <f>AV1597*Settings!$C$13*(INDEX(AV$407:AV$418,$D1615)+INDEX(AV$394:AV$405,$D1615)+AV1570*(1+$E1615))</f>
        <v/>
      </c>
      <c r="AW1615" s="44">
        <f>AW1597*Settings!$C$13*(INDEX(AW$407:AW$418,$D1615)+INDEX(AW$394:AW$405,$D1615)+AW1570*(1+$E1615))</f>
        <v/>
      </c>
      <c r="AX1615" s="44">
        <f>AX1597*Settings!$C$13*(INDEX(AX$407:AX$418,$D1615)+INDEX(AX$394:AX$405,$D1615)+AX1570*(1+$E1615))</f>
        <v/>
      </c>
      <c r="AY1615" s="44">
        <f>AY1597*Settings!$C$13*(INDEX(AY$407:AY$418,$D1615)+INDEX(AY$394:AY$405,$D1615)+AY1570*(1+$E1615))</f>
        <v/>
      </c>
      <c r="AZ1615" s="44">
        <f>AZ1597*Settings!$C$13*(INDEX(AZ$407:AZ$418,$D1615)+INDEX(AZ$394:AZ$405,$D1615)+AZ1570*(1+$E1615))</f>
        <v/>
      </c>
      <c r="BA1615" s="57">
        <f>REVENUE(BA1597,Settings!$C$13,INDEX(BA$407:BA$418,$D1615)+INDEX(BA$394:BA$405,$D1615)+BA1570*(1+$E1615))</f>
        <v/>
      </c>
    </row>
    <row r="1616" hidden="1" outlineLevel="2">
      <c r="A1616" s="14" t="inlineStr">
        <is>
          <t>rtx</t>
        </is>
      </c>
      <c r="B1616" s="14" t="inlineStr">
        <is>
          <t>lpg</t>
        </is>
      </c>
      <c r="C1616" s="14" t="inlineStr">
        <is>
          <t>res</t>
        </is>
      </c>
      <c r="D1616" s="35">
        <f>INDEX(Inputs!$U$5:$U$132,MATCH($B1616&amp;"|"&amp;$C1616,Inputs!$A$5:$A$132,0))</f>
        <v/>
      </c>
      <c r="E1616" s="35">
        <f>INDEX(Inputs!$V$5:$V$132,MATCH($B1616&amp;"|"&amp;$C1616,Inputs!$A$5:$A$132,0))</f>
        <v/>
      </c>
      <c r="F1616" s="39" t="n"/>
      <c r="G1616" s="39" t="n"/>
      <c r="H1616" s="14">
        <f>INDEX(VarLab,MATCH($A1616,VarKey,0))&amp;INDEX(MemLab,MATCH($C1616&amp;"|"&amp;$B1616,MemKey,0))</f>
        <v/>
      </c>
      <c r="I1616" s="14">
        <f>INDEX(VarUnit,MATCH($A1616,VarKey,0))</f>
        <v/>
      </c>
      <c r="J1616" s="14">
        <f>INDEX(VarSrc,MATCH($A1616,VarKey,0))</f>
        <v/>
      </c>
      <c r="K1616" s="11">
        <f>CodePrefix&amp;$A1616&amp;IF($C1616="","","."&amp;$C1616&amp;"."&amp;$B1616)&amp;INDEX(VarEnd,MATCH($A1616,VarKey,0))&amp;K$5</f>
        <v/>
      </c>
      <c r="L1616" s="43">
        <f>L1598*Settings!$C$13*(INDEX(L$407:L$418,$D1616)+INDEX(L$394:L$405,$D1616)+L1571*(1+$E1616))</f>
        <v/>
      </c>
      <c r="M1616" s="44">
        <f>M1598*Settings!$C$13*(INDEX(M$407:M$418,$D1616)+INDEX(M$394:M$405,$D1616)+M1571*(1+$E1616))</f>
        <v/>
      </c>
      <c r="N1616" s="44">
        <f>N1598*Settings!$C$13*(INDEX(N$407:N$418,$D1616)+INDEX(N$394:N$405,$D1616)+N1571*(1+$E1616))</f>
        <v/>
      </c>
      <c r="O1616" s="44">
        <f>O1598*Settings!$C$13*(INDEX(O$407:O$418,$D1616)+INDEX(O$394:O$405,$D1616)+O1571*(1+$E1616))</f>
        <v/>
      </c>
      <c r="P1616" s="44">
        <f>P1598*Settings!$C$13*(INDEX(P$407:P$418,$D1616)+INDEX(P$394:P$405,$D1616)+P1571*(1+$E1616))</f>
        <v/>
      </c>
      <c r="Q1616" s="44">
        <f>Q1598*Settings!$C$13*(INDEX(Q$407:Q$418,$D1616)+INDEX(Q$394:Q$405,$D1616)+Q1571*(1+$E1616))</f>
        <v/>
      </c>
      <c r="R1616" s="44">
        <f>R1598*Settings!$C$13*(INDEX(R$407:R$418,$D1616)+INDEX(R$394:R$405,$D1616)+R1571*(1+$E1616))</f>
        <v/>
      </c>
      <c r="S1616" s="44">
        <f>S1598*Settings!$C$13*(INDEX(S$407:S$418,$D1616)+INDEX(S$394:S$405,$D1616)+S1571*(1+$E1616))</f>
        <v/>
      </c>
      <c r="T1616" s="44">
        <f>T1598*Settings!$C$13*(INDEX(T$407:T$418,$D1616)+INDEX(T$394:T$405,$D1616)+T1571*(1+$E1616))</f>
        <v/>
      </c>
      <c r="U1616" s="44">
        <f>U1598*Settings!$C$13*(INDEX(U$407:U$418,$D1616)+INDEX(U$394:U$405,$D1616)+U1571*(1+$E1616))</f>
        <v/>
      </c>
      <c r="V1616" s="44">
        <f>V1598*Settings!$C$13*(INDEX(V$407:V$418,$D1616)+INDEX(V$394:V$405,$D1616)+V1571*(1+$E1616))</f>
        <v/>
      </c>
      <c r="W1616" s="44">
        <f>W1598*Settings!$C$13*(INDEX(W$407:W$418,$D1616)+INDEX(W$394:W$405,$D1616)+W1571*(1+$E1616))</f>
        <v/>
      </c>
      <c r="X1616" s="44">
        <f>X1598*Settings!$C$13*(INDEX(X$407:X$418,$D1616)+INDEX(X$394:X$405,$D1616)+X1571*(1+$E1616))</f>
        <v/>
      </c>
      <c r="Y1616" s="44">
        <f>Y1598*Settings!$C$13*(INDEX(Y$407:Y$418,$D1616)+INDEX(Y$394:Y$405,$D1616)+Y1571*(1+$E1616))</f>
        <v/>
      </c>
      <c r="Z1616" s="44">
        <f>Z1598*Settings!$C$13*(INDEX(Z$407:Z$418,$D1616)+INDEX(Z$394:Z$405,$D1616)+Z1571*(1+$E1616))</f>
        <v/>
      </c>
      <c r="AA1616" s="44">
        <f>AA1598*Settings!$C$13*(INDEX(AA$407:AA$418,$D1616)+INDEX(AA$394:AA$405,$D1616)+AA1571*(1+$E1616))</f>
        <v/>
      </c>
      <c r="AB1616" s="44">
        <f>AB1598*Settings!$C$13*(INDEX(AB$407:AB$418,$D1616)+INDEX(AB$394:AB$405,$D1616)+AB1571*(1+$E1616))</f>
        <v/>
      </c>
      <c r="AC1616" s="44">
        <f>AC1598*Settings!$C$13*(INDEX(AC$407:AC$418,$D1616)+INDEX(AC$394:AC$405,$D1616)+AC1571*(1+$E1616))</f>
        <v/>
      </c>
      <c r="AD1616" s="44">
        <f>AD1598*Settings!$C$13*(INDEX(AD$407:AD$418,$D1616)+INDEX(AD$394:AD$405,$D1616)+AD1571*(1+$E1616))</f>
        <v/>
      </c>
      <c r="AE1616" s="57">
        <f>REVENUE(AE1598,Settings!$C$13,INDEX(AE$407:AE$418,$D1616)+INDEX(AE$394:AE$405,$D1616)+AE1571*(1+$E1616))</f>
        <v/>
      </c>
      <c r="AG1616" s="11">
        <f>CodePrefix&amp;$A1616&amp;IF($C1616="","","."&amp;$C1616&amp;"."&amp;$B1616)&amp;INDEX(VarEnd,MATCH($A1616,VarKey,0))&amp;AG$5</f>
        <v/>
      </c>
      <c r="AH1616" s="43">
        <f>AH1598*Settings!$C$13*(INDEX(AH$407:AH$418,$D1616)+INDEX(AH$394:AH$405,$D1616)+AH1571*(1+$E1616))</f>
        <v/>
      </c>
      <c r="AI1616" s="44">
        <f>AI1598*Settings!$C$13*(INDEX(AI$407:AI$418,$D1616)+INDEX(AI$394:AI$405,$D1616)+AI1571*(1+$E1616))</f>
        <v/>
      </c>
      <c r="AJ1616" s="44">
        <f>AJ1598*Settings!$C$13*(INDEX(AJ$407:AJ$418,$D1616)+INDEX(AJ$394:AJ$405,$D1616)+AJ1571*(1+$E1616))</f>
        <v/>
      </c>
      <c r="AK1616" s="44">
        <f>AK1598*Settings!$C$13*(INDEX(AK$407:AK$418,$D1616)+INDEX(AK$394:AK$405,$D1616)+AK1571*(1+$E1616))</f>
        <v/>
      </c>
      <c r="AL1616" s="44">
        <f>AL1598*Settings!$C$13*(INDEX(AL$407:AL$418,$D1616)+INDEX(AL$394:AL$405,$D1616)+AL1571*(1+$E1616))</f>
        <v/>
      </c>
      <c r="AM1616" s="44">
        <f>AM1598*Settings!$C$13*(INDEX(AM$407:AM$418,$D1616)+INDEX(AM$394:AM$405,$D1616)+AM1571*(1+$E1616))</f>
        <v/>
      </c>
      <c r="AN1616" s="44">
        <f>AN1598*Settings!$C$13*(INDEX(AN$407:AN$418,$D1616)+INDEX(AN$394:AN$405,$D1616)+AN1571*(1+$E1616))</f>
        <v/>
      </c>
      <c r="AO1616" s="44">
        <f>AO1598*Settings!$C$13*(INDEX(AO$407:AO$418,$D1616)+INDEX(AO$394:AO$405,$D1616)+AO1571*(1+$E1616))</f>
        <v/>
      </c>
      <c r="AP1616" s="44">
        <f>AP1598*Settings!$C$13*(INDEX(AP$407:AP$418,$D1616)+INDEX(AP$394:AP$405,$D1616)+AP1571*(1+$E1616))</f>
        <v/>
      </c>
      <c r="AQ1616" s="44">
        <f>AQ1598*Settings!$C$13*(INDEX(AQ$407:AQ$418,$D1616)+INDEX(AQ$394:AQ$405,$D1616)+AQ1571*(1+$E1616))</f>
        <v/>
      </c>
      <c r="AR1616" s="44">
        <f>AR1598*Settings!$C$13*(INDEX(AR$407:AR$418,$D1616)+INDEX(AR$394:AR$405,$D1616)+AR1571*(1+$E1616))</f>
        <v/>
      </c>
      <c r="AS1616" s="44">
        <f>AS1598*Settings!$C$13*(INDEX(AS$407:AS$418,$D1616)+INDEX(AS$394:AS$405,$D1616)+AS1571*(1+$E1616))</f>
        <v/>
      </c>
      <c r="AT1616" s="44">
        <f>AT1598*Settings!$C$13*(INDEX(AT$407:AT$418,$D1616)+INDEX(AT$394:AT$405,$D1616)+AT1571*(1+$E1616))</f>
        <v/>
      </c>
      <c r="AU1616" s="44">
        <f>AU1598*Settings!$C$13*(INDEX(AU$407:AU$418,$D1616)+INDEX(AU$394:AU$405,$D1616)+AU1571*(1+$E1616))</f>
        <v/>
      </c>
      <c r="AV1616" s="44">
        <f>AV1598*Settings!$C$13*(INDEX(AV$407:AV$418,$D1616)+INDEX(AV$394:AV$405,$D1616)+AV1571*(1+$E1616))</f>
        <v/>
      </c>
      <c r="AW1616" s="44">
        <f>AW1598*Settings!$C$13*(INDEX(AW$407:AW$418,$D1616)+INDEX(AW$394:AW$405,$D1616)+AW1571*(1+$E1616))</f>
        <v/>
      </c>
      <c r="AX1616" s="44">
        <f>AX1598*Settings!$C$13*(INDEX(AX$407:AX$418,$D1616)+INDEX(AX$394:AX$405,$D1616)+AX1571*(1+$E1616))</f>
        <v/>
      </c>
      <c r="AY1616" s="44">
        <f>AY1598*Settings!$C$13*(INDEX(AY$407:AY$418,$D1616)+INDEX(AY$394:AY$405,$D1616)+AY1571*(1+$E1616))</f>
        <v/>
      </c>
      <c r="AZ1616" s="44">
        <f>AZ1598*Settings!$C$13*(INDEX(AZ$407:AZ$418,$D1616)+INDEX(AZ$394:AZ$405,$D1616)+AZ1571*(1+$E1616))</f>
        <v/>
      </c>
      <c r="BA1616" s="57">
        <f>REVENUE(BA1598,Settings!$C$13,INDEX(BA$407:BA$418,$D1616)+INDEX(BA$394:BA$405,$D1616)+BA1571*(1+$E1616))</f>
        <v/>
      </c>
    </row>
    <row r="1617" hidden="1" outlineLevel="2">
      <c r="A1617" s="14" t="inlineStr">
        <is>
          <t>rtx</t>
        </is>
      </c>
      <c r="B1617" s="14" t="inlineStr">
        <is>
          <t>ker</t>
        </is>
      </c>
      <c r="C1617" s="14" t="inlineStr">
        <is>
          <t>res</t>
        </is>
      </c>
      <c r="D1617" s="35">
        <f>INDEX(Inputs!$U$5:$U$132,MATCH($B1617&amp;"|"&amp;$C1617,Inputs!$A$5:$A$132,0))</f>
        <v/>
      </c>
      <c r="E1617" s="35">
        <f>INDEX(Inputs!$V$5:$V$132,MATCH($B1617&amp;"|"&amp;$C1617,Inputs!$A$5:$A$132,0))</f>
        <v/>
      </c>
      <c r="F1617" s="39" t="n"/>
      <c r="G1617" s="39" t="n"/>
      <c r="H1617" s="14">
        <f>INDEX(VarLab,MATCH($A1617,VarKey,0))&amp;INDEX(MemLab,MATCH($C1617&amp;"|"&amp;$B1617,MemKey,0))</f>
        <v/>
      </c>
      <c r="I1617" s="14">
        <f>INDEX(VarUnit,MATCH($A1617,VarKey,0))</f>
        <v/>
      </c>
      <c r="J1617" s="14">
        <f>INDEX(VarSrc,MATCH($A1617,VarKey,0))</f>
        <v/>
      </c>
      <c r="K1617" s="11">
        <f>CodePrefix&amp;$A1617&amp;IF($C1617="","","."&amp;$C1617&amp;"."&amp;$B1617)&amp;INDEX(VarEnd,MATCH($A1617,VarKey,0))&amp;K$5</f>
        <v/>
      </c>
      <c r="L1617" s="43">
        <f>L1599*Settings!$C$13*(INDEX(L$407:L$418,$D1617)+INDEX(L$394:L$405,$D1617)+L1572*(1+$E1617))</f>
        <v/>
      </c>
      <c r="M1617" s="44">
        <f>M1599*Settings!$C$13*(INDEX(M$407:M$418,$D1617)+INDEX(M$394:M$405,$D1617)+M1572*(1+$E1617))</f>
        <v/>
      </c>
      <c r="N1617" s="44">
        <f>N1599*Settings!$C$13*(INDEX(N$407:N$418,$D1617)+INDEX(N$394:N$405,$D1617)+N1572*(1+$E1617))</f>
        <v/>
      </c>
      <c r="O1617" s="44">
        <f>O1599*Settings!$C$13*(INDEX(O$407:O$418,$D1617)+INDEX(O$394:O$405,$D1617)+O1572*(1+$E1617))</f>
        <v/>
      </c>
      <c r="P1617" s="44">
        <f>P1599*Settings!$C$13*(INDEX(P$407:P$418,$D1617)+INDEX(P$394:P$405,$D1617)+P1572*(1+$E1617))</f>
        <v/>
      </c>
      <c r="Q1617" s="44">
        <f>Q1599*Settings!$C$13*(INDEX(Q$407:Q$418,$D1617)+INDEX(Q$394:Q$405,$D1617)+Q1572*(1+$E1617))</f>
        <v/>
      </c>
      <c r="R1617" s="44">
        <f>R1599*Settings!$C$13*(INDEX(R$407:R$418,$D1617)+INDEX(R$394:R$405,$D1617)+R1572*(1+$E1617))</f>
        <v/>
      </c>
      <c r="S1617" s="44">
        <f>S1599*Settings!$C$13*(INDEX(S$407:S$418,$D1617)+INDEX(S$394:S$405,$D1617)+S1572*(1+$E1617))</f>
        <v/>
      </c>
      <c r="T1617" s="44">
        <f>T1599*Settings!$C$13*(INDEX(T$407:T$418,$D1617)+INDEX(T$394:T$405,$D1617)+T1572*(1+$E1617))</f>
        <v/>
      </c>
      <c r="U1617" s="44">
        <f>U1599*Settings!$C$13*(INDEX(U$407:U$418,$D1617)+INDEX(U$394:U$405,$D1617)+U1572*(1+$E1617))</f>
        <v/>
      </c>
      <c r="V1617" s="44">
        <f>V1599*Settings!$C$13*(INDEX(V$407:V$418,$D1617)+INDEX(V$394:V$405,$D1617)+V1572*(1+$E1617))</f>
        <v/>
      </c>
      <c r="W1617" s="44">
        <f>W1599*Settings!$C$13*(INDEX(W$407:W$418,$D1617)+INDEX(W$394:W$405,$D1617)+W1572*(1+$E1617))</f>
        <v/>
      </c>
      <c r="X1617" s="44">
        <f>X1599*Settings!$C$13*(INDEX(X$407:X$418,$D1617)+INDEX(X$394:X$405,$D1617)+X1572*(1+$E1617))</f>
        <v/>
      </c>
      <c r="Y1617" s="44">
        <f>Y1599*Settings!$C$13*(INDEX(Y$407:Y$418,$D1617)+INDEX(Y$394:Y$405,$D1617)+Y1572*(1+$E1617))</f>
        <v/>
      </c>
      <c r="Z1617" s="44">
        <f>Z1599*Settings!$C$13*(INDEX(Z$407:Z$418,$D1617)+INDEX(Z$394:Z$405,$D1617)+Z1572*(1+$E1617))</f>
        <v/>
      </c>
      <c r="AA1617" s="44">
        <f>AA1599*Settings!$C$13*(INDEX(AA$407:AA$418,$D1617)+INDEX(AA$394:AA$405,$D1617)+AA1572*(1+$E1617))</f>
        <v/>
      </c>
      <c r="AB1617" s="44">
        <f>AB1599*Settings!$C$13*(INDEX(AB$407:AB$418,$D1617)+INDEX(AB$394:AB$405,$D1617)+AB1572*(1+$E1617))</f>
        <v/>
      </c>
      <c r="AC1617" s="44">
        <f>AC1599*Settings!$C$13*(INDEX(AC$407:AC$418,$D1617)+INDEX(AC$394:AC$405,$D1617)+AC1572*(1+$E1617))</f>
        <v/>
      </c>
      <c r="AD1617" s="44">
        <f>AD1599*Settings!$C$13*(INDEX(AD$407:AD$418,$D1617)+INDEX(AD$394:AD$405,$D1617)+AD1572*(1+$E1617))</f>
        <v/>
      </c>
      <c r="AE1617" s="57">
        <f>REVENUE(AE1599,Settings!$C$13,INDEX(AE$407:AE$418,$D1617)+INDEX(AE$394:AE$405,$D1617)+AE1572*(1+$E1617))</f>
        <v/>
      </c>
      <c r="AG1617" s="11">
        <f>CodePrefix&amp;$A1617&amp;IF($C1617="","","."&amp;$C1617&amp;"."&amp;$B1617)&amp;INDEX(VarEnd,MATCH($A1617,VarKey,0))&amp;AG$5</f>
        <v/>
      </c>
      <c r="AH1617" s="43">
        <f>AH1599*Settings!$C$13*(INDEX(AH$407:AH$418,$D1617)+INDEX(AH$394:AH$405,$D1617)+AH1572*(1+$E1617))</f>
        <v/>
      </c>
      <c r="AI1617" s="44">
        <f>AI1599*Settings!$C$13*(INDEX(AI$407:AI$418,$D1617)+INDEX(AI$394:AI$405,$D1617)+AI1572*(1+$E1617))</f>
        <v/>
      </c>
      <c r="AJ1617" s="44">
        <f>AJ1599*Settings!$C$13*(INDEX(AJ$407:AJ$418,$D1617)+INDEX(AJ$394:AJ$405,$D1617)+AJ1572*(1+$E1617))</f>
        <v/>
      </c>
      <c r="AK1617" s="44">
        <f>AK1599*Settings!$C$13*(INDEX(AK$407:AK$418,$D1617)+INDEX(AK$394:AK$405,$D1617)+AK1572*(1+$E1617))</f>
        <v/>
      </c>
      <c r="AL1617" s="44">
        <f>AL1599*Settings!$C$13*(INDEX(AL$407:AL$418,$D1617)+INDEX(AL$394:AL$405,$D1617)+AL1572*(1+$E1617))</f>
        <v/>
      </c>
      <c r="AM1617" s="44">
        <f>AM1599*Settings!$C$13*(INDEX(AM$407:AM$418,$D1617)+INDEX(AM$394:AM$405,$D1617)+AM1572*(1+$E1617))</f>
        <v/>
      </c>
      <c r="AN1617" s="44">
        <f>AN1599*Settings!$C$13*(INDEX(AN$407:AN$418,$D1617)+INDEX(AN$394:AN$405,$D1617)+AN1572*(1+$E1617))</f>
        <v/>
      </c>
      <c r="AO1617" s="44">
        <f>AO1599*Settings!$C$13*(INDEX(AO$407:AO$418,$D1617)+INDEX(AO$394:AO$405,$D1617)+AO1572*(1+$E1617))</f>
        <v/>
      </c>
      <c r="AP1617" s="44">
        <f>AP1599*Settings!$C$13*(INDEX(AP$407:AP$418,$D1617)+INDEX(AP$394:AP$405,$D1617)+AP1572*(1+$E1617))</f>
        <v/>
      </c>
      <c r="AQ1617" s="44">
        <f>AQ1599*Settings!$C$13*(INDEX(AQ$407:AQ$418,$D1617)+INDEX(AQ$394:AQ$405,$D1617)+AQ1572*(1+$E1617))</f>
        <v/>
      </c>
      <c r="AR1617" s="44">
        <f>AR1599*Settings!$C$13*(INDEX(AR$407:AR$418,$D1617)+INDEX(AR$394:AR$405,$D1617)+AR1572*(1+$E1617))</f>
        <v/>
      </c>
      <c r="AS1617" s="44">
        <f>AS1599*Settings!$C$13*(INDEX(AS$407:AS$418,$D1617)+INDEX(AS$394:AS$405,$D1617)+AS1572*(1+$E1617))</f>
        <v/>
      </c>
      <c r="AT1617" s="44">
        <f>AT1599*Settings!$C$13*(INDEX(AT$407:AT$418,$D1617)+INDEX(AT$394:AT$405,$D1617)+AT1572*(1+$E1617))</f>
        <v/>
      </c>
      <c r="AU1617" s="44">
        <f>AU1599*Settings!$C$13*(INDEX(AU$407:AU$418,$D1617)+INDEX(AU$394:AU$405,$D1617)+AU1572*(1+$E1617))</f>
        <v/>
      </c>
      <c r="AV1617" s="44">
        <f>AV1599*Settings!$C$13*(INDEX(AV$407:AV$418,$D1617)+INDEX(AV$394:AV$405,$D1617)+AV1572*(1+$E1617))</f>
        <v/>
      </c>
      <c r="AW1617" s="44">
        <f>AW1599*Settings!$C$13*(INDEX(AW$407:AW$418,$D1617)+INDEX(AW$394:AW$405,$D1617)+AW1572*(1+$E1617))</f>
        <v/>
      </c>
      <c r="AX1617" s="44">
        <f>AX1599*Settings!$C$13*(INDEX(AX$407:AX$418,$D1617)+INDEX(AX$394:AX$405,$D1617)+AX1572*(1+$E1617))</f>
        <v/>
      </c>
      <c r="AY1617" s="44">
        <f>AY1599*Settings!$C$13*(INDEX(AY$407:AY$418,$D1617)+INDEX(AY$394:AY$405,$D1617)+AY1572*(1+$E1617))</f>
        <v/>
      </c>
      <c r="AZ1617" s="44">
        <f>AZ1599*Settings!$C$13*(INDEX(AZ$407:AZ$418,$D1617)+INDEX(AZ$394:AZ$405,$D1617)+AZ1572*(1+$E1617))</f>
        <v/>
      </c>
      <c r="BA1617" s="57">
        <f>REVENUE(BA1599,Settings!$C$13,INDEX(BA$407:BA$418,$D1617)+INDEX(BA$394:BA$405,$D1617)+BA1572*(1+$E1617))</f>
        <v/>
      </c>
    </row>
    <row r="1618" hidden="1" outlineLevel="2">
      <c r="A1618" s="14" t="inlineStr">
        <is>
          <t>rtx</t>
        </is>
      </c>
      <c r="B1618" s="14" t="inlineStr">
        <is>
          <t>oop</t>
        </is>
      </c>
      <c r="C1618" s="14" t="inlineStr">
        <is>
          <t>res</t>
        </is>
      </c>
      <c r="D1618" s="35">
        <f>INDEX(Inputs!$U$5:$U$132,MATCH($B1618&amp;"|"&amp;$C1618,Inputs!$A$5:$A$132,0))</f>
        <v/>
      </c>
      <c r="E1618" s="35">
        <f>INDEX(Inputs!$V$5:$V$132,MATCH($B1618&amp;"|"&amp;$C1618,Inputs!$A$5:$A$132,0))</f>
        <v/>
      </c>
      <c r="F1618" s="39" t="n"/>
      <c r="G1618" s="39" t="n"/>
      <c r="H1618" s="14">
        <f>INDEX(VarLab,MATCH($A1618,VarKey,0))&amp;INDEX(MemLab,MATCH($C1618&amp;"|"&amp;$B1618,MemKey,0))</f>
        <v/>
      </c>
      <c r="I1618" s="14">
        <f>INDEX(VarUnit,MATCH($A1618,VarKey,0))</f>
        <v/>
      </c>
      <c r="J1618" s="14">
        <f>INDEX(VarSrc,MATCH($A1618,VarKey,0))</f>
        <v/>
      </c>
      <c r="K1618" s="11">
        <f>CodePrefix&amp;$A1618&amp;IF($C1618="","","."&amp;$C1618&amp;"."&amp;$B1618)&amp;INDEX(VarEnd,MATCH($A1618,VarKey,0))&amp;K$5</f>
        <v/>
      </c>
      <c r="L1618" s="43">
        <f>L1600*Settings!$C$13*(INDEX(L$407:L$418,$D1618)+INDEX(L$394:L$405,$D1618)+L1573*(1+$E1618))</f>
        <v/>
      </c>
      <c r="M1618" s="44">
        <f>M1600*Settings!$C$13*(INDEX(M$407:M$418,$D1618)+INDEX(M$394:M$405,$D1618)+M1573*(1+$E1618))</f>
        <v/>
      </c>
      <c r="N1618" s="44">
        <f>N1600*Settings!$C$13*(INDEX(N$407:N$418,$D1618)+INDEX(N$394:N$405,$D1618)+N1573*(1+$E1618))</f>
        <v/>
      </c>
      <c r="O1618" s="44">
        <f>O1600*Settings!$C$13*(INDEX(O$407:O$418,$D1618)+INDEX(O$394:O$405,$D1618)+O1573*(1+$E1618))</f>
        <v/>
      </c>
      <c r="P1618" s="44">
        <f>P1600*Settings!$C$13*(INDEX(P$407:P$418,$D1618)+INDEX(P$394:P$405,$D1618)+P1573*(1+$E1618))</f>
        <v/>
      </c>
      <c r="Q1618" s="44">
        <f>Q1600*Settings!$C$13*(INDEX(Q$407:Q$418,$D1618)+INDEX(Q$394:Q$405,$D1618)+Q1573*(1+$E1618))</f>
        <v/>
      </c>
      <c r="R1618" s="44">
        <f>R1600*Settings!$C$13*(INDEX(R$407:R$418,$D1618)+INDEX(R$394:R$405,$D1618)+R1573*(1+$E1618))</f>
        <v/>
      </c>
      <c r="S1618" s="44">
        <f>S1600*Settings!$C$13*(INDEX(S$407:S$418,$D1618)+INDEX(S$394:S$405,$D1618)+S1573*(1+$E1618))</f>
        <v/>
      </c>
      <c r="T1618" s="44">
        <f>T1600*Settings!$C$13*(INDEX(T$407:T$418,$D1618)+INDEX(T$394:T$405,$D1618)+T1573*(1+$E1618))</f>
        <v/>
      </c>
      <c r="U1618" s="44">
        <f>U1600*Settings!$C$13*(INDEX(U$407:U$418,$D1618)+INDEX(U$394:U$405,$D1618)+U1573*(1+$E1618))</f>
        <v/>
      </c>
      <c r="V1618" s="44">
        <f>V1600*Settings!$C$13*(INDEX(V$407:V$418,$D1618)+INDEX(V$394:V$405,$D1618)+V1573*(1+$E1618))</f>
        <v/>
      </c>
      <c r="W1618" s="44">
        <f>W1600*Settings!$C$13*(INDEX(W$407:W$418,$D1618)+INDEX(W$394:W$405,$D1618)+W1573*(1+$E1618))</f>
        <v/>
      </c>
      <c r="X1618" s="44">
        <f>X1600*Settings!$C$13*(INDEX(X$407:X$418,$D1618)+INDEX(X$394:X$405,$D1618)+X1573*(1+$E1618))</f>
        <v/>
      </c>
      <c r="Y1618" s="44">
        <f>Y1600*Settings!$C$13*(INDEX(Y$407:Y$418,$D1618)+INDEX(Y$394:Y$405,$D1618)+Y1573*(1+$E1618))</f>
        <v/>
      </c>
      <c r="Z1618" s="44">
        <f>Z1600*Settings!$C$13*(INDEX(Z$407:Z$418,$D1618)+INDEX(Z$394:Z$405,$D1618)+Z1573*(1+$E1618))</f>
        <v/>
      </c>
      <c r="AA1618" s="44">
        <f>AA1600*Settings!$C$13*(INDEX(AA$407:AA$418,$D1618)+INDEX(AA$394:AA$405,$D1618)+AA1573*(1+$E1618))</f>
        <v/>
      </c>
      <c r="AB1618" s="44">
        <f>AB1600*Settings!$C$13*(INDEX(AB$407:AB$418,$D1618)+INDEX(AB$394:AB$405,$D1618)+AB1573*(1+$E1618))</f>
        <v/>
      </c>
      <c r="AC1618" s="44">
        <f>AC1600*Settings!$C$13*(INDEX(AC$407:AC$418,$D1618)+INDEX(AC$394:AC$405,$D1618)+AC1573*(1+$E1618))</f>
        <v/>
      </c>
      <c r="AD1618" s="44">
        <f>AD1600*Settings!$C$13*(INDEX(AD$407:AD$418,$D1618)+INDEX(AD$394:AD$405,$D1618)+AD1573*(1+$E1618))</f>
        <v/>
      </c>
      <c r="AE1618" s="57">
        <f>REVENUE(AE1600,Settings!$C$13,INDEX(AE$407:AE$418,$D1618)+INDEX(AE$394:AE$405,$D1618)+AE1573*(1+$E1618))</f>
        <v/>
      </c>
      <c r="AG1618" s="11">
        <f>CodePrefix&amp;$A1618&amp;IF($C1618="","","."&amp;$C1618&amp;"."&amp;$B1618)&amp;INDEX(VarEnd,MATCH($A1618,VarKey,0))&amp;AG$5</f>
        <v/>
      </c>
      <c r="AH1618" s="43">
        <f>AH1600*Settings!$C$13*(INDEX(AH$407:AH$418,$D1618)+INDEX(AH$394:AH$405,$D1618)+AH1573*(1+$E1618))</f>
        <v/>
      </c>
      <c r="AI1618" s="44">
        <f>AI1600*Settings!$C$13*(INDEX(AI$407:AI$418,$D1618)+INDEX(AI$394:AI$405,$D1618)+AI1573*(1+$E1618))</f>
        <v/>
      </c>
      <c r="AJ1618" s="44">
        <f>AJ1600*Settings!$C$13*(INDEX(AJ$407:AJ$418,$D1618)+INDEX(AJ$394:AJ$405,$D1618)+AJ1573*(1+$E1618))</f>
        <v/>
      </c>
      <c r="AK1618" s="44">
        <f>AK1600*Settings!$C$13*(INDEX(AK$407:AK$418,$D1618)+INDEX(AK$394:AK$405,$D1618)+AK1573*(1+$E1618))</f>
        <v/>
      </c>
      <c r="AL1618" s="44">
        <f>AL1600*Settings!$C$13*(INDEX(AL$407:AL$418,$D1618)+INDEX(AL$394:AL$405,$D1618)+AL1573*(1+$E1618))</f>
        <v/>
      </c>
      <c r="AM1618" s="44">
        <f>AM1600*Settings!$C$13*(INDEX(AM$407:AM$418,$D1618)+INDEX(AM$394:AM$405,$D1618)+AM1573*(1+$E1618))</f>
        <v/>
      </c>
      <c r="AN1618" s="44">
        <f>AN1600*Settings!$C$13*(INDEX(AN$407:AN$418,$D1618)+INDEX(AN$394:AN$405,$D1618)+AN1573*(1+$E1618))</f>
        <v/>
      </c>
      <c r="AO1618" s="44">
        <f>AO1600*Settings!$C$13*(INDEX(AO$407:AO$418,$D1618)+INDEX(AO$394:AO$405,$D1618)+AO1573*(1+$E1618))</f>
        <v/>
      </c>
      <c r="AP1618" s="44">
        <f>AP1600*Settings!$C$13*(INDEX(AP$407:AP$418,$D1618)+INDEX(AP$394:AP$405,$D1618)+AP1573*(1+$E1618))</f>
        <v/>
      </c>
      <c r="AQ1618" s="44">
        <f>AQ1600*Settings!$C$13*(INDEX(AQ$407:AQ$418,$D1618)+INDEX(AQ$394:AQ$405,$D1618)+AQ1573*(1+$E1618))</f>
        <v/>
      </c>
      <c r="AR1618" s="44">
        <f>AR1600*Settings!$C$13*(INDEX(AR$407:AR$418,$D1618)+INDEX(AR$394:AR$405,$D1618)+AR1573*(1+$E1618))</f>
        <v/>
      </c>
      <c r="AS1618" s="44">
        <f>AS1600*Settings!$C$13*(INDEX(AS$407:AS$418,$D1618)+INDEX(AS$394:AS$405,$D1618)+AS1573*(1+$E1618))</f>
        <v/>
      </c>
      <c r="AT1618" s="44">
        <f>AT1600*Settings!$C$13*(INDEX(AT$407:AT$418,$D1618)+INDEX(AT$394:AT$405,$D1618)+AT1573*(1+$E1618))</f>
        <v/>
      </c>
      <c r="AU1618" s="44">
        <f>AU1600*Settings!$C$13*(INDEX(AU$407:AU$418,$D1618)+INDEX(AU$394:AU$405,$D1618)+AU1573*(1+$E1618))</f>
        <v/>
      </c>
      <c r="AV1618" s="44">
        <f>AV1600*Settings!$C$13*(INDEX(AV$407:AV$418,$D1618)+INDEX(AV$394:AV$405,$D1618)+AV1573*(1+$E1618))</f>
        <v/>
      </c>
      <c r="AW1618" s="44">
        <f>AW1600*Settings!$C$13*(INDEX(AW$407:AW$418,$D1618)+INDEX(AW$394:AW$405,$D1618)+AW1573*(1+$E1618))</f>
        <v/>
      </c>
      <c r="AX1618" s="44">
        <f>AX1600*Settings!$C$13*(INDEX(AX$407:AX$418,$D1618)+INDEX(AX$394:AX$405,$D1618)+AX1573*(1+$E1618))</f>
        <v/>
      </c>
      <c r="AY1618" s="44">
        <f>AY1600*Settings!$C$13*(INDEX(AY$407:AY$418,$D1618)+INDEX(AY$394:AY$405,$D1618)+AY1573*(1+$E1618))</f>
        <v/>
      </c>
      <c r="AZ1618" s="44">
        <f>AZ1600*Settings!$C$13*(INDEX(AZ$407:AZ$418,$D1618)+INDEX(AZ$394:AZ$405,$D1618)+AZ1573*(1+$E1618))</f>
        <v/>
      </c>
      <c r="BA1618" s="57">
        <f>REVENUE(BA1600,Settings!$C$13,INDEX(BA$407:BA$418,$D1618)+INDEX(BA$394:BA$405,$D1618)+BA1573*(1+$E1618))</f>
        <v/>
      </c>
    </row>
    <row r="1619" hidden="1" outlineLevel="2">
      <c r="A1619" s="14" t="inlineStr">
        <is>
          <t>rtx</t>
        </is>
      </c>
      <c r="B1619" s="14" t="inlineStr">
        <is>
          <t>bio</t>
        </is>
      </c>
      <c r="C1619" s="14" t="inlineStr">
        <is>
          <t>res</t>
        </is>
      </c>
      <c r="D1619" s="35">
        <f>INDEX(Inputs!$U$5:$U$132,MATCH($B1619&amp;"|"&amp;$C1619,Inputs!$A$5:$A$132,0))</f>
        <v/>
      </c>
      <c r="E1619" s="35">
        <f>INDEX(Inputs!$V$5:$V$132,MATCH($B1619&amp;"|"&amp;$C1619,Inputs!$A$5:$A$132,0))</f>
        <v/>
      </c>
      <c r="F1619" s="39" t="n"/>
      <c r="G1619" s="39" t="n"/>
      <c r="H1619" s="14">
        <f>INDEX(VarLab,MATCH($A1619,VarKey,0))&amp;INDEX(MemLab,MATCH($C1619&amp;"|"&amp;$B1619,MemKey,0))</f>
        <v/>
      </c>
      <c r="I1619" s="14">
        <f>INDEX(VarUnit,MATCH($A1619,VarKey,0))</f>
        <v/>
      </c>
      <c r="J1619" s="14">
        <f>INDEX(VarSrc,MATCH($A1619,VarKey,0))</f>
        <v/>
      </c>
      <c r="K1619" s="11">
        <f>CodePrefix&amp;$A1619&amp;IF($C1619="","","."&amp;$C1619&amp;"."&amp;$B1619)&amp;INDEX(VarEnd,MATCH($A1619,VarKey,0))&amp;K$5</f>
        <v/>
      </c>
      <c r="L1619" s="43">
        <f>L1601*Settings!$C$13*(INDEX(L$407:L$418,$D1619)+INDEX(L$394:L$405,$D1619)+L1574*(1+$E1619))</f>
        <v/>
      </c>
      <c r="M1619" s="44">
        <f>M1601*Settings!$C$13*(INDEX(M$407:M$418,$D1619)+INDEX(M$394:M$405,$D1619)+M1574*(1+$E1619))</f>
        <v/>
      </c>
      <c r="N1619" s="44">
        <f>N1601*Settings!$C$13*(INDEX(N$407:N$418,$D1619)+INDEX(N$394:N$405,$D1619)+N1574*(1+$E1619))</f>
        <v/>
      </c>
      <c r="O1619" s="44">
        <f>O1601*Settings!$C$13*(INDEX(O$407:O$418,$D1619)+INDEX(O$394:O$405,$D1619)+O1574*(1+$E1619))</f>
        <v/>
      </c>
      <c r="P1619" s="44">
        <f>P1601*Settings!$C$13*(INDEX(P$407:P$418,$D1619)+INDEX(P$394:P$405,$D1619)+P1574*(1+$E1619))</f>
        <v/>
      </c>
      <c r="Q1619" s="44">
        <f>Q1601*Settings!$C$13*(INDEX(Q$407:Q$418,$D1619)+INDEX(Q$394:Q$405,$D1619)+Q1574*(1+$E1619))</f>
        <v/>
      </c>
      <c r="R1619" s="44">
        <f>R1601*Settings!$C$13*(INDEX(R$407:R$418,$D1619)+INDEX(R$394:R$405,$D1619)+R1574*(1+$E1619))</f>
        <v/>
      </c>
      <c r="S1619" s="44">
        <f>S1601*Settings!$C$13*(INDEX(S$407:S$418,$D1619)+INDEX(S$394:S$405,$D1619)+S1574*(1+$E1619))</f>
        <v/>
      </c>
      <c r="T1619" s="44">
        <f>T1601*Settings!$C$13*(INDEX(T$407:T$418,$D1619)+INDEX(T$394:T$405,$D1619)+T1574*(1+$E1619))</f>
        <v/>
      </c>
      <c r="U1619" s="44">
        <f>U1601*Settings!$C$13*(INDEX(U$407:U$418,$D1619)+INDEX(U$394:U$405,$D1619)+U1574*(1+$E1619))</f>
        <v/>
      </c>
      <c r="V1619" s="44">
        <f>V1601*Settings!$C$13*(INDEX(V$407:V$418,$D1619)+INDEX(V$394:V$405,$D1619)+V1574*(1+$E1619))</f>
        <v/>
      </c>
      <c r="W1619" s="44">
        <f>W1601*Settings!$C$13*(INDEX(W$407:W$418,$D1619)+INDEX(W$394:W$405,$D1619)+W1574*(1+$E1619))</f>
        <v/>
      </c>
      <c r="X1619" s="44">
        <f>X1601*Settings!$C$13*(INDEX(X$407:X$418,$D1619)+INDEX(X$394:X$405,$D1619)+X1574*(1+$E1619))</f>
        <v/>
      </c>
      <c r="Y1619" s="44">
        <f>Y1601*Settings!$C$13*(INDEX(Y$407:Y$418,$D1619)+INDEX(Y$394:Y$405,$D1619)+Y1574*(1+$E1619))</f>
        <v/>
      </c>
      <c r="Z1619" s="44">
        <f>Z1601*Settings!$C$13*(INDEX(Z$407:Z$418,$D1619)+INDEX(Z$394:Z$405,$D1619)+Z1574*(1+$E1619))</f>
        <v/>
      </c>
      <c r="AA1619" s="44">
        <f>AA1601*Settings!$C$13*(INDEX(AA$407:AA$418,$D1619)+INDEX(AA$394:AA$405,$D1619)+AA1574*(1+$E1619))</f>
        <v/>
      </c>
      <c r="AB1619" s="44">
        <f>AB1601*Settings!$C$13*(INDEX(AB$407:AB$418,$D1619)+INDEX(AB$394:AB$405,$D1619)+AB1574*(1+$E1619))</f>
        <v/>
      </c>
      <c r="AC1619" s="44">
        <f>AC1601*Settings!$C$13*(INDEX(AC$407:AC$418,$D1619)+INDEX(AC$394:AC$405,$D1619)+AC1574*(1+$E1619))</f>
        <v/>
      </c>
      <c r="AD1619" s="44">
        <f>AD1601*Settings!$C$13*(INDEX(AD$407:AD$418,$D1619)+INDEX(AD$394:AD$405,$D1619)+AD1574*(1+$E1619))</f>
        <v/>
      </c>
      <c r="AE1619" s="57">
        <f>REVENUE(AE1601,Settings!$C$13,INDEX(AE$407:AE$418,$D1619)+INDEX(AE$394:AE$405,$D1619)+AE1574*(1+$E1619))</f>
        <v/>
      </c>
      <c r="AG1619" s="11">
        <f>CodePrefix&amp;$A1619&amp;IF($C1619="","","."&amp;$C1619&amp;"."&amp;$B1619)&amp;INDEX(VarEnd,MATCH($A1619,VarKey,0))&amp;AG$5</f>
        <v/>
      </c>
      <c r="AH1619" s="43">
        <f>AH1601*Settings!$C$13*(INDEX(AH$407:AH$418,$D1619)+INDEX(AH$394:AH$405,$D1619)+AH1574*(1+$E1619))</f>
        <v/>
      </c>
      <c r="AI1619" s="44">
        <f>AI1601*Settings!$C$13*(INDEX(AI$407:AI$418,$D1619)+INDEX(AI$394:AI$405,$D1619)+AI1574*(1+$E1619))</f>
        <v/>
      </c>
      <c r="AJ1619" s="44">
        <f>AJ1601*Settings!$C$13*(INDEX(AJ$407:AJ$418,$D1619)+INDEX(AJ$394:AJ$405,$D1619)+AJ1574*(1+$E1619))</f>
        <v/>
      </c>
      <c r="AK1619" s="44">
        <f>AK1601*Settings!$C$13*(INDEX(AK$407:AK$418,$D1619)+INDEX(AK$394:AK$405,$D1619)+AK1574*(1+$E1619))</f>
        <v/>
      </c>
      <c r="AL1619" s="44">
        <f>AL1601*Settings!$C$13*(INDEX(AL$407:AL$418,$D1619)+INDEX(AL$394:AL$405,$D1619)+AL1574*(1+$E1619))</f>
        <v/>
      </c>
      <c r="AM1619" s="44">
        <f>AM1601*Settings!$C$13*(INDEX(AM$407:AM$418,$D1619)+INDEX(AM$394:AM$405,$D1619)+AM1574*(1+$E1619))</f>
        <v/>
      </c>
      <c r="AN1619" s="44">
        <f>AN1601*Settings!$C$13*(INDEX(AN$407:AN$418,$D1619)+INDEX(AN$394:AN$405,$D1619)+AN1574*(1+$E1619))</f>
        <v/>
      </c>
      <c r="AO1619" s="44">
        <f>AO1601*Settings!$C$13*(INDEX(AO$407:AO$418,$D1619)+INDEX(AO$394:AO$405,$D1619)+AO1574*(1+$E1619))</f>
        <v/>
      </c>
      <c r="AP1619" s="44">
        <f>AP1601*Settings!$C$13*(INDEX(AP$407:AP$418,$D1619)+INDEX(AP$394:AP$405,$D1619)+AP1574*(1+$E1619))</f>
        <v/>
      </c>
      <c r="AQ1619" s="44">
        <f>AQ1601*Settings!$C$13*(INDEX(AQ$407:AQ$418,$D1619)+INDEX(AQ$394:AQ$405,$D1619)+AQ1574*(1+$E1619))</f>
        <v/>
      </c>
      <c r="AR1619" s="44">
        <f>AR1601*Settings!$C$13*(INDEX(AR$407:AR$418,$D1619)+INDEX(AR$394:AR$405,$D1619)+AR1574*(1+$E1619))</f>
        <v/>
      </c>
      <c r="AS1619" s="44">
        <f>AS1601*Settings!$C$13*(INDEX(AS$407:AS$418,$D1619)+INDEX(AS$394:AS$405,$D1619)+AS1574*(1+$E1619))</f>
        <v/>
      </c>
      <c r="AT1619" s="44">
        <f>AT1601*Settings!$C$13*(INDEX(AT$407:AT$418,$D1619)+INDEX(AT$394:AT$405,$D1619)+AT1574*(1+$E1619))</f>
        <v/>
      </c>
      <c r="AU1619" s="44">
        <f>AU1601*Settings!$C$13*(INDEX(AU$407:AU$418,$D1619)+INDEX(AU$394:AU$405,$D1619)+AU1574*(1+$E1619))</f>
        <v/>
      </c>
      <c r="AV1619" s="44">
        <f>AV1601*Settings!$C$13*(INDEX(AV$407:AV$418,$D1619)+INDEX(AV$394:AV$405,$D1619)+AV1574*(1+$E1619))</f>
        <v/>
      </c>
      <c r="AW1619" s="44">
        <f>AW1601*Settings!$C$13*(INDEX(AW$407:AW$418,$D1619)+INDEX(AW$394:AW$405,$D1619)+AW1574*(1+$E1619))</f>
        <v/>
      </c>
      <c r="AX1619" s="44">
        <f>AX1601*Settings!$C$13*(INDEX(AX$407:AX$418,$D1619)+INDEX(AX$394:AX$405,$D1619)+AX1574*(1+$E1619))</f>
        <v/>
      </c>
      <c r="AY1619" s="44">
        <f>AY1601*Settings!$C$13*(INDEX(AY$407:AY$418,$D1619)+INDEX(AY$394:AY$405,$D1619)+AY1574*(1+$E1619))</f>
        <v/>
      </c>
      <c r="AZ1619" s="44">
        <f>AZ1601*Settings!$C$13*(INDEX(AZ$407:AZ$418,$D1619)+INDEX(AZ$394:AZ$405,$D1619)+AZ1574*(1+$E1619))</f>
        <v/>
      </c>
      <c r="BA1619" s="57">
        <f>REVENUE(BA1601,Settings!$C$13,INDEX(BA$407:BA$418,$D1619)+INDEX(BA$394:BA$405,$D1619)+BA1574*(1+$E1619))</f>
        <v/>
      </c>
    </row>
    <row r="1620" hidden="1" outlineLevel="2"/>
    <row r="1621" hidden="1" outlineLevel="2">
      <c r="A1621" s="14" t="inlineStr">
        <is>
          <t>rsub</t>
        </is>
      </c>
      <c r="B1621" s="14" t="inlineStr">
        <is>
          <t>coa</t>
        </is>
      </c>
      <c r="C1621" s="14" t="inlineStr">
        <is>
          <t>res</t>
        </is>
      </c>
      <c r="D1621" s="35">
        <f>INDEX(Inputs!$U$5:$U$132,MATCH($B1621&amp;"|"&amp;$C1621,Inputs!$A$5:$A$132,0))</f>
        <v/>
      </c>
      <c r="E1621" s="39" t="n"/>
      <c r="F1621" s="39" t="n"/>
      <c r="G1621" s="39" t="n"/>
      <c r="H1621" s="14">
        <f>INDEX(VarLab,MATCH($A1621,VarKey,0))&amp;INDEX(MemLab,MATCH($C1621&amp;"|"&amp;$B1621,MemKey,0))</f>
        <v/>
      </c>
      <c r="I1621" s="14">
        <f>INDEX(VarUnit,MATCH($A1621,VarKey,0))</f>
        <v/>
      </c>
      <c r="J1621" s="14">
        <f>INDEX(VarSrc,MATCH($A1621,VarKey,0))</f>
        <v/>
      </c>
      <c r="K1621" s="11">
        <f>CodePrefix&amp;$A1621&amp;IF($C1621="","","."&amp;$C1621&amp;"."&amp;$B1621)&amp;INDEX(VarEnd,MATCH($A1621,VarKey,0))&amp;K$5</f>
        <v/>
      </c>
      <c r="L1621" s="43">
        <f>L1594*Settings!$C$13*(INDEX(L$420:L$431,$D1621))</f>
        <v/>
      </c>
      <c r="M1621" s="44">
        <f>M1594*Settings!$C$13*(INDEX(M$420:M$431,$D1621))</f>
        <v/>
      </c>
      <c r="N1621" s="44">
        <f>N1594*Settings!$C$13*(INDEX(N$420:N$431,$D1621))</f>
        <v/>
      </c>
      <c r="O1621" s="44">
        <f>O1594*Settings!$C$13*(INDEX(O$420:O$431,$D1621))</f>
        <v/>
      </c>
      <c r="P1621" s="44">
        <f>P1594*Settings!$C$13*(INDEX(P$420:P$431,$D1621))</f>
        <v/>
      </c>
      <c r="Q1621" s="44">
        <f>Q1594*Settings!$C$13*(INDEX(Q$420:Q$431,$D1621))</f>
        <v/>
      </c>
      <c r="R1621" s="44">
        <f>R1594*Settings!$C$13*(INDEX(R$420:R$431,$D1621))</f>
        <v/>
      </c>
      <c r="S1621" s="44">
        <f>S1594*Settings!$C$13*(INDEX(S$420:S$431,$D1621))</f>
        <v/>
      </c>
      <c r="T1621" s="44">
        <f>T1594*Settings!$C$13*(INDEX(T$420:T$431,$D1621))</f>
        <v/>
      </c>
      <c r="U1621" s="44">
        <f>U1594*Settings!$C$13*(INDEX(U$420:U$431,$D1621))</f>
        <v/>
      </c>
      <c r="V1621" s="44">
        <f>V1594*Settings!$C$13*(INDEX(V$420:V$431,$D1621))</f>
        <v/>
      </c>
      <c r="W1621" s="44">
        <f>W1594*Settings!$C$13*(INDEX(W$420:W$431,$D1621))</f>
        <v/>
      </c>
      <c r="X1621" s="44">
        <f>X1594*Settings!$C$13*(INDEX(X$420:X$431,$D1621))</f>
        <v/>
      </c>
      <c r="Y1621" s="44">
        <f>Y1594*Settings!$C$13*(INDEX(Y$420:Y$431,$D1621))</f>
        <v/>
      </c>
      <c r="Z1621" s="44">
        <f>Z1594*Settings!$C$13*(INDEX(Z$420:Z$431,$D1621))</f>
        <v/>
      </c>
      <c r="AA1621" s="44">
        <f>AA1594*Settings!$C$13*(INDEX(AA$420:AA$431,$D1621))</f>
        <v/>
      </c>
      <c r="AB1621" s="44">
        <f>AB1594*Settings!$C$13*(INDEX(AB$420:AB$431,$D1621))</f>
        <v/>
      </c>
      <c r="AC1621" s="44">
        <f>AC1594*Settings!$C$13*(INDEX(AC$420:AC$431,$D1621))</f>
        <v/>
      </c>
      <c r="AD1621" s="44">
        <f>AD1594*Settings!$C$13*(INDEX(AD$420:AD$431,$D1621))</f>
        <v/>
      </c>
      <c r="AE1621" s="57">
        <f>REVENUE(AE1594,Settings!$C$13,INDEX(AE$420:AE$431,$D1621))</f>
        <v/>
      </c>
      <c r="AG1621" s="11">
        <f>CodePrefix&amp;$A1621&amp;IF($C1621="","","."&amp;$C1621&amp;"."&amp;$B1621)&amp;INDEX(VarEnd,MATCH($A1621,VarKey,0))&amp;AG$5</f>
        <v/>
      </c>
      <c r="AH1621" s="43">
        <f>AH1594*Settings!$C$13*(INDEX(AH$420:AH$431,$D1621))</f>
        <v/>
      </c>
      <c r="AI1621" s="44">
        <f>AI1594*Settings!$C$13*(INDEX(AI$420:AI$431,$D1621))</f>
        <v/>
      </c>
      <c r="AJ1621" s="44">
        <f>AJ1594*Settings!$C$13*(INDEX(AJ$420:AJ$431,$D1621))</f>
        <v/>
      </c>
      <c r="AK1621" s="44">
        <f>AK1594*Settings!$C$13*(INDEX(AK$420:AK$431,$D1621))</f>
        <v/>
      </c>
      <c r="AL1621" s="44">
        <f>AL1594*Settings!$C$13*(INDEX(AL$420:AL$431,$D1621))</f>
        <v/>
      </c>
      <c r="AM1621" s="44">
        <f>AM1594*Settings!$C$13*(INDEX(AM$420:AM$431,$D1621))</f>
        <v/>
      </c>
      <c r="AN1621" s="44">
        <f>AN1594*Settings!$C$13*(INDEX(AN$420:AN$431,$D1621))</f>
        <v/>
      </c>
      <c r="AO1621" s="44">
        <f>AO1594*Settings!$C$13*(INDEX(AO$420:AO$431,$D1621))</f>
        <v/>
      </c>
      <c r="AP1621" s="44">
        <f>AP1594*Settings!$C$13*(INDEX(AP$420:AP$431,$D1621))</f>
        <v/>
      </c>
      <c r="AQ1621" s="44">
        <f>AQ1594*Settings!$C$13*(INDEX(AQ$420:AQ$431,$D1621))</f>
        <v/>
      </c>
      <c r="AR1621" s="44">
        <f>AR1594*Settings!$C$13*(INDEX(AR$420:AR$431,$D1621))</f>
        <v/>
      </c>
      <c r="AS1621" s="44">
        <f>AS1594*Settings!$C$13*(INDEX(AS$420:AS$431,$D1621))</f>
        <v/>
      </c>
      <c r="AT1621" s="44">
        <f>AT1594*Settings!$C$13*(INDEX(AT$420:AT$431,$D1621))</f>
        <v/>
      </c>
      <c r="AU1621" s="44">
        <f>AU1594*Settings!$C$13*(INDEX(AU$420:AU$431,$D1621))</f>
        <v/>
      </c>
      <c r="AV1621" s="44">
        <f>AV1594*Settings!$C$13*(INDEX(AV$420:AV$431,$D1621))</f>
        <v/>
      </c>
      <c r="AW1621" s="44">
        <f>AW1594*Settings!$C$13*(INDEX(AW$420:AW$431,$D1621))</f>
        <v/>
      </c>
      <c r="AX1621" s="44">
        <f>AX1594*Settings!$C$13*(INDEX(AX$420:AX$431,$D1621))</f>
        <v/>
      </c>
      <c r="AY1621" s="44">
        <f>AY1594*Settings!$C$13*(INDEX(AY$420:AY$431,$D1621))</f>
        <v/>
      </c>
      <c r="AZ1621" s="44">
        <f>AZ1594*Settings!$C$13*(INDEX(AZ$420:AZ$431,$D1621))</f>
        <v/>
      </c>
      <c r="BA1621" s="57">
        <f>REVENUE(BA1594,Settings!$C$13,INDEX(BA$420:BA$431,$D1621))</f>
        <v/>
      </c>
    </row>
    <row r="1622" hidden="1" outlineLevel="2">
      <c r="A1622" s="14" t="inlineStr">
        <is>
          <t>rsub</t>
        </is>
      </c>
      <c r="B1622" s="14" t="inlineStr">
        <is>
          <t>nga</t>
        </is>
      </c>
      <c r="C1622" s="14" t="inlineStr">
        <is>
          <t>res</t>
        </is>
      </c>
      <c r="D1622" s="35">
        <f>INDEX(Inputs!$U$5:$U$132,MATCH($B1622&amp;"|"&amp;$C1622,Inputs!$A$5:$A$132,0))</f>
        <v/>
      </c>
      <c r="E1622" s="39" t="n"/>
      <c r="F1622" s="39" t="n"/>
      <c r="G1622" s="39" t="n"/>
      <c r="H1622" s="14">
        <f>INDEX(VarLab,MATCH($A1622,VarKey,0))&amp;INDEX(MemLab,MATCH($C1622&amp;"|"&amp;$B1622,MemKey,0))</f>
        <v/>
      </c>
      <c r="I1622" s="14">
        <f>INDEX(VarUnit,MATCH($A1622,VarKey,0))</f>
        <v/>
      </c>
      <c r="J1622" s="14">
        <f>INDEX(VarSrc,MATCH($A1622,VarKey,0))</f>
        <v/>
      </c>
      <c r="K1622" s="11">
        <f>CodePrefix&amp;$A1622&amp;IF($C1622="","","."&amp;$C1622&amp;"."&amp;$B1622)&amp;INDEX(VarEnd,MATCH($A1622,VarKey,0))&amp;K$5</f>
        <v/>
      </c>
      <c r="L1622" s="43">
        <f>L1595*Settings!$C$13*(INDEX(L$420:L$431,$D1622))</f>
        <v/>
      </c>
      <c r="M1622" s="44">
        <f>M1595*Settings!$C$13*(INDEX(M$420:M$431,$D1622))</f>
        <v/>
      </c>
      <c r="N1622" s="44">
        <f>N1595*Settings!$C$13*(INDEX(N$420:N$431,$D1622))</f>
        <v/>
      </c>
      <c r="O1622" s="44">
        <f>O1595*Settings!$C$13*(INDEX(O$420:O$431,$D1622))</f>
        <v/>
      </c>
      <c r="P1622" s="44">
        <f>P1595*Settings!$C$13*(INDEX(P$420:P$431,$D1622))</f>
        <v/>
      </c>
      <c r="Q1622" s="44">
        <f>Q1595*Settings!$C$13*(INDEX(Q$420:Q$431,$D1622))</f>
        <v/>
      </c>
      <c r="R1622" s="44">
        <f>R1595*Settings!$C$13*(INDEX(R$420:R$431,$D1622))</f>
        <v/>
      </c>
      <c r="S1622" s="44">
        <f>S1595*Settings!$C$13*(INDEX(S$420:S$431,$D1622))</f>
        <v/>
      </c>
      <c r="T1622" s="44">
        <f>T1595*Settings!$C$13*(INDEX(T$420:T$431,$D1622))</f>
        <v/>
      </c>
      <c r="U1622" s="44">
        <f>U1595*Settings!$C$13*(INDEX(U$420:U$431,$D1622))</f>
        <v/>
      </c>
      <c r="V1622" s="44">
        <f>V1595*Settings!$C$13*(INDEX(V$420:V$431,$D1622))</f>
        <v/>
      </c>
      <c r="W1622" s="44">
        <f>W1595*Settings!$C$13*(INDEX(W$420:W$431,$D1622))</f>
        <v/>
      </c>
      <c r="X1622" s="44">
        <f>X1595*Settings!$C$13*(INDEX(X$420:X$431,$D1622))</f>
        <v/>
      </c>
      <c r="Y1622" s="44">
        <f>Y1595*Settings!$C$13*(INDEX(Y$420:Y$431,$D1622))</f>
        <v/>
      </c>
      <c r="Z1622" s="44">
        <f>Z1595*Settings!$C$13*(INDEX(Z$420:Z$431,$D1622))</f>
        <v/>
      </c>
      <c r="AA1622" s="44">
        <f>AA1595*Settings!$C$13*(INDEX(AA$420:AA$431,$D1622))</f>
        <v/>
      </c>
      <c r="AB1622" s="44">
        <f>AB1595*Settings!$C$13*(INDEX(AB$420:AB$431,$D1622))</f>
        <v/>
      </c>
      <c r="AC1622" s="44">
        <f>AC1595*Settings!$C$13*(INDEX(AC$420:AC$431,$D1622))</f>
        <v/>
      </c>
      <c r="AD1622" s="44">
        <f>AD1595*Settings!$C$13*(INDEX(AD$420:AD$431,$D1622))</f>
        <v/>
      </c>
      <c r="AE1622" s="57">
        <f>REVENUE(AE1595,Settings!$C$13,INDEX(AE$420:AE$431,$D1622))</f>
        <v/>
      </c>
      <c r="AG1622" s="11">
        <f>CodePrefix&amp;$A1622&amp;IF($C1622="","","."&amp;$C1622&amp;"."&amp;$B1622)&amp;INDEX(VarEnd,MATCH($A1622,VarKey,0))&amp;AG$5</f>
        <v/>
      </c>
      <c r="AH1622" s="43">
        <f>AH1595*Settings!$C$13*(INDEX(AH$420:AH$431,$D1622))</f>
        <v/>
      </c>
      <c r="AI1622" s="44">
        <f>AI1595*Settings!$C$13*(INDEX(AI$420:AI$431,$D1622))</f>
        <v/>
      </c>
      <c r="AJ1622" s="44">
        <f>AJ1595*Settings!$C$13*(INDEX(AJ$420:AJ$431,$D1622))</f>
        <v/>
      </c>
      <c r="AK1622" s="44">
        <f>AK1595*Settings!$C$13*(INDEX(AK$420:AK$431,$D1622))</f>
        <v/>
      </c>
      <c r="AL1622" s="44">
        <f>AL1595*Settings!$C$13*(INDEX(AL$420:AL$431,$D1622))</f>
        <v/>
      </c>
      <c r="AM1622" s="44">
        <f>AM1595*Settings!$C$13*(INDEX(AM$420:AM$431,$D1622))</f>
        <v/>
      </c>
      <c r="AN1622" s="44">
        <f>AN1595*Settings!$C$13*(INDEX(AN$420:AN$431,$D1622))</f>
        <v/>
      </c>
      <c r="AO1622" s="44">
        <f>AO1595*Settings!$C$13*(INDEX(AO$420:AO$431,$D1622))</f>
        <v/>
      </c>
      <c r="AP1622" s="44">
        <f>AP1595*Settings!$C$13*(INDEX(AP$420:AP$431,$D1622))</f>
        <v/>
      </c>
      <c r="AQ1622" s="44">
        <f>AQ1595*Settings!$C$13*(INDEX(AQ$420:AQ$431,$D1622))</f>
        <v/>
      </c>
      <c r="AR1622" s="44">
        <f>AR1595*Settings!$C$13*(INDEX(AR$420:AR$431,$D1622))</f>
        <v/>
      </c>
      <c r="AS1622" s="44">
        <f>AS1595*Settings!$C$13*(INDEX(AS$420:AS$431,$D1622))</f>
        <v/>
      </c>
      <c r="AT1622" s="44">
        <f>AT1595*Settings!$C$13*(INDEX(AT$420:AT$431,$D1622))</f>
        <v/>
      </c>
      <c r="AU1622" s="44">
        <f>AU1595*Settings!$C$13*(INDEX(AU$420:AU$431,$D1622))</f>
        <v/>
      </c>
      <c r="AV1622" s="44">
        <f>AV1595*Settings!$C$13*(INDEX(AV$420:AV$431,$D1622))</f>
        <v/>
      </c>
      <c r="AW1622" s="44">
        <f>AW1595*Settings!$C$13*(INDEX(AW$420:AW$431,$D1622))</f>
        <v/>
      </c>
      <c r="AX1622" s="44">
        <f>AX1595*Settings!$C$13*(INDEX(AX$420:AX$431,$D1622))</f>
        <v/>
      </c>
      <c r="AY1622" s="44">
        <f>AY1595*Settings!$C$13*(INDEX(AY$420:AY$431,$D1622))</f>
        <v/>
      </c>
      <c r="AZ1622" s="44">
        <f>AZ1595*Settings!$C$13*(INDEX(AZ$420:AZ$431,$D1622))</f>
        <v/>
      </c>
      <c r="BA1622" s="57">
        <f>REVENUE(BA1595,Settings!$C$13,INDEX(BA$420:BA$431,$D1622))</f>
        <v/>
      </c>
    </row>
    <row r="1623" hidden="1" outlineLevel="2">
      <c r="A1623" s="14" t="inlineStr">
        <is>
          <t>rsub</t>
        </is>
      </c>
      <c r="B1623" s="14" t="inlineStr">
        <is>
          <t>gso</t>
        </is>
      </c>
      <c r="C1623" s="14" t="inlineStr">
        <is>
          <t>res</t>
        </is>
      </c>
      <c r="D1623" s="35">
        <f>INDEX(Inputs!$U$5:$U$132,MATCH($B1623&amp;"|"&amp;$C1623,Inputs!$A$5:$A$132,0))</f>
        <v/>
      </c>
      <c r="E1623" s="39" t="n"/>
      <c r="F1623" s="39" t="n"/>
      <c r="G1623" s="39" t="n"/>
      <c r="H1623" s="14">
        <f>INDEX(VarLab,MATCH($A1623,VarKey,0))&amp;INDEX(MemLab,MATCH($C1623&amp;"|"&amp;$B1623,MemKey,0))</f>
        <v/>
      </c>
      <c r="I1623" s="14">
        <f>INDEX(VarUnit,MATCH($A1623,VarKey,0))</f>
        <v/>
      </c>
      <c r="J1623" s="14">
        <f>INDEX(VarSrc,MATCH($A1623,VarKey,0))</f>
        <v/>
      </c>
      <c r="K1623" s="11">
        <f>CodePrefix&amp;$A1623&amp;IF($C1623="","","."&amp;$C1623&amp;"."&amp;$B1623)&amp;INDEX(VarEnd,MATCH($A1623,VarKey,0))&amp;K$5</f>
        <v/>
      </c>
      <c r="L1623" s="43">
        <f>L1596*Settings!$C$13*(INDEX(L$420:L$431,$D1623))</f>
        <v/>
      </c>
      <c r="M1623" s="44">
        <f>M1596*Settings!$C$13*(INDEX(M$420:M$431,$D1623))</f>
        <v/>
      </c>
      <c r="N1623" s="44">
        <f>N1596*Settings!$C$13*(INDEX(N$420:N$431,$D1623))</f>
        <v/>
      </c>
      <c r="O1623" s="44">
        <f>O1596*Settings!$C$13*(INDEX(O$420:O$431,$D1623))</f>
        <v/>
      </c>
      <c r="P1623" s="44">
        <f>P1596*Settings!$C$13*(INDEX(P$420:P$431,$D1623))</f>
        <v/>
      </c>
      <c r="Q1623" s="44">
        <f>Q1596*Settings!$C$13*(INDEX(Q$420:Q$431,$D1623))</f>
        <v/>
      </c>
      <c r="R1623" s="44">
        <f>R1596*Settings!$C$13*(INDEX(R$420:R$431,$D1623))</f>
        <v/>
      </c>
      <c r="S1623" s="44">
        <f>S1596*Settings!$C$13*(INDEX(S$420:S$431,$D1623))</f>
        <v/>
      </c>
      <c r="T1623" s="44">
        <f>T1596*Settings!$C$13*(INDEX(T$420:T$431,$D1623))</f>
        <v/>
      </c>
      <c r="U1623" s="44">
        <f>U1596*Settings!$C$13*(INDEX(U$420:U$431,$D1623))</f>
        <v/>
      </c>
      <c r="V1623" s="44">
        <f>V1596*Settings!$C$13*(INDEX(V$420:V$431,$D1623))</f>
        <v/>
      </c>
      <c r="W1623" s="44">
        <f>W1596*Settings!$C$13*(INDEX(W$420:W$431,$D1623))</f>
        <v/>
      </c>
      <c r="X1623" s="44">
        <f>X1596*Settings!$C$13*(INDEX(X$420:X$431,$D1623))</f>
        <v/>
      </c>
      <c r="Y1623" s="44">
        <f>Y1596*Settings!$C$13*(INDEX(Y$420:Y$431,$D1623))</f>
        <v/>
      </c>
      <c r="Z1623" s="44">
        <f>Z1596*Settings!$C$13*(INDEX(Z$420:Z$431,$D1623))</f>
        <v/>
      </c>
      <c r="AA1623" s="44">
        <f>AA1596*Settings!$C$13*(INDEX(AA$420:AA$431,$D1623))</f>
        <v/>
      </c>
      <c r="AB1623" s="44">
        <f>AB1596*Settings!$C$13*(INDEX(AB$420:AB$431,$D1623))</f>
        <v/>
      </c>
      <c r="AC1623" s="44">
        <f>AC1596*Settings!$C$13*(INDEX(AC$420:AC$431,$D1623))</f>
        <v/>
      </c>
      <c r="AD1623" s="44">
        <f>AD1596*Settings!$C$13*(INDEX(AD$420:AD$431,$D1623))</f>
        <v/>
      </c>
      <c r="AE1623" s="57">
        <f>REVENUE(AE1596,Settings!$C$13,INDEX(AE$420:AE$431,$D1623))</f>
        <v/>
      </c>
      <c r="AG1623" s="11">
        <f>CodePrefix&amp;$A1623&amp;IF($C1623="","","."&amp;$C1623&amp;"."&amp;$B1623)&amp;INDEX(VarEnd,MATCH($A1623,VarKey,0))&amp;AG$5</f>
        <v/>
      </c>
      <c r="AH1623" s="43">
        <f>AH1596*Settings!$C$13*(INDEX(AH$420:AH$431,$D1623))</f>
        <v/>
      </c>
      <c r="AI1623" s="44">
        <f>AI1596*Settings!$C$13*(INDEX(AI$420:AI$431,$D1623))</f>
        <v/>
      </c>
      <c r="AJ1623" s="44">
        <f>AJ1596*Settings!$C$13*(INDEX(AJ$420:AJ$431,$D1623))</f>
        <v/>
      </c>
      <c r="AK1623" s="44">
        <f>AK1596*Settings!$C$13*(INDEX(AK$420:AK$431,$D1623))</f>
        <v/>
      </c>
      <c r="AL1623" s="44">
        <f>AL1596*Settings!$C$13*(INDEX(AL$420:AL$431,$D1623))</f>
        <v/>
      </c>
      <c r="AM1623" s="44">
        <f>AM1596*Settings!$C$13*(INDEX(AM$420:AM$431,$D1623))</f>
        <v/>
      </c>
      <c r="AN1623" s="44">
        <f>AN1596*Settings!$C$13*(INDEX(AN$420:AN$431,$D1623))</f>
        <v/>
      </c>
      <c r="AO1623" s="44">
        <f>AO1596*Settings!$C$13*(INDEX(AO$420:AO$431,$D1623))</f>
        <v/>
      </c>
      <c r="AP1623" s="44">
        <f>AP1596*Settings!$C$13*(INDEX(AP$420:AP$431,$D1623))</f>
        <v/>
      </c>
      <c r="AQ1623" s="44">
        <f>AQ1596*Settings!$C$13*(INDEX(AQ$420:AQ$431,$D1623))</f>
        <v/>
      </c>
      <c r="AR1623" s="44">
        <f>AR1596*Settings!$C$13*(INDEX(AR$420:AR$431,$D1623))</f>
        <v/>
      </c>
      <c r="AS1623" s="44">
        <f>AS1596*Settings!$C$13*(INDEX(AS$420:AS$431,$D1623))</f>
        <v/>
      </c>
      <c r="AT1623" s="44">
        <f>AT1596*Settings!$C$13*(INDEX(AT$420:AT$431,$D1623))</f>
        <v/>
      </c>
      <c r="AU1623" s="44">
        <f>AU1596*Settings!$C$13*(INDEX(AU$420:AU$431,$D1623))</f>
        <v/>
      </c>
      <c r="AV1623" s="44">
        <f>AV1596*Settings!$C$13*(INDEX(AV$420:AV$431,$D1623))</f>
        <v/>
      </c>
      <c r="AW1623" s="44">
        <f>AW1596*Settings!$C$13*(INDEX(AW$420:AW$431,$D1623))</f>
        <v/>
      </c>
      <c r="AX1623" s="44">
        <f>AX1596*Settings!$C$13*(INDEX(AX$420:AX$431,$D1623))</f>
        <v/>
      </c>
      <c r="AY1623" s="44">
        <f>AY1596*Settings!$C$13*(INDEX(AY$420:AY$431,$D1623))</f>
        <v/>
      </c>
      <c r="AZ1623" s="44">
        <f>AZ1596*Settings!$C$13*(INDEX(AZ$420:AZ$431,$D1623))</f>
        <v/>
      </c>
      <c r="BA1623" s="57">
        <f>REVENUE(BA1596,Settings!$C$13,INDEX(BA$420:BA$431,$D1623))</f>
        <v/>
      </c>
    </row>
    <row r="1624" hidden="1" outlineLevel="2">
      <c r="A1624" s="14" t="inlineStr">
        <is>
          <t>rsub</t>
        </is>
      </c>
      <c r="B1624" s="14" t="inlineStr">
        <is>
          <t>die</t>
        </is>
      </c>
      <c r="C1624" s="14" t="inlineStr">
        <is>
          <t>res</t>
        </is>
      </c>
      <c r="D1624" s="35">
        <f>INDEX(Inputs!$U$5:$U$132,MATCH($B1624&amp;"|"&amp;$C1624,Inputs!$A$5:$A$132,0))</f>
        <v/>
      </c>
      <c r="E1624" s="39" t="n"/>
      <c r="F1624" s="39" t="n"/>
      <c r="G1624" s="39" t="n"/>
      <c r="H1624" s="14">
        <f>INDEX(VarLab,MATCH($A1624,VarKey,0))&amp;INDEX(MemLab,MATCH($C1624&amp;"|"&amp;$B1624,MemKey,0))</f>
        <v/>
      </c>
      <c r="I1624" s="14">
        <f>INDEX(VarUnit,MATCH($A1624,VarKey,0))</f>
        <v/>
      </c>
      <c r="J1624" s="14">
        <f>INDEX(VarSrc,MATCH($A1624,VarKey,0))</f>
        <v/>
      </c>
      <c r="K1624" s="11">
        <f>CodePrefix&amp;$A1624&amp;IF($C1624="","","."&amp;$C1624&amp;"."&amp;$B1624)&amp;INDEX(VarEnd,MATCH($A1624,VarKey,0))&amp;K$5</f>
        <v/>
      </c>
      <c r="L1624" s="43">
        <f>L1597*Settings!$C$13*(INDEX(L$420:L$431,$D1624))</f>
        <v/>
      </c>
      <c r="M1624" s="44">
        <f>M1597*Settings!$C$13*(INDEX(M$420:M$431,$D1624))</f>
        <v/>
      </c>
      <c r="N1624" s="44">
        <f>N1597*Settings!$C$13*(INDEX(N$420:N$431,$D1624))</f>
        <v/>
      </c>
      <c r="O1624" s="44">
        <f>O1597*Settings!$C$13*(INDEX(O$420:O$431,$D1624))</f>
        <v/>
      </c>
      <c r="P1624" s="44">
        <f>P1597*Settings!$C$13*(INDEX(P$420:P$431,$D1624))</f>
        <v/>
      </c>
      <c r="Q1624" s="44">
        <f>Q1597*Settings!$C$13*(INDEX(Q$420:Q$431,$D1624))</f>
        <v/>
      </c>
      <c r="R1624" s="44">
        <f>R1597*Settings!$C$13*(INDEX(R$420:R$431,$D1624))</f>
        <v/>
      </c>
      <c r="S1624" s="44">
        <f>S1597*Settings!$C$13*(INDEX(S$420:S$431,$D1624))</f>
        <v/>
      </c>
      <c r="T1624" s="44">
        <f>T1597*Settings!$C$13*(INDEX(T$420:T$431,$D1624))</f>
        <v/>
      </c>
      <c r="U1624" s="44">
        <f>U1597*Settings!$C$13*(INDEX(U$420:U$431,$D1624))</f>
        <v/>
      </c>
      <c r="V1624" s="44">
        <f>V1597*Settings!$C$13*(INDEX(V$420:V$431,$D1624))</f>
        <v/>
      </c>
      <c r="W1624" s="44">
        <f>W1597*Settings!$C$13*(INDEX(W$420:W$431,$D1624))</f>
        <v/>
      </c>
      <c r="X1624" s="44">
        <f>X1597*Settings!$C$13*(INDEX(X$420:X$431,$D1624))</f>
        <v/>
      </c>
      <c r="Y1624" s="44">
        <f>Y1597*Settings!$C$13*(INDEX(Y$420:Y$431,$D1624))</f>
        <v/>
      </c>
      <c r="Z1624" s="44">
        <f>Z1597*Settings!$C$13*(INDEX(Z$420:Z$431,$D1624))</f>
        <v/>
      </c>
      <c r="AA1624" s="44">
        <f>AA1597*Settings!$C$13*(INDEX(AA$420:AA$431,$D1624))</f>
        <v/>
      </c>
      <c r="AB1624" s="44">
        <f>AB1597*Settings!$C$13*(INDEX(AB$420:AB$431,$D1624))</f>
        <v/>
      </c>
      <c r="AC1624" s="44">
        <f>AC1597*Settings!$C$13*(INDEX(AC$420:AC$431,$D1624))</f>
        <v/>
      </c>
      <c r="AD1624" s="44">
        <f>AD1597*Settings!$C$13*(INDEX(AD$420:AD$431,$D1624))</f>
        <v/>
      </c>
      <c r="AE1624" s="57">
        <f>REVENUE(AE1597,Settings!$C$13,INDEX(AE$420:AE$431,$D1624))</f>
        <v/>
      </c>
      <c r="AG1624" s="11">
        <f>CodePrefix&amp;$A1624&amp;IF($C1624="","","."&amp;$C1624&amp;"."&amp;$B1624)&amp;INDEX(VarEnd,MATCH($A1624,VarKey,0))&amp;AG$5</f>
        <v/>
      </c>
      <c r="AH1624" s="43">
        <f>AH1597*Settings!$C$13*(INDEX(AH$420:AH$431,$D1624))</f>
        <v/>
      </c>
      <c r="AI1624" s="44">
        <f>AI1597*Settings!$C$13*(INDEX(AI$420:AI$431,$D1624))</f>
        <v/>
      </c>
      <c r="AJ1624" s="44">
        <f>AJ1597*Settings!$C$13*(INDEX(AJ$420:AJ$431,$D1624))</f>
        <v/>
      </c>
      <c r="AK1624" s="44">
        <f>AK1597*Settings!$C$13*(INDEX(AK$420:AK$431,$D1624))</f>
        <v/>
      </c>
      <c r="AL1624" s="44">
        <f>AL1597*Settings!$C$13*(INDEX(AL$420:AL$431,$D1624))</f>
        <v/>
      </c>
      <c r="AM1624" s="44">
        <f>AM1597*Settings!$C$13*(INDEX(AM$420:AM$431,$D1624))</f>
        <v/>
      </c>
      <c r="AN1624" s="44">
        <f>AN1597*Settings!$C$13*(INDEX(AN$420:AN$431,$D1624))</f>
        <v/>
      </c>
      <c r="AO1624" s="44">
        <f>AO1597*Settings!$C$13*(INDEX(AO$420:AO$431,$D1624))</f>
        <v/>
      </c>
      <c r="AP1624" s="44">
        <f>AP1597*Settings!$C$13*(INDEX(AP$420:AP$431,$D1624))</f>
        <v/>
      </c>
      <c r="AQ1624" s="44">
        <f>AQ1597*Settings!$C$13*(INDEX(AQ$420:AQ$431,$D1624))</f>
        <v/>
      </c>
      <c r="AR1624" s="44">
        <f>AR1597*Settings!$C$13*(INDEX(AR$420:AR$431,$D1624))</f>
        <v/>
      </c>
      <c r="AS1624" s="44">
        <f>AS1597*Settings!$C$13*(INDEX(AS$420:AS$431,$D1624))</f>
        <v/>
      </c>
      <c r="AT1624" s="44">
        <f>AT1597*Settings!$C$13*(INDEX(AT$420:AT$431,$D1624))</f>
        <v/>
      </c>
      <c r="AU1624" s="44">
        <f>AU1597*Settings!$C$13*(INDEX(AU$420:AU$431,$D1624))</f>
        <v/>
      </c>
      <c r="AV1624" s="44">
        <f>AV1597*Settings!$C$13*(INDEX(AV$420:AV$431,$D1624))</f>
        <v/>
      </c>
      <c r="AW1624" s="44">
        <f>AW1597*Settings!$C$13*(INDEX(AW$420:AW$431,$D1624))</f>
        <v/>
      </c>
      <c r="AX1624" s="44">
        <f>AX1597*Settings!$C$13*(INDEX(AX$420:AX$431,$D1624))</f>
        <v/>
      </c>
      <c r="AY1624" s="44">
        <f>AY1597*Settings!$C$13*(INDEX(AY$420:AY$431,$D1624))</f>
        <v/>
      </c>
      <c r="AZ1624" s="44">
        <f>AZ1597*Settings!$C$13*(INDEX(AZ$420:AZ$431,$D1624))</f>
        <v/>
      </c>
      <c r="BA1624" s="57">
        <f>REVENUE(BA1597,Settings!$C$13,INDEX(BA$420:BA$431,$D1624))</f>
        <v/>
      </c>
    </row>
    <row r="1625" hidden="1" outlineLevel="2">
      <c r="A1625" s="14" t="inlineStr">
        <is>
          <t>rsub</t>
        </is>
      </c>
      <c r="B1625" s="14" t="inlineStr">
        <is>
          <t>lpg</t>
        </is>
      </c>
      <c r="C1625" s="14" t="inlineStr">
        <is>
          <t>res</t>
        </is>
      </c>
      <c r="D1625" s="35">
        <f>INDEX(Inputs!$U$5:$U$132,MATCH($B1625&amp;"|"&amp;$C1625,Inputs!$A$5:$A$132,0))</f>
        <v/>
      </c>
      <c r="E1625" s="39" t="n"/>
      <c r="F1625" s="39" t="n"/>
      <c r="G1625" s="39" t="n"/>
      <c r="H1625" s="14">
        <f>INDEX(VarLab,MATCH($A1625,VarKey,0))&amp;INDEX(MemLab,MATCH($C1625&amp;"|"&amp;$B1625,MemKey,0))</f>
        <v/>
      </c>
      <c r="I1625" s="14">
        <f>INDEX(VarUnit,MATCH($A1625,VarKey,0))</f>
        <v/>
      </c>
      <c r="J1625" s="14">
        <f>INDEX(VarSrc,MATCH($A1625,VarKey,0))</f>
        <v/>
      </c>
      <c r="K1625" s="11">
        <f>CodePrefix&amp;$A1625&amp;IF($C1625="","","."&amp;$C1625&amp;"."&amp;$B1625)&amp;INDEX(VarEnd,MATCH($A1625,VarKey,0))&amp;K$5</f>
        <v/>
      </c>
      <c r="L1625" s="43">
        <f>L1598*Settings!$C$13*(INDEX(L$420:L$431,$D1625))</f>
        <v/>
      </c>
      <c r="M1625" s="44">
        <f>M1598*Settings!$C$13*(INDEX(M$420:M$431,$D1625))</f>
        <v/>
      </c>
      <c r="N1625" s="44">
        <f>N1598*Settings!$C$13*(INDEX(N$420:N$431,$D1625))</f>
        <v/>
      </c>
      <c r="O1625" s="44">
        <f>O1598*Settings!$C$13*(INDEX(O$420:O$431,$D1625))</f>
        <v/>
      </c>
      <c r="P1625" s="44">
        <f>P1598*Settings!$C$13*(INDEX(P$420:P$431,$D1625))</f>
        <v/>
      </c>
      <c r="Q1625" s="44">
        <f>Q1598*Settings!$C$13*(INDEX(Q$420:Q$431,$D1625))</f>
        <v/>
      </c>
      <c r="R1625" s="44">
        <f>R1598*Settings!$C$13*(INDEX(R$420:R$431,$D1625))</f>
        <v/>
      </c>
      <c r="S1625" s="44">
        <f>S1598*Settings!$C$13*(INDEX(S$420:S$431,$D1625))</f>
        <v/>
      </c>
      <c r="T1625" s="44">
        <f>T1598*Settings!$C$13*(INDEX(T$420:T$431,$D1625))</f>
        <v/>
      </c>
      <c r="U1625" s="44">
        <f>U1598*Settings!$C$13*(INDEX(U$420:U$431,$D1625))</f>
        <v/>
      </c>
      <c r="V1625" s="44">
        <f>V1598*Settings!$C$13*(INDEX(V$420:V$431,$D1625))</f>
        <v/>
      </c>
      <c r="W1625" s="44">
        <f>W1598*Settings!$C$13*(INDEX(W$420:W$431,$D1625))</f>
        <v/>
      </c>
      <c r="X1625" s="44">
        <f>X1598*Settings!$C$13*(INDEX(X$420:X$431,$D1625))</f>
        <v/>
      </c>
      <c r="Y1625" s="44">
        <f>Y1598*Settings!$C$13*(INDEX(Y$420:Y$431,$D1625))</f>
        <v/>
      </c>
      <c r="Z1625" s="44">
        <f>Z1598*Settings!$C$13*(INDEX(Z$420:Z$431,$D1625))</f>
        <v/>
      </c>
      <c r="AA1625" s="44">
        <f>AA1598*Settings!$C$13*(INDEX(AA$420:AA$431,$D1625))</f>
        <v/>
      </c>
      <c r="AB1625" s="44">
        <f>AB1598*Settings!$C$13*(INDEX(AB$420:AB$431,$D1625))</f>
        <v/>
      </c>
      <c r="AC1625" s="44">
        <f>AC1598*Settings!$C$13*(INDEX(AC$420:AC$431,$D1625))</f>
        <v/>
      </c>
      <c r="AD1625" s="44">
        <f>AD1598*Settings!$C$13*(INDEX(AD$420:AD$431,$D1625))</f>
        <v/>
      </c>
      <c r="AE1625" s="57">
        <f>REVENUE(AE1598,Settings!$C$13,INDEX(AE$420:AE$431,$D1625))</f>
        <v/>
      </c>
      <c r="AG1625" s="11">
        <f>CodePrefix&amp;$A1625&amp;IF($C1625="","","."&amp;$C1625&amp;"."&amp;$B1625)&amp;INDEX(VarEnd,MATCH($A1625,VarKey,0))&amp;AG$5</f>
        <v/>
      </c>
      <c r="AH1625" s="43">
        <f>AH1598*Settings!$C$13*(INDEX(AH$420:AH$431,$D1625))</f>
        <v/>
      </c>
      <c r="AI1625" s="44">
        <f>AI1598*Settings!$C$13*(INDEX(AI$420:AI$431,$D1625))</f>
        <v/>
      </c>
      <c r="AJ1625" s="44">
        <f>AJ1598*Settings!$C$13*(INDEX(AJ$420:AJ$431,$D1625))</f>
        <v/>
      </c>
      <c r="AK1625" s="44">
        <f>AK1598*Settings!$C$13*(INDEX(AK$420:AK$431,$D1625))</f>
        <v/>
      </c>
      <c r="AL1625" s="44">
        <f>AL1598*Settings!$C$13*(INDEX(AL$420:AL$431,$D1625))</f>
        <v/>
      </c>
      <c r="AM1625" s="44">
        <f>AM1598*Settings!$C$13*(INDEX(AM$420:AM$431,$D1625))</f>
        <v/>
      </c>
      <c r="AN1625" s="44">
        <f>AN1598*Settings!$C$13*(INDEX(AN$420:AN$431,$D1625))</f>
        <v/>
      </c>
      <c r="AO1625" s="44">
        <f>AO1598*Settings!$C$13*(INDEX(AO$420:AO$431,$D1625))</f>
        <v/>
      </c>
      <c r="AP1625" s="44">
        <f>AP1598*Settings!$C$13*(INDEX(AP$420:AP$431,$D1625))</f>
        <v/>
      </c>
      <c r="AQ1625" s="44">
        <f>AQ1598*Settings!$C$13*(INDEX(AQ$420:AQ$431,$D1625))</f>
        <v/>
      </c>
      <c r="AR1625" s="44">
        <f>AR1598*Settings!$C$13*(INDEX(AR$420:AR$431,$D1625))</f>
        <v/>
      </c>
      <c r="AS1625" s="44">
        <f>AS1598*Settings!$C$13*(INDEX(AS$420:AS$431,$D1625))</f>
        <v/>
      </c>
      <c r="AT1625" s="44">
        <f>AT1598*Settings!$C$13*(INDEX(AT$420:AT$431,$D1625))</f>
        <v/>
      </c>
      <c r="AU1625" s="44">
        <f>AU1598*Settings!$C$13*(INDEX(AU$420:AU$431,$D1625))</f>
        <v/>
      </c>
      <c r="AV1625" s="44">
        <f>AV1598*Settings!$C$13*(INDEX(AV$420:AV$431,$D1625))</f>
        <v/>
      </c>
      <c r="AW1625" s="44">
        <f>AW1598*Settings!$C$13*(INDEX(AW$420:AW$431,$D1625))</f>
        <v/>
      </c>
      <c r="AX1625" s="44">
        <f>AX1598*Settings!$C$13*(INDEX(AX$420:AX$431,$D1625))</f>
        <v/>
      </c>
      <c r="AY1625" s="44">
        <f>AY1598*Settings!$C$13*(INDEX(AY$420:AY$431,$D1625))</f>
        <v/>
      </c>
      <c r="AZ1625" s="44">
        <f>AZ1598*Settings!$C$13*(INDEX(AZ$420:AZ$431,$D1625))</f>
        <v/>
      </c>
      <c r="BA1625" s="57">
        <f>REVENUE(BA1598,Settings!$C$13,INDEX(BA$420:BA$431,$D1625))</f>
        <v/>
      </c>
    </row>
    <row r="1626" hidden="1" outlineLevel="2">
      <c r="A1626" s="14" t="inlineStr">
        <is>
          <t>rsub</t>
        </is>
      </c>
      <c r="B1626" s="14" t="inlineStr">
        <is>
          <t>ker</t>
        </is>
      </c>
      <c r="C1626" s="14" t="inlineStr">
        <is>
          <t>res</t>
        </is>
      </c>
      <c r="D1626" s="35">
        <f>INDEX(Inputs!$U$5:$U$132,MATCH($B1626&amp;"|"&amp;$C1626,Inputs!$A$5:$A$132,0))</f>
        <v/>
      </c>
      <c r="E1626" s="39" t="n"/>
      <c r="F1626" s="39" t="n"/>
      <c r="G1626" s="39" t="n"/>
      <c r="H1626" s="14">
        <f>INDEX(VarLab,MATCH($A1626,VarKey,0))&amp;INDEX(MemLab,MATCH($C1626&amp;"|"&amp;$B1626,MemKey,0))</f>
        <v/>
      </c>
      <c r="I1626" s="14">
        <f>INDEX(VarUnit,MATCH($A1626,VarKey,0))</f>
        <v/>
      </c>
      <c r="J1626" s="14">
        <f>INDEX(VarSrc,MATCH($A1626,VarKey,0))</f>
        <v/>
      </c>
      <c r="K1626" s="11">
        <f>CodePrefix&amp;$A1626&amp;IF($C1626="","","."&amp;$C1626&amp;"."&amp;$B1626)&amp;INDEX(VarEnd,MATCH($A1626,VarKey,0))&amp;K$5</f>
        <v/>
      </c>
      <c r="L1626" s="43">
        <f>L1599*Settings!$C$13*(INDEX(L$420:L$431,$D1626))</f>
        <v/>
      </c>
      <c r="M1626" s="44">
        <f>M1599*Settings!$C$13*(INDEX(M$420:M$431,$D1626))</f>
        <v/>
      </c>
      <c r="N1626" s="44">
        <f>N1599*Settings!$C$13*(INDEX(N$420:N$431,$D1626))</f>
        <v/>
      </c>
      <c r="O1626" s="44">
        <f>O1599*Settings!$C$13*(INDEX(O$420:O$431,$D1626))</f>
        <v/>
      </c>
      <c r="P1626" s="44">
        <f>P1599*Settings!$C$13*(INDEX(P$420:P$431,$D1626))</f>
        <v/>
      </c>
      <c r="Q1626" s="44">
        <f>Q1599*Settings!$C$13*(INDEX(Q$420:Q$431,$D1626))</f>
        <v/>
      </c>
      <c r="R1626" s="44">
        <f>R1599*Settings!$C$13*(INDEX(R$420:R$431,$D1626))</f>
        <v/>
      </c>
      <c r="S1626" s="44">
        <f>S1599*Settings!$C$13*(INDEX(S$420:S$431,$D1626))</f>
        <v/>
      </c>
      <c r="T1626" s="44">
        <f>T1599*Settings!$C$13*(INDEX(T$420:T$431,$D1626))</f>
        <v/>
      </c>
      <c r="U1626" s="44">
        <f>U1599*Settings!$C$13*(INDEX(U$420:U$431,$D1626))</f>
        <v/>
      </c>
      <c r="V1626" s="44">
        <f>V1599*Settings!$C$13*(INDEX(V$420:V$431,$D1626))</f>
        <v/>
      </c>
      <c r="W1626" s="44">
        <f>W1599*Settings!$C$13*(INDEX(W$420:W$431,$D1626))</f>
        <v/>
      </c>
      <c r="X1626" s="44">
        <f>X1599*Settings!$C$13*(INDEX(X$420:X$431,$D1626))</f>
        <v/>
      </c>
      <c r="Y1626" s="44">
        <f>Y1599*Settings!$C$13*(INDEX(Y$420:Y$431,$D1626))</f>
        <v/>
      </c>
      <c r="Z1626" s="44">
        <f>Z1599*Settings!$C$13*(INDEX(Z$420:Z$431,$D1626))</f>
        <v/>
      </c>
      <c r="AA1626" s="44">
        <f>AA1599*Settings!$C$13*(INDEX(AA$420:AA$431,$D1626))</f>
        <v/>
      </c>
      <c r="AB1626" s="44">
        <f>AB1599*Settings!$C$13*(INDEX(AB$420:AB$431,$D1626))</f>
        <v/>
      </c>
      <c r="AC1626" s="44">
        <f>AC1599*Settings!$C$13*(INDEX(AC$420:AC$431,$D1626))</f>
        <v/>
      </c>
      <c r="AD1626" s="44">
        <f>AD1599*Settings!$C$13*(INDEX(AD$420:AD$431,$D1626))</f>
        <v/>
      </c>
      <c r="AE1626" s="57">
        <f>REVENUE(AE1599,Settings!$C$13,INDEX(AE$420:AE$431,$D1626))</f>
        <v/>
      </c>
      <c r="AG1626" s="11">
        <f>CodePrefix&amp;$A1626&amp;IF($C1626="","","."&amp;$C1626&amp;"."&amp;$B1626)&amp;INDEX(VarEnd,MATCH($A1626,VarKey,0))&amp;AG$5</f>
        <v/>
      </c>
      <c r="AH1626" s="43">
        <f>AH1599*Settings!$C$13*(INDEX(AH$420:AH$431,$D1626))</f>
        <v/>
      </c>
      <c r="AI1626" s="44">
        <f>AI1599*Settings!$C$13*(INDEX(AI$420:AI$431,$D1626))</f>
        <v/>
      </c>
      <c r="AJ1626" s="44">
        <f>AJ1599*Settings!$C$13*(INDEX(AJ$420:AJ$431,$D1626))</f>
        <v/>
      </c>
      <c r="AK1626" s="44">
        <f>AK1599*Settings!$C$13*(INDEX(AK$420:AK$431,$D1626))</f>
        <v/>
      </c>
      <c r="AL1626" s="44">
        <f>AL1599*Settings!$C$13*(INDEX(AL$420:AL$431,$D1626))</f>
        <v/>
      </c>
      <c r="AM1626" s="44">
        <f>AM1599*Settings!$C$13*(INDEX(AM$420:AM$431,$D1626))</f>
        <v/>
      </c>
      <c r="AN1626" s="44">
        <f>AN1599*Settings!$C$13*(INDEX(AN$420:AN$431,$D1626))</f>
        <v/>
      </c>
      <c r="AO1626" s="44">
        <f>AO1599*Settings!$C$13*(INDEX(AO$420:AO$431,$D1626))</f>
        <v/>
      </c>
      <c r="AP1626" s="44">
        <f>AP1599*Settings!$C$13*(INDEX(AP$420:AP$431,$D1626))</f>
        <v/>
      </c>
      <c r="AQ1626" s="44">
        <f>AQ1599*Settings!$C$13*(INDEX(AQ$420:AQ$431,$D1626))</f>
        <v/>
      </c>
      <c r="AR1626" s="44">
        <f>AR1599*Settings!$C$13*(INDEX(AR$420:AR$431,$D1626))</f>
        <v/>
      </c>
      <c r="AS1626" s="44">
        <f>AS1599*Settings!$C$13*(INDEX(AS$420:AS$431,$D1626))</f>
        <v/>
      </c>
      <c r="AT1626" s="44">
        <f>AT1599*Settings!$C$13*(INDEX(AT$420:AT$431,$D1626))</f>
        <v/>
      </c>
      <c r="AU1626" s="44">
        <f>AU1599*Settings!$C$13*(INDEX(AU$420:AU$431,$D1626))</f>
        <v/>
      </c>
      <c r="AV1626" s="44">
        <f>AV1599*Settings!$C$13*(INDEX(AV$420:AV$431,$D1626))</f>
        <v/>
      </c>
      <c r="AW1626" s="44">
        <f>AW1599*Settings!$C$13*(INDEX(AW$420:AW$431,$D1626))</f>
        <v/>
      </c>
      <c r="AX1626" s="44">
        <f>AX1599*Settings!$C$13*(INDEX(AX$420:AX$431,$D1626))</f>
        <v/>
      </c>
      <c r="AY1626" s="44">
        <f>AY1599*Settings!$C$13*(INDEX(AY$420:AY$431,$D1626))</f>
        <v/>
      </c>
      <c r="AZ1626" s="44">
        <f>AZ1599*Settings!$C$13*(INDEX(AZ$420:AZ$431,$D1626))</f>
        <v/>
      </c>
      <c r="BA1626" s="57">
        <f>REVENUE(BA1599,Settings!$C$13,INDEX(BA$420:BA$431,$D1626))</f>
        <v/>
      </c>
    </row>
    <row r="1627" hidden="1" outlineLevel="2">
      <c r="A1627" s="14" t="inlineStr">
        <is>
          <t>rsub</t>
        </is>
      </c>
      <c r="B1627" s="14" t="inlineStr">
        <is>
          <t>oop</t>
        </is>
      </c>
      <c r="C1627" s="14" t="inlineStr">
        <is>
          <t>res</t>
        </is>
      </c>
      <c r="D1627" s="35">
        <f>INDEX(Inputs!$U$5:$U$132,MATCH($B1627&amp;"|"&amp;$C1627,Inputs!$A$5:$A$132,0))</f>
        <v/>
      </c>
      <c r="E1627" s="39" t="n"/>
      <c r="F1627" s="39" t="n"/>
      <c r="G1627" s="39" t="n"/>
      <c r="H1627" s="14">
        <f>INDEX(VarLab,MATCH($A1627,VarKey,0))&amp;INDEX(MemLab,MATCH($C1627&amp;"|"&amp;$B1627,MemKey,0))</f>
        <v/>
      </c>
      <c r="I1627" s="14">
        <f>INDEX(VarUnit,MATCH($A1627,VarKey,0))</f>
        <v/>
      </c>
      <c r="J1627" s="14">
        <f>INDEX(VarSrc,MATCH($A1627,VarKey,0))</f>
        <v/>
      </c>
      <c r="K1627" s="11">
        <f>CodePrefix&amp;$A1627&amp;IF($C1627="","","."&amp;$C1627&amp;"."&amp;$B1627)&amp;INDEX(VarEnd,MATCH($A1627,VarKey,0))&amp;K$5</f>
        <v/>
      </c>
      <c r="L1627" s="43">
        <f>L1600*Settings!$C$13*(INDEX(L$420:L$431,$D1627))</f>
        <v/>
      </c>
      <c r="M1627" s="44">
        <f>M1600*Settings!$C$13*(INDEX(M$420:M$431,$D1627))</f>
        <v/>
      </c>
      <c r="N1627" s="44">
        <f>N1600*Settings!$C$13*(INDEX(N$420:N$431,$D1627))</f>
        <v/>
      </c>
      <c r="O1627" s="44">
        <f>O1600*Settings!$C$13*(INDEX(O$420:O$431,$D1627))</f>
        <v/>
      </c>
      <c r="P1627" s="44">
        <f>P1600*Settings!$C$13*(INDEX(P$420:P$431,$D1627))</f>
        <v/>
      </c>
      <c r="Q1627" s="44">
        <f>Q1600*Settings!$C$13*(INDEX(Q$420:Q$431,$D1627))</f>
        <v/>
      </c>
      <c r="R1627" s="44">
        <f>R1600*Settings!$C$13*(INDEX(R$420:R$431,$D1627))</f>
        <v/>
      </c>
      <c r="S1627" s="44">
        <f>S1600*Settings!$C$13*(INDEX(S$420:S$431,$D1627))</f>
        <v/>
      </c>
      <c r="T1627" s="44">
        <f>T1600*Settings!$C$13*(INDEX(T$420:T$431,$D1627))</f>
        <v/>
      </c>
      <c r="U1627" s="44">
        <f>U1600*Settings!$C$13*(INDEX(U$420:U$431,$D1627))</f>
        <v/>
      </c>
      <c r="V1627" s="44">
        <f>V1600*Settings!$C$13*(INDEX(V$420:V$431,$D1627))</f>
        <v/>
      </c>
      <c r="W1627" s="44">
        <f>W1600*Settings!$C$13*(INDEX(W$420:W$431,$D1627))</f>
        <v/>
      </c>
      <c r="X1627" s="44">
        <f>X1600*Settings!$C$13*(INDEX(X$420:X$431,$D1627))</f>
        <v/>
      </c>
      <c r="Y1627" s="44">
        <f>Y1600*Settings!$C$13*(INDEX(Y$420:Y$431,$D1627))</f>
        <v/>
      </c>
      <c r="Z1627" s="44">
        <f>Z1600*Settings!$C$13*(INDEX(Z$420:Z$431,$D1627))</f>
        <v/>
      </c>
      <c r="AA1627" s="44">
        <f>AA1600*Settings!$C$13*(INDEX(AA$420:AA$431,$D1627))</f>
        <v/>
      </c>
      <c r="AB1627" s="44">
        <f>AB1600*Settings!$C$13*(INDEX(AB$420:AB$431,$D1627))</f>
        <v/>
      </c>
      <c r="AC1627" s="44">
        <f>AC1600*Settings!$C$13*(INDEX(AC$420:AC$431,$D1627))</f>
        <v/>
      </c>
      <c r="AD1627" s="44">
        <f>AD1600*Settings!$C$13*(INDEX(AD$420:AD$431,$D1627))</f>
        <v/>
      </c>
      <c r="AE1627" s="57">
        <f>REVENUE(AE1600,Settings!$C$13,INDEX(AE$420:AE$431,$D1627))</f>
        <v/>
      </c>
      <c r="AG1627" s="11">
        <f>CodePrefix&amp;$A1627&amp;IF($C1627="","","."&amp;$C1627&amp;"."&amp;$B1627)&amp;INDEX(VarEnd,MATCH($A1627,VarKey,0))&amp;AG$5</f>
        <v/>
      </c>
      <c r="AH1627" s="43">
        <f>AH1600*Settings!$C$13*(INDEX(AH$420:AH$431,$D1627))</f>
        <v/>
      </c>
      <c r="AI1627" s="44">
        <f>AI1600*Settings!$C$13*(INDEX(AI$420:AI$431,$D1627))</f>
        <v/>
      </c>
      <c r="AJ1627" s="44">
        <f>AJ1600*Settings!$C$13*(INDEX(AJ$420:AJ$431,$D1627))</f>
        <v/>
      </c>
      <c r="AK1627" s="44">
        <f>AK1600*Settings!$C$13*(INDEX(AK$420:AK$431,$D1627))</f>
        <v/>
      </c>
      <c r="AL1627" s="44">
        <f>AL1600*Settings!$C$13*(INDEX(AL$420:AL$431,$D1627))</f>
        <v/>
      </c>
      <c r="AM1627" s="44">
        <f>AM1600*Settings!$C$13*(INDEX(AM$420:AM$431,$D1627))</f>
        <v/>
      </c>
      <c r="AN1627" s="44">
        <f>AN1600*Settings!$C$13*(INDEX(AN$420:AN$431,$D1627))</f>
        <v/>
      </c>
      <c r="AO1627" s="44">
        <f>AO1600*Settings!$C$13*(INDEX(AO$420:AO$431,$D1627))</f>
        <v/>
      </c>
      <c r="AP1627" s="44">
        <f>AP1600*Settings!$C$13*(INDEX(AP$420:AP$431,$D1627))</f>
        <v/>
      </c>
      <c r="AQ1627" s="44">
        <f>AQ1600*Settings!$C$13*(INDEX(AQ$420:AQ$431,$D1627))</f>
        <v/>
      </c>
      <c r="AR1627" s="44">
        <f>AR1600*Settings!$C$13*(INDEX(AR$420:AR$431,$D1627))</f>
        <v/>
      </c>
      <c r="AS1627" s="44">
        <f>AS1600*Settings!$C$13*(INDEX(AS$420:AS$431,$D1627))</f>
        <v/>
      </c>
      <c r="AT1627" s="44">
        <f>AT1600*Settings!$C$13*(INDEX(AT$420:AT$431,$D1627))</f>
        <v/>
      </c>
      <c r="AU1627" s="44">
        <f>AU1600*Settings!$C$13*(INDEX(AU$420:AU$431,$D1627))</f>
        <v/>
      </c>
      <c r="AV1627" s="44">
        <f>AV1600*Settings!$C$13*(INDEX(AV$420:AV$431,$D1627))</f>
        <v/>
      </c>
      <c r="AW1627" s="44">
        <f>AW1600*Settings!$C$13*(INDEX(AW$420:AW$431,$D1627))</f>
        <v/>
      </c>
      <c r="AX1627" s="44">
        <f>AX1600*Settings!$C$13*(INDEX(AX$420:AX$431,$D1627))</f>
        <v/>
      </c>
      <c r="AY1627" s="44">
        <f>AY1600*Settings!$C$13*(INDEX(AY$420:AY$431,$D1627))</f>
        <v/>
      </c>
      <c r="AZ1627" s="44">
        <f>AZ1600*Settings!$C$13*(INDEX(AZ$420:AZ$431,$D1627))</f>
        <v/>
      </c>
      <c r="BA1627" s="57">
        <f>REVENUE(BA1600,Settings!$C$13,INDEX(BA$420:BA$431,$D1627))</f>
        <v/>
      </c>
    </row>
    <row r="1628" hidden="1" outlineLevel="2">
      <c r="A1628" s="14" t="inlineStr">
        <is>
          <t>rsub</t>
        </is>
      </c>
      <c r="B1628" s="14" t="inlineStr">
        <is>
          <t>bio</t>
        </is>
      </c>
      <c r="C1628" s="14" t="inlineStr">
        <is>
          <t>res</t>
        </is>
      </c>
      <c r="D1628" s="35">
        <f>INDEX(Inputs!$U$5:$U$132,MATCH($B1628&amp;"|"&amp;$C1628,Inputs!$A$5:$A$132,0))</f>
        <v/>
      </c>
      <c r="E1628" s="39" t="n"/>
      <c r="F1628" s="39" t="n"/>
      <c r="G1628" s="39" t="n"/>
      <c r="H1628" s="14">
        <f>INDEX(VarLab,MATCH($A1628,VarKey,0))&amp;INDEX(MemLab,MATCH($C1628&amp;"|"&amp;$B1628,MemKey,0))</f>
        <v/>
      </c>
      <c r="I1628" s="14">
        <f>INDEX(VarUnit,MATCH($A1628,VarKey,0))</f>
        <v/>
      </c>
      <c r="J1628" s="14">
        <f>INDEX(VarSrc,MATCH($A1628,VarKey,0))</f>
        <v/>
      </c>
      <c r="K1628" s="11">
        <f>CodePrefix&amp;$A1628&amp;IF($C1628="","","."&amp;$C1628&amp;"."&amp;$B1628)&amp;INDEX(VarEnd,MATCH($A1628,VarKey,0))&amp;K$5</f>
        <v/>
      </c>
      <c r="L1628" s="43">
        <f>L1601*Settings!$C$13*(INDEX(L$420:L$431,$D1628))</f>
        <v/>
      </c>
      <c r="M1628" s="44">
        <f>M1601*Settings!$C$13*(INDEX(M$420:M$431,$D1628))</f>
        <v/>
      </c>
      <c r="N1628" s="44">
        <f>N1601*Settings!$C$13*(INDEX(N$420:N$431,$D1628))</f>
        <v/>
      </c>
      <c r="O1628" s="44">
        <f>O1601*Settings!$C$13*(INDEX(O$420:O$431,$D1628))</f>
        <v/>
      </c>
      <c r="P1628" s="44">
        <f>P1601*Settings!$C$13*(INDEX(P$420:P$431,$D1628))</f>
        <v/>
      </c>
      <c r="Q1628" s="44">
        <f>Q1601*Settings!$C$13*(INDEX(Q$420:Q$431,$D1628))</f>
        <v/>
      </c>
      <c r="R1628" s="44">
        <f>R1601*Settings!$C$13*(INDEX(R$420:R$431,$D1628))</f>
        <v/>
      </c>
      <c r="S1628" s="44">
        <f>S1601*Settings!$C$13*(INDEX(S$420:S$431,$D1628))</f>
        <v/>
      </c>
      <c r="T1628" s="44">
        <f>T1601*Settings!$C$13*(INDEX(T$420:T$431,$D1628))</f>
        <v/>
      </c>
      <c r="U1628" s="44">
        <f>U1601*Settings!$C$13*(INDEX(U$420:U$431,$D1628))</f>
        <v/>
      </c>
      <c r="V1628" s="44">
        <f>V1601*Settings!$C$13*(INDEX(V$420:V$431,$D1628))</f>
        <v/>
      </c>
      <c r="W1628" s="44">
        <f>W1601*Settings!$C$13*(INDEX(W$420:W$431,$D1628))</f>
        <v/>
      </c>
      <c r="X1628" s="44">
        <f>X1601*Settings!$C$13*(INDEX(X$420:X$431,$D1628))</f>
        <v/>
      </c>
      <c r="Y1628" s="44">
        <f>Y1601*Settings!$C$13*(INDEX(Y$420:Y$431,$D1628))</f>
        <v/>
      </c>
      <c r="Z1628" s="44">
        <f>Z1601*Settings!$C$13*(INDEX(Z$420:Z$431,$D1628))</f>
        <v/>
      </c>
      <c r="AA1628" s="44">
        <f>AA1601*Settings!$C$13*(INDEX(AA$420:AA$431,$D1628))</f>
        <v/>
      </c>
      <c r="AB1628" s="44">
        <f>AB1601*Settings!$C$13*(INDEX(AB$420:AB$431,$D1628))</f>
        <v/>
      </c>
      <c r="AC1628" s="44">
        <f>AC1601*Settings!$C$13*(INDEX(AC$420:AC$431,$D1628))</f>
        <v/>
      </c>
      <c r="AD1628" s="44">
        <f>AD1601*Settings!$C$13*(INDEX(AD$420:AD$431,$D1628))</f>
        <v/>
      </c>
      <c r="AE1628" s="57">
        <f>REVENUE(AE1601,Settings!$C$13,INDEX(AE$420:AE$431,$D1628))</f>
        <v/>
      </c>
      <c r="AG1628" s="11">
        <f>CodePrefix&amp;$A1628&amp;IF($C1628="","","."&amp;$C1628&amp;"."&amp;$B1628)&amp;INDEX(VarEnd,MATCH($A1628,VarKey,0))&amp;AG$5</f>
        <v/>
      </c>
      <c r="AH1628" s="43">
        <f>AH1601*Settings!$C$13*(INDEX(AH$420:AH$431,$D1628))</f>
        <v/>
      </c>
      <c r="AI1628" s="44">
        <f>AI1601*Settings!$C$13*(INDEX(AI$420:AI$431,$D1628))</f>
        <v/>
      </c>
      <c r="AJ1628" s="44">
        <f>AJ1601*Settings!$C$13*(INDEX(AJ$420:AJ$431,$D1628))</f>
        <v/>
      </c>
      <c r="AK1628" s="44">
        <f>AK1601*Settings!$C$13*(INDEX(AK$420:AK$431,$D1628))</f>
        <v/>
      </c>
      <c r="AL1628" s="44">
        <f>AL1601*Settings!$C$13*(INDEX(AL$420:AL$431,$D1628))</f>
        <v/>
      </c>
      <c r="AM1628" s="44">
        <f>AM1601*Settings!$C$13*(INDEX(AM$420:AM$431,$D1628))</f>
        <v/>
      </c>
      <c r="AN1628" s="44">
        <f>AN1601*Settings!$C$13*(INDEX(AN$420:AN$431,$D1628))</f>
        <v/>
      </c>
      <c r="AO1628" s="44">
        <f>AO1601*Settings!$C$13*(INDEX(AO$420:AO$431,$D1628))</f>
        <v/>
      </c>
      <c r="AP1628" s="44">
        <f>AP1601*Settings!$C$13*(INDEX(AP$420:AP$431,$D1628))</f>
        <v/>
      </c>
      <c r="AQ1628" s="44">
        <f>AQ1601*Settings!$C$13*(INDEX(AQ$420:AQ$431,$D1628))</f>
        <v/>
      </c>
      <c r="AR1628" s="44">
        <f>AR1601*Settings!$C$13*(INDEX(AR$420:AR$431,$D1628))</f>
        <v/>
      </c>
      <c r="AS1628" s="44">
        <f>AS1601*Settings!$C$13*(INDEX(AS$420:AS$431,$D1628))</f>
        <v/>
      </c>
      <c r="AT1628" s="44">
        <f>AT1601*Settings!$C$13*(INDEX(AT$420:AT$431,$D1628))</f>
        <v/>
      </c>
      <c r="AU1628" s="44">
        <f>AU1601*Settings!$C$13*(INDEX(AU$420:AU$431,$D1628))</f>
        <v/>
      </c>
      <c r="AV1628" s="44">
        <f>AV1601*Settings!$C$13*(INDEX(AV$420:AV$431,$D1628))</f>
        <v/>
      </c>
      <c r="AW1628" s="44">
        <f>AW1601*Settings!$C$13*(INDEX(AW$420:AW$431,$D1628))</f>
        <v/>
      </c>
      <c r="AX1628" s="44">
        <f>AX1601*Settings!$C$13*(INDEX(AX$420:AX$431,$D1628))</f>
        <v/>
      </c>
      <c r="AY1628" s="44">
        <f>AY1601*Settings!$C$13*(INDEX(AY$420:AY$431,$D1628))</f>
        <v/>
      </c>
      <c r="AZ1628" s="44">
        <f>AZ1601*Settings!$C$13*(INDEX(AZ$420:AZ$431,$D1628))</f>
        <v/>
      </c>
      <c r="BA1628" s="57">
        <f>REVENUE(BA1601,Settings!$C$13,INDEX(BA$420:BA$431,$D1628))</f>
        <v/>
      </c>
    </row>
    <row r="1629" hidden="1" outlineLevel="2"/>
    <row r="1630" hidden="1" outlineLevel="2">
      <c r="A1630" s="14" t="inlineStr">
        <is>
          <t>rnew</t>
        </is>
      </c>
      <c r="B1630" s="14" t="inlineStr">
        <is>
          <t>coa</t>
        </is>
      </c>
      <c r="C1630" s="14" t="inlineStr">
        <is>
          <t>res</t>
        </is>
      </c>
      <c r="D1630" s="35">
        <f>INDEX(Inputs!$V$5:$V$132,MATCH($B1630&amp;"|"&amp;$C1630,Inputs!$A$5:$A$132,0))</f>
        <v/>
      </c>
      <c r="E1630" s="39" t="n"/>
      <c r="F1630" s="39" t="n"/>
      <c r="G1630" s="39" t="n"/>
      <c r="H1630" s="14">
        <f>INDEX(VarLab,MATCH($A1630,VarKey,0))&amp;INDEX(MemLab,MATCH($C1630&amp;"|"&amp;$B1630,MemKey,0))</f>
        <v/>
      </c>
      <c r="I1630" s="14">
        <f>INDEX(VarUnit,MATCH($A1630,VarKey,0))</f>
        <v/>
      </c>
      <c r="J1630" s="14">
        <f>INDEX(VarSrc,MATCH($A1630,VarKey,0))</f>
        <v/>
      </c>
      <c r="K1630" s="11">
        <f>CodePrefix&amp;$A1630&amp;IF($C1630="","","."&amp;$C1630&amp;"."&amp;$B1630)&amp;INDEX(VarEnd,MATCH($A1630,VarKey,0))&amp;K$5</f>
        <v/>
      </c>
      <c r="L1630" s="43">
        <f>L1594*Settings!$C$13*(L1522+L1540+L1531*L$201+L1549*$D1630)</f>
        <v/>
      </c>
      <c r="M1630" s="44">
        <f>M1594*Settings!$C$13*(M1522+M1540+M1531*M$201+M1549*$D1630)</f>
        <v/>
      </c>
      <c r="N1630" s="44">
        <f>N1594*Settings!$C$13*(N1522+N1540+N1531*N$201+N1549*$D1630)</f>
        <v/>
      </c>
      <c r="O1630" s="44">
        <f>O1594*Settings!$C$13*(O1522+O1540+O1531*O$201+O1549*$D1630)</f>
        <v/>
      </c>
      <c r="P1630" s="44">
        <f>P1594*Settings!$C$13*(P1522+P1540+P1531*P$201+P1549*$D1630)</f>
        <v/>
      </c>
      <c r="Q1630" s="44">
        <f>Q1594*Settings!$C$13*(Q1522+Q1540+Q1531*Q$201+Q1549*$D1630)</f>
        <v/>
      </c>
      <c r="R1630" s="44">
        <f>R1594*Settings!$C$13*(R1522+R1540+R1531*R$201+R1549*$D1630)</f>
        <v/>
      </c>
      <c r="S1630" s="44">
        <f>S1594*Settings!$C$13*(S1522+S1540+S1531*S$201+S1549*$D1630)</f>
        <v/>
      </c>
      <c r="T1630" s="44">
        <f>T1594*Settings!$C$13*(T1522+T1540+T1531*T$201+T1549*$D1630)</f>
        <v/>
      </c>
      <c r="U1630" s="44">
        <f>U1594*Settings!$C$13*(U1522+U1540+U1531*U$201+U1549*$D1630)</f>
        <v/>
      </c>
      <c r="V1630" s="44">
        <f>V1594*Settings!$C$13*(V1522+V1540+V1531*V$201+V1549*$D1630)</f>
        <v/>
      </c>
      <c r="W1630" s="44">
        <f>W1594*Settings!$C$13*(W1522+W1540+W1531*W$201+W1549*$D1630)</f>
        <v/>
      </c>
      <c r="X1630" s="44">
        <f>X1594*Settings!$C$13*(X1522+X1540+X1531*X$201+X1549*$D1630)</f>
        <v/>
      </c>
      <c r="Y1630" s="44">
        <f>Y1594*Settings!$C$13*(Y1522+Y1540+Y1531*Y$201+Y1549*$D1630)</f>
        <v/>
      </c>
      <c r="Z1630" s="44">
        <f>Z1594*Settings!$C$13*(Z1522+Z1540+Z1531*Z$201+Z1549*$D1630)</f>
        <v/>
      </c>
      <c r="AA1630" s="44">
        <f>AA1594*Settings!$C$13*(AA1522+AA1540+AA1531*AA$201+AA1549*$D1630)</f>
        <v/>
      </c>
      <c r="AB1630" s="44">
        <f>AB1594*Settings!$C$13*(AB1522+AB1540+AB1531*AB$201+AB1549*$D1630)</f>
        <v/>
      </c>
      <c r="AC1630" s="44">
        <f>AC1594*Settings!$C$13*(AC1522+AC1540+AC1531*AC$201+AC1549*$D1630)</f>
        <v/>
      </c>
      <c r="AD1630" s="44">
        <f>AD1594*Settings!$C$13*(AD1522+AD1540+AD1531*AD$201+AD1549*$D1630)</f>
        <v/>
      </c>
      <c r="AE1630" s="57">
        <f>REVENUE(AE1594,Settings!$C$13,NEWREVRATE(AE1522,AE1540,AE1531,AE$201,AE1549,$D1630))</f>
        <v/>
      </c>
      <c r="AG1630" s="11">
        <f>CodePrefix&amp;$A1630&amp;IF($C1630="","","."&amp;$C1630&amp;"."&amp;$B1630)&amp;INDEX(VarEnd,MATCH($A1630,VarKey,0))&amp;AG$5</f>
        <v/>
      </c>
      <c r="AH1630" s="43">
        <f>AH1594*Settings!$C$13*(AH1522+AH1540+AH1531*AH$201+AH1549*$D1630)</f>
        <v/>
      </c>
      <c r="AI1630" s="44">
        <f>AI1594*Settings!$C$13*(AI1522+AI1540+AI1531*AI$201+AI1549*$D1630)</f>
        <v/>
      </c>
      <c r="AJ1630" s="44">
        <f>AJ1594*Settings!$C$13*(AJ1522+AJ1540+AJ1531*AJ$201+AJ1549*$D1630)</f>
        <v/>
      </c>
      <c r="AK1630" s="44">
        <f>AK1594*Settings!$C$13*(AK1522+AK1540+AK1531*AK$201+AK1549*$D1630)</f>
        <v/>
      </c>
      <c r="AL1630" s="44">
        <f>AL1594*Settings!$C$13*(AL1522+AL1540+AL1531*AL$201+AL1549*$D1630)</f>
        <v/>
      </c>
      <c r="AM1630" s="44">
        <f>AM1594*Settings!$C$13*(AM1522+AM1540+AM1531*AM$201+AM1549*$D1630)</f>
        <v/>
      </c>
      <c r="AN1630" s="44">
        <f>AN1594*Settings!$C$13*(AN1522+AN1540+AN1531*AN$201+AN1549*$D1630)</f>
        <v/>
      </c>
      <c r="AO1630" s="44">
        <f>AO1594*Settings!$C$13*(AO1522+AO1540+AO1531*AO$201+AO1549*$D1630)</f>
        <v/>
      </c>
      <c r="AP1630" s="44">
        <f>AP1594*Settings!$C$13*(AP1522+AP1540+AP1531*AP$201+AP1549*$D1630)</f>
        <v/>
      </c>
      <c r="AQ1630" s="44">
        <f>AQ1594*Settings!$C$13*(AQ1522+AQ1540+AQ1531*AQ$201+AQ1549*$D1630)</f>
        <v/>
      </c>
      <c r="AR1630" s="44">
        <f>AR1594*Settings!$C$13*(AR1522+AR1540+AR1531*AR$201+AR1549*$D1630)</f>
        <v/>
      </c>
      <c r="AS1630" s="44">
        <f>AS1594*Settings!$C$13*(AS1522+AS1540+AS1531*AS$201+AS1549*$D1630)</f>
        <v/>
      </c>
      <c r="AT1630" s="44">
        <f>AT1594*Settings!$C$13*(AT1522+AT1540+AT1531*AT$201+AT1549*$D1630)</f>
        <v/>
      </c>
      <c r="AU1630" s="44">
        <f>AU1594*Settings!$C$13*(AU1522+AU1540+AU1531*AU$201+AU1549*$D1630)</f>
        <v/>
      </c>
      <c r="AV1630" s="44">
        <f>AV1594*Settings!$C$13*(AV1522+AV1540+AV1531*AV$201+AV1549*$D1630)</f>
        <v/>
      </c>
      <c r="AW1630" s="44">
        <f>AW1594*Settings!$C$13*(AW1522+AW1540+AW1531*AW$201+AW1549*$D1630)</f>
        <v/>
      </c>
      <c r="AX1630" s="44">
        <f>AX1594*Settings!$C$13*(AX1522+AX1540+AX1531*AX$201+AX1549*$D1630)</f>
        <v/>
      </c>
      <c r="AY1630" s="44">
        <f>AY1594*Settings!$C$13*(AY1522+AY1540+AY1531*AY$201+AY1549*$D1630)</f>
        <v/>
      </c>
      <c r="AZ1630" s="44">
        <f>AZ1594*Settings!$C$13*(AZ1522+AZ1540+AZ1531*AZ$201+AZ1549*$D1630)</f>
        <v/>
      </c>
      <c r="BA1630" s="57">
        <f>REVENUE(BA1594,Settings!$C$13,NEWREVRATE(BA1522,BA1540,BA1531,BA$201,BA1549,$D1630))</f>
        <v/>
      </c>
    </row>
    <row r="1631" hidden="1" outlineLevel="2">
      <c r="A1631" s="14" t="inlineStr">
        <is>
          <t>rnew</t>
        </is>
      </c>
      <c r="B1631" s="14" t="inlineStr">
        <is>
          <t>nga</t>
        </is>
      </c>
      <c r="C1631" s="14" t="inlineStr">
        <is>
          <t>res</t>
        </is>
      </c>
      <c r="D1631" s="35">
        <f>INDEX(Inputs!$V$5:$V$132,MATCH($B1631&amp;"|"&amp;$C1631,Inputs!$A$5:$A$132,0))</f>
        <v/>
      </c>
      <c r="E1631" s="39" t="n"/>
      <c r="F1631" s="39" t="n"/>
      <c r="G1631" s="39" t="n"/>
      <c r="H1631" s="14">
        <f>INDEX(VarLab,MATCH($A1631,VarKey,0))&amp;INDEX(MemLab,MATCH($C1631&amp;"|"&amp;$B1631,MemKey,0))</f>
        <v/>
      </c>
      <c r="I1631" s="14">
        <f>INDEX(VarUnit,MATCH($A1631,VarKey,0))</f>
        <v/>
      </c>
      <c r="J1631" s="14">
        <f>INDEX(VarSrc,MATCH($A1631,VarKey,0))</f>
        <v/>
      </c>
      <c r="K1631" s="11">
        <f>CodePrefix&amp;$A1631&amp;IF($C1631="","","."&amp;$C1631&amp;"."&amp;$B1631)&amp;INDEX(VarEnd,MATCH($A1631,VarKey,0))&amp;K$5</f>
        <v/>
      </c>
      <c r="L1631" s="43">
        <f>L1595*Settings!$C$13*(L1523+L1541+L1532*L$201+L1550*$D1631)</f>
        <v/>
      </c>
      <c r="M1631" s="44">
        <f>M1595*Settings!$C$13*(M1523+M1541+M1532*M$201+M1550*$D1631)</f>
        <v/>
      </c>
      <c r="N1631" s="44">
        <f>N1595*Settings!$C$13*(N1523+N1541+N1532*N$201+N1550*$D1631)</f>
        <v/>
      </c>
      <c r="O1631" s="44">
        <f>O1595*Settings!$C$13*(O1523+O1541+O1532*O$201+O1550*$D1631)</f>
        <v/>
      </c>
      <c r="P1631" s="44">
        <f>P1595*Settings!$C$13*(P1523+P1541+P1532*P$201+P1550*$D1631)</f>
        <v/>
      </c>
      <c r="Q1631" s="44">
        <f>Q1595*Settings!$C$13*(Q1523+Q1541+Q1532*Q$201+Q1550*$D1631)</f>
        <v/>
      </c>
      <c r="R1631" s="44">
        <f>R1595*Settings!$C$13*(R1523+R1541+R1532*R$201+R1550*$D1631)</f>
        <v/>
      </c>
      <c r="S1631" s="44">
        <f>S1595*Settings!$C$13*(S1523+S1541+S1532*S$201+S1550*$D1631)</f>
        <v/>
      </c>
      <c r="T1631" s="44">
        <f>T1595*Settings!$C$13*(T1523+T1541+T1532*T$201+T1550*$D1631)</f>
        <v/>
      </c>
      <c r="U1631" s="44">
        <f>U1595*Settings!$C$13*(U1523+U1541+U1532*U$201+U1550*$D1631)</f>
        <v/>
      </c>
      <c r="V1631" s="44">
        <f>V1595*Settings!$C$13*(V1523+V1541+V1532*V$201+V1550*$D1631)</f>
        <v/>
      </c>
      <c r="W1631" s="44">
        <f>W1595*Settings!$C$13*(W1523+W1541+W1532*W$201+W1550*$D1631)</f>
        <v/>
      </c>
      <c r="X1631" s="44">
        <f>X1595*Settings!$C$13*(X1523+X1541+X1532*X$201+X1550*$D1631)</f>
        <v/>
      </c>
      <c r="Y1631" s="44">
        <f>Y1595*Settings!$C$13*(Y1523+Y1541+Y1532*Y$201+Y1550*$D1631)</f>
        <v/>
      </c>
      <c r="Z1631" s="44">
        <f>Z1595*Settings!$C$13*(Z1523+Z1541+Z1532*Z$201+Z1550*$D1631)</f>
        <v/>
      </c>
      <c r="AA1631" s="44">
        <f>AA1595*Settings!$C$13*(AA1523+AA1541+AA1532*AA$201+AA1550*$D1631)</f>
        <v/>
      </c>
      <c r="AB1631" s="44">
        <f>AB1595*Settings!$C$13*(AB1523+AB1541+AB1532*AB$201+AB1550*$D1631)</f>
        <v/>
      </c>
      <c r="AC1631" s="44">
        <f>AC1595*Settings!$C$13*(AC1523+AC1541+AC1532*AC$201+AC1550*$D1631)</f>
        <v/>
      </c>
      <c r="AD1631" s="44">
        <f>AD1595*Settings!$C$13*(AD1523+AD1541+AD1532*AD$201+AD1550*$D1631)</f>
        <v/>
      </c>
      <c r="AE1631" s="57">
        <f>REVENUE(AE1595,Settings!$C$13,NEWREVRATE(AE1523,AE1541,AE1532,AE$201,AE1550,$D1631))</f>
        <v/>
      </c>
      <c r="AG1631" s="11">
        <f>CodePrefix&amp;$A1631&amp;IF($C1631="","","."&amp;$C1631&amp;"."&amp;$B1631)&amp;INDEX(VarEnd,MATCH($A1631,VarKey,0))&amp;AG$5</f>
        <v/>
      </c>
      <c r="AH1631" s="43">
        <f>AH1595*Settings!$C$13*(AH1523+AH1541+AH1532*AH$201+AH1550*$D1631)</f>
        <v/>
      </c>
      <c r="AI1631" s="44">
        <f>AI1595*Settings!$C$13*(AI1523+AI1541+AI1532*AI$201+AI1550*$D1631)</f>
        <v/>
      </c>
      <c r="AJ1631" s="44">
        <f>AJ1595*Settings!$C$13*(AJ1523+AJ1541+AJ1532*AJ$201+AJ1550*$D1631)</f>
        <v/>
      </c>
      <c r="AK1631" s="44">
        <f>AK1595*Settings!$C$13*(AK1523+AK1541+AK1532*AK$201+AK1550*$D1631)</f>
        <v/>
      </c>
      <c r="AL1631" s="44">
        <f>AL1595*Settings!$C$13*(AL1523+AL1541+AL1532*AL$201+AL1550*$D1631)</f>
        <v/>
      </c>
      <c r="AM1631" s="44">
        <f>AM1595*Settings!$C$13*(AM1523+AM1541+AM1532*AM$201+AM1550*$D1631)</f>
        <v/>
      </c>
      <c r="AN1631" s="44">
        <f>AN1595*Settings!$C$13*(AN1523+AN1541+AN1532*AN$201+AN1550*$D1631)</f>
        <v/>
      </c>
      <c r="AO1631" s="44">
        <f>AO1595*Settings!$C$13*(AO1523+AO1541+AO1532*AO$201+AO1550*$D1631)</f>
        <v/>
      </c>
      <c r="AP1631" s="44">
        <f>AP1595*Settings!$C$13*(AP1523+AP1541+AP1532*AP$201+AP1550*$D1631)</f>
        <v/>
      </c>
      <c r="AQ1631" s="44">
        <f>AQ1595*Settings!$C$13*(AQ1523+AQ1541+AQ1532*AQ$201+AQ1550*$D1631)</f>
        <v/>
      </c>
      <c r="AR1631" s="44">
        <f>AR1595*Settings!$C$13*(AR1523+AR1541+AR1532*AR$201+AR1550*$D1631)</f>
        <v/>
      </c>
      <c r="AS1631" s="44">
        <f>AS1595*Settings!$C$13*(AS1523+AS1541+AS1532*AS$201+AS1550*$D1631)</f>
        <v/>
      </c>
      <c r="AT1631" s="44">
        <f>AT1595*Settings!$C$13*(AT1523+AT1541+AT1532*AT$201+AT1550*$D1631)</f>
        <v/>
      </c>
      <c r="AU1631" s="44">
        <f>AU1595*Settings!$C$13*(AU1523+AU1541+AU1532*AU$201+AU1550*$D1631)</f>
        <v/>
      </c>
      <c r="AV1631" s="44">
        <f>AV1595*Settings!$C$13*(AV1523+AV1541+AV1532*AV$201+AV1550*$D1631)</f>
        <v/>
      </c>
      <c r="AW1631" s="44">
        <f>AW1595*Settings!$C$13*(AW1523+AW1541+AW1532*AW$201+AW1550*$D1631)</f>
        <v/>
      </c>
      <c r="AX1631" s="44">
        <f>AX1595*Settings!$C$13*(AX1523+AX1541+AX1532*AX$201+AX1550*$D1631)</f>
        <v/>
      </c>
      <c r="AY1631" s="44">
        <f>AY1595*Settings!$C$13*(AY1523+AY1541+AY1532*AY$201+AY1550*$D1631)</f>
        <v/>
      </c>
      <c r="AZ1631" s="44">
        <f>AZ1595*Settings!$C$13*(AZ1523+AZ1541+AZ1532*AZ$201+AZ1550*$D1631)</f>
        <v/>
      </c>
      <c r="BA1631" s="57">
        <f>REVENUE(BA1595,Settings!$C$13,NEWREVRATE(BA1523,BA1541,BA1532,BA$201,BA1550,$D1631))</f>
        <v/>
      </c>
    </row>
    <row r="1632" hidden="1" outlineLevel="2">
      <c r="A1632" s="14" t="inlineStr">
        <is>
          <t>rnew</t>
        </is>
      </c>
      <c r="B1632" s="14" t="inlineStr">
        <is>
          <t>gso</t>
        </is>
      </c>
      <c r="C1632" s="14" t="inlineStr">
        <is>
          <t>res</t>
        </is>
      </c>
      <c r="D1632" s="35">
        <f>INDEX(Inputs!$V$5:$V$132,MATCH($B1632&amp;"|"&amp;$C1632,Inputs!$A$5:$A$132,0))</f>
        <v/>
      </c>
      <c r="E1632" s="39" t="n"/>
      <c r="F1632" s="39" t="n"/>
      <c r="G1632" s="39" t="n"/>
      <c r="H1632" s="14">
        <f>INDEX(VarLab,MATCH($A1632,VarKey,0))&amp;INDEX(MemLab,MATCH($C1632&amp;"|"&amp;$B1632,MemKey,0))</f>
        <v/>
      </c>
      <c r="I1632" s="14">
        <f>INDEX(VarUnit,MATCH($A1632,VarKey,0))</f>
        <v/>
      </c>
      <c r="J1632" s="14">
        <f>INDEX(VarSrc,MATCH($A1632,VarKey,0))</f>
        <v/>
      </c>
      <c r="K1632" s="11">
        <f>CodePrefix&amp;$A1632&amp;IF($C1632="","","."&amp;$C1632&amp;"."&amp;$B1632)&amp;INDEX(VarEnd,MATCH($A1632,VarKey,0))&amp;K$5</f>
        <v/>
      </c>
      <c r="L1632" s="43">
        <f>L1596*Settings!$C$13*(L1524+L1542+L1533*L$201+L1551*$D1632)</f>
        <v/>
      </c>
      <c r="M1632" s="44">
        <f>M1596*Settings!$C$13*(M1524+M1542+M1533*M$201+M1551*$D1632)</f>
        <v/>
      </c>
      <c r="N1632" s="44">
        <f>N1596*Settings!$C$13*(N1524+N1542+N1533*N$201+N1551*$D1632)</f>
        <v/>
      </c>
      <c r="O1632" s="44">
        <f>O1596*Settings!$C$13*(O1524+O1542+O1533*O$201+O1551*$D1632)</f>
        <v/>
      </c>
      <c r="P1632" s="44">
        <f>P1596*Settings!$C$13*(P1524+P1542+P1533*P$201+P1551*$D1632)</f>
        <v/>
      </c>
      <c r="Q1632" s="44">
        <f>Q1596*Settings!$C$13*(Q1524+Q1542+Q1533*Q$201+Q1551*$D1632)</f>
        <v/>
      </c>
      <c r="R1632" s="44">
        <f>R1596*Settings!$C$13*(R1524+R1542+R1533*R$201+R1551*$D1632)</f>
        <v/>
      </c>
      <c r="S1632" s="44">
        <f>S1596*Settings!$C$13*(S1524+S1542+S1533*S$201+S1551*$D1632)</f>
        <v/>
      </c>
      <c r="T1632" s="44">
        <f>T1596*Settings!$C$13*(T1524+T1542+T1533*T$201+T1551*$D1632)</f>
        <v/>
      </c>
      <c r="U1632" s="44">
        <f>U1596*Settings!$C$13*(U1524+U1542+U1533*U$201+U1551*$D1632)</f>
        <v/>
      </c>
      <c r="V1632" s="44">
        <f>V1596*Settings!$C$13*(V1524+V1542+V1533*V$201+V1551*$D1632)</f>
        <v/>
      </c>
      <c r="W1632" s="44">
        <f>W1596*Settings!$C$13*(W1524+W1542+W1533*W$201+W1551*$D1632)</f>
        <v/>
      </c>
      <c r="X1632" s="44">
        <f>X1596*Settings!$C$13*(X1524+X1542+X1533*X$201+X1551*$D1632)</f>
        <v/>
      </c>
      <c r="Y1632" s="44">
        <f>Y1596*Settings!$C$13*(Y1524+Y1542+Y1533*Y$201+Y1551*$D1632)</f>
        <v/>
      </c>
      <c r="Z1632" s="44">
        <f>Z1596*Settings!$C$13*(Z1524+Z1542+Z1533*Z$201+Z1551*$D1632)</f>
        <v/>
      </c>
      <c r="AA1632" s="44">
        <f>AA1596*Settings!$C$13*(AA1524+AA1542+AA1533*AA$201+AA1551*$D1632)</f>
        <v/>
      </c>
      <c r="AB1632" s="44">
        <f>AB1596*Settings!$C$13*(AB1524+AB1542+AB1533*AB$201+AB1551*$D1632)</f>
        <v/>
      </c>
      <c r="AC1632" s="44">
        <f>AC1596*Settings!$C$13*(AC1524+AC1542+AC1533*AC$201+AC1551*$D1632)</f>
        <v/>
      </c>
      <c r="AD1632" s="44">
        <f>AD1596*Settings!$C$13*(AD1524+AD1542+AD1533*AD$201+AD1551*$D1632)</f>
        <v/>
      </c>
      <c r="AE1632" s="57">
        <f>REVENUE(AE1596,Settings!$C$13,NEWREVRATE(AE1524,AE1542,AE1533,AE$201,AE1551,$D1632))</f>
        <v/>
      </c>
      <c r="AG1632" s="11">
        <f>CodePrefix&amp;$A1632&amp;IF($C1632="","","."&amp;$C1632&amp;"."&amp;$B1632)&amp;INDEX(VarEnd,MATCH($A1632,VarKey,0))&amp;AG$5</f>
        <v/>
      </c>
      <c r="AH1632" s="43">
        <f>AH1596*Settings!$C$13*(AH1524+AH1542+AH1533*AH$201+AH1551*$D1632)</f>
        <v/>
      </c>
      <c r="AI1632" s="44">
        <f>AI1596*Settings!$C$13*(AI1524+AI1542+AI1533*AI$201+AI1551*$D1632)</f>
        <v/>
      </c>
      <c r="AJ1632" s="44">
        <f>AJ1596*Settings!$C$13*(AJ1524+AJ1542+AJ1533*AJ$201+AJ1551*$D1632)</f>
        <v/>
      </c>
      <c r="AK1632" s="44">
        <f>AK1596*Settings!$C$13*(AK1524+AK1542+AK1533*AK$201+AK1551*$D1632)</f>
        <v/>
      </c>
      <c r="AL1632" s="44">
        <f>AL1596*Settings!$C$13*(AL1524+AL1542+AL1533*AL$201+AL1551*$D1632)</f>
        <v/>
      </c>
      <c r="AM1632" s="44">
        <f>AM1596*Settings!$C$13*(AM1524+AM1542+AM1533*AM$201+AM1551*$D1632)</f>
        <v/>
      </c>
      <c r="AN1632" s="44">
        <f>AN1596*Settings!$C$13*(AN1524+AN1542+AN1533*AN$201+AN1551*$D1632)</f>
        <v/>
      </c>
      <c r="AO1632" s="44">
        <f>AO1596*Settings!$C$13*(AO1524+AO1542+AO1533*AO$201+AO1551*$D1632)</f>
        <v/>
      </c>
      <c r="AP1632" s="44">
        <f>AP1596*Settings!$C$13*(AP1524+AP1542+AP1533*AP$201+AP1551*$D1632)</f>
        <v/>
      </c>
      <c r="AQ1632" s="44">
        <f>AQ1596*Settings!$C$13*(AQ1524+AQ1542+AQ1533*AQ$201+AQ1551*$D1632)</f>
        <v/>
      </c>
      <c r="AR1632" s="44">
        <f>AR1596*Settings!$C$13*(AR1524+AR1542+AR1533*AR$201+AR1551*$D1632)</f>
        <v/>
      </c>
      <c r="AS1632" s="44">
        <f>AS1596*Settings!$C$13*(AS1524+AS1542+AS1533*AS$201+AS1551*$D1632)</f>
        <v/>
      </c>
      <c r="AT1632" s="44">
        <f>AT1596*Settings!$C$13*(AT1524+AT1542+AT1533*AT$201+AT1551*$D1632)</f>
        <v/>
      </c>
      <c r="AU1632" s="44">
        <f>AU1596*Settings!$C$13*(AU1524+AU1542+AU1533*AU$201+AU1551*$D1632)</f>
        <v/>
      </c>
      <c r="AV1632" s="44">
        <f>AV1596*Settings!$C$13*(AV1524+AV1542+AV1533*AV$201+AV1551*$D1632)</f>
        <v/>
      </c>
      <c r="AW1632" s="44">
        <f>AW1596*Settings!$C$13*(AW1524+AW1542+AW1533*AW$201+AW1551*$D1632)</f>
        <v/>
      </c>
      <c r="AX1632" s="44">
        <f>AX1596*Settings!$C$13*(AX1524+AX1542+AX1533*AX$201+AX1551*$D1632)</f>
        <v/>
      </c>
      <c r="AY1632" s="44">
        <f>AY1596*Settings!$C$13*(AY1524+AY1542+AY1533*AY$201+AY1551*$D1632)</f>
        <v/>
      </c>
      <c r="AZ1632" s="44">
        <f>AZ1596*Settings!$C$13*(AZ1524+AZ1542+AZ1533*AZ$201+AZ1551*$D1632)</f>
        <v/>
      </c>
      <c r="BA1632" s="57">
        <f>REVENUE(BA1596,Settings!$C$13,NEWREVRATE(BA1524,BA1542,BA1533,BA$201,BA1551,$D1632))</f>
        <v/>
      </c>
    </row>
    <row r="1633" hidden="1" outlineLevel="2">
      <c r="A1633" s="14" t="inlineStr">
        <is>
          <t>rnew</t>
        </is>
      </c>
      <c r="B1633" s="14" t="inlineStr">
        <is>
          <t>die</t>
        </is>
      </c>
      <c r="C1633" s="14" t="inlineStr">
        <is>
          <t>res</t>
        </is>
      </c>
      <c r="D1633" s="35">
        <f>INDEX(Inputs!$V$5:$V$132,MATCH($B1633&amp;"|"&amp;$C1633,Inputs!$A$5:$A$132,0))</f>
        <v/>
      </c>
      <c r="E1633" s="39" t="n"/>
      <c r="F1633" s="39" t="n"/>
      <c r="G1633" s="39" t="n"/>
      <c r="H1633" s="14">
        <f>INDEX(VarLab,MATCH($A1633,VarKey,0))&amp;INDEX(MemLab,MATCH($C1633&amp;"|"&amp;$B1633,MemKey,0))</f>
        <v/>
      </c>
      <c r="I1633" s="14">
        <f>INDEX(VarUnit,MATCH($A1633,VarKey,0))</f>
        <v/>
      </c>
      <c r="J1633" s="14">
        <f>INDEX(VarSrc,MATCH($A1633,VarKey,0))</f>
        <v/>
      </c>
      <c r="K1633" s="11">
        <f>CodePrefix&amp;$A1633&amp;IF($C1633="","","."&amp;$C1633&amp;"."&amp;$B1633)&amp;INDEX(VarEnd,MATCH($A1633,VarKey,0))&amp;K$5</f>
        <v/>
      </c>
      <c r="L1633" s="43">
        <f>L1597*Settings!$C$13*(L1525+L1543+L1534*L$201+L1552*$D1633)</f>
        <v/>
      </c>
      <c r="M1633" s="44">
        <f>M1597*Settings!$C$13*(M1525+M1543+M1534*M$201+M1552*$D1633)</f>
        <v/>
      </c>
      <c r="N1633" s="44">
        <f>N1597*Settings!$C$13*(N1525+N1543+N1534*N$201+N1552*$D1633)</f>
        <v/>
      </c>
      <c r="O1633" s="44">
        <f>O1597*Settings!$C$13*(O1525+O1543+O1534*O$201+O1552*$D1633)</f>
        <v/>
      </c>
      <c r="P1633" s="44">
        <f>P1597*Settings!$C$13*(P1525+P1543+P1534*P$201+P1552*$D1633)</f>
        <v/>
      </c>
      <c r="Q1633" s="44">
        <f>Q1597*Settings!$C$13*(Q1525+Q1543+Q1534*Q$201+Q1552*$D1633)</f>
        <v/>
      </c>
      <c r="R1633" s="44">
        <f>R1597*Settings!$C$13*(R1525+R1543+R1534*R$201+R1552*$D1633)</f>
        <v/>
      </c>
      <c r="S1633" s="44">
        <f>S1597*Settings!$C$13*(S1525+S1543+S1534*S$201+S1552*$D1633)</f>
        <v/>
      </c>
      <c r="T1633" s="44">
        <f>T1597*Settings!$C$13*(T1525+T1543+T1534*T$201+T1552*$D1633)</f>
        <v/>
      </c>
      <c r="U1633" s="44">
        <f>U1597*Settings!$C$13*(U1525+U1543+U1534*U$201+U1552*$D1633)</f>
        <v/>
      </c>
      <c r="V1633" s="44">
        <f>V1597*Settings!$C$13*(V1525+V1543+V1534*V$201+V1552*$D1633)</f>
        <v/>
      </c>
      <c r="W1633" s="44">
        <f>W1597*Settings!$C$13*(W1525+W1543+W1534*W$201+W1552*$D1633)</f>
        <v/>
      </c>
      <c r="X1633" s="44">
        <f>X1597*Settings!$C$13*(X1525+X1543+X1534*X$201+X1552*$D1633)</f>
        <v/>
      </c>
      <c r="Y1633" s="44">
        <f>Y1597*Settings!$C$13*(Y1525+Y1543+Y1534*Y$201+Y1552*$D1633)</f>
        <v/>
      </c>
      <c r="Z1633" s="44">
        <f>Z1597*Settings!$C$13*(Z1525+Z1543+Z1534*Z$201+Z1552*$D1633)</f>
        <v/>
      </c>
      <c r="AA1633" s="44">
        <f>AA1597*Settings!$C$13*(AA1525+AA1543+AA1534*AA$201+AA1552*$D1633)</f>
        <v/>
      </c>
      <c r="AB1633" s="44">
        <f>AB1597*Settings!$C$13*(AB1525+AB1543+AB1534*AB$201+AB1552*$D1633)</f>
        <v/>
      </c>
      <c r="AC1633" s="44">
        <f>AC1597*Settings!$C$13*(AC1525+AC1543+AC1534*AC$201+AC1552*$D1633)</f>
        <v/>
      </c>
      <c r="AD1633" s="44">
        <f>AD1597*Settings!$C$13*(AD1525+AD1543+AD1534*AD$201+AD1552*$D1633)</f>
        <v/>
      </c>
      <c r="AE1633" s="57">
        <f>REVENUE(AE1597,Settings!$C$13,NEWREVRATE(AE1525,AE1543,AE1534,AE$201,AE1552,$D1633))</f>
        <v/>
      </c>
      <c r="AG1633" s="11">
        <f>CodePrefix&amp;$A1633&amp;IF($C1633="","","."&amp;$C1633&amp;"."&amp;$B1633)&amp;INDEX(VarEnd,MATCH($A1633,VarKey,0))&amp;AG$5</f>
        <v/>
      </c>
      <c r="AH1633" s="43">
        <f>AH1597*Settings!$C$13*(AH1525+AH1543+AH1534*AH$201+AH1552*$D1633)</f>
        <v/>
      </c>
      <c r="AI1633" s="44">
        <f>AI1597*Settings!$C$13*(AI1525+AI1543+AI1534*AI$201+AI1552*$D1633)</f>
        <v/>
      </c>
      <c r="AJ1633" s="44">
        <f>AJ1597*Settings!$C$13*(AJ1525+AJ1543+AJ1534*AJ$201+AJ1552*$D1633)</f>
        <v/>
      </c>
      <c r="AK1633" s="44">
        <f>AK1597*Settings!$C$13*(AK1525+AK1543+AK1534*AK$201+AK1552*$D1633)</f>
        <v/>
      </c>
      <c r="AL1633" s="44">
        <f>AL1597*Settings!$C$13*(AL1525+AL1543+AL1534*AL$201+AL1552*$D1633)</f>
        <v/>
      </c>
      <c r="AM1633" s="44">
        <f>AM1597*Settings!$C$13*(AM1525+AM1543+AM1534*AM$201+AM1552*$D1633)</f>
        <v/>
      </c>
      <c r="AN1633" s="44">
        <f>AN1597*Settings!$C$13*(AN1525+AN1543+AN1534*AN$201+AN1552*$D1633)</f>
        <v/>
      </c>
      <c r="AO1633" s="44">
        <f>AO1597*Settings!$C$13*(AO1525+AO1543+AO1534*AO$201+AO1552*$D1633)</f>
        <v/>
      </c>
      <c r="AP1633" s="44">
        <f>AP1597*Settings!$C$13*(AP1525+AP1543+AP1534*AP$201+AP1552*$D1633)</f>
        <v/>
      </c>
      <c r="AQ1633" s="44">
        <f>AQ1597*Settings!$C$13*(AQ1525+AQ1543+AQ1534*AQ$201+AQ1552*$D1633)</f>
        <v/>
      </c>
      <c r="AR1633" s="44">
        <f>AR1597*Settings!$C$13*(AR1525+AR1543+AR1534*AR$201+AR1552*$D1633)</f>
        <v/>
      </c>
      <c r="AS1633" s="44">
        <f>AS1597*Settings!$C$13*(AS1525+AS1543+AS1534*AS$201+AS1552*$D1633)</f>
        <v/>
      </c>
      <c r="AT1633" s="44">
        <f>AT1597*Settings!$C$13*(AT1525+AT1543+AT1534*AT$201+AT1552*$D1633)</f>
        <v/>
      </c>
      <c r="AU1633" s="44">
        <f>AU1597*Settings!$C$13*(AU1525+AU1543+AU1534*AU$201+AU1552*$D1633)</f>
        <v/>
      </c>
      <c r="AV1633" s="44">
        <f>AV1597*Settings!$C$13*(AV1525+AV1543+AV1534*AV$201+AV1552*$D1633)</f>
        <v/>
      </c>
      <c r="AW1633" s="44">
        <f>AW1597*Settings!$C$13*(AW1525+AW1543+AW1534*AW$201+AW1552*$D1633)</f>
        <v/>
      </c>
      <c r="AX1633" s="44">
        <f>AX1597*Settings!$C$13*(AX1525+AX1543+AX1534*AX$201+AX1552*$D1633)</f>
        <v/>
      </c>
      <c r="AY1633" s="44">
        <f>AY1597*Settings!$C$13*(AY1525+AY1543+AY1534*AY$201+AY1552*$D1633)</f>
        <v/>
      </c>
      <c r="AZ1633" s="44">
        <f>AZ1597*Settings!$C$13*(AZ1525+AZ1543+AZ1534*AZ$201+AZ1552*$D1633)</f>
        <v/>
      </c>
      <c r="BA1633" s="57">
        <f>REVENUE(BA1597,Settings!$C$13,NEWREVRATE(BA1525,BA1543,BA1534,BA$201,BA1552,$D1633))</f>
        <v/>
      </c>
    </row>
    <row r="1634" hidden="1" outlineLevel="2">
      <c r="A1634" s="14" t="inlineStr">
        <is>
          <t>rnew</t>
        </is>
      </c>
      <c r="B1634" s="14" t="inlineStr">
        <is>
          <t>lpg</t>
        </is>
      </c>
      <c r="C1634" s="14" t="inlineStr">
        <is>
          <t>res</t>
        </is>
      </c>
      <c r="D1634" s="35">
        <f>INDEX(Inputs!$V$5:$V$132,MATCH($B1634&amp;"|"&amp;$C1634,Inputs!$A$5:$A$132,0))</f>
        <v/>
      </c>
      <c r="E1634" s="39" t="n"/>
      <c r="F1634" s="39" t="n"/>
      <c r="G1634" s="39" t="n"/>
      <c r="H1634" s="14">
        <f>INDEX(VarLab,MATCH($A1634,VarKey,0))&amp;INDEX(MemLab,MATCH($C1634&amp;"|"&amp;$B1634,MemKey,0))</f>
        <v/>
      </c>
      <c r="I1634" s="14">
        <f>INDEX(VarUnit,MATCH($A1634,VarKey,0))</f>
        <v/>
      </c>
      <c r="J1634" s="14">
        <f>INDEX(VarSrc,MATCH($A1634,VarKey,0))</f>
        <v/>
      </c>
      <c r="K1634" s="11">
        <f>CodePrefix&amp;$A1634&amp;IF($C1634="","","."&amp;$C1634&amp;"."&amp;$B1634)&amp;INDEX(VarEnd,MATCH($A1634,VarKey,0))&amp;K$5</f>
        <v/>
      </c>
      <c r="L1634" s="43">
        <f>L1598*Settings!$C$13*(L1526+L1544+L1535*L$201+L1553*$D1634)</f>
        <v/>
      </c>
      <c r="M1634" s="44">
        <f>M1598*Settings!$C$13*(M1526+M1544+M1535*M$201+M1553*$D1634)</f>
        <v/>
      </c>
      <c r="N1634" s="44">
        <f>N1598*Settings!$C$13*(N1526+N1544+N1535*N$201+N1553*$D1634)</f>
        <v/>
      </c>
      <c r="O1634" s="44">
        <f>O1598*Settings!$C$13*(O1526+O1544+O1535*O$201+O1553*$D1634)</f>
        <v/>
      </c>
      <c r="P1634" s="44">
        <f>P1598*Settings!$C$13*(P1526+P1544+P1535*P$201+P1553*$D1634)</f>
        <v/>
      </c>
      <c r="Q1634" s="44">
        <f>Q1598*Settings!$C$13*(Q1526+Q1544+Q1535*Q$201+Q1553*$D1634)</f>
        <v/>
      </c>
      <c r="R1634" s="44">
        <f>R1598*Settings!$C$13*(R1526+R1544+R1535*R$201+R1553*$D1634)</f>
        <v/>
      </c>
      <c r="S1634" s="44">
        <f>S1598*Settings!$C$13*(S1526+S1544+S1535*S$201+S1553*$D1634)</f>
        <v/>
      </c>
      <c r="T1634" s="44">
        <f>T1598*Settings!$C$13*(T1526+T1544+T1535*T$201+T1553*$D1634)</f>
        <v/>
      </c>
      <c r="U1634" s="44">
        <f>U1598*Settings!$C$13*(U1526+U1544+U1535*U$201+U1553*$D1634)</f>
        <v/>
      </c>
      <c r="V1634" s="44">
        <f>V1598*Settings!$C$13*(V1526+V1544+V1535*V$201+V1553*$D1634)</f>
        <v/>
      </c>
      <c r="W1634" s="44">
        <f>W1598*Settings!$C$13*(W1526+W1544+W1535*W$201+W1553*$D1634)</f>
        <v/>
      </c>
      <c r="X1634" s="44">
        <f>X1598*Settings!$C$13*(X1526+X1544+X1535*X$201+X1553*$D1634)</f>
        <v/>
      </c>
      <c r="Y1634" s="44">
        <f>Y1598*Settings!$C$13*(Y1526+Y1544+Y1535*Y$201+Y1553*$D1634)</f>
        <v/>
      </c>
      <c r="Z1634" s="44">
        <f>Z1598*Settings!$C$13*(Z1526+Z1544+Z1535*Z$201+Z1553*$D1634)</f>
        <v/>
      </c>
      <c r="AA1634" s="44">
        <f>AA1598*Settings!$C$13*(AA1526+AA1544+AA1535*AA$201+AA1553*$D1634)</f>
        <v/>
      </c>
      <c r="AB1634" s="44">
        <f>AB1598*Settings!$C$13*(AB1526+AB1544+AB1535*AB$201+AB1553*$D1634)</f>
        <v/>
      </c>
      <c r="AC1634" s="44">
        <f>AC1598*Settings!$C$13*(AC1526+AC1544+AC1535*AC$201+AC1553*$D1634)</f>
        <v/>
      </c>
      <c r="AD1634" s="44">
        <f>AD1598*Settings!$C$13*(AD1526+AD1544+AD1535*AD$201+AD1553*$D1634)</f>
        <v/>
      </c>
      <c r="AE1634" s="57">
        <f>REVENUE(AE1598,Settings!$C$13,NEWREVRATE(AE1526,AE1544,AE1535,AE$201,AE1553,$D1634))</f>
        <v/>
      </c>
      <c r="AG1634" s="11">
        <f>CodePrefix&amp;$A1634&amp;IF($C1634="","","."&amp;$C1634&amp;"."&amp;$B1634)&amp;INDEX(VarEnd,MATCH($A1634,VarKey,0))&amp;AG$5</f>
        <v/>
      </c>
      <c r="AH1634" s="43">
        <f>AH1598*Settings!$C$13*(AH1526+AH1544+AH1535*AH$201+AH1553*$D1634)</f>
        <v/>
      </c>
      <c r="AI1634" s="44">
        <f>AI1598*Settings!$C$13*(AI1526+AI1544+AI1535*AI$201+AI1553*$D1634)</f>
        <v/>
      </c>
      <c r="AJ1634" s="44">
        <f>AJ1598*Settings!$C$13*(AJ1526+AJ1544+AJ1535*AJ$201+AJ1553*$D1634)</f>
        <v/>
      </c>
      <c r="AK1634" s="44">
        <f>AK1598*Settings!$C$13*(AK1526+AK1544+AK1535*AK$201+AK1553*$D1634)</f>
        <v/>
      </c>
      <c r="AL1634" s="44">
        <f>AL1598*Settings!$C$13*(AL1526+AL1544+AL1535*AL$201+AL1553*$D1634)</f>
        <v/>
      </c>
      <c r="AM1634" s="44">
        <f>AM1598*Settings!$C$13*(AM1526+AM1544+AM1535*AM$201+AM1553*$D1634)</f>
        <v/>
      </c>
      <c r="AN1634" s="44">
        <f>AN1598*Settings!$C$13*(AN1526+AN1544+AN1535*AN$201+AN1553*$D1634)</f>
        <v/>
      </c>
      <c r="AO1634" s="44">
        <f>AO1598*Settings!$C$13*(AO1526+AO1544+AO1535*AO$201+AO1553*$D1634)</f>
        <v/>
      </c>
      <c r="AP1634" s="44">
        <f>AP1598*Settings!$C$13*(AP1526+AP1544+AP1535*AP$201+AP1553*$D1634)</f>
        <v/>
      </c>
      <c r="AQ1634" s="44">
        <f>AQ1598*Settings!$C$13*(AQ1526+AQ1544+AQ1535*AQ$201+AQ1553*$D1634)</f>
        <v/>
      </c>
      <c r="AR1634" s="44">
        <f>AR1598*Settings!$C$13*(AR1526+AR1544+AR1535*AR$201+AR1553*$D1634)</f>
        <v/>
      </c>
      <c r="AS1634" s="44">
        <f>AS1598*Settings!$C$13*(AS1526+AS1544+AS1535*AS$201+AS1553*$D1634)</f>
        <v/>
      </c>
      <c r="AT1634" s="44">
        <f>AT1598*Settings!$C$13*(AT1526+AT1544+AT1535*AT$201+AT1553*$D1634)</f>
        <v/>
      </c>
      <c r="AU1634" s="44">
        <f>AU1598*Settings!$C$13*(AU1526+AU1544+AU1535*AU$201+AU1553*$D1634)</f>
        <v/>
      </c>
      <c r="AV1634" s="44">
        <f>AV1598*Settings!$C$13*(AV1526+AV1544+AV1535*AV$201+AV1553*$D1634)</f>
        <v/>
      </c>
      <c r="AW1634" s="44">
        <f>AW1598*Settings!$C$13*(AW1526+AW1544+AW1535*AW$201+AW1553*$D1634)</f>
        <v/>
      </c>
      <c r="AX1634" s="44">
        <f>AX1598*Settings!$C$13*(AX1526+AX1544+AX1535*AX$201+AX1553*$D1634)</f>
        <v/>
      </c>
      <c r="AY1634" s="44">
        <f>AY1598*Settings!$C$13*(AY1526+AY1544+AY1535*AY$201+AY1553*$D1634)</f>
        <v/>
      </c>
      <c r="AZ1634" s="44">
        <f>AZ1598*Settings!$C$13*(AZ1526+AZ1544+AZ1535*AZ$201+AZ1553*$D1634)</f>
        <v/>
      </c>
      <c r="BA1634" s="57">
        <f>REVENUE(BA1598,Settings!$C$13,NEWREVRATE(BA1526,BA1544,BA1535,BA$201,BA1553,$D1634))</f>
        <v/>
      </c>
    </row>
    <row r="1635" hidden="1" outlineLevel="2">
      <c r="A1635" s="14" t="inlineStr">
        <is>
          <t>rnew</t>
        </is>
      </c>
      <c r="B1635" s="14" t="inlineStr">
        <is>
          <t>ker</t>
        </is>
      </c>
      <c r="C1635" s="14" t="inlineStr">
        <is>
          <t>res</t>
        </is>
      </c>
      <c r="D1635" s="35">
        <f>INDEX(Inputs!$V$5:$V$132,MATCH($B1635&amp;"|"&amp;$C1635,Inputs!$A$5:$A$132,0))</f>
        <v/>
      </c>
      <c r="E1635" s="39" t="n"/>
      <c r="F1635" s="39" t="n"/>
      <c r="G1635" s="39" t="n"/>
      <c r="H1635" s="14">
        <f>INDEX(VarLab,MATCH($A1635,VarKey,0))&amp;INDEX(MemLab,MATCH($C1635&amp;"|"&amp;$B1635,MemKey,0))</f>
        <v/>
      </c>
      <c r="I1635" s="14">
        <f>INDEX(VarUnit,MATCH($A1635,VarKey,0))</f>
        <v/>
      </c>
      <c r="J1635" s="14">
        <f>INDEX(VarSrc,MATCH($A1635,VarKey,0))</f>
        <v/>
      </c>
      <c r="K1635" s="11">
        <f>CodePrefix&amp;$A1635&amp;IF($C1635="","","."&amp;$C1635&amp;"."&amp;$B1635)&amp;INDEX(VarEnd,MATCH($A1635,VarKey,0))&amp;K$5</f>
        <v/>
      </c>
      <c r="L1635" s="43">
        <f>L1599*Settings!$C$13*(L1527+L1545+L1536*L$201+L1554*$D1635)</f>
        <v/>
      </c>
      <c r="M1635" s="44">
        <f>M1599*Settings!$C$13*(M1527+M1545+M1536*M$201+M1554*$D1635)</f>
        <v/>
      </c>
      <c r="N1635" s="44">
        <f>N1599*Settings!$C$13*(N1527+N1545+N1536*N$201+N1554*$D1635)</f>
        <v/>
      </c>
      <c r="O1635" s="44">
        <f>O1599*Settings!$C$13*(O1527+O1545+O1536*O$201+O1554*$D1635)</f>
        <v/>
      </c>
      <c r="P1635" s="44">
        <f>P1599*Settings!$C$13*(P1527+P1545+P1536*P$201+P1554*$D1635)</f>
        <v/>
      </c>
      <c r="Q1635" s="44">
        <f>Q1599*Settings!$C$13*(Q1527+Q1545+Q1536*Q$201+Q1554*$D1635)</f>
        <v/>
      </c>
      <c r="R1635" s="44">
        <f>R1599*Settings!$C$13*(R1527+R1545+R1536*R$201+R1554*$D1635)</f>
        <v/>
      </c>
      <c r="S1635" s="44">
        <f>S1599*Settings!$C$13*(S1527+S1545+S1536*S$201+S1554*$D1635)</f>
        <v/>
      </c>
      <c r="T1635" s="44">
        <f>T1599*Settings!$C$13*(T1527+T1545+T1536*T$201+T1554*$D1635)</f>
        <v/>
      </c>
      <c r="U1635" s="44">
        <f>U1599*Settings!$C$13*(U1527+U1545+U1536*U$201+U1554*$D1635)</f>
        <v/>
      </c>
      <c r="V1635" s="44">
        <f>V1599*Settings!$C$13*(V1527+V1545+V1536*V$201+V1554*$D1635)</f>
        <v/>
      </c>
      <c r="W1635" s="44">
        <f>W1599*Settings!$C$13*(W1527+W1545+W1536*W$201+W1554*$D1635)</f>
        <v/>
      </c>
      <c r="X1635" s="44">
        <f>X1599*Settings!$C$13*(X1527+X1545+X1536*X$201+X1554*$D1635)</f>
        <v/>
      </c>
      <c r="Y1635" s="44">
        <f>Y1599*Settings!$C$13*(Y1527+Y1545+Y1536*Y$201+Y1554*$D1635)</f>
        <v/>
      </c>
      <c r="Z1635" s="44">
        <f>Z1599*Settings!$C$13*(Z1527+Z1545+Z1536*Z$201+Z1554*$D1635)</f>
        <v/>
      </c>
      <c r="AA1635" s="44">
        <f>AA1599*Settings!$C$13*(AA1527+AA1545+AA1536*AA$201+AA1554*$D1635)</f>
        <v/>
      </c>
      <c r="AB1635" s="44">
        <f>AB1599*Settings!$C$13*(AB1527+AB1545+AB1536*AB$201+AB1554*$D1635)</f>
        <v/>
      </c>
      <c r="AC1635" s="44">
        <f>AC1599*Settings!$C$13*(AC1527+AC1545+AC1536*AC$201+AC1554*$D1635)</f>
        <v/>
      </c>
      <c r="AD1635" s="44">
        <f>AD1599*Settings!$C$13*(AD1527+AD1545+AD1536*AD$201+AD1554*$D1635)</f>
        <v/>
      </c>
      <c r="AE1635" s="57">
        <f>REVENUE(AE1599,Settings!$C$13,NEWREVRATE(AE1527,AE1545,AE1536,AE$201,AE1554,$D1635))</f>
        <v/>
      </c>
      <c r="AG1635" s="11">
        <f>CodePrefix&amp;$A1635&amp;IF($C1635="","","."&amp;$C1635&amp;"."&amp;$B1635)&amp;INDEX(VarEnd,MATCH($A1635,VarKey,0))&amp;AG$5</f>
        <v/>
      </c>
      <c r="AH1635" s="43">
        <f>AH1599*Settings!$C$13*(AH1527+AH1545+AH1536*AH$201+AH1554*$D1635)</f>
        <v/>
      </c>
      <c r="AI1635" s="44">
        <f>AI1599*Settings!$C$13*(AI1527+AI1545+AI1536*AI$201+AI1554*$D1635)</f>
        <v/>
      </c>
      <c r="AJ1635" s="44">
        <f>AJ1599*Settings!$C$13*(AJ1527+AJ1545+AJ1536*AJ$201+AJ1554*$D1635)</f>
        <v/>
      </c>
      <c r="AK1635" s="44">
        <f>AK1599*Settings!$C$13*(AK1527+AK1545+AK1536*AK$201+AK1554*$D1635)</f>
        <v/>
      </c>
      <c r="AL1635" s="44">
        <f>AL1599*Settings!$C$13*(AL1527+AL1545+AL1536*AL$201+AL1554*$D1635)</f>
        <v/>
      </c>
      <c r="AM1635" s="44">
        <f>AM1599*Settings!$C$13*(AM1527+AM1545+AM1536*AM$201+AM1554*$D1635)</f>
        <v/>
      </c>
      <c r="AN1635" s="44">
        <f>AN1599*Settings!$C$13*(AN1527+AN1545+AN1536*AN$201+AN1554*$D1635)</f>
        <v/>
      </c>
      <c r="AO1635" s="44">
        <f>AO1599*Settings!$C$13*(AO1527+AO1545+AO1536*AO$201+AO1554*$D1635)</f>
        <v/>
      </c>
      <c r="AP1635" s="44">
        <f>AP1599*Settings!$C$13*(AP1527+AP1545+AP1536*AP$201+AP1554*$D1635)</f>
        <v/>
      </c>
      <c r="AQ1635" s="44">
        <f>AQ1599*Settings!$C$13*(AQ1527+AQ1545+AQ1536*AQ$201+AQ1554*$D1635)</f>
        <v/>
      </c>
      <c r="AR1635" s="44">
        <f>AR1599*Settings!$C$13*(AR1527+AR1545+AR1536*AR$201+AR1554*$D1635)</f>
        <v/>
      </c>
      <c r="AS1635" s="44">
        <f>AS1599*Settings!$C$13*(AS1527+AS1545+AS1536*AS$201+AS1554*$D1635)</f>
        <v/>
      </c>
      <c r="AT1635" s="44">
        <f>AT1599*Settings!$C$13*(AT1527+AT1545+AT1536*AT$201+AT1554*$D1635)</f>
        <v/>
      </c>
      <c r="AU1635" s="44">
        <f>AU1599*Settings!$C$13*(AU1527+AU1545+AU1536*AU$201+AU1554*$D1635)</f>
        <v/>
      </c>
      <c r="AV1635" s="44">
        <f>AV1599*Settings!$C$13*(AV1527+AV1545+AV1536*AV$201+AV1554*$D1635)</f>
        <v/>
      </c>
      <c r="AW1635" s="44">
        <f>AW1599*Settings!$C$13*(AW1527+AW1545+AW1536*AW$201+AW1554*$D1635)</f>
        <v/>
      </c>
      <c r="AX1635" s="44">
        <f>AX1599*Settings!$C$13*(AX1527+AX1545+AX1536*AX$201+AX1554*$D1635)</f>
        <v/>
      </c>
      <c r="AY1635" s="44">
        <f>AY1599*Settings!$C$13*(AY1527+AY1545+AY1536*AY$201+AY1554*$D1635)</f>
        <v/>
      </c>
      <c r="AZ1635" s="44">
        <f>AZ1599*Settings!$C$13*(AZ1527+AZ1545+AZ1536*AZ$201+AZ1554*$D1635)</f>
        <v/>
      </c>
      <c r="BA1635" s="57">
        <f>REVENUE(BA1599,Settings!$C$13,NEWREVRATE(BA1527,BA1545,BA1536,BA$201,BA1554,$D1635))</f>
        <v/>
      </c>
    </row>
    <row r="1636" hidden="1" outlineLevel="2">
      <c r="A1636" s="14" t="inlineStr">
        <is>
          <t>rnew</t>
        </is>
      </c>
      <c r="B1636" s="14" t="inlineStr">
        <is>
          <t>oop</t>
        </is>
      </c>
      <c r="C1636" s="14" t="inlineStr">
        <is>
          <t>res</t>
        </is>
      </c>
      <c r="D1636" s="35">
        <f>INDEX(Inputs!$V$5:$V$132,MATCH($B1636&amp;"|"&amp;$C1636,Inputs!$A$5:$A$132,0))</f>
        <v/>
      </c>
      <c r="E1636" s="39" t="n"/>
      <c r="F1636" s="39" t="n"/>
      <c r="G1636" s="39" t="n"/>
      <c r="H1636" s="14">
        <f>INDEX(VarLab,MATCH($A1636,VarKey,0))&amp;INDEX(MemLab,MATCH($C1636&amp;"|"&amp;$B1636,MemKey,0))</f>
        <v/>
      </c>
      <c r="I1636" s="14">
        <f>INDEX(VarUnit,MATCH($A1636,VarKey,0))</f>
        <v/>
      </c>
      <c r="J1636" s="14">
        <f>INDEX(VarSrc,MATCH($A1636,VarKey,0))</f>
        <v/>
      </c>
      <c r="K1636" s="11">
        <f>CodePrefix&amp;$A1636&amp;IF($C1636="","","."&amp;$C1636&amp;"."&amp;$B1636)&amp;INDEX(VarEnd,MATCH($A1636,VarKey,0))&amp;K$5</f>
        <v/>
      </c>
      <c r="L1636" s="43">
        <f>L1600*Settings!$C$13*(L1528+L1546+L1537*L$201+L1555*$D1636)</f>
        <v/>
      </c>
      <c r="M1636" s="44">
        <f>M1600*Settings!$C$13*(M1528+M1546+M1537*M$201+M1555*$D1636)</f>
        <v/>
      </c>
      <c r="N1636" s="44">
        <f>N1600*Settings!$C$13*(N1528+N1546+N1537*N$201+N1555*$D1636)</f>
        <v/>
      </c>
      <c r="O1636" s="44">
        <f>O1600*Settings!$C$13*(O1528+O1546+O1537*O$201+O1555*$D1636)</f>
        <v/>
      </c>
      <c r="P1636" s="44">
        <f>P1600*Settings!$C$13*(P1528+P1546+P1537*P$201+P1555*$D1636)</f>
        <v/>
      </c>
      <c r="Q1636" s="44">
        <f>Q1600*Settings!$C$13*(Q1528+Q1546+Q1537*Q$201+Q1555*$D1636)</f>
        <v/>
      </c>
      <c r="R1636" s="44">
        <f>R1600*Settings!$C$13*(R1528+R1546+R1537*R$201+R1555*$D1636)</f>
        <v/>
      </c>
      <c r="S1636" s="44">
        <f>S1600*Settings!$C$13*(S1528+S1546+S1537*S$201+S1555*$D1636)</f>
        <v/>
      </c>
      <c r="T1636" s="44">
        <f>T1600*Settings!$C$13*(T1528+T1546+T1537*T$201+T1555*$D1636)</f>
        <v/>
      </c>
      <c r="U1636" s="44">
        <f>U1600*Settings!$C$13*(U1528+U1546+U1537*U$201+U1555*$D1636)</f>
        <v/>
      </c>
      <c r="V1636" s="44">
        <f>V1600*Settings!$C$13*(V1528+V1546+V1537*V$201+V1555*$D1636)</f>
        <v/>
      </c>
      <c r="W1636" s="44">
        <f>W1600*Settings!$C$13*(W1528+W1546+W1537*W$201+W1555*$D1636)</f>
        <v/>
      </c>
      <c r="X1636" s="44">
        <f>X1600*Settings!$C$13*(X1528+X1546+X1537*X$201+X1555*$D1636)</f>
        <v/>
      </c>
      <c r="Y1636" s="44">
        <f>Y1600*Settings!$C$13*(Y1528+Y1546+Y1537*Y$201+Y1555*$D1636)</f>
        <v/>
      </c>
      <c r="Z1636" s="44">
        <f>Z1600*Settings!$C$13*(Z1528+Z1546+Z1537*Z$201+Z1555*$D1636)</f>
        <v/>
      </c>
      <c r="AA1636" s="44">
        <f>AA1600*Settings!$C$13*(AA1528+AA1546+AA1537*AA$201+AA1555*$D1636)</f>
        <v/>
      </c>
      <c r="AB1636" s="44">
        <f>AB1600*Settings!$C$13*(AB1528+AB1546+AB1537*AB$201+AB1555*$D1636)</f>
        <v/>
      </c>
      <c r="AC1636" s="44">
        <f>AC1600*Settings!$C$13*(AC1528+AC1546+AC1537*AC$201+AC1555*$D1636)</f>
        <v/>
      </c>
      <c r="AD1636" s="44">
        <f>AD1600*Settings!$C$13*(AD1528+AD1546+AD1537*AD$201+AD1555*$D1636)</f>
        <v/>
      </c>
      <c r="AE1636" s="57">
        <f>REVENUE(AE1600,Settings!$C$13,NEWREVRATE(AE1528,AE1546,AE1537,AE$201,AE1555,$D1636))</f>
        <v/>
      </c>
      <c r="AG1636" s="11">
        <f>CodePrefix&amp;$A1636&amp;IF($C1636="","","."&amp;$C1636&amp;"."&amp;$B1636)&amp;INDEX(VarEnd,MATCH($A1636,VarKey,0))&amp;AG$5</f>
        <v/>
      </c>
      <c r="AH1636" s="43">
        <f>AH1600*Settings!$C$13*(AH1528+AH1546+AH1537*AH$201+AH1555*$D1636)</f>
        <v/>
      </c>
      <c r="AI1636" s="44">
        <f>AI1600*Settings!$C$13*(AI1528+AI1546+AI1537*AI$201+AI1555*$D1636)</f>
        <v/>
      </c>
      <c r="AJ1636" s="44">
        <f>AJ1600*Settings!$C$13*(AJ1528+AJ1546+AJ1537*AJ$201+AJ1555*$D1636)</f>
        <v/>
      </c>
      <c r="AK1636" s="44">
        <f>AK1600*Settings!$C$13*(AK1528+AK1546+AK1537*AK$201+AK1555*$D1636)</f>
        <v/>
      </c>
      <c r="AL1636" s="44">
        <f>AL1600*Settings!$C$13*(AL1528+AL1546+AL1537*AL$201+AL1555*$D1636)</f>
        <v/>
      </c>
      <c r="AM1636" s="44">
        <f>AM1600*Settings!$C$13*(AM1528+AM1546+AM1537*AM$201+AM1555*$D1636)</f>
        <v/>
      </c>
      <c r="AN1636" s="44">
        <f>AN1600*Settings!$C$13*(AN1528+AN1546+AN1537*AN$201+AN1555*$D1636)</f>
        <v/>
      </c>
      <c r="AO1636" s="44">
        <f>AO1600*Settings!$C$13*(AO1528+AO1546+AO1537*AO$201+AO1555*$D1636)</f>
        <v/>
      </c>
      <c r="AP1636" s="44">
        <f>AP1600*Settings!$C$13*(AP1528+AP1546+AP1537*AP$201+AP1555*$D1636)</f>
        <v/>
      </c>
      <c r="AQ1636" s="44">
        <f>AQ1600*Settings!$C$13*(AQ1528+AQ1546+AQ1537*AQ$201+AQ1555*$D1636)</f>
        <v/>
      </c>
      <c r="AR1636" s="44">
        <f>AR1600*Settings!$C$13*(AR1528+AR1546+AR1537*AR$201+AR1555*$D1636)</f>
        <v/>
      </c>
      <c r="AS1636" s="44">
        <f>AS1600*Settings!$C$13*(AS1528+AS1546+AS1537*AS$201+AS1555*$D1636)</f>
        <v/>
      </c>
      <c r="AT1636" s="44">
        <f>AT1600*Settings!$C$13*(AT1528+AT1546+AT1537*AT$201+AT1555*$D1636)</f>
        <v/>
      </c>
      <c r="AU1636" s="44">
        <f>AU1600*Settings!$C$13*(AU1528+AU1546+AU1537*AU$201+AU1555*$D1636)</f>
        <v/>
      </c>
      <c r="AV1636" s="44">
        <f>AV1600*Settings!$C$13*(AV1528+AV1546+AV1537*AV$201+AV1555*$D1636)</f>
        <v/>
      </c>
      <c r="AW1636" s="44">
        <f>AW1600*Settings!$C$13*(AW1528+AW1546+AW1537*AW$201+AW1555*$D1636)</f>
        <v/>
      </c>
      <c r="AX1636" s="44">
        <f>AX1600*Settings!$C$13*(AX1528+AX1546+AX1537*AX$201+AX1555*$D1636)</f>
        <v/>
      </c>
      <c r="AY1636" s="44">
        <f>AY1600*Settings!$C$13*(AY1528+AY1546+AY1537*AY$201+AY1555*$D1636)</f>
        <v/>
      </c>
      <c r="AZ1636" s="44">
        <f>AZ1600*Settings!$C$13*(AZ1528+AZ1546+AZ1537*AZ$201+AZ1555*$D1636)</f>
        <v/>
      </c>
      <c r="BA1636" s="57">
        <f>REVENUE(BA1600,Settings!$C$13,NEWREVRATE(BA1528,BA1546,BA1537,BA$201,BA1555,$D1636))</f>
        <v/>
      </c>
    </row>
    <row r="1637" hidden="1" outlineLevel="2">
      <c r="A1637" s="14" t="inlineStr">
        <is>
          <t>rnew</t>
        </is>
      </c>
      <c r="B1637" s="14" t="inlineStr">
        <is>
          <t>bio</t>
        </is>
      </c>
      <c r="C1637" s="14" t="inlineStr">
        <is>
          <t>res</t>
        </is>
      </c>
      <c r="D1637" s="35">
        <f>INDEX(Inputs!$V$5:$V$132,MATCH($B1637&amp;"|"&amp;$C1637,Inputs!$A$5:$A$132,0))</f>
        <v/>
      </c>
      <c r="E1637" s="39" t="n"/>
      <c r="F1637" s="39" t="n"/>
      <c r="G1637" s="39" t="n"/>
      <c r="H1637" s="14">
        <f>INDEX(VarLab,MATCH($A1637,VarKey,0))&amp;INDEX(MemLab,MATCH($C1637&amp;"|"&amp;$B1637,MemKey,0))</f>
        <v/>
      </c>
      <c r="I1637" s="14">
        <f>INDEX(VarUnit,MATCH($A1637,VarKey,0))</f>
        <v/>
      </c>
      <c r="J1637" s="14">
        <f>INDEX(VarSrc,MATCH($A1637,VarKey,0))</f>
        <v/>
      </c>
      <c r="K1637" s="11">
        <f>CodePrefix&amp;$A1637&amp;IF($C1637="","","."&amp;$C1637&amp;"."&amp;$B1637)&amp;INDEX(VarEnd,MATCH($A1637,VarKey,0))&amp;K$5</f>
        <v/>
      </c>
      <c r="L1637" s="43">
        <f>L1601*Settings!$C$13*(L1529+L1547+L1538*L$201+L1556*$D1637)</f>
        <v/>
      </c>
      <c r="M1637" s="44">
        <f>M1601*Settings!$C$13*(M1529+M1547+M1538*M$201+M1556*$D1637)</f>
        <v/>
      </c>
      <c r="N1637" s="44">
        <f>N1601*Settings!$C$13*(N1529+N1547+N1538*N$201+N1556*$D1637)</f>
        <v/>
      </c>
      <c r="O1637" s="44">
        <f>O1601*Settings!$C$13*(O1529+O1547+O1538*O$201+O1556*$D1637)</f>
        <v/>
      </c>
      <c r="P1637" s="44">
        <f>P1601*Settings!$C$13*(P1529+P1547+P1538*P$201+P1556*$D1637)</f>
        <v/>
      </c>
      <c r="Q1637" s="44">
        <f>Q1601*Settings!$C$13*(Q1529+Q1547+Q1538*Q$201+Q1556*$D1637)</f>
        <v/>
      </c>
      <c r="R1637" s="44">
        <f>R1601*Settings!$C$13*(R1529+R1547+R1538*R$201+R1556*$D1637)</f>
        <v/>
      </c>
      <c r="S1637" s="44">
        <f>S1601*Settings!$C$13*(S1529+S1547+S1538*S$201+S1556*$D1637)</f>
        <v/>
      </c>
      <c r="T1637" s="44">
        <f>T1601*Settings!$C$13*(T1529+T1547+T1538*T$201+T1556*$D1637)</f>
        <v/>
      </c>
      <c r="U1637" s="44">
        <f>U1601*Settings!$C$13*(U1529+U1547+U1538*U$201+U1556*$D1637)</f>
        <v/>
      </c>
      <c r="V1637" s="44">
        <f>V1601*Settings!$C$13*(V1529+V1547+V1538*V$201+V1556*$D1637)</f>
        <v/>
      </c>
      <c r="W1637" s="44">
        <f>W1601*Settings!$C$13*(W1529+W1547+W1538*W$201+W1556*$D1637)</f>
        <v/>
      </c>
      <c r="X1637" s="44">
        <f>X1601*Settings!$C$13*(X1529+X1547+X1538*X$201+X1556*$D1637)</f>
        <v/>
      </c>
      <c r="Y1637" s="44">
        <f>Y1601*Settings!$C$13*(Y1529+Y1547+Y1538*Y$201+Y1556*$D1637)</f>
        <v/>
      </c>
      <c r="Z1637" s="44">
        <f>Z1601*Settings!$C$13*(Z1529+Z1547+Z1538*Z$201+Z1556*$D1637)</f>
        <v/>
      </c>
      <c r="AA1637" s="44">
        <f>AA1601*Settings!$C$13*(AA1529+AA1547+AA1538*AA$201+AA1556*$D1637)</f>
        <v/>
      </c>
      <c r="AB1637" s="44">
        <f>AB1601*Settings!$C$13*(AB1529+AB1547+AB1538*AB$201+AB1556*$D1637)</f>
        <v/>
      </c>
      <c r="AC1637" s="44">
        <f>AC1601*Settings!$C$13*(AC1529+AC1547+AC1538*AC$201+AC1556*$D1637)</f>
        <v/>
      </c>
      <c r="AD1637" s="44">
        <f>AD1601*Settings!$C$13*(AD1529+AD1547+AD1538*AD$201+AD1556*$D1637)</f>
        <v/>
      </c>
      <c r="AE1637" s="57">
        <f>REVENUE(AE1601,Settings!$C$13,NEWREVRATE(AE1529,AE1547,AE1538,AE$201,AE1556,$D1637))</f>
        <v/>
      </c>
      <c r="AG1637" s="11">
        <f>CodePrefix&amp;$A1637&amp;IF($C1637="","","."&amp;$C1637&amp;"."&amp;$B1637)&amp;INDEX(VarEnd,MATCH($A1637,VarKey,0))&amp;AG$5</f>
        <v/>
      </c>
      <c r="AH1637" s="43">
        <f>AH1601*Settings!$C$13*(AH1529+AH1547+AH1538*AH$201+AH1556*$D1637)</f>
        <v/>
      </c>
      <c r="AI1637" s="44">
        <f>AI1601*Settings!$C$13*(AI1529+AI1547+AI1538*AI$201+AI1556*$D1637)</f>
        <v/>
      </c>
      <c r="AJ1637" s="44">
        <f>AJ1601*Settings!$C$13*(AJ1529+AJ1547+AJ1538*AJ$201+AJ1556*$D1637)</f>
        <v/>
      </c>
      <c r="AK1637" s="44">
        <f>AK1601*Settings!$C$13*(AK1529+AK1547+AK1538*AK$201+AK1556*$D1637)</f>
        <v/>
      </c>
      <c r="AL1637" s="44">
        <f>AL1601*Settings!$C$13*(AL1529+AL1547+AL1538*AL$201+AL1556*$D1637)</f>
        <v/>
      </c>
      <c r="AM1637" s="44">
        <f>AM1601*Settings!$C$13*(AM1529+AM1547+AM1538*AM$201+AM1556*$D1637)</f>
        <v/>
      </c>
      <c r="AN1637" s="44">
        <f>AN1601*Settings!$C$13*(AN1529+AN1547+AN1538*AN$201+AN1556*$D1637)</f>
        <v/>
      </c>
      <c r="AO1637" s="44">
        <f>AO1601*Settings!$C$13*(AO1529+AO1547+AO1538*AO$201+AO1556*$D1637)</f>
        <v/>
      </c>
      <c r="AP1637" s="44">
        <f>AP1601*Settings!$C$13*(AP1529+AP1547+AP1538*AP$201+AP1556*$D1637)</f>
        <v/>
      </c>
      <c r="AQ1637" s="44">
        <f>AQ1601*Settings!$C$13*(AQ1529+AQ1547+AQ1538*AQ$201+AQ1556*$D1637)</f>
        <v/>
      </c>
      <c r="AR1637" s="44">
        <f>AR1601*Settings!$C$13*(AR1529+AR1547+AR1538*AR$201+AR1556*$D1637)</f>
        <v/>
      </c>
      <c r="AS1637" s="44">
        <f>AS1601*Settings!$C$13*(AS1529+AS1547+AS1538*AS$201+AS1556*$D1637)</f>
        <v/>
      </c>
      <c r="AT1637" s="44">
        <f>AT1601*Settings!$C$13*(AT1529+AT1547+AT1538*AT$201+AT1556*$D1637)</f>
        <v/>
      </c>
      <c r="AU1637" s="44">
        <f>AU1601*Settings!$C$13*(AU1529+AU1547+AU1538*AU$201+AU1556*$D1637)</f>
        <v/>
      </c>
      <c r="AV1637" s="44">
        <f>AV1601*Settings!$C$13*(AV1529+AV1547+AV1538*AV$201+AV1556*$D1637)</f>
        <v/>
      </c>
      <c r="AW1637" s="44">
        <f>AW1601*Settings!$C$13*(AW1529+AW1547+AW1538*AW$201+AW1556*$D1637)</f>
        <v/>
      </c>
      <c r="AX1637" s="44">
        <f>AX1601*Settings!$C$13*(AX1529+AX1547+AX1538*AX$201+AX1556*$D1637)</f>
        <v/>
      </c>
      <c r="AY1637" s="44">
        <f>AY1601*Settings!$C$13*(AY1529+AY1547+AY1538*AY$201+AY1556*$D1637)</f>
        <v/>
      </c>
      <c r="AZ1637" s="44">
        <f>AZ1601*Settings!$C$13*(AZ1529+AZ1547+AZ1538*AZ$201+AZ1556*$D1637)</f>
        <v/>
      </c>
      <c r="BA1637" s="57">
        <f>REVENUE(BA1601,Settings!$C$13,NEWREVRATE(BA1529,BA1547,BA1538,BA$201,BA1556,$D1637))</f>
        <v/>
      </c>
    </row>
    <row r="1638" hidden="1" outlineLevel="2"/>
    <row r="1639" hidden="1" outlineLevel="2">
      <c r="A1639" s="14" t="inlineStr">
        <is>
          <t>rxcp</t>
        </is>
      </c>
      <c r="B1639" s="14" t="inlineStr">
        <is>
          <t>coa</t>
        </is>
      </c>
      <c r="C1639" s="14" t="inlineStr">
        <is>
          <t>res</t>
        </is>
      </c>
      <c r="D1639" s="39" t="n"/>
      <c r="E1639" s="39" t="n"/>
      <c r="F1639" s="39" t="n"/>
      <c r="G1639" s="39" t="n"/>
      <c r="H1639" s="14">
        <f>INDEX(VarLab,MATCH($A1639,VarKey,0))&amp;INDEX(MemLab,MATCH($C1639&amp;"|"&amp;$B1639,MemKey,0))</f>
        <v/>
      </c>
      <c r="I1639" s="14">
        <f>INDEX(VarUnit,MATCH($A1639,VarKey,0))</f>
        <v/>
      </c>
      <c r="J1639" s="14">
        <f>INDEX(VarSrc,MATCH($A1639,VarKey,0))</f>
        <v/>
      </c>
      <c r="K1639" s="11">
        <f>CodePrefix&amp;$A1639&amp;IF($C1639="","","."&amp;$C1639&amp;"."&amp;$B1639)&amp;INDEX(VarEnd,MATCH($A1639,VarKey,0))&amp;K$5</f>
        <v/>
      </c>
      <c r="L1639" s="43">
        <f>L1594*Settings!$C$13*(L1558)</f>
        <v/>
      </c>
      <c r="M1639" s="44">
        <f>M1594*Settings!$C$13*(M1558)</f>
        <v/>
      </c>
      <c r="N1639" s="44">
        <f>N1594*Settings!$C$13*(N1558)</f>
        <v/>
      </c>
      <c r="O1639" s="44">
        <f>O1594*Settings!$C$13*(O1558)</f>
        <v/>
      </c>
      <c r="P1639" s="44">
        <f>P1594*Settings!$C$13*(P1558)</f>
        <v/>
      </c>
      <c r="Q1639" s="44">
        <f>Q1594*Settings!$C$13*(Q1558)</f>
        <v/>
      </c>
      <c r="R1639" s="44">
        <f>R1594*Settings!$C$13*(R1558)</f>
        <v/>
      </c>
      <c r="S1639" s="44">
        <f>S1594*Settings!$C$13*(S1558)</f>
        <v/>
      </c>
      <c r="T1639" s="44">
        <f>T1594*Settings!$C$13*(T1558)</f>
        <v/>
      </c>
      <c r="U1639" s="44">
        <f>U1594*Settings!$C$13*(U1558)</f>
        <v/>
      </c>
      <c r="V1639" s="44">
        <f>V1594*Settings!$C$13*(V1558)</f>
        <v/>
      </c>
      <c r="W1639" s="44">
        <f>W1594*Settings!$C$13*(W1558)</f>
        <v/>
      </c>
      <c r="X1639" s="44">
        <f>X1594*Settings!$C$13*(X1558)</f>
        <v/>
      </c>
      <c r="Y1639" s="44">
        <f>Y1594*Settings!$C$13*(Y1558)</f>
        <v/>
      </c>
      <c r="Z1639" s="44">
        <f>Z1594*Settings!$C$13*(Z1558)</f>
        <v/>
      </c>
      <c r="AA1639" s="44">
        <f>AA1594*Settings!$C$13*(AA1558)</f>
        <v/>
      </c>
      <c r="AB1639" s="44">
        <f>AB1594*Settings!$C$13*(AB1558)</f>
        <v/>
      </c>
      <c r="AC1639" s="44">
        <f>AC1594*Settings!$C$13*(AC1558)</f>
        <v/>
      </c>
      <c r="AD1639" s="44">
        <f>AD1594*Settings!$C$13*(AD1558)</f>
        <v/>
      </c>
      <c r="AE1639" s="57">
        <f>REVENUE(AE1594,Settings!$C$13,AE1558)</f>
        <v/>
      </c>
      <c r="AG1639" s="11">
        <f>CodePrefix&amp;$A1639&amp;IF($C1639="","","."&amp;$C1639&amp;"."&amp;$B1639)&amp;INDEX(VarEnd,MATCH($A1639,VarKey,0))&amp;AG$5</f>
        <v/>
      </c>
      <c r="AH1639" s="43">
        <f>AH1594*Settings!$C$13*(AH1558)</f>
        <v/>
      </c>
      <c r="AI1639" s="44">
        <f>AI1594*Settings!$C$13*(AI1558)</f>
        <v/>
      </c>
      <c r="AJ1639" s="44">
        <f>AJ1594*Settings!$C$13*(AJ1558)</f>
        <v/>
      </c>
      <c r="AK1639" s="44">
        <f>AK1594*Settings!$C$13*(AK1558)</f>
        <v/>
      </c>
      <c r="AL1639" s="44">
        <f>AL1594*Settings!$C$13*(AL1558)</f>
        <v/>
      </c>
      <c r="AM1639" s="44">
        <f>AM1594*Settings!$C$13*(AM1558)</f>
        <v/>
      </c>
      <c r="AN1639" s="44">
        <f>AN1594*Settings!$C$13*(AN1558)</f>
        <v/>
      </c>
      <c r="AO1639" s="44">
        <f>AO1594*Settings!$C$13*(AO1558)</f>
        <v/>
      </c>
      <c r="AP1639" s="44">
        <f>AP1594*Settings!$C$13*(AP1558)</f>
        <v/>
      </c>
      <c r="AQ1639" s="44">
        <f>AQ1594*Settings!$C$13*(AQ1558)</f>
        <v/>
      </c>
      <c r="AR1639" s="44">
        <f>AR1594*Settings!$C$13*(AR1558)</f>
        <v/>
      </c>
      <c r="AS1639" s="44">
        <f>AS1594*Settings!$C$13*(AS1558)</f>
        <v/>
      </c>
      <c r="AT1639" s="44">
        <f>AT1594*Settings!$C$13*(AT1558)</f>
        <v/>
      </c>
      <c r="AU1639" s="44">
        <f>AU1594*Settings!$C$13*(AU1558)</f>
        <v/>
      </c>
      <c r="AV1639" s="44">
        <f>AV1594*Settings!$C$13*(AV1558)</f>
        <v/>
      </c>
      <c r="AW1639" s="44">
        <f>AW1594*Settings!$C$13*(AW1558)</f>
        <v/>
      </c>
      <c r="AX1639" s="44">
        <f>AX1594*Settings!$C$13*(AX1558)</f>
        <v/>
      </c>
      <c r="AY1639" s="44">
        <f>AY1594*Settings!$C$13*(AY1558)</f>
        <v/>
      </c>
      <c r="AZ1639" s="44">
        <f>AZ1594*Settings!$C$13*(AZ1558)</f>
        <v/>
      </c>
      <c r="BA1639" s="57">
        <f>REVENUE(BA1594,Settings!$C$13,BA1558)</f>
        <v/>
      </c>
    </row>
    <row r="1640" hidden="1" outlineLevel="2">
      <c r="A1640" s="14" t="inlineStr">
        <is>
          <t>rxcp</t>
        </is>
      </c>
      <c r="B1640" s="14" t="inlineStr">
        <is>
          <t>nga</t>
        </is>
      </c>
      <c r="C1640" s="14" t="inlineStr">
        <is>
          <t>res</t>
        </is>
      </c>
      <c r="D1640" s="39" t="n"/>
      <c r="E1640" s="39" t="n"/>
      <c r="F1640" s="39" t="n"/>
      <c r="G1640" s="39" t="n"/>
      <c r="H1640" s="14">
        <f>INDEX(VarLab,MATCH($A1640,VarKey,0))&amp;INDEX(MemLab,MATCH($C1640&amp;"|"&amp;$B1640,MemKey,0))</f>
        <v/>
      </c>
      <c r="I1640" s="14">
        <f>INDEX(VarUnit,MATCH($A1640,VarKey,0))</f>
        <v/>
      </c>
      <c r="J1640" s="14">
        <f>INDEX(VarSrc,MATCH($A1640,VarKey,0))</f>
        <v/>
      </c>
      <c r="K1640" s="11">
        <f>CodePrefix&amp;$A1640&amp;IF($C1640="","","."&amp;$C1640&amp;"."&amp;$B1640)&amp;INDEX(VarEnd,MATCH($A1640,VarKey,0))&amp;K$5</f>
        <v/>
      </c>
      <c r="L1640" s="43">
        <f>L1595*Settings!$C$13*(L1559)</f>
        <v/>
      </c>
      <c r="M1640" s="44">
        <f>M1595*Settings!$C$13*(M1559)</f>
        <v/>
      </c>
      <c r="N1640" s="44">
        <f>N1595*Settings!$C$13*(N1559)</f>
        <v/>
      </c>
      <c r="O1640" s="44">
        <f>O1595*Settings!$C$13*(O1559)</f>
        <v/>
      </c>
      <c r="P1640" s="44">
        <f>P1595*Settings!$C$13*(P1559)</f>
        <v/>
      </c>
      <c r="Q1640" s="44">
        <f>Q1595*Settings!$C$13*(Q1559)</f>
        <v/>
      </c>
      <c r="R1640" s="44">
        <f>R1595*Settings!$C$13*(R1559)</f>
        <v/>
      </c>
      <c r="S1640" s="44">
        <f>S1595*Settings!$C$13*(S1559)</f>
        <v/>
      </c>
      <c r="T1640" s="44">
        <f>T1595*Settings!$C$13*(T1559)</f>
        <v/>
      </c>
      <c r="U1640" s="44">
        <f>U1595*Settings!$C$13*(U1559)</f>
        <v/>
      </c>
      <c r="V1640" s="44">
        <f>V1595*Settings!$C$13*(V1559)</f>
        <v/>
      </c>
      <c r="W1640" s="44">
        <f>W1595*Settings!$C$13*(W1559)</f>
        <v/>
      </c>
      <c r="X1640" s="44">
        <f>X1595*Settings!$C$13*(X1559)</f>
        <v/>
      </c>
      <c r="Y1640" s="44">
        <f>Y1595*Settings!$C$13*(Y1559)</f>
        <v/>
      </c>
      <c r="Z1640" s="44">
        <f>Z1595*Settings!$C$13*(Z1559)</f>
        <v/>
      </c>
      <c r="AA1640" s="44">
        <f>AA1595*Settings!$C$13*(AA1559)</f>
        <v/>
      </c>
      <c r="AB1640" s="44">
        <f>AB1595*Settings!$C$13*(AB1559)</f>
        <v/>
      </c>
      <c r="AC1640" s="44">
        <f>AC1595*Settings!$C$13*(AC1559)</f>
        <v/>
      </c>
      <c r="AD1640" s="44">
        <f>AD1595*Settings!$C$13*(AD1559)</f>
        <v/>
      </c>
      <c r="AE1640" s="57">
        <f>REVENUE(AE1595,Settings!$C$13,AE1559)</f>
        <v/>
      </c>
      <c r="AG1640" s="11">
        <f>CodePrefix&amp;$A1640&amp;IF($C1640="","","."&amp;$C1640&amp;"."&amp;$B1640)&amp;INDEX(VarEnd,MATCH($A1640,VarKey,0))&amp;AG$5</f>
        <v/>
      </c>
      <c r="AH1640" s="43">
        <f>AH1595*Settings!$C$13*(AH1559)</f>
        <v/>
      </c>
      <c r="AI1640" s="44">
        <f>AI1595*Settings!$C$13*(AI1559)</f>
        <v/>
      </c>
      <c r="AJ1640" s="44">
        <f>AJ1595*Settings!$C$13*(AJ1559)</f>
        <v/>
      </c>
      <c r="AK1640" s="44">
        <f>AK1595*Settings!$C$13*(AK1559)</f>
        <v/>
      </c>
      <c r="AL1640" s="44">
        <f>AL1595*Settings!$C$13*(AL1559)</f>
        <v/>
      </c>
      <c r="AM1640" s="44">
        <f>AM1595*Settings!$C$13*(AM1559)</f>
        <v/>
      </c>
      <c r="AN1640" s="44">
        <f>AN1595*Settings!$C$13*(AN1559)</f>
        <v/>
      </c>
      <c r="AO1640" s="44">
        <f>AO1595*Settings!$C$13*(AO1559)</f>
        <v/>
      </c>
      <c r="AP1640" s="44">
        <f>AP1595*Settings!$C$13*(AP1559)</f>
        <v/>
      </c>
      <c r="AQ1640" s="44">
        <f>AQ1595*Settings!$C$13*(AQ1559)</f>
        <v/>
      </c>
      <c r="AR1640" s="44">
        <f>AR1595*Settings!$C$13*(AR1559)</f>
        <v/>
      </c>
      <c r="AS1640" s="44">
        <f>AS1595*Settings!$C$13*(AS1559)</f>
        <v/>
      </c>
      <c r="AT1640" s="44">
        <f>AT1595*Settings!$C$13*(AT1559)</f>
        <v/>
      </c>
      <c r="AU1640" s="44">
        <f>AU1595*Settings!$C$13*(AU1559)</f>
        <v/>
      </c>
      <c r="AV1640" s="44">
        <f>AV1595*Settings!$C$13*(AV1559)</f>
        <v/>
      </c>
      <c r="AW1640" s="44">
        <f>AW1595*Settings!$C$13*(AW1559)</f>
        <v/>
      </c>
      <c r="AX1640" s="44">
        <f>AX1595*Settings!$C$13*(AX1559)</f>
        <v/>
      </c>
      <c r="AY1640" s="44">
        <f>AY1595*Settings!$C$13*(AY1559)</f>
        <v/>
      </c>
      <c r="AZ1640" s="44">
        <f>AZ1595*Settings!$C$13*(AZ1559)</f>
        <v/>
      </c>
      <c r="BA1640" s="57">
        <f>REVENUE(BA1595,Settings!$C$13,BA1559)</f>
        <v/>
      </c>
    </row>
    <row r="1641" hidden="1" outlineLevel="2">
      <c r="A1641" s="14" t="inlineStr">
        <is>
          <t>rxcp</t>
        </is>
      </c>
      <c r="B1641" s="14" t="inlineStr">
        <is>
          <t>gso</t>
        </is>
      </c>
      <c r="C1641" s="14" t="inlineStr">
        <is>
          <t>res</t>
        </is>
      </c>
      <c r="D1641" s="39" t="n"/>
      <c r="E1641" s="39" t="n"/>
      <c r="F1641" s="39" t="n"/>
      <c r="G1641" s="39" t="n"/>
      <c r="H1641" s="14">
        <f>INDEX(VarLab,MATCH($A1641,VarKey,0))&amp;INDEX(MemLab,MATCH($C1641&amp;"|"&amp;$B1641,MemKey,0))</f>
        <v/>
      </c>
      <c r="I1641" s="14">
        <f>INDEX(VarUnit,MATCH($A1641,VarKey,0))</f>
        <v/>
      </c>
      <c r="J1641" s="14">
        <f>INDEX(VarSrc,MATCH($A1641,VarKey,0))</f>
        <v/>
      </c>
      <c r="K1641" s="11">
        <f>CodePrefix&amp;$A1641&amp;IF($C1641="","","."&amp;$C1641&amp;"."&amp;$B1641)&amp;INDEX(VarEnd,MATCH($A1641,VarKey,0))&amp;K$5</f>
        <v/>
      </c>
      <c r="L1641" s="43">
        <f>L1596*Settings!$C$13*(L1560)</f>
        <v/>
      </c>
      <c r="M1641" s="44">
        <f>M1596*Settings!$C$13*(M1560)</f>
        <v/>
      </c>
      <c r="N1641" s="44">
        <f>N1596*Settings!$C$13*(N1560)</f>
        <v/>
      </c>
      <c r="O1641" s="44">
        <f>O1596*Settings!$C$13*(O1560)</f>
        <v/>
      </c>
      <c r="P1641" s="44">
        <f>P1596*Settings!$C$13*(P1560)</f>
        <v/>
      </c>
      <c r="Q1641" s="44">
        <f>Q1596*Settings!$C$13*(Q1560)</f>
        <v/>
      </c>
      <c r="R1641" s="44">
        <f>R1596*Settings!$C$13*(R1560)</f>
        <v/>
      </c>
      <c r="S1641" s="44">
        <f>S1596*Settings!$C$13*(S1560)</f>
        <v/>
      </c>
      <c r="T1641" s="44">
        <f>T1596*Settings!$C$13*(T1560)</f>
        <v/>
      </c>
      <c r="U1641" s="44">
        <f>U1596*Settings!$C$13*(U1560)</f>
        <v/>
      </c>
      <c r="V1641" s="44">
        <f>V1596*Settings!$C$13*(V1560)</f>
        <v/>
      </c>
      <c r="W1641" s="44">
        <f>W1596*Settings!$C$13*(W1560)</f>
        <v/>
      </c>
      <c r="X1641" s="44">
        <f>X1596*Settings!$C$13*(X1560)</f>
        <v/>
      </c>
      <c r="Y1641" s="44">
        <f>Y1596*Settings!$C$13*(Y1560)</f>
        <v/>
      </c>
      <c r="Z1641" s="44">
        <f>Z1596*Settings!$C$13*(Z1560)</f>
        <v/>
      </c>
      <c r="AA1641" s="44">
        <f>AA1596*Settings!$C$13*(AA1560)</f>
        <v/>
      </c>
      <c r="AB1641" s="44">
        <f>AB1596*Settings!$C$13*(AB1560)</f>
        <v/>
      </c>
      <c r="AC1641" s="44">
        <f>AC1596*Settings!$C$13*(AC1560)</f>
        <v/>
      </c>
      <c r="AD1641" s="44">
        <f>AD1596*Settings!$C$13*(AD1560)</f>
        <v/>
      </c>
      <c r="AE1641" s="57">
        <f>REVENUE(AE1596,Settings!$C$13,AE1560)</f>
        <v/>
      </c>
      <c r="AG1641" s="11">
        <f>CodePrefix&amp;$A1641&amp;IF($C1641="","","."&amp;$C1641&amp;"."&amp;$B1641)&amp;INDEX(VarEnd,MATCH($A1641,VarKey,0))&amp;AG$5</f>
        <v/>
      </c>
      <c r="AH1641" s="43">
        <f>AH1596*Settings!$C$13*(AH1560)</f>
        <v/>
      </c>
      <c r="AI1641" s="44">
        <f>AI1596*Settings!$C$13*(AI1560)</f>
        <v/>
      </c>
      <c r="AJ1641" s="44">
        <f>AJ1596*Settings!$C$13*(AJ1560)</f>
        <v/>
      </c>
      <c r="AK1641" s="44">
        <f>AK1596*Settings!$C$13*(AK1560)</f>
        <v/>
      </c>
      <c r="AL1641" s="44">
        <f>AL1596*Settings!$C$13*(AL1560)</f>
        <v/>
      </c>
      <c r="AM1641" s="44">
        <f>AM1596*Settings!$C$13*(AM1560)</f>
        <v/>
      </c>
      <c r="AN1641" s="44">
        <f>AN1596*Settings!$C$13*(AN1560)</f>
        <v/>
      </c>
      <c r="AO1641" s="44">
        <f>AO1596*Settings!$C$13*(AO1560)</f>
        <v/>
      </c>
      <c r="AP1641" s="44">
        <f>AP1596*Settings!$C$13*(AP1560)</f>
        <v/>
      </c>
      <c r="AQ1641" s="44">
        <f>AQ1596*Settings!$C$13*(AQ1560)</f>
        <v/>
      </c>
      <c r="AR1641" s="44">
        <f>AR1596*Settings!$C$13*(AR1560)</f>
        <v/>
      </c>
      <c r="AS1641" s="44">
        <f>AS1596*Settings!$C$13*(AS1560)</f>
        <v/>
      </c>
      <c r="AT1641" s="44">
        <f>AT1596*Settings!$C$13*(AT1560)</f>
        <v/>
      </c>
      <c r="AU1641" s="44">
        <f>AU1596*Settings!$C$13*(AU1560)</f>
        <v/>
      </c>
      <c r="AV1641" s="44">
        <f>AV1596*Settings!$C$13*(AV1560)</f>
        <v/>
      </c>
      <c r="AW1641" s="44">
        <f>AW1596*Settings!$C$13*(AW1560)</f>
        <v/>
      </c>
      <c r="AX1641" s="44">
        <f>AX1596*Settings!$C$13*(AX1560)</f>
        <v/>
      </c>
      <c r="AY1641" s="44">
        <f>AY1596*Settings!$C$13*(AY1560)</f>
        <v/>
      </c>
      <c r="AZ1641" s="44">
        <f>AZ1596*Settings!$C$13*(AZ1560)</f>
        <v/>
      </c>
      <c r="BA1641" s="57">
        <f>REVENUE(BA1596,Settings!$C$13,BA1560)</f>
        <v/>
      </c>
    </row>
    <row r="1642" hidden="1" outlineLevel="2">
      <c r="A1642" s="14" t="inlineStr">
        <is>
          <t>rxcp</t>
        </is>
      </c>
      <c r="B1642" s="14" t="inlineStr">
        <is>
          <t>die</t>
        </is>
      </c>
      <c r="C1642" s="14" t="inlineStr">
        <is>
          <t>res</t>
        </is>
      </c>
      <c r="D1642" s="39" t="n"/>
      <c r="E1642" s="39" t="n"/>
      <c r="F1642" s="39" t="n"/>
      <c r="G1642" s="39" t="n"/>
      <c r="H1642" s="14">
        <f>INDEX(VarLab,MATCH($A1642,VarKey,0))&amp;INDEX(MemLab,MATCH($C1642&amp;"|"&amp;$B1642,MemKey,0))</f>
        <v/>
      </c>
      <c r="I1642" s="14">
        <f>INDEX(VarUnit,MATCH($A1642,VarKey,0))</f>
        <v/>
      </c>
      <c r="J1642" s="14">
        <f>INDEX(VarSrc,MATCH($A1642,VarKey,0))</f>
        <v/>
      </c>
      <c r="K1642" s="11">
        <f>CodePrefix&amp;$A1642&amp;IF($C1642="","","."&amp;$C1642&amp;"."&amp;$B1642)&amp;INDEX(VarEnd,MATCH($A1642,VarKey,0))&amp;K$5</f>
        <v/>
      </c>
      <c r="L1642" s="43">
        <f>L1597*Settings!$C$13*(L1561)</f>
        <v/>
      </c>
      <c r="M1642" s="44">
        <f>M1597*Settings!$C$13*(M1561)</f>
        <v/>
      </c>
      <c r="N1642" s="44">
        <f>N1597*Settings!$C$13*(N1561)</f>
        <v/>
      </c>
      <c r="O1642" s="44">
        <f>O1597*Settings!$C$13*(O1561)</f>
        <v/>
      </c>
      <c r="P1642" s="44">
        <f>P1597*Settings!$C$13*(P1561)</f>
        <v/>
      </c>
      <c r="Q1642" s="44">
        <f>Q1597*Settings!$C$13*(Q1561)</f>
        <v/>
      </c>
      <c r="R1642" s="44">
        <f>R1597*Settings!$C$13*(R1561)</f>
        <v/>
      </c>
      <c r="S1642" s="44">
        <f>S1597*Settings!$C$13*(S1561)</f>
        <v/>
      </c>
      <c r="T1642" s="44">
        <f>T1597*Settings!$C$13*(T1561)</f>
        <v/>
      </c>
      <c r="U1642" s="44">
        <f>U1597*Settings!$C$13*(U1561)</f>
        <v/>
      </c>
      <c r="V1642" s="44">
        <f>V1597*Settings!$C$13*(V1561)</f>
        <v/>
      </c>
      <c r="W1642" s="44">
        <f>W1597*Settings!$C$13*(W1561)</f>
        <v/>
      </c>
      <c r="X1642" s="44">
        <f>X1597*Settings!$C$13*(X1561)</f>
        <v/>
      </c>
      <c r="Y1642" s="44">
        <f>Y1597*Settings!$C$13*(Y1561)</f>
        <v/>
      </c>
      <c r="Z1642" s="44">
        <f>Z1597*Settings!$C$13*(Z1561)</f>
        <v/>
      </c>
      <c r="AA1642" s="44">
        <f>AA1597*Settings!$C$13*(AA1561)</f>
        <v/>
      </c>
      <c r="AB1642" s="44">
        <f>AB1597*Settings!$C$13*(AB1561)</f>
        <v/>
      </c>
      <c r="AC1642" s="44">
        <f>AC1597*Settings!$C$13*(AC1561)</f>
        <v/>
      </c>
      <c r="AD1642" s="44">
        <f>AD1597*Settings!$C$13*(AD1561)</f>
        <v/>
      </c>
      <c r="AE1642" s="57">
        <f>REVENUE(AE1597,Settings!$C$13,AE1561)</f>
        <v/>
      </c>
      <c r="AG1642" s="11">
        <f>CodePrefix&amp;$A1642&amp;IF($C1642="","","."&amp;$C1642&amp;"."&amp;$B1642)&amp;INDEX(VarEnd,MATCH($A1642,VarKey,0))&amp;AG$5</f>
        <v/>
      </c>
      <c r="AH1642" s="43">
        <f>AH1597*Settings!$C$13*(AH1561)</f>
        <v/>
      </c>
      <c r="AI1642" s="44">
        <f>AI1597*Settings!$C$13*(AI1561)</f>
        <v/>
      </c>
      <c r="AJ1642" s="44">
        <f>AJ1597*Settings!$C$13*(AJ1561)</f>
        <v/>
      </c>
      <c r="AK1642" s="44">
        <f>AK1597*Settings!$C$13*(AK1561)</f>
        <v/>
      </c>
      <c r="AL1642" s="44">
        <f>AL1597*Settings!$C$13*(AL1561)</f>
        <v/>
      </c>
      <c r="AM1642" s="44">
        <f>AM1597*Settings!$C$13*(AM1561)</f>
        <v/>
      </c>
      <c r="AN1642" s="44">
        <f>AN1597*Settings!$C$13*(AN1561)</f>
        <v/>
      </c>
      <c r="AO1642" s="44">
        <f>AO1597*Settings!$C$13*(AO1561)</f>
        <v/>
      </c>
      <c r="AP1642" s="44">
        <f>AP1597*Settings!$C$13*(AP1561)</f>
        <v/>
      </c>
      <c r="AQ1642" s="44">
        <f>AQ1597*Settings!$C$13*(AQ1561)</f>
        <v/>
      </c>
      <c r="AR1642" s="44">
        <f>AR1597*Settings!$C$13*(AR1561)</f>
        <v/>
      </c>
      <c r="AS1642" s="44">
        <f>AS1597*Settings!$C$13*(AS1561)</f>
        <v/>
      </c>
      <c r="AT1642" s="44">
        <f>AT1597*Settings!$C$13*(AT1561)</f>
        <v/>
      </c>
      <c r="AU1642" s="44">
        <f>AU1597*Settings!$C$13*(AU1561)</f>
        <v/>
      </c>
      <c r="AV1642" s="44">
        <f>AV1597*Settings!$C$13*(AV1561)</f>
        <v/>
      </c>
      <c r="AW1642" s="44">
        <f>AW1597*Settings!$C$13*(AW1561)</f>
        <v/>
      </c>
      <c r="AX1642" s="44">
        <f>AX1597*Settings!$C$13*(AX1561)</f>
        <v/>
      </c>
      <c r="AY1642" s="44">
        <f>AY1597*Settings!$C$13*(AY1561)</f>
        <v/>
      </c>
      <c r="AZ1642" s="44">
        <f>AZ1597*Settings!$C$13*(AZ1561)</f>
        <v/>
      </c>
      <c r="BA1642" s="57">
        <f>REVENUE(BA1597,Settings!$C$13,BA1561)</f>
        <v/>
      </c>
    </row>
    <row r="1643" hidden="1" outlineLevel="2">
      <c r="A1643" s="14" t="inlineStr">
        <is>
          <t>rxcp</t>
        </is>
      </c>
      <c r="B1643" s="14" t="inlineStr">
        <is>
          <t>lpg</t>
        </is>
      </c>
      <c r="C1643" s="14" t="inlineStr">
        <is>
          <t>res</t>
        </is>
      </c>
      <c r="D1643" s="39" t="n"/>
      <c r="E1643" s="39" t="n"/>
      <c r="F1643" s="39" t="n"/>
      <c r="G1643" s="39" t="n"/>
      <c r="H1643" s="14">
        <f>INDEX(VarLab,MATCH($A1643,VarKey,0))&amp;INDEX(MemLab,MATCH($C1643&amp;"|"&amp;$B1643,MemKey,0))</f>
        <v/>
      </c>
      <c r="I1643" s="14">
        <f>INDEX(VarUnit,MATCH($A1643,VarKey,0))</f>
        <v/>
      </c>
      <c r="J1643" s="14">
        <f>INDEX(VarSrc,MATCH($A1643,VarKey,0))</f>
        <v/>
      </c>
      <c r="K1643" s="11">
        <f>CodePrefix&amp;$A1643&amp;IF($C1643="","","."&amp;$C1643&amp;"."&amp;$B1643)&amp;INDEX(VarEnd,MATCH($A1643,VarKey,0))&amp;K$5</f>
        <v/>
      </c>
      <c r="L1643" s="43">
        <f>L1598*Settings!$C$13*(L1562)</f>
        <v/>
      </c>
      <c r="M1643" s="44">
        <f>M1598*Settings!$C$13*(M1562)</f>
        <v/>
      </c>
      <c r="N1643" s="44">
        <f>N1598*Settings!$C$13*(N1562)</f>
        <v/>
      </c>
      <c r="O1643" s="44">
        <f>O1598*Settings!$C$13*(O1562)</f>
        <v/>
      </c>
      <c r="P1643" s="44">
        <f>P1598*Settings!$C$13*(P1562)</f>
        <v/>
      </c>
      <c r="Q1643" s="44">
        <f>Q1598*Settings!$C$13*(Q1562)</f>
        <v/>
      </c>
      <c r="R1643" s="44">
        <f>R1598*Settings!$C$13*(R1562)</f>
        <v/>
      </c>
      <c r="S1643" s="44">
        <f>S1598*Settings!$C$13*(S1562)</f>
        <v/>
      </c>
      <c r="T1643" s="44">
        <f>T1598*Settings!$C$13*(T1562)</f>
        <v/>
      </c>
      <c r="U1643" s="44">
        <f>U1598*Settings!$C$13*(U1562)</f>
        <v/>
      </c>
      <c r="V1643" s="44">
        <f>V1598*Settings!$C$13*(V1562)</f>
        <v/>
      </c>
      <c r="W1643" s="44">
        <f>W1598*Settings!$C$13*(W1562)</f>
        <v/>
      </c>
      <c r="X1643" s="44">
        <f>X1598*Settings!$C$13*(X1562)</f>
        <v/>
      </c>
      <c r="Y1643" s="44">
        <f>Y1598*Settings!$C$13*(Y1562)</f>
        <v/>
      </c>
      <c r="Z1643" s="44">
        <f>Z1598*Settings!$C$13*(Z1562)</f>
        <v/>
      </c>
      <c r="AA1643" s="44">
        <f>AA1598*Settings!$C$13*(AA1562)</f>
        <v/>
      </c>
      <c r="AB1643" s="44">
        <f>AB1598*Settings!$C$13*(AB1562)</f>
        <v/>
      </c>
      <c r="AC1643" s="44">
        <f>AC1598*Settings!$C$13*(AC1562)</f>
        <v/>
      </c>
      <c r="AD1643" s="44">
        <f>AD1598*Settings!$C$13*(AD1562)</f>
        <v/>
      </c>
      <c r="AE1643" s="57">
        <f>REVENUE(AE1598,Settings!$C$13,AE1562)</f>
        <v/>
      </c>
      <c r="AG1643" s="11">
        <f>CodePrefix&amp;$A1643&amp;IF($C1643="","","."&amp;$C1643&amp;"."&amp;$B1643)&amp;INDEX(VarEnd,MATCH($A1643,VarKey,0))&amp;AG$5</f>
        <v/>
      </c>
      <c r="AH1643" s="43">
        <f>AH1598*Settings!$C$13*(AH1562)</f>
        <v/>
      </c>
      <c r="AI1643" s="44">
        <f>AI1598*Settings!$C$13*(AI1562)</f>
        <v/>
      </c>
      <c r="AJ1643" s="44">
        <f>AJ1598*Settings!$C$13*(AJ1562)</f>
        <v/>
      </c>
      <c r="AK1643" s="44">
        <f>AK1598*Settings!$C$13*(AK1562)</f>
        <v/>
      </c>
      <c r="AL1643" s="44">
        <f>AL1598*Settings!$C$13*(AL1562)</f>
        <v/>
      </c>
      <c r="AM1643" s="44">
        <f>AM1598*Settings!$C$13*(AM1562)</f>
        <v/>
      </c>
      <c r="AN1643" s="44">
        <f>AN1598*Settings!$C$13*(AN1562)</f>
        <v/>
      </c>
      <c r="AO1643" s="44">
        <f>AO1598*Settings!$C$13*(AO1562)</f>
        <v/>
      </c>
      <c r="AP1643" s="44">
        <f>AP1598*Settings!$C$13*(AP1562)</f>
        <v/>
      </c>
      <c r="AQ1643" s="44">
        <f>AQ1598*Settings!$C$13*(AQ1562)</f>
        <v/>
      </c>
      <c r="AR1643" s="44">
        <f>AR1598*Settings!$C$13*(AR1562)</f>
        <v/>
      </c>
      <c r="AS1643" s="44">
        <f>AS1598*Settings!$C$13*(AS1562)</f>
        <v/>
      </c>
      <c r="AT1643" s="44">
        <f>AT1598*Settings!$C$13*(AT1562)</f>
        <v/>
      </c>
      <c r="AU1643" s="44">
        <f>AU1598*Settings!$C$13*(AU1562)</f>
        <v/>
      </c>
      <c r="AV1643" s="44">
        <f>AV1598*Settings!$C$13*(AV1562)</f>
        <v/>
      </c>
      <c r="AW1643" s="44">
        <f>AW1598*Settings!$C$13*(AW1562)</f>
        <v/>
      </c>
      <c r="AX1643" s="44">
        <f>AX1598*Settings!$C$13*(AX1562)</f>
        <v/>
      </c>
      <c r="AY1643" s="44">
        <f>AY1598*Settings!$C$13*(AY1562)</f>
        <v/>
      </c>
      <c r="AZ1643" s="44">
        <f>AZ1598*Settings!$C$13*(AZ1562)</f>
        <v/>
      </c>
      <c r="BA1643" s="57">
        <f>REVENUE(BA1598,Settings!$C$13,BA1562)</f>
        <v/>
      </c>
    </row>
    <row r="1644" hidden="1" outlineLevel="2">
      <c r="A1644" s="14" t="inlineStr">
        <is>
          <t>rxcp</t>
        </is>
      </c>
      <c r="B1644" s="14" t="inlineStr">
        <is>
          <t>ker</t>
        </is>
      </c>
      <c r="C1644" s="14" t="inlineStr">
        <is>
          <t>res</t>
        </is>
      </c>
      <c r="D1644" s="39" t="n"/>
      <c r="E1644" s="39" t="n"/>
      <c r="F1644" s="39" t="n"/>
      <c r="G1644" s="39" t="n"/>
      <c r="H1644" s="14">
        <f>INDEX(VarLab,MATCH($A1644,VarKey,0))&amp;INDEX(MemLab,MATCH($C1644&amp;"|"&amp;$B1644,MemKey,0))</f>
        <v/>
      </c>
      <c r="I1644" s="14">
        <f>INDEX(VarUnit,MATCH($A1644,VarKey,0))</f>
        <v/>
      </c>
      <c r="J1644" s="14">
        <f>INDEX(VarSrc,MATCH($A1644,VarKey,0))</f>
        <v/>
      </c>
      <c r="K1644" s="11">
        <f>CodePrefix&amp;$A1644&amp;IF($C1644="","","."&amp;$C1644&amp;"."&amp;$B1644)&amp;INDEX(VarEnd,MATCH($A1644,VarKey,0))&amp;K$5</f>
        <v/>
      </c>
      <c r="L1644" s="43">
        <f>L1599*Settings!$C$13*(L1563)</f>
        <v/>
      </c>
      <c r="M1644" s="44">
        <f>M1599*Settings!$C$13*(M1563)</f>
        <v/>
      </c>
      <c r="N1644" s="44">
        <f>N1599*Settings!$C$13*(N1563)</f>
        <v/>
      </c>
      <c r="O1644" s="44">
        <f>O1599*Settings!$C$13*(O1563)</f>
        <v/>
      </c>
      <c r="P1644" s="44">
        <f>P1599*Settings!$C$13*(P1563)</f>
        <v/>
      </c>
      <c r="Q1644" s="44">
        <f>Q1599*Settings!$C$13*(Q1563)</f>
        <v/>
      </c>
      <c r="R1644" s="44">
        <f>R1599*Settings!$C$13*(R1563)</f>
        <v/>
      </c>
      <c r="S1644" s="44">
        <f>S1599*Settings!$C$13*(S1563)</f>
        <v/>
      </c>
      <c r="T1644" s="44">
        <f>T1599*Settings!$C$13*(T1563)</f>
        <v/>
      </c>
      <c r="U1644" s="44">
        <f>U1599*Settings!$C$13*(U1563)</f>
        <v/>
      </c>
      <c r="V1644" s="44">
        <f>V1599*Settings!$C$13*(V1563)</f>
        <v/>
      </c>
      <c r="W1644" s="44">
        <f>W1599*Settings!$C$13*(W1563)</f>
        <v/>
      </c>
      <c r="X1644" s="44">
        <f>X1599*Settings!$C$13*(X1563)</f>
        <v/>
      </c>
      <c r="Y1644" s="44">
        <f>Y1599*Settings!$C$13*(Y1563)</f>
        <v/>
      </c>
      <c r="Z1644" s="44">
        <f>Z1599*Settings!$C$13*(Z1563)</f>
        <v/>
      </c>
      <c r="AA1644" s="44">
        <f>AA1599*Settings!$C$13*(AA1563)</f>
        <v/>
      </c>
      <c r="AB1644" s="44">
        <f>AB1599*Settings!$C$13*(AB1563)</f>
        <v/>
      </c>
      <c r="AC1644" s="44">
        <f>AC1599*Settings!$C$13*(AC1563)</f>
        <v/>
      </c>
      <c r="AD1644" s="44">
        <f>AD1599*Settings!$C$13*(AD1563)</f>
        <v/>
      </c>
      <c r="AE1644" s="57">
        <f>REVENUE(AE1599,Settings!$C$13,AE1563)</f>
        <v/>
      </c>
      <c r="AG1644" s="11">
        <f>CodePrefix&amp;$A1644&amp;IF($C1644="","","."&amp;$C1644&amp;"."&amp;$B1644)&amp;INDEX(VarEnd,MATCH($A1644,VarKey,0))&amp;AG$5</f>
        <v/>
      </c>
      <c r="AH1644" s="43">
        <f>AH1599*Settings!$C$13*(AH1563)</f>
        <v/>
      </c>
      <c r="AI1644" s="44">
        <f>AI1599*Settings!$C$13*(AI1563)</f>
        <v/>
      </c>
      <c r="AJ1644" s="44">
        <f>AJ1599*Settings!$C$13*(AJ1563)</f>
        <v/>
      </c>
      <c r="AK1644" s="44">
        <f>AK1599*Settings!$C$13*(AK1563)</f>
        <v/>
      </c>
      <c r="AL1644" s="44">
        <f>AL1599*Settings!$C$13*(AL1563)</f>
        <v/>
      </c>
      <c r="AM1644" s="44">
        <f>AM1599*Settings!$C$13*(AM1563)</f>
        <v/>
      </c>
      <c r="AN1644" s="44">
        <f>AN1599*Settings!$C$13*(AN1563)</f>
        <v/>
      </c>
      <c r="AO1644" s="44">
        <f>AO1599*Settings!$C$13*(AO1563)</f>
        <v/>
      </c>
      <c r="AP1644" s="44">
        <f>AP1599*Settings!$C$13*(AP1563)</f>
        <v/>
      </c>
      <c r="AQ1644" s="44">
        <f>AQ1599*Settings!$C$13*(AQ1563)</f>
        <v/>
      </c>
      <c r="AR1644" s="44">
        <f>AR1599*Settings!$C$13*(AR1563)</f>
        <v/>
      </c>
      <c r="AS1644" s="44">
        <f>AS1599*Settings!$C$13*(AS1563)</f>
        <v/>
      </c>
      <c r="AT1644" s="44">
        <f>AT1599*Settings!$C$13*(AT1563)</f>
        <v/>
      </c>
      <c r="AU1644" s="44">
        <f>AU1599*Settings!$C$13*(AU1563)</f>
        <v/>
      </c>
      <c r="AV1644" s="44">
        <f>AV1599*Settings!$C$13*(AV1563)</f>
        <v/>
      </c>
      <c r="AW1644" s="44">
        <f>AW1599*Settings!$C$13*(AW1563)</f>
        <v/>
      </c>
      <c r="AX1644" s="44">
        <f>AX1599*Settings!$C$13*(AX1563)</f>
        <v/>
      </c>
      <c r="AY1644" s="44">
        <f>AY1599*Settings!$C$13*(AY1563)</f>
        <v/>
      </c>
      <c r="AZ1644" s="44">
        <f>AZ1599*Settings!$C$13*(AZ1563)</f>
        <v/>
      </c>
      <c r="BA1644" s="57">
        <f>REVENUE(BA1599,Settings!$C$13,BA1563)</f>
        <v/>
      </c>
    </row>
    <row r="1645" hidden="1" outlineLevel="2">
      <c r="A1645" s="14" t="inlineStr">
        <is>
          <t>rxcp</t>
        </is>
      </c>
      <c r="B1645" s="14" t="inlineStr">
        <is>
          <t>oop</t>
        </is>
      </c>
      <c r="C1645" s="14" t="inlineStr">
        <is>
          <t>res</t>
        </is>
      </c>
      <c r="D1645" s="39" t="n"/>
      <c r="E1645" s="39" t="n"/>
      <c r="F1645" s="39" t="n"/>
      <c r="G1645" s="39" t="n"/>
      <c r="H1645" s="14">
        <f>INDEX(VarLab,MATCH($A1645,VarKey,0))&amp;INDEX(MemLab,MATCH($C1645&amp;"|"&amp;$B1645,MemKey,0))</f>
        <v/>
      </c>
      <c r="I1645" s="14">
        <f>INDEX(VarUnit,MATCH($A1645,VarKey,0))</f>
        <v/>
      </c>
      <c r="J1645" s="14">
        <f>INDEX(VarSrc,MATCH($A1645,VarKey,0))</f>
        <v/>
      </c>
      <c r="K1645" s="11">
        <f>CodePrefix&amp;$A1645&amp;IF($C1645="","","."&amp;$C1645&amp;"."&amp;$B1645)&amp;INDEX(VarEnd,MATCH($A1645,VarKey,0))&amp;K$5</f>
        <v/>
      </c>
      <c r="L1645" s="43">
        <f>L1600*Settings!$C$13*(L1564)</f>
        <v/>
      </c>
      <c r="M1645" s="44">
        <f>M1600*Settings!$C$13*(M1564)</f>
        <v/>
      </c>
      <c r="N1645" s="44">
        <f>N1600*Settings!$C$13*(N1564)</f>
        <v/>
      </c>
      <c r="O1645" s="44">
        <f>O1600*Settings!$C$13*(O1564)</f>
        <v/>
      </c>
      <c r="P1645" s="44">
        <f>P1600*Settings!$C$13*(P1564)</f>
        <v/>
      </c>
      <c r="Q1645" s="44">
        <f>Q1600*Settings!$C$13*(Q1564)</f>
        <v/>
      </c>
      <c r="R1645" s="44">
        <f>R1600*Settings!$C$13*(R1564)</f>
        <v/>
      </c>
      <c r="S1645" s="44">
        <f>S1600*Settings!$C$13*(S1564)</f>
        <v/>
      </c>
      <c r="T1645" s="44">
        <f>T1600*Settings!$C$13*(T1564)</f>
        <v/>
      </c>
      <c r="U1645" s="44">
        <f>U1600*Settings!$C$13*(U1564)</f>
        <v/>
      </c>
      <c r="V1645" s="44">
        <f>V1600*Settings!$C$13*(V1564)</f>
        <v/>
      </c>
      <c r="W1645" s="44">
        <f>W1600*Settings!$C$13*(W1564)</f>
        <v/>
      </c>
      <c r="X1645" s="44">
        <f>X1600*Settings!$C$13*(X1564)</f>
        <v/>
      </c>
      <c r="Y1645" s="44">
        <f>Y1600*Settings!$C$13*(Y1564)</f>
        <v/>
      </c>
      <c r="Z1645" s="44">
        <f>Z1600*Settings!$C$13*(Z1564)</f>
        <v/>
      </c>
      <c r="AA1645" s="44">
        <f>AA1600*Settings!$C$13*(AA1564)</f>
        <v/>
      </c>
      <c r="AB1645" s="44">
        <f>AB1600*Settings!$C$13*(AB1564)</f>
        <v/>
      </c>
      <c r="AC1645" s="44">
        <f>AC1600*Settings!$C$13*(AC1564)</f>
        <v/>
      </c>
      <c r="AD1645" s="44">
        <f>AD1600*Settings!$C$13*(AD1564)</f>
        <v/>
      </c>
      <c r="AE1645" s="57">
        <f>REVENUE(AE1600,Settings!$C$13,AE1564)</f>
        <v/>
      </c>
      <c r="AG1645" s="11">
        <f>CodePrefix&amp;$A1645&amp;IF($C1645="","","."&amp;$C1645&amp;"."&amp;$B1645)&amp;INDEX(VarEnd,MATCH($A1645,VarKey,0))&amp;AG$5</f>
        <v/>
      </c>
      <c r="AH1645" s="43">
        <f>AH1600*Settings!$C$13*(AH1564)</f>
        <v/>
      </c>
      <c r="AI1645" s="44">
        <f>AI1600*Settings!$C$13*(AI1564)</f>
        <v/>
      </c>
      <c r="AJ1645" s="44">
        <f>AJ1600*Settings!$C$13*(AJ1564)</f>
        <v/>
      </c>
      <c r="AK1645" s="44">
        <f>AK1600*Settings!$C$13*(AK1564)</f>
        <v/>
      </c>
      <c r="AL1645" s="44">
        <f>AL1600*Settings!$C$13*(AL1564)</f>
        <v/>
      </c>
      <c r="AM1645" s="44">
        <f>AM1600*Settings!$C$13*(AM1564)</f>
        <v/>
      </c>
      <c r="AN1645" s="44">
        <f>AN1600*Settings!$C$13*(AN1564)</f>
        <v/>
      </c>
      <c r="AO1645" s="44">
        <f>AO1600*Settings!$C$13*(AO1564)</f>
        <v/>
      </c>
      <c r="AP1645" s="44">
        <f>AP1600*Settings!$C$13*(AP1564)</f>
        <v/>
      </c>
      <c r="AQ1645" s="44">
        <f>AQ1600*Settings!$C$13*(AQ1564)</f>
        <v/>
      </c>
      <c r="AR1645" s="44">
        <f>AR1600*Settings!$C$13*(AR1564)</f>
        <v/>
      </c>
      <c r="AS1645" s="44">
        <f>AS1600*Settings!$C$13*(AS1564)</f>
        <v/>
      </c>
      <c r="AT1645" s="44">
        <f>AT1600*Settings!$C$13*(AT1564)</f>
        <v/>
      </c>
      <c r="AU1645" s="44">
        <f>AU1600*Settings!$C$13*(AU1564)</f>
        <v/>
      </c>
      <c r="AV1645" s="44">
        <f>AV1600*Settings!$C$13*(AV1564)</f>
        <v/>
      </c>
      <c r="AW1645" s="44">
        <f>AW1600*Settings!$C$13*(AW1564)</f>
        <v/>
      </c>
      <c r="AX1645" s="44">
        <f>AX1600*Settings!$C$13*(AX1564)</f>
        <v/>
      </c>
      <c r="AY1645" s="44">
        <f>AY1600*Settings!$C$13*(AY1564)</f>
        <v/>
      </c>
      <c r="AZ1645" s="44">
        <f>AZ1600*Settings!$C$13*(AZ1564)</f>
        <v/>
      </c>
      <c r="BA1645" s="57">
        <f>REVENUE(BA1600,Settings!$C$13,BA1564)</f>
        <v/>
      </c>
    </row>
    <row r="1646" hidden="1" outlineLevel="2">
      <c r="A1646" s="14" t="inlineStr">
        <is>
          <t>rxcp</t>
        </is>
      </c>
      <c r="B1646" s="14" t="inlineStr">
        <is>
          <t>bio</t>
        </is>
      </c>
      <c r="C1646" s="14" t="inlineStr">
        <is>
          <t>res</t>
        </is>
      </c>
      <c r="D1646" s="39" t="n"/>
      <c r="E1646" s="39" t="n"/>
      <c r="F1646" s="39" t="n"/>
      <c r="G1646" s="39" t="n"/>
      <c r="H1646" s="14">
        <f>INDEX(VarLab,MATCH($A1646,VarKey,0))&amp;INDEX(MemLab,MATCH($C1646&amp;"|"&amp;$B1646,MemKey,0))</f>
        <v/>
      </c>
      <c r="I1646" s="14">
        <f>INDEX(VarUnit,MATCH($A1646,VarKey,0))</f>
        <v/>
      </c>
      <c r="J1646" s="14">
        <f>INDEX(VarSrc,MATCH($A1646,VarKey,0))</f>
        <v/>
      </c>
      <c r="K1646" s="11">
        <f>CodePrefix&amp;$A1646&amp;IF($C1646="","","."&amp;$C1646&amp;"."&amp;$B1646)&amp;INDEX(VarEnd,MATCH($A1646,VarKey,0))&amp;K$5</f>
        <v/>
      </c>
      <c r="L1646" s="43">
        <f>L1601*Settings!$C$13*(L1565)</f>
        <v/>
      </c>
      <c r="M1646" s="44">
        <f>M1601*Settings!$C$13*(M1565)</f>
        <v/>
      </c>
      <c r="N1646" s="44">
        <f>N1601*Settings!$C$13*(N1565)</f>
        <v/>
      </c>
      <c r="O1646" s="44">
        <f>O1601*Settings!$C$13*(O1565)</f>
        <v/>
      </c>
      <c r="P1646" s="44">
        <f>P1601*Settings!$C$13*(P1565)</f>
        <v/>
      </c>
      <c r="Q1646" s="44">
        <f>Q1601*Settings!$C$13*(Q1565)</f>
        <v/>
      </c>
      <c r="R1646" s="44">
        <f>R1601*Settings!$C$13*(R1565)</f>
        <v/>
      </c>
      <c r="S1646" s="44">
        <f>S1601*Settings!$C$13*(S1565)</f>
        <v/>
      </c>
      <c r="T1646" s="44">
        <f>T1601*Settings!$C$13*(T1565)</f>
        <v/>
      </c>
      <c r="U1646" s="44">
        <f>U1601*Settings!$C$13*(U1565)</f>
        <v/>
      </c>
      <c r="V1646" s="44">
        <f>V1601*Settings!$C$13*(V1565)</f>
        <v/>
      </c>
      <c r="W1646" s="44">
        <f>W1601*Settings!$C$13*(W1565)</f>
        <v/>
      </c>
      <c r="X1646" s="44">
        <f>X1601*Settings!$C$13*(X1565)</f>
        <v/>
      </c>
      <c r="Y1646" s="44">
        <f>Y1601*Settings!$C$13*(Y1565)</f>
        <v/>
      </c>
      <c r="Z1646" s="44">
        <f>Z1601*Settings!$C$13*(Z1565)</f>
        <v/>
      </c>
      <c r="AA1646" s="44">
        <f>AA1601*Settings!$C$13*(AA1565)</f>
        <v/>
      </c>
      <c r="AB1646" s="44">
        <f>AB1601*Settings!$C$13*(AB1565)</f>
        <v/>
      </c>
      <c r="AC1646" s="44">
        <f>AC1601*Settings!$C$13*(AC1565)</f>
        <v/>
      </c>
      <c r="AD1646" s="44">
        <f>AD1601*Settings!$C$13*(AD1565)</f>
        <v/>
      </c>
      <c r="AE1646" s="57">
        <f>REVENUE(AE1601,Settings!$C$13,AE1565)</f>
        <v/>
      </c>
      <c r="AG1646" s="11">
        <f>CodePrefix&amp;$A1646&amp;IF($C1646="","","."&amp;$C1646&amp;"."&amp;$B1646)&amp;INDEX(VarEnd,MATCH($A1646,VarKey,0))&amp;AG$5</f>
        <v/>
      </c>
      <c r="AH1646" s="43">
        <f>AH1601*Settings!$C$13*(AH1565)</f>
        <v/>
      </c>
      <c r="AI1646" s="44">
        <f>AI1601*Settings!$C$13*(AI1565)</f>
        <v/>
      </c>
      <c r="AJ1646" s="44">
        <f>AJ1601*Settings!$C$13*(AJ1565)</f>
        <v/>
      </c>
      <c r="AK1646" s="44">
        <f>AK1601*Settings!$C$13*(AK1565)</f>
        <v/>
      </c>
      <c r="AL1646" s="44">
        <f>AL1601*Settings!$C$13*(AL1565)</f>
        <v/>
      </c>
      <c r="AM1646" s="44">
        <f>AM1601*Settings!$C$13*(AM1565)</f>
        <v/>
      </c>
      <c r="AN1646" s="44">
        <f>AN1601*Settings!$C$13*(AN1565)</f>
        <v/>
      </c>
      <c r="AO1646" s="44">
        <f>AO1601*Settings!$C$13*(AO1565)</f>
        <v/>
      </c>
      <c r="AP1646" s="44">
        <f>AP1601*Settings!$C$13*(AP1565)</f>
        <v/>
      </c>
      <c r="AQ1646" s="44">
        <f>AQ1601*Settings!$C$13*(AQ1565)</f>
        <v/>
      </c>
      <c r="AR1646" s="44">
        <f>AR1601*Settings!$C$13*(AR1565)</f>
        <v/>
      </c>
      <c r="AS1646" s="44">
        <f>AS1601*Settings!$C$13*(AS1565)</f>
        <v/>
      </c>
      <c r="AT1646" s="44">
        <f>AT1601*Settings!$C$13*(AT1565)</f>
        <v/>
      </c>
      <c r="AU1646" s="44">
        <f>AU1601*Settings!$C$13*(AU1565)</f>
        <v/>
      </c>
      <c r="AV1646" s="44">
        <f>AV1601*Settings!$C$13*(AV1565)</f>
        <v/>
      </c>
      <c r="AW1646" s="44">
        <f>AW1601*Settings!$C$13*(AW1565)</f>
        <v/>
      </c>
      <c r="AX1646" s="44">
        <f>AX1601*Settings!$C$13*(AX1565)</f>
        <v/>
      </c>
      <c r="AY1646" s="44">
        <f>AY1601*Settings!$C$13*(AY1565)</f>
        <v/>
      </c>
      <c r="AZ1646" s="44">
        <f>AZ1601*Settings!$C$13*(AZ1565)</f>
        <v/>
      </c>
      <c r="BA1646" s="57">
        <f>REVENUE(BA1601,Settings!$C$13,BA1565)</f>
        <v/>
      </c>
    </row>
    <row r="1647" hidden="1" outlineLevel="2"/>
    <row r="1648" hidden="1" outlineLevel="1" collapsed="1">
      <c r="A1648" s="1" t="inlineStr">
        <is>
          <t>ener</t>
        </is>
      </c>
      <c r="B1648" s="1" t="inlineStr">
        <is>
          <t>all</t>
        </is>
      </c>
      <c r="C1648" s="1" t="inlineStr">
        <is>
          <t>foo</t>
        </is>
      </c>
      <c r="H1648" s="1">
        <f>INDEX(VarLab,MATCH($A1648,VarKey,0))&amp;INDEX(MemLab,MATCH($C1648&amp;"|"&amp;$B1648,MemKey,0))</f>
        <v/>
      </c>
      <c r="I1648" s="1">
        <f>INDEX(VarUnit,MATCH($A1648,VarKey,0))</f>
        <v/>
      </c>
      <c r="J1648" s="1">
        <f>INDEX(VarSrc,MATCH($A1648,VarKey,0))</f>
        <v/>
      </c>
      <c r="K1648" s="17">
        <f>CodePrefix&amp;$A1648&amp;IF($C1648="","","."&amp;$C1648&amp;"."&amp;$B1648)&amp;INDEX(VarEnd,MATCH($A1648,VarKey,0))&amp;K$5</f>
        <v/>
      </c>
      <c r="L1648" s="68">
        <f>SUM(L1722:L1729)</f>
        <v/>
      </c>
      <c r="M1648" s="69">
        <f>SUM(M1722:M1729)</f>
        <v/>
      </c>
      <c r="N1648" s="69">
        <f>SUM(N1722:N1729)</f>
        <v/>
      </c>
      <c r="O1648" s="69">
        <f>SUM(O1722:O1729)</f>
        <v/>
      </c>
      <c r="P1648" s="69">
        <f>SUM(P1722:P1729)</f>
        <v/>
      </c>
      <c r="Q1648" s="69">
        <f>SUM(Q1722:Q1729)</f>
        <v/>
      </c>
      <c r="R1648" s="69">
        <f>SUM(R1722:R1729)</f>
        <v/>
      </c>
      <c r="S1648" s="69">
        <f>SUM(S1722:S1729)</f>
        <v/>
      </c>
      <c r="T1648" s="69">
        <f>SUM(T1722:T1729)</f>
        <v/>
      </c>
      <c r="U1648" s="69">
        <f>SUM(U1722:U1729)</f>
        <v/>
      </c>
      <c r="V1648" s="69">
        <f>SUM(V1722:V1729)</f>
        <v/>
      </c>
      <c r="W1648" s="69">
        <f>SUM(W1722:W1729)</f>
        <v/>
      </c>
      <c r="X1648" s="69">
        <f>SUM(X1722:X1729)</f>
        <v/>
      </c>
      <c r="Y1648" s="69">
        <f>SUM(Y1722:Y1729)</f>
        <v/>
      </c>
      <c r="Z1648" s="69">
        <f>SUM(Z1722:Z1729)</f>
        <v/>
      </c>
      <c r="AA1648" s="69">
        <f>SUM(AA1722:AA1729)</f>
        <v/>
      </c>
      <c r="AB1648" s="69">
        <f>SUM(AB1722:AB1729)</f>
        <v/>
      </c>
      <c r="AC1648" s="69">
        <f>SUM(AC1722:AC1729)</f>
        <v/>
      </c>
      <c r="AD1648" s="69">
        <f>SUM(AD1722:AD1729)</f>
        <v/>
      </c>
      <c r="AE1648" s="69">
        <f>SUM(AE1722:AE1729)</f>
        <v/>
      </c>
      <c r="AG1648" s="17">
        <f>CodePrefix&amp;$A1648&amp;IF($C1648="","","."&amp;$C1648&amp;"."&amp;$B1648)&amp;INDEX(VarEnd,MATCH($A1648,VarKey,0))&amp;AG$5</f>
        <v/>
      </c>
      <c r="AH1648" s="68">
        <f>SUM(AH1722:AH1729)</f>
        <v/>
      </c>
      <c r="AI1648" s="69">
        <f>SUM(AI1722:AI1729)</f>
        <v/>
      </c>
      <c r="AJ1648" s="69">
        <f>SUM(AJ1722:AJ1729)</f>
        <v/>
      </c>
      <c r="AK1648" s="69">
        <f>SUM(AK1722:AK1729)</f>
        <v/>
      </c>
      <c r="AL1648" s="69">
        <f>SUM(AL1722:AL1729)</f>
        <v/>
      </c>
      <c r="AM1648" s="69">
        <f>SUM(AM1722:AM1729)</f>
        <v/>
      </c>
      <c r="AN1648" s="69">
        <f>SUM(AN1722:AN1729)</f>
        <v/>
      </c>
      <c r="AO1648" s="69">
        <f>SUM(AO1722:AO1729)</f>
        <v/>
      </c>
      <c r="AP1648" s="69">
        <f>SUM(AP1722:AP1729)</f>
        <v/>
      </c>
      <c r="AQ1648" s="69">
        <f>SUM(AQ1722:AQ1729)</f>
        <v/>
      </c>
      <c r="AR1648" s="69">
        <f>SUM(AR1722:AR1729)</f>
        <v/>
      </c>
      <c r="AS1648" s="69">
        <f>SUM(AS1722:AS1729)</f>
        <v/>
      </c>
      <c r="AT1648" s="69">
        <f>SUM(AT1722:AT1729)</f>
        <v/>
      </c>
      <c r="AU1648" s="69">
        <f>SUM(AU1722:AU1729)</f>
        <v/>
      </c>
      <c r="AV1648" s="69">
        <f>SUM(AV1722:AV1729)</f>
        <v/>
      </c>
      <c r="AW1648" s="69">
        <f>SUM(AW1722:AW1729)</f>
        <v/>
      </c>
      <c r="AX1648" s="69">
        <f>SUM(AX1722:AX1729)</f>
        <v/>
      </c>
      <c r="AY1648" s="69">
        <f>SUM(AY1722:AY1729)</f>
        <v/>
      </c>
      <c r="AZ1648" s="69">
        <f>SUM(AZ1722:AZ1729)</f>
        <v/>
      </c>
      <c r="BA1648" s="69">
        <f>SUM(BA1722:BA1729)</f>
        <v/>
      </c>
    </row>
    <row r="1649" hidden="1" outlineLevel="1">
      <c r="A1649" s="67" t="inlineStr">
        <is>
          <t>eldem</t>
        </is>
      </c>
      <c r="B1649" s="67" t="inlineStr">
        <is>
          <t>ecy</t>
        </is>
      </c>
      <c r="C1649" s="67" t="inlineStr">
        <is>
          <t>foo</t>
        </is>
      </c>
      <c r="H1649" s="67">
        <f>INDEX(VarLab,MATCH($A1649,VarKey,0))&amp;INDEX(MemLab,MATCH($C1649&amp;"|"&amp;$B1649,MemKey,0))</f>
        <v/>
      </c>
      <c r="I1649" s="67">
        <f>INDEX(VarUnit,MATCH($A1649,VarKey,0))</f>
        <v/>
      </c>
      <c r="J1649" s="67">
        <f>INDEX(VarSrc,MATCH($A1649,VarKey,0))</f>
        <v/>
      </c>
      <c r="K1649" s="70">
        <f>CodePrefix&amp;$A1649&amp;IF($C1649="","","."&amp;$C1649&amp;"."&amp;$B1649)&amp;INDEX(VarEnd,MATCH($A1649,VarKey,0))&amp;K$5</f>
        <v/>
      </c>
      <c r="L1649" s="71">
        <f>SUMIF($C$674:$C$688,$C1649,L$674:L$688)</f>
        <v/>
      </c>
      <c r="M1649" s="72">
        <f>SUMIF($C$674:$C$688,$C1649,M$674:M$688)</f>
        <v/>
      </c>
      <c r="N1649" s="72">
        <f>SUMIF($C$674:$C$688,$C1649,N$674:N$688)</f>
        <v/>
      </c>
      <c r="O1649" s="72">
        <f>SUMIF($C$674:$C$688,$C1649,O$674:O$688)</f>
        <v/>
      </c>
      <c r="P1649" s="72">
        <f>SUMIF($C$674:$C$688,$C1649,P$674:P$688)</f>
        <v/>
      </c>
      <c r="Q1649" s="72">
        <f>SUMIF($C$674:$C$688,$C1649,Q$674:Q$688)</f>
        <v/>
      </c>
      <c r="R1649" s="72">
        <f>SUMIF($C$674:$C$688,$C1649,R$674:R$688)</f>
        <v/>
      </c>
      <c r="S1649" s="72">
        <f>SUMIF($C$674:$C$688,$C1649,S$674:S$688)</f>
        <v/>
      </c>
      <c r="T1649" s="72">
        <f>SUMIF($C$674:$C$688,$C1649,T$674:T$688)</f>
        <v/>
      </c>
      <c r="U1649" s="72">
        <f>SUMIF($C$674:$C$688,$C1649,U$674:U$688)</f>
        <v/>
      </c>
      <c r="V1649" s="72">
        <f>SUMIF($C$674:$C$688,$C1649,V$674:V$688)</f>
        <v/>
      </c>
      <c r="W1649" s="72">
        <f>SUMIF($C$674:$C$688,$C1649,W$674:W$688)</f>
        <v/>
      </c>
      <c r="X1649" s="72">
        <f>SUMIF($C$674:$C$688,$C1649,X$674:X$688)</f>
        <v/>
      </c>
      <c r="Y1649" s="72">
        <f>SUMIF($C$674:$C$688,$C1649,Y$674:Y$688)</f>
        <v/>
      </c>
      <c r="Z1649" s="72">
        <f>SUMIF($C$674:$C$688,$C1649,Z$674:Z$688)</f>
        <v/>
      </c>
      <c r="AA1649" s="72">
        <f>SUMIF($C$674:$C$688,$C1649,AA$674:AA$688)</f>
        <v/>
      </c>
      <c r="AB1649" s="72">
        <f>SUMIF($C$674:$C$688,$C1649,AB$674:AB$688)</f>
        <v/>
      </c>
      <c r="AC1649" s="72">
        <f>SUMIF($C$674:$C$688,$C1649,AC$674:AC$688)</f>
        <v/>
      </c>
      <c r="AD1649" s="72">
        <f>SUMIF($C$674:$C$688,$C1649,AD$674:AD$688)</f>
        <v/>
      </c>
      <c r="AE1649" s="72">
        <f>SUMIF($C$674:$C$688,$C1649,AE$674:AE$688)</f>
        <v/>
      </c>
      <c r="AG1649" s="70">
        <f>CodePrefix&amp;$A1649&amp;IF($C1649="","","."&amp;$C1649&amp;"."&amp;$B1649)&amp;INDEX(VarEnd,MATCH($A1649,VarKey,0))&amp;AG$5</f>
        <v/>
      </c>
      <c r="AH1649" s="71">
        <f>SUMIF($C$674:$C$688,$C1649,AH$674:AH$688)</f>
        <v/>
      </c>
      <c r="AI1649" s="72">
        <f>SUMIF($C$674:$C$688,$C1649,AI$674:AI$688)</f>
        <v/>
      </c>
      <c r="AJ1649" s="72">
        <f>SUMIF($C$674:$C$688,$C1649,AJ$674:AJ$688)</f>
        <v/>
      </c>
      <c r="AK1649" s="72">
        <f>SUMIF($C$674:$C$688,$C1649,AK$674:AK$688)</f>
        <v/>
      </c>
      <c r="AL1649" s="72">
        <f>SUMIF($C$674:$C$688,$C1649,AL$674:AL$688)</f>
        <v/>
      </c>
      <c r="AM1649" s="72">
        <f>SUMIF($C$674:$C$688,$C1649,AM$674:AM$688)</f>
        <v/>
      </c>
      <c r="AN1649" s="72">
        <f>SUMIF($C$674:$C$688,$C1649,AN$674:AN$688)</f>
        <v/>
      </c>
      <c r="AO1649" s="72">
        <f>SUMIF($C$674:$C$688,$C1649,AO$674:AO$688)</f>
        <v/>
      </c>
      <c r="AP1649" s="72">
        <f>SUMIF($C$674:$C$688,$C1649,AP$674:AP$688)</f>
        <v/>
      </c>
      <c r="AQ1649" s="72">
        <f>SUMIF($C$674:$C$688,$C1649,AQ$674:AQ$688)</f>
        <v/>
      </c>
      <c r="AR1649" s="72">
        <f>SUMIF($C$674:$C$688,$C1649,AR$674:AR$688)</f>
        <v/>
      </c>
      <c r="AS1649" s="72">
        <f>SUMIF($C$674:$C$688,$C1649,AS$674:AS$688)</f>
        <v/>
      </c>
      <c r="AT1649" s="72">
        <f>SUMIF($C$674:$C$688,$C1649,AT$674:AT$688)</f>
        <v/>
      </c>
      <c r="AU1649" s="72">
        <f>SUMIF($C$674:$C$688,$C1649,AU$674:AU$688)</f>
        <v/>
      </c>
      <c r="AV1649" s="72">
        <f>SUMIF($C$674:$C$688,$C1649,AV$674:AV$688)</f>
        <v/>
      </c>
      <c r="AW1649" s="72">
        <f>SUMIF($C$674:$C$688,$C1649,AW$674:AW$688)</f>
        <v/>
      </c>
      <c r="AX1649" s="72">
        <f>SUMIF($C$674:$C$688,$C1649,AX$674:AX$688)</f>
        <v/>
      </c>
      <c r="AY1649" s="72">
        <f>SUMIF($C$674:$C$688,$C1649,AY$674:AY$688)</f>
        <v/>
      </c>
      <c r="AZ1649" s="72">
        <f>SUMIF($C$674:$C$688,$C1649,AZ$674:AZ$688)</f>
        <v/>
      </c>
      <c r="BA1649" s="72">
        <f>SUMIF($C$674:$C$688,$C1649,BA$674:BA$688)</f>
        <v/>
      </c>
    </row>
    <row r="1650" hidden="1" outlineLevel="2">
      <c r="A1650" s="14" t="inlineStr">
        <is>
          <t>ctxnew</t>
        </is>
      </c>
      <c r="B1650" s="14" t="inlineStr">
        <is>
          <t>coa</t>
        </is>
      </c>
      <c r="C1650" s="14" t="inlineStr">
        <is>
          <t>foo</t>
        </is>
      </c>
      <c r="D1650" s="35">
        <f>INDEX(Inputs!$W$5:$W$132,MATCH($B1650&amp;"|"&amp;$C1650,Inputs!$A$5:$A$132,0))</f>
        <v/>
      </c>
      <c r="E1650" s="35">
        <f>INDEX(Inputs!$L$5:$L$132,MATCH($B1650&amp;"|"&amp;$C1650,Inputs!$A$5:$A$132,0))</f>
        <v/>
      </c>
      <c r="F1650" s="35">
        <f>INDEX(Inputs!$M$5:$M$132,MATCH($B1650&amp;"|"&amp;$C1650,Inputs!$A$5:$A$132,0))</f>
        <v/>
      </c>
      <c r="G1650" s="39" t="n"/>
      <c r="H1650" s="14">
        <f>INDEX(VarLab,MATCH($A1650,VarKey,0))&amp;INDEX(MemLab,MATCH($C1650&amp;"|"&amp;$B1650,MemKey,0))</f>
        <v/>
      </c>
      <c r="I1650" s="14">
        <f>INDEX(VarUnit,MATCH($A1650,VarKey,0))</f>
        <v/>
      </c>
      <c r="J1650" s="14">
        <f>INDEX(VarSrc,MATCH($A1650,VarKey,0))</f>
        <v/>
      </c>
      <c r="K1650" s="11">
        <f>CodePrefix&amp;$A1650&amp;IF($C1650="","","."&amp;$C1650&amp;"."&amp;$B1650)&amp;INDEX(VarEnd,MATCH($A1650,VarKey,0))&amp;K$5</f>
        <v/>
      </c>
      <c r="L1650" s="40">
        <f>INDEX(L$263:L$279,$F1650)*$D1650*INDEX(L$23:L$30,$E1650)</f>
        <v/>
      </c>
      <c r="M1650" s="35">
        <f>INDEX(M$263:M$279,$F1650)*$D1650*INDEX(M$23:M$30,$E1650)</f>
        <v/>
      </c>
      <c r="N1650" s="35">
        <f>INDEX(N$263:N$279,$F1650)*$D1650*INDEX(N$23:N$30,$E1650)</f>
        <v/>
      </c>
      <c r="O1650" s="35">
        <f>INDEX(O$263:O$279,$F1650)*$D1650*INDEX(O$23:O$30,$E1650)</f>
        <v/>
      </c>
      <c r="P1650" s="35">
        <f>INDEX(P$263:P$279,$F1650)*$D1650*INDEX(P$23:P$30,$E1650)</f>
        <v/>
      </c>
      <c r="Q1650" s="35">
        <f>INDEX(Q$263:Q$279,$F1650)*$D1650*INDEX(Q$23:Q$30,$E1650)</f>
        <v/>
      </c>
      <c r="R1650" s="35">
        <f>INDEX(R$263:R$279,$F1650)*$D1650*INDEX(R$23:R$30,$E1650)</f>
        <v/>
      </c>
      <c r="S1650" s="35">
        <f>INDEX(S$263:S$279,$F1650)*$D1650*INDEX(S$23:S$30,$E1650)</f>
        <v/>
      </c>
      <c r="T1650" s="35">
        <f>INDEX(T$263:T$279,$F1650)*$D1650*INDEX(T$23:T$30,$E1650)</f>
        <v/>
      </c>
      <c r="U1650" s="35">
        <f>INDEX(U$263:U$279,$F1650)*$D1650*INDEX(U$23:U$30,$E1650)</f>
        <v/>
      </c>
      <c r="V1650" s="35">
        <f>INDEX(V$263:V$279,$F1650)*$D1650*INDEX(V$23:V$30,$E1650)</f>
        <v/>
      </c>
      <c r="W1650" s="35">
        <f>INDEX(W$263:W$279,$F1650)*$D1650*INDEX(W$23:W$30,$E1650)</f>
        <v/>
      </c>
      <c r="X1650" s="35">
        <f>INDEX(X$263:X$279,$F1650)*$D1650*INDEX(X$23:X$30,$E1650)</f>
        <v/>
      </c>
      <c r="Y1650" s="35">
        <f>INDEX(Y$263:Y$279,$F1650)*$D1650*INDEX(Y$23:Y$30,$E1650)</f>
        <v/>
      </c>
      <c r="Z1650" s="35">
        <f>INDEX(Z$263:Z$279,$F1650)*$D1650*INDEX(Z$23:Z$30,$E1650)</f>
        <v/>
      </c>
      <c r="AA1650" s="35">
        <f>INDEX(AA$263:AA$279,$F1650)*$D1650*INDEX(AA$23:AA$30,$E1650)</f>
        <v/>
      </c>
      <c r="AB1650" s="35">
        <f>INDEX(AB$263:AB$279,$F1650)*$D1650*INDEX(AB$23:AB$30,$E1650)</f>
        <v/>
      </c>
      <c r="AC1650" s="35">
        <f>INDEX(AC$263:AC$279,$F1650)*$D1650*INDEX(AC$23:AC$30,$E1650)</f>
        <v/>
      </c>
      <c r="AD1650" s="35">
        <f>INDEX(AD$263:AD$279,$F1650)*$D1650*INDEX(AD$23:AD$30,$E1650)</f>
        <v/>
      </c>
      <c r="AE1650" s="42">
        <f>CARBONTAX(INDEX(AE$263:AE$279,$F1650),$D1650,INDEX(AE$23:AE$30,$E1650))</f>
        <v/>
      </c>
      <c r="AG1650" s="11">
        <f>CodePrefix&amp;$A1650&amp;IF($C1650="","","."&amp;$C1650&amp;"."&amp;$B1650)&amp;INDEX(VarEnd,MATCH($A1650,VarKey,0))&amp;AG$5</f>
        <v/>
      </c>
      <c r="AH1650" s="40">
        <f>INDEX(AH$263:AH$279,$F1650)*$D1650*INDEX(AH$23:AH$30,$E1650)</f>
        <v/>
      </c>
      <c r="AI1650" s="35">
        <f>INDEX(AI$263:AI$279,$F1650)*$D1650*INDEX(AI$23:AI$30,$E1650)</f>
        <v/>
      </c>
      <c r="AJ1650" s="35">
        <f>INDEX(AJ$263:AJ$279,$F1650)*$D1650*INDEX(AJ$23:AJ$30,$E1650)</f>
        <v/>
      </c>
      <c r="AK1650" s="35">
        <f>INDEX(AK$263:AK$279,$F1650)*$D1650*INDEX(AK$23:AK$30,$E1650)</f>
        <v/>
      </c>
      <c r="AL1650" s="35">
        <f>INDEX(AL$263:AL$279,$F1650)*$D1650*INDEX(AL$23:AL$30,$E1650)</f>
        <v/>
      </c>
      <c r="AM1650" s="35">
        <f>INDEX(AM$263:AM$279,$F1650)*$D1650*INDEX(AM$23:AM$30,$E1650)</f>
        <v/>
      </c>
      <c r="AN1650" s="35">
        <f>INDEX(AN$263:AN$279,$F1650)*$D1650*INDEX(AN$23:AN$30,$E1650)</f>
        <v/>
      </c>
      <c r="AO1650" s="35">
        <f>INDEX(AO$263:AO$279,$F1650)*$D1650*INDEX(AO$23:AO$30,$E1650)</f>
        <v/>
      </c>
      <c r="AP1650" s="35">
        <f>INDEX(AP$263:AP$279,$F1650)*$D1650*INDEX(AP$23:AP$30,$E1650)</f>
        <v/>
      </c>
      <c r="AQ1650" s="35">
        <f>INDEX(AQ$263:AQ$279,$F1650)*$D1650*INDEX(AQ$23:AQ$30,$E1650)</f>
        <v/>
      </c>
      <c r="AR1650" s="35">
        <f>INDEX(AR$263:AR$279,$F1650)*$D1650*INDEX(AR$23:AR$30,$E1650)</f>
        <v/>
      </c>
      <c r="AS1650" s="35">
        <f>INDEX(AS$263:AS$279,$F1650)*$D1650*INDEX(AS$23:AS$30,$E1650)</f>
        <v/>
      </c>
      <c r="AT1650" s="35">
        <f>INDEX(AT$263:AT$279,$F1650)*$D1650*INDEX(AT$23:AT$30,$E1650)</f>
        <v/>
      </c>
      <c r="AU1650" s="35">
        <f>INDEX(AU$263:AU$279,$F1650)*$D1650*INDEX(AU$23:AU$30,$E1650)</f>
        <v/>
      </c>
      <c r="AV1650" s="35">
        <f>INDEX(AV$263:AV$279,$F1650)*$D1650*INDEX(AV$23:AV$30,$E1650)</f>
        <v/>
      </c>
      <c r="AW1650" s="35">
        <f>INDEX(AW$263:AW$279,$F1650)*$D1650*INDEX(AW$23:AW$30,$E1650)</f>
        <v/>
      </c>
      <c r="AX1650" s="35">
        <f>INDEX(AX$263:AX$279,$F1650)*$D1650*INDEX(AX$23:AX$30,$E1650)</f>
        <v/>
      </c>
      <c r="AY1650" s="35">
        <f>INDEX(AY$263:AY$279,$F1650)*$D1650*INDEX(AY$23:AY$30,$E1650)</f>
        <v/>
      </c>
      <c r="AZ1650" s="35">
        <f>INDEX(AZ$263:AZ$279,$F1650)*$D1650*INDEX(AZ$23:AZ$30,$E1650)</f>
        <v/>
      </c>
      <c r="BA1650" s="42">
        <f>CARBONTAX(INDEX(BA$263:BA$279,$F1650),$D1650,INDEX(BA$23:BA$30,$E1650))</f>
        <v/>
      </c>
    </row>
    <row r="1651" hidden="1" outlineLevel="2">
      <c r="A1651" s="14" t="inlineStr">
        <is>
          <t>ctxnew</t>
        </is>
      </c>
      <c r="B1651" s="14" t="inlineStr">
        <is>
          <t>nga</t>
        </is>
      </c>
      <c r="C1651" s="14" t="inlineStr">
        <is>
          <t>foo</t>
        </is>
      </c>
      <c r="D1651" s="35">
        <f>INDEX(Inputs!$W$5:$W$132,MATCH($B1651&amp;"|"&amp;$C1651,Inputs!$A$5:$A$132,0))</f>
        <v/>
      </c>
      <c r="E1651" s="35">
        <f>INDEX(Inputs!$L$5:$L$132,MATCH($B1651&amp;"|"&amp;$C1651,Inputs!$A$5:$A$132,0))</f>
        <v/>
      </c>
      <c r="F1651" s="35">
        <f>INDEX(Inputs!$M$5:$M$132,MATCH($B1651&amp;"|"&amp;$C1651,Inputs!$A$5:$A$132,0))</f>
        <v/>
      </c>
      <c r="G1651" s="39" t="n"/>
      <c r="H1651" s="14">
        <f>INDEX(VarLab,MATCH($A1651,VarKey,0))&amp;INDEX(MemLab,MATCH($C1651&amp;"|"&amp;$B1651,MemKey,0))</f>
        <v/>
      </c>
      <c r="I1651" s="14">
        <f>INDEX(VarUnit,MATCH($A1651,VarKey,0))</f>
        <v/>
      </c>
      <c r="J1651" s="14">
        <f>INDEX(VarSrc,MATCH($A1651,VarKey,0))</f>
        <v/>
      </c>
      <c r="K1651" s="11">
        <f>CodePrefix&amp;$A1651&amp;IF($C1651="","","."&amp;$C1651&amp;"."&amp;$B1651)&amp;INDEX(VarEnd,MATCH($A1651,VarKey,0))&amp;K$5</f>
        <v/>
      </c>
      <c r="L1651" s="40">
        <f>INDEX(L$263:L$279,$F1651)*$D1651*INDEX(L$23:L$30,$E1651)</f>
        <v/>
      </c>
      <c r="M1651" s="35">
        <f>INDEX(M$263:M$279,$F1651)*$D1651*INDEX(M$23:M$30,$E1651)</f>
        <v/>
      </c>
      <c r="N1651" s="35">
        <f>INDEX(N$263:N$279,$F1651)*$D1651*INDEX(N$23:N$30,$E1651)</f>
        <v/>
      </c>
      <c r="O1651" s="35">
        <f>INDEX(O$263:O$279,$F1651)*$D1651*INDEX(O$23:O$30,$E1651)</f>
        <v/>
      </c>
      <c r="P1651" s="35">
        <f>INDEX(P$263:P$279,$F1651)*$D1651*INDEX(P$23:P$30,$E1651)</f>
        <v/>
      </c>
      <c r="Q1651" s="35">
        <f>INDEX(Q$263:Q$279,$F1651)*$D1651*INDEX(Q$23:Q$30,$E1651)</f>
        <v/>
      </c>
      <c r="R1651" s="35">
        <f>INDEX(R$263:R$279,$F1651)*$D1651*INDEX(R$23:R$30,$E1651)</f>
        <v/>
      </c>
      <c r="S1651" s="35">
        <f>INDEX(S$263:S$279,$F1651)*$D1651*INDEX(S$23:S$30,$E1651)</f>
        <v/>
      </c>
      <c r="T1651" s="35">
        <f>INDEX(T$263:T$279,$F1651)*$D1651*INDEX(T$23:T$30,$E1651)</f>
        <v/>
      </c>
      <c r="U1651" s="35">
        <f>INDEX(U$263:U$279,$F1651)*$D1651*INDEX(U$23:U$30,$E1651)</f>
        <v/>
      </c>
      <c r="V1651" s="35">
        <f>INDEX(V$263:V$279,$F1651)*$D1651*INDEX(V$23:V$30,$E1651)</f>
        <v/>
      </c>
      <c r="W1651" s="35">
        <f>INDEX(W$263:W$279,$F1651)*$D1651*INDEX(W$23:W$30,$E1651)</f>
        <v/>
      </c>
      <c r="X1651" s="35">
        <f>INDEX(X$263:X$279,$F1651)*$D1651*INDEX(X$23:X$30,$E1651)</f>
        <v/>
      </c>
      <c r="Y1651" s="35">
        <f>INDEX(Y$263:Y$279,$F1651)*$D1651*INDEX(Y$23:Y$30,$E1651)</f>
        <v/>
      </c>
      <c r="Z1651" s="35">
        <f>INDEX(Z$263:Z$279,$F1651)*$D1651*INDEX(Z$23:Z$30,$E1651)</f>
        <v/>
      </c>
      <c r="AA1651" s="35">
        <f>INDEX(AA$263:AA$279,$F1651)*$D1651*INDEX(AA$23:AA$30,$E1651)</f>
        <v/>
      </c>
      <c r="AB1651" s="35">
        <f>INDEX(AB$263:AB$279,$F1651)*$D1651*INDEX(AB$23:AB$30,$E1651)</f>
        <v/>
      </c>
      <c r="AC1651" s="35">
        <f>INDEX(AC$263:AC$279,$F1651)*$D1651*INDEX(AC$23:AC$30,$E1651)</f>
        <v/>
      </c>
      <c r="AD1651" s="35">
        <f>INDEX(AD$263:AD$279,$F1651)*$D1651*INDEX(AD$23:AD$30,$E1651)</f>
        <v/>
      </c>
      <c r="AE1651" s="42">
        <f>CARBONTAX(INDEX(AE$263:AE$279,$F1651),$D1651,INDEX(AE$23:AE$30,$E1651))</f>
        <v/>
      </c>
      <c r="AG1651" s="11">
        <f>CodePrefix&amp;$A1651&amp;IF($C1651="","","."&amp;$C1651&amp;"."&amp;$B1651)&amp;INDEX(VarEnd,MATCH($A1651,VarKey,0))&amp;AG$5</f>
        <v/>
      </c>
      <c r="AH1651" s="40">
        <f>INDEX(AH$263:AH$279,$F1651)*$D1651*INDEX(AH$23:AH$30,$E1651)</f>
        <v/>
      </c>
      <c r="AI1651" s="35">
        <f>INDEX(AI$263:AI$279,$F1651)*$D1651*INDEX(AI$23:AI$30,$E1651)</f>
        <v/>
      </c>
      <c r="AJ1651" s="35">
        <f>INDEX(AJ$263:AJ$279,$F1651)*$D1651*INDEX(AJ$23:AJ$30,$E1651)</f>
        <v/>
      </c>
      <c r="AK1651" s="35">
        <f>INDEX(AK$263:AK$279,$F1651)*$D1651*INDEX(AK$23:AK$30,$E1651)</f>
        <v/>
      </c>
      <c r="AL1651" s="35">
        <f>INDEX(AL$263:AL$279,$F1651)*$D1651*INDEX(AL$23:AL$30,$E1651)</f>
        <v/>
      </c>
      <c r="AM1651" s="35">
        <f>INDEX(AM$263:AM$279,$F1651)*$D1651*INDEX(AM$23:AM$30,$E1651)</f>
        <v/>
      </c>
      <c r="AN1651" s="35">
        <f>INDEX(AN$263:AN$279,$F1651)*$D1651*INDEX(AN$23:AN$30,$E1651)</f>
        <v/>
      </c>
      <c r="AO1651" s="35">
        <f>INDEX(AO$263:AO$279,$F1651)*$D1651*INDEX(AO$23:AO$30,$E1651)</f>
        <v/>
      </c>
      <c r="AP1651" s="35">
        <f>INDEX(AP$263:AP$279,$F1651)*$D1651*INDEX(AP$23:AP$30,$E1651)</f>
        <v/>
      </c>
      <c r="AQ1651" s="35">
        <f>INDEX(AQ$263:AQ$279,$F1651)*$D1651*INDEX(AQ$23:AQ$30,$E1651)</f>
        <v/>
      </c>
      <c r="AR1651" s="35">
        <f>INDEX(AR$263:AR$279,$F1651)*$D1651*INDEX(AR$23:AR$30,$E1651)</f>
        <v/>
      </c>
      <c r="AS1651" s="35">
        <f>INDEX(AS$263:AS$279,$F1651)*$D1651*INDEX(AS$23:AS$30,$E1651)</f>
        <v/>
      </c>
      <c r="AT1651" s="35">
        <f>INDEX(AT$263:AT$279,$F1651)*$D1651*INDEX(AT$23:AT$30,$E1651)</f>
        <v/>
      </c>
      <c r="AU1651" s="35">
        <f>INDEX(AU$263:AU$279,$F1651)*$D1651*INDEX(AU$23:AU$30,$E1651)</f>
        <v/>
      </c>
      <c r="AV1651" s="35">
        <f>INDEX(AV$263:AV$279,$F1651)*$D1651*INDEX(AV$23:AV$30,$E1651)</f>
        <v/>
      </c>
      <c r="AW1651" s="35">
        <f>INDEX(AW$263:AW$279,$F1651)*$D1651*INDEX(AW$23:AW$30,$E1651)</f>
        <v/>
      </c>
      <c r="AX1651" s="35">
        <f>INDEX(AX$263:AX$279,$F1651)*$D1651*INDEX(AX$23:AX$30,$E1651)</f>
        <v/>
      </c>
      <c r="AY1651" s="35">
        <f>INDEX(AY$263:AY$279,$F1651)*$D1651*INDEX(AY$23:AY$30,$E1651)</f>
        <v/>
      </c>
      <c r="AZ1651" s="35">
        <f>INDEX(AZ$263:AZ$279,$F1651)*$D1651*INDEX(AZ$23:AZ$30,$E1651)</f>
        <v/>
      </c>
      <c r="BA1651" s="42">
        <f>CARBONTAX(INDEX(BA$263:BA$279,$F1651),$D1651,INDEX(BA$23:BA$30,$E1651))</f>
        <v/>
      </c>
    </row>
    <row r="1652" hidden="1" outlineLevel="2">
      <c r="A1652" s="14" t="inlineStr">
        <is>
          <t>ctxnew</t>
        </is>
      </c>
      <c r="B1652" s="14" t="inlineStr">
        <is>
          <t>gso</t>
        </is>
      </c>
      <c r="C1652" s="14" t="inlineStr">
        <is>
          <t>foo</t>
        </is>
      </c>
      <c r="D1652" s="35">
        <f>INDEX(Inputs!$W$5:$W$132,MATCH($B1652&amp;"|"&amp;$C1652,Inputs!$A$5:$A$132,0))</f>
        <v/>
      </c>
      <c r="E1652" s="35">
        <f>INDEX(Inputs!$L$5:$L$132,MATCH($B1652&amp;"|"&amp;$C1652,Inputs!$A$5:$A$132,0))</f>
        <v/>
      </c>
      <c r="F1652" s="35">
        <f>INDEX(Inputs!$M$5:$M$132,MATCH($B1652&amp;"|"&amp;$C1652,Inputs!$A$5:$A$132,0))</f>
        <v/>
      </c>
      <c r="G1652" s="39" t="n"/>
      <c r="H1652" s="14">
        <f>INDEX(VarLab,MATCH($A1652,VarKey,0))&amp;INDEX(MemLab,MATCH($C1652&amp;"|"&amp;$B1652,MemKey,0))</f>
        <v/>
      </c>
      <c r="I1652" s="14">
        <f>INDEX(VarUnit,MATCH($A1652,VarKey,0))</f>
        <v/>
      </c>
      <c r="J1652" s="14">
        <f>INDEX(VarSrc,MATCH($A1652,VarKey,0))</f>
        <v/>
      </c>
      <c r="K1652" s="11">
        <f>CodePrefix&amp;$A1652&amp;IF($C1652="","","."&amp;$C1652&amp;"."&amp;$B1652)&amp;INDEX(VarEnd,MATCH($A1652,VarKey,0))&amp;K$5</f>
        <v/>
      </c>
      <c r="L1652" s="40">
        <f>INDEX(L$263:L$279,$F1652)*$D1652*INDEX(L$23:L$30,$E1652)</f>
        <v/>
      </c>
      <c r="M1652" s="35">
        <f>INDEX(M$263:M$279,$F1652)*$D1652*INDEX(M$23:M$30,$E1652)</f>
        <v/>
      </c>
      <c r="N1652" s="35">
        <f>INDEX(N$263:N$279,$F1652)*$D1652*INDEX(N$23:N$30,$E1652)</f>
        <v/>
      </c>
      <c r="O1652" s="35">
        <f>INDEX(O$263:O$279,$F1652)*$D1652*INDEX(O$23:O$30,$E1652)</f>
        <v/>
      </c>
      <c r="P1652" s="35">
        <f>INDEX(P$263:P$279,$F1652)*$D1652*INDEX(P$23:P$30,$E1652)</f>
        <v/>
      </c>
      <c r="Q1652" s="35">
        <f>INDEX(Q$263:Q$279,$F1652)*$D1652*INDEX(Q$23:Q$30,$E1652)</f>
        <v/>
      </c>
      <c r="R1652" s="35">
        <f>INDEX(R$263:R$279,$F1652)*$D1652*INDEX(R$23:R$30,$E1652)</f>
        <v/>
      </c>
      <c r="S1652" s="35">
        <f>INDEX(S$263:S$279,$F1652)*$D1652*INDEX(S$23:S$30,$E1652)</f>
        <v/>
      </c>
      <c r="T1652" s="35">
        <f>INDEX(T$263:T$279,$F1652)*$D1652*INDEX(T$23:T$30,$E1652)</f>
        <v/>
      </c>
      <c r="U1652" s="35">
        <f>INDEX(U$263:U$279,$F1652)*$D1652*INDEX(U$23:U$30,$E1652)</f>
        <v/>
      </c>
      <c r="V1652" s="35">
        <f>INDEX(V$263:V$279,$F1652)*$D1652*INDEX(V$23:V$30,$E1652)</f>
        <v/>
      </c>
      <c r="W1652" s="35">
        <f>INDEX(W$263:W$279,$F1652)*$D1652*INDEX(W$23:W$30,$E1652)</f>
        <v/>
      </c>
      <c r="X1652" s="35">
        <f>INDEX(X$263:X$279,$F1652)*$D1652*INDEX(X$23:X$30,$E1652)</f>
        <v/>
      </c>
      <c r="Y1652" s="35">
        <f>INDEX(Y$263:Y$279,$F1652)*$D1652*INDEX(Y$23:Y$30,$E1652)</f>
        <v/>
      </c>
      <c r="Z1652" s="35">
        <f>INDEX(Z$263:Z$279,$F1652)*$D1652*INDEX(Z$23:Z$30,$E1652)</f>
        <v/>
      </c>
      <c r="AA1652" s="35">
        <f>INDEX(AA$263:AA$279,$F1652)*$D1652*INDEX(AA$23:AA$30,$E1652)</f>
        <v/>
      </c>
      <c r="AB1652" s="35">
        <f>INDEX(AB$263:AB$279,$F1652)*$D1652*INDEX(AB$23:AB$30,$E1652)</f>
        <v/>
      </c>
      <c r="AC1652" s="35">
        <f>INDEX(AC$263:AC$279,$F1652)*$D1652*INDEX(AC$23:AC$30,$E1652)</f>
        <v/>
      </c>
      <c r="AD1652" s="35">
        <f>INDEX(AD$263:AD$279,$F1652)*$D1652*INDEX(AD$23:AD$30,$E1652)</f>
        <v/>
      </c>
      <c r="AE1652" s="42">
        <f>CARBONTAX(INDEX(AE$263:AE$279,$F1652),$D1652,INDEX(AE$23:AE$30,$E1652))</f>
        <v/>
      </c>
      <c r="AG1652" s="11">
        <f>CodePrefix&amp;$A1652&amp;IF($C1652="","","."&amp;$C1652&amp;"."&amp;$B1652)&amp;INDEX(VarEnd,MATCH($A1652,VarKey,0))&amp;AG$5</f>
        <v/>
      </c>
      <c r="AH1652" s="40">
        <f>INDEX(AH$263:AH$279,$F1652)*$D1652*INDEX(AH$23:AH$30,$E1652)</f>
        <v/>
      </c>
      <c r="AI1652" s="35">
        <f>INDEX(AI$263:AI$279,$F1652)*$D1652*INDEX(AI$23:AI$30,$E1652)</f>
        <v/>
      </c>
      <c r="AJ1652" s="35">
        <f>INDEX(AJ$263:AJ$279,$F1652)*$D1652*INDEX(AJ$23:AJ$30,$E1652)</f>
        <v/>
      </c>
      <c r="AK1652" s="35">
        <f>INDEX(AK$263:AK$279,$F1652)*$D1652*INDEX(AK$23:AK$30,$E1652)</f>
        <v/>
      </c>
      <c r="AL1652" s="35">
        <f>INDEX(AL$263:AL$279,$F1652)*$D1652*INDEX(AL$23:AL$30,$E1652)</f>
        <v/>
      </c>
      <c r="AM1652" s="35">
        <f>INDEX(AM$263:AM$279,$F1652)*$D1652*INDEX(AM$23:AM$30,$E1652)</f>
        <v/>
      </c>
      <c r="AN1652" s="35">
        <f>INDEX(AN$263:AN$279,$F1652)*$D1652*INDEX(AN$23:AN$30,$E1652)</f>
        <v/>
      </c>
      <c r="AO1652" s="35">
        <f>INDEX(AO$263:AO$279,$F1652)*$D1652*INDEX(AO$23:AO$30,$E1652)</f>
        <v/>
      </c>
      <c r="AP1652" s="35">
        <f>INDEX(AP$263:AP$279,$F1652)*$D1652*INDEX(AP$23:AP$30,$E1652)</f>
        <v/>
      </c>
      <c r="AQ1652" s="35">
        <f>INDEX(AQ$263:AQ$279,$F1652)*$D1652*INDEX(AQ$23:AQ$30,$E1652)</f>
        <v/>
      </c>
      <c r="AR1652" s="35">
        <f>INDEX(AR$263:AR$279,$F1652)*$D1652*INDEX(AR$23:AR$30,$E1652)</f>
        <v/>
      </c>
      <c r="AS1652" s="35">
        <f>INDEX(AS$263:AS$279,$F1652)*$D1652*INDEX(AS$23:AS$30,$E1652)</f>
        <v/>
      </c>
      <c r="AT1652" s="35">
        <f>INDEX(AT$263:AT$279,$F1652)*$D1652*INDEX(AT$23:AT$30,$E1652)</f>
        <v/>
      </c>
      <c r="AU1652" s="35">
        <f>INDEX(AU$263:AU$279,$F1652)*$D1652*INDEX(AU$23:AU$30,$E1652)</f>
        <v/>
      </c>
      <c r="AV1652" s="35">
        <f>INDEX(AV$263:AV$279,$F1652)*$D1652*INDEX(AV$23:AV$30,$E1652)</f>
        <v/>
      </c>
      <c r="AW1652" s="35">
        <f>INDEX(AW$263:AW$279,$F1652)*$D1652*INDEX(AW$23:AW$30,$E1652)</f>
        <v/>
      </c>
      <c r="AX1652" s="35">
        <f>INDEX(AX$263:AX$279,$F1652)*$D1652*INDEX(AX$23:AX$30,$E1652)</f>
        <v/>
      </c>
      <c r="AY1652" s="35">
        <f>INDEX(AY$263:AY$279,$F1652)*$D1652*INDEX(AY$23:AY$30,$E1652)</f>
        <v/>
      </c>
      <c r="AZ1652" s="35">
        <f>INDEX(AZ$263:AZ$279,$F1652)*$D1652*INDEX(AZ$23:AZ$30,$E1652)</f>
        <v/>
      </c>
      <c r="BA1652" s="42">
        <f>CARBONTAX(INDEX(BA$263:BA$279,$F1652),$D1652,INDEX(BA$23:BA$30,$E1652))</f>
        <v/>
      </c>
    </row>
    <row r="1653" hidden="1" outlineLevel="2">
      <c r="A1653" s="14" t="inlineStr">
        <is>
          <t>ctxnew</t>
        </is>
      </c>
      <c r="B1653" s="14" t="inlineStr">
        <is>
          <t>die</t>
        </is>
      </c>
      <c r="C1653" s="14" t="inlineStr">
        <is>
          <t>foo</t>
        </is>
      </c>
      <c r="D1653" s="35">
        <f>INDEX(Inputs!$W$5:$W$132,MATCH($B1653&amp;"|"&amp;$C1653,Inputs!$A$5:$A$132,0))</f>
        <v/>
      </c>
      <c r="E1653" s="35">
        <f>INDEX(Inputs!$L$5:$L$132,MATCH($B1653&amp;"|"&amp;$C1653,Inputs!$A$5:$A$132,0))</f>
        <v/>
      </c>
      <c r="F1653" s="35">
        <f>INDEX(Inputs!$M$5:$M$132,MATCH($B1653&amp;"|"&amp;$C1653,Inputs!$A$5:$A$132,0))</f>
        <v/>
      </c>
      <c r="G1653" s="39" t="n"/>
      <c r="H1653" s="14">
        <f>INDEX(VarLab,MATCH($A1653,VarKey,0))&amp;INDEX(MemLab,MATCH($C1653&amp;"|"&amp;$B1653,MemKey,0))</f>
        <v/>
      </c>
      <c r="I1653" s="14">
        <f>INDEX(VarUnit,MATCH($A1653,VarKey,0))</f>
        <v/>
      </c>
      <c r="J1653" s="14">
        <f>INDEX(VarSrc,MATCH($A1653,VarKey,0))</f>
        <v/>
      </c>
      <c r="K1653" s="11">
        <f>CodePrefix&amp;$A1653&amp;IF($C1653="","","."&amp;$C1653&amp;"."&amp;$B1653)&amp;INDEX(VarEnd,MATCH($A1653,VarKey,0))&amp;K$5</f>
        <v/>
      </c>
      <c r="L1653" s="40">
        <f>INDEX(L$263:L$279,$F1653)*$D1653*INDEX(L$23:L$30,$E1653)</f>
        <v/>
      </c>
      <c r="M1653" s="35">
        <f>INDEX(M$263:M$279,$F1653)*$D1653*INDEX(M$23:M$30,$E1653)</f>
        <v/>
      </c>
      <c r="N1653" s="35">
        <f>INDEX(N$263:N$279,$F1653)*$D1653*INDEX(N$23:N$30,$E1653)</f>
        <v/>
      </c>
      <c r="O1653" s="35">
        <f>INDEX(O$263:O$279,$F1653)*$D1653*INDEX(O$23:O$30,$E1653)</f>
        <v/>
      </c>
      <c r="P1653" s="35">
        <f>INDEX(P$263:P$279,$F1653)*$D1653*INDEX(P$23:P$30,$E1653)</f>
        <v/>
      </c>
      <c r="Q1653" s="35">
        <f>INDEX(Q$263:Q$279,$F1653)*$D1653*INDEX(Q$23:Q$30,$E1653)</f>
        <v/>
      </c>
      <c r="R1653" s="35">
        <f>INDEX(R$263:R$279,$F1653)*$D1653*INDEX(R$23:R$30,$E1653)</f>
        <v/>
      </c>
      <c r="S1653" s="35">
        <f>INDEX(S$263:S$279,$F1653)*$D1653*INDEX(S$23:S$30,$E1653)</f>
        <v/>
      </c>
      <c r="T1653" s="35">
        <f>INDEX(T$263:T$279,$F1653)*$D1653*INDEX(T$23:T$30,$E1653)</f>
        <v/>
      </c>
      <c r="U1653" s="35">
        <f>INDEX(U$263:U$279,$F1653)*$D1653*INDEX(U$23:U$30,$E1653)</f>
        <v/>
      </c>
      <c r="V1653" s="35">
        <f>INDEX(V$263:V$279,$F1653)*$D1653*INDEX(V$23:V$30,$E1653)</f>
        <v/>
      </c>
      <c r="W1653" s="35">
        <f>INDEX(W$263:W$279,$F1653)*$D1653*INDEX(W$23:W$30,$E1653)</f>
        <v/>
      </c>
      <c r="X1653" s="35">
        <f>INDEX(X$263:X$279,$F1653)*$D1653*INDEX(X$23:X$30,$E1653)</f>
        <v/>
      </c>
      <c r="Y1653" s="35">
        <f>INDEX(Y$263:Y$279,$F1653)*$D1653*INDEX(Y$23:Y$30,$E1653)</f>
        <v/>
      </c>
      <c r="Z1653" s="35">
        <f>INDEX(Z$263:Z$279,$F1653)*$D1653*INDEX(Z$23:Z$30,$E1653)</f>
        <v/>
      </c>
      <c r="AA1653" s="35">
        <f>INDEX(AA$263:AA$279,$F1653)*$D1653*INDEX(AA$23:AA$30,$E1653)</f>
        <v/>
      </c>
      <c r="AB1653" s="35">
        <f>INDEX(AB$263:AB$279,$F1653)*$D1653*INDEX(AB$23:AB$30,$E1653)</f>
        <v/>
      </c>
      <c r="AC1653" s="35">
        <f>INDEX(AC$263:AC$279,$F1653)*$D1653*INDEX(AC$23:AC$30,$E1653)</f>
        <v/>
      </c>
      <c r="AD1653" s="35">
        <f>INDEX(AD$263:AD$279,$F1653)*$D1653*INDEX(AD$23:AD$30,$E1653)</f>
        <v/>
      </c>
      <c r="AE1653" s="42">
        <f>CARBONTAX(INDEX(AE$263:AE$279,$F1653),$D1653,INDEX(AE$23:AE$30,$E1653))</f>
        <v/>
      </c>
      <c r="AG1653" s="11">
        <f>CodePrefix&amp;$A1653&amp;IF($C1653="","","."&amp;$C1653&amp;"."&amp;$B1653)&amp;INDEX(VarEnd,MATCH($A1653,VarKey,0))&amp;AG$5</f>
        <v/>
      </c>
      <c r="AH1653" s="40">
        <f>INDEX(AH$263:AH$279,$F1653)*$D1653*INDEX(AH$23:AH$30,$E1653)</f>
        <v/>
      </c>
      <c r="AI1653" s="35">
        <f>INDEX(AI$263:AI$279,$F1653)*$D1653*INDEX(AI$23:AI$30,$E1653)</f>
        <v/>
      </c>
      <c r="AJ1653" s="35">
        <f>INDEX(AJ$263:AJ$279,$F1653)*$D1653*INDEX(AJ$23:AJ$30,$E1653)</f>
        <v/>
      </c>
      <c r="AK1653" s="35">
        <f>INDEX(AK$263:AK$279,$F1653)*$D1653*INDEX(AK$23:AK$30,$E1653)</f>
        <v/>
      </c>
      <c r="AL1653" s="35">
        <f>INDEX(AL$263:AL$279,$F1653)*$D1653*INDEX(AL$23:AL$30,$E1653)</f>
        <v/>
      </c>
      <c r="AM1653" s="35">
        <f>INDEX(AM$263:AM$279,$F1653)*$D1653*INDEX(AM$23:AM$30,$E1653)</f>
        <v/>
      </c>
      <c r="AN1653" s="35">
        <f>INDEX(AN$263:AN$279,$F1653)*$D1653*INDEX(AN$23:AN$30,$E1653)</f>
        <v/>
      </c>
      <c r="AO1653" s="35">
        <f>INDEX(AO$263:AO$279,$F1653)*$D1653*INDEX(AO$23:AO$30,$E1653)</f>
        <v/>
      </c>
      <c r="AP1653" s="35">
        <f>INDEX(AP$263:AP$279,$F1653)*$D1653*INDEX(AP$23:AP$30,$E1653)</f>
        <v/>
      </c>
      <c r="AQ1653" s="35">
        <f>INDEX(AQ$263:AQ$279,$F1653)*$D1653*INDEX(AQ$23:AQ$30,$E1653)</f>
        <v/>
      </c>
      <c r="AR1653" s="35">
        <f>INDEX(AR$263:AR$279,$F1653)*$D1653*INDEX(AR$23:AR$30,$E1653)</f>
        <v/>
      </c>
      <c r="AS1653" s="35">
        <f>INDEX(AS$263:AS$279,$F1653)*$D1653*INDEX(AS$23:AS$30,$E1653)</f>
        <v/>
      </c>
      <c r="AT1653" s="35">
        <f>INDEX(AT$263:AT$279,$F1653)*$D1653*INDEX(AT$23:AT$30,$E1653)</f>
        <v/>
      </c>
      <c r="AU1653" s="35">
        <f>INDEX(AU$263:AU$279,$F1653)*$D1653*INDEX(AU$23:AU$30,$E1653)</f>
        <v/>
      </c>
      <c r="AV1653" s="35">
        <f>INDEX(AV$263:AV$279,$F1653)*$D1653*INDEX(AV$23:AV$30,$E1653)</f>
        <v/>
      </c>
      <c r="AW1653" s="35">
        <f>INDEX(AW$263:AW$279,$F1653)*$D1653*INDEX(AW$23:AW$30,$E1653)</f>
        <v/>
      </c>
      <c r="AX1653" s="35">
        <f>INDEX(AX$263:AX$279,$F1653)*$D1653*INDEX(AX$23:AX$30,$E1653)</f>
        <v/>
      </c>
      <c r="AY1653" s="35">
        <f>INDEX(AY$263:AY$279,$F1653)*$D1653*INDEX(AY$23:AY$30,$E1653)</f>
        <v/>
      </c>
      <c r="AZ1653" s="35">
        <f>INDEX(AZ$263:AZ$279,$F1653)*$D1653*INDEX(AZ$23:AZ$30,$E1653)</f>
        <v/>
      </c>
      <c r="BA1653" s="42">
        <f>CARBONTAX(INDEX(BA$263:BA$279,$F1653),$D1653,INDEX(BA$23:BA$30,$E1653))</f>
        <v/>
      </c>
    </row>
    <row r="1654" hidden="1" outlineLevel="2">
      <c r="A1654" s="14" t="inlineStr">
        <is>
          <t>ctxnew</t>
        </is>
      </c>
      <c r="B1654" s="14" t="inlineStr">
        <is>
          <t>lpg</t>
        </is>
      </c>
      <c r="C1654" s="14" t="inlineStr">
        <is>
          <t>foo</t>
        </is>
      </c>
      <c r="D1654" s="35">
        <f>INDEX(Inputs!$W$5:$W$132,MATCH($B1654&amp;"|"&amp;$C1654,Inputs!$A$5:$A$132,0))</f>
        <v/>
      </c>
      <c r="E1654" s="35">
        <f>INDEX(Inputs!$L$5:$L$132,MATCH($B1654&amp;"|"&amp;$C1654,Inputs!$A$5:$A$132,0))</f>
        <v/>
      </c>
      <c r="F1654" s="35">
        <f>INDEX(Inputs!$M$5:$M$132,MATCH($B1654&amp;"|"&amp;$C1654,Inputs!$A$5:$A$132,0))</f>
        <v/>
      </c>
      <c r="G1654" s="39" t="n"/>
      <c r="H1654" s="14">
        <f>INDEX(VarLab,MATCH($A1654,VarKey,0))&amp;INDEX(MemLab,MATCH($C1654&amp;"|"&amp;$B1654,MemKey,0))</f>
        <v/>
      </c>
      <c r="I1654" s="14">
        <f>INDEX(VarUnit,MATCH($A1654,VarKey,0))</f>
        <v/>
      </c>
      <c r="J1654" s="14">
        <f>INDEX(VarSrc,MATCH($A1654,VarKey,0))</f>
        <v/>
      </c>
      <c r="K1654" s="11">
        <f>CodePrefix&amp;$A1654&amp;IF($C1654="","","."&amp;$C1654&amp;"."&amp;$B1654)&amp;INDEX(VarEnd,MATCH($A1654,VarKey,0))&amp;K$5</f>
        <v/>
      </c>
      <c r="L1654" s="40">
        <f>INDEX(L$263:L$279,$F1654)*$D1654*INDEX(L$23:L$30,$E1654)</f>
        <v/>
      </c>
      <c r="M1654" s="35">
        <f>INDEX(M$263:M$279,$F1654)*$D1654*INDEX(M$23:M$30,$E1654)</f>
        <v/>
      </c>
      <c r="N1654" s="35">
        <f>INDEX(N$263:N$279,$F1654)*$D1654*INDEX(N$23:N$30,$E1654)</f>
        <v/>
      </c>
      <c r="O1654" s="35">
        <f>INDEX(O$263:O$279,$F1654)*$D1654*INDEX(O$23:O$30,$E1654)</f>
        <v/>
      </c>
      <c r="P1654" s="35">
        <f>INDEX(P$263:P$279,$F1654)*$D1654*INDEX(P$23:P$30,$E1654)</f>
        <v/>
      </c>
      <c r="Q1654" s="35">
        <f>INDEX(Q$263:Q$279,$F1654)*$D1654*INDEX(Q$23:Q$30,$E1654)</f>
        <v/>
      </c>
      <c r="R1654" s="35">
        <f>INDEX(R$263:R$279,$F1654)*$D1654*INDEX(R$23:R$30,$E1654)</f>
        <v/>
      </c>
      <c r="S1654" s="35">
        <f>INDEX(S$263:S$279,$F1654)*$D1654*INDEX(S$23:S$30,$E1654)</f>
        <v/>
      </c>
      <c r="T1654" s="35">
        <f>INDEX(T$263:T$279,$F1654)*$D1654*INDEX(T$23:T$30,$E1654)</f>
        <v/>
      </c>
      <c r="U1654" s="35">
        <f>INDEX(U$263:U$279,$F1654)*$D1654*INDEX(U$23:U$30,$E1654)</f>
        <v/>
      </c>
      <c r="V1654" s="35">
        <f>INDEX(V$263:V$279,$F1654)*$D1654*INDEX(V$23:V$30,$E1654)</f>
        <v/>
      </c>
      <c r="W1654" s="35">
        <f>INDEX(W$263:W$279,$F1654)*$D1654*INDEX(W$23:W$30,$E1654)</f>
        <v/>
      </c>
      <c r="X1654" s="35">
        <f>INDEX(X$263:X$279,$F1654)*$D1654*INDEX(X$23:X$30,$E1654)</f>
        <v/>
      </c>
      <c r="Y1654" s="35">
        <f>INDEX(Y$263:Y$279,$F1654)*$D1654*INDEX(Y$23:Y$30,$E1654)</f>
        <v/>
      </c>
      <c r="Z1654" s="35">
        <f>INDEX(Z$263:Z$279,$F1654)*$D1654*INDEX(Z$23:Z$30,$E1654)</f>
        <v/>
      </c>
      <c r="AA1654" s="35">
        <f>INDEX(AA$263:AA$279,$F1654)*$D1654*INDEX(AA$23:AA$30,$E1654)</f>
        <v/>
      </c>
      <c r="AB1654" s="35">
        <f>INDEX(AB$263:AB$279,$F1654)*$D1654*INDEX(AB$23:AB$30,$E1654)</f>
        <v/>
      </c>
      <c r="AC1654" s="35">
        <f>INDEX(AC$263:AC$279,$F1654)*$D1654*INDEX(AC$23:AC$30,$E1654)</f>
        <v/>
      </c>
      <c r="AD1654" s="35">
        <f>INDEX(AD$263:AD$279,$F1654)*$D1654*INDEX(AD$23:AD$30,$E1654)</f>
        <v/>
      </c>
      <c r="AE1654" s="42">
        <f>CARBONTAX(INDEX(AE$263:AE$279,$F1654),$D1654,INDEX(AE$23:AE$30,$E1654))</f>
        <v/>
      </c>
      <c r="AG1654" s="11">
        <f>CodePrefix&amp;$A1654&amp;IF($C1654="","","."&amp;$C1654&amp;"."&amp;$B1654)&amp;INDEX(VarEnd,MATCH($A1654,VarKey,0))&amp;AG$5</f>
        <v/>
      </c>
      <c r="AH1654" s="40">
        <f>INDEX(AH$263:AH$279,$F1654)*$D1654*INDEX(AH$23:AH$30,$E1654)</f>
        <v/>
      </c>
      <c r="AI1654" s="35">
        <f>INDEX(AI$263:AI$279,$F1654)*$D1654*INDEX(AI$23:AI$30,$E1654)</f>
        <v/>
      </c>
      <c r="AJ1654" s="35">
        <f>INDEX(AJ$263:AJ$279,$F1654)*$D1654*INDEX(AJ$23:AJ$30,$E1654)</f>
        <v/>
      </c>
      <c r="AK1654" s="35">
        <f>INDEX(AK$263:AK$279,$F1654)*$D1654*INDEX(AK$23:AK$30,$E1654)</f>
        <v/>
      </c>
      <c r="AL1654" s="35">
        <f>INDEX(AL$263:AL$279,$F1654)*$D1654*INDEX(AL$23:AL$30,$E1654)</f>
        <v/>
      </c>
      <c r="AM1654" s="35">
        <f>INDEX(AM$263:AM$279,$F1654)*$D1654*INDEX(AM$23:AM$30,$E1654)</f>
        <v/>
      </c>
      <c r="AN1654" s="35">
        <f>INDEX(AN$263:AN$279,$F1654)*$D1654*INDEX(AN$23:AN$30,$E1654)</f>
        <v/>
      </c>
      <c r="AO1654" s="35">
        <f>INDEX(AO$263:AO$279,$F1654)*$D1654*INDEX(AO$23:AO$30,$E1654)</f>
        <v/>
      </c>
      <c r="AP1654" s="35">
        <f>INDEX(AP$263:AP$279,$F1654)*$D1654*INDEX(AP$23:AP$30,$E1654)</f>
        <v/>
      </c>
      <c r="AQ1654" s="35">
        <f>INDEX(AQ$263:AQ$279,$F1654)*$D1654*INDEX(AQ$23:AQ$30,$E1654)</f>
        <v/>
      </c>
      <c r="AR1654" s="35">
        <f>INDEX(AR$263:AR$279,$F1654)*$D1654*INDEX(AR$23:AR$30,$E1654)</f>
        <v/>
      </c>
      <c r="AS1654" s="35">
        <f>INDEX(AS$263:AS$279,$F1654)*$D1654*INDEX(AS$23:AS$30,$E1654)</f>
        <v/>
      </c>
      <c r="AT1654" s="35">
        <f>INDEX(AT$263:AT$279,$F1654)*$D1654*INDEX(AT$23:AT$30,$E1654)</f>
        <v/>
      </c>
      <c r="AU1654" s="35">
        <f>INDEX(AU$263:AU$279,$F1654)*$D1654*INDEX(AU$23:AU$30,$E1654)</f>
        <v/>
      </c>
      <c r="AV1654" s="35">
        <f>INDEX(AV$263:AV$279,$F1654)*$D1654*INDEX(AV$23:AV$30,$E1654)</f>
        <v/>
      </c>
      <c r="AW1654" s="35">
        <f>INDEX(AW$263:AW$279,$F1654)*$D1654*INDEX(AW$23:AW$30,$E1654)</f>
        <v/>
      </c>
      <c r="AX1654" s="35">
        <f>INDEX(AX$263:AX$279,$F1654)*$D1654*INDEX(AX$23:AX$30,$E1654)</f>
        <v/>
      </c>
      <c r="AY1654" s="35">
        <f>INDEX(AY$263:AY$279,$F1654)*$D1654*INDEX(AY$23:AY$30,$E1654)</f>
        <v/>
      </c>
      <c r="AZ1654" s="35">
        <f>INDEX(AZ$263:AZ$279,$F1654)*$D1654*INDEX(AZ$23:AZ$30,$E1654)</f>
        <v/>
      </c>
      <c r="BA1654" s="42">
        <f>CARBONTAX(INDEX(BA$263:BA$279,$F1654),$D1654,INDEX(BA$23:BA$30,$E1654))</f>
        <v/>
      </c>
    </row>
    <row r="1655" hidden="1" outlineLevel="2">
      <c r="A1655" s="14" t="inlineStr">
        <is>
          <t>ctxnew</t>
        </is>
      </c>
      <c r="B1655" s="14" t="inlineStr">
        <is>
          <t>ker</t>
        </is>
      </c>
      <c r="C1655" s="14" t="inlineStr">
        <is>
          <t>foo</t>
        </is>
      </c>
      <c r="D1655" s="35">
        <f>INDEX(Inputs!$W$5:$W$132,MATCH($B1655&amp;"|"&amp;$C1655,Inputs!$A$5:$A$132,0))</f>
        <v/>
      </c>
      <c r="E1655" s="35">
        <f>INDEX(Inputs!$L$5:$L$132,MATCH($B1655&amp;"|"&amp;$C1655,Inputs!$A$5:$A$132,0))</f>
        <v/>
      </c>
      <c r="F1655" s="35">
        <f>INDEX(Inputs!$M$5:$M$132,MATCH($B1655&amp;"|"&amp;$C1655,Inputs!$A$5:$A$132,0))</f>
        <v/>
      </c>
      <c r="G1655" s="39" t="n"/>
      <c r="H1655" s="14">
        <f>INDEX(VarLab,MATCH($A1655,VarKey,0))&amp;INDEX(MemLab,MATCH($C1655&amp;"|"&amp;$B1655,MemKey,0))</f>
        <v/>
      </c>
      <c r="I1655" s="14">
        <f>INDEX(VarUnit,MATCH($A1655,VarKey,0))</f>
        <v/>
      </c>
      <c r="J1655" s="14">
        <f>INDEX(VarSrc,MATCH($A1655,VarKey,0))</f>
        <v/>
      </c>
      <c r="K1655" s="11">
        <f>CodePrefix&amp;$A1655&amp;IF($C1655="","","."&amp;$C1655&amp;"."&amp;$B1655)&amp;INDEX(VarEnd,MATCH($A1655,VarKey,0))&amp;K$5</f>
        <v/>
      </c>
      <c r="L1655" s="40">
        <f>INDEX(L$263:L$279,$F1655)*$D1655*INDEX(L$23:L$30,$E1655)</f>
        <v/>
      </c>
      <c r="M1655" s="35">
        <f>INDEX(M$263:M$279,$F1655)*$D1655*INDEX(M$23:M$30,$E1655)</f>
        <v/>
      </c>
      <c r="N1655" s="35">
        <f>INDEX(N$263:N$279,$F1655)*$D1655*INDEX(N$23:N$30,$E1655)</f>
        <v/>
      </c>
      <c r="O1655" s="35">
        <f>INDEX(O$263:O$279,$F1655)*$D1655*INDEX(O$23:O$30,$E1655)</f>
        <v/>
      </c>
      <c r="P1655" s="35">
        <f>INDEX(P$263:P$279,$F1655)*$D1655*INDEX(P$23:P$30,$E1655)</f>
        <v/>
      </c>
      <c r="Q1655" s="35">
        <f>INDEX(Q$263:Q$279,$F1655)*$D1655*INDEX(Q$23:Q$30,$E1655)</f>
        <v/>
      </c>
      <c r="R1655" s="35">
        <f>INDEX(R$263:R$279,$F1655)*$D1655*INDEX(R$23:R$30,$E1655)</f>
        <v/>
      </c>
      <c r="S1655" s="35">
        <f>INDEX(S$263:S$279,$F1655)*$D1655*INDEX(S$23:S$30,$E1655)</f>
        <v/>
      </c>
      <c r="T1655" s="35">
        <f>INDEX(T$263:T$279,$F1655)*$D1655*INDEX(T$23:T$30,$E1655)</f>
        <v/>
      </c>
      <c r="U1655" s="35">
        <f>INDEX(U$263:U$279,$F1655)*$D1655*INDEX(U$23:U$30,$E1655)</f>
        <v/>
      </c>
      <c r="V1655" s="35">
        <f>INDEX(V$263:V$279,$F1655)*$D1655*INDEX(V$23:V$30,$E1655)</f>
        <v/>
      </c>
      <c r="W1655" s="35">
        <f>INDEX(W$263:W$279,$F1655)*$D1655*INDEX(W$23:W$30,$E1655)</f>
        <v/>
      </c>
      <c r="X1655" s="35">
        <f>INDEX(X$263:X$279,$F1655)*$D1655*INDEX(X$23:X$30,$E1655)</f>
        <v/>
      </c>
      <c r="Y1655" s="35">
        <f>INDEX(Y$263:Y$279,$F1655)*$D1655*INDEX(Y$23:Y$30,$E1655)</f>
        <v/>
      </c>
      <c r="Z1655" s="35">
        <f>INDEX(Z$263:Z$279,$F1655)*$D1655*INDEX(Z$23:Z$30,$E1655)</f>
        <v/>
      </c>
      <c r="AA1655" s="35">
        <f>INDEX(AA$263:AA$279,$F1655)*$D1655*INDEX(AA$23:AA$30,$E1655)</f>
        <v/>
      </c>
      <c r="AB1655" s="35">
        <f>INDEX(AB$263:AB$279,$F1655)*$D1655*INDEX(AB$23:AB$30,$E1655)</f>
        <v/>
      </c>
      <c r="AC1655" s="35">
        <f>INDEX(AC$263:AC$279,$F1655)*$D1655*INDEX(AC$23:AC$30,$E1655)</f>
        <v/>
      </c>
      <c r="AD1655" s="35">
        <f>INDEX(AD$263:AD$279,$F1655)*$D1655*INDEX(AD$23:AD$30,$E1655)</f>
        <v/>
      </c>
      <c r="AE1655" s="42">
        <f>CARBONTAX(INDEX(AE$263:AE$279,$F1655),$D1655,INDEX(AE$23:AE$30,$E1655))</f>
        <v/>
      </c>
      <c r="AG1655" s="11">
        <f>CodePrefix&amp;$A1655&amp;IF($C1655="","","."&amp;$C1655&amp;"."&amp;$B1655)&amp;INDEX(VarEnd,MATCH($A1655,VarKey,0))&amp;AG$5</f>
        <v/>
      </c>
      <c r="AH1655" s="40">
        <f>INDEX(AH$263:AH$279,$F1655)*$D1655*INDEX(AH$23:AH$30,$E1655)</f>
        <v/>
      </c>
      <c r="AI1655" s="35">
        <f>INDEX(AI$263:AI$279,$F1655)*$D1655*INDEX(AI$23:AI$30,$E1655)</f>
        <v/>
      </c>
      <c r="AJ1655" s="35">
        <f>INDEX(AJ$263:AJ$279,$F1655)*$D1655*INDEX(AJ$23:AJ$30,$E1655)</f>
        <v/>
      </c>
      <c r="AK1655" s="35">
        <f>INDEX(AK$263:AK$279,$F1655)*$D1655*INDEX(AK$23:AK$30,$E1655)</f>
        <v/>
      </c>
      <c r="AL1655" s="35">
        <f>INDEX(AL$263:AL$279,$F1655)*$D1655*INDEX(AL$23:AL$30,$E1655)</f>
        <v/>
      </c>
      <c r="AM1655" s="35">
        <f>INDEX(AM$263:AM$279,$F1655)*$D1655*INDEX(AM$23:AM$30,$E1655)</f>
        <v/>
      </c>
      <c r="AN1655" s="35">
        <f>INDEX(AN$263:AN$279,$F1655)*$D1655*INDEX(AN$23:AN$30,$E1655)</f>
        <v/>
      </c>
      <c r="AO1655" s="35">
        <f>INDEX(AO$263:AO$279,$F1655)*$D1655*INDEX(AO$23:AO$30,$E1655)</f>
        <v/>
      </c>
      <c r="AP1655" s="35">
        <f>INDEX(AP$263:AP$279,$F1655)*$D1655*INDEX(AP$23:AP$30,$E1655)</f>
        <v/>
      </c>
      <c r="AQ1655" s="35">
        <f>INDEX(AQ$263:AQ$279,$F1655)*$D1655*INDEX(AQ$23:AQ$30,$E1655)</f>
        <v/>
      </c>
      <c r="AR1655" s="35">
        <f>INDEX(AR$263:AR$279,$F1655)*$D1655*INDEX(AR$23:AR$30,$E1655)</f>
        <v/>
      </c>
      <c r="AS1655" s="35">
        <f>INDEX(AS$263:AS$279,$F1655)*$D1655*INDEX(AS$23:AS$30,$E1655)</f>
        <v/>
      </c>
      <c r="AT1655" s="35">
        <f>INDEX(AT$263:AT$279,$F1655)*$D1655*INDEX(AT$23:AT$30,$E1655)</f>
        <v/>
      </c>
      <c r="AU1655" s="35">
        <f>INDEX(AU$263:AU$279,$F1655)*$D1655*INDEX(AU$23:AU$30,$E1655)</f>
        <v/>
      </c>
      <c r="AV1655" s="35">
        <f>INDEX(AV$263:AV$279,$F1655)*$D1655*INDEX(AV$23:AV$30,$E1655)</f>
        <v/>
      </c>
      <c r="AW1655" s="35">
        <f>INDEX(AW$263:AW$279,$F1655)*$D1655*INDEX(AW$23:AW$30,$E1655)</f>
        <v/>
      </c>
      <c r="AX1655" s="35">
        <f>INDEX(AX$263:AX$279,$F1655)*$D1655*INDEX(AX$23:AX$30,$E1655)</f>
        <v/>
      </c>
      <c r="AY1655" s="35">
        <f>INDEX(AY$263:AY$279,$F1655)*$D1655*INDEX(AY$23:AY$30,$E1655)</f>
        <v/>
      </c>
      <c r="AZ1655" s="35">
        <f>INDEX(AZ$263:AZ$279,$F1655)*$D1655*INDEX(AZ$23:AZ$30,$E1655)</f>
        <v/>
      </c>
      <c r="BA1655" s="42">
        <f>CARBONTAX(INDEX(BA$263:BA$279,$F1655),$D1655,INDEX(BA$23:BA$30,$E1655))</f>
        <v/>
      </c>
    </row>
    <row r="1656" hidden="1" outlineLevel="2">
      <c r="A1656" s="14" t="inlineStr">
        <is>
          <t>ctxnew</t>
        </is>
      </c>
      <c r="B1656" s="14" t="inlineStr">
        <is>
          <t>oop</t>
        </is>
      </c>
      <c r="C1656" s="14" t="inlineStr">
        <is>
          <t>foo</t>
        </is>
      </c>
      <c r="D1656" s="35">
        <f>INDEX(Inputs!$W$5:$W$132,MATCH($B1656&amp;"|"&amp;$C1656,Inputs!$A$5:$A$132,0))</f>
        <v/>
      </c>
      <c r="E1656" s="35">
        <f>INDEX(Inputs!$L$5:$L$132,MATCH($B1656&amp;"|"&amp;$C1656,Inputs!$A$5:$A$132,0))</f>
        <v/>
      </c>
      <c r="F1656" s="35">
        <f>INDEX(Inputs!$M$5:$M$132,MATCH($B1656&amp;"|"&amp;$C1656,Inputs!$A$5:$A$132,0))</f>
        <v/>
      </c>
      <c r="G1656" s="39" t="n"/>
      <c r="H1656" s="14">
        <f>INDEX(VarLab,MATCH($A1656,VarKey,0))&amp;INDEX(MemLab,MATCH($C1656&amp;"|"&amp;$B1656,MemKey,0))</f>
        <v/>
      </c>
      <c r="I1656" s="14">
        <f>INDEX(VarUnit,MATCH($A1656,VarKey,0))</f>
        <v/>
      </c>
      <c r="J1656" s="14">
        <f>INDEX(VarSrc,MATCH($A1656,VarKey,0))</f>
        <v/>
      </c>
      <c r="K1656" s="11">
        <f>CodePrefix&amp;$A1656&amp;IF($C1656="","","."&amp;$C1656&amp;"."&amp;$B1656)&amp;INDEX(VarEnd,MATCH($A1656,VarKey,0))&amp;K$5</f>
        <v/>
      </c>
      <c r="L1656" s="40">
        <f>INDEX(L$263:L$279,$F1656)*$D1656*INDEX(L$23:L$30,$E1656)</f>
        <v/>
      </c>
      <c r="M1656" s="35">
        <f>INDEX(M$263:M$279,$F1656)*$D1656*INDEX(M$23:M$30,$E1656)</f>
        <v/>
      </c>
      <c r="N1656" s="35">
        <f>INDEX(N$263:N$279,$F1656)*$D1656*INDEX(N$23:N$30,$E1656)</f>
        <v/>
      </c>
      <c r="O1656" s="35">
        <f>INDEX(O$263:O$279,$F1656)*$D1656*INDEX(O$23:O$30,$E1656)</f>
        <v/>
      </c>
      <c r="P1656" s="35">
        <f>INDEX(P$263:P$279,$F1656)*$D1656*INDEX(P$23:P$30,$E1656)</f>
        <v/>
      </c>
      <c r="Q1656" s="35">
        <f>INDEX(Q$263:Q$279,$F1656)*$D1656*INDEX(Q$23:Q$30,$E1656)</f>
        <v/>
      </c>
      <c r="R1656" s="35">
        <f>INDEX(R$263:R$279,$F1656)*$D1656*INDEX(R$23:R$30,$E1656)</f>
        <v/>
      </c>
      <c r="S1656" s="35">
        <f>INDEX(S$263:S$279,$F1656)*$D1656*INDEX(S$23:S$30,$E1656)</f>
        <v/>
      </c>
      <c r="T1656" s="35">
        <f>INDEX(T$263:T$279,$F1656)*$D1656*INDEX(T$23:T$30,$E1656)</f>
        <v/>
      </c>
      <c r="U1656" s="35">
        <f>INDEX(U$263:U$279,$F1656)*$D1656*INDEX(U$23:U$30,$E1656)</f>
        <v/>
      </c>
      <c r="V1656" s="35">
        <f>INDEX(V$263:V$279,$F1656)*$D1656*INDEX(V$23:V$30,$E1656)</f>
        <v/>
      </c>
      <c r="W1656" s="35">
        <f>INDEX(W$263:W$279,$F1656)*$D1656*INDEX(W$23:W$30,$E1656)</f>
        <v/>
      </c>
      <c r="X1656" s="35">
        <f>INDEX(X$263:X$279,$F1656)*$D1656*INDEX(X$23:X$30,$E1656)</f>
        <v/>
      </c>
      <c r="Y1656" s="35">
        <f>INDEX(Y$263:Y$279,$F1656)*$D1656*INDEX(Y$23:Y$30,$E1656)</f>
        <v/>
      </c>
      <c r="Z1656" s="35">
        <f>INDEX(Z$263:Z$279,$F1656)*$D1656*INDEX(Z$23:Z$30,$E1656)</f>
        <v/>
      </c>
      <c r="AA1656" s="35">
        <f>INDEX(AA$263:AA$279,$F1656)*$D1656*INDEX(AA$23:AA$30,$E1656)</f>
        <v/>
      </c>
      <c r="AB1656" s="35">
        <f>INDEX(AB$263:AB$279,$F1656)*$D1656*INDEX(AB$23:AB$30,$E1656)</f>
        <v/>
      </c>
      <c r="AC1656" s="35">
        <f>INDEX(AC$263:AC$279,$F1656)*$D1656*INDEX(AC$23:AC$30,$E1656)</f>
        <v/>
      </c>
      <c r="AD1656" s="35">
        <f>INDEX(AD$263:AD$279,$F1656)*$D1656*INDEX(AD$23:AD$30,$E1656)</f>
        <v/>
      </c>
      <c r="AE1656" s="42">
        <f>CARBONTAX(INDEX(AE$263:AE$279,$F1656),$D1656,INDEX(AE$23:AE$30,$E1656))</f>
        <v/>
      </c>
      <c r="AG1656" s="11">
        <f>CodePrefix&amp;$A1656&amp;IF($C1656="","","."&amp;$C1656&amp;"."&amp;$B1656)&amp;INDEX(VarEnd,MATCH($A1656,VarKey,0))&amp;AG$5</f>
        <v/>
      </c>
      <c r="AH1656" s="40">
        <f>INDEX(AH$263:AH$279,$F1656)*$D1656*INDEX(AH$23:AH$30,$E1656)</f>
        <v/>
      </c>
      <c r="AI1656" s="35">
        <f>INDEX(AI$263:AI$279,$F1656)*$D1656*INDEX(AI$23:AI$30,$E1656)</f>
        <v/>
      </c>
      <c r="AJ1656" s="35">
        <f>INDEX(AJ$263:AJ$279,$F1656)*$D1656*INDEX(AJ$23:AJ$30,$E1656)</f>
        <v/>
      </c>
      <c r="AK1656" s="35">
        <f>INDEX(AK$263:AK$279,$F1656)*$D1656*INDEX(AK$23:AK$30,$E1656)</f>
        <v/>
      </c>
      <c r="AL1656" s="35">
        <f>INDEX(AL$263:AL$279,$F1656)*$D1656*INDEX(AL$23:AL$30,$E1656)</f>
        <v/>
      </c>
      <c r="AM1656" s="35">
        <f>INDEX(AM$263:AM$279,$F1656)*$D1656*INDEX(AM$23:AM$30,$E1656)</f>
        <v/>
      </c>
      <c r="AN1656" s="35">
        <f>INDEX(AN$263:AN$279,$F1656)*$D1656*INDEX(AN$23:AN$30,$E1656)</f>
        <v/>
      </c>
      <c r="AO1656" s="35">
        <f>INDEX(AO$263:AO$279,$F1656)*$D1656*INDEX(AO$23:AO$30,$E1656)</f>
        <v/>
      </c>
      <c r="AP1656" s="35">
        <f>INDEX(AP$263:AP$279,$F1656)*$D1656*INDEX(AP$23:AP$30,$E1656)</f>
        <v/>
      </c>
      <c r="AQ1656" s="35">
        <f>INDEX(AQ$263:AQ$279,$F1656)*$D1656*INDEX(AQ$23:AQ$30,$E1656)</f>
        <v/>
      </c>
      <c r="AR1656" s="35">
        <f>INDEX(AR$263:AR$279,$F1656)*$D1656*INDEX(AR$23:AR$30,$E1656)</f>
        <v/>
      </c>
      <c r="AS1656" s="35">
        <f>INDEX(AS$263:AS$279,$F1656)*$D1656*INDEX(AS$23:AS$30,$E1656)</f>
        <v/>
      </c>
      <c r="AT1656" s="35">
        <f>INDEX(AT$263:AT$279,$F1656)*$D1656*INDEX(AT$23:AT$30,$E1656)</f>
        <v/>
      </c>
      <c r="AU1656" s="35">
        <f>INDEX(AU$263:AU$279,$F1656)*$D1656*INDEX(AU$23:AU$30,$E1656)</f>
        <v/>
      </c>
      <c r="AV1656" s="35">
        <f>INDEX(AV$263:AV$279,$F1656)*$D1656*INDEX(AV$23:AV$30,$E1656)</f>
        <v/>
      </c>
      <c r="AW1656" s="35">
        <f>INDEX(AW$263:AW$279,$F1656)*$D1656*INDEX(AW$23:AW$30,$E1656)</f>
        <v/>
      </c>
      <c r="AX1656" s="35">
        <f>INDEX(AX$263:AX$279,$F1656)*$D1656*INDEX(AX$23:AX$30,$E1656)</f>
        <v/>
      </c>
      <c r="AY1656" s="35">
        <f>INDEX(AY$263:AY$279,$F1656)*$D1656*INDEX(AY$23:AY$30,$E1656)</f>
        <v/>
      </c>
      <c r="AZ1656" s="35">
        <f>INDEX(AZ$263:AZ$279,$F1656)*$D1656*INDEX(AZ$23:AZ$30,$E1656)</f>
        <v/>
      </c>
      <c r="BA1656" s="42">
        <f>CARBONTAX(INDEX(BA$263:BA$279,$F1656),$D1656,INDEX(BA$23:BA$30,$E1656))</f>
        <v/>
      </c>
    </row>
    <row r="1657" hidden="1" outlineLevel="2">
      <c r="A1657" s="14" t="inlineStr">
        <is>
          <t>ctxnew</t>
        </is>
      </c>
      <c r="B1657" s="14" t="inlineStr">
        <is>
          <t>bio</t>
        </is>
      </c>
      <c r="C1657" s="14" t="inlineStr">
        <is>
          <t>foo</t>
        </is>
      </c>
      <c r="D1657" s="35">
        <f>INDEX(Inputs!$W$5:$W$132,MATCH($B1657&amp;"|"&amp;$C1657,Inputs!$A$5:$A$132,0))</f>
        <v/>
      </c>
      <c r="E1657" s="35">
        <f>INDEX(Inputs!$L$5:$L$132,MATCH($B1657&amp;"|"&amp;$C1657,Inputs!$A$5:$A$132,0))</f>
        <v/>
      </c>
      <c r="F1657" s="35">
        <f>INDEX(Inputs!$M$5:$M$132,MATCH($B1657&amp;"|"&amp;$C1657,Inputs!$A$5:$A$132,0))</f>
        <v/>
      </c>
      <c r="G1657" s="39" t="n"/>
      <c r="H1657" s="14">
        <f>INDEX(VarLab,MATCH($A1657,VarKey,0))&amp;INDEX(MemLab,MATCH($C1657&amp;"|"&amp;$B1657,MemKey,0))</f>
        <v/>
      </c>
      <c r="I1657" s="14">
        <f>INDEX(VarUnit,MATCH($A1657,VarKey,0))</f>
        <v/>
      </c>
      <c r="J1657" s="14">
        <f>INDEX(VarSrc,MATCH($A1657,VarKey,0))</f>
        <v/>
      </c>
      <c r="K1657" s="11">
        <f>CodePrefix&amp;$A1657&amp;IF($C1657="","","."&amp;$C1657&amp;"."&amp;$B1657)&amp;INDEX(VarEnd,MATCH($A1657,VarKey,0))&amp;K$5</f>
        <v/>
      </c>
      <c r="L1657" s="40">
        <f>INDEX(L$263:L$279,$F1657)*$D1657*INDEX(L$23:L$30,$E1657)</f>
        <v/>
      </c>
      <c r="M1657" s="35">
        <f>INDEX(M$263:M$279,$F1657)*$D1657*INDEX(M$23:M$30,$E1657)</f>
        <v/>
      </c>
      <c r="N1657" s="35">
        <f>INDEX(N$263:N$279,$F1657)*$D1657*INDEX(N$23:N$30,$E1657)</f>
        <v/>
      </c>
      <c r="O1657" s="35">
        <f>INDEX(O$263:O$279,$F1657)*$D1657*INDEX(O$23:O$30,$E1657)</f>
        <v/>
      </c>
      <c r="P1657" s="35">
        <f>INDEX(P$263:P$279,$F1657)*$D1657*INDEX(P$23:P$30,$E1657)</f>
        <v/>
      </c>
      <c r="Q1657" s="35">
        <f>INDEX(Q$263:Q$279,$F1657)*$D1657*INDEX(Q$23:Q$30,$E1657)</f>
        <v/>
      </c>
      <c r="R1657" s="35">
        <f>INDEX(R$263:R$279,$F1657)*$D1657*INDEX(R$23:R$30,$E1657)</f>
        <v/>
      </c>
      <c r="S1657" s="35">
        <f>INDEX(S$263:S$279,$F1657)*$D1657*INDEX(S$23:S$30,$E1657)</f>
        <v/>
      </c>
      <c r="T1657" s="35">
        <f>INDEX(T$263:T$279,$F1657)*$D1657*INDEX(T$23:T$30,$E1657)</f>
        <v/>
      </c>
      <c r="U1657" s="35">
        <f>INDEX(U$263:U$279,$F1657)*$D1657*INDEX(U$23:U$30,$E1657)</f>
        <v/>
      </c>
      <c r="V1657" s="35">
        <f>INDEX(V$263:V$279,$F1657)*$D1657*INDEX(V$23:V$30,$E1657)</f>
        <v/>
      </c>
      <c r="W1657" s="35">
        <f>INDEX(W$263:W$279,$F1657)*$D1657*INDEX(W$23:W$30,$E1657)</f>
        <v/>
      </c>
      <c r="X1657" s="35">
        <f>INDEX(X$263:X$279,$F1657)*$D1657*INDEX(X$23:X$30,$E1657)</f>
        <v/>
      </c>
      <c r="Y1657" s="35">
        <f>INDEX(Y$263:Y$279,$F1657)*$D1657*INDEX(Y$23:Y$30,$E1657)</f>
        <v/>
      </c>
      <c r="Z1657" s="35">
        <f>INDEX(Z$263:Z$279,$F1657)*$D1657*INDEX(Z$23:Z$30,$E1657)</f>
        <v/>
      </c>
      <c r="AA1657" s="35">
        <f>INDEX(AA$263:AA$279,$F1657)*$D1657*INDEX(AA$23:AA$30,$E1657)</f>
        <v/>
      </c>
      <c r="AB1657" s="35">
        <f>INDEX(AB$263:AB$279,$F1657)*$D1657*INDEX(AB$23:AB$30,$E1657)</f>
        <v/>
      </c>
      <c r="AC1657" s="35">
        <f>INDEX(AC$263:AC$279,$F1657)*$D1657*INDEX(AC$23:AC$30,$E1657)</f>
        <v/>
      </c>
      <c r="AD1657" s="35">
        <f>INDEX(AD$263:AD$279,$F1657)*$D1657*INDEX(AD$23:AD$30,$E1657)</f>
        <v/>
      </c>
      <c r="AE1657" s="42">
        <f>CARBONTAX(INDEX(AE$263:AE$279,$F1657),$D1657,INDEX(AE$23:AE$30,$E1657))</f>
        <v/>
      </c>
      <c r="AG1657" s="11">
        <f>CodePrefix&amp;$A1657&amp;IF($C1657="","","."&amp;$C1657&amp;"."&amp;$B1657)&amp;INDEX(VarEnd,MATCH($A1657,VarKey,0))&amp;AG$5</f>
        <v/>
      </c>
      <c r="AH1657" s="40">
        <f>INDEX(AH$263:AH$279,$F1657)*$D1657*INDEX(AH$23:AH$30,$E1657)</f>
        <v/>
      </c>
      <c r="AI1657" s="35">
        <f>INDEX(AI$263:AI$279,$F1657)*$D1657*INDEX(AI$23:AI$30,$E1657)</f>
        <v/>
      </c>
      <c r="AJ1657" s="35">
        <f>INDEX(AJ$263:AJ$279,$F1657)*$D1657*INDEX(AJ$23:AJ$30,$E1657)</f>
        <v/>
      </c>
      <c r="AK1657" s="35">
        <f>INDEX(AK$263:AK$279,$F1657)*$D1657*INDEX(AK$23:AK$30,$E1657)</f>
        <v/>
      </c>
      <c r="AL1657" s="35">
        <f>INDEX(AL$263:AL$279,$F1657)*$D1657*INDEX(AL$23:AL$30,$E1657)</f>
        <v/>
      </c>
      <c r="AM1657" s="35">
        <f>INDEX(AM$263:AM$279,$F1657)*$D1657*INDEX(AM$23:AM$30,$E1657)</f>
        <v/>
      </c>
      <c r="AN1657" s="35">
        <f>INDEX(AN$263:AN$279,$F1657)*$D1657*INDEX(AN$23:AN$30,$E1657)</f>
        <v/>
      </c>
      <c r="AO1657" s="35">
        <f>INDEX(AO$263:AO$279,$F1657)*$D1657*INDEX(AO$23:AO$30,$E1657)</f>
        <v/>
      </c>
      <c r="AP1657" s="35">
        <f>INDEX(AP$263:AP$279,$F1657)*$D1657*INDEX(AP$23:AP$30,$E1657)</f>
        <v/>
      </c>
      <c r="AQ1657" s="35">
        <f>INDEX(AQ$263:AQ$279,$F1657)*$D1657*INDEX(AQ$23:AQ$30,$E1657)</f>
        <v/>
      </c>
      <c r="AR1657" s="35">
        <f>INDEX(AR$263:AR$279,$F1657)*$D1657*INDEX(AR$23:AR$30,$E1657)</f>
        <v/>
      </c>
      <c r="AS1657" s="35">
        <f>INDEX(AS$263:AS$279,$F1657)*$D1657*INDEX(AS$23:AS$30,$E1657)</f>
        <v/>
      </c>
      <c r="AT1657" s="35">
        <f>INDEX(AT$263:AT$279,$F1657)*$D1657*INDEX(AT$23:AT$30,$E1657)</f>
        <v/>
      </c>
      <c r="AU1657" s="35">
        <f>INDEX(AU$263:AU$279,$F1657)*$D1657*INDEX(AU$23:AU$30,$E1657)</f>
        <v/>
      </c>
      <c r="AV1657" s="35">
        <f>INDEX(AV$263:AV$279,$F1657)*$D1657*INDEX(AV$23:AV$30,$E1657)</f>
        <v/>
      </c>
      <c r="AW1657" s="35">
        <f>INDEX(AW$263:AW$279,$F1657)*$D1657*INDEX(AW$23:AW$30,$E1657)</f>
        <v/>
      </c>
      <c r="AX1657" s="35">
        <f>INDEX(AX$263:AX$279,$F1657)*$D1657*INDEX(AX$23:AX$30,$E1657)</f>
        <v/>
      </c>
      <c r="AY1657" s="35">
        <f>INDEX(AY$263:AY$279,$F1657)*$D1657*INDEX(AY$23:AY$30,$E1657)</f>
        <v/>
      </c>
      <c r="AZ1657" s="35">
        <f>INDEX(AZ$263:AZ$279,$F1657)*$D1657*INDEX(AZ$23:AZ$30,$E1657)</f>
        <v/>
      </c>
      <c r="BA1657" s="42">
        <f>CARBONTAX(INDEX(BA$263:BA$279,$F1657),$D1657,INDEX(BA$23:BA$30,$E1657))</f>
        <v/>
      </c>
    </row>
    <row r="1658" hidden="1" outlineLevel="2"/>
    <row r="1659" hidden="1" outlineLevel="2">
      <c r="A1659" s="14" t="inlineStr">
        <is>
          <t>ets</t>
        </is>
      </c>
      <c r="B1659" s="14" t="inlineStr">
        <is>
          <t>coa</t>
        </is>
      </c>
      <c r="C1659" s="14" t="inlineStr">
        <is>
          <t>foo</t>
        </is>
      </c>
      <c r="D1659" s="35">
        <f>INDEX(Inputs!$W$5:$W$132,MATCH($B1659&amp;"|"&amp;$C1659,Inputs!$A$5:$A$132,0))</f>
        <v/>
      </c>
      <c r="E1659" s="35">
        <f>INDEX(Inputs!$M$5:$M$132,MATCH($B1659&amp;"|"&amp;$C1659,Inputs!$A$5:$A$132,0))</f>
        <v/>
      </c>
      <c r="F1659" s="39" t="n"/>
      <c r="G1659" s="39" t="n"/>
      <c r="H1659" s="14">
        <f>INDEX(VarLab,MATCH($A1659,VarKey,0))&amp;INDEX(MemLab,MATCH($C1659&amp;"|"&amp;$B1659,MemKey,0))</f>
        <v/>
      </c>
      <c r="I1659" s="14">
        <f>INDEX(VarUnit,MATCH($A1659,VarKey,0))</f>
        <v/>
      </c>
      <c r="J1659" s="14">
        <f>INDEX(VarSrc,MATCH($A1659,VarKey,0))</f>
        <v/>
      </c>
      <c r="K1659" s="11">
        <f>CodePrefix&amp;$A1659&amp;IF($C1659="","","."&amp;$C1659&amp;"."&amp;$B1659)&amp;INDEX(VarEnd,MATCH($A1659,VarKey,0))&amp;K$5</f>
        <v/>
      </c>
      <c r="L1659" s="40">
        <f>INDEX(L$280:L$296,$E1659)*$D1659</f>
        <v/>
      </c>
      <c r="M1659" s="35">
        <f>INDEX(M$280:M$296,$E1659)*$D1659</f>
        <v/>
      </c>
      <c r="N1659" s="35">
        <f>INDEX(N$280:N$296,$E1659)*$D1659</f>
        <v/>
      </c>
      <c r="O1659" s="35">
        <f>INDEX(O$280:O$296,$E1659)*$D1659</f>
        <v/>
      </c>
      <c r="P1659" s="35">
        <f>INDEX(P$280:P$296,$E1659)*$D1659</f>
        <v/>
      </c>
      <c r="Q1659" s="35">
        <f>INDEX(Q$280:Q$296,$E1659)*$D1659</f>
        <v/>
      </c>
      <c r="R1659" s="35">
        <f>INDEX(R$280:R$296,$E1659)*$D1659</f>
        <v/>
      </c>
      <c r="S1659" s="35">
        <f>INDEX(S$280:S$296,$E1659)*$D1659</f>
        <v/>
      </c>
      <c r="T1659" s="35">
        <f>INDEX(T$280:T$296,$E1659)*$D1659</f>
        <v/>
      </c>
      <c r="U1659" s="35">
        <f>INDEX(U$280:U$296,$E1659)*$D1659</f>
        <v/>
      </c>
      <c r="V1659" s="35">
        <f>INDEX(V$280:V$296,$E1659)*$D1659</f>
        <v/>
      </c>
      <c r="W1659" s="35">
        <f>INDEX(W$280:W$296,$E1659)*$D1659</f>
        <v/>
      </c>
      <c r="X1659" s="35">
        <f>INDEX(X$280:X$296,$E1659)*$D1659</f>
        <v/>
      </c>
      <c r="Y1659" s="35">
        <f>INDEX(Y$280:Y$296,$E1659)*$D1659</f>
        <v/>
      </c>
      <c r="Z1659" s="35">
        <f>INDEX(Z$280:Z$296,$E1659)*$D1659</f>
        <v/>
      </c>
      <c r="AA1659" s="35">
        <f>INDEX(AA$280:AA$296,$E1659)*$D1659</f>
        <v/>
      </c>
      <c r="AB1659" s="35">
        <f>INDEX(AB$280:AB$296,$E1659)*$D1659</f>
        <v/>
      </c>
      <c r="AC1659" s="35">
        <f>INDEX(AC$280:AC$296,$E1659)*$D1659</f>
        <v/>
      </c>
      <c r="AD1659" s="35">
        <f>INDEX(AD$280:AD$296,$E1659)*$D1659</f>
        <v/>
      </c>
      <c r="AE1659" s="42">
        <f>ETSCOST(INDEX(AE$280:AE$296,$E1659),$D1659)</f>
        <v/>
      </c>
      <c r="AG1659" s="11">
        <f>CodePrefix&amp;$A1659&amp;IF($C1659="","","."&amp;$C1659&amp;"."&amp;$B1659)&amp;INDEX(VarEnd,MATCH($A1659,VarKey,0))&amp;AG$5</f>
        <v/>
      </c>
      <c r="AH1659" s="40">
        <f>INDEX(AH$280:AH$296,$E1659)*$D1659</f>
        <v/>
      </c>
      <c r="AI1659" s="35">
        <f>INDEX(AI$280:AI$296,$E1659)*$D1659</f>
        <v/>
      </c>
      <c r="AJ1659" s="35">
        <f>INDEX(AJ$280:AJ$296,$E1659)*$D1659</f>
        <v/>
      </c>
      <c r="AK1659" s="35">
        <f>INDEX(AK$280:AK$296,$E1659)*$D1659</f>
        <v/>
      </c>
      <c r="AL1659" s="35">
        <f>INDEX(AL$280:AL$296,$E1659)*$D1659</f>
        <v/>
      </c>
      <c r="AM1659" s="35">
        <f>INDEX(AM$280:AM$296,$E1659)*$D1659</f>
        <v/>
      </c>
      <c r="AN1659" s="35">
        <f>INDEX(AN$280:AN$296,$E1659)*$D1659</f>
        <v/>
      </c>
      <c r="AO1659" s="35">
        <f>INDEX(AO$280:AO$296,$E1659)*$D1659</f>
        <v/>
      </c>
      <c r="AP1659" s="35">
        <f>INDEX(AP$280:AP$296,$E1659)*$D1659</f>
        <v/>
      </c>
      <c r="AQ1659" s="35">
        <f>INDEX(AQ$280:AQ$296,$E1659)*$D1659</f>
        <v/>
      </c>
      <c r="AR1659" s="35">
        <f>INDEX(AR$280:AR$296,$E1659)*$D1659</f>
        <v/>
      </c>
      <c r="AS1659" s="35">
        <f>INDEX(AS$280:AS$296,$E1659)*$D1659</f>
        <v/>
      </c>
      <c r="AT1659" s="35">
        <f>INDEX(AT$280:AT$296,$E1659)*$D1659</f>
        <v/>
      </c>
      <c r="AU1659" s="35">
        <f>INDEX(AU$280:AU$296,$E1659)*$D1659</f>
        <v/>
      </c>
      <c r="AV1659" s="35">
        <f>INDEX(AV$280:AV$296,$E1659)*$D1659</f>
        <v/>
      </c>
      <c r="AW1659" s="35">
        <f>INDEX(AW$280:AW$296,$E1659)*$D1659</f>
        <v/>
      </c>
      <c r="AX1659" s="35">
        <f>INDEX(AX$280:AX$296,$E1659)*$D1659</f>
        <v/>
      </c>
      <c r="AY1659" s="35">
        <f>INDEX(AY$280:AY$296,$E1659)*$D1659</f>
        <v/>
      </c>
      <c r="AZ1659" s="35">
        <f>INDEX(AZ$280:AZ$296,$E1659)*$D1659</f>
        <v/>
      </c>
      <c r="BA1659" s="42">
        <f>ETSCOST(INDEX(BA$280:BA$296,$E1659),$D1659)</f>
        <v/>
      </c>
    </row>
    <row r="1660" hidden="1" outlineLevel="2">
      <c r="A1660" s="14" t="inlineStr">
        <is>
          <t>ets</t>
        </is>
      </c>
      <c r="B1660" s="14" t="inlineStr">
        <is>
          <t>nga</t>
        </is>
      </c>
      <c r="C1660" s="14" t="inlineStr">
        <is>
          <t>foo</t>
        </is>
      </c>
      <c r="D1660" s="35">
        <f>INDEX(Inputs!$W$5:$W$132,MATCH($B1660&amp;"|"&amp;$C1660,Inputs!$A$5:$A$132,0))</f>
        <v/>
      </c>
      <c r="E1660" s="35">
        <f>INDEX(Inputs!$M$5:$M$132,MATCH($B1660&amp;"|"&amp;$C1660,Inputs!$A$5:$A$132,0))</f>
        <v/>
      </c>
      <c r="F1660" s="39" t="n"/>
      <c r="G1660" s="39" t="n"/>
      <c r="H1660" s="14">
        <f>INDEX(VarLab,MATCH($A1660,VarKey,0))&amp;INDEX(MemLab,MATCH($C1660&amp;"|"&amp;$B1660,MemKey,0))</f>
        <v/>
      </c>
      <c r="I1660" s="14">
        <f>INDEX(VarUnit,MATCH($A1660,VarKey,0))</f>
        <v/>
      </c>
      <c r="J1660" s="14">
        <f>INDEX(VarSrc,MATCH($A1660,VarKey,0))</f>
        <v/>
      </c>
      <c r="K1660" s="11">
        <f>CodePrefix&amp;$A1660&amp;IF($C1660="","","."&amp;$C1660&amp;"."&amp;$B1660)&amp;INDEX(VarEnd,MATCH($A1660,VarKey,0))&amp;K$5</f>
        <v/>
      </c>
      <c r="L1660" s="40">
        <f>INDEX(L$280:L$296,$E1660)*$D1660</f>
        <v/>
      </c>
      <c r="M1660" s="35">
        <f>INDEX(M$280:M$296,$E1660)*$D1660</f>
        <v/>
      </c>
      <c r="N1660" s="35">
        <f>INDEX(N$280:N$296,$E1660)*$D1660</f>
        <v/>
      </c>
      <c r="O1660" s="35">
        <f>INDEX(O$280:O$296,$E1660)*$D1660</f>
        <v/>
      </c>
      <c r="P1660" s="35">
        <f>INDEX(P$280:P$296,$E1660)*$D1660</f>
        <v/>
      </c>
      <c r="Q1660" s="35">
        <f>INDEX(Q$280:Q$296,$E1660)*$D1660</f>
        <v/>
      </c>
      <c r="R1660" s="35">
        <f>INDEX(R$280:R$296,$E1660)*$D1660</f>
        <v/>
      </c>
      <c r="S1660" s="35">
        <f>INDEX(S$280:S$296,$E1660)*$D1660</f>
        <v/>
      </c>
      <c r="T1660" s="35">
        <f>INDEX(T$280:T$296,$E1660)*$D1660</f>
        <v/>
      </c>
      <c r="U1660" s="35">
        <f>INDEX(U$280:U$296,$E1660)*$D1660</f>
        <v/>
      </c>
      <c r="V1660" s="35">
        <f>INDEX(V$280:V$296,$E1660)*$D1660</f>
        <v/>
      </c>
      <c r="W1660" s="35">
        <f>INDEX(W$280:W$296,$E1660)*$D1660</f>
        <v/>
      </c>
      <c r="X1660" s="35">
        <f>INDEX(X$280:X$296,$E1660)*$D1660</f>
        <v/>
      </c>
      <c r="Y1660" s="35">
        <f>INDEX(Y$280:Y$296,$E1660)*$D1660</f>
        <v/>
      </c>
      <c r="Z1660" s="35">
        <f>INDEX(Z$280:Z$296,$E1660)*$D1660</f>
        <v/>
      </c>
      <c r="AA1660" s="35">
        <f>INDEX(AA$280:AA$296,$E1660)*$D1660</f>
        <v/>
      </c>
      <c r="AB1660" s="35">
        <f>INDEX(AB$280:AB$296,$E1660)*$D1660</f>
        <v/>
      </c>
      <c r="AC1660" s="35">
        <f>INDEX(AC$280:AC$296,$E1660)*$D1660</f>
        <v/>
      </c>
      <c r="AD1660" s="35">
        <f>INDEX(AD$280:AD$296,$E1660)*$D1660</f>
        <v/>
      </c>
      <c r="AE1660" s="42">
        <f>ETSCOST(INDEX(AE$280:AE$296,$E1660),$D1660)</f>
        <v/>
      </c>
      <c r="AG1660" s="11">
        <f>CodePrefix&amp;$A1660&amp;IF($C1660="","","."&amp;$C1660&amp;"."&amp;$B1660)&amp;INDEX(VarEnd,MATCH($A1660,VarKey,0))&amp;AG$5</f>
        <v/>
      </c>
      <c r="AH1660" s="40">
        <f>INDEX(AH$280:AH$296,$E1660)*$D1660</f>
        <v/>
      </c>
      <c r="AI1660" s="35">
        <f>INDEX(AI$280:AI$296,$E1660)*$D1660</f>
        <v/>
      </c>
      <c r="AJ1660" s="35">
        <f>INDEX(AJ$280:AJ$296,$E1660)*$D1660</f>
        <v/>
      </c>
      <c r="AK1660" s="35">
        <f>INDEX(AK$280:AK$296,$E1660)*$D1660</f>
        <v/>
      </c>
      <c r="AL1660" s="35">
        <f>INDEX(AL$280:AL$296,$E1660)*$D1660</f>
        <v/>
      </c>
      <c r="AM1660" s="35">
        <f>INDEX(AM$280:AM$296,$E1660)*$D1660</f>
        <v/>
      </c>
      <c r="AN1660" s="35">
        <f>INDEX(AN$280:AN$296,$E1660)*$D1660</f>
        <v/>
      </c>
      <c r="AO1660" s="35">
        <f>INDEX(AO$280:AO$296,$E1660)*$D1660</f>
        <v/>
      </c>
      <c r="AP1660" s="35">
        <f>INDEX(AP$280:AP$296,$E1660)*$D1660</f>
        <v/>
      </c>
      <c r="AQ1660" s="35">
        <f>INDEX(AQ$280:AQ$296,$E1660)*$D1660</f>
        <v/>
      </c>
      <c r="AR1660" s="35">
        <f>INDEX(AR$280:AR$296,$E1660)*$D1660</f>
        <v/>
      </c>
      <c r="AS1660" s="35">
        <f>INDEX(AS$280:AS$296,$E1660)*$D1660</f>
        <v/>
      </c>
      <c r="AT1660" s="35">
        <f>INDEX(AT$280:AT$296,$E1660)*$D1660</f>
        <v/>
      </c>
      <c r="AU1660" s="35">
        <f>INDEX(AU$280:AU$296,$E1660)*$D1660</f>
        <v/>
      </c>
      <c r="AV1660" s="35">
        <f>INDEX(AV$280:AV$296,$E1660)*$D1660</f>
        <v/>
      </c>
      <c r="AW1660" s="35">
        <f>INDEX(AW$280:AW$296,$E1660)*$D1660</f>
        <v/>
      </c>
      <c r="AX1660" s="35">
        <f>INDEX(AX$280:AX$296,$E1660)*$D1660</f>
        <v/>
      </c>
      <c r="AY1660" s="35">
        <f>INDEX(AY$280:AY$296,$E1660)*$D1660</f>
        <v/>
      </c>
      <c r="AZ1660" s="35">
        <f>INDEX(AZ$280:AZ$296,$E1660)*$D1660</f>
        <v/>
      </c>
      <c r="BA1660" s="42">
        <f>ETSCOST(INDEX(BA$280:BA$296,$E1660),$D1660)</f>
        <v/>
      </c>
    </row>
    <row r="1661" hidden="1" outlineLevel="2">
      <c r="A1661" s="14" t="inlineStr">
        <is>
          <t>ets</t>
        </is>
      </c>
      <c r="B1661" s="14" t="inlineStr">
        <is>
          <t>gso</t>
        </is>
      </c>
      <c r="C1661" s="14" t="inlineStr">
        <is>
          <t>foo</t>
        </is>
      </c>
      <c r="D1661" s="35">
        <f>INDEX(Inputs!$W$5:$W$132,MATCH($B1661&amp;"|"&amp;$C1661,Inputs!$A$5:$A$132,0))</f>
        <v/>
      </c>
      <c r="E1661" s="35">
        <f>INDEX(Inputs!$M$5:$M$132,MATCH($B1661&amp;"|"&amp;$C1661,Inputs!$A$5:$A$132,0))</f>
        <v/>
      </c>
      <c r="F1661" s="39" t="n"/>
      <c r="G1661" s="39" t="n"/>
      <c r="H1661" s="14">
        <f>INDEX(VarLab,MATCH($A1661,VarKey,0))&amp;INDEX(MemLab,MATCH($C1661&amp;"|"&amp;$B1661,MemKey,0))</f>
        <v/>
      </c>
      <c r="I1661" s="14">
        <f>INDEX(VarUnit,MATCH($A1661,VarKey,0))</f>
        <v/>
      </c>
      <c r="J1661" s="14">
        <f>INDEX(VarSrc,MATCH($A1661,VarKey,0))</f>
        <v/>
      </c>
      <c r="K1661" s="11">
        <f>CodePrefix&amp;$A1661&amp;IF($C1661="","","."&amp;$C1661&amp;"."&amp;$B1661)&amp;INDEX(VarEnd,MATCH($A1661,VarKey,0))&amp;K$5</f>
        <v/>
      </c>
      <c r="L1661" s="40">
        <f>INDEX(L$280:L$296,$E1661)*$D1661</f>
        <v/>
      </c>
      <c r="M1661" s="35">
        <f>INDEX(M$280:M$296,$E1661)*$D1661</f>
        <v/>
      </c>
      <c r="N1661" s="35">
        <f>INDEX(N$280:N$296,$E1661)*$D1661</f>
        <v/>
      </c>
      <c r="O1661" s="35">
        <f>INDEX(O$280:O$296,$E1661)*$D1661</f>
        <v/>
      </c>
      <c r="P1661" s="35">
        <f>INDEX(P$280:P$296,$E1661)*$D1661</f>
        <v/>
      </c>
      <c r="Q1661" s="35">
        <f>INDEX(Q$280:Q$296,$E1661)*$D1661</f>
        <v/>
      </c>
      <c r="R1661" s="35">
        <f>INDEX(R$280:R$296,$E1661)*$D1661</f>
        <v/>
      </c>
      <c r="S1661" s="35">
        <f>INDEX(S$280:S$296,$E1661)*$D1661</f>
        <v/>
      </c>
      <c r="T1661" s="35">
        <f>INDEX(T$280:T$296,$E1661)*$D1661</f>
        <v/>
      </c>
      <c r="U1661" s="35">
        <f>INDEX(U$280:U$296,$E1661)*$D1661</f>
        <v/>
      </c>
      <c r="V1661" s="35">
        <f>INDEX(V$280:V$296,$E1661)*$D1661</f>
        <v/>
      </c>
      <c r="W1661" s="35">
        <f>INDEX(W$280:W$296,$E1661)*$D1661</f>
        <v/>
      </c>
      <c r="X1661" s="35">
        <f>INDEX(X$280:X$296,$E1661)*$D1661</f>
        <v/>
      </c>
      <c r="Y1661" s="35">
        <f>INDEX(Y$280:Y$296,$E1661)*$D1661</f>
        <v/>
      </c>
      <c r="Z1661" s="35">
        <f>INDEX(Z$280:Z$296,$E1661)*$D1661</f>
        <v/>
      </c>
      <c r="AA1661" s="35">
        <f>INDEX(AA$280:AA$296,$E1661)*$D1661</f>
        <v/>
      </c>
      <c r="AB1661" s="35">
        <f>INDEX(AB$280:AB$296,$E1661)*$D1661</f>
        <v/>
      </c>
      <c r="AC1661" s="35">
        <f>INDEX(AC$280:AC$296,$E1661)*$D1661</f>
        <v/>
      </c>
      <c r="AD1661" s="35">
        <f>INDEX(AD$280:AD$296,$E1661)*$D1661</f>
        <v/>
      </c>
      <c r="AE1661" s="42">
        <f>ETSCOST(INDEX(AE$280:AE$296,$E1661),$D1661)</f>
        <v/>
      </c>
      <c r="AG1661" s="11">
        <f>CodePrefix&amp;$A1661&amp;IF($C1661="","","."&amp;$C1661&amp;"."&amp;$B1661)&amp;INDEX(VarEnd,MATCH($A1661,VarKey,0))&amp;AG$5</f>
        <v/>
      </c>
      <c r="AH1661" s="40">
        <f>INDEX(AH$280:AH$296,$E1661)*$D1661</f>
        <v/>
      </c>
      <c r="AI1661" s="35">
        <f>INDEX(AI$280:AI$296,$E1661)*$D1661</f>
        <v/>
      </c>
      <c r="AJ1661" s="35">
        <f>INDEX(AJ$280:AJ$296,$E1661)*$D1661</f>
        <v/>
      </c>
      <c r="AK1661" s="35">
        <f>INDEX(AK$280:AK$296,$E1661)*$D1661</f>
        <v/>
      </c>
      <c r="AL1661" s="35">
        <f>INDEX(AL$280:AL$296,$E1661)*$D1661</f>
        <v/>
      </c>
      <c r="AM1661" s="35">
        <f>INDEX(AM$280:AM$296,$E1661)*$D1661</f>
        <v/>
      </c>
      <c r="AN1661" s="35">
        <f>INDEX(AN$280:AN$296,$E1661)*$D1661</f>
        <v/>
      </c>
      <c r="AO1661" s="35">
        <f>INDEX(AO$280:AO$296,$E1661)*$D1661</f>
        <v/>
      </c>
      <c r="AP1661" s="35">
        <f>INDEX(AP$280:AP$296,$E1661)*$D1661</f>
        <v/>
      </c>
      <c r="AQ1661" s="35">
        <f>INDEX(AQ$280:AQ$296,$E1661)*$D1661</f>
        <v/>
      </c>
      <c r="AR1661" s="35">
        <f>INDEX(AR$280:AR$296,$E1661)*$D1661</f>
        <v/>
      </c>
      <c r="AS1661" s="35">
        <f>INDEX(AS$280:AS$296,$E1661)*$D1661</f>
        <v/>
      </c>
      <c r="AT1661" s="35">
        <f>INDEX(AT$280:AT$296,$E1661)*$D1661</f>
        <v/>
      </c>
      <c r="AU1661" s="35">
        <f>INDEX(AU$280:AU$296,$E1661)*$D1661</f>
        <v/>
      </c>
      <c r="AV1661" s="35">
        <f>INDEX(AV$280:AV$296,$E1661)*$D1661</f>
        <v/>
      </c>
      <c r="AW1661" s="35">
        <f>INDEX(AW$280:AW$296,$E1661)*$D1661</f>
        <v/>
      </c>
      <c r="AX1661" s="35">
        <f>INDEX(AX$280:AX$296,$E1661)*$D1661</f>
        <v/>
      </c>
      <c r="AY1661" s="35">
        <f>INDEX(AY$280:AY$296,$E1661)*$D1661</f>
        <v/>
      </c>
      <c r="AZ1661" s="35">
        <f>INDEX(AZ$280:AZ$296,$E1661)*$D1661</f>
        <v/>
      </c>
      <c r="BA1661" s="42">
        <f>ETSCOST(INDEX(BA$280:BA$296,$E1661),$D1661)</f>
        <v/>
      </c>
    </row>
    <row r="1662" hidden="1" outlineLevel="2">
      <c r="A1662" s="14" t="inlineStr">
        <is>
          <t>ets</t>
        </is>
      </c>
      <c r="B1662" s="14" t="inlineStr">
        <is>
          <t>die</t>
        </is>
      </c>
      <c r="C1662" s="14" t="inlineStr">
        <is>
          <t>foo</t>
        </is>
      </c>
      <c r="D1662" s="35">
        <f>INDEX(Inputs!$W$5:$W$132,MATCH($B1662&amp;"|"&amp;$C1662,Inputs!$A$5:$A$132,0))</f>
        <v/>
      </c>
      <c r="E1662" s="35">
        <f>INDEX(Inputs!$M$5:$M$132,MATCH($B1662&amp;"|"&amp;$C1662,Inputs!$A$5:$A$132,0))</f>
        <v/>
      </c>
      <c r="F1662" s="39" t="n"/>
      <c r="G1662" s="39" t="n"/>
      <c r="H1662" s="14">
        <f>INDEX(VarLab,MATCH($A1662,VarKey,0))&amp;INDEX(MemLab,MATCH($C1662&amp;"|"&amp;$B1662,MemKey,0))</f>
        <v/>
      </c>
      <c r="I1662" s="14">
        <f>INDEX(VarUnit,MATCH($A1662,VarKey,0))</f>
        <v/>
      </c>
      <c r="J1662" s="14">
        <f>INDEX(VarSrc,MATCH($A1662,VarKey,0))</f>
        <v/>
      </c>
      <c r="K1662" s="11">
        <f>CodePrefix&amp;$A1662&amp;IF($C1662="","","."&amp;$C1662&amp;"."&amp;$B1662)&amp;INDEX(VarEnd,MATCH($A1662,VarKey,0))&amp;K$5</f>
        <v/>
      </c>
      <c r="L1662" s="40">
        <f>INDEX(L$280:L$296,$E1662)*$D1662</f>
        <v/>
      </c>
      <c r="M1662" s="35">
        <f>INDEX(M$280:M$296,$E1662)*$D1662</f>
        <v/>
      </c>
      <c r="N1662" s="35">
        <f>INDEX(N$280:N$296,$E1662)*$D1662</f>
        <v/>
      </c>
      <c r="O1662" s="35">
        <f>INDEX(O$280:O$296,$E1662)*$D1662</f>
        <v/>
      </c>
      <c r="P1662" s="35">
        <f>INDEX(P$280:P$296,$E1662)*$D1662</f>
        <v/>
      </c>
      <c r="Q1662" s="35">
        <f>INDEX(Q$280:Q$296,$E1662)*$D1662</f>
        <v/>
      </c>
      <c r="R1662" s="35">
        <f>INDEX(R$280:R$296,$E1662)*$D1662</f>
        <v/>
      </c>
      <c r="S1662" s="35">
        <f>INDEX(S$280:S$296,$E1662)*$D1662</f>
        <v/>
      </c>
      <c r="T1662" s="35">
        <f>INDEX(T$280:T$296,$E1662)*$D1662</f>
        <v/>
      </c>
      <c r="U1662" s="35">
        <f>INDEX(U$280:U$296,$E1662)*$D1662</f>
        <v/>
      </c>
      <c r="V1662" s="35">
        <f>INDEX(V$280:V$296,$E1662)*$D1662</f>
        <v/>
      </c>
      <c r="W1662" s="35">
        <f>INDEX(W$280:W$296,$E1662)*$D1662</f>
        <v/>
      </c>
      <c r="X1662" s="35">
        <f>INDEX(X$280:X$296,$E1662)*$D1662</f>
        <v/>
      </c>
      <c r="Y1662" s="35">
        <f>INDEX(Y$280:Y$296,$E1662)*$D1662</f>
        <v/>
      </c>
      <c r="Z1662" s="35">
        <f>INDEX(Z$280:Z$296,$E1662)*$D1662</f>
        <v/>
      </c>
      <c r="AA1662" s="35">
        <f>INDEX(AA$280:AA$296,$E1662)*$D1662</f>
        <v/>
      </c>
      <c r="AB1662" s="35">
        <f>INDEX(AB$280:AB$296,$E1662)*$D1662</f>
        <v/>
      </c>
      <c r="AC1662" s="35">
        <f>INDEX(AC$280:AC$296,$E1662)*$D1662</f>
        <v/>
      </c>
      <c r="AD1662" s="35">
        <f>INDEX(AD$280:AD$296,$E1662)*$D1662</f>
        <v/>
      </c>
      <c r="AE1662" s="42">
        <f>ETSCOST(INDEX(AE$280:AE$296,$E1662),$D1662)</f>
        <v/>
      </c>
      <c r="AG1662" s="11">
        <f>CodePrefix&amp;$A1662&amp;IF($C1662="","","."&amp;$C1662&amp;"."&amp;$B1662)&amp;INDEX(VarEnd,MATCH($A1662,VarKey,0))&amp;AG$5</f>
        <v/>
      </c>
      <c r="AH1662" s="40">
        <f>INDEX(AH$280:AH$296,$E1662)*$D1662</f>
        <v/>
      </c>
      <c r="AI1662" s="35">
        <f>INDEX(AI$280:AI$296,$E1662)*$D1662</f>
        <v/>
      </c>
      <c r="AJ1662" s="35">
        <f>INDEX(AJ$280:AJ$296,$E1662)*$D1662</f>
        <v/>
      </c>
      <c r="AK1662" s="35">
        <f>INDEX(AK$280:AK$296,$E1662)*$D1662</f>
        <v/>
      </c>
      <c r="AL1662" s="35">
        <f>INDEX(AL$280:AL$296,$E1662)*$D1662</f>
        <v/>
      </c>
      <c r="AM1662" s="35">
        <f>INDEX(AM$280:AM$296,$E1662)*$D1662</f>
        <v/>
      </c>
      <c r="AN1662" s="35">
        <f>INDEX(AN$280:AN$296,$E1662)*$D1662</f>
        <v/>
      </c>
      <c r="AO1662" s="35">
        <f>INDEX(AO$280:AO$296,$E1662)*$D1662</f>
        <v/>
      </c>
      <c r="AP1662" s="35">
        <f>INDEX(AP$280:AP$296,$E1662)*$D1662</f>
        <v/>
      </c>
      <c r="AQ1662" s="35">
        <f>INDEX(AQ$280:AQ$296,$E1662)*$D1662</f>
        <v/>
      </c>
      <c r="AR1662" s="35">
        <f>INDEX(AR$280:AR$296,$E1662)*$D1662</f>
        <v/>
      </c>
      <c r="AS1662" s="35">
        <f>INDEX(AS$280:AS$296,$E1662)*$D1662</f>
        <v/>
      </c>
      <c r="AT1662" s="35">
        <f>INDEX(AT$280:AT$296,$E1662)*$D1662</f>
        <v/>
      </c>
      <c r="AU1662" s="35">
        <f>INDEX(AU$280:AU$296,$E1662)*$D1662</f>
        <v/>
      </c>
      <c r="AV1662" s="35">
        <f>INDEX(AV$280:AV$296,$E1662)*$D1662</f>
        <v/>
      </c>
      <c r="AW1662" s="35">
        <f>INDEX(AW$280:AW$296,$E1662)*$D1662</f>
        <v/>
      </c>
      <c r="AX1662" s="35">
        <f>INDEX(AX$280:AX$296,$E1662)*$D1662</f>
        <v/>
      </c>
      <c r="AY1662" s="35">
        <f>INDEX(AY$280:AY$296,$E1662)*$D1662</f>
        <v/>
      </c>
      <c r="AZ1662" s="35">
        <f>INDEX(AZ$280:AZ$296,$E1662)*$D1662</f>
        <v/>
      </c>
      <c r="BA1662" s="42">
        <f>ETSCOST(INDEX(BA$280:BA$296,$E1662),$D1662)</f>
        <v/>
      </c>
    </row>
    <row r="1663" hidden="1" outlineLevel="2">
      <c r="A1663" s="14" t="inlineStr">
        <is>
          <t>ets</t>
        </is>
      </c>
      <c r="B1663" s="14" t="inlineStr">
        <is>
          <t>lpg</t>
        </is>
      </c>
      <c r="C1663" s="14" t="inlineStr">
        <is>
          <t>foo</t>
        </is>
      </c>
      <c r="D1663" s="35">
        <f>INDEX(Inputs!$W$5:$W$132,MATCH($B1663&amp;"|"&amp;$C1663,Inputs!$A$5:$A$132,0))</f>
        <v/>
      </c>
      <c r="E1663" s="35">
        <f>INDEX(Inputs!$M$5:$M$132,MATCH($B1663&amp;"|"&amp;$C1663,Inputs!$A$5:$A$132,0))</f>
        <v/>
      </c>
      <c r="F1663" s="39" t="n"/>
      <c r="G1663" s="39" t="n"/>
      <c r="H1663" s="14">
        <f>INDEX(VarLab,MATCH($A1663,VarKey,0))&amp;INDEX(MemLab,MATCH($C1663&amp;"|"&amp;$B1663,MemKey,0))</f>
        <v/>
      </c>
      <c r="I1663" s="14">
        <f>INDEX(VarUnit,MATCH($A1663,VarKey,0))</f>
        <v/>
      </c>
      <c r="J1663" s="14">
        <f>INDEX(VarSrc,MATCH($A1663,VarKey,0))</f>
        <v/>
      </c>
      <c r="K1663" s="11">
        <f>CodePrefix&amp;$A1663&amp;IF($C1663="","","."&amp;$C1663&amp;"."&amp;$B1663)&amp;INDEX(VarEnd,MATCH($A1663,VarKey,0))&amp;K$5</f>
        <v/>
      </c>
      <c r="L1663" s="40">
        <f>INDEX(L$280:L$296,$E1663)*$D1663</f>
        <v/>
      </c>
      <c r="M1663" s="35">
        <f>INDEX(M$280:M$296,$E1663)*$D1663</f>
        <v/>
      </c>
      <c r="N1663" s="35">
        <f>INDEX(N$280:N$296,$E1663)*$D1663</f>
        <v/>
      </c>
      <c r="O1663" s="35">
        <f>INDEX(O$280:O$296,$E1663)*$D1663</f>
        <v/>
      </c>
      <c r="P1663" s="35">
        <f>INDEX(P$280:P$296,$E1663)*$D1663</f>
        <v/>
      </c>
      <c r="Q1663" s="35">
        <f>INDEX(Q$280:Q$296,$E1663)*$D1663</f>
        <v/>
      </c>
      <c r="R1663" s="35">
        <f>INDEX(R$280:R$296,$E1663)*$D1663</f>
        <v/>
      </c>
      <c r="S1663" s="35">
        <f>INDEX(S$280:S$296,$E1663)*$D1663</f>
        <v/>
      </c>
      <c r="T1663" s="35">
        <f>INDEX(T$280:T$296,$E1663)*$D1663</f>
        <v/>
      </c>
      <c r="U1663" s="35">
        <f>INDEX(U$280:U$296,$E1663)*$D1663</f>
        <v/>
      </c>
      <c r="V1663" s="35">
        <f>INDEX(V$280:V$296,$E1663)*$D1663</f>
        <v/>
      </c>
      <c r="W1663" s="35">
        <f>INDEX(W$280:W$296,$E1663)*$D1663</f>
        <v/>
      </c>
      <c r="X1663" s="35">
        <f>INDEX(X$280:X$296,$E1663)*$D1663</f>
        <v/>
      </c>
      <c r="Y1663" s="35">
        <f>INDEX(Y$280:Y$296,$E1663)*$D1663</f>
        <v/>
      </c>
      <c r="Z1663" s="35">
        <f>INDEX(Z$280:Z$296,$E1663)*$D1663</f>
        <v/>
      </c>
      <c r="AA1663" s="35">
        <f>INDEX(AA$280:AA$296,$E1663)*$D1663</f>
        <v/>
      </c>
      <c r="AB1663" s="35">
        <f>INDEX(AB$280:AB$296,$E1663)*$D1663</f>
        <v/>
      </c>
      <c r="AC1663" s="35">
        <f>INDEX(AC$280:AC$296,$E1663)*$D1663</f>
        <v/>
      </c>
      <c r="AD1663" s="35">
        <f>INDEX(AD$280:AD$296,$E1663)*$D1663</f>
        <v/>
      </c>
      <c r="AE1663" s="42">
        <f>ETSCOST(INDEX(AE$280:AE$296,$E1663),$D1663)</f>
        <v/>
      </c>
      <c r="AG1663" s="11">
        <f>CodePrefix&amp;$A1663&amp;IF($C1663="","","."&amp;$C1663&amp;"."&amp;$B1663)&amp;INDEX(VarEnd,MATCH($A1663,VarKey,0))&amp;AG$5</f>
        <v/>
      </c>
      <c r="AH1663" s="40">
        <f>INDEX(AH$280:AH$296,$E1663)*$D1663</f>
        <v/>
      </c>
      <c r="AI1663" s="35">
        <f>INDEX(AI$280:AI$296,$E1663)*$D1663</f>
        <v/>
      </c>
      <c r="AJ1663" s="35">
        <f>INDEX(AJ$280:AJ$296,$E1663)*$D1663</f>
        <v/>
      </c>
      <c r="AK1663" s="35">
        <f>INDEX(AK$280:AK$296,$E1663)*$D1663</f>
        <v/>
      </c>
      <c r="AL1663" s="35">
        <f>INDEX(AL$280:AL$296,$E1663)*$D1663</f>
        <v/>
      </c>
      <c r="AM1663" s="35">
        <f>INDEX(AM$280:AM$296,$E1663)*$D1663</f>
        <v/>
      </c>
      <c r="AN1663" s="35">
        <f>INDEX(AN$280:AN$296,$E1663)*$D1663</f>
        <v/>
      </c>
      <c r="AO1663" s="35">
        <f>INDEX(AO$280:AO$296,$E1663)*$D1663</f>
        <v/>
      </c>
      <c r="AP1663" s="35">
        <f>INDEX(AP$280:AP$296,$E1663)*$D1663</f>
        <v/>
      </c>
      <c r="AQ1663" s="35">
        <f>INDEX(AQ$280:AQ$296,$E1663)*$D1663</f>
        <v/>
      </c>
      <c r="AR1663" s="35">
        <f>INDEX(AR$280:AR$296,$E1663)*$D1663</f>
        <v/>
      </c>
      <c r="AS1663" s="35">
        <f>INDEX(AS$280:AS$296,$E1663)*$D1663</f>
        <v/>
      </c>
      <c r="AT1663" s="35">
        <f>INDEX(AT$280:AT$296,$E1663)*$D1663</f>
        <v/>
      </c>
      <c r="AU1663" s="35">
        <f>INDEX(AU$280:AU$296,$E1663)*$D1663</f>
        <v/>
      </c>
      <c r="AV1663" s="35">
        <f>INDEX(AV$280:AV$296,$E1663)*$D1663</f>
        <v/>
      </c>
      <c r="AW1663" s="35">
        <f>INDEX(AW$280:AW$296,$E1663)*$D1663</f>
        <v/>
      </c>
      <c r="AX1663" s="35">
        <f>INDEX(AX$280:AX$296,$E1663)*$D1663</f>
        <v/>
      </c>
      <c r="AY1663" s="35">
        <f>INDEX(AY$280:AY$296,$E1663)*$D1663</f>
        <v/>
      </c>
      <c r="AZ1663" s="35">
        <f>INDEX(AZ$280:AZ$296,$E1663)*$D1663</f>
        <v/>
      </c>
      <c r="BA1663" s="42">
        <f>ETSCOST(INDEX(BA$280:BA$296,$E1663),$D1663)</f>
        <v/>
      </c>
    </row>
    <row r="1664" hidden="1" outlineLevel="2">
      <c r="A1664" s="14" t="inlineStr">
        <is>
          <t>ets</t>
        </is>
      </c>
      <c r="B1664" s="14" t="inlineStr">
        <is>
          <t>ker</t>
        </is>
      </c>
      <c r="C1664" s="14" t="inlineStr">
        <is>
          <t>foo</t>
        </is>
      </c>
      <c r="D1664" s="35">
        <f>INDEX(Inputs!$W$5:$W$132,MATCH($B1664&amp;"|"&amp;$C1664,Inputs!$A$5:$A$132,0))</f>
        <v/>
      </c>
      <c r="E1664" s="35">
        <f>INDEX(Inputs!$M$5:$M$132,MATCH($B1664&amp;"|"&amp;$C1664,Inputs!$A$5:$A$132,0))</f>
        <v/>
      </c>
      <c r="F1664" s="39" t="n"/>
      <c r="G1664" s="39" t="n"/>
      <c r="H1664" s="14">
        <f>INDEX(VarLab,MATCH($A1664,VarKey,0))&amp;INDEX(MemLab,MATCH($C1664&amp;"|"&amp;$B1664,MemKey,0))</f>
        <v/>
      </c>
      <c r="I1664" s="14">
        <f>INDEX(VarUnit,MATCH($A1664,VarKey,0))</f>
        <v/>
      </c>
      <c r="J1664" s="14">
        <f>INDEX(VarSrc,MATCH($A1664,VarKey,0))</f>
        <v/>
      </c>
      <c r="K1664" s="11">
        <f>CodePrefix&amp;$A1664&amp;IF($C1664="","","."&amp;$C1664&amp;"."&amp;$B1664)&amp;INDEX(VarEnd,MATCH($A1664,VarKey,0))&amp;K$5</f>
        <v/>
      </c>
      <c r="L1664" s="40">
        <f>INDEX(L$280:L$296,$E1664)*$D1664</f>
        <v/>
      </c>
      <c r="M1664" s="35">
        <f>INDEX(M$280:M$296,$E1664)*$D1664</f>
        <v/>
      </c>
      <c r="N1664" s="35">
        <f>INDEX(N$280:N$296,$E1664)*$D1664</f>
        <v/>
      </c>
      <c r="O1664" s="35">
        <f>INDEX(O$280:O$296,$E1664)*$D1664</f>
        <v/>
      </c>
      <c r="P1664" s="35">
        <f>INDEX(P$280:P$296,$E1664)*$D1664</f>
        <v/>
      </c>
      <c r="Q1664" s="35">
        <f>INDEX(Q$280:Q$296,$E1664)*$D1664</f>
        <v/>
      </c>
      <c r="R1664" s="35">
        <f>INDEX(R$280:R$296,$E1664)*$D1664</f>
        <v/>
      </c>
      <c r="S1664" s="35">
        <f>INDEX(S$280:S$296,$E1664)*$D1664</f>
        <v/>
      </c>
      <c r="T1664" s="35">
        <f>INDEX(T$280:T$296,$E1664)*$D1664</f>
        <v/>
      </c>
      <c r="U1664" s="35">
        <f>INDEX(U$280:U$296,$E1664)*$D1664</f>
        <v/>
      </c>
      <c r="V1664" s="35">
        <f>INDEX(V$280:V$296,$E1664)*$D1664</f>
        <v/>
      </c>
      <c r="W1664" s="35">
        <f>INDEX(W$280:W$296,$E1664)*$D1664</f>
        <v/>
      </c>
      <c r="X1664" s="35">
        <f>INDEX(X$280:X$296,$E1664)*$D1664</f>
        <v/>
      </c>
      <c r="Y1664" s="35">
        <f>INDEX(Y$280:Y$296,$E1664)*$D1664</f>
        <v/>
      </c>
      <c r="Z1664" s="35">
        <f>INDEX(Z$280:Z$296,$E1664)*$D1664</f>
        <v/>
      </c>
      <c r="AA1664" s="35">
        <f>INDEX(AA$280:AA$296,$E1664)*$D1664</f>
        <v/>
      </c>
      <c r="AB1664" s="35">
        <f>INDEX(AB$280:AB$296,$E1664)*$D1664</f>
        <v/>
      </c>
      <c r="AC1664" s="35">
        <f>INDEX(AC$280:AC$296,$E1664)*$D1664</f>
        <v/>
      </c>
      <c r="AD1664" s="35">
        <f>INDEX(AD$280:AD$296,$E1664)*$D1664</f>
        <v/>
      </c>
      <c r="AE1664" s="42">
        <f>ETSCOST(INDEX(AE$280:AE$296,$E1664),$D1664)</f>
        <v/>
      </c>
      <c r="AG1664" s="11">
        <f>CodePrefix&amp;$A1664&amp;IF($C1664="","","."&amp;$C1664&amp;"."&amp;$B1664)&amp;INDEX(VarEnd,MATCH($A1664,VarKey,0))&amp;AG$5</f>
        <v/>
      </c>
      <c r="AH1664" s="40">
        <f>INDEX(AH$280:AH$296,$E1664)*$D1664</f>
        <v/>
      </c>
      <c r="AI1664" s="35">
        <f>INDEX(AI$280:AI$296,$E1664)*$D1664</f>
        <v/>
      </c>
      <c r="AJ1664" s="35">
        <f>INDEX(AJ$280:AJ$296,$E1664)*$D1664</f>
        <v/>
      </c>
      <c r="AK1664" s="35">
        <f>INDEX(AK$280:AK$296,$E1664)*$D1664</f>
        <v/>
      </c>
      <c r="AL1664" s="35">
        <f>INDEX(AL$280:AL$296,$E1664)*$D1664</f>
        <v/>
      </c>
      <c r="AM1664" s="35">
        <f>INDEX(AM$280:AM$296,$E1664)*$D1664</f>
        <v/>
      </c>
      <c r="AN1664" s="35">
        <f>INDEX(AN$280:AN$296,$E1664)*$D1664</f>
        <v/>
      </c>
      <c r="AO1664" s="35">
        <f>INDEX(AO$280:AO$296,$E1664)*$D1664</f>
        <v/>
      </c>
      <c r="AP1664" s="35">
        <f>INDEX(AP$280:AP$296,$E1664)*$D1664</f>
        <v/>
      </c>
      <c r="AQ1664" s="35">
        <f>INDEX(AQ$280:AQ$296,$E1664)*$D1664</f>
        <v/>
      </c>
      <c r="AR1664" s="35">
        <f>INDEX(AR$280:AR$296,$E1664)*$D1664</f>
        <v/>
      </c>
      <c r="AS1664" s="35">
        <f>INDEX(AS$280:AS$296,$E1664)*$D1664</f>
        <v/>
      </c>
      <c r="AT1664" s="35">
        <f>INDEX(AT$280:AT$296,$E1664)*$D1664</f>
        <v/>
      </c>
      <c r="AU1664" s="35">
        <f>INDEX(AU$280:AU$296,$E1664)*$D1664</f>
        <v/>
      </c>
      <c r="AV1664" s="35">
        <f>INDEX(AV$280:AV$296,$E1664)*$D1664</f>
        <v/>
      </c>
      <c r="AW1664" s="35">
        <f>INDEX(AW$280:AW$296,$E1664)*$D1664</f>
        <v/>
      </c>
      <c r="AX1664" s="35">
        <f>INDEX(AX$280:AX$296,$E1664)*$D1664</f>
        <v/>
      </c>
      <c r="AY1664" s="35">
        <f>INDEX(AY$280:AY$296,$E1664)*$D1664</f>
        <v/>
      </c>
      <c r="AZ1664" s="35">
        <f>INDEX(AZ$280:AZ$296,$E1664)*$D1664</f>
        <v/>
      </c>
      <c r="BA1664" s="42">
        <f>ETSCOST(INDEX(BA$280:BA$296,$E1664),$D1664)</f>
        <v/>
      </c>
    </row>
    <row r="1665" hidden="1" outlineLevel="2">
      <c r="A1665" s="14" t="inlineStr">
        <is>
          <t>ets</t>
        </is>
      </c>
      <c r="B1665" s="14" t="inlineStr">
        <is>
          <t>oop</t>
        </is>
      </c>
      <c r="C1665" s="14" t="inlineStr">
        <is>
          <t>foo</t>
        </is>
      </c>
      <c r="D1665" s="35">
        <f>INDEX(Inputs!$W$5:$W$132,MATCH($B1665&amp;"|"&amp;$C1665,Inputs!$A$5:$A$132,0))</f>
        <v/>
      </c>
      <c r="E1665" s="35">
        <f>INDEX(Inputs!$M$5:$M$132,MATCH($B1665&amp;"|"&amp;$C1665,Inputs!$A$5:$A$132,0))</f>
        <v/>
      </c>
      <c r="F1665" s="39" t="n"/>
      <c r="G1665" s="39" t="n"/>
      <c r="H1665" s="14">
        <f>INDEX(VarLab,MATCH($A1665,VarKey,0))&amp;INDEX(MemLab,MATCH($C1665&amp;"|"&amp;$B1665,MemKey,0))</f>
        <v/>
      </c>
      <c r="I1665" s="14">
        <f>INDEX(VarUnit,MATCH($A1665,VarKey,0))</f>
        <v/>
      </c>
      <c r="J1665" s="14">
        <f>INDEX(VarSrc,MATCH($A1665,VarKey,0))</f>
        <v/>
      </c>
      <c r="K1665" s="11">
        <f>CodePrefix&amp;$A1665&amp;IF($C1665="","","."&amp;$C1665&amp;"."&amp;$B1665)&amp;INDEX(VarEnd,MATCH($A1665,VarKey,0))&amp;K$5</f>
        <v/>
      </c>
      <c r="L1665" s="40">
        <f>INDEX(L$280:L$296,$E1665)*$D1665</f>
        <v/>
      </c>
      <c r="M1665" s="35">
        <f>INDEX(M$280:M$296,$E1665)*$D1665</f>
        <v/>
      </c>
      <c r="N1665" s="35">
        <f>INDEX(N$280:N$296,$E1665)*$D1665</f>
        <v/>
      </c>
      <c r="O1665" s="35">
        <f>INDEX(O$280:O$296,$E1665)*$D1665</f>
        <v/>
      </c>
      <c r="P1665" s="35">
        <f>INDEX(P$280:P$296,$E1665)*$D1665</f>
        <v/>
      </c>
      <c r="Q1665" s="35">
        <f>INDEX(Q$280:Q$296,$E1665)*$D1665</f>
        <v/>
      </c>
      <c r="R1665" s="35">
        <f>INDEX(R$280:R$296,$E1665)*$D1665</f>
        <v/>
      </c>
      <c r="S1665" s="35">
        <f>INDEX(S$280:S$296,$E1665)*$D1665</f>
        <v/>
      </c>
      <c r="T1665" s="35">
        <f>INDEX(T$280:T$296,$E1665)*$D1665</f>
        <v/>
      </c>
      <c r="U1665" s="35">
        <f>INDEX(U$280:U$296,$E1665)*$D1665</f>
        <v/>
      </c>
      <c r="V1665" s="35">
        <f>INDEX(V$280:V$296,$E1665)*$D1665</f>
        <v/>
      </c>
      <c r="W1665" s="35">
        <f>INDEX(W$280:W$296,$E1665)*$D1665</f>
        <v/>
      </c>
      <c r="X1665" s="35">
        <f>INDEX(X$280:X$296,$E1665)*$D1665</f>
        <v/>
      </c>
      <c r="Y1665" s="35">
        <f>INDEX(Y$280:Y$296,$E1665)*$D1665</f>
        <v/>
      </c>
      <c r="Z1665" s="35">
        <f>INDEX(Z$280:Z$296,$E1665)*$D1665</f>
        <v/>
      </c>
      <c r="AA1665" s="35">
        <f>INDEX(AA$280:AA$296,$E1665)*$D1665</f>
        <v/>
      </c>
      <c r="AB1665" s="35">
        <f>INDEX(AB$280:AB$296,$E1665)*$D1665</f>
        <v/>
      </c>
      <c r="AC1665" s="35">
        <f>INDEX(AC$280:AC$296,$E1665)*$D1665</f>
        <v/>
      </c>
      <c r="AD1665" s="35">
        <f>INDEX(AD$280:AD$296,$E1665)*$D1665</f>
        <v/>
      </c>
      <c r="AE1665" s="42">
        <f>ETSCOST(INDEX(AE$280:AE$296,$E1665),$D1665)</f>
        <v/>
      </c>
      <c r="AG1665" s="11">
        <f>CodePrefix&amp;$A1665&amp;IF($C1665="","","."&amp;$C1665&amp;"."&amp;$B1665)&amp;INDEX(VarEnd,MATCH($A1665,VarKey,0))&amp;AG$5</f>
        <v/>
      </c>
      <c r="AH1665" s="40">
        <f>INDEX(AH$280:AH$296,$E1665)*$D1665</f>
        <v/>
      </c>
      <c r="AI1665" s="35">
        <f>INDEX(AI$280:AI$296,$E1665)*$D1665</f>
        <v/>
      </c>
      <c r="AJ1665" s="35">
        <f>INDEX(AJ$280:AJ$296,$E1665)*$D1665</f>
        <v/>
      </c>
      <c r="AK1665" s="35">
        <f>INDEX(AK$280:AK$296,$E1665)*$D1665</f>
        <v/>
      </c>
      <c r="AL1665" s="35">
        <f>INDEX(AL$280:AL$296,$E1665)*$D1665</f>
        <v/>
      </c>
      <c r="AM1665" s="35">
        <f>INDEX(AM$280:AM$296,$E1665)*$D1665</f>
        <v/>
      </c>
      <c r="AN1665" s="35">
        <f>INDEX(AN$280:AN$296,$E1665)*$D1665</f>
        <v/>
      </c>
      <c r="AO1665" s="35">
        <f>INDEX(AO$280:AO$296,$E1665)*$D1665</f>
        <v/>
      </c>
      <c r="AP1665" s="35">
        <f>INDEX(AP$280:AP$296,$E1665)*$D1665</f>
        <v/>
      </c>
      <c r="AQ1665" s="35">
        <f>INDEX(AQ$280:AQ$296,$E1665)*$D1665</f>
        <v/>
      </c>
      <c r="AR1665" s="35">
        <f>INDEX(AR$280:AR$296,$E1665)*$D1665</f>
        <v/>
      </c>
      <c r="AS1665" s="35">
        <f>INDEX(AS$280:AS$296,$E1665)*$D1665</f>
        <v/>
      </c>
      <c r="AT1665" s="35">
        <f>INDEX(AT$280:AT$296,$E1665)*$D1665</f>
        <v/>
      </c>
      <c r="AU1665" s="35">
        <f>INDEX(AU$280:AU$296,$E1665)*$D1665</f>
        <v/>
      </c>
      <c r="AV1665" s="35">
        <f>INDEX(AV$280:AV$296,$E1665)*$D1665</f>
        <v/>
      </c>
      <c r="AW1665" s="35">
        <f>INDEX(AW$280:AW$296,$E1665)*$D1665</f>
        <v/>
      </c>
      <c r="AX1665" s="35">
        <f>INDEX(AX$280:AX$296,$E1665)*$D1665</f>
        <v/>
      </c>
      <c r="AY1665" s="35">
        <f>INDEX(AY$280:AY$296,$E1665)*$D1665</f>
        <v/>
      </c>
      <c r="AZ1665" s="35">
        <f>INDEX(AZ$280:AZ$296,$E1665)*$D1665</f>
        <v/>
      </c>
      <c r="BA1665" s="42">
        <f>ETSCOST(INDEX(BA$280:BA$296,$E1665),$D1665)</f>
        <v/>
      </c>
    </row>
    <row r="1666" hidden="1" outlineLevel="2">
      <c r="A1666" s="14" t="inlineStr">
        <is>
          <t>ets</t>
        </is>
      </c>
      <c r="B1666" s="14" t="inlineStr">
        <is>
          <t>bio</t>
        </is>
      </c>
      <c r="C1666" s="14" t="inlineStr">
        <is>
          <t>foo</t>
        </is>
      </c>
      <c r="D1666" s="35">
        <f>INDEX(Inputs!$W$5:$W$132,MATCH($B1666&amp;"|"&amp;$C1666,Inputs!$A$5:$A$132,0))</f>
        <v/>
      </c>
      <c r="E1666" s="35">
        <f>INDEX(Inputs!$M$5:$M$132,MATCH($B1666&amp;"|"&amp;$C1666,Inputs!$A$5:$A$132,0))</f>
        <v/>
      </c>
      <c r="F1666" s="39" t="n"/>
      <c r="G1666" s="39" t="n"/>
      <c r="H1666" s="14">
        <f>INDEX(VarLab,MATCH($A1666,VarKey,0))&amp;INDEX(MemLab,MATCH($C1666&amp;"|"&amp;$B1666,MemKey,0))</f>
        <v/>
      </c>
      <c r="I1666" s="14">
        <f>INDEX(VarUnit,MATCH($A1666,VarKey,0))</f>
        <v/>
      </c>
      <c r="J1666" s="14">
        <f>INDEX(VarSrc,MATCH($A1666,VarKey,0))</f>
        <v/>
      </c>
      <c r="K1666" s="11">
        <f>CodePrefix&amp;$A1666&amp;IF($C1666="","","."&amp;$C1666&amp;"."&amp;$B1666)&amp;INDEX(VarEnd,MATCH($A1666,VarKey,0))&amp;K$5</f>
        <v/>
      </c>
      <c r="L1666" s="40">
        <f>INDEX(L$280:L$296,$E1666)*$D1666</f>
        <v/>
      </c>
      <c r="M1666" s="35">
        <f>INDEX(M$280:M$296,$E1666)*$D1666</f>
        <v/>
      </c>
      <c r="N1666" s="35">
        <f>INDEX(N$280:N$296,$E1666)*$D1666</f>
        <v/>
      </c>
      <c r="O1666" s="35">
        <f>INDEX(O$280:O$296,$E1666)*$D1666</f>
        <v/>
      </c>
      <c r="P1666" s="35">
        <f>INDEX(P$280:P$296,$E1666)*$D1666</f>
        <v/>
      </c>
      <c r="Q1666" s="35">
        <f>INDEX(Q$280:Q$296,$E1666)*$D1666</f>
        <v/>
      </c>
      <c r="R1666" s="35">
        <f>INDEX(R$280:R$296,$E1666)*$D1666</f>
        <v/>
      </c>
      <c r="S1666" s="35">
        <f>INDEX(S$280:S$296,$E1666)*$D1666</f>
        <v/>
      </c>
      <c r="T1666" s="35">
        <f>INDEX(T$280:T$296,$E1666)*$D1666</f>
        <v/>
      </c>
      <c r="U1666" s="35">
        <f>INDEX(U$280:U$296,$E1666)*$D1666</f>
        <v/>
      </c>
      <c r="V1666" s="35">
        <f>INDEX(V$280:V$296,$E1666)*$D1666</f>
        <v/>
      </c>
      <c r="W1666" s="35">
        <f>INDEX(W$280:W$296,$E1666)*$D1666</f>
        <v/>
      </c>
      <c r="X1666" s="35">
        <f>INDEX(X$280:X$296,$E1666)*$D1666</f>
        <v/>
      </c>
      <c r="Y1666" s="35">
        <f>INDEX(Y$280:Y$296,$E1666)*$D1666</f>
        <v/>
      </c>
      <c r="Z1666" s="35">
        <f>INDEX(Z$280:Z$296,$E1666)*$D1666</f>
        <v/>
      </c>
      <c r="AA1666" s="35">
        <f>INDEX(AA$280:AA$296,$E1666)*$D1666</f>
        <v/>
      </c>
      <c r="AB1666" s="35">
        <f>INDEX(AB$280:AB$296,$E1666)*$D1666</f>
        <v/>
      </c>
      <c r="AC1666" s="35">
        <f>INDEX(AC$280:AC$296,$E1666)*$D1666</f>
        <v/>
      </c>
      <c r="AD1666" s="35">
        <f>INDEX(AD$280:AD$296,$E1666)*$D1666</f>
        <v/>
      </c>
      <c r="AE1666" s="42">
        <f>ETSCOST(INDEX(AE$280:AE$296,$E1666),$D1666)</f>
        <v/>
      </c>
      <c r="AG1666" s="11">
        <f>CodePrefix&amp;$A1666&amp;IF($C1666="","","."&amp;$C1666&amp;"."&amp;$B1666)&amp;INDEX(VarEnd,MATCH($A1666,VarKey,0))&amp;AG$5</f>
        <v/>
      </c>
      <c r="AH1666" s="40">
        <f>INDEX(AH$280:AH$296,$E1666)*$D1666</f>
        <v/>
      </c>
      <c r="AI1666" s="35">
        <f>INDEX(AI$280:AI$296,$E1666)*$D1666</f>
        <v/>
      </c>
      <c r="AJ1666" s="35">
        <f>INDEX(AJ$280:AJ$296,$E1666)*$D1666</f>
        <v/>
      </c>
      <c r="AK1666" s="35">
        <f>INDEX(AK$280:AK$296,$E1666)*$D1666</f>
        <v/>
      </c>
      <c r="AL1666" s="35">
        <f>INDEX(AL$280:AL$296,$E1666)*$D1666</f>
        <v/>
      </c>
      <c r="AM1666" s="35">
        <f>INDEX(AM$280:AM$296,$E1666)*$D1666</f>
        <v/>
      </c>
      <c r="AN1666" s="35">
        <f>INDEX(AN$280:AN$296,$E1666)*$D1666</f>
        <v/>
      </c>
      <c r="AO1666" s="35">
        <f>INDEX(AO$280:AO$296,$E1666)*$D1666</f>
        <v/>
      </c>
      <c r="AP1666" s="35">
        <f>INDEX(AP$280:AP$296,$E1666)*$D1666</f>
        <v/>
      </c>
      <c r="AQ1666" s="35">
        <f>INDEX(AQ$280:AQ$296,$E1666)*$D1666</f>
        <v/>
      </c>
      <c r="AR1666" s="35">
        <f>INDEX(AR$280:AR$296,$E1666)*$D1666</f>
        <v/>
      </c>
      <c r="AS1666" s="35">
        <f>INDEX(AS$280:AS$296,$E1666)*$D1666</f>
        <v/>
      </c>
      <c r="AT1666" s="35">
        <f>INDEX(AT$280:AT$296,$E1666)*$D1666</f>
        <v/>
      </c>
      <c r="AU1666" s="35">
        <f>INDEX(AU$280:AU$296,$E1666)*$D1666</f>
        <v/>
      </c>
      <c r="AV1666" s="35">
        <f>INDEX(AV$280:AV$296,$E1666)*$D1666</f>
        <v/>
      </c>
      <c r="AW1666" s="35">
        <f>INDEX(AW$280:AW$296,$E1666)*$D1666</f>
        <v/>
      </c>
      <c r="AX1666" s="35">
        <f>INDEX(AX$280:AX$296,$E1666)*$D1666</f>
        <v/>
      </c>
      <c r="AY1666" s="35">
        <f>INDEX(AY$280:AY$296,$E1666)*$D1666</f>
        <v/>
      </c>
      <c r="AZ1666" s="35">
        <f>INDEX(AZ$280:AZ$296,$E1666)*$D1666</f>
        <v/>
      </c>
      <c r="BA1666" s="42">
        <f>ETSCOST(INDEX(BA$280:BA$296,$E1666),$D1666)</f>
        <v/>
      </c>
    </row>
    <row r="1667" hidden="1" outlineLevel="2"/>
    <row r="1668" hidden="1" outlineLevel="2">
      <c r="A1668" s="14" t="inlineStr">
        <is>
          <t>ntx</t>
        </is>
      </c>
      <c r="B1668" s="14" t="inlineStr">
        <is>
          <t>coa</t>
        </is>
      </c>
      <c r="C1668" s="14" t="inlineStr">
        <is>
          <t>foo</t>
        </is>
      </c>
      <c r="D1668" s="35">
        <f>INDEX(Inputs!$N$5:$N$132,MATCH($B1668&amp;"|"&amp;$C1668,Inputs!$A$5:$A$132,0))</f>
        <v/>
      </c>
      <c r="E1668" s="35">
        <f>INDEX(Inputs!$K$5:$K$132,MATCH($B1668&amp;"|"&amp;$C1668,Inputs!$A$5:$A$132,0))</f>
        <v/>
      </c>
      <c r="F1668" s="39" t="n"/>
      <c r="G1668" s="39" t="n"/>
      <c r="H1668" s="14">
        <f>INDEX(VarLab,MATCH($A1668,VarKey,0))&amp;INDEX(MemLab,MATCH($C1668&amp;"|"&amp;$B1668,MemKey,0))</f>
        <v/>
      </c>
      <c r="I1668" s="14">
        <f>INDEX(VarUnit,MATCH($A1668,VarKey,0))</f>
        <v/>
      </c>
      <c r="J1668" s="14">
        <f>INDEX(VarSrc,MATCH($A1668,VarKey,0))</f>
        <v/>
      </c>
      <c r="K1668" s="11">
        <f>CodePrefix&amp;$A1668&amp;IF($C1668="","","."&amp;$C1668&amp;"."&amp;$B1668)&amp;INDEX(VarEnd,MATCH($A1668,VarKey,0))&amp;K$5</f>
        <v/>
      </c>
      <c r="L1668" s="40">
        <f>INDEX(L$80:L$93,$D1668)/$E1668</f>
        <v/>
      </c>
      <c r="M1668" s="35">
        <f>INDEX(M$80:M$93,$D1668)/$E1668</f>
        <v/>
      </c>
      <c r="N1668" s="35">
        <f>INDEX(N$80:N$93,$D1668)/$E1668</f>
        <v/>
      </c>
      <c r="O1668" s="35">
        <f>INDEX(O$80:O$93,$D1668)/$E1668</f>
        <v/>
      </c>
      <c r="P1668" s="35">
        <f>INDEX(P$80:P$93,$D1668)/$E1668</f>
        <v/>
      </c>
      <c r="Q1668" s="35">
        <f>INDEX(Q$80:Q$93,$D1668)/$E1668</f>
        <v/>
      </c>
      <c r="R1668" s="35">
        <f>INDEX(R$80:R$93,$D1668)/$E1668</f>
        <v/>
      </c>
      <c r="S1668" s="35">
        <f>INDEX(S$80:S$93,$D1668)/$E1668</f>
        <v/>
      </c>
      <c r="T1668" s="35">
        <f>INDEX(T$80:T$93,$D1668)/$E1668</f>
        <v/>
      </c>
      <c r="U1668" s="35">
        <f>INDEX(U$80:U$93,$D1668)/$E1668</f>
        <v/>
      </c>
      <c r="V1668" s="35">
        <f>INDEX(V$80:V$93,$D1668)/$E1668</f>
        <v/>
      </c>
      <c r="W1668" s="35">
        <f>INDEX(W$80:W$93,$D1668)/$E1668</f>
        <v/>
      </c>
      <c r="X1668" s="35">
        <f>INDEX(X$80:X$93,$D1668)/$E1668</f>
        <v/>
      </c>
      <c r="Y1668" s="35">
        <f>INDEX(Y$80:Y$93,$D1668)/$E1668</f>
        <v/>
      </c>
      <c r="Z1668" s="35">
        <f>INDEX(Z$80:Z$93,$D1668)/$E1668</f>
        <v/>
      </c>
      <c r="AA1668" s="35">
        <f>INDEX(AA$80:AA$93,$D1668)/$E1668</f>
        <v/>
      </c>
      <c r="AB1668" s="35">
        <f>INDEX(AB$80:AB$93,$D1668)/$E1668</f>
        <v/>
      </c>
      <c r="AC1668" s="35">
        <f>INDEX(AC$80:AC$93,$D1668)/$E1668</f>
        <v/>
      </c>
      <c r="AD1668" s="35">
        <f>INDEX(AD$80:AD$93,$D1668)/$E1668</f>
        <v/>
      </c>
      <c r="AE1668" s="42">
        <f>NEWEXCISE(INDEX(AE$80:AE$93,$D1668),$E1668)</f>
        <v/>
      </c>
      <c r="AG1668" s="11">
        <f>CodePrefix&amp;$A1668&amp;IF($C1668="","","."&amp;$C1668&amp;"."&amp;$B1668)&amp;INDEX(VarEnd,MATCH($A1668,VarKey,0))&amp;AG$5</f>
        <v/>
      </c>
      <c r="AH1668" s="40">
        <f>INDEX(AH$80:AH$93,$D1668)/$E1668</f>
        <v/>
      </c>
      <c r="AI1668" s="35">
        <f>INDEX(AI$80:AI$93,$D1668)/$E1668</f>
        <v/>
      </c>
      <c r="AJ1668" s="35">
        <f>INDEX(AJ$80:AJ$93,$D1668)/$E1668</f>
        <v/>
      </c>
      <c r="AK1668" s="35">
        <f>INDEX(AK$80:AK$93,$D1668)/$E1668</f>
        <v/>
      </c>
      <c r="AL1668" s="35">
        <f>INDEX(AL$80:AL$93,$D1668)/$E1668</f>
        <v/>
      </c>
      <c r="AM1668" s="35">
        <f>INDEX(AM$80:AM$93,$D1668)/$E1668</f>
        <v/>
      </c>
      <c r="AN1668" s="35">
        <f>INDEX(AN$80:AN$93,$D1668)/$E1668</f>
        <v/>
      </c>
      <c r="AO1668" s="35">
        <f>INDEX(AO$80:AO$93,$D1668)/$E1668</f>
        <v/>
      </c>
      <c r="AP1668" s="35">
        <f>INDEX(AP$80:AP$93,$D1668)/$E1668</f>
        <v/>
      </c>
      <c r="AQ1668" s="35">
        <f>INDEX(AQ$80:AQ$93,$D1668)/$E1668</f>
        <v/>
      </c>
      <c r="AR1668" s="35">
        <f>INDEX(AR$80:AR$93,$D1668)/$E1668</f>
        <v/>
      </c>
      <c r="AS1668" s="35">
        <f>INDEX(AS$80:AS$93,$D1668)/$E1668</f>
        <v/>
      </c>
      <c r="AT1668" s="35">
        <f>INDEX(AT$80:AT$93,$D1668)/$E1668</f>
        <v/>
      </c>
      <c r="AU1668" s="35">
        <f>INDEX(AU$80:AU$93,$D1668)/$E1668</f>
        <v/>
      </c>
      <c r="AV1668" s="35">
        <f>INDEX(AV$80:AV$93,$D1668)/$E1668</f>
        <v/>
      </c>
      <c r="AW1668" s="35">
        <f>INDEX(AW$80:AW$93,$D1668)/$E1668</f>
        <v/>
      </c>
      <c r="AX1668" s="35">
        <f>INDEX(AX$80:AX$93,$D1668)/$E1668</f>
        <v/>
      </c>
      <c r="AY1668" s="35">
        <f>INDEX(AY$80:AY$93,$D1668)/$E1668</f>
        <v/>
      </c>
      <c r="AZ1668" s="35">
        <f>INDEX(AZ$80:AZ$93,$D1668)/$E1668</f>
        <v/>
      </c>
      <c r="BA1668" s="42">
        <f>NEWEXCISE(INDEX(BA$80:BA$93,$D1668),$E1668)</f>
        <v/>
      </c>
    </row>
    <row r="1669" hidden="1" outlineLevel="2">
      <c r="A1669" s="14" t="inlineStr">
        <is>
          <t>ntx</t>
        </is>
      </c>
      <c r="B1669" s="14" t="inlineStr">
        <is>
          <t>nga</t>
        </is>
      </c>
      <c r="C1669" s="14" t="inlineStr">
        <is>
          <t>foo</t>
        </is>
      </c>
      <c r="D1669" s="35">
        <f>INDEX(Inputs!$N$5:$N$132,MATCH($B1669&amp;"|"&amp;$C1669,Inputs!$A$5:$A$132,0))</f>
        <v/>
      </c>
      <c r="E1669" s="35">
        <f>INDEX(Inputs!$K$5:$K$132,MATCH($B1669&amp;"|"&amp;$C1669,Inputs!$A$5:$A$132,0))</f>
        <v/>
      </c>
      <c r="F1669" s="39" t="n"/>
      <c r="G1669" s="39" t="n"/>
      <c r="H1669" s="14">
        <f>INDEX(VarLab,MATCH($A1669,VarKey,0))&amp;INDEX(MemLab,MATCH($C1669&amp;"|"&amp;$B1669,MemKey,0))</f>
        <v/>
      </c>
      <c r="I1669" s="14">
        <f>INDEX(VarUnit,MATCH($A1669,VarKey,0))</f>
        <v/>
      </c>
      <c r="J1669" s="14">
        <f>INDEX(VarSrc,MATCH($A1669,VarKey,0))</f>
        <v/>
      </c>
      <c r="K1669" s="11">
        <f>CodePrefix&amp;$A1669&amp;IF($C1669="","","."&amp;$C1669&amp;"."&amp;$B1669)&amp;INDEX(VarEnd,MATCH($A1669,VarKey,0))&amp;K$5</f>
        <v/>
      </c>
      <c r="L1669" s="40">
        <f>INDEX(L$80:L$93,$D1669)/$E1669</f>
        <v/>
      </c>
      <c r="M1669" s="35">
        <f>INDEX(M$80:M$93,$D1669)/$E1669</f>
        <v/>
      </c>
      <c r="N1669" s="35">
        <f>INDEX(N$80:N$93,$D1669)/$E1669</f>
        <v/>
      </c>
      <c r="O1669" s="35">
        <f>INDEX(O$80:O$93,$D1669)/$E1669</f>
        <v/>
      </c>
      <c r="P1669" s="35">
        <f>INDEX(P$80:P$93,$D1669)/$E1669</f>
        <v/>
      </c>
      <c r="Q1669" s="35">
        <f>INDEX(Q$80:Q$93,$D1669)/$E1669</f>
        <v/>
      </c>
      <c r="R1669" s="35">
        <f>INDEX(R$80:R$93,$D1669)/$E1669</f>
        <v/>
      </c>
      <c r="S1669" s="35">
        <f>INDEX(S$80:S$93,$D1669)/$E1669</f>
        <v/>
      </c>
      <c r="T1669" s="35">
        <f>INDEX(T$80:T$93,$D1669)/$E1669</f>
        <v/>
      </c>
      <c r="U1669" s="35">
        <f>INDEX(U$80:U$93,$D1669)/$E1669</f>
        <v/>
      </c>
      <c r="V1669" s="35">
        <f>INDEX(V$80:V$93,$D1669)/$E1669</f>
        <v/>
      </c>
      <c r="W1669" s="35">
        <f>INDEX(W$80:W$93,$D1669)/$E1669</f>
        <v/>
      </c>
      <c r="X1669" s="35">
        <f>INDEX(X$80:X$93,$D1669)/$E1669</f>
        <v/>
      </c>
      <c r="Y1669" s="35">
        <f>INDEX(Y$80:Y$93,$D1669)/$E1669</f>
        <v/>
      </c>
      <c r="Z1669" s="35">
        <f>INDEX(Z$80:Z$93,$D1669)/$E1669</f>
        <v/>
      </c>
      <c r="AA1669" s="35">
        <f>INDEX(AA$80:AA$93,$D1669)/$E1669</f>
        <v/>
      </c>
      <c r="AB1669" s="35">
        <f>INDEX(AB$80:AB$93,$D1669)/$E1669</f>
        <v/>
      </c>
      <c r="AC1669" s="35">
        <f>INDEX(AC$80:AC$93,$D1669)/$E1669</f>
        <v/>
      </c>
      <c r="AD1669" s="35">
        <f>INDEX(AD$80:AD$93,$D1669)/$E1669</f>
        <v/>
      </c>
      <c r="AE1669" s="42">
        <f>NEWEXCISE(INDEX(AE$80:AE$93,$D1669),$E1669)</f>
        <v/>
      </c>
      <c r="AG1669" s="11">
        <f>CodePrefix&amp;$A1669&amp;IF($C1669="","","."&amp;$C1669&amp;"."&amp;$B1669)&amp;INDEX(VarEnd,MATCH($A1669,VarKey,0))&amp;AG$5</f>
        <v/>
      </c>
      <c r="AH1669" s="40">
        <f>INDEX(AH$80:AH$93,$D1669)/$E1669</f>
        <v/>
      </c>
      <c r="AI1669" s="35">
        <f>INDEX(AI$80:AI$93,$D1669)/$E1669</f>
        <v/>
      </c>
      <c r="AJ1669" s="35">
        <f>INDEX(AJ$80:AJ$93,$D1669)/$E1669</f>
        <v/>
      </c>
      <c r="AK1669" s="35">
        <f>INDEX(AK$80:AK$93,$D1669)/$E1669</f>
        <v/>
      </c>
      <c r="AL1669" s="35">
        <f>INDEX(AL$80:AL$93,$D1669)/$E1669</f>
        <v/>
      </c>
      <c r="AM1669" s="35">
        <f>INDEX(AM$80:AM$93,$D1669)/$E1669</f>
        <v/>
      </c>
      <c r="AN1669" s="35">
        <f>INDEX(AN$80:AN$93,$D1669)/$E1669</f>
        <v/>
      </c>
      <c r="AO1669" s="35">
        <f>INDEX(AO$80:AO$93,$D1669)/$E1669</f>
        <v/>
      </c>
      <c r="AP1669" s="35">
        <f>INDEX(AP$80:AP$93,$D1669)/$E1669</f>
        <v/>
      </c>
      <c r="AQ1669" s="35">
        <f>INDEX(AQ$80:AQ$93,$D1669)/$E1669</f>
        <v/>
      </c>
      <c r="AR1669" s="35">
        <f>INDEX(AR$80:AR$93,$D1669)/$E1669</f>
        <v/>
      </c>
      <c r="AS1669" s="35">
        <f>INDEX(AS$80:AS$93,$D1669)/$E1669</f>
        <v/>
      </c>
      <c r="AT1669" s="35">
        <f>INDEX(AT$80:AT$93,$D1669)/$E1669</f>
        <v/>
      </c>
      <c r="AU1669" s="35">
        <f>INDEX(AU$80:AU$93,$D1669)/$E1669</f>
        <v/>
      </c>
      <c r="AV1669" s="35">
        <f>INDEX(AV$80:AV$93,$D1669)/$E1669</f>
        <v/>
      </c>
      <c r="AW1669" s="35">
        <f>INDEX(AW$80:AW$93,$D1669)/$E1669</f>
        <v/>
      </c>
      <c r="AX1669" s="35">
        <f>INDEX(AX$80:AX$93,$D1669)/$E1669</f>
        <v/>
      </c>
      <c r="AY1669" s="35">
        <f>INDEX(AY$80:AY$93,$D1669)/$E1669</f>
        <v/>
      </c>
      <c r="AZ1669" s="35">
        <f>INDEX(AZ$80:AZ$93,$D1669)/$E1669</f>
        <v/>
      </c>
      <c r="BA1669" s="42">
        <f>NEWEXCISE(INDEX(BA$80:BA$93,$D1669),$E1669)</f>
        <v/>
      </c>
    </row>
    <row r="1670" hidden="1" outlineLevel="2">
      <c r="A1670" s="14" t="inlineStr">
        <is>
          <t>ntx</t>
        </is>
      </c>
      <c r="B1670" s="14" t="inlineStr">
        <is>
          <t>gso</t>
        </is>
      </c>
      <c r="C1670" s="14" t="inlineStr">
        <is>
          <t>foo</t>
        </is>
      </c>
      <c r="D1670" s="35">
        <f>INDEX(Inputs!$N$5:$N$132,MATCH($B1670&amp;"|"&amp;$C1670,Inputs!$A$5:$A$132,0))</f>
        <v/>
      </c>
      <c r="E1670" s="35">
        <f>INDEX(Inputs!$K$5:$K$132,MATCH($B1670&amp;"|"&amp;$C1670,Inputs!$A$5:$A$132,0))</f>
        <v/>
      </c>
      <c r="F1670" s="39" t="n"/>
      <c r="G1670" s="39" t="n"/>
      <c r="H1670" s="14">
        <f>INDEX(VarLab,MATCH($A1670,VarKey,0))&amp;INDEX(MemLab,MATCH($C1670&amp;"|"&amp;$B1670,MemKey,0))</f>
        <v/>
      </c>
      <c r="I1670" s="14">
        <f>INDEX(VarUnit,MATCH($A1670,VarKey,0))</f>
        <v/>
      </c>
      <c r="J1670" s="14">
        <f>INDEX(VarSrc,MATCH($A1670,VarKey,0))</f>
        <v/>
      </c>
      <c r="K1670" s="11">
        <f>CodePrefix&amp;$A1670&amp;IF($C1670="","","."&amp;$C1670&amp;"."&amp;$B1670)&amp;INDEX(VarEnd,MATCH($A1670,VarKey,0))&amp;K$5</f>
        <v/>
      </c>
      <c r="L1670" s="40">
        <f>INDEX(L$80:L$93,$D1670)/$E1670</f>
        <v/>
      </c>
      <c r="M1670" s="35">
        <f>INDEX(M$80:M$93,$D1670)/$E1670</f>
        <v/>
      </c>
      <c r="N1670" s="35">
        <f>INDEX(N$80:N$93,$D1670)/$E1670</f>
        <v/>
      </c>
      <c r="O1670" s="35">
        <f>INDEX(O$80:O$93,$D1670)/$E1670</f>
        <v/>
      </c>
      <c r="P1670" s="35">
        <f>INDEX(P$80:P$93,$D1670)/$E1670</f>
        <v/>
      </c>
      <c r="Q1670" s="35">
        <f>INDEX(Q$80:Q$93,$D1670)/$E1670</f>
        <v/>
      </c>
      <c r="R1670" s="35">
        <f>INDEX(R$80:R$93,$D1670)/$E1670</f>
        <v/>
      </c>
      <c r="S1670" s="35">
        <f>INDEX(S$80:S$93,$D1670)/$E1670</f>
        <v/>
      </c>
      <c r="T1670" s="35">
        <f>INDEX(T$80:T$93,$D1670)/$E1670</f>
        <v/>
      </c>
      <c r="U1670" s="35">
        <f>INDEX(U$80:U$93,$D1670)/$E1670</f>
        <v/>
      </c>
      <c r="V1670" s="35">
        <f>INDEX(V$80:V$93,$D1670)/$E1670</f>
        <v/>
      </c>
      <c r="W1670" s="35">
        <f>INDEX(W$80:W$93,$D1670)/$E1670</f>
        <v/>
      </c>
      <c r="X1670" s="35">
        <f>INDEX(X$80:X$93,$D1670)/$E1670</f>
        <v/>
      </c>
      <c r="Y1670" s="35">
        <f>INDEX(Y$80:Y$93,$D1670)/$E1670</f>
        <v/>
      </c>
      <c r="Z1670" s="35">
        <f>INDEX(Z$80:Z$93,$D1670)/$E1670</f>
        <v/>
      </c>
      <c r="AA1670" s="35">
        <f>INDEX(AA$80:AA$93,$D1670)/$E1670</f>
        <v/>
      </c>
      <c r="AB1670" s="35">
        <f>INDEX(AB$80:AB$93,$D1670)/$E1670</f>
        <v/>
      </c>
      <c r="AC1670" s="35">
        <f>INDEX(AC$80:AC$93,$D1670)/$E1670</f>
        <v/>
      </c>
      <c r="AD1670" s="35">
        <f>INDEX(AD$80:AD$93,$D1670)/$E1670</f>
        <v/>
      </c>
      <c r="AE1670" s="42">
        <f>NEWEXCISE(INDEX(AE$80:AE$93,$D1670),$E1670)</f>
        <v/>
      </c>
      <c r="AG1670" s="11">
        <f>CodePrefix&amp;$A1670&amp;IF($C1670="","","."&amp;$C1670&amp;"."&amp;$B1670)&amp;INDEX(VarEnd,MATCH($A1670,VarKey,0))&amp;AG$5</f>
        <v/>
      </c>
      <c r="AH1670" s="40">
        <f>INDEX(AH$80:AH$93,$D1670)/$E1670</f>
        <v/>
      </c>
      <c r="AI1670" s="35">
        <f>INDEX(AI$80:AI$93,$D1670)/$E1670</f>
        <v/>
      </c>
      <c r="AJ1670" s="35">
        <f>INDEX(AJ$80:AJ$93,$D1670)/$E1670</f>
        <v/>
      </c>
      <c r="AK1670" s="35">
        <f>INDEX(AK$80:AK$93,$D1670)/$E1670</f>
        <v/>
      </c>
      <c r="AL1670" s="35">
        <f>INDEX(AL$80:AL$93,$D1670)/$E1670</f>
        <v/>
      </c>
      <c r="AM1670" s="35">
        <f>INDEX(AM$80:AM$93,$D1670)/$E1670</f>
        <v/>
      </c>
      <c r="AN1670" s="35">
        <f>INDEX(AN$80:AN$93,$D1670)/$E1670</f>
        <v/>
      </c>
      <c r="AO1670" s="35">
        <f>INDEX(AO$80:AO$93,$D1670)/$E1670</f>
        <v/>
      </c>
      <c r="AP1670" s="35">
        <f>INDEX(AP$80:AP$93,$D1670)/$E1670</f>
        <v/>
      </c>
      <c r="AQ1670" s="35">
        <f>INDEX(AQ$80:AQ$93,$D1670)/$E1670</f>
        <v/>
      </c>
      <c r="AR1670" s="35">
        <f>INDEX(AR$80:AR$93,$D1670)/$E1670</f>
        <v/>
      </c>
      <c r="AS1670" s="35">
        <f>INDEX(AS$80:AS$93,$D1670)/$E1670</f>
        <v/>
      </c>
      <c r="AT1670" s="35">
        <f>INDEX(AT$80:AT$93,$D1670)/$E1670</f>
        <v/>
      </c>
      <c r="AU1670" s="35">
        <f>INDEX(AU$80:AU$93,$D1670)/$E1670</f>
        <v/>
      </c>
      <c r="AV1670" s="35">
        <f>INDEX(AV$80:AV$93,$D1670)/$E1670</f>
        <v/>
      </c>
      <c r="AW1670" s="35">
        <f>INDEX(AW$80:AW$93,$D1670)/$E1670</f>
        <v/>
      </c>
      <c r="AX1670" s="35">
        <f>INDEX(AX$80:AX$93,$D1670)/$E1670</f>
        <v/>
      </c>
      <c r="AY1670" s="35">
        <f>INDEX(AY$80:AY$93,$D1670)/$E1670</f>
        <v/>
      </c>
      <c r="AZ1670" s="35">
        <f>INDEX(AZ$80:AZ$93,$D1670)/$E1670</f>
        <v/>
      </c>
      <c r="BA1670" s="42">
        <f>NEWEXCISE(INDEX(BA$80:BA$93,$D1670),$E1670)</f>
        <v/>
      </c>
    </row>
    <row r="1671" hidden="1" outlineLevel="2">
      <c r="A1671" s="14" t="inlineStr">
        <is>
          <t>ntx</t>
        </is>
      </c>
      <c r="B1671" s="14" t="inlineStr">
        <is>
          <t>die</t>
        </is>
      </c>
      <c r="C1671" s="14" t="inlineStr">
        <is>
          <t>foo</t>
        </is>
      </c>
      <c r="D1671" s="35">
        <f>INDEX(Inputs!$N$5:$N$132,MATCH($B1671&amp;"|"&amp;$C1671,Inputs!$A$5:$A$132,0))</f>
        <v/>
      </c>
      <c r="E1671" s="35">
        <f>INDEX(Inputs!$K$5:$K$132,MATCH($B1671&amp;"|"&amp;$C1671,Inputs!$A$5:$A$132,0))</f>
        <v/>
      </c>
      <c r="F1671" s="39" t="n"/>
      <c r="G1671" s="39" t="n"/>
      <c r="H1671" s="14">
        <f>INDEX(VarLab,MATCH($A1671,VarKey,0))&amp;INDEX(MemLab,MATCH($C1671&amp;"|"&amp;$B1671,MemKey,0))</f>
        <v/>
      </c>
      <c r="I1671" s="14">
        <f>INDEX(VarUnit,MATCH($A1671,VarKey,0))</f>
        <v/>
      </c>
      <c r="J1671" s="14">
        <f>INDEX(VarSrc,MATCH($A1671,VarKey,0))</f>
        <v/>
      </c>
      <c r="K1671" s="11">
        <f>CodePrefix&amp;$A1671&amp;IF($C1671="","","."&amp;$C1671&amp;"."&amp;$B1671)&amp;INDEX(VarEnd,MATCH($A1671,VarKey,0))&amp;K$5</f>
        <v/>
      </c>
      <c r="L1671" s="40">
        <f>INDEX(L$80:L$93,$D1671)/$E1671</f>
        <v/>
      </c>
      <c r="M1671" s="35">
        <f>INDEX(M$80:M$93,$D1671)/$E1671</f>
        <v/>
      </c>
      <c r="N1671" s="35">
        <f>INDEX(N$80:N$93,$D1671)/$E1671</f>
        <v/>
      </c>
      <c r="O1671" s="35">
        <f>INDEX(O$80:O$93,$D1671)/$E1671</f>
        <v/>
      </c>
      <c r="P1671" s="35">
        <f>INDEX(P$80:P$93,$D1671)/$E1671</f>
        <v/>
      </c>
      <c r="Q1671" s="35">
        <f>INDEX(Q$80:Q$93,$D1671)/$E1671</f>
        <v/>
      </c>
      <c r="R1671" s="35">
        <f>INDEX(R$80:R$93,$D1671)/$E1671</f>
        <v/>
      </c>
      <c r="S1671" s="35">
        <f>INDEX(S$80:S$93,$D1671)/$E1671</f>
        <v/>
      </c>
      <c r="T1671" s="35">
        <f>INDEX(T$80:T$93,$D1671)/$E1671</f>
        <v/>
      </c>
      <c r="U1671" s="35">
        <f>INDEX(U$80:U$93,$D1671)/$E1671</f>
        <v/>
      </c>
      <c r="V1671" s="35">
        <f>INDEX(V$80:V$93,$D1671)/$E1671</f>
        <v/>
      </c>
      <c r="W1671" s="35">
        <f>INDEX(W$80:W$93,$D1671)/$E1671</f>
        <v/>
      </c>
      <c r="X1671" s="35">
        <f>INDEX(X$80:X$93,$D1671)/$E1671</f>
        <v/>
      </c>
      <c r="Y1671" s="35">
        <f>INDEX(Y$80:Y$93,$D1671)/$E1671</f>
        <v/>
      </c>
      <c r="Z1671" s="35">
        <f>INDEX(Z$80:Z$93,$D1671)/$E1671</f>
        <v/>
      </c>
      <c r="AA1671" s="35">
        <f>INDEX(AA$80:AA$93,$D1671)/$E1671</f>
        <v/>
      </c>
      <c r="AB1671" s="35">
        <f>INDEX(AB$80:AB$93,$D1671)/$E1671</f>
        <v/>
      </c>
      <c r="AC1671" s="35">
        <f>INDEX(AC$80:AC$93,$D1671)/$E1671</f>
        <v/>
      </c>
      <c r="AD1671" s="35">
        <f>INDEX(AD$80:AD$93,$D1671)/$E1671</f>
        <v/>
      </c>
      <c r="AE1671" s="42">
        <f>NEWEXCISE(INDEX(AE$80:AE$93,$D1671),$E1671)</f>
        <v/>
      </c>
      <c r="AG1671" s="11">
        <f>CodePrefix&amp;$A1671&amp;IF($C1671="","","."&amp;$C1671&amp;"."&amp;$B1671)&amp;INDEX(VarEnd,MATCH($A1671,VarKey,0))&amp;AG$5</f>
        <v/>
      </c>
      <c r="AH1671" s="40">
        <f>INDEX(AH$80:AH$93,$D1671)/$E1671</f>
        <v/>
      </c>
      <c r="AI1671" s="35">
        <f>INDEX(AI$80:AI$93,$D1671)/$E1671</f>
        <v/>
      </c>
      <c r="AJ1671" s="35">
        <f>INDEX(AJ$80:AJ$93,$D1671)/$E1671</f>
        <v/>
      </c>
      <c r="AK1671" s="35">
        <f>INDEX(AK$80:AK$93,$D1671)/$E1671</f>
        <v/>
      </c>
      <c r="AL1671" s="35">
        <f>INDEX(AL$80:AL$93,$D1671)/$E1671</f>
        <v/>
      </c>
      <c r="AM1671" s="35">
        <f>INDEX(AM$80:AM$93,$D1671)/$E1671</f>
        <v/>
      </c>
      <c r="AN1671" s="35">
        <f>INDEX(AN$80:AN$93,$D1671)/$E1671</f>
        <v/>
      </c>
      <c r="AO1671" s="35">
        <f>INDEX(AO$80:AO$93,$D1671)/$E1671</f>
        <v/>
      </c>
      <c r="AP1671" s="35">
        <f>INDEX(AP$80:AP$93,$D1671)/$E1671</f>
        <v/>
      </c>
      <c r="AQ1671" s="35">
        <f>INDEX(AQ$80:AQ$93,$D1671)/$E1671</f>
        <v/>
      </c>
      <c r="AR1671" s="35">
        <f>INDEX(AR$80:AR$93,$D1671)/$E1671</f>
        <v/>
      </c>
      <c r="AS1671" s="35">
        <f>INDEX(AS$80:AS$93,$D1671)/$E1671</f>
        <v/>
      </c>
      <c r="AT1671" s="35">
        <f>INDEX(AT$80:AT$93,$D1671)/$E1671</f>
        <v/>
      </c>
      <c r="AU1671" s="35">
        <f>INDEX(AU$80:AU$93,$D1671)/$E1671</f>
        <v/>
      </c>
      <c r="AV1671" s="35">
        <f>INDEX(AV$80:AV$93,$D1671)/$E1671</f>
        <v/>
      </c>
      <c r="AW1671" s="35">
        <f>INDEX(AW$80:AW$93,$D1671)/$E1671</f>
        <v/>
      </c>
      <c r="AX1671" s="35">
        <f>INDEX(AX$80:AX$93,$D1671)/$E1671</f>
        <v/>
      </c>
      <c r="AY1671" s="35">
        <f>INDEX(AY$80:AY$93,$D1671)/$E1671</f>
        <v/>
      </c>
      <c r="AZ1671" s="35">
        <f>INDEX(AZ$80:AZ$93,$D1671)/$E1671</f>
        <v/>
      </c>
      <c r="BA1671" s="42">
        <f>NEWEXCISE(INDEX(BA$80:BA$93,$D1671),$E1671)</f>
        <v/>
      </c>
    </row>
    <row r="1672" hidden="1" outlineLevel="2">
      <c r="A1672" s="14" t="inlineStr">
        <is>
          <t>ntx</t>
        </is>
      </c>
      <c r="B1672" s="14" t="inlineStr">
        <is>
          <t>lpg</t>
        </is>
      </c>
      <c r="C1672" s="14" t="inlineStr">
        <is>
          <t>foo</t>
        </is>
      </c>
      <c r="D1672" s="35">
        <f>INDEX(Inputs!$N$5:$N$132,MATCH($B1672&amp;"|"&amp;$C1672,Inputs!$A$5:$A$132,0))</f>
        <v/>
      </c>
      <c r="E1672" s="35">
        <f>INDEX(Inputs!$K$5:$K$132,MATCH($B1672&amp;"|"&amp;$C1672,Inputs!$A$5:$A$132,0))</f>
        <v/>
      </c>
      <c r="F1672" s="39" t="n"/>
      <c r="G1672" s="39" t="n"/>
      <c r="H1672" s="14">
        <f>INDEX(VarLab,MATCH($A1672,VarKey,0))&amp;INDEX(MemLab,MATCH($C1672&amp;"|"&amp;$B1672,MemKey,0))</f>
        <v/>
      </c>
      <c r="I1672" s="14">
        <f>INDEX(VarUnit,MATCH($A1672,VarKey,0))</f>
        <v/>
      </c>
      <c r="J1672" s="14">
        <f>INDEX(VarSrc,MATCH($A1672,VarKey,0))</f>
        <v/>
      </c>
      <c r="K1672" s="11">
        <f>CodePrefix&amp;$A1672&amp;IF($C1672="","","."&amp;$C1672&amp;"."&amp;$B1672)&amp;INDEX(VarEnd,MATCH($A1672,VarKey,0))&amp;K$5</f>
        <v/>
      </c>
      <c r="L1672" s="40">
        <f>INDEX(L$80:L$93,$D1672)/$E1672</f>
        <v/>
      </c>
      <c r="M1672" s="35">
        <f>INDEX(M$80:M$93,$D1672)/$E1672</f>
        <v/>
      </c>
      <c r="N1672" s="35">
        <f>INDEX(N$80:N$93,$D1672)/$E1672</f>
        <v/>
      </c>
      <c r="O1672" s="35">
        <f>INDEX(O$80:O$93,$D1672)/$E1672</f>
        <v/>
      </c>
      <c r="P1672" s="35">
        <f>INDEX(P$80:P$93,$D1672)/$E1672</f>
        <v/>
      </c>
      <c r="Q1672" s="35">
        <f>INDEX(Q$80:Q$93,$D1672)/$E1672</f>
        <v/>
      </c>
      <c r="R1672" s="35">
        <f>INDEX(R$80:R$93,$D1672)/$E1672</f>
        <v/>
      </c>
      <c r="S1672" s="35">
        <f>INDEX(S$80:S$93,$D1672)/$E1672</f>
        <v/>
      </c>
      <c r="T1672" s="35">
        <f>INDEX(T$80:T$93,$D1672)/$E1672</f>
        <v/>
      </c>
      <c r="U1672" s="35">
        <f>INDEX(U$80:U$93,$D1672)/$E1672</f>
        <v/>
      </c>
      <c r="V1672" s="35">
        <f>INDEX(V$80:V$93,$D1672)/$E1672</f>
        <v/>
      </c>
      <c r="W1672" s="35">
        <f>INDEX(W$80:W$93,$D1672)/$E1672</f>
        <v/>
      </c>
      <c r="X1672" s="35">
        <f>INDEX(X$80:X$93,$D1672)/$E1672</f>
        <v/>
      </c>
      <c r="Y1672" s="35">
        <f>INDEX(Y$80:Y$93,$D1672)/$E1672</f>
        <v/>
      </c>
      <c r="Z1672" s="35">
        <f>INDEX(Z$80:Z$93,$D1672)/$E1672</f>
        <v/>
      </c>
      <c r="AA1672" s="35">
        <f>INDEX(AA$80:AA$93,$D1672)/$E1672</f>
        <v/>
      </c>
      <c r="AB1672" s="35">
        <f>INDEX(AB$80:AB$93,$D1672)/$E1672</f>
        <v/>
      </c>
      <c r="AC1672" s="35">
        <f>INDEX(AC$80:AC$93,$D1672)/$E1672</f>
        <v/>
      </c>
      <c r="AD1672" s="35">
        <f>INDEX(AD$80:AD$93,$D1672)/$E1672</f>
        <v/>
      </c>
      <c r="AE1672" s="42">
        <f>NEWEXCISE(INDEX(AE$80:AE$93,$D1672),$E1672)</f>
        <v/>
      </c>
      <c r="AG1672" s="11">
        <f>CodePrefix&amp;$A1672&amp;IF($C1672="","","."&amp;$C1672&amp;"."&amp;$B1672)&amp;INDEX(VarEnd,MATCH($A1672,VarKey,0))&amp;AG$5</f>
        <v/>
      </c>
      <c r="AH1672" s="40">
        <f>INDEX(AH$80:AH$93,$D1672)/$E1672</f>
        <v/>
      </c>
      <c r="AI1672" s="35">
        <f>INDEX(AI$80:AI$93,$D1672)/$E1672</f>
        <v/>
      </c>
      <c r="AJ1672" s="35">
        <f>INDEX(AJ$80:AJ$93,$D1672)/$E1672</f>
        <v/>
      </c>
      <c r="AK1672" s="35">
        <f>INDEX(AK$80:AK$93,$D1672)/$E1672</f>
        <v/>
      </c>
      <c r="AL1672" s="35">
        <f>INDEX(AL$80:AL$93,$D1672)/$E1672</f>
        <v/>
      </c>
      <c r="AM1672" s="35">
        <f>INDEX(AM$80:AM$93,$D1672)/$E1672</f>
        <v/>
      </c>
      <c r="AN1672" s="35">
        <f>INDEX(AN$80:AN$93,$D1672)/$E1672</f>
        <v/>
      </c>
      <c r="AO1672" s="35">
        <f>INDEX(AO$80:AO$93,$D1672)/$E1672</f>
        <v/>
      </c>
      <c r="AP1672" s="35">
        <f>INDEX(AP$80:AP$93,$D1672)/$E1672</f>
        <v/>
      </c>
      <c r="AQ1672" s="35">
        <f>INDEX(AQ$80:AQ$93,$D1672)/$E1672</f>
        <v/>
      </c>
      <c r="AR1672" s="35">
        <f>INDEX(AR$80:AR$93,$D1672)/$E1672</f>
        <v/>
      </c>
      <c r="AS1672" s="35">
        <f>INDEX(AS$80:AS$93,$D1672)/$E1672</f>
        <v/>
      </c>
      <c r="AT1672" s="35">
        <f>INDEX(AT$80:AT$93,$D1672)/$E1672</f>
        <v/>
      </c>
      <c r="AU1672" s="35">
        <f>INDEX(AU$80:AU$93,$D1672)/$E1672</f>
        <v/>
      </c>
      <c r="AV1672" s="35">
        <f>INDEX(AV$80:AV$93,$D1672)/$E1672</f>
        <v/>
      </c>
      <c r="AW1672" s="35">
        <f>INDEX(AW$80:AW$93,$D1672)/$E1672</f>
        <v/>
      </c>
      <c r="AX1672" s="35">
        <f>INDEX(AX$80:AX$93,$D1672)/$E1672</f>
        <v/>
      </c>
      <c r="AY1672" s="35">
        <f>INDEX(AY$80:AY$93,$D1672)/$E1672</f>
        <v/>
      </c>
      <c r="AZ1672" s="35">
        <f>INDEX(AZ$80:AZ$93,$D1672)/$E1672</f>
        <v/>
      </c>
      <c r="BA1672" s="42">
        <f>NEWEXCISE(INDEX(BA$80:BA$93,$D1672),$E1672)</f>
        <v/>
      </c>
    </row>
    <row r="1673" hidden="1" outlineLevel="2">
      <c r="A1673" s="14" t="inlineStr">
        <is>
          <t>ntx</t>
        </is>
      </c>
      <c r="B1673" s="14" t="inlineStr">
        <is>
          <t>ker</t>
        </is>
      </c>
      <c r="C1673" s="14" t="inlineStr">
        <is>
          <t>foo</t>
        </is>
      </c>
      <c r="D1673" s="35">
        <f>INDEX(Inputs!$N$5:$N$132,MATCH($B1673&amp;"|"&amp;$C1673,Inputs!$A$5:$A$132,0))</f>
        <v/>
      </c>
      <c r="E1673" s="35">
        <f>INDEX(Inputs!$K$5:$K$132,MATCH($B1673&amp;"|"&amp;$C1673,Inputs!$A$5:$A$132,0))</f>
        <v/>
      </c>
      <c r="F1673" s="39" t="n"/>
      <c r="G1673" s="39" t="n"/>
      <c r="H1673" s="14">
        <f>INDEX(VarLab,MATCH($A1673,VarKey,0))&amp;INDEX(MemLab,MATCH($C1673&amp;"|"&amp;$B1673,MemKey,0))</f>
        <v/>
      </c>
      <c r="I1673" s="14">
        <f>INDEX(VarUnit,MATCH($A1673,VarKey,0))</f>
        <v/>
      </c>
      <c r="J1673" s="14">
        <f>INDEX(VarSrc,MATCH($A1673,VarKey,0))</f>
        <v/>
      </c>
      <c r="K1673" s="11">
        <f>CodePrefix&amp;$A1673&amp;IF($C1673="","","."&amp;$C1673&amp;"."&amp;$B1673)&amp;INDEX(VarEnd,MATCH($A1673,VarKey,0))&amp;K$5</f>
        <v/>
      </c>
      <c r="L1673" s="40">
        <f>INDEX(L$80:L$93,$D1673)/$E1673</f>
        <v/>
      </c>
      <c r="M1673" s="35">
        <f>INDEX(M$80:M$93,$D1673)/$E1673</f>
        <v/>
      </c>
      <c r="N1673" s="35">
        <f>INDEX(N$80:N$93,$D1673)/$E1673</f>
        <v/>
      </c>
      <c r="O1673" s="35">
        <f>INDEX(O$80:O$93,$D1673)/$E1673</f>
        <v/>
      </c>
      <c r="P1673" s="35">
        <f>INDEX(P$80:P$93,$D1673)/$E1673</f>
        <v/>
      </c>
      <c r="Q1673" s="35">
        <f>INDEX(Q$80:Q$93,$D1673)/$E1673</f>
        <v/>
      </c>
      <c r="R1673" s="35">
        <f>INDEX(R$80:R$93,$D1673)/$E1673</f>
        <v/>
      </c>
      <c r="S1673" s="35">
        <f>INDEX(S$80:S$93,$D1673)/$E1673</f>
        <v/>
      </c>
      <c r="T1673" s="35">
        <f>INDEX(T$80:T$93,$D1673)/$E1673</f>
        <v/>
      </c>
      <c r="U1673" s="35">
        <f>INDEX(U$80:U$93,$D1673)/$E1673</f>
        <v/>
      </c>
      <c r="V1673" s="35">
        <f>INDEX(V$80:V$93,$D1673)/$E1673</f>
        <v/>
      </c>
      <c r="W1673" s="35">
        <f>INDEX(W$80:W$93,$D1673)/$E1673</f>
        <v/>
      </c>
      <c r="X1673" s="35">
        <f>INDEX(X$80:X$93,$D1673)/$E1673</f>
        <v/>
      </c>
      <c r="Y1673" s="35">
        <f>INDEX(Y$80:Y$93,$D1673)/$E1673</f>
        <v/>
      </c>
      <c r="Z1673" s="35">
        <f>INDEX(Z$80:Z$93,$D1673)/$E1673</f>
        <v/>
      </c>
      <c r="AA1673" s="35">
        <f>INDEX(AA$80:AA$93,$D1673)/$E1673</f>
        <v/>
      </c>
      <c r="AB1673" s="35">
        <f>INDEX(AB$80:AB$93,$D1673)/$E1673</f>
        <v/>
      </c>
      <c r="AC1673" s="35">
        <f>INDEX(AC$80:AC$93,$D1673)/$E1673</f>
        <v/>
      </c>
      <c r="AD1673" s="35">
        <f>INDEX(AD$80:AD$93,$D1673)/$E1673</f>
        <v/>
      </c>
      <c r="AE1673" s="42">
        <f>NEWEXCISE(INDEX(AE$80:AE$93,$D1673),$E1673)</f>
        <v/>
      </c>
      <c r="AG1673" s="11">
        <f>CodePrefix&amp;$A1673&amp;IF($C1673="","","."&amp;$C1673&amp;"."&amp;$B1673)&amp;INDEX(VarEnd,MATCH($A1673,VarKey,0))&amp;AG$5</f>
        <v/>
      </c>
      <c r="AH1673" s="40">
        <f>INDEX(AH$80:AH$93,$D1673)/$E1673</f>
        <v/>
      </c>
      <c r="AI1673" s="35">
        <f>INDEX(AI$80:AI$93,$D1673)/$E1673</f>
        <v/>
      </c>
      <c r="AJ1673" s="35">
        <f>INDEX(AJ$80:AJ$93,$D1673)/$E1673</f>
        <v/>
      </c>
      <c r="AK1673" s="35">
        <f>INDEX(AK$80:AK$93,$D1673)/$E1673</f>
        <v/>
      </c>
      <c r="AL1673" s="35">
        <f>INDEX(AL$80:AL$93,$D1673)/$E1673</f>
        <v/>
      </c>
      <c r="AM1673" s="35">
        <f>INDEX(AM$80:AM$93,$D1673)/$E1673</f>
        <v/>
      </c>
      <c r="AN1673" s="35">
        <f>INDEX(AN$80:AN$93,$D1673)/$E1673</f>
        <v/>
      </c>
      <c r="AO1673" s="35">
        <f>INDEX(AO$80:AO$93,$D1673)/$E1673</f>
        <v/>
      </c>
      <c r="AP1673" s="35">
        <f>INDEX(AP$80:AP$93,$D1673)/$E1673</f>
        <v/>
      </c>
      <c r="AQ1673" s="35">
        <f>INDEX(AQ$80:AQ$93,$D1673)/$E1673</f>
        <v/>
      </c>
      <c r="AR1673" s="35">
        <f>INDEX(AR$80:AR$93,$D1673)/$E1673</f>
        <v/>
      </c>
      <c r="AS1673" s="35">
        <f>INDEX(AS$80:AS$93,$D1673)/$E1673</f>
        <v/>
      </c>
      <c r="AT1673" s="35">
        <f>INDEX(AT$80:AT$93,$D1673)/$E1673</f>
        <v/>
      </c>
      <c r="AU1673" s="35">
        <f>INDEX(AU$80:AU$93,$D1673)/$E1673</f>
        <v/>
      </c>
      <c r="AV1673" s="35">
        <f>INDEX(AV$80:AV$93,$D1673)/$E1673</f>
        <v/>
      </c>
      <c r="AW1673" s="35">
        <f>INDEX(AW$80:AW$93,$D1673)/$E1673</f>
        <v/>
      </c>
      <c r="AX1673" s="35">
        <f>INDEX(AX$80:AX$93,$D1673)/$E1673</f>
        <v/>
      </c>
      <c r="AY1673" s="35">
        <f>INDEX(AY$80:AY$93,$D1673)/$E1673</f>
        <v/>
      </c>
      <c r="AZ1673" s="35">
        <f>INDEX(AZ$80:AZ$93,$D1673)/$E1673</f>
        <v/>
      </c>
      <c r="BA1673" s="42">
        <f>NEWEXCISE(INDEX(BA$80:BA$93,$D1673),$E1673)</f>
        <v/>
      </c>
    </row>
    <row r="1674" hidden="1" outlineLevel="2">
      <c r="A1674" s="14" t="inlineStr">
        <is>
          <t>ntx</t>
        </is>
      </c>
      <c r="B1674" s="14" t="inlineStr">
        <is>
          <t>oop</t>
        </is>
      </c>
      <c r="C1674" s="14" t="inlineStr">
        <is>
          <t>foo</t>
        </is>
      </c>
      <c r="D1674" s="35">
        <f>INDEX(Inputs!$N$5:$N$132,MATCH($B1674&amp;"|"&amp;$C1674,Inputs!$A$5:$A$132,0))</f>
        <v/>
      </c>
      <c r="E1674" s="35">
        <f>INDEX(Inputs!$K$5:$K$132,MATCH($B1674&amp;"|"&amp;$C1674,Inputs!$A$5:$A$132,0))</f>
        <v/>
      </c>
      <c r="F1674" s="39" t="n"/>
      <c r="G1674" s="39" t="n"/>
      <c r="H1674" s="14">
        <f>INDEX(VarLab,MATCH($A1674,VarKey,0))&amp;INDEX(MemLab,MATCH($C1674&amp;"|"&amp;$B1674,MemKey,0))</f>
        <v/>
      </c>
      <c r="I1674" s="14">
        <f>INDEX(VarUnit,MATCH($A1674,VarKey,0))</f>
        <v/>
      </c>
      <c r="J1674" s="14">
        <f>INDEX(VarSrc,MATCH($A1674,VarKey,0))</f>
        <v/>
      </c>
      <c r="K1674" s="11">
        <f>CodePrefix&amp;$A1674&amp;IF($C1674="","","."&amp;$C1674&amp;"."&amp;$B1674)&amp;INDEX(VarEnd,MATCH($A1674,VarKey,0))&amp;K$5</f>
        <v/>
      </c>
      <c r="L1674" s="40">
        <f>INDEX(L$80:L$93,$D1674)/$E1674</f>
        <v/>
      </c>
      <c r="M1674" s="35">
        <f>INDEX(M$80:M$93,$D1674)/$E1674</f>
        <v/>
      </c>
      <c r="N1674" s="35">
        <f>INDEX(N$80:N$93,$D1674)/$E1674</f>
        <v/>
      </c>
      <c r="O1674" s="35">
        <f>INDEX(O$80:O$93,$D1674)/$E1674</f>
        <v/>
      </c>
      <c r="P1674" s="35">
        <f>INDEX(P$80:P$93,$D1674)/$E1674</f>
        <v/>
      </c>
      <c r="Q1674" s="35">
        <f>INDEX(Q$80:Q$93,$D1674)/$E1674</f>
        <v/>
      </c>
      <c r="R1674" s="35">
        <f>INDEX(R$80:R$93,$D1674)/$E1674</f>
        <v/>
      </c>
      <c r="S1674" s="35">
        <f>INDEX(S$80:S$93,$D1674)/$E1674</f>
        <v/>
      </c>
      <c r="T1674" s="35">
        <f>INDEX(T$80:T$93,$D1674)/$E1674</f>
        <v/>
      </c>
      <c r="U1674" s="35">
        <f>INDEX(U$80:U$93,$D1674)/$E1674</f>
        <v/>
      </c>
      <c r="V1674" s="35">
        <f>INDEX(V$80:V$93,$D1674)/$E1674</f>
        <v/>
      </c>
      <c r="W1674" s="35">
        <f>INDEX(W$80:W$93,$D1674)/$E1674</f>
        <v/>
      </c>
      <c r="X1674" s="35">
        <f>INDEX(X$80:X$93,$D1674)/$E1674</f>
        <v/>
      </c>
      <c r="Y1674" s="35">
        <f>INDEX(Y$80:Y$93,$D1674)/$E1674</f>
        <v/>
      </c>
      <c r="Z1674" s="35">
        <f>INDEX(Z$80:Z$93,$D1674)/$E1674</f>
        <v/>
      </c>
      <c r="AA1674" s="35">
        <f>INDEX(AA$80:AA$93,$D1674)/$E1674</f>
        <v/>
      </c>
      <c r="AB1674" s="35">
        <f>INDEX(AB$80:AB$93,$D1674)/$E1674</f>
        <v/>
      </c>
      <c r="AC1674" s="35">
        <f>INDEX(AC$80:AC$93,$D1674)/$E1674</f>
        <v/>
      </c>
      <c r="AD1674" s="35">
        <f>INDEX(AD$80:AD$93,$D1674)/$E1674</f>
        <v/>
      </c>
      <c r="AE1674" s="42">
        <f>NEWEXCISE(INDEX(AE$80:AE$93,$D1674),$E1674)</f>
        <v/>
      </c>
      <c r="AG1674" s="11">
        <f>CodePrefix&amp;$A1674&amp;IF($C1674="","","."&amp;$C1674&amp;"."&amp;$B1674)&amp;INDEX(VarEnd,MATCH($A1674,VarKey,0))&amp;AG$5</f>
        <v/>
      </c>
      <c r="AH1674" s="40">
        <f>INDEX(AH$80:AH$93,$D1674)/$E1674</f>
        <v/>
      </c>
      <c r="AI1674" s="35">
        <f>INDEX(AI$80:AI$93,$D1674)/$E1674</f>
        <v/>
      </c>
      <c r="AJ1674" s="35">
        <f>INDEX(AJ$80:AJ$93,$D1674)/$E1674</f>
        <v/>
      </c>
      <c r="AK1674" s="35">
        <f>INDEX(AK$80:AK$93,$D1674)/$E1674</f>
        <v/>
      </c>
      <c r="AL1674" s="35">
        <f>INDEX(AL$80:AL$93,$D1674)/$E1674</f>
        <v/>
      </c>
      <c r="AM1674" s="35">
        <f>INDEX(AM$80:AM$93,$D1674)/$E1674</f>
        <v/>
      </c>
      <c r="AN1674" s="35">
        <f>INDEX(AN$80:AN$93,$D1674)/$E1674</f>
        <v/>
      </c>
      <c r="AO1674" s="35">
        <f>INDEX(AO$80:AO$93,$D1674)/$E1674</f>
        <v/>
      </c>
      <c r="AP1674" s="35">
        <f>INDEX(AP$80:AP$93,$D1674)/$E1674</f>
        <v/>
      </c>
      <c r="AQ1674" s="35">
        <f>INDEX(AQ$80:AQ$93,$D1674)/$E1674</f>
        <v/>
      </c>
      <c r="AR1674" s="35">
        <f>INDEX(AR$80:AR$93,$D1674)/$E1674</f>
        <v/>
      </c>
      <c r="AS1674" s="35">
        <f>INDEX(AS$80:AS$93,$D1674)/$E1674</f>
        <v/>
      </c>
      <c r="AT1674" s="35">
        <f>INDEX(AT$80:AT$93,$D1674)/$E1674</f>
        <v/>
      </c>
      <c r="AU1674" s="35">
        <f>INDEX(AU$80:AU$93,$D1674)/$E1674</f>
        <v/>
      </c>
      <c r="AV1674" s="35">
        <f>INDEX(AV$80:AV$93,$D1674)/$E1674</f>
        <v/>
      </c>
      <c r="AW1674" s="35">
        <f>INDEX(AW$80:AW$93,$D1674)/$E1674</f>
        <v/>
      </c>
      <c r="AX1674" s="35">
        <f>INDEX(AX$80:AX$93,$D1674)/$E1674</f>
        <v/>
      </c>
      <c r="AY1674" s="35">
        <f>INDEX(AY$80:AY$93,$D1674)/$E1674</f>
        <v/>
      </c>
      <c r="AZ1674" s="35">
        <f>INDEX(AZ$80:AZ$93,$D1674)/$E1674</f>
        <v/>
      </c>
      <c r="BA1674" s="42">
        <f>NEWEXCISE(INDEX(BA$80:BA$93,$D1674),$E1674)</f>
        <v/>
      </c>
    </row>
    <row r="1675" hidden="1" outlineLevel="2">
      <c r="A1675" s="14" t="inlineStr">
        <is>
          <t>ntx</t>
        </is>
      </c>
      <c r="B1675" s="14" t="inlineStr">
        <is>
          <t>bio</t>
        </is>
      </c>
      <c r="C1675" s="14" t="inlineStr">
        <is>
          <t>foo</t>
        </is>
      </c>
      <c r="D1675" s="35">
        <f>INDEX(Inputs!$N$5:$N$132,MATCH($B1675&amp;"|"&amp;$C1675,Inputs!$A$5:$A$132,0))</f>
        <v/>
      </c>
      <c r="E1675" s="35">
        <f>INDEX(Inputs!$K$5:$K$132,MATCH($B1675&amp;"|"&amp;$C1675,Inputs!$A$5:$A$132,0))</f>
        <v/>
      </c>
      <c r="F1675" s="39" t="n"/>
      <c r="G1675" s="39" t="n"/>
      <c r="H1675" s="14">
        <f>INDEX(VarLab,MATCH($A1675,VarKey,0))&amp;INDEX(MemLab,MATCH($C1675&amp;"|"&amp;$B1675,MemKey,0))</f>
        <v/>
      </c>
      <c r="I1675" s="14">
        <f>INDEX(VarUnit,MATCH($A1675,VarKey,0))</f>
        <v/>
      </c>
      <c r="J1675" s="14">
        <f>INDEX(VarSrc,MATCH($A1675,VarKey,0))</f>
        <v/>
      </c>
      <c r="K1675" s="11">
        <f>CodePrefix&amp;$A1675&amp;IF($C1675="","","."&amp;$C1675&amp;"."&amp;$B1675)&amp;INDEX(VarEnd,MATCH($A1675,VarKey,0))&amp;K$5</f>
        <v/>
      </c>
      <c r="L1675" s="40">
        <f>INDEX(L$80:L$93,$D1675)/$E1675</f>
        <v/>
      </c>
      <c r="M1675" s="35">
        <f>INDEX(M$80:M$93,$D1675)/$E1675</f>
        <v/>
      </c>
      <c r="N1675" s="35">
        <f>INDEX(N$80:N$93,$D1675)/$E1675</f>
        <v/>
      </c>
      <c r="O1675" s="35">
        <f>INDEX(O$80:O$93,$D1675)/$E1675</f>
        <v/>
      </c>
      <c r="P1675" s="35">
        <f>INDEX(P$80:P$93,$D1675)/$E1675</f>
        <v/>
      </c>
      <c r="Q1675" s="35">
        <f>INDEX(Q$80:Q$93,$D1675)/$E1675</f>
        <v/>
      </c>
      <c r="R1675" s="35">
        <f>INDEX(R$80:R$93,$D1675)/$E1675</f>
        <v/>
      </c>
      <c r="S1675" s="35">
        <f>INDEX(S$80:S$93,$D1675)/$E1675</f>
        <v/>
      </c>
      <c r="T1675" s="35">
        <f>INDEX(T$80:T$93,$D1675)/$E1675</f>
        <v/>
      </c>
      <c r="U1675" s="35">
        <f>INDEX(U$80:U$93,$D1675)/$E1675</f>
        <v/>
      </c>
      <c r="V1675" s="35">
        <f>INDEX(V$80:V$93,$D1675)/$E1675</f>
        <v/>
      </c>
      <c r="W1675" s="35">
        <f>INDEX(W$80:W$93,$D1675)/$E1675</f>
        <v/>
      </c>
      <c r="X1675" s="35">
        <f>INDEX(X$80:X$93,$D1675)/$E1675</f>
        <v/>
      </c>
      <c r="Y1675" s="35">
        <f>INDEX(Y$80:Y$93,$D1675)/$E1675</f>
        <v/>
      </c>
      <c r="Z1675" s="35">
        <f>INDEX(Z$80:Z$93,$D1675)/$E1675</f>
        <v/>
      </c>
      <c r="AA1675" s="35">
        <f>INDEX(AA$80:AA$93,$D1675)/$E1675</f>
        <v/>
      </c>
      <c r="AB1675" s="35">
        <f>INDEX(AB$80:AB$93,$D1675)/$E1675</f>
        <v/>
      </c>
      <c r="AC1675" s="35">
        <f>INDEX(AC$80:AC$93,$D1675)/$E1675</f>
        <v/>
      </c>
      <c r="AD1675" s="35">
        <f>INDEX(AD$80:AD$93,$D1675)/$E1675</f>
        <v/>
      </c>
      <c r="AE1675" s="42">
        <f>NEWEXCISE(INDEX(AE$80:AE$93,$D1675),$E1675)</f>
        <v/>
      </c>
      <c r="AG1675" s="11">
        <f>CodePrefix&amp;$A1675&amp;IF($C1675="","","."&amp;$C1675&amp;"."&amp;$B1675)&amp;INDEX(VarEnd,MATCH($A1675,VarKey,0))&amp;AG$5</f>
        <v/>
      </c>
      <c r="AH1675" s="40">
        <f>INDEX(AH$80:AH$93,$D1675)/$E1675</f>
        <v/>
      </c>
      <c r="AI1675" s="35">
        <f>INDEX(AI$80:AI$93,$D1675)/$E1675</f>
        <v/>
      </c>
      <c r="AJ1675" s="35">
        <f>INDEX(AJ$80:AJ$93,$D1675)/$E1675</f>
        <v/>
      </c>
      <c r="AK1675" s="35">
        <f>INDEX(AK$80:AK$93,$D1675)/$E1675</f>
        <v/>
      </c>
      <c r="AL1675" s="35">
        <f>INDEX(AL$80:AL$93,$D1675)/$E1675</f>
        <v/>
      </c>
      <c r="AM1675" s="35">
        <f>INDEX(AM$80:AM$93,$D1675)/$E1675</f>
        <v/>
      </c>
      <c r="AN1675" s="35">
        <f>INDEX(AN$80:AN$93,$D1675)/$E1675</f>
        <v/>
      </c>
      <c r="AO1675" s="35">
        <f>INDEX(AO$80:AO$93,$D1675)/$E1675</f>
        <v/>
      </c>
      <c r="AP1675" s="35">
        <f>INDEX(AP$80:AP$93,$D1675)/$E1675</f>
        <v/>
      </c>
      <c r="AQ1675" s="35">
        <f>INDEX(AQ$80:AQ$93,$D1675)/$E1675</f>
        <v/>
      </c>
      <c r="AR1675" s="35">
        <f>INDEX(AR$80:AR$93,$D1675)/$E1675</f>
        <v/>
      </c>
      <c r="AS1675" s="35">
        <f>INDEX(AS$80:AS$93,$D1675)/$E1675</f>
        <v/>
      </c>
      <c r="AT1675" s="35">
        <f>INDEX(AT$80:AT$93,$D1675)/$E1675</f>
        <v/>
      </c>
      <c r="AU1675" s="35">
        <f>INDEX(AU$80:AU$93,$D1675)/$E1675</f>
        <v/>
      </c>
      <c r="AV1675" s="35">
        <f>INDEX(AV$80:AV$93,$D1675)/$E1675</f>
        <v/>
      </c>
      <c r="AW1675" s="35">
        <f>INDEX(AW$80:AW$93,$D1675)/$E1675</f>
        <v/>
      </c>
      <c r="AX1675" s="35">
        <f>INDEX(AX$80:AX$93,$D1675)/$E1675</f>
        <v/>
      </c>
      <c r="AY1675" s="35">
        <f>INDEX(AY$80:AY$93,$D1675)/$E1675</f>
        <v/>
      </c>
      <c r="AZ1675" s="35">
        <f>INDEX(AZ$80:AZ$93,$D1675)/$E1675</f>
        <v/>
      </c>
      <c r="BA1675" s="42">
        <f>NEWEXCISE(INDEX(BA$80:BA$93,$D1675),$E1675)</f>
        <v/>
      </c>
    </row>
    <row r="1676" hidden="1" outlineLevel="2"/>
    <row r="1677" hidden="1" outlineLevel="2">
      <c r="A1677" s="14" t="inlineStr">
        <is>
          <t>nce</t>
        </is>
      </c>
      <c r="B1677" s="14" t="inlineStr">
        <is>
          <t>coa</t>
        </is>
      </c>
      <c r="C1677" s="14" t="inlineStr">
        <is>
          <t>foo</t>
        </is>
      </c>
      <c r="D1677" s="39" t="n"/>
      <c r="E1677" s="39" t="n"/>
      <c r="F1677" s="39" t="n"/>
      <c r="G1677" s="39" t="n"/>
      <c r="H1677" s="14">
        <f>INDEX(VarLab,MATCH($A1677,VarKey,0))&amp;INDEX(MemLab,MATCH($C1677&amp;"|"&amp;$B1677,MemKey,0))</f>
        <v/>
      </c>
      <c r="I1677" s="14">
        <f>INDEX(VarUnit,MATCH($A1677,VarKey,0))</f>
        <v/>
      </c>
      <c r="J1677" s="14">
        <f>INDEX(VarSrc,MATCH($A1677,VarKey,0))</f>
        <v/>
      </c>
      <c r="K1677" s="11">
        <f>CodePrefix&amp;$A1677&amp;IF($C1677="","","."&amp;$C1677&amp;"."&amp;$B1677)&amp;INDEX(VarEnd,MATCH($A1677,VarKey,0))&amp;K$5</f>
        <v/>
      </c>
      <c r="L1677" s="40">
        <f>L1650+L1659+L1668</f>
        <v/>
      </c>
      <c r="M1677" s="35">
        <f>M1650+M1659+M1668</f>
        <v/>
      </c>
      <c r="N1677" s="35">
        <f>N1650+N1659+N1668</f>
        <v/>
      </c>
      <c r="O1677" s="35">
        <f>O1650+O1659+O1668</f>
        <v/>
      </c>
      <c r="P1677" s="35">
        <f>P1650+P1659+P1668</f>
        <v/>
      </c>
      <c r="Q1677" s="35">
        <f>Q1650+Q1659+Q1668</f>
        <v/>
      </c>
      <c r="R1677" s="35">
        <f>R1650+R1659+R1668</f>
        <v/>
      </c>
      <c r="S1677" s="35">
        <f>S1650+S1659+S1668</f>
        <v/>
      </c>
      <c r="T1677" s="35">
        <f>T1650+T1659+T1668</f>
        <v/>
      </c>
      <c r="U1677" s="35">
        <f>U1650+U1659+U1668</f>
        <v/>
      </c>
      <c r="V1677" s="35">
        <f>V1650+V1659+V1668</f>
        <v/>
      </c>
      <c r="W1677" s="35">
        <f>W1650+W1659+W1668</f>
        <v/>
      </c>
      <c r="X1677" s="35">
        <f>X1650+X1659+X1668</f>
        <v/>
      </c>
      <c r="Y1677" s="35">
        <f>Y1650+Y1659+Y1668</f>
        <v/>
      </c>
      <c r="Z1677" s="35">
        <f>Z1650+Z1659+Z1668</f>
        <v/>
      </c>
      <c r="AA1677" s="35">
        <f>AA1650+AA1659+AA1668</f>
        <v/>
      </c>
      <c r="AB1677" s="35">
        <f>AB1650+AB1659+AB1668</f>
        <v/>
      </c>
      <c r="AC1677" s="35">
        <f>AC1650+AC1659+AC1668</f>
        <v/>
      </c>
      <c r="AD1677" s="35">
        <f>AD1650+AD1659+AD1668</f>
        <v/>
      </c>
      <c r="AE1677" s="42">
        <f>NEWPOLICY(AE1650,AE1659,AE1668)</f>
        <v/>
      </c>
      <c r="AG1677" s="11">
        <f>CodePrefix&amp;$A1677&amp;IF($C1677="","","."&amp;$C1677&amp;"."&amp;$B1677)&amp;INDEX(VarEnd,MATCH($A1677,VarKey,0))&amp;AG$5</f>
        <v/>
      </c>
      <c r="AH1677" s="40">
        <f>AH1650+AH1659+AH1668</f>
        <v/>
      </c>
      <c r="AI1677" s="35">
        <f>AI1650+AI1659+AI1668</f>
        <v/>
      </c>
      <c r="AJ1677" s="35">
        <f>AJ1650+AJ1659+AJ1668</f>
        <v/>
      </c>
      <c r="AK1677" s="35">
        <f>AK1650+AK1659+AK1668</f>
        <v/>
      </c>
      <c r="AL1677" s="35">
        <f>AL1650+AL1659+AL1668</f>
        <v/>
      </c>
      <c r="AM1677" s="35">
        <f>AM1650+AM1659+AM1668</f>
        <v/>
      </c>
      <c r="AN1677" s="35">
        <f>AN1650+AN1659+AN1668</f>
        <v/>
      </c>
      <c r="AO1677" s="35">
        <f>AO1650+AO1659+AO1668</f>
        <v/>
      </c>
      <c r="AP1677" s="35">
        <f>AP1650+AP1659+AP1668</f>
        <v/>
      </c>
      <c r="AQ1677" s="35">
        <f>AQ1650+AQ1659+AQ1668</f>
        <v/>
      </c>
      <c r="AR1677" s="35">
        <f>AR1650+AR1659+AR1668</f>
        <v/>
      </c>
      <c r="AS1677" s="35">
        <f>AS1650+AS1659+AS1668</f>
        <v/>
      </c>
      <c r="AT1677" s="35">
        <f>AT1650+AT1659+AT1668</f>
        <v/>
      </c>
      <c r="AU1677" s="35">
        <f>AU1650+AU1659+AU1668</f>
        <v/>
      </c>
      <c r="AV1677" s="35">
        <f>AV1650+AV1659+AV1668</f>
        <v/>
      </c>
      <c r="AW1677" s="35">
        <f>AW1650+AW1659+AW1668</f>
        <v/>
      </c>
      <c r="AX1677" s="35">
        <f>AX1650+AX1659+AX1668</f>
        <v/>
      </c>
      <c r="AY1677" s="35">
        <f>AY1650+AY1659+AY1668</f>
        <v/>
      </c>
      <c r="AZ1677" s="35">
        <f>AZ1650+AZ1659+AZ1668</f>
        <v/>
      </c>
      <c r="BA1677" s="42">
        <f>NEWPOLICY(BA1650,BA1659,BA1668)</f>
        <v/>
      </c>
    </row>
    <row r="1678" hidden="1" outlineLevel="2">
      <c r="A1678" s="14" t="inlineStr">
        <is>
          <t>nce</t>
        </is>
      </c>
      <c r="B1678" s="14" t="inlineStr">
        <is>
          <t>nga</t>
        </is>
      </c>
      <c r="C1678" s="14" t="inlineStr">
        <is>
          <t>foo</t>
        </is>
      </c>
      <c r="D1678" s="39" t="n"/>
      <c r="E1678" s="39" t="n"/>
      <c r="F1678" s="39" t="n"/>
      <c r="G1678" s="39" t="n"/>
      <c r="H1678" s="14">
        <f>INDEX(VarLab,MATCH($A1678,VarKey,0))&amp;INDEX(MemLab,MATCH($C1678&amp;"|"&amp;$B1678,MemKey,0))</f>
        <v/>
      </c>
      <c r="I1678" s="14">
        <f>INDEX(VarUnit,MATCH($A1678,VarKey,0))</f>
        <v/>
      </c>
      <c r="J1678" s="14">
        <f>INDEX(VarSrc,MATCH($A1678,VarKey,0))</f>
        <v/>
      </c>
      <c r="K1678" s="11">
        <f>CodePrefix&amp;$A1678&amp;IF($C1678="","","."&amp;$C1678&amp;"."&amp;$B1678)&amp;INDEX(VarEnd,MATCH($A1678,VarKey,0))&amp;K$5</f>
        <v/>
      </c>
      <c r="L1678" s="40">
        <f>L1651+L1660+L1669</f>
        <v/>
      </c>
      <c r="M1678" s="35">
        <f>M1651+M1660+M1669</f>
        <v/>
      </c>
      <c r="N1678" s="35">
        <f>N1651+N1660+N1669</f>
        <v/>
      </c>
      <c r="O1678" s="35">
        <f>O1651+O1660+O1669</f>
        <v/>
      </c>
      <c r="P1678" s="35">
        <f>P1651+P1660+P1669</f>
        <v/>
      </c>
      <c r="Q1678" s="35">
        <f>Q1651+Q1660+Q1669</f>
        <v/>
      </c>
      <c r="R1678" s="35">
        <f>R1651+R1660+R1669</f>
        <v/>
      </c>
      <c r="S1678" s="35">
        <f>S1651+S1660+S1669</f>
        <v/>
      </c>
      <c r="T1678" s="35">
        <f>T1651+T1660+T1669</f>
        <v/>
      </c>
      <c r="U1678" s="35">
        <f>U1651+U1660+U1669</f>
        <v/>
      </c>
      <c r="V1678" s="35">
        <f>V1651+V1660+V1669</f>
        <v/>
      </c>
      <c r="W1678" s="35">
        <f>W1651+W1660+W1669</f>
        <v/>
      </c>
      <c r="X1678" s="35">
        <f>X1651+X1660+X1669</f>
        <v/>
      </c>
      <c r="Y1678" s="35">
        <f>Y1651+Y1660+Y1669</f>
        <v/>
      </c>
      <c r="Z1678" s="35">
        <f>Z1651+Z1660+Z1669</f>
        <v/>
      </c>
      <c r="AA1678" s="35">
        <f>AA1651+AA1660+AA1669</f>
        <v/>
      </c>
      <c r="AB1678" s="35">
        <f>AB1651+AB1660+AB1669</f>
        <v/>
      </c>
      <c r="AC1678" s="35">
        <f>AC1651+AC1660+AC1669</f>
        <v/>
      </c>
      <c r="AD1678" s="35">
        <f>AD1651+AD1660+AD1669</f>
        <v/>
      </c>
      <c r="AE1678" s="42">
        <f>NEWPOLICY(AE1651,AE1660,AE1669)</f>
        <v/>
      </c>
      <c r="AG1678" s="11">
        <f>CodePrefix&amp;$A1678&amp;IF($C1678="","","."&amp;$C1678&amp;"."&amp;$B1678)&amp;INDEX(VarEnd,MATCH($A1678,VarKey,0))&amp;AG$5</f>
        <v/>
      </c>
      <c r="AH1678" s="40">
        <f>AH1651+AH1660+AH1669</f>
        <v/>
      </c>
      <c r="AI1678" s="35">
        <f>AI1651+AI1660+AI1669</f>
        <v/>
      </c>
      <c r="AJ1678" s="35">
        <f>AJ1651+AJ1660+AJ1669</f>
        <v/>
      </c>
      <c r="AK1678" s="35">
        <f>AK1651+AK1660+AK1669</f>
        <v/>
      </c>
      <c r="AL1678" s="35">
        <f>AL1651+AL1660+AL1669</f>
        <v/>
      </c>
      <c r="AM1678" s="35">
        <f>AM1651+AM1660+AM1669</f>
        <v/>
      </c>
      <c r="AN1678" s="35">
        <f>AN1651+AN1660+AN1669</f>
        <v/>
      </c>
      <c r="AO1678" s="35">
        <f>AO1651+AO1660+AO1669</f>
        <v/>
      </c>
      <c r="AP1678" s="35">
        <f>AP1651+AP1660+AP1669</f>
        <v/>
      </c>
      <c r="AQ1678" s="35">
        <f>AQ1651+AQ1660+AQ1669</f>
        <v/>
      </c>
      <c r="AR1678" s="35">
        <f>AR1651+AR1660+AR1669</f>
        <v/>
      </c>
      <c r="AS1678" s="35">
        <f>AS1651+AS1660+AS1669</f>
        <v/>
      </c>
      <c r="AT1678" s="35">
        <f>AT1651+AT1660+AT1669</f>
        <v/>
      </c>
      <c r="AU1678" s="35">
        <f>AU1651+AU1660+AU1669</f>
        <v/>
      </c>
      <c r="AV1678" s="35">
        <f>AV1651+AV1660+AV1669</f>
        <v/>
      </c>
      <c r="AW1678" s="35">
        <f>AW1651+AW1660+AW1669</f>
        <v/>
      </c>
      <c r="AX1678" s="35">
        <f>AX1651+AX1660+AX1669</f>
        <v/>
      </c>
      <c r="AY1678" s="35">
        <f>AY1651+AY1660+AY1669</f>
        <v/>
      </c>
      <c r="AZ1678" s="35">
        <f>AZ1651+AZ1660+AZ1669</f>
        <v/>
      </c>
      <c r="BA1678" s="42">
        <f>NEWPOLICY(BA1651,BA1660,BA1669)</f>
        <v/>
      </c>
    </row>
    <row r="1679" hidden="1" outlineLevel="2">
      <c r="A1679" s="14" t="inlineStr">
        <is>
          <t>nce</t>
        </is>
      </c>
      <c r="B1679" s="14" t="inlineStr">
        <is>
          <t>gso</t>
        </is>
      </c>
      <c r="C1679" s="14" t="inlineStr">
        <is>
          <t>foo</t>
        </is>
      </c>
      <c r="D1679" s="39" t="n"/>
      <c r="E1679" s="39" t="n"/>
      <c r="F1679" s="39" t="n"/>
      <c r="G1679" s="39" t="n"/>
      <c r="H1679" s="14">
        <f>INDEX(VarLab,MATCH($A1679,VarKey,0))&amp;INDEX(MemLab,MATCH($C1679&amp;"|"&amp;$B1679,MemKey,0))</f>
        <v/>
      </c>
      <c r="I1679" s="14">
        <f>INDEX(VarUnit,MATCH($A1679,VarKey,0))</f>
        <v/>
      </c>
      <c r="J1679" s="14">
        <f>INDEX(VarSrc,MATCH($A1679,VarKey,0))</f>
        <v/>
      </c>
      <c r="K1679" s="11">
        <f>CodePrefix&amp;$A1679&amp;IF($C1679="","","."&amp;$C1679&amp;"."&amp;$B1679)&amp;INDEX(VarEnd,MATCH($A1679,VarKey,0))&amp;K$5</f>
        <v/>
      </c>
      <c r="L1679" s="40">
        <f>L1652+L1661+L1670</f>
        <v/>
      </c>
      <c r="M1679" s="35">
        <f>M1652+M1661+M1670</f>
        <v/>
      </c>
      <c r="N1679" s="35">
        <f>N1652+N1661+N1670</f>
        <v/>
      </c>
      <c r="O1679" s="35">
        <f>O1652+O1661+O1670</f>
        <v/>
      </c>
      <c r="P1679" s="35">
        <f>P1652+P1661+P1670</f>
        <v/>
      </c>
      <c r="Q1679" s="35">
        <f>Q1652+Q1661+Q1670</f>
        <v/>
      </c>
      <c r="R1679" s="35">
        <f>R1652+R1661+R1670</f>
        <v/>
      </c>
      <c r="S1679" s="35">
        <f>S1652+S1661+S1670</f>
        <v/>
      </c>
      <c r="T1679" s="35">
        <f>T1652+T1661+T1670</f>
        <v/>
      </c>
      <c r="U1679" s="35">
        <f>U1652+U1661+U1670</f>
        <v/>
      </c>
      <c r="V1679" s="35">
        <f>V1652+V1661+V1670</f>
        <v/>
      </c>
      <c r="W1679" s="35">
        <f>W1652+W1661+W1670</f>
        <v/>
      </c>
      <c r="X1679" s="35">
        <f>X1652+X1661+X1670</f>
        <v/>
      </c>
      <c r="Y1679" s="35">
        <f>Y1652+Y1661+Y1670</f>
        <v/>
      </c>
      <c r="Z1679" s="35">
        <f>Z1652+Z1661+Z1670</f>
        <v/>
      </c>
      <c r="AA1679" s="35">
        <f>AA1652+AA1661+AA1670</f>
        <v/>
      </c>
      <c r="AB1679" s="35">
        <f>AB1652+AB1661+AB1670</f>
        <v/>
      </c>
      <c r="AC1679" s="35">
        <f>AC1652+AC1661+AC1670</f>
        <v/>
      </c>
      <c r="AD1679" s="35">
        <f>AD1652+AD1661+AD1670</f>
        <v/>
      </c>
      <c r="AE1679" s="42">
        <f>NEWPOLICY(AE1652,AE1661,AE1670)</f>
        <v/>
      </c>
      <c r="AG1679" s="11">
        <f>CodePrefix&amp;$A1679&amp;IF($C1679="","","."&amp;$C1679&amp;"."&amp;$B1679)&amp;INDEX(VarEnd,MATCH($A1679,VarKey,0))&amp;AG$5</f>
        <v/>
      </c>
      <c r="AH1679" s="40">
        <f>AH1652+AH1661+AH1670</f>
        <v/>
      </c>
      <c r="AI1679" s="35">
        <f>AI1652+AI1661+AI1670</f>
        <v/>
      </c>
      <c r="AJ1679" s="35">
        <f>AJ1652+AJ1661+AJ1670</f>
        <v/>
      </c>
      <c r="AK1679" s="35">
        <f>AK1652+AK1661+AK1670</f>
        <v/>
      </c>
      <c r="AL1679" s="35">
        <f>AL1652+AL1661+AL1670</f>
        <v/>
      </c>
      <c r="AM1679" s="35">
        <f>AM1652+AM1661+AM1670</f>
        <v/>
      </c>
      <c r="AN1679" s="35">
        <f>AN1652+AN1661+AN1670</f>
        <v/>
      </c>
      <c r="AO1679" s="35">
        <f>AO1652+AO1661+AO1670</f>
        <v/>
      </c>
      <c r="AP1679" s="35">
        <f>AP1652+AP1661+AP1670</f>
        <v/>
      </c>
      <c r="AQ1679" s="35">
        <f>AQ1652+AQ1661+AQ1670</f>
        <v/>
      </c>
      <c r="AR1679" s="35">
        <f>AR1652+AR1661+AR1670</f>
        <v/>
      </c>
      <c r="AS1679" s="35">
        <f>AS1652+AS1661+AS1670</f>
        <v/>
      </c>
      <c r="AT1679" s="35">
        <f>AT1652+AT1661+AT1670</f>
        <v/>
      </c>
      <c r="AU1679" s="35">
        <f>AU1652+AU1661+AU1670</f>
        <v/>
      </c>
      <c r="AV1679" s="35">
        <f>AV1652+AV1661+AV1670</f>
        <v/>
      </c>
      <c r="AW1679" s="35">
        <f>AW1652+AW1661+AW1670</f>
        <v/>
      </c>
      <c r="AX1679" s="35">
        <f>AX1652+AX1661+AX1670</f>
        <v/>
      </c>
      <c r="AY1679" s="35">
        <f>AY1652+AY1661+AY1670</f>
        <v/>
      </c>
      <c r="AZ1679" s="35">
        <f>AZ1652+AZ1661+AZ1670</f>
        <v/>
      </c>
      <c r="BA1679" s="42">
        <f>NEWPOLICY(BA1652,BA1661,BA1670)</f>
        <v/>
      </c>
    </row>
    <row r="1680" hidden="1" outlineLevel="2">
      <c r="A1680" s="14" t="inlineStr">
        <is>
          <t>nce</t>
        </is>
      </c>
      <c r="B1680" s="14" t="inlineStr">
        <is>
          <t>die</t>
        </is>
      </c>
      <c r="C1680" s="14" t="inlineStr">
        <is>
          <t>foo</t>
        </is>
      </c>
      <c r="D1680" s="39" t="n"/>
      <c r="E1680" s="39" t="n"/>
      <c r="F1680" s="39" t="n"/>
      <c r="G1680" s="39" t="n"/>
      <c r="H1680" s="14">
        <f>INDEX(VarLab,MATCH($A1680,VarKey,0))&amp;INDEX(MemLab,MATCH($C1680&amp;"|"&amp;$B1680,MemKey,0))</f>
        <v/>
      </c>
      <c r="I1680" s="14">
        <f>INDEX(VarUnit,MATCH($A1680,VarKey,0))</f>
        <v/>
      </c>
      <c r="J1680" s="14">
        <f>INDEX(VarSrc,MATCH($A1680,VarKey,0))</f>
        <v/>
      </c>
      <c r="K1680" s="11">
        <f>CodePrefix&amp;$A1680&amp;IF($C1680="","","."&amp;$C1680&amp;"."&amp;$B1680)&amp;INDEX(VarEnd,MATCH($A1680,VarKey,0))&amp;K$5</f>
        <v/>
      </c>
      <c r="L1680" s="40">
        <f>L1653+L1662+L1671</f>
        <v/>
      </c>
      <c r="M1680" s="35">
        <f>M1653+M1662+M1671</f>
        <v/>
      </c>
      <c r="N1680" s="35">
        <f>N1653+N1662+N1671</f>
        <v/>
      </c>
      <c r="O1680" s="35">
        <f>O1653+O1662+O1671</f>
        <v/>
      </c>
      <c r="P1680" s="35">
        <f>P1653+P1662+P1671</f>
        <v/>
      </c>
      <c r="Q1680" s="35">
        <f>Q1653+Q1662+Q1671</f>
        <v/>
      </c>
      <c r="R1680" s="35">
        <f>R1653+R1662+R1671</f>
        <v/>
      </c>
      <c r="S1680" s="35">
        <f>S1653+S1662+S1671</f>
        <v/>
      </c>
      <c r="T1680" s="35">
        <f>T1653+T1662+T1671</f>
        <v/>
      </c>
      <c r="U1680" s="35">
        <f>U1653+U1662+U1671</f>
        <v/>
      </c>
      <c r="V1680" s="35">
        <f>V1653+V1662+V1671</f>
        <v/>
      </c>
      <c r="W1680" s="35">
        <f>W1653+W1662+W1671</f>
        <v/>
      </c>
      <c r="X1680" s="35">
        <f>X1653+X1662+X1671</f>
        <v/>
      </c>
      <c r="Y1680" s="35">
        <f>Y1653+Y1662+Y1671</f>
        <v/>
      </c>
      <c r="Z1680" s="35">
        <f>Z1653+Z1662+Z1671</f>
        <v/>
      </c>
      <c r="AA1680" s="35">
        <f>AA1653+AA1662+AA1671</f>
        <v/>
      </c>
      <c r="AB1680" s="35">
        <f>AB1653+AB1662+AB1671</f>
        <v/>
      </c>
      <c r="AC1680" s="35">
        <f>AC1653+AC1662+AC1671</f>
        <v/>
      </c>
      <c r="AD1680" s="35">
        <f>AD1653+AD1662+AD1671</f>
        <v/>
      </c>
      <c r="AE1680" s="42">
        <f>NEWPOLICY(AE1653,AE1662,AE1671)</f>
        <v/>
      </c>
      <c r="AG1680" s="11">
        <f>CodePrefix&amp;$A1680&amp;IF($C1680="","","."&amp;$C1680&amp;"."&amp;$B1680)&amp;INDEX(VarEnd,MATCH($A1680,VarKey,0))&amp;AG$5</f>
        <v/>
      </c>
      <c r="AH1680" s="40">
        <f>AH1653+AH1662+AH1671</f>
        <v/>
      </c>
      <c r="AI1680" s="35">
        <f>AI1653+AI1662+AI1671</f>
        <v/>
      </c>
      <c r="AJ1680" s="35">
        <f>AJ1653+AJ1662+AJ1671</f>
        <v/>
      </c>
      <c r="AK1680" s="35">
        <f>AK1653+AK1662+AK1671</f>
        <v/>
      </c>
      <c r="AL1680" s="35">
        <f>AL1653+AL1662+AL1671</f>
        <v/>
      </c>
      <c r="AM1680" s="35">
        <f>AM1653+AM1662+AM1671</f>
        <v/>
      </c>
      <c r="AN1680" s="35">
        <f>AN1653+AN1662+AN1671</f>
        <v/>
      </c>
      <c r="AO1680" s="35">
        <f>AO1653+AO1662+AO1671</f>
        <v/>
      </c>
      <c r="AP1680" s="35">
        <f>AP1653+AP1662+AP1671</f>
        <v/>
      </c>
      <c r="AQ1680" s="35">
        <f>AQ1653+AQ1662+AQ1671</f>
        <v/>
      </c>
      <c r="AR1680" s="35">
        <f>AR1653+AR1662+AR1671</f>
        <v/>
      </c>
      <c r="AS1680" s="35">
        <f>AS1653+AS1662+AS1671</f>
        <v/>
      </c>
      <c r="AT1680" s="35">
        <f>AT1653+AT1662+AT1671</f>
        <v/>
      </c>
      <c r="AU1680" s="35">
        <f>AU1653+AU1662+AU1671</f>
        <v/>
      </c>
      <c r="AV1680" s="35">
        <f>AV1653+AV1662+AV1671</f>
        <v/>
      </c>
      <c r="AW1680" s="35">
        <f>AW1653+AW1662+AW1671</f>
        <v/>
      </c>
      <c r="AX1680" s="35">
        <f>AX1653+AX1662+AX1671</f>
        <v/>
      </c>
      <c r="AY1680" s="35">
        <f>AY1653+AY1662+AY1671</f>
        <v/>
      </c>
      <c r="AZ1680" s="35">
        <f>AZ1653+AZ1662+AZ1671</f>
        <v/>
      </c>
      <c r="BA1680" s="42">
        <f>NEWPOLICY(BA1653,BA1662,BA1671)</f>
        <v/>
      </c>
    </row>
    <row r="1681" hidden="1" outlineLevel="2">
      <c r="A1681" s="14" t="inlineStr">
        <is>
          <t>nce</t>
        </is>
      </c>
      <c r="B1681" s="14" t="inlineStr">
        <is>
          <t>lpg</t>
        </is>
      </c>
      <c r="C1681" s="14" t="inlineStr">
        <is>
          <t>foo</t>
        </is>
      </c>
      <c r="D1681" s="39" t="n"/>
      <c r="E1681" s="39" t="n"/>
      <c r="F1681" s="39" t="n"/>
      <c r="G1681" s="39" t="n"/>
      <c r="H1681" s="14">
        <f>INDEX(VarLab,MATCH($A1681,VarKey,0))&amp;INDEX(MemLab,MATCH($C1681&amp;"|"&amp;$B1681,MemKey,0))</f>
        <v/>
      </c>
      <c r="I1681" s="14">
        <f>INDEX(VarUnit,MATCH($A1681,VarKey,0))</f>
        <v/>
      </c>
      <c r="J1681" s="14">
        <f>INDEX(VarSrc,MATCH($A1681,VarKey,0))</f>
        <v/>
      </c>
      <c r="K1681" s="11">
        <f>CodePrefix&amp;$A1681&amp;IF($C1681="","","."&amp;$C1681&amp;"."&amp;$B1681)&amp;INDEX(VarEnd,MATCH($A1681,VarKey,0))&amp;K$5</f>
        <v/>
      </c>
      <c r="L1681" s="40">
        <f>L1654+L1663+L1672</f>
        <v/>
      </c>
      <c r="M1681" s="35">
        <f>M1654+M1663+M1672</f>
        <v/>
      </c>
      <c r="N1681" s="35">
        <f>N1654+N1663+N1672</f>
        <v/>
      </c>
      <c r="O1681" s="35">
        <f>O1654+O1663+O1672</f>
        <v/>
      </c>
      <c r="P1681" s="35">
        <f>P1654+P1663+P1672</f>
        <v/>
      </c>
      <c r="Q1681" s="35">
        <f>Q1654+Q1663+Q1672</f>
        <v/>
      </c>
      <c r="R1681" s="35">
        <f>R1654+R1663+R1672</f>
        <v/>
      </c>
      <c r="S1681" s="35">
        <f>S1654+S1663+S1672</f>
        <v/>
      </c>
      <c r="T1681" s="35">
        <f>T1654+T1663+T1672</f>
        <v/>
      </c>
      <c r="U1681" s="35">
        <f>U1654+U1663+U1672</f>
        <v/>
      </c>
      <c r="V1681" s="35">
        <f>V1654+V1663+V1672</f>
        <v/>
      </c>
      <c r="W1681" s="35">
        <f>W1654+W1663+W1672</f>
        <v/>
      </c>
      <c r="X1681" s="35">
        <f>X1654+X1663+X1672</f>
        <v/>
      </c>
      <c r="Y1681" s="35">
        <f>Y1654+Y1663+Y1672</f>
        <v/>
      </c>
      <c r="Z1681" s="35">
        <f>Z1654+Z1663+Z1672</f>
        <v/>
      </c>
      <c r="AA1681" s="35">
        <f>AA1654+AA1663+AA1672</f>
        <v/>
      </c>
      <c r="AB1681" s="35">
        <f>AB1654+AB1663+AB1672</f>
        <v/>
      </c>
      <c r="AC1681" s="35">
        <f>AC1654+AC1663+AC1672</f>
        <v/>
      </c>
      <c r="AD1681" s="35">
        <f>AD1654+AD1663+AD1672</f>
        <v/>
      </c>
      <c r="AE1681" s="42">
        <f>NEWPOLICY(AE1654,AE1663,AE1672)</f>
        <v/>
      </c>
      <c r="AG1681" s="11">
        <f>CodePrefix&amp;$A1681&amp;IF($C1681="","","."&amp;$C1681&amp;"."&amp;$B1681)&amp;INDEX(VarEnd,MATCH($A1681,VarKey,0))&amp;AG$5</f>
        <v/>
      </c>
      <c r="AH1681" s="40">
        <f>AH1654+AH1663+AH1672</f>
        <v/>
      </c>
      <c r="AI1681" s="35">
        <f>AI1654+AI1663+AI1672</f>
        <v/>
      </c>
      <c r="AJ1681" s="35">
        <f>AJ1654+AJ1663+AJ1672</f>
        <v/>
      </c>
      <c r="AK1681" s="35">
        <f>AK1654+AK1663+AK1672</f>
        <v/>
      </c>
      <c r="AL1681" s="35">
        <f>AL1654+AL1663+AL1672</f>
        <v/>
      </c>
      <c r="AM1681" s="35">
        <f>AM1654+AM1663+AM1672</f>
        <v/>
      </c>
      <c r="AN1681" s="35">
        <f>AN1654+AN1663+AN1672</f>
        <v/>
      </c>
      <c r="AO1681" s="35">
        <f>AO1654+AO1663+AO1672</f>
        <v/>
      </c>
      <c r="AP1681" s="35">
        <f>AP1654+AP1663+AP1672</f>
        <v/>
      </c>
      <c r="AQ1681" s="35">
        <f>AQ1654+AQ1663+AQ1672</f>
        <v/>
      </c>
      <c r="AR1681" s="35">
        <f>AR1654+AR1663+AR1672</f>
        <v/>
      </c>
      <c r="AS1681" s="35">
        <f>AS1654+AS1663+AS1672</f>
        <v/>
      </c>
      <c r="AT1681" s="35">
        <f>AT1654+AT1663+AT1672</f>
        <v/>
      </c>
      <c r="AU1681" s="35">
        <f>AU1654+AU1663+AU1672</f>
        <v/>
      </c>
      <c r="AV1681" s="35">
        <f>AV1654+AV1663+AV1672</f>
        <v/>
      </c>
      <c r="AW1681" s="35">
        <f>AW1654+AW1663+AW1672</f>
        <v/>
      </c>
      <c r="AX1681" s="35">
        <f>AX1654+AX1663+AX1672</f>
        <v/>
      </c>
      <c r="AY1681" s="35">
        <f>AY1654+AY1663+AY1672</f>
        <v/>
      </c>
      <c r="AZ1681" s="35">
        <f>AZ1654+AZ1663+AZ1672</f>
        <v/>
      </c>
      <c r="BA1681" s="42">
        <f>NEWPOLICY(BA1654,BA1663,BA1672)</f>
        <v/>
      </c>
    </row>
    <row r="1682" hidden="1" outlineLevel="2">
      <c r="A1682" s="14" t="inlineStr">
        <is>
          <t>nce</t>
        </is>
      </c>
      <c r="B1682" s="14" t="inlineStr">
        <is>
          <t>ker</t>
        </is>
      </c>
      <c r="C1682" s="14" t="inlineStr">
        <is>
          <t>foo</t>
        </is>
      </c>
      <c r="D1682" s="39" t="n"/>
      <c r="E1682" s="39" t="n"/>
      <c r="F1682" s="39" t="n"/>
      <c r="G1682" s="39" t="n"/>
      <c r="H1682" s="14">
        <f>INDEX(VarLab,MATCH($A1682,VarKey,0))&amp;INDEX(MemLab,MATCH($C1682&amp;"|"&amp;$B1682,MemKey,0))</f>
        <v/>
      </c>
      <c r="I1682" s="14">
        <f>INDEX(VarUnit,MATCH($A1682,VarKey,0))</f>
        <v/>
      </c>
      <c r="J1682" s="14">
        <f>INDEX(VarSrc,MATCH($A1682,VarKey,0))</f>
        <v/>
      </c>
      <c r="K1682" s="11">
        <f>CodePrefix&amp;$A1682&amp;IF($C1682="","","."&amp;$C1682&amp;"."&amp;$B1682)&amp;INDEX(VarEnd,MATCH($A1682,VarKey,0))&amp;K$5</f>
        <v/>
      </c>
      <c r="L1682" s="40">
        <f>L1655+L1664+L1673</f>
        <v/>
      </c>
      <c r="M1682" s="35">
        <f>M1655+M1664+M1673</f>
        <v/>
      </c>
      <c r="N1682" s="35">
        <f>N1655+N1664+N1673</f>
        <v/>
      </c>
      <c r="O1682" s="35">
        <f>O1655+O1664+O1673</f>
        <v/>
      </c>
      <c r="P1682" s="35">
        <f>P1655+P1664+P1673</f>
        <v/>
      </c>
      <c r="Q1682" s="35">
        <f>Q1655+Q1664+Q1673</f>
        <v/>
      </c>
      <c r="R1682" s="35">
        <f>R1655+R1664+R1673</f>
        <v/>
      </c>
      <c r="S1682" s="35">
        <f>S1655+S1664+S1673</f>
        <v/>
      </c>
      <c r="T1682" s="35">
        <f>T1655+T1664+T1673</f>
        <v/>
      </c>
      <c r="U1682" s="35">
        <f>U1655+U1664+U1673</f>
        <v/>
      </c>
      <c r="V1682" s="35">
        <f>V1655+V1664+V1673</f>
        <v/>
      </c>
      <c r="W1682" s="35">
        <f>W1655+W1664+W1673</f>
        <v/>
      </c>
      <c r="X1682" s="35">
        <f>X1655+X1664+X1673</f>
        <v/>
      </c>
      <c r="Y1682" s="35">
        <f>Y1655+Y1664+Y1673</f>
        <v/>
      </c>
      <c r="Z1682" s="35">
        <f>Z1655+Z1664+Z1673</f>
        <v/>
      </c>
      <c r="AA1682" s="35">
        <f>AA1655+AA1664+AA1673</f>
        <v/>
      </c>
      <c r="AB1682" s="35">
        <f>AB1655+AB1664+AB1673</f>
        <v/>
      </c>
      <c r="AC1682" s="35">
        <f>AC1655+AC1664+AC1673</f>
        <v/>
      </c>
      <c r="AD1682" s="35">
        <f>AD1655+AD1664+AD1673</f>
        <v/>
      </c>
      <c r="AE1682" s="42">
        <f>NEWPOLICY(AE1655,AE1664,AE1673)</f>
        <v/>
      </c>
      <c r="AG1682" s="11">
        <f>CodePrefix&amp;$A1682&amp;IF($C1682="","","."&amp;$C1682&amp;"."&amp;$B1682)&amp;INDEX(VarEnd,MATCH($A1682,VarKey,0))&amp;AG$5</f>
        <v/>
      </c>
      <c r="AH1682" s="40">
        <f>AH1655+AH1664+AH1673</f>
        <v/>
      </c>
      <c r="AI1682" s="35">
        <f>AI1655+AI1664+AI1673</f>
        <v/>
      </c>
      <c r="AJ1682" s="35">
        <f>AJ1655+AJ1664+AJ1673</f>
        <v/>
      </c>
      <c r="AK1682" s="35">
        <f>AK1655+AK1664+AK1673</f>
        <v/>
      </c>
      <c r="AL1682" s="35">
        <f>AL1655+AL1664+AL1673</f>
        <v/>
      </c>
      <c r="AM1682" s="35">
        <f>AM1655+AM1664+AM1673</f>
        <v/>
      </c>
      <c r="AN1682" s="35">
        <f>AN1655+AN1664+AN1673</f>
        <v/>
      </c>
      <c r="AO1682" s="35">
        <f>AO1655+AO1664+AO1673</f>
        <v/>
      </c>
      <c r="AP1682" s="35">
        <f>AP1655+AP1664+AP1673</f>
        <v/>
      </c>
      <c r="AQ1682" s="35">
        <f>AQ1655+AQ1664+AQ1673</f>
        <v/>
      </c>
      <c r="AR1682" s="35">
        <f>AR1655+AR1664+AR1673</f>
        <v/>
      </c>
      <c r="AS1682" s="35">
        <f>AS1655+AS1664+AS1673</f>
        <v/>
      </c>
      <c r="AT1682" s="35">
        <f>AT1655+AT1664+AT1673</f>
        <v/>
      </c>
      <c r="AU1682" s="35">
        <f>AU1655+AU1664+AU1673</f>
        <v/>
      </c>
      <c r="AV1682" s="35">
        <f>AV1655+AV1664+AV1673</f>
        <v/>
      </c>
      <c r="AW1682" s="35">
        <f>AW1655+AW1664+AW1673</f>
        <v/>
      </c>
      <c r="AX1682" s="35">
        <f>AX1655+AX1664+AX1673</f>
        <v/>
      </c>
      <c r="AY1682" s="35">
        <f>AY1655+AY1664+AY1673</f>
        <v/>
      </c>
      <c r="AZ1682" s="35">
        <f>AZ1655+AZ1664+AZ1673</f>
        <v/>
      </c>
      <c r="BA1682" s="42">
        <f>NEWPOLICY(BA1655,BA1664,BA1673)</f>
        <v/>
      </c>
    </row>
    <row r="1683" hidden="1" outlineLevel="2">
      <c r="A1683" s="14" t="inlineStr">
        <is>
          <t>nce</t>
        </is>
      </c>
      <c r="B1683" s="14" t="inlineStr">
        <is>
          <t>oop</t>
        </is>
      </c>
      <c r="C1683" s="14" t="inlineStr">
        <is>
          <t>foo</t>
        </is>
      </c>
      <c r="D1683" s="39" t="n"/>
      <c r="E1683" s="39" t="n"/>
      <c r="F1683" s="39" t="n"/>
      <c r="G1683" s="39" t="n"/>
      <c r="H1683" s="14">
        <f>INDEX(VarLab,MATCH($A1683,VarKey,0))&amp;INDEX(MemLab,MATCH($C1683&amp;"|"&amp;$B1683,MemKey,0))</f>
        <v/>
      </c>
      <c r="I1683" s="14">
        <f>INDEX(VarUnit,MATCH($A1683,VarKey,0))</f>
        <v/>
      </c>
      <c r="J1683" s="14">
        <f>INDEX(VarSrc,MATCH($A1683,VarKey,0))</f>
        <v/>
      </c>
      <c r="K1683" s="11">
        <f>CodePrefix&amp;$A1683&amp;IF($C1683="","","."&amp;$C1683&amp;"."&amp;$B1683)&amp;INDEX(VarEnd,MATCH($A1683,VarKey,0))&amp;K$5</f>
        <v/>
      </c>
      <c r="L1683" s="40">
        <f>L1656+L1665+L1674</f>
        <v/>
      </c>
      <c r="M1683" s="35">
        <f>M1656+M1665+M1674</f>
        <v/>
      </c>
      <c r="N1683" s="35">
        <f>N1656+N1665+N1674</f>
        <v/>
      </c>
      <c r="O1683" s="35">
        <f>O1656+O1665+O1674</f>
        <v/>
      </c>
      <c r="P1683" s="35">
        <f>P1656+P1665+P1674</f>
        <v/>
      </c>
      <c r="Q1683" s="35">
        <f>Q1656+Q1665+Q1674</f>
        <v/>
      </c>
      <c r="R1683" s="35">
        <f>R1656+R1665+R1674</f>
        <v/>
      </c>
      <c r="S1683" s="35">
        <f>S1656+S1665+S1674</f>
        <v/>
      </c>
      <c r="T1683" s="35">
        <f>T1656+T1665+T1674</f>
        <v/>
      </c>
      <c r="U1683" s="35">
        <f>U1656+U1665+U1674</f>
        <v/>
      </c>
      <c r="V1683" s="35">
        <f>V1656+V1665+V1674</f>
        <v/>
      </c>
      <c r="W1683" s="35">
        <f>W1656+W1665+W1674</f>
        <v/>
      </c>
      <c r="X1683" s="35">
        <f>X1656+X1665+X1674</f>
        <v/>
      </c>
      <c r="Y1683" s="35">
        <f>Y1656+Y1665+Y1674</f>
        <v/>
      </c>
      <c r="Z1683" s="35">
        <f>Z1656+Z1665+Z1674</f>
        <v/>
      </c>
      <c r="AA1683" s="35">
        <f>AA1656+AA1665+AA1674</f>
        <v/>
      </c>
      <c r="AB1683" s="35">
        <f>AB1656+AB1665+AB1674</f>
        <v/>
      </c>
      <c r="AC1683" s="35">
        <f>AC1656+AC1665+AC1674</f>
        <v/>
      </c>
      <c r="AD1683" s="35">
        <f>AD1656+AD1665+AD1674</f>
        <v/>
      </c>
      <c r="AE1683" s="42">
        <f>NEWPOLICY(AE1656,AE1665,AE1674)</f>
        <v/>
      </c>
      <c r="AG1683" s="11">
        <f>CodePrefix&amp;$A1683&amp;IF($C1683="","","."&amp;$C1683&amp;"."&amp;$B1683)&amp;INDEX(VarEnd,MATCH($A1683,VarKey,0))&amp;AG$5</f>
        <v/>
      </c>
      <c r="AH1683" s="40">
        <f>AH1656+AH1665+AH1674</f>
        <v/>
      </c>
      <c r="AI1683" s="35">
        <f>AI1656+AI1665+AI1674</f>
        <v/>
      </c>
      <c r="AJ1683" s="35">
        <f>AJ1656+AJ1665+AJ1674</f>
        <v/>
      </c>
      <c r="AK1683" s="35">
        <f>AK1656+AK1665+AK1674</f>
        <v/>
      </c>
      <c r="AL1683" s="35">
        <f>AL1656+AL1665+AL1674</f>
        <v/>
      </c>
      <c r="AM1683" s="35">
        <f>AM1656+AM1665+AM1674</f>
        <v/>
      </c>
      <c r="AN1683" s="35">
        <f>AN1656+AN1665+AN1674</f>
        <v/>
      </c>
      <c r="AO1683" s="35">
        <f>AO1656+AO1665+AO1674</f>
        <v/>
      </c>
      <c r="AP1683" s="35">
        <f>AP1656+AP1665+AP1674</f>
        <v/>
      </c>
      <c r="AQ1683" s="35">
        <f>AQ1656+AQ1665+AQ1674</f>
        <v/>
      </c>
      <c r="AR1683" s="35">
        <f>AR1656+AR1665+AR1674</f>
        <v/>
      </c>
      <c r="AS1683" s="35">
        <f>AS1656+AS1665+AS1674</f>
        <v/>
      </c>
      <c r="AT1683" s="35">
        <f>AT1656+AT1665+AT1674</f>
        <v/>
      </c>
      <c r="AU1683" s="35">
        <f>AU1656+AU1665+AU1674</f>
        <v/>
      </c>
      <c r="AV1683" s="35">
        <f>AV1656+AV1665+AV1674</f>
        <v/>
      </c>
      <c r="AW1683" s="35">
        <f>AW1656+AW1665+AW1674</f>
        <v/>
      </c>
      <c r="AX1683" s="35">
        <f>AX1656+AX1665+AX1674</f>
        <v/>
      </c>
      <c r="AY1683" s="35">
        <f>AY1656+AY1665+AY1674</f>
        <v/>
      </c>
      <c r="AZ1683" s="35">
        <f>AZ1656+AZ1665+AZ1674</f>
        <v/>
      </c>
      <c r="BA1683" s="42">
        <f>NEWPOLICY(BA1656,BA1665,BA1674)</f>
        <v/>
      </c>
    </row>
    <row r="1684" hidden="1" outlineLevel="2">
      <c r="A1684" s="14" t="inlineStr">
        <is>
          <t>nce</t>
        </is>
      </c>
      <c r="B1684" s="14" t="inlineStr">
        <is>
          <t>bio</t>
        </is>
      </c>
      <c r="C1684" s="14" t="inlineStr">
        <is>
          <t>foo</t>
        </is>
      </c>
      <c r="D1684" s="39" t="n"/>
      <c r="E1684" s="39" t="n"/>
      <c r="F1684" s="39" t="n"/>
      <c r="G1684" s="39" t="n"/>
      <c r="H1684" s="14">
        <f>INDEX(VarLab,MATCH($A1684,VarKey,0))&amp;INDEX(MemLab,MATCH($C1684&amp;"|"&amp;$B1684,MemKey,0))</f>
        <v/>
      </c>
      <c r="I1684" s="14">
        <f>INDEX(VarUnit,MATCH($A1684,VarKey,0))</f>
        <v/>
      </c>
      <c r="J1684" s="14">
        <f>INDEX(VarSrc,MATCH($A1684,VarKey,0))</f>
        <v/>
      </c>
      <c r="K1684" s="11">
        <f>CodePrefix&amp;$A1684&amp;IF($C1684="","","."&amp;$C1684&amp;"."&amp;$B1684)&amp;INDEX(VarEnd,MATCH($A1684,VarKey,0))&amp;K$5</f>
        <v/>
      </c>
      <c r="L1684" s="40">
        <f>L1657+L1666+L1675</f>
        <v/>
      </c>
      <c r="M1684" s="35">
        <f>M1657+M1666+M1675</f>
        <v/>
      </c>
      <c r="N1684" s="35">
        <f>N1657+N1666+N1675</f>
        <v/>
      </c>
      <c r="O1684" s="35">
        <f>O1657+O1666+O1675</f>
        <v/>
      </c>
      <c r="P1684" s="35">
        <f>P1657+P1666+P1675</f>
        <v/>
      </c>
      <c r="Q1684" s="35">
        <f>Q1657+Q1666+Q1675</f>
        <v/>
      </c>
      <c r="R1684" s="35">
        <f>R1657+R1666+R1675</f>
        <v/>
      </c>
      <c r="S1684" s="35">
        <f>S1657+S1666+S1675</f>
        <v/>
      </c>
      <c r="T1684" s="35">
        <f>T1657+T1666+T1675</f>
        <v/>
      </c>
      <c r="U1684" s="35">
        <f>U1657+U1666+U1675</f>
        <v/>
      </c>
      <c r="V1684" s="35">
        <f>V1657+V1666+V1675</f>
        <v/>
      </c>
      <c r="W1684" s="35">
        <f>W1657+W1666+W1675</f>
        <v/>
      </c>
      <c r="X1684" s="35">
        <f>X1657+X1666+X1675</f>
        <v/>
      </c>
      <c r="Y1684" s="35">
        <f>Y1657+Y1666+Y1675</f>
        <v/>
      </c>
      <c r="Z1684" s="35">
        <f>Z1657+Z1666+Z1675</f>
        <v/>
      </c>
      <c r="AA1684" s="35">
        <f>AA1657+AA1666+AA1675</f>
        <v/>
      </c>
      <c r="AB1684" s="35">
        <f>AB1657+AB1666+AB1675</f>
        <v/>
      </c>
      <c r="AC1684" s="35">
        <f>AC1657+AC1666+AC1675</f>
        <v/>
      </c>
      <c r="AD1684" s="35">
        <f>AD1657+AD1666+AD1675</f>
        <v/>
      </c>
      <c r="AE1684" s="42">
        <f>NEWPOLICY(AE1657,AE1666,AE1675)</f>
        <v/>
      </c>
      <c r="AG1684" s="11">
        <f>CodePrefix&amp;$A1684&amp;IF($C1684="","","."&amp;$C1684&amp;"."&amp;$B1684)&amp;INDEX(VarEnd,MATCH($A1684,VarKey,0))&amp;AG$5</f>
        <v/>
      </c>
      <c r="AH1684" s="40">
        <f>AH1657+AH1666+AH1675</f>
        <v/>
      </c>
      <c r="AI1684" s="35">
        <f>AI1657+AI1666+AI1675</f>
        <v/>
      </c>
      <c r="AJ1684" s="35">
        <f>AJ1657+AJ1666+AJ1675</f>
        <v/>
      </c>
      <c r="AK1684" s="35">
        <f>AK1657+AK1666+AK1675</f>
        <v/>
      </c>
      <c r="AL1684" s="35">
        <f>AL1657+AL1666+AL1675</f>
        <v/>
      </c>
      <c r="AM1684" s="35">
        <f>AM1657+AM1666+AM1675</f>
        <v/>
      </c>
      <c r="AN1684" s="35">
        <f>AN1657+AN1666+AN1675</f>
        <v/>
      </c>
      <c r="AO1684" s="35">
        <f>AO1657+AO1666+AO1675</f>
        <v/>
      </c>
      <c r="AP1684" s="35">
        <f>AP1657+AP1666+AP1675</f>
        <v/>
      </c>
      <c r="AQ1684" s="35">
        <f>AQ1657+AQ1666+AQ1675</f>
        <v/>
      </c>
      <c r="AR1684" s="35">
        <f>AR1657+AR1666+AR1675</f>
        <v/>
      </c>
      <c r="AS1684" s="35">
        <f>AS1657+AS1666+AS1675</f>
        <v/>
      </c>
      <c r="AT1684" s="35">
        <f>AT1657+AT1666+AT1675</f>
        <v/>
      </c>
      <c r="AU1684" s="35">
        <f>AU1657+AU1666+AU1675</f>
        <v/>
      </c>
      <c r="AV1684" s="35">
        <f>AV1657+AV1666+AV1675</f>
        <v/>
      </c>
      <c r="AW1684" s="35">
        <f>AW1657+AW1666+AW1675</f>
        <v/>
      </c>
      <c r="AX1684" s="35">
        <f>AX1657+AX1666+AX1675</f>
        <v/>
      </c>
      <c r="AY1684" s="35">
        <f>AY1657+AY1666+AY1675</f>
        <v/>
      </c>
      <c r="AZ1684" s="35">
        <f>AZ1657+AZ1666+AZ1675</f>
        <v/>
      </c>
      <c r="BA1684" s="42">
        <f>NEWPOLICY(BA1657,BA1666,BA1675)</f>
        <v/>
      </c>
    </row>
    <row r="1685" hidden="1" outlineLevel="2"/>
    <row r="1686" hidden="1" outlineLevel="2">
      <c r="A1686" s="14" t="inlineStr">
        <is>
          <t>xcp</t>
        </is>
      </c>
      <c r="B1686" s="14" t="inlineStr">
        <is>
          <t>coa</t>
        </is>
      </c>
      <c r="C1686" s="14" t="inlineStr">
        <is>
          <t>foo</t>
        </is>
      </c>
      <c r="D1686" s="35">
        <f>INDEX(Inputs!$W$5:$W$132,MATCH($B1686&amp;"|"&amp;$C1686,Inputs!$A$5:$A$132,0))</f>
        <v/>
      </c>
      <c r="E1686" s="35">
        <f>INDEX(Inputs!$Z$5:$Z$132,MATCH($B1686&amp;"|"&amp;$C1686,Inputs!$A$5:$A$132,0))</f>
        <v/>
      </c>
      <c r="F1686" s="35">
        <f>INDEX(Inputs!$AA$5:$AA$132,MATCH($B1686&amp;"|"&amp;$C1686,Inputs!$A$5:$A$132,0))</f>
        <v/>
      </c>
      <c r="G1686" s="39" t="n"/>
      <c r="H1686" s="14">
        <f>INDEX(VarLab,MATCH($A1686,VarKey,0))&amp;INDEX(MemLab,MATCH($C1686&amp;"|"&amp;$B1686,MemKey,0))</f>
        <v/>
      </c>
      <c r="I1686" s="14">
        <f>INDEX(VarUnit,MATCH($A1686,VarKey,0))</f>
        <v/>
      </c>
      <c r="J1686" s="14">
        <f>INDEX(VarSrc,MATCH($A1686,VarKey,0))</f>
        <v/>
      </c>
      <c r="K1686" s="11">
        <f>CodePrefix&amp;$A1686&amp;IF($C1686="","","."&amp;$C1686&amp;"."&amp;$B1686)&amp;INDEX(VarEnd,MATCH($A1686,VarKey,0))&amp;K$5</f>
        <v/>
      </c>
      <c r="L1686" s="40">
        <f>$D1686*($E1686*L$321+$F1686*L$324)</f>
        <v/>
      </c>
      <c r="M1686" s="35">
        <f>$D1686*($E1686*M$321+$F1686*M$324)</f>
        <v/>
      </c>
      <c r="N1686" s="35">
        <f>$D1686*($E1686*N$321+$F1686*N$324)</f>
        <v/>
      </c>
      <c r="O1686" s="35">
        <f>$D1686*($E1686*O$321+$F1686*O$324)</f>
        <v/>
      </c>
      <c r="P1686" s="35">
        <f>$D1686*($E1686*P$321+$F1686*P$324)</f>
        <v/>
      </c>
      <c r="Q1686" s="35">
        <f>$D1686*($E1686*Q$321+$F1686*Q$324)</f>
        <v/>
      </c>
      <c r="R1686" s="35">
        <f>$D1686*($E1686*R$321+$F1686*R$324)</f>
        <v/>
      </c>
      <c r="S1686" s="35">
        <f>$D1686*($E1686*S$321+$F1686*S$324)</f>
        <v/>
      </c>
      <c r="T1686" s="35">
        <f>$D1686*($E1686*T$321+$F1686*T$324)</f>
        <v/>
      </c>
      <c r="U1686" s="35">
        <f>$D1686*($E1686*U$321+$F1686*U$324)</f>
        <v/>
      </c>
      <c r="V1686" s="35">
        <f>$D1686*($E1686*V$321+$F1686*V$324)</f>
        <v/>
      </c>
      <c r="W1686" s="35">
        <f>$D1686*($E1686*W$321+$F1686*W$324)</f>
        <v/>
      </c>
      <c r="X1686" s="35">
        <f>$D1686*($E1686*X$321+$F1686*X$324)</f>
        <v/>
      </c>
      <c r="Y1686" s="35">
        <f>$D1686*($E1686*Y$321+$F1686*Y$324)</f>
        <v/>
      </c>
      <c r="Z1686" s="35">
        <f>$D1686*($E1686*Z$321+$F1686*Z$324)</f>
        <v/>
      </c>
      <c r="AA1686" s="35">
        <f>$D1686*($E1686*AA$321+$F1686*AA$324)</f>
        <v/>
      </c>
      <c r="AB1686" s="35">
        <f>$D1686*($E1686*AB$321+$F1686*AB$324)</f>
        <v/>
      </c>
      <c r="AC1686" s="35">
        <f>$D1686*($E1686*AC$321+$F1686*AC$324)</f>
        <v/>
      </c>
      <c r="AD1686" s="35">
        <f>$D1686*($E1686*AD$321+$F1686*AD$324)</f>
        <v/>
      </c>
      <c r="AE1686" s="42">
        <f>XCARBON($D1686,$E1686,AE$321,$F1686,AE$324)</f>
        <v/>
      </c>
      <c r="AG1686" s="11">
        <f>CodePrefix&amp;$A1686&amp;IF($C1686="","","."&amp;$C1686&amp;"."&amp;$B1686)&amp;INDEX(VarEnd,MATCH($A1686,VarKey,0))&amp;AG$5</f>
        <v/>
      </c>
      <c r="AH1686" s="40">
        <f>$D1686*($E1686*AH$321+$F1686*AH$324)</f>
        <v/>
      </c>
      <c r="AI1686" s="35">
        <f>$D1686*($E1686*AI$321+$F1686*AI$324)</f>
        <v/>
      </c>
      <c r="AJ1686" s="35">
        <f>$D1686*($E1686*AJ$321+$F1686*AJ$324)</f>
        <v/>
      </c>
      <c r="AK1686" s="35">
        <f>$D1686*($E1686*AK$321+$F1686*AK$324)</f>
        <v/>
      </c>
      <c r="AL1686" s="35">
        <f>$D1686*($E1686*AL$321+$F1686*AL$324)</f>
        <v/>
      </c>
      <c r="AM1686" s="35">
        <f>$D1686*($E1686*AM$321+$F1686*AM$324)</f>
        <v/>
      </c>
      <c r="AN1686" s="35">
        <f>$D1686*($E1686*AN$321+$F1686*AN$324)</f>
        <v/>
      </c>
      <c r="AO1686" s="35">
        <f>$D1686*($E1686*AO$321+$F1686*AO$324)</f>
        <v/>
      </c>
      <c r="AP1686" s="35">
        <f>$D1686*($E1686*AP$321+$F1686*AP$324)</f>
        <v/>
      </c>
      <c r="AQ1686" s="35">
        <f>$D1686*($E1686*AQ$321+$F1686*AQ$324)</f>
        <v/>
      </c>
      <c r="AR1686" s="35">
        <f>$D1686*($E1686*AR$321+$F1686*AR$324)</f>
        <v/>
      </c>
      <c r="AS1686" s="35">
        <f>$D1686*($E1686*AS$321+$F1686*AS$324)</f>
        <v/>
      </c>
      <c r="AT1686" s="35">
        <f>$D1686*($E1686*AT$321+$F1686*AT$324)</f>
        <v/>
      </c>
      <c r="AU1686" s="35">
        <f>$D1686*($E1686*AU$321+$F1686*AU$324)</f>
        <v/>
      </c>
      <c r="AV1686" s="35">
        <f>$D1686*($E1686*AV$321+$F1686*AV$324)</f>
        <v/>
      </c>
      <c r="AW1686" s="35">
        <f>$D1686*($E1686*AW$321+$F1686*AW$324)</f>
        <v/>
      </c>
      <c r="AX1686" s="35">
        <f>$D1686*($E1686*AX$321+$F1686*AX$324)</f>
        <v/>
      </c>
      <c r="AY1686" s="35">
        <f>$D1686*($E1686*AY$321+$F1686*AY$324)</f>
        <v/>
      </c>
      <c r="AZ1686" s="35">
        <f>$D1686*($E1686*AZ$321+$F1686*AZ$324)</f>
        <v/>
      </c>
      <c r="BA1686" s="42">
        <f>XCARBON($D1686,$E1686,BA$321,$F1686,BA$324)</f>
        <v/>
      </c>
    </row>
    <row r="1687" hidden="1" outlineLevel="2">
      <c r="A1687" s="14" t="inlineStr">
        <is>
          <t>xcp</t>
        </is>
      </c>
      <c r="B1687" s="14" t="inlineStr">
        <is>
          <t>nga</t>
        </is>
      </c>
      <c r="C1687" s="14" t="inlineStr">
        <is>
          <t>foo</t>
        </is>
      </c>
      <c r="D1687" s="35">
        <f>INDEX(Inputs!$W$5:$W$132,MATCH($B1687&amp;"|"&amp;$C1687,Inputs!$A$5:$A$132,0))</f>
        <v/>
      </c>
      <c r="E1687" s="35">
        <f>INDEX(Inputs!$Z$5:$Z$132,MATCH($B1687&amp;"|"&amp;$C1687,Inputs!$A$5:$A$132,0))</f>
        <v/>
      </c>
      <c r="F1687" s="35">
        <f>INDEX(Inputs!$AA$5:$AA$132,MATCH($B1687&amp;"|"&amp;$C1687,Inputs!$A$5:$A$132,0))</f>
        <v/>
      </c>
      <c r="G1687" s="39" t="n"/>
      <c r="H1687" s="14">
        <f>INDEX(VarLab,MATCH($A1687,VarKey,0))&amp;INDEX(MemLab,MATCH($C1687&amp;"|"&amp;$B1687,MemKey,0))</f>
        <v/>
      </c>
      <c r="I1687" s="14">
        <f>INDEX(VarUnit,MATCH($A1687,VarKey,0))</f>
        <v/>
      </c>
      <c r="J1687" s="14">
        <f>INDEX(VarSrc,MATCH($A1687,VarKey,0))</f>
        <v/>
      </c>
      <c r="K1687" s="11">
        <f>CodePrefix&amp;$A1687&amp;IF($C1687="","","."&amp;$C1687&amp;"."&amp;$B1687)&amp;INDEX(VarEnd,MATCH($A1687,VarKey,0))&amp;K$5</f>
        <v/>
      </c>
      <c r="L1687" s="40">
        <f>$D1687*($E1687*L$321+$F1687*L$324)</f>
        <v/>
      </c>
      <c r="M1687" s="35">
        <f>$D1687*($E1687*M$321+$F1687*M$324)</f>
        <v/>
      </c>
      <c r="N1687" s="35">
        <f>$D1687*($E1687*N$321+$F1687*N$324)</f>
        <v/>
      </c>
      <c r="O1687" s="35">
        <f>$D1687*($E1687*O$321+$F1687*O$324)</f>
        <v/>
      </c>
      <c r="P1687" s="35">
        <f>$D1687*($E1687*P$321+$F1687*P$324)</f>
        <v/>
      </c>
      <c r="Q1687" s="35">
        <f>$D1687*($E1687*Q$321+$F1687*Q$324)</f>
        <v/>
      </c>
      <c r="R1687" s="35">
        <f>$D1687*($E1687*R$321+$F1687*R$324)</f>
        <v/>
      </c>
      <c r="S1687" s="35">
        <f>$D1687*($E1687*S$321+$F1687*S$324)</f>
        <v/>
      </c>
      <c r="T1687" s="35">
        <f>$D1687*($E1687*T$321+$F1687*T$324)</f>
        <v/>
      </c>
      <c r="U1687" s="35">
        <f>$D1687*($E1687*U$321+$F1687*U$324)</f>
        <v/>
      </c>
      <c r="V1687" s="35">
        <f>$D1687*($E1687*V$321+$F1687*V$324)</f>
        <v/>
      </c>
      <c r="W1687" s="35">
        <f>$D1687*($E1687*W$321+$F1687*W$324)</f>
        <v/>
      </c>
      <c r="X1687" s="35">
        <f>$D1687*($E1687*X$321+$F1687*X$324)</f>
        <v/>
      </c>
      <c r="Y1687" s="35">
        <f>$D1687*($E1687*Y$321+$F1687*Y$324)</f>
        <v/>
      </c>
      <c r="Z1687" s="35">
        <f>$D1687*($E1687*Z$321+$F1687*Z$324)</f>
        <v/>
      </c>
      <c r="AA1687" s="35">
        <f>$D1687*($E1687*AA$321+$F1687*AA$324)</f>
        <v/>
      </c>
      <c r="AB1687" s="35">
        <f>$D1687*($E1687*AB$321+$F1687*AB$324)</f>
        <v/>
      </c>
      <c r="AC1687" s="35">
        <f>$D1687*($E1687*AC$321+$F1687*AC$324)</f>
        <v/>
      </c>
      <c r="AD1687" s="35">
        <f>$D1687*($E1687*AD$321+$F1687*AD$324)</f>
        <v/>
      </c>
      <c r="AE1687" s="42">
        <f>XCARBON($D1687,$E1687,AE$321,$F1687,AE$324)</f>
        <v/>
      </c>
      <c r="AG1687" s="11">
        <f>CodePrefix&amp;$A1687&amp;IF($C1687="","","."&amp;$C1687&amp;"."&amp;$B1687)&amp;INDEX(VarEnd,MATCH($A1687,VarKey,0))&amp;AG$5</f>
        <v/>
      </c>
      <c r="AH1687" s="40">
        <f>$D1687*($E1687*AH$321+$F1687*AH$324)</f>
        <v/>
      </c>
      <c r="AI1687" s="35">
        <f>$D1687*($E1687*AI$321+$F1687*AI$324)</f>
        <v/>
      </c>
      <c r="AJ1687" s="35">
        <f>$D1687*($E1687*AJ$321+$F1687*AJ$324)</f>
        <v/>
      </c>
      <c r="AK1687" s="35">
        <f>$D1687*($E1687*AK$321+$F1687*AK$324)</f>
        <v/>
      </c>
      <c r="AL1687" s="35">
        <f>$D1687*($E1687*AL$321+$F1687*AL$324)</f>
        <v/>
      </c>
      <c r="AM1687" s="35">
        <f>$D1687*($E1687*AM$321+$F1687*AM$324)</f>
        <v/>
      </c>
      <c r="AN1687" s="35">
        <f>$D1687*($E1687*AN$321+$F1687*AN$324)</f>
        <v/>
      </c>
      <c r="AO1687" s="35">
        <f>$D1687*($E1687*AO$321+$F1687*AO$324)</f>
        <v/>
      </c>
      <c r="AP1687" s="35">
        <f>$D1687*($E1687*AP$321+$F1687*AP$324)</f>
        <v/>
      </c>
      <c r="AQ1687" s="35">
        <f>$D1687*($E1687*AQ$321+$F1687*AQ$324)</f>
        <v/>
      </c>
      <c r="AR1687" s="35">
        <f>$D1687*($E1687*AR$321+$F1687*AR$324)</f>
        <v/>
      </c>
      <c r="AS1687" s="35">
        <f>$D1687*($E1687*AS$321+$F1687*AS$324)</f>
        <v/>
      </c>
      <c r="AT1687" s="35">
        <f>$D1687*($E1687*AT$321+$F1687*AT$324)</f>
        <v/>
      </c>
      <c r="AU1687" s="35">
        <f>$D1687*($E1687*AU$321+$F1687*AU$324)</f>
        <v/>
      </c>
      <c r="AV1687" s="35">
        <f>$D1687*($E1687*AV$321+$F1687*AV$324)</f>
        <v/>
      </c>
      <c r="AW1687" s="35">
        <f>$D1687*($E1687*AW$321+$F1687*AW$324)</f>
        <v/>
      </c>
      <c r="AX1687" s="35">
        <f>$D1687*($E1687*AX$321+$F1687*AX$324)</f>
        <v/>
      </c>
      <c r="AY1687" s="35">
        <f>$D1687*($E1687*AY$321+$F1687*AY$324)</f>
        <v/>
      </c>
      <c r="AZ1687" s="35">
        <f>$D1687*($E1687*AZ$321+$F1687*AZ$324)</f>
        <v/>
      </c>
      <c r="BA1687" s="42">
        <f>XCARBON($D1687,$E1687,BA$321,$F1687,BA$324)</f>
        <v/>
      </c>
    </row>
    <row r="1688" hidden="1" outlineLevel="2">
      <c r="A1688" s="14" t="inlineStr">
        <is>
          <t>xcp</t>
        </is>
      </c>
      <c r="B1688" s="14" t="inlineStr">
        <is>
          <t>gso</t>
        </is>
      </c>
      <c r="C1688" s="14" t="inlineStr">
        <is>
          <t>foo</t>
        </is>
      </c>
      <c r="D1688" s="35">
        <f>INDEX(Inputs!$W$5:$W$132,MATCH($B1688&amp;"|"&amp;$C1688,Inputs!$A$5:$A$132,0))</f>
        <v/>
      </c>
      <c r="E1688" s="35">
        <f>INDEX(Inputs!$Z$5:$Z$132,MATCH($B1688&amp;"|"&amp;$C1688,Inputs!$A$5:$A$132,0))</f>
        <v/>
      </c>
      <c r="F1688" s="35">
        <f>INDEX(Inputs!$AA$5:$AA$132,MATCH($B1688&amp;"|"&amp;$C1688,Inputs!$A$5:$A$132,0))</f>
        <v/>
      </c>
      <c r="G1688" s="39" t="n"/>
      <c r="H1688" s="14">
        <f>INDEX(VarLab,MATCH($A1688,VarKey,0))&amp;INDEX(MemLab,MATCH($C1688&amp;"|"&amp;$B1688,MemKey,0))</f>
        <v/>
      </c>
      <c r="I1688" s="14">
        <f>INDEX(VarUnit,MATCH($A1688,VarKey,0))</f>
        <v/>
      </c>
      <c r="J1688" s="14">
        <f>INDEX(VarSrc,MATCH($A1688,VarKey,0))</f>
        <v/>
      </c>
      <c r="K1688" s="11">
        <f>CodePrefix&amp;$A1688&amp;IF($C1688="","","."&amp;$C1688&amp;"."&amp;$B1688)&amp;INDEX(VarEnd,MATCH($A1688,VarKey,0))&amp;K$5</f>
        <v/>
      </c>
      <c r="L1688" s="40">
        <f>$D1688*($E1688*L$321+$F1688*L$324)</f>
        <v/>
      </c>
      <c r="M1688" s="35">
        <f>$D1688*($E1688*M$321+$F1688*M$324)</f>
        <v/>
      </c>
      <c r="N1688" s="35">
        <f>$D1688*($E1688*N$321+$F1688*N$324)</f>
        <v/>
      </c>
      <c r="O1688" s="35">
        <f>$D1688*($E1688*O$321+$F1688*O$324)</f>
        <v/>
      </c>
      <c r="P1688" s="35">
        <f>$D1688*($E1688*P$321+$F1688*P$324)</f>
        <v/>
      </c>
      <c r="Q1688" s="35">
        <f>$D1688*($E1688*Q$321+$F1688*Q$324)</f>
        <v/>
      </c>
      <c r="R1688" s="35">
        <f>$D1688*($E1688*R$321+$F1688*R$324)</f>
        <v/>
      </c>
      <c r="S1688" s="35">
        <f>$D1688*($E1688*S$321+$F1688*S$324)</f>
        <v/>
      </c>
      <c r="T1688" s="35">
        <f>$D1688*($E1688*T$321+$F1688*T$324)</f>
        <v/>
      </c>
      <c r="U1688" s="35">
        <f>$D1688*($E1688*U$321+$F1688*U$324)</f>
        <v/>
      </c>
      <c r="V1688" s="35">
        <f>$D1688*($E1688*V$321+$F1688*V$324)</f>
        <v/>
      </c>
      <c r="W1688" s="35">
        <f>$D1688*($E1688*W$321+$F1688*W$324)</f>
        <v/>
      </c>
      <c r="X1688" s="35">
        <f>$D1688*($E1688*X$321+$F1688*X$324)</f>
        <v/>
      </c>
      <c r="Y1688" s="35">
        <f>$D1688*($E1688*Y$321+$F1688*Y$324)</f>
        <v/>
      </c>
      <c r="Z1688" s="35">
        <f>$D1688*($E1688*Z$321+$F1688*Z$324)</f>
        <v/>
      </c>
      <c r="AA1688" s="35">
        <f>$D1688*($E1688*AA$321+$F1688*AA$324)</f>
        <v/>
      </c>
      <c r="AB1688" s="35">
        <f>$D1688*($E1688*AB$321+$F1688*AB$324)</f>
        <v/>
      </c>
      <c r="AC1688" s="35">
        <f>$D1688*($E1688*AC$321+$F1688*AC$324)</f>
        <v/>
      </c>
      <c r="AD1688" s="35">
        <f>$D1688*($E1688*AD$321+$F1688*AD$324)</f>
        <v/>
      </c>
      <c r="AE1688" s="42">
        <f>XCARBON($D1688,$E1688,AE$321,$F1688,AE$324)</f>
        <v/>
      </c>
      <c r="AG1688" s="11">
        <f>CodePrefix&amp;$A1688&amp;IF($C1688="","","."&amp;$C1688&amp;"."&amp;$B1688)&amp;INDEX(VarEnd,MATCH($A1688,VarKey,0))&amp;AG$5</f>
        <v/>
      </c>
      <c r="AH1688" s="40">
        <f>$D1688*($E1688*AH$321+$F1688*AH$324)</f>
        <v/>
      </c>
      <c r="AI1688" s="35">
        <f>$D1688*($E1688*AI$321+$F1688*AI$324)</f>
        <v/>
      </c>
      <c r="AJ1688" s="35">
        <f>$D1688*($E1688*AJ$321+$F1688*AJ$324)</f>
        <v/>
      </c>
      <c r="AK1688" s="35">
        <f>$D1688*($E1688*AK$321+$F1688*AK$324)</f>
        <v/>
      </c>
      <c r="AL1688" s="35">
        <f>$D1688*($E1688*AL$321+$F1688*AL$324)</f>
        <v/>
      </c>
      <c r="AM1688" s="35">
        <f>$D1688*($E1688*AM$321+$F1688*AM$324)</f>
        <v/>
      </c>
      <c r="AN1688" s="35">
        <f>$D1688*($E1688*AN$321+$F1688*AN$324)</f>
        <v/>
      </c>
      <c r="AO1688" s="35">
        <f>$D1688*($E1688*AO$321+$F1688*AO$324)</f>
        <v/>
      </c>
      <c r="AP1688" s="35">
        <f>$D1688*($E1688*AP$321+$F1688*AP$324)</f>
        <v/>
      </c>
      <c r="AQ1688" s="35">
        <f>$D1688*($E1688*AQ$321+$F1688*AQ$324)</f>
        <v/>
      </c>
      <c r="AR1688" s="35">
        <f>$D1688*($E1688*AR$321+$F1688*AR$324)</f>
        <v/>
      </c>
      <c r="AS1688" s="35">
        <f>$D1688*($E1688*AS$321+$F1688*AS$324)</f>
        <v/>
      </c>
      <c r="AT1688" s="35">
        <f>$D1688*($E1688*AT$321+$F1688*AT$324)</f>
        <v/>
      </c>
      <c r="AU1688" s="35">
        <f>$D1688*($E1688*AU$321+$F1688*AU$324)</f>
        <v/>
      </c>
      <c r="AV1688" s="35">
        <f>$D1688*($E1688*AV$321+$F1688*AV$324)</f>
        <v/>
      </c>
      <c r="AW1688" s="35">
        <f>$D1688*($E1688*AW$321+$F1688*AW$324)</f>
        <v/>
      </c>
      <c r="AX1688" s="35">
        <f>$D1688*($E1688*AX$321+$F1688*AX$324)</f>
        <v/>
      </c>
      <c r="AY1688" s="35">
        <f>$D1688*($E1688*AY$321+$F1688*AY$324)</f>
        <v/>
      </c>
      <c r="AZ1688" s="35">
        <f>$D1688*($E1688*AZ$321+$F1688*AZ$324)</f>
        <v/>
      </c>
      <c r="BA1688" s="42">
        <f>XCARBON($D1688,$E1688,BA$321,$F1688,BA$324)</f>
        <v/>
      </c>
    </row>
    <row r="1689" hidden="1" outlineLevel="2">
      <c r="A1689" s="14" t="inlineStr">
        <is>
          <t>xcp</t>
        </is>
      </c>
      <c r="B1689" s="14" t="inlineStr">
        <is>
          <t>die</t>
        </is>
      </c>
      <c r="C1689" s="14" t="inlineStr">
        <is>
          <t>foo</t>
        </is>
      </c>
      <c r="D1689" s="35">
        <f>INDEX(Inputs!$W$5:$W$132,MATCH($B1689&amp;"|"&amp;$C1689,Inputs!$A$5:$A$132,0))</f>
        <v/>
      </c>
      <c r="E1689" s="35">
        <f>INDEX(Inputs!$Z$5:$Z$132,MATCH($B1689&amp;"|"&amp;$C1689,Inputs!$A$5:$A$132,0))</f>
        <v/>
      </c>
      <c r="F1689" s="35">
        <f>INDEX(Inputs!$AA$5:$AA$132,MATCH($B1689&amp;"|"&amp;$C1689,Inputs!$A$5:$A$132,0))</f>
        <v/>
      </c>
      <c r="G1689" s="39" t="n"/>
      <c r="H1689" s="14">
        <f>INDEX(VarLab,MATCH($A1689,VarKey,0))&amp;INDEX(MemLab,MATCH($C1689&amp;"|"&amp;$B1689,MemKey,0))</f>
        <v/>
      </c>
      <c r="I1689" s="14">
        <f>INDEX(VarUnit,MATCH($A1689,VarKey,0))</f>
        <v/>
      </c>
      <c r="J1689" s="14">
        <f>INDEX(VarSrc,MATCH($A1689,VarKey,0))</f>
        <v/>
      </c>
      <c r="K1689" s="11">
        <f>CodePrefix&amp;$A1689&amp;IF($C1689="","","."&amp;$C1689&amp;"."&amp;$B1689)&amp;INDEX(VarEnd,MATCH($A1689,VarKey,0))&amp;K$5</f>
        <v/>
      </c>
      <c r="L1689" s="40">
        <f>$D1689*($E1689*L$321+$F1689*L$324)</f>
        <v/>
      </c>
      <c r="M1689" s="35">
        <f>$D1689*($E1689*M$321+$F1689*M$324)</f>
        <v/>
      </c>
      <c r="N1689" s="35">
        <f>$D1689*($E1689*N$321+$F1689*N$324)</f>
        <v/>
      </c>
      <c r="O1689" s="35">
        <f>$D1689*($E1689*O$321+$F1689*O$324)</f>
        <v/>
      </c>
      <c r="P1689" s="35">
        <f>$D1689*($E1689*P$321+$F1689*P$324)</f>
        <v/>
      </c>
      <c r="Q1689" s="35">
        <f>$D1689*($E1689*Q$321+$F1689*Q$324)</f>
        <v/>
      </c>
      <c r="R1689" s="35">
        <f>$D1689*($E1689*R$321+$F1689*R$324)</f>
        <v/>
      </c>
      <c r="S1689" s="35">
        <f>$D1689*($E1689*S$321+$F1689*S$324)</f>
        <v/>
      </c>
      <c r="T1689" s="35">
        <f>$D1689*($E1689*T$321+$F1689*T$324)</f>
        <v/>
      </c>
      <c r="U1689" s="35">
        <f>$D1689*($E1689*U$321+$F1689*U$324)</f>
        <v/>
      </c>
      <c r="V1689" s="35">
        <f>$D1689*($E1689*V$321+$F1689*V$324)</f>
        <v/>
      </c>
      <c r="W1689" s="35">
        <f>$D1689*($E1689*W$321+$F1689*W$324)</f>
        <v/>
      </c>
      <c r="X1689" s="35">
        <f>$D1689*($E1689*X$321+$F1689*X$324)</f>
        <v/>
      </c>
      <c r="Y1689" s="35">
        <f>$D1689*($E1689*Y$321+$F1689*Y$324)</f>
        <v/>
      </c>
      <c r="Z1689" s="35">
        <f>$D1689*($E1689*Z$321+$F1689*Z$324)</f>
        <v/>
      </c>
      <c r="AA1689" s="35">
        <f>$D1689*($E1689*AA$321+$F1689*AA$324)</f>
        <v/>
      </c>
      <c r="AB1689" s="35">
        <f>$D1689*($E1689*AB$321+$F1689*AB$324)</f>
        <v/>
      </c>
      <c r="AC1689" s="35">
        <f>$D1689*($E1689*AC$321+$F1689*AC$324)</f>
        <v/>
      </c>
      <c r="AD1689" s="35">
        <f>$D1689*($E1689*AD$321+$F1689*AD$324)</f>
        <v/>
      </c>
      <c r="AE1689" s="42">
        <f>XCARBON($D1689,$E1689,AE$321,$F1689,AE$324)</f>
        <v/>
      </c>
      <c r="AG1689" s="11">
        <f>CodePrefix&amp;$A1689&amp;IF($C1689="","","."&amp;$C1689&amp;"."&amp;$B1689)&amp;INDEX(VarEnd,MATCH($A1689,VarKey,0))&amp;AG$5</f>
        <v/>
      </c>
      <c r="AH1689" s="40">
        <f>$D1689*($E1689*AH$321+$F1689*AH$324)</f>
        <v/>
      </c>
      <c r="AI1689" s="35">
        <f>$D1689*($E1689*AI$321+$F1689*AI$324)</f>
        <v/>
      </c>
      <c r="AJ1689" s="35">
        <f>$D1689*($E1689*AJ$321+$F1689*AJ$324)</f>
        <v/>
      </c>
      <c r="AK1689" s="35">
        <f>$D1689*($E1689*AK$321+$F1689*AK$324)</f>
        <v/>
      </c>
      <c r="AL1689" s="35">
        <f>$D1689*($E1689*AL$321+$F1689*AL$324)</f>
        <v/>
      </c>
      <c r="AM1689" s="35">
        <f>$D1689*($E1689*AM$321+$F1689*AM$324)</f>
        <v/>
      </c>
      <c r="AN1689" s="35">
        <f>$D1689*($E1689*AN$321+$F1689*AN$324)</f>
        <v/>
      </c>
      <c r="AO1689" s="35">
        <f>$D1689*($E1689*AO$321+$F1689*AO$324)</f>
        <v/>
      </c>
      <c r="AP1689" s="35">
        <f>$D1689*($E1689*AP$321+$F1689*AP$324)</f>
        <v/>
      </c>
      <c r="AQ1689" s="35">
        <f>$D1689*($E1689*AQ$321+$F1689*AQ$324)</f>
        <v/>
      </c>
      <c r="AR1689" s="35">
        <f>$D1689*($E1689*AR$321+$F1689*AR$324)</f>
        <v/>
      </c>
      <c r="AS1689" s="35">
        <f>$D1689*($E1689*AS$321+$F1689*AS$324)</f>
        <v/>
      </c>
      <c r="AT1689" s="35">
        <f>$D1689*($E1689*AT$321+$F1689*AT$324)</f>
        <v/>
      </c>
      <c r="AU1689" s="35">
        <f>$D1689*($E1689*AU$321+$F1689*AU$324)</f>
        <v/>
      </c>
      <c r="AV1689" s="35">
        <f>$D1689*($E1689*AV$321+$F1689*AV$324)</f>
        <v/>
      </c>
      <c r="AW1689" s="35">
        <f>$D1689*($E1689*AW$321+$F1689*AW$324)</f>
        <v/>
      </c>
      <c r="AX1689" s="35">
        <f>$D1689*($E1689*AX$321+$F1689*AX$324)</f>
        <v/>
      </c>
      <c r="AY1689" s="35">
        <f>$D1689*($E1689*AY$321+$F1689*AY$324)</f>
        <v/>
      </c>
      <c r="AZ1689" s="35">
        <f>$D1689*($E1689*AZ$321+$F1689*AZ$324)</f>
        <v/>
      </c>
      <c r="BA1689" s="42">
        <f>XCARBON($D1689,$E1689,BA$321,$F1689,BA$324)</f>
        <v/>
      </c>
    </row>
    <row r="1690" hidden="1" outlineLevel="2">
      <c r="A1690" s="14" t="inlineStr">
        <is>
          <t>xcp</t>
        </is>
      </c>
      <c r="B1690" s="14" t="inlineStr">
        <is>
          <t>lpg</t>
        </is>
      </c>
      <c r="C1690" s="14" t="inlineStr">
        <is>
          <t>foo</t>
        </is>
      </c>
      <c r="D1690" s="35">
        <f>INDEX(Inputs!$W$5:$W$132,MATCH($B1690&amp;"|"&amp;$C1690,Inputs!$A$5:$A$132,0))</f>
        <v/>
      </c>
      <c r="E1690" s="35">
        <f>INDEX(Inputs!$Z$5:$Z$132,MATCH($B1690&amp;"|"&amp;$C1690,Inputs!$A$5:$A$132,0))</f>
        <v/>
      </c>
      <c r="F1690" s="35">
        <f>INDEX(Inputs!$AA$5:$AA$132,MATCH($B1690&amp;"|"&amp;$C1690,Inputs!$A$5:$A$132,0))</f>
        <v/>
      </c>
      <c r="G1690" s="39" t="n"/>
      <c r="H1690" s="14">
        <f>INDEX(VarLab,MATCH($A1690,VarKey,0))&amp;INDEX(MemLab,MATCH($C1690&amp;"|"&amp;$B1690,MemKey,0))</f>
        <v/>
      </c>
      <c r="I1690" s="14">
        <f>INDEX(VarUnit,MATCH($A1690,VarKey,0))</f>
        <v/>
      </c>
      <c r="J1690" s="14">
        <f>INDEX(VarSrc,MATCH($A1690,VarKey,0))</f>
        <v/>
      </c>
      <c r="K1690" s="11">
        <f>CodePrefix&amp;$A1690&amp;IF($C1690="","","."&amp;$C1690&amp;"."&amp;$B1690)&amp;INDEX(VarEnd,MATCH($A1690,VarKey,0))&amp;K$5</f>
        <v/>
      </c>
      <c r="L1690" s="40">
        <f>$D1690*($E1690*L$321+$F1690*L$324)</f>
        <v/>
      </c>
      <c r="M1690" s="35">
        <f>$D1690*($E1690*M$321+$F1690*M$324)</f>
        <v/>
      </c>
      <c r="N1690" s="35">
        <f>$D1690*($E1690*N$321+$F1690*N$324)</f>
        <v/>
      </c>
      <c r="O1690" s="35">
        <f>$D1690*($E1690*O$321+$F1690*O$324)</f>
        <v/>
      </c>
      <c r="P1690" s="35">
        <f>$D1690*($E1690*P$321+$F1690*P$324)</f>
        <v/>
      </c>
      <c r="Q1690" s="35">
        <f>$D1690*($E1690*Q$321+$F1690*Q$324)</f>
        <v/>
      </c>
      <c r="R1690" s="35">
        <f>$D1690*($E1690*R$321+$F1690*R$324)</f>
        <v/>
      </c>
      <c r="S1690" s="35">
        <f>$D1690*($E1690*S$321+$F1690*S$324)</f>
        <v/>
      </c>
      <c r="T1690" s="35">
        <f>$D1690*($E1690*T$321+$F1690*T$324)</f>
        <v/>
      </c>
      <c r="U1690" s="35">
        <f>$D1690*($E1690*U$321+$F1690*U$324)</f>
        <v/>
      </c>
      <c r="V1690" s="35">
        <f>$D1690*($E1690*V$321+$F1690*V$324)</f>
        <v/>
      </c>
      <c r="W1690" s="35">
        <f>$D1690*($E1690*W$321+$F1690*W$324)</f>
        <v/>
      </c>
      <c r="X1690" s="35">
        <f>$D1690*($E1690*X$321+$F1690*X$324)</f>
        <v/>
      </c>
      <c r="Y1690" s="35">
        <f>$D1690*($E1690*Y$321+$F1690*Y$324)</f>
        <v/>
      </c>
      <c r="Z1690" s="35">
        <f>$D1690*($E1690*Z$321+$F1690*Z$324)</f>
        <v/>
      </c>
      <c r="AA1690" s="35">
        <f>$D1690*($E1690*AA$321+$F1690*AA$324)</f>
        <v/>
      </c>
      <c r="AB1690" s="35">
        <f>$D1690*($E1690*AB$321+$F1690*AB$324)</f>
        <v/>
      </c>
      <c r="AC1690" s="35">
        <f>$D1690*($E1690*AC$321+$F1690*AC$324)</f>
        <v/>
      </c>
      <c r="AD1690" s="35">
        <f>$D1690*($E1690*AD$321+$F1690*AD$324)</f>
        <v/>
      </c>
      <c r="AE1690" s="42">
        <f>XCARBON($D1690,$E1690,AE$321,$F1690,AE$324)</f>
        <v/>
      </c>
      <c r="AG1690" s="11">
        <f>CodePrefix&amp;$A1690&amp;IF($C1690="","","."&amp;$C1690&amp;"."&amp;$B1690)&amp;INDEX(VarEnd,MATCH($A1690,VarKey,0))&amp;AG$5</f>
        <v/>
      </c>
      <c r="AH1690" s="40">
        <f>$D1690*($E1690*AH$321+$F1690*AH$324)</f>
        <v/>
      </c>
      <c r="AI1690" s="35">
        <f>$D1690*($E1690*AI$321+$F1690*AI$324)</f>
        <v/>
      </c>
      <c r="AJ1690" s="35">
        <f>$D1690*($E1690*AJ$321+$F1690*AJ$324)</f>
        <v/>
      </c>
      <c r="AK1690" s="35">
        <f>$D1690*($E1690*AK$321+$F1690*AK$324)</f>
        <v/>
      </c>
      <c r="AL1690" s="35">
        <f>$D1690*($E1690*AL$321+$F1690*AL$324)</f>
        <v/>
      </c>
      <c r="AM1690" s="35">
        <f>$D1690*($E1690*AM$321+$F1690*AM$324)</f>
        <v/>
      </c>
      <c r="AN1690" s="35">
        <f>$D1690*($E1690*AN$321+$F1690*AN$324)</f>
        <v/>
      </c>
      <c r="AO1690" s="35">
        <f>$D1690*($E1690*AO$321+$F1690*AO$324)</f>
        <v/>
      </c>
      <c r="AP1690" s="35">
        <f>$D1690*($E1690*AP$321+$F1690*AP$324)</f>
        <v/>
      </c>
      <c r="AQ1690" s="35">
        <f>$D1690*($E1690*AQ$321+$F1690*AQ$324)</f>
        <v/>
      </c>
      <c r="AR1690" s="35">
        <f>$D1690*($E1690*AR$321+$F1690*AR$324)</f>
        <v/>
      </c>
      <c r="AS1690" s="35">
        <f>$D1690*($E1690*AS$321+$F1690*AS$324)</f>
        <v/>
      </c>
      <c r="AT1690" s="35">
        <f>$D1690*($E1690*AT$321+$F1690*AT$324)</f>
        <v/>
      </c>
      <c r="AU1690" s="35">
        <f>$D1690*($E1690*AU$321+$F1690*AU$324)</f>
        <v/>
      </c>
      <c r="AV1690" s="35">
        <f>$D1690*($E1690*AV$321+$F1690*AV$324)</f>
        <v/>
      </c>
      <c r="AW1690" s="35">
        <f>$D1690*($E1690*AW$321+$F1690*AW$324)</f>
        <v/>
      </c>
      <c r="AX1690" s="35">
        <f>$D1690*($E1690*AX$321+$F1690*AX$324)</f>
        <v/>
      </c>
      <c r="AY1690" s="35">
        <f>$D1690*($E1690*AY$321+$F1690*AY$324)</f>
        <v/>
      </c>
      <c r="AZ1690" s="35">
        <f>$D1690*($E1690*AZ$321+$F1690*AZ$324)</f>
        <v/>
      </c>
      <c r="BA1690" s="42">
        <f>XCARBON($D1690,$E1690,BA$321,$F1690,BA$324)</f>
        <v/>
      </c>
    </row>
    <row r="1691" hidden="1" outlineLevel="2">
      <c r="A1691" s="14" t="inlineStr">
        <is>
          <t>xcp</t>
        </is>
      </c>
      <c r="B1691" s="14" t="inlineStr">
        <is>
          <t>ker</t>
        </is>
      </c>
      <c r="C1691" s="14" t="inlineStr">
        <is>
          <t>foo</t>
        </is>
      </c>
      <c r="D1691" s="35">
        <f>INDEX(Inputs!$W$5:$W$132,MATCH($B1691&amp;"|"&amp;$C1691,Inputs!$A$5:$A$132,0))</f>
        <v/>
      </c>
      <c r="E1691" s="35">
        <f>INDEX(Inputs!$Z$5:$Z$132,MATCH($B1691&amp;"|"&amp;$C1691,Inputs!$A$5:$A$132,0))</f>
        <v/>
      </c>
      <c r="F1691" s="35">
        <f>INDEX(Inputs!$AA$5:$AA$132,MATCH($B1691&amp;"|"&amp;$C1691,Inputs!$A$5:$A$132,0))</f>
        <v/>
      </c>
      <c r="G1691" s="39" t="n"/>
      <c r="H1691" s="14">
        <f>INDEX(VarLab,MATCH($A1691,VarKey,0))&amp;INDEX(MemLab,MATCH($C1691&amp;"|"&amp;$B1691,MemKey,0))</f>
        <v/>
      </c>
      <c r="I1691" s="14">
        <f>INDEX(VarUnit,MATCH($A1691,VarKey,0))</f>
        <v/>
      </c>
      <c r="J1691" s="14">
        <f>INDEX(VarSrc,MATCH($A1691,VarKey,0))</f>
        <v/>
      </c>
      <c r="K1691" s="11">
        <f>CodePrefix&amp;$A1691&amp;IF($C1691="","","."&amp;$C1691&amp;"."&amp;$B1691)&amp;INDEX(VarEnd,MATCH($A1691,VarKey,0))&amp;K$5</f>
        <v/>
      </c>
      <c r="L1691" s="40">
        <f>$D1691*($E1691*L$321+$F1691*L$324)</f>
        <v/>
      </c>
      <c r="M1691" s="35">
        <f>$D1691*($E1691*M$321+$F1691*M$324)</f>
        <v/>
      </c>
      <c r="N1691" s="35">
        <f>$D1691*($E1691*N$321+$F1691*N$324)</f>
        <v/>
      </c>
      <c r="O1691" s="35">
        <f>$D1691*($E1691*O$321+$F1691*O$324)</f>
        <v/>
      </c>
      <c r="P1691" s="35">
        <f>$D1691*($E1691*P$321+$F1691*P$324)</f>
        <v/>
      </c>
      <c r="Q1691" s="35">
        <f>$D1691*($E1691*Q$321+$F1691*Q$324)</f>
        <v/>
      </c>
      <c r="R1691" s="35">
        <f>$D1691*($E1691*R$321+$F1691*R$324)</f>
        <v/>
      </c>
      <c r="S1691" s="35">
        <f>$D1691*($E1691*S$321+$F1691*S$324)</f>
        <v/>
      </c>
      <c r="T1691" s="35">
        <f>$D1691*($E1691*T$321+$F1691*T$324)</f>
        <v/>
      </c>
      <c r="U1691" s="35">
        <f>$D1691*($E1691*U$321+$F1691*U$324)</f>
        <v/>
      </c>
      <c r="V1691" s="35">
        <f>$D1691*($E1691*V$321+$F1691*V$324)</f>
        <v/>
      </c>
      <c r="W1691" s="35">
        <f>$D1691*($E1691*W$321+$F1691*W$324)</f>
        <v/>
      </c>
      <c r="X1691" s="35">
        <f>$D1691*($E1691*X$321+$F1691*X$324)</f>
        <v/>
      </c>
      <c r="Y1691" s="35">
        <f>$D1691*($E1691*Y$321+$F1691*Y$324)</f>
        <v/>
      </c>
      <c r="Z1691" s="35">
        <f>$D1691*($E1691*Z$321+$F1691*Z$324)</f>
        <v/>
      </c>
      <c r="AA1691" s="35">
        <f>$D1691*($E1691*AA$321+$F1691*AA$324)</f>
        <v/>
      </c>
      <c r="AB1691" s="35">
        <f>$D1691*($E1691*AB$321+$F1691*AB$324)</f>
        <v/>
      </c>
      <c r="AC1691" s="35">
        <f>$D1691*($E1691*AC$321+$F1691*AC$324)</f>
        <v/>
      </c>
      <c r="AD1691" s="35">
        <f>$D1691*($E1691*AD$321+$F1691*AD$324)</f>
        <v/>
      </c>
      <c r="AE1691" s="42">
        <f>XCARBON($D1691,$E1691,AE$321,$F1691,AE$324)</f>
        <v/>
      </c>
      <c r="AG1691" s="11">
        <f>CodePrefix&amp;$A1691&amp;IF($C1691="","","."&amp;$C1691&amp;"."&amp;$B1691)&amp;INDEX(VarEnd,MATCH($A1691,VarKey,0))&amp;AG$5</f>
        <v/>
      </c>
      <c r="AH1691" s="40">
        <f>$D1691*($E1691*AH$321+$F1691*AH$324)</f>
        <v/>
      </c>
      <c r="AI1691" s="35">
        <f>$D1691*($E1691*AI$321+$F1691*AI$324)</f>
        <v/>
      </c>
      <c r="AJ1691" s="35">
        <f>$D1691*($E1691*AJ$321+$F1691*AJ$324)</f>
        <v/>
      </c>
      <c r="AK1691" s="35">
        <f>$D1691*($E1691*AK$321+$F1691*AK$324)</f>
        <v/>
      </c>
      <c r="AL1691" s="35">
        <f>$D1691*($E1691*AL$321+$F1691*AL$324)</f>
        <v/>
      </c>
      <c r="AM1691" s="35">
        <f>$D1691*($E1691*AM$321+$F1691*AM$324)</f>
        <v/>
      </c>
      <c r="AN1691" s="35">
        <f>$D1691*($E1691*AN$321+$F1691*AN$324)</f>
        <v/>
      </c>
      <c r="AO1691" s="35">
        <f>$D1691*($E1691*AO$321+$F1691*AO$324)</f>
        <v/>
      </c>
      <c r="AP1691" s="35">
        <f>$D1691*($E1691*AP$321+$F1691*AP$324)</f>
        <v/>
      </c>
      <c r="AQ1691" s="35">
        <f>$D1691*($E1691*AQ$321+$F1691*AQ$324)</f>
        <v/>
      </c>
      <c r="AR1691" s="35">
        <f>$D1691*($E1691*AR$321+$F1691*AR$324)</f>
        <v/>
      </c>
      <c r="AS1691" s="35">
        <f>$D1691*($E1691*AS$321+$F1691*AS$324)</f>
        <v/>
      </c>
      <c r="AT1691" s="35">
        <f>$D1691*($E1691*AT$321+$F1691*AT$324)</f>
        <v/>
      </c>
      <c r="AU1691" s="35">
        <f>$D1691*($E1691*AU$321+$F1691*AU$324)</f>
        <v/>
      </c>
      <c r="AV1691" s="35">
        <f>$D1691*($E1691*AV$321+$F1691*AV$324)</f>
        <v/>
      </c>
      <c r="AW1691" s="35">
        <f>$D1691*($E1691*AW$321+$F1691*AW$324)</f>
        <v/>
      </c>
      <c r="AX1691" s="35">
        <f>$D1691*($E1691*AX$321+$F1691*AX$324)</f>
        <v/>
      </c>
      <c r="AY1691" s="35">
        <f>$D1691*($E1691*AY$321+$F1691*AY$324)</f>
        <v/>
      </c>
      <c r="AZ1691" s="35">
        <f>$D1691*($E1691*AZ$321+$F1691*AZ$324)</f>
        <v/>
      </c>
      <c r="BA1691" s="42">
        <f>XCARBON($D1691,$E1691,BA$321,$F1691,BA$324)</f>
        <v/>
      </c>
    </row>
    <row r="1692" hidden="1" outlineLevel="2">
      <c r="A1692" s="14" t="inlineStr">
        <is>
          <t>xcp</t>
        </is>
      </c>
      <c r="B1692" s="14" t="inlineStr">
        <is>
          <t>oop</t>
        </is>
      </c>
      <c r="C1692" s="14" t="inlineStr">
        <is>
          <t>foo</t>
        </is>
      </c>
      <c r="D1692" s="35">
        <f>INDEX(Inputs!$W$5:$W$132,MATCH($B1692&amp;"|"&amp;$C1692,Inputs!$A$5:$A$132,0))</f>
        <v/>
      </c>
      <c r="E1692" s="35">
        <f>INDEX(Inputs!$Z$5:$Z$132,MATCH($B1692&amp;"|"&amp;$C1692,Inputs!$A$5:$A$132,0))</f>
        <v/>
      </c>
      <c r="F1692" s="35">
        <f>INDEX(Inputs!$AA$5:$AA$132,MATCH($B1692&amp;"|"&amp;$C1692,Inputs!$A$5:$A$132,0))</f>
        <v/>
      </c>
      <c r="G1692" s="39" t="n"/>
      <c r="H1692" s="14">
        <f>INDEX(VarLab,MATCH($A1692,VarKey,0))&amp;INDEX(MemLab,MATCH($C1692&amp;"|"&amp;$B1692,MemKey,0))</f>
        <v/>
      </c>
      <c r="I1692" s="14">
        <f>INDEX(VarUnit,MATCH($A1692,VarKey,0))</f>
        <v/>
      </c>
      <c r="J1692" s="14">
        <f>INDEX(VarSrc,MATCH($A1692,VarKey,0))</f>
        <v/>
      </c>
      <c r="K1692" s="11">
        <f>CodePrefix&amp;$A1692&amp;IF($C1692="","","."&amp;$C1692&amp;"."&amp;$B1692)&amp;INDEX(VarEnd,MATCH($A1692,VarKey,0))&amp;K$5</f>
        <v/>
      </c>
      <c r="L1692" s="40">
        <f>$D1692*($E1692*L$321+$F1692*L$324)</f>
        <v/>
      </c>
      <c r="M1692" s="35">
        <f>$D1692*($E1692*M$321+$F1692*M$324)</f>
        <v/>
      </c>
      <c r="N1692" s="35">
        <f>$D1692*($E1692*N$321+$F1692*N$324)</f>
        <v/>
      </c>
      <c r="O1692" s="35">
        <f>$D1692*($E1692*O$321+$F1692*O$324)</f>
        <v/>
      </c>
      <c r="P1692" s="35">
        <f>$D1692*($E1692*P$321+$F1692*P$324)</f>
        <v/>
      </c>
      <c r="Q1692" s="35">
        <f>$D1692*($E1692*Q$321+$F1692*Q$324)</f>
        <v/>
      </c>
      <c r="R1692" s="35">
        <f>$D1692*($E1692*R$321+$F1692*R$324)</f>
        <v/>
      </c>
      <c r="S1692" s="35">
        <f>$D1692*($E1692*S$321+$F1692*S$324)</f>
        <v/>
      </c>
      <c r="T1692" s="35">
        <f>$D1692*($E1692*T$321+$F1692*T$324)</f>
        <v/>
      </c>
      <c r="U1692" s="35">
        <f>$D1692*($E1692*U$321+$F1692*U$324)</f>
        <v/>
      </c>
      <c r="V1692" s="35">
        <f>$D1692*($E1692*V$321+$F1692*V$324)</f>
        <v/>
      </c>
      <c r="W1692" s="35">
        <f>$D1692*($E1692*W$321+$F1692*W$324)</f>
        <v/>
      </c>
      <c r="X1692" s="35">
        <f>$D1692*($E1692*X$321+$F1692*X$324)</f>
        <v/>
      </c>
      <c r="Y1692" s="35">
        <f>$D1692*($E1692*Y$321+$F1692*Y$324)</f>
        <v/>
      </c>
      <c r="Z1692" s="35">
        <f>$D1692*($E1692*Z$321+$F1692*Z$324)</f>
        <v/>
      </c>
      <c r="AA1692" s="35">
        <f>$D1692*($E1692*AA$321+$F1692*AA$324)</f>
        <v/>
      </c>
      <c r="AB1692" s="35">
        <f>$D1692*($E1692*AB$321+$F1692*AB$324)</f>
        <v/>
      </c>
      <c r="AC1692" s="35">
        <f>$D1692*($E1692*AC$321+$F1692*AC$324)</f>
        <v/>
      </c>
      <c r="AD1692" s="35">
        <f>$D1692*($E1692*AD$321+$F1692*AD$324)</f>
        <v/>
      </c>
      <c r="AE1692" s="42">
        <f>XCARBON($D1692,$E1692,AE$321,$F1692,AE$324)</f>
        <v/>
      </c>
      <c r="AG1692" s="11">
        <f>CodePrefix&amp;$A1692&amp;IF($C1692="","","."&amp;$C1692&amp;"."&amp;$B1692)&amp;INDEX(VarEnd,MATCH($A1692,VarKey,0))&amp;AG$5</f>
        <v/>
      </c>
      <c r="AH1692" s="40">
        <f>$D1692*($E1692*AH$321+$F1692*AH$324)</f>
        <v/>
      </c>
      <c r="AI1692" s="35">
        <f>$D1692*($E1692*AI$321+$F1692*AI$324)</f>
        <v/>
      </c>
      <c r="AJ1692" s="35">
        <f>$D1692*($E1692*AJ$321+$F1692*AJ$324)</f>
        <v/>
      </c>
      <c r="AK1692" s="35">
        <f>$D1692*($E1692*AK$321+$F1692*AK$324)</f>
        <v/>
      </c>
      <c r="AL1692" s="35">
        <f>$D1692*($E1692*AL$321+$F1692*AL$324)</f>
        <v/>
      </c>
      <c r="AM1692" s="35">
        <f>$D1692*($E1692*AM$321+$F1692*AM$324)</f>
        <v/>
      </c>
      <c r="AN1692" s="35">
        <f>$D1692*($E1692*AN$321+$F1692*AN$324)</f>
        <v/>
      </c>
      <c r="AO1692" s="35">
        <f>$D1692*($E1692*AO$321+$F1692*AO$324)</f>
        <v/>
      </c>
      <c r="AP1692" s="35">
        <f>$D1692*($E1692*AP$321+$F1692*AP$324)</f>
        <v/>
      </c>
      <c r="AQ1692" s="35">
        <f>$D1692*($E1692*AQ$321+$F1692*AQ$324)</f>
        <v/>
      </c>
      <c r="AR1692" s="35">
        <f>$D1692*($E1692*AR$321+$F1692*AR$324)</f>
        <v/>
      </c>
      <c r="AS1692" s="35">
        <f>$D1692*($E1692*AS$321+$F1692*AS$324)</f>
        <v/>
      </c>
      <c r="AT1692" s="35">
        <f>$D1692*($E1692*AT$321+$F1692*AT$324)</f>
        <v/>
      </c>
      <c r="AU1692" s="35">
        <f>$D1692*($E1692*AU$321+$F1692*AU$324)</f>
        <v/>
      </c>
      <c r="AV1692" s="35">
        <f>$D1692*($E1692*AV$321+$F1692*AV$324)</f>
        <v/>
      </c>
      <c r="AW1692" s="35">
        <f>$D1692*($E1692*AW$321+$F1692*AW$324)</f>
        <v/>
      </c>
      <c r="AX1692" s="35">
        <f>$D1692*($E1692*AX$321+$F1692*AX$324)</f>
        <v/>
      </c>
      <c r="AY1692" s="35">
        <f>$D1692*($E1692*AY$321+$F1692*AY$324)</f>
        <v/>
      </c>
      <c r="AZ1692" s="35">
        <f>$D1692*($E1692*AZ$321+$F1692*AZ$324)</f>
        <v/>
      </c>
      <c r="BA1692" s="42">
        <f>XCARBON($D1692,$E1692,BA$321,$F1692,BA$324)</f>
        <v/>
      </c>
    </row>
    <row r="1693" hidden="1" outlineLevel="2">
      <c r="A1693" s="14" t="inlineStr">
        <is>
          <t>xcp</t>
        </is>
      </c>
      <c r="B1693" s="14" t="inlineStr">
        <is>
          <t>bio</t>
        </is>
      </c>
      <c r="C1693" s="14" t="inlineStr">
        <is>
          <t>foo</t>
        </is>
      </c>
      <c r="D1693" s="35">
        <f>INDEX(Inputs!$W$5:$W$132,MATCH($B1693&amp;"|"&amp;$C1693,Inputs!$A$5:$A$132,0))</f>
        <v/>
      </c>
      <c r="E1693" s="35">
        <f>INDEX(Inputs!$Z$5:$Z$132,MATCH($B1693&amp;"|"&amp;$C1693,Inputs!$A$5:$A$132,0))</f>
        <v/>
      </c>
      <c r="F1693" s="35">
        <f>INDEX(Inputs!$AA$5:$AA$132,MATCH($B1693&amp;"|"&amp;$C1693,Inputs!$A$5:$A$132,0))</f>
        <v/>
      </c>
      <c r="G1693" s="39" t="n"/>
      <c r="H1693" s="14">
        <f>INDEX(VarLab,MATCH($A1693,VarKey,0))&amp;INDEX(MemLab,MATCH($C1693&amp;"|"&amp;$B1693,MemKey,0))</f>
        <v/>
      </c>
      <c r="I1693" s="14">
        <f>INDEX(VarUnit,MATCH($A1693,VarKey,0))</f>
        <v/>
      </c>
      <c r="J1693" s="14">
        <f>INDEX(VarSrc,MATCH($A1693,VarKey,0))</f>
        <v/>
      </c>
      <c r="K1693" s="11">
        <f>CodePrefix&amp;$A1693&amp;IF($C1693="","","."&amp;$C1693&amp;"."&amp;$B1693)&amp;INDEX(VarEnd,MATCH($A1693,VarKey,0))&amp;K$5</f>
        <v/>
      </c>
      <c r="L1693" s="40">
        <f>$D1693*($E1693*L$321+$F1693*L$324)</f>
        <v/>
      </c>
      <c r="M1693" s="35">
        <f>$D1693*($E1693*M$321+$F1693*M$324)</f>
        <v/>
      </c>
      <c r="N1693" s="35">
        <f>$D1693*($E1693*N$321+$F1693*N$324)</f>
        <v/>
      </c>
      <c r="O1693" s="35">
        <f>$D1693*($E1693*O$321+$F1693*O$324)</f>
        <v/>
      </c>
      <c r="P1693" s="35">
        <f>$D1693*($E1693*P$321+$F1693*P$324)</f>
        <v/>
      </c>
      <c r="Q1693" s="35">
        <f>$D1693*($E1693*Q$321+$F1693*Q$324)</f>
        <v/>
      </c>
      <c r="R1693" s="35">
        <f>$D1693*($E1693*R$321+$F1693*R$324)</f>
        <v/>
      </c>
      <c r="S1693" s="35">
        <f>$D1693*($E1693*S$321+$F1693*S$324)</f>
        <v/>
      </c>
      <c r="T1693" s="35">
        <f>$D1693*($E1693*T$321+$F1693*T$324)</f>
        <v/>
      </c>
      <c r="U1693" s="35">
        <f>$D1693*($E1693*U$321+$F1693*U$324)</f>
        <v/>
      </c>
      <c r="V1693" s="35">
        <f>$D1693*($E1693*V$321+$F1693*V$324)</f>
        <v/>
      </c>
      <c r="W1693" s="35">
        <f>$D1693*($E1693*W$321+$F1693*W$324)</f>
        <v/>
      </c>
      <c r="X1693" s="35">
        <f>$D1693*($E1693*X$321+$F1693*X$324)</f>
        <v/>
      </c>
      <c r="Y1693" s="35">
        <f>$D1693*($E1693*Y$321+$F1693*Y$324)</f>
        <v/>
      </c>
      <c r="Z1693" s="35">
        <f>$D1693*($E1693*Z$321+$F1693*Z$324)</f>
        <v/>
      </c>
      <c r="AA1693" s="35">
        <f>$D1693*($E1693*AA$321+$F1693*AA$324)</f>
        <v/>
      </c>
      <c r="AB1693" s="35">
        <f>$D1693*($E1693*AB$321+$F1693*AB$324)</f>
        <v/>
      </c>
      <c r="AC1693" s="35">
        <f>$D1693*($E1693*AC$321+$F1693*AC$324)</f>
        <v/>
      </c>
      <c r="AD1693" s="35">
        <f>$D1693*($E1693*AD$321+$F1693*AD$324)</f>
        <v/>
      </c>
      <c r="AE1693" s="42">
        <f>XCARBON($D1693,$E1693,AE$321,$F1693,AE$324)</f>
        <v/>
      </c>
      <c r="AG1693" s="11">
        <f>CodePrefix&amp;$A1693&amp;IF($C1693="","","."&amp;$C1693&amp;"."&amp;$B1693)&amp;INDEX(VarEnd,MATCH($A1693,VarKey,0))&amp;AG$5</f>
        <v/>
      </c>
      <c r="AH1693" s="40">
        <f>$D1693*($E1693*AH$321+$F1693*AH$324)</f>
        <v/>
      </c>
      <c r="AI1693" s="35">
        <f>$D1693*($E1693*AI$321+$F1693*AI$324)</f>
        <v/>
      </c>
      <c r="AJ1693" s="35">
        <f>$D1693*($E1693*AJ$321+$F1693*AJ$324)</f>
        <v/>
      </c>
      <c r="AK1693" s="35">
        <f>$D1693*($E1693*AK$321+$F1693*AK$324)</f>
        <v/>
      </c>
      <c r="AL1693" s="35">
        <f>$D1693*($E1693*AL$321+$F1693*AL$324)</f>
        <v/>
      </c>
      <c r="AM1693" s="35">
        <f>$D1693*($E1693*AM$321+$F1693*AM$324)</f>
        <v/>
      </c>
      <c r="AN1693" s="35">
        <f>$D1693*($E1693*AN$321+$F1693*AN$324)</f>
        <v/>
      </c>
      <c r="AO1693" s="35">
        <f>$D1693*($E1693*AO$321+$F1693*AO$324)</f>
        <v/>
      </c>
      <c r="AP1693" s="35">
        <f>$D1693*($E1693*AP$321+$F1693*AP$324)</f>
        <v/>
      </c>
      <c r="AQ1693" s="35">
        <f>$D1693*($E1693*AQ$321+$F1693*AQ$324)</f>
        <v/>
      </c>
      <c r="AR1693" s="35">
        <f>$D1693*($E1693*AR$321+$F1693*AR$324)</f>
        <v/>
      </c>
      <c r="AS1693" s="35">
        <f>$D1693*($E1693*AS$321+$F1693*AS$324)</f>
        <v/>
      </c>
      <c r="AT1693" s="35">
        <f>$D1693*($E1693*AT$321+$F1693*AT$324)</f>
        <v/>
      </c>
      <c r="AU1693" s="35">
        <f>$D1693*($E1693*AU$321+$F1693*AU$324)</f>
        <v/>
      </c>
      <c r="AV1693" s="35">
        <f>$D1693*($E1693*AV$321+$F1693*AV$324)</f>
        <v/>
      </c>
      <c r="AW1693" s="35">
        <f>$D1693*($E1693*AW$321+$F1693*AW$324)</f>
        <v/>
      </c>
      <c r="AX1693" s="35">
        <f>$D1693*($E1693*AX$321+$F1693*AX$324)</f>
        <v/>
      </c>
      <c r="AY1693" s="35">
        <f>$D1693*($E1693*AY$321+$F1693*AY$324)</f>
        <v/>
      </c>
      <c r="AZ1693" s="35">
        <f>$D1693*($E1693*AZ$321+$F1693*AZ$324)</f>
        <v/>
      </c>
      <c r="BA1693" s="42">
        <f>XCARBON($D1693,$E1693,BA$321,$F1693,BA$324)</f>
        <v/>
      </c>
    </row>
    <row r="1694" hidden="1" outlineLevel="2"/>
    <row r="1695" hidden="1" outlineLevel="2">
      <c r="A1695" s="14" t="inlineStr">
        <is>
          <t>xcpd</t>
        </is>
      </c>
      <c r="B1695" s="14" t="inlineStr">
        <is>
          <t>coa</t>
        </is>
      </c>
      <c r="C1695" s="14" t="inlineStr">
        <is>
          <t>foo</t>
        </is>
      </c>
      <c r="D1695" s="35">
        <f>INDEX(Inputs!$W$5:$W$132,MATCH($B1695&amp;"|"&amp;$C1695,Inputs!$A$5:$A$132,0))</f>
        <v/>
      </c>
      <c r="E1695" s="35">
        <f>INDEX(Inputs!$Z$5:$Z$132,MATCH($B1695&amp;"|"&amp;$C1695,Inputs!$A$5:$A$132,0))</f>
        <v/>
      </c>
      <c r="F1695" s="35">
        <f>INDEX(Inputs!$AA$5:$AA$132,MATCH($B1695&amp;"|"&amp;$C1695,Inputs!$A$5:$A$132,0))</f>
        <v/>
      </c>
      <c r="G1695" s="39" t="n"/>
      <c r="H1695" s="14">
        <f>INDEX(VarLab,MATCH($A1695,VarKey,0))&amp;INDEX(MemLab,MATCH($C1695&amp;"|"&amp;$B1695,MemKey,0))</f>
        <v/>
      </c>
      <c r="I1695" s="14">
        <f>INDEX(VarUnit,MATCH($A1695,VarKey,0))</f>
        <v/>
      </c>
      <c r="J1695" s="14">
        <f>INDEX(VarSrc,MATCH($A1695,VarKey,0))</f>
        <v/>
      </c>
      <c r="K1695" s="11">
        <f>CodePrefix&amp;$A1695&amp;IF($C1695="","","."&amp;$C1695&amp;"."&amp;$B1695)&amp;INDEX(VarEnd,MATCH($A1695,VarKey,0))&amp;K$5</f>
        <v/>
      </c>
      <c r="L1695" s="40">
        <f>$D1695*($E1695*(L$321-L$322)+$F1695*(L$324-L$325))</f>
        <v/>
      </c>
      <c r="M1695" s="35">
        <f>$D1695*($E1695*(M$321-M$322)+$F1695*(M$324-M$325))</f>
        <v/>
      </c>
      <c r="N1695" s="35">
        <f>$D1695*($E1695*(N$321-N$322)+$F1695*(N$324-N$325))</f>
        <v/>
      </c>
      <c r="O1695" s="35">
        <f>$D1695*($E1695*(O$321-O$322)+$F1695*(O$324-O$325))</f>
        <v/>
      </c>
      <c r="P1695" s="35">
        <f>$D1695*($E1695*(P$321-P$322)+$F1695*(P$324-P$325))</f>
        <v/>
      </c>
      <c r="Q1695" s="35">
        <f>$D1695*($E1695*(Q$321-Q$322)+$F1695*(Q$324-Q$325))</f>
        <v/>
      </c>
      <c r="R1695" s="35">
        <f>$D1695*($E1695*(R$321-R$322)+$F1695*(R$324-R$325))</f>
        <v/>
      </c>
      <c r="S1695" s="35">
        <f>$D1695*($E1695*(S$321-S$322)+$F1695*(S$324-S$325))</f>
        <v/>
      </c>
      <c r="T1695" s="35">
        <f>$D1695*($E1695*(T$321-T$322)+$F1695*(T$324-T$325))</f>
        <v/>
      </c>
      <c r="U1695" s="35">
        <f>$D1695*($E1695*(U$321-U$322)+$F1695*(U$324-U$325))</f>
        <v/>
      </c>
      <c r="V1695" s="35">
        <f>$D1695*($E1695*(V$321-V$322)+$F1695*(V$324-V$325))</f>
        <v/>
      </c>
      <c r="W1695" s="35">
        <f>$D1695*($E1695*(W$321-W$322)+$F1695*(W$324-W$325))</f>
        <v/>
      </c>
      <c r="X1695" s="35">
        <f>$D1695*($E1695*(X$321-X$322)+$F1695*(X$324-X$325))</f>
        <v/>
      </c>
      <c r="Y1695" s="35">
        <f>$D1695*($E1695*(Y$321-Y$322)+$F1695*(Y$324-Y$325))</f>
        <v/>
      </c>
      <c r="Z1695" s="35">
        <f>$D1695*($E1695*(Z$321-Z$322)+$F1695*(Z$324-Z$325))</f>
        <v/>
      </c>
      <c r="AA1695" s="35">
        <f>$D1695*($E1695*(AA$321-AA$322)+$F1695*(AA$324-AA$325))</f>
        <v/>
      </c>
      <c r="AB1695" s="35">
        <f>$D1695*($E1695*(AB$321-AB$322)+$F1695*(AB$324-AB$325))</f>
        <v/>
      </c>
      <c r="AC1695" s="35">
        <f>$D1695*($E1695*(AC$321-AC$322)+$F1695*(AC$324-AC$325))</f>
        <v/>
      </c>
      <c r="AD1695" s="35">
        <f>$D1695*($E1695*(AD$321-AD$322)+$F1695*(AD$324-AD$325))</f>
        <v/>
      </c>
      <c r="AE1695" s="42">
        <f>XCARBON($D1695,$E1695,(AE$321-AE$322),$F1695,(AE$324-AE$325))</f>
        <v/>
      </c>
      <c r="AG1695" s="11">
        <f>CodePrefix&amp;$A1695&amp;IF($C1695="","","."&amp;$C1695&amp;"."&amp;$B1695)&amp;INDEX(VarEnd,MATCH($A1695,VarKey,0))&amp;AG$5</f>
        <v/>
      </c>
      <c r="AH1695" s="40">
        <f>$D1695*($E1695*(AH$321-AH$322)+$F1695*(AH$324-AH$325))</f>
        <v/>
      </c>
      <c r="AI1695" s="35">
        <f>$D1695*($E1695*(AI$321-AI$322)+$F1695*(AI$324-AI$325))</f>
        <v/>
      </c>
      <c r="AJ1695" s="35">
        <f>$D1695*($E1695*(AJ$321-AJ$322)+$F1695*(AJ$324-AJ$325))</f>
        <v/>
      </c>
      <c r="AK1695" s="35">
        <f>$D1695*($E1695*(AK$321-AK$322)+$F1695*(AK$324-AK$325))</f>
        <v/>
      </c>
      <c r="AL1695" s="35">
        <f>$D1695*($E1695*(AL$321-AL$322)+$F1695*(AL$324-AL$325))</f>
        <v/>
      </c>
      <c r="AM1695" s="35">
        <f>$D1695*($E1695*(AM$321-AM$322)+$F1695*(AM$324-AM$325))</f>
        <v/>
      </c>
      <c r="AN1695" s="35">
        <f>$D1695*($E1695*(AN$321-AN$322)+$F1695*(AN$324-AN$325))</f>
        <v/>
      </c>
      <c r="AO1695" s="35">
        <f>$D1695*($E1695*(AO$321-AO$322)+$F1695*(AO$324-AO$325))</f>
        <v/>
      </c>
      <c r="AP1695" s="35">
        <f>$D1695*($E1695*(AP$321-AP$322)+$F1695*(AP$324-AP$325))</f>
        <v/>
      </c>
      <c r="AQ1695" s="35">
        <f>$D1695*($E1695*(AQ$321-AQ$322)+$F1695*(AQ$324-AQ$325))</f>
        <v/>
      </c>
      <c r="AR1695" s="35">
        <f>$D1695*($E1695*(AR$321-AR$322)+$F1695*(AR$324-AR$325))</f>
        <v/>
      </c>
      <c r="AS1695" s="35">
        <f>$D1695*($E1695*(AS$321-AS$322)+$F1695*(AS$324-AS$325))</f>
        <v/>
      </c>
      <c r="AT1695" s="35">
        <f>$D1695*($E1695*(AT$321-AT$322)+$F1695*(AT$324-AT$325))</f>
        <v/>
      </c>
      <c r="AU1695" s="35">
        <f>$D1695*($E1695*(AU$321-AU$322)+$F1695*(AU$324-AU$325))</f>
        <v/>
      </c>
      <c r="AV1695" s="35">
        <f>$D1695*($E1695*(AV$321-AV$322)+$F1695*(AV$324-AV$325))</f>
        <v/>
      </c>
      <c r="AW1695" s="35">
        <f>$D1695*($E1695*(AW$321-AW$322)+$F1695*(AW$324-AW$325))</f>
        <v/>
      </c>
      <c r="AX1695" s="35">
        <f>$D1695*($E1695*(AX$321-AX$322)+$F1695*(AX$324-AX$325))</f>
        <v/>
      </c>
      <c r="AY1695" s="35">
        <f>$D1695*($E1695*(AY$321-AY$322)+$F1695*(AY$324-AY$325))</f>
        <v/>
      </c>
      <c r="AZ1695" s="35">
        <f>$D1695*($E1695*(AZ$321-AZ$322)+$F1695*(AZ$324-AZ$325))</f>
        <v/>
      </c>
      <c r="BA1695" s="42">
        <f>XCARBON($D1695,$E1695,(BA$321-BA$322),$F1695,(BA$324-BA$325))</f>
        <v/>
      </c>
    </row>
    <row r="1696" hidden="1" outlineLevel="2">
      <c r="A1696" s="14" t="inlineStr">
        <is>
          <t>xcpd</t>
        </is>
      </c>
      <c r="B1696" s="14" t="inlineStr">
        <is>
          <t>nga</t>
        </is>
      </c>
      <c r="C1696" s="14" t="inlineStr">
        <is>
          <t>foo</t>
        </is>
      </c>
      <c r="D1696" s="35">
        <f>INDEX(Inputs!$W$5:$W$132,MATCH($B1696&amp;"|"&amp;$C1696,Inputs!$A$5:$A$132,0))</f>
        <v/>
      </c>
      <c r="E1696" s="35">
        <f>INDEX(Inputs!$Z$5:$Z$132,MATCH($B1696&amp;"|"&amp;$C1696,Inputs!$A$5:$A$132,0))</f>
        <v/>
      </c>
      <c r="F1696" s="35">
        <f>INDEX(Inputs!$AA$5:$AA$132,MATCH($B1696&amp;"|"&amp;$C1696,Inputs!$A$5:$A$132,0))</f>
        <v/>
      </c>
      <c r="G1696" s="39" t="n"/>
      <c r="H1696" s="14">
        <f>INDEX(VarLab,MATCH($A1696,VarKey,0))&amp;INDEX(MemLab,MATCH($C1696&amp;"|"&amp;$B1696,MemKey,0))</f>
        <v/>
      </c>
      <c r="I1696" s="14">
        <f>INDEX(VarUnit,MATCH($A1696,VarKey,0))</f>
        <v/>
      </c>
      <c r="J1696" s="14">
        <f>INDEX(VarSrc,MATCH($A1696,VarKey,0))</f>
        <v/>
      </c>
      <c r="K1696" s="11">
        <f>CodePrefix&amp;$A1696&amp;IF($C1696="","","."&amp;$C1696&amp;"."&amp;$B1696)&amp;INDEX(VarEnd,MATCH($A1696,VarKey,0))&amp;K$5</f>
        <v/>
      </c>
      <c r="L1696" s="40">
        <f>$D1696*($E1696*(L$321-L$322)+$F1696*(L$324-L$325))</f>
        <v/>
      </c>
      <c r="M1696" s="35">
        <f>$D1696*($E1696*(M$321-M$322)+$F1696*(M$324-M$325))</f>
        <v/>
      </c>
      <c r="N1696" s="35">
        <f>$D1696*($E1696*(N$321-N$322)+$F1696*(N$324-N$325))</f>
        <v/>
      </c>
      <c r="O1696" s="35">
        <f>$D1696*($E1696*(O$321-O$322)+$F1696*(O$324-O$325))</f>
        <v/>
      </c>
      <c r="P1696" s="35">
        <f>$D1696*($E1696*(P$321-P$322)+$F1696*(P$324-P$325))</f>
        <v/>
      </c>
      <c r="Q1696" s="35">
        <f>$D1696*($E1696*(Q$321-Q$322)+$F1696*(Q$324-Q$325))</f>
        <v/>
      </c>
      <c r="R1696" s="35">
        <f>$D1696*($E1696*(R$321-R$322)+$F1696*(R$324-R$325))</f>
        <v/>
      </c>
      <c r="S1696" s="35">
        <f>$D1696*($E1696*(S$321-S$322)+$F1696*(S$324-S$325))</f>
        <v/>
      </c>
      <c r="T1696" s="35">
        <f>$D1696*($E1696*(T$321-T$322)+$F1696*(T$324-T$325))</f>
        <v/>
      </c>
      <c r="U1696" s="35">
        <f>$D1696*($E1696*(U$321-U$322)+$F1696*(U$324-U$325))</f>
        <v/>
      </c>
      <c r="V1696" s="35">
        <f>$D1696*($E1696*(V$321-V$322)+$F1696*(V$324-V$325))</f>
        <v/>
      </c>
      <c r="W1696" s="35">
        <f>$D1696*($E1696*(W$321-W$322)+$F1696*(W$324-W$325))</f>
        <v/>
      </c>
      <c r="X1696" s="35">
        <f>$D1696*($E1696*(X$321-X$322)+$F1696*(X$324-X$325))</f>
        <v/>
      </c>
      <c r="Y1696" s="35">
        <f>$D1696*($E1696*(Y$321-Y$322)+$F1696*(Y$324-Y$325))</f>
        <v/>
      </c>
      <c r="Z1696" s="35">
        <f>$D1696*($E1696*(Z$321-Z$322)+$F1696*(Z$324-Z$325))</f>
        <v/>
      </c>
      <c r="AA1696" s="35">
        <f>$D1696*($E1696*(AA$321-AA$322)+$F1696*(AA$324-AA$325))</f>
        <v/>
      </c>
      <c r="AB1696" s="35">
        <f>$D1696*($E1696*(AB$321-AB$322)+$F1696*(AB$324-AB$325))</f>
        <v/>
      </c>
      <c r="AC1696" s="35">
        <f>$D1696*($E1696*(AC$321-AC$322)+$F1696*(AC$324-AC$325))</f>
        <v/>
      </c>
      <c r="AD1696" s="35">
        <f>$D1696*($E1696*(AD$321-AD$322)+$F1696*(AD$324-AD$325))</f>
        <v/>
      </c>
      <c r="AE1696" s="42">
        <f>XCARBON($D1696,$E1696,(AE$321-AE$322),$F1696,(AE$324-AE$325))</f>
        <v/>
      </c>
      <c r="AG1696" s="11">
        <f>CodePrefix&amp;$A1696&amp;IF($C1696="","","."&amp;$C1696&amp;"."&amp;$B1696)&amp;INDEX(VarEnd,MATCH($A1696,VarKey,0))&amp;AG$5</f>
        <v/>
      </c>
      <c r="AH1696" s="40">
        <f>$D1696*($E1696*(AH$321-AH$322)+$F1696*(AH$324-AH$325))</f>
        <v/>
      </c>
      <c r="AI1696" s="35">
        <f>$D1696*($E1696*(AI$321-AI$322)+$F1696*(AI$324-AI$325))</f>
        <v/>
      </c>
      <c r="AJ1696" s="35">
        <f>$D1696*($E1696*(AJ$321-AJ$322)+$F1696*(AJ$324-AJ$325))</f>
        <v/>
      </c>
      <c r="AK1696" s="35">
        <f>$D1696*($E1696*(AK$321-AK$322)+$F1696*(AK$324-AK$325))</f>
        <v/>
      </c>
      <c r="AL1696" s="35">
        <f>$D1696*($E1696*(AL$321-AL$322)+$F1696*(AL$324-AL$325))</f>
        <v/>
      </c>
      <c r="AM1696" s="35">
        <f>$D1696*($E1696*(AM$321-AM$322)+$F1696*(AM$324-AM$325))</f>
        <v/>
      </c>
      <c r="AN1696" s="35">
        <f>$D1696*($E1696*(AN$321-AN$322)+$F1696*(AN$324-AN$325))</f>
        <v/>
      </c>
      <c r="AO1696" s="35">
        <f>$D1696*($E1696*(AO$321-AO$322)+$F1696*(AO$324-AO$325))</f>
        <v/>
      </c>
      <c r="AP1696" s="35">
        <f>$D1696*($E1696*(AP$321-AP$322)+$F1696*(AP$324-AP$325))</f>
        <v/>
      </c>
      <c r="AQ1696" s="35">
        <f>$D1696*($E1696*(AQ$321-AQ$322)+$F1696*(AQ$324-AQ$325))</f>
        <v/>
      </c>
      <c r="AR1696" s="35">
        <f>$D1696*($E1696*(AR$321-AR$322)+$F1696*(AR$324-AR$325))</f>
        <v/>
      </c>
      <c r="AS1696" s="35">
        <f>$D1696*($E1696*(AS$321-AS$322)+$F1696*(AS$324-AS$325))</f>
        <v/>
      </c>
      <c r="AT1696" s="35">
        <f>$D1696*($E1696*(AT$321-AT$322)+$F1696*(AT$324-AT$325))</f>
        <v/>
      </c>
      <c r="AU1696" s="35">
        <f>$D1696*($E1696*(AU$321-AU$322)+$F1696*(AU$324-AU$325))</f>
        <v/>
      </c>
      <c r="AV1696" s="35">
        <f>$D1696*($E1696*(AV$321-AV$322)+$F1696*(AV$324-AV$325))</f>
        <v/>
      </c>
      <c r="AW1696" s="35">
        <f>$D1696*($E1696*(AW$321-AW$322)+$F1696*(AW$324-AW$325))</f>
        <v/>
      </c>
      <c r="AX1696" s="35">
        <f>$D1696*($E1696*(AX$321-AX$322)+$F1696*(AX$324-AX$325))</f>
        <v/>
      </c>
      <c r="AY1696" s="35">
        <f>$D1696*($E1696*(AY$321-AY$322)+$F1696*(AY$324-AY$325))</f>
        <v/>
      </c>
      <c r="AZ1696" s="35">
        <f>$D1696*($E1696*(AZ$321-AZ$322)+$F1696*(AZ$324-AZ$325))</f>
        <v/>
      </c>
      <c r="BA1696" s="42">
        <f>XCARBON($D1696,$E1696,(BA$321-BA$322),$F1696,(BA$324-BA$325))</f>
        <v/>
      </c>
    </row>
    <row r="1697" hidden="1" outlineLevel="2">
      <c r="A1697" s="14" t="inlineStr">
        <is>
          <t>xcpd</t>
        </is>
      </c>
      <c r="B1697" s="14" t="inlineStr">
        <is>
          <t>gso</t>
        </is>
      </c>
      <c r="C1697" s="14" t="inlineStr">
        <is>
          <t>foo</t>
        </is>
      </c>
      <c r="D1697" s="35">
        <f>INDEX(Inputs!$W$5:$W$132,MATCH($B1697&amp;"|"&amp;$C1697,Inputs!$A$5:$A$132,0))</f>
        <v/>
      </c>
      <c r="E1697" s="35">
        <f>INDEX(Inputs!$Z$5:$Z$132,MATCH($B1697&amp;"|"&amp;$C1697,Inputs!$A$5:$A$132,0))</f>
        <v/>
      </c>
      <c r="F1697" s="35">
        <f>INDEX(Inputs!$AA$5:$AA$132,MATCH($B1697&amp;"|"&amp;$C1697,Inputs!$A$5:$A$132,0))</f>
        <v/>
      </c>
      <c r="G1697" s="39" t="n"/>
      <c r="H1697" s="14">
        <f>INDEX(VarLab,MATCH($A1697,VarKey,0))&amp;INDEX(MemLab,MATCH($C1697&amp;"|"&amp;$B1697,MemKey,0))</f>
        <v/>
      </c>
      <c r="I1697" s="14">
        <f>INDEX(VarUnit,MATCH($A1697,VarKey,0))</f>
        <v/>
      </c>
      <c r="J1697" s="14">
        <f>INDEX(VarSrc,MATCH($A1697,VarKey,0))</f>
        <v/>
      </c>
      <c r="K1697" s="11">
        <f>CodePrefix&amp;$A1697&amp;IF($C1697="","","."&amp;$C1697&amp;"."&amp;$B1697)&amp;INDEX(VarEnd,MATCH($A1697,VarKey,0))&amp;K$5</f>
        <v/>
      </c>
      <c r="L1697" s="40">
        <f>$D1697*($E1697*(L$321-L$322)+$F1697*(L$324-L$325))</f>
        <v/>
      </c>
      <c r="M1697" s="35">
        <f>$D1697*($E1697*(M$321-M$322)+$F1697*(M$324-M$325))</f>
        <v/>
      </c>
      <c r="N1697" s="35">
        <f>$D1697*($E1697*(N$321-N$322)+$F1697*(N$324-N$325))</f>
        <v/>
      </c>
      <c r="O1697" s="35">
        <f>$D1697*($E1697*(O$321-O$322)+$F1697*(O$324-O$325))</f>
        <v/>
      </c>
      <c r="P1697" s="35">
        <f>$D1697*($E1697*(P$321-P$322)+$F1697*(P$324-P$325))</f>
        <v/>
      </c>
      <c r="Q1697" s="35">
        <f>$D1697*($E1697*(Q$321-Q$322)+$F1697*(Q$324-Q$325))</f>
        <v/>
      </c>
      <c r="R1697" s="35">
        <f>$D1697*($E1697*(R$321-R$322)+$F1697*(R$324-R$325))</f>
        <v/>
      </c>
      <c r="S1697" s="35">
        <f>$D1697*($E1697*(S$321-S$322)+$F1697*(S$324-S$325))</f>
        <v/>
      </c>
      <c r="T1697" s="35">
        <f>$D1697*($E1697*(T$321-T$322)+$F1697*(T$324-T$325))</f>
        <v/>
      </c>
      <c r="U1697" s="35">
        <f>$D1697*($E1697*(U$321-U$322)+$F1697*(U$324-U$325))</f>
        <v/>
      </c>
      <c r="V1697" s="35">
        <f>$D1697*($E1697*(V$321-V$322)+$F1697*(V$324-V$325))</f>
        <v/>
      </c>
      <c r="W1697" s="35">
        <f>$D1697*($E1697*(W$321-W$322)+$F1697*(W$324-W$325))</f>
        <v/>
      </c>
      <c r="X1697" s="35">
        <f>$D1697*($E1697*(X$321-X$322)+$F1697*(X$324-X$325))</f>
        <v/>
      </c>
      <c r="Y1697" s="35">
        <f>$D1697*($E1697*(Y$321-Y$322)+$F1697*(Y$324-Y$325))</f>
        <v/>
      </c>
      <c r="Z1697" s="35">
        <f>$D1697*($E1697*(Z$321-Z$322)+$F1697*(Z$324-Z$325))</f>
        <v/>
      </c>
      <c r="AA1697" s="35">
        <f>$D1697*($E1697*(AA$321-AA$322)+$F1697*(AA$324-AA$325))</f>
        <v/>
      </c>
      <c r="AB1697" s="35">
        <f>$D1697*($E1697*(AB$321-AB$322)+$F1697*(AB$324-AB$325))</f>
        <v/>
      </c>
      <c r="AC1697" s="35">
        <f>$D1697*($E1697*(AC$321-AC$322)+$F1697*(AC$324-AC$325))</f>
        <v/>
      </c>
      <c r="AD1697" s="35">
        <f>$D1697*($E1697*(AD$321-AD$322)+$F1697*(AD$324-AD$325))</f>
        <v/>
      </c>
      <c r="AE1697" s="42">
        <f>XCARBON($D1697,$E1697,(AE$321-AE$322),$F1697,(AE$324-AE$325))</f>
        <v/>
      </c>
      <c r="AG1697" s="11">
        <f>CodePrefix&amp;$A1697&amp;IF($C1697="","","."&amp;$C1697&amp;"."&amp;$B1697)&amp;INDEX(VarEnd,MATCH($A1697,VarKey,0))&amp;AG$5</f>
        <v/>
      </c>
      <c r="AH1697" s="40">
        <f>$D1697*($E1697*(AH$321-AH$322)+$F1697*(AH$324-AH$325))</f>
        <v/>
      </c>
      <c r="AI1697" s="35">
        <f>$D1697*($E1697*(AI$321-AI$322)+$F1697*(AI$324-AI$325))</f>
        <v/>
      </c>
      <c r="AJ1697" s="35">
        <f>$D1697*($E1697*(AJ$321-AJ$322)+$F1697*(AJ$324-AJ$325))</f>
        <v/>
      </c>
      <c r="AK1697" s="35">
        <f>$D1697*($E1697*(AK$321-AK$322)+$F1697*(AK$324-AK$325))</f>
        <v/>
      </c>
      <c r="AL1697" s="35">
        <f>$D1697*($E1697*(AL$321-AL$322)+$F1697*(AL$324-AL$325))</f>
        <v/>
      </c>
      <c r="AM1697" s="35">
        <f>$D1697*($E1697*(AM$321-AM$322)+$F1697*(AM$324-AM$325))</f>
        <v/>
      </c>
      <c r="AN1697" s="35">
        <f>$D1697*($E1697*(AN$321-AN$322)+$F1697*(AN$324-AN$325))</f>
        <v/>
      </c>
      <c r="AO1697" s="35">
        <f>$D1697*($E1697*(AO$321-AO$322)+$F1697*(AO$324-AO$325))</f>
        <v/>
      </c>
      <c r="AP1697" s="35">
        <f>$D1697*($E1697*(AP$321-AP$322)+$F1697*(AP$324-AP$325))</f>
        <v/>
      </c>
      <c r="AQ1697" s="35">
        <f>$D1697*($E1697*(AQ$321-AQ$322)+$F1697*(AQ$324-AQ$325))</f>
        <v/>
      </c>
      <c r="AR1697" s="35">
        <f>$D1697*($E1697*(AR$321-AR$322)+$F1697*(AR$324-AR$325))</f>
        <v/>
      </c>
      <c r="AS1697" s="35">
        <f>$D1697*($E1697*(AS$321-AS$322)+$F1697*(AS$324-AS$325))</f>
        <v/>
      </c>
      <c r="AT1697" s="35">
        <f>$D1697*($E1697*(AT$321-AT$322)+$F1697*(AT$324-AT$325))</f>
        <v/>
      </c>
      <c r="AU1697" s="35">
        <f>$D1697*($E1697*(AU$321-AU$322)+$F1697*(AU$324-AU$325))</f>
        <v/>
      </c>
      <c r="AV1697" s="35">
        <f>$D1697*($E1697*(AV$321-AV$322)+$F1697*(AV$324-AV$325))</f>
        <v/>
      </c>
      <c r="AW1697" s="35">
        <f>$D1697*($E1697*(AW$321-AW$322)+$F1697*(AW$324-AW$325))</f>
        <v/>
      </c>
      <c r="AX1697" s="35">
        <f>$D1697*($E1697*(AX$321-AX$322)+$F1697*(AX$324-AX$325))</f>
        <v/>
      </c>
      <c r="AY1697" s="35">
        <f>$D1697*($E1697*(AY$321-AY$322)+$F1697*(AY$324-AY$325))</f>
        <v/>
      </c>
      <c r="AZ1697" s="35">
        <f>$D1697*($E1697*(AZ$321-AZ$322)+$F1697*(AZ$324-AZ$325))</f>
        <v/>
      </c>
      <c r="BA1697" s="42">
        <f>XCARBON($D1697,$E1697,(BA$321-BA$322),$F1697,(BA$324-BA$325))</f>
        <v/>
      </c>
    </row>
    <row r="1698" hidden="1" outlineLevel="2">
      <c r="A1698" s="14" t="inlineStr">
        <is>
          <t>xcpd</t>
        </is>
      </c>
      <c r="B1698" s="14" t="inlineStr">
        <is>
          <t>die</t>
        </is>
      </c>
      <c r="C1698" s="14" t="inlineStr">
        <is>
          <t>foo</t>
        </is>
      </c>
      <c r="D1698" s="35">
        <f>INDEX(Inputs!$W$5:$W$132,MATCH($B1698&amp;"|"&amp;$C1698,Inputs!$A$5:$A$132,0))</f>
        <v/>
      </c>
      <c r="E1698" s="35">
        <f>INDEX(Inputs!$Z$5:$Z$132,MATCH($B1698&amp;"|"&amp;$C1698,Inputs!$A$5:$A$132,0))</f>
        <v/>
      </c>
      <c r="F1698" s="35">
        <f>INDEX(Inputs!$AA$5:$AA$132,MATCH($B1698&amp;"|"&amp;$C1698,Inputs!$A$5:$A$132,0))</f>
        <v/>
      </c>
      <c r="G1698" s="39" t="n"/>
      <c r="H1698" s="14">
        <f>INDEX(VarLab,MATCH($A1698,VarKey,0))&amp;INDEX(MemLab,MATCH($C1698&amp;"|"&amp;$B1698,MemKey,0))</f>
        <v/>
      </c>
      <c r="I1698" s="14">
        <f>INDEX(VarUnit,MATCH($A1698,VarKey,0))</f>
        <v/>
      </c>
      <c r="J1698" s="14">
        <f>INDEX(VarSrc,MATCH($A1698,VarKey,0))</f>
        <v/>
      </c>
      <c r="K1698" s="11">
        <f>CodePrefix&amp;$A1698&amp;IF($C1698="","","."&amp;$C1698&amp;"."&amp;$B1698)&amp;INDEX(VarEnd,MATCH($A1698,VarKey,0))&amp;K$5</f>
        <v/>
      </c>
      <c r="L1698" s="40">
        <f>$D1698*($E1698*(L$321-L$322)+$F1698*(L$324-L$325))</f>
        <v/>
      </c>
      <c r="M1698" s="35">
        <f>$D1698*($E1698*(M$321-M$322)+$F1698*(M$324-M$325))</f>
        <v/>
      </c>
      <c r="N1698" s="35">
        <f>$D1698*($E1698*(N$321-N$322)+$F1698*(N$324-N$325))</f>
        <v/>
      </c>
      <c r="O1698" s="35">
        <f>$D1698*($E1698*(O$321-O$322)+$F1698*(O$324-O$325))</f>
        <v/>
      </c>
      <c r="P1698" s="35">
        <f>$D1698*($E1698*(P$321-P$322)+$F1698*(P$324-P$325))</f>
        <v/>
      </c>
      <c r="Q1698" s="35">
        <f>$D1698*($E1698*(Q$321-Q$322)+$F1698*(Q$324-Q$325))</f>
        <v/>
      </c>
      <c r="R1698" s="35">
        <f>$D1698*($E1698*(R$321-R$322)+$F1698*(R$324-R$325))</f>
        <v/>
      </c>
      <c r="S1698" s="35">
        <f>$D1698*($E1698*(S$321-S$322)+$F1698*(S$324-S$325))</f>
        <v/>
      </c>
      <c r="T1698" s="35">
        <f>$D1698*($E1698*(T$321-T$322)+$F1698*(T$324-T$325))</f>
        <v/>
      </c>
      <c r="U1698" s="35">
        <f>$D1698*($E1698*(U$321-U$322)+$F1698*(U$324-U$325))</f>
        <v/>
      </c>
      <c r="V1698" s="35">
        <f>$D1698*($E1698*(V$321-V$322)+$F1698*(V$324-V$325))</f>
        <v/>
      </c>
      <c r="W1698" s="35">
        <f>$D1698*($E1698*(W$321-W$322)+$F1698*(W$324-W$325))</f>
        <v/>
      </c>
      <c r="X1698" s="35">
        <f>$D1698*($E1698*(X$321-X$322)+$F1698*(X$324-X$325))</f>
        <v/>
      </c>
      <c r="Y1698" s="35">
        <f>$D1698*($E1698*(Y$321-Y$322)+$F1698*(Y$324-Y$325))</f>
        <v/>
      </c>
      <c r="Z1698" s="35">
        <f>$D1698*($E1698*(Z$321-Z$322)+$F1698*(Z$324-Z$325))</f>
        <v/>
      </c>
      <c r="AA1698" s="35">
        <f>$D1698*($E1698*(AA$321-AA$322)+$F1698*(AA$324-AA$325))</f>
        <v/>
      </c>
      <c r="AB1698" s="35">
        <f>$D1698*($E1698*(AB$321-AB$322)+$F1698*(AB$324-AB$325))</f>
        <v/>
      </c>
      <c r="AC1698" s="35">
        <f>$D1698*($E1698*(AC$321-AC$322)+$F1698*(AC$324-AC$325))</f>
        <v/>
      </c>
      <c r="AD1698" s="35">
        <f>$D1698*($E1698*(AD$321-AD$322)+$F1698*(AD$324-AD$325))</f>
        <v/>
      </c>
      <c r="AE1698" s="42">
        <f>XCARBON($D1698,$E1698,(AE$321-AE$322),$F1698,(AE$324-AE$325))</f>
        <v/>
      </c>
      <c r="AG1698" s="11">
        <f>CodePrefix&amp;$A1698&amp;IF($C1698="","","."&amp;$C1698&amp;"."&amp;$B1698)&amp;INDEX(VarEnd,MATCH($A1698,VarKey,0))&amp;AG$5</f>
        <v/>
      </c>
      <c r="AH1698" s="40">
        <f>$D1698*($E1698*(AH$321-AH$322)+$F1698*(AH$324-AH$325))</f>
        <v/>
      </c>
      <c r="AI1698" s="35">
        <f>$D1698*($E1698*(AI$321-AI$322)+$F1698*(AI$324-AI$325))</f>
        <v/>
      </c>
      <c r="AJ1698" s="35">
        <f>$D1698*($E1698*(AJ$321-AJ$322)+$F1698*(AJ$324-AJ$325))</f>
        <v/>
      </c>
      <c r="AK1698" s="35">
        <f>$D1698*($E1698*(AK$321-AK$322)+$F1698*(AK$324-AK$325))</f>
        <v/>
      </c>
      <c r="AL1698" s="35">
        <f>$D1698*($E1698*(AL$321-AL$322)+$F1698*(AL$324-AL$325))</f>
        <v/>
      </c>
      <c r="AM1698" s="35">
        <f>$D1698*($E1698*(AM$321-AM$322)+$F1698*(AM$324-AM$325))</f>
        <v/>
      </c>
      <c r="AN1698" s="35">
        <f>$D1698*($E1698*(AN$321-AN$322)+$F1698*(AN$324-AN$325))</f>
        <v/>
      </c>
      <c r="AO1698" s="35">
        <f>$D1698*($E1698*(AO$321-AO$322)+$F1698*(AO$324-AO$325))</f>
        <v/>
      </c>
      <c r="AP1698" s="35">
        <f>$D1698*($E1698*(AP$321-AP$322)+$F1698*(AP$324-AP$325))</f>
        <v/>
      </c>
      <c r="AQ1698" s="35">
        <f>$D1698*($E1698*(AQ$321-AQ$322)+$F1698*(AQ$324-AQ$325))</f>
        <v/>
      </c>
      <c r="AR1698" s="35">
        <f>$D1698*($E1698*(AR$321-AR$322)+$F1698*(AR$324-AR$325))</f>
        <v/>
      </c>
      <c r="AS1698" s="35">
        <f>$D1698*($E1698*(AS$321-AS$322)+$F1698*(AS$324-AS$325))</f>
        <v/>
      </c>
      <c r="AT1698" s="35">
        <f>$D1698*($E1698*(AT$321-AT$322)+$F1698*(AT$324-AT$325))</f>
        <v/>
      </c>
      <c r="AU1698" s="35">
        <f>$D1698*($E1698*(AU$321-AU$322)+$F1698*(AU$324-AU$325))</f>
        <v/>
      </c>
      <c r="AV1698" s="35">
        <f>$D1698*($E1698*(AV$321-AV$322)+$F1698*(AV$324-AV$325))</f>
        <v/>
      </c>
      <c r="AW1698" s="35">
        <f>$D1698*($E1698*(AW$321-AW$322)+$F1698*(AW$324-AW$325))</f>
        <v/>
      </c>
      <c r="AX1698" s="35">
        <f>$D1698*($E1698*(AX$321-AX$322)+$F1698*(AX$324-AX$325))</f>
        <v/>
      </c>
      <c r="AY1698" s="35">
        <f>$D1698*($E1698*(AY$321-AY$322)+$F1698*(AY$324-AY$325))</f>
        <v/>
      </c>
      <c r="AZ1698" s="35">
        <f>$D1698*($E1698*(AZ$321-AZ$322)+$F1698*(AZ$324-AZ$325))</f>
        <v/>
      </c>
      <c r="BA1698" s="42">
        <f>XCARBON($D1698,$E1698,(BA$321-BA$322),$F1698,(BA$324-BA$325))</f>
        <v/>
      </c>
    </row>
    <row r="1699" hidden="1" outlineLevel="2">
      <c r="A1699" s="14" t="inlineStr">
        <is>
          <t>xcpd</t>
        </is>
      </c>
      <c r="B1699" s="14" t="inlineStr">
        <is>
          <t>lpg</t>
        </is>
      </c>
      <c r="C1699" s="14" t="inlineStr">
        <is>
          <t>foo</t>
        </is>
      </c>
      <c r="D1699" s="35">
        <f>INDEX(Inputs!$W$5:$W$132,MATCH($B1699&amp;"|"&amp;$C1699,Inputs!$A$5:$A$132,0))</f>
        <v/>
      </c>
      <c r="E1699" s="35">
        <f>INDEX(Inputs!$Z$5:$Z$132,MATCH($B1699&amp;"|"&amp;$C1699,Inputs!$A$5:$A$132,0))</f>
        <v/>
      </c>
      <c r="F1699" s="35">
        <f>INDEX(Inputs!$AA$5:$AA$132,MATCH($B1699&amp;"|"&amp;$C1699,Inputs!$A$5:$A$132,0))</f>
        <v/>
      </c>
      <c r="G1699" s="39" t="n"/>
      <c r="H1699" s="14">
        <f>INDEX(VarLab,MATCH($A1699,VarKey,0))&amp;INDEX(MemLab,MATCH($C1699&amp;"|"&amp;$B1699,MemKey,0))</f>
        <v/>
      </c>
      <c r="I1699" s="14">
        <f>INDEX(VarUnit,MATCH($A1699,VarKey,0))</f>
        <v/>
      </c>
      <c r="J1699" s="14">
        <f>INDEX(VarSrc,MATCH($A1699,VarKey,0))</f>
        <v/>
      </c>
      <c r="K1699" s="11">
        <f>CodePrefix&amp;$A1699&amp;IF($C1699="","","."&amp;$C1699&amp;"."&amp;$B1699)&amp;INDEX(VarEnd,MATCH($A1699,VarKey,0))&amp;K$5</f>
        <v/>
      </c>
      <c r="L1699" s="40">
        <f>$D1699*($E1699*(L$321-L$322)+$F1699*(L$324-L$325))</f>
        <v/>
      </c>
      <c r="M1699" s="35">
        <f>$D1699*($E1699*(M$321-M$322)+$F1699*(M$324-M$325))</f>
        <v/>
      </c>
      <c r="N1699" s="35">
        <f>$D1699*($E1699*(N$321-N$322)+$F1699*(N$324-N$325))</f>
        <v/>
      </c>
      <c r="O1699" s="35">
        <f>$D1699*($E1699*(O$321-O$322)+$F1699*(O$324-O$325))</f>
        <v/>
      </c>
      <c r="P1699" s="35">
        <f>$D1699*($E1699*(P$321-P$322)+$F1699*(P$324-P$325))</f>
        <v/>
      </c>
      <c r="Q1699" s="35">
        <f>$D1699*($E1699*(Q$321-Q$322)+$F1699*(Q$324-Q$325))</f>
        <v/>
      </c>
      <c r="R1699" s="35">
        <f>$D1699*($E1699*(R$321-R$322)+$F1699*(R$324-R$325))</f>
        <v/>
      </c>
      <c r="S1699" s="35">
        <f>$D1699*($E1699*(S$321-S$322)+$F1699*(S$324-S$325))</f>
        <v/>
      </c>
      <c r="T1699" s="35">
        <f>$D1699*($E1699*(T$321-T$322)+$F1699*(T$324-T$325))</f>
        <v/>
      </c>
      <c r="U1699" s="35">
        <f>$D1699*($E1699*(U$321-U$322)+$F1699*(U$324-U$325))</f>
        <v/>
      </c>
      <c r="V1699" s="35">
        <f>$D1699*($E1699*(V$321-V$322)+$F1699*(V$324-V$325))</f>
        <v/>
      </c>
      <c r="W1699" s="35">
        <f>$D1699*($E1699*(W$321-W$322)+$F1699*(W$324-W$325))</f>
        <v/>
      </c>
      <c r="X1699" s="35">
        <f>$D1699*($E1699*(X$321-X$322)+$F1699*(X$324-X$325))</f>
        <v/>
      </c>
      <c r="Y1699" s="35">
        <f>$D1699*($E1699*(Y$321-Y$322)+$F1699*(Y$324-Y$325))</f>
        <v/>
      </c>
      <c r="Z1699" s="35">
        <f>$D1699*($E1699*(Z$321-Z$322)+$F1699*(Z$324-Z$325))</f>
        <v/>
      </c>
      <c r="AA1699" s="35">
        <f>$D1699*($E1699*(AA$321-AA$322)+$F1699*(AA$324-AA$325))</f>
        <v/>
      </c>
      <c r="AB1699" s="35">
        <f>$D1699*($E1699*(AB$321-AB$322)+$F1699*(AB$324-AB$325))</f>
        <v/>
      </c>
      <c r="AC1699" s="35">
        <f>$D1699*($E1699*(AC$321-AC$322)+$F1699*(AC$324-AC$325))</f>
        <v/>
      </c>
      <c r="AD1699" s="35">
        <f>$D1699*($E1699*(AD$321-AD$322)+$F1699*(AD$324-AD$325))</f>
        <v/>
      </c>
      <c r="AE1699" s="42">
        <f>XCARBON($D1699,$E1699,(AE$321-AE$322),$F1699,(AE$324-AE$325))</f>
        <v/>
      </c>
      <c r="AG1699" s="11">
        <f>CodePrefix&amp;$A1699&amp;IF($C1699="","","."&amp;$C1699&amp;"."&amp;$B1699)&amp;INDEX(VarEnd,MATCH($A1699,VarKey,0))&amp;AG$5</f>
        <v/>
      </c>
      <c r="AH1699" s="40">
        <f>$D1699*($E1699*(AH$321-AH$322)+$F1699*(AH$324-AH$325))</f>
        <v/>
      </c>
      <c r="AI1699" s="35">
        <f>$D1699*($E1699*(AI$321-AI$322)+$F1699*(AI$324-AI$325))</f>
        <v/>
      </c>
      <c r="AJ1699" s="35">
        <f>$D1699*($E1699*(AJ$321-AJ$322)+$F1699*(AJ$324-AJ$325))</f>
        <v/>
      </c>
      <c r="AK1699" s="35">
        <f>$D1699*($E1699*(AK$321-AK$322)+$F1699*(AK$324-AK$325))</f>
        <v/>
      </c>
      <c r="AL1699" s="35">
        <f>$D1699*($E1699*(AL$321-AL$322)+$F1699*(AL$324-AL$325))</f>
        <v/>
      </c>
      <c r="AM1699" s="35">
        <f>$D1699*($E1699*(AM$321-AM$322)+$F1699*(AM$324-AM$325))</f>
        <v/>
      </c>
      <c r="AN1699" s="35">
        <f>$D1699*($E1699*(AN$321-AN$322)+$F1699*(AN$324-AN$325))</f>
        <v/>
      </c>
      <c r="AO1699" s="35">
        <f>$D1699*($E1699*(AO$321-AO$322)+$F1699*(AO$324-AO$325))</f>
        <v/>
      </c>
      <c r="AP1699" s="35">
        <f>$D1699*($E1699*(AP$321-AP$322)+$F1699*(AP$324-AP$325))</f>
        <v/>
      </c>
      <c r="AQ1699" s="35">
        <f>$D1699*($E1699*(AQ$321-AQ$322)+$F1699*(AQ$324-AQ$325))</f>
        <v/>
      </c>
      <c r="AR1699" s="35">
        <f>$D1699*($E1699*(AR$321-AR$322)+$F1699*(AR$324-AR$325))</f>
        <v/>
      </c>
      <c r="AS1699" s="35">
        <f>$D1699*($E1699*(AS$321-AS$322)+$F1699*(AS$324-AS$325))</f>
        <v/>
      </c>
      <c r="AT1699" s="35">
        <f>$D1699*($E1699*(AT$321-AT$322)+$F1699*(AT$324-AT$325))</f>
        <v/>
      </c>
      <c r="AU1699" s="35">
        <f>$D1699*($E1699*(AU$321-AU$322)+$F1699*(AU$324-AU$325))</f>
        <v/>
      </c>
      <c r="AV1699" s="35">
        <f>$D1699*($E1699*(AV$321-AV$322)+$F1699*(AV$324-AV$325))</f>
        <v/>
      </c>
      <c r="AW1699" s="35">
        <f>$D1699*($E1699*(AW$321-AW$322)+$F1699*(AW$324-AW$325))</f>
        <v/>
      </c>
      <c r="AX1699" s="35">
        <f>$D1699*($E1699*(AX$321-AX$322)+$F1699*(AX$324-AX$325))</f>
        <v/>
      </c>
      <c r="AY1699" s="35">
        <f>$D1699*($E1699*(AY$321-AY$322)+$F1699*(AY$324-AY$325))</f>
        <v/>
      </c>
      <c r="AZ1699" s="35">
        <f>$D1699*($E1699*(AZ$321-AZ$322)+$F1699*(AZ$324-AZ$325))</f>
        <v/>
      </c>
      <c r="BA1699" s="42">
        <f>XCARBON($D1699,$E1699,(BA$321-BA$322),$F1699,(BA$324-BA$325))</f>
        <v/>
      </c>
    </row>
    <row r="1700" hidden="1" outlineLevel="2">
      <c r="A1700" s="14" t="inlineStr">
        <is>
          <t>xcpd</t>
        </is>
      </c>
      <c r="B1700" s="14" t="inlineStr">
        <is>
          <t>ker</t>
        </is>
      </c>
      <c r="C1700" s="14" t="inlineStr">
        <is>
          <t>foo</t>
        </is>
      </c>
      <c r="D1700" s="35">
        <f>INDEX(Inputs!$W$5:$W$132,MATCH($B1700&amp;"|"&amp;$C1700,Inputs!$A$5:$A$132,0))</f>
        <v/>
      </c>
      <c r="E1700" s="35">
        <f>INDEX(Inputs!$Z$5:$Z$132,MATCH($B1700&amp;"|"&amp;$C1700,Inputs!$A$5:$A$132,0))</f>
        <v/>
      </c>
      <c r="F1700" s="35">
        <f>INDEX(Inputs!$AA$5:$AA$132,MATCH($B1700&amp;"|"&amp;$C1700,Inputs!$A$5:$A$132,0))</f>
        <v/>
      </c>
      <c r="G1700" s="39" t="n"/>
      <c r="H1700" s="14">
        <f>INDEX(VarLab,MATCH($A1700,VarKey,0))&amp;INDEX(MemLab,MATCH($C1700&amp;"|"&amp;$B1700,MemKey,0))</f>
        <v/>
      </c>
      <c r="I1700" s="14">
        <f>INDEX(VarUnit,MATCH($A1700,VarKey,0))</f>
        <v/>
      </c>
      <c r="J1700" s="14">
        <f>INDEX(VarSrc,MATCH($A1700,VarKey,0))</f>
        <v/>
      </c>
      <c r="K1700" s="11">
        <f>CodePrefix&amp;$A1700&amp;IF($C1700="","","."&amp;$C1700&amp;"."&amp;$B1700)&amp;INDEX(VarEnd,MATCH($A1700,VarKey,0))&amp;K$5</f>
        <v/>
      </c>
      <c r="L1700" s="40">
        <f>$D1700*($E1700*(L$321-L$322)+$F1700*(L$324-L$325))</f>
        <v/>
      </c>
      <c r="M1700" s="35">
        <f>$D1700*($E1700*(M$321-M$322)+$F1700*(M$324-M$325))</f>
        <v/>
      </c>
      <c r="N1700" s="35">
        <f>$D1700*($E1700*(N$321-N$322)+$F1700*(N$324-N$325))</f>
        <v/>
      </c>
      <c r="O1700" s="35">
        <f>$D1700*($E1700*(O$321-O$322)+$F1700*(O$324-O$325))</f>
        <v/>
      </c>
      <c r="P1700" s="35">
        <f>$D1700*($E1700*(P$321-P$322)+$F1700*(P$324-P$325))</f>
        <v/>
      </c>
      <c r="Q1700" s="35">
        <f>$D1700*($E1700*(Q$321-Q$322)+$F1700*(Q$324-Q$325))</f>
        <v/>
      </c>
      <c r="R1700" s="35">
        <f>$D1700*($E1700*(R$321-R$322)+$F1700*(R$324-R$325))</f>
        <v/>
      </c>
      <c r="S1700" s="35">
        <f>$D1700*($E1700*(S$321-S$322)+$F1700*(S$324-S$325))</f>
        <v/>
      </c>
      <c r="T1700" s="35">
        <f>$D1700*($E1700*(T$321-T$322)+$F1700*(T$324-T$325))</f>
        <v/>
      </c>
      <c r="U1700" s="35">
        <f>$D1700*($E1700*(U$321-U$322)+$F1700*(U$324-U$325))</f>
        <v/>
      </c>
      <c r="V1700" s="35">
        <f>$D1700*($E1700*(V$321-V$322)+$F1700*(V$324-V$325))</f>
        <v/>
      </c>
      <c r="W1700" s="35">
        <f>$D1700*($E1700*(W$321-W$322)+$F1700*(W$324-W$325))</f>
        <v/>
      </c>
      <c r="X1700" s="35">
        <f>$D1700*($E1700*(X$321-X$322)+$F1700*(X$324-X$325))</f>
        <v/>
      </c>
      <c r="Y1700" s="35">
        <f>$D1700*($E1700*(Y$321-Y$322)+$F1700*(Y$324-Y$325))</f>
        <v/>
      </c>
      <c r="Z1700" s="35">
        <f>$D1700*($E1700*(Z$321-Z$322)+$F1700*(Z$324-Z$325))</f>
        <v/>
      </c>
      <c r="AA1700" s="35">
        <f>$D1700*($E1700*(AA$321-AA$322)+$F1700*(AA$324-AA$325))</f>
        <v/>
      </c>
      <c r="AB1700" s="35">
        <f>$D1700*($E1700*(AB$321-AB$322)+$F1700*(AB$324-AB$325))</f>
        <v/>
      </c>
      <c r="AC1700" s="35">
        <f>$D1700*($E1700*(AC$321-AC$322)+$F1700*(AC$324-AC$325))</f>
        <v/>
      </c>
      <c r="AD1700" s="35">
        <f>$D1700*($E1700*(AD$321-AD$322)+$F1700*(AD$324-AD$325))</f>
        <v/>
      </c>
      <c r="AE1700" s="42">
        <f>XCARBON($D1700,$E1700,(AE$321-AE$322),$F1700,(AE$324-AE$325))</f>
        <v/>
      </c>
      <c r="AG1700" s="11">
        <f>CodePrefix&amp;$A1700&amp;IF($C1700="","","."&amp;$C1700&amp;"."&amp;$B1700)&amp;INDEX(VarEnd,MATCH($A1700,VarKey,0))&amp;AG$5</f>
        <v/>
      </c>
      <c r="AH1700" s="40">
        <f>$D1700*($E1700*(AH$321-AH$322)+$F1700*(AH$324-AH$325))</f>
        <v/>
      </c>
      <c r="AI1700" s="35">
        <f>$D1700*($E1700*(AI$321-AI$322)+$F1700*(AI$324-AI$325))</f>
        <v/>
      </c>
      <c r="AJ1700" s="35">
        <f>$D1700*($E1700*(AJ$321-AJ$322)+$F1700*(AJ$324-AJ$325))</f>
        <v/>
      </c>
      <c r="AK1700" s="35">
        <f>$D1700*($E1700*(AK$321-AK$322)+$F1700*(AK$324-AK$325))</f>
        <v/>
      </c>
      <c r="AL1700" s="35">
        <f>$D1700*($E1700*(AL$321-AL$322)+$F1700*(AL$324-AL$325))</f>
        <v/>
      </c>
      <c r="AM1700" s="35">
        <f>$D1700*($E1700*(AM$321-AM$322)+$F1700*(AM$324-AM$325))</f>
        <v/>
      </c>
      <c r="AN1700" s="35">
        <f>$D1700*($E1700*(AN$321-AN$322)+$F1700*(AN$324-AN$325))</f>
        <v/>
      </c>
      <c r="AO1700" s="35">
        <f>$D1700*($E1700*(AO$321-AO$322)+$F1700*(AO$324-AO$325))</f>
        <v/>
      </c>
      <c r="AP1700" s="35">
        <f>$D1700*($E1700*(AP$321-AP$322)+$F1700*(AP$324-AP$325))</f>
        <v/>
      </c>
      <c r="AQ1700" s="35">
        <f>$D1700*($E1700*(AQ$321-AQ$322)+$F1700*(AQ$324-AQ$325))</f>
        <v/>
      </c>
      <c r="AR1700" s="35">
        <f>$D1700*($E1700*(AR$321-AR$322)+$F1700*(AR$324-AR$325))</f>
        <v/>
      </c>
      <c r="AS1700" s="35">
        <f>$D1700*($E1700*(AS$321-AS$322)+$F1700*(AS$324-AS$325))</f>
        <v/>
      </c>
      <c r="AT1700" s="35">
        <f>$D1700*($E1700*(AT$321-AT$322)+$F1700*(AT$324-AT$325))</f>
        <v/>
      </c>
      <c r="AU1700" s="35">
        <f>$D1700*($E1700*(AU$321-AU$322)+$F1700*(AU$324-AU$325))</f>
        <v/>
      </c>
      <c r="AV1700" s="35">
        <f>$D1700*($E1700*(AV$321-AV$322)+$F1700*(AV$324-AV$325))</f>
        <v/>
      </c>
      <c r="AW1700" s="35">
        <f>$D1700*($E1700*(AW$321-AW$322)+$F1700*(AW$324-AW$325))</f>
        <v/>
      </c>
      <c r="AX1700" s="35">
        <f>$D1700*($E1700*(AX$321-AX$322)+$F1700*(AX$324-AX$325))</f>
        <v/>
      </c>
      <c r="AY1700" s="35">
        <f>$D1700*($E1700*(AY$321-AY$322)+$F1700*(AY$324-AY$325))</f>
        <v/>
      </c>
      <c r="AZ1700" s="35">
        <f>$D1700*($E1700*(AZ$321-AZ$322)+$F1700*(AZ$324-AZ$325))</f>
        <v/>
      </c>
      <c r="BA1700" s="42">
        <f>XCARBON($D1700,$E1700,(BA$321-BA$322),$F1700,(BA$324-BA$325))</f>
        <v/>
      </c>
    </row>
    <row r="1701" hidden="1" outlineLevel="2">
      <c r="A1701" s="14" t="inlineStr">
        <is>
          <t>xcpd</t>
        </is>
      </c>
      <c r="B1701" s="14" t="inlineStr">
        <is>
          <t>oop</t>
        </is>
      </c>
      <c r="C1701" s="14" t="inlineStr">
        <is>
          <t>foo</t>
        </is>
      </c>
      <c r="D1701" s="35">
        <f>INDEX(Inputs!$W$5:$W$132,MATCH($B1701&amp;"|"&amp;$C1701,Inputs!$A$5:$A$132,0))</f>
        <v/>
      </c>
      <c r="E1701" s="35">
        <f>INDEX(Inputs!$Z$5:$Z$132,MATCH($B1701&amp;"|"&amp;$C1701,Inputs!$A$5:$A$132,0))</f>
        <v/>
      </c>
      <c r="F1701" s="35">
        <f>INDEX(Inputs!$AA$5:$AA$132,MATCH($B1701&amp;"|"&amp;$C1701,Inputs!$A$5:$A$132,0))</f>
        <v/>
      </c>
      <c r="G1701" s="39" t="n"/>
      <c r="H1701" s="14">
        <f>INDEX(VarLab,MATCH($A1701,VarKey,0))&amp;INDEX(MemLab,MATCH($C1701&amp;"|"&amp;$B1701,MemKey,0))</f>
        <v/>
      </c>
      <c r="I1701" s="14">
        <f>INDEX(VarUnit,MATCH($A1701,VarKey,0))</f>
        <v/>
      </c>
      <c r="J1701" s="14">
        <f>INDEX(VarSrc,MATCH($A1701,VarKey,0))</f>
        <v/>
      </c>
      <c r="K1701" s="11">
        <f>CodePrefix&amp;$A1701&amp;IF($C1701="","","."&amp;$C1701&amp;"."&amp;$B1701)&amp;INDEX(VarEnd,MATCH($A1701,VarKey,0))&amp;K$5</f>
        <v/>
      </c>
      <c r="L1701" s="40">
        <f>$D1701*($E1701*(L$321-L$322)+$F1701*(L$324-L$325))</f>
        <v/>
      </c>
      <c r="M1701" s="35">
        <f>$D1701*($E1701*(M$321-M$322)+$F1701*(M$324-M$325))</f>
        <v/>
      </c>
      <c r="N1701" s="35">
        <f>$D1701*($E1701*(N$321-N$322)+$F1701*(N$324-N$325))</f>
        <v/>
      </c>
      <c r="O1701" s="35">
        <f>$D1701*($E1701*(O$321-O$322)+$F1701*(O$324-O$325))</f>
        <v/>
      </c>
      <c r="P1701" s="35">
        <f>$D1701*($E1701*(P$321-P$322)+$F1701*(P$324-P$325))</f>
        <v/>
      </c>
      <c r="Q1701" s="35">
        <f>$D1701*($E1701*(Q$321-Q$322)+$F1701*(Q$324-Q$325))</f>
        <v/>
      </c>
      <c r="R1701" s="35">
        <f>$D1701*($E1701*(R$321-R$322)+$F1701*(R$324-R$325))</f>
        <v/>
      </c>
      <c r="S1701" s="35">
        <f>$D1701*($E1701*(S$321-S$322)+$F1701*(S$324-S$325))</f>
        <v/>
      </c>
      <c r="T1701" s="35">
        <f>$D1701*($E1701*(T$321-T$322)+$F1701*(T$324-T$325))</f>
        <v/>
      </c>
      <c r="U1701" s="35">
        <f>$D1701*($E1701*(U$321-U$322)+$F1701*(U$324-U$325))</f>
        <v/>
      </c>
      <c r="V1701" s="35">
        <f>$D1701*($E1701*(V$321-V$322)+$F1701*(V$324-V$325))</f>
        <v/>
      </c>
      <c r="W1701" s="35">
        <f>$D1701*($E1701*(W$321-W$322)+$F1701*(W$324-W$325))</f>
        <v/>
      </c>
      <c r="X1701" s="35">
        <f>$D1701*($E1701*(X$321-X$322)+$F1701*(X$324-X$325))</f>
        <v/>
      </c>
      <c r="Y1701" s="35">
        <f>$D1701*($E1701*(Y$321-Y$322)+$F1701*(Y$324-Y$325))</f>
        <v/>
      </c>
      <c r="Z1701" s="35">
        <f>$D1701*($E1701*(Z$321-Z$322)+$F1701*(Z$324-Z$325))</f>
        <v/>
      </c>
      <c r="AA1701" s="35">
        <f>$D1701*($E1701*(AA$321-AA$322)+$F1701*(AA$324-AA$325))</f>
        <v/>
      </c>
      <c r="AB1701" s="35">
        <f>$D1701*($E1701*(AB$321-AB$322)+$F1701*(AB$324-AB$325))</f>
        <v/>
      </c>
      <c r="AC1701" s="35">
        <f>$D1701*($E1701*(AC$321-AC$322)+$F1701*(AC$324-AC$325))</f>
        <v/>
      </c>
      <c r="AD1701" s="35">
        <f>$D1701*($E1701*(AD$321-AD$322)+$F1701*(AD$324-AD$325))</f>
        <v/>
      </c>
      <c r="AE1701" s="42">
        <f>XCARBON($D1701,$E1701,(AE$321-AE$322),$F1701,(AE$324-AE$325))</f>
        <v/>
      </c>
      <c r="AG1701" s="11">
        <f>CodePrefix&amp;$A1701&amp;IF($C1701="","","."&amp;$C1701&amp;"."&amp;$B1701)&amp;INDEX(VarEnd,MATCH($A1701,VarKey,0))&amp;AG$5</f>
        <v/>
      </c>
      <c r="AH1701" s="40">
        <f>$D1701*($E1701*(AH$321-AH$322)+$F1701*(AH$324-AH$325))</f>
        <v/>
      </c>
      <c r="AI1701" s="35">
        <f>$D1701*($E1701*(AI$321-AI$322)+$F1701*(AI$324-AI$325))</f>
        <v/>
      </c>
      <c r="AJ1701" s="35">
        <f>$D1701*($E1701*(AJ$321-AJ$322)+$F1701*(AJ$324-AJ$325))</f>
        <v/>
      </c>
      <c r="AK1701" s="35">
        <f>$D1701*($E1701*(AK$321-AK$322)+$F1701*(AK$324-AK$325))</f>
        <v/>
      </c>
      <c r="AL1701" s="35">
        <f>$D1701*($E1701*(AL$321-AL$322)+$F1701*(AL$324-AL$325))</f>
        <v/>
      </c>
      <c r="AM1701" s="35">
        <f>$D1701*($E1701*(AM$321-AM$322)+$F1701*(AM$324-AM$325))</f>
        <v/>
      </c>
      <c r="AN1701" s="35">
        <f>$D1701*($E1701*(AN$321-AN$322)+$F1701*(AN$324-AN$325))</f>
        <v/>
      </c>
      <c r="AO1701" s="35">
        <f>$D1701*($E1701*(AO$321-AO$322)+$F1701*(AO$324-AO$325))</f>
        <v/>
      </c>
      <c r="AP1701" s="35">
        <f>$D1701*($E1701*(AP$321-AP$322)+$F1701*(AP$324-AP$325))</f>
        <v/>
      </c>
      <c r="AQ1701" s="35">
        <f>$D1701*($E1701*(AQ$321-AQ$322)+$F1701*(AQ$324-AQ$325))</f>
        <v/>
      </c>
      <c r="AR1701" s="35">
        <f>$D1701*($E1701*(AR$321-AR$322)+$F1701*(AR$324-AR$325))</f>
        <v/>
      </c>
      <c r="AS1701" s="35">
        <f>$D1701*($E1701*(AS$321-AS$322)+$F1701*(AS$324-AS$325))</f>
        <v/>
      </c>
      <c r="AT1701" s="35">
        <f>$D1701*($E1701*(AT$321-AT$322)+$F1701*(AT$324-AT$325))</f>
        <v/>
      </c>
      <c r="AU1701" s="35">
        <f>$D1701*($E1701*(AU$321-AU$322)+$F1701*(AU$324-AU$325))</f>
        <v/>
      </c>
      <c r="AV1701" s="35">
        <f>$D1701*($E1701*(AV$321-AV$322)+$F1701*(AV$324-AV$325))</f>
        <v/>
      </c>
      <c r="AW1701" s="35">
        <f>$D1701*($E1701*(AW$321-AW$322)+$F1701*(AW$324-AW$325))</f>
        <v/>
      </c>
      <c r="AX1701" s="35">
        <f>$D1701*($E1701*(AX$321-AX$322)+$F1701*(AX$324-AX$325))</f>
        <v/>
      </c>
      <c r="AY1701" s="35">
        <f>$D1701*($E1701*(AY$321-AY$322)+$F1701*(AY$324-AY$325))</f>
        <v/>
      </c>
      <c r="AZ1701" s="35">
        <f>$D1701*($E1701*(AZ$321-AZ$322)+$F1701*(AZ$324-AZ$325))</f>
        <v/>
      </c>
      <c r="BA1701" s="42">
        <f>XCARBON($D1701,$E1701,(BA$321-BA$322),$F1701,(BA$324-BA$325))</f>
        <v/>
      </c>
    </row>
    <row r="1702" hidden="1" outlineLevel="2">
      <c r="A1702" s="14" t="inlineStr">
        <is>
          <t>xcpd</t>
        </is>
      </c>
      <c r="B1702" s="14" t="inlineStr">
        <is>
          <t>bio</t>
        </is>
      </c>
      <c r="C1702" s="14" t="inlineStr">
        <is>
          <t>foo</t>
        </is>
      </c>
      <c r="D1702" s="35">
        <f>INDEX(Inputs!$W$5:$W$132,MATCH($B1702&amp;"|"&amp;$C1702,Inputs!$A$5:$A$132,0))</f>
        <v/>
      </c>
      <c r="E1702" s="35">
        <f>INDEX(Inputs!$Z$5:$Z$132,MATCH($B1702&amp;"|"&amp;$C1702,Inputs!$A$5:$A$132,0))</f>
        <v/>
      </c>
      <c r="F1702" s="35">
        <f>INDEX(Inputs!$AA$5:$AA$132,MATCH($B1702&amp;"|"&amp;$C1702,Inputs!$A$5:$A$132,0))</f>
        <v/>
      </c>
      <c r="G1702" s="39" t="n"/>
      <c r="H1702" s="14">
        <f>INDEX(VarLab,MATCH($A1702,VarKey,0))&amp;INDEX(MemLab,MATCH($C1702&amp;"|"&amp;$B1702,MemKey,0))</f>
        <v/>
      </c>
      <c r="I1702" s="14">
        <f>INDEX(VarUnit,MATCH($A1702,VarKey,0))</f>
        <v/>
      </c>
      <c r="J1702" s="14">
        <f>INDEX(VarSrc,MATCH($A1702,VarKey,0))</f>
        <v/>
      </c>
      <c r="K1702" s="11">
        <f>CodePrefix&amp;$A1702&amp;IF($C1702="","","."&amp;$C1702&amp;"."&amp;$B1702)&amp;INDEX(VarEnd,MATCH($A1702,VarKey,0))&amp;K$5</f>
        <v/>
      </c>
      <c r="L1702" s="40">
        <f>$D1702*($E1702*(L$321-L$322)+$F1702*(L$324-L$325))</f>
        <v/>
      </c>
      <c r="M1702" s="35">
        <f>$D1702*($E1702*(M$321-M$322)+$F1702*(M$324-M$325))</f>
        <v/>
      </c>
      <c r="N1702" s="35">
        <f>$D1702*($E1702*(N$321-N$322)+$F1702*(N$324-N$325))</f>
        <v/>
      </c>
      <c r="O1702" s="35">
        <f>$D1702*($E1702*(O$321-O$322)+$F1702*(O$324-O$325))</f>
        <v/>
      </c>
      <c r="P1702" s="35">
        <f>$D1702*($E1702*(P$321-P$322)+$F1702*(P$324-P$325))</f>
        <v/>
      </c>
      <c r="Q1702" s="35">
        <f>$D1702*($E1702*(Q$321-Q$322)+$F1702*(Q$324-Q$325))</f>
        <v/>
      </c>
      <c r="R1702" s="35">
        <f>$D1702*($E1702*(R$321-R$322)+$F1702*(R$324-R$325))</f>
        <v/>
      </c>
      <c r="S1702" s="35">
        <f>$D1702*($E1702*(S$321-S$322)+$F1702*(S$324-S$325))</f>
        <v/>
      </c>
      <c r="T1702" s="35">
        <f>$D1702*($E1702*(T$321-T$322)+$F1702*(T$324-T$325))</f>
        <v/>
      </c>
      <c r="U1702" s="35">
        <f>$D1702*($E1702*(U$321-U$322)+$F1702*(U$324-U$325))</f>
        <v/>
      </c>
      <c r="V1702" s="35">
        <f>$D1702*($E1702*(V$321-V$322)+$F1702*(V$324-V$325))</f>
        <v/>
      </c>
      <c r="W1702" s="35">
        <f>$D1702*($E1702*(W$321-W$322)+$F1702*(W$324-W$325))</f>
        <v/>
      </c>
      <c r="X1702" s="35">
        <f>$D1702*($E1702*(X$321-X$322)+$F1702*(X$324-X$325))</f>
        <v/>
      </c>
      <c r="Y1702" s="35">
        <f>$D1702*($E1702*(Y$321-Y$322)+$F1702*(Y$324-Y$325))</f>
        <v/>
      </c>
      <c r="Z1702" s="35">
        <f>$D1702*($E1702*(Z$321-Z$322)+$F1702*(Z$324-Z$325))</f>
        <v/>
      </c>
      <c r="AA1702" s="35">
        <f>$D1702*($E1702*(AA$321-AA$322)+$F1702*(AA$324-AA$325))</f>
        <v/>
      </c>
      <c r="AB1702" s="35">
        <f>$D1702*($E1702*(AB$321-AB$322)+$F1702*(AB$324-AB$325))</f>
        <v/>
      </c>
      <c r="AC1702" s="35">
        <f>$D1702*($E1702*(AC$321-AC$322)+$F1702*(AC$324-AC$325))</f>
        <v/>
      </c>
      <c r="AD1702" s="35">
        <f>$D1702*($E1702*(AD$321-AD$322)+$F1702*(AD$324-AD$325))</f>
        <v/>
      </c>
      <c r="AE1702" s="42">
        <f>XCARBON($D1702,$E1702,(AE$321-AE$322),$F1702,(AE$324-AE$325))</f>
        <v/>
      </c>
      <c r="AG1702" s="11">
        <f>CodePrefix&amp;$A1702&amp;IF($C1702="","","."&amp;$C1702&amp;"."&amp;$B1702)&amp;INDEX(VarEnd,MATCH($A1702,VarKey,0))&amp;AG$5</f>
        <v/>
      </c>
      <c r="AH1702" s="40">
        <f>$D1702*($E1702*(AH$321-AH$322)+$F1702*(AH$324-AH$325))</f>
        <v/>
      </c>
      <c r="AI1702" s="35">
        <f>$D1702*($E1702*(AI$321-AI$322)+$F1702*(AI$324-AI$325))</f>
        <v/>
      </c>
      <c r="AJ1702" s="35">
        <f>$D1702*($E1702*(AJ$321-AJ$322)+$F1702*(AJ$324-AJ$325))</f>
        <v/>
      </c>
      <c r="AK1702" s="35">
        <f>$D1702*($E1702*(AK$321-AK$322)+$F1702*(AK$324-AK$325))</f>
        <v/>
      </c>
      <c r="AL1702" s="35">
        <f>$D1702*($E1702*(AL$321-AL$322)+$F1702*(AL$324-AL$325))</f>
        <v/>
      </c>
      <c r="AM1702" s="35">
        <f>$D1702*($E1702*(AM$321-AM$322)+$F1702*(AM$324-AM$325))</f>
        <v/>
      </c>
      <c r="AN1702" s="35">
        <f>$D1702*($E1702*(AN$321-AN$322)+$F1702*(AN$324-AN$325))</f>
        <v/>
      </c>
      <c r="AO1702" s="35">
        <f>$D1702*($E1702*(AO$321-AO$322)+$F1702*(AO$324-AO$325))</f>
        <v/>
      </c>
      <c r="AP1702" s="35">
        <f>$D1702*($E1702*(AP$321-AP$322)+$F1702*(AP$324-AP$325))</f>
        <v/>
      </c>
      <c r="AQ1702" s="35">
        <f>$D1702*($E1702*(AQ$321-AQ$322)+$F1702*(AQ$324-AQ$325))</f>
        <v/>
      </c>
      <c r="AR1702" s="35">
        <f>$D1702*($E1702*(AR$321-AR$322)+$F1702*(AR$324-AR$325))</f>
        <v/>
      </c>
      <c r="AS1702" s="35">
        <f>$D1702*($E1702*(AS$321-AS$322)+$F1702*(AS$324-AS$325))</f>
        <v/>
      </c>
      <c r="AT1702" s="35">
        <f>$D1702*($E1702*(AT$321-AT$322)+$F1702*(AT$324-AT$325))</f>
        <v/>
      </c>
      <c r="AU1702" s="35">
        <f>$D1702*($E1702*(AU$321-AU$322)+$F1702*(AU$324-AU$325))</f>
        <v/>
      </c>
      <c r="AV1702" s="35">
        <f>$D1702*($E1702*(AV$321-AV$322)+$F1702*(AV$324-AV$325))</f>
        <v/>
      </c>
      <c r="AW1702" s="35">
        <f>$D1702*($E1702*(AW$321-AW$322)+$F1702*(AW$324-AW$325))</f>
        <v/>
      </c>
      <c r="AX1702" s="35">
        <f>$D1702*($E1702*(AX$321-AX$322)+$F1702*(AX$324-AX$325))</f>
        <v/>
      </c>
      <c r="AY1702" s="35">
        <f>$D1702*($E1702*(AY$321-AY$322)+$F1702*(AY$324-AY$325))</f>
        <v/>
      </c>
      <c r="AZ1702" s="35">
        <f>$D1702*($E1702*(AZ$321-AZ$322)+$F1702*(AZ$324-AZ$325))</f>
        <v/>
      </c>
      <c r="BA1702" s="42">
        <f>XCARBON($D1702,$E1702,(BA$321-BA$322),$F1702,(BA$324-BA$325))</f>
        <v/>
      </c>
    </row>
    <row r="1703" hidden="1" outlineLevel="2"/>
    <row r="1704" hidden="1" outlineLevel="2">
      <c r="A1704" s="14" t="inlineStr">
        <is>
          <t>atp</t>
        </is>
      </c>
      <c r="B1704" s="14" t="inlineStr">
        <is>
          <t>coa</t>
        </is>
      </c>
      <c r="C1704" s="14" t="inlineStr">
        <is>
          <t>foo</t>
        </is>
      </c>
      <c r="D1704" s="35">
        <f>INDEX(Inputs!$U$5:$U$132,MATCH($B1704&amp;"|"&amp;$C1704,Inputs!$A$5:$A$132,0))</f>
        <v/>
      </c>
      <c r="E1704" s="35">
        <f>INDEX(Inputs!$V$5:$V$132,MATCH($B1704&amp;"|"&amp;$C1704,Inputs!$A$5:$A$132,0))</f>
        <v/>
      </c>
      <c r="F1704" s="39" t="n"/>
      <c r="G1704" s="39" t="n"/>
      <c r="H1704" s="14">
        <f>INDEX(VarLab,MATCH($A1704,VarKey,0))&amp;INDEX(MemLab,MATCH($C1704&amp;"|"&amp;$B1704,MemKey,0))</f>
        <v/>
      </c>
      <c r="I1704" s="14">
        <f>INDEX(VarUnit,MATCH($A1704,VarKey,0))</f>
        <v/>
      </c>
      <c r="J1704" s="14">
        <f>INDEX(VarSrc,MATCH($A1704,VarKey,0))</f>
        <v/>
      </c>
      <c r="K1704" s="11">
        <f>CodePrefix&amp;$A1704&amp;IF($C1704="","","."&amp;$C1704&amp;"."&amp;$B1704)&amp;INDEX(VarEnd,MATCH($A1704,VarKey,0))&amp;K$5</f>
        <v/>
      </c>
      <c r="L1704" s="40">
        <f>MAX(INDEX(L$381:L$392,$D1704)+(L1677+L1695)*(1+$E1704),0.01)</f>
        <v/>
      </c>
      <c r="M1704" s="35">
        <f>MAX(INDEX(M$381:M$392,$D1704)+(M1677+M1695)*(1+$E1704),0.01)</f>
        <v/>
      </c>
      <c r="N1704" s="35">
        <f>MAX(INDEX(N$381:N$392,$D1704)+(N1677+N1695)*(1+$E1704),0.01)</f>
        <v/>
      </c>
      <c r="O1704" s="35">
        <f>MAX(INDEX(O$381:O$392,$D1704)+(O1677+O1695)*(1+$E1704),0.01)</f>
        <v/>
      </c>
      <c r="P1704" s="35">
        <f>MAX(INDEX(P$381:P$392,$D1704)+(P1677+P1695)*(1+$E1704),0.01)</f>
        <v/>
      </c>
      <c r="Q1704" s="35">
        <f>MAX(INDEX(Q$381:Q$392,$D1704)+(Q1677+Q1695)*(1+$E1704),0.01)</f>
        <v/>
      </c>
      <c r="R1704" s="35">
        <f>MAX(INDEX(R$381:R$392,$D1704)+(R1677+R1695)*(1+$E1704),0.01)</f>
        <v/>
      </c>
      <c r="S1704" s="35">
        <f>MAX(INDEX(S$381:S$392,$D1704)+(S1677+S1695)*(1+$E1704),0.01)</f>
        <v/>
      </c>
      <c r="T1704" s="35">
        <f>MAX(INDEX(T$381:T$392,$D1704)+(T1677+T1695)*(1+$E1704),0.01)</f>
        <v/>
      </c>
      <c r="U1704" s="35">
        <f>MAX(INDEX(U$381:U$392,$D1704)+(U1677+U1695)*(1+$E1704),0.01)</f>
        <v/>
      </c>
      <c r="V1704" s="35">
        <f>MAX(INDEX(V$381:V$392,$D1704)+(V1677+V1695)*(1+$E1704),0.01)</f>
        <v/>
      </c>
      <c r="W1704" s="35">
        <f>MAX(INDEX(W$381:W$392,$D1704)+(W1677+W1695)*(1+$E1704),0.01)</f>
        <v/>
      </c>
      <c r="X1704" s="35">
        <f>MAX(INDEX(X$381:X$392,$D1704)+(X1677+X1695)*(1+$E1704),0.01)</f>
        <v/>
      </c>
      <c r="Y1704" s="35">
        <f>MAX(INDEX(Y$381:Y$392,$D1704)+(Y1677+Y1695)*(1+$E1704),0.01)</f>
        <v/>
      </c>
      <c r="Z1704" s="35">
        <f>MAX(INDEX(Z$381:Z$392,$D1704)+(Z1677+Z1695)*(1+$E1704),0.01)</f>
        <v/>
      </c>
      <c r="AA1704" s="35">
        <f>MAX(INDEX(AA$381:AA$392,$D1704)+(AA1677+AA1695)*(1+$E1704),0.01)</f>
        <v/>
      </c>
      <c r="AB1704" s="35">
        <f>MAX(INDEX(AB$381:AB$392,$D1704)+(AB1677+AB1695)*(1+$E1704),0.01)</f>
        <v/>
      </c>
      <c r="AC1704" s="35">
        <f>MAX(INDEX(AC$381:AC$392,$D1704)+(AC1677+AC1695)*(1+$E1704),0.01)</f>
        <v/>
      </c>
      <c r="AD1704" s="35">
        <f>MAX(INDEX(AD$381:AD$392,$D1704)+(AD1677+AD1695)*(1+$E1704),0.01)</f>
        <v/>
      </c>
      <c r="AE1704" s="42">
        <f>POSTTAX(INDEX(AE$381:AE$392,$D1704),AE1677+AE1695,$E1704)</f>
        <v/>
      </c>
      <c r="AG1704" s="11">
        <f>CodePrefix&amp;$A1704&amp;IF($C1704="","","."&amp;$C1704&amp;"."&amp;$B1704)&amp;INDEX(VarEnd,MATCH($A1704,VarKey,0))&amp;AG$5</f>
        <v/>
      </c>
      <c r="AH1704" s="40">
        <f>MAX(INDEX(AH$381:AH$392,$D1704)+(AH1677+AH1695)*(1+$E1704),0.01)</f>
        <v/>
      </c>
      <c r="AI1704" s="35">
        <f>MAX(INDEX(AI$381:AI$392,$D1704)+(AI1677+AI1695)*(1+$E1704),0.01)</f>
        <v/>
      </c>
      <c r="AJ1704" s="35">
        <f>MAX(INDEX(AJ$381:AJ$392,$D1704)+(AJ1677+AJ1695)*(1+$E1704),0.01)</f>
        <v/>
      </c>
      <c r="AK1704" s="35">
        <f>MAX(INDEX(AK$381:AK$392,$D1704)+(AK1677+AK1695)*(1+$E1704),0.01)</f>
        <v/>
      </c>
      <c r="AL1704" s="35">
        <f>MAX(INDEX(AL$381:AL$392,$D1704)+(AL1677+AL1695)*(1+$E1704),0.01)</f>
        <v/>
      </c>
      <c r="AM1704" s="35">
        <f>MAX(INDEX(AM$381:AM$392,$D1704)+(AM1677+AM1695)*(1+$E1704),0.01)</f>
        <v/>
      </c>
      <c r="AN1704" s="35">
        <f>MAX(INDEX(AN$381:AN$392,$D1704)+(AN1677+AN1695)*(1+$E1704),0.01)</f>
        <v/>
      </c>
      <c r="AO1704" s="35">
        <f>MAX(INDEX(AO$381:AO$392,$D1704)+(AO1677+AO1695)*(1+$E1704),0.01)</f>
        <v/>
      </c>
      <c r="AP1704" s="35">
        <f>MAX(INDEX(AP$381:AP$392,$D1704)+(AP1677+AP1695)*(1+$E1704),0.01)</f>
        <v/>
      </c>
      <c r="AQ1704" s="35">
        <f>MAX(INDEX(AQ$381:AQ$392,$D1704)+(AQ1677+AQ1695)*(1+$E1704),0.01)</f>
        <v/>
      </c>
      <c r="AR1704" s="35">
        <f>MAX(INDEX(AR$381:AR$392,$D1704)+(AR1677+AR1695)*(1+$E1704),0.01)</f>
        <v/>
      </c>
      <c r="AS1704" s="35">
        <f>MAX(INDEX(AS$381:AS$392,$D1704)+(AS1677+AS1695)*(1+$E1704),0.01)</f>
        <v/>
      </c>
      <c r="AT1704" s="35">
        <f>MAX(INDEX(AT$381:AT$392,$D1704)+(AT1677+AT1695)*(1+$E1704),0.01)</f>
        <v/>
      </c>
      <c r="AU1704" s="35">
        <f>MAX(INDEX(AU$381:AU$392,$D1704)+(AU1677+AU1695)*(1+$E1704),0.01)</f>
        <v/>
      </c>
      <c r="AV1704" s="35">
        <f>MAX(INDEX(AV$381:AV$392,$D1704)+(AV1677+AV1695)*(1+$E1704),0.01)</f>
        <v/>
      </c>
      <c r="AW1704" s="35">
        <f>MAX(INDEX(AW$381:AW$392,$D1704)+(AW1677+AW1695)*(1+$E1704),0.01)</f>
        <v/>
      </c>
      <c r="AX1704" s="35">
        <f>MAX(INDEX(AX$381:AX$392,$D1704)+(AX1677+AX1695)*(1+$E1704),0.01)</f>
        <v/>
      </c>
      <c r="AY1704" s="35">
        <f>MAX(INDEX(AY$381:AY$392,$D1704)+(AY1677+AY1695)*(1+$E1704),0.01)</f>
        <v/>
      </c>
      <c r="AZ1704" s="35">
        <f>MAX(INDEX(AZ$381:AZ$392,$D1704)+(AZ1677+AZ1695)*(1+$E1704),0.01)</f>
        <v/>
      </c>
      <c r="BA1704" s="42">
        <f>POSTTAX(INDEX(BA$381:BA$392,$D1704),BA1677+BA1695,$E1704)</f>
        <v/>
      </c>
    </row>
    <row r="1705" hidden="1" outlineLevel="2">
      <c r="A1705" s="14" t="inlineStr">
        <is>
          <t>atp</t>
        </is>
      </c>
      <c r="B1705" s="14" t="inlineStr">
        <is>
          <t>nga</t>
        </is>
      </c>
      <c r="C1705" s="14" t="inlineStr">
        <is>
          <t>foo</t>
        </is>
      </c>
      <c r="D1705" s="35">
        <f>INDEX(Inputs!$U$5:$U$132,MATCH($B1705&amp;"|"&amp;$C1705,Inputs!$A$5:$A$132,0))</f>
        <v/>
      </c>
      <c r="E1705" s="35">
        <f>INDEX(Inputs!$V$5:$V$132,MATCH($B1705&amp;"|"&amp;$C1705,Inputs!$A$5:$A$132,0))</f>
        <v/>
      </c>
      <c r="F1705" s="39" t="n"/>
      <c r="G1705" s="39" t="n"/>
      <c r="H1705" s="14">
        <f>INDEX(VarLab,MATCH($A1705,VarKey,0))&amp;INDEX(MemLab,MATCH($C1705&amp;"|"&amp;$B1705,MemKey,0))</f>
        <v/>
      </c>
      <c r="I1705" s="14">
        <f>INDEX(VarUnit,MATCH($A1705,VarKey,0))</f>
        <v/>
      </c>
      <c r="J1705" s="14">
        <f>INDEX(VarSrc,MATCH($A1705,VarKey,0))</f>
        <v/>
      </c>
      <c r="K1705" s="11">
        <f>CodePrefix&amp;$A1705&amp;IF($C1705="","","."&amp;$C1705&amp;"."&amp;$B1705)&amp;INDEX(VarEnd,MATCH($A1705,VarKey,0))&amp;K$5</f>
        <v/>
      </c>
      <c r="L1705" s="40">
        <f>MAX(INDEX(L$381:L$392,$D1705)+(L1678+L1696)*(1+$E1705),0.01)</f>
        <v/>
      </c>
      <c r="M1705" s="35">
        <f>MAX(INDEX(M$381:M$392,$D1705)+(M1678+M1696)*(1+$E1705),0.01)</f>
        <v/>
      </c>
      <c r="N1705" s="35">
        <f>MAX(INDEX(N$381:N$392,$D1705)+(N1678+N1696)*(1+$E1705),0.01)</f>
        <v/>
      </c>
      <c r="O1705" s="35">
        <f>MAX(INDEX(O$381:O$392,$D1705)+(O1678+O1696)*(1+$E1705),0.01)</f>
        <v/>
      </c>
      <c r="P1705" s="35">
        <f>MAX(INDEX(P$381:P$392,$D1705)+(P1678+P1696)*(1+$E1705),0.01)</f>
        <v/>
      </c>
      <c r="Q1705" s="35">
        <f>MAX(INDEX(Q$381:Q$392,$D1705)+(Q1678+Q1696)*(1+$E1705),0.01)</f>
        <v/>
      </c>
      <c r="R1705" s="35">
        <f>MAX(INDEX(R$381:R$392,$D1705)+(R1678+R1696)*(1+$E1705),0.01)</f>
        <v/>
      </c>
      <c r="S1705" s="35">
        <f>MAX(INDEX(S$381:S$392,$D1705)+(S1678+S1696)*(1+$E1705),0.01)</f>
        <v/>
      </c>
      <c r="T1705" s="35">
        <f>MAX(INDEX(T$381:T$392,$D1705)+(T1678+T1696)*(1+$E1705),0.01)</f>
        <v/>
      </c>
      <c r="U1705" s="35">
        <f>MAX(INDEX(U$381:U$392,$D1705)+(U1678+U1696)*(1+$E1705),0.01)</f>
        <v/>
      </c>
      <c r="V1705" s="35">
        <f>MAX(INDEX(V$381:V$392,$D1705)+(V1678+V1696)*(1+$E1705),0.01)</f>
        <v/>
      </c>
      <c r="W1705" s="35">
        <f>MAX(INDEX(W$381:W$392,$D1705)+(W1678+W1696)*(1+$E1705),0.01)</f>
        <v/>
      </c>
      <c r="X1705" s="35">
        <f>MAX(INDEX(X$381:X$392,$D1705)+(X1678+X1696)*(1+$E1705),0.01)</f>
        <v/>
      </c>
      <c r="Y1705" s="35">
        <f>MAX(INDEX(Y$381:Y$392,$D1705)+(Y1678+Y1696)*(1+$E1705),0.01)</f>
        <v/>
      </c>
      <c r="Z1705" s="35">
        <f>MAX(INDEX(Z$381:Z$392,$D1705)+(Z1678+Z1696)*(1+$E1705),0.01)</f>
        <v/>
      </c>
      <c r="AA1705" s="35">
        <f>MAX(INDEX(AA$381:AA$392,$D1705)+(AA1678+AA1696)*(1+$E1705),0.01)</f>
        <v/>
      </c>
      <c r="AB1705" s="35">
        <f>MAX(INDEX(AB$381:AB$392,$D1705)+(AB1678+AB1696)*(1+$E1705),0.01)</f>
        <v/>
      </c>
      <c r="AC1705" s="35">
        <f>MAX(INDEX(AC$381:AC$392,$D1705)+(AC1678+AC1696)*(1+$E1705),0.01)</f>
        <v/>
      </c>
      <c r="AD1705" s="35">
        <f>MAX(INDEX(AD$381:AD$392,$D1705)+(AD1678+AD1696)*(1+$E1705),0.01)</f>
        <v/>
      </c>
      <c r="AE1705" s="42">
        <f>POSTTAX(INDEX(AE$381:AE$392,$D1705),AE1678+AE1696,$E1705)</f>
        <v/>
      </c>
      <c r="AG1705" s="11">
        <f>CodePrefix&amp;$A1705&amp;IF($C1705="","","."&amp;$C1705&amp;"."&amp;$B1705)&amp;INDEX(VarEnd,MATCH($A1705,VarKey,0))&amp;AG$5</f>
        <v/>
      </c>
      <c r="AH1705" s="40">
        <f>MAX(INDEX(AH$381:AH$392,$D1705)+(AH1678+AH1696)*(1+$E1705),0.01)</f>
        <v/>
      </c>
      <c r="AI1705" s="35">
        <f>MAX(INDEX(AI$381:AI$392,$D1705)+(AI1678+AI1696)*(1+$E1705),0.01)</f>
        <v/>
      </c>
      <c r="AJ1705" s="35">
        <f>MAX(INDEX(AJ$381:AJ$392,$D1705)+(AJ1678+AJ1696)*(1+$E1705),0.01)</f>
        <v/>
      </c>
      <c r="AK1705" s="35">
        <f>MAX(INDEX(AK$381:AK$392,$D1705)+(AK1678+AK1696)*(1+$E1705),0.01)</f>
        <v/>
      </c>
      <c r="AL1705" s="35">
        <f>MAX(INDEX(AL$381:AL$392,$D1705)+(AL1678+AL1696)*(1+$E1705),0.01)</f>
        <v/>
      </c>
      <c r="AM1705" s="35">
        <f>MAX(INDEX(AM$381:AM$392,$D1705)+(AM1678+AM1696)*(1+$E1705),0.01)</f>
        <v/>
      </c>
      <c r="AN1705" s="35">
        <f>MAX(INDEX(AN$381:AN$392,$D1705)+(AN1678+AN1696)*(1+$E1705),0.01)</f>
        <v/>
      </c>
      <c r="AO1705" s="35">
        <f>MAX(INDEX(AO$381:AO$392,$D1705)+(AO1678+AO1696)*(1+$E1705),0.01)</f>
        <v/>
      </c>
      <c r="AP1705" s="35">
        <f>MAX(INDEX(AP$381:AP$392,$D1705)+(AP1678+AP1696)*(1+$E1705),0.01)</f>
        <v/>
      </c>
      <c r="AQ1705" s="35">
        <f>MAX(INDEX(AQ$381:AQ$392,$D1705)+(AQ1678+AQ1696)*(1+$E1705),0.01)</f>
        <v/>
      </c>
      <c r="AR1705" s="35">
        <f>MAX(INDEX(AR$381:AR$392,$D1705)+(AR1678+AR1696)*(1+$E1705),0.01)</f>
        <v/>
      </c>
      <c r="AS1705" s="35">
        <f>MAX(INDEX(AS$381:AS$392,$D1705)+(AS1678+AS1696)*(1+$E1705),0.01)</f>
        <v/>
      </c>
      <c r="AT1705" s="35">
        <f>MAX(INDEX(AT$381:AT$392,$D1705)+(AT1678+AT1696)*(1+$E1705),0.01)</f>
        <v/>
      </c>
      <c r="AU1705" s="35">
        <f>MAX(INDEX(AU$381:AU$392,$D1705)+(AU1678+AU1696)*(1+$E1705),0.01)</f>
        <v/>
      </c>
      <c r="AV1705" s="35">
        <f>MAX(INDEX(AV$381:AV$392,$D1705)+(AV1678+AV1696)*(1+$E1705),0.01)</f>
        <v/>
      </c>
      <c r="AW1705" s="35">
        <f>MAX(INDEX(AW$381:AW$392,$D1705)+(AW1678+AW1696)*(1+$E1705),0.01)</f>
        <v/>
      </c>
      <c r="AX1705" s="35">
        <f>MAX(INDEX(AX$381:AX$392,$D1705)+(AX1678+AX1696)*(1+$E1705),0.01)</f>
        <v/>
      </c>
      <c r="AY1705" s="35">
        <f>MAX(INDEX(AY$381:AY$392,$D1705)+(AY1678+AY1696)*(1+$E1705),0.01)</f>
        <v/>
      </c>
      <c r="AZ1705" s="35">
        <f>MAX(INDEX(AZ$381:AZ$392,$D1705)+(AZ1678+AZ1696)*(1+$E1705),0.01)</f>
        <v/>
      </c>
      <c r="BA1705" s="42">
        <f>POSTTAX(INDEX(BA$381:BA$392,$D1705),BA1678+BA1696,$E1705)</f>
        <v/>
      </c>
    </row>
    <row r="1706" hidden="1" outlineLevel="2">
      <c r="A1706" s="14" t="inlineStr">
        <is>
          <t>atp</t>
        </is>
      </c>
      <c r="B1706" s="14" t="inlineStr">
        <is>
          <t>gso</t>
        </is>
      </c>
      <c r="C1706" s="14" t="inlineStr">
        <is>
          <t>foo</t>
        </is>
      </c>
      <c r="D1706" s="35">
        <f>INDEX(Inputs!$U$5:$U$132,MATCH($B1706&amp;"|"&amp;$C1706,Inputs!$A$5:$A$132,0))</f>
        <v/>
      </c>
      <c r="E1706" s="35">
        <f>INDEX(Inputs!$V$5:$V$132,MATCH($B1706&amp;"|"&amp;$C1706,Inputs!$A$5:$A$132,0))</f>
        <v/>
      </c>
      <c r="F1706" s="39" t="n"/>
      <c r="G1706" s="39" t="n"/>
      <c r="H1706" s="14">
        <f>INDEX(VarLab,MATCH($A1706,VarKey,0))&amp;INDEX(MemLab,MATCH($C1706&amp;"|"&amp;$B1706,MemKey,0))</f>
        <v/>
      </c>
      <c r="I1706" s="14">
        <f>INDEX(VarUnit,MATCH($A1706,VarKey,0))</f>
        <v/>
      </c>
      <c r="J1706" s="14">
        <f>INDEX(VarSrc,MATCH($A1706,VarKey,0))</f>
        <v/>
      </c>
      <c r="K1706" s="11">
        <f>CodePrefix&amp;$A1706&amp;IF($C1706="","","."&amp;$C1706&amp;"."&amp;$B1706)&amp;INDEX(VarEnd,MATCH($A1706,VarKey,0))&amp;K$5</f>
        <v/>
      </c>
      <c r="L1706" s="40">
        <f>MAX(INDEX(L$381:L$392,$D1706)+(L1679+L1697)*(1+$E1706),0.01)</f>
        <v/>
      </c>
      <c r="M1706" s="35">
        <f>MAX(INDEX(M$381:M$392,$D1706)+(M1679+M1697)*(1+$E1706),0.01)</f>
        <v/>
      </c>
      <c r="N1706" s="35">
        <f>MAX(INDEX(N$381:N$392,$D1706)+(N1679+N1697)*(1+$E1706),0.01)</f>
        <v/>
      </c>
      <c r="O1706" s="35">
        <f>MAX(INDEX(O$381:O$392,$D1706)+(O1679+O1697)*(1+$E1706),0.01)</f>
        <v/>
      </c>
      <c r="P1706" s="35">
        <f>MAX(INDEX(P$381:P$392,$D1706)+(P1679+P1697)*(1+$E1706),0.01)</f>
        <v/>
      </c>
      <c r="Q1706" s="35">
        <f>MAX(INDEX(Q$381:Q$392,$D1706)+(Q1679+Q1697)*(1+$E1706),0.01)</f>
        <v/>
      </c>
      <c r="R1706" s="35">
        <f>MAX(INDEX(R$381:R$392,$D1706)+(R1679+R1697)*(1+$E1706),0.01)</f>
        <v/>
      </c>
      <c r="S1706" s="35">
        <f>MAX(INDEX(S$381:S$392,$D1706)+(S1679+S1697)*(1+$E1706),0.01)</f>
        <v/>
      </c>
      <c r="T1706" s="35">
        <f>MAX(INDEX(T$381:T$392,$D1706)+(T1679+T1697)*(1+$E1706),0.01)</f>
        <v/>
      </c>
      <c r="U1706" s="35">
        <f>MAX(INDEX(U$381:U$392,$D1706)+(U1679+U1697)*(1+$E1706),0.01)</f>
        <v/>
      </c>
      <c r="V1706" s="35">
        <f>MAX(INDEX(V$381:V$392,$D1706)+(V1679+V1697)*(1+$E1706),0.01)</f>
        <v/>
      </c>
      <c r="W1706" s="35">
        <f>MAX(INDEX(W$381:W$392,$D1706)+(W1679+W1697)*(1+$E1706),0.01)</f>
        <v/>
      </c>
      <c r="X1706" s="35">
        <f>MAX(INDEX(X$381:X$392,$D1706)+(X1679+X1697)*(1+$E1706),0.01)</f>
        <v/>
      </c>
      <c r="Y1706" s="35">
        <f>MAX(INDEX(Y$381:Y$392,$D1706)+(Y1679+Y1697)*(1+$E1706),0.01)</f>
        <v/>
      </c>
      <c r="Z1706" s="35">
        <f>MAX(INDEX(Z$381:Z$392,$D1706)+(Z1679+Z1697)*(1+$E1706),0.01)</f>
        <v/>
      </c>
      <c r="AA1706" s="35">
        <f>MAX(INDEX(AA$381:AA$392,$D1706)+(AA1679+AA1697)*(1+$E1706),0.01)</f>
        <v/>
      </c>
      <c r="AB1706" s="35">
        <f>MAX(INDEX(AB$381:AB$392,$D1706)+(AB1679+AB1697)*(1+$E1706),0.01)</f>
        <v/>
      </c>
      <c r="AC1706" s="35">
        <f>MAX(INDEX(AC$381:AC$392,$D1706)+(AC1679+AC1697)*(1+$E1706),0.01)</f>
        <v/>
      </c>
      <c r="AD1706" s="35">
        <f>MAX(INDEX(AD$381:AD$392,$D1706)+(AD1679+AD1697)*(1+$E1706),0.01)</f>
        <v/>
      </c>
      <c r="AE1706" s="42">
        <f>POSTTAX(INDEX(AE$381:AE$392,$D1706),AE1679+AE1697,$E1706)</f>
        <v/>
      </c>
      <c r="AG1706" s="11">
        <f>CodePrefix&amp;$A1706&amp;IF($C1706="","","."&amp;$C1706&amp;"."&amp;$B1706)&amp;INDEX(VarEnd,MATCH($A1706,VarKey,0))&amp;AG$5</f>
        <v/>
      </c>
      <c r="AH1706" s="40">
        <f>MAX(INDEX(AH$381:AH$392,$D1706)+(AH1679+AH1697)*(1+$E1706),0.01)</f>
        <v/>
      </c>
      <c r="AI1706" s="35">
        <f>MAX(INDEX(AI$381:AI$392,$D1706)+(AI1679+AI1697)*(1+$E1706),0.01)</f>
        <v/>
      </c>
      <c r="AJ1706" s="35">
        <f>MAX(INDEX(AJ$381:AJ$392,$D1706)+(AJ1679+AJ1697)*(1+$E1706),0.01)</f>
        <v/>
      </c>
      <c r="AK1706" s="35">
        <f>MAX(INDEX(AK$381:AK$392,$D1706)+(AK1679+AK1697)*(1+$E1706),0.01)</f>
        <v/>
      </c>
      <c r="AL1706" s="35">
        <f>MAX(INDEX(AL$381:AL$392,$D1706)+(AL1679+AL1697)*(1+$E1706),0.01)</f>
        <v/>
      </c>
      <c r="AM1706" s="35">
        <f>MAX(INDEX(AM$381:AM$392,$D1706)+(AM1679+AM1697)*(1+$E1706),0.01)</f>
        <v/>
      </c>
      <c r="AN1706" s="35">
        <f>MAX(INDEX(AN$381:AN$392,$D1706)+(AN1679+AN1697)*(1+$E1706),0.01)</f>
        <v/>
      </c>
      <c r="AO1706" s="35">
        <f>MAX(INDEX(AO$381:AO$392,$D1706)+(AO1679+AO1697)*(1+$E1706),0.01)</f>
        <v/>
      </c>
      <c r="AP1706" s="35">
        <f>MAX(INDEX(AP$381:AP$392,$D1706)+(AP1679+AP1697)*(1+$E1706),0.01)</f>
        <v/>
      </c>
      <c r="AQ1706" s="35">
        <f>MAX(INDEX(AQ$381:AQ$392,$D1706)+(AQ1679+AQ1697)*(1+$E1706),0.01)</f>
        <v/>
      </c>
      <c r="AR1706" s="35">
        <f>MAX(INDEX(AR$381:AR$392,$D1706)+(AR1679+AR1697)*(1+$E1706),0.01)</f>
        <v/>
      </c>
      <c r="AS1706" s="35">
        <f>MAX(INDEX(AS$381:AS$392,$D1706)+(AS1679+AS1697)*(1+$E1706),0.01)</f>
        <v/>
      </c>
      <c r="AT1706" s="35">
        <f>MAX(INDEX(AT$381:AT$392,$D1706)+(AT1679+AT1697)*(1+$E1706),0.01)</f>
        <v/>
      </c>
      <c r="AU1706" s="35">
        <f>MAX(INDEX(AU$381:AU$392,$D1706)+(AU1679+AU1697)*(1+$E1706),0.01)</f>
        <v/>
      </c>
      <c r="AV1706" s="35">
        <f>MAX(INDEX(AV$381:AV$392,$D1706)+(AV1679+AV1697)*(1+$E1706),0.01)</f>
        <v/>
      </c>
      <c r="AW1706" s="35">
        <f>MAX(INDEX(AW$381:AW$392,$D1706)+(AW1679+AW1697)*(1+$E1706),0.01)</f>
        <v/>
      </c>
      <c r="AX1706" s="35">
        <f>MAX(INDEX(AX$381:AX$392,$D1706)+(AX1679+AX1697)*(1+$E1706),0.01)</f>
        <v/>
      </c>
      <c r="AY1706" s="35">
        <f>MAX(INDEX(AY$381:AY$392,$D1706)+(AY1679+AY1697)*(1+$E1706),0.01)</f>
        <v/>
      </c>
      <c r="AZ1706" s="35">
        <f>MAX(INDEX(AZ$381:AZ$392,$D1706)+(AZ1679+AZ1697)*(1+$E1706),0.01)</f>
        <v/>
      </c>
      <c r="BA1706" s="42">
        <f>POSTTAX(INDEX(BA$381:BA$392,$D1706),BA1679+BA1697,$E1706)</f>
        <v/>
      </c>
    </row>
    <row r="1707" hidden="1" outlineLevel="2">
      <c r="A1707" s="14" t="inlineStr">
        <is>
          <t>atp</t>
        </is>
      </c>
      <c r="B1707" s="14" t="inlineStr">
        <is>
          <t>die</t>
        </is>
      </c>
      <c r="C1707" s="14" t="inlineStr">
        <is>
          <t>foo</t>
        </is>
      </c>
      <c r="D1707" s="35">
        <f>INDEX(Inputs!$U$5:$U$132,MATCH($B1707&amp;"|"&amp;$C1707,Inputs!$A$5:$A$132,0))</f>
        <v/>
      </c>
      <c r="E1707" s="35">
        <f>INDEX(Inputs!$V$5:$V$132,MATCH($B1707&amp;"|"&amp;$C1707,Inputs!$A$5:$A$132,0))</f>
        <v/>
      </c>
      <c r="F1707" s="39" t="n"/>
      <c r="G1707" s="39" t="n"/>
      <c r="H1707" s="14">
        <f>INDEX(VarLab,MATCH($A1707,VarKey,0))&amp;INDEX(MemLab,MATCH($C1707&amp;"|"&amp;$B1707,MemKey,0))</f>
        <v/>
      </c>
      <c r="I1707" s="14">
        <f>INDEX(VarUnit,MATCH($A1707,VarKey,0))</f>
        <v/>
      </c>
      <c r="J1707" s="14">
        <f>INDEX(VarSrc,MATCH($A1707,VarKey,0))</f>
        <v/>
      </c>
      <c r="K1707" s="11">
        <f>CodePrefix&amp;$A1707&amp;IF($C1707="","","."&amp;$C1707&amp;"."&amp;$B1707)&amp;INDEX(VarEnd,MATCH($A1707,VarKey,0))&amp;K$5</f>
        <v/>
      </c>
      <c r="L1707" s="40">
        <f>MAX(INDEX(L$381:L$392,$D1707)+(L1680+L1698)*(1+$E1707),0.01)</f>
        <v/>
      </c>
      <c r="M1707" s="35">
        <f>MAX(INDEX(M$381:M$392,$D1707)+(M1680+M1698)*(1+$E1707),0.01)</f>
        <v/>
      </c>
      <c r="N1707" s="35">
        <f>MAX(INDEX(N$381:N$392,$D1707)+(N1680+N1698)*(1+$E1707),0.01)</f>
        <v/>
      </c>
      <c r="O1707" s="35">
        <f>MAX(INDEX(O$381:O$392,$D1707)+(O1680+O1698)*(1+$E1707),0.01)</f>
        <v/>
      </c>
      <c r="P1707" s="35">
        <f>MAX(INDEX(P$381:P$392,$D1707)+(P1680+P1698)*(1+$E1707),0.01)</f>
        <v/>
      </c>
      <c r="Q1707" s="35">
        <f>MAX(INDEX(Q$381:Q$392,$D1707)+(Q1680+Q1698)*(1+$E1707),0.01)</f>
        <v/>
      </c>
      <c r="R1707" s="35">
        <f>MAX(INDEX(R$381:R$392,$D1707)+(R1680+R1698)*(1+$E1707),0.01)</f>
        <v/>
      </c>
      <c r="S1707" s="35">
        <f>MAX(INDEX(S$381:S$392,$D1707)+(S1680+S1698)*(1+$E1707),0.01)</f>
        <v/>
      </c>
      <c r="T1707" s="35">
        <f>MAX(INDEX(T$381:T$392,$D1707)+(T1680+T1698)*(1+$E1707),0.01)</f>
        <v/>
      </c>
      <c r="U1707" s="35">
        <f>MAX(INDEX(U$381:U$392,$D1707)+(U1680+U1698)*(1+$E1707),0.01)</f>
        <v/>
      </c>
      <c r="V1707" s="35">
        <f>MAX(INDEX(V$381:V$392,$D1707)+(V1680+V1698)*(1+$E1707),0.01)</f>
        <v/>
      </c>
      <c r="W1707" s="35">
        <f>MAX(INDEX(W$381:W$392,$D1707)+(W1680+W1698)*(1+$E1707),0.01)</f>
        <v/>
      </c>
      <c r="X1707" s="35">
        <f>MAX(INDEX(X$381:X$392,$D1707)+(X1680+X1698)*(1+$E1707),0.01)</f>
        <v/>
      </c>
      <c r="Y1707" s="35">
        <f>MAX(INDEX(Y$381:Y$392,$D1707)+(Y1680+Y1698)*(1+$E1707),0.01)</f>
        <v/>
      </c>
      <c r="Z1707" s="35">
        <f>MAX(INDEX(Z$381:Z$392,$D1707)+(Z1680+Z1698)*(1+$E1707),0.01)</f>
        <v/>
      </c>
      <c r="AA1707" s="35">
        <f>MAX(INDEX(AA$381:AA$392,$D1707)+(AA1680+AA1698)*(1+$E1707),0.01)</f>
        <v/>
      </c>
      <c r="AB1707" s="35">
        <f>MAX(INDEX(AB$381:AB$392,$D1707)+(AB1680+AB1698)*(1+$E1707),0.01)</f>
        <v/>
      </c>
      <c r="AC1707" s="35">
        <f>MAX(INDEX(AC$381:AC$392,$D1707)+(AC1680+AC1698)*(1+$E1707),0.01)</f>
        <v/>
      </c>
      <c r="AD1707" s="35">
        <f>MAX(INDEX(AD$381:AD$392,$D1707)+(AD1680+AD1698)*(1+$E1707),0.01)</f>
        <v/>
      </c>
      <c r="AE1707" s="42">
        <f>POSTTAX(INDEX(AE$381:AE$392,$D1707),AE1680+AE1698,$E1707)</f>
        <v/>
      </c>
      <c r="AG1707" s="11">
        <f>CodePrefix&amp;$A1707&amp;IF($C1707="","","."&amp;$C1707&amp;"."&amp;$B1707)&amp;INDEX(VarEnd,MATCH($A1707,VarKey,0))&amp;AG$5</f>
        <v/>
      </c>
      <c r="AH1707" s="40">
        <f>MAX(INDEX(AH$381:AH$392,$D1707)+(AH1680+AH1698)*(1+$E1707),0.01)</f>
        <v/>
      </c>
      <c r="AI1707" s="35">
        <f>MAX(INDEX(AI$381:AI$392,$D1707)+(AI1680+AI1698)*(1+$E1707),0.01)</f>
        <v/>
      </c>
      <c r="AJ1707" s="35">
        <f>MAX(INDEX(AJ$381:AJ$392,$D1707)+(AJ1680+AJ1698)*(1+$E1707),0.01)</f>
        <v/>
      </c>
      <c r="AK1707" s="35">
        <f>MAX(INDEX(AK$381:AK$392,$D1707)+(AK1680+AK1698)*(1+$E1707),0.01)</f>
        <v/>
      </c>
      <c r="AL1707" s="35">
        <f>MAX(INDEX(AL$381:AL$392,$D1707)+(AL1680+AL1698)*(1+$E1707),0.01)</f>
        <v/>
      </c>
      <c r="AM1707" s="35">
        <f>MAX(INDEX(AM$381:AM$392,$D1707)+(AM1680+AM1698)*(1+$E1707),0.01)</f>
        <v/>
      </c>
      <c r="AN1707" s="35">
        <f>MAX(INDEX(AN$381:AN$392,$D1707)+(AN1680+AN1698)*(1+$E1707),0.01)</f>
        <v/>
      </c>
      <c r="AO1707" s="35">
        <f>MAX(INDEX(AO$381:AO$392,$D1707)+(AO1680+AO1698)*(1+$E1707),0.01)</f>
        <v/>
      </c>
      <c r="AP1707" s="35">
        <f>MAX(INDEX(AP$381:AP$392,$D1707)+(AP1680+AP1698)*(1+$E1707),0.01)</f>
        <v/>
      </c>
      <c r="AQ1707" s="35">
        <f>MAX(INDEX(AQ$381:AQ$392,$D1707)+(AQ1680+AQ1698)*(1+$E1707),0.01)</f>
        <v/>
      </c>
      <c r="AR1707" s="35">
        <f>MAX(INDEX(AR$381:AR$392,$D1707)+(AR1680+AR1698)*(1+$E1707),0.01)</f>
        <v/>
      </c>
      <c r="AS1707" s="35">
        <f>MAX(INDEX(AS$381:AS$392,$D1707)+(AS1680+AS1698)*(1+$E1707),0.01)</f>
        <v/>
      </c>
      <c r="AT1707" s="35">
        <f>MAX(INDEX(AT$381:AT$392,$D1707)+(AT1680+AT1698)*(1+$E1707),0.01)</f>
        <v/>
      </c>
      <c r="AU1707" s="35">
        <f>MAX(INDEX(AU$381:AU$392,$D1707)+(AU1680+AU1698)*(1+$E1707),0.01)</f>
        <v/>
      </c>
      <c r="AV1707" s="35">
        <f>MAX(INDEX(AV$381:AV$392,$D1707)+(AV1680+AV1698)*(1+$E1707),0.01)</f>
        <v/>
      </c>
      <c r="AW1707" s="35">
        <f>MAX(INDEX(AW$381:AW$392,$D1707)+(AW1680+AW1698)*(1+$E1707),0.01)</f>
        <v/>
      </c>
      <c r="AX1707" s="35">
        <f>MAX(INDEX(AX$381:AX$392,$D1707)+(AX1680+AX1698)*(1+$E1707),0.01)</f>
        <v/>
      </c>
      <c r="AY1707" s="35">
        <f>MAX(INDEX(AY$381:AY$392,$D1707)+(AY1680+AY1698)*(1+$E1707),0.01)</f>
        <v/>
      </c>
      <c r="AZ1707" s="35">
        <f>MAX(INDEX(AZ$381:AZ$392,$D1707)+(AZ1680+AZ1698)*(1+$E1707),0.01)</f>
        <v/>
      </c>
      <c r="BA1707" s="42">
        <f>POSTTAX(INDEX(BA$381:BA$392,$D1707),BA1680+BA1698,$E1707)</f>
        <v/>
      </c>
    </row>
    <row r="1708" hidden="1" outlineLevel="2">
      <c r="A1708" s="14" t="inlineStr">
        <is>
          <t>atp</t>
        </is>
      </c>
      <c r="B1708" s="14" t="inlineStr">
        <is>
          <t>lpg</t>
        </is>
      </c>
      <c r="C1708" s="14" t="inlineStr">
        <is>
          <t>foo</t>
        </is>
      </c>
      <c r="D1708" s="35">
        <f>INDEX(Inputs!$U$5:$U$132,MATCH($B1708&amp;"|"&amp;$C1708,Inputs!$A$5:$A$132,0))</f>
        <v/>
      </c>
      <c r="E1708" s="35">
        <f>INDEX(Inputs!$V$5:$V$132,MATCH($B1708&amp;"|"&amp;$C1708,Inputs!$A$5:$A$132,0))</f>
        <v/>
      </c>
      <c r="F1708" s="39" t="n"/>
      <c r="G1708" s="39" t="n"/>
      <c r="H1708" s="14">
        <f>INDEX(VarLab,MATCH($A1708,VarKey,0))&amp;INDEX(MemLab,MATCH($C1708&amp;"|"&amp;$B1708,MemKey,0))</f>
        <v/>
      </c>
      <c r="I1708" s="14">
        <f>INDEX(VarUnit,MATCH($A1708,VarKey,0))</f>
        <v/>
      </c>
      <c r="J1708" s="14">
        <f>INDEX(VarSrc,MATCH($A1708,VarKey,0))</f>
        <v/>
      </c>
      <c r="K1708" s="11">
        <f>CodePrefix&amp;$A1708&amp;IF($C1708="","","."&amp;$C1708&amp;"."&amp;$B1708)&amp;INDEX(VarEnd,MATCH($A1708,VarKey,0))&amp;K$5</f>
        <v/>
      </c>
      <c r="L1708" s="40">
        <f>MAX(INDEX(L$381:L$392,$D1708)+(L1681+L1699)*(1+$E1708),0.01)</f>
        <v/>
      </c>
      <c r="M1708" s="35">
        <f>MAX(INDEX(M$381:M$392,$D1708)+(M1681+M1699)*(1+$E1708),0.01)</f>
        <v/>
      </c>
      <c r="N1708" s="35">
        <f>MAX(INDEX(N$381:N$392,$D1708)+(N1681+N1699)*(1+$E1708),0.01)</f>
        <v/>
      </c>
      <c r="O1708" s="35">
        <f>MAX(INDEX(O$381:O$392,$D1708)+(O1681+O1699)*(1+$E1708),0.01)</f>
        <v/>
      </c>
      <c r="P1708" s="35">
        <f>MAX(INDEX(P$381:P$392,$D1708)+(P1681+P1699)*(1+$E1708),0.01)</f>
        <v/>
      </c>
      <c r="Q1708" s="35">
        <f>MAX(INDEX(Q$381:Q$392,$D1708)+(Q1681+Q1699)*(1+$E1708),0.01)</f>
        <v/>
      </c>
      <c r="R1708" s="35">
        <f>MAX(INDEX(R$381:R$392,$D1708)+(R1681+R1699)*(1+$E1708),0.01)</f>
        <v/>
      </c>
      <c r="S1708" s="35">
        <f>MAX(INDEX(S$381:S$392,$D1708)+(S1681+S1699)*(1+$E1708),0.01)</f>
        <v/>
      </c>
      <c r="T1708" s="35">
        <f>MAX(INDEX(T$381:T$392,$D1708)+(T1681+T1699)*(1+$E1708),0.01)</f>
        <v/>
      </c>
      <c r="U1708" s="35">
        <f>MAX(INDEX(U$381:U$392,$D1708)+(U1681+U1699)*(1+$E1708),0.01)</f>
        <v/>
      </c>
      <c r="V1708" s="35">
        <f>MAX(INDEX(V$381:V$392,$D1708)+(V1681+V1699)*(1+$E1708),0.01)</f>
        <v/>
      </c>
      <c r="W1708" s="35">
        <f>MAX(INDEX(W$381:W$392,$D1708)+(W1681+W1699)*(1+$E1708),0.01)</f>
        <v/>
      </c>
      <c r="X1708" s="35">
        <f>MAX(INDEX(X$381:X$392,$D1708)+(X1681+X1699)*(1+$E1708),0.01)</f>
        <v/>
      </c>
      <c r="Y1708" s="35">
        <f>MAX(INDEX(Y$381:Y$392,$D1708)+(Y1681+Y1699)*(1+$E1708),0.01)</f>
        <v/>
      </c>
      <c r="Z1708" s="35">
        <f>MAX(INDEX(Z$381:Z$392,$D1708)+(Z1681+Z1699)*(1+$E1708),0.01)</f>
        <v/>
      </c>
      <c r="AA1708" s="35">
        <f>MAX(INDEX(AA$381:AA$392,$D1708)+(AA1681+AA1699)*(1+$E1708),0.01)</f>
        <v/>
      </c>
      <c r="AB1708" s="35">
        <f>MAX(INDEX(AB$381:AB$392,$D1708)+(AB1681+AB1699)*(1+$E1708),0.01)</f>
        <v/>
      </c>
      <c r="AC1708" s="35">
        <f>MAX(INDEX(AC$381:AC$392,$D1708)+(AC1681+AC1699)*(1+$E1708),0.01)</f>
        <v/>
      </c>
      <c r="AD1708" s="35">
        <f>MAX(INDEX(AD$381:AD$392,$D1708)+(AD1681+AD1699)*(1+$E1708),0.01)</f>
        <v/>
      </c>
      <c r="AE1708" s="42">
        <f>POSTTAX(INDEX(AE$381:AE$392,$D1708),AE1681+AE1699,$E1708)</f>
        <v/>
      </c>
      <c r="AG1708" s="11">
        <f>CodePrefix&amp;$A1708&amp;IF($C1708="","","."&amp;$C1708&amp;"."&amp;$B1708)&amp;INDEX(VarEnd,MATCH($A1708,VarKey,0))&amp;AG$5</f>
        <v/>
      </c>
      <c r="AH1708" s="40">
        <f>MAX(INDEX(AH$381:AH$392,$D1708)+(AH1681+AH1699)*(1+$E1708),0.01)</f>
        <v/>
      </c>
      <c r="AI1708" s="35">
        <f>MAX(INDEX(AI$381:AI$392,$D1708)+(AI1681+AI1699)*(1+$E1708),0.01)</f>
        <v/>
      </c>
      <c r="AJ1708" s="35">
        <f>MAX(INDEX(AJ$381:AJ$392,$D1708)+(AJ1681+AJ1699)*(1+$E1708),0.01)</f>
        <v/>
      </c>
      <c r="AK1708" s="35">
        <f>MAX(INDEX(AK$381:AK$392,$D1708)+(AK1681+AK1699)*(1+$E1708),0.01)</f>
        <v/>
      </c>
      <c r="AL1708" s="35">
        <f>MAX(INDEX(AL$381:AL$392,$D1708)+(AL1681+AL1699)*(1+$E1708),0.01)</f>
        <v/>
      </c>
      <c r="AM1708" s="35">
        <f>MAX(INDEX(AM$381:AM$392,$D1708)+(AM1681+AM1699)*(1+$E1708),0.01)</f>
        <v/>
      </c>
      <c r="AN1708" s="35">
        <f>MAX(INDEX(AN$381:AN$392,$D1708)+(AN1681+AN1699)*(1+$E1708),0.01)</f>
        <v/>
      </c>
      <c r="AO1708" s="35">
        <f>MAX(INDEX(AO$381:AO$392,$D1708)+(AO1681+AO1699)*(1+$E1708),0.01)</f>
        <v/>
      </c>
      <c r="AP1708" s="35">
        <f>MAX(INDEX(AP$381:AP$392,$D1708)+(AP1681+AP1699)*(1+$E1708),0.01)</f>
        <v/>
      </c>
      <c r="AQ1708" s="35">
        <f>MAX(INDEX(AQ$381:AQ$392,$D1708)+(AQ1681+AQ1699)*(1+$E1708),0.01)</f>
        <v/>
      </c>
      <c r="AR1708" s="35">
        <f>MAX(INDEX(AR$381:AR$392,$D1708)+(AR1681+AR1699)*(1+$E1708),0.01)</f>
        <v/>
      </c>
      <c r="AS1708" s="35">
        <f>MAX(INDEX(AS$381:AS$392,$D1708)+(AS1681+AS1699)*(1+$E1708),0.01)</f>
        <v/>
      </c>
      <c r="AT1708" s="35">
        <f>MAX(INDEX(AT$381:AT$392,$D1708)+(AT1681+AT1699)*(1+$E1708),0.01)</f>
        <v/>
      </c>
      <c r="AU1708" s="35">
        <f>MAX(INDEX(AU$381:AU$392,$D1708)+(AU1681+AU1699)*(1+$E1708),0.01)</f>
        <v/>
      </c>
      <c r="AV1708" s="35">
        <f>MAX(INDEX(AV$381:AV$392,$D1708)+(AV1681+AV1699)*(1+$E1708),0.01)</f>
        <v/>
      </c>
      <c r="AW1708" s="35">
        <f>MAX(INDEX(AW$381:AW$392,$D1708)+(AW1681+AW1699)*(1+$E1708),0.01)</f>
        <v/>
      </c>
      <c r="AX1708" s="35">
        <f>MAX(INDEX(AX$381:AX$392,$D1708)+(AX1681+AX1699)*(1+$E1708),0.01)</f>
        <v/>
      </c>
      <c r="AY1708" s="35">
        <f>MAX(INDEX(AY$381:AY$392,$D1708)+(AY1681+AY1699)*(1+$E1708),0.01)</f>
        <v/>
      </c>
      <c r="AZ1708" s="35">
        <f>MAX(INDEX(AZ$381:AZ$392,$D1708)+(AZ1681+AZ1699)*(1+$E1708),0.01)</f>
        <v/>
      </c>
      <c r="BA1708" s="42">
        <f>POSTTAX(INDEX(BA$381:BA$392,$D1708),BA1681+BA1699,$E1708)</f>
        <v/>
      </c>
    </row>
    <row r="1709" hidden="1" outlineLevel="2">
      <c r="A1709" s="14" t="inlineStr">
        <is>
          <t>atp</t>
        </is>
      </c>
      <c r="B1709" s="14" t="inlineStr">
        <is>
          <t>ker</t>
        </is>
      </c>
      <c r="C1709" s="14" t="inlineStr">
        <is>
          <t>foo</t>
        </is>
      </c>
      <c r="D1709" s="35">
        <f>INDEX(Inputs!$U$5:$U$132,MATCH($B1709&amp;"|"&amp;$C1709,Inputs!$A$5:$A$132,0))</f>
        <v/>
      </c>
      <c r="E1709" s="35">
        <f>INDEX(Inputs!$V$5:$V$132,MATCH($B1709&amp;"|"&amp;$C1709,Inputs!$A$5:$A$132,0))</f>
        <v/>
      </c>
      <c r="F1709" s="39" t="n"/>
      <c r="G1709" s="39" t="n"/>
      <c r="H1709" s="14">
        <f>INDEX(VarLab,MATCH($A1709,VarKey,0))&amp;INDEX(MemLab,MATCH($C1709&amp;"|"&amp;$B1709,MemKey,0))</f>
        <v/>
      </c>
      <c r="I1709" s="14">
        <f>INDEX(VarUnit,MATCH($A1709,VarKey,0))</f>
        <v/>
      </c>
      <c r="J1709" s="14">
        <f>INDEX(VarSrc,MATCH($A1709,VarKey,0))</f>
        <v/>
      </c>
      <c r="K1709" s="11">
        <f>CodePrefix&amp;$A1709&amp;IF($C1709="","","."&amp;$C1709&amp;"."&amp;$B1709)&amp;INDEX(VarEnd,MATCH($A1709,VarKey,0))&amp;K$5</f>
        <v/>
      </c>
      <c r="L1709" s="40">
        <f>MAX(INDEX(L$381:L$392,$D1709)+(L1682+L1700)*(1+$E1709),0.01)</f>
        <v/>
      </c>
      <c r="M1709" s="35">
        <f>MAX(INDEX(M$381:M$392,$D1709)+(M1682+M1700)*(1+$E1709),0.01)</f>
        <v/>
      </c>
      <c r="N1709" s="35">
        <f>MAX(INDEX(N$381:N$392,$D1709)+(N1682+N1700)*(1+$E1709),0.01)</f>
        <v/>
      </c>
      <c r="O1709" s="35">
        <f>MAX(INDEX(O$381:O$392,$D1709)+(O1682+O1700)*(1+$E1709),0.01)</f>
        <v/>
      </c>
      <c r="P1709" s="35">
        <f>MAX(INDEX(P$381:P$392,$D1709)+(P1682+P1700)*(1+$E1709),0.01)</f>
        <v/>
      </c>
      <c r="Q1709" s="35">
        <f>MAX(INDEX(Q$381:Q$392,$D1709)+(Q1682+Q1700)*(1+$E1709),0.01)</f>
        <v/>
      </c>
      <c r="R1709" s="35">
        <f>MAX(INDEX(R$381:R$392,$D1709)+(R1682+R1700)*(1+$E1709),0.01)</f>
        <v/>
      </c>
      <c r="S1709" s="35">
        <f>MAX(INDEX(S$381:S$392,$D1709)+(S1682+S1700)*(1+$E1709),0.01)</f>
        <v/>
      </c>
      <c r="T1709" s="35">
        <f>MAX(INDEX(T$381:T$392,$D1709)+(T1682+T1700)*(1+$E1709),0.01)</f>
        <v/>
      </c>
      <c r="U1709" s="35">
        <f>MAX(INDEX(U$381:U$392,$D1709)+(U1682+U1700)*(1+$E1709),0.01)</f>
        <v/>
      </c>
      <c r="V1709" s="35">
        <f>MAX(INDEX(V$381:V$392,$D1709)+(V1682+V1700)*(1+$E1709),0.01)</f>
        <v/>
      </c>
      <c r="W1709" s="35">
        <f>MAX(INDEX(W$381:W$392,$D1709)+(W1682+W1700)*(1+$E1709),0.01)</f>
        <v/>
      </c>
      <c r="X1709" s="35">
        <f>MAX(INDEX(X$381:X$392,$D1709)+(X1682+X1700)*(1+$E1709),0.01)</f>
        <v/>
      </c>
      <c r="Y1709" s="35">
        <f>MAX(INDEX(Y$381:Y$392,$D1709)+(Y1682+Y1700)*(1+$E1709),0.01)</f>
        <v/>
      </c>
      <c r="Z1709" s="35">
        <f>MAX(INDEX(Z$381:Z$392,$D1709)+(Z1682+Z1700)*(1+$E1709),0.01)</f>
        <v/>
      </c>
      <c r="AA1709" s="35">
        <f>MAX(INDEX(AA$381:AA$392,$D1709)+(AA1682+AA1700)*(1+$E1709),0.01)</f>
        <v/>
      </c>
      <c r="AB1709" s="35">
        <f>MAX(INDEX(AB$381:AB$392,$D1709)+(AB1682+AB1700)*(1+$E1709),0.01)</f>
        <v/>
      </c>
      <c r="AC1709" s="35">
        <f>MAX(INDEX(AC$381:AC$392,$D1709)+(AC1682+AC1700)*(1+$E1709),0.01)</f>
        <v/>
      </c>
      <c r="AD1709" s="35">
        <f>MAX(INDEX(AD$381:AD$392,$D1709)+(AD1682+AD1700)*(1+$E1709),0.01)</f>
        <v/>
      </c>
      <c r="AE1709" s="42">
        <f>POSTTAX(INDEX(AE$381:AE$392,$D1709),AE1682+AE1700,$E1709)</f>
        <v/>
      </c>
      <c r="AG1709" s="11">
        <f>CodePrefix&amp;$A1709&amp;IF($C1709="","","."&amp;$C1709&amp;"."&amp;$B1709)&amp;INDEX(VarEnd,MATCH($A1709,VarKey,0))&amp;AG$5</f>
        <v/>
      </c>
      <c r="AH1709" s="40">
        <f>MAX(INDEX(AH$381:AH$392,$D1709)+(AH1682+AH1700)*(1+$E1709),0.01)</f>
        <v/>
      </c>
      <c r="AI1709" s="35">
        <f>MAX(INDEX(AI$381:AI$392,$D1709)+(AI1682+AI1700)*(1+$E1709),0.01)</f>
        <v/>
      </c>
      <c r="AJ1709" s="35">
        <f>MAX(INDEX(AJ$381:AJ$392,$D1709)+(AJ1682+AJ1700)*(1+$E1709),0.01)</f>
        <v/>
      </c>
      <c r="AK1709" s="35">
        <f>MAX(INDEX(AK$381:AK$392,$D1709)+(AK1682+AK1700)*(1+$E1709),0.01)</f>
        <v/>
      </c>
      <c r="AL1709" s="35">
        <f>MAX(INDEX(AL$381:AL$392,$D1709)+(AL1682+AL1700)*(1+$E1709),0.01)</f>
        <v/>
      </c>
      <c r="AM1709" s="35">
        <f>MAX(INDEX(AM$381:AM$392,$D1709)+(AM1682+AM1700)*(1+$E1709),0.01)</f>
        <v/>
      </c>
      <c r="AN1709" s="35">
        <f>MAX(INDEX(AN$381:AN$392,$D1709)+(AN1682+AN1700)*(1+$E1709),0.01)</f>
        <v/>
      </c>
      <c r="AO1709" s="35">
        <f>MAX(INDEX(AO$381:AO$392,$D1709)+(AO1682+AO1700)*(1+$E1709),0.01)</f>
        <v/>
      </c>
      <c r="AP1709" s="35">
        <f>MAX(INDEX(AP$381:AP$392,$D1709)+(AP1682+AP1700)*(1+$E1709),0.01)</f>
        <v/>
      </c>
      <c r="AQ1709" s="35">
        <f>MAX(INDEX(AQ$381:AQ$392,$D1709)+(AQ1682+AQ1700)*(1+$E1709),0.01)</f>
        <v/>
      </c>
      <c r="AR1709" s="35">
        <f>MAX(INDEX(AR$381:AR$392,$D1709)+(AR1682+AR1700)*(1+$E1709),0.01)</f>
        <v/>
      </c>
      <c r="AS1709" s="35">
        <f>MAX(INDEX(AS$381:AS$392,$D1709)+(AS1682+AS1700)*(1+$E1709),0.01)</f>
        <v/>
      </c>
      <c r="AT1709" s="35">
        <f>MAX(INDEX(AT$381:AT$392,$D1709)+(AT1682+AT1700)*(1+$E1709),0.01)</f>
        <v/>
      </c>
      <c r="AU1709" s="35">
        <f>MAX(INDEX(AU$381:AU$392,$D1709)+(AU1682+AU1700)*(1+$E1709),0.01)</f>
        <v/>
      </c>
      <c r="AV1709" s="35">
        <f>MAX(INDEX(AV$381:AV$392,$D1709)+(AV1682+AV1700)*(1+$E1709),0.01)</f>
        <v/>
      </c>
      <c r="AW1709" s="35">
        <f>MAX(INDEX(AW$381:AW$392,$D1709)+(AW1682+AW1700)*(1+$E1709),0.01)</f>
        <v/>
      </c>
      <c r="AX1709" s="35">
        <f>MAX(INDEX(AX$381:AX$392,$D1709)+(AX1682+AX1700)*(1+$E1709),0.01)</f>
        <v/>
      </c>
      <c r="AY1709" s="35">
        <f>MAX(INDEX(AY$381:AY$392,$D1709)+(AY1682+AY1700)*(1+$E1709),0.01)</f>
        <v/>
      </c>
      <c r="AZ1709" s="35">
        <f>MAX(INDEX(AZ$381:AZ$392,$D1709)+(AZ1682+AZ1700)*(1+$E1709),0.01)</f>
        <v/>
      </c>
      <c r="BA1709" s="42">
        <f>POSTTAX(INDEX(BA$381:BA$392,$D1709),BA1682+BA1700,$E1709)</f>
        <v/>
      </c>
    </row>
    <row r="1710" hidden="1" outlineLevel="2">
      <c r="A1710" s="14" t="inlineStr">
        <is>
          <t>atp</t>
        </is>
      </c>
      <c r="B1710" s="14" t="inlineStr">
        <is>
          <t>oop</t>
        </is>
      </c>
      <c r="C1710" s="14" t="inlineStr">
        <is>
          <t>foo</t>
        </is>
      </c>
      <c r="D1710" s="35">
        <f>INDEX(Inputs!$U$5:$U$132,MATCH($B1710&amp;"|"&amp;$C1710,Inputs!$A$5:$A$132,0))</f>
        <v/>
      </c>
      <c r="E1710" s="35">
        <f>INDEX(Inputs!$V$5:$V$132,MATCH($B1710&amp;"|"&amp;$C1710,Inputs!$A$5:$A$132,0))</f>
        <v/>
      </c>
      <c r="F1710" s="39" t="n"/>
      <c r="G1710" s="39" t="n"/>
      <c r="H1710" s="14">
        <f>INDEX(VarLab,MATCH($A1710,VarKey,0))&amp;INDEX(MemLab,MATCH($C1710&amp;"|"&amp;$B1710,MemKey,0))</f>
        <v/>
      </c>
      <c r="I1710" s="14">
        <f>INDEX(VarUnit,MATCH($A1710,VarKey,0))</f>
        <v/>
      </c>
      <c r="J1710" s="14">
        <f>INDEX(VarSrc,MATCH($A1710,VarKey,0))</f>
        <v/>
      </c>
      <c r="K1710" s="11">
        <f>CodePrefix&amp;$A1710&amp;IF($C1710="","","."&amp;$C1710&amp;"."&amp;$B1710)&amp;INDEX(VarEnd,MATCH($A1710,VarKey,0))&amp;K$5</f>
        <v/>
      </c>
      <c r="L1710" s="40">
        <f>MAX(INDEX(L$381:L$392,$D1710)+(L1683+L1701)*(1+$E1710),0.01)</f>
        <v/>
      </c>
      <c r="M1710" s="35">
        <f>MAX(INDEX(M$381:M$392,$D1710)+(M1683+M1701)*(1+$E1710),0.01)</f>
        <v/>
      </c>
      <c r="N1710" s="35">
        <f>MAX(INDEX(N$381:N$392,$D1710)+(N1683+N1701)*(1+$E1710),0.01)</f>
        <v/>
      </c>
      <c r="O1710" s="35">
        <f>MAX(INDEX(O$381:O$392,$D1710)+(O1683+O1701)*(1+$E1710),0.01)</f>
        <v/>
      </c>
      <c r="P1710" s="35">
        <f>MAX(INDEX(P$381:P$392,$D1710)+(P1683+P1701)*(1+$E1710),0.01)</f>
        <v/>
      </c>
      <c r="Q1710" s="35">
        <f>MAX(INDEX(Q$381:Q$392,$D1710)+(Q1683+Q1701)*(1+$E1710),0.01)</f>
        <v/>
      </c>
      <c r="R1710" s="35">
        <f>MAX(INDEX(R$381:R$392,$D1710)+(R1683+R1701)*(1+$E1710),0.01)</f>
        <v/>
      </c>
      <c r="S1710" s="35">
        <f>MAX(INDEX(S$381:S$392,$D1710)+(S1683+S1701)*(1+$E1710),0.01)</f>
        <v/>
      </c>
      <c r="T1710" s="35">
        <f>MAX(INDEX(T$381:T$392,$D1710)+(T1683+T1701)*(1+$E1710),0.01)</f>
        <v/>
      </c>
      <c r="U1710" s="35">
        <f>MAX(INDEX(U$381:U$392,$D1710)+(U1683+U1701)*(1+$E1710),0.01)</f>
        <v/>
      </c>
      <c r="V1710" s="35">
        <f>MAX(INDEX(V$381:V$392,$D1710)+(V1683+V1701)*(1+$E1710),0.01)</f>
        <v/>
      </c>
      <c r="W1710" s="35">
        <f>MAX(INDEX(W$381:W$392,$D1710)+(W1683+W1701)*(1+$E1710),0.01)</f>
        <v/>
      </c>
      <c r="X1710" s="35">
        <f>MAX(INDEX(X$381:X$392,$D1710)+(X1683+X1701)*(1+$E1710),0.01)</f>
        <v/>
      </c>
      <c r="Y1710" s="35">
        <f>MAX(INDEX(Y$381:Y$392,$D1710)+(Y1683+Y1701)*(1+$E1710),0.01)</f>
        <v/>
      </c>
      <c r="Z1710" s="35">
        <f>MAX(INDEX(Z$381:Z$392,$D1710)+(Z1683+Z1701)*(1+$E1710),0.01)</f>
        <v/>
      </c>
      <c r="AA1710" s="35">
        <f>MAX(INDEX(AA$381:AA$392,$D1710)+(AA1683+AA1701)*(1+$E1710),0.01)</f>
        <v/>
      </c>
      <c r="AB1710" s="35">
        <f>MAX(INDEX(AB$381:AB$392,$D1710)+(AB1683+AB1701)*(1+$E1710),0.01)</f>
        <v/>
      </c>
      <c r="AC1710" s="35">
        <f>MAX(INDEX(AC$381:AC$392,$D1710)+(AC1683+AC1701)*(1+$E1710),0.01)</f>
        <v/>
      </c>
      <c r="AD1710" s="35">
        <f>MAX(INDEX(AD$381:AD$392,$D1710)+(AD1683+AD1701)*(1+$E1710),0.01)</f>
        <v/>
      </c>
      <c r="AE1710" s="42">
        <f>POSTTAX(INDEX(AE$381:AE$392,$D1710),AE1683+AE1701,$E1710)</f>
        <v/>
      </c>
      <c r="AG1710" s="11">
        <f>CodePrefix&amp;$A1710&amp;IF($C1710="","","."&amp;$C1710&amp;"."&amp;$B1710)&amp;INDEX(VarEnd,MATCH($A1710,VarKey,0))&amp;AG$5</f>
        <v/>
      </c>
      <c r="AH1710" s="40">
        <f>MAX(INDEX(AH$381:AH$392,$D1710)+(AH1683+AH1701)*(1+$E1710),0.01)</f>
        <v/>
      </c>
      <c r="AI1710" s="35">
        <f>MAX(INDEX(AI$381:AI$392,$D1710)+(AI1683+AI1701)*(1+$E1710),0.01)</f>
        <v/>
      </c>
      <c r="AJ1710" s="35">
        <f>MAX(INDEX(AJ$381:AJ$392,$D1710)+(AJ1683+AJ1701)*(1+$E1710),0.01)</f>
        <v/>
      </c>
      <c r="AK1710" s="35">
        <f>MAX(INDEX(AK$381:AK$392,$D1710)+(AK1683+AK1701)*(1+$E1710),0.01)</f>
        <v/>
      </c>
      <c r="AL1710" s="35">
        <f>MAX(INDEX(AL$381:AL$392,$D1710)+(AL1683+AL1701)*(1+$E1710),0.01)</f>
        <v/>
      </c>
      <c r="AM1710" s="35">
        <f>MAX(INDEX(AM$381:AM$392,$D1710)+(AM1683+AM1701)*(1+$E1710),0.01)</f>
        <v/>
      </c>
      <c r="AN1710" s="35">
        <f>MAX(INDEX(AN$381:AN$392,$D1710)+(AN1683+AN1701)*(1+$E1710),0.01)</f>
        <v/>
      </c>
      <c r="AO1710" s="35">
        <f>MAX(INDEX(AO$381:AO$392,$D1710)+(AO1683+AO1701)*(1+$E1710),0.01)</f>
        <v/>
      </c>
      <c r="AP1710" s="35">
        <f>MAX(INDEX(AP$381:AP$392,$D1710)+(AP1683+AP1701)*(1+$E1710),0.01)</f>
        <v/>
      </c>
      <c r="AQ1710" s="35">
        <f>MAX(INDEX(AQ$381:AQ$392,$D1710)+(AQ1683+AQ1701)*(1+$E1710),0.01)</f>
        <v/>
      </c>
      <c r="AR1710" s="35">
        <f>MAX(INDEX(AR$381:AR$392,$D1710)+(AR1683+AR1701)*(1+$E1710),0.01)</f>
        <v/>
      </c>
      <c r="AS1710" s="35">
        <f>MAX(INDEX(AS$381:AS$392,$D1710)+(AS1683+AS1701)*(1+$E1710),0.01)</f>
        <v/>
      </c>
      <c r="AT1710" s="35">
        <f>MAX(INDEX(AT$381:AT$392,$D1710)+(AT1683+AT1701)*(1+$E1710),0.01)</f>
        <v/>
      </c>
      <c r="AU1710" s="35">
        <f>MAX(INDEX(AU$381:AU$392,$D1710)+(AU1683+AU1701)*(1+$E1710),0.01)</f>
        <v/>
      </c>
      <c r="AV1710" s="35">
        <f>MAX(INDEX(AV$381:AV$392,$D1710)+(AV1683+AV1701)*(1+$E1710),0.01)</f>
        <v/>
      </c>
      <c r="AW1710" s="35">
        <f>MAX(INDEX(AW$381:AW$392,$D1710)+(AW1683+AW1701)*(1+$E1710),0.01)</f>
        <v/>
      </c>
      <c r="AX1710" s="35">
        <f>MAX(INDEX(AX$381:AX$392,$D1710)+(AX1683+AX1701)*(1+$E1710),0.01)</f>
        <v/>
      </c>
      <c r="AY1710" s="35">
        <f>MAX(INDEX(AY$381:AY$392,$D1710)+(AY1683+AY1701)*(1+$E1710),0.01)</f>
        <v/>
      </c>
      <c r="AZ1710" s="35">
        <f>MAX(INDEX(AZ$381:AZ$392,$D1710)+(AZ1683+AZ1701)*(1+$E1710),0.01)</f>
        <v/>
      </c>
      <c r="BA1710" s="42">
        <f>POSTTAX(INDEX(BA$381:BA$392,$D1710),BA1683+BA1701,$E1710)</f>
        <v/>
      </c>
    </row>
    <row r="1711" hidden="1" outlineLevel="2">
      <c r="A1711" s="14" t="inlineStr">
        <is>
          <t>atp</t>
        </is>
      </c>
      <c r="B1711" s="14" t="inlineStr">
        <is>
          <t>bio</t>
        </is>
      </c>
      <c r="C1711" s="14" t="inlineStr">
        <is>
          <t>foo</t>
        </is>
      </c>
      <c r="D1711" s="35">
        <f>INDEX(Inputs!$U$5:$U$132,MATCH($B1711&amp;"|"&amp;$C1711,Inputs!$A$5:$A$132,0))</f>
        <v/>
      </c>
      <c r="E1711" s="35">
        <f>INDEX(Inputs!$V$5:$V$132,MATCH($B1711&amp;"|"&amp;$C1711,Inputs!$A$5:$A$132,0))</f>
        <v/>
      </c>
      <c r="F1711" s="39" t="n"/>
      <c r="G1711" s="39" t="n"/>
      <c r="H1711" s="14">
        <f>INDEX(VarLab,MATCH($A1711,VarKey,0))&amp;INDEX(MemLab,MATCH($C1711&amp;"|"&amp;$B1711,MemKey,0))</f>
        <v/>
      </c>
      <c r="I1711" s="14">
        <f>INDEX(VarUnit,MATCH($A1711,VarKey,0))</f>
        <v/>
      </c>
      <c r="J1711" s="14">
        <f>INDEX(VarSrc,MATCH($A1711,VarKey,0))</f>
        <v/>
      </c>
      <c r="K1711" s="11">
        <f>CodePrefix&amp;$A1711&amp;IF($C1711="","","."&amp;$C1711&amp;"."&amp;$B1711)&amp;INDEX(VarEnd,MATCH($A1711,VarKey,0))&amp;K$5</f>
        <v/>
      </c>
      <c r="L1711" s="40">
        <f>MAX(INDEX(L$381:L$392,$D1711)+(L1684+L1702)*(1+$E1711),0.01)</f>
        <v/>
      </c>
      <c r="M1711" s="35">
        <f>MAX(INDEX(M$381:M$392,$D1711)+(M1684+M1702)*(1+$E1711),0.01)</f>
        <v/>
      </c>
      <c r="N1711" s="35">
        <f>MAX(INDEX(N$381:N$392,$D1711)+(N1684+N1702)*(1+$E1711),0.01)</f>
        <v/>
      </c>
      <c r="O1711" s="35">
        <f>MAX(INDEX(O$381:O$392,$D1711)+(O1684+O1702)*(1+$E1711),0.01)</f>
        <v/>
      </c>
      <c r="P1711" s="35">
        <f>MAX(INDEX(P$381:P$392,$D1711)+(P1684+P1702)*(1+$E1711),0.01)</f>
        <v/>
      </c>
      <c r="Q1711" s="35">
        <f>MAX(INDEX(Q$381:Q$392,$D1711)+(Q1684+Q1702)*(1+$E1711),0.01)</f>
        <v/>
      </c>
      <c r="R1711" s="35">
        <f>MAX(INDEX(R$381:R$392,$D1711)+(R1684+R1702)*(1+$E1711),0.01)</f>
        <v/>
      </c>
      <c r="S1711" s="35">
        <f>MAX(INDEX(S$381:S$392,$D1711)+(S1684+S1702)*(1+$E1711),0.01)</f>
        <v/>
      </c>
      <c r="T1711" s="35">
        <f>MAX(INDEX(T$381:T$392,$D1711)+(T1684+T1702)*(1+$E1711),0.01)</f>
        <v/>
      </c>
      <c r="U1711" s="35">
        <f>MAX(INDEX(U$381:U$392,$D1711)+(U1684+U1702)*(1+$E1711),0.01)</f>
        <v/>
      </c>
      <c r="V1711" s="35">
        <f>MAX(INDEX(V$381:V$392,$D1711)+(V1684+V1702)*(1+$E1711),0.01)</f>
        <v/>
      </c>
      <c r="W1711" s="35">
        <f>MAX(INDEX(W$381:W$392,$D1711)+(W1684+W1702)*(1+$E1711),0.01)</f>
        <v/>
      </c>
      <c r="X1711" s="35">
        <f>MAX(INDEX(X$381:X$392,$D1711)+(X1684+X1702)*(1+$E1711),0.01)</f>
        <v/>
      </c>
      <c r="Y1711" s="35">
        <f>MAX(INDEX(Y$381:Y$392,$D1711)+(Y1684+Y1702)*(1+$E1711),0.01)</f>
        <v/>
      </c>
      <c r="Z1711" s="35">
        <f>MAX(INDEX(Z$381:Z$392,$D1711)+(Z1684+Z1702)*(1+$E1711),0.01)</f>
        <v/>
      </c>
      <c r="AA1711" s="35">
        <f>MAX(INDEX(AA$381:AA$392,$D1711)+(AA1684+AA1702)*(1+$E1711),0.01)</f>
        <v/>
      </c>
      <c r="AB1711" s="35">
        <f>MAX(INDEX(AB$381:AB$392,$D1711)+(AB1684+AB1702)*(1+$E1711),0.01)</f>
        <v/>
      </c>
      <c r="AC1711" s="35">
        <f>MAX(INDEX(AC$381:AC$392,$D1711)+(AC1684+AC1702)*(1+$E1711),0.01)</f>
        <v/>
      </c>
      <c r="AD1711" s="35">
        <f>MAX(INDEX(AD$381:AD$392,$D1711)+(AD1684+AD1702)*(1+$E1711),0.01)</f>
        <v/>
      </c>
      <c r="AE1711" s="42">
        <f>POSTTAX(INDEX(AE$381:AE$392,$D1711),AE1684+AE1702,$E1711)</f>
        <v/>
      </c>
      <c r="AG1711" s="11">
        <f>CodePrefix&amp;$A1711&amp;IF($C1711="","","."&amp;$C1711&amp;"."&amp;$B1711)&amp;INDEX(VarEnd,MATCH($A1711,VarKey,0))&amp;AG$5</f>
        <v/>
      </c>
      <c r="AH1711" s="40">
        <f>MAX(INDEX(AH$381:AH$392,$D1711)+(AH1684+AH1702)*(1+$E1711),0.01)</f>
        <v/>
      </c>
      <c r="AI1711" s="35">
        <f>MAX(INDEX(AI$381:AI$392,$D1711)+(AI1684+AI1702)*(1+$E1711),0.01)</f>
        <v/>
      </c>
      <c r="AJ1711" s="35">
        <f>MAX(INDEX(AJ$381:AJ$392,$D1711)+(AJ1684+AJ1702)*(1+$E1711),0.01)</f>
        <v/>
      </c>
      <c r="AK1711" s="35">
        <f>MAX(INDEX(AK$381:AK$392,$D1711)+(AK1684+AK1702)*(1+$E1711),0.01)</f>
        <v/>
      </c>
      <c r="AL1711" s="35">
        <f>MAX(INDEX(AL$381:AL$392,$D1711)+(AL1684+AL1702)*(1+$E1711),0.01)</f>
        <v/>
      </c>
      <c r="AM1711" s="35">
        <f>MAX(INDEX(AM$381:AM$392,$D1711)+(AM1684+AM1702)*(1+$E1711),0.01)</f>
        <v/>
      </c>
      <c r="AN1711" s="35">
        <f>MAX(INDEX(AN$381:AN$392,$D1711)+(AN1684+AN1702)*(1+$E1711),0.01)</f>
        <v/>
      </c>
      <c r="AO1711" s="35">
        <f>MAX(INDEX(AO$381:AO$392,$D1711)+(AO1684+AO1702)*(1+$E1711),0.01)</f>
        <v/>
      </c>
      <c r="AP1711" s="35">
        <f>MAX(INDEX(AP$381:AP$392,$D1711)+(AP1684+AP1702)*(1+$E1711),0.01)</f>
        <v/>
      </c>
      <c r="AQ1711" s="35">
        <f>MAX(INDEX(AQ$381:AQ$392,$D1711)+(AQ1684+AQ1702)*(1+$E1711),0.01)</f>
        <v/>
      </c>
      <c r="AR1711" s="35">
        <f>MAX(INDEX(AR$381:AR$392,$D1711)+(AR1684+AR1702)*(1+$E1711),0.01)</f>
        <v/>
      </c>
      <c r="AS1711" s="35">
        <f>MAX(INDEX(AS$381:AS$392,$D1711)+(AS1684+AS1702)*(1+$E1711),0.01)</f>
        <v/>
      </c>
      <c r="AT1711" s="35">
        <f>MAX(INDEX(AT$381:AT$392,$D1711)+(AT1684+AT1702)*(1+$E1711),0.01)</f>
        <v/>
      </c>
      <c r="AU1711" s="35">
        <f>MAX(INDEX(AU$381:AU$392,$D1711)+(AU1684+AU1702)*(1+$E1711),0.01)</f>
        <v/>
      </c>
      <c r="AV1711" s="35">
        <f>MAX(INDEX(AV$381:AV$392,$D1711)+(AV1684+AV1702)*(1+$E1711),0.01)</f>
        <v/>
      </c>
      <c r="AW1711" s="35">
        <f>MAX(INDEX(AW$381:AW$392,$D1711)+(AW1684+AW1702)*(1+$E1711),0.01)</f>
        <v/>
      </c>
      <c r="AX1711" s="35">
        <f>MAX(INDEX(AX$381:AX$392,$D1711)+(AX1684+AX1702)*(1+$E1711),0.01)</f>
        <v/>
      </c>
      <c r="AY1711" s="35">
        <f>MAX(INDEX(AY$381:AY$392,$D1711)+(AY1684+AY1702)*(1+$E1711),0.01)</f>
        <v/>
      </c>
      <c r="AZ1711" s="35">
        <f>MAX(INDEX(AZ$381:AZ$392,$D1711)+(AZ1684+AZ1702)*(1+$E1711),0.01)</f>
        <v/>
      </c>
      <c r="BA1711" s="42">
        <f>POSTTAX(INDEX(BA$381:BA$392,$D1711),BA1684+BA1702,$E1711)</f>
        <v/>
      </c>
    </row>
    <row r="1712" hidden="1" outlineLevel="2"/>
    <row r="1713" hidden="1" outlineLevel="2">
      <c r="A1713" s="14" t="inlineStr">
        <is>
          <t>shp</t>
        </is>
      </c>
      <c r="B1713" s="14" t="inlineStr">
        <is>
          <t>coa</t>
        </is>
      </c>
      <c r="C1713" s="14" t="inlineStr">
        <is>
          <t>foo</t>
        </is>
      </c>
      <c r="D1713" s="35">
        <f>INDEX(Inputs!$W$5:$W$132,MATCH($B1713&amp;"|"&amp;$C1713,Inputs!$A$5:$A$132,0))</f>
        <v/>
      </c>
      <c r="E1713" s="35">
        <f>INDEX(Inputs!$M$5:$M$132,MATCH($B1713&amp;"|"&amp;$C1713,Inputs!$A$5:$A$132,0))</f>
        <v/>
      </c>
      <c r="F1713" s="39" t="n"/>
      <c r="G1713" s="39" t="n"/>
      <c r="H1713" s="14">
        <f>INDEX(VarLab,MATCH($A1713,VarKey,0))&amp;INDEX(MemLab,MATCH($C1713&amp;"|"&amp;$B1713,MemKey,0))</f>
        <v/>
      </c>
      <c r="I1713" s="14">
        <f>INDEX(VarUnit,MATCH($A1713,VarKey,0))</f>
        <v/>
      </c>
      <c r="J1713" s="14">
        <f>INDEX(VarSrc,MATCH($A1713,VarKey,0))</f>
        <v/>
      </c>
      <c r="K1713" s="11">
        <f>CodePrefix&amp;$A1713&amp;IF($C1713="","","."&amp;$C1713&amp;"."&amp;$B1713)&amp;INDEX(VarEnd,MATCH($A1713,VarKey,0))&amp;K$5</f>
        <v/>
      </c>
      <c r="L1713" s="40">
        <f>INDEX(L$297:L$313,$E1713)*$D1713</f>
        <v/>
      </c>
      <c r="M1713" s="35">
        <f>INDEX(M$297:M$313,$E1713)*$D1713</f>
        <v/>
      </c>
      <c r="N1713" s="35">
        <f>INDEX(N$297:N$313,$E1713)*$D1713</f>
        <v/>
      </c>
      <c r="O1713" s="35">
        <f>INDEX(O$297:O$313,$E1713)*$D1713</f>
        <v/>
      </c>
      <c r="P1713" s="35">
        <f>INDEX(P$297:P$313,$E1713)*$D1713</f>
        <v/>
      </c>
      <c r="Q1713" s="35">
        <f>INDEX(Q$297:Q$313,$E1713)*$D1713</f>
        <v/>
      </c>
      <c r="R1713" s="35">
        <f>INDEX(R$297:R$313,$E1713)*$D1713</f>
        <v/>
      </c>
      <c r="S1713" s="35">
        <f>INDEX(S$297:S$313,$E1713)*$D1713</f>
        <v/>
      </c>
      <c r="T1713" s="35">
        <f>INDEX(T$297:T$313,$E1713)*$D1713</f>
        <v/>
      </c>
      <c r="U1713" s="35">
        <f>INDEX(U$297:U$313,$E1713)*$D1713</f>
        <v/>
      </c>
      <c r="V1713" s="35">
        <f>INDEX(V$297:V$313,$E1713)*$D1713</f>
        <v/>
      </c>
      <c r="W1713" s="35">
        <f>INDEX(W$297:W$313,$E1713)*$D1713</f>
        <v/>
      </c>
      <c r="X1713" s="35">
        <f>INDEX(X$297:X$313,$E1713)*$D1713</f>
        <v/>
      </c>
      <c r="Y1713" s="35">
        <f>INDEX(Y$297:Y$313,$E1713)*$D1713</f>
        <v/>
      </c>
      <c r="Z1713" s="35">
        <f>INDEX(Z$297:Z$313,$E1713)*$D1713</f>
        <v/>
      </c>
      <c r="AA1713" s="35">
        <f>INDEX(AA$297:AA$313,$E1713)*$D1713</f>
        <v/>
      </c>
      <c r="AB1713" s="35">
        <f>INDEX(AB$297:AB$313,$E1713)*$D1713</f>
        <v/>
      </c>
      <c r="AC1713" s="35">
        <f>INDEX(AC$297:AC$313,$E1713)*$D1713</f>
        <v/>
      </c>
      <c r="AD1713" s="35">
        <f>INDEX(AD$297:AD$313,$E1713)*$D1713</f>
        <v/>
      </c>
      <c r="AE1713" s="42">
        <f>SHADOWGJ(INDEX(AE$297:AE$313,$E1713),$D1713)</f>
        <v/>
      </c>
      <c r="AG1713" s="11">
        <f>CodePrefix&amp;$A1713&amp;IF($C1713="","","."&amp;$C1713&amp;"."&amp;$B1713)&amp;INDEX(VarEnd,MATCH($A1713,VarKey,0))&amp;AG$5</f>
        <v/>
      </c>
      <c r="AH1713" s="40">
        <f>INDEX(AH$297:AH$313,$E1713)*$D1713</f>
        <v/>
      </c>
      <c r="AI1713" s="35">
        <f>INDEX(AI$297:AI$313,$E1713)*$D1713</f>
        <v/>
      </c>
      <c r="AJ1713" s="35">
        <f>INDEX(AJ$297:AJ$313,$E1713)*$D1713</f>
        <v/>
      </c>
      <c r="AK1713" s="35">
        <f>INDEX(AK$297:AK$313,$E1713)*$D1713</f>
        <v/>
      </c>
      <c r="AL1713" s="35">
        <f>INDEX(AL$297:AL$313,$E1713)*$D1713</f>
        <v/>
      </c>
      <c r="AM1713" s="35">
        <f>INDEX(AM$297:AM$313,$E1713)*$D1713</f>
        <v/>
      </c>
      <c r="AN1713" s="35">
        <f>INDEX(AN$297:AN$313,$E1713)*$D1713</f>
        <v/>
      </c>
      <c r="AO1713" s="35">
        <f>INDEX(AO$297:AO$313,$E1713)*$D1713</f>
        <v/>
      </c>
      <c r="AP1713" s="35">
        <f>INDEX(AP$297:AP$313,$E1713)*$D1713</f>
        <v/>
      </c>
      <c r="AQ1713" s="35">
        <f>INDEX(AQ$297:AQ$313,$E1713)*$D1713</f>
        <v/>
      </c>
      <c r="AR1713" s="35">
        <f>INDEX(AR$297:AR$313,$E1713)*$D1713</f>
        <v/>
      </c>
      <c r="AS1713" s="35">
        <f>INDEX(AS$297:AS$313,$E1713)*$D1713</f>
        <v/>
      </c>
      <c r="AT1713" s="35">
        <f>INDEX(AT$297:AT$313,$E1713)*$D1713</f>
        <v/>
      </c>
      <c r="AU1713" s="35">
        <f>INDEX(AU$297:AU$313,$E1713)*$D1713</f>
        <v/>
      </c>
      <c r="AV1713" s="35">
        <f>INDEX(AV$297:AV$313,$E1713)*$D1713</f>
        <v/>
      </c>
      <c r="AW1713" s="35">
        <f>INDEX(AW$297:AW$313,$E1713)*$D1713</f>
        <v/>
      </c>
      <c r="AX1713" s="35">
        <f>INDEX(AX$297:AX$313,$E1713)*$D1713</f>
        <v/>
      </c>
      <c r="AY1713" s="35">
        <f>INDEX(AY$297:AY$313,$E1713)*$D1713</f>
        <v/>
      </c>
      <c r="AZ1713" s="35">
        <f>INDEX(AZ$297:AZ$313,$E1713)*$D1713</f>
        <v/>
      </c>
      <c r="BA1713" s="42">
        <f>SHADOWGJ(INDEX(BA$297:BA$313,$E1713),$D1713)</f>
        <v/>
      </c>
    </row>
    <row r="1714" hidden="1" outlineLevel="2">
      <c r="A1714" s="14" t="inlineStr">
        <is>
          <t>shp</t>
        </is>
      </c>
      <c r="B1714" s="14" t="inlineStr">
        <is>
          <t>nga</t>
        </is>
      </c>
      <c r="C1714" s="14" t="inlineStr">
        <is>
          <t>foo</t>
        </is>
      </c>
      <c r="D1714" s="35">
        <f>INDEX(Inputs!$W$5:$W$132,MATCH($B1714&amp;"|"&amp;$C1714,Inputs!$A$5:$A$132,0))</f>
        <v/>
      </c>
      <c r="E1714" s="35">
        <f>INDEX(Inputs!$M$5:$M$132,MATCH($B1714&amp;"|"&amp;$C1714,Inputs!$A$5:$A$132,0))</f>
        <v/>
      </c>
      <c r="F1714" s="39" t="n"/>
      <c r="G1714" s="39" t="n"/>
      <c r="H1714" s="14">
        <f>INDEX(VarLab,MATCH($A1714,VarKey,0))&amp;INDEX(MemLab,MATCH($C1714&amp;"|"&amp;$B1714,MemKey,0))</f>
        <v/>
      </c>
      <c r="I1714" s="14">
        <f>INDEX(VarUnit,MATCH($A1714,VarKey,0))</f>
        <v/>
      </c>
      <c r="J1714" s="14">
        <f>INDEX(VarSrc,MATCH($A1714,VarKey,0))</f>
        <v/>
      </c>
      <c r="K1714" s="11">
        <f>CodePrefix&amp;$A1714&amp;IF($C1714="","","."&amp;$C1714&amp;"."&amp;$B1714)&amp;INDEX(VarEnd,MATCH($A1714,VarKey,0))&amp;K$5</f>
        <v/>
      </c>
      <c r="L1714" s="40">
        <f>INDEX(L$297:L$313,$E1714)*$D1714</f>
        <v/>
      </c>
      <c r="M1714" s="35">
        <f>INDEX(M$297:M$313,$E1714)*$D1714</f>
        <v/>
      </c>
      <c r="N1714" s="35">
        <f>INDEX(N$297:N$313,$E1714)*$D1714</f>
        <v/>
      </c>
      <c r="O1714" s="35">
        <f>INDEX(O$297:O$313,$E1714)*$D1714</f>
        <v/>
      </c>
      <c r="P1714" s="35">
        <f>INDEX(P$297:P$313,$E1714)*$D1714</f>
        <v/>
      </c>
      <c r="Q1714" s="35">
        <f>INDEX(Q$297:Q$313,$E1714)*$D1714</f>
        <v/>
      </c>
      <c r="R1714" s="35">
        <f>INDEX(R$297:R$313,$E1714)*$D1714</f>
        <v/>
      </c>
      <c r="S1714" s="35">
        <f>INDEX(S$297:S$313,$E1714)*$D1714</f>
        <v/>
      </c>
      <c r="T1714" s="35">
        <f>INDEX(T$297:T$313,$E1714)*$D1714</f>
        <v/>
      </c>
      <c r="U1714" s="35">
        <f>INDEX(U$297:U$313,$E1714)*$D1714</f>
        <v/>
      </c>
      <c r="V1714" s="35">
        <f>INDEX(V$297:V$313,$E1714)*$D1714</f>
        <v/>
      </c>
      <c r="W1714" s="35">
        <f>INDEX(W$297:W$313,$E1714)*$D1714</f>
        <v/>
      </c>
      <c r="X1714" s="35">
        <f>INDEX(X$297:X$313,$E1714)*$D1714</f>
        <v/>
      </c>
      <c r="Y1714" s="35">
        <f>INDEX(Y$297:Y$313,$E1714)*$D1714</f>
        <v/>
      </c>
      <c r="Z1714" s="35">
        <f>INDEX(Z$297:Z$313,$E1714)*$D1714</f>
        <v/>
      </c>
      <c r="AA1714" s="35">
        <f>INDEX(AA$297:AA$313,$E1714)*$D1714</f>
        <v/>
      </c>
      <c r="AB1714" s="35">
        <f>INDEX(AB$297:AB$313,$E1714)*$D1714</f>
        <v/>
      </c>
      <c r="AC1714" s="35">
        <f>INDEX(AC$297:AC$313,$E1714)*$D1714</f>
        <v/>
      </c>
      <c r="AD1714" s="35">
        <f>INDEX(AD$297:AD$313,$E1714)*$D1714</f>
        <v/>
      </c>
      <c r="AE1714" s="42">
        <f>SHADOWGJ(INDEX(AE$297:AE$313,$E1714),$D1714)</f>
        <v/>
      </c>
      <c r="AG1714" s="11">
        <f>CodePrefix&amp;$A1714&amp;IF($C1714="","","."&amp;$C1714&amp;"."&amp;$B1714)&amp;INDEX(VarEnd,MATCH($A1714,VarKey,0))&amp;AG$5</f>
        <v/>
      </c>
      <c r="AH1714" s="40">
        <f>INDEX(AH$297:AH$313,$E1714)*$D1714</f>
        <v/>
      </c>
      <c r="AI1714" s="35">
        <f>INDEX(AI$297:AI$313,$E1714)*$D1714</f>
        <v/>
      </c>
      <c r="AJ1714" s="35">
        <f>INDEX(AJ$297:AJ$313,$E1714)*$D1714</f>
        <v/>
      </c>
      <c r="AK1714" s="35">
        <f>INDEX(AK$297:AK$313,$E1714)*$D1714</f>
        <v/>
      </c>
      <c r="AL1714" s="35">
        <f>INDEX(AL$297:AL$313,$E1714)*$D1714</f>
        <v/>
      </c>
      <c r="AM1714" s="35">
        <f>INDEX(AM$297:AM$313,$E1714)*$D1714</f>
        <v/>
      </c>
      <c r="AN1714" s="35">
        <f>INDEX(AN$297:AN$313,$E1714)*$D1714</f>
        <v/>
      </c>
      <c r="AO1714" s="35">
        <f>INDEX(AO$297:AO$313,$E1714)*$D1714</f>
        <v/>
      </c>
      <c r="AP1714" s="35">
        <f>INDEX(AP$297:AP$313,$E1714)*$D1714</f>
        <v/>
      </c>
      <c r="AQ1714" s="35">
        <f>INDEX(AQ$297:AQ$313,$E1714)*$D1714</f>
        <v/>
      </c>
      <c r="AR1714" s="35">
        <f>INDEX(AR$297:AR$313,$E1714)*$D1714</f>
        <v/>
      </c>
      <c r="AS1714" s="35">
        <f>INDEX(AS$297:AS$313,$E1714)*$D1714</f>
        <v/>
      </c>
      <c r="AT1714" s="35">
        <f>INDEX(AT$297:AT$313,$E1714)*$D1714</f>
        <v/>
      </c>
      <c r="AU1714" s="35">
        <f>INDEX(AU$297:AU$313,$E1714)*$D1714</f>
        <v/>
      </c>
      <c r="AV1714" s="35">
        <f>INDEX(AV$297:AV$313,$E1714)*$D1714</f>
        <v/>
      </c>
      <c r="AW1714" s="35">
        <f>INDEX(AW$297:AW$313,$E1714)*$D1714</f>
        <v/>
      </c>
      <c r="AX1714" s="35">
        <f>INDEX(AX$297:AX$313,$E1714)*$D1714</f>
        <v/>
      </c>
      <c r="AY1714" s="35">
        <f>INDEX(AY$297:AY$313,$E1714)*$D1714</f>
        <v/>
      </c>
      <c r="AZ1714" s="35">
        <f>INDEX(AZ$297:AZ$313,$E1714)*$D1714</f>
        <v/>
      </c>
      <c r="BA1714" s="42">
        <f>SHADOWGJ(INDEX(BA$297:BA$313,$E1714),$D1714)</f>
        <v/>
      </c>
    </row>
    <row r="1715" hidden="1" outlineLevel="2">
      <c r="A1715" s="14" t="inlineStr">
        <is>
          <t>shp</t>
        </is>
      </c>
      <c r="B1715" s="14" t="inlineStr">
        <is>
          <t>gso</t>
        </is>
      </c>
      <c r="C1715" s="14" t="inlineStr">
        <is>
          <t>foo</t>
        </is>
      </c>
      <c r="D1715" s="35">
        <f>INDEX(Inputs!$W$5:$W$132,MATCH($B1715&amp;"|"&amp;$C1715,Inputs!$A$5:$A$132,0))</f>
        <v/>
      </c>
      <c r="E1715" s="35">
        <f>INDEX(Inputs!$M$5:$M$132,MATCH($B1715&amp;"|"&amp;$C1715,Inputs!$A$5:$A$132,0))</f>
        <v/>
      </c>
      <c r="F1715" s="39" t="n"/>
      <c r="G1715" s="39" t="n"/>
      <c r="H1715" s="14">
        <f>INDEX(VarLab,MATCH($A1715,VarKey,0))&amp;INDEX(MemLab,MATCH($C1715&amp;"|"&amp;$B1715,MemKey,0))</f>
        <v/>
      </c>
      <c r="I1715" s="14">
        <f>INDEX(VarUnit,MATCH($A1715,VarKey,0))</f>
        <v/>
      </c>
      <c r="J1715" s="14">
        <f>INDEX(VarSrc,MATCH($A1715,VarKey,0))</f>
        <v/>
      </c>
      <c r="K1715" s="11">
        <f>CodePrefix&amp;$A1715&amp;IF($C1715="","","."&amp;$C1715&amp;"."&amp;$B1715)&amp;INDEX(VarEnd,MATCH($A1715,VarKey,0))&amp;K$5</f>
        <v/>
      </c>
      <c r="L1715" s="40">
        <f>INDEX(L$297:L$313,$E1715)*$D1715</f>
        <v/>
      </c>
      <c r="M1715" s="35">
        <f>INDEX(M$297:M$313,$E1715)*$D1715</f>
        <v/>
      </c>
      <c r="N1715" s="35">
        <f>INDEX(N$297:N$313,$E1715)*$D1715</f>
        <v/>
      </c>
      <c r="O1715" s="35">
        <f>INDEX(O$297:O$313,$E1715)*$D1715</f>
        <v/>
      </c>
      <c r="P1715" s="35">
        <f>INDEX(P$297:P$313,$E1715)*$D1715</f>
        <v/>
      </c>
      <c r="Q1715" s="35">
        <f>INDEX(Q$297:Q$313,$E1715)*$D1715</f>
        <v/>
      </c>
      <c r="R1715" s="35">
        <f>INDEX(R$297:R$313,$E1715)*$D1715</f>
        <v/>
      </c>
      <c r="S1715" s="35">
        <f>INDEX(S$297:S$313,$E1715)*$D1715</f>
        <v/>
      </c>
      <c r="T1715" s="35">
        <f>INDEX(T$297:T$313,$E1715)*$D1715</f>
        <v/>
      </c>
      <c r="U1715" s="35">
        <f>INDEX(U$297:U$313,$E1715)*$D1715</f>
        <v/>
      </c>
      <c r="V1715" s="35">
        <f>INDEX(V$297:V$313,$E1715)*$D1715</f>
        <v/>
      </c>
      <c r="W1715" s="35">
        <f>INDEX(W$297:W$313,$E1715)*$D1715</f>
        <v/>
      </c>
      <c r="X1715" s="35">
        <f>INDEX(X$297:X$313,$E1715)*$D1715</f>
        <v/>
      </c>
      <c r="Y1715" s="35">
        <f>INDEX(Y$297:Y$313,$E1715)*$D1715</f>
        <v/>
      </c>
      <c r="Z1715" s="35">
        <f>INDEX(Z$297:Z$313,$E1715)*$D1715</f>
        <v/>
      </c>
      <c r="AA1715" s="35">
        <f>INDEX(AA$297:AA$313,$E1715)*$D1715</f>
        <v/>
      </c>
      <c r="AB1715" s="35">
        <f>INDEX(AB$297:AB$313,$E1715)*$D1715</f>
        <v/>
      </c>
      <c r="AC1715" s="35">
        <f>INDEX(AC$297:AC$313,$E1715)*$D1715</f>
        <v/>
      </c>
      <c r="AD1715" s="35">
        <f>INDEX(AD$297:AD$313,$E1715)*$D1715</f>
        <v/>
      </c>
      <c r="AE1715" s="42">
        <f>SHADOWGJ(INDEX(AE$297:AE$313,$E1715),$D1715)</f>
        <v/>
      </c>
      <c r="AG1715" s="11">
        <f>CodePrefix&amp;$A1715&amp;IF($C1715="","","."&amp;$C1715&amp;"."&amp;$B1715)&amp;INDEX(VarEnd,MATCH($A1715,VarKey,0))&amp;AG$5</f>
        <v/>
      </c>
      <c r="AH1715" s="40">
        <f>INDEX(AH$297:AH$313,$E1715)*$D1715</f>
        <v/>
      </c>
      <c r="AI1715" s="35">
        <f>INDEX(AI$297:AI$313,$E1715)*$D1715</f>
        <v/>
      </c>
      <c r="AJ1715" s="35">
        <f>INDEX(AJ$297:AJ$313,$E1715)*$D1715</f>
        <v/>
      </c>
      <c r="AK1715" s="35">
        <f>INDEX(AK$297:AK$313,$E1715)*$D1715</f>
        <v/>
      </c>
      <c r="AL1715" s="35">
        <f>INDEX(AL$297:AL$313,$E1715)*$D1715</f>
        <v/>
      </c>
      <c r="AM1715" s="35">
        <f>INDEX(AM$297:AM$313,$E1715)*$D1715</f>
        <v/>
      </c>
      <c r="AN1715" s="35">
        <f>INDEX(AN$297:AN$313,$E1715)*$D1715</f>
        <v/>
      </c>
      <c r="AO1715" s="35">
        <f>INDEX(AO$297:AO$313,$E1715)*$D1715</f>
        <v/>
      </c>
      <c r="AP1715" s="35">
        <f>INDEX(AP$297:AP$313,$E1715)*$D1715</f>
        <v/>
      </c>
      <c r="AQ1715" s="35">
        <f>INDEX(AQ$297:AQ$313,$E1715)*$D1715</f>
        <v/>
      </c>
      <c r="AR1715" s="35">
        <f>INDEX(AR$297:AR$313,$E1715)*$D1715</f>
        <v/>
      </c>
      <c r="AS1715" s="35">
        <f>INDEX(AS$297:AS$313,$E1715)*$D1715</f>
        <v/>
      </c>
      <c r="AT1715" s="35">
        <f>INDEX(AT$297:AT$313,$E1715)*$D1715</f>
        <v/>
      </c>
      <c r="AU1715" s="35">
        <f>INDEX(AU$297:AU$313,$E1715)*$D1715</f>
        <v/>
      </c>
      <c r="AV1715" s="35">
        <f>INDEX(AV$297:AV$313,$E1715)*$D1715</f>
        <v/>
      </c>
      <c r="AW1715" s="35">
        <f>INDEX(AW$297:AW$313,$E1715)*$D1715</f>
        <v/>
      </c>
      <c r="AX1715" s="35">
        <f>INDEX(AX$297:AX$313,$E1715)*$D1715</f>
        <v/>
      </c>
      <c r="AY1715" s="35">
        <f>INDEX(AY$297:AY$313,$E1715)*$D1715</f>
        <v/>
      </c>
      <c r="AZ1715" s="35">
        <f>INDEX(AZ$297:AZ$313,$E1715)*$D1715</f>
        <v/>
      </c>
      <c r="BA1715" s="42">
        <f>SHADOWGJ(INDEX(BA$297:BA$313,$E1715),$D1715)</f>
        <v/>
      </c>
    </row>
    <row r="1716" hidden="1" outlineLevel="2">
      <c r="A1716" s="14" t="inlineStr">
        <is>
          <t>shp</t>
        </is>
      </c>
      <c r="B1716" s="14" t="inlineStr">
        <is>
          <t>die</t>
        </is>
      </c>
      <c r="C1716" s="14" t="inlineStr">
        <is>
          <t>foo</t>
        </is>
      </c>
      <c r="D1716" s="35">
        <f>INDEX(Inputs!$W$5:$W$132,MATCH($B1716&amp;"|"&amp;$C1716,Inputs!$A$5:$A$132,0))</f>
        <v/>
      </c>
      <c r="E1716" s="35">
        <f>INDEX(Inputs!$M$5:$M$132,MATCH($B1716&amp;"|"&amp;$C1716,Inputs!$A$5:$A$132,0))</f>
        <v/>
      </c>
      <c r="F1716" s="39" t="n"/>
      <c r="G1716" s="39" t="n"/>
      <c r="H1716" s="14">
        <f>INDEX(VarLab,MATCH($A1716,VarKey,0))&amp;INDEX(MemLab,MATCH($C1716&amp;"|"&amp;$B1716,MemKey,0))</f>
        <v/>
      </c>
      <c r="I1716" s="14">
        <f>INDEX(VarUnit,MATCH($A1716,VarKey,0))</f>
        <v/>
      </c>
      <c r="J1716" s="14">
        <f>INDEX(VarSrc,MATCH($A1716,VarKey,0))</f>
        <v/>
      </c>
      <c r="K1716" s="11">
        <f>CodePrefix&amp;$A1716&amp;IF($C1716="","","."&amp;$C1716&amp;"."&amp;$B1716)&amp;INDEX(VarEnd,MATCH($A1716,VarKey,0))&amp;K$5</f>
        <v/>
      </c>
      <c r="L1716" s="40">
        <f>INDEX(L$297:L$313,$E1716)*$D1716</f>
        <v/>
      </c>
      <c r="M1716" s="35">
        <f>INDEX(M$297:M$313,$E1716)*$D1716</f>
        <v/>
      </c>
      <c r="N1716" s="35">
        <f>INDEX(N$297:N$313,$E1716)*$D1716</f>
        <v/>
      </c>
      <c r="O1716" s="35">
        <f>INDEX(O$297:O$313,$E1716)*$D1716</f>
        <v/>
      </c>
      <c r="P1716" s="35">
        <f>INDEX(P$297:P$313,$E1716)*$D1716</f>
        <v/>
      </c>
      <c r="Q1716" s="35">
        <f>INDEX(Q$297:Q$313,$E1716)*$D1716</f>
        <v/>
      </c>
      <c r="R1716" s="35">
        <f>INDEX(R$297:R$313,$E1716)*$D1716</f>
        <v/>
      </c>
      <c r="S1716" s="35">
        <f>INDEX(S$297:S$313,$E1716)*$D1716</f>
        <v/>
      </c>
      <c r="T1716" s="35">
        <f>INDEX(T$297:T$313,$E1716)*$D1716</f>
        <v/>
      </c>
      <c r="U1716" s="35">
        <f>INDEX(U$297:U$313,$E1716)*$D1716</f>
        <v/>
      </c>
      <c r="V1716" s="35">
        <f>INDEX(V$297:V$313,$E1716)*$D1716</f>
        <v/>
      </c>
      <c r="W1716" s="35">
        <f>INDEX(W$297:W$313,$E1716)*$D1716</f>
        <v/>
      </c>
      <c r="X1716" s="35">
        <f>INDEX(X$297:X$313,$E1716)*$D1716</f>
        <v/>
      </c>
      <c r="Y1716" s="35">
        <f>INDEX(Y$297:Y$313,$E1716)*$D1716</f>
        <v/>
      </c>
      <c r="Z1716" s="35">
        <f>INDEX(Z$297:Z$313,$E1716)*$D1716</f>
        <v/>
      </c>
      <c r="AA1716" s="35">
        <f>INDEX(AA$297:AA$313,$E1716)*$D1716</f>
        <v/>
      </c>
      <c r="AB1716" s="35">
        <f>INDEX(AB$297:AB$313,$E1716)*$D1716</f>
        <v/>
      </c>
      <c r="AC1716" s="35">
        <f>INDEX(AC$297:AC$313,$E1716)*$D1716</f>
        <v/>
      </c>
      <c r="AD1716" s="35">
        <f>INDEX(AD$297:AD$313,$E1716)*$D1716</f>
        <v/>
      </c>
      <c r="AE1716" s="42">
        <f>SHADOWGJ(INDEX(AE$297:AE$313,$E1716),$D1716)</f>
        <v/>
      </c>
      <c r="AG1716" s="11">
        <f>CodePrefix&amp;$A1716&amp;IF($C1716="","","."&amp;$C1716&amp;"."&amp;$B1716)&amp;INDEX(VarEnd,MATCH($A1716,VarKey,0))&amp;AG$5</f>
        <v/>
      </c>
      <c r="AH1716" s="40">
        <f>INDEX(AH$297:AH$313,$E1716)*$D1716</f>
        <v/>
      </c>
      <c r="AI1716" s="35">
        <f>INDEX(AI$297:AI$313,$E1716)*$D1716</f>
        <v/>
      </c>
      <c r="AJ1716" s="35">
        <f>INDEX(AJ$297:AJ$313,$E1716)*$D1716</f>
        <v/>
      </c>
      <c r="AK1716" s="35">
        <f>INDEX(AK$297:AK$313,$E1716)*$D1716</f>
        <v/>
      </c>
      <c r="AL1716" s="35">
        <f>INDEX(AL$297:AL$313,$E1716)*$D1716</f>
        <v/>
      </c>
      <c r="AM1716" s="35">
        <f>INDEX(AM$297:AM$313,$E1716)*$D1716</f>
        <v/>
      </c>
      <c r="AN1716" s="35">
        <f>INDEX(AN$297:AN$313,$E1716)*$D1716</f>
        <v/>
      </c>
      <c r="AO1716" s="35">
        <f>INDEX(AO$297:AO$313,$E1716)*$D1716</f>
        <v/>
      </c>
      <c r="AP1716" s="35">
        <f>INDEX(AP$297:AP$313,$E1716)*$D1716</f>
        <v/>
      </c>
      <c r="AQ1716" s="35">
        <f>INDEX(AQ$297:AQ$313,$E1716)*$D1716</f>
        <v/>
      </c>
      <c r="AR1716" s="35">
        <f>INDEX(AR$297:AR$313,$E1716)*$D1716</f>
        <v/>
      </c>
      <c r="AS1716" s="35">
        <f>INDEX(AS$297:AS$313,$E1716)*$D1716</f>
        <v/>
      </c>
      <c r="AT1716" s="35">
        <f>INDEX(AT$297:AT$313,$E1716)*$D1716</f>
        <v/>
      </c>
      <c r="AU1716" s="35">
        <f>INDEX(AU$297:AU$313,$E1716)*$D1716</f>
        <v/>
      </c>
      <c r="AV1716" s="35">
        <f>INDEX(AV$297:AV$313,$E1716)*$D1716</f>
        <v/>
      </c>
      <c r="AW1716" s="35">
        <f>INDEX(AW$297:AW$313,$E1716)*$D1716</f>
        <v/>
      </c>
      <c r="AX1716" s="35">
        <f>INDEX(AX$297:AX$313,$E1716)*$D1716</f>
        <v/>
      </c>
      <c r="AY1716" s="35">
        <f>INDEX(AY$297:AY$313,$E1716)*$D1716</f>
        <v/>
      </c>
      <c r="AZ1716" s="35">
        <f>INDEX(AZ$297:AZ$313,$E1716)*$D1716</f>
        <v/>
      </c>
      <c r="BA1716" s="42">
        <f>SHADOWGJ(INDEX(BA$297:BA$313,$E1716),$D1716)</f>
        <v/>
      </c>
    </row>
    <row r="1717" hidden="1" outlineLevel="2">
      <c r="A1717" s="14" t="inlineStr">
        <is>
          <t>shp</t>
        </is>
      </c>
      <c r="B1717" s="14" t="inlineStr">
        <is>
          <t>lpg</t>
        </is>
      </c>
      <c r="C1717" s="14" t="inlineStr">
        <is>
          <t>foo</t>
        </is>
      </c>
      <c r="D1717" s="35">
        <f>INDEX(Inputs!$W$5:$W$132,MATCH($B1717&amp;"|"&amp;$C1717,Inputs!$A$5:$A$132,0))</f>
        <v/>
      </c>
      <c r="E1717" s="35">
        <f>INDEX(Inputs!$M$5:$M$132,MATCH($B1717&amp;"|"&amp;$C1717,Inputs!$A$5:$A$132,0))</f>
        <v/>
      </c>
      <c r="F1717" s="39" t="n"/>
      <c r="G1717" s="39" t="n"/>
      <c r="H1717" s="14">
        <f>INDEX(VarLab,MATCH($A1717,VarKey,0))&amp;INDEX(MemLab,MATCH($C1717&amp;"|"&amp;$B1717,MemKey,0))</f>
        <v/>
      </c>
      <c r="I1717" s="14">
        <f>INDEX(VarUnit,MATCH($A1717,VarKey,0))</f>
        <v/>
      </c>
      <c r="J1717" s="14">
        <f>INDEX(VarSrc,MATCH($A1717,VarKey,0))</f>
        <v/>
      </c>
      <c r="K1717" s="11">
        <f>CodePrefix&amp;$A1717&amp;IF($C1717="","","."&amp;$C1717&amp;"."&amp;$B1717)&amp;INDEX(VarEnd,MATCH($A1717,VarKey,0))&amp;K$5</f>
        <v/>
      </c>
      <c r="L1717" s="40">
        <f>INDEX(L$297:L$313,$E1717)*$D1717</f>
        <v/>
      </c>
      <c r="M1717" s="35">
        <f>INDEX(M$297:M$313,$E1717)*$D1717</f>
        <v/>
      </c>
      <c r="N1717" s="35">
        <f>INDEX(N$297:N$313,$E1717)*$D1717</f>
        <v/>
      </c>
      <c r="O1717" s="35">
        <f>INDEX(O$297:O$313,$E1717)*$D1717</f>
        <v/>
      </c>
      <c r="P1717" s="35">
        <f>INDEX(P$297:P$313,$E1717)*$D1717</f>
        <v/>
      </c>
      <c r="Q1717" s="35">
        <f>INDEX(Q$297:Q$313,$E1717)*$D1717</f>
        <v/>
      </c>
      <c r="R1717" s="35">
        <f>INDEX(R$297:R$313,$E1717)*$D1717</f>
        <v/>
      </c>
      <c r="S1717" s="35">
        <f>INDEX(S$297:S$313,$E1717)*$D1717</f>
        <v/>
      </c>
      <c r="T1717" s="35">
        <f>INDEX(T$297:T$313,$E1717)*$D1717</f>
        <v/>
      </c>
      <c r="U1717" s="35">
        <f>INDEX(U$297:U$313,$E1717)*$D1717</f>
        <v/>
      </c>
      <c r="V1717" s="35">
        <f>INDEX(V$297:V$313,$E1717)*$D1717</f>
        <v/>
      </c>
      <c r="W1717" s="35">
        <f>INDEX(W$297:W$313,$E1717)*$D1717</f>
        <v/>
      </c>
      <c r="X1717" s="35">
        <f>INDEX(X$297:X$313,$E1717)*$D1717</f>
        <v/>
      </c>
      <c r="Y1717" s="35">
        <f>INDEX(Y$297:Y$313,$E1717)*$D1717</f>
        <v/>
      </c>
      <c r="Z1717" s="35">
        <f>INDEX(Z$297:Z$313,$E1717)*$D1717</f>
        <v/>
      </c>
      <c r="AA1717" s="35">
        <f>INDEX(AA$297:AA$313,$E1717)*$D1717</f>
        <v/>
      </c>
      <c r="AB1717" s="35">
        <f>INDEX(AB$297:AB$313,$E1717)*$D1717</f>
        <v/>
      </c>
      <c r="AC1717" s="35">
        <f>INDEX(AC$297:AC$313,$E1717)*$D1717</f>
        <v/>
      </c>
      <c r="AD1717" s="35">
        <f>INDEX(AD$297:AD$313,$E1717)*$D1717</f>
        <v/>
      </c>
      <c r="AE1717" s="42">
        <f>SHADOWGJ(INDEX(AE$297:AE$313,$E1717),$D1717)</f>
        <v/>
      </c>
      <c r="AG1717" s="11">
        <f>CodePrefix&amp;$A1717&amp;IF($C1717="","","."&amp;$C1717&amp;"."&amp;$B1717)&amp;INDEX(VarEnd,MATCH($A1717,VarKey,0))&amp;AG$5</f>
        <v/>
      </c>
      <c r="AH1717" s="40">
        <f>INDEX(AH$297:AH$313,$E1717)*$D1717</f>
        <v/>
      </c>
      <c r="AI1717" s="35">
        <f>INDEX(AI$297:AI$313,$E1717)*$D1717</f>
        <v/>
      </c>
      <c r="AJ1717" s="35">
        <f>INDEX(AJ$297:AJ$313,$E1717)*$D1717</f>
        <v/>
      </c>
      <c r="AK1717" s="35">
        <f>INDEX(AK$297:AK$313,$E1717)*$D1717</f>
        <v/>
      </c>
      <c r="AL1717" s="35">
        <f>INDEX(AL$297:AL$313,$E1717)*$D1717</f>
        <v/>
      </c>
      <c r="AM1717" s="35">
        <f>INDEX(AM$297:AM$313,$E1717)*$D1717</f>
        <v/>
      </c>
      <c r="AN1717" s="35">
        <f>INDEX(AN$297:AN$313,$E1717)*$D1717</f>
        <v/>
      </c>
      <c r="AO1717" s="35">
        <f>INDEX(AO$297:AO$313,$E1717)*$D1717</f>
        <v/>
      </c>
      <c r="AP1717" s="35">
        <f>INDEX(AP$297:AP$313,$E1717)*$D1717</f>
        <v/>
      </c>
      <c r="AQ1717" s="35">
        <f>INDEX(AQ$297:AQ$313,$E1717)*$D1717</f>
        <v/>
      </c>
      <c r="AR1717" s="35">
        <f>INDEX(AR$297:AR$313,$E1717)*$D1717</f>
        <v/>
      </c>
      <c r="AS1717" s="35">
        <f>INDEX(AS$297:AS$313,$E1717)*$D1717</f>
        <v/>
      </c>
      <c r="AT1717" s="35">
        <f>INDEX(AT$297:AT$313,$E1717)*$D1717</f>
        <v/>
      </c>
      <c r="AU1717" s="35">
        <f>INDEX(AU$297:AU$313,$E1717)*$D1717</f>
        <v/>
      </c>
      <c r="AV1717" s="35">
        <f>INDEX(AV$297:AV$313,$E1717)*$D1717</f>
        <v/>
      </c>
      <c r="AW1717" s="35">
        <f>INDEX(AW$297:AW$313,$E1717)*$D1717</f>
        <v/>
      </c>
      <c r="AX1717" s="35">
        <f>INDEX(AX$297:AX$313,$E1717)*$D1717</f>
        <v/>
      </c>
      <c r="AY1717" s="35">
        <f>INDEX(AY$297:AY$313,$E1717)*$D1717</f>
        <v/>
      </c>
      <c r="AZ1717" s="35">
        <f>INDEX(AZ$297:AZ$313,$E1717)*$D1717</f>
        <v/>
      </c>
      <c r="BA1717" s="42">
        <f>SHADOWGJ(INDEX(BA$297:BA$313,$E1717),$D1717)</f>
        <v/>
      </c>
    </row>
    <row r="1718" hidden="1" outlineLevel="2">
      <c r="A1718" s="14" t="inlineStr">
        <is>
          <t>shp</t>
        </is>
      </c>
      <c r="B1718" s="14" t="inlineStr">
        <is>
          <t>ker</t>
        </is>
      </c>
      <c r="C1718" s="14" t="inlineStr">
        <is>
          <t>foo</t>
        </is>
      </c>
      <c r="D1718" s="35">
        <f>INDEX(Inputs!$W$5:$W$132,MATCH($B1718&amp;"|"&amp;$C1718,Inputs!$A$5:$A$132,0))</f>
        <v/>
      </c>
      <c r="E1718" s="35">
        <f>INDEX(Inputs!$M$5:$M$132,MATCH($B1718&amp;"|"&amp;$C1718,Inputs!$A$5:$A$132,0))</f>
        <v/>
      </c>
      <c r="F1718" s="39" t="n"/>
      <c r="G1718" s="39" t="n"/>
      <c r="H1718" s="14">
        <f>INDEX(VarLab,MATCH($A1718,VarKey,0))&amp;INDEX(MemLab,MATCH($C1718&amp;"|"&amp;$B1718,MemKey,0))</f>
        <v/>
      </c>
      <c r="I1718" s="14">
        <f>INDEX(VarUnit,MATCH($A1718,VarKey,0))</f>
        <v/>
      </c>
      <c r="J1718" s="14">
        <f>INDEX(VarSrc,MATCH($A1718,VarKey,0))</f>
        <v/>
      </c>
      <c r="K1718" s="11">
        <f>CodePrefix&amp;$A1718&amp;IF($C1718="","","."&amp;$C1718&amp;"."&amp;$B1718)&amp;INDEX(VarEnd,MATCH($A1718,VarKey,0))&amp;K$5</f>
        <v/>
      </c>
      <c r="L1718" s="40">
        <f>INDEX(L$297:L$313,$E1718)*$D1718</f>
        <v/>
      </c>
      <c r="M1718" s="35">
        <f>INDEX(M$297:M$313,$E1718)*$D1718</f>
        <v/>
      </c>
      <c r="N1718" s="35">
        <f>INDEX(N$297:N$313,$E1718)*$D1718</f>
        <v/>
      </c>
      <c r="O1718" s="35">
        <f>INDEX(O$297:O$313,$E1718)*$D1718</f>
        <v/>
      </c>
      <c r="P1718" s="35">
        <f>INDEX(P$297:P$313,$E1718)*$D1718</f>
        <v/>
      </c>
      <c r="Q1718" s="35">
        <f>INDEX(Q$297:Q$313,$E1718)*$D1718</f>
        <v/>
      </c>
      <c r="R1718" s="35">
        <f>INDEX(R$297:R$313,$E1718)*$D1718</f>
        <v/>
      </c>
      <c r="S1718" s="35">
        <f>INDEX(S$297:S$313,$E1718)*$D1718</f>
        <v/>
      </c>
      <c r="T1718" s="35">
        <f>INDEX(T$297:T$313,$E1718)*$D1718</f>
        <v/>
      </c>
      <c r="U1718" s="35">
        <f>INDEX(U$297:U$313,$E1718)*$D1718</f>
        <v/>
      </c>
      <c r="V1718" s="35">
        <f>INDEX(V$297:V$313,$E1718)*$D1718</f>
        <v/>
      </c>
      <c r="W1718" s="35">
        <f>INDEX(W$297:W$313,$E1718)*$D1718</f>
        <v/>
      </c>
      <c r="X1718" s="35">
        <f>INDEX(X$297:X$313,$E1718)*$D1718</f>
        <v/>
      </c>
      <c r="Y1718" s="35">
        <f>INDEX(Y$297:Y$313,$E1718)*$D1718</f>
        <v/>
      </c>
      <c r="Z1718" s="35">
        <f>INDEX(Z$297:Z$313,$E1718)*$D1718</f>
        <v/>
      </c>
      <c r="AA1718" s="35">
        <f>INDEX(AA$297:AA$313,$E1718)*$D1718</f>
        <v/>
      </c>
      <c r="AB1718" s="35">
        <f>INDEX(AB$297:AB$313,$E1718)*$D1718</f>
        <v/>
      </c>
      <c r="AC1718" s="35">
        <f>INDEX(AC$297:AC$313,$E1718)*$D1718</f>
        <v/>
      </c>
      <c r="AD1718" s="35">
        <f>INDEX(AD$297:AD$313,$E1718)*$D1718</f>
        <v/>
      </c>
      <c r="AE1718" s="42">
        <f>SHADOWGJ(INDEX(AE$297:AE$313,$E1718),$D1718)</f>
        <v/>
      </c>
      <c r="AG1718" s="11">
        <f>CodePrefix&amp;$A1718&amp;IF($C1718="","","."&amp;$C1718&amp;"."&amp;$B1718)&amp;INDEX(VarEnd,MATCH($A1718,VarKey,0))&amp;AG$5</f>
        <v/>
      </c>
      <c r="AH1718" s="40">
        <f>INDEX(AH$297:AH$313,$E1718)*$D1718</f>
        <v/>
      </c>
      <c r="AI1718" s="35">
        <f>INDEX(AI$297:AI$313,$E1718)*$D1718</f>
        <v/>
      </c>
      <c r="AJ1718" s="35">
        <f>INDEX(AJ$297:AJ$313,$E1718)*$D1718</f>
        <v/>
      </c>
      <c r="AK1718" s="35">
        <f>INDEX(AK$297:AK$313,$E1718)*$D1718</f>
        <v/>
      </c>
      <c r="AL1718" s="35">
        <f>INDEX(AL$297:AL$313,$E1718)*$D1718</f>
        <v/>
      </c>
      <c r="AM1718" s="35">
        <f>INDEX(AM$297:AM$313,$E1718)*$D1718</f>
        <v/>
      </c>
      <c r="AN1718" s="35">
        <f>INDEX(AN$297:AN$313,$E1718)*$D1718</f>
        <v/>
      </c>
      <c r="AO1718" s="35">
        <f>INDEX(AO$297:AO$313,$E1718)*$D1718</f>
        <v/>
      </c>
      <c r="AP1718" s="35">
        <f>INDEX(AP$297:AP$313,$E1718)*$D1718</f>
        <v/>
      </c>
      <c r="AQ1718" s="35">
        <f>INDEX(AQ$297:AQ$313,$E1718)*$D1718</f>
        <v/>
      </c>
      <c r="AR1718" s="35">
        <f>INDEX(AR$297:AR$313,$E1718)*$D1718</f>
        <v/>
      </c>
      <c r="AS1718" s="35">
        <f>INDEX(AS$297:AS$313,$E1718)*$D1718</f>
        <v/>
      </c>
      <c r="AT1718" s="35">
        <f>INDEX(AT$297:AT$313,$E1718)*$D1718</f>
        <v/>
      </c>
      <c r="AU1718" s="35">
        <f>INDEX(AU$297:AU$313,$E1718)*$D1718</f>
        <v/>
      </c>
      <c r="AV1718" s="35">
        <f>INDEX(AV$297:AV$313,$E1718)*$D1718</f>
        <v/>
      </c>
      <c r="AW1718" s="35">
        <f>INDEX(AW$297:AW$313,$E1718)*$D1718</f>
        <v/>
      </c>
      <c r="AX1718" s="35">
        <f>INDEX(AX$297:AX$313,$E1718)*$D1718</f>
        <v/>
      </c>
      <c r="AY1718" s="35">
        <f>INDEX(AY$297:AY$313,$E1718)*$D1718</f>
        <v/>
      </c>
      <c r="AZ1718" s="35">
        <f>INDEX(AZ$297:AZ$313,$E1718)*$D1718</f>
        <v/>
      </c>
      <c r="BA1718" s="42">
        <f>SHADOWGJ(INDEX(BA$297:BA$313,$E1718),$D1718)</f>
        <v/>
      </c>
    </row>
    <row r="1719" hidden="1" outlineLevel="2">
      <c r="A1719" s="14" t="inlineStr">
        <is>
          <t>shp</t>
        </is>
      </c>
      <c r="B1719" s="14" t="inlineStr">
        <is>
          <t>oop</t>
        </is>
      </c>
      <c r="C1719" s="14" t="inlineStr">
        <is>
          <t>foo</t>
        </is>
      </c>
      <c r="D1719" s="35">
        <f>INDEX(Inputs!$W$5:$W$132,MATCH($B1719&amp;"|"&amp;$C1719,Inputs!$A$5:$A$132,0))</f>
        <v/>
      </c>
      <c r="E1719" s="35">
        <f>INDEX(Inputs!$M$5:$M$132,MATCH($B1719&amp;"|"&amp;$C1719,Inputs!$A$5:$A$132,0))</f>
        <v/>
      </c>
      <c r="F1719" s="39" t="n"/>
      <c r="G1719" s="39" t="n"/>
      <c r="H1719" s="14">
        <f>INDEX(VarLab,MATCH($A1719,VarKey,0))&amp;INDEX(MemLab,MATCH($C1719&amp;"|"&amp;$B1719,MemKey,0))</f>
        <v/>
      </c>
      <c r="I1719" s="14">
        <f>INDEX(VarUnit,MATCH($A1719,VarKey,0))</f>
        <v/>
      </c>
      <c r="J1719" s="14">
        <f>INDEX(VarSrc,MATCH($A1719,VarKey,0))</f>
        <v/>
      </c>
      <c r="K1719" s="11">
        <f>CodePrefix&amp;$A1719&amp;IF($C1719="","","."&amp;$C1719&amp;"."&amp;$B1719)&amp;INDEX(VarEnd,MATCH($A1719,VarKey,0))&amp;K$5</f>
        <v/>
      </c>
      <c r="L1719" s="40">
        <f>INDEX(L$297:L$313,$E1719)*$D1719</f>
        <v/>
      </c>
      <c r="M1719" s="35">
        <f>INDEX(M$297:M$313,$E1719)*$D1719</f>
        <v/>
      </c>
      <c r="N1719" s="35">
        <f>INDEX(N$297:N$313,$E1719)*$D1719</f>
        <v/>
      </c>
      <c r="O1719" s="35">
        <f>INDEX(O$297:O$313,$E1719)*$D1719</f>
        <v/>
      </c>
      <c r="P1719" s="35">
        <f>INDEX(P$297:P$313,$E1719)*$D1719</f>
        <v/>
      </c>
      <c r="Q1719" s="35">
        <f>INDEX(Q$297:Q$313,$E1719)*$D1719</f>
        <v/>
      </c>
      <c r="R1719" s="35">
        <f>INDEX(R$297:R$313,$E1719)*$D1719</f>
        <v/>
      </c>
      <c r="S1719" s="35">
        <f>INDEX(S$297:S$313,$E1719)*$D1719</f>
        <v/>
      </c>
      <c r="T1719" s="35">
        <f>INDEX(T$297:T$313,$E1719)*$D1719</f>
        <v/>
      </c>
      <c r="U1719" s="35">
        <f>INDEX(U$297:U$313,$E1719)*$D1719</f>
        <v/>
      </c>
      <c r="V1719" s="35">
        <f>INDEX(V$297:V$313,$E1719)*$D1719</f>
        <v/>
      </c>
      <c r="W1719" s="35">
        <f>INDEX(W$297:W$313,$E1719)*$D1719</f>
        <v/>
      </c>
      <c r="X1719" s="35">
        <f>INDEX(X$297:X$313,$E1719)*$D1719</f>
        <v/>
      </c>
      <c r="Y1719" s="35">
        <f>INDEX(Y$297:Y$313,$E1719)*$D1719</f>
        <v/>
      </c>
      <c r="Z1719" s="35">
        <f>INDEX(Z$297:Z$313,$E1719)*$D1719</f>
        <v/>
      </c>
      <c r="AA1719" s="35">
        <f>INDEX(AA$297:AA$313,$E1719)*$D1719</f>
        <v/>
      </c>
      <c r="AB1719" s="35">
        <f>INDEX(AB$297:AB$313,$E1719)*$D1719</f>
        <v/>
      </c>
      <c r="AC1719" s="35">
        <f>INDEX(AC$297:AC$313,$E1719)*$D1719</f>
        <v/>
      </c>
      <c r="AD1719" s="35">
        <f>INDEX(AD$297:AD$313,$E1719)*$D1719</f>
        <v/>
      </c>
      <c r="AE1719" s="42">
        <f>SHADOWGJ(INDEX(AE$297:AE$313,$E1719),$D1719)</f>
        <v/>
      </c>
      <c r="AG1719" s="11">
        <f>CodePrefix&amp;$A1719&amp;IF($C1719="","","."&amp;$C1719&amp;"."&amp;$B1719)&amp;INDEX(VarEnd,MATCH($A1719,VarKey,0))&amp;AG$5</f>
        <v/>
      </c>
      <c r="AH1719" s="40">
        <f>INDEX(AH$297:AH$313,$E1719)*$D1719</f>
        <v/>
      </c>
      <c r="AI1719" s="35">
        <f>INDEX(AI$297:AI$313,$E1719)*$D1719</f>
        <v/>
      </c>
      <c r="AJ1719" s="35">
        <f>INDEX(AJ$297:AJ$313,$E1719)*$D1719</f>
        <v/>
      </c>
      <c r="AK1719" s="35">
        <f>INDEX(AK$297:AK$313,$E1719)*$D1719</f>
        <v/>
      </c>
      <c r="AL1719" s="35">
        <f>INDEX(AL$297:AL$313,$E1719)*$D1719</f>
        <v/>
      </c>
      <c r="AM1719" s="35">
        <f>INDEX(AM$297:AM$313,$E1719)*$D1719</f>
        <v/>
      </c>
      <c r="AN1719" s="35">
        <f>INDEX(AN$297:AN$313,$E1719)*$D1719</f>
        <v/>
      </c>
      <c r="AO1719" s="35">
        <f>INDEX(AO$297:AO$313,$E1719)*$D1719</f>
        <v/>
      </c>
      <c r="AP1719" s="35">
        <f>INDEX(AP$297:AP$313,$E1719)*$D1719</f>
        <v/>
      </c>
      <c r="AQ1719" s="35">
        <f>INDEX(AQ$297:AQ$313,$E1719)*$D1719</f>
        <v/>
      </c>
      <c r="AR1719" s="35">
        <f>INDEX(AR$297:AR$313,$E1719)*$D1719</f>
        <v/>
      </c>
      <c r="AS1719" s="35">
        <f>INDEX(AS$297:AS$313,$E1719)*$D1719</f>
        <v/>
      </c>
      <c r="AT1719" s="35">
        <f>INDEX(AT$297:AT$313,$E1719)*$D1719</f>
        <v/>
      </c>
      <c r="AU1719" s="35">
        <f>INDEX(AU$297:AU$313,$E1719)*$D1719</f>
        <v/>
      </c>
      <c r="AV1719" s="35">
        <f>INDEX(AV$297:AV$313,$E1719)*$D1719</f>
        <v/>
      </c>
      <c r="AW1719" s="35">
        <f>INDEX(AW$297:AW$313,$E1719)*$D1719</f>
        <v/>
      </c>
      <c r="AX1719" s="35">
        <f>INDEX(AX$297:AX$313,$E1719)*$D1719</f>
        <v/>
      </c>
      <c r="AY1719" s="35">
        <f>INDEX(AY$297:AY$313,$E1719)*$D1719</f>
        <v/>
      </c>
      <c r="AZ1719" s="35">
        <f>INDEX(AZ$297:AZ$313,$E1719)*$D1719</f>
        <v/>
      </c>
      <c r="BA1719" s="42">
        <f>SHADOWGJ(INDEX(BA$297:BA$313,$E1719),$D1719)</f>
        <v/>
      </c>
    </row>
    <row r="1720" hidden="1" outlineLevel="2">
      <c r="A1720" s="14" t="inlineStr">
        <is>
          <t>shp</t>
        </is>
      </c>
      <c r="B1720" s="14" t="inlineStr">
        <is>
          <t>bio</t>
        </is>
      </c>
      <c r="C1720" s="14" t="inlineStr">
        <is>
          <t>foo</t>
        </is>
      </c>
      <c r="D1720" s="35">
        <f>INDEX(Inputs!$W$5:$W$132,MATCH($B1720&amp;"|"&amp;$C1720,Inputs!$A$5:$A$132,0))</f>
        <v/>
      </c>
      <c r="E1720" s="35">
        <f>INDEX(Inputs!$M$5:$M$132,MATCH($B1720&amp;"|"&amp;$C1720,Inputs!$A$5:$A$132,0))</f>
        <v/>
      </c>
      <c r="F1720" s="39" t="n"/>
      <c r="G1720" s="39" t="n"/>
      <c r="H1720" s="14">
        <f>INDEX(VarLab,MATCH($A1720,VarKey,0))&amp;INDEX(MemLab,MATCH($C1720&amp;"|"&amp;$B1720,MemKey,0))</f>
        <v/>
      </c>
      <c r="I1720" s="14">
        <f>INDEX(VarUnit,MATCH($A1720,VarKey,0))</f>
        <v/>
      </c>
      <c r="J1720" s="14">
        <f>INDEX(VarSrc,MATCH($A1720,VarKey,0))</f>
        <v/>
      </c>
      <c r="K1720" s="11">
        <f>CodePrefix&amp;$A1720&amp;IF($C1720="","","."&amp;$C1720&amp;"."&amp;$B1720)&amp;INDEX(VarEnd,MATCH($A1720,VarKey,0))&amp;K$5</f>
        <v/>
      </c>
      <c r="L1720" s="40">
        <f>INDEX(L$297:L$313,$E1720)*$D1720</f>
        <v/>
      </c>
      <c r="M1720" s="35">
        <f>INDEX(M$297:M$313,$E1720)*$D1720</f>
        <v/>
      </c>
      <c r="N1720" s="35">
        <f>INDEX(N$297:N$313,$E1720)*$D1720</f>
        <v/>
      </c>
      <c r="O1720" s="35">
        <f>INDEX(O$297:O$313,$E1720)*$D1720</f>
        <v/>
      </c>
      <c r="P1720" s="35">
        <f>INDEX(P$297:P$313,$E1720)*$D1720</f>
        <v/>
      </c>
      <c r="Q1720" s="35">
        <f>INDEX(Q$297:Q$313,$E1720)*$D1720</f>
        <v/>
      </c>
      <c r="R1720" s="35">
        <f>INDEX(R$297:R$313,$E1720)*$D1720</f>
        <v/>
      </c>
      <c r="S1720" s="35">
        <f>INDEX(S$297:S$313,$E1720)*$D1720</f>
        <v/>
      </c>
      <c r="T1720" s="35">
        <f>INDEX(T$297:T$313,$E1720)*$D1720</f>
        <v/>
      </c>
      <c r="U1720" s="35">
        <f>INDEX(U$297:U$313,$E1720)*$D1720</f>
        <v/>
      </c>
      <c r="V1720" s="35">
        <f>INDEX(V$297:V$313,$E1720)*$D1720</f>
        <v/>
      </c>
      <c r="W1720" s="35">
        <f>INDEX(W$297:W$313,$E1720)*$D1720</f>
        <v/>
      </c>
      <c r="X1720" s="35">
        <f>INDEX(X$297:X$313,$E1720)*$D1720</f>
        <v/>
      </c>
      <c r="Y1720" s="35">
        <f>INDEX(Y$297:Y$313,$E1720)*$D1720</f>
        <v/>
      </c>
      <c r="Z1720" s="35">
        <f>INDEX(Z$297:Z$313,$E1720)*$D1720</f>
        <v/>
      </c>
      <c r="AA1720" s="35">
        <f>INDEX(AA$297:AA$313,$E1720)*$D1720</f>
        <v/>
      </c>
      <c r="AB1720" s="35">
        <f>INDEX(AB$297:AB$313,$E1720)*$D1720</f>
        <v/>
      </c>
      <c r="AC1720" s="35">
        <f>INDEX(AC$297:AC$313,$E1720)*$D1720</f>
        <v/>
      </c>
      <c r="AD1720" s="35">
        <f>INDEX(AD$297:AD$313,$E1720)*$D1720</f>
        <v/>
      </c>
      <c r="AE1720" s="42">
        <f>SHADOWGJ(INDEX(AE$297:AE$313,$E1720),$D1720)</f>
        <v/>
      </c>
      <c r="AG1720" s="11">
        <f>CodePrefix&amp;$A1720&amp;IF($C1720="","","."&amp;$C1720&amp;"."&amp;$B1720)&amp;INDEX(VarEnd,MATCH($A1720,VarKey,0))&amp;AG$5</f>
        <v/>
      </c>
      <c r="AH1720" s="40">
        <f>INDEX(AH$297:AH$313,$E1720)*$D1720</f>
        <v/>
      </c>
      <c r="AI1720" s="35">
        <f>INDEX(AI$297:AI$313,$E1720)*$D1720</f>
        <v/>
      </c>
      <c r="AJ1720" s="35">
        <f>INDEX(AJ$297:AJ$313,$E1720)*$D1720</f>
        <v/>
      </c>
      <c r="AK1720" s="35">
        <f>INDEX(AK$297:AK$313,$E1720)*$D1720</f>
        <v/>
      </c>
      <c r="AL1720" s="35">
        <f>INDEX(AL$297:AL$313,$E1720)*$D1720</f>
        <v/>
      </c>
      <c r="AM1720" s="35">
        <f>INDEX(AM$297:AM$313,$E1720)*$D1720</f>
        <v/>
      </c>
      <c r="AN1720" s="35">
        <f>INDEX(AN$297:AN$313,$E1720)*$D1720</f>
        <v/>
      </c>
      <c r="AO1720" s="35">
        <f>INDEX(AO$297:AO$313,$E1720)*$D1720</f>
        <v/>
      </c>
      <c r="AP1720" s="35">
        <f>INDEX(AP$297:AP$313,$E1720)*$D1720</f>
        <v/>
      </c>
      <c r="AQ1720" s="35">
        <f>INDEX(AQ$297:AQ$313,$E1720)*$D1720</f>
        <v/>
      </c>
      <c r="AR1720" s="35">
        <f>INDEX(AR$297:AR$313,$E1720)*$D1720</f>
        <v/>
      </c>
      <c r="AS1720" s="35">
        <f>INDEX(AS$297:AS$313,$E1720)*$D1720</f>
        <v/>
      </c>
      <c r="AT1720" s="35">
        <f>INDEX(AT$297:AT$313,$E1720)*$D1720</f>
        <v/>
      </c>
      <c r="AU1720" s="35">
        <f>INDEX(AU$297:AU$313,$E1720)*$D1720</f>
        <v/>
      </c>
      <c r="AV1720" s="35">
        <f>INDEX(AV$297:AV$313,$E1720)*$D1720</f>
        <v/>
      </c>
      <c r="AW1720" s="35">
        <f>INDEX(AW$297:AW$313,$E1720)*$D1720</f>
        <v/>
      </c>
      <c r="AX1720" s="35">
        <f>INDEX(AX$297:AX$313,$E1720)*$D1720</f>
        <v/>
      </c>
      <c r="AY1720" s="35">
        <f>INDEX(AY$297:AY$313,$E1720)*$D1720</f>
        <v/>
      </c>
      <c r="AZ1720" s="35">
        <f>INDEX(AZ$297:AZ$313,$E1720)*$D1720</f>
        <v/>
      </c>
      <c r="BA1720" s="42">
        <f>SHADOWGJ(INDEX(BA$297:BA$313,$E1720),$D1720)</f>
        <v/>
      </c>
    </row>
    <row r="1721" hidden="1" outlineLevel="2"/>
    <row r="1722" hidden="1" outlineLevel="2">
      <c r="A1722" s="14" t="inlineStr">
        <is>
          <t>ener</t>
        </is>
      </c>
      <c r="B1722" s="14" t="inlineStr">
        <is>
          <t>coa</t>
        </is>
      </c>
      <c r="C1722" s="14" t="inlineStr">
        <is>
          <t>foo</t>
        </is>
      </c>
      <c r="D1722" s="35">
        <f>INDEX(Inputs!$O$5:$O$132,MATCH($B1722&amp;"|"&amp;$C1722,Inputs!$A$5:$A$132,0))</f>
        <v/>
      </c>
      <c r="E1722" s="35">
        <f>INDEX(Inputs!$P$5:$P$132,MATCH($B1722&amp;"|"&amp;$C1722,Inputs!$A$5:$A$132,0))</f>
        <v/>
      </c>
      <c r="F1722" s="35">
        <f>INDEX(Inputs!$T$5:$T$132,MATCH($B1722&amp;"|"&amp;$C1722,Inputs!$A$5:$A$132,0))</f>
        <v/>
      </c>
      <c r="G1722" s="35">
        <f>INDEX(Inputs!$S$5:$S$132,MATCH($B1722&amp;"|"&amp;$C1722,Inputs!$A$5:$A$132,0))</f>
        <v/>
      </c>
      <c r="H1722" s="14">
        <f>INDEX(VarLab,MATCH($A1722,VarKey,0))&amp;INDEX(MemLab,MATCH($C1722&amp;"|"&amp;$B1722,MemKey,0))</f>
        <v/>
      </c>
      <c r="I1722" s="14">
        <f>INDEX(VarUnit,MATCH($A1722,VarKey,0))</f>
        <v/>
      </c>
      <c r="J1722" s="14">
        <f>INDEX(VarSrc,MATCH($A1722,VarKey,0))</f>
        <v/>
      </c>
      <c r="K1722" s="11">
        <f>CodePrefix&amp;$A1722&amp;IF($C1722="","","."&amp;$C1722&amp;"."&amp;$B1722)&amp;INDEX(VarEnd,MATCH($A1722,VarKey,0))&amp;K$5</f>
        <v/>
      </c>
      <c r="L1722" s="43">
        <f>INDEX(Inputs!$X$5:$X$132,MATCH($B1722&amp;"|"&amp;$C1722,Inputs!$A$5:$A$132,0))</f>
        <v/>
      </c>
      <c r="M1722" s="44">
        <f>L1722*$G1722*(1+M$7)^$D1722*(M1704/L1704)^$E1722*((M1704+M1713)/(L1704+L1713))^$F1722</f>
        <v/>
      </c>
      <c r="N1722" s="44">
        <f>M1722*$G1722*(1+N$7)^$D1722*(N1704/M1704)^$E1722*((N1704+N1713)/(M1704+M1713))^$F1722</f>
        <v/>
      </c>
      <c r="O1722" s="44">
        <f>N1722*$G1722*(1+O$7)^$D1722*(O1704/N1704)^$E1722*((O1704+O1713)/(N1704+N1713))^$F1722</f>
        <v/>
      </c>
      <c r="P1722" s="44">
        <f>O1722*$G1722*(1+P$7)^$D1722*(P1704/O1704)^$E1722*((P1704+P1713)/(O1704+O1713))^$F1722</f>
        <v/>
      </c>
      <c r="Q1722" s="44">
        <f>P1722*$G1722*(1+Q$7)^$D1722*(Q1704/P1704)^$E1722*((Q1704+Q1713)/(P1704+P1713))^$F1722</f>
        <v/>
      </c>
      <c r="R1722" s="44">
        <f>Q1722*$G1722*(1+R$7)^$D1722*(R1704/Q1704)^$E1722*((R1704+R1713)/(Q1704+Q1713))^$F1722</f>
        <v/>
      </c>
      <c r="S1722" s="44">
        <f>R1722*$G1722*(1+S$7)^$D1722*(S1704/R1704)^$E1722*((S1704+S1713)/(R1704+R1713))^$F1722</f>
        <v/>
      </c>
      <c r="T1722" s="44">
        <f>S1722*$G1722*(1+T$7)^$D1722*(T1704/S1704)^$E1722*((T1704+T1713)/(S1704+S1713))^$F1722</f>
        <v/>
      </c>
      <c r="U1722" s="44">
        <f>T1722*$G1722*(1+U$7)^$D1722*(U1704/T1704)^$E1722*((U1704+U1713)/(T1704+T1713))^$F1722</f>
        <v/>
      </c>
      <c r="V1722" s="44">
        <f>U1722*$G1722*(1+V$7)^$D1722*(V1704/U1704)^$E1722*((V1704+V1713)/(U1704+U1713))^$F1722</f>
        <v/>
      </c>
      <c r="W1722" s="44">
        <f>V1722*$G1722*(1+W$7)^$D1722*(W1704/V1704)^$E1722*((W1704+W1713)/(V1704+V1713))^$F1722</f>
        <v/>
      </c>
      <c r="X1722" s="44">
        <f>W1722*$G1722*(1+X$7)^$D1722*(X1704/W1704)^$E1722*((X1704+X1713)/(W1704+W1713))^$F1722</f>
        <v/>
      </c>
      <c r="Y1722" s="44">
        <f>X1722*$G1722*(1+Y$7)^$D1722*(Y1704/X1704)^$E1722*((Y1704+Y1713)/(X1704+X1713))^$F1722</f>
        <v/>
      </c>
      <c r="Z1722" s="44">
        <f>Y1722*$G1722*(1+Z$7)^$D1722*(Z1704/Y1704)^$E1722*((Z1704+Z1713)/(Y1704+Y1713))^$F1722</f>
        <v/>
      </c>
      <c r="AA1722" s="44">
        <f>Z1722*$G1722*(1+AA$7)^$D1722*(AA1704/Z1704)^$E1722*((AA1704+AA1713)/(Z1704+Z1713))^$F1722</f>
        <v/>
      </c>
      <c r="AB1722" s="44">
        <f>AA1722*$G1722*(1+AB$7)^$D1722*(AB1704/AA1704)^$E1722*((AB1704+AB1713)/(AA1704+AA1713))^$F1722</f>
        <v/>
      </c>
      <c r="AC1722" s="44">
        <f>AB1722*$G1722*(1+AC$7)^$D1722*(AC1704/AB1704)^$E1722*((AC1704+AC1713)/(AB1704+AB1713))^$F1722</f>
        <v/>
      </c>
      <c r="AD1722" s="44">
        <f>AC1722*$G1722*(1+AD$7)^$D1722*(AD1704/AC1704)^$E1722*((AD1704+AD1713)/(AC1704+AC1713))^$F1722</f>
        <v/>
      </c>
      <c r="AE1722" s="57">
        <f>FUELUSE(AD1722,AE1704,AD1704,AE1713,AD1713,AE$7,$D1722,$E1722,$F1722,$G1722)</f>
        <v/>
      </c>
      <c r="AG1722" s="11">
        <f>CodePrefix&amp;$A1722&amp;IF($C1722="","","."&amp;$C1722&amp;"."&amp;$B1722)&amp;INDEX(VarEnd,MATCH($A1722,VarKey,0))&amp;AG$5</f>
        <v/>
      </c>
      <c r="AH1722" s="43">
        <f>INDEX(Inputs!$X$5:$X$132,MATCH($B1722&amp;"|"&amp;$C1722,Inputs!$A$5:$A$132,0))</f>
        <v/>
      </c>
      <c r="AI1722" s="44">
        <f>AH1722*$G1722*(1+AI$7)^$D1722*(AI1704/AH1704)^$E1722*((AI1704+AI1713)/(AH1704+AH1713))^$F1722</f>
        <v/>
      </c>
      <c r="AJ1722" s="44">
        <f>AI1722*$G1722*(1+AJ$7)^$D1722*(AJ1704/AI1704)^$E1722*((AJ1704+AJ1713)/(AI1704+AI1713))^$F1722</f>
        <v/>
      </c>
      <c r="AK1722" s="44">
        <f>AJ1722*$G1722*(1+AK$7)^$D1722*(AK1704/AJ1704)^$E1722*((AK1704+AK1713)/(AJ1704+AJ1713))^$F1722</f>
        <v/>
      </c>
      <c r="AL1722" s="44">
        <f>AK1722*$G1722*(1+AL$7)^$D1722*(AL1704/AK1704)^$E1722*((AL1704+AL1713)/(AK1704+AK1713))^$F1722</f>
        <v/>
      </c>
      <c r="AM1722" s="44">
        <f>AL1722*$G1722*(1+AM$7)^$D1722*(AM1704/AL1704)^$E1722*((AM1704+AM1713)/(AL1704+AL1713))^$F1722</f>
        <v/>
      </c>
      <c r="AN1722" s="44">
        <f>AM1722*$G1722*(1+AN$7)^$D1722*(AN1704/AM1704)^$E1722*((AN1704+AN1713)/(AM1704+AM1713))^$F1722</f>
        <v/>
      </c>
      <c r="AO1722" s="44">
        <f>AN1722*$G1722*(1+AO$7)^$D1722*(AO1704/AN1704)^$E1722*((AO1704+AO1713)/(AN1704+AN1713))^$F1722</f>
        <v/>
      </c>
      <c r="AP1722" s="44">
        <f>AO1722*$G1722*(1+AP$7)^$D1722*(AP1704/AO1704)^$E1722*((AP1704+AP1713)/(AO1704+AO1713))^$F1722</f>
        <v/>
      </c>
      <c r="AQ1722" s="44">
        <f>AP1722*$G1722*(1+AQ$7)^$D1722*(AQ1704/AP1704)^$E1722*((AQ1704+AQ1713)/(AP1704+AP1713))^$F1722</f>
        <v/>
      </c>
      <c r="AR1722" s="44">
        <f>AQ1722*$G1722*(1+AR$7)^$D1722*(AR1704/AQ1704)^$E1722*((AR1704+AR1713)/(AQ1704+AQ1713))^$F1722</f>
        <v/>
      </c>
      <c r="AS1722" s="44">
        <f>AR1722*$G1722*(1+AS$7)^$D1722*(AS1704/AR1704)^$E1722*((AS1704+AS1713)/(AR1704+AR1713))^$F1722</f>
        <v/>
      </c>
      <c r="AT1722" s="44">
        <f>AS1722*$G1722*(1+AT$7)^$D1722*(AT1704/AS1704)^$E1722*((AT1704+AT1713)/(AS1704+AS1713))^$F1722</f>
        <v/>
      </c>
      <c r="AU1722" s="44">
        <f>AT1722*$G1722*(1+AU$7)^$D1722*(AU1704/AT1704)^$E1722*((AU1704+AU1713)/(AT1704+AT1713))^$F1722</f>
        <v/>
      </c>
      <c r="AV1722" s="44">
        <f>AU1722*$G1722*(1+AV$7)^$D1722*(AV1704/AU1704)^$E1722*((AV1704+AV1713)/(AU1704+AU1713))^$F1722</f>
        <v/>
      </c>
      <c r="AW1722" s="44">
        <f>AV1722*$G1722*(1+AW$7)^$D1722*(AW1704/AV1704)^$E1722*((AW1704+AW1713)/(AV1704+AV1713))^$F1722</f>
        <v/>
      </c>
      <c r="AX1722" s="44">
        <f>AW1722*$G1722*(1+AX$7)^$D1722*(AX1704/AW1704)^$E1722*((AX1704+AX1713)/(AW1704+AW1713))^$F1722</f>
        <v/>
      </c>
      <c r="AY1722" s="44">
        <f>AX1722*$G1722*(1+AY$7)^$D1722*(AY1704/AX1704)^$E1722*((AY1704+AY1713)/(AX1704+AX1713))^$F1722</f>
        <v/>
      </c>
      <c r="AZ1722" s="44">
        <f>AY1722*$G1722*(1+AZ$7)^$D1722*(AZ1704/AY1704)^$E1722*((AZ1704+AZ1713)/(AY1704+AY1713))^$F1722</f>
        <v/>
      </c>
      <c r="BA1722" s="57">
        <f>FUELUSE(AZ1722,BA1704,AZ1704,BA1713,AZ1713,BA$7,$D1722,$E1722,$F1722,$G1722)</f>
        <v/>
      </c>
    </row>
    <row r="1723" hidden="1" outlineLevel="2">
      <c r="A1723" s="14" t="inlineStr">
        <is>
          <t>ener</t>
        </is>
      </c>
      <c r="B1723" s="14" t="inlineStr">
        <is>
          <t>nga</t>
        </is>
      </c>
      <c r="C1723" s="14" t="inlineStr">
        <is>
          <t>foo</t>
        </is>
      </c>
      <c r="D1723" s="35">
        <f>INDEX(Inputs!$O$5:$O$132,MATCH($B1723&amp;"|"&amp;$C1723,Inputs!$A$5:$A$132,0))</f>
        <v/>
      </c>
      <c r="E1723" s="35">
        <f>INDEX(Inputs!$P$5:$P$132,MATCH($B1723&amp;"|"&amp;$C1723,Inputs!$A$5:$A$132,0))</f>
        <v/>
      </c>
      <c r="F1723" s="35">
        <f>INDEX(Inputs!$T$5:$T$132,MATCH($B1723&amp;"|"&amp;$C1723,Inputs!$A$5:$A$132,0))</f>
        <v/>
      </c>
      <c r="G1723" s="35">
        <f>INDEX(Inputs!$S$5:$S$132,MATCH($B1723&amp;"|"&amp;$C1723,Inputs!$A$5:$A$132,0))</f>
        <v/>
      </c>
      <c r="H1723" s="14">
        <f>INDEX(VarLab,MATCH($A1723,VarKey,0))&amp;INDEX(MemLab,MATCH($C1723&amp;"|"&amp;$B1723,MemKey,0))</f>
        <v/>
      </c>
      <c r="I1723" s="14">
        <f>INDEX(VarUnit,MATCH($A1723,VarKey,0))</f>
        <v/>
      </c>
      <c r="J1723" s="14">
        <f>INDEX(VarSrc,MATCH($A1723,VarKey,0))</f>
        <v/>
      </c>
      <c r="K1723" s="11">
        <f>CodePrefix&amp;$A1723&amp;IF($C1723="","","."&amp;$C1723&amp;"."&amp;$B1723)&amp;INDEX(VarEnd,MATCH($A1723,VarKey,0))&amp;K$5</f>
        <v/>
      </c>
      <c r="L1723" s="43">
        <f>INDEX(Inputs!$X$5:$X$132,MATCH($B1723&amp;"|"&amp;$C1723,Inputs!$A$5:$A$132,0))</f>
        <v/>
      </c>
      <c r="M1723" s="44">
        <f>L1723*$G1723*(1+M$7)^$D1723*(M1705/L1705)^$E1723*((M1705+M1714)/(L1705+L1714))^$F1723</f>
        <v/>
      </c>
      <c r="N1723" s="44">
        <f>M1723*$G1723*(1+N$7)^$D1723*(N1705/M1705)^$E1723*((N1705+N1714)/(M1705+M1714))^$F1723</f>
        <v/>
      </c>
      <c r="O1723" s="44">
        <f>N1723*$G1723*(1+O$7)^$D1723*(O1705/N1705)^$E1723*((O1705+O1714)/(N1705+N1714))^$F1723</f>
        <v/>
      </c>
      <c r="P1723" s="44">
        <f>O1723*$G1723*(1+P$7)^$D1723*(P1705/O1705)^$E1723*((P1705+P1714)/(O1705+O1714))^$F1723</f>
        <v/>
      </c>
      <c r="Q1723" s="44">
        <f>P1723*$G1723*(1+Q$7)^$D1723*(Q1705/P1705)^$E1723*((Q1705+Q1714)/(P1705+P1714))^$F1723</f>
        <v/>
      </c>
      <c r="R1723" s="44">
        <f>Q1723*$G1723*(1+R$7)^$D1723*(R1705/Q1705)^$E1723*((R1705+R1714)/(Q1705+Q1714))^$F1723</f>
        <v/>
      </c>
      <c r="S1723" s="44">
        <f>R1723*$G1723*(1+S$7)^$D1723*(S1705/R1705)^$E1723*((S1705+S1714)/(R1705+R1714))^$F1723</f>
        <v/>
      </c>
      <c r="T1723" s="44">
        <f>S1723*$G1723*(1+T$7)^$D1723*(T1705/S1705)^$E1723*((T1705+T1714)/(S1705+S1714))^$F1723</f>
        <v/>
      </c>
      <c r="U1723" s="44">
        <f>T1723*$G1723*(1+U$7)^$D1723*(U1705/T1705)^$E1723*((U1705+U1714)/(T1705+T1714))^$F1723</f>
        <v/>
      </c>
      <c r="V1723" s="44">
        <f>U1723*$G1723*(1+V$7)^$D1723*(V1705/U1705)^$E1723*((V1705+V1714)/(U1705+U1714))^$F1723</f>
        <v/>
      </c>
      <c r="W1723" s="44">
        <f>V1723*$G1723*(1+W$7)^$D1723*(W1705/V1705)^$E1723*((W1705+W1714)/(V1705+V1714))^$F1723</f>
        <v/>
      </c>
      <c r="X1723" s="44">
        <f>W1723*$G1723*(1+X$7)^$D1723*(X1705/W1705)^$E1723*((X1705+X1714)/(W1705+W1714))^$F1723</f>
        <v/>
      </c>
      <c r="Y1723" s="44">
        <f>X1723*$G1723*(1+Y$7)^$D1723*(Y1705/X1705)^$E1723*((Y1705+Y1714)/(X1705+X1714))^$F1723</f>
        <v/>
      </c>
      <c r="Z1723" s="44">
        <f>Y1723*$G1723*(1+Z$7)^$D1723*(Z1705/Y1705)^$E1723*((Z1705+Z1714)/(Y1705+Y1714))^$F1723</f>
        <v/>
      </c>
      <c r="AA1723" s="44">
        <f>Z1723*$G1723*(1+AA$7)^$D1723*(AA1705/Z1705)^$E1723*((AA1705+AA1714)/(Z1705+Z1714))^$F1723</f>
        <v/>
      </c>
      <c r="AB1723" s="44">
        <f>AA1723*$G1723*(1+AB$7)^$D1723*(AB1705/AA1705)^$E1723*((AB1705+AB1714)/(AA1705+AA1714))^$F1723</f>
        <v/>
      </c>
      <c r="AC1723" s="44">
        <f>AB1723*$G1723*(1+AC$7)^$D1723*(AC1705/AB1705)^$E1723*((AC1705+AC1714)/(AB1705+AB1714))^$F1723</f>
        <v/>
      </c>
      <c r="AD1723" s="44">
        <f>AC1723*$G1723*(1+AD$7)^$D1723*(AD1705/AC1705)^$E1723*((AD1705+AD1714)/(AC1705+AC1714))^$F1723</f>
        <v/>
      </c>
      <c r="AE1723" s="57">
        <f>FUELUSE(AD1723,AE1705,AD1705,AE1714,AD1714,AE$7,$D1723,$E1723,$F1723,$G1723)</f>
        <v/>
      </c>
      <c r="AG1723" s="11">
        <f>CodePrefix&amp;$A1723&amp;IF($C1723="","","."&amp;$C1723&amp;"."&amp;$B1723)&amp;INDEX(VarEnd,MATCH($A1723,VarKey,0))&amp;AG$5</f>
        <v/>
      </c>
      <c r="AH1723" s="43">
        <f>INDEX(Inputs!$X$5:$X$132,MATCH($B1723&amp;"|"&amp;$C1723,Inputs!$A$5:$A$132,0))</f>
        <v/>
      </c>
      <c r="AI1723" s="44">
        <f>AH1723*$G1723*(1+AI$7)^$D1723*(AI1705/AH1705)^$E1723*((AI1705+AI1714)/(AH1705+AH1714))^$F1723</f>
        <v/>
      </c>
      <c r="AJ1723" s="44">
        <f>AI1723*$G1723*(1+AJ$7)^$D1723*(AJ1705/AI1705)^$E1723*((AJ1705+AJ1714)/(AI1705+AI1714))^$F1723</f>
        <v/>
      </c>
      <c r="AK1723" s="44">
        <f>AJ1723*$G1723*(1+AK$7)^$D1723*(AK1705/AJ1705)^$E1723*((AK1705+AK1714)/(AJ1705+AJ1714))^$F1723</f>
        <v/>
      </c>
      <c r="AL1723" s="44">
        <f>AK1723*$G1723*(1+AL$7)^$D1723*(AL1705/AK1705)^$E1723*((AL1705+AL1714)/(AK1705+AK1714))^$F1723</f>
        <v/>
      </c>
      <c r="AM1723" s="44">
        <f>AL1723*$G1723*(1+AM$7)^$D1723*(AM1705/AL1705)^$E1723*((AM1705+AM1714)/(AL1705+AL1714))^$F1723</f>
        <v/>
      </c>
      <c r="AN1723" s="44">
        <f>AM1723*$G1723*(1+AN$7)^$D1723*(AN1705/AM1705)^$E1723*((AN1705+AN1714)/(AM1705+AM1714))^$F1723</f>
        <v/>
      </c>
      <c r="AO1723" s="44">
        <f>AN1723*$G1723*(1+AO$7)^$D1723*(AO1705/AN1705)^$E1723*((AO1705+AO1714)/(AN1705+AN1714))^$F1723</f>
        <v/>
      </c>
      <c r="AP1723" s="44">
        <f>AO1723*$G1723*(1+AP$7)^$D1723*(AP1705/AO1705)^$E1723*((AP1705+AP1714)/(AO1705+AO1714))^$F1723</f>
        <v/>
      </c>
      <c r="AQ1723" s="44">
        <f>AP1723*$G1723*(1+AQ$7)^$D1723*(AQ1705/AP1705)^$E1723*((AQ1705+AQ1714)/(AP1705+AP1714))^$F1723</f>
        <v/>
      </c>
      <c r="AR1723" s="44">
        <f>AQ1723*$G1723*(1+AR$7)^$D1723*(AR1705/AQ1705)^$E1723*((AR1705+AR1714)/(AQ1705+AQ1714))^$F1723</f>
        <v/>
      </c>
      <c r="AS1723" s="44">
        <f>AR1723*$G1723*(1+AS$7)^$D1723*(AS1705/AR1705)^$E1723*((AS1705+AS1714)/(AR1705+AR1714))^$F1723</f>
        <v/>
      </c>
      <c r="AT1723" s="44">
        <f>AS1723*$G1723*(1+AT$7)^$D1723*(AT1705/AS1705)^$E1723*((AT1705+AT1714)/(AS1705+AS1714))^$F1723</f>
        <v/>
      </c>
      <c r="AU1723" s="44">
        <f>AT1723*$G1723*(1+AU$7)^$D1723*(AU1705/AT1705)^$E1723*((AU1705+AU1714)/(AT1705+AT1714))^$F1723</f>
        <v/>
      </c>
      <c r="AV1723" s="44">
        <f>AU1723*$G1723*(1+AV$7)^$D1723*(AV1705/AU1705)^$E1723*((AV1705+AV1714)/(AU1705+AU1714))^$F1723</f>
        <v/>
      </c>
      <c r="AW1723" s="44">
        <f>AV1723*$G1723*(1+AW$7)^$D1723*(AW1705/AV1705)^$E1723*((AW1705+AW1714)/(AV1705+AV1714))^$F1723</f>
        <v/>
      </c>
      <c r="AX1723" s="44">
        <f>AW1723*$G1723*(1+AX$7)^$D1723*(AX1705/AW1705)^$E1723*((AX1705+AX1714)/(AW1705+AW1714))^$F1723</f>
        <v/>
      </c>
      <c r="AY1723" s="44">
        <f>AX1723*$G1723*(1+AY$7)^$D1723*(AY1705/AX1705)^$E1723*((AY1705+AY1714)/(AX1705+AX1714))^$F1723</f>
        <v/>
      </c>
      <c r="AZ1723" s="44">
        <f>AY1723*$G1723*(1+AZ$7)^$D1723*(AZ1705/AY1705)^$E1723*((AZ1705+AZ1714)/(AY1705+AY1714))^$F1723</f>
        <v/>
      </c>
      <c r="BA1723" s="57">
        <f>FUELUSE(AZ1723,BA1705,AZ1705,BA1714,AZ1714,BA$7,$D1723,$E1723,$F1723,$G1723)</f>
        <v/>
      </c>
    </row>
    <row r="1724" hidden="1" outlineLevel="2">
      <c r="A1724" s="14" t="inlineStr">
        <is>
          <t>ener</t>
        </is>
      </c>
      <c r="B1724" s="14" t="inlineStr">
        <is>
          <t>gso</t>
        </is>
      </c>
      <c r="C1724" s="14" t="inlineStr">
        <is>
          <t>foo</t>
        </is>
      </c>
      <c r="D1724" s="35">
        <f>INDEX(Inputs!$O$5:$O$132,MATCH($B1724&amp;"|"&amp;$C1724,Inputs!$A$5:$A$132,0))</f>
        <v/>
      </c>
      <c r="E1724" s="35">
        <f>INDEX(Inputs!$P$5:$P$132,MATCH($B1724&amp;"|"&amp;$C1724,Inputs!$A$5:$A$132,0))</f>
        <v/>
      </c>
      <c r="F1724" s="35">
        <f>INDEX(Inputs!$T$5:$T$132,MATCH($B1724&amp;"|"&amp;$C1724,Inputs!$A$5:$A$132,0))</f>
        <v/>
      </c>
      <c r="G1724" s="35">
        <f>INDEX(Inputs!$S$5:$S$132,MATCH($B1724&amp;"|"&amp;$C1724,Inputs!$A$5:$A$132,0))</f>
        <v/>
      </c>
      <c r="H1724" s="14">
        <f>INDEX(VarLab,MATCH($A1724,VarKey,0))&amp;INDEX(MemLab,MATCH($C1724&amp;"|"&amp;$B1724,MemKey,0))</f>
        <v/>
      </c>
      <c r="I1724" s="14">
        <f>INDEX(VarUnit,MATCH($A1724,VarKey,0))</f>
        <v/>
      </c>
      <c r="J1724" s="14">
        <f>INDEX(VarSrc,MATCH($A1724,VarKey,0))</f>
        <v/>
      </c>
      <c r="K1724" s="11">
        <f>CodePrefix&amp;$A1724&amp;IF($C1724="","","."&amp;$C1724&amp;"."&amp;$B1724)&amp;INDEX(VarEnd,MATCH($A1724,VarKey,0))&amp;K$5</f>
        <v/>
      </c>
      <c r="L1724" s="43">
        <f>INDEX(Inputs!$X$5:$X$132,MATCH($B1724&amp;"|"&amp;$C1724,Inputs!$A$5:$A$132,0))</f>
        <v/>
      </c>
      <c r="M1724" s="44">
        <f>L1724*$G1724*(1+M$7)^$D1724*(M1706/L1706)^$E1724*((M1706+M1715)/(L1706+L1715))^$F1724</f>
        <v/>
      </c>
      <c r="N1724" s="44">
        <f>M1724*$G1724*(1+N$7)^$D1724*(N1706/M1706)^$E1724*((N1706+N1715)/(M1706+M1715))^$F1724</f>
        <v/>
      </c>
      <c r="O1724" s="44">
        <f>N1724*$G1724*(1+O$7)^$D1724*(O1706/N1706)^$E1724*((O1706+O1715)/(N1706+N1715))^$F1724</f>
        <v/>
      </c>
      <c r="P1724" s="44">
        <f>O1724*$G1724*(1+P$7)^$D1724*(P1706/O1706)^$E1724*((P1706+P1715)/(O1706+O1715))^$F1724</f>
        <v/>
      </c>
      <c r="Q1724" s="44">
        <f>P1724*$G1724*(1+Q$7)^$D1724*(Q1706/P1706)^$E1724*((Q1706+Q1715)/(P1706+P1715))^$F1724</f>
        <v/>
      </c>
      <c r="R1724" s="44">
        <f>Q1724*$G1724*(1+R$7)^$D1724*(R1706/Q1706)^$E1724*((R1706+R1715)/(Q1706+Q1715))^$F1724</f>
        <v/>
      </c>
      <c r="S1724" s="44">
        <f>R1724*$G1724*(1+S$7)^$D1724*(S1706/R1706)^$E1724*((S1706+S1715)/(R1706+R1715))^$F1724</f>
        <v/>
      </c>
      <c r="T1724" s="44">
        <f>S1724*$G1724*(1+T$7)^$D1724*(T1706/S1706)^$E1724*((T1706+T1715)/(S1706+S1715))^$F1724</f>
        <v/>
      </c>
      <c r="U1724" s="44">
        <f>T1724*$G1724*(1+U$7)^$D1724*(U1706/T1706)^$E1724*((U1706+U1715)/(T1706+T1715))^$F1724</f>
        <v/>
      </c>
      <c r="V1724" s="44">
        <f>U1724*$G1724*(1+V$7)^$D1724*(V1706/U1706)^$E1724*((V1706+V1715)/(U1706+U1715))^$F1724</f>
        <v/>
      </c>
      <c r="W1724" s="44">
        <f>V1724*$G1724*(1+W$7)^$D1724*(W1706/V1706)^$E1724*((W1706+W1715)/(V1706+V1715))^$F1724</f>
        <v/>
      </c>
      <c r="X1724" s="44">
        <f>W1724*$G1724*(1+X$7)^$D1724*(X1706/W1706)^$E1724*((X1706+X1715)/(W1706+W1715))^$F1724</f>
        <v/>
      </c>
      <c r="Y1724" s="44">
        <f>X1724*$G1724*(1+Y$7)^$D1724*(Y1706/X1706)^$E1724*((Y1706+Y1715)/(X1706+X1715))^$F1724</f>
        <v/>
      </c>
      <c r="Z1724" s="44">
        <f>Y1724*$G1724*(1+Z$7)^$D1724*(Z1706/Y1706)^$E1724*((Z1706+Z1715)/(Y1706+Y1715))^$F1724</f>
        <v/>
      </c>
      <c r="AA1724" s="44">
        <f>Z1724*$G1724*(1+AA$7)^$D1724*(AA1706/Z1706)^$E1724*((AA1706+AA1715)/(Z1706+Z1715))^$F1724</f>
        <v/>
      </c>
      <c r="AB1724" s="44">
        <f>AA1724*$G1724*(1+AB$7)^$D1724*(AB1706/AA1706)^$E1724*((AB1706+AB1715)/(AA1706+AA1715))^$F1724</f>
        <v/>
      </c>
      <c r="AC1724" s="44">
        <f>AB1724*$G1724*(1+AC$7)^$D1724*(AC1706/AB1706)^$E1724*((AC1706+AC1715)/(AB1706+AB1715))^$F1724</f>
        <v/>
      </c>
      <c r="AD1724" s="44">
        <f>AC1724*$G1724*(1+AD$7)^$D1724*(AD1706/AC1706)^$E1724*((AD1706+AD1715)/(AC1706+AC1715))^$F1724</f>
        <v/>
      </c>
      <c r="AE1724" s="57">
        <f>FUELUSE(AD1724,AE1706,AD1706,AE1715,AD1715,AE$7,$D1724,$E1724,$F1724,$G1724)</f>
        <v/>
      </c>
      <c r="AG1724" s="11">
        <f>CodePrefix&amp;$A1724&amp;IF($C1724="","","."&amp;$C1724&amp;"."&amp;$B1724)&amp;INDEX(VarEnd,MATCH($A1724,VarKey,0))&amp;AG$5</f>
        <v/>
      </c>
      <c r="AH1724" s="43">
        <f>INDEX(Inputs!$X$5:$X$132,MATCH($B1724&amp;"|"&amp;$C1724,Inputs!$A$5:$A$132,0))</f>
        <v/>
      </c>
      <c r="AI1724" s="44">
        <f>AH1724*$G1724*(1+AI$7)^$D1724*(AI1706/AH1706)^$E1724*((AI1706+AI1715)/(AH1706+AH1715))^$F1724</f>
        <v/>
      </c>
      <c r="AJ1724" s="44">
        <f>AI1724*$G1724*(1+AJ$7)^$D1724*(AJ1706/AI1706)^$E1724*((AJ1706+AJ1715)/(AI1706+AI1715))^$F1724</f>
        <v/>
      </c>
      <c r="AK1724" s="44">
        <f>AJ1724*$G1724*(1+AK$7)^$D1724*(AK1706/AJ1706)^$E1724*((AK1706+AK1715)/(AJ1706+AJ1715))^$F1724</f>
        <v/>
      </c>
      <c r="AL1724" s="44">
        <f>AK1724*$G1724*(1+AL$7)^$D1724*(AL1706/AK1706)^$E1724*((AL1706+AL1715)/(AK1706+AK1715))^$F1724</f>
        <v/>
      </c>
      <c r="AM1724" s="44">
        <f>AL1724*$G1724*(1+AM$7)^$D1724*(AM1706/AL1706)^$E1724*((AM1706+AM1715)/(AL1706+AL1715))^$F1724</f>
        <v/>
      </c>
      <c r="AN1724" s="44">
        <f>AM1724*$G1724*(1+AN$7)^$D1724*(AN1706/AM1706)^$E1724*((AN1706+AN1715)/(AM1706+AM1715))^$F1724</f>
        <v/>
      </c>
      <c r="AO1724" s="44">
        <f>AN1724*$G1724*(1+AO$7)^$D1724*(AO1706/AN1706)^$E1724*((AO1706+AO1715)/(AN1706+AN1715))^$F1724</f>
        <v/>
      </c>
      <c r="AP1724" s="44">
        <f>AO1724*$G1724*(1+AP$7)^$D1724*(AP1706/AO1706)^$E1724*((AP1706+AP1715)/(AO1706+AO1715))^$F1724</f>
        <v/>
      </c>
      <c r="AQ1724" s="44">
        <f>AP1724*$G1724*(1+AQ$7)^$D1724*(AQ1706/AP1706)^$E1724*((AQ1706+AQ1715)/(AP1706+AP1715))^$F1724</f>
        <v/>
      </c>
      <c r="AR1724" s="44">
        <f>AQ1724*$G1724*(1+AR$7)^$D1724*(AR1706/AQ1706)^$E1724*((AR1706+AR1715)/(AQ1706+AQ1715))^$F1724</f>
        <v/>
      </c>
      <c r="AS1724" s="44">
        <f>AR1724*$G1724*(1+AS$7)^$D1724*(AS1706/AR1706)^$E1724*((AS1706+AS1715)/(AR1706+AR1715))^$F1724</f>
        <v/>
      </c>
      <c r="AT1724" s="44">
        <f>AS1724*$G1724*(1+AT$7)^$D1724*(AT1706/AS1706)^$E1724*((AT1706+AT1715)/(AS1706+AS1715))^$F1724</f>
        <v/>
      </c>
      <c r="AU1724" s="44">
        <f>AT1724*$G1724*(1+AU$7)^$D1724*(AU1706/AT1706)^$E1724*((AU1706+AU1715)/(AT1706+AT1715))^$F1724</f>
        <v/>
      </c>
      <c r="AV1724" s="44">
        <f>AU1724*$G1724*(1+AV$7)^$D1724*(AV1706/AU1706)^$E1724*((AV1706+AV1715)/(AU1706+AU1715))^$F1724</f>
        <v/>
      </c>
      <c r="AW1724" s="44">
        <f>AV1724*$G1724*(1+AW$7)^$D1724*(AW1706/AV1706)^$E1724*((AW1706+AW1715)/(AV1706+AV1715))^$F1724</f>
        <v/>
      </c>
      <c r="AX1724" s="44">
        <f>AW1724*$G1724*(1+AX$7)^$D1724*(AX1706/AW1706)^$E1724*((AX1706+AX1715)/(AW1706+AW1715))^$F1724</f>
        <v/>
      </c>
      <c r="AY1724" s="44">
        <f>AX1724*$G1724*(1+AY$7)^$D1724*(AY1706/AX1706)^$E1724*((AY1706+AY1715)/(AX1706+AX1715))^$F1724</f>
        <v/>
      </c>
      <c r="AZ1724" s="44">
        <f>AY1724*$G1724*(1+AZ$7)^$D1724*(AZ1706/AY1706)^$E1724*((AZ1706+AZ1715)/(AY1706+AY1715))^$F1724</f>
        <v/>
      </c>
      <c r="BA1724" s="57">
        <f>FUELUSE(AZ1724,BA1706,AZ1706,BA1715,AZ1715,BA$7,$D1724,$E1724,$F1724,$G1724)</f>
        <v/>
      </c>
    </row>
    <row r="1725" hidden="1" outlineLevel="2">
      <c r="A1725" s="14" t="inlineStr">
        <is>
          <t>ener</t>
        </is>
      </c>
      <c r="B1725" s="14" t="inlineStr">
        <is>
          <t>die</t>
        </is>
      </c>
      <c r="C1725" s="14" t="inlineStr">
        <is>
          <t>foo</t>
        </is>
      </c>
      <c r="D1725" s="35">
        <f>INDEX(Inputs!$O$5:$O$132,MATCH($B1725&amp;"|"&amp;$C1725,Inputs!$A$5:$A$132,0))</f>
        <v/>
      </c>
      <c r="E1725" s="35">
        <f>INDEX(Inputs!$P$5:$P$132,MATCH($B1725&amp;"|"&amp;$C1725,Inputs!$A$5:$A$132,0))</f>
        <v/>
      </c>
      <c r="F1725" s="35">
        <f>INDEX(Inputs!$T$5:$T$132,MATCH($B1725&amp;"|"&amp;$C1725,Inputs!$A$5:$A$132,0))</f>
        <v/>
      </c>
      <c r="G1725" s="35">
        <f>INDEX(Inputs!$S$5:$S$132,MATCH($B1725&amp;"|"&amp;$C1725,Inputs!$A$5:$A$132,0))</f>
        <v/>
      </c>
      <c r="H1725" s="14">
        <f>INDEX(VarLab,MATCH($A1725,VarKey,0))&amp;INDEX(MemLab,MATCH($C1725&amp;"|"&amp;$B1725,MemKey,0))</f>
        <v/>
      </c>
      <c r="I1725" s="14">
        <f>INDEX(VarUnit,MATCH($A1725,VarKey,0))</f>
        <v/>
      </c>
      <c r="J1725" s="14">
        <f>INDEX(VarSrc,MATCH($A1725,VarKey,0))</f>
        <v/>
      </c>
      <c r="K1725" s="11">
        <f>CodePrefix&amp;$A1725&amp;IF($C1725="","","."&amp;$C1725&amp;"."&amp;$B1725)&amp;INDEX(VarEnd,MATCH($A1725,VarKey,0))&amp;K$5</f>
        <v/>
      </c>
      <c r="L1725" s="43">
        <f>INDEX(Inputs!$X$5:$X$132,MATCH($B1725&amp;"|"&amp;$C1725,Inputs!$A$5:$A$132,0))</f>
        <v/>
      </c>
      <c r="M1725" s="44">
        <f>L1725*$G1725*(1+M$7)^$D1725*(M1707/L1707)^$E1725*((M1707+M1716)/(L1707+L1716))^$F1725</f>
        <v/>
      </c>
      <c r="N1725" s="44">
        <f>M1725*$G1725*(1+N$7)^$D1725*(N1707/M1707)^$E1725*((N1707+N1716)/(M1707+M1716))^$F1725</f>
        <v/>
      </c>
      <c r="O1725" s="44">
        <f>N1725*$G1725*(1+O$7)^$D1725*(O1707/N1707)^$E1725*((O1707+O1716)/(N1707+N1716))^$F1725</f>
        <v/>
      </c>
      <c r="P1725" s="44">
        <f>O1725*$G1725*(1+P$7)^$D1725*(P1707/O1707)^$E1725*((P1707+P1716)/(O1707+O1716))^$F1725</f>
        <v/>
      </c>
      <c r="Q1725" s="44">
        <f>P1725*$G1725*(1+Q$7)^$D1725*(Q1707/P1707)^$E1725*((Q1707+Q1716)/(P1707+P1716))^$F1725</f>
        <v/>
      </c>
      <c r="R1725" s="44">
        <f>Q1725*$G1725*(1+R$7)^$D1725*(R1707/Q1707)^$E1725*((R1707+R1716)/(Q1707+Q1716))^$F1725</f>
        <v/>
      </c>
      <c r="S1725" s="44">
        <f>R1725*$G1725*(1+S$7)^$D1725*(S1707/R1707)^$E1725*((S1707+S1716)/(R1707+R1716))^$F1725</f>
        <v/>
      </c>
      <c r="T1725" s="44">
        <f>S1725*$G1725*(1+T$7)^$D1725*(T1707/S1707)^$E1725*((T1707+T1716)/(S1707+S1716))^$F1725</f>
        <v/>
      </c>
      <c r="U1725" s="44">
        <f>T1725*$G1725*(1+U$7)^$D1725*(U1707/T1707)^$E1725*((U1707+U1716)/(T1707+T1716))^$F1725</f>
        <v/>
      </c>
      <c r="V1725" s="44">
        <f>U1725*$G1725*(1+V$7)^$D1725*(V1707/U1707)^$E1725*((V1707+V1716)/(U1707+U1716))^$F1725</f>
        <v/>
      </c>
      <c r="W1725" s="44">
        <f>V1725*$G1725*(1+W$7)^$D1725*(W1707/V1707)^$E1725*((W1707+W1716)/(V1707+V1716))^$F1725</f>
        <v/>
      </c>
      <c r="X1725" s="44">
        <f>W1725*$G1725*(1+X$7)^$D1725*(X1707/W1707)^$E1725*((X1707+X1716)/(W1707+W1716))^$F1725</f>
        <v/>
      </c>
      <c r="Y1725" s="44">
        <f>X1725*$G1725*(1+Y$7)^$D1725*(Y1707/X1707)^$E1725*((Y1707+Y1716)/(X1707+X1716))^$F1725</f>
        <v/>
      </c>
      <c r="Z1725" s="44">
        <f>Y1725*$G1725*(1+Z$7)^$D1725*(Z1707/Y1707)^$E1725*((Z1707+Z1716)/(Y1707+Y1716))^$F1725</f>
        <v/>
      </c>
      <c r="AA1725" s="44">
        <f>Z1725*$G1725*(1+AA$7)^$D1725*(AA1707/Z1707)^$E1725*((AA1707+AA1716)/(Z1707+Z1716))^$F1725</f>
        <v/>
      </c>
      <c r="AB1725" s="44">
        <f>AA1725*$G1725*(1+AB$7)^$D1725*(AB1707/AA1707)^$E1725*((AB1707+AB1716)/(AA1707+AA1716))^$F1725</f>
        <v/>
      </c>
      <c r="AC1725" s="44">
        <f>AB1725*$G1725*(1+AC$7)^$D1725*(AC1707/AB1707)^$E1725*((AC1707+AC1716)/(AB1707+AB1716))^$F1725</f>
        <v/>
      </c>
      <c r="AD1725" s="44">
        <f>AC1725*$G1725*(1+AD$7)^$D1725*(AD1707/AC1707)^$E1725*((AD1707+AD1716)/(AC1707+AC1716))^$F1725</f>
        <v/>
      </c>
      <c r="AE1725" s="57">
        <f>FUELUSE(AD1725,AE1707,AD1707,AE1716,AD1716,AE$7,$D1725,$E1725,$F1725,$G1725)</f>
        <v/>
      </c>
      <c r="AG1725" s="11">
        <f>CodePrefix&amp;$A1725&amp;IF($C1725="","","."&amp;$C1725&amp;"."&amp;$B1725)&amp;INDEX(VarEnd,MATCH($A1725,VarKey,0))&amp;AG$5</f>
        <v/>
      </c>
      <c r="AH1725" s="43">
        <f>INDEX(Inputs!$X$5:$X$132,MATCH($B1725&amp;"|"&amp;$C1725,Inputs!$A$5:$A$132,0))</f>
        <v/>
      </c>
      <c r="AI1725" s="44">
        <f>AH1725*$G1725*(1+AI$7)^$D1725*(AI1707/AH1707)^$E1725*((AI1707+AI1716)/(AH1707+AH1716))^$F1725</f>
        <v/>
      </c>
      <c r="AJ1725" s="44">
        <f>AI1725*$G1725*(1+AJ$7)^$D1725*(AJ1707/AI1707)^$E1725*((AJ1707+AJ1716)/(AI1707+AI1716))^$F1725</f>
        <v/>
      </c>
      <c r="AK1725" s="44">
        <f>AJ1725*$G1725*(1+AK$7)^$D1725*(AK1707/AJ1707)^$E1725*((AK1707+AK1716)/(AJ1707+AJ1716))^$F1725</f>
        <v/>
      </c>
      <c r="AL1725" s="44">
        <f>AK1725*$G1725*(1+AL$7)^$D1725*(AL1707/AK1707)^$E1725*((AL1707+AL1716)/(AK1707+AK1716))^$F1725</f>
        <v/>
      </c>
      <c r="AM1725" s="44">
        <f>AL1725*$G1725*(1+AM$7)^$D1725*(AM1707/AL1707)^$E1725*((AM1707+AM1716)/(AL1707+AL1716))^$F1725</f>
        <v/>
      </c>
      <c r="AN1725" s="44">
        <f>AM1725*$G1725*(1+AN$7)^$D1725*(AN1707/AM1707)^$E1725*((AN1707+AN1716)/(AM1707+AM1716))^$F1725</f>
        <v/>
      </c>
      <c r="AO1725" s="44">
        <f>AN1725*$G1725*(1+AO$7)^$D1725*(AO1707/AN1707)^$E1725*((AO1707+AO1716)/(AN1707+AN1716))^$F1725</f>
        <v/>
      </c>
      <c r="AP1725" s="44">
        <f>AO1725*$G1725*(1+AP$7)^$D1725*(AP1707/AO1707)^$E1725*((AP1707+AP1716)/(AO1707+AO1716))^$F1725</f>
        <v/>
      </c>
      <c r="AQ1725" s="44">
        <f>AP1725*$G1725*(1+AQ$7)^$D1725*(AQ1707/AP1707)^$E1725*((AQ1707+AQ1716)/(AP1707+AP1716))^$F1725</f>
        <v/>
      </c>
      <c r="AR1725" s="44">
        <f>AQ1725*$G1725*(1+AR$7)^$D1725*(AR1707/AQ1707)^$E1725*((AR1707+AR1716)/(AQ1707+AQ1716))^$F1725</f>
        <v/>
      </c>
      <c r="AS1725" s="44">
        <f>AR1725*$G1725*(1+AS$7)^$D1725*(AS1707/AR1707)^$E1725*((AS1707+AS1716)/(AR1707+AR1716))^$F1725</f>
        <v/>
      </c>
      <c r="AT1725" s="44">
        <f>AS1725*$G1725*(1+AT$7)^$D1725*(AT1707/AS1707)^$E1725*((AT1707+AT1716)/(AS1707+AS1716))^$F1725</f>
        <v/>
      </c>
      <c r="AU1725" s="44">
        <f>AT1725*$G1725*(1+AU$7)^$D1725*(AU1707/AT1707)^$E1725*((AU1707+AU1716)/(AT1707+AT1716))^$F1725</f>
        <v/>
      </c>
      <c r="AV1725" s="44">
        <f>AU1725*$G1725*(1+AV$7)^$D1725*(AV1707/AU1707)^$E1725*((AV1707+AV1716)/(AU1707+AU1716))^$F1725</f>
        <v/>
      </c>
      <c r="AW1725" s="44">
        <f>AV1725*$G1725*(1+AW$7)^$D1725*(AW1707/AV1707)^$E1725*((AW1707+AW1716)/(AV1707+AV1716))^$F1725</f>
        <v/>
      </c>
      <c r="AX1725" s="44">
        <f>AW1725*$G1725*(1+AX$7)^$D1725*(AX1707/AW1707)^$E1725*((AX1707+AX1716)/(AW1707+AW1716))^$F1725</f>
        <v/>
      </c>
      <c r="AY1725" s="44">
        <f>AX1725*$G1725*(1+AY$7)^$D1725*(AY1707/AX1707)^$E1725*((AY1707+AY1716)/(AX1707+AX1716))^$F1725</f>
        <v/>
      </c>
      <c r="AZ1725" s="44">
        <f>AY1725*$G1725*(1+AZ$7)^$D1725*(AZ1707/AY1707)^$E1725*((AZ1707+AZ1716)/(AY1707+AY1716))^$F1725</f>
        <v/>
      </c>
      <c r="BA1725" s="57">
        <f>FUELUSE(AZ1725,BA1707,AZ1707,BA1716,AZ1716,BA$7,$D1725,$E1725,$F1725,$G1725)</f>
        <v/>
      </c>
    </row>
    <row r="1726" hidden="1" outlineLevel="2">
      <c r="A1726" s="14" t="inlineStr">
        <is>
          <t>ener</t>
        </is>
      </c>
      <c r="B1726" s="14" t="inlineStr">
        <is>
          <t>lpg</t>
        </is>
      </c>
      <c r="C1726" s="14" t="inlineStr">
        <is>
          <t>foo</t>
        </is>
      </c>
      <c r="D1726" s="35">
        <f>INDEX(Inputs!$O$5:$O$132,MATCH($B1726&amp;"|"&amp;$C1726,Inputs!$A$5:$A$132,0))</f>
        <v/>
      </c>
      <c r="E1726" s="35">
        <f>INDEX(Inputs!$P$5:$P$132,MATCH($B1726&amp;"|"&amp;$C1726,Inputs!$A$5:$A$132,0))</f>
        <v/>
      </c>
      <c r="F1726" s="35">
        <f>INDEX(Inputs!$T$5:$T$132,MATCH($B1726&amp;"|"&amp;$C1726,Inputs!$A$5:$A$132,0))</f>
        <v/>
      </c>
      <c r="G1726" s="35">
        <f>INDEX(Inputs!$S$5:$S$132,MATCH($B1726&amp;"|"&amp;$C1726,Inputs!$A$5:$A$132,0))</f>
        <v/>
      </c>
      <c r="H1726" s="14">
        <f>INDEX(VarLab,MATCH($A1726,VarKey,0))&amp;INDEX(MemLab,MATCH($C1726&amp;"|"&amp;$B1726,MemKey,0))</f>
        <v/>
      </c>
      <c r="I1726" s="14">
        <f>INDEX(VarUnit,MATCH($A1726,VarKey,0))</f>
        <v/>
      </c>
      <c r="J1726" s="14">
        <f>INDEX(VarSrc,MATCH($A1726,VarKey,0))</f>
        <v/>
      </c>
      <c r="K1726" s="11">
        <f>CodePrefix&amp;$A1726&amp;IF($C1726="","","."&amp;$C1726&amp;"."&amp;$B1726)&amp;INDEX(VarEnd,MATCH($A1726,VarKey,0))&amp;K$5</f>
        <v/>
      </c>
      <c r="L1726" s="43">
        <f>INDEX(Inputs!$X$5:$X$132,MATCH($B1726&amp;"|"&amp;$C1726,Inputs!$A$5:$A$132,0))</f>
        <v/>
      </c>
      <c r="M1726" s="44">
        <f>L1726*$G1726*(1+M$7)^$D1726*(M1708/L1708)^$E1726*((M1708+M1717)/(L1708+L1717))^$F1726</f>
        <v/>
      </c>
      <c r="N1726" s="44">
        <f>M1726*$G1726*(1+N$7)^$D1726*(N1708/M1708)^$E1726*((N1708+N1717)/(M1708+M1717))^$F1726</f>
        <v/>
      </c>
      <c r="O1726" s="44">
        <f>N1726*$G1726*(1+O$7)^$D1726*(O1708/N1708)^$E1726*((O1708+O1717)/(N1708+N1717))^$F1726</f>
        <v/>
      </c>
      <c r="P1726" s="44">
        <f>O1726*$G1726*(1+P$7)^$D1726*(P1708/O1708)^$E1726*((P1708+P1717)/(O1708+O1717))^$F1726</f>
        <v/>
      </c>
      <c r="Q1726" s="44">
        <f>P1726*$G1726*(1+Q$7)^$D1726*(Q1708/P1708)^$E1726*((Q1708+Q1717)/(P1708+P1717))^$F1726</f>
        <v/>
      </c>
      <c r="R1726" s="44">
        <f>Q1726*$G1726*(1+R$7)^$D1726*(R1708/Q1708)^$E1726*((R1708+R1717)/(Q1708+Q1717))^$F1726</f>
        <v/>
      </c>
      <c r="S1726" s="44">
        <f>R1726*$G1726*(1+S$7)^$D1726*(S1708/R1708)^$E1726*((S1708+S1717)/(R1708+R1717))^$F1726</f>
        <v/>
      </c>
      <c r="T1726" s="44">
        <f>S1726*$G1726*(1+T$7)^$D1726*(T1708/S1708)^$E1726*((T1708+T1717)/(S1708+S1717))^$F1726</f>
        <v/>
      </c>
      <c r="U1726" s="44">
        <f>T1726*$G1726*(1+U$7)^$D1726*(U1708/T1708)^$E1726*((U1708+U1717)/(T1708+T1717))^$F1726</f>
        <v/>
      </c>
      <c r="V1726" s="44">
        <f>U1726*$G1726*(1+V$7)^$D1726*(V1708/U1708)^$E1726*((V1708+V1717)/(U1708+U1717))^$F1726</f>
        <v/>
      </c>
      <c r="W1726" s="44">
        <f>V1726*$G1726*(1+W$7)^$D1726*(W1708/V1708)^$E1726*((W1708+W1717)/(V1708+V1717))^$F1726</f>
        <v/>
      </c>
      <c r="X1726" s="44">
        <f>W1726*$G1726*(1+X$7)^$D1726*(X1708/W1708)^$E1726*((X1708+X1717)/(W1708+W1717))^$F1726</f>
        <v/>
      </c>
      <c r="Y1726" s="44">
        <f>X1726*$G1726*(1+Y$7)^$D1726*(Y1708/X1708)^$E1726*((Y1708+Y1717)/(X1708+X1717))^$F1726</f>
        <v/>
      </c>
      <c r="Z1726" s="44">
        <f>Y1726*$G1726*(1+Z$7)^$D1726*(Z1708/Y1708)^$E1726*((Z1708+Z1717)/(Y1708+Y1717))^$F1726</f>
        <v/>
      </c>
      <c r="AA1726" s="44">
        <f>Z1726*$G1726*(1+AA$7)^$D1726*(AA1708/Z1708)^$E1726*((AA1708+AA1717)/(Z1708+Z1717))^$F1726</f>
        <v/>
      </c>
      <c r="AB1726" s="44">
        <f>AA1726*$G1726*(1+AB$7)^$D1726*(AB1708/AA1708)^$E1726*((AB1708+AB1717)/(AA1708+AA1717))^$F1726</f>
        <v/>
      </c>
      <c r="AC1726" s="44">
        <f>AB1726*$G1726*(1+AC$7)^$D1726*(AC1708/AB1708)^$E1726*((AC1708+AC1717)/(AB1708+AB1717))^$F1726</f>
        <v/>
      </c>
      <c r="AD1726" s="44">
        <f>AC1726*$G1726*(1+AD$7)^$D1726*(AD1708/AC1708)^$E1726*((AD1708+AD1717)/(AC1708+AC1717))^$F1726</f>
        <v/>
      </c>
      <c r="AE1726" s="57">
        <f>FUELUSE(AD1726,AE1708,AD1708,AE1717,AD1717,AE$7,$D1726,$E1726,$F1726,$G1726)</f>
        <v/>
      </c>
      <c r="AG1726" s="11">
        <f>CodePrefix&amp;$A1726&amp;IF($C1726="","","."&amp;$C1726&amp;"."&amp;$B1726)&amp;INDEX(VarEnd,MATCH($A1726,VarKey,0))&amp;AG$5</f>
        <v/>
      </c>
      <c r="AH1726" s="43">
        <f>INDEX(Inputs!$X$5:$X$132,MATCH($B1726&amp;"|"&amp;$C1726,Inputs!$A$5:$A$132,0))</f>
        <v/>
      </c>
      <c r="AI1726" s="44">
        <f>AH1726*$G1726*(1+AI$7)^$D1726*(AI1708/AH1708)^$E1726*((AI1708+AI1717)/(AH1708+AH1717))^$F1726</f>
        <v/>
      </c>
      <c r="AJ1726" s="44">
        <f>AI1726*$G1726*(1+AJ$7)^$D1726*(AJ1708/AI1708)^$E1726*((AJ1708+AJ1717)/(AI1708+AI1717))^$F1726</f>
        <v/>
      </c>
      <c r="AK1726" s="44">
        <f>AJ1726*$G1726*(1+AK$7)^$D1726*(AK1708/AJ1708)^$E1726*((AK1708+AK1717)/(AJ1708+AJ1717))^$F1726</f>
        <v/>
      </c>
      <c r="AL1726" s="44">
        <f>AK1726*$G1726*(1+AL$7)^$D1726*(AL1708/AK1708)^$E1726*((AL1708+AL1717)/(AK1708+AK1717))^$F1726</f>
        <v/>
      </c>
      <c r="AM1726" s="44">
        <f>AL1726*$G1726*(1+AM$7)^$D1726*(AM1708/AL1708)^$E1726*((AM1708+AM1717)/(AL1708+AL1717))^$F1726</f>
        <v/>
      </c>
      <c r="AN1726" s="44">
        <f>AM1726*$G1726*(1+AN$7)^$D1726*(AN1708/AM1708)^$E1726*((AN1708+AN1717)/(AM1708+AM1717))^$F1726</f>
        <v/>
      </c>
      <c r="AO1726" s="44">
        <f>AN1726*$G1726*(1+AO$7)^$D1726*(AO1708/AN1708)^$E1726*((AO1708+AO1717)/(AN1708+AN1717))^$F1726</f>
        <v/>
      </c>
      <c r="AP1726" s="44">
        <f>AO1726*$G1726*(1+AP$7)^$D1726*(AP1708/AO1708)^$E1726*((AP1708+AP1717)/(AO1708+AO1717))^$F1726</f>
        <v/>
      </c>
      <c r="AQ1726" s="44">
        <f>AP1726*$G1726*(1+AQ$7)^$D1726*(AQ1708/AP1708)^$E1726*((AQ1708+AQ1717)/(AP1708+AP1717))^$F1726</f>
        <v/>
      </c>
      <c r="AR1726" s="44">
        <f>AQ1726*$G1726*(1+AR$7)^$D1726*(AR1708/AQ1708)^$E1726*((AR1708+AR1717)/(AQ1708+AQ1717))^$F1726</f>
        <v/>
      </c>
      <c r="AS1726" s="44">
        <f>AR1726*$G1726*(1+AS$7)^$D1726*(AS1708/AR1708)^$E1726*((AS1708+AS1717)/(AR1708+AR1717))^$F1726</f>
        <v/>
      </c>
      <c r="AT1726" s="44">
        <f>AS1726*$G1726*(1+AT$7)^$D1726*(AT1708/AS1708)^$E1726*((AT1708+AT1717)/(AS1708+AS1717))^$F1726</f>
        <v/>
      </c>
      <c r="AU1726" s="44">
        <f>AT1726*$G1726*(1+AU$7)^$D1726*(AU1708/AT1708)^$E1726*((AU1708+AU1717)/(AT1708+AT1717))^$F1726</f>
        <v/>
      </c>
      <c r="AV1726" s="44">
        <f>AU1726*$G1726*(1+AV$7)^$D1726*(AV1708/AU1708)^$E1726*((AV1708+AV1717)/(AU1708+AU1717))^$F1726</f>
        <v/>
      </c>
      <c r="AW1726" s="44">
        <f>AV1726*$G1726*(1+AW$7)^$D1726*(AW1708/AV1708)^$E1726*((AW1708+AW1717)/(AV1708+AV1717))^$F1726</f>
        <v/>
      </c>
      <c r="AX1726" s="44">
        <f>AW1726*$G1726*(1+AX$7)^$D1726*(AX1708/AW1708)^$E1726*((AX1708+AX1717)/(AW1708+AW1717))^$F1726</f>
        <v/>
      </c>
      <c r="AY1726" s="44">
        <f>AX1726*$G1726*(1+AY$7)^$D1726*(AY1708/AX1708)^$E1726*((AY1708+AY1717)/(AX1708+AX1717))^$F1726</f>
        <v/>
      </c>
      <c r="AZ1726" s="44">
        <f>AY1726*$G1726*(1+AZ$7)^$D1726*(AZ1708/AY1708)^$E1726*((AZ1708+AZ1717)/(AY1708+AY1717))^$F1726</f>
        <v/>
      </c>
      <c r="BA1726" s="57">
        <f>FUELUSE(AZ1726,BA1708,AZ1708,BA1717,AZ1717,BA$7,$D1726,$E1726,$F1726,$G1726)</f>
        <v/>
      </c>
    </row>
    <row r="1727" hidden="1" outlineLevel="2">
      <c r="A1727" s="14" t="inlineStr">
        <is>
          <t>ener</t>
        </is>
      </c>
      <c r="B1727" s="14" t="inlineStr">
        <is>
          <t>ker</t>
        </is>
      </c>
      <c r="C1727" s="14" t="inlineStr">
        <is>
          <t>foo</t>
        </is>
      </c>
      <c r="D1727" s="35">
        <f>INDEX(Inputs!$O$5:$O$132,MATCH($B1727&amp;"|"&amp;$C1727,Inputs!$A$5:$A$132,0))</f>
        <v/>
      </c>
      <c r="E1727" s="35">
        <f>INDEX(Inputs!$P$5:$P$132,MATCH($B1727&amp;"|"&amp;$C1727,Inputs!$A$5:$A$132,0))</f>
        <v/>
      </c>
      <c r="F1727" s="35">
        <f>INDEX(Inputs!$T$5:$T$132,MATCH($B1727&amp;"|"&amp;$C1727,Inputs!$A$5:$A$132,0))</f>
        <v/>
      </c>
      <c r="G1727" s="35">
        <f>INDEX(Inputs!$S$5:$S$132,MATCH($B1727&amp;"|"&amp;$C1727,Inputs!$A$5:$A$132,0))</f>
        <v/>
      </c>
      <c r="H1727" s="14">
        <f>INDEX(VarLab,MATCH($A1727,VarKey,0))&amp;INDEX(MemLab,MATCH($C1727&amp;"|"&amp;$B1727,MemKey,0))</f>
        <v/>
      </c>
      <c r="I1727" s="14">
        <f>INDEX(VarUnit,MATCH($A1727,VarKey,0))</f>
        <v/>
      </c>
      <c r="J1727" s="14">
        <f>INDEX(VarSrc,MATCH($A1727,VarKey,0))</f>
        <v/>
      </c>
      <c r="K1727" s="11">
        <f>CodePrefix&amp;$A1727&amp;IF($C1727="","","."&amp;$C1727&amp;"."&amp;$B1727)&amp;INDEX(VarEnd,MATCH($A1727,VarKey,0))&amp;K$5</f>
        <v/>
      </c>
      <c r="L1727" s="43">
        <f>INDEX(Inputs!$X$5:$X$132,MATCH($B1727&amp;"|"&amp;$C1727,Inputs!$A$5:$A$132,0))</f>
        <v/>
      </c>
      <c r="M1727" s="44">
        <f>L1727*$G1727*(1+M$7)^$D1727*(M1709/L1709)^$E1727*((M1709+M1718)/(L1709+L1718))^$F1727</f>
        <v/>
      </c>
      <c r="N1727" s="44">
        <f>M1727*$G1727*(1+N$7)^$D1727*(N1709/M1709)^$E1727*((N1709+N1718)/(M1709+M1718))^$F1727</f>
        <v/>
      </c>
      <c r="O1727" s="44">
        <f>N1727*$G1727*(1+O$7)^$D1727*(O1709/N1709)^$E1727*((O1709+O1718)/(N1709+N1718))^$F1727</f>
        <v/>
      </c>
      <c r="P1727" s="44">
        <f>O1727*$G1727*(1+P$7)^$D1727*(P1709/O1709)^$E1727*((P1709+P1718)/(O1709+O1718))^$F1727</f>
        <v/>
      </c>
      <c r="Q1727" s="44">
        <f>P1727*$G1727*(1+Q$7)^$D1727*(Q1709/P1709)^$E1727*((Q1709+Q1718)/(P1709+P1718))^$F1727</f>
        <v/>
      </c>
      <c r="R1727" s="44">
        <f>Q1727*$G1727*(1+R$7)^$D1727*(R1709/Q1709)^$E1727*((R1709+R1718)/(Q1709+Q1718))^$F1727</f>
        <v/>
      </c>
      <c r="S1727" s="44">
        <f>R1727*$G1727*(1+S$7)^$D1727*(S1709/R1709)^$E1727*((S1709+S1718)/(R1709+R1718))^$F1727</f>
        <v/>
      </c>
      <c r="T1727" s="44">
        <f>S1727*$G1727*(1+T$7)^$D1727*(T1709/S1709)^$E1727*((T1709+T1718)/(S1709+S1718))^$F1727</f>
        <v/>
      </c>
      <c r="U1727" s="44">
        <f>T1727*$G1727*(1+U$7)^$D1727*(U1709/T1709)^$E1727*((U1709+U1718)/(T1709+T1718))^$F1727</f>
        <v/>
      </c>
      <c r="V1727" s="44">
        <f>U1727*$G1727*(1+V$7)^$D1727*(V1709/U1709)^$E1727*((V1709+V1718)/(U1709+U1718))^$F1727</f>
        <v/>
      </c>
      <c r="W1727" s="44">
        <f>V1727*$G1727*(1+W$7)^$D1727*(W1709/V1709)^$E1727*((W1709+W1718)/(V1709+V1718))^$F1727</f>
        <v/>
      </c>
      <c r="X1727" s="44">
        <f>W1727*$G1727*(1+X$7)^$D1727*(X1709/W1709)^$E1727*((X1709+X1718)/(W1709+W1718))^$F1727</f>
        <v/>
      </c>
      <c r="Y1727" s="44">
        <f>X1727*$G1727*(1+Y$7)^$D1727*(Y1709/X1709)^$E1727*((Y1709+Y1718)/(X1709+X1718))^$F1727</f>
        <v/>
      </c>
      <c r="Z1727" s="44">
        <f>Y1727*$G1727*(1+Z$7)^$D1727*(Z1709/Y1709)^$E1727*((Z1709+Z1718)/(Y1709+Y1718))^$F1727</f>
        <v/>
      </c>
      <c r="AA1727" s="44">
        <f>Z1727*$G1727*(1+AA$7)^$D1727*(AA1709/Z1709)^$E1727*((AA1709+AA1718)/(Z1709+Z1718))^$F1727</f>
        <v/>
      </c>
      <c r="AB1727" s="44">
        <f>AA1727*$G1727*(1+AB$7)^$D1727*(AB1709/AA1709)^$E1727*((AB1709+AB1718)/(AA1709+AA1718))^$F1727</f>
        <v/>
      </c>
      <c r="AC1727" s="44">
        <f>AB1727*$G1727*(1+AC$7)^$D1727*(AC1709/AB1709)^$E1727*((AC1709+AC1718)/(AB1709+AB1718))^$F1727</f>
        <v/>
      </c>
      <c r="AD1727" s="44">
        <f>AC1727*$G1727*(1+AD$7)^$D1727*(AD1709/AC1709)^$E1727*((AD1709+AD1718)/(AC1709+AC1718))^$F1727</f>
        <v/>
      </c>
      <c r="AE1727" s="57">
        <f>FUELUSE(AD1727,AE1709,AD1709,AE1718,AD1718,AE$7,$D1727,$E1727,$F1727,$G1727)</f>
        <v/>
      </c>
      <c r="AG1727" s="11">
        <f>CodePrefix&amp;$A1727&amp;IF($C1727="","","."&amp;$C1727&amp;"."&amp;$B1727)&amp;INDEX(VarEnd,MATCH($A1727,VarKey,0))&amp;AG$5</f>
        <v/>
      </c>
      <c r="AH1727" s="43">
        <f>INDEX(Inputs!$X$5:$X$132,MATCH($B1727&amp;"|"&amp;$C1727,Inputs!$A$5:$A$132,0))</f>
        <v/>
      </c>
      <c r="AI1727" s="44">
        <f>AH1727*$G1727*(1+AI$7)^$D1727*(AI1709/AH1709)^$E1727*((AI1709+AI1718)/(AH1709+AH1718))^$F1727</f>
        <v/>
      </c>
      <c r="AJ1727" s="44">
        <f>AI1727*$G1727*(1+AJ$7)^$D1727*(AJ1709/AI1709)^$E1727*((AJ1709+AJ1718)/(AI1709+AI1718))^$F1727</f>
        <v/>
      </c>
      <c r="AK1727" s="44">
        <f>AJ1727*$G1727*(1+AK$7)^$D1727*(AK1709/AJ1709)^$E1727*((AK1709+AK1718)/(AJ1709+AJ1718))^$F1727</f>
        <v/>
      </c>
      <c r="AL1727" s="44">
        <f>AK1727*$G1727*(1+AL$7)^$D1727*(AL1709/AK1709)^$E1727*((AL1709+AL1718)/(AK1709+AK1718))^$F1727</f>
        <v/>
      </c>
      <c r="AM1727" s="44">
        <f>AL1727*$G1727*(1+AM$7)^$D1727*(AM1709/AL1709)^$E1727*((AM1709+AM1718)/(AL1709+AL1718))^$F1727</f>
        <v/>
      </c>
      <c r="AN1727" s="44">
        <f>AM1727*$G1727*(1+AN$7)^$D1727*(AN1709/AM1709)^$E1727*((AN1709+AN1718)/(AM1709+AM1718))^$F1727</f>
        <v/>
      </c>
      <c r="AO1727" s="44">
        <f>AN1727*$G1727*(1+AO$7)^$D1727*(AO1709/AN1709)^$E1727*((AO1709+AO1718)/(AN1709+AN1718))^$F1727</f>
        <v/>
      </c>
      <c r="AP1727" s="44">
        <f>AO1727*$G1727*(1+AP$7)^$D1727*(AP1709/AO1709)^$E1727*((AP1709+AP1718)/(AO1709+AO1718))^$F1727</f>
        <v/>
      </c>
      <c r="AQ1727" s="44">
        <f>AP1727*$G1727*(1+AQ$7)^$D1727*(AQ1709/AP1709)^$E1727*((AQ1709+AQ1718)/(AP1709+AP1718))^$F1727</f>
        <v/>
      </c>
      <c r="AR1727" s="44">
        <f>AQ1727*$G1727*(1+AR$7)^$D1727*(AR1709/AQ1709)^$E1727*((AR1709+AR1718)/(AQ1709+AQ1718))^$F1727</f>
        <v/>
      </c>
      <c r="AS1727" s="44">
        <f>AR1727*$G1727*(1+AS$7)^$D1727*(AS1709/AR1709)^$E1727*((AS1709+AS1718)/(AR1709+AR1718))^$F1727</f>
        <v/>
      </c>
      <c r="AT1727" s="44">
        <f>AS1727*$G1727*(1+AT$7)^$D1727*(AT1709/AS1709)^$E1727*((AT1709+AT1718)/(AS1709+AS1718))^$F1727</f>
        <v/>
      </c>
      <c r="AU1727" s="44">
        <f>AT1727*$G1727*(1+AU$7)^$D1727*(AU1709/AT1709)^$E1727*((AU1709+AU1718)/(AT1709+AT1718))^$F1727</f>
        <v/>
      </c>
      <c r="AV1727" s="44">
        <f>AU1727*$G1727*(1+AV$7)^$D1727*(AV1709/AU1709)^$E1727*((AV1709+AV1718)/(AU1709+AU1718))^$F1727</f>
        <v/>
      </c>
      <c r="AW1727" s="44">
        <f>AV1727*$G1727*(1+AW$7)^$D1727*(AW1709/AV1709)^$E1727*((AW1709+AW1718)/(AV1709+AV1718))^$F1727</f>
        <v/>
      </c>
      <c r="AX1727" s="44">
        <f>AW1727*$G1727*(1+AX$7)^$D1727*(AX1709/AW1709)^$E1727*((AX1709+AX1718)/(AW1709+AW1718))^$F1727</f>
        <v/>
      </c>
      <c r="AY1727" s="44">
        <f>AX1727*$G1727*(1+AY$7)^$D1727*(AY1709/AX1709)^$E1727*((AY1709+AY1718)/(AX1709+AX1718))^$F1727</f>
        <v/>
      </c>
      <c r="AZ1727" s="44">
        <f>AY1727*$G1727*(1+AZ$7)^$D1727*(AZ1709/AY1709)^$E1727*((AZ1709+AZ1718)/(AY1709+AY1718))^$F1727</f>
        <v/>
      </c>
      <c r="BA1727" s="57">
        <f>FUELUSE(AZ1727,BA1709,AZ1709,BA1718,AZ1718,BA$7,$D1727,$E1727,$F1727,$G1727)</f>
        <v/>
      </c>
    </row>
    <row r="1728" hidden="1" outlineLevel="2">
      <c r="A1728" s="14" t="inlineStr">
        <is>
          <t>ener</t>
        </is>
      </c>
      <c r="B1728" s="14" t="inlineStr">
        <is>
          <t>oop</t>
        </is>
      </c>
      <c r="C1728" s="14" t="inlineStr">
        <is>
          <t>foo</t>
        </is>
      </c>
      <c r="D1728" s="35">
        <f>INDEX(Inputs!$O$5:$O$132,MATCH($B1728&amp;"|"&amp;$C1728,Inputs!$A$5:$A$132,0))</f>
        <v/>
      </c>
      <c r="E1728" s="35">
        <f>INDEX(Inputs!$P$5:$P$132,MATCH($B1728&amp;"|"&amp;$C1728,Inputs!$A$5:$A$132,0))</f>
        <v/>
      </c>
      <c r="F1728" s="35">
        <f>INDEX(Inputs!$T$5:$T$132,MATCH($B1728&amp;"|"&amp;$C1728,Inputs!$A$5:$A$132,0))</f>
        <v/>
      </c>
      <c r="G1728" s="35">
        <f>INDEX(Inputs!$S$5:$S$132,MATCH($B1728&amp;"|"&amp;$C1728,Inputs!$A$5:$A$132,0))</f>
        <v/>
      </c>
      <c r="H1728" s="14">
        <f>INDEX(VarLab,MATCH($A1728,VarKey,0))&amp;INDEX(MemLab,MATCH($C1728&amp;"|"&amp;$B1728,MemKey,0))</f>
        <v/>
      </c>
      <c r="I1728" s="14">
        <f>INDEX(VarUnit,MATCH($A1728,VarKey,0))</f>
        <v/>
      </c>
      <c r="J1728" s="14">
        <f>INDEX(VarSrc,MATCH($A1728,VarKey,0))</f>
        <v/>
      </c>
      <c r="K1728" s="11">
        <f>CodePrefix&amp;$A1728&amp;IF($C1728="","","."&amp;$C1728&amp;"."&amp;$B1728)&amp;INDEX(VarEnd,MATCH($A1728,VarKey,0))&amp;K$5</f>
        <v/>
      </c>
      <c r="L1728" s="43">
        <f>INDEX(Inputs!$X$5:$X$132,MATCH($B1728&amp;"|"&amp;$C1728,Inputs!$A$5:$A$132,0))</f>
        <v/>
      </c>
      <c r="M1728" s="44">
        <f>L1728*$G1728*(1+M$7)^$D1728*(M1710/L1710)^$E1728*((M1710+M1719)/(L1710+L1719))^$F1728</f>
        <v/>
      </c>
      <c r="N1728" s="44">
        <f>M1728*$G1728*(1+N$7)^$D1728*(N1710/M1710)^$E1728*((N1710+N1719)/(M1710+M1719))^$F1728</f>
        <v/>
      </c>
      <c r="O1728" s="44">
        <f>N1728*$G1728*(1+O$7)^$D1728*(O1710/N1710)^$E1728*((O1710+O1719)/(N1710+N1719))^$F1728</f>
        <v/>
      </c>
      <c r="P1728" s="44">
        <f>O1728*$G1728*(1+P$7)^$D1728*(P1710/O1710)^$E1728*((P1710+P1719)/(O1710+O1719))^$F1728</f>
        <v/>
      </c>
      <c r="Q1728" s="44">
        <f>P1728*$G1728*(1+Q$7)^$D1728*(Q1710/P1710)^$E1728*((Q1710+Q1719)/(P1710+P1719))^$F1728</f>
        <v/>
      </c>
      <c r="R1728" s="44">
        <f>Q1728*$G1728*(1+R$7)^$D1728*(R1710/Q1710)^$E1728*((R1710+R1719)/(Q1710+Q1719))^$F1728</f>
        <v/>
      </c>
      <c r="S1728" s="44">
        <f>R1728*$G1728*(1+S$7)^$D1728*(S1710/R1710)^$E1728*((S1710+S1719)/(R1710+R1719))^$F1728</f>
        <v/>
      </c>
      <c r="T1728" s="44">
        <f>S1728*$G1728*(1+T$7)^$D1728*(T1710/S1710)^$E1728*((T1710+T1719)/(S1710+S1719))^$F1728</f>
        <v/>
      </c>
      <c r="U1728" s="44">
        <f>T1728*$G1728*(1+U$7)^$D1728*(U1710/T1710)^$E1728*((U1710+U1719)/(T1710+T1719))^$F1728</f>
        <v/>
      </c>
      <c r="V1728" s="44">
        <f>U1728*$G1728*(1+V$7)^$D1728*(V1710/U1710)^$E1728*((V1710+V1719)/(U1710+U1719))^$F1728</f>
        <v/>
      </c>
      <c r="W1728" s="44">
        <f>V1728*$G1728*(1+W$7)^$D1728*(W1710/V1710)^$E1728*((W1710+W1719)/(V1710+V1719))^$F1728</f>
        <v/>
      </c>
      <c r="X1728" s="44">
        <f>W1728*$G1728*(1+X$7)^$D1728*(X1710/W1710)^$E1728*((X1710+X1719)/(W1710+W1719))^$F1728</f>
        <v/>
      </c>
      <c r="Y1728" s="44">
        <f>X1728*$G1728*(1+Y$7)^$D1728*(Y1710/X1710)^$E1728*((Y1710+Y1719)/(X1710+X1719))^$F1728</f>
        <v/>
      </c>
      <c r="Z1728" s="44">
        <f>Y1728*$G1728*(1+Z$7)^$D1728*(Z1710/Y1710)^$E1728*((Z1710+Z1719)/(Y1710+Y1719))^$F1728</f>
        <v/>
      </c>
      <c r="AA1728" s="44">
        <f>Z1728*$G1728*(1+AA$7)^$D1728*(AA1710/Z1710)^$E1728*((AA1710+AA1719)/(Z1710+Z1719))^$F1728</f>
        <v/>
      </c>
      <c r="AB1728" s="44">
        <f>AA1728*$G1728*(1+AB$7)^$D1728*(AB1710/AA1710)^$E1728*((AB1710+AB1719)/(AA1710+AA1719))^$F1728</f>
        <v/>
      </c>
      <c r="AC1728" s="44">
        <f>AB1728*$G1728*(1+AC$7)^$D1728*(AC1710/AB1710)^$E1728*((AC1710+AC1719)/(AB1710+AB1719))^$F1728</f>
        <v/>
      </c>
      <c r="AD1728" s="44">
        <f>AC1728*$G1728*(1+AD$7)^$D1728*(AD1710/AC1710)^$E1728*((AD1710+AD1719)/(AC1710+AC1719))^$F1728</f>
        <v/>
      </c>
      <c r="AE1728" s="57">
        <f>FUELUSE(AD1728,AE1710,AD1710,AE1719,AD1719,AE$7,$D1728,$E1728,$F1728,$G1728)</f>
        <v/>
      </c>
      <c r="AG1728" s="11">
        <f>CodePrefix&amp;$A1728&amp;IF($C1728="","","."&amp;$C1728&amp;"."&amp;$B1728)&amp;INDEX(VarEnd,MATCH($A1728,VarKey,0))&amp;AG$5</f>
        <v/>
      </c>
      <c r="AH1728" s="43">
        <f>INDEX(Inputs!$X$5:$X$132,MATCH($B1728&amp;"|"&amp;$C1728,Inputs!$A$5:$A$132,0))</f>
        <v/>
      </c>
      <c r="AI1728" s="44">
        <f>AH1728*$G1728*(1+AI$7)^$D1728*(AI1710/AH1710)^$E1728*((AI1710+AI1719)/(AH1710+AH1719))^$F1728</f>
        <v/>
      </c>
      <c r="AJ1728" s="44">
        <f>AI1728*$G1728*(1+AJ$7)^$D1728*(AJ1710/AI1710)^$E1728*((AJ1710+AJ1719)/(AI1710+AI1719))^$F1728</f>
        <v/>
      </c>
      <c r="AK1728" s="44">
        <f>AJ1728*$G1728*(1+AK$7)^$D1728*(AK1710/AJ1710)^$E1728*((AK1710+AK1719)/(AJ1710+AJ1719))^$F1728</f>
        <v/>
      </c>
      <c r="AL1728" s="44">
        <f>AK1728*$G1728*(1+AL$7)^$D1728*(AL1710/AK1710)^$E1728*((AL1710+AL1719)/(AK1710+AK1719))^$F1728</f>
        <v/>
      </c>
      <c r="AM1728" s="44">
        <f>AL1728*$G1728*(1+AM$7)^$D1728*(AM1710/AL1710)^$E1728*((AM1710+AM1719)/(AL1710+AL1719))^$F1728</f>
        <v/>
      </c>
      <c r="AN1728" s="44">
        <f>AM1728*$G1728*(1+AN$7)^$D1728*(AN1710/AM1710)^$E1728*((AN1710+AN1719)/(AM1710+AM1719))^$F1728</f>
        <v/>
      </c>
      <c r="AO1728" s="44">
        <f>AN1728*$G1728*(1+AO$7)^$D1728*(AO1710/AN1710)^$E1728*((AO1710+AO1719)/(AN1710+AN1719))^$F1728</f>
        <v/>
      </c>
      <c r="AP1728" s="44">
        <f>AO1728*$G1728*(1+AP$7)^$D1728*(AP1710/AO1710)^$E1728*((AP1710+AP1719)/(AO1710+AO1719))^$F1728</f>
        <v/>
      </c>
      <c r="AQ1728" s="44">
        <f>AP1728*$G1728*(1+AQ$7)^$D1728*(AQ1710/AP1710)^$E1728*((AQ1710+AQ1719)/(AP1710+AP1719))^$F1728</f>
        <v/>
      </c>
      <c r="AR1728" s="44">
        <f>AQ1728*$G1728*(1+AR$7)^$D1728*(AR1710/AQ1710)^$E1728*((AR1710+AR1719)/(AQ1710+AQ1719))^$F1728</f>
        <v/>
      </c>
      <c r="AS1728" s="44">
        <f>AR1728*$G1728*(1+AS$7)^$D1728*(AS1710/AR1710)^$E1728*((AS1710+AS1719)/(AR1710+AR1719))^$F1728</f>
        <v/>
      </c>
      <c r="AT1728" s="44">
        <f>AS1728*$G1728*(1+AT$7)^$D1728*(AT1710/AS1710)^$E1728*((AT1710+AT1719)/(AS1710+AS1719))^$F1728</f>
        <v/>
      </c>
      <c r="AU1728" s="44">
        <f>AT1728*$G1728*(1+AU$7)^$D1728*(AU1710/AT1710)^$E1728*((AU1710+AU1719)/(AT1710+AT1719))^$F1728</f>
        <v/>
      </c>
      <c r="AV1728" s="44">
        <f>AU1728*$G1728*(1+AV$7)^$D1728*(AV1710/AU1710)^$E1728*((AV1710+AV1719)/(AU1710+AU1719))^$F1728</f>
        <v/>
      </c>
      <c r="AW1728" s="44">
        <f>AV1728*$G1728*(1+AW$7)^$D1728*(AW1710/AV1710)^$E1728*((AW1710+AW1719)/(AV1710+AV1719))^$F1728</f>
        <v/>
      </c>
      <c r="AX1728" s="44">
        <f>AW1728*$G1728*(1+AX$7)^$D1728*(AX1710/AW1710)^$E1728*((AX1710+AX1719)/(AW1710+AW1719))^$F1728</f>
        <v/>
      </c>
      <c r="AY1728" s="44">
        <f>AX1728*$G1728*(1+AY$7)^$D1728*(AY1710/AX1710)^$E1728*((AY1710+AY1719)/(AX1710+AX1719))^$F1728</f>
        <v/>
      </c>
      <c r="AZ1728" s="44">
        <f>AY1728*$G1728*(1+AZ$7)^$D1728*(AZ1710/AY1710)^$E1728*((AZ1710+AZ1719)/(AY1710+AY1719))^$F1728</f>
        <v/>
      </c>
      <c r="BA1728" s="57">
        <f>FUELUSE(AZ1728,BA1710,AZ1710,BA1719,AZ1719,BA$7,$D1728,$E1728,$F1728,$G1728)</f>
        <v/>
      </c>
    </row>
    <row r="1729" hidden="1" outlineLevel="2">
      <c r="A1729" s="14" t="inlineStr">
        <is>
          <t>ener</t>
        </is>
      </c>
      <c r="B1729" s="14" t="inlineStr">
        <is>
          <t>bio</t>
        </is>
      </c>
      <c r="C1729" s="14" t="inlineStr">
        <is>
          <t>foo</t>
        </is>
      </c>
      <c r="D1729" s="35">
        <f>INDEX(Inputs!$O$5:$O$132,MATCH($B1729&amp;"|"&amp;$C1729,Inputs!$A$5:$A$132,0))</f>
        <v/>
      </c>
      <c r="E1729" s="35">
        <f>INDEX(Inputs!$P$5:$P$132,MATCH($B1729&amp;"|"&amp;$C1729,Inputs!$A$5:$A$132,0))</f>
        <v/>
      </c>
      <c r="F1729" s="35">
        <f>INDEX(Inputs!$T$5:$T$132,MATCH($B1729&amp;"|"&amp;$C1729,Inputs!$A$5:$A$132,0))</f>
        <v/>
      </c>
      <c r="G1729" s="35">
        <f>INDEX(Inputs!$S$5:$S$132,MATCH($B1729&amp;"|"&amp;$C1729,Inputs!$A$5:$A$132,0))</f>
        <v/>
      </c>
      <c r="H1729" s="14">
        <f>INDEX(VarLab,MATCH($A1729,VarKey,0))&amp;INDEX(MemLab,MATCH($C1729&amp;"|"&amp;$B1729,MemKey,0))</f>
        <v/>
      </c>
      <c r="I1729" s="14">
        <f>INDEX(VarUnit,MATCH($A1729,VarKey,0))</f>
        <v/>
      </c>
      <c r="J1729" s="14">
        <f>INDEX(VarSrc,MATCH($A1729,VarKey,0))</f>
        <v/>
      </c>
      <c r="K1729" s="11">
        <f>CodePrefix&amp;$A1729&amp;IF($C1729="","","."&amp;$C1729&amp;"."&amp;$B1729)&amp;INDEX(VarEnd,MATCH($A1729,VarKey,0))&amp;K$5</f>
        <v/>
      </c>
      <c r="L1729" s="43">
        <f>INDEX(Inputs!$X$5:$X$132,MATCH($B1729&amp;"|"&amp;$C1729,Inputs!$A$5:$A$132,0))</f>
        <v/>
      </c>
      <c r="M1729" s="44">
        <f>L1729*$G1729*(1+M$7)^$D1729*(M1711/L1711)^$E1729*((M1711+M1720)/(L1711+L1720))^$F1729</f>
        <v/>
      </c>
      <c r="N1729" s="44">
        <f>M1729*$G1729*(1+N$7)^$D1729*(N1711/M1711)^$E1729*((N1711+N1720)/(M1711+M1720))^$F1729</f>
        <v/>
      </c>
      <c r="O1729" s="44">
        <f>N1729*$G1729*(1+O$7)^$D1729*(O1711/N1711)^$E1729*((O1711+O1720)/(N1711+N1720))^$F1729</f>
        <v/>
      </c>
      <c r="P1729" s="44">
        <f>O1729*$G1729*(1+P$7)^$D1729*(P1711/O1711)^$E1729*((P1711+P1720)/(O1711+O1720))^$F1729</f>
        <v/>
      </c>
      <c r="Q1729" s="44">
        <f>P1729*$G1729*(1+Q$7)^$D1729*(Q1711/P1711)^$E1729*((Q1711+Q1720)/(P1711+P1720))^$F1729</f>
        <v/>
      </c>
      <c r="R1729" s="44">
        <f>Q1729*$G1729*(1+R$7)^$D1729*(R1711/Q1711)^$E1729*((R1711+R1720)/(Q1711+Q1720))^$F1729</f>
        <v/>
      </c>
      <c r="S1729" s="44">
        <f>R1729*$G1729*(1+S$7)^$D1729*(S1711/R1711)^$E1729*((S1711+S1720)/(R1711+R1720))^$F1729</f>
        <v/>
      </c>
      <c r="T1729" s="44">
        <f>S1729*$G1729*(1+T$7)^$D1729*(T1711/S1711)^$E1729*((T1711+T1720)/(S1711+S1720))^$F1729</f>
        <v/>
      </c>
      <c r="U1729" s="44">
        <f>T1729*$G1729*(1+U$7)^$D1729*(U1711/T1711)^$E1729*((U1711+U1720)/(T1711+T1720))^$F1729</f>
        <v/>
      </c>
      <c r="V1729" s="44">
        <f>U1729*$G1729*(1+V$7)^$D1729*(V1711/U1711)^$E1729*((V1711+V1720)/(U1711+U1720))^$F1729</f>
        <v/>
      </c>
      <c r="W1729" s="44">
        <f>V1729*$G1729*(1+W$7)^$D1729*(W1711/V1711)^$E1729*((W1711+W1720)/(V1711+V1720))^$F1729</f>
        <v/>
      </c>
      <c r="X1729" s="44">
        <f>W1729*$G1729*(1+X$7)^$D1729*(X1711/W1711)^$E1729*((X1711+X1720)/(W1711+W1720))^$F1729</f>
        <v/>
      </c>
      <c r="Y1729" s="44">
        <f>X1729*$G1729*(1+Y$7)^$D1729*(Y1711/X1711)^$E1729*((Y1711+Y1720)/(X1711+X1720))^$F1729</f>
        <v/>
      </c>
      <c r="Z1729" s="44">
        <f>Y1729*$G1729*(1+Z$7)^$D1729*(Z1711/Y1711)^$E1729*((Z1711+Z1720)/(Y1711+Y1720))^$F1729</f>
        <v/>
      </c>
      <c r="AA1729" s="44">
        <f>Z1729*$G1729*(1+AA$7)^$D1729*(AA1711/Z1711)^$E1729*((AA1711+AA1720)/(Z1711+Z1720))^$F1729</f>
        <v/>
      </c>
      <c r="AB1729" s="44">
        <f>AA1729*$G1729*(1+AB$7)^$D1729*(AB1711/AA1711)^$E1729*((AB1711+AB1720)/(AA1711+AA1720))^$F1729</f>
        <v/>
      </c>
      <c r="AC1729" s="44">
        <f>AB1729*$G1729*(1+AC$7)^$D1729*(AC1711/AB1711)^$E1729*((AC1711+AC1720)/(AB1711+AB1720))^$F1729</f>
        <v/>
      </c>
      <c r="AD1729" s="44">
        <f>AC1729*$G1729*(1+AD$7)^$D1729*(AD1711/AC1711)^$E1729*((AD1711+AD1720)/(AC1711+AC1720))^$F1729</f>
        <v/>
      </c>
      <c r="AE1729" s="57">
        <f>FUELUSE(AD1729,AE1711,AD1711,AE1720,AD1720,AE$7,$D1729,$E1729,$F1729,$G1729)</f>
        <v/>
      </c>
      <c r="AG1729" s="11">
        <f>CodePrefix&amp;$A1729&amp;IF($C1729="","","."&amp;$C1729&amp;"."&amp;$B1729)&amp;INDEX(VarEnd,MATCH($A1729,VarKey,0))&amp;AG$5</f>
        <v/>
      </c>
      <c r="AH1729" s="43">
        <f>INDEX(Inputs!$X$5:$X$132,MATCH($B1729&amp;"|"&amp;$C1729,Inputs!$A$5:$A$132,0))</f>
        <v/>
      </c>
      <c r="AI1729" s="44">
        <f>AH1729*$G1729*(1+AI$7)^$D1729*(AI1711/AH1711)^$E1729*((AI1711+AI1720)/(AH1711+AH1720))^$F1729</f>
        <v/>
      </c>
      <c r="AJ1729" s="44">
        <f>AI1729*$G1729*(1+AJ$7)^$D1729*(AJ1711/AI1711)^$E1729*((AJ1711+AJ1720)/(AI1711+AI1720))^$F1729</f>
        <v/>
      </c>
      <c r="AK1729" s="44">
        <f>AJ1729*$G1729*(1+AK$7)^$D1729*(AK1711/AJ1711)^$E1729*((AK1711+AK1720)/(AJ1711+AJ1720))^$F1729</f>
        <v/>
      </c>
      <c r="AL1729" s="44">
        <f>AK1729*$G1729*(1+AL$7)^$D1729*(AL1711/AK1711)^$E1729*((AL1711+AL1720)/(AK1711+AK1720))^$F1729</f>
        <v/>
      </c>
      <c r="AM1729" s="44">
        <f>AL1729*$G1729*(1+AM$7)^$D1729*(AM1711/AL1711)^$E1729*((AM1711+AM1720)/(AL1711+AL1720))^$F1729</f>
        <v/>
      </c>
      <c r="AN1729" s="44">
        <f>AM1729*$G1729*(1+AN$7)^$D1729*(AN1711/AM1711)^$E1729*((AN1711+AN1720)/(AM1711+AM1720))^$F1729</f>
        <v/>
      </c>
      <c r="AO1729" s="44">
        <f>AN1729*$G1729*(1+AO$7)^$D1729*(AO1711/AN1711)^$E1729*((AO1711+AO1720)/(AN1711+AN1720))^$F1729</f>
        <v/>
      </c>
      <c r="AP1729" s="44">
        <f>AO1729*$G1729*(1+AP$7)^$D1729*(AP1711/AO1711)^$E1729*((AP1711+AP1720)/(AO1711+AO1720))^$F1729</f>
        <v/>
      </c>
      <c r="AQ1729" s="44">
        <f>AP1729*$G1729*(1+AQ$7)^$D1729*(AQ1711/AP1711)^$E1729*((AQ1711+AQ1720)/(AP1711+AP1720))^$F1729</f>
        <v/>
      </c>
      <c r="AR1729" s="44">
        <f>AQ1729*$G1729*(1+AR$7)^$D1729*(AR1711/AQ1711)^$E1729*((AR1711+AR1720)/(AQ1711+AQ1720))^$F1729</f>
        <v/>
      </c>
      <c r="AS1729" s="44">
        <f>AR1729*$G1729*(1+AS$7)^$D1729*(AS1711/AR1711)^$E1729*((AS1711+AS1720)/(AR1711+AR1720))^$F1729</f>
        <v/>
      </c>
      <c r="AT1729" s="44">
        <f>AS1729*$G1729*(1+AT$7)^$D1729*(AT1711/AS1711)^$E1729*((AT1711+AT1720)/(AS1711+AS1720))^$F1729</f>
        <v/>
      </c>
      <c r="AU1729" s="44">
        <f>AT1729*$G1729*(1+AU$7)^$D1729*(AU1711/AT1711)^$E1729*((AU1711+AU1720)/(AT1711+AT1720))^$F1729</f>
        <v/>
      </c>
      <c r="AV1729" s="44">
        <f>AU1729*$G1729*(1+AV$7)^$D1729*(AV1711/AU1711)^$E1729*((AV1711+AV1720)/(AU1711+AU1720))^$F1729</f>
        <v/>
      </c>
      <c r="AW1729" s="44">
        <f>AV1729*$G1729*(1+AW$7)^$D1729*(AW1711/AV1711)^$E1729*((AW1711+AW1720)/(AV1711+AV1720))^$F1729</f>
        <v/>
      </c>
      <c r="AX1729" s="44">
        <f>AW1729*$G1729*(1+AX$7)^$D1729*(AX1711/AW1711)^$E1729*((AX1711+AX1720)/(AW1711+AW1720))^$F1729</f>
        <v/>
      </c>
      <c r="AY1729" s="44">
        <f>AX1729*$G1729*(1+AY$7)^$D1729*(AY1711/AX1711)^$E1729*((AY1711+AY1720)/(AX1711+AX1720))^$F1729</f>
        <v/>
      </c>
      <c r="AZ1729" s="44">
        <f>AY1729*$G1729*(1+AZ$7)^$D1729*(AZ1711/AY1711)^$E1729*((AZ1711+AZ1720)/(AY1711+AY1720))^$F1729</f>
        <v/>
      </c>
      <c r="BA1729" s="57">
        <f>FUELUSE(AZ1729,BA1711,AZ1711,BA1720,AZ1720,BA$7,$D1729,$E1729,$F1729,$G1729)</f>
        <v/>
      </c>
    </row>
    <row r="1730" hidden="1" outlineLevel="2"/>
    <row r="1731" hidden="1" outlineLevel="2">
      <c r="A1731" s="14" t="inlineStr">
        <is>
          <t>co2</t>
        </is>
      </c>
      <c r="B1731" s="14" t="inlineStr">
        <is>
          <t>coa</t>
        </is>
      </c>
      <c r="C1731" s="14" t="inlineStr">
        <is>
          <t>foo</t>
        </is>
      </c>
      <c r="D1731" s="35">
        <f>INDEX(Inputs!$W$5:$W$132,MATCH($B1731&amp;"|"&amp;$C1731,Inputs!$A$5:$A$132,0))</f>
        <v/>
      </c>
      <c r="E1731" s="39" t="n"/>
      <c r="F1731" s="39" t="n"/>
      <c r="G1731" s="39" t="n"/>
      <c r="H1731" s="14">
        <f>INDEX(VarLab,MATCH($A1731,VarKey,0))&amp;INDEX(MemLab,MATCH($C1731&amp;"|"&amp;$B1731,MemKey,0))</f>
        <v/>
      </c>
      <c r="I1731" s="14">
        <f>INDEX(VarUnit,MATCH($A1731,VarKey,0))</f>
        <v/>
      </c>
      <c r="J1731" s="14">
        <f>INDEX(VarSrc,MATCH($A1731,VarKey,0))</f>
        <v/>
      </c>
      <c r="K1731" s="11">
        <f>CodePrefix&amp;$A1731&amp;IF($C1731="","","."&amp;$C1731&amp;"."&amp;$B1731)&amp;INDEX(VarEnd,MATCH($A1731,VarKey,0))&amp;K$5</f>
        <v/>
      </c>
      <c r="L1731" s="15">
        <f>L1722*Settings!$C$13*$D1731</f>
        <v/>
      </c>
      <c r="M1731" s="16">
        <f>M1722*Settings!$C$13*$D1731</f>
        <v/>
      </c>
      <c r="N1731" s="16">
        <f>N1722*Settings!$C$13*$D1731</f>
        <v/>
      </c>
      <c r="O1731" s="16">
        <f>O1722*Settings!$C$13*$D1731</f>
        <v/>
      </c>
      <c r="P1731" s="16">
        <f>P1722*Settings!$C$13*$D1731</f>
        <v/>
      </c>
      <c r="Q1731" s="16">
        <f>Q1722*Settings!$C$13*$D1731</f>
        <v/>
      </c>
      <c r="R1731" s="16">
        <f>R1722*Settings!$C$13*$D1731</f>
        <v/>
      </c>
      <c r="S1731" s="16">
        <f>S1722*Settings!$C$13*$D1731</f>
        <v/>
      </c>
      <c r="T1731" s="16">
        <f>T1722*Settings!$C$13*$D1731</f>
        <v/>
      </c>
      <c r="U1731" s="16">
        <f>U1722*Settings!$C$13*$D1731</f>
        <v/>
      </c>
      <c r="V1731" s="16">
        <f>V1722*Settings!$C$13*$D1731</f>
        <v/>
      </c>
      <c r="W1731" s="16">
        <f>W1722*Settings!$C$13*$D1731</f>
        <v/>
      </c>
      <c r="X1731" s="16">
        <f>X1722*Settings!$C$13*$D1731</f>
        <v/>
      </c>
      <c r="Y1731" s="16">
        <f>Y1722*Settings!$C$13*$D1731</f>
        <v/>
      </c>
      <c r="Z1731" s="16">
        <f>Z1722*Settings!$C$13*$D1731</f>
        <v/>
      </c>
      <c r="AA1731" s="16">
        <f>AA1722*Settings!$C$13*$D1731</f>
        <v/>
      </c>
      <c r="AB1731" s="16">
        <f>AB1722*Settings!$C$13*$D1731</f>
        <v/>
      </c>
      <c r="AC1731" s="16">
        <f>AC1722*Settings!$C$13*$D1731</f>
        <v/>
      </c>
      <c r="AD1731" s="16">
        <f>AD1722*Settings!$C$13*$D1731</f>
        <v/>
      </c>
      <c r="AE1731" s="49">
        <f>EMISSIONS(AE1722,Settings!$C$13,$D1731)</f>
        <v/>
      </c>
      <c r="AG1731" s="11">
        <f>CodePrefix&amp;$A1731&amp;IF($C1731="","","."&amp;$C1731&amp;"."&amp;$B1731)&amp;INDEX(VarEnd,MATCH($A1731,VarKey,0))&amp;AG$5</f>
        <v/>
      </c>
      <c r="AH1731" s="15">
        <f>AH1722*Settings!$C$13*$D1731</f>
        <v/>
      </c>
      <c r="AI1731" s="16">
        <f>AI1722*Settings!$C$13*$D1731</f>
        <v/>
      </c>
      <c r="AJ1731" s="16">
        <f>AJ1722*Settings!$C$13*$D1731</f>
        <v/>
      </c>
      <c r="AK1731" s="16">
        <f>AK1722*Settings!$C$13*$D1731</f>
        <v/>
      </c>
      <c r="AL1731" s="16">
        <f>AL1722*Settings!$C$13*$D1731</f>
        <v/>
      </c>
      <c r="AM1731" s="16">
        <f>AM1722*Settings!$C$13*$D1731</f>
        <v/>
      </c>
      <c r="AN1731" s="16">
        <f>AN1722*Settings!$C$13*$D1731</f>
        <v/>
      </c>
      <c r="AO1731" s="16">
        <f>AO1722*Settings!$C$13*$D1731</f>
        <v/>
      </c>
      <c r="AP1731" s="16">
        <f>AP1722*Settings!$C$13*$D1731</f>
        <v/>
      </c>
      <c r="AQ1731" s="16">
        <f>AQ1722*Settings!$C$13*$D1731</f>
        <v/>
      </c>
      <c r="AR1731" s="16">
        <f>AR1722*Settings!$C$13*$D1731</f>
        <v/>
      </c>
      <c r="AS1731" s="16">
        <f>AS1722*Settings!$C$13*$D1731</f>
        <v/>
      </c>
      <c r="AT1731" s="16">
        <f>AT1722*Settings!$C$13*$D1731</f>
        <v/>
      </c>
      <c r="AU1731" s="16">
        <f>AU1722*Settings!$C$13*$D1731</f>
        <v/>
      </c>
      <c r="AV1731" s="16">
        <f>AV1722*Settings!$C$13*$D1731</f>
        <v/>
      </c>
      <c r="AW1731" s="16">
        <f>AW1722*Settings!$C$13*$D1731</f>
        <v/>
      </c>
      <c r="AX1731" s="16">
        <f>AX1722*Settings!$C$13*$D1731</f>
        <v/>
      </c>
      <c r="AY1731" s="16">
        <f>AY1722*Settings!$C$13*$D1731</f>
        <v/>
      </c>
      <c r="AZ1731" s="16">
        <f>AZ1722*Settings!$C$13*$D1731</f>
        <v/>
      </c>
      <c r="BA1731" s="49">
        <f>EMISSIONS(BA1722,Settings!$C$13,$D1731)</f>
        <v/>
      </c>
    </row>
    <row r="1732" hidden="1" outlineLevel="2">
      <c r="A1732" s="14" t="inlineStr">
        <is>
          <t>co2</t>
        </is>
      </c>
      <c r="B1732" s="14" t="inlineStr">
        <is>
          <t>nga</t>
        </is>
      </c>
      <c r="C1732" s="14" t="inlineStr">
        <is>
          <t>foo</t>
        </is>
      </c>
      <c r="D1732" s="35">
        <f>INDEX(Inputs!$W$5:$W$132,MATCH($B1732&amp;"|"&amp;$C1732,Inputs!$A$5:$A$132,0))</f>
        <v/>
      </c>
      <c r="E1732" s="39" t="n"/>
      <c r="F1732" s="39" t="n"/>
      <c r="G1732" s="39" t="n"/>
      <c r="H1732" s="14">
        <f>INDEX(VarLab,MATCH($A1732,VarKey,0))&amp;INDEX(MemLab,MATCH($C1732&amp;"|"&amp;$B1732,MemKey,0))</f>
        <v/>
      </c>
      <c r="I1732" s="14">
        <f>INDEX(VarUnit,MATCH($A1732,VarKey,0))</f>
        <v/>
      </c>
      <c r="J1732" s="14">
        <f>INDEX(VarSrc,MATCH($A1732,VarKey,0))</f>
        <v/>
      </c>
      <c r="K1732" s="11">
        <f>CodePrefix&amp;$A1732&amp;IF($C1732="","","."&amp;$C1732&amp;"."&amp;$B1732)&amp;INDEX(VarEnd,MATCH($A1732,VarKey,0))&amp;K$5</f>
        <v/>
      </c>
      <c r="L1732" s="15">
        <f>L1723*Settings!$C$13*$D1732</f>
        <v/>
      </c>
      <c r="M1732" s="16">
        <f>M1723*Settings!$C$13*$D1732</f>
        <v/>
      </c>
      <c r="N1732" s="16">
        <f>N1723*Settings!$C$13*$D1732</f>
        <v/>
      </c>
      <c r="O1732" s="16">
        <f>O1723*Settings!$C$13*$D1732</f>
        <v/>
      </c>
      <c r="P1732" s="16">
        <f>P1723*Settings!$C$13*$D1732</f>
        <v/>
      </c>
      <c r="Q1732" s="16">
        <f>Q1723*Settings!$C$13*$D1732</f>
        <v/>
      </c>
      <c r="R1732" s="16">
        <f>R1723*Settings!$C$13*$D1732</f>
        <v/>
      </c>
      <c r="S1732" s="16">
        <f>S1723*Settings!$C$13*$D1732</f>
        <v/>
      </c>
      <c r="T1732" s="16">
        <f>T1723*Settings!$C$13*$D1732</f>
        <v/>
      </c>
      <c r="U1732" s="16">
        <f>U1723*Settings!$C$13*$D1732</f>
        <v/>
      </c>
      <c r="V1732" s="16">
        <f>V1723*Settings!$C$13*$D1732</f>
        <v/>
      </c>
      <c r="W1732" s="16">
        <f>W1723*Settings!$C$13*$D1732</f>
        <v/>
      </c>
      <c r="X1732" s="16">
        <f>X1723*Settings!$C$13*$D1732</f>
        <v/>
      </c>
      <c r="Y1732" s="16">
        <f>Y1723*Settings!$C$13*$D1732</f>
        <v/>
      </c>
      <c r="Z1732" s="16">
        <f>Z1723*Settings!$C$13*$D1732</f>
        <v/>
      </c>
      <c r="AA1732" s="16">
        <f>AA1723*Settings!$C$13*$D1732</f>
        <v/>
      </c>
      <c r="AB1732" s="16">
        <f>AB1723*Settings!$C$13*$D1732</f>
        <v/>
      </c>
      <c r="AC1732" s="16">
        <f>AC1723*Settings!$C$13*$D1732</f>
        <v/>
      </c>
      <c r="AD1732" s="16">
        <f>AD1723*Settings!$C$13*$D1732</f>
        <v/>
      </c>
      <c r="AE1732" s="49">
        <f>EMISSIONS(AE1723,Settings!$C$13,$D1732)</f>
        <v/>
      </c>
      <c r="AG1732" s="11">
        <f>CodePrefix&amp;$A1732&amp;IF($C1732="","","."&amp;$C1732&amp;"."&amp;$B1732)&amp;INDEX(VarEnd,MATCH($A1732,VarKey,0))&amp;AG$5</f>
        <v/>
      </c>
      <c r="AH1732" s="15">
        <f>AH1723*Settings!$C$13*$D1732</f>
        <v/>
      </c>
      <c r="AI1732" s="16">
        <f>AI1723*Settings!$C$13*$D1732</f>
        <v/>
      </c>
      <c r="AJ1732" s="16">
        <f>AJ1723*Settings!$C$13*$D1732</f>
        <v/>
      </c>
      <c r="AK1732" s="16">
        <f>AK1723*Settings!$C$13*$D1732</f>
        <v/>
      </c>
      <c r="AL1732" s="16">
        <f>AL1723*Settings!$C$13*$D1732</f>
        <v/>
      </c>
      <c r="AM1732" s="16">
        <f>AM1723*Settings!$C$13*$D1732</f>
        <v/>
      </c>
      <c r="AN1732" s="16">
        <f>AN1723*Settings!$C$13*$D1732</f>
        <v/>
      </c>
      <c r="AO1732" s="16">
        <f>AO1723*Settings!$C$13*$D1732</f>
        <v/>
      </c>
      <c r="AP1732" s="16">
        <f>AP1723*Settings!$C$13*$D1732</f>
        <v/>
      </c>
      <c r="AQ1732" s="16">
        <f>AQ1723*Settings!$C$13*$D1732</f>
        <v/>
      </c>
      <c r="AR1732" s="16">
        <f>AR1723*Settings!$C$13*$D1732</f>
        <v/>
      </c>
      <c r="AS1732" s="16">
        <f>AS1723*Settings!$C$13*$D1732</f>
        <v/>
      </c>
      <c r="AT1732" s="16">
        <f>AT1723*Settings!$C$13*$D1732</f>
        <v/>
      </c>
      <c r="AU1732" s="16">
        <f>AU1723*Settings!$C$13*$D1732</f>
        <v/>
      </c>
      <c r="AV1732" s="16">
        <f>AV1723*Settings!$C$13*$D1732</f>
        <v/>
      </c>
      <c r="AW1732" s="16">
        <f>AW1723*Settings!$C$13*$D1732</f>
        <v/>
      </c>
      <c r="AX1732" s="16">
        <f>AX1723*Settings!$C$13*$D1732</f>
        <v/>
      </c>
      <c r="AY1732" s="16">
        <f>AY1723*Settings!$C$13*$D1732</f>
        <v/>
      </c>
      <c r="AZ1732" s="16">
        <f>AZ1723*Settings!$C$13*$D1732</f>
        <v/>
      </c>
      <c r="BA1732" s="49">
        <f>EMISSIONS(BA1723,Settings!$C$13,$D1732)</f>
        <v/>
      </c>
    </row>
    <row r="1733" hidden="1" outlineLevel="2">
      <c r="A1733" s="14" t="inlineStr">
        <is>
          <t>co2</t>
        </is>
      </c>
      <c r="B1733" s="14" t="inlineStr">
        <is>
          <t>gso</t>
        </is>
      </c>
      <c r="C1733" s="14" t="inlineStr">
        <is>
          <t>foo</t>
        </is>
      </c>
      <c r="D1733" s="35">
        <f>INDEX(Inputs!$W$5:$W$132,MATCH($B1733&amp;"|"&amp;$C1733,Inputs!$A$5:$A$132,0))</f>
        <v/>
      </c>
      <c r="E1733" s="39" t="n"/>
      <c r="F1733" s="39" t="n"/>
      <c r="G1733" s="39" t="n"/>
      <c r="H1733" s="14">
        <f>INDEX(VarLab,MATCH($A1733,VarKey,0))&amp;INDEX(MemLab,MATCH($C1733&amp;"|"&amp;$B1733,MemKey,0))</f>
        <v/>
      </c>
      <c r="I1733" s="14">
        <f>INDEX(VarUnit,MATCH($A1733,VarKey,0))</f>
        <v/>
      </c>
      <c r="J1733" s="14">
        <f>INDEX(VarSrc,MATCH($A1733,VarKey,0))</f>
        <v/>
      </c>
      <c r="K1733" s="11">
        <f>CodePrefix&amp;$A1733&amp;IF($C1733="","","."&amp;$C1733&amp;"."&amp;$B1733)&amp;INDEX(VarEnd,MATCH($A1733,VarKey,0))&amp;K$5</f>
        <v/>
      </c>
      <c r="L1733" s="15">
        <f>L1724*Settings!$C$13*$D1733</f>
        <v/>
      </c>
      <c r="M1733" s="16">
        <f>M1724*Settings!$C$13*$D1733</f>
        <v/>
      </c>
      <c r="N1733" s="16">
        <f>N1724*Settings!$C$13*$D1733</f>
        <v/>
      </c>
      <c r="O1733" s="16">
        <f>O1724*Settings!$C$13*$D1733</f>
        <v/>
      </c>
      <c r="P1733" s="16">
        <f>P1724*Settings!$C$13*$D1733</f>
        <v/>
      </c>
      <c r="Q1733" s="16">
        <f>Q1724*Settings!$C$13*$D1733</f>
        <v/>
      </c>
      <c r="R1733" s="16">
        <f>R1724*Settings!$C$13*$D1733</f>
        <v/>
      </c>
      <c r="S1733" s="16">
        <f>S1724*Settings!$C$13*$D1733</f>
        <v/>
      </c>
      <c r="T1733" s="16">
        <f>T1724*Settings!$C$13*$D1733</f>
        <v/>
      </c>
      <c r="U1733" s="16">
        <f>U1724*Settings!$C$13*$D1733</f>
        <v/>
      </c>
      <c r="V1733" s="16">
        <f>V1724*Settings!$C$13*$D1733</f>
        <v/>
      </c>
      <c r="W1733" s="16">
        <f>W1724*Settings!$C$13*$D1733</f>
        <v/>
      </c>
      <c r="X1733" s="16">
        <f>X1724*Settings!$C$13*$D1733</f>
        <v/>
      </c>
      <c r="Y1733" s="16">
        <f>Y1724*Settings!$C$13*$D1733</f>
        <v/>
      </c>
      <c r="Z1733" s="16">
        <f>Z1724*Settings!$C$13*$D1733</f>
        <v/>
      </c>
      <c r="AA1733" s="16">
        <f>AA1724*Settings!$C$13*$D1733</f>
        <v/>
      </c>
      <c r="AB1733" s="16">
        <f>AB1724*Settings!$C$13*$D1733</f>
        <v/>
      </c>
      <c r="AC1733" s="16">
        <f>AC1724*Settings!$C$13*$D1733</f>
        <v/>
      </c>
      <c r="AD1733" s="16">
        <f>AD1724*Settings!$C$13*$D1733</f>
        <v/>
      </c>
      <c r="AE1733" s="49">
        <f>EMISSIONS(AE1724,Settings!$C$13,$D1733)</f>
        <v/>
      </c>
      <c r="AG1733" s="11">
        <f>CodePrefix&amp;$A1733&amp;IF($C1733="","","."&amp;$C1733&amp;"."&amp;$B1733)&amp;INDEX(VarEnd,MATCH($A1733,VarKey,0))&amp;AG$5</f>
        <v/>
      </c>
      <c r="AH1733" s="15">
        <f>AH1724*Settings!$C$13*$D1733</f>
        <v/>
      </c>
      <c r="AI1733" s="16">
        <f>AI1724*Settings!$C$13*$D1733</f>
        <v/>
      </c>
      <c r="AJ1733" s="16">
        <f>AJ1724*Settings!$C$13*$D1733</f>
        <v/>
      </c>
      <c r="AK1733" s="16">
        <f>AK1724*Settings!$C$13*$D1733</f>
        <v/>
      </c>
      <c r="AL1733" s="16">
        <f>AL1724*Settings!$C$13*$D1733</f>
        <v/>
      </c>
      <c r="AM1733" s="16">
        <f>AM1724*Settings!$C$13*$D1733</f>
        <v/>
      </c>
      <c r="AN1733" s="16">
        <f>AN1724*Settings!$C$13*$D1733</f>
        <v/>
      </c>
      <c r="AO1733" s="16">
        <f>AO1724*Settings!$C$13*$D1733</f>
        <v/>
      </c>
      <c r="AP1733" s="16">
        <f>AP1724*Settings!$C$13*$D1733</f>
        <v/>
      </c>
      <c r="AQ1733" s="16">
        <f>AQ1724*Settings!$C$13*$D1733</f>
        <v/>
      </c>
      <c r="AR1733" s="16">
        <f>AR1724*Settings!$C$13*$D1733</f>
        <v/>
      </c>
      <c r="AS1733" s="16">
        <f>AS1724*Settings!$C$13*$D1733</f>
        <v/>
      </c>
      <c r="AT1733" s="16">
        <f>AT1724*Settings!$C$13*$D1733</f>
        <v/>
      </c>
      <c r="AU1733" s="16">
        <f>AU1724*Settings!$C$13*$D1733</f>
        <v/>
      </c>
      <c r="AV1733" s="16">
        <f>AV1724*Settings!$C$13*$D1733</f>
        <v/>
      </c>
      <c r="AW1733" s="16">
        <f>AW1724*Settings!$C$13*$D1733</f>
        <v/>
      </c>
      <c r="AX1733" s="16">
        <f>AX1724*Settings!$C$13*$D1733</f>
        <v/>
      </c>
      <c r="AY1733" s="16">
        <f>AY1724*Settings!$C$13*$D1733</f>
        <v/>
      </c>
      <c r="AZ1733" s="16">
        <f>AZ1724*Settings!$C$13*$D1733</f>
        <v/>
      </c>
      <c r="BA1733" s="49">
        <f>EMISSIONS(BA1724,Settings!$C$13,$D1733)</f>
        <v/>
      </c>
    </row>
    <row r="1734" hidden="1" outlineLevel="2">
      <c r="A1734" s="14" t="inlineStr">
        <is>
          <t>co2</t>
        </is>
      </c>
      <c r="B1734" s="14" t="inlineStr">
        <is>
          <t>die</t>
        </is>
      </c>
      <c r="C1734" s="14" t="inlineStr">
        <is>
          <t>foo</t>
        </is>
      </c>
      <c r="D1734" s="35">
        <f>INDEX(Inputs!$W$5:$W$132,MATCH($B1734&amp;"|"&amp;$C1734,Inputs!$A$5:$A$132,0))</f>
        <v/>
      </c>
      <c r="E1734" s="39" t="n"/>
      <c r="F1734" s="39" t="n"/>
      <c r="G1734" s="39" t="n"/>
      <c r="H1734" s="14">
        <f>INDEX(VarLab,MATCH($A1734,VarKey,0))&amp;INDEX(MemLab,MATCH($C1734&amp;"|"&amp;$B1734,MemKey,0))</f>
        <v/>
      </c>
      <c r="I1734" s="14">
        <f>INDEX(VarUnit,MATCH($A1734,VarKey,0))</f>
        <v/>
      </c>
      <c r="J1734" s="14">
        <f>INDEX(VarSrc,MATCH($A1734,VarKey,0))</f>
        <v/>
      </c>
      <c r="K1734" s="11">
        <f>CodePrefix&amp;$A1734&amp;IF($C1734="","","."&amp;$C1734&amp;"."&amp;$B1734)&amp;INDEX(VarEnd,MATCH($A1734,VarKey,0))&amp;K$5</f>
        <v/>
      </c>
      <c r="L1734" s="15">
        <f>L1725*Settings!$C$13*$D1734</f>
        <v/>
      </c>
      <c r="M1734" s="16">
        <f>M1725*Settings!$C$13*$D1734</f>
        <v/>
      </c>
      <c r="N1734" s="16">
        <f>N1725*Settings!$C$13*$D1734</f>
        <v/>
      </c>
      <c r="O1734" s="16">
        <f>O1725*Settings!$C$13*$D1734</f>
        <v/>
      </c>
      <c r="P1734" s="16">
        <f>P1725*Settings!$C$13*$D1734</f>
        <v/>
      </c>
      <c r="Q1734" s="16">
        <f>Q1725*Settings!$C$13*$D1734</f>
        <v/>
      </c>
      <c r="R1734" s="16">
        <f>R1725*Settings!$C$13*$D1734</f>
        <v/>
      </c>
      <c r="S1734" s="16">
        <f>S1725*Settings!$C$13*$D1734</f>
        <v/>
      </c>
      <c r="T1734" s="16">
        <f>T1725*Settings!$C$13*$D1734</f>
        <v/>
      </c>
      <c r="U1734" s="16">
        <f>U1725*Settings!$C$13*$D1734</f>
        <v/>
      </c>
      <c r="V1734" s="16">
        <f>V1725*Settings!$C$13*$D1734</f>
        <v/>
      </c>
      <c r="W1734" s="16">
        <f>W1725*Settings!$C$13*$D1734</f>
        <v/>
      </c>
      <c r="X1734" s="16">
        <f>X1725*Settings!$C$13*$D1734</f>
        <v/>
      </c>
      <c r="Y1734" s="16">
        <f>Y1725*Settings!$C$13*$D1734</f>
        <v/>
      </c>
      <c r="Z1734" s="16">
        <f>Z1725*Settings!$C$13*$D1734</f>
        <v/>
      </c>
      <c r="AA1734" s="16">
        <f>AA1725*Settings!$C$13*$D1734</f>
        <v/>
      </c>
      <c r="AB1734" s="16">
        <f>AB1725*Settings!$C$13*$D1734</f>
        <v/>
      </c>
      <c r="AC1734" s="16">
        <f>AC1725*Settings!$C$13*$D1734</f>
        <v/>
      </c>
      <c r="AD1734" s="16">
        <f>AD1725*Settings!$C$13*$D1734</f>
        <v/>
      </c>
      <c r="AE1734" s="49">
        <f>EMISSIONS(AE1725,Settings!$C$13,$D1734)</f>
        <v/>
      </c>
      <c r="AG1734" s="11">
        <f>CodePrefix&amp;$A1734&amp;IF($C1734="","","."&amp;$C1734&amp;"."&amp;$B1734)&amp;INDEX(VarEnd,MATCH($A1734,VarKey,0))&amp;AG$5</f>
        <v/>
      </c>
      <c r="AH1734" s="15">
        <f>AH1725*Settings!$C$13*$D1734</f>
        <v/>
      </c>
      <c r="AI1734" s="16">
        <f>AI1725*Settings!$C$13*$D1734</f>
        <v/>
      </c>
      <c r="AJ1734" s="16">
        <f>AJ1725*Settings!$C$13*$D1734</f>
        <v/>
      </c>
      <c r="AK1734" s="16">
        <f>AK1725*Settings!$C$13*$D1734</f>
        <v/>
      </c>
      <c r="AL1734" s="16">
        <f>AL1725*Settings!$C$13*$D1734</f>
        <v/>
      </c>
      <c r="AM1734" s="16">
        <f>AM1725*Settings!$C$13*$D1734</f>
        <v/>
      </c>
      <c r="AN1734" s="16">
        <f>AN1725*Settings!$C$13*$D1734</f>
        <v/>
      </c>
      <c r="AO1734" s="16">
        <f>AO1725*Settings!$C$13*$D1734</f>
        <v/>
      </c>
      <c r="AP1734" s="16">
        <f>AP1725*Settings!$C$13*$D1734</f>
        <v/>
      </c>
      <c r="AQ1734" s="16">
        <f>AQ1725*Settings!$C$13*$D1734</f>
        <v/>
      </c>
      <c r="AR1734" s="16">
        <f>AR1725*Settings!$C$13*$D1734</f>
        <v/>
      </c>
      <c r="AS1734" s="16">
        <f>AS1725*Settings!$C$13*$D1734</f>
        <v/>
      </c>
      <c r="AT1734" s="16">
        <f>AT1725*Settings!$C$13*$D1734</f>
        <v/>
      </c>
      <c r="AU1734" s="16">
        <f>AU1725*Settings!$C$13*$D1734</f>
        <v/>
      </c>
      <c r="AV1734" s="16">
        <f>AV1725*Settings!$C$13*$D1734</f>
        <v/>
      </c>
      <c r="AW1734" s="16">
        <f>AW1725*Settings!$C$13*$D1734</f>
        <v/>
      </c>
      <c r="AX1734" s="16">
        <f>AX1725*Settings!$C$13*$D1734</f>
        <v/>
      </c>
      <c r="AY1734" s="16">
        <f>AY1725*Settings!$C$13*$D1734</f>
        <v/>
      </c>
      <c r="AZ1734" s="16">
        <f>AZ1725*Settings!$C$13*$D1734</f>
        <v/>
      </c>
      <c r="BA1734" s="49">
        <f>EMISSIONS(BA1725,Settings!$C$13,$D1734)</f>
        <v/>
      </c>
    </row>
    <row r="1735" hidden="1" outlineLevel="2">
      <c r="A1735" s="14" t="inlineStr">
        <is>
          <t>co2</t>
        </is>
      </c>
      <c r="B1735" s="14" t="inlineStr">
        <is>
          <t>lpg</t>
        </is>
      </c>
      <c r="C1735" s="14" t="inlineStr">
        <is>
          <t>foo</t>
        </is>
      </c>
      <c r="D1735" s="35">
        <f>INDEX(Inputs!$W$5:$W$132,MATCH($B1735&amp;"|"&amp;$C1735,Inputs!$A$5:$A$132,0))</f>
        <v/>
      </c>
      <c r="E1735" s="39" t="n"/>
      <c r="F1735" s="39" t="n"/>
      <c r="G1735" s="39" t="n"/>
      <c r="H1735" s="14">
        <f>INDEX(VarLab,MATCH($A1735,VarKey,0))&amp;INDEX(MemLab,MATCH($C1735&amp;"|"&amp;$B1735,MemKey,0))</f>
        <v/>
      </c>
      <c r="I1735" s="14">
        <f>INDEX(VarUnit,MATCH($A1735,VarKey,0))</f>
        <v/>
      </c>
      <c r="J1735" s="14">
        <f>INDEX(VarSrc,MATCH($A1735,VarKey,0))</f>
        <v/>
      </c>
      <c r="K1735" s="11">
        <f>CodePrefix&amp;$A1735&amp;IF($C1735="","","."&amp;$C1735&amp;"."&amp;$B1735)&amp;INDEX(VarEnd,MATCH($A1735,VarKey,0))&amp;K$5</f>
        <v/>
      </c>
      <c r="L1735" s="15">
        <f>L1726*Settings!$C$13*$D1735</f>
        <v/>
      </c>
      <c r="M1735" s="16">
        <f>M1726*Settings!$C$13*$D1735</f>
        <v/>
      </c>
      <c r="N1735" s="16">
        <f>N1726*Settings!$C$13*$D1735</f>
        <v/>
      </c>
      <c r="O1735" s="16">
        <f>O1726*Settings!$C$13*$D1735</f>
        <v/>
      </c>
      <c r="P1735" s="16">
        <f>P1726*Settings!$C$13*$D1735</f>
        <v/>
      </c>
      <c r="Q1735" s="16">
        <f>Q1726*Settings!$C$13*$D1735</f>
        <v/>
      </c>
      <c r="R1735" s="16">
        <f>R1726*Settings!$C$13*$D1735</f>
        <v/>
      </c>
      <c r="S1735" s="16">
        <f>S1726*Settings!$C$13*$D1735</f>
        <v/>
      </c>
      <c r="T1735" s="16">
        <f>T1726*Settings!$C$13*$D1735</f>
        <v/>
      </c>
      <c r="U1735" s="16">
        <f>U1726*Settings!$C$13*$D1735</f>
        <v/>
      </c>
      <c r="V1735" s="16">
        <f>V1726*Settings!$C$13*$D1735</f>
        <v/>
      </c>
      <c r="W1735" s="16">
        <f>W1726*Settings!$C$13*$D1735</f>
        <v/>
      </c>
      <c r="X1735" s="16">
        <f>X1726*Settings!$C$13*$D1735</f>
        <v/>
      </c>
      <c r="Y1735" s="16">
        <f>Y1726*Settings!$C$13*$D1735</f>
        <v/>
      </c>
      <c r="Z1735" s="16">
        <f>Z1726*Settings!$C$13*$D1735</f>
        <v/>
      </c>
      <c r="AA1735" s="16">
        <f>AA1726*Settings!$C$13*$D1735</f>
        <v/>
      </c>
      <c r="AB1735" s="16">
        <f>AB1726*Settings!$C$13*$D1735</f>
        <v/>
      </c>
      <c r="AC1735" s="16">
        <f>AC1726*Settings!$C$13*$D1735</f>
        <v/>
      </c>
      <c r="AD1735" s="16">
        <f>AD1726*Settings!$C$13*$D1735</f>
        <v/>
      </c>
      <c r="AE1735" s="49">
        <f>EMISSIONS(AE1726,Settings!$C$13,$D1735)</f>
        <v/>
      </c>
      <c r="AG1735" s="11">
        <f>CodePrefix&amp;$A1735&amp;IF($C1735="","","."&amp;$C1735&amp;"."&amp;$B1735)&amp;INDEX(VarEnd,MATCH($A1735,VarKey,0))&amp;AG$5</f>
        <v/>
      </c>
      <c r="AH1735" s="15">
        <f>AH1726*Settings!$C$13*$D1735</f>
        <v/>
      </c>
      <c r="AI1735" s="16">
        <f>AI1726*Settings!$C$13*$D1735</f>
        <v/>
      </c>
      <c r="AJ1735" s="16">
        <f>AJ1726*Settings!$C$13*$D1735</f>
        <v/>
      </c>
      <c r="AK1735" s="16">
        <f>AK1726*Settings!$C$13*$D1735</f>
        <v/>
      </c>
      <c r="AL1735" s="16">
        <f>AL1726*Settings!$C$13*$D1735</f>
        <v/>
      </c>
      <c r="AM1735" s="16">
        <f>AM1726*Settings!$C$13*$D1735</f>
        <v/>
      </c>
      <c r="AN1735" s="16">
        <f>AN1726*Settings!$C$13*$D1735</f>
        <v/>
      </c>
      <c r="AO1735" s="16">
        <f>AO1726*Settings!$C$13*$D1735</f>
        <v/>
      </c>
      <c r="AP1735" s="16">
        <f>AP1726*Settings!$C$13*$D1735</f>
        <v/>
      </c>
      <c r="AQ1735" s="16">
        <f>AQ1726*Settings!$C$13*$D1735</f>
        <v/>
      </c>
      <c r="AR1735" s="16">
        <f>AR1726*Settings!$C$13*$D1735</f>
        <v/>
      </c>
      <c r="AS1735" s="16">
        <f>AS1726*Settings!$C$13*$D1735</f>
        <v/>
      </c>
      <c r="AT1735" s="16">
        <f>AT1726*Settings!$C$13*$D1735</f>
        <v/>
      </c>
      <c r="AU1735" s="16">
        <f>AU1726*Settings!$C$13*$D1735</f>
        <v/>
      </c>
      <c r="AV1735" s="16">
        <f>AV1726*Settings!$C$13*$D1735</f>
        <v/>
      </c>
      <c r="AW1735" s="16">
        <f>AW1726*Settings!$C$13*$D1735</f>
        <v/>
      </c>
      <c r="AX1735" s="16">
        <f>AX1726*Settings!$C$13*$D1735</f>
        <v/>
      </c>
      <c r="AY1735" s="16">
        <f>AY1726*Settings!$C$13*$D1735</f>
        <v/>
      </c>
      <c r="AZ1735" s="16">
        <f>AZ1726*Settings!$C$13*$D1735</f>
        <v/>
      </c>
      <c r="BA1735" s="49">
        <f>EMISSIONS(BA1726,Settings!$C$13,$D1735)</f>
        <v/>
      </c>
    </row>
    <row r="1736" hidden="1" outlineLevel="2">
      <c r="A1736" s="14" t="inlineStr">
        <is>
          <t>co2</t>
        </is>
      </c>
      <c r="B1736" s="14" t="inlineStr">
        <is>
          <t>ker</t>
        </is>
      </c>
      <c r="C1736" s="14" t="inlineStr">
        <is>
          <t>foo</t>
        </is>
      </c>
      <c r="D1736" s="35">
        <f>INDEX(Inputs!$W$5:$W$132,MATCH($B1736&amp;"|"&amp;$C1736,Inputs!$A$5:$A$132,0))</f>
        <v/>
      </c>
      <c r="E1736" s="39" t="n"/>
      <c r="F1736" s="39" t="n"/>
      <c r="G1736" s="39" t="n"/>
      <c r="H1736" s="14">
        <f>INDEX(VarLab,MATCH($A1736,VarKey,0))&amp;INDEX(MemLab,MATCH($C1736&amp;"|"&amp;$B1736,MemKey,0))</f>
        <v/>
      </c>
      <c r="I1736" s="14">
        <f>INDEX(VarUnit,MATCH($A1736,VarKey,0))</f>
        <v/>
      </c>
      <c r="J1736" s="14">
        <f>INDEX(VarSrc,MATCH($A1736,VarKey,0))</f>
        <v/>
      </c>
      <c r="K1736" s="11">
        <f>CodePrefix&amp;$A1736&amp;IF($C1736="","","."&amp;$C1736&amp;"."&amp;$B1736)&amp;INDEX(VarEnd,MATCH($A1736,VarKey,0))&amp;K$5</f>
        <v/>
      </c>
      <c r="L1736" s="15">
        <f>L1727*Settings!$C$13*$D1736</f>
        <v/>
      </c>
      <c r="M1736" s="16">
        <f>M1727*Settings!$C$13*$D1736</f>
        <v/>
      </c>
      <c r="N1736" s="16">
        <f>N1727*Settings!$C$13*$D1736</f>
        <v/>
      </c>
      <c r="O1736" s="16">
        <f>O1727*Settings!$C$13*$D1736</f>
        <v/>
      </c>
      <c r="P1736" s="16">
        <f>P1727*Settings!$C$13*$D1736</f>
        <v/>
      </c>
      <c r="Q1736" s="16">
        <f>Q1727*Settings!$C$13*$D1736</f>
        <v/>
      </c>
      <c r="R1736" s="16">
        <f>R1727*Settings!$C$13*$D1736</f>
        <v/>
      </c>
      <c r="S1736" s="16">
        <f>S1727*Settings!$C$13*$D1736</f>
        <v/>
      </c>
      <c r="T1736" s="16">
        <f>T1727*Settings!$C$13*$D1736</f>
        <v/>
      </c>
      <c r="U1736" s="16">
        <f>U1727*Settings!$C$13*$D1736</f>
        <v/>
      </c>
      <c r="V1736" s="16">
        <f>V1727*Settings!$C$13*$D1736</f>
        <v/>
      </c>
      <c r="W1736" s="16">
        <f>W1727*Settings!$C$13*$D1736</f>
        <v/>
      </c>
      <c r="X1736" s="16">
        <f>X1727*Settings!$C$13*$D1736</f>
        <v/>
      </c>
      <c r="Y1736" s="16">
        <f>Y1727*Settings!$C$13*$D1736</f>
        <v/>
      </c>
      <c r="Z1736" s="16">
        <f>Z1727*Settings!$C$13*$D1736</f>
        <v/>
      </c>
      <c r="AA1736" s="16">
        <f>AA1727*Settings!$C$13*$D1736</f>
        <v/>
      </c>
      <c r="AB1736" s="16">
        <f>AB1727*Settings!$C$13*$D1736</f>
        <v/>
      </c>
      <c r="AC1736" s="16">
        <f>AC1727*Settings!$C$13*$D1736</f>
        <v/>
      </c>
      <c r="AD1736" s="16">
        <f>AD1727*Settings!$C$13*$D1736</f>
        <v/>
      </c>
      <c r="AE1736" s="49">
        <f>EMISSIONS(AE1727,Settings!$C$13,$D1736)</f>
        <v/>
      </c>
      <c r="AG1736" s="11">
        <f>CodePrefix&amp;$A1736&amp;IF($C1736="","","."&amp;$C1736&amp;"."&amp;$B1736)&amp;INDEX(VarEnd,MATCH($A1736,VarKey,0))&amp;AG$5</f>
        <v/>
      </c>
      <c r="AH1736" s="15">
        <f>AH1727*Settings!$C$13*$D1736</f>
        <v/>
      </c>
      <c r="AI1736" s="16">
        <f>AI1727*Settings!$C$13*$D1736</f>
        <v/>
      </c>
      <c r="AJ1736" s="16">
        <f>AJ1727*Settings!$C$13*$D1736</f>
        <v/>
      </c>
      <c r="AK1736" s="16">
        <f>AK1727*Settings!$C$13*$D1736</f>
        <v/>
      </c>
      <c r="AL1736" s="16">
        <f>AL1727*Settings!$C$13*$D1736</f>
        <v/>
      </c>
      <c r="AM1736" s="16">
        <f>AM1727*Settings!$C$13*$D1736</f>
        <v/>
      </c>
      <c r="AN1736" s="16">
        <f>AN1727*Settings!$C$13*$D1736</f>
        <v/>
      </c>
      <c r="AO1736" s="16">
        <f>AO1727*Settings!$C$13*$D1736</f>
        <v/>
      </c>
      <c r="AP1736" s="16">
        <f>AP1727*Settings!$C$13*$D1736</f>
        <v/>
      </c>
      <c r="AQ1736" s="16">
        <f>AQ1727*Settings!$C$13*$D1736</f>
        <v/>
      </c>
      <c r="AR1736" s="16">
        <f>AR1727*Settings!$C$13*$D1736</f>
        <v/>
      </c>
      <c r="AS1736" s="16">
        <f>AS1727*Settings!$C$13*$D1736</f>
        <v/>
      </c>
      <c r="AT1736" s="16">
        <f>AT1727*Settings!$C$13*$D1736</f>
        <v/>
      </c>
      <c r="AU1736" s="16">
        <f>AU1727*Settings!$C$13*$D1736</f>
        <v/>
      </c>
      <c r="AV1736" s="16">
        <f>AV1727*Settings!$C$13*$D1736</f>
        <v/>
      </c>
      <c r="AW1736" s="16">
        <f>AW1727*Settings!$C$13*$D1736</f>
        <v/>
      </c>
      <c r="AX1736" s="16">
        <f>AX1727*Settings!$C$13*$D1736</f>
        <v/>
      </c>
      <c r="AY1736" s="16">
        <f>AY1727*Settings!$C$13*$D1736</f>
        <v/>
      </c>
      <c r="AZ1736" s="16">
        <f>AZ1727*Settings!$C$13*$D1736</f>
        <v/>
      </c>
      <c r="BA1736" s="49">
        <f>EMISSIONS(BA1727,Settings!$C$13,$D1736)</f>
        <v/>
      </c>
    </row>
    <row r="1737" hidden="1" outlineLevel="2">
      <c r="A1737" s="14" t="inlineStr">
        <is>
          <t>co2</t>
        </is>
      </c>
      <c r="B1737" s="14" t="inlineStr">
        <is>
          <t>oop</t>
        </is>
      </c>
      <c r="C1737" s="14" t="inlineStr">
        <is>
          <t>foo</t>
        </is>
      </c>
      <c r="D1737" s="35">
        <f>INDEX(Inputs!$W$5:$W$132,MATCH($B1737&amp;"|"&amp;$C1737,Inputs!$A$5:$A$132,0))</f>
        <v/>
      </c>
      <c r="E1737" s="39" t="n"/>
      <c r="F1737" s="39" t="n"/>
      <c r="G1737" s="39" t="n"/>
      <c r="H1737" s="14">
        <f>INDEX(VarLab,MATCH($A1737,VarKey,0))&amp;INDEX(MemLab,MATCH($C1737&amp;"|"&amp;$B1737,MemKey,0))</f>
        <v/>
      </c>
      <c r="I1737" s="14">
        <f>INDEX(VarUnit,MATCH($A1737,VarKey,0))</f>
        <v/>
      </c>
      <c r="J1737" s="14">
        <f>INDEX(VarSrc,MATCH($A1737,VarKey,0))</f>
        <v/>
      </c>
      <c r="K1737" s="11">
        <f>CodePrefix&amp;$A1737&amp;IF($C1737="","","."&amp;$C1737&amp;"."&amp;$B1737)&amp;INDEX(VarEnd,MATCH($A1737,VarKey,0))&amp;K$5</f>
        <v/>
      </c>
      <c r="L1737" s="15">
        <f>L1728*Settings!$C$13*$D1737</f>
        <v/>
      </c>
      <c r="M1737" s="16">
        <f>M1728*Settings!$C$13*$D1737</f>
        <v/>
      </c>
      <c r="N1737" s="16">
        <f>N1728*Settings!$C$13*$D1737</f>
        <v/>
      </c>
      <c r="O1737" s="16">
        <f>O1728*Settings!$C$13*$D1737</f>
        <v/>
      </c>
      <c r="P1737" s="16">
        <f>P1728*Settings!$C$13*$D1737</f>
        <v/>
      </c>
      <c r="Q1737" s="16">
        <f>Q1728*Settings!$C$13*$D1737</f>
        <v/>
      </c>
      <c r="R1737" s="16">
        <f>R1728*Settings!$C$13*$D1737</f>
        <v/>
      </c>
      <c r="S1737" s="16">
        <f>S1728*Settings!$C$13*$D1737</f>
        <v/>
      </c>
      <c r="T1737" s="16">
        <f>T1728*Settings!$C$13*$D1737</f>
        <v/>
      </c>
      <c r="U1737" s="16">
        <f>U1728*Settings!$C$13*$D1737</f>
        <v/>
      </c>
      <c r="V1737" s="16">
        <f>V1728*Settings!$C$13*$D1737</f>
        <v/>
      </c>
      <c r="W1737" s="16">
        <f>W1728*Settings!$C$13*$D1737</f>
        <v/>
      </c>
      <c r="X1737" s="16">
        <f>X1728*Settings!$C$13*$D1737</f>
        <v/>
      </c>
      <c r="Y1737" s="16">
        <f>Y1728*Settings!$C$13*$D1737</f>
        <v/>
      </c>
      <c r="Z1737" s="16">
        <f>Z1728*Settings!$C$13*$D1737</f>
        <v/>
      </c>
      <c r="AA1737" s="16">
        <f>AA1728*Settings!$C$13*$D1737</f>
        <v/>
      </c>
      <c r="AB1737" s="16">
        <f>AB1728*Settings!$C$13*$D1737</f>
        <v/>
      </c>
      <c r="AC1737" s="16">
        <f>AC1728*Settings!$C$13*$D1737</f>
        <v/>
      </c>
      <c r="AD1737" s="16">
        <f>AD1728*Settings!$C$13*$D1737</f>
        <v/>
      </c>
      <c r="AE1737" s="49">
        <f>EMISSIONS(AE1728,Settings!$C$13,$D1737)</f>
        <v/>
      </c>
      <c r="AG1737" s="11">
        <f>CodePrefix&amp;$A1737&amp;IF($C1737="","","."&amp;$C1737&amp;"."&amp;$B1737)&amp;INDEX(VarEnd,MATCH($A1737,VarKey,0))&amp;AG$5</f>
        <v/>
      </c>
      <c r="AH1737" s="15">
        <f>AH1728*Settings!$C$13*$D1737</f>
        <v/>
      </c>
      <c r="AI1737" s="16">
        <f>AI1728*Settings!$C$13*$D1737</f>
        <v/>
      </c>
      <c r="AJ1737" s="16">
        <f>AJ1728*Settings!$C$13*$D1737</f>
        <v/>
      </c>
      <c r="AK1737" s="16">
        <f>AK1728*Settings!$C$13*$D1737</f>
        <v/>
      </c>
      <c r="AL1737" s="16">
        <f>AL1728*Settings!$C$13*$D1737</f>
        <v/>
      </c>
      <c r="AM1737" s="16">
        <f>AM1728*Settings!$C$13*$D1737</f>
        <v/>
      </c>
      <c r="AN1737" s="16">
        <f>AN1728*Settings!$C$13*$D1737</f>
        <v/>
      </c>
      <c r="AO1737" s="16">
        <f>AO1728*Settings!$C$13*$D1737</f>
        <v/>
      </c>
      <c r="AP1737" s="16">
        <f>AP1728*Settings!$C$13*$D1737</f>
        <v/>
      </c>
      <c r="AQ1737" s="16">
        <f>AQ1728*Settings!$C$13*$D1737</f>
        <v/>
      </c>
      <c r="AR1737" s="16">
        <f>AR1728*Settings!$C$13*$D1737</f>
        <v/>
      </c>
      <c r="AS1737" s="16">
        <f>AS1728*Settings!$C$13*$D1737</f>
        <v/>
      </c>
      <c r="AT1737" s="16">
        <f>AT1728*Settings!$C$13*$D1737</f>
        <v/>
      </c>
      <c r="AU1737" s="16">
        <f>AU1728*Settings!$C$13*$D1737</f>
        <v/>
      </c>
      <c r="AV1737" s="16">
        <f>AV1728*Settings!$C$13*$D1737</f>
        <v/>
      </c>
      <c r="AW1737" s="16">
        <f>AW1728*Settings!$C$13*$D1737</f>
        <v/>
      </c>
      <c r="AX1737" s="16">
        <f>AX1728*Settings!$C$13*$D1737</f>
        <v/>
      </c>
      <c r="AY1737" s="16">
        <f>AY1728*Settings!$C$13*$D1737</f>
        <v/>
      </c>
      <c r="AZ1737" s="16">
        <f>AZ1728*Settings!$C$13*$D1737</f>
        <v/>
      </c>
      <c r="BA1737" s="49">
        <f>EMISSIONS(BA1728,Settings!$C$13,$D1737)</f>
        <v/>
      </c>
    </row>
    <row r="1738" hidden="1" outlineLevel="2">
      <c r="A1738" s="14" t="inlineStr">
        <is>
          <t>co2</t>
        </is>
      </c>
      <c r="B1738" s="14" t="inlineStr">
        <is>
          <t>bio</t>
        </is>
      </c>
      <c r="C1738" s="14" t="inlineStr">
        <is>
          <t>foo</t>
        </is>
      </c>
      <c r="D1738" s="35">
        <f>INDEX(Inputs!$W$5:$W$132,MATCH($B1738&amp;"|"&amp;$C1738,Inputs!$A$5:$A$132,0))</f>
        <v/>
      </c>
      <c r="E1738" s="39" t="n"/>
      <c r="F1738" s="39" t="n"/>
      <c r="G1738" s="39" t="n"/>
      <c r="H1738" s="14">
        <f>INDEX(VarLab,MATCH($A1738,VarKey,0))&amp;INDEX(MemLab,MATCH($C1738&amp;"|"&amp;$B1738,MemKey,0))</f>
        <v/>
      </c>
      <c r="I1738" s="14">
        <f>INDEX(VarUnit,MATCH($A1738,VarKey,0))</f>
        <v/>
      </c>
      <c r="J1738" s="14">
        <f>INDEX(VarSrc,MATCH($A1738,VarKey,0))</f>
        <v/>
      </c>
      <c r="K1738" s="11">
        <f>CodePrefix&amp;$A1738&amp;IF($C1738="","","."&amp;$C1738&amp;"."&amp;$B1738)&amp;INDEX(VarEnd,MATCH($A1738,VarKey,0))&amp;K$5</f>
        <v/>
      </c>
      <c r="L1738" s="15">
        <f>L1729*Settings!$C$13*$D1738</f>
        <v/>
      </c>
      <c r="M1738" s="16">
        <f>M1729*Settings!$C$13*$D1738</f>
        <v/>
      </c>
      <c r="N1738" s="16">
        <f>N1729*Settings!$C$13*$D1738</f>
        <v/>
      </c>
      <c r="O1738" s="16">
        <f>O1729*Settings!$C$13*$D1738</f>
        <v/>
      </c>
      <c r="P1738" s="16">
        <f>P1729*Settings!$C$13*$D1738</f>
        <v/>
      </c>
      <c r="Q1738" s="16">
        <f>Q1729*Settings!$C$13*$D1738</f>
        <v/>
      </c>
      <c r="R1738" s="16">
        <f>R1729*Settings!$C$13*$D1738</f>
        <v/>
      </c>
      <c r="S1738" s="16">
        <f>S1729*Settings!$C$13*$D1738</f>
        <v/>
      </c>
      <c r="T1738" s="16">
        <f>T1729*Settings!$C$13*$D1738</f>
        <v/>
      </c>
      <c r="U1738" s="16">
        <f>U1729*Settings!$C$13*$D1738</f>
        <v/>
      </c>
      <c r="V1738" s="16">
        <f>V1729*Settings!$C$13*$D1738</f>
        <v/>
      </c>
      <c r="W1738" s="16">
        <f>W1729*Settings!$C$13*$D1738</f>
        <v/>
      </c>
      <c r="X1738" s="16">
        <f>X1729*Settings!$C$13*$D1738</f>
        <v/>
      </c>
      <c r="Y1738" s="16">
        <f>Y1729*Settings!$C$13*$D1738</f>
        <v/>
      </c>
      <c r="Z1738" s="16">
        <f>Z1729*Settings!$C$13*$D1738</f>
        <v/>
      </c>
      <c r="AA1738" s="16">
        <f>AA1729*Settings!$C$13*$D1738</f>
        <v/>
      </c>
      <c r="AB1738" s="16">
        <f>AB1729*Settings!$C$13*$D1738</f>
        <v/>
      </c>
      <c r="AC1738" s="16">
        <f>AC1729*Settings!$C$13*$D1738</f>
        <v/>
      </c>
      <c r="AD1738" s="16">
        <f>AD1729*Settings!$C$13*$D1738</f>
        <v/>
      </c>
      <c r="AE1738" s="49">
        <f>EMISSIONS(AE1729,Settings!$C$13,$D1738)</f>
        <v/>
      </c>
      <c r="AG1738" s="11">
        <f>CodePrefix&amp;$A1738&amp;IF($C1738="","","."&amp;$C1738&amp;"."&amp;$B1738)&amp;INDEX(VarEnd,MATCH($A1738,VarKey,0))&amp;AG$5</f>
        <v/>
      </c>
      <c r="AH1738" s="15">
        <f>AH1729*Settings!$C$13*$D1738</f>
        <v/>
      </c>
      <c r="AI1738" s="16">
        <f>AI1729*Settings!$C$13*$D1738</f>
        <v/>
      </c>
      <c r="AJ1738" s="16">
        <f>AJ1729*Settings!$C$13*$D1738</f>
        <v/>
      </c>
      <c r="AK1738" s="16">
        <f>AK1729*Settings!$C$13*$D1738</f>
        <v/>
      </c>
      <c r="AL1738" s="16">
        <f>AL1729*Settings!$C$13*$D1738</f>
        <v/>
      </c>
      <c r="AM1738" s="16">
        <f>AM1729*Settings!$C$13*$D1738</f>
        <v/>
      </c>
      <c r="AN1738" s="16">
        <f>AN1729*Settings!$C$13*$D1738</f>
        <v/>
      </c>
      <c r="AO1738" s="16">
        <f>AO1729*Settings!$C$13*$D1738</f>
        <v/>
      </c>
      <c r="AP1738" s="16">
        <f>AP1729*Settings!$C$13*$D1738</f>
        <v/>
      </c>
      <c r="AQ1738" s="16">
        <f>AQ1729*Settings!$C$13*$D1738</f>
        <v/>
      </c>
      <c r="AR1738" s="16">
        <f>AR1729*Settings!$C$13*$D1738</f>
        <v/>
      </c>
      <c r="AS1738" s="16">
        <f>AS1729*Settings!$C$13*$D1738</f>
        <v/>
      </c>
      <c r="AT1738" s="16">
        <f>AT1729*Settings!$C$13*$D1738</f>
        <v/>
      </c>
      <c r="AU1738" s="16">
        <f>AU1729*Settings!$C$13*$D1738</f>
        <v/>
      </c>
      <c r="AV1738" s="16">
        <f>AV1729*Settings!$C$13*$D1738</f>
        <v/>
      </c>
      <c r="AW1738" s="16">
        <f>AW1729*Settings!$C$13*$D1738</f>
        <v/>
      </c>
      <c r="AX1738" s="16">
        <f>AX1729*Settings!$C$13*$D1738</f>
        <v/>
      </c>
      <c r="AY1738" s="16">
        <f>AY1729*Settings!$C$13*$D1738</f>
        <v/>
      </c>
      <c r="AZ1738" s="16">
        <f>AZ1729*Settings!$C$13*$D1738</f>
        <v/>
      </c>
      <c r="BA1738" s="49">
        <f>EMISSIONS(BA1729,Settings!$C$13,$D1738)</f>
        <v/>
      </c>
    </row>
    <row r="1739" hidden="1" outlineLevel="2"/>
    <row r="1740" hidden="1" outlineLevel="2">
      <c r="A1740" s="14" t="inlineStr">
        <is>
          <t>rtx</t>
        </is>
      </c>
      <c r="B1740" s="14" t="inlineStr">
        <is>
          <t>coa</t>
        </is>
      </c>
      <c r="C1740" s="14" t="inlineStr">
        <is>
          <t>foo</t>
        </is>
      </c>
      <c r="D1740" s="35">
        <f>INDEX(Inputs!$U$5:$U$132,MATCH($B1740&amp;"|"&amp;$C1740,Inputs!$A$5:$A$132,0))</f>
        <v/>
      </c>
      <c r="E1740" s="35">
        <f>INDEX(Inputs!$V$5:$V$132,MATCH($B1740&amp;"|"&amp;$C1740,Inputs!$A$5:$A$132,0))</f>
        <v/>
      </c>
      <c r="F1740" s="39" t="n"/>
      <c r="G1740" s="39" t="n"/>
      <c r="H1740" s="14">
        <f>INDEX(VarLab,MATCH($A1740,VarKey,0))&amp;INDEX(MemLab,MATCH($C1740&amp;"|"&amp;$B1740,MemKey,0))</f>
        <v/>
      </c>
      <c r="I1740" s="14">
        <f>INDEX(VarUnit,MATCH($A1740,VarKey,0))</f>
        <v/>
      </c>
      <c r="J1740" s="14">
        <f>INDEX(VarSrc,MATCH($A1740,VarKey,0))</f>
        <v/>
      </c>
      <c r="K1740" s="11">
        <f>CodePrefix&amp;$A1740&amp;IF($C1740="","","."&amp;$C1740&amp;"."&amp;$B1740)&amp;INDEX(VarEnd,MATCH($A1740,VarKey,0))&amp;K$5</f>
        <v/>
      </c>
      <c r="L1740" s="43">
        <f>L1722*Settings!$C$13*(INDEX(L$407:L$418,$D1740)+INDEX(L$394:L$405,$D1740)+L1695*(1+$E1740))</f>
        <v/>
      </c>
      <c r="M1740" s="44">
        <f>M1722*Settings!$C$13*(INDEX(M$407:M$418,$D1740)+INDEX(M$394:M$405,$D1740)+M1695*(1+$E1740))</f>
        <v/>
      </c>
      <c r="N1740" s="44">
        <f>N1722*Settings!$C$13*(INDEX(N$407:N$418,$D1740)+INDEX(N$394:N$405,$D1740)+N1695*(1+$E1740))</f>
        <v/>
      </c>
      <c r="O1740" s="44">
        <f>O1722*Settings!$C$13*(INDEX(O$407:O$418,$D1740)+INDEX(O$394:O$405,$D1740)+O1695*(1+$E1740))</f>
        <v/>
      </c>
      <c r="P1740" s="44">
        <f>P1722*Settings!$C$13*(INDEX(P$407:P$418,$D1740)+INDEX(P$394:P$405,$D1740)+P1695*(1+$E1740))</f>
        <v/>
      </c>
      <c r="Q1740" s="44">
        <f>Q1722*Settings!$C$13*(INDEX(Q$407:Q$418,$D1740)+INDEX(Q$394:Q$405,$D1740)+Q1695*(1+$E1740))</f>
        <v/>
      </c>
      <c r="R1740" s="44">
        <f>R1722*Settings!$C$13*(INDEX(R$407:R$418,$D1740)+INDEX(R$394:R$405,$D1740)+R1695*(1+$E1740))</f>
        <v/>
      </c>
      <c r="S1740" s="44">
        <f>S1722*Settings!$C$13*(INDEX(S$407:S$418,$D1740)+INDEX(S$394:S$405,$D1740)+S1695*(1+$E1740))</f>
        <v/>
      </c>
      <c r="T1740" s="44">
        <f>T1722*Settings!$C$13*(INDEX(T$407:T$418,$D1740)+INDEX(T$394:T$405,$D1740)+T1695*(1+$E1740))</f>
        <v/>
      </c>
      <c r="U1740" s="44">
        <f>U1722*Settings!$C$13*(INDEX(U$407:U$418,$D1740)+INDEX(U$394:U$405,$D1740)+U1695*(1+$E1740))</f>
        <v/>
      </c>
      <c r="V1740" s="44">
        <f>V1722*Settings!$C$13*(INDEX(V$407:V$418,$D1740)+INDEX(V$394:V$405,$D1740)+V1695*(1+$E1740))</f>
        <v/>
      </c>
      <c r="W1740" s="44">
        <f>W1722*Settings!$C$13*(INDEX(W$407:W$418,$D1740)+INDEX(W$394:W$405,$D1740)+W1695*(1+$E1740))</f>
        <v/>
      </c>
      <c r="X1740" s="44">
        <f>X1722*Settings!$C$13*(INDEX(X$407:X$418,$D1740)+INDEX(X$394:X$405,$D1740)+X1695*(1+$E1740))</f>
        <v/>
      </c>
      <c r="Y1740" s="44">
        <f>Y1722*Settings!$C$13*(INDEX(Y$407:Y$418,$D1740)+INDEX(Y$394:Y$405,$D1740)+Y1695*(1+$E1740))</f>
        <v/>
      </c>
      <c r="Z1740" s="44">
        <f>Z1722*Settings!$C$13*(INDEX(Z$407:Z$418,$D1740)+INDEX(Z$394:Z$405,$D1740)+Z1695*(1+$E1740))</f>
        <v/>
      </c>
      <c r="AA1740" s="44">
        <f>AA1722*Settings!$C$13*(INDEX(AA$407:AA$418,$D1740)+INDEX(AA$394:AA$405,$D1740)+AA1695*(1+$E1740))</f>
        <v/>
      </c>
      <c r="AB1740" s="44">
        <f>AB1722*Settings!$C$13*(INDEX(AB$407:AB$418,$D1740)+INDEX(AB$394:AB$405,$D1740)+AB1695*(1+$E1740))</f>
        <v/>
      </c>
      <c r="AC1740" s="44">
        <f>AC1722*Settings!$C$13*(INDEX(AC$407:AC$418,$D1740)+INDEX(AC$394:AC$405,$D1740)+AC1695*(1+$E1740))</f>
        <v/>
      </c>
      <c r="AD1740" s="44">
        <f>AD1722*Settings!$C$13*(INDEX(AD$407:AD$418,$D1740)+INDEX(AD$394:AD$405,$D1740)+AD1695*(1+$E1740))</f>
        <v/>
      </c>
      <c r="AE1740" s="57">
        <f>REVENUE(AE1722,Settings!$C$13,INDEX(AE$407:AE$418,$D1740)+INDEX(AE$394:AE$405,$D1740)+AE1695*(1+$E1740))</f>
        <v/>
      </c>
      <c r="AG1740" s="11">
        <f>CodePrefix&amp;$A1740&amp;IF($C1740="","","."&amp;$C1740&amp;"."&amp;$B1740)&amp;INDEX(VarEnd,MATCH($A1740,VarKey,0))&amp;AG$5</f>
        <v/>
      </c>
      <c r="AH1740" s="43">
        <f>AH1722*Settings!$C$13*(INDEX(AH$407:AH$418,$D1740)+INDEX(AH$394:AH$405,$D1740)+AH1695*(1+$E1740))</f>
        <v/>
      </c>
      <c r="AI1740" s="44">
        <f>AI1722*Settings!$C$13*(INDEX(AI$407:AI$418,$D1740)+INDEX(AI$394:AI$405,$D1740)+AI1695*(1+$E1740))</f>
        <v/>
      </c>
      <c r="AJ1740" s="44">
        <f>AJ1722*Settings!$C$13*(INDEX(AJ$407:AJ$418,$D1740)+INDEX(AJ$394:AJ$405,$D1740)+AJ1695*(1+$E1740))</f>
        <v/>
      </c>
      <c r="AK1740" s="44">
        <f>AK1722*Settings!$C$13*(INDEX(AK$407:AK$418,$D1740)+INDEX(AK$394:AK$405,$D1740)+AK1695*(1+$E1740))</f>
        <v/>
      </c>
      <c r="AL1740" s="44">
        <f>AL1722*Settings!$C$13*(INDEX(AL$407:AL$418,$D1740)+INDEX(AL$394:AL$405,$D1740)+AL1695*(1+$E1740))</f>
        <v/>
      </c>
      <c r="AM1740" s="44">
        <f>AM1722*Settings!$C$13*(INDEX(AM$407:AM$418,$D1740)+INDEX(AM$394:AM$405,$D1740)+AM1695*(1+$E1740))</f>
        <v/>
      </c>
      <c r="AN1740" s="44">
        <f>AN1722*Settings!$C$13*(INDEX(AN$407:AN$418,$D1740)+INDEX(AN$394:AN$405,$D1740)+AN1695*(1+$E1740))</f>
        <v/>
      </c>
      <c r="AO1740" s="44">
        <f>AO1722*Settings!$C$13*(INDEX(AO$407:AO$418,$D1740)+INDEX(AO$394:AO$405,$D1740)+AO1695*(1+$E1740))</f>
        <v/>
      </c>
      <c r="AP1740" s="44">
        <f>AP1722*Settings!$C$13*(INDEX(AP$407:AP$418,$D1740)+INDEX(AP$394:AP$405,$D1740)+AP1695*(1+$E1740))</f>
        <v/>
      </c>
      <c r="AQ1740" s="44">
        <f>AQ1722*Settings!$C$13*(INDEX(AQ$407:AQ$418,$D1740)+INDEX(AQ$394:AQ$405,$D1740)+AQ1695*(1+$E1740))</f>
        <v/>
      </c>
      <c r="AR1740" s="44">
        <f>AR1722*Settings!$C$13*(INDEX(AR$407:AR$418,$D1740)+INDEX(AR$394:AR$405,$D1740)+AR1695*(1+$E1740))</f>
        <v/>
      </c>
      <c r="AS1740" s="44">
        <f>AS1722*Settings!$C$13*(INDEX(AS$407:AS$418,$D1740)+INDEX(AS$394:AS$405,$D1740)+AS1695*(1+$E1740))</f>
        <v/>
      </c>
      <c r="AT1740" s="44">
        <f>AT1722*Settings!$C$13*(INDEX(AT$407:AT$418,$D1740)+INDEX(AT$394:AT$405,$D1740)+AT1695*(1+$E1740))</f>
        <v/>
      </c>
      <c r="AU1740" s="44">
        <f>AU1722*Settings!$C$13*(INDEX(AU$407:AU$418,$D1740)+INDEX(AU$394:AU$405,$D1740)+AU1695*(1+$E1740))</f>
        <v/>
      </c>
      <c r="AV1740" s="44">
        <f>AV1722*Settings!$C$13*(INDEX(AV$407:AV$418,$D1740)+INDEX(AV$394:AV$405,$D1740)+AV1695*(1+$E1740))</f>
        <v/>
      </c>
      <c r="AW1740" s="44">
        <f>AW1722*Settings!$C$13*(INDEX(AW$407:AW$418,$D1740)+INDEX(AW$394:AW$405,$D1740)+AW1695*(1+$E1740))</f>
        <v/>
      </c>
      <c r="AX1740" s="44">
        <f>AX1722*Settings!$C$13*(INDEX(AX$407:AX$418,$D1740)+INDEX(AX$394:AX$405,$D1740)+AX1695*(1+$E1740))</f>
        <v/>
      </c>
      <c r="AY1740" s="44">
        <f>AY1722*Settings!$C$13*(INDEX(AY$407:AY$418,$D1740)+INDEX(AY$394:AY$405,$D1740)+AY1695*(1+$E1740))</f>
        <v/>
      </c>
      <c r="AZ1740" s="44">
        <f>AZ1722*Settings!$C$13*(INDEX(AZ$407:AZ$418,$D1740)+INDEX(AZ$394:AZ$405,$D1740)+AZ1695*(1+$E1740))</f>
        <v/>
      </c>
      <c r="BA1740" s="57">
        <f>REVENUE(BA1722,Settings!$C$13,INDEX(BA$407:BA$418,$D1740)+INDEX(BA$394:BA$405,$D1740)+BA1695*(1+$E1740))</f>
        <v/>
      </c>
    </row>
    <row r="1741" hidden="1" outlineLevel="2">
      <c r="A1741" s="14" t="inlineStr">
        <is>
          <t>rtx</t>
        </is>
      </c>
      <c r="B1741" s="14" t="inlineStr">
        <is>
          <t>nga</t>
        </is>
      </c>
      <c r="C1741" s="14" t="inlineStr">
        <is>
          <t>foo</t>
        </is>
      </c>
      <c r="D1741" s="35">
        <f>INDEX(Inputs!$U$5:$U$132,MATCH($B1741&amp;"|"&amp;$C1741,Inputs!$A$5:$A$132,0))</f>
        <v/>
      </c>
      <c r="E1741" s="35">
        <f>INDEX(Inputs!$V$5:$V$132,MATCH($B1741&amp;"|"&amp;$C1741,Inputs!$A$5:$A$132,0))</f>
        <v/>
      </c>
      <c r="F1741" s="39" t="n"/>
      <c r="G1741" s="39" t="n"/>
      <c r="H1741" s="14">
        <f>INDEX(VarLab,MATCH($A1741,VarKey,0))&amp;INDEX(MemLab,MATCH($C1741&amp;"|"&amp;$B1741,MemKey,0))</f>
        <v/>
      </c>
      <c r="I1741" s="14">
        <f>INDEX(VarUnit,MATCH($A1741,VarKey,0))</f>
        <v/>
      </c>
      <c r="J1741" s="14">
        <f>INDEX(VarSrc,MATCH($A1741,VarKey,0))</f>
        <v/>
      </c>
      <c r="K1741" s="11">
        <f>CodePrefix&amp;$A1741&amp;IF($C1741="","","."&amp;$C1741&amp;"."&amp;$B1741)&amp;INDEX(VarEnd,MATCH($A1741,VarKey,0))&amp;K$5</f>
        <v/>
      </c>
      <c r="L1741" s="43">
        <f>L1723*Settings!$C$13*(INDEX(L$407:L$418,$D1741)+INDEX(L$394:L$405,$D1741)+L1696*(1+$E1741))</f>
        <v/>
      </c>
      <c r="M1741" s="44">
        <f>M1723*Settings!$C$13*(INDEX(M$407:M$418,$D1741)+INDEX(M$394:M$405,$D1741)+M1696*(1+$E1741))</f>
        <v/>
      </c>
      <c r="N1741" s="44">
        <f>N1723*Settings!$C$13*(INDEX(N$407:N$418,$D1741)+INDEX(N$394:N$405,$D1741)+N1696*(1+$E1741))</f>
        <v/>
      </c>
      <c r="O1741" s="44">
        <f>O1723*Settings!$C$13*(INDEX(O$407:O$418,$D1741)+INDEX(O$394:O$405,$D1741)+O1696*(1+$E1741))</f>
        <v/>
      </c>
      <c r="P1741" s="44">
        <f>P1723*Settings!$C$13*(INDEX(P$407:P$418,$D1741)+INDEX(P$394:P$405,$D1741)+P1696*(1+$E1741))</f>
        <v/>
      </c>
      <c r="Q1741" s="44">
        <f>Q1723*Settings!$C$13*(INDEX(Q$407:Q$418,$D1741)+INDEX(Q$394:Q$405,$D1741)+Q1696*(1+$E1741))</f>
        <v/>
      </c>
      <c r="R1741" s="44">
        <f>R1723*Settings!$C$13*(INDEX(R$407:R$418,$D1741)+INDEX(R$394:R$405,$D1741)+R1696*(1+$E1741))</f>
        <v/>
      </c>
      <c r="S1741" s="44">
        <f>S1723*Settings!$C$13*(INDEX(S$407:S$418,$D1741)+INDEX(S$394:S$405,$D1741)+S1696*(1+$E1741))</f>
        <v/>
      </c>
      <c r="T1741" s="44">
        <f>T1723*Settings!$C$13*(INDEX(T$407:T$418,$D1741)+INDEX(T$394:T$405,$D1741)+T1696*(1+$E1741))</f>
        <v/>
      </c>
      <c r="U1741" s="44">
        <f>U1723*Settings!$C$13*(INDEX(U$407:U$418,$D1741)+INDEX(U$394:U$405,$D1741)+U1696*(1+$E1741))</f>
        <v/>
      </c>
      <c r="V1741" s="44">
        <f>V1723*Settings!$C$13*(INDEX(V$407:V$418,$D1741)+INDEX(V$394:V$405,$D1741)+V1696*(1+$E1741))</f>
        <v/>
      </c>
      <c r="W1741" s="44">
        <f>W1723*Settings!$C$13*(INDEX(W$407:W$418,$D1741)+INDEX(W$394:W$405,$D1741)+W1696*(1+$E1741))</f>
        <v/>
      </c>
      <c r="X1741" s="44">
        <f>X1723*Settings!$C$13*(INDEX(X$407:X$418,$D1741)+INDEX(X$394:X$405,$D1741)+X1696*(1+$E1741))</f>
        <v/>
      </c>
      <c r="Y1741" s="44">
        <f>Y1723*Settings!$C$13*(INDEX(Y$407:Y$418,$D1741)+INDEX(Y$394:Y$405,$D1741)+Y1696*(1+$E1741))</f>
        <v/>
      </c>
      <c r="Z1741" s="44">
        <f>Z1723*Settings!$C$13*(INDEX(Z$407:Z$418,$D1741)+INDEX(Z$394:Z$405,$D1741)+Z1696*(1+$E1741))</f>
        <v/>
      </c>
      <c r="AA1741" s="44">
        <f>AA1723*Settings!$C$13*(INDEX(AA$407:AA$418,$D1741)+INDEX(AA$394:AA$405,$D1741)+AA1696*(1+$E1741))</f>
        <v/>
      </c>
      <c r="AB1741" s="44">
        <f>AB1723*Settings!$C$13*(INDEX(AB$407:AB$418,$D1741)+INDEX(AB$394:AB$405,$D1741)+AB1696*(1+$E1741))</f>
        <v/>
      </c>
      <c r="AC1741" s="44">
        <f>AC1723*Settings!$C$13*(INDEX(AC$407:AC$418,$D1741)+INDEX(AC$394:AC$405,$D1741)+AC1696*(1+$E1741))</f>
        <v/>
      </c>
      <c r="AD1741" s="44">
        <f>AD1723*Settings!$C$13*(INDEX(AD$407:AD$418,$D1741)+INDEX(AD$394:AD$405,$D1741)+AD1696*(1+$E1741))</f>
        <v/>
      </c>
      <c r="AE1741" s="57">
        <f>REVENUE(AE1723,Settings!$C$13,INDEX(AE$407:AE$418,$D1741)+INDEX(AE$394:AE$405,$D1741)+AE1696*(1+$E1741))</f>
        <v/>
      </c>
      <c r="AG1741" s="11">
        <f>CodePrefix&amp;$A1741&amp;IF($C1741="","","."&amp;$C1741&amp;"."&amp;$B1741)&amp;INDEX(VarEnd,MATCH($A1741,VarKey,0))&amp;AG$5</f>
        <v/>
      </c>
      <c r="AH1741" s="43">
        <f>AH1723*Settings!$C$13*(INDEX(AH$407:AH$418,$D1741)+INDEX(AH$394:AH$405,$D1741)+AH1696*(1+$E1741))</f>
        <v/>
      </c>
      <c r="AI1741" s="44">
        <f>AI1723*Settings!$C$13*(INDEX(AI$407:AI$418,$D1741)+INDEX(AI$394:AI$405,$D1741)+AI1696*(1+$E1741))</f>
        <v/>
      </c>
      <c r="AJ1741" s="44">
        <f>AJ1723*Settings!$C$13*(INDEX(AJ$407:AJ$418,$D1741)+INDEX(AJ$394:AJ$405,$D1741)+AJ1696*(1+$E1741))</f>
        <v/>
      </c>
      <c r="AK1741" s="44">
        <f>AK1723*Settings!$C$13*(INDEX(AK$407:AK$418,$D1741)+INDEX(AK$394:AK$405,$D1741)+AK1696*(1+$E1741))</f>
        <v/>
      </c>
      <c r="AL1741" s="44">
        <f>AL1723*Settings!$C$13*(INDEX(AL$407:AL$418,$D1741)+INDEX(AL$394:AL$405,$D1741)+AL1696*(1+$E1741))</f>
        <v/>
      </c>
      <c r="AM1741" s="44">
        <f>AM1723*Settings!$C$13*(INDEX(AM$407:AM$418,$D1741)+INDEX(AM$394:AM$405,$D1741)+AM1696*(1+$E1741))</f>
        <v/>
      </c>
      <c r="AN1741" s="44">
        <f>AN1723*Settings!$C$13*(INDEX(AN$407:AN$418,$D1741)+INDEX(AN$394:AN$405,$D1741)+AN1696*(1+$E1741))</f>
        <v/>
      </c>
      <c r="AO1741" s="44">
        <f>AO1723*Settings!$C$13*(INDEX(AO$407:AO$418,$D1741)+INDEX(AO$394:AO$405,$D1741)+AO1696*(1+$E1741))</f>
        <v/>
      </c>
      <c r="AP1741" s="44">
        <f>AP1723*Settings!$C$13*(INDEX(AP$407:AP$418,$D1741)+INDEX(AP$394:AP$405,$D1741)+AP1696*(1+$E1741))</f>
        <v/>
      </c>
      <c r="AQ1741" s="44">
        <f>AQ1723*Settings!$C$13*(INDEX(AQ$407:AQ$418,$D1741)+INDEX(AQ$394:AQ$405,$D1741)+AQ1696*(1+$E1741))</f>
        <v/>
      </c>
      <c r="AR1741" s="44">
        <f>AR1723*Settings!$C$13*(INDEX(AR$407:AR$418,$D1741)+INDEX(AR$394:AR$405,$D1741)+AR1696*(1+$E1741))</f>
        <v/>
      </c>
      <c r="AS1741" s="44">
        <f>AS1723*Settings!$C$13*(INDEX(AS$407:AS$418,$D1741)+INDEX(AS$394:AS$405,$D1741)+AS1696*(1+$E1741))</f>
        <v/>
      </c>
      <c r="AT1741" s="44">
        <f>AT1723*Settings!$C$13*(INDEX(AT$407:AT$418,$D1741)+INDEX(AT$394:AT$405,$D1741)+AT1696*(1+$E1741))</f>
        <v/>
      </c>
      <c r="AU1741" s="44">
        <f>AU1723*Settings!$C$13*(INDEX(AU$407:AU$418,$D1741)+INDEX(AU$394:AU$405,$D1741)+AU1696*(1+$E1741))</f>
        <v/>
      </c>
      <c r="AV1741" s="44">
        <f>AV1723*Settings!$C$13*(INDEX(AV$407:AV$418,$D1741)+INDEX(AV$394:AV$405,$D1741)+AV1696*(1+$E1741))</f>
        <v/>
      </c>
      <c r="AW1741" s="44">
        <f>AW1723*Settings!$C$13*(INDEX(AW$407:AW$418,$D1741)+INDEX(AW$394:AW$405,$D1741)+AW1696*(1+$E1741))</f>
        <v/>
      </c>
      <c r="AX1741" s="44">
        <f>AX1723*Settings!$C$13*(INDEX(AX$407:AX$418,$D1741)+INDEX(AX$394:AX$405,$D1741)+AX1696*(1+$E1741))</f>
        <v/>
      </c>
      <c r="AY1741" s="44">
        <f>AY1723*Settings!$C$13*(INDEX(AY$407:AY$418,$D1741)+INDEX(AY$394:AY$405,$D1741)+AY1696*(1+$E1741))</f>
        <v/>
      </c>
      <c r="AZ1741" s="44">
        <f>AZ1723*Settings!$C$13*(INDEX(AZ$407:AZ$418,$D1741)+INDEX(AZ$394:AZ$405,$D1741)+AZ1696*(1+$E1741))</f>
        <v/>
      </c>
      <c r="BA1741" s="57">
        <f>REVENUE(BA1723,Settings!$C$13,INDEX(BA$407:BA$418,$D1741)+INDEX(BA$394:BA$405,$D1741)+BA1696*(1+$E1741))</f>
        <v/>
      </c>
    </row>
    <row r="1742" hidden="1" outlineLevel="2">
      <c r="A1742" s="14" t="inlineStr">
        <is>
          <t>rtx</t>
        </is>
      </c>
      <c r="B1742" s="14" t="inlineStr">
        <is>
          <t>gso</t>
        </is>
      </c>
      <c r="C1742" s="14" t="inlineStr">
        <is>
          <t>foo</t>
        </is>
      </c>
      <c r="D1742" s="35">
        <f>INDEX(Inputs!$U$5:$U$132,MATCH($B1742&amp;"|"&amp;$C1742,Inputs!$A$5:$A$132,0))</f>
        <v/>
      </c>
      <c r="E1742" s="35">
        <f>INDEX(Inputs!$V$5:$V$132,MATCH($B1742&amp;"|"&amp;$C1742,Inputs!$A$5:$A$132,0))</f>
        <v/>
      </c>
      <c r="F1742" s="39" t="n"/>
      <c r="G1742" s="39" t="n"/>
      <c r="H1742" s="14">
        <f>INDEX(VarLab,MATCH($A1742,VarKey,0))&amp;INDEX(MemLab,MATCH($C1742&amp;"|"&amp;$B1742,MemKey,0))</f>
        <v/>
      </c>
      <c r="I1742" s="14">
        <f>INDEX(VarUnit,MATCH($A1742,VarKey,0))</f>
        <v/>
      </c>
      <c r="J1742" s="14">
        <f>INDEX(VarSrc,MATCH($A1742,VarKey,0))</f>
        <v/>
      </c>
      <c r="K1742" s="11">
        <f>CodePrefix&amp;$A1742&amp;IF($C1742="","","."&amp;$C1742&amp;"."&amp;$B1742)&amp;INDEX(VarEnd,MATCH($A1742,VarKey,0))&amp;K$5</f>
        <v/>
      </c>
      <c r="L1742" s="43">
        <f>L1724*Settings!$C$13*(INDEX(L$407:L$418,$D1742)+INDEX(L$394:L$405,$D1742)+L1697*(1+$E1742))</f>
        <v/>
      </c>
      <c r="M1742" s="44">
        <f>M1724*Settings!$C$13*(INDEX(M$407:M$418,$D1742)+INDEX(M$394:M$405,$D1742)+M1697*(1+$E1742))</f>
        <v/>
      </c>
      <c r="N1742" s="44">
        <f>N1724*Settings!$C$13*(INDEX(N$407:N$418,$D1742)+INDEX(N$394:N$405,$D1742)+N1697*(1+$E1742))</f>
        <v/>
      </c>
      <c r="O1742" s="44">
        <f>O1724*Settings!$C$13*(INDEX(O$407:O$418,$D1742)+INDEX(O$394:O$405,$D1742)+O1697*(1+$E1742))</f>
        <v/>
      </c>
      <c r="P1742" s="44">
        <f>P1724*Settings!$C$13*(INDEX(P$407:P$418,$D1742)+INDEX(P$394:P$405,$D1742)+P1697*(1+$E1742))</f>
        <v/>
      </c>
      <c r="Q1742" s="44">
        <f>Q1724*Settings!$C$13*(INDEX(Q$407:Q$418,$D1742)+INDEX(Q$394:Q$405,$D1742)+Q1697*(1+$E1742))</f>
        <v/>
      </c>
      <c r="R1742" s="44">
        <f>R1724*Settings!$C$13*(INDEX(R$407:R$418,$D1742)+INDEX(R$394:R$405,$D1742)+R1697*(1+$E1742))</f>
        <v/>
      </c>
      <c r="S1742" s="44">
        <f>S1724*Settings!$C$13*(INDEX(S$407:S$418,$D1742)+INDEX(S$394:S$405,$D1742)+S1697*(1+$E1742))</f>
        <v/>
      </c>
      <c r="T1742" s="44">
        <f>T1724*Settings!$C$13*(INDEX(T$407:T$418,$D1742)+INDEX(T$394:T$405,$D1742)+T1697*(1+$E1742))</f>
        <v/>
      </c>
      <c r="U1742" s="44">
        <f>U1724*Settings!$C$13*(INDEX(U$407:U$418,$D1742)+INDEX(U$394:U$405,$D1742)+U1697*(1+$E1742))</f>
        <v/>
      </c>
      <c r="V1742" s="44">
        <f>V1724*Settings!$C$13*(INDEX(V$407:V$418,$D1742)+INDEX(V$394:V$405,$D1742)+V1697*(1+$E1742))</f>
        <v/>
      </c>
      <c r="W1742" s="44">
        <f>W1724*Settings!$C$13*(INDEX(W$407:W$418,$D1742)+INDEX(W$394:W$405,$D1742)+W1697*(1+$E1742))</f>
        <v/>
      </c>
      <c r="X1742" s="44">
        <f>X1724*Settings!$C$13*(INDEX(X$407:X$418,$D1742)+INDEX(X$394:X$405,$D1742)+X1697*(1+$E1742))</f>
        <v/>
      </c>
      <c r="Y1742" s="44">
        <f>Y1724*Settings!$C$13*(INDEX(Y$407:Y$418,$D1742)+INDEX(Y$394:Y$405,$D1742)+Y1697*(1+$E1742))</f>
        <v/>
      </c>
      <c r="Z1742" s="44">
        <f>Z1724*Settings!$C$13*(INDEX(Z$407:Z$418,$D1742)+INDEX(Z$394:Z$405,$D1742)+Z1697*(1+$E1742))</f>
        <v/>
      </c>
      <c r="AA1742" s="44">
        <f>AA1724*Settings!$C$13*(INDEX(AA$407:AA$418,$D1742)+INDEX(AA$394:AA$405,$D1742)+AA1697*(1+$E1742))</f>
        <v/>
      </c>
      <c r="AB1742" s="44">
        <f>AB1724*Settings!$C$13*(INDEX(AB$407:AB$418,$D1742)+INDEX(AB$394:AB$405,$D1742)+AB1697*(1+$E1742))</f>
        <v/>
      </c>
      <c r="AC1742" s="44">
        <f>AC1724*Settings!$C$13*(INDEX(AC$407:AC$418,$D1742)+INDEX(AC$394:AC$405,$D1742)+AC1697*(1+$E1742))</f>
        <v/>
      </c>
      <c r="AD1742" s="44">
        <f>AD1724*Settings!$C$13*(INDEX(AD$407:AD$418,$D1742)+INDEX(AD$394:AD$405,$D1742)+AD1697*(1+$E1742))</f>
        <v/>
      </c>
      <c r="AE1742" s="57">
        <f>REVENUE(AE1724,Settings!$C$13,INDEX(AE$407:AE$418,$D1742)+INDEX(AE$394:AE$405,$D1742)+AE1697*(1+$E1742))</f>
        <v/>
      </c>
      <c r="AG1742" s="11">
        <f>CodePrefix&amp;$A1742&amp;IF($C1742="","","."&amp;$C1742&amp;"."&amp;$B1742)&amp;INDEX(VarEnd,MATCH($A1742,VarKey,0))&amp;AG$5</f>
        <v/>
      </c>
      <c r="AH1742" s="43">
        <f>AH1724*Settings!$C$13*(INDEX(AH$407:AH$418,$D1742)+INDEX(AH$394:AH$405,$D1742)+AH1697*(1+$E1742))</f>
        <v/>
      </c>
      <c r="AI1742" s="44">
        <f>AI1724*Settings!$C$13*(INDEX(AI$407:AI$418,$D1742)+INDEX(AI$394:AI$405,$D1742)+AI1697*(1+$E1742))</f>
        <v/>
      </c>
      <c r="AJ1742" s="44">
        <f>AJ1724*Settings!$C$13*(INDEX(AJ$407:AJ$418,$D1742)+INDEX(AJ$394:AJ$405,$D1742)+AJ1697*(1+$E1742))</f>
        <v/>
      </c>
      <c r="AK1742" s="44">
        <f>AK1724*Settings!$C$13*(INDEX(AK$407:AK$418,$D1742)+INDEX(AK$394:AK$405,$D1742)+AK1697*(1+$E1742))</f>
        <v/>
      </c>
      <c r="AL1742" s="44">
        <f>AL1724*Settings!$C$13*(INDEX(AL$407:AL$418,$D1742)+INDEX(AL$394:AL$405,$D1742)+AL1697*(1+$E1742))</f>
        <v/>
      </c>
      <c r="AM1742" s="44">
        <f>AM1724*Settings!$C$13*(INDEX(AM$407:AM$418,$D1742)+INDEX(AM$394:AM$405,$D1742)+AM1697*(1+$E1742))</f>
        <v/>
      </c>
      <c r="AN1742" s="44">
        <f>AN1724*Settings!$C$13*(INDEX(AN$407:AN$418,$D1742)+INDEX(AN$394:AN$405,$D1742)+AN1697*(1+$E1742))</f>
        <v/>
      </c>
      <c r="AO1742" s="44">
        <f>AO1724*Settings!$C$13*(INDEX(AO$407:AO$418,$D1742)+INDEX(AO$394:AO$405,$D1742)+AO1697*(1+$E1742))</f>
        <v/>
      </c>
      <c r="AP1742" s="44">
        <f>AP1724*Settings!$C$13*(INDEX(AP$407:AP$418,$D1742)+INDEX(AP$394:AP$405,$D1742)+AP1697*(1+$E1742))</f>
        <v/>
      </c>
      <c r="AQ1742" s="44">
        <f>AQ1724*Settings!$C$13*(INDEX(AQ$407:AQ$418,$D1742)+INDEX(AQ$394:AQ$405,$D1742)+AQ1697*(1+$E1742))</f>
        <v/>
      </c>
      <c r="AR1742" s="44">
        <f>AR1724*Settings!$C$13*(INDEX(AR$407:AR$418,$D1742)+INDEX(AR$394:AR$405,$D1742)+AR1697*(1+$E1742))</f>
        <v/>
      </c>
      <c r="AS1742" s="44">
        <f>AS1724*Settings!$C$13*(INDEX(AS$407:AS$418,$D1742)+INDEX(AS$394:AS$405,$D1742)+AS1697*(1+$E1742))</f>
        <v/>
      </c>
      <c r="AT1742" s="44">
        <f>AT1724*Settings!$C$13*(INDEX(AT$407:AT$418,$D1742)+INDEX(AT$394:AT$405,$D1742)+AT1697*(1+$E1742))</f>
        <v/>
      </c>
      <c r="AU1742" s="44">
        <f>AU1724*Settings!$C$13*(INDEX(AU$407:AU$418,$D1742)+INDEX(AU$394:AU$405,$D1742)+AU1697*(1+$E1742))</f>
        <v/>
      </c>
      <c r="AV1742" s="44">
        <f>AV1724*Settings!$C$13*(INDEX(AV$407:AV$418,$D1742)+INDEX(AV$394:AV$405,$D1742)+AV1697*(1+$E1742))</f>
        <v/>
      </c>
      <c r="AW1742" s="44">
        <f>AW1724*Settings!$C$13*(INDEX(AW$407:AW$418,$D1742)+INDEX(AW$394:AW$405,$D1742)+AW1697*(1+$E1742))</f>
        <v/>
      </c>
      <c r="AX1742" s="44">
        <f>AX1724*Settings!$C$13*(INDEX(AX$407:AX$418,$D1742)+INDEX(AX$394:AX$405,$D1742)+AX1697*(1+$E1742))</f>
        <v/>
      </c>
      <c r="AY1742" s="44">
        <f>AY1724*Settings!$C$13*(INDEX(AY$407:AY$418,$D1742)+INDEX(AY$394:AY$405,$D1742)+AY1697*(1+$E1742))</f>
        <v/>
      </c>
      <c r="AZ1742" s="44">
        <f>AZ1724*Settings!$C$13*(INDEX(AZ$407:AZ$418,$D1742)+INDEX(AZ$394:AZ$405,$D1742)+AZ1697*(1+$E1742))</f>
        <v/>
      </c>
      <c r="BA1742" s="57">
        <f>REVENUE(BA1724,Settings!$C$13,INDEX(BA$407:BA$418,$D1742)+INDEX(BA$394:BA$405,$D1742)+BA1697*(1+$E1742))</f>
        <v/>
      </c>
    </row>
    <row r="1743" hidden="1" outlineLevel="2">
      <c r="A1743" s="14" t="inlineStr">
        <is>
          <t>rtx</t>
        </is>
      </c>
      <c r="B1743" s="14" t="inlineStr">
        <is>
          <t>die</t>
        </is>
      </c>
      <c r="C1743" s="14" t="inlineStr">
        <is>
          <t>foo</t>
        </is>
      </c>
      <c r="D1743" s="35">
        <f>INDEX(Inputs!$U$5:$U$132,MATCH($B1743&amp;"|"&amp;$C1743,Inputs!$A$5:$A$132,0))</f>
        <v/>
      </c>
      <c r="E1743" s="35">
        <f>INDEX(Inputs!$V$5:$V$132,MATCH($B1743&amp;"|"&amp;$C1743,Inputs!$A$5:$A$132,0))</f>
        <v/>
      </c>
      <c r="F1743" s="39" t="n"/>
      <c r="G1743" s="39" t="n"/>
      <c r="H1743" s="14">
        <f>INDEX(VarLab,MATCH($A1743,VarKey,0))&amp;INDEX(MemLab,MATCH($C1743&amp;"|"&amp;$B1743,MemKey,0))</f>
        <v/>
      </c>
      <c r="I1743" s="14">
        <f>INDEX(VarUnit,MATCH($A1743,VarKey,0))</f>
        <v/>
      </c>
      <c r="J1743" s="14">
        <f>INDEX(VarSrc,MATCH($A1743,VarKey,0))</f>
        <v/>
      </c>
      <c r="K1743" s="11">
        <f>CodePrefix&amp;$A1743&amp;IF($C1743="","","."&amp;$C1743&amp;"."&amp;$B1743)&amp;INDEX(VarEnd,MATCH($A1743,VarKey,0))&amp;K$5</f>
        <v/>
      </c>
      <c r="L1743" s="43">
        <f>L1725*Settings!$C$13*(INDEX(L$407:L$418,$D1743)+INDEX(L$394:L$405,$D1743)+L1698*(1+$E1743))</f>
        <v/>
      </c>
      <c r="M1743" s="44">
        <f>M1725*Settings!$C$13*(INDEX(M$407:M$418,$D1743)+INDEX(M$394:M$405,$D1743)+M1698*(1+$E1743))</f>
        <v/>
      </c>
      <c r="N1743" s="44">
        <f>N1725*Settings!$C$13*(INDEX(N$407:N$418,$D1743)+INDEX(N$394:N$405,$D1743)+N1698*(1+$E1743))</f>
        <v/>
      </c>
      <c r="O1743" s="44">
        <f>O1725*Settings!$C$13*(INDEX(O$407:O$418,$D1743)+INDEX(O$394:O$405,$D1743)+O1698*(1+$E1743))</f>
        <v/>
      </c>
      <c r="P1743" s="44">
        <f>P1725*Settings!$C$13*(INDEX(P$407:P$418,$D1743)+INDEX(P$394:P$405,$D1743)+P1698*(1+$E1743))</f>
        <v/>
      </c>
      <c r="Q1743" s="44">
        <f>Q1725*Settings!$C$13*(INDEX(Q$407:Q$418,$D1743)+INDEX(Q$394:Q$405,$D1743)+Q1698*(1+$E1743))</f>
        <v/>
      </c>
      <c r="R1743" s="44">
        <f>R1725*Settings!$C$13*(INDEX(R$407:R$418,$D1743)+INDEX(R$394:R$405,$D1743)+R1698*(1+$E1743))</f>
        <v/>
      </c>
      <c r="S1743" s="44">
        <f>S1725*Settings!$C$13*(INDEX(S$407:S$418,$D1743)+INDEX(S$394:S$405,$D1743)+S1698*(1+$E1743))</f>
        <v/>
      </c>
      <c r="T1743" s="44">
        <f>T1725*Settings!$C$13*(INDEX(T$407:T$418,$D1743)+INDEX(T$394:T$405,$D1743)+T1698*(1+$E1743))</f>
        <v/>
      </c>
      <c r="U1743" s="44">
        <f>U1725*Settings!$C$13*(INDEX(U$407:U$418,$D1743)+INDEX(U$394:U$405,$D1743)+U1698*(1+$E1743))</f>
        <v/>
      </c>
      <c r="V1743" s="44">
        <f>V1725*Settings!$C$13*(INDEX(V$407:V$418,$D1743)+INDEX(V$394:V$405,$D1743)+V1698*(1+$E1743))</f>
        <v/>
      </c>
      <c r="W1743" s="44">
        <f>W1725*Settings!$C$13*(INDEX(W$407:W$418,$D1743)+INDEX(W$394:W$405,$D1743)+W1698*(1+$E1743))</f>
        <v/>
      </c>
      <c r="X1743" s="44">
        <f>X1725*Settings!$C$13*(INDEX(X$407:X$418,$D1743)+INDEX(X$394:X$405,$D1743)+X1698*(1+$E1743))</f>
        <v/>
      </c>
      <c r="Y1743" s="44">
        <f>Y1725*Settings!$C$13*(INDEX(Y$407:Y$418,$D1743)+INDEX(Y$394:Y$405,$D1743)+Y1698*(1+$E1743))</f>
        <v/>
      </c>
      <c r="Z1743" s="44">
        <f>Z1725*Settings!$C$13*(INDEX(Z$407:Z$418,$D1743)+INDEX(Z$394:Z$405,$D1743)+Z1698*(1+$E1743))</f>
        <v/>
      </c>
      <c r="AA1743" s="44">
        <f>AA1725*Settings!$C$13*(INDEX(AA$407:AA$418,$D1743)+INDEX(AA$394:AA$405,$D1743)+AA1698*(1+$E1743))</f>
        <v/>
      </c>
      <c r="AB1743" s="44">
        <f>AB1725*Settings!$C$13*(INDEX(AB$407:AB$418,$D1743)+INDEX(AB$394:AB$405,$D1743)+AB1698*(1+$E1743))</f>
        <v/>
      </c>
      <c r="AC1743" s="44">
        <f>AC1725*Settings!$C$13*(INDEX(AC$407:AC$418,$D1743)+INDEX(AC$394:AC$405,$D1743)+AC1698*(1+$E1743))</f>
        <v/>
      </c>
      <c r="AD1743" s="44">
        <f>AD1725*Settings!$C$13*(INDEX(AD$407:AD$418,$D1743)+INDEX(AD$394:AD$405,$D1743)+AD1698*(1+$E1743))</f>
        <v/>
      </c>
      <c r="AE1743" s="57">
        <f>REVENUE(AE1725,Settings!$C$13,INDEX(AE$407:AE$418,$D1743)+INDEX(AE$394:AE$405,$D1743)+AE1698*(1+$E1743))</f>
        <v/>
      </c>
      <c r="AG1743" s="11">
        <f>CodePrefix&amp;$A1743&amp;IF($C1743="","","."&amp;$C1743&amp;"."&amp;$B1743)&amp;INDEX(VarEnd,MATCH($A1743,VarKey,0))&amp;AG$5</f>
        <v/>
      </c>
      <c r="AH1743" s="43">
        <f>AH1725*Settings!$C$13*(INDEX(AH$407:AH$418,$D1743)+INDEX(AH$394:AH$405,$D1743)+AH1698*(1+$E1743))</f>
        <v/>
      </c>
      <c r="AI1743" s="44">
        <f>AI1725*Settings!$C$13*(INDEX(AI$407:AI$418,$D1743)+INDEX(AI$394:AI$405,$D1743)+AI1698*(1+$E1743))</f>
        <v/>
      </c>
      <c r="AJ1743" s="44">
        <f>AJ1725*Settings!$C$13*(INDEX(AJ$407:AJ$418,$D1743)+INDEX(AJ$394:AJ$405,$D1743)+AJ1698*(1+$E1743))</f>
        <v/>
      </c>
      <c r="AK1743" s="44">
        <f>AK1725*Settings!$C$13*(INDEX(AK$407:AK$418,$D1743)+INDEX(AK$394:AK$405,$D1743)+AK1698*(1+$E1743))</f>
        <v/>
      </c>
      <c r="AL1743" s="44">
        <f>AL1725*Settings!$C$13*(INDEX(AL$407:AL$418,$D1743)+INDEX(AL$394:AL$405,$D1743)+AL1698*(1+$E1743))</f>
        <v/>
      </c>
      <c r="AM1743" s="44">
        <f>AM1725*Settings!$C$13*(INDEX(AM$407:AM$418,$D1743)+INDEX(AM$394:AM$405,$D1743)+AM1698*(1+$E1743))</f>
        <v/>
      </c>
      <c r="AN1743" s="44">
        <f>AN1725*Settings!$C$13*(INDEX(AN$407:AN$418,$D1743)+INDEX(AN$394:AN$405,$D1743)+AN1698*(1+$E1743))</f>
        <v/>
      </c>
      <c r="AO1743" s="44">
        <f>AO1725*Settings!$C$13*(INDEX(AO$407:AO$418,$D1743)+INDEX(AO$394:AO$405,$D1743)+AO1698*(1+$E1743))</f>
        <v/>
      </c>
      <c r="AP1743" s="44">
        <f>AP1725*Settings!$C$13*(INDEX(AP$407:AP$418,$D1743)+INDEX(AP$394:AP$405,$D1743)+AP1698*(1+$E1743))</f>
        <v/>
      </c>
      <c r="AQ1743" s="44">
        <f>AQ1725*Settings!$C$13*(INDEX(AQ$407:AQ$418,$D1743)+INDEX(AQ$394:AQ$405,$D1743)+AQ1698*(1+$E1743))</f>
        <v/>
      </c>
      <c r="AR1743" s="44">
        <f>AR1725*Settings!$C$13*(INDEX(AR$407:AR$418,$D1743)+INDEX(AR$394:AR$405,$D1743)+AR1698*(1+$E1743))</f>
        <v/>
      </c>
      <c r="AS1743" s="44">
        <f>AS1725*Settings!$C$13*(INDEX(AS$407:AS$418,$D1743)+INDEX(AS$394:AS$405,$D1743)+AS1698*(1+$E1743))</f>
        <v/>
      </c>
      <c r="AT1743" s="44">
        <f>AT1725*Settings!$C$13*(INDEX(AT$407:AT$418,$D1743)+INDEX(AT$394:AT$405,$D1743)+AT1698*(1+$E1743))</f>
        <v/>
      </c>
      <c r="AU1743" s="44">
        <f>AU1725*Settings!$C$13*(INDEX(AU$407:AU$418,$D1743)+INDEX(AU$394:AU$405,$D1743)+AU1698*(1+$E1743))</f>
        <v/>
      </c>
      <c r="AV1743" s="44">
        <f>AV1725*Settings!$C$13*(INDEX(AV$407:AV$418,$D1743)+INDEX(AV$394:AV$405,$D1743)+AV1698*(1+$E1743))</f>
        <v/>
      </c>
      <c r="AW1743" s="44">
        <f>AW1725*Settings!$C$13*(INDEX(AW$407:AW$418,$D1743)+INDEX(AW$394:AW$405,$D1743)+AW1698*(1+$E1743))</f>
        <v/>
      </c>
      <c r="AX1743" s="44">
        <f>AX1725*Settings!$C$13*(INDEX(AX$407:AX$418,$D1743)+INDEX(AX$394:AX$405,$D1743)+AX1698*(1+$E1743))</f>
        <v/>
      </c>
      <c r="AY1743" s="44">
        <f>AY1725*Settings!$C$13*(INDEX(AY$407:AY$418,$D1743)+INDEX(AY$394:AY$405,$D1743)+AY1698*(1+$E1743))</f>
        <v/>
      </c>
      <c r="AZ1743" s="44">
        <f>AZ1725*Settings!$C$13*(INDEX(AZ$407:AZ$418,$D1743)+INDEX(AZ$394:AZ$405,$D1743)+AZ1698*(1+$E1743))</f>
        <v/>
      </c>
      <c r="BA1743" s="57">
        <f>REVENUE(BA1725,Settings!$C$13,INDEX(BA$407:BA$418,$D1743)+INDEX(BA$394:BA$405,$D1743)+BA1698*(1+$E1743))</f>
        <v/>
      </c>
    </row>
    <row r="1744" hidden="1" outlineLevel="2">
      <c r="A1744" s="14" t="inlineStr">
        <is>
          <t>rtx</t>
        </is>
      </c>
      <c r="B1744" s="14" t="inlineStr">
        <is>
          <t>lpg</t>
        </is>
      </c>
      <c r="C1744" s="14" t="inlineStr">
        <is>
          <t>foo</t>
        </is>
      </c>
      <c r="D1744" s="35">
        <f>INDEX(Inputs!$U$5:$U$132,MATCH($B1744&amp;"|"&amp;$C1744,Inputs!$A$5:$A$132,0))</f>
        <v/>
      </c>
      <c r="E1744" s="35">
        <f>INDEX(Inputs!$V$5:$V$132,MATCH($B1744&amp;"|"&amp;$C1744,Inputs!$A$5:$A$132,0))</f>
        <v/>
      </c>
      <c r="F1744" s="39" t="n"/>
      <c r="G1744" s="39" t="n"/>
      <c r="H1744" s="14">
        <f>INDEX(VarLab,MATCH($A1744,VarKey,0))&amp;INDEX(MemLab,MATCH($C1744&amp;"|"&amp;$B1744,MemKey,0))</f>
        <v/>
      </c>
      <c r="I1744" s="14">
        <f>INDEX(VarUnit,MATCH($A1744,VarKey,0))</f>
        <v/>
      </c>
      <c r="J1744" s="14">
        <f>INDEX(VarSrc,MATCH($A1744,VarKey,0))</f>
        <v/>
      </c>
      <c r="K1744" s="11">
        <f>CodePrefix&amp;$A1744&amp;IF($C1744="","","."&amp;$C1744&amp;"."&amp;$B1744)&amp;INDEX(VarEnd,MATCH($A1744,VarKey,0))&amp;K$5</f>
        <v/>
      </c>
      <c r="L1744" s="43">
        <f>L1726*Settings!$C$13*(INDEX(L$407:L$418,$D1744)+INDEX(L$394:L$405,$D1744)+L1699*(1+$E1744))</f>
        <v/>
      </c>
      <c r="M1744" s="44">
        <f>M1726*Settings!$C$13*(INDEX(M$407:M$418,$D1744)+INDEX(M$394:M$405,$D1744)+M1699*(1+$E1744))</f>
        <v/>
      </c>
      <c r="N1744" s="44">
        <f>N1726*Settings!$C$13*(INDEX(N$407:N$418,$D1744)+INDEX(N$394:N$405,$D1744)+N1699*(1+$E1744))</f>
        <v/>
      </c>
      <c r="O1744" s="44">
        <f>O1726*Settings!$C$13*(INDEX(O$407:O$418,$D1744)+INDEX(O$394:O$405,$D1744)+O1699*(1+$E1744))</f>
        <v/>
      </c>
      <c r="P1744" s="44">
        <f>P1726*Settings!$C$13*(INDEX(P$407:P$418,$D1744)+INDEX(P$394:P$405,$D1744)+P1699*(1+$E1744))</f>
        <v/>
      </c>
      <c r="Q1744" s="44">
        <f>Q1726*Settings!$C$13*(INDEX(Q$407:Q$418,$D1744)+INDEX(Q$394:Q$405,$D1744)+Q1699*(1+$E1744))</f>
        <v/>
      </c>
      <c r="R1744" s="44">
        <f>R1726*Settings!$C$13*(INDEX(R$407:R$418,$D1744)+INDEX(R$394:R$405,$D1744)+R1699*(1+$E1744))</f>
        <v/>
      </c>
      <c r="S1744" s="44">
        <f>S1726*Settings!$C$13*(INDEX(S$407:S$418,$D1744)+INDEX(S$394:S$405,$D1744)+S1699*(1+$E1744))</f>
        <v/>
      </c>
      <c r="T1744" s="44">
        <f>T1726*Settings!$C$13*(INDEX(T$407:T$418,$D1744)+INDEX(T$394:T$405,$D1744)+T1699*(1+$E1744))</f>
        <v/>
      </c>
      <c r="U1744" s="44">
        <f>U1726*Settings!$C$13*(INDEX(U$407:U$418,$D1744)+INDEX(U$394:U$405,$D1744)+U1699*(1+$E1744))</f>
        <v/>
      </c>
      <c r="V1744" s="44">
        <f>V1726*Settings!$C$13*(INDEX(V$407:V$418,$D1744)+INDEX(V$394:V$405,$D1744)+V1699*(1+$E1744))</f>
        <v/>
      </c>
      <c r="W1744" s="44">
        <f>W1726*Settings!$C$13*(INDEX(W$407:W$418,$D1744)+INDEX(W$394:W$405,$D1744)+W1699*(1+$E1744))</f>
        <v/>
      </c>
      <c r="X1744" s="44">
        <f>X1726*Settings!$C$13*(INDEX(X$407:X$418,$D1744)+INDEX(X$394:X$405,$D1744)+X1699*(1+$E1744))</f>
        <v/>
      </c>
      <c r="Y1744" s="44">
        <f>Y1726*Settings!$C$13*(INDEX(Y$407:Y$418,$D1744)+INDEX(Y$394:Y$405,$D1744)+Y1699*(1+$E1744))</f>
        <v/>
      </c>
      <c r="Z1744" s="44">
        <f>Z1726*Settings!$C$13*(INDEX(Z$407:Z$418,$D1744)+INDEX(Z$394:Z$405,$D1744)+Z1699*(1+$E1744))</f>
        <v/>
      </c>
      <c r="AA1744" s="44">
        <f>AA1726*Settings!$C$13*(INDEX(AA$407:AA$418,$D1744)+INDEX(AA$394:AA$405,$D1744)+AA1699*(1+$E1744))</f>
        <v/>
      </c>
      <c r="AB1744" s="44">
        <f>AB1726*Settings!$C$13*(INDEX(AB$407:AB$418,$D1744)+INDEX(AB$394:AB$405,$D1744)+AB1699*(1+$E1744))</f>
        <v/>
      </c>
      <c r="AC1744" s="44">
        <f>AC1726*Settings!$C$13*(INDEX(AC$407:AC$418,$D1744)+INDEX(AC$394:AC$405,$D1744)+AC1699*(1+$E1744))</f>
        <v/>
      </c>
      <c r="AD1744" s="44">
        <f>AD1726*Settings!$C$13*(INDEX(AD$407:AD$418,$D1744)+INDEX(AD$394:AD$405,$D1744)+AD1699*(1+$E1744))</f>
        <v/>
      </c>
      <c r="AE1744" s="57">
        <f>REVENUE(AE1726,Settings!$C$13,INDEX(AE$407:AE$418,$D1744)+INDEX(AE$394:AE$405,$D1744)+AE1699*(1+$E1744))</f>
        <v/>
      </c>
      <c r="AG1744" s="11">
        <f>CodePrefix&amp;$A1744&amp;IF($C1744="","","."&amp;$C1744&amp;"."&amp;$B1744)&amp;INDEX(VarEnd,MATCH($A1744,VarKey,0))&amp;AG$5</f>
        <v/>
      </c>
      <c r="AH1744" s="43">
        <f>AH1726*Settings!$C$13*(INDEX(AH$407:AH$418,$D1744)+INDEX(AH$394:AH$405,$D1744)+AH1699*(1+$E1744))</f>
        <v/>
      </c>
      <c r="AI1744" s="44">
        <f>AI1726*Settings!$C$13*(INDEX(AI$407:AI$418,$D1744)+INDEX(AI$394:AI$405,$D1744)+AI1699*(1+$E1744))</f>
        <v/>
      </c>
      <c r="AJ1744" s="44">
        <f>AJ1726*Settings!$C$13*(INDEX(AJ$407:AJ$418,$D1744)+INDEX(AJ$394:AJ$405,$D1744)+AJ1699*(1+$E1744))</f>
        <v/>
      </c>
      <c r="AK1744" s="44">
        <f>AK1726*Settings!$C$13*(INDEX(AK$407:AK$418,$D1744)+INDEX(AK$394:AK$405,$D1744)+AK1699*(1+$E1744))</f>
        <v/>
      </c>
      <c r="AL1744" s="44">
        <f>AL1726*Settings!$C$13*(INDEX(AL$407:AL$418,$D1744)+INDEX(AL$394:AL$405,$D1744)+AL1699*(1+$E1744))</f>
        <v/>
      </c>
      <c r="AM1744" s="44">
        <f>AM1726*Settings!$C$13*(INDEX(AM$407:AM$418,$D1744)+INDEX(AM$394:AM$405,$D1744)+AM1699*(1+$E1744))</f>
        <v/>
      </c>
      <c r="AN1744" s="44">
        <f>AN1726*Settings!$C$13*(INDEX(AN$407:AN$418,$D1744)+INDEX(AN$394:AN$405,$D1744)+AN1699*(1+$E1744))</f>
        <v/>
      </c>
      <c r="AO1744" s="44">
        <f>AO1726*Settings!$C$13*(INDEX(AO$407:AO$418,$D1744)+INDEX(AO$394:AO$405,$D1744)+AO1699*(1+$E1744))</f>
        <v/>
      </c>
      <c r="AP1744" s="44">
        <f>AP1726*Settings!$C$13*(INDEX(AP$407:AP$418,$D1744)+INDEX(AP$394:AP$405,$D1744)+AP1699*(1+$E1744))</f>
        <v/>
      </c>
      <c r="AQ1744" s="44">
        <f>AQ1726*Settings!$C$13*(INDEX(AQ$407:AQ$418,$D1744)+INDEX(AQ$394:AQ$405,$D1744)+AQ1699*(1+$E1744))</f>
        <v/>
      </c>
      <c r="AR1744" s="44">
        <f>AR1726*Settings!$C$13*(INDEX(AR$407:AR$418,$D1744)+INDEX(AR$394:AR$405,$D1744)+AR1699*(1+$E1744))</f>
        <v/>
      </c>
      <c r="AS1744" s="44">
        <f>AS1726*Settings!$C$13*(INDEX(AS$407:AS$418,$D1744)+INDEX(AS$394:AS$405,$D1744)+AS1699*(1+$E1744))</f>
        <v/>
      </c>
      <c r="AT1744" s="44">
        <f>AT1726*Settings!$C$13*(INDEX(AT$407:AT$418,$D1744)+INDEX(AT$394:AT$405,$D1744)+AT1699*(1+$E1744))</f>
        <v/>
      </c>
      <c r="AU1744" s="44">
        <f>AU1726*Settings!$C$13*(INDEX(AU$407:AU$418,$D1744)+INDEX(AU$394:AU$405,$D1744)+AU1699*(1+$E1744))</f>
        <v/>
      </c>
      <c r="AV1744" s="44">
        <f>AV1726*Settings!$C$13*(INDEX(AV$407:AV$418,$D1744)+INDEX(AV$394:AV$405,$D1744)+AV1699*(1+$E1744))</f>
        <v/>
      </c>
      <c r="AW1744" s="44">
        <f>AW1726*Settings!$C$13*(INDEX(AW$407:AW$418,$D1744)+INDEX(AW$394:AW$405,$D1744)+AW1699*(1+$E1744))</f>
        <v/>
      </c>
      <c r="AX1744" s="44">
        <f>AX1726*Settings!$C$13*(INDEX(AX$407:AX$418,$D1744)+INDEX(AX$394:AX$405,$D1744)+AX1699*(1+$E1744))</f>
        <v/>
      </c>
      <c r="AY1744" s="44">
        <f>AY1726*Settings!$C$13*(INDEX(AY$407:AY$418,$D1744)+INDEX(AY$394:AY$405,$D1744)+AY1699*(1+$E1744))</f>
        <v/>
      </c>
      <c r="AZ1744" s="44">
        <f>AZ1726*Settings!$C$13*(INDEX(AZ$407:AZ$418,$D1744)+INDEX(AZ$394:AZ$405,$D1744)+AZ1699*(1+$E1744))</f>
        <v/>
      </c>
      <c r="BA1744" s="57">
        <f>REVENUE(BA1726,Settings!$C$13,INDEX(BA$407:BA$418,$D1744)+INDEX(BA$394:BA$405,$D1744)+BA1699*(1+$E1744))</f>
        <v/>
      </c>
    </row>
    <row r="1745" hidden="1" outlineLevel="2">
      <c r="A1745" s="14" t="inlineStr">
        <is>
          <t>rtx</t>
        </is>
      </c>
      <c r="B1745" s="14" t="inlineStr">
        <is>
          <t>ker</t>
        </is>
      </c>
      <c r="C1745" s="14" t="inlineStr">
        <is>
          <t>foo</t>
        </is>
      </c>
      <c r="D1745" s="35">
        <f>INDEX(Inputs!$U$5:$U$132,MATCH($B1745&amp;"|"&amp;$C1745,Inputs!$A$5:$A$132,0))</f>
        <v/>
      </c>
      <c r="E1745" s="35">
        <f>INDEX(Inputs!$V$5:$V$132,MATCH($B1745&amp;"|"&amp;$C1745,Inputs!$A$5:$A$132,0))</f>
        <v/>
      </c>
      <c r="F1745" s="39" t="n"/>
      <c r="G1745" s="39" t="n"/>
      <c r="H1745" s="14">
        <f>INDEX(VarLab,MATCH($A1745,VarKey,0))&amp;INDEX(MemLab,MATCH($C1745&amp;"|"&amp;$B1745,MemKey,0))</f>
        <v/>
      </c>
      <c r="I1745" s="14">
        <f>INDEX(VarUnit,MATCH($A1745,VarKey,0))</f>
        <v/>
      </c>
      <c r="J1745" s="14">
        <f>INDEX(VarSrc,MATCH($A1745,VarKey,0))</f>
        <v/>
      </c>
      <c r="K1745" s="11">
        <f>CodePrefix&amp;$A1745&amp;IF($C1745="","","."&amp;$C1745&amp;"."&amp;$B1745)&amp;INDEX(VarEnd,MATCH($A1745,VarKey,0))&amp;K$5</f>
        <v/>
      </c>
      <c r="L1745" s="43">
        <f>L1727*Settings!$C$13*(INDEX(L$407:L$418,$D1745)+INDEX(L$394:L$405,$D1745)+L1700*(1+$E1745))</f>
        <v/>
      </c>
      <c r="M1745" s="44">
        <f>M1727*Settings!$C$13*(INDEX(M$407:M$418,$D1745)+INDEX(M$394:M$405,$D1745)+M1700*(1+$E1745))</f>
        <v/>
      </c>
      <c r="N1745" s="44">
        <f>N1727*Settings!$C$13*(INDEX(N$407:N$418,$D1745)+INDEX(N$394:N$405,$D1745)+N1700*(1+$E1745))</f>
        <v/>
      </c>
      <c r="O1745" s="44">
        <f>O1727*Settings!$C$13*(INDEX(O$407:O$418,$D1745)+INDEX(O$394:O$405,$D1745)+O1700*(1+$E1745))</f>
        <v/>
      </c>
      <c r="P1745" s="44">
        <f>P1727*Settings!$C$13*(INDEX(P$407:P$418,$D1745)+INDEX(P$394:P$405,$D1745)+P1700*(1+$E1745))</f>
        <v/>
      </c>
      <c r="Q1745" s="44">
        <f>Q1727*Settings!$C$13*(INDEX(Q$407:Q$418,$D1745)+INDEX(Q$394:Q$405,$D1745)+Q1700*(1+$E1745))</f>
        <v/>
      </c>
      <c r="R1745" s="44">
        <f>R1727*Settings!$C$13*(INDEX(R$407:R$418,$D1745)+INDEX(R$394:R$405,$D1745)+R1700*(1+$E1745))</f>
        <v/>
      </c>
      <c r="S1745" s="44">
        <f>S1727*Settings!$C$13*(INDEX(S$407:S$418,$D1745)+INDEX(S$394:S$405,$D1745)+S1700*(1+$E1745))</f>
        <v/>
      </c>
      <c r="T1745" s="44">
        <f>T1727*Settings!$C$13*(INDEX(T$407:T$418,$D1745)+INDEX(T$394:T$405,$D1745)+T1700*(1+$E1745))</f>
        <v/>
      </c>
      <c r="U1745" s="44">
        <f>U1727*Settings!$C$13*(INDEX(U$407:U$418,$D1745)+INDEX(U$394:U$405,$D1745)+U1700*(1+$E1745))</f>
        <v/>
      </c>
      <c r="V1745" s="44">
        <f>V1727*Settings!$C$13*(INDEX(V$407:V$418,$D1745)+INDEX(V$394:V$405,$D1745)+V1700*(1+$E1745))</f>
        <v/>
      </c>
      <c r="W1745" s="44">
        <f>W1727*Settings!$C$13*(INDEX(W$407:W$418,$D1745)+INDEX(W$394:W$405,$D1745)+W1700*(1+$E1745))</f>
        <v/>
      </c>
      <c r="X1745" s="44">
        <f>X1727*Settings!$C$13*(INDEX(X$407:X$418,$D1745)+INDEX(X$394:X$405,$D1745)+X1700*(1+$E1745))</f>
        <v/>
      </c>
      <c r="Y1745" s="44">
        <f>Y1727*Settings!$C$13*(INDEX(Y$407:Y$418,$D1745)+INDEX(Y$394:Y$405,$D1745)+Y1700*(1+$E1745))</f>
        <v/>
      </c>
      <c r="Z1745" s="44">
        <f>Z1727*Settings!$C$13*(INDEX(Z$407:Z$418,$D1745)+INDEX(Z$394:Z$405,$D1745)+Z1700*(1+$E1745))</f>
        <v/>
      </c>
      <c r="AA1745" s="44">
        <f>AA1727*Settings!$C$13*(INDEX(AA$407:AA$418,$D1745)+INDEX(AA$394:AA$405,$D1745)+AA1700*(1+$E1745))</f>
        <v/>
      </c>
      <c r="AB1745" s="44">
        <f>AB1727*Settings!$C$13*(INDEX(AB$407:AB$418,$D1745)+INDEX(AB$394:AB$405,$D1745)+AB1700*(1+$E1745))</f>
        <v/>
      </c>
      <c r="AC1745" s="44">
        <f>AC1727*Settings!$C$13*(INDEX(AC$407:AC$418,$D1745)+INDEX(AC$394:AC$405,$D1745)+AC1700*(1+$E1745))</f>
        <v/>
      </c>
      <c r="AD1745" s="44">
        <f>AD1727*Settings!$C$13*(INDEX(AD$407:AD$418,$D1745)+INDEX(AD$394:AD$405,$D1745)+AD1700*(1+$E1745))</f>
        <v/>
      </c>
      <c r="AE1745" s="57">
        <f>REVENUE(AE1727,Settings!$C$13,INDEX(AE$407:AE$418,$D1745)+INDEX(AE$394:AE$405,$D1745)+AE1700*(1+$E1745))</f>
        <v/>
      </c>
      <c r="AG1745" s="11">
        <f>CodePrefix&amp;$A1745&amp;IF($C1745="","","."&amp;$C1745&amp;"."&amp;$B1745)&amp;INDEX(VarEnd,MATCH($A1745,VarKey,0))&amp;AG$5</f>
        <v/>
      </c>
      <c r="AH1745" s="43">
        <f>AH1727*Settings!$C$13*(INDEX(AH$407:AH$418,$D1745)+INDEX(AH$394:AH$405,$D1745)+AH1700*(1+$E1745))</f>
        <v/>
      </c>
      <c r="AI1745" s="44">
        <f>AI1727*Settings!$C$13*(INDEX(AI$407:AI$418,$D1745)+INDEX(AI$394:AI$405,$D1745)+AI1700*(1+$E1745))</f>
        <v/>
      </c>
      <c r="AJ1745" s="44">
        <f>AJ1727*Settings!$C$13*(INDEX(AJ$407:AJ$418,$D1745)+INDEX(AJ$394:AJ$405,$D1745)+AJ1700*(1+$E1745))</f>
        <v/>
      </c>
      <c r="AK1745" s="44">
        <f>AK1727*Settings!$C$13*(INDEX(AK$407:AK$418,$D1745)+INDEX(AK$394:AK$405,$D1745)+AK1700*(1+$E1745))</f>
        <v/>
      </c>
      <c r="AL1745" s="44">
        <f>AL1727*Settings!$C$13*(INDEX(AL$407:AL$418,$D1745)+INDEX(AL$394:AL$405,$D1745)+AL1700*(1+$E1745))</f>
        <v/>
      </c>
      <c r="AM1745" s="44">
        <f>AM1727*Settings!$C$13*(INDEX(AM$407:AM$418,$D1745)+INDEX(AM$394:AM$405,$D1745)+AM1700*(1+$E1745))</f>
        <v/>
      </c>
      <c r="AN1745" s="44">
        <f>AN1727*Settings!$C$13*(INDEX(AN$407:AN$418,$D1745)+INDEX(AN$394:AN$405,$D1745)+AN1700*(1+$E1745))</f>
        <v/>
      </c>
      <c r="AO1745" s="44">
        <f>AO1727*Settings!$C$13*(INDEX(AO$407:AO$418,$D1745)+INDEX(AO$394:AO$405,$D1745)+AO1700*(1+$E1745))</f>
        <v/>
      </c>
      <c r="AP1745" s="44">
        <f>AP1727*Settings!$C$13*(INDEX(AP$407:AP$418,$D1745)+INDEX(AP$394:AP$405,$D1745)+AP1700*(1+$E1745))</f>
        <v/>
      </c>
      <c r="AQ1745" s="44">
        <f>AQ1727*Settings!$C$13*(INDEX(AQ$407:AQ$418,$D1745)+INDEX(AQ$394:AQ$405,$D1745)+AQ1700*(1+$E1745))</f>
        <v/>
      </c>
      <c r="AR1745" s="44">
        <f>AR1727*Settings!$C$13*(INDEX(AR$407:AR$418,$D1745)+INDEX(AR$394:AR$405,$D1745)+AR1700*(1+$E1745))</f>
        <v/>
      </c>
      <c r="AS1745" s="44">
        <f>AS1727*Settings!$C$13*(INDEX(AS$407:AS$418,$D1745)+INDEX(AS$394:AS$405,$D1745)+AS1700*(1+$E1745))</f>
        <v/>
      </c>
      <c r="AT1745" s="44">
        <f>AT1727*Settings!$C$13*(INDEX(AT$407:AT$418,$D1745)+INDEX(AT$394:AT$405,$D1745)+AT1700*(1+$E1745))</f>
        <v/>
      </c>
      <c r="AU1745" s="44">
        <f>AU1727*Settings!$C$13*(INDEX(AU$407:AU$418,$D1745)+INDEX(AU$394:AU$405,$D1745)+AU1700*(1+$E1745))</f>
        <v/>
      </c>
      <c r="AV1745" s="44">
        <f>AV1727*Settings!$C$13*(INDEX(AV$407:AV$418,$D1745)+INDEX(AV$394:AV$405,$D1745)+AV1700*(1+$E1745))</f>
        <v/>
      </c>
      <c r="AW1745" s="44">
        <f>AW1727*Settings!$C$13*(INDEX(AW$407:AW$418,$D1745)+INDEX(AW$394:AW$405,$D1745)+AW1700*(1+$E1745))</f>
        <v/>
      </c>
      <c r="AX1745" s="44">
        <f>AX1727*Settings!$C$13*(INDEX(AX$407:AX$418,$D1745)+INDEX(AX$394:AX$405,$D1745)+AX1700*(1+$E1745))</f>
        <v/>
      </c>
      <c r="AY1745" s="44">
        <f>AY1727*Settings!$C$13*(INDEX(AY$407:AY$418,$D1745)+INDEX(AY$394:AY$405,$D1745)+AY1700*(1+$E1745))</f>
        <v/>
      </c>
      <c r="AZ1745" s="44">
        <f>AZ1727*Settings!$C$13*(INDEX(AZ$407:AZ$418,$D1745)+INDEX(AZ$394:AZ$405,$D1745)+AZ1700*(1+$E1745))</f>
        <v/>
      </c>
      <c r="BA1745" s="57">
        <f>REVENUE(BA1727,Settings!$C$13,INDEX(BA$407:BA$418,$D1745)+INDEX(BA$394:BA$405,$D1745)+BA1700*(1+$E1745))</f>
        <v/>
      </c>
    </row>
    <row r="1746" hidden="1" outlineLevel="2">
      <c r="A1746" s="14" t="inlineStr">
        <is>
          <t>rtx</t>
        </is>
      </c>
      <c r="B1746" s="14" t="inlineStr">
        <is>
          <t>oop</t>
        </is>
      </c>
      <c r="C1746" s="14" t="inlineStr">
        <is>
          <t>foo</t>
        </is>
      </c>
      <c r="D1746" s="35">
        <f>INDEX(Inputs!$U$5:$U$132,MATCH($B1746&amp;"|"&amp;$C1746,Inputs!$A$5:$A$132,0))</f>
        <v/>
      </c>
      <c r="E1746" s="35">
        <f>INDEX(Inputs!$V$5:$V$132,MATCH($B1746&amp;"|"&amp;$C1746,Inputs!$A$5:$A$132,0))</f>
        <v/>
      </c>
      <c r="F1746" s="39" t="n"/>
      <c r="G1746" s="39" t="n"/>
      <c r="H1746" s="14">
        <f>INDEX(VarLab,MATCH($A1746,VarKey,0))&amp;INDEX(MemLab,MATCH($C1746&amp;"|"&amp;$B1746,MemKey,0))</f>
        <v/>
      </c>
      <c r="I1746" s="14">
        <f>INDEX(VarUnit,MATCH($A1746,VarKey,0))</f>
        <v/>
      </c>
      <c r="J1746" s="14">
        <f>INDEX(VarSrc,MATCH($A1746,VarKey,0))</f>
        <v/>
      </c>
      <c r="K1746" s="11">
        <f>CodePrefix&amp;$A1746&amp;IF($C1746="","","."&amp;$C1746&amp;"."&amp;$B1746)&amp;INDEX(VarEnd,MATCH($A1746,VarKey,0))&amp;K$5</f>
        <v/>
      </c>
      <c r="L1746" s="43">
        <f>L1728*Settings!$C$13*(INDEX(L$407:L$418,$D1746)+INDEX(L$394:L$405,$D1746)+L1701*(1+$E1746))</f>
        <v/>
      </c>
      <c r="M1746" s="44">
        <f>M1728*Settings!$C$13*(INDEX(M$407:M$418,$D1746)+INDEX(M$394:M$405,$D1746)+M1701*(1+$E1746))</f>
        <v/>
      </c>
      <c r="N1746" s="44">
        <f>N1728*Settings!$C$13*(INDEX(N$407:N$418,$D1746)+INDEX(N$394:N$405,$D1746)+N1701*(1+$E1746))</f>
        <v/>
      </c>
      <c r="O1746" s="44">
        <f>O1728*Settings!$C$13*(INDEX(O$407:O$418,$D1746)+INDEX(O$394:O$405,$D1746)+O1701*(1+$E1746))</f>
        <v/>
      </c>
      <c r="P1746" s="44">
        <f>P1728*Settings!$C$13*(INDEX(P$407:P$418,$D1746)+INDEX(P$394:P$405,$D1746)+P1701*(1+$E1746))</f>
        <v/>
      </c>
      <c r="Q1746" s="44">
        <f>Q1728*Settings!$C$13*(INDEX(Q$407:Q$418,$D1746)+INDEX(Q$394:Q$405,$D1746)+Q1701*(1+$E1746))</f>
        <v/>
      </c>
      <c r="R1746" s="44">
        <f>R1728*Settings!$C$13*(INDEX(R$407:R$418,$D1746)+INDEX(R$394:R$405,$D1746)+R1701*(1+$E1746))</f>
        <v/>
      </c>
      <c r="S1746" s="44">
        <f>S1728*Settings!$C$13*(INDEX(S$407:S$418,$D1746)+INDEX(S$394:S$405,$D1746)+S1701*(1+$E1746))</f>
        <v/>
      </c>
      <c r="T1746" s="44">
        <f>T1728*Settings!$C$13*(INDEX(T$407:T$418,$D1746)+INDEX(T$394:T$405,$D1746)+T1701*(1+$E1746))</f>
        <v/>
      </c>
      <c r="U1746" s="44">
        <f>U1728*Settings!$C$13*(INDEX(U$407:U$418,$D1746)+INDEX(U$394:U$405,$D1746)+U1701*(1+$E1746))</f>
        <v/>
      </c>
      <c r="V1746" s="44">
        <f>V1728*Settings!$C$13*(INDEX(V$407:V$418,$D1746)+INDEX(V$394:V$405,$D1746)+V1701*(1+$E1746))</f>
        <v/>
      </c>
      <c r="W1746" s="44">
        <f>W1728*Settings!$C$13*(INDEX(W$407:W$418,$D1746)+INDEX(W$394:W$405,$D1746)+W1701*(1+$E1746))</f>
        <v/>
      </c>
      <c r="X1746" s="44">
        <f>X1728*Settings!$C$13*(INDEX(X$407:X$418,$D1746)+INDEX(X$394:X$405,$D1746)+X1701*(1+$E1746))</f>
        <v/>
      </c>
      <c r="Y1746" s="44">
        <f>Y1728*Settings!$C$13*(INDEX(Y$407:Y$418,$D1746)+INDEX(Y$394:Y$405,$D1746)+Y1701*(1+$E1746))</f>
        <v/>
      </c>
      <c r="Z1746" s="44">
        <f>Z1728*Settings!$C$13*(INDEX(Z$407:Z$418,$D1746)+INDEX(Z$394:Z$405,$D1746)+Z1701*(1+$E1746))</f>
        <v/>
      </c>
      <c r="AA1746" s="44">
        <f>AA1728*Settings!$C$13*(INDEX(AA$407:AA$418,$D1746)+INDEX(AA$394:AA$405,$D1746)+AA1701*(1+$E1746))</f>
        <v/>
      </c>
      <c r="AB1746" s="44">
        <f>AB1728*Settings!$C$13*(INDEX(AB$407:AB$418,$D1746)+INDEX(AB$394:AB$405,$D1746)+AB1701*(1+$E1746))</f>
        <v/>
      </c>
      <c r="AC1746" s="44">
        <f>AC1728*Settings!$C$13*(INDEX(AC$407:AC$418,$D1746)+INDEX(AC$394:AC$405,$D1746)+AC1701*(1+$E1746))</f>
        <v/>
      </c>
      <c r="AD1746" s="44">
        <f>AD1728*Settings!$C$13*(INDEX(AD$407:AD$418,$D1746)+INDEX(AD$394:AD$405,$D1746)+AD1701*(1+$E1746))</f>
        <v/>
      </c>
      <c r="AE1746" s="57">
        <f>REVENUE(AE1728,Settings!$C$13,INDEX(AE$407:AE$418,$D1746)+INDEX(AE$394:AE$405,$D1746)+AE1701*(1+$E1746))</f>
        <v/>
      </c>
      <c r="AG1746" s="11">
        <f>CodePrefix&amp;$A1746&amp;IF($C1746="","","."&amp;$C1746&amp;"."&amp;$B1746)&amp;INDEX(VarEnd,MATCH($A1746,VarKey,0))&amp;AG$5</f>
        <v/>
      </c>
      <c r="AH1746" s="43">
        <f>AH1728*Settings!$C$13*(INDEX(AH$407:AH$418,$D1746)+INDEX(AH$394:AH$405,$D1746)+AH1701*(1+$E1746))</f>
        <v/>
      </c>
      <c r="AI1746" s="44">
        <f>AI1728*Settings!$C$13*(INDEX(AI$407:AI$418,$D1746)+INDEX(AI$394:AI$405,$D1746)+AI1701*(1+$E1746))</f>
        <v/>
      </c>
      <c r="AJ1746" s="44">
        <f>AJ1728*Settings!$C$13*(INDEX(AJ$407:AJ$418,$D1746)+INDEX(AJ$394:AJ$405,$D1746)+AJ1701*(1+$E1746))</f>
        <v/>
      </c>
      <c r="AK1746" s="44">
        <f>AK1728*Settings!$C$13*(INDEX(AK$407:AK$418,$D1746)+INDEX(AK$394:AK$405,$D1746)+AK1701*(1+$E1746))</f>
        <v/>
      </c>
      <c r="AL1746" s="44">
        <f>AL1728*Settings!$C$13*(INDEX(AL$407:AL$418,$D1746)+INDEX(AL$394:AL$405,$D1746)+AL1701*(1+$E1746))</f>
        <v/>
      </c>
      <c r="AM1746" s="44">
        <f>AM1728*Settings!$C$13*(INDEX(AM$407:AM$418,$D1746)+INDEX(AM$394:AM$405,$D1746)+AM1701*(1+$E1746))</f>
        <v/>
      </c>
      <c r="AN1746" s="44">
        <f>AN1728*Settings!$C$13*(INDEX(AN$407:AN$418,$D1746)+INDEX(AN$394:AN$405,$D1746)+AN1701*(1+$E1746))</f>
        <v/>
      </c>
      <c r="AO1746" s="44">
        <f>AO1728*Settings!$C$13*(INDEX(AO$407:AO$418,$D1746)+INDEX(AO$394:AO$405,$D1746)+AO1701*(1+$E1746))</f>
        <v/>
      </c>
      <c r="AP1746" s="44">
        <f>AP1728*Settings!$C$13*(INDEX(AP$407:AP$418,$D1746)+INDEX(AP$394:AP$405,$D1746)+AP1701*(1+$E1746))</f>
        <v/>
      </c>
      <c r="AQ1746" s="44">
        <f>AQ1728*Settings!$C$13*(INDEX(AQ$407:AQ$418,$D1746)+INDEX(AQ$394:AQ$405,$D1746)+AQ1701*(1+$E1746))</f>
        <v/>
      </c>
      <c r="AR1746" s="44">
        <f>AR1728*Settings!$C$13*(INDEX(AR$407:AR$418,$D1746)+INDEX(AR$394:AR$405,$D1746)+AR1701*(1+$E1746))</f>
        <v/>
      </c>
      <c r="AS1746" s="44">
        <f>AS1728*Settings!$C$13*(INDEX(AS$407:AS$418,$D1746)+INDEX(AS$394:AS$405,$D1746)+AS1701*(1+$E1746))</f>
        <v/>
      </c>
      <c r="AT1746" s="44">
        <f>AT1728*Settings!$C$13*(INDEX(AT$407:AT$418,$D1746)+INDEX(AT$394:AT$405,$D1746)+AT1701*(1+$E1746))</f>
        <v/>
      </c>
      <c r="AU1746" s="44">
        <f>AU1728*Settings!$C$13*(INDEX(AU$407:AU$418,$D1746)+INDEX(AU$394:AU$405,$D1746)+AU1701*(1+$E1746))</f>
        <v/>
      </c>
      <c r="AV1746" s="44">
        <f>AV1728*Settings!$C$13*(INDEX(AV$407:AV$418,$D1746)+INDEX(AV$394:AV$405,$D1746)+AV1701*(1+$E1746))</f>
        <v/>
      </c>
      <c r="AW1746" s="44">
        <f>AW1728*Settings!$C$13*(INDEX(AW$407:AW$418,$D1746)+INDEX(AW$394:AW$405,$D1746)+AW1701*(1+$E1746))</f>
        <v/>
      </c>
      <c r="AX1746" s="44">
        <f>AX1728*Settings!$C$13*(INDEX(AX$407:AX$418,$D1746)+INDEX(AX$394:AX$405,$D1746)+AX1701*(1+$E1746))</f>
        <v/>
      </c>
      <c r="AY1746" s="44">
        <f>AY1728*Settings!$C$13*(INDEX(AY$407:AY$418,$D1746)+INDEX(AY$394:AY$405,$D1746)+AY1701*(1+$E1746))</f>
        <v/>
      </c>
      <c r="AZ1746" s="44">
        <f>AZ1728*Settings!$C$13*(INDEX(AZ$407:AZ$418,$D1746)+INDEX(AZ$394:AZ$405,$D1746)+AZ1701*(1+$E1746))</f>
        <v/>
      </c>
      <c r="BA1746" s="57">
        <f>REVENUE(BA1728,Settings!$C$13,INDEX(BA$407:BA$418,$D1746)+INDEX(BA$394:BA$405,$D1746)+BA1701*(1+$E1746))</f>
        <v/>
      </c>
    </row>
    <row r="1747" hidden="1" outlineLevel="2">
      <c r="A1747" s="14" t="inlineStr">
        <is>
          <t>rtx</t>
        </is>
      </c>
      <c r="B1747" s="14" t="inlineStr">
        <is>
          <t>bio</t>
        </is>
      </c>
      <c r="C1747" s="14" t="inlineStr">
        <is>
          <t>foo</t>
        </is>
      </c>
      <c r="D1747" s="35">
        <f>INDEX(Inputs!$U$5:$U$132,MATCH($B1747&amp;"|"&amp;$C1747,Inputs!$A$5:$A$132,0))</f>
        <v/>
      </c>
      <c r="E1747" s="35">
        <f>INDEX(Inputs!$V$5:$V$132,MATCH($B1747&amp;"|"&amp;$C1747,Inputs!$A$5:$A$132,0))</f>
        <v/>
      </c>
      <c r="F1747" s="39" t="n"/>
      <c r="G1747" s="39" t="n"/>
      <c r="H1747" s="14">
        <f>INDEX(VarLab,MATCH($A1747,VarKey,0))&amp;INDEX(MemLab,MATCH($C1747&amp;"|"&amp;$B1747,MemKey,0))</f>
        <v/>
      </c>
      <c r="I1747" s="14">
        <f>INDEX(VarUnit,MATCH($A1747,VarKey,0))</f>
        <v/>
      </c>
      <c r="J1747" s="14">
        <f>INDEX(VarSrc,MATCH($A1747,VarKey,0))</f>
        <v/>
      </c>
      <c r="K1747" s="11">
        <f>CodePrefix&amp;$A1747&amp;IF($C1747="","","."&amp;$C1747&amp;"."&amp;$B1747)&amp;INDEX(VarEnd,MATCH($A1747,VarKey,0))&amp;K$5</f>
        <v/>
      </c>
      <c r="L1747" s="43">
        <f>L1729*Settings!$C$13*(INDEX(L$407:L$418,$D1747)+INDEX(L$394:L$405,$D1747)+L1702*(1+$E1747))</f>
        <v/>
      </c>
      <c r="M1747" s="44">
        <f>M1729*Settings!$C$13*(INDEX(M$407:M$418,$D1747)+INDEX(M$394:M$405,$D1747)+M1702*(1+$E1747))</f>
        <v/>
      </c>
      <c r="N1747" s="44">
        <f>N1729*Settings!$C$13*(INDEX(N$407:N$418,$D1747)+INDEX(N$394:N$405,$D1747)+N1702*(1+$E1747))</f>
        <v/>
      </c>
      <c r="O1747" s="44">
        <f>O1729*Settings!$C$13*(INDEX(O$407:O$418,$D1747)+INDEX(O$394:O$405,$D1747)+O1702*(1+$E1747))</f>
        <v/>
      </c>
      <c r="P1747" s="44">
        <f>P1729*Settings!$C$13*(INDEX(P$407:P$418,$D1747)+INDEX(P$394:P$405,$D1747)+P1702*(1+$E1747))</f>
        <v/>
      </c>
      <c r="Q1747" s="44">
        <f>Q1729*Settings!$C$13*(INDEX(Q$407:Q$418,$D1747)+INDEX(Q$394:Q$405,$D1747)+Q1702*(1+$E1747))</f>
        <v/>
      </c>
      <c r="R1747" s="44">
        <f>R1729*Settings!$C$13*(INDEX(R$407:R$418,$D1747)+INDEX(R$394:R$405,$D1747)+R1702*(1+$E1747))</f>
        <v/>
      </c>
      <c r="S1747" s="44">
        <f>S1729*Settings!$C$13*(INDEX(S$407:S$418,$D1747)+INDEX(S$394:S$405,$D1747)+S1702*(1+$E1747))</f>
        <v/>
      </c>
      <c r="T1747" s="44">
        <f>T1729*Settings!$C$13*(INDEX(T$407:T$418,$D1747)+INDEX(T$394:T$405,$D1747)+T1702*(1+$E1747))</f>
        <v/>
      </c>
      <c r="U1747" s="44">
        <f>U1729*Settings!$C$13*(INDEX(U$407:U$418,$D1747)+INDEX(U$394:U$405,$D1747)+U1702*(1+$E1747))</f>
        <v/>
      </c>
      <c r="V1747" s="44">
        <f>V1729*Settings!$C$13*(INDEX(V$407:V$418,$D1747)+INDEX(V$394:V$405,$D1747)+V1702*(1+$E1747))</f>
        <v/>
      </c>
      <c r="W1747" s="44">
        <f>W1729*Settings!$C$13*(INDEX(W$407:W$418,$D1747)+INDEX(W$394:W$405,$D1747)+W1702*(1+$E1747))</f>
        <v/>
      </c>
      <c r="X1747" s="44">
        <f>X1729*Settings!$C$13*(INDEX(X$407:X$418,$D1747)+INDEX(X$394:X$405,$D1747)+X1702*(1+$E1747))</f>
        <v/>
      </c>
      <c r="Y1747" s="44">
        <f>Y1729*Settings!$C$13*(INDEX(Y$407:Y$418,$D1747)+INDEX(Y$394:Y$405,$D1747)+Y1702*(1+$E1747))</f>
        <v/>
      </c>
      <c r="Z1747" s="44">
        <f>Z1729*Settings!$C$13*(INDEX(Z$407:Z$418,$D1747)+INDEX(Z$394:Z$405,$D1747)+Z1702*(1+$E1747))</f>
        <v/>
      </c>
      <c r="AA1747" s="44">
        <f>AA1729*Settings!$C$13*(INDEX(AA$407:AA$418,$D1747)+INDEX(AA$394:AA$405,$D1747)+AA1702*(1+$E1747))</f>
        <v/>
      </c>
      <c r="AB1747" s="44">
        <f>AB1729*Settings!$C$13*(INDEX(AB$407:AB$418,$D1747)+INDEX(AB$394:AB$405,$D1747)+AB1702*(1+$E1747))</f>
        <v/>
      </c>
      <c r="AC1747" s="44">
        <f>AC1729*Settings!$C$13*(INDEX(AC$407:AC$418,$D1747)+INDEX(AC$394:AC$405,$D1747)+AC1702*(1+$E1747))</f>
        <v/>
      </c>
      <c r="AD1747" s="44">
        <f>AD1729*Settings!$C$13*(INDEX(AD$407:AD$418,$D1747)+INDEX(AD$394:AD$405,$D1747)+AD1702*(1+$E1747))</f>
        <v/>
      </c>
      <c r="AE1747" s="57">
        <f>REVENUE(AE1729,Settings!$C$13,INDEX(AE$407:AE$418,$D1747)+INDEX(AE$394:AE$405,$D1747)+AE1702*(1+$E1747))</f>
        <v/>
      </c>
      <c r="AG1747" s="11">
        <f>CodePrefix&amp;$A1747&amp;IF($C1747="","","."&amp;$C1747&amp;"."&amp;$B1747)&amp;INDEX(VarEnd,MATCH($A1747,VarKey,0))&amp;AG$5</f>
        <v/>
      </c>
      <c r="AH1747" s="43">
        <f>AH1729*Settings!$C$13*(INDEX(AH$407:AH$418,$D1747)+INDEX(AH$394:AH$405,$D1747)+AH1702*(1+$E1747))</f>
        <v/>
      </c>
      <c r="AI1747" s="44">
        <f>AI1729*Settings!$C$13*(INDEX(AI$407:AI$418,$D1747)+INDEX(AI$394:AI$405,$D1747)+AI1702*(1+$E1747))</f>
        <v/>
      </c>
      <c r="AJ1747" s="44">
        <f>AJ1729*Settings!$C$13*(INDEX(AJ$407:AJ$418,$D1747)+INDEX(AJ$394:AJ$405,$D1747)+AJ1702*(1+$E1747))</f>
        <v/>
      </c>
      <c r="AK1747" s="44">
        <f>AK1729*Settings!$C$13*(INDEX(AK$407:AK$418,$D1747)+INDEX(AK$394:AK$405,$D1747)+AK1702*(1+$E1747))</f>
        <v/>
      </c>
      <c r="AL1747" s="44">
        <f>AL1729*Settings!$C$13*(INDEX(AL$407:AL$418,$D1747)+INDEX(AL$394:AL$405,$D1747)+AL1702*(1+$E1747))</f>
        <v/>
      </c>
      <c r="AM1747" s="44">
        <f>AM1729*Settings!$C$13*(INDEX(AM$407:AM$418,$D1747)+INDEX(AM$394:AM$405,$D1747)+AM1702*(1+$E1747))</f>
        <v/>
      </c>
      <c r="AN1747" s="44">
        <f>AN1729*Settings!$C$13*(INDEX(AN$407:AN$418,$D1747)+INDEX(AN$394:AN$405,$D1747)+AN1702*(1+$E1747))</f>
        <v/>
      </c>
      <c r="AO1747" s="44">
        <f>AO1729*Settings!$C$13*(INDEX(AO$407:AO$418,$D1747)+INDEX(AO$394:AO$405,$D1747)+AO1702*(1+$E1747))</f>
        <v/>
      </c>
      <c r="AP1747" s="44">
        <f>AP1729*Settings!$C$13*(INDEX(AP$407:AP$418,$D1747)+INDEX(AP$394:AP$405,$D1747)+AP1702*(1+$E1747))</f>
        <v/>
      </c>
      <c r="AQ1747" s="44">
        <f>AQ1729*Settings!$C$13*(INDEX(AQ$407:AQ$418,$D1747)+INDEX(AQ$394:AQ$405,$D1747)+AQ1702*(1+$E1747))</f>
        <v/>
      </c>
      <c r="AR1747" s="44">
        <f>AR1729*Settings!$C$13*(INDEX(AR$407:AR$418,$D1747)+INDEX(AR$394:AR$405,$D1747)+AR1702*(1+$E1747))</f>
        <v/>
      </c>
      <c r="AS1747" s="44">
        <f>AS1729*Settings!$C$13*(INDEX(AS$407:AS$418,$D1747)+INDEX(AS$394:AS$405,$D1747)+AS1702*(1+$E1747))</f>
        <v/>
      </c>
      <c r="AT1747" s="44">
        <f>AT1729*Settings!$C$13*(INDEX(AT$407:AT$418,$D1747)+INDEX(AT$394:AT$405,$D1747)+AT1702*(1+$E1747))</f>
        <v/>
      </c>
      <c r="AU1747" s="44">
        <f>AU1729*Settings!$C$13*(INDEX(AU$407:AU$418,$D1747)+INDEX(AU$394:AU$405,$D1747)+AU1702*(1+$E1747))</f>
        <v/>
      </c>
      <c r="AV1747" s="44">
        <f>AV1729*Settings!$C$13*(INDEX(AV$407:AV$418,$D1747)+INDEX(AV$394:AV$405,$D1747)+AV1702*(1+$E1747))</f>
        <v/>
      </c>
      <c r="AW1747" s="44">
        <f>AW1729*Settings!$C$13*(INDEX(AW$407:AW$418,$D1747)+INDEX(AW$394:AW$405,$D1747)+AW1702*(1+$E1747))</f>
        <v/>
      </c>
      <c r="AX1747" s="44">
        <f>AX1729*Settings!$C$13*(INDEX(AX$407:AX$418,$D1747)+INDEX(AX$394:AX$405,$D1747)+AX1702*(1+$E1747))</f>
        <v/>
      </c>
      <c r="AY1747" s="44">
        <f>AY1729*Settings!$C$13*(INDEX(AY$407:AY$418,$D1747)+INDEX(AY$394:AY$405,$D1747)+AY1702*(1+$E1747))</f>
        <v/>
      </c>
      <c r="AZ1747" s="44">
        <f>AZ1729*Settings!$C$13*(INDEX(AZ$407:AZ$418,$D1747)+INDEX(AZ$394:AZ$405,$D1747)+AZ1702*(1+$E1747))</f>
        <v/>
      </c>
      <c r="BA1747" s="57">
        <f>REVENUE(BA1729,Settings!$C$13,INDEX(BA$407:BA$418,$D1747)+INDEX(BA$394:BA$405,$D1747)+BA1702*(1+$E1747))</f>
        <v/>
      </c>
    </row>
    <row r="1748" hidden="1" outlineLevel="2"/>
    <row r="1749" hidden="1" outlineLevel="2">
      <c r="A1749" s="14" t="inlineStr">
        <is>
          <t>rsub</t>
        </is>
      </c>
      <c r="B1749" s="14" t="inlineStr">
        <is>
          <t>coa</t>
        </is>
      </c>
      <c r="C1749" s="14" t="inlineStr">
        <is>
          <t>foo</t>
        </is>
      </c>
      <c r="D1749" s="35">
        <f>INDEX(Inputs!$U$5:$U$132,MATCH($B1749&amp;"|"&amp;$C1749,Inputs!$A$5:$A$132,0))</f>
        <v/>
      </c>
      <c r="E1749" s="39" t="n"/>
      <c r="F1749" s="39" t="n"/>
      <c r="G1749" s="39" t="n"/>
      <c r="H1749" s="14">
        <f>INDEX(VarLab,MATCH($A1749,VarKey,0))&amp;INDEX(MemLab,MATCH($C1749&amp;"|"&amp;$B1749,MemKey,0))</f>
        <v/>
      </c>
      <c r="I1749" s="14">
        <f>INDEX(VarUnit,MATCH($A1749,VarKey,0))</f>
        <v/>
      </c>
      <c r="J1749" s="14">
        <f>INDEX(VarSrc,MATCH($A1749,VarKey,0))</f>
        <v/>
      </c>
      <c r="K1749" s="11">
        <f>CodePrefix&amp;$A1749&amp;IF($C1749="","","."&amp;$C1749&amp;"."&amp;$B1749)&amp;INDEX(VarEnd,MATCH($A1749,VarKey,0))&amp;K$5</f>
        <v/>
      </c>
      <c r="L1749" s="43">
        <f>L1722*Settings!$C$13*(INDEX(L$420:L$431,$D1749))</f>
        <v/>
      </c>
      <c r="M1749" s="44">
        <f>M1722*Settings!$C$13*(INDEX(M$420:M$431,$D1749))</f>
        <v/>
      </c>
      <c r="N1749" s="44">
        <f>N1722*Settings!$C$13*(INDEX(N$420:N$431,$D1749))</f>
        <v/>
      </c>
      <c r="O1749" s="44">
        <f>O1722*Settings!$C$13*(INDEX(O$420:O$431,$D1749))</f>
        <v/>
      </c>
      <c r="P1749" s="44">
        <f>P1722*Settings!$C$13*(INDEX(P$420:P$431,$D1749))</f>
        <v/>
      </c>
      <c r="Q1749" s="44">
        <f>Q1722*Settings!$C$13*(INDEX(Q$420:Q$431,$D1749))</f>
        <v/>
      </c>
      <c r="R1749" s="44">
        <f>R1722*Settings!$C$13*(INDEX(R$420:R$431,$D1749))</f>
        <v/>
      </c>
      <c r="S1749" s="44">
        <f>S1722*Settings!$C$13*(INDEX(S$420:S$431,$D1749))</f>
        <v/>
      </c>
      <c r="T1749" s="44">
        <f>T1722*Settings!$C$13*(INDEX(T$420:T$431,$D1749))</f>
        <v/>
      </c>
      <c r="U1749" s="44">
        <f>U1722*Settings!$C$13*(INDEX(U$420:U$431,$D1749))</f>
        <v/>
      </c>
      <c r="V1749" s="44">
        <f>V1722*Settings!$C$13*(INDEX(V$420:V$431,$D1749))</f>
        <v/>
      </c>
      <c r="W1749" s="44">
        <f>W1722*Settings!$C$13*(INDEX(W$420:W$431,$D1749))</f>
        <v/>
      </c>
      <c r="X1749" s="44">
        <f>X1722*Settings!$C$13*(INDEX(X$420:X$431,$D1749))</f>
        <v/>
      </c>
      <c r="Y1749" s="44">
        <f>Y1722*Settings!$C$13*(INDEX(Y$420:Y$431,$D1749))</f>
        <v/>
      </c>
      <c r="Z1749" s="44">
        <f>Z1722*Settings!$C$13*(INDEX(Z$420:Z$431,$D1749))</f>
        <v/>
      </c>
      <c r="AA1749" s="44">
        <f>AA1722*Settings!$C$13*(INDEX(AA$420:AA$431,$D1749))</f>
        <v/>
      </c>
      <c r="AB1749" s="44">
        <f>AB1722*Settings!$C$13*(INDEX(AB$420:AB$431,$D1749))</f>
        <v/>
      </c>
      <c r="AC1749" s="44">
        <f>AC1722*Settings!$C$13*(INDEX(AC$420:AC$431,$D1749))</f>
        <v/>
      </c>
      <c r="AD1749" s="44">
        <f>AD1722*Settings!$C$13*(INDEX(AD$420:AD$431,$D1749))</f>
        <v/>
      </c>
      <c r="AE1749" s="57">
        <f>REVENUE(AE1722,Settings!$C$13,INDEX(AE$420:AE$431,$D1749))</f>
        <v/>
      </c>
      <c r="AG1749" s="11">
        <f>CodePrefix&amp;$A1749&amp;IF($C1749="","","."&amp;$C1749&amp;"."&amp;$B1749)&amp;INDEX(VarEnd,MATCH($A1749,VarKey,0))&amp;AG$5</f>
        <v/>
      </c>
      <c r="AH1749" s="43">
        <f>AH1722*Settings!$C$13*(INDEX(AH$420:AH$431,$D1749))</f>
        <v/>
      </c>
      <c r="AI1749" s="44">
        <f>AI1722*Settings!$C$13*(INDEX(AI$420:AI$431,$D1749))</f>
        <v/>
      </c>
      <c r="AJ1749" s="44">
        <f>AJ1722*Settings!$C$13*(INDEX(AJ$420:AJ$431,$D1749))</f>
        <v/>
      </c>
      <c r="AK1749" s="44">
        <f>AK1722*Settings!$C$13*(INDEX(AK$420:AK$431,$D1749))</f>
        <v/>
      </c>
      <c r="AL1749" s="44">
        <f>AL1722*Settings!$C$13*(INDEX(AL$420:AL$431,$D1749))</f>
        <v/>
      </c>
      <c r="AM1749" s="44">
        <f>AM1722*Settings!$C$13*(INDEX(AM$420:AM$431,$D1749))</f>
        <v/>
      </c>
      <c r="AN1749" s="44">
        <f>AN1722*Settings!$C$13*(INDEX(AN$420:AN$431,$D1749))</f>
        <v/>
      </c>
      <c r="AO1749" s="44">
        <f>AO1722*Settings!$C$13*(INDEX(AO$420:AO$431,$D1749))</f>
        <v/>
      </c>
      <c r="AP1749" s="44">
        <f>AP1722*Settings!$C$13*(INDEX(AP$420:AP$431,$D1749))</f>
        <v/>
      </c>
      <c r="AQ1749" s="44">
        <f>AQ1722*Settings!$C$13*(INDEX(AQ$420:AQ$431,$D1749))</f>
        <v/>
      </c>
      <c r="AR1749" s="44">
        <f>AR1722*Settings!$C$13*(INDEX(AR$420:AR$431,$D1749))</f>
        <v/>
      </c>
      <c r="AS1749" s="44">
        <f>AS1722*Settings!$C$13*(INDEX(AS$420:AS$431,$D1749))</f>
        <v/>
      </c>
      <c r="AT1749" s="44">
        <f>AT1722*Settings!$C$13*(INDEX(AT$420:AT$431,$D1749))</f>
        <v/>
      </c>
      <c r="AU1749" s="44">
        <f>AU1722*Settings!$C$13*(INDEX(AU$420:AU$431,$D1749))</f>
        <v/>
      </c>
      <c r="AV1749" s="44">
        <f>AV1722*Settings!$C$13*(INDEX(AV$420:AV$431,$D1749))</f>
        <v/>
      </c>
      <c r="AW1749" s="44">
        <f>AW1722*Settings!$C$13*(INDEX(AW$420:AW$431,$D1749))</f>
        <v/>
      </c>
      <c r="AX1749" s="44">
        <f>AX1722*Settings!$C$13*(INDEX(AX$420:AX$431,$D1749))</f>
        <v/>
      </c>
      <c r="AY1749" s="44">
        <f>AY1722*Settings!$C$13*(INDEX(AY$420:AY$431,$D1749))</f>
        <v/>
      </c>
      <c r="AZ1749" s="44">
        <f>AZ1722*Settings!$C$13*(INDEX(AZ$420:AZ$431,$D1749))</f>
        <v/>
      </c>
      <c r="BA1749" s="57">
        <f>REVENUE(BA1722,Settings!$C$13,INDEX(BA$420:BA$431,$D1749))</f>
        <v/>
      </c>
    </row>
    <row r="1750" hidden="1" outlineLevel="2">
      <c r="A1750" s="14" t="inlineStr">
        <is>
          <t>rsub</t>
        </is>
      </c>
      <c r="B1750" s="14" t="inlineStr">
        <is>
          <t>nga</t>
        </is>
      </c>
      <c r="C1750" s="14" t="inlineStr">
        <is>
          <t>foo</t>
        </is>
      </c>
      <c r="D1750" s="35">
        <f>INDEX(Inputs!$U$5:$U$132,MATCH($B1750&amp;"|"&amp;$C1750,Inputs!$A$5:$A$132,0))</f>
        <v/>
      </c>
      <c r="E1750" s="39" t="n"/>
      <c r="F1750" s="39" t="n"/>
      <c r="G1750" s="39" t="n"/>
      <c r="H1750" s="14">
        <f>INDEX(VarLab,MATCH($A1750,VarKey,0))&amp;INDEX(MemLab,MATCH($C1750&amp;"|"&amp;$B1750,MemKey,0))</f>
        <v/>
      </c>
      <c r="I1750" s="14">
        <f>INDEX(VarUnit,MATCH($A1750,VarKey,0))</f>
        <v/>
      </c>
      <c r="J1750" s="14">
        <f>INDEX(VarSrc,MATCH($A1750,VarKey,0))</f>
        <v/>
      </c>
      <c r="K1750" s="11">
        <f>CodePrefix&amp;$A1750&amp;IF($C1750="","","."&amp;$C1750&amp;"."&amp;$B1750)&amp;INDEX(VarEnd,MATCH($A1750,VarKey,0))&amp;K$5</f>
        <v/>
      </c>
      <c r="L1750" s="43">
        <f>L1723*Settings!$C$13*(INDEX(L$420:L$431,$D1750))</f>
        <v/>
      </c>
      <c r="M1750" s="44">
        <f>M1723*Settings!$C$13*(INDEX(M$420:M$431,$D1750))</f>
        <v/>
      </c>
      <c r="N1750" s="44">
        <f>N1723*Settings!$C$13*(INDEX(N$420:N$431,$D1750))</f>
        <v/>
      </c>
      <c r="O1750" s="44">
        <f>O1723*Settings!$C$13*(INDEX(O$420:O$431,$D1750))</f>
        <v/>
      </c>
      <c r="P1750" s="44">
        <f>P1723*Settings!$C$13*(INDEX(P$420:P$431,$D1750))</f>
        <v/>
      </c>
      <c r="Q1750" s="44">
        <f>Q1723*Settings!$C$13*(INDEX(Q$420:Q$431,$D1750))</f>
        <v/>
      </c>
      <c r="R1750" s="44">
        <f>R1723*Settings!$C$13*(INDEX(R$420:R$431,$D1750))</f>
        <v/>
      </c>
      <c r="S1750" s="44">
        <f>S1723*Settings!$C$13*(INDEX(S$420:S$431,$D1750))</f>
        <v/>
      </c>
      <c r="T1750" s="44">
        <f>T1723*Settings!$C$13*(INDEX(T$420:T$431,$D1750))</f>
        <v/>
      </c>
      <c r="U1750" s="44">
        <f>U1723*Settings!$C$13*(INDEX(U$420:U$431,$D1750))</f>
        <v/>
      </c>
      <c r="V1750" s="44">
        <f>V1723*Settings!$C$13*(INDEX(V$420:V$431,$D1750))</f>
        <v/>
      </c>
      <c r="W1750" s="44">
        <f>W1723*Settings!$C$13*(INDEX(W$420:W$431,$D1750))</f>
        <v/>
      </c>
      <c r="X1750" s="44">
        <f>X1723*Settings!$C$13*(INDEX(X$420:X$431,$D1750))</f>
        <v/>
      </c>
      <c r="Y1750" s="44">
        <f>Y1723*Settings!$C$13*(INDEX(Y$420:Y$431,$D1750))</f>
        <v/>
      </c>
      <c r="Z1750" s="44">
        <f>Z1723*Settings!$C$13*(INDEX(Z$420:Z$431,$D1750))</f>
        <v/>
      </c>
      <c r="AA1750" s="44">
        <f>AA1723*Settings!$C$13*(INDEX(AA$420:AA$431,$D1750))</f>
        <v/>
      </c>
      <c r="AB1750" s="44">
        <f>AB1723*Settings!$C$13*(INDEX(AB$420:AB$431,$D1750))</f>
        <v/>
      </c>
      <c r="AC1750" s="44">
        <f>AC1723*Settings!$C$13*(INDEX(AC$420:AC$431,$D1750))</f>
        <v/>
      </c>
      <c r="AD1750" s="44">
        <f>AD1723*Settings!$C$13*(INDEX(AD$420:AD$431,$D1750))</f>
        <v/>
      </c>
      <c r="AE1750" s="57">
        <f>REVENUE(AE1723,Settings!$C$13,INDEX(AE$420:AE$431,$D1750))</f>
        <v/>
      </c>
      <c r="AG1750" s="11">
        <f>CodePrefix&amp;$A1750&amp;IF($C1750="","","."&amp;$C1750&amp;"."&amp;$B1750)&amp;INDEX(VarEnd,MATCH($A1750,VarKey,0))&amp;AG$5</f>
        <v/>
      </c>
      <c r="AH1750" s="43">
        <f>AH1723*Settings!$C$13*(INDEX(AH$420:AH$431,$D1750))</f>
        <v/>
      </c>
      <c r="AI1750" s="44">
        <f>AI1723*Settings!$C$13*(INDEX(AI$420:AI$431,$D1750))</f>
        <v/>
      </c>
      <c r="AJ1750" s="44">
        <f>AJ1723*Settings!$C$13*(INDEX(AJ$420:AJ$431,$D1750))</f>
        <v/>
      </c>
      <c r="AK1750" s="44">
        <f>AK1723*Settings!$C$13*(INDEX(AK$420:AK$431,$D1750))</f>
        <v/>
      </c>
      <c r="AL1750" s="44">
        <f>AL1723*Settings!$C$13*(INDEX(AL$420:AL$431,$D1750))</f>
        <v/>
      </c>
      <c r="AM1750" s="44">
        <f>AM1723*Settings!$C$13*(INDEX(AM$420:AM$431,$D1750))</f>
        <v/>
      </c>
      <c r="AN1750" s="44">
        <f>AN1723*Settings!$C$13*(INDEX(AN$420:AN$431,$D1750))</f>
        <v/>
      </c>
      <c r="AO1750" s="44">
        <f>AO1723*Settings!$C$13*(INDEX(AO$420:AO$431,$D1750))</f>
        <v/>
      </c>
      <c r="AP1750" s="44">
        <f>AP1723*Settings!$C$13*(INDEX(AP$420:AP$431,$D1750))</f>
        <v/>
      </c>
      <c r="AQ1750" s="44">
        <f>AQ1723*Settings!$C$13*(INDEX(AQ$420:AQ$431,$D1750))</f>
        <v/>
      </c>
      <c r="AR1750" s="44">
        <f>AR1723*Settings!$C$13*(INDEX(AR$420:AR$431,$D1750))</f>
        <v/>
      </c>
      <c r="AS1750" s="44">
        <f>AS1723*Settings!$C$13*(INDEX(AS$420:AS$431,$D1750))</f>
        <v/>
      </c>
      <c r="AT1750" s="44">
        <f>AT1723*Settings!$C$13*(INDEX(AT$420:AT$431,$D1750))</f>
        <v/>
      </c>
      <c r="AU1750" s="44">
        <f>AU1723*Settings!$C$13*(INDEX(AU$420:AU$431,$D1750))</f>
        <v/>
      </c>
      <c r="AV1750" s="44">
        <f>AV1723*Settings!$C$13*(INDEX(AV$420:AV$431,$D1750))</f>
        <v/>
      </c>
      <c r="AW1750" s="44">
        <f>AW1723*Settings!$C$13*(INDEX(AW$420:AW$431,$D1750))</f>
        <v/>
      </c>
      <c r="AX1750" s="44">
        <f>AX1723*Settings!$C$13*(INDEX(AX$420:AX$431,$D1750))</f>
        <v/>
      </c>
      <c r="AY1750" s="44">
        <f>AY1723*Settings!$C$13*(INDEX(AY$420:AY$431,$D1750))</f>
        <v/>
      </c>
      <c r="AZ1750" s="44">
        <f>AZ1723*Settings!$C$13*(INDEX(AZ$420:AZ$431,$D1750))</f>
        <v/>
      </c>
      <c r="BA1750" s="57">
        <f>REVENUE(BA1723,Settings!$C$13,INDEX(BA$420:BA$431,$D1750))</f>
        <v/>
      </c>
    </row>
    <row r="1751" hidden="1" outlineLevel="2">
      <c r="A1751" s="14" t="inlineStr">
        <is>
          <t>rsub</t>
        </is>
      </c>
      <c r="B1751" s="14" t="inlineStr">
        <is>
          <t>gso</t>
        </is>
      </c>
      <c r="C1751" s="14" t="inlineStr">
        <is>
          <t>foo</t>
        </is>
      </c>
      <c r="D1751" s="35">
        <f>INDEX(Inputs!$U$5:$U$132,MATCH($B1751&amp;"|"&amp;$C1751,Inputs!$A$5:$A$132,0))</f>
        <v/>
      </c>
      <c r="E1751" s="39" t="n"/>
      <c r="F1751" s="39" t="n"/>
      <c r="G1751" s="39" t="n"/>
      <c r="H1751" s="14">
        <f>INDEX(VarLab,MATCH($A1751,VarKey,0))&amp;INDEX(MemLab,MATCH($C1751&amp;"|"&amp;$B1751,MemKey,0))</f>
        <v/>
      </c>
      <c r="I1751" s="14">
        <f>INDEX(VarUnit,MATCH($A1751,VarKey,0))</f>
        <v/>
      </c>
      <c r="J1751" s="14">
        <f>INDEX(VarSrc,MATCH($A1751,VarKey,0))</f>
        <v/>
      </c>
      <c r="K1751" s="11">
        <f>CodePrefix&amp;$A1751&amp;IF($C1751="","","."&amp;$C1751&amp;"."&amp;$B1751)&amp;INDEX(VarEnd,MATCH($A1751,VarKey,0))&amp;K$5</f>
        <v/>
      </c>
      <c r="L1751" s="43">
        <f>L1724*Settings!$C$13*(INDEX(L$420:L$431,$D1751))</f>
        <v/>
      </c>
      <c r="M1751" s="44">
        <f>M1724*Settings!$C$13*(INDEX(M$420:M$431,$D1751))</f>
        <v/>
      </c>
      <c r="N1751" s="44">
        <f>N1724*Settings!$C$13*(INDEX(N$420:N$431,$D1751))</f>
        <v/>
      </c>
      <c r="O1751" s="44">
        <f>O1724*Settings!$C$13*(INDEX(O$420:O$431,$D1751))</f>
        <v/>
      </c>
      <c r="P1751" s="44">
        <f>P1724*Settings!$C$13*(INDEX(P$420:P$431,$D1751))</f>
        <v/>
      </c>
      <c r="Q1751" s="44">
        <f>Q1724*Settings!$C$13*(INDEX(Q$420:Q$431,$D1751))</f>
        <v/>
      </c>
      <c r="R1751" s="44">
        <f>R1724*Settings!$C$13*(INDEX(R$420:R$431,$D1751))</f>
        <v/>
      </c>
      <c r="S1751" s="44">
        <f>S1724*Settings!$C$13*(INDEX(S$420:S$431,$D1751))</f>
        <v/>
      </c>
      <c r="T1751" s="44">
        <f>T1724*Settings!$C$13*(INDEX(T$420:T$431,$D1751))</f>
        <v/>
      </c>
      <c r="U1751" s="44">
        <f>U1724*Settings!$C$13*(INDEX(U$420:U$431,$D1751))</f>
        <v/>
      </c>
      <c r="V1751" s="44">
        <f>V1724*Settings!$C$13*(INDEX(V$420:V$431,$D1751))</f>
        <v/>
      </c>
      <c r="W1751" s="44">
        <f>W1724*Settings!$C$13*(INDEX(W$420:W$431,$D1751))</f>
        <v/>
      </c>
      <c r="X1751" s="44">
        <f>X1724*Settings!$C$13*(INDEX(X$420:X$431,$D1751))</f>
        <v/>
      </c>
      <c r="Y1751" s="44">
        <f>Y1724*Settings!$C$13*(INDEX(Y$420:Y$431,$D1751))</f>
        <v/>
      </c>
      <c r="Z1751" s="44">
        <f>Z1724*Settings!$C$13*(INDEX(Z$420:Z$431,$D1751))</f>
        <v/>
      </c>
      <c r="AA1751" s="44">
        <f>AA1724*Settings!$C$13*(INDEX(AA$420:AA$431,$D1751))</f>
        <v/>
      </c>
      <c r="AB1751" s="44">
        <f>AB1724*Settings!$C$13*(INDEX(AB$420:AB$431,$D1751))</f>
        <v/>
      </c>
      <c r="AC1751" s="44">
        <f>AC1724*Settings!$C$13*(INDEX(AC$420:AC$431,$D1751))</f>
        <v/>
      </c>
      <c r="AD1751" s="44">
        <f>AD1724*Settings!$C$13*(INDEX(AD$420:AD$431,$D1751))</f>
        <v/>
      </c>
      <c r="AE1751" s="57">
        <f>REVENUE(AE1724,Settings!$C$13,INDEX(AE$420:AE$431,$D1751))</f>
        <v/>
      </c>
      <c r="AG1751" s="11">
        <f>CodePrefix&amp;$A1751&amp;IF($C1751="","","."&amp;$C1751&amp;"."&amp;$B1751)&amp;INDEX(VarEnd,MATCH($A1751,VarKey,0))&amp;AG$5</f>
        <v/>
      </c>
      <c r="AH1751" s="43">
        <f>AH1724*Settings!$C$13*(INDEX(AH$420:AH$431,$D1751))</f>
        <v/>
      </c>
      <c r="AI1751" s="44">
        <f>AI1724*Settings!$C$13*(INDEX(AI$420:AI$431,$D1751))</f>
        <v/>
      </c>
      <c r="AJ1751" s="44">
        <f>AJ1724*Settings!$C$13*(INDEX(AJ$420:AJ$431,$D1751))</f>
        <v/>
      </c>
      <c r="AK1751" s="44">
        <f>AK1724*Settings!$C$13*(INDEX(AK$420:AK$431,$D1751))</f>
        <v/>
      </c>
      <c r="AL1751" s="44">
        <f>AL1724*Settings!$C$13*(INDEX(AL$420:AL$431,$D1751))</f>
        <v/>
      </c>
      <c r="AM1751" s="44">
        <f>AM1724*Settings!$C$13*(INDEX(AM$420:AM$431,$D1751))</f>
        <v/>
      </c>
      <c r="AN1751" s="44">
        <f>AN1724*Settings!$C$13*(INDEX(AN$420:AN$431,$D1751))</f>
        <v/>
      </c>
      <c r="AO1751" s="44">
        <f>AO1724*Settings!$C$13*(INDEX(AO$420:AO$431,$D1751))</f>
        <v/>
      </c>
      <c r="AP1751" s="44">
        <f>AP1724*Settings!$C$13*(INDEX(AP$420:AP$431,$D1751))</f>
        <v/>
      </c>
      <c r="AQ1751" s="44">
        <f>AQ1724*Settings!$C$13*(INDEX(AQ$420:AQ$431,$D1751))</f>
        <v/>
      </c>
      <c r="AR1751" s="44">
        <f>AR1724*Settings!$C$13*(INDEX(AR$420:AR$431,$D1751))</f>
        <v/>
      </c>
      <c r="AS1751" s="44">
        <f>AS1724*Settings!$C$13*(INDEX(AS$420:AS$431,$D1751))</f>
        <v/>
      </c>
      <c r="AT1751" s="44">
        <f>AT1724*Settings!$C$13*(INDEX(AT$420:AT$431,$D1751))</f>
        <v/>
      </c>
      <c r="AU1751" s="44">
        <f>AU1724*Settings!$C$13*(INDEX(AU$420:AU$431,$D1751))</f>
        <v/>
      </c>
      <c r="AV1751" s="44">
        <f>AV1724*Settings!$C$13*(INDEX(AV$420:AV$431,$D1751))</f>
        <v/>
      </c>
      <c r="AW1751" s="44">
        <f>AW1724*Settings!$C$13*(INDEX(AW$420:AW$431,$D1751))</f>
        <v/>
      </c>
      <c r="AX1751" s="44">
        <f>AX1724*Settings!$C$13*(INDEX(AX$420:AX$431,$D1751))</f>
        <v/>
      </c>
      <c r="AY1751" s="44">
        <f>AY1724*Settings!$C$13*(INDEX(AY$420:AY$431,$D1751))</f>
        <v/>
      </c>
      <c r="AZ1751" s="44">
        <f>AZ1724*Settings!$C$13*(INDEX(AZ$420:AZ$431,$D1751))</f>
        <v/>
      </c>
      <c r="BA1751" s="57">
        <f>REVENUE(BA1724,Settings!$C$13,INDEX(BA$420:BA$431,$D1751))</f>
        <v/>
      </c>
    </row>
    <row r="1752" hidden="1" outlineLevel="2">
      <c r="A1752" s="14" t="inlineStr">
        <is>
          <t>rsub</t>
        </is>
      </c>
      <c r="B1752" s="14" t="inlineStr">
        <is>
          <t>die</t>
        </is>
      </c>
      <c r="C1752" s="14" t="inlineStr">
        <is>
          <t>foo</t>
        </is>
      </c>
      <c r="D1752" s="35">
        <f>INDEX(Inputs!$U$5:$U$132,MATCH($B1752&amp;"|"&amp;$C1752,Inputs!$A$5:$A$132,0))</f>
        <v/>
      </c>
      <c r="E1752" s="39" t="n"/>
      <c r="F1752" s="39" t="n"/>
      <c r="G1752" s="39" t="n"/>
      <c r="H1752" s="14">
        <f>INDEX(VarLab,MATCH($A1752,VarKey,0))&amp;INDEX(MemLab,MATCH($C1752&amp;"|"&amp;$B1752,MemKey,0))</f>
        <v/>
      </c>
      <c r="I1752" s="14">
        <f>INDEX(VarUnit,MATCH($A1752,VarKey,0))</f>
        <v/>
      </c>
      <c r="J1752" s="14">
        <f>INDEX(VarSrc,MATCH($A1752,VarKey,0))</f>
        <v/>
      </c>
      <c r="K1752" s="11">
        <f>CodePrefix&amp;$A1752&amp;IF($C1752="","","."&amp;$C1752&amp;"."&amp;$B1752)&amp;INDEX(VarEnd,MATCH($A1752,VarKey,0))&amp;K$5</f>
        <v/>
      </c>
      <c r="L1752" s="43">
        <f>L1725*Settings!$C$13*(INDEX(L$420:L$431,$D1752))</f>
        <v/>
      </c>
      <c r="M1752" s="44">
        <f>M1725*Settings!$C$13*(INDEX(M$420:M$431,$D1752))</f>
        <v/>
      </c>
      <c r="N1752" s="44">
        <f>N1725*Settings!$C$13*(INDEX(N$420:N$431,$D1752))</f>
        <v/>
      </c>
      <c r="O1752" s="44">
        <f>O1725*Settings!$C$13*(INDEX(O$420:O$431,$D1752))</f>
        <v/>
      </c>
      <c r="P1752" s="44">
        <f>P1725*Settings!$C$13*(INDEX(P$420:P$431,$D1752))</f>
        <v/>
      </c>
      <c r="Q1752" s="44">
        <f>Q1725*Settings!$C$13*(INDEX(Q$420:Q$431,$D1752))</f>
        <v/>
      </c>
      <c r="R1752" s="44">
        <f>R1725*Settings!$C$13*(INDEX(R$420:R$431,$D1752))</f>
        <v/>
      </c>
      <c r="S1752" s="44">
        <f>S1725*Settings!$C$13*(INDEX(S$420:S$431,$D1752))</f>
        <v/>
      </c>
      <c r="T1752" s="44">
        <f>T1725*Settings!$C$13*(INDEX(T$420:T$431,$D1752))</f>
        <v/>
      </c>
      <c r="U1752" s="44">
        <f>U1725*Settings!$C$13*(INDEX(U$420:U$431,$D1752))</f>
        <v/>
      </c>
      <c r="V1752" s="44">
        <f>V1725*Settings!$C$13*(INDEX(V$420:V$431,$D1752))</f>
        <v/>
      </c>
      <c r="W1752" s="44">
        <f>W1725*Settings!$C$13*(INDEX(W$420:W$431,$D1752))</f>
        <v/>
      </c>
      <c r="X1752" s="44">
        <f>X1725*Settings!$C$13*(INDEX(X$420:X$431,$D1752))</f>
        <v/>
      </c>
      <c r="Y1752" s="44">
        <f>Y1725*Settings!$C$13*(INDEX(Y$420:Y$431,$D1752))</f>
        <v/>
      </c>
      <c r="Z1752" s="44">
        <f>Z1725*Settings!$C$13*(INDEX(Z$420:Z$431,$D1752))</f>
        <v/>
      </c>
      <c r="AA1752" s="44">
        <f>AA1725*Settings!$C$13*(INDEX(AA$420:AA$431,$D1752))</f>
        <v/>
      </c>
      <c r="AB1752" s="44">
        <f>AB1725*Settings!$C$13*(INDEX(AB$420:AB$431,$D1752))</f>
        <v/>
      </c>
      <c r="AC1752" s="44">
        <f>AC1725*Settings!$C$13*(INDEX(AC$420:AC$431,$D1752))</f>
        <v/>
      </c>
      <c r="AD1752" s="44">
        <f>AD1725*Settings!$C$13*(INDEX(AD$420:AD$431,$D1752))</f>
        <v/>
      </c>
      <c r="AE1752" s="57">
        <f>REVENUE(AE1725,Settings!$C$13,INDEX(AE$420:AE$431,$D1752))</f>
        <v/>
      </c>
      <c r="AG1752" s="11">
        <f>CodePrefix&amp;$A1752&amp;IF($C1752="","","."&amp;$C1752&amp;"."&amp;$B1752)&amp;INDEX(VarEnd,MATCH($A1752,VarKey,0))&amp;AG$5</f>
        <v/>
      </c>
      <c r="AH1752" s="43">
        <f>AH1725*Settings!$C$13*(INDEX(AH$420:AH$431,$D1752))</f>
        <v/>
      </c>
      <c r="AI1752" s="44">
        <f>AI1725*Settings!$C$13*(INDEX(AI$420:AI$431,$D1752))</f>
        <v/>
      </c>
      <c r="AJ1752" s="44">
        <f>AJ1725*Settings!$C$13*(INDEX(AJ$420:AJ$431,$D1752))</f>
        <v/>
      </c>
      <c r="AK1752" s="44">
        <f>AK1725*Settings!$C$13*(INDEX(AK$420:AK$431,$D1752))</f>
        <v/>
      </c>
      <c r="AL1752" s="44">
        <f>AL1725*Settings!$C$13*(INDEX(AL$420:AL$431,$D1752))</f>
        <v/>
      </c>
      <c r="AM1752" s="44">
        <f>AM1725*Settings!$C$13*(INDEX(AM$420:AM$431,$D1752))</f>
        <v/>
      </c>
      <c r="AN1752" s="44">
        <f>AN1725*Settings!$C$13*(INDEX(AN$420:AN$431,$D1752))</f>
        <v/>
      </c>
      <c r="AO1752" s="44">
        <f>AO1725*Settings!$C$13*(INDEX(AO$420:AO$431,$D1752))</f>
        <v/>
      </c>
      <c r="AP1752" s="44">
        <f>AP1725*Settings!$C$13*(INDEX(AP$420:AP$431,$D1752))</f>
        <v/>
      </c>
      <c r="AQ1752" s="44">
        <f>AQ1725*Settings!$C$13*(INDEX(AQ$420:AQ$431,$D1752))</f>
        <v/>
      </c>
      <c r="AR1752" s="44">
        <f>AR1725*Settings!$C$13*(INDEX(AR$420:AR$431,$D1752))</f>
        <v/>
      </c>
      <c r="AS1752" s="44">
        <f>AS1725*Settings!$C$13*(INDEX(AS$420:AS$431,$D1752))</f>
        <v/>
      </c>
      <c r="AT1752" s="44">
        <f>AT1725*Settings!$C$13*(INDEX(AT$420:AT$431,$D1752))</f>
        <v/>
      </c>
      <c r="AU1752" s="44">
        <f>AU1725*Settings!$C$13*(INDEX(AU$420:AU$431,$D1752))</f>
        <v/>
      </c>
      <c r="AV1752" s="44">
        <f>AV1725*Settings!$C$13*(INDEX(AV$420:AV$431,$D1752))</f>
        <v/>
      </c>
      <c r="AW1752" s="44">
        <f>AW1725*Settings!$C$13*(INDEX(AW$420:AW$431,$D1752))</f>
        <v/>
      </c>
      <c r="AX1752" s="44">
        <f>AX1725*Settings!$C$13*(INDEX(AX$420:AX$431,$D1752))</f>
        <v/>
      </c>
      <c r="AY1752" s="44">
        <f>AY1725*Settings!$C$13*(INDEX(AY$420:AY$431,$D1752))</f>
        <v/>
      </c>
      <c r="AZ1752" s="44">
        <f>AZ1725*Settings!$C$13*(INDEX(AZ$420:AZ$431,$D1752))</f>
        <v/>
      </c>
      <c r="BA1752" s="57">
        <f>REVENUE(BA1725,Settings!$C$13,INDEX(BA$420:BA$431,$D1752))</f>
        <v/>
      </c>
    </row>
    <row r="1753" hidden="1" outlineLevel="2">
      <c r="A1753" s="14" t="inlineStr">
        <is>
          <t>rsub</t>
        </is>
      </c>
      <c r="B1753" s="14" t="inlineStr">
        <is>
          <t>lpg</t>
        </is>
      </c>
      <c r="C1753" s="14" t="inlineStr">
        <is>
          <t>foo</t>
        </is>
      </c>
      <c r="D1753" s="35">
        <f>INDEX(Inputs!$U$5:$U$132,MATCH($B1753&amp;"|"&amp;$C1753,Inputs!$A$5:$A$132,0))</f>
        <v/>
      </c>
      <c r="E1753" s="39" t="n"/>
      <c r="F1753" s="39" t="n"/>
      <c r="G1753" s="39" t="n"/>
      <c r="H1753" s="14">
        <f>INDEX(VarLab,MATCH($A1753,VarKey,0))&amp;INDEX(MemLab,MATCH($C1753&amp;"|"&amp;$B1753,MemKey,0))</f>
        <v/>
      </c>
      <c r="I1753" s="14">
        <f>INDEX(VarUnit,MATCH($A1753,VarKey,0))</f>
        <v/>
      </c>
      <c r="J1753" s="14">
        <f>INDEX(VarSrc,MATCH($A1753,VarKey,0))</f>
        <v/>
      </c>
      <c r="K1753" s="11">
        <f>CodePrefix&amp;$A1753&amp;IF($C1753="","","."&amp;$C1753&amp;"."&amp;$B1753)&amp;INDEX(VarEnd,MATCH($A1753,VarKey,0))&amp;K$5</f>
        <v/>
      </c>
      <c r="L1753" s="43">
        <f>L1726*Settings!$C$13*(INDEX(L$420:L$431,$D1753))</f>
        <v/>
      </c>
      <c r="M1753" s="44">
        <f>M1726*Settings!$C$13*(INDEX(M$420:M$431,$D1753))</f>
        <v/>
      </c>
      <c r="N1753" s="44">
        <f>N1726*Settings!$C$13*(INDEX(N$420:N$431,$D1753))</f>
        <v/>
      </c>
      <c r="O1753" s="44">
        <f>O1726*Settings!$C$13*(INDEX(O$420:O$431,$D1753))</f>
        <v/>
      </c>
      <c r="P1753" s="44">
        <f>P1726*Settings!$C$13*(INDEX(P$420:P$431,$D1753))</f>
        <v/>
      </c>
      <c r="Q1753" s="44">
        <f>Q1726*Settings!$C$13*(INDEX(Q$420:Q$431,$D1753))</f>
        <v/>
      </c>
      <c r="R1753" s="44">
        <f>R1726*Settings!$C$13*(INDEX(R$420:R$431,$D1753))</f>
        <v/>
      </c>
      <c r="S1753" s="44">
        <f>S1726*Settings!$C$13*(INDEX(S$420:S$431,$D1753))</f>
        <v/>
      </c>
      <c r="T1753" s="44">
        <f>T1726*Settings!$C$13*(INDEX(T$420:T$431,$D1753))</f>
        <v/>
      </c>
      <c r="U1753" s="44">
        <f>U1726*Settings!$C$13*(INDEX(U$420:U$431,$D1753))</f>
        <v/>
      </c>
      <c r="V1753" s="44">
        <f>V1726*Settings!$C$13*(INDEX(V$420:V$431,$D1753))</f>
        <v/>
      </c>
      <c r="W1753" s="44">
        <f>W1726*Settings!$C$13*(INDEX(W$420:W$431,$D1753))</f>
        <v/>
      </c>
      <c r="X1753" s="44">
        <f>X1726*Settings!$C$13*(INDEX(X$420:X$431,$D1753))</f>
        <v/>
      </c>
      <c r="Y1753" s="44">
        <f>Y1726*Settings!$C$13*(INDEX(Y$420:Y$431,$D1753))</f>
        <v/>
      </c>
      <c r="Z1753" s="44">
        <f>Z1726*Settings!$C$13*(INDEX(Z$420:Z$431,$D1753))</f>
        <v/>
      </c>
      <c r="AA1753" s="44">
        <f>AA1726*Settings!$C$13*(INDEX(AA$420:AA$431,$D1753))</f>
        <v/>
      </c>
      <c r="AB1753" s="44">
        <f>AB1726*Settings!$C$13*(INDEX(AB$420:AB$431,$D1753))</f>
        <v/>
      </c>
      <c r="AC1753" s="44">
        <f>AC1726*Settings!$C$13*(INDEX(AC$420:AC$431,$D1753))</f>
        <v/>
      </c>
      <c r="AD1753" s="44">
        <f>AD1726*Settings!$C$13*(INDEX(AD$420:AD$431,$D1753))</f>
        <v/>
      </c>
      <c r="AE1753" s="57">
        <f>REVENUE(AE1726,Settings!$C$13,INDEX(AE$420:AE$431,$D1753))</f>
        <v/>
      </c>
      <c r="AG1753" s="11">
        <f>CodePrefix&amp;$A1753&amp;IF($C1753="","","."&amp;$C1753&amp;"."&amp;$B1753)&amp;INDEX(VarEnd,MATCH($A1753,VarKey,0))&amp;AG$5</f>
        <v/>
      </c>
      <c r="AH1753" s="43">
        <f>AH1726*Settings!$C$13*(INDEX(AH$420:AH$431,$D1753))</f>
        <v/>
      </c>
      <c r="AI1753" s="44">
        <f>AI1726*Settings!$C$13*(INDEX(AI$420:AI$431,$D1753))</f>
        <v/>
      </c>
      <c r="AJ1753" s="44">
        <f>AJ1726*Settings!$C$13*(INDEX(AJ$420:AJ$431,$D1753))</f>
        <v/>
      </c>
      <c r="AK1753" s="44">
        <f>AK1726*Settings!$C$13*(INDEX(AK$420:AK$431,$D1753))</f>
        <v/>
      </c>
      <c r="AL1753" s="44">
        <f>AL1726*Settings!$C$13*(INDEX(AL$420:AL$431,$D1753))</f>
        <v/>
      </c>
      <c r="AM1753" s="44">
        <f>AM1726*Settings!$C$13*(INDEX(AM$420:AM$431,$D1753))</f>
        <v/>
      </c>
      <c r="AN1753" s="44">
        <f>AN1726*Settings!$C$13*(INDEX(AN$420:AN$431,$D1753))</f>
        <v/>
      </c>
      <c r="AO1753" s="44">
        <f>AO1726*Settings!$C$13*(INDEX(AO$420:AO$431,$D1753))</f>
        <v/>
      </c>
      <c r="AP1753" s="44">
        <f>AP1726*Settings!$C$13*(INDEX(AP$420:AP$431,$D1753))</f>
        <v/>
      </c>
      <c r="AQ1753" s="44">
        <f>AQ1726*Settings!$C$13*(INDEX(AQ$420:AQ$431,$D1753))</f>
        <v/>
      </c>
      <c r="AR1753" s="44">
        <f>AR1726*Settings!$C$13*(INDEX(AR$420:AR$431,$D1753))</f>
        <v/>
      </c>
      <c r="AS1753" s="44">
        <f>AS1726*Settings!$C$13*(INDEX(AS$420:AS$431,$D1753))</f>
        <v/>
      </c>
      <c r="AT1753" s="44">
        <f>AT1726*Settings!$C$13*(INDEX(AT$420:AT$431,$D1753))</f>
        <v/>
      </c>
      <c r="AU1753" s="44">
        <f>AU1726*Settings!$C$13*(INDEX(AU$420:AU$431,$D1753))</f>
        <v/>
      </c>
      <c r="AV1753" s="44">
        <f>AV1726*Settings!$C$13*(INDEX(AV$420:AV$431,$D1753))</f>
        <v/>
      </c>
      <c r="AW1753" s="44">
        <f>AW1726*Settings!$C$13*(INDEX(AW$420:AW$431,$D1753))</f>
        <v/>
      </c>
      <c r="AX1753" s="44">
        <f>AX1726*Settings!$C$13*(INDEX(AX$420:AX$431,$D1753))</f>
        <v/>
      </c>
      <c r="AY1753" s="44">
        <f>AY1726*Settings!$C$13*(INDEX(AY$420:AY$431,$D1753))</f>
        <v/>
      </c>
      <c r="AZ1753" s="44">
        <f>AZ1726*Settings!$C$13*(INDEX(AZ$420:AZ$431,$D1753))</f>
        <v/>
      </c>
      <c r="BA1753" s="57">
        <f>REVENUE(BA1726,Settings!$C$13,INDEX(BA$420:BA$431,$D1753))</f>
        <v/>
      </c>
    </row>
    <row r="1754" hidden="1" outlineLevel="2">
      <c r="A1754" s="14" t="inlineStr">
        <is>
          <t>rsub</t>
        </is>
      </c>
      <c r="B1754" s="14" t="inlineStr">
        <is>
          <t>ker</t>
        </is>
      </c>
      <c r="C1754" s="14" t="inlineStr">
        <is>
          <t>foo</t>
        </is>
      </c>
      <c r="D1754" s="35">
        <f>INDEX(Inputs!$U$5:$U$132,MATCH($B1754&amp;"|"&amp;$C1754,Inputs!$A$5:$A$132,0))</f>
        <v/>
      </c>
      <c r="E1754" s="39" t="n"/>
      <c r="F1754" s="39" t="n"/>
      <c r="G1754" s="39" t="n"/>
      <c r="H1754" s="14">
        <f>INDEX(VarLab,MATCH($A1754,VarKey,0))&amp;INDEX(MemLab,MATCH($C1754&amp;"|"&amp;$B1754,MemKey,0))</f>
        <v/>
      </c>
      <c r="I1754" s="14">
        <f>INDEX(VarUnit,MATCH($A1754,VarKey,0))</f>
        <v/>
      </c>
      <c r="J1754" s="14">
        <f>INDEX(VarSrc,MATCH($A1754,VarKey,0))</f>
        <v/>
      </c>
      <c r="K1754" s="11">
        <f>CodePrefix&amp;$A1754&amp;IF($C1754="","","."&amp;$C1754&amp;"."&amp;$B1754)&amp;INDEX(VarEnd,MATCH($A1754,VarKey,0))&amp;K$5</f>
        <v/>
      </c>
      <c r="L1754" s="43">
        <f>L1727*Settings!$C$13*(INDEX(L$420:L$431,$D1754))</f>
        <v/>
      </c>
      <c r="M1754" s="44">
        <f>M1727*Settings!$C$13*(INDEX(M$420:M$431,$D1754))</f>
        <v/>
      </c>
      <c r="N1754" s="44">
        <f>N1727*Settings!$C$13*(INDEX(N$420:N$431,$D1754))</f>
        <v/>
      </c>
      <c r="O1754" s="44">
        <f>O1727*Settings!$C$13*(INDEX(O$420:O$431,$D1754))</f>
        <v/>
      </c>
      <c r="P1754" s="44">
        <f>P1727*Settings!$C$13*(INDEX(P$420:P$431,$D1754))</f>
        <v/>
      </c>
      <c r="Q1754" s="44">
        <f>Q1727*Settings!$C$13*(INDEX(Q$420:Q$431,$D1754))</f>
        <v/>
      </c>
      <c r="R1754" s="44">
        <f>R1727*Settings!$C$13*(INDEX(R$420:R$431,$D1754))</f>
        <v/>
      </c>
      <c r="S1754" s="44">
        <f>S1727*Settings!$C$13*(INDEX(S$420:S$431,$D1754))</f>
        <v/>
      </c>
      <c r="T1754" s="44">
        <f>T1727*Settings!$C$13*(INDEX(T$420:T$431,$D1754))</f>
        <v/>
      </c>
      <c r="U1754" s="44">
        <f>U1727*Settings!$C$13*(INDEX(U$420:U$431,$D1754))</f>
        <v/>
      </c>
      <c r="V1754" s="44">
        <f>V1727*Settings!$C$13*(INDEX(V$420:V$431,$D1754))</f>
        <v/>
      </c>
      <c r="W1754" s="44">
        <f>W1727*Settings!$C$13*(INDEX(W$420:W$431,$D1754))</f>
        <v/>
      </c>
      <c r="X1754" s="44">
        <f>X1727*Settings!$C$13*(INDEX(X$420:X$431,$D1754))</f>
        <v/>
      </c>
      <c r="Y1754" s="44">
        <f>Y1727*Settings!$C$13*(INDEX(Y$420:Y$431,$D1754))</f>
        <v/>
      </c>
      <c r="Z1754" s="44">
        <f>Z1727*Settings!$C$13*(INDEX(Z$420:Z$431,$D1754))</f>
        <v/>
      </c>
      <c r="AA1754" s="44">
        <f>AA1727*Settings!$C$13*(INDEX(AA$420:AA$431,$D1754))</f>
        <v/>
      </c>
      <c r="AB1754" s="44">
        <f>AB1727*Settings!$C$13*(INDEX(AB$420:AB$431,$D1754))</f>
        <v/>
      </c>
      <c r="AC1754" s="44">
        <f>AC1727*Settings!$C$13*(INDEX(AC$420:AC$431,$D1754))</f>
        <v/>
      </c>
      <c r="AD1754" s="44">
        <f>AD1727*Settings!$C$13*(INDEX(AD$420:AD$431,$D1754))</f>
        <v/>
      </c>
      <c r="AE1754" s="57">
        <f>REVENUE(AE1727,Settings!$C$13,INDEX(AE$420:AE$431,$D1754))</f>
        <v/>
      </c>
      <c r="AG1754" s="11">
        <f>CodePrefix&amp;$A1754&amp;IF($C1754="","","."&amp;$C1754&amp;"."&amp;$B1754)&amp;INDEX(VarEnd,MATCH($A1754,VarKey,0))&amp;AG$5</f>
        <v/>
      </c>
      <c r="AH1754" s="43">
        <f>AH1727*Settings!$C$13*(INDEX(AH$420:AH$431,$D1754))</f>
        <v/>
      </c>
      <c r="AI1754" s="44">
        <f>AI1727*Settings!$C$13*(INDEX(AI$420:AI$431,$D1754))</f>
        <v/>
      </c>
      <c r="AJ1754" s="44">
        <f>AJ1727*Settings!$C$13*(INDEX(AJ$420:AJ$431,$D1754))</f>
        <v/>
      </c>
      <c r="AK1754" s="44">
        <f>AK1727*Settings!$C$13*(INDEX(AK$420:AK$431,$D1754))</f>
        <v/>
      </c>
      <c r="AL1754" s="44">
        <f>AL1727*Settings!$C$13*(INDEX(AL$420:AL$431,$D1754))</f>
        <v/>
      </c>
      <c r="AM1754" s="44">
        <f>AM1727*Settings!$C$13*(INDEX(AM$420:AM$431,$D1754))</f>
        <v/>
      </c>
      <c r="AN1754" s="44">
        <f>AN1727*Settings!$C$13*(INDEX(AN$420:AN$431,$D1754))</f>
        <v/>
      </c>
      <c r="AO1754" s="44">
        <f>AO1727*Settings!$C$13*(INDEX(AO$420:AO$431,$D1754))</f>
        <v/>
      </c>
      <c r="AP1754" s="44">
        <f>AP1727*Settings!$C$13*(INDEX(AP$420:AP$431,$D1754))</f>
        <v/>
      </c>
      <c r="AQ1754" s="44">
        <f>AQ1727*Settings!$C$13*(INDEX(AQ$420:AQ$431,$D1754))</f>
        <v/>
      </c>
      <c r="AR1754" s="44">
        <f>AR1727*Settings!$C$13*(INDEX(AR$420:AR$431,$D1754))</f>
        <v/>
      </c>
      <c r="AS1754" s="44">
        <f>AS1727*Settings!$C$13*(INDEX(AS$420:AS$431,$D1754))</f>
        <v/>
      </c>
      <c r="AT1754" s="44">
        <f>AT1727*Settings!$C$13*(INDEX(AT$420:AT$431,$D1754))</f>
        <v/>
      </c>
      <c r="AU1754" s="44">
        <f>AU1727*Settings!$C$13*(INDEX(AU$420:AU$431,$D1754))</f>
        <v/>
      </c>
      <c r="AV1754" s="44">
        <f>AV1727*Settings!$C$13*(INDEX(AV$420:AV$431,$D1754))</f>
        <v/>
      </c>
      <c r="AW1754" s="44">
        <f>AW1727*Settings!$C$13*(INDEX(AW$420:AW$431,$D1754))</f>
        <v/>
      </c>
      <c r="AX1754" s="44">
        <f>AX1727*Settings!$C$13*(INDEX(AX$420:AX$431,$D1754))</f>
        <v/>
      </c>
      <c r="AY1754" s="44">
        <f>AY1727*Settings!$C$13*(INDEX(AY$420:AY$431,$D1754))</f>
        <v/>
      </c>
      <c r="AZ1754" s="44">
        <f>AZ1727*Settings!$C$13*(INDEX(AZ$420:AZ$431,$D1754))</f>
        <v/>
      </c>
      <c r="BA1754" s="57">
        <f>REVENUE(BA1727,Settings!$C$13,INDEX(BA$420:BA$431,$D1754))</f>
        <v/>
      </c>
    </row>
    <row r="1755" hidden="1" outlineLevel="2">
      <c r="A1755" s="14" t="inlineStr">
        <is>
          <t>rsub</t>
        </is>
      </c>
      <c r="B1755" s="14" t="inlineStr">
        <is>
          <t>oop</t>
        </is>
      </c>
      <c r="C1755" s="14" t="inlineStr">
        <is>
          <t>foo</t>
        </is>
      </c>
      <c r="D1755" s="35">
        <f>INDEX(Inputs!$U$5:$U$132,MATCH($B1755&amp;"|"&amp;$C1755,Inputs!$A$5:$A$132,0))</f>
        <v/>
      </c>
      <c r="E1755" s="39" t="n"/>
      <c r="F1755" s="39" t="n"/>
      <c r="G1755" s="39" t="n"/>
      <c r="H1755" s="14">
        <f>INDEX(VarLab,MATCH($A1755,VarKey,0))&amp;INDEX(MemLab,MATCH($C1755&amp;"|"&amp;$B1755,MemKey,0))</f>
        <v/>
      </c>
      <c r="I1755" s="14">
        <f>INDEX(VarUnit,MATCH($A1755,VarKey,0))</f>
        <v/>
      </c>
      <c r="J1755" s="14">
        <f>INDEX(VarSrc,MATCH($A1755,VarKey,0))</f>
        <v/>
      </c>
      <c r="K1755" s="11">
        <f>CodePrefix&amp;$A1755&amp;IF($C1755="","","."&amp;$C1755&amp;"."&amp;$B1755)&amp;INDEX(VarEnd,MATCH($A1755,VarKey,0))&amp;K$5</f>
        <v/>
      </c>
      <c r="L1755" s="43">
        <f>L1728*Settings!$C$13*(INDEX(L$420:L$431,$D1755))</f>
        <v/>
      </c>
      <c r="M1755" s="44">
        <f>M1728*Settings!$C$13*(INDEX(M$420:M$431,$D1755))</f>
        <v/>
      </c>
      <c r="N1755" s="44">
        <f>N1728*Settings!$C$13*(INDEX(N$420:N$431,$D1755))</f>
        <v/>
      </c>
      <c r="O1755" s="44">
        <f>O1728*Settings!$C$13*(INDEX(O$420:O$431,$D1755))</f>
        <v/>
      </c>
      <c r="P1755" s="44">
        <f>P1728*Settings!$C$13*(INDEX(P$420:P$431,$D1755))</f>
        <v/>
      </c>
      <c r="Q1755" s="44">
        <f>Q1728*Settings!$C$13*(INDEX(Q$420:Q$431,$D1755))</f>
        <v/>
      </c>
      <c r="R1755" s="44">
        <f>R1728*Settings!$C$13*(INDEX(R$420:R$431,$D1755))</f>
        <v/>
      </c>
      <c r="S1755" s="44">
        <f>S1728*Settings!$C$13*(INDEX(S$420:S$431,$D1755))</f>
        <v/>
      </c>
      <c r="T1755" s="44">
        <f>T1728*Settings!$C$13*(INDEX(T$420:T$431,$D1755))</f>
        <v/>
      </c>
      <c r="U1755" s="44">
        <f>U1728*Settings!$C$13*(INDEX(U$420:U$431,$D1755))</f>
        <v/>
      </c>
      <c r="V1755" s="44">
        <f>V1728*Settings!$C$13*(INDEX(V$420:V$431,$D1755))</f>
        <v/>
      </c>
      <c r="W1755" s="44">
        <f>W1728*Settings!$C$13*(INDEX(W$420:W$431,$D1755))</f>
        <v/>
      </c>
      <c r="X1755" s="44">
        <f>X1728*Settings!$C$13*(INDEX(X$420:X$431,$D1755))</f>
        <v/>
      </c>
      <c r="Y1755" s="44">
        <f>Y1728*Settings!$C$13*(INDEX(Y$420:Y$431,$D1755))</f>
        <v/>
      </c>
      <c r="Z1755" s="44">
        <f>Z1728*Settings!$C$13*(INDEX(Z$420:Z$431,$D1755))</f>
        <v/>
      </c>
      <c r="AA1755" s="44">
        <f>AA1728*Settings!$C$13*(INDEX(AA$420:AA$431,$D1755))</f>
        <v/>
      </c>
      <c r="AB1755" s="44">
        <f>AB1728*Settings!$C$13*(INDEX(AB$420:AB$431,$D1755))</f>
        <v/>
      </c>
      <c r="AC1755" s="44">
        <f>AC1728*Settings!$C$13*(INDEX(AC$420:AC$431,$D1755))</f>
        <v/>
      </c>
      <c r="AD1755" s="44">
        <f>AD1728*Settings!$C$13*(INDEX(AD$420:AD$431,$D1755))</f>
        <v/>
      </c>
      <c r="AE1755" s="57">
        <f>REVENUE(AE1728,Settings!$C$13,INDEX(AE$420:AE$431,$D1755))</f>
        <v/>
      </c>
      <c r="AG1755" s="11">
        <f>CodePrefix&amp;$A1755&amp;IF($C1755="","","."&amp;$C1755&amp;"."&amp;$B1755)&amp;INDEX(VarEnd,MATCH($A1755,VarKey,0))&amp;AG$5</f>
        <v/>
      </c>
      <c r="AH1755" s="43">
        <f>AH1728*Settings!$C$13*(INDEX(AH$420:AH$431,$D1755))</f>
        <v/>
      </c>
      <c r="AI1755" s="44">
        <f>AI1728*Settings!$C$13*(INDEX(AI$420:AI$431,$D1755))</f>
        <v/>
      </c>
      <c r="AJ1755" s="44">
        <f>AJ1728*Settings!$C$13*(INDEX(AJ$420:AJ$431,$D1755))</f>
        <v/>
      </c>
      <c r="AK1755" s="44">
        <f>AK1728*Settings!$C$13*(INDEX(AK$420:AK$431,$D1755))</f>
        <v/>
      </c>
      <c r="AL1755" s="44">
        <f>AL1728*Settings!$C$13*(INDEX(AL$420:AL$431,$D1755))</f>
        <v/>
      </c>
      <c r="AM1755" s="44">
        <f>AM1728*Settings!$C$13*(INDEX(AM$420:AM$431,$D1755))</f>
        <v/>
      </c>
      <c r="AN1755" s="44">
        <f>AN1728*Settings!$C$13*(INDEX(AN$420:AN$431,$D1755))</f>
        <v/>
      </c>
      <c r="AO1755" s="44">
        <f>AO1728*Settings!$C$13*(INDEX(AO$420:AO$431,$D1755))</f>
        <v/>
      </c>
      <c r="AP1755" s="44">
        <f>AP1728*Settings!$C$13*(INDEX(AP$420:AP$431,$D1755))</f>
        <v/>
      </c>
      <c r="AQ1755" s="44">
        <f>AQ1728*Settings!$C$13*(INDEX(AQ$420:AQ$431,$D1755))</f>
        <v/>
      </c>
      <c r="AR1755" s="44">
        <f>AR1728*Settings!$C$13*(INDEX(AR$420:AR$431,$D1755))</f>
        <v/>
      </c>
      <c r="AS1755" s="44">
        <f>AS1728*Settings!$C$13*(INDEX(AS$420:AS$431,$D1755))</f>
        <v/>
      </c>
      <c r="AT1755" s="44">
        <f>AT1728*Settings!$C$13*(INDEX(AT$420:AT$431,$D1755))</f>
        <v/>
      </c>
      <c r="AU1755" s="44">
        <f>AU1728*Settings!$C$13*(INDEX(AU$420:AU$431,$D1755))</f>
        <v/>
      </c>
      <c r="AV1755" s="44">
        <f>AV1728*Settings!$C$13*(INDEX(AV$420:AV$431,$D1755))</f>
        <v/>
      </c>
      <c r="AW1755" s="44">
        <f>AW1728*Settings!$C$13*(INDEX(AW$420:AW$431,$D1755))</f>
        <v/>
      </c>
      <c r="AX1755" s="44">
        <f>AX1728*Settings!$C$13*(INDEX(AX$420:AX$431,$D1755))</f>
        <v/>
      </c>
      <c r="AY1755" s="44">
        <f>AY1728*Settings!$C$13*(INDEX(AY$420:AY$431,$D1755))</f>
        <v/>
      </c>
      <c r="AZ1755" s="44">
        <f>AZ1728*Settings!$C$13*(INDEX(AZ$420:AZ$431,$D1755))</f>
        <v/>
      </c>
      <c r="BA1755" s="57">
        <f>REVENUE(BA1728,Settings!$C$13,INDEX(BA$420:BA$431,$D1755))</f>
        <v/>
      </c>
    </row>
    <row r="1756" hidden="1" outlineLevel="2">
      <c r="A1756" s="14" t="inlineStr">
        <is>
          <t>rsub</t>
        </is>
      </c>
      <c r="B1756" s="14" t="inlineStr">
        <is>
          <t>bio</t>
        </is>
      </c>
      <c r="C1756" s="14" t="inlineStr">
        <is>
          <t>foo</t>
        </is>
      </c>
      <c r="D1756" s="35">
        <f>INDEX(Inputs!$U$5:$U$132,MATCH($B1756&amp;"|"&amp;$C1756,Inputs!$A$5:$A$132,0))</f>
        <v/>
      </c>
      <c r="E1756" s="39" t="n"/>
      <c r="F1756" s="39" t="n"/>
      <c r="G1756" s="39" t="n"/>
      <c r="H1756" s="14">
        <f>INDEX(VarLab,MATCH($A1756,VarKey,0))&amp;INDEX(MemLab,MATCH($C1756&amp;"|"&amp;$B1756,MemKey,0))</f>
        <v/>
      </c>
      <c r="I1756" s="14">
        <f>INDEX(VarUnit,MATCH($A1756,VarKey,0))</f>
        <v/>
      </c>
      <c r="J1756" s="14">
        <f>INDEX(VarSrc,MATCH($A1756,VarKey,0))</f>
        <v/>
      </c>
      <c r="K1756" s="11">
        <f>CodePrefix&amp;$A1756&amp;IF($C1756="","","."&amp;$C1756&amp;"."&amp;$B1756)&amp;INDEX(VarEnd,MATCH($A1756,VarKey,0))&amp;K$5</f>
        <v/>
      </c>
      <c r="L1756" s="43">
        <f>L1729*Settings!$C$13*(INDEX(L$420:L$431,$D1756))</f>
        <v/>
      </c>
      <c r="M1756" s="44">
        <f>M1729*Settings!$C$13*(INDEX(M$420:M$431,$D1756))</f>
        <v/>
      </c>
      <c r="N1756" s="44">
        <f>N1729*Settings!$C$13*(INDEX(N$420:N$431,$D1756))</f>
        <v/>
      </c>
      <c r="O1756" s="44">
        <f>O1729*Settings!$C$13*(INDEX(O$420:O$431,$D1756))</f>
        <v/>
      </c>
      <c r="P1756" s="44">
        <f>P1729*Settings!$C$13*(INDEX(P$420:P$431,$D1756))</f>
        <v/>
      </c>
      <c r="Q1756" s="44">
        <f>Q1729*Settings!$C$13*(INDEX(Q$420:Q$431,$D1756))</f>
        <v/>
      </c>
      <c r="R1756" s="44">
        <f>R1729*Settings!$C$13*(INDEX(R$420:R$431,$D1756))</f>
        <v/>
      </c>
      <c r="S1756" s="44">
        <f>S1729*Settings!$C$13*(INDEX(S$420:S$431,$D1756))</f>
        <v/>
      </c>
      <c r="T1756" s="44">
        <f>T1729*Settings!$C$13*(INDEX(T$420:T$431,$D1756))</f>
        <v/>
      </c>
      <c r="U1756" s="44">
        <f>U1729*Settings!$C$13*(INDEX(U$420:U$431,$D1756))</f>
        <v/>
      </c>
      <c r="V1756" s="44">
        <f>V1729*Settings!$C$13*(INDEX(V$420:V$431,$D1756))</f>
        <v/>
      </c>
      <c r="W1756" s="44">
        <f>W1729*Settings!$C$13*(INDEX(W$420:W$431,$D1756))</f>
        <v/>
      </c>
      <c r="X1756" s="44">
        <f>X1729*Settings!$C$13*(INDEX(X$420:X$431,$D1756))</f>
        <v/>
      </c>
      <c r="Y1756" s="44">
        <f>Y1729*Settings!$C$13*(INDEX(Y$420:Y$431,$D1756))</f>
        <v/>
      </c>
      <c r="Z1756" s="44">
        <f>Z1729*Settings!$C$13*(INDEX(Z$420:Z$431,$D1756))</f>
        <v/>
      </c>
      <c r="AA1756" s="44">
        <f>AA1729*Settings!$C$13*(INDEX(AA$420:AA$431,$D1756))</f>
        <v/>
      </c>
      <c r="AB1756" s="44">
        <f>AB1729*Settings!$C$13*(INDEX(AB$420:AB$431,$D1756))</f>
        <v/>
      </c>
      <c r="AC1756" s="44">
        <f>AC1729*Settings!$C$13*(INDEX(AC$420:AC$431,$D1756))</f>
        <v/>
      </c>
      <c r="AD1756" s="44">
        <f>AD1729*Settings!$C$13*(INDEX(AD$420:AD$431,$D1756))</f>
        <v/>
      </c>
      <c r="AE1756" s="57">
        <f>REVENUE(AE1729,Settings!$C$13,INDEX(AE$420:AE$431,$D1756))</f>
        <v/>
      </c>
      <c r="AG1756" s="11">
        <f>CodePrefix&amp;$A1756&amp;IF($C1756="","","."&amp;$C1756&amp;"."&amp;$B1756)&amp;INDEX(VarEnd,MATCH($A1756,VarKey,0))&amp;AG$5</f>
        <v/>
      </c>
      <c r="AH1756" s="43">
        <f>AH1729*Settings!$C$13*(INDEX(AH$420:AH$431,$D1756))</f>
        <v/>
      </c>
      <c r="AI1756" s="44">
        <f>AI1729*Settings!$C$13*(INDEX(AI$420:AI$431,$D1756))</f>
        <v/>
      </c>
      <c r="AJ1756" s="44">
        <f>AJ1729*Settings!$C$13*(INDEX(AJ$420:AJ$431,$D1756))</f>
        <v/>
      </c>
      <c r="AK1756" s="44">
        <f>AK1729*Settings!$C$13*(INDEX(AK$420:AK$431,$D1756))</f>
        <v/>
      </c>
      <c r="AL1756" s="44">
        <f>AL1729*Settings!$C$13*(INDEX(AL$420:AL$431,$D1756))</f>
        <v/>
      </c>
      <c r="AM1756" s="44">
        <f>AM1729*Settings!$C$13*(INDEX(AM$420:AM$431,$D1756))</f>
        <v/>
      </c>
      <c r="AN1756" s="44">
        <f>AN1729*Settings!$C$13*(INDEX(AN$420:AN$431,$D1756))</f>
        <v/>
      </c>
      <c r="AO1756" s="44">
        <f>AO1729*Settings!$C$13*(INDEX(AO$420:AO$431,$D1756))</f>
        <v/>
      </c>
      <c r="AP1756" s="44">
        <f>AP1729*Settings!$C$13*(INDEX(AP$420:AP$431,$D1756))</f>
        <v/>
      </c>
      <c r="AQ1756" s="44">
        <f>AQ1729*Settings!$C$13*(INDEX(AQ$420:AQ$431,$D1756))</f>
        <v/>
      </c>
      <c r="AR1756" s="44">
        <f>AR1729*Settings!$C$13*(INDEX(AR$420:AR$431,$D1756))</f>
        <v/>
      </c>
      <c r="AS1756" s="44">
        <f>AS1729*Settings!$C$13*(INDEX(AS$420:AS$431,$D1756))</f>
        <v/>
      </c>
      <c r="AT1756" s="44">
        <f>AT1729*Settings!$C$13*(INDEX(AT$420:AT$431,$D1756))</f>
        <v/>
      </c>
      <c r="AU1756" s="44">
        <f>AU1729*Settings!$C$13*(INDEX(AU$420:AU$431,$D1756))</f>
        <v/>
      </c>
      <c r="AV1756" s="44">
        <f>AV1729*Settings!$C$13*(INDEX(AV$420:AV$431,$D1756))</f>
        <v/>
      </c>
      <c r="AW1756" s="44">
        <f>AW1729*Settings!$C$13*(INDEX(AW$420:AW$431,$D1756))</f>
        <v/>
      </c>
      <c r="AX1756" s="44">
        <f>AX1729*Settings!$C$13*(INDEX(AX$420:AX$431,$D1756))</f>
        <v/>
      </c>
      <c r="AY1756" s="44">
        <f>AY1729*Settings!$C$13*(INDEX(AY$420:AY$431,$D1756))</f>
        <v/>
      </c>
      <c r="AZ1756" s="44">
        <f>AZ1729*Settings!$C$13*(INDEX(AZ$420:AZ$431,$D1756))</f>
        <v/>
      </c>
      <c r="BA1756" s="57">
        <f>REVENUE(BA1729,Settings!$C$13,INDEX(BA$420:BA$431,$D1756))</f>
        <v/>
      </c>
    </row>
    <row r="1757" hidden="1" outlineLevel="2"/>
    <row r="1758" hidden="1" outlineLevel="2">
      <c r="A1758" s="14" t="inlineStr">
        <is>
          <t>rnew</t>
        </is>
      </c>
      <c r="B1758" s="14" t="inlineStr">
        <is>
          <t>coa</t>
        </is>
      </c>
      <c r="C1758" s="14" t="inlineStr">
        <is>
          <t>foo</t>
        </is>
      </c>
      <c r="D1758" s="35">
        <f>INDEX(Inputs!$V$5:$V$132,MATCH($B1758&amp;"|"&amp;$C1758,Inputs!$A$5:$A$132,0))</f>
        <v/>
      </c>
      <c r="E1758" s="39" t="n"/>
      <c r="F1758" s="39" t="n"/>
      <c r="G1758" s="39" t="n"/>
      <c r="H1758" s="14">
        <f>INDEX(VarLab,MATCH($A1758,VarKey,0))&amp;INDEX(MemLab,MATCH($C1758&amp;"|"&amp;$B1758,MemKey,0))</f>
        <v/>
      </c>
      <c r="I1758" s="14">
        <f>INDEX(VarUnit,MATCH($A1758,VarKey,0))</f>
        <v/>
      </c>
      <c r="J1758" s="14">
        <f>INDEX(VarSrc,MATCH($A1758,VarKey,0))</f>
        <v/>
      </c>
      <c r="K1758" s="11">
        <f>CodePrefix&amp;$A1758&amp;IF($C1758="","","."&amp;$C1758&amp;"."&amp;$B1758)&amp;INDEX(VarEnd,MATCH($A1758,VarKey,0))&amp;K$5</f>
        <v/>
      </c>
      <c r="L1758" s="43">
        <f>L1722*Settings!$C$13*(L1650+L1668+L1659*L$201+L1677*$D1758)</f>
        <v/>
      </c>
      <c r="M1758" s="44">
        <f>M1722*Settings!$C$13*(M1650+M1668+M1659*M$201+M1677*$D1758)</f>
        <v/>
      </c>
      <c r="N1758" s="44">
        <f>N1722*Settings!$C$13*(N1650+N1668+N1659*N$201+N1677*$D1758)</f>
        <v/>
      </c>
      <c r="O1758" s="44">
        <f>O1722*Settings!$C$13*(O1650+O1668+O1659*O$201+O1677*$D1758)</f>
        <v/>
      </c>
      <c r="P1758" s="44">
        <f>P1722*Settings!$C$13*(P1650+P1668+P1659*P$201+P1677*$D1758)</f>
        <v/>
      </c>
      <c r="Q1758" s="44">
        <f>Q1722*Settings!$C$13*(Q1650+Q1668+Q1659*Q$201+Q1677*$D1758)</f>
        <v/>
      </c>
      <c r="R1758" s="44">
        <f>R1722*Settings!$C$13*(R1650+R1668+R1659*R$201+R1677*$D1758)</f>
        <v/>
      </c>
      <c r="S1758" s="44">
        <f>S1722*Settings!$C$13*(S1650+S1668+S1659*S$201+S1677*$D1758)</f>
        <v/>
      </c>
      <c r="T1758" s="44">
        <f>T1722*Settings!$C$13*(T1650+T1668+T1659*T$201+T1677*$D1758)</f>
        <v/>
      </c>
      <c r="U1758" s="44">
        <f>U1722*Settings!$C$13*(U1650+U1668+U1659*U$201+U1677*$D1758)</f>
        <v/>
      </c>
      <c r="V1758" s="44">
        <f>V1722*Settings!$C$13*(V1650+V1668+V1659*V$201+V1677*$D1758)</f>
        <v/>
      </c>
      <c r="W1758" s="44">
        <f>W1722*Settings!$C$13*(W1650+W1668+W1659*W$201+W1677*$D1758)</f>
        <v/>
      </c>
      <c r="X1758" s="44">
        <f>X1722*Settings!$C$13*(X1650+X1668+X1659*X$201+X1677*$D1758)</f>
        <v/>
      </c>
      <c r="Y1758" s="44">
        <f>Y1722*Settings!$C$13*(Y1650+Y1668+Y1659*Y$201+Y1677*$D1758)</f>
        <v/>
      </c>
      <c r="Z1758" s="44">
        <f>Z1722*Settings!$C$13*(Z1650+Z1668+Z1659*Z$201+Z1677*$D1758)</f>
        <v/>
      </c>
      <c r="AA1758" s="44">
        <f>AA1722*Settings!$C$13*(AA1650+AA1668+AA1659*AA$201+AA1677*$D1758)</f>
        <v/>
      </c>
      <c r="AB1758" s="44">
        <f>AB1722*Settings!$C$13*(AB1650+AB1668+AB1659*AB$201+AB1677*$D1758)</f>
        <v/>
      </c>
      <c r="AC1758" s="44">
        <f>AC1722*Settings!$C$13*(AC1650+AC1668+AC1659*AC$201+AC1677*$D1758)</f>
        <v/>
      </c>
      <c r="AD1758" s="44">
        <f>AD1722*Settings!$C$13*(AD1650+AD1668+AD1659*AD$201+AD1677*$D1758)</f>
        <v/>
      </c>
      <c r="AE1758" s="57">
        <f>REVENUE(AE1722,Settings!$C$13,NEWREVRATE(AE1650,AE1668,AE1659,AE$201,AE1677,$D1758))</f>
        <v/>
      </c>
      <c r="AG1758" s="11">
        <f>CodePrefix&amp;$A1758&amp;IF($C1758="","","."&amp;$C1758&amp;"."&amp;$B1758)&amp;INDEX(VarEnd,MATCH($A1758,VarKey,0))&amp;AG$5</f>
        <v/>
      </c>
      <c r="AH1758" s="43">
        <f>AH1722*Settings!$C$13*(AH1650+AH1668+AH1659*AH$201+AH1677*$D1758)</f>
        <v/>
      </c>
      <c r="AI1758" s="44">
        <f>AI1722*Settings!$C$13*(AI1650+AI1668+AI1659*AI$201+AI1677*$D1758)</f>
        <v/>
      </c>
      <c r="AJ1758" s="44">
        <f>AJ1722*Settings!$C$13*(AJ1650+AJ1668+AJ1659*AJ$201+AJ1677*$D1758)</f>
        <v/>
      </c>
      <c r="AK1758" s="44">
        <f>AK1722*Settings!$C$13*(AK1650+AK1668+AK1659*AK$201+AK1677*$D1758)</f>
        <v/>
      </c>
      <c r="AL1758" s="44">
        <f>AL1722*Settings!$C$13*(AL1650+AL1668+AL1659*AL$201+AL1677*$D1758)</f>
        <v/>
      </c>
      <c r="AM1758" s="44">
        <f>AM1722*Settings!$C$13*(AM1650+AM1668+AM1659*AM$201+AM1677*$D1758)</f>
        <v/>
      </c>
      <c r="AN1758" s="44">
        <f>AN1722*Settings!$C$13*(AN1650+AN1668+AN1659*AN$201+AN1677*$D1758)</f>
        <v/>
      </c>
      <c r="AO1758" s="44">
        <f>AO1722*Settings!$C$13*(AO1650+AO1668+AO1659*AO$201+AO1677*$D1758)</f>
        <v/>
      </c>
      <c r="AP1758" s="44">
        <f>AP1722*Settings!$C$13*(AP1650+AP1668+AP1659*AP$201+AP1677*$D1758)</f>
        <v/>
      </c>
      <c r="AQ1758" s="44">
        <f>AQ1722*Settings!$C$13*(AQ1650+AQ1668+AQ1659*AQ$201+AQ1677*$D1758)</f>
        <v/>
      </c>
      <c r="AR1758" s="44">
        <f>AR1722*Settings!$C$13*(AR1650+AR1668+AR1659*AR$201+AR1677*$D1758)</f>
        <v/>
      </c>
      <c r="AS1758" s="44">
        <f>AS1722*Settings!$C$13*(AS1650+AS1668+AS1659*AS$201+AS1677*$D1758)</f>
        <v/>
      </c>
      <c r="AT1758" s="44">
        <f>AT1722*Settings!$C$13*(AT1650+AT1668+AT1659*AT$201+AT1677*$D1758)</f>
        <v/>
      </c>
      <c r="AU1758" s="44">
        <f>AU1722*Settings!$C$13*(AU1650+AU1668+AU1659*AU$201+AU1677*$D1758)</f>
        <v/>
      </c>
      <c r="AV1758" s="44">
        <f>AV1722*Settings!$C$13*(AV1650+AV1668+AV1659*AV$201+AV1677*$D1758)</f>
        <v/>
      </c>
      <c r="AW1758" s="44">
        <f>AW1722*Settings!$C$13*(AW1650+AW1668+AW1659*AW$201+AW1677*$D1758)</f>
        <v/>
      </c>
      <c r="AX1758" s="44">
        <f>AX1722*Settings!$C$13*(AX1650+AX1668+AX1659*AX$201+AX1677*$D1758)</f>
        <v/>
      </c>
      <c r="AY1758" s="44">
        <f>AY1722*Settings!$C$13*(AY1650+AY1668+AY1659*AY$201+AY1677*$D1758)</f>
        <v/>
      </c>
      <c r="AZ1758" s="44">
        <f>AZ1722*Settings!$C$13*(AZ1650+AZ1668+AZ1659*AZ$201+AZ1677*$D1758)</f>
        <v/>
      </c>
      <c r="BA1758" s="57">
        <f>REVENUE(BA1722,Settings!$C$13,NEWREVRATE(BA1650,BA1668,BA1659,BA$201,BA1677,$D1758))</f>
        <v/>
      </c>
    </row>
    <row r="1759" hidden="1" outlineLevel="2">
      <c r="A1759" s="14" t="inlineStr">
        <is>
          <t>rnew</t>
        </is>
      </c>
      <c r="B1759" s="14" t="inlineStr">
        <is>
          <t>nga</t>
        </is>
      </c>
      <c r="C1759" s="14" t="inlineStr">
        <is>
          <t>foo</t>
        </is>
      </c>
      <c r="D1759" s="35">
        <f>INDEX(Inputs!$V$5:$V$132,MATCH($B1759&amp;"|"&amp;$C1759,Inputs!$A$5:$A$132,0))</f>
        <v/>
      </c>
      <c r="E1759" s="39" t="n"/>
      <c r="F1759" s="39" t="n"/>
      <c r="G1759" s="39" t="n"/>
      <c r="H1759" s="14">
        <f>INDEX(VarLab,MATCH($A1759,VarKey,0))&amp;INDEX(MemLab,MATCH($C1759&amp;"|"&amp;$B1759,MemKey,0))</f>
        <v/>
      </c>
      <c r="I1759" s="14">
        <f>INDEX(VarUnit,MATCH($A1759,VarKey,0))</f>
        <v/>
      </c>
      <c r="J1759" s="14">
        <f>INDEX(VarSrc,MATCH($A1759,VarKey,0))</f>
        <v/>
      </c>
      <c r="K1759" s="11">
        <f>CodePrefix&amp;$A1759&amp;IF($C1759="","","."&amp;$C1759&amp;"."&amp;$B1759)&amp;INDEX(VarEnd,MATCH($A1759,VarKey,0))&amp;K$5</f>
        <v/>
      </c>
      <c r="L1759" s="43">
        <f>L1723*Settings!$C$13*(L1651+L1669+L1660*L$201+L1678*$D1759)</f>
        <v/>
      </c>
      <c r="M1759" s="44">
        <f>M1723*Settings!$C$13*(M1651+M1669+M1660*M$201+M1678*$D1759)</f>
        <v/>
      </c>
      <c r="N1759" s="44">
        <f>N1723*Settings!$C$13*(N1651+N1669+N1660*N$201+N1678*$D1759)</f>
        <v/>
      </c>
      <c r="O1759" s="44">
        <f>O1723*Settings!$C$13*(O1651+O1669+O1660*O$201+O1678*$D1759)</f>
        <v/>
      </c>
      <c r="P1759" s="44">
        <f>P1723*Settings!$C$13*(P1651+P1669+P1660*P$201+P1678*$D1759)</f>
        <v/>
      </c>
      <c r="Q1759" s="44">
        <f>Q1723*Settings!$C$13*(Q1651+Q1669+Q1660*Q$201+Q1678*$D1759)</f>
        <v/>
      </c>
      <c r="R1759" s="44">
        <f>R1723*Settings!$C$13*(R1651+R1669+R1660*R$201+R1678*$D1759)</f>
        <v/>
      </c>
      <c r="S1759" s="44">
        <f>S1723*Settings!$C$13*(S1651+S1669+S1660*S$201+S1678*$D1759)</f>
        <v/>
      </c>
      <c r="T1759" s="44">
        <f>T1723*Settings!$C$13*(T1651+T1669+T1660*T$201+T1678*$D1759)</f>
        <v/>
      </c>
      <c r="U1759" s="44">
        <f>U1723*Settings!$C$13*(U1651+U1669+U1660*U$201+U1678*$D1759)</f>
        <v/>
      </c>
      <c r="V1759" s="44">
        <f>V1723*Settings!$C$13*(V1651+V1669+V1660*V$201+V1678*$D1759)</f>
        <v/>
      </c>
      <c r="W1759" s="44">
        <f>W1723*Settings!$C$13*(W1651+W1669+W1660*W$201+W1678*$D1759)</f>
        <v/>
      </c>
      <c r="X1759" s="44">
        <f>X1723*Settings!$C$13*(X1651+X1669+X1660*X$201+X1678*$D1759)</f>
        <v/>
      </c>
      <c r="Y1759" s="44">
        <f>Y1723*Settings!$C$13*(Y1651+Y1669+Y1660*Y$201+Y1678*$D1759)</f>
        <v/>
      </c>
      <c r="Z1759" s="44">
        <f>Z1723*Settings!$C$13*(Z1651+Z1669+Z1660*Z$201+Z1678*$D1759)</f>
        <v/>
      </c>
      <c r="AA1759" s="44">
        <f>AA1723*Settings!$C$13*(AA1651+AA1669+AA1660*AA$201+AA1678*$D1759)</f>
        <v/>
      </c>
      <c r="AB1759" s="44">
        <f>AB1723*Settings!$C$13*(AB1651+AB1669+AB1660*AB$201+AB1678*$D1759)</f>
        <v/>
      </c>
      <c r="AC1759" s="44">
        <f>AC1723*Settings!$C$13*(AC1651+AC1669+AC1660*AC$201+AC1678*$D1759)</f>
        <v/>
      </c>
      <c r="AD1759" s="44">
        <f>AD1723*Settings!$C$13*(AD1651+AD1669+AD1660*AD$201+AD1678*$D1759)</f>
        <v/>
      </c>
      <c r="AE1759" s="57">
        <f>REVENUE(AE1723,Settings!$C$13,NEWREVRATE(AE1651,AE1669,AE1660,AE$201,AE1678,$D1759))</f>
        <v/>
      </c>
      <c r="AG1759" s="11">
        <f>CodePrefix&amp;$A1759&amp;IF($C1759="","","."&amp;$C1759&amp;"."&amp;$B1759)&amp;INDEX(VarEnd,MATCH($A1759,VarKey,0))&amp;AG$5</f>
        <v/>
      </c>
      <c r="AH1759" s="43">
        <f>AH1723*Settings!$C$13*(AH1651+AH1669+AH1660*AH$201+AH1678*$D1759)</f>
        <v/>
      </c>
      <c r="AI1759" s="44">
        <f>AI1723*Settings!$C$13*(AI1651+AI1669+AI1660*AI$201+AI1678*$D1759)</f>
        <v/>
      </c>
      <c r="AJ1759" s="44">
        <f>AJ1723*Settings!$C$13*(AJ1651+AJ1669+AJ1660*AJ$201+AJ1678*$D1759)</f>
        <v/>
      </c>
      <c r="AK1759" s="44">
        <f>AK1723*Settings!$C$13*(AK1651+AK1669+AK1660*AK$201+AK1678*$D1759)</f>
        <v/>
      </c>
      <c r="AL1759" s="44">
        <f>AL1723*Settings!$C$13*(AL1651+AL1669+AL1660*AL$201+AL1678*$D1759)</f>
        <v/>
      </c>
      <c r="AM1759" s="44">
        <f>AM1723*Settings!$C$13*(AM1651+AM1669+AM1660*AM$201+AM1678*$D1759)</f>
        <v/>
      </c>
      <c r="AN1759" s="44">
        <f>AN1723*Settings!$C$13*(AN1651+AN1669+AN1660*AN$201+AN1678*$D1759)</f>
        <v/>
      </c>
      <c r="AO1759" s="44">
        <f>AO1723*Settings!$C$13*(AO1651+AO1669+AO1660*AO$201+AO1678*$D1759)</f>
        <v/>
      </c>
      <c r="AP1759" s="44">
        <f>AP1723*Settings!$C$13*(AP1651+AP1669+AP1660*AP$201+AP1678*$D1759)</f>
        <v/>
      </c>
      <c r="AQ1759" s="44">
        <f>AQ1723*Settings!$C$13*(AQ1651+AQ1669+AQ1660*AQ$201+AQ1678*$D1759)</f>
        <v/>
      </c>
      <c r="AR1759" s="44">
        <f>AR1723*Settings!$C$13*(AR1651+AR1669+AR1660*AR$201+AR1678*$D1759)</f>
        <v/>
      </c>
      <c r="AS1759" s="44">
        <f>AS1723*Settings!$C$13*(AS1651+AS1669+AS1660*AS$201+AS1678*$D1759)</f>
        <v/>
      </c>
      <c r="AT1759" s="44">
        <f>AT1723*Settings!$C$13*(AT1651+AT1669+AT1660*AT$201+AT1678*$D1759)</f>
        <v/>
      </c>
      <c r="AU1759" s="44">
        <f>AU1723*Settings!$C$13*(AU1651+AU1669+AU1660*AU$201+AU1678*$D1759)</f>
        <v/>
      </c>
      <c r="AV1759" s="44">
        <f>AV1723*Settings!$C$13*(AV1651+AV1669+AV1660*AV$201+AV1678*$D1759)</f>
        <v/>
      </c>
      <c r="AW1759" s="44">
        <f>AW1723*Settings!$C$13*(AW1651+AW1669+AW1660*AW$201+AW1678*$D1759)</f>
        <v/>
      </c>
      <c r="AX1759" s="44">
        <f>AX1723*Settings!$C$13*(AX1651+AX1669+AX1660*AX$201+AX1678*$D1759)</f>
        <v/>
      </c>
      <c r="AY1759" s="44">
        <f>AY1723*Settings!$C$13*(AY1651+AY1669+AY1660*AY$201+AY1678*$D1759)</f>
        <v/>
      </c>
      <c r="AZ1759" s="44">
        <f>AZ1723*Settings!$C$13*(AZ1651+AZ1669+AZ1660*AZ$201+AZ1678*$D1759)</f>
        <v/>
      </c>
      <c r="BA1759" s="57">
        <f>REVENUE(BA1723,Settings!$C$13,NEWREVRATE(BA1651,BA1669,BA1660,BA$201,BA1678,$D1759))</f>
        <v/>
      </c>
    </row>
    <row r="1760" hidden="1" outlineLevel="2">
      <c r="A1760" s="14" t="inlineStr">
        <is>
          <t>rnew</t>
        </is>
      </c>
      <c r="B1760" s="14" t="inlineStr">
        <is>
          <t>gso</t>
        </is>
      </c>
      <c r="C1760" s="14" t="inlineStr">
        <is>
          <t>foo</t>
        </is>
      </c>
      <c r="D1760" s="35">
        <f>INDEX(Inputs!$V$5:$V$132,MATCH($B1760&amp;"|"&amp;$C1760,Inputs!$A$5:$A$132,0))</f>
        <v/>
      </c>
      <c r="E1760" s="39" t="n"/>
      <c r="F1760" s="39" t="n"/>
      <c r="G1760" s="39" t="n"/>
      <c r="H1760" s="14">
        <f>INDEX(VarLab,MATCH($A1760,VarKey,0))&amp;INDEX(MemLab,MATCH($C1760&amp;"|"&amp;$B1760,MemKey,0))</f>
        <v/>
      </c>
      <c r="I1760" s="14">
        <f>INDEX(VarUnit,MATCH($A1760,VarKey,0))</f>
        <v/>
      </c>
      <c r="J1760" s="14">
        <f>INDEX(VarSrc,MATCH($A1760,VarKey,0))</f>
        <v/>
      </c>
      <c r="K1760" s="11">
        <f>CodePrefix&amp;$A1760&amp;IF($C1760="","","."&amp;$C1760&amp;"."&amp;$B1760)&amp;INDEX(VarEnd,MATCH($A1760,VarKey,0))&amp;K$5</f>
        <v/>
      </c>
      <c r="L1760" s="43">
        <f>L1724*Settings!$C$13*(L1652+L1670+L1661*L$201+L1679*$D1760)</f>
        <v/>
      </c>
      <c r="M1760" s="44">
        <f>M1724*Settings!$C$13*(M1652+M1670+M1661*M$201+M1679*$D1760)</f>
        <v/>
      </c>
      <c r="N1760" s="44">
        <f>N1724*Settings!$C$13*(N1652+N1670+N1661*N$201+N1679*$D1760)</f>
        <v/>
      </c>
      <c r="O1760" s="44">
        <f>O1724*Settings!$C$13*(O1652+O1670+O1661*O$201+O1679*$D1760)</f>
        <v/>
      </c>
      <c r="P1760" s="44">
        <f>P1724*Settings!$C$13*(P1652+P1670+P1661*P$201+P1679*$D1760)</f>
        <v/>
      </c>
      <c r="Q1760" s="44">
        <f>Q1724*Settings!$C$13*(Q1652+Q1670+Q1661*Q$201+Q1679*$D1760)</f>
        <v/>
      </c>
      <c r="R1760" s="44">
        <f>R1724*Settings!$C$13*(R1652+R1670+R1661*R$201+R1679*$D1760)</f>
        <v/>
      </c>
      <c r="S1760" s="44">
        <f>S1724*Settings!$C$13*(S1652+S1670+S1661*S$201+S1679*$D1760)</f>
        <v/>
      </c>
      <c r="T1760" s="44">
        <f>T1724*Settings!$C$13*(T1652+T1670+T1661*T$201+T1679*$D1760)</f>
        <v/>
      </c>
      <c r="U1760" s="44">
        <f>U1724*Settings!$C$13*(U1652+U1670+U1661*U$201+U1679*$D1760)</f>
        <v/>
      </c>
      <c r="V1760" s="44">
        <f>V1724*Settings!$C$13*(V1652+V1670+V1661*V$201+V1679*$D1760)</f>
        <v/>
      </c>
      <c r="W1760" s="44">
        <f>W1724*Settings!$C$13*(W1652+W1670+W1661*W$201+W1679*$D1760)</f>
        <v/>
      </c>
      <c r="X1760" s="44">
        <f>X1724*Settings!$C$13*(X1652+X1670+X1661*X$201+X1679*$D1760)</f>
        <v/>
      </c>
      <c r="Y1760" s="44">
        <f>Y1724*Settings!$C$13*(Y1652+Y1670+Y1661*Y$201+Y1679*$D1760)</f>
        <v/>
      </c>
      <c r="Z1760" s="44">
        <f>Z1724*Settings!$C$13*(Z1652+Z1670+Z1661*Z$201+Z1679*$D1760)</f>
        <v/>
      </c>
      <c r="AA1760" s="44">
        <f>AA1724*Settings!$C$13*(AA1652+AA1670+AA1661*AA$201+AA1679*$D1760)</f>
        <v/>
      </c>
      <c r="AB1760" s="44">
        <f>AB1724*Settings!$C$13*(AB1652+AB1670+AB1661*AB$201+AB1679*$D1760)</f>
        <v/>
      </c>
      <c r="AC1760" s="44">
        <f>AC1724*Settings!$C$13*(AC1652+AC1670+AC1661*AC$201+AC1679*$D1760)</f>
        <v/>
      </c>
      <c r="AD1760" s="44">
        <f>AD1724*Settings!$C$13*(AD1652+AD1670+AD1661*AD$201+AD1679*$D1760)</f>
        <v/>
      </c>
      <c r="AE1760" s="57">
        <f>REVENUE(AE1724,Settings!$C$13,NEWREVRATE(AE1652,AE1670,AE1661,AE$201,AE1679,$D1760))</f>
        <v/>
      </c>
      <c r="AG1760" s="11">
        <f>CodePrefix&amp;$A1760&amp;IF($C1760="","","."&amp;$C1760&amp;"."&amp;$B1760)&amp;INDEX(VarEnd,MATCH($A1760,VarKey,0))&amp;AG$5</f>
        <v/>
      </c>
      <c r="AH1760" s="43">
        <f>AH1724*Settings!$C$13*(AH1652+AH1670+AH1661*AH$201+AH1679*$D1760)</f>
        <v/>
      </c>
      <c r="AI1760" s="44">
        <f>AI1724*Settings!$C$13*(AI1652+AI1670+AI1661*AI$201+AI1679*$D1760)</f>
        <v/>
      </c>
      <c r="AJ1760" s="44">
        <f>AJ1724*Settings!$C$13*(AJ1652+AJ1670+AJ1661*AJ$201+AJ1679*$D1760)</f>
        <v/>
      </c>
      <c r="AK1760" s="44">
        <f>AK1724*Settings!$C$13*(AK1652+AK1670+AK1661*AK$201+AK1679*$D1760)</f>
        <v/>
      </c>
      <c r="AL1760" s="44">
        <f>AL1724*Settings!$C$13*(AL1652+AL1670+AL1661*AL$201+AL1679*$D1760)</f>
        <v/>
      </c>
      <c r="AM1760" s="44">
        <f>AM1724*Settings!$C$13*(AM1652+AM1670+AM1661*AM$201+AM1679*$D1760)</f>
        <v/>
      </c>
      <c r="AN1760" s="44">
        <f>AN1724*Settings!$C$13*(AN1652+AN1670+AN1661*AN$201+AN1679*$D1760)</f>
        <v/>
      </c>
      <c r="AO1760" s="44">
        <f>AO1724*Settings!$C$13*(AO1652+AO1670+AO1661*AO$201+AO1679*$D1760)</f>
        <v/>
      </c>
      <c r="AP1760" s="44">
        <f>AP1724*Settings!$C$13*(AP1652+AP1670+AP1661*AP$201+AP1679*$D1760)</f>
        <v/>
      </c>
      <c r="AQ1760" s="44">
        <f>AQ1724*Settings!$C$13*(AQ1652+AQ1670+AQ1661*AQ$201+AQ1679*$D1760)</f>
        <v/>
      </c>
      <c r="AR1760" s="44">
        <f>AR1724*Settings!$C$13*(AR1652+AR1670+AR1661*AR$201+AR1679*$D1760)</f>
        <v/>
      </c>
      <c r="AS1760" s="44">
        <f>AS1724*Settings!$C$13*(AS1652+AS1670+AS1661*AS$201+AS1679*$D1760)</f>
        <v/>
      </c>
      <c r="AT1760" s="44">
        <f>AT1724*Settings!$C$13*(AT1652+AT1670+AT1661*AT$201+AT1679*$D1760)</f>
        <v/>
      </c>
      <c r="AU1760" s="44">
        <f>AU1724*Settings!$C$13*(AU1652+AU1670+AU1661*AU$201+AU1679*$D1760)</f>
        <v/>
      </c>
      <c r="AV1760" s="44">
        <f>AV1724*Settings!$C$13*(AV1652+AV1670+AV1661*AV$201+AV1679*$D1760)</f>
        <v/>
      </c>
      <c r="AW1760" s="44">
        <f>AW1724*Settings!$C$13*(AW1652+AW1670+AW1661*AW$201+AW1679*$D1760)</f>
        <v/>
      </c>
      <c r="AX1760" s="44">
        <f>AX1724*Settings!$C$13*(AX1652+AX1670+AX1661*AX$201+AX1679*$D1760)</f>
        <v/>
      </c>
      <c r="AY1760" s="44">
        <f>AY1724*Settings!$C$13*(AY1652+AY1670+AY1661*AY$201+AY1679*$D1760)</f>
        <v/>
      </c>
      <c r="AZ1760" s="44">
        <f>AZ1724*Settings!$C$13*(AZ1652+AZ1670+AZ1661*AZ$201+AZ1679*$D1760)</f>
        <v/>
      </c>
      <c r="BA1760" s="57">
        <f>REVENUE(BA1724,Settings!$C$13,NEWREVRATE(BA1652,BA1670,BA1661,BA$201,BA1679,$D1760))</f>
        <v/>
      </c>
    </row>
    <row r="1761" hidden="1" outlineLevel="2">
      <c r="A1761" s="14" t="inlineStr">
        <is>
          <t>rnew</t>
        </is>
      </c>
      <c r="B1761" s="14" t="inlineStr">
        <is>
          <t>die</t>
        </is>
      </c>
      <c r="C1761" s="14" t="inlineStr">
        <is>
          <t>foo</t>
        </is>
      </c>
      <c r="D1761" s="35">
        <f>INDEX(Inputs!$V$5:$V$132,MATCH($B1761&amp;"|"&amp;$C1761,Inputs!$A$5:$A$132,0))</f>
        <v/>
      </c>
      <c r="E1761" s="39" t="n"/>
      <c r="F1761" s="39" t="n"/>
      <c r="G1761" s="39" t="n"/>
      <c r="H1761" s="14">
        <f>INDEX(VarLab,MATCH($A1761,VarKey,0))&amp;INDEX(MemLab,MATCH($C1761&amp;"|"&amp;$B1761,MemKey,0))</f>
        <v/>
      </c>
      <c r="I1761" s="14">
        <f>INDEX(VarUnit,MATCH($A1761,VarKey,0))</f>
        <v/>
      </c>
      <c r="J1761" s="14">
        <f>INDEX(VarSrc,MATCH($A1761,VarKey,0))</f>
        <v/>
      </c>
      <c r="K1761" s="11">
        <f>CodePrefix&amp;$A1761&amp;IF($C1761="","","."&amp;$C1761&amp;"."&amp;$B1761)&amp;INDEX(VarEnd,MATCH($A1761,VarKey,0))&amp;K$5</f>
        <v/>
      </c>
      <c r="L1761" s="43">
        <f>L1725*Settings!$C$13*(L1653+L1671+L1662*L$201+L1680*$D1761)</f>
        <v/>
      </c>
      <c r="M1761" s="44">
        <f>M1725*Settings!$C$13*(M1653+M1671+M1662*M$201+M1680*$D1761)</f>
        <v/>
      </c>
      <c r="N1761" s="44">
        <f>N1725*Settings!$C$13*(N1653+N1671+N1662*N$201+N1680*$D1761)</f>
        <v/>
      </c>
      <c r="O1761" s="44">
        <f>O1725*Settings!$C$13*(O1653+O1671+O1662*O$201+O1680*$D1761)</f>
        <v/>
      </c>
      <c r="P1761" s="44">
        <f>P1725*Settings!$C$13*(P1653+P1671+P1662*P$201+P1680*$D1761)</f>
        <v/>
      </c>
      <c r="Q1761" s="44">
        <f>Q1725*Settings!$C$13*(Q1653+Q1671+Q1662*Q$201+Q1680*$D1761)</f>
        <v/>
      </c>
      <c r="R1761" s="44">
        <f>R1725*Settings!$C$13*(R1653+R1671+R1662*R$201+R1680*$D1761)</f>
        <v/>
      </c>
      <c r="S1761" s="44">
        <f>S1725*Settings!$C$13*(S1653+S1671+S1662*S$201+S1680*$D1761)</f>
        <v/>
      </c>
      <c r="T1761" s="44">
        <f>T1725*Settings!$C$13*(T1653+T1671+T1662*T$201+T1680*$D1761)</f>
        <v/>
      </c>
      <c r="U1761" s="44">
        <f>U1725*Settings!$C$13*(U1653+U1671+U1662*U$201+U1680*$D1761)</f>
        <v/>
      </c>
      <c r="V1761" s="44">
        <f>V1725*Settings!$C$13*(V1653+V1671+V1662*V$201+V1680*$D1761)</f>
        <v/>
      </c>
      <c r="W1761" s="44">
        <f>W1725*Settings!$C$13*(W1653+W1671+W1662*W$201+W1680*$D1761)</f>
        <v/>
      </c>
      <c r="X1761" s="44">
        <f>X1725*Settings!$C$13*(X1653+X1671+X1662*X$201+X1680*$D1761)</f>
        <v/>
      </c>
      <c r="Y1761" s="44">
        <f>Y1725*Settings!$C$13*(Y1653+Y1671+Y1662*Y$201+Y1680*$D1761)</f>
        <v/>
      </c>
      <c r="Z1761" s="44">
        <f>Z1725*Settings!$C$13*(Z1653+Z1671+Z1662*Z$201+Z1680*$D1761)</f>
        <v/>
      </c>
      <c r="AA1761" s="44">
        <f>AA1725*Settings!$C$13*(AA1653+AA1671+AA1662*AA$201+AA1680*$D1761)</f>
        <v/>
      </c>
      <c r="AB1761" s="44">
        <f>AB1725*Settings!$C$13*(AB1653+AB1671+AB1662*AB$201+AB1680*$D1761)</f>
        <v/>
      </c>
      <c r="AC1761" s="44">
        <f>AC1725*Settings!$C$13*(AC1653+AC1671+AC1662*AC$201+AC1680*$D1761)</f>
        <v/>
      </c>
      <c r="AD1761" s="44">
        <f>AD1725*Settings!$C$13*(AD1653+AD1671+AD1662*AD$201+AD1680*$D1761)</f>
        <v/>
      </c>
      <c r="AE1761" s="57">
        <f>REVENUE(AE1725,Settings!$C$13,NEWREVRATE(AE1653,AE1671,AE1662,AE$201,AE1680,$D1761))</f>
        <v/>
      </c>
      <c r="AG1761" s="11">
        <f>CodePrefix&amp;$A1761&amp;IF($C1761="","","."&amp;$C1761&amp;"."&amp;$B1761)&amp;INDEX(VarEnd,MATCH($A1761,VarKey,0))&amp;AG$5</f>
        <v/>
      </c>
      <c r="AH1761" s="43">
        <f>AH1725*Settings!$C$13*(AH1653+AH1671+AH1662*AH$201+AH1680*$D1761)</f>
        <v/>
      </c>
      <c r="AI1761" s="44">
        <f>AI1725*Settings!$C$13*(AI1653+AI1671+AI1662*AI$201+AI1680*$D1761)</f>
        <v/>
      </c>
      <c r="AJ1761" s="44">
        <f>AJ1725*Settings!$C$13*(AJ1653+AJ1671+AJ1662*AJ$201+AJ1680*$D1761)</f>
        <v/>
      </c>
      <c r="AK1761" s="44">
        <f>AK1725*Settings!$C$13*(AK1653+AK1671+AK1662*AK$201+AK1680*$D1761)</f>
        <v/>
      </c>
      <c r="AL1761" s="44">
        <f>AL1725*Settings!$C$13*(AL1653+AL1671+AL1662*AL$201+AL1680*$D1761)</f>
        <v/>
      </c>
      <c r="AM1761" s="44">
        <f>AM1725*Settings!$C$13*(AM1653+AM1671+AM1662*AM$201+AM1680*$D1761)</f>
        <v/>
      </c>
      <c r="AN1761" s="44">
        <f>AN1725*Settings!$C$13*(AN1653+AN1671+AN1662*AN$201+AN1680*$D1761)</f>
        <v/>
      </c>
      <c r="AO1761" s="44">
        <f>AO1725*Settings!$C$13*(AO1653+AO1671+AO1662*AO$201+AO1680*$D1761)</f>
        <v/>
      </c>
      <c r="AP1761" s="44">
        <f>AP1725*Settings!$C$13*(AP1653+AP1671+AP1662*AP$201+AP1680*$D1761)</f>
        <v/>
      </c>
      <c r="AQ1761" s="44">
        <f>AQ1725*Settings!$C$13*(AQ1653+AQ1671+AQ1662*AQ$201+AQ1680*$D1761)</f>
        <v/>
      </c>
      <c r="AR1761" s="44">
        <f>AR1725*Settings!$C$13*(AR1653+AR1671+AR1662*AR$201+AR1680*$D1761)</f>
        <v/>
      </c>
      <c r="AS1761" s="44">
        <f>AS1725*Settings!$C$13*(AS1653+AS1671+AS1662*AS$201+AS1680*$D1761)</f>
        <v/>
      </c>
      <c r="AT1761" s="44">
        <f>AT1725*Settings!$C$13*(AT1653+AT1671+AT1662*AT$201+AT1680*$D1761)</f>
        <v/>
      </c>
      <c r="AU1761" s="44">
        <f>AU1725*Settings!$C$13*(AU1653+AU1671+AU1662*AU$201+AU1680*$D1761)</f>
        <v/>
      </c>
      <c r="AV1761" s="44">
        <f>AV1725*Settings!$C$13*(AV1653+AV1671+AV1662*AV$201+AV1680*$D1761)</f>
        <v/>
      </c>
      <c r="AW1761" s="44">
        <f>AW1725*Settings!$C$13*(AW1653+AW1671+AW1662*AW$201+AW1680*$D1761)</f>
        <v/>
      </c>
      <c r="AX1761" s="44">
        <f>AX1725*Settings!$C$13*(AX1653+AX1671+AX1662*AX$201+AX1680*$D1761)</f>
        <v/>
      </c>
      <c r="AY1761" s="44">
        <f>AY1725*Settings!$C$13*(AY1653+AY1671+AY1662*AY$201+AY1680*$D1761)</f>
        <v/>
      </c>
      <c r="AZ1761" s="44">
        <f>AZ1725*Settings!$C$13*(AZ1653+AZ1671+AZ1662*AZ$201+AZ1680*$D1761)</f>
        <v/>
      </c>
      <c r="BA1761" s="57">
        <f>REVENUE(BA1725,Settings!$C$13,NEWREVRATE(BA1653,BA1671,BA1662,BA$201,BA1680,$D1761))</f>
        <v/>
      </c>
    </row>
    <row r="1762" hidden="1" outlineLevel="2">
      <c r="A1762" s="14" t="inlineStr">
        <is>
          <t>rnew</t>
        </is>
      </c>
      <c r="B1762" s="14" t="inlineStr">
        <is>
          <t>lpg</t>
        </is>
      </c>
      <c r="C1762" s="14" t="inlineStr">
        <is>
          <t>foo</t>
        </is>
      </c>
      <c r="D1762" s="35">
        <f>INDEX(Inputs!$V$5:$V$132,MATCH($B1762&amp;"|"&amp;$C1762,Inputs!$A$5:$A$132,0))</f>
        <v/>
      </c>
      <c r="E1762" s="39" t="n"/>
      <c r="F1762" s="39" t="n"/>
      <c r="G1762" s="39" t="n"/>
      <c r="H1762" s="14">
        <f>INDEX(VarLab,MATCH($A1762,VarKey,0))&amp;INDEX(MemLab,MATCH($C1762&amp;"|"&amp;$B1762,MemKey,0))</f>
        <v/>
      </c>
      <c r="I1762" s="14">
        <f>INDEX(VarUnit,MATCH($A1762,VarKey,0))</f>
        <v/>
      </c>
      <c r="J1762" s="14">
        <f>INDEX(VarSrc,MATCH($A1762,VarKey,0))</f>
        <v/>
      </c>
      <c r="K1762" s="11">
        <f>CodePrefix&amp;$A1762&amp;IF($C1762="","","."&amp;$C1762&amp;"."&amp;$B1762)&amp;INDEX(VarEnd,MATCH($A1762,VarKey,0))&amp;K$5</f>
        <v/>
      </c>
      <c r="L1762" s="43">
        <f>L1726*Settings!$C$13*(L1654+L1672+L1663*L$201+L1681*$D1762)</f>
        <v/>
      </c>
      <c r="M1762" s="44">
        <f>M1726*Settings!$C$13*(M1654+M1672+M1663*M$201+M1681*$D1762)</f>
        <v/>
      </c>
      <c r="N1762" s="44">
        <f>N1726*Settings!$C$13*(N1654+N1672+N1663*N$201+N1681*$D1762)</f>
        <v/>
      </c>
      <c r="O1762" s="44">
        <f>O1726*Settings!$C$13*(O1654+O1672+O1663*O$201+O1681*$D1762)</f>
        <v/>
      </c>
      <c r="P1762" s="44">
        <f>P1726*Settings!$C$13*(P1654+P1672+P1663*P$201+P1681*$D1762)</f>
        <v/>
      </c>
      <c r="Q1762" s="44">
        <f>Q1726*Settings!$C$13*(Q1654+Q1672+Q1663*Q$201+Q1681*$D1762)</f>
        <v/>
      </c>
      <c r="R1762" s="44">
        <f>R1726*Settings!$C$13*(R1654+R1672+R1663*R$201+R1681*$D1762)</f>
        <v/>
      </c>
      <c r="S1762" s="44">
        <f>S1726*Settings!$C$13*(S1654+S1672+S1663*S$201+S1681*$D1762)</f>
        <v/>
      </c>
      <c r="T1762" s="44">
        <f>T1726*Settings!$C$13*(T1654+T1672+T1663*T$201+T1681*$D1762)</f>
        <v/>
      </c>
      <c r="U1762" s="44">
        <f>U1726*Settings!$C$13*(U1654+U1672+U1663*U$201+U1681*$D1762)</f>
        <v/>
      </c>
      <c r="V1762" s="44">
        <f>V1726*Settings!$C$13*(V1654+V1672+V1663*V$201+V1681*$D1762)</f>
        <v/>
      </c>
      <c r="W1762" s="44">
        <f>W1726*Settings!$C$13*(W1654+W1672+W1663*W$201+W1681*$D1762)</f>
        <v/>
      </c>
      <c r="X1762" s="44">
        <f>X1726*Settings!$C$13*(X1654+X1672+X1663*X$201+X1681*$D1762)</f>
        <v/>
      </c>
      <c r="Y1762" s="44">
        <f>Y1726*Settings!$C$13*(Y1654+Y1672+Y1663*Y$201+Y1681*$D1762)</f>
        <v/>
      </c>
      <c r="Z1762" s="44">
        <f>Z1726*Settings!$C$13*(Z1654+Z1672+Z1663*Z$201+Z1681*$D1762)</f>
        <v/>
      </c>
      <c r="AA1762" s="44">
        <f>AA1726*Settings!$C$13*(AA1654+AA1672+AA1663*AA$201+AA1681*$D1762)</f>
        <v/>
      </c>
      <c r="AB1762" s="44">
        <f>AB1726*Settings!$C$13*(AB1654+AB1672+AB1663*AB$201+AB1681*$D1762)</f>
        <v/>
      </c>
      <c r="AC1762" s="44">
        <f>AC1726*Settings!$C$13*(AC1654+AC1672+AC1663*AC$201+AC1681*$D1762)</f>
        <v/>
      </c>
      <c r="AD1762" s="44">
        <f>AD1726*Settings!$C$13*(AD1654+AD1672+AD1663*AD$201+AD1681*$D1762)</f>
        <v/>
      </c>
      <c r="AE1762" s="57">
        <f>REVENUE(AE1726,Settings!$C$13,NEWREVRATE(AE1654,AE1672,AE1663,AE$201,AE1681,$D1762))</f>
        <v/>
      </c>
      <c r="AG1762" s="11">
        <f>CodePrefix&amp;$A1762&amp;IF($C1762="","","."&amp;$C1762&amp;"."&amp;$B1762)&amp;INDEX(VarEnd,MATCH($A1762,VarKey,0))&amp;AG$5</f>
        <v/>
      </c>
      <c r="AH1762" s="43">
        <f>AH1726*Settings!$C$13*(AH1654+AH1672+AH1663*AH$201+AH1681*$D1762)</f>
        <v/>
      </c>
      <c r="AI1762" s="44">
        <f>AI1726*Settings!$C$13*(AI1654+AI1672+AI1663*AI$201+AI1681*$D1762)</f>
        <v/>
      </c>
      <c r="AJ1762" s="44">
        <f>AJ1726*Settings!$C$13*(AJ1654+AJ1672+AJ1663*AJ$201+AJ1681*$D1762)</f>
        <v/>
      </c>
      <c r="AK1762" s="44">
        <f>AK1726*Settings!$C$13*(AK1654+AK1672+AK1663*AK$201+AK1681*$D1762)</f>
        <v/>
      </c>
      <c r="AL1762" s="44">
        <f>AL1726*Settings!$C$13*(AL1654+AL1672+AL1663*AL$201+AL1681*$D1762)</f>
        <v/>
      </c>
      <c r="AM1762" s="44">
        <f>AM1726*Settings!$C$13*(AM1654+AM1672+AM1663*AM$201+AM1681*$D1762)</f>
        <v/>
      </c>
      <c r="AN1762" s="44">
        <f>AN1726*Settings!$C$13*(AN1654+AN1672+AN1663*AN$201+AN1681*$D1762)</f>
        <v/>
      </c>
      <c r="AO1762" s="44">
        <f>AO1726*Settings!$C$13*(AO1654+AO1672+AO1663*AO$201+AO1681*$D1762)</f>
        <v/>
      </c>
      <c r="AP1762" s="44">
        <f>AP1726*Settings!$C$13*(AP1654+AP1672+AP1663*AP$201+AP1681*$D1762)</f>
        <v/>
      </c>
      <c r="AQ1762" s="44">
        <f>AQ1726*Settings!$C$13*(AQ1654+AQ1672+AQ1663*AQ$201+AQ1681*$D1762)</f>
        <v/>
      </c>
      <c r="AR1762" s="44">
        <f>AR1726*Settings!$C$13*(AR1654+AR1672+AR1663*AR$201+AR1681*$D1762)</f>
        <v/>
      </c>
      <c r="AS1762" s="44">
        <f>AS1726*Settings!$C$13*(AS1654+AS1672+AS1663*AS$201+AS1681*$D1762)</f>
        <v/>
      </c>
      <c r="AT1762" s="44">
        <f>AT1726*Settings!$C$13*(AT1654+AT1672+AT1663*AT$201+AT1681*$D1762)</f>
        <v/>
      </c>
      <c r="AU1762" s="44">
        <f>AU1726*Settings!$C$13*(AU1654+AU1672+AU1663*AU$201+AU1681*$D1762)</f>
        <v/>
      </c>
      <c r="AV1762" s="44">
        <f>AV1726*Settings!$C$13*(AV1654+AV1672+AV1663*AV$201+AV1681*$D1762)</f>
        <v/>
      </c>
      <c r="AW1762" s="44">
        <f>AW1726*Settings!$C$13*(AW1654+AW1672+AW1663*AW$201+AW1681*$D1762)</f>
        <v/>
      </c>
      <c r="AX1762" s="44">
        <f>AX1726*Settings!$C$13*(AX1654+AX1672+AX1663*AX$201+AX1681*$D1762)</f>
        <v/>
      </c>
      <c r="AY1762" s="44">
        <f>AY1726*Settings!$C$13*(AY1654+AY1672+AY1663*AY$201+AY1681*$D1762)</f>
        <v/>
      </c>
      <c r="AZ1762" s="44">
        <f>AZ1726*Settings!$C$13*(AZ1654+AZ1672+AZ1663*AZ$201+AZ1681*$D1762)</f>
        <v/>
      </c>
      <c r="BA1762" s="57">
        <f>REVENUE(BA1726,Settings!$C$13,NEWREVRATE(BA1654,BA1672,BA1663,BA$201,BA1681,$D1762))</f>
        <v/>
      </c>
    </row>
    <row r="1763" hidden="1" outlineLevel="2">
      <c r="A1763" s="14" t="inlineStr">
        <is>
          <t>rnew</t>
        </is>
      </c>
      <c r="B1763" s="14" t="inlineStr">
        <is>
          <t>ker</t>
        </is>
      </c>
      <c r="C1763" s="14" t="inlineStr">
        <is>
          <t>foo</t>
        </is>
      </c>
      <c r="D1763" s="35">
        <f>INDEX(Inputs!$V$5:$V$132,MATCH($B1763&amp;"|"&amp;$C1763,Inputs!$A$5:$A$132,0))</f>
        <v/>
      </c>
      <c r="E1763" s="39" t="n"/>
      <c r="F1763" s="39" t="n"/>
      <c r="G1763" s="39" t="n"/>
      <c r="H1763" s="14">
        <f>INDEX(VarLab,MATCH($A1763,VarKey,0))&amp;INDEX(MemLab,MATCH($C1763&amp;"|"&amp;$B1763,MemKey,0))</f>
        <v/>
      </c>
      <c r="I1763" s="14">
        <f>INDEX(VarUnit,MATCH($A1763,VarKey,0))</f>
        <v/>
      </c>
      <c r="J1763" s="14">
        <f>INDEX(VarSrc,MATCH($A1763,VarKey,0))</f>
        <v/>
      </c>
      <c r="K1763" s="11">
        <f>CodePrefix&amp;$A1763&amp;IF($C1763="","","."&amp;$C1763&amp;"."&amp;$B1763)&amp;INDEX(VarEnd,MATCH($A1763,VarKey,0))&amp;K$5</f>
        <v/>
      </c>
      <c r="L1763" s="43">
        <f>L1727*Settings!$C$13*(L1655+L1673+L1664*L$201+L1682*$D1763)</f>
        <v/>
      </c>
      <c r="M1763" s="44">
        <f>M1727*Settings!$C$13*(M1655+M1673+M1664*M$201+M1682*$D1763)</f>
        <v/>
      </c>
      <c r="N1763" s="44">
        <f>N1727*Settings!$C$13*(N1655+N1673+N1664*N$201+N1682*$D1763)</f>
        <v/>
      </c>
      <c r="O1763" s="44">
        <f>O1727*Settings!$C$13*(O1655+O1673+O1664*O$201+O1682*$D1763)</f>
        <v/>
      </c>
      <c r="P1763" s="44">
        <f>P1727*Settings!$C$13*(P1655+P1673+P1664*P$201+P1682*$D1763)</f>
        <v/>
      </c>
      <c r="Q1763" s="44">
        <f>Q1727*Settings!$C$13*(Q1655+Q1673+Q1664*Q$201+Q1682*$D1763)</f>
        <v/>
      </c>
      <c r="R1763" s="44">
        <f>R1727*Settings!$C$13*(R1655+R1673+R1664*R$201+R1682*$D1763)</f>
        <v/>
      </c>
      <c r="S1763" s="44">
        <f>S1727*Settings!$C$13*(S1655+S1673+S1664*S$201+S1682*$D1763)</f>
        <v/>
      </c>
      <c r="T1763" s="44">
        <f>T1727*Settings!$C$13*(T1655+T1673+T1664*T$201+T1682*$D1763)</f>
        <v/>
      </c>
      <c r="U1763" s="44">
        <f>U1727*Settings!$C$13*(U1655+U1673+U1664*U$201+U1682*$D1763)</f>
        <v/>
      </c>
      <c r="V1763" s="44">
        <f>V1727*Settings!$C$13*(V1655+V1673+V1664*V$201+V1682*$D1763)</f>
        <v/>
      </c>
      <c r="W1763" s="44">
        <f>W1727*Settings!$C$13*(W1655+W1673+W1664*W$201+W1682*$D1763)</f>
        <v/>
      </c>
      <c r="X1763" s="44">
        <f>X1727*Settings!$C$13*(X1655+X1673+X1664*X$201+X1682*$D1763)</f>
        <v/>
      </c>
      <c r="Y1763" s="44">
        <f>Y1727*Settings!$C$13*(Y1655+Y1673+Y1664*Y$201+Y1682*$D1763)</f>
        <v/>
      </c>
      <c r="Z1763" s="44">
        <f>Z1727*Settings!$C$13*(Z1655+Z1673+Z1664*Z$201+Z1682*$D1763)</f>
        <v/>
      </c>
      <c r="AA1763" s="44">
        <f>AA1727*Settings!$C$13*(AA1655+AA1673+AA1664*AA$201+AA1682*$D1763)</f>
        <v/>
      </c>
      <c r="AB1763" s="44">
        <f>AB1727*Settings!$C$13*(AB1655+AB1673+AB1664*AB$201+AB1682*$D1763)</f>
        <v/>
      </c>
      <c r="AC1763" s="44">
        <f>AC1727*Settings!$C$13*(AC1655+AC1673+AC1664*AC$201+AC1682*$D1763)</f>
        <v/>
      </c>
      <c r="AD1763" s="44">
        <f>AD1727*Settings!$C$13*(AD1655+AD1673+AD1664*AD$201+AD1682*$D1763)</f>
        <v/>
      </c>
      <c r="AE1763" s="57">
        <f>REVENUE(AE1727,Settings!$C$13,NEWREVRATE(AE1655,AE1673,AE1664,AE$201,AE1682,$D1763))</f>
        <v/>
      </c>
      <c r="AG1763" s="11">
        <f>CodePrefix&amp;$A1763&amp;IF($C1763="","","."&amp;$C1763&amp;"."&amp;$B1763)&amp;INDEX(VarEnd,MATCH($A1763,VarKey,0))&amp;AG$5</f>
        <v/>
      </c>
      <c r="AH1763" s="43">
        <f>AH1727*Settings!$C$13*(AH1655+AH1673+AH1664*AH$201+AH1682*$D1763)</f>
        <v/>
      </c>
      <c r="AI1763" s="44">
        <f>AI1727*Settings!$C$13*(AI1655+AI1673+AI1664*AI$201+AI1682*$D1763)</f>
        <v/>
      </c>
      <c r="AJ1763" s="44">
        <f>AJ1727*Settings!$C$13*(AJ1655+AJ1673+AJ1664*AJ$201+AJ1682*$D1763)</f>
        <v/>
      </c>
      <c r="AK1763" s="44">
        <f>AK1727*Settings!$C$13*(AK1655+AK1673+AK1664*AK$201+AK1682*$D1763)</f>
        <v/>
      </c>
      <c r="AL1763" s="44">
        <f>AL1727*Settings!$C$13*(AL1655+AL1673+AL1664*AL$201+AL1682*$D1763)</f>
        <v/>
      </c>
      <c r="AM1763" s="44">
        <f>AM1727*Settings!$C$13*(AM1655+AM1673+AM1664*AM$201+AM1682*$D1763)</f>
        <v/>
      </c>
      <c r="AN1763" s="44">
        <f>AN1727*Settings!$C$13*(AN1655+AN1673+AN1664*AN$201+AN1682*$D1763)</f>
        <v/>
      </c>
      <c r="AO1763" s="44">
        <f>AO1727*Settings!$C$13*(AO1655+AO1673+AO1664*AO$201+AO1682*$D1763)</f>
        <v/>
      </c>
      <c r="AP1763" s="44">
        <f>AP1727*Settings!$C$13*(AP1655+AP1673+AP1664*AP$201+AP1682*$D1763)</f>
        <v/>
      </c>
      <c r="AQ1763" s="44">
        <f>AQ1727*Settings!$C$13*(AQ1655+AQ1673+AQ1664*AQ$201+AQ1682*$D1763)</f>
        <v/>
      </c>
      <c r="AR1763" s="44">
        <f>AR1727*Settings!$C$13*(AR1655+AR1673+AR1664*AR$201+AR1682*$D1763)</f>
        <v/>
      </c>
      <c r="AS1763" s="44">
        <f>AS1727*Settings!$C$13*(AS1655+AS1673+AS1664*AS$201+AS1682*$D1763)</f>
        <v/>
      </c>
      <c r="AT1763" s="44">
        <f>AT1727*Settings!$C$13*(AT1655+AT1673+AT1664*AT$201+AT1682*$D1763)</f>
        <v/>
      </c>
      <c r="AU1763" s="44">
        <f>AU1727*Settings!$C$13*(AU1655+AU1673+AU1664*AU$201+AU1682*$D1763)</f>
        <v/>
      </c>
      <c r="AV1763" s="44">
        <f>AV1727*Settings!$C$13*(AV1655+AV1673+AV1664*AV$201+AV1682*$D1763)</f>
        <v/>
      </c>
      <c r="AW1763" s="44">
        <f>AW1727*Settings!$C$13*(AW1655+AW1673+AW1664*AW$201+AW1682*$D1763)</f>
        <v/>
      </c>
      <c r="AX1763" s="44">
        <f>AX1727*Settings!$C$13*(AX1655+AX1673+AX1664*AX$201+AX1682*$D1763)</f>
        <v/>
      </c>
      <c r="AY1763" s="44">
        <f>AY1727*Settings!$C$13*(AY1655+AY1673+AY1664*AY$201+AY1682*$D1763)</f>
        <v/>
      </c>
      <c r="AZ1763" s="44">
        <f>AZ1727*Settings!$C$13*(AZ1655+AZ1673+AZ1664*AZ$201+AZ1682*$D1763)</f>
        <v/>
      </c>
      <c r="BA1763" s="57">
        <f>REVENUE(BA1727,Settings!$C$13,NEWREVRATE(BA1655,BA1673,BA1664,BA$201,BA1682,$D1763))</f>
        <v/>
      </c>
    </row>
    <row r="1764" hidden="1" outlineLevel="2">
      <c r="A1764" s="14" t="inlineStr">
        <is>
          <t>rnew</t>
        </is>
      </c>
      <c r="B1764" s="14" t="inlineStr">
        <is>
          <t>oop</t>
        </is>
      </c>
      <c r="C1764" s="14" t="inlineStr">
        <is>
          <t>foo</t>
        </is>
      </c>
      <c r="D1764" s="35">
        <f>INDEX(Inputs!$V$5:$V$132,MATCH($B1764&amp;"|"&amp;$C1764,Inputs!$A$5:$A$132,0))</f>
        <v/>
      </c>
      <c r="E1764" s="39" t="n"/>
      <c r="F1764" s="39" t="n"/>
      <c r="G1764" s="39" t="n"/>
      <c r="H1764" s="14">
        <f>INDEX(VarLab,MATCH($A1764,VarKey,0))&amp;INDEX(MemLab,MATCH($C1764&amp;"|"&amp;$B1764,MemKey,0))</f>
        <v/>
      </c>
      <c r="I1764" s="14">
        <f>INDEX(VarUnit,MATCH($A1764,VarKey,0))</f>
        <v/>
      </c>
      <c r="J1764" s="14">
        <f>INDEX(VarSrc,MATCH($A1764,VarKey,0))</f>
        <v/>
      </c>
      <c r="K1764" s="11">
        <f>CodePrefix&amp;$A1764&amp;IF($C1764="","","."&amp;$C1764&amp;"."&amp;$B1764)&amp;INDEX(VarEnd,MATCH($A1764,VarKey,0))&amp;K$5</f>
        <v/>
      </c>
      <c r="L1764" s="43">
        <f>L1728*Settings!$C$13*(L1656+L1674+L1665*L$201+L1683*$D1764)</f>
        <v/>
      </c>
      <c r="M1764" s="44">
        <f>M1728*Settings!$C$13*(M1656+M1674+M1665*M$201+M1683*$D1764)</f>
        <v/>
      </c>
      <c r="N1764" s="44">
        <f>N1728*Settings!$C$13*(N1656+N1674+N1665*N$201+N1683*$D1764)</f>
        <v/>
      </c>
      <c r="O1764" s="44">
        <f>O1728*Settings!$C$13*(O1656+O1674+O1665*O$201+O1683*$D1764)</f>
        <v/>
      </c>
      <c r="P1764" s="44">
        <f>P1728*Settings!$C$13*(P1656+P1674+P1665*P$201+P1683*$D1764)</f>
        <v/>
      </c>
      <c r="Q1764" s="44">
        <f>Q1728*Settings!$C$13*(Q1656+Q1674+Q1665*Q$201+Q1683*$D1764)</f>
        <v/>
      </c>
      <c r="R1764" s="44">
        <f>R1728*Settings!$C$13*(R1656+R1674+R1665*R$201+R1683*$D1764)</f>
        <v/>
      </c>
      <c r="S1764" s="44">
        <f>S1728*Settings!$C$13*(S1656+S1674+S1665*S$201+S1683*$D1764)</f>
        <v/>
      </c>
      <c r="T1764" s="44">
        <f>T1728*Settings!$C$13*(T1656+T1674+T1665*T$201+T1683*$D1764)</f>
        <v/>
      </c>
      <c r="U1764" s="44">
        <f>U1728*Settings!$C$13*(U1656+U1674+U1665*U$201+U1683*$D1764)</f>
        <v/>
      </c>
      <c r="V1764" s="44">
        <f>V1728*Settings!$C$13*(V1656+V1674+V1665*V$201+V1683*$D1764)</f>
        <v/>
      </c>
      <c r="W1764" s="44">
        <f>W1728*Settings!$C$13*(W1656+W1674+W1665*W$201+W1683*$D1764)</f>
        <v/>
      </c>
      <c r="X1764" s="44">
        <f>X1728*Settings!$C$13*(X1656+X1674+X1665*X$201+X1683*$D1764)</f>
        <v/>
      </c>
      <c r="Y1764" s="44">
        <f>Y1728*Settings!$C$13*(Y1656+Y1674+Y1665*Y$201+Y1683*$D1764)</f>
        <v/>
      </c>
      <c r="Z1764" s="44">
        <f>Z1728*Settings!$C$13*(Z1656+Z1674+Z1665*Z$201+Z1683*$D1764)</f>
        <v/>
      </c>
      <c r="AA1764" s="44">
        <f>AA1728*Settings!$C$13*(AA1656+AA1674+AA1665*AA$201+AA1683*$D1764)</f>
        <v/>
      </c>
      <c r="AB1764" s="44">
        <f>AB1728*Settings!$C$13*(AB1656+AB1674+AB1665*AB$201+AB1683*$D1764)</f>
        <v/>
      </c>
      <c r="AC1764" s="44">
        <f>AC1728*Settings!$C$13*(AC1656+AC1674+AC1665*AC$201+AC1683*$D1764)</f>
        <v/>
      </c>
      <c r="AD1764" s="44">
        <f>AD1728*Settings!$C$13*(AD1656+AD1674+AD1665*AD$201+AD1683*$D1764)</f>
        <v/>
      </c>
      <c r="AE1764" s="57">
        <f>REVENUE(AE1728,Settings!$C$13,NEWREVRATE(AE1656,AE1674,AE1665,AE$201,AE1683,$D1764))</f>
        <v/>
      </c>
      <c r="AG1764" s="11">
        <f>CodePrefix&amp;$A1764&amp;IF($C1764="","","."&amp;$C1764&amp;"."&amp;$B1764)&amp;INDEX(VarEnd,MATCH($A1764,VarKey,0))&amp;AG$5</f>
        <v/>
      </c>
      <c r="AH1764" s="43">
        <f>AH1728*Settings!$C$13*(AH1656+AH1674+AH1665*AH$201+AH1683*$D1764)</f>
        <v/>
      </c>
      <c r="AI1764" s="44">
        <f>AI1728*Settings!$C$13*(AI1656+AI1674+AI1665*AI$201+AI1683*$D1764)</f>
        <v/>
      </c>
      <c r="AJ1764" s="44">
        <f>AJ1728*Settings!$C$13*(AJ1656+AJ1674+AJ1665*AJ$201+AJ1683*$D1764)</f>
        <v/>
      </c>
      <c r="AK1764" s="44">
        <f>AK1728*Settings!$C$13*(AK1656+AK1674+AK1665*AK$201+AK1683*$D1764)</f>
        <v/>
      </c>
      <c r="AL1764" s="44">
        <f>AL1728*Settings!$C$13*(AL1656+AL1674+AL1665*AL$201+AL1683*$D1764)</f>
        <v/>
      </c>
      <c r="AM1764" s="44">
        <f>AM1728*Settings!$C$13*(AM1656+AM1674+AM1665*AM$201+AM1683*$D1764)</f>
        <v/>
      </c>
      <c r="AN1764" s="44">
        <f>AN1728*Settings!$C$13*(AN1656+AN1674+AN1665*AN$201+AN1683*$D1764)</f>
        <v/>
      </c>
      <c r="AO1764" s="44">
        <f>AO1728*Settings!$C$13*(AO1656+AO1674+AO1665*AO$201+AO1683*$D1764)</f>
        <v/>
      </c>
      <c r="AP1764" s="44">
        <f>AP1728*Settings!$C$13*(AP1656+AP1674+AP1665*AP$201+AP1683*$D1764)</f>
        <v/>
      </c>
      <c r="AQ1764" s="44">
        <f>AQ1728*Settings!$C$13*(AQ1656+AQ1674+AQ1665*AQ$201+AQ1683*$D1764)</f>
        <v/>
      </c>
      <c r="AR1764" s="44">
        <f>AR1728*Settings!$C$13*(AR1656+AR1674+AR1665*AR$201+AR1683*$D1764)</f>
        <v/>
      </c>
      <c r="AS1764" s="44">
        <f>AS1728*Settings!$C$13*(AS1656+AS1674+AS1665*AS$201+AS1683*$D1764)</f>
        <v/>
      </c>
      <c r="AT1764" s="44">
        <f>AT1728*Settings!$C$13*(AT1656+AT1674+AT1665*AT$201+AT1683*$D1764)</f>
        <v/>
      </c>
      <c r="AU1764" s="44">
        <f>AU1728*Settings!$C$13*(AU1656+AU1674+AU1665*AU$201+AU1683*$D1764)</f>
        <v/>
      </c>
      <c r="AV1764" s="44">
        <f>AV1728*Settings!$C$13*(AV1656+AV1674+AV1665*AV$201+AV1683*$D1764)</f>
        <v/>
      </c>
      <c r="AW1764" s="44">
        <f>AW1728*Settings!$C$13*(AW1656+AW1674+AW1665*AW$201+AW1683*$D1764)</f>
        <v/>
      </c>
      <c r="AX1764" s="44">
        <f>AX1728*Settings!$C$13*(AX1656+AX1674+AX1665*AX$201+AX1683*$D1764)</f>
        <v/>
      </c>
      <c r="AY1764" s="44">
        <f>AY1728*Settings!$C$13*(AY1656+AY1674+AY1665*AY$201+AY1683*$D1764)</f>
        <v/>
      </c>
      <c r="AZ1764" s="44">
        <f>AZ1728*Settings!$C$13*(AZ1656+AZ1674+AZ1665*AZ$201+AZ1683*$D1764)</f>
        <v/>
      </c>
      <c r="BA1764" s="57">
        <f>REVENUE(BA1728,Settings!$C$13,NEWREVRATE(BA1656,BA1674,BA1665,BA$201,BA1683,$D1764))</f>
        <v/>
      </c>
    </row>
    <row r="1765" hidden="1" outlineLevel="2">
      <c r="A1765" s="14" t="inlineStr">
        <is>
          <t>rnew</t>
        </is>
      </c>
      <c r="B1765" s="14" t="inlineStr">
        <is>
          <t>bio</t>
        </is>
      </c>
      <c r="C1765" s="14" t="inlineStr">
        <is>
          <t>foo</t>
        </is>
      </c>
      <c r="D1765" s="35">
        <f>INDEX(Inputs!$V$5:$V$132,MATCH($B1765&amp;"|"&amp;$C1765,Inputs!$A$5:$A$132,0))</f>
        <v/>
      </c>
      <c r="E1765" s="39" t="n"/>
      <c r="F1765" s="39" t="n"/>
      <c r="G1765" s="39" t="n"/>
      <c r="H1765" s="14">
        <f>INDEX(VarLab,MATCH($A1765,VarKey,0))&amp;INDEX(MemLab,MATCH($C1765&amp;"|"&amp;$B1765,MemKey,0))</f>
        <v/>
      </c>
      <c r="I1765" s="14">
        <f>INDEX(VarUnit,MATCH($A1765,VarKey,0))</f>
        <v/>
      </c>
      <c r="J1765" s="14">
        <f>INDEX(VarSrc,MATCH($A1765,VarKey,0))</f>
        <v/>
      </c>
      <c r="K1765" s="11">
        <f>CodePrefix&amp;$A1765&amp;IF($C1765="","","."&amp;$C1765&amp;"."&amp;$B1765)&amp;INDEX(VarEnd,MATCH($A1765,VarKey,0))&amp;K$5</f>
        <v/>
      </c>
      <c r="L1765" s="43">
        <f>L1729*Settings!$C$13*(L1657+L1675+L1666*L$201+L1684*$D1765)</f>
        <v/>
      </c>
      <c r="M1765" s="44">
        <f>M1729*Settings!$C$13*(M1657+M1675+M1666*M$201+M1684*$D1765)</f>
        <v/>
      </c>
      <c r="N1765" s="44">
        <f>N1729*Settings!$C$13*(N1657+N1675+N1666*N$201+N1684*$D1765)</f>
        <v/>
      </c>
      <c r="O1765" s="44">
        <f>O1729*Settings!$C$13*(O1657+O1675+O1666*O$201+O1684*$D1765)</f>
        <v/>
      </c>
      <c r="P1765" s="44">
        <f>P1729*Settings!$C$13*(P1657+P1675+P1666*P$201+P1684*$D1765)</f>
        <v/>
      </c>
      <c r="Q1765" s="44">
        <f>Q1729*Settings!$C$13*(Q1657+Q1675+Q1666*Q$201+Q1684*$D1765)</f>
        <v/>
      </c>
      <c r="R1765" s="44">
        <f>R1729*Settings!$C$13*(R1657+R1675+R1666*R$201+R1684*$D1765)</f>
        <v/>
      </c>
      <c r="S1765" s="44">
        <f>S1729*Settings!$C$13*(S1657+S1675+S1666*S$201+S1684*$D1765)</f>
        <v/>
      </c>
      <c r="T1765" s="44">
        <f>T1729*Settings!$C$13*(T1657+T1675+T1666*T$201+T1684*$D1765)</f>
        <v/>
      </c>
      <c r="U1765" s="44">
        <f>U1729*Settings!$C$13*(U1657+U1675+U1666*U$201+U1684*$D1765)</f>
        <v/>
      </c>
      <c r="V1765" s="44">
        <f>V1729*Settings!$C$13*(V1657+V1675+V1666*V$201+V1684*$D1765)</f>
        <v/>
      </c>
      <c r="W1765" s="44">
        <f>W1729*Settings!$C$13*(W1657+W1675+W1666*W$201+W1684*$D1765)</f>
        <v/>
      </c>
      <c r="X1765" s="44">
        <f>X1729*Settings!$C$13*(X1657+X1675+X1666*X$201+X1684*$D1765)</f>
        <v/>
      </c>
      <c r="Y1765" s="44">
        <f>Y1729*Settings!$C$13*(Y1657+Y1675+Y1666*Y$201+Y1684*$D1765)</f>
        <v/>
      </c>
      <c r="Z1765" s="44">
        <f>Z1729*Settings!$C$13*(Z1657+Z1675+Z1666*Z$201+Z1684*$D1765)</f>
        <v/>
      </c>
      <c r="AA1765" s="44">
        <f>AA1729*Settings!$C$13*(AA1657+AA1675+AA1666*AA$201+AA1684*$D1765)</f>
        <v/>
      </c>
      <c r="AB1765" s="44">
        <f>AB1729*Settings!$C$13*(AB1657+AB1675+AB1666*AB$201+AB1684*$D1765)</f>
        <v/>
      </c>
      <c r="AC1765" s="44">
        <f>AC1729*Settings!$C$13*(AC1657+AC1675+AC1666*AC$201+AC1684*$D1765)</f>
        <v/>
      </c>
      <c r="AD1765" s="44">
        <f>AD1729*Settings!$C$13*(AD1657+AD1675+AD1666*AD$201+AD1684*$D1765)</f>
        <v/>
      </c>
      <c r="AE1765" s="57">
        <f>REVENUE(AE1729,Settings!$C$13,NEWREVRATE(AE1657,AE1675,AE1666,AE$201,AE1684,$D1765))</f>
        <v/>
      </c>
      <c r="AG1765" s="11">
        <f>CodePrefix&amp;$A1765&amp;IF($C1765="","","."&amp;$C1765&amp;"."&amp;$B1765)&amp;INDEX(VarEnd,MATCH($A1765,VarKey,0))&amp;AG$5</f>
        <v/>
      </c>
      <c r="AH1765" s="43">
        <f>AH1729*Settings!$C$13*(AH1657+AH1675+AH1666*AH$201+AH1684*$D1765)</f>
        <v/>
      </c>
      <c r="AI1765" s="44">
        <f>AI1729*Settings!$C$13*(AI1657+AI1675+AI1666*AI$201+AI1684*$D1765)</f>
        <v/>
      </c>
      <c r="AJ1765" s="44">
        <f>AJ1729*Settings!$C$13*(AJ1657+AJ1675+AJ1666*AJ$201+AJ1684*$D1765)</f>
        <v/>
      </c>
      <c r="AK1765" s="44">
        <f>AK1729*Settings!$C$13*(AK1657+AK1675+AK1666*AK$201+AK1684*$D1765)</f>
        <v/>
      </c>
      <c r="AL1765" s="44">
        <f>AL1729*Settings!$C$13*(AL1657+AL1675+AL1666*AL$201+AL1684*$D1765)</f>
        <v/>
      </c>
      <c r="AM1765" s="44">
        <f>AM1729*Settings!$C$13*(AM1657+AM1675+AM1666*AM$201+AM1684*$D1765)</f>
        <v/>
      </c>
      <c r="AN1765" s="44">
        <f>AN1729*Settings!$C$13*(AN1657+AN1675+AN1666*AN$201+AN1684*$D1765)</f>
        <v/>
      </c>
      <c r="AO1765" s="44">
        <f>AO1729*Settings!$C$13*(AO1657+AO1675+AO1666*AO$201+AO1684*$D1765)</f>
        <v/>
      </c>
      <c r="AP1765" s="44">
        <f>AP1729*Settings!$C$13*(AP1657+AP1675+AP1666*AP$201+AP1684*$D1765)</f>
        <v/>
      </c>
      <c r="AQ1765" s="44">
        <f>AQ1729*Settings!$C$13*(AQ1657+AQ1675+AQ1666*AQ$201+AQ1684*$D1765)</f>
        <v/>
      </c>
      <c r="AR1765" s="44">
        <f>AR1729*Settings!$C$13*(AR1657+AR1675+AR1666*AR$201+AR1684*$D1765)</f>
        <v/>
      </c>
      <c r="AS1765" s="44">
        <f>AS1729*Settings!$C$13*(AS1657+AS1675+AS1666*AS$201+AS1684*$D1765)</f>
        <v/>
      </c>
      <c r="AT1765" s="44">
        <f>AT1729*Settings!$C$13*(AT1657+AT1675+AT1666*AT$201+AT1684*$D1765)</f>
        <v/>
      </c>
      <c r="AU1765" s="44">
        <f>AU1729*Settings!$C$13*(AU1657+AU1675+AU1666*AU$201+AU1684*$D1765)</f>
        <v/>
      </c>
      <c r="AV1765" s="44">
        <f>AV1729*Settings!$C$13*(AV1657+AV1675+AV1666*AV$201+AV1684*$D1765)</f>
        <v/>
      </c>
      <c r="AW1765" s="44">
        <f>AW1729*Settings!$C$13*(AW1657+AW1675+AW1666*AW$201+AW1684*$D1765)</f>
        <v/>
      </c>
      <c r="AX1765" s="44">
        <f>AX1729*Settings!$C$13*(AX1657+AX1675+AX1666*AX$201+AX1684*$D1765)</f>
        <v/>
      </c>
      <c r="AY1765" s="44">
        <f>AY1729*Settings!$C$13*(AY1657+AY1675+AY1666*AY$201+AY1684*$D1765)</f>
        <v/>
      </c>
      <c r="AZ1765" s="44">
        <f>AZ1729*Settings!$C$13*(AZ1657+AZ1675+AZ1666*AZ$201+AZ1684*$D1765)</f>
        <v/>
      </c>
      <c r="BA1765" s="57">
        <f>REVENUE(BA1729,Settings!$C$13,NEWREVRATE(BA1657,BA1675,BA1666,BA$201,BA1684,$D1765))</f>
        <v/>
      </c>
    </row>
    <row r="1766" hidden="1" outlineLevel="2"/>
    <row r="1767" hidden="1" outlineLevel="2">
      <c r="A1767" s="14" t="inlineStr">
        <is>
          <t>rxcp</t>
        </is>
      </c>
      <c r="B1767" s="14" t="inlineStr">
        <is>
          <t>coa</t>
        </is>
      </c>
      <c r="C1767" s="14" t="inlineStr">
        <is>
          <t>foo</t>
        </is>
      </c>
      <c r="D1767" s="39" t="n"/>
      <c r="E1767" s="39" t="n"/>
      <c r="F1767" s="39" t="n"/>
      <c r="G1767" s="39" t="n"/>
      <c r="H1767" s="14">
        <f>INDEX(VarLab,MATCH($A1767,VarKey,0))&amp;INDEX(MemLab,MATCH($C1767&amp;"|"&amp;$B1767,MemKey,0))</f>
        <v/>
      </c>
      <c r="I1767" s="14">
        <f>INDEX(VarUnit,MATCH($A1767,VarKey,0))</f>
        <v/>
      </c>
      <c r="J1767" s="14">
        <f>INDEX(VarSrc,MATCH($A1767,VarKey,0))</f>
        <v/>
      </c>
      <c r="K1767" s="11">
        <f>CodePrefix&amp;$A1767&amp;IF($C1767="","","."&amp;$C1767&amp;"."&amp;$B1767)&amp;INDEX(VarEnd,MATCH($A1767,VarKey,0))&amp;K$5</f>
        <v/>
      </c>
      <c r="L1767" s="43">
        <f>L1722*Settings!$C$13*(L1686)</f>
        <v/>
      </c>
      <c r="M1767" s="44">
        <f>M1722*Settings!$C$13*(M1686)</f>
        <v/>
      </c>
      <c r="N1767" s="44">
        <f>N1722*Settings!$C$13*(N1686)</f>
        <v/>
      </c>
      <c r="O1767" s="44">
        <f>O1722*Settings!$C$13*(O1686)</f>
        <v/>
      </c>
      <c r="P1767" s="44">
        <f>P1722*Settings!$C$13*(P1686)</f>
        <v/>
      </c>
      <c r="Q1767" s="44">
        <f>Q1722*Settings!$C$13*(Q1686)</f>
        <v/>
      </c>
      <c r="R1767" s="44">
        <f>R1722*Settings!$C$13*(R1686)</f>
        <v/>
      </c>
      <c r="S1767" s="44">
        <f>S1722*Settings!$C$13*(S1686)</f>
        <v/>
      </c>
      <c r="T1767" s="44">
        <f>T1722*Settings!$C$13*(T1686)</f>
        <v/>
      </c>
      <c r="U1767" s="44">
        <f>U1722*Settings!$C$13*(U1686)</f>
        <v/>
      </c>
      <c r="V1767" s="44">
        <f>V1722*Settings!$C$13*(V1686)</f>
        <v/>
      </c>
      <c r="W1767" s="44">
        <f>W1722*Settings!$C$13*(W1686)</f>
        <v/>
      </c>
      <c r="X1767" s="44">
        <f>X1722*Settings!$C$13*(X1686)</f>
        <v/>
      </c>
      <c r="Y1767" s="44">
        <f>Y1722*Settings!$C$13*(Y1686)</f>
        <v/>
      </c>
      <c r="Z1767" s="44">
        <f>Z1722*Settings!$C$13*(Z1686)</f>
        <v/>
      </c>
      <c r="AA1767" s="44">
        <f>AA1722*Settings!$C$13*(AA1686)</f>
        <v/>
      </c>
      <c r="AB1767" s="44">
        <f>AB1722*Settings!$C$13*(AB1686)</f>
        <v/>
      </c>
      <c r="AC1767" s="44">
        <f>AC1722*Settings!$C$13*(AC1686)</f>
        <v/>
      </c>
      <c r="AD1767" s="44">
        <f>AD1722*Settings!$C$13*(AD1686)</f>
        <v/>
      </c>
      <c r="AE1767" s="57">
        <f>REVENUE(AE1722,Settings!$C$13,AE1686)</f>
        <v/>
      </c>
      <c r="AG1767" s="11">
        <f>CodePrefix&amp;$A1767&amp;IF($C1767="","","."&amp;$C1767&amp;"."&amp;$B1767)&amp;INDEX(VarEnd,MATCH($A1767,VarKey,0))&amp;AG$5</f>
        <v/>
      </c>
      <c r="AH1767" s="43">
        <f>AH1722*Settings!$C$13*(AH1686)</f>
        <v/>
      </c>
      <c r="AI1767" s="44">
        <f>AI1722*Settings!$C$13*(AI1686)</f>
        <v/>
      </c>
      <c r="AJ1767" s="44">
        <f>AJ1722*Settings!$C$13*(AJ1686)</f>
        <v/>
      </c>
      <c r="AK1767" s="44">
        <f>AK1722*Settings!$C$13*(AK1686)</f>
        <v/>
      </c>
      <c r="AL1767" s="44">
        <f>AL1722*Settings!$C$13*(AL1686)</f>
        <v/>
      </c>
      <c r="AM1767" s="44">
        <f>AM1722*Settings!$C$13*(AM1686)</f>
        <v/>
      </c>
      <c r="AN1767" s="44">
        <f>AN1722*Settings!$C$13*(AN1686)</f>
        <v/>
      </c>
      <c r="AO1767" s="44">
        <f>AO1722*Settings!$C$13*(AO1686)</f>
        <v/>
      </c>
      <c r="AP1767" s="44">
        <f>AP1722*Settings!$C$13*(AP1686)</f>
        <v/>
      </c>
      <c r="AQ1767" s="44">
        <f>AQ1722*Settings!$C$13*(AQ1686)</f>
        <v/>
      </c>
      <c r="AR1767" s="44">
        <f>AR1722*Settings!$C$13*(AR1686)</f>
        <v/>
      </c>
      <c r="AS1767" s="44">
        <f>AS1722*Settings!$C$13*(AS1686)</f>
        <v/>
      </c>
      <c r="AT1767" s="44">
        <f>AT1722*Settings!$C$13*(AT1686)</f>
        <v/>
      </c>
      <c r="AU1767" s="44">
        <f>AU1722*Settings!$C$13*(AU1686)</f>
        <v/>
      </c>
      <c r="AV1767" s="44">
        <f>AV1722*Settings!$C$13*(AV1686)</f>
        <v/>
      </c>
      <c r="AW1767" s="44">
        <f>AW1722*Settings!$C$13*(AW1686)</f>
        <v/>
      </c>
      <c r="AX1767" s="44">
        <f>AX1722*Settings!$C$13*(AX1686)</f>
        <v/>
      </c>
      <c r="AY1767" s="44">
        <f>AY1722*Settings!$C$13*(AY1686)</f>
        <v/>
      </c>
      <c r="AZ1767" s="44">
        <f>AZ1722*Settings!$C$13*(AZ1686)</f>
        <v/>
      </c>
      <c r="BA1767" s="57">
        <f>REVENUE(BA1722,Settings!$C$13,BA1686)</f>
        <v/>
      </c>
    </row>
    <row r="1768" hidden="1" outlineLevel="2">
      <c r="A1768" s="14" t="inlineStr">
        <is>
          <t>rxcp</t>
        </is>
      </c>
      <c r="B1768" s="14" t="inlineStr">
        <is>
          <t>nga</t>
        </is>
      </c>
      <c r="C1768" s="14" t="inlineStr">
        <is>
          <t>foo</t>
        </is>
      </c>
      <c r="D1768" s="39" t="n"/>
      <c r="E1768" s="39" t="n"/>
      <c r="F1768" s="39" t="n"/>
      <c r="G1768" s="39" t="n"/>
      <c r="H1768" s="14">
        <f>INDEX(VarLab,MATCH($A1768,VarKey,0))&amp;INDEX(MemLab,MATCH($C1768&amp;"|"&amp;$B1768,MemKey,0))</f>
        <v/>
      </c>
      <c r="I1768" s="14">
        <f>INDEX(VarUnit,MATCH($A1768,VarKey,0))</f>
        <v/>
      </c>
      <c r="J1768" s="14">
        <f>INDEX(VarSrc,MATCH($A1768,VarKey,0))</f>
        <v/>
      </c>
      <c r="K1768" s="11">
        <f>CodePrefix&amp;$A1768&amp;IF($C1768="","","."&amp;$C1768&amp;"."&amp;$B1768)&amp;INDEX(VarEnd,MATCH($A1768,VarKey,0))&amp;K$5</f>
        <v/>
      </c>
      <c r="L1768" s="43">
        <f>L1723*Settings!$C$13*(L1687)</f>
        <v/>
      </c>
      <c r="M1768" s="44">
        <f>M1723*Settings!$C$13*(M1687)</f>
        <v/>
      </c>
      <c r="N1768" s="44">
        <f>N1723*Settings!$C$13*(N1687)</f>
        <v/>
      </c>
      <c r="O1768" s="44">
        <f>O1723*Settings!$C$13*(O1687)</f>
        <v/>
      </c>
      <c r="P1768" s="44">
        <f>P1723*Settings!$C$13*(P1687)</f>
        <v/>
      </c>
      <c r="Q1768" s="44">
        <f>Q1723*Settings!$C$13*(Q1687)</f>
        <v/>
      </c>
      <c r="R1768" s="44">
        <f>R1723*Settings!$C$13*(R1687)</f>
        <v/>
      </c>
      <c r="S1768" s="44">
        <f>S1723*Settings!$C$13*(S1687)</f>
        <v/>
      </c>
      <c r="T1768" s="44">
        <f>T1723*Settings!$C$13*(T1687)</f>
        <v/>
      </c>
      <c r="U1768" s="44">
        <f>U1723*Settings!$C$13*(U1687)</f>
        <v/>
      </c>
      <c r="V1768" s="44">
        <f>V1723*Settings!$C$13*(V1687)</f>
        <v/>
      </c>
      <c r="W1768" s="44">
        <f>W1723*Settings!$C$13*(W1687)</f>
        <v/>
      </c>
      <c r="X1768" s="44">
        <f>X1723*Settings!$C$13*(X1687)</f>
        <v/>
      </c>
      <c r="Y1768" s="44">
        <f>Y1723*Settings!$C$13*(Y1687)</f>
        <v/>
      </c>
      <c r="Z1768" s="44">
        <f>Z1723*Settings!$C$13*(Z1687)</f>
        <v/>
      </c>
      <c r="AA1768" s="44">
        <f>AA1723*Settings!$C$13*(AA1687)</f>
        <v/>
      </c>
      <c r="AB1768" s="44">
        <f>AB1723*Settings!$C$13*(AB1687)</f>
        <v/>
      </c>
      <c r="AC1768" s="44">
        <f>AC1723*Settings!$C$13*(AC1687)</f>
        <v/>
      </c>
      <c r="AD1768" s="44">
        <f>AD1723*Settings!$C$13*(AD1687)</f>
        <v/>
      </c>
      <c r="AE1768" s="57">
        <f>REVENUE(AE1723,Settings!$C$13,AE1687)</f>
        <v/>
      </c>
      <c r="AG1768" s="11">
        <f>CodePrefix&amp;$A1768&amp;IF($C1768="","","."&amp;$C1768&amp;"."&amp;$B1768)&amp;INDEX(VarEnd,MATCH($A1768,VarKey,0))&amp;AG$5</f>
        <v/>
      </c>
      <c r="AH1768" s="43">
        <f>AH1723*Settings!$C$13*(AH1687)</f>
        <v/>
      </c>
      <c r="AI1768" s="44">
        <f>AI1723*Settings!$C$13*(AI1687)</f>
        <v/>
      </c>
      <c r="AJ1768" s="44">
        <f>AJ1723*Settings!$C$13*(AJ1687)</f>
        <v/>
      </c>
      <c r="AK1768" s="44">
        <f>AK1723*Settings!$C$13*(AK1687)</f>
        <v/>
      </c>
      <c r="AL1768" s="44">
        <f>AL1723*Settings!$C$13*(AL1687)</f>
        <v/>
      </c>
      <c r="AM1768" s="44">
        <f>AM1723*Settings!$C$13*(AM1687)</f>
        <v/>
      </c>
      <c r="AN1768" s="44">
        <f>AN1723*Settings!$C$13*(AN1687)</f>
        <v/>
      </c>
      <c r="AO1768" s="44">
        <f>AO1723*Settings!$C$13*(AO1687)</f>
        <v/>
      </c>
      <c r="AP1768" s="44">
        <f>AP1723*Settings!$C$13*(AP1687)</f>
        <v/>
      </c>
      <c r="AQ1768" s="44">
        <f>AQ1723*Settings!$C$13*(AQ1687)</f>
        <v/>
      </c>
      <c r="AR1768" s="44">
        <f>AR1723*Settings!$C$13*(AR1687)</f>
        <v/>
      </c>
      <c r="AS1768" s="44">
        <f>AS1723*Settings!$C$13*(AS1687)</f>
        <v/>
      </c>
      <c r="AT1768" s="44">
        <f>AT1723*Settings!$C$13*(AT1687)</f>
        <v/>
      </c>
      <c r="AU1768" s="44">
        <f>AU1723*Settings!$C$13*(AU1687)</f>
        <v/>
      </c>
      <c r="AV1768" s="44">
        <f>AV1723*Settings!$C$13*(AV1687)</f>
        <v/>
      </c>
      <c r="AW1768" s="44">
        <f>AW1723*Settings!$C$13*(AW1687)</f>
        <v/>
      </c>
      <c r="AX1768" s="44">
        <f>AX1723*Settings!$C$13*(AX1687)</f>
        <v/>
      </c>
      <c r="AY1768" s="44">
        <f>AY1723*Settings!$C$13*(AY1687)</f>
        <v/>
      </c>
      <c r="AZ1768" s="44">
        <f>AZ1723*Settings!$C$13*(AZ1687)</f>
        <v/>
      </c>
      <c r="BA1768" s="57">
        <f>REVENUE(BA1723,Settings!$C$13,BA1687)</f>
        <v/>
      </c>
    </row>
    <row r="1769" hidden="1" outlineLevel="2">
      <c r="A1769" s="14" t="inlineStr">
        <is>
          <t>rxcp</t>
        </is>
      </c>
      <c r="B1769" s="14" t="inlineStr">
        <is>
          <t>gso</t>
        </is>
      </c>
      <c r="C1769" s="14" t="inlineStr">
        <is>
          <t>foo</t>
        </is>
      </c>
      <c r="D1769" s="39" t="n"/>
      <c r="E1769" s="39" t="n"/>
      <c r="F1769" s="39" t="n"/>
      <c r="G1769" s="39" t="n"/>
      <c r="H1769" s="14">
        <f>INDEX(VarLab,MATCH($A1769,VarKey,0))&amp;INDEX(MemLab,MATCH($C1769&amp;"|"&amp;$B1769,MemKey,0))</f>
        <v/>
      </c>
      <c r="I1769" s="14">
        <f>INDEX(VarUnit,MATCH($A1769,VarKey,0))</f>
        <v/>
      </c>
      <c r="J1769" s="14">
        <f>INDEX(VarSrc,MATCH($A1769,VarKey,0))</f>
        <v/>
      </c>
      <c r="K1769" s="11">
        <f>CodePrefix&amp;$A1769&amp;IF($C1769="","","."&amp;$C1769&amp;"."&amp;$B1769)&amp;INDEX(VarEnd,MATCH($A1769,VarKey,0))&amp;K$5</f>
        <v/>
      </c>
      <c r="L1769" s="43">
        <f>L1724*Settings!$C$13*(L1688)</f>
        <v/>
      </c>
      <c r="M1769" s="44">
        <f>M1724*Settings!$C$13*(M1688)</f>
        <v/>
      </c>
      <c r="N1769" s="44">
        <f>N1724*Settings!$C$13*(N1688)</f>
        <v/>
      </c>
      <c r="O1769" s="44">
        <f>O1724*Settings!$C$13*(O1688)</f>
        <v/>
      </c>
      <c r="P1769" s="44">
        <f>P1724*Settings!$C$13*(P1688)</f>
        <v/>
      </c>
      <c r="Q1769" s="44">
        <f>Q1724*Settings!$C$13*(Q1688)</f>
        <v/>
      </c>
      <c r="R1769" s="44">
        <f>R1724*Settings!$C$13*(R1688)</f>
        <v/>
      </c>
      <c r="S1769" s="44">
        <f>S1724*Settings!$C$13*(S1688)</f>
        <v/>
      </c>
      <c r="T1769" s="44">
        <f>T1724*Settings!$C$13*(T1688)</f>
        <v/>
      </c>
      <c r="U1769" s="44">
        <f>U1724*Settings!$C$13*(U1688)</f>
        <v/>
      </c>
      <c r="V1769" s="44">
        <f>V1724*Settings!$C$13*(V1688)</f>
        <v/>
      </c>
      <c r="W1769" s="44">
        <f>W1724*Settings!$C$13*(W1688)</f>
        <v/>
      </c>
      <c r="X1769" s="44">
        <f>X1724*Settings!$C$13*(X1688)</f>
        <v/>
      </c>
      <c r="Y1769" s="44">
        <f>Y1724*Settings!$C$13*(Y1688)</f>
        <v/>
      </c>
      <c r="Z1769" s="44">
        <f>Z1724*Settings!$C$13*(Z1688)</f>
        <v/>
      </c>
      <c r="AA1769" s="44">
        <f>AA1724*Settings!$C$13*(AA1688)</f>
        <v/>
      </c>
      <c r="AB1769" s="44">
        <f>AB1724*Settings!$C$13*(AB1688)</f>
        <v/>
      </c>
      <c r="AC1769" s="44">
        <f>AC1724*Settings!$C$13*(AC1688)</f>
        <v/>
      </c>
      <c r="AD1769" s="44">
        <f>AD1724*Settings!$C$13*(AD1688)</f>
        <v/>
      </c>
      <c r="AE1769" s="57">
        <f>REVENUE(AE1724,Settings!$C$13,AE1688)</f>
        <v/>
      </c>
      <c r="AG1769" s="11">
        <f>CodePrefix&amp;$A1769&amp;IF($C1769="","","."&amp;$C1769&amp;"."&amp;$B1769)&amp;INDEX(VarEnd,MATCH($A1769,VarKey,0))&amp;AG$5</f>
        <v/>
      </c>
      <c r="AH1769" s="43">
        <f>AH1724*Settings!$C$13*(AH1688)</f>
        <v/>
      </c>
      <c r="AI1769" s="44">
        <f>AI1724*Settings!$C$13*(AI1688)</f>
        <v/>
      </c>
      <c r="AJ1769" s="44">
        <f>AJ1724*Settings!$C$13*(AJ1688)</f>
        <v/>
      </c>
      <c r="AK1769" s="44">
        <f>AK1724*Settings!$C$13*(AK1688)</f>
        <v/>
      </c>
      <c r="AL1769" s="44">
        <f>AL1724*Settings!$C$13*(AL1688)</f>
        <v/>
      </c>
      <c r="AM1769" s="44">
        <f>AM1724*Settings!$C$13*(AM1688)</f>
        <v/>
      </c>
      <c r="AN1769" s="44">
        <f>AN1724*Settings!$C$13*(AN1688)</f>
        <v/>
      </c>
      <c r="AO1769" s="44">
        <f>AO1724*Settings!$C$13*(AO1688)</f>
        <v/>
      </c>
      <c r="AP1769" s="44">
        <f>AP1724*Settings!$C$13*(AP1688)</f>
        <v/>
      </c>
      <c r="AQ1769" s="44">
        <f>AQ1724*Settings!$C$13*(AQ1688)</f>
        <v/>
      </c>
      <c r="AR1769" s="44">
        <f>AR1724*Settings!$C$13*(AR1688)</f>
        <v/>
      </c>
      <c r="AS1769" s="44">
        <f>AS1724*Settings!$C$13*(AS1688)</f>
        <v/>
      </c>
      <c r="AT1769" s="44">
        <f>AT1724*Settings!$C$13*(AT1688)</f>
        <v/>
      </c>
      <c r="AU1769" s="44">
        <f>AU1724*Settings!$C$13*(AU1688)</f>
        <v/>
      </c>
      <c r="AV1769" s="44">
        <f>AV1724*Settings!$C$13*(AV1688)</f>
        <v/>
      </c>
      <c r="AW1769" s="44">
        <f>AW1724*Settings!$C$13*(AW1688)</f>
        <v/>
      </c>
      <c r="AX1769" s="44">
        <f>AX1724*Settings!$C$13*(AX1688)</f>
        <v/>
      </c>
      <c r="AY1769" s="44">
        <f>AY1724*Settings!$C$13*(AY1688)</f>
        <v/>
      </c>
      <c r="AZ1769" s="44">
        <f>AZ1724*Settings!$C$13*(AZ1688)</f>
        <v/>
      </c>
      <c r="BA1769" s="57">
        <f>REVENUE(BA1724,Settings!$C$13,BA1688)</f>
        <v/>
      </c>
    </row>
    <row r="1770" hidden="1" outlineLevel="2">
      <c r="A1770" s="14" t="inlineStr">
        <is>
          <t>rxcp</t>
        </is>
      </c>
      <c r="B1770" s="14" t="inlineStr">
        <is>
          <t>die</t>
        </is>
      </c>
      <c r="C1770" s="14" t="inlineStr">
        <is>
          <t>foo</t>
        </is>
      </c>
      <c r="D1770" s="39" t="n"/>
      <c r="E1770" s="39" t="n"/>
      <c r="F1770" s="39" t="n"/>
      <c r="G1770" s="39" t="n"/>
      <c r="H1770" s="14">
        <f>INDEX(VarLab,MATCH($A1770,VarKey,0))&amp;INDEX(MemLab,MATCH($C1770&amp;"|"&amp;$B1770,MemKey,0))</f>
        <v/>
      </c>
      <c r="I1770" s="14">
        <f>INDEX(VarUnit,MATCH($A1770,VarKey,0))</f>
        <v/>
      </c>
      <c r="J1770" s="14">
        <f>INDEX(VarSrc,MATCH($A1770,VarKey,0))</f>
        <v/>
      </c>
      <c r="K1770" s="11">
        <f>CodePrefix&amp;$A1770&amp;IF($C1770="","","."&amp;$C1770&amp;"."&amp;$B1770)&amp;INDEX(VarEnd,MATCH($A1770,VarKey,0))&amp;K$5</f>
        <v/>
      </c>
      <c r="L1770" s="43">
        <f>L1725*Settings!$C$13*(L1689)</f>
        <v/>
      </c>
      <c r="M1770" s="44">
        <f>M1725*Settings!$C$13*(M1689)</f>
        <v/>
      </c>
      <c r="N1770" s="44">
        <f>N1725*Settings!$C$13*(N1689)</f>
        <v/>
      </c>
      <c r="O1770" s="44">
        <f>O1725*Settings!$C$13*(O1689)</f>
        <v/>
      </c>
      <c r="P1770" s="44">
        <f>P1725*Settings!$C$13*(P1689)</f>
        <v/>
      </c>
      <c r="Q1770" s="44">
        <f>Q1725*Settings!$C$13*(Q1689)</f>
        <v/>
      </c>
      <c r="R1770" s="44">
        <f>R1725*Settings!$C$13*(R1689)</f>
        <v/>
      </c>
      <c r="S1770" s="44">
        <f>S1725*Settings!$C$13*(S1689)</f>
        <v/>
      </c>
      <c r="T1770" s="44">
        <f>T1725*Settings!$C$13*(T1689)</f>
        <v/>
      </c>
      <c r="U1770" s="44">
        <f>U1725*Settings!$C$13*(U1689)</f>
        <v/>
      </c>
      <c r="V1770" s="44">
        <f>V1725*Settings!$C$13*(V1689)</f>
        <v/>
      </c>
      <c r="W1770" s="44">
        <f>W1725*Settings!$C$13*(W1689)</f>
        <v/>
      </c>
      <c r="X1770" s="44">
        <f>X1725*Settings!$C$13*(X1689)</f>
        <v/>
      </c>
      <c r="Y1770" s="44">
        <f>Y1725*Settings!$C$13*(Y1689)</f>
        <v/>
      </c>
      <c r="Z1770" s="44">
        <f>Z1725*Settings!$C$13*(Z1689)</f>
        <v/>
      </c>
      <c r="AA1770" s="44">
        <f>AA1725*Settings!$C$13*(AA1689)</f>
        <v/>
      </c>
      <c r="AB1770" s="44">
        <f>AB1725*Settings!$C$13*(AB1689)</f>
        <v/>
      </c>
      <c r="AC1770" s="44">
        <f>AC1725*Settings!$C$13*(AC1689)</f>
        <v/>
      </c>
      <c r="AD1770" s="44">
        <f>AD1725*Settings!$C$13*(AD1689)</f>
        <v/>
      </c>
      <c r="AE1770" s="57">
        <f>REVENUE(AE1725,Settings!$C$13,AE1689)</f>
        <v/>
      </c>
      <c r="AG1770" s="11">
        <f>CodePrefix&amp;$A1770&amp;IF($C1770="","","."&amp;$C1770&amp;"."&amp;$B1770)&amp;INDEX(VarEnd,MATCH($A1770,VarKey,0))&amp;AG$5</f>
        <v/>
      </c>
      <c r="AH1770" s="43">
        <f>AH1725*Settings!$C$13*(AH1689)</f>
        <v/>
      </c>
      <c r="AI1770" s="44">
        <f>AI1725*Settings!$C$13*(AI1689)</f>
        <v/>
      </c>
      <c r="AJ1770" s="44">
        <f>AJ1725*Settings!$C$13*(AJ1689)</f>
        <v/>
      </c>
      <c r="AK1770" s="44">
        <f>AK1725*Settings!$C$13*(AK1689)</f>
        <v/>
      </c>
      <c r="AL1770" s="44">
        <f>AL1725*Settings!$C$13*(AL1689)</f>
        <v/>
      </c>
      <c r="AM1770" s="44">
        <f>AM1725*Settings!$C$13*(AM1689)</f>
        <v/>
      </c>
      <c r="AN1770" s="44">
        <f>AN1725*Settings!$C$13*(AN1689)</f>
        <v/>
      </c>
      <c r="AO1770" s="44">
        <f>AO1725*Settings!$C$13*(AO1689)</f>
        <v/>
      </c>
      <c r="AP1770" s="44">
        <f>AP1725*Settings!$C$13*(AP1689)</f>
        <v/>
      </c>
      <c r="AQ1770" s="44">
        <f>AQ1725*Settings!$C$13*(AQ1689)</f>
        <v/>
      </c>
      <c r="AR1770" s="44">
        <f>AR1725*Settings!$C$13*(AR1689)</f>
        <v/>
      </c>
      <c r="AS1770" s="44">
        <f>AS1725*Settings!$C$13*(AS1689)</f>
        <v/>
      </c>
      <c r="AT1770" s="44">
        <f>AT1725*Settings!$C$13*(AT1689)</f>
        <v/>
      </c>
      <c r="AU1770" s="44">
        <f>AU1725*Settings!$C$13*(AU1689)</f>
        <v/>
      </c>
      <c r="AV1770" s="44">
        <f>AV1725*Settings!$C$13*(AV1689)</f>
        <v/>
      </c>
      <c r="AW1770" s="44">
        <f>AW1725*Settings!$C$13*(AW1689)</f>
        <v/>
      </c>
      <c r="AX1770" s="44">
        <f>AX1725*Settings!$C$13*(AX1689)</f>
        <v/>
      </c>
      <c r="AY1770" s="44">
        <f>AY1725*Settings!$C$13*(AY1689)</f>
        <v/>
      </c>
      <c r="AZ1770" s="44">
        <f>AZ1725*Settings!$C$13*(AZ1689)</f>
        <v/>
      </c>
      <c r="BA1770" s="57">
        <f>REVENUE(BA1725,Settings!$C$13,BA1689)</f>
        <v/>
      </c>
    </row>
    <row r="1771" hidden="1" outlineLevel="2">
      <c r="A1771" s="14" t="inlineStr">
        <is>
          <t>rxcp</t>
        </is>
      </c>
      <c r="B1771" s="14" t="inlineStr">
        <is>
          <t>lpg</t>
        </is>
      </c>
      <c r="C1771" s="14" t="inlineStr">
        <is>
          <t>foo</t>
        </is>
      </c>
      <c r="D1771" s="39" t="n"/>
      <c r="E1771" s="39" t="n"/>
      <c r="F1771" s="39" t="n"/>
      <c r="G1771" s="39" t="n"/>
      <c r="H1771" s="14">
        <f>INDEX(VarLab,MATCH($A1771,VarKey,0))&amp;INDEX(MemLab,MATCH($C1771&amp;"|"&amp;$B1771,MemKey,0))</f>
        <v/>
      </c>
      <c r="I1771" s="14">
        <f>INDEX(VarUnit,MATCH($A1771,VarKey,0))</f>
        <v/>
      </c>
      <c r="J1771" s="14">
        <f>INDEX(VarSrc,MATCH($A1771,VarKey,0))</f>
        <v/>
      </c>
      <c r="K1771" s="11">
        <f>CodePrefix&amp;$A1771&amp;IF($C1771="","","."&amp;$C1771&amp;"."&amp;$B1771)&amp;INDEX(VarEnd,MATCH($A1771,VarKey,0))&amp;K$5</f>
        <v/>
      </c>
      <c r="L1771" s="43">
        <f>L1726*Settings!$C$13*(L1690)</f>
        <v/>
      </c>
      <c r="M1771" s="44">
        <f>M1726*Settings!$C$13*(M1690)</f>
        <v/>
      </c>
      <c r="N1771" s="44">
        <f>N1726*Settings!$C$13*(N1690)</f>
        <v/>
      </c>
      <c r="O1771" s="44">
        <f>O1726*Settings!$C$13*(O1690)</f>
        <v/>
      </c>
      <c r="P1771" s="44">
        <f>P1726*Settings!$C$13*(P1690)</f>
        <v/>
      </c>
      <c r="Q1771" s="44">
        <f>Q1726*Settings!$C$13*(Q1690)</f>
        <v/>
      </c>
      <c r="R1771" s="44">
        <f>R1726*Settings!$C$13*(R1690)</f>
        <v/>
      </c>
      <c r="S1771" s="44">
        <f>S1726*Settings!$C$13*(S1690)</f>
        <v/>
      </c>
      <c r="T1771" s="44">
        <f>T1726*Settings!$C$13*(T1690)</f>
        <v/>
      </c>
      <c r="U1771" s="44">
        <f>U1726*Settings!$C$13*(U1690)</f>
        <v/>
      </c>
      <c r="V1771" s="44">
        <f>V1726*Settings!$C$13*(V1690)</f>
        <v/>
      </c>
      <c r="W1771" s="44">
        <f>W1726*Settings!$C$13*(W1690)</f>
        <v/>
      </c>
      <c r="X1771" s="44">
        <f>X1726*Settings!$C$13*(X1690)</f>
        <v/>
      </c>
      <c r="Y1771" s="44">
        <f>Y1726*Settings!$C$13*(Y1690)</f>
        <v/>
      </c>
      <c r="Z1771" s="44">
        <f>Z1726*Settings!$C$13*(Z1690)</f>
        <v/>
      </c>
      <c r="AA1771" s="44">
        <f>AA1726*Settings!$C$13*(AA1690)</f>
        <v/>
      </c>
      <c r="AB1771" s="44">
        <f>AB1726*Settings!$C$13*(AB1690)</f>
        <v/>
      </c>
      <c r="AC1771" s="44">
        <f>AC1726*Settings!$C$13*(AC1690)</f>
        <v/>
      </c>
      <c r="AD1771" s="44">
        <f>AD1726*Settings!$C$13*(AD1690)</f>
        <v/>
      </c>
      <c r="AE1771" s="57">
        <f>REVENUE(AE1726,Settings!$C$13,AE1690)</f>
        <v/>
      </c>
      <c r="AG1771" s="11">
        <f>CodePrefix&amp;$A1771&amp;IF($C1771="","","."&amp;$C1771&amp;"."&amp;$B1771)&amp;INDEX(VarEnd,MATCH($A1771,VarKey,0))&amp;AG$5</f>
        <v/>
      </c>
      <c r="AH1771" s="43">
        <f>AH1726*Settings!$C$13*(AH1690)</f>
        <v/>
      </c>
      <c r="AI1771" s="44">
        <f>AI1726*Settings!$C$13*(AI1690)</f>
        <v/>
      </c>
      <c r="AJ1771" s="44">
        <f>AJ1726*Settings!$C$13*(AJ1690)</f>
        <v/>
      </c>
      <c r="AK1771" s="44">
        <f>AK1726*Settings!$C$13*(AK1690)</f>
        <v/>
      </c>
      <c r="AL1771" s="44">
        <f>AL1726*Settings!$C$13*(AL1690)</f>
        <v/>
      </c>
      <c r="AM1771" s="44">
        <f>AM1726*Settings!$C$13*(AM1690)</f>
        <v/>
      </c>
      <c r="AN1771" s="44">
        <f>AN1726*Settings!$C$13*(AN1690)</f>
        <v/>
      </c>
      <c r="AO1771" s="44">
        <f>AO1726*Settings!$C$13*(AO1690)</f>
        <v/>
      </c>
      <c r="AP1771" s="44">
        <f>AP1726*Settings!$C$13*(AP1690)</f>
        <v/>
      </c>
      <c r="AQ1771" s="44">
        <f>AQ1726*Settings!$C$13*(AQ1690)</f>
        <v/>
      </c>
      <c r="AR1771" s="44">
        <f>AR1726*Settings!$C$13*(AR1690)</f>
        <v/>
      </c>
      <c r="AS1771" s="44">
        <f>AS1726*Settings!$C$13*(AS1690)</f>
        <v/>
      </c>
      <c r="AT1771" s="44">
        <f>AT1726*Settings!$C$13*(AT1690)</f>
        <v/>
      </c>
      <c r="AU1771" s="44">
        <f>AU1726*Settings!$C$13*(AU1690)</f>
        <v/>
      </c>
      <c r="AV1771" s="44">
        <f>AV1726*Settings!$C$13*(AV1690)</f>
        <v/>
      </c>
      <c r="AW1771" s="44">
        <f>AW1726*Settings!$C$13*(AW1690)</f>
        <v/>
      </c>
      <c r="AX1771" s="44">
        <f>AX1726*Settings!$C$13*(AX1690)</f>
        <v/>
      </c>
      <c r="AY1771" s="44">
        <f>AY1726*Settings!$C$13*(AY1690)</f>
        <v/>
      </c>
      <c r="AZ1771" s="44">
        <f>AZ1726*Settings!$C$13*(AZ1690)</f>
        <v/>
      </c>
      <c r="BA1771" s="57">
        <f>REVENUE(BA1726,Settings!$C$13,BA1690)</f>
        <v/>
      </c>
    </row>
    <row r="1772" hidden="1" outlineLevel="2">
      <c r="A1772" s="14" t="inlineStr">
        <is>
          <t>rxcp</t>
        </is>
      </c>
      <c r="B1772" s="14" t="inlineStr">
        <is>
          <t>ker</t>
        </is>
      </c>
      <c r="C1772" s="14" t="inlineStr">
        <is>
          <t>foo</t>
        </is>
      </c>
      <c r="D1772" s="39" t="n"/>
      <c r="E1772" s="39" t="n"/>
      <c r="F1772" s="39" t="n"/>
      <c r="G1772" s="39" t="n"/>
      <c r="H1772" s="14">
        <f>INDEX(VarLab,MATCH($A1772,VarKey,0))&amp;INDEX(MemLab,MATCH($C1772&amp;"|"&amp;$B1772,MemKey,0))</f>
        <v/>
      </c>
      <c r="I1772" s="14">
        <f>INDEX(VarUnit,MATCH($A1772,VarKey,0))</f>
        <v/>
      </c>
      <c r="J1772" s="14">
        <f>INDEX(VarSrc,MATCH($A1772,VarKey,0))</f>
        <v/>
      </c>
      <c r="K1772" s="11">
        <f>CodePrefix&amp;$A1772&amp;IF($C1772="","","."&amp;$C1772&amp;"."&amp;$B1772)&amp;INDEX(VarEnd,MATCH($A1772,VarKey,0))&amp;K$5</f>
        <v/>
      </c>
      <c r="L1772" s="43">
        <f>L1727*Settings!$C$13*(L1691)</f>
        <v/>
      </c>
      <c r="M1772" s="44">
        <f>M1727*Settings!$C$13*(M1691)</f>
        <v/>
      </c>
      <c r="N1772" s="44">
        <f>N1727*Settings!$C$13*(N1691)</f>
        <v/>
      </c>
      <c r="O1772" s="44">
        <f>O1727*Settings!$C$13*(O1691)</f>
        <v/>
      </c>
      <c r="P1772" s="44">
        <f>P1727*Settings!$C$13*(P1691)</f>
        <v/>
      </c>
      <c r="Q1772" s="44">
        <f>Q1727*Settings!$C$13*(Q1691)</f>
        <v/>
      </c>
      <c r="R1772" s="44">
        <f>R1727*Settings!$C$13*(R1691)</f>
        <v/>
      </c>
      <c r="S1772" s="44">
        <f>S1727*Settings!$C$13*(S1691)</f>
        <v/>
      </c>
      <c r="T1772" s="44">
        <f>T1727*Settings!$C$13*(T1691)</f>
        <v/>
      </c>
      <c r="U1772" s="44">
        <f>U1727*Settings!$C$13*(U1691)</f>
        <v/>
      </c>
      <c r="V1772" s="44">
        <f>V1727*Settings!$C$13*(V1691)</f>
        <v/>
      </c>
      <c r="W1772" s="44">
        <f>W1727*Settings!$C$13*(W1691)</f>
        <v/>
      </c>
      <c r="X1772" s="44">
        <f>X1727*Settings!$C$13*(X1691)</f>
        <v/>
      </c>
      <c r="Y1772" s="44">
        <f>Y1727*Settings!$C$13*(Y1691)</f>
        <v/>
      </c>
      <c r="Z1772" s="44">
        <f>Z1727*Settings!$C$13*(Z1691)</f>
        <v/>
      </c>
      <c r="AA1772" s="44">
        <f>AA1727*Settings!$C$13*(AA1691)</f>
        <v/>
      </c>
      <c r="AB1772" s="44">
        <f>AB1727*Settings!$C$13*(AB1691)</f>
        <v/>
      </c>
      <c r="AC1772" s="44">
        <f>AC1727*Settings!$C$13*(AC1691)</f>
        <v/>
      </c>
      <c r="AD1772" s="44">
        <f>AD1727*Settings!$C$13*(AD1691)</f>
        <v/>
      </c>
      <c r="AE1772" s="57">
        <f>REVENUE(AE1727,Settings!$C$13,AE1691)</f>
        <v/>
      </c>
      <c r="AG1772" s="11">
        <f>CodePrefix&amp;$A1772&amp;IF($C1772="","","."&amp;$C1772&amp;"."&amp;$B1772)&amp;INDEX(VarEnd,MATCH($A1772,VarKey,0))&amp;AG$5</f>
        <v/>
      </c>
      <c r="AH1772" s="43">
        <f>AH1727*Settings!$C$13*(AH1691)</f>
        <v/>
      </c>
      <c r="AI1772" s="44">
        <f>AI1727*Settings!$C$13*(AI1691)</f>
        <v/>
      </c>
      <c r="AJ1772" s="44">
        <f>AJ1727*Settings!$C$13*(AJ1691)</f>
        <v/>
      </c>
      <c r="AK1772" s="44">
        <f>AK1727*Settings!$C$13*(AK1691)</f>
        <v/>
      </c>
      <c r="AL1772" s="44">
        <f>AL1727*Settings!$C$13*(AL1691)</f>
        <v/>
      </c>
      <c r="AM1772" s="44">
        <f>AM1727*Settings!$C$13*(AM1691)</f>
        <v/>
      </c>
      <c r="AN1772" s="44">
        <f>AN1727*Settings!$C$13*(AN1691)</f>
        <v/>
      </c>
      <c r="AO1772" s="44">
        <f>AO1727*Settings!$C$13*(AO1691)</f>
        <v/>
      </c>
      <c r="AP1772" s="44">
        <f>AP1727*Settings!$C$13*(AP1691)</f>
        <v/>
      </c>
      <c r="AQ1772" s="44">
        <f>AQ1727*Settings!$C$13*(AQ1691)</f>
        <v/>
      </c>
      <c r="AR1772" s="44">
        <f>AR1727*Settings!$C$13*(AR1691)</f>
        <v/>
      </c>
      <c r="AS1772" s="44">
        <f>AS1727*Settings!$C$13*(AS1691)</f>
        <v/>
      </c>
      <c r="AT1772" s="44">
        <f>AT1727*Settings!$C$13*(AT1691)</f>
        <v/>
      </c>
      <c r="AU1772" s="44">
        <f>AU1727*Settings!$C$13*(AU1691)</f>
        <v/>
      </c>
      <c r="AV1772" s="44">
        <f>AV1727*Settings!$C$13*(AV1691)</f>
        <v/>
      </c>
      <c r="AW1772" s="44">
        <f>AW1727*Settings!$C$13*(AW1691)</f>
        <v/>
      </c>
      <c r="AX1772" s="44">
        <f>AX1727*Settings!$C$13*(AX1691)</f>
        <v/>
      </c>
      <c r="AY1772" s="44">
        <f>AY1727*Settings!$C$13*(AY1691)</f>
        <v/>
      </c>
      <c r="AZ1772" s="44">
        <f>AZ1727*Settings!$C$13*(AZ1691)</f>
        <v/>
      </c>
      <c r="BA1772" s="57">
        <f>REVENUE(BA1727,Settings!$C$13,BA1691)</f>
        <v/>
      </c>
    </row>
    <row r="1773" hidden="1" outlineLevel="2">
      <c r="A1773" s="14" t="inlineStr">
        <is>
          <t>rxcp</t>
        </is>
      </c>
      <c r="B1773" s="14" t="inlineStr">
        <is>
          <t>oop</t>
        </is>
      </c>
      <c r="C1773" s="14" t="inlineStr">
        <is>
          <t>foo</t>
        </is>
      </c>
      <c r="D1773" s="39" t="n"/>
      <c r="E1773" s="39" t="n"/>
      <c r="F1773" s="39" t="n"/>
      <c r="G1773" s="39" t="n"/>
      <c r="H1773" s="14">
        <f>INDEX(VarLab,MATCH($A1773,VarKey,0))&amp;INDEX(MemLab,MATCH($C1773&amp;"|"&amp;$B1773,MemKey,0))</f>
        <v/>
      </c>
      <c r="I1773" s="14">
        <f>INDEX(VarUnit,MATCH($A1773,VarKey,0))</f>
        <v/>
      </c>
      <c r="J1773" s="14">
        <f>INDEX(VarSrc,MATCH($A1773,VarKey,0))</f>
        <v/>
      </c>
      <c r="K1773" s="11">
        <f>CodePrefix&amp;$A1773&amp;IF($C1773="","","."&amp;$C1773&amp;"."&amp;$B1773)&amp;INDEX(VarEnd,MATCH($A1773,VarKey,0))&amp;K$5</f>
        <v/>
      </c>
      <c r="L1773" s="43">
        <f>L1728*Settings!$C$13*(L1692)</f>
        <v/>
      </c>
      <c r="M1773" s="44">
        <f>M1728*Settings!$C$13*(M1692)</f>
        <v/>
      </c>
      <c r="N1773" s="44">
        <f>N1728*Settings!$C$13*(N1692)</f>
        <v/>
      </c>
      <c r="O1773" s="44">
        <f>O1728*Settings!$C$13*(O1692)</f>
        <v/>
      </c>
      <c r="P1773" s="44">
        <f>P1728*Settings!$C$13*(P1692)</f>
        <v/>
      </c>
      <c r="Q1773" s="44">
        <f>Q1728*Settings!$C$13*(Q1692)</f>
        <v/>
      </c>
      <c r="R1773" s="44">
        <f>R1728*Settings!$C$13*(R1692)</f>
        <v/>
      </c>
      <c r="S1773" s="44">
        <f>S1728*Settings!$C$13*(S1692)</f>
        <v/>
      </c>
      <c r="T1773" s="44">
        <f>T1728*Settings!$C$13*(T1692)</f>
        <v/>
      </c>
      <c r="U1773" s="44">
        <f>U1728*Settings!$C$13*(U1692)</f>
        <v/>
      </c>
      <c r="V1773" s="44">
        <f>V1728*Settings!$C$13*(V1692)</f>
        <v/>
      </c>
      <c r="W1773" s="44">
        <f>W1728*Settings!$C$13*(W1692)</f>
        <v/>
      </c>
      <c r="X1773" s="44">
        <f>X1728*Settings!$C$13*(X1692)</f>
        <v/>
      </c>
      <c r="Y1773" s="44">
        <f>Y1728*Settings!$C$13*(Y1692)</f>
        <v/>
      </c>
      <c r="Z1773" s="44">
        <f>Z1728*Settings!$C$13*(Z1692)</f>
        <v/>
      </c>
      <c r="AA1773" s="44">
        <f>AA1728*Settings!$C$13*(AA1692)</f>
        <v/>
      </c>
      <c r="AB1773" s="44">
        <f>AB1728*Settings!$C$13*(AB1692)</f>
        <v/>
      </c>
      <c r="AC1773" s="44">
        <f>AC1728*Settings!$C$13*(AC1692)</f>
        <v/>
      </c>
      <c r="AD1773" s="44">
        <f>AD1728*Settings!$C$13*(AD1692)</f>
        <v/>
      </c>
      <c r="AE1773" s="57">
        <f>REVENUE(AE1728,Settings!$C$13,AE1692)</f>
        <v/>
      </c>
      <c r="AG1773" s="11">
        <f>CodePrefix&amp;$A1773&amp;IF($C1773="","","."&amp;$C1773&amp;"."&amp;$B1773)&amp;INDEX(VarEnd,MATCH($A1773,VarKey,0))&amp;AG$5</f>
        <v/>
      </c>
      <c r="AH1773" s="43">
        <f>AH1728*Settings!$C$13*(AH1692)</f>
        <v/>
      </c>
      <c r="AI1773" s="44">
        <f>AI1728*Settings!$C$13*(AI1692)</f>
        <v/>
      </c>
      <c r="AJ1773" s="44">
        <f>AJ1728*Settings!$C$13*(AJ1692)</f>
        <v/>
      </c>
      <c r="AK1773" s="44">
        <f>AK1728*Settings!$C$13*(AK1692)</f>
        <v/>
      </c>
      <c r="AL1773" s="44">
        <f>AL1728*Settings!$C$13*(AL1692)</f>
        <v/>
      </c>
      <c r="AM1773" s="44">
        <f>AM1728*Settings!$C$13*(AM1692)</f>
        <v/>
      </c>
      <c r="AN1773" s="44">
        <f>AN1728*Settings!$C$13*(AN1692)</f>
        <v/>
      </c>
      <c r="AO1773" s="44">
        <f>AO1728*Settings!$C$13*(AO1692)</f>
        <v/>
      </c>
      <c r="AP1773" s="44">
        <f>AP1728*Settings!$C$13*(AP1692)</f>
        <v/>
      </c>
      <c r="AQ1773" s="44">
        <f>AQ1728*Settings!$C$13*(AQ1692)</f>
        <v/>
      </c>
      <c r="AR1773" s="44">
        <f>AR1728*Settings!$C$13*(AR1692)</f>
        <v/>
      </c>
      <c r="AS1773" s="44">
        <f>AS1728*Settings!$C$13*(AS1692)</f>
        <v/>
      </c>
      <c r="AT1773" s="44">
        <f>AT1728*Settings!$C$13*(AT1692)</f>
        <v/>
      </c>
      <c r="AU1773" s="44">
        <f>AU1728*Settings!$C$13*(AU1692)</f>
        <v/>
      </c>
      <c r="AV1773" s="44">
        <f>AV1728*Settings!$C$13*(AV1692)</f>
        <v/>
      </c>
      <c r="AW1773" s="44">
        <f>AW1728*Settings!$C$13*(AW1692)</f>
        <v/>
      </c>
      <c r="AX1773" s="44">
        <f>AX1728*Settings!$C$13*(AX1692)</f>
        <v/>
      </c>
      <c r="AY1773" s="44">
        <f>AY1728*Settings!$C$13*(AY1692)</f>
        <v/>
      </c>
      <c r="AZ1773" s="44">
        <f>AZ1728*Settings!$C$13*(AZ1692)</f>
        <v/>
      </c>
      <c r="BA1773" s="57">
        <f>REVENUE(BA1728,Settings!$C$13,BA1692)</f>
        <v/>
      </c>
    </row>
    <row r="1774" hidden="1" outlineLevel="2">
      <c r="A1774" s="14" t="inlineStr">
        <is>
          <t>rxcp</t>
        </is>
      </c>
      <c r="B1774" s="14" t="inlineStr">
        <is>
          <t>bio</t>
        </is>
      </c>
      <c r="C1774" s="14" t="inlineStr">
        <is>
          <t>foo</t>
        </is>
      </c>
      <c r="D1774" s="39" t="n"/>
      <c r="E1774" s="39" t="n"/>
      <c r="F1774" s="39" t="n"/>
      <c r="G1774" s="39" t="n"/>
      <c r="H1774" s="14">
        <f>INDEX(VarLab,MATCH($A1774,VarKey,0))&amp;INDEX(MemLab,MATCH($C1774&amp;"|"&amp;$B1774,MemKey,0))</f>
        <v/>
      </c>
      <c r="I1774" s="14">
        <f>INDEX(VarUnit,MATCH($A1774,VarKey,0))</f>
        <v/>
      </c>
      <c r="J1774" s="14">
        <f>INDEX(VarSrc,MATCH($A1774,VarKey,0))</f>
        <v/>
      </c>
      <c r="K1774" s="11">
        <f>CodePrefix&amp;$A1774&amp;IF($C1774="","","."&amp;$C1774&amp;"."&amp;$B1774)&amp;INDEX(VarEnd,MATCH($A1774,VarKey,0))&amp;K$5</f>
        <v/>
      </c>
      <c r="L1774" s="43">
        <f>L1729*Settings!$C$13*(L1693)</f>
        <v/>
      </c>
      <c r="M1774" s="44">
        <f>M1729*Settings!$C$13*(M1693)</f>
        <v/>
      </c>
      <c r="N1774" s="44">
        <f>N1729*Settings!$C$13*(N1693)</f>
        <v/>
      </c>
      <c r="O1774" s="44">
        <f>O1729*Settings!$C$13*(O1693)</f>
        <v/>
      </c>
      <c r="P1774" s="44">
        <f>P1729*Settings!$C$13*(P1693)</f>
        <v/>
      </c>
      <c r="Q1774" s="44">
        <f>Q1729*Settings!$C$13*(Q1693)</f>
        <v/>
      </c>
      <c r="R1774" s="44">
        <f>R1729*Settings!$C$13*(R1693)</f>
        <v/>
      </c>
      <c r="S1774" s="44">
        <f>S1729*Settings!$C$13*(S1693)</f>
        <v/>
      </c>
      <c r="T1774" s="44">
        <f>T1729*Settings!$C$13*(T1693)</f>
        <v/>
      </c>
      <c r="U1774" s="44">
        <f>U1729*Settings!$C$13*(U1693)</f>
        <v/>
      </c>
      <c r="V1774" s="44">
        <f>V1729*Settings!$C$13*(V1693)</f>
        <v/>
      </c>
      <c r="W1774" s="44">
        <f>W1729*Settings!$C$13*(W1693)</f>
        <v/>
      </c>
      <c r="X1774" s="44">
        <f>X1729*Settings!$C$13*(X1693)</f>
        <v/>
      </c>
      <c r="Y1774" s="44">
        <f>Y1729*Settings!$C$13*(Y1693)</f>
        <v/>
      </c>
      <c r="Z1774" s="44">
        <f>Z1729*Settings!$C$13*(Z1693)</f>
        <v/>
      </c>
      <c r="AA1774" s="44">
        <f>AA1729*Settings!$C$13*(AA1693)</f>
        <v/>
      </c>
      <c r="AB1774" s="44">
        <f>AB1729*Settings!$C$13*(AB1693)</f>
        <v/>
      </c>
      <c r="AC1774" s="44">
        <f>AC1729*Settings!$C$13*(AC1693)</f>
        <v/>
      </c>
      <c r="AD1774" s="44">
        <f>AD1729*Settings!$C$13*(AD1693)</f>
        <v/>
      </c>
      <c r="AE1774" s="57">
        <f>REVENUE(AE1729,Settings!$C$13,AE1693)</f>
        <v/>
      </c>
      <c r="AG1774" s="11">
        <f>CodePrefix&amp;$A1774&amp;IF($C1774="","","."&amp;$C1774&amp;"."&amp;$B1774)&amp;INDEX(VarEnd,MATCH($A1774,VarKey,0))&amp;AG$5</f>
        <v/>
      </c>
      <c r="AH1774" s="43">
        <f>AH1729*Settings!$C$13*(AH1693)</f>
        <v/>
      </c>
      <c r="AI1774" s="44">
        <f>AI1729*Settings!$C$13*(AI1693)</f>
        <v/>
      </c>
      <c r="AJ1774" s="44">
        <f>AJ1729*Settings!$C$13*(AJ1693)</f>
        <v/>
      </c>
      <c r="AK1774" s="44">
        <f>AK1729*Settings!$C$13*(AK1693)</f>
        <v/>
      </c>
      <c r="AL1774" s="44">
        <f>AL1729*Settings!$C$13*(AL1693)</f>
        <v/>
      </c>
      <c r="AM1774" s="44">
        <f>AM1729*Settings!$C$13*(AM1693)</f>
        <v/>
      </c>
      <c r="AN1774" s="44">
        <f>AN1729*Settings!$C$13*(AN1693)</f>
        <v/>
      </c>
      <c r="AO1774" s="44">
        <f>AO1729*Settings!$C$13*(AO1693)</f>
        <v/>
      </c>
      <c r="AP1774" s="44">
        <f>AP1729*Settings!$C$13*(AP1693)</f>
        <v/>
      </c>
      <c r="AQ1774" s="44">
        <f>AQ1729*Settings!$C$13*(AQ1693)</f>
        <v/>
      </c>
      <c r="AR1774" s="44">
        <f>AR1729*Settings!$C$13*(AR1693)</f>
        <v/>
      </c>
      <c r="AS1774" s="44">
        <f>AS1729*Settings!$C$13*(AS1693)</f>
        <v/>
      </c>
      <c r="AT1774" s="44">
        <f>AT1729*Settings!$C$13*(AT1693)</f>
        <v/>
      </c>
      <c r="AU1774" s="44">
        <f>AU1729*Settings!$C$13*(AU1693)</f>
        <v/>
      </c>
      <c r="AV1774" s="44">
        <f>AV1729*Settings!$C$13*(AV1693)</f>
        <v/>
      </c>
      <c r="AW1774" s="44">
        <f>AW1729*Settings!$C$13*(AW1693)</f>
        <v/>
      </c>
      <c r="AX1774" s="44">
        <f>AX1729*Settings!$C$13*(AX1693)</f>
        <v/>
      </c>
      <c r="AY1774" s="44">
        <f>AY1729*Settings!$C$13*(AY1693)</f>
        <v/>
      </c>
      <c r="AZ1774" s="44">
        <f>AZ1729*Settings!$C$13*(AZ1693)</f>
        <v/>
      </c>
      <c r="BA1774" s="57">
        <f>REVENUE(BA1729,Settings!$C$13,BA1693)</f>
        <v/>
      </c>
    </row>
    <row r="1775" hidden="1" outlineLevel="2"/>
    <row r="1776" hidden="1" outlineLevel="1" collapsed="1">
      <c r="A1776" s="1" t="inlineStr">
        <is>
          <t>ener</t>
        </is>
      </c>
      <c r="B1776" s="1" t="inlineStr">
        <is>
          <t>all</t>
        </is>
      </c>
      <c r="C1776" s="1" t="inlineStr">
        <is>
          <t>srv</t>
        </is>
      </c>
      <c r="H1776" s="1">
        <f>INDEX(VarLab,MATCH($A1776,VarKey,0))&amp;INDEX(MemLab,MATCH($C1776&amp;"|"&amp;$B1776,MemKey,0))</f>
        <v/>
      </c>
      <c r="I1776" s="1">
        <f>INDEX(VarUnit,MATCH($A1776,VarKey,0))</f>
        <v/>
      </c>
      <c r="J1776" s="1">
        <f>INDEX(VarSrc,MATCH($A1776,VarKey,0))</f>
        <v/>
      </c>
      <c r="K1776" s="17">
        <f>CodePrefix&amp;$A1776&amp;IF($C1776="","","."&amp;$C1776&amp;"."&amp;$B1776)&amp;INDEX(VarEnd,MATCH($A1776,VarKey,0))&amp;K$5</f>
        <v/>
      </c>
      <c r="L1776" s="68">
        <f>SUM(L1850:L1857)</f>
        <v/>
      </c>
      <c r="M1776" s="69">
        <f>SUM(M1850:M1857)</f>
        <v/>
      </c>
      <c r="N1776" s="69">
        <f>SUM(N1850:N1857)</f>
        <v/>
      </c>
      <c r="O1776" s="69">
        <f>SUM(O1850:O1857)</f>
        <v/>
      </c>
      <c r="P1776" s="69">
        <f>SUM(P1850:P1857)</f>
        <v/>
      </c>
      <c r="Q1776" s="69">
        <f>SUM(Q1850:Q1857)</f>
        <v/>
      </c>
      <c r="R1776" s="69">
        <f>SUM(R1850:R1857)</f>
        <v/>
      </c>
      <c r="S1776" s="69">
        <f>SUM(S1850:S1857)</f>
        <v/>
      </c>
      <c r="T1776" s="69">
        <f>SUM(T1850:T1857)</f>
        <v/>
      </c>
      <c r="U1776" s="69">
        <f>SUM(U1850:U1857)</f>
        <v/>
      </c>
      <c r="V1776" s="69">
        <f>SUM(V1850:V1857)</f>
        <v/>
      </c>
      <c r="W1776" s="69">
        <f>SUM(W1850:W1857)</f>
        <v/>
      </c>
      <c r="X1776" s="69">
        <f>SUM(X1850:X1857)</f>
        <v/>
      </c>
      <c r="Y1776" s="69">
        <f>SUM(Y1850:Y1857)</f>
        <v/>
      </c>
      <c r="Z1776" s="69">
        <f>SUM(Z1850:Z1857)</f>
        <v/>
      </c>
      <c r="AA1776" s="69">
        <f>SUM(AA1850:AA1857)</f>
        <v/>
      </c>
      <c r="AB1776" s="69">
        <f>SUM(AB1850:AB1857)</f>
        <v/>
      </c>
      <c r="AC1776" s="69">
        <f>SUM(AC1850:AC1857)</f>
        <v/>
      </c>
      <c r="AD1776" s="69">
        <f>SUM(AD1850:AD1857)</f>
        <v/>
      </c>
      <c r="AE1776" s="69">
        <f>SUM(AE1850:AE1857)</f>
        <v/>
      </c>
      <c r="AG1776" s="17">
        <f>CodePrefix&amp;$A1776&amp;IF($C1776="","","."&amp;$C1776&amp;"."&amp;$B1776)&amp;INDEX(VarEnd,MATCH($A1776,VarKey,0))&amp;AG$5</f>
        <v/>
      </c>
      <c r="AH1776" s="68">
        <f>SUM(AH1850:AH1857)</f>
        <v/>
      </c>
      <c r="AI1776" s="69">
        <f>SUM(AI1850:AI1857)</f>
        <v/>
      </c>
      <c r="AJ1776" s="69">
        <f>SUM(AJ1850:AJ1857)</f>
        <v/>
      </c>
      <c r="AK1776" s="69">
        <f>SUM(AK1850:AK1857)</f>
        <v/>
      </c>
      <c r="AL1776" s="69">
        <f>SUM(AL1850:AL1857)</f>
        <v/>
      </c>
      <c r="AM1776" s="69">
        <f>SUM(AM1850:AM1857)</f>
        <v/>
      </c>
      <c r="AN1776" s="69">
        <f>SUM(AN1850:AN1857)</f>
        <v/>
      </c>
      <c r="AO1776" s="69">
        <f>SUM(AO1850:AO1857)</f>
        <v/>
      </c>
      <c r="AP1776" s="69">
        <f>SUM(AP1850:AP1857)</f>
        <v/>
      </c>
      <c r="AQ1776" s="69">
        <f>SUM(AQ1850:AQ1857)</f>
        <v/>
      </c>
      <c r="AR1776" s="69">
        <f>SUM(AR1850:AR1857)</f>
        <v/>
      </c>
      <c r="AS1776" s="69">
        <f>SUM(AS1850:AS1857)</f>
        <v/>
      </c>
      <c r="AT1776" s="69">
        <f>SUM(AT1850:AT1857)</f>
        <v/>
      </c>
      <c r="AU1776" s="69">
        <f>SUM(AU1850:AU1857)</f>
        <v/>
      </c>
      <c r="AV1776" s="69">
        <f>SUM(AV1850:AV1857)</f>
        <v/>
      </c>
      <c r="AW1776" s="69">
        <f>SUM(AW1850:AW1857)</f>
        <v/>
      </c>
      <c r="AX1776" s="69">
        <f>SUM(AX1850:AX1857)</f>
        <v/>
      </c>
      <c r="AY1776" s="69">
        <f>SUM(AY1850:AY1857)</f>
        <v/>
      </c>
      <c r="AZ1776" s="69">
        <f>SUM(AZ1850:AZ1857)</f>
        <v/>
      </c>
      <c r="BA1776" s="69">
        <f>SUM(BA1850:BA1857)</f>
        <v/>
      </c>
    </row>
    <row r="1777" hidden="1" outlineLevel="1">
      <c r="A1777" s="67" t="inlineStr">
        <is>
          <t>eldem</t>
        </is>
      </c>
      <c r="B1777" s="67" t="inlineStr">
        <is>
          <t>ecy</t>
        </is>
      </c>
      <c r="C1777" s="67" t="inlineStr">
        <is>
          <t>srv</t>
        </is>
      </c>
      <c r="H1777" s="67">
        <f>INDEX(VarLab,MATCH($A1777,VarKey,0))&amp;INDEX(MemLab,MATCH($C1777&amp;"|"&amp;$B1777,MemKey,0))</f>
        <v/>
      </c>
      <c r="I1777" s="67">
        <f>INDEX(VarUnit,MATCH($A1777,VarKey,0))</f>
        <v/>
      </c>
      <c r="J1777" s="67">
        <f>INDEX(VarSrc,MATCH($A1777,VarKey,0))</f>
        <v/>
      </c>
      <c r="K1777" s="70">
        <f>CodePrefix&amp;$A1777&amp;IF($C1777="","","."&amp;$C1777&amp;"."&amp;$B1777)&amp;INDEX(VarEnd,MATCH($A1777,VarKey,0))&amp;K$5</f>
        <v/>
      </c>
      <c r="L1777" s="71">
        <f>SUMIF($C$674:$C$688,$C1777,L$674:L$688)</f>
        <v/>
      </c>
      <c r="M1777" s="72">
        <f>SUMIF($C$674:$C$688,$C1777,M$674:M$688)</f>
        <v/>
      </c>
      <c r="N1777" s="72">
        <f>SUMIF($C$674:$C$688,$C1777,N$674:N$688)</f>
        <v/>
      </c>
      <c r="O1777" s="72">
        <f>SUMIF($C$674:$C$688,$C1777,O$674:O$688)</f>
        <v/>
      </c>
      <c r="P1777" s="72">
        <f>SUMIF($C$674:$C$688,$C1777,P$674:P$688)</f>
        <v/>
      </c>
      <c r="Q1777" s="72">
        <f>SUMIF($C$674:$C$688,$C1777,Q$674:Q$688)</f>
        <v/>
      </c>
      <c r="R1777" s="72">
        <f>SUMIF($C$674:$C$688,$C1777,R$674:R$688)</f>
        <v/>
      </c>
      <c r="S1777" s="72">
        <f>SUMIF($C$674:$C$688,$C1777,S$674:S$688)</f>
        <v/>
      </c>
      <c r="T1777" s="72">
        <f>SUMIF($C$674:$C$688,$C1777,T$674:T$688)</f>
        <v/>
      </c>
      <c r="U1777" s="72">
        <f>SUMIF($C$674:$C$688,$C1777,U$674:U$688)</f>
        <v/>
      </c>
      <c r="V1777" s="72">
        <f>SUMIF($C$674:$C$688,$C1777,V$674:V$688)</f>
        <v/>
      </c>
      <c r="W1777" s="72">
        <f>SUMIF($C$674:$C$688,$C1777,W$674:W$688)</f>
        <v/>
      </c>
      <c r="X1777" s="72">
        <f>SUMIF($C$674:$C$688,$C1777,X$674:X$688)</f>
        <v/>
      </c>
      <c r="Y1777" s="72">
        <f>SUMIF($C$674:$C$688,$C1777,Y$674:Y$688)</f>
        <v/>
      </c>
      <c r="Z1777" s="72">
        <f>SUMIF($C$674:$C$688,$C1777,Z$674:Z$688)</f>
        <v/>
      </c>
      <c r="AA1777" s="72">
        <f>SUMIF($C$674:$C$688,$C1777,AA$674:AA$688)</f>
        <v/>
      </c>
      <c r="AB1777" s="72">
        <f>SUMIF($C$674:$C$688,$C1777,AB$674:AB$688)</f>
        <v/>
      </c>
      <c r="AC1777" s="72">
        <f>SUMIF($C$674:$C$688,$C1777,AC$674:AC$688)</f>
        <v/>
      </c>
      <c r="AD1777" s="72">
        <f>SUMIF($C$674:$C$688,$C1777,AD$674:AD$688)</f>
        <v/>
      </c>
      <c r="AE1777" s="72">
        <f>SUMIF($C$674:$C$688,$C1777,AE$674:AE$688)</f>
        <v/>
      </c>
      <c r="AG1777" s="70">
        <f>CodePrefix&amp;$A1777&amp;IF($C1777="","","."&amp;$C1777&amp;"."&amp;$B1777)&amp;INDEX(VarEnd,MATCH($A1777,VarKey,0))&amp;AG$5</f>
        <v/>
      </c>
      <c r="AH1777" s="71">
        <f>SUMIF($C$674:$C$688,$C1777,AH$674:AH$688)</f>
        <v/>
      </c>
      <c r="AI1777" s="72">
        <f>SUMIF($C$674:$C$688,$C1777,AI$674:AI$688)</f>
        <v/>
      </c>
      <c r="AJ1777" s="72">
        <f>SUMIF($C$674:$C$688,$C1777,AJ$674:AJ$688)</f>
        <v/>
      </c>
      <c r="AK1777" s="72">
        <f>SUMIF($C$674:$C$688,$C1777,AK$674:AK$688)</f>
        <v/>
      </c>
      <c r="AL1777" s="72">
        <f>SUMIF($C$674:$C$688,$C1777,AL$674:AL$688)</f>
        <v/>
      </c>
      <c r="AM1777" s="72">
        <f>SUMIF($C$674:$C$688,$C1777,AM$674:AM$688)</f>
        <v/>
      </c>
      <c r="AN1777" s="72">
        <f>SUMIF($C$674:$C$688,$C1777,AN$674:AN$688)</f>
        <v/>
      </c>
      <c r="AO1777" s="72">
        <f>SUMIF($C$674:$C$688,$C1777,AO$674:AO$688)</f>
        <v/>
      </c>
      <c r="AP1777" s="72">
        <f>SUMIF($C$674:$C$688,$C1777,AP$674:AP$688)</f>
        <v/>
      </c>
      <c r="AQ1777" s="72">
        <f>SUMIF($C$674:$C$688,$C1777,AQ$674:AQ$688)</f>
        <v/>
      </c>
      <c r="AR1777" s="72">
        <f>SUMIF($C$674:$C$688,$C1777,AR$674:AR$688)</f>
        <v/>
      </c>
      <c r="AS1777" s="72">
        <f>SUMIF($C$674:$C$688,$C1777,AS$674:AS$688)</f>
        <v/>
      </c>
      <c r="AT1777" s="72">
        <f>SUMIF($C$674:$C$688,$C1777,AT$674:AT$688)</f>
        <v/>
      </c>
      <c r="AU1777" s="72">
        <f>SUMIF($C$674:$C$688,$C1777,AU$674:AU$688)</f>
        <v/>
      </c>
      <c r="AV1777" s="72">
        <f>SUMIF($C$674:$C$688,$C1777,AV$674:AV$688)</f>
        <v/>
      </c>
      <c r="AW1777" s="72">
        <f>SUMIF($C$674:$C$688,$C1777,AW$674:AW$688)</f>
        <v/>
      </c>
      <c r="AX1777" s="72">
        <f>SUMIF($C$674:$C$688,$C1777,AX$674:AX$688)</f>
        <v/>
      </c>
      <c r="AY1777" s="72">
        <f>SUMIF($C$674:$C$688,$C1777,AY$674:AY$688)</f>
        <v/>
      </c>
      <c r="AZ1777" s="72">
        <f>SUMIF($C$674:$C$688,$C1777,AZ$674:AZ$688)</f>
        <v/>
      </c>
      <c r="BA1777" s="72">
        <f>SUMIF($C$674:$C$688,$C1777,BA$674:BA$688)</f>
        <v/>
      </c>
    </row>
    <row r="1778" hidden="1" outlineLevel="2">
      <c r="A1778" s="14" t="inlineStr">
        <is>
          <t>ctxnew</t>
        </is>
      </c>
      <c r="B1778" s="14" t="inlineStr">
        <is>
          <t>coa</t>
        </is>
      </c>
      <c r="C1778" s="14" t="inlineStr">
        <is>
          <t>srv</t>
        </is>
      </c>
      <c r="D1778" s="35">
        <f>INDEX(Inputs!$W$5:$W$132,MATCH($B1778&amp;"|"&amp;$C1778,Inputs!$A$5:$A$132,0))</f>
        <v/>
      </c>
      <c r="E1778" s="35">
        <f>INDEX(Inputs!$L$5:$L$132,MATCH($B1778&amp;"|"&amp;$C1778,Inputs!$A$5:$A$132,0))</f>
        <v/>
      </c>
      <c r="F1778" s="35">
        <f>INDEX(Inputs!$M$5:$M$132,MATCH($B1778&amp;"|"&amp;$C1778,Inputs!$A$5:$A$132,0))</f>
        <v/>
      </c>
      <c r="G1778" s="39" t="n"/>
      <c r="H1778" s="14">
        <f>INDEX(VarLab,MATCH($A1778,VarKey,0))&amp;INDEX(MemLab,MATCH($C1778&amp;"|"&amp;$B1778,MemKey,0))</f>
        <v/>
      </c>
      <c r="I1778" s="14">
        <f>INDEX(VarUnit,MATCH($A1778,VarKey,0))</f>
        <v/>
      </c>
      <c r="J1778" s="14">
        <f>INDEX(VarSrc,MATCH($A1778,VarKey,0))</f>
        <v/>
      </c>
      <c r="K1778" s="11">
        <f>CodePrefix&amp;$A1778&amp;IF($C1778="","","."&amp;$C1778&amp;"."&amp;$B1778)&amp;INDEX(VarEnd,MATCH($A1778,VarKey,0))&amp;K$5</f>
        <v/>
      </c>
      <c r="L1778" s="40">
        <f>INDEX(L$263:L$279,$F1778)*$D1778*INDEX(L$23:L$30,$E1778)</f>
        <v/>
      </c>
      <c r="M1778" s="35">
        <f>INDEX(M$263:M$279,$F1778)*$D1778*INDEX(M$23:M$30,$E1778)</f>
        <v/>
      </c>
      <c r="N1778" s="35">
        <f>INDEX(N$263:N$279,$F1778)*$D1778*INDEX(N$23:N$30,$E1778)</f>
        <v/>
      </c>
      <c r="O1778" s="35">
        <f>INDEX(O$263:O$279,$F1778)*$D1778*INDEX(O$23:O$30,$E1778)</f>
        <v/>
      </c>
      <c r="P1778" s="35">
        <f>INDEX(P$263:P$279,$F1778)*$D1778*INDEX(P$23:P$30,$E1778)</f>
        <v/>
      </c>
      <c r="Q1778" s="35">
        <f>INDEX(Q$263:Q$279,$F1778)*$D1778*INDEX(Q$23:Q$30,$E1778)</f>
        <v/>
      </c>
      <c r="R1778" s="35">
        <f>INDEX(R$263:R$279,$F1778)*$D1778*INDEX(R$23:R$30,$E1778)</f>
        <v/>
      </c>
      <c r="S1778" s="35">
        <f>INDEX(S$263:S$279,$F1778)*$D1778*INDEX(S$23:S$30,$E1778)</f>
        <v/>
      </c>
      <c r="T1778" s="35">
        <f>INDEX(T$263:T$279,$F1778)*$D1778*INDEX(T$23:T$30,$E1778)</f>
        <v/>
      </c>
      <c r="U1778" s="35">
        <f>INDEX(U$263:U$279,$F1778)*$D1778*INDEX(U$23:U$30,$E1778)</f>
        <v/>
      </c>
      <c r="V1778" s="35">
        <f>INDEX(V$263:V$279,$F1778)*$D1778*INDEX(V$23:V$30,$E1778)</f>
        <v/>
      </c>
      <c r="W1778" s="35">
        <f>INDEX(W$263:W$279,$F1778)*$D1778*INDEX(W$23:W$30,$E1778)</f>
        <v/>
      </c>
      <c r="X1778" s="35">
        <f>INDEX(X$263:X$279,$F1778)*$D1778*INDEX(X$23:X$30,$E1778)</f>
        <v/>
      </c>
      <c r="Y1778" s="35">
        <f>INDEX(Y$263:Y$279,$F1778)*$D1778*INDEX(Y$23:Y$30,$E1778)</f>
        <v/>
      </c>
      <c r="Z1778" s="35">
        <f>INDEX(Z$263:Z$279,$F1778)*$D1778*INDEX(Z$23:Z$30,$E1778)</f>
        <v/>
      </c>
      <c r="AA1778" s="35">
        <f>INDEX(AA$263:AA$279,$F1778)*$D1778*INDEX(AA$23:AA$30,$E1778)</f>
        <v/>
      </c>
      <c r="AB1778" s="35">
        <f>INDEX(AB$263:AB$279,$F1778)*$D1778*INDEX(AB$23:AB$30,$E1778)</f>
        <v/>
      </c>
      <c r="AC1778" s="35">
        <f>INDEX(AC$263:AC$279,$F1778)*$D1778*INDEX(AC$23:AC$30,$E1778)</f>
        <v/>
      </c>
      <c r="AD1778" s="35">
        <f>INDEX(AD$263:AD$279,$F1778)*$D1778*INDEX(AD$23:AD$30,$E1778)</f>
        <v/>
      </c>
      <c r="AE1778" s="42">
        <f>CARBONTAX(INDEX(AE$263:AE$279,$F1778),$D1778,INDEX(AE$23:AE$30,$E1778))</f>
        <v/>
      </c>
      <c r="AG1778" s="11">
        <f>CodePrefix&amp;$A1778&amp;IF($C1778="","","."&amp;$C1778&amp;"."&amp;$B1778)&amp;INDEX(VarEnd,MATCH($A1778,VarKey,0))&amp;AG$5</f>
        <v/>
      </c>
      <c r="AH1778" s="40">
        <f>INDEX(AH$263:AH$279,$F1778)*$D1778*INDEX(AH$23:AH$30,$E1778)</f>
        <v/>
      </c>
      <c r="AI1778" s="35">
        <f>INDEX(AI$263:AI$279,$F1778)*$D1778*INDEX(AI$23:AI$30,$E1778)</f>
        <v/>
      </c>
      <c r="AJ1778" s="35">
        <f>INDEX(AJ$263:AJ$279,$F1778)*$D1778*INDEX(AJ$23:AJ$30,$E1778)</f>
        <v/>
      </c>
      <c r="AK1778" s="35">
        <f>INDEX(AK$263:AK$279,$F1778)*$D1778*INDEX(AK$23:AK$30,$E1778)</f>
        <v/>
      </c>
      <c r="AL1778" s="35">
        <f>INDEX(AL$263:AL$279,$F1778)*$D1778*INDEX(AL$23:AL$30,$E1778)</f>
        <v/>
      </c>
      <c r="AM1778" s="35">
        <f>INDEX(AM$263:AM$279,$F1778)*$D1778*INDEX(AM$23:AM$30,$E1778)</f>
        <v/>
      </c>
      <c r="AN1778" s="35">
        <f>INDEX(AN$263:AN$279,$F1778)*$D1778*INDEX(AN$23:AN$30,$E1778)</f>
        <v/>
      </c>
      <c r="AO1778" s="35">
        <f>INDEX(AO$263:AO$279,$F1778)*$D1778*INDEX(AO$23:AO$30,$E1778)</f>
        <v/>
      </c>
      <c r="AP1778" s="35">
        <f>INDEX(AP$263:AP$279,$F1778)*$D1778*INDEX(AP$23:AP$30,$E1778)</f>
        <v/>
      </c>
      <c r="AQ1778" s="35">
        <f>INDEX(AQ$263:AQ$279,$F1778)*$D1778*INDEX(AQ$23:AQ$30,$E1778)</f>
        <v/>
      </c>
      <c r="AR1778" s="35">
        <f>INDEX(AR$263:AR$279,$F1778)*$D1778*INDEX(AR$23:AR$30,$E1778)</f>
        <v/>
      </c>
      <c r="AS1778" s="35">
        <f>INDEX(AS$263:AS$279,$F1778)*$D1778*INDEX(AS$23:AS$30,$E1778)</f>
        <v/>
      </c>
      <c r="AT1778" s="35">
        <f>INDEX(AT$263:AT$279,$F1778)*$D1778*INDEX(AT$23:AT$30,$E1778)</f>
        <v/>
      </c>
      <c r="AU1778" s="35">
        <f>INDEX(AU$263:AU$279,$F1778)*$D1778*INDEX(AU$23:AU$30,$E1778)</f>
        <v/>
      </c>
      <c r="AV1778" s="35">
        <f>INDEX(AV$263:AV$279,$F1778)*$D1778*INDEX(AV$23:AV$30,$E1778)</f>
        <v/>
      </c>
      <c r="AW1778" s="35">
        <f>INDEX(AW$263:AW$279,$F1778)*$D1778*INDEX(AW$23:AW$30,$E1778)</f>
        <v/>
      </c>
      <c r="AX1778" s="35">
        <f>INDEX(AX$263:AX$279,$F1778)*$D1778*INDEX(AX$23:AX$30,$E1778)</f>
        <v/>
      </c>
      <c r="AY1778" s="35">
        <f>INDEX(AY$263:AY$279,$F1778)*$D1778*INDEX(AY$23:AY$30,$E1778)</f>
        <v/>
      </c>
      <c r="AZ1778" s="35">
        <f>INDEX(AZ$263:AZ$279,$F1778)*$D1778*INDEX(AZ$23:AZ$30,$E1778)</f>
        <v/>
      </c>
      <c r="BA1778" s="42">
        <f>CARBONTAX(INDEX(BA$263:BA$279,$F1778),$D1778,INDEX(BA$23:BA$30,$E1778))</f>
        <v/>
      </c>
    </row>
    <row r="1779" hidden="1" outlineLevel="2">
      <c r="A1779" s="14" t="inlineStr">
        <is>
          <t>ctxnew</t>
        </is>
      </c>
      <c r="B1779" s="14" t="inlineStr">
        <is>
          <t>nga</t>
        </is>
      </c>
      <c r="C1779" s="14" t="inlineStr">
        <is>
          <t>srv</t>
        </is>
      </c>
      <c r="D1779" s="35">
        <f>INDEX(Inputs!$W$5:$W$132,MATCH($B1779&amp;"|"&amp;$C1779,Inputs!$A$5:$A$132,0))</f>
        <v/>
      </c>
      <c r="E1779" s="35">
        <f>INDEX(Inputs!$L$5:$L$132,MATCH($B1779&amp;"|"&amp;$C1779,Inputs!$A$5:$A$132,0))</f>
        <v/>
      </c>
      <c r="F1779" s="35">
        <f>INDEX(Inputs!$M$5:$M$132,MATCH($B1779&amp;"|"&amp;$C1779,Inputs!$A$5:$A$132,0))</f>
        <v/>
      </c>
      <c r="G1779" s="39" t="n"/>
      <c r="H1779" s="14">
        <f>INDEX(VarLab,MATCH($A1779,VarKey,0))&amp;INDEX(MemLab,MATCH($C1779&amp;"|"&amp;$B1779,MemKey,0))</f>
        <v/>
      </c>
      <c r="I1779" s="14">
        <f>INDEX(VarUnit,MATCH($A1779,VarKey,0))</f>
        <v/>
      </c>
      <c r="J1779" s="14">
        <f>INDEX(VarSrc,MATCH($A1779,VarKey,0))</f>
        <v/>
      </c>
      <c r="K1779" s="11">
        <f>CodePrefix&amp;$A1779&amp;IF($C1779="","","."&amp;$C1779&amp;"."&amp;$B1779)&amp;INDEX(VarEnd,MATCH($A1779,VarKey,0))&amp;K$5</f>
        <v/>
      </c>
      <c r="L1779" s="40">
        <f>INDEX(L$263:L$279,$F1779)*$D1779*INDEX(L$23:L$30,$E1779)</f>
        <v/>
      </c>
      <c r="M1779" s="35">
        <f>INDEX(M$263:M$279,$F1779)*$D1779*INDEX(M$23:M$30,$E1779)</f>
        <v/>
      </c>
      <c r="N1779" s="35">
        <f>INDEX(N$263:N$279,$F1779)*$D1779*INDEX(N$23:N$30,$E1779)</f>
        <v/>
      </c>
      <c r="O1779" s="35">
        <f>INDEX(O$263:O$279,$F1779)*$D1779*INDEX(O$23:O$30,$E1779)</f>
        <v/>
      </c>
      <c r="P1779" s="35">
        <f>INDEX(P$263:P$279,$F1779)*$D1779*INDEX(P$23:P$30,$E1779)</f>
        <v/>
      </c>
      <c r="Q1779" s="35">
        <f>INDEX(Q$263:Q$279,$F1779)*$D1779*INDEX(Q$23:Q$30,$E1779)</f>
        <v/>
      </c>
      <c r="R1779" s="35">
        <f>INDEX(R$263:R$279,$F1779)*$D1779*INDEX(R$23:R$30,$E1779)</f>
        <v/>
      </c>
      <c r="S1779" s="35">
        <f>INDEX(S$263:S$279,$F1779)*$D1779*INDEX(S$23:S$30,$E1779)</f>
        <v/>
      </c>
      <c r="T1779" s="35">
        <f>INDEX(T$263:T$279,$F1779)*$D1779*INDEX(T$23:T$30,$E1779)</f>
        <v/>
      </c>
      <c r="U1779" s="35">
        <f>INDEX(U$263:U$279,$F1779)*$D1779*INDEX(U$23:U$30,$E1779)</f>
        <v/>
      </c>
      <c r="V1779" s="35">
        <f>INDEX(V$263:V$279,$F1779)*$D1779*INDEX(V$23:V$30,$E1779)</f>
        <v/>
      </c>
      <c r="W1779" s="35">
        <f>INDEX(W$263:W$279,$F1779)*$D1779*INDEX(W$23:W$30,$E1779)</f>
        <v/>
      </c>
      <c r="X1779" s="35">
        <f>INDEX(X$263:X$279,$F1779)*$D1779*INDEX(X$23:X$30,$E1779)</f>
        <v/>
      </c>
      <c r="Y1779" s="35">
        <f>INDEX(Y$263:Y$279,$F1779)*$D1779*INDEX(Y$23:Y$30,$E1779)</f>
        <v/>
      </c>
      <c r="Z1779" s="35">
        <f>INDEX(Z$263:Z$279,$F1779)*$D1779*INDEX(Z$23:Z$30,$E1779)</f>
        <v/>
      </c>
      <c r="AA1779" s="35">
        <f>INDEX(AA$263:AA$279,$F1779)*$D1779*INDEX(AA$23:AA$30,$E1779)</f>
        <v/>
      </c>
      <c r="AB1779" s="35">
        <f>INDEX(AB$263:AB$279,$F1779)*$D1779*INDEX(AB$23:AB$30,$E1779)</f>
        <v/>
      </c>
      <c r="AC1779" s="35">
        <f>INDEX(AC$263:AC$279,$F1779)*$D1779*INDEX(AC$23:AC$30,$E1779)</f>
        <v/>
      </c>
      <c r="AD1779" s="35">
        <f>INDEX(AD$263:AD$279,$F1779)*$D1779*INDEX(AD$23:AD$30,$E1779)</f>
        <v/>
      </c>
      <c r="AE1779" s="42">
        <f>CARBONTAX(INDEX(AE$263:AE$279,$F1779),$D1779,INDEX(AE$23:AE$30,$E1779))</f>
        <v/>
      </c>
      <c r="AG1779" s="11">
        <f>CodePrefix&amp;$A1779&amp;IF($C1779="","","."&amp;$C1779&amp;"."&amp;$B1779)&amp;INDEX(VarEnd,MATCH($A1779,VarKey,0))&amp;AG$5</f>
        <v/>
      </c>
      <c r="AH1779" s="40">
        <f>INDEX(AH$263:AH$279,$F1779)*$D1779*INDEX(AH$23:AH$30,$E1779)</f>
        <v/>
      </c>
      <c r="AI1779" s="35">
        <f>INDEX(AI$263:AI$279,$F1779)*$D1779*INDEX(AI$23:AI$30,$E1779)</f>
        <v/>
      </c>
      <c r="AJ1779" s="35">
        <f>INDEX(AJ$263:AJ$279,$F1779)*$D1779*INDEX(AJ$23:AJ$30,$E1779)</f>
        <v/>
      </c>
      <c r="AK1779" s="35">
        <f>INDEX(AK$263:AK$279,$F1779)*$D1779*INDEX(AK$23:AK$30,$E1779)</f>
        <v/>
      </c>
      <c r="AL1779" s="35">
        <f>INDEX(AL$263:AL$279,$F1779)*$D1779*INDEX(AL$23:AL$30,$E1779)</f>
        <v/>
      </c>
      <c r="AM1779" s="35">
        <f>INDEX(AM$263:AM$279,$F1779)*$D1779*INDEX(AM$23:AM$30,$E1779)</f>
        <v/>
      </c>
      <c r="AN1779" s="35">
        <f>INDEX(AN$263:AN$279,$F1779)*$D1779*INDEX(AN$23:AN$30,$E1779)</f>
        <v/>
      </c>
      <c r="AO1779" s="35">
        <f>INDEX(AO$263:AO$279,$F1779)*$D1779*INDEX(AO$23:AO$30,$E1779)</f>
        <v/>
      </c>
      <c r="AP1779" s="35">
        <f>INDEX(AP$263:AP$279,$F1779)*$D1779*INDEX(AP$23:AP$30,$E1779)</f>
        <v/>
      </c>
      <c r="AQ1779" s="35">
        <f>INDEX(AQ$263:AQ$279,$F1779)*$D1779*INDEX(AQ$23:AQ$30,$E1779)</f>
        <v/>
      </c>
      <c r="AR1779" s="35">
        <f>INDEX(AR$263:AR$279,$F1779)*$D1779*INDEX(AR$23:AR$30,$E1779)</f>
        <v/>
      </c>
      <c r="AS1779" s="35">
        <f>INDEX(AS$263:AS$279,$F1779)*$D1779*INDEX(AS$23:AS$30,$E1779)</f>
        <v/>
      </c>
      <c r="AT1779" s="35">
        <f>INDEX(AT$263:AT$279,$F1779)*$D1779*INDEX(AT$23:AT$30,$E1779)</f>
        <v/>
      </c>
      <c r="AU1779" s="35">
        <f>INDEX(AU$263:AU$279,$F1779)*$D1779*INDEX(AU$23:AU$30,$E1779)</f>
        <v/>
      </c>
      <c r="AV1779" s="35">
        <f>INDEX(AV$263:AV$279,$F1779)*$D1779*INDEX(AV$23:AV$30,$E1779)</f>
        <v/>
      </c>
      <c r="AW1779" s="35">
        <f>INDEX(AW$263:AW$279,$F1779)*$D1779*INDEX(AW$23:AW$30,$E1779)</f>
        <v/>
      </c>
      <c r="AX1779" s="35">
        <f>INDEX(AX$263:AX$279,$F1779)*$D1779*INDEX(AX$23:AX$30,$E1779)</f>
        <v/>
      </c>
      <c r="AY1779" s="35">
        <f>INDEX(AY$263:AY$279,$F1779)*$D1779*INDEX(AY$23:AY$30,$E1779)</f>
        <v/>
      </c>
      <c r="AZ1779" s="35">
        <f>INDEX(AZ$263:AZ$279,$F1779)*$D1779*INDEX(AZ$23:AZ$30,$E1779)</f>
        <v/>
      </c>
      <c r="BA1779" s="42">
        <f>CARBONTAX(INDEX(BA$263:BA$279,$F1779),$D1779,INDEX(BA$23:BA$30,$E1779))</f>
        <v/>
      </c>
    </row>
    <row r="1780" hidden="1" outlineLevel="2">
      <c r="A1780" s="14" t="inlineStr">
        <is>
          <t>ctxnew</t>
        </is>
      </c>
      <c r="B1780" s="14" t="inlineStr">
        <is>
          <t>gso</t>
        </is>
      </c>
      <c r="C1780" s="14" t="inlineStr">
        <is>
          <t>srv</t>
        </is>
      </c>
      <c r="D1780" s="35">
        <f>INDEX(Inputs!$W$5:$W$132,MATCH($B1780&amp;"|"&amp;$C1780,Inputs!$A$5:$A$132,0))</f>
        <v/>
      </c>
      <c r="E1780" s="35">
        <f>INDEX(Inputs!$L$5:$L$132,MATCH($B1780&amp;"|"&amp;$C1780,Inputs!$A$5:$A$132,0))</f>
        <v/>
      </c>
      <c r="F1780" s="35">
        <f>INDEX(Inputs!$M$5:$M$132,MATCH($B1780&amp;"|"&amp;$C1780,Inputs!$A$5:$A$132,0))</f>
        <v/>
      </c>
      <c r="G1780" s="39" t="n"/>
      <c r="H1780" s="14">
        <f>INDEX(VarLab,MATCH($A1780,VarKey,0))&amp;INDEX(MemLab,MATCH($C1780&amp;"|"&amp;$B1780,MemKey,0))</f>
        <v/>
      </c>
      <c r="I1780" s="14">
        <f>INDEX(VarUnit,MATCH($A1780,VarKey,0))</f>
        <v/>
      </c>
      <c r="J1780" s="14">
        <f>INDEX(VarSrc,MATCH($A1780,VarKey,0))</f>
        <v/>
      </c>
      <c r="K1780" s="11">
        <f>CodePrefix&amp;$A1780&amp;IF($C1780="","","."&amp;$C1780&amp;"."&amp;$B1780)&amp;INDEX(VarEnd,MATCH($A1780,VarKey,0))&amp;K$5</f>
        <v/>
      </c>
      <c r="L1780" s="40">
        <f>INDEX(L$263:L$279,$F1780)*$D1780*INDEX(L$23:L$30,$E1780)</f>
        <v/>
      </c>
      <c r="M1780" s="35">
        <f>INDEX(M$263:M$279,$F1780)*$D1780*INDEX(M$23:M$30,$E1780)</f>
        <v/>
      </c>
      <c r="N1780" s="35">
        <f>INDEX(N$263:N$279,$F1780)*$D1780*INDEX(N$23:N$30,$E1780)</f>
        <v/>
      </c>
      <c r="O1780" s="35">
        <f>INDEX(O$263:O$279,$F1780)*$D1780*INDEX(O$23:O$30,$E1780)</f>
        <v/>
      </c>
      <c r="P1780" s="35">
        <f>INDEX(P$263:P$279,$F1780)*$D1780*INDEX(P$23:P$30,$E1780)</f>
        <v/>
      </c>
      <c r="Q1780" s="35">
        <f>INDEX(Q$263:Q$279,$F1780)*$D1780*INDEX(Q$23:Q$30,$E1780)</f>
        <v/>
      </c>
      <c r="R1780" s="35">
        <f>INDEX(R$263:R$279,$F1780)*$D1780*INDEX(R$23:R$30,$E1780)</f>
        <v/>
      </c>
      <c r="S1780" s="35">
        <f>INDEX(S$263:S$279,$F1780)*$D1780*INDEX(S$23:S$30,$E1780)</f>
        <v/>
      </c>
      <c r="T1780" s="35">
        <f>INDEX(T$263:T$279,$F1780)*$D1780*INDEX(T$23:T$30,$E1780)</f>
        <v/>
      </c>
      <c r="U1780" s="35">
        <f>INDEX(U$263:U$279,$F1780)*$D1780*INDEX(U$23:U$30,$E1780)</f>
        <v/>
      </c>
      <c r="V1780" s="35">
        <f>INDEX(V$263:V$279,$F1780)*$D1780*INDEX(V$23:V$30,$E1780)</f>
        <v/>
      </c>
      <c r="W1780" s="35">
        <f>INDEX(W$263:W$279,$F1780)*$D1780*INDEX(W$23:W$30,$E1780)</f>
        <v/>
      </c>
      <c r="X1780" s="35">
        <f>INDEX(X$263:X$279,$F1780)*$D1780*INDEX(X$23:X$30,$E1780)</f>
        <v/>
      </c>
      <c r="Y1780" s="35">
        <f>INDEX(Y$263:Y$279,$F1780)*$D1780*INDEX(Y$23:Y$30,$E1780)</f>
        <v/>
      </c>
      <c r="Z1780" s="35">
        <f>INDEX(Z$263:Z$279,$F1780)*$D1780*INDEX(Z$23:Z$30,$E1780)</f>
        <v/>
      </c>
      <c r="AA1780" s="35">
        <f>INDEX(AA$263:AA$279,$F1780)*$D1780*INDEX(AA$23:AA$30,$E1780)</f>
        <v/>
      </c>
      <c r="AB1780" s="35">
        <f>INDEX(AB$263:AB$279,$F1780)*$D1780*INDEX(AB$23:AB$30,$E1780)</f>
        <v/>
      </c>
      <c r="AC1780" s="35">
        <f>INDEX(AC$263:AC$279,$F1780)*$D1780*INDEX(AC$23:AC$30,$E1780)</f>
        <v/>
      </c>
      <c r="AD1780" s="35">
        <f>INDEX(AD$263:AD$279,$F1780)*$D1780*INDEX(AD$23:AD$30,$E1780)</f>
        <v/>
      </c>
      <c r="AE1780" s="42">
        <f>CARBONTAX(INDEX(AE$263:AE$279,$F1780),$D1780,INDEX(AE$23:AE$30,$E1780))</f>
        <v/>
      </c>
      <c r="AG1780" s="11">
        <f>CodePrefix&amp;$A1780&amp;IF($C1780="","","."&amp;$C1780&amp;"."&amp;$B1780)&amp;INDEX(VarEnd,MATCH($A1780,VarKey,0))&amp;AG$5</f>
        <v/>
      </c>
      <c r="AH1780" s="40">
        <f>INDEX(AH$263:AH$279,$F1780)*$D1780*INDEX(AH$23:AH$30,$E1780)</f>
        <v/>
      </c>
      <c r="AI1780" s="35">
        <f>INDEX(AI$263:AI$279,$F1780)*$D1780*INDEX(AI$23:AI$30,$E1780)</f>
        <v/>
      </c>
      <c r="AJ1780" s="35">
        <f>INDEX(AJ$263:AJ$279,$F1780)*$D1780*INDEX(AJ$23:AJ$30,$E1780)</f>
        <v/>
      </c>
      <c r="AK1780" s="35">
        <f>INDEX(AK$263:AK$279,$F1780)*$D1780*INDEX(AK$23:AK$30,$E1780)</f>
        <v/>
      </c>
      <c r="AL1780" s="35">
        <f>INDEX(AL$263:AL$279,$F1780)*$D1780*INDEX(AL$23:AL$30,$E1780)</f>
        <v/>
      </c>
      <c r="AM1780" s="35">
        <f>INDEX(AM$263:AM$279,$F1780)*$D1780*INDEX(AM$23:AM$30,$E1780)</f>
        <v/>
      </c>
      <c r="AN1780" s="35">
        <f>INDEX(AN$263:AN$279,$F1780)*$D1780*INDEX(AN$23:AN$30,$E1780)</f>
        <v/>
      </c>
      <c r="AO1780" s="35">
        <f>INDEX(AO$263:AO$279,$F1780)*$D1780*INDEX(AO$23:AO$30,$E1780)</f>
        <v/>
      </c>
      <c r="AP1780" s="35">
        <f>INDEX(AP$263:AP$279,$F1780)*$D1780*INDEX(AP$23:AP$30,$E1780)</f>
        <v/>
      </c>
      <c r="AQ1780" s="35">
        <f>INDEX(AQ$263:AQ$279,$F1780)*$D1780*INDEX(AQ$23:AQ$30,$E1780)</f>
        <v/>
      </c>
      <c r="AR1780" s="35">
        <f>INDEX(AR$263:AR$279,$F1780)*$D1780*INDEX(AR$23:AR$30,$E1780)</f>
        <v/>
      </c>
      <c r="AS1780" s="35">
        <f>INDEX(AS$263:AS$279,$F1780)*$D1780*INDEX(AS$23:AS$30,$E1780)</f>
        <v/>
      </c>
      <c r="AT1780" s="35">
        <f>INDEX(AT$263:AT$279,$F1780)*$D1780*INDEX(AT$23:AT$30,$E1780)</f>
        <v/>
      </c>
      <c r="AU1780" s="35">
        <f>INDEX(AU$263:AU$279,$F1780)*$D1780*INDEX(AU$23:AU$30,$E1780)</f>
        <v/>
      </c>
      <c r="AV1780" s="35">
        <f>INDEX(AV$263:AV$279,$F1780)*$D1780*INDEX(AV$23:AV$30,$E1780)</f>
        <v/>
      </c>
      <c r="AW1780" s="35">
        <f>INDEX(AW$263:AW$279,$F1780)*$D1780*INDEX(AW$23:AW$30,$E1780)</f>
        <v/>
      </c>
      <c r="AX1780" s="35">
        <f>INDEX(AX$263:AX$279,$F1780)*$D1780*INDEX(AX$23:AX$30,$E1780)</f>
        <v/>
      </c>
      <c r="AY1780" s="35">
        <f>INDEX(AY$263:AY$279,$F1780)*$D1780*INDEX(AY$23:AY$30,$E1780)</f>
        <v/>
      </c>
      <c r="AZ1780" s="35">
        <f>INDEX(AZ$263:AZ$279,$F1780)*$D1780*INDEX(AZ$23:AZ$30,$E1780)</f>
        <v/>
      </c>
      <c r="BA1780" s="42">
        <f>CARBONTAX(INDEX(BA$263:BA$279,$F1780),$D1780,INDEX(BA$23:BA$30,$E1780))</f>
        <v/>
      </c>
    </row>
    <row r="1781" hidden="1" outlineLevel="2">
      <c r="A1781" s="14" t="inlineStr">
        <is>
          <t>ctxnew</t>
        </is>
      </c>
      <c r="B1781" s="14" t="inlineStr">
        <is>
          <t>die</t>
        </is>
      </c>
      <c r="C1781" s="14" t="inlineStr">
        <is>
          <t>srv</t>
        </is>
      </c>
      <c r="D1781" s="35">
        <f>INDEX(Inputs!$W$5:$W$132,MATCH($B1781&amp;"|"&amp;$C1781,Inputs!$A$5:$A$132,0))</f>
        <v/>
      </c>
      <c r="E1781" s="35">
        <f>INDEX(Inputs!$L$5:$L$132,MATCH($B1781&amp;"|"&amp;$C1781,Inputs!$A$5:$A$132,0))</f>
        <v/>
      </c>
      <c r="F1781" s="35">
        <f>INDEX(Inputs!$M$5:$M$132,MATCH($B1781&amp;"|"&amp;$C1781,Inputs!$A$5:$A$132,0))</f>
        <v/>
      </c>
      <c r="G1781" s="39" t="n"/>
      <c r="H1781" s="14">
        <f>INDEX(VarLab,MATCH($A1781,VarKey,0))&amp;INDEX(MemLab,MATCH($C1781&amp;"|"&amp;$B1781,MemKey,0))</f>
        <v/>
      </c>
      <c r="I1781" s="14">
        <f>INDEX(VarUnit,MATCH($A1781,VarKey,0))</f>
        <v/>
      </c>
      <c r="J1781" s="14">
        <f>INDEX(VarSrc,MATCH($A1781,VarKey,0))</f>
        <v/>
      </c>
      <c r="K1781" s="11">
        <f>CodePrefix&amp;$A1781&amp;IF($C1781="","","."&amp;$C1781&amp;"."&amp;$B1781)&amp;INDEX(VarEnd,MATCH($A1781,VarKey,0))&amp;K$5</f>
        <v/>
      </c>
      <c r="L1781" s="40">
        <f>INDEX(L$263:L$279,$F1781)*$D1781*INDEX(L$23:L$30,$E1781)</f>
        <v/>
      </c>
      <c r="M1781" s="35">
        <f>INDEX(M$263:M$279,$F1781)*$D1781*INDEX(M$23:M$30,$E1781)</f>
        <v/>
      </c>
      <c r="N1781" s="35">
        <f>INDEX(N$263:N$279,$F1781)*$D1781*INDEX(N$23:N$30,$E1781)</f>
        <v/>
      </c>
      <c r="O1781" s="35">
        <f>INDEX(O$263:O$279,$F1781)*$D1781*INDEX(O$23:O$30,$E1781)</f>
        <v/>
      </c>
      <c r="P1781" s="35">
        <f>INDEX(P$263:P$279,$F1781)*$D1781*INDEX(P$23:P$30,$E1781)</f>
        <v/>
      </c>
      <c r="Q1781" s="35">
        <f>INDEX(Q$263:Q$279,$F1781)*$D1781*INDEX(Q$23:Q$30,$E1781)</f>
        <v/>
      </c>
      <c r="R1781" s="35">
        <f>INDEX(R$263:R$279,$F1781)*$D1781*INDEX(R$23:R$30,$E1781)</f>
        <v/>
      </c>
      <c r="S1781" s="35">
        <f>INDEX(S$263:S$279,$F1781)*$D1781*INDEX(S$23:S$30,$E1781)</f>
        <v/>
      </c>
      <c r="T1781" s="35">
        <f>INDEX(T$263:T$279,$F1781)*$D1781*INDEX(T$23:T$30,$E1781)</f>
        <v/>
      </c>
      <c r="U1781" s="35">
        <f>INDEX(U$263:U$279,$F1781)*$D1781*INDEX(U$23:U$30,$E1781)</f>
        <v/>
      </c>
      <c r="V1781" s="35">
        <f>INDEX(V$263:V$279,$F1781)*$D1781*INDEX(V$23:V$30,$E1781)</f>
        <v/>
      </c>
      <c r="W1781" s="35">
        <f>INDEX(W$263:W$279,$F1781)*$D1781*INDEX(W$23:W$30,$E1781)</f>
        <v/>
      </c>
      <c r="X1781" s="35">
        <f>INDEX(X$263:X$279,$F1781)*$D1781*INDEX(X$23:X$30,$E1781)</f>
        <v/>
      </c>
      <c r="Y1781" s="35">
        <f>INDEX(Y$263:Y$279,$F1781)*$D1781*INDEX(Y$23:Y$30,$E1781)</f>
        <v/>
      </c>
      <c r="Z1781" s="35">
        <f>INDEX(Z$263:Z$279,$F1781)*$D1781*INDEX(Z$23:Z$30,$E1781)</f>
        <v/>
      </c>
      <c r="AA1781" s="35">
        <f>INDEX(AA$263:AA$279,$F1781)*$D1781*INDEX(AA$23:AA$30,$E1781)</f>
        <v/>
      </c>
      <c r="AB1781" s="35">
        <f>INDEX(AB$263:AB$279,$F1781)*$D1781*INDEX(AB$23:AB$30,$E1781)</f>
        <v/>
      </c>
      <c r="AC1781" s="35">
        <f>INDEX(AC$263:AC$279,$F1781)*$D1781*INDEX(AC$23:AC$30,$E1781)</f>
        <v/>
      </c>
      <c r="AD1781" s="35">
        <f>INDEX(AD$263:AD$279,$F1781)*$D1781*INDEX(AD$23:AD$30,$E1781)</f>
        <v/>
      </c>
      <c r="AE1781" s="42">
        <f>CARBONTAX(INDEX(AE$263:AE$279,$F1781),$D1781,INDEX(AE$23:AE$30,$E1781))</f>
        <v/>
      </c>
      <c r="AG1781" s="11">
        <f>CodePrefix&amp;$A1781&amp;IF($C1781="","","."&amp;$C1781&amp;"."&amp;$B1781)&amp;INDEX(VarEnd,MATCH($A1781,VarKey,0))&amp;AG$5</f>
        <v/>
      </c>
      <c r="AH1781" s="40">
        <f>INDEX(AH$263:AH$279,$F1781)*$D1781*INDEX(AH$23:AH$30,$E1781)</f>
        <v/>
      </c>
      <c r="AI1781" s="35">
        <f>INDEX(AI$263:AI$279,$F1781)*$D1781*INDEX(AI$23:AI$30,$E1781)</f>
        <v/>
      </c>
      <c r="AJ1781" s="35">
        <f>INDEX(AJ$263:AJ$279,$F1781)*$D1781*INDEX(AJ$23:AJ$30,$E1781)</f>
        <v/>
      </c>
      <c r="AK1781" s="35">
        <f>INDEX(AK$263:AK$279,$F1781)*$D1781*INDEX(AK$23:AK$30,$E1781)</f>
        <v/>
      </c>
      <c r="AL1781" s="35">
        <f>INDEX(AL$263:AL$279,$F1781)*$D1781*INDEX(AL$23:AL$30,$E1781)</f>
        <v/>
      </c>
      <c r="AM1781" s="35">
        <f>INDEX(AM$263:AM$279,$F1781)*$D1781*INDEX(AM$23:AM$30,$E1781)</f>
        <v/>
      </c>
      <c r="AN1781" s="35">
        <f>INDEX(AN$263:AN$279,$F1781)*$D1781*INDEX(AN$23:AN$30,$E1781)</f>
        <v/>
      </c>
      <c r="AO1781" s="35">
        <f>INDEX(AO$263:AO$279,$F1781)*$D1781*INDEX(AO$23:AO$30,$E1781)</f>
        <v/>
      </c>
      <c r="AP1781" s="35">
        <f>INDEX(AP$263:AP$279,$F1781)*$D1781*INDEX(AP$23:AP$30,$E1781)</f>
        <v/>
      </c>
      <c r="AQ1781" s="35">
        <f>INDEX(AQ$263:AQ$279,$F1781)*$D1781*INDEX(AQ$23:AQ$30,$E1781)</f>
        <v/>
      </c>
      <c r="AR1781" s="35">
        <f>INDEX(AR$263:AR$279,$F1781)*$D1781*INDEX(AR$23:AR$30,$E1781)</f>
        <v/>
      </c>
      <c r="AS1781" s="35">
        <f>INDEX(AS$263:AS$279,$F1781)*$D1781*INDEX(AS$23:AS$30,$E1781)</f>
        <v/>
      </c>
      <c r="AT1781" s="35">
        <f>INDEX(AT$263:AT$279,$F1781)*$D1781*INDEX(AT$23:AT$30,$E1781)</f>
        <v/>
      </c>
      <c r="AU1781" s="35">
        <f>INDEX(AU$263:AU$279,$F1781)*$D1781*INDEX(AU$23:AU$30,$E1781)</f>
        <v/>
      </c>
      <c r="AV1781" s="35">
        <f>INDEX(AV$263:AV$279,$F1781)*$D1781*INDEX(AV$23:AV$30,$E1781)</f>
        <v/>
      </c>
      <c r="AW1781" s="35">
        <f>INDEX(AW$263:AW$279,$F1781)*$D1781*INDEX(AW$23:AW$30,$E1781)</f>
        <v/>
      </c>
      <c r="AX1781" s="35">
        <f>INDEX(AX$263:AX$279,$F1781)*$D1781*INDEX(AX$23:AX$30,$E1781)</f>
        <v/>
      </c>
      <c r="AY1781" s="35">
        <f>INDEX(AY$263:AY$279,$F1781)*$D1781*INDEX(AY$23:AY$30,$E1781)</f>
        <v/>
      </c>
      <c r="AZ1781" s="35">
        <f>INDEX(AZ$263:AZ$279,$F1781)*$D1781*INDEX(AZ$23:AZ$30,$E1781)</f>
        <v/>
      </c>
      <c r="BA1781" s="42">
        <f>CARBONTAX(INDEX(BA$263:BA$279,$F1781),$D1781,INDEX(BA$23:BA$30,$E1781))</f>
        <v/>
      </c>
    </row>
    <row r="1782" hidden="1" outlineLevel="2">
      <c r="A1782" s="14" t="inlineStr">
        <is>
          <t>ctxnew</t>
        </is>
      </c>
      <c r="B1782" s="14" t="inlineStr">
        <is>
          <t>lpg</t>
        </is>
      </c>
      <c r="C1782" s="14" t="inlineStr">
        <is>
          <t>srv</t>
        </is>
      </c>
      <c r="D1782" s="35">
        <f>INDEX(Inputs!$W$5:$W$132,MATCH($B1782&amp;"|"&amp;$C1782,Inputs!$A$5:$A$132,0))</f>
        <v/>
      </c>
      <c r="E1782" s="35">
        <f>INDEX(Inputs!$L$5:$L$132,MATCH($B1782&amp;"|"&amp;$C1782,Inputs!$A$5:$A$132,0))</f>
        <v/>
      </c>
      <c r="F1782" s="35">
        <f>INDEX(Inputs!$M$5:$M$132,MATCH($B1782&amp;"|"&amp;$C1782,Inputs!$A$5:$A$132,0))</f>
        <v/>
      </c>
      <c r="G1782" s="39" t="n"/>
      <c r="H1782" s="14">
        <f>INDEX(VarLab,MATCH($A1782,VarKey,0))&amp;INDEX(MemLab,MATCH($C1782&amp;"|"&amp;$B1782,MemKey,0))</f>
        <v/>
      </c>
      <c r="I1782" s="14">
        <f>INDEX(VarUnit,MATCH($A1782,VarKey,0))</f>
        <v/>
      </c>
      <c r="J1782" s="14">
        <f>INDEX(VarSrc,MATCH($A1782,VarKey,0))</f>
        <v/>
      </c>
      <c r="K1782" s="11">
        <f>CodePrefix&amp;$A1782&amp;IF($C1782="","","."&amp;$C1782&amp;"."&amp;$B1782)&amp;INDEX(VarEnd,MATCH($A1782,VarKey,0))&amp;K$5</f>
        <v/>
      </c>
      <c r="L1782" s="40">
        <f>INDEX(L$263:L$279,$F1782)*$D1782*INDEX(L$23:L$30,$E1782)</f>
        <v/>
      </c>
      <c r="M1782" s="35">
        <f>INDEX(M$263:M$279,$F1782)*$D1782*INDEX(M$23:M$30,$E1782)</f>
        <v/>
      </c>
      <c r="N1782" s="35">
        <f>INDEX(N$263:N$279,$F1782)*$D1782*INDEX(N$23:N$30,$E1782)</f>
        <v/>
      </c>
      <c r="O1782" s="35">
        <f>INDEX(O$263:O$279,$F1782)*$D1782*INDEX(O$23:O$30,$E1782)</f>
        <v/>
      </c>
      <c r="P1782" s="35">
        <f>INDEX(P$263:P$279,$F1782)*$D1782*INDEX(P$23:P$30,$E1782)</f>
        <v/>
      </c>
      <c r="Q1782" s="35">
        <f>INDEX(Q$263:Q$279,$F1782)*$D1782*INDEX(Q$23:Q$30,$E1782)</f>
        <v/>
      </c>
      <c r="R1782" s="35">
        <f>INDEX(R$263:R$279,$F1782)*$D1782*INDEX(R$23:R$30,$E1782)</f>
        <v/>
      </c>
      <c r="S1782" s="35">
        <f>INDEX(S$263:S$279,$F1782)*$D1782*INDEX(S$23:S$30,$E1782)</f>
        <v/>
      </c>
      <c r="T1782" s="35">
        <f>INDEX(T$263:T$279,$F1782)*$D1782*INDEX(T$23:T$30,$E1782)</f>
        <v/>
      </c>
      <c r="U1782" s="35">
        <f>INDEX(U$263:U$279,$F1782)*$D1782*INDEX(U$23:U$30,$E1782)</f>
        <v/>
      </c>
      <c r="V1782" s="35">
        <f>INDEX(V$263:V$279,$F1782)*$D1782*INDEX(V$23:V$30,$E1782)</f>
        <v/>
      </c>
      <c r="W1782" s="35">
        <f>INDEX(W$263:W$279,$F1782)*$D1782*INDEX(W$23:W$30,$E1782)</f>
        <v/>
      </c>
      <c r="X1782" s="35">
        <f>INDEX(X$263:X$279,$F1782)*$D1782*INDEX(X$23:X$30,$E1782)</f>
        <v/>
      </c>
      <c r="Y1782" s="35">
        <f>INDEX(Y$263:Y$279,$F1782)*$D1782*INDEX(Y$23:Y$30,$E1782)</f>
        <v/>
      </c>
      <c r="Z1782" s="35">
        <f>INDEX(Z$263:Z$279,$F1782)*$D1782*INDEX(Z$23:Z$30,$E1782)</f>
        <v/>
      </c>
      <c r="AA1782" s="35">
        <f>INDEX(AA$263:AA$279,$F1782)*$D1782*INDEX(AA$23:AA$30,$E1782)</f>
        <v/>
      </c>
      <c r="AB1782" s="35">
        <f>INDEX(AB$263:AB$279,$F1782)*$D1782*INDEX(AB$23:AB$30,$E1782)</f>
        <v/>
      </c>
      <c r="AC1782" s="35">
        <f>INDEX(AC$263:AC$279,$F1782)*$D1782*INDEX(AC$23:AC$30,$E1782)</f>
        <v/>
      </c>
      <c r="AD1782" s="35">
        <f>INDEX(AD$263:AD$279,$F1782)*$D1782*INDEX(AD$23:AD$30,$E1782)</f>
        <v/>
      </c>
      <c r="AE1782" s="42">
        <f>CARBONTAX(INDEX(AE$263:AE$279,$F1782),$D1782,INDEX(AE$23:AE$30,$E1782))</f>
        <v/>
      </c>
      <c r="AG1782" s="11">
        <f>CodePrefix&amp;$A1782&amp;IF($C1782="","","."&amp;$C1782&amp;"."&amp;$B1782)&amp;INDEX(VarEnd,MATCH($A1782,VarKey,0))&amp;AG$5</f>
        <v/>
      </c>
      <c r="AH1782" s="40">
        <f>INDEX(AH$263:AH$279,$F1782)*$D1782*INDEX(AH$23:AH$30,$E1782)</f>
        <v/>
      </c>
      <c r="AI1782" s="35">
        <f>INDEX(AI$263:AI$279,$F1782)*$D1782*INDEX(AI$23:AI$30,$E1782)</f>
        <v/>
      </c>
      <c r="AJ1782" s="35">
        <f>INDEX(AJ$263:AJ$279,$F1782)*$D1782*INDEX(AJ$23:AJ$30,$E1782)</f>
        <v/>
      </c>
      <c r="AK1782" s="35">
        <f>INDEX(AK$263:AK$279,$F1782)*$D1782*INDEX(AK$23:AK$30,$E1782)</f>
        <v/>
      </c>
      <c r="AL1782" s="35">
        <f>INDEX(AL$263:AL$279,$F1782)*$D1782*INDEX(AL$23:AL$30,$E1782)</f>
        <v/>
      </c>
      <c r="AM1782" s="35">
        <f>INDEX(AM$263:AM$279,$F1782)*$D1782*INDEX(AM$23:AM$30,$E1782)</f>
        <v/>
      </c>
      <c r="AN1782" s="35">
        <f>INDEX(AN$263:AN$279,$F1782)*$D1782*INDEX(AN$23:AN$30,$E1782)</f>
        <v/>
      </c>
      <c r="AO1782" s="35">
        <f>INDEX(AO$263:AO$279,$F1782)*$D1782*INDEX(AO$23:AO$30,$E1782)</f>
        <v/>
      </c>
      <c r="AP1782" s="35">
        <f>INDEX(AP$263:AP$279,$F1782)*$D1782*INDEX(AP$23:AP$30,$E1782)</f>
        <v/>
      </c>
      <c r="AQ1782" s="35">
        <f>INDEX(AQ$263:AQ$279,$F1782)*$D1782*INDEX(AQ$23:AQ$30,$E1782)</f>
        <v/>
      </c>
      <c r="AR1782" s="35">
        <f>INDEX(AR$263:AR$279,$F1782)*$D1782*INDEX(AR$23:AR$30,$E1782)</f>
        <v/>
      </c>
      <c r="AS1782" s="35">
        <f>INDEX(AS$263:AS$279,$F1782)*$D1782*INDEX(AS$23:AS$30,$E1782)</f>
        <v/>
      </c>
      <c r="AT1782" s="35">
        <f>INDEX(AT$263:AT$279,$F1782)*$D1782*INDEX(AT$23:AT$30,$E1782)</f>
        <v/>
      </c>
      <c r="AU1782" s="35">
        <f>INDEX(AU$263:AU$279,$F1782)*$D1782*INDEX(AU$23:AU$30,$E1782)</f>
        <v/>
      </c>
      <c r="AV1782" s="35">
        <f>INDEX(AV$263:AV$279,$F1782)*$D1782*INDEX(AV$23:AV$30,$E1782)</f>
        <v/>
      </c>
      <c r="AW1782" s="35">
        <f>INDEX(AW$263:AW$279,$F1782)*$D1782*INDEX(AW$23:AW$30,$E1782)</f>
        <v/>
      </c>
      <c r="AX1782" s="35">
        <f>INDEX(AX$263:AX$279,$F1782)*$D1782*INDEX(AX$23:AX$30,$E1782)</f>
        <v/>
      </c>
      <c r="AY1782" s="35">
        <f>INDEX(AY$263:AY$279,$F1782)*$D1782*INDEX(AY$23:AY$30,$E1782)</f>
        <v/>
      </c>
      <c r="AZ1782" s="35">
        <f>INDEX(AZ$263:AZ$279,$F1782)*$D1782*INDEX(AZ$23:AZ$30,$E1782)</f>
        <v/>
      </c>
      <c r="BA1782" s="42">
        <f>CARBONTAX(INDEX(BA$263:BA$279,$F1782),$D1782,INDEX(BA$23:BA$30,$E1782))</f>
        <v/>
      </c>
    </row>
    <row r="1783" hidden="1" outlineLevel="2">
      <c r="A1783" s="14" t="inlineStr">
        <is>
          <t>ctxnew</t>
        </is>
      </c>
      <c r="B1783" s="14" t="inlineStr">
        <is>
          <t>ker</t>
        </is>
      </c>
      <c r="C1783" s="14" t="inlineStr">
        <is>
          <t>srv</t>
        </is>
      </c>
      <c r="D1783" s="35">
        <f>INDEX(Inputs!$W$5:$W$132,MATCH($B1783&amp;"|"&amp;$C1783,Inputs!$A$5:$A$132,0))</f>
        <v/>
      </c>
      <c r="E1783" s="35">
        <f>INDEX(Inputs!$L$5:$L$132,MATCH($B1783&amp;"|"&amp;$C1783,Inputs!$A$5:$A$132,0))</f>
        <v/>
      </c>
      <c r="F1783" s="35">
        <f>INDEX(Inputs!$M$5:$M$132,MATCH($B1783&amp;"|"&amp;$C1783,Inputs!$A$5:$A$132,0))</f>
        <v/>
      </c>
      <c r="G1783" s="39" t="n"/>
      <c r="H1783" s="14">
        <f>INDEX(VarLab,MATCH($A1783,VarKey,0))&amp;INDEX(MemLab,MATCH($C1783&amp;"|"&amp;$B1783,MemKey,0))</f>
        <v/>
      </c>
      <c r="I1783" s="14">
        <f>INDEX(VarUnit,MATCH($A1783,VarKey,0))</f>
        <v/>
      </c>
      <c r="J1783" s="14">
        <f>INDEX(VarSrc,MATCH($A1783,VarKey,0))</f>
        <v/>
      </c>
      <c r="K1783" s="11">
        <f>CodePrefix&amp;$A1783&amp;IF($C1783="","","."&amp;$C1783&amp;"."&amp;$B1783)&amp;INDEX(VarEnd,MATCH($A1783,VarKey,0))&amp;K$5</f>
        <v/>
      </c>
      <c r="L1783" s="40">
        <f>INDEX(L$263:L$279,$F1783)*$D1783*INDEX(L$23:L$30,$E1783)</f>
        <v/>
      </c>
      <c r="M1783" s="35">
        <f>INDEX(M$263:M$279,$F1783)*$D1783*INDEX(M$23:M$30,$E1783)</f>
        <v/>
      </c>
      <c r="N1783" s="35">
        <f>INDEX(N$263:N$279,$F1783)*$D1783*INDEX(N$23:N$30,$E1783)</f>
        <v/>
      </c>
      <c r="O1783" s="35">
        <f>INDEX(O$263:O$279,$F1783)*$D1783*INDEX(O$23:O$30,$E1783)</f>
        <v/>
      </c>
      <c r="P1783" s="35">
        <f>INDEX(P$263:P$279,$F1783)*$D1783*INDEX(P$23:P$30,$E1783)</f>
        <v/>
      </c>
      <c r="Q1783" s="35">
        <f>INDEX(Q$263:Q$279,$F1783)*$D1783*INDEX(Q$23:Q$30,$E1783)</f>
        <v/>
      </c>
      <c r="R1783" s="35">
        <f>INDEX(R$263:R$279,$F1783)*$D1783*INDEX(R$23:R$30,$E1783)</f>
        <v/>
      </c>
      <c r="S1783" s="35">
        <f>INDEX(S$263:S$279,$F1783)*$D1783*INDEX(S$23:S$30,$E1783)</f>
        <v/>
      </c>
      <c r="T1783" s="35">
        <f>INDEX(T$263:T$279,$F1783)*$D1783*INDEX(T$23:T$30,$E1783)</f>
        <v/>
      </c>
      <c r="U1783" s="35">
        <f>INDEX(U$263:U$279,$F1783)*$D1783*INDEX(U$23:U$30,$E1783)</f>
        <v/>
      </c>
      <c r="V1783" s="35">
        <f>INDEX(V$263:V$279,$F1783)*$D1783*INDEX(V$23:V$30,$E1783)</f>
        <v/>
      </c>
      <c r="W1783" s="35">
        <f>INDEX(W$263:W$279,$F1783)*$D1783*INDEX(W$23:W$30,$E1783)</f>
        <v/>
      </c>
      <c r="X1783" s="35">
        <f>INDEX(X$263:X$279,$F1783)*$D1783*INDEX(X$23:X$30,$E1783)</f>
        <v/>
      </c>
      <c r="Y1783" s="35">
        <f>INDEX(Y$263:Y$279,$F1783)*$D1783*INDEX(Y$23:Y$30,$E1783)</f>
        <v/>
      </c>
      <c r="Z1783" s="35">
        <f>INDEX(Z$263:Z$279,$F1783)*$D1783*INDEX(Z$23:Z$30,$E1783)</f>
        <v/>
      </c>
      <c r="AA1783" s="35">
        <f>INDEX(AA$263:AA$279,$F1783)*$D1783*INDEX(AA$23:AA$30,$E1783)</f>
        <v/>
      </c>
      <c r="AB1783" s="35">
        <f>INDEX(AB$263:AB$279,$F1783)*$D1783*INDEX(AB$23:AB$30,$E1783)</f>
        <v/>
      </c>
      <c r="AC1783" s="35">
        <f>INDEX(AC$263:AC$279,$F1783)*$D1783*INDEX(AC$23:AC$30,$E1783)</f>
        <v/>
      </c>
      <c r="AD1783" s="35">
        <f>INDEX(AD$263:AD$279,$F1783)*$D1783*INDEX(AD$23:AD$30,$E1783)</f>
        <v/>
      </c>
      <c r="AE1783" s="42">
        <f>CARBONTAX(INDEX(AE$263:AE$279,$F1783),$D1783,INDEX(AE$23:AE$30,$E1783))</f>
        <v/>
      </c>
      <c r="AG1783" s="11">
        <f>CodePrefix&amp;$A1783&amp;IF($C1783="","","."&amp;$C1783&amp;"."&amp;$B1783)&amp;INDEX(VarEnd,MATCH($A1783,VarKey,0))&amp;AG$5</f>
        <v/>
      </c>
      <c r="AH1783" s="40">
        <f>INDEX(AH$263:AH$279,$F1783)*$D1783*INDEX(AH$23:AH$30,$E1783)</f>
        <v/>
      </c>
      <c r="AI1783" s="35">
        <f>INDEX(AI$263:AI$279,$F1783)*$D1783*INDEX(AI$23:AI$30,$E1783)</f>
        <v/>
      </c>
      <c r="AJ1783" s="35">
        <f>INDEX(AJ$263:AJ$279,$F1783)*$D1783*INDEX(AJ$23:AJ$30,$E1783)</f>
        <v/>
      </c>
      <c r="AK1783" s="35">
        <f>INDEX(AK$263:AK$279,$F1783)*$D1783*INDEX(AK$23:AK$30,$E1783)</f>
        <v/>
      </c>
      <c r="AL1783" s="35">
        <f>INDEX(AL$263:AL$279,$F1783)*$D1783*INDEX(AL$23:AL$30,$E1783)</f>
        <v/>
      </c>
      <c r="AM1783" s="35">
        <f>INDEX(AM$263:AM$279,$F1783)*$D1783*INDEX(AM$23:AM$30,$E1783)</f>
        <v/>
      </c>
      <c r="AN1783" s="35">
        <f>INDEX(AN$263:AN$279,$F1783)*$D1783*INDEX(AN$23:AN$30,$E1783)</f>
        <v/>
      </c>
      <c r="AO1783" s="35">
        <f>INDEX(AO$263:AO$279,$F1783)*$D1783*INDEX(AO$23:AO$30,$E1783)</f>
        <v/>
      </c>
      <c r="AP1783" s="35">
        <f>INDEX(AP$263:AP$279,$F1783)*$D1783*INDEX(AP$23:AP$30,$E1783)</f>
        <v/>
      </c>
      <c r="AQ1783" s="35">
        <f>INDEX(AQ$263:AQ$279,$F1783)*$D1783*INDEX(AQ$23:AQ$30,$E1783)</f>
        <v/>
      </c>
      <c r="AR1783" s="35">
        <f>INDEX(AR$263:AR$279,$F1783)*$D1783*INDEX(AR$23:AR$30,$E1783)</f>
        <v/>
      </c>
      <c r="AS1783" s="35">
        <f>INDEX(AS$263:AS$279,$F1783)*$D1783*INDEX(AS$23:AS$30,$E1783)</f>
        <v/>
      </c>
      <c r="AT1783" s="35">
        <f>INDEX(AT$263:AT$279,$F1783)*$D1783*INDEX(AT$23:AT$30,$E1783)</f>
        <v/>
      </c>
      <c r="AU1783" s="35">
        <f>INDEX(AU$263:AU$279,$F1783)*$D1783*INDEX(AU$23:AU$30,$E1783)</f>
        <v/>
      </c>
      <c r="AV1783" s="35">
        <f>INDEX(AV$263:AV$279,$F1783)*$D1783*INDEX(AV$23:AV$30,$E1783)</f>
        <v/>
      </c>
      <c r="AW1783" s="35">
        <f>INDEX(AW$263:AW$279,$F1783)*$D1783*INDEX(AW$23:AW$30,$E1783)</f>
        <v/>
      </c>
      <c r="AX1783" s="35">
        <f>INDEX(AX$263:AX$279,$F1783)*$D1783*INDEX(AX$23:AX$30,$E1783)</f>
        <v/>
      </c>
      <c r="AY1783" s="35">
        <f>INDEX(AY$263:AY$279,$F1783)*$D1783*INDEX(AY$23:AY$30,$E1783)</f>
        <v/>
      </c>
      <c r="AZ1783" s="35">
        <f>INDEX(AZ$263:AZ$279,$F1783)*$D1783*INDEX(AZ$23:AZ$30,$E1783)</f>
        <v/>
      </c>
      <c r="BA1783" s="42">
        <f>CARBONTAX(INDEX(BA$263:BA$279,$F1783),$D1783,INDEX(BA$23:BA$30,$E1783))</f>
        <v/>
      </c>
    </row>
    <row r="1784" hidden="1" outlineLevel="2">
      <c r="A1784" s="14" t="inlineStr">
        <is>
          <t>ctxnew</t>
        </is>
      </c>
      <c r="B1784" s="14" t="inlineStr">
        <is>
          <t>oop</t>
        </is>
      </c>
      <c r="C1784" s="14" t="inlineStr">
        <is>
          <t>srv</t>
        </is>
      </c>
      <c r="D1784" s="35">
        <f>INDEX(Inputs!$W$5:$W$132,MATCH($B1784&amp;"|"&amp;$C1784,Inputs!$A$5:$A$132,0))</f>
        <v/>
      </c>
      <c r="E1784" s="35">
        <f>INDEX(Inputs!$L$5:$L$132,MATCH($B1784&amp;"|"&amp;$C1784,Inputs!$A$5:$A$132,0))</f>
        <v/>
      </c>
      <c r="F1784" s="35">
        <f>INDEX(Inputs!$M$5:$M$132,MATCH($B1784&amp;"|"&amp;$C1784,Inputs!$A$5:$A$132,0))</f>
        <v/>
      </c>
      <c r="G1784" s="39" t="n"/>
      <c r="H1784" s="14">
        <f>INDEX(VarLab,MATCH($A1784,VarKey,0))&amp;INDEX(MemLab,MATCH($C1784&amp;"|"&amp;$B1784,MemKey,0))</f>
        <v/>
      </c>
      <c r="I1784" s="14">
        <f>INDEX(VarUnit,MATCH($A1784,VarKey,0))</f>
        <v/>
      </c>
      <c r="J1784" s="14">
        <f>INDEX(VarSrc,MATCH($A1784,VarKey,0))</f>
        <v/>
      </c>
      <c r="K1784" s="11">
        <f>CodePrefix&amp;$A1784&amp;IF($C1784="","","."&amp;$C1784&amp;"."&amp;$B1784)&amp;INDEX(VarEnd,MATCH($A1784,VarKey,0))&amp;K$5</f>
        <v/>
      </c>
      <c r="L1784" s="40">
        <f>INDEX(L$263:L$279,$F1784)*$D1784*INDEX(L$23:L$30,$E1784)</f>
        <v/>
      </c>
      <c r="M1784" s="35">
        <f>INDEX(M$263:M$279,$F1784)*$D1784*INDEX(M$23:M$30,$E1784)</f>
        <v/>
      </c>
      <c r="N1784" s="35">
        <f>INDEX(N$263:N$279,$F1784)*$D1784*INDEX(N$23:N$30,$E1784)</f>
        <v/>
      </c>
      <c r="O1784" s="35">
        <f>INDEX(O$263:O$279,$F1784)*$D1784*INDEX(O$23:O$30,$E1784)</f>
        <v/>
      </c>
      <c r="P1784" s="35">
        <f>INDEX(P$263:P$279,$F1784)*$D1784*INDEX(P$23:P$30,$E1784)</f>
        <v/>
      </c>
      <c r="Q1784" s="35">
        <f>INDEX(Q$263:Q$279,$F1784)*$D1784*INDEX(Q$23:Q$30,$E1784)</f>
        <v/>
      </c>
      <c r="R1784" s="35">
        <f>INDEX(R$263:R$279,$F1784)*$D1784*INDEX(R$23:R$30,$E1784)</f>
        <v/>
      </c>
      <c r="S1784" s="35">
        <f>INDEX(S$263:S$279,$F1784)*$D1784*INDEX(S$23:S$30,$E1784)</f>
        <v/>
      </c>
      <c r="T1784" s="35">
        <f>INDEX(T$263:T$279,$F1784)*$D1784*INDEX(T$23:T$30,$E1784)</f>
        <v/>
      </c>
      <c r="U1784" s="35">
        <f>INDEX(U$263:U$279,$F1784)*$D1784*INDEX(U$23:U$30,$E1784)</f>
        <v/>
      </c>
      <c r="V1784" s="35">
        <f>INDEX(V$263:V$279,$F1784)*$D1784*INDEX(V$23:V$30,$E1784)</f>
        <v/>
      </c>
      <c r="W1784" s="35">
        <f>INDEX(W$263:W$279,$F1784)*$D1784*INDEX(W$23:W$30,$E1784)</f>
        <v/>
      </c>
      <c r="X1784" s="35">
        <f>INDEX(X$263:X$279,$F1784)*$D1784*INDEX(X$23:X$30,$E1784)</f>
        <v/>
      </c>
      <c r="Y1784" s="35">
        <f>INDEX(Y$263:Y$279,$F1784)*$D1784*INDEX(Y$23:Y$30,$E1784)</f>
        <v/>
      </c>
      <c r="Z1784" s="35">
        <f>INDEX(Z$263:Z$279,$F1784)*$D1784*INDEX(Z$23:Z$30,$E1784)</f>
        <v/>
      </c>
      <c r="AA1784" s="35">
        <f>INDEX(AA$263:AA$279,$F1784)*$D1784*INDEX(AA$23:AA$30,$E1784)</f>
        <v/>
      </c>
      <c r="AB1784" s="35">
        <f>INDEX(AB$263:AB$279,$F1784)*$D1784*INDEX(AB$23:AB$30,$E1784)</f>
        <v/>
      </c>
      <c r="AC1784" s="35">
        <f>INDEX(AC$263:AC$279,$F1784)*$D1784*INDEX(AC$23:AC$30,$E1784)</f>
        <v/>
      </c>
      <c r="AD1784" s="35">
        <f>INDEX(AD$263:AD$279,$F1784)*$D1784*INDEX(AD$23:AD$30,$E1784)</f>
        <v/>
      </c>
      <c r="AE1784" s="42">
        <f>CARBONTAX(INDEX(AE$263:AE$279,$F1784),$D1784,INDEX(AE$23:AE$30,$E1784))</f>
        <v/>
      </c>
      <c r="AG1784" s="11">
        <f>CodePrefix&amp;$A1784&amp;IF($C1784="","","."&amp;$C1784&amp;"."&amp;$B1784)&amp;INDEX(VarEnd,MATCH($A1784,VarKey,0))&amp;AG$5</f>
        <v/>
      </c>
      <c r="AH1784" s="40">
        <f>INDEX(AH$263:AH$279,$F1784)*$D1784*INDEX(AH$23:AH$30,$E1784)</f>
        <v/>
      </c>
      <c r="AI1784" s="35">
        <f>INDEX(AI$263:AI$279,$F1784)*$D1784*INDEX(AI$23:AI$30,$E1784)</f>
        <v/>
      </c>
      <c r="AJ1784" s="35">
        <f>INDEX(AJ$263:AJ$279,$F1784)*$D1784*INDEX(AJ$23:AJ$30,$E1784)</f>
        <v/>
      </c>
      <c r="AK1784" s="35">
        <f>INDEX(AK$263:AK$279,$F1784)*$D1784*INDEX(AK$23:AK$30,$E1784)</f>
        <v/>
      </c>
      <c r="AL1784" s="35">
        <f>INDEX(AL$263:AL$279,$F1784)*$D1784*INDEX(AL$23:AL$30,$E1784)</f>
        <v/>
      </c>
      <c r="AM1784" s="35">
        <f>INDEX(AM$263:AM$279,$F1784)*$D1784*INDEX(AM$23:AM$30,$E1784)</f>
        <v/>
      </c>
      <c r="AN1784" s="35">
        <f>INDEX(AN$263:AN$279,$F1784)*$D1784*INDEX(AN$23:AN$30,$E1784)</f>
        <v/>
      </c>
      <c r="AO1784" s="35">
        <f>INDEX(AO$263:AO$279,$F1784)*$D1784*INDEX(AO$23:AO$30,$E1784)</f>
        <v/>
      </c>
      <c r="AP1784" s="35">
        <f>INDEX(AP$263:AP$279,$F1784)*$D1784*INDEX(AP$23:AP$30,$E1784)</f>
        <v/>
      </c>
      <c r="AQ1784" s="35">
        <f>INDEX(AQ$263:AQ$279,$F1784)*$D1784*INDEX(AQ$23:AQ$30,$E1784)</f>
        <v/>
      </c>
      <c r="AR1784" s="35">
        <f>INDEX(AR$263:AR$279,$F1784)*$D1784*INDEX(AR$23:AR$30,$E1784)</f>
        <v/>
      </c>
      <c r="AS1784" s="35">
        <f>INDEX(AS$263:AS$279,$F1784)*$D1784*INDEX(AS$23:AS$30,$E1784)</f>
        <v/>
      </c>
      <c r="AT1784" s="35">
        <f>INDEX(AT$263:AT$279,$F1784)*$D1784*INDEX(AT$23:AT$30,$E1784)</f>
        <v/>
      </c>
      <c r="AU1784" s="35">
        <f>INDEX(AU$263:AU$279,$F1784)*$D1784*INDEX(AU$23:AU$30,$E1784)</f>
        <v/>
      </c>
      <c r="AV1784" s="35">
        <f>INDEX(AV$263:AV$279,$F1784)*$D1784*INDEX(AV$23:AV$30,$E1784)</f>
        <v/>
      </c>
      <c r="AW1784" s="35">
        <f>INDEX(AW$263:AW$279,$F1784)*$D1784*INDEX(AW$23:AW$30,$E1784)</f>
        <v/>
      </c>
      <c r="AX1784" s="35">
        <f>INDEX(AX$263:AX$279,$F1784)*$D1784*INDEX(AX$23:AX$30,$E1784)</f>
        <v/>
      </c>
      <c r="AY1784" s="35">
        <f>INDEX(AY$263:AY$279,$F1784)*$D1784*INDEX(AY$23:AY$30,$E1784)</f>
        <v/>
      </c>
      <c r="AZ1784" s="35">
        <f>INDEX(AZ$263:AZ$279,$F1784)*$D1784*INDEX(AZ$23:AZ$30,$E1784)</f>
        <v/>
      </c>
      <c r="BA1784" s="42">
        <f>CARBONTAX(INDEX(BA$263:BA$279,$F1784),$D1784,INDEX(BA$23:BA$30,$E1784))</f>
        <v/>
      </c>
    </row>
    <row r="1785" hidden="1" outlineLevel="2">
      <c r="A1785" s="14" t="inlineStr">
        <is>
          <t>ctxnew</t>
        </is>
      </c>
      <c r="B1785" s="14" t="inlineStr">
        <is>
          <t>bio</t>
        </is>
      </c>
      <c r="C1785" s="14" t="inlineStr">
        <is>
          <t>srv</t>
        </is>
      </c>
      <c r="D1785" s="35">
        <f>INDEX(Inputs!$W$5:$W$132,MATCH($B1785&amp;"|"&amp;$C1785,Inputs!$A$5:$A$132,0))</f>
        <v/>
      </c>
      <c r="E1785" s="35">
        <f>INDEX(Inputs!$L$5:$L$132,MATCH($B1785&amp;"|"&amp;$C1785,Inputs!$A$5:$A$132,0))</f>
        <v/>
      </c>
      <c r="F1785" s="35">
        <f>INDEX(Inputs!$M$5:$M$132,MATCH($B1785&amp;"|"&amp;$C1785,Inputs!$A$5:$A$132,0))</f>
        <v/>
      </c>
      <c r="G1785" s="39" t="n"/>
      <c r="H1785" s="14">
        <f>INDEX(VarLab,MATCH($A1785,VarKey,0))&amp;INDEX(MemLab,MATCH($C1785&amp;"|"&amp;$B1785,MemKey,0))</f>
        <v/>
      </c>
      <c r="I1785" s="14">
        <f>INDEX(VarUnit,MATCH($A1785,VarKey,0))</f>
        <v/>
      </c>
      <c r="J1785" s="14">
        <f>INDEX(VarSrc,MATCH($A1785,VarKey,0))</f>
        <v/>
      </c>
      <c r="K1785" s="11">
        <f>CodePrefix&amp;$A1785&amp;IF($C1785="","","."&amp;$C1785&amp;"."&amp;$B1785)&amp;INDEX(VarEnd,MATCH($A1785,VarKey,0))&amp;K$5</f>
        <v/>
      </c>
      <c r="L1785" s="40">
        <f>INDEX(L$263:L$279,$F1785)*$D1785*INDEX(L$23:L$30,$E1785)</f>
        <v/>
      </c>
      <c r="M1785" s="35">
        <f>INDEX(M$263:M$279,$F1785)*$D1785*INDEX(M$23:M$30,$E1785)</f>
        <v/>
      </c>
      <c r="N1785" s="35">
        <f>INDEX(N$263:N$279,$F1785)*$D1785*INDEX(N$23:N$30,$E1785)</f>
        <v/>
      </c>
      <c r="O1785" s="35">
        <f>INDEX(O$263:O$279,$F1785)*$D1785*INDEX(O$23:O$30,$E1785)</f>
        <v/>
      </c>
      <c r="P1785" s="35">
        <f>INDEX(P$263:P$279,$F1785)*$D1785*INDEX(P$23:P$30,$E1785)</f>
        <v/>
      </c>
      <c r="Q1785" s="35">
        <f>INDEX(Q$263:Q$279,$F1785)*$D1785*INDEX(Q$23:Q$30,$E1785)</f>
        <v/>
      </c>
      <c r="R1785" s="35">
        <f>INDEX(R$263:R$279,$F1785)*$D1785*INDEX(R$23:R$30,$E1785)</f>
        <v/>
      </c>
      <c r="S1785" s="35">
        <f>INDEX(S$263:S$279,$F1785)*$D1785*INDEX(S$23:S$30,$E1785)</f>
        <v/>
      </c>
      <c r="T1785" s="35">
        <f>INDEX(T$263:T$279,$F1785)*$D1785*INDEX(T$23:T$30,$E1785)</f>
        <v/>
      </c>
      <c r="U1785" s="35">
        <f>INDEX(U$263:U$279,$F1785)*$D1785*INDEX(U$23:U$30,$E1785)</f>
        <v/>
      </c>
      <c r="V1785" s="35">
        <f>INDEX(V$263:V$279,$F1785)*$D1785*INDEX(V$23:V$30,$E1785)</f>
        <v/>
      </c>
      <c r="W1785" s="35">
        <f>INDEX(W$263:W$279,$F1785)*$D1785*INDEX(W$23:W$30,$E1785)</f>
        <v/>
      </c>
      <c r="X1785" s="35">
        <f>INDEX(X$263:X$279,$F1785)*$D1785*INDEX(X$23:X$30,$E1785)</f>
        <v/>
      </c>
      <c r="Y1785" s="35">
        <f>INDEX(Y$263:Y$279,$F1785)*$D1785*INDEX(Y$23:Y$30,$E1785)</f>
        <v/>
      </c>
      <c r="Z1785" s="35">
        <f>INDEX(Z$263:Z$279,$F1785)*$D1785*INDEX(Z$23:Z$30,$E1785)</f>
        <v/>
      </c>
      <c r="AA1785" s="35">
        <f>INDEX(AA$263:AA$279,$F1785)*$D1785*INDEX(AA$23:AA$30,$E1785)</f>
        <v/>
      </c>
      <c r="AB1785" s="35">
        <f>INDEX(AB$263:AB$279,$F1785)*$D1785*INDEX(AB$23:AB$30,$E1785)</f>
        <v/>
      </c>
      <c r="AC1785" s="35">
        <f>INDEX(AC$263:AC$279,$F1785)*$D1785*INDEX(AC$23:AC$30,$E1785)</f>
        <v/>
      </c>
      <c r="AD1785" s="35">
        <f>INDEX(AD$263:AD$279,$F1785)*$D1785*INDEX(AD$23:AD$30,$E1785)</f>
        <v/>
      </c>
      <c r="AE1785" s="42">
        <f>CARBONTAX(INDEX(AE$263:AE$279,$F1785),$D1785,INDEX(AE$23:AE$30,$E1785))</f>
        <v/>
      </c>
      <c r="AG1785" s="11">
        <f>CodePrefix&amp;$A1785&amp;IF($C1785="","","."&amp;$C1785&amp;"."&amp;$B1785)&amp;INDEX(VarEnd,MATCH($A1785,VarKey,0))&amp;AG$5</f>
        <v/>
      </c>
      <c r="AH1785" s="40">
        <f>INDEX(AH$263:AH$279,$F1785)*$D1785*INDEX(AH$23:AH$30,$E1785)</f>
        <v/>
      </c>
      <c r="AI1785" s="35">
        <f>INDEX(AI$263:AI$279,$F1785)*$D1785*INDEX(AI$23:AI$30,$E1785)</f>
        <v/>
      </c>
      <c r="AJ1785" s="35">
        <f>INDEX(AJ$263:AJ$279,$F1785)*$D1785*INDEX(AJ$23:AJ$30,$E1785)</f>
        <v/>
      </c>
      <c r="AK1785" s="35">
        <f>INDEX(AK$263:AK$279,$F1785)*$D1785*INDEX(AK$23:AK$30,$E1785)</f>
        <v/>
      </c>
      <c r="AL1785" s="35">
        <f>INDEX(AL$263:AL$279,$F1785)*$D1785*INDEX(AL$23:AL$30,$E1785)</f>
        <v/>
      </c>
      <c r="AM1785" s="35">
        <f>INDEX(AM$263:AM$279,$F1785)*$D1785*INDEX(AM$23:AM$30,$E1785)</f>
        <v/>
      </c>
      <c r="AN1785" s="35">
        <f>INDEX(AN$263:AN$279,$F1785)*$D1785*INDEX(AN$23:AN$30,$E1785)</f>
        <v/>
      </c>
      <c r="AO1785" s="35">
        <f>INDEX(AO$263:AO$279,$F1785)*$D1785*INDEX(AO$23:AO$30,$E1785)</f>
        <v/>
      </c>
      <c r="AP1785" s="35">
        <f>INDEX(AP$263:AP$279,$F1785)*$D1785*INDEX(AP$23:AP$30,$E1785)</f>
        <v/>
      </c>
      <c r="AQ1785" s="35">
        <f>INDEX(AQ$263:AQ$279,$F1785)*$D1785*INDEX(AQ$23:AQ$30,$E1785)</f>
        <v/>
      </c>
      <c r="AR1785" s="35">
        <f>INDEX(AR$263:AR$279,$F1785)*$D1785*INDEX(AR$23:AR$30,$E1785)</f>
        <v/>
      </c>
      <c r="AS1785" s="35">
        <f>INDEX(AS$263:AS$279,$F1785)*$D1785*INDEX(AS$23:AS$30,$E1785)</f>
        <v/>
      </c>
      <c r="AT1785" s="35">
        <f>INDEX(AT$263:AT$279,$F1785)*$D1785*INDEX(AT$23:AT$30,$E1785)</f>
        <v/>
      </c>
      <c r="AU1785" s="35">
        <f>INDEX(AU$263:AU$279,$F1785)*$D1785*INDEX(AU$23:AU$30,$E1785)</f>
        <v/>
      </c>
      <c r="AV1785" s="35">
        <f>INDEX(AV$263:AV$279,$F1785)*$D1785*INDEX(AV$23:AV$30,$E1785)</f>
        <v/>
      </c>
      <c r="AW1785" s="35">
        <f>INDEX(AW$263:AW$279,$F1785)*$D1785*INDEX(AW$23:AW$30,$E1785)</f>
        <v/>
      </c>
      <c r="AX1785" s="35">
        <f>INDEX(AX$263:AX$279,$F1785)*$D1785*INDEX(AX$23:AX$30,$E1785)</f>
        <v/>
      </c>
      <c r="AY1785" s="35">
        <f>INDEX(AY$263:AY$279,$F1785)*$D1785*INDEX(AY$23:AY$30,$E1785)</f>
        <v/>
      </c>
      <c r="AZ1785" s="35">
        <f>INDEX(AZ$263:AZ$279,$F1785)*$D1785*INDEX(AZ$23:AZ$30,$E1785)</f>
        <v/>
      </c>
      <c r="BA1785" s="42">
        <f>CARBONTAX(INDEX(BA$263:BA$279,$F1785),$D1785,INDEX(BA$23:BA$30,$E1785))</f>
        <v/>
      </c>
    </row>
    <row r="1786" hidden="1" outlineLevel="2"/>
    <row r="1787" hidden="1" outlineLevel="2">
      <c r="A1787" s="14" t="inlineStr">
        <is>
          <t>ets</t>
        </is>
      </c>
      <c r="B1787" s="14" t="inlineStr">
        <is>
          <t>coa</t>
        </is>
      </c>
      <c r="C1787" s="14" t="inlineStr">
        <is>
          <t>srv</t>
        </is>
      </c>
      <c r="D1787" s="35">
        <f>INDEX(Inputs!$W$5:$W$132,MATCH($B1787&amp;"|"&amp;$C1787,Inputs!$A$5:$A$132,0))</f>
        <v/>
      </c>
      <c r="E1787" s="35">
        <f>INDEX(Inputs!$M$5:$M$132,MATCH($B1787&amp;"|"&amp;$C1787,Inputs!$A$5:$A$132,0))</f>
        <v/>
      </c>
      <c r="F1787" s="39" t="n"/>
      <c r="G1787" s="39" t="n"/>
      <c r="H1787" s="14">
        <f>INDEX(VarLab,MATCH($A1787,VarKey,0))&amp;INDEX(MemLab,MATCH($C1787&amp;"|"&amp;$B1787,MemKey,0))</f>
        <v/>
      </c>
      <c r="I1787" s="14">
        <f>INDEX(VarUnit,MATCH($A1787,VarKey,0))</f>
        <v/>
      </c>
      <c r="J1787" s="14">
        <f>INDEX(VarSrc,MATCH($A1787,VarKey,0))</f>
        <v/>
      </c>
      <c r="K1787" s="11">
        <f>CodePrefix&amp;$A1787&amp;IF($C1787="","","."&amp;$C1787&amp;"."&amp;$B1787)&amp;INDEX(VarEnd,MATCH($A1787,VarKey,0))&amp;K$5</f>
        <v/>
      </c>
      <c r="L1787" s="40">
        <f>INDEX(L$280:L$296,$E1787)*$D1787</f>
        <v/>
      </c>
      <c r="M1787" s="35">
        <f>INDEX(M$280:M$296,$E1787)*$D1787</f>
        <v/>
      </c>
      <c r="N1787" s="35">
        <f>INDEX(N$280:N$296,$E1787)*$D1787</f>
        <v/>
      </c>
      <c r="O1787" s="35">
        <f>INDEX(O$280:O$296,$E1787)*$D1787</f>
        <v/>
      </c>
      <c r="P1787" s="35">
        <f>INDEX(P$280:P$296,$E1787)*$D1787</f>
        <v/>
      </c>
      <c r="Q1787" s="35">
        <f>INDEX(Q$280:Q$296,$E1787)*$D1787</f>
        <v/>
      </c>
      <c r="R1787" s="35">
        <f>INDEX(R$280:R$296,$E1787)*$D1787</f>
        <v/>
      </c>
      <c r="S1787" s="35">
        <f>INDEX(S$280:S$296,$E1787)*$D1787</f>
        <v/>
      </c>
      <c r="T1787" s="35">
        <f>INDEX(T$280:T$296,$E1787)*$D1787</f>
        <v/>
      </c>
      <c r="U1787" s="35">
        <f>INDEX(U$280:U$296,$E1787)*$D1787</f>
        <v/>
      </c>
      <c r="V1787" s="35">
        <f>INDEX(V$280:V$296,$E1787)*$D1787</f>
        <v/>
      </c>
      <c r="W1787" s="35">
        <f>INDEX(W$280:W$296,$E1787)*$D1787</f>
        <v/>
      </c>
      <c r="X1787" s="35">
        <f>INDEX(X$280:X$296,$E1787)*$D1787</f>
        <v/>
      </c>
      <c r="Y1787" s="35">
        <f>INDEX(Y$280:Y$296,$E1787)*$D1787</f>
        <v/>
      </c>
      <c r="Z1787" s="35">
        <f>INDEX(Z$280:Z$296,$E1787)*$D1787</f>
        <v/>
      </c>
      <c r="AA1787" s="35">
        <f>INDEX(AA$280:AA$296,$E1787)*$D1787</f>
        <v/>
      </c>
      <c r="AB1787" s="35">
        <f>INDEX(AB$280:AB$296,$E1787)*$D1787</f>
        <v/>
      </c>
      <c r="AC1787" s="35">
        <f>INDEX(AC$280:AC$296,$E1787)*$D1787</f>
        <v/>
      </c>
      <c r="AD1787" s="35">
        <f>INDEX(AD$280:AD$296,$E1787)*$D1787</f>
        <v/>
      </c>
      <c r="AE1787" s="42">
        <f>ETSCOST(INDEX(AE$280:AE$296,$E1787),$D1787)</f>
        <v/>
      </c>
      <c r="AG1787" s="11">
        <f>CodePrefix&amp;$A1787&amp;IF($C1787="","","."&amp;$C1787&amp;"."&amp;$B1787)&amp;INDEX(VarEnd,MATCH($A1787,VarKey,0))&amp;AG$5</f>
        <v/>
      </c>
      <c r="AH1787" s="40">
        <f>INDEX(AH$280:AH$296,$E1787)*$D1787</f>
        <v/>
      </c>
      <c r="AI1787" s="35">
        <f>INDEX(AI$280:AI$296,$E1787)*$D1787</f>
        <v/>
      </c>
      <c r="AJ1787" s="35">
        <f>INDEX(AJ$280:AJ$296,$E1787)*$D1787</f>
        <v/>
      </c>
      <c r="AK1787" s="35">
        <f>INDEX(AK$280:AK$296,$E1787)*$D1787</f>
        <v/>
      </c>
      <c r="AL1787" s="35">
        <f>INDEX(AL$280:AL$296,$E1787)*$D1787</f>
        <v/>
      </c>
      <c r="AM1787" s="35">
        <f>INDEX(AM$280:AM$296,$E1787)*$D1787</f>
        <v/>
      </c>
      <c r="AN1787" s="35">
        <f>INDEX(AN$280:AN$296,$E1787)*$D1787</f>
        <v/>
      </c>
      <c r="AO1787" s="35">
        <f>INDEX(AO$280:AO$296,$E1787)*$D1787</f>
        <v/>
      </c>
      <c r="AP1787" s="35">
        <f>INDEX(AP$280:AP$296,$E1787)*$D1787</f>
        <v/>
      </c>
      <c r="AQ1787" s="35">
        <f>INDEX(AQ$280:AQ$296,$E1787)*$D1787</f>
        <v/>
      </c>
      <c r="AR1787" s="35">
        <f>INDEX(AR$280:AR$296,$E1787)*$D1787</f>
        <v/>
      </c>
      <c r="AS1787" s="35">
        <f>INDEX(AS$280:AS$296,$E1787)*$D1787</f>
        <v/>
      </c>
      <c r="AT1787" s="35">
        <f>INDEX(AT$280:AT$296,$E1787)*$D1787</f>
        <v/>
      </c>
      <c r="AU1787" s="35">
        <f>INDEX(AU$280:AU$296,$E1787)*$D1787</f>
        <v/>
      </c>
      <c r="AV1787" s="35">
        <f>INDEX(AV$280:AV$296,$E1787)*$D1787</f>
        <v/>
      </c>
      <c r="AW1787" s="35">
        <f>INDEX(AW$280:AW$296,$E1787)*$D1787</f>
        <v/>
      </c>
      <c r="AX1787" s="35">
        <f>INDEX(AX$280:AX$296,$E1787)*$D1787</f>
        <v/>
      </c>
      <c r="AY1787" s="35">
        <f>INDEX(AY$280:AY$296,$E1787)*$D1787</f>
        <v/>
      </c>
      <c r="AZ1787" s="35">
        <f>INDEX(AZ$280:AZ$296,$E1787)*$D1787</f>
        <v/>
      </c>
      <c r="BA1787" s="42">
        <f>ETSCOST(INDEX(BA$280:BA$296,$E1787),$D1787)</f>
        <v/>
      </c>
    </row>
    <row r="1788" hidden="1" outlineLevel="2">
      <c r="A1788" s="14" t="inlineStr">
        <is>
          <t>ets</t>
        </is>
      </c>
      <c r="B1788" s="14" t="inlineStr">
        <is>
          <t>nga</t>
        </is>
      </c>
      <c r="C1788" s="14" t="inlineStr">
        <is>
          <t>srv</t>
        </is>
      </c>
      <c r="D1788" s="35">
        <f>INDEX(Inputs!$W$5:$W$132,MATCH($B1788&amp;"|"&amp;$C1788,Inputs!$A$5:$A$132,0))</f>
        <v/>
      </c>
      <c r="E1788" s="35">
        <f>INDEX(Inputs!$M$5:$M$132,MATCH($B1788&amp;"|"&amp;$C1788,Inputs!$A$5:$A$132,0))</f>
        <v/>
      </c>
      <c r="F1788" s="39" t="n"/>
      <c r="G1788" s="39" t="n"/>
      <c r="H1788" s="14">
        <f>INDEX(VarLab,MATCH($A1788,VarKey,0))&amp;INDEX(MemLab,MATCH($C1788&amp;"|"&amp;$B1788,MemKey,0))</f>
        <v/>
      </c>
      <c r="I1788" s="14">
        <f>INDEX(VarUnit,MATCH($A1788,VarKey,0))</f>
        <v/>
      </c>
      <c r="J1788" s="14">
        <f>INDEX(VarSrc,MATCH($A1788,VarKey,0))</f>
        <v/>
      </c>
      <c r="K1788" s="11">
        <f>CodePrefix&amp;$A1788&amp;IF($C1788="","","."&amp;$C1788&amp;"."&amp;$B1788)&amp;INDEX(VarEnd,MATCH($A1788,VarKey,0))&amp;K$5</f>
        <v/>
      </c>
      <c r="L1788" s="40">
        <f>INDEX(L$280:L$296,$E1788)*$D1788</f>
        <v/>
      </c>
      <c r="M1788" s="35">
        <f>INDEX(M$280:M$296,$E1788)*$D1788</f>
        <v/>
      </c>
      <c r="N1788" s="35">
        <f>INDEX(N$280:N$296,$E1788)*$D1788</f>
        <v/>
      </c>
      <c r="O1788" s="35">
        <f>INDEX(O$280:O$296,$E1788)*$D1788</f>
        <v/>
      </c>
      <c r="P1788" s="35">
        <f>INDEX(P$280:P$296,$E1788)*$D1788</f>
        <v/>
      </c>
      <c r="Q1788" s="35">
        <f>INDEX(Q$280:Q$296,$E1788)*$D1788</f>
        <v/>
      </c>
      <c r="R1788" s="35">
        <f>INDEX(R$280:R$296,$E1788)*$D1788</f>
        <v/>
      </c>
      <c r="S1788" s="35">
        <f>INDEX(S$280:S$296,$E1788)*$D1788</f>
        <v/>
      </c>
      <c r="T1788" s="35">
        <f>INDEX(T$280:T$296,$E1788)*$D1788</f>
        <v/>
      </c>
      <c r="U1788" s="35">
        <f>INDEX(U$280:U$296,$E1788)*$D1788</f>
        <v/>
      </c>
      <c r="V1788" s="35">
        <f>INDEX(V$280:V$296,$E1788)*$D1788</f>
        <v/>
      </c>
      <c r="W1788" s="35">
        <f>INDEX(W$280:W$296,$E1788)*$D1788</f>
        <v/>
      </c>
      <c r="X1788" s="35">
        <f>INDEX(X$280:X$296,$E1788)*$D1788</f>
        <v/>
      </c>
      <c r="Y1788" s="35">
        <f>INDEX(Y$280:Y$296,$E1788)*$D1788</f>
        <v/>
      </c>
      <c r="Z1788" s="35">
        <f>INDEX(Z$280:Z$296,$E1788)*$D1788</f>
        <v/>
      </c>
      <c r="AA1788" s="35">
        <f>INDEX(AA$280:AA$296,$E1788)*$D1788</f>
        <v/>
      </c>
      <c r="AB1788" s="35">
        <f>INDEX(AB$280:AB$296,$E1788)*$D1788</f>
        <v/>
      </c>
      <c r="AC1788" s="35">
        <f>INDEX(AC$280:AC$296,$E1788)*$D1788</f>
        <v/>
      </c>
      <c r="AD1788" s="35">
        <f>INDEX(AD$280:AD$296,$E1788)*$D1788</f>
        <v/>
      </c>
      <c r="AE1788" s="42">
        <f>ETSCOST(INDEX(AE$280:AE$296,$E1788),$D1788)</f>
        <v/>
      </c>
      <c r="AG1788" s="11">
        <f>CodePrefix&amp;$A1788&amp;IF($C1788="","","."&amp;$C1788&amp;"."&amp;$B1788)&amp;INDEX(VarEnd,MATCH($A1788,VarKey,0))&amp;AG$5</f>
        <v/>
      </c>
      <c r="AH1788" s="40">
        <f>INDEX(AH$280:AH$296,$E1788)*$D1788</f>
        <v/>
      </c>
      <c r="AI1788" s="35">
        <f>INDEX(AI$280:AI$296,$E1788)*$D1788</f>
        <v/>
      </c>
      <c r="AJ1788" s="35">
        <f>INDEX(AJ$280:AJ$296,$E1788)*$D1788</f>
        <v/>
      </c>
      <c r="AK1788" s="35">
        <f>INDEX(AK$280:AK$296,$E1788)*$D1788</f>
        <v/>
      </c>
      <c r="AL1788" s="35">
        <f>INDEX(AL$280:AL$296,$E1788)*$D1788</f>
        <v/>
      </c>
      <c r="AM1788" s="35">
        <f>INDEX(AM$280:AM$296,$E1788)*$D1788</f>
        <v/>
      </c>
      <c r="AN1788" s="35">
        <f>INDEX(AN$280:AN$296,$E1788)*$D1788</f>
        <v/>
      </c>
      <c r="AO1788" s="35">
        <f>INDEX(AO$280:AO$296,$E1788)*$D1788</f>
        <v/>
      </c>
      <c r="AP1788" s="35">
        <f>INDEX(AP$280:AP$296,$E1788)*$D1788</f>
        <v/>
      </c>
      <c r="AQ1788" s="35">
        <f>INDEX(AQ$280:AQ$296,$E1788)*$D1788</f>
        <v/>
      </c>
      <c r="AR1788" s="35">
        <f>INDEX(AR$280:AR$296,$E1788)*$D1788</f>
        <v/>
      </c>
      <c r="AS1788" s="35">
        <f>INDEX(AS$280:AS$296,$E1788)*$D1788</f>
        <v/>
      </c>
      <c r="AT1788" s="35">
        <f>INDEX(AT$280:AT$296,$E1788)*$D1788</f>
        <v/>
      </c>
      <c r="AU1788" s="35">
        <f>INDEX(AU$280:AU$296,$E1788)*$D1788</f>
        <v/>
      </c>
      <c r="AV1788" s="35">
        <f>INDEX(AV$280:AV$296,$E1788)*$D1788</f>
        <v/>
      </c>
      <c r="AW1788" s="35">
        <f>INDEX(AW$280:AW$296,$E1788)*$D1788</f>
        <v/>
      </c>
      <c r="AX1788" s="35">
        <f>INDEX(AX$280:AX$296,$E1788)*$D1788</f>
        <v/>
      </c>
      <c r="AY1788" s="35">
        <f>INDEX(AY$280:AY$296,$E1788)*$D1788</f>
        <v/>
      </c>
      <c r="AZ1788" s="35">
        <f>INDEX(AZ$280:AZ$296,$E1788)*$D1788</f>
        <v/>
      </c>
      <c r="BA1788" s="42">
        <f>ETSCOST(INDEX(BA$280:BA$296,$E1788),$D1788)</f>
        <v/>
      </c>
    </row>
    <row r="1789" hidden="1" outlineLevel="2">
      <c r="A1789" s="14" t="inlineStr">
        <is>
          <t>ets</t>
        </is>
      </c>
      <c r="B1789" s="14" t="inlineStr">
        <is>
          <t>gso</t>
        </is>
      </c>
      <c r="C1789" s="14" t="inlineStr">
        <is>
          <t>srv</t>
        </is>
      </c>
      <c r="D1789" s="35">
        <f>INDEX(Inputs!$W$5:$W$132,MATCH($B1789&amp;"|"&amp;$C1789,Inputs!$A$5:$A$132,0))</f>
        <v/>
      </c>
      <c r="E1789" s="35">
        <f>INDEX(Inputs!$M$5:$M$132,MATCH($B1789&amp;"|"&amp;$C1789,Inputs!$A$5:$A$132,0))</f>
        <v/>
      </c>
      <c r="F1789" s="39" t="n"/>
      <c r="G1789" s="39" t="n"/>
      <c r="H1789" s="14">
        <f>INDEX(VarLab,MATCH($A1789,VarKey,0))&amp;INDEX(MemLab,MATCH($C1789&amp;"|"&amp;$B1789,MemKey,0))</f>
        <v/>
      </c>
      <c r="I1789" s="14">
        <f>INDEX(VarUnit,MATCH($A1789,VarKey,0))</f>
        <v/>
      </c>
      <c r="J1789" s="14">
        <f>INDEX(VarSrc,MATCH($A1789,VarKey,0))</f>
        <v/>
      </c>
      <c r="K1789" s="11">
        <f>CodePrefix&amp;$A1789&amp;IF($C1789="","","."&amp;$C1789&amp;"."&amp;$B1789)&amp;INDEX(VarEnd,MATCH($A1789,VarKey,0))&amp;K$5</f>
        <v/>
      </c>
      <c r="L1789" s="40">
        <f>INDEX(L$280:L$296,$E1789)*$D1789</f>
        <v/>
      </c>
      <c r="M1789" s="35">
        <f>INDEX(M$280:M$296,$E1789)*$D1789</f>
        <v/>
      </c>
      <c r="N1789" s="35">
        <f>INDEX(N$280:N$296,$E1789)*$D1789</f>
        <v/>
      </c>
      <c r="O1789" s="35">
        <f>INDEX(O$280:O$296,$E1789)*$D1789</f>
        <v/>
      </c>
      <c r="P1789" s="35">
        <f>INDEX(P$280:P$296,$E1789)*$D1789</f>
        <v/>
      </c>
      <c r="Q1789" s="35">
        <f>INDEX(Q$280:Q$296,$E1789)*$D1789</f>
        <v/>
      </c>
      <c r="R1789" s="35">
        <f>INDEX(R$280:R$296,$E1789)*$D1789</f>
        <v/>
      </c>
      <c r="S1789" s="35">
        <f>INDEX(S$280:S$296,$E1789)*$D1789</f>
        <v/>
      </c>
      <c r="T1789" s="35">
        <f>INDEX(T$280:T$296,$E1789)*$D1789</f>
        <v/>
      </c>
      <c r="U1789" s="35">
        <f>INDEX(U$280:U$296,$E1789)*$D1789</f>
        <v/>
      </c>
      <c r="V1789" s="35">
        <f>INDEX(V$280:V$296,$E1789)*$D1789</f>
        <v/>
      </c>
      <c r="W1789" s="35">
        <f>INDEX(W$280:W$296,$E1789)*$D1789</f>
        <v/>
      </c>
      <c r="X1789" s="35">
        <f>INDEX(X$280:X$296,$E1789)*$D1789</f>
        <v/>
      </c>
      <c r="Y1789" s="35">
        <f>INDEX(Y$280:Y$296,$E1789)*$D1789</f>
        <v/>
      </c>
      <c r="Z1789" s="35">
        <f>INDEX(Z$280:Z$296,$E1789)*$D1789</f>
        <v/>
      </c>
      <c r="AA1789" s="35">
        <f>INDEX(AA$280:AA$296,$E1789)*$D1789</f>
        <v/>
      </c>
      <c r="AB1789" s="35">
        <f>INDEX(AB$280:AB$296,$E1789)*$D1789</f>
        <v/>
      </c>
      <c r="AC1789" s="35">
        <f>INDEX(AC$280:AC$296,$E1789)*$D1789</f>
        <v/>
      </c>
      <c r="AD1789" s="35">
        <f>INDEX(AD$280:AD$296,$E1789)*$D1789</f>
        <v/>
      </c>
      <c r="AE1789" s="42">
        <f>ETSCOST(INDEX(AE$280:AE$296,$E1789),$D1789)</f>
        <v/>
      </c>
      <c r="AG1789" s="11">
        <f>CodePrefix&amp;$A1789&amp;IF($C1789="","","."&amp;$C1789&amp;"."&amp;$B1789)&amp;INDEX(VarEnd,MATCH($A1789,VarKey,0))&amp;AG$5</f>
        <v/>
      </c>
      <c r="AH1789" s="40">
        <f>INDEX(AH$280:AH$296,$E1789)*$D1789</f>
        <v/>
      </c>
      <c r="AI1789" s="35">
        <f>INDEX(AI$280:AI$296,$E1789)*$D1789</f>
        <v/>
      </c>
      <c r="AJ1789" s="35">
        <f>INDEX(AJ$280:AJ$296,$E1789)*$D1789</f>
        <v/>
      </c>
      <c r="AK1789" s="35">
        <f>INDEX(AK$280:AK$296,$E1789)*$D1789</f>
        <v/>
      </c>
      <c r="AL1789" s="35">
        <f>INDEX(AL$280:AL$296,$E1789)*$D1789</f>
        <v/>
      </c>
      <c r="AM1789" s="35">
        <f>INDEX(AM$280:AM$296,$E1789)*$D1789</f>
        <v/>
      </c>
      <c r="AN1789" s="35">
        <f>INDEX(AN$280:AN$296,$E1789)*$D1789</f>
        <v/>
      </c>
      <c r="AO1789" s="35">
        <f>INDEX(AO$280:AO$296,$E1789)*$D1789</f>
        <v/>
      </c>
      <c r="AP1789" s="35">
        <f>INDEX(AP$280:AP$296,$E1789)*$D1789</f>
        <v/>
      </c>
      <c r="AQ1789" s="35">
        <f>INDEX(AQ$280:AQ$296,$E1789)*$D1789</f>
        <v/>
      </c>
      <c r="AR1789" s="35">
        <f>INDEX(AR$280:AR$296,$E1789)*$D1789</f>
        <v/>
      </c>
      <c r="AS1789" s="35">
        <f>INDEX(AS$280:AS$296,$E1789)*$D1789</f>
        <v/>
      </c>
      <c r="AT1789" s="35">
        <f>INDEX(AT$280:AT$296,$E1789)*$D1789</f>
        <v/>
      </c>
      <c r="AU1789" s="35">
        <f>INDEX(AU$280:AU$296,$E1789)*$D1789</f>
        <v/>
      </c>
      <c r="AV1789" s="35">
        <f>INDEX(AV$280:AV$296,$E1789)*$D1789</f>
        <v/>
      </c>
      <c r="AW1789" s="35">
        <f>INDEX(AW$280:AW$296,$E1789)*$D1789</f>
        <v/>
      </c>
      <c r="AX1789" s="35">
        <f>INDEX(AX$280:AX$296,$E1789)*$D1789</f>
        <v/>
      </c>
      <c r="AY1789" s="35">
        <f>INDEX(AY$280:AY$296,$E1789)*$D1789</f>
        <v/>
      </c>
      <c r="AZ1789" s="35">
        <f>INDEX(AZ$280:AZ$296,$E1789)*$D1789</f>
        <v/>
      </c>
      <c r="BA1789" s="42">
        <f>ETSCOST(INDEX(BA$280:BA$296,$E1789),$D1789)</f>
        <v/>
      </c>
    </row>
    <row r="1790" hidden="1" outlineLevel="2">
      <c r="A1790" s="14" t="inlineStr">
        <is>
          <t>ets</t>
        </is>
      </c>
      <c r="B1790" s="14" t="inlineStr">
        <is>
          <t>die</t>
        </is>
      </c>
      <c r="C1790" s="14" t="inlineStr">
        <is>
          <t>srv</t>
        </is>
      </c>
      <c r="D1790" s="35">
        <f>INDEX(Inputs!$W$5:$W$132,MATCH($B1790&amp;"|"&amp;$C1790,Inputs!$A$5:$A$132,0))</f>
        <v/>
      </c>
      <c r="E1790" s="35">
        <f>INDEX(Inputs!$M$5:$M$132,MATCH($B1790&amp;"|"&amp;$C1790,Inputs!$A$5:$A$132,0))</f>
        <v/>
      </c>
      <c r="F1790" s="39" t="n"/>
      <c r="G1790" s="39" t="n"/>
      <c r="H1790" s="14">
        <f>INDEX(VarLab,MATCH($A1790,VarKey,0))&amp;INDEX(MemLab,MATCH($C1790&amp;"|"&amp;$B1790,MemKey,0))</f>
        <v/>
      </c>
      <c r="I1790" s="14">
        <f>INDEX(VarUnit,MATCH($A1790,VarKey,0))</f>
        <v/>
      </c>
      <c r="J1790" s="14">
        <f>INDEX(VarSrc,MATCH($A1790,VarKey,0))</f>
        <v/>
      </c>
      <c r="K1790" s="11">
        <f>CodePrefix&amp;$A1790&amp;IF($C1790="","","."&amp;$C1790&amp;"."&amp;$B1790)&amp;INDEX(VarEnd,MATCH($A1790,VarKey,0))&amp;K$5</f>
        <v/>
      </c>
      <c r="L1790" s="40">
        <f>INDEX(L$280:L$296,$E1790)*$D1790</f>
        <v/>
      </c>
      <c r="M1790" s="35">
        <f>INDEX(M$280:M$296,$E1790)*$D1790</f>
        <v/>
      </c>
      <c r="N1790" s="35">
        <f>INDEX(N$280:N$296,$E1790)*$D1790</f>
        <v/>
      </c>
      <c r="O1790" s="35">
        <f>INDEX(O$280:O$296,$E1790)*$D1790</f>
        <v/>
      </c>
      <c r="P1790" s="35">
        <f>INDEX(P$280:P$296,$E1790)*$D1790</f>
        <v/>
      </c>
      <c r="Q1790" s="35">
        <f>INDEX(Q$280:Q$296,$E1790)*$D1790</f>
        <v/>
      </c>
      <c r="R1790" s="35">
        <f>INDEX(R$280:R$296,$E1790)*$D1790</f>
        <v/>
      </c>
      <c r="S1790" s="35">
        <f>INDEX(S$280:S$296,$E1790)*$D1790</f>
        <v/>
      </c>
      <c r="T1790" s="35">
        <f>INDEX(T$280:T$296,$E1790)*$D1790</f>
        <v/>
      </c>
      <c r="U1790" s="35">
        <f>INDEX(U$280:U$296,$E1790)*$D1790</f>
        <v/>
      </c>
      <c r="V1790" s="35">
        <f>INDEX(V$280:V$296,$E1790)*$D1790</f>
        <v/>
      </c>
      <c r="W1790" s="35">
        <f>INDEX(W$280:W$296,$E1790)*$D1790</f>
        <v/>
      </c>
      <c r="X1790" s="35">
        <f>INDEX(X$280:X$296,$E1790)*$D1790</f>
        <v/>
      </c>
      <c r="Y1790" s="35">
        <f>INDEX(Y$280:Y$296,$E1790)*$D1790</f>
        <v/>
      </c>
      <c r="Z1790" s="35">
        <f>INDEX(Z$280:Z$296,$E1790)*$D1790</f>
        <v/>
      </c>
      <c r="AA1790" s="35">
        <f>INDEX(AA$280:AA$296,$E1790)*$D1790</f>
        <v/>
      </c>
      <c r="AB1790" s="35">
        <f>INDEX(AB$280:AB$296,$E1790)*$D1790</f>
        <v/>
      </c>
      <c r="AC1790" s="35">
        <f>INDEX(AC$280:AC$296,$E1790)*$D1790</f>
        <v/>
      </c>
      <c r="AD1790" s="35">
        <f>INDEX(AD$280:AD$296,$E1790)*$D1790</f>
        <v/>
      </c>
      <c r="AE1790" s="42">
        <f>ETSCOST(INDEX(AE$280:AE$296,$E1790),$D1790)</f>
        <v/>
      </c>
      <c r="AG1790" s="11">
        <f>CodePrefix&amp;$A1790&amp;IF($C1790="","","."&amp;$C1790&amp;"."&amp;$B1790)&amp;INDEX(VarEnd,MATCH($A1790,VarKey,0))&amp;AG$5</f>
        <v/>
      </c>
      <c r="AH1790" s="40">
        <f>INDEX(AH$280:AH$296,$E1790)*$D1790</f>
        <v/>
      </c>
      <c r="AI1790" s="35">
        <f>INDEX(AI$280:AI$296,$E1790)*$D1790</f>
        <v/>
      </c>
      <c r="AJ1790" s="35">
        <f>INDEX(AJ$280:AJ$296,$E1790)*$D1790</f>
        <v/>
      </c>
      <c r="AK1790" s="35">
        <f>INDEX(AK$280:AK$296,$E1790)*$D1790</f>
        <v/>
      </c>
      <c r="AL1790" s="35">
        <f>INDEX(AL$280:AL$296,$E1790)*$D1790</f>
        <v/>
      </c>
      <c r="AM1790" s="35">
        <f>INDEX(AM$280:AM$296,$E1790)*$D1790</f>
        <v/>
      </c>
      <c r="AN1790" s="35">
        <f>INDEX(AN$280:AN$296,$E1790)*$D1790</f>
        <v/>
      </c>
      <c r="AO1790" s="35">
        <f>INDEX(AO$280:AO$296,$E1790)*$D1790</f>
        <v/>
      </c>
      <c r="AP1790" s="35">
        <f>INDEX(AP$280:AP$296,$E1790)*$D1790</f>
        <v/>
      </c>
      <c r="AQ1790" s="35">
        <f>INDEX(AQ$280:AQ$296,$E1790)*$D1790</f>
        <v/>
      </c>
      <c r="AR1790" s="35">
        <f>INDEX(AR$280:AR$296,$E1790)*$D1790</f>
        <v/>
      </c>
      <c r="AS1790" s="35">
        <f>INDEX(AS$280:AS$296,$E1790)*$D1790</f>
        <v/>
      </c>
      <c r="AT1790" s="35">
        <f>INDEX(AT$280:AT$296,$E1790)*$D1790</f>
        <v/>
      </c>
      <c r="AU1790" s="35">
        <f>INDEX(AU$280:AU$296,$E1790)*$D1790</f>
        <v/>
      </c>
      <c r="AV1790" s="35">
        <f>INDEX(AV$280:AV$296,$E1790)*$D1790</f>
        <v/>
      </c>
      <c r="AW1790" s="35">
        <f>INDEX(AW$280:AW$296,$E1790)*$D1790</f>
        <v/>
      </c>
      <c r="AX1790" s="35">
        <f>INDEX(AX$280:AX$296,$E1790)*$D1790</f>
        <v/>
      </c>
      <c r="AY1790" s="35">
        <f>INDEX(AY$280:AY$296,$E1790)*$D1790</f>
        <v/>
      </c>
      <c r="AZ1790" s="35">
        <f>INDEX(AZ$280:AZ$296,$E1790)*$D1790</f>
        <v/>
      </c>
      <c r="BA1790" s="42">
        <f>ETSCOST(INDEX(BA$280:BA$296,$E1790),$D1790)</f>
        <v/>
      </c>
    </row>
    <row r="1791" hidden="1" outlineLevel="2">
      <c r="A1791" s="14" t="inlineStr">
        <is>
          <t>ets</t>
        </is>
      </c>
      <c r="B1791" s="14" t="inlineStr">
        <is>
          <t>lpg</t>
        </is>
      </c>
      <c r="C1791" s="14" t="inlineStr">
        <is>
          <t>srv</t>
        </is>
      </c>
      <c r="D1791" s="35">
        <f>INDEX(Inputs!$W$5:$W$132,MATCH($B1791&amp;"|"&amp;$C1791,Inputs!$A$5:$A$132,0))</f>
        <v/>
      </c>
      <c r="E1791" s="35">
        <f>INDEX(Inputs!$M$5:$M$132,MATCH($B1791&amp;"|"&amp;$C1791,Inputs!$A$5:$A$132,0))</f>
        <v/>
      </c>
      <c r="F1791" s="39" t="n"/>
      <c r="G1791" s="39" t="n"/>
      <c r="H1791" s="14">
        <f>INDEX(VarLab,MATCH($A1791,VarKey,0))&amp;INDEX(MemLab,MATCH($C1791&amp;"|"&amp;$B1791,MemKey,0))</f>
        <v/>
      </c>
      <c r="I1791" s="14">
        <f>INDEX(VarUnit,MATCH($A1791,VarKey,0))</f>
        <v/>
      </c>
      <c r="J1791" s="14">
        <f>INDEX(VarSrc,MATCH($A1791,VarKey,0))</f>
        <v/>
      </c>
      <c r="K1791" s="11">
        <f>CodePrefix&amp;$A1791&amp;IF($C1791="","","."&amp;$C1791&amp;"."&amp;$B1791)&amp;INDEX(VarEnd,MATCH($A1791,VarKey,0))&amp;K$5</f>
        <v/>
      </c>
      <c r="L1791" s="40">
        <f>INDEX(L$280:L$296,$E1791)*$D1791</f>
        <v/>
      </c>
      <c r="M1791" s="35">
        <f>INDEX(M$280:M$296,$E1791)*$D1791</f>
        <v/>
      </c>
      <c r="N1791" s="35">
        <f>INDEX(N$280:N$296,$E1791)*$D1791</f>
        <v/>
      </c>
      <c r="O1791" s="35">
        <f>INDEX(O$280:O$296,$E1791)*$D1791</f>
        <v/>
      </c>
      <c r="P1791" s="35">
        <f>INDEX(P$280:P$296,$E1791)*$D1791</f>
        <v/>
      </c>
      <c r="Q1791" s="35">
        <f>INDEX(Q$280:Q$296,$E1791)*$D1791</f>
        <v/>
      </c>
      <c r="R1791" s="35">
        <f>INDEX(R$280:R$296,$E1791)*$D1791</f>
        <v/>
      </c>
      <c r="S1791" s="35">
        <f>INDEX(S$280:S$296,$E1791)*$D1791</f>
        <v/>
      </c>
      <c r="T1791" s="35">
        <f>INDEX(T$280:T$296,$E1791)*$D1791</f>
        <v/>
      </c>
      <c r="U1791" s="35">
        <f>INDEX(U$280:U$296,$E1791)*$D1791</f>
        <v/>
      </c>
      <c r="V1791" s="35">
        <f>INDEX(V$280:V$296,$E1791)*$D1791</f>
        <v/>
      </c>
      <c r="W1791" s="35">
        <f>INDEX(W$280:W$296,$E1791)*$D1791</f>
        <v/>
      </c>
      <c r="X1791" s="35">
        <f>INDEX(X$280:X$296,$E1791)*$D1791</f>
        <v/>
      </c>
      <c r="Y1791" s="35">
        <f>INDEX(Y$280:Y$296,$E1791)*$D1791</f>
        <v/>
      </c>
      <c r="Z1791" s="35">
        <f>INDEX(Z$280:Z$296,$E1791)*$D1791</f>
        <v/>
      </c>
      <c r="AA1791" s="35">
        <f>INDEX(AA$280:AA$296,$E1791)*$D1791</f>
        <v/>
      </c>
      <c r="AB1791" s="35">
        <f>INDEX(AB$280:AB$296,$E1791)*$D1791</f>
        <v/>
      </c>
      <c r="AC1791" s="35">
        <f>INDEX(AC$280:AC$296,$E1791)*$D1791</f>
        <v/>
      </c>
      <c r="AD1791" s="35">
        <f>INDEX(AD$280:AD$296,$E1791)*$D1791</f>
        <v/>
      </c>
      <c r="AE1791" s="42">
        <f>ETSCOST(INDEX(AE$280:AE$296,$E1791),$D1791)</f>
        <v/>
      </c>
      <c r="AG1791" s="11">
        <f>CodePrefix&amp;$A1791&amp;IF($C1791="","","."&amp;$C1791&amp;"."&amp;$B1791)&amp;INDEX(VarEnd,MATCH($A1791,VarKey,0))&amp;AG$5</f>
        <v/>
      </c>
      <c r="AH1791" s="40">
        <f>INDEX(AH$280:AH$296,$E1791)*$D1791</f>
        <v/>
      </c>
      <c r="AI1791" s="35">
        <f>INDEX(AI$280:AI$296,$E1791)*$D1791</f>
        <v/>
      </c>
      <c r="AJ1791" s="35">
        <f>INDEX(AJ$280:AJ$296,$E1791)*$D1791</f>
        <v/>
      </c>
      <c r="AK1791" s="35">
        <f>INDEX(AK$280:AK$296,$E1791)*$D1791</f>
        <v/>
      </c>
      <c r="AL1791" s="35">
        <f>INDEX(AL$280:AL$296,$E1791)*$D1791</f>
        <v/>
      </c>
      <c r="AM1791" s="35">
        <f>INDEX(AM$280:AM$296,$E1791)*$D1791</f>
        <v/>
      </c>
      <c r="AN1791" s="35">
        <f>INDEX(AN$280:AN$296,$E1791)*$D1791</f>
        <v/>
      </c>
      <c r="AO1791" s="35">
        <f>INDEX(AO$280:AO$296,$E1791)*$D1791</f>
        <v/>
      </c>
      <c r="AP1791" s="35">
        <f>INDEX(AP$280:AP$296,$E1791)*$D1791</f>
        <v/>
      </c>
      <c r="AQ1791" s="35">
        <f>INDEX(AQ$280:AQ$296,$E1791)*$D1791</f>
        <v/>
      </c>
      <c r="AR1791" s="35">
        <f>INDEX(AR$280:AR$296,$E1791)*$D1791</f>
        <v/>
      </c>
      <c r="AS1791" s="35">
        <f>INDEX(AS$280:AS$296,$E1791)*$D1791</f>
        <v/>
      </c>
      <c r="AT1791" s="35">
        <f>INDEX(AT$280:AT$296,$E1791)*$D1791</f>
        <v/>
      </c>
      <c r="AU1791" s="35">
        <f>INDEX(AU$280:AU$296,$E1791)*$D1791</f>
        <v/>
      </c>
      <c r="AV1791" s="35">
        <f>INDEX(AV$280:AV$296,$E1791)*$D1791</f>
        <v/>
      </c>
      <c r="AW1791" s="35">
        <f>INDEX(AW$280:AW$296,$E1791)*$D1791</f>
        <v/>
      </c>
      <c r="AX1791" s="35">
        <f>INDEX(AX$280:AX$296,$E1791)*$D1791</f>
        <v/>
      </c>
      <c r="AY1791" s="35">
        <f>INDEX(AY$280:AY$296,$E1791)*$D1791</f>
        <v/>
      </c>
      <c r="AZ1791" s="35">
        <f>INDEX(AZ$280:AZ$296,$E1791)*$D1791</f>
        <v/>
      </c>
      <c r="BA1791" s="42">
        <f>ETSCOST(INDEX(BA$280:BA$296,$E1791),$D1791)</f>
        <v/>
      </c>
    </row>
    <row r="1792" hidden="1" outlineLevel="2">
      <c r="A1792" s="14" t="inlineStr">
        <is>
          <t>ets</t>
        </is>
      </c>
      <c r="B1792" s="14" t="inlineStr">
        <is>
          <t>ker</t>
        </is>
      </c>
      <c r="C1792" s="14" t="inlineStr">
        <is>
          <t>srv</t>
        </is>
      </c>
      <c r="D1792" s="35">
        <f>INDEX(Inputs!$W$5:$W$132,MATCH($B1792&amp;"|"&amp;$C1792,Inputs!$A$5:$A$132,0))</f>
        <v/>
      </c>
      <c r="E1792" s="35">
        <f>INDEX(Inputs!$M$5:$M$132,MATCH($B1792&amp;"|"&amp;$C1792,Inputs!$A$5:$A$132,0))</f>
        <v/>
      </c>
      <c r="F1792" s="39" t="n"/>
      <c r="G1792" s="39" t="n"/>
      <c r="H1792" s="14">
        <f>INDEX(VarLab,MATCH($A1792,VarKey,0))&amp;INDEX(MemLab,MATCH($C1792&amp;"|"&amp;$B1792,MemKey,0))</f>
        <v/>
      </c>
      <c r="I1792" s="14">
        <f>INDEX(VarUnit,MATCH($A1792,VarKey,0))</f>
        <v/>
      </c>
      <c r="J1792" s="14">
        <f>INDEX(VarSrc,MATCH($A1792,VarKey,0))</f>
        <v/>
      </c>
      <c r="K1792" s="11">
        <f>CodePrefix&amp;$A1792&amp;IF($C1792="","","."&amp;$C1792&amp;"."&amp;$B1792)&amp;INDEX(VarEnd,MATCH($A1792,VarKey,0))&amp;K$5</f>
        <v/>
      </c>
      <c r="L1792" s="40">
        <f>INDEX(L$280:L$296,$E1792)*$D1792</f>
        <v/>
      </c>
      <c r="M1792" s="35">
        <f>INDEX(M$280:M$296,$E1792)*$D1792</f>
        <v/>
      </c>
      <c r="N1792" s="35">
        <f>INDEX(N$280:N$296,$E1792)*$D1792</f>
        <v/>
      </c>
      <c r="O1792" s="35">
        <f>INDEX(O$280:O$296,$E1792)*$D1792</f>
        <v/>
      </c>
      <c r="P1792" s="35">
        <f>INDEX(P$280:P$296,$E1792)*$D1792</f>
        <v/>
      </c>
      <c r="Q1792" s="35">
        <f>INDEX(Q$280:Q$296,$E1792)*$D1792</f>
        <v/>
      </c>
      <c r="R1792" s="35">
        <f>INDEX(R$280:R$296,$E1792)*$D1792</f>
        <v/>
      </c>
      <c r="S1792" s="35">
        <f>INDEX(S$280:S$296,$E1792)*$D1792</f>
        <v/>
      </c>
      <c r="T1792" s="35">
        <f>INDEX(T$280:T$296,$E1792)*$D1792</f>
        <v/>
      </c>
      <c r="U1792" s="35">
        <f>INDEX(U$280:U$296,$E1792)*$D1792</f>
        <v/>
      </c>
      <c r="V1792" s="35">
        <f>INDEX(V$280:V$296,$E1792)*$D1792</f>
        <v/>
      </c>
      <c r="W1792" s="35">
        <f>INDEX(W$280:W$296,$E1792)*$D1792</f>
        <v/>
      </c>
      <c r="X1792" s="35">
        <f>INDEX(X$280:X$296,$E1792)*$D1792</f>
        <v/>
      </c>
      <c r="Y1792" s="35">
        <f>INDEX(Y$280:Y$296,$E1792)*$D1792</f>
        <v/>
      </c>
      <c r="Z1792" s="35">
        <f>INDEX(Z$280:Z$296,$E1792)*$D1792</f>
        <v/>
      </c>
      <c r="AA1792" s="35">
        <f>INDEX(AA$280:AA$296,$E1792)*$D1792</f>
        <v/>
      </c>
      <c r="AB1792" s="35">
        <f>INDEX(AB$280:AB$296,$E1792)*$D1792</f>
        <v/>
      </c>
      <c r="AC1792" s="35">
        <f>INDEX(AC$280:AC$296,$E1792)*$D1792</f>
        <v/>
      </c>
      <c r="AD1792" s="35">
        <f>INDEX(AD$280:AD$296,$E1792)*$D1792</f>
        <v/>
      </c>
      <c r="AE1792" s="42">
        <f>ETSCOST(INDEX(AE$280:AE$296,$E1792),$D1792)</f>
        <v/>
      </c>
      <c r="AG1792" s="11">
        <f>CodePrefix&amp;$A1792&amp;IF($C1792="","","."&amp;$C1792&amp;"."&amp;$B1792)&amp;INDEX(VarEnd,MATCH($A1792,VarKey,0))&amp;AG$5</f>
        <v/>
      </c>
      <c r="AH1792" s="40">
        <f>INDEX(AH$280:AH$296,$E1792)*$D1792</f>
        <v/>
      </c>
      <c r="AI1792" s="35">
        <f>INDEX(AI$280:AI$296,$E1792)*$D1792</f>
        <v/>
      </c>
      <c r="AJ1792" s="35">
        <f>INDEX(AJ$280:AJ$296,$E1792)*$D1792</f>
        <v/>
      </c>
      <c r="AK1792" s="35">
        <f>INDEX(AK$280:AK$296,$E1792)*$D1792</f>
        <v/>
      </c>
      <c r="AL1792" s="35">
        <f>INDEX(AL$280:AL$296,$E1792)*$D1792</f>
        <v/>
      </c>
      <c r="AM1792" s="35">
        <f>INDEX(AM$280:AM$296,$E1792)*$D1792</f>
        <v/>
      </c>
      <c r="AN1792" s="35">
        <f>INDEX(AN$280:AN$296,$E1792)*$D1792</f>
        <v/>
      </c>
      <c r="AO1792" s="35">
        <f>INDEX(AO$280:AO$296,$E1792)*$D1792</f>
        <v/>
      </c>
      <c r="AP1792" s="35">
        <f>INDEX(AP$280:AP$296,$E1792)*$D1792</f>
        <v/>
      </c>
      <c r="AQ1792" s="35">
        <f>INDEX(AQ$280:AQ$296,$E1792)*$D1792</f>
        <v/>
      </c>
      <c r="AR1792" s="35">
        <f>INDEX(AR$280:AR$296,$E1792)*$D1792</f>
        <v/>
      </c>
      <c r="AS1792" s="35">
        <f>INDEX(AS$280:AS$296,$E1792)*$D1792</f>
        <v/>
      </c>
      <c r="AT1792" s="35">
        <f>INDEX(AT$280:AT$296,$E1792)*$D1792</f>
        <v/>
      </c>
      <c r="AU1792" s="35">
        <f>INDEX(AU$280:AU$296,$E1792)*$D1792</f>
        <v/>
      </c>
      <c r="AV1792" s="35">
        <f>INDEX(AV$280:AV$296,$E1792)*$D1792</f>
        <v/>
      </c>
      <c r="AW1792" s="35">
        <f>INDEX(AW$280:AW$296,$E1792)*$D1792</f>
        <v/>
      </c>
      <c r="AX1792" s="35">
        <f>INDEX(AX$280:AX$296,$E1792)*$D1792</f>
        <v/>
      </c>
      <c r="AY1792" s="35">
        <f>INDEX(AY$280:AY$296,$E1792)*$D1792</f>
        <v/>
      </c>
      <c r="AZ1792" s="35">
        <f>INDEX(AZ$280:AZ$296,$E1792)*$D1792</f>
        <v/>
      </c>
      <c r="BA1792" s="42">
        <f>ETSCOST(INDEX(BA$280:BA$296,$E1792),$D1792)</f>
        <v/>
      </c>
    </row>
    <row r="1793" hidden="1" outlineLevel="2">
      <c r="A1793" s="14" t="inlineStr">
        <is>
          <t>ets</t>
        </is>
      </c>
      <c r="B1793" s="14" t="inlineStr">
        <is>
          <t>oop</t>
        </is>
      </c>
      <c r="C1793" s="14" t="inlineStr">
        <is>
          <t>srv</t>
        </is>
      </c>
      <c r="D1793" s="35">
        <f>INDEX(Inputs!$W$5:$W$132,MATCH($B1793&amp;"|"&amp;$C1793,Inputs!$A$5:$A$132,0))</f>
        <v/>
      </c>
      <c r="E1793" s="35">
        <f>INDEX(Inputs!$M$5:$M$132,MATCH($B1793&amp;"|"&amp;$C1793,Inputs!$A$5:$A$132,0))</f>
        <v/>
      </c>
      <c r="F1793" s="39" t="n"/>
      <c r="G1793" s="39" t="n"/>
      <c r="H1793" s="14">
        <f>INDEX(VarLab,MATCH($A1793,VarKey,0))&amp;INDEX(MemLab,MATCH($C1793&amp;"|"&amp;$B1793,MemKey,0))</f>
        <v/>
      </c>
      <c r="I1793" s="14">
        <f>INDEX(VarUnit,MATCH($A1793,VarKey,0))</f>
        <v/>
      </c>
      <c r="J1793" s="14">
        <f>INDEX(VarSrc,MATCH($A1793,VarKey,0))</f>
        <v/>
      </c>
      <c r="K1793" s="11">
        <f>CodePrefix&amp;$A1793&amp;IF($C1793="","","."&amp;$C1793&amp;"."&amp;$B1793)&amp;INDEX(VarEnd,MATCH($A1793,VarKey,0))&amp;K$5</f>
        <v/>
      </c>
      <c r="L1793" s="40">
        <f>INDEX(L$280:L$296,$E1793)*$D1793</f>
        <v/>
      </c>
      <c r="M1793" s="35">
        <f>INDEX(M$280:M$296,$E1793)*$D1793</f>
        <v/>
      </c>
      <c r="N1793" s="35">
        <f>INDEX(N$280:N$296,$E1793)*$D1793</f>
        <v/>
      </c>
      <c r="O1793" s="35">
        <f>INDEX(O$280:O$296,$E1793)*$D1793</f>
        <v/>
      </c>
      <c r="P1793" s="35">
        <f>INDEX(P$280:P$296,$E1793)*$D1793</f>
        <v/>
      </c>
      <c r="Q1793" s="35">
        <f>INDEX(Q$280:Q$296,$E1793)*$D1793</f>
        <v/>
      </c>
      <c r="R1793" s="35">
        <f>INDEX(R$280:R$296,$E1793)*$D1793</f>
        <v/>
      </c>
      <c r="S1793" s="35">
        <f>INDEX(S$280:S$296,$E1793)*$D1793</f>
        <v/>
      </c>
      <c r="T1793" s="35">
        <f>INDEX(T$280:T$296,$E1793)*$D1793</f>
        <v/>
      </c>
      <c r="U1793" s="35">
        <f>INDEX(U$280:U$296,$E1793)*$D1793</f>
        <v/>
      </c>
      <c r="V1793" s="35">
        <f>INDEX(V$280:V$296,$E1793)*$D1793</f>
        <v/>
      </c>
      <c r="W1793" s="35">
        <f>INDEX(W$280:W$296,$E1793)*$D1793</f>
        <v/>
      </c>
      <c r="X1793" s="35">
        <f>INDEX(X$280:X$296,$E1793)*$D1793</f>
        <v/>
      </c>
      <c r="Y1793" s="35">
        <f>INDEX(Y$280:Y$296,$E1793)*$D1793</f>
        <v/>
      </c>
      <c r="Z1793" s="35">
        <f>INDEX(Z$280:Z$296,$E1793)*$D1793</f>
        <v/>
      </c>
      <c r="AA1793" s="35">
        <f>INDEX(AA$280:AA$296,$E1793)*$D1793</f>
        <v/>
      </c>
      <c r="AB1793" s="35">
        <f>INDEX(AB$280:AB$296,$E1793)*$D1793</f>
        <v/>
      </c>
      <c r="AC1793" s="35">
        <f>INDEX(AC$280:AC$296,$E1793)*$D1793</f>
        <v/>
      </c>
      <c r="AD1793" s="35">
        <f>INDEX(AD$280:AD$296,$E1793)*$D1793</f>
        <v/>
      </c>
      <c r="AE1793" s="42">
        <f>ETSCOST(INDEX(AE$280:AE$296,$E1793),$D1793)</f>
        <v/>
      </c>
      <c r="AG1793" s="11">
        <f>CodePrefix&amp;$A1793&amp;IF($C1793="","","."&amp;$C1793&amp;"."&amp;$B1793)&amp;INDEX(VarEnd,MATCH($A1793,VarKey,0))&amp;AG$5</f>
        <v/>
      </c>
      <c r="AH1793" s="40">
        <f>INDEX(AH$280:AH$296,$E1793)*$D1793</f>
        <v/>
      </c>
      <c r="AI1793" s="35">
        <f>INDEX(AI$280:AI$296,$E1793)*$D1793</f>
        <v/>
      </c>
      <c r="AJ1793" s="35">
        <f>INDEX(AJ$280:AJ$296,$E1793)*$D1793</f>
        <v/>
      </c>
      <c r="AK1793" s="35">
        <f>INDEX(AK$280:AK$296,$E1793)*$D1793</f>
        <v/>
      </c>
      <c r="AL1793" s="35">
        <f>INDEX(AL$280:AL$296,$E1793)*$D1793</f>
        <v/>
      </c>
      <c r="AM1793" s="35">
        <f>INDEX(AM$280:AM$296,$E1793)*$D1793</f>
        <v/>
      </c>
      <c r="AN1793" s="35">
        <f>INDEX(AN$280:AN$296,$E1793)*$D1793</f>
        <v/>
      </c>
      <c r="AO1793" s="35">
        <f>INDEX(AO$280:AO$296,$E1793)*$D1793</f>
        <v/>
      </c>
      <c r="AP1793" s="35">
        <f>INDEX(AP$280:AP$296,$E1793)*$D1793</f>
        <v/>
      </c>
      <c r="AQ1793" s="35">
        <f>INDEX(AQ$280:AQ$296,$E1793)*$D1793</f>
        <v/>
      </c>
      <c r="AR1793" s="35">
        <f>INDEX(AR$280:AR$296,$E1793)*$D1793</f>
        <v/>
      </c>
      <c r="AS1793" s="35">
        <f>INDEX(AS$280:AS$296,$E1793)*$D1793</f>
        <v/>
      </c>
      <c r="AT1793" s="35">
        <f>INDEX(AT$280:AT$296,$E1793)*$D1793</f>
        <v/>
      </c>
      <c r="AU1793" s="35">
        <f>INDEX(AU$280:AU$296,$E1793)*$D1793</f>
        <v/>
      </c>
      <c r="AV1793" s="35">
        <f>INDEX(AV$280:AV$296,$E1793)*$D1793</f>
        <v/>
      </c>
      <c r="AW1793" s="35">
        <f>INDEX(AW$280:AW$296,$E1793)*$D1793</f>
        <v/>
      </c>
      <c r="AX1793" s="35">
        <f>INDEX(AX$280:AX$296,$E1793)*$D1793</f>
        <v/>
      </c>
      <c r="AY1793" s="35">
        <f>INDEX(AY$280:AY$296,$E1793)*$D1793</f>
        <v/>
      </c>
      <c r="AZ1793" s="35">
        <f>INDEX(AZ$280:AZ$296,$E1793)*$D1793</f>
        <v/>
      </c>
      <c r="BA1793" s="42">
        <f>ETSCOST(INDEX(BA$280:BA$296,$E1793),$D1793)</f>
        <v/>
      </c>
    </row>
    <row r="1794" hidden="1" outlineLevel="2">
      <c r="A1794" s="14" t="inlineStr">
        <is>
          <t>ets</t>
        </is>
      </c>
      <c r="B1794" s="14" t="inlineStr">
        <is>
          <t>bio</t>
        </is>
      </c>
      <c r="C1794" s="14" t="inlineStr">
        <is>
          <t>srv</t>
        </is>
      </c>
      <c r="D1794" s="35">
        <f>INDEX(Inputs!$W$5:$W$132,MATCH($B1794&amp;"|"&amp;$C1794,Inputs!$A$5:$A$132,0))</f>
        <v/>
      </c>
      <c r="E1794" s="35">
        <f>INDEX(Inputs!$M$5:$M$132,MATCH($B1794&amp;"|"&amp;$C1794,Inputs!$A$5:$A$132,0))</f>
        <v/>
      </c>
      <c r="F1794" s="39" t="n"/>
      <c r="G1794" s="39" t="n"/>
      <c r="H1794" s="14">
        <f>INDEX(VarLab,MATCH($A1794,VarKey,0))&amp;INDEX(MemLab,MATCH($C1794&amp;"|"&amp;$B1794,MemKey,0))</f>
        <v/>
      </c>
      <c r="I1794" s="14">
        <f>INDEX(VarUnit,MATCH($A1794,VarKey,0))</f>
        <v/>
      </c>
      <c r="J1794" s="14">
        <f>INDEX(VarSrc,MATCH($A1794,VarKey,0))</f>
        <v/>
      </c>
      <c r="K1794" s="11">
        <f>CodePrefix&amp;$A1794&amp;IF($C1794="","","."&amp;$C1794&amp;"."&amp;$B1794)&amp;INDEX(VarEnd,MATCH($A1794,VarKey,0))&amp;K$5</f>
        <v/>
      </c>
      <c r="L1794" s="40">
        <f>INDEX(L$280:L$296,$E1794)*$D1794</f>
        <v/>
      </c>
      <c r="M1794" s="35">
        <f>INDEX(M$280:M$296,$E1794)*$D1794</f>
        <v/>
      </c>
      <c r="N1794" s="35">
        <f>INDEX(N$280:N$296,$E1794)*$D1794</f>
        <v/>
      </c>
      <c r="O1794" s="35">
        <f>INDEX(O$280:O$296,$E1794)*$D1794</f>
        <v/>
      </c>
      <c r="P1794" s="35">
        <f>INDEX(P$280:P$296,$E1794)*$D1794</f>
        <v/>
      </c>
      <c r="Q1794" s="35">
        <f>INDEX(Q$280:Q$296,$E1794)*$D1794</f>
        <v/>
      </c>
      <c r="R1794" s="35">
        <f>INDEX(R$280:R$296,$E1794)*$D1794</f>
        <v/>
      </c>
      <c r="S1794" s="35">
        <f>INDEX(S$280:S$296,$E1794)*$D1794</f>
        <v/>
      </c>
      <c r="T1794" s="35">
        <f>INDEX(T$280:T$296,$E1794)*$D1794</f>
        <v/>
      </c>
      <c r="U1794" s="35">
        <f>INDEX(U$280:U$296,$E1794)*$D1794</f>
        <v/>
      </c>
      <c r="V1794" s="35">
        <f>INDEX(V$280:V$296,$E1794)*$D1794</f>
        <v/>
      </c>
      <c r="W1794" s="35">
        <f>INDEX(W$280:W$296,$E1794)*$D1794</f>
        <v/>
      </c>
      <c r="X1794" s="35">
        <f>INDEX(X$280:X$296,$E1794)*$D1794</f>
        <v/>
      </c>
      <c r="Y1794" s="35">
        <f>INDEX(Y$280:Y$296,$E1794)*$D1794</f>
        <v/>
      </c>
      <c r="Z1794" s="35">
        <f>INDEX(Z$280:Z$296,$E1794)*$D1794</f>
        <v/>
      </c>
      <c r="AA1794" s="35">
        <f>INDEX(AA$280:AA$296,$E1794)*$D1794</f>
        <v/>
      </c>
      <c r="AB1794" s="35">
        <f>INDEX(AB$280:AB$296,$E1794)*$D1794</f>
        <v/>
      </c>
      <c r="AC1794" s="35">
        <f>INDEX(AC$280:AC$296,$E1794)*$D1794</f>
        <v/>
      </c>
      <c r="AD1794" s="35">
        <f>INDEX(AD$280:AD$296,$E1794)*$D1794</f>
        <v/>
      </c>
      <c r="AE1794" s="42">
        <f>ETSCOST(INDEX(AE$280:AE$296,$E1794),$D1794)</f>
        <v/>
      </c>
      <c r="AG1794" s="11">
        <f>CodePrefix&amp;$A1794&amp;IF($C1794="","","."&amp;$C1794&amp;"."&amp;$B1794)&amp;INDEX(VarEnd,MATCH($A1794,VarKey,0))&amp;AG$5</f>
        <v/>
      </c>
      <c r="AH1794" s="40">
        <f>INDEX(AH$280:AH$296,$E1794)*$D1794</f>
        <v/>
      </c>
      <c r="AI1794" s="35">
        <f>INDEX(AI$280:AI$296,$E1794)*$D1794</f>
        <v/>
      </c>
      <c r="AJ1794" s="35">
        <f>INDEX(AJ$280:AJ$296,$E1794)*$D1794</f>
        <v/>
      </c>
      <c r="AK1794" s="35">
        <f>INDEX(AK$280:AK$296,$E1794)*$D1794</f>
        <v/>
      </c>
      <c r="AL1794" s="35">
        <f>INDEX(AL$280:AL$296,$E1794)*$D1794</f>
        <v/>
      </c>
      <c r="AM1794" s="35">
        <f>INDEX(AM$280:AM$296,$E1794)*$D1794</f>
        <v/>
      </c>
      <c r="AN1794" s="35">
        <f>INDEX(AN$280:AN$296,$E1794)*$D1794</f>
        <v/>
      </c>
      <c r="AO1794" s="35">
        <f>INDEX(AO$280:AO$296,$E1794)*$D1794</f>
        <v/>
      </c>
      <c r="AP1794" s="35">
        <f>INDEX(AP$280:AP$296,$E1794)*$D1794</f>
        <v/>
      </c>
      <c r="AQ1794" s="35">
        <f>INDEX(AQ$280:AQ$296,$E1794)*$D1794</f>
        <v/>
      </c>
      <c r="AR1794" s="35">
        <f>INDEX(AR$280:AR$296,$E1794)*$D1794</f>
        <v/>
      </c>
      <c r="AS1794" s="35">
        <f>INDEX(AS$280:AS$296,$E1794)*$D1794</f>
        <v/>
      </c>
      <c r="AT1794" s="35">
        <f>INDEX(AT$280:AT$296,$E1794)*$D1794</f>
        <v/>
      </c>
      <c r="AU1794" s="35">
        <f>INDEX(AU$280:AU$296,$E1794)*$D1794</f>
        <v/>
      </c>
      <c r="AV1794" s="35">
        <f>INDEX(AV$280:AV$296,$E1794)*$D1794</f>
        <v/>
      </c>
      <c r="AW1794" s="35">
        <f>INDEX(AW$280:AW$296,$E1794)*$D1794</f>
        <v/>
      </c>
      <c r="AX1794" s="35">
        <f>INDEX(AX$280:AX$296,$E1794)*$D1794</f>
        <v/>
      </c>
      <c r="AY1794" s="35">
        <f>INDEX(AY$280:AY$296,$E1794)*$D1794</f>
        <v/>
      </c>
      <c r="AZ1794" s="35">
        <f>INDEX(AZ$280:AZ$296,$E1794)*$D1794</f>
        <v/>
      </c>
      <c r="BA1794" s="42">
        <f>ETSCOST(INDEX(BA$280:BA$296,$E1794),$D1794)</f>
        <v/>
      </c>
    </row>
    <row r="1795" hidden="1" outlineLevel="2"/>
    <row r="1796" hidden="1" outlineLevel="2">
      <c r="A1796" s="14" t="inlineStr">
        <is>
          <t>ntx</t>
        </is>
      </c>
      <c r="B1796" s="14" t="inlineStr">
        <is>
          <t>coa</t>
        </is>
      </c>
      <c r="C1796" s="14" t="inlineStr">
        <is>
          <t>srv</t>
        </is>
      </c>
      <c r="D1796" s="35">
        <f>INDEX(Inputs!$N$5:$N$132,MATCH($B1796&amp;"|"&amp;$C1796,Inputs!$A$5:$A$132,0))</f>
        <v/>
      </c>
      <c r="E1796" s="35">
        <f>INDEX(Inputs!$K$5:$K$132,MATCH($B1796&amp;"|"&amp;$C1796,Inputs!$A$5:$A$132,0))</f>
        <v/>
      </c>
      <c r="F1796" s="39" t="n"/>
      <c r="G1796" s="39" t="n"/>
      <c r="H1796" s="14">
        <f>INDEX(VarLab,MATCH($A1796,VarKey,0))&amp;INDEX(MemLab,MATCH($C1796&amp;"|"&amp;$B1796,MemKey,0))</f>
        <v/>
      </c>
      <c r="I1796" s="14">
        <f>INDEX(VarUnit,MATCH($A1796,VarKey,0))</f>
        <v/>
      </c>
      <c r="J1796" s="14">
        <f>INDEX(VarSrc,MATCH($A1796,VarKey,0))</f>
        <v/>
      </c>
      <c r="K1796" s="11">
        <f>CodePrefix&amp;$A1796&amp;IF($C1796="","","."&amp;$C1796&amp;"."&amp;$B1796)&amp;INDEX(VarEnd,MATCH($A1796,VarKey,0))&amp;K$5</f>
        <v/>
      </c>
      <c r="L1796" s="40">
        <f>INDEX(L$80:L$93,$D1796)/$E1796</f>
        <v/>
      </c>
      <c r="M1796" s="35">
        <f>INDEX(M$80:M$93,$D1796)/$E1796</f>
        <v/>
      </c>
      <c r="N1796" s="35">
        <f>INDEX(N$80:N$93,$D1796)/$E1796</f>
        <v/>
      </c>
      <c r="O1796" s="35">
        <f>INDEX(O$80:O$93,$D1796)/$E1796</f>
        <v/>
      </c>
      <c r="P1796" s="35">
        <f>INDEX(P$80:P$93,$D1796)/$E1796</f>
        <v/>
      </c>
      <c r="Q1796" s="35">
        <f>INDEX(Q$80:Q$93,$D1796)/$E1796</f>
        <v/>
      </c>
      <c r="R1796" s="35">
        <f>INDEX(R$80:R$93,$D1796)/$E1796</f>
        <v/>
      </c>
      <c r="S1796" s="35">
        <f>INDEX(S$80:S$93,$D1796)/$E1796</f>
        <v/>
      </c>
      <c r="T1796" s="35">
        <f>INDEX(T$80:T$93,$D1796)/$E1796</f>
        <v/>
      </c>
      <c r="U1796" s="35">
        <f>INDEX(U$80:U$93,$D1796)/$E1796</f>
        <v/>
      </c>
      <c r="V1796" s="35">
        <f>INDEX(V$80:V$93,$D1796)/$E1796</f>
        <v/>
      </c>
      <c r="W1796" s="35">
        <f>INDEX(W$80:W$93,$D1796)/$E1796</f>
        <v/>
      </c>
      <c r="X1796" s="35">
        <f>INDEX(X$80:X$93,$D1796)/$E1796</f>
        <v/>
      </c>
      <c r="Y1796" s="35">
        <f>INDEX(Y$80:Y$93,$D1796)/$E1796</f>
        <v/>
      </c>
      <c r="Z1796" s="35">
        <f>INDEX(Z$80:Z$93,$D1796)/$E1796</f>
        <v/>
      </c>
      <c r="AA1796" s="35">
        <f>INDEX(AA$80:AA$93,$D1796)/$E1796</f>
        <v/>
      </c>
      <c r="AB1796" s="35">
        <f>INDEX(AB$80:AB$93,$D1796)/$E1796</f>
        <v/>
      </c>
      <c r="AC1796" s="35">
        <f>INDEX(AC$80:AC$93,$D1796)/$E1796</f>
        <v/>
      </c>
      <c r="AD1796" s="35">
        <f>INDEX(AD$80:AD$93,$D1796)/$E1796</f>
        <v/>
      </c>
      <c r="AE1796" s="42">
        <f>NEWEXCISE(INDEX(AE$80:AE$93,$D1796),$E1796)</f>
        <v/>
      </c>
      <c r="AG1796" s="11">
        <f>CodePrefix&amp;$A1796&amp;IF($C1796="","","."&amp;$C1796&amp;"."&amp;$B1796)&amp;INDEX(VarEnd,MATCH($A1796,VarKey,0))&amp;AG$5</f>
        <v/>
      </c>
      <c r="AH1796" s="40">
        <f>INDEX(AH$80:AH$93,$D1796)/$E1796</f>
        <v/>
      </c>
      <c r="AI1796" s="35">
        <f>INDEX(AI$80:AI$93,$D1796)/$E1796</f>
        <v/>
      </c>
      <c r="AJ1796" s="35">
        <f>INDEX(AJ$80:AJ$93,$D1796)/$E1796</f>
        <v/>
      </c>
      <c r="AK1796" s="35">
        <f>INDEX(AK$80:AK$93,$D1796)/$E1796</f>
        <v/>
      </c>
      <c r="AL1796" s="35">
        <f>INDEX(AL$80:AL$93,$D1796)/$E1796</f>
        <v/>
      </c>
      <c r="AM1796" s="35">
        <f>INDEX(AM$80:AM$93,$D1796)/$E1796</f>
        <v/>
      </c>
      <c r="AN1796" s="35">
        <f>INDEX(AN$80:AN$93,$D1796)/$E1796</f>
        <v/>
      </c>
      <c r="AO1796" s="35">
        <f>INDEX(AO$80:AO$93,$D1796)/$E1796</f>
        <v/>
      </c>
      <c r="AP1796" s="35">
        <f>INDEX(AP$80:AP$93,$D1796)/$E1796</f>
        <v/>
      </c>
      <c r="AQ1796" s="35">
        <f>INDEX(AQ$80:AQ$93,$D1796)/$E1796</f>
        <v/>
      </c>
      <c r="AR1796" s="35">
        <f>INDEX(AR$80:AR$93,$D1796)/$E1796</f>
        <v/>
      </c>
      <c r="AS1796" s="35">
        <f>INDEX(AS$80:AS$93,$D1796)/$E1796</f>
        <v/>
      </c>
      <c r="AT1796" s="35">
        <f>INDEX(AT$80:AT$93,$D1796)/$E1796</f>
        <v/>
      </c>
      <c r="AU1796" s="35">
        <f>INDEX(AU$80:AU$93,$D1796)/$E1796</f>
        <v/>
      </c>
      <c r="AV1796" s="35">
        <f>INDEX(AV$80:AV$93,$D1796)/$E1796</f>
        <v/>
      </c>
      <c r="AW1796" s="35">
        <f>INDEX(AW$80:AW$93,$D1796)/$E1796</f>
        <v/>
      </c>
      <c r="AX1796" s="35">
        <f>INDEX(AX$80:AX$93,$D1796)/$E1796</f>
        <v/>
      </c>
      <c r="AY1796" s="35">
        <f>INDEX(AY$80:AY$93,$D1796)/$E1796</f>
        <v/>
      </c>
      <c r="AZ1796" s="35">
        <f>INDEX(AZ$80:AZ$93,$D1796)/$E1796</f>
        <v/>
      </c>
      <c r="BA1796" s="42">
        <f>NEWEXCISE(INDEX(BA$80:BA$93,$D1796),$E1796)</f>
        <v/>
      </c>
    </row>
    <row r="1797" hidden="1" outlineLevel="2">
      <c r="A1797" s="14" t="inlineStr">
        <is>
          <t>ntx</t>
        </is>
      </c>
      <c r="B1797" s="14" t="inlineStr">
        <is>
          <t>nga</t>
        </is>
      </c>
      <c r="C1797" s="14" t="inlineStr">
        <is>
          <t>srv</t>
        </is>
      </c>
      <c r="D1797" s="35">
        <f>INDEX(Inputs!$N$5:$N$132,MATCH($B1797&amp;"|"&amp;$C1797,Inputs!$A$5:$A$132,0))</f>
        <v/>
      </c>
      <c r="E1797" s="35">
        <f>INDEX(Inputs!$K$5:$K$132,MATCH($B1797&amp;"|"&amp;$C1797,Inputs!$A$5:$A$132,0))</f>
        <v/>
      </c>
      <c r="F1797" s="39" t="n"/>
      <c r="G1797" s="39" t="n"/>
      <c r="H1797" s="14">
        <f>INDEX(VarLab,MATCH($A1797,VarKey,0))&amp;INDEX(MemLab,MATCH($C1797&amp;"|"&amp;$B1797,MemKey,0))</f>
        <v/>
      </c>
      <c r="I1797" s="14">
        <f>INDEX(VarUnit,MATCH($A1797,VarKey,0))</f>
        <v/>
      </c>
      <c r="J1797" s="14">
        <f>INDEX(VarSrc,MATCH($A1797,VarKey,0))</f>
        <v/>
      </c>
      <c r="K1797" s="11">
        <f>CodePrefix&amp;$A1797&amp;IF($C1797="","","."&amp;$C1797&amp;"."&amp;$B1797)&amp;INDEX(VarEnd,MATCH($A1797,VarKey,0))&amp;K$5</f>
        <v/>
      </c>
      <c r="L1797" s="40">
        <f>INDEX(L$80:L$93,$D1797)/$E1797</f>
        <v/>
      </c>
      <c r="M1797" s="35">
        <f>INDEX(M$80:M$93,$D1797)/$E1797</f>
        <v/>
      </c>
      <c r="N1797" s="35">
        <f>INDEX(N$80:N$93,$D1797)/$E1797</f>
        <v/>
      </c>
      <c r="O1797" s="35">
        <f>INDEX(O$80:O$93,$D1797)/$E1797</f>
        <v/>
      </c>
      <c r="P1797" s="35">
        <f>INDEX(P$80:P$93,$D1797)/$E1797</f>
        <v/>
      </c>
      <c r="Q1797" s="35">
        <f>INDEX(Q$80:Q$93,$D1797)/$E1797</f>
        <v/>
      </c>
      <c r="R1797" s="35">
        <f>INDEX(R$80:R$93,$D1797)/$E1797</f>
        <v/>
      </c>
      <c r="S1797" s="35">
        <f>INDEX(S$80:S$93,$D1797)/$E1797</f>
        <v/>
      </c>
      <c r="T1797" s="35">
        <f>INDEX(T$80:T$93,$D1797)/$E1797</f>
        <v/>
      </c>
      <c r="U1797" s="35">
        <f>INDEX(U$80:U$93,$D1797)/$E1797</f>
        <v/>
      </c>
      <c r="V1797" s="35">
        <f>INDEX(V$80:V$93,$D1797)/$E1797</f>
        <v/>
      </c>
      <c r="W1797" s="35">
        <f>INDEX(W$80:W$93,$D1797)/$E1797</f>
        <v/>
      </c>
      <c r="X1797" s="35">
        <f>INDEX(X$80:X$93,$D1797)/$E1797</f>
        <v/>
      </c>
      <c r="Y1797" s="35">
        <f>INDEX(Y$80:Y$93,$D1797)/$E1797</f>
        <v/>
      </c>
      <c r="Z1797" s="35">
        <f>INDEX(Z$80:Z$93,$D1797)/$E1797</f>
        <v/>
      </c>
      <c r="AA1797" s="35">
        <f>INDEX(AA$80:AA$93,$D1797)/$E1797</f>
        <v/>
      </c>
      <c r="AB1797" s="35">
        <f>INDEX(AB$80:AB$93,$D1797)/$E1797</f>
        <v/>
      </c>
      <c r="AC1797" s="35">
        <f>INDEX(AC$80:AC$93,$D1797)/$E1797</f>
        <v/>
      </c>
      <c r="AD1797" s="35">
        <f>INDEX(AD$80:AD$93,$D1797)/$E1797</f>
        <v/>
      </c>
      <c r="AE1797" s="42">
        <f>NEWEXCISE(INDEX(AE$80:AE$93,$D1797),$E1797)</f>
        <v/>
      </c>
      <c r="AG1797" s="11">
        <f>CodePrefix&amp;$A1797&amp;IF($C1797="","","."&amp;$C1797&amp;"."&amp;$B1797)&amp;INDEX(VarEnd,MATCH($A1797,VarKey,0))&amp;AG$5</f>
        <v/>
      </c>
      <c r="AH1797" s="40">
        <f>INDEX(AH$80:AH$93,$D1797)/$E1797</f>
        <v/>
      </c>
      <c r="AI1797" s="35">
        <f>INDEX(AI$80:AI$93,$D1797)/$E1797</f>
        <v/>
      </c>
      <c r="AJ1797" s="35">
        <f>INDEX(AJ$80:AJ$93,$D1797)/$E1797</f>
        <v/>
      </c>
      <c r="AK1797" s="35">
        <f>INDEX(AK$80:AK$93,$D1797)/$E1797</f>
        <v/>
      </c>
      <c r="AL1797" s="35">
        <f>INDEX(AL$80:AL$93,$D1797)/$E1797</f>
        <v/>
      </c>
      <c r="AM1797" s="35">
        <f>INDEX(AM$80:AM$93,$D1797)/$E1797</f>
        <v/>
      </c>
      <c r="AN1797" s="35">
        <f>INDEX(AN$80:AN$93,$D1797)/$E1797</f>
        <v/>
      </c>
      <c r="AO1797" s="35">
        <f>INDEX(AO$80:AO$93,$D1797)/$E1797</f>
        <v/>
      </c>
      <c r="AP1797" s="35">
        <f>INDEX(AP$80:AP$93,$D1797)/$E1797</f>
        <v/>
      </c>
      <c r="AQ1797" s="35">
        <f>INDEX(AQ$80:AQ$93,$D1797)/$E1797</f>
        <v/>
      </c>
      <c r="AR1797" s="35">
        <f>INDEX(AR$80:AR$93,$D1797)/$E1797</f>
        <v/>
      </c>
      <c r="AS1797" s="35">
        <f>INDEX(AS$80:AS$93,$D1797)/$E1797</f>
        <v/>
      </c>
      <c r="AT1797" s="35">
        <f>INDEX(AT$80:AT$93,$D1797)/$E1797</f>
        <v/>
      </c>
      <c r="AU1797" s="35">
        <f>INDEX(AU$80:AU$93,$D1797)/$E1797</f>
        <v/>
      </c>
      <c r="AV1797" s="35">
        <f>INDEX(AV$80:AV$93,$D1797)/$E1797</f>
        <v/>
      </c>
      <c r="AW1797" s="35">
        <f>INDEX(AW$80:AW$93,$D1797)/$E1797</f>
        <v/>
      </c>
      <c r="AX1797" s="35">
        <f>INDEX(AX$80:AX$93,$D1797)/$E1797</f>
        <v/>
      </c>
      <c r="AY1797" s="35">
        <f>INDEX(AY$80:AY$93,$D1797)/$E1797</f>
        <v/>
      </c>
      <c r="AZ1797" s="35">
        <f>INDEX(AZ$80:AZ$93,$D1797)/$E1797</f>
        <v/>
      </c>
      <c r="BA1797" s="42">
        <f>NEWEXCISE(INDEX(BA$80:BA$93,$D1797),$E1797)</f>
        <v/>
      </c>
    </row>
    <row r="1798" hidden="1" outlineLevel="2">
      <c r="A1798" s="14" t="inlineStr">
        <is>
          <t>ntx</t>
        </is>
      </c>
      <c r="B1798" s="14" t="inlineStr">
        <is>
          <t>gso</t>
        </is>
      </c>
      <c r="C1798" s="14" t="inlineStr">
        <is>
          <t>srv</t>
        </is>
      </c>
      <c r="D1798" s="35">
        <f>INDEX(Inputs!$N$5:$N$132,MATCH($B1798&amp;"|"&amp;$C1798,Inputs!$A$5:$A$132,0))</f>
        <v/>
      </c>
      <c r="E1798" s="35">
        <f>INDEX(Inputs!$K$5:$K$132,MATCH($B1798&amp;"|"&amp;$C1798,Inputs!$A$5:$A$132,0))</f>
        <v/>
      </c>
      <c r="F1798" s="39" t="n"/>
      <c r="G1798" s="39" t="n"/>
      <c r="H1798" s="14">
        <f>INDEX(VarLab,MATCH($A1798,VarKey,0))&amp;INDEX(MemLab,MATCH($C1798&amp;"|"&amp;$B1798,MemKey,0))</f>
        <v/>
      </c>
      <c r="I1798" s="14">
        <f>INDEX(VarUnit,MATCH($A1798,VarKey,0))</f>
        <v/>
      </c>
      <c r="J1798" s="14">
        <f>INDEX(VarSrc,MATCH($A1798,VarKey,0))</f>
        <v/>
      </c>
      <c r="K1798" s="11">
        <f>CodePrefix&amp;$A1798&amp;IF($C1798="","","."&amp;$C1798&amp;"."&amp;$B1798)&amp;INDEX(VarEnd,MATCH($A1798,VarKey,0))&amp;K$5</f>
        <v/>
      </c>
      <c r="L1798" s="40">
        <f>INDEX(L$80:L$93,$D1798)/$E1798</f>
        <v/>
      </c>
      <c r="M1798" s="35">
        <f>INDEX(M$80:M$93,$D1798)/$E1798</f>
        <v/>
      </c>
      <c r="N1798" s="35">
        <f>INDEX(N$80:N$93,$D1798)/$E1798</f>
        <v/>
      </c>
      <c r="O1798" s="35">
        <f>INDEX(O$80:O$93,$D1798)/$E1798</f>
        <v/>
      </c>
      <c r="P1798" s="35">
        <f>INDEX(P$80:P$93,$D1798)/$E1798</f>
        <v/>
      </c>
      <c r="Q1798" s="35">
        <f>INDEX(Q$80:Q$93,$D1798)/$E1798</f>
        <v/>
      </c>
      <c r="R1798" s="35">
        <f>INDEX(R$80:R$93,$D1798)/$E1798</f>
        <v/>
      </c>
      <c r="S1798" s="35">
        <f>INDEX(S$80:S$93,$D1798)/$E1798</f>
        <v/>
      </c>
      <c r="T1798" s="35">
        <f>INDEX(T$80:T$93,$D1798)/$E1798</f>
        <v/>
      </c>
      <c r="U1798" s="35">
        <f>INDEX(U$80:U$93,$D1798)/$E1798</f>
        <v/>
      </c>
      <c r="V1798" s="35">
        <f>INDEX(V$80:V$93,$D1798)/$E1798</f>
        <v/>
      </c>
      <c r="W1798" s="35">
        <f>INDEX(W$80:W$93,$D1798)/$E1798</f>
        <v/>
      </c>
      <c r="X1798" s="35">
        <f>INDEX(X$80:X$93,$D1798)/$E1798</f>
        <v/>
      </c>
      <c r="Y1798" s="35">
        <f>INDEX(Y$80:Y$93,$D1798)/$E1798</f>
        <v/>
      </c>
      <c r="Z1798" s="35">
        <f>INDEX(Z$80:Z$93,$D1798)/$E1798</f>
        <v/>
      </c>
      <c r="AA1798" s="35">
        <f>INDEX(AA$80:AA$93,$D1798)/$E1798</f>
        <v/>
      </c>
      <c r="AB1798" s="35">
        <f>INDEX(AB$80:AB$93,$D1798)/$E1798</f>
        <v/>
      </c>
      <c r="AC1798" s="35">
        <f>INDEX(AC$80:AC$93,$D1798)/$E1798</f>
        <v/>
      </c>
      <c r="AD1798" s="35">
        <f>INDEX(AD$80:AD$93,$D1798)/$E1798</f>
        <v/>
      </c>
      <c r="AE1798" s="42">
        <f>NEWEXCISE(INDEX(AE$80:AE$93,$D1798),$E1798)</f>
        <v/>
      </c>
      <c r="AG1798" s="11">
        <f>CodePrefix&amp;$A1798&amp;IF($C1798="","","."&amp;$C1798&amp;"."&amp;$B1798)&amp;INDEX(VarEnd,MATCH($A1798,VarKey,0))&amp;AG$5</f>
        <v/>
      </c>
      <c r="AH1798" s="40">
        <f>INDEX(AH$80:AH$93,$D1798)/$E1798</f>
        <v/>
      </c>
      <c r="AI1798" s="35">
        <f>INDEX(AI$80:AI$93,$D1798)/$E1798</f>
        <v/>
      </c>
      <c r="AJ1798" s="35">
        <f>INDEX(AJ$80:AJ$93,$D1798)/$E1798</f>
        <v/>
      </c>
      <c r="AK1798" s="35">
        <f>INDEX(AK$80:AK$93,$D1798)/$E1798</f>
        <v/>
      </c>
      <c r="AL1798" s="35">
        <f>INDEX(AL$80:AL$93,$D1798)/$E1798</f>
        <v/>
      </c>
      <c r="AM1798" s="35">
        <f>INDEX(AM$80:AM$93,$D1798)/$E1798</f>
        <v/>
      </c>
      <c r="AN1798" s="35">
        <f>INDEX(AN$80:AN$93,$D1798)/$E1798</f>
        <v/>
      </c>
      <c r="AO1798" s="35">
        <f>INDEX(AO$80:AO$93,$D1798)/$E1798</f>
        <v/>
      </c>
      <c r="AP1798" s="35">
        <f>INDEX(AP$80:AP$93,$D1798)/$E1798</f>
        <v/>
      </c>
      <c r="AQ1798" s="35">
        <f>INDEX(AQ$80:AQ$93,$D1798)/$E1798</f>
        <v/>
      </c>
      <c r="AR1798" s="35">
        <f>INDEX(AR$80:AR$93,$D1798)/$E1798</f>
        <v/>
      </c>
      <c r="AS1798" s="35">
        <f>INDEX(AS$80:AS$93,$D1798)/$E1798</f>
        <v/>
      </c>
      <c r="AT1798" s="35">
        <f>INDEX(AT$80:AT$93,$D1798)/$E1798</f>
        <v/>
      </c>
      <c r="AU1798" s="35">
        <f>INDEX(AU$80:AU$93,$D1798)/$E1798</f>
        <v/>
      </c>
      <c r="AV1798" s="35">
        <f>INDEX(AV$80:AV$93,$D1798)/$E1798</f>
        <v/>
      </c>
      <c r="AW1798" s="35">
        <f>INDEX(AW$80:AW$93,$D1798)/$E1798</f>
        <v/>
      </c>
      <c r="AX1798" s="35">
        <f>INDEX(AX$80:AX$93,$D1798)/$E1798</f>
        <v/>
      </c>
      <c r="AY1798" s="35">
        <f>INDEX(AY$80:AY$93,$D1798)/$E1798</f>
        <v/>
      </c>
      <c r="AZ1798" s="35">
        <f>INDEX(AZ$80:AZ$93,$D1798)/$E1798</f>
        <v/>
      </c>
      <c r="BA1798" s="42">
        <f>NEWEXCISE(INDEX(BA$80:BA$93,$D1798),$E1798)</f>
        <v/>
      </c>
    </row>
    <row r="1799" hidden="1" outlineLevel="2">
      <c r="A1799" s="14" t="inlineStr">
        <is>
          <t>ntx</t>
        </is>
      </c>
      <c r="B1799" s="14" t="inlineStr">
        <is>
          <t>die</t>
        </is>
      </c>
      <c r="C1799" s="14" t="inlineStr">
        <is>
          <t>srv</t>
        </is>
      </c>
      <c r="D1799" s="35">
        <f>INDEX(Inputs!$N$5:$N$132,MATCH($B1799&amp;"|"&amp;$C1799,Inputs!$A$5:$A$132,0))</f>
        <v/>
      </c>
      <c r="E1799" s="35">
        <f>INDEX(Inputs!$K$5:$K$132,MATCH($B1799&amp;"|"&amp;$C1799,Inputs!$A$5:$A$132,0))</f>
        <v/>
      </c>
      <c r="F1799" s="39" t="n"/>
      <c r="G1799" s="39" t="n"/>
      <c r="H1799" s="14">
        <f>INDEX(VarLab,MATCH($A1799,VarKey,0))&amp;INDEX(MemLab,MATCH($C1799&amp;"|"&amp;$B1799,MemKey,0))</f>
        <v/>
      </c>
      <c r="I1799" s="14">
        <f>INDEX(VarUnit,MATCH($A1799,VarKey,0))</f>
        <v/>
      </c>
      <c r="J1799" s="14">
        <f>INDEX(VarSrc,MATCH($A1799,VarKey,0))</f>
        <v/>
      </c>
      <c r="K1799" s="11">
        <f>CodePrefix&amp;$A1799&amp;IF($C1799="","","."&amp;$C1799&amp;"."&amp;$B1799)&amp;INDEX(VarEnd,MATCH($A1799,VarKey,0))&amp;K$5</f>
        <v/>
      </c>
      <c r="L1799" s="40">
        <f>INDEX(L$80:L$93,$D1799)/$E1799</f>
        <v/>
      </c>
      <c r="M1799" s="35">
        <f>INDEX(M$80:M$93,$D1799)/$E1799</f>
        <v/>
      </c>
      <c r="N1799" s="35">
        <f>INDEX(N$80:N$93,$D1799)/$E1799</f>
        <v/>
      </c>
      <c r="O1799" s="35">
        <f>INDEX(O$80:O$93,$D1799)/$E1799</f>
        <v/>
      </c>
      <c r="P1799" s="35">
        <f>INDEX(P$80:P$93,$D1799)/$E1799</f>
        <v/>
      </c>
      <c r="Q1799" s="35">
        <f>INDEX(Q$80:Q$93,$D1799)/$E1799</f>
        <v/>
      </c>
      <c r="R1799" s="35">
        <f>INDEX(R$80:R$93,$D1799)/$E1799</f>
        <v/>
      </c>
      <c r="S1799" s="35">
        <f>INDEX(S$80:S$93,$D1799)/$E1799</f>
        <v/>
      </c>
      <c r="T1799" s="35">
        <f>INDEX(T$80:T$93,$D1799)/$E1799</f>
        <v/>
      </c>
      <c r="U1799" s="35">
        <f>INDEX(U$80:U$93,$D1799)/$E1799</f>
        <v/>
      </c>
      <c r="V1799" s="35">
        <f>INDEX(V$80:V$93,$D1799)/$E1799</f>
        <v/>
      </c>
      <c r="W1799" s="35">
        <f>INDEX(W$80:W$93,$D1799)/$E1799</f>
        <v/>
      </c>
      <c r="X1799" s="35">
        <f>INDEX(X$80:X$93,$D1799)/$E1799</f>
        <v/>
      </c>
      <c r="Y1799" s="35">
        <f>INDEX(Y$80:Y$93,$D1799)/$E1799</f>
        <v/>
      </c>
      <c r="Z1799" s="35">
        <f>INDEX(Z$80:Z$93,$D1799)/$E1799</f>
        <v/>
      </c>
      <c r="AA1799" s="35">
        <f>INDEX(AA$80:AA$93,$D1799)/$E1799</f>
        <v/>
      </c>
      <c r="AB1799" s="35">
        <f>INDEX(AB$80:AB$93,$D1799)/$E1799</f>
        <v/>
      </c>
      <c r="AC1799" s="35">
        <f>INDEX(AC$80:AC$93,$D1799)/$E1799</f>
        <v/>
      </c>
      <c r="AD1799" s="35">
        <f>INDEX(AD$80:AD$93,$D1799)/$E1799</f>
        <v/>
      </c>
      <c r="AE1799" s="42">
        <f>NEWEXCISE(INDEX(AE$80:AE$93,$D1799),$E1799)</f>
        <v/>
      </c>
      <c r="AG1799" s="11">
        <f>CodePrefix&amp;$A1799&amp;IF($C1799="","","."&amp;$C1799&amp;"."&amp;$B1799)&amp;INDEX(VarEnd,MATCH($A1799,VarKey,0))&amp;AG$5</f>
        <v/>
      </c>
      <c r="AH1799" s="40">
        <f>INDEX(AH$80:AH$93,$D1799)/$E1799</f>
        <v/>
      </c>
      <c r="AI1799" s="35">
        <f>INDEX(AI$80:AI$93,$D1799)/$E1799</f>
        <v/>
      </c>
      <c r="AJ1799" s="35">
        <f>INDEX(AJ$80:AJ$93,$D1799)/$E1799</f>
        <v/>
      </c>
      <c r="AK1799" s="35">
        <f>INDEX(AK$80:AK$93,$D1799)/$E1799</f>
        <v/>
      </c>
      <c r="AL1799" s="35">
        <f>INDEX(AL$80:AL$93,$D1799)/$E1799</f>
        <v/>
      </c>
      <c r="AM1799" s="35">
        <f>INDEX(AM$80:AM$93,$D1799)/$E1799</f>
        <v/>
      </c>
      <c r="AN1799" s="35">
        <f>INDEX(AN$80:AN$93,$D1799)/$E1799</f>
        <v/>
      </c>
      <c r="AO1799" s="35">
        <f>INDEX(AO$80:AO$93,$D1799)/$E1799</f>
        <v/>
      </c>
      <c r="AP1799" s="35">
        <f>INDEX(AP$80:AP$93,$D1799)/$E1799</f>
        <v/>
      </c>
      <c r="AQ1799" s="35">
        <f>INDEX(AQ$80:AQ$93,$D1799)/$E1799</f>
        <v/>
      </c>
      <c r="AR1799" s="35">
        <f>INDEX(AR$80:AR$93,$D1799)/$E1799</f>
        <v/>
      </c>
      <c r="AS1799" s="35">
        <f>INDEX(AS$80:AS$93,$D1799)/$E1799</f>
        <v/>
      </c>
      <c r="AT1799" s="35">
        <f>INDEX(AT$80:AT$93,$D1799)/$E1799</f>
        <v/>
      </c>
      <c r="AU1799" s="35">
        <f>INDEX(AU$80:AU$93,$D1799)/$E1799</f>
        <v/>
      </c>
      <c r="AV1799" s="35">
        <f>INDEX(AV$80:AV$93,$D1799)/$E1799</f>
        <v/>
      </c>
      <c r="AW1799" s="35">
        <f>INDEX(AW$80:AW$93,$D1799)/$E1799</f>
        <v/>
      </c>
      <c r="AX1799" s="35">
        <f>INDEX(AX$80:AX$93,$D1799)/$E1799</f>
        <v/>
      </c>
      <c r="AY1799" s="35">
        <f>INDEX(AY$80:AY$93,$D1799)/$E1799</f>
        <v/>
      </c>
      <c r="AZ1799" s="35">
        <f>INDEX(AZ$80:AZ$93,$D1799)/$E1799</f>
        <v/>
      </c>
      <c r="BA1799" s="42">
        <f>NEWEXCISE(INDEX(BA$80:BA$93,$D1799),$E1799)</f>
        <v/>
      </c>
    </row>
    <row r="1800" hidden="1" outlineLevel="2">
      <c r="A1800" s="14" t="inlineStr">
        <is>
          <t>ntx</t>
        </is>
      </c>
      <c r="B1800" s="14" t="inlineStr">
        <is>
          <t>lpg</t>
        </is>
      </c>
      <c r="C1800" s="14" t="inlineStr">
        <is>
          <t>srv</t>
        </is>
      </c>
      <c r="D1800" s="35">
        <f>INDEX(Inputs!$N$5:$N$132,MATCH($B1800&amp;"|"&amp;$C1800,Inputs!$A$5:$A$132,0))</f>
        <v/>
      </c>
      <c r="E1800" s="35">
        <f>INDEX(Inputs!$K$5:$K$132,MATCH($B1800&amp;"|"&amp;$C1800,Inputs!$A$5:$A$132,0))</f>
        <v/>
      </c>
      <c r="F1800" s="39" t="n"/>
      <c r="G1800" s="39" t="n"/>
      <c r="H1800" s="14">
        <f>INDEX(VarLab,MATCH($A1800,VarKey,0))&amp;INDEX(MemLab,MATCH($C1800&amp;"|"&amp;$B1800,MemKey,0))</f>
        <v/>
      </c>
      <c r="I1800" s="14">
        <f>INDEX(VarUnit,MATCH($A1800,VarKey,0))</f>
        <v/>
      </c>
      <c r="J1800" s="14">
        <f>INDEX(VarSrc,MATCH($A1800,VarKey,0))</f>
        <v/>
      </c>
      <c r="K1800" s="11">
        <f>CodePrefix&amp;$A1800&amp;IF($C1800="","","."&amp;$C1800&amp;"."&amp;$B1800)&amp;INDEX(VarEnd,MATCH($A1800,VarKey,0))&amp;K$5</f>
        <v/>
      </c>
      <c r="L1800" s="40">
        <f>INDEX(L$80:L$93,$D1800)/$E1800</f>
        <v/>
      </c>
      <c r="M1800" s="35">
        <f>INDEX(M$80:M$93,$D1800)/$E1800</f>
        <v/>
      </c>
      <c r="N1800" s="35">
        <f>INDEX(N$80:N$93,$D1800)/$E1800</f>
        <v/>
      </c>
      <c r="O1800" s="35">
        <f>INDEX(O$80:O$93,$D1800)/$E1800</f>
        <v/>
      </c>
      <c r="P1800" s="35">
        <f>INDEX(P$80:P$93,$D1800)/$E1800</f>
        <v/>
      </c>
      <c r="Q1800" s="35">
        <f>INDEX(Q$80:Q$93,$D1800)/$E1800</f>
        <v/>
      </c>
      <c r="R1800" s="35">
        <f>INDEX(R$80:R$93,$D1800)/$E1800</f>
        <v/>
      </c>
      <c r="S1800" s="35">
        <f>INDEX(S$80:S$93,$D1800)/$E1800</f>
        <v/>
      </c>
      <c r="T1800" s="35">
        <f>INDEX(T$80:T$93,$D1800)/$E1800</f>
        <v/>
      </c>
      <c r="U1800" s="35">
        <f>INDEX(U$80:U$93,$D1800)/$E1800</f>
        <v/>
      </c>
      <c r="V1800" s="35">
        <f>INDEX(V$80:V$93,$D1800)/$E1800</f>
        <v/>
      </c>
      <c r="W1800" s="35">
        <f>INDEX(W$80:W$93,$D1800)/$E1800</f>
        <v/>
      </c>
      <c r="X1800" s="35">
        <f>INDEX(X$80:X$93,$D1800)/$E1800</f>
        <v/>
      </c>
      <c r="Y1800" s="35">
        <f>INDEX(Y$80:Y$93,$D1800)/$E1800</f>
        <v/>
      </c>
      <c r="Z1800" s="35">
        <f>INDEX(Z$80:Z$93,$D1800)/$E1800</f>
        <v/>
      </c>
      <c r="AA1800" s="35">
        <f>INDEX(AA$80:AA$93,$D1800)/$E1800</f>
        <v/>
      </c>
      <c r="AB1800" s="35">
        <f>INDEX(AB$80:AB$93,$D1800)/$E1800</f>
        <v/>
      </c>
      <c r="AC1800" s="35">
        <f>INDEX(AC$80:AC$93,$D1800)/$E1800</f>
        <v/>
      </c>
      <c r="AD1800" s="35">
        <f>INDEX(AD$80:AD$93,$D1800)/$E1800</f>
        <v/>
      </c>
      <c r="AE1800" s="42">
        <f>NEWEXCISE(INDEX(AE$80:AE$93,$D1800),$E1800)</f>
        <v/>
      </c>
      <c r="AG1800" s="11">
        <f>CodePrefix&amp;$A1800&amp;IF($C1800="","","."&amp;$C1800&amp;"."&amp;$B1800)&amp;INDEX(VarEnd,MATCH($A1800,VarKey,0))&amp;AG$5</f>
        <v/>
      </c>
      <c r="AH1800" s="40">
        <f>INDEX(AH$80:AH$93,$D1800)/$E1800</f>
        <v/>
      </c>
      <c r="AI1800" s="35">
        <f>INDEX(AI$80:AI$93,$D1800)/$E1800</f>
        <v/>
      </c>
      <c r="AJ1800" s="35">
        <f>INDEX(AJ$80:AJ$93,$D1800)/$E1800</f>
        <v/>
      </c>
      <c r="AK1800" s="35">
        <f>INDEX(AK$80:AK$93,$D1800)/$E1800</f>
        <v/>
      </c>
      <c r="AL1800" s="35">
        <f>INDEX(AL$80:AL$93,$D1800)/$E1800</f>
        <v/>
      </c>
      <c r="AM1800" s="35">
        <f>INDEX(AM$80:AM$93,$D1800)/$E1800</f>
        <v/>
      </c>
      <c r="AN1800" s="35">
        <f>INDEX(AN$80:AN$93,$D1800)/$E1800</f>
        <v/>
      </c>
      <c r="AO1800" s="35">
        <f>INDEX(AO$80:AO$93,$D1800)/$E1800</f>
        <v/>
      </c>
      <c r="AP1800" s="35">
        <f>INDEX(AP$80:AP$93,$D1800)/$E1800</f>
        <v/>
      </c>
      <c r="AQ1800" s="35">
        <f>INDEX(AQ$80:AQ$93,$D1800)/$E1800</f>
        <v/>
      </c>
      <c r="AR1800" s="35">
        <f>INDEX(AR$80:AR$93,$D1800)/$E1800</f>
        <v/>
      </c>
      <c r="AS1800" s="35">
        <f>INDEX(AS$80:AS$93,$D1800)/$E1800</f>
        <v/>
      </c>
      <c r="AT1800" s="35">
        <f>INDEX(AT$80:AT$93,$D1800)/$E1800</f>
        <v/>
      </c>
      <c r="AU1800" s="35">
        <f>INDEX(AU$80:AU$93,$D1800)/$E1800</f>
        <v/>
      </c>
      <c r="AV1800" s="35">
        <f>INDEX(AV$80:AV$93,$D1800)/$E1800</f>
        <v/>
      </c>
      <c r="AW1800" s="35">
        <f>INDEX(AW$80:AW$93,$D1800)/$E1800</f>
        <v/>
      </c>
      <c r="AX1800" s="35">
        <f>INDEX(AX$80:AX$93,$D1800)/$E1800</f>
        <v/>
      </c>
      <c r="AY1800" s="35">
        <f>INDEX(AY$80:AY$93,$D1800)/$E1800</f>
        <v/>
      </c>
      <c r="AZ1800" s="35">
        <f>INDEX(AZ$80:AZ$93,$D1800)/$E1800</f>
        <v/>
      </c>
      <c r="BA1800" s="42">
        <f>NEWEXCISE(INDEX(BA$80:BA$93,$D1800),$E1800)</f>
        <v/>
      </c>
    </row>
    <row r="1801" hidden="1" outlineLevel="2">
      <c r="A1801" s="14" t="inlineStr">
        <is>
          <t>ntx</t>
        </is>
      </c>
      <c r="B1801" s="14" t="inlineStr">
        <is>
          <t>ker</t>
        </is>
      </c>
      <c r="C1801" s="14" t="inlineStr">
        <is>
          <t>srv</t>
        </is>
      </c>
      <c r="D1801" s="35">
        <f>INDEX(Inputs!$N$5:$N$132,MATCH($B1801&amp;"|"&amp;$C1801,Inputs!$A$5:$A$132,0))</f>
        <v/>
      </c>
      <c r="E1801" s="35">
        <f>INDEX(Inputs!$K$5:$K$132,MATCH($B1801&amp;"|"&amp;$C1801,Inputs!$A$5:$A$132,0))</f>
        <v/>
      </c>
      <c r="F1801" s="39" t="n"/>
      <c r="G1801" s="39" t="n"/>
      <c r="H1801" s="14">
        <f>INDEX(VarLab,MATCH($A1801,VarKey,0))&amp;INDEX(MemLab,MATCH($C1801&amp;"|"&amp;$B1801,MemKey,0))</f>
        <v/>
      </c>
      <c r="I1801" s="14">
        <f>INDEX(VarUnit,MATCH($A1801,VarKey,0))</f>
        <v/>
      </c>
      <c r="J1801" s="14">
        <f>INDEX(VarSrc,MATCH($A1801,VarKey,0))</f>
        <v/>
      </c>
      <c r="K1801" s="11">
        <f>CodePrefix&amp;$A1801&amp;IF($C1801="","","."&amp;$C1801&amp;"."&amp;$B1801)&amp;INDEX(VarEnd,MATCH($A1801,VarKey,0))&amp;K$5</f>
        <v/>
      </c>
      <c r="L1801" s="40">
        <f>INDEX(L$80:L$93,$D1801)/$E1801</f>
        <v/>
      </c>
      <c r="M1801" s="35">
        <f>INDEX(M$80:M$93,$D1801)/$E1801</f>
        <v/>
      </c>
      <c r="N1801" s="35">
        <f>INDEX(N$80:N$93,$D1801)/$E1801</f>
        <v/>
      </c>
      <c r="O1801" s="35">
        <f>INDEX(O$80:O$93,$D1801)/$E1801</f>
        <v/>
      </c>
      <c r="P1801" s="35">
        <f>INDEX(P$80:P$93,$D1801)/$E1801</f>
        <v/>
      </c>
      <c r="Q1801" s="35">
        <f>INDEX(Q$80:Q$93,$D1801)/$E1801</f>
        <v/>
      </c>
      <c r="R1801" s="35">
        <f>INDEX(R$80:R$93,$D1801)/$E1801</f>
        <v/>
      </c>
      <c r="S1801" s="35">
        <f>INDEX(S$80:S$93,$D1801)/$E1801</f>
        <v/>
      </c>
      <c r="T1801" s="35">
        <f>INDEX(T$80:T$93,$D1801)/$E1801</f>
        <v/>
      </c>
      <c r="U1801" s="35">
        <f>INDEX(U$80:U$93,$D1801)/$E1801</f>
        <v/>
      </c>
      <c r="V1801" s="35">
        <f>INDEX(V$80:V$93,$D1801)/$E1801</f>
        <v/>
      </c>
      <c r="W1801" s="35">
        <f>INDEX(W$80:W$93,$D1801)/$E1801</f>
        <v/>
      </c>
      <c r="X1801" s="35">
        <f>INDEX(X$80:X$93,$D1801)/$E1801</f>
        <v/>
      </c>
      <c r="Y1801" s="35">
        <f>INDEX(Y$80:Y$93,$D1801)/$E1801</f>
        <v/>
      </c>
      <c r="Z1801" s="35">
        <f>INDEX(Z$80:Z$93,$D1801)/$E1801</f>
        <v/>
      </c>
      <c r="AA1801" s="35">
        <f>INDEX(AA$80:AA$93,$D1801)/$E1801</f>
        <v/>
      </c>
      <c r="AB1801" s="35">
        <f>INDEX(AB$80:AB$93,$D1801)/$E1801</f>
        <v/>
      </c>
      <c r="AC1801" s="35">
        <f>INDEX(AC$80:AC$93,$D1801)/$E1801</f>
        <v/>
      </c>
      <c r="AD1801" s="35">
        <f>INDEX(AD$80:AD$93,$D1801)/$E1801</f>
        <v/>
      </c>
      <c r="AE1801" s="42">
        <f>NEWEXCISE(INDEX(AE$80:AE$93,$D1801),$E1801)</f>
        <v/>
      </c>
      <c r="AG1801" s="11">
        <f>CodePrefix&amp;$A1801&amp;IF($C1801="","","."&amp;$C1801&amp;"."&amp;$B1801)&amp;INDEX(VarEnd,MATCH($A1801,VarKey,0))&amp;AG$5</f>
        <v/>
      </c>
      <c r="AH1801" s="40">
        <f>INDEX(AH$80:AH$93,$D1801)/$E1801</f>
        <v/>
      </c>
      <c r="AI1801" s="35">
        <f>INDEX(AI$80:AI$93,$D1801)/$E1801</f>
        <v/>
      </c>
      <c r="AJ1801" s="35">
        <f>INDEX(AJ$80:AJ$93,$D1801)/$E1801</f>
        <v/>
      </c>
      <c r="AK1801" s="35">
        <f>INDEX(AK$80:AK$93,$D1801)/$E1801</f>
        <v/>
      </c>
      <c r="AL1801" s="35">
        <f>INDEX(AL$80:AL$93,$D1801)/$E1801</f>
        <v/>
      </c>
      <c r="AM1801" s="35">
        <f>INDEX(AM$80:AM$93,$D1801)/$E1801</f>
        <v/>
      </c>
      <c r="AN1801" s="35">
        <f>INDEX(AN$80:AN$93,$D1801)/$E1801</f>
        <v/>
      </c>
      <c r="AO1801" s="35">
        <f>INDEX(AO$80:AO$93,$D1801)/$E1801</f>
        <v/>
      </c>
      <c r="AP1801" s="35">
        <f>INDEX(AP$80:AP$93,$D1801)/$E1801</f>
        <v/>
      </c>
      <c r="AQ1801" s="35">
        <f>INDEX(AQ$80:AQ$93,$D1801)/$E1801</f>
        <v/>
      </c>
      <c r="AR1801" s="35">
        <f>INDEX(AR$80:AR$93,$D1801)/$E1801</f>
        <v/>
      </c>
      <c r="AS1801" s="35">
        <f>INDEX(AS$80:AS$93,$D1801)/$E1801</f>
        <v/>
      </c>
      <c r="AT1801" s="35">
        <f>INDEX(AT$80:AT$93,$D1801)/$E1801</f>
        <v/>
      </c>
      <c r="AU1801" s="35">
        <f>INDEX(AU$80:AU$93,$D1801)/$E1801</f>
        <v/>
      </c>
      <c r="AV1801" s="35">
        <f>INDEX(AV$80:AV$93,$D1801)/$E1801</f>
        <v/>
      </c>
      <c r="AW1801" s="35">
        <f>INDEX(AW$80:AW$93,$D1801)/$E1801</f>
        <v/>
      </c>
      <c r="AX1801" s="35">
        <f>INDEX(AX$80:AX$93,$D1801)/$E1801</f>
        <v/>
      </c>
      <c r="AY1801" s="35">
        <f>INDEX(AY$80:AY$93,$D1801)/$E1801</f>
        <v/>
      </c>
      <c r="AZ1801" s="35">
        <f>INDEX(AZ$80:AZ$93,$D1801)/$E1801</f>
        <v/>
      </c>
      <c r="BA1801" s="42">
        <f>NEWEXCISE(INDEX(BA$80:BA$93,$D1801),$E1801)</f>
        <v/>
      </c>
    </row>
    <row r="1802" hidden="1" outlineLevel="2">
      <c r="A1802" s="14" t="inlineStr">
        <is>
          <t>ntx</t>
        </is>
      </c>
      <c r="B1802" s="14" t="inlineStr">
        <is>
          <t>oop</t>
        </is>
      </c>
      <c r="C1802" s="14" t="inlineStr">
        <is>
          <t>srv</t>
        </is>
      </c>
      <c r="D1802" s="35">
        <f>INDEX(Inputs!$N$5:$N$132,MATCH($B1802&amp;"|"&amp;$C1802,Inputs!$A$5:$A$132,0))</f>
        <v/>
      </c>
      <c r="E1802" s="35">
        <f>INDEX(Inputs!$K$5:$K$132,MATCH($B1802&amp;"|"&amp;$C1802,Inputs!$A$5:$A$132,0))</f>
        <v/>
      </c>
      <c r="F1802" s="39" t="n"/>
      <c r="G1802" s="39" t="n"/>
      <c r="H1802" s="14">
        <f>INDEX(VarLab,MATCH($A1802,VarKey,0))&amp;INDEX(MemLab,MATCH($C1802&amp;"|"&amp;$B1802,MemKey,0))</f>
        <v/>
      </c>
      <c r="I1802" s="14">
        <f>INDEX(VarUnit,MATCH($A1802,VarKey,0))</f>
        <v/>
      </c>
      <c r="J1802" s="14">
        <f>INDEX(VarSrc,MATCH($A1802,VarKey,0))</f>
        <v/>
      </c>
      <c r="K1802" s="11">
        <f>CodePrefix&amp;$A1802&amp;IF($C1802="","","."&amp;$C1802&amp;"."&amp;$B1802)&amp;INDEX(VarEnd,MATCH($A1802,VarKey,0))&amp;K$5</f>
        <v/>
      </c>
      <c r="L1802" s="40">
        <f>INDEX(L$80:L$93,$D1802)/$E1802</f>
        <v/>
      </c>
      <c r="M1802" s="35">
        <f>INDEX(M$80:M$93,$D1802)/$E1802</f>
        <v/>
      </c>
      <c r="N1802" s="35">
        <f>INDEX(N$80:N$93,$D1802)/$E1802</f>
        <v/>
      </c>
      <c r="O1802" s="35">
        <f>INDEX(O$80:O$93,$D1802)/$E1802</f>
        <v/>
      </c>
      <c r="P1802" s="35">
        <f>INDEX(P$80:P$93,$D1802)/$E1802</f>
        <v/>
      </c>
      <c r="Q1802" s="35">
        <f>INDEX(Q$80:Q$93,$D1802)/$E1802</f>
        <v/>
      </c>
      <c r="R1802" s="35">
        <f>INDEX(R$80:R$93,$D1802)/$E1802</f>
        <v/>
      </c>
      <c r="S1802" s="35">
        <f>INDEX(S$80:S$93,$D1802)/$E1802</f>
        <v/>
      </c>
      <c r="T1802" s="35">
        <f>INDEX(T$80:T$93,$D1802)/$E1802</f>
        <v/>
      </c>
      <c r="U1802" s="35">
        <f>INDEX(U$80:U$93,$D1802)/$E1802</f>
        <v/>
      </c>
      <c r="V1802" s="35">
        <f>INDEX(V$80:V$93,$D1802)/$E1802</f>
        <v/>
      </c>
      <c r="W1802" s="35">
        <f>INDEX(W$80:W$93,$D1802)/$E1802</f>
        <v/>
      </c>
      <c r="X1802" s="35">
        <f>INDEX(X$80:X$93,$D1802)/$E1802</f>
        <v/>
      </c>
      <c r="Y1802" s="35">
        <f>INDEX(Y$80:Y$93,$D1802)/$E1802</f>
        <v/>
      </c>
      <c r="Z1802" s="35">
        <f>INDEX(Z$80:Z$93,$D1802)/$E1802</f>
        <v/>
      </c>
      <c r="AA1802" s="35">
        <f>INDEX(AA$80:AA$93,$D1802)/$E1802</f>
        <v/>
      </c>
      <c r="AB1802" s="35">
        <f>INDEX(AB$80:AB$93,$D1802)/$E1802</f>
        <v/>
      </c>
      <c r="AC1802" s="35">
        <f>INDEX(AC$80:AC$93,$D1802)/$E1802</f>
        <v/>
      </c>
      <c r="AD1802" s="35">
        <f>INDEX(AD$80:AD$93,$D1802)/$E1802</f>
        <v/>
      </c>
      <c r="AE1802" s="42">
        <f>NEWEXCISE(INDEX(AE$80:AE$93,$D1802),$E1802)</f>
        <v/>
      </c>
      <c r="AG1802" s="11">
        <f>CodePrefix&amp;$A1802&amp;IF($C1802="","","."&amp;$C1802&amp;"."&amp;$B1802)&amp;INDEX(VarEnd,MATCH($A1802,VarKey,0))&amp;AG$5</f>
        <v/>
      </c>
      <c r="AH1802" s="40">
        <f>INDEX(AH$80:AH$93,$D1802)/$E1802</f>
        <v/>
      </c>
      <c r="AI1802" s="35">
        <f>INDEX(AI$80:AI$93,$D1802)/$E1802</f>
        <v/>
      </c>
      <c r="AJ1802" s="35">
        <f>INDEX(AJ$80:AJ$93,$D1802)/$E1802</f>
        <v/>
      </c>
      <c r="AK1802" s="35">
        <f>INDEX(AK$80:AK$93,$D1802)/$E1802</f>
        <v/>
      </c>
      <c r="AL1802" s="35">
        <f>INDEX(AL$80:AL$93,$D1802)/$E1802</f>
        <v/>
      </c>
      <c r="AM1802" s="35">
        <f>INDEX(AM$80:AM$93,$D1802)/$E1802</f>
        <v/>
      </c>
      <c r="AN1802" s="35">
        <f>INDEX(AN$80:AN$93,$D1802)/$E1802</f>
        <v/>
      </c>
      <c r="AO1802" s="35">
        <f>INDEX(AO$80:AO$93,$D1802)/$E1802</f>
        <v/>
      </c>
      <c r="AP1802" s="35">
        <f>INDEX(AP$80:AP$93,$D1802)/$E1802</f>
        <v/>
      </c>
      <c r="AQ1802" s="35">
        <f>INDEX(AQ$80:AQ$93,$D1802)/$E1802</f>
        <v/>
      </c>
      <c r="AR1802" s="35">
        <f>INDEX(AR$80:AR$93,$D1802)/$E1802</f>
        <v/>
      </c>
      <c r="AS1802" s="35">
        <f>INDEX(AS$80:AS$93,$D1802)/$E1802</f>
        <v/>
      </c>
      <c r="AT1802" s="35">
        <f>INDEX(AT$80:AT$93,$D1802)/$E1802</f>
        <v/>
      </c>
      <c r="AU1802" s="35">
        <f>INDEX(AU$80:AU$93,$D1802)/$E1802</f>
        <v/>
      </c>
      <c r="AV1802" s="35">
        <f>INDEX(AV$80:AV$93,$D1802)/$E1802</f>
        <v/>
      </c>
      <c r="AW1802" s="35">
        <f>INDEX(AW$80:AW$93,$D1802)/$E1802</f>
        <v/>
      </c>
      <c r="AX1802" s="35">
        <f>INDEX(AX$80:AX$93,$D1802)/$E1802</f>
        <v/>
      </c>
      <c r="AY1802" s="35">
        <f>INDEX(AY$80:AY$93,$D1802)/$E1802</f>
        <v/>
      </c>
      <c r="AZ1802" s="35">
        <f>INDEX(AZ$80:AZ$93,$D1802)/$E1802</f>
        <v/>
      </c>
      <c r="BA1802" s="42">
        <f>NEWEXCISE(INDEX(BA$80:BA$93,$D1802),$E1802)</f>
        <v/>
      </c>
    </row>
    <row r="1803" hidden="1" outlineLevel="2">
      <c r="A1803" s="14" t="inlineStr">
        <is>
          <t>ntx</t>
        </is>
      </c>
      <c r="B1803" s="14" t="inlineStr">
        <is>
          <t>bio</t>
        </is>
      </c>
      <c r="C1803" s="14" t="inlineStr">
        <is>
          <t>srv</t>
        </is>
      </c>
      <c r="D1803" s="35">
        <f>INDEX(Inputs!$N$5:$N$132,MATCH($B1803&amp;"|"&amp;$C1803,Inputs!$A$5:$A$132,0))</f>
        <v/>
      </c>
      <c r="E1803" s="35">
        <f>INDEX(Inputs!$K$5:$K$132,MATCH($B1803&amp;"|"&amp;$C1803,Inputs!$A$5:$A$132,0))</f>
        <v/>
      </c>
      <c r="F1803" s="39" t="n"/>
      <c r="G1803" s="39" t="n"/>
      <c r="H1803" s="14">
        <f>INDEX(VarLab,MATCH($A1803,VarKey,0))&amp;INDEX(MemLab,MATCH($C1803&amp;"|"&amp;$B1803,MemKey,0))</f>
        <v/>
      </c>
      <c r="I1803" s="14">
        <f>INDEX(VarUnit,MATCH($A1803,VarKey,0))</f>
        <v/>
      </c>
      <c r="J1803" s="14">
        <f>INDEX(VarSrc,MATCH($A1803,VarKey,0))</f>
        <v/>
      </c>
      <c r="K1803" s="11">
        <f>CodePrefix&amp;$A1803&amp;IF($C1803="","","."&amp;$C1803&amp;"."&amp;$B1803)&amp;INDEX(VarEnd,MATCH($A1803,VarKey,0))&amp;K$5</f>
        <v/>
      </c>
      <c r="L1803" s="40">
        <f>INDEX(L$80:L$93,$D1803)/$E1803</f>
        <v/>
      </c>
      <c r="M1803" s="35">
        <f>INDEX(M$80:M$93,$D1803)/$E1803</f>
        <v/>
      </c>
      <c r="N1803" s="35">
        <f>INDEX(N$80:N$93,$D1803)/$E1803</f>
        <v/>
      </c>
      <c r="O1803" s="35">
        <f>INDEX(O$80:O$93,$D1803)/$E1803</f>
        <v/>
      </c>
      <c r="P1803" s="35">
        <f>INDEX(P$80:P$93,$D1803)/$E1803</f>
        <v/>
      </c>
      <c r="Q1803" s="35">
        <f>INDEX(Q$80:Q$93,$D1803)/$E1803</f>
        <v/>
      </c>
      <c r="R1803" s="35">
        <f>INDEX(R$80:R$93,$D1803)/$E1803</f>
        <v/>
      </c>
      <c r="S1803" s="35">
        <f>INDEX(S$80:S$93,$D1803)/$E1803</f>
        <v/>
      </c>
      <c r="T1803" s="35">
        <f>INDEX(T$80:T$93,$D1803)/$E1803</f>
        <v/>
      </c>
      <c r="U1803" s="35">
        <f>INDEX(U$80:U$93,$D1803)/$E1803</f>
        <v/>
      </c>
      <c r="V1803" s="35">
        <f>INDEX(V$80:V$93,$D1803)/$E1803</f>
        <v/>
      </c>
      <c r="W1803" s="35">
        <f>INDEX(W$80:W$93,$D1803)/$E1803</f>
        <v/>
      </c>
      <c r="X1803" s="35">
        <f>INDEX(X$80:X$93,$D1803)/$E1803</f>
        <v/>
      </c>
      <c r="Y1803" s="35">
        <f>INDEX(Y$80:Y$93,$D1803)/$E1803</f>
        <v/>
      </c>
      <c r="Z1803" s="35">
        <f>INDEX(Z$80:Z$93,$D1803)/$E1803</f>
        <v/>
      </c>
      <c r="AA1803" s="35">
        <f>INDEX(AA$80:AA$93,$D1803)/$E1803</f>
        <v/>
      </c>
      <c r="AB1803" s="35">
        <f>INDEX(AB$80:AB$93,$D1803)/$E1803</f>
        <v/>
      </c>
      <c r="AC1803" s="35">
        <f>INDEX(AC$80:AC$93,$D1803)/$E1803</f>
        <v/>
      </c>
      <c r="AD1803" s="35">
        <f>INDEX(AD$80:AD$93,$D1803)/$E1803</f>
        <v/>
      </c>
      <c r="AE1803" s="42">
        <f>NEWEXCISE(INDEX(AE$80:AE$93,$D1803),$E1803)</f>
        <v/>
      </c>
      <c r="AG1803" s="11">
        <f>CodePrefix&amp;$A1803&amp;IF($C1803="","","."&amp;$C1803&amp;"."&amp;$B1803)&amp;INDEX(VarEnd,MATCH($A1803,VarKey,0))&amp;AG$5</f>
        <v/>
      </c>
      <c r="AH1803" s="40">
        <f>INDEX(AH$80:AH$93,$D1803)/$E1803</f>
        <v/>
      </c>
      <c r="AI1803" s="35">
        <f>INDEX(AI$80:AI$93,$D1803)/$E1803</f>
        <v/>
      </c>
      <c r="AJ1803" s="35">
        <f>INDEX(AJ$80:AJ$93,$D1803)/$E1803</f>
        <v/>
      </c>
      <c r="AK1803" s="35">
        <f>INDEX(AK$80:AK$93,$D1803)/$E1803</f>
        <v/>
      </c>
      <c r="AL1803" s="35">
        <f>INDEX(AL$80:AL$93,$D1803)/$E1803</f>
        <v/>
      </c>
      <c r="AM1803" s="35">
        <f>INDEX(AM$80:AM$93,$D1803)/$E1803</f>
        <v/>
      </c>
      <c r="AN1803" s="35">
        <f>INDEX(AN$80:AN$93,$D1803)/$E1803</f>
        <v/>
      </c>
      <c r="AO1803" s="35">
        <f>INDEX(AO$80:AO$93,$D1803)/$E1803</f>
        <v/>
      </c>
      <c r="AP1803" s="35">
        <f>INDEX(AP$80:AP$93,$D1803)/$E1803</f>
        <v/>
      </c>
      <c r="AQ1803" s="35">
        <f>INDEX(AQ$80:AQ$93,$D1803)/$E1803</f>
        <v/>
      </c>
      <c r="AR1803" s="35">
        <f>INDEX(AR$80:AR$93,$D1803)/$E1803</f>
        <v/>
      </c>
      <c r="AS1803" s="35">
        <f>INDEX(AS$80:AS$93,$D1803)/$E1803</f>
        <v/>
      </c>
      <c r="AT1803" s="35">
        <f>INDEX(AT$80:AT$93,$D1803)/$E1803</f>
        <v/>
      </c>
      <c r="AU1803" s="35">
        <f>INDEX(AU$80:AU$93,$D1803)/$E1803</f>
        <v/>
      </c>
      <c r="AV1803" s="35">
        <f>INDEX(AV$80:AV$93,$D1803)/$E1803</f>
        <v/>
      </c>
      <c r="AW1803" s="35">
        <f>INDEX(AW$80:AW$93,$D1803)/$E1803</f>
        <v/>
      </c>
      <c r="AX1803" s="35">
        <f>INDEX(AX$80:AX$93,$D1803)/$E1803</f>
        <v/>
      </c>
      <c r="AY1803" s="35">
        <f>INDEX(AY$80:AY$93,$D1803)/$E1803</f>
        <v/>
      </c>
      <c r="AZ1803" s="35">
        <f>INDEX(AZ$80:AZ$93,$D1803)/$E1803</f>
        <v/>
      </c>
      <c r="BA1803" s="42">
        <f>NEWEXCISE(INDEX(BA$80:BA$93,$D1803),$E1803)</f>
        <v/>
      </c>
    </row>
    <row r="1804" hidden="1" outlineLevel="2"/>
    <row r="1805" hidden="1" outlineLevel="2">
      <c r="A1805" s="14" t="inlineStr">
        <is>
          <t>nce</t>
        </is>
      </c>
      <c r="B1805" s="14" t="inlineStr">
        <is>
          <t>coa</t>
        </is>
      </c>
      <c r="C1805" s="14" t="inlineStr">
        <is>
          <t>srv</t>
        </is>
      </c>
      <c r="D1805" s="39" t="n"/>
      <c r="E1805" s="39" t="n"/>
      <c r="F1805" s="39" t="n"/>
      <c r="G1805" s="39" t="n"/>
      <c r="H1805" s="14">
        <f>INDEX(VarLab,MATCH($A1805,VarKey,0))&amp;INDEX(MemLab,MATCH($C1805&amp;"|"&amp;$B1805,MemKey,0))</f>
        <v/>
      </c>
      <c r="I1805" s="14">
        <f>INDEX(VarUnit,MATCH($A1805,VarKey,0))</f>
        <v/>
      </c>
      <c r="J1805" s="14">
        <f>INDEX(VarSrc,MATCH($A1805,VarKey,0))</f>
        <v/>
      </c>
      <c r="K1805" s="11">
        <f>CodePrefix&amp;$A1805&amp;IF($C1805="","","."&amp;$C1805&amp;"."&amp;$B1805)&amp;INDEX(VarEnd,MATCH($A1805,VarKey,0))&amp;K$5</f>
        <v/>
      </c>
      <c r="L1805" s="40">
        <f>L1778+L1787+L1796</f>
        <v/>
      </c>
      <c r="M1805" s="35">
        <f>M1778+M1787+M1796</f>
        <v/>
      </c>
      <c r="N1805" s="35">
        <f>N1778+N1787+N1796</f>
        <v/>
      </c>
      <c r="O1805" s="35">
        <f>O1778+O1787+O1796</f>
        <v/>
      </c>
      <c r="P1805" s="35">
        <f>P1778+P1787+P1796</f>
        <v/>
      </c>
      <c r="Q1805" s="35">
        <f>Q1778+Q1787+Q1796</f>
        <v/>
      </c>
      <c r="R1805" s="35">
        <f>R1778+R1787+R1796</f>
        <v/>
      </c>
      <c r="S1805" s="35">
        <f>S1778+S1787+S1796</f>
        <v/>
      </c>
      <c r="T1805" s="35">
        <f>T1778+T1787+T1796</f>
        <v/>
      </c>
      <c r="U1805" s="35">
        <f>U1778+U1787+U1796</f>
        <v/>
      </c>
      <c r="V1805" s="35">
        <f>V1778+V1787+V1796</f>
        <v/>
      </c>
      <c r="W1805" s="35">
        <f>W1778+W1787+W1796</f>
        <v/>
      </c>
      <c r="X1805" s="35">
        <f>X1778+X1787+X1796</f>
        <v/>
      </c>
      <c r="Y1805" s="35">
        <f>Y1778+Y1787+Y1796</f>
        <v/>
      </c>
      <c r="Z1805" s="35">
        <f>Z1778+Z1787+Z1796</f>
        <v/>
      </c>
      <c r="AA1805" s="35">
        <f>AA1778+AA1787+AA1796</f>
        <v/>
      </c>
      <c r="AB1805" s="35">
        <f>AB1778+AB1787+AB1796</f>
        <v/>
      </c>
      <c r="AC1805" s="35">
        <f>AC1778+AC1787+AC1796</f>
        <v/>
      </c>
      <c r="AD1805" s="35">
        <f>AD1778+AD1787+AD1796</f>
        <v/>
      </c>
      <c r="AE1805" s="42">
        <f>NEWPOLICY(AE1778,AE1787,AE1796)</f>
        <v/>
      </c>
      <c r="AG1805" s="11">
        <f>CodePrefix&amp;$A1805&amp;IF($C1805="","","."&amp;$C1805&amp;"."&amp;$B1805)&amp;INDEX(VarEnd,MATCH($A1805,VarKey,0))&amp;AG$5</f>
        <v/>
      </c>
      <c r="AH1805" s="40">
        <f>AH1778+AH1787+AH1796</f>
        <v/>
      </c>
      <c r="AI1805" s="35">
        <f>AI1778+AI1787+AI1796</f>
        <v/>
      </c>
      <c r="AJ1805" s="35">
        <f>AJ1778+AJ1787+AJ1796</f>
        <v/>
      </c>
      <c r="AK1805" s="35">
        <f>AK1778+AK1787+AK1796</f>
        <v/>
      </c>
      <c r="AL1805" s="35">
        <f>AL1778+AL1787+AL1796</f>
        <v/>
      </c>
      <c r="AM1805" s="35">
        <f>AM1778+AM1787+AM1796</f>
        <v/>
      </c>
      <c r="AN1805" s="35">
        <f>AN1778+AN1787+AN1796</f>
        <v/>
      </c>
      <c r="AO1805" s="35">
        <f>AO1778+AO1787+AO1796</f>
        <v/>
      </c>
      <c r="AP1805" s="35">
        <f>AP1778+AP1787+AP1796</f>
        <v/>
      </c>
      <c r="AQ1805" s="35">
        <f>AQ1778+AQ1787+AQ1796</f>
        <v/>
      </c>
      <c r="AR1805" s="35">
        <f>AR1778+AR1787+AR1796</f>
        <v/>
      </c>
      <c r="AS1805" s="35">
        <f>AS1778+AS1787+AS1796</f>
        <v/>
      </c>
      <c r="AT1805" s="35">
        <f>AT1778+AT1787+AT1796</f>
        <v/>
      </c>
      <c r="AU1805" s="35">
        <f>AU1778+AU1787+AU1796</f>
        <v/>
      </c>
      <c r="AV1805" s="35">
        <f>AV1778+AV1787+AV1796</f>
        <v/>
      </c>
      <c r="AW1805" s="35">
        <f>AW1778+AW1787+AW1796</f>
        <v/>
      </c>
      <c r="AX1805" s="35">
        <f>AX1778+AX1787+AX1796</f>
        <v/>
      </c>
      <c r="AY1805" s="35">
        <f>AY1778+AY1787+AY1796</f>
        <v/>
      </c>
      <c r="AZ1805" s="35">
        <f>AZ1778+AZ1787+AZ1796</f>
        <v/>
      </c>
      <c r="BA1805" s="42">
        <f>NEWPOLICY(BA1778,BA1787,BA1796)</f>
        <v/>
      </c>
    </row>
    <row r="1806" hidden="1" outlineLevel="2">
      <c r="A1806" s="14" t="inlineStr">
        <is>
          <t>nce</t>
        </is>
      </c>
      <c r="B1806" s="14" t="inlineStr">
        <is>
          <t>nga</t>
        </is>
      </c>
      <c r="C1806" s="14" t="inlineStr">
        <is>
          <t>srv</t>
        </is>
      </c>
      <c r="D1806" s="39" t="n"/>
      <c r="E1806" s="39" t="n"/>
      <c r="F1806" s="39" t="n"/>
      <c r="G1806" s="39" t="n"/>
      <c r="H1806" s="14">
        <f>INDEX(VarLab,MATCH($A1806,VarKey,0))&amp;INDEX(MemLab,MATCH($C1806&amp;"|"&amp;$B1806,MemKey,0))</f>
        <v/>
      </c>
      <c r="I1806" s="14">
        <f>INDEX(VarUnit,MATCH($A1806,VarKey,0))</f>
        <v/>
      </c>
      <c r="J1806" s="14">
        <f>INDEX(VarSrc,MATCH($A1806,VarKey,0))</f>
        <v/>
      </c>
      <c r="K1806" s="11">
        <f>CodePrefix&amp;$A1806&amp;IF($C1806="","","."&amp;$C1806&amp;"."&amp;$B1806)&amp;INDEX(VarEnd,MATCH($A1806,VarKey,0))&amp;K$5</f>
        <v/>
      </c>
      <c r="L1806" s="40">
        <f>L1779+L1788+L1797</f>
        <v/>
      </c>
      <c r="M1806" s="35">
        <f>M1779+M1788+M1797</f>
        <v/>
      </c>
      <c r="N1806" s="35">
        <f>N1779+N1788+N1797</f>
        <v/>
      </c>
      <c r="O1806" s="35">
        <f>O1779+O1788+O1797</f>
        <v/>
      </c>
      <c r="P1806" s="35">
        <f>P1779+P1788+P1797</f>
        <v/>
      </c>
      <c r="Q1806" s="35">
        <f>Q1779+Q1788+Q1797</f>
        <v/>
      </c>
      <c r="R1806" s="35">
        <f>R1779+R1788+R1797</f>
        <v/>
      </c>
      <c r="S1806" s="35">
        <f>S1779+S1788+S1797</f>
        <v/>
      </c>
      <c r="T1806" s="35">
        <f>T1779+T1788+T1797</f>
        <v/>
      </c>
      <c r="U1806" s="35">
        <f>U1779+U1788+U1797</f>
        <v/>
      </c>
      <c r="V1806" s="35">
        <f>V1779+V1788+V1797</f>
        <v/>
      </c>
      <c r="W1806" s="35">
        <f>W1779+W1788+W1797</f>
        <v/>
      </c>
      <c r="X1806" s="35">
        <f>X1779+X1788+X1797</f>
        <v/>
      </c>
      <c r="Y1806" s="35">
        <f>Y1779+Y1788+Y1797</f>
        <v/>
      </c>
      <c r="Z1806" s="35">
        <f>Z1779+Z1788+Z1797</f>
        <v/>
      </c>
      <c r="AA1806" s="35">
        <f>AA1779+AA1788+AA1797</f>
        <v/>
      </c>
      <c r="AB1806" s="35">
        <f>AB1779+AB1788+AB1797</f>
        <v/>
      </c>
      <c r="AC1806" s="35">
        <f>AC1779+AC1788+AC1797</f>
        <v/>
      </c>
      <c r="AD1806" s="35">
        <f>AD1779+AD1788+AD1797</f>
        <v/>
      </c>
      <c r="AE1806" s="42">
        <f>NEWPOLICY(AE1779,AE1788,AE1797)</f>
        <v/>
      </c>
      <c r="AG1806" s="11">
        <f>CodePrefix&amp;$A1806&amp;IF($C1806="","","."&amp;$C1806&amp;"."&amp;$B1806)&amp;INDEX(VarEnd,MATCH($A1806,VarKey,0))&amp;AG$5</f>
        <v/>
      </c>
      <c r="AH1806" s="40">
        <f>AH1779+AH1788+AH1797</f>
        <v/>
      </c>
      <c r="AI1806" s="35">
        <f>AI1779+AI1788+AI1797</f>
        <v/>
      </c>
      <c r="AJ1806" s="35">
        <f>AJ1779+AJ1788+AJ1797</f>
        <v/>
      </c>
      <c r="AK1806" s="35">
        <f>AK1779+AK1788+AK1797</f>
        <v/>
      </c>
      <c r="AL1806" s="35">
        <f>AL1779+AL1788+AL1797</f>
        <v/>
      </c>
      <c r="AM1806" s="35">
        <f>AM1779+AM1788+AM1797</f>
        <v/>
      </c>
      <c r="AN1806" s="35">
        <f>AN1779+AN1788+AN1797</f>
        <v/>
      </c>
      <c r="AO1806" s="35">
        <f>AO1779+AO1788+AO1797</f>
        <v/>
      </c>
      <c r="AP1806" s="35">
        <f>AP1779+AP1788+AP1797</f>
        <v/>
      </c>
      <c r="AQ1806" s="35">
        <f>AQ1779+AQ1788+AQ1797</f>
        <v/>
      </c>
      <c r="AR1806" s="35">
        <f>AR1779+AR1788+AR1797</f>
        <v/>
      </c>
      <c r="AS1806" s="35">
        <f>AS1779+AS1788+AS1797</f>
        <v/>
      </c>
      <c r="AT1806" s="35">
        <f>AT1779+AT1788+AT1797</f>
        <v/>
      </c>
      <c r="AU1806" s="35">
        <f>AU1779+AU1788+AU1797</f>
        <v/>
      </c>
      <c r="AV1806" s="35">
        <f>AV1779+AV1788+AV1797</f>
        <v/>
      </c>
      <c r="AW1806" s="35">
        <f>AW1779+AW1788+AW1797</f>
        <v/>
      </c>
      <c r="AX1806" s="35">
        <f>AX1779+AX1788+AX1797</f>
        <v/>
      </c>
      <c r="AY1806" s="35">
        <f>AY1779+AY1788+AY1797</f>
        <v/>
      </c>
      <c r="AZ1806" s="35">
        <f>AZ1779+AZ1788+AZ1797</f>
        <v/>
      </c>
      <c r="BA1806" s="42">
        <f>NEWPOLICY(BA1779,BA1788,BA1797)</f>
        <v/>
      </c>
    </row>
    <row r="1807" hidden="1" outlineLevel="2">
      <c r="A1807" s="14" t="inlineStr">
        <is>
          <t>nce</t>
        </is>
      </c>
      <c r="B1807" s="14" t="inlineStr">
        <is>
          <t>gso</t>
        </is>
      </c>
      <c r="C1807" s="14" t="inlineStr">
        <is>
          <t>srv</t>
        </is>
      </c>
      <c r="D1807" s="39" t="n"/>
      <c r="E1807" s="39" t="n"/>
      <c r="F1807" s="39" t="n"/>
      <c r="G1807" s="39" t="n"/>
      <c r="H1807" s="14">
        <f>INDEX(VarLab,MATCH($A1807,VarKey,0))&amp;INDEX(MemLab,MATCH($C1807&amp;"|"&amp;$B1807,MemKey,0))</f>
        <v/>
      </c>
      <c r="I1807" s="14">
        <f>INDEX(VarUnit,MATCH($A1807,VarKey,0))</f>
        <v/>
      </c>
      <c r="J1807" s="14">
        <f>INDEX(VarSrc,MATCH($A1807,VarKey,0))</f>
        <v/>
      </c>
      <c r="K1807" s="11">
        <f>CodePrefix&amp;$A1807&amp;IF($C1807="","","."&amp;$C1807&amp;"."&amp;$B1807)&amp;INDEX(VarEnd,MATCH($A1807,VarKey,0))&amp;K$5</f>
        <v/>
      </c>
      <c r="L1807" s="40">
        <f>L1780+L1789+L1798</f>
        <v/>
      </c>
      <c r="M1807" s="35">
        <f>M1780+M1789+M1798</f>
        <v/>
      </c>
      <c r="N1807" s="35">
        <f>N1780+N1789+N1798</f>
        <v/>
      </c>
      <c r="O1807" s="35">
        <f>O1780+O1789+O1798</f>
        <v/>
      </c>
      <c r="P1807" s="35">
        <f>P1780+P1789+P1798</f>
        <v/>
      </c>
      <c r="Q1807" s="35">
        <f>Q1780+Q1789+Q1798</f>
        <v/>
      </c>
      <c r="R1807" s="35">
        <f>R1780+R1789+R1798</f>
        <v/>
      </c>
      <c r="S1807" s="35">
        <f>S1780+S1789+S1798</f>
        <v/>
      </c>
      <c r="T1807" s="35">
        <f>T1780+T1789+T1798</f>
        <v/>
      </c>
      <c r="U1807" s="35">
        <f>U1780+U1789+U1798</f>
        <v/>
      </c>
      <c r="V1807" s="35">
        <f>V1780+V1789+V1798</f>
        <v/>
      </c>
      <c r="W1807" s="35">
        <f>W1780+W1789+W1798</f>
        <v/>
      </c>
      <c r="X1807" s="35">
        <f>X1780+X1789+X1798</f>
        <v/>
      </c>
      <c r="Y1807" s="35">
        <f>Y1780+Y1789+Y1798</f>
        <v/>
      </c>
      <c r="Z1807" s="35">
        <f>Z1780+Z1789+Z1798</f>
        <v/>
      </c>
      <c r="AA1807" s="35">
        <f>AA1780+AA1789+AA1798</f>
        <v/>
      </c>
      <c r="AB1807" s="35">
        <f>AB1780+AB1789+AB1798</f>
        <v/>
      </c>
      <c r="AC1807" s="35">
        <f>AC1780+AC1789+AC1798</f>
        <v/>
      </c>
      <c r="AD1807" s="35">
        <f>AD1780+AD1789+AD1798</f>
        <v/>
      </c>
      <c r="AE1807" s="42">
        <f>NEWPOLICY(AE1780,AE1789,AE1798)</f>
        <v/>
      </c>
      <c r="AG1807" s="11">
        <f>CodePrefix&amp;$A1807&amp;IF($C1807="","","."&amp;$C1807&amp;"."&amp;$B1807)&amp;INDEX(VarEnd,MATCH($A1807,VarKey,0))&amp;AG$5</f>
        <v/>
      </c>
      <c r="AH1807" s="40">
        <f>AH1780+AH1789+AH1798</f>
        <v/>
      </c>
      <c r="AI1807" s="35">
        <f>AI1780+AI1789+AI1798</f>
        <v/>
      </c>
      <c r="AJ1807" s="35">
        <f>AJ1780+AJ1789+AJ1798</f>
        <v/>
      </c>
      <c r="AK1807" s="35">
        <f>AK1780+AK1789+AK1798</f>
        <v/>
      </c>
      <c r="AL1807" s="35">
        <f>AL1780+AL1789+AL1798</f>
        <v/>
      </c>
      <c r="AM1807" s="35">
        <f>AM1780+AM1789+AM1798</f>
        <v/>
      </c>
      <c r="AN1807" s="35">
        <f>AN1780+AN1789+AN1798</f>
        <v/>
      </c>
      <c r="AO1807" s="35">
        <f>AO1780+AO1789+AO1798</f>
        <v/>
      </c>
      <c r="AP1807" s="35">
        <f>AP1780+AP1789+AP1798</f>
        <v/>
      </c>
      <c r="AQ1807" s="35">
        <f>AQ1780+AQ1789+AQ1798</f>
        <v/>
      </c>
      <c r="AR1807" s="35">
        <f>AR1780+AR1789+AR1798</f>
        <v/>
      </c>
      <c r="AS1807" s="35">
        <f>AS1780+AS1789+AS1798</f>
        <v/>
      </c>
      <c r="AT1807" s="35">
        <f>AT1780+AT1789+AT1798</f>
        <v/>
      </c>
      <c r="AU1807" s="35">
        <f>AU1780+AU1789+AU1798</f>
        <v/>
      </c>
      <c r="AV1807" s="35">
        <f>AV1780+AV1789+AV1798</f>
        <v/>
      </c>
      <c r="AW1807" s="35">
        <f>AW1780+AW1789+AW1798</f>
        <v/>
      </c>
      <c r="AX1807" s="35">
        <f>AX1780+AX1789+AX1798</f>
        <v/>
      </c>
      <c r="AY1807" s="35">
        <f>AY1780+AY1789+AY1798</f>
        <v/>
      </c>
      <c r="AZ1807" s="35">
        <f>AZ1780+AZ1789+AZ1798</f>
        <v/>
      </c>
      <c r="BA1807" s="42">
        <f>NEWPOLICY(BA1780,BA1789,BA1798)</f>
        <v/>
      </c>
    </row>
    <row r="1808" hidden="1" outlineLevel="2">
      <c r="A1808" s="14" t="inlineStr">
        <is>
          <t>nce</t>
        </is>
      </c>
      <c r="B1808" s="14" t="inlineStr">
        <is>
          <t>die</t>
        </is>
      </c>
      <c r="C1808" s="14" t="inlineStr">
        <is>
          <t>srv</t>
        </is>
      </c>
      <c r="D1808" s="39" t="n"/>
      <c r="E1808" s="39" t="n"/>
      <c r="F1808" s="39" t="n"/>
      <c r="G1808" s="39" t="n"/>
      <c r="H1808" s="14">
        <f>INDEX(VarLab,MATCH($A1808,VarKey,0))&amp;INDEX(MemLab,MATCH($C1808&amp;"|"&amp;$B1808,MemKey,0))</f>
        <v/>
      </c>
      <c r="I1808" s="14">
        <f>INDEX(VarUnit,MATCH($A1808,VarKey,0))</f>
        <v/>
      </c>
      <c r="J1808" s="14">
        <f>INDEX(VarSrc,MATCH($A1808,VarKey,0))</f>
        <v/>
      </c>
      <c r="K1808" s="11">
        <f>CodePrefix&amp;$A1808&amp;IF($C1808="","","."&amp;$C1808&amp;"."&amp;$B1808)&amp;INDEX(VarEnd,MATCH($A1808,VarKey,0))&amp;K$5</f>
        <v/>
      </c>
      <c r="L1808" s="40">
        <f>L1781+L1790+L1799</f>
        <v/>
      </c>
      <c r="M1808" s="35">
        <f>M1781+M1790+M1799</f>
        <v/>
      </c>
      <c r="N1808" s="35">
        <f>N1781+N1790+N1799</f>
        <v/>
      </c>
      <c r="O1808" s="35">
        <f>O1781+O1790+O1799</f>
        <v/>
      </c>
      <c r="P1808" s="35">
        <f>P1781+P1790+P1799</f>
        <v/>
      </c>
      <c r="Q1808" s="35">
        <f>Q1781+Q1790+Q1799</f>
        <v/>
      </c>
      <c r="R1808" s="35">
        <f>R1781+R1790+R1799</f>
        <v/>
      </c>
      <c r="S1808" s="35">
        <f>S1781+S1790+S1799</f>
        <v/>
      </c>
      <c r="T1808" s="35">
        <f>T1781+T1790+T1799</f>
        <v/>
      </c>
      <c r="U1808" s="35">
        <f>U1781+U1790+U1799</f>
        <v/>
      </c>
      <c r="V1808" s="35">
        <f>V1781+V1790+V1799</f>
        <v/>
      </c>
      <c r="W1808" s="35">
        <f>W1781+W1790+W1799</f>
        <v/>
      </c>
      <c r="X1808" s="35">
        <f>X1781+X1790+X1799</f>
        <v/>
      </c>
      <c r="Y1808" s="35">
        <f>Y1781+Y1790+Y1799</f>
        <v/>
      </c>
      <c r="Z1808" s="35">
        <f>Z1781+Z1790+Z1799</f>
        <v/>
      </c>
      <c r="AA1808" s="35">
        <f>AA1781+AA1790+AA1799</f>
        <v/>
      </c>
      <c r="AB1808" s="35">
        <f>AB1781+AB1790+AB1799</f>
        <v/>
      </c>
      <c r="AC1808" s="35">
        <f>AC1781+AC1790+AC1799</f>
        <v/>
      </c>
      <c r="AD1808" s="35">
        <f>AD1781+AD1790+AD1799</f>
        <v/>
      </c>
      <c r="AE1808" s="42">
        <f>NEWPOLICY(AE1781,AE1790,AE1799)</f>
        <v/>
      </c>
      <c r="AG1808" s="11">
        <f>CodePrefix&amp;$A1808&amp;IF($C1808="","","."&amp;$C1808&amp;"."&amp;$B1808)&amp;INDEX(VarEnd,MATCH($A1808,VarKey,0))&amp;AG$5</f>
        <v/>
      </c>
      <c r="AH1808" s="40">
        <f>AH1781+AH1790+AH1799</f>
        <v/>
      </c>
      <c r="AI1808" s="35">
        <f>AI1781+AI1790+AI1799</f>
        <v/>
      </c>
      <c r="AJ1808" s="35">
        <f>AJ1781+AJ1790+AJ1799</f>
        <v/>
      </c>
      <c r="AK1808" s="35">
        <f>AK1781+AK1790+AK1799</f>
        <v/>
      </c>
      <c r="AL1808" s="35">
        <f>AL1781+AL1790+AL1799</f>
        <v/>
      </c>
      <c r="AM1808" s="35">
        <f>AM1781+AM1790+AM1799</f>
        <v/>
      </c>
      <c r="AN1808" s="35">
        <f>AN1781+AN1790+AN1799</f>
        <v/>
      </c>
      <c r="AO1808" s="35">
        <f>AO1781+AO1790+AO1799</f>
        <v/>
      </c>
      <c r="AP1808" s="35">
        <f>AP1781+AP1790+AP1799</f>
        <v/>
      </c>
      <c r="AQ1808" s="35">
        <f>AQ1781+AQ1790+AQ1799</f>
        <v/>
      </c>
      <c r="AR1808" s="35">
        <f>AR1781+AR1790+AR1799</f>
        <v/>
      </c>
      <c r="AS1808" s="35">
        <f>AS1781+AS1790+AS1799</f>
        <v/>
      </c>
      <c r="AT1808" s="35">
        <f>AT1781+AT1790+AT1799</f>
        <v/>
      </c>
      <c r="AU1808" s="35">
        <f>AU1781+AU1790+AU1799</f>
        <v/>
      </c>
      <c r="AV1808" s="35">
        <f>AV1781+AV1790+AV1799</f>
        <v/>
      </c>
      <c r="AW1808" s="35">
        <f>AW1781+AW1790+AW1799</f>
        <v/>
      </c>
      <c r="AX1808" s="35">
        <f>AX1781+AX1790+AX1799</f>
        <v/>
      </c>
      <c r="AY1808" s="35">
        <f>AY1781+AY1790+AY1799</f>
        <v/>
      </c>
      <c r="AZ1808" s="35">
        <f>AZ1781+AZ1790+AZ1799</f>
        <v/>
      </c>
      <c r="BA1808" s="42">
        <f>NEWPOLICY(BA1781,BA1790,BA1799)</f>
        <v/>
      </c>
    </row>
    <row r="1809" hidden="1" outlineLevel="2">
      <c r="A1809" s="14" t="inlineStr">
        <is>
          <t>nce</t>
        </is>
      </c>
      <c r="B1809" s="14" t="inlineStr">
        <is>
          <t>lpg</t>
        </is>
      </c>
      <c r="C1809" s="14" t="inlineStr">
        <is>
          <t>srv</t>
        </is>
      </c>
      <c r="D1809" s="39" t="n"/>
      <c r="E1809" s="39" t="n"/>
      <c r="F1809" s="39" t="n"/>
      <c r="G1809" s="39" t="n"/>
      <c r="H1809" s="14">
        <f>INDEX(VarLab,MATCH($A1809,VarKey,0))&amp;INDEX(MemLab,MATCH($C1809&amp;"|"&amp;$B1809,MemKey,0))</f>
        <v/>
      </c>
      <c r="I1809" s="14">
        <f>INDEX(VarUnit,MATCH($A1809,VarKey,0))</f>
        <v/>
      </c>
      <c r="J1809" s="14">
        <f>INDEX(VarSrc,MATCH($A1809,VarKey,0))</f>
        <v/>
      </c>
      <c r="K1809" s="11">
        <f>CodePrefix&amp;$A1809&amp;IF($C1809="","","."&amp;$C1809&amp;"."&amp;$B1809)&amp;INDEX(VarEnd,MATCH($A1809,VarKey,0))&amp;K$5</f>
        <v/>
      </c>
      <c r="L1809" s="40">
        <f>L1782+L1791+L1800</f>
        <v/>
      </c>
      <c r="M1809" s="35">
        <f>M1782+M1791+M1800</f>
        <v/>
      </c>
      <c r="N1809" s="35">
        <f>N1782+N1791+N1800</f>
        <v/>
      </c>
      <c r="O1809" s="35">
        <f>O1782+O1791+O1800</f>
        <v/>
      </c>
      <c r="P1809" s="35">
        <f>P1782+P1791+P1800</f>
        <v/>
      </c>
      <c r="Q1809" s="35">
        <f>Q1782+Q1791+Q1800</f>
        <v/>
      </c>
      <c r="R1809" s="35">
        <f>R1782+R1791+R1800</f>
        <v/>
      </c>
      <c r="S1809" s="35">
        <f>S1782+S1791+S1800</f>
        <v/>
      </c>
      <c r="T1809" s="35">
        <f>T1782+T1791+T1800</f>
        <v/>
      </c>
      <c r="U1809" s="35">
        <f>U1782+U1791+U1800</f>
        <v/>
      </c>
      <c r="V1809" s="35">
        <f>V1782+V1791+V1800</f>
        <v/>
      </c>
      <c r="W1809" s="35">
        <f>W1782+W1791+W1800</f>
        <v/>
      </c>
      <c r="X1809" s="35">
        <f>X1782+X1791+X1800</f>
        <v/>
      </c>
      <c r="Y1809" s="35">
        <f>Y1782+Y1791+Y1800</f>
        <v/>
      </c>
      <c r="Z1809" s="35">
        <f>Z1782+Z1791+Z1800</f>
        <v/>
      </c>
      <c r="AA1809" s="35">
        <f>AA1782+AA1791+AA1800</f>
        <v/>
      </c>
      <c r="AB1809" s="35">
        <f>AB1782+AB1791+AB1800</f>
        <v/>
      </c>
      <c r="AC1809" s="35">
        <f>AC1782+AC1791+AC1800</f>
        <v/>
      </c>
      <c r="AD1809" s="35">
        <f>AD1782+AD1791+AD1800</f>
        <v/>
      </c>
      <c r="AE1809" s="42">
        <f>NEWPOLICY(AE1782,AE1791,AE1800)</f>
        <v/>
      </c>
      <c r="AG1809" s="11">
        <f>CodePrefix&amp;$A1809&amp;IF($C1809="","","."&amp;$C1809&amp;"."&amp;$B1809)&amp;INDEX(VarEnd,MATCH($A1809,VarKey,0))&amp;AG$5</f>
        <v/>
      </c>
      <c r="AH1809" s="40">
        <f>AH1782+AH1791+AH1800</f>
        <v/>
      </c>
      <c r="AI1809" s="35">
        <f>AI1782+AI1791+AI1800</f>
        <v/>
      </c>
      <c r="AJ1809" s="35">
        <f>AJ1782+AJ1791+AJ1800</f>
        <v/>
      </c>
      <c r="AK1809" s="35">
        <f>AK1782+AK1791+AK1800</f>
        <v/>
      </c>
      <c r="AL1809" s="35">
        <f>AL1782+AL1791+AL1800</f>
        <v/>
      </c>
      <c r="AM1809" s="35">
        <f>AM1782+AM1791+AM1800</f>
        <v/>
      </c>
      <c r="AN1809" s="35">
        <f>AN1782+AN1791+AN1800</f>
        <v/>
      </c>
      <c r="AO1809" s="35">
        <f>AO1782+AO1791+AO1800</f>
        <v/>
      </c>
      <c r="AP1809" s="35">
        <f>AP1782+AP1791+AP1800</f>
        <v/>
      </c>
      <c r="AQ1809" s="35">
        <f>AQ1782+AQ1791+AQ1800</f>
        <v/>
      </c>
      <c r="AR1809" s="35">
        <f>AR1782+AR1791+AR1800</f>
        <v/>
      </c>
      <c r="AS1809" s="35">
        <f>AS1782+AS1791+AS1800</f>
        <v/>
      </c>
      <c r="AT1809" s="35">
        <f>AT1782+AT1791+AT1800</f>
        <v/>
      </c>
      <c r="AU1809" s="35">
        <f>AU1782+AU1791+AU1800</f>
        <v/>
      </c>
      <c r="AV1809" s="35">
        <f>AV1782+AV1791+AV1800</f>
        <v/>
      </c>
      <c r="AW1809" s="35">
        <f>AW1782+AW1791+AW1800</f>
        <v/>
      </c>
      <c r="AX1809" s="35">
        <f>AX1782+AX1791+AX1800</f>
        <v/>
      </c>
      <c r="AY1809" s="35">
        <f>AY1782+AY1791+AY1800</f>
        <v/>
      </c>
      <c r="AZ1809" s="35">
        <f>AZ1782+AZ1791+AZ1800</f>
        <v/>
      </c>
      <c r="BA1809" s="42">
        <f>NEWPOLICY(BA1782,BA1791,BA1800)</f>
        <v/>
      </c>
    </row>
    <row r="1810" hidden="1" outlineLevel="2">
      <c r="A1810" s="14" t="inlineStr">
        <is>
          <t>nce</t>
        </is>
      </c>
      <c r="B1810" s="14" t="inlineStr">
        <is>
          <t>ker</t>
        </is>
      </c>
      <c r="C1810" s="14" t="inlineStr">
        <is>
          <t>srv</t>
        </is>
      </c>
      <c r="D1810" s="39" t="n"/>
      <c r="E1810" s="39" t="n"/>
      <c r="F1810" s="39" t="n"/>
      <c r="G1810" s="39" t="n"/>
      <c r="H1810" s="14">
        <f>INDEX(VarLab,MATCH($A1810,VarKey,0))&amp;INDEX(MemLab,MATCH($C1810&amp;"|"&amp;$B1810,MemKey,0))</f>
        <v/>
      </c>
      <c r="I1810" s="14">
        <f>INDEX(VarUnit,MATCH($A1810,VarKey,0))</f>
        <v/>
      </c>
      <c r="J1810" s="14">
        <f>INDEX(VarSrc,MATCH($A1810,VarKey,0))</f>
        <v/>
      </c>
      <c r="K1810" s="11">
        <f>CodePrefix&amp;$A1810&amp;IF($C1810="","","."&amp;$C1810&amp;"."&amp;$B1810)&amp;INDEX(VarEnd,MATCH($A1810,VarKey,0))&amp;K$5</f>
        <v/>
      </c>
      <c r="L1810" s="40">
        <f>L1783+L1792+L1801</f>
        <v/>
      </c>
      <c r="M1810" s="35">
        <f>M1783+M1792+M1801</f>
        <v/>
      </c>
      <c r="N1810" s="35">
        <f>N1783+N1792+N1801</f>
        <v/>
      </c>
      <c r="O1810" s="35">
        <f>O1783+O1792+O1801</f>
        <v/>
      </c>
      <c r="P1810" s="35">
        <f>P1783+P1792+P1801</f>
        <v/>
      </c>
      <c r="Q1810" s="35">
        <f>Q1783+Q1792+Q1801</f>
        <v/>
      </c>
      <c r="R1810" s="35">
        <f>R1783+R1792+R1801</f>
        <v/>
      </c>
      <c r="S1810" s="35">
        <f>S1783+S1792+S1801</f>
        <v/>
      </c>
      <c r="T1810" s="35">
        <f>T1783+T1792+T1801</f>
        <v/>
      </c>
      <c r="U1810" s="35">
        <f>U1783+U1792+U1801</f>
        <v/>
      </c>
      <c r="V1810" s="35">
        <f>V1783+V1792+V1801</f>
        <v/>
      </c>
      <c r="W1810" s="35">
        <f>W1783+W1792+W1801</f>
        <v/>
      </c>
      <c r="X1810" s="35">
        <f>X1783+X1792+X1801</f>
        <v/>
      </c>
      <c r="Y1810" s="35">
        <f>Y1783+Y1792+Y1801</f>
        <v/>
      </c>
      <c r="Z1810" s="35">
        <f>Z1783+Z1792+Z1801</f>
        <v/>
      </c>
      <c r="AA1810" s="35">
        <f>AA1783+AA1792+AA1801</f>
        <v/>
      </c>
      <c r="AB1810" s="35">
        <f>AB1783+AB1792+AB1801</f>
        <v/>
      </c>
      <c r="AC1810" s="35">
        <f>AC1783+AC1792+AC1801</f>
        <v/>
      </c>
      <c r="AD1810" s="35">
        <f>AD1783+AD1792+AD1801</f>
        <v/>
      </c>
      <c r="AE1810" s="42">
        <f>NEWPOLICY(AE1783,AE1792,AE1801)</f>
        <v/>
      </c>
      <c r="AG1810" s="11">
        <f>CodePrefix&amp;$A1810&amp;IF($C1810="","","."&amp;$C1810&amp;"."&amp;$B1810)&amp;INDEX(VarEnd,MATCH($A1810,VarKey,0))&amp;AG$5</f>
        <v/>
      </c>
      <c r="AH1810" s="40">
        <f>AH1783+AH1792+AH1801</f>
        <v/>
      </c>
      <c r="AI1810" s="35">
        <f>AI1783+AI1792+AI1801</f>
        <v/>
      </c>
      <c r="AJ1810" s="35">
        <f>AJ1783+AJ1792+AJ1801</f>
        <v/>
      </c>
      <c r="AK1810" s="35">
        <f>AK1783+AK1792+AK1801</f>
        <v/>
      </c>
      <c r="AL1810" s="35">
        <f>AL1783+AL1792+AL1801</f>
        <v/>
      </c>
      <c r="AM1810" s="35">
        <f>AM1783+AM1792+AM1801</f>
        <v/>
      </c>
      <c r="AN1810" s="35">
        <f>AN1783+AN1792+AN1801</f>
        <v/>
      </c>
      <c r="AO1810" s="35">
        <f>AO1783+AO1792+AO1801</f>
        <v/>
      </c>
      <c r="AP1810" s="35">
        <f>AP1783+AP1792+AP1801</f>
        <v/>
      </c>
      <c r="AQ1810" s="35">
        <f>AQ1783+AQ1792+AQ1801</f>
        <v/>
      </c>
      <c r="AR1810" s="35">
        <f>AR1783+AR1792+AR1801</f>
        <v/>
      </c>
      <c r="AS1810" s="35">
        <f>AS1783+AS1792+AS1801</f>
        <v/>
      </c>
      <c r="AT1810" s="35">
        <f>AT1783+AT1792+AT1801</f>
        <v/>
      </c>
      <c r="AU1810" s="35">
        <f>AU1783+AU1792+AU1801</f>
        <v/>
      </c>
      <c r="AV1810" s="35">
        <f>AV1783+AV1792+AV1801</f>
        <v/>
      </c>
      <c r="AW1810" s="35">
        <f>AW1783+AW1792+AW1801</f>
        <v/>
      </c>
      <c r="AX1810" s="35">
        <f>AX1783+AX1792+AX1801</f>
        <v/>
      </c>
      <c r="AY1810" s="35">
        <f>AY1783+AY1792+AY1801</f>
        <v/>
      </c>
      <c r="AZ1810" s="35">
        <f>AZ1783+AZ1792+AZ1801</f>
        <v/>
      </c>
      <c r="BA1810" s="42">
        <f>NEWPOLICY(BA1783,BA1792,BA1801)</f>
        <v/>
      </c>
    </row>
    <row r="1811" hidden="1" outlineLevel="2">
      <c r="A1811" s="14" t="inlineStr">
        <is>
          <t>nce</t>
        </is>
      </c>
      <c r="B1811" s="14" t="inlineStr">
        <is>
          <t>oop</t>
        </is>
      </c>
      <c r="C1811" s="14" t="inlineStr">
        <is>
          <t>srv</t>
        </is>
      </c>
      <c r="D1811" s="39" t="n"/>
      <c r="E1811" s="39" t="n"/>
      <c r="F1811" s="39" t="n"/>
      <c r="G1811" s="39" t="n"/>
      <c r="H1811" s="14">
        <f>INDEX(VarLab,MATCH($A1811,VarKey,0))&amp;INDEX(MemLab,MATCH($C1811&amp;"|"&amp;$B1811,MemKey,0))</f>
        <v/>
      </c>
      <c r="I1811" s="14">
        <f>INDEX(VarUnit,MATCH($A1811,VarKey,0))</f>
        <v/>
      </c>
      <c r="J1811" s="14">
        <f>INDEX(VarSrc,MATCH($A1811,VarKey,0))</f>
        <v/>
      </c>
      <c r="K1811" s="11">
        <f>CodePrefix&amp;$A1811&amp;IF($C1811="","","."&amp;$C1811&amp;"."&amp;$B1811)&amp;INDEX(VarEnd,MATCH($A1811,VarKey,0))&amp;K$5</f>
        <v/>
      </c>
      <c r="L1811" s="40">
        <f>L1784+L1793+L1802</f>
        <v/>
      </c>
      <c r="M1811" s="35">
        <f>M1784+M1793+M1802</f>
        <v/>
      </c>
      <c r="N1811" s="35">
        <f>N1784+N1793+N1802</f>
        <v/>
      </c>
      <c r="O1811" s="35">
        <f>O1784+O1793+O1802</f>
        <v/>
      </c>
      <c r="P1811" s="35">
        <f>P1784+P1793+P1802</f>
        <v/>
      </c>
      <c r="Q1811" s="35">
        <f>Q1784+Q1793+Q1802</f>
        <v/>
      </c>
      <c r="R1811" s="35">
        <f>R1784+R1793+R1802</f>
        <v/>
      </c>
      <c r="S1811" s="35">
        <f>S1784+S1793+S1802</f>
        <v/>
      </c>
      <c r="T1811" s="35">
        <f>T1784+T1793+T1802</f>
        <v/>
      </c>
      <c r="U1811" s="35">
        <f>U1784+U1793+U1802</f>
        <v/>
      </c>
      <c r="V1811" s="35">
        <f>V1784+V1793+V1802</f>
        <v/>
      </c>
      <c r="W1811" s="35">
        <f>W1784+W1793+W1802</f>
        <v/>
      </c>
      <c r="X1811" s="35">
        <f>X1784+X1793+X1802</f>
        <v/>
      </c>
      <c r="Y1811" s="35">
        <f>Y1784+Y1793+Y1802</f>
        <v/>
      </c>
      <c r="Z1811" s="35">
        <f>Z1784+Z1793+Z1802</f>
        <v/>
      </c>
      <c r="AA1811" s="35">
        <f>AA1784+AA1793+AA1802</f>
        <v/>
      </c>
      <c r="AB1811" s="35">
        <f>AB1784+AB1793+AB1802</f>
        <v/>
      </c>
      <c r="AC1811" s="35">
        <f>AC1784+AC1793+AC1802</f>
        <v/>
      </c>
      <c r="AD1811" s="35">
        <f>AD1784+AD1793+AD1802</f>
        <v/>
      </c>
      <c r="AE1811" s="42">
        <f>NEWPOLICY(AE1784,AE1793,AE1802)</f>
        <v/>
      </c>
      <c r="AG1811" s="11">
        <f>CodePrefix&amp;$A1811&amp;IF($C1811="","","."&amp;$C1811&amp;"."&amp;$B1811)&amp;INDEX(VarEnd,MATCH($A1811,VarKey,0))&amp;AG$5</f>
        <v/>
      </c>
      <c r="AH1811" s="40">
        <f>AH1784+AH1793+AH1802</f>
        <v/>
      </c>
      <c r="AI1811" s="35">
        <f>AI1784+AI1793+AI1802</f>
        <v/>
      </c>
      <c r="AJ1811" s="35">
        <f>AJ1784+AJ1793+AJ1802</f>
        <v/>
      </c>
      <c r="AK1811" s="35">
        <f>AK1784+AK1793+AK1802</f>
        <v/>
      </c>
      <c r="AL1811" s="35">
        <f>AL1784+AL1793+AL1802</f>
        <v/>
      </c>
      <c r="AM1811" s="35">
        <f>AM1784+AM1793+AM1802</f>
        <v/>
      </c>
      <c r="AN1811" s="35">
        <f>AN1784+AN1793+AN1802</f>
        <v/>
      </c>
      <c r="AO1811" s="35">
        <f>AO1784+AO1793+AO1802</f>
        <v/>
      </c>
      <c r="AP1811" s="35">
        <f>AP1784+AP1793+AP1802</f>
        <v/>
      </c>
      <c r="AQ1811" s="35">
        <f>AQ1784+AQ1793+AQ1802</f>
        <v/>
      </c>
      <c r="AR1811" s="35">
        <f>AR1784+AR1793+AR1802</f>
        <v/>
      </c>
      <c r="AS1811" s="35">
        <f>AS1784+AS1793+AS1802</f>
        <v/>
      </c>
      <c r="AT1811" s="35">
        <f>AT1784+AT1793+AT1802</f>
        <v/>
      </c>
      <c r="AU1811" s="35">
        <f>AU1784+AU1793+AU1802</f>
        <v/>
      </c>
      <c r="AV1811" s="35">
        <f>AV1784+AV1793+AV1802</f>
        <v/>
      </c>
      <c r="AW1811" s="35">
        <f>AW1784+AW1793+AW1802</f>
        <v/>
      </c>
      <c r="AX1811" s="35">
        <f>AX1784+AX1793+AX1802</f>
        <v/>
      </c>
      <c r="AY1811" s="35">
        <f>AY1784+AY1793+AY1802</f>
        <v/>
      </c>
      <c r="AZ1811" s="35">
        <f>AZ1784+AZ1793+AZ1802</f>
        <v/>
      </c>
      <c r="BA1811" s="42">
        <f>NEWPOLICY(BA1784,BA1793,BA1802)</f>
        <v/>
      </c>
    </row>
    <row r="1812" hidden="1" outlineLevel="2">
      <c r="A1812" s="14" t="inlineStr">
        <is>
          <t>nce</t>
        </is>
      </c>
      <c r="B1812" s="14" t="inlineStr">
        <is>
          <t>bio</t>
        </is>
      </c>
      <c r="C1812" s="14" t="inlineStr">
        <is>
          <t>srv</t>
        </is>
      </c>
      <c r="D1812" s="39" t="n"/>
      <c r="E1812" s="39" t="n"/>
      <c r="F1812" s="39" t="n"/>
      <c r="G1812" s="39" t="n"/>
      <c r="H1812" s="14">
        <f>INDEX(VarLab,MATCH($A1812,VarKey,0))&amp;INDEX(MemLab,MATCH($C1812&amp;"|"&amp;$B1812,MemKey,0))</f>
        <v/>
      </c>
      <c r="I1812" s="14">
        <f>INDEX(VarUnit,MATCH($A1812,VarKey,0))</f>
        <v/>
      </c>
      <c r="J1812" s="14">
        <f>INDEX(VarSrc,MATCH($A1812,VarKey,0))</f>
        <v/>
      </c>
      <c r="K1812" s="11">
        <f>CodePrefix&amp;$A1812&amp;IF($C1812="","","."&amp;$C1812&amp;"."&amp;$B1812)&amp;INDEX(VarEnd,MATCH($A1812,VarKey,0))&amp;K$5</f>
        <v/>
      </c>
      <c r="L1812" s="40">
        <f>L1785+L1794+L1803</f>
        <v/>
      </c>
      <c r="M1812" s="35">
        <f>M1785+M1794+M1803</f>
        <v/>
      </c>
      <c r="N1812" s="35">
        <f>N1785+N1794+N1803</f>
        <v/>
      </c>
      <c r="O1812" s="35">
        <f>O1785+O1794+O1803</f>
        <v/>
      </c>
      <c r="P1812" s="35">
        <f>P1785+P1794+P1803</f>
        <v/>
      </c>
      <c r="Q1812" s="35">
        <f>Q1785+Q1794+Q1803</f>
        <v/>
      </c>
      <c r="R1812" s="35">
        <f>R1785+R1794+R1803</f>
        <v/>
      </c>
      <c r="S1812" s="35">
        <f>S1785+S1794+S1803</f>
        <v/>
      </c>
      <c r="T1812" s="35">
        <f>T1785+T1794+T1803</f>
        <v/>
      </c>
      <c r="U1812" s="35">
        <f>U1785+U1794+U1803</f>
        <v/>
      </c>
      <c r="V1812" s="35">
        <f>V1785+V1794+V1803</f>
        <v/>
      </c>
      <c r="W1812" s="35">
        <f>W1785+W1794+W1803</f>
        <v/>
      </c>
      <c r="X1812" s="35">
        <f>X1785+X1794+X1803</f>
        <v/>
      </c>
      <c r="Y1812" s="35">
        <f>Y1785+Y1794+Y1803</f>
        <v/>
      </c>
      <c r="Z1812" s="35">
        <f>Z1785+Z1794+Z1803</f>
        <v/>
      </c>
      <c r="AA1812" s="35">
        <f>AA1785+AA1794+AA1803</f>
        <v/>
      </c>
      <c r="AB1812" s="35">
        <f>AB1785+AB1794+AB1803</f>
        <v/>
      </c>
      <c r="AC1812" s="35">
        <f>AC1785+AC1794+AC1803</f>
        <v/>
      </c>
      <c r="AD1812" s="35">
        <f>AD1785+AD1794+AD1803</f>
        <v/>
      </c>
      <c r="AE1812" s="42">
        <f>NEWPOLICY(AE1785,AE1794,AE1803)</f>
        <v/>
      </c>
      <c r="AG1812" s="11">
        <f>CodePrefix&amp;$A1812&amp;IF($C1812="","","."&amp;$C1812&amp;"."&amp;$B1812)&amp;INDEX(VarEnd,MATCH($A1812,VarKey,0))&amp;AG$5</f>
        <v/>
      </c>
      <c r="AH1812" s="40">
        <f>AH1785+AH1794+AH1803</f>
        <v/>
      </c>
      <c r="AI1812" s="35">
        <f>AI1785+AI1794+AI1803</f>
        <v/>
      </c>
      <c r="AJ1812" s="35">
        <f>AJ1785+AJ1794+AJ1803</f>
        <v/>
      </c>
      <c r="AK1812" s="35">
        <f>AK1785+AK1794+AK1803</f>
        <v/>
      </c>
      <c r="AL1812" s="35">
        <f>AL1785+AL1794+AL1803</f>
        <v/>
      </c>
      <c r="AM1812" s="35">
        <f>AM1785+AM1794+AM1803</f>
        <v/>
      </c>
      <c r="AN1812" s="35">
        <f>AN1785+AN1794+AN1803</f>
        <v/>
      </c>
      <c r="AO1812" s="35">
        <f>AO1785+AO1794+AO1803</f>
        <v/>
      </c>
      <c r="AP1812" s="35">
        <f>AP1785+AP1794+AP1803</f>
        <v/>
      </c>
      <c r="AQ1812" s="35">
        <f>AQ1785+AQ1794+AQ1803</f>
        <v/>
      </c>
      <c r="AR1812" s="35">
        <f>AR1785+AR1794+AR1803</f>
        <v/>
      </c>
      <c r="AS1812" s="35">
        <f>AS1785+AS1794+AS1803</f>
        <v/>
      </c>
      <c r="AT1812" s="35">
        <f>AT1785+AT1794+AT1803</f>
        <v/>
      </c>
      <c r="AU1812" s="35">
        <f>AU1785+AU1794+AU1803</f>
        <v/>
      </c>
      <c r="AV1812" s="35">
        <f>AV1785+AV1794+AV1803</f>
        <v/>
      </c>
      <c r="AW1812" s="35">
        <f>AW1785+AW1794+AW1803</f>
        <v/>
      </c>
      <c r="AX1812" s="35">
        <f>AX1785+AX1794+AX1803</f>
        <v/>
      </c>
      <c r="AY1812" s="35">
        <f>AY1785+AY1794+AY1803</f>
        <v/>
      </c>
      <c r="AZ1812" s="35">
        <f>AZ1785+AZ1794+AZ1803</f>
        <v/>
      </c>
      <c r="BA1812" s="42">
        <f>NEWPOLICY(BA1785,BA1794,BA1803)</f>
        <v/>
      </c>
    </row>
    <row r="1813" hidden="1" outlineLevel="2"/>
    <row r="1814" hidden="1" outlineLevel="2">
      <c r="A1814" s="14" t="inlineStr">
        <is>
          <t>xcp</t>
        </is>
      </c>
      <c r="B1814" s="14" t="inlineStr">
        <is>
          <t>coa</t>
        </is>
      </c>
      <c r="C1814" s="14" t="inlineStr">
        <is>
          <t>srv</t>
        </is>
      </c>
      <c r="D1814" s="35">
        <f>INDEX(Inputs!$W$5:$W$132,MATCH($B1814&amp;"|"&amp;$C1814,Inputs!$A$5:$A$132,0))</f>
        <v/>
      </c>
      <c r="E1814" s="35">
        <f>INDEX(Inputs!$Z$5:$Z$132,MATCH($B1814&amp;"|"&amp;$C1814,Inputs!$A$5:$A$132,0))</f>
        <v/>
      </c>
      <c r="F1814" s="35">
        <f>INDEX(Inputs!$AA$5:$AA$132,MATCH($B1814&amp;"|"&amp;$C1814,Inputs!$A$5:$A$132,0))</f>
        <v/>
      </c>
      <c r="G1814" s="39" t="n"/>
      <c r="H1814" s="14">
        <f>INDEX(VarLab,MATCH($A1814,VarKey,0))&amp;INDEX(MemLab,MATCH($C1814&amp;"|"&amp;$B1814,MemKey,0))</f>
        <v/>
      </c>
      <c r="I1814" s="14">
        <f>INDEX(VarUnit,MATCH($A1814,VarKey,0))</f>
        <v/>
      </c>
      <c r="J1814" s="14">
        <f>INDEX(VarSrc,MATCH($A1814,VarKey,0))</f>
        <v/>
      </c>
      <c r="K1814" s="11">
        <f>CodePrefix&amp;$A1814&amp;IF($C1814="","","."&amp;$C1814&amp;"."&amp;$B1814)&amp;INDEX(VarEnd,MATCH($A1814,VarKey,0))&amp;K$5</f>
        <v/>
      </c>
      <c r="L1814" s="40">
        <f>$D1814*($E1814*L$321+$F1814*L$324)</f>
        <v/>
      </c>
      <c r="M1814" s="35">
        <f>$D1814*($E1814*M$321+$F1814*M$324)</f>
        <v/>
      </c>
      <c r="N1814" s="35">
        <f>$D1814*($E1814*N$321+$F1814*N$324)</f>
        <v/>
      </c>
      <c r="O1814" s="35">
        <f>$D1814*($E1814*O$321+$F1814*O$324)</f>
        <v/>
      </c>
      <c r="P1814" s="35">
        <f>$D1814*($E1814*P$321+$F1814*P$324)</f>
        <v/>
      </c>
      <c r="Q1814" s="35">
        <f>$D1814*($E1814*Q$321+$F1814*Q$324)</f>
        <v/>
      </c>
      <c r="R1814" s="35">
        <f>$D1814*($E1814*R$321+$F1814*R$324)</f>
        <v/>
      </c>
      <c r="S1814" s="35">
        <f>$D1814*($E1814*S$321+$F1814*S$324)</f>
        <v/>
      </c>
      <c r="T1814" s="35">
        <f>$D1814*($E1814*T$321+$F1814*T$324)</f>
        <v/>
      </c>
      <c r="U1814" s="35">
        <f>$D1814*($E1814*U$321+$F1814*U$324)</f>
        <v/>
      </c>
      <c r="V1814" s="35">
        <f>$D1814*($E1814*V$321+$F1814*V$324)</f>
        <v/>
      </c>
      <c r="W1814" s="35">
        <f>$D1814*($E1814*W$321+$F1814*W$324)</f>
        <v/>
      </c>
      <c r="X1814" s="35">
        <f>$D1814*($E1814*X$321+$F1814*X$324)</f>
        <v/>
      </c>
      <c r="Y1814" s="35">
        <f>$D1814*($E1814*Y$321+$F1814*Y$324)</f>
        <v/>
      </c>
      <c r="Z1814" s="35">
        <f>$D1814*($E1814*Z$321+$F1814*Z$324)</f>
        <v/>
      </c>
      <c r="AA1814" s="35">
        <f>$D1814*($E1814*AA$321+$F1814*AA$324)</f>
        <v/>
      </c>
      <c r="AB1814" s="35">
        <f>$D1814*($E1814*AB$321+$F1814*AB$324)</f>
        <v/>
      </c>
      <c r="AC1814" s="35">
        <f>$D1814*($E1814*AC$321+$F1814*AC$324)</f>
        <v/>
      </c>
      <c r="AD1814" s="35">
        <f>$D1814*($E1814*AD$321+$F1814*AD$324)</f>
        <v/>
      </c>
      <c r="AE1814" s="42">
        <f>XCARBON($D1814,$E1814,AE$321,$F1814,AE$324)</f>
        <v/>
      </c>
      <c r="AG1814" s="11">
        <f>CodePrefix&amp;$A1814&amp;IF($C1814="","","."&amp;$C1814&amp;"."&amp;$B1814)&amp;INDEX(VarEnd,MATCH($A1814,VarKey,0))&amp;AG$5</f>
        <v/>
      </c>
      <c r="AH1814" s="40">
        <f>$D1814*($E1814*AH$321+$F1814*AH$324)</f>
        <v/>
      </c>
      <c r="AI1814" s="35">
        <f>$D1814*($E1814*AI$321+$F1814*AI$324)</f>
        <v/>
      </c>
      <c r="AJ1814" s="35">
        <f>$D1814*($E1814*AJ$321+$F1814*AJ$324)</f>
        <v/>
      </c>
      <c r="AK1814" s="35">
        <f>$D1814*($E1814*AK$321+$F1814*AK$324)</f>
        <v/>
      </c>
      <c r="AL1814" s="35">
        <f>$D1814*($E1814*AL$321+$F1814*AL$324)</f>
        <v/>
      </c>
      <c r="AM1814" s="35">
        <f>$D1814*($E1814*AM$321+$F1814*AM$324)</f>
        <v/>
      </c>
      <c r="AN1814" s="35">
        <f>$D1814*($E1814*AN$321+$F1814*AN$324)</f>
        <v/>
      </c>
      <c r="AO1814" s="35">
        <f>$D1814*($E1814*AO$321+$F1814*AO$324)</f>
        <v/>
      </c>
      <c r="AP1814" s="35">
        <f>$D1814*($E1814*AP$321+$F1814*AP$324)</f>
        <v/>
      </c>
      <c r="AQ1814" s="35">
        <f>$D1814*($E1814*AQ$321+$F1814*AQ$324)</f>
        <v/>
      </c>
      <c r="AR1814" s="35">
        <f>$D1814*($E1814*AR$321+$F1814*AR$324)</f>
        <v/>
      </c>
      <c r="AS1814" s="35">
        <f>$D1814*($E1814*AS$321+$F1814*AS$324)</f>
        <v/>
      </c>
      <c r="AT1814" s="35">
        <f>$D1814*($E1814*AT$321+$F1814*AT$324)</f>
        <v/>
      </c>
      <c r="AU1814" s="35">
        <f>$D1814*($E1814*AU$321+$F1814*AU$324)</f>
        <v/>
      </c>
      <c r="AV1814" s="35">
        <f>$D1814*($E1814*AV$321+$F1814*AV$324)</f>
        <v/>
      </c>
      <c r="AW1814" s="35">
        <f>$D1814*($E1814*AW$321+$F1814*AW$324)</f>
        <v/>
      </c>
      <c r="AX1814" s="35">
        <f>$D1814*($E1814*AX$321+$F1814*AX$324)</f>
        <v/>
      </c>
      <c r="AY1814" s="35">
        <f>$D1814*($E1814*AY$321+$F1814*AY$324)</f>
        <v/>
      </c>
      <c r="AZ1814" s="35">
        <f>$D1814*($E1814*AZ$321+$F1814*AZ$324)</f>
        <v/>
      </c>
      <c r="BA1814" s="42">
        <f>XCARBON($D1814,$E1814,BA$321,$F1814,BA$324)</f>
        <v/>
      </c>
    </row>
    <row r="1815" hidden="1" outlineLevel="2">
      <c r="A1815" s="14" t="inlineStr">
        <is>
          <t>xcp</t>
        </is>
      </c>
      <c r="B1815" s="14" t="inlineStr">
        <is>
          <t>nga</t>
        </is>
      </c>
      <c r="C1815" s="14" t="inlineStr">
        <is>
          <t>srv</t>
        </is>
      </c>
      <c r="D1815" s="35">
        <f>INDEX(Inputs!$W$5:$W$132,MATCH($B1815&amp;"|"&amp;$C1815,Inputs!$A$5:$A$132,0))</f>
        <v/>
      </c>
      <c r="E1815" s="35">
        <f>INDEX(Inputs!$Z$5:$Z$132,MATCH($B1815&amp;"|"&amp;$C1815,Inputs!$A$5:$A$132,0))</f>
        <v/>
      </c>
      <c r="F1815" s="35">
        <f>INDEX(Inputs!$AA$5:$AA$132,MATCH($B1815&amp;"|"&amp;$C1815,Inputs!$A$5:$A$132,0))</f>
        <v/>
      </c>
      <c r="G1815" s="39" t="n"/>
      <c r="H1815" s="14">
        <f>INDEX(VarLab,MATCH($A1815,VarKey,0))&amp;INDEX(MemLab,MATCH($C1815&amp;"|"&amp;$B1815,MemKey,0))</f>
        <v/>
      </c>
      <c r="I1815" s="14">
        <f>INDEX(VarUnit,MATCH($A1815,VarKey,0))</f>
        <v/>
      </c>
      <c r="J1815" s="14">
        <f>INDEX(VarSrc,MATCH($A1815,VarKey,0))</f>
        <v/>
      </c>
      <c r="K1815" s="11">
        <f>CodePrefix&amp;$A1815&amp;IF($C1815="","","."&amp;$C1815&amp;"."&amp;$B1815)&amp;INDEX(VarEnd,MATCH($A1815,VarKey,0))&amp;K$5</f>
        <v/>
      </c>
      <c r="L1815" s="40">
        <f>$D1815*($E1815*L$321+$F1815*L$324)</f>
        <v/>
      </c>
      <c r="M1815" s="35">
        <f>$D1815*($E1815*M$321+$F1815*M$324)</f>
        <v/>
      </c>
      <c r="N1815" s="35">
        <f>$D1815*($E1815*N$321+$F1815*N$324)</f>
        <v/>
      </c>
      <c r="O1815" s="35">
        <f>$D1815*($E1815*O$321+$F1815*O$324)</f>
        <v/>
      </c>
      <c r="P1815" s="35">
        <f>$D1815*($E1815*P$321+$F1815*P$324)</f>
        <v/>
      </c>
      <c r="Q1815" s="35">
        <f>$D1815*($E1815*Q$321+$F1815*Q$324)</f>
        <v/>
      </c>
      <c r="R1815" s="35">
        <f>$D1815*($E1815*R$321+$F1815*R$324)</f>
        <v/>
      </c>
      <c r="S1815" s="35">
        <f>$D1815*($E1815*S$321+$F1815*S$324)</f>
        <v/>
      </c>
      <c r="T1815" s="35">
        <f>$D1815*($E1815*T$321+$F1815*T$324)</f>
        <v/>
      </c>
      <c r="U1815" s="35">
        <f>$D1815*($E1815*U$321+$F1815*U$324)</f>
        <v/>
      </c>
      <c r="V1815" s="35">
        <f>$D1815*($E1815*V$321+$F1815*V$324)</f>
        <v/>
      </c>
      <c r="W1815" s="35">
        <f>$D1815*($E1815*W$321+$F1815*W$324)</f>
        <v/>
      </c>
      <c r="X1815" s="35">
        <f>$D1815*($E1815*X$321+$F1815*X$324)</f>
        <v/>
      </c>
      <c r="Y1815" s="35">
        <f>$D1815*($E1815*Y$321+$F1815*Y$324)</f>
        <v/>
      </c>
      <c r="Z1815" s="35">
        <f>$D1815*($E1815*Z$321+$F1815*Z$324)</f>
        <v/>
      </c>
      <c r="AA1815" s="35">
        <f>$D1815*($E1815*AA$321+$F1815*AA$324)</f>
        <v/>
      </c>
      <c r="AB1815" s="35">
        <f>$D1815*($E1815*AB$321+$F1815*AB$324)</f>
        <v/>
      </c>
      <c r="AC1815" s="35">
        <f>$D1815*($E1815*AC$321+$F1815*AC$324)</f>
        <v/>
      </c>
      <c r="AD1815" s="35">
        <f>$D1815*($E1815*AD$321+$F1815*AD$324)</f>
        <v/>
      </c>
      <c r="AE1815" s="42">
        <f>XCARBON($D1815,$E1815,AE$321,$F1815,AE$324)</f>
        <v/>
      </c>
      <c r="AG1815" s="11">
        <f>CodePrefix&amp;$A1815&amp;IF($C1815="","","."&amp;$C1815&amp;"."&amp;$B1815)&amp;INDEX(VarEnd,MATCH($A1815,VarKey,0))&amp;AG$5</f>
        <v/>
      </c>
      <c r="AH1815" s="40">
        <f>$D1815*($E1815*AH$321+$F1815*AH$324)</f>
        <v/>
      </c>
      <c r="AI1815" s="35">
        <f>$D1815*($E1815*AI$321+$F1815*AI$324)</f>
        <v/>
      </c>
      <c r="AJ1815" s="35">
        <f>$D1815*($E1815*AJ$321+$F1815*AJ$324)</f>
        <v/>
      </c>
      <c r="AK1815" s="35">
        <f>$D1815*($E1815*AK$321+$F1815*AK$324)</f>
        <v/>
      </c>
      <c r="AL1815" s="35">
        <f>$D1815*($E1815*AL$321+$F1815*AL$324)</f>
        <v/>
      </c>
      <c r="AM1815" s="35">
        <f>$D1815*($E1815*AM$321+$F1815*AM$324)</f>
        <v/>
      </c>
      <c r="AN1815" s="35">
        <f>$D1815*($E1815*AN$321+$F1815*AN$324)</f>
        <v/>
      </c>
      <c r="AO1815" s="35">
        <f>$D1815*($E1815*AO$321+$F1815*AO$324)</f>
        <v/>
      </c>
      <c r="AP1815" s="35">
        <f>$D1815*($E1815*AP$321+$F1815*AP$324)</f>
        <v/>
      </c>
      <c r="AQ1815" s="35">
        <f>$D1815*($E1815*AQ$321+$F1815*AQ$324)</f>
        <v/>
      </c>
      <c r="AR1815" s="35">
        <f>$D1815*($E1815*AR$321+$F1815*AR$324)</f>
        <v/>
      </c>
      <c r="AS1815" s="35">
        <f>$D1815*($E1815*AS$321+$F1815*AS$324)</f>
        <v/>
      </c>
      <c r="AT1815" s="35">
        <f>$D1815*($E1815*AT$321+$F1815*AT$324)</f>
        <v/>
      </c>
      <c r="AU1815" s="35">
        <f>$D1815*($E1815*AU$321+$F1815*AU$324)</f>
        <v/>
      </c>
      <c r="AV1815" s="35">
        <f>$D1815*($E1815*AV$321+$F1815*AV$324)</f>
        <v/>
      </c>
      <c r="AW1815" s="35">
        <f>$D1815*($E1815*AW$321+$F1815*AW$324)</f>
        <v/>
      </c>
      <c r="AX1815" s="35">
        <f>$D1815*($E1815*AX$321+$F1815*AX$324)</f>
        <v/>
      </c>
      <c r="AY1815" s="35">
        <f>$D1815*($E1815*AY$321+$F1815*AY$324)</f>
        <v/>
      </c>
      <c r="AZ1815" s="35">
        <f>$D1815*($E1815*AZ$321+$F1815*AZ$324)</f>
        <v/>
      </c>
      <c r="BA1815" s="42">
        <f>XCARBON($D1815,$E1815,BA$321,$F1815,BA$324)</f>
        <v/>
      </c>
    </row>
    <row r="1816" hidden="1" outlineLevel="2">
      <c r="A1816" s="14" t="inlineStr">
        <is>
          <t>xcp</t>
        </is>
      </c>
      <c r="B1816" s="14" t="inlineStr">
        <is>
          <t>gso</t>
        </is>
      </c>
      <c r="C1816" s="14" t="inlineStr">
        <is>
          <t>srv</t>
        </is>
      </c>
      <c r="D1816" s="35">
        <f>INDEX(Inputs!$W$5:$W$132,MATCH($B1816&amp;"|"&amp;$C1816,Inputs!$A$5:$A$132,0))</f>
        <v/>
      </c>
      <c r="E1816" s="35">
        <f>INDEX(Inputs!$Z$5:$Z$132,MATCH($B1816&amp;"|"&amp;$C1816,Inputs!$A$5:$A$132,0))</f>
        <v/>
      </c>
      <c r="F1816" s="35">
        <f>INDEX(Inputs!$AA$5:$AA$132,MATCH($B1816&amp;"|"&amp;$C1816,Inputs!$A$5:$A$132,0))</f>
        <v/>
      </c>
      <c r="G1816" s="39" t="n"/>
      <c r="H1816" s="14">
        <f>INDEX(VarLab,MATCH($A1816,VarKey,0))&amp;INDEX(MemLab,MATCH($C1816&amp;"|"&amp;$B1816,MemKey,0))</f>
        <v/>
      </c>
      <c r="I1816" s="14">
        <f>INDEX(VarUnit,MATCH($A1816,VarKey,0))</f>
        <v/>
      </c>
      <c r="J1816" s="14">
        <f>INDEX(VarSrc,MATCH($A1816,VarKey,0))</f>
        <v/>
      </c>
      <c r="K1816" s="11">
        <f>CodePrefix&amp;$A1816&amp;IF($C1816="","","."&amp;$C1816&amp;"."&amp;$B1816)&amp;INDEX(VarEnd,MATCH($A1816,VarKey,0))&amp;K$5</f>
        <v/>
      </c>
      <c r="L1816" s="40">
        <f>$D1816*($E1816*L$321+$F1816*L$324)</f>
        <v/>
      </c>
      <c r="M1816" s="35">
        <f>$D1816*($E1816*M$321+$F1816*M$324)</f>
        <v/>
      </c>
      <c r="N1816" s="35">
        <f>$D1816*($E1816*N$321+$F1816*N$324)</f>
        <v/>
      </c>
      <c r="O1816" s="35">
        <f>$D1816*($E1816*O$321+$F1816*O$324)</f>
        <v/>
      </c>
      <c r="P1816" s="35">
        <f>$D1816*($E1816*P$321+$F1816*P$324)</f>
        <v/>
      </c>
      <c r="Q1816" s="35">
        <f>$D1816*($E1816*Q$321+$F1816*Q$324)</f>
        <v/>
      </c>
      <c r="R1816" s="35">
        <f>$D1816*($E1816*R$321+$F1816*R$324)</f>
        <v/>
      </c>
      <c r="S1816" s="35">
        <f>$D1816*($E1816*S$321+$F1816*S$324)</f>
        <v/>
      </c>
      <c r="T1816" s="35">
        <f>$D1816*($E1816*T$321+$F1816*T$324)</f>
        <v/>
      </c>
      <c r="U1816" s="35">
        <f>$D1816*($E1816*U$321+$F1816*U$324)</f>
        <v/>
      </c>
      <c r="V1816" s="35">
        <f>$D1816*($E1816*V$321+$F1816*V$324)</f>
        <v/>
      </c>
      <c r="W1816" s="35">
        <f>$D1816*($E1816*W$321+$F1816*W$324)</f>
        <v/>
      </c>
      <c r="X1816" s="35">
        <f>$D1816*($E1816*X$321+$F1816*X$324)</f>
        <v/>
      </c>
      <c r="Y1816" s="35">
        <f>$D1816*($E1816*Y$321+$F1816*Y$324)</f>
        <v/>
      </c>
      <c r="Z1816" s="35">
        <f>$D1816*($E1816*Z$321+$F1816*Z$324)</f>
        <v/>
      </c>
      <c r="AA1816" s="35">
        <f>$D1816*($E1816*AA$321+$F1816*AA$324)</f>
        <v/>
      </c>
      <c r="AB1816" s="35">
        <f>$D1816*($E1816*AB$321+$F1816*AB$324)</f>
        <v/>
      </c>
      <c r="AC1816" s="35">
        <f>$D1816*($E1816*AC$321+$F1816*AC$324)</f>
        <v/>
      </c>
      <c r="AD1816" s="35">
        <f>$D1816*($E1816*AD$321+$F1816*AD$324)</f>
        <v/>
      </c>
      <c r="AE1816" s="42">
        <f>XCARBON($D1816,$E1816,AE$321,$F1816,AE$324)</f>
        <v/>
      </c>
      <c r="AG1816" s="11">
        <f>CodePrefix&amp;$A1816&amp;IF($C1816="","","."&amp;$C1816&amp;"."&amp;$B1816)&amp;INDEX(VarEnd,MATCH($A1816,VarKey,0))&amp;AG$5</f>
        <v/>
      </c>
      <c r="AH1816" s="40">
        <f>$D1816*($E1816*AH$321+$F1816*AH$324)</f>
        <v/>
      </c>
      <c r="AI1816" s="35">
        <f>$D1816*($E1816*AI$321+$F1816*AI$324)</f>
        <v/>
      </c>
      <c r="AJ1816" s="35">
        <f>$D1816*($E1816*AJ$321+$F1816*AJ$324)</f>
        <v/>
      </c>
      <c r="AK1816" s="35">
        <f>$D1816*($E1816*AK$321+$F1816*AK$324)</f>
        <v/>
      </c>
      <c r="AL1816" s="35">
        <f>$D1816*($E1816*AL$321+$F1816*AL$324)</f>
        <v/>
      </c>
      <c r="AM1816" s="35">
        <f>$D1816*($E1816*AM$321+$F1816*AM$324)</f>
        <v/>
      </c>
      <c r="AN1816" s="35">
        <f>$D1816*($E1816*AN$321+$F1816*AN$324)</f>
        <v/>
      </c>
      <c r="AO1816" s="35">
        <f>$D1816*($E1816*AO$321+$F1816*AO$324)</f>
        <v/>
      </c>
      <c r="AP1816" s="35">
        <f>$D1816*($E1816*AP$321+$F1816*AP$324)</f>
        <v/>
      </c>
      <c r="AQ1816" s="35">
        <f>$D1816*($E1816*AQ$321+$F1816*AQ$324)</f>
        <v/>
      </c>
      <c r="AR1816" s="35">
        <f>$D1816*($E1816*AR$321+$F1816*AR$324)</f>
        <v/>
      </c>
      <c r="AS1816" s="35">
        <f>$D1816*($E1816*AS$321+$F1816*AS$324)</f>
        <v/>
      </c>
      <c r="AT1816" s="35">
        <f>$D1816*($E1816*AT$321+$F1816*AT$324)</f>
        <v/>
      </c>
      <c r="AU1816" s="35">
        <f>$D1816*($E1816*AU$321+$F1816*AU$324)</f>
        <v/>
      </c>
      <c r="AV1816" s="35">
        <f>$D1816*($E1816*AV$321+$F1816*AV$324)</f>
        <v/>
      </c>
      <c r="AW1816" s="35">
        <f>$D1816*($E1816*AW$321+$F1816*AW$324)</f>
        <v/>
      </c>
      <c r="AX1816" s="35">
        <f>$D1816*($E1816*AX$321+$F1816*AX$324)</f>
        <v/>
      </c>
      <c r="AY1816" s="35">
        <f>$D1816*($E1816*AY$321+$F1816*AY$324)</f>
        <v/>
      </c>
      <c r="AZ1816" s="35">
        <f>$D1816*($E1816*AZ$321+$F1816*AZ$324)</f>
        <v/>
      </c>
      <c r="BA1816" s="42">
        <f>XCARBON($D1816,$E1816,BA$321,$F1816,BA$324)</f>
        <v/>
      </c>
    </row>
    <row r="1817" hidden="1" outlineLevel="2">
      <c r="A1817" s="14" t="inlineStr">
        <is>
          <t>xcp</t>
        </is>
      </c>
      <c r="B1817" s="14" t="inlineStr">
        <is>
          <t>die</t>
        </is>
      </c>
      <c r="C1817" s="14" t="inlineStr">
        <is>
          <t>srv</t>
        </is>
      </c>
      <c r="D1817" s="35">
        <f>INDEX(Inputs!$W$5:$W$132,MATCH($B1817&amp;"|"&amp;$C1817,Inputs!$A$5:$A$132,0))</f>
        <v/>
      </c>
      <c r="E1817" s="35">
        <f>INDEX(Inputs!$Z$5:$Z$132,MATCH($B1817&amp;"|"&amp;$C1817,Inputs!$A$5:$A$132,0))</f>
        <v/>
      </c>
      <c r="F1817" s="35">
        <f>INDEX(Inputs!$AA$5:$AA$132,MATCH($B1817&amp;"|"&amp;$C1817,Inputs!$A$5:$A$132,0))</f>
        <v/>
      </c>
      <c r="G1817" s="39" t="n"/>
      <c r="H1817" s="14">
        <f>INDEX(VarLab,MATCH($A1817,VarKey,0))&amp;INDEX(MemLab,MATCH($C1817&amp;"|"&amp;$B1817,MemKey,0))</f>
        <v/>
      </c>
      <c r="I1817" s="14">
        <f>INDEX(VarUnit,MATCH($A1817,VarKey,0))</f>
        <v/>
      </c>
      <c r="J1817" s="14">
        <f>INDEX(VarSrc,MATCH($A1817,VarKey,0))</f>
        <v/>
      </c>
      <c r="K1817" s="11">
        <f>CodePrefix&amp;$A1817&amp;IF($C1817="","","."&amp;$C1817&amp;"."&amp;$B1817)&amp;INDEX(VarEnd,MATCH($A1817,VarKey,0))&amp;K$5</f>
        <v/>
      </c>
      <c r="L1817" s="40">
        <f>$D1817*($E1817*L$321+$F1817*L$324)</f>
        <v/>
      </c>
      <c r="M1817" s="35">
        <f>$D1817*($E1817*M$321+$F1817*M$324)</f>
        <v/>
      </c>
      <c r="N1817" s="35">
        <f>$D1817*($E1817*N$321+$F1817*N$324)</f>
        <v/>
      </c>
      <c r="O1817" s="35">
        <f>$D1817*($E1817*O$321+$F1817*O$324)</f>
        <v/>
      </c>
      <c r="P1817" s="35">
        <f>$D1817*($E1817*P$321+$F1817*P$324)</f>
        <v/>
      </c>
      <c r="Q1817" s="35">
        <f>$D1817*($E1817*Q$321+$F1817*Q$324)</f>
        <v/>
      </c>
      <c r="R1817" s="35">
        <f>$D1817*($E1817*R$321+$F1817*R$324)</f>
        <v/>
      </c>
      <c r="S1817" s="35">
        <f>$D1817*($E1817*S$321+$F1817*S$324)</f>
        <v/>
      </c>
      <c r="T1817" s="35">
        <f>$D1817*($E1817*T$321+$F1817*T$324)</f>
        <v/>
      </c>
      <c r="U1817" s="35">
        <f>$D1817*($E1817*U$321+$F1817*U$324)</f>
        <v/>
      </c>
      <c r="V1817" s="35">
        <f>$D1817*($E1817*V$321+$F1817*V$324)</f>
        <v/>
      </c>
      <c r="W1817" s="35">
        <f>$D1817*($E1817*W$321+$F1817*W$324)</f>
        <v/>
      </c>
      <c r="X1817" s="35">
        <f>$D1817*($E1817*X$321+$F1817*X$324)</f>
        <v/>
      </c>
      <c r="Y1817" s="35">
        <f>$D1817*($E1817*Y$321+$F1817*Y$324)</f>
        <v/>
      </c>
      <c r="Z1817" s="35">
        <f>$D1817*($E1817*Z$321+$F1817*Z$324)</f>
        <v/>
      </c>
      <c r="AA1817" s="35">
        <f>$D1817*($E1817*AA$321+$F1817*AA$324)</f>
        <v/>
      </c>
      <c r="AB1817" s="35">
        <f>$D1817*($E1817*AB$321+$F1817*AB$324)</f>
        <v/>
      </c>
      <c r="AC1817" s="35">
        <f>$D1817*($E1817*AC$321+$F1817*AC$324)</f>
        <v/>
      </c>
      <c r="AD1817" s="35">
        <f>$D1817*($E1817*AD$321+$F1817*AD$324)</f>
        <v/>
      </c>
      <c r="AE1817" s="42">
        <f>XCARBON($D1817,$E1817,AE$321,$F1817,AE$324)</f>
        <v/>
      </c>
      <c r="AG1817" s="11">
        <f>CodePrefix&amp;$A1817&amp;IF($C1817="","","."&amp;$C1817&amp;"."&amp;$B1817)&amp;INDEX(VarEnd,MATCH($A1817,VarKey,0))&amp;AG$5</f>
        <v/>
      </c>
      <c r="AH1817" s="40">
        <f>$D1817*($E1817*AH$321+$F1817*AH$324)</f>
        <v/>
      </c>
      <c r="AI1817" s="35">
        <f>$D1817*($E1817*AI$321+$F1817*AI$324)</f>
        <v/>
      </c>
      <c r="AJ1817" s="35">
        <f>$D1817*($E1817*AJ$321+$F1817*AJ$324)</f>
        <v/>
      </c>
      <c r="AK1817" s="35">
        <f>$D1817*($E1817*AK$321+$F1817*AK$324)</f>
        <v/>
      </c>
      <c r="AL1817" s="35">
        <f>$D1817*($E1817*AL$321+$F1817*AL$324)</f>
        <v/>
      </c>
      <c r="AM1817" s="35">
        <f>$D1817*($E1817*AM$321+$F1817*AM$324)</f>
        <v/>
      </c>
      <c r="AN1817" s="35">
        <f>$D1817*($E1817*AN$321+$F1817*AN$324)</f>
        <v/>
      </c>
      <c r="AO1817" s="35">
        <f>$D1817*($E1817*AO$321+$F1817*AO$324)</f>
        <v/>
      </c>
      <c r="AP1817" s="35">
        <f>$D1817*($E1817*AP$321+$F1817*AP$324)</f>
        <v/>
      </c>
      <c r="AQ1817" s="35">
        <f>$D1817*($E1817*AQ$321+$F1817*AQ$324)</f>
        <v/>
      </c>
      <c r="AR1817" s="35">
        <f>$D1817*($E1817*AR$321+$F1817*AR$324)</f>
        <v/>
      </c>
      <c r="AS1817" s="35">
        <f>$D1817*($E1817*AS$321+$F1817*AS$324)</f>
        <v/>
      </c>
      <c r="AT1817" s="35">
        <f>$D1817*($E1817*AT$321+$F1817*AT$324)</f>
        <v/>
      </c>
      <c r="AU1817" s="35">
        <f>$D1817*($E1817*AU$321+$F1817*AU$324)</f>
        <v/>
      </c>
      <c r="AV1817" s="35">
        <f>$D1817*($E1817*AV$321+$F1817*AV$324)</f>
        <v/>
      </c>
      <c r="AW1817" s="35">
        <f>$D1817*($E1817*AW$321+$F1817*AW$324)</f>
        <v/>
      </c>
      <c r="AX1817" s="35">
        <f>$D1817*($E1817*AX$321+$F1817*AX$324)</f>
        <v/>
      </c>
      <c r="AY1817" s="35">
        <f>$D1817*($E1817*AY$321+$F1817*AY$324)</f>
        <v/>
      </c>
      <c r="AZ1817" s="35">
        <f>$D1817*($E1817*AZ$321+$F1817*AZ$324)</f>
        <v/>
      </c>
      <c r="BA1817" s="42">
        <f>XCARBON($D1817,$E1817,BA$321,$F1817,BA$324)</f>
        <v/>
      </c>
    </row>
    <row r="1818" hidden="1" outlineLevel="2">
      <c r="A1818" s="14" t="inlineStr">
        <is>
          <t>xcp</t>
        </is>
      </c>
      <c r="B1818" s="14" t="inlineStr">
        <is>
          <t>lpg</t>
        </is>
      </c>
      <c r="C1818" s="14" t="inlineStr">
        <is>
          <t>srv</t>
        </is>
      </c>
      <c r="D1818" s="35">
        <f>INDEX(Inputs!$W$5:$W$132,MATCH($B1818&amp;"|"&amp;$C1818,Inputs!$A$5:$A$132,0))</f>
        <v/>
      </c>
      <c r="E1818" s="35">
        <f>INDEX(Inputs!$Z$5:$Z$132,MATCH($B1818&amp;"|"&amp;$C1818,Inputs!$A$5:$A$132,0))</f>
        <v/>
      </c>
      <c r="F1818" s="35">
        <f>INDEX(Inputs!$AA$5:$AA$132,MATCH($B1818&amp;"|"&amp;$C1818,Inputs!$A$5:$A$132,0))</f>
        <v/>
      </c>
      <c r="G1818" s="39" t="n"/>
      <c r="H1818" s="14">
        <f>INDEX(VarLab,MATCH($A1818,VarKey,0))&amp;INDEX(MemLab,MATCH($C1818&amp;"|"&amp;$B1818,MemKey,0))</f>
        <v/>
      </c>
      <c r="I1818" s="14">
        <f>INDEX(VarUnit,MATCH($A1818,VarKey,0))</f>
        <v/>
      </c>
      <c r="J1818" s="14">
        <f>INDEX(VarSrc,MATCH($A1818,VarKey,0))</f>
        <v/>
      </c>
      <c r="K1818" s="11">
        <f>CodePrefix&amp;$A1818&amp;IF($C1818="","","."&amp;$C1818&amp;"."&amp;$B1818)&amp;INDEX(VarEnd,MATCH($A1818,VarKey,0))&amp;K$5</f>
        <v/>
      </c>
      <c r="L1818" s="40">
        <f>$D1818*($E1818*L$321+$F1818*L$324)</f>
        <v/>
      </c>
      <c r="M1818" s="35">
        <f>$D1818*($E1818*M$321+$F1818*M$324)</f>
        <v/>
      </c>
      <c r="N1818" s="35">
        <f>$D1818*($E1818*N$321+$F1818*N$324)</f>
        <v/>
      </c>
      <c r="O1818" s="35">
        <f>$D1818*($E1818*O$321+$F1818*O$324)</f>
        <v/>
      </c>
      <c r="P1818" s="35">
        <f>$D1818*($E1818*P$321+$F1818*P$324)</f>
        <v/>
      </c>
      <c r="Q1818" s="35">
        <f>$D1818*($E1818*Q$321+$F1818*Q$324)</f>
        <v/>
      </c>
      <c r="R1818" s="35">
        <f>$D1818*($E1818*R$321+$F1818*R$324)</f>
        <v/>
      </c>
      <c r="S1818" s="35">
        <f>$D1818*($E1818*S$321+$F1818*S$324)</f>
        <v/>
      </c>
      <c r="T1818" s="35">
        <f>$D1818*($E1818*T$321+$F1818*T$324)</f>
        <v/>
      </c>
      <c r="U1818" s="35">
        <f>$D1818*($E1818*U$321+$F1818*U$324)</f>
        <v/>
      </c>
      <c r="V1818" s="35">
        <f>$D1818*($E1818*V$321+$F1818*V$324)</f>
        <v/>
      </c>
      <c r="W1818" s="35">
        <f>$D1818*($E1818*W$321+$F1818*W$324)</f>
        <v/>
      </c>
      <c r="X1818" s="35">
        <f>$D1818*($E1818*X$321+$F1818*X$324)</f>
        <v/>
      </c>
      <c r="Y1818" s="35">
        <f>$D1818*($E1818*Y$321+$F1818*Y$324)</f>
        <v/>
      </c>
      <c r="Z1818" s="35">
        <f>$D1818*($E1818*Z$321+$F1818*Z$324)</f>
        <v/>
      </c>
      <c r="AA1818" s="35">
        <f>$D1818*($E1818*AA$321+$F1818*AA$324)</f>
        <v/>
      </c>
      <c r="AB1818" s="35">
        <f>$D1818*($E1818*AB$321+$F1818*AB$324)</f>
        <v/>
      </c>
      <c r="AC1818" s="35">
        <f>$D1818*($E1818*AC$321+$F1818*AC$324)</f>
        <v/>
      </c>
      <c r="AD1818" s="35">
        <f>$D1818*($E1818*AD$321+$F1818*AD$324)</f>
        <v/>
      </c>
      <c r="AE1818" s="42">
        <f>XCARBON($D1818,$E1818,AE$321,$F1818,AE$324)</f>
        <v/>
      </c>
      <c r="AG1818" s="11">
        <f>CodePrefix&amp;$A1818&amp;IF($C1818="","","."&amp;$C1818&amp;"."&amp;$B1818)&amp;INDEX(VarEnd,MATCH($A1818,VarKey,0))&amp;AG$5</f>
        <v/>
      </c>
      <c r="AH1818" s="40">
        <f>$D1818*($E1818*AH$321+$F1818*AH$324)</f>
        <v/>
      </c>
      <c r="AI1818" s="35">
        <f>$D1818*($E1818*AI$321+$F1818*AI$324)</f>
        <v/>
      </c>
      <c r="AJ1818" s="35">
        <f>$D1818*($E1818*AJ$321+$F1818*AJ$324)</f>
        <v/>
      </c>
      <c r="AK1818" s="35">
        <f>$D1818*($E1818*AK$321+$F1818*AK$324)</f>
        <v/>
      </c>
      <c r="AL1818" s="35">
        <f>$D1818*($E1818*AL$321+$F1818*AL$324)</f>
        <v/>
      </c>
      <c r="AM1818" s="35">
        <f>$D1818*($E1818*AM$321+$F1818*AM$324)</f>
        <v/>
      </c>
      <c r="AN1818" s="35">
        <f>$D1818*($E1818*AN$321+$F1818*AN$324)</f>
        <v/>
      </c>
      <c r="AO1818" s="35">
        <f>$D1818*($E1818*AO$321+$F1818*AO$324)</f>
        <v/>
      </c>
      <c r="AP1818" s="35">
        <f>$D1818*($E1818*AP$321+$F1818*AP$324)</f>
        <v/>
      </c>
      <c r="AQ1818" s="35">
        <f>$D1818*($E1818*AQ$321+$F1818*AQ$324)</f>
        <v/>
      </c>
      <c r="AR1818" s="35">
        <f>$D1818*($E1818*AR$321+$F1818*AR$324)</f>
        <v/>
      </c>
      <c r="AS1818" s="35">
        <f>$D1818*($E1818*AS$321+$F1818*AS$324)</f>
        <v/>
      </c>
      <c r="AT1818" s="35">
        <f>$D1818*($E1818*AT$321+$F1818*AT$324)</f>
        <v/>
      </c>
      <c r="AU1818" s="35">
        <f>$D1818*($E1818*AU$321+$F1818*AU$324)</f>
        <v/>
      </c>
      <c r="AV1818" s="35">
        <f>$D1818*($E1818*AV$321+$F1818*AV$324)</f>
        <v/>
      </c>
      <c r="AW1818" s="35">
        <f>$D1818*($E1818*AW$321+$F1818*AW$324)</f>
        <v/>
      </c>
      <c r="AX1818" s="35">
        <f>$D1818*($E1818*AX$321+$F1818*AX$324)</f>
        <v/>
      </c>
      <c r="AY1818" s="35">
        <f>$D1818*($E1818*AY$321+$F1818*AY$324)</f>
        <v/>
      </c>
      <c r="AZ1818" s="35">
        <f>$D1818*($E1818*AZ$321+$F1818*AZ$324)</f>
        <v/>
      </c>
      <c r="BA1818" s="42">
        <f>XCARBON($D1818,$E1818,BA$321,$F1818,BA$324)</f>
        <v/>
      </c>
    </row>
    <row r="1819" hidden="1" outlineLevel="2">
      <c r="A1819" s="14" t="inlineStr">
        <is>
          <t>xcp</t>
        </is>
      </c>
      <c r="B1819" s="14" t="inlineStr">
        <is>
          <t>ker</t>
        </is>
      </c>
      <c r="C1819" s="14" t="inlineStr">
        <is>
          <t>srv</t>
        </is>
      </c>
      <c r="D1819" s="35">
        <f>INDEX(Inputs!$W$5:$W$132,MATCH($B1819&amp;"|"&amp;$C1819,Inputs!$A$5:$A$132,0))</f>
        <v/>
      </c>
      <c r="E1819" s="35">
        <f>INDEX(Inputs!$Z$5:$Z$132,MATCH($B1819&amp;"|"&amp;$C1819,Inputs!$A$5:$A$132,0))</f>
        <v/>
      </c>
      <c r="F1819" s="35">
        <f>INDEX(Inputs!$AA$5:$AA$132,MATCH($B1819&amp;"|"&amp;$C1819,Inputs!$A$5:$A$132,0))</f>
        <v/>
      </c>
      <c r="G1819" s="39" t="n"/>
      <c r="H1819" s="14">
        <f>INDEX(VarLab,MATCH($A1819,VarKey,0))&amp;INDEX(MemLab,MATCH($C1819&amp;"|"&amp;$B1819,MemKey,0))</f>
        <v/>
      </c>
      <c r="I1819" s="14">
        <f>INDEX(VarUnit,MATCH($A1819,VarKey,0))</f>
        <v/>
      </c>
      <c r="J1819" s="14">
        <f>INDEX(VarSrc,MATCH($A1819,VarKey,0))</f>
        <v/>
      </c>
      <c r="K1819" s="11">
        <f>CodePrefix&amp;$A1819&amp;IF($C1819="","","."&amp;$C1819&amp;"."&amp;$B1819)&amp;INDEX(VarEnd,MATCH($A1819,VarKey,0))&amp;K$5</f>
        <v/>
      </c>
      <c r="L1819" s="40">
        <f>$D1819*($E1819*L$321+$F1819*L$324)</f>
        <v/>
      </c>
      <c r="M1819" s="35">
        <f>$D1819*($E1819*M$321+$F1819*M$324)</f>
        <v/>
      </c>
      <c r="N1819" s="35">
        <f>$D1819*($E1819*N$321+$F1819*N$324)</f>
        <v/>
      </c>
      <c r="O1819" s="35">
        <f>$D1819*($E1819*O$321+$F1819*O$324)</f>
        <v/>
      </c>
      <c r="P1819" s="35">
        <f>$D1819*($E1819*P$321+$F1819*P$324)</f>
        <v/>
      </c>
      <c r="Q1819" s="35">
        <f>$D1819*($E1819*Q$321+$F1819*Q$324)</f>
        <v/>
      </c>
      <c r="R1819" s="35">
        <f>$D1819*($E1819*R$321+$F1819*R$324)</f>
        <v/>
      </c>
      <c r="S1819" s="35">
        <f>$D1819*($E1819*S$321+$F1819*S$324)</f>
        <v/>
      </c>
      <c r="T1819" s="35">
        <f>$D1819*($E1819*T$321+$F1819*T$324)</f>
        <v/>
      </c>
      <c r="U1819" s="35">
        <f>$D1819*($E1819*U$321+$F1819*U$324)</f>
        <v/>
      </c>
      <c r="V1819" s="35">
        <f>$D1819*($E1819*V$321+$F1819*V$324)</f>
        <v/>
      </c>
      <c r="W1819" s="35">
        <f>$D1819*($E1819*W$321+$F1819*W$324)</f>
        <v/>
      </c>
      <c r="X1819" s="35">
        <f>$D1819*($E1819*X$321+$F1819*X$324)</f>
        <v/>
      </c>
      <c r="Y1819" s="35">
        <f>$D1819*($E1819*Y$321+$F1819*Y$324)</f>
        <v/>
      </c>
      <c r="Z1819" s="35">
        <f>$D1819*($E1819*Z$321+$F1819*Z$324)</f>
        <v/>
      </c>
      <c r="AA1819" s="35">
        <f>$D1819*($E1819*AA$321+$F1819*AA$324)</f>
        <v/>
      </c>
      <c r="AB1819" s="35">
        <f>$D1819*($E1819*AB$321+$F1819*AB$324)</f>
        <v/>
      </c>
      <c r="AC1819" s="35">
        <f>$D1819*($E1819*AC$321+$F1819*AC$324)</f>
        <v/>
      </c>
      <c r="AD1819" s="35">
        <f>$D1819*($E1819*AD$321+$F1819*AD$324)</f>
        <v/>
      </c>
      <c r="AE1819" s="42">
        <f>XCARBON($D1819,$E1819,AE$321,$F1819,AE$324)</f>
        <v/>
      </c>
      <c r="AG1819" s="11">
        <f>CodePrefix&amp;$A1819&amp;IF($C1819="","","."&amp;$C1819&amp;"."&amp;$B1819)&amp;INDEX(VarEnd,MATCH($A1819,VarKey,0))&amp;AG$5</f>
        <v/>
      </c>
      <c r="AH1819" s="40">
        <f>$D1819*($E1819*AH$321+$F1819*AH$324)</f>
        <v/>
      </c>
      <c r="AI1819" s="35">
        <f>$D1819*($E1819*AI$321+$F1819*AI$324)</f>
        <v/>
      </c>
      <c r="AJ1819" s="35">
        <f>$D1819*($E1819*AJ$321+$F1819*AJ$324)</f>
        <v/>
      </c>
      <c r="AK1819" s="35">
        <f>$D1819*($E1819*AK$321+$F1819*AK$324)</f>
        <v/>
      </c>
      <c r="AL1819" s="35">
        <f>$D1819*($E1819*AL$321+$F1819*AL$324)</f>
        <v/>
      </c>
      <c r="AM1819" s="35">
        <f>$D1819*($E1819*AM$321+$F1819*AM$324)</f>
        <v/>
      </c>
      <c r="AN1819" s="35">
        <f>$D1819*($E1819*AN$321+$F1819*AN$324)</f>
        <v/>
      </c>
      <c r="AO1819" s="35">
        <f>$D1819*($E1819*AO$321+$F1819*AO$324)</f>
        <v/>
      </c>
      <c r="AP1819" s="35">
        <f>$D1819*($E1819*AP$321+$F1819*AP$324)</f>
        <v/>
      </c>
      <c r="AQ1819" s="35">
        <f>$D1819*($E1819*AQ$321+$F1819*AQ$324)</f>
        <v/>
      </c>
      <c r="AR1819" s="35">
        <f>$D1819*($E1819*AR$321+$F1819*AR$324)</f>
        <v/>
      </c>
      <c r="AS1819" s="35">
        <f>$D1819*($E1819*AS$321+$F1819*AS$324)</f>
        <v/>
      </c>
      <c r="AT1819" s="35">
        <f>$D1819*($E1819*AT$321+$F1819*AT$324)</f>
        <v/>
      </c>
      <c r="AU1819" s="35">
        <f>$D1819*($E1819*AU$321+$F1819*AU$324)</f>
        <v/>
      </c>
      <c r="AV1819" s="35">
        <f>$D1819*($E1819*AV$321+$F1819*AV$324)</f>
        <v/>
      </c>
      <c r="AW1819" s="35">
        <f>$D1819*($E1819*AW$321+$F1819*AW$324)</f>
        <v/>
      </c>
      <c r="AX1819" s="35">
        <f>$D1819*($E1819*AX$321+$F1819*AX$324)</f>
        <v/>
      </c>
      <c r="AY1819" s="35">
        <f>$D1819*($E1819*AY$321+$F1819*AY$324)</f>
        <v/>
      </c>
      <c r="AZ1819" s="35">
        <f>$D1819*($E1819*AZ$321+$F1819*AZ$324)</f>
        <v/>
      </c>
      <c r="BA1819" s="42">
        <f>XCARBON($D1819,$E1819,BA$321,$F1819,BA$324)</f>
        <v/>
      </c>
    </row>
    <row r="1820" hidden="1" outlineLevel="2">
      <c r="A1820" s="14" t="inlineStr">
        <is>
          <t>xcp</t>
        </is>
      </c>
      <c r="B1820" s="14" t="inlineStr">
        <is>
          <t>oop</t>
        </is>
      </c>
      <c r="C1820" s="14" t="inlineStr">
        <is>
          <t>srv</t>
        </is>
      </c>
      <c r="D1820" s="35">
        <f>INDEX(Inputs!$W$5:$W$132,MATCH($B1820&amp;"|"&amp;$C1820,Inputs!$A$5:$A$132,0))</f>
        <v/>
      </c>
      <c r="E1820" s="35">
        <f>INDEX(Inputs!$Z$5:$Z$132,MATCH($B1820&amp;"|"&amp;$C1820,Inputs!$A$5:$A$132,0))</f>
        <v/>
      </c>
      <c r="F1820" s="35">
        <f>INDEX(Inputs!$AA$5:$AA$132,MATCH($B1820&amp;"|"&amp;$C1820,Inputs!$A$5:$A$132,0))</f>
        <v/>
      </c>
      <c r="G1820" s="39" t="n"/>
      <c r="H1820" s="14">
        <f>INDEX(VarLab,MATCH($A1820,VarKey,0))&amp;INDEX(MemLab,MATCH($C1820&amp;"|"&amp;$B1820,MemKey,0))</f>
        <v/>
      </c>
      <c r="I1820" s="14">
        <f>INDEX(VarUnit,MATCH($A1820,VarKey,0))</f>
        <v/>
      </c>
      <c r="J1820" s="14">
        <f>INDEX(VarSrc,MATCH($A1820,VarKey,0))</f>
        <v/>
      </c>
      <c r="K1820" s="11">
        <f>CodePrefix&amp;$A1820&amp;IF($C1820="","","."&amp;$C1820&amp;"."&amp;$B1820)&amp;INDEX(VarEnd,MATCH($A1820,VarKey,0))&amp;K$5</f>
        <v/>
      </c>
      <c r="L1820" s="40">
        <f>$D1820*($E1820*L$321+$F1820*L$324)</f>
        <v/>
      </c>
      <c r="M1820" s="35">
        <f>$D1820*($E1820*M$321+$F1820*M$324)</f>
        <v/>
      </c>
      <c r="N1820" s="35">
        <f>$D1820*($E1820*N$321+$F1820*N$324)</f>
        <v/>
      </c>
      <c r="O1820" s="35">
        <f>$D1820*($E1820*O$321+$F1820*O$324)</f>
        <v/>
      </c>
      <c r="P1820" s="35">
        <f>$D1820*($E1820*P$321+$F1820*P$324)</f>
        <v/>
      </c>
      <c r="Q1820" s="35">
        <f>$D1820*($E1820*Q$321+$F1820*Q$324)</f>
        <v/>
      </c>
      <c r="R1820" s="35">
        <f>$D1820*($E1820*R$321+$F1820*R$324)</f>
        <v/>
      </c>
      <c r="S1820" s="35">
        <f>$D1820*($E1820*S$321+$F1820*S$324)</f>
        <v/>
      </c>
      <c r="T1820" s="35">
        <f>$D1820*($E1820*T$321+$F1820*T$324)</f>
        <v/>
      </c>
      <c r="U1820" s="35">
        <f>$D1820*($E1820*U$321+$F1820*U$324)</f>
        <v/>
      </c>
      <c r="V1820" s="35">
        <f>$D1820*($E1820*V$321+$F1820*V$324)</f>
        <v/>
      </c>
      <c r="W1820" s="35">
        <f>$D1820*($E1820*W$321+$F1820*W$324)</f>
        <v/>
      </c>
      <c r="X1820" s="35">
        <f>$D1820*($E1820*X$321+$F1820*X$324)</f>
        <v/>
      </c>
      <c r="Y1820" s="35">
        <f>$D1820*($E1820*Y$321+$F1820*Y$324)</f>
        <v/>
      </c>
      <c r="Z1820" s="35">
        <f>$D1820*($E1820*Z$321+$F1820*Z$324)</f>
        <v/>
      </c>
      <c r="AA1820" s="35">
        <f>$D1820*($E1820*AA$321+$F1820*AA$324)</f>
        <v/>
      </c>
      <c r="AB1820" s="35">
        <f>$D1820*($E1820*AB$321+$F1820*AB$324)</f>
        <v/>
      </c>
      <c r="AC1820" s="35">
        <f>$D1820*($E1820*AC$321+$F1820*AC$324)</f>
        <v/>
      </c>
      <c r="AD1820" s="35">
        <f>$D1820*($E1820*AD$321+$F1820*AD$324)</f>
        <v/>
      </c>
      <c r="AE1820" s="42">
        <f>XCARBON($D1820,$E1820,AE$321,$F1820,AE$324)</f>
        <v/>
      </c>
      <c r="AG1820" s="11">
        <f>CodePrefix&amp;$A1820&amp;IF($C1820="","","."&amp;$C1820&amp;"."&amp;$B1820)&amp;INDEX(VarEnd,MATCH($A1820,VarKey,0))&amp;AG$5</f>
        <v/>
      </c>
      <c r="AH1820" s="40">
        <f>$D1820*($E1820*AH$321+$F1820*AH$324)</f>
        <v/>
      </c>
      <c r="AI1820" s="35">
        <f>$D1820*($E1820*AI$321+$F1820*AI$324)</f>
        <v/>
      </c>
      <c r="AJ1820" s="35">
        <f>$D1820*($E1820*AJ$321+$F1820*AJ$324)</f>
        <v/>
      </c>
      <c r="AK1820" s="35">
        <f>$D1820*($E1820*AK$321+$F1820*AK$324)</f>
        <v/>
      </c>
      <c r="AL1820" s="35">
        <f>$D1820*($E1820*AL$321+$F1820*AL$324)</f>
        <v/>
      </c>
      <c r="AM1820" s="35">
        <f>$D1820*($E1820*AM$321+$F1820*AM$324)</f>
        <v/>
      </c>
      <c r="AN1820" s="35">
        <f>$D1820*($E1820*AN$321+$F1820*AN$324)</f>
        <v/>
      </c>
      <c r="AO1820" s="35">
        <f>$D1820*($E1820*AO$321+$F1820*AO$324)</f>
        <v/>
      </c>
      <c r="AP1820" s="35">
        <f>$D1820*($E1820*AP$321+$F1820*AP$324)</f>
        <v/>
      </c>
      <c r="AQ1820" s="35">
        <f>$D1820*($E1820*AQ$321+$F1820*AQ$324)</f>
        <v/>
      </c>
      <c r="AR1820" s="35">
        <f>$D1820*($E1820*AR$321+$F1820*AR$324)</f>
        <v/>
      </c>
      <c r="AS1820" s="35">
        <f>$D1820*($E1820*AS$321+$F1820*AS$324)</f>
        <v/>
      </c>
      <c r="AT1820" s="35">
        <f>$D1820*($E1820*AT$321+$F1820*AT$324)</f>
        <v/>
      </c>
      <c r="AU1820" s="35">
        <f>$D1820*($E1820*AU$321+$F1820*AU$324)</f>
        <v/>
      </c>
      <c r="AV1820" s="35">
        <f>$D1820*($E1820*AV$321+$F1820*AV$324)</f>
        <v/>
      </c>
      <c r="AW1820" s="35">
        <f>$D1820*($E1820*AW$321+$F1820*AW$324)</f>
        <v/>
      </c>
      <c r="AX1820" s="35">
        <f>$D1820*($E1820*AX$321+$F1820*AX$324)</f>
        <v/>
      </c>
      <c r="AY1820" s="35">
        <f>$D1820*($E1820*AY$321+$F1820*AY$324)</f>
        <v/>
      </c>
      <c r="AZ1820" s="35">
        <f>$D1820*($E1820*AZ$321+$F1820*AZ$324)</f>
        <v/>
      </c>
      <c r="BA1820" s="42">
        <f>XCARBON($D1820,$E1820,BA$321,$F1820,BA$324)</f>
        <v/>
      </c>
    </row>
    <row r="1821" hidden="1" outlineLevel="2">
      <c r="A1821" s="14" t="inlineStr">
        <is>
          <t>xcp</t>
        </is>
      </c>
      <c r="B1821" s="14" t="inlineStr">
        <is>
          <t>bio</t>
        </is>
      </c>
      <c r="C1821" s="14" t="inlineStr">
        <is>
          <t>srv</t>
        </is>
      </c>
      <c r="D1821" s="35">
        <f>INDEX(Inputs!$W$5:$W$132,MATCH($B1821&amp;"|"&amp;$C1821,Inputs!$A$5:$A$132,0))</f>
        <v/>
      </c>
      <c r="E1821" s="35">
        <f>INDEX(Inputs!$Z$5:$Z$132,MATCH($B1821&amp;"|"&amp;$C1821,Inputs!$A$5:$A$132,0))</f>
        <v/>
      </c>
      <c r="F1821" s="35">
        <f>INDEX(Inputs!$AA$5:$AA$132,MATCH($B1821&amp;"|"&amp;$C1821,Inputs!$A$5:$A$132,0))</f>
        <v/>
      </c>
      <c r="G1821" s="39" t="n"/>
      <c r="H1821" s="14">
        <f>INDEX(VarLab,MATCH($A1821,VarKey,0))&amp;INDEX(MemLab,MATCH($C1821&amp;"|"&amp;$B1821,MemKey,0))</f>
        <v/>
      </c>
      <c r="I1821" s="14">
        <f>INDEX(VarUnit,MATCH($A1821,VarKey,0))</f>
        <v/>
      </c>
      <c r="J1821" s="14">
        <f>INDEX(VarSrc,MATCH($A1821,VarKey,0))</f>
        <v/>
      </c>
      <c r="K1821" s="11">
        <f>CodePrefix&amp;$A1821&amp;IF($C1821="","","."&amp;$C1821&amp;"."&amp;$B1821)&amp;INDEX(VarEnd,MATCH($A1821,VarKey,0))&amp;K$5</f>
        <v/>
      </c>
      <c r="L1821" s="40">
        <f>$D1821*($E1821*L$321+$F1821*L$324)</f>
        <v/>
      </c>
      <c r="M1821" s="35">
        <f>$D1821*($E1821*M$321+$F1821*M$324)</f>
        <v/>
      </c>
      <c r="N1821" s="35">
        <f>$D1821*($E1821*N$321+$F1821*N$324)</f>
        <v/>
      </c>
      <c r="O1821" s="35">
        <f>$D1821*($E1821*O$321+$F1821*O$324)</f>
        <v/>
      </c>
      <c r="P1821" s="35">
        <f>$D1821*($E1821*P$321+$F1821*P$324)</f>
        <v/>
      </c>
      <c r="Q1821" s="35">
        <f>$D1821*($E1821*Q$321+$F1821*Q$324)</f>
        <v/>
      </c>
      <c r="R1821" s="35">
        <f>$D1821*($E1821*R$321+$F1821*R$324)</f>
        <v/>
      </c>
      <c r="S1821" s="35">
        <f>$D1821*($E1821*S$321+$F1821*S$324)</f>
        <v/>
      </c>
      <c r="T1821" s="35">
        <f>$D1821*($E1821*T$321+$F1821*T$324)</f>
        <v/>
      </c>
      <c r="U1821" s="35">
        <f>$D1821*($E1821*U$321+$F1821*U$324)</f>
        <v/>
      </c>
      <c r="V1821" s="35">
        <f>$D1821*($E1821*V$321+$F1821*V$324)</f>
        <v/>
      </c>
      <c r="W1821" s="35">
        <f>$D1821*($E1821*W$321+$F1821*W$324)</f>
        <v/>
      </c>
      <c r="X1821" s="35">
        <f>$D1821*($E1821*X$321+$F1821*X$324)</f>
        <v/>
      </c>
      <c r="Y1821" s="35">
        <f>$D1821*($E1821*Y$321+$F1821*Y$324)</f>
        <v/>
      </c>
      <c r="Z1821" s="35">
        <f>$D1821*($E1821*Z$321+$F1821*Z$324)</f>
        <v/>
      </c>
      <c r="AA1821" s="35">
        <f>$D1821*($E1821*AA$321+$F1821*AA$324)</f>
        <v/>
      </c>
      <c r="AB1821" s="35">
        <f>$D1821*($E1821*AB$321+$F1821*AB$324)</f>
        <v/>
      </c>
      <c r="AC1821" s="35">
        <f>$D1821*($E1821*AC$321+$F1821*AC$324)</f>
        <v/>
      </c>
      <c r="AD1821" s="35">
        <f>$D1821*($E1821*AD$321+$F1821*AD$324)</f>
        <v/>
      </c>
      <c r="AE1821" s="42">
        <f>XCARBON($D1821,$E1821,AE$321,$F1821,AE$324)</f>
        <v/>
      </c>
      <c r="AG1821" s="11">
        <f>CodePrefix&amp;$A1821&amp;IF($C1821="","","."&amp;$C1821&amp;"."&amp;$B1821)&amp;INDEX(VarEnd,MATCH($A1821,VarKey,0))&amp;AG$5</f>
        <v/>
      </c>
      <c r="AH1821" s="40">
        <f>$D1821*($E1821*AH$321+$F1821*AH$324)</f>
        <v/>
      </c>
      <c r="AI1821" s="35">
        <f>$D1821*($E1821*AI$321+$F1821*AI$324)</f>
        <v/>
      </c>
      <c r="AJ1821" s="35">
        <f>$D1821*($E1821*AJ$321+$F1821*AJ$324)</f>
        <v/>
      </c>
      <c r="AK1821" s="35">
        <f>$D1821*($E1821*AK$321+$F1821*AK$324)</f>
        <v/>
      </c>
      <c r="AL1821" s="35">
        <f>$D1821*($E1821*AL$321+$F1821*AL$324)</f>
        <v/>
      </c>
      <c r="AM1821" s="35">
        <f>$D1821*($E1821*AM$321+$F1821*AM$324)</f>
        <v/>
      </c>
      <c r="AN1821" s="35">
        <f>$D1821*($E1821*AN$321+$F1821*AN$324)</f>
        <v/>
      </c>
      <c r="AO1821" s="35">
        <f>$D1821*($E1821*AO$321+$F1821*AO$324)</f>
        <v/>
      </c>
      <c r="AP1821" s="35">
        <f>$D1821*($E1821*AP$321+$F1821*AP$324)</f>
        <v/>
      </c>
      <c r="AQ1821" s="35">
        <f>$D1821*($E1821*AQ$321+$F1821*AQ$324)</f>
        <v/>
      </c>
      <c r="AR1821" s="35">
        <f>$D1821*($E1821*AR$321+$F1821*AR$324)</f>
        <v/>
      </c>
      <c r="AS1821" s="35">
        <f>$D1821*($E1821*AS$321+$F1821*AS$324)</f>
        <v/>
      </c>
      <c r="AT1821" s="35">
        <f>$D1821*($E1821*AT$321+$F1821*AT$324)</f>
        <v/>
      </c>
      <c r="AU1821" s="35">
        <f>$D1821*($E1821*AU$321+$F1821*AU$324)</f>
        <v/>
      </c>
      <c r="AV1821" s="35">
        <f>$D1821*($E1821*AV$321+$F1821*AV$324)</f>
        <v/>
      </c>
      <c r="AW1821" s="35">
        <f>$D1821*($E1821*AW$321+$F1821*AW$324)</f>
        <v/>
      </c>
      <c r="AX1821" s="35">
        <f>$D1821*($E1821*AX$321+$F1821*AX$324)</f>
        <v/>
      </c>
      <c r="AY1821" s="35">
        <f>$D1821*($E1821*AY$321+$F1821*AY$324)</f>
        <v/>
      </c>
      <c r="AZ1821" s="35">
        <f>$D1821*($E1821*AZ$321+$F1821*AZ$324)</f>
        <v/>
      </c>
      <c r="BA1821" s="42">
        <f>XCARBON($D1821,$E1821,BA$321,$F1821,BA$324)</f>
        <v/>
      </c>
    </row>
    <row r="1822" hidden="1" outlineLevel="2"/>
    <row r="1823" hidden="1" outlineLevel="2">
      <c r="A1823" s="14" t="inlineStr">
        <is>
          <t>xcpd</t>
        </is>
      </c>
      <c r="B1823" s="14" t="inlineStr">
        <is>
          <t>coa</t>
        </is>
      </c>
      <c r="C1823" s="14" t="inlineStr">
        <is>
          <t>srv</t>
        </is>
      </c>
      <c r="D1823" s="35">
        <f>INDEX(Inputs!$W$5:$W$132,MATCH($B1823&amp;"|"&amp;$C1823,Inputs!$A$5:$A$132,0))</f>
        <v/>
      </c>
      <c r="E1823" s="35">
        <f>INDEX(Inputs!$Z$5:$Z$132,MATCH($B1823&amp;"|"&amp;$C1823,Inputs!$A$5:$A$132,0))</f>
        <v/>
      </c>
      <c r="F1823" s="35">
        <f>INDEX(Inputs!$AA$5:$AA$132,MATCH($B1823&amp;"|"&amp;$C1823,Inputs!$A$5:$A$132,0))</f>
        <v/>
      </c>
      <c r="G1823" s="39" t="n"/>
      <c r="H1823" s="14">
        <f>INDEX(VarLab,MATCH($A1823,VarKey,0))&amp;INDEX(MemLab,MATCH($C1823&amp;"|"&amp;$B1823,MemKey,0))</f>
        <v/>
      </c>
      <c r="I1823" s="14">
        <f>INDEX(VarUnit,MATCH($A1823,VarKey,0))</f>
        <v/>
      </c>
      <c r="J1823" s="14">
        <f>INDEX(VarSrc,MATCH($A1823,VarKey,0))</f>
        <v/>
      </c>
      <c r="K1823" s="11">
        <f>CodePrefix&amp;$A1823&amp;IF($C1823="","","."&amp;$C1823&amp;"."&amp;$B1823)&amp;INDEX(VarEnd,MATCH($A1823,VarKey,0))&amp;K$5</f>
        <v/>
      </c>
      <c r="L1823" s="40">
        <f>$D1823*($E1823*(L$321-L$322)+$F1823*(L$324-L$325))</f>
        <v/>
      </c>
      <c r="M1823" s="35">
        <f>$D1823*($E1823*(M$321-M$322)+$F1823*(M$324-M$325))</f>
        <v/>
      </c>
      <c r="N1823" s="35">
        <f>$D1823*($E1823*(N$321-N$322)+$F1823*(N$324-N$325))</f>
        <v/>
      </c>
      <c r="O1823" s="35">
        <f>$D1823*($E1823*(O$321-O$322)+$F1823*(O$324-O$325))</f>
        <v/>
      </c>
      <c r="P1823" s="35">
        <f>$D1823*($E1823*(P$321-P$322)+$F1823*(P$324-P$325))</f>
        <v/>
      </c>
      <c r="Q1823" s="35">
        <f>$D1823*($E1823*(Q$321-Q$322)+$F1823*(Q$324-Q$325))</f>
        <v/>
      </c>
      <c r="R1823" s="35">
        <f>$D1823*($E1823*(R$321-R$322)+$F1823*(R$324-R$325))</f>
        <v/>
      </c>
      <c r="S1823" s="35">
        <f>$D1823*($E1823*(S$321-S$322)+$F1823*(S$324-S$325))</f>
        <v/>
      </c>
      <c r="T1823" s="35">
        <f>$D1823*($E1823*(T$321-T$322)+$F1823*(T$324-T$325))</f>
        <v/>
      </c>
      <c r="U1823" s="35">
        <f>$D1823*($E1823*(U$321-U$322)+$F1823*(U$324-U$325))</f>
        <v/>
      </c>
      <c r="V1823" s="35">
        <f>$D1823*($E1823*(V$321-V$322)+$F1823*(V$324-V$325))</f>
        <v/>
      </c>
      <c r="W1823" s="35">
        <f>$D1823*($E1823*(W$321-W$322)+$F1823*(W$324-W$325))</f>
        <v/>
      </c>
      <c r="X1823" s="35">
        <f>$D1823*($E1823*(X$321-X$322)+$F1823*(X$324-X$325))</f>
        <v/>
      </c>
      <c r="Y1823" s="35">
        <f>$D1823*($E1823*(Y$321-Y$322)+$F1823*(Y$324-Y$325))</f>
        <v/>
      </c>
      <c r="Z1823" s="35">
        <f>$D1823*($E1823*(Z$321-Z$322)+$F1823*(Z$324-Z$325))</f>
        <v/>
      </c>
      <c r="AA1823" s="35">
        <f>$D1823*($E1823*(AA$321-AA$322)+$F1823*(AA$324-AA$325))</f>
        <v/>
      </c>
      <c r="AB1823" s="35">
        <f>$D1823*($E1823*(AB$321-AB$322)+$F1823*(AB$324-AB$325))</f>
        <v/>
      </c>
      <c r="AC1823" s="35">
        <f>$D1823*($E1823*(AC$321-AC$322)+$F1823*(AC$324-AC$325))</f>
        <v/>
      </c>
      <c r="AD1823" s="35">
        <f>$D1823*($E1823*(AD$321-AD$322)+$F1823*(AD$324-AD$325))</f>
        <v/>
      </c>
      <c r="AE1823" s="42">
        <f>XCARBON($D1823,$E1823,(AE$321-AE$322),$F1823,(AE$324-AE$325))</f>
        <v/>
      </c>
      <c r="AG1823" s="11">
        <f>CodePrefix&amp;$A1823&amp;IF($C1823="","","."&amp;$C1823&amp;"."&amp;$B1823)&amp;INDEX(VarEnd,MATCH($A1823,VarKey,0))&amp;AG$5</f>
        <v/>
      </c>
      <c r="AH1823" s="40">
        <f>$D1823*($E1823*(AH$321-AH$322)+$F1823*(AH$324-AH$325))</f>
        <v/>
      </c>
      <c r="AI1823" s="35">
        <f>$D1823*($E1823*(AI$321-AI$322)+$F1823*(AI$324-AI$325))</f>
        <v/>
      </c>
      <c r="AJ1823" s="35">
        <f>$D1823*($E1823*(AJ$321-AJ$322)+$F1823*(AJ$324-AJ$325))</f>
        <v/>
      </c>
      <c r="AK1823" s="35">
        <f>$D1823*($E1823*(AK$321-AK$322)+$F1823*(AK$324-AK$325))</f>
        <v/>
      </c>
      <c r="AL1823" s="35">
        <f>$D1823*($E1823*(AL$321-AL$322)+$F1823*(AL$324-AL$325))</f>
        <v/>
      </c>
      <c r="AM1823" s="35">
        <f>$D1823*($E1823*(AM$321-AM$322)+$F1823*(AM$324-AM$325))</f>
        <v/>
      </c>
      <c r="AN1823" s="35">
        <f>$D1823*($E1823*(AN$321-AN$322)+$F1823*(AN$324-AN$325))</f>
        <v/>
      </c>
      <c r="AO1823" s="35">
        <f>$D1823*($E1823*(AO$321-AO$322)+$F1823*(AO$324-AO$325))</f>
        <v/>
      </c>
      <c r="AP1823" s="35">
        <f>$D1823*($E1823*(AP$321-AP$322)+$F1823*(AP$324-AP$325))</f>
        <v/>
      </c>
      <c r="AQ1823" s="35">
        <f>$D1823*($E1823*(AQ$321-AQ$322)+$F1823*(AQ$324-AQ$325))</f>
        <v/>
      </c>
      <c r="AR1823" s="35">
        <f>$D1823*($E1823*(AR$321-AR$322)+$F1823*(AR$324-AR$325))</f>
        <v/>
      </c>
      <c r="AS1823" s="35">
        <f>$D1823*($E1823*(AS$321-AS$322)+$F1823*(AS$324-AS$325))</f>
        <v/>
      </c>
      <c r="AT1823" s="35">
        <f>$D1823*($E1823*(AT$321-AT$322)+$F1823*(AT$324-AT$325))</f>
        <v/>
      </c>
      <c r="AU1823" s="35">
        <f>$D1823*($E1823*(AU$321-AU$322)+$F1823*(AU$324-AU$325))</f>
        <v/>
      </c>
      <c r="AV1823" s="35">
        <f>$D1823*($E1823*(AV$321-AV$322)+$F1823*(AV$324-AV$325))</f>
        <v/>
      </c>
      <c r="AW1823" s="35">
        <f>$D1823*($E1823*(AW$321-AW$322)+$F1823*(AW$324-AW$325))</f>
        <v/>
      </c>
      <c r="AX1823" s="35">
        <f>$D1823*($E1823*(AX$321-AX$322)+$F1823*(AX$324-AX$325))</f>
        <v/>
      </c>
      <c r="AY1823" s="35">
        <f>$D1823*($E1823*(AY$321-AY$322)+$F1823*(AY$324-AY$325))</f>
        <v/>
      </c>
      <c r="AZ1823" s="35">
        <f>$D1823*($E1823*(AZ$321-AZ$322)+$F1823*(AZ$324-AZ$325))</f>
        <v/>
      </c>
      <c r="BA1823" s="42">
        <f>XCARBON($D1823,$E1823,(BA$321-BA$322),$F1823,(BA$324-BA$325))</f>
        <v/>
      </c>
    </row>
    <row r="1824" hidden="1" outlineLevel="2">
      <c r="A1824" s="14" t="inlineStr">
        <is>
          <t>xcpd</t>
        </is>
      </c>
      <c r="B1824" s="14" t="inlineStr">
        <is>
          <t>nga</t>
        </is>
      </c>
      <c r="C1824" s="14" t="inlineStr">
        <is>
          <t>srv</t>
        </is>
      </c>
      <c r="D1824" s="35">
        <f>INDEX(Inputs!$W$5:$W$132,MATCH($B1824&amp;"|"&amp;$C1824,Inputs!$A$5:$A$132,0))</f>
        <v/>
      </c>
      <c r="E1824" s="35">
        <f>INDEX(Inputs!$Z$5:$Z$132,MATCH($B1824&amp;"|"&amp;$C1824,Inputs!$A$5:$A$132,0))</f>
        <v/>
      </c>
      <c r="F1824" s="35">
        <f>INDEX(Inputs!$AA$5:$AA$132,MATCH($B1824&amp;"|"&amp;$C1824,Inputs!$A$5:$A$132,0))</f>
        <v/>
      </c>
      <c r="G1824" s="39" t="n"/>
      <c r="H1824" s="14">
        <f>INDEX(VarLab,MATCH($A1824,VarKey,0))&amp;INDEX(MemLab,MATCH($C1824&amp;"|"&amp;$B1824,MemKey,0))</f>
        <v/>
      </c>
      <c r="I1824" s="14">
        <f>INDEX(VarUnit,MATCH($A1824,VarKey,0))</f>
        <v/>
      </c>
      <c r="J1824" s="14">
        <f>INDEX(VarSrc,MATCH($A1824,VarKey,0))</f>
        <v/>
      </c>
      <c r="K1824" s="11">
        <f>CodePrefix&amp;$A1824&amp;IF($C1824="","","."&amp;$C1824&amp;"."&amp;$B1824)&amp;INDEX(VarEnd,MATCH($A1824,VarKey,0))&amp;K$5</f>
        <v/>
      </c>
      <c r="L1824" s="40">
        <f>$D1824*($E1824*(L$321-L$322)+$F1824*(L$324-L$325))</f>
        <v/>
      </c>
      <c r="M1824" s="35">
        <f>$D1824*($E1824*(M$321-M$322)+$F1824*(M$324-M$325))</f>
        <v/>
      </c>
      <c r="N1824" s="35">
        <f>$D1824*($E1824*(N$321-N$322)+$F1824*(N$324-N$325))</f>
        <v/>
      </c>
      <c r="O1824" s="35">
        <f>$D1824*($E1824*(O$321-O$322)+$F1824*(O$324-O$325))</f>
        <v/>
      </c>
      <c r="P1824" s="35">
        <f>$D1824*($E1824*(P$321-P$322)+$F1824*(P$324-P$325))</f>
        <v/>
      </c>
      <c r="Q1824" s="35">
        <f>$D1824*($E1824*(Q$321-Q$322)+$F1824*(Q$324-Q$325))</f>
        <v/>
      </c>
      <c r="R1824" s="35">
        <f>$D1824*($E1824*(R$321-R$322)+$F1824*(R$324-R$325))</f>
        <v/>
      </c>
      <c r="S1824" s="35">
        <f>$D1824*($E1824*(S$321-S$322)+$F1824*(S$324-S$325))</f>
        <v/>
      </c>
      <c r="T1824" s="35">
        <f>$D1824*($E1824*(T$321-T$322)+$F1824*(T$324-T$325))</f>
        <v/>
      </c>
      <c r="U1824" s="35">
        <f>$D1824*($E1824*(U$321-U$322)+$F1824*(U$324-U$325))</f>
        <v/>
      </c>
      <c r="V1824" s="35">
        <f>$D1824*($E1824*(V$321-V$322)+$F1824*(V$324-V$325))</f>
        <v/>
      </c>
      <c r="W1824" s="35">
        <f>$D1824*($E1824*(W$321-W$322)+$F1824*(W$324-W$325))</f>
        <v/>
      </c>
      <c r="X1824" s="35">
        <f>$D1824*($E1824*(X$321-X$322)+$F1824*(X$324-X$325))</f>
        <v/>
      </c>
      <c r="Y1824" s="35">
        <f>$D1824*($E1824*(Y$321-Y$322)+$F1824*(Y$324-Y$325))</f>
        <v/>
      </c>
      <c r="Z1824" s="35">
        <f>$D1824*($E1824*(Z$321-Z$322)+$F1824*(Z$324-Z$325))</f>
        <v/>
      </c>
      <c r="AA1824" s="35">
        <f>$D1824*($E1824*(AA$321-AA$322)+$F1824*(AA$324-AA$325))</f>
        <v/>
      </c>
      <c r="AB1824" s="35">
        <f>$D1824*($E1824*(AB$321-AB$322)+$F1824*(AB$324-AB$325))</f>
        <v/>
      </c>
      <c r="AC1824" s="35">
        <f>$D1824*($E1824*(AC$321-AC$322)+$F1824*(AC$324-AC$325))</f>
        <v/>
      </c>
      <c r="AD1824" s="35">
        <f>$D1824*($E1824*(AD$321-AD$322)+$F1824*(AD$324-AD$325))</f>
        <v/>
      </c>
      <c r="AE1824" s="42">
        <f>XCARBON($D1824,$E1824,(AE$321-AE$322),$F1824,(AE$324-AE$325))</f>
        <v/>
      </c>
      <c r="AG1824" s="11">
        <f>CodePrefix&amp;$A1824&amp;IF($C1824="","","."&amp;$C1824&amp;"."&amp;$B1824)&amp;INDEX(VarEnd,MATCH($A1824,VarKey,0))&amp;AG$5</f>
        <v/>
      </c>
      <c r="AH1824" s="40">
        <f>$D1824*($E1824*(AH$321-AH$322)+$F1824*(AH$324-AH$325))</f>
        <v/>
      </c>
      <c r="AI1824" s="35">
        <f>$D1824*($E1824*(AI$321-AI$322)+$F1824*(AI$324-AI$325))</f>
        <v/>
      </c>
      <c r="AJ1824" s="35">
        <f>$D1824*($E1824*(AJ$321-AJ$322)+$F1824*(AJ$324-AJ$325))</f>
        <v/>
      </c>
      <c r="AK1824" s="35">
        <f>$D1824*($E1824*(AK$321-AK$322)+$F1824*(AK$324-AK$325))</f>
        <v/>
      </c>
      <c r="AL1824" s="35">
        <f>$D1824*($E1824*(AL$321-AL$322)+$F1824*(AL$324-AL$325))</f>
        <v/>
      </c>
      <c r="AM1824" s="35">
        <f>$D1824*($E1824*(AM$321-AM$322)+$F1824*(AM$324-AM$325))</f>
        <v/>
      </c>
      <c r="AN1824" s="35">
        <f>$D1824*($E1824*(AN$321-AN$322)+$F1824*(AN$324-AN$325))</f>
        <v/>
      </c>
      <c r="AO1824" s="35">
        <f>$D1824*($E1824*(AO$321-AO$322)+$F1824*(AO$324-AO$325))</f>
        <v/>
      </c>
      <c r="AP1824" s="35">
        <f>$D1824*($E1824*(AP$321-AP$322)+$F1824*(AP$324-AP$325))</f>
        <v/>
      </c>
      <c r="AQ1824" s="35">
        <f>$D1824*($E1824*(AQ$321-AQ$322)+$F1824*(AQ$324-AQ$325))</f>
        <v/>
      </c>
      <c r="AR1824" s="35">
        <f>$D1824*($E1824*(AR$321-AR$322)+$F1824*(AR$324-AR$325))</f>
        <v/>
      </c>
      <c r="AS1824" s="35">
        <f>$D1824*($E1824*(AS$321-AS$322)+$F1824*(AS$324-AS$325))</f>
        <v/>
      </c>
      <c r="AT1824" s="35">
        <f>$D1824*($E1824*(AT$321-AT$322)+$F1824*(AT$324-AT$325))</f>
        <v/>
      </c>
      <c r="AU1824" s="35">
        <f>$D1824*($E1824*(AU$321-AU$322)+$F1824*(AU$324-AU$325))</f>
        <v/>
      </c>
      <c r="AV1824" s="35">
        <f>$D1824*($E1824*(AV$321-AV$322)+$F1824*(AV$324-AV$325))</f>
        <v/>
      </c>
      <c r="AW1824" s="35">
        <f>$D1824*($E1824*(AW$321-AW$322)+$F1824*(AW$324-AW$325))</f>
        <v/>
      </c>
      <c r="AX1824" s="35">
        <f>$D1824*($E1824*(AX$321-AX$322)+$F1824*(AX$324-AX$325))</f>
        <v/>
      </c>
      <c r="AY1824" s="35">
        <f>$D1824*($E1824*(AY$321-AY$322)+$F1824*(AY$324-AY$325))</f>
        <v/>
      </c>
      <c r="AZ1824" s="35">
        <f>$D1824*($E1824*(AZ$321-AZ$322)+$F1824*(AZ$324-AZ$325))</f>
        <v/>
      </c>
      <c r="BA1824" s="42">
        <f>XCARBON($D1824,$E1824,(BA$321-BA$322),$F1824,(BA$324-BA$325))</f>
        <v/>
      </c>
    </row>
    <row r="1825" hidden="1" outlineLevel="2">
      <c r="A1825" s="14" t="inlineStr">
        <is>
          <t>xcpd</t>
        </is>
      </c>
      <c r="B1825" s="14" t="inlineStr">
        <is>
          <t>gso</t>
        </is>
      </c>
      <c r="C1825" s="14" t="inlineStr">
        <is>
          <t>srv</t>
        </is>
      </c>
      <c r="D1825" s="35">
        <f>INDEX(Inputs!$W$5:$W$132,MATCH($B1825&amp;"|"&amp;$C1825,Inputs!$A$5:$A$132,0))</f>
        <v/>
      </c>
      <c r="E1825" s="35">
        <f>INDEX(Inputs!$Z$5:$Z$132,MATCH($B1825&amp;"|"&amp;$C1825,Inputs!$A$5:$A$132,0))</f>
        <v/>
      </c>
      <c r="F1825" s="35">
        <f>INDEX(Inputs!$AA$5:$AA$132,MATCH($B1825&amp;"|"&amp;$C1825,Inputs!$A$5:$A$132,0))</f>
        <v/>
      </c>
      <c r="G1825" s="39" t="n"/>
      <c r="H1825" s="14">
        <f>INDEX(VarLab,MATCH($A1825,VarKey,0))&amp;INDEX(MemLab,MATCH($C1825&amp;"|"&amp;$B1825,MemKey,0))</f>
        <v/>
      </c>
      <c r="I1825" s="14">
        <f>INDEX(VarUnit,MATCH($A1825,VarKey,0))</f>
        <v/>
      </c>
      <c r="J1825" s="14">
        <f>INDEX(VarSrc,MATCH($A1825,VarKey,0))</f>
        <v/>
      </c>
      <c r="K1825" s="11">
        <f>CodePrefix&amp;$A1825&amp;IF($C1825="","","."&amp;$C1825&amp;"."&amp;$B1825)&amp;INDEX(VarEnd,MATCH($A1825,VarKey,0))&amp;K$5</f>
        <v/>
      </c>
      <c r="L1825" s="40">
        <f>$D1825*($E1825*(L$321-L$322)+$F1825*(L$324-L$325))</f>
        <v/>
      </c>
      <c r="M1825" s="35">
        <f>$D1825*($E1825*(M$321-M$322)+$F1825*(M$324-M$325))</f>
        <v/>
      </c>
      <c r="N1825" s="35">
        <f>$D1825*($E1825*(N$321-N$322)+$F1825*(N$324-N$325))</f>
        <v/>
      </c>
      <c r="O1825" s="35">
        <f>$D1825*($E1825*(O$321-O$322)+$F1825*(O$324-O$325))</f>
        <v/>
      </c>
      <c r="P1825" s="35">
        <f>$D1825*($E1825*(P$321-P$322)+$F1825*(P$324-P$325))</f>
        <v/>
      </c>
      <c r="Q1825" s="35">
        <f>$D1825*($E1825*(Q$321-Q$322)+$F1825*(Q$324-Q$325))</f>
        <v/>
      </c>
      <c r="R1825" s="35">
        <f>$D1825*($E1825*(R$321-R$322)+$F1825*(R$324-R$325))</f>
        <v/>
      </c>
      <c r="S1825" s="35">
        <f>$D1825*($E1825*(S$321-S$322)+$F1825*(S$324-S$325))</f>
        <v/>
      </c>
      <c r="T1825" s="35">
        <f>$D1825*($E1825*(T$321-T$322)+$F1825*(T$324-T$325))</f>
        <v/>
      </c>
      <c r="U1825" s="35">
        <f>$D1825*($E1825*(U$321-U$322)+$F1825*(U$324-U$325))</f>
        <v/>
      </c>
      <c r="V1825" s="35">
        <f>$D1825*($E1825*(V$321-V$322)+$F1825*(V$324-V$325))</f>
        <v/>
      </c>
      <c r="W1825" s="35">
        <f>$D1825*($E1825*(W$321-W$322)+$F1825*(W$324-W$325))</f>
        <v/>
      </c>
      <c r="X1825" s="35">
        <f>$D1825*($E1825*(X$321-X$322)+$F1825*(X$324-X$325))</f>
        <v/>
      </c>
      <c r="Y1825" s="35">
        <f>$D1825*($E1825*(Y$321-Y$322)+$F1825*(Y$324-Y$325))</f>
        <v/>
      </c>
      <c r="Z1825" s="35">
        <f>$D1825*($E1825*(Z$321-Z$322)+$F1825*(Z$324-Z$325))</f>
        <v/>
      </c>
      <c r="AA1825" s="35">
        <f>$D1825*($E1825*(AA$321-AA$322)+$F1825*(AA$324-AA$325))</f>
        <v/>
      </c>
      <c r="AB1825" s="35">
        <f>$D1825*($E1825*(AB$321-AB$322)+$F1825*(AB$324-AB$325))</f>
        <v/>
      </c>
      <c r="AC1825" s="35">
        <f>$D1825*($E1825*(AC$321-AC$322)+$F1825*(AC$324-AC$325))</f>
        <v/>
      </c>
      <c r="AD1825" s="35">
        <f>$D1825*($E1825*(AD$321-AD$322)+$F1825*(AD$324-AD$325))</f>
        <v/>
      </c>
      <c r="AE1825" s="42">
        <f>XCARBON($D1825,$E1825,(AE$321-AE$322),$F1825,(AE$324-AE$325))</f>
        <v/>
      </c>
      <c r="AG1825" s="11">
        <f>CodePrefix&amp;$A1825&amp;IF($C1825="","","."&amp;$C1825&amp;"."&amp;$B1825)&amp;INDEX(VarEnd,MATCH($A1825,VarKey,0))&amp;AG$5</f>
        <v/>
      </c>
      <c r="AH1825" s="40">
        <f>$D1825*($E1825*(AH$321-AH$322)+$F1825*(AH$324-AH$325))</f>
        <v/>
      </c>
      <c r="AI1825" s="35">
        <f>$D1825*($E1825*(AI$321-AI$322)+$F1825*(AI$324-AI$325))</f>
        <v/>
      </c>
      <c r="AJ1825" s="35">
        <f>$D1825*($E1825*(AJ$321-AJ$322)+$F1825*(AJ$324-AJ$325))</f>
        <v/>
      </c>
      <c r="AK1825" s="35">
        <f>$D1825*($E1825*(AK$321-AK$322)+$F1825*(AK$324-AK$325))</f>
        <v/>
      </c>
      <c r="AL1825" s="35">
        <f>$D1825*($E1825*(AL$321-AL$322)+$F1825*(AL$324-AL$325))</f>
        <v/>
      </c>
      <c r="AM1825" s="35">
        <f>$D1825*($E1825*(AM$321-AM$322)+$F1825*(AM$324-AM$325))</f>
        <v/>
      </c>
      <c r="AN1825" s="35">
        <f>$D1825*($E1825*(AN$321-AN$322)+$F1825*(AN$324-AN$325))</f>
        <v/>
      </c>
      <c r="AO1825" s="35">
        <f>$D1825*($E1825*(AO$321-AO$322)+$F1825*(AO$324-AO$325))</f>
        <v/>
      </c>
      <c r="AP1825" s="35">
        <f>$D1825*($E1825*(AP$321-AP$322)+$F1825*(AP$324-AP$325))</f>
        <v/>
      </c>
      <c r="AQ1825" s="35">
        <f>$D1825*($E1825*(AQ$321-AQ$322)+$F1825*(AQ$324-AQ$325))</f>
        <v/>
      </c>
      <c r="AR1825" s="35">
        <f>$D1825*($E1825*(AR$321-AR$322)+$F1825*(AR$324-AR$325))</f>
        <v/>
      </c>
      <c r="AS1825" s="35">
        <f>$D1825*($E1825*(AS$321-AS$322)+$F1825*(AS$324-AS$325))</f>
        <v/>
      </c>
      <c r="AT1825" s="35">
        <f>$D1825*($E1825*(AT$321-AT$322)+$F1825*(AT$324-AT$325))</f>
        <v/>
      </c>
      <c r="AU1825" s="35">
        <f>$D1825*($E1825*(AU$321-AU$322)+$F1825*(AU$324-AU$325))</f>
        <v/>
      </c>
      <c r="AV1825" s="35">
        <f>$D1825*($E1825*(AV$321-AV$322)+$F1825*(AV$324-AV$325))</f>
        <v/>
      </c>
      <c r="AW1825" s="35">
        <f>$D1825*($E1825*(AW$321-AW$322)+$F1825*(AW$324-AW$325))</f>
        <v/>
      </c>
      <c r="AX1825" s="35">
        <f>$D1825*($E1825*(AX$321-AX$322)+$F1825*(AX$324-AX$325))</f>
        <v/>
      </c>
      <c r="AY1825" s="35">
        <f>$D1825*($E1825*(AY$321-AY$322)+$F1825*(AY$324-AY$325))</f>
        <v/>
      </c>
      <c r="AZ1825" s="35">
        <f>$D1825*($E1825*(AZ$321-AZ$322)+$F1825*(AZ$324-AZ$325))</f>
        <v/>
      </c>
      <c r="BA1825" s="42">
        <f>XCARBON($D1825,$E1825,(BA$321-BA$322),$F1825,(BA$324-BA$325))</f>
        <v/>
      </c>
    </row>
    <row r="1826" hidden="1" outlineLevel="2">
      <c r="A1826" s="14" t="inlineStr">
        <is>
          <t>xcpd</t>
        </is>
      </c>
      <c r="B1826" s="14" t="inlineStr">
        <is>
          <t>die</t>
        </is>
      </c>
      <c r="C1826" s="14" t="inlineStr">
        <is>
          <t>srv</t>
        </is>
      </c>
      <c r="D1826" s="35">
        <f>INDEX(Inputs!$W$5:$W$132,MATCH($B1826&amp;"|"&amp;$C1826,Inputs!$A$5:$A$132,0))</f>
        <v/>
      </c>
      <c r="E1826" s="35">
        <f>INDEX(Inputs!$Z$5:$Z$132,MATCH($B1826&amp;"|"&amp;$C1826,Inputs!$A$5:$A$132,0))</f>
        <v/>
      </c>
      <c r="F1826" s="35">
        <f>INDEX(Inputs!$AA$5:$AA$132,MATCH($B1826&amp;"|"&amp;$C1826,Inputs!$A$5:$A$132,0))</f>
        <v/>
      </c>
      <c r="G1826" s="39" t="n"/>
      <c r="H1826" s="14">
        <f>INDEX(VarLab,MATCH($A1826,VarKey,0))&amp;INDEX(MemLab,MATCH($C1826&amp;"|"&amp;$B1826,MemKey,0))</f>
        <v/>
      </c>
      <c r="I1826" s="14">
        <f>INDEX(VarUnit,MATCH($A1826,VarKey,0))</f>
        <v/>
      </c>
      <c r="J1826" s="14">
        <f>INDEX(VarSrc,MATCH($A1826,VarKey,0))</f>
        <v/>
      </c>
      <c r="K1826" s="11">
        <f>CodePrefix&amp;$A1826&amp;IF($C1826="","","."&amp;$C1826&amp;"."&amp;$B1826)&amp;INDEX(VarEnd,MATCH($A1826,VarKey,0))&amp;K$5</f>
        <v/>
      </c>
      <c r="L1826" s="40">
        <f>$D1826*($E1826*(L$321-L$322)+$F1826*(L$324-L$325))</f>
        <v/>
      </c>
      <c r="M1826" s="35">
        <f>$D1826*($E1826*(M$321-M$322)+$F1826*(M$324-M$325))</f>
        <v/>
      </c>
      <c r="N1826" s="35">
        <f>$D1826*($E1826*(N$321-N$322)+$F1826*(N$324-N$325))</f>
        <v/>
      </c>
      <c r="O1826" s="35">
        <f>$D1826*($E1826*(O$321-O$322)+$F1826*(O$324-O$325))</f>
        <v/>
      </c>
      <c r="P1826" s="35">
        <f>$D1826*($E1826*(P$321-P$322)+$F1826*(P$324-P$325))</f>
        <v/>
      </c>
      <c r="Q1826" s="35">
        <f>$D1826*($E1826*(Q$321-Q$322)+$F1826*(Q$324-Q$325))</f>
        <v/>
      </c>
      <c r="R1826" s="35">
        <f>$D1826*($E1826*(R$321-R$322)+$F1826*(R$324-R$325))</f>
        <v/>
      </c>
      <c r="S1826" s="35">
        <f>$D1826*($E1826*(S$321-S$322)+$F1826*(S$324-S$325))</f>
        <v/>
      </c>
      <c r="T1826" s="35">
        <f>$D1826*($E1826*(T$321-T$322)+$F1826*(T$324-T$325))</f>
        <v/>
      </c>
      <c r="U1826" s="35">
        <f>$D1826*($E1826*(U$321-U$322)+$F1826*(U$324-U$325))</f>
        <v/>
      </c>
      <c r="V1826" s="35">
        <f>$D1826*($E1826*(V$321-V$322)+$F1826*(V$324-V$325))</f>
        <v/>
      </c>
      <c r="W1826" s="35">
        <f>$D1826*($E1826*(W$321-W$322)+$F1826*(W$324-W$325))</f>
        <v/>
      </c>
      <c r="X1826" s="35">
        <f>$D1826*($E1826*(X$321-X$322)+$F1826*(X$324-X$325))</f>
        <v/>
      </c>
      <c r="Y1826" s="35">
        <f>$D1826*($E1826*(Y$321-Y$322)+$F1826*(Y$324-Y$325))</f>
        <v/>
      </c>
      <c r="Z1826" s="35">
        <f>$D1826*($E1826*(Z$321-Z$322)+$F1826*(Z$324-Z$325))</f>
        <v/>
      </c>
      <c r="AA1826" s="35">
        <f>$D1826*($E1826*(AA$321-AA$322)+$F1826*(AA$324-AA$325))</f>
        <v/>
      </c>
      <c r="AB1826" s="35">
        <f>$D1826*($E1826*(AB$321-AB$322)+$F1826*(AB$324-AB$325))</f>
        <v/>
      </c>
      <c r="AC1826" s="35">
        <f>$D1826*($E1826*(AC$321-AC$322)+$F1826*(AC$324-AC$325))</f>
        <v/>
      </c>
      <c r="AD1826" s="35">
        <f>$D1826*($E1826*(AD$321-AD$322)+$F1826*(AD$324-AD$325))</f>
        <v/>
      </c>
      <c r="AE1826" s="42">
        <f>XCARBON($D1826,$E1826,(AE$321-AE$322),$F1826,(AE$324-AE$325))</f>
        <v/>
      </c>
      <c r="AG1826" s="11">
        <f>CodePrefix&amp;$A1826&amp;IF($C1826="","","."&amp;$C1826&amp;"."&amp;$B1826)&amp;INDEX(VarEnd,MATCH($A1826,VarKey,0))&amp;AG$5</f>
        <v/>
      </c>
      <c r="AH1826" s="40">
        <f>$D1826*($E1826*(AH$321-AH$322)+$F1826*(AH$324-AH$325))</f>
        <v/>
      </c>
      <c r="AI1826" s="35">
        <f>$D1826*($E1826*(AI$321-AI$322)+$F1826*(AI$324-AI$325))</f>
        <v/>
      </c>
      <c r="AJ1826" s="35">
        <f>$D1826*($E1826*(AJ$321-AJ$322)+$F1826*(AJ$324-AJ$325))</f>
        <v/>
      </c>
      <c r="AK1826" s="35">
        <f>$D1826*($E1826*(AK$321-AK$322)+$F1826*(AK$324-AK$325))</f>
        <v/>
      </c>
      <c r="AL1826" s="35">
        <f>$D1826*($E1826*(AL$321-AL$322)+$F1826*(AL$324-AL$325))</f>
        <v/>
      </c>
      <c r="AM1826" s="35">
        <f>$D1826*($E1826*(AM$321-AM$322)+$F1826*(AM$324-AM$325))</f>
        <v/>
      </c>
      <c r="AN1826" s="35">
        <f>$D1826*($E1826*(AN$321-AN$322)+$F1826*(AN$324-AN$325))</f>
        <v/>
      </c>
      <c r="AO1826" s="35">
        <f>$D1826*($E1826*(AO$321-AO$322)+$F1826*(AO$324-AO$325))</f>
        <v/>
      </c>
      <c r="AP1826" s="35">
        <f>$D1826*($E1826*(AP$321-AP$322)+$F1826*(AP$324-AP$325))</f>
        <v/>
      </c>
      <c r="AQ1826" s="35">
        <f>$D1826*($E1826*(AQ$321-AQ$322)+$F1826*(AQ$324-AQ$325))</f>
        <v/>
      </c>
      <c r="AR1826" s="35">
        <f>$D1826*($E1826*(AR$321-AR$322)+$F1826*(AR$324-AR$325))</f>
        <v/>
      </c>
      <c r="AS1826" s="35">
        <f>$D1826*($E1826*(AS$321-AS$322)+$F1826*(AS$324-AS$325))</f>
        <v/>
      </c>
      <c r="AT1826" s="35">
        <f>$D1826*($E1826*(AT$321-AT$322)+$F1826*(AT$324-AT$325))</f>
        <v/>
      </c>
      <c r="AU1826" s="35">
        <f>$D1826*($E1826*(AU$321-AU$322)+$F1826*(AU$324-AU$325))</f>
        <v/>
      </c>
      <c r="AV1826" s="35">
        <f>$D1826*($E1826*(AV$321-AV$322)+$F1826*(AV$324-AV$325))</f>
        <v/>
      </c>
      <c r="AW1826" s="35">
        <f>$D1826*($E1826*(AW$321-AW$322)+$F1826*(AW$324-AW$325))</f>
        <v/>
      </c>
      <c r="AX1826" s="35">
        <f>$D1826*($E1826*(AX$321-AX$322)+$F1826*(AX$324-AX$325))</f>
        <v/>
      </c>
      <c r="AY1826" s="35">
        <f>$D1826*($E1826*(AY$321-AY$322)+$F1826*(AY$324-AY$325))</f>
        <v/>
      </c>
      <c r="AZ1826" s="35">
        <f>$D1826*($E1826*(AZ$321-AZ$322)+$F1826*(AZ$324-AZ$325))</f>
        <v/>
      </c>
      <c r="BA1826" s="42">
        <f>XCARBON($D1826,$E1826,(BA$321-BA$322),$F1826,(BA$324-BA$325))</f>
        <v/>
      </c>
    </row>
    <row r="1827" hidden="1" outlineLevel="2">
      <c r="A1827" s="14" t="inlineStr">
        <is>
          <t>xcpd</t>
        </is>
      </c>
      <c r="B1827" s="14" t="inlineStr">
        <is>
          <t>lpg</t>
        </is>
      </c>
      <c r="C1827" s="14" t="inlineStr">
        <is>
          <t>srv</t>
        </is>
      </c>
      <c r="D1827" s="35">
        <f>INDEX(Inputs!$W$5:$W$132,MATCH($B1827&amp;"|"&amp;$C1827,Inputs!$A$5:$A$132,0))</f>
        <v/>
      </c>
      <c r="E1827" s="35">
        <f>INDEX(Inputs!$Z$5:$Z$132,MATCH($B1827&amp;"|"&amp;$C1827,Inputs!$A$5:$A$132,0))</f>
        <v/>
      </c>
      <c r="F1827" s="35">
        <f>INDEX(Inputs!$AA$5:$AA$132,MATCH($B1827&amp;"|"&amp;$C1827,Inputs!$A$5:$A$132,0))</f>
        <v/>
      </c>
      <c r="G1827" s="39" t="n"/>
      <c r="H1827" s="14">
        <f>INDEX(VarLab,MATCH($A1827,VarKey,0))&amp;INDEX(MemLab,MATCH($C1827&amp;"|"&amp;$B1827,MemKey,0))</f>
        <v/>
      </c>
      <c r="I1827" s="14">
        <f>INDEX(VarUnit,MATCH($A1827,VarKey,0))</f>
        <v/>
      </c>
      <c r="J1827" s="14">
        <f>INDEX(VarSrc,MATCH($A1827,VarKey,0))</f>
        <v/>
      </c>
      <c r="K1827" s="11">
        <f>CodePrefix&amp;$A1827&amp;IF($C1827="","","."&amp;$C1827&amp;"."&amp;$B1827)&amp;INDEX(VarEnd,MATCH($A1827,VarKey,0))&amp;K$5</f>
        <v/>
      </c>
      <c r="L1827" s="40">
        <f>$D1827*($E1827*(L$321-L$322)+$F1827*(L$324-L$325))</f>
        <v/>
      </c>
      <c r="M1827" s="35">
        <f>$D1827*($E1827*(M$321-M$322)+$F1827*(M$324-M$325))</f>
        <v/>
      </c>
      <c r="N1827" s="35">
        <f>$D1827*($E1827*(N$321-N$322)+$F1827*(N$324-N$325))</f>
        <v/>
      </c>
      <c r="O1827" s="35">
        <f>$D1827*($E1827*(O$321-O$322)+$F1827*(O$324-O$325))</f>
        <v/>
      </c>
      <c r="P1827" s="35">
        <f>$D1827*($E1827*(P$321-P$322)+$F1827*(P$324-P$325))</f>
        <v/>
      </c>
      <c r="Q1827" s="35">
        <f>$D1827*($E1827*(Q$321-Q$322)+$F1827*(Q$324-Q$325))</f>
        <v/>
      </c>
      <c r="R1827" s="35">
        <f>$D1827*($E1827*(R$321-R$322)+$F1827*(R$324-R$325))</f>
        <v/>
      </c>
      <c r="S1827" s="35">
        <f>$D1827*($E1827*(S$321-S$322)+$F1827*(S$324-S$325))</f>
        <v/>
      </c>
      <c r="T1827" s="35">
        <f>$D1827*($E1827*(T$321-T$322)+$F1827*(T$324-T$325))</f>
        <v/>
      </c>
      <c r="U1827" s="35">
        <f>$D1827*($E1827*(U$321-U$322)+$F1827*(U$324-U$325))</f>
        <v/>
      </c>
      <c r="V1827" s="35">
        <f>$D1827*($E1827*(V$321-V$322)+$F1827*(V$324-V$325))</f>
        <v/>
      </c>
      <c r="W1827" s="35">
        <f>$D1827*($E1827*(W$321-W$322)+$F1827*(W$324-W$325))</f>
        <v/>
      </c>
      <c r="X1827" s="35">
        <f>$D1827*($E1827*(X$321-X$322)+$F1827*(X$324-X$325))</f>
        <v/>
      </c>
      <c r="Y1827" s="35">
        <f>$D1827*($E1827*(Y$321-Y$322)+$F1827*(Y$324-Y$325))</f>
        <v/>
      </c>
      <c r="Z1827" s="35">
        <f>$D1827*($E1827*(Z$321-Z$322)+$F1827*(Z$324-Z$325))</f>
        <v/>
      </c>
      <c r="AA1827" s="35">
        <f>$D1827*($E1827*(AA$321-AA$322)+$F1827*(AA$324-AA$325))</f>
        <v/>
      </c>
      <c r="AB1827" s="35">
        <f>$D1827*($E1827*(AB$321-AB$322)+$F1827*(AB$324-AB$325))</f>
        <v/>
      </c>
      <c r="AC1827" s="35">
        <f>$D1827*($E1827*(AC$321-AC$322)+$F1827*(AC$324-AC$325))</f>
        <v/>
      </c>
      <c r="AD1827" s="35">
        <f>$D1827*($E1827*(AD$321-AD$322)+$F1827*(AD$324-AD$325))</f>
        <v/>
      </c>
      <c r="AE1827" s="42">
        <f>XCARBON($D1827,$E1827,(AE$321-AE$322),$F1827,(AE$324-AE$325))</f>
        <v/>
      </c>
      <c r="AG1827" s="11">
        <f>CodePrefix&amp;$A1827&amp;IF($C1827="","","."&amp;$C1827&amp;"."&amp;$B1827)&amp;INDEX(VarEnd,MATCH($A1827,VarKey,0))&amp;AG$5</f>
        <v/>
      </c>
      <c r="AH1827" s="40">
        <f>$D1827*($E1827*(AH$321-AH$322)+$F1827*(AH$324-AH$325))</f>
        <v/>
      </c>
      <c r="AI1827" s="35">
        <f>$D1827*($E1827*(AI$321-AI$322)+$F1827*(AI$324-AI$325))</f>
        <v/>
      </c>
      <c r="AJ1827" s="35">
        <f>$D1827*($E1827*(AJ$321-AJ$322)+$F1827*(AJ$324-AJ$325))</f>
        <v/>
      </c>
      <c r="AK1827" s="35">
        <f>$D1827*($E1827*(AK$321-AK$322)+$F1827*(AK$324-AK$325))</f>
        <v/>
      </c>
      <c r="AL1827" s="35">
        <f>$D1827*($E1827*(AL$321-AL$322)+$F1827*(AL$324-AL$325))</f>
        <v/>
      </c>
      <c r="AM1827" s="35">
        <f>$D1827*($E1827*(AM$321-AM$322)+$F1827*(AM$324-AM$325))</f>
        <v/>
      </c>
      <c r="AN1827" s="35">
        <f>$D1827*($E1827*(AN$321-AN$322)+$F1827*(AN$324-AN$325))</f>
        <v/>
      </c>
      <c r="AO1827" s="35">
        <f>$D1827*($E1827*(AO$321-AO$322)+$F1827*(AO$324-AO$325))</f>
        <v/>
      </c>
      <c r="AP1827" s="35">
        <f>$D1827*($E1827*(AP$321-AP$322)+$F1827*(AP$324-AP$325))</f>
        <v/>
      </c>
      <c r="AQ1827" s="35">
        <f>$D1827*($E1827*(AQ$321-AQ$322)+$F1827*(AQ$324-AQ$325))</f>
        <v/>
      </c>
      <c r="AR1827" s="35">
        <f>$D1827*($E1827*(AR$321-AR$322)+$F1827*(AR$324-AR$325))</f>
        <v/>
      </c>
      <c r="AS1827" s="35">
        <f>$D1827*($E1827*(AS$321-AS$322)+$F1827*(AS$324-AS$325))</f>
        <v/>
      </c>
      <c r="AT1827" s="35">
        <f>$D1827*($E1827*(AT$321-AT$322)+$F1827*(AT$324-AT$325))</f>
        <v/>
      </c>
      <c r="AU1827" s="35">
        <f>$D1827*($E1827*(AU$321-AU$322)+$F1827*(AU$324-AU$325))</f>
        <v/>
      </c>
      <c r="AV1827" s="35">
        <f>$D1827*($E1827*(AV$321-AV$322)+$F1827*(AV$324-AV$325))</f>
        <v/>
      </c>
      <c r="AW1827" s="35">
        <f>$D1827*($E1827*(AW$321-AW$322)+$F1827*(AW$324-AW$325))</f>
        <v/>
      </c>
      <c r="AX1827" s="35">
        <f>$D1827*($E1827*(AX$321-AX$322)+$F1827*(AX$324-AX$325))</f>
        <v/>
      </c>
      <c r="AY1827" s="35">
        <f>$D1827*($E1827*(AY$321-AY$322)+$F1827*(AY$324-AY$325))</f>
        <v/>
      </c>
      <c r="AZ1827" s="35">
        <f>$D1827*($E1827*(AZ$321-AZ$322)+$F1827*(AZ$324-AZ$325))</f>
        <v/>
      </c>
      <c r="BA1827" s="42">
        <f>XCARBON($D1827,$E1827,(BA$321-BA$322),$F1827,(BA$324-BA$325))</f>
        <v/>
      </c>
    </row>
    <row r="1828" hidden="1" outlineLevel="2">
      <c r="A1828" s="14" t="inlineStr">
        <is>
          <t>xcpd</t>
        </is>
      </c>
      <c r="B1828" s="14" t="inlineStr">
        <is>
          <t>ker</t>
        </is>
      </c>
      <c r="C1828" s="14" t="inlineStr">
        <is>
          <t>srv</t>
        </is>
      </c>
      <c r="D1828" s="35">
        <f>INDEX(Inputs!$W$5:$W$132,MATCH($B1828&amp;"|"&amp;$C1828,Inputs!$A$5:$A$132,0))</f>
        <v/>
      </c>
      <c r="E1828" s="35">
        <f>INDEX(Inputs!$Z$5:$Z$132,MATCH($B1828&amp;"|"&amp;$C1828,Inputs!$A$5:$A$132,0))</f>
        <v/>
      </c>
      <c r="F1828" s="35">
        <f>INDEX(Inputs!$AA$5:$AA$132,MATCH($B1828&amp;"|"&amp;$C1828,Inputs!$A$5:$A$132,0))</f>
        <v/>
      </c>
      <c r="G1828" s="39" t="n"/>
      <c r="H1828" s="14">
        <f>INDEX(VarLab,MATCH($A1828,VarKey,0))&amp;INDEX(MemLab,MATCH($C1828&amp;"|"&amp;$B1828,MemKey,0))</f>
        <v/>
      </c>
      <c r="I1828" s="14">
        <f>INDEX(VarUnit,MATCH($A1828,VarKey,0))</f>
        <v/>
      </c>
      <c r="J1828" s="14">
        <f>INDEX(VarSrc,MATCH($A1828,VarKey,0))</f>
        <v/>
      </c>
      <c r="K1828" s="11">
        <f>CodePrefix&amp;$A1828&amp;IF($C1828="","","."&amp;$C1828&amp;"."&amp;$B1828)&amp;INDEX(VarEnd,MATCH($A1828,VarKey,0))&amp;K$5</f>
        <v/>
      </c>
      <c r="L1828" s="40">
        <f>$D1828*($E1828*(L$321-L$322)+$F1828*(L$324-L$325))</f>
        <v/>
      </c>
      <c r="M1828" s="35">
        <f>$D1828*($E1828*(M$321-M$322)+$F1828*(M$324-M$325))</f>
        <v/>
      </c>
      <c r="N1828" s="35">
        <f>$D1828*($E1828*(N$321-N$322)+$F1828*(N$324-N$325))</f>
        <v/>
      </c>
      <c r="O1828" s="35">
        <f>$D1828*($E1828*(O$321-O$322)+$F1828*(O$324-O$325))</f>
        <v/>
      </c>
      <c r="P1828" s="35">
        <f>$D1828*($E1828*(P$321-P$322)+$F1828*(P$324-P$325))</f>
        <v/>
      </c>
      <c r="Q1828" s="35">
        <f>$D1828*($E1828*(Q$321-Q$322)+$F1828*(Q$324-Q$325))</f>
        <v/>
      </c>
      <c r="R1828" s="35">
        <f>$D1828*($E1828*(R$321-R$322)+$F1828*(R$324-R$325))</f>
        <v/>
      </c>
      <c r="S1828" s="35">
        <f>$D1828*($E1828*(S$321-S$322)+$F1828*(S$324-S$325))</f>
        <v/>
      </c>
      <c r="T1828" s="35">
        <f>$D1828*($E1828*(T$321-T$322)+$F1828*(T$324-T$325))</f>
        <v/>
      </c>
      <c r="U1828" s="35">
        <f>$D1828*($E1828*(U$321-U$322)+$F1828*(U$324-U$325))</f>
        <v/>
      </c>
      <c r="V1828" s="35">
        <f>$D1828*($E1828*(V$321-V$322)+$F1828*(V$324-V$325))</f>
        <v/>
      </c>
      <c r="W1828" s="35">
        <f>$D1828*($E1828*(W$321-W$322)+$F1828*(W$324-W$325))</f>
        <v/>
      </c>
      <c r="X1828" s="35">
        <f>$D1828*($E1828*(X$321-X$322)+$F1828*(X$324-X$325))</f>
        <v/>
      </c>
      <c r="Y1828" s="35">
        <f>$D1828*($E1828*(Y$321-Y$322)+$F1828*(Y$324-Y$325))</f>
        <v/>
      </c>
      <c r="Z1828" s="35">
        <f>$D1828*($E1828*(Z$321-Z$322)+$F1828*(Z$324-Z$325))</f>
        <v/>
      </c>
      <c r="AA1828" s="35">
        <f>$D1828*($E1828*(AA$321-AA$322)+$F1828*(AA$324-AA$325))</f>
        <v/>
      </c>
      <c r="AB1828" s="35">
        <f>$D1828*($E1828*(AB$321-AB$322)+$F1828*(AB$324-AB$325))</f>
        <v/>
      </c>
      <c r="AC1828" s="35">
        <f>$D1828*($E1828*(AC$321-AC$322)+$F1828*(AC$324-AC$325))</f>
        <v/>
      </c>
      <c r="AD1828" s="35">
        <f>$D1828*($E1828*(AD$321-AD$322)+$F1828*(AD$324-AD$325))</f>
        <v/>
      </c>
      <c r="AE1828" s="42">
        <f>XCARBON($D1828,$E1828,(AE$321-AE$322),$F1828,(AE$324-AE$325))</f>
        <v/>
      </c>
      <c r="AG1828" s="11">
        <f>CodePrefix&amp;$A1828&amp;IF($C1828="","","."&amp;$C1828&amp;"."&amp;$B1828)&amp;INDEX(VarEnd,MATCH($A1828,VarKey,0))&amp;AG$5</f>
        <v/>
      </c>
      <c r="AH1828" s="40">
        <f>$D1828*($E1828*(AH$321-AH$322)+$F1828*(AH$324-AH$325))</f>
        <v/>
      </c>
      <c r="AI1828" s="35">
        <f>$D1828*($E1828*(AI$321-AI$322)+$F1828*(AI$324-AI$325))</f>
        <v/>
      </c>
      <c r="AJ1828" s="35">
        <f>$D1828*($E1828*(AJ$321-AJ$322)+$F1828*(AJ$324-AJ$325))</f>
        <v/>
      </c>
      <c r="AK1828" s="35">
        <f>$D1828*($E1828*(AK$321-AK$322)+$F1828*(AK$324-AK$325))</f>
        <v/>
      </c>
      <c r="AL1828" s="35">
        <f>$D1828*($E1828*(AL$321-AL$322)+$F1828*(AL$324-AL$325))</f>
        <v/>
      </c>
      <c r="AM1828" s="35">
        <f>$D1828*($E1828*(AM$321-AM$322)+$F1828*(AM$324-AM$325))</f>
        <v/>
      </c>
      <c r="AN1828" s="35">
        <f>$D1828*($E1828*(AN$321-AN$322)+$F1828*(AN$324-AN$325))</f>
        <v/>
      </c>
      <c r="AO1828" s="35">
        <f>$D1828*($E1828*(AO$321-AO$322)+$F1828*(AO$324-AO$325))</f>
        <v/>
      </c>
      <c r="AP1828" s="35">
        <f>$D1828*($E1828*(AP$321-AP$322)+$F1828*(AP$324-AP$325))</f>
        <v/>
      </c>
      <c r="AQ1828" s="35">
        <f>$D1828*($E1828*(AQ$321-AQ$322)+$F1828*(AQ$324-AQ$325))</f>
        <v/>
      </c>
      <c r="AR1828" s="35">
        <f>$D1828*($E1828*(AR$321-AR$322)+$F1828*(AR$324-AR$325))</f>
        <v/>
      </c>
      <c r="AS1828" s="35">
        <f>$D1828*($E1828*(AS$321-AS$322)+$F1828*(AS$324-AS$325))</f>
        <v/>
      </c>
      <c r="AT1828" s="35">
        <f>$D1828*($E1828*(AT$321-AT$322)+$F1828*(AT$324-AT$325))</f>
        <v/>
      </c>
      <c r="AU1828" s="35">
        <f>$D1828*($E1828*(AU$321-AU$322)+$F1828*(AU$324-AU$325))</f>
        <v/>
      </c>
      <c r="AV1828" s="35">
        <f>$D1828*($E1828*(AV$321-AV$322)+$F1828*(AV$324-AV$325))</f>
        <v/>
      </c>
      <c r="AW1828" s="35">
        <f>$D1828*($E1828*(AW$321-AW$322)+$F1828*(AW$324-AW$325))</f>
        <v/>
      </c>
      <c r="AX1828" s="35">
        <f>$D1828*($E1828*(AX$321-AX$322)+$F1828*(AX$324-AX$325))</f>
        <v/>
      </c>
      <c r="AY1828" s="35">
        <f>$D1828*($E1828*(AY$321-AY$322)+$F1828*(AY$324-AY$325))</f>
        <v/>
      </c>
      <c r="AZ1828" s="35">
        <f>$D1828*($E1828*(AZ$321-AZ$322)+$F1828*(AZ$324-AZ$325))</f>
        <v/>
      </c>
      <c r="BA1828" s="42">
        <f>XCARBON($D1828,$E1828,(BA$321-BA$322),$F1828,(BA$324-BA$325))</f>
        <v/>
      </c>
    </row>
    <row r="1829" hidden="1" outlineLevel="2">
      <c r="A1829" s="14" t="inlineStr">
        <is>
          <t>xcpd</t>
        </is>
      </c>
      <c r="B1829" s="14" t="inlineStr">
        <is>
          <t>oop</t>
        </is>
      </c>
      <c r="C1829" s="14" t="inlineStr">
        <is>
          <t>srv</t>
        </is>
      </c>
      <c r="D1829" s="35">
        <f>INDEX(Inputs!$W$5:$W$132,MATCH($B1829&amp;"|"&amp;$C1829,Inputs!$A$5:$A$132,0))</f>
        <v/>
      </c>
      <c r="E1829" s="35">
        <f>INDEX(Inputs!$Z$5:$Z$132,MATCH($B1829&amp;"|"&amp;$C1829,Inputs!$A$5:$A$132,0))</f>
        <v/>
      </c>
      <c r="F1829" s="35">
        <f>INDEX(Inputs!$AA$5:$AA$132,MATCH($B1829&amp;"|"&amp;$C1829,Inputs!$A$5:$A$132,0))</f>
        <v/>
      </c>
      <c r="G1829" s="39" t="n"/>
      <c r="H1829" s="14">
        <f>INDEX(VarLab,MATCH($A1829,VarKey,0))&amp;INDEX(MemLab,MATCH($C1829&amp;"|"&amp;$B1829,MemKey,0))</f>
        <v/>
      </c>
      <c r="I1829" s="14">
        <f>INDEX(VarUnit,MATCH($A1829,VarKey,0))</f>
        <v/>
      </c>
      <c r="J1829" s="14">
        <f>INDEX(VarSrc,MATCH($A1829,VarKey,0))</f>
        <v/>
      </c>
      <c r="K1829" s="11">
        <f>CodePrefix&amp;$A1829&amp;IF($C1829="","","."&amp;$C1829&amp;"."&amp;$B1829)&amp;INDEX(VarEnd,MATCH($A1829,VarKey,0))&amp;K$5</f>
        <v/>
      </c>
      <c r="L1829" s="40">
        <f>$D1829*($E1829*(L$321-L$322)+$F1829*(L$324-L$325))</f>
        <v/>
      </c>
      <c r="M1829" s="35">
        <f>$D1829*($E1829*(M$321-M$322)+$F1829*(M$324-M$325))</f>
        <v/>
      </c>
      <c r="N1829" s="35">
        <f>$D1829*($E1829*(N$321-N$322)+$F1829*(N$324-N$325))</f>
        <v/>
      </c>
      <c r="O1829" s="35">
        <f>$D1829*($E1829*(O$321-O$322)+$F1829*(O$324-O$325))</f>
        <v/>
      </c>
      <c r="P1829" s="35">
        <f>$D1829*($E1829*(P$321-P$322)+$F1829*(P$324-P$325))</f>
        <v/>
      </c>
      <c r="Q1829" s="35">
        <f>$D1829*($E1829*(Q$321-Q$322)+$F1829*(Q$324-Q$325))</f>
        <v/>
      </c>
      <c r="R1829" s="35">
        <f>$D1829*($E1829*(R$321-R$322)+$F1829*(R$324-R$325))</f>
        <v/>
      </c>
      <c r="S1829" s="35">
        <f>$D1829*($E1829*(S$321-S$322)+$F1829*(S$324-S$325))</f>
        <v/>
      </c>
      <c r="T1829" s="35">
        <f>$D1829*($E1829*(T$321-T$322)+$F1829*(T$324-T$325))</f>
        <v/>
      </c>
      <c r="U1829" s="35">
        <f>$D1829*($E1829*(U$321-U$322)+$F1829*(U$324-U$325))</f>
        <v/>
      </c>
      <c r="V1829" s="35">
        <f>$D1829*($E1829*(V$321-V$322)+$F1829*(V$324-V$325))</f>
        <v/>
      </c>
      <c r="W1829" s="35">
        <f>$D1829*($E1829*(W$321-W$322)+$F1829*(W$324-W$325))</f>
        <v/>
      </c>
      <c r="X1829" s="35">
        <f>$D1829*($E1829*(X$321-X$322)+$F1829*(X$324-X$325))</f>
        <v/>
      </c>
      <c r="Y1829" s="35">
        <f>$D1829*($E1829*(Y$321-Y$322)+$F1829*(Y$324-Y$325))</f>
        <v/>
      </c>
      <c r="Z1829" s="35">
        <f>$D1829*($E1829*(Z$321-Z$322)+$F1829*(Z$324-Z$325))</f>
        <v/>
      </c>
      <c r="AA1829" s="35">
        <f>$D1829*($E1829*(AA$321-AA$322)+$F1829*(AA$324-AA$325))</f>
        <v/>
      </c>
      <c r="AB1829" s="35">
        <f>$D1829*($E1829*(AB$321-AB$322)+$F1829*(AB$324-AB$325))</f>
        <v/>
      </c>
      <c r="AC1829" s="35">
        <f>$D1829*($E1829*(AC$321-AC$322)+$F1829*(AC$324-AC$325))</f>
        <v/>
      </c>
      <c r="AD1829" s="35">
        <f>$D1829*($E1829*(AD$321-AD$322)+$F1829*(AD$324-AD$325))</f>
        <v/>
      </c>
      <c r="AE1829" s="42">
        <f>XCARBON($D1829,$E1829,(AE$321-AE$322),$F1829,(AE$324-AE$325))</f>
        <v/>
      </c>
      <c r="AG1829" s="11">
        <f>CodePrefix&amp;$A1829&amp;IF($C1829="","","."&amp;$C1829&amp;"."&amp;$B1829)&amp;INDEX(VarEnd,MATCH($A1829,VarKey,0))&amp;AG$5</f>
        <v/>
      </c>
      <c r="AH1829" s="40">
        <f>$D1829*($E1829*(AH$321-AH$322)+$F1829*(AH$324-AH$325))</f>
        <v/>
      </c>
      <c r="AI1829" s="35">
        <f>$D1829*($E1829*(AI$321-AI$322)+$F1829*(AI$324-AI$325))</f>
        <v/>
      </c>
      <c r="AJ1829" s="35">
        <f>$D1829*($E1829*(AJ$321-AJ$322)+$F1829*(AJ$324-AJ$325))</f>
        <v/>
      </c>
      <c r="AK1829" s="35">
        <f>$D1829*($E1829*(AK$321-AK$322)+$F1829*(AK$324-AK$325))</f>
        <v/>
      </c>
      <c r="AL1829" s="35">
        <f>$D1829*($E1829*(AL$321-AL$322)+$F1829*(AL$324-AL$325))</f>
        <v/>
      </c>
      <c r="AM1829" s="35">
        <f>$D1829*($E1829*(AM$321-AM$322)+$F1829*(AM$324-AM$325))</f>
        <v/>
      </c>
      <c r="AN1829" s="35">
        <f>$D1829*($E1829*(AN$321-AN$322)+$F1829*(AN$324-AN$325))</f>
        <v/>
      </c>
      <c r="AO1829" s="35">
        <f>$D1829*($E1829*(AO$321-AO$322)+$F1829*(AO$324-AO$325))</f>
        <v/>
      </c>
      <c r="AP1829" s="35">
        <f>$D1829*($E1829*(AP$321-AP$322)+$F1829*(AP$324-AP$325))</f>
        <v/>
      </c>
      <c r="AQ1829" s="35">
        <f>$D1829*($E1829*(AQ$321-AQ$322)+$F1829*(AQ$324-AQ$325))</f>
        <v/>
      </c>
      <c r="AR1829" s="35">
        <f>$D1829*($E1829*(AR$321-AR$322)+$F1829*(AR$324-AR$325))</f>
        <v/>
      </c>
      <c r="AS1829" s="35">
        <f>$D1829*($E1829*(AS$321-AS$322)+$F1829*(AS$324-AS$325))</f>
        <v/>
      </c>
      <c r="AT1829" s="35">
        <f>$D1829*($E1829*(AT$321-AT$322)+$F1829*(AT$324-AT$325))</f>
        <v/>
      </c>
      <c r="AU1829" s="35">
        <f>$D1829*($E1829*(AU$321-AU$322)+$F1829*(AU$324-AU$325))</f>
        <v/>
      </c>
      <c r="AV1829" s="35">
        <f>$D1829*($E1829*(AV$321-AV$322)+$F1829*(AV$324-AV$325))</f>
        <v/>
      </c>
      <c r="AW1829" s="35">
        <f>$D1829*($E1829*(AW$321-AW$322)+$F1829*(AW$324-AW$325))</f>
        <v/>
      </c>
      <c r="AX1829" s="35">
        <f>$D1829*($E1829*(AX$321-AX$322)+$F1829*(AX$324-AX$325))</f>
        <v/>
      </c>
      <c r="AY1829" s="35">
        <f>$D1829*($E1829*(AY$321-AY$322)+$F1829*(AY$324-AY$325))</f>
        <v/>
      </c>
      <c r="AZ1829" s="35">
        <f>$D1829*($E1829*(AZ$321-AZ$322)+$F1829*(AZ$324-AZ$325))</f>
        <v/>
      </c>
      <c r="BA1829" s="42">
        <f>XCARBON($D1829,$E1829,(BA$321-BA$322),$F1829,(BA$324-BA$325))</f>
        <v/>
      </c>
    </row>
    <row r="1830" hidden="1" outlineLevel="2">
      <c r="A1830" s="14" t="inlineStr">
        <is>
          <t>xcpd</t>
        </is>
      </c>
      <c r="B1830" s="14" t="inlineStr">
        <is>
          <t>bio</t>
        </is>
      </c>
      <c r="C1830" s="14" t="inlineStr">
        <is>
          <t>srv</t>
        </is>
      </c>
      <c r="D1830" s="35">
        <f>INDEX(Inputs!$W$5:$W$132,MATCH($B1830&amp;"|"&amp;$C1830,Inputs!$A$5:$A$132,0))</f>
        <v/>
      </c>
      <c r="E1830" s="35">
        <f>INDEX(Inputs!$Z$5:$Z$132,MATCH($B1830&amp;"|"&amp;$C1830,Inputs!$A$5:$A$132,0))</f>
        <v/>
      </c>
      <c r="F1830" s="35">
        <f>INDEX(Inputs!$AA$5:$AA$132,MATCH($B1830&amp;"|"&amp;$C1830,Inputs!$A$5:$A$132,0))</f>
        <v/>
      </c>
      <c r="G1830" s="39" t="n"/>
      <c r="H1830" s="14">
        <f>INDEX(VarLab,MATCH($A1830,VarKey,0))&amp;INDEX(MemLab,MATCH($C1830&amp;"|"&amp;$B1830,MemKey,0))</f>
        <v/>
      </c>
      <c r="I1830" s="14">
        <f>INDEX(VarUnit,MATCH($A1830,VarKey,0))</f>
        <v/>
      </c>
      <c r="J1830" s="14">
        <f>INDEX(VarSrc,MATCH($A1830,VarKey,0))</f>
        <v/>
      </c>
      <c r="K1830" s="11">
        <f>CodePrefix&amp;$A1830&amp;IF($C1830="","","."&amp;$C1830&amp;"."&amp;$B1830)&amp;INDEX(VarEnd,MATCH($A1830,VarKey,0))&amp;K$5</f>
        <v/>
      </c>
      <c r="L1830" s="40">
        <f>$D1830*($E1830*(L$321-L$322)+$F1830*(L$324-L$325))</f>
        <v/>
      </c>
      <c r="M1830" s="35">
        <f>$D1830*($E1830*(M$321-M$322)+$F1830*(M$324-M$325))</f>
        <v/>
      </c>
      <c r="N1830" s="35">
        <f>$D1830*($E1830*(N$321-N$322)+$F1830*(N$324-N$325))</f>
        <v/>
      </c>
      <c r="O1830" s="35">
        <f>$D1830*($E1830*(O$321-O$322)+$F1830*(O$324-O$325))</f>
        <v/>
      </c>
      <c r="P1830" s="35">
        <f>$D1830*($E1830*(P$321-P$322)+$F1830*(P$324-P$325))</f>
        <v/>
      </c>
      <c r="Q1830" s="35">
        <f>$D1830*($E1830*(Q$321-Q$322)+$F1830*(Q$324-Q$325))</f>
        <v/>
      </c>
      <c r="R1830" s="35">
        <f>$D1830*($E1830*(R$321-R$322)+$F1830*(R$324-R$325))</f>
        <v/>
      </c>
      <c r="S1830" s="35">
        <f>$D1830*($E1830*(S$321-S$322)+$F1830*(S$324-S$325))</f>
        <v/>
      </c>
      <c r="T1830" s="35">
        <f>$D1830*($E1830*(T$321-T$322)+$F1830*(T$324-T$325))</f>
        <v/>
      </c>
      <c r="U1830" s="35">
        <f>$D1830*($E1830*(U$321-U$322)+$F1830*(U$324-U$325))</f>
        <v/>
      </c>
      <c r="V1830" s="35">
        <f>$D1830*($E1830*(V$321-V$322)+$F1830*(V$324-V$325))</f>
        <v/>
      </c>
      <c r="W1830" s="35">
        <f>$D1830*($E1830*(W$321-W$322)+$F1830*(W$324-W$325))</f>
        <v/>
      </c>
      <c r="X1830" s="35">
        <f>$D1830*($E1830*(X$321-X$322)+$F1830*(X$324-X$325))</f>
        <v/>
      </c>
      <c r="Y1830" s="35">
        <f>$D1830*($E1830*(Y$321-Y$322)+$F1830*(Y$324-Y$325))</f>
        <v/>
      </c>
      <c r="Z1830" s="35">
        <f>$D1830*($E1830*(Z$321-Z$322)+$F1830*(Z$324-Z$325))</f>
        <v/>
      </c>
      <c r="AA1830" s="35">
        <f>$D1830*($E1830*(AA$321-AA$322)+$F1830*(AA$324-AA$325))</f>
        <v/>
      </c>
      <c r="AB1830" s="35">
        <f>$D1830*($E1830*(AB$321-AB$322)+$F1830*(AB$324-AB$325))</f>
        <v/>
      </c>
      <c r="AC1830" s="35">
        <f>$D1830*($E1830*(AC$321-AC$322)+$F1830*(AC$324-AC$325))</f>
        <v/>
      </c>
      <c r="AD1830" s="35">
        <f>$D1830*($E1830*(AD$321-AD$322)+$F1830*(AD$324-AD$325))</f>
        <v/>
      </c>
      <c r="AE1830" s="42">
        <f>XCARBON($D1830,$E1830,(AE$321-AE$322),$F1830,(AE$324-AE$325))</f>
        <v/>
      </c>
      <c r="AG1830" s="11">
        <f>CodePrefix&amp;$A1830&amp;IF($C1830="","","."&amp;$C1830&amp;"."&amp;$B1830)&amp;INDEX(VarEnd,MATCH($A1830,VarKey,0))&amp;AG$5</f>
        <v/>
      </c>
      <c r="AH1830" s="40">
        <f>$D1830*($E1830*(AH$321-AH$322)+$F1830*(AH$324-AH$325))</f>
        <v/>
      </c>
      <c r="AI1830" s="35">
        <f>$D1830*($E1830*(AI$321-AI$322)+$F1830*(AI$324-AI$325))</f>
        <v/>
      </c>
      <c r="AJ1830" s="35">
        <f>$D1830*($E1830*(AJ$321-AJ$322)+$F1830*(AJ$324-AJ$325))</f>
        <v/>
      </c>
      <c r="AK1830" s="35">
        <f>$D1830*($E1830*(AK$321-AK$322)+$F1830*(AK$324-AK$325))</f>
        <v/>
      </c>
      <c r="AL1830" s="35">
        <f>$D1830*($E1830*(AL$321-AL$322)+$F1830*(AL$324-AL$325))</f>
        <v/>
      </c>
      <c r="AM1830" s="35">
        <f>$D1830*($E1830*(AM$321-AM$322)+$F1830*(AM$324-AM$325))</f>
        <v/>
      </c>
      <c r="AN1830" s="35">
        <f>$D1830*($E1830*(AN$321-AN$322)+$F1830*(AN$324-AN$325))</f>
        <v/>
      </c>
      <c r="AO1830" s="35">
        <f>$D1830*($E1830*(AO$321-AO$322)+$F1830*(AO$324-AO$325))</f>
        <v/>
      </c>
      <c r="AP1830" s="35">
        <f>$D1830*($E1830*(AP$321-AP$322)+$F1830*(AP$324-AP$325))</f>
        <v/>
      </c>
      <c r="AQ1830" s="35">
        <f>$D1830*($E1830*(AQ$321-AQ$322)+$F1830*(AQ$324-AQ$325))</f>
        <v/>
      </c>
      <c r="AR1830" s="35">
        <f>$D1830*($E1830*(AR$321-AR$322)+$F1830*(AR$324-AR$325))</f>
        <v/>
      </c>
      <c r="AS1830" s="35">
        <f>$D1830*($E1830*(AS$321-AS$322)+$F1830*(AS$324-AS$325))</f>
        <v/>
      </c>
      <c r="AT1830" s="35">
        <f>$D1830*($E1830*(AT$321-AT$322)+$F1830*(AT$324-AT$325))</f>
        <v/>
      </c>
      <c r="AU1830" s="35">
        <f>$D1830*($E1830*(AU$321-AU$322)+$F1830*(AU$324-AU$325))</f>
        <v/>
      </c>
      <c r="AV1830" s="35">
        <f>$D1830*($E1830*(AV$321-AV$322)+$F1830*(AV$324-AV$325))</f>
        <v/>
      </c>
      <c r="AW1830" s="35">
        <f>$D1830*($E1830*(AW$321-AW$322)+$F1830*(AW$324-AW$325))</f>
        <v/>
      </c>
      <c r="AX1830" s="35">
        <f>$D1830*($E1830*(AX$321-AX$322)+$F1830*(AX$324-AX$325))</f>
        <v/>
      </c>
      <c r="AY1830" s="35">
        <f>$D1830*($E1830*(AY$321-AY$322)+$F1830*(AY$324-AY$325))</f>
        <v/>
      </c>
      <c r="AZ1830" s="35">
        <f>$D1830*($E1830*(AZ$321-AZ$322)+$F1830*(AZ$324-AZ$325))</f>
        <v/>
      </c>
      <c r="BA1830" s="42">
        <f>XCARBON($D1830,$E1830,(BA$321-BA$322),$F1830,(BA$324-BA$325))</f>
        <v/>
      </c>
    </row>
    <row r="1831" hidden="1" outlineLevel="2"/>
    <row r="1832" hidden="1" outlineLevel="2">
      <c r="A1832" s="14" t="inlineStr">
        <is>
          <t>atp</t>
        </is>
      </c>
      <c r="B1832" s="14" t="inlineStr">
        <is>
          <t>coa</t>
        </is>
      </c>
      <c r="C1832" s="14" t="inlineStr">
        <is>
          <t>srv</t>
        </is>
      </c>
      <c r="D1832" s="35">
        <f>INDEX(Inputs!$U$5:$U$132,MATCH($B1832&amp;"|"&amp;$C1832,Inputs!$A$5:$A$132,0))</f>
        <v/>
      </c>
      <c r="E1832" s="35">
        <f>INDEX(Inputs!$V$5:$V$132,MATCH($B1832&amp;"|"&amp;$C1832,Inputs!$A$5:$A$132,0))</f>
        <v/>
      </c>
      <c r="F1832" s="39" t="n"/>
      <c r="G1832" s="39" t="n"/>
      <c r="H1832" s="14">
        <f>INDEX(VarLab,MATCH($A1832,VarKey,0))&amp;INDEX(MemLab,MATCH($C1832&amp;"|"&amp;$B1832,MemKey,0))</f>
        <v/>
      </c>
      <c r="I1832" s="14">
        <f>INDEX(VarUnit,MATCH($A1832,VarKey,0))</f>
        <v/>
      </c>
      <c r="J1832" s="14">
        <f>INDEX(VarSrc,MATCH($A1832,VarKey,0))</f>
        <v/>
      </c>
      <c r="K1832" s="11">
        <f>CodePrefix&amp;$A1832&amp;IF($C1832="","","."&amp;$C1832&amp;"."&amp;$B1832)&amp;INDEX(VarEnd,MATCH($A1832,VarKey,0))&amp;K$5</f>
        <v/>
      </c>
      <c r="L1832" s="40">
        <f>MAX(INDEX(L$381:L$392,$D1832)+(L1805+L1823)*(1+$E1832),0.01)</f>
        <v/>
      </c>
      <c r="M1832" s="35">
        <f>MAX(INDEX(M$381:M$392,$D1832)+(M1805+M1823)*(1+$E1832),0.01)</f>
        <v/>
      </c>
      <c r="N1832" s="35">
        <f>MAX(INDEX(N$381:N$392,$D1832)+(N1805+N1823)*(1+$E1832),0.01)</f>
        <v/>
      </c>
      <c r="O1832" s="35">
        <f>MAX(INDEX(O$381:O$392,$D1832)+(O1805+O1823)*(1+$E1832),0.01)</f>
        <v/>
      </c>
      <c r="P1832" s="35">
        <f>MAX(INDEX(P$381:P$392,$D1832)+(P1805+P1823)*(1+$E1832),0.01)</f>
        <v/>
      </c>
      <c r="Q1832" s="35">
        <f>MAX(INDEX(Q$381:Q$392,$D1832)+(Q1805+Q1823)*(1+$E1832),0.01)</f>
        <v/>
      </c>
      <c r="R1832" s="35">
        <f>MAX(INDEX(R$381:R$392,$D1832)+(R1805+R1823)*(1+$E1832),0.01)</f>
        <v/>
      </c>
      <c r="S1832" s="35">
        <f>MAX(INDEX(S$381:S$392,$D1832)+(S1805+S1823)*(1+$E1832),0.01)</f>
        <v/>
      </c>
      <c r="T1832" s="35">
        <f>MAX(INDEX(T$381:T$392,$D1832)+(T1805+T1823)*(1+$E1832),0.01)</f>
        <v/>
      </c>
      <c r="U1832" s="35">
        <f>MAX(INDEX(U$381:U$392,$D1832)+(U1805+U1823)*(1+$E1832),0.01)</f>
        <v/>
      </c>
      <c r="V1832" s="35">
        <f>MAX(INDEX(V$381:V$392,$D1832)+(V1805+V1823)*(1+$E1832),0.01)</f>
        <v/>
      </c>
      <c r="W1832" s="35">
        <f>MAX(INDEX(W$381:W$392,$D1832)+(W1805+W1823)*(1+$E1832),0.01)</f>
        <v/>
      </c>
      <c r="X1832" s="35">
        <f>MAX(INDEX(X$381:X$392,$D1832)+(X1805+X1823)*(1+$E1832),0.01)</f>
        <v/>
      </c>
      <c r="Y1832" s="35">
        <f>MAX(INDEX(Y$381:Y$392,$D1832)+(Y1805+Y1823)*(1+$E1832),0.01)</f>
        <v/>
      </c>
      <c r="Z1832" s="35">
        <f>MAX(INDEX(Z$381:Z$392,$D1832)+(Z1805+Z1823)*(1+$E1832),0.01)</f>
        <v/>
      </c>
      <c r="AA1832" s="35">
        <f>MAX(INDEX(AA$381:AA$392,$D1832)+(AA1805+AA1823)*(1+$E1832),0.01)</f>
        <v/>
      </c>
      <c r="AB1832" s="35">
        <f>MAX(INDEX(AB$381:AB$392,$D1832)+(AB1805+AB1823)*(1+$E1832),0.01)</f>
        <v/>
      </c>
      <c r="AC1832" s="35">
        <f>MAX(INDEX(AC$381:AC$392,$D1832)+(AC1805+AC1823)*(1+$E1832),0.01)</f>
        <v/>
      </c>
      <c r="AD1832" s="35">
        <f>MAX(INDEX(AD$381:AD$392,$D1832)+(AD1805+AD1823)*(1+$E1832),0.01)</f>
        <v/>
      </c>
      <c r="AE1832" s="42">
        <f>POSTTAX(INDEX(AE$381:AE$392,$D1832),AE1805+AE1823,$E1832)</f>
        <v/>
      </c>
      <c r="AG1832" s="11">
        <f>CodePrefix&amp;$A1832&amp;IF($C1832="","","."&amp;$C1832&amp;"."&amp;$B1832)&amp;INDEX(VarEnd,MATCH($A1832,VarKey,0))&amp;AG$5</f>
        <v/>
      </c>
      <c r="AH1832" s="40">
        <f>MAX(INDEX(AH$381:AH$392,$D1832)+(AH1805+AH1823)*(1+$E1832),0.01)</f>
        <v/>
      </c>
      <c r="AI1832" s="35">
        <f>MAX(INDEX(AI$381:AI$392,$D1832)+(AI1805+AI1823)*(1+$E1832),0.01)</f>
        <v/>
      </c>
      <c r="AJ1832" s="35">
        <f>MAX(INDEX(AJ$381:AJ$392,$D1832)+(AJ1805+AJ1823)*(1+$E1832),0.01)</f>
        <v/>
      </c>
      <c r="AK1832" s="35">
        <f>MAX(INDEX(AK$381:AK$392,$D1832)+(AK1805+AK1823)*(1+$E1832),0.01)</f>
        <v/>
      </c>
      <c r="AL1832" s="35">
        <f>MAX(INDEX(AL$381:AL$392,$D1832)+(AL1805+AL1823)*(1+$E1832),0.01)</f>
        <v/>
      </c>
      <c r="AM1832" s="35">
        <f>MAX(INDEX(AM$381:AM$392,$D1832)+(AM1805+AM1823)*(1+$E1832),0.01)</f>
        <v/>
      </c>
      <c r="AN1832" s="35">
        <f>MAX(INDEX(AN$381:AN$392,$D1832)+(AN1805+AN1823)*(1+$E1832),0.01)</f>
        <v/>
      </c>
      <c r="AO1832" s="35">
        <f>MAX(INDEX(AO$381:AO$392,$D1832)+(AO1805+AO1823)*(1+$E1832),0.01)</f>
        <v/>
      </c>
      <c r="AP1832" s="35">
        <f>MAX(INDEX(AP$381:AP$392,$D1832)+(AP1805+AP1823)*(1+$E1832),0.01)</f>
        <v/>
      </c>
      <c r="AQ1832" s="35">
        <f>MAX(INDEX(AQ$381:AQ$392,$D1832)+(AQ1805+AQ1823)*(1+$E1832),0.01)</f>
        <v/>
      </c>
      <c r="AR1832" s="35">
        <f>MAX(INDEX(AR$381:AR$392,$D1832)+(AR1805+AR1823)*(1+$E1832),0.01)</f>
        <v/>
      </c>
      <c r="AS1832" s="35">
        <f>MAX(INDEX(AS$381:AS$392,$D1832)+(AS1805+AS1823)*(1+$E1832),0.01)</f>
        <v/>
      </c>
      <c r="AT1832" s="35">
        <f>MAX(INDEX(AT$381:AT$392,$D1832)+(AT1805+AT1823)*(1+$E1832),0.01)</f>
        <v/>
      </c>
      <c r="AU1832" s="35">
        <f>MAX(INDEX(AU$381:AU$392,$D1832)+(AU1805+AU1823)*(1+$E1832),0.01)</f>
        <v/>
      </c>
      <c r="AV1832" s="35">
        <f>MAX(INDEX(AV$381:AV$392,$D1832)+(AV1805+AV1823)*(1+$E1832),0.01)</f>
        <v/>
      </c>
      <c r="AW1832" s="35">
        <f>MAX(INDEX(AW$381:AW$392,$D1832)+(AW1805+AW1823)*(1+$E1832),0.01)</f>
        <v/>
      </c>
      <c r="AX1832" s="35">
        <f>MAX(INDEX(AX$381:AX$392,$D1832)+(AX1805+AX1823)*(1+$E1832),0.01)</f>
        <v/>
      </c>
      <c r="AY1832" s="35">
        <f>MAX(INDEX(AY$381:AY$392,$D1832)+(AY1805+AY1823)*(1+$E1832),0.01)</f>
        <v/>
      </c>
      <c r="AZ1832" s="35">
        <f>MAX(INDEX(AZ$381:AZ$392,$D1832)+(AZ1805+AZ1823)*(1+$E1832),0.01)</f>
        <v/>
      </c>
      <c r="BA1832" s="42">
        <f>POSTTAX(INDEX(BA$381:BA$392,$D1832),BA1805+BA1823,$E1832)</f>
        <v/>
      </c>
    </row>
    <row r="1833" hidden="1" outlineLevel="2">
      <c r="A1833" s="14" t="inlineStr">
        <is>
          <t>atp</t>
        </is>
      </c>
      <c r="B1833" s="14" t="inlineStr">
        <is>
          <t>nga</t>
        </is>
      </c>
      <c r="C1833" s="14" t="inlineStr">
        <is>
          <t>srv</t>
        </is>
      </c>
      <c r="D1833" s="35">
        <f>INDEX(Inputs!$U$5:$U$132,MATCH($B1833&amp;"|"&amp;$C1833,Inputs!$A$5:$A$132,0))</f>
        <v/>
      </c>
      <c r="E1833" s="35">
        <f>INDEX(Inputs!$V$5:$V$132,MATCH($B1833&amp;"|"&amp;$C1833,Inputs!$A$5:$A$132,0))</f>
        <v/>
      </c>
      <c r="F1833" s="39" t="n"/>
      <c r="G1833" s="39" t="n"/>
      <c r="H1833" s="14">
        <f>INDEX(VarLab,MATCH($A1833,VarKey,0))&amp;INDEX(MemLab,MATCH($C1833&amp;"|"&amp;$B1833,MemKey,0))</f>
        <v/>
      </c>
      <c r="I1833" s="14">
        <f>INDEX(VarUnit,MATCH($A1833,VarKey,0))</f>
        <v/>
      </c>
      <c r="J1833" s="14">
        <f>INDEX(VarSrc,MATCH($A1833,VarKey,0))</f>
        <v/>
      </c>
      <c r="K1833" s="11">
        <f>CodePrefix&amp;$A1833&amp;IF($C1833="","","."&amp;$C1833&amp;"."&amp;$B1833)&amp;INDEX(VarEnd,MATCH($A1833,VarKey,0))&amp;K$5</f>
        <v/>
      </c>
      <c r="L1833" s="40">
        <f>MAX(INDEX(L$381:L$392,$D1833)+(L1806+L1824)*(1+$E1833),0.01)</f>
        <v/>
      </c>
      <c r="M1833" s="35">
        <f>MAX(INDEX(M$381:M$392,$D1833)+(M1806+M1824)*(1+$E1833),0.01)</f>
        <v/>
      </c>
      <c r="N1833" s="35">
        <f>MAX(INDEX(N$381:N$392,$D1833)+(N1806+N1824)*(1+$E1833),0.01)</f>
        <v/>
      </c>
      <c r="O1833" s="35">
        <f>MAX(INDEX(O$381:O$392,$D1833)+(O1806+O1824)*(1+$E1833),0.01)</f>
        <v/>
      </c>
      <c r="P1833" s="35">
        <f>MAX(INDEX(P$381:P$392,$D1833)+(P1806+P1824)*(1+$E1833),0.01)</f>
        <v/>
      </c>
      <c r="Q1833" s="35">
        <f>MAX(INDEX(Q$381:Q$392,$D1833)+(Q1806+Q1824)*(1+$E1833),0.01)</f>
        <v/>
      </c>
      <c r="R1833" s="35">
        <f>MAX(INDEX(R$381:R$392,$D1833)+(R1806+R1824)*(1+$E1833),0.01)</f>
        <v/>
      </c>
      <c r="S1833" s="35">
        <f>MAX(INDEX(S$381:S$392,$D1833)+(S1806+S1824)*(1+$E1833),0.01)</f>
        <v/>
      </c>
      <c r="T1833" s="35">
        <f>MAX(INDEX(T$381:T$392,$D1833)+(T1806+T1824)*(1+$E1833),0.01)</f>
        <v/>
      </c>
      <c r="U1833" s="35">
        <f>MAX(INDEX(U$381:U$392,$D1833)+(U1806+U1824)*(1+$E1833),0.01)</f>
        <v/>
      </c>
      <c r="V1833" s="35">
        <f>MAX(INDEX(V$381:V$392,$D1833)+(V1806+V1824)*(1+$E1833),0.01)</f>
        <v/>
      </c>
      <c r="W1833" s="35">
        <f>MAX(INDEX(W$381:W$392,$D1833)+(W1806+W1824)*(1+$E1833),0.01)</f>
        <v/>
      </c>
      <c r="X1833" s="35">
        <f>MAX(INDEX(X$381:X$392,$D1833)+(X1806+X1824)*(1+$E1833),0.01)</f>
        <v/>
      </c>
      <c r="Y1833" s="35">
        <f>MAX(INDEX(Y$381:Y$392,$D1833)+(Y1806+Y1824)*(1+$E1833),0.01)</f>
        <v/>
      </c>
      <c r="Z1833" s="35">
        <f>MAX(INDEX(Z$381:Z$392,$D1833)+(Z1806+Z1824)*(1+$E1833),0.01)</f>
        <v/>
      </c>
      <c r="AA1833" s="35">
        <f>MAX(INDEX(AA$381:AA$392,$D1833)+(AA1806+AA1824)*(1+$E1833),0.01)</f>
        <v/>
      </c>
      <c r="AB1833" s="35">
        <f>MAX(INDEX(AB$381:AB$392,$D1833)+(AB1806+AB1824)*(1+$E1833),0.01)</f>
        <v/>
      </c>
      <c r="AC1833" s="35">
        <f>MAX(INDEX(AC$381:AC$392,$D1833)+(AC1806+AC1824)*(1+$E1833),0.01)</f>
        <v/>
      </c>
      <c r="AD1833" s="35">
        <f>MAX(INDEX(AD$381:AD$392,$D1833)+(AD1806+AD1824)*(1+$E1833),0.01)</f>
        <v/>
      </c>
      <c r="AE1833" s="42">
        <f>POSTTAX(INDEX(AE$381:AE$392,$D1833),AE1806+AE1824,$E1833)</f>
        <v/>
      </c>
      <c r="AG1833" s="11">
        <f>CodePrefix&amp;$A1833&amp;IF($C1833="","","."&amp;$C1833&amp;"."&amp;$B1833)&amp;INDEX(VarEnd,MATCH($A1833,VarKey,0))&amp;AG$5</f>
        <v/>
      </c>
      <c r="AH1833" s="40">
        <f>MAX(INDEX(AH$381:AH$392,$D1833)+(AH1806+AH1824)*(1+$E1833),0.01)</f>
        <v/>
      </c>
      <c r="AI1833" s="35">
        <f>MAX(INDEX(AI$381:AI$392,$D1833)+(AI1806+AI1824)*(1+$E1833),0.01)</f>
        <v/>
      </c>
      <c r="AJ1833" s="35">
        <f>MAX(INDEX(AJ$381:AJ$392,$D1833)+(AJ1806+AJ1824)*(1+$E1833),0.01)</f>
        <v/>
      </c>
      <c r="AK1833" s="35">
        <f>MAX(INDEX(AK$381:AK$392,$D1833)+(AK1806+AK1824)*(1+$E1833),0.01)</f>
        <v/>
      </c>
      <c r="AL1833" s="35">
        <f>MAX(INDEX(AL$381:AL$392,$D1833)+(AL1806+AL1824)*(1+$E1833),0.01)</f>
        <v/>
      </c>
      <c r="AM1833" s="35">
        <f>MAX(INDEX(AM$381:AM$392,$D1833)+(AM1806+AM1824)*(1+$E1833),0.01)</f>
        <v/>
      </c>
      <c r="AN1833" s="35">
        <f>MAX(INDEX(AN$381:AN$392,$D1833)+(AN1806+AN1824)*(1+$E1833),0.01)</f>
        <v/>
      </c>
      <c r="AO1833" s="35">
        <f>MAX(INDEX(AO$381:AO$392,$D1833)+(AO1806+AO1824)*(1+$E1833),0.01)</f>
        <v/>
      </c>
      <c r="AP1833" s="35">
        <f>MAX(INDEX(AP$381:AP$392,$D1833)+(AP1806+AP1824)*(1+$E1833),0.01)</f>
        <v/>
      </c>
      <c r="AQ1833" s="35">
        <f>MAX(INDEX(AQ$381:AQ$392,$D1833)+(AQ1806+AQ1824)*(1+$E1833),0.01)</f>
        <v/>
      </c>
      <c r="AR1833" s="35">
        <f>MAX(INDEX(AR$381:AR$392,$D1833)+(AR1806+AR1824)*(1+$E1833),0.01)</f>
        <v/>
      </c>
      <c r="AS1833" s="35">
        <f>MAX(INDEX(AS$381:AS$392,$D1833)+(AS1806+AS1824)*(1+$E1833),0.01)</f>
        <v/>
      </c>
      <c r="AT1833" s="35">
        <f>MAX(INDEX(AT$381:AT$392,$D1833)+(AT1806+AT1824)*(1+$E1833),0.01)</f>
        <v/>
      </c>
      <c r="AU1833" s="35">
        <f>MAX(INDEX(AU$381:AU$392,$D1833)+(AU1806+AU1824)*(1+$E1833),0.01)</f>
        <v/>
      </c>
      <c r="AV1833" s="35">
        <f>MAX(INDEX(AV$381:AV$392,$D1833)+(AV1806+AV1824)*(1+$E1833),0.01)</f>
        <v/>
      </c>
      <c r="AW1833" s="35">
        <f>MAX(INDEX(AW$381:AW$392,$D1833)+(AW1806+AW1824)*(1+$E1833),0.01)</f>
        <v/>
      </c>
      <c r="AX1833" s="35">
        <f>MAX(INDEX(AX$381:AX$392,$D1833)+(AX1806+AX1824)*(1+$E1833),0.01)</f>
        <v/>
      </c>
      <c r="AY1833" s="35">
        <f>MAX(INDEX(AY$381:AY$392,$D1833)+(AY1806+AY1824)*(1+$E1833),0.01)</f>
        <v/>
      </c>
      <c r="AZ1833" s="35">
        <f>MAX(INDEX(AZ$381:AZ$392,$D1833)+(AZ1806+AZ1824)*(1+$E1833),0.01)</f>
        <v/>
      </c>
      <c r="BA1833" s="42">
        <f>POSTTAX(INDEX(BA$381:BA$392,$D1833),BA1806+BA1824,$E1833)</f>
        <v/>
      </c>
    </row>
    <row r="1834" hidden="1" outlineLevel="2">
      <c r="A1834" s="14" t="inlineStr">
        <is>
          <t>atp</t>
        </is>
      </c>
      <c r="B1834" s="14" t="inlineStr">
        <is>
          <t>gso</t>
        </is>
      </c>
      <c r="C1834" s="14" t="inlineStr">
        <is>
          <t>srv</t>
        </is>
      </c>
      <c r="D1834" s="35">
        <f>INDEX(Inputs!$U$5:$U$132,MATCH($B1834&amp;"|"&amp;$C1834,Inputs!$A$5:$A$132,0))</f>
        <v/>
      </c>
      <c r="E1834" s="35">
        <f>INDEX(Inputs!$V$5:$V$132,MATCH($B1834&amp;"|"&amp;$C1834,Inputs!$A$5:$A$132,0))</f>
        <v/>
      </c>
      <c r="F1834" s="39" t="n"/>
      <c r="G1834" s="39" t="n"/>
      <c r="H1834" s="14">
        <f>INDEX(VarLab,MATCH($A1834,VarKey,0))&amp;INDEX(MemLab,MATCH($C1834&amp;"|"&amp;$B1834,MemKey,0))</f>
        <v/>
      </c>
      <c r="I1834" s="14">
        <f>INDEX(VarUnit,MATCH($A1834,VarKey,0))</f>
        <v/>
      </c>
      <c r="J1834" s="14">
        <f>INDEX(VarSrc,MATCH($A1834,VarKey,0))</f>
        <v/>
      </c>
      <c r="K1834" s="11">
        <f>CodePrefix&amp;$A1834&amp;IF($C1834="","","."&amp;$C1834&amp;"."&amp;$B1834)&amp;INDEX(VarEnd,MATCH($A1834,VarKey,0))&amp;K$5</f>
        <v/>
      </c>
      <c r="L1834" s="40">
        <f>MAX(INDEX(L$381:L$392,$D1834)+(L1807+L1825)*(1+$E1834),0.01)</f>
        <v/>
      </c>
      <c r="M1834" s="35">
        <f>MAX(INDEX(M$381:M$392,$D1834)+(M1807+M1825)*(1+$E1834),0.01)</f>
        <v/>
      </c>
      <c r="N1834" s="35">
        <f>MAX(INDEX(N$381:N$392,$D1834)+(N1807+N1825)*(1+$E1834),0.01)</f>
        <v/>
      </c>
      <c r="O1834" s="35">
        <f>MAX(INDEX(O$381:O$392,$D1834)+(O1807+O1825)*(1+$E1834),0.01)</f>
        <v/>
      </c>
      <c r="P1834" s="35">
        <f>MAX(INDEX(P$381:P$392,$D1834)+(P1807+P1825)*(1+$E1834),0.01)</f>
        <v/>
      </c>
      <c r="Q1834" s="35">
        <f>MAX(INDEX(Q$381:Q$392,$D1834)+(Q1807+Q1825)*(1+$E1834),0.01)</f>
        <v/>
      </c>
      <c r="R1834" s="35">
        <f>MAX(INDEX(R$381:R$392,$D1834)+(R1807+R1825)*(1+$E1834),0.01)</f>
        <v/>
      </c>
      <c r="S1834" s="35">
        <f>MAX(INDEX(S$381:S$392,$D1834)+(S1807+S1825)*(1+$E1834),0.01)</f>
        <v/>
      </c>
      <c r="T1834" s="35">
        <f>MAX(INDEX(T$381:T$392,$D1834)+(T1807+T1825)*(1+$E1834),0.01)</f>
        <v/>
      </c>
      <c r="U1834" s="35">
        <f>MAX(INDEX(U$381:U$392,$D1834)+(U1807+U1825)*(1+$E1834),0.01)</f>
        <v/>
      </c>
      <c r="V1834" s="35">
        <f>MAX(INDEX(V$381:V$392,$D1834)+(V1807+V1825)*(1+$E1834),0.01)</f>
        <v/>
      </c>
      <c r="W1834" s="35">
        <f>MAX(INDEX(W$381:W$392,$D1834)+(W1807+W1825)*(1+$E1834),0.01)</f>
        <v/>
      </c>
      <c r="X1834" s="35">
        <f>MAX(INDEX(X$381:X$392,$D1834)+(X1807+X1825)*(1+$E1834),0.01)</f>
        <v/>
      </c>
      <c r="Y1834" s="35">
        <f>MAX(INDEX(Y$381:Y$392,$D1834)+(Y1807+Y1825)*(1+$E1834),0.01)</f>
        <v/>
      </c>
      <c r="Z1834" s="35">
        <f>MAX(INDEX(Z$381:Z$392,$D1834)+(Z1807+Z1825)*(1+$E1834),0.01)</f>
        <v/>
      </c>
      <c r="AA1834" s="35">
        <f>MAX(INDEX(AA$381:AA$392,$D1834)+(AA1807+AA1825)*(1+$E1834),0.01)</f>
        <v/>
      </c>
      <c r="AB1834" s="35">
        <f>MAX(INDEX(AB$381:AB$392,$D1834)+(AB1807+AB1825)*(1+$E1834),0.01)</f>
        <v/>
      </c>
      <c r="AC1834" s="35">
        <f>MAX(INDEX(AC$381:AC$392,$D1834)+(AC1807+AC1825)*(1+$E1834),0.01)</f>
        <v/>
      </c>
      <c r="AD1834" s="35">
        <f>MAX(INDEX(AD$381:AD$392,$D1834)+(AD1807+AD1825)*(1+$E1834),0.01)</f>
        <v/>
      </c>
      <c r="AE1834" s="42">
        <f>POSTTAX(INDEX(AE$381:AE$392,$D1834),AE1807+AE1825,$E1834)</f>
        <v/>
      </c>
      <c r="AG1834" s="11">
        <f>CodePrefix&amp;$A1834&amp;IF($C1834="","","."&amp;$C1834&amp;"."&amp;$B1834)&amp;INDEX(VarEnd,MATCH($A1834,VarKey,0))&amp;AG$5</f>
        <v/>
      </c>
      <c r="AH1834" s="40">
        <f>MAX(INDEX(AH$381:AH$392,$D1834)+(AH1807+AH1825)*(1+$E1834),0.01)</f>
        <v/>
      </c>
      <c r="AI1834" s="35">
        <f>MAX(INDEX(AI$381:AI$392,$D1834)+(AI1807+AI1825)*(1+$E1834),0.01)</f>
        <v/>
      </c>
      <c r="AJ1834" s="35">
        <f>MAX(INDEX(AJ$381:AJ$392,$D1834)+(AJ1807+AJ1825)*(1+$E1834),0.01)</f>
        <v/>
      </c>
      <c r="AK1834" s="35">
        <f>MAX(INDEX(AK$381:AK$392,$D1834)+(AK1807+AK1825)*(1+$E1834),0.01)</f>
        <v/>
      </c>
      <c r="AL1834" s="35">
        <f>MAX(INDEX(AL$381:AL$392,$D1834)+(AL1807+AL1825)*(1+$E1834),0.01)</f>
        <v/>
      </c>
      <c r="AM1834" s="35">
        <f>MAX(INDEX(AM$381:AM$392,$D1834)+(AM1807+AM1825)*(1+$E1834),0.01)</f>
        <v/>
      </c>
      <c r="AN1834" s="35">
        <f>MAX(INDEX(AN$381:AN$392,$D1834)+(AN1807+AN1825)*(1+$E1834),0.01)</f>
        <v/>
      </c>
      <c r="AO1834" s="35">
        <f>MAX(INDEX(AO$381:AO$392,$D1834)+(AO1807+AO1825)*(1+$E1834),0.01)</f>
        <v/>
      </c>
      <c r="AP1834" s="35">
        <f>MAX(INDEX(AP$381:AP$392,$D1834)+(AP1807+AP1825)*(1+$E1834),0.01)</f>
        <v/>
      </c>
      <c r="AQ1834" s="35">
        <f>MAX(INDEX(AQ$381:AQ$392,$D1834)+(AQ1807+AQ1825)*(1+$E1834),0.01)</f>
        <v/>
      </c>
      <c r="AR1834" s="35">
        <f>MAX(INDEX(AR$381:AR$392,$D1834)+(AR1807+AR1825)*(1+$E1834),0.01)</f>
        <v/>
      </c>
      <c r="AS1834" s="35">
        <f>MAX(INDEX(AS$381:AS$392,$D1834)+(AS1807+AS1825)*(1+$E1834),0.01)</f>
        <v/>
      </c>
      <c r="AT1834" s="35">
        <f>MAX(INDEX(AT$381:AT$392,$D1834)+(AT1807+AT1825)*(1+$E1834),0.01)</f>
        <v/>
      </c>
      <c r="AU1834" s="35">
        <f>MAX(INDEX(AU$381:AU$392,$D1834)+(AU1807+AU1825)*(1+$E1834),0.01)</f>
        <v/>
      </c>
      <c r="AV1834" s="35">
        <f>MAX(INDEX(AV$381:AV$392,$D1834)+(AV1807+AV1825)*(1+$E1834),0.01)</f>
        <v/>
      </c>
      <c r="AW1834" s="35">
        <f>MAX(INDEX(AW$381:AW$392,$D1834)+(AW1807+AW1825)*(1+$E1834),0.01)</f>
        <v/>
      </c>
      <c r="AX1834" s="35">
        <f>MAX(INDEX(AX$381:AX$392,$D1834)+(AX1807+AX1825)*(1+$E1834),0.01)</f>
        <v/>
      </c>
      <c r="AY1834" s="35">
        <f>MAX(INDEX(AY$381:AY$392,$D1834)+(AY1807+AY1825)*(1+$E1834),0.01)</f>
        <v/>
      </c>
      <c r="AZ1834" s="35">
        <f>MAX(INDEX(AZ$381:AZ$392,$D1834)+(AZ1807+AZ1825)*(1+$E1834),0.01)</f>
        <v/>
      </c>
      <c r="BA1834" s="42">
        <f>POSTTAX(INDEX(BA$381:BA$392,$D1834),BA1807+BA1825,$E1834)</f>
        <v/>
      </c>
    </row>
    <row r="1835" hidden="1" outlineLevel="2">
      <c r="A1835" s="14" t="inlineStr">
        <is>
          <t>atp</t>
        </is>
      </c>
      <c r="B1835" s="14" t="inlineStr">
        <is>
          <t>die</t>
        </is>
      </c>
      <c r="C1835" s="14" t="inlineStr">
        <is>
          <t>srv</t>
        </is>
      </c>
      <c r="D1835" s="35">
        <f>INDEX(Inputs!$U$5:$U$132,MATCH($B1835&amp;"|"&amp;$C1835,Inputs!$A$5:$A$132,0))</f>
        <v/>
      </c>
      <c r="E1835" s="35">
        <f>INDEX(Inputs!$V$5:$V$132,MATCH($B1835&amp;"|"&amp;$C1835,Inputs!$A$5:$A$132,0))</f>
        <v/>
      </c>
      <c r="F1835" s="39" t="n"/>
      <c r="G1835" s="39" t="n"/>
      <c r="H1835" s="14">
        <f>INDEX(VarLab,MATCH($A1835,VarKey,0))&amp;INDEX(MemLab,MATCH($C1835&amp;"|"&amp;$B1835,MemKey,0))</f>
        <v/>
      </c>
      <c r="I1835" s="14">
        <f>INDEX(VarUnit,MATCH($A1835,VarKey,0))</f>
        <v/>
      </c>
      <c r="J1835" s="14">
        <f>INDEX(VarSrc,MATCH($A1835,VarKey,0))</f>
        <v/>
      </c>
      <c r="K1835" s="11">
        <f>CodePrefix&amp;$A1835&amp;IF($C1835="","","."&amp;$C1835&amp;"."&amp;$B1835)&amp;INDEX(VarEnd,MATCH($A1835,VarKey,0))&amp;K$5</f>
        <v/>
      </c>
      <c r="L1835" s="40">
        <f>MAX(INDEX(L$381:L$392,$D1835)+(L1808+L1826)*(1+$E1835),0.01)</f>
        <v/>
      </c>
      <c r="M1835" s="35">
        <f>MAX(INDEX(M$381:M$392,$D1835)+(M1808+M1826)*(1+$E1835),0.01)</f>
        <v/>
      </c>
      <c r="N1835" s="35">
        <f>MAX(INDEX(N$381:N$392,$D1835)+(N1808+N1826)*(1+$E1835),0.01)</f>
        <v/>
      </c>
      <c r="O1835" s="35">
        <f>MAX(INDEX(O$381:O$392,$D1835)+(O1808+O1826)*(1+$E1835),0.01)</f>
        <v/>
      </c>
      <c r="P1835" s="35">
        <f>MAX(INDEX(P$381:P$392,$D1835)+(P1808+P1826)*(1+$E1835),0.01)</f>
        <v/>
      </c>
      <c r="Q1835" s="35">
        <f>MAX(INDEX(Q$381:Q$392,$D1835)+(Q1808+Q1826)*(1+$E1835),0.01)</f>
        <v/>
      </c>
      <c r="R1835" s="35">
        <f>MAX(INDEX(R$381:R$392,$D1835)+(R1808+R1826)*(1+$E1835),0.01)</f>
        <v/>
      </c>
      <c r="S1835" s="35">
        <f>MAX(INDEX(S$381:S$392,$D1835)+(S1808+S1826)*(1+$E1835),0.01)</f>
        <v/>
      </c>
      <c r="T1835" s="35">
        <f>MAX(INDEX(T$381:T$392,$D1835)+(T1808+T1826)*(1+$E1835),0.01)</f>
        <v/>
      </c>
      <c r="U1835" s="35">
        <f>MAX(INDEX(U$381:U$392,$D1835)+(U1808+U1826)*(1+$E1835),0.01)</f>
        <v/>
      </c>
      <c r="V1835" s="35">
        <f>MAX(INDEX(V$381:V$392,$D1835)+(V1808+V1826)*(1+$E1835),0.01)</f>
        <v/>
      </c>
      <c r="W1835" s="35">
        <f>MAX(INDEX(W$381:W$392,$D1835)+(W1808+W1826)*(1+$E1835),0.01)</f>
        <v/>
      </c>
      <c r="X1835" s="35">
        <f>MAX(INDEX(X$381:X$392,$D1835)+(X1808+X1826)*(1+$E1835),0.01)</f>
        <v/>
      </c>
      <c r="Y1835" s="35">
        <f>MAX(INDEX(Y$381:Y$392,$D1835)+(Y1808+Y1826)*(1+$E1835),0.01)</f>
        <v/>
      </c>
      <c r="Z1835" s="35">
        <f>MAX(INDEX(Z$381:Z$392,$D1835)+(Z1808+Z1826)*(1+$E1835),0.01)</f>
        <v/>
      </c>
      <c r="AA1835" s="35">
        <f>MAX(INDEX(AA$381:AA$392,$D1835)+(AA1808+AA1826)*(1+$E1835),0.01)</f>
        <v/>
      </c>
      <c r="AB1835" s="35">
        <f>MAX(INDEX(AB$381:AB$392,$D1835)+(AB1808+AB1826)*(1+$E1835),0.01)</f>
        <v/>
      </c>
      <c r="AC1835" s="35">
        <f>MAX(INDEX(AC$381:AC$392,$D1835)+(AC1808+AC1826)*(1+$E1835),0.01)</f>
        <v/>
      </c>
      <c r="AD1835" s="35">
        <f>MAX(INDEX(AD$381:AD$392,$D1835)+(AD1808+AD1826)*(1+$E1835),0.01)</f>
        <v/>
      </c>
      <c r="AE1835" s="42">
        <f>POSTTAX(INDEX(AE$381:AE$392,$D1835),AE1808+AE1826,$E1835)</f>
        <v/>
      </c>
      <c r="AG1835" s="11">
        <f>CodePrefix&amp;$A1835&amp;IF($C1835="","","."&amp;$C1835&amp;"."&amp;$B1835)&amp;INDEX(VarEnd,MATCH($A1835,VarKey,0))&amp;AG$5</f>
        <v/>
      </c>
      <c r="AH1835" s="40">
        <f>MAX(INDEX(AH$381:AH$392,$D1835)+(AH1808+AH1826)*(1+$E1835),0.01)</f>
        <v/>
      </c>
      <c r="AI1835" s="35">
        <f>MAX(INDEX(AI$381:AI$392,$D1835)+(AI1808+AI1826)*(1+$E1835),0.01)</f>
        <v/>
      </c>
      <c r="AJ1835" s="35">
        <f>MAX(INDEX(AJ$381:AJ$392,$D1835)+(AJ1808+AJ1826)*(1+$E1835),0.01)</f>
        <v/>
      </c>
      <c r="AK1835" s="35">
        <f>MAX(INDEX(AK$381:AK$392,$D1835)+(AK1808+AK1826)*(1+$E1835),0.01)</f>
        <v/>
      </c>
      <c r="AL1835" s="35">
        <f>MAX(INDEX(AL$381:AL$392,$D1835)+(AL1808+AL1826)*(1+$E1835),0.01)</f>
        <v/>
      </c>
      <c r="AM1835" s="35">
        <f>MAX(INDEX(AM$381:AM$392,$D1835)+(AM1808+AM1826)*(1+$E1835),0.01)</f>
        <v/>
      </c>
      <c r="AN1835" s="35">
        <f>MAX(INDEX(AN$381:AN$392,$D1835)+(AN1808+AN1826)*(1+$E1835),0.01)</f>
        <v/>
      </c>
      <c r="AO1835" s="35">
        <f>MAX(INDEX(AO$381:AO$392,$D1835)+(AO1808+AO1826)*(1+$E1835),0.01)</f>
        <v/>
      </c>
      <c r="AP1835" s="35">
        <f>MAX(INDEX(AP$381:AP$392,$D1835)+(AP1808+AP1826)*(1+$E1835),0.01)</f>
        <v/>
      </c>
      <c r="AQ1835" s="35">
        <f>MAX(INDEX(AQ$381:AQ$392,$D1835)+(AQ1808+AQ1826)*(1+$E1835),0.01)</f>
        <v/>
      </c>
      <c r="AR1835" s="35">
        <f>MAX(INDEX(AR$381:AR$392,$D1835)+(AR1808+AR1826)*(1+$E1835),0.01)</f>
        <v/>
      </c>
      <c r="AS1835" s="35">
        <f>MAX(INDEX(AS$381:AS$392,$D1835)+(AS1808+AS1826)*(1+$E1835),0.01)</f>
        <v/>
      </c>
      <c r="AT1835" s="35">
        <f>MAX(INDEX(AT$381:AT$392,$D1835)+(AT1808+AT1826)*(1+$E1835),0.01)</f>
        <v/>
      </c>
      <c r="AU1835" s="35">
        <f>MAX(INDEX(AU$381:AU$392,$D1835)+(AU1808+AU1826)*(1+$E1835),0.01)</f>
        <v/>
      </c>
      <c r="AV1835" s="35">
        <f>MAX(INDEX(AV$381:AV$392,$D1835)+(AV1808+AV1826)*(1+$E1835),0.01)</f>
        <v/>
      </c>
      <c r="AW1835" s="35">
        <f>MAX(INDEX(AW$381:AW$392,$D1835)+(AW1808+AW1826)*(1+$E1835),0.01)</f>
        <v/>
      </c>
      <c r="AX1835" s="35">
        <f>MAX(INDEX(AX$381:AX$392,$D1835)+(AX1808+AX1826)*(1+$E1835),0.01)</f>
        <v/>
      </c>
      <c r="AY1835" s="35">
        <f>MAX(INDEX(AY$381:AY$392,$D1835)+(AY1808+AY1826)*(1+$E1835),0.01)</f>
        <v/>
      </c>
      <c r="AZ1835" s="35">
        <f>MAX(INDEX(AZ$381:AZ$392,$D1835)+(AZ1808+AZ1826)*(1+$E1835),0.01)</f>
        <v/>
      </c>
      <c r="BA1835" s="42">
        <f>POSTTAX(INDEX(BA$381:BA$392,$D1835),BA1808+BA1826,$E1835)</f>
        <v/>
      </c>
    </row>
    <row r="1836" hidden="1" outlineLevel="2">
      <c r="A1836" s="14" t="inlineStr">
        <is>
          <t>atp</t>
        </is>
      </c>
      <c r="B1836" s="14" t="inlineStr">
        <is>
          <t>lpg</t>
        </is>
      </c>
      <c r="C1836" s="14" t="inlineStr">
        <is>
          <t>srv</t>
        </is>
      </c>
      <c r="D1836" s="35">
        <f>INDEX(Inputs!$U$5:$U$132,MATCH($B1836&amp;"|"&amp;$C1836,Inputs!$A$5:$A$132,0))</f>
        <v/>
      </c>
      <c r="E1836" s="35">
        <f>INDEX(Inputs!$V$5:$V$132,MATCH($B1836&amp;"|"&amp;$C1836,Inputs!$A$5:$A$132,0))</f>
        <v/>
      </c>
      <c r="F1836" s="39" t="n"/>
      <c r="G1836" s="39" t="n"/>
      <c r="H1836" s="14">
        <f>INDEX(VarLab,MATCH($A1836,VarKey,0))&amp;INDEX(MemLab,MATCH($C1836&amp;"|"&amp;$B1836,MemKey,0))</f>
        <v/>
      </c>
      <c r="I1836" s="14">
        <f>INDEX(VarUnit,MATCH($A1836,VarKey,0))</f>
        <v/>
      </c>
      <c r="J1836" s="14">
        <f>INDEX(VarSrc,MATCH($A1836,VarKey,0))</f>
        <v/>
      </c>
      <c r="K1836" s="11">
        <f>CodePrefix&amp;$A1836&amp;IF($C1836="","","."&amp;$C1836&amp;"."&amp;$B1836)&amp;INDEX(VarEnd,MATCH($A1836,VarKey,0))&amp;K$5</f>
        <v/>
      </c>
      <c r="L1836" s="40">
        <f>MAX(INDEX(L$381:L$392,$D1836)+(L1809+L1827)*(1+$E1836),0.01)</f>
        <v/>
      </c>
      <c r="M1836" s="35">
        <f>MAX(INDEX(M$381:M$392,$D1836)+(M1809+M1827)*(1+$E1836),0.01)</f>
        <v/>
      </c>
      <c r="N1836" s="35">
        <f>MAX(INDEX(N$381:N$392,$D1836)+(N1809+N1827)*(1+$E1836),0.01)</f>
        <v/>
      </c>
      <c r="O1836" s="35">
        <f>MAX(INDEX(O$381:O$392,$D1836)+(O1809+O1827)*(1+$E1836),0.01)</f>
        <v/>
      </c>
      <c r="P1836" s="35">
        <f>MAX(INDEX(P$381:P$392,$D1836)+(P1809+P1827)*(1+$E1836),0.01)</f>
        <v/>
      </c>
      <c r="Q1836" s="35">
        <f>MAX(INDEX(Q$381:Q$392,$D1836)+(Q1809+Q1827)*(1+$E1836),0.01)</f>
        <v/>
      </c>
      <c r="R1836" s="35">
        <f>MAX(INDEX(R$381:R$392,$D1836)+(R1809+R1827)*(1+$E1836),0.01)</f>
        <v/>
      </c>
      <c r="S1836" s="35">
        <f>MAX(INDEX(S$381:S$392,$D1836)+(S1809+S1827)*(1+$E1836),0.01)</f>
        <v/>
      </c>
      <c r="T1836" s="35">
        <f>MAX(INDEX(T$381:T$392,$D1836)+(T1809+T1827)*(1+$E1836),0.01)</f>
        <v/>
      </c>
      <c r="U1836" s="35">
        <f>MAX(INDEX(U$381:U$392,$D1836)+(U1809+U1827)*(1+$E1836),0.01)</f>
        <v/>
      </c>
      <c r="V1836" s="35">
        <f>MAX(INDEX(V$381:V$392,$D1836)+(V1809+V1827)*(1+$E1836),0.01)</f>
        <v/>
      </c>
      <c r="W1836" s="35">
        <f>MAX(INDEX(W$381:W$392,$D1836)+(W1809+W1827)*(1+$E1836),0.01)</f>
        <v/>
      </c>
      <c r="X1836" s="35">
        <f>MAX(INDEX(X$381:X$392,$D1836)+(X1809+X1827)*(1+$E1836),0.01)</f>
        <v/>
      </c>
      <c r="Y1836" s="35">
        <f>MAX(INDEX(Y$381:Y$392,$D1836)+(Y1809+Y1827)*(1+$E1836),0.01)</f>
        <v/>
      </c>
      <c r="Z1836" s="35">
        <f>MAX(INDEX(Z$381:Z$392,$D1836)+(Z1809+Z1827)*(1+$E1836),0.01)</f>
        <v/>
      </c>
      <c r="AA1836" s="35">
        <f>MAX(INDEX(AA$381:AA$392,$D1836)+(AA1809+AA1827)*(1+$E1836),0.01)</f>
        <v/>
      </c>
      <c r="AB1836" s="35">
        <f>MAX(INDEX(AB$381:AB$392,$D1836)+(AB1809+AB1827)*(1+$E1836),0.01)</f>
        <v/>
      </c>
      <c r="AC1836" s="35">
        <f>MAX(INDEX(AC$381:AC$392,$D1836)+(AC1809+AC1827)*(1+$E1836),0.01)</f>
        <v/>
      </c>
      <c r="AD1836" s="35">
        <f>MAX(INDEX(AD$381:AD$392,$D1836)+(AD1809+AD1827)*(1+$E1836),0.01)</f>
        <v/>
      </c>
      <c r="AE1836" s="42">
        <f>POSTTAX(INDEX(AE$381:AE$392,$D1836),AE1809+AE1827,$E1836)</f>
        <v/>
      </c>
      <c r="AG1836" s="11">
        <f>CodePrefix&amp;$A1836&amp;IF($C1836="","","."&amp;$C1836&amp;"."&amp;$B1836)&amp;INDEX(VarEnd,MATCH($A1836,VarKey,0))&amp;AG$5</f>
        <v/>
      </c>
      <c r="AH1836" s="40">
        <f>MAX(INDEX(AH$381:AH$392,$D1836)+(AH1809+AH1827)*(1+$E1836),0.01)</f>
        <v/>
      </c>
      <c r="AI1836" s="35">
        <f>MAX(INDEX(AI$381:AI$392,$D1836)+(AI1809+AI1827)*(1+$E1836),0.01)</f>
        <v/>
      </c>
      <c r="AJ1836" s="35">
        <f>MAX(INDEX(AJ$381:AJ$392,$D1836)+(AJ1809+AJ1827)*(1+$E1836),0.01)</f>
        <v/>
      </c>
      <c r="AK1836" s="35">
        <f>MAX(INDEX(AK$381:AK$392,$D1836)+(AK1809+AK1827)*(1+$E1836),0.01)</f>
        <v/>
      </c>
      <c r="AL1836" s="35">
        <f>MAX(INDEX(AL$381:AL$392,$D1836)+(AL1809+AL1827)*(1+$E1836),0.01)</f>
        <v/>
      </c>
      <c r="AM1836" s="35">
        <f>MAX(INDEX(AM$381:AM$392,$D1836)+(AM1809+AM1827)*(1+$E1836),0.01)</f>
        <v/>
      </c>
      <c r="AN1836" s="35">
        <f>MAX(INDEX(AN$381:AN$392,$D1836)+(AN1809+AN1827)*(1+$E1836),0.01)</f>
        <v/>
      </c>
      <c r="AO1836" s="35">
        <f>MAX(INDEX(AO$381:AO$392,$D1836)+(AO1809+AO1827)*(1+$E1836),0.01)</f>
        <v/>
      </c>
      <c r="AP1836" s="35">
        <f>MAX(INDEX(AP$381:AP$392,$D1836)+(AP1809+AP1827)*(1+$E1836),0.01)</f>
        <v/>
      </c>
      <c r="AQ1836" s="35">
        <f>MAX(INDEX(AQ$381:AQ$392,$D1836)+(AQ1809+AQ1827)*(1+$E1836),0.01)</f>
        <v/>
      </c>
      <c r="AR1836" s="35">
        <f>MAX(INDEX(AR$381:AR$392,$D1836)+(AR1809+AR1827)*(1+$E1836),0.01)</f>
        <v/>
      </c>
      <c r="AS1836" s="35">
        <f>MAX(INDEX(AS$381:AS$392,$D1836)+(AS1809+AS1827)*(1+$E1836),0.01)</f>
        <v/>
      </c>
      <c r="AT1836" s="35">
        <f>MAX(INDEX(AT$381:AT$392,$D1836)+(AT1809+AT1827)*(1+$E1836),0.01)</f>
        <v/>
      </c>
      <c r="AU1836" s="35">
        <f>MAX(INDEX(AU$381:AU$392,$D1836)+(AU1809+AU1827)*(1+$E1836),0.01)</f>
        <v/>
      </c>
      <c r="AV1836" s="35">
        <f>MAX(INDEX(AV$381:AV$392,$D1836)+(AV1809+AV1827)*(1+$E1836),0.01)</f>
        <v/>
      </c>
      <c r="AW1836" s="35">
        <f>MAX(INDEX(AW$381:AW$392,$D1836)+(AW1809+AW1827)*(1+$E1836),0.01)</f>
        <v/>
      </c>
      <c r="AX1836" s="35">
        <f>MAX(INDEX(AX$381:AX$392,$D1836)+(AX1809+AX1827)*(1+$E1836),0.01)</f>
        <v/>
      </c>
      <c r="AY1836" s="35">
        <f>MAX(INDEX(AY$381:AY$392,$D1836)+(AY1809+AY1827)*(1+$E1836),0.01)</f>
        <v/>
      </c>
      <c r="AZ1836" s="35">
        <f>MAX(INDEX(AZ$381:AZ$392,$D1836)+(AZ1809+AZ1827)*(1+$E1836),0.01)</f>
        <v/>
      </c>
      <c r="BA1836" s="42">
        <f>POSTTAX(INDEX(BA$381:BA$392,$D1836),BA1809+BA1827,$E1836)</f>
        <v/>
      </c>
    </row>
    <row r="1837" hidden="1" outlineLevel="2">
      <c r="A1837" s="14" t="inlineStr">
        <is>
          <t>atp</t>
        </is>
      </c>
      <c r="B1837" s="14" t="inlineStr">
        <is>
          <t>ker</t>
        </is>
      </c>
      <c r="C1837" s="14" t="inlineStr">
        <is>
          <t>srv</t>
        </is>
      </c>
      <c r="D1837" s="35">
        <f>INDEX(Inputs!$U$5:$U$132,MATCH($B1837&amp;"|"&amp;$C1837,Inputs!$A$5:$A$132,0))</f>
        <v/>
      </c>
      <c r="E1837" s="35">
        <f>INDEX(Inputs!$V$5:$V$132,MATCH($B1837&amp;"|"&amp;$C1837,Inputs!$A$5:$A$132,0))</f>
        <v/>
      </c>
      <c r="F1837" s="39" t="n"/>
      <c r="G1837" s="39" t="n"/>
      <c r="H1837" s="14">
        <f>INDEX(VarLab,MATCH($A1837,VarKey,0))&amp;INDEX(MemLab,MATCH($C1837&amp;"|"&amp;$B1837,MemKey,0))</f>
        <v/>
      </c>
      <c r="I1837" s="14">
        <f>INDEX(VarUnit,MATCH($A1837,VarKey,0))</f>
        <v/>
      </c>
      <c r="J1837" s="14">
        <f>INDEX(VarSrc,MATCH($A1837,VarKey,0))</f>
        <v/>
      </c>
      <c r="K1837" s="11">
        <f>CodePrefix&amp;$A1837&amp;IF($C1837="","","."&amp;$C1837&amp;"."&amp;$B1837)&amp;INDEX(VarEnd,MATCH($A1837,VarKey,0))&amp;K$5</f>
        <v/>
      </c>
      <c r="L1837" s="40">
        <f>MAX(INDEX(L$381:L$392,$D1837)+(L1810+L1828)*(1+$E1837),0.01)</f>
        <v/>
      </c>
      <c r="M1837" s="35">
        <f>MAX(INDEX(M$381:M$392,$D1837)+(M1810+M1828)*(1+$E1837),0.01)</f>
        <v/>
      </c>
      <c r="N1837" s="35">
        <f>MAX(INDEX(N$381:N$392,$D1837)+(N1810+N1828)*(1+$E1837),0.01)</f>
        <v/>
      </c>
      <c r="O1837" s="35">
        <f>MAX(INDEX(O$381:O$392,$D1837)+(O1810+O1828)*(1+$E1837),0.01)</f>
        <v/>
      </c>
      <c r="P1837" s="35">
        <f>MAX(INDEX(P$381:P$392,$D1837)+(P1810+P1828)*(1+$E1837),0.01)</f>
        <v/>
      </c>
      <c r="Q1837" s="35">
        <f>MAX(INDEX(Q$381:Q$392,$D1837)+(Q1810+Q1828)*(1+$E1837),0.01)</f>
        <v/>
      </c>
      <c r="R1837" s="35">
        <f>MAX(INDEX(R$381:R$392,$D1837)+(R1810+R1828)*(1+$E1837),0.01)</f>
        <v/>
      </c>
      <c r="S1837" s="35">
        <f>MAX(INDEX(S$381:S$392,$D1837)+(S1810+S1828)*(1+$E1837),0.01)</f>
        <v/>
      </c>
      <c r="T1837" s="35">
        <f>MAX(INDEX(T$381:T$392,$D1837)+(T1810+T1828)*(1+$E1837),0.01)</f>
        <v/>
      </c>
      <c r="U1837" s="35">
        <f>MAX(INDEX(U$381:U$392,$D1837)+(U1810+U1828)*(1+$E1837),0.01)</f>
        <v/>
      </c>
      <c r="V1837" s="35">
        <f>MAX(INDEX(V$381:V$392,$D1837)+(V1810+V1828)*(1+$E1837),0.01)</f>
        <v/>
      </c>
      <c r="W1837" s="35">
        <f>MAX(INDEX(W$381:W$392,$D1837)+(W1810+W1828)*(1+$E1837),0.01)</f>
        <v/>
      </c>
      <c r="X1837" s="35">
        <f>MAX(INDEX(X$381:X$392,$D1837)+(X1810+X1828)*(1+$E1837),0.01)</f>
        <v/>
      </c>
      <c r="Y1837" s="35">
        <f>MAX(INDEX(Y$381:Y$392,$D1837)+(Y1810+Y1828)*(1+$E1837),0.01)</f>
        <v/>
      </c>
      <c r="Z1837" s="35">
        <f>MAX(INDEX(Z$381:Z$392,$D1837)+(Z1810+Z1828)*(1+$E1837),0.01)</f>
        <v/>
      </c>
      <c r="AA1837" s="35">
        <f>MAX(INDEX(AA$381:AA$392,$D1837)+(AA1810+AA1828)*(1+$E1837),0.01)</f>
        <v/>
      </c>
      <c r="AB1837" s="35">
        <f>MAX(INDEX(AB$381:AB$392,$D1837)+(AB1810+AB1828)*(1+$E1837),0.01)</f>
        <v/>
      </c>
      <c r="AC1837" s="35">
        <f>MAX(INDEX(AC$381:AC$392,$D1837)+(AC1810+AC1828)*(1+$E1837),0.01)</f>
        <v/>
      </c>
      <c r="AD1837" s="35">
        <f>MAX(INDEX(AD$381:AD$392,$D1837)+(AD1810+AD1828)*(1+$E1837),0.01)</f>
        <v/>
      </c>
      <c r="AE1837" s="42">
        <f>POSTTAX(INDEX(AE$381:AE$392,$D1837),AE1810+AE1828,$E1837)</f>
        <v/>
      </c>
      <c r="AG1837" s="11">
        <f>CodePrefix&amp;$A1837&amp;IF($C1837="","","."&amp;$C1837&amp;"."&amp;$B1837)&amp;INDEX(VarEnd,MATCH($A1837,VarKey,0))&amp;AG$5</f>
        <v/>
      </c>
      <c r="AH1837" s="40">
        <f>MAX(INDEX(AH$381:AH$392,$D1837)+(AH1810+AH1828)*(1+$E1837),0.01)</f>
        <v/>
      </c>
      <c r="AI1837" s="35">
        <f>MAX(INDEX(AI$381:AI$392,$D1837)+(AI1810+AI1828)*(1+$E1837),0.01)</f>
        <v/>
      </c>
      <c r="AJ1837" s="35">
        <f>MAX(INDEX(AJ$381:AJ$392,$D1837)+(AJ1810+AJ1828)*(1+$E1837),0.01)</f>
        <v/>
      </c>
      <c r="AK1837" s="35">
        <f>MAX(INDEX(AK$381:AK$392,$D1837)+(AK1810+AK1828)*(1+$E1837),0.01)</f>
        <v/>
      </c>
      <c r="AL1837" s="35">
        <f>MAX(INDEX(AL$381:AL$392,$D1837)+(AL1810+AL1828)*(1+$E1837),0.01)</f>
        <v/>
      </c>
      <c r="AM1837" s="35">
        <f>MAX(INDEX(AM$381:AM$392,$D1837)+(AM1810+AM1828)*(1+$E1837),0.01)</f>
        <v/>
      </c>
      <c r="AN1837" s="35">
        <f>MAX(INDEX(AN$381:AN$392,$D1837)+(AN1810+AN1828)*(1+$E1837),0.01)</f>
        <v/>
      </c>
      <c r="AO1837" s="35">
        <f>MAX(INDEX(AO$381:AO$392,$D1837)+(AO1810+AO1828)*(1+$E1837),0.01)</f>
        <v/>
      </c>
      <c r="AP1837" s="35">
        <f>MAX(INDEX(AP$381:AP$392,$D1837)+(AP1810+AP1828)*(1+$E1837),0.01)</f>
        <v/>
      </c>
      <c r="AQ1837" s="35">
        <f>MAX(INDEX(AQ$381:AQ$392,$D1837)+(AQ1810+AQ1828)*(1+$E1837),0.01)</f>
        <v/>
      </c>
      <c r="AR1837" s="35">
        <f>MAX(INDEX(AR$381:AR$392,$D1837)+(AR1810+AR1828)*(1+$E1837),0.01)</f>
        <v/>
      </c>
      <c r="AS1837" s="35">
        <f>MAX(INDEX(AS$381:AS$392,$D1837)+(AS1810+AS1828)*(1+$E1837),0.01)</f>
        <v/>
      </c>
      <c r="AT1837" s="35">
        <f>MAX(INDEX(AT$381:AT$392,$D1837)+(AT1810+AT1828)*(1+$E1837),0.01)</f>
        <v/>
      </c>
      <c r="AU1837" s="35">
        <f>MAX(INDEX(AU$381:AU$392,$D1837)+(AU1810+AU1828)*(1+$E1837),0.01)</f>
        <v/>
      </c>
      <c r="AV1837" s="35">
        <f>MAX(INDEX(AV$381:AV$392,$D1837)+(AV1810+AV1828)*(1+$E1837),0.01)</f>
        <v/>
      </c>
      <c r="AW1837" s="35">
        <f>MAX(INDEX(AW$381:AW$392,$D1837)+(AW1810+AW1828)*(1+$E1837),0.01)</f>
        <v/>
      </c>
      <c r="AX1837" s="35">
        <f>MAX(INDEX(AX$381:AX$392,$D1837)+(AX1810+AX1828)*(1+$E1837),0.01)</f>
        <v/>
      </c>
      <c r="AY1837" s="35">
        <f>MAX(INDEX(AY$381:AY$392,$D1837)+(AY1810+AY1828)*(1+$E1837),0.01)</f>
        <v/>
      </c>
      <c r="AZ1837" s="35">
        <f>MAX(INDEX(AZ$381:AZ$392,$D1837)+(AZ1810+AZ1828)*(1+$E1837),0.01)</f>
        <v/>
      </c>
      <c r="BA1837" s="42">
        <f>POSTTAX(INDEX(BA$381:BA$392,$D1837),BA1810+BA1828,$E1837)</f>
        <v/>
      </c>
    </row>
    <row r="1838" hidden="1" outlineLevel="2">
      <c r="A1838" s="14" t="inlineStr">
        <is>
          <t>atp</t>
        </is>
      </c>
      <c r="B1838" s="14" t="inlineStr">
        <is>
          <t>oop</t>
        </is>
      </c>
      <c r="C1838" s="14" t="inlineStr">
        <is>
          <t>srv</t>
        </is>
      </c>
      <c r="D1838" s="35">
        <f>INDEX(Inputs!$U$5:$U$132,MATCH($B1838&amp;"|"&amp;$C1838,Inputs!$A$5:$A$132,0))</f>
        <v/>
      </c>
      <c r="E1838" s="35">
        <f>INDEX(Inputs!$V$5:$V$132,MATCH($B1838&amp;"|"&amp;$C1838,Inputs!$A$5:$A$132,0))</f>
        <v/>
      </c>
      <c r="F1838" s="39" t="n"/>
      <c r="G1838" s="39" t="n"/>
      <c r="H1838" s="14">
        <f>INDEX(VarLab,MATCH($A1838,VarKey,0))&amp;INDEX(MemLab,MATCH($C1838&amp;"|"&amp;$B1838,MemKey,0))</f>
        <v/>
      </c>
      <c r="I1838" s="14">
        <f>INDEX(VarUnit,MATCH($A1838,VarKey,0))</f>
        <v/>
      </c>
      <c r="J1838" s="14">
        <f>INDEX(VarSrc,MATCH($A1838,VarKey,0))</f>
        <v/>
      </c>
      <c r="K1838" s="11">
        <f>CodePrefix&amp;$A1838&amp;IF($C1838="","","."&amp;$C1838&amp;"."&amp;$B1838)&amp;INDEX(VarEnd,MATCH($A1838,VarKey,0))&amp;K$5</f>
        <v/>
      </c>
      <c r="L1838" s="40">
        <f>MAX(INDEX(L$381:L$392,$D1838)+(L1811+L1829)*(1+$E1838),0.01)</f>
        <v/>
      </c>
      <c r="M1838" s="35">
        <f>MAX(INDEX(M$381:M$392,$D1838)+(M1811+M1829)*(1+$E1838),0.01)</f>
        <v/>
      </c>
      <c r="N1838" s="35">
        <f>MAX(INDEX(N$381:N$392,$D1838)+(N1811+N1829)*(1+$E1838),0.01)</f>
        <v/>
      </c>
      <c r="O1838" s="35">
        <f>MAX(INDEX(O$381:O$392,$D1838)+(O1811+O1829)*(1+$E1838),0.01)</f>
        <v/>
      </c>
      <c r="P1838" s="35">
        <f>MAX(INDEX(P$381:P$392,$D1838)+(P1811+P1829)*(1+$E1838),0.01)</f>
        <v/>
      </c>
      <c r="Q1838" s="35">
        <f>MAX(INDEX(Q$381:Q$392,$D1838)+(Q1811+Q1829)*(1+$E1838),0.01)</f>
        <v/>
      </c>
      <c r="R1838" s="35">
        <f>MAX(INDEX(R$381:R$392,$D1838)+(R1811+R1829)*(1+$E1838),0.01)</f>
        <v/>
      </c>
      <c r="S1838" s="35">
        <f>MAX(INDEX(S$381:S$392,$D1838)+(S1811+S1829)*(1+$E1838),0.01)</f>
        <v/>
      </c>
      <c r="T1838" s="35">
        <f>MAX(INDEX(T$381:T$392,$D1838)+(T1811+T1829)*(1+$E1838),0.01)</f>
        <v/>
      </c>
      <c r="U1838" s="35">
        <f>MAX(INDEX(U$381:U$392,$D1838)+(U1811+U1829)*(1+$E1838),0.01)</f>
        <v/>
      </c>
      <c r="V1838" s="35">
        <f>MAX(INDEX(V$381:V$392,$D1838)+(V1811+V1829)*(1+$E1838),0.01)</f>
        <v/>
      </c>
      <c r="W1838" s="35">
        <f>MAX(INDEX(W$381:W$392,$D1838)+(W1811+W1829)*(1+$E1838),0.01)</f>
        <v/>
      </c>
      <c r="X1838" s="35">
        <f>MAX(INDEX(X$381:X$392,$D1838)+(X1811+X1829)*(1+$E1838),0.01)</f>
        <v/>
      </c>
      <c r="Y1838" s="35">
        <f>MAX(INDEX(Y$381:Y$392,$D1838)+(Y1811+Y1829)*(1+$E1838),0.01)</f>
        <v/>
      </c>
      <c r="Z1838" s="35">
        <f>MAX(INDEX(Z$381:Z$392,$D1838)+(Z1811+Z1829)*(1+$E1838),0.01)</f>
        <v/>
      </c>
      <c r="AA1838" s="35">
        <f>MAX(INDEX(AA$381:AA$392,$D1838)+(AA1811+AA1829)*(1+$E1838),0.01)</f>
        <v/>
      </c>
      <c r="AB1838" s="35">
        <f>MAX(INDEX(AB$381:AB$392,$D1838)+(AB1811+AB1829)*(1+$E1838),0.01)</f>
        <v/>
      </c>
      <c r="AC1838" s="35">
        <f>MAX(INDEX(AC$381:AC$392,$D1838)+(AC1811+AC1829)*(1+$E1838),0.01)</f>
        <v/>
      </c>
      <c r="AD1838" s="35">
        <f>MAX(INDEX(AD$381:AD$392,$D1838)+(AD1811+AD1829)*(1+$E1838),0.01)</f>
        <v/>
      </c>
      <c r="AE1838" s="42">
        <f>POSTTAX(INDEX(AE$381:AE$392,$D1838),AE1811+AE1829,$E1838)</f>
        <v/>
      </c>
      <c r="AG1838" s="11">
        <f>CodePrefix&amp;$A1838&amp;IF($C1838="","","."&amp;$C1838&amp;"."&amp;$B1838)&amp;INDEX(VarEnd,MATCH($A1838,VarKey,0))&amp;AG$5</f>
        <v/>
      </c>
      <c r="AH1838" s="40">
        <f>MAX(INDEX(AH$381:AH$392,$D1838)+(AH1811+AH1829)*(1+$E1838),0.01)</f>
        <v/>
      </c>
      <c r="AI1838" s="35">
        <f>MAX(INDEX(AI$381:AI$392,$D1838)+(AI1811+AI1829)*(1+$E1838),0.01)</f>
        <v/>
      </c>
      <c r="AJ1838" s="35">
        <f>MAX(INDEX(AJ$381:AJ$392,$D1838)+(AJ1811+AJ1829)*(1+$E1838),0.01)</f>
        <v/>
      </c>
      <c r="AK1838" s="35">
        <f>MAX(INDEX(AK$381:AK$392,$D1838)+(AK1811+AK1829)*(1+$E1838),0.01)</f>
        <v/>
      </c>
      <c r="AL1838" s="35">
        <f>MAX(INDEX(AL$381:AL$392,$D1838)+(AL1811+AL1829)*(1+$E1838),0.01)</f>
        <v/>
      </c>
      <c r="AM1838" s="35">
        <f>MAX(INDEX(AM$381:AM$392,$D1838)+(AM1811+AM1829)*(1+$E1838),0.01)</f>
        <v/>
      </c>
      <c r="AN1838" s="35">
        <f>MAX(INDEX(AN$381:AN$392,$D1838)+(AN1811+AN1829)*(1+$E1838),0.01)</f>
        <v/>
      </c>
      <c r="AO1838" s="35">
        <f>MAX(INDEX(AO$381:AO$392,$D1838)+(AO1811+AO1829)*(1+$E1838),0.01)</f>
        <v/>
      </c>
      <c r="AP1838" s="35">
        <f>MAX(INDEX(AP$381:AP$392,$D1838)+(AP1811+AP1829)*(1+$E1838),0.01)</f>
        <v/>
      </c>
      <c r="AQ1838" s="35">
        <f>MAX(INDEX(AQ$381:AQ$392,$D1838)+(AQ1811+AQ1829)*(1+$E1838),0.01)</f>
        <v/>
      </c>
      <c r="AR1838" s="35">
        <f>MAX(INDEX(AR$381:AR$392,$D1838)+(AR1811+AR1829)*(1+$E1838),0.01)</f>
        <v/>
      </c>
      <c r="AS1838" s="35">
        <f>MAX(INDEX(AS$381:AS$392,$D1838)+(AS1811+AS1829)*(1+$E1838),0.01)</f>
        <v/>
      </c>
      <c r="AT1838" s="35">
        <f>MAX(INDEX(AT$381:AT$392,$D1838)+(AT1811+AT1829)*(1+$E1838),0.01)</f>
        <v/>
      </c>
      <c r="AU1838" s="35">
        <f>MAX(INDEX(AU$381:AU$392,$D1838)+(AU1811+AU1829)*(1+$E1838),0.01)</f>
        <v/>
      </c>
      <c r="AV1838" s="35">
        <f>MAX(INDEX(AV$381:AV$392,$D1838)+(AV1811+AV1829)*(1+$E1838),0.01)</f>
        <v/>
      </c>
      <c r="AW1838" s="35">
        <f>MAX(INDEX(AW$381:AW$392,$D1838)+(AW1811+AW1829)*(1+$E1838),0.01)</f>
        <v/>
      </c>
      <c r="AX1838" s="35">
        <f>MAX(INDEX(AX$381:AX$392,$D1838)+(AX1811+AX1829)*(1+$E1838),0.01)</f>
        <v/>
      </c>
      <c r="AY1838" s="35">
        <f>MAX(INDEX(AY$381:AY$392,$D1838)+(AY1811+AY1829)*(1+$E1838),0.01)</f>
        <v/>
      </c>
      <c r="AZ1838" s="35">
        <f>MAX(INDEX(AZ$381:AZ$392,$D1838)+(AZ1811+AZ1829)*(1+$E1838),0.01)</f>
        <v/>
      </c>
      <c r="BA1838" s="42">
        <f>POSTTAX(INDEX(BA$381:BA$392,$D1838),BA1811+BA1829,$E1838)</f>
        <v/>
      </c>
    </row>
    <row r="1839" hidden="1" outlineLevel="2">
      <c r="A1839" s="14" t="inlineStr">
        <is>
          <t>atp</t>
        </is>
      </c>
      <c r="B1839" s="14" t="inlineStr">
        <is>
          <t>bio</t>
        </is>
      </c>
      <c r="C1839" s="14" t="inlineStr">
        <is>
          <t>srv</t>
        </is>
      </c>
      <c r="D1839" s="35">
        <f>INDEX(Inputs!$U$5:$U$132,MATCH($B1839&amp;"|"&amp;$C1839,Inputs!$A$5:$A$132,0))</f>
        <v/>
      </c>
      <c r="E1839" s="35">
        <f>INDEX(Inputs!$V$5:$V$132,MATCH($B1839&amp;"|"&amp;$C1839,Inputs!$A$5:$A$132,0))</f>
        <v/>
      </c>
      <c r="F1839" s="39" t="n"/>
      <c r="G1839" s="39" t="n"/>
      <c r="H1839" s="14">
        <f>INDEX(VarLab,MATCH($A1839,VarKey,0))&amp;INDEX(MemLab,MATCH($C1839&amp;"|"&amp;$B1839,MemKey,0))</f>
        <v/>
      </c>
      <c r="I1839" s="14">
        <f>INDEX(VarUnit,MATCH($A1839,VarKey,0))</f>
        <v/>
      </c>
      <c r="J1839" s="14">
        <f>INDEX(VarSrc,MATCH($A1839,VarKey,0))</f>
        <v/>
      </c>
      <c r="K1839" s="11">
        <f>CodePrefix&amp;$A1839&amp;IF($C1839="","","."&amp;$C1839&amp;"."&amp;$B1839)&amp;INDEX(VarEnd,MATCH($A1839,VarKey,0))&amp;K$5</f>
        <v/>
      </c>
      <c r="L1839" s="40">
        <f>MAX(INDEX(L$381:L$392,$D1839)+(L1812+L1830)*(1+$E1839),0.01)</f>
        <v/>
      </c>
      <c r="M1839" s="35">
        <f>MAX(INDEX(M$381:M$392,$D1839)+(M1812+M1830)*(1+$E1839),0.01)</f>
        <v/>
      </c>
      <c r="N1839" s="35">
        <f>MAX(INDEX(N$381:N$392,$D1839)+(N1812+N1830)*(1+$E1839),0.01)</f>
        <v/>
      </c>
      <c r="O1839" s="35">
        <f>MAX(INDEX(O$381:O$392,$D1839)+(O1812+O1830)*(1+$E1839),0.01)</f>
        <v/>
      </c>
      <c r="P1839" s="35">
        <f>MAX(INDEX(P$381:P$392,$D1839)+(P1812+P1830)*(1+$E1839),0.01)</f>
        <v/>
      </c>
      <c r="Q1839" s="35">
        <f>MAX(INDEX(Q$381:Q$392,$D1839)+(Q1812+Q1830)*(1+$E1839),0.01)</f>
        <v/>
      </c>
      <c r="R1839" s="35">
        <f>MAX(INDEX(R$381:R$392,$D1839)+(R1812+R1830)*(1+$E1839),0.01)</f>
        <v/>
      </c>
      <c r="S1839" s="35">
        <f>MAX(INDEX(S$381:S$392,$D1839)+(S1812+S1830)*(1+$E1839),0.01)</f>
        <v/>
      </c>
      <c r="T1839" s="35">
        <f>MAX(INDEX(T$381:T$392,$D1839)+(T1812+T1830)*(1+$E1839),0.01)</f>
        <v/>
      </c>
      <c r="U1839" s="35">
        <f>MAX(INDEX(U$381:U$392,$D1839)+(U1812+U1830)*(1+$E1839),0.01)</f>
        <v/>
      </c>
      <c r="V1839" s="35">
        <f>MAX(INDEX(V$381:V$392,$D1839)+(V1812+V1830)*(1+$E1839),0.01)</f>
        <v/>
      </c>
      <c r="W1839" s="35">
        <f>MAX(INDEX(W$381:W$392,$D1839)+(W1812+W1830)*(1+$E1839),0.01)</f>
        <v/>
      </c>
      <c r="X1839" s="35">
        <f>MAX(INDEX(X$381:X$392,$D1839)+(X1812+X1830)*(1+$E1839),0.01)</f>
        <v/>
      </c>
      <c r="Y1839" s="35">
        <f>MAX(INDEX(Y$381:Y$392,$D1839)+(Y1812+Y1830)*(1+$E1839),0.01)</f>
        <v/>
      </c>
      <c r="Z1839" s="35">
        <f>MAX(INDEX(Z$381:Z$392,$D1839)+(Z1812+Z1830)*(1+$E1839),0.01)</f>
        <v/>
      </c>
      <c r="AA1839" s="35">
        <f>MAX(INDEX(AA$381:AA$392,$D1839)+(AA1812+AA1830)*(1+$E1839),0.01)</f>
        <v/>
      </c>
      <c r="AB1839" s="35">
        <f>MAX(INDEX(AB$381:AB$392,$D1839)+(AB1812+AB1830)*(1+$E1839),0.01)</f>
        <v/>
      </c>
      <c r="AC1839" s="35">
        <f>MAX(INDEX(AC$381:AC$392,$D1839)+(AC1812+AC1830)*(1+$E1839),0.01)</f>
        <v/>
      </c>
      <c r="AD1839" s="35">
        <f>MAX(INDEX(AD$381:AD$392,$D1839)+(AD1812+AD1830)*(1+$E1839),0.01)</f>
        <v/>
      </c>
      <c r="AE1839" s="42">
        <f>POSTTAX(INDEX(AE$381:AE$392,$D1839),AE1812+AE1830,$E1839)</f>
        <v/>
      </c>
      <c r="AG1839" s="11">
        <f>CodePrefix&amp;$A1839&amp;IF($C1839="","","."&amp;$C1839&amp;"."&amp;$B1839)&amp;INDEX(VarEnd,MATCH($A1839,VarKey,0))&amp;AG$5</f>
        <v/>
      </c>
      <c r="AH1839" s="40">
        <f>MAX(INDEX(AH$381:AH$392,$D1839)+(AH1812+AH1830)*(1+$E1839),0.01)</f>
        <v/>
      </c>
      <c r="AI1839" s="35">
        <f>MAX(INDEX(AI$381:AI$392,$D1839)+(AI1812+AI1830)*(1+$E1839),0.01)</f>
        <v/>
      </c>
      <c r="AJ1839" s="35">
        <f>MAX(INDEX(AJ$381:AJ$392,$D1839)+(AJ1812+AJ1830)*(1+$E1839),0.01)</f>
        <v/>
      </c>
      <c r="AK1839" s="35">
        <f>MAX(INDEX(AK$381:AK$392,$D1839)+(AK1812+AK1830)*(1+$E1839),0.01)</f>
        <v/>
      </c>
      <c r="AL1839" s="35">
        <f>MAX(INDEX(AL$381:AL$392,$D1839)+(AL1812+AL1830)*(1+$E1839),0.01)</f>
        <v/>
      </c>
      <c r="AM1839" s="35">
        <f>MAX(INDEX(AM$381:AM$392,$D1839)+(AM1812+AM1830)*(1+$E1839),0.01)</f>
        <v/>
      </c>
      <c r="AN1839" s="35">
        <f>MAX(INDEX(AN$381:AN$392,$D1839)+(AN1812+AN1830)*(1+$E1839),0.01)</f>
        <v/>
      </c>
      <c r="AO1839" s="35">
        <f>MAX(INDEX(AO$381:AO$392,$D1839)+(AO1812+AO1830)*(1+$E1839),0.01)</f>
        <v/>
      </c>
      <c r="AP1839" s="35">
        <f>MAX(INDEX(AP$381:AP$392,$D1839)+(AP1812+AP1830)*(1+$E1839),0.01)</f>
        <v/>
      </c>
      <c r="AQ1839" s="35">
        <f>MAX(INDEX(AQ$381:AQ$392,$D1839)+(AQ1812+AQ1830)*(1+$E1839),0.01)</f>
        <v/>
      </c>
      <c r="AR1839" s="35">
        <f>MAX(INDEX(AR$381:AR$392,$D1839)+(AR1812+AR1830)*(1+$E1839),0.01)</f>
        <v/>
      </c>
      <c r="AS1839" s="35">
        <f>MAX(INDEX(AS$381:AS$392,$D1839)+(AS1812+AS1830)*(1+$E1839),0.01)</f>
        <v/>
      </c>
      <c r="AT1839" s="35">
        <f>MAX(INDEX(AT$381:AT$392,$D1839)+(AT1812+AT1830)*(1+$E1839),0.01)</f>
        <v/>
      </c>
      <c r="AU1839" s="35">
        <f>MAX(INDEX(AU$381:AU$392,$D1839)+(AU1812+AU1830)*(1+$E1839),0.01)</f>
        <v/>
      </c>
      <c r="AV1839" s="35">
        <f>MAX(INDEX(AV$381:AV$392,$D1839)+(AV1812+AV1830)*(1+$E1839),0.01)</f>
        <v/>
      </c>
      <c r="AW1839" s="35">
        <f>MAX(INDEX(AW$381:AW$392,$D1839)+(AW1812+AW1830)*(1+$E1839),0.01)</f>
        <v/>
      </c>
      <c r="AX1839" s="35">
        <f>MAX(INDEX(AX$381:AX$392,$D1839)+(AX1812+AX1830)*(1+$E1839),0.01)</f>
        <v/>
      </c>
      <c r="AY1839" s="35">
        <f>MAX(INDEX(AY$381:AY$392,$D1839)+(AY1812+AY1830)*(1+$E1839),0.01)</f>
        <v/>
      </c>
      <c r="AZ1839" s="35">
        <f>MAX(INDEX(AZ$381:AZ$392,$D1839)+(AZ1812+AZ1830)*(1+$E1839),0.01)</f>
        <v/>
      </c>
      <c r="BA1839" s="42">
        <f>POSTTAX(INDEX(BA$381:BA$392,$D1839),BA1812+BA1830,$E1839)</f>
        <v/>
      </c>
    </row>
    <row r="1840" hidden="1" outlineLevel="2"/>
    <row r="1841" hidden="1" outlineLevel="2">
      <c r="A1841" s="14" t="inlineStr">
        <is>
          <t>shp</t>
        </is>
      </c>
      <c r="B1841" s="14" t="inlineStr">
        <is>
          <t>coa</t>
        </is>
      </c>
      <c r="C1841" s="14" t="inlineStr">
        <is>
          <t>srv</t>
        </is>
      </c>
      <c r="D1841" s="35">
        <f>INDEX(Inputs!$W$5:$W$132,MATCH($B1841&amp;"|"&amp;$C1841,Inputs!$A$5:$A$132,0))</f>
        <v/>
      </c>
      <c r="E1841" s="35">
        <f>INDEX(Inputs!$M$5:$M$132,MATCH($B1841&amp;"|"&amp;$C1841,Inputs!$A$5:$A$132,0))</f>
        <v/>
      </c>
      <c r="F1841" s="39" t="n"/>
      <c r="G1841" s="39" t="n"/>
      <c r="H1841" s="14">
        <f>INDEX(VarLab,MATCH($A1841,VarKey,0))&amp;INDEX(MemLab,MATCH($C1841&amp;"|"&amp;$B1841,MemKey,0))</f>
        <v/>
      </c>
      <c r="I1841" s="14">
        <f>INDEX(VarUnit,MATCH($A1841,VarKey,0))</f>
        <v/>
      </c>
      <c r="J1841" s="14">
        <f>INDEX(VarSrc,MATCH($A1841,VarKey,0))</f>
        <v/>
      </c>
      <c r="K1841" s="11">
        <f>CodePrefix&amp;$A1841&amp;IF($C1841="","","."&amp;$C1841&amp;"."&amp;$B1841)&amp;INDEX(VarEnd,MATCH($A1841,VarKey,0))&amp;K$5</f>
        <v/>
      </c>
      <c r="L1841" s="40">
        <f>INDEX(L$297:L$313,$E1841)*$D1841</f>
        <v/>
      </c>
      <c r="M1841" s="35">
        <f>INDEX(M$297:M$313,$E1841)*$D1841</f>
        <v/>
      </c>
      <c r="N1841" s="35">
        <f>INDEX(N$297:N$313,$E1841)*$D1841</f>
        <v/>
      </c>
      <c r="O1841" s="35">
        <f>INDEX(O$297:O$313,$E1841)*$D1841</f>
        <v/>
      </c>
      <c r="P1841" s="35">
        <f>INDEX(P$297:P$313,$E1841)*$D1841</f>
        <v/>
      </c>
      <c r="Q1841" s="35">
        <f>INDEX(Q$297:Q$313,$E1841)*$D1841</f>
        <v/>
      </c>
      <c r="R1841" s="35">
        <f>INDEX(R$297:R$313,$E1841)*$D1841</f>
        <v/>
      </c>
      <c r="S1841" s="35">
        <f>INDEX(S$297:S$313,$E1841)*$D1841</f>
        <v/>
      </c>
      <c r="T1841" s="35">
        <f>INDEX(T$297:T$313,$E1841)*$D1841</f>
        <v/>
      </c>
      <c r="U1841" s="35">
        <f>INDEX(U$297:U$313,$E1841)*$D1841</f>
        <v/>
      </c>
      <c r="V1841" s="35">
        <f>INDEX(V$297:V$313,$E1841)*$D1841</f>
        <v/>
      </c>
      <c r="W1841" s="35">
        <f>INDEX(W$297:W$313,$E1841)*$D1841</f>
        <v/>
      </c>
      <c r="X1841" s="35">
        <f>INDEX(X$297:X$313,$E1841)*$D1841</f>
        <v/>
      </c>
      <c r="Y1841" s="35">
        <f>INDEX(Y$297:Y$313,$E1841)*$D1841</f>
        <v/>
      </c>
      <c r="Z1841" s="35">
        <f>INDEX(Z$297:Z$313,$E1841)*$D1841</f>
        <v/>
      </c>
      <c r="AA1841" s="35">
        <f>INDEX(AA$297:AA$313,$E1841)*$D1841</f>
        <v/>
      </c>
      <c r="AB1841" s="35">
        <f>INDEX(AB$297:AB$313,$E1841)*$D1841</f>
        <v/>
      </c>
      <c r="AC1841" s="35">
        <f>INDEX(AC$297:AC$313,$E1841)*$D1841</f>
        <v/>
      </c>
      <c r="AD1841" s="35">
        <f>INDEX(AD$297:AD$313,$E1841)*$D1841</f>
        <v/>
      </c>
      <c r="AE1841" s="42">
        <f>SHADOWGJ(INDEX(AE$297:AE$313,$E1841),$D1841)</f>
        <v/>
      </c>
      <c r="AG1841" s="11">
        <f>CodePrefix&amp;$A1841&amp;IF($C1841="","","."&amp;$C1841&amp;"."&amp;$B1841)&amp;INDEX(VarEnd,MATCH($A1841,VarKey,0))&amp;AG$5</f>
        <v/>
      </c>
      <c r="AH1841" s="40">
        <f>INDEX(AH$297:AH$313,$E1841)*$D1841</f>
        <v/>
      </c>
      <c r="AI1841" s="35">
        <f>INDEX(AI$297:AI$313,$E1841)*$D1841</f>
        <v/>
      </c>
      <c r="AJ1841" s="35">
        <f>INDEX(AJ$297:AJ$313,$E1841)*$D1841</f>
        <v/>
      </c>
      <c r="AK1841" s="35">
        <f>INDEX(AK$297:AK$313,$E1841)*$D1841</f>
        <v/>
      </c>
      <c r="AL1841" s="35">
        <f>INDEX(AL$297:AL$313,$E1841)*$D1841</f>
        <v/>
      </c>
      <c r="AM1841" s="35">
        <f>INDEX(AM$297:AM$313,$E1841)*$D1841</f>
        <v/>
      </c>
      <c r="AN1841" s="35">
        <f>INDEX(AN$297:AN$313,$E1841)*$D1841</f>
        <v/>
      </c>
      <c r="AO1841" s="35">
        <f>INDEX(AO$297:AO$313,$E1841)*$D1841</f>
        <v/>
      </c>
      <c r="AP1841" s="35">
        <f>INDEX(AP$297:AP$313,$E1841)*$D1841</f>
        <v/>
      </c>
      <c r="AQ1841" s="35">
        <f>INDEX(AQ$297:AQ$313,$E1841)*$D1841</f>
        <v/>
      </c>
      <c r="AR1841" s="35">
        <f>INDEX(AR$297:AR$313,$E1841)*$D1841</f>
        <v/>
      </c>
      <c r="AS1841" s="35">
        <f>INDEX(AS$297:AS$313,$E1841)*$D1841</f>
        <v/>
      </c>
      <c r="AT1841" s="35">
        <f>INDEX(AT$297:AT$313,$E1841)*$D1841</f>
        <v/>
      </c>
      <c r="AU1841" s="35">
        <f>INDEX(AU$297:AU$313,$E1841)*$D1841</f>
        <v/>
      </c>
      <c r="AV1841" s="35">
        <f>INDEX(AV$297:AV$313,$E1841)*$D1841</f>
        <v/>
      </c>
      <c r="AW1841" s="35">
        <f>INDEX(AW$297:AW$313,$E1841)*$D1841</f>
        <v/>
      </c>
      <c r="AX1841" s="35">
        <f>INDEX(AX$297:AX$313,$E1841)*$D1841</f>
        <v/>
      </c>
      <c r="AY1841" s="35">
        <f>INDEX(AY$297:AY$313,$E1841)*$D1841</f>
        <v/>
      </c>
      <c r="AZ1841" s="35">
        <f>INDEX(AZ$297:AZ$313,$E1841)*$D1841</f>
        <v/>
      </c>
      <c r="BA1841" s="42">
        <f>SHADOWGJ(INDEX(BA$297:BA$313,$E1841),$D1841)</f>
        <v/>
      </c>
    </row>
    <row r="1842" hidden="1" outlineLevel="2">
      <c r="A1842" s="14" t="inlineStr">
        <is>
          <t>shp</t>
        </is>
      </c>
      <c r="B1842" s="14" t="inlineStr">
        <is>
          <t>nga</t>
        </is>
      </c>
      <c r="C1842" s="14" t="inlineStr">
        <is>
          <t>srv</t>
        </is>
      </c>
      <c r="D1842" s="35">
        <f>INDEX(Inputs!$W$5:$W$132,MATCH($B1842&amp;"|"&amp;$C1842,Inputs!$A$5:$A$132,0))</f>
        <v/>
      </c>
      <c r="E1842" s="35">
        <f>INDEX(Inputs!$M$5:$M$132,MATCH($B1842&amp;"|"&amp;$C1842,Inputs!$A$5:$A$132,0))</f>
        <v/>
      </c>
      <c r="F1842" s="39" t="n"/>
      <c r="G1842" s="39" t="n"/>
      <c r="H1842" s="14">
        <f>INDEX(VarLab,MATCH($A1842,VarKey,0))&amp;INDEX(MemLab,MATCH($C1842&amp;"|"&amp;$B1842,MemKey,0))</f>
        <v/>
      </c>
      <c r="I1842" s="14">
        <f>INDEX(VarUnit,MATCH($A1842,VarKey,0))</f>
        <v/>
      </c>
      <c r="J1842" s="14">
        <f>INDEX(VarSrc,MATCH($A1842,VarKey,0))</f>
        <v/>
      </c>
      <c r="K1842" s="11">
        <f>CodePrefix&amp;$A1842&amp;IF($C1842="","","."&amp;$C1842&amp;"."&amp;$B1842)&amp;INDEX(VarEnd,MATCH($A1842,VarKey,0))&amp;K$5</f>
        <v/>
      </c>
      <c r="L1842" s="40">
        <f>INDEX(L$297:L$313,$E1842)*$D1842</f>
        <v/>
      </c>
      <c r="M1842" s="35">
        <f>INDEX(M$297:M$313,$E1842)*$D1842</f>
        <v/>
      </c>
      <c r="N1842" s="35">
        <f>INDEX(N$297:N$313,$E1842)*$D1842</f>
        <v/>
      </c>
      <c r="O1842" s="35">
        <f>INDEX(O$297:O$313,$E1842)*$D1842</f>
        <v/>
      </c>
      <c r="P1842" s="35">
        <f>INDEX(P$297:P$313,$E1842)*$D1842</f>
        <v/>
      </c>
      <c r="Q1842" s="35">
        <f>INDEX(Q$297:Q$313,$E1842)*$D1842</f>
        <v/>
      </c>
      <c r="R1842" s="35">
        <f>INDEX(R$297:R$313,$E1842)*$D1842</f>
        <v/>
      </c>
      <c r="S1842" s="35">
        <f>INDEX(S$297:S$313,$E1842)*$D1842</f>
        <v/>
      </c>
      <c r="T1842" s="35">
        <f>INDEX(T$297:T$313,$E1842)*$D1842</f>
        <v/>
      </c>
      <c r="U1842" s="35">
        <f>INDEX(U$297:U$313,$E1842)*$D1842</f>
        <v/>
      </c>
      <c r="V1842" s="35">
        <f>INDEX(V$297:V$313,$E1842)*$D1842</f>
        <v/>
      </c>
      <c r="W1842" s="35">
        <f>INDEX(W$297:W$313,$E1842)*$D1842</f>
        <v/>
      </c>
      <c r="X1842" s="35">
        <f>INDEX(X$297:X$313,$E1842)*$D1842</f>
        <v/>
      </c>
      <c r="Y1842" s="35">
        <f>INDEX(Y$297:Y$313,$E1842)*$D1842</f>
        <v/>
      </c>
      <c r="Z1842" s="35">
        <f>INDEX(Z$297:Z$313,$E1842)*$D1842</f>
        <v/>
      </c>
      <c r="AA1842" s="35">
        <f>INDEX(AA$297:AA$313,$E1842)*$D1842</f>
        <v/>
      </c>
      <c r="AB1842" s="35">
        <f>INDEX(AB$297:AB$313,$E1842)*$D1842</f>
        <v/>
      </c>
      <c r="AC1842" s="35">
        <f>INDEX(AC$297:AC$313,$E1842)*$D1842</f>
        <v/>
      </c>
      <c r="AD1842" s="35">
        <f>INDEX(AD$297:AD$313,$E1842)*$D1842</f>
        <v/>
      </c>
      <c r="AE1842" s="42">
        <f>SHADOWGJ(INDEX(AE$297:AE$313,$E1842),$D1842)</f>
        <v/>
      </c>
      <c r="AG1842" s="11">
        <f>CodePrefix&amp;$A1842&amp;IF($C1842="","","."&amp;$C1842&amp;"."&amp;$B1842)&amp;INDEX(VarEnd,MATCH($A1842,VarKey,0))&amp;AG$5</f>
        <v/>
      </c>
      <c r="AH1842" s="40">
        <f>INDEX(AH$297:AH$313,$E1842)*$D1842</f>
        <v/>
      </c>
      <c r="AI1842" s="35">
        <f>INDEX(AI$297:AI$313,$E1842)*$D1842</f>
        <v/>
      </c>
      <c r="AJ1842" s="35">
        <f>INDEX(AJ$297:AJ$313,$E1842)*$D1842</f>
        <v/>
      </c>
      <c r="AK1842" s="35">
        <f>INDEX(AK$297:AK$313,$E1842)*$D1842</f>
        <v/>
      </c>
      <c r="AL1842" s="35">
        <f>INDEX(AL$297:AL$313,$E1842)*$D1842</f>
        <v/>
      </c>
      <c r="AM1842" s="35">
        <f>INDEX(AM$297:AM$313,$E1842)*$D1842</f>
        <v/>
      </c>
      <c r="AN1842" s="35">
        <f>INDEX(AN$297:AN$313,$E1842)*$D1842</f>
        <v/>
      </c>
      <c r="AO1842" s="35">
        <f>INDEX(AO$297:AO$313,$E1842)*$D1842</f>
        <v/>
      </c>
      <c r="AP1842" s="35">
        <f>INDEX(AP$297:AP$313,$E1842)*$D1842</f>
        <v/>
      </c>
      <c r="AQ1842" s="35">
        <f>INDEX(AQ$297:AQ$313,$E1842)*$D1842</f>
        <v/>
      </c>
      <c r="AR1842" s="35">
        <f>INDEX(AR$297:AR$313,$E1842)*$D1842</f>
        <v/>
      </c>
      <c r="AS1842" s="35">
        <f>INDEX(AS$297:AS$313,$E1842)*$D1842</f>
        <v/>
      </c>
      <c r="AT1842" s="35">
        <f>INDEX(AT$297:AT$313,$E1842)*$D1842</f>
        <v/>
      </c>
      <c r="AU1842" s="35">
        <f>INDEX(AU$297:AU$313,$E1842)*$D1842</f>
        <v/>
      </c>
      <c r="AV1842" s="35">
        <f>INDEX(AV$297:AV$313,$E1842)*$D1842</f>
        <v/>
      </c>
      <c r="AW1842" s="35">
        <f>INDEX(AW$297:AW$313,$E1842)*$D1842</f>
        <v/>
      </c>
      <c r="AX1842" s="35">
        <f>INDEX(AX$297:AX$313,$E1842)*$D1842</f>
        <v/>
      </c>
      <c r="AY1842" s="35">
        <f>INDEX(AY$297:AY$313,$E1842)*$D1842</f>
        <v/>
      </c>
      <c r="AZ1842" s="35">
        <f>INDEX(AZ$297:AZ$313,$E1842)*$D1842</f>
        <v/>
      </c>
      <c r="BA1842" s="42">
        <f>SHADOWGJ(INDEX(BA$297:BA$313,$E1842),$D1842)</f>
        <v/>
      </c>
    </row>
    <row r="1843" hidden="1" outlineLevel="2">
      <c r="A1843" s="14" t="inlineStr">
        <is>
          <t>shp</t>
        </is>
      </c>
      <c r="B1843" s="14" t="inlineStr">
        <is>
          <t>gso</t>
        </is>
      </c>
      <c r="C1843" s="14" t="inlineStr">
        <is>
          <t>srv</t>
        </is>
      </c>
      <c r="D1843" s="35">
        <f>INDEX(Inputs!$W$5:$W$132,MATCH($B1843&amp;"|"&amp;$C1843,Inputs!$A$5:$A$132,0))</f>
        <v/>
      </c>
      <c r="E1843" s="35">
        <f>INDEX(Inputs!$M$5:$M$132,MATCH($B1843&amp;"|"&amp;$C1843,Inputs!$A$5:$A$132,0))</f>
        <v/>
      </c>
      <c r="F1843" s="39" t="n"/>
      <c r="G1843" s="39" t="n"/>
      <c r="H1843" s="14">
        <f>INDEX(VarLab,MATCH($A1843,VarKey,0))&amp;INDEX(MemLab,MATCH($C1843&amp;"|"&amp;$B1843,MemKey,0))</f>
        <v/>
      </c>
      <c r="I1843" s="14">
        <f>INDEX(VarUnit,MATCH($A1843,VarKey,0))</f>
        <v/>
      </c>
      <c r="J1843" s="14">
        <f>INDEX(VarSrc,MATCH($A1843,VarKey,0))</f>
        <v/>
      </c>
      <c r="K1843" s="11">
        <f>CodePrefix&amp;$A1843&amp;IF($C1843="","","."&amp;$C1843&amp;"."&amp;$B1843)&amp;INDEX(VarEnd,MATCH($A1843,VarKey,0))&amp;K$5</f>
        <v/>
      </c>
      <c r="L1843" s="40">
        <f>INDEX(L$297:L$313,$E1843)*$D1843</f>
        <v/>
      </c>
      <c r="M1843" s="35">
        <f>INDEX(M$297:M$313,$E1843)*$D1843</f>
        <v/>
      </c>
      <c r="N1843" s="35">
        <f>INDEX(N$297:N$313,$E1843)*$D1843</f>
        <v/>
      </c>
      <c r="O1843" s="35">
        <f>INDEX(O$297:O$313,$E1843)*$D1843</f>
        <v/>
      </c>
      <c r="P1843" s="35">
        <f>INDEX(P$297:P$313,$E1843)*$D1843</f>
        <v/>
      </c>
      <c r="Q1843" s="35">
        <f>INDEX(Q$297:Q$313,$E1843)*$D1843</f>
        <v/>
      </c>
      <c r="R1843" s="35">
        <f>INDEX(R$297:R$313,$E1843)*$D1843</f>
        <v/>
      </c>
      <c r="S1843" s="35">
        <f>INDEX(S$297:S$313,$E1843)*$D1843</f>
        <v/>
      </c>
      <c r="T1843" s="35">
        <f>INDEX(T$297:T$313,$E1843)*$D1843</f>
        <v/>
      </c>
      <c r="U1843" s="35">
        <f>INDEX(U$297:U$313,$E1843)*$D1843</f>
        <v/>
      </c>
      <c r="V1843" s="35">
        <f>INDEX(V$297:V$313,$E1843)*$D1843</f>
        <v/>
      </c>
      <c r="W1843" s="35">
        <f>INDEX(W$297:W$313,$E1843)*$D1843</f>
        <v/>
      </c>
      <c r="X1843" s="35">
        <f>INDEX(X$297:X$313,$E1843)*$D1843</f>
        <v/>
      </c>
      <c r="Y1843" s="35">
        <f>INDEX(Y$297:Y$313,$E1843)*$D1843</f>
        <v/>
      </c>
      <c r="Z1843" s="35">
        <f>INDEX(Z$297:Z$313,$E1843)*$D1843</f>
        <v/>
      </c>
      <c r="AA1843" s="35">
        <f>INDEX(AA$297:AA$313,$E1843)*$D1843</f>
        <v/>
      </c>
      <c r="AB1843" s="35">
        <f>INDEX(AB$297:AB$313,$E1843)*$D1843</f>
        <v/>
      </c>
      <c r="AC1843" s="35">
        <f>INDEX(AC$297:AC$313,$E1843)*$D1843</f>
        <v/>
      </c>
      <c r="AD1843" s="35">
        <f>INDEX(AD$297:AD$313,$E1843)*$D1843</f>
        <v/>
      </c>
      <c r="AE1843" s="42">
        <f>SHADOWGJ(INDEX(AE$297:AE$313,$E1843),$D1843)</f>
        <v/>
      </c>
      <c r="AG1843" s="11">
        <f>CodePrefix&amp;$A1843&amp;IF($C1843="","","."&amp;$C1843&amp;"."&amp;$B1843)&amp;INDEX(VarEnd,MATCH($A1843,VarKey,0))&amp;AG$5</f>
        <v/>
      </c>
      <c r="AH1843" s="40">
        <f>INDEX(AH$297:AH$313,$E1843)*$D1843</f>
        <v/>
      </c>
      <c r="AI1843" s="35">
        <f>INDEX(AI$297:AI$313,$E1843)*$D1843</f>
        <v/>
      </c>
      <c r="AJ1843" s="35">
        <f>INDEX(AJ$297:AJ$313,$E1843)*$D1843</f>
        <v/>
      </c>
      <c r="AK1843" s="35">
        <f>INDEX(AK$297:AK$313,$E1843)*$D1843</f>
        <v/>
      </c>
      <c r="AL1843" s="35">
        <f>INDEX(AL$297:AL$313,$E1843)*$D1843</f>
        <v/>
      </c>
      <c r="AM1843" s="35">
        <f>INDEX(AM$297:AM$313,$E1843)*$D1843</f>
        <v/>
      </c>
      <c r="AN1843" s="35">
        <f>INDEX(AN$297:AN$313,$E1843)*$D1843</f>
        <v/>
      </c>
      <c r="AO1843" s="35">
        <f>INDEX(AO$297:AO$313,$E1843)*$D1843</f>
        <v/>
      </c>
      <c r="AP1843" s="35">
        <f>INDEX(AP$297:AP$313,$E1843)*$D1843</f>
        <v/>
      </c>
      <c r="AQ1843" s="35">
        <f>INDEX(AQ$297:AQ$313,$E1843)*$D1843</f>
        <v/>
      </c>
      <c r="AR1843" s="35">
        <f>INDEX(AR$297:AR$313,$E1843)*$D1843</f>
        <v/>
      </c>
      <c r="AS1843" s="35">
        <f>INDEX(AS$297:AS$313,$E1843)*$D1843</f>
        <v/>
      </c>
      <c r="AT1843" s="35">
        <f>INDEX(AT$297:AT$313,$E1843)*$D1843</f>
        <v/>
      </c>
      <c r="AU1843" s="35">
        <f>INDEX(AU$297:AU$313,$E1843)*$D1843</f>
        <v/>
      </c>
      <c r="AV1843" s="35">
        <f>INDEX(AV$297:AV$313,$E1843)*$D1843</f>
        <v/>
      </c>
      <c r="AW1843" s="35">
        <f>INDEX(AW$297:AW$313,$E1843)*$D1843</f>
        <v/>
      </c>
      <c r="AX1843" s="35">
        <f>INDEX(AX$297:AX$313,$E1843)*$D1843</f>
        <v/>
      </c>
      <c r="AY1843" s="35">
        <f>INDEX(AY$297:AY$313,$E1843)*$D1843</f>
        <v/>
      </c>
      <c r="AZ1843" s="35">
        <f>INDEX(AZ$297:AZ$313,$E1843)*$D1843</f>
        <v/>
      </c>
      <c r="BA1843" s="42">
        <f>SHADOWGJ(INDEX(BA$297:BA$313,$E1843),$D1843)</f>
        <v/>
      </c>
    </row>
    <row r="1844" hidden="1" outlineLevel="2">
      <c r="A1844" s="14" t="inlineStr">
        <is>
          <t>shp</t>
        </is>
      </c>
      <c r="B1844" s="14" t="inlineStr">
        <is>
          <t>die</t>
        </is>
      </c>
      <c r="C1844" s="14" t="inlineStr">
        <is>
          <t>srv</t>
        </is>
      </c>
      <c r="D1844" s="35">
        <f>INDEX(Inputs!$W$5:$W$132,MATCH($B1844&amp;"|"&amp;$C1844,Inputs!$A$5:$A$132,0))</f>
        <v/>
      </c>
      <c r="E1844" s="35">
        <f>INDEX(Inputs!$M$5:$M$132,MATCH($B1844&amp;"|"&amp;$C1844,Inputs!$A$5:$A$132,0))</f>
        <v/>
      </c>
      <c r="F1844" s="39" t="n"/>
      <c r="G1844" s="39" t="n"/>
      <c r="H1844" s="14">
        <f>INDEX(VarLab,MATCH($A1844,VarKey,0))&amp;INDEX(MemLab,MATCH($C1844&amp;"|"&amp;$B1844,MemKey,0))</f>
        <v/>
      </c>
      <c r="I1844" s="14">
        <f>INDEX(VarUnit,MATCH($A1844,VarKey,0))</f>
        <v/>
      </c>
      <c r="J1844" s="14">
        <f>INDEX(VarSrc,MATCH($A1844,VarKey,0))</f>
        <v/>
      </c>
      <c r="K1844" s="11">
        <f>CodePrefix&amp;$A1844&amp;IF($C1844="","","."&amp;$C1844&amp;"."&amp;$B1844)&amp;INDEX(VarEnd,MATCH($A1844,VarKey,0))&amp;K$5</f>
        <v/>
      </c>
      <c r="L1844" s="40">
        <f>INDEX(L$297:L$313,$E1844)*$D1844</f>
        <v/>
      </c>
      <c r="M1844" s="35">
        <f>INDEX(M$297:M$313,$E1844)*$D1844</f>
        <v/>
      </c>
      <c r="N1844" s="35">
        <f>INDEX(N$297:N$313,$E1844)*$D1844</f>
        <v/>
      </c>
      <c r="O1844" s="35">
        <f>INDEX(O$297:O$313,$E1844)*$D1844</f>
        <v/>
      </c>
      <c r="P1844" s="35">
        <f>INDEX(P$297:P$313,$E1844)*$D1844</f>
        <v/>
      </c>
      <c r="Q1844" s="35">
        <f>INDEX(Q$297:Q$313,$E1844)*$D1844</f>
        <v/>
      </c>
      <c r="R1844" s="35">
        <f>INDEX(R$297:R$313,$E1844)*$D1844</f>
        <v/>
      </c>
      <c r="S1844" s="35">
        <f>INDEX(S$297:S$313,$E1844)*$D1844</f>
        <v/>
      </c>
      <c r="T1844" s="35">
        <f>INDEX(T$297:T$313,$E1844)*$D1844</f>
        <v/>
      </c>
      <c r="U1844" s="35">
        <f>INDEX(U$297:U$313,$E1844)*$D1844</f>
        <v/>
      </c>
      <c r="V1844" s="35">
        <f>INDEX(V$297:V$313,$E1844)*$D1844</f>
        <v/>
      </c>
      <c r="W1844" s="35">
        <f>INDEX(W$297:W$313,$E1844)*$D1844</f>
        <v/>
      </c>
      <c r="X1844" s="35">
        <f>INDEX(X$297:X$313,$E1844)*$D1844</f>
        <v/>
      </c>
      <c r="Y1844" s="35">
        <f>INDEX(Y$297:Y$313,$E1844)*$D1844</f>
        <v/>
      </c>
      <c r="Z1844" s="35">
        <f>INDEX(Z$297:Z$313,$E1844)*$D1844</f>
        <v/>
      </c>
      <c r="AA1844" s="35">
        <f>INDEX(AA$297:AA$313,$E1844)*$D1844</f>
        <v/>
      </c>
      <c r="AB1844" s="35">
        <f>INDEX(AB$297:AB$313,$E1844)*$D1844</f>
        <v/>
      </c>
      <c r="AC1844" s="35">
        <f>INDEX(AC$297:AC$313,$E1844)*$D1844</f>
        <v/>
      </c>
      <c r="AD1844" s="35">
        <f>INDEX(AD$297:AD$313,$E1844)*$D1844</f>
        <v/>
      </c>
      <c r="AE1844" s="42">
        <f>SHADOWGJ(INDEX(AE$297:AE$313,$E1844),$D1844)</f>
        <v/>
      </c>
      <c r="AG1844" s="11">
        <f>CodePrefix&amp;$A1844&amp;IF($C1844="","","."&amp;$C1844&amp;"."&amp;$B1844)&amp;INDEX(VarEnd,MATCH($A1844,VarKey,0))&amp;AG$5</f>
        <v/>
      </c>
      <c r="AH1844" s="40">
        <f>INDEX(AH$297:AH$313,$E1844)*$D1844</f>
        <v/>
      </c>
      <c r="AI1844" s="35">
        <f>INDEX(AI$297:AI$313,$E1844)*$D1844</f>
        <v/>
      </c>
      <c r="AJ1844" s="35">
        <f>INDEX(AJ$297:AJ$313,$E1844)*$D1844</f>
        <v/>
      </c>
      <c r="AK1844" s="35">
        <f>INDEX(AK$297:AK$313,$E1844)*$D1844</f>
        <v/>
      </c>
      <c r="AL1844" s="35">
        <f>INDEX(AL$297:AL$313,$E1844)*$D1844</f>
        <v/>
      </c>
      <c r="AM1844" s="35">
        <f>INDEX(AM$297:AM$313,$E1844)*$D1844</f>
        <v/>
      </c>
      <c r="AN1844" s="35">
        <f>INDEX(AN$297:AN$313,$E1844)*$D1844</f>
        <v/>
      </c>
      <c r="AO1844" s="35">
        <f>INDEX(AO$297:AO$313,$E1844)*$D1844</f>
        <v/>
      </c>
      <c r="AP1844" s="35">
        <f>INDEX(AP$297:AP$313,$E1844)*$D1844</f>
        <v/>
      </c>
      <c r="AQ1844" s="35">
        <f>INDEX(AQ$297:AQ$313,$E1844)*$D1844</f>
        <v/>
      </c>
      <c r="AR1844" s="35">
        <f>INDEX(AR$297:AR$313,$E1844)*$D1844</f>
        <v/>
      </c>
      <c r="AS1844" s="35">
        <f>INDEX(AS$297:AS$313,$E1844)*$D1844</f>
        <v/>
      </c>
      <c r="AT1844" s="35">
        <f>INDEX(AT$297:AT$313,$E1844)*$D1844</f>
        <v/>
      </c>
      <c r="AU1844" s="35">
        <f>INDEX(AU$297:AU$313,$E1844)*$D1844</f>
        <v/>
      </c>
      <c r="AV1844" s="35">
        <f>INDEX(AV$297:AV$313,$E1844)*$D1844</f>
        <v/>
      </c>
      <c r="AW1844" s="35">
        <f>INDEX(AW$297:AW$313,$E1844)*$D1844</f>
        <v/>
      </c>
      <c r="AX1844" s="35">
        <f>INDEX(AX$297:AX$313,$E1844)*$D1844</f>
        <v/>
      </c>
      <c r="AY1844" s="35">
        <f>INDEX(AY$297:AY$313,$E1844)*$D1844</f>
        <v/>
      </c>
      <c r="AZ1844" s="35">
        <f>INDEX(AZ$297:AZ$313,$E1844)*$D1844</f>
        <v/>
      </c>
      <c r="BA1844" s="42">
        <f>SHADOWGJ(INDEX(BA$297:BA$313,$E1844),$D1844)</f>
        <v/>
      </c>
    </row>
    <row r="1845" hidden="1" outlineLevel="2">
      <c r="A1845" s="14" t="inlineStr">
        <is>
          <t>shp</t>
        </is>
      </c>
      <c r="B1845" s="14" t="inlineStr">
        <is>
          <t>lpg</t>
        </is>
      </c>
      <c r="C1845" s="14" t="inlineStr">
        <is>
          <t>srv</t>
        </is>
      </c>
      <c r="D1845" s="35">
        <f>INDEX(Inputs!$W$5:$W$132,MATCH($B1845&amp;"|"&amp;$C1845,Inputs!$A$5:$A$132,0))</f>
        <v/>
      </c>
      <c r="E1845" s="35">
        <f>INDEX(Inputs!$M$5:$M$132,MATCH($B1845&amp;"|"&amp;$C1845,Inputs!$A$5:$A$132,0))</f>
        <v/>
      </c>
      <c r="F1845" s="39" t="n"/>
      <c r="G1845" s="39" t="n"/>
      <c r="H1845" s="14">
        <f>INDEX(VarLab,MATCH($A1845,VarKey,0))&amp;INDEX(MemLab,MATCH($C1845&amp;"|"&amp;$B1845,MemKey,0))</f>
        <v/>
      </c>
      <c r="I1845" s="14">
        <f>INDEX(VarUnit,MATCH($A1845,VarKey,0))</f>
        <v/>
      </c>
      <c r="J1845" s="14">
        <f>INDEX(VarSrc,MATCH($A1845,VarKey,0))</f>
        <v/>
      </c>
      <c r="K1845" s="11">
        <f>CodePrefix&amp;$A1845&amp;IF($C1845="","","."&amp;$C1845&amp;"."&amp;$B1845)&amp;INDEX(VarEnd,MATCH($A1845,VarKey,0))&amp;K$5</f>
        <v/>
      </c>
      <c r="L1845" s="40">
        <f>INDEX(L$297:L$313,$E1845)*$D1845</f>
        <v/>
      </c>
      <c r="M1845" s="35">
        <f>INDEX(M$297:M$313,$E1845)*$D1845</f>
        <v/>
      </c>
      <c r="N1845" s="35">
        <f>INDEX(N$297:N$313,$E1845)*$D1845</f>
        <v/>
      </c>
      <c r="O1845" s="35">
        <f>INDEX(O$297:O$313,$E1845)*$D1845</f>
        <v/>
      </c>
      <c r="P1845" s="35">
        <f>INDEX(P$297:P$313,$E1845)*$D1845</f>
        <v/>
      </c>
      <c r="Q1845" s="35">
        <f>INDEX(Q$297:Q$313,$E1845)*$D1845</f>
        <v/>
      </c>
      <c r="R1845" s="35">
        <f>INDEX(R$297:R$313,$E1845)*$D1845</f>
        <v/>
      </c>
      <c r="S1845" s="35">
        <f>INDEX(S$297:S$313,$E1845)*$D1845</f>
        <v/>
      </c>
      <c r="T1845" s="35">
        <f>INDEX(T$297:T$313,$E1845)*$D1845</f>
        <v/>
      </c>
      <c r="U1845" s="35">
        <f>INDEX(U$297:U$313,$E1845)*$D1845</f>
        <v/>
      </c>
      <c r="V1845" s="35">
        <f>INDEX(V$297:V$313,$E1845)*$D1845</f>
        <v/>
      </c>
      <c r="W1845" s="35">
        <f>INDEX(W$297:W$313,$E1845)*$D1845</f>
        <v/>
      </c>
      <c r="X1845" s="35">
        <f>INDEX(X$297:X$313,$E1845)*$D1845</f>
        <v/>
      </c>
      <c r="Y1845" s="35">
        <f>INDEX(Y$297:Y$313,$E1845)*$D1845</f>
        <v/>
      </c>
      <c r="Z1845" s="35">
        <f>INDEX(Z$297:Z$313,$E1845)*$D1845</f>
        <v/>
      </c>
      <c r="AA1845" s="35">
        <f>INDEX(AA$297:AA$313,$E1845)*$D1845</f>
        <v/>
      </c>
      <c r="AB1845" s="35">
        <f>INDEX(AB$297:AB$313,$E1845)*$D1845</f>
        <v/>
      </c>
      <c r="AC1845" s="35">
        <f>INDEX(AC$297:AC$313,$E1845)*$D1845</f>
        <v/>
      </c>
      <c r="AD1845" s="35">
        <f>INDEX(AD$297:AD$313,$E1845)*$D1845</f>
        <v/>
      </c>
      <c r="AE1845" s="42">
        <f>SHADOWGJ(INDEX(AE$297:AE$313,$E1845),$D1845)</f>
        <v/>
      </c>
      <c r="AG1845" s="11">
        <f>CodePrefix&amp;$A1845&amp;IF($C1845="","","."&amp;$C1845&amp;"."&amp;$B1845)&amp;INDEX(VarEnd,MATCH($A1845,VarKey,0))&amp;AG$5</f>
        <v/>
      </c>
      <c r="AH1845" s="40">
        <f>INDEX(AH$297:AH$313,$E1845)*$D1845</f>
        <v/>
      </c>
      <c r="AI1845" s="35">
        <f>INDEX(AI$297:AI$313,$E1845)*$D1845</f>
        <v/>
      </c>
      <c r="AJ1845" s="35">
        <f>INDEX(AJ$297:AJ$313,$E1845)*$D1845</f>
        <v/>
      </c>
      <c r="AK1845" s="35">
        <f>INDEX(AK$297:AK$313,$E1845)*$D1845</f>
        <v/>
      </c>
      <c r="AL1845" s="35">
        <f>INDEX(AL$297:AL$313,$E1845)*$D1845</f>
        <v/>
      </c>
      <c r="AM1845" s="35">
        <f>INDEX(AM$297:AM$313,$E1845)*$D1845</f>
        <v/>
      </c>
      <c r="AN1845" s="35">
        <f>INDEX(AN$297:AN$313,$E1845)*$D1845</f>
        <v/>
      </c>
      <c r="AO1845" s="35">
        <f>INDEX(AO$297:AO$313,$E1845)*$D1845</f>
        <v/>
      </c>
      <c r="AP1845" s="35">
        <f>INDEX(AP$297:AP$313,$E1845)*$D1845</f>
        <v/>
      </c>
      <c r="AQ1845" s="35">
        <f>INDEX(AQ$297:AQ$313,$E1845)*$D1845</f>
        <v/>
      </c>
      <c r="AR1845" s="35">
        <f>INDEX(AR$297:AR$313,$E1845)*$D1845</f>
        <v/>
      </c>
      <c r="AS1845" s="35">
        <f>INDEX(AS$297:AS$313,$E1845)*$D1845</f>
        <v/>
      </c>
      <c r="AT1845" s="35">
        <f>INDEX(AT$297:AT$313,$E1845)*$D1845</f>
        <v/>
      </c>
      <c r="AU1845" s="35">
        <f>INDEX(AU$297:AU$313,$E1845)*$D1845</f>
        <v/>
      </c>
      <c r="AV1845" s="35">
        <f>INDEX(AV$297:AV$313,$E1845)*$D1845</f>
        <v/>
      </c>
      <c r="AW1845" s="35">
        <f>INDEX(AW$297:AW$313,$E1845)*$D1845</f>
        <v/>
      </c>
      <c r="AX1845" s="35">
        <f>INDEX(AX$297:AX$313,$E1845)*$D1845</f>
        <v/>
      </c>
      <c r="AY1845" s="35">
        <f>INDEX(AY$297:AY$313,$E1845)*$D1845</f>
        <v/>
      </c>
      <c r="AZ1845" s="35">
        <f>INDEX(AZ$297:AZ$313,$E1845)*$D1845</f>
        <v/>
      </c>
      <c r="BA1845" s="42">
        <f>SHADOWGJ(INDEX(BA$297:BA$313,$E1845),$D1845)</f>
        <v/>
      </c>
    </row>
    <row r="1846" hidden="1" outlineLevel="2">
      <c r="A1846" s="14" t="inlineStr">
        <is>
          <t>shp</t>
        </is>
      </c>
      <c r="B1846" s="14" t="inlineStr">
        <is>
          <t>ker</t>
        </is>
      </c>
      <c r="C1846" s="14" t="inlineStr">
        <is>
          <t>srv</t>
        </is>
      </c>
      <c r="D1846" s="35">
        <f>INDEX(Inputs!$W$5:$W$132,MATCH($B1846&amp;"|"&amp;$C1846,Inputs!$A$5:$A$132,0))</f>
        <v/>
      </c>
      <c r="E1846" s="35">
        <f>INDEX(Inputs!$M$5:$M$132,MATCH($B1846&amp;"|"&amp;$C1846,Inputs!$A$5:$A$132,0))</f>
        <v/>
      </c>
      <c r="F1846" s="39" t="n"/>
      <c r="G1846" s="39" t="n"/>
      <c r="H1846" s="14">
        <f>INDEX(VarLab,MATCH($A1846,VarKey,0))&amp;INDEX(MemLab,MATCH($C1846&amp;"|"&amp;$B1846,MemKey,0))</f>
        <v/>
      </c>
      <c r="I1846" s="14">
        <f>INDEX(VarUnit,MATCH($A1846,VarKey,0))</f>
        <v/>
      </c>
      <c r="J1846" s="14">
        <f>INDEX(VarSrc,MATCH($A1846,VarKey,0))</f>
        <v/>
      </c>
      <c r="K1846" s="11">
        <f>CodePrefix&amp;$A1846&amp;IF($C1846="","","."&amp;$C1846&amp;"."&amp;$B1846)&amp;INDEX(VarEnd,MATCH($A1846,VarKey,0))&amp;K$5</f>
        <v/>
      </c>
      <c r="L1846" s="40">
        <f>INDEX(L$297:L$313,$E1846)*$D1846</f>
        <v/>
      </c>
      <c r="M1846" s="35">
        <f>INDEX(M$297:M$313,$E1846)*$D1846</f>
        <v/>
      </c>
      <c r="N1846" s="35">
        <f>INDEX(N$297:N$313,$E1846)*$D1846</f>
        <v/>
      </c>
      <c r="O1846" s="35">
        <f>INDEX(O$297:O$313,$E1846)*$D1846</f>
        <v/>
      </c>
      <c r="P1846" s="35">
        <f>INDEX(P$297:P$313,$E1846)*$D1846</f>
        <v/>
      </c>
      <c r="Q1846" s="35">
        <f>INDEX(Q$297:Q$313,$E1846)*$D1846</f>
        <v/>
      </c>
      <c r="R1846" s="35">
        <f>INDEX(R$297:R$313,$E1846)*$D1846</f>
        <v/>
      </c>
      <c r="S1846" s="35">
        <f>INDEX(S$297:S$313,$E1846)*$D1846</f>
        <v/>
      </c>
      <c r="T1846" s="35">
        <f>INDEX(T$297:T$313,$E1846)*$D1846</f>
        <v/>
      </c>
      <c r="U1846" s="35">
        <f>INDEX(U$297:U$313,$E1846)*$D1846</f>
        <v/>
      </c>
      <c r="V1846" s="35">
        <f>INDEX(V$297:V$313,$E1846)*$D1846</f>
        <v/>
      </c>
      <c r="W1846" s="35">
        <f>INDEX(W$297:W$313,$E1846)*$D1846</f>
        <v/>
      </c>
      <c r="X1846" s="35">
        <f>INDEX(X$297:X$313,$E1846)*$D1846</f>
        <v/>
      </c>
      <c r="Y1846" s="35">
        <f>INDEX(Y$297:Y$313,$E1846)*$D1846</f>
        <v/>
      </c>
      <c r="Z1846" s="35">
        <f>INDEX(Z$297:Z$313,$E1846)*$D1846</f>
        <v/>
      </c>
      <c r="AA1846" s="35">
        <f>INDEX(AA$297:AA$313,$E1846)*$D1846</f>
        <v/>
      </c>
      <c r="AB1846" s="35">
        <f>INDEX(AB$297:AB$313,$E1846)*$D1846</f>
        <v/>
      </c>
      <c r="AC1846" s="35">
        <f>INDEX(AC$297:AC$313,$E1846)*$D1846</f>
        <v/>
      </c>
      <c r="AD1846" s="35">
        <f>INDEX(AD$297:AD$313,$E1846)*$D1846</f>
        <v/>
      </c>
      <c r="AE1846" s="42">
        <f>SHADOWGJ(INDEX(AE$297:AE$313,$E1846),$D1846)</f>
        <v/>
      </c>
      <c r="AG1846" s="11">
        <f>CodePrefix&amp;$A1846&amp;IF($C1846="","","."&amp;$C1846&amp;"."&amp;$B1846)&amp;INDEX(VarEnd,MATCH($A1846,VarKey,0))&amp;AG$5</f>
        <v/>
      </c>
      <c r="AH1846" s="40">
        <f>INDEX(AH$297:AH$313,$E1846)*$D1846</f>
        <v/>
      </c>
      <c r="AI1846" s="35">
        <f>INDEX(AI$297:AI$313,$E1846)*$D1846</f>
        <v/>
      </c>
      <c r="AJ1846" s="35">
        <f>INDEX(AJ$297:AJ$313,$E1846)*$D1846</f>
        <v/>
      </c>
      <c r="AK1846" s="35">
        <f>INDEX(AK$297:AK$313,$E1846)*$D1846</f>
        <v/>
      </c>
      <c r="AL1846" s="35">
        <f>INDEX(AL$297:AL$313,$E1846)*$D1846</f>
        <v/>
      </c>
      <c r="AM1846" s="35">
        <f>INDEX(AM$297:AM$313,$E1846)*$D1846</f>
        <v/>
      </c>
      <c r="AN1846" s="35">
        <f>INDEX(AN$297:AN$313,$E1846)*$D1846</f>
        <v/>
      </c>
      <c r="AO1846" s="35">
        <f>INDEX(AO$297:AO$313,$E1846)*$D1846</f>
        <v/>
      </c>
      <c r="AP1846" s="35">
        <f>INDEX(AP$297:AP$313,$E1846)*$D1846</f>
        <v/>
      </c>
      <c r="AQ1846" s="35">
        <f>INDEX(AQ$297:AQ$313,$E1846)*$D1846</f>
        <v/>
      </c>
      <c r="AR1846" s="35">
        <f>INDEX(AR$297:AR$313,$E1846)*$D1846</f>
        <v/>
      </c>
      <c r="AS1846" s="35">
        <f>INDEX(AS$297:AS$313,$E1846)*$D1846</f>
        <v/>
      </c>
      <c r="AT1846" s="35">
        <f>INDEX(AT$297:AT$313,$E1846)*$D1846</f>
        <v/>
      </c>
      <c r="AU1846" s="35">
        <f>INDEX(AU$297:AU$313,$E1846)*$D1846</f>
        <v/>
      </c>
      <c r="AV1846" s="35">
        <f>INDEX(AV$297:AV$313,$E1846)*$D1846</f>
        <v/>
      </c>
      <c r="AW1846" s="35">
        <f>INDEX(AW$297:AW$313,$E1846)*$D1846</f>
        <v/>
      </c>
      <c r="AX1846" s="35">
        <f>INDEX(AX$297:AX$313,$E1846)*$D1846</f>
        <v/>
      </c>
      <c r="AY1846" s="35">
        <f>INDEX(AY$297:AY$313,$E1846)*$D1846</f>
        <v/>
      </c>
      <c r="AZ1846" s="35">
        <f>INDEX(AZ$297:AZ$313,$E1846)*$D1846</f>
        <v/>
      </c>
      <c r="BA1846" s="42">
        <f>SHADOWGJ(INDEX(BA$297:BA$313,$E1846),$D1846)</f>
        <v/>
      </c>
    </row>
    <row r="1847" hidden="1" outlineLevel="2">
      <c r="A1847" s="14" t="inlineStr">
        <is>
          <t>shp</t>
        </is>
      </c>
      <c r="B1847" s="14" t="inlineStr">
        <is>
          <t>oop</t>
        </is>
      </c>
      <c r="C1847" s="14" t="inlineStr">
        <is>
          <t>srv</t>
        </is>
      </c>
      <c r="D1847" s="35">
        <f>INDEX(Inputs!$W$5:$W$132,MATCH($B1847&amp;"|"&amp;$C1847,Inputs!$A$5:$A$132,0))</f>
        <v/>
      </c>
      <c r="E1847" s="35">
        <f>INDEX(Inputs!$M$5:$M$132,MATCH($B1847&amp;"|"&amp;$C1847,Inputs!$A$5:$A$132,0))</f>
        <v/>
      </c>
      <c r="F1847" s="39" t="n"/>
      <c r="G1847" s="39" t="n"/>
      <c r="H1847" s="14">
        <f>INDEX(VarLab,MATCH($A1847,VarKey,0))&amp;INDEX(MemLab,MATCH($C1847&amp;"|"&amp;$B1847,MemKey,0))</f>
        <v/>
      </c>
      <c r="I1847" s="14">
        <f>INDEX(VarUnit,MATCH($A1847,VarKey,0))</f>
        <v/>
      </c>
      <c r="J1847" s="14">
        <f>INDEX(VarSrc,MATCH($A1847,VarKey,0))</f>
        <v/>
      </c>
      <c r="K1847" s="11">
        <f>CodePrefix&amp;$A1847&amp;IF($C1847="","","."&amp;$C1847&amp;"."&amp;$B1847)&amp;INDEX(VarEnd,MATCH($A1847,VarKey,0))&amp;K$5</f>
        <v/>
      </c>
      <c r="L1847" s="40">
        <f>INDEX(L$297:L$313,$E1847)*$D1847</f>
        <v/>
      </c>
      <c r="M1847" s="35">
        <f>INDEX(M$297:M$313,$E1847)*$D1847</f>
        <v/>
      </c>
      <c r="N1847" s="35">
        <f>INDEX(N$297:N$313,$E1847)*$D1847</f>
        <v/>
      </c>
      <c r="O1847" s="35">
        <f>INDEX(O$297:O$313,$E1847)*$D1847</f>
        <v/>
      </c>
      <c r="P1847" s="35">
        <f>INDEX(P$297:P$313,$E1847)*$D1847</f>
        <v/>
      </c>
      <c r="Q1847" s="35">
        <f>INDEX(Q$297:Q$313,$E1847)*$D1847</f>
        <v/>
      </c>
      <c r="R1847" s="35">
        <f>INDEX(R$297:R$313,$E1847)*$D1847</f>
        <v/>
      </c>
      <c r="S1847" s="35">
        <f>INDEX(S$297:S$313,$E1847)*$D1847</f>
        <v/>
      </c>
      <c r="T1847" s="35">
        <f>INDEX(T$297:T$313,$E1847)*$D1847</f>
        <v/>
      </c>
      <c r="U1847" s="35">
        <f>INDEX(U$297:U$313,$E1847)*$D1847</f>
        <v/>
      </c>
      <c r="V1847" s="35">
        <f>INDEX(V$297:V$313,$E1847)*$D1847</f>
        <v/>
      </c>
      <c r="W1847" s="35">
        <f>INDEX(W$297:W$313,$E1847)*$D1847</f>
        <v/>
      </c>
      <c r="X1847" s="35">
        <f>INDEX(X$297:X$313,$E1847)*$D1847</f>
        <v/>
      </c>
      <c r="Y1847" s="35">
        <f>INDEX(Y$297:Y$313,$E1847)*$D1847</f>
        <v/>
      </c>
      <c r="Z1847" s="35">
        <f>INDEX(Z$297:Z$313,$E1847)*$D1847</f>
        <v/>
      </c>
      <c r="AA1847" s="35">
        <f>INDEX(AA$297:AA$313,$E1847)*$D1847</f>
        <v/>
      </c>
      <c r="AB1847" s="35">
        <f>INDEX(AB$297:AB$313,$E1847)*$D1847</f>
        <v/>
      </c>
      <c r="AC1847" s="35">
        <f>INDEX(AC$297:AC$313,$E1847)*$D1847</f>
        <v/>
      </c>
      <c r="AD1847" s="35">
        <f>INDEX(AD$297:AD$313,$E1847)*$D1847</f>
        <v/>
      </c>
      <c r="AE1847" s="42">
        <f>SHADOWGJ(INDEX(AE$297:AE$313,$E1847),$D1847)</f>
        <v/>
      </c>
      <c r="AG1847" s="11">
        <f>CodePrefix&amp;$A1847&amp;IF($C1847="","","."&amp;$C1847&amp;"."&amp;$B1847)&amp;INDEX(VarEnd,MATCH($A1847,VarKey,0))&amp;AG$5</f>
        <v/>
      </c>
      <c r="AH1847" s="40">
        <f>INDEX(AH$297:AH$313,$E1847)*$D1847</f>
        <v/>
      </c>
      <c r="AI1847" s="35">
        <f>INDEX(AI$297:AI$313,$E1847)*$D1847</f>
        <v/>
      </c>
      <c r="AJ1847" s="35">
        <f>INDEX(AJ$297:AJ$313,$E1847)*$D1847</f>
        <v/>
      </c>
      <c r="AK1847" s="35">
        <f>INDEX(AK$297:AK$313,$E1847)*$D1847</f>
        <v/>
      </c>
      <c r="AL1847" s="35">
        <f>INDEX(AL$297:AL$313,$E1847)*$D1847</f>
        <v/>
      </c>
      <c r="AM1847" s="35">
        <f>INDEX(AM$297:AM$313,$E1847)*$D1847</f>
        <v/>
      </c>
      <c r="AN1847" s="35">
        <f>INDEX(AN$297:AN$313,$E1847)*$D1847</f>
        <v/>
      </c>
      <c r="AO1847" s="35">
        <f>INDEX(AO$297:AO$313,$E1847)*$D1847</f>
        <v/>
      </c>
      <c r="AP1847" s="35">
        <f>INDEX(AP$297:AP$313,$E1847)*$D1847</f>
        <v/>
      </c>
      <c r="AQ1847" s="35">
        <f>INDEX(AQ$297:AQ$313,$E1847)*$D1847</f>
        <v/>
      </c>
      <c r="AR1847" s="35">
        <f>INDEX(AR$297:AR$313,$E1847)*$D1847</f>
        <v/>
      </c>
      <c r="AS1847" s="35">
        <f>INDEX(AS$297:AS$313,$E1847)*$D1847</f>
        <v/>
      </c>
      <c r="AT1847" s="35">
        <f>INDEX(AT$297:AT$313,$E1847)*$D1847</f>
        <v/>
      </c>
      <c r="AU1847" s="35">
        <f>INDEX(AU$297:AU$313,$E1847)*$D1847</f>
        <v/>
      </c>
      <c r="AV1847" s="35">
        <f>INDEX(AV$297:AV$313,$E1847)*$D1847</f>
        <v/>
      </c>
      <c r="AW1847" s="35">
        <f>INDEX(AW$297:AW$313,$E1847)*$D1847</f>
        <v/>
      </c>
      <c r="AX1847" s="35">
        <f>INDEX(AX$297:AX$313,$E1847)*$D1847</f>
        <v/>
      </c>
      <c r="AY1847" s="35">
        <f>INDEX(AY$297:AY$313,$E1847)*$D1847</f>
        <v/>
      </c>
      <c r="AZ1847" s="35">
        <f>INDEX(AZ$297:AZ$313,$E1847)*$D1847</f>
        <v/>
      </c>
      <c r="BA1847" s="42">
        <f>SHADOWGJ(INDEX(BA$297:BA$313,$E1847),$D1847)</f>
        <v/>
      </c>
    </row>
    <row r="1848" hidden="1" outlineLevel="2">
      <c r="A1848" s="14" t="inlineStr">
        <is>
          <t>shp</t>
        </is>
      </c>
      <c r="B1848" s="14" t="inlineStr">
        <is>
          <t>bio</t>
        </is>
      </c>
      <c r="C1848" s="14" t="inlineStr">
        <is>
          <t>srv</t>
        </is>
      </c>
      <c r="D1848" s="35">
        <f>INDEX(Inputs!$W$5:$W$132,MATCH($B1848&amp;"|"&amp;$C1848,Inputs!$A$5:$A$132,0))</f>
        <v/>
      </c>
      <c r="E1848" s="35">
        <f>INDEX(Inputs!$M$5:$M$132,MATCH($B1848&amp;"|"&amp;$C1848,Inputs!$A$5:$A$132,0))</f>
        <v/>
      </c>
      <c r="F1848" s="39" t="n"/>
      <c r="G1848" s="39" t="n"/>
      <c r="H1848" s="14">
        <f>INDEX(VarLab,MATCH($A1848,VarKey,0))&amp;INDEX(MemLab,MATCH($C1848&amp;"|"&amp;$B1848,MemKey,0))</f>
        <v/>
      </c>
      <c r="I1848" s="14">
        <f>INDEX(VarUnit,MATCH($A1848,VarKey,0))</f>
        <v/>
      </c>
      <c r="J1848" s="14">
        <f>INDEX(VarSrc,MATCH($A1848,VarKey,0))</f>
        <v/>
      </c>
      <c r="K1848" s="11">
        <f>CodePrefix&amp;$A1848&amp;IF($C1848="","","."&amp;$C1848&amp;"."&amp;$B1848)&amp;INDEX(VarEnd,MATCH($A1848,VarKey,0))&amp;K$5</f>
        <v/>
      </c>
      <c r="L1848" s="40">
        <f>INDEX(L$297:L$313,$E1848)*$D1848</f>
        <v/>
      </c>
      <c r="M1848" s="35">
        <f>INDEX(M$297:M$313,$E1848)*$D1848</f>
        <v/>
      </c>
      <c r="N1848" s="35">
        <f>INDEX(N$297:N$313,$E1848)*$D1848</f>
        <v/>
      </c>
      <c r="O1848" s="35">
        <f>INDEX(O$297:O$313,$E1848)*$D1848</f>
        <v/>
      </c>
      <c r="P1848" s="35">
        <f>INDEX(P$297:P$313,$E1848)*$D1848</f>
        <v/>
      </c>
      <c r="Q1848" s="35">
        <f>INDEX(Q$297:Q$313,$E1848)*$D1848</f>
        <v/>
      </c>
      <c r="R1848" s="35">
        <f>INDEX(R$297:R$313,$E1848)*$D1848</f>
        <v/>
      </c>
      <c r="S1848" s="35">
        <f>INDEX(S$297:S$313,$E1848)*$D1848</f>
        <v/>
      </c>
      <c r="T1848" s="35">
        <f>INDEX(T$297:T$313,$E1848)*$D1848</f>
        <v/>
      </c>
      <c r="U1848" s="35">
        <f>INDEX(U$297:U$313,$E1848)*$D1848</f>
        <v/>
      </c>
      <c r="V1848" s="35">
        <f>INDEX(V$297:V$313,$E1848)*$D1848</f>
        <v/>
      </c>
      <c r="W1848" s="35">
        <f>INDEX(W$297:W$313,$E1848)*$D1848</f>
        <v/>
      </c>
      <c r="X1848" s="35">
        <f>INDEX(X$297:X$313,$E1848)*$D1848</f>
        <v/>
      </c>
      <c r="Y1848" s="35">
        <f>INDEX(Y$297:Y$313,$E1848)*$D1848</f>
        <v/>
      </c>
      <c r="Z1848" s="35">
        <f>INDEX(Z$297:Z$313,$E1848)*$D1848</f>
        <v/>
      </c>
      <c r="AA1848" s="35">
        <f>INDEX(AA$297:AA$313,$E1848)*$D1848</f>
        <v/>
      </c>
      <c r="AB1848" s="35">
        <f>INDEX(AB$297:AB$313,$E1848)*$D1848</f>
        <v/>
      </c>
      <c r="AC1848" s="35">
        <f>INDEX(AC$297:AC$313,$E1848)*$D1848</f>
        <v/>
      </c>
      <c r="AD1848" s="35">
        <f>INDEX(AD$297:AD$313,$E1848)*$D1848</f>
        <v/>
      </c>
      <c r="AE1848" s="42">
        <f>SHADOWGJ(INDEX(AE$297:AE$313,$E1848),$D1848)</f>
        <v/>
      </c>
      <c r="AG1848" s="11">
        <f>CodePrefix&amp;$A1848&amp;IF($C1848="","","."&amp;$C1848&amp;"."&amp;$B1848)&amp;INDEX(VarEnd,MATCH($A1848,VarKey,0))&amp;AG$5</f>
        <v/>
      </c>
      <c r="AH1848" s="40">
        <f>INDEX(AH$297:AH$313,$E1848)*$D1848</f>
        <v/>
      </c>
      <c r="AI1848" s="35">
        <f>INDEX(AI$297:AI$313,$E1848)*$D1848</f>
        <v/>
      </c>
      <c r="AJ1848" s="35">
        <f>INDEX(AJ$297:AJ$313,$E1848)*$D1848</f>
        <v/>
      </c>
      <c r="AK1848" s="35">
        <f>INDEX(AK$297:AK$313,$E1848)*$D1848</f>
        <v/>
      </c>
      <c r="AL1848" s="35">
        <f>INDEX(AL$297:AL$313,$E1848)*$D1848</f>
        <v/>
      </c>
      <c r="AM1848" s="35">
        <f>INDEX(AM$297:AM$313,$E1848)*$D1848</f>
        <v/>
      </c>
      <c r="AN1848" s="35">
        <f>INDEX(AN$297:AN$313,$E1848)*$D1848</f>
        <v/>
      </c>
      <c r="AO1848" s="35">
        <f>INDEX(AO$297:AO$313,$E1848)*$D1848</f>
        <v/>
      </c>
      <c r="AP1848" s="35">
        <f>INDEX(AP$297:AP$313,$E1848)*$D1848</f>
        <v/>
      </c>
      <c r="AQ1848" s="35">
        <f>INDEX(AQ$297:AQ$313,$E1848)*$D1848</f>
        <v/>
      </c>
      <c r="AR1848" s="35">
        <f>INDEX(AR$297:AR$313,$E1848)*$D1848</f>
        <v/>
      </c>
      <c r="AS1848" s="35">
        <f>INDEX(AS$297:AS$313,$E1848)*$D1848</f>
        <v/>
      </c>
      <c r="AT1848" s="35">
        <f>INDEX(AT$297:AT$313,$E1848)*$D1848</f>
        <v/>
      </c>
      <c r="AU1848" s="35">
        <f>INDEX(AU$297:AU$313,$E1848)*$D1848</f>
        <v/>
      </c>
      <c r="AV1848" s="35">
        <f>INDEX(AV$297:AV$313,$E1848)*$D1848</f>
        <v/>
      </c>
      <c r="AW1848" s="35">
        <f>INDEX(AW$297:AW$313,$E1848)*$D1848</f>
        <v/>
      </c>
      <c r="AX1848" s="35">
        <f>INDEX(AX$297:AX$313,$E1848)*$D1848</f>
        <v/>
      </c>
      <c r="AY1848" s="35">
        <f>INDEX(AY$297:AY$313,$E1848)*$D1848</f>
        <v/>
      </c>
      <c r="AZ1848" s="35">
        <f>INDEX(AZ$297:AZ$313,$E1848)*$D1848</f>
        <v/>
      </c>
      <c r="BA1848" s="42">
        <f>SHADOWGJ(INDEX(BA$297:BA$313,$E1848),$D1848)</f>
        <v/>
      </c>
    </row>
    <row r="1849" hidden="1" outlineLevel="2"/>
    <row r="1850" hidden="1" outlineLevel="2">
      <c r="A1850" s="14" t="inlineStr">
        <is>
          <t>ener</t>
        </is>
      </c>
      <c r="B1850" s="14" t="inlineStr">
        <is>
          <t>coa</t>
        </is>
      </c>
      <c r="C1850" s="14" t="inlineStr">
        <is>
          <t>srv</t>
        </is>
      </c>
      <c r="D1850" s="35">
        <f>INDEX(Inputs!$O$5:$O$132,MATCH($B1850&amp;"|"&amp;$C1850,Inputs!$A$5:$A$132,0))</f>
        <v/>
      </c>
      <c r="E1850" s="35">
        <f>INDEX(Inputs!$P$5:$P$132,MATCH($B1850&amp;"|"&amp;$C1850,Inputs!$A$5:$A$132,0))</f>
        <v/>
      </c>
      <c r="F1850" s="35">
        <f>INDEX(Inputs!$T$5:$T$132,MATCH($B1850&amp;"|"&amp;$C1850,Inputs!$A$5:$A$132,0))</f>
        <v/>
      </c>
      <c r="G1850" s="35">
        <f>INDEX(Inputs!$S$5:$S$132,MATCH($B1850&amp;"|"&amp;$C1850,Inputs!$A$5:$A$132,0))</f>
        <v/>
      </c>
      <c r="H1850" s="14">
        <f>INDEX(VarLab,MATCH($A1850,VarKey,0))&amp;INDEX(MemLab,MATCH($C1850&amp;"|"&amp;$B1850,MemKey,0))</f>
        <v/>
      </c>
      <c r="I1850" s="14">
        <f>INDEX(VarUnit,MATCH($A1850,VarKey,0))</f>
        <v/>
      </c>
      <c r="J1850" s="14">
        <f>INDEX(VarSrc,MATCH($A1850,VarKey,0))</f>
        <v/>
      </c>
      <c r="K1850" s="11">
        <f>CodePrefix&amp;$A1850&amp;IF($C1850="","","."&amp;$C1850&amp;"."&amp;$B1850)&amp;INDEX(VarEnd,MATCH($A1850,VarKey,0))&amp;K$5</f>
        <v/>
      </c>
      <c r="L1850" s="43">
        <f>INDEX(Inputs!$X$5:$X$132,MATCH($B1850&amp;"|"&amp;$C1850,Inputs!$A$5:$A$132,0))</f>
        <v/>
      </c>
      <c r="M1850" s="44">
        <f>L1850*$G1850*(1+M$7)^$D1850*(M1832/L1832)^$E1850*((M1832+M1841)/(L1832+L1841))^$F1850</f>
        <v/>
      </c>
      <c r="N1850" s="44">
        <f>M1850*$G1850*(1+N$7)^$D1850*(N1832/M1832)^$E1850*((N1832+N1841)/(M1832+M1841))^$F1850</f>
        <v/>
      </c>
      <c r="O1850" s="44">
        <f>N1850*$G1850*(1+O$7)^$D1850*(O1832/N1832)^$E1850*((O1832+O1841)/(N1832+N1841))^$F1850</f>
        <v/>
      </c>
      <c r="P1850" s="44">
        <f>O1850*$G1850*(1+P$7)^$D1850*(P1832/O1832)^$E1850*((P1832+P1841)/(O1832+O1841))^$F1850</f>
        <v/>
      </c>
      <c r="Q1850" s="44">
        <f>P1850*$G1850*(1+Q$7)^$D1850*(Q1832/P1832)^$E1850*((Q1832+Q1841)/(P1832+P1841))^$F1850</f>
        <v/>
      </c>
      <c r="R1850" s="44">
        <f>Q1850*$G1850*(1+R$7)^$D1850*(R1832/Q1832)^$E1850*((R1832+R1841)/(Q1832+Q1841))^$F1850</f>
        <v/>
      </c>
      <c r="S1850" s="44">
        <f>R1850*$G1850*(1+S$7)^$D1850*(S1832/R1832)^$E1850*((S1832+S1841)/(R1832+R1841))^$F1850</f>
        <v/>
      </c>
      <c r="T1850" s="44">
        <f>S1850*$G1850*(1+T$7)^$D1850*(T1832/S1832)^$E1850*((T1832+T1841)/(S1832+S1841))^$F1850</f>
        <v/>
      </c>
      <c r="U1850" s="44">
        <f>T1850*$G1850*(1+U$7)^$D1850*(U1832/T1832)^$E1850*((U1832+U1841)/(T1832+T1841))^$F1850</f>
        <v/>
      </c>
      <c r="V1850" s="44">
        <f>U1850*$G1850*(1+V$7)^$D1850*(V1832/U1832)^$E1850*((V1832+V1841)/(U1832+U1841))^$F1850</f>
        <v/>
      </c>
      <c r="W1850" s="44">
        <f>V1850*$G1850*(1+W$7)^$D1850*(W1832/V1832)^$E1850*((W1832+W1841)/(V1832+V1841))^$F1850</f>
        <v/>
      </c>
      <c r="X1850" s="44">
        <f>W1850*$G1850*(1+X$7)^$D1850*(X1832/W1832)^$E1850*((X1832+X1841)/(W1832+W1841))^$F1850</f>
        <v/>
      </c>
      <c r="Y1850" s="44">
        <f>X1850*$G1850*(1+Y$7)^$D1850*(Y1832/X1832)^$E1850*((Y1832+Y1841)/(X1832+X1841))^$F1850</f>
        <v/>
      </c>
      <c r="Z1850" s="44">
        <f>Y1850*$G1850*(1+Z$7)^$D1850*(Z1832/Y1832)^$E1850*((Z1832+Z1841)/(Y1832+Y1841))^$F1850</f>
        <v/>
      </c>
      <c r="AA1850" s="44">
        <f>Z1850*$G1850*(1+AA$7)^$D1850*(AA1832/Z1832)^$E1850*((AA1832+AA1841)/(Z1832+Z1841))^$F1850</f>
        <v/>
      </c>
      <c r="AB1850" s="44">
        <f>AA1850*$G1850*(1+AB$7)^$D1850*(AB1832/AA1832)^$E1850*((AB1832+AB1841)/(AA1832+AA1841))^$F1850</f>
        <v/>
      </c>
      <c r="AC1850" s="44">
        <f>AB1850*$G1850*(1+AC$7)^$D1850*(AC1832/AB1832)^$E1850*((AC1832+AC1841)/(AB1832+AB1841))^$F1850</f>
        <v/>
      </c>
      <c r="AD1850" s="44">
        <f>AC1850*$G1850*(1+AD$7)^$D1850*(AD1832/AC1832)^$E1850*((AD1832+AD1841)/(AC1832+AC1841))^$F1850</f>
        <v/>
      </c>
      <c r="AE1850" s="57">
        <f>FUELUSE(AD1850,AE1832,AD1832,AE1841,AD1841,AE$7,$D1850,$E1850,$F1850,$G1850)</f>
        <v/>
      </c>
      <c r="AG1850" s="11">
        <f>CodePrefix&amp;$A1850&amp;IF($C1850="","","."&amp;$C1850&amp;"."&amp;$B1850)&amp;INDEX(VarEnd,MATCH($A1850,VarKey,0))&amp;AG$5</f>
        <v/>
      </c>
      <c r="AH1850" s="43">
        <f>INDEX(Inputs!$X$5:$X$132,MATCH($B1850&amp;"|"&amp;$C1850,Inputs!$A$5:$A$132,0))</f>
        <v/>
      </c>
      <c r="AI1850" s="44">
        <f>AH1850*$G1850*(1+AI$7)^$D1850*(AI1832/AH1832)^$E1850*((AI1832+AI1841)/(AH1832+AH1841))^$F1850</f>
        <v/>
      </c>
      <c r="AJ1850" s="44">
        <f>AI1850*$G1850*(1+AJ$7)^$D1850*(AJ1832/AI1832)^$E1850*((AJ1832+AJ1841)/(AI1832+AI1841))^$F1850</f>
        <v/>
      </c>
      <c r="AK1850" s="44">
        <f>AJ1850*$G1850*(1+AK$7)^$D1850*(AK1832/AJ1832)^$E1850*((AK1832+AK1841)/(AJ1832+AJ1841))^$F1850</f>
        <v/>
      </c>
      <c r="AL1850" s="44">
        <f>AK1850*$G1850*(1+AL$7)^$D1850*(AL1832/AK1832)^$E1850*((AL1832+AL1841)/(AK1832+AK1841))^$F1850</f>
        <v/>
      </c>
      <c r="AM1850" s="44">
        <f>AL1850*$G1850*(1+AM$7)^$D1850*(AM1832/AL1832)^$E1850*((AM1832+AM1841)/(AL1832+AL1841))^$F1850</f>
        <v/>
      </c>
      <c r="AN1850" s="44">
        <f>AM1850*$G1850*(1+AN$7)^$D1850*(AN1832/AM1832)^$E1850*((AN1832+AN1841)/(AM1832+AM1841))^$F1850</f>
        <v/>
      </c>
      <c r="AO1850" s="44">
        <f>AN1850*$G1850*(1+AO$7)^$D1850*(AO1832/AN1832)^$E1850*((AO1832+AO1841)/(AN1832+AN1841))^$F1850</f>
        <v/>
      </c>
      <c r="AP1850" s="44">
        <f>AO1850*$G1850*(1+AP$7)^$D1850*(AP1832/AO1832)^$E1850*((AP1832+AP1841)/(AO1832+AO1841))^$F1850</f>
        <v/>
      </c>
      <c r="AQ1850" s="44">
        <f>AP1850*$G1850*(1+AQ$7)^$D1850*(AQ1832/AP1832)^$E1850*((AQ1832+AQ1841)/(AP1832+AP1841))^$F1850</f>
        <v/>
      </c>
      <c r="AR1850" s="44">
        <f>AQ1850*$G1850*(1+AR$7)^$D1850*(AR1832/AQ1832)^$E1850*((AR1832+AR1841)/(AQ1832+AQ1841))^$F1850</f>
        <v/>
      </c>
      <c r="AS1850" s="44">
        <f>AR1850*$G1850*(1+AS$7)^$D1850*(AS1832/AR1832)^$E1850*((AS1832+AS1841)/(AR1832+AR1841))^$F1850</f>
        <v/>
      </c>
      <c r="AT1850" s="44">
        <f>AS1850*$G1850*(1+AT$7)^$D1850*(AT1832/AS1832)^$E1850*((AT1832+AT1841)/(AS1832+AS1841))^$F1850</f>
        <v/>
      </c>
      <c r="AU1850" s="44">
        <f>AT1850*$G1850*(1+AU$7)^$D1850*(AU1832/AT1832)^$E1850*((AU1832+AU1841)/(AT1832+AT1841))^$F1850</f>
        <v/>
      </c>
      <c r="AV1850" s="44">
        <f>AU1850*$G1850*(1+AV$7)^$D1850*(AV1832/AU1832)^$E1850*((AV1832+AV1841)/(AU1832+AU1841))^$F1850</f>
        <v/>
      </c>
      <c r="AW1850" s="44">
        <f>AV1850*$G1850*(1+AW$7)^$D1850*(AW1832/AV1832)^$E1850*((AW1832+AW1841)/(AV1832+AV1841))^$F1850</f>
        <v/>
      </c>
      <c r="AX1850" s="44">
        <f>AW1850*$G1850*(1+AX$7)^$D1850*(AX1832/AW1832)^$E1850*((AX1832+AX1841)/(AW1832+AW1841))^$F1850</f>
        <v/>
      </c>
      <c r="AY1850" s="44">
        <f>AX1850*$G1850*(1+AY$7)^$D1850*(AY1832/AX1832)^$E1850*((AY1832+AY1841)/(AX1832+AX1841))^$F1850</f>
        <v/>
      </c>
      <c r="AZ1850" s="44">
        <f>AY1850*$G1850*(1+AZ$7)^$D1850*(AZ1832/AY1832)^$E1850*((AZ1832+AZ1841)/(AY1832+AY1841))^$F1850</f>
        <v/>
      </c>
      <c r="BA1850" s="57">
        <f>FUELUSE(AZ1850,BA1832,AZ1832,BA1841,AZ1841,BA$7,$D1850,$E1850,$F1850,$G1850)</f>
        <v/>
      </c>
    </row>
    <row r="1851" hidden="1" outlineLevel="2">
      <c r="A1851" s="14" t="inlineStr">
        <is>
          <t>ener</t>
        </is>
      </c>
      <c r="B1851" s="14" t="inlineStr">
        <is>
          <t>nga</t>
        </is>
      </c>
      <c r="C1851" s="14" t="inlineStr">
        <is>
          <t>srv</t>
        </is>
      </c>
      <c r="D1851" s="35">
        <f>INDEX(Inputs!$O$5:$O$132,MATCH($B1851&amp;"|"&amp;$C1851,Inputs!$A$5:$A$132,0))</f>
        <v/>
      </c>
      <c r="E1851" s="35">
        <f>INDEX(Inputs!$P$5:$P$132,MATCH($B1851&amp;"|"&amp;$C1851,Inputs!$A$5:$A$132,0))</f>
        <v/>
      </c>
      <c r="F1851" s="35">
        <f>INDEX(Inputs!$T$5:$T$132,MATCH($B1851&amp;"|"&amp;$C1851,Inputs!$A$5:$A$132,0))</f>
        <v/>
      </c>
      <c r="G1851" s="35">
        <f>INDEX(Inputs!$S$5:$S$132,MATCH($B1851&amp;"|"&amp;$C1851,Inputs!$A$5:$A$132,0))</f>
        <v/>
      </c>
      <c r="H1851" s="14">
        <f>INDEX(VarLab,MATCH($A1851,VarKey,0))&amp;INDEX(MemLab,MATCH($C1851&amp;"|"&amp;$B1851,MemKey,0))</f>
        <v/>
      </c>
      <c r="I1851" s="14">
        <f>INDEX(VarUnit,MATCH($A1851,VarKey,0))</f>
        <v/>
      </c>
      <c r="J1851" s="14">
        <f>INDEX(VarSrc,MATCH($A1851,VarKey,0))</f>
        <v/>
      </c>
      <c r="K1851" s="11">
        <f>CodePrefix&amp;$A1851&amp;IF($C1851="","","."&amp;$C1851&amp;"."&amp;$B1851)&amp;INDEX(VarEnd,MATCH($A1851,VarKey,0))&amp;K$5</f>
        <v/>
      </c>
      <c r="L1851" s="43">
        <f>INDEX(Inputs!$X$5:$X$132,MATCH($B1851&amp;"|"&amp;$C1851,Inputs!$A$5:$A$132,0))</f>
        <v/>
      </c>
      <c r="M1851" s="44">
        <f>L1851*$G1851*(1+M$7)^$D1851*(M1833/L1833)^$E1851*((M1833+M1842)/(L1833+L1842))^$F1851</f>
        <v/>
      </c>
      <c r="N1851" s="44">
        <f>M1851*$G1851*(1+N$7)^$D1851*(N1833/M1833)^$E1851*((N1833+N1842)/(M1833+M1842))^$F1851</f>
        <v/>
      </c>
      <c r="O1851" s="44">
        <f>N1851*$G1851*(1+O$7)^$D1851*(O1833/N1833)^$E1851*((O1833+O1842)/(N1833+N1842))^$F1851</f>
        <v/>
      </c>
      <c r="P1851" s="44">
        <f>O1851*$G1851*(1+P$7)^$D1851*(P1833/O1833)^$E1851*((P1833+P1842)/(O1833+O1842))^$F1851</f>
        <v/>
      </c>
      <c r="Q1851" s="44">
        <f>P1851*$G1851*(1+Q$7)^$D1851*(Q1833/P1833)^$E1851*((Q1833+Q1842)/(P1833+P1842))^$F1851</f>
        <v/>
      </c>
      <c r="R1851" s="44">
        <f>Q1851*$G1851*(1+R$7)^$D1851*(R1833/Q1833)^$E1851*((R1833+R1842)/(Q1833+Q1842))^$F1851</f>
        <v/>
      </c>
      <c r="S1851" s="44">
        <f>R1851*$G1851*(1+S$7)^$D1851*(S1833/R1833)^$E1851*((S1833+S1842)/(R1833+R1842))^$F1851</f>
        <v/>
      </c>
      <c r="T1851" s="44">
        <f>S1851*$G1851*(1+T$7)^$D1851*(T1833/S1833)^$E1851*((T1833+T1842)/(S1833+S1842))^$F1851</f>
        <v/>
      </c>
      <c r="U1851" s="44">
        <f>T1851*$G1851*(1+U$7)^$D1851*(U1833/T1833)^$E1851*((U1833+U1842)/(T1833+T1842))^$F1851</f>
        <v/>
      </c>
      <c r="V1851" s="44">
        <f>U1851*$G1851*(1+V$7)^$D1851*(V1833/U1833)^$E1851*((V1833+V1842)/(U1833+U1842))^$F1851</f>
        <v/>
      </c>
      <c r="W1851" s="44">
        <f>V1851*$G1851*(1+W$7)^$D1851*(W1833/V1833)^$E1851*((W1833+W1842)/(V1833+V1842))^$F1851</f>
        <v/>
      </c>
      <c r="X1851" s="44">
        <f>W1851*$G1851*(1+X$7)^$D1851*(X1833/W1833)^$E1851*((X1833+X1842)/(W1833+W1842))^$F1851</f>
        <v/>
      </c>
      <c r="Y1851" s="44">
        <f>X1851*$G1851*(1+Y$7)^$D1851*(Y1833/X1833)^$E1851*((Y1833+Y1842)/(X1833+X1842))^$F1851</f>
        <v/>
      </c>
      <c r="Z1851" s="44">
        <f>Y1851*$G1851*(1+Z$7)^$D1851*(Z1833/Y1833)^$E1851*((Z1833+Z1842)/(Y1833+Y1842))^$F1851</f>
        <v/>
      </c>
      <c r="AA1851" s="44">
        <f>Z1851*$G1851*(1+AA$7)^$D1851*(AA1833/Z1833)^$E1851*((AA1833+AA1842)/(Z1833+Z1842))^$F1851</f>
        <v/>
      </c>
      <c r="AB1851" s="44">
        <f>AA1851*$G1851*(1+AB$7)^$D1851*(AB1833/AA1833)^$E1851*((AB1833+AB1842)/(AA1833+AA1842))^$F1851</f>
        <v/>
      </c>
      <c r="AC1851" s="44">
        <f>AB1851*$G1851*(1+AC$7)^$D1851*(AC1833/AB1833)^$E1851*((AC1833+AC1842)/(AB1833+AB1842))^$F1851</f>
        <v/>
      </c>
      <c r="AD1851" s="44">
        <f>AC1851*$G1851*(1+AD$7)^$D1851*(AD1833/AC1833)^$E1851*((AD1833+AD1842)/(AC1833+AC1842))^$F1851</f>
        <v/>
      </c>
      <c r="AE1851" s="57">
        <f>FUELUSE(AD1851,AE1833,AD1833,AE1842,AD1842,AE$7,$D1851,$E1851,$F1851,$G1851)</f>
        <v/>
      </c>
      <c r="AG1851" s="11">
        <f>CodePrefix&amp;$A1851&amp;IF($C1851="","","."&amp;$C1851&amp;"."&amp;$B1851)&amp;INDEX(VarEnd,MATCH($A1851,VarKey,0))&amp;AG$5</f>
        <v/>
      </c>
      <c r="AH1851" s="43">
        <f>INDEX(Inputs!$X$5:$X$132,MATCH($B1851&amp;"|"&amp;$C1851,Inputs!$A$5:$A$132,0))</f>
        <v/>
      </c>
      <c r="AI1851" s="44">
        <f>AH1851*$G1851*(1+AI$7)^$D1851*(AI1833/AH1833)^$E1851*((AI1833+AI1842)/(AH1833+AH1842))^$F1851</f>
        <v/>
      </c>
      <c r="AJ1851" s="44">
        <f>AI1851*$G1851*(1+AJ$7)^$D1851*(AJ1833/AI1833)^$E1851*((AJ1833+AJ1842)/(AI1833+AI1842))^$F1851</f>
        <v/>
      </c>
      <c r="AK1851" s="44">
        <f>AJ1851*$G1851*(1+AK$7)^$D1851*(AK1833/AJ1833)^$E1851*((AK1833+AK1842)/(AJ1833+AJ1842))^$F1851</f>
        <v/>
      </c>
      <c r="AL1851" s="44">
        <f>AK1851*$G1851*(1+AL$7)^$D1851*(AL1833/AK1833)^$E1851*((AL1833+AL1842)/(AK1833+AK1842))^$F1851</f>
        <v/>
      </c>
      <c r="AM1851" s="44">
        <f>AL1851*$G1851*(1+AM$7)^$D1851*(AM1833/AL1833)^$E1851*((AM1833+AM1842)/(AL1833+AL1842))^$F1851</f>
        <v/>
      </c>
      <c r="AN1851" s="44">
        <f>AM1851*$G1851*(1+AN$7)^$D1851*(AN1833/AM1833)^$E1851*((AN1833+AN1842)/(AM1833+AM1842))^$F1851</f>
        <v/>
      </c>
      <c r="AO1851" s="44">
        <f>AN1851*$G1851*(1+AO$7)^$D1851*(AO1833/AN1833)^$E1851*((AO1833+AO1842)/(AN1833+AN1842))^$F1851</f>
        <v/>
      </c>
      <c r="AP1851" s="44">
        <f>AO1851*$G1851*(1+AP$7)^$D1851*(AP1833/AO1833)^$E1851*((AP1833+AP1842)/(AO1833+AO1842))^$F1851</f>
        <v/>
      </c>
      <c r="AQ1851" s="44">
        <f>AP1851*$G1851*(1+AQ$7)^$D1851*(AQ1833/AP1833)^$E1851*((AQ1833+AQ1842)/(AP1833+AP1842))^$F1851</f>
        <v/>
      </c>
      <c r="AR1851" s="44">
        <f>AQ1851*$G1851*(1+AR$7)^$D1851*(AR1833/AQ1833)^$E1851*((AR1833+AR1842)/(AQ1833+AQ1842))^$F1851</f>
        <v/>
      </c>
      <c r="AS1851" s="44">
        <f>AR1851*$G1851*(1+AS$7)^$D1851*(AS1833/AR1833)^$E1851*((AS1833+AS1842)/(AR1833+AR1842))^$F1851</f>
        <v/>
      </c>
      <c r="AT1851" s="44">
        <f>AS1851*$G1851*(1+AT$7)^$D1851*(AT1833/AS1833)^$E1851*((AT1833+AT1842)/(AS1833+AS1842))^$F1851</f>
        <v/>
      </c>
      <c r="AU1851" s="44">
        <f>AT1851*$G1851*(1+AU$7)^$D1851*(AU1833/AT1833)^$E1851*((AU1833+AU1842)/(AT1833+AT1842))^$F1851</f>
        <v/>
      </c>
      <c r="AV1851" s="44">
        <f>AU1851*$G1851*(1+AV$7)^$D1851*(AV1833/AU1833)^$E1851*((AV1833+AV1842)/(AU1833+AU1842))^$F1851</f>
        <v/>
      </c>
      <c r="AW1851" s="44">
        <f>AV1851*$G1851*(1+AW$7)^$D1851*(AW1833/AV1833)^$E1851*((AW1833+AW1842)/(AV1833+AV1842))^$F1851</f>
        <v/>
      </c>
      <c r="AX1851" s="44">
        <f>AW1851*$G1851*(1+AX$7)^$D1851*(AX1833/AW1833)^$E1851*((AX1833+AX1842)/(AW1833+AW1842))^$F1851</f>
        <v/>
      </c>
      <c r="AY1851" s="44">
        <f>AX1851*$G1851*(1+AY$7)^$D1851*(AY1833/AX1833)^$E1851*((AY1833+AY1842)/(AX1833+AX1842))^$F1851</f>
        <v/>
      </c>
      <c r="AZ1851" s="44">
        <f>AY1851*$G1851*(1+AZ$7)^$D1851*(AZ1833/AY1833)^$E1851*((AZ1833+AZ1842)/(AY1833+AY1842))^$F1851</f>
        <v/>
      </c>
      <c r="BA1851" s="57">
        <f>FUELUSE(AZ1851,BA1833,AZ1833,BA1842,AZ1842,BA$7,$D1851,$E1851,$F1851,$G1851)</f>
        <v/>
      </c>
    </row>
    <row r="1852" hidden="1" outlineLevel="2">
      <c r="A1852" s="14" t="inlineStr">
        <is>
          <t>ener</t>
        </is>
      </c>
      <c r="B1852" s="14" t="inlineStr">
        <is>
          <t>gso</t>
        </is>
      </c>
      <c r="C1852" s="14" t="inlineStr">
        <is>
          <t>srv</t>
        </is>
      </c>
      <c r="D1852" s="35">
        <f>INDEX(Inputs!$O$5:$O$132,MATCH($B1852&amp;"|"&amp;$C1852,Inputs!$A$5:$A$132,0))</f>
        <v/>
      </c>
      <c r="E1852" s="35">
        <f>INDEX(Inputs!$P$5:$P$132,MATCH($B1852&amp;"|"&amp;$C1852,Inputs!$A$5:$A$132,0))</f>
        <v/>
      </c>
      <c r="F1852" s="35">
        <f>INDEX(Inputs!$T$5:$T$132,MATCH($B1852&amp;"|"&amp;$C1852,Inputs!$A$5:$A$132,0))</f>
        <v/>
      </c>
      <c r="G1852" s="35">
        <f>INDEX(Inputs!$S$5:$S$132,MATCH($B1852&amp;"|"&amp;$C1852,Inputs!$A$5:$A$132,0))</f>
        <v/>
      </c>
      <c r="H1852" s="14">
        <f>INDEX(VarLab,MATCH($A1852,VarKey,0))&amp;INDEX(MemLab,MATCH($C1852&amp;"|"&amp;$B1852,MemKey,0))</f>
        <v/>
      </c>
      <c r="I1852" s="14">
        <f>INDEX(VarUnit,MATCH($A1852,VarKey,0))</f>
        <v/>
      </c>
      <c r="J1852" s="14">
        <f>INDEX(VarSrc,MATCH($A1852,VarKey,0))</f>
        <v/>
      </c>
      <c r="K1852" s="11">
        <f>CodePrefix&amp;$A1852&amp;IF($C1852="","","."&amp;$C1852&amp;"."&amp;$B1852)&amp;INDEX(VarEnd,MATCH($A1852,VarKey,0))&amp;K$5</f>
        <v/>
      </c>
      <c r="L1852" s="43">
        <f>INDEX(Inputs!$X$5:$X$132,MATCH($B1852&amp;"|"&amp;$C1852,Inputs!$A$5:$A$132,0))</f>
        <v/>
      </c>
      <c r="M1852" s="44">
        <f>L1852*$G1852*(1+M$7)^$D1852*(M1834/L1834)^$E1852*((M1834+M1843)/(L1834+L1843))^$F1852</f>
        <v/>
      </c>
      <c r="N1852" s="44">
        <f>M1852*$G1852*(1+N$7)^$D1852*(N1834/M1834)^$E1852*((N1834+N1843)/(M1834+M1843))^$F1852</f>
        <v/>
      </c>
      <c r="O1852" s="44">
        <f>N1852*$G1852*(1+O$7)^$D1852*(O1834/N1834)^$E1852*((O1834+O1843)/(N1834+N1843))^$F1852</f>
        <v/>
      </c>
      <c r="P1852" s="44">
        <f>O1852*$G1852*(1+P$7)^$D1852*(P1834/O1834)^$E1852*((P1834+P1843)/(O1834+O1843))^$F1852</f>
        <v/>
      </c>
      <c r="Q1852" s="44">
        <f>P1852*$G1852*(1+Q$7)^$D1852*(Q1834/P1834)^$E1852*((Q1834+Q1843)/(P1834+P1843))^$F1852</f>
        <v/>
      </c>
      <c r="R1852" s="44">
        <f>Q1852*$G1852*(1+R$7)^$D1852*(R1834/Q1834)^$E1852*((R1834+R1843)/(Q1834+Q1843))^$F1852</f>
        <v/>
      </c>
      <c r="S1852" s="44">
        <f>R1852*$G1852*(1+S$7)^$D1852*(S1834/R1834)^$E1852*((S1834+S1843)/(R1834+R1843))^$F1852</f>
        <v/>
      </c>
      <c r="T1852" s="44">
        <f>S1852*$G1852*(1+T$7)^$D1852*(T1834/S1834)^$E1852*((T1834+T1843)/(S1834+S1843))^$F1852</f>
        <v/>
      </c>
      <c r="U1852" s="44">
        <f>T1852*$G1852*(1+U$7)^$D1852*(U1834/T1834)^$E1852*((U1834+U1843)/(T1834+T1843))^$F1852</f>
        <v/>
      </c>
      <c r="V1852" s="44">
        <f>U1852*$G1852*(1+V$7)^$D1852*(V1834/U1834)^$E1852*((V1834+V1843)/(U1834+U1843))^$F1852</f>
        <v/>
      </c>
      <c r="W1852" s="44">
        <f>V1852*$G1852*(1+W$7)^$D1852*(W1834/V1834)^$E1852*((W1834+W1843)/(V1834+V1843))^$F1852</f>
        <v/>
      </c>
      <c r="X1852" s="44">
        <f>W1852*$G1852*(1+X$7)^$D1852*(X1834/W1834)^$E1852*((X1834+X1843)/(W1834+W1843))^$F1852</f>
        <v/>
      </c>
      <c r="Y1852" s="44">
        <f>X1852*$G1852*(1+Y$7)^$D1852*(Y1834/X1834)^$E1852*((Y1834+Y1843)/(X1834+X1843))^$F1852</f>
        <v/>
      </c>
      <c r="Z1852" s="44">
        <f>Y1852*$G1852*(1+Z$7)^$D1852*(Z1834/Y1834)^$E1852*((Z1834+Z1843)/(Y1834+Y1843))^$F1852</f>
        <v/>
      </c>
      <c r="AA1852" s="44">
        <f>Z1852*$G1852*(1+AA$7)^$D1852*(AA1834/Z1834)^$E1852*((AA1834+AA1843)/(Z1834+Z1843))^$F1852</f>
        <v/>
      </c>
      <c r="AB1852" s="44">
        <f>AA1852*$G1852*(1+AB$7)^$D1852*(AB1834/AA1834)^$E1852*((AB1834+AB1843)/(AA1834+AA1843))^$F1852</f>
        <v/>
      </c>
      <c r="AC1852" s="44">
        <f>AB1852*$G1852*(1+AC$7)^$D1852*(AC1834/AB1834)^$E1852*((AC1834+AC1843)/(AB1834+AB1843))^$F1852</f>
        <v/>
      </c>
      <c r="AD1852" s="44">
        <f>AC1852*$G1852*(1+AD$7)^$D1852*(AD1834/AC1834)^$E1852*((AD1834+AD1843)/(AC1834+AC1843))^$F1852</f>
        <v/>
      </c>
      <c r="AE1852" s="57">
        <f>FUELUSE(AD1852,AE1834,AD1834,AE1843,AD1843,AE$7,$D1852,$E1852,$F1852,$G1852)</f>
        <v/>
      </c>
      <c r="AG1852" s="11">
        <f>CodePrefix&amp;$A1852&amp;IF($C1852="","","."&amp;$C1852&amp;"."&amp;$B1852)&amp;INDEX(VarEnd,MATCH($A1852,VarKey,0))&amp;AG$5</f>
        <v/>
      </c>
      <c r="AH1852" s="43">
        <f>INDEX(Inputs!$X$5:$X$132,MATCH($B1852&amp;"|"&amp;$C1852,Inputs!$A$5:$A$132,0))</f>
        <v/>
      </c>
      <c r="AI1852" s="44">
        <f>AH1852*$G1852*(1+AI$7)^$D1852*(AI1834/AH1834)^$E1852*((AI1834+AI1843)/(AH1834+AH1843))^$F1852</f>
        <v/>
      </c>
      <c r="AJ1852" s="44">
        <f>AI1852*$G1852*(1+AJ$7)^$D1852*(AJ1834/AI1834)^$E1852*((AJ1834+AJ1843)/(AI1834+AI1843))^$F1852</f>
        <v/>
      </c>
      <c r="AK1852" s="44">
        <f>AJ1852*$G1852*(1+AK$7)^$D1852*(AK1834/AJ1834)^$E1852*((AK1834+AK1843)/(AJ1834+AJ1843))^$F1852</f>
        <v/>
      </c>
      <c r="AL1852" s="44">
        <f>AK1852*$G1852*(1+AL$7)^$D1852*(AL1834/AK1834)^$E1852*((AL1834+AL1843)/(AK1834+AK1843))^$F1852</f>
        <v/>
      </c>
      <c r="AM1852" s="44">
        <f>AL1852*$G1852*(1+AM$7)^$D1852*(AM1834/AL1834)^$E1852*((AM1834+AM1843)/(AL1834+AL1843))^$F1852</f>
        <v/>
      </c>
      <c r="AN1852" s="44">
        <f>AM1852*$G1852*(1+AN$7)^$D1852*(AN1834/AM1834)^$E1852*((AN1834+AN1843)/(AM1834+AM1843))^$F1852</f>
        <v/>
      </c>
      <c r="AO1852" s="44">
        <f>AN1852*$G1852*(1+AO$7)^$D1852*(AO1834/AN1834)^$E1852*((AO1834+AO1843)/(AN1834+AN1843))^$F1852</f>
        <v/>
      </c>
      <c r="AP1852" s="44">
        <f>AO1852*$G1852*(1+AP$7)^$D1852*(AP1834/AO1834)^$E1852*((AP1834+AP1843)/(AO1834+AO1843))^$F1852</f>
        <v/>
      </c>
      <c r="AQ1852" s="44">
        <f>AP1852*$G1852*(1+AQ$7)^$D1852*(AQ1834/AP1834)^$E1852*((AQ1834+AQ1843)/(AP1834+AP1843))^$F1852</f>
        <v/>
      </c>
      <c r="AR1852" s="44">
        <f>AQ1852*$G1852*(1+AR$7)^$D1852*(AR1834/AQ1834)^$E1852*((AR1834+AR1843)/(AQ1834+AQ1843))^$F1852</f>
        <v/>
      </c>
      <c r="AS1852" s="44">
        <f>AR1852*$G1852*(1+AS$7)^$D1852*(AS1834/AR1834)^$E1852*((AS1834+AS1843)/(AR1834+AR1843))^$F1852</f>
        <v/>
      </c>
      <c r="AT1852" s="44">
        <f>AS1852*$G1852*(1+AT$7)^$D1852*(AT1834/AS1834)^$E1852*((AT1834+AT1843)/(AS1834+AS1843))^$F1852</f>
        <v/>
      </c>
      <c r="AU1852" s="44">
        <f>AT1852*$G1852*(1+AU$7)^$D1852*(AU1834/AT1834)^$E1852*((AU1834+AU1843)/(AT1834+AT1843))^$F1852</f>
        <v/>
      </c>
      <c r="AV1852" s="44">
        <f>AU1852*$G1852*(1+AV$7)^$D1852*(AV1834/AU1834)^$E1852*((AV1834+AV1843)/(AU1834+AU1843))^$F1852</f>
        <v/>
      </c>
      <c r="AW1852" s="44">
        <f>AV1852*$G1852*(1+AW$7)^$D1852*(AW1834/AV1834)^$E1852*((AW1834+AW1843)/(AV1834+AV1843))^$F1852</f>
        <v/>
      </c>
      <c r="AX1852" s="44">
        <f>AW1852*$G1852*(1+AX$7)^$D1852*(AX1834/AW1834)^$E1852*((AX1834+AX1843)/(AW1834+AW1843))^$F1852</f>
        <v/>
      </c>
      <c r="AY1852" s="44">
        <f>AX1852*$G1852*(1+AY$7)^$D1852*(AY1834/AX1834)^$E1852*((AY1834+AY1843)/(AX1834+AX1843))^$F1852</f>
        <v/>
      </c>
      <c r="AZ1852" s="44">
        <f>AY1852*$G1852*(1+AZ$7)^$D1852*(AZ1834/AY1834)^$E1852*((AZ1834+AZ1843)/(AY1834+AY1843))^$F1852</f>
        <v/>
      </c>
      <c r="BA1852" s="57">
        <f>FUELUSE(AZ1852,BA1834,AZ1834,BA1843,AZ1843,BA$7,$D1852,$E1852,$F1852,$G1852)</f>
        <v/>
      </c>
    </row>
    <row r="1853" hidden="1" outlineLevel="2">
      <c r="A1853" s="14" t="inlineStr">
        <is>
          <t>ener</t>
        </is>
      </c>
      <c r="B1853" s="14" t="inlineStr">
        <is>
          <t>die</t>
        </is>
      </c>
      <c r="C1853" s="14" t="inlineStr">
        <is>
          <t>srv</t>
        </is>
      </c>
      <c r="D1853" s="35">
        <f>INDEX(Inputs!$O$5:$O$132,MATCH($B1853&amp;"|"&amp;$C1853,Inputs!$A$5:$A$132,0))</f>
        <v/>
      </c>
      <c r="E1853" s="35">
        <f>INDEX(Inputs!$P$5:$P$132,MATCH($B1853&amp;"|"&amp;$C1853,Inputs!$A$5:$A$132,0))</f>
        <v/>
      </c>
      <c r="F1853" s="35">
        <f>INDEX(Inputs!$T$5:$T$132,MATCH($B1853&amp;"|"&amp;$C1853,Inputs!$A$5:$A$132,0))</f>
        <v/>
      </c>
      <c r="G1853" s="35">
        <f>INDEX(Inputs!$S$5:$S$132,MATCH($B1853&amp;"|"&amp;$C1853,Inputs!$A$5:$A$132,0))</f>
        <v/>
      </c>
      <c r="H1853" s="14">
        <f>INDEX(VarLab,MATCH($A1853,VarKey,0))&amp;INDEX(MemLab,MATCH($C1853&amp;"|"&amp;$B1853,MemKey,0))</f>
        <v/>
      </c>
      <c r="I1853" s="14">
        <f>INDEX(VarUnit,MATCH($A1853,VarKey,0))</f>
        <v/>
      </c>
      <c r="J1853" s="14">
        <f>INDEX(VarSrc,MATCH($A1853,VarKey,0))</f>
        <v/>
      </c>
      <c r="K1853" s="11">
        <f>CodePrefix&amp;$A1853&amp;IF($C1853="","","."&amp;$C1853&amp;"."&amp;$B1853)&amp;INDEX(VarEnd,MATCH($A1853,VarKey,0))&amp;K$5</f>
        <v/>
      </c>
      <c r="L1853" s="43">
        <f>INDEX(Inputs!$X$5:$X$132,MATCH($B1853&amp;"|"&amp;$C1853,Inputs!$A$5:$A$132,0))</f>
        <v/>
      </c>
      <c r="M1853" s="44">
        <f>L1853*$G1853*(1+M$7)^$D1853*(M1835/L1835)^$E1853*((M1835+M1844)/(L1835+L1844))^$F1853</f>
        <v/>
      </c>
      <c r="N1853" s="44">
        <f>M1853*$G1853*(1+N$7)^$D1853*(N1835/M1835)^$E1853*((N1835+N1844)/(M1835+M1844))^$F1853</f>
        <v/>
      </c>
      <c r="O1853" s="44">
        <f>N1853*$G1853*(1+O$7)^$D1853*(O1835/N1835)^$E1853*((O1835+O1844)/(N1835+N1844))^$F1853</f>
        <v/>
      </c>
      <c r="P1853" s="44">
        <f>O1853*$G1853*(1+P$7)^$D1853*(P1835/O1835)^$E1853*((P1835+P1844)/(O1835+O1844))^$F1853</f>
        <v/>
      </c>
      <c r="Q1853" s="44">
        <f>P1853*$G1853*(1+Q$7)^$D1853*(Q1835/P1835)^$E1853*((Q1835+Q1844)/(P1835+P1844))^$F1853</f>
        <v/>
      </c>
      <c r="R1853" s="44">
        <f>Q1853*$G1853*(1+R$7)^$D1853*(R1835/Q1835)^$E1853*((R1835+R1844)/(Q1835+Q1844))^$F1853</f>
        <v/>
      </c>
      <c r="S1853" s="44">
        <f>R1853*$G1853*(1+S$7)^$D1853*(S1835/R1835)^$E1853*((S1835+S1844)/(R1835+R1844))^$F1853</f>
        <v/>
      </c>
      <c r="T1853" s="44">
        <f>S1853*$G1853*(1+T$7)^$D1853*(T1835/S1835)^$E1853*((T1835+T1844)/(S1835+S1844))^$F1853</f>
        <v/>
      </c>
      <c r="U1853" s="44">
        <f>T1853*$G1853*(1+U$7)^$D1853*(U1835/T1835)^$E1853*((U1835+U1844)/(T1835+T1844))^$F1853</f>
        <v/>
      </c>
      <c r="V1853" s="44">
        <f>U1853*$G1853*(1+V$7)^$D1853*(V1835/U1835)^$E1853*((V1835+V1844)/(U1835+U1844))^$F1853</f>
        <v/>
      </c>
      <c r="W1853" s="44">
        <f>V1853*$G1853*(1+W$7)^$D1853*(W1835/V1835)^$E1853*((W1835+W1844)/(V1835+V1844))^$F1853</f>
        <v/>
      </c>
      <c r="X1853" s="44">
        <f>W1853*$G1853*(1+X$7)^$D1853*(X1835/W1835)^$E1853*((X1835+X1844)/(W1835+W1844))^$F1853</f>
        <v/>
      </c>
      <c r="Y1853" s="44">
        <f>X1853*$G1853*(1+Y$7)^$D1853*(Y1835/X1835)^$E1853*((Y1835+Y1844)/(X1835+X1844))^$F1853</f>
        <v/>
      </c>
      <c r="Z1853" s="44">
        <f>Y1853*$G1853*(1+Z$7)^$D1853*(Z1835/Y1835)^$E1853*((Z1835+Z1844)/(Y1835+Y1844))^$F1853</f>
        <v/>
      </c>
      <c r="AA1853" s="44">
        <f>Z1853*$G1853*(1+AA$7)^$D1853*(AA1835/Z1835)^$E1853*((AA1835+AA1844)/(Z1835+Z1844))^$F1853</f>
        <v/>
      </c>
      <c r="AB1853" s="44">
        <f>AA1853*$G1853*(1+AB$7)^$D1853*(AB1835/AA1835)^$E1853*((AB1835+AB1844)/(AA1835+AA1844))^$F1853</f>
        <v/>
      </c>
      <c r="AC1853" s="44">
        <f>AB1853*$G1853*(1+AC$7)^$D1853*(AC1835/AB1835)^$E1853*((AC1835+AC1844)/(AB1835+AB1844))^$F1853</f>
        <v/>
      </c>
      <c r="AD1853" s="44">
        <f>AC1853*$G1853*(1+AD$7)^$D1853*(AD1835/AC1835)^$E1853*((AD1835+AD1844)/(AC1835+AC1844))^$F1853</f>
        <v/>
      </c>
      <c r="AE1853" s="57">
        <f>FUELUSE(AD1853,AE1835,AD1835,AE1844,AD1844,AE$7,$D1853,$E1853,$F1853,$G1853)</f>
        <v/>
      </c>
      <c r="AG1853" s="11">
        <f>CodePrefix&amp;$A1853&amp;IF($C1853="","","."&amp;$C1853&amp;"."&amp;$B1853)&amp;INDEX(VarEnd,MATCH($A1853,VarKey,0))&amp;AG$5</f>
        <v/>
      </c>
      <c r="AH1853" s="43">
        <f>INDEX(Inputs!$X$5:$X$132,MATCH($B1853&amp;"|"&amp;$C1853,Inputs!$A$5:$A$132,0))</f>
        <v/>
      </c>
      <c r="AI1853" s="44">
        <f>AH1853*$G1853*(1+AI$7)^$D1853*(AI1835/AH1835)^$E1853*((AI1835+AI1844)/(AH1835+AH1844))^$F1853</f>
        <v/>
      </c>
      <c r="AJ1853" s="44">
        <f>AI1853*$G1853*(1+AJ$7)^$D1853*(AJ1835/AI1835)^$E1853*((AJ1835+AJ1844)/(AI1835+AI1844))^$F1853</f>
        <v/>
      </c>
      <c r="AK1853" s="44">
        <f>AJ1853*$G1853*(1+AK$7)^$D1853*(AK1835/AJ1835)^$E1853*((AK1835+AK1844)/(AJ1835+AJ1844))^$F1853</f>
        <v/>
      </c>
      <c r="AL1853" s="44">
        <f>AK1853*$G1853*(1+AL$7)^$D1853*(AL1835/AK1835)^$E1853*((AL1835+AL1844)/(AK1835+AK1844))^$F1853</f>
        <v/>
      </c>
      <c r="AM1853" s="44">
        <f>AL1853*$G1853*(1+AM$7)^$D1853*(AM1835/AL1835)^$E1853*((AM1835+AM1844)/(AL1835+AL1844))^$F1853</f>
        <v/>
      </c>
      <c r="AN1853" s="44">
        <f>AM1853*$G1853*(1+AN$7)^$D1853*(AN1835/AM1835)^$E1853*((AN1835+AN1844)/(AM1835+AM1844))^$F1853</f>
        <v/>
      </c>
      <c r="AO1853" s="44">
        <f>AN1853*$G1853*(1+AO$7)^$D1853*(AO1835/AN1835)^$E1853*((AO1835+AO1844)/(AN1835+AN1844))^$F1853</f>
        <v/>
      </c>
      <c r="AP1853" s="44">
        <f>AO1853*$G1853*(1+AP$7)^$D1853*(AP1835/AO1835)^$E1853*((AP1835+AP1844)/(AO1835+AO1844))^$F1853</f>
        <v/>
      </c>
      <c r="AQ1853" s="44">
        <f>AP1853*$G1853*(1+AQ$7)^$D1853*(AQ1835/AP1835)^$E1853*((AQ1835+AQ1844)/(AP1835+AP1844))^$F1853</f>
        <v/>
      </c>
      <c r="AR1853" s="44">
        <f>AQ1853*$G1853*(1+AR$7)^$D1853*(AR1835/AQ1835)^$E1853*((AR1835+AR1844)/(AQ1835+AQ1844))^$F1853</f>
        <v/>
      </c>
      <c r="AS1853" s="44">
        <f>AR1853*$G1853*(1+AS$7)^$D1853*(AS1835/AR1835)^$E1853*((AS1835+AS1844)/(AR1835+AR1844))^$F1853</f>
        <v/>
      </c>
      <c r="AT1853" s="44">
        <f>AS1853*$G1853*(1+AT$7)^$D1853*(AT1835/AS1835)^$E1853*((AT1835+AT1844)/(AS1835+AS1844))^$F1853</f>
        <v/>
      </c>
      <c r="AU1853" s="44">
        <f>AT1853*$G1853*(1+AU$7)^$D1853*(AU1835/AT1835)^$E1853*((AU1835+AU1844)/(AT1835+AT1844))^$F1853</f>
        <v/>
      </c>
      <c r="AV1853" s="44">
        <f>AU1853*$G1853*(1+AV$7)^$D1853*(AV1835/AU1835)^$E1853*((AV1835+AV1844)/(AU1835+AU1844))^$F1853</f>
        <v/>
      </c>
      <c r="AW1853" s="44">
        <f>AV1853*$G1853*(1+AW$7)^$D1853*(AW1835/AV1835)^$E1853*((AW1835+AW1844)/(AV1835+AV1844))^$F1853</f>
        <v/>
      </c>
      <c r="AX1853" s="44">
        <f>AW1853*$G1853*(1+AX$7)^$D1853*(AX1835/AW1835)^$E1853*((AX1835+AX1844)/(AW1835+AW1844))^$F1853</f>
        <v/>
      </c>
      <c r="AY1853" s="44">
        <f>AX1853*$G1853*(1+AY$7)^$D1853*(AY1835/AX1835)^$E1853*((AY1835+AY1844)/(AX1835+AX1844))^$F1853</f>
        <v/>
      </c>
      <c r="AZ1853" s="44">
        <f>AY1853*$G1853*(1+AZ$7)^$D1853*(AZ1835/AY1835)^$E1853*((AZ1835+AZ1844)/(AY1835+AY1844))^$F1853</f>
        <v/>
      </c>
      <c r="BA1853" s="57">
        <f>FUELUSE(AZ1853,BA1835,AZ1835,BA1844,AZ1844,BA$7,$D1853,$E1853,$F1853,$G1853)</f>
        <v/>
      </c>
    </row>
    <row r="1854" hidden="1" outlineLevel="2">
      <c r="A1854" s="14" t="inlineStr">
        <is>
          <t>ener</t>
        </is>
      </c>
      <c r="B1854" s="14" t="inlineStr">
        <is>
          <t>lpg</t>
        </is>
      </c>
      <c r="C1854" s="14" t="inlineStr">
        <is>
          <t>srv</t>
        </is>
      </c>
      <c r="D1854" s="35">
        <f>INDEX(Inputs!$O$5:$O$132,MATCH($B1854&amp;"|"&amp;$C1854,Inputs!$A$5:$A$132,0))</f>
        <v/>
      </c>
      <c r="E1854" s="35">
        <f>INDEX(Inputs!$P$5:$P$132,MATCH($B1854&amp;"|"&amp;$C1854,Inputs!$A$5:$A$132,0))</f>
        <v/>
      </c>
      <c r="F1854" s="35">
        <f>INDEX(Inputs!$T$5:$T$132,MATCH($B1854&amp;"|"&amp;$C1854,Inputs!$A$5:$A$132,0))</f>
        <v/>
      </c>
      <c r="G1854" s="35">
        <f>INDEX(Inputs!$S$5:$S$132,MATCH($B1854&amp;"|"&amp;$C1854,Inputs!$A$5:$A$132,0))</f>
        <v/>
      </c>
      <c r="H1854" s="14">
        <f>INDEX(VarLab,MATCH($A1854,VarKey,0))&amp;INDEX(MemLab,MATCH($C1854&amp;"|"&amp;$B1854,MemKey,0))</f>
        <v/>
      </c>
      <c r="I1854" s="14">
        <f>INDEX(VarUnit,MATCH($A1854,VarKey,0))</f>
        <v/>
      </c>
      <c r="J1854" s="14">
        <f>INDEX(VarSrc,MATCH($A1854,VarKey,0))</f>
        <v/>
      </c>
      <c r="K1854" s="11">
        <f>CodePrefix&amp;$A1854&amp;IF($C1854="","","."&amp;$C1854&amp;"."&amp;$B1854)&amp;INDEX(VarEnd,MATCH($A1854,VarKey,0))&amp;K$5</f>
        <v/>
      </c>
      <c r="L1854" s="43">
        <f>INDEX(Inputs!$X$5:$X$132,MATCH($B1854&amp;"|"&amp;$C1854,Inputs!$A$5:$A$132,0))</f>
        <v/>
      </c>
      <c r="M1854" s="44">
        <f>L1854*$G1854*(1+M$7)^$D1854*(M1836/L1836)^$E1854*((M1836+M1845)/(L1836+L1845))^$F1854</f>
        <v/>
      </c>
      <c r="N1854" s="44">
        <f>M1854*$G1854*(1+N$7)^$D1854*(N1836/M1836)^$E1854*((N1836+N1845)/(M1836+M1845))^$F1854</f>
        <v/>
      </c>
      <c r="O1854" s="44">
        <f>N1854*$G1854*(1+O$7)^$D1854*(O1836/N1836)^$E1854*((O1836+O1845)/(N1836+N1845))^$F1854</f>
        <v/>
      </c>
      <c r="P1854" s="44">
        <f>O1854*$G1854*(1+P$7)^$D1854*(P1836/O1836)^$E1854*((P1836+P1845)/(O1836+O1845))^$F1854</f>
        <v/>
      </c>
      <c r="Q1854" s="44">
        <f>P1854*$G1854*(1+Q$7)^$D1854*(Q1836/P1836)^$E1854*((Q1836+Q1845)/(P1836+P1845))^$F1854</f>
        <v/>
      </c>
      <c r="R1854" s="44">
        <f>Q1854*$G1854*(1+R$7)^$D1854*(R1836/Q1836)^$E1854*((R1836+R1845)/(Q1836+Q1845))^$F1854</f>
        <v/>
      </c>
      <c r="S1854" s="44">
        <f>R1854*$G1854*(1+S$7)^$D1854*(S1836/R1836)^$E1854*((S1836+S1845)/(R1836+R1845))^$F1854</f>
        <v/>
      </c>
      <c r="T1854" s="44">
        <f>S1854*$G1854*(1+T$7)^$D1854*(T1836/S1836)^$E1854*((T1836+T1845)/(S1836+S1845))^$F1854</f>
        <v/>
      </c>
      <c r="U1854" s="44">
        <f>T1854*$G1854*(1+U$7)^$D1854*(U1836/T1836)^$E1854*((U1836+U1845)/(T1836+T1845))^$F1854</f>
        <v/>
      </c>
      <c r="V1854" s="44">
        <f>U1854*$G1854*(1+V$7)^$D1854*(V1836/U1836)^$E1854*((V1836+V1845)/(U1836+U1845))^$F1854</f>
        <v/>
      </c>
      <c r="W1854" s="44">
        <f>V1854*$G1854*(1+W$7)^$D1854*(W1836/V1836)^$E1854*((W1836+W1845)/(V1836+V1845))^$F1854</f>
        <v/>
      </c>
      <c r="X1854" s="44">
        <f>W1854*$G1854*(1+X$7)^$D1854*(X1836/W1836)^$E1854*((X1836+X1845)/(W1836+W1845))^$F1854</f>
        <v/>
      </c>
      <c r="Y1854" s="44">
        <f>X1854*$G1854*(1+Y$7)^$D1854*(Y1836/X1836)^$E1854*((Y1836+Y1845)/(X1836+X1845))^$F1854</f>
        <v/>
      </c>
      <c r="Z1854" s="44">
        <f>Y1854*$G1854*(1+Z$7)^$D1854*(Z1836/Y1836)^$E1854*((Z1836+Z1845)/(Y1836+Y1845))^$F1854</f>
        <v/>
      </c>
      <c r="AA1854" s="44">
        <f>Z1854*$G1854*(1+AA$7)^$D1854*(AA1836/Z1836)^$E1854*((AA1836+AA1845)/(Z1836+Z1845))^$F1854</f>
        <v/>
      </c>
      <c r="AB1854" s="44">
        <f>AA1854*$G1854*(1+AB$7)^$D1854*(AB1836/AA1836)^$E1854*((AB1836+AB1845)/(AA1836+AA1845))^$F1854</f>
        <v/>
      </c>
      <c r="AC1854" s="44">
        <f>AB1854*$G1854*(1+AC$7)^$D1854*(AC1836/AB1836)^$E1854*((AC1836+AC1845)/(AB1836+AB1845))^$F1854</f>
        <v/>
      </c>
      <c r="AD1854" s="44">
        <f>AC1854*$G1854*(1+AD$7)^$D1854*(AD1836/AC1836)^$E1854*((AD1836+AD1845)/(AC1836+AC1845))^$F1854</f>
        <v/>
      </c>
      <c r="AE1854" s="57">
        <f>FUELUSE(AD1854,AE1836,AD1836,AE1845,AD1845,AE$7,$D1854,$E1854,$F1854,$G1854)</f>
        <v/>
      </c>
      <c r="AG1854" s="11">
        <f>CodePrefix&amp;$A1854&amp;IF($C1854="","","."&amp;$C1854&amp;"."&amp;$B1854)&amp;INDEX(VarEnd,MATCH($A1854,VarKey,0))&amp;AG$5</f>
        <v/>
      </c>
      <c r="AH1854" s="43">
        <f>INDEX(Inputs!$X$5:$X$132,MATCH($B1854&amp;"|"&amp;$C1854,Inputs!$A$5:$A$132,0))</f>
        <v/>
      </c>
      <c r="AI1854" s="44">
        <f>AH1854*$G1854*(1+AI$7)^$D1854*(AI1836/AH1836)^$E1854*((AI1836+AI1845)/(AH1836+AH1845))^$F1854</f>
        <v/>
      </c>
      <c r="AJ1854" s="44">
        <f>AI1854*$G1854*(1+AJ$7)^$D1854*(AJ1836/AI1836)^$E1854*((AJ1836+AJ1845)/(AI1836+AI1845))^$F1854</f>
        <v/>
      </c>
      <c r="AK1854" s="44">
        <f>AJ1854*$G1854*(1+AK$7)^$D1854*(AK1836/AJ1836)^$E1854*((AK1836+AK1845)/(AJ1836+AJ1845))^$F1854</f>
        <v/>
      </c>
      <c r="AL1854" s="44">
        <f>AK1854*$G1854*(1+AL$7)^$D1854*(AL1836/AK1836)^$E1854*((AL1836+AL1845)/(AK1836+AK1845))^$F1854</f>
        <v/>
      </c>
      <c r="AM1854" s="44">
        <f>AL1854*$G1854*(1+AM$7)^$D1854*(AM1836/AL1836)^$E1854*((AM1836+AM1845)/(AL1836+AL1845))^$F1854</f>
        <v/>
      </c>
      <c r="AN1854" s="44">
        <f>AM1854*$G1854*(1+AN$7)^$D1854*(AN1836/AM1836)^$E1854*((AN1836+AN1845)/(AM1836+AM1845))^$F1854</f>
        <v/>
      </c>
      <c r="AO1854" s="44">
        <f>AN1854*$G1854*(1+AO$7)^$D1854*(AO1836/AN1836)^$E1854*((AO1836+AO1845)/(AN1836+AN1845))^$F1854</f>
        <v/>
      </c>
      <c r="AP1854" s="44">
        <f>AO1854*$G1854*(1+AP$7)^$D1854*(AP1836/AO1836)^$E1854*((AP1836+AP1845)/(AO1836+AO1845))^$F1854</f>
        <v/>
      </c>
      <c r="AQ1854" s="44">
        <f>AP1854*$G1854*(1+AQ$7)^$D1854*(AQ1836/AP1836)^$E1854*((AQ1836+AQ1845)/(AP1836+AP1845))^$F1854</f>
        <v/>
      </c>
      <c r="AR1854" s="44">
        <f>AQ1854*$G1854*(1+AR$7)^$D1854*(AR1836/AQ1836)^$E1854*((AR1836+AR1845)/(AQ1836+AQ1845))^$F1854</f>
        <v/>
      </c>
      <c r="AS1854" s="44">
        <f>AR1854*$G1854*(1+AS$7)^$D1854*(AS1836/AR1836)^$E1854*((AS1836+AS1845)/(AR1836+AR1845))^$F1854</f>
        <v/>
      </c>
      <c r="AT1854" s="44">
        <f>AS1854*$G1854*(1+AT$7)^$D1854*(AT1836/AS1836)^$E1854*((AT1836+AT1845)/(AS1836+AS1845))^$F1854</f>
        <v/>
      </c>
      <c r="AU1854" s="44">
        <f>AT1854*$G1854*(1+AU$7)^$D1854*(AU1836/AT1836)^$E1854*((AU1836+AU1845)/(AT1836+AT1845))^$F1854</f>
        <v/>
      </c>
      <c r="AV1854" s="44">
        <f>AU1854*$G1854*(1+AV$7)^$D1854*(AV1836/AU1836)^$E1854*((AV1836+AV1845)/(AU1836+AU1845))^$F1854</f>
        <v/>
      </c>
      <c r="AW1854" s="44">
        <f>AV1854*$G1854*(1+AW$7)^$D1854*(AW1836/AV1836)^$E1854*((AW1836+AW1845)/(AV1836+AV1845))^$F1854</f>
        <v/>
      </c>
      <c r="AX1854" s="44">
        <f>AW1854*$G1854*(1+AX$7)^$D1854*(AX1836/AW1836)^$E1854*((AX1836+AX1845)/(AW1836+AW1845))^$F1854</f>
        <v/>
      </c>
      <c r="AY1854" s="44">
        <f>AX1854*$G1854*(1+AY$7)^$D1854*(AY1836/AX1836)^$E1854*((AY1836+AY1845)/(AX1836+AX1845))^$F1854</f>
        <v/>
      </c>
      <c r="AZ1854" s="44">
        <f>AY1854*$G1854*(1+AZ$7)^$D1854*(AZ1836/AY1836)^$E1854*((AZ1836+AZ1845)/(AY1836+AY1845))^$F1854</f>
        <v/>
      </c>
      <c r="BA1854" s="57">
        <f>FUELUSE(AZ1854,BA1836,AZ1836,BA1845,AZ1845,BA$7,$D1854,$E1854,$F1854,$G1854)</f>
        <v/>
      </c>
    </row>
    <row r="1855" hidden="1" outlineLevel="2">
      <c r="A1855" s="14" t="inlineStr">
        <is>
          <t>ener</t>
        </is>
      </c>
      <c r="B1855" s="14" t="inlineStr">
        <is>
          <t>ker</t>
        </is>
      </c>
      <c r="C1855" s="14" t="inlineStr">
        <is>
          <t>srv</t>
        </is>
      </c>
      <c r="D1855" s="35">
        <f>INDEX(Inputs!$O$5:$O$132,MATCH($B1855&amp;"|"&amp;$C1855,Inputs!$A$5:$A$132,0))</f>
        <v/>
      </c>
      <c r="E1855" s="35">
        <f>INDEX(Inputs!$P$5:$P$132,MATCH($B1855&amp;"|"&amp;$C1855,Inputs!$A$5:$A$132,0))</f>
        <v/>
      </c>
      <c r="F1855" s="35">
        <f>INDEX(Inputs!$T$5:$T$132,MATCH($B1855&amp;"|"&amp;$C1855,Inputs!$A$5:$A$132,0))</f>
        <v/>
      </c>
      <c r="G1855" s="35">
        <f>INDEX(Inputs!$S$5:$S$132,MATCH($B1855&amp;"|"&amp;$C1855,Inputs!$A$5:$A$132,0))</f>
        <v/>
      </c>
      <c r="H1855" s="14">
        <f>INDEX(VarLab,MATCH($A1855,VarKey,0))&amp;INDEX(MemLab,MATCH($C1855&amp;"|"&amp;$B1855,MemKey,0))</f>
        <v/>
      </c>
      <c r="I1855" s="14">
        <f>INDEX(VarUnit,MATCH($A1855,VarKey,0))</f>
        <v/>
      </c>
      <c r="J1855" s="14">
        <f>INDEX(VarSrc,MATCH($A1855,VarKey,0))</f>
        <v/>
      </c>
      <c r="K1855" s="11">
        <f>CodePrefix&amp;$A1855&amp;IF($C1855="","","."&amp;$C1855&amp;"."&amp;$B1855)&amp;INDEX(VarEnd,MATCH($A1855,VarKey,0))&amp;K$5</f>
        <v/>
      </c>
      <c r="L1855" s="43">
        <f>INDEX(Inputs!$X$5:$X$132,MATCH($B1855&amp;"|"&amp;$C1855,Inputs!$A$5:$A$132,0))</f>
        <v/>
      </c>
      <c r="M1855" s="44">
        <f>L1855*$G1855*(1+M$7)^$D1855*(M1837/L1837)^$E1855*((M1837+M1846)/(L1837+L1846))^$F1855</f>
        <v/>
      </c>
      <c r="N1855" s="44">
        <f>M1855*$G1855*(1+N$7)^$D1855*(N1837/M1837)^$E1855*((N1837+N1846)/(M1837+M1846))^$F1855</f>
        <v/>
      </c>
      <c r="O1855" s="44">
        <f>N1855*$G1855*(1+O$7)^$D1855*(O1837/N1837)^$E1855*((O1837+O1846)/(N1837+N1846))^$F1855</f>
        <v/>
      </c>
      <c r="P1855" s="44">
        <f>O1855*$G1855*(1+P$7)^$D1855*(P1837/O1837)^$E1855*((P1837+P1846)/(O1837+O1846))^$F1855</f>
        <v/>
      </c>
      <c r="Q1855" s="44">
        <f>P1855*$G1855*(1+Q$7)^$D1855*(Q1837/P1837)^$E1855*((Q1837+Q1846)/(P1837+P1846))^$F1855</f>
        <v/>
      </c>
      <c r="R1855" s="44">
        <f>Q1855*$G1855*(1+R$7)^$D1855*(R1837/Q1837)^$E1855*((R1837+R1846)/(Q1837+Q1846))^$F1855</f>
        <v/>
      </c>
      <c r="S1855" s="44">
        <f>R1855*$G1855*(1+S$7)^$D1855*(S1837/R1837)^$E1855*((S1837+S1846)/(R1837+R1846))^$F1855</f>
        <v/>
      </c>
      <c r="T1855" s="44">
        <f>S1855*$G1855*(1+T$7)^$D1855*(T1837/S1837)^$E1855*((T1837+T1846)/(S1837+S1846))^$F1855</f>
        <v/>
      </c>
      <c r="U1855" s="44">
        <f>T1855*$G1855*(1+U$7)^$D1855*(U1837/T1837)^$E1855*((U1837+U1846)/(T1837+T1846))^$F1855</f>
        <v/>
      </c>
      <c r="V1855" s="44">
        <f>U1855*$G1855*(1+V$7)^$D1855*(V1837/U1837)^$E1855*((V1837+V1846)/(U1837+U1846))^$F1855</f>
        <v/>
      </c>
      <c r="W1855" s="44">
        <f>V1855*$G1855*(1+W$7)^$D1855*(W1837/V1837)^$E1855*((W1837+W1846)/(V1837+V1846))^$F1855</f>
        <v/>
      </c>
      <c r="X1855" s="44">
        <f>W1855*$G1855*(1+X$7)^$D1855*(X1837/W1837)^$E1855*((X1837+X1846)/(W1837+W1846))^$F1855</f>
        <v/>
      </c>
      <c r="Y1855" s="44">
        <f>X1855*$G1855*(1+Y$7)^$D1855*(Y1837/X1837)^$E1855*((Y1837+Y1846)/(X1837+X1846))^$F1855</f>
        <v/>
      </c>
      <c r="Z1855" s="44">
        <f>Y1855*$G1855*(1+Z$7)^$D1855*(Z1837/Y1837)^$E1855*((Z1837+Z1846)/(Y1837+Y1846))^$F1855</f>
        <v/>
      </c>
      <c r="AA1855" s="44">
        <f>Z1855*$G1855*(1+AA$7)^$D1855*(AA1837/Z1837)^$E1855*((AA1837+AA1846)/(Z1837+Z1846))^$F1855</f>
        <v/>
      </c>
      <c r="AB1855" s="44">
        <f>AA1855*$G1855*(1+AB$7)^$D1855*(AB1837/AA1837)^$E1855*((AB1837+AB1846)/(AA1837+AA1846))^$F1855</f>
        <v/>
      </c>
      <c r="AC1855" s="44">
        <f>AB1855*$G1855*(1+AC$7)^$D1855*(AC1837/AB1837)^$E1855*((AC1837+AC1846)/(AB1837+AB1846))^$F1855</f>
        <v/>
      </c>
      <c r="AD1855" s="44">
        <f>AC1855*$G1855*(1+AD$7)^$D1855*(AD1837/AC1837)^$E1855*((AD1837+AD1846)/(AC1837+AC1846))^$F1855</f>
        <v/>
      </c>
      <c r="AE1855" s="57">
        <f>FUELUSE(AD1855,AE1837,AD1837,AE1846,AD1846,AE$7,$D1855,$E1855,$F1855,$G1855)</f>
        <v/>
      </c>
      <c r="AG1855" s="11">
        <f>CodePrefix&amp;$A1855&amp;IF($C1855="","","."&amp;$C1855&amp;"."&amp;$B1855)&amp;INDEX(VarEnd,MATCH($A1855,VarKey,0))&amp;AG$5</f>
        <v/>
      </c>
      <c r="AH1855" s="43">
        <f>INDEX(Inputs!$X$5:$X$132,MATCH($B1855&amp;"|"&amp;$C1855,Inputs!$A$5:$A$132,0))</f>
        <v/>
      </c>
      <c r="AI1855" s="44">
        <f>AH1855*$G1855*(1+AI$7)^$D1855*(AI1837/AH1837)^$E1855*((AI1837+AI1846)/(AH1837+AH1846))^$F1855</f>
        <v/>
      </c>
      <c r="AJ1855" s="44">
        <f>AI1855*$G1855*(1+AJ$7)^$D1855*(AJ1837/AI1837)^$E1855*((AJ1837+AJ1846)/(AI1837+AI1846))^$F1855</f>
        <v/>
      </c>
      <c r="AK1855" s="44">
        <f>AJ1855*$G1855*(1+AK$7)^$D1855*(AK1837/AJ1837)^$E1855*((AK1837+AK1846)/(AJ1837+AJ1846))^$F1855</f>
        <v/>
      </c>
      <c r="AL1855" s="44">
        <f>AK1855*$G1855*(1+AL$7)^$D1855*(AL1837/AK1837)^$E1855*((AL1837+AL1846)/(AK1837+AK1846))^$F1855</f>
        <v/>
      </c>
      <c r="AM1855" s="44">
        <f>AL1855*$G1855*(1+AM$7)^$D1855*(AM1837/AL1837)^$E1855*((AM1837+AM1846)/(AL1837+AL1846))^$F1855</f>
        <v/>
      </c>
      <c r="AN1855" s="44">
        <f>AM1855*$G1855*(1+AN$7)^$D1855*(AN1837/AM1837)^$E1855*((AN1837+AN1846)/(AM1837+AM1846))^$F1855</f>
        <v/>
      </c>
      <c r="AO1855" s="44">
        <f>AN1855*$G1855*(1+AO$7)^$D1855*(AO1837/AN1837)^$E1855*((AO1837+AO1846)/(AN1837+AN1846))^$F1855</f>
        <v/>
      </c>
      <c r="AP1855" s="44">
        <f>AO1855*$G1855*(1+AP$7)^$D1855*(AP1837/AO1837)^$E1855*((AP1837+AP1846)/(AO1837+AO1846))^$F1855</f>
        <v/>
      </c>
      <c r="AQ1855" s="44">
        <f>AP1855*$G1855*(1+AQ$7)^$D1855*(AQ1837/AP1837)^$E1855*((AQ1837+AQ1846)/(AP1837+AP1846))^$F1855</f>
        <v/>
      </c>
      <c r="AR1855" s="44">
        <f>AQ1855*$G1855*(1+AR$7)^$D1855*(AR1837/AQ1837)^$E1855*((AR1837+AR1846)/(AQ1837+AQ1846))^$F1855</f>
        <v/>
      </c>
      <c r="AS1855" s="44">
        <f>AR1855*$G1855*(1+AS$7)^$D1855*(AS1837/AR1837)^$E1855*((AS1837+AS1846)/(AR1837+AR1846))^$F1855</f>
        <v/>
      </c>
      <c r="AT1855" s="44">
        <f>AS1855*$G1855*(1+AT$7)^$D1855*(AT1837/AS1837)^$E1855*((AT1837+AT1846)/(AS1837+AS1846))^$F1855</f>
        <v/>
      </c>
      <c r="AU1855" s="44">
        <f>AT1855*$G1855*(1+AU$7)^$D1855*(AU1837/AT1837)^$E1855*((AU1837+AU1846)/(AT1837+AT1846))^$F1855</f>
        <v/>
      </c>
      <c r="AV1855" s="44">
        <f>AU1855*$G1855*(1+AV$7)^$D1855*(AV1837/AU1837)^$E1855*((AV1837+AV1846)/(AU1837+AU1846))^$F1855</f>
        <v/>
      </c>
      <c r="AW1855" s="44">
        <f>AV1855*$G1855*(1+AW$7)^$D1855*(AW1837/AV1837)^$E1855*((AW1837+AW1846)/(AV1837+AV1846))^$F1855</f>
        <v/>
      </c>
      <c r="AX1855" s="44">
        <f>AW1855*$G1855*(1+AX$7)^$D1855*(AX1837/AW1837)^$E1855*((AX1837+AX1846)/(AW1837+AW1846))^$F1855</f>
        <v/>
      </c>
      <c r="AY1855" s="44">
        <f>AX1855*$G1855*(1+AY$7)^$D1855*(AY1837/AX1837)^$E1855*((AY1837+AY1846)/(AX1837+AX1846))^$F1855</f>
        <v/>
      </c>
      <c r="AZ1855" s="44">
        <f>AY1855*$G1855*(1+AZ$7)^$D1855*(AZ1837/AY1837)^$E1855*((AZ1837+AZ1846)/(AY1837+AY1846))^$F1855</f>
        <v/>
      </c>
      <c r="BA1855" s="57">
        <f>FUELUSE(AZ1855,BA1837,AZ1837,BA1846,AZ1846,BA$7,$D1855,$E1855,$F1855,$G1855)</f>
        <v/>
      </c>
    </row>
    <row r="1856" hidden="1" outlineLevel="2">
      <c r="A1856" s="14" t="inlineStr">
        <is>
          <t>ener</t>
        </is>
      </c>
      <c r="B1856" s="14" t="inlineStr">
        <is>
          <t>oop</t>
        </is>
      </c>
      <c r="C1856" s="14" t="inlineStr">
        <is>
          <t>srv</t>
        </is>
      </c>
      <c r="D1856" s="35">
        <f>INDEX(Inputs!$O$5:$O$132,MATCH($B1856&amp;"|"&amp;$C1856,Inputs!$A$5:$A$132,0))</f>
        <v/>
      </c>
      <c r="E1856" s="35">
        <f>INDEX(Inputs!$P$5:$P$132,MATCH($B1856&amp;"|"&amp;$C1856,Inputs!$A$5:$A$132,0))</f>
        <v/>
      </c>
      <c r="F1856" s="35">
        <f>INDEX(Inputs!$T$5:$T$132,MATCH($B1856&amp;"|"&amp;$C1856,Inputs!$A$5:$A$132,0))</f>
        <v/>
      </c>
      <c r="G1856" s="35">
        <f>INDEX(Inputs!$S$5:$S$132,MATCH($B1856&amp;"|"&amp;$C1856,Inputs!$A$5:$A$132,0))</f>
        <v/>
      </c>
      <c r="H1856" s="14">
        <f>INDEX(VarLab,MATCH($A1856,VarKey,0))&amp;INDEX(MemLab,MATCH($C1856&amp;"|"&amp;$B1856,MemKey,0))</f>
        <v/>
      </c>
      <c r="I1856" s="14">
        <f>INDEX(VarUnit,MATCH($A1856,VarKey,0))</f>
        <v/>
      </c>
      <c r="J1856" s="14">
        <f>INDEX(VarSrc,MATCH($A1856,VarKey,0))</f>
        <v/>
      </c>
      <c r="K1856" s="11">
        <f>CodePrefix&amp;$A1856&amp;IF($C1856="","","."&amp;$C1856&amp;"."&amp;$B1856)&amp;INDEX(VarEnd,MATCH($A1856,VarKey,0))&amp;K$5</f>
        <v/>
      </c>
      <c r="L1856" s="43">
        <f>INDEX(Inputs!$X$5:$X$132,MATCH($B1856&amp;"|"&amp;$C1856,Inputs!$A$5:$A$132,0))</f>
        <v/>
      </c>
      <c r="M1856" s="44">
        <f>L1856*$G1856*(1+M$7)^$D1856*(M1838/L1838)^$E1856*((M1838+M1847)/(L1838+L1847))^$F1856</f>
        <v/>
      </c>
      <c r="N1856" s="44">
        <f>M1856*$G1856*(1+N$7)^$D1856*(N1838/M1838)^$E1856*((N1838+N1847)/(M1838+M1847))^$F1856</f>
        <v/>
      </c>
      <c r="O1856" s="44">
        <f>N1856*$G1856*(1+O$7)^$D1856*(O1838/N1838)^$E1856*((O1838+O1847)/(N1838+N1847))^$F1856</f>
        <v/>
      </c>
      <c r="P1856" s="44">
        <f>O1856*$G1856*(1+P$7)^$D1856*(P1838/O1838)^$E1856*((P1838+P1847)/(O1838+O1847))^$F1856</f>
        <v/>
      </c>
      <c r="Q1856" s="44">
        <f>P1856*$G1856*(1+Q$7)^$D1856*(Q1838/P1838)^$E1856*((Q1838+Q1847)/(P1838+P1847))^$F1856</f>
        <v/>
      </c>
      <c r="R1856" s="44">
        <f>Q1856*$G1856*(1+R$7)^$D1856*(R1838/Q1838)^$E1856*((R1838+R1847)/(Q1838+Q1847))^$F1856</f>
        <v/>
      </c>
      <c r="S1856" s="44">
        <f>R1856*$G1856*(1+S$7)^$D1856*(S1838/R1838)^$E1856*((S1838+S1847)/(R1838+R1847))^$F1856</f>
        <v/>
      </c>
      <c r="T1856" s="44">
        <f>S1856*$G1856*(1+T$7)^$D1856*(T1838/S1838)^$E1856*((T1838+T1847)/(S1838+S1847))^$F1856</f>
        <v/>
      </c>
      <c r="U1856" s="44">
        <f>T1856*$G1856*(1+U$7)^$D1856*(U1838/T1838)^$E1856*((U1838+U1847)/(T1838+T1847))^$F1856</f>
        <v/>
      </c>
      <c r="V1856" s="44">
        <f>U1856*$G1856*(1+V$7)^$D1856*(V1838/U1838)^$E1856*((V1838+V1847)/(U1838+U1847))^$F1856</f>
        <v/>
      </c>
      <c r="W1856" s="44">
        <f>V1856*$G1856*(1+W$7)^$D1856*(W1838/V1838)^$E1856*((W1838+W1847)/(V1838+V1847))^$F1856</f>
        <v/>
      </c>
      <c r="X1856" s="44">
        <f>W1856*$G1856*(1+X$7)^$D1856*(X1838/W1838)^$E1856*((X1838+X1847)/(W1838+W1847))^$F1856</f>
        <v/>
      </c>
      <c r="Y1856" s="44">
        <f>X1856*$G1856*(1+Y$7)^$D1856*(Y1838/X1838)^$E1856*((Y1838+Y1847)/(X1838+X1847))^$F1856</f>
        <v/>
      </c>
      <c r="Z1856" s="44">
        <f>Y1856*$G1856*(1+Z$7)^$D1856*(Z1838/Y1838)^$E1856*((Z1838+Z1847)/(Y1838+Y1847))^$F1856</f>
        <v/>
      </c>
      <c r="AA1856" s="44">
        <f>Z1856*$G1856*(1+AA$7)^$D1856*(AA1838/Z1838)^$E1856*((AA1838+AA1847)/(Z1838+Z1847))^$F1856</f>
        <v/>
      </c>
      <c r="AB1856" s="44">
        <f>AA1856*$G1856*(1+AB$7)^$D1856*(AB1838/AA1838)^$E1856*((AB1838+AB1847)/(AA1838+AA1847))^$F1856</f>
        <v/>
      </c>
      <c r="AC1856" s="44">
        <f>AB1856*$G1856*(1+AC$7)^$D1856*(AC1838/AB1838)^$E1856*((AC1838+AC1847)/(AB1838+AB1847))^$F1856</f>
        <v/>
      </c>
      <c r="AD1856" s="44">
        <f>AC1856*$G1856*(1+AD$7)^$D1856*(AD1838/AC1838)^$E1856*((AD1838+AD1847)/(AC1838+AC1847))^$F1856</f>
        <v/>
      </c>
      <c r="AE1856" s="57">
        <f>FUELUSE(AD1856,AE1838,AD1838,AE1847,AD1847,AE$7,$D1856,$E1856,$F1856,$G1856)</f>
        <v/>
      </c>
      <c r="AG1856" s="11">
        <f>CodePrefix&amp;$A1856&amp;IF($C1856="","","."&amp;$C1856&amp;"."&amp;$B1856)&amp;INDEX(VarEnd,MATCH($A1856,VarKey,0))&amp;AG$5</f>
        <v/>
      </c>
      <c r="AH1856" s="43">
        <f>INDEX(Inputs!$X$5:$X$132,MATCH($B1856&amp;"|"&amp;$C1856,Inputs!$A$5:$A$132,0))</f>
        <v/>
      </c>
      <c r="AI1856" s="44">
        <f>AH1856*$G1856*(1+AI$7)^$D1856*(AI1838/AH1838)^$E1856*((AI1838+AI1847)/(AH1838+AH1847))^$F1856</f>
        <v/>
      </c>
      <c r="AJ1856" s="44">
        <f>AI1856*$G1856*(1+AJ$7)^$D1856*(AJ1838/AI1838)^$E1856*((AJ1838+AJ1847)/(AI1838+AI1847))^$F1856</f>
        <v/>
      </c>
      <c r="AK1856" s="44">
        <f>AJ1856*$G1856*(1+AK$7)^$D1856*(AK1838/AJ1838)^$E1856*((AK1838+AK1847)/(AJ1838+AJ1847))^$F1856</f>
        <v/>
      </c>
      <c r="AL1856" s="44">
        <f>AK1856*$G1856*(1+AL$7)^$D1856*(AL1838/AK1838)^$E1856*((AL1838+AL1847)/(AK1838+AK1847))^$F1856</f>
        <v/>
      </c>
      <c r="AM1856" s="44">
        <f>AL1856*$G1856*(1+AM$7)^$D1856*(AM1838/AL1838)^$E1856*((AM1838+AM1847)/(AL1838+AL1847))^$F1856</f>
        <v/>
      </c>
      <c r="AN1856" s="44">
        <f>AM1856*$G1856*(1+AN$7)^$D1856*(AN1838/AM1838)^$E1856*((AN1838+AN1847)/(AM1838+AM1847))^$F1856</f>
        <v/>
      </c>
      <c r="AO1856" s="44">
        <f>AN1856*$G1856*(1+AO$7)^$D1856*(AO1838/AN1838)^$E1856*((AO1838+AO1847)/(AN1838+AN1847))^$F1856</f>
        <v/>
      </c>
      <c r="AP1856" s="44">
        <f>AO1856*$G1856*(1+AP$7)^$D1856*(AP1838/AO1838)^$E1856*((AP1838+AP1847)/(AO1838+AO1847))^$F1856</f>
        <v/>
      </c>
      <c r="AQ1856" s="44">
        <f>AP1856*$G1856*(1+AQ$7)^$D1856*(AQ1838/AP1838)^$E1856*((AQ1838+AQ1847)/(AP1838+AP1847))^$F1856</f>
        <v/>
      </c>
      <c r="AR1856" s="44">
        <f>AQ1856*$G1856*(1+AR$7)^$D1856*(AR1838/AQ1838)^$E1856*((AR1838+AR1847)/(AQ1838+AQ1847))^$F1856</f>
        <v/>
      </c>
      <c r="AS1856" s="44">
        <f>AR1856*$G1856*(1+AS$7)^$D1856*(AS1838/AR1838)^$E1856*((AS1838+AS1847)/(AR1838+AR1847))^$F1856</f>
        <v/>
      </c>
      <c r="AT1856" s="44">
        <f>AS1856*$G1856*(1+AT$7)^$D1856*(AT1838/AS1838)^$E1856*((AT1838+AT1847)/(AS1838+AS1847))^$F1856</f>
        <v/>
      </c>
      <c r="AU1856" s="44">
        <f>AT1856*$G1856*(1+AU$7)^$D1856*(AU1838/AT1838)^$E1856*((AU1838+AU1847)/(AT1838+AT1847))^$F1856</f>
        <v/>
      </c>
      <c r="AV1856" s="44">
        <f>AU1856*$G1856*(1+AV$7)^$D1856*(AV1838/AU1838)^$E1856*((AV1838+AV1847)/(AU1838+AU1847))^$F1856</f>
        <v/>
      </c>
      <c r="AW1856" s="44">
        <f>AV1856*$G1856*(1+AW$7)^$D1856*(AW1838/AV1838)^$E1856*((AW1838+AW1847)/(AV1838+AV1847))^$F1856</f>
        <v/>
      </c>
      <c r="AX1856" s="44">
        <f>AW1856*$G1856*(1+AX$7)^$D1856*(AX1838/AW1838)^$E1856*((AX1838+AX1847)/(AW1838+AW1847))^$F1856</f>
        <v/>
      </c>
      <c r="AY1856" s="44">
        <f>AX1856*$G1856*(1+AY$7)^$D1856*(AY1838/AX1838)^$E1856*((AY1838+AY1847)/(AX1838+AX1847))^$F1856</f>
        <v/>
      </c>
      <c r="AZ1856" s="44">
        <f>AY1856*$G1856*(1+AZ$7)^$D1856*(AZ1838/AY1838)^$E1856*((AZ1838+AZ1847)/(AY1838+AY1847))^$F1856</f>
        <v/>
      </c>
      <c r="BA1856" s="57">
        <f>FUELUSE(AZ1856,BA1838,AZ1838,BA1847,AZ1847,BA$7,$D1856,$E1856,$F1856,$G1856)</f>
        <v/>
      </c>
    </row>
    <row r="1857" hidden="1" outlineLevel="2">
      <c r="A1857" s="14" t="inlineStr">
        <is>
          <t>ener</t>
        </is>
      </c>
      <c r="B1857" s="14" t="inlineStr">
        <is>
          <t>bio</t>
        </is>
      </c>
      <c r="C1857" s="14" t="inlineStr">
        <is>
          <t>srv</t>
        </is>
      </c>
      <c r="D1857" s="35">
        <f>INDEX(Inputs!$O$5:$O$132,MATCH($B1857&amp;"|"&amp;$C1857,Inputs!$A$5:$A$132,0))</f>
        <v/>
      </c>
      <c r="E1857" s="35">
        <f>INDEX(Inputs!$P$5:$P$132,MATCH($B1857&amp;"|"&amp;$C1857,Inputs!$A$5:$A$132,0))</f>
        <v/>
      </c>
      <c r="F1857" s="35">
        <f>INDEX(Inputs!$T$5:$T$132,MATCH($B1857&amp;"|"&amp;$C1857,Inputs!$A$5:$A$132,0))</f>
        <v/>
      </c>
      <c r="G1857" s="35">
        <f>INDEX(Inputs!$S$5:$S$132,MATCH($B1857&amp;"|"&amp;$C1857,Inputs!$A$5:$A$132,0))</f>
        <v/>
      </c>
      <c r="H1857" s="14">
        <f>INDEX(VarLab,MATCH($A1857,VarKey,0))&amp;INDEX(MemLab,MATCH($C1857&amp;"|"&amp;$B1857,MemKey,0))</f>
        <v/>
      </c>
      <c r="I1857" s="14">
        <f>INDEX(VarUnit,MATCH($A1857,VarKey,0))</f>
        <v/>
      </c>
      <c r="J1857" s="14">
        <f>INDEX(VarSrc,MATCH($A1857,VarKey,0))</f>
        <v/>
      </c>
      <c r="K1857" s="11">
        <f>CodePrefix&amp;$A1857&amp;IF($C1857="","","."&amp;$C1857&amp;"."&amp;$B1857)&amp;INDEX(VarEnd,MATCH($A1857,VarKey,0))&amp;K$5</f>
        <v/>
      </c>
      <c r="L1857" s="43">
        <f>INDEX(Inputs!$X$5:$X$132,MATCH($B1857&amp;"|"&amp;$C1857,Inputs!$A$5:$A$132,0))</f>
        <v/>
      </c>
      <c r="M1857" s="44">
        <f>L1857*$G1857*(1+M$7)^$D1857*(M1839/L1839)^$E1857*((M1839+M1848)/(L1839+L1848))^$F1857</f>
        <v/>
      </c>
      <c r="N1857" s="44">
        <f>M1857*$G1857*(1+N$7)^$D1857*(N1839/M1839)^$E1857*((N1839+N1848)/(M1839+M1848))^$F1857</f>
        <v/>
      </c>
      <c r="O1857" s="44">
        <f>N1857*$G1857*(1+O$7)^$D1857*(O1839/N1839)^$E1857*((O1839+O1848)/(N1839+N1848))^$F1857</f>
        <v/>
      </c>
      <c r="P1857" s="44">
        <f>O1857*$G1857*(1+P$7)^$D1857*(P1839/O1839)^$E1857*((P1839+P1848)/(O1839+O1848))^$F1857</f>
        <v/>
      </c>
      <c r="Q1857" s="44">
        <f>P1857*$G1857*(1+Q$7)^$D1857*(Q1839/P1839)^$E1857*((Q1839+Q1848)/(P1839+P1848))^$F1857</f>
        <v/>
      </c>
      <c r="R1857" s="44">
        <f>Q1857*$G1857*(1+R$7)^$D1857*(R1839/Q1839)^$E1857*((R1839+R1848)/(Q1839+Q1848))^$F1857</f>
        <v/>
      </c>
      <c r="S1857" s="44">
        <f>R1857*$G1857*(1+S$7)^$D1857*(S1839/R1839)^$E1857*((S1839+S1848)/(R1839+R1848))^$F1857</f>
        <v/>
      </c>
      <c r="T1857" s="44">
        <f>S1857*$G1857*(1+T$7)^$D1857*(T1839/S1839)^$E1857*((T1839+T1848)/(S1839+S1848))^$F1857</f>
        <v/>
      </c>
      <c r="U1857" s="44">
        <f>T1857*$G1857*(1+U$7)^$D1857*(U1839/T1839)^$E1857*((U1839+U1848)/(T1839+T1848))^$F1857</f>
        <v/>
      </c>
      <c r="V1857" s="44">
        <f>U1857*$G1857*(1+V$7)^$D1857*(V1839/U1839)^$E1857*((V1839+V1848)/(U1839+U1848))^$F1857</f>
        <v/>
      </c>
      <c r="W1857" s="44">
        <f>V1857*$G1857*(1+W$7)^$D1857*(W1839/V1839)^$E1857*((W1839+W1848)/(V1839+V1848))^$F1857</f>
        <v/>
      </c>
      <c r="X1857" s="44">
        <f>W1857*$G1857*(1+X$7)^$D1857*(X1839/W1839)^$E1857*((X1839+X1848)/(W1839+W1848))^$F1857</f>
        <v/>
      </c>
      <c r="Y1857" s="44">
        <f>X1857*$G1857*(1+Y$7)^$D1857*(Y1839/X1839)^$E1857*((Y1839+Y1848)/(X1839+X1848))^$F1857</f>
        <v/>
      </c>
      <c r="Z1857" s="44">
        <f>Y1857*$G1857*(1+Z$7)^$D1857*(Z1839/Y1839)^$E1857*((Z1839+Z1848)/(Y1839+Y1848))^$F1857</f>
        <v/>
      </c>
      <c r="AA1857" s="44">
        <f>Z1857*$G1857*(1+AA$7)^$D1857*(AA1839/Z1839)^$E1857*((AA1839+AA1848)/(Z1839+Z1848))^$F1857</f>
        <v/>
      </c>
      <c r="AB1857" s="44">
        <f>AA1857*$G1857*(1+AB$7)^$D1857*(AB1839/AA1839)^$E1857*((AB1839+AB1848)/(AA1839+AA1848))^$F1857</f>
        <v/>
      </c>
      <c r="AC1857" s="44">
        <f>AB1857*$G1857*(1+AC$7)^$D1857*(AC1839/AB1839)^$E1857*((AC1839+AC1848)/(AB1839+AB1848))^$F1857</f>
        <v/>
      </c>
      <c r="AD1857" s="44">
        <f>AC1857*$G1857*(1+AD$7)^$D1857*(AD1839/AC1839)^$E1857*((AD1839+AD1848)/(AC1839+AC1848))^$F1857</f>
        <v/>
      </c>
      <c r="AE1857" s="57">
        <f>FUELUSE(AD1857,AE1839,AD1839,AE1848,AD1848,AE$7,$D1857,$E1857,$F1857,$G1857)</f>
        <v/>
      </c>
      <c r="AG1857" s="11">
        <f>CodePrefix&amp;$A1857&amp;IF($C1857="","","."&amp;$C1857&amp;"."&amp;$B1857)&amp;INDEX(VarEnd,MATCH($A1857,VarKey,0))&amp;AG$5</f>
        <v/>
      </c>
      <c r="AH1857" s="43">
        <f>INDEX(Inputs!$X$5:$X$132,MATCH($B1857&amp;"|"&amp;$C1857,Inputs!$A$5:$A$132,0))</f>
        <v/>
      </c>
      <c r="AI1857" s="44">
        <f>AH1857*$G1857*(1+AI$7)^$D1857*(AI1839/AH1839)^$E1857*((AI1839+AI1848)/(AH1839+AH1848))^$F1857</f>
        <v/>
      </c>
      <c r="AJ1857" s="44">
        <f>AI1857*$G1857*(1+AJ$7)^$D1857*(AJ1839/AI1839)^$E1857*((AJ1839+AJ1848)/(AI1839+AI1848))^$F1857</f>
        <v/>
      </c>
      <c r="AK1857" s="44">
        <f>AJ1857*$G1857*(1+AK$7)^$D1857*(AK1839/AJ1839)^$E1857*((AK1839+AK1848)/(AJ1839+AJ1848))^$F1857</f>
        <v/>
      </c>
      <c r="AL1857" s="44">
        <f>AK1857*$G1857*(1+AL$7)^$D1857*(AL1839/AK1839)^$E1857*((AL1839+AL1848)/(AK1839+AK1848))^$F1857</f>
        <v/>
      </c>
      <c r="AM1857" s="44">
        <f>AL1857*$G1857*(1+AM$7)^$D1857*(AM1839/AL1839)^$E1857*((AM1839+AM1848)/(AL1839+AL1848))^$F1857</f>
        <v/>
      </c>
      <c r="AN1857" s="44">
        <f>AM1857*$G1857*(1+AN$7)^$D1857*(AN1839/AM1839)^$E1857*((AN1839+AN1848)/(AM1839+AM1848))^$F1857</f>
        <v/>
      </c>
      <c r="AO1857" s="44">
        <f>AN1857*$G1857*(1+AO$7)^$D1857*(AO1839/AN1839)^$E1857*((AO1839+AO1848)/(AN1839+AN1848))^$F1857</f>
        <v/>
      </c>
      <c r="AP1857" s="44">
        <f>AO1857*$G1857*(1+AP$7)^$D1857*(AP1839/AO1839)^$E1857*((AP1839+AP1848)/(AO1839+AO1848))^$F1857</f>
        <v/>
      </c>
      <c r="AQ1857" s="44">
        <f>AP1857*$G1857*(1+AQ$7)^$D1857*(AQ1839/AP1839)^$E1857*((AQ1839+AQ1848)/(AP1839+AP1848))^$F1857</f>
        <v/>
      </c>
      <c r="AR1857" s="44">
        <f>AQ1857*$G1857*(1+AR$7)^$D1857*(AR1839/AQ1839)^$E1857*((AR1839+AR1848)/(AQ1839+AQ1848))^$F1857</f>
        <v/>
      </c>
      <c r="AS1857" s="44">
        <f>AR1857*$G1857*(1+AS$7)^$D1857*(AS1839/AR1839)^$E1857*((AS1839+AS1848)/(AR1839+AR1848))^$F1857</f>
        <v/>
      </c>
      <c r="AT1857" s="44">
        <f>AS1857*$G1857*(1+AT$7)^$D1857*(AT1839/AS1839)^$E1857*((AT1839+AT1848)/(AS1839+AS1848))^$F1857</f>
        <v/>
      </c>
      <c r="AU1857" s="44">
        <f>AT1857*$G1857*(1+AU$7)^$D1857*(AU1839/AT1839)^$E1857*((AU1839+AU1848)/(AT1839+AT1848))^$F1857</f>
        <v/>
      </c>
      <c r="AV1857" s="44">
        <f>AU1857*$G1857*(1+AV$7)^$D1857*(AV1839/AU1839)^$E1857*((AV1839+AV1848)/(AU1839+AU1848))^$F1857</f>
        <v/>
      </c>
      <c r="AW1857" s="44">
        <f>AV1857*$G1857*(1+AW$7)^$D1857*(AW1839/AV1839)^$E1857*((AW1839+AW1848)/(AV1839+AV1848))^$F1857</f>
        <v/>
      </c>
      <c r="AX1857" s="44">
        <f>AW1857*$G1857*(1+AX$7)^$D1857*(AX1839/AW1839)^$E1857*((AX1839+AX1848)/(AW1839+AW1848))^$F1857</f>
        <v/>
      </c>
      <c r="AY1857" s="44">
        <f>AX1857*$G1857*(1+AY$7)^$D1857*(AY1839/AX1839)^$E1857*((AY1839+AY1848)/(AX1839+AX1848))^$F1857</f>
        <v/>
      </c>
      <c r="AZ1857" s="44">
        <f>AY1857*$G1857*(1+AZ$7)^$D1857*(AZ1839/AY1839)^$E1857*((AZ1839+AZ1848)/(AY1839+AY1848))^$F1857</f>
        <v/>
      </c>
      <c r="BA1857" s="57">
        <f>FUELUSE(AZ1857,BA1839,AZ1839,BA1848,AZ1848,BA$7,$D1857,$E1857,$F1857,$G1857)</f>
        <v/>
      </c>
    </row>
    <row r="1858" hidden="1" outlineLevel="2"/>
    <row r="1859" hidden="1" outlineLevel="2">
      <c r="A1859" s="14" t="inlineStr">
        <is>
          <t>co2</t>
        </is>
      </c>
      <c r="B1859" s="14" t="inlineStr">
        <is>
          <t>coa</t>
        </is>
      </c>
      <c r="C1859" s="14" t="inlineStr">
        <is>
          <t>srv</t>
        </is>
      </c>
      <c r="D1859" s="35">
        <f>INDEX(Inputs!$W$5:$W$132,MATCH($B1859&amp;"|"&amp;$C1859,Inputs!$A$5:$A$132,0))</f>
        <v/>
      </c>
      <c r="E1859" s="39" t="n"/>
      <c r="F1859" s="39" t="n"/>
      <c r="G1859" s="39" t="n"/>
      <c r="H1859" s="14">
        <f>INDEX(VarLab,MATCH($A1859,VarKey,0))&amp;INDEX(MemLab,MATCH($C1859&amp;"|"&amp;$B1859,MemKey,0))</f>
        <v/>
      </c>
      <c r="I1859" s="14">
        <f>INDEX(VarUnit,MATCH($A1859,VarKey,0))</f>
        <v/>
      </c>
      <c r="J1859" s="14">
        <f>INDEX(VarSrc,MATCH($A1859,VarKey,0))</f>
        <v/>
      </c>
      <c r="K1859" s="11">
        <f>CodePrefix&amp;$A1859&amp;IF($C1859="","","."&amp;$C1859&amp;"."&amp;$B1859)&amp;INDEX(VarEnd,MATCH($A1859,VarKey,0))&amp;K$5</f>
        <v/>
      </c>
      <c r="L1859" s="15">
        <f>L1850*Settings!$C$13*$D1859</f>
        <v/>
      </c>
      <c r="M1859" s="16">
        <f>M1850*Settings!$C$13*$D1859</f>
        <v/>
      </c>
      <c r="N1859" s="16">
        <f>N1850*Settings!$C$13*$D1859</f>
        <v/>
      </c>
      <c r="O1859" s="16">
        <f>O1850*Settings!$C$13*$D1859</f>
        <v/>
      </c>
      <c r="P1859" s="16">
        <f>P1850*Settings!$C$13*$D1859</f>
        <v/>
      </c>
      <c r="Q1859" s="16">
        <f>Q1850*Settings!$C$13*$D1859</f>
        <v/>
      </c>
      <c r="R1859" s="16">
        <f>R1850*Settings!$C$13*$D1859</f>
        <v/>
      </c>
      <c r="S1859" s="16">
        <f>S1850*Settings!$C$13*$D1859</f>
        <v/>
      </c>
      <c r="T1859" s="16">
        <f>T1850*Settings!$C$13*$D1859</f>
        <v/>
      </c>
      <c r="U1859" s="16">
        <f>U1850*Settings!$C$13*$D1859</f>
        <v/>
      </c>
      <c r="V1859" s="16">
        <f>V1850*Settings!$C$13*$D1859</f>
        <v/>
      </c>
      <c r="W1859" s="16">
        <f>W1850*Settings!$C$13*$D1859</f>
        <v/>
      </c>
      <c r="X1859" s="16">
        <f>X1850*Settings!$C$13*$D1859</f>
        <v/>
      </c>
      <c r="Y1859" s="16">
        <f>Y1850*Settings!$C$13*$D1859</f>
        <v/>
      </c>
      <c r="Z1859" s="16">
        <f>Z1850*Settings!$C$13*$D1859</f>
        <v/>
      </c>
      <c r="AA1859" s="16">
        <f>AA1850*Settings!$C$13*$D1859</f>
        <v/>
      </c>
      <c r="AB1859" s="16">
        <f>AB1850*Settings!$C$13*$D1859</f>
        <v/>
      </c>
      <c r="AC1859" s="16">
        <f>AC1850*Settings!$C$13*$D1859</f>
        <v/>
      </c>
      <c r="AD1859" s="16">
        <f>AD1850*Settings!$C$13*$D1859</f>
        <v/>
      </c>
      <c r="AE1859" s="49">
        <f>EMISSIONS(AE1850,Settings!$C$13,$D1859)</f>
        <v/>
      </c>
      <c r="AG1859" s="11">
        <f>CodePrefix&amp;$A1859&amp;IF($C1859="","","."&amp;$C1859&amp;"."&amp;$B1859)&amp;INDEX(VarEnd,MATCH($A1859,VarKey,0))&amp;AG$5</f>
        <v/>
      </c>
      <c r="AH1859" s="15">
        <f>AH1850*Settings!$C$13*$D1859</f>
        <v/>
      </c>
      <c r="AI1859" s="16">
        <f>AI1850*Settings!$C$13*$D1859</f>
        <v/>
      </c>
      <c r="AJ1859" s="16">
        <f>AJ1850*Settings!$C$13*$D1859</f>
        <v/>
      </c>
      <c r="AK1859" s="16">
        <f>AK1850*Settings!$C$13*$D1859</f>
        <v/>
      </c>
      <c r="AL1859" s="16">
        <f>AL1850*Settings!$C$13*$D1859</f>
        <v/>
      </c>
      <c r="AM1859" s="16">
        <f>AM1850*Settings!$C$13*$D1859</f>
        <v/>
      </c>
      <c r="AN1859" s="16">
        <f>AN1850*Settings!$C$13*$D1859</f>
        <v/>
      </c>
      <c r="AO1859" s="16">
        <f>AO1850*Settings!$C$13*$D1859</f>
        <v/>
      </c>
      <c r="AP1859" s="16">
        <f>AP1850*Settings!$C$13*$D1859</f>
        <v/>
      </c>
      <c r="AQ1859" s="16">
        <f>AQ1850*Settings!$C$13*$D1859</f>
        <v/>
      </c>
      <c r="AR1859" s="16">
        <f>AR1850*Settings!$C$13*$D1859</f>
        <v/>
      </c>
      <c r="AS1859" s="16">
        <f>AS1850*Settings!$C$13*$D1859</f>
        <v/>
      </c>
      <c r="AT1859" s="16">
        <f>AT1850*Settings!$C$13*$D1859</f>
        <v/>
      </c>
      <c r="AU1859" s="16">
        <f>AU1850*Settings!$C$13*$D1859</f>
        <v/>
      </c>
      <c r="AV1859" s="16">
        <f>AV1850*Settings!$C$13*$D1859</f>
        <v/>
      </c>
      <c r="AW1859" s="16">
        <f>AW1850*Settings!$C$13*$D1859</f>
        <v/>
      </c>
      <c r="AX1859" s="16">
        <f>AX1850*Settings!$C$13*$D1859</f>
        <v/>
      </c>
      <c r="AY1859" s="16">
        <f>AY1850*Settings!$C$13*$D1859</f>
        <v/>
      </c>
      <c r="AZ1859" s="16">
        <f>AZ1850*Settings!$C$13*$D1859</f>
        <v/>
      </c>
      <c r="BA1859" s="49">
        <f>EMISSIONS(BA1850,Settings!$C$13,$D1859)</f>
        <v/>
      </c>
    </row>
    <row r="1860" hidden="1" outlineLevel="2">
      <c r="A1860" s="14" t="inlineStr">
        <is>
          <t>co2</t>
        </is>
      </c>
      <c r="B1860" s="14" t="inlineStr">
        <is>
          <t>nga</t>
        </is>
      </c>
      <c r="C1860" s="14" t="inlineStr">
        <is>
          <t>srv</t>
        </is>
      </c>
      <c r="D1860" s="35">
        <f>INDEX(Inputs!$W$5:$W$132,MATCH($B1860&amp;"|"&amp;$C1860,Inputs!$A$5:$A$132,0))</f>
        <v/>
      </c>
      <c r="E1860" s="39" t="n"/>
      <c r="F1860" s="39" t="n"/>
      <c r="G1860" s="39" t="n"/>
      <c r="H1860" s="14">
        <f>INDEX(VarLab,MATCH($A1860,VarKey,0))&amp;INDEX(MemLab,MATCH($C1860&amp;"|"&amp;$B1860,MemKey,0))</f>
        <v/>
      </c>
      <c r="I1860" s="14">
        <f>INDEX(VarUnit,MATCH($A1860,VarKey,0))</f>
        <v/>
      </c>
      <c r="J1860" s="14">
        <f>INDEX(VarSrc,MATCH($A1860,VarKey,0))</f>
        <v/>
      </c>
      <c r="K1860" s="11">
        <f>CodePrefix&amp;$A1860&amp;IF($C1860="","","."&amp;$C1860&amp;"."&amp;$B1860)&amp;INDEX(VarEnd,MATCH($A1860,VarKey,0))&amp;K$5</f>
        <v/>
      </c>
      <c r="L1860" s="15">
        <f>L1851*Settings!$C$13*$D1860</f>
        <v/>
      </c>
      <c r="M1860" s="16">
        <f>M1851*Settings!$C$13*$D1860</f>
        <v/>
      </c>
      <c r="N1860" s="16">
        <f>N1851*Settings!$C$13*$D1860</f>
        <v/>
      </c>
      <c r="O1860" s="16">
        <f>O1851*Settings!$C$13*$D1860</f>
        <v/>
      </c>
      <c r="P1860" s="16">
        <f>P1851*Settings!$C$13*$D1860</f>
        <v/>
      </c>
      <c r="Q1860" s="16">
        <f>Q1851*Settings!$C$13*$D1860</f>
        <v/>
      </c>
      <c r="R1860" s="16">
        <f>R1851*Settings!$C$13*$D1860</f>
        <v/>
      </c>
      <c r="S1860" s="16">
        <f>S1851*Settings!$C$13*$D1860</f>
        <v/>
      </c>
      <c r="T1860" s="16">
        <f>T1851*Settings!$C$13*$D1860</f>
        <v/>
      </c>
      <c r="U1860" s="16">
        <f>U1851*Settings!$C$13*$D1860</f>
        <v/>
      </c>
      <c r="V1860" s="16">
        <f>V1851*Settings!$C$13*$D1860</f>
        <v/>
      </c>
      <c r="W1860" s="16">
        <f>W1851*Settings!$C$13*$D1860</f>
        <v/>
      </c>
      <c r="X1860" s="16">
        <f>X1851*Settings!$C$13*$D1860</f>
        <v/>
      </c>
      <c r="Y1860" s="16">
        <f>Y1851*Settings!$C$13*$D1860</f>
        <v/>
      </c>
      <c r="Z1860" s="16">
        <f>Z1851*Settings!$C$13*$D1860</f>
        <v/>
      </c>
      <c r="AA1860" s="16">
        <f>AA1851*Settings!$C$13*$D1860</f>
        <v/>
      </c>
      <c r="AB1860" s="16">
        <f>AB1851*Settings!$C$13*$D1860</f>
        <v/>
      </c>
      <c r="AC1860" s="16">
        <f>AC1851*Settings!$C$13*$D1860</f>
        <v/>
      </c>
      <c r="AD1860" s="16">
        <f>AD1851*Settings!$C$13*$D1860</f>
        <v/>
      </c>
      <c r="AE1860" s="49">
        <f>EMISSIONS(AE1851,Settings!$C$13,$D1860)</f>
        <v/>
      </c>
      <c r="AG1860" s="11">
        <f>CodePrefix&amp;$A1860&amp;IF($C1860="","","."&amp;$C1860&amp;"."&amp;$B1860)&amp;INDEX(VarEnd,MATCH($A1860,VarKey,0))&amp;AG$5</f>
        <v/>
      </c>
      <c r="AH1860" s="15">
        <f>AH1851*Settings!$C$13*$D1860</f>
        <v/>
      </c>
      <c r="AI1860" s="16">
        <f>AI1851*Settings!$C$13*$D1860</f>
        <v/>
      </c>
      <c r="AJ1860" s="16">
        <f>AJ1851*Settings!$C$13*$D1860</f>
        <v/>
      </c>
      <c r="AK1860" s="16">
        <f>AK1851*Settings!$C$13*$D1860</f>
        <v/>
      </c>
      <c r="AL1860" s="16">
        <f>AL1851*Settings!$C$13*$D1860</f>
        <v/>
      </c>
      <c r="AM1860" s="16">
        <f>AM1851*Settings!$C$13*$D1860</f>
        <v/>
      </c>
      <c r="AN1860" s="16">
        <f>AN1851*Settings!$C$13*$D1860</f>
        <v/>
      </c>
      <c r="AO1860" s="16">
        <f>AO1851*Settings!$C$13*$D1860</f>
        <v/>
      </c>
      <c r="AP1860" s="16">
        <f>AP1851*Settings!$C$13*$D1860</f>
        <v/>
      </c>
      <c r="AQ1860" s="16">
        <f>AQ1851*Settings!$C$13*$D1860</f>
        <v/>
      </c>
      <c r="AR1860" s="16">
        <f>AR1851*Settings!$C$13*$D1860</f>
        <v/>
      </c>
      <c r="AS1860" s="16">
        <f>AS1851*Settings!$C$13*$D1860</f>
        <v/>
      </c>
      <c r="AT1860" s="16">
        <f>AT1851*Settings!$C$13*$D1860</f>
        <v/>
      </c>
      <c r="AU1860" s="16">
        <f>AU1851*Settings!$C$13*$D1860</f>
        <v/>
      </c>
      <c r="AV1860" s="16">
        <f>AV1851*Settings!$C$13*$D1860</f>
        <v/>
      </c>
      <c r="AW1860" s="16">
        <f>AW1851*Settings!$C$13*$D1860</f>
        <v/>
      </c>
      <c r="AX1860" s="16">
        <f>AX1851*Settings!$C$13*$D1860</f>
        <v/>
      </c>
      <c r="AY1860" s="16">
        <f>AY1851*Settings!$C$13*$D1860</f>
        <v/>
      </c>
      <c r="AZ1860" s="16">
        <f>AZ1851*Settings!$C$13*$D1860</f>
        <v/>
      </c>
      <c r="BA1860" s="49">
        <f>EMISSIONS(BA1851,Settings!$C$13,$D1860)</f>
        <v/>
      </c>
    </row>
    <row r="1861" hidden="1" outlineLevel="2">
      <c r="A1861" s="14" t="inlineStr">
        <is>
          <t>co2</t>
        </is>
      </c>
      <c r="B1861" s="14" t="inlineStr">
        <is>
          <t>gso</t>
        </is>
      </c>
      <c r="C1861" s="14" t="inlineStr">
        <is>
          <t>srv</t>
        </is>
      </c>
      <c r="D1861" s="35">
        <f>INDEX(Inputs!$W$5:$W$132,MATCH($B1861&amp;"|"&amp;$C1861,Inputs!$A$5:$A$132,0))</f>
        <v/>
      </c>
      <c r="E1861" s="39" t="n"/>
      <c r="F1861" s="39" t="n"/>
      <c r="G1861" s="39" t="n"/>
      <c r="H1861" s="14">
        <f>INDEX(VarLab,MATCH($A1861,VarKey,0))&amp;INDEX(MemLab,MATCH($C1861&amp;"|"&amp;$B1861,MemKey,0))</f>
        <v/>
      </c>
      <c r="I1861" s="14">
        <f>INDEX(VarUnit,MATCH($A1861,VarKey,0))</f>
        <v/>
      </c>
      <c r="J1861" s="14">
        <f>INDEX(VarSrc,MATCH($A1861,VarKey,0))</f>
        <v/>
      </c>
      <c r="K1861" s="11">
        <f>CodePrefix&amp;$A1861&amp;IF($C1861="","","."&amp;$C1861&amp;"."&amp;$B1861)&amp;INDEX(VarEnd,MATCH($A1861,VarKey,0))&amp;K$5</f>
        <v/>
      </c>
      <c r="L1861" s="15">
        <f>L1852*Settings!$C$13*$D1861</f>
        <v/>
      </c>
      <c r="M1861" s="16">
        <f>M1852*Settings!$C$13*$D1861</f>
        <v/>
      </c>
      <c r="N1861" s="16">
        <f>N1852*Settings!$C$13*$D1861</f>
        <v/>
      </c>
      <c r="O1861" s="16">
        <f>O1852*Settings!$C$13*$D1861</f>
        <v/>
      </c>
      <c r="P1861" s="16">
        <f>P1852*Settings!$C$13*$D1861</f>
        <v/>
      </c>
      <c r="Q1861" s="16">
        <f>Q1852*Settings!$C$13*$D1861</f>
        <v/>
      </c>
      <c r="R1861" s="16">
        <f>R1852*Settings!$C$13*$D1861</f>
        <v/>
      </c>
      <c r="S1861" s="16">
        <f>S1852*Settings!$C$13*$D1861</f>
        <v/>
      </c>
      <c r="T1861" s="16">
        <f>T1852*Settings!$C$13*$D1861</f>
        <v/>
      </c>
      <c r="U1861" s="16">
        <f>U1852*Settings!$C$13*$D1861</f>
        <v/>
      </c>
      <c r="V1861" s="16">
        <f>V1852*Settings!$C$13*$D1861</f>
        <v/>
      </c>
      <c r="W1861" s="16">
        <f>W1852*Settings!$C$13*$D1861</f>
        <v/>
      </c>
      <c r="X1861" s="16">
        <f>X1852*Settings!$C$13*$D1861</f>
        <v/>
      </c>
      <c r="Y1861" s="16">
        <f>Y1852*Settings!$C$13*$D1861</f>
        <v/>
      </c>
      <c r="Z1861" s="16">
        <f>Z1852*Settings!$C$13*$D1861</f>
        <v/>
      </c>
      <c r="AA1861" s="16">
        <f>AA1852*Settings!$C$13*$D1861</f>
        <v/>
      </c>
      <c r="AB1861" s="16">
        <f>AB1852*Settings!$C$13*$D1861</f>
        <v/>
      </c>
      <c r="AC1861" s="16">
        <f>AC1852*Settings!$C$13*$D1861</f>
        <v/>
      </c>
      <c r="AD1861" s="16">
        <f>AD1852*Settings!$C$13*$D1861</f>
        <v/>
      </c>
      <c r="AE1861" s="49">
        <f>EMISSIONS(AE1852,Settings!$C$13,$D1861)</f>
        <v/>
      </c>
      <c r="AG1861" s="11">
        <f>CodePrefix&amp;$A1861&amp;IF($C1861="","","."&amp;$C1861&amp;"."&amp;$B1861)&amp;INDEX(VarEnd,MATCH($A1861,VarKey,0))&amp;AG$5</f>
        <v/>
      </c>
      <c r="AH1861" s="15">
        <f>AH1852*Settings!$C$13*$D1861</f>
        <v/>
      </c>
      <c r="AI1861" s="16">
        <f>AI1852*Settings!$C$13*$D1861</f>
        <v/>
      </c>
      <c r="AJ1861" s="16">
        <f>AJ1852*Settings!$C$13*$D1861</f>
        <v/>
      </c>
      <c r="AK1861" s="16">
        <f>AK1852*Settings!$C$13*$D1861</f>
        <v/>
      </c>
      <c r="AL1861" s="16">
        <f>AL1852*Settings!$C$13*$D1861</f>
        <v/>
      </c>
      <c r="AM1861" s="16">
        <f>AM1852*Settings!$C$13*$D1861</f>
        <v/>
      </c>
      <c r="AN1861" s="16">
        <f>AN1852*Settings!$C$13*$D1861</f>
        <v/>
      </c>
      <c r="AO1861" s="16">
        <f>AO1852*Settings!$C$13*$D1861</f>
        <v/>
      </c>
      <c r="AP1861" s="16">
        <f>AP1852*Settings!$C$13*$D1861</f>
        <v/>
      </c>
      <c r="AQ1861" s="16">
        <f>AQ1852*Settings!$C$13*$D1861</f>
        <v/>
      </c>
      <c r="AR1861" s="16">
        <f>AR1852*Settings!$C$13*$D1861</f>
        <v/>
      </c>
      <c r="AS1861" s="16">
        <f>AS1852*Settings!$C$13*$D1861</f>
        <v/>
      </c>
      <c r="AT1861" s="16">
        <f>AT1852*Settings!$C$13*$D1861</f>
        <v/>
      </c>
      <c r="AU1861" s="16">
        <f>AU1852*Settings!$C$13*$D1861</f>
        <v/>
      </c>
      <c r="AV1861" s="16">
        <f>AV1852*Settings!$C$13*$D1861</f>
        <v/>
      </c>
      <c r="AW1861" s="16">
        <f>AW1852*Settings!$C$13*$D1861</f>
        <v/>
      </c>
      <c r="AX1861" s="16">
        <f>AX1852*Settings!$C$13*$D1861</f>
        <v/>
      </c>
      <c r="AY1861" s="16">
        <f>AY1852*Settings!$C$13*$D1861</f>
        <v/>
      </c>
      <c r="AZ1861" s="16">
        <f>AZ1852*Settings!$C$13*$D1861</f>
        <v/>
      </c>
      <c r="BA1861" s="49">
        <f>EMISSIONS(BA1852,Settings!$C$13,$D1861)</f>
        <v/>
      </c>
    </row>
    <row r="1862" hidden="1" outlineLevel="2">
      <c r="A1862" s="14" t="inlineStr">
        <is>
          <t>co2</t>
        </is>
      </c>
      <c r="B1862" s="14" t="inlineStr">
        <is>
          <t>die</t>
        </is>
      </c>
      <c r="C1862" s="14" t="inlineStr">
        <is>
          <t>srv</t>
        </is>
      </c>
      <c r="D1862" s="35">
        <f>INDEX(Inputs!$W$5:$W$132,MATCH($B1862&amp;"|"&amp;$C1862,Inputs!$A$5:$A$132,0))</f>
        <v/>
      </c>
      <c r="E1862" s="39" t="n"/>
      <c r="F1862" s="39" t="n"/>
      <c r="G1862" s="39" t="n"/>
      <c r="H1862" s="14">
        <f>INDEX(VarLab,MATCH($A1862,VarKey,0))&amp;INDEX(MemLab,MATCH($C1862&amp;"|"&amp;$B1862,MemKey,0))</f>
        <v/>
      </c>
      <c r="I1862" s="14">
        <f>INDEX(VarUnit,MATCH($A1862,VarKey,0))</f>
        <v/>
      </c>
      <c r="J1862" s="14">
        <f>INDEX(VarSrc,MATCH($A1862,VarKey,0))</f>
        <v/>
      </c>
      <c r="K1862" s="11">
        <f>CodePrefix&amp;$A1862&amp;IF($C1862="","","."&amp;$C1862&amp;"."&amp;$B1862)&amp;INDEX(VarEnd,MATCH($A1862,VarKey,0))&amp;K$5</f>
        <v/>
      </c>
      <c r="L1862" s="15">
        <f>L1853*Settings!$C$13*$D1862</f>
        <v/>
      </c>
      <c r="M1862" s="16">
        <f>M1853*Settings!$C$13*$D1862</f>
        <v/>
      </c>
      <c r="N1862" s="16">
        <f>N1853*Settings!$C$13*$D1862</f>
        <v/>
      </c>
      <c r="O1862" s="16">
        <f>O1853*Settings!$C$13*$D1862</f>
        <v/>
      </c>
      <c r="P1862" s="16">
        <f>P1853*Settings!$C$13*$D1862</f>
        <v/>
      </c>
      <c r="Q1862" s="16">
        <f>Q1853*Settings!$C$13*$D1862</f>
        <v/>
      </c>
      <c r="R1862" s="16">
        <f>R1853*Settings!$C$13*$D1862</f>
        <v/>
      </c>
      <c r="S1862" s="16">
        <f>S1853*Settings!$C$13*$D1862</f>
        <v/>
      </c>
      <c r="T1862" s="16">
        <f>T1853*Settings!$C$13*$D1862</f>
        <v/>
      </c>
      <c r="U1862" s="16">
        <f>U1853*Settings!$C$13*$D1862</f>
        <v/>
      </c>
      <c r="V1862" s="16">
        <f>V1853*Settings!$C$13*$D1862</f>
        <v/>
      </c>
      <c r="W1862" s="16">
        <f>W1853*Settings!$C$13*$D1862</f>
        <v/>
      </c>
      <c r="X1862" s="16">
        <f>X1853*Settings!$C$13*$D1862</f>
        <v/>
      </c>
      <c r="Y1862" s="16">
        <f>Y1853*Settings!$C$13*$D1862</f>
        <v/>
      </c>
      <c r="Z1862" s="16">
        <f>Z1853*Settings!$C$13*$D1862</f>
        <v/>
      </c>
      <c r="AA1862" s="16">
        <f>AA1853*Settings!$C$13*$D1862</f>
        <v/>
      </c>
      <c r="AB1862" s="16">
        <f>AB1853*Settings!$C$13*$D1862</f>
        <v/>
      </c>
      <c r="AC1862" s="16">
        <f>AC1853*Settings!$C$13*$D1862</f>
        <v/>
      </c>
      <c r="AD1862" s="16">
        <f>AD1853*Settings!$C$13*$D1862</f>
        <v/>
      </c>
      <c r="AE1862" s="49">
        <f>EMISSIONS(AE1853,Settings!$C$13,$D1862)</f>
        <v/>
      </c>
      <c r="AG1862" s="11">
        <f>CodePrefix&amp;$A1862&amp;IF($C1862="","","."&amp;$C1862&amp;"."&amp;$B1862)&amp;INDEX(VarEnd,MATCH($A1862,VarKey,0))&amp;AG$5</f>
        <v/>
      </c>
      <c r="AH1862" s="15">
        <f>AH1853*Settings!$C$13*$D1862</f>
        <v/>
      </c>
      <c r="AI1862" s="16">
        <f>AI1853*Settings!$C$13*$D1862</f>
        <v/>
      </c>
      <c r="AJ1862" s="16">
        <f>AJ1853*Settings!$C$13*$D1862</f>
        <v/>
      </c>
      <c r="AK1862" s="16">
        <f>AK1853*Settings!$C$13*$D1862</f>
        <v/>
      </c>
      <c r="AL1862" s="16">
        <f>AL1853*Settings!$C$13*$D1862</f>
        <v/>
      </c>
      <c r="AM1862" s="16">
        <f>AM1853*Settings!$C$13*$D1862</f>
        <v/>
      </c>
      <c r="AN1862" s="16">
        <f>AN1853*Settings!$C$13*$D1862</f>
        <v/>
      </c>
      <c r="AO1862" s="16">
        <f>AO1853*Settings!$C$13*$D1862</f>
        <v/>
      </c>
      <c r="AP1862" s="16">
        <f>AP1853*Settings!$C$13*$D1862</f>
        <v/>
      </c>
      <c r="AQ1862" s="16">
        <f>AQ1853*Settings!$C$13*$D1862</f>
        <v/>
      </c>
      <c r="AR1862" s="16">
        <f>AR1853*Settings!$C$13*$D1862</f>
        <v/>
      </c>
      <c r="AS1862" s="16">
        <f>AS1853*Settings!$C$13*$D1862</f>
        <v/>
      </c>
      <c r="AT1862" s="16">
        <f>AT1853*Settings!$C$13*$D1862</f>
        <v/>
      </c>
      <c r="AU1862" s="16">
        <f>AU1853*Settings!$C$13*$D1862</f>
        <v/>
      </c>
      <c r="AV1862" s="16">
        <f>AV1853*Settings!$C$13*$D1862</f>
        <v/>
      </c>
      <c r="AW1862" s="16">
        <f>AW1853*Settings!$C$13*$D1862</f>
        <v/>
      </c>
      <c r="AX1862" s="16">
        <f>AX1853*Settings!$C$13*$D1862</f>
        <v/>
      </c>
      <c r="AY1862" s="16">
        <f>AY1853*Settings!$C$13*$D1862</f>
        <v/>
      </c>
      <c r="AZ1862" s="16">
        <f>AZ1853*Settings!$C$13*$D1862</f>
        <v/>
      </c>
      <c r="BA1862" s="49">
        <f>EMISSIONS(BA1853,Settings!$C$13,$D1862)</f>
        <v/>
      </c>
    </row>
    <row r="1863" hidden="1" outlineLevel="2">
      <c r="A1863" s="14" t="inlineStr">
        <is>
          <t>co2</t>
        </is>
      </c>
      <c r="B1863" s="14" t="inlineStr">
        <is>
          <t>lpg</t>
        </is>
      </c>
      <c r="C1863" s="14" t="inlineStr">
        <is>
          <t>srv</t>
        </is>
      </c>
      <c r="D1863" s="35">
        <f>INDEX(Inputs!$W$5:$W$132,MATCH($B1863&amp;"|"&amp;$C1863,Inputs!$A$5:$A$132,0))</f>
        <v/>
      </c>
      <c r="E1863" s="39" t="n"/>
      <c r="F1863" s="39" t="n"/>
      <c r="G1863" s="39" t="n"/>
      <c r="H1863" s="14">
        <f>INDEX(VarLab,MATCH($A1863,VarKey,0))&amp;INDEX(MemLab,MATCH($C1863&amp;"|"&amp;$B1863,MemKey,0))</f>
        <v/>
      </c>
      <c r="I1863" s="14">
        <f>INDEX(VarUnit,MATCH($A1863,VarKey,0))</f>
        <v/>
      </c>
      <c r="J1863" s="14">
        <f>INDEX(VarSrc,MATCH($A1863,VarKey,0))</f>
        <v/>
      </c>
      <c r="K1863" s="11">
        <f>CodePrefix&amp;$A1863&amp;IF($C1863="","","."&amp;$C1863&amp;"."&amp;$B1863)&amp;INDEX(VarEnd,MATCH($A1863,VarKey,0))&amp;K$5</f>
        <v/>
      </c>
      <c r="L1863" s="15">
        <f>L1854*Settings!$C$13*$D1863</f>
        <v/>
      </c>
      <c r="M1863" s="16">
        <f>M1854*Settings!$C$13*$D1863</f>
        <v/>
      </c>
      <c r="N1863" s="16">
        <f>N1854*Settings!$C$13*$D1863</f>
        <v/>
      </c>
      <c r="O1863" s="16">
        <f>O1854*Settings!$C$13*$D1863</f>
        <v/>
      </c>
      <c r="P1863" s="16">
        <f>P1854*Settings!$C$13*$D1863</f>
        <v/>
      </c>
      <c r="Q1863" s="16">
        <f>Q1854*Settings!$C$13*$D1863</f>
        <v/>
      </c>
      <c r="R1863" s="16">
        <f>R1854*Settings!$C$13*$D1863</f>
        <v/>
      </c>
      <c r="S1863" s="16">
        <f>S1854*Settings!$C$13*$D1863</f>
        <v/>
      </c>
      <c r="T1863" s="16">
        <f>T1854*Settings!$C$13*$D1863</f>
        <v/>
      </c>
      <c r="U1863" s="16">
        <f>U1854*Settings!$C$13*$D1863</f>
        <v/>
      </c>
      <c r="V1863" s="16">
        <f>V1854*Settings!$C$13*$D1863</f>
        <v/>
      </c>
      <c r="W1863" s="16">
        <f>W1854*Settings!$C$13*$D1863</f>
        <v/>
      </c>
      <c r="X1863" s="16">
        <f>X1854*Settings!$C$13*$D1863</f>
        <v/>
      </c>
      <c r="Y1863" s="16">
        <f>Y1854*Settings!$C$13*$D1863</f>
        <v/>
      </c>
      <c r="Z1863" s="16">
        <f>Z1854*Settings!$C$13*$D1863</f>
        <v/>
      </c>
      <c r="AA1863" s="16">
        <f>AA1854*Settings!$C$13*$D1863</f>
        <v/>
      </c>
      <c r="AB1863" s="16">
        <f>AB1854*Settings!$C$13*$D1863</f>
        <v/>
      </c>
      <c r="AC1863" s="16">
        <f>AC1854*Settings!$C$13*$D1863</f>
        <v/>
      </c>
      <c r="AD1863" s="16">
        <f>AD1854*Settings!$C$13*$D1863</f>
        <v/>
      </c>
      <c r="AE1863" s="49">
        <f>EMISSIONS(AE1854,Settings!$C$13,$D1863)</f>
        <v/>
      </c>
      <c r="AG1863" s="11">
        <f>CodePrefix&amp;$A1863&amp;IF($C1863="","","."&amp;$C1863&amp;"."&amp;$B1863)&amp;INDEX(VarEnd,MATCH($A1863,VarKey,0))&amp;AG$5</f>
        <v/>
      </c>
      <c r="AH1863" s="15">
        <f>AH1854*Settings!$C$13*$D1863</f>
        <v/>
      </c>
      <c r="AI1863" s="16">
        <f>AI1854*Settings!$C$13*$D1863</f>
        <v/>
      </c>
      <c r="AJ1863" s="16">
        <f>AJ1854*Settings!$C$13*$D1863</f>
        <v/>
      </c>
      <c r="AK1863" s="16">
        <f>AK1854*Settings!$C$13*$D1863</f>
        <v/>
      </c>
      <c r="AL1863" s="16">
        <f>AL1854*Settings!$C$13*$D1863</f>
        <v/>
      </c>
      <c r="AM1863" s="16">
        <f>AM1854*Settings!$C$13*$D1863</f>
        <v/>
      </c>
      <c r="AN1863" s="16">
        <f>AN1854*Settings!$C$13*$D1863</f>
        <v/>
      </c>
      <c r="AO1863" s="16">
        <f>AO1854*Settings!$C$13*$D1863</f>
        <v/>
      </c>
      <c r="AP1863" s="16">
        <f>AP1854*Settings!$C$13*$D1863</f>
        <v/>
      </c>
      <c r="AQ1863" s="16">
        <f>AQ1854*Settings!$C$13*$D1863</f>
        <v/>
      </c>
      <c r="AR1863" s="16">
        <f>AR1854*Settings!$C$13*$D1863</f>
        <v/>
      </c>
      <c r="AS1863" s="16">
        <f>AS1854*Settings!$C$13*$D1863</f>
        <v/>
      </c>
      <c r="AT1863" s="16">
        <f>AT1854*Settings!$C$13*$D1863</f>
        <v/>
      </c>
      <c r="AU1863" s="16">
        <f>AU1854*Settings!$C$13*$D1863</f>
        <v/>
      </c>
      <c r="AV1863" s="16">
        <f>AV1854*Settings!$C$13*$D1863</f>
        <v/>
      </c>
      <c r="AW1863" s="16">
        <f>AW1854*Settings!$C$13*$D1863</f>
        <v/>
      </c>
      <c r="AX1863" s="16">
        <f>AX1854*Settings!$C$13*$D1863</f>
        <v/>
      </c>
      <c r="AY1863" s="16">
        <f>AY1854*Settings!$C$13*$D1863</f>
        <v/>
      </c>
      <c r="AZ1863" s="16">
        <f>AZ1854*Settings!$C$13*$D1863</f>
        <v/>
      </c>
      <c r="BA1863" s="49">
        <f>EMISSIONS(BA1854,Settings!$C$13,$D1863)</f>
        <v/>
      </c>
    </row>
    <row r="1864" hidden="1" outlineLevel="2">
      <c r="A1864" s="14" t="inlineStr">
        <is>
          <t>co2</t>
        </is>
      </c>
      <c r="B1864" s="14" t="inlineStr">
        <is>
          <t>ker</t>
        </is>
      </c>
      <c r="C1864" s="14" t="inlineStr">
        <is>
          <t>srv</t>
        </is>
      </c>
      <c r="D1864" s="35">
        <f>INDEX(Inputs!$W$5:$W$132,MATCH($B1864&amp;"|"&amp;$C1864,Inputs!$A$5:$A$132,0))</f>
        <v/>
      </c>
      <c r="E1864" s="39" t="n"/>
      <c r="F1864" s="39" t="n"/>
      <c r="G1864" s="39" t="n"/>
      <c r="H1864" s="14">
        <f>INDEX(VarLab,MATCH($A1864,VarKey,0))&amp;INDEX(MemLab,MATCH($C1864&amp;"|"&amp;$B1864,MemKey,0))</f>
        <v/>
      </c>
      <c r="I1864" s="14">
        <f>INDEX(VarUnit,MATCH($A1864,VarKey,0))</f>
        <v/>
      </c>
      <c r="J1864" s="14">
        <f>INDEX(VarSrc,MATCH($A1864,VarKey,0))</f>
        <v/>
      </c>
      <c r="K1864" s="11">
        <f>CodePrefix&amp;$A1864&amp;IF($C1864="","","."&amp;$C1864&amp;"."&amp;$B1864)&amp;INDEX(VarEnd,MATCH($A1864,VarKey,0))&amp;K$5</f>
        <v/>
      </c>
      <c r="L1864" s="15">
        <f>L1855*Settings!$C$13*$D1864</f>
        <v/>
      </c>
      <c r="M1864" s="16">
        <f>M1855*Settings!$C$13*$D1864</f>
        <v/>
      </c>
      <c r="N1864" s="16">
        <f>N1855*Settings!$C$13*$D1864</f>
        <v/>
      </c>
      <c r="O1864" s="16">
        <f>O1855*Settings!$C$13*$D1864</f>
        <v/>
      </c>
      <c r="P1864" s="16">
        <f>P1855*Settings!$C$13*$D1864</f>
        <v/>
      </c>
      <c r="Q1864" s="16">
        <f>Q1855*Settings!$C$13*$D1864</f>
        <v/>
      </c>
      <c r="R1864" s="16">
        <f>R1855*Settings!$C$13*$D1864</f>
        <v/>
      </c>
      <c r="S1864" s="16">
        <f>S1855*Settings!$C$13*$D1864</f>
        <v/>
      </c>
      <c r="T1864" s="16">
        <f>T1855*Settings!$C$13*$D1864</f>
        <v/>
      </c>
      <c r="U1864" s="16">
        <f>U1855*Settings!$C$13*$D1864</f>
        <v/>
      </c>
      <c r="V1864" s="16">
        <f>V1855*Settings!$C$13*$D1864</f>
        <v/>
      </c>
      <c r="W1864" s="16">
        <f>W1855*Settings!$C$13*$D1864</f>
        <v/>
      </c>
      <c r="X1864" s="16">
        <f>X1855*Settings!$C$13*$D1864</f>
        <v/>
      </c>
      <c r="Y1864" s="16">
        <f>Y1855*Settings!$C$13*$D1864</f>
        <v/>
      </c>
      <c r="Z1864" s="16">
        <f>Z1855*Settings!$C$13*$D1864</f>
        <v/>
      </c>
      <c r="AA1864" s="16">
        <f>AA1855*Settings!$C$13*$D1864</f>
        <v/>
      </c>
      <c r="AB1864" s="16">
        <f>AB1855*Settings!$C$13*$D1864</f>
        <v/>
      </c>
      <c r="AC1864" s="16">
        <f>AC1855*Settings!$C$13*$D1864</f>
        <v/>
      </c>
      <c r="AD1864" s="16">
        <f>AD1855*Settings!$C$13*$D1864</f>
        <v/>
      </c>
      <c r="AE1864" s="49">
        <f>EMISSIONS(AE1855,Settings!$C$13,$D1864)</f>
        <v/>
      </c>
      <c r="AG1864" s="11">
        <f>CodePrefix&amp;$A1864&amp;IF($C1864="","","."&amp;$C1864&amp;"."&amp;$B1864)&amp;INDEX(VarEnd,MATCH($A1864,VarKey,0))&amp;AG$5</f>
        <v/>
      </c>
      <c r="AH1864" s="15">
        <f>AH1855*Settings!$C$13*$D1864</f>
        <v/>
      </c>
      <c r="AI1864" s="16">
        <f>AI1855*Settings!$C$13*$D1864</f>
        <v/>
      </c>
      <c r="AJ1864" s="16">
        <f>AJ1855*Settings!$C$13*$D1864</f>
        <v/>
      </c>
      <c r="AK1864" s="16">
        <f>AK1855*Settings!$C$13*$D1864</f>
        <v/>
      </c>
      <c r="AL1864" s="16">
        <f>AL1855*Settings!$C$13*$D1864</f>
        <v/>
      </c>
      <c r="AM1864" s="16">
        <f>AM1855*Settings!$C$13*$D1864</f>
        <v/>
      </c>
      <c r="AN1864" s="16">
        <f>AN1855*Settings!$C$13*$D1864</f>
        <v/>
      </c>
      <c r="AO1864" s="16">
        <f>AO1855*Settings!$C$13*$D1864</f>
        <v/>
      </c>
      <c r="AP1864" s="16">
        <f>AP1855*Settings!$C$13*$D1864</f>
        <v/>
      </c>
      <c r="AQ1864" s="16">
        <f>AQ1855*Settings!$C$13*$D1864</f>
        <v/>
      </c>
      <c r="AR1864" s="16">
        <f>AR1855*Settings!$C$13*$D1864</f>
        <v/>
      </c>
      <c r="AS1864" s="16">
        <f>AS1855*Settings!$C$13*$D1864</f>
        <v/>
      </c>
      <c r="AT1864" s="16">
        <f>AT1855*Settings!$C$13*$D1864</f>
        <v/>
      </c>
      <c r="AU1864" s="16">
        <f>AU1855*Settings!$C$13*$D1864</f>
        <v/>
      </c>
      <c r="AV1864" s="16">
        <f>AV1855*Settings!$C$13*$D1864</f>
        <v/>
      </c>
      <c r="AW1864" s="16">
        <f>AW1855*Settings!$C$13*$D1864</f>
        <v/>
      </c>
      <c r="AX1864" s="16">
        <f>AX1855*Settings!$C$13*$D1864</f>
        <v/>
      </c>
      <c r="AY1864" s="16">
        <f>AY1855*Settings!$C$13*$D1864</f>
        <v/>
      </c>
      <c r="AZ1864" s="16">
        <f>AZ1855*Settings!$C$13*$D1864</f>
        <v/>
      </c>
      <c r="BA1864" s="49">
        <f>EMISSIONS(BA1855,Settings!$C$13,$D1864)</f>
        <v/>
      </c>
    </row>
    <row r="1865" hidden="1" outlineLevel="2">
      <c r="A1865" s="14" t="inlineStr">
        <is>
          <t>co2</t>
        </is>
      </c>
      <c r="B1865" s="14" t="inlineStr">
        <is>
          <t>oop</t>
        </is>
      </c>
      <c r="C1865" s="14" t="inlineStr">
        <is>
          <t>srv</t>
        </is>
      </c>
      <c r="D1865" s="35">
        <f>INDEX(Inputs!$W$5:$W$132,MATCH($B1865&amp;"|"&amp;$C1865,Inputs!$A$5:$A$132,0))</f>
        <v/>
      </c>
      <c r="E1865" s="39" t="n"/>
      <c r="F1865" s="39" t="n"/>
      <c r="G1865" s="39" t="n"/>
      <c r="H1865" s="14">
        <f>INDEX(VarLab,MATCH($A1865,VarKey,0))&amp;INDEX(MemLab,MATCH($C1865&amp;"|"&amp;$B1865,MemKey,0))</f>
        <v/>
      </c>
      <c r="I1865" s="14">
        <f>INDEX(VarUnit,MATCH($A1865,VarKey,0))</f>
        <v/>
      </c>
      <c r="J1865" s="14">
        <f>INDEX(VarSrc,MATCH($A1865,VarKey,0))</f>
        <v/>
      </c>
      <c r="K1865" s="11">
        <f>CodePrefix&amp;$A1865&amp;IF($C1865="","","."&amp;$C1865&amp;"."&amp;$B1865)&amp;INDEX(VarEnd,MATCH($A1865,VarKey,0))&amp;K$5</f>
        <v/>
      </c>
      <c r="L1865" s="15">
        <f>L1856*Settings!$C$13*$D1865</f>
        <v/>
      </c>
      <c r="M1865" s="16">
        <f>M1856*Settings!$C$13*$D1865</f>
        <v/>
      </c>
      <c r="N1865" s="16">
        <f>N1856*Settings!$C$13*$D1865</f>
        <v/>
      </c>
      <c r="O1865" s="16">
        <f>O1856*Settings!$C$13*$D1865</f>
        <v/>
      </c>
      <c r="P1865" s="16">
        <f>P1856*Settings!$C$13*$D1865</f>
        <v/>
      </c>
      <c r="Q1865" s="16">
        <f>Q1856*Settings!$C$13*$D1865</f>
        <v/>
      </c>
      <c r="R1865" s="16">
        <f>R1856*Settings!$C$13*$D1865</f>
        <v/>
      </c>
      <c r="S1865" s="16">
        <f>S1856*Settings!$C$13*$D1865</f>
        <v/>
      </c>
      <c r="T1865" s="16">
        <f>T1856*Settings!$C$13*$D1865</f>
        <v/>
      </c>
      <c r="U1865" s="16">
        <f>U1856*Settings!$C$13*$D1865</f>
        <v/>
      </c>
      <c r="V1865" s="16">
        <f>V1856*Settings!$C$13*$D1865</f>
        <v/>
      </c>
      <c r="W1865" s="16">
        <f>W1856*Settings!$C$13*$D1865</f>
        <v/>
      </c>
      <c r="X1865" s="16">
        <f>X1856*Settings!$C$13*$D1865</f>
        <v/>
      </c>
      <c r="Y1865" s="16">
        <f>Y1856*Settings!$C$13*$D1865</f>
        <v/>
      </c>
      <c r="Z1865" s="16">
        <f>Z1856*Settings!$C$13*$D1865</f>
        <v/>
      </c>
      <c r="AA1865" s="16">
        <f>AA1856*Settings!$C$13*$D1865</f>
        <v/>
      </c>
      <c r="AB1865" s="16">
        <f>AB1856*Settings!$C$13*$D1865</f>
        <v/>
      </c>
      <c r="AC1865" s="16">
        <f>AC1856*Settings!$C$13*$D1865</f>
        <v/>
      </c>
      <c r="AD1865" s="16">
        <f>AD1856*Settings!$C$13*$D1865</f>
        <v/>
      </c>
      <c r="AE1865" s="49">
        <f>EMISSIONS(AE1856,Settings!$C$13,$D1865)</f>
        <v/>
      </c>
      <c r="AG1865" s="11">
        <f>CodePrefix&amp;$A1865&amp;IF($C1865="","","."&amp;$C1865&amp;"."&amp;$B1865)&amp;INDEX(VarEnd,MATCH($A1865,VarKey,0))&amp;AG$5</f>
        <v/>
      </c>
      <c r="AH1865" s="15">
        <f>AH1856*Settings!$C$13*$D1865</f>
        <v/>
      </c>
      <c r="AI1865" s="16">
        <f>AI1856*Settings!$C$13*$D1865</f>
        <v/>
      </c>
      <c r="AJ1865" s="16">
        <f>AJ1856*Settings!$C$13*$D1865</f>
        <v/>
      </c>
      <c r="AK1865" s="16">
        <f>AK1856*Settings!$C$13*$D1865</f>
        <v/>
      </c>
      <c r="AL1865" s="16">
        <f>AL1856*Settings!$C$13*$D1865</f>
        <v/>
      </c>
      <c r="AM1865" s="16">
        <f>AM1856*Settings!$C$13*$D1865</f>
        <v/>
      </c>
      <c r="AN1865" s="16">
        <f>AN1856*Settings!$C$13*$D1865</f>
        <v/>
      </c>
      <c r="AO1865" s="16">
        <f>AO1856*Settings!$C$13*$D1865</f>
        <v/>
      </c>
      <c r="AP1865" s="16">
        <f>AP1856*Settings!$C$13*$D1865</f>
        <v/>
      </c>
      <c r="AQ1865" s="16">
        <f>AQ1856*Settings!$C$13*$D1865</f>
        <v/>
      </c>
      <c r="AR1865" s="16">
        <f>AR1856*Settings!$C$13*$D1865</f>
        <v/>
      </c>
      <c r="AS1865" s="16">
        <f>AS1856*Settings!$C$13*$D1865</f>
        <v/>
      </c>
      <c r="AT1865" s="16">
        <f>AT1856*Settings!$C$13*$D1865</f>
        <v/>
      </c>
      <c r="AU1865" s="16">
        <f>AU1856*Settings!$C$13*$D1865</f>
        <v/>
      </c>
      <c r="AV1865" s="16">
        <f>AV1856*Settings!$C$13*$D1865</f>
        <v/>
      </c>
      <c r="AW1865" s="16">
        <f>AW1856*Settings!$C$13*$D1865</f>
        <v/>
      </c>
      <c r="AX1865" s="16">
        <f>AX1856*Settings!$C$13*$D1865</f>
        <v/>
      </c>
      <c r="AY1865" s="16">
        <f>AY1856*Settings!$C$13*$D1865</f>
        <v/>
      </c>
      <c r="AZ1865" s="16">
        <f>AZ1856*Settings!$C$13*$D1865</f>
        <v/>
      </c>
      <c r="BA1865" s="49">
        <f>EMISSIONS(BA1856,Settings!$C$13,$D1865)</f>
        <v/>
      </c>
    </row>
    <row r="1866" hidden="1" outlineLevel="2">
      <c r="A1866" s="14" t="inlineStr">
        <is>
          <t>co2</t>
        </is>
      </c>
      <c r="B1866" s="14" t="inlineStr">
        <is>
          <t>bio</t>
        </is>
      </c>
      <c r="C1866" s="14" t="inlineStr">
        <is>
          <t>srv</t>
        </is>
      </c>
      <c r="D1866" s="35">
        <f>INDEX(Inputs!$W$5:$W$132,MATCH($B1866&amp;"|"&amp;$C1866,Inputs!$A$5:$A$132,0))</f>
        <v/>
      </c>
      <c r="E1866" s="39" t="n"/>
      <c r="F1866" s="39" t="n"/>
      <c r="G1866" s="39" t="n"/>
      <c r="H1866" s="14">
        <f>INDEX(VarLab,MATCH($A1866,VarKey,0))&amp;INDEX(MemLab,MATCH($C1866&amp;"|"&amp;$B1866,MemKey,0))</f>
        <v/>
      </c>
      <c r="I1866" s="14">
        <f>INDEX(VarUnit,MATCH($A1866,VarKey,0))</f>
        <v/>
      </c>
      <c r="J1866" s="14">
        <f>INDEX(VarSrc,MATCH($A1866,VarKey,0))</f>
        <v/>
      </c>
      <c r="K1866" s="11">
        <f>CodePrefix&amp;$A1866&amp;IF($C1866="","","."&amp;$C1866&amp;"."&amp;$B1866)&amp;INDEX(VarEnd,MATCH($A1866,VarKey,0))&amp;K$5</f>
        <v/>
      </c>
      <c r="L1866" s="15">
        <f>L1857*Settings!$C$13*$D1866</f>
        <v/>
      </c>
      <c r="M1866" s="16">
        <f>M1857*Settings!$C$13*$D1866</f>
        <v/>
      </c>
      <c r="N1866" s="16">
        <f>N1857*Settings!$C$13*$D1866</f>
        <v/>
      </c>
      <c r="O1866" s="16">
        <f>O1857*Settings!$C$13*$D1866</f>
        <v/>
      </c>
      <c r="P1866" s="16">
        <f>P1857*Settings!$C$13*$D1866</f>
        <v/>
      </c>
      <c r="Q1866" s="16">
        <f>Q1857*Settings!$C$13*$D1866</f>
        <v/>
      </c>
      <c r="R1866" s="16">
        <f>R1857*Settings!$C$13*$D1866</f>
        <v/>
      </c>
      <c r="S1866" s="16">
        <f>S1857*Settings!$C$13*$D1866</f>
        <v/>
      </c>
      <c r="T1866" s="16">
        <f>T1857*Settings!$C$13*$D1866</f>
        <v/>
      </c>
      <c r="U1866" s="16">
        <f>U1857*Settings!$C$13*$D1866</f>
        <v/>
      </c>
      <c r="V1866" s="16">
        <f>V1857*Settings!$C$13*$D1866</f>
        <v/>
      </c>
      <c r="W1866" s="16">
        <f>W1857*Settings!$C$13*$D1866</f>
        <v/>
      </c>
      <c r="X1866" s="16">
        <f>X1857*Settings!$C$13*$D1866</f>
        <v/>
      </c>
      <c r="Y1866" s="16">
        <f>Y1857*Settings!$C$13*$D1866</f>
        <v/>
      </c>
      <c r="Z1866" s="16">
        <f>Z1857*Settings!$C$13*$D1866</f>
        <v/>
      </c>
      <c r="AA1866" s="16">
        <f>AA1857*Settings!$C$13*$D1866</f>
        <v/>
      </c>
      <c r="AB1866" s="16">
        <f>AB1857*Settings!$C$13*$D1866</f>
        <v/>
      </c>
      <c r="AC1866" s="16">
        <f>AC1857*Settings!$C$13*$D1866</f>
        <v/>
      </c>
      <c r="AD1866" s="16">
        <f>AD1857*Settings!$C$13*$D1866</f>
        <v/>
      </c>
      <c r="AE1866" s="49">
        <f>EMISSIONS(AE1857,Settings!$C$13,$D1866)</f>
        <v/>
      </c>
      <c r="AG1866" s="11">
        <f>CodePrefix&amp;$A1866&amp;IF($C1866="","","."&amp;$C1866&amp;"."&amp;$B1866)&amp;INDEX(VarEnd,MATCH($A1866,VarKey,0))&amp;AG$5</f>
        <v/>
      </c>
      <c r="AH1866" s="15">
        <f>AH1857*Settings!$C$13*$D1866</f>
        <v/>
      </c>
      <c r="AI1866" s="16">
        <f>AI1857*Settings!$C$13*$D1866</f>
        <v/>
      </c>
      <c r="AJ1866" s="16">
        <f>AJ1857*Settings!$C$13*$D1866</f>
        <v/>
      </c>
      <c r="AK1866" s="16">
        <f>AK1857*Settings!$C$13*$D1866</f>
        <v/>
      </c>
      <c r="AL1866" s="16">
        <f>AL1857*Settings!$C$13*$D1866</f>
        <v/>
      </c>
      <c r="AM1866" s="16">
        <f>AM1857*Settings!$C$13*$D1866</f>
        <v/>
      </c>
      <c r="AN1866" s="16">
        <f>AN1857*Settings!$C$13*$D1866</f>
        <v/>
      </c>
      <c r="AO1866" s="16">
        <f>AO1857*Settings!$C$13*$D1866</f>
        <v/>
      </c>
      <c r="AP1866" s="16">
        <f>AP1857*Settings!$C$13*$D1866</f>
        <v/>
      </c>
      <c r="AQ1866" s="16">
        <f>AQ1857*Settings!$C$13*$D1866</f>
        <v/>
      </c>
      <c r="AR1866" s="16">
        <f>AR1857*Settings!$C$13*$D1866</f>
        <v/>
      </c>
      <c r="AS1866" s="16">
        <f>AS1857*Settings!$C$13*$D1866</f>
        <v/>
      </c>
      <c r="AT1866" s="16">
        <f>AT1857*Settings!$C$13*$D1866</f>
        <v/>
      </c>
      <c r="AU1866" s="16">
        <f>AU1857*Settings!$C$13*$D1866</f>
        <v/>
      </c>
      <c r="AV1866" s="16">
        <f>AV1857*Settings!$C$13*$D1866</f>
        <v/>
      </c>
      <c r="AW1866" s="16">
        <f>AW1857*Settings!$C$13*$D1866</f>
        <v/>
      </c>
      <c r="AX1866" s="16">
        <f>AX1857*Settings!$C$13*$D1866</f>
        <v/>
      </c>
      <c r="AY1866" s="16">
        <f>AY1857*Settings!$C$13*$D1866</f>
        <v/>
      </c>
      <c r="AZ1866" s="16">
        <f>AZ1857*Settings!$C$13*$D1866</f>
        <v/>
      </c>
      <c r="BA1866" s="49">
        <f>EMISSIONS(BA1857,Settings!$C$13,$D1866)</f>
        <v/>
      </c>
    </row>
    <row r="1867" hidden="1" outlineLevel="2"/>
    <row r="1868" hidden="1" outlineLevel="2">
      <c r="A1868" s="14" t="inlineStr">
        <is>
          <t>rtx</t>
        </is>
      </c>
      <c r="B1868" s="14" t="inlineStr">
        <is>
          <t>coa</t>
        </is>
      </c>
      <c r="C1868" s="14" t="inlineStr">
        <is>
          <t>srv</t>
        </is>
      </c>
      <c r="D1868" s="35">
        <f>INDEX(Inputs!$U$5:$U$132,MATCH($B1868&amp;"|"&amp;$C1868,Inputs!$A$5:$A$132,0))</f>
        <v/>
      </c>
      <c r="E1868" s="35">
        <f>INDEX(Inputs!$V$5:$V$132,MATCH($B1868&amp;"|"&amp;$C1868,Inputs!$A$5:$A$132,0))</f>
        <v/>
      </c>
      <c r="F1868" s="39" t="n"/>
      <c r="G1868" s="39" t="n"/>
      <c r="H1868" s="14">
        <f>INDEX(VarLab,MATCH($A1868,VarKey,0))&amp;INDEX(MemLab,MATCH($C1868&amp;"|"&amp;$B1868,MemKey,0))</f>
        <v/>
      </c>
      <c r="I1868" s="14">
        <f>INDEX(VarUnit,MATCH($A1868,VarKey,0))</f>
        <v/>
      </c>
      <c r="J1868" s="14">
        <f>INDEX(VarSrc,MATCH($A1868,VarKey,0))</f>
        <v/>
      </c>
      <c r="K1868" s="11">
        <f>CodePrefix&amp;$A1868&amp;IF($C1868="","","."&amp;$C1868&amp;"."&amp;$B1868)&amp;INDEX(VarEnd,MATCH($A1868,VarKey,0))&amp;K$5</f>
        <v/>
      </c>
      <c r="L1868" s="43">
        <f>L1850*Settings!$C$13*(INDEX(L$407:L$418,$D1868)+INDEX(L$394:L$405,$D1868)+L1823*(1+$E1868))</f>
        <v/>
      </c>
      <c r="M1868" s="44">
        <f>M1850*Settings!$C$13*(INDEX(M$407:M$418,$D1868)+INDEX(M$394:M$405,$D1868)+M1823*(1+$E1868))</f>
        <v/>
      </c>
      <c r="N1868" s="44">
        <f>N1850*Settings!$C$13*(INDEX(N$407:N$418,$D1868)+INDEX(N$394:N$405,$D1868)+N1823*(1+$E1868))</f>
        <v/>
      </c>
      <c r="O1868" s="44">
        <f>O1850*Settings!$C$13*(INDEX(O$407:O$418,$D1868)+INDEX(O$394:O$405,$D1868)+O1823*(1+$E1868))</f>
        <v/>
      </c>
      <c r="P1868" s="44">
        <f>P1850*Settings!$C$13*(INDEX(P$407:P$418,$D1868)+INDEX(P$394:P$405,$D1868)+P1823*(1+$E1868))</f>
        <v/>
      </c>
      <c r="Q1868" s="44">
        <f>Q1850*Settings!$C$13*(INDEX(Q$407:Q$418,$D1868)+INDEX(Q$394:Q$405,$D1868)+Q1823*(1+$E1868))</f>
        <v/>
      </c>
      <c r="R1868" s="44">
        <f>R1850*Settings!$C$13*(INDEX(R$407:R$418,$D1868)+INDEX(R$394:R$405,$D1868)+R1823*(1+$E1868))</f>
        <v/>
      </c>
      <c r="S1868" s="44">
        <f>S1850*Settings!$C$13*(INDEX(S$407:S$418,$D1868)+INDEX(S$394:S$405,$D1868)+S1823*(1+$E1868))</f>
        <v/>
      </c>
      <c r="T1868" s="44">
        <f>T1850*Settings!$C$13*(INDEX(T$407:T$418,$D1868)+INDEX(T$394:T$405,$D1868)+T1823*(1+$E1868))</f>
        <v/>
      </c>
      <c r="U1868" s="44">
        <f>U1850*Settings!$C$13*(INDEX(U$407:U$418,$D1868)+INDEX(U$394:U$405,$D1868)+U1823*(1+$E1868))</f>
        <v/>
      </c>
      <c r="V1868" s="44">
        <f>V1850*Settings!$C$13*(INDEX(V$407:V$418,$D1868)+INDEX(V$394:V$405,$D1868)+V1823*(1+$E1868))</f>
        <v/>
      </c>
      <c r="W1868" s="44">
        <f>W1850*Settings!$C$13*(INDEX(W$407:W$418,$D1868)+INDEX(W$394:W$405,$D1868)+W1823*(1+$E1868))</f>
        <v/>
      </c>
      <c r="X1868" s="44">
        <f>X1850*Settings!$C$13*(INDEX(X$407:X$418,$D1868)+INDEX(X$394:X$405,$D1868)+X1823*(1+$E1868))</f>
        <v/>
      </c>
      <c r="Y1868" s="44">
        <f>Y1850*Settings!$C$13*(INDEX(Y$407:Y$418,$D1868)+INDEX(Y$394:Y$405,$D1868)+Y1823*(1+$E1868))</f>
        <v/>
      </c>
      <c r="Z1868" s="44">
        <f>Z1850*Settings!$C$13*(INDEX(Z$407:Z$418,$D1868)+INDEX(Z$394:Z$405,$D1868)+Z1823*(1+$E1868))</f>
        <v/>
      </c>
      <c r="AA1868" s="44">
        <f>AA1850*Settings!$C$13*(INDEX(AA$407:AA$418,$D1868)+INDEX(AA$394:AA$405,$D1868)+AA1823*(1+$E1868))</f>
        <v/>
      </c>
      <c r="AB1868" s="44">
        <f>AB1850*Settings!$C$13*(INDEX(AB$407:AB$418,$D1868)+INDEX(AB$394:AB$405,$D1868)+AB1823*(1+$E1868))</f>
        <v/>
      </c>
      <c r="AC1868" s="44">
        <f>AC1850*Settings!$C$13*(INDEX(AC$407:AC$418,$D1868)+INDEX(AC$394:AC$405,$D1868)+AC1823*(1+$E1868))</f>
        <v/>
      </c>
      <c r="AD1868" s="44">
        <f>AD1850*Settings!$C$13*(INDEX(AD$407:AD$418,$D1868)+INDEX(AD$394:AD$405,$D1868)+AD1823*(1+$E1868))</f>
        <v/>
      </c>
      <c r="AE1868" s="57">
        <f>REVENUE(AE1850,Settings!$C$13,INDEX(AE$407:AE$418,$D1868)+INDEX(AE$394:AE$405,$D1868)+AE1823*(1+$E1868))</f>
        <v/>
      </c>
      <c r="AG1868" s="11">
        <f>CodePrefix&amp;$A1868&amp;IF($C1868="","","."&amp;$C1868&amp;"."&amp;$B1868)&amp;INDEX(VarEnd,MATCH($A1868,VarKey,0))&amp;AG$5</f>
        <v/>
      </c>
      <c r="AH1868" s="43">
        <f>AH1850*Settings!$C$13*(INDEX(AH$407:AH$418,$D1868)+INDEX(AH$394:AH$405,$D1868)+AH1823*(1+$E1868))</f>
        <v/>
      </c>
      <c r="AI1868" s="44">
        <f>AI1850*Settings!$C$13*(INDEX(AI$407:AI$418,$D1868)+INDEX(AI$394:AI$405,$D1868)+AI1823*(1+$E1868))</f>
        <v/>
      </c>
      <c r="AJ1868" s="44">
        <f>AJ1850*Settings!$C$13*(INDEX(AJ$407:AJ$418,$D1868)+INDEX(AJ$394:AJ$405,$D1868)+AJ1823*(1+$E1868))</f>
        <v/>
      </c>
      <c r="AK1868" s="44">
        <f>AK1850*Settings!$C$13*(INDEX(AK$407:AK$418,$D1868)+INDEX(AK$394:AK$405,$D1868)+AK1823*(1+$E1868))</f>
        <v/>
      </c>
      <c r="AL1868" s="44">
        <f>AL1850*Settings!$C$13*(INDEX(AL$407:AL$418,$D1868)+INDEX(AL$394:AL$405,$D1868)+AL1823*(1+$E1868))</f>
        <v/>
      </c>
      <c r="AM1868" s="44">
        <f>AM1850*Settings!$C$13*(INDEX(AM$407:AM$418,$D1868)+INDEX(AM$394:AM$405,$D1868)+AM1823*(1+$E1868))</f>
        <v/>
      </c>
      <c r="AN1868" s="44">
        <f>AN1850*Settings!$C$13*(INDEX(AN$407:AN$418,$D1868)+INDEX(AN$394:AN$405,$D1868)+AN1823*(1+$E1868))</f>
        <v/>
      </c>
      <c r="AO1868" s="44">
        <f>AO1850*Settings!$C$13*(INDEX(AO$407:AO$418,$D1868)+INDEX(AO$394:AO$405,$D1868)+AO1823*(1+$E1868))</f>
        <v/>
      </c>
      <c r="AP1868" s="44">
        <f>AP1850*Settings!$C$13*(INDEX(AP$407:AP$418,$D1868)+INDEX(AP$394:AP$405,$D1868)+AP1823*(1+$E1868))</f>
        <v/>
      </c>
      <c r="AQ1868" s="44">
        <f>AQ1850*Settings!$C$13*(INDEX(AQ$407:AQ$418,$D1868)+INDEX(AQ$394:AQ$405,$D1868)+AQ1823*(1+$E1868))</f>
        <v/>
      </c>
      <c r="AR1868" s="44">
        <f>AR1850*Settings!$C$13*(INDEX(AR$407:AR$418,$D1868)+INDEX(AR$394:AR$405,$D1868)+AR1823*(1+$E1868))</f>
        <v/>
      </c>
      <c r="AS1868" s="44">
        <f>AS1850*Settings!$C$13*(INDEX(AS$407:AS$418,$D1868)+INDEX(AS$394:AS$405,$D1868)+AS1823*(1+$E1868))</f>
        <v/>
      </c>
      <c r="AT1868" s="44">
        <f>AT1850*Settings!$C$13*(INDEX(AT$407:AT$418,$D1868)+INDEX(AT$394:AT$405,$D1868)+AT1823*(1+$E1868))</f>
        <v/>
      </c>
      <c r="AU1868" s="44">
        <f>AU1850*Settings!$C$13*(INDEX(AU$407:AU$418,$D1868)+INDEX(AU$394:AU$405,$D1868)+AU1823*(1+$E1868))</f>
        <v/>
      </c>
      <c r="AV1868" s="44">
        <f>AV1850*Settings!$C$13*(INDEX(AV$407:AV$418,$D1868)+INDEX(AV$394:AV$405,$D1868)+AV1823*(1+$E1868))</f>
        <v/>
      </c>
      <c r="AW1868" s="44">
        <f>AW1850*Settings!$C$13*(INDEX(AW$407:AW$418,$D1868)+INDEX(AW$394:AW$405,$D1868)+AW1823*(1+$E1868))</f>
        <v/>
      </c>
      <c r="AX1868" s="44">
        <f>AX1850*Settings!$C$13*(INDEX(AX$407:AX$418,$D1868)+INDEX(AX$394:AX$405,$D1868)+AX1823*(1+$E1868))</f>
        <v/>
      </c>
      <c r="AY1868" s="44">
        <f>AY1850*Settings!$C$13*(INDEX(AY$407:AY$418,$D1868)+INDEX(AY$394:AY$405,$D1868)+AY1823*(1+$E1868))</f>
        <v/>
      </c>
      <c r="AZ1868" s="44">
        <f>AZ1850*Settings!$C$13*(INDEX(AZ$407:AZ$418,$D1868)+INDEX(AZ$394:AZ$405,$D1868)+AZ1823*(1+$E1868))</f>
        <v/>
      </c>
      <c r="BA1868" s="57">
        <f>REVENUE(BA1850,Settings!$C$13,INDEX(BA$407:BA$418,$D1868)+INDEX(BA$394:BA$405,$D1868)+BA1823*(1+$E1868))</f>
        <v/>
      </c>
    </row>
    <row r="1869" hidden="1" outlineLevel="2">
      <c r="A1869" s="14" t="inlineStr">
        <is>
          <t>rtx</t>
        </is>
      </c>
      <c r="B1869" s="14" t="inlineStr">
        <is>
          <t>nga</t>
        </is>
      </c>
      <c r="C1869" s="14" t="inlineStr">
        <is>
          <t>srv</t>
        </is>
      </c>
      <c r="D1869" s="35">
        <f>INDEX(Inputs!$U$5:$U$132,MATCH($B1869&amp;"|"&amp;$C1869,Inputs!$A$5:$A$132,0))</f>
        <v/>
      </c>
      <c r="E1869" s="35">
        <f>INDEX(Inputs!$V$5:$V$132,MATCH($B1869&amp;"|"&amp;$C1869,Inputs!$A$5:$A$132,0))</f>
        <v/>
      </c>
      <c r="F1869" s="39" t="n"/>
      <c r="G1869" s="39" t="n"/>
      <c r="H1869" s="14">
        <f>INDEX(VarLab,MATCH($A1869,VarKey,0))&amp;INDEX(MemLab,MATCH($C1869&amp;"|"&amp;$B1869,MemKey,0))</f>
        <v/>
      </c>
      <c r="I1869" s="14">
        <f>INDEX(VarUnit,MATCH($A1869,VarKey,0))</f>
        <v/>
      </c>
      <c r="J1869" s="14">
        <f>INDEX(VarSrc,MATCH($A1869,VarKey,0))</f>
        <v/>
      </c>
      <c r="K1869" s="11">
        <f>CodePrefix&amp;$A1869&amp;IF($C1869="","","."&amp;$C1869&amp;"."&amp;$B1869)&amp;INDEX(VarEnd,MATCH($A1869,VarKey,0))&amp;K$5</f>
        <v/>
      </c>
      <c r="L1869" s="43">
        <f>L1851*Settings!$C$13*(INDEX(L$407:L$418,$D1869)+INDEX(L$394:L$405,$D1869)+L1824*(1+$E1869))</f>
        <v/>
      </c>
      <c r="M1869" s="44">
        <f>M1851*Settings!$C$13*(INDEX(M$407:M$418,$D1869)+INDEX(M$394:M$405,$D1869)+M1824*(1+$E1869))</f>
        <v/>
      </c>
      <c r="N1869" s="44">
        <f>N1851*Settings!$C$13*(INDEX(N$407:N$418,$D1869)+INDEX(N$394:N$405,$D1869)+N1824*(1+$E1869))</f>
        <v/>
      </c>
      <c r="O1869" s="44">
        <f>O1851*Settings!$C$13*(INDEX(O$407:O$418,$D1869)+INDEX(O$394:O$405,$D1869)+O1824*(1+$E1869))</f>
        <v/>
      </c>
      <c r="P1869" s="44">
        <f>P1851*Settings!$C$13*(INDEX(P$407:P$418,$D1869)+INDEX(P$394:P$405,$D1869)+P1824*(1+$E1869))</f>
        <v/>
      </c>
      <c r="Q1869" s="44">
        <f>Q1851*Settings!$C$13*(INDEX(Q$407:Q$418,$D1869)+INDEX(Q$394:Q$405,$D1869)+Q1824*(1+$E1869))</f>
        <v/>
      </c>
      <c r="R1869" s="44">
        <f>R1851*Settings!$C$13*(INDEX(R$407:R$418,$D1869)+INDEX(R$394:R$405,$D1869)+R1824*(1+$E1869))</f>
        <v/>
      </c>
      <c r="S1869" s="44">
        <f>S1851*Settings!$C$13*(INDEX(S$407:S$418,$D1869)+INDEX(S$394:S$405,$D1869)+S1824*(1+$E1869))</f>
        <v/>
      </c>
      <c r="T1869" s="44">
        <f>T1851*Settings!$C$13*(INDEX(T$407:T$418,$D1869)+INDEX(T$394:T$405,$D1869)+T1824*(1+$E1869))</f>
        <v/>
      </c>
      <c r="U1869" s="44">
        <f>U1851*Settings!$C$13*(INDEX(U$407:U$418,$D1869)+INDEX(U$394:U$405,$D1869)+U1824*(1+$E1869))</f>
        <v/>
      </c>
      <c r="V1869" s="44">
        <f>V1851*Settings!$C$13*(INDEX(V$407:V$418,$D1869)+INDEX(V$394:V$405,$D1869)+V1824*(1+$E1869))</f>
        <v/>
      </c>
      <c r="W1869" s="44">
        <f>W1851*Settings!$C$13*(INDEX(W$407:W$418,$D1869)+INDEX(W$394:W$405,$D1869)+W1824*(1+$E1869))</f>
        <v/>
      </c>
      <c r="X1869" s="44">
        <f>X1851*Settings!$C$13*(INDEX(X$407:X$418,$D1869)+INDEX(X$394:X$405,$D1869)+X1824*(1+$E1869))</f>
        <v/>
      </c>
      <c r="Y1869" s="44">
        <f>Y1851*Settings!$C$13*(INDEX(Y$407:Y$418,$D1869)+INDEX(Y$394:Y$405,$D1869)+Y1824*(1+$E1869))</f>
        <v/>
      </c>
      <c r="Z1869" s="44">
        <f>Z1851*Settings!$C$13*(INDEX(Z$407:Z$418,$D1869)+INDEX(Z$394:Z$405,$D1869)+Z1824*(1+$E1869))</f>
        <v/>
      </c>
      <c r="AA1869" s="44">
        <f>AA1851*Settings!$C$13*(INDEX(AA$407:AA$418,$D1869)+INDEX(AA$394:AA$405,$D1869)+AA1824*(1+$E1869))</f>
        <v/>
      </c>
      <c r="AB1869" s="44">
        <f>AB1851*Settings!$C$13*(INDEX(AB$407:AB$418,$D1869)+INDEX(AB$394:AB$405,$D1869)+AB1824*(1+$E1869))</f>
        <v/>
      </c>
      <c r="AC1869" s="44">
        <f>AC1851*Settings!$C$13*(INDEX(AC$407:AC$418,$D1869)+INDEX(AC$394:AC$405,$D1869)+AC1824*(1+$E1869))</f>
        <v/>
      </c>
      <c r="AD1869" s="44">
        <f>AD1851*Settings!$C$13*(INDEX(AD$407:AD$418,$D1869)+INDEX(AD$394:AD$405,$D1869)+AD1824*(1+$E1869))</f>
        <v/>
      </c>
      <c r="AE1869" s="57">
        <f>REVENUE(AE1851,Settings!$C$13,INDEX(AE$407:AE$418,$D1869)+INDEX(AE$394:AE$405,$D1869)+AE1824*(1+$E1869))</f>
        <v/>
      </c>
      <c r="AG1869" s="11">
        <f>CodePrefix&amp;$A1869&amp;IF($C1869="","","."&amp;$C1869&amp;"."&amp;$B1869)&amp;INDEX(VarEnd,MATCH($A1869,VarKey,0))&amp;AG$5</f>
        <v/>
      </c>
      <c r="AH1869" s="43">
        <f>AH1851*Settings!$C$13*(INDEX(AH$407:AH$418,$D1869)+INDEX(AH$394:AH$405,$D1869)+AH1824*(1+$E1869))</f>
        <v/>
      </c>
      <c r="AI1869" s="44">
        <f>AI1851*Settings!$C$13*(INDEX(AI$407:AI$418,$D1869)+INDEX(AI$394:AI$405,$D1869)+AI1824*(1+$E1869))</f>
        <v/>
      </c>
      <c r="AJ1869" s="44">
        <f>AJ1851*Settings!$C$13*(INDEX(AJ$407:AJ$418,$D1869)+INDEX(AJ$394:AJ$405,$D1869)+AJ1824*(1+$E1869))</f>
        <v/>
      </c>
      <c r="AK1869" s="44">
        <f>AK1851*Settings!$C$13*(INDEX(AK$407:AK$418,$D1869)+INDEX(AK$394:AK$405,$D1869)+AK1824*(1+$E1869))</f>
        <v/>
      </c>
      <c r="AL1869" s="44">
        <f>AL1851*Settings!$C$13*(INDEX(AL$407:AL$418,$D1869)+INDEX(AL$394:AL$405,$D1869)+AL1824*(1+$E1869))</f>
        <v/>
      </c>
      <c r="AM1869" s="44">
        <f>AM1851*Settings!$C$13*(INDEX(AM$407:AM$418,$D1869)+INDEX(AM$394:AM$405,$D1869)+AM1824*(1+$E1869))</f>
        <v/>
      </c>
      <c r="AN1869" s="44">
        <f>AN1851*Settings!$C$13*(INDEX(AN$407:AN$418,$D1869)+INDEX(AN$394:AN$405,$D1869)+AN1824*(1+$E1869))</f>
        <v/>
      </c>
      <c r="AO1869" s="44">
        <f>AO1851*Settings!$C$13*(INDEX(AO$407:AO$418,$D1869)+INDEX(AO$394:AO$405,$D1869)+AO1824*(1+$E1869))</f>
        <v/>
      </c>
      <c r="AP1869" s="44">
        <f>AP1851*Settings!$C$13*(INDEX(AP$407:AP$418,$D1869)+INDEX(AP$394:AP$405,$D1869)+AP1824*(1+$E1869))</f>
        <v/>
      </c>
      <c r="AQ1869" s="44">
        <f>AQ1851*Settings!$C$13*(INDEX(AQ$407:AQ$418,$D1869)+INDEX(AQ$394:AQ$405,$D1869)+AQ1824*(1+$E1869))</f>
        <v/>
      </c>
      <c r="AR1869" s="44">
        <f>AR1851*Settings!$C$13*(INDEX(AR$407:AR$418,$D1869)+INDEX(AR$394:AR$405,$D1869)+AR1824*(1+$E1869))</f>
        <v/>
      </c>
      <c r="AS1869" s="44">
        <f>AS1851*Settings!$C$13*(INDEX(AS$407:AS$418,$D1869)+INDEX(AS$394:AS$405,$D1869)+AS1824*(1+$E1869))</f>
        <v/>
      </c>
      <c r="AT1869" s="44">
        <f>AT1851*Settings!$C$13*(INDEX(AT$407:AT$418,$D1869)+INDEX(AT$394:AT$405,$D1869)+AT1824*(1+$E1869))</f>
        <v/>
      </c>
      <c r="AU1869" s="44">
        <f>AU1851*Settings!$C$13*(INDEX(AU$407:AU$418,$D1869)+INDEX(AU$394:AU$405,$D1869)+AU1824*(1+$E1869))</f>
        <v/>
      </c>
      <c r="AV1869" s="44">
        <f>AV1851*Settings!$C$13*(INDEX(AV$407:AV$418,$D1869)+INDEX(AV$394:AV$405,$D1869)+AV1824*(1+$E1869))</f>
        <v/>
      </c>
      <c r="AW1869" s="44">
        <f>AW1851*Settings!$C$13*(INDEX(AW$407:AW$418,$D1869)+INDEX(AW$394:AW$405,$D1869)+AW1824*(1+$E1869))</f>
        <v/>
      </c>
      <c r="AX1869" s="44">
        <f>AX1851*Settings!$C$13*(INDEX(AX$407:AX$418,$D1869)+INDEX(AX$394:AX$405,$D1869)+AX1824*(1+$E1869))</f>
        <v/>
      </c>
      <c r="AY1869" s="44">
        <f>AY1851*Settings!$C$13*(INDEX(AY$407:AY$418,$D1869)+INDEX(AY$394:AY$405,$D1869)+AY1824*(1+$E1869))</f>
        <v/>
      </c>
      <c r="AZ1869" s="44">
        <f>AZ1851*Settings!$C$13*(INDEX(AZ$407:AZ$418,$D1869)+INDEX(AZ$394:AZ$405,$D1869)+AZ1824*(1+$E1869))</f>
        <v/>
      </c>
      <c r="BA1869" s="57">
        <f>REVENUE(BA1851,Settings!$C$13,INDEX(BA$407:BA$418,$D1869)+INDEX(BA$394:BA$405,$D1869)+BA1824*(1+$E1869))</f>
        <v/>
      </c>
    </row>
    <row r="1870" hidden="1" outlineLevel="2">
      <c r="A1870" s="14" t="inlineStr">
        <is>
          <t>rtx</t>
        </is>
      </c>
      <c r="B1870" s="14" t="inlineStr">
        <is>
          <t>gso</t>
        </is>
      </c>
      <c r="C1870" s="14" t="inlineStr">
        <is>
          <t>srv</t>
        </is>
      </c>
      <c r="D1870" s="35">
        <f>INDEX(Inputs!$U$5:$U$132,MATCH($B1870&amp;"|"&amp;$C1870,Inputs!$A$5:$A$132,0))</f>
        <v/>
      </c>
      <c r="E1870" s="35">
        <f>INDEX(Inputs!$V$5:$V$132,MATCH($B1870&amp;"|"&amp;$C1870,Inputs!$A$5:$A$132,0))</f>
        <v/>
      </c>
      <c r="F1870" s="39" t="n"/>
      <c r="G1870" s="39" t="n"/>
      <c r="H1870" s="14">
        <f>INDEX(VarLab,MATCH($A1870,VarKey,0))&amp;INDEX(MemLab,MATCH($C1870&amp;"|"&amp;$B1870,MemKey,0))</f>
        <v/>
      </c>
      <c r="I1870" s="14">
        <f>INDEX(VarUnit,MATCH($A1870,VarKey,0))</f>
        <v/>
      </c>
      <c r="J1870" s="14">
        <f>INDEX(VarSrc,MATCH($A1870,VarKey,0))</f>
        <v/>
      </c>
      <c r="K1870" s="11">
        <f>CodePrefix&amp;$A1870&amp;IF($C1870="","","."&amp;$C1870&amp;"."&amp;$B1870)&amp;INDEX(VarEnd,MATCH($A1870,VarKey,0))&amp;K$5</f>
        <v/>
      </c>
      <c r="L1870" s="43">
        <f>L1852*Settings!$C$13*(INDEX(L$407:L$418,$D1870)+INDEX(L$394:L$405,$D1870)+L1825*(1+$E1870))</f>
        <v/>
      </c>
      <c r="M1870" s="44">
        <f>M1852*Settings!$C$13*(INDEX(M$407:M$418,$D1870)+INDEX(M$394:M$405,$D1870)+M1825*(1+$E1870))</f>
        <v/>
      </c>
      <c r="N1870" s="44">
        <f>N1852*Settings!$C$13*(INDEX(N$407:N$418,$D1870)+INDEX(N$394:N$405,$D1870)+N1825*(1+$E1870))</f>
        <v/>
      </c>
      <c r="O1870" s="44">
        <f>O1852*Settings!$C$13*(INDEX(O$407:O$418,$D1870)+INDEX(O$394:O$405,$D1870)+O1825*(1+$E1870))</f>
        <v/>
      </c>
      <c r="P1870" s="44">
        <f>P1852*Settings!$C$13*(INDEX(P$407:P$418,$D1870)+INDEX(P$394:P$405,$D1870)+P1825*(1+$E1870))</f>
        <v/>
      </c>
      <c r="Q1870" s="44">
        <f>Q1852*Settings!$C$13*(INDEX(Q$407:Q$418,$D1870)+INDEX(Q$394:Q$405,$D1870)+Q1825*(1+$E1870))</f>
        <v/>
      </c>
      <c r="R1870" s="44">
        <f>R1852*Settings!$C$13*(INDEX(R$407:R$418,$D1870)+INDEX(R$394:R$405,$D1870)+R1825*(1+$E1870))</f>
        <v/>
      </c>
      <c r="S1870" s="44">
        <f>S1852*Settings!$C$13*(INDEX(S$407:S$418,$D1870)+INDEX(S$394:S$405,$D1870)+S1825*(1+$E1870))</f>
        <v/>
      </c>
      <c r="T1870" s="44">
        <f>T1852*Settings!$C$13*(INDEX(T$407:T$418,$D1870)+INDEX(T$394:T$405,$D1870)+T1825*(1+$E1870))</f>
        <v/>
      </c>
      <c r="U1870" s="44">
        <f>U1852*Settings!$C$13*(INDEX(U$407:U$418,$D1870)+INDEX(U$394:U$405,$D1870)+U1825*(1+$E1870))</f>
        <v/>
      </c>
      <c r="V1870" s="44">
        <f>V1852*Settings!$C$13*(INDEX(V$407:V$418,$D1870)+INDEX(V$394:V$405,$D1870)+V1825*(1+$E1870))</f>
        <v/>
      </c>
      <c r="W1870" s="44">
        <f>W1852*Settings!$C$13*(INDEX(W$407:W$418,$D1870)+INDEX(W$394:W$405,$D1870)+W1825*(1+$E1870))</f>
        <v/>
      </c>
      <c r="X1870" s="44">
        <f>X1852*Settings!$C$13*(INDEX(X$407:X$418,$D1870)+INDEX(X$394:X$405,$D1870)+X1825*(1+$E1870))</f>
        <v/>
      </c>
      <c r="Y1870" s="44">
        <f>Y1852*Settings!$C$13*(INDEX(Y$407:Y$418,$D1870)+INDEX(Y$394:Y$405,$D1870)+Y1825*(1+$E1870))</f>
        <v/>
      </c>
      <c r="Z1870" s="44">
        <f>Z1852*Settings!$C$13*(INDEX(Z$407:Z$418,$D1870)+INDEX(Z$394:Z$405,$D1870)+Z1825*(1+$E1870))</f>
        <v/>
      </c>
      <c r="AA1870" s="44">
        <f>AA1852*Settings!$C$13*(INDEX(AA$407:AA$418,$D1870)+INDEX(AA$394:AA$405,$D1870)+AA1825*(1+$E1870))</f>
        <v/>
      </c>
      <c r="AB1870" s="44">
        <f>AB1852*Settings!$C$13*(INDEX(AB$407:AB$418,$D1870)+INDEX(AB$394:AB$405,$D1870)+AB1825*(1+$E1870))</f>
        <v/>
      </c>
      <c r="AC1870" s="44">
        <f>AC1852*Settings!$C$13*(INDEX(AC$407:AC$418,$D1870)+INDEX(AC$394:AC$405,$D1870)+AC1825*(1+$E1870))</f>
        <v/>
      </c>
      <c r="AD1870" s="44">
        <f>AD1852*Settings!$C$13*(INDEX(AD$407:AD$418,$D1870)+INDEX(AD$394:AD$405,$D1870)+AD1825*(1+$E1870))</f>
        <v/>
      </c>
      <c r="AE1870" s="57">
        <f>REVENUE(AE1852,Settings!$C$13,INDEX(AE$407:AE$418,$D1870)+INDEX(AE$394:AE$405,$D1870)+AE1825*(1+$E1870))</f>
        <v/>
      </c>
      <c r="AG1870" s="11">
        <f>CodePrefix&amp;$A1870&amp;IF($C1870="","","."&amp;$C1870&amp;"."&amp;$B1870)&amp;INDEX(VarEnd,MATCH($A1870,VarKey,0))&amp;AG$5</f>
        <v/>
      </c>
      <c r="AH1870" s="43">
        <f>AH1852*Settings!$C$13*(INDEX(AH$407:AH$418,$D1870)+INDEX(AH$394:AH$405,$D1870)+AH1825*(1+$E1870))</f>
        <v/>
      </c>
      <c r="AI1870" s="44">
        <f>AI1852*Settings!$C$13*(INDEX(AI$407:AI$418,$D1870)+INDEX(AI$394:AI$405,$D1870)+AI1825*(1+$E1870))</f>
        <v/>
      </c>
      <c r="AJ1870" s="44">
        <f>AJ1852*Settings!$C$13*(INDEX(AJ$407:AJ$418,$D1870)+INDEX(AJ$394:AJ$405,$D1870)+AJ1825*(1+$E1870))</f>
        <v/>
      </c>
      <c r="AK1870" s="44">
        <f>AK1852*Settings!$C$13*(INDEX(AK$407:AK$418,$D1870)+INDEX(AK$394:AK$405,$D1870)+AK1825*(1+$E1870))</f>
        <v/>
      </c>
      <c r="AL1870" s="44">
        <f>AL1852*Settings!$C$13*(INDEX(AL$407:AL$418,$D1870)+INDEX(AL$394:AL$405,$D1870)+AL1825*(1+$E1870))</f>
        <v/>
      </c>
      <c r="AM1870" s="44">
        <f>AM1852*Settings!$C$13*(INDEX(AM$407:AM$418,$D1870)+INDEX(AM$394:AM$405,$D1870)+AM1825*(1+$E1870))</f>
        <v/>
      </c>
      <c r="AN1870" s="44">
        <f>AN1852*Settings!$C$13*(INDEX(AN$407:AN$418,$D1870)+INDEX(AN$394:AN$405,$D1870)+AN1825*(1+$E1870))</f>
        <v/>
      </c>
      <c r="AO1870" s="44">
        <f>AO1852*Settings!$C$13*(INDEX(AO$407:AO$418,$D1870)+INDEX(AO$394:AO$405,$D1870)+AO1825*(1+$E1870))</f>
        <v/>
      </c>
      <c r="AP1870" s="44">
        <f>AP1852*Settings!$C$13*(INDEX(AP$407:AP$418,$D1870)+INDEX(AP$394:AP$405,$D1870)+AP1825*(1+$E1870))</f>
        <v/>
      </c>
      <c r="AQ1870" s="44">
        <f>AQ1852*Settings!$C$13*(INDEX(AQ$407:AQ$418,$D1870)+INDEX(AQ$394:AQ$405,$D1870)+AQ1825*(1+$E1870))</f>
        <v/>
      </c>
      <c r="AR1870" s="44">
        <f>AR1852*Settings!$C$13*(INDEX(AR$407:AR$418,$D1870)+INDEX(AR$394:AR$405,$D1870)+AR1825*(1+$E1870))</f>
        <v/>
      </c>
      <c r="AS1870" s="44">
        <f>AS1852*Settings!$C$13*(INDEX(AS$407:AS$418,$D1870)+INDEX(AS$394:AS$405,$D1870)+AS1825*(1+$E1870))</f>
        <v/>
      </c>
      <c r="AT1870" s="44">
        <f>AT1852*Settings!$C$13*(INDEX(AT$407:AT$418,$D1870)+INDEX(AT$394:AT$405,$D1870)+AT1825*(1+$E1870))</f>
        <v/>
      </c>
      <c r="AU1870" s="44">
        <f>AU1852*Settings!$C$13*(INDEX(AU$407:AU$418,$D1870)+INDEX(AU$394:AU$405,$D1870)+AU1825*(1+$E1870))</f>
        <v/>
      </c>
      <c r="AV1870" s="44">
        <f>AV1852*Settings!$C$13*(INDEX(AV$407:AV$418,$D1870)+INDEX(AV$394:AV$405,$D1870)+AV1825*(1+$E1870))</f>
        <v/>
      </c>
      <c r="AW1870" s="44">
        <f>AW1852*Settings!$C$13*(INDEX(AW$407:AW$418,$D1870)+INDEX(AW$394:AW$405,$D1870)+AW1825*(1+$E1870))</f>
        <v/>
      </c>
      <c r="AX1870" s="44">
        <f>AX1852*Settings!$C$13*(INDEX(AX$407:AX$418,$D1870)+INDEX(AX$394:AX$405,$D1870)+AX1825*(1+$E1870))</f>
        <v/>
      </c>
      <c r="AY1870" s="44">
        <f>AY1852*Settings!$C$13*(INDEX(AY$407:AY$418,$D1870)+INDEX(AY$394:AY$405,$D1870)+AY1825*(1+$E1870))</f>
        <v/>
      </c>
      <c r="AZ1870" s="44">
        <f>AZ1852*Settings!$C$13*(INDEX(AZ$407:AZ$418,$D1870)+INDEX(AZ$394:AZ$405,$D1870)+AZ1825*(1+$E1870))</f>
        <v/>
      </c>
      <c r="BA1870" s="57">
        <f>REVENUE(BA1852,Settings!$C$13,INDEX(BA$407:BA$418,$D1870)+INDEX(BA$394:BA$405,$D1870)+BA1825*(1+$E1870))</f>
        <v/>
      </c>
    </row>
    <row r="1871" hidden="1" outlineLevel="2">
      <c r="A1871" s="14" t="inlineStr">
        <is>
          <t>rtx</t>
        </is>
      </c>
      <c r="B1871" s="14" t="inlineStr">
        <is>
          <t>die</t>
        </is>
      </c>
      <c r="C1871" s="14" t="inlineStr">
        <is>
          <t>srv</t>
        </is>
      </c>
      <c r="D1871" s="35">
        <f>INDEX(Inputs!$U$5:$U$132,MATCH($B1871&amp;"|"&amp;$C1871,Inputs!$A$5:$A$132,0))</f>
        <v/>
      </c>
      <c r="E1871" s="35">
        <f>INDEX(Inputs!$V$5:$V$132,MATCH($B1871&amp;"|"&amp;$C1871,Inputs!$A$5:$A$132,0))</f>
        <v/>
      </c>
      <c r="F1871" s="39" t="n"/>
      <c r="G1871" s="39" t="n"/>
      <c r="H1871" s="14">
        <f>INDEX(VarLab,MATCH($A1871,VarKey,0))&amp;INDEX(MemLab,MATCH($C1871&amp;"|"&amp;$B1871,MemKey,0))</f>
        <v/>
      </c>
      <c r="I1871" s="14">
        <f>INDEX(VarUnit,MATCH($A1871,VarKey,0))</f>
        <v/>
      </c>
      <c r="J1871" s="14">
        <f>INDEX(VarSrc,MATCH($A1871,VarKey,0))</f>
        <v/>
      </c>
      <c r="K1871" s="11">
        <f>CodePrefix&amp;$A1871&amp;IF($C1871="","","."&amp;$C1871&amp;"."&amp;$B1871)&amp;INDEX(VarEnd,MATCH($A1871,VarKey,0))&amp;K$5</f>
        <v/>
      </c>
      <c r="L1871" s="43">
        <f>L1853*Settings!$C$13*(INDEX(L$407:L$418,$D1871)+INDEX(L$394:L$405,$D1871)+L1826*(1+$E1871))</f>
        <v/>
      </c>
      <c r="M1871" s="44">
        <f>M1853*Settings!$C$13*(INDEX(M$407:M$418,$D1871)+INDEX(M$394:M$405,$D1871)+M1826*(1+$E1871))</f>
        <v/>
      </c>
      <c r="N1871" s="44">
        <f>N1853*Settings!$C$13*(INDEX(N$407:N$418,$D1871)+INDEX(N$394:N$405,$D1871)+N1826*(1+$E1871))</f>
        <v/>
      </c>
      <c r="O1871" s="44">
        <f>O1853*Settings!$C$13*(INDEX(O$407:O$418,$D1871)+INDEX(O$394:O$405,$D1871)+O1826*(1+$E1871))</f>
        <v/>
      </c>
      <c r="P1871" s="44">
        <f>P1853*Settings!$C$13*(INDEX(P$407:P$418,$D1871)+INDEX(P$394:P$405,$D1871)+P1826*(1+$E1871))</f>
        <v/>
      </c>
      <c r="Q1871" s="44">
        <f>Q1853*Settings!$C$13*(INDEX(Q$407:Q$418,$D1871)+INDEX(Q$394:Q$405,$D1871)+Q1826*(1+$E1871))</f>
        <v/>
      </c>
      <c r="R1871" s="44">
        <f>R1853*Settings!$C$13*(INDEX(R$407:R$418,$D1871)+INDEX(R$394:R$405,$D1871)+R1826*(1+$E1871))</f>
        <v/>
      </c>
      <c r="S1871" s="44">
        <f>S1853*Settings!$C$13*(INDEX(S$407:S$418,$D1871)+INDEX(S$394:S$405,$D1871)+S1826*(1+$E1871))</f>
        <v/>
      </c>
      <c r="T1871" s="44">
        <f>T1853*Settings!$C$13*(INDEX(T$407:T$418,$D1871)+INDEX(T$394:T$405,$D1871)+T1826*(1+$E1871))</f>
        <v/>
      </c>
      <c r="U1871" s="44">
        <f>U1853*Settings!$C$13*(INDEX(U$407:U$418,$D1871)+INDEX(U$394:U$405,$D1871)+U1826*(1+$E1871))</f>
        <v/>
      </c>
      <c r="V1871" s="44">
        <f>V1853*Settings!$C$13*(INDEX(V$407:V$418,$D1871)+INDEX(V$394:V$405,$D1871)+V1826*(1+$E1871))</f>
        <v/>
      </c>
      <c r="W1871" s="44">
        <f>W1853*Settings!$C$13*(INDEX(W$407:W$418,$D1871)+INDEX(W$394:W$405,$D1871)+W1826*(1+$E1871))</f>
        <v/>
      </c>
      <c r="X1871" s="44">
        <f>X1853*Settings!$C$13*(INDEX(X$407:X$418,$D1871)+INDEX(X$394:X$405,$D1871)+X1826*(1+$E1871))</f>
        <v/>
      </c>
      <c r="Y1871" s="44">
        <f>Y1853*Settings!$C$13*(INDEX(Y$407:Y$418,$D1871)+INDEX(Y$394:Y$405,$D1871)+Y1826*(1+$E1871))</f>
        <v/>
      </c>
      <c r="Z1871" s="44">
        <f>Z1853*Settings!$C$13*(INDEX(Z$407:Z$418,$D1871)+INDEX(Z$394:Z$405,$D1871)+Z1826*(1+$E1871))</f>
        <v/>
      </c>
      <c r="AA1871" s="44">
        <f>AA1853*Settings!$C$13*(INDEX(AA$407:AA$418,$D1871)+INDEX(AA$394:AA$405,$D1871)+AA1826*(1+$E1871))</f>
        <v/>
      </c>
      <c r="AB1871" s="44">
        <f>AB1853*Settings!$C$13*(INDEX(AB$407:AB$418,$D1871)+INDEX(AB$394:AB$405,$D1871)+AB1826*(1+$E1871))</f>
        <v/>
      </c>
      <c r="AC1871" s="44">
        <f>AC1853*Settings!$C$13*(INDEX(AC$407:AC$418,$D1871)+INDEX(AC$394:AC$405,$D1871)+AC1826*(1+$E1871))</f>
        <v/>
      </c>
      <c r="AD1871" s="44">
        <f>AD1853*Settings!$C$13*(INDEX(AD$407:AD$418,$D1871)+INDEX(AD$394:AD$405,$D1871)+AD1826*(1+$E1871))</f>
        <v/>
      </c>
      <c r="AE1871" s="57">
        <f>REVENUE(AE1853,Settings!$C$13,INDEX(AE$407:AE$418,$D1871)+INDEX(AE$394:AE$405,$D1871)+AE1826*(1+$E1871))</f>
        <v/>
      </c>
      <c r="AG1871" s="11">
        <f>CodePrefix&amp;$A1871&amp;IF($C1871="","","."&amp;$C1871&amp;"."&amp;$B1871)&amp;INDEX(VarEnd,MATCH($A1871,VarKey,0))&amp;AG$5</f>
        <v/>
      </c>
      <c r="AH1871" s="43">
        <f>AH1853*Settings!$C$13*(INDEX(AH$407:AH$418,$D1871)+INDEX(AH$394:AH$405,$D1871)+AH1826*(1+$E1871))</f>
        <v/>
      </c>
      <c r="AI1871" s="44">
        <f>AI1853*Settings!$C$13*(INDEX(AI$407:AI$418,$D1871)+INDEX(AI$394:AI$405,$D1871)+AI1826*(1+$E1871))</f>
        <v/>
      </c>
      <c r="AJ1871" s="44">
        <f>AJ1853*Settings!$C$13*(INDEX(AJ$407:AJ$418,$D1871)+INDEX(AJ$394:AJ$405,$D1871)+AJ1826*(1+$E1871))</f>
        <v/>
      </c>
      <c r="AK1871" s="44">
        <f>AK1853*Settings!$C$13*(INDEX(AK$407:AK$418,$D1871)+INDEX(AK$394:AK$405,$D1871)+AK1826*(1+$E1871))</f>
        <v/>
      </c>
      <c r="AL1871" s="44">
        <f>AL1853*Settings!$C$13*(INDEX(AL$407:AL$418,$D1871)+INDEX(AL$394:AL$405,$D1871)+AL1826*(1+$E1871))</f>
        <v/>
      </c>
      <c r="AM1871" s="44">
        <f>AM1853*Settings!$C$13*(INDEX(AM$407:AM$418,$D1871)+INDEX(AM$394:AM$405,$D1871)+AM1826*(1+$E1871))</f>
        <v/>
      </c>
      <c r="AN1871" s="44">
        <f>AN1853*Settings!$C$13*(INDEX(AN$407:AN$418,$D1871)+INDEX(AN$394:AN$405,$D1871)+AN1826*(1+$E1871))</f>
        <v/>
      </c>
      <c r="AO1871" s="44">
        <f>AO1853*Settings!$C$13*(INDEX(AO$407:AO$418,$D1871)+INDEX(AO$394:AO$405,$D1871)+AO1826*(1+$E1871))</f>
        <v/>
      </c>
      <c r="AP1871" s="44">
        <f>AP1853*Settings!$C$13*(INDEX(AP$407:AP$418,$D1871)+INDEX(AP$394:AP$405,$D1871)+AP1826*(1+$E1871))</f>
        <v/>
      </c>
      <c r="AQ1871" s="44">
        <f>AQ1853*Settings!$C$13*(INDEX(AQ$407:AQ$418,$D1871)+INDEX(AQ$394:AQ$405,$D1871)+AQ1826*(1+$E1871))</f>
        <v/>
      </c>
      <c r="AR1871" s="44">
        <f>AR1853*Settings!$C$13*(INDEX(AR$407:AR$418,$D1871)+INDEX(AR$394:AR$405,$D1871)+AR1826*(1+$E1871))</f>
        <v/>
      </c>
      <c r="AS1871" s="44">
        <f>AS1853*Settings!$C$13*(INDEX(AS$407:AS$418,$D1871)+INDEX(AS$394:AS$405,$D1871)+AS1826*(1+$E1871))</f>
        <v/>
      </c>
      <c r="AT1871" s="44">
        <f>AT1853*Settings!$C$13*(INDEX(AT$407:AT$418,$D1871)+INDEX(AT$394:AT$405,$D1871)+AT1826*(1+$E1871))</f>
        <v/>
      </c>
      <c r="AU1871" s="44">
        <f>AU1853*Settings!$C$13*(INDEX(AU$407:AU$418,$D1871)+INDEX(AU$394:AU$405,$D1871)+AU1826*(1+$E1871))</f>
        <v/>
      </c>
      <c r="AV1871" s="44">
        <f>AV1853*Settings!$C$13*(INDEX(AV$407:AV$418,$D1871)+INDEX(AV$394:AV$405,$D1871)+AV1826*(1+$E1871))</f>
        <v/>
      </c>
      <c r="AW1871" s="44">
        <f>AW1853*Settings!$C$13*(INDEX(AW$407:AW$418,$D1871)+INDEX(AW$394:AW$405,$D1871)+AW1826*(1+$E1871))</f>
        <v/>
      </c>
      <c r="AX1871" s="44">
        <f>AX1853*Settings!$C$13*(INDEX(AX$407:AX$418,$D1871)+INDEX(AX$394:AX$405,$D1871)+AX1826*(1+$E1871))</f>
        <v/>
      </c>
      <c r="AY1871" s="44">
        <f>AY1853*Settings!$C$13*(INDEX(AY$407:AY$418,$D1871)+INDEX(AY$394:AY$405,$D1871)+AY1826*(1+$E1871))</f>
        <v/>
      </c>
      <c r="AZ1871" s="44">
        <f>AZ1853*Settings!$C$13*(INDEX(AZ$407:AZ$418,$D1871)+INDEX(AZ$394:AZ$405,$D1871)+AZ1826*(1+$E1871))</f>
        <v/>
      </c>
      <c r="BA1871" s="57">
        <f>REVENUE(BA1853,Settings!$C$13,INDEX(BA$407:BA$418,$D1871)+INDEX(BA$394:BA$405,$D1871)+BA1826*(1+$E1871))</f>
        <v/>
      </c>
    </row>
    <row r="1872" hidden="1" outlineLevel="2">
      <c r="A1872" s="14" t="inlineStr">
        <is>
          <t>rtx</t>
        </is>
      </c>
      <c r="B1872" s="14" t="inlineStr">
        <is>
          <t>lpg</t>
        </is>
      </c>
      <c r="C1872" s="14" t="inlineStr">
        <is>
          <t>srv</t>
        </is>
      </c>
      <c r="D1872" s="35">
        <f>INDEX(Inputs!$U$5:$U$132,MATCH($B1872&amp;"|"&amp;$C1872,Inputs!$A$5:$A$132,0))</f>
        <v/>
      </c>
      <c r="E1872" s="35">
        <f>INDEX(Inputs!$V$5:$V$132,MATCH($B1872&amp;"|"&amp;$C1872,Inputs!$A$5:$A$132,0))</f>
        <v/>
      </c>
      <c r="F1872" s="39" t="n"/>
      <c r="G1872" s="39" t="n"/>
      <c r="H1872" s="14">
        <f>INDEX(VarLab,MATCH($A1872,VarKey,0))&amp;INDEX(MemLab,MATCH($C1872&amp;"|"&amp;$B1872,MemKey,0))</f>
        <v/>
      </c>
      <c r="I1872" s="14">
        <f>INDEX(VarUnit,MATCH($A1872,VarKey,0))</f>
        <v/>
      </c>
      <c r="J1872" s="14">
        <f>INDEX(VarSrc,MATCH($A1872,VarKey,0))</f>
        <v/>
      </c>
      <c r="K1872" s="11">
        <f>CodePrefix&amp;$A1872&amp;IF($C1872="","","."&amp;$C1872&amp;"."&amp;$B1872)&amp;INDEX(VarEnd,MATCH($A1872,VarKey,0))&amp;K$5</f>
        <v/>
      </c>
      <c r="L1872" s="43">
        <f>L1854*Settings!$C$13*(INDEX(L$407:L$418,$D1872)+INDEX(L$394:L$405,$D1872)+L1827*(1+$E1872))</f>
        <v/>
      </c>
      <c r="M1872" s="44">
        <f>M1854*Settings!$C$13*(INDEX(M$407:M$418,$D1872)+INDEX(M$394:M$405,$D1872)+M1827*(1+$E1872))</f>
        <v/>
      </c>
      <c r="N1872" s="44">
        <f>N1854*Settings!$C$13*(INDEX(N$407:N$418,$D1872)+INDEX(N$394:N$405,$D1872)+N1827*(1+$E1872))</f>
        <v/>
      </c>
      <c r="O1872" s="44">
        <f>O1854*Settings!$C$13*(INDEX(O$407:O$418,$D1872)+INDEX(O$394:O$405,$D1872)+O1827*(1+$E1872))</f>
        <v/>
      </c>
      <c r="P1872" s="44">
        <f>P1854*Settings!$C$13*(INDEX(P$407:P$418,$D1872)+INDEX(P$394:P$405,$D1872)+P1827*(1+$E1872))</f>
        <v/>
      </c>
      <c r="Q1872" s="44">
        <f>Q1854*Settings!$C$13*(INDEX(Q$407:Q$418,$D1872)+INDEX(Q$394:Q$405,$D1872)+Q1827*(1+$E1872))</f>
        <v/>
      </c>
      <c r="R1872" s="44">
        <f>R1854*Settings!$C$13*(INDEX(R$407:R$418,$D1872)+INDEX(R$394:R$405,$D1872)+R1827*(1+$E1872))</f>
        <v/>
      </c>
      <c r="S1872" s="44">
        <f>S1854*Settings!$C$13*(INDEX(S$407:S$418,$D1872)+INDEX(S$394:S$405,$D1872)+S1827*(1+$E1872))</f>
        <v/>
      </c>
      <c r="T1872" s="44">
        <f>T1854*Settings!$C$13*(INDEX(T$407:T$418,$D1872)+INDEX(T$394:T$405,$D1872)+T1827*(1+$E1872))</f>
        <v/>
      </c>
      <c r="U1872" s="44">
        <f>U1854*Settings!$C$13*(INDEX(U$407:U$418,$D1872)+INDEX(U$394:U$405,$D1872)+U1827*(1+$E1872))</f>
        <v/>
      </c>
      <c r="V1872" s="44">
        <f>V1854*Settings!$C$13*(INDEX(V$407:V$418,$D1872)+INDEX(V$394:V$405,$D1872)+V1827*(1+$E1872))</f>
        <v/>
      </c>
      <c r="W1872" s="44">
        <f>W1854*Settings!$C$13*(INDEX(W$407:W$418,$D1872)+INDEX(W$394:W$405,$D1872)+W1827*(1+$E1872))</f>
        <v/>
      </c>
      <c r="X1872" s="44">
        <f>X1854*Settings!$C$13*(INDEX(X$407:X$418,$D1872)+INDEX(X$394:X$405,$D1872)+X1827*(1+$E1872))</f>
        <v/>
      </c>
      <c r="Y1872" s="44">
        <f>Y1854*Settings!$C$13*(INDEX(Y$407:Y$418,$D1872)+INDEX(Y$394:Y$405,$D1872)+Y1827*(1+$E1872))</f>
        <v/>
      </c>
      <c r="Z1872" s="44">
        <f>Z1854*Settings!$C$13*(INDEX(Z$407:Z$418,$D1872)+INDEX(Z$394:Z$405,$D1872)+Z1827*(1+$E1872))</f>
        <v/>
      </c>
      <c r="AA1872" s="44">
        <f>AA1854*Settings!$C$13*(INDEX(AA$407:AA$418,$D1872)+INDEX(AA$394:AA$405,$D1872)+AA1827*(1+$E1872))</f>
        <v/>
      </c>
      <c r="AB1872" s="44">
        <f>AB1854*Settings!$C$13*(INDEX(AB$407:AB$418,$D1872)+INDEX(AB$394:AB$405,$D1872)+AB1827*(1+$E1872))</f>
        <v/>
      </c>
      <c r="AC1872" s="44">
        <f>AC1854*Settings!$C$13*(INDEX(AC$407:AC$418,$D1872)+INDEX(AC$394:AC$405,$D1872)+AC1827*(1+$E1872))</f>
        <v/>
      </c>
      <c r="AD1872" s="44">
        <f>AD1854*Settings!$C$13*(INDEX(AD$407:AD$418,$D1872)+INDEX(AD$394:AD$405,$D1872)+AD1827*(1+$E1872))</f>
        <v/>
      </c>
      <c r="AE1872" s="57">
        <f>REVENUE(AE1854,Settings!$C$13,INDEX(AE$407:AE$418,$D1872)+INDEX(AE$394:AE$405,$D1872)+AE1827*(1+$E1872))</f>
        <v/>
      </c>
      <c r="AG1872" s="11">
        <f>CodePrefix&amp;$A1872&amp;IF($C1872="","","."&amp;$C1872&amp;"."&amp;$B1872)&amp;INDEX(VarEnd,MATCH($A1872,VarKey,0))&amp;AG$5</f>
        <v/>
      </c>
      <c r="AH1872" s="43">
        <f>AH1854*Settings!$C$13*(INDEX(AH$407:AH$418,$D1872)+INDEX(AH$394:AH$405,$D1872)+AH1827*(1+$E1872))</f>
        <v/>
      </c>
      <c r="AI1872" s="44">
        <f>AI1854*Settings!$C$13*(INDEX(AI$407:AI$418,$D1872)+INDEX(AI$394:AI$405,$D1872)+AI1827*(1+$E1872))</f>
        <v/>
      </c>
      <c r="AJ1872" s="44">
        <f>AJ1854*Settings!$C$13*(INDEX(AJ$407:AJ$418,$D1872)+INDEX(AJ$394:AJ$405,$D1872)+AJ1827*(1+$E1872))</f>
        <v/>
      </c>
      <c r="AK1872" s="44">
        <f>AK1854*Settings!$C$13*(INDEX(AK$407:AK$418,$D1872)+INDEX(AK$394:AK$405,$D1872)+AK1827*(1+$E1872))</f>
        <v/>
      </c>
      <c r="AL1872" s="44">
        <f>AL1854*Settings!$C$13*(INDEX(AL$407:AL$418,$D1872)+INDEX(AL$394:AL$405,$D1872)+AL1827*(1+$E1872))</f>
        <v/>
      </c>
      <c r="AM1872" s="44">
        <f>AM1854*Settings!$C$13*(INDEX(AM$407:AM$418,$D1872)+INDEX(AM$394:AM$405,$D1872)+AM1827*(1+$E1872))</f>
        <v/>
      </c>
      <c r="AN1872" s="44">
        <f>AN1854*Settings!$C$13*(INDEX(AN$407:AN$418,$D1872)+INDEX(AN$394:AN$405,$D1872)+AN1827*(1+$E1872))</f>
        <v/>
      </c>
      <c r="AO1872" s="44">
        <f>AO1854*Settings!$C$13*(INDEX(AO$407:AO$418,$D1872)+INDEX(AO$394:AO$405,$D1872)+AO1827*(1+$E1872))</f>
        <v/>
      </c>
      <c r="AP1872" s="44">
        <f>AP1854*Settings!$C$13*(INDEX(AP$407:AP$418,$D1872)+INDEX(AP$394:AP$405,$D1872)+AP1827*(1+$E1872))</f>
        <v/>
      </c>
      <c r="AQ1872" s="44">
        <f>AQ1854*Settings!$C$13*(INDEX(AQ$407:AQ$418,$D1872)+INDEX(AQ$394:AQ$405,$D1872)+AQ1827*(1+$E1872))</f>
        <v/>
      </c>
      <c r="AR1872" s="44">
        <f>AR1854*Settings!$C$13*(INDEX(AR$407:AR$418,$D1872)+INDEX(AR$394:AR$405,$D1872)+AR1827*(1+$E1872))</f>
        <v/>
      </c>
      <c r="AS1872" s="44">
        <f>AS1854*Settings!$C$13*(INDEX(AS$407:AS$418,$D1872)+INDEX(AS$394:AS$405,$D1872)+AS1827*(1+$E1872))</f>
        <v/>
      </c>
      <c r="AT1872" s="44">
        <f>AT1854*Settings!$C$13*(INDEX(AT$407:AT$418,$D1872)+INDEX(AT$394:AT$405,$D1872)+AT1827*(1+$E1872))</f>
        <v/>
      </c>
      <c r="AU1872" s="44">
        <f>AU1854*Settings!$C$13*(INDEX(AU$407:AU$418,$D1872)+INDEX(AU$394:AU$405,$D1872)+AU1827*(1+$E1872))</f>
        <v/>
      </c>
      <c r="AV1872" s="44">
        <f>AV1854*Settings!$C$13*(INDEX(AV$407:AV$418,$D1872)+INDEX(AV$394:AV$405,$D1872)+AV1827*(1+$E1872))</f>
        <v/>
      </c>
      <c r="AW1872" s="44">
        <f>AW1854*Settings!$C$13*(INDEX(AW$407:AW$418,$D1872)+INDEX(AW$394:AW$405,$D1872)+AW1827*(1+$E1872))</f>
        <v/>
      </c>
      <c r="AX1872" s="44">
        <f>AX1854*Settings!$C$13*(INDEX(AX$407:AX$418,$D1872)+INDEX(AX$394:AX$405,$D1872)+AX1827*(1+$E1872))</f>
        <v/>
      </c>
      <c r="AY1872" s="44">
        <f>AY1854*Settings!$C$13*(INDEX(AY$407:AY$418,$D1872)+INDEX(AY$394:AY$405,$D1872)+AY1827*(1+$E1872))</f>
        <v/>
      </c>
      <c r="AZ1872" s="44">
        <f>AZ1854*Settings!$C$13*(INDEX(AZ$407:AZ$418,$D1872)+INDEX(AZ$394:AZ$405,$D1872)+AZ1827*(1+$E1872))</f>
        <v/>
      </c>
      <c r="BA1872" s="57">
        <f>REVENUE(BA1854,Settings!$C$13,INDEX(BA$407:BA$418,$D1872)+INDEX(BA$394:BA$405,$D1872)+BA1827*(1+$E1872))</f>
        <v/>
      </c>
    </row>
    <row r="1873" hidden="1" outlineLevel="2">
      <c r="A1873" s="14" t="inlineStr">
        <is>
          <t>rtx</t>
        </is>
      </c>
      <c r="B1873" s="14" t="inlineStr">
        <is>
          <t>ker</t>
        </is>
      </c>
      <c r="C1873" s="14" t="inlineStr">
        <is>
          <t>srv</t>
        </is>
      </c>
      <c r="D1873" s="35">
        <f>INDEX(Inputs!$U$5:$U$132,MATCH($B1873&amp;"|"&amp;$C1873,Inputs!$A$5:$A$132,0))</f>
        <v/>
      </c>
      <c r="E1873" s="35">
        <f>INDEX(Inputs!$V$5:$V$132,MATCH($B1873&amp;"|"&amp;$C1873,Inputs!$A$5:$A$132,0))</f>
        <v/>
      </c>
      <c r="F1873" s="39" t="n"/>
      <c r="G1873" s="39" t="n"/>
      <c r="H1873" s="14">
        <f>INDEX(VarLab,MATCH($A1873,VarKey,0))&amp;INDEX(MemLab,MATCH($C1873&amp;"|"&amp;$B1873,MemKey,0))</f>
        <v/>
      </c>
      <c r="I1873" s="14">
        <f>INDEX(VarUnit,MATCH($A1873,VarKey,0))</f>
        <v/>
      </c>
      <c r="J1873" s="14">
        <f>INDEX(VarSrc,MATCH($A1873,VarKey,0))</f>
        <v/>
      </c>
      <c r="K1873" s="11">
        <f>CodePrefix&amp;$A1873&amp;IF($C1873="","","."&amp;$C1873&amp;"."&amp;$B1873)&amp;INDEX(VarEnd,MATCH($A1873,VarKey,0))&amp;K$5</f>
        <v/>
      </c>
      <c r="L1873" s="43">
        <f>L1855*Settings!$C$13*(INDEX(L$407:L$418,$D1873)+INDEX(L$394:L$405,$D1873)+L1828*(1+$E1873))</f>
        <v/>
      </c>
      <c r="M1873" s="44">
        <f>M1855*Settings!$C$13*(INDEX(M$407:M$418,$D1873)+INDEX(M$394:M$405,$D1873)+M1828*(1+$E1873))</f>
        <v/>
      </c>
      <c r="N1873" s="44">
        <f>N1855*Settings!$C$13*(INDEX(N$407:N$418,$D1873)+INDEX(N$394:N$405,$D1873)+N1828*(1+$E1873))</f>
        <v/>
      </c>
      <c r="O1873" s="44">
        <f>O1855*Settings!$C$13*(INDEX(O$407:O$418,$D1873)+INDEX(O$394:O$405,$D1873)+O1828*(1+$E1873))</f>
        <v/>
      </c>
      <c r="P1873" s="44">
        <f>P1855*Settings!$C$13*(INDEX(P$407:P$418,$D1873)+INDEX(P$394:P$405,$D1873)+P1828*(1+$E1873))</f>
        <v/>
      </c>
      <c r="Q1873" s="44">
        <f>Q1855*Settings!$C$13*(INDEX(Q$407:Q$418,$D1873)+INDEX(Q$394:Q$405,$D1873)+Q1828*(1+$E1873))</f>
        <v/>
      </c>
      <c r="R1873" s="44">
        <f>R1855*Settings!$C$13*(INDEX(R$407:R$418,$D1873)+INDEX(R$394:R$405,$D1873)+R1828*(1+$E1873))</f>
        <v/>
      </c>
      <c r="S1873" s="44">
        <f>S1855*Settings!$C$13*(INDEX(S$407:S$418,$D1873)+INDEX(S$394:S$405,$D1873)+S1828*(1+$E1873))</f>
        <v/>
      </c>
      <c r="T1873" s="44">
        <f>T1855*Settings!$C$13*(INDEX(T$407:T$418,$D1873)+INDEX(T$394:T$405,$D1873)+T1828*(1+$E1873))</f>
        <v/>
      </c>
      <c r="U1873" s="44">
        <f>U1855*Settings!$C$13*(INDEX(U$407:U$418,$D1873)+INDEX(U$394:U$405,$D1873)+U1828*(1+$E1873))</f>
        <v/>
      </c>
      <c r="V1873" s="44">
        <f>V1855*Settings!$C$13*(INDEX(V$407:V$418,$D1873)+INDEX(V$394:V$405,$D1873)+V1828*(1+$E1873))</f>
        <v/>
      </c>
      <c r="W1873" s="44">
        <f>W1855*Settings!$C$13*(INDEX(W$407:W$418,$D1873)+INDEX(W$394:W$405,$D1873)+W1828*(1+$E1873))</f>
        <v/>
      </c>
      <c r="X1873" s="44">
        <f>X1855*Settings!$C$13*(INDEX(X$407:X$418,$D1873)+INDEX(X$394:X$405,$D1873)+X1828*(1+$E1873))</f>
        <v/>
      </c>
      <c r="Y1873" s="44">
        <f>Y1855*Settings!$C$13*(INDEX(Y$407:Y$418,$D1873)+INDEX(Y$394:Y$405,$D1873)+Y1828*(1+$E1873))</f>
        <v/>
      </c>
      <c r="Z1873" s="44">
        <f>Z1855*Settings!$C$13*(INDEX(Z$407:Z$418,$D1873)+INDEX(Z$394:Z$405,$D1873)+Z1828*(1+$E1873))</f>
        <v/>
      </c>
      <c r="AA1873" s="44">
        <f>AA1855*Settings!$C$13*(INDEX(AA$407:AA$418,$D1873)+INDEX(AA$394:AA$405,$D1873)+AA1828*(1+$E1873))</f>
        <v/>
      </c>
      <c r="AB1873" s="44">
        <f>AB1855*Settings!$C$13*(INDEX(AB$407:AB$418,$D1873)+INDEX(AB$394:AB$405,$D1873)+AB1828*(1+$E1873))</f>
        <v/>
      </c>
      <c r="AC1873" s="44">
        <f>AC1855*Settings!$C$13*(INDEX(AC$407:AC$418,$D1873)+INDEX(AC$394:AC$405,$D1873)+AC1828*(1+$E1873))</f>
        <v/>
      </c>
      <c r="AD1873" s="44">
        <f>AD1855*Settings!$C$13*(INDEX(AD$407:AD$418,$D1873)+INDEX(AD$394:AD$405,$D1873)+AD1828*(1+$E1873))</f>
        <v/>
      </c>
      <c r="AE1873" s="57">
        <f>REVENUE(AE1855,Settings!$C$13,INDEX(AE$407:AE$418,$D1873)+INDEX(AE$394:AE$405,$D1873)+AE1828*(1+$E1873))</f>
        <v/>
      </c>
      <c r="AG1873" s="11">
        <f>CodePrefix&amp;$A1873&amp;IF($C1873="","","."&amp;$C1873&amp;"."&amp;$B1873)&amp;INDEX(VarEnd,MATCH($A1873,VarKey,0))&amp;AG$5</f>
        <v/>
      </c>
      <c r="AH1873" s="43">
        <f>AH1855*Settings!$C$13*(INDEX(AH$407:AH$418,$D1873)+INDEX(AH$394:AH$405,$D1873)+AH1828*(1+$E1873))</f>
        <v/>
      </c>
      <c r="AI1873" s="44">
        <f>AI1855*Settings!$C$13*(INDEX(AI$407:AI$418,$D1873)+INDEX(AI$394:AI$405,$D1873)+AI1828*(1+$E1873))</f>
        <v/>
      </c>
      <c r="AJ1873" s="44">
        <f>AJ1855*Settings!$C$13*(INDEX(AJ$407:AJ$418,$D1873)+INDEX(AJ$394:AJ$405,$D1873)+AJ1828*(1+$E1873))</f>
        <v/>
      </c>
      <c r="AK1873" s="44">
        <f>AK1855*Settings!$C$13*(INDEX(AK$407:AK$418,$D1873)+INDEX(AK$394:AK$405,$D1873)+AK1828*(1+$E1873))</f>
        <v/>
      </c>
      <c r="AL1873" s="44">
        <f>AL1855*Settings!$C$13*(INDEX(AL$407:AL$418,$D1873)+INDEX(AL$394:AL$405,$D1873)+AL1828*(1+$E1873))</f>
        <v/>
      </c>
      <c r="AM1873" s="44">
        <f>AM1855*Settings!$C$13*(INDEX(AM$407:AM$418,$D1873)+INDEX(AM$394:AM$405,$D1873)+AM1828*(1+$E1873))</f>
        <v/>
      </c>
      <c r="AN1873" s="44">
        <f>AN1855*Settings!$C$13*(INDEX(AN$407:AN$418,$D1873)+INDEX(AN$394:AN$405,$D1873)+AN1828*(1+$E1873))</f>
        <v/>
      </c>
      <c r="AO1873" s="44">
        <f>AO1855*Settings!$C$13*(INDEX(AO$407:AO$418,$D1873)+INDEX(AO$394:AO$405,$D1873)+AO1828*(1+$E1873))</f>
        <v/>
      </c>
      <c r="AP1873" s="44">
        <f>AP1855*Settings!$C$13*(INDEX(AP$407:AP$418,$D1873)+INDEX(AP$394:AP$405,$D1873)+AP1828*(1+$E1873))</f>
        <v/>
      </c>
      <c r="AQ1873" s="44">
        <f>AQ1855*Settings!$C$13*(INDEX(AQ$407:AQ$418,$D1873)+INDEX(AQ$394:AQ$405,$D1873)+AQ1828*(1+$E1873))</f>
        <v/>
      </c>
      <c r="AR1873" s="44">
        <f>AR1855*Settings!$C$13*(INDEX(AR$407:AR$418,$D1873)+INDEX(AR$394:AR$405,$D1873)+AR1828*(1+$E1873))</f>
        <v/>
      </c>
      <c r="AS1873" s="44">
        <f>AS1855*Settings!$C$13*(INDEX(AS$407:AS$418,$D1873)+INDEX(AS$394:AS$405,$D1873)+AS1828*(1+$E1873))</f>
        <v/>
      </c>
      <c r="AT1873" s="44">
        <f>AT1855*Settings!$C$13*(INDEX(AT$407:AT$418,$D1873)+INDEX(AT$394:AT$405,$D1873)+AT1828*(1+$E1873))</f>
        <v/>
      </c>
      <c r="AU1873" s="44">
        <f>AU1855*Settings!$C$13*(INDEX(AU$407:AU$418,$D1873)+INDEX(AU$394:AU$405,$D1873)+AU1828*(1+$E1873))</f>
        <v/>
      </c>
      <c r="AV1873" s="44">
        <f>AV1855*Settings!$C$13*(INDEX(AV$407:AV$418,$D1873)+INDEX(AV$394:AV$405,$D1873)+AV1828*(1+$E1873))</f>
        <v/>
      </c>
      <c r="AW1873" s="44">
        <f>AW1855*Settings!$C$13*(INDEX(AW$407:AW$418,$D1873)+INDEX(AW$394:AW$405,$D1873)+AW1828*(1+$E1873))</f>
        <v/>
      </c>
      <c r="AX1873" s="44">
        <f>AX1855*Settings!$C$13*(INDEX(AX$407:AX$418,$D1873)+INDEX(AX$394:AX$405,$D1873)+AX1828*(1+$E1873))</f>
        <v/>
      </c>
      <c r="AY1873" s="44">
        <f>AY1855*Settings!$C$13*(INDEX(AY$407:AY$418,$D1873)+INDEX(AY$394:AY$405,$D1873)+AY1828*(1+$E1873))</f>
        <v/>
      </c>
      <c r="AZ1873" s="44">
        <f>AZ1855*Settings!$C$13*(INDEX(AZ$407:AZ$418,$D1873)+INDEX(AZ$394:AZ$405,$D1873)+AZ1828*(1+$E1873))</f>
        <v/>
      </c>
      <c r="BA1873" s="57">
        <f>REVENUE(BA1855,Settings!$C$13,INDEX(BA$407:BA$418,$D1873)+INDEX(BA$394:BA$405,$D1873)+BA1828*(1+$E1873))</f>
        <v/>
      </c>
    </row>
    <row r="1874" hidden="1" outlineLevel="2">
      <c r="A1874" s="14" t="inlineStr">
        <is>
          <t>rtx</t>
        </is>
      </c>
      <c r="B1874" s="14" t="inlineStr">
        <is>
          <t>oop</t>
        </is>
      </c>
      <c r="C1874" s="14" t="inlineStr">
        <is>
          <t>srv</t>
        </is>
      </c>
      <c r="D1874" s="35">
        <f>INDEX(Inputs!$U$5:$U$132,MATCH($B1874&amp;"|"&amp;$C1874,Inputs!$A$5:$A$132,0))</f>
        <v/>
      </c>
      <c r="E1874" s="35">
        <f>INDEX(Inputs!$V$5:$V$132,MATCH($B1874&amp;"|"&amp;$C1874,Inputs!$A$5:$A$132,0))</f>
        <v/>
      </c>
      <c r="F1874" s="39" t="n"/>
      <c r="G1874" s="39" t="n"/>
      <c r="H1874" s="14">
        <f>INDEX(VarLab,MATCH($A1874,VarKey,0))&amp;INDEX(MemLab,MATCH($C1874&amp;"|"&amp;$B1874,MemKey,0))</f>
        <v/>
      </c>
      <c r="I1874" s="14">
        <f>INDEX(VarUnit,MATCH($A1874,VarKey,0))</f>
        <v/>
      </c>
      <c r="J1874" s="14">
        <f>INDEX(VarSrc,MATCH($A1874,VarKey,0))</f>
        <v/>
      </c>
      <c r="K1874" s="11">
        <f>CodePrefix&amp;$A1874&amp;IF($C1874="","","."&amp;$C1874&amp;"."&amp;$B1874)&amp;INDEX(VarEnd,MATCH($A1874,VarKey,0))&amp;K$5</f>
        <v/>
      </c>
      <c r="L1874" s="43">
        <f>L1856*Settings!$C$13*(INDEX(L$407:L$418,$D1874)+INDEX(L$394:L$405,$D1874)+L1829*(1+$E1874))</f>
        <v/>
      </c>
      <c r="M1874" s="44">
        <f>M1856*Settings!$C$13*(INDEX(M$407:M$418,$D1874)+INDEX(M$394:M$405,$D1874)+M1829*(1+$E1874))</f>
        <v/>
      </c>
      <c r="N1874" s="44">
        <f>N1856*Settings!$C$13*(INDEX(N$407:N$418,$D1874)+INDEX(N$394:N$405,$D1874)+N1829*(1+$E1874))</f>
        <v/>
      </c>
      <c r="O1874" s="44">
        <f>O1856*Settings!$C$13*(INDEX(O$407:O$418,$D1874)+INDEX(O$394:O$405,$D1874)+O1829*(1+$E1874))</f>
        <v/>
      </c>
      <c r="P1874" s="44">
        <f>P1856*Settings!$C$13*(INDEX(P$407:P$418,$D1874)+INDEX(P$394:P$405,$D1874)+P1829*(1+$E1874))</f>
        <v/>
      </c>
      <c r="Q1874" s="44">
        <f>Q1856*Settings!$C$13*(INDEX(Q$407:Q$418,$D1874)+INDEX(Q$394:Q$405,$D1874)+Q1829*(1+$E1874))</f>
        <v/>
      </c>
      <c r="R1874" s="44">
        <f>R1856*Settings!$C$13*(INDEX(R$407:R$418,$D1874)+INDEX(R$394:R$405,$D1874)+R1829*(1+$E1874))</f>
        <v/>
      </c>
      <c r="S1874" s="44">
        <f>S1856*Settings!$C$13*(INDEX(S$407:S$418,$D1874)+INDEX(S$394:S$405,$D1874)+S1829*(1+$E1874))</f>
        <v/>
      </c>
      <c r="T1874" s="44">
        <f>T1856*Settings!$C$13*(INDEX(T$407:T$418,$D1874)+INDEX(T$394:T$405,$D1874)+T1829*(1+$E1874))</f>
        <v/>
      </c>
      <c r="U1874" s="44">
        <f>U1856*Settings!$C$13*(INDEX(U$407:U$418,$D1874)+INDEX(U$394:U$405,$D1874)+U1829*(1+$E1874))</f>
        <v/>
      </c>
      <c r="V1874" s="44">
        <f>V1856*Settings!$C$13*(INDEX(V$407:V$418,$D1874)+INDEX(V$394:V$405,$D1874)+V1829*(1+$E1874))</f>
        <v/>
      </c>
      <c r="W1874" s="44">
        <f>W1856*Settings!$C$13*(INDEX(W$407:W$418,$D1874)+INDEX(W$394:W$405,$D1874)+W1829*(1+$E1874))</f>
        <v/>
      </c>
      <c r="X1874" s="44">
        <f>X1856*Settings!$C$13*(INDEX(X$407:X$418,$D1874)+INDEX(X$394:X$405,$D1874)+X1829*(1+$E1874))</f>
        <v/>
      </c>
      <c r="Y1874" s="44">
        <f>Y1856*Settings!$C$13*(INDEX(Y$407:Y$418,$D1874)+INDEX(Y$394:Y$405,$D1874)+Y1829*(1+$E1874))</f>
        <v/>
      </c>
      <c r="Z1874" s="44">
        <f>Z1856*Settings!$C$13*(INDEX(Z$407:Z$418,$D1874)+INDEX(Z$394:Z$405,$D1874)+Z1829*(1+$E1874))</f>
        <v/>
      </c>
      <c r="AA1874" s="44">
        <f>AA1856*Settings!$C$13*(INDEX(AA$407:AA$418,$D1874)+INDEX(AA$394:AA$405,$D1874)+AA1829*(1+$E1874))</f>
        <v/>
      </c>
      <c r="AB1874" s="44">
        <f>AB1856*Settings!$C$13*(INDEX(AB$407:AB$418,$D1874)+INDEX(AB$394:AB$405,$D1874)+AB1829*(1+$E1874))</f>
        <v/>
      </c>
      <c r="AC1874" s="44">
        <f>AC1856*Settings!$C$13*(INDEX(AC$407:AC$418,$D1874)+INDEX(AC$394:AC$405,$D1874)+AC1829*(1+$E1874))</f>
        <v/>
      </c>
      <c r="AD1874" s="44">
        <f>AD1856*Settings!$C$13*(INDEX(AD$407:AD$418,$D1874)+INDEX(AD$394:AD$405,$D1874)+AD1829*(1+$E1874))</f>
        <v/>
      </c>
      <c r="AE1874" s="57">
        <f>REVENUE(AE1856,Settings!$C$13,INDEX(AE$407:AE$418,$D1874)+INDEX(AE$394:AE$405,$D1874)+AE1829*(1+$E1874))</f>
        <v/>
      </c>
      <c r="AG1874" s="11">
        <f>CodePrefix&amp;$A1874&amp;IF($C1874="","","."&amp;$C1874&amp;"."&amp;$B1874)&amp;INDEX(VarEnd,MATCH($A1874,VarKey,0))&amp;AG$5</f>
        <v/>
      </c>
      <c r="AH1874" s="43">
        <f>AH1856*Settings!$C$13*(INDEX(AH$407:AH$418,$D1874)+INDEX(AH$394:AH$405,$D1874)+AH1829*(1+$E1874))</f>
        <v/>
      </c>
      <c r="AI1874" s="44">
        <f>AI1856*Settings!$C$13*(INDEX(AI$407:AI$418,$D1874)+INDEX(AI$394:AI$405,$D1874)+AI1829*(1+$E1874))</f>
        <v/>
      </c>
      <c r="AJ1874" s="44">
        <f>AJ1856*Settings!$C$13*(INDEX(AJ$407:AJ$418,$D1874)+INDEX(AJ$394:AJ$405,$D1874)+AJ1829*(1+$E1874))</f>
        <v/>
      </c>
      <c r="AK1874" s="44">
        <f>AK1856*Settings!$C$13*(INDEX(AK$407:AK$418,$D1874)+INDEX(AK$394:AK$405,$D1874)+AK1829*(1+$E1874))</f>
        <v/>
      </c>
      <c r="AL1874" s="44">
        <f>AL1856*Settings!$C$13*(INDEX(AL$407:AL$418,$D1874)+INDEX(AL$394:AL$405,$D1874)+AL1829*(1+$E1874))</f>
        <v/>
      </c>
      <c r="AM1874" s="44">
        <f>AM1856*Settings!$C$13*(INDEX(AM$407:AM$418,$D1874)+INDEX(AM$394:AM$405,$D1874)+AM1829*(1+$E1874))</f>
        <v/>
      </c>
      <c r="AN1874" s="44">
        <f>AN1856*Settings!$C$13*(INDEX(AN$407:AN$418,$D1874)+INDEX(AN$394:AN$405,$D1874)+AN1829*(1+$E1874))</f>
        <v/>
      </c>
      <c r="AO1874" s="44">
        <f>AO1856*Settings!$C$13*(INDEX(AO$407:AO$418,$D1874)+INDEX(AO$394:AO$405,$D1874)+AO1829*(1+$E1874))</f>
        <v/>
      </c>
      <c r="AP1874" s="44">
        <f>AP1856*Settings!$C$13*(INDEX(AP$407:AP$418,$D1874)+INDEX(AP$394:AP$405,$D1874)+AP1829*(1+$E1874))</f>
        <v/>
      </c>
      <c r="AQ1874" s="44">
        <f>AQ1856*Settings!$C$13*(INDEX(AQ$407:AQ$418,$D1874)+INDEX(AQ$394:AQ$405,$D1874)+AQ1829*(1+$E1874))</f>
        <v/>
      </c>
      <c r="AR1874" s="44">
        <f>AR1856*Settings!$C$13*(INDEX(AR$407:AR$418,$D1874)+INDEX(AR$394:AR$405,$D1874)+AR1829*(1+$E1874))</f>
        <v/>
      </c>
      <c r="AS1874" s="44">
        <f>AS1856*Settings!$C$13*(INDEX(AS$407:AS$418,$D1874)+INDEX(AS$394:AS$405,$D1874)+AS1829*(1+$E1874))</f>
        <v/>
      </c>
      <c r="AT1874" s="44">
        <f>AT1856*Settings!$C$13*(INDEX(AT$407:AT$418,$D1874)+INDEX(AT$394:AT$405,$D1874)+AT1829*(1+$E1874))</f>
        <v/>
      </c>
      <c r="AU1874" s="44">
        <f>AU1856*Settings!$C$13*(INDEX(AU$407:AU$418,$D1874)+INDEX(AU$394:AU$405,$D1874)+AU1829*(1+$E1874))</f>
        <v/>
      </c>
      <c r="AV1874" s="44">
        <f>AV1856*Settings!$C$13*(INDEX(AV$407:AV$418,$D1874)+INDEX(AV$394:AV$405,$D1874)+AV1829*(1+$E1874))</f>
        <v/>
      </c>
      <c r="AW1874" s="44">
        <f>AW1856*Settings!$C$13*(INDEX(AW$407:AW$418,$D1874)+INDEX(AW$394:AW$405,$D1874)+AW1829*(1+$E1874))</f>
        <v/>
      </c>
      <c r="AX1874" s="44">
        <f>AX1856*Settings!$C$13*(INDEX(AX$407:AX$418,$D1874)+INDEX(AX$394:AX$405,$D1874)+AX1829*(1+$E1874))</f>
        <v/>
      </c>
      <c r="AY1874" s="44">
        <f>AY1856*Settings!$C$13*(INDEX(AY$407:AY$418,$D1874)+INDEX(AY$394:AY$405,$D1874)+AY1829*(1+$E1874))</f>
        <v/>
      </c>
      <c r="AZ1874" s="44">
        <f>AZ1856*Settings!$C$13*(INDEX(AZ$407:AZ$418,$D1874)+INDEX(AZ$394:AZ$405,$D1874)+AZ1829*(1+$E1874))</f>
        <v/>
      </c>
      <c r="BA1874" s="57">
        <f>REVENUE(BA1856,Settings!$C$13,INDEX(BA$407:BA$418,$D1874)+INDEX(BA$394:BA$405,$D1874)+BA1829*(1+$E1874))</f>
        <v/>
      </c>
    </row>
    <row r="1875" hidden="1" outlineLevel="2">
      <c r="A1875" s="14" t="inlineStr">
        <is>
          <t>rtx</t>
        </is>
      </c>
      <c r="B1875" s="14" t="inlineStr">
        <is>
          <t>bio</t>
        </is>
      </c>
      <c r="C1875" s="14" t="inlineStr">
        <is>
          <t>srv</t>
        </is>
      </c>
      <c r="D1875" s="35">
        <f>INDEX(Inputs!$U$5:$U$132,MATCH($B1875&amp;"|"&amp;$C1875,Inputs!$A$5:$A$132,0))</f>
        <v/>
      </c>
      <c r="E1875" s="35">
        <f>INDEX(Inputs!$V$5:$V$132,MATCH($B1875&amp;"|"&amp;$C1875,Inputs!$A$5:$A$132,0))</f>
        <v/>
      </c>
      <c r="F1875" s="39" t="n"/>
      <c r="G1875" s="39" t="n"/>
      <c r="H1875" s="14">
        <f>INDEX(VarLab,MATCH($A1875,VarKey,0))&amp;INDEX(MemLab,MATCH($C1875&amp;"|"&amp;$B1875,MemKey,0))</f>
        <v/>
      </c>
      <c r="I1875" s="14">
        <f>INDEX(VarUnit,MATCH($A1875,VarKey,0))</f>
        <v/>
      </c>
      <c r="J1875" s="14">
        <f>INDEX(VarSrc,MATCH($A1875,VarKey,0))</f>
        <v/>
      </c>
      <c r="K1875" s="11">
        <f>CodePrefix&amp;$A1875&amp;IF($C1875="","","."&amp;$C1875&amp;"."&amp;$B1875)&amp;INDEX(VarEnd,MATCH($A1875,VarKey,0))&amp;K$5</f>
        <v/>
      </c>
      <c r="L1875" s="43">
        <f>L1857*Settings!$C$13*(INDEX(L$407:L$418,$D1875)+INDEX(L$394:L$405,$D1875)+L1830*(1+$E1875))</f>
        <v/>
      </c>
      <c r="M1875" s="44">
        <f>M1857*Settings!$C$13*(INDEX(M$407:M$418,$D1875)+INDEX(M$394:M$405,$D1875)+M1830*(1+$E1875))</f>
        <v/>
      </c>
      <c r="N1875" s="44">
        <f>N1857*Settings!$C$13*(INDEX(N$407:N$418,$D1875)+INDEX(N$394:N$405,$D1875)+N1830*(1+$E1875))</f>
        <v/>
      </c>
      <c r="O1875" s="44">
        <f>O1857*Settings!$C$13*(INDEX(O$407:O$418,$D1875)+INDEX(O$394:O$405,$D1875)+O1830*(1+$E1875))</f>
        <v/>
      </c>
      <c r="P1875" s="44">
        <f>P1857*Settings!$C$13*(INDEX(P$407:P$418,$D1875)+INDEX(P$394:P$405,$D1875)+P1830*(1+$E1875))</f>
        <v/>
      </c>
      <c r="Q1875" s="44">
        <f>Q1857*Settings!$C$13*(INDEX(Q$407:Q$418,$D1875)+INDEX(Q$394:Q$405,$D1875)+Q1830*(1+$E1875))</f>
        <v/>
      </c>
      <c r="R1875" s="44">
        <f>R1857*Settings!$C$13*(INDEX(R$407:R$418,$D1875)+INDEX(R$394:R$405,$D1875)+R1830*(1+$E1875))</f>
        <v/>
      </c>
      <c r="S1875" s="44">
        <f>S1857*Settings!$C$13*(INDEX(S$407:S$418,$D1875)+INDEX(S$394:S$405,$D1875)+S1830*(1+$E1875))</f>
        <v/>
      </c>
      <c r="T1875" s="44">
        <f>T1857*Settings!$C$13*(INDEX(T$407:T$418,$D1875)+INDEX(T$394:T$405,$D1875)+T1830*(1+$E1875))</f>
        <v/>
      </c>
      <c r="U1875" s="44">
        <f>U1857*Settings!$C$13*(INDEX(U$407:U$418,$D1875)+INDEX(U$394:U$405,$D1875)+U1830*(1+$E1875))</f>
        <v/>
      </c>
      <c r="V1875" s="44">
        <f>V1857*Settings!$C$13*(INDEX(V$407:V$418,$D1875)+INDEX(V$394:V$405,$D1875)+V1830*(1+$E1875))</f>
        <v/>
      </c>
      <c r="W1875" s="44">
        <f>W1857*Settings!$C$13*(INDEX(W$407:W$418,$D1875)+INDEX(W$394:W$405,$D1875)+W1830*(1+$E1875))</f>
        <v/>
      </c>
      <c r="X1875" s="44">
        <f>X1857*Settings!$C$13*(INDEX(X$407:X$418,$D1875)+INDEX(X$394:X$405,$D1875)+X1830*(1+$E1875))</f>
        <v/>
      </c>
      <c r="Y1875" s="44">
        <f>Y1857*Settings!$C$13*(INDEX(Y$407:Y$418,$D1875)+INDEX(Y$394:Y$405,$D1875)+Y1830*(1+$E1875))</f>
        <v/>
      </c>
      <c r="Z1875" s="44">
        <f>Z1857*Settings!$C$13*(INDEX(Z$407:Z$418,$D1875)+INDEX(Z$394:Z$405,$D1875)+Z1830*(1+$E1875))</f>
        <v/>
      </c>
      <c r="AA1875" s="44">
        <f>AA1857*Settings!$C$13*(INDEX(AA$407:AA$418,$D1875)+INDEX(AA$394:AA$405,$D1875)+AA1830*(1+$E1875))</f>
        <v/>
      </c>
      <c r="AB1875" s="44">
        <f>AB1857*Settings!$C$13*(INDEX(AB$407:AB$418,$D1875)+INDEX(AB$394:AB$405,$D1875)+AB1830*(1+$E1875))</f>
        <v/>
      </c>
      <c r="AC1875" s="44">
        <f>AC1857*Settings!$C$13*(INDEX(AC$407:AC$418,$D1875)+INDEX(AC$394:AC$405,$D1875)+AC1830*(1+$E1875))</f>
        <v/>
      </c>
      <c r="AD1875" s="44">
        <f>AD1857*Settings!$C$13*(INDEX(AD$407:AD$418,$D1875)+INDEX(AD$394:AD$405,$D1875)+AD1830*(1+$E1875))</f>
        <v/>
      </c>
      <c r="AE1875" s="57">
        <f>REVENUE(AE1857,Settings!$C$13,INDEX(AE$407:AE$418,$D1875)+INDEX(AE$394:AE$405,$D1875)+AE1830*(1+$E1875))</f>
        <v/>
      </c>
      <c r="AG1875" s="11">
        <f>CodePrefix&amp;$A1875&amp;IF($C1875="","","."&amp;$C1875&amp;"."&amp;$B1875)&amp;INDEX(VarEnd,MATCH($A1875,VarKey,0))&amp;AG$5</f>
        <v/>
      </c>
      <c r="AH1875" s="43">
        <f>AH1857*Settings!$C$13*(INDEX(AH$407:AH$418,$D1875)+INDEX(AH$394:AH$405,$D1875)+AH1830*(1+$E1875))</f>
        <v/>
      </c>
      <c r="AI1875" s="44">
        <f>AI1857*Settings!$C$13*(INDEX(AI$407:AI$418,$D1875)+INDEX(AI$394:AI$405,$D1875)+AI1830*(1+$E1875))</f>
        <v/>
      </c>
      <c r="AJ1875" s="44">
        <f>AJ1857*Settings!$C$13*(INDEX(AJ$407:AJ$418,$D1875)+INDEX(AJ$394:AJ$405,$D1875)+AJ1830*(1+$E1875))</f>
        <v/>
      </c>
      <c r="AK1875" s="44">
        <f>AK1857*Settings!$C$13*(INDEX(AK$407:AK$418,$D1875)+INDEX(AK$394:AK$405,$D1875)+AK1830*(1+$E1875))</f>
        <v/>
      </c>
      <c r="AL1875" s="44">
        <f>AL1857*Settings!$C$13*(INDEX(AL$407:AL$418,$D1875)+INDEX(AL$394:AL$405,$D1875)+AL1830*(1+$E1875))</f>
        <v/>
      </c>
      <c r="AM1875" s="44">
        <f>AM1857*Settings!$C$13*(INDEX(AM$407:AM$418,$D1875)+INDEX(AM$394:AM$405,$D1875)+AM1830*(1+$E1875))</f>
        <v/>
      </c>
      <c r="AN1875" s="44">
        <f>AN1857*Settings!$C$13*(INDEX(AN$407:AN$418,$D1875)+INDEX(AN$394:AN$405,$D1875)+AN1830*(1+$E1875))</f>
        <v/>
      </c>
      <c r="AO1875" s="44">
        <f>AO1857*Settings!$C$13*(INDEX(AO$407:AO$418,$D1875)+INDEX(AO$394:AO$405,$D1875)+AO1830*(1+$E1875))</f>
        <v/>
      </c>
      <c r="AP1875" s="44">
        <f>AP1857*Settings!$C$13*(INDEX(AP$407:AP$418,$D1875)+INDEX(AP$394:AP$405,$D1875)+AP1830*(1+$E1875))</f>
        <v/>
      </c>
      <c r="AQ1875" s="44">
        <f>AQ1857*Settings!$C$13*(INDEX(AQ$407:AQ$418,$D1875)+INDEX(AQ$394:AQ$405,$D1875)+AQ1830*(1+$E1875))</f>
        <v/>
      </c>
      <c r="AR1875" s="44">
        <f>AR1857*Settings!$C$13*(INDEX(AR$407:AR$418,$D1875)+INDEX(AR$394:AR$405,$D1875)+AR1830*(1+$E1875))</f>
        <v/>
      </c>
      <c r="AS1875" s="44">
        <f>AS1857*Settings!$C$13*(INDEX(AS$407:AS$418,$D1875)+INDEX(AS$394:AS$405,$D1875)+AS1830*(1+$E1875))</f>
        <v/>
      </c>
      <c r="AT1875" s="44">
        <f>AT1857*Settings!$C$13*(INDEX(AT$407:AT$418,$D1875)+INDEX(AT$394:AT$405,$D1875)+AT1830*(1+$E1875))</f>
        <v/>
      </c>
      <c r="AU1875" s="44">
        <f>AU1857*Settings!$C$13*(INDEX(AU$407:AU$418,$D1875)+INDEX(AU$394:AU$405,$D1875)+AU1830*(1+$E1875))</f>
        <v/>
      </c>
      <c r="AV1875" s="44">
        <f>AV1857*Settings!$C$13*(INDEX(AV$407:AV$418,$D1875)+INDEX(AV$394:AV$405,$D1875)+AV1830*(1+$E1875))</f>
        <v/>
      </c>
      <c r="AW1875" s="44">
        <f>AW1857*Settings!$C$13*(INDEX(AW$407:AW$418,$D1875)+INDEX(AW$394:AW$405,$D1875)+AW1830*(1+$E1875))</f>
        <v/>
      </c>
      <c r="AX1875" s="44">
        <f>AX1857*Settings!$C$13*(INDEX(AX$407:AX$418,$D1875)+INDEX(AX$394:AX$405,$D1875)+AX1830*(1+$E1875))</f>
        <v/>
      </c>
      <c r="AY1875" s="44">
        <f>AY1857*Settings!$C$13*(INDEX(AY$407:AY$418,$D1875)+INDEX(AY$394:AY$405,$D1875)+AY1830*(1+$E1875))</f>
        <v/>
      </c>
      <c r="AZ1875" s="44">
        <f>AZ1857*Settings!$C$13*(INDEX(AZ$407:AZ$418,$D1875)+INDEX(AZ$394:AZ$405,$D1875)+AZ1830*(1+$E1875))</f>
        <v/>
      </c>
      <c r="BA1875" s="57">
        <f>REVENUE(BA1857,Settings!$C$13,INDEX(BA$407:BA$418,$D1875)+INDEX(BA$394:BA$405,$D1875)+BA1830*(1+$E1875))</f>
        <v/>
      </c>
    </row>
    <row r="1876" hidden="1" outlineLevel="2"/>
    <row r="1877" hidden="1" outlineLevel="2">
      <c r="A1877" s="14" t="inlineStr">
        <is>
          <t>rsub</t>
        </is>
      </c>
      <c r="B1877" s="14" t="inlineStr">
        <is>
          <t>coa</t>
        </is>
      </c>
      <c r="C1877" s="14" t="inlineStr">
        <is>
          <t>srv</t>
        </is>
      </c>
      <c r="D1877" s="35">
        <f>INDEX(Inputs!$U$5:$U$132,MATCH($B1877&amp;"|"&amp;$C1877,Inputs!$A$5:$A$132,0))</f>
        <v/>
      </c>
      <c r="E1877" s="39" t="n"/>
      <c r="F1877" s="39" t="n"/>
      <c r="G1877" s="39" t="n"/>
      <c r="H1877" s="14">
        <f>INDEX(VarLab,MATCH($A1877,VarKey,0))&amp;INDEX(MemLab,MATCH($C1877&amp;"|"&amp;$B1877,MemKey,0))</f>
        <v/>
      </c>
      <c r="I1877" s="14">
        <f>INDEX(VarUnit,MATCH($A1877,VarKey,0))</f>
        <v/>
      </c>
      <c r="J1877" s="14">
        <f>INDEX(VarSrc,MATCH($A1877,VarKey,0))</f>
        <v/>
      </c>
      <c r="K1877" s="11">
        <f>CodePrefix&amp;$A1877&amp;IF($C1877="","","."&amp;$C1877&amp;"."&amp;$B1877)&amp;INDEX(VarEnd,MATCH($A1877,VarKey,0))&amp;K$5</f>
        <v/>
      </c>
      <c r="L1877" s="43">
        <f>L1850*Settings!$C$13*(INDEX(L$420:L$431,$D1877))</f>
        <v/>
      </c>
      <c r="M1877" s="44">
        <f>M1850*Settings!$C$13*(INDEX(M$420:M$431,$D1877))</f>
        <v/>
      </c>
      <c r="N1877" s="44">
        <f>N1850*Settings!$C$13*(INDEX(N$420:N$431,$D1877))</f>
        <v/>
      </c>
      <c r="O1877" s="44">
        <f>O1850*Settings!$C$13*(INDEX(O$420:O$431,$D1877))</f>
        <v/>
      </c>
      <c r="P1877" s="44">
        <f>P1850*Settings!$C$13*(INDEX(P$420:P$431,$D1877))</f>
        <v/>
      </c>
      <c r="Q1877" s="44">
        <f>Q1850*Settings!$C$13*(INDEX(Q$420:Q$431,$D1877))</f>
        <v/>
      </c>
      <c r="R1877" s="44">
        <f>R1850*Settings!$C$13*(INDEX(R$420:R$431,$D1877))</f>
        <v/>
      </c>
      <c r="S1877" s="44">
        <f>S1850*Settings!$C$13*(INDEX(S$420:S$431,$D1877))</f>
        <v/>
      </c>
      <c r="T1877" s="44">
        <f>T1850*Settings!$C$13*(INDEX(T$420:T$431,$D1877))</f>
        <v/>
      </c>
      <c r="U1877" s="44">
        <f>U1850*Settings!$C$13*(INDEX(U$420:U$431,$D1877))</f>
        <v/>
      </c>
      <c r="V1877" s="44">
        <f>V1850*Settings!$C$13*(INDEX(V$420:V$431,$D1877))</f>
        <v/>
      </c>
      <c r="W1877" s="44">
        <f>W1850*Settings!$C$13*(INDEX(W$420:W$431,$D1877))</f>
        <v/>
      </c>
      <c r="X1877" s="44">
        <f>X1850*Settings!$C$13*(INDEX(X$420:X$431,$D1877))</f>
        <v/>
      </c>
      <c r="Y1877" s="44">
        <f>Y1850*Settings!$C$13*(INDEX(Y$420:Y$431,$D1877))</f>
        <v/>
      </c>
      <c r="Z1877" s="44">
        <f>Z1850*Settings!$C$13*(INDEX(Z$420:Z$431,$D1877))</f>
        <v/>
      </c>
      <c r="AA1877" s="44">
        <f>AA1850*Settings!$C$13*(INDEX(AA$420:AA$431,$D1877))</f>
        <v/>
      </c>
      <c r="AB1877" s="44">
        <f>AB1850*Settings!$C$13*(INDEX(AB$420:AB$431,$D1877))</f>
        <v/>
      </c>
      <c r="AC1877" s="44">
        <f>AC1850*Settings!$C$13*(INDEX(AC$420:AC$431,$D1877))</f>
        <v/>
      </c>
      <c r="AD1877" s="44">
        <f>AD1850*Settings!$C$13*(INDEX(AD$420:AD$431,$D1877))</f>
        <v/>
      </c>
      <c r="AE1877" s="57">
        <f>REVENUE(AE1850,Settings!$C$13,INDEX(AE$420:AE$431,$D1877))</f>
        <v/>
      </c>
      <c r="AG1877" s="11">
        <f>CodePrefix&amp;$A1877&amp;IF($C1877="","","."&amp;$C1877&amp;"."&amp;$B1877)&amp;INDEX(VarEnd,MATCH($A1877,VarKey,0))&amp;AG$5</f>
        <v/>
      </c>
      <c r="AH1877" s="43">
        <f>AH1850*Settings!$C$13*(INDEX(AH$420:AH$431,$D1877))</f>
        <v/>
      </c>
      <c r="AI1877" s="44">
        <f>AI1850*Settings!$C$13*(INDEX(AI$420:AI$431,$D1877))</f>
        <v/>
      </c>
      <c r="AJ1877" s="44">
        <f>AJ1850*Settings!$C$13*(INDEX(AJ$420:AJ$431,$D1877))</f>
        <v/>
      </c>
      <c r="AK1877" s="44">
        <f>AK1850*Settings!$C$13*(INDEX(AK$420:AK$431,$D1877))</f>
        <v/>
      </c>
      <c r="AL1877" s="44">
        <f>AL1850*Settings!$C$13*(INDEX(AL$420:AL$431,$D1877))</f>
        <v/>
      </c>
      <c r="AM1877" s="44">
        <f>AM1850*Settings!$C$13*(INDEX(AM$420:AM$431,$D1877))</f>
        <v/>
      </c>
      <c r="AN1877" s="44">
        <f>AN1850*Settings!$C$13*(INDEX(AN$420:AN$431,$D1877))</f>
        <v/>
      </c>
      <c r="AO1877" s="44">
        <f>AO1850*Settings!$C$13*(INDEX(AO$420:AO$431,$D1877))</f>
        <v/>
      </c>
      <c r="AP1877" s="44">
        <f>AP1850*Settings!$C$13*(INDEX(AP$420:AP$431,$D1877))</f>
        <v/>
      </c>
      <c r="AQ1877" s="44">
        <f>AQ1850*Settings!$C$13*(INDEX(AQ$420:AQ$431,$D1877))</f>
        <v/>
      </c>
      <c r="AR1877" s="44">
        <f>AR1850*Settings!$C$13*(INDEX(AR$420:AR$431,$D1877))</f>
        <v/>
      </c>
      <c r="AS1877" s="44">
        <f>AS1850*Settings!$C$13*(INDEX(AS$420:AS$431,$D1877))</f>
        <v/>
      </c>
      <c r="AT1877" s="44">
        <f>AT1850*Settings!$C$13*(INDEX(AT$420:AT$431,$D1877))</f>
        <v/>
      </c>
      <c r="AU1877" s="44">
        <f>AU1850*Settings!$C$13*(INDEX(AU$420:AU$431,$D1877))</f>
        <v/>
      </c>
      <c r="AV1877" s="44">
        <f>AV1850*Settings!$C$13*(INDEX(AV$420:AV$431,$D1877))</f>
        <v/>
      </c>
      <c r="AW1877" s="44">
        <f>AW1850*Settings!$C$13*(INDEX(AW$420:AW$431,$D1877))</f>
        <v/>
      </c>
      <c r="AX1877" s="44">
        <f>AX1850*Settings!$C$13*(INDEX(AX$420:AX$431,$D1877))</f>
        <v/>
      </c>
      <c r="AY1877" s="44">
        <f>AY1850*Settings!$C$13*(INDEX(AY$420:AY$431,$D1877))</f>
        <v/>
      </c>
      <c r="AZ1877" s="44">
        <f>AZ1850*Settings!$C$13*(INDEX(AZ$420:AZ$431,$D1877))</f>
        <v/>
      </c>
      <c r="BA1877" s="57">
        <f>REVENUE(BA1850,Settings!$C$13,INDEX(BA$420:BA$431,$D1877))</f>
        <v/>
      </c>
    </row>
    <row r="1878" hidden="1" outlineLevel="2">
      <c r="A1878" s="14" t="inlineStr">
        <is>
          <t>rsub</t>
        </is>
      </c>
      <c r="B1878" s="14" t="inlineStr">
        <is>
          <t>nga</t>
        </is>
      </c>
      <c r="C1878" s="14" t="inlineStr">
        <is>
          <t>srv</t>
        </is>
      </c>
      <c r="D1878" s="35">
        <f>INDEX(Inputs!$U$5:$U$132,MATCH($B1878&amp;"|"&amp;$C1878,Inputs!$A$5:$A$132,0))</f>
        <v/>
      </c>
      <c r="E1878" s="39" t="n"/>
      <c r="F1878" s="39" t="n"/>
      <c r="G1878" s="39" t="n"/>
      <c r="H1878" s="14">
        <f>INDEX(VarLab,MATCH($A1878,VarKey,0))&amp;INDEX(MemLab,MATCH($C1878&amp;"|"&amp;$B1878,MemKey,0))</f>
        <v/>
      </c>
      <c r="I1878" s="14">
        <f>INDEX(VarUnit,MATCH($A1878,VarKey,0))</f>
        <v/>
      </c>
      <c r="J1878" s="14">
        <f>INDEX(VarSrc,MATCH($A1878,VarKey,0))</f>
        <v/>
      </c>
      <c r="K1878" s="11">
        <f>CodePrefix&amp;$A1878&amp;IF($C1878="","","."&amp;$C1878&amp;"."&amp;$B1878)&amp;INDEX(VarEnd,MATCH($A1878,VarKey,0))&amp;K$5</f>
        <v/>
      </c>
      <c r="L1878" s="43">
        <f>L1851*Settings!$C$13*(INDEX(L$420:L$431,$D1878))</f>
        <v/>
      </c>
      <c r="M1878" s="44">
        <f>M1851*Settings!$C$13*(INDEX(M$420:M$431,$D1878))</f>
        <v/>
      </c>
      <c r="N1878" s="44">
        <f>N1851*Settings!$C$13*(INDEX(N$420:N$431,$D1878))</f>
        <v/>
      </c>
      <c r="O1878" s="44">
        <f>O1851*Settings!$C$13*(INDEX(O$420:O$431,$D1878))</f>
        <v/>
      </c>
      <c r="P1878" s="44">
        <f>P1851*Settings!$C$13*(INDEX(P$420:P$431,$D1878))</f>
        <v/>
      </c>
      <c r="Q1878" s="44">
        <f>Q1851*Settings!$C$13*(INDEX(Q$420:Q$431,$D1878))</f>
        <v/>
      </c>
      <c r="R1878" s="44">
        <f>R1851*Settings!$C$13*(INDEX(R$420:R$431,$D1878))</f>
        <v/>
      </c>
      <c r="S1878" s="44">
        <f>S1851*Settings!$C$13*(INDEX(S$420:S$431,$D1878))</f>
        <v/>
      </c>
      <c r="T1878" s="44">
        <f>T1851*Settings!$C$13*(INDEX(T$420:T$431,$D1878))</f>
        <v/>
      </c>
      <c r="U1878" s="44">
        <f>U1851*Settings!$C$13*(INDEX(U$420:U$431,$D1878))</f>
        <v/>
      </c>
      <c r="V1878" s="44">
        <f>V1851*Settings!$C$13*(INDEX(V$420:V$431,$D1878))</f>
        <v/>
      </c>
      <c r="W1878" s="44">
        <f>W1851*Settings!$C$13*(INDEX(W$420:W$431,$D1878))</f>
        <v/>
      </c>
      <c r="X1878" s="44">
        <f>X1851*Settings!$C$13*(INDEX(X$420:X$431,$D1878))</f>
        <v/>
      </c>
      <c r="Y1878" s="44">
        <f>Y1851*Settings!$C$13*(INDEX(Y$420:Y$431,$D1878))</f>
        <v/>
      </c>
      <c r="Z1878" s="44">
        <f>Z1851*Settings!$C$13*(INDEX(Z$420:Z$431,$D1878))</f>
        <v/>
      </c>
      <c r="AA1878" s="44">
        <f>AA1851*Settings!$C$13*(INDEX(AA$420:AA$431,$D1878))</f>
        <v/>
      </c>
      <c r="AB1878" s="44">
        <f>AB1851*Settings!$C$13*(INDEX(AB$420:AB$431,$D1878))</f>
        <v/>
      </c>
      <c r="AC1878" s="44">
        <f>AC1851*Settings!$C$13*(INDEX(AC$420:AC$431,$D1878))</f>
        <v/>
      </c>
      <c r="AD1878" s="44">
        <f>AD1851*Settings!$C$13*(INDEX(AD$420:AD$431,$D1878))</f>
        <v/>
      </c>
      <c r="AE1878" s="57">
        <f>REVENUE(AE1851,Settings!$C$13,INDEX(AE$420:AE$431,$D1878))</f>
        <v/>
      </c>
      <c r="AG1878" s="11">
        <f>CodePrefix&amp;$A1878&amp;IF($C1878="","","."&amp;$C1878&amp;"."&amp;$B1878)&amp;INDEX(VarEnd,MATCH($A1878,VarKey,0))&amp;AG$5</f>
        <v/>
      </c>
      <c r="AH1878" s="43">
        <f>AH1851*Settings!$C$13*(INDEX(AH$420:AH$431,$D1878))</f>
        <v/>
      </c>
      <c r="AI1878" s="44">
        <f>AI1851*Settings!$C$13*(INDEX(AI$420:AI$431,$D1878))</f>
        <v/>
      </c>
      <c r="AJ1878" s="44">
        <f>AJ1851*Settings!$C$13*(INDEX(AJ$420:AJ$431,$D1878))</f>
        <v/>
      </c>
      <c r="AK1878" s="44">
        <f>AK1851*Settings!$C$13*(INDEX(AK$420:AK$431,$D1878))</f>
        <v/>
      </c>
      <c r="AL1878" s="44">
        <f>AL1851*Settings!$C$13*(INDEX(AL$420:AL$431,$D1878))</f>
        <v/>
      </c>
      <c r="AM1878" s="44">
        <f>AM1851*Settings!$C$13*(INDEX(AM$420:AM$431,$D1878))</f>
        <v/>
      </c>
      <c r="AN1878" s="44">
        <f>AN1851*Settings!$C$13*(INDEX(AN$420:AN$431,$D1878))</f>
        <v/>
      </c>
      <c r="AO1878" s="44">
        <f>AO1851*Settings!$C$13*(INDEX(AO$420:AO$431,$D1878))</f>
        <v/>
      </c>
      <c r="AP1878" s="44">
        <f>AP1851*Settings!$C$13*(INDEX(AP$420:AP$431,$D1878))</f>
        <v/>
      </c>
      <c r="AQ1878" s="44">
        <f>AQ1851*Settings!$C$13*(INDEX(AQ$420:AQ$431,$D1878))</f>
        <v/>
      </c>
      <c r="AR1878" s="44">
        <f>AR1851*Settings!$C$13*(INDEX(AR$420:AR$431,$D1878))</f>
        <v/>
      </c>
      <c r="AS1878" s="44">
        <f>AS1851*Settings!$C$13*(INDEX(AS$420:AS$431,$D1878))</f>
        <v/>
      </c>
      <c r="AT1878" s="44">
        <f>AT1851*Settings!$C$13*(INDEX(AT$420:AT$431,$D1878))</f>
        <v/>
      </c>
      <c r="AU1878" s="44">
        <f>AU1851*Settings!$C$13*(INDEX(AU$420:AU$431,$D1878))</f>
        <v/>
      </c>
      <c r="AV1878" s="44">
        <f>AV1851*Settings!$C$13*(INDEX(AV$420:AV$431,$D1878))</f>
        <v/>
      </c>
      <c r="AW1878" s="44">
        <f>AW1851*Settings!$C$13*(INDEX(AW$420:AW$431,$D1878))</f>
        <v/>
      </c>
      <c r="AX1878" s="44">
        <f>AX1851*Settings!$C$13*(INDEX(AX$420:AX$431,$D1878))</f>
        <v/>
      </c>
      <c r="AY1878" s="44">
        <f>AY1851*Settings!$C$13*(INDEX(AY$420:AY$431,$D1878))</f>
        <v/>
      </c>
      <c r="AZ1878" s="44">
        <f>AZ1851*Settings!$C$13*(INDEX(AZ$420:AZ$431,$D1878))</f>
        <v/>
      </c>
      <c r="BA1878" s="57">
        <f>REVENUE(BA1851,Settings!$C$13,INDEX(BA$420:BA$431,$D1878))</f>
        <v/>
      </c>
    </row>
    <row r="1879" hidden="1" outlineLevel="2">
      <c r="A1879" s="14" t="inlineStr">
        <is>
          <t>rsub</t>
        </is>
      </c>
      <c r="B1879" s="14" t="inlineStr">
        <is>
          <t>gso</t>
        </is>
      </c>
      <c r="C1879" s="14" t="inlineStr">
        <is>
          <t>srv</t>
        </is>
      </c>
      <c r="D1879" s="35">
        <f>INDEX(Inputs!$U$5:$U$132,MATCH($B1879&amp;"|"&amp;$C1879,Inputs!$A$5:$A$132,0))</f>
        <v/>
      </c>
      <c r="E1879" s="39" t="n"/>
      <c r="F1879" s="39" t="n"/>
      <c r="G1879" s="39" t="n"/>
      <c r="H1879" s="14">
        <f>INDEX(VarLab,MATCH($A1879,VarKey,0))&amp;INDEX(MemLab,MATCH($C1879&amp;"|"&amp;$B1879,MemKey,0))</f>
        <v/>
      </c>
      <c r="I1879" s="14">
        <f>INDEX(VarUnit,MATCH($A1879,VarKey,0))</f>
        <v/>
      </c>
      <c r="J1879" s="14">
        <f>INDEX(VarSrc,MATCH($A1879,VarKey,0))</f>
        <v/>
      </c>
      <c r="K1879" s="11">
        <f>CodePrefix&amp;$A1879&amp;IF($C1879="","","."&amp;$C1879&amp;"."&amp;$B1879)&amp;INDEX(VarEnd,MATCH($A1879,VarKey,0))&amp;K$5</f>
        <v/>
      </c>
      <c r="L1879" s="43">
        <f>L1852*Settings!$C$13*(INDEX(L$420:L$431,$D1879))</f>
        <v/>
      </c>
      <c r="M1879" s="44">
        <f>M1852*Settings!$C$13*(INDEX(M$420:M$431,$D1879))</f>
        <v/>
      </c>
      <c r="N1879" s="44">
        <f>N1852*Settings!$C$13*(INDEX(N$420:N$431,$D1879))</f>
        <v/>
      </c>
      <c r="O1879" s="44">
        <f>O1852*Settings!$C$13*(INDEX(O$420:O$431,$D1879))</f>
        <v/>
      </c>
      <c r="P1879" s="44">
        <f>P1852*Settings!$C$13*(INDEX(P$420:P$431,$D1879))</f>
        <v/>
      </c>
      <c r="Q1879" s="44">
        <f>Q1852*Settings!$C$13*(INDEX(Q$420:Q$431,$D1879))</f>
        <v/>
      </c>
      <c r="R1879" s="44">
        <f>R1852*Settings!$C$13*(INDEX(R$420:R$431,$D1879))</f>
        <v/>
      </c>
      <c r="S1879" s="44">
        <f>S1852*Settings!$C$13*(INDEX(S$420:S$431,$D1879))</f>
        <v/>
      </c>
      <c r="T1879" s="44">
        <f>T1852*Settings!$C$13*(INDEX(T$420:T$431,$D1879))</f>
        <v/>
      </c>
      <c r="U1879" s="44">
        <f>U1852*Settings!$C$13*(INDEX(U$420:U$431,$D1879))</f>
        <v/>
      </c>
      <c r="V1879" s="44">
        <f>V1852*Settings!$C$13*(INDEX(V$420:V$431,$D1879))</f>
        <v/>
      </c>
      <c r="W1879" s="44">
        <f>W1852*Settings!$C$13*(INDEX(W$420:W$431,$D1879))</f>
        <v/>
      </c>
      <c r="X1879" s="44">
        <f>X1852*Settings!$C$13*(INDEX(X$420:X$431,$D1879))</f>
        <v/>
      </c>
      <c r="Y1879" s="44">
        <f>Y1852*Settings!$C$13*(INDEX(Y$420:Y$431,$D1879))</f>
        <v/>
      </c>
      <c r="Z1879" s="44">
        <f>Z1852*Settings!$C$13*(INDEX(Z$420:Z$431,$D1879))</f>
        <v/>
      </c>
      <c r="AA1879" s="44">
        <f>AA1852*Settings!$C$13*(INDEX(AA$420:AA$431,$D1879))</f>
        <v/>
      </c>
      <c r="AB1879" s="44">
        <f>AB1852*Settings!$C$13*(INDEX(AB$420:AB$431,$D1879))</f>
        <v/>
      </c>
      <c r="AC1879" s="44">
        <f>AC1852*Settings!$C$13*(INDEX(AC$420:AC$431,$D1879))</f>
        <v/>
      </c>
      <c r="AD1879" s="44">
        <f>AD1852*Settings!$C$13*(INDEX(AD$420:AD$431,$D1879))</f>
        <v/>
      </c>
      <c r="AE1879" s="57">
        <f>REVENUE(AE1852,Settings!$C$13,INDEX(AE$420:AE$431,$D1879))</f>
        <v/>
      </c>
      <c r="AG1879" s="11">
        <f>CodePrefix&amp;$A1879&amp;IF($C1879="","","."&amp;$C1879&amp;"."&amp;$B1879)&amp;INDEX(VarEnd,MATCH($A1879,VarKey,0))&amp;AG$5</f>
        <v/>
      </c>
      <c r="AH1879" s="43">
        <f>AH1852*Settings!$C$13*(INDEX(AH$420:AH$431,$D1879))</f>
        <v/>
      </c>
      <c r="AI1879" s="44">
        <f>AI1852*Settings!$C$13*(INDEX(AI$420:AI$431,$D1879))</f>
        <v/>
      </c>
      <c r="AJ1879" s="44">
        <f>AJ1852*Settings!$C$13*(INDEX(AJ$420:AJ$431,$D1879))</f>
        <v/>
      </c>
      <c r="AK1879" s="44">
        <f>AK1852*Settings!$C$13*(INDEX(AK$420:AK$431,$D1879))</f>
        <v/>
      </c>
      <c r="AL1879" s="44">
        <f>AL1852*Settings!$C$13*(INDEX(AL$420:AL$431,$D1879))</f>
        <v/>
      </c>
      <c r="AM1879" s="44">
        <f>AM1852*Settings!$C$13*(INDEX(AM$420:AM$431,$D1879))</f>
        <v/>
      </c>
      <c r="AN1879" s="44">
        <f>AN1852*Settings!$C$13*(INDEX(AN$420:AN$431,$D1879))</f>
        <v/>
      </c>
      <c r="AO1879" s="44">
        <f>AO1852*Settings!$C$13*(INDEX(AO$420:AO$431,$D1879))</f>
        <v/>
      </c>
      <c r="AP1879" s="44">
        <f>AP1852*Settings!$C$13*(INDEX(AP$420:AP$431,$D1879))</f>
        <v/>
      </c>
      <c r="AQ1879" s="44">
        <f>AQ1852*Settings!$C$13*(INDEX(AQ$420:AQ$431,$D1879))</f>
        <v/>
      </c>
      <c r="AR1879" s="44">
        <f>AR1852*Settings!$C$13*(INDEX(AR$420:AR$431,$D1879))</f>
        <v/>
      </c>
      <c r="AS1879" s="44">
        <f>AS1852*Settings!$C$13*(INDEX(AS$420:AS$431,$D1879))</f>
        <v/>
      </c>
      <c r="AT1879" s="44">
        <f>AT1852*Settings!$C$13*(INDEX(AT$420:AT$431,$D1879))</f>
        <v/>
      </c>
      <c r="AU1879" s="44">
        <f>AU1852*Settings!$C$13*(INDEX(AU$420:AU$431,$D1879))</f>
        <v/>
      </c>
      <c r="AV1879" s="44">
        <f>AV1852*Settings!$C$13*(INDEX(AV$420:AV$431,$D1879))</f>
        <v/>
      </c>
      <c r="AW1879" s="44">
        <f>AW1852*Settings!$C$13*(INDEX(AW$420:AW$431,$D1879))</f>
        <v/>
      </c>
      <c r="AX1879" s="44">
        <f>AX1852*Settings!$C$13*(INDEX(AX$420:AX$431,$D1879))</f>
        <v/>
      </c>
      <c r="AY1879" s="44">
        <f>AY1852*Settings!$C$13*(INDEX(AY$420:AY$431,$D1879))</f>
        <v/>
      </c>
      <c r="AZ1879" s="44">
        <f>AZ1852*Settings!$C$13*(INDEX(AZ$420:AZ$431,$D1879))</f>
        <v/>
      </c>
      <c r="BA1879" s="57">
        <f>REVENUE(BA1852,Settings!$C$13,INDEX(BA$420:BA$431,$D1879))</f>
        <v/>
      </c>
    </row>
    <row r="1880" hidden="1" outlineLevel="2">
      <c r="A1880" s="14" t="inlineStr">
        <is>
          <t>rsub</t>
        </is>
      </c>
      <c r="B1880" s="14" t="inlineStr">
        <is>
          <t>die</t>
        </is>
      </c>
      <c r="C1880" s="14" t="inlineStr">
        <is>
          <t>srv</t>
        </is>
      </c>
      <c r="D1880" s="35">
        <f>INDEX(Inputs!$U$5:$U$132,MATCH($B1880&amp;"|"&amp;$C1880,Inputs!$A$5:$A$132,0))</f>
        <v/>
      </c>
      <c r="E1880" s="39" t="n"/>
      <c r="F1880" s="39" t="n"/>
      <c r="G1880" s="39" t="n"/>
      <c r="H1880" s="14">
        <f>INDEX(VarLab,MATCH($A1880,VarKey,0))&amp;INDEX(MemLab,MATCH($C1880&amp;"|"&amp;$B1880,MemKey,0))</f>
        <v/>
      </c>
      <c r="I1880" s="14">
        <f>INDEX(VarUnit,MATCH($A1880,VarKey,0))</f>
        <v/>
      </c>
      <c r="J1880" s="14">
        <f>INDEX(VarSrc,MATCH($A1880,VarKey,0))</f>
        <v/>
      </c>
      <c r="K1880" s="11">
        <f>CodePrefix&amp;$A1880&amp;IF($C1880="","","."&amp;$C1880&amp;"."&amp;$B1880)&amp;INDEX(VarEnd,MATCH($A1880,VarKey,0))&amp;K$5</f>
        <v/>
      </c>
      <c r="L1880" s="43">
        <f>L1853*Settings!$C$13*(INDEX(L$420:L$431,$D1880))</f>
        <v/>
      </c>
      <c r="M1880" s="44">
        <f>M1853*Settings!$C$13*(INDEX(M$420:M$431,$D1880))</f>
        <v/>
      </c>
      <c r="N1880" s="44">
        <f>N1853*Settings!$C$13*(INDEX(N$420:N$431,$D1880))</f>
        <v/>
      </c>
      <c r="O1880" s="44">
        <f>O1853*Settings!$C$13*(INDEX(O$420:O$431,$D1880))</f>
        <v/>
      </c>
      <c r="P1880" s="44">
        <f>P1853*Settings!$C$13*(INDEX(P$420:P$431,$D1880))</f>
        <v/>
      </c>
      <c r="Q1880" s="44">
        <f>Q1853*Settings!$C$13*(INDEX(Q$420:Q$431,$D1880))</f>
        <v/>
      </c>
      <c r="R1880" s="44">
        <f>R1853*Settings!$C$13*(INDEX(R$420:R$431,$D1880))</f>
        <v/>
      </c>
      <c r="S1880" s="44">
        <f>S1853*Settings!$C$13*(INDEX(S$420:S$431,$D1880))</f>
        <v/>
      </c>
      <c r="T1880" s="44">
        <f>T1853*Settings!$C$13*(INDEX(T$420:T$431,$D1880))</f>
        <v/>
      </c>
      <c r="U1880" s="44">
        <f>U1853*Settings!$C$13*(INDEX(U$420:U$431,$D1880))</f>
        <v/>
      </c>
      <c r="V1880" s="44">
        <f>V1853*Settings!$C$13*(INDEX(V$420:V$431,$D1880))</f>
        <v/>
      </c>
      <c r="W1880" s="44">
        <f>W1853*Settings!$C$13*(INDEX(W$420:W$431,$D1880))</f>
        <v/>
      </c>
      <c r="X1880" s="44">
        <f>X1853*Settings!$C$13*(INDEX(X$420:X$431,$D1880))</f>
        <v/>
      </c>
      <c r="Y1880" s="44">
        <f>Y1853*Settings!$C$13*(INDEX(Y$420:Y$431,$D1880))</f>
        <v/>
      </c>
      <c r="Z1880" s="44">
        <f>Z1853*Settings!$C$13*(INDEX(Z$420:Z$431,$D1880))</f>
        <v/>
      </c>
      <c r="AA1880" s="44">
        <f>AA1853*Settings!$C$13*(INDEX(AA$420:AA$431,$D1880))</f>
        <v/>
      </c>
      <c r="AB1880" s="44">
        <f>AB1853*Settings!$C$13*(INDEX(AB$420:AB$431,$D1880))</f>
        <v/>
      </c>
      <c r="AC1880" s="44">
        <f>AC1853*Settings!$C$13*(INDEX(AC$420:AC$431,$D1880))</f>
        <v/>
      </c>
      <c r="AD1880" s="44">
        <f>AD1853*Settings!$C$13*(INDEX(AD$420:AD$431,$D1880))</f>
        <v/>
      </c>
      <c r="AE1880" s="57">
        <f>REVENUE(AE1853,Settings!$C$13,INDEX(AE$420:AE$431,$D1880))</f>
        <v/>
      </c>
      <c r="AG1880" s="11">
        <f>CodePrefix&amp;$A1880&amp;IF($C1880="","","."&amp;$C1880&amp;"."&amp;$B1880)&amp;INDEX(VarEnd,MATCH($A1880,VarKey,0))&amp;AG$5</f>
        <v/>
      </c>
      <c r="AH1880" s="43">
        <f>AH1853*Settings!$C$13*(INDEX(AH$420:AH$431,$D1880))</f>
        <v/>
      </c>
      <c r="AI1880" s="44">
        <f>AI1853*Settings!$C$13*(INDEX(AI$420:AI$431,$D1880))</f>
        <v/>
      </c>
      <c r="AJ1880" s="44">
        <f>AJ1853*Settings!$C$13*(INDEX(AJ$420:AJ$431,$D1880))</f>
        <v/>
      </c>
      <c r="AK1880" s="44">
        <f>AK1853*Settings!$C$13*(INDEX(AK$420:AK$431,$D1880))</f>
        <v/>
      </c>
      <c r="AL1880" s="44">
        <f>AL1853*Settings!$C$13*(INDEX(AL$420:AL$431,$D1880))</f>
        <v/>
      </c>
      <c r="AM1880" s="44">
        <f>AM1853*Settings!$C$13*(INDEX(AM$420:AM$431,$D1880))</f>
        <v/>
      </c>
      <c r="AN1880" s="44">
        <f>AN1853*Settings!$C$13*(INDEX(AN$420:AN$431,$D1880))</f>
        <v/>
      </c>
      <c r="AO1880" s="44">
        <f>AO1853*Settings!$C$13*(INDEX(AO$420:AO$431,$D1880))</f>
        <v/>
      </c>
      <c r="AP1880" s="44">
        <f>AP1853*Settings!$C$13*(INDEX(AP$420:AP$431,$D1880))</f>
        <v/>
      </c>
      <c r="AQ1880" s="44">
        <f>AQ1853*Settings!$C$13*(INDEX(AQ$420:AQ$431,$D1880))</f>
        <v/>
      </c>
      <c r="AR1880" s="44">
        <f>AR1853*Settings!$C$13*(INDEX(AR$420:AR$431,$D1880))</f>
        <v/>
      </c>
      <c r="AS1880" s="44">
        <f>AS1853*Settings!$C$13*(INDEX(AS$420:AS$431,$D1880))</f>
        <v/>
      </c>
      <c r="AT1880" s="44">
        <f>AT1853*Settings!$C$13*(INDEX(AT$420:AT$431,$D1880))</f>
        <v/>
      </c>
      <c r="AU1880" s="44">
        <f>AU1853*Settings!$C$13*(INDEX(AU$420:AU$431,$D1880))</f>
        <v/>
      </c>
      <c r="AV1880" s="44">
        <f>AV1853*Settings!$C$13*(INDEX(AV$420:AV$431,$D1880))</f>
        <v/>
      </c>
      <c r="AW1880" s="44">
        <f>AW1853*Settings!$C$13*(INDEX(AW$420:AW$431,$D1880))</f>
        <v/>
      </c>
      <c r="AX1880" s="44">
        <f>AX1853*Settings!$C$13*(INDEX(AX$420:AX$431,$D1880))</f>
        <v/>
      </c>
      <c r="AY1880" s="44">
        <f>AY1853*Settings!$C$13*(INDEX(AY$420:AY$431,$D1880))</f>
        <v/>
      </c>
      <c r="AZ1880" s="44">
        <f>AZ1853*Settings!$C$13*(INDEX(AZ$420:AZ$431,$D1880))</f>
        <v/>
      </c>
      <c r="BA1880" s="57">
        <f>REVENUE(BA1853,Settings!$C$13,INDEX(BA$420:BA$431,$D1880))</f>
        <v/>
      </c>
    </row>
    <row r="1881" hidden="1" outlineLevel="2">
      <c r="A1881" s="14" t="inlineStr">
        <is>
          <t>rsub</t>
        </is>
      </c>
      <c r="B1881" s="14" t="inlineStr">
        <is>
          <t>lpg</t>
        </is>
      </c>
      <c r="C1881" s="14" t="inlineStr">
        <is>
          <t>srv</t>
        </is>
      </c>
      <c r="D1881" s="35">
        <f>INDEX(Inputs!$U$5:$U$132,MATCH($B1881&amp;"|"&amp;$C1881,Inputs!$A$5:$A$132,0))</f>
        <v/>
      </c>
      <c r="E1881" s="39" t="n"/>
      <c r="F1881" s="39" t="n"/>
      <c r="G1881" s="39" t="n"/>
      <c r="H1881" s="14">
        <f>INDEX(VarLab,MATCH($A1881,VarKey,0))&amp;INDEX(MemLab,MATCH($C1881&amp;"|"&amp;$B1881,MemKey,0))</f>
        <v/>
      </c>
      <c r="I1881" s="14">
        <f>INDEX(VarUnit,MATCH($A1881,VarKey,0))</f>
        <v/>
      </c>
      <c r="J1881" s="14">
        <f>INDEX(VarSrc,MATCH($A1881,VarKey,0))</f>
        <v/>
      </c>
      <c r="K1881" s="11">
        <f>CodePrefix&amp;$A1881&amp;IF($C1881="","","."&amp;$C1881&amp;"."&amp;$B1881)&amp;INDEX(VarEnd,MATCH($A1881,VarKey,0))&amp;K$5</f>
        <v/>
      </c>
      <c r="L1881" s="43">
        <f>L1854*Settings!$C$13*(INDEX(L$420:L$431,$D1881))</f>
        <v/>
      </c>
      <c r="M1881" s="44">
        <f>M1854*Settings!$C$13*(INDEX(M$420:M$431,$D1881))</f>
        <v/>
      </c>
      <c r="N1881" s="44">
        <f>N1854*Settings!$C$13*(INDEX(N$420:N$431,$D1881))</f>
        <v/>
      </c>
      <c r="O1881" s="44">
        <f>O1854*Settings!$C$13*(INDEX(O$420:O$431,$D1881))</f>
        <v/>
      </c>
      <c r="P1881" s="44">
        <f>P1854*Settings!$C$13*(INDEX(P$420:P$431,$D1881))</f>
        <v/>
      </c>
      <c r="Q1881" s="44">
        <f>Q1854*Settings!$C$13*(INDEX(Q$420:Q$431,$D1881))</f>
        <v/>
      </c>
      <c r="R1881" s="44">
        <f>R1854*Settings!$C$13*(INDEX(R$420:R$431,$D1881))</f>
        <v/>
      </c>
      <c r="S1881" s="44">
        <f>S1854*Settings!$C$13*(INDEX(S$420:S$431,$D1881))</f>
        <v/>
      </c>
      <c r="T1881" s="44">
        <f>T1854*Settings!$C$13*(INDEX(T$420:T$431,$D1881))</f>
        <v/>
      </c>
      <c r="U1881" s="44">
        <f>U1854*Settings!$C$13*(INDEX(U$420:U$431,$D1881))</f>
        <v/>
      </c>
      <c r="V1881" s="44">
        <f>V1854*Settings!$C$13*(INDEX(V$420:V$431,$D1881))</f>
        <v/>
      </c>
      <c r="W1881" s="44">
        <f>W1854*Settings!$C$13*(INDEX(W$420:W$431,$D1881))</f>
        <v/>
      </c>
      <c r="X1881" s="44">
        <f>X1854*Settings!$C$13*(INDEX(X$420:X$431,$D1881))</f>
        <v/>
      </c>
      <c r="Y1881" s="44">
        <f>Y1854*Settings!$C$13*(INDEX(Y$420:Y$431,$D1881))</f>
        <v/>
      </c>
      <c r="Z1881" s="44">
        <f>Z1854*Settings!$C$13*(INDEX(Z$420:Z$431,$D1881))</f>
        <v/>
      </c>
      <c r="AA1881" s="44">
        <f>AA1854*Settings!$C$13*(INDEX(AA$420:AA$431,$D1881))</f>
        <v/>
      </c>
      <c r="AB1881" s="44">
        <f>AB1854*Settings!$C$13*(INDEX(AB$420:AB$431,$D1881))</f>
        <v/>
      </c>
      <c r="AC1881" s="44">
        <f>AC1854*Settings!$C$13*(INDEX(AC$420:AC$431,$D1881))</f>
        <v/>
      </c>
      <c r="AD1881" s="44">
        <f>AD1854*Settings!$C$13*(INDEX(AD$420:AD$431,$D1881))</f>
        <v/>
      </c>
      <c r="AE1881" s="57">
        <f>REVENUE(AE1854,Settings!$C$13,INDEX(AE$420:AE$431,$D1881))</f>
        <v/>
      </c>
      <c r="AG1881" s="11">
        <f>CodePrefix&amp;$A1881&amp;IF($C1881="","","."&amp;$C1881&amp;"."&amp;$B1881)&amp;INDEX(VarEnd,MATCH($A1881,VarKey,0))&amp;AG$5</f>
        <v/>
      </c>
      <c r="AH1881" s="43">
        <f>AH1854*Settings!$C$13*(INDEX(AH$420:AH$431,$D1881))</f>
        <v/>
      </c>
      <c r="AI1881" s="44">
        <f>AI1854*Settings!$C$13*(INDEX(AI$420:AI$431,$D1881))</f>
        <v/>
      </c>
      <c r="AJ1881" s="44">
        <f>AJ1854*Settings!$C$13*(INDEX(AJ$420:AJ$431,$D1881))</f>
        <v/>
      </c>
      <c r="AK1881" s="44">
        <f>AK1854*Settings!$C$13*(INDEX(AK$420:AK$431,$D1881))</f>
        <v/>
      </c>
      <c r="AL1881" s="44">
        <f>AL1854*Settings!$C$13*(INDEX(AL$420:AL$431,$D1881))</f>
        <v/>
      </c>
      <c r="AM1881" s="44">
        <f>AM1854*Settings!$C$13*(INDEX(AM$420:AM$431,$D1881))</f>
        <v/>
      </c>
      <c r="AN1881" s="44">
        <f>AN1854*Settings!$C$13*(INDEX(AN$420:AN$431,$D1881))</f>
        <v/>
      </c>
      <c r="AO1881" s="44">
        <f>AO1854*Settings!$C$13*(INDEX(AO$420:AO$431,$D1881))</f>
        <v/>
      </c>
      <c r="AP1881" s="44">
        <f>AP1854*Settings!$C$13*(INDEX(AP$420:AP$431,$D1881))</f>
        <v/>
      </c>
      <c r="AQ1881" s="44">
        <f>AQ1854*Settings!$C$13*(INDEX(AQ$420:AQ$431,$D1881))</f>
        <v/>
      </c>
      <c r="AR1881" s="44">
        <f>AR1854*Settings!$C$13*(INDEX(AR$420:AR$431,$D1881))</f>
        <v/>
      </c>
      <c r="AS1881" s="44">
        <f>AS1854*Settings!$C$13*(INDEX(AS$420:AS$431,$D1881))</f>
        <v/>
      </c>
      <c r="AT1881" s="44">
        <f>AT1854*Settings!$C$13*(INDEX(AT$420:AT$431,$D1881))</f>
        <v/>
      </c>
      <c r="AU1881" s="44">
        <f>AU1854*Settings!$C$13*(INDEX(AU$420:AU$431,$D1881))</f>
        <v/>
      </c>
      <c r="AV1881" s="44">
        <f>AV1854*Settings!$C$13*(INDEX(AV$420:AV$431,$D1881))</f>
        <v/>
      </c>
      <c r="AW1881" s="44">
        <f>AW1854*Settings!$C$13*(INDEX(AW$420:AW$431,$D1881))</f>
        <v/>
      </c>
      <c r="AX1881" s="44">
        <f>AX1854*Settings!$C$13*(INDEX(AX$420:AX$431,$D1881))</f>
        <v/>
      </c>
      <c r="AY1881" s="44">
        <f>AY1854*Settings!$C$13*(INDEX(AY$420:AY$431,$D1881))</f>
        <v/>
      </c>
      <c r="AZ1881" s="44">
        <f>AZ1854*Settings!$C$13*(INDEX(AZ$420:AZ$431,$D1881))</f>
        <v/>
      </c>
      <c r="BA1881" s="57">
        <f>REVENUE(BA1854,Settings!$C$13,INDEX(BA$420:BA$431,$D1881))</f>
        <v/>
      </c>
    </row>
    <row r="1882" hidden="1" outlineLevel="2">
      <c r="A1882" s="14" t="inlineStr">
        <is>
          <t>rsub</t>
        </is>
      </c>
      <c r="B1882" s="14" t="inlineStr">
        <is>
          <t>ker</t>
        </is>
      </c>
      <c r="C1882" s="14" t="inlineStr">
        <is>
          <t>srv</t>
        </is>
      </c>
      <c r="D1882" s="35">
        <f>INDEX(Inputs!$U$5:$U$132,MATCH($B1882&amp;"|"&amp;$C1882,Inputs!$A$5:$A$132,0))</f>
        <v/>
      </c>
      <c r="E1882" s="39" t="n"/>
      <c r="F1882" s="39" t="n"/>
      <c r="G1882" s="39" t="n"/>
      <c r="H1882" s="14">
        <f>INDEX(VarLab,MATCH($A1882,VarKey,0))&amp;INDEX(MemLab,MATCH($C1882&amp;"|"&amp;$B1882,MemKey,0))</f>
        <v/>
      </c>
      <c r="I1882" s="14">
        <f>INDEX(VarUnit,MATCH($A1882,VarKey,0))</f>
        <v/>
      </c>
      <c r="J1882" s="14">
        <f>INDEX(VarSrc,MATCH($A1882,VarKey,0))</f>
        <v/>
      </c>
      <c r="K1882" s="11">
        <f>CodePrefix&amp;$A1882&amp;IF($C1882="","","."&amp;$C1882&amp;"."&amp;$B1882)&amp;INDEX(VarEnd,MATCH($A1882,VarKey,0))&amp;K$5</f>
        <v/>
      </c>
      <c r="L1882" s="43">
        <f>L1855*Settings!$C$13*(INDEX(L$420:L$431,$D1882))</f>
        <v/>
      </c>
      <c r="M1882" s="44">
        <f>M1855*Settings!$C$13*(INDEX(M$420:M$431,$D1882))</f>
        <v/>
      </c>
      <c r="N1882" s="44">
        <f>N1855*Settings!$C$13*(INDEX(N$420:N$431,$D1882))</f>
        <v/>
      </c>
      <c r="O1882" s="44">
        <f>O1855*Settings!$C$13*(INDEX(O$420:O$431,$D1882))</f>
        <v/>
      </c>
      <c r="P1882" s="44">
        <f>P1855*Settings!$C$13*(INDEX(P$420:P$431,$D1882))</f>
        <v/>
      </c>
      <c r="Q1882" s="44">
        <f>Q1855*Settings!$C$13*(INDEX(Q$420:Q$431,$D1882))</f>
        <v/>
      </c>
      <c r="R1882" s="44">
        <f>R1855*Settings!$C$13*(INDEX(R$420:R$431,$D1882))</f>
        <v/>
      </c>
      <c r="S1882" s="44">
        <f>S1855*Settings!$C$13*(INDEX(S$420:S$431,$D1882))</f>
        <v/>
      </c>
      <c r="T1882" s="44">
        <f>T1855*Settings!$C$13*(INDEX(T$420:T$431,$D1882))</f>
        <v/>
      </c>
      <c r="U1882" s="44">
        <f>U1855*Settings!$C$13*(INDEX(U$420:U$431,$D1882))</f>
        <v/>
      </c>
      <c r="V1882" s="44">
        <f>V1855*Settings!$C$13*(INDEX(V$420:V$431,$D1882))</f>
        <v/>
      </c>
      <c r="W1882" s="44">
        <f>W1855*Settings!$C$13*(INDEX(W$420:W$431,$D1882))</f>
        <v/>
      </c>
      <c r="X1882" s="44">
        <f>X1855*Settings!$C$13*(INDEX(X$420:X$431,$D1882))</f>
        <v/>
      </c>
      <c r="Y1882" s="44">
        <f>Y1855*Settings!$C$13*(INDEX(Y$420:Y$431,$D1882))</f>
        <v/>
      </c>
      <c r="Z1882" s="44">
        <f>Z1855*Settings!$C$13*(INDEX(Z$420:Z$431,$D1882))</f>
        <v/>
      </c>
      <c r="AA1882" s="44">
        <f>AA1855*Settings!$C$13*(INDEX(AA$420:AA$431,$D1882))</f>
        <v/>
      </c>
      <c r="AB1882" s="44">
        <f>AB1855*Settings!$C$13*(INDEX(AB$420:AB$431,$D1882))</f>
        <v/>
      </c>
      <c r="AC1882" s="44">
        <f>AC1855*Settings!$C$13*(INDEX(AC$420:AC$431,$D1882))</f>
        <v/>
      </c>
      <c r="AD1882" s="44">
        <f>AD1855*Settings!$C$13*(INDEX(AD$420:AD$431,$D1882))</f>
        <v/>
      </c>
      <c r="AE1882" s="57">
        <f>REVENUE(AE1855,Settings!$C$13,INDEX(AE$420:AE$431,$D1882))</f>
        <v/>
      </c>
      <c r="AG1882" s="11">
        <f>CodePrefix&amp;$A1882&amp;IF($C1882="","","."&amp;$C1882&amp;"."&amp;$B1882)&amp;INDEX(VarEnd,MATCH($A1882,VarKey,0))&amp;AG$5</f>
        <v/>
      </c>
      <c r="AH1882" s="43">
        <f>AH1855*Settings!$C$13*(INDEX(AH$420:AH$431,$D1882))</f>
        <v/>
      </c>
      <c r="AI1882" s="44">
        <f>AI1855*Settings!$C$13*(INDEX(AI$420:AI$431,$D1882))</f>
        <v/>
      </c>
      <c r="AJ1882" s="44">
        <f>AJ1855*Settings!$C$13*(INDEX(AJ$420:AJ$431,$D1882))</f>
        <v/>
      </c>
      <c r="AK1882" s="44">
        <f>AK1855*Settings!$C$13*(INDEX(AK$420:AK$431,$D1882))</f>
        <v/>
      </c>
      <c r="AL1882" s="44">
        <f>AL1855*Settings!$C$13*(INDEX(AL$420:AL$431,$D1882))</f>
        <v/>
      </c>
      <c r="AM1882" s="44">
        <f>AM1855*Settings!$C$13*(INDEX(AM$420:AM$431,$D1882))</f>
        <v/>
      </c>
      <c r="AN1882" s="44">
        <f>AN1855*Settings!$C$13*(INDEX(AN$420:AN$431,$D1882))</f>
        <v/>
      </c>
      <c r="AO1882" s="44">
        <f>AO1855*Settings!$C$13*(INDEX(AO$420:AO$431,$D1882))</f>
        <v/>
      </c>
      <c r="AP1882" s="44">
        <f>AP1855*Settings!$C$13*(INDEX(AP$420:AP$431,$D1882))</f>
        <v/>
      </c>
      <c r="AQ1882" s="44">
        <f>AQ1855*Settings!$C$13*(INDEX(AQ$420:AQ$431,$D1882))</f>
        <v/>
      </c>
      <c r="AR1882" s="44">
        <f>AR1855*Settings!$C$13*(INDEX(AR$420:AR$431,$D1882))</f>
        <v/>
      </c>
      <c r="AS1882" s="44">
        <f>AS1855*Settings!$C$13*(INDEX(AS$420:AS$431,$D1882))</f>
        <v/>
      </c>
      <c r="AT1882" s="44">
        <f>AT1855*Settings!$C$13*(INDEX(AT$420:AT$431,$D1882))</f>
        <v/>
      </c>
      <c r="AU1882" s="44">
        <f>AU1855*Settings!$C$13*(INDEX(AU$420:AU$431,$D1882))</f>
        <v/>
      </c>
      <c r="AV1882" s="44">
        <f>AV1855*Settings!$C$13*(INDEX(AV$420:AV$431,$D1882))</f>
        <v/>
      </c>
      <c r="AW1882" s="44">
        <f>AW1855*Settings!$C$13*(INDEX(AW$420:AW$431,$D1882))</f>
        <v/>
      </c>
      <c r="AX1882" s="44">
        <f>AX1855*Settings!$C$13*(INDEX(AX$420:AX$431,$D1882))</f>
        <v/>
      </c>
      <c r="AY1882" s="44">
        <f>AY1855*Settings!$C$13*(INDEX(AY$420:AY$431,$D1882))</f>
        <v/>
      </c>
      <c r="AZ1882" s="44">
        <f>AZ1855*Settings!$C$13*(INDEX(AZ$420:AZ$431,$D1882))</f>
        <v/>
      </c>
      <c r="BA1882" s="57">
        <f>REVENUE(BA1855,Settings!$C$13,INDEX(BA$420:BA$431,$D1882))</f>
        <v/>
      </c>
    </row>
    <row r="1883" hidden="1" outlineLevel="2">
      <c r="A1883" s="14" t="inlineStr">
        <is>
          <t>rsub</t>
        </is>
      </c>
      <c r="B1883" s="14" t="inlineStr">
        <is>
          <t>oop</t>
        </is>
      </c>
      <c r="C1883" s="14" t="inlineStr">
        <is>
          <t>srv</t>
        </is>
      </c>
      <c r="D1883" s="35">
        <f>INDEX(Inputs!$U$5:$U$132,MATCH($B1883&amp;"|"&amp;$C1883,Inputs!$A$5:$A$132,0))</f>
        <v/>
      </c>
      <c r="E1883" s="39" t="n"/>
      <c r="F1883" s="39" t="n"/>
      <c r="G1883" s="39" t="n"/>
      <c r="H1883" s="14">
        <f>INDEX(VarLab,MATCH($A1883,VarKey,0))&amp;INDEX(MemLab,MATCH($C1883&amp;"|"&amp;$B1883,MemKey,0))</f>
        <v/>
      </c>
      <c r="I1883" s="14">
        <f>INDEX(VarUnit,MATCH($A1883,VarKey,0))</f>
        <v/>
      </c>
      <c r="J1883" s="14">
        <f>INDEX(VarSrc,MATCH($A1883,VarKey,0))</f>
        <v/>
      </c>
      <c r="K1883" s="11">
        <f>CodePrefix&amp;$A1883&amp;IF($C1883="","","."&amp;$C1883&amp;"."&amp;$B1883)&amp;INDEX(VarEnd,MATCH($A1883,VarKey,0))&amp;K$5</f>
        <v/>
      </c>
      <c r="L1883" s="43">
        <f>L1856*Settings!$C$13*(INDEX(L$420:L$431,$D1883))</f>
        <v/>
      </c>
      <c r="M1883" s="44">
        <f>M1856*Settings!$C$13*(INDEX(M$420:M$431,$D1883))</f>
        <v/>
      </c>
      <c r="N1883" s="44">
        <f>N1856*Settings!$C$13*(INDEX(N$420:N$431,$D1883))</f>
        <v/>
      </c>
      <c r="O1883" s="44">
        <f>O1856*Settings!$C$13*(INDEX(O$420:O$431,$D1883))</f>
        <v/>
      </c>
      <c r="P1883" s="44">
        <f>P1856*Settings!$C$13*(INDEX(P$420:P$431,$D1883))</f>
        <v/>
      </c>
      <c r="Q1883" s="44">
        <f>Q1856*Settings!$C$13*(INDEX(Q$420:Q$431,$D1883))</f>
        <v/>
      </c>
      <c r="R1883" s="44">
        <f>R1856*Settings!$C$13*(INDEX(R$420:R$431,$D1883))</f>
        <v/>
      </c>
      <c r="S1883" s="44">
        <f>S1856*Settings!$C$13*(INDEX(S$420:S$431,$D1883))</f>
        <v/>
      </c>
      <c r="T1883" s="44">
        <f>T1856*Settings!$C$13*(INDEX(T$420:T$431,$D1883))</f>
        <v/>
      </c>
      <c r="U1883" s="44">
        <f>U1856*Settings!$C$13*(INDEX(U$420:U$431,$D1883))</f>
        <v/>
      </c>
      <c r="V1883" s="44">
        <f>V1856*Settings!$C$13*(INDEX(V$420:V$431,$D1883))</f>
        <v/>
      </c>
      <c r="W1883" s="44">
        <f>W1856*Settings!$C$13*(INDEX(W$420:W$431,$D1883))</f>
        <v/>
      </c>
      <c r="X1883" s="44">
        <f>X1856*Settings!$C$13*(INDEX(X$420:X$431,$D1883))</f>
        <v/>
      </c>
      <c r="Y1883" s="44">
        <f>Y1856*Settings!$C$13*(INDEX(Y$420:Y$431,$D1883))</f>
        <v/>
      </c>
      <c r="Z1883" s="44">
        <f>Z1856*Settings!$C$13*(INDEX(Z$420:Z$431,$D1883))</f>
        <v/>
      </c>
      <c r="AA1883" s="44">
        <f>AA1856*Settings!$C$13*(INDEX(AA$420:AA$431,$D1883))</f>
        <v/>
      </c>
      <c r="AB1883" s="44">
        <f>AB1856*Settings!$C$13*(INDEX(AB$420:AB$431,$D1883))</f>
        <v/>
      </c>
      <c r="AC1883" s="44">
        <f>AC1856*Settings!$C$13*(INDEX(AC$420:AC$431,$D1883))</f>
        <v/>
      </c>
      <c r="AD1883" s="44">
        <f>AD1856*Settings!$C$13*(INDEX(AD$420:AD$431,$D1883))</f>
        <v/>
      </c>
      <c r="AE1883" s="57">
        <f>REVENUE(AE1856,Settings!$C$13,INDEX(AE$420:AE$431,$D1883))</f>
        <v/>
      </c>
      <c r="AG1883" s="11">
        <f>CodePrefix&amp;$A1883&amp;IF($C1883="","","."&amp;$C1883&amp;"."&amp;$B1883)&amp;INDEX(VarEnd,MATCH($A1883,VarKey,0))&amp;AG$5</f>
        <v/>
      </c>
      <c r="AH1883" s="43">
        <f>AH1856*Settings!$C$13*(INDEX(AH$420:AH$431,$D1883))</f>
        <v/>
      </c>
      <c r="AI1883" s="44">
        <f>AI1856*Settings!$C$13*(INDEX(AI$420:AI$431,$D1883))</f>
        <v/>
      </c>
      <c r="AJ1883" s="44">
        <f>AJ1856*Settings!$C$13*(INDEX(AJ$420:AJ$431,$D1883))</f>
        <v/>
      </c>
      <c r="AK1883" s="44">
        <f>AK1856*Settings!$C$13*(INDEX(AK$420:AK$431,$D1883))</f>
        <v/>
      </c>
      <c r="AL1883" s="44">
        <f>AL1856*Settings!$C$13*(INDEX(AL$420:AL$431,$D1883))</f>
        <v/>
      </c>
      <c r="AM1883" s="44">
        <f>AM1856*Settings!$C$13*(INDEX(AM$420:AM$431,$D1883))</f>
        <v/>
      </c>
      <c r="AN1883" s="44">
        <f>AN1856*Settings!$C$13*(INDEX(AN$420:AN$431,$D1883))</f>
        <v/>
      </c>
      <c r="AO1883" s="44">
        <f>AO1856*Settings!$C$13*(INDEX(AO$420:AO$431,$D1883))</f>
        <v/>
      </c>
      <c r="AP1883" s="44">
        <f>AP1856*Settings!$C$13*(INDEX(AP$420:AP$431,$D1883))</f>
        <v/>
      </c>
      <c r="AQ1883" s="44">
        <f>AQ1856*Settings!$C$13*(INDEX(AQ$420:AQ$431,$D1883))</f>
        <v/>
      </c>
      <c r="AR1883" s="44">
        <f>AR1856*Settings!$C$13*(INDEX(AR$420:AR$431,$D1883))</f>
        <v/>
      </c>
      <c r="AS1883" s="44">
        <f>AS1856*Settings!$C$13*(INDEX(AS$420:AS$431,$D1883))</f>
        <v/>
      </c>
      <c r="AT1883" s="44">
        <f>AT1856*Settings!$C$13*(INDEX(AT$420:AT$431,$D1883))</f>
        <v/>
      </c>
      <c r="AU1883" s="44">
        <f>AU1856*Settings!$C$13*(INDEX(AU$420:AU$431,$D1883))</f>
        <v/>
      </c>
      <c r="AV1883" s="44">
        <f>AV1856*Settings!$C$13*(INDEX(AV$420:AV$431,$D1883))</f>
        <v/>
      </c>
      <c r="AW1883" s="44">
        <f>AW1856*Settings!$C$13*(INDEX(AW$420:AW$431,$D1883))</f>
        <v/>
      </c>
      <c r="AX1883" s="44">
        <f>AX1856*Settings!$C$13*(INDEX(AX$420:AX$431,$D1883))</f>
        <v/>
      </c>
      <c r="AY1883" s="44">
        <f>AY1856*Settings!$C$13*(INDEX(AY$420:AY$431,$D1883))</f>
        <v/>
      </c>
      <c r="AZ1883" s="44">
        <f>AZ1856*Settings!$C$13*(INDEX(AZ$420:AZ$431,$D1883))</f>
        <v/>
      </c>
      <c r="BA1883" s="57">
        <f>REVENUE(BA1856,Settings!$C$13,INDEX(BA$420:BA$431,$D1883))</f>
        <v/>
      </c>
    </row>
    <row r="1884" hidden="1" outlineLevel="2">
      <c r="A1884" s="14" t="inlineStr">
        <is>
          <t>rsub</t>
        </is>
      </c>
      <c r="B1884" s="14" t="inlineStr">
        <is>
          <t>bio</t>
        </is>
      </c>
      <c r="C1884" s="14" t="inlineStr">
        <is>
          <t>srv</t>
        </is>
      </c>
      <c r="D1884" s="35">
        <f>INDEX(Inputs!$U$5:$U$132,MATCH($B1884&amp;"|"&amp;$C1884,Inputs!$A$5:$A$132,0))</f>
        <v/>
      </c>
      <c r="E1884" s="39" t="n"/>
      <c r="F1884" s="39" t="n"/>
      <c r="G1884" s="39" t="n"/>
      <c r="H1884" s="14">
        <f>INDEX(VarLab,MATCH($A1884,VarKey,0))&amp;INDEX(MemLab,MATCH($C1884&amp;"|"&amp;$B1884,MemKey,0))</f>
        <v/>
      </c>
      <c r="I1884" s="14">
        <f>INDEX(VarUnit,MATCH($A1884,VarKey,0))</f>
        <v/>
      </c>
      <c r="J1884" s="14">
        <f>INDEX(VarSrc,MATCH($A1884,VarKey,0))</f>
        <v/>
      </c>
      <c r="K1884" s="11">
        <f>CodePrefix&amp;$A1884&amp;IF($C1884="","","."&amp;$C1884&amp;"."&amp;$B1884)&amp;INDEX(VarEnd,MATCH($A1884,VarKey,0))&amp;K$5</f>
        <v/>
      </c>
      <c r="L1884" s="43">
        <f>L1857*Settings!$C$13*(INDEX(L$420:L$431,$D1884))</f>
        <v/>
      </c>
      <c r="M1884" s="44">
        <f>M1857*Settings!$C$13*(INDEX(M$420:M$431,$D1884))</f>
        <v/>
      </c>
      <c r="N1884" s="44">
        <f>N1857*Settings!$C$13*(INDEX(N$420:N$431,$D1884))</f>
        <v/>
      </c>
      <c r="O1884" s="44">
        <f>O1857*Settings!$C$13*(INDEX(O$420:O$431,$D1884))</f>
        <v/>
      </c>
      <c r="P1884" s="44">
        <f>P1857*Settings!$C$13*(INDEX(P$420:P$431,$D1884))</f>
        <v/>
      </c>
      <c r="Q1884" s="44">
        <f>Q1857*Settings!$C$13*(INDEX(Q$420:Q$431,$D1884))</f>
        <v/>
      </c>
      <c r="R1884" s="44">
        <f>R1857*Settings!$C$13*(INDEX(R$420:R$431,$D1884))</f>
        <v/>
      </c>
      <c r="S1884" s="44">
        <f>S1857*Settings!$C$13*(INDEX(S$420:S$431,$D1884))</f>
        <v/>
      </c>
      <c r="T1884" s="44">
        <f>T1857*Settings!$C$13*(INDEX(T$420:T$431,$D1884))</f>
        <v/>
      </c>
      <c r="U1884" s="44">
        <f>U1857*Settings!$C$13*(INDEX(U$420:U$431,$D1884))</f>
        <v/>
      </c>
      <c r="V1884" s="44">
        <f>V1857*Settings!$C$13*(INDEX(V$420:V$431,$D1884))</f>
        <v/>
      </c>
      <c r="W1884" s="44">
        <f>W1857*Settings!$C$13*(INDEX(W$420:W$431,$D1884))</f>
        <v/>
      </c>
      <c r="X1884" s="44">
        <f>X1857*Settings!$C$13*(INDEX(X$420:X$431,$D1884))</f>
        <v/>
      </c>
      <c r="Y1884" s="44">
        <f>Y1857*Settings!$C$13*(INDEX(Y$420:Y$431,$D1884))</f>
        <v/>
      </c>
      <c r="Z1884" s="44">
        <f>Z1857*Settings!$C$13*(INDEX(Z$420:Z$431,$D1884))</f>
        <v/>
      </c>
      <c r="AA1884" s="44">
        <f>AA1857*Settings!$C$13*(INDEX(AA$420:AA$431,$D1884))</f>
        <v/>
      </c>
      <c r="AB1884" s="44">
        <f>AB1857*Settings!$C$13*(INDEX(AB$420:AB$431,$D1884))</f>
        <v/>
      </c>
      <c r="AC1884" s="44">
        <f>AC1857*Settings!$C$13*(INDEX(AC$420:AC$431,$D1884))</f>
        <v/>
      </c>
      <c r="AD1884" s="44">
        <f>AD1857*Settings!$C$13*(INDEX(AD$420:AD$431,$D1884))</f>
        <v/>
      </c>
      <c r="AE1884" s="57">
        <f>REVENUE(AE1857,Settings!$C$13,INDEX(AE$420:AE$431,$D1884))</f>
        <v/>
      </c>
      <c r="AG1884" s="11">
        <f>CodePrefix&amp;$A1884&amp;IF($C1884="","","."&amp;$C1884&amp;"."&amp;$B1884)&amp;INDEX(VarEnd,MATCH($A1884,VarKey,0))&amp;AG$5</f>
        <v/>
      </c>
      <c r="AH1884" s="43">
        <f>AH1857*Settings!$C$13*(INDEX(AH$420:AH$431,$D1884))</f>
        <v/>
      </c>
      <c r="AI1884" s="44">
        <f>AI1857*Settings!$C$13*(INDEX(AI$420:AI$431,$D1884))</f>
        <v/>
      </c>
      <c r="AJ1884" s="44">
        <f>AJ1857*Settings!$C$13*(INDEX(AJ$420:AJ$431,$D1884))</f>
        <v/>
      </c>
      <c r="AK1884" s="44">
        <f>AK1857*Settings!$C$13*(INDEX(AK$420:AK$431,$D1884))</f>
        <v/>
      </c>
      <c r="AL1884" s="44">
        <f>AL1857*Settings!$C$13*(INDEX(AL$420:AL$431,$D1884))</f>
        <v/>
      </c>
      <c r="AM1884" s="44">
        <f>AM1857*Settings!$C$13*(INDEX(AM$420:AM$431,$D1884))</f>
        <v/>
      </c>
      <c r="AN1884" s="44">
        <f>AN1857*Settings!$C$13*(INDEX(AN$420:AN$431,$D1884))</f>
        <v/>
      </c>
      <c r="AO1884" s="44">
        <f>AO1857*Settings!$C$13*(INDEX(AO$420:AO$431,$D1884))</f>
        <v/>
      </c>
      <c r="AP1884" s="44">
        <f>AP1857*Settings!$C$13*(INDEX(AP$420:AP$431,$D1884))</f>
        <v/>
      </c>
      <c r="AQ1884" s="44">
        <f>AQ1857*Settings!$C$13*(INDEX(AQ$420:AQ$431,$D1884))</f>
        <v/>
      </c>
      <c r="AR1884" s="44">
        <f>AR1857*Settings!$C$13*(INDEX(AR$420:AR$431,$D1884))</f>
        <v/>
      </c>
      <c r="AS1884" s="44">
        <f>AS1857*Settings!$C$13*(INDEX(AS$420:AS$431,$D1884))</f>
        <v/>
      </c>
      <c r="AT1884" s="44">
        <f>AT1857*Settings!$C$13*(INDEX(AT$420:AT$431,$D1884))</f>
        <v/>
      </c>
      <c r="AU1884" s="44">
        <f>AU1857*Settings!$C$13*(INDEX(AU$420:AU$431,$D1884))</f>
        <v/>
      </c>
      <c r="AV1884" s="44">
        <f>AV1857*Settings!$C$13*(INDEX(AV$420:AV$431,$D1884))</f>
        <v/>
      </c>
      <c r="AW1884" s="44">
        <f>AW1857*Settings!$C$13*(INDEX(AW$420:AW$431,$D1884))</f>
        <v/>
      </c>
      <c r="AX1884" s="44">
        <f>AX1857*Settings!$C$13*(INDEX(AX$420:AX$431,$D1884))</f>
        <v/>
      </c>
      <c r="AY1884" s="44">
        <f>AY1857*Settings!$C$13*(INDEX(AY$420:AY$431,$D1884))</f>
        <v/>
      </c>
      <c r="AZ1884" s="44">
        <f>AZ1857*Settings!$C$13*(INDEX(AZ$420:AZ$431,$D1884))</f>
        <v/>
      </c>
      <c r="BA1884" s="57">
        <f>REVENUE(BA1857,Settings!$C$13,INDEX(BA$420:BA$431,$D1884))</f>
        <v/>
      </c>
    </row>
    <row r="1885" hidden="1" outlineLevel="2"/>
    <row r="1886" hidden="1" outlineLevel="2">
      <c r="A1886" s="14" t="inlineStr">
        <is>
          <t>rnew</t>
        </is>
      </c>
      <c r="B1886" s="14" t="inlineStr">
        <is>
          <t>coa</t>
        </is>
      </c>
      <c r="C1886" s="14" t="inlineStr">
        <is>
          <t>srv</t>
        </is>
      </c>
      <c r="D1886" s="35">
        <f>INDEX(Inputs!$V$5:$V$132,MATCH($B1886&amp;"|"&amp;$C1886,Inputs!$A$5:$A$132,0))</f>
        <v/>
      </c>
      <c r="E1886" s="39" t="n"/>
      <c r="F1886" s="39" t="n"/>
      <c r="G1886" s="39" t="n"/>
      <c r="H1886" s="14">
        <f>INDEX(VarLab,MATCH($A1886,VarKey,0))&amp;INDEX(MemLab,MATCH($C1886&amp;"|"&amp;$B1886,MemKey,0))</f>
        <v/>
      </c>
      <c r="I1886" s="14">
        <f>INDEX(VarUnit,MATCH($A1886,VarKey,0))</f>
        <v/>
      </c>
      <c r="J1886" s="14">
        <f>INDEX(VarSrc,MATCH($A1886,VarKey,0))</f>
        <v/>
      </c>
      <c r="K1886" s="11">
        <f>CodePrefix&amp;$A1886&amp;IF($C1886="","","."&amp;$C1886&amp;"."&amp;$B1886)&amp;INDEX(VarEnd,MATCH($A1886,VarKey,0))&amp;K$5</f>
        <v/>
      </c>
      <c r="L1886" s="43">
        <f>L1850*Settings!$C$13*(L1778+L1796+L1787*L$201+L1805*$D1886)</f>
        <v/>
      </c>
      <c r="M1886" s="44">
        <f>M1850*Settings!$C$13*(M1778+M1796+M1787*M$201+M1805*$D1886)</f>
        <v/>
      </c>
      <c r="N1886" s="44">
        <f>N1850*Settings!$C$13*(N1778+N1796+N1787*N$201+N1805*$D1886)</f>
        <v/>
      </c>
      <c r="O1886" s="44">
        <f>O1850*Settings!$C$13*(O1778+O1796+O1787*O$201+O1805*$D1886)</f>
        <v/>
      </c>
      <c r="P1886" s="44">
        <f>P1850*Settings!$C$13*(P1778+P1796+P1787*P$201+P1805*$D1886)</f>
        <v/>
      </c>
      <c r="Q1886" s="44">
        <f>Q1850*Settings!$C$13*(Q1778+Q1796+Q1787*Q$201+Q1805*$D1886)</f>
        <v/>
      </c>
      <c r="R1886" s="44">
        <f>R1850*Settings!$C$13*(R1778+R1796+R1787*R$201+R1805*$D1886)</f>
        <v/>
      </c>
      <c r="S1886" s="44">
        <f>S1850*Settings!$C$13*(S1778+S1796+S1787*S$201+S1805*$D1886)</f>
        <v/>
      </c>
      <c r="T1886" s="44">
        <f>T1850*Settings!$C$13*(T1778+T1796+T1787*T$201+T1805*$D1886)</f>
        <v/>
      </c>
      <c r="U1886" s="44">
        <f>U1850*Settings!$C$13*(U1778+U1796+U1787*U$201+U1805*$D1886)</f>
        <v/>
      </c>
      <c r="V1886" s="44">
        <f>V1850*Settings!$C$13*(V1778+V1796+V1787*V$201+V1805*$D1886)</f>
        <v/>
      </c>
      <c r="W1886" s="44">
        <f>W1850*Settings!$C$13*(W1778+W1796+W1787*W$201+W1805*$D1886)</f>
        <v/>
      </c>
      <c r="X1886" s="44">
        <f>X1850*Settings!$C$13*(X1778+X1796+X1787*X$201+X1805*$D1886)</f>
        <v/>
      </c>
      <c r="Y1886" s="44">
        <f>Y1850*Settings!$C$13*(Y1778+Y1796+Y1787*Y$201+Y1805*$D1886)</f>
        <v/>
      </c>
      <c r="Z1886" s="44">
        <f>Z1850*Settings!$C$13*(Z1778+Z1796+Z1787*Z$201+Z1805*$D1886)</f>
        <v/>
      </c>
      <c r="AA1886" s="44">
        <f>AA1850*Settings!$C$13*(AA1778+AA1796+AA1787*AA$201+AA1805*$D1886)</f>
        <v/>
      </c>
      <c r="AB1886" s="44">
        <f>AB1850*Settings!$C$13*(AB1778+AB1796+AB1787*AB$201+AB1805*$D1886)</f>
        <v/>
      </c>
      <c r="AC1886" s="44">
        <f>AC1850*Settings!$C$13*(AC1778+AC1796+AC1787*AC$201+AC1805*$D1886)</f>
        <v/>
      </c>
      <c r="AD1886" s="44">
        <f>AD1850*Settings!$C$13*(AD1778+AD1796+AD1787*AD$201+AD1805*$D1886)</f>
        <v/>
      </c>
      <c r="AE1886" s="57">
        <f>REVENUE(AE1850,Settings!$C$13,NEWREVRATE(AE1778,AE1796,AE1787,AE$201,AE1805,$D1886))</f>
        <v/>
      </c>
      <c r="AG1886" s="11">
        <f>CodePrefix&amp;$A1886&amp;IF($C1886="","","."&amp;$C1886&amp;"."&amp;$B1886)&amp;INDEX(VarEnd,MATCH($A1886,VarKey,0))&amp;AG$5</f>
        <v/>
      </c>
      <c r="AH1886" s="43">
        <f>AH1850*Settings!$C$13*(AH1778+AH1796+AH1787*AH$201+AH1805*$D1886)</f>
        <v/>
      </c>
      <c r="AI1886" s="44">
        <f>AI1850*Settings!$C$13*(AI1778+AI1796+AI1787*AI$201+AI1805*$D1886)</f>
        <v/>
      </c>
      <c r="AJ1886" s="44">
        <f>AJ1850*Settings!$C$13*(AJ1778+AJ1796+AJ1787*AJ$201+AJ1805*$D1886)</f>
        <v/>
      </c>
      <c r="AK1886" s="44">
        <f>AK1850*Settings!$C$13*(AK1778+AK1796+AK1787*AK$201+AK1805*$D1886)</f>
        <v/>
      </c>
      <c r="AL1886" s="44">
        <f>AL1850*Settings!$C$13*(AL1778+AL1796+AL1787*AL$201+AL1805*$D1886)</f>
        <v/>
      </c>
      <c r="AM1886" s="44">
        <f>AM1850*Settings!$C$13*(AM1778+AM1796+AM1787*AM$201+AM1805*$D1886)</f>
        <v/>
      </c>
      <c r="AN1886" s="44">
        <f>AN1850*Settings!$C$13*(AN1778+AN1796+AN1787*AN$201+AN1805*$D1886)</f>
        <v/>
      </c>
      <c r="AO1886" s="44">
        <f>AO1850*Settings!$C$13*(AO1778+AO1796+AO1787*AO$201+AO1805*$D1886)</f>
        <v/>
      </c>
      <c r="AP1886" s="44">
        <f>AP1850*Settings!$C$13*(AP1778+AP1796+AP1787*AP$201+AP1805*$D1886)</f>
        <v/>
      </c>
      <c r="AQ1886" s="44">
        <f>AQ1850*Settings!$C$13*(AQ1778+AQ1796+AQ1787*AQ$201+AQ1805*$D1886)</f>
        <v/>
      </c>
      <c r="AR1886" s="44">
        <f>AR1850*Settings!$C$13*(AR1778+AR1796+AR1787*AR$201+AR1805*$D1886)</f>
        <v/>
      </c>
      <c r="AS1886" s="44">
        <f>AS1850*Settings!$C$13*(AS1778+AS1796+AS1787*AS$201+AS1805*$D1886)</f>
        <v/>
      </c>
      <c r="AT1886" s="44">
        <f>AT1850*Settings!$C$13*(AT1778+AT1796+AT1787*AT$201+AT1805*$D1886)</f>
        <v/>
      </c>
      <c r="AU1886" s="44">
        <f>AU1850*Settings!$C$13*(AU1778+AU1796+AU1787*AU$201+AU1805*$D1886)</f>
        <v/>
      </c>
      <c r="AV1886" s="44">
        <f>AV1850*Settings!$C$13*(AV1778+AV1796+AV1787*AV$201+AV1805*$D1886)</f>
        <v/>
      </c>
      <c r="AW1886" s="44">
        <f>AW1850*Settings!$C$13*(AW1778+AW1796+AW1787*AW$201+AW1805*$D1886)</f>
        <v/>
      </c>
      <c r="AX1886" s="44">
        <f>AX1850*Settings!$C$13*(AX1778+AX1796+AX1787*AX$201+AX1805*$D1886)</f>
        <v/>
      </c>
      <c r="AY1886" s="44">
        <f>AY1850*Settings!$C$13*(AY1778+AY1796+AY1787*AY$201+AY1805*$D1886)</f>
        <v/>
      </c>
      <c r="AZ1886" s="44">
        <f>AZ1850*Settings!$C$13*(AZ1778+AZ1796+AZ1787*AZ$201+AZ1805*$D1886)</f>
        <v/>
      </c>
      <c r="BA1886" s="57">
        <f>REVENUE(BA1850,Settings!$C$13,NEWREVRATE(BA1778,BA1796,BA1787,BA$201,BA1805,$D1886))</f>
        <v/>
      </c>
    </row>
    <row r="1887" hidden="1" outlineLevel="2">
      <c r="A1887" s="14" t="inlineStr">
        <is>
          <t>rnew</t>
        </is>
      </c>
      <c r="B1887" s="14" t="inlineStr">
        <is>
          <t>nga</t>
        </is>
      </c>
      <c r="C1887" s="14" t="inlineStr">
        <is>
          <t>srv</t>
        </is>
      </c>
      <c r="D1887" s="35">
        <f>INDEX(Inputs!$V$5:$V$132,MATCH($B1887&amp;"|"&amp;$C1887,Inputs!$A$5:$A$132,0))</f>
        <v/>
      </c>
      <c r="E1887" s="39" t="n"/>
      <c r="F1887" s="39" t="n"/>
      <c r="G1887" s="39" t="n"/>
      <c r="H1887" s="14">
        <f>INDEX(VarLab,MATCH($A1887,VarKey,0))&amp;INDEX(MemLab,MATCH($C1887&amp;"|"&amp;$B1887,MemKey,0))</f>
        <v/>
      </c>
      <c r="I1887" s="14">
        <f>INDEX(VarUnit,MATCH($A1887,VarKey,0))</f>
        <v/>
      </c>
      <c r="J1887" s="14">
        <f>INDEX(VarSrc,MATCH($A1887,VarKey,0))</f>
        <v/>
      </c>
      <c r="K1887" s="11">
        <f>CodePrefix&amp;$A1887&amp;IF($C1887="","","."&amp;$C1887&amp;"."&amp;$B1887)&amp;INDEX(VarEnd,MATCH($A1887,VarKey,0))&amp;K$5</f>
        <v/>
      </c>
      <c r="L1887" s="43">
        <f>L1851*Settings!$C$13*(L1779+L1797+L1788*L$201+L1806*$D1887)</f>
        <v/>
      </c>
      <c r="M1887" s="44">
        <f>M1851*Settings!$C$13*(M1779+M1797+M1788*M$201+M1806*$D1887)</f>
        <v/>
      </c>
      <c r="N1887" s="44">
        <f>N1851*Settings!$C$13*(N1779+N1797+N1788*N$201+N1806*$D1887)</f>
        <v/>
      </c>
      <c r="O1887" s="44">
        <f>O1851*Settings!$C$13*(O1779+O1797+O1788*O$201+O1806*$D1887)</f>
        <v/>
      </c>
      <c r="P1887" s="44">
        <f>P1851*Settings!$C$13*(P1779+P1797+P1788*P$201+P1806*$D1887)</f>
        <v/>
      </c>
      <c r="Q1887" s="44">
        <f>Q1851*Settings!$C$13*(Q1779+Q1797+Q1788*Q$201+Q1806*$D1887)</f>
        <v/>
      </c>
      <c r="R1887" s="44">
        <f>R1851*Settings!$C$13*(R1779+R1797+R1788*R$201+R1806*$D1887)</f>
        <v/>
      </c>
      <c r="S1887" s="44">
        <f>S1851*Settings!$C$13*(S1779+S1797+S1788*S$201+S1806*$D1887)</f>
        <v/>
      </c>
      <c r="T1887" s="44">
        <f>T1851*Settings!$C$13*(T1779+T1797+T1788*T$201+T1806*$D1887)</f>
        <v/>
      </c>
      <c r="U1887" s="44">
        <f>U1851*Settings!$C$13*(U1779+U1797+U1788*U$201+U1806*$D1887)</f>
        <v/>
      </c>
      <c r="V1887" s="44">
        <f>V1851*Settings!$C$13*(V1779+V1797+V1788*V$201+V1806*$D1887)</f>
        <v/>
      </c>
      <c r="W1887" s="44">
        <f>W1851*Settings!$C$13*(W1779+W1797+W1788*W$201+W1806*$D1887)</f>
        <v/>
      </c>
      <c r="X1887" s="44">
        <f>X1851*Settings!$C$13*(X1779+X1797+X1788*X$201+X1806*$D1887)</f>
        <v/>
      </c>
      <c r="Y1887" s="44">
        <f>Y1851*Settings!$C$13*(Y1779+Y1797+Y1788*Y$201+Y1806*$D1887)</f>
        <v/>
      </c>
      <c r="Z1887" s="44">
        <f>Z1851*Settings!$C$13*(Z1779+Z1797+Z1788*Z$201+Z1806*$D1887)</f>
        <v/>
      </c>
      <c r="AA1887" s="44">
        <f>AA1851*Settings!$C$13*(AA1779+AA1797+AA1788*AA$201+AA1806*$D1887)</f>
        <v/>
      </c>
      <c r="AB1887" s="44">
        <f>AB1851*Settings!$C$13*(AB1779+AB1797+AB1788*AB$201+AB1806*$D1887)</f>
        <v/>
      </c>
      <c r="AC1887" s="44">
        <f>AC1851*Settings!$C$13*(AC1779+AC1797+AC1788*AC$201+AC1806*$D1887)</f>
        <v/>
      </c>
      <c r="AD1887" s="44">
        <f>AD1851*Settings!$C$13*(AD1779+AD1797+AD1788*AD$201+AD1806*$D1887)</f>
        <v/>
      </c>
      <c r="AE1887" s="57">
        <f>REVENUE(AE1851,Settings!$C$13,NEWREVRATE(AE1779,AE1797,AE1788,AE$201,AE1806,$D1887))</f>
        <v/>
      </c>
      <c r="AG1887" s="11">
        <f>CodePrefix&amp;$A1887&amp;IF($C1887="","","."&amp;$C1887&amp;"."&amp;$B1887)&amp;INDEX(VarEnd,MATCH($A1887,VarKey,0))&amp;AG$5</f>
        <v/>
      </c>
      <c r="AH1887" s="43">
        <f>AH1851*Settings!$C$13*(AH1779+AH1797+AH1788*AH$201+AH1806*$D1887)</f>
        <v/>
      </c>
      <c r="AI1887" s="44">
        <f>AI1851*Settings!$C$13*(AI1779+AI1797+AI1788*AI$201+AI1806*$D1887)</f>
        <v/>
      </c>
      <c r="AJ1887" s="44">
        <f>AJ1851*Settings!$C$13*(AJ1779+AJ1797+AJ1788*AJ$201+AJ1806*$D1887)</f>
        <v/>
      </c>
      <c r="AK1887" s="44">
        <f>AK1851*Settings!$C$13*(AK1779+AK1797+AK1788*AK$201+AK1806*$D1887)</f>
        <v/>
      </c>
      <c r="AL1887" s="44">
        <f>AL1851*Settings!$C$13*(AL1779+AL1797+AL1788*AL$201+AL1806*$D1887)</f>
        <v/>
      </c>
      <c r="AM1887" s="44">
        <f>AM1851*Settings!$C$13*(AM1779+AM1797+AM1788*AM$201+AM1806*$D1887)</f>
        <v/>
      </c>
      <c r="AN1887" s="44">
        <f>AN1851*Settings!$C$13*(AN1779+AN1797+AN1788*AN$201+AN1806*$D1887)</f>
        <v/>
      </c>
      <c r="AO1887" s="44">
        <f>AO1851*Settings!$C$13*(AO1779+AO1797+AO1788*AO$201+AO1806*$D1887)</f>
        <v/>
      </c>
      <c r="AP1887" s="44">
        <f>AP1851*Settings!$C$13*(AP1779+AP1797+AP1788*AP$201+AP1806*$D1887)</f>
        <v/>
      </c>
      <c r="AQ1887" s="44">
        <f>AQ1851*Settings!$C$13*(AQ1779+AQ1797+AQ1788*AQ$201+AQ1806*$D1887)</f>
        <v/>
      </c>
      <c r="AR1887" s="44">
        <f>AR1851*Settings!$C$13*(AR1779+AR1797+AR1788*AR$201+AR1806*$D1887)</f>
        <v/>
      </c>
      <c r="AS1887" s="44">
        <f>AS1851*Settings!$C$13*(AS1779+AS1797+AS1788*AS$201+AS1806*$D1887)</f>
        <v/>
      </c>
      <c r="AT1887" s="44">
        <f>AT1851*Settings!$C$13*(AT1779+AT1797+AT1788*AT$201+AT1806*$D1887)</f>
        <v/>
      </c>
      <c r="AU1887" s="44">
        <f>AU1851*Settings!$C$13*(AU1779+AU1797+AU1788*AU$201+AU1806*$D1887)</f>
        <v/>
      </c>
      <c r="AV1887" s="44">
        <f>AV1851*Settings!$C$13*(AV1779+AV1797+AV1788*AV$201+AV1806*$D1887)</f>
        <v/>
      </c>
      <c r="AW1887" s="44">
        <f>AW1851*Settings!$C$13*(AW1779+AW1797+AW1788*AW$201+AW1806*$D1887)</f>
        <v/>
      </c>
      <c r="AX1887" s="44">
        <f>AX1851*Settings!$C$13*(AX1779+AX1797+AX1788*AX$201+AX1806*$D1887)</f>
        <v/>
      </c>
      <c r="AY1887" s="44">
        <f>AY1851*Settings!$C$13*(AY1779+AY1797+AY1788*AY$201+AY1806*$D1887)</f>
        <v/>
      </c>
      <c r="AZ1887" s="44">
        <f>AZ1851*Settings!$C$13*(AZ1779+AZ1797+AZ1788*AZ$201+AZ1806*$D1887)</f>
        <v/>
      </c>
      <c r="BA1887" s="57">
        <f>REVENUE(BA1851,Settings!$C$13,NEWREVRATE(BA1779,BA1797,BA1788,BA$201,BA1806,$D1887))</f>
        <v/>
      </c>
    </row>
    <row r="1888" hidden="1" outlineLevel="2">
      <c r="A1888" s="14" t="inlineStr">
        <is>
          <t>rnew</t>
        </is>
      </c>
      <c r="B1888" s="14" t="inlineStr">
        <is>
          <t>gso</t>
        </is>
      </c>
      <c r="C1888" s="14" t="inlineStr">
        <is>
          <t>srv</t>
        </is>
      </c>
      <c r="D1888" s="35">
        <f>INDEX(Inputs!$V$5:$V$132,MATCH($B1888&amp;"|"&amp;$C1888,Inputs!$A$5:$A$132,0))</f>
        <v/>
      </c>
      <c r="E1888" s="39" t="n"/>
      <c r="F1888" s="39" t="n"/>
      <c r="G1888" s="39" t="n"/>
      <c r="H1888" s="14">
        <f>INDEX(VarLab,MATCH($A1888,VarKey,0))&amp;INDEX(MemLab,MATCH($C1888&amp;"|"&amp;$B1888,MemKey,0))</f>
        <v/>
      </c>
      <c r="I1888" s="14">
        <f>INDEX(VarUnit,MATCH($A1888,VarKey,0))</f>
        <v/>
      </c>
      <c r="J1888" s="14">
        <f>INDEX(VarSrc,MATCH($A1888,VarKey,0))</f>
        <v/>
      </c>
      <c r="K1888" s="11">
        <f>CodePrefix&amp;$A1888&amp;IF($C1888="","","."&amp;$C1888&amp;"."&amp;$B1888)&amp;INDEX(VarEnd,MATCH($A1888,VarKey,0))&amp;K$5</f>
        <v/>
      </c>
      <c r="L1888" s="43">
        <f>L1852*Settings!$C$13*(L1780+L1798+L1789*L$201+L1807*$D1888)</f>
        <v/>
      </c>
      <c r="M1888" s="44">
        <f>M1852*Settings!$C$13*(M1780+M1798+M1789*M$201+M1807*$D1888)</f>
        <v/>
      </c>
      <c r="N1888" s="44">
        <f>N1852*Settings!$C$13*(N1780+N1798+N1789*N$201+N1807*$D1888)</f>
        <v/>
      </c>
      <c r="O1888" s="44">
        <f>O1852*Settings!$C$13*(O1780+O1798+O1789*O$201+O1807*$D1888)</f>
        <v/>
      </c>
      <c r="P1888" s="44">
        <f>P1852*Settings!$C$13*(P1780+P1798+P1789*P$201+P1807*$D1888)</f>
        <v/>
      </c>
      <c r="Q1888" s="44">
        <f>Q1852*Settings!$C$13*(Q1780+Q1798+Q1789*Q$201+Q1807*$D1888)</f>
        <v/>
      </c>
      <c r="R1888" s="44">
        <f>R1852*Settings!$C$13*(R1780+R1798+R1789*R$201+R1807*$D1888)</f>
        <v/>
      </c>
      <c r="S1888" s="44">
        <f>S1852*Settings!$C$13*(S1780+S1798+S1789*S$201+S1807*$D1888)</f>
        <v/>
      </c>
      <c r="T1888" s="44">
        <f>T1852*Settings!$C$13*(T1780+T1798+T1789*T$201+T1807*$D1888)</f>
        <v/>
      </c>
      <c r="U1888" s="44">
        <f>U1852*Settings!$C$13*(U1780+U1798+U1789*U$201+U1807*$D1888)</f>
        <v/>
      </c>
      <c r="V1888" s="44">
        <f>V1852*Settings!$C$13*(V1780+V1798+V1789*V$201+V1807*$D1888)</f>
        <v/>
      </c>
      <c r="W1888" s="44">
        <f>W1852*Settings!$C$13*(W1780+W1798+W1789*W$201+W1807*$D1888)</f>
        <v/>
      </c>
      <c r="X1888" s="44">
        <f>X1852*Settings!$C$13*(X1780+X1798+X1789*X$201+X1807*$D1888)</f>
        <v/>
      </c>
      <c r="Y1888" s="44">
        <f>Y1852*Settings!$C$13*(Y1780+Y1798+Y1789*Y$201+Y1807*$D1888)</f>
        <v/>
      </c>
      <c r="Z1888" s="44">
        <f>Z1852*Settings!$C$13*(Z1780+Z1798+Z1789*Z$201+Z1807*$D1888)</f>
        <v/>
      </c>
      <c r="AA1888" s="44">
        <f>AA1852*Settings!$C$13*(AA1780+AA1798+AA1789*AA$201+AA1807*$D1888)</f>
        <v/>
      </c>
      <c r="AB1888" s="44">
        <f>AB1852*Settings!$C$13*(AB1780+AB1798+AB1789*AB$201+AB1807*$D1888)</f>
        <v/>
      </c>
      <c r="AC1888" s="44">
        <f>AC1852*Settings!$C$13*(AC1780+AC1798+AC1789*AC$201+AC1807*$D1888)</f>
        <v/>
      </c>
      <c r="AD1888" s="44">
        <f>AD1852*Settings!$C$13*(AD1780+AD1798+AD1789*AD$201+AD1807*$D1888)</f>
        <v/>
      </c>
      <c r="AE1888" s="57">
        <f>REVENUE(AE1852,Settings!$C$13,NEWREVRATE(AE1780,AE1798,AE1789,AE$201,AE1807,$D1888))</f>
        <v/>
      </c>
      <c r="AG1888" s="11">
        <f>CodePrefix&amp;$A1888&amp;IF($C1888="","","."&amp;$C1888&amp;"."&amp;$B1888)&amp;INDEX(VarEnd,MATCH($A1888,VarKey,0))&amp;AG$5</f>
        <v/>
      </c>
      <c r="AH1888" s="43">
        <f>AH1852*Settings!$C$13*(AH1780+AH1798+AH1789*AH$201+AH1807*$D1888)</f>
        <v/>
      </c>
      <c r="AI1888" s="44">
        <f>AI1852*Settings!$C$13*(AI1780+AI1798+AI1789*AI$201+AI1807*$D1888)</f>
        <v/>
      </c>
      <c r="AJ1888" s="44">
        <f>AJ1852*Settings!$C$13*(AJ1780+AJ1798+AJ1789*AJ$201+AJ1807*$D1888)</f>
        <v/>
      </c>
      <c r="AK1888" s="44">
        <f>AK1852*Settings!$C$13*(AK1780+AK1798+AK1789*AK$201+AK1807*$D1888)</f>
        <v/>
      </c>
      <c r="AL1888" s="44">
        <f>AL1852*Settings!$C$13*(AL1780+AL1798+AL1789*AL$201+AL1807*$D1888)</f>
        <v/>
      </c>
      <c r="AM1888" s="44">
        <f>AM1852*Settings!$C$13*(AM1780+AM1798+AM1789*AM$201+AM1807*$D1888)</f>
        <v/>
      </c>
      <c r="AN1888" s="44">
        <f>AN1852*Settings!$C$13*(AN1780+AN1798+AN1789*AN$201+AN1807*$D1888)</f>
        <v/>
      </c>
      <c r="AO1888" s="44">
        <f>AO1852*Settings!$C$13*(AO1780+AO1798+AO1789*AO$201+AO1807*$D1888)</f>
        <v/>
      </c>
      <c r="AP1888" s="44">
        <f>AP1852*Settings!$C$13*(AP1780+AP1798+AP1789*AP$201+AP1807*$D1888)</f>
        <v/>
      </c>
      <c r="AQ1888" s="44">
        <f>AQ1852*Settings!$C$13*(AQ1780+AQ1798+AQ1789*AQ$201+AQ1807*$D1888)</f>
        <v/>
      </c>
      <c r="AR1888" s="44">
        <f>AR1852*Settings!$C$13*(AR1780+AR1798+AR1789*AR$201+AR1807*$D1888)</f>
        <v/>
      </c>
      <c r="AS1888" s="44">
        <f>AS1852*Settings!$C$13*(AS1780+AS1798+AS1789*AS$201+AS1807*$D1888)</f>
        <v/>
      </c>
      <c r="AT1888" s="44">
        <f>AT1852*Settings!$C$13*(AT1780+AT1798+AT1789*AT$201+AT1807*$D1888)</f>
        <v/>
      </c>
      <c r="AU1888" s="44">
        <f>AU1852*Settings!$C$13*(AU1780+AU1798+AU1789*AU$201+AU1807*$D1888)</f>
        <v/>
      </c>
      <c r="AV1888" s="44">
        <f>AV1852*Settings!$C$13*(AV1780+AV1798+AV1789*AV$201+AV1807*$D1888)</f>
        <v/>
      </c>
      <c r="AW1888" s="44">
        <f>AW1852*Settings!$C$13*(AW1780+AW1798+AW1789*AW$201+AW1807*$D1888)</f>
        <v/>
      </c>
      <c r="AX1888" s="44">
        <f>AX1852*Settings!$C$13*(AX1780+AX1798+AX1789*AX$201+AX1807*$D1888)</f>
        <v/>
      </c>
      <c r="AY1888" s="44">
        <f>AY1852*Settings!$C$13*(AY1780+AY1798+AY1789*AY$201+AY1807*$D1888)</f>
        <v/>
      </c>
      <c r="AZ1888" s="44">
        <f>AZ1852*Settings!$C$13*(AZ1780+AZ1798+AZ1789*AZ$201+AZ1807*$D1888)</f>
        <v/>
      </c>
      <c r="BA1888" s="57">
        <f>REVENUE(BA1852,Settings!$C$13,NEWREVRATE(BA1780,BA1798,BA1789,BA$201,BA1807,$D1888))</f>
        <v/>
      </c>
    </row>
    <row r="1889" hidden="1" outlineLevel="2">
      <c r="A1889" s="14" t="inlineStr">
        <is>
          <t>rnew</t>
        </is>
      </c>
      <c r="B1889" s="14" t="inlineStr">
        <is>
          <t>die</t>
        </is>
      </c>
      <c r="C1889" s="14" t="inlineStr">
        <is>
          <t>srv</t>
        </is>
      </c>
      <c r="D1889" s="35">
        <f>INDEX(Inputs!$V$5:$V$132,MATCH($B1889&amp;"|"&amp;$C1889,Inputs!$A$5:$A$132,0))</f>
        <v/>
      </c>
      <c r="E1889" s="39" t="n"/>
      <c r="F1889" s="39" t="n"/>
      <c r="G1889" s="39" t="n"/>
      <c r="H1889" s="14">
        <f>INDEX(VarLab,MATCH($A1889,VarKey,0))&amp;INDEX(MemLab,MATCH($C1889&amp;"|"&amp;$B1889,MemKey,0))</f>
        <v/>
      </c>
      <c r="I1889" s="14">
        <f>INDEX(VarUnit,MATCH($A1889,VarKey,0))</f>
        <v/>
      </c>
      <c r="J1889" s="14">
        <f>INDEX(VarSrc,MATCH($A1889,VarKey,0))</f>
        <v/>
      </c>
      <c r="K1889" s="11">
        <f>CodePrefix&amp;$A1889&amp;IF($C1889="","","."&amp;$C1889&amp;"."&amp;$B1889)&amp;INDEX(VarEnd,MATCH($A1889,VarKey,0))&amp;K$5</f>
        <v/>
      </c>
      <c r="L1889" s="43">
        <f>L1853*Settings!$C$13*(L1781+L1799+L1790*L$201+L1808*$D1889)</f>
        <v/>
      </c>
      <c r="M1889" s="44">
        <f>M1853*Settings!$C$13*(M1781+M1799+M1790*M$201+M1808*$D1889)</f>
        <v/>
      </c>
      <c r="N1889" s="44">
        <f>N1853*Settings!$C$13*(N1781+N1799+N1790*N$201+N1808*$D1889)</f>
        <v/>
      </c>
      <c r="O1889" s="44">
        <f>O1853*Settings!$C$13*(O1781+O1799+O1790*O$201+O1808*$D1889)</f>
        <v/>
      </c>
      <c r="P1889" s="44">
        <f>P1853*Settings!$C$13*(P1781+P1799+P1790*P$201+P1808*$D1889)</f>
        <v/>
      </c>
      <c r="Q1889" s="44">
        <f>Q1853*Settings!$C$13*(Q1781+Q1799+Q1790*Q$201+Q1808*$D1889)</f>
        <v/>
      </c>
      <c r="R1889" s="44">
        <f>R1853*Settings!$C$13*(R1781+R1799+R1790*R$201+R1808*$D1889)</f>
        <v/>
      </c>
      <c r="S1889" s="44">
        <f>S1853*Settings!$C$13*(S1781+S1799+S1790*S$201+S1808*$D1889)</f>
        <v/>
      </c>
      <c r="T1889" s="44">
        <f>T1853*Settings!$C$13*(T1781+T1799+T1790*T$201+T1808*$D1889)</f>
        <v/>
      </c>
      <c r="U1889" s="44">
        <f>U1853*Settings!$C$13*(U1781+U1799+U1790*U$201+U1808*$D1889)</f>
        <v/>
      </c>
      <c r="V1889" s="44">
        <f>V1853*Settings!$C$13*(V1781+V1799+V1790*V$201+V1808*$D1889)</f>
        <v/>
      </c>
      <c r="W1889" s="44">
        <f>W1853*Settings!$C$13*(W1781+W1799+W1790*W$201+W1808*$D1889)</f>
        <v/>
      </c>
      <c r="X1889" s="44">
        <f>X1853*Settings!$C$13*(X1781+X1799+X1790*X$201+X1808*$D1889)</f>
        <v/>
      </c>
      <c r="Y1889" s="44">
        <f>Y1853*Settings!$C$13*(Y1781+Y1799+Y1790*Y$201+Y1808*$D1889)</f>
        <v/>
      </c>
      <c r="Z1889" s="44">
        <f>Z1853*Settings!$C$13*(Z1781+Z1799+Z1790*Z$201+Z1808*$D1889)</f>
        <v/>
      </c>
      <c r="AA1889" s="44">
        <f>AA1853*Settings!$C$13*(AA1781+AA1799+AA1790*AA$201+AA1808*$D1889)</f>
        <v/>
      </c>
      <c r="AB1889" s="44">
        <f>AB1853*Settings!$C$13*(AB1781+AB1799+AB1790*AB$201+AB1808*$D1889)</f>
        <v/>
      </c>
      <c r="AC1889" s="44">
        <f>AC1853*Settings!$C$13*(AC1781+AC1799+AC1790*AC$201+AC1808*$D1889)</f>
        <v/>
      </c>
      <c r="AD1889" s="44">
        <f>AD1853*Settings!$C$13*(AD1781+AD1799+AD1790*AD$201+AD1808*$D1889)</f>
        <v/>
      </c>
      <c r="AE1889" s="57">
        <f>REVENUE(AE1853,Settings!$C$13,NEWREVRATE(AE1781,AE1799,AE1790,AE$201,AE1808,$D1889))</f>
        <v/>
      </c>
      <c r="AG1889" s="11">
        <f>CodePrefix&amp;$A1889&amp;IF($C1889="","","."&amp;$C1889&amp;"."&amp;$B1889)&amp;INDEX(VarEnd,MATCH($A1889,VarKey,0))&amp;AG$5</f>
        <v/>
      </c>
      <c r="AH1889" s="43">
        <f>AH1853*Settings!$C$13*(AH1781+AH1799+AH1790*AH$201+AH1808*$D1889)</f>
        <v/>
      </c>
      <c r="AI1889" s="44">
        <f>AI1853*Settings!$C$13*(AI1781+AI1799+AI1790*AI$201+AI1808*$D1889)</f>
        <v/>
      </c>
      <c r="AJ1889" s="44">
        <f>AJ1853*Settings!$C$13*(AJ1781+AJ1799+AJ1790*AJ$201+AJ1808*$D1889)</f>
        <v/>
      </c>
      <c r="AK1889" s="44">
        <f>AK1853*Settings!$C$13*(AK1781+AK1799+AK1790*AK$201+AK1808*$D1889)</f>
        <v/>
      </c>
      <c r="AL1889" s="44">
        <f>AL1853*Settings!$C$13*(AL1781+AL1799+AL1790*AL$201+AL1808*$D1889)</f>
        <v/>
      </c>
      <c r="AM1889" s="44">
        <f>AM1853*Settings!$C$13*(AM1781+AM1799+AM1790*AM$201+AM1808*$D1889)</f>
        <v/>
      </c>
      <c r="AN1889" s="44">
        <f>AN1853*Settings!$C$13*(AN1781+AN1799+AN1790*AN$201+AN1808*$D1889)</f>
        <v/>
      </c>
      <c r="AO1889" s="44">
        <f>AO1853*Settings!$C$13*(AO1781+AO1799+AO1790*AO$201+AO1808*$D1889)</f>
        <v/>
      </c>
      <c r="AP1889" s="44">
        <f>AP1853*Settings!$C$13*(AP1781+AP1799+AP1790*AP$201+AP1808*$D1889)</f>
        <v/>
      </c>
      <c r="AQ1889" s="44">
        <f>AQ1853*Settings!$C$13*(AQ1781+AQ1799+AQ1790*AQ$201+AQ1808*$D1889)</f>
        <v/>
      </c>
      <c r="AR1889" s="44">
        <f>AR1853*Settings!$C$13*(AR1781+AR1799+AR1790*AR$201+AR1808*$D1889)</f>
        <v/>
      </c>
      <c r="AS1889" s="44">
        <f>AS1853*Settings!$C$13*(AS1781+AS1799+AS1790*AS$201+AS1808*$D1889)</f>
        <v/>
      </c>
      <c r="AT1889" s="44">
        <f>AT1853*Settings!$C$13*(AT1781+AT1799+AT1790*AT$201+AT1808*$D1889)</f>
        <v/>
      </c>
      <c r="AU1889" s="44">
        <f>AU1853*Settings!$C$13*(AU1781+AU1799+AU1790*AU$201+AU1808*$D1889)</f>
        <v/>
      </c>
      <c r="AV1889" s="44">
        <f>AV1853*Settings!$C$13*(AV1781+AV1799+AV1790*AV$201+AV1808*$D1889)</f>
        <v/>
      </c>
      <c r="AW1889" s="44">
        <f>AW1853*Settings!$C$13*(AW1781+AW1799+AW1790*AW$201+AW1808*$D1889)</f>
        <v/>
      </c>
      <c r="AX1889" s="44">
        <f>AX1853*Settings!$C$13*(AX1781+AX1799+AX1790*AX$201+AX1808*$D1889)</f>
        <v/>
      </c>
      <c r="AY1889" s="44">
        <f>AY1853*Settings!$C$13*(AY1781+AY1799+AY1790*AY$201+AY1808*$D1889)</f>
        <v/>
      </c>
      <c r="AZ1889" s="44">
        <f>AZ1853*Settings!$C$13*(AZ1781+AZ1799+AZ1790*AZ$201+AZ1808*$D1889)</f>
        <v/>
      </c>
      <c r="BA1889" s="57">
        <f>REVENUE(BA1853,Settings!$C$13,NEWREVRATE(BA1781,BA1799,BA1790,BA$201,BA1808,$D1889))</f>
        <v/>
      </c>
    </row>
    <row r="1890" hidden="1" outlineLevel="2">
      <c r="A1890" s="14" t="inlineStr">
        <is>
          <t>rnew</t>
        </is>
      </c>
      <c r="B1890" s="14" t="inlineStr">
        <is>
          <t>lpg</t>
        </is>
      </c>
      <c r="C1890" s="14" t="inlineStr">
        <is>
          <t>srv</t>
        </is>
      </c>
      <c r="D1890" s="35">
        <f>INDEX(Inputs!$V$5:$V$132,MATCH($B1890&amp;"|"&amp;$C1890,Inputs!$A$5:$A$132,0))</f>
        <v/>
      </c>
      <c r="E1890" s="39" t="n"/>
      <c r="F1890" s="39" t="n"/>
      <c r="G1890" s="39" t="n"/>
      <c r="H1890" s="14">
        <f>INDEX(VarLab,MATCH($A1890,VarKey,0))&amp;INDEX(MemLab,MATCH($C1890&amp;"|"&amp;$B1890,MemKey,0))</f>
        <v/>
      </c>
      <c r="I1890" s="14">
        <f>INDEX(VarUnit,MATCH($A1890,VarKey,0))</f>
        <v/>
      </c>
      <c r="J1890" s="14">
        <f>INDEX(VarSrc,MATCH($A1890,VarKey,0))</f>
        <v/>
      </c>
      <c r="K1890" s="11">
        <f>CodePrefix&amp;$A1890&amp;IF($C1890="","","."&amp;$C1890&amp;"."&amp;$B1890)&amp;INDEX(VarEnd,MATCH($A1890,VarKey,0))&amp;K$5</f>
        <v/>
      </c>
      <c r="L1890" s="43">
        <f>L1854*Settings!$C$13*(L1782+L1800+L1791*L$201+L1809*$D1890)</f>
        <v/>
      </c>
      <c r="M1890" s="44">
        <f>M1854*Settings!$C$13*(M1782+M1800+M1791*M$201+M1809*$D1890)</f>
        <v/>
      </c>
      <c r="N1890" s="44">
        <f>N1854*Settings!$C$13*(N1782+N1800+N1791*N$201+N1809*$D1890)</f>
        <v/>
      </c>
      <c r="O1890" s="44">
        <f>O1854*Settings!$C$13*(O1782+O1800+O1791*O$201+O1809*$D1890)</f>
        <v/>
      </c>
      <c r="P1890" s="44">
        <f>P1854*Settings!$C$13*(P1782+P1800+P1791*P$201+P1809*$D1890)</f>
        <v/>
      </c>
      <c r="Q1890" s="44">
        <f>Q1854*Settings!$C$13*(Q1782+Q1800+Q1791*Q$201+Q1809*$D1890)</f>
        <v/>
      </c>
      <c r="R1890" s="44">
        <f>R1854*Settings!$C$13*(R1782+R1800+R1791*R$201+R1809*$D1890)</f>
        <v/>
      </c>
      <c r="S1890" s="44">
        <f>S1854*Settings!$C$13*(S1782+S1800+S1791*S$201+S1809*$D1890)</f>
        <v/>
      </c>
      <c r="T1890" s="44">
        <f>T1854*Settings!$C$13*(T1782+T1800+T1791*T$201+T1809*$D1890)</f>
        <v/>
      </c>
      <c r="U1890" s="44">
        <f>U1854*Settings!$C$13*(U1782+U1800+U1791*U$201+U1809*$D1890)</f>
        <v/>
      </c>
      <c r="V1890" s="44">
        <f>V1854*Settings!$C$13*(V1782+V1800+V1791*V$201+V1809*$D1890)</f>
        <v/>
      </c>
      <c r="W1890" s="44">
        <f>W1854*Settings!$C$13*(W1782+W1800+W1791*W$201+W1809*$D1890)</f>
        <v/>
      </c>
      <c r="X1890" s="44">
        <f>X1854*Settings!$C$13*(X1782+X1800+X1791*X$201+X1809*$D1890)</f>
        <v/>
      </c>
      <c r="Y1890" s="44">
        <f>Y1854*Settings!$C$13*(Y1782+Y1800+Y1791*Y$201+Y1809*$D1890)</f>
        <v/>
      </c>
      <c r="Z1890" s="44">
        <f>Z1854*Settings!$C$13*(Z1782+Z1800+Z1791*Z$201+Z1809*$D1890)</f>
        <v/>
      </c>
      <c r="AA1890" s="44">
        <f>AA1854*Settings!$C$13*(AA1782+AA1800+AA1791*AA$201+AA1809*$D1890)</f>
        <v/>
      </c>
      <c r="AB1890" s="44">
        <f>AB1854*Settings!$C$13*(AB1782+AB1800+AB1791*AB$201+AB1809*$D1890)</f>
        <v/>
      </c>
      <c r="AC1890" s="44">
        <f>AC1854*Settings!$C$13*(AC1782+AC1800+AC1791*AC$201+AC1809*$D1890)</f>
        <v/>
      </c>
      <c r="AD1890" s="44">
        <f>AD1854*Settings!$C$13*(AD1782+AD1800+AD1791*AD$201+AD1809*$D1890)</f>
        <v/>
      </c>
      <c r="AE1890" s="57">
        <f>REVENUE(AE1854,Settings!$C$13,NEWREVRATE(AE1782,AE1800,AE1791,AE$201,AE1809,$D1890))</f>
        <v/>
      </c>
      <c r="AG1890" s="11">
        <f>CodePrefix&amp;$A1890&amp;IF($C1890="","","."&amp;$C1890&amp;"."&amp;$B1890)&amp;INDEX(VarEnd,MATCH($A1890,VarKey,0))&amp;AG$5</f>
        <v/>
      </c>
      <c r="AH1890" s="43">
        <f>AH1854*Settings!$C$13*(AH1782+AH1800+AH1791*AH$201+AH1809*$D1890)</f>
        <v/>
      </c>
      <c r="AI1890" s="44">
        <f>AI1854*Settings!$C$13*(AI1782+AI1800+AI1791*AI$201+AI1809*$D1890)</f>
        <v/>
      </c>
      <c r="AJ1890" s="44">
        <f>AJ1854*Settings!$C$13*(AJ1782+AJ1800+AJ1791*AJ$201+AJ1809*$D1890)</f>
        <v/>
      </c>
      <c r="AK1890" s="44">
        <f>AK1854*Settings!$C$13*(AK1782+AK1800+AK1791*AK$201+AK1809*$D1890)</f>
        <v/>
      </c>
      <c r="AL1890" s="44">
        <f>AL1854*Settings!$C$13*(AL1782+AL1800+AL1791*AL$201+AL1809*$D1890)</f>
        <v/>
      </c>
      <c r="AM1890" s="44">
        <f>AM1854*Settings!$C$13*(AM1782+AM1800+AM1791*AM$201+AM1809*$D1890)</f>
        <v/>
      </c>
      <c r="AN1890" s="44">
        <f>AN1854*Settings!$C$13*(AN1782+AN1800+AN1791*AN$201+AN1809*$D1890)</f>
        <v/>
      </c>
      <c r="AO1890" s="44">
        <f>AO1854*Settings!$C$13*(AO1782+AO1800+AO1791*AO$201+AO1809*$D1890)</f>
        <v/>
      </c>
      <c r="AP1890" s="44">
        <f>AP1854*Settings!$C$13*(AP1782+AP1800+AP1791*AP$201+AP1809*$D1890)</f>
        <v/>
      </c>
      <c r="AQ1890" s="44">
        <f>AQ1854*Settings!$C$13*(AQ1782+AQ1800+AQ1791*AQ$201+AQ1809*$D1890)</f>
        <v/>
      </c>
      <c r="AR1890" s="44">
        <f>AR1854*Settings!$C$13*(AR1782+AR1800+AR1791*AR$201+AR1809*$D1890)</f>
        <v/>
      </c>
      <c r="AS1890" s="44">
        <f>AS1854*Settings!$C$13*(AS1782+AS1800+AS1791*AS$201+AS1809*$D1890)</f>
        <v/>
      </c>
      <c r="AT1890" s="44">
        <f>AT1854*Settings!$C$13*(AT1782+AT1800+AT1791*AT$201+AT1809*$D1890)</f>
        <v/>
      </c>
      <c r="AU1890" s="44">
        <f>AU1854*Settings!$C$13*(AU1782+AU1800+AU1791*AU$201+AU1809*$D1890)</f>
        <v/>
      </c>
      <c r="AV1890" s="44">
        <f>AV1854*Settings!$C$13*(AV1782+AV1800+AV1791*AV$201+AV1809*$D1890)</f>
        <v/>
      </c>
      <c r="AW1890" s="44">
        <f>AW1854*Settings!$C$13*(AW1782+AW1800+AW1791*AW$201+AW1809*$D1890)</f>
        <v/>
      </c>
      <c r="AX1890" s="44">
        <f>AX1854*Settings!$C$13*(AX1782+AX1800+AX1791*AX$201+AX1809*$D1890)</f>
        <v/>
      </c>
      <c r="AY1890" s="44">
        <f>AY1854*Settings!$C$13*(AY1782+AY1800+AY1791*AY$201+AY1809*$D1890)</f>
        <v/>
      </c>
      <c r="AZ1890" s="44">
        <f>AZ1854*Settings!$C$13*(AZ1782+AZ1800+AZ1791*AZ$201+AZ1809*$D1890)</f>
        <v/>
      </c>
      <c r="BA1890" s="57">
        <f>REVENUE(BA1854,Settings!$C$13,NEWREVRATE(BA1782,BA1800,BA1791,BA$201,BA1809,$D1890))</f>
        <v/>
      </c>
    </row>
    <row r="1891" hidden="1" outlineLevel="2">
      <c r="A1891" s="14" t="inlineStr">
        <is>
          <t>rnew</t>
        </is>
      </c>
      <c r="B1891" s="14" t="inlineStr">
        <is>
          <t>ker</t>
        </is>
      </c>
      <c r="C1891" s="14" t="inlineStr">
        <is>
          <t>srv</t>
        </is>
      </c>
      <c r="D1891" s="35">
        <f>INDEX(Inputs!$V$5:$V$132,MATCH($B1891&amp;"|"&amp;$C1891,Inputs!$A$5:$A$132,0))</f>
        <v/>
      </c>
      <c r="E1891" s="39" t="n"/>
      <c r="F1891" s="39" t="n"/>
      <c r="G1891" s="39" t="n"/>
      <c r="H1891" s="14">
        <f>INDEX(VarLab,MATCH($A1891,VarKey,0))&amp;INDEX(MemLab,MATCH($C1891&amp;"|"&amp;$B1891,MemKey,0))</f>
        <v/>
      </c>
      <c r="I1891" s="14">
        <f>INDEX(VarUnit,MATCH($A1891,VarKey,0))</f>
        <v/>
      </c>
      <c r="J1891" s="14">
        <f>INDEX(VarSrc,MATCH($A1891,VarKey,0))</f>
        <v/>
      </c>
      <c r="K1891" s="11">
        <f>CodePrefix&amp;$A1891&amp;IF($C1891="","","."&amp;$C1891&amp;"."&amp;$B1891)&amp;INDEX(VarEnd,MATCH($A1891,VarKey,0))&amp;K$5</f>
        <v/>
      </c>
      <c r="L1891" s="43">
        <f>L1855*Settings!$C$13*(L1783+L1801+L1792*L$201+L1810*$D1891)</f>
        <v/>
      </c>
      <c r="M1891" s="44">
        <f>M1855*Settings!$C$13*(M1783+M1801+M1792*M$201+M1810*$D1891)</f>
        <v/>
      </c>
      <c r="N1891" s="44">
        <f>N1855*Settings!$C$13*(N1783+N1801+N1792*N$201+N1810*$D1891)</f>
        <v/>
      </c>
      <c r="O1891" s="44">
        <f>O1855*Settings!$C$13*(O1783+O1801+O1792*O$201+O1810*$D1891)</f>
        <v/>
      </c>
      <c r="P1891" s="44">
        <f>P1855*Settings!$C$13*(P1783+P1801+P1792*P$201+P1810*$D1891)</f>
        <v/>
      </c>
      <c r="Q1891" s="44">
        <f>Q1855*Settings!$C$13*(Q1783+Q1801+Q1792*Q$201+Q1810*$D1891)</f>
        <v/>
      </c>
      <c r="R1891" s="44">
        <f>R1855*Settings!$C$13*(R1783+R1801+R1792*R$201+R1810*$D1891)</f>
        <v/>
      </c>
      <c r="S1891" s="44">
        <f>S1855*Settings!$C$13*(S1783+S1801+S1792*S$201+S1810*$D1891)</f>
        <v/>
      </c>
      <c r="T1891" s="44">
        <f>T1855*Settings!$C$13*(T1783+T1801+T1792*T$201+T1810*$D1891)</f>
        <v/>
      </c>
      <c r="U1891" s="44">
        <f>U1855*Settings!$C$13*(U1783+U1801+U1792*U$201+U1810*$D1891)</f>
        <v/>
      </c>
      <c r="V1891" s="44">
        <f>V1855*Settings!$C$13*(V1783+V1801+V1792*V$201+V1810*$D1891)</f>
        <v/>
      </c>
      <c r="W1891" s="44">
        <f>W1855*Settings!$C$13*(W1783+W1801+W1792*W$201+W1810*$D1891)</f>
        <v/>
      </c>
      <c r="X1891" s="44">
        <f>X1855*Settings!$C$13*(X1783+X1801+X1792*X$201+X1810*$D1891)</f>
        <v/>
      </c>
      <c r="Y1891" s="44">
        <f>Y1855*Settings!$C$13*(Y1783+Y1801+Y1792*Y$201+Y1810*$D1891)</f>
        <v/>
      </c>
      <c r="Z1891" s="44">
        <f>Z1855*Settings!$C$13*(Z1783+Z1801+Z1792*Z$201+Z1810*$D1891)</f>
        <v/>
      </c>
      <c r="AA1891" s="44">
        <f>AA1855*Settings!$C$13*(AA1783+AA1801+AA1792*AA$201+AA1810*$D1891)</f>
        <v/>
      </c>
      <c r="AB1891" s="44">
        <f>AB1855*Settings!$C$13*(AB1783+AB1801+AB1792*AB$201+AB1810*$D1891)</f>
        <v/>
      </c>
      <c r="AC1891" s="44">
        <f>AC1855*Settings!$C$13*(AC1783+AC1801+AC1792*AC$201+AC1810*$D1891)</f>
        <v/>
      </c>
      <c r="AD1891" s="44">
        <f>AD1855*Settings!$C$13*(AD1783+AD1801+AD1792*AD$201+AD1810*$D1891)</f>
        <v/>
      </c>
      <c r="AE1891" s="57">
        <f>REVENUE(AE1855,Settings!$C$13,NEWREVRATE(AE1783,AE1801,AE1792,AE$201,AE1810,$D1891))</f>
        <v/>
      </c>
      <c r="AG1891" s="11">
        <f>CodePrefix&amp;$A1891&amp;IF($C1891="","","."&amp;$C1891&amp;"."&amp;$B1891)&amp;INDEX(VarEnd,MATCH($A1891,VarKey,0))&amp;AG$5</f>
        <v/>
      </c>
      <c r="AH1891" s="43">
        <f>AH1855*Settings!$C$13*(AH1783+AH1801+AH1792*AH$201+AH1810*$D1891)</f>
        <v/>
      </c>
      <c r="AI1891" s="44">
        <f>AI1855*Settings!$C$13*(AI1783+AI1801+AI1792*AI$201+AI1810*$D1891)</f>
        <v/>
      </c>
      <c r="AJ1891" s="44">
        <f>AJ1855*Settings!$C$13*(AJ1783+AJ1801+AJ1792*AJ$201+AJ1810*$D1891)</f>
        <v/>
      </c>
      <c r="AK1891" s="44">
        <f>AK1855*Settings!$C$13*(AK1783+AK1801+AK1792*AK$201+AK1810*$D1891)</f>
        <v/>
      </c>
      <c r="AL1891" s="44">
        <f>AL1855*Settings!$C$13*(AL1783+AL1801+AL1792*AL$201+AL1810*$D1891)</f>
        <v/>
      </c>
      <c r="AM1891" s="44">
        <f>AM1855*Settings!$C$13*(AM1783+AM1801+AM1792*AM$201+AM1810*$D1891)</f>
        <v/>
      </c>
      <c r="AN1891" s="44">
        <f>AN1855*Settings!$C$13*(AN1783+AN1801+AN1792*AN$201+AN1810*$D1891)</f>
        <v/>
      </c>
      <c r="AO1891" s="44">
        <f>AO1855*Settings!$C$13*(AO1783+AO1801+AO1792*AO$201+AO1810*$D1891)</f>
        <v/>
      </c>
      <c r="AP1891" s="44">
        <f>AP1855*Settings!$C$13*(AP1783+AP1801+AP1792*AP$201+AP1810*$D1891)</f>
        <v/>
      </c>
      <c r="AQ1891" s="44">
        <f>AQ1855*Settings!$C$13*(AQ1783+AQ1801+AQ1792*AQ$201+AQ1810*$D1891)</f>
        <v/>
      </c>
      <c r="AR1891" s="44">
        <f>AR1855*Settings!$C$13*(AR1783+AR1801+AR1792*AR$201+AR1810*$D1891)</f>
        <v/>
      </c>
      <c r="AS1891" s="44">
        <f>AS1855*Settings!$C$13*(AS1783+AS1801+AS1792*AS$201+AS1810*$D1891)</f>
        <v/>
      </c>
      <c r="AT1891" s="44">
        <f>AT1855*Settings!$C$13*(AT1783+AT1801+AT1792*AT$201+AT1810*$D1891)</f>
        <v/>
      </c>
      <c r="AU1891" s="44">
        <f>AU1855*Settings!$C$13*(AU1783+AU1801+AU1792*AU$201+AU1810*$D1891)</f>
        <v/>
      </c>
      <c r="AV1891" s="44">
        <f>AV1855*Settings!$C$13*(AV1783+AV1801+AV1792*AV$201+AV1810*$D1891)</f>
        <v/>
      </c>
      <c r="AW1891" s="44">
        <f>AW1855*Settings!$C$13*(AW1783+AW1801+AW1792*AW$201+AW1810*$D1891)</f>
        <v/>
      </c>
      <c r="AX1891" s="44">
        <f>AX1855*Settings!$C$13*(AX1783+AX1801+AX1792*AX$201+AX1810*$D1891)</f>
        <v/>
      </c>
      <c r="AY1891" s="44">
        <f>AY1855*Settings!$C$13*(AY1783+AY1801+AY1792*AY$201+AY1810*$D1891)</f>
        <v/>
      </c>
      <c r="AZ1891" s="44">
        <f>AZ1855*Settings!$C$13*(AZ1783+AZ1801+AZ1792*AZ$201+AZ1810*$D1891)</f>
        <v/>
      </c>
      <c r="BA1891" s="57">
        <f>REVENUE(BA1855,Settings!$C$13,NEWREVRATE(BA1783,BA1801,BA1792,BA$201,BA1810,$D1891))</f>
        <v/>
      </c>
    </row>
    <row r="1892" hidden="1" outlineLevel="2">
      <c r="A1892" s="14" t="inlineStr">
        <is>
          <t>rnew</t>
        </is>
      </c>
      <c r="B1892" s="14" t="inlineStr">
        <is>
          <t>oop</t>
        </is>
      </c>
      <c r="C1892" s="14" t="inlineStr">
        <is>
          <t>srv</t>
        </is>
      </c>
      <c r="D1892" s="35">
        <f>INDEX(Inputs!$V$5:$V$132,MATCH($B1892&amp;"|"&amp;$C1892,Inputs!$A$5:$A$132,0))</f>
        <v/>
      </c>
      <c r="E1892" s="39" t="n"/>
      <c r="F1892" s="39" t="n"/>
      <c r="G1892" s="39" t="n"/>
      <c r="H1892" s="14">
        <f>INDEX(VarLab,MATCH($A1892,VarKey,0))&amp;INDEX(MemLab,MATCH($C1892&amp;"|"&amp;$B1892,MemKey,0))</f>
        <v/>
      </c>
      <c r="I1892" s="14">
        <f>INDEX(VarUnit,MATCH($A1892,VarKey,0))</f>
        <v/>
      </c>
      <c r="J1892" s="14">
        <f>INDEX(VarSrc,MATCH($A1892,VarKey,0))</f>
        <v/>
      </c>
      <c r="K1892" s="11">
        <f>CodePrefix&amp;$A1892&amp;IF($C1892="","","."&amp;$C1892&amp;"."&amp;$B1892)&amp;INDEX(VarEnd,MATCH($A1892,VarKey,0))&amp;K$5</f>
        <v/>
      </c>
      <c r="L1892" s="43">
        <f>L1856*Settings!$C$13*(L1784+L1802+L1793*L$201+L1811*$D1892)</f>
        <v/>
      </c>
      <c r="M1892" s="44">
        <f>M1856*Settings!$C$13*(M1784+M1802+M1793*M$201+M1811*$D1892)</f>
        <v/>
      </c>
      <c r="N1892" s="44">
        <f>N1856*Settings!$C$13*(N1784+N1802+N1793*N$201+N1811*$D1892)</f>
        <v/>
      </c>
      <c r="O1892" s="44">
        <f>O1856*Settings!$C$13*(O1784+O1802+O1793*O$201+O1811*$D1892)</f>
        <v/>
      </c>
      <c r="P1892" s="44">
        <f>P1856*Settings!$C$13*(P1784+P1802+P1793*P$201+P1811*$D1892)</f>
        <v/>
      </c>
      <c r="Q1892" s="44">
        <f>Q1856*Settings!$C$13*(Q1784+Q1802+Q1793*Q$201+Q1811*$D1892)</f>
        <v/>
      </c>
      <c r="R1892" s="44">
        <f>R1856*Settings!$C$13*(R1784+R1802+R1793*R$201+R1811*$D1892)</f>
        <v/>
      </c>
      <c r="S1892" s="44">
        <f>S1856*Settings!$C$13*(S1784+S1802+S1793*S$201+S1811*$D1892)</f>
        <v/>
      </c>
      <c r="T1892" s="44">
        <f>T1856*Settings!$C$13*(T1784+T1802+T1793*T$201+T1811*$D1892)</f>
        <v/>
      </c>
      <c r="U1892" s="44">
        <f>U1856*Settings!$C$13*(U1784+U1802+U1793*U$201+U1811*$D1892)</f>
        <v/>
      </c>
      <c r="V1892" s="44">
        <f>V1856*Settings!$C$13*(V1784+V1802+V1793*V$201+V1811*$D1892)</f>
        <v/>
      </c>
      <c r="W1892" s="44">
        <f>W1856*Settings!$C$13*(W1784+W1802+W1793*W$201+W1811*$D1892)</f>
        <v/>
      </c>
      <c r="X1892" s="44">
        <f>X1856*Settings!$C$13*(X1784+X1802+X1793*X$201+X1811*$D1892)</f>
        <v/>
      </c>
      <c r="Y1892" s="44">
        <f>Y1856*Settings!$C$13*(Y1784+Y1802+Y1793*Y$201+Y1811*$D1892)</f>
        <v/>
      </c>
      <c r="Z1892" s="44">
        <f>Z1856*Settings!$C$13*(Z1784+Z1802+Z1793*Z$201+Z1811*$D1892)</f>
        <v/>
      </c>
      <c r="AA1892" s="44">
        <f>AA1856*Settings!$C$13*(AA1784+AA1802+AA1793*AA$201+AA1811*$D1892)</f>
        <v/>
      </c>
      <c r="AB1892" s="44">
        <f>AB1856*Settings!$C$13*(AB1784+AB1802+AB1793*AB$201+AB1811*$D1892)</f>
        <v/>
      </c>
      <c r="AC1892" s="44">
        <f>AC1856*Settings!$C$13*(AC1784+AC1802+AC1793*AC$201+AC1811*$D1892)</f>
        <v/>
      </c>
      <c r="AD1892" s="44">
        <f>AD1856*Settings!$C$13*(AD1784+AD1802+AD1793*AD$201+AD1811*$D1892)</f>
        <v/>
      </c>
      <c r="AE1892" s="57">
        <f>REVENUE(AE1856,Settings!$C$13,NEWREVRATE(AE1784,AE1802,AE1793,AE$201,AE1811,$D1892))</f>
        <v/>
      </c>
      <c r="AG1892" s="11">
        <f>CodePrefix&amp;$A1892&amp;IF($C1892="","","."&amp;$C1892&amp;"."&amp;$B1892)&amp;INDEX(VarEnd,MATCH($A1892,VarKey,0))&amp;AG$5</f>
        <v/>
      </c>
      <c r="AH1892" s="43">
        <f>AH1856*Settings!$C$13*(AH1784+AH1802+AH1793*AH$201+AH1811*$D1892)</f>
        <v/>
      </c>
      <c r="AI1892" s="44">
        <f>AI1856*Settings!$C$13*(AI1784+AI1802+AI1793*AI$201+AI1811*$D1892)</f>
        <v/>
      </c>
      <c r="AJ1892" s="44">
        <f>AJ1856*Settings!$C$13*(AJ1784+AJ1802+AJ1793*AJ$201+AJ1811*$D1892)</f>
        <v/>
      </c>
      <c r="AK1892" s="44">
        <f>AK1856*Settings!$C$13*(AK1784+AK1802+AK1793*AK$201+AK1811*$D1892)</f>
        <v/>
      </c>
      <c r="AL1892" s="44">
        <f>AL1856*Settings!$C$13*(AL1784+AL1802+AL1793*AL$201+AL1811*$D1892)</f>
        <v/>
      </c>
      <c r="AM1892" s="44">
        <f>AM1856*Settings!$C$13*(AM1784+AM1802+AM1793*AM$201+AM1811*$D1892)</f>
        <v/>
      </c>
      <c r="AN1892" s="44">
        <f>AN1856*Settings!$C$13*(AN1784+AN1802+AN1793*AN$201+AN1811*$D1892)</f>
        <v/>
      </c>
      <c r="AO1892" s="44">
        <f>AO1856*Settings!$C$13*(AO1784+AO1802+AO1793*AO$201+AO1811*$D1892)</f>
        <v/>
      </c>
      <c r="AP1892" s="44">
        <f>AP1856*Settings!$C$13*(AP1784+AP1802+AP1793*AP$201+AP1811*$D1892)</f>
        <v/>
      </c>
      <c r="AQ1892" s="44">
        <f>AQ1856*Settings!$C$13*(AQ1784+AQ1802+AQ1793*AQ$201+AQ1811*$D1892)</f>
        <v/>
      </c>
      <c r="AR1892" s="44">
        <f>AR1856*Settings!$C$13*(AR1784+AR1802+AR1793*AR$201+AR1811*$D1892)</f>
        <v/>
      </c>
      <c r="AS1892" s="44">
        <f>AS1856*Settings!$C$13*(AS1784+AS1802+AS1793*AS$201+AS1811*$D1892)</f>
        <v/>
      </c>
      <c r="AT1892" s="44">
        <f>AT1856*Settings!$C$13*(AT1784+AT1802+AT1793*AT$201+AT1811*$D1892)</f>
        <v/>
      </c>
      <c r="AU1892" s="44">
        <f>AU1856*Settings!$C$13*(AU1784+AU1802+AU1793*AU$201+AU1811*$D1892)</f>
        <v/>
      </c>
      <c r="AV1892" s="44">
        <f>AV1856*Settings!$C$13*(AV1784+AV1802+AV1793*AV$201+AV1811*$D1892)</f>
        <v/>
      </c>
      <c r="AW1892" s="44">
        <f>AW1856*Settings!$C$13*(AW1784+AW1802+AW1793*AW$201+AW1811*$D1892)</f>
        <v/>
      </c>
      <c r="AX1892" s="44">
        <f>AX1856*Settings!$C$13*(AX1784+AX1802+AX1793*AX$201+AX1811*$D1892)</f>
        <v/>
      </c>
      <c r="AY1892" s="44">
        <f>AY1856*Settings!$C$13*(AY1784+AY1802+AY1793*AY$201+AY1811*$D1892)</f>
        <v/>
      </c>
      <c r="AZ1892" s="44">
        <f>AZ1856*Settings!$C$13*(AZ1784+AZ1802+AZ1793*AZ$201+AZ1811*$D1892)</f>
        <v/>
      </c>
      <c r="BA1892" s="57">
        <f>REVENUE(BA1856,Settings!$C$13,NEWREVRATE(BA1784,BA1802,BA1793,BA$201,BA1811,$D1892))</f>
        <v/>
      </c>
    </row>
    <row r="1893" hidden="1" outlineLevel="2">
      <c r="A1893" s="14" t="inlineStr">
        <is>
          <t>rnew</t>
        </is>
      </c>
      <c r="B1893" s="14" t="inlineStr">
        <is>
          <t>bio</t>
        </is>
      </c>
      <c r="C1893" s="14" t="inlineStr">
        <is>
          <t>srv</t>
        </is>
      </c>
      <c r="D1893" s="35">
        <f>INDEX(Inputs!$V$5:$V$132,MATCH($B1893&amp;"|"&amp;$C1893,Inputs!$A$5:$A$132,0))</f>
        <v/>
      </c>
      <c r="E1893" s="39" t="n"/>
      <c r="F1893" s="39" t="n"/>
      <c r="G1893" s="39" t="n"/>
      <c r="H1893" s="14">
        <f>INDEX(VarLab,MATCH($A1893,VarKey,0))&amp;INDEX(MemLab,MATCH($C1893&amp;"|"&amp;$B1893,MemKey,0))</f>
        <v/>
      </c>
      <c r="I1893" s="14">
        <f>INDEX(VarUnit,MATCH($A1893,VarKey,0))</f>
        <v/>
      </c>
      <c r="J1893" s="14">
        <f>INDEX(VarSrc,MATCH($A1893,VarKey,0))</f>
        <v/>
      </c>
      <c r="K1893" s="11">
        <f>CodePrefix&amp;$A1893&amp;IF($C1893="","","."&amp;$C1893&amp;"."&amp;$B1893)&amp;INDEX(VarEnd,MATCH($A1893,VarKey,0))&amp;K$5</f>
        <v/>
      </c>
      <c r="L1893" s="43">
        <f>L1857*Settings!$C$13*(L1785+L1803+L1794*L$201+L1812*$D1893)</f>
        <v/>
      </c>
      <c r="M1893" s="44">
        <f>M1857*Settings!$C$13*(M1785+M1803+M1794*M$201+M1812*$D1893)</f>
        <v/>
      </c>
      <c r="N1893" s="44">
        <f>N1857*Settings!$C$13*(N1785+N1803+N1794*N$201+N1812*$D1893)</f>
        <v/>
      </c>
      <c r="O1893" s="44">
        <f>O1857*Settings!$C$13*(O1785+O1803+O1794*O$201+O1812*$D1893)</f>
        <v/>
      </c>
      <c r="P1893" s="44">
        <f>P1857*Settings!$C$13*(P1785+P1803+P1794*P$201+P1812*$D1893)</f>
        <v/>
      </c>
      <c r="Q1893" s="44">
        <f>Q1857*Settings!$C$13*(Q1785+Q1803+Q1794*Q$201+Q1812*$D1893)</f>
        <v/>
      </c>
      <c r="R1893" s="44">
        <f>R1857*Settings!$C$13*(R1785+R1803+R1794*R$201+R1812*$D1893)</f>
        <v/>
      </c>
      <c r="S1893" s="44">
        <f>S1857*Settings!$C$13*(S1785+S1803+S1794*S$201+S1812*$D1893)</f>
        <v/>
      </c>
      <c r="T1893" s="44">
        <f>T1857*Settings!$C$13*(T1785+T1803+T1794*T$201+T1812*$D1893)</f>
        <v/>
      </c>
      <c r="U1893" s="44">
        <f>U1857*Settings!$C$13*(U1785+U1803+U1794*U$201+U1812*$D1893)</f>
        <v/>
      </c>
      <c r="V1893" s="44">
        <f>V1857*Settings!$C$13*(V1785+V1803+V1794*V$201+V1812*$D1893)</f>
        <v/>
      </c>
      <c r="W1893" s="44">
        <f>W1857*Settings!$C$13*(W1785+W1803+W1794*W$201+W1812*$D1893)</f>
        <v/>
      </c>
      <c r="X1893" s="44">
        <f>X1857*Settings!$C$13*(X1785+X1803+X1794*X$201+X1812*$D1893)</f>
        <v/>
      </c>
      <c r="Y1893" s="44">
        <f>Y1857*Settings!$C$13*(Y1785+Y1803+Y1794*Y$201+Y1812*$D1893)</f>
        <v/>
      </c>
      <c r="Z1893" s="44">
        <f>Z1857*Settings!$C$13*(Z1785+Z1803+Z1794*Z$201+Z1812*$D1893)</f>
        <v/>
      </c>
      <c r="AA1893" s="44">
        <f>AA1857*Settings!$C$13*(AA1785+AA1803+AA1794*AA$201+AA1812*$D1893)</f>
        <v/>
      </c>
      <c r="AB1893" s="44">
        <f>AB1857*Settings!$C$13*(AB1785+AB1803+AB1794*AB$201+AB1812*$D1893)</f>
        <v/>
      </c>
      <c r="AC1893" s="44">
        <f>AC1857*Settings!$C$13*(AC1785+AC1803+AC1794*AC$201+AC1812*$D1893)</f>
        <v/>
      </c>
      <c r="AD1893" s="44">
        <f>AD1857*Settings!$C$13*(AD1785+AD1803+AD1794*AD$201+AD1812*$D1893)</f>
        <v/>
      </c>
      <c r="AE1893" s="57">
        <f>REVENUE(AE1857,Settings!$C$13,NEWREVRATE(AE1785,AE1803,AE1794,AE$201,AE1812,$D1893))</f>
        <v/>
      </c>
      <c r="AG1893" s="11">
        <f>CodePrefix&amp;$A1893&amp;IF($C1893="","","."&amp;$C1893&amp;"."&amp;$B1893)&amp;INDEX(VarEnd,MATCH($A1893,VarKey,0))&amp;AG$5</f>
        <v/>
      </c>
      <c r="AH1893" s="43">
        <f>AH1857*Settings!$C$13*(AH1785+AH1803+AH1794*AH$201+AH1812*$D1893)</f>
        <v/>
      </c>
      <c r="AI1893" s="44">
        <f>AI1857*Settings!$C$13*(AI1785+AI1803+AI1794*AI$201+AI1812*$D1893)</f>
        <v/>
      </c>
      <c r="AJ1893" s="44">
        <f>AJ1857*Settings!$C$13*(AJ1785+AJ1803+AJ1794*AJ$201+AJ1812*$D1893)</f>
        <v/>
      </c>
      <c r="AK1893" s="44">
        <f>AK1857*Settings!$C$13*(AK1785+AK1803+AK1794*AK$201+AK1812*$D1893)</f>
        <v/>
      </c>
      <c r="AL1893" s="44">
        <f>AL1857*Settings!$C$13*(AL1785+AL1803+AL1794*AL$201+AL1812*$D1893)</f>
        <v/>
      </c>
      <c r="AM1893" s="44">
        <f>AM1857*Settings!$C$13*(AM1785+AM1803+AM1794*AM$201+AM1812*$D1893)</f>
        <v/>
      </c>
      <c r="AN1893" s="44">
        <f>AN1857*Settings!$C$13*(AN1785+AN1803+AN1794*AN$201+AN1812*$D1893)</f>
        <v/>
      </c>
      <c r="AO1893" s="44">
        <f>AO1857*Settings!$C$13*(AO1785+AO1803+AO1794*AO$201+AO1812*$D1893)</f>
        <v/>
      </c>
      <c r="AP1893" s="44">
        <f>AP1857*Settings!$C$13*(AP1785+AP1803+AP1794*AP$201+AP1812*$D1893)</f>
        <v/>
      </c>
      <c r="AQ1893" s="44">
        <f>AQ1857*Settings!$C$13*(AQ1785+AQ1803+AQ1794*AQ$201+AQ1812*$D1893)</f>
        <v/>
      </c>
      <c r="AR1893" s="44">
        <f>AR1857*Settings!$C$13*(AR1785+AR1803+AR1794*AR$201+AR1812*$D1893)</f>
        <v/>
      </c>
      <c r="AS1893" s="44">
        <f>AS1857*Settings!$C$13*(AS1785+AS1803+AS1794*AS$201+AS1812*$D1893)</f>
        <v/>
      </c>
      <c r="AT1893" s="44">
        <f>AT1857*Settings!$C$13*(AT1785+AT1803+AT1794*AT$201+AT1812*$D1893)</f>
        <v/>
      </c>
      <c r="AU1893" s="44">
        <f>AU1857*Settings!$C$13*(AU1785+AU1803+AU1794*AU$201+AU1812*$D1893)</f>
        <v/>
      </c>
      <c r="AV1893" s="44">
        <f>AV1857*Settings!$C$13*(AV1785+AV1803+AV1794*AV$201+AV1812*$D1893)</f>
        <v/>
      </c>
      <c r="AW1893" s="44">
        <f>AW1857*Settings!$C$13*(AW1785+AW1803+AW1794*AW$201+AW1812*$D1893)</f>
        <v/>
      </c>
      <c r="AX1893" s="44">
        <f>AX1857*Settings!$C$13*(AX1785+AX1803+AX1794*AX$201+AX1812*$D1893)</f>
        <v/>
      </c>
      <c r="AY1893" s="44">
        <f>AY1857*Settings!$C$13*(AY1785+AY1803+AY1794*AY$201+AY1812*$D1893)</f>
        <v/>
      </c>
      <c r="AZ1893" s="44">
        <f>AZ1857*Settings!$C$13*(AZ1785+AZ1803+AZ1794*AZ$201+AZ1812*$D1893)</f>
        <v/>
      </c>
      <c r="BA1893" s="57">
        <f>REVENUE(BA1857,Settings!$C$13,NEWREVRATE(BA1785,BA1803,BA1794,BA$201,BA1812,$D1893))</f>
        <v/>
      </c>
    </row>
    <row r="1894" hidden="1" outlineLevel="2"/>
    <row r="1895" hidden="1" outlineLevel="2">
      <c r="A1895" s="14" t="inlineStr">
        <is>
          <t>rxcp</t>
        </is>
      </c>
      <c r="B1895" s="14" t="inlineStr">
        <is>
          <t>coa</t>
        </is>
      </c>
      <c r="C1895" s="14" t="inlineStr">
        <is>
          <t>srv</t>
        </is>
      </c>
      <c r="D1895" s="39" t="n"/>
      <c r="E1895" s="39" t="n"/>
      <c r="F1895" s="39" t="n"/>
      <c r="G1895" s="39" t="n"/>
      <c r="H1895" s="14">
        <f>INDEX(VarLab,MATCH($A1895,VarKey,0))&amp;INDEX(MemLab,MATCH($C1895&amp;"|"&amp;$B1895,MemKey,0))</f>
        <v/>
      </c>
      <c r="I1895" s="14">
        <f>INDEX(VarUnit,MATCH($A1895,VarKey,0))</f>
        <v/>
      </c>
      <c r="J1895" s="14">
        <f>INDEX(VarSrc,MATCH($A1895,VarKey,0))</f>
        <v/>
      </c>
      <c r="K1895" s="11">
        <f>CodePrefix&amp;$A1895&amp;IF($C1895="","","."&amp;$C1895&amp;"."&amp;$B1895)&amp;INDEX(VarEnd,MATCH($A1895,VarKey,0))&amp;K$5</f>
        <v/>
      </c>
      <c r="L1895" s="43">
        <f>L1850*Settings!$C$13*(L1814)</f>
        <v/>
      </c>
      <c r="M1895" s="44">
        <f>M1850*Settings!$C$13*(M1814)</f>
        <v/>
      </c>
      <c r="N1895" s="44">
        <f>N1850*Settings!$C$13*(N1814)</f>
        <v/>
      </c>
      <c r="O1895" s="44">
        <f>O1850*Settings!$C$13*(O1814)</f>
        <v/>
      </c>
      <c r="P1895" s="44">
        <f>P1850*Settings!$C$13*(P1814)</f>
        <v/>
      </c>
      <c r="Q1895" s="44">
        <f>Q1850*Settings!$C$13*(Q1814)</f>
        <v/>
      </c>
      <c r="R1895" s="44">
        <f>R1850*Settings!$C$13*(R1814)</f>
        <v/>
      </c>
      <c r="S1895" s="44">
        <f>S1850*Settings!$C$13*(S1814)</f>
        <v/>
      </c>
      <c r="T1895" s="44">
        <f>T1850*Settings!$C$13*(T1814)</f>
        <v/>
      </c>
      <c r="U1895" s="44">
        <f>U1850*Settings!$C$13*(U1814)</f>
        <v/>
      </c>
      <c r="V1895" s="44">
        <f>V1850*Settings!$C$13*(V1814)</f>
        <v/>
      </c>
      <c r="W1895" s="44">
        <f>W1850*Settings!$C$13*(W1814)</f>
        <v/>
      </c>
      <c r="X1895" s="44">
        <f>X1850*Settings!$C$13*(X1814)</f>
        <v/>
      </c>
      <c r="Y1895" s="44">
        <f>Y1850*Settings!$C$13*(Y1814)</f>
        <v/>
      </c>
      <c r="Z1895" s="44">
        <f>Z1850*Settings!$C$13*(Z1814)</f>
        <v/>
      </c>
      <c r="AA1895" s="44">
        <f>AA1850*Settings!$C$13*(AA1814)</f>
        <v/>
      </c>
      <c r="AB1895" s="44">
        <f>AB1850*Settings!$C$13*(AB1814)</f>
        <v/>
      </c>
      <c r="AC1895" s="44">
        <f>AC1850*Settings!$C$13*(AC1814)</f>
        <v/>
      </c>
      <c r="AD1895" s="44">
        <f>AD1850*Settings!$C$13*(AD1814)</f>
        <v/>
      </c>
      <c r="AE1895" s="57">
        <f>REVENUE(AE1850,Settings!$C$13,AE1814)</f>
        <v/>
      </c>
      <c r="AG1895" s="11">
        <f>CodePrefix&amp;$A1895&amp;IF($C1895="","","."&amp;$C1895&amp;"."&amp;$B1895)&amp;INDEX(VarEnd,MATCH($A1895,VarKey,0))&amp;AG$5</f>
        <v/>
      </c>
      <c r="AH1895" s="43">
        <f>AH1850*Settings!$C$13*(AH1814)</f>
        <v/>
      </c>
      <c r="AI1895" s="44">
        <f>AI1850*Settings!$C$13*(AI1814)</f>
        <v/>
      </c>
      <c r="AJ1895" s="44">
        <f>AJ1850*Settings!$C$13*(AJ1814)</f>
        <v/>
      </c>
      <c r="AK1895" s="44">
        <f>AK1850*Settings!$C$13*(AK1814)</f>
        <v/>
      </c>
      <c r="AL1895" s="44">
        <f>AL1850*Settings!$C$13*(AL1814)</f>
        <v/>
      </c>
      <c r="AM1895" s="44">
        <f>AM1850*Settings!$C$13*(AM1814)</f>
        <v/>
      </c>
      <c r="AN1895" s="44">
        <f>AN1850*Settings!$C$13*(AN1814)</f>
        <v/>
      </c>
      <c r="AO1895" s="44">
        <f>AO1850*Settings!$C$13*(AO1814)</f>
        <v/>
      </c>
      <c r="AP1895" s="44">
        <f>AP1850*Settings!$C$13*(AP1814)</f>
        <v/>
      </c>
      <c r="AQ1895" s="44">
        <f>AQ1850*Settings!$C$13*(AQ1814)</f>
        <v/>
      </c>
      <c r="AR1895" s="44">
        <f>AR1850*Settings!$C$13*(AR1814)</f>
        <v/>
      </c>
      <c r="AS1895" s="44">
        <f>AS1850*Settings!$C$13*(AS1814)</f>
        <v/>
      </c>
      <c r="AT1895" s="44">
        <f>AT1850*Settings!$C$13*(AT1814)</f>
        <v/>
      </c>
      <c r="AU1895" s="44">
        <f>AU1850*Settings!$C$13*(AU1814)</f>
        <v/>
      </c>
      <c r="AV1895" s="44">
        <f>AV1850*Settings!$C$13*(AV1814)</f>
        <v/>
      </c>
      <c r="AW1895" s="44">
        <f>AW1850*Settings!$C$13*(AW1814)</f>
        <v/>
      </c>
      <c r="AX1895" s="44">
        <f>AX1850*Settings!$C$13*(AX1814)</f>
        <v/>
      </c>
      <c r="AY1895" s="44">
        <f>AY1850*Settings!$C$13*(AY1814)</f>
        <v/>
      </c>
      <c r="AZ1895" s="44">
        <f>AZ1850*Settings!$C$13*(AZ1814)</f>
        <v/>
      </c>
      <c r="BA1895" s="57">
        <f>REVENUE(BA1850,Settings!$C$13,BA1814)</f>
        <v/>
      </c>
    </row>
    <row r="1896" hidden="1" outlineLevel="2">
      <c r="A1896" s="14" t="inlineStr">
        <is>
          <t>rxcp</t>
        </is>
      </c>
      <c r="B1896" s="14" t="inlineStr">
        <is>
          <t>nga</t>
        </is>
      </c>
      <c r="C1896" s="14" t="inlineStr">
        <is>
          <t>srv</t>
        </is>
      </c>
      <c r="D1896" s="39" t="n"/>
      <c r="E1896" s="39" t="n"/>
      <c r="F1896" s="39" t="n"/>
      <c r="G1896" s="39" t="n"/>
      <c r="H1896" s="14">
        <f>INDEX(VarLab,MATCH($A1896,VarKey,0))&amp;INDEX(MemLab,MATCH($C1896&amp;"|"&amp;$B1896,MemKey,0))</f>
        <v/>
      </c>
      <c r="I1896" s="14">
        <f>INDEX(VarUnit,MATCH($A1896,VarKey,0))</f>
        <v/>
      </c>
      <c r="J1896" s="14">
        <f>INDEX(VarSrc,MATCH($A1896,VarKey,0))</f>
        <v/>
      </c>
      <c r="K1896" s="11">
        <f>CodePrefix&amp;$A1896&amp;IF($C1896="","","."&amp;$C1896&amp;"."&amp;$B1896)&amp;INDEX(VarEnd,MATCH($A1896,VarKey,0))&amp;K$5</f>
        <v/>
      </c>
      <c r="L1896" s="43">
        <f>L1851*Settings!$C$13*(L1815)</f>
        <v/>
      </c>
      <c r="M1896" s="44">
        <f>M1851*Settings!$C$13*(M1815)</f>
        <v/>
      </c>
      <c r="N1896" s="44">
        <f>N1851*Settings!$C$13*(N1815)</f>
        <v/>
      </c>
      <c r="O1896" s="44">
        <f>O1851*Settings!$C$13*(O1815)</f>
        <v/>
      </c>
      <c r="P1896" s="44">
        <f>P1851*Settings!$C$13*(P1815)</f>
        <v/>
      </c>
      <c r="Q1896" s="44">
        <f>Q1851*Settings!$C$13*(Q1815)</f>
        <v/>
      </c>
      <c r="R1896" s="44">
        <f>R1851*Settings!$C$13*(R1815)</f>
        <v/>
      </c>
      <c r="S1896" s="44">
        <f>S1851*Settings!$C$13*(S1815)</f>
        <v/>
      </c>
      <c r="T1896" s="44">
        <f>T1851*Settings!$C$13*(T1815)</f>
        <v/>
      </c>
      <c r="U1896" s="44">
        <f>U1851*Settings!$C$13*(U1815)</f>
        <v/>
      </c>
      <c r="V1896" s="44">
        <f>V1851*Settings!$C$13*(V1815)</f>
        <v/>
      </c>
      <c r="W1896" s="44">
        <f>W1851*Settings!$C$13*(W1815)</f>
        <v/>
      </c>
      <c r="X1896" s="44">
        <f>X1851*Settings!$C$13*(X1815)</f>
        <v/>
      </c>
      <c r="Y1896" s="44">
        <f>Y1851*Settings!$C$13*(Y1815)</f>
        <v/>
      </c>
      <c r="Z1896" s="44">
        <f>Z1851*Settings!$C$13*(Z1815)</f>
        <v/>
      </c>
      <c r="AA1896" s="44">
        <f>AA1851*Settings!$C$13*(AA1815)</f>
        <v/>
      </c>
      <c r="AB1896" s="44">
        <f>AB1851*Settings!$C$13*(AB1815)</f>
        <v/>
      </c>
      <c r="AC1896" s="44">
        <f>AC1851*Settings!$C$13*(AC1815)</f>
        <v/>
      </c>
      <c r="AD1896" s="44">
        <f>AD1851*Settings!$C$13*(AD1815)</f>
        <v/>
      </c>
      <c r="AE1896" s="57">
        <f>REVENUE(AE1851,Settings!$C$13,AE1815)</f>
        <v/>
      </c>
      <c r="AG1896" s="11">
        <f>CodePrefix&amp;$A1896&amp;IF($C1896="","","."&amp;$C1896&amp;"."&amp;$B1896)&amp;INDEX(VarEnd,MATCH($A1896,VarKey,0))&amp;AG$5</f>
        <v/>
      </c>
      <c r="AH1896" s="43">
        <f>AH1851*Settings!$C$13*(AH1815)</f>
        <v/>
      </c>
      <c r="AI1896" s="44">
        <f>AI1851*Settings!$C$13*(AI1815)</f>
        <v/>
      </c>
      <c r="AJ1896" s="44">
        <f>AJ1851*Settings!$C$13*(AJ1815)</f>
        <v/>
      </c>
      <c r="AK1896" s="44">
        <f>AK1851*Settings!$C$13*(AK1815)</f>
        <v/>
      </c>
      <c r="AL1896" s="44">
        <f>AL1851*Settings!$C$13*(AL1815)</f>
        <v/>
      </c>
      <c r="AM1896" s="44">
        <f>AM1851*Settings!$C$13*(AM1815)</f>
        <v/>
      </c>
      <c r="AN1896" s="44">
        <f>AN1851*Settings!$C$13*(AN1815)</f>
        <v/>
      </c>
      <c r="AO1896" s="44">
        <f>AO1851*Settings!$C$13*(AO1815)</f>
        <v/>
      </c>
      <c r="AP1896" s="44">
        <f>AP1851*Settings!$C$13*(AP1815)</f>
        <v/>
      </c>
      <c r="AQ1896" s="44">
        <f>AQ1851*Settings!$C$13*(AQ1815)</f>
        <v/>
      </c>
      <c r="AR1896" s="44">
        <f>AR1851*Settings!$C$13*(AR1815)</f>
        <v/>
      </c>
      <c r="AS1896" s="44">
        <f>AS1851*Settings!$C$13*(AS1815)</f>
        <v/>
      </c>
      <c r="AT1896" s="44">
        <f>AT1851*Settings!$C$13*(AT1815)</f>
        <v/>
      </c>
      <c r="AU1896" s="44">
        <f>AU1851*Settings!$C$13*(AU1815)</f>
        <v/>
      </c>
      <c r="AV1896" s="44">
        <f>AV1851*Settings!$C$13*(AV1815)</f>
        <v/>
      </c>
      <c r="AW1896" s="44">
        <f>AW1851*Settings!$C$13*(AW1815)</f>
        <v/>
      </c>
      <c r="AX1896" s="44">
        <f>AX1851*Settings!$C$13*(AX1815)</f>
        <v/>
      </c>
      <c r="AY1896" s="44">
        <f>AY1851*Settings!$C$13*(AY1815)</f>
        <v/>
      </c>
      <c r="AZ1896" s="44">
        <f>AZ1851*Settings!$C$13*(AZ1815)</f>
        <v/>
      </c>
      <c r="BA1896" s="57">
        <f>REVENUE(BA1851,Settings!$C$13,BA1815)</f>
        <v/>
      </c>
    </row>
    <row r="1897" hidden="1" outlineLevel="2">
      <c r="A1897" s="14" t="inlineStr">
        <is>
          <t>rxcp</t>
        </is>
      </c>
      <c r="B1897" s="14" t="inlineStr">
        <is>
          <t>gso</t>
        </is>
      </c>
      <c r="C1897" s="14" t="inlineStr">
        <is>
          <t>srv</t>
        </is>
      </c>
      <c r="D1897" s="39" t="n"/>
      <c r="E1897" s="39" t="n"/>
      <c r="F1897" s="39" t="n"/>
      <c r="G1897" s="39" t="n"/>
      <c r="H1897" s="14">
        <f>INDEX(VarLab,MATCH($A1897,VarKey,0))&amp;INDEX(MemLab,MATCH($C1897&amp;"|"&amp;$B1897,MemKey,0))</f>
        <v/>
      </c>
      <c r="I1897" s="14">
        <f>INDEX(VarUnit,MATCH($A1897,VarKey,0))</f>
        <v/>
      </c>
      <c r="J1897" s="14">
        <f>INDEX(VarSrc,MATCH($A1897,VarKey,0))</f>
        <v/>
      </c>
      <c r="K1897" s="11">
        <f>CodePrefix&amp;$A1897&amp;IF($C1897="","","."&amp;$C1897&amp;"."&amp;$B1897)&amp;INDEX(VarEnd,MATCH($A1897,VarKey,0))&amp;K$5</f>
        <v/>
      </c>
      <c r="L1897" s="43">
        <f>L1852*Settings!$C$13*(L1816)</f>
        <v/>
      </c>
      <c r="M1897" s="44">
        <f>M1852*Settings!$C$13*(M1816)</f>
        <v/>
      </c>
      <c r="N1897" s="44">
        <f>N1852*Settings!$C$13*(N1816)</f>
        <v/>
      </c>
      <c r="O1897" s="44">
        <f>O1852*Settings!$C$13*(O1816)</f>
        <v/>
      </c>
      <c r="P1897" s="44">
        <f>P1852*Settings!$C$13*(P1816)</f>
        <v/>
      </c>
      <c r="Q1897" s="44">
        <f>Q1852*Settings!$C$13*(Q1816)</f>
        <v/>
      </c>
      <c r="R1897" s="44">
        <f>R1852*Settings!$C$13*(R1816)</f>
        <v/>
      </c>
      <c r="S1897" s="44">
        <f>S1852*Settings!$C$13*(S1816)</f>
        <v/>
      </c>
      <c r="T1897" s="44">
        <f>T1852*Settings!$C$13*(T1816)</f>
        <v/>
      </c>
      <c r="U1897" s="44">
        <f>U1852*Settings!$C$13*(U1816)</f>
        <v/>
      </c>
      <c r="V1897" s="44">
        <f>V1852*Settings!$C$13*(V1816)</f>
        <v/>
      </c>
      <c r="W1897" s="44">
        <f>W1852*Settings!$C$13*(W1816)</f>
        <v/>
      </c>
      <c r="X1897" s="44">
        <f>X1852*Settings!$C$13*(X1816)</f>
        <v/>
      </c>
      <c r="Y1897" s="44">
        <f>Y1852*Settings!$C$13*(Y1816)</f>
        <v/>
      </c>
      <c r="Z1897" s="44">
        <f>Z1852*Settings!$C$13*(Z1816)</f>
        <v/>
      </c>
      <c r="AA1897" s="44">
        <f>AA1852*Settings!$C$13*(AA1816)</f>
        <v/>
      </c>
      <c r="AB1897" s="44">
        <f>AB1852*Settings!$C$13*(AB1816)</f>
        <v/>
      </c>
      <c r="AC1897" s="44">
        <f>AC1852*Settings!$C$13*(AC1816)</f>
        <v/>
      </c>
      <c r="AD1897" s="44">
        <f>AD1852*Settings!$C$13*(AD1816)</f>
        <v/>
      </c>
      <c r="AE1897" s="57">
        <f>REVENUE(AE1852,Settings!$C$13,AE1816)</f>
        <v/>
      </c>
      <c r="AG1897" s="11">
        <f>CodePrefix&amp;$A1897&amp;IF($C1897="","","."&amp;$C1897&amp;"."&amp;$B1897)&amp;INDEX(VarEnd,MATCH($A1897,VarKey,0))&amp;AG$5</f>
        <v/>
      </c>
      <c r="AH1897" s="43">
        <f>AH1852*Settings!$C$13*(AH1816)</f>
        <v/>
      </c>
      <c r="AI1897" s="44">
        <f>AI1852*Settings!$C$13*(AI1816)</f>
        <v/>
      </c>
      <c r="AJ1897" s="44">
        <f>AJ1852*Settings!$C$13*(AJ1816)</f>
        <v/>
      </c>
      <c r="AK1897" s="44">
        <f>AK1852*Settings!$C$13*(AK1816)</f>
        <v/>
      </c>
      <c r="AL1897" s="44">
        <f>AL1852*Settings!$C$13*(AL1816)</f>
        <v/>
      </c>
      <c r="AM1897" s="44">
        <f>AM1852*Settings!$C$13*(AM1816)</f>
        <v/>
      </c>
      <c r="AN1897" s="44">
        <f>AN1852*Settings!$C$13*(AN1816)</f>
        <v/>
      </c>
      <c r="AO1897" s="44">
        <f>AO1852*Settings!$C$13*(AO1816)</f>
        <v/>
      </c>
      <c r="AP1897" s="44">
        <f>AP1852*Settings!$C$13*(AP1816)</f>
        <v/>
      </c>
      <c r="AQ1897" s="44">
        <f>AQ1852*Settings!$C$13*(AQ1816)</f>
        <v/>
      </c>
      <c r="AR1897" s="44">
        <f>AR1852*Settings!$C$13*(AR1816)</f>
        <v/>
      </c>
      <c r="AS1897" s="44">
        <f>AS1852*Settings!$C$13*(AS1816)</f>
        <v/>
      </c>
      <c r="AT1897" s="44">
        <f>AT1852*Settings!$C$13*(AT1816)</f>
        <v/>
      </c>
      <c r="AU1897" s="44">
        <f>AU1852*Settings!$C$13*(AU1816)</f>
        <v/>
      </c>
      <c r="AV1897" s="44">
        <f>AV1852*Settings!$C$13*(AV1816)</f>
        <v/>
      </c>
      <c r="AW1897" s="44">
        <f>AW1852*Settings!$C$13*(AW1816)</f>
        <v/>
      </c>
      <c r="AX1897" s="44">
        <f>AX1852*Settings!$C$13*(AX1816)</f>
        <v/>
      </c>
      <c r="AY1897" s="44">
        <f>AY1852*Settings!$C$13*(AY1816)</f>
        <v/>
      </c>
      <c r="AZ1897" s="44">
        <f>AZ1852*Settings!$C$13*(AZ1816)</f>
        <v/>
      </c>
      <c r="BA1897" s="57">
        <f>REVENUE(BA1852,Settings!$C$13,BA1816)</f>
        <v/>
      </c>
    </row>
    <row r="1898" hidden="1" outlineLevel="2">
      <c r="A1898" s="14" t="inlineStr">
        <is>
          <t>rxcp</t>
        </is>
      </c>
      <c r="B1898" s="14" t="inlineStr">
        <is>
          <t>die</t>
        </is>
      </c>
      <c r="C1898" s="14" t="inlineStr">
        <is>
          <t>srv</t>
        </is>
      </c>
      <c r="D1898" s="39" t="n"/>
      <c r="E1898" s="39" t="n"/>
      <c r="F1898" s="39" t="n"/>
      <c r="G1898" s="39" t="n"/>
      <c r="H1898" s="14">
        <f>INDEX(VarLab,MATCH($A1898,VarKey,0))&amp;INDEX(MemLab,MATCH($C1898&amp;"|"&amp;$B1898,MemKey,0))</f>
        <v/>
      </c>
      <c r="I1898" s="14">
        <f>INDEX(VarUnit,MATCH($A1898,VarKey,0))</f>
        <v/>
      </c>
      <c r="J1898" s="14">
        <f>INDEX(VarSrc,MATCH($A1898,VarKey,0))</f>
        <v/>
      </c>
      <c r="K1898" s="11">
        <f>CodePrefix&amp;$A1898&amp;IF($C1898="","","."&amp;$C1898&amp;"."&amp;$B1898)&amp;INDEX(VarEnd,MATCH($A1898,VarKey,0))&amp;K$5</f>
        <v/>
      </c>
      <c r="L1898" s="43">
        <f>L1853*Settings!$C$13*(L1817)</f>
        <v/>
      </c>
      <c r="M1898" s="44">
        <f>M1853*Settings!$C$13*(M1817)</f>
        <v/>
      </c>
      <c r="N1898" s="44">
        <f>N1853*Settings!$C$13*(N1817)</f>
        <v/>
      </c>
      <c r="O1898" s="44">
        <f>O1853*Settings!$C$13*(O1817)</f>
        <v/>
      </c>
      <c r="P1898" s="44">
        <f>P1853*Settings!$C$13*(P1817)</f>
        <v/>
      </c>
      <c r="Q1898" s="44">
        <f>Q1853*Settings!$C$13*(Q1817)</f>
        <v/>
      </c>
      <c r="R1898" s="44">
        <f>R1853*Settings!$C$13*(R1817)</f>
        <v/>
      </c>
      <c r="S1898" s="44">
        <f>S1853*Settings!$C$13*(S1817)</f>
        <v/>
      </c>
      <c r="T1898" s="44">
        <f>T1853*Settings!$C$13*(T1817)</f>
        <v/>
      </c>
      <c r="U1898" s="44">
        <f>U1853*Settings!$C$13*(U1817)</f>
        <v/>
      </c>
      <c r="V1898" s="44">
        <f>V1853*Settings!$C$13*(V1817)</f>
        <v/>
      </c>
      <c r="W1898" s="44">
        <f>W1853*Settings!$C$13*(W1817)</f>
        <v/>
      </c>
      <c r="X1898" s="44">
        <f>X1853*Settings!$C$13*(X1817)</f>
        <v/>
      </c>
      <c r="Y1898" s="44">
        <f>Y1853*Settings!$C$13*(Y1817)</f>
        <v/>
      </c>
      <c r="Z1898" s="44">
        <f>Z1853*Settings!$C$13*(Z1817)</f>
        <v/>
      </c>
      <c r="AA1898" s="44">
        <f>AA1853*Settings!$C$13*(AA1817)</f>
        <v/>
      </c>
      <c r="AB1898" s="44">
        <f>AB1853*Settings!$C$13*(AB1817)</f>
        <v/>
      </c>
      <c r="AC1898" s="44">
        <f>AC1853*Settings!$C$13*(AC1817)</f>
        <v/>
      </c>
      <c r="AD1898" s="44">
        <f>AD1853*Settings!$C$13*(AD1817)</f>
        <v/>
      </c>
      <c r="AE1898" s="57">
        <f>REVENUE(AE1853,Settings!$C$13,AE1817)</f>
        <v/>
      </c>
      <c r="AG1898" s="11">
        <f>CodePrefix&amp;$A1898&amp;IF($C1898="","","."&amp;$C1898&amp;"."&amp;$B1898)&amp;INDEX(VarEnd,MATCH($A1898,VarKey,0))&amp;AG$5</f>
        <v/>
      </c>
      <c r="AH1898" s="43">
        <f>AH1853*Settings!$C$13*(AH1817)</f>
        <v/>
      </c>
      <c r="AI1898" s="44">
        <f>AI1853*Settings!$C$13*(AI1817)</f>
        <v/>
      </c>
      <c r="AJ1898" s="44">
        <f>AJ1853*Settings!$C$13*(AJ1817)</f>
        <v/>
      </c>
      <c r="AK1898" s="44">
        <f>AK1853*Settings!$C$13*(AK1817)</f>
        <v/>
      </c>
      <c r="AL1898" s="44">
        <f>AL1853*Settings!$C$13*(AL1817)</f>
        <v/>
      </c>
      <c r="AM1898" s="44">
        <f>AM1853*Settings!$C$13*(AM1817)</f>
        <v/>
      </c>
      <c r="AN1898" s="44">
        <f>AN1853*Settings!$C$13*(AN1817)</f>
        <v/>
      </c>
      <c r="AO1898" s="44">
        <f>AO1853*Settings!$C$13*(AO1817)</f>
        <v/>
      </c>
      <c r="AP1898" s="44">
        <f>AP1853*Settings!$C$13*(AP1817)</f>
        <v/>
      </c>
      <c r="AQ1898" s="44">
        <f>AQ1853*Settings!$C$13*(AQ1817)</f>
        <v/>
      </c>
      <c r="AR1898" s="44">
        <f>AR1853*Settings!$C$13*(AR1817)</f>
        <v/>
      </c>
      <c r="AS1898" s="44">
        <f>AS1853*Settings!$C$13*(AS1817)</f>
        <v/>
      </c>
      <c r="AT1898" s="44">
        <f>AT1853*Settings!$C$13*(AT1817)</f>
        <v/>
      </c>
      <c r="AU1898" s="44">
        <f>AU1853*Settings!$C$13*(AU1817)</f>
        <v/>
      </c>
      <c r="AV1898" s="44">
        <f>AV1853*Settings!$C$13*(AV1817)</f>
        <v/>
      </c>
      <c r="AW1898" s="44">
        <f>AW1853*Settings!$C$13*(AW1817)</f>
        <v/>
      </c>
      <c r="AX1898" s="44">
        <f>AX1853*Settings!$C$13*(AX1817)</f>
        <v/>
      </c>
      <c r="AY1898" s="44">
        <f>AY1853*Settings!$C$13*(AY1817)</f>
        <v/>
      </c>
      <c r="AZ1898" s="44">
        <f>AZ1853*Settings!$C$13*(AZ1817)</f>
        <v/>
      </c>
      <c r="BA1898" s="57">
        <f>REVENUE(BA1853,Settings!$C$13,BA1817)</f>
        <v/>
      </c>
    </row>
    <row r="1899" hidden="1" outlineLevel="2">
      <c r="A1899" s="14" t="inlineStr">
        <is>
          <t>rxcp</t>
        </is>
      </c>
      <c r="B1899" s="14" t="inlineStr">
        <is>
          <t>lpg</t>
        </is>
      </c>
      <c r="C1899" s="14" t="inlineStr">
        <is>
          <t>srv</t>
        </is>
      </c>
      <c r="D1899" s="39" t="n"/>
      <c r="E1899" s="39" t="n"/>
      <c r="F1899" s="39" t="n"/>
      <c r="G1899" s="39" t="n"/>
      <c r="H1899" s="14">
        <f>INDEX(VarLab,MATCH($A1899,VarKey,0))&amp;INDEX(MemLab,MATCH($C1899&amp;"|"&amp;$B1899,MemKey,0))</f>
        <v/>
      </c>
      <c r="I1899" s="14">
        <f>INDEX(VarUnit,MATCH($A1899,VarKey,0))</f>
        <v/>
      </c>
      <c r="J1899" s="14">
        <f>INDEX(VarSrc,MATCH($A1899,VarKey,0))</f>
        <v/>
      </c>
      <c r="K1899" s="11">
        <f>CodePrefix&amp;$A1899&amp;IF($C1899="","","."&amp;$C1899&amp;"."&amp;$B1899)&amp;INDEX(VarEnd,MATCH($A1899,VarKey,0))&amp;K$5</f>
        <v/>
      </c>
      <c r="L1899" s="43">
        <f>L1854*Settings!$C$13*(L1818)</f>
        <v/>
      </c>
      <c r="M1899" s="44">
        <f>M1854*Settings!$C$13*(M1818)</f>
        <v/>
      </c>
      <c r="N1899" s="44">
        <f>N1854*Settings!$C$13*(N1818)</f>
        <v/>
      </c>
      <c r="O1899" s="44">
        <f>O1854*Settings!$C$13*(O1818)</f>
        <v/>
      </c>
      <c r="P1899" s="44">
        <f>P1854*Settings!$C$13*(P1818)</f>
        <v/>
      </c>
      <c r="Q1899" s="44">
        <f>Q1854*Settings!$C$13*(Q1818)</f>
        <v/>
      </c>
      <c r="R1899" s="44">
        <f>R1854*Settings!$C$13*(R1818)</f>
        <v/>
      </c>
      <c r="S1899" s="44">
        <f>S1854*Settings!$C$13*(S1818)</f>
        <v/>
      </c>
      <c r="T1899" s="44">
        <f>T1854*Settings!$C$13*(T1818)</f>
        <v/>
      </c>
      <c r="U1899" s="44">
        <f>U1854*Settings!$C$13*(U1818)</f>
        <v/>
      </c>
      <c r="V1899" s="44">
        <f>V1854*Settings!$C$13*(V1818)</f>
        <v/>
      </c>
      <c r="W1899" s="44">
        <f>W1854*Settings!$C$13*(W1818)</f>
        <v/>
      </c>
      <c r="X1899" s="44">
        <f>X1854*Settings!$C$13*(X1818)</f>
        <v/>
      </c>
      <c r="Y1899" s="44">
        <f>Y1854*Settings!$C$13*(Y1818)</f>
        <v/>
      </c>
      <c r="Z1899" s="44">
        <f>Z1854*Settings!$C$13*(Z1818)</f>
        <v/>
      </c>
      <c r="AA1899" s="44">
        <f>AA1854*Settings!$C$13*(AA1818)</f>
        <v/>
      </c>
      <c r="AB1899" s="44">
        <f>AB1854*Settings!$C$13*(AB1818)</f>
        <v/>
      </c>
      <c r="AC1899" s="44">
        <f>AC1854*Settings!$C$13*(AC1818)</f>
        <v/>
      </c>
      <c r="AD1899" s="44">
        <f>AD1854*Settings!$C$13*(AD1818)</f>
        <v/>
      </c>
      <c r="AE1899" s="57">
        <f>REVENUE(AE1854,Settings!$C$13,AE1818)</f>
        <v/>
      </c>
      <c r="AG1899" s="11">
        <f>CodePrefix&amp;$A1899&amp;IF($C1899="","","."&amp;$C1899&amp;"."&amp;$B1899)&amp;INDEX(VarEnd,MATCH($A1899,VarKey,0))&amp;AG$5</f>
        <v/>
      </c>
      <c r="AH1899" s="43">
        <f>AH1854*Settings!$C$13*(AH1818)</f>
        <v/>
      </c>
      <c r="AI1899" s="44">
        <f>AI1854*Settings!$C$13*(AI1818)</f>
        <v/>
      </c>
      <c r="AJ1899" s="44">
        <f>AJ1854*Settings!$C$13*(AJ1818)</f>
        <v/>
      </c>
      <c r="AK1899" s="44">
        <f>AK1854*Settings!$C$13*(AK1818)</f>
        <v/>
      </c>
      <c r="AL1899" s="44">
        <f>AL1854*Settings!$C$13*(AL1818)</f>
        <v/>
      </c>
      <c r="AM1899" s="44">
        <f>AM1854*Settings!$C$13*(AM1818)</f>
        <v/>
      </c>
      <c r="AN1899" s="44">
        <f>AN1854*Settings!$C$13*(AN1818)</f>
        <v/>
      </c>
      <c r="AO1899" s="44">
        <f>AO1854*Settings!$C$13*(AO1818)</f>
        <v/>
      </c>
      <c r="AP1899" s="44">
        <f>AP1854*Settings!$C$13*(AP1818)</f>
        <v/>
      </c>
      <c r="AQ1899" s="44">
        <f>AQ1854*Settings!$C$13*(AQ1818)</f>
        <v/>
      </c>
      <c r="AR1899" s="44">
        <f>AR1854*Settings!$C$13*(AR1818)</f>
        <v/>
      </c>
      <c r="AS1899" s="44">
        <f>AS1854*Settings!$C$13*(AS1818)</f>
        <v/>
      </c>
      <c r="AT1899" s="44">
        <f>AT1854*Settings!$C$13*(AT1818)</f>
        <v/>
      </c>
      <c r="AU1899" s="44">
        <f>AU1854*Settings!$C$13*(AU1818)</f>
        <v/>
      </c>
      <c r="AV1899" s="44">
        <f>AV1854*Settings!$C$13*(AV1818)</f>
        <v/>
      </c>
      <c r="AW1899" s="44">
        <f>AW1854*Settings!$C$13*(AW1818)</f>
        <v/>
      </c>
      <c r="AX1899" s="44">
        <f>AX1854*Settings!$C$13*(AX1818)</f>
        <v/>
      </c>
      <c r="AY1899" s="44">
        <f>AY1854*Settings!$C$13*(AY1818)</f>
        <v/>
      </c>
      <c r="AZ1899" s="44">
        <f>AZ1854*Settings!$C$13*(AZ1818)</f>
        <v/>
      </c>
      <c r="BA1899" s="57">
        <f>REVENUE(BA1854,Settings!$C$13,BA1818)</f>
        <v/>
      </c>
    </row>
    <row r="1900" hidden="1" outlineLevel="2">
      <c r="A1900" s="14" t="inlineStr">
        <is>
          <t>rxcp</t>
        </is>
      </c>
      <c r="B1900" s="14" t="inlineStr">
        <is>
          <t>ker</t>
        </is>
      </c>
      <c r="C1900" s="14" t="inlineStr">
        <is>
          <t>srv</t>
        </is>
      </c>
      <c r="D1900" s="39" t="n"/>
      <c r="E1900" s="39" t="n"/>
      <c r="F1900" s="39" t="n"/>
      <c r="G1900" s="39" t="n"/>
      <c r="H1900" s="14">
        <f>INDEX(VarLab,MATCH($A1900,VarKey,0))&amp;INDEX(MemLab,MATCH($C1900&amp;"|"&amp;$B1900,MemKey,0))</f>
        <v/>
      </c>
      <c r="I1900" s="14">
        <f>INDEX(VarUnit,MATCH($A1900,VarKey,0))</f>
        <v/>
      </c>
      <c r="J1900" s="14">
        <f>INDEX(VarSrc,MATCH($A1900,VarKey,0))</f>
        <v/>
      </c>
      <c r="K1900" s="11">
        <f>CodePrefix&amp;$A1900&amp;IF($C1900="","","."&amp;$C1900&amp;"."&amp;$B1900)&amp;INDEX(VarEnd,MATCH($A1900,VarKey,0))&amp;K$5</f>
        <v/>
      </c>
      <c r="L1900" s="43">
        <f>L1855*Settings!$C$13*(L1819)</f>
        <v/>
      </c>
      <c r="M1900" s="44">
        <f>M1855*Settings!$C$13*(M1819)</f>
        <v/>
      </c>
      <c r="N1900" s="44">
        <f>N1855*Settings!$C$13*(N1819)</f>
        <v/>
      </c>
      <c r="O1900" s="44">
        <f>O1855*Settings!$C$13*(O1819)</f>
        <v/>
      </c>
      <c r="P1900" s="44">
        <f>P1855*Settings!$C$13*(P1819)</f>
        <v/>
      </c>
      <c r="Q1900" s="44">
        <f>Q1855*Settings!$C$13*(Q1819)</f>
        <v/>
      </c>
      <c r="R1900" s="44">
        <f>R1855*Settings!$C$13*(R1819)</f>
        <v/>
      </c>
      <c r="S1900" s="44">
        <f>S1855*Settings!$C$13*(S1819)</f>
        <v/>
      </c>
      <c r="T1900" s="44">
        <f>T1855*Settings!$C$13*(T1819)</f>
        <v/>
      </c>
      <c r="U1900" s="44">
        <f>U1855*Settings!$C$13*(U1819)</f>
        <v/>
      </c>
      <c r="V1900" s="44">
        <f>V1855*Settings!$C$13*(V1819)</f>
        <v/>
      </c>
      <c r="W1900" s="44">
        <f>W1855*Settings!$C$13*(W1819)</f>
        <v/>
      </c>
      <c r="X1900" s="44">
        <f>X1855*Settings!$C$13*(X1819)</f>
        <v/>
      </c>
      <c r="Y1900" s="44">
        <f>Y1855*Settings!$C$13*(Y1819)</f>
        <v/>
      </c>
      <c r="Z1900" s="44">
        <f>Z1855*Settings!$C$13*(Z1819)</f>
        <v/>
      </c>
      <c r="AA1900" s="44">
        <f>AA1855*Settings!$C$13*(AA1819)</f>
        <v/>
      </c>
      <c r="AB1900" s="44">
        <f>AB1855*Settings!$C$13*(AB1819)</f>
        <v/>
      </c>
      <c r="AC1900" s="44">
        <f>AC1855*Settings!$C$13*(AC1819)</f>
        <v/>
      </c>
      <c r="AD1900" s="44">
        <f>AD1855*Settings!$C$13*(AD1819)</f>
        <v/>
      </c>
      <c r="AE1900" s="57">
        <f>REVENUE(AE1855,Settings!$C$13,AE1819)</f>
        <v/>
      </c>
      <c r="AG1900" s="11">
        <f>CodePrefix&amp;$A1900&amp;IF($C1900="","","."&amp;$C1900&amp;"."&amp;$B1900)&amp;INDEX(VarEnd,MATCH($A1900,VarKey,0))&amp;AG$5</f>
        <v/>
      </c>
      <c r="AH1900" s="43">
        <f>AH1855*Settings!$C$13*(AH1819)</f>
        <v/>
      </c>
      <c r="AI1900" s="44">
        <f>AI1855*Settings!$C$13*(AI1819)</f>
        <v/>
      </c>
      <c r="AJ1900" s="44">
        <f>AJ1855*Settings!$C$13*(AJ1819)</f>
        <v/>
      </c>
      <c r="AK1900" s="44">
        <f>AK1855*Settings!$C$13*(AK1819)</f>
        <v/>
      </c>
      <c r="AL1900" s="44">
        <f>AL1855*Settings!$C$13*(AL1819)</f>
        <v/>
      </c>
      <c r="AM1900" s="44">
        <f>AM1855*Settings!$C$13*(AM1819)</f>
        <v/>
      </c>
      <c r="AN1900" s="44">
        <f>AN1855*Settings!$C$13*(AN1819)</f>
        <v/>
      </c>
      <c r="AO1900" s="44">
        <f>AO1855*Settings!$C$13*(AO1819)</f>
        <v/>
      </c>
      <c r="AP1900" s="44">
        <f>AP1855*Settings!$C$13*(AP1819)</f>
        <v/>
      </c>
      <c r="AQ1900" s="44">
        <f>AQ1855*Settings!$C$13*(AQ1819)</f>
        <v/>
      </c>
      <c r="AR1900" s="44">
        <f>AR1855*Settings!$C$13*(AR1819)</f>
        <v/>
      </c>
      <c r="AS1900" s="44">
        <f>AS1855*Settings!$C$13*(AS1819)</f>
        <v/>
      </c>
      <c r="AT1900" s="44">
        <f>AT1855*Settings!$C$13*(AT1819)</f>
        <v/>
      </c>
      <c r="AU1900" s="44">
        <f>AU1855*Settings!$C$13*(AU1819)</f>
        <v/>
      </c>
      <c r="AV1900" s="44">
        <f>AV1855*Settings!$C$13*(AV1819)</f>
        <v/>
      </c>
      <c r="AW1900" s="44">
        <f>AW1855*Settings!$C$13*(AW1819)</f>
        <v/>
      </c>
      <c r="AX1900" s="44">
        <f>AX1855*Settings!$C$13*(AX1819)</f>
        <v/>
      </c>
      <c r="AY1900" s="44">
        <f>AY1855*Settings!$C$13*(AY1819)</f>
        <v/>
      </c>
      <c r="AZ1900" s="44">
        <f>AZ1855*Settings!$C$13*(AZ1819)</f>
        <v/>
      </c>
      <c r="BA1900" s="57">
        <f>REVENUE(BA1855,Settings!$C$13,BA1819)</f>
        <v/>
      </c>
    </row>
    <row r="1901" hidden="1" outlineLevel="2">
      <c r="A1901" s="14" t="inlineStr">
        <is>
          <t>rxcp</t>
        </is>
      </c>
      <c r="B1901" s="14" t="inlineStr">
        <is>
          <t>oop</t>
        </is>
      </c>
      <c r="C1901" s="14" t="inlineStr">
        <is>
          <t>srv</t>
        </is>
      </c>
      <c r="D1901" s="39" t="n"/>
      <c r="E1901" s="39" t="n"/>
      <c r="F1901" s="39" t="n"/>
      <c r="G1901" s="39" t="n"/>
      <c r="H1901" s="14">
        <f>INDEX(VarLab,MATCH($A1901,VarKey,0))&amp;INDEX(MemLab,MATCH($C1901&amp;"|"&amp;$B1901,MemKey,0))</f>
        <v/>
      </c>
      <c r="I1901" s="14">
        <f>INDEX(VarUnit,MATCH($A1901,VarKey,0))</f>
        <v/>
      </c>
      <c r="J1901" s="14">
        <f>INDEX(VarSrc,MATCH($A1901,VarKey,0))</f>
        <v/>
      </c>
      <c r="K1901" s="11">
        <f>CodePrefix&amp;$A1901&amp;IF($C1901="","","."&amp;$C1901&amp;"."&amp;$B1901)&amp;INDEX(VarEnd,MATCH($A1901,VarKey,0))&amp;K$5</f>
        <v/>
      </c>
      <c r="L1901" s="43">
        <f>L1856*Settings!$C$13*(L1820)</f>
        <v/>
      </c>
      <c r="M1901" s="44">
        <f>M1856*Settings!$C$13*(M1820)</f>
        <v/>
      </c>
      <c r="N1901" s="44">
        <f>N1856*Settings!$C$13*(N1820)</f>
        <v/>
      </c>
      <c r="O1901" s="44">
        <f>O1856*Settings!$C$13*(O1820)</f>
        <v/>
      </c>
      <c r="P1901" s="44">
        <f>P1856*Settings!$C$13*(P1820)</f>
        <v/>
      </c>
      <c r="Q1901" s="44">
        <f>Q1856*Settings!$C$13*(Q1820)</f>
        <v/>
      </c>
      <c r="R1901" s="44">
        <f>R1856*Settings!$C$13*(R1820)</f>
        <v/>
      </c>
      <c r="S1901" s="44">
        <f>S1856*Settings!$C$13*(S1820)</f>
        <v/>
      </c>
      <c r="T1901" s="44">
        <f>T1856*Settings!$C$13*(T1820)</f>
        <v/>
      </c>
      <c r="U1901" s="44">
        <f>U1856*Settings!$C$13*(U1820)</f>
        <v/>
      </c>
      <c r="V1901" s="44">
        <f>V1856*Settings!$C$13*(V1820)</f>
        <v/>
      </c>
      <c r="W1901" s="44">
        <f>W1856*Settings!$C$13*(W1820)</f>
        <v/>
      </c>
      <c r="X1901" s="44">
        <f>X1856*Settings!$C$13*(X1820)</f>
        <v/>
      </c>
      <c r="Y1901" s="44">
        <f>Y1856*Settings!$C$13*(Y1820)</f>
        <v/>
      </c>
      <c r="Z1901" s="44">
        <f>Z1856*Settings!$C$13*(Z1820)</f>
        <v/>
      </c>
      <c r="AA1901" s="44">
        <f>AA1856*Settings!$C$13*(AA1820)</f>
        <v/>
      </c>
      <c r="AB1901" s="44">
        <f>AB1856*Settings!$C$13*(AB1820)</f>
        <v/>
      </c>
      <c r="AC1901" s="44">
        <f>AC1856*Settings!$C$13*(AC1820)</f>
        <v/>
      </c>
      <c r="AD1901" s="44">
        <f>AD1856*Settings!$C$13*(AD1820)</f>
        <v/>
      </c>
      <c r="AE1901" s="57">
        <f>REVENUE(AE1856,Settings!$C$13,AE1820)</f>
        <v/>
      </c>
      <c r="AG1901" s="11">
        <f>CodePrefix&amp;$A1901&amp;IF($C1901="","","."&amp;$C1901&amp;"."&amp;$B1901)&amp;INDEX(VarEnd,MATCH($A1901,VarKey,0))&amp;AG$5</f>
        <v/>
      </c>
      <c r="AH1901" s="43">
        <f>AH1856*Settings!$C$13*(AH1820)</f>
        <v/>
      </c>
      <c r="AI1901" s="44">
        <f>AI1856*Settings!$C$13*(AI1820)</f>
        <v/>
      </c>
      <c r="AJ1901" s="44">
        <f>AJ1856*Settings!$C$13*(AJ1820)</f>
        <v/>
      </c>
      <c r="AK1901" s="44">
        <f>AK1856*Settings!$C$13*(AK1820)</f>
        <v/>
      </c>
      <c r="AL1901" s="44">
        <f>AL1856*Settings!$C$13*(AL1820)</f>
        <v/>
      </c>
      <c r="AM1901" s="44">
        <f>AM1856*Settings!$C$13*(AM1820)</f>
        <v/>
      </c>
      <c r="AN1901" s="44">
        <f>AN1856*Settings!$C$13*(AN1820)</f>
        <v/>
      </c>
      <c r="AO1901" s="44">
        <f>AO1856*Settings!$C$13*(AO1820)</f>
        <v/>
      </c>
      <c r="AP1901" s="44">
        <f>AP1856*Settings!$C$13*(AP1820)</f>
        <v/>
      </c>
      <c r="AQ1901" s="44">
        <f>AQ1856*Settings!$C$13*(AQ1820)</f>
        <v/>
      </c>
      <c r="AR1901" s="44">
        <f>AR1856*Settings!$C$13*(AR1820)</f>
        <v/>
      </c>
      <c r="AS1901" s="44">
        <f>AS1856*Settings!$C$13*(AS1820)</f>
        <v/>
      </c>
      <c r="AT1901" s="44">
        <f>AT1856*Settings!$C$13*(AT1820)</f>
        <v/>
      </c>
      <c r="AU1901" s="44">
        <f>AU1856*Settings!$C$13*(AU1820)</f>
        <v/>
      </c>
      <c r="AV1901" s="44">
        <f>AV1856*Settings!$C$13*(AV1820)</f>
        <v/>
      </c>
      <c r="AW1901" s="44">
        <f>AW1856*Settings!$C$13*(AW1820)</f>
        <v/>
      </c>
      <c r="AX1901" s="44">
        <f>AX1856*Settings!$C$13*(AX1820)</f>
        <v/>
      </c>
      <c r="AY1901" s="44">
        <f>AY1856*Settings!$C$13*(AY1820)</f>
        <v/>
      </c>
      <c r="AZ1901" s="44">
        <f>AZ1856*Settings!$C$13*(AZ1820)</f>
        <v/>
      </c>
      <c r="BA1901" s="57">
        <f>REVENUE(BA1856,Settings!$C$13,BA1820)</f>
        <v/>
      </c>
    </row>
    <row r="1902" hidden="1" outlineLevel="2">
      <c r="A1902" s="14" t="inlineStr">
        <is>
          <t>rxcp</t>
        </is>
      </c>
      <c r="B1902" s="14" t="inlineStr">
        <is>
          <t>bio</t>
        </is>
      </c>
      <c r="C1902" s="14" t="inlineStr">
        <is>
          <t>srv</t>
        </is>
      </c>
      <c r="D1902" s="39" t="n"/>
      <c r="E1902" s="39" t="n"/>
      <c r="F1902" s="39" t="n"/>
      <c r="G1902" s="39" t="n"/>
      <c r="H1902" s="14">
        <f>INDEX(VarLab,MATCH($A1902,VarKey,0))&amp;INDEX(MemLab,MATCH($C1902&amp;"|"&amp;$B1902,MemKey,0))</f>
        <v/>
      </c>
      <c r="I1902" s="14">
        <f>INDEX(VarUnit,MATCH($A1902,VarKey,0))</f>
        <v/>
      </c>
      <c r="J1902" s="14">
        <f>INDEX(VarSrc,MATCH($A1902,VarKey,0))</f>
        <v/>
      </c>
      <c r="K1902" s="11">
        <f>CodePrefix&amp;$A1902&amp;IF($C1902="","","."&amp;$C1902&amp;"."&amp;$B1902)&amp;INDEX(VarEnd,MATCH($A1902,VarKey,0))&amp;K$5</f>
        <v/>
      </c>
      <c r="L1902" s="43">
        <f>L1857*Settings!$C$13*(L1821)</f>
        <v/>
      </c>
      <c r="M1902" s="44">
        <f>M1857*Settings!$C$13*(M1821)</f>
        <v/>
      </c>
      <c r="N1902" s="44">
        <f>N1857*Settings!$C$13*(N1821)</f>
        <v/>
      </c>
      <c r="O1902" s="44">
        <f>O1857*Settings!$C$13*(O1821)</f>
        <v/>
      </c>
      <c r="P1902" s="44">
        <f>P1857*Settings!$C$13*(P1821)</f>
        <v/>
      </c>
      <c r="Q1902" s="44">
        <f>Q1857*Settings!$C$13*(Q1821)</f>
        <v/>
      </c>
      <c r="R1902" s="44">
        <f>R1857*Settings!$C$13*(R1821)</f>
        <v/>
      </c>
      <c r="S1902" s="44">
        <f>S1857*Settings!$C$13*(S1821)</f>
        <v/>
      </c>
      <c r="T1902" s="44">
        <f>T1857*Settings!$C$13*(T1821)</f>
        <v/>
      </c>
      <c r="U1902" s="44">
        <f>U1857*Settings!$C$13*(U1821)</f>
        <v/>
      </c>
      <c r="V1902" s="44">
        <f>V1857*Settings!$C$13*(V1821)</f>
        <v/>
      </c>
      <c r="W1902" s="44">
        <f>W1857*Settings!$C$13*(W1821)</f>
        <v/>
      </c>
      <c r="X1902" s="44">
        <f>X1857*Settings!$C$13*(X1821)</f>
        <v/>
      </c>
      <c r="Y1902" s="44">
        <f>Y1857*Settings!$C$13*(Y1821)</f>
        <v/>
      </c>
      <c r="Z1902" s="44">
        <f>Z1857*Settings!$C$13*(Z1821)</f>
        <v/>
      </c>
      <c r="AA1902" s="44">
        <f>AA1857*Settings!$C$13*(AA1821)</f>
        <v/>
      </c>
      <c r="AB1902" s="44">
        <f>AB1857*Settings!$C$13*(AB1821)</f>
        <v/>
      </c>
      <c r="AC1902" s="44">
        <f>AC1857*Settings!$C$13*(AC1821)</f>
        <v/>
      </c>
      <c r="AD1902" s="44">
        <f>AD1857*Settings!$C$13*(AD1821)</f>
        <v/>
      </c>
      <c r="AE1902" s="57">
        <f>REVENUE(AE1857,Settings!$C$13,AE1821)</f>
        <v/>
      </c>
      <c r="AG1902" s="11">
        <f>CodePrefix&amp;$A1902&amp;IF($C1902="","","."&amp;$C1902&amp;"."&amp;$B1902)&amp;INDEX(VarEnd,MATCH($A1902,VarKey,0))&amp;AG$5</f>
        <v/>
      </c>
      <c r="AH1902" s="43">
        <f>AH1857*Settings!$C$13*(AH1821)</f>
        <v/>
      </c>
      <c r="AI1902" s="44">
        <f>AI1857*Settings!$C$13*(AI1821)</f>
        <v/>
      </c>
      <c r="AJ1902" s="44">
        <f>AJ1857*Settings!$C$13*(AJ1821)</f>
        <v/>
      </c>
      <c r="AK1902" s="44">
        <f>AK1857*Settings!$C$13*(AK1821)</f>
        <v/>
      </c>
      <c r="AL1902" s="44">
        <f>AL1857*Settings!$C$13*(AL1821)</f>
        <v/>
      </c>
      <c r="AM1902" s="44">
        <f>AM1857*Settings!$C$13*(AM1821)</f>
        <v/>
      </c>
      <c r="AN1902" s="44">
        <f>AN1857*Settings!$C$13*(AN1821)</f>
        <v/>
      </c>
      <c r="AO1902" s="44">
        <f>AO1857*Settings!$C$13*(AO1821)</f>
        <v/>
      </c>
      <c r="AP1902" s="44">
        <f>AP1857*Settings!$C$13*(AP1821)</f>
        <v/>
      </c>
      <c r="AQ1902" s="44">
        <f>AQ1857*Settings!$C$13*(AQ1821)</f>
        <v/>
      </c>
      <c r="AR1902" s="44">
        <f>AR1857*Settings!$C$13*(AR1821)</f>
        <v/>
      </c>
      <c r="AS1902" s="44">
        <f>AS1857*Settings!$C$13*(AS1821)</f>
        <v/>
      </c>
      <c r="AT1902" s="44">
        <f>AT1857*Settings!$C$13*(AT1821)</f>
        <v/>
      </c>
      <c r="AU1902" s="44">
        <f>AU1857*Settings!$C$13*(AU1821)</f>
        <v/>
      </c>
      <c r="AV1902" s="44">
        <f>AV1857*Settings!$C$13*(AV1821)</f>
        <v/>
      </c>
      <c r="AW1902" s="44">
        <f>AW1857*Settings!$C$13*(AW1821)</f>
        <v/>
      </c>
      <c r="AX1902" s="44">
        <f>AX1857*Settings!$C$13*(AX1821)</f>
        <v/>
      </c>
      <c r="AY1902" s="44">
        <f>AY1857*Settings!$C$13*(AY1821)</f>
        <v/>
      </c>
      <c r="AZ1902" s="44">
        <f>AZ1857*Settings!$C$13*(AZ1821)</f>
        <v/>
      </c>
      <c r="BA1902" s="57">
        <f>REVENUE(BA1857,Settings!$C$13,BA1821)</f>
        <v/>
      </c>
    </row>
    <row r="1903" hidden="1" outlineLevel="2"/>
    <row r="1904" collapsed="1"/>
    <row r="1905">
      <c r="A1905" s="4" t="inlineStr">
        <is>
          <t>7. Industrial sector</t>
        </is>
      </c>
      <c r="B1905" s="5" t="n"/>
      <c r="C1905" s="5" t="n"/>
      <c r="D1905" s="5" t="n"/>
      <c r="E1905" s="5" t="n"/>
      <c r="F1905" s="5" t="n"/>
      <c r="G1905" s="5" t="n"/>
      <c r="H1905" s="5" t="n"/>
      <c r="I1905" s="5" t="n"/>
      <c r="J1905" s="5" t="n"/>
      <c r="K1905" s="5" t="n"/>
      <c r="L1905" s="5" t="n"/>
      <c r="M1905" s="5" t="n"/>
      <c r="N1905" s="5" t="n"/>
      <c r="O1905" s="5" t="n"/>
      <c r="P1905" s="5" t="n"/>
      <c r="Q1905" s="5" t="n"/>
      <c r="R1905" s="5" t="n"/>
      <c r="S1905" s="5" t="n"/>
      <c r="T1905" s="5" t="n"/>
      <c r="U1905" s="5" t="n"/>
      <c r="V1905" s="5" t="n"/>
      <c r="W1905" s="5" t="n"/>
      <c r="X1905" s="5" t="n"/>
      <c r="Y1905" s="5" t="n"/>
      <c r="Z1905" s="5" t="n"/>
      <c r="AA1905" s="5" t="n"/>
      <c r="AB1905" s="5" t="n"/>
      <c r="AC1905" s="5" t="n"/>
      <c r="AD1905" s="5" t="n"/>
      <c r="AE1905" s="5" t="n"/>
      <c r="AF1905" s="5" t="n"/>
      <c r="AG1905" s="5" t="n"/>
      <c r="AH1905" s="5" t="n"/>
      <c r="AI1905" s="5" t="n"/>
      <c r="AJ1905" s="5" t="n"/>
      <c r="AK1905" s="5" t="n"/>
      <c r="AL1905" s="5" t="n"/>
      <c r="AM1905" s="5" t="n"/>
      <c r="AN1905" s="5" t="n"/>
      <c r="AO1905" s="5" t="n"/>
      <c r="AP1905" s="5" t="n"/>
      <c r="AQ1905" s="5" t="n"/>
      <c r="AR1905" s="5" t="n"/>
      <c r="AS1905" s="5" t="n"/>
      <c r="AT1905" s="5" t="n"/>
      <c r="AU1905" s="5" t="n"/>
      <c r="AV1905" s="5" t="n"/>
      <c r="AW1905" s="5" t="n"/>
      <c r="AX1905" s="5" t="n"/>
      <c r="AY1905" s="5" t="n"/>
      <c r="AZ1905" s="5" t="n"/>
      <c r="BA1905" s="5" t="n"/>
      <c r="BB1905" s="5" t="n"/>
    </row>
    <row r="1906">
      <c r="A1906" s="1" t="inlineStr">
        <is>
          <t>ener</t>
        </is>
      </c>
      <c r="B1906" s="1" t="inlineStr">
        <is>
          <t>all</t>
        </is>
      </c>
      <c r="C1906" s="1" t="inlineStr">
        <is>
          <t>ind</t>
        </is>
      </c>
      <c r="H1906" s="1">
        <f>INDEX(VarLab,MATCH($A1906,VarKey,0))&amp;INDEX(MemLab,MATCH($C1906&amp;"|"&amp;$B1906,MemKey,0))</f>
        <v/>
      </c>
      <c r="I1906" s="1">
        <f>INDEX(VarUnit,MATCH($A1906,VarKey,0))</f>
        <v/>
      </c>
      <c r="J1906" s="1">
        <f>INDEX(VarSrc,MATCH($A1906,VarKey,0))</f>
        <v/>
      </c>
      <c r="K1906" s="17">
        <f>CodePrefix&amp;$A1906&amp;IF($C1906="","","."&amp;$C1906&amp;"."&amp;$B1906)&amp;INDEX(VarEnd,MATCH($A1906,VarKey,0))&amp;K$5</f>
        <v/>
      </c>
      <c r="L1906" s="68">
        <f>SUMIFS(L1907:L2930,$A1907:$A2930,"ener",$B1907:$B2930,"&lt;&gt;all")</f>
        <v/>
      </c>
      <c r="M1906" s="69">
        <f>SUMIFS(M1907:M2930,$A1907:$A2930,"ener",$B1907:$B2930,"&lt;&gt;all")</f>
        <v/>
      </c>
      <c r="N1906" s="69">
        <f>SUMIFS(N1907:N2930,$A1907:$A2930,"ener",$B1907:$B2930,"&lt;&gt;all")</f>
        <v/>
      </c>
      <c r="O1906" s="69">
        <f>SUMIFS(O1907:O2930,$A1907:$A2930,"ener",$B1907:$B2930,"&lt;&gt;all")</f>
        <v/>
      </c>
      <c r="P1906" s="69">
        <f>SUMIFS(P1907:P2930,$A1907:$A2930,"ener",$B1907:$B2930,"&lt;&gt;all")</f>
        <v/>
      </c>
      <c r="Q1906" s="69">
        <f>SUMIFS(Q1907:Q2930,$A1907:$A2930,"ener",$B1907:$B2930,"&lt;&gt;all")</f>
        <v/>
      </c>
      <c r="R1906" s="69">
        <f>SUMIFS(R1907:R2930,$A1907:$A2930,"ener",$B1907:$B2930,"&lt;&gt;all")</f>
        <v/>
      </c>
      <c r="S1906" s="69">
        <f>SUMIFS(S1907:S2930,$A1907:$A2930,"ener",$B1907:$B2930,"&lt;&gt;all")</f>
        <v/>
      </c>
      <c r="T1906" s="69">
        <f>SUMIFS(T1907:T2930,$A1907:$A2930,"ener",$B1907:$B2930,"&lt;&gt;all")</f>
        <v/>
      </c>
      <c r="U1906" s="69">
        <f>SUMIFS(U1907:U2930,$A1907:$A2930,"ener",$B1907:$B2930,"&lt;&gt;all")</f>
        <v/>
      </c>
      <c r="V1906" s="69">
        <f>SUMIFS(V1907:V2930,$A1907:$A2930,"ener",$B1907:$B2930,"&lt;&gt;all")</f>
        <v/>
      </c>
      <c r="W1906" s="69">
        <f>SUMIFS(W1907:W2930,$A1907:$A2930,"ener",$B1907:$B2930,"&lt;&gt;all")</f>
        <v/>
      </c>
      <c r="X1906" s="69">
        <f>SUMIFS(X1907:X2930,$A1907:$A2930,"ener",$B1907:$B2930,"&lt;&gt;all")</f>
        <v/>
      </c>
      <c r="Y1906" s="69">
        <f>SUMIFS(Y1907:Y2930,$A1907:$A2930,"ener",$B1907:$B2930,"&lt;&gt;all")</f>
        <v/>
      </c>
      <c r="Z1906" s="69">
        <f>SUMIFS(Z1907:Z2930,$A1907:$A2930,"ener",$B1907:$B2930,"&lt;&gt;all")</f>
        <v/>
      </c>
      <c r="AA1906" s="69">
        <f>SUMIFS(AA1907:AA2930,$A1907:$A2930,"ener",$B1907:$B2930,"&lt;&gt;all")</f>
        <v/>
      </c>
      <c r="AB1906" s="69">
        <f>SUMIFS(AB1907:AB2930,$A1907:$A2930,"ener",$B1907:$B2930,"&lt;&gt;all")</f>
        <v/>
      </c>
      <c r="AC1906" s="69">
        <f>SUMIFS(AC1907:AC2930,$A1907:$A2930,"ener",$B1907:$B2930,"&lt;&gt;all")</f>
        <v/>
      </c>
      <c r="AD1906" s="69">
        <f>SUMIFS(AD1907:AD2930,$A1907:$A2930,"ener",$B1907:$B2930,"&lt;&gt;all")</f>
        <v/>
      </c>
      <c r="AE1906" s="69">
        <f>SUMIFS(AE1907:AE2930,$A1907:$A2930,"ener",$B1907:$B2930,"&lt;&gt;all")</f>
        <v/>
      </c>
      <c r="AG1906" s="17">
        <f>CodePrefix&amp;$A1906&amp;IF($C1906="","","."&amp;$C1906&amp;"."&amp;$B1906)&amp;INDEX(VarEnd,MATCH($A1906,VarKey,0))&amp;AG$5</f>
        <v/>
      </c>
      <c r="AH1906" s="68">
        <f>SUMIFS(AH1907:AH2930,$A1907:$A2930,"ener",$B1907:$B2930,"&lt;&gt;all")</f>
        <v/>
      </c>
      <c r="AI1906" s="69">
        <f>SUMIFS(AI1907:AI2930,$A1907:$A2930,"ener",$B1907:$B2930,"&lt;&gt;all")</f>
        <v/>
      </c>
      <c r="AJ1906" s="69">
        <f>SUMIFS(AJ1907:AJ2930,$A1907:$A2930,"ener",$B1907:$B2930,"&lt;&gt;all")</f>
        <v/>
      </c>
      <c r="AK1906" s="69">
        <f>SUMIFS(AK1907:AK2930,$A1907:$A2930,"ener",$B1907:$B2930,"&lt;&gt;all")</f>
        <v/>
      </c>
      <c r="AL1906" s="69">
        <f>SUMIFS(AL1907:AL2930,$A1907:$A2930,"ener",$B1907:$B2930,"&lt;&gt;all")</f>
        <v/>
      </c>
      <c r="AM1906" s="69">
        <f>SUMIFS(AM1907:AM2930,$A1907:$A2930,"ener",$B1907:$B2930,"&lt;&gt;all")</f>
        <v/>
      </c>
      <c r="AN1906" s="69">
        <f>SUMIFS(AN1907:AN2930,$A1907:$A2930,"ener",$B1907:$B2930,"&lt;&gt;all")</f>
        <v/>
      </c>
      <c r="AO1906" s="69">
        <f>SUMIFS(AO1907:AO2930,$A1907:$A2930,"ener",$B1907:$B2930,"&lt;&gt;all")</f>
        <v/>
      </c>
      <c r="AP1906" s="69">
        <f>SUMIFS(AP1907:AP2930,$A1907:$A2930,"ener",$B1907:$B2930,"&lt;&gt;all")</f>
        <v/>
      </c>
      <c r="AQ1906" s="69">
        <f>SUMIFS(AQ1907:AQ2930,$A1907:$A2930,"ener",$B1907:$B2930,"&lt;&gt;all")</f>
        <v/>
      </c>
      <c r="AR1906" s="69">
        <f>SUMIFS(AR1907:AR2930,$A1907:$A2930,"ener",$B1907:$B2930,"&lt;&gt;all")</f>
        <v/>
      </c>
      <c r="AS1906" s="69">
        <f>SUMIFS(AS1907:AS2930,$A1907:$A2930,"ener",$B1907:$B2930,"&lt;&gt;all")</f>
        <v/>
      </c>
      <c r="AT1906" s="69">
        <f>SUMIFS(AT1907:AT2930,$A1907:$A2930,"ener",$B1907:$B2930,"&lt;&gt;all")</f>
        <v/>
      </c>
      <c r="AU1906" s="69">
        <f>SUMIFS(AU1907:AU2930,$A1907:$A2930,"ener",$B1907:$B2930,"&lt;&gt;all")</f>
        <v/>
      </c>
      <c r="AV1906" s="69">
        <f>SUMIFS(AV1907:AV2930,$A1907:$A2930,"ener",$B1907:$B2930,"&lt;&gt;all")</f>
        <v/>
      </c>
      <c r="AW1906" s="69">
        <f>SUMIFS(AW1907:AW2930,$A1907:$A2930,"ener",$B1907:$B2930,"&lt;&gt;all")</f>
        <v/>
      </c>
      <c r="AX1906" s="69">
        <f>SUMIFS(AX1907:AX2930,$A1907:$A2930,"ener",$B1907:$B2930,"&lt;&gt;all")</f>
        <v/>
      </c>
      <c r="AY1906" s="69">
        <f>SUMIFS(AY1907:AY2930,$A1907:$A2930,"ener",$B1907:$B2930,"&lt;&gt;all")</f>
        <v/>
      </c>
      <c r="AZ1906" s="69">
        <f>SUMIFS(AZ1907:AZ2930,$A1907:$A2930,"ener",$B1907:$B2930,"&lt;&gt;all")</f>
        <v/>
      </c>
      <c r="BA1906" s="69">
        <f>SUMIFS(BA1907:BA2930,$A1907:$A2930,"ener",$B1907:$B2930,"&lt;&gt;all")</f>
        <v/>
      </c>
    </row>
    <row r="1907" hidden="1" outlineLevel="1">
      <c r="A1907" s="1" t="inlineStr">
        <is>
          <t>ener</t>
        </is>
      </c>
      <c r="B1907" s="1" t="inlineStr">
        <is>
          <t>all</t>
        </is>
      </c>
      <c r="C1907" s="1" t="inlineStr">
        <is>
          <t>mch</t>
        </is>
      </c>
      <c r="H1907" s="1">
        <f>INDEX(VarLab,MATCH($A1907,VarKey,0))&amp;INDEX(MemLab,MATCH($C1907&amp;"|"&amp;$B1907,MemKey,0))</f>
        <v/>
      </c>
      <c r="I1907" s="1">
        <f>INDEX(VarUnit,MATCH($A1907,VarKey,0))</f>
        <v/>
      </c>
      <c r="J1907" s="1">
        <f>INDEX(VarSrc,MATCH($A1907,VarKey,0))</f>
        <v/>
      </c>
      <c r="K1907" s="17">
        <f>CodePrefix&amp;$A1907&amp;IF($C1907="","","."&amp;$C1907&amp;"."&amp;$B1907)&amp;INDEX(VarEnd,MATCH($A1907,VarKey,0))&amp;K$5</f>
        <v/>
      </c>
      <c r="L1907" s="68">
        <f>SUM(L1981:L1988)</f>
        <v/>
      </c>
      <c r="M1907" s="69">
        <f>SUM(M1981:M1988)</f>
        <v/>
      </c>
      <c r="N1907" s="69">
        <f>SUM(N1981:N1988)</f>
        <v/>
      </c>
      <c r="O1907" s="69">
        <f>SUM(O1981:O1988)</f>
        <v/>
      </c>
      <c r="P1907" s="69">
        <f>SUM(P1981:P1988)</f>
        <v/>
      </c>
      <c r="Q1907" s="69">
        <f>SUM(Q1981:Q1988)</f>
        <v/>
      </c>
      <c r="R1907" s="69">
        <f>SUM(R1981:R1988)</f>
        <v/>
      </c>
      <c r="S1907" s="69">
        <f>SUM(S1981:S1988)</f>
        <v/>
      </c>
      <c r="T1907" s="69">
        <f>SUM(T1981:T1988)</f>
        <v/>
      </c>
      <c r="U1907" s="69">
        <f>SUM(U1981:U1988)</f>
        <v/>
      </c>
      <c r="V1907" s="69">
        <f>SUM(V1981:V1988)</f>
        <v/>
      </c>
      <c r="W1907" s="69">
        <f>SUM(W1981:W1988)</f>
        <v/>
      </c>
      <c r="X1907" s="69">
        <f>SUM(X1981:X1988)</f>
        <v/>
      </c>
      <c r="Y1907" s="69">
        <f>SUM(Y1981:Y1988)</f>
        <v/>
      </c>
      <c r="Z1907" s="69">
        <f>SUM(Z1981:Z1988)</f>
        <v/>
      </c>
      <c r="AA1907" s="69">
        <f>SUM(AA1981:AA1988)</f>
        <v/>
      </c>
      <c r="AB1907" s="69">
        <f>SUM(AB1981:AB1988)</f>
        <v/>
      </c>
      <c r="AC1907" s="69">
        <f>SUM(AC1981:AC1988)</f>
        <v/>
      </c>
      <c r="AD1907" s="69">
        <f>SUM(AD1981:AD1988)</f>
        <v/>
      </c>
      <c r="AE1907" s="69">
        <f>SUM(AE1981:AE1988)</f>
        <v/>
      </c>
      <c r="AG1907" s="17">
        <f>CodePrefix&amp;$A1907&amp;IF($C1907="","","."&amp;$C1907&amp;"."&amp;$B1907)&amp;INDEX(VarEnd,MATCH($A1907,VarKey,0))&amp;AG$5</f>
        <v/>
      </c>
      <c r="AH1907" s="68">
        <f>SUM(AH1981:AH1988)</f>
        <v/>
      </c>
      <c r="AI1907" s="69">
        <f>SUM(AI1981:AI1988)</f>
        <v/>
      </c>
      <c r="AJ1907" s="69">
        <f>SUM(AJ1981:AJ1988)</f>
        <v/>
      </c>
      <c r="AK1907" s="69">
        <f>SUM(AK1981:AK1988)</f>
        <v/>
      </c>
      <c r="AL1907" s="69">
        <f>SUM(AL1981:AL1988)</f>
        <v/>
      </c>
      <c r="AM1907" s="69">
        <f>SUM(AM1981:AM1988)</f>
        <v/>
      </c>
      <c r="AN1907" s="69">
        <f>SUM(AN1981:AN1988)</f>
        <v/>
      </c>
      <c r="AO1907" s="69">
        <f>SUM(AO1981:AO1988)</f>
        <v/>
      </c>
      <c r="AP1907" s="69">
        <f>SUM(AP1981:AP1988)</f>
        <v/>
      </c>
      <c r="AQ1907" s="69">
        <f>SUM(AQ1981:AQ1988)</f>
        <v/>
      </c>
      <c r="AR1907" s="69">
        <f>SUM(AR1981:AR1988)</f>
        <v/>
      </c>
      <c r="AS1907" s="69">
        <f>SUM(AS1981:AS1988)</f>
        <v/>
      </c>
      <c r="AT1907" s="69">
        <f>SUM(AT1981:AT1988)</f>
        <v/>
      </c>
      <c r="AU1907" s="69">
        <f>SUM(AU1981:AU1988)</f>
        <v/>
      </c>
      <c r="AV1907" s="69">
        <f>SUM(AV1981:AV1988)</f>
        <v/>
      </c>
      <c r="AW1907" s="69">
        <f>SUM(AW1981:AW1988)</f>
        <v/>
      </c>
      <c r="AX1907" s="69">
        <f>SUM(AX1981:AX1988)</f>
        <v/>
      </c>
      <c r="AY1907" s="69">
        <f>SUM(AY1981:AY1988)</f>
        <v/>
      </c>
      <c r="AZ1907" s="69">
        <f>SUM(AZ1981:AZ1988)</f>
        <v/>
      </c>
      <c r="BA1907" s="69">
        <f>SUM(BA1981:BA1988)</f>
        <v/>
      </c>
    </row>
    <row r="1908" hidden="1" outlineLevel="1">
      <c r="A1908" s="67" t="inlineStr">
        <is>
          <t>eldem</t>
        </is>
      </c>
      <c r="B1908" s="67" t="inlineStr">
        <is>
          <t>ecy</t>
        </is>
      </c>
      <c r="C1908" s="67" t="inlineStr">
        <is>
          <t>mch</t>
        </is>
      </c>
      <c r="H1908" s="67">
        <f>INDEX(VarLab,MATCH($A1908,VarKey,0))&amp;INDEX(MemLab,MATCH($C1908&amp;"|"&amp;$B1908,MemKey,0))</f>
        <v/>
      </c>
      <c r="I1908" s="67">
        <f>INDEX(VarUnit,MATCH($A1908,VarKey,0))</f>
        <v/>
      </c>
      <c r="J1908" s="67">
        <f>INDEX(VarSrc,MATCH($A1908,VarKey,0))</f>
        <v/>
      </c>
      <c r="K1908" s="70">
        <f>CodePrefix&amp;$A1908&amp;IF($C1908="","","."&amp;$C1908&amp;"."&amp;$B1908)&amp;INDEX(VarEnd,MATCH($A1908,VarKey,0))&amp;K$5</f>
        <v/>
      </c>
      <c r="L1908" s="71">
        <f>SUMIF($C$674:$C$688,$C1908,L$674:L$688)</f>
        <v/>
      </c>
      <c r="M1908" s="72">
        <f>SUMIF($C$674:$C$688,$C1908,M$674:M$688)</f>
        <v/>
      </c>
      <c r="N1908" s="72">
        <f>SUMIF($C$674:$C$688,$C1908,N$674:N$688)</f>
        <v/>
      </c>
      <c r="O1908" s="72">
        <f>SUMIF($C$674:$C$688,$C1908,O$674:O$688)</f>
        <v/>
      </c>
      <c r="P1908" s="72">
        <f>SUMIF($C$674:$C$688,$C1908,P$674:P$688)</f>
        <v/>
      </c>
      <c r="Q1908" s="72">
        <f>SUMIF($C$674:$C$688,$C1908,Q$674:Q$688)</f>
        <v/>
      </c>
      <c r="R1908" s="72">
        <f>SUMIF($C$674:$C$688,$C1908,R$674:R$688)</f>
        <v/>
      </c>
      <c r="S1908" s="72">
        <f>SUMIF($C$674:$C$688,$C1908,S$674:S$688)</f>
        <v/>
      </c>
      <c r="T1908" s="72">
        <f>SUMIF($C$674:$C$688,$C1908,T$674:T$688)</f>
        <v/>
      </c>
      <c r="U1908" s="72">
        <f>SUMIF($C$674:$C$688,$C1908,U$674:U$688)</f>
        <v/>
      </c>
      <c r="V1908" s="72">
        <f>SUMIF($C$674:$C$688,$C1908,V$674:V$688)</f>
        <v/>
      </c>
      <c r="W1908" s="72">
        <f>SUMIF($C$674:$C$688,$C1908,W$674:W$688)</f>
        <v/>
      </c>
      <c r="X1908" s="72">
        <f>SUMIF($C$674:$C$688,$C1908,X$674:X$688)</f>
        <v/>
      </c>
      <c r="Y1908" s="72">
        <f>SUMIF($C$674:$C$688,$C1908,Y$674:Y$688)</f>
        <v/>
      </c>
      <c r="Z1908" s="72">
        <f>SUMIF($C$674:$C$688,$C1908,Z$674:Z$688)</f>
        <v/>
      </c>
      <c r="AA1908" s="72">
        <f>SUMIF($C$674:$C$688,$C1908,AA$674:AA$688)</f>
        <v/>
      </c>
      <c r="AB1908" s="72">
        <f>SUMIF($C$674:$C$688,$C1908,AB$674:AB$688)</f>
        <v/>
      </c>
      <c r="AC1908" s="72">
        <f>SUMIF($C$674:$C$688,$C1908,AC$674:AC$688)</f>
        <v/>
      </c>
      <c r="AD1908" s="72">
        <f>SUMIF($C$674:$C$688,$C1908,AD$674:AD$688)</f>
        <v/>
      </c>
      <c r="AE1908" s="72">
        <f>SUMIF($C$674:$C$688,$C1908,AE$674:AE$688)</f>
        <v/>
      </c>
      <c r="AG1908" s="70">
        <f>CodePrefix&amp;$A1908&amp;IF($C1908="","","."&amp;$C1908&amp;"."&amp;$B1908)&amp;INDEX(VarEnd,MATCH($A1908,VarKey,0))&amp;AG$5</f>
        <v/>
      </c>
      <c r="AH1908" s="71">
        <f>SUMIF($C$674:$C$688,$C1908,AH$674:AH$688)</f>
        <v/>
      </c>
      <c r="AI1908" s="72">
        <f>SUMIF($C$674:$C$688,$C1908,AI$674:AI$688)</f>
        <v/>
      </c>
      <c r="AJ1908" s="72">
        <f>SUMIF($C$674:$C$688,$C1908,AJ$674:AJ$688)</f>
        <v/>
      </c>
      <c r="AK1908" s="72">
        <f>SUMIF($C$674:$C$688,$C1908,AK$674:AK$688)</f>
        <v/>
      </c>
      <c r="AL1908" s="72">
        <f>SUMIF($C$674:$C$688,$C1908,AL$674:AL$688)</f>
        <v/>
      </c>
      <c r="AM1908" s="72">
        <f>SUMIF($C$674:$C$688,$C1908,AM$674:AM$688)</f>
        <v/>
      </c>
      <c r="AN1908" s="72">
        <f>SUMIF($C$674:$C$688,$C1908,AN$674:AN$688)</f>
        <v/>
      </c>
      <c r="AO1908" s="72">
        <f>SUMIF($C$674:$C$688,$C1908,AO$674:AO$688)</f>
        <v/>
      </c>
      <c r="AP1908" s="72">
        <f>SUMIF($C$674:$C$688,$C1908,AP$674:AP$688)</f>
        <v/>
      </c>
      <c r="AQ1908" s="72">
        <f>SUMIF($C$674:$C$688,$C1908,AQ$674:AQ$688)</f>
        <v/>
      </c>
      <c r="AR1908" s="72">
        <f>SUMIF($C$674:$C$688,$C1908,AR$674:AR$688)</f>
        <v/>
      </c>
      <c r="AS1908" s="72">
        <f>SUMIF($C$674:$C$688,$C1908,AS$674:AS$688)</f>
        <v/>
      </c>
      <c r="AT1908" s="72">
        <f>SUMIF($C$674:$C$688,$C1908,AT$674:AT$688)</f>
        <v/>
      </c>
      <c r="AU1908" s="72">
        <f>SUMIF($C$674:$C$688,$C1908,AU$674:AU$688)</f>
        <v/>
      </c>
      <c r="AV1908" s="72">
        <f>SUMIF($C$674:$C$688,$C1908,AV$674:AV$688)</f>
        <v/>
      </c>
      <c r="AW1908" s="72">
        <f>SUMIF($C$674:$C$688,$C1908,AW$674:AW$688)</f>
        <v/>
      </c>
      <c r="AX1908" s="72">
        <f>SUMIF($C$674:$C$688,$C1908,AX$674:AX$688)</f>
        <v/>
      </c>
      <c r="AY1908" s="72">
        <f>SUMIF($C$674:$C$688,$C1908,AY$674:AY$688)</f>
        <v/>
      </c>
      <c r="AZ1908" s="72">
        <f>SUMIF($C$674:$C$688,$C1908,AZ$674:AZ$688)</f>
        <v/>
      </c>
      <c r="BA1908" s="72">
        <f>SUMIF($C$674:$C$688,$C1908,BA$674:BA$688)</f>
        <v/>
      </c>
    </row>
    <row r="1909" hidden="1" outlineLevel="2">
      <c r="A1909" s="14" t="inlineStr">
        <is>
          <t>ctxnew</t>
        </is>
      </c>
      <c r="B1909" s="14" t="inlineStr">
        <is>
          <t>coa</t>
        </is>
      </c>
      <c r="C1909" s="14" t="inlineStr">
        <is>
          <t>mch</t>
        </is>
      </c>
      <c r="D1909" s="35">
        <f>INDEX(Inputs!$W$5:$W$132,MATCH($B1909&amp;"|"&amp;$C1909,Inputs!$A$5:$A$132,0))</f>
        <v/>
      </c>
      <c r="E1909" s="35">
        <f>INDEX(Inputs!$L$5:$L$132,MATCH($B1909&amp;"|"&amp;$C1909,Inputs!$A$5:$A$132,0))</f>
        <v/>
      </c>
      <c r="F1909" s="35">
        <f>INDEX(Inputs!$M$5:$M$132,MATCH($B1909&amp;"|"&amp;$C1909,Inputs!$A$5:$A$132,0))</f>
        <v/>
      </c>
      <c r="G1909" s="39" t="n"/>
      <c r="H1909" s="14">
        <f>INDEX(VarLab,MATCH($A1909,VarKey,0))&amp;INDEX(MemLab,MATCH($C1909&amp;"|"&amp;$B1909,MemKey,0))</f>
        <v/>
      </c>
      <c r="I1909" s="14">
        <f>INDEX(VarUnit,MATCH($A1909,VarKey,0))</f>
        <v/>
      </c>
      <c r="J1909" s="14">
        <f>INDEX(VarSrc,MATCH($A1909,VarKey,0))</f>
        <v/>
      </c>
      <c r="K1909" s="11">
        <f>CodePrefix&amp;$A1909&amp;IF($C1909="","","."&amp;$C1909&amp;"."&amp;$B1909)&amp;INDEX(VarEnd,MATCH($A1909,VarKey,0))&amp;K$5</f>
        <v/>
      </c>
      <c r="L1909" s="40">
        <f>INDEX(L$263:L$279,$F1909)*$D1909*INDEX(L$23:L$30,$E1909)</f>
        <v/>
      </c>
      <c r="M1909" s="35">
        <f>INDEX(M$263:M$279,$F1909)*$D1909*INDEX(M$23:M$30,$E1909)</f>
        <v/>
      </c>
      <c r="N1909" s="35">
        <f>INDEX(N$263:N$279,$F1909)*$D1909*INDEX(N$23:N$30,$E1909)</f>
        <v/>
      </c>
      <c r="O1909" s="35">
        <f>INDEX(O$263:O$279,$F1909)*$D1909*INDEX(O$23:O$30,$E1909)</f>
        <v/>
      </c>
      <c r="P1909" s="35">
        <f>INDEX(P$263:P$279,$F1909)*$D1909*INDEX(P$23:P$30,$E1909)</f>
        <v/>
      </c>
      <c r="Q1909" s="35">
        <f>INDEX(Q$263:Q$279,$F1909)*$D1909*INDEX(Q$23:Q$30,$E1909)</f>
        <v/>
      </c>
      <c r="R1909" s="35">
        <f>INDEX(R$263:R$279,$F1909)*$D1909*INDEX(R$23:R$30,$E1909)</f>
        <v/>
      </c>
      <c r="S1909" s="35">
        <f>INDEX(S$263:S$279,$F1909)*$D1909*INDEX(S$23:S$30,$E1909)</f>
        <v/>
      </c>
      <c r="T1909" s="35">
        <f>INDEX(T$263:T$279,$F1909)*$D1909*INDEX(T$23:T$30,$E1909)</f>
        <v/>
      </c>
      <c r="U1909" s="35">
        <f>INDEX(U$263:U$279,$F1909)*$D1909*INDEX(U$23:U$30,$E1909)</f>
        <v/>
      </c>
      <c r="V1909" s="35">
        <f>INDEX(V$263:V$279,$F1909)*$D1909*INDEX(V$23:V$30,$E1909)</f>
        <v/>
      </c>
      <c r="W1909" s="35">
        <f>INDEX(W$263:W$279,$F1909)*$D1909*INDEX(W$23:W$30,$E1909)</f>
        <v/>
      </c>
      <c r="X1909" s="35">
        <f>INDEX(X$263:X$279,$F1909)*$D1909*INDEX(X$23:X$30,$E1909)</f>
        <v/>
      </c>
      <c r="Y1909" s="35">
        <f>INDEX(Y$263:Y$279,$F1909)*$D1909*INDEX(Y$23:Y$30,$E1909)</f>
        <v/>
      </c>
      <c r="Z1909" s="35">
        <f>INDEX(Z$263:Z$279,$F1909)*$D1909*INDEX(Z$23:Z$30,$E1909)</f>
        <v/>
      </c>
      <c r="AA1909" s="35">
        <f>INDEX(AA$263:AA$279,$F1909)*$D1909*INDEX(AA$23:AA$30,$E1909)</f>
        <v/>
      </c>
      <c r="AB1909" s="35">
        <f>INDEX(AB$263:AB$279,$F1909)*$D1909*INDEX(AB$23:AB$30,$E1909)</f>
        <v/>
      </c>
      <c r="AC1909" s="35">
        <f>INDEX(AC$263:AC$279,$F1909)*$D1909*INDEX(AC$23:AC$30,$E1909)</f>
        <v/>
      </c>
      <c r="AD1909" s="35">
        <f>INDEX(AD$263:AD$279,$F1909)*$D1909*INDEX(AD$23:AD$30,$E1909)</f>
        <v/>
      </c>
      <c r="AE1909" s="42">
        <f>CARBONTAX(INDEX(AE$263:AE$279,$F1909),$D1909,INDEX(AE$23:AE$30,$E1909))</f>
        <v/>
      </c>
      <c r="AG1909" s="11">
        <f>CodePrefix&amp;$A1909&amp;IF($C1909="","","."&amp;$C1909&amp;"."&amp;$B1909)&amp;INDEX(VarEnd,MATCH($A1909,VarKey,0))&amp;AG$5</f>
        <v/>
      </c>
      <c r="AH1909" s="40">
        <f>INDEX(AH$263:AH$279,$F1909)*$D1909*INDEX(AH$23:AH$30,$E1909)</f>
        <v/>
      </c>
      <c r="AI1909" s="35">
        <f>INDEX(AI$263:AI$279,$F1909)*$D1909*INDEX(AI$23:AI$30,$E1909)</f>
        <v/>
      </c>
      <c r="AJ1909" s="35">
        <f>INDEX(AJ$263:AJ$279,$F1909)*$D1909*INDEX(AJ$23:AJ$30,$E1909)</f>
        <v/>
      </c>
      <c r="AK1909" s="35">
        <f>INDEX(AK$263:AK$279,$F1909)*$D1909*INDEX(AK$23:AK$30,$E1909)</f>
        <v/>
      </c>
      <c r="AL1909" s="35">
        <f>INDEX(AL$263:AL$279,$F1909)*$D1909*INDEX(AL$23:AL$30,$E1909)</f>
        <v/>
      </c>
      <c r="AM1909" s="35">
        <f>INDEX(AM$263:AM$279,$F1909)*$D1909*INDEX(AM$23:AM$30,$E1909)</f>
        <v/>
      </c>
      <c r="AN1909" s="35">
        <f>INDEX(AN$263:AN$279,$F1909)*$D1909*INDEX(AN$23:AN$30,$E1909)</f>
        <v/>
      </c>
      <c r="AO1909" s="35">
        <f>INDEX(AO$263:AO$279,$F1909)*$D1909*INDEX(AO$23:AO$30,$E1909)</f>
        <v/>
      </c>
      <c r="AP1909" s="35">
        <f>INDEX(AP$263:AP$279,$F1909)*$D1909*INDEX(AP$23:AP$30,$E1909)</f>
        <v/>
      </c>
      <c r="AQ1909" s="35">
        <f>INDEX(AQ$263:AQ$279,$F1909)*$D1909*INDEX(AQ$23:AQ$30,$E1909)</f>
        <v/>
      </c>
      <c r="AR1909" s="35">
        <f>INDEX(AR$263:AR$279,$F1909)*$D1909*INDEX(AR$23:AR$30,$E1909)</f>
        <v/>
      </c>
      <c r="AS1909" s="35">
        <f>INDEX(AS$263:AS$279,$F1909)*$D1909*INDEX(AS$23:AS$30,$E1909)</f>
        <v/>
      </c>
      <c r="AT1909" s="35">
        <f>INDEX(AT$263:AT$279,$F1909)*$D1909*INDEX(AT$23:AT$30,$E1909)</f>
        <v/>
      </c>
      <c r="AU1909" s="35">
        <f>INDEX(AU$263:AU$279,$F1909)*$D1909*INDEX(AU$23:AU$30,$E1909)</f>
        <v/>
      </c>
      <c r="AV1909" s="35">
        <f>INDEX(AV$263:AV$279,$F1909)*$D1909*INDEX(AV$23:AV$30,$E1909)</f>
        <v/>
      </c>
      <c r="AW1909" s="35">
        <f>INDEX(AW$263:AW$279,$F1909)*$D1909*INDEX(AW$23:AW$30,$E1909)</f>
        <v/>
      </c>
      <c r="AX1909" s="35">
        <f>INDEX(AX$263:AX$279,$F1909)*$D1909*INDEX(AX$23:AX$30,$E1909)</f>
        <v/>
      </c>
      <c r="AY1909" s="35">
        <f>INDEX(AY$263:AY$279,$F1909)*$D1909*INDEX(AY$23:AY$30,$E1909)</f>
        <v/>
      </c>
      <c r="AZ1909" s="35">
        <f>INDEX(AZ$263:AZ$279,$F1909)*$D1909*INDEX(AZ$23:AZ$30,$E1909)</f>
        <v/>
      </c>
      <c r="BA1909" s="42">
        <f>CARBONTAX(INDEX(BA$263:BA$279,$F1909),$D1909,INDEX(BA$23:BA$30,$E1909))</f>
        <v/>
      </c>
    </row>
    <row r="1910" hidden="1" outlineLevel="2">
      <c r="A1910" s="14" t="inlineStr">
        <is>
          <t>ctxnew</t>
        </is>
      </c>
      <c r="B1910" s="14" t="inlineStr">
        <is>
          <t>nga</t>
        </is>
      </c>
      <c r="C1910" s="14" t="inlineStr">
        <is>
          <t>mch</t>
        </is>
      </c>
      <c r="D1910" s="35">
        <f>INDEX(Inputs!$W$5:$W$132,MATCH($B1910&amp;"|"&amp;$C1910,Inputs!$A$5:$A$132,0))</f>
        <v/>
      </c>
      <c r="E1910" s="35">
        <f>INDEX(Inputs!$L$5:$L$132,MATCH($B1910&amp;"|"&amp;$C1910,Inputs!$A$5:$A$132,0))</f>
        <v/>
      </c>
      <c r="F1910" s="35">
        <f>INDEX(Inputs!$M$5:$M$132,MATCH($B1910&amp;"|"&amp;$C1910,Inputs!$A$5:$A$132,0))</f>
        <v/>
      </c>
      <c r="G1910" s="39" t="n"/>
      <c r="H1910" s="14">
        <f>INDEX(VarLab,MATCH($A1910,VarKey,0))&amp;INDEX(MemLab,MATCH($C1910&amp;"|"&amp;$B1910,MemKey,0))</f>
        <v/>
      </c>
      <c r="I1910" s="14">
        <f>INDEX(VarUnit,MATCH($A1910,VarKey,0))</f>
        <v/>
      </c>
      <c r="J1910" s="14">
        <f>INDEX(VarSrc,MATCH($A1910,VarKey,0))</f>
        <v/>
      </c>
      <c r="K1910" s="11">
        <f>CodePrefix&amp;$A1910&amp;IF($C1910="","","."&amp;$C1910&amp;"."&amp;$B1910)&amp;INDEX(VarEnd,MATCH($A1910,VarKey,0))&amp;K$5</f>
        <v/>
      </c>
      <c r="L1910" s="40">
        <f>INDEX(L$263:L$279,$F1910)*$D1910*INDEX(L$23:L$30,$E1910)</f>
        <v/>
      </c>
      <c r="M1910" s="35">
        <f>INDEX(M$263:M$279,$F1910)*$D1910*INDEX(M$23:M$30,$E1910)</f>
        <v/>
      </c>
      <c r="N1910" s="35">
        <f>INDEX(N$263:N$279,$F1910)*$D1910*INDEX(N$23:N$30,$E1910)</f>
        <v/>
      </c>
      <c r="O1910" s="35">
        <f>INDEX(O$263:O$279,$F1910)*$D1910*INDEX(O$23:O$30,$E1910)</f>
        <v/>
      </c>
      <c r="P1910" s="35">
        <f>INDEX(P$263:P$279,$F1910)*$D1910*INDEX(P$23:P$30,$E1910)</f>
        <v/>
      </c>
      <c r="Q1910" s="35">
        <f>INDEX(Q$263:Q$279,$F1910)*$D1910*INDEX(Q$23:Q$30,$E1910)</f>
        <v/>
      </c>
      <c r="R1910" s="35">
        <f>INDEX(R$263:R$279,$F1910)*$D1910*INDEX(R$23:R$30,$E1910)</f>
        <v/>
      </c>
      <c r="S1910" s="35">
        <f>INDEX(S$263:S$279,$F1910)*$D1910*INDEX(S$23:S$30,$E1910)</f>
        <v/>
      </c>
      <c r="T1910" s="35">
        <f>INDEX(T$263:T$279,$F1910)*$D1910*INDEX(T$23:T$30,$E1910)</f>
        <v/>
      </c>
      <c r="U1910" s="35">
        <f>INDEX(U$263:U$279,$F1910)*$D1910*INDEX(U$23:U$30,$E1910)</f>
        <v/>
      </c>
      <c r="V1910" s="35">
        <f>INDEX(V$263:V$279,$F1910)*$D1910*INDEX(V$23:V$30,$E1910)</f>
        <v/>
      </c>
      <c r="W1910" s="35">
        <f>INDEX(W$263:W$279,$F1910)*$D1910*INDEX(W$23:W$30,$E1910)</f>
        <v/>
      </c>
      <c r="X1910" s="35">
        <f>INDEX(X$263:X$279,$F1910)*$D1910*INDEX(X$23:X$30,$E1910)</f>
        <v/>
      </c>
      <c r="Y1910" s="35">
        <f>INDEX(Y$263:Y$279,$F1910)*$D1910*INDEX(Y$23:Y$30,$E1910)</f>
        <v/>
      </c>
      <c r="Z1910" s="35">
        <f>INDEX(Z$263:Z$279,$F1910)*$D1910*INDEX(Z$23:Z$30,$E1910)</f>
        <v/>
      </c>
      <c r="AA1910" s="35">
        <f>INDEX(AA$263:AA$279,$F1910)*$D1910*INDEX(AA$23:AA$30,$E1910)</f>
        <v/>
      </c>
      <c r="AB1910" s="35">
        <f>INDEX(AB$263:AB$279,$F1910)*$D1910*INDEX(AB$23:AB$30,$E1910)</f>
        <v/>
      </c>
      <c r="AC1910" s="35">
        <f>INDEX(AC$263:AC$279,$F1910)*$D1910*INDEX(AC$23:AC$30,$E1910)</f>
        <v/>
      </c>
      <c r="AD1910" s="35">
        <f>INDEX(AD$263:AD$279,$F1910)*$D1910*INDEX(AD$23:AD$30,$E1910)</f>
        <v/>
      </c>
      <c r="AE1910" s="42">
        <f>CARBONTAX(INDEX(AE$263:AE$279,$F1910),$D1910,INDEX(AE$23:AE$30,$E1910))</f>
        <v/>
      </c>
      <c r="AG1910" s="11">
        <f>CodePrefix&amp;$A1910&amp;IF($C1910="","","."&amp;$C1910&amp;"."&amp;$B1910)&amp;INDEX(VarEnd,MATCH($A1910,VarKey,0))&amp;AG$5</f>
        <v/>
      </c>
      <c r="AH1910" s="40">
        <f>INDEX(AH$263:AH$279,$F1910)*$D1910*INDEX(AH$23:AH$30,$E1910)</f>
        <v/>
      </c>
      <c r="AI1910" s="35">
        <f>INDEX(AI$263:AI$279,$F1910)*$D1910*INDEX(AI$23:AI$30,$E1910)</f>
        <v/>
      </c>
      <c r="AJ1910" s="35">
        <f>INDEX(AJ$263:AJ$279,$F1910)*$D1910*INDEX(AJ$23:AJ$30,$E1910)</f>
        <v/>
      </c>
      <c r="AK1910" s="35">
        <f>INDEX(AK$263:AK$279,$F1910)*$D1910*INDEX(AK$23:AK$30,$E1910)</f>
        <v/>
      </c>
      <c r="AL1910" s="35">
        <f>INDEX(AL$263:AL$279,$F1910)*$D1910*INDEX(AL$23:AL$30,$E1910)</f>
        <v/>
      </c>
      <c r="AM1910" s="35">
        <f>INDEX(AM$263:AM$279,$F1910)*$D1910*INDEX(AM$23:AM$30,$E1910)</f>
        <v/>
      </c>
      <c r="AN1910" s="35">
        <f>INDEX(AN$263:AN$279,$F1910)*$D1910*INDEX(AN$23:AN$30,$E1910)</f>
        <v/>
      </c>
      <c r="AO1910" s="35">
        <f>INDEX(AO$263:AO$279,$F1910)*$D1910*INDEX(AO$23:AO$30,$E1910)</f>
        <v/>
      </c>
      <c r="AP1910" s="35">
        <f>INDEX(AP$263:AP$279,$F1910)*$D1910*INDEX(AP$23:AP$30,$E1910)</f>
        <v/>
      </c>
      <c r="AQ1910" s="35">
        <f>INDEX(AQ$263:AQ$279,$F1910)*$D1910*INDEX(AQ$23:AQ$30,$E1910)</f>
        <v/>
      </c>
      <c r="AR1910" s="35">
        <f>INDEX(AR$263:AR$279,$F1910)*$D1910*INDEX(AR$23:AR$30,$E1910)</f>
        <v/>
      </c>
      <c r="AS1910" s="35">
        <f>INDEX(AS$263:AS$279,$F1910)*$D1910*INDEX(AS$23:AS$30,$E1910)</f>
        <v/>
      </c>
      <c r="AT1910" s="35">
        <f>INDEX(AT$263:AT$279,$F1910)*$D1910*INDEX(AT$23:AT$30,$E1910)</f>
        <v/>
      </c>
      <c r="AU1910" s="35">
        <f>INDEX(AU$263:AU$279,$F1910)*$D1910*INDEX(AU$23:AU$30,$E1910)</f>
        <v/>
      </c>
      <c r="AV1910" s="35">
        <f>INDEX(AV$263:AV$279,$F1910)*$D1910*INDEX(AV$23:AV$30,$E1910)</f>
        <v/>
      </c>
      <c r="AW1910" s="35">
        <f>INDEX(AW$263:AW$279,$F1910)*$D1910*INDEX(AW$23:AW$30,$E1910)</f>
        <v/>
      </c>
      <c r="AX1910" s="35">
        <f>INDEX(AX$263:AX$279,$F1910)*$D1910*INDEX(AX$23:AX$30,$E1910)</f>
        <v/>
      </c>
      <c r="AY1910" s="35">
        <f>INDEX(AY$263:AY$279,$F1910)*$D1910*INDEX(AY$23:AY$30,$E1910)</f>
        <v/>
      </c>
      <c r="AZ1910" s="35">
        <f>INDEX(AZ$263:AZ$279,$F1910)*$D1910*INDEX(AZ$23:AZ$30,$E1910)</f>
        <v/>
      </c>
      <c r="BA1910" s="42">
        <f>CARBONTAX(INDEX(BA$263:BA$279,$F1910),$D1910,INDEX(BA$23:BA$30,$E1910))</f>
        <v/>
      </c>
    </row>
    <row r="1911" hidden="1" outlineLevel="2">
      <c r="A1911" s="14" t="inlineStr">
        <is>
          <t>ctxnew</t>
        </is>
      </c>
      <c r="B1911" s="14" t="inlineStr">
        <is>
          <t>gso</t>
        </is>
      </c>
      <c r="C1911" s="14" t="inlineStr">
        <is>
          <t>mch</t>
        </is>
      </c>
      <c r="D1911" s="35">
        <f>INDEX(Inputs!$W$5:$W$132,MATCH($B1911&amp;"|"&amp;$C1911,Inputs!$A$5:$A$132,0))</f>
        <v/>
      </c>
      <c r="E1911" s="35">
        <f>INDEX(Inputs!$L$5:$L$132,MATCH($B1911&amp;"|"&amp;$C1911,Inputs!$A$5:$A$132,0))</f>
        <v/>
      </c>
      <c r="F1911" s="35">
        <f>INDEX(Inputs!$M$5:$M$132,MATCH($B1911&amp;"|"&amp;$C1911,Inputs!$A$5:$A$132,0))</f>
        <v/>
      </c>
      <c r="G1911" s="39" t="n"/>
      <c r="H1911" s="14">
        <f>INDEX(VarLab,MATCH($A1911,VarKey,0))&amp;INDEX(MemLab,MATCH($C1911&amp;"|"&amp;$B1911,MemKey,0))</f>
        <v/>
      </c>
      <c r="I1911" s="14">
        <f>INDEX(VarUnit,MATCH($A1911,VarKey,0))</f>
        <v/>
      </c>
      <c r="J1911" s="14">
        <f>INDEX(VarSrc,MATCH($A1911,VarKey,0))</f>
        <v/>
      </c>
      <c r="K1911" s="11">
        <f>CodePrefix&amp;$A1911&amp;IF($C1911="","","."&amp;$C1911&amp;"."&amp;$B1911)&amp;INDEX(VarEnd,MATCH($A1911,VarKey,0))&amp;K$5</f>
        <v/>
      </c>
      <c r="L1911" s="40">
        <f>INDEX(L$263:L$279,$F1911)*$D1911*INDEX(L$23:L$30,$E1911)</f>
        <v/>
      </c>
      <c r="M1911" s="35">
        <f>INDEX(M$263:M$279,$F1911)*$D1911*INDEX(M$23:M$30,$E1911)</f>
        <v/>
      </c>
      <c r="N1911" s="35">
        <f>INDEX(N$263:N$279,$F1911)*$D1911*INDEX(N$23:N$30,$E1911)</f>
        <v/>
      </c>
      <c r="O1911" s="35">
        <f>INDEX(O$263:O$279,$F1911)*$D1911*INDEX(O$23:O$30,$E1911)</f>
        <v/>
      </c>
      <c r="P1911" s="35">
        <f>INDEX(P$263:P$279,$F1911)*$D1911*INDEX(P$23:P$30,$E1911)</f>
        <v/>
      </c>
      <c r="Q1911" s="35">
        <f>INDEX(Q$263:Q$279,$F1911)*$D1911*INDEX(Q$23:Q$30,$E1911)</f>
        <v/>
      </c>
      <c r="R1911" s="35">
        <f>INDEX(R$263:R$279,$F1911)*$D1911*INDEX(R$23:R$30,$E1911)</f>
        <v/>
      </c>
      <c r="S1911" s="35">
        <f>INDEX(S$263:S$279,$F1911)*$D1911*INDEX(S$23:S$30,$E1911)</f>
        <v/>
      </c>
      <c r="T1911" s="35">
        <f>INDEX(T$263:T$279,$F1911)*$D1911*INDEX(T$23:T$30,$E1911)</f>
        <v/>
      </c>
      <c r="U1911" s="35">
        <f>INDEX(U$263:U$279,$F1911)*$D1911*INDEX(U$23:U$30,$E1911)</f>
        <v/>
      </c>
      <c r="V1911" s="35">
        <f>INDEX(V$263:V$279,$F1911)*$D1911*INDEX(V$23:V$30,$E1911)</f>
        <v/>
      </c>
      <c r="W1911" s="35">
        <f>INDEX(W$263:W$279,$F1911)*$D1911*INDEX(W$23:W$30,$E1911)</f>
        <v/>
      </c>
      <c r="X1911" s="35">
        <f>INDEX(X$263:X$279,$F1911)*$D1911*INDEX(X$23:X$30,$E1911)</f>
        <v/>
      </c>
      <c r="Y1911" s="35">
        <f>INDEX(Y$263:Y$279,$F1911)*$D1911*INDEX(Y$23:Y$30,$E1911)</f>
        <v/>
      </c>
      <c r="Z1911" s="35">
        <f>INDEX(Z$263:Z$279,$F1911)*$D1911*INDEX(Z$23:Z$30,$E1911)</f>
        <v/>
      </c>
      <c r="AA1911" s="35">
        <f>INDEX(AA$263:AA$279,$F1911)*$D1911*INDEX(AA$23:AA$30,$E1911)</f>
        <v/>
      </c>
      <c r="AB1911" s="35">
        <f>INDEX(AB$263:AB$279,$F1911)*$D1911*INDEX(AB$23:AB$30,$E1911)</f>
        <v/>
      </c>
      <c r="AC1911" s="35">
        <f>INDEX(AC$263:AC$279,$F1911)*$D1911*INDEX(AC$23:AC$30,$E1911)</f>
        <v/>
      </c>
      <c r="AD1911" s="35">
        <f>INDEX(AD$263:AD$279,$F1911)*$D1911*INDEX(AD$23:AD$30,$E1911)</f>
        <v/>
      </c>
      <c r="AE1911" s="42">
        <f>CARBONTAX(INDEX(AE$263:AE$279,$F1911),$D1911,INDEX(AE$23:AE$30,$E1911))</f>
        <v/>
      </c>
      <c r="AG1911" s="11">
        <f>CodePrefix&amp;$A1911&amp;IF($C1911="","","."&amp;$C1911&amp;"."&amp;$B1911)&amp;INDEX(VarEnd,MATCH($A1911,VarKey,0))&amp;AG$5</f>
        <v/>
      </c>
      <c r="AH1911" s="40">
        <f>INDEX(AH$263:AH$279,$F1911)*$D1911*INDEX(AH$23:AH$30,$E1911)</f>
        <v/>
      </c>
      <c r="AI1911" s="35">
        <f>INDEX(AI$263:AI$279,$F1911)*$D1911*INDEX(AI$23:AI$30,$E1911)</f>
        <v/>
      </c>
      <c r="AJ1911" s="35">
        <f>INDEX(AJ$263:AJ$279,$F1911)*$D1911*INDEX(AJ$23:AJ$30,$E1911)</f>
        <v/>
      </c>
      <c r="AK1911" s="35">
        <f>INDEX(AK$263:AK$279,$F1911)*$D1911*INDEX(AK$23:AK$30,$E1911)</f>
        <v/>
      </c>
      <c r="AL1911" s="35">
        <f>INDEX(AL$263:AL$279,$F1911)*$D1911*INDEX(AL$23:AL$30,$E1911)</f>
        <v/>
      </c>
      <c r="AM1911" s="35">
        <f>INDEX(AM$263:AM$279,$F1911)*$D1911*INDEX(AM$23:AM$30,$E1911)</f>
        <v/>
      </c>
      <c r="AN1911" s="35">
        <f>INDEX(AN$263:AN$279,$F1911)*$D1911*INDEX(AN$23:AN$30,$E1911)</f>
        <v/>
      </c>
      <c r="AO1911" s="35">
        <f>INDEX(AO$263:AO$279,$F1911)*$D1911*INDEX(AO$23:AO$30,$E1911)</f>
        <v/>
      </c>
      <c r="AP1911" s="35">
        <f>INDEX(AP$263:AP$279,$F1911)*$D1911*INDEX(AP$23:AP$30,$E1911)</f>
        <v/>
      </c>
      <c r="AQ1911" s="35">
        <f>INDEX(AQ$263:AQ$279,$F1911)*$D1911*INDEX(AQ$23:AQ$30,$E1911)</f>
        <v/>
      </c>
      <c r="AR1911" s="35">
        <f>INDEX(AR$263:AR$279,$F1911)*$D1911*INDEX(AR$23:AR$30,$E1911)</f>
        <v/>
      </c>
      <c r="AS1911" s="35">
        <f>INDEX(AS$263:AS$279,$F1911)*$D1911*INDEX(AS$23:AS$30,$E1911)</f>
        <v/>
      </c>
      <c r="AT1911" s="35">
        <f>INDEX(AT$263:AT$279,$F1911)*$D1911*INDEX(AT$23:AT$30,$E1911)</f>
        <v/>
      </c>
      <c r="AU1911" s="35">
        <f>INDEX(AU$263:AU$279,$F1911)*$D1911*INDEX(AU$23:AU$30,$E1911)</f>
        <v/>
      </c>
      <c r="AV1911" s="35">
        <f>INDEX(AV$263:AV$279,$F1911)*$D1911*INDEX(AV$23:AV$30,$E1911)</f>
        <v/>
      </c>
      <c r="AW1911" s="35">
        <f>INDEX(AW$263:AW$279,$F1911)*$D1911*INDEX(AW$23:AW$30,$E1911)</f>
        <v/>
      </c>
      <c r="AX1911" s="35">
        <f>INDEX(AX$263:AX$279,$F1911)*$D1911*INDEX(AX$23:AX$30,$E1911)</f>
        <v/>
      </c>
      <c r="AY1911" s="35">
        <f>INDEX(AY$263:AY$279,$F1911)*$D1911*INDEX(AY$23:AY$30,$E1911)</f>
        <v/>
      </c>
      <c r="AZ1911" s="35">
        <f>INDEX(AZ$263:AZ$279,$F1911)*$D1911*INDEX(AZ$23:AZ$30,$E1911)</f>
        <v/>
      </c>
      <c r="BA1911" s="42">
        <f>CARBONTAX(INDEX(BA$263:BA$279,$F1911),$D1911,INDEX(BA$23:BA$30,$E1911))</f>
        <v/>
      </c>
    </row>
    <row r="1912" hidden="1" outlineLevel="2">
      <c r="A1912" s="14" t="inlineStr">
        <is>
          <t>ctxnew</t>
        </is>
      </c>
      <c r="B1912" s="14" t="inlineStr">
        <is>
          <t>die</t>
        </is>
      </c>
      <c r="C1912" s="14" t="inlineStr">
        <is>
          <t>mch</t>
        </is>
      </c>
      <c r="D1912" s="35">
        <f>INDEX(Inputs!$W$5:$W$132,MATCH($B1912&amp;"|"&amp;$C1912,Inputs!$A$5:$A$132,0))</f>
        <v/>
      </c>
      <c r="E1912" s="35">
        <f>INDEX(Inputs!$L$5:$L$132,MATCH($B1912&amp;"|"&amp;$C1912,Inputs!$A$5:$A$132,0))</f>
        <v/>
      </c>
      <c r="F1912" s="35">
        <f>INDEX(Inputs!$M$5:$M$132,MATCH($B1912&amp;"|"&amp;$C1912,Inputs!$A$5:$A$132,0))</f>
        <v/>
      </c>
      <c r="G1912" s="39" t="n"/>
      <c r="H1912" s="14">
        <f>INDEX(VarLab,MATCH($A1912,VarKey,0))&amp;INDEX(MemLab,MATCH($C1912&amp;"|"&amp;$B1912,MemKey,0))</f>
        <v/>
      </c>
      <c r="I1912" s="14">
        <f>INDEX(VarUnit,MATCH($A1912,VarKey,0))</f>
        <v/>
      </c>
      <c r="J1912" s="14">
        <f>INDEX(VarSrc,MATCH($A1912,VarKey,0))</f>
        <v/>
      </c>
      <c r="K1912" s="11">
        <f>CodePrefix&amp;$A1912&amp;IF($C1912="","","."&amp;$C1912&amp;"."&amp;$B1912)&amp;INDEX(VarEnd,MATCH($A1912,VarKey,0))&amp;K$5</f>
        <v/>
      </c>
      <c r="L1912" s="40">
        <f>INDEX(L$263:L$279,$F1912)*$D1912*INDEX(L$23:L$30,$E1912)</f>
        <v/>
      </c>
      <c r="M1912" s="35">
        <f>INDEX(M$263:M$279,$F1912)*$D1912*INDEX(M$23:M$30,$E1912)</f>
        <v/>
      </c>
      <c r="N1912" s="35">
        <f>INDEX(N$263:N$279,$F1912)*$D1912*INDEX(N$23:N$30,$E1912)</f>
        <v/>
      </c>
      <c r="O1912" s="35">
        <f>INDEX(O$263:O$279,$F1912)*$D1912*INDEX(O$23:O$30,$E1912)</f>
        <v/>
      </c>
      <c r="P1912" s="35">
        <f>INDEX(P$263:P$279,$F1912)*$D1912*INDEX(P$23:P$30,$E1912)</f>
        <v/>
      </c>
      <c r="Q1912" s="35">
        <f>INDEX(Q$263:Q$279,$F1912)*$D1912*INDEX(Q$23:Q$30,$E1912)</f>
        <v/>
      </c>
      <c r="R1912" s="35">
        <f>INDEX(R$263:R$279,$F1912)*$D1912*INDEX(R$23:R$30,$E1912)</f>
        <v/>
      </c>
      <c r="S1912" s="35">
        <f>INDEX(S$263:S$279,$F1912)*$D1912*INDEX(S$23:S$30,$E1912)</f>
        <v/>
      </c>
      <c r="T1912" s="35">
        <f>INDEX(T$263:T$279,$F1912)*$D1912*INDEX(T$23:T$30,$E1912)</f>
        <v/>
      </c>
      <c r="U1912" s="35">
        <f>INDEX(U$263:U$279,$F1912)*$D1912*INDEX(U$23:U$30,$E1912)</f>
        <v/>
      </c>
      <c r="V1912" s="35">
        <f>INDEX(V$263:V$279,$F1912)*$D1912*INDEX(V$23:V$30,$E1912)</f>
        <v/>
      </c>
      <c r="W1912" s="35">
        <f>INDEX(W$263:W$279,$F1912)*$D1912*INDEX(W$23:W$30,$E1912)</f>
        <v/>
      </c>
      <c r="X1912" s="35">
        <f>INDEX(X$263:X$279,$F1912)*$D1912*INDEX(X$23:X$30,$E1912)</f>
        <v/>
      </c>
      <c r="Y1912" s="35">
        <f>INDEX(Y$263:Y$279,$F1912)*$D1912*INDEX(Y$23:Y$30,$E1912)</f>
        <v/>
      </c>
      <c r="Z1912" s="35">
        <f>INDEX(Z$263:Z$279,$F1912)*$D1912*INDEX(Z$23:Z$30,$E1912)</f>
        <v/>
      </c>
      <c r="AA1912" s="35">
        <f>INDEX(AA$263:AA$279,$F1912)*$D1912*INDEX(AA$23:AA$30,$E1912)</f>
        <v/>
      </c>
      <c r="AB1912" s="35">
        <f>INDEX(AB$263:AB$279,$F1912)*$D1912*INDEX(AB$23:AB$30,$E1912)</f>
        <v/>
      </c>
      <c r="AC1912" s="35">
        <f>INDEX(AC$263:AC$279,$F1912)*$D1912*INDEX(AC$23:AC$30,$E1912)</f>
        <v/>
      </c>
      <c r="AD1912" s="35">
        <f>INDEX(AD$263:AD$279,$F1912)*$D1912*INDEX(AD$23:AD$30,$E1912)</f>
        <v/>
      </c>
      <c r="AE1912" s="42">
        <f>CARBONTAX(INDEX(AE$263:AE$279,$F1912),$D1912,INDEX(AE$23:AE$30,$E1912))</f>
        <v/>
      </c>
      <c r="AG1912" s="11">
        <f>CodePrefix&amp;$A1912&amp;IF($C1912="","","."&amp;$C1912&amp;"."&amp;$B1912)&amp;INDEX(VarEnd,MATCH($A1912,VarKey,0))&amp;AG$5</f>
        <v/>
      </c>
      <c r="AH1912" s="40">
        <f>INDEX(AH$263:AH$279,$F1912)*$D1912*INDEX(AH$23:AH$30,$E1912)</f>
        <v/>
      </c>
      <c r="AI1912" s="35">
        <f>INDEX(AI$263:AI$279,$F1912)*$D1912*INDEX(AI$23:AI$30,$E1912)</f>
        <v/>
      </c>
      <c r="AJ1912" s="35">
        <f>INDEX(AJ$263:AJ$279,$F1912)*$D1912*INDEX(AJ$23:AJ$30,$E1912)</f>
        <v/>
      </c>
      <c r="AK1912" s="35">
        <f>INDEX(AK$263:AK$279,$F1912)*$D1912*INDEX(AK$23:AK$30,$E1912)</f>
        <v/>
      </c>
      <c r="AL1912" s="35">
        <f>INDEX(AL$263:AL$279,$F1912)*$D1912*INDEX(AL$23:AL$30,$E1912)</f>
        <v/>
      </c>
      <c r="AM1912" s="35">
        <f>INDEX(AM$263:AM$279,$F1912)*$D1912*INDEX(AM$23:AM$30,$E1912)</f>
        <v/>
      </c>
      <c r="AN1912" s="35">
        <f>INDEX(AN$263:AN$279,$F1912)*$D1912*INDEX(AN$23:AN$30,$E1912)</f>
        <v/>
      </c>
      <c r="AO1912" s="35">
        <f>INDEX(AO$263:AO$279,$F1912)*$D1912*INDEX(AO$23:AO$30,$E1912)</f>
        <v/>
      </c>
      <c r="AP1912" s="35">
        <f>INDEX(AP$263:AP$279,$F1912)*$D1912*INDEX(AP$23:AP$30,$E1912)</f>
        <v/>
      </c>
      <c r="AQ1912" s="35">
        <f>INDEX(AQ$263:AQ$279,$F1912)*$D1912*INDEX(AQ$23:AQ$30,$E1912)</f>
        <v/>
      </c>
      <c r="AR1912" s="35">
        <f>INDEX(AR$263:AR$279,$F1912)*$D1912*INDEX(AR$23:AR$30,$E1912)</f>
        <v/>
      </c>
      <c r="AS1912" s="35">
        <f>INDEX(AS$263:AS$279,$F1912)*$D1912*INDEX(AS$23:AS$30,$E1912)</f>
        <v/>
      </c>
      <c r="AT1912" s="35">
        <f>INDEX(AT$263:AT$279,$F1912)*$D1912*INDEX(AT$23:AT$30,$E1912)</f>
        <v/>
      </c>
      <c r="AU1912" s="35">
        <f>INDEX(AU$263:AU$279,$F1912)*$D1912*INDEX(AU$23:AU$30,$E1912)</f>
        <v/>
      </c>
      <c r="AV1912" s="35">
        <f>INDEX(AV$263:AV$279,$F1912)*$D1912*INDEX(AV$23:AV$30,$E1912)</f>
        <v/>
      </c>
      <c r="AW1912" s="35">
        <f>INDEX(AW$263:AW$279,$F1912)*$D1912*INDEX(AW$23:AW$30,$E1912)</f>
        <v/>
      </c>
      <c r="AX1912" s="35">
        <f>INDEX(AX$263:AX$279,$F1912)*$D1912*INDEX(AX$23:AX$30,$E1912)</f>
        <v/>
      </c>
      <c r="AY1912" s="35">
        <f>INDEX(AY$263:AY$279,$F1912)*$D1912*INDEX(AY$23:AY$30,$E1912)</f>
        <v/>
      </c>
      <c r="AZ1912" s="35">
        <f>INDEX(AZ$263:AZ$279,$F1912)*$D1912*INDEX(AZ$23:AZ$30,$E1912)</f>
        <v/>
      </c>
      <c r="BA1912" s="42">
        <f>CARBONTAX(INDEX(BA$263:BA$279,$F1912),$D1912,INDEX(BA$23:BA$30,$E1912))</f>
        <v/>
      </c>
    </row>
    <row r="1913" hidden="1" outlineLevel="2">
      <c r="A1913" s="14" t="inlineStr">
        <is>
          <t>ctxnew</t>
        </is>
      </c>
      <c r="B1913" s="14" t="inlineStr">
        <is>
          <t>lpg</t>
        </is>
      </c>
      <c r="C1913" s="14" t="inlineStr">
        <is>
          <t>mch</t>
        </is>
      </c>
      <c r="D1913" s="35">
        <f>INDEX(Inputs!$W$5:$W$132,MATCH($B1913&amp;"|"&amp;$C1913,Inputs!$A$5:$A$132,0))</f>
        <v/>
      </c>
      <c r="E1913" s="35">
        <f>INDEX(Inputs!$L$5:$L$132,MATCH($B1913&amp;"|"&amp;$C1913,Inputs!$A$5:$A$132,0))</f>
        <v/>
      </c>
      <c r="F1913" s="35">
        <f>INDEX(Inputs!$M$5:$M$132,MATCH($B1913&amp;"|"&amp;$C1913,Inputs!$A$5:$A$132,0))</f>
        <v/>
      </c>
      <c r="G1913" s="39" t="n"/>
      <c r="H1913" s="14">
        <f>INDEX(VarLab,MATCH($A1913,VarKey,0))&amp;INDEX(MemLab,MATCH($C1913&amp;"|"&amp;$B1913,MemKey,0))</f>
        <v/>
      </c>
      <c r="I1913" s="14">
        <f>INDEX(VarUnit,MATCH($A1913,VarKey,0))</f>
        <v/>
      </c>
      <c r="J1913" s="14">
        <f>INDEX(VarSrc,MATCH($A1913,VarKey,0))</f>
        <v/>
      </c>
      <c r="K1913" s="11">
        <f>CodePrefix&amp;$A1913&amp;IF($C1913="","","."&amp;$C1913&amp;"."&amp;$B1913)&amp;INDEX(VarEnd,MATCH($A1913,VarKey,0))&amp;K$5</f>
        <v/>
      </c>
      <c r="L1913" s="40">
        <f>INDEX(L$263:L$279,$F1913)*$D1913*INDEX(L$23:L$30,$E1913)</f>
        <v/>
      </c>
      <c r="M1913" s="35">
        <f>INDEX(M$263:M$279,$F1913)*$D1913*INDEX(M$23:M$30,$E1913)</f>
        <v/>
      </c>
      <c r="N1913" s="35">
        <f>INDEX(N$263:N$279,$F1913)*$D1913*INDEX(N$23:N$30,$E1913)</f>
        <v/>
      </c>
      <c r="O1913" s="35">
        <f>INDEX(O$263:O$279,$F1913)*$D1913*INDEX(O$23:O$30,$E1913)</f>
        <v/>
      </c>
      <c r="P1913" s="35">
        <f>INDEX(P$263:P$279,$F1913)*$D1913*INDEX(P$23:P$30,$E1913)</f>
        <v/>
      </c>
      <c r="Q1913" s="35">
        <f>INDEX(Q$263:Q$279,$F1913)*$D1913*INDEX(Q$23:Q$30,$E1913)</f>
        <v/>
      </c>
      <c r="R1913" s="35">
        <f>INDEX(R$263:R$279,$F1913)*$D1913*INDEX(R$23:R$30,$E1913)</f>
        <v/>
      </c>
      <c r="S1913" s="35">
        <f>INDEX(S$263:S$279,$F1913)*$D1913*INDEX(S$23:S$30,$E1913)</f>
        <v/>
      </c>
      <c r="T1913" s="35">
        <f>INDEX(T$263:T$279,$F1913)*$D1913*INDEX(T$23:T$30,$E1913)</f>
        <v/>
      </c>
      <c r="U1913" s="35">
        <f>INDEX(U$263:U$279,$F1913)*$D1913*INDEX(U$23:U$30,$E1913)</f>
        <v/>
      </c>
      <c r="V1913" s="35">
        <f>INDEX(V$263:V$279,$F1913)*$D1913*INDEX(V$23:V$30,$E1913)</f>
        <v/>
      </c>
      <c r="W1913" s="35">
        <f>INDEX(W$263:W$279,$F1913)*$D1913*INDEX(W$23:W$30,$E1913)</f>
        <v/>
      </c>
      <c r="X1913" s="35">
        <f>INDEX(X$263:X$279,$F1913)*$D1913*INDEX(X$23:X$30,$E1913)</f>
        <v/>
      </c>
      <c r="Y1913" s="35">
        <f>INDEX(Y$263:Y$279,$F1913)*$D1913*INDEX(Y$23:Y$30,$E1913)</f>
        <v/>
      </c>
      <c r="Z1913" s="35">
        <f>INDEX(Z$263:Z$279,$F1913)*$D1913*INDEX(Z$23:Z$30,$E1913)</f>
        <v/>
      </c>
      <c r="AA1913" s="35">
        <f>INDEX(AA$263:AA$279,$F1913)*$D1913*INDEX(AA$23:AA$30,$E1913)</f>
        <v/>
      </c>
      <c r="AB1913" s="35">
        <f>INDEX(AB$263:AB$279,$F1913)*$D1913*INDEX(AB$23:AB$30,$E1913)</f>
        <v/>
      </c>
      <c r="AC1913" s="35">
        <f>INDEX(AC$263:AC$279,$F1913)*$D1913*INDEX(AC$23:AC$30,$E1913)</f>
        <v/>
      </c>
      <c r="AD1913" s="35">
        <f>INDEX(AD$263:AD$279,$F1913)*$D1913*INDEX(AD$23:AD$30,$E1913)</f>
        <v/>
      </c>
      <c r="AE1913" s="42">
        <f>CARBONTAX(INDEX(AE$263:AE$279,$F1913),$D1913,INDEX(AE$23:AE$30,$E1913))</f>
        <v/>
      </c>
      <c r="AG1913" s="11">
        <f>CodePrefix&amp;$A1913&amp;IF($C1913="","","."&amp;$C1913&amp;"."&amp;$B1913)&amp;INDEX(VarEnd,MATCH($A1913,VarKey,0))&amp;AG$5</f>
        <v/>
      </c>
      <c r="AH1913" s="40">
        <f>INDEX(AH$263:AH$279,$F1913)*$D1913*INDEX(AH$23:AH$30,$E1913)</f>
        <v/>
      </c>
      <c r="AI1913" s="35">
        <f>INDEX(AI$263:AI$279,$F1913)*$D1913*INDEX(AI$23:AI$30,$E1913)</f>
        <v/>
      </c>
      <c r="AJ1913" s="35">
        <f>INDEX(AJ$263:AJ$279,$F1913)*$D1913*INDEX(AJ$23:AJ$30,$E1913)</f>
        <v/>
      </c>
      <c r="AK1913" s="35">
        <f>INDEX(AK$263:AK$279,$F1913)*$D1913*INDEX(AK$23:AK$30,$E1913)</f>
        <v/>
      </c>
      <c r="AL1913" s="35">
        <f>INDEX(AL$263:AL$279,$F1913)*$D1913*INDEX(AL$23:AL$30,$E1913)</f>
        <v/>
      </c>
      <c r="AM1913" s="35">
        <f>INDEX(AM$263:AM$279,$F1913)*$D1913*INDEX(AM$23:AM$30,$E1913)</f>
        <v/>
      </c>
      <c r="AN1913" s="35">
        <f>INDEX(AN$263:AN$279,$F1913)*$D1913*INDEX(AN$23:AN$30,$E1913)</f>
        <v/>
      </c>
      <c r="AO1913" s="35">
        <f>INDEX(AO$263:AO$279,$F1913)*$D1913*INDEX(AO$23:AO$30,$E1913)</f>
        <v/>
      </c>
      <c r="AP1913" s="35">
        <f>INDEX(AP$263:AP$279,$F1913)*$D1913*INDEX(AP$23:AP$30,$E1913)</f>
        <v/>
      </c>
      <c r="AQ1913" s="35">
        <f>INDEX(AQ$263:AQ$279,$F1913)*$D1913*INDEX(AQ$23:AQ$30,$E1913)</f>
        <v/>
      </c>
      <c r="AR1913" s="35">
        <f>INDEX(AR$263:AR$279,$F1913)*$D1913*INDEX(AR$23:AR$30,$E1913)</f>
        <v/>
      </c>
      <c r="AS1913" s="35">
        <f>INDEX(AS$263:AS$279,$F1913)*$D1913*INDEX(AS$23:AS$30,$E1913)</f>
        <v/>
      </c>
      <c r="AT1913" s="35">
        <f>INDEX(AT$263:AT$279,$F1913)*$D1913*INDEX(AT$23:AT$30,$E1913)</f>
        <v/>
      </c>
      <c r="AU1913" s="35">
        <f>INDEX(AU$263:AU$279,$F1913)*$D1913*INDEX(AU$23:AU$30,$E1913)</f>
        <v/>
      </c>
      <c r="AV1913" s="35">
        <f>INDEX(AV$263:AV$279,$F1913)*$D1913*INDEX(AV$23:AV$30,$E1913)</f>
        <v/>
      </c>
      <c r="AW1913" s="35">
        <f>INDEX(AW$263:AW$279,$F1913)*$D1913*INDEX(AW$23:AW$30,$E1913)</f>
        <v/>
      </c>
      <c r="AX1913" s="35">
        <f>INDEX(AX$263:AX$279,$F1913)*$D1913*INDEX(AX$23:AX$30,$E1913)</f>
        <v/>
      </c>
      <c r="AY1913" s="35">
        <f>INDEX(AY$263:AY$279,$F1913)*$D1913*INDEX(AY$23:AY$30,$E1913)</f>
        <v/>
      </c>
      <c r="AZ1913" s="35">
        <f>INDEX(AZ$263:AZ$279,$F1913)*$D1913*INDEX(AZ$23:AZ$30,$E1913)</f>
        <v/>
      </c>
      <c r="BA1913" s="42">
        <f>CARBONTAX(INDEX(BA$263:BA$279,$F1913),$D1913,INDEX(BA$23:BA$30,$E1913))</f>
        <v/>
      </c>
    </row>
    <row r="1914" hidden="1" outlineLevel="2">
      <c r="A1914" s="14" t="inlineStr">
        <is>
          <t>ctxnew</t>
        </is>
      </c>
      <c r="B1914" s="14" t="inlineStr">
        <is>
          <t>ker</t>
        </is>
      </c>
      <c r="C1914" s="14" t="inlineStr">
        <is>
          <t>mch</t>
        </is>
      </c>
      <c r="D1914" s="35">
        <f>INDEX(Inputs!$W$5:$W$132,MATCH($B1914&amp;"|"&amp;$C1914,Inputs!$A$5:$A$132,0))</f>
        <v/>
      </c>
      <c r="E1914" s="35">
        <f>INDEX(Inputs!$L$5:$L$132,MATCH($B1914&amp;"|"&amp;$C1914,Inputs!$A$5:$A$132,0))</f>
        <v/>
      </c>
      <c r="F1914" s="35">
        <f>INDEX(Inputs!$M$5:$M$132,MATCH($B1914&amp;"|"&amp;$C1914,Inputs!$A$5:$A$132,0))</f>
        <v/>
      </c>
      <c r="G1914" s="39" t="n"/>
      <c r="H1914" s="14">
        <f>INDEX(VarLab,MATCH($A1914,VarKey,0))&amp;INDEX(MemLab,MATCH($C1914&amp;"|"&amp;$B1914,MemKey,0))</f>
        <v/>
      </c>
      <c r="I1914" s="14">
        <f>INDEX(VarUnit,MATCH($A1914,VarKey,0))</f>
        <v/>
      </c>
      <c r="J1914" s="14">
        <f>INDEX(VarSrc,MATCH($A1914,VarKey,0))</f>
        <v/>
      </c>
      <c r="K1914" s="11">
        <f>CodePrefix&amp;$A1914&amp;IF($C1914="","","."&amp;$C1914&amp;"."&amp;$B1914)&amp;INDEX(VarEnd,MATCH($A1914,VarKey,0))&amp;K$5</f>
        <v/>
      </c>
      <c r="L1914" s="40">
        <f>INDEX(L$263:L$279,$F1914)*$D1914*INDEX(L$23:L$30,$E1914)</f>
        <v/>
      </c>
      <c r="M1914" s="35">
        <f>INDEX(M$263:M$279,$F1914)*$D1914*INDEX(M$23:M$30,$E1914)</f>
        <v/>
      </c>
      <c r="N1914" s="35">
        <f>INDEX(N$263:N$279,$F1914)*$D1914*INDEX(N$23:N$30,$E1914)</f>
        <v/>
      </c>
      <c r="O1914" s="35">
        <f>INDEX(O$263:O$279,$F1914)*$D1914*INDEX(O$23:O$30,$E1914)</f>
        <v/>
      </c>
      <c r="P1914" s="35">
        <f>INDEX(P$263:P$279,$F1914)*$D1914*INDEX(P$23:P$30,$E1914)</f>
        <v/>
      </c>
      <c r="Q1914" s="35">
        <f>INDEX(Q$263:Q$279,$F1914)*$D1914*INDEX(Q$23:Q$30,$E1914)</f>
        <v/>
      </c>
      <c r="R1914" s="35">
        <f>INDEX(R$263:R$279,$F1914)*$D1914*INDEX(R$23:R$30,$E1914)</f>
        <v/>
      </c>
      <c r="S1914" s="35">
        <f>INDEX(S$263:S$279,$F1914)*$D1914*INDEX(S$23:S$30,$E1914)</f>
        <v/>
      </c>
      <c r="T1914" s="35">
        <f>INDEX(T$263:T$279,$F1914)*$D1914*INDEX(T$23:T$30,$E1914)</f>
        <v/>
      </c>
      <c r="U1914" s="35">
        <f>INDEX(U$263:U$279,$F1914)*$D1914*INDEX(U$23:U$30,$E1914)</f>
        <v/>
      </c>
      <c r="V1914" s="35">
        <f>INDEX(V$263:V$279,$F1914)*$D1914*INDEX(V$23:V$30,$E1914)</f>
        <v/>
      </c>
      <c r="W1914" s="35">
        <f>INDEX(W$263:W$279,$F1914)*$D1914*INDEX(W$23:W$30,$E1914)</f>
        <v/>
      </c>
      <c r="X1914" s="35">
        <f>INDEX(X$263:X$279,$F1914)*$D1914*INDEX(X$23:X$30,$E1914)</f>
        <v/>
      </c>
      <c r="Y1914" s="35">
        <f>INDEX(Y$263:Y$279,$F1914)*$D1914*INDEX(Y$23:Y$30,$E1914)</f>
        <v/>
      </c>
      <c r="Z1914" s="35">
        <f>INDEX(Z$263:Z$279,$F1914)*$D1914*INDEX(Z$23:Z$30,$E1914)</f>
        <v/>
      </c>
      <c r="AA1914" s="35">
        <f>INDEX(AA$263:AA$279,$F1914)*$D1914*INDEX(AA$23:AA$30,$E1914)</f>
        <v/>
      </c>
      <c r="AB1914" s="35">
        <f>INDEX(AB$263:AB$279,$F1914)*$D1914*INDEX(AB$23:AB$30,$E1914)</f>
        <v/>
      </c>
      <c r="AC1914" s="35">
        <f>INDEX(AC$263:AC$279,$F1914)*$D1914*INDEX(AC$23:AC$30,$E1914)</f>
        <v/>
      </c>
      <c r="AD1914" s="35">
        <f>INDEX(AD$263:AD$279,$F1914)*$D1914*INDEX(AD$23:AD$30,$E1914)</f>
        <v/>
      </c>
      <c r="AE1914" s="42">
        <f>CARBONTAX(INDEX(AE$263:AE$279,$F1914),$D1914,INDEX(AE$23:AE$30,$E1914))</f>
        <v/>
      </c>
      <c r="AG1914" s="11">
        <f>CodePrefix&amp;$A1914&amp;IF($C1914="","","."&amp;$C1914&amp;"."&amp;$B1914)&amp;INDEX(VarEnd,MATCH($A1914,VarKey,0))&amp;AG$5</f>
        <v/>
      </c>
      <c r="AH1914" s="40">
        <f>INDEX(AH$263:AH$279,$F1914)*$D1914*INDEX(AH$23:AH$30,$E1914)</f>
        <v/>
      </c>
      <c r="AI1914" s="35">
        <f>INDEX(AI$263:AI$279,$F1914)*$D1914*INDEX(AI$23:AI$30,$E1914)</f>
        <v/>
      </c>
      <c r="AJ1914" s="35">
        <f>INDEX(AJ$263:AJ$279,$F1914)*$D1914*INDEX(AJ$23:AJ$30,$E1914)</f>
        <v/>
      </c>
      <c r="AK1914" s="35">
        <f>INDEX(AK$263:AK$279,$F1914)*$D1914*INDEX(AK$23:AK$30,$E1914)</f>
        <v/>
      </c>
      <c r="AL1914" s="35">
        <f>INDEX(AL$263:AL$279,$F1914)*$D1914*INDEX(AL$23:AL$30,$E1914)</f>
        <v/>
      </c>
      <c r="AM1914" s="35">
        <f>INDEX(AM$263:AM$279,$F1914)*$D1914*INDEX(AM$23:AM$30,$E1914)</f>
        <v/>
      </c>
      <c r="AN1914" s="35">
        <f>INDEX(AN$263:AN$279,$F1914)*$D1914*INDEX(AN$23:AN$30,$E1914)</f>
        <v/>
      </c>
      <c r="AO1914" s="35">
        <f>INDEX(AO$263:AO$279,$F1914)*$D1914*INDEX(AO$23:AO$30,$E1914)</f>
        <v/>
      </c>
      <c r="AP1914" s="35">
        <f>INDEX(AP$263:AP$279,$F1914)*$D1914*INDEX(AP$23:AP$30,$E1914)</f>
        <v/>
      </c>
      <c r="AQ1914" s="35">
        <f>INDEX(AQ$263:AQ$279,$F1914)*$D1914*INDEX(AQ$23:AQ$30,$E1914)</f>
        <v/>
      </c>
      <c r="AR1914" s="35">
        <f>INDEX(AR$263:AR$279,$F1914)*$D1914*INDEX(AR$23:AR$30,$E1914)</f>
        <v/>
      </c>
      <c r="AS1914" s="35">
        <f>INDEX(AS$263:AS$279,$F1914)*$D1914*INDEX(AS$23:AS$30,$E1914)</f>
        <v/>
      </c>
      <c r="AT1914" s="35">
        <f>INDEX(AT$263:AT$279,$F1914)*$D1914*INDEX(AT$23:AT$30,$E1914)</f>
        <v/>
      </c>
      <c r="AU1914" s="35">
        <f>INDEX(AU$263:AU$279,$F1914)*$D1914*INDEX(AU$23:AU$30,$E1914)</f>
        <v/>
      </c>
      <c r="AV1914" s="35">
        <f>INDEX(AV$263:AV$279,$F1914)*$D1914*INDEX(AV$23:AV$30,$E1914)</f>
        <v/>
      </c>
      <c r="AW1914" s="35">
        <f>INDEX(AW$263:AW$279,$F1914)*$D1914*INDEX(AW$23:AW$30,$E1914)</f>
        <v/>
      </c>
      <c r="AX1914" s="35">
        <f>INDEX(AX$263:AX$279,$F1914)*$D1914*INDEX(AX$23:AX$30,$E1914)</f>
        <v/>
      </c>
      <c r="AY1914" s="35">
        <f>INDEX(AY$263:AY$279,$F1914)*$D1914*INDEX(AY$23:AY$30,$E1914)</f>
        <v/>
      </c>
      <c r="AZ1914" s="35">
        <f>INDEX(AZ$263:AZ$279,$F1914)*$D1914*INDEX(AZ$23:AZ$30,$E1914)</f>
        <v/>
      </c>
      <c r="BA1914" s="42">
        <f>CARBONTAX(INDEX(BA$263:BA$279,$F1914),$D1914,INDEX(BA$23:BA$30,$E1914))</f>
        <v/>
      </c>
    </row>
    <row r="1915" hidden="1" outlineLevel="2">
      <c r="A1915" s="14" t="inlineStr">
        <is>
          <t>ctxnew</t>
        </is>
      </c>
      <c r="B1915" s="14" t="inlineStr">
        <is>
          <t>oop</t>
        </is>
      </c>
      <c r="C1915" s="14" t="inlineStr">
        <is>
          <t>mch</t>
        </is>
      </c>
      <c r="D1915" s="35">
        <f>INDEX(Inputs!$W$5:$W$132,MATCH($B1915&amp;"|"&amp;$C1915,Inputs!$A$5:$A$132,0))</f>
        <v/>
      </c>
      <c r="E1915" s="35">
        <f>INDEX(Inputs!$L$5:$L$132,MATCH($B1915&amp;"|"&amp;$C1915,Inputs!$A$5:$A$132,0))</f>
        <v/>
      </c>
      <c r="F1915" s="35">
        <f>INDEX(Inputs!$M$5:$M$132,MATCH($B1915&amp;"|"&amp;$C1915,Inputs!$A$5:$A$132,0))</f>
        <v/>
      </c>
      <c r="G1915" s="39" t="n"/>
      <c r="H1915" s="14">
        <f>INDEX(VarLab,MATCH($A1915,VarKey,0))&amp;INDEX(MemLab,MATCH($C1915&amp;"|"&amp;$B1915,MemKey,0))</f>
        <v/>
      </c>
      <c r="I1915" s="14">
        <f>INDEX(VarUnit,MATCH($A1915,VarKey,0))</f>
        <v/>
      </c>
      <c r="J1915" s="14">
        <f>INDEX(VarSrc,MATCH($A1915,VarKey,0))</f>
        <v/>
      </c>
      <c r="K1915" s="11">
        <f>CodePrefix&amp;$A1915&amp;IF($C1915="","","."&amp;$C1915&amp;"."&amp;$B1915)&amp;INDEX(VarEnd,MATCH($A1915,VarKey,0))&amp;K$5</f>
        <v/>
      </c>
      <c r="L1915" s="40">
        <f>INDEX(L$263:L$279,$F1915)*$D1915*INDEX(L$23:L$30,$E1915)</f>
        <v/>
      </c>
      <c r="M1915" s="35">
        <f>INDEX(M$263:M$279,$F1915)*$D1915*INDEX(M$23:M$30,$E1915)</f>
        <v/>
      </c>
      <c r="N1915" s="35">
        <f>INDEX(N$263:N$279,$F1915)*$D1915*INDEX(N$23:N$30,$E1915)</f>
        <v/>
      </c>
      <c r="O1915" s="35">
        <f>INDEX(O$263:O$279,$F1915)*$D1915*INDEX(O$23:O$30,$E1915)</f>
        <v/>
      </c>
      <c r="P1915" s="35">
        <f>INDEX(P$263:P$279,$F1915)*$D1915*INDEX(P$23:P$30,$E1915)</f>
        <v/>
      </c>
      <c r="Q1915" s="35">
        <f>INDEX(Q$263:Q$279,$F1915)*$D1915*INDEX(Q$23:Q$30,$E1915)</f>
        <v/>
      </c>
      <c r="R1915" s="35">
        <f>INDEX(R$263:R$279,$F1915)*$D1915*INDEX(R$23:R$30,$E1915)</f>
        <v/>
      </c>
      <c r="S1915" s="35">
        <f>INDEX(S$263:S$279,$F1915)*$D1915*INDEX(S$23:S$30,$E1915)</f>
        <v/>
      </c>
      <c r="T1915" s="35">
        <f>INDEX(T$263:T$279,$F1915)*$D1915*INDEX(T$23:T$30,$E1915)</f>
        <v/>
      </c>
      <c r="U1915" s="35">
        <f>INDEX(U$263:U$279,$F1915)*$D1915*INDEX(U$23:U$30,$E1915)</f>
        <v/>
      </c>
      <c r="V1915" s="35">
        <f>INDEX(V$263:V$279,$F1915)*$D1915*INDEX(V$23:V$30,$E1915)</f>
        <v/>
      </c>
      <c r="W1915" s="35">
        <f>INDEX(W$263:W$279,$F1915)*$D1915*INDEX(W$23:W$30,$E1915)</f>
        <v/>
      </c>
      <c r="X1915" s="35">
        <f>INDEX(X$263:X$279,$F1915)*$D1915*INDEX(X$23:X$30,$E1915)</f>
        <v/>
      </c>
      <c r="Y1915" s="35">
        <f>INDEX(Y$263:Y$279,$F1915)*$D1915*INDEX(Y$23:Y$30,$E1915)</f>
        <v/>
      </c>
      <c r="Z1915" s="35">
        <f>INDEX(Z$263:Z$279,$F1915)*$D1915*INDEX(Z$23:Z$30,$E1915)</f>
        <v/>
      </c>
      <c r="AA1915" s="35">
        <f>INDEX(AA$263:AA$279,$F1915)*$D1915*INDEX(AA$23:AA$30,$E1915)</f>
        <v/>
      </c>
      <c r="AB1915" s="35">
        <f>INDEX(AB$263:AB$279,$F1915)*$D1915*INDEX(AB$23:AB$30,$E1915)</f>
        <v/>
      </c>
      <c r="AC1915" s="35">
        <f>INDEX(AC$263:AC$279,$F1915)*$D1915*INDEX(AC$23:AC$30,$E1915)</f>
        <v/>
      </c>
      <c r="AD1915" s="35">
        <f>INDEX(AD$263:AD$279,$F1915)*$D1915*INDEX(AD$23:AD$30,$E1915)</f>
        <v/>
      </c>
      <c r="AE1915" s="42">
        <f>CARBONTAX(INDEX(AE$263:AE$279,$F1915),$D1915,INDEX(AE$23:AE$30,$E1915))</f>
        <v/>
      </c>
      <c r="AG1915" s="11">
        <f>CodePrefix&amp;$A1915&amp;IF($C1915="","","."&amp;$C1915&amp;"."&amp;$B1915)&amp;INDEX(VarEnd,MATCH($A1915,VarKey,0))&amp;AG$5</f>
        <v/>
      </c>
      <c r="AH1915" s="40">
        <f>INDEX(AH$263:AH$279,$F1915)*$D1915*INDEX(AH$23:AH$30,$E1915)</f>
        <v/>
      </c>
      <c r="AI1915" s="35">
        <f>INDEX(AI$263:AI$279,$F1915)*$D1915*INDEX(AI$23:AI$30,$E1915)</f>
        <v/>
      </c>
      <c r="AJ1915" s="35">
        <f>INDEX(AJ$263:AJ$279,$F1915)*$D1915*INDEX(AJ$23:AJ$30,$E1915)</f>
        <v/>
      </c>
      <c r="AK1915" s="35">
        <f>INDEX(AK$263:AK$279,$F1915)*$D1915*INDEX(AK$23:AK$30,$E1915)</f>
        <v/>
      </c>
      <c r="AL1915" s="35">
        <f>INDEX(AL$263:AL$279,$F1915)*$D1915*INDEX(AL$23:AL$30,$E1915)</f>
        <v/>
      </c>
      <c r="AM1915" s="35">
        <f>INDEX(AM$263:AM$279,$F1915)*$D1915*INDEX(AM$23:AM$30,$E1915)</f>
        <v/>
      </c>
      <c r="AN1915" s="35">
        <f>INDEX(AN$263:AN$279,$F1915)*$D1915*INDEX(AN$23:AN$30,$E1915)</f>
        <v/>
      </c>
      <c r="AO1915" s="35">
        <f>INDEX(AO$263:AO$279,$F1915)*$D1915*INDEX(AO$23:AO$30,$E1915)</f>
        <v/>
      </c>
      <c r="AP1915" s="35">
        <f>INDEX(AP$263:AP$279,$F1915)*$D1915*INDEX(AP$23:AP$30,$E1915)</f>
        <v/>
      </c>
      <c r="AQ1915" s="35">
        <f>INDEX(AQ$263:AQ$279,$F1915)*$D1915*INDEX(AQ$23:AQ$30,$E1915)</f>
        <v/>
      </c>
      <c r="AR1915" s="35">
        <f>INDEX(AR$263:AR$279,$F1915)*$D1915*INDEX(AR$23:AR$30,$E1915)</f>
        <v/>
      </c>
      <c r="AS1915" s="35">
        <f>INDEX(AS$263:AS$279,$F1915)*$D1915*INDEX(AS$23:AS$30,$E1915)</f>
        <v/>
      </c>
      <c r="AT1915" s="35">
        <f>INDEX(AT$263:AT$279,$F1915)*$D1915*INDEX(AT$23:AT$30,$E1915)</f>
        <v/>
      </c>
      <c r="AU1915" s="35">
        <f>INDEX(AU$263:AU$279,$F1915)*$D1915*INDEX(AU$23:AU$30,$E1915)</f>
        <v/>
      </c>
      <c r="AV1915" s="35">
        <f>INDEX(AV$263:AV$279,$F1915)*$D1915*INDEX(AV$23:AV$30,$E1915)</f>
        <v/>
      </c>
      <c r="AW1915" s="35">
        <f>INDEX(AW$263:AW$279,$F1915)*$D1915*INDEX(AW$23:AW$30,$E1915)</f>
        <v/>
      </c>
      <c r="AX1915" s="35">
        <f>INDEX(AX$263:AX$279,$F1915)*$D1915*INDEX(AX$23:AX$30,$E1915)</f>
        <v/>
      </c>
      <c r="AY1915" s="35">
        <f>INDEX(AY$263:AY$279,$F1915)*$D1915*INDEX(AY$23:AY$30,$E1915)</f>
        <v/>
      </c>
      <c r="AZ1915" s="35">
        <f>INDEX(AZ$263:AZ$279,$F1915)*$D1915*INDEX(AZ$23:AZ$30,$E1915)</f>
        <v/>
      </c>
      <c r="BA1915" s="42">
        <f>CARBONTAX(INDEX(BA$263:BA$279,$F1915),$D1915,INDEX(BA$23:BA$30,$E1915))</f>
        <v/>
      </c>
    </row>
    <row r="1916" hidden="1" outlineLevel="2">
      <c r="A1916" s="14" t="inlineStr">
        <is>
          <t>ctxnew</t>
        </is>
      </c>
      <c r="B1916" s="14" t="inlineStr">
        <is>
          <t>bio</t>
        </is>
      </c>
      <c r="C1916" s="14" t="inlineStr">
        <is>
          <t>mch</t>
        </is>
      </c>
      <c r="D1916" s="35">
        <f>INDEX(Inputs!$W$5:$W$132,MATCH($B1916&amp;"|"&amp;$C1916,Inputs!$A$5:$A$132,0))</f>
        <v/>
      </c>
      <c r="E1916" s="35">
        <f>INDEX(Inputs!$L$5:$L$132,MATCH($B1916&amp;"|"&amp;$C1916,Inputs!$A$5:$A$132,0))</f>
        <v/>
      </c>
      <c r="F1916" s="35">
        <f>INDEX(Inputs!$M$5:$M$132,MATCH($B1916&amp;"|"&amp;$C1916,Inputs!$A$5:$A$132,0))</f>
        <v/>
      </c>
      <c r="G1916" s="39" t="n"/>
      <c r="H1916" s="14">
        <f>INDEX(VarLab,MATCH($A1916,VarKey,0))&amp;INDEX(MemLab,MATCH($C1916&amp;"|"&amp;$B1916,MemKey,0))</f>
        <v/>
      </c>
      <c r="I1916" s="14">
        <f>INDEX(VarUnit,MATCH($A1916,VarKey,0))</f>
        <v/>
      </c>
      <c r="J1916" s="14">
        <f>INDEX(VarSrc,MATCH($A1916,VarKey,0))</f>
        <v/>
      </c>
      <c r="K1916" s="11">
        <f>CodePrefix&amp;$A1916&amp;IF($C1916="","","."&amp;$C1916&amp;"."&amp;$B1916)&amp;INDEX(VarEnd,MATCH($A1916,VarKey,0))&amp;K$5</f>
        <v/>
      </c>
      <c r="L1916" s="40">
        <f>INDEX(L$263:L$279,$F1916)*$D1916*INDEX(L$23:L$30,$E1916)</f>
        <v/>
      </c>
      <c r="M1916" s="35">
        <f>INDEX(M$263:M$279,$F1916)*$D1916*INDEX(M$23:M$30,$E1916)</f>
        <v/>
      </c>
      <c r="N1916" s="35">
        <f>INDEX(N$263:N$279,$F1916)*$D1916*INDEX(N$23:N$30,$E1916)</f>
        <v/>
      </c>
      <c r="O1916" s="35">
        <f>INDEX(O$263:O$279,$F1916)*$D1916*INDEX(O$23:O$30,$E1916)</f>
        <v/>
      </c>
      <c r="P1916" s="35">
        <f>INDEX(P$263:P$279,$F1916)*$D1916*INDEX(P$23:P$30,$E1916)</f>
        <v/>
      </c>
      <c r="Q1916" s="35">
        <f>INDEX(Q$263:Q$279,$F1916)*$D1916*INDEX(Q$23:Q$30,$E1916)</f>
        <v/>
      </c>
      <c r="R1916" s="35">
        <f>INDEX(R$263:R$279,$F1916)*$D1916*INDEX(R$23:R$30,$E1916)</f>
        <v/>
      </c>
      <c r="S1916" s="35">
        <f>INDEX(S$263:S$279,$F1916)*$D1916*INDEX(S$23:S$30,$E1916)</f>
        <v/>
      </c>
      <c r="T1916" s="35">
        <f>INDEX(T$263:T$279,$F1916)*$D1916*INDEX(T$23:T$30,$E1916)</f>
        <v/>
      </c>
      <c r="U1916" s="35">
        <f>INDEX(U$263:U$279,$F1916)*$D1916*INDEX(U$23:U$30,$E1916)</f>
        <v/>
      </c>
      <c r="V1916" s="35">
        <f>INDEX(V$263:V$279,$F1916)*$D1916*INDEX(V$23:V$30,$E1916)</f>
        <v/>
      </c>
      <c r="W1916" s="35">
        <f>INDEX(W$263:W$279,$F1916)*$D1916*INDEX(W$23:W$30,$E1916)</f>
        <v/>
      </c>
      <c r="X1916" s="35">
        <f>INDEX(X$263:X$279,$F1916)*$D1916*INDEX(X$23:X$30,$E1916)</f>
        <v/>
      </c>
      <c r="Y1916" s="35">
        <f>INDEX(Y$263:Y$279,$F1916)*$D1916*INDEX(Y$23:Y$30,$E1916)</f>
        <v/>
      </c>
      <c r="Z1916" s="35">
        <f>INDEX(Z$263:Z$279,$F1916)*$D1916*INDEX(Z$23:Z$30,$E1916)</f>
        <v/>
      </c>
      <c r="AA1916" s="35">
        <f>INDEX(AA$263:AA$279,$F1916)*$D1916*INDEX(AA$23:AA$30,$E1916)</f>
        <v/>
      </c>
      <c r="AB1916" s="35">
        <f>INDEX(AB$263:AB$279,$F1916)*$D1916*INDEX(AB$23:AB$30,$E1916)</f>
        <v/>
      </c>
      <c r="AC1916" s="35">
        <f>INDEX(AC$263:AC$279,$F1916)*$D1916*INDEX(AC$23:AC$30,$E1916)</f>
        <v/>
      </c>
      <c r="AD1916" s="35">
        <f>INDEX(AD$263:AD$279,$F1916)*$D1916*INDEX(AD$23:AD$30,$E1916)</f>
        <v/>
      </c>
      <c r="AE1916" s="42">
        <f>CARBONTAX(INDEX(AE$263:AE$279,$F1916),$D1916,INDEX(AE$23:AE$30,$E1916))</f>
        <v/>
      </c>
      <c r="AG1916" s="11">
        <f>CodePrefix&amp;$A1916&amp;IF($C1916="","","."&amp;$C1916&amp;"."&amp;$B1916)&amp;INDEX(VarEnd,MATCH($A1916,VarKey,0))&amp;AG$5</f>
        <v/>
      </c>
      <c r="AH1916" s="40">
        <f>INDEX(AH$263:AH$279,$F1916)*$D1916*INDEX(AH$23:AH$30,$E1916)</f>
        <v/>
      </c>
      <c r="AI1916" s="35">
        <f>INDEX(AI$263:AI$279,$F1916)*$D1916*INDEX(AI$23:AI$30,$E1916)</f>
        <v/>
      </c>
      <c r="AJ1916" s="35">
        <f>INDEX(AJ$263:AJ$279,$F1916)*$D1916*INDEX(AJ$23:AJ$30,$E1916)</f>
        <v/>
      </c>
      <c r="AK1916" s="35">
        <f>INDEX(AK$263:AK$279,$F1916)*$D1916*INDEX(AK$23:AK$30,$E1916)</f>
        <v/>
      </c>
      <c r="AL1916" s="35">
        <f>INDEX(AL$263:AL$279,$F1916)*$D1916*INDEX(AL$23:AL$30,$E1916)</f>
        <v/>
      </c>
      <c r="AM1916" s="35">
        <f>INDEX(AM$263:AM$279,$F1916)*$D1916*INDEX(AM$23:AM$30,$E1916)</f>
        <v/>
      </c>
      <c r="AN1916" s="35">
        <f>INDEX(AN$263:AN$279,$F1916)*$D1916*INDEX(AN$23:AN$30,$E1916)</f>
        <v/>
      </c>
      <c r="AO1916" s="35">
        <f>INDEX(AO$263:AO$279,$F1916)*$D1916*INDEX(AO$23:AO$30,$E1916)</f>
        <v/>
      </c>
      <c r="AP1916" s="35">
        <f>INDEX(AP$263:AP$279,$F1916)*$D1916*INDEX(AP$23:AP$30,$E1916)</f>
        <v/>
      </c>
      <c r="AQ1916" s="35">
        <f>INDEX(AQ$263:AQ$279,$F1916)*$D1916*INDEX(AQ$23:AQ$30,$E1916)</f>
        <v/>
      </c>
      <c r="AR1916" s="35">
        <f>INDEX(AR$263:AR$279,$F1916)*$D1916*INDEX(AR$23:AR$30,$E1916)</f>
        <v/>
      </c>
      <c r="AS1916" s="35">
        <f>INDEX(AS$263:AS$279,$F1916)*$D1916*INDEX(AS$23:AS$30,$E1916)</f>
        <v/>
      </c>
      <c r="AT1916" s="35">
        <f>INDEX(AT$263:AT$279,$F1916)*$D1916*INDEX(AT$23:AT$30,$E1916)</f>
        <v/>
      </c>
      <c r="AU1916" s="35">
        <f>INDEX(AU$263:AU$279,$F1916)*$D1916*INDEX(AU$23:AU$30,$E1916)</f>
        <v/>
      </c>
      <c r="AV1916" s="35">
        <f>INDEX(AV$263:AV$279,$F1916)*$D1916*INDEX(AV$23:AV$30,$E1916)</f>
        <v/>
      </c>
      <c r="AW1916" s="35">
        <f>INDEX(AW$263:AW$279,$F1916)*$D1916*INDEX(AW$23:AW$30,$E1916)</f>
        <v/>
      </c>
      <c r="AX1916" s="35">
        <f>INDEX(AX$263:AX$279,$F1916)*$D1916*INDEX(AX$23:AX$30,$E1916)</f>
        <v/>
      </c>
      <c r="AY1916" s="35">
        <f>INDEX(AY$263:AY$279,$F1916)*$D1916*INDEX(AY$23:AY$30,$E1916)</f>
        <v/>
      </c>
      <c r="AZ1916" s="35">
        <f>INDEX(AZ$263:AZ$279,$F1916)*$D1916*INDEX(AZ$23:AZ$30,$E1916)</f>
        <v/>
      </c>
      <c r="BA1916" s="42">
        <f>CARBONTAX(INDEX(BA$263:BA$279,$F1916),$D1916,INDEX(BA$23:BA$30,$E1916))</f>
        <v/>
      </c>
    </row>
    <row r="1917" hidden="1" outlineLevel="2"/>
    <row r="1918" hidden="1" outlineLevel="2">
      <c r="A1918" s="14" t="inlineStr">
        <is>
          <t>ets</t>
        </is>
      </c>
      <c r="B1918" s="14" t="inlineStr">
        <is>
          <t>coa</t>
        </is>
      </c>
      <c r="C1918" s="14" t="inlineStr">
        <is>
          <t>mch</t>
        </is>
      </c>
      <c r="D1918" s="35">
        <f>INDEX(Inputs!$W$5:$W$132,MATCH($B1918&amp;"|"&amp;$C1918,Inputs!$A$5:$A$132,0))</f>
        <v/>
      </c>
      <c r="E1918" s="35">
        <f>INDEX(Inputs!$M$5:$M$132,MATCH($B1918&amp;"|"&amp;$C1918,Inputs!$A$5:$A$132,0))</f>
        <v/>
      </c>
      <c r="F1918" s="39" t="n"/>
      <c r="G1918" s="39" t="n"/>
      <c r="H1918" s="14">
        <f>INDEX(VarLab,MATCH($A1918,VarKey,0))&amp;INDEX(MemLab,MATCH($C1918&amp;"|"&amp;$B1918,MemKey,0))</f>
        <v/>
      </c>
      <c r="I1918" s="14">
        <f>INDEX(VarUnit,MATCH($A1918,VarKey,0))</f>
        <v/>
      </c>
      <c r="J1918" s="14">
        <f>INDEX(VarSrc,MATCH($A1918,VarKey,0))</f>
        <v/>
      </c>
      <c r="K1918" s="11">
        <f>CodePrefix&amp;$A1918&amp;IF($C1918="","","."&amp;$C1918&amp;"."&amp;$B1918)&amp;INDEX(VarEnd,MATCH($A1918,VarKey,0))&amp;K$5</f>
        <v/>
      </c>
      <c r="L1918" s="40">
        <f>INDEX(L$280:L$296,$E1918)*$D1918</f>
        <v/>
      </c>
      <c r="M1918" s="35">
        <f>INDEX(M$280:M$296,$E1918)*$D1918</f>
        <v/>
      </c>
      <c r="N1918" s="35">
        <f>INDEX(N$280:N$296,$E1918)*$D1918</f>
        <v/>
      </c>
      <c r="O1918" s="35">
        <f>INDEX(O$280:O$296,$E1918)*$D1918</f>
        <v/>
      </c>
      <c r="P1918" s="35">
        <f>INDEX(P$280:P$296,$E1918)*$D1918</f>
        <v/>
      </c>
      <c r="Q1918" s="35">
        <f>INDEX(Q$280:Q$296,$E1918)*$D1918</f>
        <v/>
      </c>
      <c r="R1918" s="35">
        <f>INDEX(R$280:R$296,$E1918)*$D1918</f>
        <v/>
      </c>
      <c r="S1918" s="35">
        <f>INDEX(S$280:S$296,$E1918)*$D1918</f>
        <v/>
      </c>
      <c r="T1918" s="35">
        <f>INDEX(T$280:T$296,$E1918)*$D1918</f>
        <v/>
      </c>
      <c r="U1918" s="35">
        <f>INDEX(U$280:U$296,$E1918)*$D1918</f>
        <v/>
      </c>
      <c r="V1918" s="35">
        <f>INDEX(V$280:V$296,$E1918)*$D1918</f>
        <v/>
      </c>
      <c r="W1918" s="35">
        <f>INDEX(W$280:W$296,$E1918)*$D1918</f>
        <v/>
      </c>
      <c r="X1918" s="35">
        <f>INDEX(X$280:X$296,$E1918)*$D1918</f>
        <v/>
      </c>
      <c r="Y1918" s="35">
        <f>INDEX(Y$280:Y$296,$E1918)*$D1918</f>
        <v/>
      </c>
      <c r="Z1918" s="35">
        <f>INDEX(Z$280:Z$296,$E1918)*$D1918</f>
        <v/>
      </c>
      <c r="AA1918" s="35">
        <f>INDEX(AA$280:AA$296,$E1918)*$D1918</f>
        <v/>
      </c>
      <c r="AB1918" s="35">
        <f>INDEX(AB$280:AB$296,$E1918)*$D1918</f>
        <v/>
      </c>
      <c r="AC1918" s="35">
        <f>INDEX(AC$280:AC$296,$E1918)*$D1918</f>
        <v/>
      </c>
      <c r="AD1918" s="35">
        <f>INDEX(AD$280:AD$296,$E1918)*$D1918</f>
        <v/>
      </c>
      <c r="AE1918" s="42">
        <f>ETSCOST(INDEX(AE$280:AE$296,$E1918),$D1918)</f>
        <v/>
      </c>
      <c r="AG1918" s="11">
        <f>CodePrefix&amp;$A1918&amp;IF($C1918="","","."&amp;$C1918&amp;"."&amp;$B1918)&amp;INDEX(VarEnd,MATCH($A1918,VarKey,0))&amp;AG$5</f>
        <v/>
      </c>
      <c r="AH1918" s="40">
        <f>INDEX(AH$280:AH$296,$E1918)*$D1918</f>
        <v/>
      </c>
      <c r="AI1918" s="35">
        <f>INDEX(AI$280:AI$296,$E1918)*$D1918</f>
        <v/>
      </c>
      <c r="AJ1918" s="35">
        <f>INDEX(AJ$280:AJ$296,$E1918)*$D1918</f>
        <v/>
      </c>
      <c r="AK1918" s="35">
        <f>INDEX(AK$280:AK$296,$E1918)*$D1918</f>
        <v/>
      </c>
      <c r="AL1918" s="35">
        <f>INDEX(AL$280:AL$296,$E1918)*$D1918</f>
        <v/>
      </c>
      <c r="AM1918" s="35">
        <f>INDEX(AM$280:AM$296,$E1918)*$D1918</f>
        <v/>
      </c>
      <c r="AN1918" s="35">
        <f>INDEX(AN$280:AN$296,$E1918)*$D1918</f>
        <v/>
      </c>
      <c r="AO1918" s="35">
        <f>INDEX(AO$280:AO$296,$E1918)*$D1918</f>
        <v/>
      </c>
      <c r="AP1918" s="35">
        <f>INDEX(AP$280:AP$296,$E1918)*$D1918</f>
        <v/>
      </c>
      <c r="AQ1918" s="35">
        <f>INDEX(AQ$280:AQ$296,$E1918)*$D1918</f>
        <v/>
      </c>
      <c r="AR1918" s="35">
        <f>INDEX(AR$280:AR$296,$E1918)*$D1918</f>
        <v/>
      </c>
      <c r="AS1918" s="35">
        <f>INDEX(AS$280:AS$296,$E1918)*$D1918</f>
        <v/>
      </c>
      <c r="AT1918" s="35">
        <f>INDEX(AT$280:AT$296,$E1918)*$D1918</f>
        <v/>
      </c>
      <c r="AU1918" s="35">
        <f>INDEX(AU$280:AU$296,$E1918)*$D1918</f>
        <v/>
      </c>
      <c r="AV1918" s="35">
        <f>INDEX(AV$280:AV$296,$E1918)*$D1918</f>
        <v/>
      </c>
      <c r="AW1918" s="35">
        <f>INDEX(AW$280:AW$296,$E1918)*$D1918</f>
        <v/>
      </c>
      <c r="AX1918" s="35">
        <f>INDEX(AX$280:AX$296,$E1918)*$D1918</f>
        <v/>
      </c>
      <c r="AY1918" s="35">
        <f>INDEX(AY$280:AY$296,$E1918)*$D1918</f>
        <v/>
      </c>
      <c r="AZ1918" s="35">
        <f>INDEX(AZ$280:AZ$296,$E1918)*$D1918</f>
        <v/>
      </c>
      <c r="BA1918" s="42">
        <f>ETSCOST(INDEX(BA$280:BA$296,$E1918),$D1918)</f>
        <v/>
      </c>
    </row>
    <row r="1919" hidden="1" outlineLevel="2">
      <c r="A1919" s="14" t="inlineStr">
        <is>
          <t>ets</t>
        </is>
      </c>
      <c r="B1919" s="14" t="inlineStr">
        <is>
          <t>nga</t>
        </is>
      </c>
      <c r="C1919" s="14" t="inlineStr">
        <is>
          <t>mch</t>
        </is>
      </c>
      <c r="D1919" s="35">
        <f>INDEX(Inputs!$W$5:$W$132,MATCH($B1919&amp;"|"&amp;$C1919,Inputs!$A$5:$A$132,0))</f>
        <v/>
      </c>
      <c r="E1919" s="35">
        <f>INDEX(Inputs!$M$5:$M$132,MATCH($B1919&amp;"|"&amp;$C1919,Inputs!$A$5:$A$132,0))</f>
        <v/>
      </c>
      <c r="F1919" s="39" t="n"/>
      <c r="G1919" s="39" t="n"/>
      <c r="H1919" s="14">
        <f>INDEX(VarLab,MATCH($A1919,VarKey,0))&amp;INDEX(MemLab,MATCH($C1919&amp;"|"&amp;$B1919,MemKey,0))</f>
        <v/>
      </c>
      <c r="I1919" s="14">
        <f>INDEX(VarUnit,MATCH($A1919,VarKey,0))</f>
        <v/>
      </c>
      <c r="J1919" s="14">
        <f>INDEX(VarSrc,MATCH($A1919,VarKey,0))</f>
        <v/>
      </c>
      <c r="K1919" s="11">
        <f>CodePrefix&amp;$A1919&amp;IF($C1919="","","."&amp;$C1919&amp;"."&amp;$B1919)&amp;INDEX(VarEnd,MATCH($A1919,VarKey,0))&amp;K$5</f>
        <v/>
      </c>
      <c r="L1919" s="40">
        <f>INDEX(L$280:L$296,$E1919)*$D1919</f>
        <v/>
      </c>
      <c r="M1919" s="35">
        <f>INDEX(M$280:M$296,$E1919)*$D1919</f>
        <v/>
      </c>
      <c r="N1919" s="35">
        <f>INDEX(N$280:N$296,$E1919)*$D1919</f>
        <v/>
      </c>
      <c r="O1919" s="35">
        <f>INDEX(O$280:O$296,$E1919)*$D1919</f>
        <v/>
      </c>
      <c r="P1919" s="35">
        <f>INDEX(P$280:P$296,$E1919)*$D1919</f>
        <v/>
      </c>
      <c r="Q1919" s="35">
        <f>INDEX(Q$280:Q$296,$E1919)*$D1919</f>
        <v/>
      </c>
      <c r="R1919" s="35">
        <f>INDEX(R$280:R$296,$E1919)*$D1919</f>
        <v/>
      </c>
      <c r="S1919" s="35">
        <f>INDEX(S$280:S$296,$E1919)*$D1919</f>
        <v/>
      </c>
      <c r="T1919" s="35">
        <f>INDEX(T$280:T$296,$E1919)*$D1919</f>
        <v/>
      </c>
      <c r="U1919" s="35">
        <f>INDEX(U$280:U$296,$E1919)*$D1919</f>
        <v/>
      </c>
      <c r="V1919" s="35">
        <f>INDEX(V$280:V$296,$E1919)*$D1919</f>
        <v/>
      </c>
      <c r="W1919" s="35">
        <f>INDEX(W$280:W$296,$E1919)*$D1919</f>
        <v/>
      </c>
      <c r="X1919" s="35">
        <f>INDEX(X$280:X$296,$E1919)*$D1919</f>
        <v/>
      </c>
      <c r="Y1919" s="35">
        <f>INDEX(Y$280:Y$296,$E1919)*$D1919</f>
        <v/>
      </c>
      <c r="Z1919" s="35">
        <f>INDEX(Z$280:Z$296,$E1919)*$D1919</f>
        <v/>
      </c>
      <c r="AA1919" s="35">
        <f>INDEX(AA$280:AA$296,$E1919)*$D1919</f>
        <v/>
      </c>
      <c r="AB1919" s="35">
        <f>INDEX(AB$280:AB$296,$E1919)*$D1919</f>
        <v/>
      </c>
      <c r="AC1919" s="35">
        <f>INDEX(AC$280:AC$296,$E1919)*$D1919</f>
        <v/>
      </c>
      <c r="AD1919" s="35">
        <f>INDEX(AD$280:AD$296,$E1919)*$D1919</f>
        <v/>
      </c>
      <c r="AE1919" s="42">
        <f>ETSCOST(INDEX(AE$280:AE$296,$E1919),$D1919)</f>
        <v/>
      </c>
      <c r="AG1919" s="11">
        <f>CodePrefix&amp;$A1919&amp;IF($C1919="","","."&amp;$C1919&amp;"."&amp;$B1919)&amp;INDEX(VarEnd,MATCH($A1919,VarKey,0))&amp;AG$5</f>
        <v/>
      </c>
      <c r="AH1919" s="40">
        <f>INDEX(AH$280:AH$296,$E1919)*$D1919</f>
        <v/>
      </c>
      <c r="AI1919" s="35">
        <f>INDEX(AI$280:AI$296,$E1919)*$D1919</f>
        <v/>
      </c>
      <c r="AJ1919" s="35">
        <f>INDEX(AJ$280:AJ$296,$E1919)*$D1919</f>
        <v/>
      </c>
      <c r="AK1919" s="35">
        <f>INDEX(AK$280:AK$296,$E1919)*$D1919</f>
        <v/>
      </c>
      <c r="AL1919" s="35">
        <f>INDEX(AL$280:AL$296,$E1919)*$D1919</f>
        <v/>
      </c>
      <c r="AM1919" s="35">
        <f>INDEX(AM$280:AM$296,$E1919)*$D1919</f>
        <v/>
      </c>
      <c r="AN1919" s="35">
        <f>INDEX(AN$280:AN$296,$E1919)*$D1919</f>
        <v/>
      </c>
      <c r="AO1919" s="35">
        <f>INDEX(AO$280:AO$296,$E1919)*$D1919</f>
        <v/>
      </c>
      <c r="AP1919" s="35">
        <f>INDEX(AP$280:AP$296,$E1919)*$D1919</f>
        <v/>
      </c>
      <c r="AQ1919" s="35">
        <f>INDEX(AQ$280:AQ$296,$E1919)*$D1919</f>
        <v/>
      </c>
      <c r="AR1919" s="35">
        <f>INDEX(AR$280:AR$296,$E1919)*$D1919</f>
        <v/>
      </c>
      <c r="AS1919" s="35">
        <f>INDEX(AS$280:AS$296,$E1919)*$D1919</f>
        <v/>
      </c>
      <c r="AT1919" s="35">
        <f>INDEX(AT$280:AT$296,$E1919)*$D1919</f>
        <v/>
      </c>
      <c r="AU1919" s="35">
        <f>INDEX(AU$280:AU$296,$E1919)*$D1919</f>
        <v/>
      </c>
      <c r="AV1919" s="35">
        <f>INDEX(AV$280:AV$296,$E1919)*$D1919</f>
        <v/>
      </c>
      <c r="AW1919" s="35">
        <f>INDEX(AW$280:AW$296,$E1919)*$D1919</f>
        <v/>
      </c>
      <c r="AX1919" s="35">
        <f>INDEX(AX$280:AX$296,$E1919)*$D1919</f>
        <v/>
      </c>
      <c r="AY1919" s="35">
        <f>INDEX(AY$280:AY$296,$E1919)*$D1919</f>
        <v/>
      </c>
      <c r="AZ1919" s="35">
        <f>INDEX(AZ$280:AZ$296,$E1919)*$D1919</f>
        <v/>
      </c>
      <c r="BA1919" s="42">
        <f>ETSCOST(INDEX(BA$280:BA$296,$E1919),$D1919)</f>
        <v/>
      </c>
    </row>
    <row r="1920" hidden="1" outlineLevel="2">
      <c r="A1920" s="14" t="inlineStr">
        <is>
          <t>ets</t>
        </is>
      </c>
      <c r="B1920" s="14" t="inlineStr">
        <is>
          <t>gso</t>
        </is>
      </c>
      <c r="C1920" s="14" t="inlineStr">
        <is>
          <t>mch</t>
        </is>
      </c>
      <c r="D1920" s="35">
        <f>INDEX(Inputs!$W$5:$W$132,MATCH($B1920&amp;"|"&amp;$C1920,Inputs!$A$5:$A$132,0))</f>
        <v/>
      </c>
      <c r="E1920" s="35">
        <f>INDEX(Inputs!$M$5:$M$132,MATCH($B1920&amp;"|"&amp;$C1920,Inputs!$A$5:$A$132,0))</f>
        <v/>
      </c>
      <c r="F1920" s="39" t="n"/>
      <c r="G1920" s="39" t="n"/>
      <c r="H1920" s="14">
        <f>INDEX(VarLab,MATCH($A1920,VarKey,0))&amp;INDEX(MemLab,MATCH($C1920&amp;"|"&amp;$B1920,MemKey,0))</f>
        <v/>
      </c>
      <c r="I1920" s="14">
        <f>INDEX(VarUnit,MATCH($A1920,VarKey,0))</f>
        <v/>
      </c>
      <c r="J1920" s="14">
        <f>INDEX(VarSrc,MATCH($A1920,VarKey,0))</f>
        <v/>
      </c>
      <c r="K1920" s="11">
        <f>CodePrefix&amp;$A1920&amp;IF($C1920="","","."&amp;$C1920&amp;"."&amp;$B1920)&amp;INDEX(VarEnd,MATCH($A1920,VarKey,0))&amp;K$5</f>
        <v/>
      </c>
      <c r="L1920" s="40">
        <f>INDEX(L$280:L$296,$E1920)*$D1920</f>
        <v/>
      </c>
      <c r="M1920" s="35">
        <f>INDEX(M$280:M$296,$E1920)*$D1920</f>
        <v/>
      </c>
      <c r="N1920" s="35">
        <f>INDEX(N$280:N$296,$E1920)*$D1920</f>
        <v/>
      </c>
      <c r="O1920" s="35">
        <f>INDEX(O$280:O$296,$E1920)*$D1920</f>
        <v/>
      </c>
      <c r="P1920" s="35">
        <f>INDEX(P$280:P$296,$E1920)*$D1920</f>
        <v/>
      </c>
      <c r="Q1920" s="35">
        <f>INDEX(Q$280:Q$296,$E1920)*$D1920</f>
        <v/>
      </c>
      <c r="R1920" s="35">
        <f>INDEX(R$280:R$296,$E1920)*$D1920</f>
        <v/>
      </c>
      <c r="S1920" s="35">
        <f>INDEX(S$280:S$296,$E1920)*$D1920</f>
        <v/>
      </c>
      <c r="T1920" s="35">
        <f>INDEX(T$280:T$296,$E1920)*$D1920</f>
        <v/>
      </c>
      <c r="U1920" s="35">
        <f>INDEX(U$280:U$296,$E1920)*$D1920</f>
        <v/>
      </c>
      <c r="V1920" s="35">
        <f>INDEX(V$280:V$296,$E1920)*$D1920</f>
        <v/>
      </c>
      <c r="W1920" s="35">
        <f>INDEX(W$280:W$296,$E1920)*$D1920</f>
        <v/>
      </c>
      <c r="X1920" s="35">
        <f>INDEX(X$280:X$296,$E1920)*$D1920</f>
        <v/>
      </c>
      <c r="Y1920" s="35">
        <f>INDEX(Y$280:Y$296,$E1920)*$D1920</f>
        <v/>
      </c>
      <c r="Z1920" s="35">
        <f>INDEX(Z$280:Z$296,$E1920)*$D1920</f>
        <v/>
      </c>
      <c r="AA1920" s="35">
        <f>INDEX(AA$280:AA$296,$E1920)*$D1920</f>
        <v/>
      </c>
      <c r="AB1920" s="35">
        <f>INDEX(AB$280:AB$296,$E1920)*$D1920</f>
        <v/>
      </c>
      <c r="AC1920" s="35">
        <f>INDEX(AC$280:AC$296,$E1920)*$D1920</f>
        <v/>
      </c>
      <c r="AD1920" s="35">
        <f>INDEX(AD$280:AD$296,$E1920)*$D1920</f>
        <v/>
      </c>
      <c r="AE1920" s="42">
        <f>ETSCOST(INDEX(AE$280:AE$296,$E1920),$D1920)</f>
        <v/>
      </c>
      <c r="AG1920" s="11">
        <f>CodePrefix&amp;$A1920&amp;IF($C1920="","","."&amp;$C1920&amp;"."&amp;$B1920)&amp;INDEX(VarEnd,MATCH($A1920,VarKey,0))&amp;AG$5</f>
        <v/>
      </c>
      <c r="AH1920" s="40">
        <f>INDEX(AH$280:AH$296,$E1920)*$D1920</f>
        <v/>
      </c>
      <c r="AI1920" s="35">
        <f>INDEX(AI$280:AI$296,$E1920)*$D1920</f>
        <v/>
      </c>
      <c r="AJ1920" s="35">
        <f>INDEX(AJ$280:AJ$296,$E1920)*$D1920</f>
        <v/>
      </c>
      <c r="AK1920" s="35">
        <f>INDEX(AK$280:AK$296,$E1920)*$D1920</f>
        <v/>
      </c>
      <c r="AL1920" s="35">
        <f>INDEX(AL$280:AL$296,$E1920)*$D1920</f>
        <v/>
      </c>
      <c r="AM1920" s="35">
        <f>INDEX(AM$280:AM$296,$E1920)*$D1920</f>
        <v/>
      </c>
      <c r="AN1920" s="35">
        <f>INDEX(AN$280:AN$296,$E1920)*$D1920</f>
        <v/>
      </c>
      <c r="AO1920" s="35">
        <f>INDEX(AO$280:AO$296,$E1920)*$D1920</f>
        <v/>
      </c>
      <c r="AP1920" s="35">
        <f>INDEX(AP$280:AP$296,$E1920)*$D1920</f>
        <v/>
      </c>
      <c r="AQ1920" s="35">
        <f>INDEX(AQ$280:AQ$296,$E1920)*$D1920</f>
        <v/>
      </c>
      <c r="AR1920" s="35">
        <f>INDEX(AR$280:AR$296,$E1920)*$D1920</f>
        <v/>
      </c>
      <c r="AS1920" s="35">
        <f>INDEX(AS$280:AS$296,$E1920)*$D1920</f>
        <v/>
      </c>
      <c r="AT1920" s="35">
        <f>INDEX(AT$280:AT$296,$E1920)*$D1920</f>
        <v/>
      </c>
      <c r="AU1920" s="35">
        <f>INDEX(AU$280:AU$296,$E1920)*$D1920</f>
        <v/>
      </c>
      <c r="AV1920" s="35">
        <f>INDEX(AV$280:AV$296,$E1920)*$D1920</f>
        <v/>
      </c>
      <c r="AW1920" s="35">
        <f>INDEX(AW$280:AW$296,$E1920)*$D1920</f>
        <v/>
      </c>
      <c r="AX1920" s="35">
        <f>INDEX(AX$280:AX$296,$E1920)*$D1920</f>
        <v/>
      </c>
      <c r="AY1920" s="35">
        <f>INDEX(AY$280:AY$296,$E1920)*$D1920</f>
        <v/>
      </c>
      <c r="AZ1920" s="35">
        <f>INDEX(AZ$280:AZ$296,$E1920)*$D1920</f>
        <v/>
      </c>
      <c r="BA1920" s="42">
        <f>ETSCOST(INDEX(BA$280:BA$296,$E1920),$D1920)</f>
        <v/>
      </c>
    </row>
    <row r="1921" hidden="1" outlineLevel="2">
      <c r="A1921" s="14" t="inlineStr">
        <is>
          <t>ets</t>
        </is>
      </c>
      <c r="B1921" s="14" t="inlineStr">
        <is>
          <t>die</t>
        </is>
      </c>
      <c r="C1921" s="14" t="inlineStr">
        <is>
          <t>mch</t>
        </is>
      </c>
      <c r="D1921" s="35">
        <f>INDEX(Inputs!$W$5:$W$132,MATCH($B1921&amp;"|"&amp;$C1921,Inputs!$A$5:$A$132,0))</f>
        <v/>
      </c>
      <c r="E1921" s="35">
        <f>INDEX(Inputs!$M$5:$M$132,MATCH($B1921&amp;"|"&amp;$C1921,Inputs!$A$5:$A$132,0))</f>
        <v/>
      </c>
      <c r="F1921" s="39" t="n"/>
      <c r="G1921" s="39" t="n"/>
      <c r="H1921" s="14">
        <f>INDEX(VarLab,MATCH($A1921,VarKey,0))&amp;INDEX(MemLab,MATCH($C1921&amp;"|"&amp;$B1921,MemKey,0))</f>
        <v/>
      </c>
      <c r="I1921" s="14">
        <f>INDEX(VarUnit,MATCH($A1921,VarKey,0))</f>
        <v/>
      </c>
      <c r="J1921" s="14">
        <f>INDEX(VarSrc,MATCH($A1921,VarKey,0))</f>
        <v/>
      </c>
      <c r="K1921" s="11">
        <f>CodePrefix&amp;$A1921&amp;IF($C1921="","","."&amp;$C1921&amp;"."&amp;$B1921)&amp;INDEX(VarEnd,MATCH($A1921,VarKey,0))&amp;K$5</f>
        <v/>
      </c>
      <c r="L1921" s="40">
        <f>INDEX(L$280:L$296,$E1921)*$D1921</f>
        <v/>
      </c>
      <c r="M1921" s="35">
        <f>INDEX(M$280:M$296,$E1921)*$D1921</f>
        <v/>
      </c>
      <c r="N1921" s="35">
        <f>INDEX(N$280:N$296,$E1921)*$D1921</f>
        <v/>
      </c>
      <c r="O1921" s="35">
        <f>INDEX(O$280:O$296,$E1921)*$D1921</f>
        <v/>
      </c>
      <c r="P1921" s="35">
        <f>INDEX(P$280:P$296,$E1921)*$D1921</f>
        <v/>
      </c>
      <c r="Q1921" s="35">
        <f>INDEX(Q$280:Q$296,$E1921)*$D1921</f>
        <v/>
      </c>
      <c r="R1921" s="35">
        <f>INDEX(R$280:R$296,$E1921)*$D1921</f>
        <v/>
      </c>
      <c r="S1921" s="35">
        <f>INDEX(S$280:S$296,$E1921)*$D1921</f>
        <v/>
      </c>
      <c r="T1921" s="35">
        <f>INDEX(T$280:T$296,$E1921)*$D1921</f>
        <v/>
      </c>
      <c r="U1921" s="35">
        <f>INDEX(U$280:U$296,$E1921)*$D1921</f>
        <v/>
      </c>
      <c r="V1921" s="35">
        <f>INDEX(V$280:V$296,$E1921)*$D1921</f>
        <v/>
      </c>
      <c r="W1921" s="35">
        <f>INDEX(W$280:W$296,$E1921)*$D1921</f>
        <v/>
      </c>
      <c r="X1921" s="35">
        <f>INDEX(X$280:X$296,$E1921)*$D1921</f>
        <v/>
      </c>
      <c r="Y1921" s="35">
        <f>INDEX(Y$280:Y$296,$E1921)*$D1921</f>
        <v/>
      </c>
      <c r="Z1921" s="35">
        <f>INDEX(Z$280:Z$296,$E1921)*$D1921</f>
        <v/>
      </c>
      <c r="AA1921" s="35">
        <f>INDEX(AA$280:AA$296,$E1921)*$D1921</f>
        <v/>
      </c>
      <c r="AB1921" s="35">
        <f>INDEX(AB$280:AB$296,$E1921)*$D1921</f>
        <v/>
      </c>
      <c r="AC1921" s="35">
        <f>INDEX(AC$280:AC$296,$E1921)*$D1921</f>
        <v/>
      </c>
      <c r="AD1921" s="35">
        <f>INDEX(AD$280:AD$296,$E1921)*$D1921</f>
        <v/>
      </c>
      <c r="AE1921" s="42">
        <f>ETSCOST(INDEX(AE$280:AE$296,$E1921),$D1921)</f>
        <v/>
      </c>
      <c r="AG1921" s="11">
        <f>CodePrefix&amp;$A1921&amp;IF($C1921="","","."&amp;$C1921&amp;"."&amp;$B1921)&amp;INDEX(VarEnd,MATCH($A1921,VarKey,0))&amp;AG$5</f>
        <v/>
      </c>
      <c r="AH1921" s="40">
        <f>INDEX(AH$280:AH$296,$E1921)*$D1921</f>
        <v/>
      </c>
      <c r="AI1921" s="35">
        <f>INDEX(AI$280:AI$296,$E1921)*$D1921</f>
        <v/>
      </c>
      <c r="AJ1921" s="35">
        <f>INDEX(AJ$280:AJ$296,$E1921)*$D1921</f>
        <v/>
      </c>
      <c r="AK1921" s="35">
        <f>INDEX(AK$280:AK$296,$E1921)*$D1921</f>
        <v/>
      </c>
      <c r="AL1921" s="35">
        <f>INDEX(AL$280:AL$296,$E1921)*$D1921</f>
        <v/>
      </c>
      <c r="AM1921" s="35">
        <f>INDEX(AM$280:AM$296,$E1921)*$D1921</f>
        <v/>
      </c>
      <c r="AN1921" s="35">
        <f>INDEX(AN$280:AN$296,$E1921)*$D1921</f>
        <v/>
      </c>
      <c r="AO1921" s="35">
        <f>INDEX(AO$280:AO$296,$E1921)*$D1921</f>
        <v/>
      </c>
      <c r="AP1921" s="35">
        <f>INDEX(AP$280:AP$296,$E1921)*$D1921</f>
        <v/>
      </c>
      <c r="AQ1921" s="35">
        <f>INDEX(AQ$280:AQ$296,$E1921)*$D1921</f>
        <v/>
      </c>
      <c r="AR1921" s="35">
        <f>INDEX(AR$280:AR$296,$E1921)*$D1921</f>
        <v/>
      </c>
      <c r="AS1921" s="35">
        <f>INDEX(AS$280:AS$296,$E1921)*$D1921</f>
        <v/>
      </c>
      <c r="AT1921" s="35">
        <f>INDEX(AT$280:AT$296,$E1921)*$D1921</f>
        <v/>
      </c>
      <c r="AU1921" s="35">
        <f>INDEX(AU$280:AU$296,$E1921)*$D1921</f>
        <v/>
      </c>
      <c r="AV1921" s="35">
        <f>INDEX(AV$280:AV$296,$E1921)*$D1921</f>
        <v/>
      </c>
      <c r="AW1921" s="35">
        <f>INDEX(AW$280:AW$296,$E1921)*$D1921</f>
        <v/>
      </c>
      <c r="AX1921" s="35">
        <f>INDEX(AX$280:AX$296,$E1921)*$D1921</f>
        <v/>
      </c>
      <c r="AY1921" s="35">
        <f>INDEX(AY$280:AY$296,$E1921)*$D1921</f>
        <v/>
      </c>
      <c r="AZ1921" s="35">
        <f>INDEX(AZ$280:AZ$296,$E1921)*$D1921</f>
        <v/>
      </c>
      <c r="BA1921" s="42">
        <f>ETSCOST(INDEX(BA$280:BA$296,$E1921),$D1921)</f>
        <v/>
      </c>
    </row>
    <row r="1922" hidden="1" outlineLevel="2">
      <c r="A1922" s="14" t="inlineStr">
        <is>
          <t>ets</t>
        </is>
      </c>
      <c r="B1922" s="14" t="inlineStr">
        <is>
          <t>lpg</t>
        </is>
      </c>
      <c r="C1922" s="14" t="inlineStr">
        <is>
          <t>mch</t>
        </is>
      </c>
      <c r="D1922" s="35">
        <f>INDEX(Inputs!$W$5:$W$132,MATCH($B1922&amp;"|"&amp;$C1922,Inputs!$A$5:$A$132,0))</f>
        <v/>
      </c>
      <c r="E1922" s="35">
        <f>INDEX(Inputs!$M$5:$M$132,MATCH($B1922&amp;"|"&amp;$C1922,Inputs!$A$5:$A$132,0))</f>
        <v/>
      </c>
      <c r="F1922" s="39" t="n"/>
      <c r="G1922" s="39" t="n"/>
      <c r="H1922" s="14">
        <f>INDEX(VarLab,MATCH($A1922,VarKey,0))&amp;INDEX(MemLab,MATCH($C1922&amp;"|"&amp;$B1922,MemKey,0))</f>
        <v/>
      </c>
      <c r="I1922" s="14">
        <f>INDEX(VarUnit,MATCH($A1922,VarKey,0))</f>
        <v/>
      </c>
      <c r="J1922" s="14">
        <f>INDEX(VarSrc,MATCH($A1922,VarKey,0))</f>
        <v/>
      </c>
      <c r="K1922" s="11">
        <f>CodePrefix&amp;$A1922&amp;IF($C1922="","","."&amp;$C1922&amp;"."&amp;$B1922)&amp;INDEX(VarEnd,MATCH($A1922,VarKey,0))&amp;K$5</f>
        <v/>
      </c>
      <c r="L1922" s="40">
        <f>INDEX(L$280:L$296,$E1922)*$D1922</f>
        <v/>
      </c>
      <c r="M1922" s="35">
        <f>INDEX(M$280:M$296,$E1922)*$D1922</f>
        <v/>
      </c>
      <c r="N1922" s="35">
        <f>INDEX(N$280:N$296,$E1922)*$D1922</f>
        <v/>
      </c>
      <c r="O1922" s="35">
        <f>INDEX(O$280:O$296,$E1922)*$D1922</f>
        <v/>
      </c>
      <c r="P1922" s="35">
        <f>INDEX(P$280:P$296,$E1922)*$D1922</f>
        <v/>
      </c>
      <c r="Q1922" s="35">
        <f>INDEX(Q$280:Q$296,$E1922)*$D1922</f>
        <v/>
      </c>
      <c r="R1922" s="35">
        <f>INDEX(R$280:R$296,$E1922)*$D1922</f>
        <v/>
      </c>
      <c r="S1922" s="35">
        <f>INDEX(S$280:S$296,$E1922)*$D1922</f>
        <v/>
      </c>
      <c r="T1922" s="35">
        <f>INDEX(T$280:T$296,$E1922)*$D1922</f>
        <v/>
      </c>
      <c r="U1922" s="35">
        <f>INDEX(U$280:U$296,$E1922)*$D1922</f>
        <v/>
      </c>
      <c r="V1922" s="35">
        <f>INDEX(V$280:V$296,$E1922)*$D1922</f>
        <v/>
      </c>
      <c r="W1922" s="35">
        <f>INDEX(W$280:W$296,$E1922)*$D1922</f>
        <v/>
      </c>
      <c r="X1922" s="35">
        <f>INDEX(X$280:X$296,$E1922)*$D1922</f>
        <v/>
      </c>
      <c r="Y1922" s="35">
        <f>INDEX(Y$280:Y$296,$E1922)*$D1922</f>
        <v/>
      </c>
      <c r="Z1922" s="35">
        <f>INDEX(Z$280:Z$296,$E1922)*$D1922</f>
        <v/>
      </c>
      <c r="AA1922" s="35">
        <f>INDEX(AA$280:AA$296,$E1922)*$D1922</f>
        <v/>
      </c>
      <c r="AB1922" s="35">
        <f>INDEX(AB$280:AB$296,$E1922)*$D1922</f>
        <v/>
      </c>
      <c r="AC1922" s="35">
        <f>INDEX(AC$280:AC$296,$E1922)*$D1922</f>
        <v/>
      </c>
      <c r="AD1922" s="35">
        <f>INDEX(AD$280:AD$296,$E1922)*$D1922</f>
        <v/>
      </c>
      <c r="AE1922" s="42">
        <f>ETSCOST(INDEX(AE$280:AE$296,$E1922),$D1922)</f>
        <v/>
      </c>
      <c r="AG1922" s="11">
        <f>CodePrefix&amp;$A1922&amp;IF($C1922="","","."&amp;$C1922&amp;"."&amp;$B1922)&amp;INDEX(VarEnd,MATCH($A1922,VarKey,0))&amp;AG$5</f>
        <v/>
      </c>
      <c r="AH1922" s="40">
        <f>INDEX(AH$280:AH$296,$E1922)*$D1922</f>
        <v/>
      </c>
      <c r="AI1922" s="35">
        <f>INDEX(AI$280:AI$296,$E1922)*$D1922</f>
        <v/>
      </c>
      <c r="AJ1922" s="35">
        <f>INDEX(AJ$280:AJ$296,$E1922)*$D1922</f>
        <v/>
      </c>
      <c r="AK1922" s="35">
        <f>INDEX(AK$280:AK$296,$E1922)*$D1922</f>
        <v/>
      </c>
      <c r="AL1922" s="35">
        <f>INDEX(AL$280:AL$296,$E1922)*$D1922</f>
        <v/>
      </c>
      <c r="AM1922" s="35">
        <f>INDEX(AM$280:AM$296,$E1922)*$D1922</f>
        <v/>
      </c>
      <c r="AN1922" s="35">
        <f>INDEX(AN$280:AN$296,$E1922)*$D1922</f>
        <v/>
      </c>
      <c r="AO1922" s="35">
        <f>INDEX(AO$280:AO$296,$E1922)*$D1922</f>
        <v/>
      </c>
      <c r="AP1922" s="35">
        <f>INDEX(AP$280:AP$296,$E1922)*$D1922</f>
        <v/>
      </c>
      <c r="AQ1922" s="35">
        <f>INDEX(AQ$280:AQ$296,$E1922)*$D1922</f>
        <v/>
      </c>
      <c r="AR1922" s="35">
        <f>INDEX(AR$280:AR$296,$E1922)*$D1922</f>
        <v/>
      </c>
      <c r="AS1922" s="35">
        <f>INDEX(AS$280:AS$296,$E1922)*$D1922</f>
        <v/>
      </c>
      <c r="AT1922" s="35">
        <f>INDEX(AT$280:AT$296,$E1922)*$D1922</f>
        <v/>
      </c>
      <c r="AU1922" s="35">
        <f>INDEX(AU$280:AU$296,$E1922)*$D1922</f>
        <v/>
      </c>
      <c r="AV1922" s="35">
        <f>INDEX(AV$280:AV$296,$E1922)*$D1922</f>
        <v/>
      </c>
      <c r="AW1922" s="35">
        <f>INDEX(AW$280:AW$296,$E1922)*$D1922</f>
        <v/>
      </c>
      <c r="AX1922" s="35">
        <f>INDEX(AX$280:AX$296,$E1922)*$D1922</f>
        <v/>
      </c>
      <c r="AY1922" s="35">
        <f>INDEX(AY$280:AY$296,$E1922)*$D1922</f>
        <v/>
      </c>
      <c r="AZ1922" s="35">
        <f>INDEX(AZ$280:AZ$296,$E1922)*$D1922</f>
        <v/>
      </c>
      <c r="BA1922" s="42">
        <f>ETSCOST(INDEX(BA$280:BA$296,$E1922),$D1922)</f>
        <v/>
      </c>
    </row>
    <row r="1923" hidden="1" outlineLevel="2">
      <c r="A1923" s="14" t="inlineStr">
        <is>
          <t>ets</t>
        </is>
      </c>
      <c r="B1923" s="14" t="inlineStr">
        <is>
          <t>ker</t>
        </is>
      </c>
      <c r="C1923" s="14" t="inlineStr">
        <is>
          <t>mch</t>
        </is>
      </c>
      <c r="D1923" s="35">
        <f>INDEX(Inputs!$W$5:$W$132,MATCH($B1923&amp;"|"&amp;$C1923,Inputs!$A$5:$A$132,0))</f>
        <v/>
      </c>
      <c r="E1923" s="35">
        <f>INDEX(Inputs!$M$5:$M$132,MATCH($B1923&amp;"|"&amp;$C1923,Inputs!$A$5:$A$132,0))</f>
        <v/>
      </c>
      <c r="F1923" s="39" t="n"/>
      <c r="G1923" s="39" t="n"/>
      <c r="H1923" s="14">
        <f>INDEX(VarLab,MATCH($A1923,VarKey,0))&amp;INDEX(MemLab,MATCH($C1923&amp;"|"&amp;$B1923,MemKey,0))</f>
        <v/>
      </c>
      <c r="I1923" s="14">
        <f>INDEX(VarUnit,MATCH($A1923,VarKey,0))</f>
        <v/>
      </c>
      <c r="J1923" s="14">
        <f>INDEX(VarSrc,MATCH($A1923,VarKey,0))</f>
        <v/>
      </c>
      <c r="K1923" s="11">
        <f>CodePrefix&amp;$A1923&amp;IF($C1923="","","."&amp;$C1923&amp;"."&amp;$B1923)&amp;INDEX(VarEnd,MATCH($A1923,VarKey,0))&amp;K$5</f>
        <v/>
      </c>
      <c r="L1923" s="40">
        <f>INDEX(L$280:L$296,$E1923)*$D1923</f>
        <v/>
      </c>
      <c r="M1923" s="35">
        <f>INDEX(M$280:M$296,$E1923)*$D1923</f>
        <v/>
      </c>
      <c r="N1923" s="35">
        <f>INDEX(N$280:N$296,$E1923)*$D1923</f>
        <v/>
      </c>
      <c r="O1923" s="35">
        <f>INDEX(O$280:O$296,$E1923)*$D1923</f>
        <v/>
      </c>
      <c r="P1923" s="35">
        <f>INDEX(P$280:P$296,$E1923)*$D1923</f>
        <v/>
      </c>
      <c r="Q1923" s="35">
        <f>INDEX(Q$280:Q$296,$E1923)*$D1923</f>
        <v/>
      </c>
      <c r="R1923" s="35">
        <f>INDEX(R$280:R$296,$E1923)*$D1923</f>
        <v/>
      </c>
      <c r="S1923" s="35">
        <f>INDEX(S$280:S$296,$E1923)*$D1923</f>
        <v/>
      </c>
      <c r="T1923" s="35">
        <f>INDEX(T$280:T$296,$E1923)*$D1923</f>
        <v/>
      </c>
      <c r="U1923" s="35">
        <f>INDEX(U$280:U$296,$E1923)*$D1923</f>
        <v/>
      </c>
      <c r="V1923" s="35">
        <f>INDEX(V$280:V$296,$E1923)*$D1923</f>
        <v/>
      </c>
      <c r="W1923" s="35">
        <f>INDEX(W$280:W$296,$E1923)*$D1923</f>
        <v/>
      </c>
      <c r="X1923" s="35">
        <f>INDEX(X$280:X$296,$E1923)*$D1923</f>
        <v/>
      </c>
      <c r="Y1923" s="35">
        <f>INDEX(Y$280:Y$296,$E1923)*$D1923</f>
        <v/>
      </c>
      <c r="Z1923" s="35">
        <f>INDEX(Z$280:Z$296,$E1923)*$D1923</f>
        <v/>
      </c>
      <c r="AA1923" s="35">
        <f>INDEX(AA$280:AA$296,$E1923)*$D1923</f>
        <v/>
      </c>
      <c r="AB1923" s="35">
        <f>INDEX(AB$280:AB$296,$E1923)*$D1923</f>
        <v/>
      </c>
      <c r="AC1923" s="35">
        <f>INDEX(AC$280:AC$296,$E1923)*$D1923</f>
        <v/>
      </c>
      <c r="AD1923" s="35">
        <f>INDEX(AD$280:AD$296,$E1923)*$D1923</f>
        <v/>
      </c>
      <c r="AE1923" s="42">
        <f>ETSCOST(INDEX(AE$280:AE$296,$E1923),$D1923)</f>
        <v/>
      </c>
      <c r="AG1923" s="11">
        <f>CodePrefix&amp;$A1923&amp;IF($C1923="","","."&amp;$C1923&amp;"."&amp;$B1923)&amp;INDEX(VarEnd,MATCH($A1923,VarKey,0))&amp;AG$5</f>
        <v/>
      </c>
      <c r="AH1923" s="40">
        <f>INDEX(AH$280:AH$296,$E1923)*$D1923</f>
        <v/>
      </c>
      <c r="AI1923" s="35">
        <f>INDEX(AI$280:AI$296,$E1923)*$D1923</f>
        <v/>
      </c>
      <c r="AJ1923" s="35">
        <f>INDEX(AJ$280:AJ$296,$E1923)*$D1923</f>
        <v/>
      </c>
      <c r="AK1923" s="35">
        <f>INDEX(AK$280:AK$296,$E1923)*$D1923</f>
        <v/>
      </c>
      <c r="AL1923" s="35">
        <f>INDEX(AL$280:AL$296,$E1923)*$D1923</f>
        <v/>
      </c>
      <c r="AM1923" s="35">
        <f>INDEX(AM$280:AM$296,$E1923)*$D1923</f>
        <v/>
      </c>
      <c r="AN1923" s="35">
        <f>INDEX(AN$280:AN$296,$E1923)*$D1923</f>
        <v/>
      </c>
      <c r="AO1923" s="35">
        <f>INDEX(AO$280:AO$296,$E1923)*$D1923</f>
        <v/>
      </c>
      <c r="AP1923" s="35">
        <f>INDEX(AP$280:AP$296,$E1923)*$D1923</f>
        <v/>
      </c>
      <c r="AQ1923" s="35">
        <f>INDEX(AQ$280:AQ$296,$E1923)*$D1923</f>
        <v/>
      </c>
      <c r="AR1923" s="35">
        <f>INDEX(AR$280:AR$296,$E1923)*$D1923</f>
        <v/>
      </c>
      <c r="AS1923" s="35">
        <f>INDEX(AS$280:AS$296,$E1923)*$D1923</f>
        <v/>
      </c>
      <c r="AT1923" s="35">
        <f>INDEX(AT$280:AT$296,$E1923)*$D1923</f>
        <v/>
      </c>
      <c r="AU1923" s="35">
        <f>INDEX(AU$280:AU$296,$E1923)*$D1923</f>
        <v/>
      </c>
      <c r="AV1923" s="35">
        <f>INDEX(AV$280:AV$296,$E1923)*$D1923</f>
        <v/>
      </c>
      <c r="AW1923" s="35">
        <f>INDEX(AW$280:AW$296,$E1923)*$D1923</f>
        <v/>
      </c>
      <c r="AX1923" s="35">
        <f>INDEX(AX$280:AX$296,$E1923)*$D1923</f>
        <v/>
      </c>
      <c r="AY1923" s="35">
        <f>INDEX(AY$280:AY$296,$E1923)*$D1923</f>
        <v/>
      </c>
      <c r="AZ1923" s="35">
        <f>INDEX(AZ$280:AZ$296,$E1923)*$D1923</f>
        <v/>
      </c>
      <c r="BA1923" s="42">
        <f>ETSCOST(INDEX(BA$280:BA$296,$E1923),$D1923)</f>
        <v/>
      </c>
    </row>
    <row r="1924" hidden="1" outlineLevel="2">
      <c r="A1924" s="14" t="inlineStr">
        <is>
          <t>ets</t>
        </is>
      </c>
      <c r="B1924" s="14" t="inlineStr">
        <is>
          <t>oop</t>
        </is>
      </c>
      <c r="C1924" s="14" t="inlineStr">
        <is>
          <t>mch</t>
        </is>
      </c>
      <c r="D1924" s="35">
        <f>INDEX(Inputs!$W$5:$W$132,MATCH($B1924&amp;"|"&amp;$C1924,Inputs!$A$5:$A$132,0))</f>
        <v/>
      </c>
      <c r="E1924" s="35">
        <f>INDEX(Inputs!$M$5:$M$132,MATCH($B1924&amp;"|"&amp;$C1924,Inputs!$A$5:$A$132,0))</f>
        <v/>
      </c>
      <c r="F1924" s="39" t="n"/>
      <c r="G1924" s="39" t="n"/>
      <c r="H1924" s="14">
        <f>INDEX(VarLab,MATCH($A1924,VarKey,0))&amp;INDEX(MemLab,MATCH($C1924&amp;"|"&amp;$B1924,MemKey,0))</f>
        <v/>
      </c>
      <c r="I1924" s="14">
        <f>INDEX(VarUnit,MATCH($A1924,VarKey,0))</f>
        <v/>
      </c>
      <c r="J1924" s="14">
        <f>INDEX(VarSrc,MATCH($A1924,VarKey,0))</f>
        <v/>
      </c>
      <c r="K1924" s="11">
        <f>CodePrefix&amp;$A1924&amp;IF($C1924="","","."&amp;$C1924&amp;"."&amp;$B1924)&amp;INDEX(VarEnd,MATCH($A1924,VarKey,0))&amp;K$5</f>
        <v/>
      </c>
      <c r="L1924" s="40">
        <f>INDEX(L$280:L$296,$E1924)*$D1924</f>
        <v/>
      </c>
      <c r="M1924" s="35">
        <f>INDEX(M$280:M$296,$E1924)*$D1924</f>
        <v/>
      </c>
      <c r="N1924" s="35">
        <f>INDEX(N$280:N$296,$E1924)*$D1924</f>
        <v/>
      </c>
      <c r="O1924" s="35">
        <f>INDEX(O$280:O$296,$E1924)*$D1924</f>
        <v/>
      </c>
      <c r="P1924" s="35">
        <f>INDEX(P$280:P$296,$E1924)*$D1924</f>
        <v/>
      </c>
      <c r="Q1924" s="35">
        <f>INDEX(Q$280:Q$296,$E1924)*$D1924</f>
        <v/>
      </c>
      <c r="R1924" s="35">
        <f>INDEX(R$280:R$296,$E1924)*$D1924</f>
        <v/>
      </c>
      <c r="S1924" s="35">
        <f>INDEX(S$280:S$296,$E1924)*$D1924</f>
        <v/>
      </c>
      <c r="T1924" s="35">
        <f>INDEX(T$280:T$296,$E1924)*$D1924</f>
        <v/>
      </c>
      <c r="U1924" s="35">
        <f>INDEX(U$280:U$296,$E1924)*$D1924</f>
        <v/>
      </c>
      <c r="V1924" s="35">
        <f>INDEX(V$280:V$296,$E1924)*$D1924</f>
        <v/>
      </c>
      <c r="W1924" s="35">
        <f>INDEX(W$280:W$296,$E1924)*$D1924</f>
        <v/>
      </c>
      <c r="X1924" s="35">
        <f>INDEX(X$280:X$296,$E1924)*$D1924</f>
        <v/>
      </c>
      <c r="Y1924" s="35">
        <f>INDEX(Y$280:Y$296,$E1924)*$D1924</f>
        <v/>
      </c>
      <c r="Z1924" s="35">
        <f>INDEX(Z$280:Z$296,$E1924)*$D1924</f>
        <v/>
      </c>
      <c r="AA1924" s="35">
        <f>INDEX(AA$280:AA$296,$E1924)*$D1924</f>
        <v/>
      </c>
      <c r="AB1924" s="35">
        <f>INDEX(AB$280:AB$296,$E1924)*$D1924</f>
        <v/>
      </c>
      <c r="AC1924" s="35">
        <f>INDEX(AC$280:AC$296,$E1924)*$D1924</f>
        <v/>
      </c>
      <c r="AD1924" s="35">
        <f>INDEX(AD$280:AD$296,$E1924)*$D1924</f>
        <v/>
      </c>
      <c r="AE1924" s="42">
        <f>ETSCOST(INDEX(AE$280:AE$296,$E1924),$D1924)</f>
        <v/>
      </c>
      <c r="AG1924" s="11">
        <f>CodePrefix&amp;$A1924&amp;IF($C1924="","","."&amp;$C1924&amp;"."&amp;$B1924)&amp;INDEX(VarEnd,MATCH($A1924,VarKey,0))&amp;AG$5</f>
        <v/>
      </c>
      <c r="AH1924" s="40">
        <f>INDEX(AH$280:AH$296,$E1924)*$D1924</f>
        <v/>
      </c>
      <c r="AI1924" s="35">
        <f>INDEX(AI$280:AI$296,$E1924)*$D1924</f>
        <v/>
      </c>
      <c r="AJ1924" s="35">
        <f>INDEX(AJ$280:AJ$296,$E1924)*$D1924</f>
        <v/>
      </c>
      <c r="AK1924" s="35">
        <f>INDEX(AK$280:AK$296,$E1924)*$D1924</f>
        <v/>
      </c>
      <c r="AL1924" s="35">
        <f>INDEX(AL$280:AL$296,$E1924)*$D1924</f>
        <v/>
      </c>
      <c r="AM1924" s="35">
        <f>INDEX(AM$280:AM$296,$E1924)*$D1924</f>
        <v/>
      </c>
      <c r="AN1924" s="35">
        <f>INDEX(AN$280:AN$296,$E1924)*$D1924</f>
        <v/>
      </c>
      <c r="AO1924" s="35">
        <f>INDEX(AO$280:AO$296,$E1924)*$D1924</f>
        <v/>
      </c>
      <c r="AP1924" s="35">
        <f>INDEX(AP$280:AP$296,$E1924)*$D1924</f>
        <v/>
      </c>
      <c r="AQ1924" s="35">
        <f>INDEX(AQ$280:AQ$296,$E1924)*$D1924</f>
        <v/>
      </c>
      <c r="AR1924" s="35">
        <f>INDEX(AR$280:AR$296,$E1924)*$D1924</f>
        <v/>
      </c>
      <c r="AS1924" s="35">
        <f>INDEX(AS$280:AS$296,$E1924)*$D1924</f>
        <v/>
      </c>
      <c r="AT1924" s="35">
        <f>INDEX(AT$280:AT$296,$E1924)*$D1924</f>
        <v/>
      </c>
      <c r="AU1924" s="35">
        <f>INDEX(AU$280:AU$296,$E1924)*$D1924</f>
        <v/>
      </c>
      <c r="AV1924" s="35">
        <f>INDEX(AV$280:AV$296,$E1924)*$D1924</f>
        <v/>
      </c>
      <c r="AW1924" s="35">
        <f>INDEX(AW$280:AW$296,$E1924)*$D1924</f>
        <v/>
      </c>
      <c r="AX1924" s="35">
        <f>INDEX(AX$280:AX$296,$E1924)*$D1924</f>
        <v/>
      </c>
      <c r="AY1924" s="35">
        <f>INDEX(AY$280:AY$296,$E1924)*$D1924</f>
        <v/>
      </c>
      <c r="AZ1924" s="35">
        <f>INDEX(AZ$280:AZ$296,$E1924)*$D1924</f>
        <v/>
      </c>
      <c r="BA1924" s="42">
        <f>ETSCOST(INDEX(BA$280:BA$296,$E1924),$D1924)</f>
        <v/>
      </c>
    </row>
    <row r="1925" hidden="1" outlineLevel="2">
      <c r="A1925" s="14" t="inlineStr">
        <is>
          <t>ets</t>
        </is>
      </c>
      <c r="B1925" s="14" t="inlineStr">
        <is>
          <t>bio</t>
        </is>
      </c>
      <c r="C1925" s="14" t="inlineStr">
        <is>
          <t>mch</t>
        </is>
      </c>
      <c r="D1925" s="35">
        <f>INDEX(Inputs!$W$5:$W$132,MATCH($B1925&amp;"|"&amp;$C1925,Inputs!$A$5:$A$132,0))</f>
        <v/>
      </c>
      <c r="E1925" s="35">
        <f>INDEX(Inputs!$M$5:$M$132,MATCH($B1925&amp;"|"&amp;$C1925,Inputs!$A$5:$A$132,0))</f>
        <v/>
      </c>
      <c r="F1925" s="39" t="n"/>
      <c r="G1925" s="39" t="n"/>
      <c r="H1925" s="14">
        <f>INDEX(VarLab,MATCH($A1925,VarKey,0))&amp;INDEX(MemLab,MATCH($C1925&amp;"|"&amp;$B1925,MemKey,0))</f>
        <v/>
      </c>
      <c r="I1925" s="14">
        <f>INDEX(VarUnit,MATCH($A1925,VarKey,0))</f>
        <v/>
      </c>
      <c r="J1925" s="14">
        <f>INDEX(VarSrc,MATCH($A1925,VarKey,0))</f>
        <v/>
      </c>
      <c r="K1925" s="11">
        <f>CodePrefix&amp;$A1925&amp;IF($C1925="","","."&amp;$C1925&amp;"."&amp;$B1925)&amp;INDEX(VarEnd,MATCH($A1925,VarKey,0))&amp;K$5</f>
        <v/>
      </c>
      <c r="L1925" s="40">
        <f>INDEX(L$280:L$296,$E1925)*$D1925</f>
        <v/>
      </c>
      <c r="M1925" s="35">
        <f>INDEX(M$280:M$296,$E1925)*$D1925</f>
        <v/>
      </c>
      <c r="N1925" s="35">
        <f>INDEX(N$280:N$296,$E1925)*$D1925</f>
        <v/>
      </c>
      <c r="O1925" s="35">
        <f>INDEX(O$280:O$296,$E1925)*$D1925</f>
        <v/>
      </c>
      <c r="P1925" s="35">
        <f>INDEX(P$280:P$296,$E1925)*$D1925</f>
        <v/>
      </c>
      <c r="Q1925" s="35">
        <f>INDEX(Q$280:Q$296,$E1925)*$D1925</f>
        <v/>
      </c>
      <c r="R1925" s="35">
        <f>INDEX(R$280:R$296,$E1925)*$D1925</f>
        <v/>
      </c>
      <c r="S1925" s="35">
        <f>INDEX(S$280:S$296,$E1925)*$D1925</f>
        <v/>
      </c>
      <c r="T1925" s="35">
        <f>INDEX(T$280:T$296,$E1925)*$D1925</f>
        <v/>
      </c>
      <c r="U1925" s="35">
        <f>INDEX(U$280:U$296,$E1925)*$D1925</f>
        <v/>
      </c>
      <c r="V1925" s="35">
        <f>INDEX(V$280:V$296,$E1925)*$D1925</f>
        <v/>
      </c>
      <c r="W1925" s="35">
        <f>INDEX(W$280:W$296,$E1925)*$D1925</f>
        <v/>
      </c>
      <c r="X1925" s="35">
        <f>INDEX(X$280:X$296,$E1925)*$D1925</f>
        <v/>
      </c>
      <c r="Y1925" s="35">
        <f>INDEX(Y$280:Y$296,$E1925)*$D1925</f>
        <v/>
      </c>
      <c r="Z1925" s="35">
        <f>INDEX(Z$280:Z$296,$E1925)*$D1925</f>
        <v/>
      </c>
      <c r="AA1925" s="35">
        <f>INDEX(AA$280:AA$296,$E1925)*$D1925</f>
        <v/>
      </c>
      <c r="AB1925" s="35">
        <f>INDEX(AB$280:AB$296,$E1925)*$D1925</f>
        <v/>
      </c>
      <c r="AC1925" s="35">
        <f>INDEX(AC$280:AC$296,$E1925)*$D1925</f>
        <v/>
      </c>
      <c r="AD1925" s="35">
        <f>INDEX(AD$280:AD$296,$E1925)*$D1925</f>
        <v/>
      </c>
      <c r="AE1925" s="42">
        <f>ETSCOST(INDEX(AE$280:AE$296,$E1925),$D1925)</f>
        <v/>
      </c>
      <c r="AG1925" s="11">
        <f>CodePrefix&amp;$A1925&amp;IF($C1925="","","."&amp;$C1925&amp;"."&amp;$B1925)&amp;INDEX(VarEnd,MATCH($A1925,VarKey,0))&amp;AG$5</f>
        <v/>
      </c>
      <c r="AH1925" s="40">
        <f>INDEX(AH$280:AH$296,$E1925)*$D1925</f>
        <v/>
      </c>
      <c r="AI1925" s="35">
        <f>INDEX(AI$280:AI$296,$E1925)*$D1925</f>
        <v/>
      </c>
      <c r="AJ1925" s="35">
        <f>INDEX(AJ$280:AJ$296,$E1925)*$D1925</f>
        <v/>
      </c>
      <c r="AK1925" s="35">
        <f>INDEX(AK$280:AK$296,$E1925)*$D1925</f>
        <v/>
      </c>
      <c r="AL1925" s="35">
        <f>INDEX(AL$280:AL$296,$E1925)*$D1925</f>
        <v/>
      </c>
      <c r="AM1925" s="35">
        <f>INDEX(AM$280:AM$296,$E1925)*$D1925</f>
        <v/>
      </c>
      <c r="AN1925" s="35">
        <f>INDEX(AN$280:AN$296,$E1925)*$D1925</f>
        <v/>
      </c>
      <c r="AO1925" s="35">
        <f>INDEX(AO$280:AO$296,$E1925)*$D1925</f>
        <v/>
      </c>
      <c r="AP1925" s="35">
        <f>INDEX(AP$280:AP$296,$E1925)*$D1925</f>
        <v/>
      </c>
      <c r="AQ1925" s="35">
        <f>INDEX(AQ$280:AQ$296,$E1925)*$D1925</f>
        <v/>
      </c>
      <c r="AR1925" s="35">
        <f>INDEX(AR$280:AR$296,$E1925)*$D1925</f>
        <v/>
      </c>
      <c r="AS1925" s="35">
        <f>INDEX(AS$280:AS$296,$E1925)*$D1925</f>
        <v/>
      </c>
      <c r="AT1925" s="35">
        <f>INDEX(AT$280:AT$296,$E1925)*$D1925</f>
        <v/>
      </c>
      <c r="AU1925" s="35">
        <f>INDEX(AU$280:AU$296,$E1925)*$D1925</f>
        <v/>
      </c>
      <c r="AV1925" s="35">
        <f>INDEX(AV$280:AV$296,$E1925)*$D1925</f>
        <v/>
      </c>
      <c r="AW1925" s="35">
        <f>INDEX(AW$280:AW$296,$E1925)*$D1925</f>
        <v/>
      </c>
      <c r="AX1925" s="35">
        <f>INDEX(AX$280:AX$296,$E1925)*$D1925</f>
        <v/>
      </c>
      <c r="AY1925" s="35">
        <f>INDEX(AY$280:AY$296,$E1925)*$D1925</f>
        <v/>
      </c>
      <c r="AZ1925" s="35">
        <f>INDEX(AZ$280:AZ$296,$E1925)*$D1925</f>
        <v/>
      </c>
      <c r="BA1925" s="42">
        <f>ETSCOST(INDEX(BA$280:BA$296,$E1925),$D1925)</f>
        <v/>
      </c>
    </row>
    <row r="1926" hidden="1" outlineLevel="2"/>
    <row r="1927" hidden="1" outlineLevel="2">
      <c r="A1927" s="14" t="inlineStr">
        <is>
          <t>ntx</t>
        </is>
      </c>
      <c r="B1927" s="14" t="inlineStr">
        <is>
          <t>coa</t>
        </is>
      </c>
      <c r="C1927" s="14" t="inlineStr">
        <is>
          <t>mch</t>
        </is>
      </c>
      <c r="D1927" s="35">
        <f>INDEX(Inputs!$N$5:$N$132,MATCH($B1927&amp;"|"&amp;$C1927,Inputs!$A$5:$A$132,0))</f>
        <v/>
      </c>
      <c r="E1927" s="35">
        <f>INDEX(Inputs!$K$5:$K$132,MATCH($B1927&amp;"|"&amp;$C1927,Inputs!$A$5:$A$132,0))</f>
        <v/>
      </c>
      <c r="F1927" s="39" t="n"/>
      <c r="G1927" s="39" t="n"/>
      <c r="H1927" s="14">
        <f>INDEX(VarLab,MATCH($A1927,VarKey,0))&amp;INDEX(MemLab,MATCH($C1927&amp;"|"&amp;$B1927,MemKey,0))</f>
        <v/>
      </c>
      <c r="I1927" s="14">
        <f>INDEX(VarUnit,MATCH($A1927,VarKey,0))</f>
        <v/>
      </c>
      <c r="J1927" s="14">
        <f>INDEX(VarSrc,MATCH($A1927,VarKey,0))</f>
        <v/>
      </c>
      <c r="K1927" s="11">
        <f>CodePrefix&amp;$A1927&amp;IF($C1927="","","."&amp;$C1927&amp;"."&amp;$B1927)&amp;INDEX(VarEnd,MATCH($A1927,VarKey,0))&amp;K$5</f>
        <v/>
      </c>
      <c r="L1927" s="40">
        <f>INDEX(L$80:L$93,$D1927)/$E1927</f>
        <v/>
      </c>
      <c r="M1927" s="35">
        <f>INDEX(M$80:M$93,$D1927)/$E1927</f>
        <v/>
      </c>
      <c r="N1927" s="35">
        <f>INDEX(N$80:N$93,$D1927)/$E1927</f>
        <v/>
      </c>
      <c r="O1927" s="35">
        <f>INDEX(O$80:O$93,$D1927)/$E1927</f>
        <v/>
      </c>
      <c r="P1927" s="35">
        <f>INDEX(P$80:P$93,$D1927)/$E1927</f>
        <v/>
      </c>
      <c r="Q1927" s="35">
        <f>INDEX(Q$80:Q$93,$D1927)/$E1927</f>
        <v/>
      </c>
      <c r="R1927" s="35">
        <f>INDEX(R$80:R$93,$D1927)/$E1927</f>
        <v/>
      </c>
      <c r="S1927" s="35">
        <f>INDEX(S$80:S$93,$D1927)/$E1927</f>
        <v/>
      </c>
      <c r="T1927" s="35">
        <f>INDEX(T$80:T$93,$D1927)/$E1927</f>
        <v/>
      </c>
      <c r="U1927" s="35">
        <f>INDEX(U$80:U$93,$D1927)/$E1927</f>
        <v/>
      </c>
      <c r="V1927" s="35">
        <f>INDEX(V$80:V$93,$D1927)/$E1927</f>
        <v/>
      </c>
      <c r="W1927" s="35">
        <f>INDEX(W$80:W$93,$D1927)/$E1927</f>
        <v/>
      </c>
      <c r="X1927" s="35">
        <f>INDEX(X$80:X$93,$D1927)/$E1927</f>
        <v/>
      </c>
      <c r="Y1927" s="35">
        <f>INDEX(Y$80:Y$93,$D1927)/$E1927</f>
        <v/>
      </c>
      <c r="Z1927" s="35">
        <f>INDEX(Z$80:Z$93,$D1927)/$E1927</f>
        <v/>
      </c>
      <c r="AA1927" s="35">
        <f>INDEX(AA$80:AA$93,$D1927)/$E1927</f>
        <v/>
      </c>
      <c r="AB1927" s="35">
        <f>INDEX(AB$80:AB$93,$D1927)/$E1927</f>
        <v/>
      </c>
      <c r="AC1927" s="35">
        <f>INDEX(AC$80:AC$93,$D1927)/$E1927</f>
        <v/>
      </c>
      <c r="AD1927" s="35">
        <f>INDEX(AD$80:AD$93,$D1927)/$E1927</f>
        <v/>
      </c>
      <c r="AE1927" s="42">
        <f>NEWEXCISE(INDEX(AE$80:AE$93,$D1927),$E1927)</f>
        <v/>
      </c>
      <c r="AG1927" s="11">
        <f>CodePrefix&amp;$A1927&amp;IF($C1927="","","."&amp;$C1927&amp;"."&amp;$B1927)&amp;INDEX(VarEnd,MATCH($A1927,VarKey,0))&amp;AG$5</f>
        <v/>
      </c>
      <c r="AH1927" s="40">
        <f>INDEX(AH$80:AH$93,$D1927)/$E1927</f>
        <v/>
      </c>
      <c r="AI1927" s="35">
        <f>INDEX(AI$80:AI$93,$D1927)/$E1927</f>
        <v/>
      </c>
      <c r="AJ1927" s="35">
        <f>INDEX(AJ$80:AJ$93,$D1927)/$E1927</f>
        <v/>
      </c>
      <c r="AK1927" s="35">
        <f>INDEX(AK$80:AK$93,$D1927)/$E1927</f>
        <v/>
      </c>
      <c r="AL1927" s="35">
        <f>INDEX(AL$80:AL$93,$D1927)/$E1927</f>
        <v/>
      </c>
      <c r="AM1927" s="35">
        <f>INDEX(AM$80:AM$93,$D1927)/$E1927</f>
        <v/>
      </c>
      <c r="AN1927" s="35">
        <f>INDEX(AN$80:AN$93,$D1927)/$E1927</f>
        <v/>
      </c>
      <c r="AO1927" s="35">
        <f>INDEX(AO$80:AO$93,$D1927)/$E1927</f>
        <v/>
      </c>
      <c r="AP1927" s="35">
        <f>INDEX(AP$80:AP$93,$D1927)/$E1927</f>
        <v/>
      </c>
      <c r="AQ1927" s="35">
        <f>INDEX(AQ$80:AQ$93,$D1927)/$E1927</f>
        <v/>
      </c>
      <c r="AR1927" s="35">
        <f>INDEX(AR$80:AR$93,$D1927)/$E1927</f>
        <v/>
      </c>
      <c r="AS1927" s="35">
        <f>INDEX(AS$80:AS$93,$D1927)/$E1927</f>
        <v/>
      </c>
      <c r="AT1927" s="35">
        <f>INDEX(AT$80:AT$93,$D1927)/$E1927</f>
        <v/>
      </c>
      <c r="AU1927" s="35">
        <f>INDEX(AU$80:AU$93,$D1927)/$E1927</f>
        <v/>
      </c>
      <c r="AV1927" s="35">
        <f>INDEX(AV$80:AV$93,$D1927)/$E1927</f>
        <v/>
      </c>
      <c r="AW1927" s="35">
        <f>INDEX(AW$80:AW$93,$D1927)/$E1927</f>
        <v/>
      </c>
      <c r="AX1927" s="35">
        <f>INDEX(AX$80:AX$93,$D1927)/$E1927</f>
        <v/>
      </c>
      <c r="AY1927" s="35">
        <f>INDEX(AY$80:AY$93,$D1927)/$E1927</f>
        <v/>
      </c>
      <c r="AZ1927" s="35">
        <f>INDEX(AZ$80:AZ$93,$D1927)/$E1927</f>
        <v/>
      </c>
      <c r="BA1927" s="42">
        <f>NEWEXCISE(INDEX(BA$80:BA$93,$D1927),$E1927)</f>
        <v/>
      </c>
    </row>
    <row r="1928" hidden="1" outlineLevel="2">
      <c r="A1928" s="14" t="inlineStr">
        <is>
          <t>ntx</t>
        </is>
      </c>
      <c r="B1928" s="14" t="inlineStr">
        <is>
          <t>nga</t>
        </is>
      </c>
      <c r="C1928" s="14" t="inlineStr">
        <is>
          <t>mch</t>
        </is>
      </c>
      <c r="D1928" s="35">
        <f>INDEX(Inputs!$N$5:$N$132,MATCH($B1928&amp;"|"&amp;$C1928,Inputs!$A$5:$A$132,0))</f>
        <v/>
      </c>
      <c r="E1928" s="35">
        <f>INDEX(Inputs!$K$5:$K$132,MATCH($B1928&amp;"|"&amp;$C1928,Inputs!$A$5:$A$132,0))</f>
        <v/>
      </c>
      <c r="F1928" s="39" t="n"/>
      <c r="G1928" s="39" t="n"/>
      <c r="H1928" s="14">
        <f>INDEX(VarLab,MATCH($A1928,VarKey,0))&amp;INDEX(MemLab,MATCH($C1928&amp;"|"&amp;$B1928,MemKey,0))</f>
        <v/>
      </c>
      <c r="I1928" s="14">
        <f>INDEX(VarUnit,MATCH($A1928,VarKey,0))</f>
        <v/>
      </c>
      <c r="J1928" s="14">
        <f>INDEX(VarSrc,MATCH($A1928,VarKey,0))</f>
        <v/>
      </c>
      <c r="K1928" s="11">
        <f>CodePrefix&amp;$A1928&amp;IF($C1928="","","."&amp;$C1928&amp;"."&amp;$B1928)&amp;INDEX(VarEnd,MATCH($A1928,VarKey,0))&amp;K$5</f>
        <v/>
      </c>
      <c r="L1928" s="40">
        <f>INDEX(L$80:L$93,$D1928)/$E1928</f>
        <v/>
      </c>
      <c r="M1928" s="35">
        <f>INDEX(M$80:M$93,$D1928)/$E1928</f>
        <v/>
      </c>
      <c r="N1928" s="35">
        <f>INDEX(N$80:N$93,$D1928)/$E1928</f>
        <v/>
      </c>
      <c r="O1928" s="35">
        <f>INDEX(O$80:O$93,$D1928)/$E1928</f>
        <v/>
      </c>
      <c r="P1928" s="35">
        <f>INDEX(P$80:P$93,$D1928)/$E1928</f>
        <v/>
      </c>
      <c r="Q1928" s="35">
        <f>INDEX(Q$80:Q$93,$D1928)/$E1928</f>
        <v/>
      </c>
      <c r="R1928" s="35">
        <f>INDEX(R$80:R$93,$D1928)/$E1928</f>
        <v/>
      </c>
      <c r="S1928" s="35">
        <f>INDEX(S$80:S$93,$D1928)/$E1928</f>
        <v/>
      </c>
      <c r="T1928" s="35">
        <f>INDEX(T$80:T$93,$D1928)/$E1928</f>
        <v/>
      </c>
      <c r="U1928" s="35">
        <f>INDEX(U$80:U$93,$D1928)/$E1928</f>
        <v/>
      </c>
      <c r="V1928" s="35">
        <f>INDEX(V$80:V$93,$D1928)/$E1928</f>
        <v/>
      </c>
      <c r="W1928" s="35">
        <f>INDEX(W$80:W$93,$D1928)/$E1928</f>
        <v/>
      </c>
      <c r="X1928" s="35">
        <f>INDEX(X$80:X$93,$D1928)/$E1928</f>
        <v/>
      </c>
      <c r="Y1928" s="35">
        <f>INDEX(Y$80:Y$93,$D1928)/$E1928</f>
        <v/>
      </c>
      <c r="Z1928" s="35">
        <f>INDEX(Z$80:Z$93,$D1928)/$E1928</f>
        <v/>
      </c>
      <c r="AA1928" s="35">
        <f>INDEX(AA$80:AA$93,$D1928)/$E1928</f>
        <v/>
      </c>
      <c r="AB1928" s="35">
        <f>INDEX(AB$80:AB$93,$D1928)/$E1928</f>
        <v/>
      </c>
      <c r="AC1928" s="35">
        <f>INDEX(AC$80:AC$93,$D1928)/$E1928</f>
        <v/>
      </c>
      <c r="AD1928" s="35">
        <f>INDEX(AD$80:AD$93,$D1928)/$E1928</f>
        <v/>
      </c>
      <c r="AE1928" s="42">
        <f>NEWEXCISE(INDEX(AE$80:AE$93,$D1928),$E1928)</f>
        <v/>
      </c>
      <c r="AG1928" s="11">
        <f>CodePrefix&amp;$A1928&amp;IF($C1928="","","."&amp;$C1928&amp;"."&amp;$B1928)&amp;INDEX(VarEnd,MATCH($A1928,VarKey,0))&amp;AG$5</f>
        <v/>
      </c>
      <c r="AH1928" s="40">
        <f>INDEX(AH$80:AH$93,$D1928)/$E1928</f>
        <v/>
      </c>
      <c r="AI1928" s="35">
        <f>INDEX(AI$80:AI$93,$D1928)/$E1928</f>
        <v/>
      </c>
      <c r="AJ1928" s="35">
        <f>INDEX(AJ$80:AJ$93,$D1928)/$E1928</f>
        <v/>
      </c>
      <c r="AK1928" s="35">
        <f>INDEX(AK$80:AK$93,$D1928)/$E1928</f>
        <v/>
      </c>
      <c r="AL1928" s="35">
        <f>INDEX(AL$80:AL$93,$D1928)/$E1928</f>
        <v/>
      </c>
      <c r="AM1928" s="35">
        <f>INDEX(AM$80:AM$93,$D1928)/$E1928</f>
        <v/>
      </c>
      <c r="AN1928" s="35">
        <f>INDEX(AN$80:AN$93,$D1928)/$E1928</f>
        <v/>
      </c>
      <c r="AO1928" s="35">
        <f>INDEX(AO$80:AO$93,$D1928)/$E1928</f>
        <v/>
      </c>
      <c r="AP1928" s="35">
        <f>INDEX(AP$80:AP$93,$D1928)/$E1928</f>
        <v/>
      </c>
      <c r="AQ1928" s="35">
        <f>INDEX(AQ$80:AQ$93,$D1928)/$E1928</f>
        <v/>
      </c>
      <c r="AR1928" s="35">
        <f>INDEX(AR$80:AR$93,$D1928)/$E1928</f>
        <v/>
      </c>
      <c r="AS1928" s="35">
        <f>INDEX(AS$80:AS$93,$D1928)/$E1928</f>
        <v/>
      </c>
      <c r="AT1928" s="35">
        <f>INDEX(AT$80:AT$93,$D1928)/$E1928</f>
        <v/>
      </c>
      <c r="AU1928" s="35">
        <f>INDEX(AU$80:AU$93,$D1928)/$E1928</f>
        <v/>
      </c>
      <c r="AV1928" s="35">
        <f>INDEX(AV$80:AV$93,$D1928)/$E1928</f>
        <v/>
      </c>
      <c r="AW1928" s="35">
        <f>INDEX(AW$80:AW$93,$D1928)/$E1928</f>
        <v/>
      </c>
      <c r="AX1928" s="35">
        <f>INDEX(AX$80:AX$93,$D1928)/$E1928</f>
        <v/>
      </c>
      <c r="AY1928" s="35">
        <f>INDEX(AY$80:AY$93,$D1928)/$E1928</f>
        <v/>
      </c>
      <c r="AZ1928" s="35">
        <f>INDEX(AZ$80:AZ$93,$D1928)/$E1928</f>
        <v/>
      </c>
      <c r="BA1928" s="42">
        <f>NEWEXCISE(INDEX(BA$80:BA$93,$D1928),$E1928)</f>
        <v/>
      </c>
    </row>
    <row r="1929" hidden="1" outlineLevel="2">
      <c r="A1929" s="14" t="inlineStr">
        <is>
          <t>ntx</t>
        </is>
      </c>
      <c r="B1929" s="14" t="inlineStr">
        <is>
          <t>gso</t>
        </is>
      </c>
      <c r="C1929" s="14" t="inlineStr">
        <is>
          <t>mch</t>
        </is>
      </c>
      <c r="D1929" s="35">
        <f>INDEX(Inputs!$N$5:$N$132,MATCH($B1929&amp;"|"&amp;$C1929,Inputs!$A$5:$A$132,0))</f>
        <v/>
      </c>
      <c r="E1929" s="35">
        <f>INDEX(Inputs!$K$5:$K$132,MATCH($B1929&amp;"|"&amp;$C1929,Inputs!$A$5:$A$132,0))</f>
        <v/>
      </c>
      <c r="F1929" s="39" t="n"/>
      <c r="G1929" s="39" t="n"/>
      <c r="H1929" s="14">
        <f>INDEX(VarLab,MATCH($A1929,VarKey,0))&amp;INDEX(MemLab,MATCH($C1929&amp;"|"&amp;$B1929,MemKey,0))</f>
        <v/>
      </c>
      <c r="I1929" s="14">
        <f>INDEX(VarUnit,MATCH($A1929,VarKey,0))</f>
        <v/>
      </c>
      <c r="J1929" s="14">
        <f>INDEX(VarSrc,MATCH($A1929,VarKey,0))</f>
        <v/>
      </c>
      <c r="K1929" s="11">
        <f>CodePrefix&amp;$A1929&amp;IF($C1929="","","."&amp;$C1929&amp;"."&amp;$B1929)&amp;INDEX(VarEnd,MATCH($A1929,VarKey,0))&amp;K$5</f>
        <v/>
      </c>
      <c r="L1929" s="40">
        <f>INDEX(L$80:L$93,$D1929)/$E1929</f>
        <v/>
      </c>
      <c r="M1929" s="35">
        <f>INDEX(M$80:M$93,$D1929)/$E1929</f>
        <v/>
      </c>
      <c r="N1929" s="35">
        <f>INDEX(N$80:N$93,$D1929)/$E1929</f>
        <v/>
      </c>
      <c r="O1929" s="35">
        <f>INDEX(O$80:O$93,$D1929)/$E1929</f>
        <v/>
      </c>
      <c r="P1929" s="35">
        <f>INDEX(P$80:P$93,$D1929)/$E1929</f>
        <v/>
      </c>
      <c r="Q1929" s="35">
        <f>INDEX(Q$80:Q$93,$D1929)/$E1929</f>
        <v/>
      </c>
      <c r="R1929" s="35">
        <f>INDEX(R$80:R$93,$D1929)/$E1929</f>
        <v/>
      </c>
      <c r="S1929" s="35">
        <f>INDEX(S$80:S$93,$D1929)/$E1929</f>
        <v/>
      </c>
      <c r="T1929" s="35">
        <f>INDEX(T$80:T$93,$D1929)/$E1929</f>
        <v/>
      </c>
      <c r="U1929" s="35">
        <f>INDEX(U$80:U$93,$D1929)/$E1929</f>
        <v/>
      </c>
      <c r="V1929" s="35">
        <f>INDEX(V$80:V$93,$D1929)/$E1929</f>
        <v/>
      </c>
      <c r="W1929" s="35">
        <f>INDEX(W$80:W$93,$D1929)/$E1929</f>
        <v/>
      </c>
      <c r="X1929" s="35">
        <f>INDEX(X$80:X$93,$D1929)/$E1929</f>
        <v/>
      </c>
      <c r="Y1929" s="35">
        <f>INDEX(Y$80:Y$93,$D1929)/$E1929</f>
        <v/>
      </c>
      <c r="Z1929" s="35">
        <f>INDEX(Z$80:Z$93,$D1929)/$E1929</f>
        <v/>
      </c>
      <c r="AA1929" s="35">
        <f>INDEX(AA$80:AA$93,$D1929)/$E1929</f>
        <v/>
      </c>
      <c r="AB1929" s="35">
        <f>INDEX(AB$80:AB$93,$D1929)/$E1929</f>
        <v/>
      </c>
      <c r="AC1929" s="35">
        <f>INDEX(AC$80:AC$93,$D1929)/$E1929</f>
        <v/>
      </c>
      <c r="AD1929" s="35">
        <f>INDEX(AD$80:AD$93,$D1929)/$E1929</f>
        <v/>
      </c>
      <c r="AE1929" s="42">
        <f>NEWEXCISE(INDEX(AE$80:AE$93,$D1929),$E1929)</f>
        <v/>
      </c>
      <c r="AG1929" s="11">
        <f>CodePrefix&amp;$A1929&amp;IF($C1929="","","."&amp;$C1929&amp;"."&amp;$B1929)&amp;INDEX(VarEnd,MATCH($A1929,VarKey,0))&amp;AG$5</f>
        <v/>
      </c>
      <c r="AH1929" s="40">
        <f>INDEX(AH$80:AH$93,$D1929)/$E1929</f>
        <v/>
      </c>
      <c r="AI1929" s="35">
        <f>INDEX(AI$80:AI$93,$D1929)/$E1929</f>
        <v/>
      </c>
      <c r="AJ1929" s="35">
        <f>INDEX(AJ$80:AJ$93,$D1929)/$E1929</f>
        <v/>
      </c>
      <c r="AK1929" s="35">
        <f>INDEX(AK$80:AK$93,$D1929)/$E1929</f>
        <v/>
      </c>
      <c r="AL1929" s="35">
        <f>INDEX(AL$80:AL$93,$D1929)/$E1929</f>
        <v/>
      </c>
      <c r="AM1929" s="35">
        <f>INDEX(AM$80:AM$93,$D1929)/$E1929</f>
        <v/>
      </c>
      <c r="AN1929" s="35">
        <f>INDEX(AN$80:AN$93,$D1929)/$E1929</f>
        <v/>
      </c>
      <c r="AO1929" s="35">
        <f>INDEX(AO$80:AO$93,$D1929)/$E1929</f>
        <v/>
      </c>
      <c r="AP1929" s="35">
        <f>INDEX(AP$80:AP$93,$D1929)/$E1929</f>
        <v/>
      </c>
      <c r="AQ1929" s="35">
        <f>INDEX(AQ$80:AQ$93,$D1929)/$E1929</f>
        <v/>
      </c>
      <c r="AR1929" s="35">
        <f>INDEX(AR$80:AR$93,$D1929)/$E1929</f>
        <v/>
      </c>
      <c r="AS1929" s="35">
        <f>INDEX(AS$80:AS$93,$D1929)/$E1929</f>
        <v/>
      </c>
      <c r="AT1929" s="35">
        <f>INDEX(AT$80:AT$93,$D1929)/$E1929</f>
        <v/>
      </c>
      <c r="AU1929" s="35">
        <f>INDEX(AU$80:AU$93,$D1929)/$E1929</f>
        <v/>
      </c>
      <c r="AV1929" s="35">
        <f>INDEX(AV$80:AV$93,$D1929)/$E1929</f>
        <v/>
      </c>
      <c r="AW1929" s="35">
        <f>INDEX(AW$80:AW$93,$D1929)/$E1929</f>
        <v/>
      </c>
      <c r="AX1929" s="35">
        <f>INDEX(AX$80:AX$93,$D1929)/$E1929</f>
        <v/>
      </c>
      <c r="AY1929" s="35">
        <f>INDEX(AY$80:AY$93,$D1929)/$E1929</f>
        <v/>
      </c>
      <c r="AZ1929" s="35">
        <f>INDEX(AZ$80:AZ$93,$D1929)/$E1929</f>
        <v/>
      </c>
      <c r="BA1929" s="42">
        <f>NEWEXCISE(INDEX(BA$80:BA$93,$D1929),$E1929)</f>
        <v/>
      </c>
    </row>
    <row r="1930" hidden="1" outlineLevel="2">
      <c r="A1930" s="14" t="inlineStr">
        <is>
          <t>ntx</t>
        </is>
      </c>
      <c r="B1930" s="14" t="inlineStr">
        <is>
          <t>die</t>
        </is>
      </c>
      <c r="C1930" s="14" t="inlineStr">
        <is>
          <t>mch</t>
        </is>
      </c>
      <c r="D1930" s="35">
        <f>INDEX(Inputs!$N$5:$N$132,MATCH($B1930&amp;"|"&amp;$C1930,Inputs!$A$5:$A$132,0))</f>
        <v/>
      </c>
      <c r="E1930" s="35">
        <f>INDEX(Inputs!$K$5:$K$132,MATCH($B1930&amp;"|"&amp;$C1930,Inputs!$A$5:$A$132,0))</f>
        <v/>
      </c>
      <c r="F1930" s="39" t="n"/>
      <c r="G1930" s="39" t="n"/>
      <c r="H1930" s="14">
        <f>INDEX(VarLab,MATCH($A1930,VarKey,0))&amp;INDEX(MemLab,MATCH($C1930&amp;"|"&amp;$B1930,MemKey,0))</f>
        <v/>
      </c>
      <c r="I1930" s="14">
        <f>INDEX(VarUnit,MATCH($A1930,VarKey,0))</f>
        <v/>
      </c>
      <c r="J1930" s="14">
        <f>INDEX(VarSrc,MATCH($A1930,VarKey,0))</f>
        <v/>
      </c>
      <c r="K1930" s="11">
        <f>CodePrefix&amp;$A1930&amp;IF($C1930="","","."&amp;$C1930&amp;"."&amp;$B1930)&amp;INDEX(VarEnd,MATCH($A1930,VarKey,0))&amp;K$5</f>
        <v/>
      </c>
      <c r="L1930" s="40">
        <f>INDEX(L$80:L$93,$D1930)/$E1930</f>
        <v/>
      </c>
      <c r="M1930" s="35">
        <f>INDEX(M$80:M$93,$D1930)/$E1930</f>
        <v/>
      </c>
      <c r="N1930" s="35">
        <f>INDEX(N$80:N$93,$D1930)/$E1930</f>
        <v/>
      </c>
      <c r="O1930" s="35">
        <f>INDEX(O$80:O$93,$D1930)/$E1930</f>
        <v/>
      </c>
      <c r="P1930" s="35">
        <f>INDEX(P$80:P$93,$D1930)/$E1930</f>
        <v/>
      </c>
      <c r="Q1930" s="35">
        <f>INDEX(Q$80:Q$93,$D1930)/$E1930</f>
        <v/>
      </c>
      <c r="R1930" s="35">
        <f>INDEX(R$80:R$93,$D1930)/$E1930</f>
        <v/>
      </c>
      <c r="S1930" s="35">
        <f>INDEX(S$80:S$93,$D1930)/$E1930</f>
        <v/>
      </c>
      <c r="T1930" s="35">
        <f>INDEX(T$80:T$93,$D1930)/$E1930</f>
        <v/>
      </c>
      <c r="U1930" s="35">
        <f>INDEX(U$80:U$93,$D1930)/$E1930</f>
        <v/>
      </c>
      <c r="V1930" s="35">
        <f>INDEX(V$80:V$93,$D1930)/$E1930</f>
        <v/>
      </c>
      <c r="W1930" s="35">
        <f>INDEX(W$80:W$93,$D1930)/$E1930</f>
        <v/>
      </c>
      <c r="X1930" s="35">
        <f>INDEX(X$80:X$93,$D1930)/$E1930</f>
        <v/>
      </c>
      <c r="Y1930" s="35">
        <f>INDEX(Y$80:Y$93,$D1930)/$E1930</f>
        <v/>
      </c>
      <c r="Z1930" s="35">
        <f>INDEX(Z$80:Z$93,$D1930)/$E1930</f>
        <v/>
      </c>
      <c r="AA1930" s="35">
        <f>INDEX(AA$80:AA$93,$D1930)/$E1930</f>
        <v/>
      </c>
      <c r="AB1930" s="35">
        <f>INDEX(AB$80:AB$93,$D1930)/$E1930</f>
        <v/>
      </c>
      <c r="AC1930" s="35">
        <f>INDEX(AC$80:AC$93,$D1930)/$E1930</f>
        <v/>
      </c>
      <c r="AD1930" s="35">
        <f>INDEX(AD$80:AD$93,$D1930)/$E1930</f>
        <v/>
      </c>
      <c r="AE1930" s="42">
        <f>NEWEXCISE(INDEX(AE$80:AE$93,$D1930),$E1930)</f>
        <v/>
      </c>
      <c r="AG1930" s="11">
        <f>CodePrefix&amp;$A1930&amp;IF($C1930="","","."&amp;$C1930&amp;"."&amp;$B1930)&amp;INDEX(VarEnd,MATCH($A1930,VarKey,0))&amp;AG$5</f>
        <v/>
      </c>
      <c r="AH1930" s="40">
        <f>INDEX(AH$80:AH$93,$D1930)/$E1930</f>
        <v/>
      </c>
      <c r="AI1930" s="35">
        <f>INDEX(AI$80:AI$93,$D1930)/$E1930</f>
        <v/>
      </c>
      <c r="AJ1930" s="35">
        <f>INDEX(AJ$80:AJ$93,$D1930)/$E1930</f>
        <v/>
      </c>
      <c r="AK1930" s="35">
        <f>INDEX(AK$80:AK$93,$D1930)/$E1930</f>
        <v/>
      </c>
      <c r="AL1930" s="35">
        <f>INDEX(AL$80:AL$93,$D1930)/$E1930</f>
        <v/>
      </c>
      <c r="AM1930" s="35">
        <f>INDEX(AM$80:AM$93,$D1930)/$E1930</f>
        <v/>
      </c>
      <c r="AN1930" s="35">
        <f>INDEX(AN$80:AN$93,$D1930)/$E1930</f>
        <v/>
      </c>
      <c r="AO1930" s="35">
        <f>INDEX(AO$80:AO$93,$D1930)/$E1930</f>
        <v/>
      </c>
      <c r="AP1930" s="35">
        <f>INDEX(AP$80:AP$93,$D1930)/$E1930</f>
        <v/>
      </c>
      <c r="AQ1930" s="35">
        <f>INDEX(AQ$80:AQ$93,$D1930)/$E1930</f>
        <v/>
      </c>
      <c r="AR1930" s="35">
        <f>INDEX(AR$80:AR$93,$D1930)/$E1930</f>
        <v/>
      </c>
      <c r="AS1930" s="35">
        <f>INDEX(AS$80:AS$93,$D1930)/$E1930</f>
        <v/>
      </c>
      <c r="AT1930" s="35">
        <f>INDEX(AT$80:AT$93,$D1930)/$E1930</f>
        <v/>
      </c>
      <c r="AU1930" s="35">
        <f>INDEX(AU$80:AU$93,$D1930)/$E1930</f>
        <v/>
      </c>
      <c r="AV1930" s="35">
        <f>INDEX(AV$80:AV$93,$D1930)/$E1930</f>
        <v/>
      </c>
      <c r="AW1930" s="35">
        <f>INDEX(AW$80:AW$93,$D1930)/$E1930</f>
        <v/>
      </c>
      <c r="AX1930" s="35">
        <f>INDEX(AX$80:AX$93,$D1930)/$E1930</f>
        <v/>
      </c>
      <c r="AY1930" s="35">
        <f>INDEX(AY$80:AY$93,$D1930)/$E1930</f>
        <v/>
      </c>
      <c r="AZ1930" s="35">
        <f>INDEX(AZ$80:AZ$93,$D1930)/$E1930</f>
        <v/>
      </c>
      <c r="BA1930" s="42">
        <f>NEWEXCISE(INDEX(BA$80:BA$93,$D1930),$E1930)</f>
        <v/>
      </c>
    </row>
    <row r="1931" hidden="1" outlineLevel="2">
      <c r="A1931" s="14" t="inlineStr">
        <is>
          <t>ntx</t>
        </is>
      </c>
      <c r="B1931" s="14" t="inlineStr">
        <is>
          <t>lpg</t>
        </is>
      </c>
      <c r="C1931" s="14" t="inlineStr">
        <is>
          <t>mch</t>
        </is>
      </c>
      <c r="D1931" s="35">
        <f>INDEX(Inputs!$N$5:$N$132,MATCH($B1931&amp;"|"&amp;$C1931,Inputs!$A$5:$A$132,0))</f>
        <v/>
      </c>
      <c r="E1931" s="35">
        <f>INDEX(Inputs!$K$5:$K$132,MATCH($B1931&amp;"|"&amp;$C1931,Inputs!$A$5:$A$132,0))</f>
        <v/>
      </c>
      <c r="F1931" s="39" t="n"/>
      <c r="G1931" s="39" t="n"/>
      <c r="H1931" s="14">
        <f>INDEX(VarLab,MATCH($A1931,VarKey,0))&amp;INDEX(MemLab,MATCH($C1931&amp;"|"&amp;$B1931,MemKey,0))</f>
        <v/>
      </c>
      <c r="I1931" s="14">
        <f>INDEX(VarUnit,MATCH($A1931,VarKey,0))</f>
        <v/>
      </c>
      <c r="J1931" s="14">
        <f>INDEX(VarSrc,MATCH($A1931,VarKey,0))</f>
        <v/>
      </c>
      <c r="K1931" s="11">
        <f>CodePrefix&amp;$A1931&amp;IF($C1931="","","."&amp;$C1931&amp;"."&amp;$B1931)&amp;INDEX(VarEnd,MATCH($A1931,VarKey,0))&amp;K$5</f>
        <v/>
      </c>
      <c r="L1931" s="40">
        <f>INDEX(L$80:L$93,$D1931)/$E1931</f>
        <v/>
      </c>
      <c r="M1931" s="35">
        <f>INDEX(M$80:M$93,$D1931)/$E1931</f>
        <v/>
      </c>
      <c r="N1931" s="35">
        <f>INDEX(N$80:N$93,$D1931)/$E1931</f>
        <v/>
      </c>
      <c r="O1931" s="35">
        <f>INDEX(O$80:O$93,$D1931)/$E1931</f>
        <v/>
      </c>
      <c r="P1931" s="35">
        <f>INDEX(P$80:P$93,$D1931)/$E1931</f>
        <v/>
      </c>
      <c r="Q1931" s="35">
        <f>INDEX(Q$80:Q$93,$D1931)/$E1931</f>
        <v/>
      </c>
      <c r="R1931" s="35">
        <f>INDEX(R$80:R$93,$D1931)/$E1931</f>
        <v/>
      </c>
      <c r="S1931" s="35">
        <f>INDEX(S$80:S$93,$D1931)/$E1931</f>
        <v/>
      </c>
      <c r="T1931" s="35">
        <f>INDEX(T$80:T$93,$D1931)/$E1931</f>
        <v/>
      </c>
      <c r="U1931" s="35">
        <f>INDEX(U$80:U$93,$D1931)/$E1931</f>
        <v/>
      </c>
      <c r="V1931" s="35">
        <f>INDEX(V$80:V$93,$D1931)/$E1931</f>
        <v/>
      </c>
      <c r="W1931" s="35">
        <f>INDEX(W$80:W$93,$D1931)/$E1931</f>
        <v/>
      </c>
      <c r="X1931" s="35">
        <f>INDEX(X$80:X$93,$D1931)/$E1931</f>
        <v/>
      </c>
      <c r="Y1931" s="35">
        <f>INDEX(Y$80:Y$93,$D1931)/$E1931</f>
        <v/>
      </c>
      <c r="Z1931" s="35">
        <f>INDEX(Z$80:Z$93,$D1931)/$E1931</f>
        <v/>
      </c>
      <c r="AA1931" s="35">
        <f>INDEX(AA$80:AA$93,$D1931)/$E1931</f>
        <v/>
      </c>
      <c r="AB1931" s="35">
        <f>INDEX(AB$80:AB$93,$D1931)/$E1931</f>
        <v/>
      </c>
      <c r="AC1931" s="35">
        <f>INDEX(AC$80:AC$93,$D1931)/$E1931</f>
        <v/>
      </c>
      <c r="AD1931" s="35">
        <f>INDEX(AD$80:AD$93,$D1931)/$E1931</f>
        <v/>
      </c>
      <c r="AE1931" s="42">
        <f>NEWEXCISE(INDEX(AE$80:AE$93,$D1931),$E1931)</f>
        <v/>
      </c>
      <c r="AG1931" s="11">
        <f>CodePrefix&amp;$A1931&amp;IF($C1931="","","."&amp;$C1931&amp;"."&amp;$B1931)&amp;INDEX(VarEnd,MATCH($A1931,VarKey,0))&amp;AG$5</f>
        <v/>
      </c>
      <c r="AH1931" s="40">
        <f>INDEX(AH$80:AH$93,$D1931)/$E1931</f>
        <v/>
      </c>
      <c r="AI1931" s="35">
        <f>INDEX(AI$80:AI$93,$D1931)/$E1931</f>
        <v/>
      </c>
      <c r="AJ1931" s="35">
        <f>INDEX(AJ$80:AJ$93,$D1931)/$E1931</f>
        <v/>
      </c>
      <c r="AK1931" s="35">
        <f>INDEX(AK$80:AK$93,$D1931)/$E1931</f>
        <v/>
      </c>
      <c r="AL1931" s="35">
        <f>INDEX(AL$80:AL$93,$D1931)/$E1931</f>
        <v/>
      </c>
      <c r="AM1931" s="35">
        <f>INDEX(AM$80:AM$93,$D1931)/$E1931</f>
        <v/>
      </c>
      <c r="AN1931" s="35">
        <f>INDEX(AN$80:AN$93,$D1931)/$E1931</f>
        <v/>
      </c>
      <c r="AO1931" s="35">
        <f>INDEX(AO$80:AO$93,$D1931)/$E1931</f>
        <v/>
      </c>
      <c r="AP1931" s="35">
        <f>INDEX(AP$80:AP$93,$D1931)/$E1931</f>
        <v/>
      </c>
      <c r="AQ1931" s="35">
        <f>INDEX(AQ$80:AQ$93,$D1931)/$E1931</f>
        <v/>
      </c>
      <c r="AR1931" s="35">
        <f>INDEX(AR$80:AR$93,$D1931)/$E1931</f>
        <v/>
      </c>
      <c r="AS1931" s="35">
        <f>INDEX(AS$80:AS$93,$D1931)/$E1931</f>
        <v/>
      </c>
      <c r="AT1931" s="35">
        <f>INDEX(AT$80:AT$93,$D1931)/$E1931</f>
        <v/>
      </c>
      <c r="AU1931" s="35">
        <f>INDEX(AU$80:AU$93,$D1931)/$E1931</f>
        <v/>
      </c>
      <c r="AV1931" s="35">
        <f>INDEX(AV$80:AV$93,$D1931)/$E1931</f>
        <v/>
      </c>
      <c r="AW1931" s="35">
        <f>INDEX(AW$80:AW$93,$D1931)/$E1931</f>
        <v/>
      </c>
      <c r="AX1931" s="35">
        <f>INDEX(AX$80:AX$93,$D1931)/$E1931</f>
        <v/>
      </c>
      <c r="AY1931" s="35">
        <f>INDEX(AY$80:AY$93,$D1931)/$E1931</f>
        <v/>
      </c>
      <c r="AZ1931" s="35">
        <f>INDEX(AZ$80:AZ$93,$D1931)/$E1931</f>
        <v/>
      </c>
      <c r="BA1931" s="42">
        <f>NEWEXCISE(INDEX(BA$80:BA$93,$D1931),$E1931)</f>
        <v/>
      </c>
    </row>
    <row r="1932" hidden="1" outlineLevel="2">
      <c r="A1932" s="14" t="inlineStr">
        <is>
          <t>ntx</t>
        </is>
      </c>
      <c r="B1932" s="14" t="inlineStr">
        <is>
          <t>ker</t>
        </is>
      </c>
      <c r="C1932" s="14" t="inlineStr">
        <is>
          <t>mch</t>
        </is>
      </c>
      <c r="D1932" s="35">
        <f>INDEX(Inputs!$N$5:$N$132,MATCH($B1932&amp;"|"&amp;$C1932,Inputs!$A$5:$A$132,0))</f>
        <v/>
      </c>
      <c r="E1932" s="35">
        <f>INDEX(Inputs!$K$5:$K$132,MATCH($B1932&amp;"|"&amp;$C1932,Inputs!$A$5:$A$132,0))</f>
        <v/>
      </c>
      <c r="F1932" s="39" t="n"/>
      <c r="G1932" s="39" t="n"/>
      <c r="H1932" s="14">
        <f>INDEX(VarLab,MATCH($A1932,VarKey,0))&amp;INDEX(MemLab,MATCH($C1932&amp;"|"&amp;$B1932,MemKey,0))</f>
        <v/>
      </c>
      <c r="I1932" s="14">
        <f>INDEX(VarUnit,MATCH($A1932,VarKey,0))</f>
        <v/>
      </c>
      <c r="J1932" s="14">
        <f>INDEX(VarSrc,MATCH($A1932,VarKey,0))</f>
        <v/>
      </c>
      <c r="K1932" s="11">
        <f>CodePrefix&amp;$A1932&amp;IF($C1932="","","."&amp;$C1932&amp;"."&amp;$B1932)&amp;INDEX(VarEnd,MATCH($A1932,VarKey,0))&amp;K$5</f>
        <v/>
      </c>
      <c r="L1932" s="40">
        <f>INDEX(L$80:L$93,$D1932)/$E1932</f>
        <v/>
      </c>
      <c r="M1932" s="35">
        <f>INDEX(M$80:M$93,$D1932)/$E1932</f>
        <v/>
      </c>
      <c r="N1932" s="35">
        <f>INDEX(N$80:N$93,$D1932)/$E1932</f>
        <v/>
      </c>
      <c r="O1932" s="35">
        <f>INDEX(O$80:O$93,$D1932)/$E1932</f>
        <v/>
      </c>
      <c r="P1932" s="35">
        <f>INDEX(P$80:P$93,$D1932)/$E1932</f>
        <v/>
      </c>
      <c r="Q1932" s="35">
        <f>INDEX(Q$80:Q$93,$D1932)/$E1932</f>
        <v/>
      </c>
      <c r="R1932" s="35">
        <f>INDEX(R$80:R$93,$D1932)/$E1932</f>
        <v/>
      </c>
      <c r="S1932" s="35">
        <f>INDEX(S$80:S$93,$D1932)/$E1932</f>
        <v/>
      </c>
      <c r="T1932" s="35">
        <f>INDEX(T$80:T$93,$D1932)/$E1932</f>
        <v/>
      </c>
      <c r="U1932" s="35">
        <f>INDEX(U$80:U$93,$D1932)/$E1932</f>
        <v/>
      </c>
      <c r="V1932" s="35">
        <f>INDEX(V$80:V$93,$D1932)/$E1932</f>
        <v/>
      </c>
      <c r="W1932" s="35">
        <f>INDEX(W$80:W$93,$D1932)/$E1932</f>
        <v/>
      </c>
      <c r="X1932" s="35">
        <f>INDEX(X$80:X$93,$D1932)/$E1932</f>
        <v/>
      </c>
      <c r="Y1932" s="35">
        <f>INDEX(Y$80:Y$93,$D1932)/$E1932</f>
        <v/>
      </c>
      <c r="Z1932" s="35">
        <f>INDEX(Z$80:Z$93,$D1932)/$E1932</f>
        <v/>
      </c>
      <c r="AA1932" s="35">
        <f>INDEX(AA$80:AA$93,$D1932)/$E1932</f>
        <v/>
      </c>
      <c r="AB1932" s="35">
        <f>INDEX(AB$80:AB$93,$D1932)/$E1932</f>
        <v/>
      </c>
      <c r="AC1932" s="35">
        <f>INDEX(AC$80:AC$93,$D1932)/$E1932</f>
        <v/>
      </c>
      <c r="AD1932" s="35">
        <f>INDEX(AD$80:AD$93,$D1932)/$E1932</f>
        <v/>
      </c>
      <c r="AE1932" s="42">
        <f>NEWEXCISE(INDEX(AE$80:AE$93,$D1932),$E1932)</f>
        <v/>
      </c>
      <c r="AG1932" s="11">
        <f>CodePrefix&amp;$A1932&amp;IF($C1932="","","."&amp;$C1932&amp;"."&amp;$B1932)&amp;INDEX(VarEnd,MATCH($A1932,VarKey,0))&amp;AG$5</f>
        <v/>
      </c>
      <c r="AH1932" s="40">
        <f>INDEX(AH$80:AH$93,$D1932)/$E1932</f>
        <v/>
      </c>
      <c r="AI1932" s="35">
        <f>INDEX(AI$80:AI$93,$D1932)/$E1932</f>
        <v/>
      </c>
      <c r="AJ1932" s="35">
        <f>INDEX(AJ$80:AJ$93,$D1932)/$E1932</f>
        <v/>
      </c>
      <c r="AK1932" s="35">
        <f>INDEX(AK$80:AK$93,$D1932)/$E1932</f>
        <v/>
      </c>
      <c r="AL1932" s="35">
        <f>INDEX(AL$80:AL$93,$D1932)/$E1932</f>
        <v/>
      </c>
      <c r="AM1932" s="35">
        <f>INDEX(AM$80:AM$93,$D1932)/$E1932</f>
        <v/>
      </c>
      <c r="AN1932" s="35">
        <f>INDEX(AN$80:AN$93,$D1932)/$E1932</f>
        <v/>
      </c>
      <c r="AO1932" s="35">
        <f>INDEX(AO$80:AO$93,$D1932)/$E1932</f>
        <v/>
      </c>
      <c r="AP1932" s="35">
        <f>INDEX(AP$80:AP$93,$D1932)/$E1932</f>
        <v/>
      </c>
      <c r="AQ1932" s="35">
        <f>INDEX(AQ$80:AQ$93,$D1932)/$E1932</f>
        <v/>
      </c>
      <c r="AR1932" s="35">
        <f>INDEX(AR$80:AR$93,$D1932)/$E1932</f>
        <v/>
      </c>
      <c r="AS1932" s="35">
        <f>INDEX(AS$80:AS$93,$D1932)/$E1932</f>
        <v/>
      </c>
      <c r="AT1932" s="35">
        <f>INDEX(AT$80:AT$93,$D1932)/$E1932</f>
        <v/>
      </c>
      <c r="AU1932" s="35">
        <f>INDEX(AU$80:AU$93,$D1932)/$E1932</f>
        <v/>
      </c>
      <c r="AV1932" s="35">
        <f>INDEX(AV$80:AV$93,$D1932)/$E1932</f>
        <v/>
      </c>
      <c r="AW1932" s="35">
        <f>INDEX(AW$80:AW$93,$D1932)/$E1932</f>
        <v/>
      </c>
      <c r="AX1932" s="35">
        <f>INDEX(AX$80:AX$93,$D1932)/$E1932</f>
        <v/>
      </c>
      <c r="AY1932" s="35">
        <f>INDEX(AY$80:AY$93,$D1932)/$E1932</f>
        <v/>
      </c>
      <c r="AZ1932" s="35">
        <f>INDEX(AZ$80:AZ$93,$D1932)/$E1932</f>
        <v/>
      </c>
      <c r="BA1932" s="42">
        <f>NEWEXCISE(INDEX(BA$80:BA$93,$D1932),$E1932)</f>
        <v/>
      </c>
    </row>
    <row r="1933" hidden="1" outlineLevel="2">
      <c r="A1933" s="14" t="inlineStr">
        <is>
          <t>ntx</t>
        </is>
      </c>
      <c r="B1933" s="14" t="inlineStr">
        <is>
          <t>oop</t>
        </is>
      </c>
      <c r="C1933" s="14" t="inlineStr">
        <is>
          <t>mch</t>
        </is>
      </c>
      <c r="D1933" s="35">
        <f>INDEX(Inputs!$N$5:$N$132,MATCH($B1933&amp;"|"&amp;$C1933,Inputs!$A$5:$A$132,0))</f>
        <v/>
      </c>
      <c r="E1933" s="35">
        <f>INDEX(Inputs!$K$5:$K$132,MATCH($B1933&amp;"|"&amp;$C1933,Inputs!$A$5:$A$132,0))</f>
        <v/>
      </c>
      <c r="F1933" s="39" t="n"/>
      <c r="G1933" s="39" t="n"/>
      <c r="H1933" s="14">
        <f>INDEX(VarLab,MATCH($A1933,VarKey,0))&amp;INDEX(MemLab,MATCH($C1933&amp;"|"&amp;$B1933,MemKey,0))</f>
        <v/>
      </c>
      <c r="I1933" s="14">
        <f>INDEX(VarUnit,MATCH($A1933,VarKey,0))</f>
        <v/>
      </c>
      <c r="J1933" s="14">
        <f>INDEX(VarSrc,MATCH($A1933,VarKey,0))</f>
        <v/>
      </c>
      <c r="K1933" s="11">
        <f>CodePrefix&amp;$A1933&amp;IF($C1933="","","."&amp;$C1933&amp;"."&amp;$B1933)&amp;INDEX(VarEnd,MATCH($A1933,VarKey,0))&amp;K$5</f>
        <v/>
      </c>
      <c r="L1933" s="40">
        <f>INDEX(L$80:L$93,$D1933)/$E1933</f>
        <v/>
      </c>
      <c r="M1933" s="35">
        <f>INDEX(M$80:M$93,$D1933)/$E1933</f>
        <v/>
      </c>
      <c r="N1933" s="35">
        <f>INDEX(N$80:N$93,$D1933)/$E1933</f>
        <v/>
      </c>
      <c r="O1933" s="35">
        <f>INDEX(O$80:O$93,$D1933)/$E1933</f>
        <v/>
      </c>
      <c r="P1933" s="35">
        <f>INDEX(P$80:P$93,$D1933)/$E1933</f>
        <v/>
      </c>
      <c r="Q1933" s="35">
        <f>INDEX(Q$80:Q$93,$D1933)/$E1933</f>
        <v/>
      </c>
      <c r="R1933" s="35">
        <f>INDEX(R$80:R$93,$D1933)/$E1933</f>
        <v/>
      </c>
      <c r="S1933" s="35">
        <f>INDEX(S$80:S$93,$D1933)/$E1933</f>
        <v/>
      </c>
      <c r="T1933" s="35">
        <f>INDEX(T$80:T$93,$D1933)/$E1933</f>
        <v/>
      </c>
      <c r="U1933" s="35">
        <f>INDEX(U$80:U$93,$D1933)/$E1933</f>
        <v/>
      </c>
      <c r="V1933" s="35">
        <f>INDEX(V$80:V$93,$D1933)/$E1933</f>
        <v/>
      </c>
      <c r="W1933" s="35">
        <f>INDEX(W$80:W$93,$D1933)/$E1933</f>
        <v/>
      </c>
      <c r="X1933" s="35">
        <f>INDEX(X$80:X$93,$D1933)/$E1933</f>
        <v/>
      </c>
      <c r="Y1933" s="35">
        <f>INDEX(Y$80:Y$93,$D1933)/$E1933</f>
        <v/>
      </c>
      <c r="Z1933" s="35">
        <f>INDEX(Z$80:Z$93,$D1933)/$E1933</f>
        <v/>
      </c>
      <c r="AA1933" s="35">
        <f>INDEX(AA$80:AA$93,$D1933)/$E1933</f>
        <v/>
      </c>
      <c r="AB1933" s="35">
        <f>INDEX(AB$80:AB$93,$D1933)/$E1933</f>
        <v/>
      </c>
      <c r="AC1933" s="35">
        <f>INDEX(AC$80:AC$93,$D1933)/$E1933</f>
        <v/>
      </c>
      <c r="AD1933" s="35">
        <f>INDEX(AD$80:AD$93,$D1933)/$E1933</f>
        <v/>
      </c>
      <c r="AE1933" s="42">
        <f>NEWEXCISE(INDEX(AE$80:AE$93,$D1933),$E1933)</f>
        <v/>
      </c>
      <c r="AG1933" s="11">
        <f>CodePrefix&amp;$A1933&amp;IF($C1933="","","."&amp;$C1933&amp;"."&amp;$B1933)&amp;INDEX(VarEnd,MATCH($A1933,VarKey,0))&amp;AG$5</f>
        <v/>
      </c>
      <c r="AH1933" s="40">
        <f>INDEX(AH$80:AH$93,$D1933)/$E1933</f>
        <v/>
      </c>
      <c r="AI1933" s="35">
        <f>INDEX(AI$80:AI$93,$D1933)/$E1933</f>
        <v/>
      </c>
      <c r="AJ1933" s="35">
        <f>INDEX(AJ$80:AJ$93,$D1933)/$E1933</f>
        <v/>
      </c>
      <c r="AK1933" s="35">
        <f>INDEX(AK$80:AK$93,$D1933)/$E1933</f>
        <v/>
      </c>
      <c r="AL1933" s="35">
        <f>INDEX(AL$80:AL$93,$D1933)/$E1933</f>
        <v/>
      </c>
      <c r="AM1933" s="35">
        <f>INDEX(AM$80:AM$93,$D1933)/$E1933</f>
        <v/>
      </c>
      <c r="AN1933" s="35">
        <f>INDEX(AN$80:AN$93,$D1933)/$E1933</f>
        <v/>
      </c>
      <c r="AO1933" s="35">
        <f>INDEX(AO$80:AO$93,$D1933)/$E1933</f>
        <v/>
      </c>
      <c r="AP1933" s="35">
        <f>INDEX(AP$80:AP$93,$D1933)/$E1933</f>
        <v/>
      </c>
      <c r="AQ1933" s="35">
        <f>INDEX(AQ$80:AQ$93,$D1933)/$E1933</f>
        <v/>
      </c>
      <c r="AR1933" s="35">
        <f>INDEX(AR$80:AR$93,$D1933)/$E1933</f>
        <v/>
      </c>
      <c r="AS1933" s="35">
        <f>INDEX(AS$80:AS$93,$D1933)/$E1933</f>
        <v/>
      </c>
      <c r="AT1933" s="35">
        <f>INDEX(AT$80:AT$93,$D1933)/$E1933</f>
        <v/>
      </c>
      <c r="AU1933" s="35">
        <f>INDEX(AU$80:AU$93,$D1933)/$E1933</f>
        <v/>
      </c>
      <c r="AV1933" s="35">
        <f>INDEX(AV$80:AV$93,$D1933)/$E1933</f>
        <v/>
      </c>
      <c r="AW1933" s="35">
        <f>INDEX(AW$80:AW$93,$D1933)/$E1933</f>
        <v/>
      </c>
      <c r="AX1933" s="35">
        <f>INDEX(AX$80:AX$93,$D1933)/$E1933</f>
        <v/>
      </c>
      <c r="AY1933" s="35">
        <f>INDEX(AY$80:AY$93,$D1933)/$E1933</f>
        <v/>
      </c>
      <c r="AZ1933" s="35">
        <f>INDEX(AZ$80:AZ$93,$D1933)/$E1933</f>
        <v/>
      </c>
      <c r="BA1933" s="42">
        <f>NEWEXCISE(INDEX(BA$80:BA$93,$D1933),$E1933)</f>
        <v/>
      </c>
    </row>
    <row r="1934" hidden="1" outlineLevel="2">
      <c r="A1934" s="14" t="inlineStr">
        <is>
          <t>ntx</t>
        </is>
      </c>
      <c r="B1934" s="14" t="inlineStr">
        <is>
          <t>bio</t>
        </is>
      </c>
      <c r="C1934" s="14" t="inlineStr">
        <is>
          <t>mch</t>
        </is>
      </c>
      <c r="D1934" s="35">
        <f>INDEX(Inputs!$N$5:$N$132,MATCH($B1934&amp;"|"&amp;$C1934,Inputs!$A$5:$A$132,0))</f>
        <v/>
      </c>
      <c r="E1934" s="35">
        <f>INDEX(Inputs!$K$5:$K$132,MATCH($B1934&amp;"|"&amp;$C1934,Inputs!$A$5:$A$132,0))</f>
        <v/>
      </c>
      <c r="F1934" s="39" t="n"/>
      <c r="G1934" s="39" t="n"/>
      <c r="H1934" s="14">
        <f>INDEX(VarLab,MATCH($A1934,VarKey,0))&amp;INDEX(MemLab,MATCH($C1934&amp;"|"&amp;$B1934,MemKey,0))</f>
        <v/>
      </c>
      <c r="I1934" s="14">
        <f>INDEX(VarUnit,MATCH($A1934,VarKey,0))</f>
        <v/>
      </c>
      <c r="J1934" s="14">
        <f>INDEX(VarSrc,MATCH($A1934,VarKey,0))</f>
        <v/>
      </c>
      <c r="K1934" s="11">
        <f>CodePrefix&amp;$A1934&amp;IF($C1934="","","."&amp;$C1934&amp;"."&amp;$B1934)&amp;INDEX(VarEnd,MATCH($A1934,VarKey,0))&amp;K$5</f>
        <v/>
      </c>
      <c r="L1934" s="40">
        <f>INDEX(L$80:L$93,$D1934)/$E1934</f>
        <v/>
      </c>
      <c r="M1934" s="35">
        <f>INDEX(M$80:M$93,$D1934)/$E1934</f>
        <v/>
      </c>
      <c r="N1934" s="35">
        <f>INDEX(N$80:N$93,$D1934)/$E1934</f>
        <v/>
      </c>
      <c r="O1934" s="35">
        <f>INDEX(O$80:O$93,$D1934)/$E1934</f>
        <v/>
      </c>
      <c r="P1934" s="35">
        <f>INDEX(P$80:P$93,$D1934)/$E1934</f>
        <v/>
      </c>
      <c r="Q1934" s="35">
        <f>INDEX(Q$80:Q$93,$D1934)/$E1934</f>
        <v/>
      </c>
      <c r="R1934" s="35">
        <f>INDEX(R$80:R$93,$D1934)/$E1934</f>
        <v/>
      </c>
      <c r="S1934" s="35">
        <f>INDEX(S$80:S$93,$D1934)/$E1934</f>
        <v/>
      </c>
      <c r="T1934" s="35">
        <f>INDEX(T$80:T$93,$D1934)/$E1934</f>
        <v/>
      </c>
      <c r="U1934" s="35">
        <f>INDEX(U$80:U$93,$D1934)/$E1934</f>
        <v/>
      </c>
      <c r="V1934" s="35">
        <f>INDEX(V$80:V$93,$D1934)/$E1934</f>
        <v/>
      </c>
      <c r="W1934" s="35">
        <f>INDEX(W$80:W$93,$D1934)/$E1934</f>
        <v/>
      </c>
      <c r="X1934" s="35">
        <f>INDEX(X$80:X$93,$D1934)/$E1934</f>
        <v/>
      </c>
      <c r="Y1934" s="35">
        <f>INDEX(Y$80:Y$93,$D1934)/$E1934</f>
        <v/>
      </c>
      <c r="Z1934" s="35">
        <f>INDEX(Z$80:Z$93,$D1934)/$E1934</f>
        <v/>
      </c>
      <c r="AA1934" s="35">
        <f>INDEX(AA$80:AA$93,$D1934)/$E1934</f>
        <v/>
      </c>
      <c r="AB1934" s="35">
        <f>INDEX(AB$80:AB$93,$D1934)/$E1934</f>
        <v/>
      </c>
      <c r="AC1934" s="35">
        <f>INDEX(AC$80:AC$93,$D1934)/$E1934</f>
        <v/>
      </c>
      <c r="AD1934" s="35">
        <f>INDEX(AD$80:AD$93,$D1934)/$E1934</f>
        <v/>
      </c>
      <c r="AE1934" s="42">
        <f>NEWEXCISE(INDEX(AE$80:AE$93,$D1934),$E1934)</f>
        <v/>
      </c>
      <c r="AG1934" s="11">
        <f>CodePrefix&amp;$A1934&amp;IF($C1934="","","."&amp;$C1934&amp;"."&amp;$B1934)&amp;INDEX(VarEnd,MATCH($A1934,VarKey,0))&amp;AG$5</f>
        <v/>
      </c>
      <c r="AH1934" s="40">
        <f>INDEX(AH$80:AH$93,$D1934)/$E1934</f>
        <v/>
      </c>
      <c r="AI1934" s="35">
        <f>INDEX(AI$80:AI$93,$D1934)/$E1934</f>
        <v/>
      </c>
      <c r="AJ1934" s="35">
        <f>INDEX(AJ$80:AJ$93,$D1934)/$E1934</f>
        <v/>
      </c>
      <c r="AK1934" s="35">
        <f>INDEX(AK$80:AK$93,$D1934)/$E1934</f>
        <v/>
      </c>
      <c r="AL1934" s="35">
        <f>INDEX(AL$80:AL$93,$D1934)/$E1934</f>
        <v/>
      </c>
      <c r="AM1934" s="35">
        <f>INDEX(AM$80:AM$93,$D1934)/$E1934</f>
        <v/>
      </c>
      <c r="AN1934" s="35">
        <f>INDEX(AN$80:AN$93,$D1934)/$E1934</f>
        <v/>
      </c>
      <c r="AO1934" s="35">
        <f>INDEX(AO$80:AO$93,$D1934)/$E1934</f>
        <v/>
      </c>
      <c r="AP1934" s="35">
        <f>INDEX(AP$80:AP$93,$D1934)/$E1934</f>
        <v/>
      </c>
      <c r="AQ1934" s="35">
        <f>INDEX(AQ$80:AQ$93,$D1934)/$E1934</f>
        <v/>
      </c>
      <c r="AR1934" s="35">
        <f>INDEX(AR$80:AR$93,$D1934)/$E1934</f>
        <v/>
      </c>
      <c r="AS1934" s="35">
        <f>INDEX(AS$80:AS$93,$D1934)/$E1934</f>
        <v/>
      </c>
      <c r="AT1934" s="35">
        <f>INDEX(AT$80:AT$93,$D1934)/$E1934</f>
        <v/>
      </c>
      <c r="AU1934" s="35">
        <f>INDEX(AU$80:AU$93,$D1934)/$E1934</f>
        <v/>
      </c>
      <c r="AV1934" s="35">
        <f>INDEX(AV$80:AV$93,$D1934)/$E1934</f>
        <v/>
      </c>
      <c r="AW1934" s="35">
        <f>INDEX(AW$80:AW$93,$D1934)/$E1934</f>
        <v/>
      </c>
      <c r="AX1934" s="35">
        <f>INDEX(AX$80:AX$93,$D1934)/$E1934</f>
        <v/>
      </c>
      <c r="AY1934" s="35">
        <f>INDEX(AY$80:AY$93,$D1934)/$E1934</f>
        <v/>
      </c>
      <c r="AZ1934" s="35">
        <f>INDEX(AZ$80:AZ$93,$D1934)/$E1934</f>
        <v/>
      </c>
      <c r="BA1934" s="42">
        <f>NEWEXCISE(INDEX(BA$80:BA$93,$D1934),$E1934)</f>
        <v/>
      </c>
    </row>
    <row r="1935" hidden="1" outlineLevel="2"/>
    <row r="1936" hidden="1" outlineLevel="2">
      <c r="A1936" s="14" t="inlineStr">
        <is>
          <t>nce</t>
        </is>
      </c>
      <c r="B1936" s="14" t="inlineStr">
        <is>
          <t>coa</t>
        </is>
      </c>
      <c r="C1936" s="14" t="inlineStr">
        <is>
          <t>mch</t>
        </is>
      </c>
      <c r="D1936" s="39" t="n"/>
      <c r="E1936" s="39" t="n"/>
      <c r="F1936" s="39" t="n"/>
      <c r="G1936" s="39" t="n"/>
      <c r="H1936" s="14">
        <f>INDEX(VarLab,MATCH($A1936,VarKey,0))&amp;INDEX(MemLab,MATCH($C1936&amp;"|"&amp;$B1936,MemKey,0))</f>
        <v/>
      </c>
      <c r="I1936" s="14">
        <f>INDEX(VarUnit,MATCH($A1936,VarKey,0))</f>
        <v/>
      </c>
      <c r="J1936" s="14">
        <f>INDEX(VarSrc,MATCH($A1936,VarKey,0))</f>
        <v/>
      </c>
      <c r="K1936" s="11">
        <f>CodePrefix&amp;$A1936&amp;IF($C1936="","","."&amp;$C1936&amp;"."&amp;$B1936)&amp;INDEX(VarEnd,MATCH($A1936,VarKey,0))&amp;K$5</f>
        <v/>
      </c>
      <c r="L1936" s="40">
        <f>L1909+L1918+L1927</f>
        <v/>
      </c>
      <c r="M1936" s="35">
        <f>M1909+M1918+M1927</f>
        <v/>
      </c>
      <c r="N1936" s="35">
        <f>N1909+N1918+N1927</f>
        <v/>
      </c>
      <c r="O1936" s="35">
        <f>O1909+O1918+O1927</f>
        <v/>
      </c>
      <c r="P1936" s="35">
        <f>P1909+P1918+P1927</f>
        <v/>
      </c>
      <c r="Q1936" s="35">
        <f>Q1909+Q1918+Q1927</f>
        <v/>
      </c>
      <c r="R1936" s="35">
        <f>R1909+R1918+R1927</f>
        <v/>
      </c>
      <c r="S1936" s="35">
        <f>S1909+S1918+S1927</f>
        <v/>
      </c>
      <c r="T1936" s="35">
        <f>T1909+T1918+T1927</f>
        <v/>
      </c>
      <c r="U1936" s="35">
        <f>U1909+U1918+U1927</f>
        <v/>
      </c>
      <c r="V1936" s="35">
        <f>V1909+V1918+V1927</f>
        <v/>
      </c>
      <c r="W1936" s="35">
        <f>W1909+W1918+W1927</f>
        <v/>
      </c>
      <c r="X1936" s="35">
        <f>X1909+X1918+X1927</f>
        <v/>
      </c>
      <c r="Y1936" s="35">
        <f>Y1909+Y1918+Y1927</f>
        <v/>
      </c>
      <c r="Z1936" s="35">
        <f>Z1909+Z1918+Z1927</f>
        <v/>
      </c>
      <c r="AA1936" s="35">
        <f>AA1909+AA1918+AA1927</f>
        <v/>
      </c>
      <c r="AB1936" s="35">
        <f>AB1909+AB1918+AB1927</f>
        <v/>
      </c>
      <c r="AC1936" s="35">
        <f>AC1909+AC1918+AC1927</f>
        <v/>
      </c>
      <c r="AD1936" s="35">
        <f>AD1909+AD1918+AD1927</f>
        <v/>
      </c>
      <c r="AE1936" s="42">
        <f>NEWPOLICY(AE1909,AE1918,AE1927)</f>
        <v/>
      </c>
      <c r="AG1936" s="11">
        <f>CodePrefix&amp;$A1936&amp;IF($C1936="","","."&amp;$C1936&amp;"."&amp;$B1936)&amp;INDEX(VarEnd,MATCH($A1936,VarKey,0))&amp;AG$5</f>
        <v/>
      </c>
      <c r="AH1936" s="40">
        <f>AH1909+AH1918+AH1927</f>
        <v/>
      </c>
      <c r="AI1936" s="35">
        <f>AI1909+AI1918+AI1927</f>
        <v/>
      </c>
      <c r="AJ1936" s="35">
        <f>AJ1909+AJ1918+AJ1927</f>
        <v/>
      </c>
      <c r="AK1936" s="35">
        <f>AK1909+AK1918+AK1927</f>
        <v/>
      </c>
      <c r="AL1936" s="35">
        <f>AL1909+AL1918+AL1927</f>
        <v/>
      </c>
      <c r="AM1936" s="35">
        <f>AM1909+AM1918+AM1927</f>
        <v/>
      </c>
      <c r="AN1936" s="35">
        <f>AN1909+AN1918+AN1927</f>
        <v/>
      </c>
      <c r="AO1936" s="35">
        <f>AO1909+AO1918+AO1927</f>
        <v/>
      </c>
      <c r="AP1936" s="35">
        <f>AP1909+AP1918+AP1927</f>
        <v/>
      </c>
      <c r="AQ1936" s="35">
        <f>AQ1909+AQ1918+AQ1927</f>
        <v/>
      </c>
      <c r="AR1936" s="35">
        <f>AR1909+AR1918+AR1927</f>
        <v/>
      </c>
      <c r="AS1936" s="35">
        <f>AS1909+AS1918+AS1927</f>
        <v/>
      </c>
      <c r="AT1936" s="35">
        <f>AT1909+AT1918+AT1927</f>
        <v/>
      </c>
      <c r="AU1936" s="35">
        <f>AU1909+AU1918+AU1927</f>
        <v/>
      </c>
      <c r="AV1936" s="35">
        <f>AV1909+AV1918+AV1927</f>
        <v/>
      </c>
      <c r="AW1936" s="35">
        <f>AW1909+AW1918+AW1927</f>
        <v/>
      </c>
      <c r="AX1936" s="35">
        <f>AX1909+AX1918+AX1927</f>
        <v/>
      </c>
      <c r="AY1936" s="35">
        <f>AY1909+AY1918+AY1927</f>
        <v/>
      </c>
      <c r="AZ1936" s="35">
        <f>AZ1909+AZ1918+AZ1927</f>
        <v/>
      </c>
      <c r="BA1936" s="42">
        <f>NEWPOLICY(BA1909,BA1918,BA1927)</f>
        <v/>
      </c>
    </row>
    <row r="1937" hidden="1" outlineLevel="2">
      <c r="A1937" s="14" t="inlineStr">
        <is>
          <t>nce</t>
        </is>
      </c>
      <c r="B1937" s="14" t="inlineStr">
        <is>
          <t>nga</t>
        </is>
      </c>
      <c r="C1937" s="14" t="inlineStr">
        <is>
          <t>mch</t>
        </is>
      </c>
      <c r="D1937" s="39" t="n"/>
      <c r="E1937" s="39" t="n"/>
      <c r="F1937" s="39" t="n"/>
      <c r="G1937" s="39" t="n"/>
      <c r="H1937" s="14">
        <f>INDEX(VarLab,MATCH($A1937,VarKey,0))&amp;INDEX(MemLab,MATCH($C1937&amp;"|"&amp;$B1937,MemKey,0))</f>
        <v/>
      </c>
      <c r="I1937" s="14">
        <f>INDEX(VarUnit,MATCH($A1937,VarKey,0))</f>
        <v/>
      </c>
      <c r="J1937" s="14">
        <f>INDEX(VarSrc,MATCH($A1937,VarKey,0))</f>
        <v/>
      </c>
      <c r="K1937" s="11">
        <f>CodePrefix&amp;$A1937&amp;IF($C1937="","","."&amp;$C1937&amp;"."&amp;$B1937)&amp;INDEX(VarEnd,MATCH($A1937,VarKey,0))&amp;K$5</f>
        <v/>
      </c>
      <c r="L1937" s="40">
        <f>L1910+L1919+L1928</f>
        <v/>
      </c>
      <c r="M1937" s="35">
        <f>M1910+M1919+M1928</f>
        <v/>
      </c>
      <c r="N1937" s="35">
        <f>N1910+N1919+N1928</f>
        <v/>
      </c>
      <c r="O1937" s="35">
        <f>O1910+O1919+O1928</f>
        <v/>
      </c>
      <c r="P1937" s="35">
        <f>P1910+P1919+P1928</f>
        <v/>
      </c>
      <c r="Q1937" s="35">
        <f>Q1910+Q1919+Q1928</f>
        <v/>
      </c>
      <c r="R1937" s="35">
        <f>R1910+R1919+R1928</f>
        <v/>
      </c>
      <c r="S1937" s="35">
        <f>S1910+S1919+S1928</f>
        <v/>
      </c>
      <c r="T1937" s="35">
        <f>T1910+T1919+T1928</f>
        <v/>
      </c>
      <c r="U1937" s="35">
        <f>U1910+U1919+U1928</f>
        <v/>
      </c>
      <c r="V1937" s="35">
        <f>V1910+V1919+V1928</f>
        <v/>
      </c>
      <c r="W1937" s="35">
        <f>W1910+W1919+W1928</f>
        <v/>
      </c>
      <c r="X1937" s="35">
        <f>X1910+X1919+X1928</f>
        <v/>
      </c>
      <c r="Y1937" s="35">
        <f>Y1910+Y1919+Y1928</f>
        <v/>
      </c>
      <c r="Z1937" s="35">
        <f>Z1910+Z1919+Z1928</f>
        <v/>
      </c>
      <c r="AA1937" s="35">
        <f>AA1910+AA1919+AA1928</f>
        <v/>
      </c>
      <c r="AB1937" s="35">
        <f>AB1910+AB1919+AB1928</f>
        <v/>
      </c>
      <c r="AC1937" s="35">
        <f>AC1910+AC1919+AC1928</f>
        <v/>
      </c>
      <c r="AD1937" s="35">
        <f>AD1910+AD1919+AD1928</f>
        <v/>
      </c>
      <c r="AE1937" s="42">
        <f>NEWPOLICY(AE1910,AE1919,AE1928)</f>
        <v/>
      </c>
      <c r="AG1937" s="11">
        <f>CodePrefix&amp;$A1937&amp;IF($C1937="","","."&amp;$C1937&amp;"."&amp;$B1937)&amp;INDEX(VarEnd,MATCH($A1937,VarKey,0))&amp;AG$5</f>
        <v/>
      </c>
      <c r="AH1937" s="40">
        <f>AH1910+AH1919+AH1928</f>
        <v/>
      </c>
      <c r="AI1937" s="35">
        <f>AI1910+AI1919+AI1928</f>
        <v/>
      </c>
      <c r="AJ1937" s="35">
        <f>AJ1910+AJ1919+AJ1928</f>
        <v/>
      </c>
      <c r="AK1937" s="35">
        <f>AK1910+AK1919+AK1928</f>
        <v/>
      </c>
      <c r="AL1937" s="35">
        <f>AL1910+AL1919+AL1928</f>
        <v/>
      </c>
      <c r="AM1937" s="35">
        <f>AM1910+AM1919+AM1928</f>
        <v/>
      </c>
      <c r="AN1937" s="35">
        <f>AN1910+AN1919+AN1928</f>
        <v/>
      </c>
      <c r="AO1937" s="35">
        <f>AO1910+AO1919+AO1928</f>
        <v/>
      </c>
      <c r="AP1937" s="35">
        <f>AP1910+AP1919+AP1928</f>
        <v/>
      </c>
      <c r="AQ1937" s="35">
        <f>AQ1910+AQ1919+AQ1928</f>
        <v/>
      </c>
      <c r="AR1937" s="35">
        <f>AR1910+AR1919+AR1928</f>
        <v/>
      </c>
      <c r="AS1937" s="35">
        <f>AS1910+AS1919+AS1928</f>
        <v/>
      </c>
      <c r="AT1937" s="35">
        <f>AT1910+AT1919+AT1928</f>
        <v/>
      </c>
      <c r="AU1937" s="35">
        <f>AU1910+AU1919+AU1928</f>
        <v/>
      </c>
      <c r="AV1937" s="35">
        <f>AV1910+AV1919+AV1928</f>
        <v/>
      </c>
      <c r="AW1937" s="35">
        <f>AW1910+AW1919+AW1928</f>
        <v/>
      </c>
      <c r="AX1937" s="35">
        <f>AX1910+AX1919+AX1928</f>
        <v/>
      </c>
      <c r="AY1937" s="35">
        <f>AY1910+AY1919+AY1928</f>
        <v/>
      </c>
      <c r="AZ1937" s="35">
        <f>AZ1910+AZ1919+AZ1928</f>
        <v/>
      </c>
      <c r="BA1937" s="42">
        <f>NEWPOLICY(BA1910,BA1919,BA1928)</f>
        <v/>
      </c>
    </row>
    <row r="1938" hidden="1" outlineLevel="2">
      <c r="A1938" s="14" t="inlineStr">
        <is>
          <t>nce</t>
        </is>
      </c>
      <c r="B1938" s="14" t="inlineStr">
        <is>
          <t>gso</t>
        </is>
      </c>
      <c r="C1938" s="14" t="inlineStr">
        <is>
          <t>mch</t>
        </is>
      </c>
      <c r="D1938" s="39" t="n"/>
      <c r="E1938" s="39" t="n"/>
      <c r="F1938" s="39" t="n"/>
      <c r="G1938" s="39" t="n"/>
      <c r="H1938" s="14">
        <f>INDEX(VarLab,MATCH($A1938,VarKey,0))&amp;INDEX(MemLab,MATCH($C1938&amp;"|"&amp;$B1938,MemKey,0))</f>
        <v/>
      </c>
      <c r="I1938" s="14">
        <f>INDEX(VarUnit,MATCH($A1938,VarKey,0))</f>
        <v/>
      </c>
      <c r="J1938" s="14">
        <f>INDEX(VarSrc,MATCH($A1938,VarKey,0))</f>
        <v/>
      </c>
      <c r="K1938" s="11">
        <f>CodePrefix&amp;$A1938&amp;IF($C1938="","","."&amp;$C1938&amp;"."&amp;$B1938)&amp;INDEX(VarEnd,MATCH($A1938,VarKey,0))&amp;K$5</f>
        <v/>
      </c>
      <c r="L1938" s="40">
        <f>L1911+L1920+L1929</f>
        <v/>
      </c>
      <c r="M1938" s="35">
        <f>M1911+M1920+M1929</f>
        <v/>
      </c>
      <c r="N1938" s="35">
        <f>N1911+N1920+N1929</f>
        <v/>
      </c>
      <c r="O1938" s="35">
        <f>O1911+O1920+O1929</f>
        <v/>
      </c>
      <c r="P1938" s="35">
        <f>P1911+P1920+P1929</f>
        <v/>
      </c>
      <c r="Q1938" s="35">
        <f>Q1911+Q1920+Q1929</f>
        <v/>
      </c>
      <c r="R1938" s="35">
        <f>R1911+R1920+R1929</f>
        <v/>
      </c>
      <c r="S1938" s="35">
        <f>S1911+S1920+S1929</f>
        <v/>
      </c>
      <c r="T1938" s="35">
        <f>T1911+T1920+T1929</f>
        <v/>
      </c>
      <c r="U1938" s="35">
        <f>U1911+U1920+U1929</f>
        <v/>
      </c>
      <c r="V1938" s="35">
        <f>V1911+V1920+V1929</f>
        <v/>
      </c>
      <c r="W1938" s="35">
        <f>W1911+W1920+W1929</f>
        <v/>
      </c>
      <c r="X1938" s="35">
        <f>X1911+X1920+X1929</f>
        <v/>
      </c>
      <c r="Y1938" s="35">
        <f>Y1911+Y1920+Y1929</f>
        <v/>
      </c>
      <c r="Z1938" s="35">
        <f>Z1911+Z1920+Z1929</f>
        <v/>
      </c>
      <c r="AA1938" s="35">
        <f>AA1911+AA1920+AA1929</f>
        <v/>
      </c>
      <c r="AB1938" s="35">
        <f>AB1911+AB1920+AB1929</f>
        <v/>
      </c>
      <c r="AC1938" s="35">
        <f>AC1911+AC1920+AC1929</f>
        <v/>
      </c>
      <c r="AD1938" s="35">
        <f>AD1911+AD1920+AD1929</f>
        <v/>
      </c>
      <c r="AE1938" s="42">
        <f>NEWPOLICY(AE1911,AE1920,AE1929)</f>
        <v/>
      </c>
      <c r="AG1938" s="11">
        <f>CodePrefix&amp;$A1938&amp;IF($C1938="","","."&amp;$C1938&amp;"."&amp;$B1938)&amp;INDEX(VarEnd,MATCH($A1938,VarKey,0))&amp;AG$5</f>
        <v/>
      </c>
      <c r="AH1938" s="40">
        <f>AH1911+AH1920+AH1929</f>
        <v/>
      </c>
      <c r="AI1938" s="35">
        <f>AI1911+AI1920+AI1929</f>
        <v/>
      </c>
      <c r="AJ1938" s="35">
        <f>AJ1911+AJ1920+AJ1929</f>
        <v/>
      </c>
      <c r="AK1938" s="35">
        <f>AK1911+AK1920+AK1929</f>
        <v/>
      </c>
      <c r="AL1938" s="35">
        <f>AL1911+AL1920+AL1929</f>
        <v/>
      </c>
      <c r="AM1938" s="35">
        <f>AM1911+AM1920+AM1929</f>
        <v/>
      </c>
      <c r="AN1938" s="35">
        <f>AN1911+AN1920+AN1929</f>
        <v/>
      </c>
      <c r="AO1938" s="35">
        <f>AO1911+AO1920+AO1929</f>
        <v/>
      </c>
      <c r="AP1938" s="35">
        <f>AP1911+AP1920+AP1929</f>
        <v/>
      </c>
      <c r="AQ1938" s="35">
        <f>AQ1911+AQ1920+AQ1929</f>
        <v/>
      </c>
      <c r="AR1938" s="35">
        <f>AR1911+AR1920+AR1929</f>
        <v/>
      </c>
      <c r="AS1938" s="35">
        <f>AS1911+AS1920+AS1929</f>
        <v/>
      </c>
      <c r="AT1938" s="35">
        <f>AT1911+AT1920+AT1929</f>
        <v/>
      </c>
      <c r="AU1938" s="35">
        <f>AU1911+AU1920+AU1929</f>
        <v/>
      </c>
      <c r="AV1938" s="35">
        <f>AV1911+AV1920+AV1929</f>
        <v/>
      </c>
      <c r="AW1938" s="35">
        <f>AW1911+AW1920+AW1929</f>
        <v/>
      </c>
      <c r="AX1938" s="35">
        <f>AX1911+AX1920+AX1929</f>
        <v/>
      </c>
      <c r="AY1938" s="35">
        <f>AY1911+AY1920+AY1929</f>
        <v/>
      </c>
      <c r="AZ1938" s="35">
        <f>AZ1911+AZ1920+AZ1929</f>
        <v/>
      </c>
      <c r="BA1938" s="42">
        <f>NEWPOLICY(BA1911,BA1920,BA1929)</f>
        <v/>
      </c>
    </row>
    <row r="1939" hidden="1" outlineLevel="2">
      <c r="A1939" s="14" t="inlineStr">
        <is>
          <t>nce</t>
        </is>
      </c>
      <c r="B1939" s="14" t="inlineStr">
        <is>
          <t>die</t>
        </is>
      </c>
      <c r="C1939" s="14" t="inlineStr">
        <is>
          <t>mch</t>
        </is>
      </c>
      <c r="D1939" s="39" t="n"/>
      <c r="E1939" s="39" t="n"/>
      <c r="F1939" s="39" t="n"/>
      <c r="G1939" s="39" t="n"/>
      <c r="H1939" s="14">
        <f>INDEX(VarLab,MATCH($A1939,VarKey,0))&amp;INDEX(MemLab,MATCH($C1939&amp;"|"&amp;$B1939,MemKey,0))</f>
        <v/>
      </c>
      <c r="I1939" s="14">
        <f>INDEX(VarUnit,MATCH($A1939,VarKey,0))</f>
        <v/>
      </c>
      <c r="J1939" s="14">
        <f>INDEX(VarSrc,MATCH($A1939,VarKey,0))</f>
        <v/>
      </c>
      <c r="K1939" s="11">
        <f>CodePrefix&amp;$A1939&amp;IF($C1939="","","."&amp;$C1939&amp;"."&amp;$B1939)&amp;INDEX(VarEnd,MATCH($A1939,VarKey,0))&amp;K$5</f>
        <v/>
      </c>
      <c r="L1939" s="40">
        <f>L1912+L1921+L1930</f>
        <v/>
      </c>
      <c r="M1939" s="35">
        <f>M1912+M1921+M1930</f>
        <v/>
      </c>
      <c r="N1939" s="35">
        <f>N1912+N1921+N1930</f>
        <v/>
      </c>
      <c r="O1939" s="35">
        <f>O1912+O1921+O1930</f>
        <v/>
      </c>
      <c r="P1939" s="35">
        <f>P1912+P1921+P1930</f>
        <v/>
      </c>
      <c r="Q1939" s="35">
        <f>Q1912+Q1921+Q1930</f>
        <v/>
      </c>
      <c r="R1939" s="35">
        <f>R1912+R1921+R1930</f>
        <v/>
      </c>
      <c r="S1939" s="35">
        <f>S1912+S1921+S1930</f>
        <v/>
      </c>
      <c r="T1939" s="35">
        <f>T1912+T1921+T1930</f>
        <v/>
      </c>
      <c r="U1939" s="35">
        <f>U1912+U1921+U1930</f>
        <v/>
      </c>
      <c r="V1939" s="35">
        <f>V1912+V1921+V1930</f>
        <v/>
      </c>
      <c r="W1939" s="35">
        <f>W1912+W1921+W1930</f>
        <v/>
      </c>
      <c r="X1939" s="35">
        <f>X1912+X1921+X1930</f>
        <v/>
      </c>
      <c r="Y1939" s="35">
        <f>Y1912+Y1921+Y1930</f>
        <v/>
      </c>
      <c r="Z1939" s="35">
        <f>Z1912+Z1921+Z1930</f>
        <v/>
      </c>
      <c r="AA1939" s="35">
        <f>AA1912+AA1921+AA1930</f>
        <v/>
      </c>
      <c r="AB1939" s="35">
        <f>AB1912+AB1921+AB1930</f>
        <v/>
      </c>
      <c r="AC1939" s="35">
        <f>AC1912+AC1921+AC1930</f>
        <v/>
      </c>
      <c r="AD1939" s="35">
        <f>AD1912+AD1921+AD1930</f>
        <v/>
      </c>
      <c r="AE1939" s="42">
        <f>NEWPOLICY(AE1912,AE1921,AE1930)</f>
        <v/>
      </c>
      <c r="AG1939" s="11">
        <f>CodePrefix&amp;$A1939&amp;IF($C1939="","","."&amp;$C1939&amp;"."&amp;$B1939)&amp;INDEX(VarEnd,MATCH($A1939,VarKey,0))&amp;AG$5</f>
        <v/>
      </c>
      <c r="AH1939" s="40">
        <f>AH1912+AH1921+AH1930</f>
        <v/>
      </c>
      <c r="AI1939" s="35">
        <f>AI1912+AI1921+AI1930</f>
        <v/>
      </c>
      <c r="AJ1939" s="35">
        <f>AJ1912+AJ1921+AJ1930</f>
        <v/>
      </c>
      <c r="AK1939" s="35">
        <f>AK1912+AK1921+AK1930</f>
        <v/>
      </c>
      <c r="AL1939" s="35">
        <f>AL1912+AL1921+AL1930</f>
        <v/>
      </c>
      <c r="AM1939" s="35">
        <f>AM1912+AM1921+AM1930</f>
        <v/>
      </c>
      <c r="AN1939" s="35">
        <f>AN1912+AN1921+AN1930</f>
        <v/>
      </c>
      <c r="AO1939" s="35">
        <f>AO1912+AO1921+AO1930</f>
        <v/>
      </c>
      <c r="AP1939" s="35">
        <f>AP1912+AP1921+AP1930</f>
        <v/>
      </c>
      <c r="AQ1939" s="35">
        <f>AQ1912+AQ1921+AQ1930</f>
        <v/>
      </c>
      <c r="AR1939" s="35">
        <f>AR1912+AR1921+AR1930</f>
        <v/>
      </c>
      <c r="AS1939" s="35">
        <f>AS1912+AS1921+AS1930</f>
        <v/>
      </c>
      <c r="AT1939" s="35">
        <f>AT1912+AT1921+AT1930</f>
        <v/>
      </c>
      <c r="AU1939" s="35">
        <f>AU1912+AU1921+AU1930</f>
        <v/>
      </c>
      <c r="AV1939" s="35">
        <f>AV1912+AV1921+AV1930</f>
        <v/>
      </c>
      <c r="AW1939" s="35">
        <f>AW1912+AW1921+AW1930</f>
        <v/>
      </c>
      <c r="AX1939" s="35">
        <f>AX1912+AX1921+AX1930</f>
        <v/>
      </c>
      <c r="AY1939" s="35">
        <f>AY1912+AY1921+AY1930</f>
        <v/>
      </c>
      <c r="AZ1939" s="35">
        <f>AZ1912+AZ1921+AZ1930</f>
        <v/>
      </c>
      <c r="BA1939" s="42">
        <f>NEWPOLICY(BA1912,BA1921,BA1930)</f>
        <v/>
      </c>
    </row>
    <row r="1940" hidden="1" outlineLevel="2">
      <c r="A1940" s="14" t="inlineStr">
        <is>
          <t>nce</t>
        </is>
      </c>
      <c r="B1940" s="14" t="inlineStr">
        <is>
          <t>lpg</t>
        </is>
      </c>
      <c r="C1940" s="14" t="inlineStr">
        <is>
          <t>mch</t>
        </is>
      </c>
      <c r="D1940" s="39" t="n"/>
      <c r="E1940" s="39" t="n"/>
      <c r="F1940" s="39" t="n"/>
      <c r="G1940" s="39" t="n"/>
      <c r="H1940" s="14">
        <f>INDEX(VarLab,MATCH($A1940,VarKey,0))&amp;INDEX(MemLab,MATCH($C1940&amp;"|"&amp;$B1940,MemKey,0))</f>
        <v/>
      </c>
      <c r="I1940" s="14">
        <f>INDEX(VarUnit,MATCH($A1940,VarKey,0))</f>
        <v/>
      </c>
      <c r="J1940" s="14">
        <f>INDEX(VarSrc,MATCH($A1940,VarKey,0))</f>
        <v/>
      </c>
      <c r="K1940" s="11">
        <f>CodePrefix&amp;$A1940&amp;IF($C1940="","","."&amp;$C1940&amp;"."&amp;$B1940)&amp;INDEX(VarEnd,MATCH($A1940,VarKey,0))&amp;K$5</f>
        <v/>
      </c>
      <c r="L1940" s="40">
        <f>L1913+L1922+L1931</f>
        <v/>
      </c>
      <c r="M1940" s="35">
        <f>M1913+M1922+M1931</f>
        <v/>
      </c>
      <c r="N1940" s="35">
        <f>N1913+N1922+N1931</f>
        <v/>
      </c>
      <c r="O1940" s="35">
        <f>O1913+O1922+O1931</f>
        <v/>
      </c>
      <c r="P1940" s="35">
        <f>P1913+P1922+P1931</f>
        <v/>
      </c>
      <c r="Q1940" s="35">
        <f>Q1913+Q1922+Q1931</f>
        <v/>
      </c>
      <c r="R1940" s="35">
        <f>R1913+R1922+R1931</f>
        <v/>
      </c>
      <c r="S1940" s="35">
        <f>S1913+S1922+S1931</f>
        <v/>
      </c>
      <c r="T1940" s="35">
        <f>T1913+T1922+T1931</f>
        <v/>
      </c>
      <c r="U1940" s="35">
        <f>U1913+U1922+U1931</f>
        <v/>
      </c>
      <c r="V1940" s="35">
        <f>V1913+V1922+V1931</f>
        <v/>
      </c>
      <c r="W1940" s="35">
        <f>W1913+W1922+W1931</f>
        <v/>
      </c>
      <c r="X1940" s="35">
        <f>X1913+X1922+X1931</f>
        <v/>
      </c>
      <c r="Y1940" s="35">
        <f>Y1913+Y1922+Y1931</f>
        <v/>
      </c>
      <c r="Z1940" s="35">
        <f>Z1913+Z1922+Z1931</f>
        <v/>
      </c>
      <c r="AA1940" s="35">
        <f>AA1913+AA1922+AA1931</f>
        <v/>
      </c>
      <c r="AB1940" s="35">
        <f>AB1913+AB1922+AB1931</f>
        <v/>
      </c>
      <c r="AC1940" s="35">
        <f>AC1913+AC1922+AC1931</f>
        <v/>
      </c>
      <c r="AD1940" s="35">
        <f>AD1913+AD1922+AD1931</f>
        <v/>
      </c>
      <c r="AE1940" s="42">
        <f>NEWPOLICY(AE1913,AE1922,AE1931)</f>
        <v/>
      </c>
      <c r="AG1940" s="11">
        <f>CodePrefix&amp;$A1940&amp;IF($C1940="","","."&amp;$C1940&amp;"."&amp;$B1940)&amp;INDEX(VarEnd,MATCH($A1940,VarKey,0))&amp;AG$5</f>
        <v/>
      </c>
      <c r="AH1940" s="40">
        <f>AH1913+AH1922+AH1931</f>
        <v/>
      </c>
      <c r="AI1940" s="35">
        <f>AI1913+AI1922+AI1931</f>
        <v/>
      </c>
      <c r="AJ1940" s="35">
        <f>AJ1913+AJ1922+AJ1931</f>
        <v/>
      </c>
      <c r="AK1940" s="35">
        <f>AK1913+AK1922+AK1931</f>
        <v/>
      </c>
      <c r="AL1940" s="35">
        <f>AL1913+AL1922+AL1931</f>
        <v/>
      </c>
      <c r="AM1940" s="35">
        <f>AM1913+AM1922+AM1931</f>
        <v/>
      </c>
      <c r="AN1940" s="35">
        <f>AN1913+AN1922+AN1931</f>
        <v/>
      </c>
      <c r="AO1940" s="35">
        <f>AO1913+AO1922+AO1931</f>
        <v/>
      </c>
      <c r="AP1940" s="35">
        <f>AP1913+AP1922+AP1931</f>
        <v/>
      </c>
      <c r="AQ1940" s="35">
        <f>AQ1913+AQ1922+AQ1931</f>
        <v/>
      </c>
      <c r="AR1940" s="35">
        <f>AR1913+AR1922+AR1931</f>
        <v/>
      </c>
      <c r="AS1940" s="35">
        <f>AS1913+AS1922+AS1931</f>
        <v/>
      </c>
      <c r="AT1940" s="35">
        <f>AT1913+AT1922+AT1931</f>
        <v/>
      </c>
      <c r="AU1940" s="35">
        <f>AU1913+AU1922+AU1931</f>
        <v/>
      </c>
      <c r="AV1940" s="35">
        <f>AV1913+AV1922+AV1931</f>
        <v/>
      </c>
      <c r="AW1940" s="35">
        <f>AW1913+AW1922+AW1931</f>
        <v/>
      </c>
      <c r="AX1940" s="35">
        <f>AX1913+AX1922+AX1931</f>
        <v/>
      </c>
      <c r="AY1940" s="35">
        <f>AY1913+AY1922+AY1931</f>
        <v/>
      </c>
      <c r="AZ1940" s="35">
        <f>AZ1913+AZ1922+AZ1931</f>
        <v/>
      </c>
      <c r="BA1940" s="42">
        <f>NEWPOLICY(BA1913,BA1922,BA1931)</f>
        <v/>
      </c>
    </row>
    <row r="1941" hidden="1" outlineLevel="2">
      <c r="A1941" s="14" t="inlineStr">
        <is>
          <t>nce</t>
        </is>
      </c>
      <c r="B1941" s="14" t="inlineStr">
        <is>
          <t>ker</t>
        </is>
      </c>
      <c r="C1941" s="14" t="inlineStr">
        <is>
          <t>mch</t>
        </is>
      </c>
      <c r="D1941" s="39" t="n"/>
      <c r="E1941" s="39" t="n"/>
      <c r="F1941" s="39" t="n"/>
      <c r="G1941" s="39" t="n"/>
      <c r="H1941" s="14">
        <f>INDEX(VarLab,MATCH($A1941,VarKey,0))&amp;INDEX(MemLab,MATCH($C1941&amp;"|"&amp;$B1941,MemKey,0))</f>
        <v/>
      </c>
      <c r="I1941" s="14">
        <f>INDEX(VarUnit,MATCH($A1941,VarKey,0))</f>
        <v/>
      </c>
      <c r="J1941" s="14">
        <f>INDEX(VarSrc,MATCH($A1941,VarKey,0))</f>
        <v/>
      </c>
      <c r="K1941" s="11">
        <f>CodePrefix&amp;$A1941&amp;IF($C1941="","","."&amp;$C1941&amp;"."&amp;$B1941)&amp;INDEX(VarEnd,MATCH($A1941,VarKey,0))&amp;K$5</f>
        <v/>
      </c>
      <c r="L1941" s="40">
        <f>L1914+L1923+L1932</f>
        <v/>
      </c>
      <c r="M1941" s="35">
        <f>M1914+M1923+M1932</f>
        <v/>
      </c>
      <c r="N1941" s="35">
        <f>N1914+N1923+N1932</f>
        <v/>
      </c>
      <c r="O1941" s="35">
        <f>O1914+O1923+O1932</f>
        <v/>
      </c>
      <c r="P1941" s="35">
        <f>P1914+P1923+P1932</f>
        <v/>
      </c>
      <c r="Q1941" s="35">
        <f>Q1914+Q1923+Q1932</f>
        <v/>
      </c>
      <c r="R1941" s="35">
        <f>R1914+R1923+R1932</f>
        <v/>
      </c>
      <c r="S1941" s="35">
        <f>S1914+S1923+S1932</f>
        <v/>
      </c>
      <c r="T1941" s="35">
        <f>T1914+T1923+T1932</f>
        <v/>
      </c>
      <c r="U1941" s="35">
        <f>U1914+U1923+U1932</f>
        <v/>
      </c>
      <c r="V1941" s="35">
        <f>V1914+V1923+V1932</f>
        <v/>
      </c>
      <c r="W1941" s="35">
        <f>W1914+W1923+W1932</f>
        <v/>
      </c>
      <c r="X1941" s="35">
        <f>X1914+X1923+X1932</f>
        <v/>
      </c>
      <c r="Y1941" s="35">
        <f>Y1914+Y1923+Y1932</f>
        <v/>
      </c>
      <c r="Z1941" s="35">
        <f>Z1914+Z1923+Z1932</f>
        <v/>
      </c>
      <c r="AA1941" s="35">
        <f>AA1914+AA1923+AA1932</f>
        <v/>
      </c>
      <c r="AB1941" s="35">
        <f>AB1914+AB1923+AB1932</f>
        <v/>
      </c>
      <c r="AC1941" s="35">
        <f>AC1914+AC1923+AC1932</f>
        <v/>
      </c>
      <c r="AD1941" s="35">
        <f>AD1914+AD1923+AD1932</f>
        <v/>
      </c>
      <c r="AE1941" s="42">
        <f>NEWPOLICY(AE1914,AE1923,AE1932)</f>
        <v/>
      </c>
      <c r="AG1941" s="11">
        <f>CodePrefix&amp;$A1941&amp;IF($C1941="","","."&amp;$C1941&amp;"."&amp;$B1941)&amp;INDEX(VarEnd,MATCH($A1941,VarKey,0))&amp;AG$5</f>
        <v/>
      </c>
      <c r="AH1941" s="40">
        <f>AH1914+AH1923+AH1932</f>
        <v/>
      </c>
      <c r="AI1941" s="35">
        <f>AI1914+AI1923+AI1932</f>
        <v/>
      </c>
      <c r="AJ1941" s="35">
        <f>AJ1914+AJ1923+AJ1932</f>
        <v/>
      </c>
      <c r="AK1941" s="35">
        <f>AK1914+AK1923+AK1932</f>
        <v/>
      </c>
      <c r="AL1941" s="35">
        <f>AL1914+AL1923+AL1932</f>
        <v/>
      </c>
      <c r="AM1941" s="35">
        <f>AM1914+AM1923+AM1932</f>
        <v/>
      </c>
      <c r="AN1941" s="35">
        <f>AN1914+AN1923+AN1932</f>
        <v/>
      </c>
      <c r="AO1941" s="35">
        <f>AO1914+AO1923+AO1932</f>
        <v/>
      </c>
      <c r="AP1941" s="35">
        <f>AP1914+AP1923+AP1932</f>
        <v/>
      </c>
      <c r="AQ1941" s="35">
        <f>AQ1914+AQ1923+AQ1932</f>
        <v/>
      </c>
      <c r="AR1941" s="35">
        <f>AR1914+AR1923+AR1932</f>
        <v/>
      </c>
      <c r="AS1941" s="35">
        <f>AS1914+AS1923+AS1932</f>
        <v/>
      </c>
      <c r="AT1941" s="35">
        <f>AT1914+AT1923+AT1932</f>
        <v/>
      </c>
      <c r="AU1941" s="35">
        <f>AU1914+AU1923+AU1932</f>
        <v/>
      </c>
      <c r="AV1941" s="35">
        <f>AV1914+AV1923+AV1932</f>
        <v/>
      </c>
      <c r="AW1941" s="35">
        <f>AW1914+AW1923+AW1932</f>
        <v/>
      </c>
      <c r="AX1941" s="35">
        <f>AX1914+AX1923+AX1932</f>
        <v/>
      </c>
      <c r="AY1941" s="35">
        <f>AY1914+AY1923+AY1932</f>
        <v/>
      </c>
      <c r="AZ1941" s="35">
        <f>AZ1914+AZ1923+AZ1932</f>
        <v/>
      </c>
      <c r="BA1941" s="42">
        <f>NEWPOLICY(BA1914,BA1923,BA1932)</f>
        <v/>
      </c>
    </row>
    <row r="1942" hidden="1" outlineLevel="2">
      <c r="A1942" s="14" t="inlineStr">
        <is>
          <t>nce</t>
        </is>
      </c>
      <c r="B1942" s="14" t="inlineStr">
        <is>
          <t>oop</t>
        </is>
      </c>
      <c r="C1942" s="14" t="inlineStr">
        <is>
          <t>mch</t>
        </is>
      </c>
      <c r="D1942" s="39" t="n"/>
      <c r="E1942" s="39" t="n"/>
      <c r="F1942" s="39" t="n"/>
      <c r="G1942" s="39" t="n"/>
      <c r="H1942" s="14">
        <f>INDEX(VarLab,MATCH($A1942,VarKey,0))&amp;INDEX(MemLab,MATCH($C1942&amp;"|"&amp;$B1942,MemKey,0))</f>
        <v/>
      </c>
      <c r="I1942" s="14">
        <f>INDEX(VarUnit,MATCH($A1942,VarKey,0))</f>
        <v/>
      </c>
      <c r="J1942" s="14">
        <f>INDEX(VarSrc,MATCH($A1942,VarKey,0))</f>
        <v/>
      </c>
      <c r="K1942" s="11">
        <f>CodePrefix&amp;$A1942&amp;IF($C1942="","","."&amp;$C1942&amp;"."&amp;$B1942)&amp;INDEX(VarEnd,MATCH($A1942,VarKey,0))&amp;K$5</f>
        <v/>
      </c>
      <c r="L1942" s="40">
        <f>L1915+L1924+L1933</f>
        <v/>
      </c>
      <c r="M1942" s="35">
        <f>M1915+M1924+M1933</f>
        <v/>
      </c>
      <c r="N1942" s="35">
        <f>N1915+N1924+N1933</f>
        <v/>
      </c>
      <c r="O1942" s="35">
        <f>O1915+O1924+O1933</f>
        <v/>
      </c>
      <c r="P1942" s="35">
        <f>P1915+P1924+P1933</f>
        <v/>
      </c>
      <c r="Q1942" s="35">
        <f>Q1915+Q1924+Q1933</f>
        <v/>
      </c>
      <c r="R1942" s="35">
        <f>R1915+R1924+R1933</f>
        <v/>
      </c>
      <c r="S1942" s="35">
        <f>S1915+S1924+S1933</f>
        <v/>
      </c>
      <c r="T1942" s="35">
        <f>T1915+T1924+T1933</f>
        <v/>
      </c>
      <c r="U1942" s="35">
        <f>U1915+U1924+U1933</f>
        <v/>
      </c>
      <c r="V1942" s="35">
        <f>V1915+V1924+V1933</f>
        <v/>
      </c>
      <c r="W1942" s="35">
        <f>W1915+W1924+W1933</f>
        <v/>
      </c>
      <c r="X1942" s="35">
        <f>X1915+X1924+X1933</f>
        <v/>
      </c>
      <c r="Y1942" s="35">
        <f>Y1915+Y1924+Y1933</f>
        <v/>
      </c>
      <c r="Z1942" s="35">
        <f>Z1915+Z1924+Z1933</f>
        <v/>
      </c>
      <c r="AA1942" s="35">
        <f>AA1915+AA1924+AA1933</f>
        <v/>
      </c>
      <c r="AB1942" s="35">
        <f>AB1915+AB1924+AB1933</f>
        <v/>
      </c>
      <c r="AC1942" s="35">
        <f>AC1915+AC1924+AC1933</f>
        <v/>
      </c>
      <c r="AD1942" s="35">
        <f>AD1915+AD1924+AD1933</f>
        <v/>
      </c>
      <c r="AE1942" s="42">
        <f>NEWPOLICY(AE1915,AE1924,AE1933)</f>
        <v/>
      </c>
      <c r="AG1942" s="11">
        <f>CodePrefix&amp;$A1942&amp;IF($C1942="","","."&amp;$C1942&amp;"."&amp;$B1942)&amp;INDEX(VarEnd,MATCH($A1942,VarKey,0))&amp;AG$5</f>
        <v/>
      </c>
      <c r="AH1942" s="40">
        <f>AH1915+AH1924+AH1933</f>
        <v/>
      </c>
      <c r="AI1942" s="35">
        <f>AI1915+AI1924+AI1933</f>
        <v/>
      </c>
      <c r="AJ1942" s="35">
        <f>AJ1915+AJ1924+AJ1933</f>
        <v/>
      </c>
      <c r="AK1942" s="35">
        <f>AK1915+AK1924+AK1933</f>
        <v/>
      </c>
      <c r="AL1942" s="35">
        <f>AL1915+AL1924+AL1933</f>
        <v/>
      </c>
      <c r="AM1942" s="35">
        <f>AM1915+AM1924+AM1933</f>
        <v/>
      </c>
      <c r="AN1942" s="35">
        <f>AN1915+AN1924+AN1933</f>
        <v/>
      </c>
      <c r="AO1942" s="35">
        <f>AO1915+AO1924+AO1933</f>
        <v/>
      </c>
      <c r="AP1942" s="35">
        <f>AP1915+AP1924+AP1933</f>
        <v/>
      </c>
      <c r="AQ1942" s="35">
        <f>AQ1915+AQ1924+AQ1933</f>
        <v/>
      </c>
      <c r="AR1942" s="35">
        <f>AR1915+AR1924+AR1933</f>
        <v/>
      </c>
      <c r="AS1942" s="35">
        <f>AS1915+AS1924+AS1933</f>
        <v/>
      </c>
      <c r="AT1942" s="35">
        <f>AT1915+AT1924+AT1933</f>
        <v/>
      </c>
      <c r="AU1942" s="35">
        <f>AU1915+AU1924+AU1933</f>
        <v/>
      </c>
      <c r="AV1942" s="35">
        <f>AV1915+AV1924+AV1933</f>
        <v/>
      </c>
      <c r="AW1942" s="35">
        <f>AW1915+AW1924+AW1933</f>
        <v/>
      </c>
      <c r="AX1942" s="35">
        <f>AX1915+AX1924+AX1933</f>
        <v/>
      </c>
      <c r="AY1942" s="35">
        <f>AY1915+AY1924+AY1933</f>
        <v/>
      </c>
      <c r="AZ1942" s="35">
        <f>AZ1915+AZ1924+AZ1933</f>
        <v/>
      </c>
      <c r="BA1942" s="42">
        <f>NEWPOLICY(BA1915,BA1924,BA1933)</f>
        <v/>
      </c>
    </row>
    <row r="1943" hidden="1" outlineLevel="2">
      <c r="A1943" s="14" t="inlineStr">
        <is>
          <t>nce</t>
        </is>
      </c>
      <c r="B1943" s="14" t="inlineStr">
        <is>
          <t>bio</t>
        </is>
      </c>
      <c r="C1943" s="14" t="inlineStr">
        <is>
          <t>mch</t>
        </is>
      </c>
      <c r="D1943" s="39" t="n"/>
      <c r="E1943" s="39" t="n"/>
      <c r="F1943" s="39" t="n"/>
      <c r="G1943" s="39" t="n"/>
      <c r="H1943" s="14">
        <f>INDEX(VarLab,MATCH($A1943,VarKey,0))&amp;INDEX(MemLab,MATCH($C1943&amp;"|"&amp;$B1943,MemKey,0))</f>
        <v/>
      </c>
      <c r="I1943" s="14">
        <f>INDEX(VarUnit,MATCH($A1943,VarKey,0))</f>
        <v/>
      </c>
      <c r="J1943" s="14">
        <f>INDEX(VarSrc,MATCH($A1943,VarKey,0))</f>
        <v/>
      </c>
      <c r="K1943" s="11">
        <f>CodePrefix&amp;$A1943&amp;IF($C1943="","","."&amp;$C1943&amp;"."&amp;$B1943)&amp;INDEX(VarEnd,MATCH($A1943,VarKey,0))&amp;K$5</f>
        <v/>
      </c>
      <c r="L1943" s="40">
        <f>L1916+L1925+L1934</f>
        <v/>
      </c>
      <c r="M1943" s="35">
        <f>M1916+M1925+M1934</f>
        <v/>
      </c>
      <c r="N1943" s="35">
        <f>N1916+N1925+N1934</f>
        <v/>
      </c>
      <c r="O1943" s="35">
        <f>O1916+O1925+O1934</f>
        <v/>
      </c>
      <c r="P1943" s="35">
        <f>P1916+P1925+P1934</f>
        <v/>
      </c>
      <c r="Q1943" s="35">
        <f>Q1916+Q1925+Q1934</f>
        <v/>
      </c>
      <c r="R1943" s="35">
        <f>R1916+R1925+R1934</f>
        <v/>
      </c>
      <c r="S1943" s="35">
        <f>S1916+S1925+S1934</f>
        <v/>
      </c>
      <c r="T1943" s="35">
        <f>T1916+T1925+T1934</f>
        <v/>
      </c>
      <c r="U1943" s="35">
        <f>U1916+U1925+U1934</f>
        <v/>
      </c>
      <c r="V1943" s="35">
        <f>V1916+V1925+V1934</f>
        <v/>
      </c>
      <c r="W1943" s="35">
        <f>W1916+W1925+W1934</f>
        <v/>
      </c>
      <c r="X1943" s="35">
        <f>X1916+X1925+X1934</f>
        <v/>
      </c>
      <c r="Y1943" s="35">
        <f>Y1916+Y1925+Y1934</f>
        <v/>
      </c>
      <c r="Z1943" s="35">
        <f>Z1916+Z1925+Z1934</f>
        <v/>
      </c>
      <c r="AA1943" s="35">
        <f>AA1916+AA1925+AA1934</f>
        <v/>
      </c>
      <c r="AB1943" s="35">
        <f>AB1916+AB1925+AB1934</f>
        <v/>
      </c>
      <c r="AC1943" s="35">
        <f>AC1916+AC1925+AC1934</f>
        <v/>
      </c>
      <c r="AD1943" s="35">
        <f>AD1916+AD1925+AD1934</f>
        <v/>
      </c>
      <c r="AE1943" s="42">
        <f>NEWPOLICY(AE1916,AE1925,AE1934)</f>
        <v/>
      </c>
      <c r="AG1943" s="11">
        <f>CodePrefix&amp;$A1943&amp;IF($C1943="","","."&amp;$C1943&amp;"."&amp;$B1943)&amp;INDEX(VarEnd,MATCH($A1943,VarKey,0))&amp;AG$5</f>
        <v/>
      </c>
      <c r="AH1943" s="40">
        <f>AH1916+AH1925+AH1934</f>
        <v/>
      </c>
      <c r="AI1943" s="35">
        <f>AI1916+AI1925+AI1934</f>
        <v/>
      </c>
      <c r="AJ1943" s="35">
        <f>AJ1916+AJ1925+AJ1934</f>
        <v/>
      </c>
      <c r="AK1943" s="35">
        <f>AK1916+AK1925+AK1934</f>
        <v/>
      </c>
      <c r="AL1943" s="35">
        <f>AL1916+AL1925+AL1934</f>
        <v/>
      </c>
      <c r="AM1943" s="35">
        <f>AM1916+AM1925+AM1934</f>
        <v/>
      </c>
      <c r="AN1943" s="35">
        <f>AN1916+AN1925+AN1934</f>
        <v/>
      </c>
      <c r="AO1943" s="35">
        <f>AO1916+AO1925+AO1934</f>
        <v/>
      </c>
      <c r="AP1943" s="35">
        <f>AP1916+AP1925+AP1934</f>
        <v/>
      </c>
      <c r="AQ1943" s="35">
        <f>AQ1916+AQ1925+AQ1934</f>
        <v/>
      </c>
      <c r="AR1943" s="35">
        <f>AR1916+AR1925+AR1934</f>
        <v/>
      </c>
      <c r="AS1943" s="35">
        <f>AS1916+AS1925+AS1934</f>
        <v/>
      </c>
      <c r="AT1943" s="35">
        <f>AT1916+AT1925+AT1934</f>
        <v/>
      </c>
      <c r="AU1943" s="35">
        <f>AU1916+AU1925+AU1934</f>
        <v/>
      </c>
      <c r="AV1943" s="35">
        <f>AV1916+AV1925+AV1934</f>
        <v/>
      </c>
      <c r="AW1943" s="35">
        <f>AW1916+AW1925+AW1934</f>
        <v/>
      </c>
      <c r="AX1943" s="35">
        <f>AX1916+AX1925+AX1934</f>
        <v/>
      </c>
      <c r="AY1943" s="35">
        <f>AY1916+AY1925+AY1934</f>
        <v/>
      </c>
      <c r="AZ1943" s="35">
        <f>AZ1916+AZ1925+AZ1934</f>
        <v/>
      </c>
      <c r="BA1943" s="42">
        <f>NEWPOLICY(BA1916,BA1925,BA1934)</f>
        <v/>
      </c>
    </row>
    <row r="1944" hidden="1" outlineLevel="2"/>
    <row r="1945" hidden="1" outlineLevel="2">
      <c r="A1945" s="14" t="inlineStr">
        <is>
          <t>xcp</t>
        </is>
      </c>
      <c r="B1945" s="14" t="inlineStr">
        <is>
          <t>coa</t>
        </is>
      </c>
      <c r="C1945" s="14" t="inlineStr">
        <is>
          <t>mch</t>
        </is>
      </c>
      <c r="D1945" s="35">
        <f>INDEX(Inputs!$W$5:$W$132,MATCH($B1945&amp;"|"&amp;$C1945,Inputs!$A$5:$A$132,0))</f>
        <v/>
      </c>
      <c r="E1945" s="35">
        <f>INDEX(Inputs!$Z$5:$Z$132,MATCH($B1945&amp;"|"&amp;$C1945,Inputs!$A$5:$A$132,0))</f>
        <v/>
      </c>
      <c r="F1945" s="35">
        <f>INDEX(Inputs!$AA$5:$AA$132,MATCH($B1945&amp;"|"&amp;$C1945,Inputs!$A$5:$A$132,0))</f>
        <v/>
      </c>
      <c r="G1945" s="39" t="n"/>
      <c r="H1945" s="14">
        <f>INDEX(VarLab,MATCH($A1945,VarKey,0))&amp;INDEX(MemLab,MATCH($C1945&amp;"|"&amp;$B1945,MemKey,0))</f>
        <v/>
      </c>
      <c r="I1945" s="14">
        <f>INDEX(VarUnit,MATCH($A1945,VarKey,0))</f>
        <v/>
      </c>
      <c r="J1945" s="14">
        <f>INDEX(VarSrc,MATCH($A1945,VarKey,0))</f>
        <v/>
      </c>
      <c r="K1945" s="11">
        <f>CodePrefix&amp;$A1945&amp;IF($C1945="","","."&amp;$C1945&amp;"."&amp;$B1945)&amp;INDEX(VarEnd,MATCH($A1945,VarKey,0))&amp;K$5</f>
        <v/>
      </c>
      <c r="L1945" s="40">
        <f>$D1945*($E1945*L$321+$F1945*L$324)</f>
        <v/>
      </c>
      <c r="M1945" s="35">
        <f>$D1945*($E1945*M$321+$F1945*M$324)</f>
        <v/>
      </c>
      <c r="N1945" s="35">
        <f>$D1945*($E1945*N$321+$F1945*N$324)</f>
        <v/>
      </c>
      <c r="O1945" s="35">
        <f>$D1945*($E1945*O$321+$F1945*O$324)</f>
        <v/>
      </c>
      <c r="P1945" s="35">
        <f>$D1945*($E1945*P$321+$F1945*P$324)</f>
        <v/>
      </c>
      <c r="Q1945" s="35">
        <f>$D1945*($E1945*Q$321+$F1945*Q$324)</f>
        <v/>
      </c>
      <c r="R1945" s="35">
        <f>$D1945*($E1945*R$321+$F1945*R$324)</f>
        <v/>
      </c>
      <c r="S1945" s="35">
        <f>$D1945*($E1945*S$321+$F1945*S$324)</f>
        <v/>
      </c>
      <c r="T1945" s="35">
        <f>$D1945*($E1945*T$321+$F1945*T$324)</f>
        <v/>
      </c>
      <c r="U1945" s="35">
        <f>$D1945*($E1945*U$321+$F1945*U$324)</f>
        <v/>
      </c>
      <c r="V1945" s="35">
        <f>$D1945*($E1945*V$321+$F1945*V$324)</f>
        <v/>
      </c>
      <c r="W1945" s="35">
        <f>$D1945*($E1945*W$321+$F1945*W$324)</f>
        <v/>
      </c>
      <c r="X1945" s="35">
        <f>$D1945*($E1945*X$321+$F1945*X$324)</f>
        <v/>
      </c>
      <c r="Y1945" s="35">
        <f>$D1945*($E1945*Y$321+$F1945*Y$324)</f>
        <v/>
      </c>
      <c r="Z1945" s="35">
        <f>$D1945*($E1945*Z$321+$F1945*Z$324)</f>
        <v/>
      </c>
      <c r="AA1945" s="35">
        <f>$D1945*($E1945*AA$321+$F1945*AA$324)</f>
        <v/>
      </c>
      <c r="AB1945" s="35">
        <f>$D1945*($E1945*AB$321+$F1945*AB$324)</f>
        <v/>
      </c>
      <c r="AC1945" s="35">
        <f>$D1945*($E1945*AC$321+$F1945*AC$324)</f>
        <v/>
      </c>
      <c r="AD1945" s="35">
        <f>$D1945*($E1945*AD$321+$F1945*AD$324)</f>
        <v/>
      </c>
      <c r="AE1945" s="42">
        <f>XCARBON($D1945,$E1945,AE$321,$F1945,AE$324)</f>
        <v/>
      </c>
      <c r="AG1945" s="11">
        <f>CodePrefix&amp;$A1945&amp;IF($C1945="","","."&amp;$C1945&amp;"."&amp;$B1945)&amp;INDEX(VarEnd,MATCH($A1945,VarKey,0))&amp;AG$5</f>
        <v/>
      </c>
      <c r="AH1945" s="40">
        <f>$D1945*($E1945*AH$321+$F1945*AH$324)</f>
        <v/>
      </c>
      <c r="AI1945" s="35">
        <f>$D1945*($E1945*AI$321+$F1945*AI$324)</f>
        <v/>
      </c>
      <c r="AJ1945" s="35">
        <f>$D1945*($E1945*AJ$321+$F1945*AJ$324)</f>
        <v/>
      </c>
      <c r="AK1945" s="35">
        <f>$D1945*($E1945*AK$321+$F1945*AK$324)</f>
        <v/>
      </c>
      <c r="AL1945" s="35">
        <f>$D1945*($E1945*AL$321+$F1945*AL$324)</f>
        <v/>
      </c>
      <c r="AM1945" s="35">
        <f>$D1945*($E1945*AM$321+$F1945*AM$324)</f>
        <v/>
      </c>
      <c r="AN1945" s="35">
        <f>$D1945*($E1945*AN$321+$F1945*AN$324)</f>
        <v/>
      </c>
      <c r="AO1945" s="35">
        <f>$D1945*($E1945*AO$321+$F1945*AO$324)</f>
        <v/>
      </c>
      <c r="AP1945" s="35">
        <f>$D1945*($E1945*AP$321+$F1945*AP$324)</f>
        <v/>
      </c>
      <c r="AQ1945" s="35">
        <f>$D1945*($E1945*AQ$321+$F1945*AQ$324)</f>
        <v/>
      </c>
      <c r="AR1945" s="35">
        <f>$D1945*($E1945*AR$321+$F1945*AR$324)</f>
        <v/>
      </c>
      <c r="AS1945" s="35">
        <f>$D1945*($E1945*AS$321+$F1945*AS$324)</f>
        <v/>
      </c>
      <c r="AT1945" s="35">
        <f>$D1945*($E1945*AT$321+$F1945*AT$324)</f>
        <v/>
      </c>
      <c r="AU1945" s="35">
        <f>$D1945*($E1945*AU$321+$F1945*AU$324)</f>
        <v/>
      </c>
      <c r="AV1945" s="35">
        <f>$D1945*($E1945*AV$321+$F1945*AV$324)</f>
        <v/>
      </c>
      <c r="AW1945" s="35">
        <f>$D1945*($E1945*AW$321+$F1945*AW$324)</f>
        <v/>
      </c>
      <c r="AX1945" s="35">
        <f>$D1945*($E1945*AX$321+$F1945*AX$324)</f>
        <v/>
      </c>
      <c r="AY1945" s="35">
        <f>$D1945*($E1945*AY$321+$F1945*AY$324)</f>
        <v/>
      </c>
      <c r="AZ1945" s="35">
        <f>$D1945*($E1945*AZ$321+$F1945*AZ$324)</f>
        <v/>
      </c>
      <c r="BA1945" s="42">
        <f>XCARBON($D1945,$E1945,BA$321,$F1945,BA$324)</f>
        <v/>
      </c>
    </row>
    <row r="1946" hidden="1" outlineLevel="2">
      <c r="A1946" s="14" t="inlineStr">
        <is>
          <t>xcp</t>
        </is>
      </c>
      <c r="B1946" s="14" t="inlineStr">
        <is>
          <t>nga</t>
        </is>
      </c>
      <c r="C1946" s="14" t="inlineStr">
        <is>
          <t>mch</t>
        </is>
      </c>
      <c r="D1946" s="35">
        <f>INDEX(Inputs!$W$5:$W$132,MATCH($B1946&amp;"|"&amp;$C1946,Inputs!$A$5:$A$132,0))</f>
        <v/>
      </c>
      <c r="E1946" s="35">
        <f>INDEX(Inputs!$Z$5:$Z$132,MATCH($B1946&amp;"|"&amp;$C1946,Inputs!$A$5:$A$132,0))</f>
        <v/>
      </c>
      <c r="F1946" s="35">
        <f>INDEX(Inputs!$AA$5:$AA$132,MATCH($B1946&amp;"|"&amp;$C1946,Inputs!$A$5:$A$132,0))</f>
        <v/>
      </c>
      <c r="G1946" s="39" t="n"/>
      <c r="H1946" s="14">
        <f>INDEX(VarLab,MATCH($A1946,VarKey,0))&amp;INDEX(MemLab,MATCH($C1946&amp;"|"&amp;$B1946,MemKey,0))</f>
        <v/>
      </c>
      <c r="I1946" s="14">
        <f>INDEX(VarUnit,MATCH($A1946,VarKey,0))</f>
        <v/>
      </c>
      <c r="J1946" s="14">
        <f>INDEX(VarSrc,MATCH($A1946,VarKey,0))</f>
        <v/>
      </c>
      <c r="K1946" s="11">
        <f>CodePrefix&amp;$A1946&amp;IF($C1946="","","."&amp;$C1946&amp;"."&amp;$B1946)&amp;INDEX(VarEnd,MATCH($A1946,VarKey,0))&amp;K$5</f>
        <v/>
      </c>
      <c r="L1946" s="40">
        <f>$D1946*($E1946*L$321+$F1946*L$324)</f>
        <v/>
      </c>
      <c r="M1946" s="35">
        <f>$D1946*($E1946*M$321+$F1946*M$324)</f>
        <v/>
      </c>
      <c r="N1946" s="35">
        <f>$D1946*($E1946*N$321+$F1946*N$324)</f>
        <v/>
      </c>
      <c r="O1946" s="35">
        <f>$D1946*($E1946*O$321+$F1946*O$324)</f>
        <v/>
      </c>
      <c r="P1946" s="35">
        <f>$D1946*($E1946*P$321+$F1946*P$324)</f>
        <v/>
      </c>
      <c r="Q1946" s="35">
        <f>$D1946*($E1946*Q$321+$F1946*Q$324)</f>
        <v/>
      </c>
      <c r="R1946" s="35">
        <f>$D1946*($E1946*R$321+$F1946*R$324)</f>
        <v/>
      </c>
      <c r="S1946" s="35">
        <f>$D1946*($E1946*S$321+$F1946*S$324)</f>
        <v/>
      </c>
      <c r="T1946" s="35">
        <f>$D1946*($E1946*T$321+$F1946*T$324)</f>
        <v/>
      </c>
      <c r="U1946" s="35">
        <f>$D1946*($E1946*U$321+$F1946*U$324)</f>
        <v/>
      </c>
      <c r="V1946" s="35">
        <f>$D1946*($E1946*V$321+$F1946*V$324)</f>
        <v/>
      </c>
      <c r="W1946" s="35">
        <f>$D1946*($E1946*W$321+$F1946*W$324)</f>
        <v/>
      </c>
      <c r="X1946" s="35">
        <f>$D1946*($E1946*X$321+$F1946*X$324)</f>
        <v/>
      </c>
      <c r="Y1946" s="35">
        <f>$D1946*($E1946*Y$321+$F1946*Y$324)</f>
        <v/>
      </c>
      <c r="Z1946" s="35">
        <f>$D1946*($E1946*Z$321+$F1946*Z$324)</f>
        <v/>
      </c>
      <c r="AA1946" s="35">
        <f>$D1946*($E1946*AA$321+$F1946*AA$324)</f>
        <v/>
      </c>
      <c r="AB1946" s="35">
        <f>$D1946*($E1946*AB$321+$F1946*AB$324)</f>
        <v/>
      </c>
      <c r="AC1946" s="35">
        <f>$D1946*($E1946*AC$321+$F1946*AC$324)</f>
        <v/>
      </c>
      <c r="AD1946" s="35">
        <f>$D1946*($E1946*AD$321+$F1946*AD$324)</f>
        <v/>
      </c>
      <c r="AE1946" s="42">
        <f>XCARBON($D1946,$E1946,AE$321,$F1946,AE$324)</f>
        <v/>
      </c>
      <c r="AG1946" s="11">
        <f>CodePrefix&amp;$A1946&amp;IF($C1946="","","."&amp;$C1946&amp;"."&amp;$B1946)&amp;INDEX(VarEnd,MATCH($A1946,VarKey,0))&amp;AG$5</f>
        <v/>
      </c>
      <c r="AH1946" s="40">
        <f>$D1946*($E1946*AH$321+$F1946*AH$324)</f>
        <v/>
      </c>
      <c r="AI1946" s="35">
        <f>$D1946*($E1946*AI$321+$F1946*AI$324)</f>
        <v/>
      </c>
      <c r="AJ1946" s="35">
        <f>$D1946*($E1946*AJ$321+$F1946*AJ$324)</f>
        <v/>
      </c>
      <c r="AK1946" s="35">
        <f>$D1946*($E1946*AK$321+$F1946*AK$324)</f>
        <v/>
      </c>
      <c r="AL1946" s="35">
        <f>$D1946*($E1946*AL$321+$F1946*AL$324)</f>
        <v/>
      </c>
      <c r="AM1946" s="35">
        <f>$D1946*($E1946*AM$321+$F1946*AM$324)</f>
        <v/>
      </c>
      <c r="AN1946" s="35">
        <f>$D1946*($E1946*AN$321+$F1946*AN$324)</f>
        <v/>
      </c>
      <c r="AO1946" s="35">
        <f>$D1946*($E1946*AO$321+$F1946*AO$324)</f>
        <v/>
      </c>
      <c r="AP1946" s="35">
        <f>$D1946*($E1946*AP$321+$F1946*AP$324)</f>
        <v/>
      </c>
      <c r="AQ1946" s="35">
        <f>$D1946*($E1946*AQ$321+$F1946*AQ$324)</f>
        <v/>
      </c>
      <c r="AR1946" s="35">
        <f>$D1946*($E1946*AR$321+$F1946*AR$324)</f>
        <v/>
      </c>
      <c r="AS1946" s="35">
        <f>$D1946*($E1946*AS$321+$F1946*AS$324)</f>
        <v/>
      </c>
      <c r="AT1946" s="35">
        <f>$D1946*($E1946*AT$321+$F1946*AT$324)</f>
        <v/>
      </c>
      <c r="AU1946" s="35">
        <f>$D1946*($E1946*AU$321+$F1946*AU$324)</f>
        <v/>
      </c>
      <c r="AV1946" s="35">
        <f>$D1946*($E1946*AV$321+$F1946*AV$324)</f>
        <v/>
      </c>
      <c r="AW1946" s="35">
        <f>$D1946*($E1946*AW$321+$F1946*AW$324)</f>
        <v/>
      </c>
      <c r="AX1946" s="35">
        <f>$D1946*($E1946*AX$321+$F1946*AX$324)</f>
        <v/>
      </c>
      <c r="AY1946" s="35">
        <f>$D1946*($E1946*AY$321+$F1946*AY$324)</f>
        <v/>
      </c>
      <c r="AZ1946" s="35">
        <f>$D1946*($E1946*AZ$321+$F1946*AZ$324)</f>
        <v/>
      </c>
      <c r="BA1946" s="42">
        <f>XCARBON($D1946,$E1946,BA$321,$F1946,BA$324)</f>
        <v/>
      </c>
    </row>
    <row r="1947" hidden="1" outlineLevel="2">
      <c r="A1947" s="14" t="inlineStr">
        <is>
          <t>xcp</t>
        </is>
      </c>
      <c r="B1947" s="14" t="inlineStr">
        <is>
          <t>gso</t>
        </is>
      </c>
      <c r="C1947" s="14" t="inlineStr">
        <is>
          <t>mch</t>
        </is>
      </c>
      <c r="D1947" s="35">
        <f>INDEX(Inputs!$W$5:$W$132,MATCH($B1947&amp;"|"&amp;$C1947,Inputs!$A$5:$A$132,0))</f>
        <v/>
      </c>
      <c r="E1947" s="35">
        <f>INDEX(Inputs!$Z$5:$Z$132,MATCH($B1947&amp;"|"&amp;$C1947,Inputs!$A$5:$A$132,0))</f>
        <v/>
      </c>
      <c r="F1947" s="35">
        <f>INDEX(Inputs!$AA$5:$AA$132,MATCH($B1947&amp;"|"&amp;$C1947,Inputs!$A$5:$A$132,0))</f>
        <v/>
      </c>
      <c r="G1947" s="39" t="n"/>
      <c r="H1947" s="14">
        <f>INDEX(VarLab,MATCH($A1947,VarKey,0))&amp;INDEX(MemLab,MATCH($C1947&amp;"|"&amp;$B1947,MemKey,0))</f>
        <v/>
      </c>
      <c r="I1947" s="14">
        <f>INDEX(VarUnit,MATCH($A1947,VarKey,0))</f>
        <v/>
      </c>
      <c r="J1947" s="14">
        <f>INDEX(VarSrc,MATCH($A1947,VarKey,0))</f>
        <v/>
      </c>
      <c r="K1947" s="11">
        <f>CodePrefix&amp;$A1947&amp;IF($C1947="","","."&amp;$C1947&amp;"."&amp;$B1947)&amp;INDEX(VarEnd,MATCH($A1947,VarKey,0))&amp;K$5</f>
        <v/>
      </c>
      <c r="L1947" s="40">
        <f>$D1947*($E1947*L$321+$F1947*L$324)</f>
        <v/>
      </c>
      <c r="M1947" s="35">
        <f>$D1947*($E1947*M$321+$F1947*M$324)</f>
        <v/>
      </c>
      <c r="N1947" s="35">
        <f>$D1947*($E1947*N$321+$F1947*N$324)</f>
        <v/>
      </c>
      <c r="O1947" s="35">
        <f>$D1947*($E1947*O$321+$F1947*O$324)</f>
        <v/>
      </c>
      <c r="P1947" s="35">
        <f>$D1947*($E1947*P$321+$F1947*P$324)</f>
        <v/>
      </c>
      <c r="Q1947" s="35">
        <f>$D1947*($E1947*Q$321+$F1947*Q$324)</f>
        <v/>
      </c>
      <c r="R1947" s="35">
        <f>$D1947*($E1947*R$321+$F1947*R$324)</f>
        <v/>
      </c>
      <c r="S1947" s="35">
        <f>$D1947*($E1947*S$321+$F1947*S$324)</f>
        <v/>
      </c>
      <c r="T1947" s="35">
        <f>$D1947*($E1947*T$321+$F1947*T$324)</f>
        <v/>
      </c>
      <c r="U1947" s="35">
        <f>$D1947*($E1947*U$321+$F1947*U$324)</f>
        <v/>
      </c>
      <c r="V1947" s="35">
        <f>$D1947*($E1947*V$321+$F1947*V$324)</f>
        <v/>
      </c>
      <c r="W1947" s="35">
        <f>$D1947*($E1947*W$321+$F1947*W$324)</f>
        <v/>
      </c>
      <c r="X1947" s="35">
        <f>$D1947*($E1947*X$321+$F1947*X$324)</f>
        <v/>
      </c>
      <c r="Y1947" s="35">
        <f>$D1947*($E1947*Y$321+$F1947*Y$324)</f>
        <v/>
      </c>
      <c r="Z1947" s="35">
        <f>$D1947*($E1947*Z$321+$F1947*Z$324)</f>
        <v/>
      </c>
      <c r="AA1947" s="35">
        <f>$D1947*($E1947*AA$321+$F1947*AA$324)</f>
        <v/>
      </c>
      <c r="AB1947" s="35">
        <f>$D1947*($E1947*AB$321+$F1947*AB$324)</f>
        <v/>
      </c>
      <c r="AC1947" s="35">
        <f>$D1947*($E1947*AC$321+$F1947*AC$324)</f>
        <v/>
      </c>
      <c r="AD1947" s="35">
        <f>$D1947*($E1947*AD$321+$F1947*AD$324)</f>
        <v/>
      </c>
      <c r="AE1947" s="42">
        <f>XCARBON($D1947,$E1947,AE$321,$F1947,AE$324)</f>
        <v/>
      </c>
      <c r="AG1947" s="11">
        <f>CodePrefix&amp;$A1947&amp;IF($C1947="","","."&amp;$C1947&amp;"."&amp;$B1947)&amp;INDEX(VarEnd,MATCH($A1947,VarKey,0))&amp;AG$5</f>
        <v/>
      </c>
      <c r="AH1947" s="40">
        <f>$D1947*($E1947*AH$321+$F1947*AH$324)</f>
        <v/>
      </c>
      <c r="AI1947" s="35">
        <f>$D1947*($E1947*AI$321+$F1947*AI$324)</f>
        <v/>
      </c>
      <c r="AJ1947" s="35">
        <f>$D1947*($E1947*AJ$321+$F1947*AJ$324)</f>
        <v/>
      </c>
      <c r="AK1947" s="35">
        <f>$D1947*($E1947*AK$321+$F1947*AK$324)</f>
        <v/>
      </c>
      <c r="AL1947" s="35">
        <f>$D1947*($E1947*AL$321+$F1947*AL$324)</f>
        <v/>
      </c>
      <c r="AM1947" s="35">
        <f>$D1947*($E1947*AM$321+$F1947*AM$324)</f>
        <v/>
      </c>
      <c r="AN1947" s="35">
        <f>$D1947*($E1947*AN$321+$F1947*AN$324)</f>
        <v/>
      </c>
      <c r="AO1947" s="35">
        <f>$D1947*($E1947*AO$321+$F1947*AO$324)</f>
        <v/>
      </c>
      <c r="AP1947" s="35">
        <f>$D1947*($E1947*AP$321+$F1947*AP$324)</f>
        <v/>
      </c>
      <c r="AQ1947" s="35">
        <f>$D1947*($E1947*AQ$321+$F1947*AQ$324)</f>
        <v/>
      </c>
      <c r="AR1947" s="35">
        <f>$D1947*($E1947*AR$321+$F1947*AR$324)</f>
        <v/>
      </c>
      <c r="AS1947" s="35">
        <f>$D1947*($E1947*AS$321+$F1947*AS$324)</f>
        <v/>
      </c>
      <c r="AT1947" s="35">
        <f>$D1947*($E1947*AT$321+$F1947*AT$324)</f>
        <v/>
      </c>
      <c r="AU1947" s="35">
        <f>$D1947*($E1947*AU$321+$F1947*AU$324)</f>
        <v/>
      </c>
      <c r="AV1947" s="35">
        <f>$D1947*($E1947*AV$321+$F1947*AV$324)</f>
        <v/>
      </c>
      <c r="AW1947" s="35">
        <f>$D1947*($E1947*AW$321+$F1947*AW$324)</f>
        <v/>
      </c>
      <c r="AX1947" s="35">
        <f>$D1947*($E1947*AX$321+$F1947*AX$324)</f>
        <v/>
      </c>
      <c r="AY1947" s="35">
        <f>$D1947*($E1947*AY$321+$F1947*AY$324)</f>
        <v/>
      </c>
      <c r="AZ1947" s="35">
        <f>$D1947*($E1947*AZ$321+$F1947*AZ$324)</f>
        <v/>
      </c>
      <c r="BA1947" s="42">
        <f>XCARBON($D1947,$E1947,BA$321,$F1947,BA$324)</f>
        <v/>
      </c>
    </row>
    <row r="1948" hidden="1" outlineLevel="2">
      <c r="A1948" s="14" t="inlineStr">
        <is>
          <t>xcp</t>
        </is>
      </c>
      <c r="B1948" s="14" t="inlineStr">
        <is>
          <t>die</t>
        </is>
      </c>
      <c r="C1948" s="14" t="inlineStr">
        <is>
          <t>mch</t>
        </is>
      </c>
      <c r="D1948" s="35">
        <f>INDEX(Inputs!$W$5:$W$132,MATCH($B1948&amp;"|"&amp;$C1948,Inputs!$A$5:$A$132,0))</f>
        <v/>
      </c>
      <c r="E1948" s="35">
        <f>INDEX(Inputs!$Z$5:$Z$132,MATCH($B1948&amp;"|"&amp;$C1948,Inputs!$A$5:$A$132,0))</f>
        <v/>
      </c>
      <c r="F1948" s="35">
        <f>INDEX(Inputs!$AA$5:$AA$132,MATCH($B1948&amp;"|"&amp;$C1948,Inputs!$A$5:$A$132,0))</f>
        <v/>
      </c>
      <c r="G1948" s="39" t="n"/>
      <c r="H1948" s="14">
        <f>INDEX(VarLab,MATCH($A1948,VarKey,0))&amp;INDEX(MemLab,MATCH($C1948&amp;"|"&amp;$B1948,MemKey,0))</f>
        <v/>
      </c>
      <c r="I1948" s="14">
        <f>INDEX(VarUnit,MATCH($A1948,VarKey,0))</f>
        <v/>
      </c>
      <c r="J1948" s="14">
        <f>INDEX(VarSrc,MATCH($A1948,VarKey,0))</f>
        <v/>
      </c>
      <c r="K1948" s="11">
        <f>CodePrefix&amp;$A1948&amp;IF($C1948="","","."&amp;$C1948&amp;"."&amp;$B1948)&amp;INDEX(VarEnd,MATCH($A1948,VarKey,0))&amp;K$5</f>
        <v/>
      </c>
      <c r="L1948" s="40">
        <f>$D1948*($E1948*L$321+$F1948*L$324)</f>
        <v/>
      </c>
      <c r="M1948" s="35">
        <f>$D1948*($E1948*M$321+$F1948*M$324)</f>
        <v/>
      </c>
      <c r="N1948" s="35">
        <f>$D1948*($E1948*N$321+$F1948*N$324)</f>
        <v/>
      </c>
      <c r="O1948" s="35">
        <f>$D1948*($E1948*O$321+$F1948*O$324)</f>
        <v/>
      </c>
      <c r="P1948" s="35">
        <f>$D1948*($E1948*P$321+$F1948*P$324)</f>
        <v/>
      </c>
      <c r="Q1948" s="35">
        <f>$D1948*($E1948*Q$321+$F1948*Q$324)</f>
        <v/>
      </c>
      <c r="R1948" s="35">
        <f>$D1948*($E1948*R$321+$F1948*R$324)</f>
        <v/>
      </c>
      <c r="S1948" s="35">
        <f>$D1948*($E1948*S$321+$F1948*S$324)</f>
        <v/>
      </c>
      <c r="T1948" s="35">
        <f>$D1948*($E1948*T$321+$F1948*T$324)</f>
        <v/>
      </c>
      <c r="U1948" s="35">
        <f>$D1948*($E1948*U$321+$F1948*U$324)</f>
        <v/>
      </c>
      <c r="V1948" s="35">
        <f>$D1948*($E1948*V$321+$F1948*V$324)</f>
        <v/>
      </c>
      <c r="W1948" s="35">
        <f>$D1948*($E1948*W$321+$F1948*W$324)</f>
        <v/>
      </c>
      <c r="X1948" s="35">
        <f>$D1948*($E1948*X$321+$F1948*X$324)</f>
        <v/>
      </c>
      <c r="Y1948" s="35">
        <f>$D1948*($E1948*Y$321+$F1948*Y$324)</f>
        <v/>
      </c>
      <c r="Z1948" s="35">
        <f>$D1948*($E1948*Z$321+$F1948*Z$324)</f>
        <v/>
      </c>
      <c r="AA1948" s="35">
        <f>$D1948*($E1948*AA$321+$F1948*AA$324)</f>
        <v/>
      </c>
      <c r="AB1948" s="35">
        <f>$D1948*($E1948*AB$321+$F1948*AB$324)</f>
        <v/>
      </c>
      <c r="AC1948" s="35">
        <f>$D1948*($E1948*AC$321+$F1948*AC$324)</f>
        <v/>
      </c>
      <c r="AD1948" s="35">
        <f>$D1948*($E1948*AD$321+$F1948*AD$324)</f>
        <v/>
      </c>
      <c r="AE1948" s="42">
        <f>XCARBON($D1948,$E1948,AE$321,$F1948,AE$324)</f>
        <v/>
      </c>
      <c r="AG1948" s="11">
        <f>CodePrefix&amp;$A1948&amp;IF($C1948="","","."&amp;$C1948&amp;"."&amp;$B1948)&amp;INDEX(VarEnd,MATCH($A1948,VarKey,0))&amp;AG$5</f>
        <v/>
      </c>
      <c r="AH1948" s="40">
        <f>$D1948*($E1948*AH$321+$F1948*AH$324)</f>
        <v/>
      </c>
      <c r="AI1948" s="35">
        <f>$D1948*($E1948*AI$321+$F1948*AI$324)</f>
        <v/>
      </c>
      <c r="AJ1948" s="35">
        <f>$D1948*($E1948*AJ$321+$F1948*AJ$324)</f>
        <v/>
      </c>
      <c r="AK1948" s="35">
        <f>$D1948*($E1948*AK$321+$F1948*AK$324)</f>
        <v/>
      </c>
      <c r="AL1948" s="35">
        <f>$D1948*($E1948*AL$321+$F1948*AL$324)</f>
        <v/>
      </c>
      <c r="AM1948" s="35">
        <f>$D1948*($E1948*AM$321+$F1948*AM$324)</f>
        <v/>
      </c>
      <c r="AN1948" s="35">
        <f>$D1948*($E1948*AN$321+$F1948*AN$324)</f>
        <v/>
      </c>
      <c r="AO1948" s="35">
        <f>$D1948*($E1948*AO$321+$F1948*AO$324)</f>
        <v/>
      </c>
      <c r="AP1948" s="35">
        <f>$D1948*($E1948*AP$321+$F1948*AP$324)</f>
        <v/>
      </c>
      <c r="AQ1948" s="35">
        <f>$D1948*($E1948*AQ$321+$F1948*AQ$324)</f>
        <v/>
      </c>
      <c r="AR1948" s="35">
        <f>$D1948*($E1948*AR$321+$F1948*AR$324)</f>
        <v/>
      </c>
      <c r="AS1948" s="35">
        <f>$D1948*($E1948*AS$321+$F1948*AS$324)</f>
        <v/>
      </c>
      <c r="AT1948" s="35">
        <f>$D1948*($E1948*AT$321+$F1948*AT$324)</f>
        <v/>
      </c>
      <c r="AU1948" s="35">
        <f>$D1948*($E1948*AU$321+$F1948*AU$324)</f>
        <v/>
      </c>
      <c r="AV1948" s="35">
        <f>$D1948*($E1948*AV$321+$F1948*AV$324)</f>
        <v/>
      </c>
      <c r="AW1948" s="35">
        <f>$D1948*($E1948*AW$321+$F1948*AW$324)</f>
        <v/>
      </c>
      <c r="AX1948" s="35">
        <f>$D1948*($E1948*AX$321+$F1948*AX$324)</f>
        <v/>
      </c>
      <c r="AY1948" s="35">
        <f>$D1948*($E1948*AY$321+$F1948*AY$324)</f>
        <v/>
      </c>
      <c r="AZ1948" s="35">
        <f>$D1948*($E1948*AZ$321+$F1948*AZ$324)</f>
        <v/>
      </c>
      <c r="BA1948" s="42">
        <f>XCARBON($D1948,$E1948,BA$321,$F1948,BA$324)</f>
        <v/>
      </c>
    </row>
    <row r="1949" hidden="1" outlineLevel="2">
      <c r="A1949" s="14" t="inlineStr">
        <is>
          <t>xcp</t>
        </is>
      </c>
      <c r="B1949" s="14" t="inlineStr">
        <is>
          <t>lpg</t>
        </is>
      </c>
      <c r="C1949" s="14" t="inlineStr">
        <is>
          <t>mch</t>
        </is>
      </c>
      <c r="D1949" s="35">
        <f>INDEX(Inputs!$W$5:$W$132,MATCH($B1949&amp;"|"&amp;$C1949,Inputs!$A$5:$A$132,0))</f>
        <v/>
      </c>
      <c r="E1949" s="35">
        <f>INDEX(Inputs!$Z$5:$Z$132,MATCH($B1949&amp;"|"&amp;$C1949,Inputs!$A$5:$A$132,0))</f>
        <v/>
      </c>
      <c r="F1949" s="35">
        <f>INDEX(Inputs!$AA$5:$AA$132,MATCH($B1949&amp;"|"&amp;$C1949,Inputs!$A$5:$A$132,0))</f>
        <v/>
      </c>
      <c r="G1949" s="39" t="n"/>
      <c r="H1949" s="14">
        <f>INDEX(VarLab,MATCH($A1949,VarKey,0))&amp;INDEX(MemLab,MATCH($C1949&amp;"|"&amp;$B1949,MemKey,0))</f>
        <v/>
      </c>
      <c r="I1949" s="14">
        <f>INDEX(VarUnit,MATCH($A1949,VarKey,0))</f>
        <v/>
      </c>
      <c r="J1949" s="14">
        <f>INDEX(VarSrc,MATCH($A1949,VarKey,0))</f>
        <v/>
      </c>
      <c r="K1949" s="11">
        <f>CodePrefix&amp;$A1949&amp;IF($C1949="","","."&amp;$C1949&amp;"."&amp;$B1949)&amp;INDEX(VarEnd,MATCH($A1949,VarKey,0))&amp;K$5</f>
        <v/>
      </c>
      <c r="L1949" s="40">
        <f>$D1949*($E1949*L$321+$F1949*L$324)</f>
        <v/>
      </c>
      <c r="M1949" s="35">
        <f>$D1949*($E1949*M$321+$F1949*M$324)</f>
        <v/>
      </c>
      <c r="N1949" s="35">
        <f>$D1949*($E1949*N$321+$F1949*N$324)</f>
        <v/>
      </c>
      <c r="O1949" s="35">
        <f>$D1949*($E1949*O$321+$F1949*O$324)</f>
        <v/>
      </c>
      <c r="P1949" s="35">
        <f>$D1949*($E1949*P$321+$F1949*P$324)</f>
        <v/>
      </c>
      <c r="Q1949" s="35">
        <f>$D1949*($E1949*Q$321+$F1949*Q$324)</f>
        <v/>
      </c>
      <c r="R1949" s="35">
        <f>$D1949*($E1949*R$321+$F1949*R$324)</f>
        <v/>
      </c>
      <c r="S1949" s="35">
        <f>$D1949*($E1949*S$321+$F1949*S$324)</f>
        <v/>
      </c>
      <c r="T1949" s="35">
        <f>$D1949*($E1949*T$321+$F1949*T$324)</f>
        <v/>
      </c>
      <c r="U1949" s="35">
        <f>$D1949*($E1949*U$321+$F1949*U$324)</f>
        <v/>
      </c>
      <c r="V1949" s="35">
        <f>$D1949*($E1949*V$321+$F1949*V$324)</f>
        <v/>
      </c>
      <c r="W1949" s="35">
        <f>$D1949*($E1949*W$321+$F1949*W$324)</f>
        <v/>
      </c>
      <c r="X1949" s="35">
        <f>$D1949*($E1949*X$321+$F1949*X$324)</f>
        <v/>
      </c>
      <c r="Y1949" s="35">
        <f>$D1949*($E1949*Y$321+$F1949*Y$324)</f>
        <v/>
      </c>
      <c r="Z1949" s="35">
        <f>$D1949*($E1949*Z$321+$F1949*Z$324)</f>
        <v/>
      </c>
      <c r="AA1949" s="35">
        <f>$D1949*($E1949*AA$321+$F1949*AA$324)</f>
        <v/>
      </c>
      <c r="AB1949" s="35">
        <f>$D1949*($E1949*AB$321+$F1949*AB$324)</f>
        <v/>
      </c>
      <c r="AC1949" s="35">
        <f>$D1949*($E1949*AC$321+$F1949*AC$324)</f>
        <v/>
      </c>
      <c r="AD1949" s="35">
        <f>$D1949*($E1949*AD$321+$F1949*AD$324)</f>
        <v/>
      </c>
      <c r="AE1949" s="42">
        <f>XCARBON($D1949,$E1949,AE$321,$F1949,AE$324)</f>
        <v/>
      </c>
      <c r="AG1949" s="11">
        <f>CodePrefix&amp;$A1949&amp;IF($C1949="","","."&amp;$C1949&amp;"."&amp;$B1949)&amp;INDEX(VarEnd,MATCH($A1949,VarKey,0))&amp;AG$5</f>
        <v/>
      </c>
      <c r="AH1949" s="40">
        <f>$D1949*($E1949*AH$321+$F1949*AH$324)</f>
        <v/>
      </c>
      <c r="AI1949" s="35">
        <f>$D1949*($E1949*AI$321+$F1949*AI$324)</f>
        <v/>
      </c>
      <c r="AJ1949" s="35">
        <f>$D1949*($E1949*AJ$321+$F1949*AJ$324)</f>
        <v/>
      </c>
      <c r="AK1949" s="35">
        <f>$D1949*($E1949*AK$321+$F1949*AK$324)</f>
        <v/>
      </c>
      <c r="AL1949" s="35">
        <f>$D1949*($E1949*AL$321+$F1949*AL$324)</f>
        <v/>
      </c>
      <c r="AM1949" s="35">
        <f>$D1949*($E1949*AM$321+$F1949*AM$324)</f>
        <v/>
      </c>
      <c r="AN1949" s="35">
        <f>$D1949*($E1949*AN$321+$F1949*AN$324)</f>
        <v/>
      </c>
      <c r="AO1949" s="35">
        <f>$D1949*($E1949*AO$321+$F1949*AO$324)</f>
        <v/>
      </c>
      <c r="AP1949" s="35">
        <f>$D1949*($E1949*AP$321+$F1949*AP$324)</f>
        <v/>
      </c>
      <c r="AQ1949" s="35">
        <f>$D1949*($E1949*AQ$321+$F1949*AQ$324)</f>
        <v/>
      </c>
      <c r="AR1949" s="35">
        <f>$D1949*($E1949*AR$321+$F1949*AR$324)</f>
        <v/>
      </c>
      <c r="AS1949" s="35">
        <f>$D1949*($E1949*AS$321+$F1949*AS$324)</f>
        <v/>
      </c>
      <c r="AT1949" s="35">
        <f>$D1949*($E1949*AT$321+$F1949*AT$324)</f>
        <v/>
      </c>
      <c r="AU1949" s="35">
        <f>$D1949*($E1949*AU$321+$F1949*AU$324)</f>
        <v/>
      </c>
      <c r="AV1949" s="35">
        <f>$D1949*($E1949*AV$321+$F1949*AV$324)</f>
        <v/>
      </c>
      <c r="AW1949" s="35">
        <f>$D1949*($E1949*AW$321+$F1949*AW$324)</f>
        <v/>
      </c>
      <c r="AX1949" s="35">
        <f>$D1949*($E1949*AX$321+$F1949*AX$324)</f>
        <v/>
      </c>
      <c r="AY1949" s="35">
        <f>$D1949*($E1949*AY$321+$F1949*AY$324)</f>
        <v/>
      </c>
      <c r="AZ1949" s="35">
        <f>$D1949*($E1949*AZ$321+$F1949*AZ$324)</f>
        <v/>
      </c>
      <c r="BA1949" s="42">
        <f>XCARBON($D1949,$E1949,BA$321,$F1949,BA$324)</f>
        <v/>
      </c>
    </row>
    <row r="1950" hidden="1" outlineLevel="2">
      <c r="A1950" s="14" t="inlineStr">
        <is>
          <t>xcp</t>
        </is>
      </c>
      <c r="B1950" s="14" t="inlineStr">
        <is>
          <t>ker</t>
        </is>
      </c>
      <c r="C1950" s="14" t="inlineStr">
        <is>
          <t>mch</t>
        </is>
      </c>
      <c r="D1950" s="35">
        <f>INDEX(Inputs!$W$5:$W$132,MATCH($B1950&amp;"|"&amp;$C1950,Inputs!$A$5:$A$132,0))</f>
        <v/>
      </c>
      <c r="E1950" s="35">
        <f>INDEX(Inputs!$Z$5:$Z$132,MATCH($B1950&amp;"|"&amp;$C1950,Inputs!$A$5:$A$132,0))</f>
        <v/>
      </c>
      <c r="F1950" s="35">
        <f>INDEX(Inputs!$AA$5:$AA$132,MATCH($B1950&amp;"|"&amp;$C1950,Inputs!$A$5:$A$132,0))</f>
        <v/>
      </c>
      <c r="G1950" s="39" t="n"/>
      <c r="H1950" s="14">
        <f>INDEX(VarLab,MATCH($A1950,VarKey,0))&amp;INDEX(MemLab,MATCH($C1950&amp;"|"&amp;$B1950,MemKey,0))</f>
        <v/>
      </c>
      <c r="I1950" s="14">
        <f>INDEX(VarUnit,MATCH($A1950,VarKey,0))</f>
        <v/>
      </c>
      <c r="J1950" s="14">
        <f>INDEX(VarSrc,MATCH($A1950,VarKey,0))</f>
        <v/>
      </c>
      <c r="K1950" s="11">
        <f>CodePrefix&amp;$A1950&amp;IF($C1950="","","."&amp;$C1950&amp;"."&amp;$B1950)&amp;INDEX(VarEnd,MATCH($A1950,VarKey,0))&amp;K$5</f>
        <v/>
      </c>
      <c r="L1950" s="40">
        <f>$D1950*($E1950*L$321+$F1950*L$324)</f>
        <v/>
      </c>
      <c r="M1950" s="35">
        <f>$D1950*($E1950*M$321+$F1950*M$324)</f>
        <v/>
      </c>
      <c r="N1950" s="35">
        <f>$D1950*($E1950*N$321+$F1950*N$324)</f>
        <v/>
      </c>
      <c r="O1950" s="35">
        <f>$D1950*($E1950*O$321+$F1950*O$324)</f>
        <v/>
      </c>
      <c r="P1950" s="35">
        <f>$D1950*($E1950*P$321+$F1950*P$324)</f>
        <v/>
      </c>
      <c r="Q1950" s="35">
        <f>$D1950*($E1950*Q$321+$F1950*Q$324)</f>
        <v/>
      </c>
      <c r="R1950" s="35">
        <f>$D1950*($E1950*R$321+$F1950*R$324)</f>
        <v/>
      </c>
      <c r="S1950" s="35">
        <f>$D1950*($E1950*S$321+$F1950*S$324)</f>
        <v/>
      </c>
      <c r="T1950" s="35">
        <f>$D1950*($E1950*T$321+$F1950*T$324)</f>
        <v/>
      </c>
      <c r="U1950" s="35">
        <f>$D1950*($E1950*U$321+$F1950*U$324)</f>
        <v/>
      </c>
      <c r="V1950" s="35">
        <f>$D1950*($E1950*V$321+$F1950*V$324)</f>
        <v/>
      </c>
      <c r="W1950" s="35">
        <f>$D1950*($E1950*W$321+$F1950*W$324)</f>
        <v/>
      </c>
      <c r="X1950" s="35">
        <f>$D1950*($E1950*X$321+$F1950*X$324)</f>
        <v/>
      </c>
      <c r="Y1950" s="35">
        <f>$D1950*($E1950*Y$321+$F1950*Y$324)</f>
        <v/>
      </c>
      <c r="Z1950" s="35">
        <f>$D1950*($E1950*Z$321+$F1950*Z$324)</f>
        <v/>
      </c>
      <c r="AA1950" s="35">
        <f>$D1950*($E1950*AA$321+$F1950*AA$324)</f>
        <v/>
      </c>
      <c r="AB1950" s="35">
        <f>$D1950*($E1950*AB$321+$F1950*AB$324)</f>
        <v/>
      </c>
      <c r="AC1950" s="35">
        <f>$D1950*($E1950*AC$321+$F1950*AC$324)</f>
        <v/>
      </c>
      <c r="AD1950" s="35">
        <f>$D1950*($E1950*AD$321+$F1950*AD$324)</f>
        <v/>
      </c>
      <c r="AE1950" s="42">
        <f>XCARBON($D1950,$E1950,AE$321,$F1950,AE$324)</f>
        <v/>
      </c>
      <c r="AG1950" s="11">
        <f>CodePrefix&amp;$A1950&amp;IF($C1950="","","."&amp;$C1950&amp;"."&amp;$B1950)&amp;INDEX(VarEnd,MATCH($A1950,VarKey,0))&amp;AG$5</f>
        <v/>
      </c>
      <c r="AH1950" s="40">
        <f>$D1950*($E1950*AH$321+$F1950*AH$324)</f>
        <v/>
      </c>
      <c r="AI1950" s="35">
        <f>$D1950*($E1950*AI$321+$F1950*AI$324)</f>
        <v/>
      </c>
      <c r="AJ1950" s="35">
        <f>$D1950*($E1950*AJ$321+$F1950*AJ$324)</f>
        <v/>
      </c>
      <c r="AK1950" s="35">
        <f>$D1950*($E1950*AK$321+$F1950*AK$324)</f>
        <v/>
      </c>
      <c r="AL1950" s="35">
        <f>$D1950*($E1950*AL$321+$F1950*AL$324)</f>
        <v/>
      </c>
      <c r="AM1950" s="35">
        <f>$D1950*($E1950*AM$321+$F1950*AM$324)</f>
        <v/>
      </c>
      <c r="AN1950" s="35">
        <f>$D1950*($E1950*AN$321+$F1950*AN$324)</f>
        <v/>
      </c>
      <c r="AO1950" s="35">
        <f>$D1950*($E1950*AO$321+$F1950*AO$324)</f>
        <v/>
      </c>
      <c r="AP1950" s="35">
        <f>$D1950*($E1950*AP$321+$F1950*AP$324)</f>
        <v/>
      </c>
      <c r="AQ1950" s="35">
        <f>$D1950*($E1950*AQ$321+$F1950*AQ$324)</f>
        <v/>
      </c>
      <c r="AR1950" s="35">
        <f>$D1950*($E1950*AR$321+$F1950*AR$324)</f>
        <v/>
      </c>
      <c r="AS1950" s="35">
        <f>$D1950*($E1950*AS$321+$F1950*AS$324)</f>
        <v/>
      </c>
      <c r="AT1950" s="35">
        <f>$D1950*($E1950*AT$321+$F1950*AT$324)</f>
        <v/>
      </c>
      <c r="AU1950" s="35">
        <f>$D1950*($E1950*AU$321+$F1950*AU$324)</f>
        <v/>
      </c>
      <c r="AV1950" s="35">
        <f>$D1950*($E1950*AV$321+$F1950*AV$324)</f>
        <v/>
      </c>
      <c r="AW1950" s="35">
        <f>$D1950*($E1950*AW$321+$F1950*AW$324)</f>
        <v/>
      </c>
      <c r="AX1950" s="35">
        <f>$D1950*($E1950*AX$321+$F1950*AX$324)</f>
        <v/>
      </c>
      <c r="AY1950" s="35">
        <f>$D1950*($E1950*AY$321+$F1950*AY$324)</f>
        <v/>
      </c>
      <c r="AZ1950" s="35">
        <f>$D1950*($E1950*AZ$321+$F1950*AZ$324)</f>
        <v/>
      </c>
      <c r="BA1950" s="42">
        <f>XCARBON($D1950,$E1950,BA$321,$F1950,BA$324)</f>
        <v/>
      </c>
    </row>
    <row r="1951" hidden="1" outlineLevel="2">
      <c r="A1951" s="14" t="inlineStr">
        <is>
          <t>xcp</t>
        </is>
      </c>
      <c r="B1951" s="14" t="inlineStr">
        <is>
          <t>oop</t>
        </is>
      </c>
      <c r="C1951" s="14" t="inlineStr">
        <is>
          <t>mch</t>
        </is>
      </c>
      <c r="D1951" s="35">
        <f>INDEX(Inputs!$W$5:$W$132,MATCH($B1951&amp;"|"&amp;$C1951,Inputs!$A$5:$A$132,0))</f>
        <v/>
      </c>
      <c r="E1951" s="35">
        <f>INDEX(Inputs!$Z$5:$Z$132,MATCH($B1951&amp;"|"&amp;$C1951,Inputs!$A$5:$A$132,0))</f>
        <v/>
      </c>
      <c r="F1951" s="35">
        <f>INDEX(Inputs!$AA$5:$AA$132,MATCH($B1951&amp;"|"&amp;$C1951,Inputs!$A$5:$A$132,0))</f>
        <v/>
      </c>
      <c r="G1951" s="39" t="n"/>
      <c r="H1951" s="14">
        <f>INDEX(VarLab,MATCH($A1951,VarKey,0))&amp;INDEX(MemLab,MATCH($C1951&amp;"|"&amp;$B1951,MemKey,0))</f>
        <v/>
      </c>
      <c r="I1951" s="14">
        <f>INDEX(VarUnit,MATCH($A1951,VarKey,0))</f>
        <v/>
      </c>
      <c r="J1951" s="14">
        <f>INDEX(VarSrc,MATCH($A1951,VarKey,0))</f>
        <v/>
      </c>
      <c r="K1951" s="11">
        <f>CodePrefix&amp;$A1951&amp;IF($C1951="","","."&amp;$C1951&amp;"."&amp;$B1951)&amp;INDEX(VarEnd,MATCH($A1951,VarKey,0))&amp;K$5</f>
        <v/>
      </c>
      <c r="L1951" s="40">
        <f>$D1951*($E1951*L$321+$F1951*L$324)</f>
        <v/>
      </c>
      <c r="M1951" s="35">
        <f>$D1951*($E1951*M$321+$F1951*M$324)</f>
        <v/>
      </c>
      <c r="N1951" s="35">
        <f>$D1951*($E1951*N$321+$F1951*N$324)</f>
        <v/>
      </c>
      <c r="O1951" s="35">
        <f>$D1951*($E1951*O$321+$F1951*O$324)</f>
        <v/>
      </c>
      <c r="P1951" s="35">
        <f>$D1951*($E1951*P$321+$F1951*P$324)</f>
        <v/>
      </c>
      <c r="Q1951" s="35">
        <f>$D1951*($E1951*Q$321+$F1951*Q$324)</f>
        <v/>
      </c>
      <c r="R1951" s="35">
        <f>$D1951*($E1951*R$321+$F1951*R$324)</f>
        <v/>
      </c>
      <c r="S1951" s="35">
        <f>$D1951*($E1951*S$321+$F1951*S$324)</f>
        <v/>
      </c>
      <c r="T1951" s="35">
        <f>$D1951*($E1951*T$321+$F1951*T$324)</f>
        <v/>
      </c>
      <c r="U1951" s="35">
        <f>$D1951*($E1951*U$321+$F1951*U$324)</f>
        <v/>
      </c>
      <c r="V1951" s="35">
        <f>$D1951*($E1951*V$321+$F1951*V$324)</f>
        <v/>
      </c>
      <c r="W1951" s="35">
        <f>$D1951*($E1951*W$321+$F1951*W$324)</f>
        <v/>
      </c>
      <c r="X1951" s="35">
        <f>$D1951*($E1951*X$321+$F1951*X$324)</f>
        <v/>
      </c>
      <c r="Y1951" s="35">
        <f>$D1951*($E1951*Y$321+$F1951*Y$324)</f>
        <v/>
      </c>
      <c r="Z1951" s="35">
        <f>$D1951*($E1951*Z$321+$F1951*Z$324)</f>
        <v/>
      </c>
      <c r="AA1951" s="35">
        <f>$D1951*($E1951*AA$321+$F1951*AA$324)</f>
        <v/>
      </c>
      <c r="AB1951" s="35">
        <f>$D1951*($E1951*AB$321+$F1951*AB$324)</f>
        <v/>
      </c>
      <c r="AC1951" s="35">
        <f>$D1951*($E1951*AC$321+$F1951*AC$324)</f>
        <v/>
      </c>
      <c r="AD1951" s="35">
        <f>$D1951*($E1951*AD$321+$F1951*AD$324)</f>
        <v/>
      </c>
      <c r="AE1951" s="42">
        <f>XCARBON($D1951,$E1951,AE$321,$F1951,AE$324)</f>
        <v/>
      </c>
      <c r="AG1951" s="11">
        <f>CodePrefix&amp;$A1951&amp;IF($C1951="","","."&amp;$C1951&amp;"."&amp;$B1951)&amp;INDEX(VarEnd,MATCH($A1951,VarKey,0))&amp;AG$5</f>
        <v/>
      </c>
      <c r="AH1951" s="40">
        <f>$D1951*($E1951*AH$321+$F1951*AH$324)</f>
        <v/>
      </c>
      <c r="AI1951" s="35">
        <f>$D1951*($E1951*AI$321+$F1951*AI$324)</f>
        <v/>
      </c>
      <c r="AJ1951" s="35">
        <f>$D1951*($E1951*AJ$321+$F1951*AJ$324)</f>
        <v/>
      </c>
      <c r="AK1951" s="35">
        <f>$D1951*($E1951*AK$321+$F1951*AK$324)</f>
        <v/>
      </c>
      <c r="AL1951" s="35">
        <f>$D1951*($E1951*AL$321+$F1951*AL$324)</f>
        <v/>
      </c>
      <c r="AM1951" s="35">
        <f>$D1951*($E1951*AM$321+$F1951*AM$324)</f>
        <v/>
      </c>
      <c r="AN1951" s="35">
        <f>$D1951*($E1951*AN$321+$F1951*AN$324)</f>
        <v/>
      </c>
      <c r="AO1951" s="35">
        <f>$D1951*($E1951*AO$321+$F1951*AO$324)</f>
        <v/>
      </c>
      <c r="AP1951" s="35">
        <f>$D1951*($E1951*AP$321+$F1951*AP$324)</f>
        <v/>
      </c>
      <c r="AQ1951" s="35">
        <f>$D1951*($E1951*AQ$321+$F1951*AQ$324)</f>
        <v/>
      </c>
      <c r="AR1951" s="35">
        <f>$D1951*($E1951*AR$321+$F1951*AR$324)</f>
        <v/>
      </c>
      <c r="AS1951" s="35">
        <f>$D1951*($E1951*AS$321+$F1951*AS$324)</f>
        <v/>
      </c>
      <c r="AT1951" s="35">
        <f>$D1951*($E1951*AT$321+$F1951*AT$324)</f>
        <v/>
      </c>
      <c r="AU1951" s="35">
        <f>$D1951*($E1951*AU$321+$F1951*AU$324)</f>
        <v/>
      </c>
      <c r="AV1951" s="35">
        <f>$D1951*($E1951*AV$321+$F1951*AV$324)</f>
        <v/>
      </c>
      <c r="AW1951" s="35">
        <f>$D1951*($E1951*AW$321+$F1951*AW$324)</f>
        <v/>
      </c>
      <c r="AX1951" s="35">
        <f>$D1951*($E1951*AX$321+$F1951*AX$324)</f>
        <v/>
      </c>
      <c r="AY1951" s="35">
        <f>$D1951*($E1951*AY$321+$F1951*AY$324)</f>
        <v/>
      </c>
      <c r="AZ1951" s="35">
        <f>$D1951*($E1951*AZ$321+$F1951*AZ$324)</f>
        <v/>
      </c>
      <c r="BA1951" s="42">
        <f>XCARBON($D1951,$E1951,BA$321,$F1951,BA$324)</f>
        <v/>
      </c>
    </row>
    <row r="1952" hidden="1" outlineLevel="2">
      <c r="A1952" s="14" t="inlineStr">
        <is>
          <t>xcp</t>
        </is>
      </c>
      <c r="B1952" s="14" t="inlineStr">
        <is>
          <t>bio</t>
        </is>
      </c>
      <c r="C1952" s="14" t="inlineStr">
        <is>
          <t>mch</t>
        </is>
      </c>
      <c r="D1952" s="35">
        <f>INDEX(Inputs!$W$5:$W$132,MATCH($B1952&amp;"|"&amp;$C1952,Inputs!$A$5:$A$132,0))</f>
        <v/>
      </c>
      <c r="E1952" s="35">
        <f>INDEX(Inputs!$Z$5:$Z$132,MATCH($B1952&amp;"|"&amp;$C1952,Inputs!$A$5:$A$132,0))</f>
        <v/>
      </c>
      <c r="F1952" s="35">
        <f>INDEX(Inputs!$AA$5:$AA$132,MATCH($B1952&amp;"|"&amp;$C1952,Inputs!$A$5:$A$132,0))</f>
        <v/>
      </c>
      <c r="G1952" s="39" t="n"/>
      <c r="H1952" s="14">
        <f>INDEX(VarLab,MATCH($A1952,VarKey,0))&amp;INDEX(MemLab,MATCH($C1952&amp;"|"&amp;$B1952,MemKey,0))</f>
        <v/>
      </c>
      <c r="I1952" s="14">
        <f>INDEX(VarUnit,MATCH($A1952,VarKey,0))</f>
        <v/>
      </c>
      <c r="J1952" s="14">
        <f>INDEX(VarSrc,MATCH($A1952,VarKey,0))</f>
        <v/>
      </c>
      <c r="K1952" s="11">
        <f>CodePrefix&amp;$A1952&amp;IF($C1952="","","."&amp;$C1952&amp;"."&amp;$B1952)&amp;INDEX(VarEnd,MATCH($A1952,VarKey,0))&amp;K$5</f>
        <v/>
      </c>
      <c r="L1952" s="40">
        <f>$D1952*($E1952*L$321+$F1952*L$324)</f>
        <v/>
      </c>
      <c r="M1952" s="35">
        <f>$D1952*($E1952*M$321+$F1952*M$324)</f>
        <v/>
      </c>
      <c r="N1952" s="35">
        <f>$D1952*($E1952*N$321+$F1952*N$324)</f>
        <v/>
      </c>
      <c r="O1952" s="35">
        <f>$D1952*($E1952*O$321+$F1952*O$324)</f>
        <v/>
      </c>
      <c r="P1952" s="35">
        <f>$D1952*($E1952*P$321+$F1952*P$324)</f>
        <v/>
      </c>
      <c r="Q1952" s="35">
        <f>$D1952*($E1952*Q$321+$F1952*Q$324)</f>
        <v/>
      </c>
      <c r="R1952" s="35">
        <f>$D1952*($E1952*R$321+$F1952*R$324)</f>
        <v/>
      </c>
      <c r="S1952" s="35">
        <f>$D1952*($E1952*S$321+$F1952*S$324)</f>
        <v/>
      </c>
      <c r="T1952" s="35">
        <f>$D1952*($E1952*T$321+$F1952*T$324)</f>
        <v/>
      </c>
      <c r="U1952" s="35">
        <f>$D1952*($E1952*U$321+$F1952*U$324)</f>
        <v/>
      </c>
      <c r="V1952" s="35">
        <f>$D1952*($E1952*V$321+$F1952*V$324)</f>
        <v/>
      </c>
      <c r="W1952" s="35">
        <f>$D1952*($E1952*W$321+$F1952*W$324)</f>
        <v/>
      </c>
      <c r="X1952" s="35">
        <f>$D1952*($E1952*X$321+$F1952*X$324)</f>
        <v/>
      </c>
      <c r="Y1952" s="35">
        <f>$D1952*($E1952*Y$321+$F1952*Y$324)</f>
        <v/>
      </c>
      <c r="Z1952" s="35">
        <f>$D1952*($E1952*Z$321+$F1952*Z$324)</f>
        <v/>
      </c>
      <c r="AA1952" s="35">
        <f>$D1952*($E1952*AA$321+$F1952*AA$324)</f>
        <v/>
      </c>
      <c r="AB1952" s="35">
        <f>$D1952*($E1952*AB$321+$F1952*AB$324)</f>
        <v/>
      </c>
      <c r="AC1952" s="35">
        <f>$D1952*($E1952*AC$321+$F1952*AC$324)</f>
        <v/>
      </c>
      <c r="AD1952" s="35">
        <f>$D1952*($E1952*AD$321+$F1952*AD$324)</f>
        <v/>
      </c>
      <c r="AE1952" s="42">
        <f>XCARBON($D1952,$E1952,AE$321,$F1952,AE$324)</f>
        <v/>
      </c>
      <c r="AG1952" s="11">
        <f>CodePrefix&amp;$A1952&amp;IF($C1952="","","."&amp;$C1952&amp;"."&amp;$B1952)&amp;INDEX(VarEnd,MATCH($A1952,VarKey,0))&amp;AG$5</f>
        <v/>
      </c>
      <c r="AH1952" s="40">
        <f>$D1952*($E1952*AH$321+$F1952*AH$324)</f>
        <v/>
      </c>
      <c r="AI1952" s="35">
        <f>$D1952*($E1952*AI$321+$F1952*AI$324)</f>
        <v/>
      </c>
      <c r="AJ1952" s="35">
        <f>$D1952*($E1952*AJ$321+$F1952*AJ$324)</f>
        <v/>
      </c>
      <c r="AK1952" s="35">
        <f>$D1952*($E1952*AK$321+$F1952*AK$324)</f>
        <v/>
      </c>
      <c r="AL1952" s="35">
        <f>$D1952*($E1952*AL$321+$F1952*AL$324)</f>
        <v/>
      </c>
      <c r="AM1952" s="35">
        <f>$D1952*($E1952*AM$321+$F1952*AM$324)</f>
        <v/>
      </c>
      <c r="AN1952" s="35">
        <f>$D1952*($E1952*AN$321+$F1952*AN$324)</f>
        <v/>
      </c>
      <c r="AO1952" s="35">
        <f>$D1952*($E1952*AO$321+$F1952*AO$324)</f>
        <v/>
      </c>
      <c r="AP1952" s="35">
        <f>$D1952*($E1952*AP$321+$F1952*AP$324)</f>
        <v/>
      </c>
      <c r="AQ1952" s="35">
        <f>$D1952*($E1952*AQ$321+$F1952*AQ$324)</f>
        <v/>
      </c>
      <c r="AR1952" s="35">
        <f>$D1952*($E1952*AR$321+$F1952*AR$324)</f>
        <v/>
      </c>
      <c r="AS1952" s="35">
        <f>$D1952*($E1952*AS$321+$F1952*AS$324)</f>
        <v/>
      </c>
      <c r="AT1952" s="35">
        <f>$D1952*($E1952*AT$321+$F1952*AT$324)</f>
        <v/>
      </c>
      <c r="AU1952" s="35">
        <f>$D1952*($E1952*AU$321+$F1952*AU$324)</f>
        <v/>
      </c>
      <c r="AV1952" s="35">
        <f>$D1952*($E1952*AV$321+$F1952*AV$324)</f>
        <v/>
      </c>
      <c r="AW1952" s="35">
        <f>$D1952*($E1952*AW$321+$F1952*AW$324)</f>
        <v/>
      </c>
      <c r="AX1952" s="35">
        <f>$D1952*($E1952*AX$321+$F1952*AX$324)</f>
        <v/>
      </c>
      <c r="AY1952" s="35">
        <f>$D1952*($E1952*AY$321+$F1952*AY$324)</f>
        <v/>
      </c>
      <c r="AZ1952" s="35">
        <f>$D1952*($E1952*AZ$321+$F1952*AZ$324)</f>
        <v/>
      </c>
      <c r="BA1952" s="42">
        <f>XCARBON($D1952,$E1952,BA$321,$F1952,BA$324)</f>
        <v/>
      </c>
    </row>
    <row r="1953" hidden="1" outlineLevel="2"/>
    <row r="1954" hidden="1" outlineLevel="2">
      <c r="A1954" s="14" t="inlineStr">
        <is>
          <t>xcpd</t>
        </is>
      </c>
      <c r="B1954" s="14" t="inlineStr">
        <is>
          <t>coa</t>
        </is>
      </c>
      <c r="C1954" s="14" t="inlineStr">
        <is>
          <t>mch</t>
        </is>
      </c>
      <c r="D1954" s="35">
        <f>INDEX(Inputs!$W$5:$W$132,MATCH($B1954&amp;"|"&amp;$C1954,Inputs!$A$5:$A$132,0))</f>
        <v/>
      </c>
      <c r="E1954" s="35">
        <f>INDEX(Inputs!$Z$5:$Z$132,MATCH($B1954&amp;"|"&amp;$C1954,Inputs!$A$5:$A$132,0))</f>
        <v/>
      </c>
      <c r="F1954" s="35">
        <f>INDEX(Inputs!$AA$5:$AA$132,MATCH($B1954&amp;"|"&amp;$C1954,Inputs!$A$5:$A$132,0))</f>
        <v/>
      </c>
      <c r="G1954" s="39" t="n"/>
      <c r="H1954" s="14">
        <f>INDEX(VarLab,MATCH($A1954,VarKey,0))&amp;INDEX(MemLab,MATCH($C1954&amp;"|"&amp;$B1954,MemKey,0))</f>
        <v/>
      </c>
      <c r="I1954" s="14">
        <f>INDEX(VarUnit,MATCH($A1954,VarKey,0))</f>
        <v/>
      </c>
      <c r="J1954" s="14">
        <f>INDEX(VarSrc,MATCH($A1954,VarKey,0))</f>
        <v/>
      </c>
      <c r="K1954" s="11">
        <f>CodePrefix&amp;$A1954&amp;IF($C1954="","","."&amp;$C1954&amp;"."&amp;$B1954)&amp;INDEX(VarEnd,MATCH($A1954,VarKey,0))&amp;K$5</f>
        <v/>
      </c>
      <c r="L1954" s="40">
        <f>$D1954*($E1954*(L$321-L$322)+$F1954*(L$324-L$325))</f>
        <v/>
      </c>
      <c r="M1954" s="35">
        <f>$D1954*($E1954*(M$321-M$322)+$F1954*(M$324-M$325))</f>
        <v/>
      </c>
      <c r="N1954" s="35">
        <f>$D1954*($E1954*(N$321-N$322)+$F1954*(N$324-N$325))</f>
        <v/>
      </c>
      <c r="O1954" s="35">
        <f>$D1954*($E1954*(O$321-O$322)+$F1954*(O$324-O$325))</f>
        <v/>
      </c>
      <c r="P1954" s="35">
        <f>$D1954*($E1954*(P$321-P$322)+$F1954*(P$324-P$325))</f>
        <v/>
      </c>
      <c r="Q1954" s="35">
        <f>$D1954*($E1954*(Q$321-Q$322)+$F1954*(Q$324-Q$325))</f>
        <v/>
      </c>
      <c r="R1954" s="35">
        <f>$D1954*($E1954*(R$321-R$322)+$F1954*(R$324-R$325))</f>
        <v/>
      </c>
      <c r="S1954" s="35">
        <f>$D1954*($E1954*(S$321-S$322)+$F1954*(S$324-S$325))</f>
        <v/>
      </c>
      <c r="T1954" s="35">
        <f>$D1954*($E1954*(T$321-T$322)+$F1954*(T$324-T$325))</f>
        <v/>
      </c>
      <c r="U1954" s="35">
        <f>$D1954*($E1954*(U$321-U$322)+$F1954*(U$324-U$325))</f>
        <v/>
      </c>
      <c r="V1954" s="35">
        <f>$D1954*($E1954*(V$321-V$322)+$F1954*(V$324-V$325))</f>
        <v/>
      </c>
      <c r="W1954" s="35">
        <f>$D1954*($E1954*(W$321-W$322)+$F1954*(W$324-W$325))</f>
        <v/>
      </c>
      <c r="X1954" s="35">
        <f>$D1954*($E1954*(X$321-X$322)+$F1954*(X$324-X$325))</f>
        <v/>
      </c>
      <c r="Y1954" s="35">
        <f>$D1954*($E1954*(Y$321-Y$322)+$F1954*(Y$324-Y$325))</f>
        <v/>
      </c>
      <c r="Z1954" s="35">
        <f>$D1954*($E1954*(Z$321-Z$322)+$F1954*(Z$324-Z$325))</f>
        <v/>
      </c>
      <c r="AA1954" s="35">
        <f>$D1954*($E1954*(AA$321-AA$322)+$F1954*(AA$324-AA$325))</f>
        <v/>
      </c>
      <c r="AB1954" s="35">
        <f>$D1954*($E1954*(AB$321-AB$322)+$F1954*(AB$324-AB$325))</f>
        <v/>
      </c>
      <c r="AC1954" s="35">
        <f>$D1954*($E1954*(AC$321-AC$322)+$F1954*(AC$324-AC$325))</f>
        <v/>
      </c>
      <c r="AD1954" s="35">
        <f>$D1954*($E1954*(AD$321-AD$322)+$F1954*(AD$324-AD$325))</f>
        <v/>
      </c>
      <c r="AE1954" s="42">
        <f>XCARBON($D1954,$E1954,(AE$321-AE$322),$F1954,(AE$324-AE$325))</f>
        <v/>
      </c>
      <c r="AG1954" s="11">
        <f>CodePrefix&amp;$A1954&amp;IF($C1954="","","."&amp;$C1954&amp;"."&amp;$B1954)&amp;INDEX(VarEnd,MATCH($A1954,VarKey,0))&amp;AG$5</f>
        <v/>
      </c>
      <c r="AH1954" s="40">
        <f>$D1954*($E1954*(AH$321-AH$322)+$F1954*(AH$324-AH$325))</f>
        <v/>
      </c>
      <c r="AI1954" s="35">
        <f>$D1954*($E1954*(AI$321-AI$322)+$F1954*(AI$324-AI$325))</f>
        <v/>
      </c>
      <c r="AJ1954" s="35">
        <f>$D1954*($E1954*(AJ$321-AJ$322)+$F1954*(AJ$324-AJ$325))</f>
        <v/>
      </c>
      <c r="AK1954" s="35">
        <f>$D1954*($E1954*(AK$321-AK$322)+$F1954*(AK$324-AK$325))</f>
        <v/>
      </c>
      <c r="AL1954" s="35">
        <f>$D1954*($E1954*(AL$321-AL$322)+$F1954*(AL$324-AL$325))</f>
        <v/>
      </c>
      <c r="AM1954" s="35">
        <f>$D1954*($E1954*(AM$321-AM$322)+$F1954*(AM$324-AM$325))</f>
        <v/>
      </c>
      <c r="AN1954" s="35">
        <f>$D1954*($E1954*(AN$321-AN$322)+$F1954*(AN$324-AN$325))</f>
        <v/>
      </c>
      <c r="AO1954" s="35">
        <f>$D1954*($E1954*(AO$321-AO$322)+$F1954*(AO$324-AO$325))</f>
        <v/>
      </c>
      <c r="AP1954" s="35">
        <f>$D1954*($E1954*(AP$321-AP$322)+$F1954*(AP$324-AP$325))</f>
        <v/>
      </c>
      <c r="AQ1954" s="35">
        <f>$D1954*($E1954*(AQ$321-AQ$322)+$F1954*(AQ$324-AQ$325))</f>
        <v/>
      </c>
      <c r="AR1954" s="35">
        <f>$D1954*($E1954*(AR$321-AR$322)+$F1954*(AR$324-AR$325))</f>
        <v/>
      </c>
      <c r="AS1954" s="35">
        <f>$D1954*($E1954*(AS$321-AS$322)+$F1954*(AS$324-AS$325))</f>
        <v/>
      </c>
      <c r="AT1954" s="35">
        <f>$D1954*($E1954*(AT$321-AT$322)+$F1954*(AT$324-AT$325))</f>
        <v/>
      </c>
      <c r="AU1954" s="35">
        <f>$D1954*($E1954*(AU$321-AU$322)+$F1954*(AU$324-AU$325))</f>
        <v/>
      </c>
      <c r="AV1954" s="35">
        <f>$D1954*($E1954*(AV$321-AV$322)+$F1954*(AV$324-AV$325))</f>
        <v/>
      </c>
      <c r="AW1954" s="35">
        <f>$D1954*($E1954*(AW$321-AW$322)+$F1954*(AW$324-AW$325))</f>
        <v/>
      </c>
      <c r="AX1954" s="35">
        <f>$D1954*($E1954*(AX$321-AX$322)+$F1954*(AX$324-AX$325))</f>
        <v/>
      </c>
      <c r="AY1954" s="35">
        <f>$D1954*($E1954*(AY$321-AY$322)+$F1954*(AY$324-AY$325))</f>
        <v/>
      </c>
      <c r="AZ1954" s="35">
        <f>$D1954*($E1954*(AZ$321-AZ$322)+$F1954*(AZ$324-AZ$325))</f>
        <v/>
      </c>
      <c r="BA1954" s="42">
        <f>XCARBON($D1954,$E1954,(BA$321-BA$322),$F1954,(BA$324-BA$325))</f>
        <v/>
      </c>
    </row>
    <row r="1955" hidden="1" outlineLevel="2">
      <c r="A1955" s="14" t="inlineStr">
        <is>
          <t>xcpd</t>
        </is>
      </c>
      <c r="B1955" s="14" t="inlineStr">
        <is>
          <t>nga</t>
        </is>
      </c>
      <c r="C1955" s="14" t="inlineStr">
        <is>
          <t>mch</t>
        </is>
      </c>
      <c r="D1955" s="35">
        <f>INDEX(Inputs!$W$5:$W$132,MATCH($B1955&amp;"|"&amp;$C1955,Inputs!$A$5:$A$132,0))</f>
        <v/>
      </c>
      <c r="E1955" s="35">
        <f>INDEX(Inputs!$Z$5:$Z$132,MATCH($B1955&amp;"|"&amp;$C1955,Inputs!$A$5:$A$132,0))</f>
        <v/>
      </c>
      <c r="F1955" s="35">
        <f>INDEX(Inputs!$AA$5:$AA$132,MATCH($B1955&amp;"|"&amp;$C1955,Inputs!$A$5:$A$132,0))</f>
        <v/>
      </c>
      <c r="G1955" s="39" t="n"/>
      <c r="H1955" s="14">
        <f>INDEX(VarLab,MATCH($A1955,VarKey,0))&amp;INDEX(MemLab,MATCH($C1955&amp;"|"&amp;$B1955,MemKey,0))</f>
        <v/>
      </c>
      <c r="I1955" s="14">
        <f>INDEX(VarUnit,MATCH($A1955,VarKey,0))</f>
        <v/>
      </c>
      <c r="J1955" s="14">
        <f>INDEX(VarSrc,MATCH($A1955,VarKey,0))</f>
        <v/>
      </c>
      <c r="K1955" s="11">
        <f>CodePrefix&amp;$A1955&amp;IF($C1955="","","."&amp;$C1955&amp;"."&amp;$B1955)&amp;INDEX(VarEnd,MATCH($A1955,VarKey,0))&amp;K$5</f>
        <v/>
      </c>
      <c r="L1955" s="40">
        <f>$D1955*($E1955*(L$321-L$322)+$F1955*(L$324-L$325))</f>
        <v/>
      </c>
      <c r="M1955" s="35">
        <f>$D1955*($E1955*(M$321-M$322)+$F1955*(M$324-M$325))</f>
        <v/>
      </c>
      <c r="N1955" s="35">
        <f>$D1955*($E1955*(N$321-N$322)+$F1955*(N$324-N$325))</f>
        <v/>
      </c>
      <c r="O1955" s="35">
        <f>$D1955*($E1955*(O$321-O$322)+$F1955*(O$324-O$325))</f>
        <v/>
      </c>
      <c r="P1955" s="35">
        <f>$D1955*($E1955*(P$321-P$322)+$F1955*(P$324-P$325))</f>
        <v/>
      </c>
      <c r="Q1955" s="35">
        <f>$D1955*($E1955*(Q$321-Q$322)+$F1955*(Q$324-Q$325))</f>
        <v/>
      </c>
      <c r="R1955" s="35">
        <f>$D1955*($E1955*(R$321-R$322)+$F1955*(R$324-R$325))</f>
        <v/>
      </c>
      <c r="S1955" s="35">
        <f>$D1955*($E1955*(S$321-S$322)+$F1955*(S$324-S$325))</f>
        <v/>
      </c>
      <c r="T1955" s="35">
        <f>$D1955*($E1955*(T$321-T$322)+$F1955*(T$324-T$325))</f>
        <v/>
      </c>
      <c r="U1955" s="35">
        <f>$D1955*($E1955*(U$321-U$322)+$F1955*(U$324-U$325))</f>
        <v/>
      </c>
      <c r="V1955" s="35">
        <f>$D1955*($E1955*(V$321-V$322)+$F1955*(V$324-V$325))</f>
        <v/>
      </c>
      <c r="W1955" s="35">
        <f>$D1955*($E1955*(W$321-W$322)+$F1955*(W$324-W$325))</f>
        <v/>
      </c>
      <c r="X1955" s="35">
        <f>$D1955*($E1955*(X$321-X$322)+$F1955*(X$324-X$325))</f>
        <v/>
      </c>
      <c r="Y1955" s="35">
        <f>$D1955*($E1955*(Y$321-Y$322)+$F1955*(Y$324-Y$325))</f>
        <v/>
      </c>
      <c r="Z1955" s="35">
        <f>$D1955*($E1955*(Z$321-Z$322)+$F1955*(Z$324-Z$325))</f>
        <v/>
      </c>
      <c r="AA1955" s="35">
        <f>$D1955*($E1955*(AA$321-AA$322)+$F1955*(AA$324-AA$325))</f>
        <v/>
      </c>
      <c r="AB1955" s="35">
        <f>$D1955*($E1955*(AB$321-AB$322)+$F1955*(AB$324-AB$325))</f>
        <v/>
      </c>
      <c r="AC1955" s="35">
        <f>$D1955*($E1955*(AC$321-AC$322)+$F1955*(AC$324-AC$325))</f>
        <v/>
      </c>
      <c r="AD1955" s="35">
        <f>$D1955*($E1955*(AD$321-AD$322)+$F1955*(AD$324-AD$325))</f>
        <v/>
      </c>
      <c r="AE1955" s="42">
        <f>XCARBON($D1955,$E1955,(AE$321-AE$322),$F1955,(AE$324-AE$325))</f>
        <v/>
      </c>
      <c r="AG1955" s="11">
        <f>CodePrefix&amp;$A1955&amp;IF($C1955="","","."&amp;$C1955&amp;"."&amp;$B1955)&amp;INDEX(VarEnd,MATCH($A1955,VarKey,0))&amp;AG$5</f>
        <v/>
      </c>
      <c r="AH1955" s="40">
        <f>$D1955*($E1955*(AH$321-AH$322)+$F1955*(AH$324-AH$325))</f>
        <v/>
      </c>
      <c r="AI1955" s="35">
        <f>$D1955*($E1955*(AI$321-AI$322)+$F1955*(AI$324-AI$325))</f>
        <v/>
      </c>
      <c r="AJ1955" s="35">
        <f>$D1955*($E1955*(AJ$321-AJ$322)+$F1955*(AJ$324-AJ$325))</f>
        <v/>
      </c>
      <c r="AK1955" s="35">
        <f>$D1955*($E1955*(AK$321-AK$322)+$F1955*(AK$324-AK$325))</f>
        <v/>
      </c>
      <c r="AL1955" s="35">
        <f>$D1955*($E1955*(AL$321-AL$322)+$F1955*(AL$324-AL$325))</f>
        <v/>
      </c>
      <c r="AM1955" s="35">
        <f>$D1955*($E1955*(AM$321-AM$322)+$F1955*(AM$324-AM$325))</f>
        <v/>
      </c>
      <c r="AN1955" s="35">
        <f>$D1955*($E1955*(AN$321-AN$322)+$F1955*(AN$324-AN$325))</f>
        <v/>
      </c>
      <c r="AO1955" s="35">
        <f>$D1955*($E1955*(AO$321-AO$322)+$F1955*(AO$324-AO$325))</f>
        <v/>
      </c>
      <c r="AP1955" s="35">
        <f>$D1955*($E1955*(AP$321-AP$322)+$F1955*(AP$324-AP$325))</f>
        <v/>
      </c>
      <c r="AQ1955" s="35">
        <f>$D1955*($E1955*(AQ$321-AQ$322)+$F1955*(AQ$324-AQ$325))</f>
        <v/>
      </c>
      <c r="AR1955" s="35">
        <f>$D1955*($E1955*(AR$321-AR$322)+$F1955*(AR$324-AR$325))</f>
        <v/>
      </c>
      <c r="AS1955" s="35">
        <f>$D1955*($E1955*(AS$321-AS$322)+$F1955*(AS$324-AS$325))</f>
        <v/>
      </c>
      <c r="AT1955" s="35">
        <f>$D1955*($E1955*(AT$321-AT$322)+$F1955*(AT$324-AT$325))</f>
        <v/>
      </c>
      <c r="AU1955" s="35">
        <f>$D1955*($E1955*(AU$321-AU$322)+$F1955*(AU$324-AU$325))</f>
        <v/>
      </c>
      <c r="AV1955" s="35">
        <f>$D1955*($E1955*(AV$321-AV$322)+$F1955*(AV$324-AV$325))</f>
        <v/>
      </c>
      <c r="AW1955" s="35">
        <f>$D1955*($E1955*(AW$321-AW$322)+$F1955*(AW$324-AW$325))</f>
        <v/>
      </c>
      <c r="AX1955" s="35">
        <f>$D1955*($E1955*(AX$321-AX$322)+$F1955*(AX$324-AX$325))</f>
        <v/>
      </c>
      <c r="AY1955" s="35">
        <f>$D1955*($E1955*(AY$321-AY$322)+$F1955*(AY$324-AY$325))</f>
        <v/>
      </c>
      <c r="AZ1955" s="35">
        <f>$D1955*($E1955*(AZ$321-AZ$322)+$F1955*(AZ$324-AZ$325))</f>
        <v/>
      </c>
      <c r="BA1955" s="42">
        <f>XCARBON($D1955,$E1955,(BA$321-BA$322),$F1955,(BA$324-BA$325))</f>
        <v/>
      </c>
    </row>
    <row r="1956" hidden="1" outlineLevel="2">
      <c r="A1956" s="14" t="inlineStr">
        <is>
          <t>xcpd</t>
        </is>
      </c>
      <c r="B1956" s="14" t="inlineStr">
        <is>
          <t>gso</t>
        </is>
      </c>
      <c r="C1956" s="14" t="inlineStr">
        <is>
          <t>mch</t>
        </is>
      </c>
      <c r="D1956" s="35">
        <f>INDEX(Inputs!$W$5:$W$132,MATCH($B1956&amp;"|"&amp;$C1956,Inputs!$A$5:$A$132,0))</f>
        <v/>
      </c>
      <c r="E1956" s="35">
        <f>INDEX(Inputs!$Z$5:$Z$132,MATCH($B1956&amp;"|"&amp;$C1956,Inputs!$A$5:$A$132,0))</f>
        <v/>
      </c>
      <c r="F1956" s="35">
        <f>INDEX(Inputs!$AA$5:$AA$132,MATCH($B1956&amp;"|"&amp;$C1956,Inputs!$A$5:$A$132,0))</f>
        <v/>
      </c>
      <c r="G1956" s="39" t="n"/>
      <c r="H1956" s="14">
        <f>INDEX(VarLab,MATCH($A1956,VarKey,0))&amp;INDEX(MemLab,MATCH($C1956&amp;"|"&amp;$B1956,MemKey,0))</f>
        <v/>
      </c>
      <c r="I1956" s="14">
        <f>INDEX(VarUnit,MATCH($A1956,VarKey,0))</f>
        <v/>
      </c>
      <c r="J1956" s="14">
        <f>INDEX(VarSrc,MATCH($A1956,VarKey,0))</f>
        <v/>
      </c>
      <c r="K1956" s="11">
        <f>CodePrefix&amp;$A1956&amp;IF($C1956="","","."&amp;$C1956&amp;"."&amp;$B1956)&amp;INDEX(VarEnd,MATCH($A1956,VarKey,0))&amp;K$5</f>
        <v/>
      </c>
      <c r="L1956" s="40">
        <f>$D1956*($E1956*(L$321-L$322)+$F1956*(L$324-L$325))</f>
        <v/>
      </c>
      <c r="M1956" s="35">
        <f>$D1956*($E1956*(M$321-M$322)+$F1956*(M$324-M$325))</f>
        <v/>
      </c>
      <c r="N1956" s="35">
        <f>$D1956*($E1956*(N$321-N$322)+$F1956*(N$324-N$325))</f>
        <v/>
      </c>
      <c r="O1956" s="35">
        <f>$D1956*($E1956*(O$321-O$322)+$F1956*(O$324-O$325))</f>
        <v/>
      </c>
      <c r="P1956" s="35">
        <f>$D1956*($E1956*(P$321-P$322)+$F1956*(P$324-P$325))</f>
        <v/>
      </c>
      <c r="Q1956" s="35">
        <f>$D1956*($E1956*(Q$321-Q$322)+$F1956*(Q$324-Q$325))</f>
        <v/>
      </c>
      <c r="R1956" s="35">
        <f>$D1956*($E1956*(R$321-R$322)+$F1956*(R$324-R$325))</f>
        <v/>
      </c>
      <c r="S1956" s="35">
        <f>$D1956*($E1956*(S$321-S$322)+$F1956*(S$324-S$325))</f>
        <v/>
      </c>
      <c r="T1956" s="35">
        <f>$D1956*($E1956*(T$321-T$322)+$F1956*(T$324-T$325))</f>
        <v/>
      </c>
      <c r="U1956" s="35">
        <f>$D1956*($E1956*(U$321-U$322)+$F1956*(U$324-U$325))</f>
        <v/>
      </c>
      <c r="V1956" s="35">
        <f>$D1956*($E1956*(V$321-V$322)+$F1956*(V$324-V$325))</f>
        <v/>
      </c>
      <c r="W1956" s="35">
        <f>$D1956*($E1956*(W$321-W$322)+$F1956*(W$324-W$325))</f>
        <v/>
      </c>
      <c r="X1956" s="35">
        <f>$D1956*($E1956*(X$321-X$322)+$F1956*(X$324-X$325))</f>
        <v/>
      </c>
      <c r="Y1956" s="35">
        <f>$D1956*($E1956*(Y$321-Y$322)+$F1956*(Y$324-Y$325))</f>
        <v/>
      </c>
      <c r="Z1956" s="35">
        <f>$D1956*($E1956*(Z$321-Z$322)+$F1956*(Z$324-Z$325))</f>
        <v/>
      </c>
      <c r="AA1956" s="35">
        <f>$D1956*($E1956*(AA$321-AA$322)+$F1956*(AA$324-AA$325))</f>
        <v/>
      </c>
      <c r="AB1956" s="35">
        <f>$D1956*($E1956*(AB$321-AB$322)+$F1956*(AB$324-AB$325))</f>
        <v/>
      </c>
      <c r="AC1956" s="35">
        <f>$D1956*($E1956*(AC$321-AC$322)+$F1956*(AC$324-AC$325))</f>
        <v/>
      </c>
      <c r="AD1956" s="35">
        <f>$D1956*($E1956*(AD$321-AD$322)+$F1956*(AD$324-AD$325))</f>
        <v/>
      </c>
      <c r="AE1956" s="42">
        <f>XCARBON($D1956,$E1956,(AE$321-AE$322),$F1956,(AE$324-AE$325))</f>
        <v/>
      </c>
      <c r="AG1956" s="11">
        <f>CodePrefix&amp;$A1956&amp;IF($C1956="","","."&amp;$C1956&amp;"."&amp;$B1956)&amp;INDEX(VarEnd,MATCH($A1956,VarKey,0))&amp;AG$5</f>
        <v/>
      </c>
      <c r="AH1956" s="40">
        <f>$D1956*($E1956*(AH$321-AH$322)+$F1956*(AH$324-AH$325))</f>
        <v/>
      </c>
      <c r="AI1956" s="35">
        <f>$D1956*($E1956*(AI$321-AI$322)+$F1956*(AI$324-AI$325))</f>
        <v/>
      </c>
      <c r="AJ1956" s="35">
        <f>$D1956*($E1956*(AJ$321-AJ$322)+$F1956*(AJ$324-AJ$325))</f>
        <v/>
      </c>
      <c r="AK1956" s="35">
        <f>$D1956*($E1956*(AK$321-AK$322)+$F1956*(AK$324-AK$325))</f>
        <v/>
      </c>
      <c r="AL1956" s="35">
        <f>$D1956*($E1956*(AL$321-AL$322)+$F1956*(AL$324-AL$325))</f>
        <v/>
      </c>
      <c r="AM1956" s="35">
        <f>$D1956*($E1956*(AM$321-AM$322)+$F1956*(AM$324-AM$325))</f>
        <v/>
      </c>
      <c r="AN1956" s="35">
        <f>$D1956*($E1956*(AN$321-AN$322)+$F1956*(AN$324-AN$325))</f>
        <v/>
      </c>
      <c r="AO1956" s="35">
        <f>$D1956*($E1956*(AO$321-AO$322)+$F1956*(AO$324-AO$325))</f>
        <v/>
      </c>
      <c r="AP1956" s="35">
        <f>$D1956*($E1956*(AP$321-AP$322)+$F1956*(AP$324-AP$325))</f>
        <v/>
      </c>
      <c r="AQ1956" s="35">
        <f>$D1956*($E1956*(AQ$321-AQ$322)+$F1956*(AQ$324-AQ$325))</f>
        <v/>
      </c>
      <c r="AR1956" s="35">
        <f>$D1956*($E1956*(AR$321-AR$322)+$F1956*(AR$324-AR$325))</f>
        <v/>
      </c>
      <c r="AS1956" s="35">
        <f>$D1956*($E1956*(AS$321-AS$322)+$F1956*(AS$324-AS$325))</f>
        <v/>
      </c>
      <c r="AT1956" s="35">
        <f>$D1956*($E1956*(AT$321-AT$322)+$F1956*(AT$324-AT$325))</f>
        <v/>
      </c>
      <c r="AU1956" s="35">
        <f>$D1956*($E1956*(AU$321-AU$322)+$F1956*(AU$324-AU$325))</f>
        <v/>
      </c>
      <c r="AV1956" s="35">
        <f>$D1956*($E1956*(AV$321-AV$322)+$F1956*(AV$324-AV$325))</f>
        <v/>
      </c>
      <c r="AW1956" s="35">
        <f>$D1956*($E1956*(AW$321-AW$322)+$F1956*(AW$324-AW$325))</f>
        <v/>
      </c>
      <c r="AX1956" s="35">
        <f>$D1956*($E1956*(AX$321-AX$322)+$F1956*(AX$324-AX$325))</f>
        <v/>
      </c>
      <c r="AY1956" s="35">
        <f>$D1956*($E1956*(AY$321-AY$322)+$F1956*(AY$324-AY$325))</f>
        <v/>
      </c>
      <c r="AZ1956" s="35">
        <f>$D1956*($E1956*(AZ$321-AZ$322)+$F1956*(AZ$324-AZ$325))</f>
        <v/>
      </c>
      <c r="BA1956" s="42">
        <f>XCARBON($D1956,$E1956,(BA$321-BA$322),$F1956,(BA$324-BA$325))</f>
        <v/>
      </c>
    </row>
    <row r="1957" hidden="1" outlineLevel="2">
      <c r="A1957" s="14" t="inlineStr">
        <is>
          <t>xcpd</t>
        </is>
      </c>
      <c r="B1957" s="14" t="inlineStr">
        <is>
          <t>die</t>
        </is>
      </c>
      <c r="C1957" s="14" t="inlineStr">
        <is>
          <t>mch</t>
        </is>
      </c>
      <c r="D1957" s="35">
        <f>INDEX(Inputs!$W$5:$W$132,MATCH($B1957&amp;"|"&amp;$C1957,Inputs!$A$5:$A$132,0))</f>
        <v/>
      </c>
      <c r="E1957" s="35">
        <f>INDEX(Inputs!$Z$5:$Z$132,MATCH($B1957&amp;"|"&amp;$C1957,Inputs!$A$5:$A$132,0))</f>
        <v/>
      </c>
      <c r="F1957" s="35">
        <f>INDEX(Inputs!$AA$5:$AA$132,MATCH($B1957&amp;"|"&amp;$C1957,Inputs!$A$5:$A$132,0))</f>
        <v/>
      </c>
      <c r="G1957" s="39" t="n"/>
      <c r="H1957" s="14">
        <f>INDEX(VarLab,MATCH($A1957,VarKey,0))&amp;INDEX(MemLab,MATCH($C1957&amp;"|"&amp;$B1957,MemKey,0))</f>
        <v/>
      </c>
      <c r="I1957" s="14">
        <f>INDEX(VarUnit,MATCH($A1957,VarKey,0))</f>
        <v/>
      </c>
      <c r="J1957" s="14">
        <f>INDEX(VarSrc,MATCH($A1957,VarKey,0))</f>
        <v/>
      </c>
      <c r="K1957" s="11">
        <f>CodePrefix&amp;$A1957&amp;IF($C1957="","","."&amp;$C1957&amp;"."&amp;$B1957)&amp;INDEX(VarEnd,MATCH($A1957,VarKey,0))&amp;K$5</f>
        <v/>
      </c>
      <c r="L1957" s="40">
        <f>$D1957*($E1957*(L$321-L$322)+$F1957*(L$324-L$325))</f>
        <v/>
      </c>
      <c r="M1957" s="35">
        <f>$D1957*($E1957*(M$321-M$322)+$F1957*(M$324-M$325))</f>
        <v/>
      </c>
      <c r="N1957" s="35">
        <f>$D1957*($E1957*(N$321-N$322)+$F1957*(N$324-N$325))</f>
        <v/>
      </c>
      <c r="O1957" s="35">
        <f>$D1957*($E1957*(O$321-O$322)+$F1957*(O$324-O$325))</f>
        <v/>
      </c>
      <c r="P1957" s="35">
        <f>$D1957*($E1957*(P$321-P$322)+$F1957*(P$324-P$325))</f>
        <v/>
      </c>
      <c r="Q1957" s="35">
        <f>$D1957*($E1957*(Q$321-Q$322)+$F1957*(Q$324-Q$325))</f>
        <v/>
      </c>
      <c r="R1957" s="35">
        <f>$D1957*($E1957*(R$321-R$322)+$F1957*(R$324-R$325))</f>
        <v/>
      </c>
      <c r="S1957" s="35">
        <f>$D1957*($E1957*(S$321-S$322)+$F1957*(S$324-S$325))</f>
        <v/>
      </c>
      <c r="T1957" s="35">
        <f>$D1957*($E1957*(T$321-T$322)+$F1957*(T$324-T$325))</f>
        <v/>
      </c>
      <c r="U1957" s="35">
        <f>$D1957*($E1957*(U$321-U$322)+$F1957*(U$324-U$325))</f>
        <v/>
      </c>
      <c r="V1957" s="35">
        <f>$D1957*($E1957*(V$321-V$322)+$F1957*(V$324-V$325))</f>
        <v/>
      </c>
      <c r="W1957" s="35">
        <f>$D1957*($E1957*(W$321-W$322)+$F1957*(W$324-W$325))</f>
        <v/>
      </c>
      <c r="X1957" s="35">
        <f>$D1957*($E1957*(X$321-X$322)+$F1957*(X$324-X$325))</f>
        <v/>
      </c>
      <c r="Y1957" s="35">
        <f>$D1957*($E1957*(Y$321-Y$322)+$F1957*(Y$324-Y$325))</f>
        <v/>
      </c>
      <c r="Z1957" s="35">
        <f>$D1957*($E1957*(Z$321-Z$322)+$F1957*(Z$324-Z$325))</f>
        <v/>
      </c>
      <c r="AA1957" s="35">
        <f>$D1957*($E1957*(AA$321-AA$322)+$F1957*(AA$324-AA$325))</f>
        <v/>
      </c>
      <c r="AB1957" s="35">
        <f>$D1957*($E1957*(AB$321-AB$322)+$F1957*(AB$324-AB$325))</f>
        <v/>
      </c>
      <c r="AC1957" s="35">
        <f>$D1957*($E1957*(AC$321-AC$322)+$F1957*(AC$324-AC$325))</f>
        <v/>
      </c>
      <c r="AD1957" s="35">
        <f>$D1957*($E1957*(AD$321-AD$322)+$F1957*(AD$324-AD$325))</f>
        <v/>
      </c>
      <c r="AE1957" s="42">
        <f>XCARBON($D1957,$E1957,(AE$321-AE$322),$F1957,(AE$324-AE$325))</f>
        <v/>
      </c>
      <c r="AG1957" s="11">
        <f>CodePrefix&amp;$A1957&amp;IF($C1957="","","."&amp;$C1957&amp;"."&amp;$B1957)&amp;INDEX(VarEnd,MATCH($A1957,VarKey,0))&amp;AG$5</f>
        <v/>
      </c>
      <c r="AH1957" s="40">
        <f>$D1957*($E1957*(AH$321-AH$322)+$F1957*(AH$324-AH$325))</f>
        <v/>
      </c>
      <c r="AI1957" s="35">
        <f>$D1957*($E1957*(AI$321-AI$322)+$F1957*(AI$324-AI$325))</f>
        <v/>
      </c>
      <c r="AJ1957" s="35">
        <f>$D1957*($E1957*(AJ$321-AJ$322)+$F1957*(AJ$324-AJ$325))</f>
        <v/>
      </c>
      <c r="AK1957" s="35">
        <f>$D1957*($E1957*(AK$321-AK$322)+$F1957*(AK$324-AK$325))</f>
        <v/>
      </c>
      <c r="AL1957" s="35">
        <f>$D1957*($E1957*(AL$321-AL$322)+$F1957*(AL$324-AL$325))</f>
        <v/>
      </c>
      <c r="AM1957" s="35">
        <f>$D1957*($E1957*(AM$321-AM$322)+$F1957*(AM$324-AM$325))</f>
        <v/>
      </c>
      <c r="AN1957" s="35">
        <f>$D1957*($E1957*(AN$321-AN$322)+$F1957*(AN$324-AN$325))</f>
        <v/>
      </c>
      <c r="AO1957" s="35">
        <f>$D1957*($E1957*(AO$321-AO$322)+$F1957*(AO$324-AO$325))</f>
        <v/>
      </c>
      <c r="AP1957" s="35">
        <f>$D1957*($E1957*(AP$321-AP$322)+$F1957*(AP$324-AP$325))</f>
        <v/>
      </c>
      <c r="AQ1957" s="35">
        <f>$D1957*($E1957*(AQ$321-AQ$322)+$F1957*(AQ$324-AQ$325))</f>
        <v/>
      </c>
      <c r="AR1957" s="35">
        <f>$D1957*($E1957*(AR$321-AR$322)+$F1957*(AR$324-AR$325))</f>
        <v/>
      </c>
      <c r="AS1957" s="35">
        <f>$D1957*($E1957*(AS$321-AS$322)+$F1957*(AS$324-AS$325))</f>
        <v/>
      </c>
      <c r="AT1957" s="35">
        <f>$D1957*($E1957*(AT$321-AT$322)+$F1957*(AT$324-AT$325))</f>
        <v/>
      </c>
      <c r="AU1957" s="35">
        <f>$D1957*($E1957*(AU$321-AU$322)+$F1957*(AU$324-AU$325))</f>
        <v/>
      </c>
      <c r="AV1957" s="35">
        <f>$D1957*($E1957*(AV$321-AV$322)+$F1957*(AV$324-AV$325))</f>
        <v/>
      </c>
      <c r="AW1957" s="35">
        <f>$D1957*($E1957*(AW$321-AW$322)+$F1957*(AW$324-AW$325))</f>
        <v/>
      </c>
      <c r="AX1957" s="35">
        <f>$D1957*($E1957*(AX$321-AX$322)+$F1957*(AX$324-AX$325))</f>
        <v/>
      </c>
      <c r="AY1957" s="35">
        <f>$D1957*($E1957*(AY$321-AY$322)+$F1957*(AY$324-AY$325))</f>
        <v/>
      </c>
      <c r="AZ1957" s="35">
        <f>$D1957*($E1957*(AZ$321-AZ$322)+$F1957*(AZ$324-AZ$325))</f>
        <v/>
      </c>
      <c r="BA1957" s="42">
        <f>XCARBON($D1957,$E1957,(BA$321-BA$322),$F1957,(BA$324-BA$325))</f>
        <v/>
      </c>
    </row>
    <row r="1958" hidden="1" outlineLevel="2">
      <c r="A1958" s="14" t="inlineStr">
        <is>
          <t>xcpd</t>
        </is>
      </c>
      <c r="B1958" s="14" t="inlineStr">
        <is>
          <t>lpg</t>
        </is>
      </c>
      <c r="C1958" s="14" t="inlineStr">
        <is>
          <t>mch</t>
        </is>
      </c>
      <c r="D1958" s="35">
        <f>INDEX(Inputs!$W$5:$W$132,MATCH($B1958&amp;"|"&amp;$C1958,Inputs!$A$5:$A$132,0))</f>
        <v/>
      </c>
      <c r="E1958" s="35">
        <f>INDEX(Inputs!$Z$5:$Z$132,MATCH($B1958&amp;"|"&amp;$C1958,Inputs!$A$5:$A$132,0))</f>
        <v/>
      </c>
      <c r="F1958" s="35">
        <f>INDEX(Inputs!$AA$5:$AA$132,MATCH($B1958&amp;"|"&amp;$C1958,Inputs!$A$5:$A$132,0))</f>
        <v/>
      </c>
      <c r="G1958" s="39" t="n"/>
      <c r="H1958" s="14">
        <f>INDEX(VarLab,MATCH($A1958,VarKey,0))&amp;INDEX(MemLab,MATCH($C1958&amp;"|"&amp;$B1958,MemKey,0))</f>
        <v/>
      </c>
      <c r="I1958" s="14">
        <f>INDEX(VarUnit,MATCH($A1958,VarKey,0))</f>
        <v/>
      </c>
      <c r="J1958" s="14">
        <f>INDEX(VarSrc,MATCH($A1958,VarKey,0))</f>
        <v/>
      </c>
      <c r="K1958" s="11">
        <f>CodePrefix&amp;$A1958&amp;IF($C1958="","","."&amp;$C1958&amp;"."&amp;$B1958)&amp;INDEX(VarEnd,MATCH($A1958,VarKey,0))&amp;K$5</f>
        <v/>
      </c>
      <c r="L1958" s="40">
        <f>$D1958*($E1958*(L$321-L$322)+$F1958*(L$324-L$325))</f>
        <v/>
      </c>
      <c r="M1958" s="35">
        <f>$D1958*($E1958*(M$321-M$322)+$F1958*(M$324-M$325))</f>
        <v/>
      </c>
      <c r="N1958" s="35">
        <f>$D1958*($E1958*(N$321-N$322)+$F1958*(N$324-N$325))</f>
        <v/>
      </c>
      <c r="O1958" s="35">
        <f>$D1958*($E1958*(O$321-O$322)+$F1958*(O$324-O$325))</f>
        <v/>
      </c>
      <c r="P1958" s="35">
        <f>$D1958*($E1958*(P$321-P$322)+$F1958*(P$324-P$325))</f>
        <v/>
      </c>
      <c r="Q1958" s="35">
        <f>$D1958*($E1958*(Q$321-Q$322)+$F1958*(Q$324-Q$325))</f>
        <v/>
      </c>
      <c r="R1958" s="35">
        <f>$D1958*($E1958*(R$321-R$322)+$F1958*(R$324-R$325))</f>
        <v/>
      </c>
      <c r="S1958" s="35">
        <f>$D1958*($E1958*(S$321-S$322)+$F1958*(S$324-S$325))</f>
        <v/>
      </c>
      <c r="T1958" s="35">
        <f>$D1958*($E1958*(T$321-T$322)+$F1958*(T$324-T$325))</f>
        <v/>
      </c>
      <c r="U1958" s="35">
        <f>$D1958*($E1958*(U$321-U$322)+$F1958*(U$324-U$325))</f>
        <v/>
      </c>
      <c r="V1958" s="35">
        <f>$D1958*($E1958*(V$321-V$322)+$F1958*(V$324-V$325))</f>
        <v/>
      </c>
      <c r="W1958" s="35">
        <f>$D1958*($E1958*(W$321-W$322)+$F1958*(W$324-W$325))</f>
        <v/>
      </c>
      <c r="X1958" s="35">
        <f>$D1958*($E1958*(X$321-X$322)+$F1958*(X$324-X$325))</f>
        <v/>
      </c>
      <c r="Y1958" s="35">
        <f>$D1958*($E1958*(Y$321-Y$322)+$F1958*(Y$324-Y$325))</f>
        <v/>
      </c>
      <c r="Z1958" s="35">
        <f>$D1958*($E1958*(Z$321-Z$322)+$F1958*(Z$324-Z$325))</f>
        <v/>
      </c>
      <c r="AA1958" s="35">
        <f>$D1958*($E1958*(AA$321-AA$322)+$F1958*(AA$324-AA$325))</f>
        <v/>
      </c>
      <c r="AB1958" s="35">
        <f>$D1958*($E1958*(AB$321-AB$322)+$F1958*(AB$324-AB$325))</f>
        <v/>
      </c>
      <c r="AC1958" s="35">
        <f>$D1958*($E1958*(AC$321-AC$322)+$F1958*(AC$324-AC$325))</f>
        <v/>
      </c>
      <c r="AD1958" s="35">
        <f>$D1958*($E1958*(AD$321-AD$322)+$F1958*(AD$324-AD$325))</f>
        <v/>
      </c>
      <c r="AE1958" s="42">
        <f>XCARBON($D1958,$E1958,(AE$321-AE$322),$F1958,(AE$324-AE$325))</f>
        <v/>
      </c>
      <c r="AG1958" s="11">
        <f>CodePrefix&amp;$A1958&amp;IF($C1958="","","."&amp;$C1958&amp;"."&amp;$B1958)&amp;INDEX(VarEnd,MATCH($A1958,VarKey,0))&amp;AG$5</f>
        <v/>
      </c>
      <c r="AH1958" s="40">
        <f>$D1958*($E1958*(AH$321-AH$322)+$F1958*(AH$324-AH$325))</f>
        <v/>
      </c>
      <c r="AI1958" s="35">
        <f>$D1958*($E1958*(AI$321-AI$322)+$F1958*(AI$324-AI$325))</f>
        <v/>
      </c>
      <c r="AJ1958" s="35">
        <f>$D1958*($E1958*(AJ$321-AJ$322)+$F1958*(AJ$324-AJ$325))</f>
        <v/>
      </c>
      <c r="AK1958" s="35">
        <f>$D1958*($E1958*(AK$321-AK$322)+$F1958*(AK$324-AK$325))</f>
        <v/>
      </c>
      <c r="AL1958" s="35">
        <f>$D1958*($E1958*(AL$321-AL$322)+$F1958*(AL$324-AL$325))</f>
        <v/>
      </c>
      <c r="AM1958" s="35">
        <f>$D1958*($E1958*(AM$321-AM$322)+$F1958*(AM$324-AM$325))</f>
        <v/>
      </c>
      <c r="AN1958" s="35">
        <f>$D1958*($E1958*(AN$321-AN$322)+$F1958*(AN$324-AN$325))</f>
        <v/>
      </c>
      <c r="AO1958" s="35">
        <f>$D1958*($E1958*(AO$321-AO$322)+$F1958*(AO$324-AO$325))</f>
        <v/>
      </c>
      <c r="AP1958" s="35">
        <f>$D1958*($E1958*(AP$321-AP$322)+$F1958*(AP$324-AP$325))</f>
        <v/>
      </c>
      <c r="AQ1958" s="35">
        <f>$D1958*($E1958*(AQ$321-AQ$322)+$F1958*(AQ$324-AQ$325))</f>
        <v/>
      </c>
      <c r="AR1958" s="35">
        <f>$D1958*($E1958*(AR$321-AR$322)+$F1958*(AR$324-AR$325))</f>
        <v/>
      </c>
      <c r="AS1958" s="35">
        <f>$D1958*($E1958*(AS$321-AS$322)+$F1958*(AS$324-AS$325))</f>
        <v/>
      </c>
      <c r="AT1958" s="35">
        <f>$D1958*($E1958*(AT$321-AT$322)+$F1958*(AT$324-AT$325))</f>
        <v/>
      </c>
      <c r="AU1958" s="35">
        <f>$D1958*($E1958*(AU$321-AU$322)+$F1958*(AU$324-AU$325))</f>
        <v/>
      </c>
      <c r="AV1958" s="35">
        <f>$D1958*($E1958*(AV$321-AV$322)+$F1958*(AV$324-AV$325))</f>
        <v/>
      </c>
      <c r="AW1958" s="35">
        <f>$D1958*($E1958*(AW$321-AW$322)+$F1958*(AW$324-AW$325))</f>
        <v/>
      </c>
      <c r="AX1958" s="35">
        <f>$D1958*($E1958*(AX$321-AX$322)+$F1958*(AX$324-AX$325))</f>
        <v/>
      </c>
      <c r="AY1958" s="35">
        <f>$D1958*($E1958*(AY$321-AY$322)+$F1958*(AY$324-AY$325))</f>
        <v/>
      </c>
      <c r="AZ1958" s="35">
        <f>$D1958*($E1958*(AZ$321-AZ$322)+$F1958*(AZ$324-AZ$325))</f>
        <v/>
      </c>
      <c r="BA1958" s="42">
        <f>XCARBON($D1958,$E1958,(BA$321-BA$322),$F1958,(BA$324-BA$325))</f>
        <v/>
      </c>
    </row>
    <row r="1959" hidden="1" outlineLevel="2">
      <c r="A1959" s="14" t="inlineStr">
        <is>
          <t>xcpd</t>
        </is>
      </c>
      <c r="B1959" s="14" t="inlineStr">
        <is>
          <t>ker</t>
        </is>
      </c>
      <c r="C1959" s="14" t="inlineStr">
        <is>
          <t>mch</t>
        </is>
      </c>
      <c r="D1959" s="35">
        <f>INDEX(Inputs!$W$5:$W$132,MATCH($B1959&amp;"|"&amp;$C1959,Inputs!$A$5:$A$132,0))</f>
        <v/>
      </c>
      <c r="E1959" s="35">
        <f>INDEX(Inputs!$Z$5:$Z$132,MATCH($B1959&amp;"|"&amp;$C1959,Inputs!$A$5:$A$132,0))</f>
        <v/>
      </c>
      <c r="F1959" s="35">
        <f>INDEX(Inputs!$AA$5:$AA$132,MATCH($B1959&amp;"|"&amp;$C1959,Inputs!$A$5:$A$132,0))</f>
        <v/>
      </c>
      <c r="G1959" s="39" t="n"/>
      <c r="H1959" s="14">
        <f>INDEX(VarLab,MATCH($A1959,VarKey,0))&amp;INDEX(MemLab,MATCH($C1959&amp;"|"&amp;$B1959,MemKey,0))</f>
        <v/>
      </c>
      <c r="I1959" s="14">
        <f>INDEX(VarUnit,MATCH($A1959,VarKey,0))</f>
        <v/>
      </c>
      <c r="J1959" s="14">
        <f>INDEX(VarSrc,MATCH($A1959,VarKey,0))</f>
        <v/>
      </c>
      <c r="K1959" s="11">
        <f>CodePrefix&amp;$A1959&amp;IF($C1959="","","."&amp;$C1959&amp;"."&amp;$B1959)&amp;INDEX(VarEnd,MATCH($A1959,VarKey,0))&amp;K$5</f>
        <v/>
      </c>
      <c r="L1959" s="40">
        <f>$D1959*($E1959*(L$321-L$322)+$F1959*(L$324-L$325))</f>
        <v/>
      </c>
      <c r="M1959" s="35">
        <f>$D1959*($E1959*(M$321-M$322)+$F1959*(M$324-M$325))</f>
        <v/>
      </c>
      <c r="N1959" s="35">
        <f>$D1959*($E1959*(N$321-N$322)+$F1959*(N$324-N$325))</f>
        <v/>
      </c>
      <c r="O1959" s="35">
        <f>$D1959*($E1959*(O$321-O$322)+$F1959*(O$324-O$325))</f>
        <v/>
      </c>
      <c r="P1959" s="35">
        <f>$D1959*($E1959*(P$321-P$322)+$F1959*(P$324-P$325))</f>
        <v/>
      </c>
      <c r="Q1959" s="35">
        <f>$D1959*($E1959*(Q$321-Q$322)+$F1959*(Q$324-Q$325))</f>
        <v/>
      </c>
      <c r="R1959" s="35">
        <f>$D1959*($E1959*(R$321-R$322)+$F1959*(R$324-R$325))</f>
        <v/>
      </c>
      <c r="S1959" s="35">
        <f>$D1959*($E1959*(S$321-S$322)+$F1959*(S$324-S$325))</f>
        <v/>
      </c>
      <c r="T1959" s="35">
        <f>$D1959*($E1959*(T$321-T$322)+$F1959*(T$324-T$325))</f>
        <v/>
      </c>
      <c r="U1959" s="35">
        <f>$D1959*($E1959*(U$321-U$322)+$F1959*(U$324-U$325))</f>
        <v/>
      </c>
      <c r="V1959" s="35">
        <f>$D1959*($E1959*(V$321-V$322)+$F1959*(V$324-V$325))</f>
        <v/>
      </c>
      <c r="W1959" s="35">
        <f>$D1959*($E1959*(W$321-W$322)+$F1959*(W$324-W$325))</f>
        <v/>
      </c>
      <c r="X1959" s="35">
        <f>$D1959*($E1959*(X$321-X$322)+$F1959*(X$324-X$325))</f>
        <v/>
      </c>
      <c r="Y1959" s="35">
        <f>$D1959*($E1959*(Y$321-Y$322)+$F1959*(Y$324-Y$325))</f>
        <v/>
      </c>
      <c r="Z1959" s="35">
        <f>$D1959*($E1959*(Z$321-Z$322)+$F1959*(Z$324-Z$325))</f>
        <v/>
      </c>
      <c r="AA1959" s="35">
        <f>$D1959*($E1959*(AA$321-AA$322)+$F1959*(AA$324-AA$325))</f>
        <v/>
      </c>
      <c r="AB1959" s="35">
        <f>$D1959*($E1959*(AB$321-AB$322)+$F1959*(AB$324-AB$325))</f>
        <v/>
      </c>
      <c r="AC1959" s="35">
        <f>$D1959*($E1959*(AC$321-AC$322)+$F1959*(AC$324-AC$325))</f>
        <v/>
      </c>
      <c r="AD1959" s="35">
        <f>$D1959*($E1959*(AD$321-AD$322)+$F1959*(AD$324-AD$325))</f>
        <v/>
      </c>
      <c r="AE1959" s="42">
        <f>XCARBON($D1959,$E1959,(AE$321-AE$322),$F1959,(AE$324-AE$325))</f>
        <v/>
      </c>
      <c r="AG1959" s="11">
        <f>CodePrefix&amp;$A1959&amp;IF($C1959="","","."&amp;$C1959&amp;"."&amp;$B1959)&amp;INDEX(VarEnd,MATCH($A1959,VarKey,0))&amp;AG$5</f>
        <v/>
      </c>
      <c r="AH1959" s="40">
        <f>$D1959*($E1959*(AH$321-AH$322)+$F1959*(AH$324-AH$325))</f>
        <v/>
      </c>
      <c r="AI1959" s="35">
        <f>$D1959*($E1959*(AI$321-AI$322)+$F1959*(AI$324-AI$325))</f>
        <v/>
      </c>
      <c r="AJ1959" s="35">
        <f>$D1959*($E1959*(AJ$321-AJ$322)+$F1959*(AJ$324-AJ$325))</f>
        <v/>
      </c>
      <c r="AK1959" s="35">
        <f>$D1959*($E1959*(AK$321-AK$322)+$F1959*(AK$324-AK$325))</f>
        <v/>
      </c>
      <c r="AL1959" s="35">
        <f>$D1959*($E1959*(AL$321-AL$322)+$F1959*(AL$324-AL$325))</f>
        <v/>
      </c>
      <c r="AM1959" s="35">
        <f>$D1959*($E1959*(AM$321-AM$322)+$F1959*(AM$324-AM$325))</f>
        <v/>
      </c>
      <c r="AN1959" s="35">
        <f>$D1959*($E1959*(AN$321-AN$322)+$F1959*(AN$324-AN$325))</f>
        <v/>
      </c>
      <c r="AO1959" s="35">
        <f>$D1959*($E1959*(AO$321-AO$322)+$F1959*(AO$324-AO$325))</f>
        <v/>
      </c>
      <c r="AP1959" s="35">
        <f>$D1959*($E1959*(AP$321-AP$322)+$F1959*(AP$324-AP$325))</f>
        <v/>
      </c>
      <c r="AQ1959" s="35">
        <f>$D1959*($E1959*(AQ$321-AQ$322)+$F1959*(AQ$324-AQ$325))</f>
        <v/>
      </c>
      <c r="AR1959" s="35">
        <f>$D1959*($E1959*(AR$321-AR$322)+$F1959*(AR$324-AR$325))</f>
        <v/>
      </c>
      <c r="AS1959" s="35">
        <f>$D1959*($E1959*(AS$321-AS$322)+$F1959*(AS$324-AS$325))</f>
        <v/>
      </c>
      <c r="AT1959" s="35">
        <f>$D1959*($E1959*(AT$321-AT$322)+$F1959*(AT$324-AT$325))</f>
        <v/>
      </c>
      <c r="AU1959" s="35">
        <f>$D1959*($E1959*(AU$321-AU$322)+$F1959*(AU$324-AU$325))</f>
        <v/>
      </c>
      <c r="AV1959" s="35">
        <f>$D1959*($E1959*(AV$321-AV$322)+$F1959*(AV$324-AV$325))</f>
        <v/>
      </c>
      <c r="AW1959" s="35">
        <f>$D1959*($E1959*(AW$321-AW$322)+$F1959*(AW$324-AW$325))</f>
        <v/>
      </c>
      <c r="AX1959" s="35">
        <f>$D1959*($E1959*(AX$321-AX$322)+$F1959*(AX$324-AX$325))</f>
        <v/>
      </c>
      <c r="AY1959" s="35">
        <f>$D1959*($E1959*(AY$321-AY$322)+$F1959*(AY$324-AY$325))</f>
        <v/>
      </c>
      <c r="AZ1959" s="35">
        <f>$D1959*($E1959*(AZ$321-AZ$322)+$F1959*(AZ$324-AZ$325))</f>
        <v/>
      </c>
      <c r="BA1959" s="42">
        <f>XCARBON($D1959,$E1959,(BA$321-BA$322),$F1959,(BA$324-BA$325))</f>
        <v/>
      </c>
    </row>
    <row r="1960" hidden="1" outlineLevel="2">
      <c r="A1960" s="14" t="inlineStr">
        <is>
          <t>xcpd</t>
        </is>
      </c>
      <c r="B1960" s="14" t="inlineStr">
        <is>
          <t>oop</t>
        </is>
      </c>
      <c r="C1960" s="14" t="inlineStr">
        <is>
          <t>mch</t>
        </is>
      </c>
      <c r="D1960" s="35">
        <f>INDEX(Inputs!$W$5:$W$132,MATCH($B1960&amp;"|"&amp;$C1960,Inputs!$A$5:$A$132,0))</f>
        <v/>
      </c>
      <c r="E1960" s="35">
        <f>INDEX(Inputs!$Z$5:$Z$132,MATCH($B1960&amp;"|"&amp;$C1960,Inputs!$A$5:$A$132,0))</f>
        <v/>
      </c>
      <c r="F1960" s="35">
        <f>INDEX(Inputs!$AA$5:$AA$132,MATCH($B1960&amp;"|"&amp;$C1960,Inputs!$A$5:$A$132,0))</f>
        <v/>
      </c>
      <c r="G1960" s="39" t="n"/>
      <c r="H1960" s="14">
        <f>INDEX(VarLab,MATCH($A1960,VarKey,0))&amp;INDEX(MemLab,MATCH($C1960&amp;"|"&amp;$B1960,MemKey,0))</f>
        <v/>
      </c>
      <c r="I1960" s="14">
        <f>INDEX(VarUnit,MATCH($A1960,VarKey,0))</f>
        <v/>
      </c>
      <c r="J1960" s="14">
        <f>INDEX(VarSrc,MATCH($A1960,VarKey,0))</f>
        <v/>
      </c>
      <c r="K1960" s="11">
        <f>CodePrefix&amp;$A1960&amp;IF($C1960="","","."&amp;$C1960&amp;"."&amp;$B1960)&amp;INDEX(VarEnd,MATCH($A1960,VarKey,0))&amp;K$5</f>
        <v/>
      </c>
      <c r="L1960" s="40">
        <f>$D1960*($E1960*(L$321-L$322)+$F1960*(L$324-L$325))</f>
        <v/>
      </c>
      <c r="M1960" s="35">
        <f>$D1960*($E1960*(M$321-M$322)+$F1960*(M$324-M$325))</f>
        <v/>
      </c>
      <c r="N1960" s="35">
        <f>$D1960*($E1960*(N$321-N$322)+$F1960*(N$324-N$325))</f>
        <v/>
      </c>
      <c r="O1960" s="35">
        <f>$D1960*($E1960*(O$321-O$322)+$F1960*(O$324-O$325))</f>
        <v/>
      </c>
      <c r="P1960" s="35">
        <f>$D1960*($E1960*(P$321-P$322)+$F1960*(P$324-P$325))</f>
        <v/>
      </c>
      <c r="Q1960" s="35">
        <f>$D1960*($E1960*(Q$321-Q$322)+$F1960*(Q$324-Q$325))</f>
        <v/>
      </c>
      <c r="R1960" s="35">
        <f>$D1960*($E1960*(R$321-R$322)+$F1960*(R$324-R$325))</f>
        <v/>
      </c>
      <c r="S1960" s="35">
        <f>$D1960*($E1960*(S$321-S$322)+$F1960*(S$324-S$325))</f>
        <v/>
      </c>
      <c r="T1960" s="35">
        <f>$D1960*($E1960*(T$321-T$322)+$F1960*(T$324-T$325))</f>
        <v/>
      </c>
      <c r="U1960" s="35">
        <f>$D1960*($E1960*(U$321-U$322)+$F1960*(U$324-U$325))</f>
        <v/>
      </c>
      <c r="V1960" s="35">
        <f>$D1960*($E1960*(V$321-V$322)+$F1960*(V$324-V$325))</f>
        <v/>
      </c>
      <c r="W1960" s="35">
        <f>$D1960*($E1960*(W$321-W$322)+$F1960*(W$324-W$325))</f>
        <v/>
      </c>
      <c r="X1960" s="35">
        <f>$D1960*($E1960*(X$321-X$322)+$F1960*(X$324-X$325))</f>
        <v/>
      </c>
      <c r="Y1960" s="35">
        <f>$D1960*($E1960*(Y$321-Y$322)+$F1960*(Y$324-Y$325))</f>
        <v/>
      </c>
      <c r="Z1960" s="35">
        <f>$D1960*($E1960*(Z$321-Z$322)+$F1960*(Z$324-Z$325))</f>
        <v/>
      </c>
      <c r="AA1960" s="35">
        <f>$D1960*($E1960*(AA$321-AA$322)+$F1960*(AA$324-AA$325))</f>
        <v/>
      </c>
      <c r="AB1960" s="35">
        <f>$D1960*($E1960*(AB$321-AB$322)+$F1960*(AB$324-AB$325))</f>
        <v/>
      </c>
      <c r="AC1960" s="35">
        <f>$D1960*($E1960*(AC$321-AC$322)+$F1960*(AC$324-AC$325))</f>
        <v/>
      </c>
      <c r="AD1960" s="35">
        <f>$D1960*($E1960*(AD$321-AD$322)+$F1960*(AD$324-AD$325))</f>
        <v/>
      </c>
      <c r="AE1960" s="42">
        <f>XCARBON($D1960,$E1960,(AE$321-AE$322),$F1960,(AE$324-AE$325))</f>
        <v/>
      </c>
      <c r="AG1960" s="11">
        <f>CodePrefix&amp;$A1960&amp;IF($C1960="","","."&amp;$C1960&amp;"."&amp;$B1960)&amp;INDEX(VarEnd,MATCH($A1960,VarKey,0))&amp;AG$5</f>
        <v/>
      </c>
      <c r="AH1960" s="40">
        <f>$D1960*($E1960*(AH$321-AH$322)+$F1960*(AH$324-AH$325))</f>
        <v/>
      </c>
      <c r="AI1960" s="35">
        <f>$D1960*($E1960*(AI$321-AI$322)+$F1960*(AI$324-AI$325))</f>
        <v/>
      </c>
      <c r="AJ1960" s="35">
        <f>$D1960*($E1960*(AJ$321-AJ$322)+$F1960*(AJ$324-AJ$325))</f>
        <v/>
      </c>
      <c r="AK1960" s="35">
        <f>$D1960*($E1960*(AK$321-AK$322)+$F1960*(AK$324-AK$325))</f>
        <v/>
      </c>
      <c r="AL1960" s="35">
        <f>$D1960*($E1960*(AL$321-AL$322)+$F1960*(AL$324-AL$325))</f>
        <v/>
      </c>
      <c r="AM1960" s="35">
        <f>$D1960*($E1960*(AM$321-AM$322)+$F1960*(AM$324-AM$325))</f>
        <v/>
      </c>
      <c r="AN1960" s="35">
        <f>$D1960*($E1960*(AN$321-AN$322)+$F1960*(AN$324-AN$325))</f>
        <v/>
      </c>
      <c r="AO1960" s="35">
        <f>$D1960*($E1960*(AO$321-AO$322)+$F1960*(AO$324-AO$325))</f>
        <v/>
      </c>
      <c r="AP1960" s="35">
        <f>$D1960*($E1960*(AP$321-AP$322)+$F1960*(AP$324-AP$325))</f>
        <v/>
      </c>
      <c r="AQ1960" s="35">
        <f>$D1960*($E1960*(AQ$321-AQ$322)+$F1960*(AQ$324-AQ$325))</f>
        <v/>
      </c>
      <c r="AR1960" s="35">
        <f>$D1960*($E1960*(AR$321-AR$322)+$F1960*(AR$324-AR$325))</f>
        <v/>
      </c>
      <c r="AS1960" s="35">
        <f>$D1960*($E1960*(AS$321-AS$322)+$F1960*(AS$324-AS$325))</f>
        <v/>
      </c>
      <c r="AT1960" s="35">
        <f>$D1960*($E1960*(AT$321-AT$322)+$F1960*(AT$324-AT$325))</f>
        <v/>
      </c>
      <c r="AU1960" s="35">
        <f>$D1960*($E1960*(AU$321-AU$322)+$F1960*(AU$324-AU$325))</f>
        <v/>
      </c>
      <c r="AV1960" s="35">
        <f>$D1960*($E1960*(AV$321-AV$322)+$F1960*(AV$324-AV$325))</f>
        <v/>
      </c>
      <c r="AW1960" s="35">
        <f>$D1960*($E1960*(AW$321-AW$322)+$F1960*(AW$324-AW$325))</f>
        <v/>
      </c>
      <c r="AX1960" s="35">
        <f>$D1960*($E1960*(AX$321-AX$322)+$F1960*(AX$324-AX$325))</f>
        <v/>
      </c>
      <c r="AY1960" s="35">
        <f>$D1960*($E1960*(AY$321-AY$322)+$F1960*(AY$324-AY$325))</f>
        <v/>
      </c>
      <c r="AZ1960" s="35">
        <f>$D1960*($E1960*(AZ$321-AZ$322)+$F1960*(AZ$324-AZ$325))</f>
        <v/>
      </c>
      <c r="BA1960" s="42">
        <f>XCARBON($D1960,$E1960,(BA$321-BA$322),$F1960,(BA$324-BA$325))</f>
        <v/>
      </c>
    </row>
    <row r="1961" hidden="1" outlineLevel="2">
      <c r="A1961" s="14" t="inlineStr">
        <is>
          <t>xcpd</t>
        </is>
      </c>
      <c r="B1961" s="14" t="inlineStr">
        <is>
          <t>bio</t>
        </is>
      </c>
      <c r="C1961" s="14" t="inlineStr">
        <is>
          <t>mch</t>
        </is>
      </c>
      <c r="D1961" s="35">
        <f>INDEX(Inputs!$W$5:$W$132,MATCH($B1961&amp;"|"&amp;$C1961,Inputs!$A$5:$A$132,0))</f>
        <v/>
      </c>
      <c r="E1961" s="35">
        <f>INDEX(Inputs!$Z$5:$Z$132,MATCH($B1961&amp;"|"&amp;$C1961,Inputs!$A$5:$A$132,0))</f>
        <v/>
      </c>
      <c r="F1961" s="35">
        <f>INDEX(Inputs!$AA$5:$AA$132,MATCH($B1961&amp;"|"&amp;$C1961,Inputs!$A$5:$A$132,0))</f>
        <v/>
      </c>
      <c r="G1961" s="39" t="n"/>
      <c r="H1961" s="14">
        <f>INDEX(VarLab,MATCH($A1961,VarKey,0))&amp;INDEX(MemLab,MATCH($C1961&amp;"|"&amp;$B1961,MemKey,0))</f>
        <v/>
      </c>
      <c r="I1961" s="14">
        <f>INDEX(VarUnit,MATCH($A1961,VarKey,0))</f>
        <v/>
      </c>
      <c r="J1961" s="14">
        <f>INDEX(VarSrc,MATCH($A1961,VarKey,0))</f>
        <v/>
      </c>
      <c r="K1961" s="11">
        <f>CodePrefix&amp;$A1961&amp;IF($C1961="","","."&amp;$C1961&amp;"."&amp;$B1961)&amp;INDEX(VarEnd,MATCH($A1961,VarKey,0))&amp;K$5</f>
        <v/>
      </c>
      <c r="L1961" s="40">
        <f>$D1961*($E1961*(L$321-L$322)+$F1961*(L$324-L$325))</f>
        <v/>
      </c>
      <c r="M1961" s="35">
        <f>$D1961*($E1961*(M$321-M$322)+$F1961*(M$324-M$325))</f>
        <v/>
      </c>
      <c r="N1961" s="35">
        <f>$D1961*($E1961*(N$321-N$322)+$F1961*(N$324-N$325))</f>
        <v/>
      </c>
      <c r="O1961" s="35">
        <f>$D1961*($E1961*(O$321-O$322)+$F1961*(O$324-O$325))</f>
        <v/>
      </c>
      <c r="P1961" s="35">
        <f>$D1961*($E1961*(P$321-P$322)+$F1961*(P$324-P$325))</f>
        <v/>
      </c>
      <c r="Q1961" s="35">
        <f>$D1961*($E1961*(Q$321-Q$322)+$F1961*(Q$324-Q$325))</f>
        <v/>
      </c>
      <c r="R1961" s="35">
        <f>$D1961*($E1961*(R$321-R$322)+$F1961*(R$324-R$325))</f>
        <v/>
      </c>
      <c r="S1961" s="35">
        <f>$D1961*($E1961*(S$321-S$322)+$F1961*(S$324-S$325))</f>
        <v/>
      </c>
      <c r="T1961" s="35">
        <f>$D1961*($E1961*(T$321-T$322)+$F1961*(T$324-T$325))</f>
        <v/>
      </c>
      <c r="U1961" s="35">
        <f>$D1961*($E1961*(U$321-U$322)+$F1961*(U$324-U$325))</f>
        <v/>
      </c>
      <c r="V1961" s="35">
        <f>$D1961*($E1961*(V$321-V$322)+$F1961*(V$324-V$325))</f>
        <v/>
      </c>
      <c r="W1961" s="35">
        <f>$D1961*($E1961*(W$321-W$322)+$F1961*(W$324-W$325))</f>
        <v/>
      </c>
      <c r="X1961" s="35">
        <f>$D1961*($E1961*(X$321-X$322)+$F1961*(X$324-X$325))</f>
        <v/>
      </c>
      <c r="Y1961" s="35">
        <f>$D1961*($E1961*(Y$321-Y$322)+$F1961*(Y$324-Y$325))</f>
        <v/>
      </c>
      <c r="Z1961" s="35">
        <f>$D1961*($E1961*(Z$321-Z$322)+$F1961*(Z$324-Z$325))</f>
        <v/>
      </c>
      <c r="AA1961" s="35">
        <f>$D1961*($E1961*(AA$321-AA$322)+$F1961*(AA$324-AA$325))</f>
        <v/>
      </c>
      <c r="AB1961" s="35">
        <f>$D1961*($E1961*(AB$321-AB$322)+$F1961*(AB$324-AB$325))</f>
        <v/>
      </c>
      <c r="AC1961" s="35">
        <f>$D1961*($E1961*(AC$321-AC$322)+$F1961*(AC$324-AC$325))</f>
        <v/>
      </c>
      <c r="AD1961" s="35">
        <f>$D1961*($E1961*(AD$321-AD$322)+$F1961*(AD$324-AD$325))</f>
        <v/>
      </c>
      <c r="AE1961" s="42">
        <f>XCARBON($D1961,$E1961,(AE$321-AE$322),$F1961,(AE$324-AE$325))</f>
        <v/>
      </c>
      <c r="AG1961" s="11">
        <f>CodePrefix&amp;$A1961&amp;IF($C1961="","","."&amp;$C1961&amp;"."&amp;$B1961)&amp;INDEX(VarEnd,MATCH($A1961,VarKey,0))&amp;AG$5</f>
        <v/>
      </c>
      <c r="AH1961" s="40">
        <f>$D1961*($E1961*(AH$321-AH$322)+$F1961*(AH$324-AH$325))</f>
        <v/>
      </c>
      <c r="AI1961" s="35">
        <f>$D1961*($E1961*(AI$321-AI$322)+$F1961*(AI$324-AI$325))</f>
        <v/>
      </c>
      <c r="AJ1961" s="35">
        <f>$D1961*($E1961*(AJ$321-AJ$322)+$F1961*(AJ$324-AJ$325))</f>
        <v/>
      </c>
      <c r="AK1961" s="35">
        <f>$D1961*($E1961*(AK$321-AK$322)+$F1961*(AK$324-AK$325))</f>
        <v/>
      </c>
      <c r="AL1961" s="35">
        <f>$D1961*($E1961*(AL$321-AL$322)+$F1961*(AL$324-AL$325))</f>
        <v/>
      </c>
      <c r="AM1961" s="35">
        <f>$D1961*($E1961*(AM$321-AM$322)+$F1961*(AM$324-AM$325))</f>
        <v/>
      </c>
      <c r="AN1961" s="35">
        <f>$D1961*($E1961*(AN$321-AN$322)+$F1961*(AN$324-AN$325))</f>
        <v/>
      </c>
      <c r="AO1961" s="35">
        <f>$D1961*($E1961*(AO$321-AO$322)+$F1961*(AO$324-AO$325))</f>
        <v/>
      </c>
      <c r="AP1961" s="35">
        <f>$D1961*($E1961*(AP$321-AP$322)+$F1961*(AP$324-AP$325))</f>
        <v/>
      </c>
      <c r="AQ1961" s="35">
        <f>$D1961*($E1961*(AQ$321-AQ$322)+$F1961*(AQ$324-AQ$325))</f>
        <v/>
      </c>
      <c r="AR1961" s="35">
        <f>$D1961*($E1961*(AR$321-AR$322)+$F1961*(AR$324-AR$325))</f>
        <v/>
      </c>
      <c r="AS1961" s="35">
        <f>$D1961*($E1961*(AS$321-AS$322)+$F1961*(AS$324-AS$325))</f>
        <v/>
      </c>
      <c r="AT1961" s="35">
        <f>$D1961*($E1961*(AT$321-AT$322)+$F1961*(AT$324-AT$325))</f>
        <v/>
      </c>
      <c r="AU1961" s="35">
        <f>$D1961*($E1961*(AU$321-AU$322)+$F1961*(AU$324-AU$325))</f>
        <v/>
      </c>
      <c r="AV1961" s="35">
        <f>$D1961*($E1961*(AV$321-AV$322)+$F1961*(AV$324-AV$325))</f>
        <v/>
      </c>
      <c r="AW1961" s="35">
        <f>$D1961*($E1961*(AW$321-AW$322)+$F1961*(AW$324-AW$325))</f>
        <v/>
      </c>
      <c r="AX1961" s="35">
        <f>$D1961*($E1961*(AX$321-AX$322)+$F1961*(AX$324-AX$325))</f>
        <v/>
      </c>
      <c r="AY1961" s="35">
        <f>$D1961*($E1961*(AY$321-AY$322)+$F1961*(AY$324-AY$325))</f>
        <v/>
      </c>
      <c r="AZ1961" s="35">
        <f>$D1961*($E1961*(AZ$321-AZ$322)+$F1961*(AZ$324-AZ$325))</f>
        <v/>
      </c>
      <c r="BA1961" s="42">
        <f>XCARBON($D1961,$E1961,(BA$321-BA$322),$F1961,(BA$324-BA$325))</f>
        <v/>
      </c>
    </row>
    <row r="1962" hidden="1" outlineLevel="2"/>
    <row r="1963" hidden="1" outlineLevel="2">
      <c r="A1963" s="14" t="inlineStr">
        <is>
          <t>atp</t>
        </is>
      </c>
      <c r="B1963" s="14" t="inlineStr">
        <is>
          <t>coa</t>
        </is>
      </c>
      <c r="C1963" s="14" t="inlineStr">
        <is>
          <t>mch</t>
        </is>
      </c>
      <c r="D1963" s="35">
        <f>INDEX(Inputs!$U$5:$U$132,MATCH($B1963&amp;"|"&amp;$C1963,Inputs!$A$5:$A$132,0))</f>
        <v/>
      </c>
      <c r="E1963" s="35">
        <f>INDEX(Inputs!$V$5:$V$132,MATCH($B1963&amp;"|"&amp;$C1963,Inputs!$A$5:$A$132,0))</f>
        <v/>
      </c>
      <c r="F1963" s="39" t="n"/>
      <c r="G1963" s="39" t="n"/>
      <c r="H1963" s="14">
        <f>INDEX(VarLab,MATCH($A1963,VarKey,0))&amp;INDEX(MemLab,MATCH($C1963&amp;"|"&amp;$B1963,MemKey,0))</f>
        <v/>
      </c>
      <c r="I1963" s="14">
        <f>INDEX(VarUnit,MATCH($A1963,VarKey,0))</f>
        <v/>
      </c>
      <c r="J1963" s="14">
        <f>INDEX(VarSrc,MATCH($A1963,VarKey,0))</f>
        <v/>
      </c>
      <c r="K1963" s="11">
        <f>CodePrefix&amp;$A1963&amp;IF($C1963="","","."&amp;$C1963&amp;"."&amp;$B1963)&amp;INDEX(VarEnd,MATCH($A1963,VarKey,0))&amp;K$5</f>
        <v/>
      </c>
      <c r="L1963" s="40">
        <f>MAX(INDEX(L$381:L$392,$D1963)+(L1936+L1954)*(1+$E1963),0.01)</f>
        <v/>
      </c>
      <c r="M1963" s="35">
        <f>MAX(INDEX(M$381:M$392,$D1963)+(M1936+M1954)*(1+$E1963),0.01)</f>
        <v/>
      </c>
      <c r="N1963" s="35">
        <f>MAX(INDEX(N$381:N$392,$D1963)+(N1936+N1954)*(1+$E1963),0.01)</f>
        <v/>
      </c>
      <c r="O1963" s="35">
        <f>MAX(INDEX(O$381:O$392,$D1963)+(O1936+O1954)*(1+$E1963),0.01)</f>
        <v/>
      </c>
      <c r="P1963" s="35">
        <f>MAX(INDEX(P$381:P$392,$D1963)+(P1936+P1954)*(1+$E1963),0.01)</f>
        <v/>
      </c>
      <c r="Q1963" s="35">
        <f>MAX(INDEX(Q$381:Q$392,$D1963)+(Q1936+Q1954)*(1+$E1963),0.01)</f>
        <v/>
      </c>
      <c r="R1963" s="35">
        <f>MAX(INDEX(R$381:R$392,$D1963)+(R1936+R1954)*(1+$E1963),0.01)</f>
        <v/>
      </c>
      <c r="S1963" s="35">
        <f>MAX(INDEX(S$381:S$392,$D1963)+(S1936+S1954)*(1+$E1963),0.01)</f>
        <v/>
      </c>
      <c r="T1963" s="35">
        <f>MAX(INDEX(T$381:T$392,$D1963)+(T1936+T1954)*(1+$E1963),0.01)</f>
        <v/>
      </c>
      <c r="U1963" s="35">
        <f>MAX(INDEX(U$381:U$392,$D1963)+(U1936+U1954)*(1+$E1963),0.01)</f>
        <v/>
      </c>
      <c r="V1963" s="35">
        <f>MAX(INDEX(V$381:V$392,$D1963)+(V1936+V1954)*(1+$E1963),0.01)</f>
        <v/>
      </c>
      <c r="W1963" s="35">
        <f>MAX(INDEX(W$381:W$392,$D1963)+(W1936+W1954)*(1+$E1963),0.01)</f>
        <v/>
      </c>
      <c r="X1963" s="35">
        <f>MAX(INDEX(X$381:X$392,$D1963)+(X1936+X1954)*(1+$E1963),0.01)</f>
        <v/>
      </c>
      <c r="Y1963" s="35">
        <f>MAX(INDEX(Y$381:Y$392,$D1963)+(Y1936+Y1954)*(1+$E1963),0.01)</f>
        <v/>
      </c>
      <c r="Z1963" s="35">
        <f>MAX(INDEX(Z$381:Z$392,$D1963)+(Z1936+Z1954)*(1+$E1963),0.01)</f>
        <v/>
      </c>
      <c r="AA1963" s="35">
        <f>MAX(INDEX(AA$381:AA$392,$D1963)+(AA1936+AA1954)*(1+$E1963),0.01)</f>
        <v/>
      </c>
      <c r="AB1963" s="35">
        <f>MAX(INDEX(AB$381:AB$392,$D1963)+(AB1936+AB1954)*(1+$E1963),0.01)</f>
        <v/>
      </c>
      <c r="AC1963" s="35">
        <f>MAX(INDEX(AC$381:AC$392,$D1963)+(AC1936+AC1954)*(1+$E1963),0.01)</f>
        <v/>
      </c>
      <c r="AD1963" s="35">
        <f>MAX(INDEX(AD$381:AD$392,$D1963)+(AD1936+AD1954)*(1+$E1963),0.01)</f>
        <v/>
      </c>
      <c r="AE1963" s="42">
        <f>POSTTAX(INDEX(AE$381:AE$392,$D1963),AE1936+AE1954,$E1963)</f>
        <v/>
      </c>
      <c r="AG1963" s="11">
        <f>CodePrefix&amp;$A1963&amp;IF($C1963="","","."&amp;$C1963&amp;"."&amp;$B1963)&amp;INDEX(VarEnd,MATCH($A1963,VarKey,0))&amp;AG$5</f>
        <v/>
      </c>
      <c r="AH1963" s="40">
        <f>MAX(INDEX(AH$381:AH$392,$D1963)+(AH1936+AH1954)*(1+$E1963),0.01)</f>
        <v/>
      </c>
      <c r="AI1963" s="35">
        <f>MAX(INDEX(AI$381:AI$392,$D1963)+(AI1936+AI1954)*(1+$E1963),0.01)</f>
        <v/>
      </c>
      <c r="AJ1963" s="35">
        <f>MAX(INDEX(AJ$381:AJ$392,$D1963)+(AJ1936+AJ1954)*(1+$E1963),0.01)</f>
        <v/>
      </c>
      <c r="AK1963" s="35">
        <f>MAX(INDEX(AK$381:AK$392,$D1963)+(AK1936+AK1954)*(1+$E1963),0.01)</f>
        <v/>
      </c>
      <c r="AL1963" s="35">
        <f>MAX(INDEX(AL$381:AL$392,$D1963)+(AL1936+AL1954)*(1+$E1963),0.01)</f>
        <v/>
      </c>
      <c r="AM1963" s="35">
        <f>MAX(INDEX(AM$381:AM$392,$D1963)+(AM1936+AM1954)*(1+$E1963),0.01)</f>
        <v/>
      </c>
      <c r="AN1963" s="35">
        <f>MAX(INDEX(AN$381:AN$392,$D1963)+(AN1936+AN1954)*(1+$E1963),0.01)</f>
        <v/>
      </c>
      <c r="AO1963" s="35">
        <f>MAX(INDEX(AO$381:AO$392,$D1963)+(AO1936+AO1954)*(1+$E1963),0.01)</f>
        <v/>
      </c>
      <c r="AP1963" s="35">
        <f>MAX(INDEX(AP$381:AP$392,$D1963)+(AP1936+AP1954)*(1+$E1963),0.01)</f>
        <v/>
      </c>
      <c r="AQ1963" s="35">
        <f>MAX(INDEX(AQ$381:AQ$392,$D1963)+(AQ1936+AQ1954)*(1+$E1963),0.01)</f>
        <v/>
      </c>
      <c r="AR1963" s="35">
        <f>MAX(INDEX(AR$381:AR$392,$D1963)+(AR1936+AR1954)*(1+$E1963),0.01)</f>
        <v/>
      </c>
      <c r="AS1963" s="35">
        <f>MAX(INDEX(AS$381:AS$392,$D1963)+(AS1936+AS1954)*(1+$E1963),0.01)</f>
        <v/>
      </c>
      <c r="AT1963" s="35">
        <f>MAX(INDEX(AT$381:AT$392,$D1963)+(AT1936+AT1954)*(1+$E1963),0.01)</f>
        <v/>
      </c>
      <c r="AU1963" s="35">
        <f>MAX(INDEX(AU$381:AU$392,$D1963)+(AU1936+AU1954)*(1+$E1963),0.01)</f>
        <v/>
      </c>
      <c r="AV1963" s="35">
        <f>MAX(INDEX(AV$381:AV$392,$D1963)+(AV1936+AV1954)*(1+$E1963),0.01)</f>
        <v/>
      </c>
      <c r="AW1963" s="35">
        <f>MAX(INDEX(AW$381:AW$392,$D1963)+(AW1936+AW1954)*(1+$E1963),0.01)</f>
        <v/>
      </c>
      <c r="AX1963" s="35">
        <f>MAX(INDEX(AX$381:AX$392,$D1963)+(AX1936+AX1954)*(1+$E1963),0.01)</f>
        <v/>
      </c>
      <c r="AY1963" s="35">
        <f>MAX(INDEX(AY$381:AY$392,$D1963)+(AY1936+AY1954)*(1+$E1963),0.01)</f>
        <v/>
      </c>
      <c r="AZ1963" s="35">
        <f>MAX(INDEX(AZ$381:AZ$392,$D1963)+(AZ1936+AZ1954)*(1+$E1963),0.01)</f>
        <v/>
      </c>
      <c r="BA1963" s="42">
        <f>POSTTAX(INDEX(BA$381:BA$392,$D1963),BA1936+BA1954,$E1963)</f>
        <v/>
      </c>
    </row>
    <row r="1964" hidden="1" outlineLevel="2">
      <c r="A1964" s="14" t="inlineStr">
        <is>
          <t>atp</t>
        </is>
      </c>
      <c r="B1964" s="14" t="inlineStr">
        <is>
          <t>nga</t>
        </is>
      </c>
      <c r="C1964" s="14" t="inlineStr">
        <is>
          <t>mch</t>
        </is>
      </c>
      <c r="D1964" s="35">
        <f>INDEX(Inputs!$U$5:$U$132,MATCH($B1964&amp;"|"&amp;$C1964,Inputs!$A$5:$A$132,0))</f>
        <v/>
      </c>
      <c r="E1964" s="35">
        <f>INDEX(Inputs!$V$5:$V$132,MATCH($B1964&amp;"|"&amp;$C1964,Inputs!$A$5:$A$132,0))</f>
        <v/>
      </c>
      <c r="F1964" s="39" t="n"/>
      <c r="G1964" s="39" t="n"/>
      <c r="H1964" s="14">
        <f>INDEX(VarLab,MATCH($A1964,VarKey,0))&amp;INDEX(MemLab,MATCH($C1964&amp;"|"&amp;$B1964,MemKey,0))</f>
        <v/>
      </c>
      <c r="I1964" s="14">
        <f>INDEX(VarUnit,MATCH($A1964,VarKey,0))</f>
        <v/>
      </c>
      <c r="J1964" s="14">
        <f>INDEX(VarSrc,MATCH($A1964,VarKey,0))</f>
        <v/>
      </c>
      <c r="K1964" s="11">
        <f>CodePrefix&amp;$A1964&amp;IF($C1964="","","."&amp;$C1964&amp;"."&amp;$B1964)&amp;INDEX(VarEnd,MATCH($A1964,VarKey,0))&amp;K$5</f>
        <v/>
      </c>
      <c r="L1964" s="40">
        <f>MAX(INDEX(L$381:L$392,$D1964)+(L1937+L1955)*(1+$E1964),0.01)</f>
        <v/>
      </c>
      <c r="M1964" s="35">
        <f>MAX(INDEX(M$381:M$392,$D1964)+(M1937+M1955)*(1+$E1964),0.01)</f>
        <v/>
      </c>
      <c r="N1964" s="35">
        <f>MAX(INDEX(N$381:N$392,$D1964)+(N1937+N1955)*(1+$E1964),0.01)</f>
        <v/>
      </c>
      <c r="O1964" s="35">
        <f>MAX(INDEX(O$381:O$392,$D1964)+(O1937+O1955)*(1+$E1964),0.01)</f>
        <v/>
      </c>
      <c r="P1964" s="35">
        <f>MAX(INDEX(P$381:P$392,$D1964)+(P1937+P1955)*(1+$E1964),0.01)</f>
        <v/>
      </c>
      <c r="Q1964" s="35">
        <f>MAX(INDEX(Q$381:Q$392,$D1964)+(Q1937+Q1955)*(1+$E1964),0.01)</f>
        <v/>
      </c>
      <c r="R1964" s="35">
        <f>MAX(INDEX(R$381:R$392,$D1964)+(R1937+R1955)*(1+$E1964),0.01)</f>
        <v/>
      </c>
      <c r="S1964" s="35">
        <f>MAX(INDEX(S$381:S$392,$D1964)+(S1937+S1955)*(1+$E1964),0.01)</f>
        <v/>
      </c>
      <c r="T1964" s="35">
        <f>MAX(INDEX(T$381:T$392,$D1964)+(T1937+T1955)*(1+$E1964),0.01)</f>
        <v/>
      </c>
      <c r="U1964" s="35">
        <f>MAX(INDEX(U$381:U$392,$D1964)+(U1937+U1955)*(1+$E1964),0.01)</f>
        <v/>
      </c>
      <c r="V1964" s="35">
        <f>MAX(INDEX(V$381:V$392,$D1964)+(V1937+V1955)*(1+$E1964),0.01)</f>
        <v/>
      </c>
      <c r="W1964" s="35">
        <f>MAX(INDEX(W$381:W$392,$D1964)+(W1937+W1955)*(1+$E1964),0.01)</f>
        <v/>
      </c>
      <c r="X1964" s="35">
        <f>MAX(INDEX(X$381:X$392,$D1964)+(X1937+X1955)*(1+$E1964),0.01)</f>
        <v/>
      </c>
      <c r="Y1964" s="35">
        <f>MAX(INDEX(Y$381:Y$392,$D1964)+(Y1937+Y1955)*(1+$E1964),0.01)</f>
        <v/>
      </c>
      <c r="Z1964" s="35">
        <f>MAX(INDEX(Z$381:Z$392,$D1964)+(Z1937+Z1955)*(1+$E1964),0.01)</f>
        <v/>
      </c>
      <c r="AA1964" s="35">
        <f>MAX(INDEX(AA$381:AA$392,$D1964)+(AA1937+AA1955)*(1+$E1964),0.01)</f>
        <v/>
      </c>
      <c r="AB1964" s="35">
        <f>MAX(INDEX(AB$381:AB$392,$D1964)+(AB1937+AB1955)*(1+$E1964),0.01)</f>
        <v/>
      </c>
      <c r="AC1964" s="35">
        <f>MAX(INDEX(AC$381:AC$392,$D1964)+(AC1937+AC1955)*(1+$E1964),0.01)</f>
        <v/>
      </c>
      <c r="AD1964" s="35">
        <f>MAX(INDEX(AD$381:AD$392,$D1964)+(AD1937+AD1955)*(1+$E1964),0.01)</f>
        <v/>
      </c>
      <c r="AE1964" s="42">
        <f>POSTTAX(INDEX(AE$381:AE$392,$D1964),AE1937+AE1955,$E1964)</f>
        <v/>
      </c>
      <c r="AG1964" s="11">
        <f>CodePrefix&amp;$A1964&amp;IF($C1964="","","."&amp;$C1964&amp;"."&amp;$B1964)&amp;INDEX(VarEnd,MATCH($A1964,VarKey,0))&amp;AG$5</f>
        <v/>
      </c>
      <c r="AH1964" s="40">
        <f>MAX(INDEX(AH$381:AH$392,$D1964)+(AH1937+AH1955)*(1+$E1964),0.01)</f>
        <v/>
      </c>
      <c r="AI1964" s="35">
        <f>MAX(INDEX(AI$381:AI$392,$D1964)+(AI1937+AI1955)*(1+$E1964),0.01)</f>
        <v/>
      </c>
      <c r="AJ1964" s="35">
        <f>MAX(INDEX(AJ$381:AJ$392,$D1964)+(AJ1937+AJ1955)*(1+$E1964),0.01)</f>
        <v/>
      </c>
      <c r="AK1964" s="35">
        <f>MAX(INDEX(AK$381:AK$392,$D1964)+(AK1937+AK1955)*(1+$E1964),0.01)</f>
        <v/>
      </c>
      <c r="AL1964" s="35">
        <f>MAX(INDEX(AL$381:AL$392,$D1964)+(AL1937+AL1955)*(1+$E1964),0.01)</f>
        <v/>
      </c>
      <c r="AM1964" s="35">
        <f>MAX(INDEX(AM$381:AM$392,$D1964)+(AM1937+AM1955)*(1+$E1964),0.01)</f>
        <v/>
      </c>
      <c r="AN1964" s="35">
        <f>MAX(INDEX(AN$381:AN$392,$D1964)+(AN1937+AN1955)*(1+$E1964),0.01)</f>
        <v/>
      </c>
      <c r="AO1964" s="35">
        <f>MAX(INDEX(AO$381:AO$392,$D1964)+(AO1937+AO1955)*(1+$E1964),0.01)</f>
        <v/>
      </c>
      <c r="AP1964" s="35">
        <f>MAX(INDEX(AP$381:AP$392,$D1964)+(AP1937+AP1955)*(1+$E1964),0.01)</f>
        <v/>
      </c>
      <c r="AQ1964" s="35">
        <f>MAX(INDEX(AQ$381:AQ$392,$D1964)+(AQ1937+AQ1955)*(1+$E1964),0.01)</f>
        <v/>
      </c>
      <c r="AR1964" s="35">
        <f>MAX(INDEX(AR$381:AR$392,$D1964)+(AR1937+AR1955)*(1+$E1964),0.01)</f>
        <v/>
      </c>
      <c r="AS1964" s="35">
        <f>MAX(INDEX(AS$381:AS$392,$D1964)+(AS1937+AS1955)*(1+$E1964),0.01)</f>
        <v/>
      </c>
      <c r="AT1964" s="35">
        <f>MAX(INDEX(AT$381:AT$392,$D1964)+(AT1937+AT1955)*(1+$E1964),0.01)</f>
        <v/>
      </c>
      <c r="AU1964" s="35">
        <f>MAX(INDEX(AU$381:AU$392,$D1964)+(AU1937+AU1955)*(1+$E1964),0.01)</f>
        <v/>
      </c>
      <c r="AV1964" s="35">
        <f>MAX(INDEX(AV$381:AV$392,$D1964)+(AV1937+AV1955)*(1+$E1964),0.01)</f>
        <v/>
      </c>
      <c r="AW1964" s="35">
        <f>MAX(INDEX(AW$381:AW$392,$D1964)+(AW1937+AW1955)*(1+$E1964),0.01)</f>
        <v/>
      </c>
      <c r="AX1964" s="35">
        <f>MAX(INDEX(AX$381:AX$392,$D1964)+(AX1937+AX1955)*(1+$E1964),0.01)</f>
        <v/>
      </c>
      <c r="AY1964" s="35">
        <f>MAX(INDEX(AY$381:AY$392,$D1964)+(AY1937+AY1955)*(1+$E1964),0.01)</f>
        <v/>
      </c>
      <c r="AZ1964" s="35">
        <f>MAX(INDEX(AZ$381:AZ$392,$D1964)+(AZ1937+AZ1955)*(1+$E1964),0.01)</f>
        <v/>
      </c>
      <c r="BA1964" s="42">
        <f>POSTTAX(INDEX(BA$381:BA$392,$D1964),BA1937+BA1955,$E1964)</f>
        <v/>
      </c>
    </row>
    <row r="1965" hidden="1" outlineLevel="2">
      <c r="A1965" s="14" t="inlineStr">
        <is>
          <t>atp</t>
        </is>
      </c>
      <c r="B1965" s="14" t="inlineStr">
        <is>
          <t>gso</t>
        </is>
      </c>
      <c r="C1965" s="14" t="inlineStr">
        <is>
          <t>mch</t>
        </is>
      </c>
      <c r="D1965" s="35">
        <f>INDEX(Inputs!$U$5:$U$132,MATCH($B1965&amp;"|"&amp;$C1965,Inputs!$A$5:$A$132,0))</f>
        <v/>
      </c>
      <c r="E1965" s="35">
        <f>INDEX(Inputs!$V$5:$V$132,MATCH($B1965&amp;"|"&amp;$C1965,Inputs!$A$5:$A$132,0))</f>
        <v/>
      </c>
      <c r="F1965" s="39" t="n"/>
      <c r="G1965" s="39" t="n"/>
      <c r="H1965" s="14">
        <f>INDEX(VarLab,MATCH($A1965,VarKey,0))&amp;INDEX(MemLab,MATCH($C1965&amp;"|"&amp;$B1965,MemKey,0))</f>
        <v/>
      </c>
      <c r="I1965" s="14">
        <f>INDEX(VarUnit,MATCH($A1965,VarKey,0))</f>
        <v/>
      </c>
      <c r="J1965" s="14">
        <f>INDEX(VarSrc,MATCH($A1965,VarKey,0))</f>
        <v/>
      </c>
      <c r="K1965" s="11">
        <f>CodePrefix&amp;$A1965&amp;IF($C1965="","","."&amp;$C1965&amp;"."&amp;$B1965)&amp;INDEX(VarEnd,MATCH($A1965,VarKey,0))&amp;K$5</f>
        <v/>
      </c>
      <c r="L1965" s="40">
        <f>MAX(INDEX(L$381:L$392,$D1965)+(L1938+L1956)*(1+$E1965),0.01)</f>
        <v/>
      </c>
      <c r="M1965" s="35">
        <f>MAX(INDEX(M$381:M$392,$D1965)+(M1938+M1956)*(1+$E1965),0.01)</f>
        <v/>
      </c>
      <c r="N1965" s="35">
        <f>MAX(INDEX(N$381:N$392,$D1965)+(N1938+N1956)*(1+$E1965),0.01)</f>
        <v/>
      </c>
      <c r="O1965" s="35">
        <f>MAX(INDEX(O$381:O$392,$D1965)+(O1938+O1956)*(1+$E1965),0.01)</f>
        <v/>
      </c>
      <c r="P1965" s="35">
        <f>MAX(INDEX(P$381:P$392,$D1965)+(P1938+P1956)*(1+$E1965),0.01)</f>
        <v/>
      </c>
      <c r="Q1965" s="35">
        <f>MAX(INDEX(Q$381:Q$392,$D1965)+(Q1938+Q1956)*(1+$E1965),0.01)</f>
        <v/>
      </c>
      <c r="R1965" s="35">
        <f>MAX(INDEX(R$381:R$392,$D1965)+(R1938+R1956)*(1+$E1965),0.01)</f>
        <v/>
      </c>
      <c r="S1965" s="35">
        <f>MAX(INDEX(S$381:S$392,$D1965)+(S1938+S1956)*(1+$E1965),0.01)</f>
        <v/>
      </c>
      <c r="T1965" s="35">
        <f>MAX(INDEX(T$381:T$392,$D1965)+(T1938+T1956)*(1+$E1965),0.01)</f>
        <v/>
      </c>
      <c r="U1965" s="35">
        <f>MAX(INDEX(U$381:U$392,$D1965)+(U1938+U1956)*(1+$E1965),0.01)</f>
        <v/>
      </c>
      <c r="V1965" s="35">
        <f>MAX(INDEX(V$381:V$392,$D1965)+(V1938+V1956)*(1+$E1965),0.01)</f>
        <v/>
      </c>
      <c r="W1965" s="35">
        <f>MAX(INDEX(W$381:W$392,$D1965)+(W1938+W1956)*(1+$E1965),0.01)</f>
        <v/>
      </c>
      <c r="X1965" s="35">
        <f>MAX(INDEX(X$381:X$392,$D1965)+(X1938+X1956)*(1+$E1965),0.01)</f>
        <v/>
      </c>
      <c r="Y1965" s="35">
        <f>MAX(INDEX(Y$381:Y$392,$D1965)+(Y1938+Y1956)*(1+$E1965),0.01)</f>
        <v/>
      </c>
      <c r="Z1965" s="35">
        <f>MAX(INDEX(Z$381:Z$392,$D1965)+(Z1938+Z1956)*(1+$E1965),0.01)</f>
        <v/>
      </c>
      <c r="AA1965" s="35">
        <f>MAX(INDEX(AA$381:AA$392,$D1965)+(AA1938+AA1956)*(1+$E1965),0.01)</f>
        <v/>
      </c>
      <c r="AB1965" s="35">
        <f>MAX(INDEX(AB$381:AB$392,$D1965)+(AB1938+AB1956)*(1+$E1965),0.01)</f>
        <v/>
      </c>
      <c r="AC1965" s="35">
        <f>MAX(INDEX(AC$381:AC$392,$D1965)+(AC1938+AC1956)*(1+$E1965),0.01)</f>
        <v/>
      </c>
      <c r="AD1965" s="35">
        <f>MAX(INDEX(AD$381:AD$392,$D1965)+(AD1938+AD1956)*(1+$E1965),0.01)</f>
        <v/>
      </c>
      <c r="AE1965" s="42">
        <f>POSTTAX(INDEX(AE$381:AE$392,$D1965),AE1938+AE1956,$E1965)</f>
        <v/>
      </c>
      <c r="AG1965" s="11">
        <f>CodePrefix&amp;$A1965&amp;IF($C1965="","","."&amp;$C1965&amp;"."&amp;$B1965)&amp;INDEX(VarEnd,MATCH($A1965,VarKey,0))&amp;AG$5</f>
        <v/>
      </c>
      <c r="AH1965" s="40">
        <f>MAX(INDEX(AH$381:AH$392,$D1965)+(AH1938+AH1956)*(1+$E1965),0.01)</f>
        <v/>
      </c>
      <c r="AI1965" s="35">
        <f>MAX(INDEX(AI$381:AI$392,$D1965)+(AI1938+AI1956)*(1+$E1965),0.01)</f>
        <v/>
      </c>
      <c r="AJ1965" s="35">
        <f>MAX(INDEX(AJ$381:AJ$392,$D1965)+(AJ1938+AJ1956)*(1+$E1965),0.01)</f>
        <v/>
      </c>
      <c r="AK1965" s="35">
        <f>MAX(INDEX(AK$381:AK$392,$D1965)+(AK1938+AK1956)*(1+$E1965),0.01)</f>
        <v/>
      </c>
      <c r="AL1965" s="35">
        <f>MAX(INDEX(AL$381:AL$392,$D1965)+(AL1938+AL1956)*(1+$E1965),0.01)</f>
        <v/>
      </c>
      <c r="AM1965" s="35">
        <f>MAX(INDEX(AM$381:AM$392,$D1965)+(AM1938+AM1956)*(1+$E1965),0.01)</f>
        <v/>
      </c>
      <c r="AN1965" s="35">
        <f>MAX(INDEX(AN$381:AN$392,$D1965)+(AN1938+AN1956)*(1+$E1965),0.01)</f>
        <v/>
      </c>
      <c r="AO1965" s="35">
        <f>MAX(INDEX(AO$381:AO$392,$D1965)+(AO1938+AO1956)*(1+$E1965),0.01)</f>
        <v/>
      </c>
      <c r="AP1965" s="35">
        <f>MAX(INDEX(AP$381:AP$392,$D1965)+(AP1938+AP1956)*(1+$E1965),0.01)</f>
        <v/>
      </c>
      <c r="AQ1965" s="35">
        <f>MAX(INDEX(AQ$381:AQ$392,$D1965)+(AQ1938+AQ1956)*(1+$E1965),0.01)</f>
        <v/>
      </c>
      <c r="AR1965" s="35">
        <f>MAX(INDEX(AR$381:AR$392,$D1965)+(AR1938+AR1956)*(1+$E1965),0.01)</f>
        <v/>
      </c>
      <c r="AS1965" s="35">
        <f>MAX(INDEX(AS$381:AS$392,$D1965)+(AS1938+AS1956)*(1+$E1965),0.01)</f>
        <v/>
      </c>
      <c r="AT1965" s="35">
        <f>MAX(INDEX(AT$381:AT$392,$D1965)+(AT1938+AT1956)*(1+$E1965),0.01)</f>
        <v/>
      </c>
      <c r="AU1965" s="35">
        <f>MAX(INDEX(AU$381:AU$392,$D1965)+(AU1938+AU1956)*(1+$E1965),0.01)</f>
        <v/>
      </c>
      <c r="AV1965" s="35">
        <f>MAX(INDEX(AV$381:AV$392,$D1965)+(AV1938+AV1956)*(1+$E1965),0.01)</f>
        <v/>
      </c>
      <c r="AW1965" s="35">
        <f>MAX(INDEX(AW$381:AW$392,$D1965)+(AW1938+AW1956)*(1+$E1965),0.01)</f>
        <v/>
      </c>
      <c r="AX1965" s="35">
        <f>MAX(INDEX(AX$381:AX$392,$D1965)+(AX1938+AX1956)*(1+$E1965),0.01)</f>
        <v/>
      </c>
      <c r="AY1965" s="35">
        <f>MAX(INDEX(AY$381:AY$392,$D1965)+(AY1938+AY1956)*(1+$E1965),0.01)</f>
        <v/>
      </c>
      <c r="AZ1965" s="35">
        <f>MAX(INDEX(AZ$381:AZ$392,$D1965)+(AZ1938+AZ1956)*(1+$E1965),0.01)</f>
        <v/>
      </c>
      <c r="BA1965" s="42">
        <f>POSTTAX(INDEX(BA$381:BA$392,$D1965),BA1938+BA1956,$E1965)</f>
        <v/>
      </c>
    </row>
    <row r="1966" hidden="1" outlineLevel="2">
      <c r="A1966" s="14" t="inlineStr">
        <is>
          <t>atp</t>
        </is>
      </c>
      <c r="B1966" s="14" t="inlineStr">
        <is>
          <t>die</t>
        </is>
      </c>
      <c r="C1966" s="14" t="inlineStr">
        <is>
          <t>mch</t>
        </is>
      </c>
      <c r="D1966" s="35">
        <f>INDEX(Inputs!$U$5:$U$132,MATCH($B1966&amp;"|"&amp;$C1966,Inputs!$A$5:$A$132,0))</f>
        <v/>
      </c>
      <c r="E1966" s="35">
        <f>INDEX(Inputs!$V$5:$V$132,MATCH($B1966&amp;"|"&amp;$C1966,Inputs!$A$5:$A$132,0))</f>
        <v/>
      </c>
      <c r="F1966" s="39" t="n"/>
      <c r="G1966" s="39" t="n"/>
      <c r="H1966" s="14">
        <f>INDEX(VarLab,MATCH($A1966,VarKey,0))&amp;INDEX(MemLab,MATCH($C1966&amp;"|"&amp;$B1966,MemKey,0))</f>
        <v/>
      </c>
      <c r="I1966" s="14">
        <f>INDEX(VarUnit,MATCH($A1966,VarKey,0))</f>
        <v/>
      </c>
      <c r="J1966" s="14">
        <f>INDEX(VarSrc,MATCH($A1966,VarKey,0))</f>
        <v/>
      </c>
      <c r="K1966" s="11">
        <f>CodePrefix&amp;$A1966&amp;IF($C1966="","","."&amp;$C1966&amp;"."&amp;$B1966)&amp;INDEX(VarEnd,MATCH($A1966,VarKey,0))&amp;K$5</f>
        <v/>
      </c>
      <c r="L1966" s="40">
        <f>MAX(INDEX(L$381:L$392,$D1966)+(L1939+L1957)*(1+$E1966),0.01)</f>
        <v/>
      </c>
      <c r="M1966" s="35">
        <f>MAX(INDEX(M$381:M$392,$D1966)+(M1939+M1957)*(1+$E1966),0.01)</f>
        <v/>
      </c>
      <c r="N1966" s="35">
        <f>MAX(INDEX(N$381:N$392,$D1966)+(N1939+N1957)*(1+$E1966),0.01)</f>
        <v/>
      </c>
      <c r="O1966" s="35">
        <f>MAX(INDEX(O$381:O$392,$D1966)+(O1939+O1957)*(1+$E1966),0.01)</f>
        <v/>
      </c>
      <c r="P1966" s="35">
        <f>MAX(INDEX(P$381:P$392,$D1966)+(P1939+P1957)*(1+$E1966),0.01)</f>
        <v/>
      </c>
      <c r="Q1966" s="35">
        <f>MAX(INDEX(Q$381:Q$392,$D1966)+(Q1939+Q1957)*(1+$E1966),0.01)</f>
        <v/>
      </c>
      <c r="R1966" s="35">
        <f>MAX(INDEX(R$381:R$392,$D1966)+(R1939+R1957)*(1+$E1966),0.01)</f>
        <v/>
      </c>
      <c r="S1966" s="35">
        <f>MAX(INDEX(S$381:S$392,$D1966)+(S1939+S1957)*(1+$E1966),0.01)</f>
        <v/>
      </c>
      <c r="T1966" s="35">
        <f>MAX(INDEX(T$381:T$392,$D1966)+(T1939+T1957)*(1+$E1966),0.01)</f>
        <v/>
      </c>
      <c r="U1966" s="35">
        <f>MAX(INDEX(U$381:U$392,$D1966)+(U1939+U1957)*(1+$E1966),0.01)</f>
        <v/>
      </c>
      <c r="V1966" s="35">
        <f>MAX(INDEX(V$381:V$392,$D1966)+(V1939+V1957)*(1+$E1966),0.01)</f>
        <v/>
      </c>
      <c r="W1966" s="35">
        <f>MAX(INDEX(W$381:W$392,$D1966)+(W1939+W1957)*(1+$E1966),0.01)</f>
        <v/>
      </c>
      <c r="X1966" s="35">
        <f>MAX(INDEX(X$381:X$392,$D1966)+(X1939+X1957)*(1+$E1966),0.01)</f>
        <v/>
      </c>
      <c r="Y1966" s="35">
        <f>MAX(INDEX(Y$381:Y$392,$D1966)+(Y1939+Y1957)*(1+$E1966),0.01)</f>
        <v/>
      </c>
      <c r="Z1966" s="35">
        <f>MAX(INDEX(Z$381:Z$392,$D1966)+(Z1939+Z1957)*(1+$E1966),0.01)</f>
        <v/>
      </c>
      <c r="AA1966" s="35">
        <f>MAX(INDEX(AA$381:AA$392,$D1966)+(AA1939+AA1957)*(1+$E1966),0.01)</f>
        <v/>
      </c>
      <c r="AB1966" s="35">
        <f>MAX(INDEX(AB$381:AB$392,$D1966)+(AB1939+AB1957)*(1+$E1966),0.01)</f>
        <v/>
      </c>
      <c r="AC1966" s="35">
        <f>MAX(INDEX(AC$381:AC$392,$D1966)+(AC1939+AC1957)*(1+$E1966),0.01)</f>
        <v/>
      </c>
      <c r="AD1966" s="35">
        <f>MAX(INDEX(AD$381:AD$392,$D1966)+(AD1939+AD1957)*(1+$E1966),0.01)</f>
        <v/>
      </c>
      <c r="AE1966" s="42">
        <f>POSTTAX(INDEX(AE$381:AE$392,$D1966),AE1939+AE1957,$E1966)</f>
        <v/>
      </c>
      <c r="AG1966" s="11">
        <f>CodePrefix&amp;$A1966&amp;IF($C1966="","","."&amp;$C1966&amp;"."&amp;$B1966)&amp;INDEX(VarEnd,MATCH($A1966,VarKey,0))&amp;AG$5</f>
        <v/>
      </c>
      <c r="AH1966" s="40">
        <f>MAX(INDEX(AH$381:AH$392,$D1966)+(AH1939+AH1957)*(1+$E1966),0.01)</f>
        <v/>
      </c>
      <c r="AI1966" s="35">
        <f>MAX(INDEX(AI$381:AI$392,$D1966)+(AI1939+AI1957)*(1+$E1966),0.01)</f>
        <v/>
      </c>
      <c r="AJ1966" s="35">
        <f>MAX(INDEX(AJ$381:AJ$392,$D1966)+(AJ1939+AJ1957)*(1+$E1966),0.01)</f>
        <v/>
      </c>
      <c r="AK1966" s="35">
        <f>MAX(INDEX(AK$381:AK$392,$D1966)+(AK1939+AK1957)*(1+$E1966),0.01)</f>
        <v/>
      </c>
      <c r="AL1966" s="35">
        <f>MAX(INDEX(AL$381:AL$392,$D1966)+(AL1939+AL1957)*(1+$E1966),0.01)</f>
        <v/>
      </c>
      <c r="AM1966" s="35">
        <f>MAX(INDEX(AM$381:AM$392,$D1966)+(AM1939+AM1957)*(1+$E1966),0.01)</f>
        <v/>
      </c>
      <c r="AN1966" s="35">
        <f>MAX(INDEX(AN$381:AN$392,$D1966)+(AN1939+AN1957)*(1+$E1966),0.01)</f>
        <v/>
      </c>
      <c r="AO1966" s="35">
        <f>MAX(INDEX(AO$381:AO$392,$D1966)+(AO1939+AO1957)*(1+$E1966),0.01)</f>
        <v/>
      </c>
      <c r="AP1966" s="35">
        <f>MAX(INDEX(AP$381:AP$392,$D1966)+(AP1939+AP1957)*(1+$E1966),0.01)</f>
        <v/>
      </c>
      <c r="AQ1966" s="35">
        <f>MAX(INDEX(AQ$381:AQ$392,$D1966)+(AQ1939+AQ1957)*(1+$E1966),0.01)</f>
        <v/>
      </c>
      <c r="AR1966" s="35">
        <f>MAX(INDEX(AR$381:AR$392,$D1966)+(AR1939+AR1957)*(1+$E1966),0.01)</f>
        <v/>
      </c>
      <c r="AS1966" s="35">
        <f>MAX(INDEX(AS$381:AS$392,$D1966)+(AS1939+AS1957)*(1+$E1966),0.01)</f>
        <v/>
      </c>
      <c r="AT1966" s="35">
        <f>MAX(INDEX(AT$381:AT$392,$D1966)+(AT1939+AT1957)*(1+$E1966),0.01)</f>
        <v/>
      </c>
      <c r="AU1966" s="35">
        <f>MAX(INDEX(AU$381:AU$392,$D1966)+(AU1939+AU1957)*(1+$E1966),0.01)</f>
        <v/>
      </c>
      <c r="AV1966" s="35">
        <f>MAX(INDEX(AV$381:AV$392,$D1966)+(AV1939+AV1957)*(1+$E1966),0.01)</f>
        <v/>
      </c>
      <c r="AW1966" s="35">
        <f>MAX(INDEX(AW$381:AW$392,$D1966)+(AW1939+AW1957)*(1+$E1966),0.01)</f>
        <v/>
      </c>
      <c r="AX1966" s="35">
        <f>MAX(INDEX(AX$381:AX$392,$D1966)+(AX1939+AX1957)*(1+$E1966),0.01)</f>
        <v/>
      </c>
      <c r="AY1966" s="35">
        <f>MAX(INDEX(AY$381:AY$392,$D1966)+(AY1939+AY1957)*(1+$E1966),0.01)</f>
        <v/>
      </c>
      <c r="AZ1966" s="35">
        <f>MAX(INDEX(AZ$381:AZ$392,$D1966)+(AZ1939+AZ1957)*(1+$E1966),0.01)</f>
        <v/>
      </c>
      <c r="BA1966" s="42">
        <f>POSTTAX(INDEX(BA$381:BA$392,$D1966),BA1939+BA1957,$E1966)</f>
        <v/>
      </c>
    </row>
    <row r="1967" hidden="1" outlineLevel="2">
      <c r="A1967" s="14" t="inlineStr">
        <is>
          <t>atp</t>
        </is>
      </c>
      <c r="B1967" s="14" t="inlineStr">
        <is>
          <t>lpg</t>
        </is>
      </c>
      <c r="C1967" s="14" t="inlineStr">
        <is>
          <t>mch</t>
        </is>
      </c>
      <c r="D1967" s="35">
        <f>INDEX(Inputs!$U$5:$U$132,MATCH($B1967&amp;"|"&amp;$C1967,Inputs!$A$5:$A$132,0))</f>
        <v/>
      </c>
      <c r="E1967" s="35">
        <f>INDEX(Inputs!$V$5:$V$132,MATCH($B1967&amp;"|"&amp;$C1967,Inputs!$A$5:$A$132,0))</f>
        <v/>
      </c>
      <c r="F1967" s="39" t="n"/>
      <c r="G1967" s="39" t="n"/>
      <c r="H1967" s="14">
        <f>INDEX(VarLab,MATCH($A1967,VarKey,0))&amp;INDEX(MemLab,MATCH($C1967&amp;"|"&amp;$B1967,MemKey,0))</f>
        <v/>
      </c>
      <c r="I1967" s="14">
        <f>INDEX(VarUnit,MATCH($A1967,VarKey,0))</f>
        <v/>
      </c>
      <c r="J1967" s="14">
        <f>INDEX(VarSrc,MATCH($A1967,VarKey,0))</f>
        <v/>
      </c>
      <c r="K1967" s="11">
        <f>CodePrefix&amp;$A1967&amp;IF($C1967="","","."&amp;$C1967&amp;"."&amp;$B1967)&amp;INDEX(VarEnd,MATCH($A1967,VarKey,0))&amp;K$5</f>
        <v/>
      </c>
      <c r="L1967" s="40">
        <f>MAX(INDEX(L$381:L$392,$D1967)+(L1940+L1958)*(1+$E1967),0.01)</f>
        <v/>
      </c>
      <c r="M1967" s="35">
        <f>MAX(INDEX(M$381:M$392,$D1967)+(M1940+M1958)*(1+$E1967),0.01)</f>
        <v/>
      </c>
      <c r="N1967" s="35">
        <f>MAX(INDEX(N$381:N$392,$D1967)+(N1940+N1958)*(1+$E1967),0.01)</f>
        <v/>
      </c>
      <c r="O1967" s="35">
        <f>MAX(INDEX(O$381:O$392,$D1967)+(O1940+O1958)*(1+$E1967),0.01)</f>
        <v/>
      </c>
      <c r="P1967" s="35">
        <f>MAX(INDEX(P$381:P$392,$D1967)+(P1940+P1958)*(1+$E1967),0.01)</f>
        <v/>
      </c>
      <c r="Q1967" s="35">
        <f>MAX(INDEX(Q$381:Q$392,$D1967)+(Q1940+Q1958)*(1+$E1967),0.01)</f>
        <v/>
      </c>
      <c r="R1967" s="35">
        <f>MAX(INDEX(R$381:R$392,$D1967)+(R1940+R1958)*(1+$E1967),0.01)</f>
        <v/>
      </c>
      <c r="S1967" s="35">
        <f>MAX(INDEX(S$381:S$392,$D1967)+(S1940+S1958)*(1+$E1967),0.01)</f>
        <v/>
      </c>
      <c r="T1967" s="35">
        <f>MAX(INDEX(T$381:T$392,$D1967)+(T1940+T1958)*(1+$E1967),0.01)</f>
        <v/>
      </c>
      <c r="U1967" s="35">
        <f>MAX(INDEX(U$381:U$392,$D1967)+(U1940+U1958)*(1+$E1967),0.01)</f>
        <v/>
      </c>
      <c r="V1967" s="35">
        <f>MAX(INDEX(V$381:V$392,$D1967)+(V1940+V1958)*(1+$E1967),0.01)</f>
        <v/>
      </c>
      <c r="W1967" s="35">
        <f>MAX(INDEX(W$381:W$392,$D1967)+(W1940+W1958)*(1+$E1967),0.01)</f>
        <v/>
      </c>
      <c r="X1967" s="35">
        <f>MAX(INDEX(X$381:X$392,$D1967)+(X1940+X1958)*(1+$E1967),0.01)</f>
        <v/>
      </c>
      <c r="Y1967" s="35">
        <f>MAX(INDEX(Y$381:Y$392,$D1967)+(Y1940+Y1958)*(1+$E1967),0.01)</f>
        <v/>
      </c>
      <c r="Z1967" s="35">
        <f>MAX(INDEX(Z$381:Z$392,$D1967)+(Z1940+Z1958)*(1+$E1967),0.01)</f>
        <v/>
      </c>
      <c r="AA1967" s="35">
        <f>MAX(INDEX(AA$381:AA$392,$D1967)+(AA1940+AA1958)*(1+$E1967),0.01)</f>
        <v/>
      </c>
      <c r="AB1967" s="35">
        <f>MAX(INDEX(AB$381:AB$392,$D1967)+(AB1940+AB1958)*(1+$E1967),0.01)</f>
        <v/>
      </c>
      <c r="AC1967" s="35">
        <f>MAX(INDEX(AC$381:AC$392,$D1967)+(AC1940+AC1958)*(1+$E1967),0.01)</f>
        <v/>
      </c>
      <c r="AD1967" s="35">
        <f>MAX(INDEX(AD$381:AD$392,$D1967)+(AD1940+AD1958)*(1+$E1967),0.01)</f>
        <v/>
      </c>
      <c r="AE1967" s="42">
        <f>POSTTAX(INDEX(AE$381:AE$392,$D1967),AE1940+AE1958,$E1967)</f>
        <v/>
      </c>
      <c r="AG1967" s="11">
        <f>CodePrefix&amp;$A1967&amp;IF($C1967="","","."&amp;$C1967&amp;"."&amp;$B1967)&amp;INDEX(VarEnd,MATCH($A1967,VarKey,0))&amp;AG$5</f>
        <v/>
      </c>
      <c r="AH1967" s="40">
        <f>MAX(INDEX(AH$381:AH$392,$D1967)+(AH1940+AH1958)*(1+$E1967),0.01)</f>
        <v/>
      </c>
      <c r="AI1967" s="35">
        <f>MAX(INDEX(AI$381:AI$392,$D1967)+(AI1940+AI1958)*(1+$E1967),0.01)</f>
        <v/>
      </c>
      <c r="AJ1967" s="35">
        <f>MAX(INDEX(AJ$381:AJ$392,$D1967)+(AJ1940+AJ1958)*(1+$E1967),0.01)</f>
        <v/>
      </c>
      <c r="AK1967" s="35">
        <f>MAX(INDEX(AK$381:AK$392,$D1967)+(AK1940+AK1958)*(1+$E1967),0.01)</f>
        <v/>
      </c>
      <c r="AL1967" s="35">
        <f>MAX(INDEX(AL$381:AL$392,$D1967)+(AL1940+AL1958)*(1+$E1967),0.01)</f>
        <v/>
      </c>
      <c r="AM1967" s="35">
        <f>MAX(INDEX(AM$381:AM$392,$D1967)+(AM1940+AM1958)*(1+$E1967),0.01)</f>
        <v/>
      </c>
      <c r="AN1967" s="35">
        <f>MAX(INDEX(AN$381:AN$392,$D1967)+(AN1940+AN1958)*(1+$E1967),0.01)</f>
        <v/>
      </c>
      <c r="AO1967" s="35">
        <f>MAX(INDEX(AO$381:AO$392,$D1967)+(AO1940+AO1958)*(1+$E1967),0.01)</f>
        <v/>
      </c>
      <c r="AP1967" s="35">
        <f>MAX(INDEX(AP$381:AP$392,$D1967)+(AP1940+AP1958)*(1+$E1967),0.01)</f>
        <v/>
      </c>
      <c r="AQ1967" s="35">
        <f>MAX(INDEX(AQ$381:AQ$392,$D1967)+(AQ1940+AQ1958)*(1+$E1967),0.01)</f>
        <v/>
      </c>
      <c r="AR1967" s="35">
        <f>MAX(INDEX(AR$381:AR$392,$D1967)+(AR1940+AR1958)*(1+$E1967),0.01)</f>
        <v/>
      </c>
      <c r="AS1967" s="35">
        <f>MAX(INDEX(AS$381:AS$392,$D1967)+(AS1940+AS1958)*(1+$E1967),0.01)</f>
        <v/>
      </c>
      <c r="AT1967" s="35">
        <f>MAX(INDEX(AT$381:AT$392,$D1967)+(AT1940+AT1958)*(1+$E1967),0.01)</f>
        <v/>
      </c>
      <c r="AU1967" s="35">
        <f>MAX(INDEX(AU$381:AU$392,$D1967)+(AU1940+AU1958)*(1+$E1967),0.01)</f>
        <v/>
      </c>
      <c r="AV1967" s="35">
        <f>MAX(INDEX(AV$381:AV$392,$D1967)+(AV1940+AV1958)*(1+$E1967),0.01)</f>
        <v/>
      </c>
      <c r="AW1967" s="35">
        <f>MAX(INDEX(AW$381:AW$392,$D1967)+(AW1940+AW1958)*(1+$E1967),0.01)</f>
        <v/>
      </c>
      <c r="AX1967" s="35">
        <f>MAX(INDEX(AX$381:AX$392,$D1967)+(AX1940+AX1958)*(1+$E1967),0.01)</f>
        <v/>
      </c>
      <c r="AY1967" s="35">
        <f>MAX(INDEX(AY$381:AY$392,$D1967)+(AY1940+AY1958)*(1+$E1967),0.01)</f>
        <v/>
      </c>
      <c r="AZ1967" s="35">
        <f>MAX(INDEX(AZ$381:AZ$392,$D1967)+(AZ1940+AZ1958)*(1+$E1967),0.01)</f>
        <v/>
      </c>
      <c r="BA1967" s="42">
        <f>POSTTAX(INDEX(BA$381:BA$392,$D1967),BA1940+BA1958,$E1967)</f>
        <v/>
      </c>
    </row>
    <row r="1968" hidden="1" outlineLevel="2">
      <c r="A1968" s="14" t="inlineStr">
        <is>
          <t>atp</t>
        </is>
      </c>
      <c r="B1968" s="14" t="inlineStr">
        <is>
          <t>ker</t>
        </is>
      </c>
      <c r="C1968" s="14" t="inlineStr">
        <is>
          <t>mch</t>
        </is>
      </c>
      <c r="D1968" s="35">
        <f>INDEX(Inputs!$U$5:$U$132,MATCH($B1968&amp;"|"&amp;$C1968,Inputs!$A$5:$A$132,0))</f>
        <v/>
      </c>
      <c r="E1968" s="35">
        <f>INDEX(Inputs!$V$5:$V$132,MATCH($B1968&amp;"|"&amp;$C1968,Inputs!$A$5:$A$132,0))</f>
        <v/>
      </c>
      <c r="F1968" s="39" t="n"/>
      <c r="G1968" s="39" t="n"/>
      <c r="H1968" s="14">
        <f>INDEX(VarLab,MATCH($A1968,VarKey,0))&amp;INDEX(MemLab,MATCH($C1968&amp;"|"&amp;$B1968,MemKey,0))</f>
        <v/>
      </c>
      <c r="I1968" s="14">
        <f>INDEX(VarUnit,MATCH($A1968,VarKey,0))</f>
        <v/>
      </c>
      <c r="J1968" s="14">
        <f>INDEX(VarSrc,MATCH($A1968,VarKey,0))</f>
        <v/>
      </c>
      <c r="K1968" s="11">
        <f>CodePrefix&amp;$A1968&amp;IF($C1968="","","."&amp;$C1968&amp;"."&amp;$B1968)&amp;INDEX(VarEnd,MATCH($A1968,VarKey,0))&amp;K$5</f>
        <v/>
      </c>
      <c r="L1968" s="40">
        <f>MAX(INDEX(L$381:L$392,$D1968)+(L1941+L1959)*(1+$E1968),0.01)</f>
        <v/>
      </c>
      <c r="M1968" s="35">
        <f>MAX(INDEX(M$381:M$392,$D1968)+(M1941+M1959)*(1+$E1968),0.01)</f>
        <v/>
      </c>
      <c r="N1968" s="35">
        <f>MAX(INDEX(N$381:N$392,$D1968)+(N1941+N1959)*(1+$E1968),0.01)</f>
        <v/>
      </c>
      <c r="O1968" s="35">
        <f>MAX(INDEX(O$381:O$392,$D1968)+(O1941+O1959)*(1+$E1968),0.01)</f>
        <v/>
      </c>
      <c r="P1968" s="35">
        <f>MAX(INDEX(P$381:P$392,$D1968)+(P1941+P1959)*(1+$E1968),0.01)</f>
        <v/>
      </c>
      <c r="Q1968" s="35">
        <f>MAX(INDEX(Q$381:Q$392,$D1968)+(Q1941+Q1959)*(1+$E1968),0.01)</f>
        <v/>
      </c>
      <c r="R1968" s="35">
        <f>MAX(INDEX(R$381:R$392,$D1968)+(R1941+R1959)*(1+$E1968),0.01)</f>
        <v/>
      </c>
      <c r="S1968" s="35">
        <f>MAX(INDEX(S$381:S$392,$D1968)+(S1941+S1959)*(1+$E1968),0.01)</f>
        <v/>
      </c>
      <c r="T1968" s="35">
        <f>MAX(INDEX(T$381:T$392,$D1968)+(T1941+T1959)*(1+$E1968),0.01)</f>
        <v/>
      </c>
      <c r="U1968" s="35">
        <f>MAX(INDEX(U$381:U$392,$D1968)+(U1941+U1959)*(1+$E1968),0.01)</f>
        <v/>
      </c>
      <c r="V1968" s="35">
        <f>MAX(INDEX(V$381:V$392,$D1968)+(V1941+V1959)*(1+$E1968),0.01)</f>
        <v/>
      </c>
      <c r="W1968" s="35">
        <f>MAX(INDEX(W$381:W$392,$D1968)+(W1941+W1959)*(1+$E1968),0.01)</f>
        <v/>
      </c>
      <c r="X1968" s="35">
        <f>MAX(INDEX(X$381:X$392,$D1968)+(X1941+X1959)*(1+$E1968),0.01)</f>
        <v/>
      </c>
      <c r="Y1968" s="35">
        <f>MAX(INDEX(Y$381:Y$392,$D1968)+(Y1941+Y1959)*(1+$E1968),0.01)</f>
        <v/>
      </c>
      <c r="Z1968" s="35">
        <f>MAX(INDEX(Z$381:Z$392,$D1968)+(Z1941+Z1959)*(1+$E1968),0.01)</f>
        <v/>
      </c>
      <c r="AA1968" s="35">
        <f>MAX(INDEX(AA$381:AA$392,$D1968)+(AA1941+AA1959)*(1+$E1968),0.01)</f>
        <v/>
      </c>
      <c r="AB1968" s="35">
        <f>MAX(INDEX(AB$381:AB$392,$D1968)+(AB1941+AB1959)*(1+$E1968),0.01)</f>
        <v/>
      </c>
      <c r="AC1968" s="35">
        <f>MAX(INDEX(AC$381:AC$392,$D1968)+(AC1941+AC1959)*(1+$E1968),0.01)</f>
        <v/>
      </c>
      <c r="AD1968" s="35">
        <f>MAX(INDEX(AD$381:AD$392,$D1968)+(AD1941+AD1959)*(1+$E1968),0.01)</f>
        <v/>
      </c>
      <c r="AE1968" s="42">
        <f>POSTTAX(INDEX(AE$381:AE$392,$D1968),AE1941+AE1959,$E1968)</f>
        <v/>
      </c>
      <c r="AG1968" s="11">
        <f>CodePrefix&amp;$A1968&amp;IF($C1968="","","."&amp;$C1968&amp;"."&amp;$B1968)&amp;INDEX(VarEnd,MATCH($A1968,VarKey,0))&amp;AG$5</f>
        <v/>
      </c>
      <c r="AH1968" s="40">
        <f>MAX(INDEX(AH$381:AH$392,$D1968)+(AH1941+AH1959)*(1+$E1968),0.01)</f>
        <v/>
      </c>
      <c r="AI1968" s="35">
        <f>MAX(INDEX(AI$381:AI$392,$D1968)+(AI1941+AI1959)*(1+$E1968),0.01)</f>
        <v/>
      </c>
      <c r="AJ1968" s="35">
        <f>MAX(INDEX(AJ$381:AJ$392,$D1968)+(AJ1941+AJ1959)*(1+$E1968),0.01)</f>
        <v/>
      </c>
      <c r="AK1968" s="35">
        <f>MAX(INDEX(AK$381:AK$392,$D1968)+(AK1941+AK1959)*(1+$E1968),0.01)</f>
        <v/>
      </c>
      <c r="AL1968" s="35">
        <f>MAX(INDEX(AL$381:AL$392,$D1968)+(AL1941+AL1959)*(1+$E1968),0.01)</f>
        <v/>
      </c>
      <c r="AM1968" s="35">
        <f>MAX(INDEX(AM$381:AM$392,$D1968)+(AM1941+AM1959)*(1+$E1968),0.01)</f>
        <v/>
      </c>
      <c r="AN1968" s="35">
        <f>MAX(INDEX(AN$381:AN$392,$D1968)+(AN1941+AN1959)*(1+$E1968),0.01)</f>
        <v/>
      </c>
      <c r="AO1968" s="35">
        <f>MAX(INDEX(AO$381:AO$392,$D1968)+(AO1941+AO1959)*(1+$E1968),0.01)</f>
        <v/>
      </c>
      <c r="AP1968" s="35">
        <f>MAX(INDEX(AP$381:AP$392,$D1968)+(AP1941+AP1959)*(1+$E1968),0.01)</f>
        <v/>
      </c>
      <c r="AQ1968" s="35">
        <f>MAX(INDEX(AQ$381:AQ$392,$D1968)+(AQ1941+AQ1959)*(1+$E1968),0.01)</f>
        <v/>
      </c>
      <c r="AR1968" s="35">
        <f>MAX(INDEX(AR$381:AR$392,$D1968)+(AR1941+AR1959)*(1+$E1968),0.01)</f>
        <v/>
      </c>
      <c r="AS1968" s="35">
        <f>MAX(INDEX(AS$381:AS$392,$D1968)+(AS1941+AS1959)*(1+$E1968),0.01)</f>
        <v/>
      </c>
      <c r="AT1968" s="35">
        <f>MAX(INDEX(AT$381:AT$392,$D1968)+(AT1941+AT1959)*(1+$E1968),0.01)</f>
        <v/>
      </c>
      <c r="AU1968" s="35">
        <f>MAX(INDEX(AU$381:AU$392,$D1968)+(AU1941+AU1959)*(1+$E1968),0.01)</f>
        <v/>
      </c>
      <c r="AV1968" s="35">
        <f>MAX(INDEX(AV$381:AV$392,$D1968)+(AV1941+AV1959)*(1+$E1968),0.01)</f>
        <v/>
      </c>
      <c r="AW1968" s="35">
        <f>MAX(INDEX(AW$381:AW$392,$D1968)+(AW1941+AW1959)*(1+$E1968),0.01)</f>
        <v/>
      </c>
      <c r="AX1968" s="35">
        <f>MAX(INDEX(AX$381:AX$392,$D1968)+(AX1941+AX1959)*(1+$E1968),0.01)</f>
        <v/>
      </c>
      <c r="AY1968" s="35">
        <f>MAX(INDEX(AY$381:AY$392,$D1968)+(AY1941+AY1959)*(1+$E1968),0.01)</f>
        <v/>
      </c>
      <c r="AZ1968" s="35">
        <f>MAX(INDEX(AZ$381:AZ$392,$D1968)+(AZ1941+AZ1959)*(1+$E1968),0.01)</f>
        <v/>
      </c>
      <c r="BA1968" s="42">
        <f>POSTTAX(INDEX(BA$381:BA$392,$D1968),BA1941+BA1959,$E1968)</f>
        <v/>
      </c>
    </row>
    <row r="1969" hidden="1" outlineLevel="2">
      <c r="A1969" s="14" t="inlineStr">
        <is>
          <t>atp</t>
        </is>
      </c>
      <c r="B1969" s="14" t="inlineStr">
        <is>
          <t>oop</t>
        </is>
      </c>
      <c r="C1969" s="14" t="inlineStr">
        <is>
          <t>mch</t>
        </is>
      </c>
      <c r="D1969" s="35">
        <f>INDEX(Inputs!$U$5:$U$132,MATCH($B1969&amp;"|"&amp;$C1969,Inputs!$A$5:$A$132,0))</f>
        <v/>
      </c>
      <c r="E1969" s="35">
        <f>INDEX(Inputs!$V$5:$V$132,MATCH($B1969&amp;"|"&amp;$C1969,Inputs!$A$5:$A$132,0))</f>
        <v/>
      </c>
      <c r="F1969" s="39" t="n"/>
      <c r="G1969" s="39" t="n"/>
      <c r="H1969" s="14">
        <f>INDEX(VarLab,MATCH($A1969,VarKey,0))&amp;INDEX(MemLab,MATCH($C1969&amp;"|"&amp;$B1969,MemKey,0))</f>
        <v/>
      </c>
      <c r="I1969" s="14">
        <f>INDEX(VarUnit,MATCH($A1969,VarKey,0))</f>
        <v/>
      </c>
      <c r="J1969" s="14">
        <f>INDEX(VarSrc,MATCH($A1969,VarKey,0))</f>
        <v/>
      </c>
      <c r="K1969" s="11">
        <f>CodePrefix&amp;$A1969&amp;IF($C1969="","","."&amp;$C1969&amp;"."&amp;$B1969)&amp;INDEX(VarEnd,MATCH($A1969,VarKey,0))&amp;K$5</f>
        <v/>
      </c>
      <c r="L1969" s="40">
        <f>MAX(INDEX(L$381:L$392,$D1969)+(L1942+L1960)*(1+$E1969),0.01)</f>
        <v/>
      </c>
      <c r="M1969" s="35">
        <f>MAX(INDEX(M$381:M$392,$D1969)+(M1942+M1960)*(1+$E1969),0.01)</f>
        <v/>
      </c>
      <c r="N1969" s="35">
        <f>MAX(INDEX(N$381:N$392,$D1969)+(N1942+N1960)*(1+$E1969),0.01)</f>
        <v/>
      </c>
      <c r="O1969" s="35">
        <f>MAX(INDEX(O$381:O$392,$D1969)+(O1942+O1960)*(1+$E1969),0.01)</f>
        <v/>
      </c>
      <c r="P1969" s="35">
        <f>MAX(INDEX(P$381:P$392,$D1969)+(P1942+P1960)*(1+$E1969),0.01)</f>
        <v/>
      </c>
      <c r="Q1969" s="35">
        <f>MAX(INDEX(Q$381:Q$392,$D1969)+(Q1942+Q1960)*(1+$E1969),0.01)</f>
        <v/>
      </c>
      <c r="R1969" s="35">
        <f>MAX(INDEX(R$381:R$392,$D1969)+(R1942+R1960)*(1+$E1969),0.01)</f>
        <v/>
      </c>
      <c r="S1969" s="35">
        <f>MAX(INDEX(S$381:S$392,$D1969)+(S1942+S1960)*(1+$E1969),0.01)</f>
        <v/>
      </c>
      <c r="T1969" s="35">
        <f>MAX(INDEX(T$381:T$392,$D1969)+(T1942+T1960)*(1+$E1969),0.01)</f>
        <v/>
      </c>
      <c r="U1969" s="35">
        <f>MAX(INDEX(U$381:U$392,$D1969)+(U1942+U1960)*(1+$E1969),0.01)</f>
        <v/>
      </c>
      <c r="V1969" s="35">
        <f>MAX(INDEX(V$381:V$392,$D1969)+(V1942+V1960)*(1+$E1969),0.01)</f>
        <v/>
      </c>
      <c r="W1969" s="35">
        <f>MAX(INDEX(W$381:W$392,$D1969)+(W1942+W1960)*(1+$E1969),0.01)</f>
        <v/>
      </c>
      <c r="X1969" s="35">
        <f>MAX(INDEX(X$381:X$392,$D1969)+(X1942+X1960)*(1+$E1969),0.01)</f>
        <v/>
      </c>
      <c r="Y1969" s="35">
        <f>MAX(INDEX(Y$381:Y$392,$D1969)+(Y1942+Y1960)*(1+$E1969),0.01)</f>
        <v/>
      </c>
      <c r="Z1969" s="35">
        <f>MAX(INDEX(Z$381:Z$392,$D1969)+(Z1942+Z1960)*(1+$E1969),0.01)</f>
        <v/>
      </c>
      <c r="AA1969" s="35">
        <f>MAX(INDEX(AA$381:AA$392,$D1969)+(AA1942+AA1960)*(1+$E1969),0.01)</f>
        <v/>
      </c>
      <c r="AB1969" s="35">
        <f>MAX(INDEX(AB$381:AB$392,$D1969)+(AB1942+AB1960)*(1+$E1969),0.01)</f>
        <v/>
      </c>
      <c r="AC1969" s="35">
        <f>MAX(INDEX(AC$381:AC$392,$D1969)+(AC1942+AC1960)*(1+$E1969),0.01)</f>
        <v/>
      </c>
      <c r="AD1969" s="35">
        <f>MAX(INDEX(AD$381:AD$392,$D1969)+(AD1942+AD1960)*(1+$E1969),0.01)</f>
        <v/>
      </c>
      <c r="AE1969" s="42">
        <f>POSTTAX(INDEX(AE$381:AE$392,$D1969),AE1942+AE1960,$E1969)</f>
        <v/>
      </c>
      <c r="AG1969" s="11">
        <f>CodePrefix&amp;$A1969&amp;IF($C1969="","","."&amp;$C1969&amp;"."&amp;$B1969)&amp;INDEX(VarEnd,MATCH($A1969,VarKey,0))&amp;AG$5</f>
        <v/>
      </c>
      <c r="AH1969" s="40">
        <f>MAX(INDEX(AH$381:AH$392,$D1969)+(AH1942+AH1960)*(1+$E1969),0.01)</f>
        <v/>
      </c>
      <c r="AI1969" s="35">
        <f>MAX(INDEX(AI$381:AI$392,$D1969)+(AI1942+AI1960)*(1+$E1969),0.01)</f>
        <v/>
      </c>
      <c r="AJ1969" s="35">
        <f>MAX(INDEX(AJ$381:AJ$392,$D1969)+(AJ1942+AJ1960)*(1+$E1969),0.01)</f>
        <v/>
      </c>
      <c r="AK1969" s="35">
        <f>MAX(INDEX(AK$381:AK$392,$D1969)+(AK1942+AK1960)*(1+$E1969),0.01)</f>
        <v/>
      </c>
      <c r="AL1969" s="35">
        <f>MAX(INDEX(AL$381:AL$392,$D1969)+(AL1942+AL1960)*(1+$E1969),0.01)</f>
        <v/>
      </c>
      <c r="AM1969" s="35">
        <f>MAX(INDEX(AM$381:AM$392,$D1969)+(AM1942+AM1960)*(1+$E1969),0.01)</f>
        <v/>
      </c>
      <c r="AN1969" s="35">
        <f>MAX(INDEX(AN$381:AN$392,$D1969)+(AN1942+AN1960)*(1+$E1969),0.01)</f>
        <v/>
      </c>
      <c r="AO1969" s="35">
        <f>MAX(INDEX(AO$381:AO$392,$D1969)+(AO1942+AO1960)*(1+$E1969),0.01)</f>
        <v/>
      </c>
      <c r="AP1969" s="35">
        <f>MAX(INDEX(AP$381:AP$392,$D1969)+(AP1942+AP1960)*(1+$E1969),0.01)</f>
        <v/>
      </c>
      <c r="AQ1969" s="35">
        <f>MAX(INDEX(AQ$381:AQ$392,$D1969)+(AQ1942+AQ1960)*(1+$E1969),0.01)</f>
        <v/>
      </c>
      <c r="AR1969" s="35">
        <f>MAX(INDEX(AR$381:AR$392,$D1969)+(AR1942+AR1960)*(1+$E1969),0.01)</f>
        <v/>
      </c>
      <c r="AS1969" s="35">
        <f>MAX(INDEX(AS$381:AS$392,$D1969)+(AS1942+AS1960)*(1+$E1969),0.01)</f>
        <v/>
      </c>
      <c r="AT1969" s="35">
        <f>MAX(INDEX(AT$381:AT$392,$D1969)+(AT1942+AT1960)*(1+$E1969),0.01)</f>
        <v/>
      </c>
      <c r="AU1969" s="35">
        <f>MAX(INDEX(AU$381:AU$392,$D1969)+(AU1942+AU1960)*(1+$E1969),0.01)</f>
        <v/>
      </c>
      <c r="AV1969" s="35">
        <f>MAX(INDEX(AV$381:AV$392,$D1969)+(AV1942+AV1960)*(1+$E1969),0.01)</f>
        <v/>
      </c>
      <c r="AW1969" s="35">
        <f>MAX(INDEX(AW$381:AW$392,$D1969)+(AW1942+AW1960)*(1+$E1969),0.01)</f>
        <v/>
      </c>
      <c r="AX1969" s="35">
        <f>MAX(INDEX(AX$381:AX$392,$D1969)+(AX1942+AX1960)*(1+$E1969),0.01)</f>
        <v/>
      </c>
      <c r="AY1969" s="35">
        <f>MAX(INDEX(AY$381:AY$392,$D1969)+(AY1942+AY1960)*(1+$E1969),0.01)</f>
        <v/>
      </c>
      <c r="AZ1969" s="35">
        <f>MAX(INDEX(AZ$381:AZ$392,$D1969)+(AZ1942+AZ1960)*(1+$E1969),0.01)</f>
        <v/>
      </c>
      <c r="BA1969" s="42">
        <f>POSTTAX(INDEX(BA$381:BA$392,$D1969),BA1942+BA1960,$E1969)</f>
        <v/>
      </c>
    </row>
    <row r="1970" hidden="1" outlineLevel="2">
      <c r="A1970" s="14" t="inlineStr">
        <is>
          <t>atp</t>
        </is>
      </c>
      <c r="B1970" s="14" t="inlineStr">
        <is>
          <t>bio</t>
        </is>
      </c>
      <c r="C1970" s="14" t="inlineStr">
        <is>
          <t>mch</t>
        </is>
      </c>
      <c r="D1970" s="35">
        <f>INDEX(Inputs!$U$5:$U$132,MATCH($B1970&amp;"|"&amp;$C1970,Inputs!$A$5:$A$132,0))</f>
        <v/>
      </c>
      <c r="E1970" s="35">
        <f>INDEX(Inputs!$V$5:$V$132,MATCH($B1970&amp;"|"&amp;$C1970,Inputs!$A$5:$A$132,0))</f>
        <v/>
      </c>
      <c r="F1970" s="39" t="n"/>
      <c r="G1970" s="39" t="n"/>
      <c r="H1970" s="14">
        <f>INDEX(VarLab,MATCH($A1970,VarKey,0))&amp;INDEX(MemLab,MATCH($C1970&amp;"|"&amp;$B1970,MemKey,0))</f>
        <v/>
      </c>
      <c r="I1970" s="14">
        <f>INDEX(VarUnit,MATCH($A1970,VarKey,0))</f>
        <v/>
      </c>
      <c r="J1970" s="14">
        <f>INDEX(VarSrc,MATCH($A1970,VarKey,0))</f>
        <v/>
      </c>
      <c r="K1970" s="11">
        <f>CodePrefix&amp;$A1970&amp;IF($C1970="","","."&amp;$C1970&amp;"."&amp;$B1970)&amp;INDEX(VarEnd,MATCH($A1970,VarKey,0))&amp;K$5</f>
        <v/>
      </c>
      <c r="L1970" s="40">
        <f>MAX(INDEX(L$381:L$392,$D1970)+(L1943+L1961)*(1+$E1970),0.01)</f>
        <v/>
      </c>
      <c r="M1970" s="35">
        <f>MAX(INDEX(M$381:M$392,$D1970)+(M1943+M1961)*(1+$E1970),0.01)</f>
        <v/>
      </c>
      <c r="N1970" s="35">
        <f>MAX(INDEX(N$381:N$392,$D1970)+(N1943+N1961)*(1+$E1970),0.01)</f>
        <v/>
      </c>
      <c r="O1970" s="35">
        <f>MAX(INDEX(O$381:O$392,$D1970)+(O1943+O1961)*(1+$E1970),0.01)</f>
        <v/>
      </c>
      <c r="P1970" s="35">
        <f>MAX(INDEX(P$381:P$392,$D1970)+(P1943+P1961)*(1+$E1970),0.01)</f>
        <v/>
      </c>
      <c r="Q1970" s="35">
        <f>MAX(INDEX(Q$381:Q$392,$D1970)+(Q1943+Q1961)*(1+$E1970),0.01)</f>
        <v/>
      </c>
      <c r="R1970" s="35">
        <f>MAX(INDEX(R$381:R$392,$D1970)+(R1943+R1961)*(1+$E1970),0.01)</f>
        <v/>
      </c>
      <c r="S1970" s="35">
        <f>MAX(INDEX(S$381:S$392,$D1970)+(S1943+S1961)*(1+$E1970),0.01)</f>
        <v/>
      </c>
      <c r="T1970" s="35">
        <f>MAX(INDEX(T$381:T$392,$D1970)+(T1943+T1961)*(1+$E1970),0.01)</f>
        <v/>
      </c>
      <c r="U1970" s="35">
        <f>MAX(INDEX(U$381:U$392,$D1970)+(U1943+U1961)*(1+$E1970),0.01)</f>
        <v/>
      </c>
      <c r="V1970" s="35">
        <f>MAX(INDEX(V$381:V$392,$D1970)+(V1943+V1961)*(1+$E1970),0.01)</f>
        <v/>
      </c>
      <c r="W1970" s="35">
        <f>MAX(INDEX(W$381:W$392,$D1970)+(W1943+W1961)*(1+$E1970),0.01)</f>
        <v/>
      </c>
      <c r="X1970" s="35">
        <f>MAX(INDEX(X$381:X$392,$D1970)+(X1943+X1961)*(1+$E1970),0.01)</f>
        <v/>
      </c>
      <c r="Y1970" s="35">
        <f>MAX(INDEX(Y$381:Y$392,$D1970)+(Y1943+Y1961)*(1+$E1970),0.01)</f>
        <v/>
      </c>
      <c r="Z1970" s="35">
        <f>MAX(INDEX(Z$381:Z$392,$D1970)+(Z1943+Z1961)*(1+$E1970),0.01)</f>
        <v/>
      </c>
      <c r="AA1970" s="35">
        <f>MAX(INDEX(AA$381:AA$392,$D1970)+(AA1943+AA1961)*(1+$E1970),0.01)</f>
        <v/>
      </c>
      <c r="AB1970" s="35">
        <f>MAX(INDEX(AB$381:AB$392,$D1970)+(AB1943+AB1961)*(1+$E1970),0.01)</f>
        <v/>
      </c>
      <c r="AC1970" s="35">
        <f>MAX(INDEX(AC$381:AC$392,$D1970)+(AC1943+AC1961)*(1+$E1970),0.01)</f>
        <v/>
      </c>
      <c r="AD1970" s="35">
        <f>MAX(INDEX(AD$381:AD$392,$D1970)+(AD1943+AD1961)*(1+$E1970),0.01)</f>
        <v/>
      </c>
      <c r="AE1970" s="42">
        <f>POSTTAX(INDEX(AE$381:AE$392,$D1970),AE1943+AE1961,$E1970)</f>
        <v/>
      </c>
      <c r="AG1970" s="11">
        <f>CodePrefix&amp;$A1970&amp;IF($C1970="","","."&amp;$C1970&amp;"."&amp;$B1970)&amp;INDEX(VarEnd,MATCH($A1970,VarKey,0))&amp;AG$5</f>
        <v/>
      </c>
      <c r="AH1970" s="40">
        <f>MAX(INDEX(AH$381:AH$392,$D1970)+(AH1943+AH1961)*(1+$E1970),0.01)</f>
        <v/>
      </c>
      <c r="AI1970" s="35">
        <f>MAX(INDEX(AI$381:AI$392,$D1970)+(AI1943+AI1961)*(1+$E1970),0.01)</f>
        <v/>
      </c>
      <c r="AJ1970" s="35">
        <f>MAX(INDEX(AJ$381:AJ$392,$D1970)+(AJ1943+AJ1961)*(1+$E1970),0.01)</f>
        <v/>
      </c>
      <c r="AK1970" s="35">
        <f>MAX(INDEX(AK$381:AK$392,$D1970)+(AK1943+AK1961)*(1+$E1970),0.01)</f>
        <v/>
      </c>
      <c r="AL1970" s="35">
        <f>MAX(INDEX(AL$381:AL$392,$D1970)+(AL1943+AL1961)*(1+$E1970),0.01)</f>
        <v/>
      </c>
      <c r="AM1970" s="35">
        <f>MAX(INDEX(AM$381:AM$392,$D1970)+(AM1943+AM1961)*(1+$E1970),0.01)</f>
        <v/>
      </c>
      <c r="AN1970" s="35">
        <f>MAX(INDEX(AN$381:AN$392,$D1970)+(AN1943+AN1961)*(1+$E1970),0.01)</f>
        <v/>
      </c>
      <c r="AO1970" s="35">
        <f>MAX(INDEX(AO$381:AO$392,$D1970)+(AO1943+AO1961)*(1+$E1970),0.01)</f>
        <v/>
      </c>
      <c r="AP1970" s="35">
        <f>MAX(INDEX(AP$381:AP$392,$D1970)+(AP1943+AP1961)*(1+$E1970),0.01)</f>
        <v/>
      </c>
      <c r="AQ1970" s="35">
        <f>MAX(INDEX(AQ$381:AQ$392,$D1970)+(AQ1943+AQ1961)*(1+$E1970),0.01)</f>
        <v/>
      </c>
      <c r="AR1970" s="35">
        <f>MAX(INDEX(AR$381:AR$392,$D1970)+(AR1943+AR1961)*(1+$E1970),0.01)</f>
        <v/>
      </c>
      <c r="AS1970" s="35">
        <f>MAX(INDEX(AS$381:AS$392,$D1970)+(AS1943+AS1961)*(1+$E1970),0.01)</f>
        <v/>
      </c>
      <c r="AT1970" s="35">
        <f>MAX(INDEX(AT$381:AT$392,$D1970)+(AT1943+AT1961)*(1+$E1970),0.01)</f>
        <v/>
      </c>
      <c r="AU1970" s="35">
        <f>MAX(INDEX(AU$381:AU$392,$D1970)+(AU1943+AU1961)*(1+$E1970),0.01)</f>
        <v/>
      </c>
      <c r="AV1970" s="35">
        <f>MAX(INDEX(AV$381:AV$392,$D1970)+(AV1943+AV1961)*(1+$E1970),0.01)</f>
        <v/>
      </c>
      <c r="AW1970" s="35">
        <f>MAX(INDEX(AW$381:AW$392,$D1970)+(AW1943+AW1961)*(1+$E1970),0.01)</f>
        <v/>
      </c>
      <c r="AX1970" s="35">
        <f>MAX(INDEX(AX$381:AX$392,$D1970)+(AX1943+AX1961)*(1+$E1970),0.01)</f>
        <v/>
      </c>
      <c r="AY1970" s="35">
        <f>MAX(INDEX(AY$381:AY$392,$D1970)+(AY1943+AY1961)*(1+$E1970),0.01)</f>
        <v/>
      </c>
      <c r="AZ1970" s="35">
        <f>MAX(INDEX(AZ$381:AZ$392,$D1970)+(AZ1943+AZ1961)*(1+$E1970),0.01)</f>
        <v/>
      </c>
      <c r="BA1970" s="42">
        <f>POSTTAX(INDEX(BA$381:BA$392,$D1970),BA1943+BA1961,$E1970)</f>
        <v/>
      </c>
    </row>
    <row r="1971" hidden="1" outlineLevel="2"/>
    <row r="1972" hidden="1" outlineLevel="2">
      <c r="A1972" s="14" t="inlineStr">
        <is>
          <t>shp</t>
        </is>
      </c>
      <c r="B1972" s="14" t="inlineStr">
        <is>
          <t>coa</t>
        </is>
      </c>
      <c r="C1972" s="14" t="inlineStr">
        <is>
          <t>mch</t>
        </is>
      </c>
      <c r="D1972" s="35">
        <f>INDEX(Inputs!$W$5:$W$132,MATCH($B1972&amp;"|"&amp;$C1972,Inputs!$A$5:$A$132,0))</f>
        <v/>
      </c>
      <c r="E1972" s="35">
        <f>INDEX(Inputs!$M$5:$M$132,MATCH($B1972&amp;"|"&amp;$C1972,Inputs!$A$5:$A$132,0))</f>
        <v/>
      </c>
      <c r="F1972" s="39" t="n"/>
      <c r="G1972" s="39" t="n"/>
      <c r="H1972" s="14">
        <f>INDEX(VarLab,MATCH($A1972,VarKey,0))&amp;INDEX(MemLab,MATCH($C1972&amp;"|"&amp;$B1972,MemKey,0))</f>
        <v/>
      </c>
      <c r="I1972" s="14">
        <f>INDEX(VarUnit,MATCH($A1972,VarKey,0))</f>
        <v/>
      </c>
      <c r="J1972" s="14">
        <f>INDEX(VarSrc,MATCH($A1972,VarKey,0))</f>
        <v/>
      </c>
      <c r="K1972" s="11">
        <f>CodePrefix&amp;$A1972&amp;IF($C1972="","","."&amp;$C1972&amp;"."&amp;$B1972)&amp;INDEX(VarEnd,MATCH($A1972,VarKey,0))&amp;K$5</f>
        <v/>
      </c>
      <c r="L1972" s="40">
        <f>INDEX(L$297:L$313,$E1972)*$D1972</f>
        <v/>
      </c>
      <c r="M1972" s="35">
        <f>INDEX(M$297:M$313,$E1972)*$D1972</f>
        <v/>
      </c>
      <c r="N1972" s="35">
        <f>INDEX(N$297:N$313,$E1972)*$D1972</f>
        <v/>
      </c>
      <c r="O1972" s="35">
        <f>INDEX(O$297:O$313,$E1972)*$D1972</f>
        <v/>
      </c>
      <c r="P1972" s="35">
        <f>INDEX(P$297:P$313,$E1972)*$D1972</f>
        <v/>
      </c>
      <c r="Q1972" s="35">
        <f>INDEX(Q$297:Q$313,$E1972)*$D1972</f>
        <v/>
      </c>
      <c r="R1972" s="35">
        <f>INDEX(R$297:R$313,$E1972)*$D1972</f>
        <v/>
      </c>
      <c r="S1972" s="35">
        <f>INDEX(S$297:S$313,$E1972)*$D1972</f>
        <v/>
      </c>
      <c r="T1972" s="35">
        <f>INDEX(T$297:T$313,$E1972)*$D1972</f>
        <v/>
      </c>
      <c r="U1972" s="35">
        <f>INDEX(U$297:U$313,$E1972)*$D1972</f>
        <v/>
      </c>
      <c r="V1972" s="35">
        <f>INDEX(V$297:V$313,$E1972)*$D1972</f>
        <v/>
      </c>
      <c r="W1972" s="35">
        <f>INDEX(W$297:W$313,$E1972)*$D1972</f>
        <v/>
      </c>
      <c r="X1972" s="35">
        <f>INDEX(X$297:X$313,$E1972)*$D1972</f>
        <v/>
      </c>
      <c r="Y1972" s="35">
        <f>INDEX(Y$297:Y$313,$E1972)*$D1972</f>
        <v/>
      </c>
      <c r="Z1972" s="35">
        <f>INDEX(Z$297:Z$313,$E1972)*$D1972</f>
        <v/>
      </c>
      <c r="AA1972" s="35">
        <f>INDEX(AA$297:AA$313,$E1972)*$D1972</f>
        <v/>
      </c>
      <c r="AB1972" s="35">
        <f>INDEX(AB$297:AB$313,$E1972)*$D1972</f>
        <v/>
      </c>
      <c r="AC1972" s="35">
        <f>INDEX(AC$297:AC$313,$E1972)*$D1972</f>
        <v/>
      </c>
      <c r="AD1972" s="35">
        <f>INDEX(AD$297:AD$313,$E1972)*$D1972</f>
        <v/>
      </c>
      <c r="AE1972" s="42">
        <f>SHADOWGJ(INDEX(AE$297:AE$313,$E1972),$D1972)</f>
        <v/>
      </c>
      <c r="AG1972" s="11">
        <f>CodePrefix&amp;$A1972&amp;IF($C1972="","","."&amp;$C1972&amp;"."&amp;$B1972)&amp;INDEX(VarEnd,MATCH($A1972,VarKey,0))&amp;AG$5</f>
        <v/>
      </c>
      <c r="AH1972" s="40">
        <f>INDEX(AH$297:AH$313,$E1972)*$D1972</f>
        <v/>
      </c>
      <c r="AI1972" s="35">
        <f>INDEX(AI$297:AI$313,$E1972)*$D1972</f>
        <v/>
      </c>
      <c r="AJ1972" s="35">
        <f>INDEX(AJ$297:AJ$313,$E1972)*$D1972</f>
        <v/>
      </c>
      <c r="AK1972" s="35">
        <f>INDEX(AK$297:AK$313,$E1972)*$D1972</f>
        <v/>
      </c>
      <c r="AL1972" s="35">
        <f>INDEX(AL$297:AL$313,$E1972)*$D1972</f>
        <v/>
      </c>
      <c r="AM1972" s="35">
        <f>INDEX(AM$297:AM$313,$E1972)*$D1972</f>
        <v/>
      </c>
      <c r="AN1972" s="35">
        <f>INDEX(AN$297:AN$313,$E1972)*$D1972</f>
        <v/>
      </c>
      <c r="AO1972" s="35">
        <f>INDEX(AO$297:AO$313,$E1972)*$D1972</f>
        <v/>
      </c>
      <c r="AP1972" s="35">
        <f>INDEX(AP$297:AP$313,$E1972)*$D1972</f>
        <v/>
      </c>
      <c r="AQ1972" s="35">
        <f>INDEX(AQ$297:AQ$313,$E1972)*$D1972</f>
        <v/>
      </c>
      <c r="AR1972" s="35">
        <f>INDEX(AR$297:AR$313,$E1972)*$D1972</f>
        <v/>
      </c>
      <c r="AS1972" s="35">
        <f>INDEX(AS$297:AS$313,$E1972)*$D1972</f>
        <v/>
      </c>
      <c r="AT1972" s="35">
        <f>INDEX(AT$297:AT$313,$E1972)*$D1972</f>
        <v/>
      </c>
      <c r="AU1972" s="35">
        <f>INDEX(AU$297:AU$313,$E1972)*$D1972</f>
        <v/>
      </c>
      <c r="AV1972" s="35">
        <f>INDEX(AV$297:AV$313,$E1972)*$D1972</f>
        <v/>
      </c>
      <c r="AW1972" s="35">
        <f>INDEX(AW$297:AW$313,$E1972)*$D1972</f>
        <v/>
      </c>
      <c r="AX1972" s="35">
        <f>INDEX(AX$297:AX$313,$E1972)*$D1972</f>
        <v/>
      </c>
      <c r="AY1972" s="35">
        <f>INDEX(AY$297:AY$313,$E1972)*$D1972</f>
        <v/>
      </c>
      <c r="AZ1972" s="35">
        <f>INDEX(AZ$297:AZ$313,$E1972)*$D1972</f>
        <v/>
      </c>
      <c r="BA1972" s="42">
        <f>SHADOWGJ(INDEX(BA$297:BA$313,$E1972),$D1972)</f>
        <v/>
      </c>
    </row>
    <row r="1973" hidden="1" outlineLevel="2">
      <c r="A1973" s="14" t="inlineStr">
        <is>
          <t>shp</t>
        </is>
      </c>
      <c r="B1973" s="14" t="inlineStr">
        <is>
          <t>nga</t>
        </is>
      </c>
      <c r="C1973" s="14" t="inlineStr">
        <is>
          <t>mch</t>
        </is>
      </c>
      <c r="D1973" s="35">
        <f>INDEX(Inputs!$W$5:$W$132,MATCH($B1973&amp;"|"&amp;$C1973,Inputs!$A$5:$A$132,0))</f>
        <v/>
      </c>
      <c r="E1973" s="35">
        <f>INDEX(Inputs!$M$5:$M$132,MATCH($B1973&amp;"|"&amp;$C1973,Inputs!$A$5:$A$132,0))</f>
        <v/>
      </c>
      <c r="F1973" s="39" t="n"/>
      <c r="G1973" s="39" t="n"/>
      <c r="H1973" s="14">
        <f>INDEX(VarLab,MATCH($A1973,VarKey,0))&amp;INDEX(MemLab,MATCH($C1973&amp;"|"&amp;$B1973,MemKey,0))</f>
        <v/>
      </c>
      <c r="I1973" s="14">
        <f>INDEX(VarUnit,MATCH($A1973,VarKey,0))</f>
        <v/>
      </c>
      <c r="J1973" s="14">
        <f>INDEX(VarSrc,MATCH($A1973,VarKey,0))</f>
        <v/>
      </c>
      <c r="K1973" s="11">
        <f>CodePrefix&amp;$A1973&amp;IF($C1973="","","."&amp;$C1973&amp;"."&amp;$B1973)&amp;INDEX(VarEnd,MATCH($A1973,VarKey,0))&amp;K$5</f>
        <v/>
      </c>
      <c r="L1973" s="40">
        <f>INDEX(L$297:L$313,$E1973)*$D1973</f>
        <v/>
      </c>
      <c r="M1973" s="35">
        <f>INDEX(M$297:M$313,$E1973)*$D1973</f>
        <v/>
      </c>
      <c r="N1973" s="35">
        <f>INDEX(N$297:N$313,$E1973)*$D1973</f>
        <v/>
      </c>
      <c r="O1973" s="35">
        <f>INDEX(O$297:O$313,$E1973)*$D1973</f>
        <v/>
      </c>
      <c r="P1973" s="35">
        <f>INDEX(P$297:P$313,$E1973)*$D1973</f>
        <v/>
      </c>
      <c r="Q1973" s="35">
        <f>INDEX(Q$297:Q$313,$E1973)*$D1973</f>
        <v/>
      </c>
      <c r="R1973" s="35">
        <f>INDEX(R$297:R$313,$E1973)*$D1973</f>
        <v/>
      </c>
      <c r="S1973" s="35">
        <f>INDEX(S$297:S$313,$E1973)*$D1973</f>
        <v/>
      </c>
      <c r="T1973" s="35">
        <f>INDEX(T$297:T$313,$E1973)*$D1973</f>
        <v/>
      </c>
      <c r="U1973" s="35">
        <f>INDEX(U$297:U$313,$E1973)*$D1973</f>
        <v/>
      </c>
      <c r="V1973" s="35">
        <f>INDEX(V$297:V$313,$E1973)*$D1973</f>
        <v/>
      </c>
      <c r="W1973" s="35">
        <f>INDEX(W$297:W$313,$E1973)*$D1973</f>
        <v/>
      </c>
      <c r="X1973" s="35">
        <f>INDEX(X$297:X$313,$E1973)*$D1973</f>
        <v/>
      </c>
      <c r="Y1973" s="35">
        <f>INDEX(Y$297:Y$313,$E1973)*$D1973</f>
        <v/>
      </c>
      <c r="Z1973" s="35">
        <f>INDEX(Z$297:Z$313,$E1973)*$D1973</f>
        <v/>
      </c>
      <c r="AA1973" s="35">
        <f>INDEX(AA$297:AA$313,$E1973)*$D1973</f>
        <v/>
      </c>
      <c r="AB1973" s="35">
        <f>INDEX(AB$297:AB$313,$E1973)*$D1973</f>
        <v/>
      </c>
      <c r="AC1973" s="35">
        <f>INDEX(AC$297:AC$313,$E1973)*$D1973</f>
        <v/>
      </c>
      <c r="AD1973" s="35">
        <f>INDEX(AD$297:AD$313,$E1973)*$D1973</f>
        <v/>
      </c>
      <c r="AE1973" s="42">
        <f>SHADOWGJ(INDEX(AE$297:AE$313,$E1973),$D1973)</f>
        <v/>
      </c>
      <c r="AG1973" s="11">
        <f>CodePrefix&amp;$A1973&amp;IF($C1973="","","."&amp;$C1973&amp;"."&amp;$B1973)&amp;INDEX(VarEnd,MATCH($A1973,VarKey,0))&amp;AG$5</f>
        <v/>
      </c>
      <c r="AH1973" s="40">
        <f>INDEX(AH$297:AH$313,$E1973)*$D1973</f>
        <v/>
      </c>
      <c r="AI1973" s="35">
        <f>INDEX(AI$297:AI$313,$E1973)*$D1973</f>
        <v/>
      </c>
      <c r="AJ1973" s="35">
        <f>INDEX(AJ$297:AJ$313,$E1973)*$D1973</f>
        <v/>
      </c>
      <c r="AK1973" s="35">
        <f>INDEX(AK$297:AK$313,$E1973)*$D1973</f>
        <v/>
      </c>
      <c r="AL1973" s="35">
        <f>INDEX(AL$297:AL$313,$E1973)*$D1973</f>
        <v/>
      </c>
      <c r="AM1973" s="35">
        <f>INDEX(AM$297:AM$313,$E1973)*$D1973</f>
        <v/>
      </c>
      <c r="AN1973" s="35">
        <f>INDEX(AN$297:AN$313,$E1973)*$D1973</f>
        <v/>
      </c>
      <c r="AO1973" s="35">
        <f>INDEX(AO$297:AO$313,$E1973)*$D1973</f>
        <v/>
      </c>
      <c r="AP1973" s="35">
        <f>INDEX(AP$297:AP$313,$E1973)*$D1973</f>
        <v/>
      </c>
      <c r="AQ1973" s="35">
        <f>INDEX(AQ$297:AQ$313,$E1973)*$D1973</f>
        <v/>
      </c>
      <c r="AR1973" s="35">
        <f>INDEX(AR$297:AR$313,$E1973)*$D1973</f>
        <v/>
      </c>
      <c r="AS1973" s="35">
        <f>INDEX(AS$297:AS$313,$E1973)*$D1973</f>
        <v/>
      </c>
      <c r="AT1973" s="35">
        <f>INDEX(AT$297:AT$313,$E1973)*$D1973</f>
        <v/>
      </c>
      <c r="AU1973" s="35">
        <f>INDEX(AU$297:AU$313,$E1973)*$D1973</f>
        <v/>
      </c>
      <c r="AV1973" s="35">
        <f>INDEX(AV$297:AV$313,$E1973)*$D1973</f>
        <v/>
      </c>
      <c r="AW1973" s="35">
        <f>INDEX(AW$297:AW$313,$E1973)*$D1973</f>
        <v/>
      </c>
      <c r="AX1973" s="35">
        <f>INDEX(AX$297:AX$313,$E1973)*$D1973</f>
        <v/>
      </c>
      <c r="AY1973" s="35">
        <f>INDEX(AY$297:AY$313,$E1973)*$D1973</f>
        <v/>
      </c>
      <c r="AZ1973" s="35">
        <f>INDEX(AZ$297:AZ$313,$E1973)*$D1973</f>
        <v/>
      </c>
      <c r="BA1973" s="42">
        <f>SHADOWGJ(INDEX(BA$297:BA$313,$E1973),$D1973)</f>
        <v/>
      </c>
    </row>
    <row r="1974" hidden="1" outlineLevel="2">
      <c r="A1974" s="14" t="inlineStr">
        <is>
          <t>shp</t>
        </is>
      </c>
      <c r="B1974" s="14" t="inlineStr">
        <is>
          <t>gso</t>
        </is>
      </c>
      <c r="C1974" s="14" t="inlineStr">
        <is>
          <t>mch</t>
        </is>
      </c>
      <c r="D1974" s="35">
        <f>INDEX(Inputs!$W$5:$W$132,MATCH($B1974&amp;"|"&amp;$C1974,Inputs!$A$5:$A$132,0))</f>
        <v/>
      </c>
      <c r="E1974" s="35">
        <f>INDEX(Inputs!$M$5:$M$132,MATCH($B1974&amp;"|"&amp;$C1974,Inputs!$A$5:$A$132,0))</f>
        <v/>
      </c>
      <c r="F1974" s="39" t="n"/>
      <c r="G1974" s="39" t="n"/>
      <c r="H1974" s="14">
        <f>INDEX(VarLab,MATCH($A1974,VarKey,0))&amp;INDEX(MemLab,MATCH($C1974&amp;"|"&amp;$B1974,MemKey,0))</f>
        <v/>
      </c>
      <c r="I1974" s="14">
        <f>INDEX(VarUnit,MATCH($A1974,VarKey,0))</f>
        <v/>
      </c>
      <c r="J1974" s="14">
        <f>INDEX(VarSrc,MATCH($A1974,VarKey,0))</f>
        <v/>
      </c>
      <c r="K1974" s="11">
        <f>CodePrefix&amp;$A1974&amp;IF($C1974="","","."&amp;$C1974&amp;"."&amp;$B1974)&amp;INDEX(VarEnd,MATCH($A1974,VarKey,0))&amp;K$5</f>
        <v/>
      </c>
      <c r="L1974" s="40">
        <f>INDEX(L$297:L$313,$E1974)*$D1974</f>
        <v/>
      </c>
      <c r="M1974" s="35">
        <f>INDEX(M$297:M$313,$E1974)*$D1974</f>
        <v/>
      </c>
      <c r="N1974" s="35">
        <f>INDEX(N$297:N$313,$E1974)*$D1974</f>
        <v/>
      </c>
      <c r="O1974" s="35">
        <f>INDEX(O$297:O$313,$E1974)*$D1974</f>
        <v/>
      </c>
      <c r="P1974" s="35">
        <f>INDEX(P$297:P$313,$E1974)*$D1974</f>
        <v/>
      </c>
      <c r="Q1974" s="35">
        <f>INDEX(Q$297:Q$313,$E1974)*$D1974</f>
        <v/>
      </c>
      <c r="R1974" s="35">
        <f>INDEX(R$297:R$313,$E1974)*$D1974</f>
        <v/>
      </c>
      <c r="S1974" s="35">
        <f>INDEX(S$297:S$313,$E1974)*$D1974</f>
        <v/>
      </c>
      <c r="T1974" s="35">
        <f>INDEX(T$297:T$313,$E1974)*$D1974</f>
        <v/>
      </c>
      <c r="U1974" s="35">
        <f>INDEX(U$297:U$313,$E1974)*$D1974</f>
        <v/>
      </c>
      <c r="V1974" s="35">
        <f>INDEX(V$297:V$313,$E1974)*$D1974</f>
        <v/>
      </c>
      <c r="W1974" s="35">
        <f>INDEX(W$297:W$313,$E1974)*$D1974</f>
        <v/>
      </c>
      <c r="X1974" s="35">
        <f>INDEX(X$297:X$313,$E1974)*$D1974</f>
        <v/>
      </c>
      <c r="Y1974" s="35">
        <f>INDEX(Y$297:Y$313,$E1974)*$D1974</f>
        <v/>
      </c>
      <c r="Z1974" s="35">
        <f>INDEX(Z$297:Z$313,$E1974)*$D1974</f>
        <v/>
      </c>
      <c r="AA1974" s="35">
        <f>INDEX(AA$297:AA$313,$E1974)*$D1974</f>
        <v/>
      </c>
      <c r="AB1974" s="35">
        <f>INDEX(AB$297:AB$313,$E1974)*$D1974</f>
        <v/>
      </c>
      <c r="AC1974" s="35">
        <f>INDEX(AC$297:AC$313,$E1974)*$D1974</f>
        <v/>
      </c>
      <c r="AD1974" s="35">
        <f>INDEX(AD$297:AD$313,$E1974)*$D1974</f>
        <v/>
      </c>
      <c r="AE1974" s="42">
        <f>SHADOWGJ(INDEX(AE$297:AE$313,$E1974),$D1974)</f>
        <v/>
      </c>
      <c r="AG1974" s="11">
        <f>CodePrefix&amp;$A1974&amp;IF($C1974="","","."&amp;$C1974&amp;"."&amp;$B1974)&amp;INDEX(VarEnd,MATCH($A1974,VarKey,0))&amp;AG$5</f>
        <v/>
      </c>
      <c r="AH1974" s="40">
        <f>INDEX(AH$297:AH$313,$E1974)*$D1974</f>
        <v/>
      </c>
      <c r="AI1974" s="35">
        <f>INDEX(AI$297:AI$313,$E1974)*$D1974</f>
        <v/>
      </c>
      <c r="AJ1974" s="35">
        <f>INDEX(AJ$297:AJ$313,$E1974)*$D1974</f>
        <v/>
      </c>
      <c r="AK1974" s="35">
        <f>INDEX(AK$297:AK$313,$E1974)*$D1974</f>
        <v/>
      </c>
      <c r="AL1974" s="35">
        <f>INDEX(AL$297:AL$313,$E1974)*$D1974</f>
        <v/>
      </c>
      <c r="AM1974" s="35">
        <f>INDEX(AM$297:AM$313,$E1974)*$D1974</f>
        <v/>
      </c>
      <c r="AN1974" s="35">
        <f>INDEX(AN$297:AN$313,$E1974)*$D1974</f>
        <v/>
      </c>
      <c r="AO1974" s="35">
        <f>INDEX(AO$297:AO$313,$E1974)*$D1974</f>
        <v/>
      </c>
      <c r="AP1974" s="35">
        <f>INDEX(AP$297:AP$313,$E1974)*$D1974</f>
        <v/>
      </c>
      <c r="AQ1974" s="35">
        <f>INDEX(AQ$297:AQ$313,$E1974)*$D1974</f>
        <v/>
      </c>
      <c r="AR1974" s="35">
        <f>INDEX(AR$297:AR$313,$E1974)*$D1974</f>
        <v/>
      </c>
      <c r="AS1974" s="35">
        <f>INDEX(AS$297:AS$313,$E1974)*$D1974</f>
        <v/>
      </c>
      <c r="AT1974" s="35">
        <f>INDEX(AT$297:AT$313,$E1974)*$D1974</f>
        <v/>
      </c>
      <c r="AU1974" s="35">
        <f>INDEX(AU$297:AU$313,$E1974)*$D1974</f>
        <v/>
      </c>
      <c r="AV1974" s="35">
        <f>INDEX(AV$297:AV$313,$E1974)*$D1974</f>
        <v/>
      </c>
      <c r="AW1974" s="35">
        <f>INDEX(AW$297:AW$313,$E1974)*$D1974</f>
        <v/>
      </c>
      <c r="AX1974" s="35">
        <f>INDEX(AX$297:AX$313,$E1974)*$D1974</f>
        <v/>
      </c>
      <c r="AY1974" s="35">
        <f>INDEX(AY$297:AY$313,$E1974)*$D1974</f>
        <v/>
      </c>
      <c r="AZ1974" s="35">
        <f>INDEX(AZ$297:AZ$313,$E1974)*$D1974</f>
        <v/>
      </c>
      <c r="BA1974" s="42">
        <f>SHADOWGJ(INDEX(BA$297:BA$313,$E1974),$D1974)</f>
        <v/>
      </c>
    </row>
    <row r="1975" hidden="1" outlineLevel="2">
      <c r="A1975" s="14" t="inlineStr">
        <is>
          <t>shp</t>
        </is>
      </c>
      <c r="B1975" s="14" t="inlineStr">
        <is>
          <t>die</t>
        </is>
      </c>
      <c r="C1975" s="14" t="inlineStr">
        <is>
          <t>mch</t>
        </is>
      </c>
      <c r="D1975" s="35">
        <f>INDEX(Inputs!$W$5:$W$132,MATCH($B1975&amp;"|"&amp;$C1975,Inputs!$A$5:$A$132,0))</f>
        <v/>
      </c>
      <c r="E1975" s="35">
        <f>INDEX(Inputs!$M$5:$M$132,MATCH($B1975&amp;"|"&amp;$C1975,Inputs!$A$5:$A$132,0))</f>
        <v/>
      </c>
      <c r="F1975" s="39" t="n"/>
      <c r="G1975" s="39" t="n"/>
      <c r="H1975" s="14">
        <f>INDEX(VarLab,MATCH($A1975,VarKey,0))&amp;INDEX(MemLab,MATCH($C1975&amp;"|"&amp;$B1975,MemKey,0))</f>
        <v/>
      </c>
      <c r="I1975" s="14">
        <f>INDEX(VarUnit,MATCH($A1975,VarKey,0))</f>
        <v/>
      </c>
      <c r="J1975" s="14">
        <f>INDEX(VarSrc,MATCH($A1975,VarKey,0))</f>
        <v/>
      </c>
      <c r="K1975" s="11">
        <f>CodePrefix&amp;$A1975&amp;IF($C1975="","","."&amp;$C1975&amp;"."&amp;$B1975)&amp;INDEX(VarEnd,MATCH($A1975,VarKey,0))&amp;K$5</f>
        <v/>
      </c>
      <c r="L1975" s="40">
        <f>INDEX(L$297:L$313,$E1975)*$D1975</f>
        <v/>
      </c>
      <c r="M1975" s="35">
        <f>INDEX(M$297:M$313,$E1975)*$D1975</f>
        <v/>
      </c>
      <c r="N1975" s="35">
        <f>INDEX(N$297:N$313,$E1975)*$D1975</f>
        <v/>
      </c>
      <c r="O1975" s="35">
        <f>INDEX(O$297:O$313,$E1975)*$D1975</f>
        <v/>
      </c>
      <c r="P1975" s="35">
        <f>INDEX(P$297:P$313,$E1975)*$D1975</f>
        <v/>
      </c>
      <c r="Q1975" s="35">
        <f>INDEX(Q$297:Q$313,$E1975)*$D1975</f>
        <v/>
      </c>
      <c r="R1975" s="35">
        <f>INDEX(R$297:R$313,$E1975)*$D1975</f>
        <v/>
      </c>
      <c r="S1975" s="35">
        <f>INDEX(S$297:S$313,$E1975)*$D1975</f>
        <v/>
      </c>
      <c r="T1975" s="35">
        <f>INDEX(T$297:T$313,$E1975)*$D1975</f>
        <v/>
      </c>
      <c r="U1975" s="35">
        <f>INDEX(U$297:U$313,$E1975)*$D1975</f>
        <v/>
      </c>
      <c r="V1975" s="35">
        <f>INDEX(V$297:V$313,$E1975)*$D1975</f>
        <v/>
      </c>
      <c r="W1975" s="35">
        <f>INDEX(W$297:W$313,$E1975)*$D1975</f>
        <v/>
      </c>
      <c r="X1975" s="35">
        <f>INDEX(X$297:X$313,$E1975)*$D1975</f>
        <v/>
      </c>
      <c r="Y1975" s="35">
        <f>INDEX(Y$297:Y$313,$E1975)*$D1975</f>
        <v/>
      </c>
      <c r="Z1975" s="35">
        <f>INDEX(Z$297:Z$313,$E1975)*$D1975</f>
        <v/>
      </c>
      <c r="AA1975" s="35">
        <f>INDEX(AA$297:AA$313,$E1975)*$D1975</f>
        <v/>
      </c>
      <c r="AB1975" s="35">
        <f>INDEX(AB$297:AB$313,$E1975)*$D1975</f>
        <v/>
      </c>
      <c r="AC1975" s="35">
        <f>INDEX(AC$297:AC$313,$E1975)*$D1975</f>
        <v/>
      </c>
      <c r="AD1975" s="35">
        <f>INDEX(AD$297:AD$313,$E1975)*$D1975</f>
        <v/>
      </c>
      <c r="AE1975" s="42">
        <f>SHADOWGJ(INDEX(AE$297:AE$313,$E1975),$D1975)</f>
        <v/>
      </c>
      <c r="AG1975" s="11">
        <f>CodePrefix&amp;$A1975&amp;IF($C1975="","","."&amp;$C1975&amp;"."&amp;$B1975)&amp;INDEX(VarEnd,MATCH($A1975,VarKey,0))&amp;AG$5</f>
        <v/>
      </c>
      <c r="AH1975" s="40">
        <f>INDEX(AH$297:AH$313,$E1975)*$D1975</f>
        <v/>
      </c>
      <c r="AI1975" s="35">
        <f>INDEX(AI$297:AI$313,$E1975)*$D1975</f>
        <v/>
      </c>
      <c r="AJ1975" s="35">
        <f>INDEX(AJ$297:AJ$313,$E1975)*$D1975</f>
        <v/>
      </c>
      <c r="AK1975" s="35">
        <f>INDEX(AK$297:AK$313,$E1975)*$D1975</f>
        <v/>
      </c>
      <c r="AL1975" s="35">
        <f>INDEX(AL$297:AL$313,$E1975)*$D1975</f>
        <v/>
      </c>
      <c r="AM1975" s="35">
        <f>INDEX(AM$297:AM$313,$E1975)*$D1975</f>
        <v/>
      </c>
      <c r="AN1975" s="35">
        <f>INDEX(AN$297:AN$313,$E1975)*$D1975</f>
        <v/>
      </c>
      <c r="AO1975" s="35">
        <f>INDEX(AO$297:AO$313,$E1975)*$D1975</f>
        <v/>
      </c>
      <c r="AP1975" s="35">
        <f>INDEX(AP$297:AP$313,$E1975)*$D1975</f>
        <v/>
      </c>
      <c r="AQ1975" s="35">
        <f>INDEX(AQ$297:AQ$313,$E1975)*$D1975</f>
        <v/>
      </c>
      <c r="AR1975" s="35">
        <f>INDEX(AR$297:AR$313,$E1975)*$D1975</f>
        <v/>
      </c>
      <c r="AS1975" s="35">
        <f>INDEX(AS$297:AS$313,$E1975)*$D1975</f>
        <v/>
      </c>
      <c r="AT1975" s="35">
        <f>INDEX(AT$297:AT$313,$E1975)*$D1975</f>
        <v/>
      </c>
      <c r="AU1975" s="35">
        <f>INDEX(AU$297:AU$313,$E1975)*$D1975</f>
        <v/>
      </c>
      <c r="AV1975" s="35">
        <f>INDEX(AV$297:AV$313,$E1975)*$D1975</f>
        <v/>
      </c>
      <c r="AW1975" s="35">
        <f>INDEX(AW$297:AW$313,$E1975)*$D1975</f>
        <v/>
      </c>
      <c r="AX1975" s="35">
        <f>INDEX(AX$297:AX$313,$E1975)*$D1975</f>
        <v/>
      </c>
      <c r="AY1975" s="35">
        <f>INDEX(AY$297:AY$313,$E1975)*$D1975</f>
        <v/>
      </c>
      <c r="AZ1975" s="35">
        <f>INDEX(AZ$297:AZ$313,$E1975)*$D1975</f>
        <v/>
      </c>
      <c r="BA1975" s="42">
        <f>SHADOWGJ(INDEX(BA$297:BA$313,$E1975),$D1975)</f>
        <v/>
      </c>
    </row>
    <row r="1976" hidden="1" outlineLevel="2">
      <c r="A1976" s="14" t="inlineStr">
        <is>
          <t>shp</t>
        </is>
      </c>
      <c r="B1976" s="14" t="inlineStr">
        <is>
          <t>lpg</t>
        </is>
      </c>
      <c r="C1976" s="14" t="inlineStr">
        <is>
          <t>mch</t>
        </is>
      </c>
      <c r="D1976" s="35">
        <f>INDEX(Inputs!$W$5:$W$132,MATCH($B1976&amp;"|"&amp;$C1976,Inputs!$A$5:$A$132,0))</f>
        <v/>
      </c>
      <c r="E1976" s="35">
        <f>INDEX(Inputs!$M$5:$M$132,MATCH($B1976&amp;"|"&amp;$C1976,Inputs!$A$5:$A$132,0))</f>
        <v/>
      </c>
      <c r="F1976" s="39" t="n"/>
      <c r="G1976" s="39" t="n"/>
      <c r="H1976" s="14">
        <f>INDEX(VarLab,MATCH($A1976,VarKey,0))&amp;INDEX(MemLab,MATCH($C1976&amp;"|"&amp;$B1976,MemKey,0))</f>
        <v/>
      </c>
      <c r="I1976" s="14">
        <f>INDEX(VarUnit,MATCH($A1976,VarKey,0))</f>
        <v/>
      </c>
      <c r="J1976" s="14">
        <f>INDEX(VarSrc,MATCH($A1976,VarKey,0))</f>
        <v/>
      </c>
      <c r="K1976" s="11">
        <f>CodePrefix&amp;$A1976&amp;IF($C1976="","","."&amp;$C1976&amp;"."&amp;$B1976)&amp;INDEX(VarEnd,MATCH($A1976,VarKey,0))&amp;K$5</f>
        <v/>
      </c>
      <c r="L1976" s="40">
        <f>INDEX(L$297:L$313,$E1976)*$D1976</f>
        <v/>
      </c>
      <c r="M1976" s="35">
        <f>INDEX(M$297:M$313,$E1976)*$D1976</f>
        <v/>
      </c>
      <c r="N1976" s="35">
        <f>INDEX(N$297:N$313,$E1976)*$D1976</f>
        <v/>
      </c>
      <c r="O1976" s="35">
        <f>INDEX(O$297:O$313,$E1976)*$D1976</f>
        <v/>
      </c>
      <c r="P1976" s="35">
        <f>INDEX(P$297:P$313,$E1976)*$D1976</f>
        <v/>
      </c>
      <c r="Q1976" s="35">
        <f>INDEX(Q$297:Q$313,$E1976)*$D1976</f>
        <v/>
      </c>
      <c r="R1976" s="35">
        <f>INDEX(R$297:R$313,$E1976)*$D1976</f>
        <v/>
      </c>
      <c r="S1976" s="35">
        <f>INDEX(S$297:S$313,$E1976)*$D1976</f>
        <v/>
      </c>
      <c r="T1976" s="35">
        <f>INDEX(T$297:T$313,$E1976)*$D1976</f>
        <v/>
      </c>
      <c r="U1976" s="35">
        <f>INDEX(U$297:U$313,$E1976)*$D1976</f>
        <v/>
      </c>
      <c r="V1976" s="35">
        <f>INDEX(V$297:V$313,$E1976)*$D1976</f>
        <v/>
      </c>
      <c r="W1976" s="35">
        <f>INDEX(W$297:W$313,$E1976)*$D1976</f>
        <v/>
      </c>
      <c r="X1976" s="35">
        <f>INDEX(X$297:X$313,$E1976)*$D1976</f>
        <v/>
      </c>
      <c r="Y1976" s="35">
        <f>INDEX(Y$297:Y$313,$E1976)*$D1976</f>
        <v/>
      </c>
      <c r="Z1976" s="35">
        <f>INDEX(Z$297:Z$313,$E1976)*$D1976</f>
        <v/>
      </c>
      <c r="AA1976" s="35">
        <f>INDEX(AA$297:AA$313,$E1976)*$D1976</f>
        <v/>
      </c>
      <c r="AB1976" s="35">
        <f>INDEX(AB$297:AB$313,$E1976)*$D1976</f>
        <v/>
      </c>
      <c r="AC1976" s="35">
        <f>INDEX(AC$297:AC$313,$E1976)*$D1976</f>
        <v/>
      </c>
      <c r="AD1976" s="35">
        <f>INDEX(AD$297:AD$313,$E1976)*$D1976</f>
        <v/>
      </c>
      <c r="AE1976" s="42">
        <f>SHADOWGJ(INDEX(AE$297:AE$313,$E1976),$D1976)</f>
        <v/>
      </c>
      <c r="AG1976" s="11">
        <f>CodePrefix&amp;$A1976&amp;IF($C1976="","","."&amp;$C1976&amp;"."&amp;$B1976)&amp;INDEX(VarEnd,MATCH($A1976,VarKey,0))&amp;AG$5</f>
        <v/>
      </c>
      <c r="AH1976" s="40">
        <f>INDEX(AH$297:AH$313,$E1976)*$D1976</f>
        <v/>
      </c>
      <c r="AI1976" s="35">
        <f>INDEX(AI$297:AI$313,$E1976)*$D1976</f>
        <v/>
      </c>
      <c r="AJ1976" s="35">
        <f>INDEX(AJ$297:AJ$313,$E1976)*$D1976</f>
        <v/>
      </c>
      <c r="AK1976" s="35">
        <f>INDEX(AK$297:AK$313,$E1976)*$D1976</f>
        <v/>
      </c>
      <c r="AL1976" s="35">
        <f>INDEX(AL$297:AL$313,$E1976)*$D1976</f>
        <v/>
      </c>
      <c r="AM1976" s="35">
        <f>INDEX(AM$297:AM$313,$E1976)*$D1976</f>
        <v/>
      </c>
      <c r="AN1976" s="35">
        <f>INDEX(AN$297:AN$313,$E1976)*$D1976</f>
        <v/>
      </c>
      <c r="AO1976" s="35">
        <f>INDEX(AO$297:AO$313,$E1976)*$D1976</f>
        <v/>
      </c>
      <c r="AP1976" s="35">
        <f>INDEX(AP$297:AP$313,$E1976)*$D1976</f>
        <v/>
      </c>
      <c r="AQ1976" s="35">
        <f>INDEX(AQ$297:AQ$313,$E1976)*$D1976</f>
        <v/>
      </c>
      <c r="AR1976" s="35">
        <f>INDEX(AR$297:AR$313,$E1976)*$D1976</f>
        <v/>
      </c>
      <c r="AS1976" s="35">
        <f>INDEX(AS$297:AS$313,$E1976)*$D1976</f>
        <v/>
      </c>
      <c r="AT1976" s="35">
        <f>INDEX(AT$297:AT$313,$E1976)*$D1976</f>
        <v/>
      </c>
      <c r="AU1976" s="35">
        <f>INDEX(AU$297:AU$313,$E1976)*$D1976</f>
        <v/>
      </c>
      <c r="AV1976" s="35">
        <f>INDEX(AV$297:AV$313,$E1976)*$D1976</f>
        <v/>
      </c>
      <c r="AW1976" s="35">
        <f>INDEX(AW$297:AW$313,$E1976)*$D1976</f>
        <v/>
      </c>
      <c r="AX1976" s="35">
        <f>INDEX(AX$297:AX$313,$E1976)*$D1976</f>
        <v/>
      </c>
      <c r="AY1976" s="35">
        <f>INDEX(AY$297:AY$313,$E1976)*$D1976</f>
        <v/>
      </c>
      <c r="AZ1976" s="35">
        <f>INDEX(AZ$297:AZ$313,$E1976)*$D1976</f>
        <v/>
      </c>
      <c r="BA1976" s="42">
        <f>SHADOWGJ(INDEX(BA$297:BA$313,$E1976),$D1976)</f>
        <v/>
      </c>
    </row>
    <row r="1977" hidden="1" outlineLevel="2">
      <c r="A1977" s="14" t="inlineStr">
        <is>
          <t>shp</t>
        </is>
      </c>
      <c r="B1977" s="14" t="inlineStr">
        <is>
          <t>ker</t>
        </is>
      </c>
      <c r="C1977" s="14" t="inlineStr">
        <is>
          <t>mch</t>
        </is>
      </c>
      <c r="D1977" s="35">
        <f>INDEX(Inputs!$W$5:$W$132,MATCH($B1977&amp;"|"&amp;$C1977,Inputs!$A$5:$A$132,0))</f>
        <v/>
      </c>
      <c r="E1977" s="35">
        <f>INDEX(Inputs!$M$5:$M$132,MATCH($B1977&amp;"|"&amp;$C1977,Inputs!$A$5:$A$132,0))</f>
        <v/>
      </c>
      <c r="F1977" s="39" t="n"/>
      <c r="G1977" s="39" t="n"/>
      <c r="H1977" s="14">
        <f>INDEX(VarLab,MATCH($A1977,VarKey,0))&amp;INDEX(MemLab,MATCH($C1977&amp;"|"&amp;$B1977,MemKey,0))</f>
        <v/>
      </c>
      <c r="I1977" s="14">
        <f>INDEX(VarUnit,MATCH($A1977,VarKey,0))</f>
        <v/>
      </c>
      <c r="J1977" s="14">
        <f>INDEX(VarSrc,MATCH($A1977,VarKey,0))</f>
        <v/>
      </c>
      <c r="K1977" s="11">
        <f>CodePrefix&amp;$A1977&amp;IF($C1977="","","."&amp;$C1977&amp;"."&amp;$B1977)&amp;INDEX(VarEnd,MATCH($A1977,VarKey,0))&amp;K$5</f>
        <v/>
      </c>
      <c r="L1977" s="40">
        <f>INDEX(L$297:L$313,$E1977)*$D1977</f>
        <v/>
      </c>
      <c r="M1977" s="35">
        <f>INDEX(M$297:M$313,$E1977)*$D1977</f>
        <v/>
      </c>
      <c r="N1977" s="35">
        <f>INDEX(N$297:N$313,$E1977)*$D1977</f>
        <v/>
      </c>
      <c r="O1977" s="35">
        <f>INDEX(O$297:O$313,$E1977)*$D1977</f>
        <v/>
      </c>
      <c r="P1977" s="35">
        <f>INDEX(P$297:P$313,$E1977)*$D1977</f>
        <v/>
      </c>
      <c r="Q1977" s="35">
        <f>INDEX(Q$297:Q$313,$E1977)*$D1977</f>
        <v/>
      </c>
      <c r="R1977" s="35">
        <f>INDEX(R$297:R$313,$E1977)*$D1977</f>
        <v/>
      </c>
      <c r="S1977" s="35">
        <f>INDEX(S$297:S$313,$E1977)*$D1977</f>
        <v/>
      </c>
      <c r="T1977" s="35">
        <f>INDEX(T$297:T$313,$E1977)*$D1977</f>
        <v/>
      </c>
      <c r="U1977" s="35">
        <f>INDEX(U$297:U$313,$E1977)*$D1977</f>
        <v/>
      </c>
      <c r="V1977" s="35">
        <f>INDEX(V$297:V$313,$E1977)*$D1977</f>
        <v/>
      </c>
      <c r="W1977" s="35">
        <f>INDEX(W$297:W$313,$E1977)*$D1977</f>
        <v/>
      </c>
      <c r="X1977" s="35">
        <f>INDEX(X$297:X$313,$E1977)*$D1977</f>
        <v/>
      </c>
      <c r="Y1977" s="35">
        <f>INDEX(Y$297:Y$313,$E1977)*$D1977</f>
        <v/>
      </c>
      <c r="Z1977" s="35">
        <f>INDEX(Z$297:Z$313,$E1977)*$D1977</f>
        <v/>
      </c>
      <c r="AA1977" s="35">
        <f>INDEX(AA$297:AA$313,$E1977)*$D1977</f>
        <v/>
      </c>
      <c r="AB1977" s="35">
        <f>INDEX(AB$297:AB$313,$E1977)*$D1977</f>
        <v/>
      </c>
      <c r="AC1977" s="35">
        <f>INDEX(AC$297:AC$313,$E1977)*$D1977</f>
        <v/>
      </c>
      <c r="AD1977" s="35">
        <f>INDEX(AD$297:AD$313,$E1977)*$D1977</f>
        <v/>
      </c>
      <c r="AE1977" s="42">
        <f>SHADOWGJ(INDEX(AE$297:AE$313,$E1977),$D1977)</f>
        <v/>
      </c>
      <c r="AG1977" s="11">
        <f>CodePrefix&amp;$A1977&amp;IF($C1977="","","."&amp;$C1977&amp;"."&amp;$B1977)&amp;INDEX(VarEnd,MATCH($A1977,VarKey,0))&amp;AG$5</f>
        <v/>
      </c>
      <c r="AH1977" s="40">
        <f>INDEX(AH$297:AH$313,$E1977)*$D1977</f>
        <v/>
      </c>
      <c r="AI1977" s="35">
        <f>INDEX(AI$297:AI$313,$E1977)*$D1977</f>
        <v/>
      </c>
      <c r="AJ1977" s="35">
        <f>INDEX(AJ$297:AJ$313,$E1977)*$D1977</f>
        <v/>
      </c>
      <c r="AK1977" s="35">
        <f>INDEX(AK$297:AK$313,$E1977)*$D1977</f>
        <v/>
      </c>
      <c r="AL1977" s="35">
        <f>INDEX(AL$297:AL$313,$E1977)*$D1977</f>
        <v/>
      </c>
      <c r="AM1977" s="35">
        <f>INDEX(AM$297:AM$313,$E1977)*$D1977</f>
        <v/>
      </c>
      <c r="AN1977" s="35">
        <f>INDEX(AN$297:AN$313,$E1977)*$D1977</f>
        <v/>
      </c>
      <c r="AO1977" s="35">
        <f>INDEX(AO$297:AO$313,$E1977)*$D1977</f>
        <v/>
      </c>
      <c r="AP1977" s="35">
        <f>INDEX(AP$297:AP$313,$E1977)*$D1977</f>
        <v/>
      </c>
      <c r="AQ1977" s="35">
        <f>INDEX(AQ$297:AQ$313,$E1977)*$D1977</f>
        <v/>
      </c>
      <c r="AR1977" s="35">
        <f>INDEX(AR$297:AR$313,$E1977)*$D1977</f>
        <v/>
      </c>
      <c r="AS1977" s="35">
        <f>INDEX(AS$297:AS$313,$E1977)*$D1977</f>
        <v/>
      </c>
      <c r="AT1977" s="35">
        <f>INDEX(AT$297:AT$313,$E1977)*$D1977</f>
        <v/>
      </c>
      <c r="AU1977" s="35">
        <f>INDEX(AU$297:AU$313,$E1977)*$D1977</f>
        <v/>
      </c>
      <c r="AV1977" s="35">
        <f>INDEX(AV$297:AV$313,$E1977)*$D1977</f>
        <v/>
      </c>
      <c r="AW1977" s="35">
        <f>INDEX(AW$297:AW$313,$E1977)*$D1977</f>
        <v/>
      </c>
      <c r="AX1977" s="35">
        <f>INDEX(AX$297:AX$313,$E1977)*$D1977</f>
        <v/>
      </c>
      <c r="AY1977" s="35">
        <f>INDEX(AY$297:AY$313,$E1977)*$D1977</f>
        <v/>
      </c>
      <c r="AZ1977" s="35">
        <f>INDEX(AZ$297:AZ$313,$E1977)*$D1977</f>
        <v/>
      </c>
      <c r="BA1977" s="42">
        <f>SHADOWGJ(INDEX(BA$297:BA$313,$E1977),$D1977)</f>
        <v/>
      </c>
    </row>
    <row r="1978" hidden="1" outlineLevel="2">
      <c r="A1978" s="14" t="inlineStr">
        <is>
          <t>shp</t>
        </is>
      </c>
      <c r="B1978" s="14" t="inlineStr">
        <is>
          <t>oop</t>
        </is>
      </c>
      <c r="C1978" s="14" t="inlineStr">
        <is>
          <t>mch</t>
        </is>
      </c>
      <c r="D1978" s="35">
        <f>INDEX(Inputs!$W$5:$W$132,MATCH($B1978&amp;"|"&amp;$C1978,Inputs!$A$5:$A$132,0))</f>
        <v/>
      </c>
      <c r="E1978" s="35">
        <f>INDEX(Inputs!$M$5:$M$132,MATCH($B1978&amp;"|"&amp;$C1978,Inputs!$A$5:$A$132,0))</f>
        <v/>
      </c>
      <c r="F1978" s="39" t="n"/>
      <c r="G1978" s="39" t="n"/>
      <c r="H1978" s="14">
        <f>INDEX(VarLab,MATCH($A1978,VarKey,0))&amp;INDEX(MemLab,MATCH($C1978&amp;"|"&amp;$B1978,MemKey,0))</f>
        <v/>
      </c>
      <c r="I1978" s="14">
        <f>INDEX(VarUnit,MATCH($A1978,VarKey,0))</f>
        <v/>
      </c>
      <c r="J1978" s="14">
        <f>INDEX(VarSrc,MATCH($A1978,VarKey,0))</f>
        <v/>
      </c>
      <c r="K1978" s="11">
        <f>CodePrefix&amp;$A1978&amp;IF($C1978="","","."&amp;$C1978&amp;"."&amp;$B1978)&amp;INDEX(VarEnd,MATCH($A1978,VarKey,0))&amp;K$5</f>
        <v/>
      </c>
      <c r="L1978" s="40">
        <f>INDEX(L$297:L$313,$E1978)*$D1978</f>
        <v/>
      </c>
      <c r="M1978" s="35">
        <f>INDEX(M$297:M$313,$E1978)*$D1978</f>
        <v/>
      </c>
      <c r="N1978" s="35">
        <f>INDEX(N$297:N$313,$E1978)*$D1978</f>
        <v/>
      </c>
      <c r="O1978" s="35">
        <f>INDEX(O$297:O$313,$E1978)*$D1978</f>
        <v/>
      </c>
      <c r="P1978" s="35">
        <f>INDEX(P$297:P$313,$E1978)*$D1978</f>
        <v/>
      </c>
      <c r="Q1978" s="35">
        <f>INDEX(Q$297:Q$313,$E1978)*$D1978</f>
        <v/>
      </c>
      <c r="R1978" s="35">
        <f>INDEX(R$297:R$313,$E1978)*$D1978</f>
        <v/>
      </c>
      <c r="S1978" s="35">
        <f>INDEX(S$297:S$313,$E1978)*$D1978</f>
        <v/>
      </c>
      <c r="T1978" s="35">
        <f>INDEX(T$297:T$313,$E1978)*$D1978</f>
        <v/>
      </c>
      <c r="U1978" s="35">
        <f>INDEX(U$297:U$313,$E1978)*$D1978</f>
        <v/>
      </c>
      <c r="V1978" s="35">
        <f>INDEX(V$297:V$313,$E1978)*$D1978</f>
        <v/>
      </c>
      <c r="W1978" s="35">
        <f>INDEX(W$297:W$313,$E1978)*$D1978</f>
        <v/>
      </c>
      <c r="X1978" s="35">
        <f>INDEX(X$297:X$313,$E1978)*$D1978</f>
        <v/>
      </c>
      <c r="Y1978" s="35">
        <f>INDEX(Y$297:Y$313,$E1978)*$D1978</f>
        <v/>
      </c>
      <c r="Z1978" s="35">
        <f>INDEX(Z$297:Z$313,$E1978)*$D1978</f>
        <v/>
      </c>
      <c r="AA1978" s="35">
        <f>INDEX(AA$297:AA$313,$E1978)*$D1978</f>
        <v/>
      </c>
      <c r="AB1978" s="35">
        <f>INDEX(AB$297:AB$313,$E1978)*$D1978</f>
        <v/>
      </c>
      <c r="AC1978" s="35">
        <f>INDEX(AC$297:AC$313,$E1978)*$D1978</f>
        <v/>
      </c>
      <c r="AD1978" s="35">
        <f>INDEX(AD$297:AD$313,$E1978)*$D1978</f>
        <v/>
      </c>
      <c r="AE1978" s="42">
        <f>SHADOWGJ(INDEX(AE$297:AE$313,$E1978),$D1978)</f>
        <v/>
      </c>
      <c r="AG1978" s="11">
        <f>CodePrefix&amp;$A1978&amp;IF($C1978="","","."&amp;$C1978&amp;"."&amp;$B1978)&amp;INDEX(VarEnd,MATCH($A1978,VarKey,0))&amp;AG$5</f>
        <v/>
      </c>
      <c r="AH1978" s="40">
        <f>INDEX(AH$297:AH$313,$E1978)*$D1978</f>
        <v/>
      </c>
      <c r="AI1978" s="35">
        <f>INDEX(AI$297:AI$313,$E1978)*$D1978</f>
        <v/>
      </c>
      <c r="AJ1978" s="35">
        <f>INDEX(AJ$297:AJ$313,$E1978)*$D1978</f>
        <v/>
      </c>
      <c r="AK1978" s="35">
        <f>INDEX(AK$297:AK$313,$E1978)*$D1978</f>
        <v/>
      </c>
      <c r="AL1978" s="35">
        <f>INDEX(AL$297:AL$313,$E1978)*$D1978</f>
        <v/>
      </c>
      <c r="AM1978" s="35">
        <f>INDEX(AM$297:AM$313,$E1978)*$D1978</f>
        <v/>
      </c>
      <c r="AN1978" s="35">
        <f>INDEX(AN$297:AN$313,$E1978)*$D1978</f>
        <v/>
      </c>
      <c r="AO1978" s="35">
        <f>INDEX(AO$297:AO$313,$E1978)*$D1978</f>
        <v/>
      </c>
      <c r="AP1978" s="35">
        <f>INDEX(AP$297:AP$313,$E1978)*$D1978</f>
        <v/>
      </c>
      <c r="AQ1978" s="35">
        <f>INDEX(AQ$297:AQ$313,$E1978)*$D1978</f>
        <v/>
      </c>
      <c r="AR1978" s="35">
        <f>INDEX(AR$297:AR$313,$E1978)*$D1978</f>
        <v/>
      </c>
      <c r="AS1978" s="35">
        <f>INDEX(AS$297:AS$313,$E1978)*$D1978</f>
        <v/>
      </c>
      <c r="AT1978" s="35">
        <f>INDEX(AT$297:AT$313,$E1978)*$D1978</f>
        <v/>
      </c>
      <c r="AU1978" s="35">
        <f>INDEX(AU$297:AU$313,$E1978)*$D1978</f>
        <v/>
      </c>
      <c r="AV1978" s="35">
        <f>INDEX(AV$297:AV$313,$E1978)*$D1978</f>
        <v/>
      </c>
      <c r="AW1978" s="35">
        <f>INDEX(AW$297:AW$313,$E1978)*$D1978</f>
        <v/>
      </c>
      <c r="AX1978" s="35">
        <f>INDEX(AX$297:AX$313,$E1978)*$D1978</f>
        <v/>
      </c>
      <c r="AY1978" s="35">
        <f>INDEX(AY$297:AY$313,$E1978)*$D1978</f>
        <v/>
      </c>
      <c r="AZ1978" s="35">
        <f>INDEX(AZ$297:AZ$313,$E1978)*$D1978</f>
        <v/>
      </c>
      <c r="BA1978" s="42">
        <f>SHADOWGJ(INDEX(BA$297:BA$313,$E1978),$D1978)</f>
        <v/>
      </c>
    </row>
    <row r="1979" hidden="1" outlineLevel="2">
      <c r="A1979" s="14" t="inlineStr">
        <is>
          <t>shp</t>
        </is>
      </c>
      <c r="B1979" s="14" t="inlineStr">
        <is>
          <t>bio</t>
        </is>
      </c>
      <c r="C1979" s="14" t="inlineStr">
        <is>
          <t>mch</t>
        </is>
      </c>
      <c r="D1979" s="35">
        <f>INDEX(Inputs!$W$5:$W$132,MATCH($B1979&amp;"|"&amp;$C1979,Inputs!$A$5:$A$132,0))</f>
        <v/>
      </c>
      <c r="E1979" s="35">
        <f>INDEX(Inputs!$M$5:$M$132,MATCH($B1979&amp;"|"&amp;$C1979,Inputs!$A$5:$A$132,0))</f>
        <v/>
      </c>
      <c r="F1979" s="39" t="n"/>
      <c r="G1979" s="39" t="n"/>
      <c r="H1979" s="14">
        <f>INDEX(VarLab,MATCH($A1979,VarKey,0))&amp;INDEX(MemLab,MATCH($C1979&amp;"|"&amp;$B1979,MemKey,0))</f>
        <v/>
      </c>
      <c r="I1979" s="14">
        <f>INDEX(VarUnit,MATCH($A1979,VarKey,0))</f>
        <v/>
      </c>
      <c r="J1979" s="14">
        <f>INDEX(VarSrc,MATCH($A1979,VarKey,0))</f>
        <v/>
      </c>
      <c r="K1979" s="11">
        <f>CodePrefix&amp;$A1979&amp;IF($C1979="","","."&amp;$C1979&amp;"."&amp;$B1979)&amp;INDEX(VarEnd,MATCH($A1979,VarKey,0))&amp;K$5</f>
        <v/>
      </c>
      <c r="L1979" s="40">
        <f>INDEX(L$297:L$313,$E1979)*$D1979</f>
        <v/>
      </c>
      <c r="M1979" s="35">
        <f>INDEX(M$297:M$313,$E1979)*$D1979</f>
        <v/>
      </c>
      <c r="N1979" s="35">
        <f>INDEX(N$297:N$313,$E1979)*$D1979</f>
        <v/>
      </c>
      <c r="O1979" s="35">
        <f>INDEX(O$297:O$313,$E1979)*$D1979</f>
        <v/>
      </c>
      <c r="P1979" s="35">
        <f>INDEX(P$297:P$313,$E1979)*$D1979</f>
        <v/>
      </c>
      <c r="Q1979" s="35">
        <f>INDEX(Q$297:Q$313,$E1979)*$D1979</f>
        <v/>
      </c>
      <c r="R1979" s="35">
        <f>INDEX(R$297:R$313,$E1979)*$D1979</f>
        <v/>
      </c>
      <c r="S1979" s="35">
        <f>INDEX(S$297:S$313,$E1979)*$D1979</f>
        <v/>
      </c>
      <c r="T1979" s="35">
        <f>INDEX(T$297:T$313,$E1979)*$D1979</f>
        <v/>
      </c>
      <c r="U1979" s="35">
        <f>INDEX(U$297:U$313,$E1979)*$D1979</f>
        <v/>
      </c>
      <c r="V1979" s="35">
        <f>INDEX(V$297:V$313,$E1979)*$D1979</f>
        <v/>
      </c>
      <c r="W1979" s="35">
        <f>INDEX(W$297:W$313,$E1979)*$D1979</f>
        <v/>
      </c>
      <c r="X1979" s="35">
        <f>INDEX(X$297:X$313,$E1979)*$D1979</f>
        <v/>
      </c>
      <c r="Y1979" s="35">
        <f>INDEX(Y$297:Y$313,$E1979)*$D1979</f>
        <v/>
      </c>
      <c r="Z1979" s="35">
        <f>INDEX(Z$297:Z$313,$E1979)*$D1979</f>
        <v/>
      </c>
      <c r="AA1979" s="35">
        <f>INDEX(AA$297:AA$313,$E1979)*$D1979</f>
        <v/>
      </c>
      <c r="AB1979" s="35">
        <f>INDEX(AB$297:AB$313,$E1979)*$D1979</f>
        <v/>
      </c>
      <c r="AC1979" s="35">
        <f>INDEX(AC$297:AC$313,$E1979)*$D1979</f>
        <v/>
      </c>
      <c r="AD1979" s="35">
        <f>INDEX(AD$297:AD$313,$E1979)*$D1979</f>
        <v/>
      </c>
      <c r="AE1979" s="42">
        <f>SHADOWGJ(INDEX(AE$297:AE$313,$E1979),$D1979)</f>
        <v/>
      </c>
      <c r="AG1979" s="11">
        <f>CodePrefix&amp;$A1979&amp;IF($C1979="","","."&amp;$C1979&amp;"."&amp;$B1979)&amp;INDEX(VarEnd,MATCH($A1979,VarKey,0))&amp;AG$5</f>
        <v/>
      </c>
      <c r="AH1979" s="40">
        <f>INDEX(AH$297:AH$313,$E1979)*$D1979</f>
        <v/>
      </c>
      <c r="AI1979" s="35">
        <f>INDEX(AI$297:AI$313,$E1979)*$D1979</f>
        <v/>
      </c>
      <c r="AJ1979" s="35">
        <f>INDEX(AJ$297:AJ$313,$E1979)*$D1979</f>
        <v/>
      </c>
      <c r="AK1979" s="35">
        <f>INDEX(AK$297:AK$313,$E1979)*$D1979</f>
        <v/>
      </c>
      <c r="AL1979" s="35">
        <f>INDEX(AL$297:AL$313,$E1979)*$D1979</f>
        <v/>
      </c>
      <c r="AM1979" s="35">
        <f>INDEX(AM$297:AM$313,$E1979)*$D1979</f>
        <v/>
      </c>
      <c r="AN1979" s="35">
        <f>INDEX(AN$297:AN$313,$E1979)*$D1979</f>
        <v/>
      </c>
      <c r="AO1979" s="35">
        <f>INDEX(AO$297:AO$313,$E1979)*$D1979</f>
        <v/>
      </c>
      <c r="AP1979" s="35">
        <f>INDEX(AP$297:AP$313,$E1979)*$D1979</f>
        <v/>
      </c>
      <c r="AQ1979" s="35">
        <f>INDEX(AQ$297:AQ$313,$E1979)*$D1979</f>
        <v/>
      </c>
      <c r="AR1979" s="35">
        <f>INDEX(AR$297:AR$313,$E1979)*$D1979</f>
        <v/>
      </c>
      <c r="AS1979" s="35">
        <f>INDEX(AS$297:AS$313,$E1979)*$D1979</f>
        <v/>
      </c>
      <c r="AT1979" s="35">
        <f>INDEX(AT$297:AT$313,$E1979)*$D1979</f>
        <v/>
      </c>
      <c r="AU1979" s="35">
        <f>INDEX(AU$297:AU$313,$E1979)*$D1979</f>
        <v/>
      </c>
      <c r="AV1979" s="35">
        <f>INDEX(AV$297:AV$313,$E1979)*$D1979</f>
        <v/>
      </c>
      <c r="AW1979" s="35">
        <f>INDEX(AW$297:AW$313,$E1979)*$D1979</f>
        <v/>
      </c>
      <c r="AX1979" s="35">
        <f>INDEX(AX$297:AX$313,$E1979)*$D1979</f>
        <v/>
      </c>
      <c r="AY1979" s="35">
        <f>INDEX(AY$297:AY$313,$E1979)*$D1979</f>
        <v/>
      </c>
      <c r="AZ1979" s="35">
        <f>INDEX(AZ$297:AZ$313,$E1979)*$D1979</f>
        <v/>
      </c>
      <c r="BA1979" s="42">
        <f>SHADOWGJ(INDEX(BA$297:BA$313,$E1979),$D1979)</f>
        <v/>
      </c>
    </row>
    <row r="1980" hidden="1" outlineLevel="2"/>
    <row r="1981" hidden="1" outlineLevel="2">
      <c r="A1981" s="14" t="inlineStr">
        <is>
          <t>ener</t>
        </is>
      </c>
      <c r="B1981" s="14" t="inlineStr">
        <is>
          <t>coa</t>
        </is>
      </c>
      <c r="C1981" s="14" t="inlineStr">
        <is>
          <t>mch</t>
        </is>
      </c>
      <c r="D1981" s="35">
        <f>INDEX(Inputs!$O$5:$O$132,MATCH($B1981&amp;"|"&amp;$C1981,Inputs!$A$5:$A$132,0))</f>
        <v/>
      </c>
      <c r="E1981" s="35">
        <f>INDEX(Inputs!$P$5:$P$132,MATCH($B1981&amp;"|"&amp;$C1981,Inputs!$A$5:$A$132,0))</f>
        <v/>
      </c>
      <c r="F1981" s="35">
        <f>INDEX(Inputs!$T$5:$T$132,MATCH($B1981&amp;"|"&amp;$C1981,Inputs!$A$5:$A$132,0))</f>
        <v/>
      </c>
      <c r="G1981" s="35">
        <f>INDEX(Inputs!$S$5:$S$132,MATCH($B1981&amp;"|"&amp;$C1981,Inputs!$A$5:$A$132,0))</f>
        <v/>
      </c>
      <c r="H1981" s="14">
        <f>INDEX(VarLab,MATCH($A1981,VarKey,0))&amp;INDEX(MemLab,MATCH($C1981&amp;"|"&amp;$B1981,MemKey,0))</f>
        <v/>
      </c>
      <c r="I1981" s="14">
        <f>INDEX(VarUnit,MATCH($A1981,VarKey,0))</f>
        <v/>
      </c>
      <c r="J1981" s="14">
        <f>INDEX(VarSrc,MATCH($A1981,VarKey,0))</f>
        <v/>
      </c>
      <c r="K1981" s="11">
        <f>CodePrefix&amp;$A1981&amp;IF($C1981="","","."&amp;$C1981&amp;"."&amp;$B1981)&amp;INDEX(VarEnd,MATCH($A1981,VarKey,0))&amp;K$5</f>
        <v/>
      </c>
      <c r="L1981" s="43">
        <f>INDEX(Inputs!$X$5:$X$132,MATCH($B1981&amp;"|"&amp;$C1981,Inputs!$A$5:$A$132,0))</f>
        <v/>
      </c>
      <c r="M1981" s="44">
        <f>L1981*$G1981*(1+M$7)^$D1981*(M1963/L1963)^$E1981*((M1963+M1972)/(L1963+L1972))^$F1981</f>
        <v/>
      </c>
      <c r="N1981" s="44">
        <f>M1981*$G1981*(1+N$7)^$D1981*(N1963/M1963)^$E1981*((N1963+N1972)/(M1963+M1972))^$F1981</f>
        <v/>
      </c>
      <c r="O1981" s="44">
        <f>N1981*$G1981*(1+O$7)^$D1981*(O1963/N1963)^$E1981*((O1963+O1972)/(N1963+N1972))^$F1981</f>
        <v/>
      </c>
      <c r="P1981" s="44">
        <f>O1981*$G1981*(1+P$7)^$D1981*(P1963/O1963)^$E1981*((P1963+P1972)/(O1963+O1972))^$F1981</f>
        <v/>
      </c>
      <c r="Q1981" s="44">
        <f>P1981*$G1981*(1+Q$7)^$D1981*(Q1963/P1963)^$E1981*((Q1963+Q1972)/(P1963+P1972))^$F1981</f>
        <v/>
      </c>
      <c r="R1981" s="44">
        <f>Q1981*$G1981*(1+R$7)^$D1981*(R1963/Q1963)^$E1981*((R1963+R1972)/(Q1963+Q1972))^$F1981</f>
        <v/>
      </c>
      <c r="S1981" s="44">
        <f>R1981*$G1981*(1+S$7)^$D1981*(S1963/R1963)^$E1981*((S1963+S1972)/(R1963+R1972))^$F1981</f>
        <v/>
      </c>
      <c r="T1981" s="44">
        <f>S1981*$G1981*(1+T$7)^$D1981*(T1963/S1963)^$E1981*((T1963+T1972)/(S1963+S1972))^$F1981</f>
        <v/>
      </c>
      <c r="U1981" s="44">
        <f>T1981*$G1981*(1+U$7)^$D1981*(U1963/T1963)^$E1981*((U1963+U1972)/(T1963+T1972))^$F1981</f>
        <v/>
      </c>
      <c r="V1981" s="44">
        <f>U1981*$G1981*(1+V$7)^$D1981*(V1963/U1963)^$E1981*((V1963+V1972)/(U1963+U1972))^$F1981</f>
        <v/>
      </c>
      <c r="W1981" s="44">
        <f>V1981*$G1981*(1+W$7)^$D1981*(W1963/V1963)^$E1981*((W1963+W1972)/(V1963+V1972))^$F1981</f>
        <v/>
      </c>
      <c r="X1981" s="44">
        <f>W1981*$G1981*(1+X$7)^$D1981*(X1963/W1963)^$E1981*((X1963+X1972)/(W1963+W1972))^$F1981</f>
        <v/>
      </c>
      <c r="Y1981" s="44">
        <f>X1981*$G1981*(1+Y$7)^$D1981*(Y1963/X1963)^$E1981*((Y1963+Y1972)/(X1963+X1972))^$F1981</f>
        <v/>
      </c>
      <c r="Z1981" s="44">
        <f>Y1981*$G1981*(1+Z$7)^$D1981*(Z1963/Y1963)^$E1981*((Z1963+Z1972)/(Y1963+Y1972))^$F1981</f>
        <v/>
      </c>
      <c r="AA1981" s="44">
        <f>Z1981*$G1981*(1+AA$7)^$D1981*(AA1963/Z1963)^$E1981*((AA1963+AA1972)/(Z1963+Z1972))^$F1981</f>
        <v/>
      </c>
      <c r="AB1981" s="44">
        <f>AA1981*$G1981*(1+AB$7)^$D1981*(AB1963/AA1963)^$E1981*((AB1963+AB1972)/(AA1963+AA1972))^$F1981</f>
        <v/>
      </c>
      <c r="AC1981" s="44">
        <f>AB1981*$G1981*(1+AC$7)^$D1981*(AC1963/AB1963)^$E1981*((AC1963+AC1972)/(AB1963+AB1972))^$F1981</f>
        <v/>
      </c>
      <c r="AD1981" s="44">
        <f>AC1981*$G1981*(1+AD$7)^$D1981*(AD1963/AC1963)^$E1981*((AD1963+AD1972)/(AC1963+AC1972))^$F1981</f>
        <v/>
      </c>
      <c r="AE1981" s="57">
        <f>FUELUSE(AD1981,AE1963,AD1963,AE1972,AD1972,AE$7,$D1981,$E1981,$F1981,$G1981)</f>
        <v/>
      </c>
      <c r="AG1981" s="11">
        <f>CodePrefix&amp;$A1981&amp;IF($C1981="","","."&amp;$C1981&amp;"."&amp;$B1981)&amp;INDEX(VarEnd,MATCH($A1981,VarKey,0))&amp;AG$5</f>
        <v/>
      </c>
      <c r="AH1981" s="43">
        <f>INDEX(Inputs!$X$5:$X$132,MATCH($B1981&amp;"|"&amp;$C1981,Inputs!$A$5:$A$132,0))</f>
        <v/>
      </c>
      <c r="AI1981" s="44">
        <f>AH1981*$G1981*(1+AI$7)^$D1981*(AI1963/AH1963)^$E1981*((AI1963+AI1972)/(AH1963+AH1972))^$F1981</f>
        <v/>
      </c>
      <c r="AJ1981" s="44">
        <f>AI1981*$G1981*(1+AJ$7)^$D1981*(AJ1963/AI1963)^$E1981*((AJ1963+AJ1972)/(AI1963+AI1972))^$F1981</f>
        <v/>
      </c>
      <c r="AK1981" s="44">
        <f>AJ1981*$G1981*(1+AK$7)^$D1981*(AK1963/AJ1963)^$E1981*((AK1963+AK1972)/(AJ1963+AJ1972))^$F1981</f>
        <v/>
      </c>
      <c r="AL1981" s="44">
        <f>AK1981*$G1981*(1+AL$7)^$D1981*(AL1963/AK1963)^$E1981*((AL1963+AL1972)/(AK1963+AK1972))^$F1981</f>
        <v/>
      </c>
      <c r="AM1981" s="44">
        <f>AL1981*$G1981*(1+AM$7)^$D1981*(AM1963/AL1963)^$E1981*((AM1963+AM1972)/(AL1963+AL1972))^$F1981</f>
        <v/>
      </c>
      <c r="AN1981" s="44">
        <f>AM1981*$G1981*(1+AN$7)^$D1981*(AN1963/AM1963)^$E1981*((AN1963+AN1972)/(AM1963+AM1972))^$F1981</f>
        <v/>
      </c>
      <c r="AO1981" s="44">
        <f>AN1981*$G1981*(1+AO$7)^$D1981*(AO1963/AN1963)^$E1981*((AO1963+AO1972)/(AN1963+AN1972))^$F1981</f>
        <v/>
      </c>
      <c r="AP1981" s="44">
        <f>AO1981*$G1981*(1+AP$7)^$D1981*(AP1963/AO1963)^$E1981*((AP1963+AP1972)/(AO1963+AO1972))^$F1981</f>
        <v/>
      </c>
      <c r="AQ1981" s="44">
        <f>AP1981*$G1981*(1+AQ$7)^$D1981*(AQ1963/AP1963)^$E1981*((AQ1963+AQ1972)/(AP1963+AP1972))^$F1981</f>
        <v/>
      </c>
      <c r="AR1981" s="44">
        <f>AQ1981*$G1981*(1+AR$7)^$D1981*(AR1963/AQ1963)^$E1981*((AR1963+AR1972)/(AQ1963+AQ1972))^$F1981</f>
        <v/>
      </c>
      <c r="AS1981" s="44">
        <f>AR1981*$G1981*(1+AS$7)^$D1981*(AS1963/AR1963)^$E1981*((AS1963+AS1972)/(AR1963+AR1972))^$F1981</f>
        <v/>
      </c>
      <c r="AT1981" s="44">
        <f>AS1981*$G1981*(1+AT$7)^$D1981*(AT1963/AS1963)^$E1981*((AT1963+AT1972)/(AS1963+AS1972))^$F1981</f>
        <v/>
      </c>
      <c r="AU1981" s="44">
        <f>AT1981*$G1981*(1+AU$7)^$D1981*(AU1963/AT1963)^$E1981*((AU1963+AU1972)/(AT1963+AT1972))^$F1981</f>
        <v/>
      </c>
      <c r="AV1981" s="44">
        <f>AU1981*$G1981*(1+AV$7)^$D1981*(AV1963/AU1963)^$E1981*((AV1963+AV1972)/(AU1963+AU1972))^$F1981</f>
        <v/>
      </c>
      <c r="AW1981" s="44">
        <f>AV1981*$G1981*(1+AW$7)^$D1981*(AW1963/AV1963)^$E1981*((AW1963+AW1972)/(AV1963+AV1972))^$F1981</f>
        <v/>
      </c>
      <c r="AX1981" s="44">
        <f>AW1981*$G1981*(1+AX$7)^$D1981*(AX1963/AW1963)^$E1981*((AX1963+AX1972)/(AW1963+AW1972))^$F1981</f>
        <v/>
      </c>
      <c r="AY1981" s="44">
        <f>AX1981*$G1981*(1+AY$7)^$D1981*(AY1963/AX1963)^$E1981*((AY1963+AY1972)/(AX1963+AX1972))^$F1981</f>
        <v/>
      </c>
      <c r="AZ1981" s="44">
        <f>AY1981*$G1981*(1+AZ$7)^$D1981*(AZ1963/AY1963)^$E1981*((AZ1963+AZ1972)/(AY1963+AY1972))^$F1981</f>
        <v/>
      </c>
      <c r="BA1981" s="57">
        <f>FUELUSE(AZ1981,BA1963,AZ1963,BA1972,AZ1972,BA$7,$D1981,$E1981,$F1981,$G1981)</f>
        <v/>
      </c>
    </row>
    <row r="1982" hidden="1" outlineLevel="2">
      <c r="A1982" s="14" t="inlineStr">
        <is>
          <t>ener</t>
        </is>
      </c>
      <c r="B1982" s="14" t="inlineStr">
        <is>
          <t>nga</t>
        </is>
      </c>
      <c r="C1982" s="14" t="inlineStr">
        <is>
          <t>mch</t>
        </is>
      </c>
      <c r="D1982" s="35">
        <f>INDEX(Inputs!$O$5:$O$132,MATCH($B1982&amp;"|"&amp;$C1982,Inputs!$A$5:$A$132,0))</f>
        <v/>
      </c>
      <c r="E1982" s="35">
        <f>INDEX(Inputs!$P$5:$P$132,MATCH($B1982&amp;"|"&amp;$C1982,Inputs!$A$5:$A$132,0))</f>
        <v/>
      </c>
      <c r="F1982" s="35">
        <f>INDEX(Inputs!$T$5:$T$132,MATCH($B1982&amp;"|"&amp;$C1982,Inputs!$A$5:$A$132,0))</f>
        <v/>
      </c>
      <c r="G1982" s="35">
        <f>INDEX(Inputs!$S$5:$S$132,MATCH($B1982&amp;"|"&amp;$C1982,Inputs!$A$5:$A$132,0))</f>
        <v/>
      </c>
      <c r="H1982" s="14">
        <f>INDEX(VarLab,MATCH($A1982,VarKey,0))&amp;INDEX(MemLab,MATCH($C1982&amp;"|"&amp;$B1982,MemKey,0))</f>
        <v/>
      </c>
      <c r="I1982" s="14">
        <f>INDEX(VarUnit,MATCH($A1982,VarKey,0))</f>
        <v/>
      </c>
      <c r="J1982" s="14">
        <f>INDEX(VarSrc,MATCH($A1982,VarKey,0))</f>
        <v/>
      </c>
      <c r="K1982" s="11">
        <f>CodePrefix&amp;$A1982&amp;IF($C1982="","","."&amp;$C1982&amp;"."&amp;$B1982)&amp;INDEX(VarEnd,MATCH($A1982,VarKey,0))&amp;K$5</f>
        <v/>
      </c>
      <c r="L1982" s="43">
        <f>INDEX(Inputs!$X$5:$X$132,MATCH($B1982&amp;"|"&amp;$C1982,Inputs!$A$5:$A$132,0))</f>
        <v/>
      </c>
      <c r="M1982" s="44">
        <f>L1982*$G1982*(1+M$7)^$D1982*(M1964/L1964)^$E1982*((M1964+M1973)/(L1964+L1973))^$F1982</f>
        <v/>
      </c>
      <c r="N1982" s="44">
        <f>M1982*$G1982*(1+N$7)^$D1982*(N1964/M1964)^$E1982*((N1964+N1973)/(M1964+M1973))^$F1982</f>
        <v/>
      </c>
      <c r="O1982" s="44">
        <f>N1982*$G1982*(1+O$7)^$D1982*(O1964/N1964)^$E1982*((O1964+O1973)/(N1964+N1973))^$F1982</f>
        <v/>
      </c>
      <c r="P1982" s="44">
        <f>O1982*$G1982*(1+P$7)^$D1982*(P1964/O1964)^$E1982*((P1964+P1973)/(O1964+O1973))^$F1982</f>
        <v/>
      </c>
      <c r="Q1982" s="44">
        <f>P1982*$G1982*(1+Q$7)^$D1982*(Q1964/P1964)^$E1982*((Q1964+Q1973)/(P1964+P1973))^$F1982</f>
        <v/>
      </c>
      <c r="R1982" s="44">
        <f>Q1982*$G1982*(1+R$7)^$D1982*(R1964/Q1964)^$E1982*((R1964+R1973)/(Q1964+Q1973))^$F1982</f>
        <v/>
      </c>
      <c r="S1982" s="44">
        <f>R1982*$G1982*(1+S$7)^$D1982*(S1964/R1964)^$E1982*((S1964+S1973)/(R1964+R1973))^$F1982</f>
        <v/>
      </c>
      <c r="T1982" s="44">
        <f>S1982*$G1982*(1+T$7)^$D1982*(T1964/S1964)^$E1982*((T1964+T1973)/(S1964+S1973))^$F1982</f>
        <v/>
      </c>
      <c r="U1982" s="44">
        <f>T1982*$G1982*(1+U$7)^$D1982*(U1964/T1964)^$E1982*((U1964+U1973)/(T1964+T1973))^$F1982</f>
        <v/>
      </c>
      <c r="V1982" s="44">
        <f>U1982*$G1982*(1+V$7)^$D1982*(V1964/U1964)^$E1982*((V1964+V1973)/(U1964+U1973))^$F1982</f>
        <v/>
      </c>
      <c r="W1982" s="44">
        <f>V1982*$G1982*(1+W$7)^$D1982*(W1964/V1964)^$E1982*((W1964+W1973)/(V1964+V1973))^$F1982</f>
        <v/>
      </c>
      <c r="X1982" s="44">
        <f>W1982*$G1982*(1+X$7)^$D1982*(X1964/W1964)^$E1982*((X1964+X1973)/(W1964+W1973))^$F1982</f>
        <v/>
      </c>
      <c r="Y1982" s="44">
        <f>X1982*$G1982*(1+Y$7)^$D1982*(Y1964/X1964)^$E1982*((Y1964+Y1973)/(X1964+X1973))^$F1982</f>
        <v/>
      </c>
      <c r="Z1982" s="44">
        <f>Y1982*$G1982*(1+Z$7)^$D1982*(Z1964/Y1964)^$E1982*((Z1964+Z1973)/(Y1964+Y1973))^$F1982</f>
        <v/>
      </c>
      <c r="AA1982" s="44">
        <f>Z1982*$G1982*(1+AA$7)^$D1982*(AA1964/Z1964)^$E1982*((AA1964+AA1973)/(Z1964+Z1973))^$F1982</f>
        <v/>
      </c>
      <c r="AB1982" s="44">
        <f>AA1982*$G1982*(1+AB$7)^$D1982*(AB1964/AA1964)^$E1982*((AB1964+AB1973)/(AA1964+AA1973))^$F1982</f>
        <v/>
      </c>
      <c r="AC1982" s="44">
        <f>AB1982*$G1982*(1+AC$7)^$D1982*(AC1964/AB1964)^$E1982*((AC1964+AC1973)/(AB1964+AB1973))^$F1982</f>
        <v/>
      </c>
      <c r="AD1982" s="44">
        <f>AC1982*$G1982*(1+AD$7)^$D1982*(AD1964/AC1964)^$E1982*((AD1964+AD1973)/(AC1964+AC1973))^$F1982</f>
        <v/>
      </c>
      <c r="AE1982" s="57">
        <f>FUELUSE(AD1982,AE1964,AD1964,AE1973,AD1973,AE$7,$D1982,$E1982,$F1982,$G1982)</f>
        <v/>
      </c>
      <c r="AG1982" s="11">
        <f>CodePrefix&amp;$A1982&amp;IF($C1982="","","."&amp;$C1982&amp;"."&amp;$B1982)&amp;INDEX(VarEnd,MATCH($A1982,VarKey,0))&amp;AG$5</f>
        <v/>
      </c>
      <c r="AH1982" s="43">
        <f>INDEX(Inputs!$X$5:$X$132,MATCH($B1982&amp;"|"&amp;$C1982,Inputs!$A$5:$A$132,0))</f>
        <v/>
      </c>
      <c r="AI1982" s="44">
        <f>AH1982*$G1982*(1+AI$7)^$D1982*(AI1964/AH1964)^$E1982*((AI1964+AI1973)/(AH1964+AH1973))^$F1982</f>
        <v/>
      </c>
      <c r="AJ1982" s="44">
        <f>AI1982*$G1982*(1+AJ$7)^$D1982*(AJ1964/AI1964)^$E1982*((AJ1964+AJ1973)/(AI1964+AI1973))^$F1982</f>
        <v/>
      </c>
      <c r="AK1982" s="44">
        <f>AJ1982*$G1982*(1+AK$7)^$D1982*(AK1964/AJ1964)^$E1982*((AK1964+AK1973)/(AJ1964+AJ1973))^$F1982</f>
        <v/>
      </c>
      <c r="AL1982" s="44">
        <f>AK1982*$G1982*(1+AL$7)^$D1982*(AL1964/AK1964)^$E1982*((AL1964+AL1973)/(AK1964+AK1973))^$F1982</f>
        <v/>
      </c>
      <c r="AM1982" s="44">
        <f>AL1982*$G1982*(1+AM$7)^$D1982*(AM1964/AL1964)^$E1982*((AM1964+AM1973)/(AL1964+AL1973))^$F1982</f>
        <v/>
      </c>
      <c r="AN1982" s="44">
        <f>AM1982*$G1982*(1+AN$7)^$D1982*(AN1964/AM1964)^$E1982*((AN1964+AN1973)/(AM1964+AM1973))^$F1982</f>
        <v/>
      </c>
      <c r="AO1982" s="44">
        <f>AN1982*$G1982*(1+AO$7)^$D1982*(AO1964/AN1964)^$E1982*((AO1964+AO1973)/(AN1964+AN1973))^$F1982</f>
        <v/>
      </c>
      <c r="AP1982" s="44">
        <f>AO1982*$G1982*(1+AP$7)^$D1982*(AP1964/AO1964)^$E1982*((AP1964+AP1973)/(AO1964+AO1973))^$F1982</f>
        <v/>
      </c>
      <c r="AQ1982" s="44">
        <f>AP1982*$G1982*(1+AQ$7)^$D1982*(AQ1964/AP1964)^$E1982*((AQ1964+AQ1973)/(AP1964+AP1973))^$F1982</f>
        <v/>
      </c>
      <c r="AR1982" s="44">
        <f>AQ1982*$G1982*(1+AR$7)^$D1982*(AR1964/AQ1964)^$E1982*((AR1964+AR1973)/(AQ1964+AQ1973))^$F1982</f>
        <v/>
      </c>
      <c r="AS1982" s="44">
        <f>AR1982*$G1982*(1+AS$7)^$D1982*(AS1964/AR1964)^$E1982*((AS1964+AS1973)/(AR1964+AR1973))^$F1982</f>
        <v/>
      </c>
      <c r="AT1982" s="44">
        <f>AS1982*$G1982*(1+AT$7)^$D1982*(AT1964/AS1964)^$E1982*((AT1964+AT1973)/(AS1964+AS1973))^$F1982</f>
        <v/>
      </c>
      <c r="AU1982" s="44">
        <f>AT1982*$G1982*(1+AU$7)^$D1982*(AU1964/AT1964)^$E1982*((AU1964+AU1973)/(AT1964+AT1973))^$F1982</f>
        <v/>
      </c>
      <c r="AV1982" s="44">
        <f>AU1982*$G1982*(1+AV$7)^$D1982*(AV1964/AU1964)^$E1982*((AV1964+AV1973)/(AU1964+AU1973))^$F1982</f>
        <v/>
      </c>
      <c r="AW1982" s="44">
        <f>AV1982*$G1982*(1+AW$7)^$D1982*(AW1964/AV1964)^$E1982*((AW1964+AW1973)/(AV1964+AV1973))^$F1982</f>
        <v/>
      </c>
      <c r="AX1982" s="44">
        <f>AW1982*$G1982*(1+AX$7)^$D1982*(AX1964/AW1964)^$E1982*((AX1964+AX1973)/(AW1964+AW1973))^$F1982</f>
        <v/>
      </c>
      <c r="AY1982" s="44">
        <f>AX1982*$G1982*(1+AY$7)^$D1982*(AY1964/AX1964)^$E1982*((AY1964+AY1973)/(AX1964+AX1973))^$F1982</f>
        <v/>
      </c>
      <c r="AZ1982" s="44">
        <f>AY1982*$G1982*(1+AZ$7)^$D1982*(AZ1964/AY1964)^$E1982*((AZ1964+AZ1973)/(AY1964+AY1973))^$F1982</f>
        <v/>
      </c>
      <c r="BA1982" s="57">
        <f>FUELUSE(AZ1982,BA1964,AZ1964,BA1973,AZ1973,BA$7,$D1982,$E1982,$F1982,$G1982)</f>
        <v/>
      </c>
    </row>
    <row r="1983" hidden="1" outlineLevel="2">
      <c r="A1983" s="14" t="inlineStr">
        <is>
          <t>ener</t>
        </is>
      </c>
      <c r="B1983" s="14" t="inlineStr">
        <is>
          <t>gso</t>
        </is>
      </c>
      <c r="C1983" s="14" t="inlineStr">
        <is>
          <t>mch</t>
        </is>
      </c>
      <c r="D1983" s="35">
        <f>INDEX(Inputs!$O$5:$O$132,MATCH($B1983&amp;"|"&amp;$C1983,Inputs!$A$5:$A$132,0))</f>
        <v/>
      </c>
      <c r="E1983" s="35">
        <f>INDEX(Inputs!$P$5:$P$132,MATCH($B1983&amp;"|"&amp;$C1983,Inputs!$A$5:$A$132,0))</f>
        <v/>
      </c>
      <c r="F1983" s="35">
        <f>INDEX(Inputs!$T$5:$T$132,MATCH($B1983&amp;"|"&amp;$C1983,Inputs!$A$5:$A$132,0))</f>
        <v/>
      </c>
      <c r="G1983" s="35">
        <f>INDEX(Inputs!$S$5:$S$132,MATCH($B1983&amp;"|"&amp;$C1983,Inputs!$A$5:$A$132,0))</f>
        <v/>
      </c>
      <c r="H1983" s="14">
        <f>INDEX(VarLab,MATCH($A1983,VarKey,0))&amp;INDEX(MemLab,MATCH($C1983&amp;"|"&amp;$B1983,MemKey,0))</f>
        <v/>
      </c>
      <c r="I1983" s="14">
        <f>INDEX(VarUnit,MATCH($A1983,VarKey,0))</f>
        <v/>
      </c>
      <c r="J1983" s="14">
        <f>INDEX(VarSrc,MATCH($A1983,VarKey,0))</f>
        <v/>
      </c>
      <c r="K1983" s="11">
        <f>CodePrefix&amp;$A1983&amp;IF($C1983="","","."&amp;$C1983&amp;"."&amp;$B1983)&amp;INDEX(VarEnd,MATCH($A1983,VarKey,0))&amp;K$5</f>
        <v/>
      </c>
      <c r="L1983" s="43">
        <f>INDEX(Inputs!$X$5:$X$132,MATCH($B1983&amp;"|"&amp;$C1983,Inputs!$A$5:$A$132,0))</f>
        <v/>
      </c>
      <c r="M1983" s="44">
        <f>L1983*$G1983*(1+M$7)^$D1983*(M1965/L1965)^$E1983*((M1965+M1974)/(L1965+L1974))^$F1983</f>
        <v/>
      </c>
      <c r="N1983" s="44">
        <f>M1983*$G1983*(1+N$7)^$D1983*(N1965/M1965)^$E1983*((N1965+N1974)/(M1965+M1974))^$F1983</f>
        <v/>
      </c>
      <c r="O1983" s="44">
        <f>N1983*$G1983*(1+O$7)^$D1983*(O1965/N1965)^$E1983*((O1965+O1974)/(N1965+N1974))^$F1983</f>
        <v/>
      </c>
      <c r="P1983" s="44">
        <f>O1983*$G1983*(1+P$7)^$D1983*(P1965/O1965)^$E1983*((P1965+P1974)/(O1965+O1974))^$F1983</f>
        <v/>
      </c>
      <c r="Q1983" s="44">
        <f>P1983*$G1983*(1+Q$7)^$D1983*(Q1965/P1965)^$E1983*((Q1965+Q1974)/(P1965+P1974))^$F1983</f>
        <v/>
      </c>
      <c r="R1983" s="44">
        <f>Q1983*$G1983*(1+R$7)^$D1983*(R1965/Q1965)^$E1983*((R1965+R1974)/(Q1965+Q1974))^$F1983</f>
        <v/>
      </c>
      <c r="S1983" s="44">
        <f>R1983*$G1983*(1+S$7)^$D1983*(S1965/R1965)^$E1983*((S1965+S1974)/(R1965+R1974))^$F1983</f>
        <v/>
      </c>
      <c r="T1983" s="44">
        <f>S1983*$G1983*(1+T$7)^$D1983*(T1965/S1965)^$E1983*((T1965+T1974)/(S1965+S1974))^$F1983</f>
        <v/>
      </c>
      <c r="U1983" s="44">
        <f>T1983*$G1983*(1+U$7)^$D1983*(U1965/T1965)^$E1983*((U1965+U1974)/(T1965+T1974))^$F1983</f>
        <v/>
      </c>
      <c r="V1983" s="44">
        <f>U1983*$G1983*(1+V$7)^$D1983*(V1965/U1965)^$E1983*((V1965+V1974)/(U1965+U1974))^$F1983</f>
        <v/>
      </c>
      <c r="W1983" s="44">
        <f>V1983*$G1983*(1+W$7)^$D1983*(W1965/V1965)^$E1983*((W1965+W1974)/(V1965+V1974))^$F1983</f>
        <v/>
      </c>
      <c r="X1983" s="44">
        <f>W1983*$G1983*(1+X$7)^$D1983*(X1965/W1965)^$E1983*((X1965+X1974)/(W1965+W1974))^$F1983</f>
        <v/>
      </c>
      <c r="Y1983" s="44">
        <f>X1983*$G1983*(1+Y$7)^$D1983*(Y1965/X1965)^$E1983*((Y1965+Y1974)/(X1965+X1974))^$F1983</f>
        <v/>
      </c>
      <c r="Z1983" s="44">
        <f>Y1983*$G1983*(1+Z$7)^$D1983*(Z1965/Y1965)^$E1983*((Z1965+Z1974)/(Y1965+Y1974))^$F1983</f>
        <v/>
      </c>
      <c r="AA1983" s="44">
        <f>Z1983*$G1983*(1+AA$7)^$D1983*(AA1965/Z1965)^$E1983*((AA1965+AA1974)/(Z1965+Z1974))^$F1983</f>
        <v/>
      </c>
      <c r="AB1983" s="44">
        <f>AA1983*$G1983*(1+AB$7)^$D1983*(AB1965/AA1965)^$E1983*((AB1965+AB1974)/(AA1965+AA1974))^$F1983</f>
        <v/>
      </c>
      <c r="AC1983" s="44">
        <f>AB1983*$G1983*(1+AC$7)^$D1983*(AC1965/AB1965)^$E1983*((AC1965+AC1974)/(AB1965+AB1974))^$F1983</f>
        <v/>
      </c>
      <c r="AD1983" s="44">
        <f>AC1983*$G1983*(1+AD$7)^$D1983*(AD1965/AC1965)^$E1983*((AD1965+AD1974)/(AC1965+AC1974))^$F1983</f>
        <v/>
      </c>
      <c r="AE1983" s="57">
        <f>FUELUSE(AD1983,AE1965,AD1965,AE1974,AD1974,AE$7,$D1983,$E1983,$F1983,$G1983)</f>
        <v/>
      </c>
      <c r="AG1983" s="11">
        <f>CodePrefix&amp;$A1983&amp;IF($C1983="","","."&amp;$C1983&amp;"."&amp;$B1983)&amp;INDEX(VarEnd,MATCH($A1983,VarKey,0))&amp;AG$5</f>
        <v/>
      </c>
      <c r="AH1983" s="43">
        <f>INDEX(Inputs!$X$5:$X$132,MATCH($B1983&amp;"|"&amp;$C1983,Inputs!$A$5:$A$132,0))</f>
        <v/>
      </c>
      <c r="AI1983" s="44">
        <f>AH1983*$G1983*(1+AI$7)^$D1983*(AI1965/AH1965)^$E1983*((AI1965+AI1974)/(AH1965+AH1974))^$F1983</f>
        <v/>
      </c>
      <c r="AJ1983" s="44">
        <f>AI1983*$G1983*(1+AJ$7)^$D1983*(AJ1965/AI1965)^$E1983*((AJ1965+AJ1974)/(AI1965+AI1974))^$F1983</f>
        <v/>
      </c>
      <c r="AK1983" s="44">
        <f>AJ1983*$G1983*(1+AK$7)^$D1983*(AK1965/AJ1965)^$E1983*((AK1965+AK1974)/(AJ1965+AJ1974))^$F1983</f>
        <v/>
      </c>
      <c r="AL1983" s="44">
        <f>AK1983*$G1983*(1+AL$7)^$D1983*(AL1965/AK1965)^$E1983*((AL1965+AL1974)/(AK1965+AK1974))^$F1983</f>
        <v/>
      </c>
      <c r="AM1983" s="44">
        <f>AL1983*$G1983*(1+AM$7)^$D1983*(AM1965/AL1965)^$E1983*((AM1965+AM1974)/(AL1965+AL1974))^$F1983</f>
        <v/>
      </c>
      <c r="AN1983" s="44">
        <f>AM1983*$G1983*(1+AN$7)^$D1983*(AN1965/AM1965)^$E1983*((AN1965+AN1974)/(AM1965+AM1974))^$F1983</f>
        <v/>
      </c>
      <c r="AO1983" s="44">
        <f>AN1983*$G1983*(1+AO$7)^$D1983*(AO1965/AN1965)^$E1983*((AO1965+AO1974)/(AN1965+AN1974))^$F1983</f>
        <v/>
      </c>
      <c r="AP1983" s="44">
        <f>AO1983*$G1983*(1+AP$7)^$D1983*(AP1965/AO1965)^$E1983*((AP1965+AP1974)/(AO1965+AO1974))^$F1983</f>
        <v/>
      </c>
      <c r="AQ1983" s="44">
        <f>AP1983*$G1983*(1+AQ$7)^$D1983*(AQ1965/AP1965)^$E1983*((AQ1965+AQ1974)/(AP1965+AP1974))^$F1983</f>
        <v/>
      </c>
      <c r="AR1983" s="44">
        <f>AQ1983*$G1983*(1+AR$7)^$D1983*(AR1965/AQ1965)^$E1983*((AR1965+AR1974)/(AQ1965+AQ1974))^$F1983</f>
        <v/>
      </c>
      <c r="AS1983" s="44">
        <f>AR1983*$G1983*(1+AS$7)^$D1983*(AS1965/AR1965)^$E1983*((AS1965+AS1974)/(AR1965+AR1974))^$F1983</f>
        <v/>
      </c>
      <c r="AT1983" s="44">
        <f>AS1983*$G1983*(1+AT$7)^$D1983*(AT1965/AS1965)^$E1983*((AT1965+AT1974)/(AS1965+AS1974))^$F1983</f>
        <v/>
      </c>
      <c r="AU1983" s="44">
        <f>AT1983*$G1983*(1+AU$7)^$D1983*(AU1965/AT1965)^$E1983*((AU1965+AU1974)/(AT1965+AT1974))^$F1983</f>
        <v/>
      </c>
      <c r="AV1983" s="44">
        <f>AU1983*$G1983*(1+AV$7)^$D1983*(AV1965/AU1965)^$E1983*((AV1965+AV1974)/(AU1965+AU1974))^$F1983</f>
        <v/>
      </c>
      <c r="AW1983" s="44">
        <f>AV1983*$G1983*(1+AW$7)^$D1983*(AW1965/AV1965)^$E1983*((AW1965+AW1974)/(AV1965+AV1974))^$F1983</f>
        <v/>
      </c>
      <c r="AX1983" s="44">
        <f>AW1983*$G1983*(1+AX$7)^$D1983*(AX1965/AW1965)^$E1983*((AX1965+AX1974)/(AW1965+AW1974))^$F1983</f>
        <v/>
      </c>
      <c r="AY1983" s="44">
        <f>AX1983*$G1983*(1+AY$7)^$D1983*(AY1965/AX1965)^$E1983*((AY1965+AY1974)/(AX1965+AX1974))^$F1983</f>
        <v/>
      </c>
      <c r="AZ1983" s="44">
        <f>AY1983*$G1983*(1+AZ$7)^$D1983*(AZ1965/AY1965)^$E1983*((AZ1965+AZ1974)/(AY1965+AY1974))^$F1983</f>
        <v/>
      </c>
      <c r="BA1983" s="57">
        <f>FUELUSE(AZ1983,BA1965,AZ1965,BA1974,AZ1974,BA$7,$D1983,$E1983,$F1983,$G1983)</f>
        <v/>
      </c>
    </row>
    <row r="1984" hidden="1" outlineLevel="2">
      <c r="A1984" s="14" t="inlineStr">
        <is>
          <t>ener</t>
        </is>
      </c>
      <c r="B1984" s="14" t="inlineStr">
        <is>
          <t>die</t>
        </is>
      </c>
      <c r="C1984" s="14" t="inlineStr">
        <is>
          <t>mch</t>
        </is>
      </c>
      <c r="D1984" s="35">
        <f>INDEX(Inputs!$O$5:$O$132,MATCH($B1984&amp;"|"&amp;$C1984,Inputs!$A$5:$A$132,0))</f>
        <v/>
      </c>
      <c r="E1984" s="35">
        <f>INDEX(Inputs!$P$5:$P$132,MATCH($B1984&amp;"|"&amp;$C1984,Inputs!$A$5:$A$132,0))</f>
        <v/>
      </c>
      <c r="F1984" s="35">
        <f>INDEX(Inputs!$T$5:$T$132,MATCH($B1984&amp;"|"&amp;$C1984,Inputs!$A$5:$A$132,0))</f>
        <v/>
      </c>
      <c r="G1984" s="35">
        <f>INDEX(Inputs!$S$5:$S$132,MATCH($B1984&amp;"|"&amp;$C1984,Inputs!$A$5:$A$132,0))</f>
        <v/>
      </c>
      <c r="H1984" s="14">
        <f>INDEX(VarLab,MATCH($A1984,VarKey,0))&amp;INDEX(MemLab,MATCH($C1984&amp;"|"&amp;$B1984,MemKey,0))</f>
        <v/>
      </c>
      <c r="I1984" s="14">
        <f>INDEX(VarUnit,MATCH($A1984,VarKey,0))</f>
        <v/>
      </c>
      <c r="J1984" s="14">
        <f>INDEX(VarSrc,MATCH($A1984,VarKey,0))</f>
        <v/>
      </c>
      <c r="K1984" s="11">
        <f>CodePrefix&amp;$A1984&amp;IF($C1984="","","."&amp;$C1984&amp;"."&amp;$B1984)&amp;INDEX(VarEnd,MATCH($A1984,VarKey,0))&amp;K$5</f>
        <v/>
      </c>
      <c r="L1984" s="43">
        <f>INDEX(Inputs!$X$5:$X$132,MATCH($B1984&amp;"|"&amp;$C1984,Inputs!$A$5:$A$132,0))</f>
        <v/>
      </c>
      <c r="M1984" s="44">
        <f>L1984*$G1984*(1+M$7)^$D1984*(M1966/L1966)^$E1984*((M1966+M1975)/(L1966+L1975))^$F1984</f>
        <v/>
      </c>
      <c r="N1984" s="44">
        <f>M1984*$G1984*(1+N$7)^$D1984*(N1966/M1966)^$E1984*((N1966+N1975)/(M1966+M1975))^$F1984</f>
        <v/>
      </c>
      <c r="O1984" s="44">
        <f>N1984*$G1984*(1+O$7)^$D1984*(O1966/N1966)^$E1984*((O1966+O1975)/(N1966+N1975))^$F1984</f>
        <v/>
      </c>
      <c r="P1984" s="44">
        <f>O1984*$G1984*(1+P$7)^$D1984*(P1966/O1966)^$E1984*((P1966+P1975)/(O1966+O1975))^$F1984</f>
        <v/>
      </c>
      <c r="Q1984" s="44">
        <f>P1984*$G1984*(1+Q$7)^$D1984*(Q1966/P1966)^$E1984*((Q1966+Q1975)/(P1966+P1975))^$F1984</f>
        <v/>
      </c>
      <c r="R1984" s="44">
        <f>Q1984*$G1984*(1+R$7)^$D1984*(R1966/Q1966)^$E1984*((R1966+R1975)/(Q1966+Q1975))^$F1984</f>
        <v/>
      </c>
      <c r="S1984" s="44">
        <f>R1984*$G1984*(1+S$7)^$D1984*(S1966/R1966)^$E1984*((S1966+S1975)/(R1966+R1975))^$F1984</f>
        <v/>
      </c>
      <c r="T1984" s="44">
        <f>S1984*$G1984*(1+T$7)^$D1984*(T1966/S1966)^$E1984*((T1966+T1975)/(S1966+S1975))^$F1984</f>
        <v/>
      </c>
      <c r="U1984" s="44">
        <f>T1984*$G1984*(1+U$7)^$D1984*(U1966/T1966)^$E1984*((U1966+U1975)/(T1966+T1975))^$F1984</f>
        <v/>
      </c>
      <c r="V1984" s="44">
        <f>U1984*$G1984*(1+V$7)^$D1984*(V1966/U1966)^$E1984*((V1966+V1975)/(U1966+U1975))^$F1984</f>
        <v/>
      </c>
      <c r="W1984" s="44">
        <f>V1984*$G1984*(1+W$7)^$D1984*(W1966/V1966)^$E1984*((W1966+W1975)/(V1966+V1975))^$F1984</f>
        <v/>
      </c>
      <c r="X1984" s="44">
        <f>W1984*$G1984*(1+X$7)^$D1984*(X1966/W1966)^$E1984*((X1966+X1975)/(W1966+W1975))^$F1984</f>
        <v/>
      </c>
      <c r="Y1984" s="44">
        <f>X1984*$G1984*(1+Y$7)^$D1984*(Y1966/X1966)^$E1984*((Y1966+Y1975)/(X1966+X1975))^$F1984</f>
        <v/>
      </c>
      <c r="Z1984" s="44">
        <f>Y1984*$G1984*(1+Z$7)^$D1984*(Z1966/Y1966)^$E1984*((Z1966+Z1975)/(Y1966+Y1975))^$F1984</f>
        <v/>
      </c>
      <c r="AA1984" s="44">
        <f>Z1984*$G1984*(1+AA$7)^$D1984*(AA1966/Z1966)^$E1984*((AA1966+AA1975)/(Z1966+Z1975))^$F1984</f>
        <v/>
      </c>
      <c r="AB1984" s="44">
        <f>AA1984*$G1984*(1+AB$7)^$D1984*(AB1966/AA1966)^$E1984*((AB1966+AB1975)/(AA1966+AA1975))^$F1984</f>
        <v/>
      </c>
      <c r="AC1984" s="44">
        <f>AB1984*$G1984*(1+AC$7)^$D1984*(AC1966/AB1966)^$E1984*((AC1966+AC1975)/(AB1966+AB1975))^$F1984</f>
        <v/>
      </c>
      <c r="AD1984" s="44">
        <f>AC1984*$G1984*(1+AD$7)^$D1984*(AD1966/AC1966)^$E1984*((AD1966+AD1975)/(AC1966+AC1975))^$F1984</f>
        <v/>
      </c>
      <c r="AE1984" s="57">
        <f>FUELUSE(AD1984,AE1966,AD1966,AE1975,AD1975,AE$7,$D1984,$E1984,$F1984,$G1984)</f>
        <v/>
      </c>
      <c r="AG1984" s="11">
        <f>CodePrefix&amp;$A1984&amp;IF($C1984="","","."&amp;$C1984&amp;"."&amp;$B1984)&amp;INDEX(VarEnd,MATCH($A1984,VarKey,0))&amp;AG$5</f>
        <v/>
      </c>
      <c r="AH1984" s="43">
        <f>INDEX(Inputs!$X$5:$X$132,MATCH($B1984&amp;"|"&amp;$C1984,Inputs!$A$5:$A$132,0))</f>
        <v/>
      </c>
      <c r="AI1984" s="44">
        <f>AH1984*$G1984*(1+AI$7)^$D1984*(AI1966/AH1966)^$E1984*((AI1966+AI1975)/(AH1966+AH1975))^$F1984</f>
        <v/>
      </c>
      <c r="AJ1984" s="44">
        <f>AI1984*$G1984*(1+AJ$7)^$D1984*(AJ1966/AI1966)^$E1984*((AJ1966+AJ1975)/(AI1966+AI1975))^$F1984</f>
        <v/>
      </c>
      <c r="AK1984" s="44">
        <f>AJ1984*$G1984*(1+AK$7)^$D1984*(AK1966/AJ1966)^$E1984*((AK1966+AK1975)/(AJ1966+AJ1975))^$F1984</f>
        <v/>
      </c>
      <c r="AL1984" s="44">
        <f>AK1984*$G1984*(1+AL$7)^$D1984*(AL1966/AK1966)^$E1984*((AL1966+AL1975)/(AK1966+AK1975))^$F1984</f>
        <v/>
      </c>
      <c r="AM1984" s="44">
        <f>AL1984*$G1984*(1+AM$7)^$D1984*(AM1966/AL1966)^$E1984*((AM1966+AM1975)/(AL1966+AL1975))^$F1984</f>
        <v/>
      </c>
      <c r="AN1984" s="44">
        <f>AM1984*$G1984*(1+AN$7)^$D1984*(AN1966/AM1966)^$E1984*((AN1966+AN1975)/(AM1966+AM1975))^$F1984</f>
        <v/>
      </c>
      <c r="AO1984" s="44">
        <f>AN1984*$G1984*(1+AO$7)^$D1984*(AO1966/AN1966)^$E1984*((AO1966+AO1975)/(AN1966+AN1975))^$F1984</f>
        <v/>
      </c>
      <c r="AP1984" s="44">
        <f>AO1984*$G1984*(1+AP$7)^$D1984*(AP1966/AO1966)^$E1984*((AP1966+AP1975)/(AO1966+AO1975))^$F1984</f>
        <v/>
      </c>
      <c r="AQ1984" s="44">
        <f>AP1984*$G1984*(1+AQ$7)^$D1984*(AQ1966/AP1966)^$E1984*((AQ1966+AQ1975)/(AP1966+AP1975))^$F1984</f>
        <v/>
      </c>
      <c r="AR1984" s="44">
        <f>AQ1984*$G1984*(1+AR$7)^$D1984*(AR1966/AQ1966)^$E1984*((AR1966+AR1975)/(AQ1966+AQ1975))^$F1984</f>
        <v/>
      </c>
      <c r="AS1984" s="44">
        <f>AR1984*$G1984*(1+AS$7)^$D1984*(AS1966/AR1966)^$E1984*((AS1966+AS1975)/(AR1966+AR1975))^$F1984</f>
        <v/>
      </c>
      <c r="AT1984" s="44">
        <f>AS1984*$G1984*(1+AT$7)^$D1984*(AT1966/AS1966)^$E1984*((AT1966+AT1975)/(AS1966+AS1975))^$F1984</f>
        <v/>
      </c>
      <c r="AU1984" s="44">
        <f>AT1984*$G1984*(1+AU$7)^$D1984*(AU1966/AT1966)^$E1984*((AU1966+AU1975)/(AT1966+AT1975))^$F1984</f>
        <v/>
      </c>
      <c r="AV1984" s="44">
        <f>AU1984*$G1984*(1+AV$7)^$D1984*(AV1966/AU1966)^$E1984*((AV1966+AV1975)/(AU1966+AU1975))^$F1984</f>
        <v/>
      </c>
      <c r="AW1984" s="44">
        <f>AV1984*$G1984*(1+AW$7)^$D1984*(AW1966/AV1966)^$E1984*((AW1966+AW1975)/(AV1966+AV1975))^$F1984</f>
        <v/>
      </c>
      <c r="AX1984" s="44">
        <f>AW1984*$G1984*(1+AX$7)^$D1984*(AX1966/AW1966)^$E1984*((AX1966+AX1975)/(AW1966+AW1975))^$F1984</f>
        <v/>
      </c>
      <c r="AY1984" s="44">
        <f>AX1984*$G1984*(1+AY$7)^$D1984*(AY1966/AX1966)^$E1984*((AY1966+AY1975)/(AX1966+AX1975))^$F1984</f>
        <v/>
      </c>
      <c r="AZ1984" s="44">
        <f>AY1984*$G1984*(1+AZ$7)^$D1984*(AZ1966/AY1966)^$E1984*((AZ1966+AZ1975)/(AY1966+AY1975))^$F1984</f>
        <v/>
      </c>
      <c r="BA1984" s="57">
        <f>FUELUSE(AZ1984,BA1966,AZ1966,BA1975,AZ1975,BA$7,$D1984,$E1984,$F1984,$G1984)</f>
        <v/>
      </c>
    </row>
    <row r="1985" hidden="1" outlineLevel="2">
      <c r="A1985" s="14" t="inlineStr">
        <is>
          <t>ener</t>
        </is>
      </c>
      <c r="B1985" s="14" t="inlineStr">
        <is>
          <t>lpg</t>
        </is>
      </c>
      <c r="C1985" s="14" t="inlineStr">
        <is>
          <t>mch</t>
        </is>
      </c>
      <c r="D1985" s="35">
        <f>INDEX(Inputs!$O$5:$O$132,MATCH($B1985&amp;"|"&amp;$C1985,Inputs!$A$5:$A$132,0))</f>
        <v/>
      </c>
      <c r="E1985" s="35">
        <f>INDEX(Inputs!$P$5:$P$132,MATCH($B1985&amp;"|"&amp;$C1985,Inputs!$A$5:$A$132,0))</f>
        <v/>
      </c>
      <c r="F1985" s="35">
        <f>INDEX(Inputs!$T$5:$T$132,MATCH($B1985&amp;"|"&amp;$C1985,Inputs!$A$5:$A$132,0))</f>
        <v/>
      </c>
      <c r="G1985" s="35">
        <f>INDEX(Inputs!$S$5:$S$132,MATCH($B1985&amp;"|"&amp;$C1985,Inputs!$A$5:$A$132,0))</f>
        <v/>
      </c>
      <c r="H1985" s="14">
        <f>INDEX(VarLab,MATCH($A1985,VarKey,0))&amp;INDEX(MemLab,MATCH($C1985&amp;"|"&amp;$B1985,MemKey,0))</f>
        <v/>
      </c>
      <c r="I1985" s="14">
        <f>INDEX(VarUnit,MATCH($A1985,VarKey,0))</f>
        <v/>
      </c>
      <c r="J1985" s="14">
        <f>INDEX(VarSrc,MATCH($A1985,VarKey,0))</f>
        <v/>
      </c>
      <c r="K1985" s="11">
        <f>CodePrefix&amp;$A1985&amp;IF($C1985="","","."&amp;$C1985&amp;"."&amp;$B1985)&amp;INDEX(VarEnd,MATCH($A1985,VarKey,0))&amp;K$5</f>
        <v/>
      </c>
      <c r="L1985" s="43">
        <f>INDEX(Inputs!$X$5:$X$132,MATCH($B1985&amp;"|"&amp;$C1985,Inputs!$A$5:$A$132,0))</f>
        <v/>
      </c>
      <c r="M1985" s="44">
        <f>L1985*$G1985*(1+M$7)^$D1985*(M1967/L1967)^$E1985*((M1967+M1976)/(L1967+L1976))^$F1985</f>
        <v/>
      </c>
      <c r="N1985" s="44">
        <f>M1985*$G1985*(1+N$7)^$D1985*(N1967/M1967)^$E1985*((N1967+N1976)/(M1967+M1976))^$F1985</f>
        <v/>
      </c>
      <c r="O1985" s="44">
        <f>N1985*$G1985*(1+O$7)^$D1985*(O1967/N1967)^$E1985*((O1967+O1976)/(N1967+N1976))^$F1985</f>
        <v/>
      </c>
      <c r="P1985" s="44">
        <f>O1985*$G1985*(1+P$7)^$D1985*(P1967/O1967)^$E1985*((P1967+P1976)/(O1967+O1976))^$F1985</f>
        <v/>
      </c>
      <c r="Q1985" s="44">
        <f>P1985*$G1985*(1+Q$7)^$D1985*(Q1967/P1967)^$E1985*((Q1967+Q1976)/(P1967+P1976))^$F1985</f>
        <v/>
      </c>
      <c r="R1985" s="44">
        <f>Q1985*$G1985*(1+R$7)^$D1985*(R1967/Q1967)^$E1985*((R1967+R1976)/(Q1967+Q1976))^$F1985</f>
        <v/>
      </c>
      <c r="S1985" s="44">
        <f>R1985*$G1985*(1+S$7)^$D1985*(S1967/R1967)^$E1985*((S1967+S1976)/(R1967+R1976))^$F1985</f>
        <v/>
      </c>
      <c r="T1985" s="44">
        <f>S1985*$G1985*(1+T$7)^$D1985*(T1967/S1967)^$E1985*((T1967+T1976)/(S1967+S1976))^$F1985</f>
        <v/>
      </c>
      <c r="U1985" s="44">
        <f>T1985*$G1985*(1+U$7)^$D1985*(U1967/T1967)^$E1985*((U1967+U1976)/(T1967+T1976))^$F1985</f>
        <v/>
      </c>
      <c r="V1985" s="44">
        <f>U1985*$G1985*(1+V$7)^$D1985*(V1967/U1967)^$E1985*((V1967+V1976)/(U1967+U1976))^$F1985</f>
        <v/>
      </c>
      <c r="W1985" s="44">
        <f>V1985*$G1985*(1+W$7)^$D1985*(W1967/V1967)^$E1985*((W1967+W1976)/(V1967+V1976))^$F1985</f>
        <v/>
      </c>
      <c r="X1985" s="44">
        <f>W1985*$G1985*(1+X$7)^$D1985*(X1967/W1967)^$E1985*((X1967+X1976)/(W1967+W1976))^$F1985</f>
        <v/>
      </c>
      <c r="Y1985" s="44">
        <f>X1985*$G1985*(1+Y$7)^$D1985*(Y1967/X1967)^$E1985*((Y1967+Y1976)/(X1967+X1976))^$F1985</f>
        <v/>
      </c>
      <c r="Z1985" s="44">
        <f>Y1985*$G1985*(1+Z$7)^$D1985*(Z1967/Y1967)^$E1985*((Z1967+Z1976)/(Y1967+Y1976))^$F1985</f>
        <v/>
      </c>
      <c r="AA1985" s="44">
        <f>Z1985*$G1985*(1+AA$7)^$D1985*(AA1967/Z1967)^$E1985*((AA1967+AA1976)/(Z1967+Z1976))^$F1985</f>
        <v/>
      </c>
      <c r="AB1985" s="44">
        <f>AA1985*$G1985*(1+AB$7)^$D1985*(AB1967/AA1967)^$E1985*((AB1967+AB1976)/(AA1967+AA1976))^$F1985</f>
        <v/>
      </c>
      <c r="AC1985" s="44">
        <f>AB1985*$G1985*(1+AC$7)^$D1985*(AC1967/AB1967)^$E1985*((AC1967+AC1976)/(AB1967+AB1976))^$F1985</f>
        <v/>
      </c>
      <c r="AD1985" s="44">
        <f>AC1985*$G1985*(1+AD$7)^$D1985*(AD1967/AC1967)^$E1985*((AD1967+AD1976)/(AC1967+AC1976))^$F1985</f>
        <v/>
      </c>
      <c r="AE1985" s="57">
        <f>FUELUSE(AD1985,AE1967,AD1967,AE1976,AD1976,AE$7,$D1985,$E1985,$F1985,$G1985)</f>
        <v/>
      </c>
      <c r="AG1985" s="11">
        <f>CodePrefix&amp;$A1985&amp;IF($C1985="","","."&amp;$C1985&amp;"."&amp;$B1985)&amp;INDEX(VarEnd,MATCH($A1985,VarKey,0))&amp;AG$5</f>
        <v/>
      </c>
      <c r="AH1985" s="43">
        <f>INDEX(Inputs!$X$5:$X$132,MATCH($B1985&amp;"|"&amp;$C1985,Inputs!$A$5:$A$132,0))</f>
        <v/>
      </c>
      <c r="AI1985" s="44">
        <f>AH1985*$G1985*(1+AI$7)^$D1985*(AI1967/AH1967)^$E1985*((AI1967+AI1976)/(AH1967+AH1976))^$F1985</f>
        <v/>
      </c>
      <c r="AJ1985" s="44">
        <f>AI1985*$G1985*(1+AJ$7)^$D1985*(AJ1967/AI1967)^$E1985*((AJ1967+AJ1976)/(AI1967+AI1976))^$F1985</f>
        <v/>
      </c>
      <c r="AK1985" s="44">
        <f>AJ1985*$G1985*(1+AK$7)^$D1985*(AK1967/AJ1967)^$E1985*((AK1967+AK1976)/(AJ1967+AJ1976))^$F1985</f>
        <v/>
      </c>
      <c r="AL1985" s="44">
        <f>AK1985*$G1985*(1+AL$7)^$D1985*(AL1967/AK1967)^$E1985*((AL1967+AL1976)/(AK1967+AK1976))^$F1985</f>
        <v/>
      </c>
      <c r="AM1985" s="44">
        <f>AL1985*$G1985*(1+AM$7)^$D1985*(AM1967/AL1967)^$E1985*((AM1967+AM1976)/(AL1967+AL1976))^$F1985</f>
        <v/>
      </c>
      <c r="AN1985" s="44">
        <f>AM1985*$G1985*(1+AN$7)^$D1985*(AN1967/AM1967)^$E1985*((AN1967+AN1976)/(AM1967+AM1976))^$F1985</f>
        <v/>
      </c>
      <c r="AO1985" s="44">
        <f>AN1985*$G1985*(1+AO$7)^$D1985*(AO1967/AN1967)^$E1985*((AO1967+AO1976)/(AN1967+AN1976))^$F1985</f>
        <v/>
      </c>
      <c r="AP1985" s="44">
        <f>AO1985*$G1985*(1+AP$7)^$D1985*(AP1967/AO1967)^$E1985*((AP1967+AP1976)/(AO1967+AO1976))^$F1985</f>
        <v/>
      </c>
      <c r="AQ1985" s="44">
        <f>AP1985*$G1985*(1+AQ$7)^$D1985*(AQ1967/AP1967)^$E1985*((AQ1967+AQ1976)/(AP1967+AP1976))^$F1985</f>
        <v/>
      </c>
      <c r="AR1985" s="44">
        <f>AQ1985*$G1985*(1+AR$7)^$D1985*(AR1967/AQ1967)^$E1985*((AR1967+AR1976)/(AQ1967+AQ1976))^$F1985</f>
        <v/>
      </c>
      <c r="AS1985" s="44">
        <f>AR1985*$G1985*(1+AS$7)^$D1985*(AS1967/AR1967)^$E1985*((AS1967+AS1976)/(AR1967+AR1976))^$F1985</f>
        <v/>
      </c>
      <c r="AT1985" s="44">
        <f>AS1985*$G1985*(1+AT$7)^$D1985*(AT1967/AS1967)^$E1985*((AT1967+AT1976)/(AS1967+AS1976))^$F1985</f>
        <v/>
      </c>
      <c r="AU1985" s="44">
        <f>AT1985*$G1985*(1+AU$7)^$D1985*(AU1967/AT1967)^$E1985*((AU1967+AU1976)/(AT1967+AT1976))^$F1985</f>
        <v/>
      </c>
      <c r="AV1985" s="44">
        <f>AU1985*$G1985*(1+AV$7)^$D1985*(AV1967/AU1967)^$E1985*((AV1967+AV1976)/(AU1967+AU1976))^$F1985</f>
        <v/>
      </c>
      <c r="AW1985" s="44">
        <f>AV1985*$G1985*(1+AW$7)^$D1985*(AW1967/AV1967)^$E1985*((AW1967+AW1976)/(AV1967+AV1976))^$F1985</f>
        <v/>
      </c>
      <c r="AX1985" s="44">
        <f>AW1985*$G1985*(1+AX$7)^$D1985*(AX1967/AW1967)^$E1985*((AX1967+AX1976)/(AW1967+AW1976))^$F1985</f>
        <v/>
      </c>
      <c r="AY1985" s="44">
        <f>AX1985*$G1985*(1+AY$7)^$D1985*(AY1967/AX1967)^$E1985*((AY1967+AY1976)/(AX1967+AX1976))^$F1985</f>
        <v/>
      </c>
      <c r="AZ1985" s="44">
        <f>AY1985*$G1985*(1+AZ$7)^$D1985*(AZ1967/AY1967)^$E1985*((AZ1967+AZ1976)/(AY1967+AY1976))^$F1985</f>
        <v/>
      </c>
      <c r="BA1985" s="57">
        <f>FUELUSE(AZ1985,BA1967,AZ1967,BA1976,AZ1976,BA$7,$D1985,$E1985,$F1985,$G1985)</f>
        <v/>
      </c>
    </row>
    <row r="1986" hidden="1" outlineLevel="2">
      <c r="A1986" s="14" t="inlineStr">
        <is>
          <t>ener</t>
        </is>
      </c>
      <c r="B1986" s="14" t="inlineStr">
        <is>
          <t>ker</t>
        </is>
      </c>
      <c r="C1986" s="14" t="inlineStr">
        <is>
          <t>mch</t>
        </is>
      </c>
      <c r="D1986" s="35">
        <f>INDEX(Inputs!$O$5:$O$132,MATCH($B1986&amp;"|"&amp;$C1986,Inputs!$A$5:$A$132,0))</f>
        <v/>
      </c>
      <c r="E1986" s="35">
        <f>INDEX(Inputs!$P$5:$P$132,MATCH($B1986&amp;"|"&amp;$C1986,Inputs!$A$5:$A$132,0))</f>
        <v/>
      </c>
      <c r="F1986" s="35">
        <f>INDEX(Inputs!$T$5:$T$132,MATCH($B1986&amp;"|"&amp;$C1986,Inputs!$A$5:$A$132,0))</f>
        <v/>
      </c>
      <c r="G1986" s="35">
        <f>INDEX(Inputs!$S$5:$S$132,MATCH($B1986&amp;"|"&amp;$C1986,Inputs!$A$5:$A$132,0))</f>
        <v/>
      </c>
      <c r="H1986" s="14">
        <f>INDEX(VarLab,MATCH($A1986,VarKey,0))&amp;INDEX(MemLab,MATCH($C1986&amp;"|"&amp;$B1986,MemKey,0))</f>
        <v/>
      </c>
      <c r="I1986" s="14">
        <f>INDEX(VarUnit,MATCH($A1986,VarKey,0))</f>
        <v/>
      </c>
      <c r="J1986" s="14">
        <f>INDEX(VarSrc,MATCH($A1986,VarKey,0))</f>
        <v/>
      </c>
      <c r="K1986" s="11">
        <f>CodePrefix&amp;$A1986&amp;IF($C1986="","","."&amp;$C1986&amp;"."&amp;$B1986)&amp;INDEX(VarEnd,MATCH($A1986,VarKey,0))&amp;K$5</f>
        <v/>
      </c>
      <c r="L1986" s="43">
        <f>INDEX(Inputs!$X$5:$X$132,MATCH($B1986&amp;"|"&amp;$C1986,Inputs!$A$5:$A$132,0))</f>
        <v/>
      </c>
      <c r="M1986" s="44">
        <f>L1986*$G1986*(1+M$7)^$D1986*(M1968/L1968)^$E1986*((M1968+M1977)/(L1968+L1977))^$F1986</f>
        <v/>
      </c>
      <c r="N1986" s="44">
        <f>M1986*$G1986*(1+N$7)^$D1986*(N1968/M1968)^$E1986*((N1968+N1977)/(M1968+M1977))^$F1986</f>
        <v/>
      </c>
      <c r="O1986" s="44">
        <f>N1986*$G1986*(1+O$7)^$D1986*(O1968/N1968)^$E1986*((O1968+O1977)/(N1968+N1977))^$F1986</f>
        <v/>
      </c>
      <c r="P1986" s="44">
        <f>O1986*$G1986*(1+P$7)^$D1986*(P1968/O1968)^$E1986*((P1968+P1977)/(O1968+O1977))^$F1986</f>
        <v/>
      </c>
      <c r="Q1986" s="44">
        <f>P1986*$G1986*(1+Q$7)^$D1986*(Q1968/P1968)^$E1986*((Q1968+Q1977)/(P1968+P1977))^$F1986</f>
        <v/>
      </c>
      <c r="R1986" s="44">
        <f>Q1986*$G1986*(1+R$7)^$D1986*(R1968/Q1968)^$E1986*((R1968+R1977)/(Q1968+Q1977))^$F1986</f>
        <v/>
      </c>
      <c r="S1986" s="44">
        <f>R1986*$G1986*(1+S$7)^$D1986*(S1968/R1968)^$E1986*((S1968+S1977)/(R1968+R1977))^$F1986</f>
        <v/>
      </c>
      <c r="T1986" s="44">
        <f>S1986*$G1986*(1+T$7)^$D1986*(T1968/S1968)^$E1986*((T1968+T1977)/(S1968+S1977))^$F1986</f>
        <v/>
      </c>
      <c r="U1986" s="44">
        <f>T1986*$G1986*(1+U$7)^$D1986*(U1968/T1968)^$E1986*((U1968+U1977)/(T1968+T1977))^$F1986</f>
        <v/>
      </c>
      <c r="V1986" s="44">
        <f>U1986*$G1986*(1+V$7)^$D1986*(V1968/U1968)^$E1986*((V1968+V1977)/(U1968+U1977))^$F1986</f>
        <v/>
      </c>
      <c r="W1986" s="44">
        <f>V1986*$G1986*(1+W$7)^$D1986*(W1968/V1968)^$E1986*((W1968+W1977)/(V1968+V1977))^$F1986</f>
        <v/>
      </c>
      <c r="X1986" s="44">
        <f>W1986*$G1986*(1+X$7)^$D1986*(X1968/W1968)^$E1986*((X1968+X1977)/(W1968+W1977))^$F1986</f>
        <v/>
      </c>
      <c r="Y1986" s="44">
        <f>X1986*$G1986*(1+Y$7)^$D1986*(Y1968/X1968)^$E1986*((Y1968+Y1977)/(X1968+X1977))^$F1986</f>
        <v/>
      </c>
      <c r="Z1986" s="44">
        <f>Y1986*$G1986*(1+Z$7)^$D1986*(Z1968/Y1968)^$E1986*((Z1968+Z1977)/(Y1968+Y1977))^$F1986</f>
        <v/>
      </c>
      <c r="AA1986" s="44">
        <f>Z1986*$G1986*(1+AA$7)^$D1986*(AA1968/Z1968)^$E1986*((AA1968+AA1977)/(Z1968+Z1977))^$F1986</f>
        <v/>
      </c>
      <c r="AB1986" s="44">
        <f>AA1986*$G1986*(1+AB$7)^$D1986*(AB1968/AA1968)^$E1986*((AB1968+AB1977)/(AA1968+AA1977))^$F1986</f>
        <v/>
      </c>
      <c r="AC1986" s="44">
        <f>AB1986*$G1986*(1+AC$7)^$D1986*(AC1968/AB1968)^$E1986*((AC1968+AC1977)/(AB1968+AB1977))^$F1986</f>
        <v/>
      </c>
      <c r="AD1986" s="44">
        <f>AC1986*$G1986*(1+AD$7)^$D1986*(AD1968/AC1968)^$E1986*((AD1968+AD1977)/(AC1968+AC1977))^$F1986</f>
        <v/>
      </c>
      <c r="AE1986" s="57">
        <f>FUELUSE(AD1986,AE1968,AD1968,AE1977,AD1977,AE$7,$D1986,$E1986,$F1986,$G1986)</f>
        <v/>
      </c>
      <c r="AG1986" s="11">
        <f>CodePrefix&amp;$A1986&amp;IF($C1986="","","."&amp;$C1986&amp;"."&amp;$B1986)&amp;INDEX(VarEnd,MATCH($A1986,VarKey,0))&amp;AG$5</f>
        <v/>
      </c>
      <c r="AH1986" s="43">
        <f>INDEX(Inputs!$X$5:$X$132,MATCH($B1986&amp;"|"&amp;$C1986,Inputs!$A$5:$A$132,0))</f>
        <v/>
      </c>
      <c r="AI1986" s="44">
        <f>AH1986*$G1986*(1+AI$7)^$D1986*(AI1968/AH1968)^$E1986*((AI1968+AI1977)/(AH1968+AH1977))^$F1986</f>
        <v/>
      </c>
      <c r="AJ1986" s="44">
        <f>AI1986*$G1986*(1+AJ$7)^$D1986*(AJ1968/AI1968)^$E1986*((AJ1968+AJ1977)/(AI1968+AI1977))^$F1986</f>
        <v/>
      </c>
      <c r="AK1986" s="44">
        <f>AJ1986*$G1986*(1+AK$7)^$D1986*(AK1968/AJ1968)^$E1986*((AK1968+AK1977)/(AJ1968+AJ1977))^$F1986</f>
        <v/>
      </c>
      <c r="AL1986" s="44">
        <f>AK1986*$G1986*(1+AL$7)^$D1986*(AL1968/AK1968)^$E1986*((AL1968+AL1977)/(AK1968+AK1977))^$F1986</f>
        <v/>
      </c>
      <c r="AM1986" s="44">
        <f>AL1986*$G1986*(1+AM$7)^$D1986*(AM1968/AL1968)^$E1986*((AM1968+AM1977)/(AL1968+AL1977))^$F1986</f>
        <v/>
      </c>
      <c r="AN1986" s="44">
        <f>AM1986*$G1986*(1+AN$7)^$D1986*(AN1968/AM1968)^$E1986*((AN1968+AN1977)/(AM1968+AM1977))^$F1986</f>
        <v/>
      </c>
      <c r="AO1986" s="44">
        <f>AN1986*$G1986*(1+AO$7)^$D1986*(AO1968/AN1968)^$E1986*((AO1968+AO1977)/(AN1968+AN1977))^$F1986</f>
        <v/>
      </c>
      <c r="AP1986" s="44">
        <f>AO1986*$G1986*(1+AP$7)^$D1986*(AP1968/AO1968)^$E1986*((AP1968+AP1977)/(AO1968+AO1977))^$F1986</f>
        <v/>
      </c>
      <c r="AQ1986" s="44">
        <f>AP1986*$G1986*(1+AQ$7)^$D1986*(AQ1968/AP1968)^$E1986*((AQ1968+AQ1977)/(AP1968+AP1977))^$F1986</f>
        <v/>
      </c>
      <c r="AR1986" s="44">
        <f>AQ1986*$G1986*(1+AR$7)^$D1986*(AR1968/AQ1968)^$E1986*((AR1968+AR1977)/(AQ1968+AQ1977))^$F1986</f>
        <v/>
      </c>
      <c r="AS1986" s="44">
        <f>AR1986*$G1986*(1+AS$7)^$D1986*(AS1968/AR1968)^$E1986*((AS1968+AS1977)/(AR1968+AR1977))^$F1986</f>
        <v/>
      </c>
      <c r="AT1986" s="44">
        <f>AS1986*$G1986*(1+AT$7)^$D1986*(AT1968/AS1968)^$E1986*((AT1968+AT1977)/(AS1968+AS1977))^$F1986</f>
        <v/>
      </c>
      <c r="AU1986" s="44">
        <f>AT1986*$G1986*(1+AU$7)^$D1986*(AU1968/AT1968)^$E1986*((AU1968+AU1977)/(AT1968+AT1977))^$F1986</f>
        <v/>
      </c>
      <c r="AV1986" s="44">
        <f>AU1986*$G1986*(1+AV$7)^$D1986*(AV1968/AU1968)^$E1986*((AV1968+AV1977)/(AU1968+AU1977))^$F1986</f>
        <v/>
      </c>
      <c r="AW1986" s="44">
        <f>AV1986*$G1986*(1+AW$7)^$D1986*(AW1968/AV1968)^$E1986*((AW1968+AW1977)/(AV1968+AV1977))^$F1986</f>
        <v/>
      </c>
      <c r="AX1986" s="44">
        <f>AW1986*$G1986*(1+AX$7)^$D1986*(AX1968/AW1968)^$E1986*((AX1968+AX1977)/(AW1968+AW1977))^$F1986</f>
        <v/>
      </c>
      <c r="AY1986" s="44">
        <f>AX1986*$G1986*(1+AY$7)^$D1986*(AY1968/AX1968)^$E1986*((AY1968+AY1977)/(AX1968+AX1977))^$F1986</f>
        <v/>
      </c>
      <c r="AZ1986" s="44">
        <f>AY1986*$G1986*(1+AZ$7)^$D1986*(AZ1968/AY1968)^$E1986*((AZ1968+AZ1977)/(AY1968+AY1977))^$F1986</f>
        <v/>
      </c>
      <c r="BA1986" s="57">
        <f>FUELUSE(AZ1986,BA1968,AZ1968,BA1977,AZ1977,BA$7,$D1986,$E1986,$F1986,$G1986)</f>
        <v/>
      </c>
    </row>
    <row r="1987" hidden="1" outlineLevel="2">
      <c r="A1987" s="14" t="inlineStr">
        <is>
          <t>ener</t>
        </is>
      </c>
      <c r="B1987" s="14" t="inlineStr">
        <is>
          <t>oop</t>
        </is>
      </c>
      <c r="C1987" s="14" t="inlineStr">
        <is>
          <t>mch</t>
        </is>
      </c>
      <c r="D1987" s="35">
        <f>INDEX(Inputs!$O$5:$O$132,MATCH($B1987&amp;"|"&amp;$C1987,Inputs!$A$5:$A$132,0))</f>
        <v/>
      </c>
      <c r="E1987" s="35">
        <f>INDEX(Inputs!$P$5:$P$132,MATCH($B1987&amp;"|"&amp;$C1987,Inputs!$A$5:$A$132,0))</f>
        <v/>
      </c>
      <c r="F1987" s="35">
        <f>INDEX(Inputs!$T$5:$T$132,MATCH($B1987&amp;"|"&amp;$C1987,Inputs!$A$5:$A$132,0))</f>
        <v/>
      </c>
      <c r="G1987" s="35">
        <f>INDEX(Inputs!$S$5:$S$132,MATCH($B1987&amp;"|"&amp;$C1987,Inputs!$A$5:$A$132,0))</f>
        <v/>
      </c>
      <c r="H1987" s="14">
        <f>INDEX(VarLab,MATCH($A1987,VarKey,0))&amp;INDEX(MemLab,MATCH($C1987&amp;"|"&amp;$B1987,MemKey,0))</f>
        <v/>
      </c>
      <c r="I1987" s="14">
        <f>INDEX(VarUnit,MATCH($A1987,VarKey,0))</f>
        <v/>
      </c>
      <c r="J1987" s="14">
        <f>INDEX(VarSrc,MATCH($A1987,VarKey,0))</f>
        <v/>
      </c>
      <c r="K1987" s="11">
        <f>CodePrefix&amp;$A1987&amp;IF($C1987="","","."&amp;$C1987&amp;"."&amp;$B1987)&amp;INDEX(VarEnd,MATCH($A1987,VarKey,0))&amp;K$5</f>
        <v/>
      </c>
      <c r="L1987" s="43">
        <f>INDEX(Inputs!$X$5:$X$132,MATCH($B1987&amp;"|"&amp;$C1987,Inputs!$A$5:$A$132,0))</f>
        <v/>
      </c>
      <c r="M1987" s="44">
        <f>L1987*$G1987*(1+M$7)^$D1987*(M1969/L1969)^$E1987*((M1969+M1978)/(L1969+L1978))^$F1987</f>
        <v/>
      </c>
      <c r="N1987" s="44">
        <f>M1987*$G1987*(1+N$7)^$D1987*(N1969/M1969)^$E1987*((N1969+N1978)/(M1969+M1978))^$F1987</f>
        <v/>
      </c>
      <c r="O1987" s="44">
        <f>N1987*$G1987*(1+O$7)^$D1987*(O1969/N1969)^$E1987*((O1969+O1978)/(N1969+N1978))^$F1987</f>
        <v/>
      </c>
      <c r="P1987" s="44">
        <f>O1987*$G1987*(1+P$7)^$D1987*(P1969/O1969)^$E1987*((P1969+P1978)/(O1969+O1978))^$F1987</f>
        <v/>
      </c>
      <c r="Q1987" s="44">
        <f>P1987*$G1987*(1+Q$7)^$D1987*(Q1969/P1969)^$E1987*((Q1969+Q1978)/(P1969+P1978))^$F1987</f>
        <v/>
      </c>
      <c r="R1987" s="44">
        <f>Q1987*$G1987*(1+R$7)^$D1987*(R1969/Q1969)^$E1987*((R1969+R1978)/(Q1969+Q1978))^$F1987</f>
        <v/>
      </c>
      <c r="S1987" s="44">
        <f>R1987*$G1987*(1+S$7)^$D1987*(S1969/R1969)^$E1987*((S1969+S1978)/(R1969+R1978))^$F1987</f>
        <v/>
      </c>
      <c r="T1987" s="44">
        <f>S1987*$G1987*(1+T$7)^$D1987*(T1969/S1969)^$E1987*((T1969+T1978)/(S1969+S1978))^$F1987</f>
        <v/>
      </c>
      <c r="U1987" s="44">
        <f>T1987*$G1987*(1+U$7)^$D1987*(U1969/T1969)^$E1987*((U1969+U1978)/(T1969+T1978))^$F1987</f>
        <v/>
      </c>
      <c r="V1987" s="44">
        <f>U1987*$G1987*(1+V$7)^$D1987*(V1969/U1969)^$E1987*((V1969+V1978)/(U1969+U1978))^$F1987</f>
        <v/>
      </c>
      <c r="W1987" s="44">
        <f>V1987*$G1987*(1+W$7)^$D1987*(W1969/V1969)^$E1987*((W1969+W1978)/(V1969+V1978))^$F1987</f>
        <v/>
      </c>
      <c r="X1987" s="44">
        <f>W1987*$G1987*(1+X$7)^$D1987*(X1969/W1969)^$E1987*((X1969+X1978)/(W1969+W1978))^$F1987</f>
        <v/>
      </c>
      <c r="Y1987" s="44">
        <f>X1987*$G1987*(1+Y$7)^$D1987*(Y1969/X1969)^$E1987*((Y1969+Y1978)/(X1969+X1978))^$F1987</f>
        <v/>
      </c>
      <c r="Z1987" s="44">
        <f>Y1987*$G1987*(1+Z$7)^$D1987*(Z1969/Y1969)^$E1987*((Z1969+Z1978)/(Y1969+Y1978))^$F1987</f>
        <v/>
      </c>
      <c r="AA1987" s="44">
        <f>Z1987*$G1987*(1+AA$7)^$D1987*(AA1969/Z1969)^$E1987*((AA1969+AA1978)/(Z1969+Z1978))^$F1987</f>
        <v/>
      </c>
      <c r="AB1987" s="44">
        <f>AA1987*$G1987*(1+AB$7)^$D1987*(AB1969/AA1969)^$E1987*((AB1969+AB1978)/(AA1969+AA1978))^$F1987</f>
        <v/>
      </c>
      <c r="AC1987" s="44">
        <f>AB1987*$G1987*(1+AC$7)^$D1987*(AC1969/AB1969)^$E1987*((AC1969+AC1978)/(AB1969+AB1978))^$F1987</f>
        <v/>
      </c>
      <c r="AD1987" s="44">
        <f>AC1987*$G1987*(1+AD$7)^$D1987*(AD1969/AC1969)^$E1987*((AD1969+AD1978)/(AC1969+AC1978))^$F1987</f>
        <v/>
      </c>
      <c r="AE1987" s="57">
        <f>FUELUSE(AD1987,AE1969,AD1969,AE1978,AD1978,AE$7,$D1987,$E1987,$F1987,$G1987)</f>
        <v/>
      </c>
      <c r="AG1987" s="11">
        <f>CodePrefix&amp;$A1987&amp;IF($C1987="","","."&amp;$C1987&amp;"."&amp;$B1987)&amp;INDEX(VarEnd,MATCH($A1987,VarKey,0))&amp;AG$5</f>
        <v/>
      </c>
      <c r="AH1987" s="43">
        <f>INDEX(Inputs!$X$5:$X$132,MATCH($B1987&amp;"|"&amp;$C1987,Inputs!$A$5:$A$132,0))</f>
        <v/>
      </c>
      <c r="AI1987" s="44">
        <f>AH1987*$G1987*(1+AI$7)^$D1987*(AI1969/AH1969)^$E1987*((AI1969+AI1978)/(AH1969+AH1978))^$F1987</f>
        <v/>
      </c>
      <c r="AJ1987" s="44">
        <f>AI1987*$G1987*(1+AJ$7)^$D1987*(AJ1969/AI1969)^$E1987*((AJ1969+AJ1978)/(AI1969+AI1978))^$F1987</f>
        <v/>
      </c>
      <c r="AK1987" s="44">
        <f>AJ1987*$G1987*(1+AK$7)^$D1987*(AK1969/AJ1969)^$E1987*((AK1969+AK1978)/(AJ1969+AJ1978))^$F1987</f>
        <v/>
      </c>
      <c r="AL1987" s="44">
        <f>AK1987*$G1987*(1+AL$7)^$D1987*(AL1969/AK1969)^$E1987*((AL1969+AL1978)/(AK1969+AK1978))^$F1987</f>
        <v/>
      </c>
      <c r="AM1987" s="44">
        <f>AL1987*$G1987*(1+AM$7)^$D1987*(AM1969/AL1969)^$E1987*((AM1969+AM1978)/(AL1969+AL1978))^$F1987</f>
        <v/>
      </c>
      <c r="AN1987" s="44">
        <f>AM1987*$G1987*(1+AN$7)^$D1987*(AN1969/AM1969)^$E1987*((AN1969+AN1978)/(AM1969+AM1978))^$F1987</f>
        <v/>
      </c>
      <c r="AO1987" s="44">
        <f>AN1987*$G1987*(1+AO$7)^$D1987*(AO1969/AN1969)^$E1987*((AO1969+AO1978)/(AN1969+AN1978))^$F1987</f>
        <v/>
      </c>
      <c r="AP1987" s="44">
        <f>AO1987*$G1987*(1+AP$7)^$D1987*(AP1969/AO1969)^$E1987*((AP1969+AP1978)/(AO1969+AO1978))^$F1987</f>
        <v/>
      </c>
      <c r="AQ1987" s="44">
        <f>AP1987*$G1987*(1+AQ$7)^$D1987*(AQ1969/AP1969)^$E1987*((AQ1969+AQ1978)/(AP1969+AP1978))^$F1987</f>
        <v/>
      </c>
      <c r="AR1987" s="44">
        <f>AQ1987*$G1987*(1+AR$7)^$D1987*(AR1969/AQ1969)^$E1987*((AR1969+AR1978)/(AQ1969+AQ1978))^$F1987</f>
        <v/>
      </c>
      <c r="AS1987" s="44">
        <f>AR1987*$G1987*(1+AS$7)^$D1987*(AS1969/AR1969)^$E1987*((AS1969+AS1978)/(AR1969+AR1978))^$F1987</f>
        <v/>
      </c>
      <c r="AT1987" s="44">
        <f>AS1987*$G1987*(1+AT$7)^$D1987*(AT1969/AS1969)^$E1987*((AT1969+AT1978)/(AS1969+AS1978))^$F1987</f>
        <v/>
      </c>
      <c r="AU1987" s="44">
        <f>AT1987*$G1987*(1+AU$7)^$D1987*(AU1969/AT1969)^$E1987*((AU1969+AU1978)/(AT1969+AT1978))^$F1987</f>
        <v/>
      </c>
      <c r="AV1987" s="44">
        <f>AU1987*$G1987*(1+AV$7)^$D1987*(AV1969/AU1969)^$E1987*((AV1969+AV1978)/(AU1969+AU1978))^$F1987</f>
        <v/>
      </c>
      <c r="AW1987" s="44">
        <f>AV1987*$G1987*(1+AW$7)^$D1987*(AW1969/AV1969)^$E1987*((AW1969+AW1978)/(AV1969+AV1978))^$F1987</f>
        <v/>
      </c>
      <c r="AX1987" s="44">
        <f>AW1987*$G1987*(1+AX$7)^$D1987*(AX1969/AW1969)^$E1987*((AX1969+AX1978)/(AW1969+AW1978))^$F1987</f>
        <v/>
      </c>
      <c r="AY1987" s="44">
        <f>AX1987*$G1987*(1+AY$7)^$D1987*(AY1969/AX1969)^$E1987*((AY1969+AY1978)/(AX1969+AX1978))^$F1987</f>
        <v/>
      </c>
      <c r="AZ1987" s="44">
        <f>AY1987*$G1987*(1+AZ$7)^$D1987*(AZ1969/AY1969)^$E1987*((AZ1969+AZ1978)/(AY1969+AY1978))^$F1987</f>
        <v/>
      </c>
      <c r="BA1987" s="57">
        <f>FUELUSE(AZ1987,BA1969,AZ1969,BA1978,AZ1978,BA$7,$D1987,$E1987,$F1987,$G1987)</f>
        <v/>
      </c>
    </row>
    <row r="1988" hidden="1" outlineLevel="2">
      <c r="A1988" s="14" t="inlineStr">
        <is>
          <t>ener</t>
        </is>
      </c>
      <c r="B1988" s="14" t="inlineStr">
        <is>
          <t>bio</t>
        </is>
      </c>
      <c r="C1988" s="14" t="inlineStr">
        <is>
          <t>mch</t>
        </is>
      </c>
      <c r="D1988" s="35">
        <f>INDEX(Inputs!$O$5:$O$132,MATCH($B1988&amp;"|"&amp;$C1988,Inputs!$A$5:$A$132,0))</f>
        <v/>
      </c>
      <c r="E1988" s="35">
        <f>INDEX(Inputs!$P$5:$P$132,MATCH($B1988&amp;"|"&amp;$C1988,Inputs!$A$5:$A$132,0))</f>
        <v/>
      </c>
      <c r="F1988" s="35">
        <f>INDEX(Inputs!$T$5:$T$132,MATCH($B1988&amp;"|"&amp;$C1988,Inputs!$A$5:$A$132,0))</f>
        <v/>
      </c>
      <c r="G1988" s="35">
        <f>INDEX(Inputs!$S$5:$S$132,MATCH($B1988&amp;"|"&amp;$C1988,Inputs!$A$5:$A$132,0))</f>
        <v/>
      </c>
      <c r="H1988" s="14">
        <f>INDEX(VarLab,MATCH($A1988,VarKey,0))&amp;INDEX(MemLab,MATCH($C1988&amp;"|"&amp;$B1988,MemKey,0))</f>
        <v/>
      </c>
      <c r="I1988" s="14">
        <f>INDEX(VarUnit,MATCH($A1988,VarKey,0))</f>
        <v/>
      </c>
      <c r="J1988" s="14">
        <f>INDEX(VarSrc,MATCH($A1988,VarKey,0))</f>
        <v/>
      </c>
      <c r="K1988" s="11">
        <f>CodePrefix&amp;$A1988&amp;IF($C1988="","","."&amp;$C1988&amp;"."&amp;$B1988)&amp;INDEX(VarEnd,MATCH($A1988,VarKey,0))&amp;K$5</f>
        <v/>
      </c>
      <c r="L1988" s="43">
        <f>INDEX(Inputs!$X$5:$X$132,MATCH($B1988&amp;"|"&amp;$C1988,Inputs!$A$5:$A$132,0))</f>
        <v/>
      </c>
      <c r="M1988" s="44">
        <f>L1988*$G1988*(1+M$7)^$D1988*(M1970/L1970)^$E1988*((M1970+M1979)/(L1970+L1979))^$F1988</f>
        <v/>
      </c>
      <c r="N1988" s="44">
        <f>M1988*$G1988*(1+N$7)^$D1988*(N1970/M1970)^$E1988*((N1970+N1979)/(M1970+M1979))^$F1988</f>
        <v/>
      </c>
      <c r="O1988" s="44">
        <f>N1988*$G1988*(1+O$7)^$D1988*(O1970/N1970)^$E1988*((O1970+O1979)/(N1970+N1979))^$F1988</f>
        <v/>
      </c>
      <c r="P1988" s="44">
        <f>O1988*$G1988*(1+P$7)^$D1988*(P1970/O1970)^$E1988*((P1970+P1979)/(O1970+O1979))^$F1988</f>
        <v/>
      </c>
      <c r="Q1988" s="44">
        <f>P1988*$G1988*(1+Q$7)^$D1988*(Q1970/P1970)^$E1988*((Q1970+Q1979)/(P1970+P1979))^$F1988</f>
        <v/>
      </c>
      <c r="R1988" s="44">
        <f>Q1988*$G1988*(1+R$7)^$D1988*(R1970/Q1970)^$E1988*((R1970+R1979)/(Q1970+Q1979))^$F1988</f>
        <v/>
      </c>
      <c r="S1988" s="44">
        <f>R1988*$G1988*(1+S$7)^$D1988*(S1970/R1970)^$E1988*((S1970+S1979)/(R1970+R1979))^$F1988</f>
        <v/>
      </c>
      <c r="T1988" s="44">
        <f>S1988*$G1988*(1+T$7)^$D1988*(T1970/S1970)^$E1988*((T1970+T1979)/(S1970+S1979))^$F1988</f>
        <v/>
      </c>
      <c r="U1988" s="44">
        <f>T1988*$G1988*(1+U$7)^$D1988*(U1970/T1970)^$E1988*((U1970+U1979)/(T1970+T1979))^$F1988</f>
        <v/>
      </c>
      <c r="V1988" s="44">
        <f>U1988*$G1988*(1+V$7)^$D1988*(V1970/U1970)^$E1988*((V1970+V1979)/(U1970+U1979))^$F1988</f>
        <v/>
      </c>
      <c r="W1988" s="44">
        <f>V1988*$G1988*(1+W$7)^$D1988*(W1970/V1970)^$E1988*((W1970+W1979)/(V1970+V1979))^$F1988</f>
        <v/>
      </c>
      <c r="X1988" s="44">
        <f>W1988*$G1988*(1+X$7)^$D1988*(X1970/W1970)^$E1988*((X1970+X1979)/(W1970+W1979))^$F1988</f>
        <v/>
      </c>
      <c r="Y1988" s="44">
        <f>X1988*$G1988*(1+Y$7)^$D1988*(Y1970/X1970)^$E1988*((Y1970+Y1979)/(X1970+X1979))^$F1988</f>
        <v/>
      </c>
      <c r="Z1988" s="44">
        <f>Y1988*$G1988*(1+Z$7)^$D1988*(Z1970/Y1970)^$E1988*((Z1970+Z1979)/(Y1970+Y1979))^$F1988</f>
        <v/>
      </c>
      <c r="AA1988" s="44">
        <f>Z1988*$G1988*(1+AA$7)^$D1988*(AA1970/Z1970)^$E1988*((AA1970+AA1979)/(Z1970+Z1979))^$F1988</f>
        <v/>
      </c>
      <c r="AB1988" s="44">
        <f>AA1988*$G1988*(1+AB$7)^$D1988*(AB1970/AA1970)^$E1988*((AB1970+AB1979)/(AA1970+AA1979))^$F1988</f>
        <v/>
      </c>
      <c r="AC1988" s="44">
        <f>AB1988*$G1988*(1+AC$7)^$D1988*(AC1970/AB1970)^$E1988*((AC1970+AC1979)/(AB1970+AB1979))^$F1988</f>
        <v/>
      </c>
      <c r="AD1988" s="44">
        <f>AC1988*$G1988*(1+AD$7)^$D1988*(AD1970/AC1970)^$E1988*((AD1970+AD1979)/(AC1970+AC1979))^$F1988</f>
        <v/>
      </c>
      <c r="AE1988" s="57">
        <f>FUELUSE(AD1988,AE1970,AD1970,AE1979,AD1979,AE$7,$D1988,$E1988,$F1988,$G1988)</f>
        <v/>
      </c>
      <c r="AG1988" s="11">
        <f>CodePrefix&amp;$A1988&amp;IF($C1988="","","."&amp;$C1988&amp;"."&amp;$B1988)&amp;INDEX(VarEnd,MATCH($A1988,VarKey,0))&amp;AG$5</f>
        <v/>
      </c>
      <c r="AH1988" s="43">
        <f>INDEX(Inputs!$X$5:$X$132,MATCH($B1988&amp;"|"&amp;$C1988,Inputs!$A$5:$A$132,0))</f>
        <v/>
      </c>
      <c r="AI1988" s="44">
        <f>AH1988*$G1988*(1+AI$7)^$D1988*(AI1970/AH1970)^$E1988*((AI1970+AI1979)/(AH1970+AH1979))^$F1988</f>
        <v/>
      </c>
      <c r="AJ1988" s="44">
        <f>AI1988*$G1988*(1+AJ$7)^$D1988*(AJ1970/AI1970)^$E1988*((AJ1970+AJ1979)/(AI1970+AI1979))^$F1988</f>
        <v/>
      </c>
      <c r="AK1988" s="44">
        <f>AJ1988*$G1988*(1+AK$7)^$D1988*(AK1970/AJ1970)^$E1988*((AK1970+AK1979)/(AJ1970+AJ1979))^$F1988</f>
        <v/>
      </c>
      <c r="AL1988" s="44">
        <f>AK1988*$G1988*(1+AL$7)^$D1988*(AL1970/AK1970)^$E1988*((AL1970+AL1979)/(AK1970+AK1979))^$F1988</f>
        <v/>
      </c>
      <c r="AM1988" s="44">
        <f>AL1988*$G1988*(1+AM$7)^$D1988*(AM1970/AL1970)^$E1988*((AM1970+AM1979)/(AL1970+AL1979))^$F1988</f>
        <v/>
      </c>
      <c r="AN1988" s="44">
        <f>AM1988*$G1988*(1+AN$7)^$D1988*(AN1970/AM1970)^$E1988*((AN1970+AN1979)/(AM1970+AM1979))^$F1988</f>
        <v/>
      </c>
      <c r="AO1988" s="44">
        <f>AN1988*$G1988*(1+AO$7)^$D1988*(AO1970/AN1970)^$E1988*((AO1970+AO1979)/(AN1970+AN1979))^$F1988</f>
        <v/>
      </c>
      <c r="AP1988" s="44">
        <f>AO1988*$G1988*(1+AP$7)^$D1988*(AP1970/AO1970)^$E1988*((AP1970+AP1979)/(AO1970+AO1979))^$F1988</f>
        <v/>
      </c>
      <c r="AQ1988" s="44">
        <f>AP1988*$G1988*(1+AQ$7)^$D1988*(AQ1970/AP1970)^$E1988*((AQ1970+AQ1979)/(AP1970+AP1979))^$F1988</f>
        <v/>
      </c>
      <c r="AR1988" s="44">
        <f>AQ1988*$G1988*(1+AR$7)^$D1988*(AR1970/AQ1970)^$E1988*((AR1970+AR1979)/(AQ1970+AQ1979))^$F1988</f>
        <v/>
      </c>
      <c r="AS1988" s="44">
        <f>AR1988*$G1988*(1+AS$7)^$D1988*(AS1970/AR1970)^$E1988*((AS1970+AS1979)/(AR1970+AR1979))^$F1988</f>
        <v/>
      </c>
      <c r="AT1988" s="44">
        <f>AS1988*$G1988*(1+AT$7)^$D1988*(AT1970/AS1970)^$E1988*((AT1970+AT1979)/(AS1970+AS1979))^$F1988</f>
        <v/>
      </c>
      <c r="AU1988" s="44">
        <f>AT1988*$G1988*(1+AU$7)^$D1988*(AU1970/AT1970)^$E1988*((AU1970+AU1979)/(AT1970+AT1979))^$F1988</f>
        <v/>
      </c>
      <c r="AV1988" s="44">
        <f>AU1988*$G1988*(1+AV$7)^$D1988*(AV1970/AU1970)^$E1988*((AV1970+AV1979)/(AU1970+AU1979))^$F1988</f>
        <v/>
      </c>
      <c r="AW1988" s="44">
        <f>AV1988*$G1988*(1+AW$7)^$D1988*(AW1970/AV1970)^$E1988*((AW1970+AW1979)/(AV1970+AV1979))^$F1988</f>
        <v/>
      </c>
      <c r="AX1988" s="44">
        <f>AW1988*$G1988*(1+AX$7)^$D1988*(AX1970/AW1970)^$E1988*((AX1970+AX1979)/(AW1970+AW1979))^$F1988</f>
        <v/>
      </c>
      <c r="AY1988" s="44">
        <f>AX1988*$G1988*(1+AY$7)^$D1988*(AY1970/AX1970)^$E1988*((AY1970+AY1979)/(AX1970+AX1979))^$F1988</f>
        <v/>
      </c>
      <c r="AZ1988" s="44">
        <f>AY1988*$G1988*(1+AZ$7)^$D1988*(AZ1970/AY1970)^$E1988*((AZ1970+AZ1979)/(AY1970+AY1979))^$F1988</f>
        <v/>
      </c>
      <c r="BA1988" s="57">
        <f>FUELUSE(AZ1988,BA1970,AZ1970,BA1979,AZ1979,BA$7,$D1988,$E1988,$F1988,$G1988)</f>
        <v/>
      </c>
    </row>
    <row r="1989" hidden="1" outlineLevel="2"/>
    <row r="1990" hidden="1" outlineLevel="2">
      <c r="A1990" s="14" t="inlineStr">
        <is>
          <t>co2</t>
        </is>
      </c>
      <c r="B1990" s="14" t="inlineStr">
        <is>
          <t>coa</t>
        </is>
      </c>
      <c r="C1990" s="14" t="inlineStr">
        <is>
          <t>mch</t>
        </is>
      </c>
      <c r="D1990" s="35">
        <f>INDEX(Inputs!$W$5:$W$132,MATCH($B1990&amp;"|"&amp;$C1990,Inputs!$A$5:$A$132,0))</f>
        <v/>
      </c>
      <c r="E1990" s="39" t="n"/>
      <c r="F1990" s="39" t="n"/>
      <c r="G1990" s="39" t="n"/>
      <c r="H1990" s="14">
        <f>INDEX(VarLab,MATCH($A1990,VarKey,0))&amp;INDEX(MemLab,MATCH($C1990&amp;"|"&amp;$B1990,MemKey,0))</f>
        <v/>
      </c>
      <c r="I1990" s="14">
        <f>INDEX(VarUnit,MATCH($A1990,VarKey,0))</f>
        <v/>
      </c>
      <c r="J1990" s="14">
        <f>INDEX(VarSrc,MATCH($A1990,VarKey,0))</f>
        <v/>
      </c>
      <c r="K1990" s="11">
        <f>CodePrefix&amp;$A1990&amp;IF($C1990="","","."&amp;$C1990&amp;"."&amp;$B1990)&amp;INDEX(VarEnd,MATCH($A1990,VarKey,0))&amp;K$5</f>
        <v/>
      </c>
      <c r="L1990" s="15">
        <f>L1981*Settings!$C$13*$D1990</f>
        <v/>
      </c>
      <c r="M1990" s="16">
        <f>M1981*Settings!$C$13*$D1990</f>
        <v/>
      </c>
      <c r="N1990" s="16">
        <f>N1981*Settings!$C$13*$D1990</f>
        <v/>
      </c>
      <c r="O1990" s="16">
        <f>O1981*Settings!$C$13*$D1990</f>
        <v/>
      </c>
      <c r="P1990" s="16">
        <f>P1981*Settings!$C$13*$D1990</f>
        <v/>
      </c>
      <c r="Q1990" s="16">
        <f>Q1981*Settings!$C$13*$D1990</f>
        <v/>
      </c>
      <c r="R1990" s="16">
        <f>R1981*Settings!$C$13*$D1990</f>
        <v/>
      </c>
      <c r="S1990" s="16">
        <f>S1981*Settings!$C$13*$D1990</f>
        <v/>
      </c>
      <c r="T1990" s="16">
        <f>T1981*Settings!$C$13*$D1990</f>
        <v/>
      </c>
      <c r="U1990" s="16">
        <f>U1981*Settings!$C$13*$D1990</f>
        <v/>
      </c>
      <c r="V1990" s="16">
        <f>V1981*Settings!$C$13*$D1990</f>
        <v/>
      </c>
      <c r="W1990" s="16">
        <f>W1981*Settings!$C$13*$D1990</f>
        <v/>
      </c>
      <c r="X1990" s="16">
        <f>X1981*Settings!$C$13*$D1990</f>
        <v/>
      </c>
      <c r="Y1990" s="16">
        <f>Y1981*Settings!$C$13*$D1990</f>
        <v/>
      </c>
      <c r="Z1990" s="16">
        <f>Z1981*Settings!$C$13*$D1990</f>
        <v/>
      </c>
      <c r="AA1990" s="16">
        <f>AA1981*Settings!$C$13*$D1990</f>
        <v/>
      </c>
      <c r="AB1990" s="16">
        <f>AB1981*Settings!$C$13*$D1990</f>
        <v/>
      </c>
      <c r="AC1990" s="16">
        <f>AC1981*Settings!$C$13*$D1990</f>
        <v/>
      </c>
      <c r="AD1990" s="16">
        <f>AD1981*Settings!$C$13*$D1990</f>
        <v/>
      </c>
      <c r="AE1990" s="49">
        <f>EMISSIONS(AE1981,Settings!$C$13,$D1990)</f>
        <v/>
      </c>
      <c r="AG1990" s="11">
        <f>CodePrefix&amp;$A1990&amp;IF($C1990="","","."&amp;$C1990&amp;"."&amp;$B1990)&amp;INDEX(VarEnd,MATCH($A1990,VarKey,0))&amp;AG$5</f>
        <v/>
      </c>
      <c r="AH1990" s="15">
        <f>AH1981*Settings!$C$13*$D1990</f>
        <v/>
      </c>
      <c r="AI1990" s="16">
        <f>AI1981*Settings!$C$13*$D1990</f>
        <v/>
      </c>
      <c r="AJ1990" s="16">
        <f>AJ1981*Settings!$C$13*$D1990</f>
        <v/>
      </c>
      <c r="AK1990" s="16">
        <f>AK1981*Settings!$C$13*$D1990</f>
        <v/>
      </c>
      <c r="AL1990" s="16">
        <f>AL1981*Settings!$C$13*$D1990</f>
        <v/>
      </c>
      <c r="AM1990" s="16">
        <f>AM1981*Settings!$C$13*$D1990</f>
        <v/>
      </c>
      <c r="AN1990" s="16">
        <f>AN1981*Settings!$C$13*$D1990</f>
        <v/>
      </c>
      <c r="AO1990" s="16">
        <f>AO1981*Settings!$C$13*$D1990</f>
        <v/>
      </c>
      <c r="AP1990" s="16">
        <f>AP1981*Settings!$C$13*$D1990</f>
        <v/>
      </c>
      <c r="AQ1990" s="16">
        <f>AQ1981*Settings!$C$13*$D1990</f>
        <v/>
      </c>
      <c r="AR1990" s="16">
        <f>AR1981*Settings!$C$13*$D1990</f>
        <v/>
      </c>
      <c r="AS1990" s="16">
        <f>AS1981*Settings!$C$13*$D1990</f>
        <v/>
      </c>
      <c r="AT1990" s="16">
        <f>AT1981*Settings!$C$13*$D1990</f>
        <v/>
      </c>
      <c r="AU1990" s="16">
        <f>AU1981*Settings!$C$13*$D1990</f>
        <v/>
      </c>
      <c r="AV1990" s="16">
        <f>AV1981*Settings!$C$13*$D1990</f>
        <v/>
      </c>
      <c r="AW1990" s="16">
        <f>AW1981*Settings!$C$13*$D1990</f>
        <v/>
      </c>
      <c r="AX1990" s="16">
        <f>AX1981*Settings!$C$13*$D1990</f>
        <v/>
      </c>
      <c r="AY1990" s="16">
        <f>AY1981*Settings!$C$13*$D1990</f>
        <v/>
      </c>
      <c r="AZ1990" s="16">
        <f>AZ1981*Settings!$C$13*$D1990</f>
        <v/>
      </c>
      <c r="BA1990" s="49">
        <f>EMISSIONS(BA1981,Settings!$C$13,$D1990)</f>
        <v/>
      </c>
    </row>
    <row r="1991" hidden="1" outlineLevel="2">
      <c r="A1991" s="14" t="inlineStr">
        <is>
          <t>co2</t>
        </is>
      </c>
      <c r="B1991" s="14" t="inlineStr">
        <is>
          <t>nga</t>
        </is>
      </c>
      <c r="C1991" s="14" t="inlineStr">
        <is>
          <t>mch</t>
        </is>
      </c>
      <c r="D1991" s="35">
        <f>INDEX(Inputs!$W$5:$W$132,MATCH($B1991&amp;"|"&amp;$C1991,Inputs!$A$5:$A$132,0))</f>
        <v/>
      </c>
      <c r="E1991" s="39" t="n"/>
      <c r="F1991" s="39" t="n"/>
      <c r="G1991" s="39" t="n"/>
      <c r="H1991" s="14">
        <f>INDEX(VarLab,MATCH($A1991,VarKey,0))&amp;INDEX(MemLab,MATCH($C1991&amp;"|"&amp;$B1991,MemKey,0))</f>
        <v/>
      </c>
      <c r="I1991" s="14">
        <f>INDEX(VarUnit,MATCH($A1991,VarKey,0))</f>
        <v/>
      </c>
      <c r="J1991" s="14">
        <f>INDEX(VarSrc,MATCH($A1991,VarKey,0))</f>
        <v/>
      </c>
      <c r="K1991" s="11">
        <f>CodePrefix&amp;$A1991&amp;IF($C1991="","","."&amp;$C1991&amp;"."&amp;$B1991)&amp;INDEX(VarEnd,MATCH($A1991,VarKey,0))&amp;K$5</f>
        <v/>
      </c>
      <c r="L1991" s="15">
        <f>L1982*Settings!$C$13*$D1991</f>
        <v/>
      </c>
      <c r="M1991" s="16">
        <f>M1982*Settings!$C$13*$D1991</f>
        <v/>
      </c>
      <c r="N1991" s="16">
        <f>N1982*Settings!$C$13*$D1991</f>
        <v/>
      </c>
      <c r="O1991" s="16">
        <f>O1982*Settings!$C$13*$D1991</f>
        <v/>
      </c>
      <c r="P1991" s="16">
        <f>P1982*Settings!$C$13*$D1991</f>
        <v/>
      </c>
      <c r="Q1991" s="16">
        <f>Q1982*Settings!$C$13*$D1991</f>
        <v/>
      </c>
      <c r="R1991" s="16">
        <f>R1982*Settings!$C$13*$D1991</f>
        <v/>
      </c>
      <c r="S1991" s="16">
        <f>S1982*Settings!$C$13*$D1991</f>
        <v/>
      </c>
      <c r="T1991" s="16">
        <f>T1982*Settings!$C$13*$D1991</f>
        <v/>
      </c>
      <c r="U1991" s="16">
        <f>U1982*Settings!$C$13*$D1991</f>
        <v/>
      </c>
      <c r="V1991" s="16">
        <f>V1982*Settings!$C$13*$D1991</f>
        <v/>
      </c>
      <c r="W1991" s="16">
        <f>W1982*Settings!$C$13*$D1991</f>
        <v/>
      </c>
      <c r="X1991" s="16">
        <f>X1982*Settings!$C$13*$D1991</f>
        <v/>
      </c>
      <c r="Y1991" s="16">
        <f>Y1982*Settings!$C$13*$D1991</f>
        <v/>
      </c>
      <c r="Z1991" s="16">
        <f>Z1982*Settings!$C$13*$D1991</f>
        <v/>
      </c>
      <c r="AA1991" s="16">
        <f>AA1982*Settings!$C$13*$D1991</f>
        <v/>
      </c>
      <c r="AB1991" s="16">
        <f>AB1982*Settings!$C$13*$D1991</f>
        <v/>
      </c>
      <c r="AC1991" s="16">
        <f>AC1982*Settings!$C$13*$D1991</f>
        <v/>
      </c>
      <c r="AD1991" s="16">
        <f>AD1982*Settings!$C$13*$D1991</f>
        <v/>
      </c>
      <c r="AE1991" s="49">
        <f>EMISSIONS(AE1982,Settings!$C$13,$D1991)</f>
        <v/>
      </c>
      <c r="AG1991" s="11">
        <f>CodePrefix&amp;$A1991&amp;IF($C1991="","","."&amp;$C1991&amp;"."&amp;$B1991)&amp;INDEX(VarEnd,MATCH($A1991,VarKey,0))&amp;AG$5</f>
        <v/>
      </c>
      <c r="AH1991" s="15">
        <f>AH1982*Settings!$C$13*$D1991</f>
        <v/>
      </c>
      <c r="AI1991" s="16">
        <f>AI1982*Settings!$C$13*$D1991</f>
        <v/>
      </c>
      <c r="AJ1991" s="16">
        <f>AJ1982*Settings!$C$13*$D1991</f>
        <v/>
      </c>
      <c r="AK1991" s="16">
        <f>AK1982*Settings!$C$13*$D1991</f>
        <v/>
      </c>
      <c r="AL1991" s="16">
        <f>AL1982*Settings!$C$13*$D1991</f>
        <v/>
      </c>
      <c r="AM1991" s="16">
        <f>AM1982*Settings!$C$13*$D1991</f>
        <v/>
      </c>
      <c r="AN1991" s="16">
        <f>AN1982*Settings!$C$13*$D1991</f>
        <v/>
      </c>
      <c r="AO1991" s="16">
        <f>AO1982*Settings!$C$13*$D1991</f>
        <v/>
      </c>
      <c r="AP1991" s="16">
        <f>AP1982*Settings!$C$13*$D1991</f>
        <v/>
      </c>
      <c r="AQ1991" s="16">
        <f>AQ1982*Settings!$C$13*$D1991</f>
        <v/>
      </c>
      <c r="AR1991" s="16">
        <f>AR1982*Settings!$C$13*$D1991</f>
        <v/>
      </c>
      <c r="AS1991" s="16">
        <f>AS1982*Settings!$C$13*$D1991</f>
        <v/>
      </c>
      <c r="AT1991" s="16">
        <f>AT1982*Settings!$C$13*$D1991</f>
        <v/>
      </c>
      <c r="AU1991" s="16">
        <f>AU1982*Settings!$C$13*$D1991</f>
        <v/>
      </c>
      <c r="AV1991" s="16">
        <f>AV1982*Settings!$C$13*$D1991</f>
        <v/>
      </c>
      <c r="AW1991" s="16">
        <f>AW1982*Settings!$C$13*$D1991</f>
        <v/>
      </c>
      <c r="AX1991" s="16">
        <f>AX1982*Settings!$C$13*$D1991</f>
        <v/>
      </c>
      <c r="AY1991" s="16">
        <f>AY1982*Settings!$C$13*$D1991</f>
        <v/>
      </c>
      <c r="AZ1991" s="16">
        <f>AZ1982*Settings!$C$13*$D1991</f>
        <v/>
      </c>
      <c r="BA1991" s="49">
        <f>EMISSIONS(BA1982,Settings!$C$13,$D1991)</f>
        <v/>
      </c>
    </row>
    <row r="1992" hidden="1" outlineLevel="2">
      <c r="A1992" s="14" t="inlineStr">
        <is>
          <t>co2</t>
        </is>
      </c>
      <c r="B1992" s="14" t="inlineStr">
        <is>
          <t>gso</t>
        </is>
      </c>
      <c r="C1992" s="14" t="inlineStr">
        <is>
          <t>mch</t>
        </is>
      </c>
      <c r="D1992" s="35">
        <f>INDEX(Inputs!$W$5:$W$132,MATCH($B1992&amp;"|"&amp;$C1992,Inputs!$A$5:$A$132,0))</f>
        <v/>
      </c>
      <c r="E1992" s="39" t="n"/>
      <c r="F1992" s="39" t="n"/>
      <c r="G1992" s="39" t="n"/>
      <c r="H1992" s="14">
        <f>INDEX(VarLab,MATCH($A1992,VarKey,0))&amp;INDEX(MemLab,MATCH($C1992&amp;"|"&amp;$B1992,MemKey,0))</f>
        <v/>
      </c>
      <c r="I1992" s="14">
        <f>INDEX(VarUnit,MATCH($A1992,VarKey,0))</f>
        <v/>
      </c>
      <c r="J1992" s="14">
        <f>INDEX(VarSrc,MATCH($A1992,VarKey,0))</f>
        <v/>
      </c>
      <c r="K1992" s="11">
        <f>CodePrefix&amp;$A1992&amp;IF($C1992="","","."&amp;$C1992&amp;"."&amp;$B1992)&amp;INDEX(VarEnd,MATCH($A1992,VarKey,0))&amp;K$5</f>
        <v/>
      </c>
      <c r="L1992" s="15">
        <f>L1983*Settings!$C$13*$D1992</f>
        <v/>
      </c>
      <c r="M1992" s="16">
        <f>M1983*Settings!$C$13*$D1992</f>
        <v/>
      </c>
      <c r="N1992" s="16">
        <f>N1983*Settings!$C$13*$D1992</f>
        <v/>
      </c>
      <c r="O1992" s="16">
        <f>O1983*Settings!$C$13*$D1992</f>
        <v/>
      </c>
      <c r="P1992" s="16">
        <f>P1983*Settings!$C$13*$D1992</f>
        <v/>
      </c>
      <c r="Q1992" s="16">
        <f>Q1983*Settings!$C$13*$D1992</f>
        <v/>
      </c>
      <c r="R1992" s="16">
        <f>R1983*Settings!$C$13*$D1992</f>
        <v/>
      </c>
      <c r="S1992" s="16">
        <f>S1983*Settings!$C$13*$D1992</f>
        <v/>
      </c>
      <c r="T1992" s="16">
        <f>T1983*Settings!$C$13*$D1992</f>
        <v/>
      </c>
      <c r="U1992" s="16">
        <f>U1983*Settings!$C$13*$D1992</f>
        <v/>
      </c>
      <c r="V1992" s="16">
        <f>V1983*Settings!$C$13*$D1992</f>
        <v/>
      </c>
      <c r="W1992" s="16">
        <f>W1983*Settings!$C$13*$D1992</f>
        <v/>
      </c>
      <c r="X1992" s="16">
        <f>X1983*Settings!$C$13*$D1992</f>
        <v/>
      </c>
      <c r="Y1992" s="16">
        <f>Y1983*Settings!$C$13*$D1992</f>
        <v/>
      </c>
      <c r="Z1992" s="16">
        <f>Z1983*Settings!$C$13*$D1992</f>
        <v/>
      </c>
      <c r="AA1992" s="16">
        <f>AA1983*Settings!$C$13*$D1992</f>
        <v/>
      </c>
      <c r="AB1992" s="16">
        <f>AB1983*Settings!$C$13*$D1992</f>
        <v/>
      </c>
      <c r="AC1992" s="16">
        <f>AC1983*Settings!$C$13*$D1992</f>
        <v/>
      </c>
      <c r="AD1992" s="16">
        <f>AD1983*Settings!$C$13*$D1992</f>
        <v/>
      </c>
      <c r="AE1992" s="49">
        <f>EMISSIONS(AE1983,Settings!$C$13,$D1992)</f>
        <v/>
      </c>
      <c r="AG1992" s="11">
        <f>CodePrefix&amp;$A1992&amp;IF($C1992="","","."&amp;$C1992&amp;"."&amp;$B1992)&amp;INDEX(VarEnd,MATCH($A1992,VarKey,0))&amp;AG$5</f>
        <v/>
      </c>
      <c r="AH1992" s="15">
        <f>AH1983*Settings!$C$13*$D1992</f>
        <v/>
      </c>
      <c r="AI1992" s="16">
        <f>AI1983*Settings!$C$13*$D1992</f>
        <v/>
      </c>
      <c r="AJ1992" s="16">
        <f>AJ1983*Settings!$C$13*$D1992</f>
        <v/>
      </c>
      <c r="AK1992" s="16">
        <f>AK1983*Settings!$C$13*$D1992</f>
        <v/>
      </c>
      <c r="AL1992" s="16">
        <f>AL1983*Settings!$C$13*$D1992</f>
        <v/>
      </c>
      <c r="AM1992" s="16">
        <f>AM1983*Settings!$C$13*$D1992</f>
        <v/>
      </c>
      <c r="AN1992" s="16">
        <f>AN1983*Settings!$C$13*$D1992</f>
        <v/>
      </c>
      <c r="AO1992" s="16">
        <f>AO1983*Settings!$C$13*$D1992</f>
        <v/>
      </c>
      <c r="AP1992" s="16">
        <f>AP1983*Settings!$C$13*$D1992</f>
        <v/>
      </c>
      <c r="AQ1992" s="16">
        <f>AQ1983*Settings!$C$13*$D1992</f>
        <v/>
      </c>
      <c r="AR1992" s="16">
        <f>AR1983*Settings!$C$13*$D1992</f>
        <v/>
      </c>
      <c r="AS1992" s="16">
        <f>AS1983*Settings!$C$13*$D1992</f>
        <v/>
      </c>
      <c r="AT1992" s="16">
        <f>AT1983*Settings!$C$13*$D1992</f>
        <v/>
      </c>
      <c r="AU1992" s="16">
        <f>AU1983*Settings!$C$13*$D1992</f>
        <v/>
      </c>
      <c r="AV1992" s="16">
        <f>AV1983*Settings!$C$13*$D1992</f>
        <v/>
      </c>
      <c r="AW1992" s="16">
        <f>AW1983*Settings!$C$13*$D1992</f>
        <v/>
      </c>
      <c r="AX1992" s="16">
        <f>AX1983*Settings!$C$13*$D1992</f>
        <v/>
      </c>
      <c r="AY1992" s="16">
        <f>AY1983*Settings!$C$13*$D1992</f>
        <v/>
      </c>
      <c r="AZ1992" s="16">
        <f>AZ1983*Settings!$C$13*$D1992</f>
        <v/>
      </c>
      <c r="BA1992" s="49">
        <f>EMISSIONS(BA1983,Settings!$C$13,$D1992)</f>
        <v/>
      </c>
    </row>
    <row r="1993" hidden="1" outlineLevel="2">
      <c r="A1993" s="14" t="inlineStr">
        <is>
          <t>co2</t>
        </is>
      </c>
      <c r="B1993" s="14" t="inlineStr">
        <is>
          <t>die</t>
        </is>
      </c>
      <c r="C1993" s="14" t="inlineStr">
        <is>
          <t>mch</t>
        </is>
      </c>
      <c r="D1993" s="35">
        <f>INDEX(Inputs!$W$5:$W$132,MATCH($B1993&amp;"|"&amp;$C1993,Inputs!$A$5:$A$132,0))</f>
        <v/>
      </c>
      <c r="E1993" s="39" t="n"/>
      <c r="F1993" s="39" t="n"/>
      <c r="G1993" s="39" t="n"/>
      <c r="H1993" s="14">
        <f>INDEX(VarLab,MATCH($A1993,VarKey,0))&amp;INDEX(MemLab,MATCH($C1993&amp;"|"&amp;$B1993,MemKey,0))</f>
        <v/>
      </c>
      <c r="I1993" s="14">
        <f>INDEX(VarUnit,MATCH($A1993,VarKey,0))</f>
        <v/>
      </c>
      <c r="J1993" s="14">
        <f>INDEX(VarSrc,MATCH($A1993,VarKey,0))</f>
        <v/>
      </c>
      <c r="K1993" s="11">
        <f>CodePrefix&amp;$A1993&amp;IF($C1993="","","."&amp;$C1993&amp;"."&amp;$B1993)&amp;INDEX(VarEnd,MATCH($A1993,VarKey,0))&amp;K$5</f>
        <v/>
      </c>
      <c r="L1993" s="15">
        <f>L1984*Settings!$C$13*$D1993</f>
        <v/>
      </c>
      <c r="M1993" s="16">
        <f>M1984*Settings!$C$13*$D1993</f>
        <v/>
      </c>
      <c r="N1993" s="16">
        <f>N1984*Settings!$C$13*$D1993</f>
        <v/>
      </c>
      <c r="O1993" s="16">
        <f>O1984*Settings!$C$13*$D1993</f>
        <v/>
      </c>
      <c r="P1993" s="16">
        <f>P1984*Settings!$C$13*$D1993</f>
        <v/>
      </c>
      <c r="Q1993" s="16">
        <f>Q1984*Settings!$C$13*$D1993</f>
        <v/>
      </c>
      <c r="R1993" s="16">
        <f>R1984*Settings!$C$13*$D1993</f>
        <v/>
      </c>
      <c r="S1993" s="16">
        <f>S1984*Settings!$C$13*$D1993</f>
        <v/>
      </c>
      <c r="T1993" s="16">
        <f>T1984*Settings!$C$13*$D1993</f>
        <v/>
      </c>
      <c r="U1993" s="16">
        <f>U1984*Settings!$C$13*$D1993</f>
        <v/>
      </c>
      <c r="V1993" s="16">
        <f>V1984*Settings!$C$13*$D1993</f>
        <v/>
      </c>
      <c r="W1993" s="16">
        <f>W1984*Settings!$C$13*$D1993</f>
        <v/>
      </c>
      <c r="X1993" s="16">
        <f>X1984*Settings!$C$13*$D1993</f>
        <v/>
      </c>
      <c r="Y1993" s="16">
        <f>Y1984*Settings!$C$13*$D1993</f>
        <v/>
      </c>
      <c r="Z1993" s="16">
        <f>Z1984*Settings!$C$13*$D1993</f>
        <v/>
      </c>
      <c r="AA1993" s="16">
        <f>AA1984*Settings!$C$13*$D1993</f>
        <v/>
      </c>
      <c r="AB1993" s="16">
        <f>AB1984*Settings!$C$13*$D1993</f>
        <v/>
      </c>
      <c r="AC1993" s="16">
        <f>AC1984*Settings!$C$13*$D1993</f>
        <v/>
      </c>
      <c r="AD1993" s="16">
        <f>AD1984*Settings!$C$13*$D1993</f>
        <v/>
      </c>
      <c r="AE1993" s="49">
        <f>EMISSIONS(AE1984,Settings!$C$13,$D1993)</f>
        <v/>
      </c>
      <c r="AG1993" s="11">
        <f>CodePrefix&amp;$A1993&amp;IF($C1993="","","."&amp;$C1993&amp;"."&amp;$B1993)&amp;INDEX(VarEnd,MATCH($A1993,VarKey,0))&amp;AG$5</f>
        <v/>
      </c>
      <c r="AH1993" s="15">
        <f>AH1984*Settings!$C$13*$D1993</f>
        <v/>
      </c>
      <c r="AI1993" s="16">
        <f>AI1984*Settings!$C$13*$D1993</f>
        <v/>
      </c>
      <c r="AJ1993" s="16">
        <f>AJ1984*Settings!$C$13*$D1993</f>
        <v/>
      </c>
      <c r="AK1993" s="16">
        <f>AK1984*Settings!$C$13*$D1993</f>
        <v/>
      </c>
      <c r="AL1993" s="16">
        <f>AL1984*Settings!$C$13*$D1993</f>
        <v/>
      </c>
      <c r="AM1993" s="16">
        <f>AM1984*Settings!$C$13*$D1993</f>
        <v/>
      </c>
      <c r="AN1993" s="16">
        <f>AN1984*Settings!$C$13*$D1993</f>
        <v/>
      </c>
      <c r="AO1993" s="16">
        <f>AO1984*Settings!$C$13*$D1993</f>
        <v/>
      </c>
      <c r="AP1993" s="16">
        <f>AP1984*Settings!$C$13*$D1993</f>
        <v/>
      </c>
      <c r="AQ1993" s="16">
        <f>AQ1984*Settings!$C$13*$D1993</f>
        <v/>
      </c>
      <c r="AR1993" s="16">
        <f>AR1984*Settings!$C$13*$D1993</f>
        <v/>
      </c>
      <c r="AS1993" s="16">
        <f>AS1984*Settings!$C$13*$D1993</f>
        <v/>
      </c>
      <c r="AT1993" s="16">
        <f>AT1984*Settings!$C$13*$D1993</f>
        <v/>
      </c>
      <c r="AU1993" s="16">
        <f>AU1984*Settings!$C$13*$D1993</f>
        <v/>
      </c>
      <c r="AV1993" s="16">
        <f>AV1984*Settings!$C$13*$D1993</f>
        <v/>
      </c>
      <c r="AW1993" s="16">
        <f>AW1984*Settings!$C$13*$D1993</f>
        <v/>
      </c>
      <c r="AX1993" s="16">
        <f>AX1984*Settings!$C$13*$D1993</f>
        <v/>
      </c>
      <c r="AY1993" s="16">
        <f>AY1984*Settings!$C$13*$D1993</f>
        <v/>
      </c>
      <c r="AZ1993" s="16">
        <f>AZ1984*Settings!$C$13*$D1993</f>
        <v/>
      </c>
      <c r="BA1993" s="49">
        <f>EMISSIONS(BA1984,Settings!$C$13,$D1993)</f>
        <v/>
      </c>
    </row>
    <row r="1994" hidden="1" outlineLevel="2">
      <c r="A1994" s="14" t="inlineStr">
        <is>
          <t>co2</t>
        </is>
      </c>
      <c r="B1994" s="14" t="inlineStr">
        <is>
          <t>lpg</t>
        </is>
      </c>
      <c r="C1994" s="14" t="inlineStr">
        <is>
          <t>mch</t>
        </is>
      </c>
      <c r="D1994" s="35">
        <f>INDEX(Inputs!$W$5:$W$132,MATCH($B1994&amp;"|"&amp;$C1994,Inputs!$A$5:$A$132,0))</f>
        <v/>
      </c>
      <c r="E1994" s="39" t="n"/>
      <c r="F1994" s="39" t="n"/>
      <c r="G1994" s="39" t="n"/>
      <c r="H1994" s="14">
        <f>INDEX(VarLab,MATCH($A1994,VarKey,0))&amp;INDEX(MemLab,MATCH($C1994&amp;"|"&amp;$B1994,MemKey,0))</f>
        <v/>
      </c>
      <c r="I1994" s="14">
        <f>INDEX(VarUnit,MATCH($A1994,VarKey,0))</f>
        <v/>
      </c>
      <c r="J1994" s="14">
        <f>INDEX(VarSrc,MATCH($A1994,VarKey,0))</f>
        <v/>
      </c>
      <c r="K1994" s="11">
        <f>CodePrefix&amp;$A1994&amp;IF($C1994="","","."&amp;$C1994&amp;"."&amp;$B1994)&amp;INDEX(VarEnd,MATCH($A1994,VarKey,0))&amp;K$5</f>
        <v/>
      </c>
      <c r="L1994" s="15">
        <f>L1985*Settings!$C$13*$D1994</f>
        <v/>
      </c>
      <c r="M1994" s="16">
        <f>M1985*Settings!$C$13*$D1994</f>
        <v/>
      </c>
      <c r="N1994" s="16">
        <f>N1985*Settings!$C$13*$D1994</f>
        <v/>
      </c>
      <c r="O1994" s="16">
        <f>O1985*Settings!$C$13*$D1994</f>
        <v/>
      </c>
      <c r="P1994" s="16">
        <f>P1985*Settings!$C$13*$D1994</f>
        <v/>
      </c>
      <c r="Q1994" s="16">
        <f>Q1985*Settings!$C$13*$D1994</f>
        <v/>
      </c>
      <c r="R1994" s="16">
        <f>R1985*Settings!$C$13*$D1994</f>
        <v/>
      </c>
      <c r="S1994" s="16">
        <f>S1985*Settings!$C$13*$D1994</f>
        <v/>
      </c>
      <c r="T1994" s="16">
        <f>T1985*Settings!$C$13*$D1994</f>
        <v/>
      </c>
      <c r="U1994" s="16">
        <f>U1985*Settings!$C$13*$D1994</f>
        <v/>
      </c>
      <c r="V1994" s="16">
        <f>V1985*Settings!$C$13*$D1994</f>
        <v/>
      </c>
      <c r="W1994" s="16">
        <f>W1985*Settings!$C$13*$D1994</f>
        <v/>
      </c>
      <c r="X1994" s="16">
        <f>X1985*Settings!$C$13*$D1994</f>
        <v/>
      </c>
      <c r="Y1994" s="16">
        <f>Y1985*Settings!$C$13*$D1994</f>
        <v/>
      </c>
      <c r="Z1994" s="16">
        <f>Z1985*Settings!$C$13*$D1994</f>
        <v/>
      </c>
      <c r="AA1994" s="16">
        <f>AA1985*Settings!$C$13*$D1994</f>
        <v/>
      </c>
      <c r="AB1994" s="16">
        <f>AB1985*Settings!$C$13*$D1994</f>
        <v/>
      </c>
      <c r="AC1994" s="16">
        <f>AC1985*Settings!$C$13*$D1994</f>
        <v/>
      </c>
      <c r="AD1994" s="16">
        <f>AD1985*Settings!$C$13*$D1994</f>
        <v/>
      </c>
      <c r="AE1994" s="49">
        <f>EMISSIONS(AE1985,Settings!$C$13,$D1994)</f>
        <v/>
      </c>
      <c r="AG1994" s="11">
        <f>CodePrefix&amp;$A1994&amp;IF($C1994="","","."&amp;$C1994&amp;"."&amp;$B1994)&amp;INDEX(VarEnd,MATCH($A1994,VarKey,0))&amp;AG$5</f>
        <v/>
      </c>
      <c r="AH1994" s="15">
        <f>AH1985*Settings!$C$13*$D1994</f>
        <v/>
      </c>
      <c r="AI1994" s="16">
        <f>AI1985*Settings!$C$13*$D1994</f>
        <v/>
      </c>
      <c r="AJ1994" s="16">
        <f>AJ1985*Settings!$C$13*$D1994</f>
        <v/>
      </c>
      <c r="AK1994" s="16">
        <f>AK1985*Settings!$C$13*$D1994</f>
        <v/>
      </c>
      <c r="AL1994" s="16">
        <f>AL1985*Settings!$C$13*$D1994</f>
        <v/>
      </c>
      <c r="AM1994" s="16">
        <f>AM1985*Settings!$C$13*$D1994</f>
        <v/>
      </c>
      <c r="AN1994" s="16">
        <f>AN1985*Settings!$C$13*$D1994</f>
        <v/>
      </c>
      <c r="AO1994" s="16">
        <f>AO1985*Settings!$C$13*$D1994</f>
        <v/>
      </c>
      <c r="AP1994" s="16">
        <f>AP1985*Settings!$C$13*$D1994</f>
        <v/>
      </c>
      <c r="AQ1994" s="16">
        <f>AQ1985*Settings!$C$13*$D1994</f>
        <v/>
      </c>
      <c r="AR1994" s="16">
        <f>AR1985*Settings!$C$13*$D1994</f>
        <v/>
      </c>
      <c r="AS1994" s="16">
        <f>AS1985*Settings!$C$13*$D1994</f>
        <v/>
      </c>
      <c r="AT1994" s="16">
        <f>AT1985*Settings!$C$13*$D1994</f>
        <v/>
      </c>
      <c r="AU1994" s="16">
        <f>AU1985*Settings!$C$13*$D1994</f>
        <v/>
      </c>
      <c r="AV1994" s="16">
        <f>AV1985*Settings!$C$13*$D1994</f>
        <v/>
      </c>
      <c r="AW1994" s="16">
        <f>AW1985*Settings!$C$13*$D1994</f>
        <v/>
      </c>
      <c r="AX1994" s="16">
        <f>AX1985*Settings!$C$13*$D1994</f>
        <v/>
      </c>
      <c r="AY1994" s="16">
        <f>AY1985*Settings!$C$13*$D1994</f>
        <v/>
      </c>
      <c r="AZ1994" s="16">
        <f>AZ1985*Settings!$C$13*$D1994</f>
        <v/>
      </c>
      <c r="BA1994" s="49">
        <f>EMISSIONS(BA1985,Settings!$C$13,$D1994)</f>
        <v/>
      </c>
    </row>
    <row r="1995" hidden="1" outlineLevel="2">
      <c r="A1995" s="14" t="inlineStr">
        <is>
          <t>co2</t>
        </is>
      </c>
      <c r="B1995" s="14" t="inlineStr">
        <is>
          <t>ker</t>
        </is>
      </c>
      <c r="C1995" s="14" t="inlineStr">
        <is>
          <t>mch</t>
        </is>
      </c>
      <c r="D1995" s="35">
        <f>INDEX(Inputs!$W$5:$W$132,MATCH($B1995&amp;"|"&amp;$C1995,Inputs!$A$5:$A$132,0))</f>
        <v/>
      </c>
      <c r="E1995" s="39" t="n"/>
      <c r="F1995" s="39" t="n"/>
      <c r="G1995" s="39" t="n"/>
      <c r="H1995" s="14">
        <f>INDEX(VarLab,MATCH($A1995,VarKey,0))&amp;INDEX(MemLab,MATCH($C1995&amp;"|"&amp;$B1995,MemKey,0))</f>
        <v/>
      </c>
      <c r="I1995" s="14">
        <f>INDEX(VarUnit,MATCH($A1995,VarKey,0))</f>
        <v/>
      </c>
      <c r="J1995" s="14">
        <f>INDEX(VarSrc,MATCH($A1995,VarKey,0))</f>
        <v/>
      </c>
      <c r="K1995" s="11">
        <f>CodePrefix&amp;$A1995&amp;IF($C1995="","","."&amp;$C1995&amp;"."&amp;$B1995)&amp;INDEX(VarEnd,MATCH($A1995,VarKey,0))&amp;K$5</f>
        <v/>
      </c>
      <c r="L1995" s="15">
        <f>L1986*Settings!$C$13*$D1995</f>
        <v/>
      </c>
      <c r="M1995" s="16">
        <f>M1986*Settings!$C$13*$D1995</f>
        <v/>
      </c>
      <c r="N1995" s="16">
        <f>N1986*Settings!$C$13*$D1995</f>
        <v/>
      </c>
      <c r="O1995" s="16">
        <f>O1986*Settings!$C$13*$D1995</f>
        <v/>
      </c>
      <c r="P1995" s="16">
        <f>P1986*Settings!$C$13*$D1995</f>
        <v/>
      </c>
      <c r="Q1995" s="16">
        <f>Q1986*Settings!$C$13*$D1995</f>
        <v/>
      </c>
      <c r="R1995" s="16">
        <f>R1986*Settings!$C$13*$D1995</f>
        <v/>
      </c>
      <c r="S1995" s="16">
        <f>S1986*Settings!$C$13*$D1995</f>
        <v/>
      </c>
      <c r="T1995" s="16">
        <f>T1986*Settings!$C$13*$D1995</f>
        <v/>
      </c>
      <c r="U1995" s="16">
        <f>U1986*Settings!$C$13*$D1995</f>
        <v/>
      </c>
      <c r="V1995" s="16">
        <f>V1986*Settings!$C$13*$D1995</f>
        <v/>
      </c>
      <c r="W1995" s="16">
        <f>W1986*Settings!$C$13*$D1995</f>
        <v/>
      </c>
      <c r="X1995" s="16">
        <f>X1986*Settings!$C$13*$D1995</f>
        <v/>
      </c>
      <c r="Y1995" s="16">
        <f>Y1986*Settings!$C$13*$D1995</f>
        <v/>
      </c>
      <c r="Z1995" s="16">
        <f>Z1986*Settings!$C$13*$D1995</f>
        <v/>
      </c>
      <c r="AA1995" s="16">
        <f>AA1986*Settings!$C$13*$D1995</f>
        <v/>
      </c>
      <c r="AB1995" s="16">
        <f>AB1986*Settings!$C$13*$D1995</f>
        <v/>
      </c>
      <c r="AC1995" s="16">
        <f>AC1986*Settings!$C$13*$D1995</f>
        <v/>
      </c>
      <c r="AD1995" s="16">
        <f>AD1986*Settings!$C$13*$D1995</f>
        <v/>
      </c>
      <c r="AE1995" s="49">
        <f>EMISSIONS(AE1986,Settings!$C$13,$D1995)</f>
        <v/>
      </c>
      <c r="AG1995" s="11">
        <f>CodePrefix&amp;$A1995&amp;IF($C1995="","","."&amp;$C1995&amp;"."&amp;$B1995)&amp;INDEX(VarEnd,MATCH($A1995,VarKey,0))&amp;AG$5</f>
        <v/>
      </c>
      <c r="AH1995" s="15">
        <f>AH1986*Settings!$C$13*$D1995</f>
        <v/>
      </c>
      <c r="AI1995" s="16">
        <f>AI1986*Settings!$C$13*$D1995</f>
        <v/>
      </c>
      <c r="AJ1995" s="16">
        <f>AJ1986*Settings!$C$13*$D1995</f>
        <v/>
      </c>
      <c r="AK1995" s="16">
        <f>AK1986*Settings!$C$13*$D1995</f>
        <v/>
      </c>
      <c r="AL1995" s="16">
        <f>AL1986*Settings!$C$13*$D1995</f>
        <v/>
      </c>
      <c r="AM1995" s="16">
        <f>AM1986*Settings!$C$13*$D1995</f>
        <v/>
      </c>
      <c r="AN1995" s="16">
        <f>AN1986*Settings!$C$13*$D1995</f>
        <v/>
      </c>
      <c r="AO1995" s="16">
        <f>AO1986*Settings!$C$13*$D1995</f>
        <v/>
      </c>
      <c r="AP1995" s="16">
        <f>AP1986*Settings!$C$13*$D1995</f>
        <v/>
      </c>
      <c r="AQ1995" s="16">
        <f>AQ1986*Settings!$C$13*$D1995</f>
        <v/>
      </c>
      <c r="AR1995" s="16">
        <f>AR1986*Settings!$C$13*$D1995</f>
        <v/>
      </c>
      <c r="AS1995" s="16">
        <f>AS1986*Settings!$C$13*$D1995</f>
        <v/>
      </c>
      <c r="AT1995" s="16">
        <f>AT1986*Settings!$C$13*$D1995</f>
        <v/>
      </c>
      <c r="AU1995" s="16">
        <f>AU1986*Settings!$C$13*$D1995</f>
        <v/>
      </c>
      <c r="AV1995" s="16">
        <f>AV1986*Settings!$C$13*$D1995</f>
        <v/>
      </c>
      <c r="AW1995" s="16">
        <f>AW1986*Settings!$C$13*$D1995</f>
        <v/>
      </c>
      <c r="AX1995" s="16">
        <f>AX1986*Settings!$C$13*$D1995</f>
        <v/>
      </c>
      <c r="AY1995" s="16">
        <f>AY1986*Settings!$C$13*$D1995</f>
        <v/>
      </c>
      <c r="AZ1995" s="16">
        <f>AZ1986*Settings!$C$13*$D1995</f>
        <v/>
      </c>
      <c r="BA1995" s="49">
        <f>EMISSIONS(BA1986,Settings!$C$13,$D1995)</f>
        <v/>
      </c>
    </row>
    <row r="1996" hidden="1" outlineLevel="2">
      <c r="A1996" s="14" t="inlineStr">
        <is>
          <t>co2</t>
        </is>
      </c>
      <c r="B1996" s="14" t="inlineStr">
        <is>
          <t>oop</t>
        </is>
      </c>
      <c r="C1996" s="14" t="inlineStr">
        <is>
          <t>mch</t>
        </is>
      </c>
      <c r="D1996" s="35">
        <f>INDEX(Inputs!$W$5:$W$132,MATCH($B1996&amp;"|"&amp;$C1996,Inputs!$A$5:$A$132,0))</f>
        <v/>
      </c>
      <c r="E1996" s="39" t="n"/>
      <c r="F1996" s="39" t="n"/>
      <c r="G1996" s="39" t="n"/>
      <c r="H1996" s="14">
        <f>INDEX(VarLab,MATCH($A1996,VarKey,0))&amp;INDEX(MemLab,MATCH($C1996&amp;"|"&amp;$B1996,MemKey,0))</f>
        <v/>
      </c>
      <c r="I1996" s="14">
        <f>INDEX(VarUnit,MATCH($A1996,VarKey,0))</f>
        <v/>
      </c>
      <c r="J1996" s="14">
        <f>INDEX(VarSrc,MATCH($A1996,VarKey,0))</f>
        <v/>
      </c>
      <c r="K1996" s="11">
        <f>CodePrefix&amp;$A1996&amp;IF($C1996="","","."&amp;$C1996&amp;"."&amp;$B1996)&amp;INDEX(VarEnd,MATCH($A1996,VarKey,0))&amp;K$5</f>
        <v/>
      </c>
      <c r="L1996" s="15">
        <f>L1987*Settings!$C$13*$D1996</f>
        <v/>
      </c>
      <c r="M1996" s="16">
        <f>M1987*Settings!$C$13*$D1996</f>
        <v/>
      </c>
      <c r="N1996" s="16">
        <f>N1987*Settings!$C$13*$D1996</f>
        <v/>
      </c>
      <c r="O1996" s="16">
        <f>O1987*Settings!$C$13*$D1996</f>
        <v/>
      </c>
      <c r="P1996" s="16">
        <f>P1987*Settings!$C$13*$D1996</f>
        <v/>
      </c>
      <c r="Q1996" s="16">
        <f>Q1987*Settings!$C$13*$D1996</f>
        <v/>
      </c>
      <c r="R1996" s="16">
        <f>R1987*Settings!$C$13*$D1996</f>
        <v/>
      </c>
      <c r="S1996" s="16">
        <f>S1987*Settings!$C$13*$D1996</f>
        <v/>
      </c>
      <c r="T1996" s="16">
        <f>T1987*Settings!$C$13*$D1996</f>
        <v/>
      </c>
      <c r="U1996" s="16">
        <f>U1987*Settings!$C$13*$D1996</f>
        <v/>
      </c>
      <c r="V1996" s="16">
        <f>V1987*Settings!$C$13*$D1996</f>
        <v/>
      </c>
      <c r="W1996" s="16">
        <f>W1987*Settings!$C$13*$D1996</f>
        <v/>
      </c>
      <c r="X1996" s="16">
        <f>X1987*Settings!$C$13*$D1996</f>
        <v/>
      </c>
      <c r="Y1996" s="16">
        <f>Y1987*Settings!$C$13*$D1996</f>
        <v/>
      </c>
      <c r="Z1996" s="16">
        <f>Z1987*Settings!$C$13*$D1996</f>
        <v/>
      </c>
      <c r="AA1996" s="16">
        <f>AA1987*Settings!$C$13*$D1996</f>
        <v/>
      </c>
      <c r="AB1996" s="16">
        <f>AB1987*Settings!$C$13*$D1996</f>
        <v/>
      </c>
      <c r="AC1996" s="16">
        <f>AC1987*Settings!$C$13*$D1996</f>
        <v/>
      </c>
      <c r="AD1996" s="16">
        <f>AD1987*Settings!$C$13*$D1996</f>
        <v/>
      </c>
      <c r="AE1996" s="49">
        <f>EMISSIONS(AE1987,Settings!$C$13,$D1996)</f>
        <v/>
      </c>
      <c r="AG1996" s="11">
        <f>CodePrefix&amp;$A1996&amp;IF($C1996="","","."&amp;$C1996&amp;"."&amp;$B1996)&amp;INDEX(VarEnd,MATCH($A1996,VarKey,0))&amp;AG$5</f>
        <v/>
      </c>
      <c r="AH1996" s="15">
        <f>AH1987*Settings!$C$13*$D1996</f>
        <v/>
      </c>
      <c r="AI1996" s="16">
        <f>AI1987*Settings!$C$13*$D1996</f>
        <v/>
      </c>
      <c r="AJ1996" s="16">
        <f>AJ1987*Settings!$C$13*$D1996</f>
        <v/>
      </c>
      <c r="AK1996" s="16">
        <f>AK1987*Settings!$C$13*$D1996</f>
        <v/>
      </c>
      <c r="AL1996" s="16">
        <f>AL1987*Settings!$C$13*$D1996</f>
        <v/>
      </c>
      <c r="AM1996" s="16">
        <f>AM1987*Settings!$C$13*$D1996</f>
        <v/>
      </c>
      <c r="AN1996" s="16">
        <f>AN1987*Settings!$C$13*$D1996</f>
        <v/>
      </c>
      <c r="AO1996" s="16">
        <f>AO1987*Settings!$C$13*$D1996</f>
        <v/>
      </c>
      <c r="AP1996" s="16">
        <f>AP1987*Settings!$C$13*$D1996</f>
        <v/>
      </c>
      <c r="AQ1996" s="16">
        <f>AQ1987*Settings!$C$13*$D1996</f>
        <v/>
      </c>
      <c r="AR1996" s="16">
        <f>AR1987*Settings!$C$13*$D1996</f>
        <v/>
      </c>
      <c r="AS1996" s="16">
        <f>AS1987*Settings!$C$13*$D1996</f>
        <v/>
      </c>
      <c r="AT1996" s="16">
        <f>AT1987*Settings!$C$13*$D1996</f>
        <v/>
      </c>
      <c r="AU1996" s="16">
        <f>AU1987*Settings!$C$13*$D1996</f>
        <v/>
      </c>
      <c r="AV1996" s="16">
        <f>AV1987*Settings!$C$13*$D1996</f>
        <v/>
      </c>
      <c r="AW1996" s="16">
        <f>AW1987*Settings!$C$13*$D1996</f>
        <v/>
      </c>
      <c r="AX1996" s="16">
        <f>AX1987*Settings!$C$13*$D1996</f>
        <v/>
      </c>
      <c r="AY1996" s="16">
        <f>AY1987*Settings!$C$13*$D1996</f>
        <v/>
      </c>
      <c r="AZ1996" s="16">
        <f>AZ1987*Settings!$C$13*$D1996</f>
        <v/>
      </c>
      <c r="BA1996" s="49">
        <f>EMISSIONS(BA1987,Settings!$C$13,$D1996)</f>
        <v/>
      </c>
    </row>
    <row r="1997" hidden="1" outlineLevel="2">
      <c r="A1997" s="14" t="inlineStr">
        <is>
          <t>co2</t>
        </is>
      </c>
      <c r="B1997" s="14" t="inlineStr">
        <is>
          <t>bio</t>
        </is>
      </c>
      <c r="C1997" s="14" t="inlineStr">
        <is>
          <t>mch</t>
        </is>
      </c>
      <c r="D1997" s="35">
        <f>INDEX(Inputs!$W$5:$W$132,MATCH($B1997&amp;"|"&amp;$C1997,Inputs!$A$5:$A$132,0))</f>
        <v/>
      </c>
      <c r="E1997" s="39" t="n"/>
      <c r="F1997" s="39" t="n"/>
      <c r="G1997" s="39" t="n"/>
      <c r="H1997" s="14">
        <f>INDEX(VarLab,MATCH($A1997,VarKey,0))&amp;INDEX(MemLab,MATCH($C1997&amp;"|"&amp;$B1997,MemKey,0))</f>
        <v/>
      </c>
      <c r="I1997" s="14">
        <f>INDEX(VarUnit,MATCH($A1997,VarKey,0))</f>
        <v/>
      </c>
      <c r="J1997" s="14">
        <f>INDEX(VarSrc,MATCH($A1997,VarKey,0))</f>
        <v/>
      </c>
      <c r="K1997" s="11">
        <f>CodePrefix&amp;$A1997&amp;IF($C1997="","","."&amp;$C1997&amp;"."&amp;$B1997)&amp;INDEX(VarEnd,MATCH($A1997,VarKey,0))&amp;K$5</f>
        <v/>
      </c>
      <c r="L1997" s="15">
        <f>L1988*Settings!$C$13*$D1997</f>
        <v/>
      </c>
      <c r="M1997" s="16">
        <f>M1988*Settings!$C$13*$D1997</f>
        <v/>
      </c>
      <c r="N1997" s="16">
        <f>N1988*Settings!$C$13*$D1997</f>
        <v/>
      </c>
      <c r="O1997" s="16">
        <f>O1988*Settings!$C$13*$D1997</f>
        <v/>
      </c>
      <c r="P1997" s="16">
        <f>P1988*Settings!$C$13*$D1997</f>
        <v/>
      </c>
      <c r="Q1997" s="16">
        <f>Q1988*Settings!$C$13*$D1997</f>
        <v/>
      </c>
      <c r="R1997" s="16">
        <f>R1988*Settings!$C$13*$D1997</f>
        <v/>
      </c>
      <c r="S1997" s="16">
        <f>S1988*Settings!$C$13*$D1997</f>
        <v/>
      </c>
      <c r="T1997" s="16">
        <f>T1988*Settings!$C$13*$D1997</f>
        <v/>
      </c>
      <c r="U1997" s="16">
        <f>U1988*Settings!$C$13*$D1997</f>
        <v/>
      </c>
      <c r="V1997" s="16">
        <f>V1988*Settings!$C$13*$D1997</f>
        <v/>
      </c>
      <c r="W1997" s="16">
        <f>W1988*Settings!$C$13*$D1997</f>
        <v/>
      </c>
      <c r="X1997" s="16">
        <f>X1988*Settings!$C$13*$D1997</f>
        <v/>
      </c>
      <c r="Y1997" s="16">
        <f>Y1988*Settings!$C$13*$D1997</f>
        <v/>
      </c>
      <c r="Z1997" s="16">
        <f>Z1988*Settings!$C$13*$D1997</f>
        <v/>
      </c>
      <c r="AA1997" s="16">
        <f>AA1988*Settings!$C$13*$D1997</f>
        <v/>
      </c>
      <c r="AB1997" s="16">
        <f>AB1988*Settings!$C$13*$D1997</f>
        <v/>
      </c>
      <c r="AC1997" s="16">
        <f>AC1988*Settings!$C$13*$D1997</f>
        <v/>
      </c>
      <c r="AD1997" s="16">
        <f>AD1988*Settings!$C$13*$D1997</f>
        <v/>
      </c>
      <c r="AE1997" s="49">
        <f>EMISSIONS(AE1988,Settings!$C$13,$D1997)</f>
        <v/>
      </c>
      <c r="AG1997" s="11">
        <f>CodePrefix&amp;$A1997&amp;IF($C1997="","","."&amp;$C1997&amp;"."&amp;$B1997)&amp;INDEX(VarEnd,MATCH($A1997,VarKey,0))&amp;AG$5</f>
        <v/>
      </c>
      <c r="AH1997" s="15">
        <f>AH1988*Settings!$C$13*$D1997</f>
        <v/>
      </c>
      <c r="AI1997" s="16">
        <f>AI1988*Settings!$C$13*$D1997</f>
        <v/>
      </c>
      <c r="AJ1997" s="16">
        <f>AJ1988*Settings!$C$13*$D1997</f>
        <v/>
      </c>
      <c r="AK1997" s="16">
        <f>AK1988*Settings!$C$13*$D1997</f>
        <v/>
      </c>
      <c r="AL1997" s="16">
        <f>AL1988*Settings!$C$13*$D1997</f>
        <v/>
      </c>
      <c r="AM1997" s="16">
        <f>AM1988*Settings!$C$13*$D1997</f>
        <v/>
      </c>
      <c r="AN1997" s="16">
        <f>AN1988*Settings!$C$13*$D1997</f>
        <v/>
      </c>
      <c r="AO1997" s="16">
        <f>AO1988*Settings!$C$13*$D1997</f>
        <v/>
      </c>
      <c r="AP1997" s="16">
        <f>AP1988*Settings!$C$13*$D1997</f>
        <v/>
      </c>
      <c r="AQ1997" s="16">
        <f>AQ1988*Settings!$C$13*$D1997</f>
        <v/>
      </c>
      <c r="AR1997" s="16">
        <f>AR1988*Settings!$C$13*$D1997</f>
        <v/>
      </c>
      <c r="AS1997" s="16">
        <f>AS1988*Settings!$C$13*$D1997</f>
        <v/>
      </c>
      <c r="AT1997" s="16">
        <f>AT1988*Settings!$C$13*$D1997</f>
        <v/>
      </c>
      <c r="AU1997" s="16">
        <f>AU1988*Settings!$C$13*$D1997</f>
        <v/>
      </c>
      <c r="AV1997" s="16">
        <f>AV1988*Settings!$C$13*$D1997</f>
        <v/>
      </c>
      <c r="AW1997" s="16">
        <f>AW1988*Settings!$C$13*$D1997</f>
        <v/>
      </c>
      <c r="AX1997" s="16">
        <f>AX1988*Settings!$C$13*$D1997</f>
        <v/>
      </c>
      <c r="AY1997" s="16">
        <f>AY1988*Settings!$C$13*$D1997</f>
        <v/>
      </c>
      <c r="AZ1997" s="16">
        <f>AZ1988*Settings!$C$13*$D1997</f>
        <v/>
      </c>
      <c r="BA1997" s="49">
        <f>EMISSIONS(BA1988,Settings!$C$13,$D1997)</f>
        <v/>
      </c>
    </row>
    <row r="1998" hidden="1" outlineLevel="2"/>
    <row r="1999" hidden="1" outlineLevel="2">
      <c r="A1999" s="14" t="inlineStr">
        <is>
          <t>rtx</t>
        </is>
      </c>
      <c r="B1999" s="14" t="inlineStr">
        <is>
          <t>coa</t>
        </is>
      </c>
      <c r="C1999" s="14" t="inlineStr">
        <is>
          <t>mch</t>
        </is>
      </c>
      <c r="D1999" s="35">
        <f>INDEX(Inputs!$U$5:$U$132,MATCH($B1999&amp;"|"&amp;$C1999,Inputs!$A$5:$A$132,0))</f>
        <v/>
      </c>
      <c r="E1999" s="35">
        <f>INDEX(Inputs!$V$5:$V$132,MATCH($B1999&amp;"|"&amp;$C1999,Inputs!$A$5:$A$132,0))</f>
        <v/>
      </c>
      <c r="F1999" s="39" t="n"/>
      <c r="G1999" s="39" t="n"/>
      <c r="H1999" s="14">
        <f>INDEX(VarLab,MATCH($A1999,VarKey,0))&amp;INDEX(MemLab,MATCH($C1999&amp;"|"&amp;$B1999,MemKey,0))</f>
        <v/>
      </c>
      <c r="I1999" s="14">
        <f>INDEX(VarUnit,MATCH($A1999,VarKey,0))</f>
        <v/>
      </c>
      <c r="J1999" s="14">
        <f>INDEX(VarSrc,MATCH($A1999,VarKey,0))</f>
        <v/>
      </c>
      <c r="K1999" s="11">
        <f>CodePrefix&amp;$A1999&amp;IF($C1999="","","."&amp;$C1999&amp;"."&amp;$B1999)&amp;INDEX(VarEnd,MATCH($A1999,VarKey,0))&amp;K$5</f>
        <v/>
      </c>
      <c r="L1999" s="43">
        <f>L1981*Settings!$C$13*(INDEX(L$407:L$418,$D1999)+INDEX(L$394:L$405,$D1999)+L1954*(1+$E1999))</f>
        <v/>
      </c>
      <c r="M1999" s="44">
        <f>M1981*Settings!$C$13*(INDEX(M$407:M$418,$D1999)+INDEX(M$394:M$405,$D1999)+M1954*(1+$E1999))</f>
        <v/>
      </c>
      <c r="N1999" s="44">
        <f>N1981*Settings!$C$13*(INDEX(N$407:N$418,$D1999)+INDEX(N$394:N$405,$D1999)+N1954*(1+$E1999))</f>
        <v/>
      </c>
      <c r="O1999" s="44">
        <f>O1981*Settings!$C$13*(INDEX(O$407:O$418,$D1999)+INDEX(O$394:O$405,$D1999)+O1954*(1+$E1999))</f>
        <v/>
      </c>
      <c r="P1999" s="44">
        <f>P1981*Settings!$C$13*(INDEX(P$407:P$418,$D1999)+INDEX(P$394:P$405,$D1999)+P1954*(1+$E1999))</f>
        <v/>
      </c>
      <c r="Q1999" s="44">
        <f>Q1981*Settings!$C$13*(INDEX(Q$407:Q$418,$D1999)+INDEX(Q$394:Q$405,$D1999)+Q1954*(1+$E1999))</f>
        <v/>
      </c>
      <c r="R1999" s="44">
        <f>R1981*Settings!$C$13*(INDEX(R$407:R$418,$D1999)+INDEX(R$394:R$405,$D1999)+R1954*(1+$E1999))</f>
        <v/>
      </c>
      <c r="S1999" s="44">
        <f>S1981*Settings!$C$13*(INDEX(S$407:S$418,$D1999)+INDEX(S$394:S$405,$D1999)+S1954*(1+$E1999))</f>
        <v/>
      </c>
      <c r="T1999" s="44">
        <f>T1981*Settings!$C$13*(INDEX(T$407:T$418,$D1999)+INDEX(T$394:T$405,$D1999)+T1954*(1+$E1999))</f>
        <v/>
      </c>
      <c r="U1999" s="44">
        <f>U1981*Settings!$C$13*(INDEX(U$407:U$418,$D1999)+INDEX(U$394:U$405,$D1999)+U1954*(1+$E1999))</f>
        <v/>
      </c>
      <c r="V1999" s="44">
        <f>V1981*Settings!$C$13*(INDEX(V$407:V$418,$D1999)+INDEX(V$394:V$405,$D1999)+V1954*(1+$E1999))</f>
        <v/>
      </c>
      <c r="W1999" s="44">
        <f>W1981*Settings!$C$13*(INDEX(W$407:W$418,$D1999)+INDEX(W$394:W$405,$D1999)+W1954*(1+$E1999))</f>
        <v/>
      </c>
      <c r="X1999" s="44">
        <f>X1981*Settings!$C$13*(INDEX(X$407:X$418,$D1999)+INDEX(X$394:X$405,$D1999)+X1954*(1+$E1999))</f>
        <v/>
      </c>
      <c r="Y1999" s="44">
        <f>Y1981*Settings!$C$13*(INDEX(Y$407:Y$418,$D1999)+INDEX(Y$394:Y$405,$D1999)+Y1954*(1+$E1999))</f>
        <v/>
      </c>
      <c r="Z1999" s="44">
        <f>Z1981*Settings!$C$13*(INDEX(Z$407:Z$418,$D1999)+INDEX(Z$394:Z$405,$D1999)+Z1954*(1+$E1999))</f>
        <v/>
      </c>
      <c r="AA1999" s="44">
        <f>AA1981*Settings!$C$13*(INDEX(AA$407:AA$418,$D1999)+INDEX(AA$394:AA$405,$D1999)+AA1954*(1+$E1999))</f>
        <v/>
      </c>
      <c r="AB1999" s="44">
        <f>AB1981*Settings!$C$13*(INDEX(AB$407:AB$418,$D1999)+INDEX(AB$394:AB$405,$D1999)+AB1954*(1+$E1999))</f>
        <v/>
      </c>
      <c r="AC1999" s="44">
        <f>AC1981*Settings!$C$13*(INDEX(AC$407:AC$418,$D1999)+INDEX(AC$394:AC$405,$D1999)+AC1954*(1+$E1999))</f>
        <v/>
      </c>
      <c r="AD1999" s="44">
        <f>AD1981*Settings!$C$13*(INDEX(AD$407:AD$418,$D1999)+INDEX(AD$394:AD$405,$D1999)+AD1954*(1+$E1999))</f>
        <v/>
      </c>
      <c r="AE1999" s="57">
        <f>REVENUE(AE1981,Settings!$C$13,INDEX(AE$407:AE$418,$D1999)+INDEX(AE$394:AE$405,$D1999)+AE1954*(1+$E1999))</f>
        <v/>
      </c>
      <c r="AG1999" s="11">
        <f>CodePrefix&amp;$A1999&amp;IF($C1999="","","."&amp;$C1999&amp;"."&amp;$B1999)&amp;INDEX(VarEnd,MATCH($A1999,VarKey,0))&amp;AG$5</f>
        <v/>
      </c>
      <c r="AH1999" s="43">
        <f>AH1981*Settings!$C$13*(INDEX(AH$407:AH$418,$D1999)+INDEX(AH$394:AH$405,$D1999)+AH1954*(1+$E1999))</f>
        <v/>
      </c>
      <c r="AI1999" s="44">
        <f>AI1981*Settings!$C$13*(INDEX(AI$407:AI$418,$D1999)+INDEX(AI$394:AI$405,$D1999)+AI1954*(1+$E1999))</f>
        <v/>
      </c>
      <c r="AJ1999" s="44">
        <f>AJ1981*Settings!$C$13*(INDEX(AJ$407:AJ$418,$D1999)+INDEX(AJ$394:AJ$405,$D1999)+AJ1954*(1+$E1999))</f>
        <v/>
      </c>
      <c r="AK1999" s="44">
        <f>AK1981*Settings!$C$13*(INDEX(AK$407:AK$418,$D1999)+INDEX(AK$394:AK$405,$D1999)+AK1954*(1+$E1999))</f>
        <v/>
      </c>
      <c r="AL1999" s="44">
        <f>AL1981*Settings!$C$13*(INDEX(AL$407:AL$418,$D1999)+INDEX(AL$394:AL$405,$D1999)+AL1954*(1+$E1999))</f>
        <v/>
      </c>
      <c r="AM1999" s="44">
        <f>AM1981*Settings!$C$13*(INDEX(AM$407:AM$418,$D1999)+INDEX(AM$394:AM$405,$D1999)+AM1954*(1+$E1999))</f>
        <v/>
      </c>
      <c r="AN1999" s="44">
        <f>AN1981*Settings!$C$13*(INDEX(AN$407:AN$418,$D1999)+INDEX(AN$394:AN$405,$D1999)+AN1954*(1+$E1999))</f>
        <v/>
      </c>
      <c r="AO1999" s="44">
        <f>AO1981*Settings!$C$13*(INDEX(AO$407:AO$418,$D1999)+INDEX(AO$394:AO$405,$D1999)+AO1954*(1+$E1999))</f>
        <v/>
      </c>
      <c r="AP1999" s="44">
        <f>AP1981*Settings!$C$13*(INDEX(AP$407:AP$418,$D1999)+INDEX(AP$394:AP$405,$D1999)+AP1954*(1+$E1999))</f>
        <v/>
      </c>
      <c r="AQ1999" s="44">
        <f>AQ1981*Settings!$C$13*(INDEX(AQ$407:AQ$418,$D1999)+INDEX(AQ$394:AQ$405,$D1999)+AQ1954*(1+$E1999))</f>
        <v/>
      </c>
      <c r="AR1999" s="44">
        <f>AR1981*Settings!$C$13*(INDEX(AR$407:AR$418,$D1999)+INDEX(AR$394:AR$405,$D1999)+AR1954*(1+$E1999))</f>
        <v/>
      </c>
      <c r="AS1999" s="44">
        <f>AS1981*Settings!$C$13*(INDEX(AS$407:AS$418,$D1999)+INDEX(AS$394:AS$405,$D1999)+AS1954*(1+$E1999))</f>
        <v/>
      </c>
      <c r="AT1999" s="44">
        <f>AT1981*Settings!$C$13*(INDEX(AT$407:AT$418,$D1999)+INDEX(AT$394:AT$405,$D1999)+AT1954*(1+$E1999))</f>
        <v/>
      </c>
      <c r="AU1999" s="44">
        <f>AU1981*Settings!$C$13*(INDEX(AU$407:AU$418,$D1999)+INDEX(AU$394:AU$405,$D1999)+AU1954*(1+$E1999))</f>
        <v/>
      </c>
      <c r="AV1999" s="44">
        <f>AV1981*Settings!$C$13*(INDEX(AV$407:AV$418,$D1999)+INDEX(AV$394:AV$405,$D1999)+AV1954*(1+$E1999))</f>
        <v/>
      </c>
      <c r="AW1999" s="44">
        <f>AW1981*Settings!$C$13*(INDEX(AW$407:AW$418,$D1999)+INDEX(AW$394:AW$405,$D1999)+AW1954*(1+$E1999))</f>
        <v/>
      </c>
      <c r="AX1999" s="44">
        <f>AX1981*Settings!$C$13*(INDEX(AX$407:AX$418,$D1999)+INDEX(AX$394:AX$405,$D1999)+AX1954*(1+$E1999))</f>
        <v/>
      </c>
      <c r="AY1999" s="44">
        <f>AY1981*Settings!$C$13*(INDEX(AY$407:AY$418,$D1999)+INDEX(AY$394:AY$405,$D1999)+AY1954*(1+$E1999))</f>
        <v/>
      </c>
      <c r="AZ1999" s="44">
        <f>AZ1981*Settings!$C$13*(INDEX(AZ$407:AZ$418,$D1999)+INDEX(AZ$394:AZ$405,$D1999)+AZ1954*(1+$E1999))</f>
        <v/>
      </c>
      <c r="BA1999" s="57">
        <f>REVENUE(BA1981,Settings!$C$13,INDEX(BA$407:BA$418,$D1999)+INDEX(BA$394:BA$405,$D1999)+BA1954*(1+$E1999))</f>
        <v/>
      </c>
    </row>
    <row r="2000" hidden="1" outlineLevel="2">
      <c r="A2000" s="14" t="inlineStr">
        <is>
          <t>rtx</t>
        </is>
      </c>
      <c r="B2000" s="14" t="inlineStr">
        <is>
          <t>nga</t>
        </is>
      </c>
      <c r="C2000" s="14" t="inlineStr">
        <is>
          <t>mch</t>
        </is>
      </c>
      <c r="D2000" s="35">
        <f>INDEX(Inputs!$U$5:$U$132,MATCH($B2000&amp;"|"&amp;$C2000,Inputs!$A$5:$A$132,0))</f>
        <v/>
      </c>
      <c r="E2000" s="35">
        <f>INDEX(Inputs!$V$5:$V$132,MATCH($B2000&amp;"|"&amp;$C2000,Inputs!$A$5:$A$132,0))</f>
        <v/>
      </c>
      <c r="F2000" s="39" t="n"/>
      <c r="G2000" s="39" t="n"/>
      <c r="H2000" s="14">
        <f>INDEX(VarLab,MATCH($A2000,VarKey,0))&amp;INDEX(MemLab,MATCH($C2000&amp;"|"&amp;$B2000,MemKey,0))</f>
        <v/>
      </c>
      <c r="I2000" s="14">
        <f>INDEX(VarUnit,MATCH($A2000,VarKey,0))</f>
        <v/>
      </c>
      <c r="J2000" s="14">
        <f>INDEX(VarSrc,MATCH($A2000,VarKey,0))</f>
        <v/>
      </c>
      <c r="K2000" s="11">
        <f>CodePrefix&amp;$A2000&amp;IF($C2000="","","."&amp;$C2000&amp;"."&amp;$B2000)&amp;INDEX(VarEnd,MATCH($A2000,VarKey,0))&amp;K$5</f>
        <v/>
      </c>
      <c r="L2000" s="43">
        <f>L1982*Settings!$C$13*(INDEX(L$407:L$418,$D2000)+INDEX(L$394:L$405,$D2000)+L1955*(1+$E2000))</f>
        <v/>
      </c>
      <c r="M2000" s="44">
        <f>M1982*Settings!$C$13*(INDEX(M$407:M$418,$D2000)+INDEX(M$394:M$405,$D2000)+M1955*(1+$E2000))</f>
        <v/>
      </c>
      <c r="N2000" s="44">
        <f>N1982*Settings!$C$13*(INDEX(N$407:N$418,$D2000)+INDEX(N$394:N$405,$D2000)+N1955*(1+$E2000))</f>
        <v/>
      </c>
      <c r="O2000" s="44">
        <f>O1982*Settings!$C$13*(INDEX(O$407:O$418,$D2000)+INDEX(O$394:O$405,$D2000)+O1955*(1+$E2000))</f>
        <v/>
      </c>
      <c r="P2000" s="44">
        <f>P1982*Settings!$C$13*(INDEX(P$407:P$418,$D2000)+INDEX(P$394:P$405,$D2000)+P1955*(1+$E2000))</f>
        <v/>
      </c>
      <c r="Q2000" s="44">
        <f>Q1982*Settings!$C$13*(INDEX(Q$407:Q$418,$D2000)+INDEX(Q$394:Q$405,$D2000)+Q1955*(1+$E2000))</f>
        <v/>
      </c>
      <c r="R2000" s="44">
        <f>R1982*Settings!$C$13*(INDEX(R$407:R$418,$D2000)+INDEX(R$394:R$405,$D2000)+R1955*(1+$E2000))</f>
        <v/>
      </c>
      <c r="S2000" s="44">
        <f>S1982*Settings!$C$13*(INDEX(S$407:S$418,$D2000)+INDEX(S$394:S$405,$D2000)+S1955*(1+$E2000))</f>
        <v/>
      </c>
      <c r="T2000" s="44">
        <f>T1982*Settings!$C$13*(INDEX(T$407:T$418,$D2000)+INDEX(T$394:T$405,$D2000)+T1955*(1+$E2000))</f>
        <v/>
      </c>
      <c r="U2000" s="44">
        <f>U1982*Settings!$C$13*(INDEX(U$407:U$418,$D2000)+INDEX(U$394:U$405,$D2000)+U1955*(1+$E2000))</f>
        <v/>
      </c>
      <c r="V2000" s="44">
        <f>V1982*Settings!$C$13*(INDEX(V$407:V$418,$D2000)+INDEX(V$394:V$405,$D2000)+V1955*(1+$E2000))</f>
        <v/>
      </c>
      <c r="W2000" s="44">
        <f>W1982*Settings!$C$13*(INDEX(W$407:W$418,$D2000)+INDEX(W$394:W$405,$D2000)+W1955*(1+$E2000))</f>
        <v/>
      </c>
      <c r="X2000" s="44">
        <f>X1982*Settings!$C$13*(INDEX(X$407:X$418,$D2000)+INDEX(X$394:X$405,$D2000)+X1955*(1+$E2000))</f>
        <v/>
      </c>
      <c r="Y2000" s="44">
        <f>Y1982*Settings!$C$13*(INDEX(Y$407:Y$418,$D2000)+INDEX(Y$394:Y$405,$D2000)+Y1955*(1+$E2000))</f>
        <v/>
      </c>
      <c r="Z2000" s="44">
        <f>Z1982*Settings!$C$13*(INDEX(Z$407:Z$418,$D2000)+INDEX(Z$394:Z$405,$D2000)+Z1955*(1+$E2000))</f>
        <v/>
      </c>
      <c r="AA2000" s="44">
        <f>AA1982*Settings!$C$13*(INDEX(AA$407:AA$418,$D2000)+INDEX(AA$394:AA$405,$D2000)+AA1955*(1+$E2000))</f>
        <v/>
      </c>
      <c r="AB2000" s="44">
        <f>AB1982*Settings!$C$13*(INDEX(AB$407:AB$418,$D2000)+INDEX(AB$394:AB$405,$D2000)+AB1955*(1+$E2000))</f>
        <v/>
      </c>
      <c r="AC2000" s="44">
        <f>AC1982*Settings!$C$13*(INDEX(AC$407:AC$418,$D2000)+INDEX(AC$394:AC$405,$D2000)+AC1955*(1+$E2000))</f>
        <v/>
      </c>
      <c r="AD2000" s="44">
        <f>AD1982*Settings!$C$13*(INDEX(AD$407:AD$418,$D2000)+INDEX(AD$394:AD$405,$D2000)+AD1955*(1+$E2000))</f>
        <v/>
      </c>
      <c r="AE2000" s="57">
        <f>REVENUE(AE1982,Settings!$C$13,INDEX(AE$407:AE$418,$D2000)+INDEX(AE$394:AE$405,$D2000)+AE1955*(1+$E2000))</f>
        <v/>
      </c>
      <c r="AG2000" s="11">
        <f>CodePrefix&amp;$A2000&amp;IF($C2000="","","."&amp;$C2000&amp;"."&amp;$B2000)&amp;INDEX(VarEnd,MATCH($A2000,VarKey,0))&amp;AG$5</f>
        <v/>
      </c>
      <c r="AH2000" s="43">
        <f>AH1982*Settings!$C$13*(INDEX(AH$407:AH$418,$D2000)+INDEX(AH$394:AH$405,$D2000)+AH1955*(1+$E2000))</f>
        <v/>
      </c>
      <c r="AI2000" s="44">
        <f>AI1982*Settings!$C$13*(INDEX(AI$407:AI$418,$D2000)+INDEX(AI$394:AI$405,$D2000)+AI1955*(1+$E2000))</f>
        <v/>
      </c>
      <c r="AJ2000" s="44">
        <f>AJ1982*Settings!$C$13*(INDEX(AJ$407:AJ$418,$D2000)+INDEX(AJ$394:AJ$405,$D2000)+AJ1955*(1+$E2000))</f>
        <v/>
      </c>
      <c r="AK2000" s="44">
        <f>AK1982*Settings!$C$13*(INDEX(AK$407:AK$418,$D2000)+INDEX(AK$394:AK$405,$D2000)+AK1955*(1+$E2000))</f>
        <v/>
      </c>
      <c r="AL2000" s="44">
        <f>AL1982*Settings!$C$13*(INDEX(AL$407:AL$418,$D2000)+INDEX(AL$394:AL$405,$D2000)+AL1955*(1+$E2000))</f>
        <v/>
      </c>
      <c r="AM2000" s="44">
        <f>AM1982*Settings!$C$13*(INDEX(AM$407:AM$418,$D2000)+INDEX(AM$394:AM$405,$D2000)+AM1955*(1+$E2000))</f>
        <v/>
      </c>
      <c r="AN2000" s="44">
        <f>AN1982*Settings!$C$13*(INDEX(AN$407:AN$418,$D2000)+INDEX(AN$394:AN$405,$D2000)+AN1955*(1+$E2000))</f>
        <v/>
      </c>
      <c r="AO2000" s="44">
        <f>AO1982*Settings!$C$13*(INDEX(AO$407:AO$418,$D2000)+INDEX(AO$394:AO$405,$D2000)+AO1955*(1+$E2000))</f>
        <v/>
      </c>
      <c r="AP2000" s="44">
        <f>AP1982*Settings!$C$13*(INDEX(AP$407:AP$418,$D2000)+INDEX(AP$394:AP$405,$D2000)+AP1955*(1+$E2000))</f>
        <v/>
      </c>
      <c r="AQ2000" s="44">
        <f>AQ1982*Settings!$C$13*(INDEX(AQ$407:AQ$418,$D2000)+INDEX(AQ$394:AQ$405,$D2000)+AQ1955*(1+$E2000))</f>
        <v/>
      </c>
      <c r="AR2000" s="44">
        <f>AR1982*Settings!$C$13*(INDEX(AR$407:AR$418,$D2000)+INDEX(AR$394:AR$405,$D2000)+AR1955*(1+$E2000))</f>
        <v/>
      </c>
      <c r="AS2000" s="44">
        <f>AS1982*Settings!$C$13*(INDEX(AS$407:AS$418,$D2000)+INDEX(AS$394:AS$405,$D2000)+AS1955*(1+$E2000))</f>
        <v/>
      </c>
      <c r="AT2000" s="44">
        <f>AT1982*Settings!$C$13*(INDEX(AT$407:AT$418,$D2000)+INDEX(AT$394:AT$405,$D2000)+AT1955*(1+$E2000))</f>
        <v/>
      </c>
      <c r="AU2000" s="44">
        <f>AU1982*Settings!$C$13*(INDEX(AU$407:AU$418,$D2000)+INDEX(AU$394:AU$405,$D2000)+AU1955*(1+$E2000))</f>
        <v/>
      </c>
      <c r="AV2000" s="44">
        <f>AV1982*Settings!$C$13*(INDEX(AV$407:AV$418,$D2000)+INDEX(AV$394:AV$405,$D2000)+AV1955*(1+$E2000))</f>
        <v/>
      </c>
      <c r="AW2000" s="44">
        <f>AW1982*Settings!$C$13*(INDEX(AW$407:AW$418,$D2000)+INDEX(AW$394:AW$405,$D2000)+AW1955*(1+$E2000))</f>
        <v/>
      </c>
      <c r="AX2000" s="44">
        <f>AX1982*Settings!$C$13*(INDEX(AX$407:AX$418,$D2000)+INDEX(AX$394:AX$405,$D2000)+AX1955*(1+$E2000))</f>
        <v/>
      </c>
      <c r="AY2000" s="44">
        <f>AY1982*Settings!$C$13*(INDEX(AY$407:AY$418,$D2000)+INDEX(AY$394:AY$405,$D2000)+AY1955*(1+$E2000))</f>
        <v/>
      </c>
      <c r="AZ2000" s="44">
        <f>AZ1982*Settings!$C$13*(INDEX(AZ$407:AZ$418,$D2000)+INDEX(AZ$394:AZ$405,$D2000)+AZ1955*(1+$E2000))</f>
        <v/>
      </c>
      <c r="BA2000" s="57">
        <f>REVENUE(BA1982,Settings!$C$13,INDEX(BA$407:BA$418,$D2000)+INDEX(BA$394:BA$405,$D2000)+BA1955*(1+$E2000))</f>
        <v/>
      </c>
    </row>
    <row r="2001" hidden="1" outlineLevel="2">
      <c r="A2001" s="14" t="inlineStr">
        <is>
          <t>rtx</t>
        </is>
      </c>
      <c r="B2001" s="14" t="inlineStr">
        <is>
          <t>gso</t>
        </is>
      </c>
      <c r="C2001" s="14" t="inlineStr">
        <is>
          <t>mch</t>
        </is>
      </c>
      <c r="D2001" s="35">
        <f>INDEX(Inputs!$U$5:$U$132,MATCH($B2001&amp;"|"&amp;$C2001,Inputs!$A$5:$A$132,0))</f>
        <v/>
      </c>
      <c r="E2001" s="35">
        <f>INDEX(Inputs!$V$5:$V$132,MATCH($B2001&amp;"|"&amp;$C2001,Inputs!$A$5:$A$132,0))</f>
        <v/>
      </c>
      <c r="F2001" s="39" t="n"/>
      <c r="G2001" s="39" t="n"/>
      <c r="H2001" s="14">
        <f>INDEX(VarLab,MATCH($A2001,VarKey,0))&amp;INDEX(MemLab,MATCH($C2001&amp;"|"&amp;$B2001,MemKey,0))</f>
        <v/>
      </c>
      <c r="I2001" s="14">
        <f>INDEX(VarUnit,MATCH($A2001,VarKey,0))</f>
        <v/>
      </c>
      <c r="J2001" s="14">
        <f>INDEX(VarSrc,MATCH($A2001,VarKey,0))</f>
        <v/>
      </c>
      <c r="K2001" s="11">
        <f>CodePrefix&amp;$A2001&amp;IF($C2001="","","."&amp;$C2001&amp;"."&amp;$B2001)&amp;INDEX(VarEnd,MATCH($A2001,VarKey,0))&amp;K$5</f>
        <v/>
      </c>
      <c r="L2001" s="43">
        <f>L1983*Settings!$C$13*(INDEX(L$407:L$418,$D2001)+INDEX(L$394:L$405,$D2001)+L1956*(1+$E2001))</f>
        <v/>
      </c>
      <c r="M2001" s="44">
        <f>M1983*Settings!$C$13*(INDEX(M$407:M$418,$D2001)+INDEX(M$394:M$405,$D2001)+M1956*(1+$E2001))</f>
        <v/>
      </c>
      <c r="N2001" s="44">
        <f>N1983*Settings!$C$13*(INDEX(N$407:N$418,$D2001)+INDEX(N$394:N$405,$D2001)+N1956*(1+$E2001))</f>
        <v/>
      </c>
      <c r="O2001" s="44">
        <f>O1983*Settings!$C$13*(INDEX(O$407:O$418,$D2001)+INDEX(O$394:O$405,$D2001)+O1956*(1+$E2001))</f>
        <v/>
      </c>
      <c r="P2001" s="44">
        <f>P1983*Settings!$C$13*(INDEX(P$407:P$418,$D2001)+INDEX(P$394:P$405,$D2001)+P1956*(1+$E2001))</f>
        <v/>
      </c>
      <c r="Q2001" s="44">
        <f>Q1983*Settings!$C$13*(INDEX(Q$407:Q$418,$D2001)+INDEX(Q$394:Q$405,$D2001)+Q1956*(1+$E2001))</f>
        <v/>
      </c>
      <c r="R2001" s="44">
        <f>R1983*Settings!$C$13*(INDEX(R$407:R$418,$D2001)+INDEX(R$394:R$405,$D2001)+R1956*(1+$E2001))</f>
        <v/>
      </c>
      <c r="S2001" s="44">
        <f>S1983*Settings!$C$13*(INDEX(S$407:S$418,$D2001)+INDEX(S$394:S$405,$D2001)+S1956*(1+$E2001))</f>
        <v/>
      </c>
      <c r="T2001" s="44">
        <f>T1983*Settings!$C$13*(INDEX(T$407:T$418,$D2001)+INDEX(T$394:T$405,$D2001)+T1956*(1+$E2001))</f>
        <v/>
      </c>
      <c r="U2001" s="44">
        <f>U1983*Settings!$C$13*(INDEX(U$407:U$418,$D2001)+INDEX(U$394:U$405,$D2001)+U1956*(1+$E2001))</f>
        <v/>
      </c>
      <c r="V2001" s="44">
        <f>V1983*Settings!$C$13*(INDEX(V$407:V$418,$D2001)+INDEX(V$394:V$405,$D2001)+V1956*(1+$E2001))</f>
        <v/>
      </c>
      <c r="W2001" s="44">
        <f>W1983*Settings!$C$13*(INDEX(W$407:W$418,$D2001)+INDEX(W$394:W$405,$D2001)+W1956*(1+$E2001))</f>
        <v/>
      </c>
      <c r="X2001" s="44">
        <f>X1983*Settings!$C$13*(INDEX(X$407:X$418,$D2001)+INDEX(X$394:X$405,$D2001)+X1956*(1+$E2001))</f>
        <v/>
      </c>
      <c r="Y2001" s="44">
        <f>Y1983*Settings!$C$13*(INDEX(Y$407:Y$418,$D2001)+INDEX(Y$394:Y$405,$D2001)+Y1956*(1+$E2001))</f>
        <v/>
      </c>
      <c r="Z2001" s="44">
        <f>Z1983*Settings!$C$13*(INDEX(Z$407:Z$418,$D2001)+INDEX(Z$394:Z$405,$D2001)+Z1956*(1+$E2001))</f>
        <v/>
      </c>
      <c r="AA2001" s="44">
        <f>AA1983*Settings!$C$13*(INDEX(AA$407:AA$418,$D2001)+INDEX(AA$394:AA$405,$D2001)+AA1956*(1+$E2001))</f>
        <v/>
      </c>
      <c r="AB2001" s="44">
        <f>AB1983*Settings!$C$13*(INDEX(AB$407:AB$418,$D2001)+INDEX(AB$394:AB$405,$D2001)+AB1956*(1+$E2001))</f>
        <v/>
      </c>
      <c r="AC2001" s="44">
        <f>AC1983*Settings!$C$13*(INDEX(AC$407:AC$418,$D2001)+INDEX(AC$394:AC$405,$D2001)+AC1956*(1+$E2001))</f>
        <v/>
      </c>
      <c r="AD2001" s="44">
        <f>AD1983*Settings!$C$13*(INDEX(AD$407:AD$418,$D2001)+INDEX(AD$394:AD$405,$D2001)+AD1956*(1+$E2001))</f>
        <v/>
      </c>
      <c r="AE2001" s="57">
        <f>REVENUE(AE1983,Settings!$C$13,INDEX(AE$407:AE$418,$D2001)+INDEX(AE$394:AE$405,$D2001)+AE1956*(1+$E2001))</f>
        <v/>
      </c>
      <c r="AG2001" s="11">
        <f>CodePrefix&amp;$A2001&amp;IF($C2001="","","."&amp;$C2001&amp;"."&amp;$B2001)&amp;INDEX(VarEnd,MATCH($A2001,VarKey,0))&amp;AG$5</f>
        <v/>
      </c>
      <c r="AH2001" s="43">
        <f>AH1983*Settings!$C$13*(INDEX(AH$407:AH$418,$D2001)+INDEX(AH$394:AH$405,$D2001)+AH1956*(1+$E2001))</f>
        <v/>
      </c>
      <c r="AI2001" s="44">
        <f>AI1983*Settings!$C$13*(INDEX(AI$407:AI$418,$D2001)+INDEX(AI$394:AI$405,$D2001)+AI1956*(1+$E2001))</f>
        <v/>
      </c>
      <c r="AJ2001" s="44">
        <f>AJ1983*Settings!$C$13*(INDEX(AJ$407:AJ$418,$D2001)+INDEX(AJ$394:AJ$405,$D2001)+AJ1956*(1+$E2001))</f>
        <v/>
      </c>
      <c r="AK2001" s="44">
        <f>AK1983*Settings!$C$13*(INDEX(AK$407:AK$418,$D2001)+INDEX(AK$394:AK$405,$D2001)+AK1956*(1+$E2001))</f>
        <v/>
      </c>
      <c r="AL2001" s="44">
        <f>AL1983*Settings!$C$13*(INDEX(AL$407:AL$418,$D2001)+INDEX(AL$394:AL$405,$D2001)+AL1956*(1+$E2001))</f>
        <v/>
      </c>
      <c r="AM2001" s="44">
        <f>AM1983*Settings!$C$13*(INDEX(AM$407:AM$418,$D2001)+INDEX(AM$394:AM$405,$D2001)+AM1956*(1+$E2001))</f>
        <v/>
      </c>
      <c r="AN2001" s="44">
        <f>AN1983*Settings!$C$13*(INDEX(AN$407:AN$418,$D2001)+INDEX(AN$394:AN$405,$D2001)+AN1956*(1+$E2001))</f>
        <v/>
      </c>
      <c r="AO2001" s="44">
        <f>AO1983*Settings!$C$13*(INDEX(AO$407:AO$418,$D2001)+INDEX(AO$394:AO$405,$D2001)+AO1956*(1+$E2001))</f>
        <v/>
      </c>
      <c r="AP2001" s="44">
        <f>AP1983*Settings!$C$13*(INDEX(AP$407:AP$418,$D2001)+INDEX(AP$394:AP$405,$D2001)+AP1956*(1+$E2001))</f>
        <v/>
      </c>
      <c r="AQ2001" s="44">
        <f>AQ1983*Settings!$C$13*(INDEX(AQ$407:AQ$418,$D2001)+INDEX(AQ$394:AQ$405,$D2001)+AQ1956*(1+$E2001))</f>
        <v/>
      </c>
      <c r="AR2001" s="44">
        <f>AR1983*Settings!$C$13*(INDEX(AR$407:AR$418,$D2001)+INDEX(AR$394:AR$405,$D2001)+AR1956*(1+$E2001))</f>
        <v/>
      </c>
      <c r="AS2001" s="44">
        <f>AS1983*Settings!$C$13*(INDEX(AS$407:AS$418,$D2001)+INDEX(AS$394:AS$405,$D2001)+AS1956*(1+$E2001))</f>
        <v/>
      </c>
      <c r="AT2001" s="44">
        <f>AT1983*Settings!$C$13*(INDEX(AT$407:AT$418,$D2001)+INDEX(AT$394:AT$405,$D2001)+AT1956*(1+$E2001))</f>
        <v/>
      </c>
      <c r="AU2001" s="44">
        <f>AU1983*Settings!$C$13*(INDEX(AU$407:AU$418,$D2001)+INDEX(AU$394:AU$405,$D2001)+AU1956*(1+$E2001))</f>
        <v/>
      </c>
      <c r="AV2001" s="44">
        <f>AV1983*Settings!$C$13*(INDEX(AV$407:AV$418,$D2001)+INDEX(AV$394:AV$405,$D2001)+AV1956*(1+$E2001))</f>
        <v/>
      </c>
      <c r="AW2001" s="44">
        <f>AW1983*Settings!$C$13*(INDEX(AW$407:AW$418,$D2001)+INDEX(AW$394:AW$405,$D2001)+AW1956*(1+$E2001))</f>
        <v/>
      </c>
      <c r="AX2001" s="44">
        <f>AX1983*Settings!$C$13*(INDEX(AX$407:AX$418,$D2001)+INDEX(AX$394:AX$405,$D2001)+AX1956*(1+$E2001))</f>
        <v/>
      </c>
      <c r="AY2001" s="44">
        <f>AY1983*Settings!$C$13*(INDEX(AY$407:AY$418,$D2001)+INDEX(AY$394:AY$405,$D2001)+AY1956*(1+$E2001))</f>
        <v/>
      </c>
      <c r="AZ2001" s="44">
        <f>AZ1983*Settings!$C$13*(INDEX(AZ$407:AZ$418,$D2001)+INDEX(AZ$394:AZ$405,$D2001)+AZ1956*(1+$E2001))</f>
        <v/>
      </c>
      <c r="BA2001" s="57">
        <f>REVENUE(BA1983,Settings!$C$13,INDEX(BA$407:BA$418,$D2001)+INDEX(BA$394:BA$405,$D2001)+BA1956*(1+$E2001))</f>
        <v/>
      </c>
    </row>
    <row r="2002" hidden="1" outlineLevel="2">
      <c r="A2002" s="14" t="inlineStr">
        <is>
          <t>rtx</t>
        </is>
      </c>
      <c r="B2002" s="14" t="inlineStr">
        <is>
          <t>die</t>
        </is>
      </c>
      <c r="C2002" s="14" t="inlineStr">
        <is>
          <t>mch</t>
        </is>
      </c>
      <c r="D2002" s="35">
        <f>INDEX(Inputs!$U$5:$U$132,MATCH($B2002&amp;"|"&amp;$C2002,Inputs!$A$5:$A$132,0))</f>
        <v/>
      </c>
      <c r="E2002" s="35">
        <f>INDEX(Inputs!$V$5:$V$132,MATCH($B2002&amp;"|"&amp;$C2002,Inputs!$A$5:$A$132,0))</f>
        <v/>
      </c>
      <c r="F2002" s="39" t="n"/>
      <c r="G2002" s="39" t="n"/>
      <c r="H2002" s="14">
        <f>INDEX(VarLab,MATCH($A2002,VarKey,0))&amp;INDEX(MemLab,MATCH($C2002&amp;"|"&amp;$B2002,MemKey,0))</f>
        <v/>
      </c>
      <c r="I2002" s="14">
        <f>INDEX(VarUnit,MATCH($A2002,VarKey,0))</f>
        <v/>
      </c>
      <c r="J2002" s="14">
        <f>INDEX(VarSrc,MATCH($A2002,VarKey,0))</f>
        <v/>
      </c>
      <c r="K2002" s="11">
        <f>CodePrefix&amp;$A2002&amp;IF($C2002="","","."&amp;$C2002&amp;"."&amp;$B2002)&amp;INDEX(VarEnd,MATCH($A2002,VarKey,0))&amp;K$5</f>
        <v/>
      </c>
      <c r="L2002" s="43">
        <f>L1984*Settings!$C$13*(INDEX(L$407:L$418,$D2002)+INDEX(L$394:L$405,$D2002)+L1957*(1+$E2002))</f>
        <v/>
      </c>
      <c r="M2002" s="44">
        <f>M1984*Settings!$C$13*(INDEX(M$407:M$418,$D2002)+INDEX(M$394:M$405,$D2002)+M1957*(1+$E2002))</f>
        <v/>
      </c>
      <c r="N2002" s="44">
        <f>N1984*Settings!$C$13*(INDEX(N$407:N$418,$D2002)+INDEX(N$394:N$405,$D2002)+N1957*(1+$E2002))</f>
        <v/>
      </c>
      <c r="O2002" s="44">
        <f>O1984*Settings!$C$13*(INDEX(O$407:O$418,$D2002)+INDEX(O$394:O$405,$D2002)+O1957*(1+$E2002))</f>
        <v/>
      </c>
      <c r="P2002" s="44">
        <f>P1984*Settings!$C$13*(INDEX(P$407:P$418,$D2002)+INDEX(P$394:P$405,$D2002)+P1957*(1+$E2002))</f>
        <v/>
      </c>
      <c r="Q2002" s="44">
        <f>Q1984*Settings!$C$13*(INDEX(Q$407:Q$418,$D2002)+INDEX(Q$394:Q$405,$D2002)+Q1957*(1+$E2002))</f>
        <v/>
      </c>
      <c r="R2002" s="44">
        <f>R1984*Settings!$C$13*(INDEX(R$407:R$418,$D2002)+INDEX(R$394:R$405,$D2002)+R1957*(1+$E2002))</f>
        <v/>
      </c>
      <c r="S2002" s="44">
        <f>S1984*Settings!$C$13*(INDEX(S$407:S$418,$D2002)+INDEX(S$394:S$405,$D2002)+S1957*(1+$E2002))</f>
        <v/>
      </c>
      <c r="T2002" s="44">
        <f>T1984*Settings!$C$13*(INDEX(T$407:T$418,$D2002)+INDEX(T$394:T$405,$D2002)+T1957*(1+$E2002))</f>
        <v/>
      </c>
      <c r="U2002" s="44">
        <f>U1984*Settings!$C$13*(INDEX(U$407:U$418,$D2002)+INDEX(U$394:U$405,$D2002)+U1957*(1+$E2002))</f>
        <v/>
      </c>
      <c r="V2002" s="44">
        <f>V1984*Settings!$C$13*(INDEX(V$407:V$418,$D2002)+INDEX(V$394:V$405,$D2002)+V1957*(1+$E2002))</f>
        <v/>
      </c>
      <c r="W2002" s="44">
        <f>W1984*Settings!$C$13*(INDEX(W$407:W$418,$D2002)+INDEX(W$394:W$405,$D2002)+W1957*(1+$E2002))</f>
        <v/>
      </c>
      <c r="X2002" s="44">
        <f>X1984*Settings!$C$13*(INDEX(X$407:X$418,$D2002)+INDEX(X$394:X$405,$D2002)+X1957*(1+$E2002))</f>
        <v/>
      </c>
      <c r="Y2002" s="44">
        <f>Y1984*Settings!$C$13*(INDEX(Y$407:Y$418,$D2002)+INDEX(Y$394:Y$405,$D2002)+Y1957*(1+$E2002))</f>
        <v/>
      </c>
      <c r="Z2002" s="44">
        <f>Z1984*Settings!$C$13*(INDEX(Z$407:Z$418,$D2002)+INDEX(Z$394:Z$405,$D2002)+Z1957*(1+$E2002))</f>
        <v/>
      </c>
      <c r="AA2002" s="44">
        <f>AA1984*Settings!$C$13*(INDEX(AA$407:AA$418,$D2002)+INDEX(AA$394:AA$405,$D2002)+AA1957*(1+$E2002))</f>
        <v/>
      </c>
      <c r="AB2002" s="44">
        <f>AB1984*Settings!$C$13*(INDEX(AB$407:AB$418,$D2002)+INDEX(AB$394:AB$405,$D2002)+AB1957*(1+$E2002))</f>
        <v/>
      </c>
      <c r="AC2002" s="44">
        <f>AC1984*Settings!$C$13*(INDEX(AC$407:AC$418,$D2002)+INDEX(AC$394:AC$405,$D2002)+AC1957*(1+$E2002))</f>
        <v/>
      </c>
      <c r="AD2002" s="44">
        <f>AD1984*Settings!$C$13*(INDEX(AD$407:AD$418,$D2002)+INDEX(AD$394:AD$405,$D2002)+AD1957*(1+$E2002))</f>
        <v/>
      </c>
      <c r="AE2002" s="57">
        <f>REVENUE(AE1984,Settings!$C$13,INDEX(AE$407:AE$418,$D2002)+INDEX(AE$394:AE$405,$D2002)+AE1957*(1+$E2002))</f>
        <v/>
      </c>
      <c r="AG2002" s="11">
        <f>CodePrefix&amp;$A2002&amp;IF($C2002="","","."&amp;$C2002&amp;"."&amp;$B2002)&amp;INDEX(VarEnd,MATCH($A2002,VarKey,0))&amp;AG$5</f>
        <v/>
      </c>
      <c r="AH2002" s="43">
        <f>AH1984*Settings!$C$13*(INDEX(AH$407:AH$418,$D2002)+INDEX(AH$394:AH$405,$D2002)+AH1957*(1+$E2002))</f>
        <v/>
      </c>
      <c r="AI2002" s="44">
        <f>AI1984*Settings!$C$13*(INDEX(AI$407:AI$418,$D2002)+INDEX(AI$394:AI$405,$D2002)+AI1957*(1+$E2002))</f>
        <v/>
      </c>
      <c r="AJ2002" s="44">
        <f>AJ1984*Settings!$C$13*(INDEX(AJ$407:AJ$418,$D2002)+INDEX(AJ$394:AJ$405,$D2002)+AJ1957*(1+$E2002))</f>
        <v/>
      </c>
      <c r="AK2002" s="44">
        <f>AK1984*Settings!$C$13*(INDEX(AK$407:AK$418,$D2002)+INDEX(AK$394:AK$405,$D2002)+AK1957*(1+$E2002))</f>
        <v/>
      </c>
      <c r="AL2002" s="44">
        <f>AL1984*Settings!$C$13*(INDEX(AL$407:AL$418,$D2002)+INDEX(AL$394:AL$405,$D2002)+AL1957*(1+$E2002))</f>
        <v/>
      </c>
      <c r="AM2002" s="44">
        <f>AM1984*Settings!$C$13*(INDEX(AM$407:AM$418,$D2002)+INDEX(AM$394:AM$405,$D2002)+AM1957*(1+$E2002))</f>
        <v/>
      </c>
      <c r="AN2002" s="44">
        <f>AN1984*Settings!$C$13*(INDEX(AN$407:AN$418,$D2002)+INDEX(AN$394:AN$405,$D2002)+AN1957*(1+$E2002))</f>
        <v/>
      </c>
      <c r="AO2002" s="44">
        <f>AO1984*Settings!$C$13*(INDEX(AO$407:AO$418,$D2002)+INDEX(AO$394:AO$405,$D2002)+AO1957*(1+$E2002))</f>
        <v/>
      </c>
      <c r="AP2002" s="44">
        <f>AP1984*Settings!$C$13*(INDEX(AP$407:AP$418,$D2002)+INDEX(AP$394:AP$405,$D2002)+AP1957*(1+$E2002))</f>
        <v/>
      </c>
      <c r="AQ2002" s="44">
        <f>AQ1984*Settings!$C$13*(INDEX(AQ$407:AQ$418,$D2002)+INDEX(AQ$394:AQ$405,$D2002)+AQ1957*(1+$E2002))</f>
        <v/>
      </c>
      <c r="AR2002" s="44">
        <f>AR1984*Settings!$C$13*(INDEX(AR$407:AR$418,$D2002)+INDEX(AR$394:AR$405,$D2002)+AR1957*(1+$E2002))</f>
        <v/>
      </c>
      <c r="AS2002" s="44">
        <f>AS1984*Settings!$C$13*(INDEX(AS$407:AS$418,$D2002)+INDEX(AS$394:AS$405,$D2002)+AS1957*(1+$E2002))</f>
        <v/>
      </c>
      <c r="AT2002" s="44">
        <f>AT1984*Settings!$C$13*(INDEX(AT$407:AT$418,$D2002)+INDEX(AT$394:AT$405,$D2002)+AT1957*(1+$E2002))</f>
        <v/>
      </c>
      <c r="AU2002" s="44">
        <f>AU1984*Settings!$C$13*(INDEX(AU$407:AU$418,$D2002)+INDEX(AU$394:AU$405,$D2002)+AU1957*(1+$E2002))</f>
        <v/>
      </c>
      <c r="AV2002" s="44">
        <f>AV1984*Settings!$C$13*(INDEX(AV$407:AV$418,$D2002)+INDEX(AV$394:AV$405,$D2002)+AV1957*(1+$E2002))</f>
        <v/>
      </c>
      <c r="AW2002" s="44">
        <f>AW1984*Settings!$C$13*(INDEX(AW$407:AW$418,$D2002)+INDEX(AW$394:AW$405,$D2002)+AW1957*(1+$E2002))</f>
        <v/>
      </c>
      <c r="AX2002" s="44">
        <f>AX1984*Settings!$C$13*(INDEX(AX$407:AX$418,$D2002)+INDEX(AX$394:AX$405,$D2002)+AX1957*(1+$E2002))</f>
        <v/>
      </c>
      <c r="AY2002" s="44">
        <f>AY1984*Settings!$C$13*(INDEX(AY$407:AY$418,$D2002)+INDEX(AY$394:AY$405,$D2002)+AY1957*(1+$E2002))</f>
        <v/>
      </c>
      <c r="AZ2002" s="44">
        <f>AZ1984*Settings!$C$13*(INDEX(AZ$407:AZ$418,$D2002)+INDEX(AZ$394:AZ$405,$D2002)+AZ1957*(1+$E2002))</f>
        <v/>
      </c>
      <c r="BA2002" s="57">
        <f>REVENUE(BA1984,Settings!$C$13,INDEX(BA$407:BA$418,$D2002)+INDEX(BA$394:BA$405,$D2002)+BA1957*(1+$E2002))</f>
        <v/>
      </c>
    </row>
    <row r="2003" hidden="1" outlineLevel="2">
      <c r="A2003" s="14" t="inlineStr">
        <is>
          <t>rtx</t>
        </is>
      </c>
      <c r="B2003" s="14" t="inlineStr">
        <is>
          <t>lpg</t>
        </is>
      </c>
      <c r="C2003" s="14" t="inlineStr">
        <is>
          <t>mch</t>
        </is>
      </c>
      <c r="D2003" s="35">
        <f>INDEX(Inputs!$U$5:$U$132,MATCH($B2003&amp;"|"&amp;$C2003,Inputs!$A$5:$A$132,0))</f>
        <v/>
      </c>
      <c r="E2003" s="35">
        <f>INDEX(Inputs!$V$5:$V$132,MATCH($B2003&amp;"|"&amp;$C2003,Inputs!$A$5:$A$132,0))</f>
        <v/>
      </c>
      <c r="F2003" s="39" t="n"/>
      <c r="G2003" s="39" t="n"/>
      <c r="H2003" s="14">
        <f>INDEX(VarLab,MATCH($A2003,VarKey,0))&amp;INDEX(MemLab,MATCH($C2003&amp;"|"&amp;$B2003,MemKey,0))</f>
        <v/>
      </c>
      <c r="I2003" s="14">
        <f>INDEX(VarUnit,MATCH($A2003,VarKey,0))</f>
        <v/>
      </c>
      <c r="J2003" s="14">
        <f>INDEX(VarSrc,MATCH($A2003,VarKey,0))</f>
        <v/>
      </c>
      <c r="K2003" s="11">
        <f>CodePrefix&amp;$A2003&amp;IF($C2003="","","."&amp;$C2003&amp;"."&amp;$B2003)&amp;INDEX(VarEnd,MATCH($A2003,VarKey,0))&amp;K$5</f>
        <v/>
      </c>
      <c r="L2003" s="43">
        <f>L1985*Settings!$C$13*(INDEX(L$407:L$418,$D2003)+INDEX(L$394:L$405,$D2003)+L1958*(1+$E2003))</f>
        <v/>
      </c>
      <c r="M2003" s="44">
        <f>M1985*Settings!$C$13*(INDEX(M$407:M$418,$D2003)+INDEX(M$394:M$405,$D2003)+M1958*(1+$E2003))</f>
        <v/>
      </c>
      <c r="N2003" s="44">
        <f>N1985*Settings!$C$13*(INDEX(N$407:N$418,$D2003)+INDEX(N$394:N$405,$D2003)+N1958*(1+$E2003))</f>
        <v/>
      </c>
      <c r="O2003" s="44">
        <f>O1985*Settings!$C$13*(INDEX(O$407:O$418,$D2003)+INDEX(O$394:O$405,$D2003)+O1958*(1+$E2003))</f>
        <v/>
      </c>
      <c r="P2003" s="44">
        <f>P1985*Settings!$C$13*(INDEX(P$407:P$418,$D2003)+INDEX(P$394:P$405,$D2003)+P1958*(1+$E2003))</f>
        <v/>
      </c>
      <c r="Q2003" s="44">
        <f>Q1985*Settings!$C$13*(INDEX(Q$407:Q$418,$D2003)+INDEX(Q$394:Q$405,$D2003)+Q1958*(1+$E2003))</f>
        <v/>
      </c>
      <c r="R2003" s="44">
        <f>R1985*Settings!$C$13*(INDEX(R$407:R$418,$D2003)+INDEX(R$394:R$405,$D2003)+R1958*(1+$E2003))</f>
        <v/>
      </c>
      <c r="S2003" s="44">
        <f>S1985*Settings!$C$13*(INDEX(S$407:S$418,$D2003)+INDEX(S$394:S$405,$D2003)+S1958*(1+$E2003))</f>
        <v/>
      </c>
      <c r="T2003" s="44">
        <f>T1985*Settings!$C$13*(INDEX(T$407:T$418,$D2003)+INDEX(T$394:T$405,$D2003)+T1958*(1+$E2003))</f>
        <v/>
      </c>
      <c r="U2003" s="44">
        <f>U1985*Settings!$C$13*(INDEX(U$407:U$418,$D2003)+INDEX(U$394:U$405,$D2003)+U1958*(1+$E2003))</f>
        <v/>
      </c>
      <c r="V2003" s="44">
        <f>V1985*Settings!$C$13*(INDEX(V$407:V$418,$D2003)+INDEX(V$394:V$405,$D2003)+V1958*(1+$E2003))</f>
        <v/>
      </c>
      <c r="W2003" s="44">
        <f>W1985*Settings!$C$13*(INDEX(W$407:W$418,$D2003)+INDEX(W$394:W$405,$D2003)+W1958*(1+$E2003))</f>
        <v/>
      </c>
      <c r="X2003" s="44">
        <f>X1985*Settings!$C$13*(INDEX(X$407:X$418,$D2003)+INDEX(X$394:X$405,$D2003)+X1958*(1+$E2003))</f>
        <v/>
      </c>
      <c r="Y2003" s="44">
        <f>Y1985*Settings!$C$13*(INDEX(Y$407:Y$418,$D2003)+INDEX(Y$394:Y$405,$D2003)+Y1958*(1+$E2003))</f>
        <v/>
      </c>
      <c r="Z2003" s="44">
        <f>Z1985*Settings!$C$13*(INDEX(Z$407:Z$418,$D2003)+INDEX(Z$394:Z$405,$D2003)+Z1958*(1+$E2003))</f>
        <v/>
      </c>
      <c r="AA2003" s="44">
        <f>AA1985*Settings!$C$13*(INDEX(AA$407:AA$418,$D2003)+INDEX(AA$394:AA$405,$D2003)+AA1958*(1+$E2003))</f>
        <v/>
      </c>
      <c r="AB2003" s="44">
        <f>AB1985*Settings!$C$13*(INDEX(AB$407:AB$418,$D2003)+INDEX(AB$394:AB$405,$D2003)+AB1958*(1+$E2003))</f>
        <v/>
      </c>
      <c r="AC2003" s="44">
        <f>AC1985*Settings!$C$13*(INDEX(AC$407:AC$418,$D2003)+INDEX(AC$394:AC$405,$D2003)+AC1958*(1+$E2003))</f>
        <v/>
      </c>
      <c r="AD2003" s="44">
        <f>AD1985*Settings!$C$13*(INDEX(AD$407:AD$418,$D2003)+INDEX(AD$394:AD$405,$D2003)+AD1958*(1+$E2003))</f>
        <v/>
      </c>
      <c r="AE2003" s="57">
        <f>REVENUE(AE1985,Settings!$C$13,INDEX(AE$407:AE$418,$D2003)+INDEX(AE$394:AE$405,$D2003)+AE1958*(1+$E2003))</f>
        <v/>
      </c>
      <c r="AG2003" s="11">
        <f>CodePrefix&amp;$A2003&amp;IF($C2003="","","."&amp;$C2003&amp;"."&amp;$B2003)&amp;INDEX(VarEnd,MATCH($A2003,VarKey,0))&amp;AG$5</f>
        <v/>
      </c>
      <c r="AH2003" s="43">
        <f>AH1985*Settings!$C$13*(INDEX(AH$407:AH$418,$D2003)+INDEX(AH$394:AH$405,$D2003)+AH1958*(1+$E2003))</f>
        <v/>
      </c>
      <c r="AI2003" s="44">
        <f>AI1985*Settings!$C$13*(INDEX(AI$407:AI$418,$D2003)+INDEX(AI$394:AI$405,$D2003)+AI1958*(1+$E2003))</f>
        <v/>
      </c>
      <c r="AJ2003" s="44">
        <f>AJ1985*Settings!$C$13*(INDEX(AJ$407:AJ$418,$D2003)+INDEX(AJ$394:AJ$405,$D2003)+AJ1958*(1+$E2003))</f>
        <v/>
      </c>
      <c r="AK2003" s="44">
        <f>AK1985*Settings!$C$13*(INDEX(AK$407:AK$418,$D2003)+INDEX(AK$394:AK$405,$D2003)+AK1958*(1+$E2003))</f>
        <v/>
      </c>
      <c r="AL2003" s="44">
        <f>AL1985*Settings!$C$13*(INDEX(AL$407:AL$418,$D2003)+INDEX(AL$394:AL$405,$D2003)+AL1958*(1+$E2003))</f>
        <v/>
      </c>
      <c r="AM2003" s="44">
        <f>AM1985*Settings!$C$13*(INDEX(AM$407:AM$418,$D2003)+INDEX(AM$394:AM$405,$D2003)+AM1958*(1+$E2003))</f>
        <v/>
      </c>
      <c r="AN2003" s="44">
        <f>AN1985*Settings!$C$13*(INDEX(AN$407:AN$418,$D2003)+INDEX(AN$394:AN$405,$D2003)+AN1958*(1+$E2003))</f>
        <v/>
      </c>
      <c r="AO2003" s="44">
        <f>AO1985*Settings!$C$13*(INDEX(AO$407:AO$418,$D2003)+INDEX(AO$394:AO$405,$D2003)+AO1958*(1+$E2003))</f>
        <v/>
      </c>
      <c r="AP2003" s="44">
        <f>AP1985*Settings!$C$13*(INDEX(AP$407:AP$418,$D2003)+INDEX(AP$394:AP$405,$D2003)+AP1958*(1+$E2003))</f>
        <v/>
      </c>
      <c r="AQ2003" s="44">
        <f>AQ1985*Settings!$C$13*(INDEX(AQ$407:AQ$418,$D2003)+INDEX(AQ$394:AQ$405,$D2003)+AQ1958*(1+$E2003))</f>
        <v/>
      </c>
      <c r="AR2003" s="44">
        <f>AR1985*Settings!$C$13*(INDEX(AR$407:AR$418,$D2003)+INDEX(AR$394:AR$405,$D2003)+AR1958*(1+$E2003))</f>
        <v/>
      </c>
      <c r="AS2003" s="44">
        <f>AS1985*Settings!$C$13*(INDEX(AS$407:AS$418,$D2003)+INDEX(AS$394:AS$405,$D2003)+AS1958*(1+$E2003))</f>
        <v/>
      </c>
      <c r="AT2003" s="44">
        <f>AT1985*Settings!$C$13*(INDEX(AT$407:AT$418,$D2003)+INDEX(AT$394:AT$405,$D2003)+AT1958*(1+$E2003))</f>
        <v/>
      </c>
      <c r="AU2003" s="44">
        <f>AU1985*Settings!$C$13*(INDEX(AU$407:AU$418,$D2003)+INDEX(AU$394:AU$405,$D2003)+AU1958*(1+$E2003))</f>
        <v/>
      </c>
      <c r="AV2003" s="44">
        <f>AV1985*Settings!$C$13*(INDEX(AV$407:AV$418,$D2003)+INDEX(AV$394:AV$405,$D2003)+AV1958*(1+$E2003))</f>
        <v/>
      </c>
      <c r="AW2003" s="44">
        <f>AW1985*Settings!$C$13*(INDEX(AW$407:AW$418,$D2003)+INDEX(AW$394:AW$405,$D2003)+AW1958*(1+$E2003))</f>
        <v/>
      </c>
      <c r="AX2003" s="44">
        <f>AX1985*Settings!$C$13*(INDEX(AX$407:AX$418,$D2003)+INDEX(AX$394:AX$405,$D2003)+AX1958*(1+$E2003))</f>
        <v/>
      </c>
      <c r="AY2003" s="44">
        <f>AY1985*Settings!$C$13*(INDEX(AY$407:AY$418,$D2003)+INDEX(AY$394:AY$405,$D2003)+AY1958*(1+$E2003))</f>
        <v/>
      </c>
      <c r="AZ2003" s="44">
        <f>AZ1985*Settings!$C$13*(INDEX(AZ$407:AZ$418,$D2003)+INDEX(AZ$394:AZ$405,$D2003)+AZ1958*(1+$E2003))</f>
        <v/>
      </c>
      <c r="BA2003" s="57">
        <f>REVENUE(BA1985,Settings!$C$13,INDEX(BA$407:BA$418,$D2003)+INDEX(BA$394:BA$405,$D2003)+BA1958*(1+$E2003))</f>
        <v/>
      </c>
    </row>
    <row r="2004" hidden="1" outlineLevel="2">
      <c r="A2004" s="14" t="inlineStr">
        <is>
          <t>rtx</t>
        </is>
      </c>
      <c r="B2004" s="14" t="inlineStr">
        <is>
          <t>ker</t>
        </is>
      </c>
      <c r="C2004" s="14" t="inlineStr">
        <is>
          <t>mch</t>
        </is>
      </c>
      <c r="D2004" s="35">
        <f>INDEX(Inputs!$U$5:$U$132,MATCH($B2004&amp;"|"&amp;$C2004,Inputs!$A$5:$A$132,0))</f>
        <v/>
      </c>
      <c r="E2004" s="35">
        <f>INDEX(Inputs!$V$5:$V$132,MATCH($B2004&amp;"|"&amp;$C2004,Inputs!$A$5:$A$132,0))</f>
        <v/>
      </c>
      <c r="F2004" s="39" t="n"/>
      <c r="G2004" s="39" t="n"/>
      <c r="H2004" s="14">
        <f>INDEX(VarLab,MATCH($A2004,VarKey,0))&amp;INDEX(MemLab,MATCH($C2004&amp;"|"&amp;$B2004,MemKey,0))</f>
        <v/>
      </c>
      <c r="I2004" s="14">
        <f>INDEX(VarUnit,MATCH($A2004,VarKey,0))</f>
        <v/>
      </c>
      <c r="J2004" s="14">
        <f>INDEX(VarSrc,MATCH($A2004,VarKey,0))</f>
        <v/>
      </c>
      <c r="K2004" s="11">
        <f>CodePrefix&amp;$A2004&amp;IF($C2004="","","."&amp;$C2004&amp;"."&amp;$B2004)&amp;INDEX(VarEnd,MATCH($A2004,VarKey,0))&amp;K$5</f>
        <v/>
      </c>
      <c r="L2004" s="43">
        <f>L1986*Settings!$C$13*(INDEX(L$407:L$418,$D2004)+INDEX(L$394:L$405,$D2004)+L1959*(1+$E2004))</f>
        <v/>
      </c>
      <c r="M2004" s="44">
        <f>M1986*Settings!$C$13*(INDEX(M$407:M$418,$D2004)+INDEX(M$394:M$405,$D2004)+M1959*(1+$E2004))</f>
        <v/>
      </c>
      <c r="N2004" s="44">
        <f>N1986*Settings!$C$13*(INDEX(N$407:N$418,$D2004)+INDEX(N$394:N$405,$D2004)+N1959*(1+$E2004))</f>
        <v/>
      </c>
      <c r="O2004" s="44">
        <f>O1986*Settings!$C$13*(INDEX(O$407:O$418,$D2004)+INDEX(O$394:O$405,$D2004)+O1959*(1+$E2004))</f>
        <v/>
      </c>
      <c r="P2004" s="44">
        <f>P1986*Settings!$C$13*(INDEX(P$407:P$418,$D2004)+INDEX(P$394:P$405,$D2004)+P1959*(1+$E2004))</f>
        <v/>
      </c>
      <c r="Q2004" s="44">
        <f>Q1986*Settings!$C$13*(INDEX(Q$407:Q$418,$D2004)+INDEX(Q$394:Q$405,$D2004)+Q1959*(1+$E2004))</f>
        <v/>
      </c>
      <c r="R2004" s="44">
        <f>R1986*Settings!$C$13*(INDEX(R$407:R$418,$D2004)+INDEX(R$394:R$405,$D2004)+R1959*(1+$E2004))</f>
        <v/>
      </c>
      <c r="S2004" s="44">
        <f>S1986*Settings!$C$13*(INDEX(S$407:S$418,$D2004)+INDEX(S$394:S$405,$D2004)+S1959*(1+$E2004))</f>
        <v/>
      </c>
      <c r="T2004" s="44">
        <f>T1986*Settings!$C$13*(INDEX(T$407:T$418,$D2004)+INDEX(T$394:T$405,$D2004)+T1959*(1+$E2004))</f>
        <v/>
      </c>
      <c r="U2004" s="44">
        <f>U1986*Settings!$C$13*(INDEX(U$407:U$418,$D2004)+INDEX(U$394:U$405,$D2004)+U1959*(1+$E2004))</f>
        <v/>
      </c>
      <c r="V2004" s="44">
        <f>V1986*Settings!$C$13*(INDEX(V$407:V$418,$D2004)+INDEX(V$394:V$405,$D2004)+V1959*(1+$E2004))</f>
        <v/>
      </c>
      <c r="W2004" s="44">
        <f>W1986*Settings!$C$13*(INDEX(W$407:W$418,$D2004)+INDEX(W$394:W$405,$D2004)+W1959*(1+$E2004))</f>
        <v/>
      </c>
      <c r="X2004" s="44">
        <f>X1986*Settings!$C$13*(INDEX(X$407:X$418,$D2004)+INDEX(X$394:X$405,$D2004)+X1959*(1+$E2004))</f>
        <v/>
      </c>
      <c r="Y2004" s="44">
        <f>Y1986*Settings!$C$13*(INDEX(Y$407:Y$418,$D2004)+INDEX(Y$394:Y$405,$D2004)+Y1959*(1+$E2004))</f>
        <v/>
      </c>
      <c r="Z2004" s="44">
        <f>Z1986*Settings!$C$13*(INDEX(Z$407:Z$418,$D2004)+INDEX(Z$394:Z$405,$D2004)+Z1959*(1+$E2004))</f>
        <v/>
      </c>
      <c r="AA2004" s="44">
        <f>AA1986*Settings!$C$13*(INDEX(AA$407:AA$418,$D2004)+INDEX(AA$394:AA$405,$D2004)+AA1959*(1+$E2004))</f>
        <v/>
      </c>
      <c r="AB2004" s="44">
        <f>AB1986*Settings!$C$13*(INDEX(AB$407:AB$418,$D2004)+INDEX(AB$394:AB$405,$D2004)+AB1959*(1+$E2004))</f>
        <v/>
      </c>
      <c r="AC2004" s="44">
        <f>AC1986*Settings!$C$13*(INDEX(AC$407:AC$418,$D2004)+INDEX(AC$394:AC$405,$D2004)+AC1959*(1+$E2004))</f>
        <v/>
      </c>
      <c r="AD2004" s="44">
        <f>AD1986*Settings!$C$13*(INDEX(AD$407:AD$418,$D2004)+INDEX(AD$394:AD$405,$D2004)+AD1959*(1+$E2004))</f>
        <v/>
      </c>
      <c r="AE2004" s="57">
        <f>REVENUE(AE1986,Settings!$C$13,INDEX(AE$407:AE$418,$D2004)+INDEX(AE$394:AE$405,$D2004)+AE1959*(1+$E2004))</f>
        <v/>
      </c>
      <c r="AG2004" s="11">
        <f>CodePrefix&amp;$A2004&amp;IF($C2004="","","."&amp;$C2004&amp;"."&amp;$B2004)&amp;INDEX(VarEnd,MATCH($A2004,VarKey,0))&amp;AG$5</f>
        <v/>
      </c>
      <c r="AH2004" s="43">
        <f>AH1986*Settings!$C$13*(INDEX(AH$407:AH$418,$D2004)+INDEX(AH$394:AH$405,$D2004)+AH1959*(1+$E2004))</f>
        <v/>
      </c>
      <c r="AI2004" s="44">
        <f>AI1986*Settings!$C$13*(INDEX(AI$407:AI$418,$D2004)+INDEX(AI$394:AI$405,$D2004)+AI1959*(1+$E2004))</f>
        <v/>
      </c>
      <c r="AJ2004" s="44">
        <f>AJ1986*Settings!$C$13*(INDEX(AJ$407:AJ$418,$D2004)+INDEX(AJ$394:AJ$405,$D2004)+AJ1959*(1+$E2004))</f>
        <v/>
      </c>
      <c r="AK2004" s="44">
        <f>AK1986*Settings!$C$13*(INDEX(AK$407:AK$418,$D2004)+INDEX(AK$394:AK$405,$D2004)+AK1959*(1+$E2004))</f>
        <v/>
      </c>
      <c r="AL2004" s="44">
        <f>AL1986*Settings!$C$13*(INDEX(AL$407:AL$418,$D2004)+INDEX(AL$394:AL$405,$D2004)+AL1959*(1+$E2004))</f>
        <v/>
      </c>
      <c r="AM2004" s="44">
        <f>AM1986*Settings!$C$13*(INDEX(AM$407:AM$418,$D2004)+INDEX(AM$394:AM$405,$D2004)+AM1959*(1+$E2004))</f>
        <v/>
      </c>
      <c r="AN2004" s="44">
        <f>AN1986*Settings!$C$13*(INDEX(AN$407:AN$418,$D2004)+INDEX(AN$394:AN$405,$D2004)+AN1959*(1+$E2004))</f>
        <v/>
      </c>
      <c r="AO2004" s="44">
        <f>AO1986*Settings!$C$13*(INDEX(AO$407:AO$418,$D2004)+INDEX(AO$394:AO$405,$D2004)+AO1959*(1+$E2004))</f>
        <v/>
      </c>
      <c r="AP2004" s="44">
        <f>AP1986*Settings!$C$13*(INDEX(AP$407:AP$418,$D2004)+INDEX(AP$394:AP$405,$D2004)+AP1959*(1+$E2004))</f>
        <v/>
      </c>
      <c r="AQ2004" s="44">
        <f>AQ1986*Settings!$C$13*(INDEX(AQ$407:AQ$418,$D2004)+INDEX(AQ$394:AQ$405,$D2004)+AQ1959*(1+$E2004))</f>
        <v/>
      </c>
      <c r="AR2004" s="44">
        <f>AR1986*Settings!$C$13*(INDEX(AR$407:AR$418,$D2004)+INDEX(AR$394:AR$405,$D2004)+AR1959*(1+$E2004))</f>
        <v/>
      </c>
      <c r="AS2004" s="44">
        <f>AS1986*Settings!$C$13*(INDEX(AS$407:AS$418,$D2004)+INDEX(AS$394:AS$405,$D2004)+AS1959*(1+$E2004))</f>
        <v/>
      </c>
      <c r="AT2004" s="44">
        <f>AT1986*Settings!$C$13*(INDEX(AT$407:AT$418,$D2004)+INDEX(AT$394:AT$405,$D2004)+AT1959*(1+$E2004))</f>
        <v/>
      </c>
      <c r="AU2004" s="44">
        <f>AU1986*Settings!$C$13*(INDEX(AU$407:AU$418,$D2004)+INDEX(AU$394:AU$405,$D2004)+AU1959*(1+$E2004))</f>
        <v/>
      </c>
      <c r="AV2004" s="44">
        <f>AV1986*Settings!$C$13*(INDEX(AV$407:AV$418,$D2004)+INDEX(AV$394:AV$405,$D2004)+AV1959*(1+$E2004))</f>
        <v/>
      </c>
      <c r="AW2004" s="44">
        <f>AW1986*Settings!$C$13*(INDEX(AW$407:AW$418,$D2004)+INDEX(AW$394:AW$405,$D2004)+AW1959*(1+$E2004))</f>
        <v/>
      </c>
      <c r="AX2004" s="44">
        <f>AX1986*Settings!$C$13*(INDEX(AX$407:AX$418,$D2004)+INDEX(AX$394:AX$405,$D2004)+AX1959*(1+$E2004))</f>
        <v/>
      </c>
      <c r="AY2004" s="44">
        <f>AY1986*Settings!$C$13*(INDEX(AY$407:AY$418,$D2004)+INDEX(AY$394:AY$405,$D2004)+AY1959*(1+$E2004))</f>
        <v/>
      </c>
      <c r="AZ2004" s="44">
        <f>AZ1986*Settings!$C$13*(INDEX(AZ$407:AZ$418,$D2004)+INDEX(AZ$394:AZ$405,$D2004)+AZ1959*(1+$E2004))</f>
        <v/>
      </c>
      <c r="BA2004" s="57">
        <f>REVENUE(BA1986,Settings!$C$13,INDEX(BA$407:BA$418,$D2004)+INDEX(BA$394:BA$405,$D2004)+BA1959*(1+$E2004))</f>
        <v/>
      </c>
    </row>
    <row r="2005" hidden="1" outlineLevel="2">
      <c r="A2005" s="14" t="inlineStr">
        <is>
          <t>rtx</t>
        </is>
      </c>
      <c r="B2005" s="14" t="inlineStr">
        <is>
          <t>oop</t>
        </is>
      </c>
      <c r="C2005" s="14" t="inlineStr">
        <is>
          <t>mch</t>
        </is>
      </c>
      <c r="D2005" s="35">
        <f>INDEX(Inputs!$U$5:$U$132,MATCH($B2005&amp;"|"&amp;$C2005,Inputs!$A$5:$A$132,0))</f>
        <v/>
      </c>
      <c r="E2005" s="35">
        <f>INDEX(Inputs!$V$5:$V$132,MATCH($B2005&amp;"|"&amp;$C2005,Inputs!$A$5:$A$132,0))</f>
        <v/>
      </c>
      <c r="F2005" s="39" t="n"/>
      <c r="G2005" s="39" t="n"/>
      <c r="H2005" s="14">
        <f>INDEX(VarLab,MATCH($A2005,VarKey,0))&amp;INDEX(MemLab,MATCH($C2005&amp;"|"&amp;$B2005,MemKey,0))</f>
        <v/>
      </c>
      <c r="I2005" s="14">
        <f>INDEX(VarUnit,MATCH($A2005,VarKey,0))</f>
        <v/>
      </c>
      <c r="J2005" s="14">
        <f>INDEX(VarSrc,MATCH($A2005,VarKey,0))</f>
        <v/>
      </c>
      <c r="K2005" s="11">
        <f>CodePrefix&amp;$A2005&amp;IF($C2005="","","."&amp;$C2005&amp;"."&amp;$B2005)&amp;INDEX(VarEnd,MATCH($A2005,VarKey,0))&amp;K$5</f>
        <v/>
      </c>
      <c r="L2005" s="43">
        <f>L1987*Settings!$C$13*(INDEX(L$407:L$418,$D2005)+INDEX(L$394:L$405,$D2005)+L1960*(1+$E2005))</f>
        <v/>
      </c>
      <c r="M2005" s="44">
        <f>M1987*Settings!$C$13*(INDEX(M$407:M$418,$D2005)+INDEX(M$394:M$405,$D2005)+M1960*(1+$E2005))</f>
        <v/>
      </c>
      <c r="N2005" s="44">
        <f>N1987*Settings!$C$13*(INDEX(N$407:N$418,$D2005)+INDEX(N$394:N$405,$D2005)+N1960*(1+$E2005))</f>
        <v/>
      </c>
      <c r="O2005" s="44">
        <f>O1987*Settings!$C$13*(INDEX(O$407:O$418,$D2005)+INDEX(O$394:O$405,$D2005)+O1960*(1+$E2005))</f>
        <v/>
      </c>
      <c r="P2005" s="44">
        <f>P1987*Settings!$C$13*(INDEX(P$407:P$418,$D2005)+INDEX(P$394:P$405,$D2005)+P1960*(1+$E2005))</f>
        <v/>
      </c>
      <c r="Q2005" s="44">
        <f>Q1987*Settings!$C$13*(INDEX(Q$407:Q$418,$D2005)+INDEX(Q$394:Q$405,$D2005)+Q1960*(1+$E2005))</f>
        <v/>
      </c>
      <c r="R2005" s="44">
        <f>R1987*Settings!$C$13*(INDEX(R$407:R$418,$D2005)+INDEX(R$394:R$405,$D2005)+R1960*(1+$E2005))</f>
        <v/>
      </c>
      <c r="S2005" s="44">
        <f>S1987*Settings!$C$13*(INDEX(S$407:S$418,$D2005)+INDEX(S$394:S$405,$D2005)+S1960*(1+$E2005))</f>
        <v/>
      </c>
      <c r="T2005" s="44">
        <f>T1987*Settings!$C$13*(INDEX(T$407:T$418,$D2005)+INDEX(T$394:T$405,$D2005)+T1960*(1+$E2005))</f>
        <v/>
      </c>
      <c r="U2005" s="44">
        <f>U1987*Settings!$C$13*(INDEX(U$407:U$418,$D2005)+INDEX(U$394:U$405,$D2005)+U1960*(1+$E2005))</f>
        <v/>
      </c>
      <c r="V2005" s="44">
        <f>V1987*Settings!$C$13*(INDEX(V$407:V$418,$D2005)+INDEX(V$394:V$405,$D2005)+V1960*(1+$E2005))</f>
        <v/>
      </c>
      <c r="W2005" s="44">
        <f>W1987*Settings!$C$13*(INDEX(W$407:W$418,$D2005)+INDEX(W$394:W$405,$D2005)+W1960*(1+$E2005))</f>
        <v/>
      </c>
      <c r="X2005" s="44">
        <f>X1987*Settings!$C$13*(INDEX(X$407:X$418,$D2005)+INDEX(X$394:X$405,$D2005)+X1960*(1+$E2005))</f>
        <v/>
      </c>
      <c r="Y2005" s="44">
        <f>Y1987*Settings!$C$13*(INDEX(Y$407:Y$418,$D2005)+INDEX(Y$394:Y$405,$D2005)+Y1960*(1+$E2005))</f>
        <v/>
      </c>
      <c r="Z2005" s="44">
        <f>Z1987*Settings!$C$13*(INDEX(Z$407:Z$418,$D2005)+INDEX(Z$394:Z$405,$D2005)+Z1960*(1+$E2005))</f>
        <v/>
      </c>
      <c r="AA2005" s="44">
        <f>AA1987*Settings!$C$13*(INDEX(AA$407:AA$418,$D2005)+INDEX(AA$394:AA$405,$D2005)+AA1960*(1+$E2005))</f>
        <v/>
      </c>
      <c r="AB2005" s="44">
        <f>AB1987*Settings!$C$13*(INDEX(AB$407:AB$418,$D2005)+INDEX(AB$394:AB$405,$D2005)+AB1960*(1+$E2005))</f>
        <v/>
      </c>
      <c r="AC2005" s="44">
        <f>AC1987*Settings!$C$13*(INDEX(AC$407:AC$418,$D2005)+INDEX(AC$394:AC$405,$D2005)+AC1960*(1+$E2005))</f>
        <v/>
      </c>
      <c r="AD2005" s="44">
        <f>AD1987*Settings!$C$13*(INDEX(AD$407:AD$418,$D2005)+INDEX(AD$394:AD$405,$D2005)+AD1960*(1+$E2005))</f>
        <v/>
      </c>
      <c r="AE2005" s="57">
        <f>REVENUE(AE1987,Settings!$C$13,INDEX(AE$407:AE$418,$D2005)+INDEX(AE$394:AE$405,$D2005)+AE1960*(1+$E2005))</f>
        <v/>
      </c>
      <c r="AG2005" s="11">
        <f>CodePrefix&amp;$A2005&amp;IF($C2005="","","."&amp;$C2005&amp;"."&amp;$B2005)&amp;INDEX(VarEnd,MATCH($A2005,VarKey,0))&amp;AG$5</f>
        <v/>
      </c>
      <c r="AH2005" s="43">
        <f>AH1987*Settings!$C$13*(INDEX(AH$407:AH$418,$D2005)+INDEX(AH$394:AH$405,$D2005)+AH1960*(1+$E2005))</f>
        <v/>
      </c>
      <c r="AI2005" s="44">
        <f>AI1987*Settings!$C$13*(INDEX(AI$407:AI$418,$D2005)+INDEX(AI$394:AI$405,$D2005)+AI1960*(1+$E2005))</f>
        <v/>
      </c>
      <c r="AJ2005" s="44">
        <f>AJ1987*Settings!$C$13*(INDEX(AJ$407:AJ$418,$D2005)+INDEX(AJ$394:AJ$405,$D2005)+AJ1960*(1+$E2005))</f>
        <v/>
      </c>
      <c r="AK2005" s="44">
        <f>AK1987*Settings!$C$13*(INDEX(AK$407:AK$418,$D2005)+INDEX(AK$394:AK$405,$D2005)+AK1960*(1+$E2005))</f>
        <v/>
      </c>
      <c r="AL2005" s="44">
        <f>AL1987*Settings!$C$13*(INDEX(AL$407:AL$418,$D2005)+INDEX(AL$394:AL$405,$D2005)+AL1960*(1+$E2005))</f>
        <v/>
      </c>
      <c r="AM2005" s="44">
        <f>AM1987*Settings!$C$13*(INDEX(AM$407:AM$418,$D2005)+INDEX(AM$394:AM$405,$D2005)+AM1960*(1+$E2005))</f>
        <v/>
      </c>
      <c r="AN2005" s="44">
        <f>AN1987*Settings!$C$13*(INDEX(AN$407:AN$418,$D2005)+INDEX(AN$394:AN$405,$D2005)+AN1960*(1+$E2005))</f>
        <v/>
      </c>
      <c r="AO2005" s="44">
        <f>AO1987*Settings!$C$13*(INDEX(AO$407:AO$418,$D2005)+INDEX(AO$394:AO$405,$D2005)+AO1960*(1+$E2005))</f>
        <v/>
      </c>
      <c r="AP2005" s="44">
        <f>AP1987*Settings!$C$13*(INDEX(AP$407:AP$418,$D2005)+INDEX(AP$394:AP$405,$D2005)+AP1960*(1+$E2005))</f>
        <v/>
      </c>
      <c r="AQ2005" s="44">
        <f>AQ1987*Settings!$C$13*(INDEX(AQ$407:AQ$418,$D2005)+INDEX(AQ$394:AQ$405,$D2005)+AQ1960*(1+$E2005))</f>
        <v/>
      </c>
      <c r="AR2005" s="44">
        <f>AR1987*Settings!$C$13*(INDEX(AR$407:AR$418,$D2005)+INDEX(AR$394:AR$405,$D2005)+AR1960*(1+$E2005))</f>
        <v/>
      </c>
      <c r="AS2005" s="44">
        <f>AS1987*Settings!$C$13*(INDEX(AS$407:AS$418,$D2005)+INDEX(AS$394:AS$405,$D2005)+AS1960*(1+$E2005))</f>
        <v/>
      </c>
      <c r="AT2005" s="44">
        <f>AT1987*Settings!$C$13*(INDEX(AT$407:AT$418,$D2005)+INDEX(AT$394:AT$405,$D2005)+AT1960*(1+$E2005))</f>
        <v/>
      </c>
      <c r="AU2005" s="44">
        <f>AU1987*Settings!$C$13*(INDEX(AU$407:AU$418,$D2005)+INDEX(AU$394:AU$405,$D2005)+AU1960*(1+$E2005))</f>
        <v/>
      </c>
      <c r="AV2005" s="44">
        <f>AV1987*Settings!$C$13*(INDEX(AV$407:AV$418,$D2005)+INDEX(AV$394:AV$405,$D2005)+AV1960*(1+$E2005))</f>
        <v/>
      </c>
      <c r="AW2005" s="44">
        <f>AW1987*Settings!$C$13*(INDEX(AW$407:AW$418,$D2005)+INDEX(AW$394:AW$405,$D2005)+AW1960*(1+$E2005))</f>
        <v/>
      </c>
      <c r="AX2005" s="44">
        <f>AX1987*Settings!$C$13*(INDEX(AX$407:AX$418,$D2005)+INDEX(AX$394:AX$405,$D2005)+AX1960*(1+$E2005))</f>
        <v/>
      </c>
      <c r="AY2005" s="44">
        <f>AY1987*Settings!$C$13*(INDEX(AY$407:AY$418,$D2005)+INDEX(AY$394:AY$405,$D2005)+AY1960*(1+$E2005))</f>
        <v/>
      </c>
      <c r="AZ2005" s="44">
        <f>AZ1987*Settings!$C$13*(INDEX(AZ$407:AZ$418,$D2005)+INDEX(AZ$394:AZ$405,$D2005)+AZ1960*(1+$E2005))</f>
        <v/>
      </c>
      <c r="BA2005" s="57">
        <f>REVENUE(BA1987,Settings!$C$13,INDEX(BA$407:BA$418,$D2005)+INDEX(BA$394:BA$405,$D2005)+BA1960*(1+$E2005))</f>
        <v/>
      </c>
    </row>
    <row r="2006" hidden="1" outlineLevel="2">
      <c r="A2006" s="14" t="inlineStr">
        <is>
          <t>rtx</t>
        </is>
      </c>
      <c r="B2006" s="14" t="inlineStr">
        <is>
          <t>bio</t>
        </is>
      </c>
      <c r="C2006" s="14" t="inlineStr">
        <is>
          <t>mch</t>
        </is>
      </c>
      <c r="D2006" s="35">
        <f>INDEX(Inputs!$U$5:$U$132,MATCH($B2006&amp;"|"&amp;$C2006,Inputs!$A$5:$A$132,0))</f>
        <v/>
      </c>
      <c r="E2006" s="35">
        <f>INDEX(Inputs!$V$5:$V$132,MATCH($B2006&amp;"|"&amp;$C2006,Inputs!$A$5:$A$132,0))</f>
        <v/>
      </c>
      <c r="F2006" s="39" t="n"/>
      <c r="G2006" s="39" t="n"/>
      <c r="H2006" s="14">
        <f>INDEX(VarLab,MATCH($A2006,VarKey,0))&amp;INDEX(MemLab,MATCH($C2006&amp;"|"&amp;$B2006,MemKey,0))</f>
        <v/>
      </c>
      <c r="I2006" s="14">
        <f>INDEX(VarUnit,MATCH($A2006,VarKey,0))</f>
        <v/>
      </c>
      <c r="J2006" s="14">
        <f>INDEX(VarSrc,MATCH($A2006,VarKey,0))</f>
        <v/>
      </c>
      <c r="K2006" s="11">
        <f>CodePrefix&amp;$A2006&amp;IF($C2006="","","."&amp;$C2006&amp;"."&amp;$B2006)&amp;INDEX(VarEnd,MATCH($A2006,VarKey,0))&amp;K$5</f>
        <v/>
      </c>
      <c r="L2006" s="43">
        <f>L1988*Settings!$C$13*(INDEX(L$407:L$418,$D2006)+INDEX(L$394:L$405,$D2006)+L1961*(1+$E2006))</f>
        <v/>
      </c>
      <c r="M2006" s="44">
        <f>M1988*Settings!$C$13*(INDEX(M$407:M$418,$D2006)+INDEX(M$394:M$405,$D2006)+M1961*(1+$E2006))</f>
        <v/>
      </c>
      <c r="N2006" s="44">
        <f>N1988*Settings!$C$13*(INDEX(N$407:N$418,$D2006)+INDEX(N$394:N$405,$D2006)+N1961*(1+$E2006))</f>
        <v/>
      </c>
      <c r="O2006" s="44">
        <f>O1988*Settings!$C$13*(INDEX(O$407:O$418,$D2006)+INDEX(O$394:O$405,$D2006)+O1961*(1+$E2006))</f>
        <v/>
      </c>
      <c r="P2006" s="44">
        <f>P1988*Settings!$C$13*(INDEX(P$407:P$418,$D2006)+INDEX(P$394:P$405,$D2006)+P1961*(1+$E2006))</f>
        <v/>
      </c>
      <c r="Q2006" s="44">
        <f>Q1988*Settings!$C$13*(INDEX(Q$407:Q$418,$D2006)+INDEX(Q$394:Q$405,$D2006)+Q1961*(1+$E2006))</f>
        <v/>
      </c>
      <c r="R2006" s="44">
        <f>R1988*Settings!$C$13*(INDEX(R$407:R$418,$D2006)+INDEX(R$394:R$405,$D2006)+R1961*(1+$E2006))</f>
        <v/>
      </c>
      <c r="S2006" s="44">
        <f>S1988*Settings!$C$13*(INDEX(S$407:S$418,$D2006)+INDEX(S$394:S$405,$D2006)+S1961*(1+$E2006))</f>
        <v/>
      </c>
      <c r="T2006" s="44">
        <f>T1988*Settings!$C$13*(INDEX(T$407:T$418,$D2006)+INDEX(T$394:T$405,$D2006)+T1961*(1+$E2006))</f>
        <v/>
      </c>
      <c r="U2006" s="44">
        <f>U1988*Settings!$C$13*(INDEX(U$407:U$418,$D2006)+INDEX(U$394:U$405,$D2006)+U1961*(1+$E2006))</f>
        <v/>
      </c>
      <c r="V2006" s="44">
        <f>V1988*Settings!$C$13*(INDEX(V$407:V$418,$D2006)+INDEX(V$394:V$405,$D2006)+V1961*(1+$E2006))</f>
        <v/>
      </c>
      <c r="W2006" s="44">
        <f>W1988*Settings!$C$13*(INDEX(W$407:W$418,$D2006)+INDEX(W$394:W$405,$D2006)+W1961*(1+$E2006))</f>
        <v/>
      </c>
      <c r="X2006" s="44">
        <f>X1988*Settings!$C$13*(INDEX(X$407:X$418,$D2006)+INDEX(X$394:X$405,$D2006)+X1961*(1+$E2006))</f>
        <v/>
      </c>
      <c r="Y2006" s="44">
        <f>Y1988*Settings!$C$13*(INDEX(Y$407:Y$418,$D2006)+INDEX(Y$394:Y$405,$D2006)+Y1961*(1+$E2006))</f>
        <v/>
      </c>
      <c r="Z2006" s="44">
        <f>Z1988*Settings!$C$13*(INDEX(Z$407:Z$418,$D2006)+INDEX(Z$394:Z$405,$D2006)+Z1961*(1+$E2006))</f>
        <v/>
      </c>
      <c r="AA2006" s="44">
        <f>AA1988*Settings!$C$13*(INDEX(AA$407:AA$418,$D2006)+INDEX(AA$394:AA$405,$D2006)+AA1961*(1+$E2006))</f>
        <v/>
      </c>
      <c r="AB2006" s="44">
        <f>AB1988*Settings!$C$13*(INDEX(AB$407:AB$418,$D2006)+INDEX(AB$394:AB$405,$D2006)+AB1961*(1+$E2006))</f>
        <v/>
      </c>
      <c r="AC2006" s="44">
        <f>AC1988*Settings!$C$13*(INDEX(AC$407:AC$418,$D2006)+INDEX(AC$394:AC$405,$D2006)+AC1961*(1+$E2006))</f>
        <v/>
      </c>
      <c r="AD2006" s="44">
        <f>AD1988*Settings!$C$13*(INDEX(AD$407:AD$418,$D2006)+INDEX(AD$394:AD$405,$D2006)+AD1961*(1+$E2006))</f>
        <v/>
      </c>
      <c r="AE2006" s="57">
        <f>REVENUE(AE1988,Settings!$C$13,INDEX(AE$407:AE$418,$D2006)+INDEX(AE$394:AE$405,$D2006)+AE1961*(1+$E2006))</f>
        <v/>
      </c>
      <c r="AG2006" s="11">
        <f>CodePrefix&amp;$A2006&amp;IF($C2006="","","."&amp;$C2006&amp;"."&amp;$B2006)&amp;INDEX(VarEnd,MATCH($A2006,VarKey,0))&amp;AG$5</f>
        <v/>
      </c>
      <c r="AH2006" s="43">
        <f>AH1988*Settings!$C$13*(INDEX(AH$407:AH$418,$D2006)+INDEX(AH$394:AH$405,$D2006)+AH1961*(1+$E2006))</f>
        <v/>
      </c>
      <c r="AI2006" s="44">
        <f>AI1988*Settings!$C$13*(INDEX(AI$407:AI$418,$D2006)+INDEX(AI$394:AI$405,$D2006)+AI1961*(1+$E2006))</f>
        <v/>
      </c>
      <c r="AJ2006" s="44">
        <f>AJ1988*Settings!$C$13*(INDEX(AJ$407:AJ$418,$D2006)+INDEX(AJ$394:AJ$405,$D2006)+AJ1961*(1+$E2006))</f>
        <v/>
      </c>
      <c r="AK2006" s="44">
        <f>AK1988*Settings!$C$13*(INDEX(AK$407:AK$418,$D2006)+INDEX(AK$394:AK$405,$D2006)+AK1961*(1+$E2006))</f>
        <v/>
      </c>
      <c r="AL2006" s="44">
        <f>AL1988*Settings!$C$13*(INDEX(AL$407:AL$418,$D2006)+INDEX(AL$394:AL$405,$D2006)+AL1961*(1+$E2006))</f>
        <v/>
      </c>
      <c r="AM2006" s="44">
        <f>AM1988*Settings!$C$13*(INDEX(AM$407:AM$418,$D2006)+INDEX(AM$394:AM$405,$D2006)+AM1961*(1+$E2006))</f>
        <v/>
      </c>
      <c r="AN2006" s="44">
        <f>AN1988*Settings!$C$13*(INDEX(AN$407:AN$418,$D2006)+INDEX(AN$394:AN$405,$D2006)+AN1961*(1+$E2006))</f>
        <v/>
      </c>
      <c r="AO2006" s="44">
        <f>AO1988*Settings!$C$13*(INDEX(AO$407:AO$418,$D2006)+INDEX(AO$394:AO$405,$D2006)+AO1961*(1+$E2006))</f>
        <v/>
      </c>
      <c r="AP2006" s="44">
        <f>AP1988*Settings!$C$13*(INDEX(AP$407:AP$418,$D2006)+INDEX(AP$394:AP$405,$D2006)+AP1961*(1+$E2006))</f>
        <v/>
      </c>
      <c r="AQ2006" s="44">
        <f>AQ1988*Settings!$C$13*(INDEX(AQ$407:AQ$418,$D2006)+INDEX(AQ$394:AQ$405,$D2006)+AQ1961*(1+$E2006))</f>
        <v/>
      </c>
      <c r="AR2006" s="44">
        <f>AR1988*Settings!$C$13*(INDEX(AR$407:AR$418,$D2006)+INDEX(AR$394:AR$405,$D2006)+AR1961*(1+$E2006))</f>
        <v/>
      </c>
      <c r="AS2006" s="44">
        <f>AS1988*Settings!$C$13*(INDEX(AS$407:AS$418,$D2006)+INDEX(AS$394:AS$405,$D2006)+AS1961*(1+$E2006))</f>
        <v/>
      </c>
      <c r="AT2006" s="44">
        <f>AT1988*Settings!$C$13*(INDEX(AT$407:AT$418,$D2006)+INDEX(AT$394:AT$405,$D2006)+AT1961*(1+$E2006))</f>
        <v/>
      </c>
      <c r="AU2006" s="44">
        <f>AU1988*Settings!$C$13*(INDEX(AU$407:AU$418,$D2006)+INDEX(AU$394:AU$405,$D2006)+AU1961*(1+$E2006))</f>
        <v/>
      </c>
      <c r="AV2006" s="44">
        <f>AV1988*Settings!$C$13*(INDEX(AV$407:AV$418,$D2006)+INDEX(AV$394:AV$405,$D2006)+AV1961*(1+$E2006))</f>
        <v/>
      </c>
      <c r="AW2006" s="44">
        <f>AW1988*Settings!$C$13*(INDEX(AW$407:AW$418,$D2006)+INDEX(AW$394:AW$405,$D2006)+AW1961*(1+$E2006))</f>
        <v/>
      </c>
      <c r="AX2006" s="44">
        <f>AX1988*Settings!$C$13*(INDEX(AX$407:AX$418,$D2006)+INDEX(AX$394:AX$405,$D2006)+AX1961*(1+$E2006))</f>
        <v/>
      </c>
      <c r="AY2006" s="44">
        <f>AY1988*Settings!$C$13*(INDEX(AY$407:AY$418,$D2006)+INDEX(AY$394:AY$405,$D2006)+AY1961*(1+$E2006))</f>
        <v/>
      </c>
      <c r="AZ2006" s="44">
        <f>AZ1988*Settings!$C$13*(INDEX(AZ$407:AZ$418,$D2006)+INDEX(AZ$394:AZ$405,$D2006)+AZ1961*(1+$E2006))</f>
        <v/>
      </c>
      <c r="BA2006" s="57">
        <f>REVENUE(BA1988,Settings!$C$13,INDEX(BA$407:BA$418,$D2006)+INDEX(BA$394:BA$405,$D2006)+BA1961*(1+$E2006))</f>
        <v/>
      </c>
    </row>
    <row r="2007" hidden="1" outlineLevel="2"/>
    <row r="2008" hidden="1" outlineLevel="2">
      <c r="A2008" s="14" t="inlineStr">
        <is>
          <t>rsub</t>
        </is>
      </c>
      <c r="B2008" s="14" t="inlineStr">
        <is>
          <t>coa</t>
        </is>
      </c>
      <c r="C2008" s="14" t="inlineStr">
        <is>
          <t>mch</t>
        </is>
      </c>
      <c r="D2008" s="35">
        <f>INDEX(Inputs!$U$5:$U$132,MATCH($B2008&amp;"|"&amp;$C2008,Inputs!$A$5:$A$132,0))</f>
        <v/>
      </c>
      <c r="E2008" s="39" t="n"/>
      <c r="F2008" s="39" t="n"/>
      <c r="G2008" s="39" t="n"/>
      <c r="H2008" s="14">
        <f>INDEX(VarLab,MATCH($A2008,VarKey,0))&amp;INDEX(MemLab,MATCH($C2008&amp;"|"&amp;$B2008,MemKey,0))</f>
        <v/>
      </c>
      <c r="I2008" s="14">
        <f>INDEX(VarUnit,MATCH($A2008,VarKey,0))</f>
        <v/>
      </c>
      <c r="J2008" s="14">
        <f>INDEX(VarSrc,MATCH($A2008,VarKey,0))</f>
        <v/>
      </c>
      <c r="K2008" s="11">
        <f>CodePrefix&amp;$A2008&amp;IF($C2008="","","."&amp;$C2008&amp;"."&amp;$B2008)&amp;INDEX(VarEnd,MATCH($A2008,VarKey,0))&amp;K$5</f>
        <v/>
      </c>
      <c r="L2008" s="43">
        <f>L1981*Settings!$C$13*(INDEX(L$420:L$431,$D2008))</f>
        <v/>
      </c>
      <c r="M2008" s="44">
        <f>M1981*Settings!$C$13*(INDEX(M$420:M$431,$D2008))</f>
        <v/>
      </c>
      <c r="N2008" s="44">
        <f>N1981*Settings!$C$13*(INDEX(N$420:N$431,$D2008))</f>
        <v/>
      </c>
      <c r="O2008" s="44">
        <f>O1981*Settings!$C$13*(INDEX(O$420:O$431,$D2008))</f>
        <v/>
      </c>
      <c r="P2008" s="44">
        <f>P1981*Settings!$C$13*(INDEX(P$420:P$431,$D2008))</f>
        <v/>
      </c>
      <c r="Q2008" s="44">
        <f>Q1981*Settings!$C$13*(INDEX(Q$420:Q$431,$D2008))</f>
        <v/>
      </c>
      <c r="R2008" s="44">
        <f>R1981*Settings!$C$13*(INDEX(R$420:R$431,$D2008))</f>
        <v/>
      </c>
      <c r="S2008" s="44">
        <f>S1981*Settings!$C$13*(INDEX(S$420:S$431,$D2008))</f>
        <v/>
      </c>
      <c r="T2008" s="44">
        <f>T1981*Settings!$C$13*(INDEX(T$420:T$431,$D2008))</f>
        <v/>
      </c>
      <c r="U2008" s="44">
        <f>U1981*Settings!$C$13*(INDEX(U$420:U$431,$D2008))</f>
        <v/>
      </c>
      <c r="V2008" s="44">
        <f>V1981*Settings!$C$13*(INDEX(V$420:V$431,$D2008))</f>
        <v/>
      </c>
      <c r="W2008" s="44">
        <f>W1981*Settings!$C$13*(INDEX(W$420:W$431,$D2008))</f>
        <v/>
      </c>
      <c r="X2008" s="44">
        <f>X1981*Settings!$C$13*(INDEX(X$420:X$431,$D2008))</f>
        <v/>
      </c>
      <c r="Y2008" s="44">
        <f>Y1981*Settings!$C$13*(INDEX(Y$420:Y$431,$D2008))</f>
        <v/>
      </c>
      <c r="Z2008" s="44">
        <f>Z1981*Settings!$C$13*(INDEX(Z$420:Z$431,$D2008))</f>
        <v/>
      </c>
      <c r="AA2008" s="44">
        <f>AA1981*Settings!$C$13*(INDEX(AA$420:AA$431,$D2008))</f>
        <v/>
      </c>
      <c r="AB2008" s="44">
        <f>AB1981*Settings!$C$13*(INDEX(AB$420:AB$431,$D2008))</f>
        <v/>
      </c>
      <c r="AC2008" s="44">
        <f>AC1981*Settings!$C$13*(INDEX(AC$420:AC$431,$D2008))</f>
        <v/>
      </c>
      <c r="AD2008" s="44">
        <f>AD1981*Settings!$C$13*(INDEX(AD$420:AD$431,$D2008))</f>
        <v/>
      </c>
      <c r="AE2008" s="57">
        <f>REVENUE(AE1981,Settings!$C$13,INDEX(AE$420:AE$431,$D2008))</f>
        <v/>
      </c>
      <c r="AG2008" s="11">
        <f>CodePrefix&amp;$A2008&amp;IF($C2008="","","."&amp;$C2008&amp;"."&amp;$B2008)&amp;INDEX(VarEnd,MATCH($A2008,VarKey,0))&amp;AG$5</f>
        <v/>
      </c>
      <c r="AH2008" s="43">
        <f>AH1981*Settings!$C$13*(INDEX(AH$420:AH$431,$D2008))</f>
        <v/>
      </c>
      <c r="AI2008" s="44">
        <f>AI1981*Settings!$C$13*(INDEX(AI$420:AI$431,$D2008))</f>
        <v/>
      </c>
      <c r="AJ2008" s="44">
        <f>AJ1981*Settings!$C$13*(INDEX(AJ$420:AJ$431,$D2008))</f>
        <v/>
      </c>
      <c r="AK2008" s="44">
        <f>AK1981*Settings!$C$13*(INDEX(AK$420:AK$431,$D2008))</f>
        <v/>
      </c>
      <c r="AL2008" s="44">
        <f>AL1981*Settings!$C$13*(INDEX(AL$420:AL$431,$D2008))</f>
        <v/>
      </c>
      <c r="AM2008" s="44">
        <f>AM1981*Settings!$C$13*(INDEX(AM$420:AM$431,$D2008))</f>
        <v/>
      </c>
      <c r="AN2008" s="44">
        <f>AN1981*Settings!$C$13*(INDEX(AN$420:AN$431,$D2008))</f>
        <v/>
      </c>
      <c r="AO2008" s="44">
        <f>AO1981*Settings!$C$13*(INDEX(AO$420:AO$431,$D2008))</f>
        <v/>
      </c>
      <c r="AP2008" s="44">
        <f>AP1981*Settings!$C$13*(INDEX(AP$420:AP$431,$D2008))</f>
        <v/>
      </c>
      <c r="AQ2008" s="44">
        <f>AQ1981*Settings!$C$13*(INDEX(AQ$420:AQ$431,$D2008))</f>
        <v/>
      </c>
      <c r="AR2008" s="44">
        <f>AR1981*Settings!$C$13*(INDEX(AR$420:AR$431,$D2008))</f>
        <v/>
      </c>
      <c r="AS2008" s="44">
        <f>AS1981*Settings!$C$13*(INDEX(AS$420:AS$431,$D2008))</f>
        <v/>
      </c>
      <c r="AT2008" s="44">
        <f>AT1981*Settings!$C$13*(INDEX(AT$420:AT$431,$D2008))</f>
        <v/>
      </c>
      <c r="AU2008" s="44">
        <f>AU1981*Settings!$C$13*(INDEX(AU$420:AU$431,$D2008))</f>
        <v/>
      </c>
      <c r="AV2008" s="44">
        <f>AV1981*Settings!$C$13*(INDEX(AV$420:AV$431,$D2008))</f>
        <v/>
      </c>
      <c r="AW2008" s="44">
        <f>AW1981*Settings!$C$13*(INDEX(AW$420:AW$431,$D2008))</f>
        <v/>
      </c>
      <c r="AX2008" s="44">
        <f>AX1981*Settings!$C$13*(INDEX(AX$420:AX$431,$D2008))</f>
        <v/>
      </c>
      <c r="AY2008" s="44">
        <f>AY1981*Settings!$C$13*(INDEX(AY$420:AY$431,$D2008))</f>
        <v/>
      </c>
      <c r="AZ2008" s="44">
        <f>AZ1981*Settings!$C$13*(INDEX(AZ$420:AZ$431,$D2008))</f>
        <v/>
      </c>
      <c r="BA2008" s="57">
        <f>REVENUE(BA1981,Settings!$C$13,INDEX(BA$420:BA$431,$D2008))</f>
        <v/>
      </c>
    </row>
    <row r="2009" hidden="1" outlineLevel="2">
      <c r="A2009" s="14" t="inlineStr">
        <is>
          <t>rsub</t>
        </is>
      </c>
      <c r="B2009" s="14" t="inlineStr">
        <is>
          <t>nga</t>
        </is>
      </c>
      <c r="C2009" s="14" t="inlineStr">
        <is>
          <t>mch</t>
        </is>
      </c>
      <c r="D2009" s="35">
        <f>INDEX(Inputs!$U$5:$U$132,MATCH($B2009&amp;"|"&amp;$C2009,Inputs!$A$5:$A$132,0))</f>
        <v/>
      </c>
      <c r="E2009" s="39" t="n"/>
      <c r="F2009" s="39" t="n"/>
      <c r="G2009" s="39" t="n"/>
      <c r="H2009" s="14">
        <f>INDEX(VarLab,MATCH($A2009,VarKey,0))&amp;INDEX(MemLab,MATCH($C2009&amp;"|"&amp;$B2009,MemKey,0))</f>
        <v/>
      </c>
      <c r="I2009" s="14">
        <f>INDEX(VarUnit,MATCH($A2009,VarKey,0))</f>
        <v/>
      </c>
      <c r="J2009" s="14">
        <f>INDEX(VarSrc,MATCH($A2009,VarKey,0))</f>
        <v/>
      </c>
      <c r="K2009" s="11">
        <f>CodePrefix&amp;$A2009&amp;IF($C2009="","","."&amp;$C2009&amp;"."&amp;$B2009)&amp;INDEX(VarEnd,MATCH($A2009,VarKey,0))&amp;K$5</f>
        <v/>
      </c>
      <c r="L2009" s="43">
        <f>L1982*Settings!$C$13*(INDEX(L$420:L$431,$D2009))</f>
        <v/>
      </c>
      <c r="M2009" s="44">
        <f>M1982*Settings!$C$13*(INDEX(M$420:M$431,$D2009))</f>
        <v/>
      </c>
      <c r="N2009" s="44">
        <f>N1982*Settings!$C$13*(INDEX(N$420:N$431,$D2009))</f>
        <v/>
      </c>
      <c r="O2009" s="44">
        <f>O1982*Settings!$C$13*(INDEX(O$420:O$431,$D2009))</f>
        <v/>
      </c>
      <c r="P2009" s="44">
        <f>P1982*Settings!$C$13*(INDEX(P$420:P$431,$D2009))</f>
        <v/>
      </c>
      <c r="Q2009" s="44">
        <f>Q1982*Settings!$C$13*(INDEX(Q$420:Q$431,$D2009))</f>
        <v/>
      </c>
      <c r="R2009" s="44">
        <f>R1982*Settings!$C$13*(INDEX(R$420:R$431,$D2009))</f>
        <v/>
      </c>
      <c r="S2009" s="44">
        <f>S1982*Settings!$C$13*(INDEX(S$420:S$431,$D2009))</f>
        <v/>
      </c>
      <c r="T2009" s="44">
        <f>T1982*Settings!$C$13*(INDEX(T$420:T$431,$D2009))</f>
        <v/>
      </c>
      <c r="U2009" s="44">
        <f>U1982*Settings!$C$13*(INDEX(U$420:U$431,$D2009))</f>
        <v/>
      </c>
      <c r="V2009" s="44">
        <f>V1982*Settings!$C$13*(INDEX(V$420:V$431,$D2009))</f>
        <v/>
      </c>
      <c r="W2009" s="44">
        <f>W1982*Settings!$C$13*(INDEX(W$420:W$431,$D2009))</f>
        <v/>
      </c>
      <c r="X2009" s="44">
        <f>X1982*Settings!$C$13*(INDEX(X$420:X$431,$D2009))</f>
        <v/>
      </c>
      <c r="Y2009" s="44">
        <f>Y1982*Settings!$C$13*(INDEX(Y$420:Y$431,$D2009))</f>
        <v/>
      </c>
      <c r="Z2009" s="44">
        <f>Z1982*Settings!$C$13*(INDEX(Z$420:Z$431,$D2009))</f>
        <v/>
      </c>
      <c r="AA2009" s="44">
        <f>AA1982*Settings!$C$13*(INDEX(AA$420:AA$431,$D2009))</f>
        <v/>
      </c>
      <c r="AB2009" s="44">
        <f>AB1982*Settings!$C$13*(INDEX(AB$420:AB$431,$D2009))</f>
        <v/>
      </c>
      <c r="AC2009" s="44">
        <f>AC1982*Settings!$C$13*(INDEX(AC$420:AC$431,$D2009))</f>
        <v/>
      </c>
      <c r="AD2009" s="44">
        <f>AD1982*Settings!$C$13*(INDEX(AD$420:AD$431,$D2009))</f>
        <v/>
      </c>
      <c r="AE2009" s="57">
        <f>REVENUE(AE1982,Settings!$C$13,INDEX(AE$420:AE$431,$D2009))</f>
        <v/>
      </c>
      <c r="AG2009" s="11">
        <f>CodePrefix&amp;$A2009&amp;IF($C2009="","","."&amp;$C2009&amp;"."&amp;$B2009)&amp;INDEX(VarEnd,MATCH($A2009,VarKey,0))&amp;AG$5</f>
        <v/>
      </c>
      <c r="AH2009" s="43">
        <f>AH1982*Settings!$C$13*(INDEX(AH$420:AH$431,$D2009))</f>
        <v/>
      </c>
      <c r="AI2009" s="44">
        <f>AI1982*Settings!$C$13*(INDEX(AI$420:AI$431,$D2009))</f>
        <v/>
      </c>
      <c r="AJ2009" s="44">
        <f>AJ1982*Settings!$C$13*(INDEX(AJ$420:AJ$431,$D2009))</f>
        <v/>
      </c>
      <c r="AK2009" s="44">
        <f>AK1982*Settings!$C$13*(INDEX(AK$420:AK$431,$D2009))</f>
        <v/>
      </c>
      <c r="AL2009" s="44">
        <f>AL1982*Settings!$C$13*(INDEX(AL$420:AL$431,$D2009))</f>
        <v/>
      </c>
      <c r="AM2009" s="44">
        <f>AM1982*Settings!$C$13*(INDEX(AM$420:AM$431,$D2009))</f>
        <v/>
      </c>
      <c r="AN2009" s="44">
        <f>AN1982*Settings!$C$13*(INDEX(AN$420:AN$431,$D2009))</f>
        <v/>
      </c>
      <c r="AO2009" s="44">
        <f>AO1982*Settings!$C$13*(INDEX(AO$420:AO$431,$D2009))</f>
        <v/>
      </c>
      <c r="AP2009" s="44">
        <f>AP1982*Settings!$C$13*(INDEX(AP$420:AP$431,$D2009))</f>
        <v/>
      </c>
      <c r="AQ2009" s="44">
        <f>AQ1982*Settings!$C$13*(INDEX(AQ$420:AQ$431,$D2009))</f>
        <v/>
      </c>
      <c r="AR2009" s="44">
        <f>AR1982*Settings!$C$13*(INDEX(AR$420:AR$431,$D2009))</f>
        <v/>
      </c>
      <c r="AS2009" s="44">
        <f>AS1982*Settings!$C$13*(INDEX(AS$420:AS$431,$D2009))</f>
        <v/>
      </c>
      <c r="AT2009" s="44">
        <f>AT1982*Settings!$C$13*(INDEX(AT$420:AT$431,$D2009))</f>
        <v/>
      </c>
      <c r="AU2009" s="44">
        <f>AU1982*Settings!$C$13*(INDEX(AU$420:AU$431,$D2009))</f>
        <v/>
      </c>
      <c r="AV2009" s="44">
        <f>AV1982*Settings!$C$13*(INDEX(AV$420:AV$431,$D2009))</f>
        <v/>
      </c>
      <c r="AW2009" s="44">
        <f>AW1982*Settings!$C$13*(INDEX(AW$420:AW$431,$D2009))</f>
        <v/>
      </c>
      <c r="AX2009" s="44">
        <f>AX1982*Settings!$C$13*(INDEX(AX$420:AX$431,$D2009))</f>
        <v/>
      </c>
      <c r="AY2009" s="44">
        <f>AY1982*Settings!$C$13*(INDEX(AY$420:AY$431,$D2009))</f>
        <v/>
      </c>
      <c r="AZ2009" s="44">
        <f>AZ1982*Settings!$C$13*(INDEX(AZ$420:AZ$431,$D2009))</f>
        <v/>
      </c>
      <c r="BA2009" s="57">
        <f>REVENUE(BA1982,Settings!$C$13,INDEX(BA$420:BA$431,$D2009))</f>
        <v/>
      </c>
    </row>
    <row r="2010" hidden="1" outlineLevel="2">
      <c r="A2010" s="14" t="inlineStr">
        <is>
          <t>rsub</t>
        </is>
      </c>
      <c r="B2010" s="14" t="inlineStr">
        <is>
          <t>gso</t>
        </is>
      </c>
      <c r="C2010" s="14" t="inlineStr">
        <is>
          <t>mch</t>
        </is>
      </c>
      <c r="D2010" s="35">
        <f>INDEX(Inputs!$U$5:$U$132,MATCH($B2010&amp;"|"&amp;$C2010,Inputs!$A$5:$A$132,0))</f>
        <v/>
      </c>
      <c r="E2010" s="39" t="n"/>
      <c r="F2010" s="39" t="n"/>
      <c r="G2010" s="39" t="n"/>
      <c r="H2010" s="14">
        <f>INDEX(VarLab,MATCH($A2010,VarKey,0))&amp;INDEX(MemLab,MATCH($C2010&amp;"|"&amp;$B2010,MemKey,0))</f>
        <v/>
      </c>
      <c r="I2010" s="14">
        <f>INDEX(VarUnit,MATCH($A2010,VarKey,0))</f>
        <v/>
      </c>
      <c r="J2010" s="14">
        <f>INDEX(VarSrc,MATCH($A2010,VarKey,0))</f>
        <v/>
      </c>
      <c r="K2010" s="11">
        <f>CodePrefix&amp;$A2010&amp;IF($C2010="","","."&amp;$C2010&amp;"."&amp;$B2010)&amp;INDEX(VarEnd,MATCH($A2010,VarKey,0))&amp;K$5</f>
        <v/>
      </c>
      <c r="L2010" s="43">
        <f>L1983*Settings!$C$13*(INDEX(L$420:L$431,$D2010))</f>
        <v/>
      </c>
      <c r="M2010" s="44">
        <f>M1983*Settings!$C$13*(INDEX(M$420:M$431,$D2010))</f>
        <v/>
      </c>
      <c r="N2010" s="44">
        <f>N1983*Settings!$C$13*(INDEX(N$420:N$431,$D2010))</f>
        <v/>
      </c>
      <c r="O2010" s="44">
        <f>O1983*Settings!$C$13*(INDEX(O$420:O$431,$D2010))</f>
        <v/>
      </c>
      <c r="P2010" s="44">
        <f>P1983*Settings!$C$13*(INDEX(P$420:P$431,$D2010))</f>
        <v/>
      </c>
      <c r="Q2010" s="44">
        <f>Q1983*Settings!$C$13*(INDEX(Q$420:Q$431,$D2010))</f>
        <v/>
      </c>
      <c r="R2010" s="44">
        <f>R1983*Settings!$C$13*(INDEX(R$420:R$431,$D2010))</f>
        <v/>
      </c>
      <c r="S2010" s="44">
        <f>S1983*Settings!$C$13*(INDEX(S$420:S$431,$D2010))</f>
        <v/>
      </c>
      <c r="T2010" s="44">
        <f>T1983*Settings!$C$13*(INDEX(T$420:T$431,$D2010))</f>
        <v/>
      </c>
      <c r="U2010" s="44">
        <f>U1983*Settings!$C$13*(INDEX(U$420:U$431,$D2010))</f>
        <v/>
      </c>
      <c r="V2010" s="44">
        <f>V1983*Settings!$C$13*(INDEX(V$420:V$431,$D2010))</f>
        <v/>
      </c>
      <c r="W2010" s="44">
        <f>W1983*Settings!$C$13*(INDEX(W$420:W$431,$D2010))</f>
        <v/>
      </c>
      <c r="X2010" s="44">
        <f>X1983*Settings!$C$13*(INDEX(X$420:X$431,$D2010))</f>
        <v/>
      </c>
      <c r="Y2010" s="44">
        <f>Y1983*Settings!$C$13*(INDEX(Y$420:Y$431,$D2010))</f>
        <v/>
      </c>
      <c r="Z2010" s="44">
        <f>Z1983*Settings!$C$13*(INDEX(Z$420:Z$431,$D2010))</f>
        <v/>
      </c>
      <c r="AA2010" s="44">
        <f>AA1983*Settings!$C$13*(INDEX(AA$420:AA$431,$D2010))</f>
        <v/>
      </c>
      <c r="AB2010" s="44">
        <f>AB1983*Settings!$C$13*(INDEX(AB$420:AB$431,$D2010))</f>
        <v/>
      </c>
      <c r="AC2010" s="44">
        <f>AC1983*Settings!$C$13*(INDEX(AC$420:AC$431,$D2010))</f>
        <v/>
      </c>
      <c r="AD2010" s="44">
        <f>AD1983*Settings!$C$13*(INDEX(AD$420:AD$431,$D2010))</f>
        <v/>
      </c>
      <c r="AE2010" s="57">
        <f>REVENUE(AE1983,Settings!$C$13,INDEX(AE$420:AE$431,$D2010))</f>
        <v/>
      </c>
      <c r="AG2010" s="11">
        <f>CodePrefix&amp;$A2010&amp;IF($C2010="","","."&amp;$C2010&amp;"."&amp;$B2010)&amp;INDEX(VarEnd,MATCH($A2010,VarKey,0))&amp;AG$5</f>
        <v/>
      </c>
      <c r="AH2010" s="43">
        <f>AH1983*Settings!$C$13*(INDEX(AH$420:AH$431,$D2010))</f>
        <v/>
      </c>
      <c r="AI2010" s="44">
        <f>AI1983*Settings!$C$13*(INDEX(AI$420:AI$431,$D2010))</f>
        <v/>
      </c>
      <c r="AJ2010" s="44">
        <f>AJ1983*Settings!$C$13*(INDEX(AJ$420:AJ$431,$D2010))</f>
        <v/>
      </c>
      <c r="AK2010" s="44">
        <f>AK1983*Settings!$C$13*(INDEX(AK$420:AK$431,$D2010))</f>
        <v/>
      </c>
      <c r="AL2010" s="44">
        <f>AL1983*Settings!$C$13*(INDEX(AL$420:AL$431,$D2010))</f>
        <v/>
      </c>
      <c r="AM2010" s="44">
        <f>AM1983*Settings!$C$13*(INDEX(AM$420:AM$431,$D2010))</f>
        <v/>
      </c>
      <c r="AN2010" s="44">
        <f>AN1983*Settings!$C$13*(INDEX(AN$420:AN$431,$D2010))</f>
        <v/>
      </c>
      <c r="AO2010" s="44">
        <f>AO1983*Settings!$C$13*(INDEX(AO$420:AO$431,$D2010))</f>
        <v/>
      </c>
      <c r="AP2010" s="44">
        <f>AP1983*Settings!$C$13*(INDEX(AP$420:AP$431,$D2010))</f>
        <v/>
      </c>
      <c r="AQ2010" s="44">
        <f>AQ1983*Settings!$C$13*(INDEX(AQ$420:AQ$431,$D2010))</f>
        <v/>
      </c>
      <c r="AR2010" s="44">
        <f>AR1983*Settings!$C$13*(INDEX(AR$420:AR$431,$D2010))</f>
        <v/>
      </c>
      <c r="AS2010" s="44">
        <f>AS1983*Settings!$C$13*(INDEX(AS$420:AS$431,$D2010))</f>
        <v/>
      </c>
      <c r="AT2010" s="44">
        <f>AT1983*Settings!$C$13*(INDEX(AT$420:AT$431,$D2010))</f>
        <v/>
      </c>
      <c r="AU2010" s="44">
        <f>AU1983*Settings!$C$13*(INDEX(AU$420:AU$431,$D2010))</f>
        <v/>
      </c>
      <c r="AV2010" s="44">
        <f>AV1983*Settings!$C$13*(INDEX(AV$420:AV$431,$D2010))</f>
        <v/>
      </c>
      <c r="AW2010" s="44">
        <f>AW1983*Settings!$C$13*(INDEX(AW$420:AW$431,$D2010))</f>
        <v/>
      </c>
      <c r="AX2010" s="44">
        <f>AX1983*Settings!$C$13*(INDEX(AX$420:AX$431,$D2010))</f>
        <v/>
      </c>
      <c r="AY2010" s="44">
        <f>AY1983*Settings!$C$13*(INDEX(AY$420:AY$431,$D2010))</f>
        <v/>
      </c>
      <c r="AZ2010" s="44">
        <f>AZ1983*Settings!$C$13*(INDEX(AZ$420:AZ$431,$D2010))</f>
        <v/>
      </c>
      <c r="BA2010" s="57">
        <f>REVENUE(BA1983,Settings!$C$13,INDEX(BA$420:BA$431,$D2010))</f>
        <v/>
      </c>
    </row>
    <row r="2011" hidden="1" outlineLevel="2">
      <c r="A2011" s="14" t="inlineStr">
        <is>
          <t>rsub</t>
        </is>
      </c>
      <c r="B2011" s="14" t="inlineStr">
        <is>
          <t>die</t>
        </is>
      </c>
      <c r="C2011" s="14" t="inlineStr">
        <is>
          <t>mch</t>
        </is>
      </c>
      <c r="D2011" s="35">
        <f>INDEX(Inputs!$U$5:$U$132,MATCH($B2011&amp;"|"&amp;$C2011,Inputs!$A$5:$A$132,0))</f>
        <v/>
      </c>
      <c r="E2011" s="39" t="n"/>
      <c r="F2011" s="39" t="n"/>
      <c r="G2011" s="39" t="n"/>
      <c r="H2011" s="14">
        <f>INDEX(VarLab,MATCH($A2011,VarKey,0))&amp;INDEX(MemLab,MATCH($C2011&amp;"|"&amp;$B2011,MemKey,0))</f>
        <v/>
      </c>
      <c r="I2011" s="14">
        <f>INDEX(VarUnit,MATCH($A2011,VarKey,0))</f>
        <v/>
      </c>
      <c r="J2011" s="14">
        <f>INDEX(VarSrc,MATCH($A2011,VarKey,0))</f>
        <v/>
      </c>
      <c r="K2011" s="11">
        <f>CodePrefix&amp;$A2011&amp;IF($C2011="","","."&amp;$C2011&amp;"."&amp;$B2011)&amp;INDEX(VarEnd,MATCH($A2011,VarKey,0))&amp;K$5</f>
        <v/>
      </c>
      <c r="L2011" s="43">
        <f>L1984*Settings!$C$13*(INDEX(L$420:L$431,$D2011))</f>
        <v/>
      </c>
      <c r="M2011" s="44">
        <f>M1984*Settings!$C$13*(INDEX(M$420:M$431,$D2011))</f>
        <v/>
      </c>
      <c r="N2011" s="44">
        <f>N1984*Settings!$C$13*(INDEX(N$420:N$431,$D2011))</f>
        <v/>
      </c>
      <c r="O2011" s="44">
        <f>O1984*Settings!$C$13*(INDEX(O$420:O$431,$D2011))</f>
        <v/>
      </c>
      <c r="P2011" s="44">
        <f>P1984*Settings!$C$13*(INDEX(P$420:P$431,$D2011))</f>
        <v/>
      </c>
      <c r="Q2011" s="44">
        <f>Q1984*Settings!$C$13*(INDEX(Q$420:Q$431,$D2011))</f>
        <v/>
      </c>
      <c r="R2011" s="44">
        <f>R1984*Settings!$C$13*(INDEX(R$420:R$431,$D2011))</f>
        <v/>
      </c>
      <c r="S2011" s="44">
        <f>S1984*Settings!$C$13*(INDEX(S$420:S$431,$D2011))</f>
        <v/>
      </c>
      <c r="T2011" s="44">
        <f>T1984*Settings!$C$13*(INDEX(T$420:T$431,$D2011))</f>
        <v/>
      </c>
      <c r="U2011" s="44">
        <f>U1984*Settings!$C$13*(INDEX(U$420:U$431,$D2011))</f>
        <v/>
      </c>
      <c r="V2011" s="44">
        <f>V1984*Settings!$C$13*(INDEX(V$420:V$431,$D2011))</f>
        <v/>
      </c>
      <c r="W2011" s="44">
        <f>W1984*Settings!$C$13*(INDEX(W$420:W$431,$D2011))</f>
        <v/>
      </c>
      <c r="X2011" s="44">
        <f>X1984*Settings!$C$13*(INDEX(X$420:X$431,$D2011))</f>
        <v/>
      </c>
      <c r="Y2011" s="44">
        <f>Y1984*Settings!$C$13*(INDEX(Y$420:Y$431,$D2011))</f>
        <v/>
      </c>
      <c r="Z2011" s="44">
        <f>Z1984*Settings!$C$13*(INDEX(Z$420:Z$431,$D2011))</f>
        <v/>
      </c>
      <c r="AA2011" s="44">
        <f>AA1984*Settings!$C$13*(INDEX(AA$420:AA$431,$D2011))</f>
        <v/>
      </c>
      <c r="AB2011" s="44">
        <f>AB1984*Settings!$C$13*(INDEX(AB$420:AB$431,$D2011))</f>
        <v/>
      </c>
      <c r="AC2011" s="44">
        <f>AC1984*Settings!$C$13*(INDEX(AC$420:AC$431,$D2011))</f>
        <v/>
      </c>
      <c r="AD2011" s="44">
        <f>AD1984*Settings!$C$13*(INDEX(AD$420:AD$431,$D2011))</f>
        <v/>
      </c>
      <c r="AE2011" s="57">
        <f>REVENUE(AE1984,Settings!$C$13,INDEX(AE$420:AE$431,$D2011))</f>
        <v/>
      </c>
      <c r="AG2011" s="11">
        <f>CodePrefix&amp;$A2011&amp;IF($C2011="","","."&amp;$C2011&amp;"."&amp;$B2011)&amp;INDEX(VarEnd,MATCH($A2011,VarKey,0))&amp;AG$5</f>
        <v/>
      </c>
      <c r="AH2011" s="43">
        <f>AH1984*Settings!$C$13*(INDEX(AH$420:AH$431,$D2011))</f>
        <v/>
      </c>
      <c r="AI2011" s="44">
        <f>AI1984*Settings!$C$13*(INDEX(AI$420:AI$431,$D2011))</f>
        <v/>
      </c>
      <c r="AJ2011" s="44">
        <f>AJ1984*Settings!$C$13*(INDEX(AJ$420:AJ$431,$D2011))</f>
        <v/>
      </c>
      <c r="AK2011" s="44">
        <f>AK1984*Settings!$C$13*(INDEX(AK$420:AK$431,$D2011))</f>
        <v/>
      </c>
      <c r="AL2011" s="44">
        <f>AL1984*Settings!$C$13*(INDEX(AL$420:AL$431,$D2011))</f>
        <v/>
      </c>
      <c r="AM2011" s="44">
        <f>AM1984*Settings!$C$13*(INDEX(AM$420:AM$431,$D2011))</f>
        <v/>
      </c>
      <c r="AN2011" s="44">
        <f>AN1984*Settings!$C$13*(INDEX(AN$420:AN$431,$D2011))</f>
        <v/>
      </c>
      <c r="AO2011" s="44">
        <f>AO1984*Settings!$C$13*(INDEX(AO$420:AO$431,$D2011))</f>
        <v/>
      </c>
      <c r="AP2011" s="44">
        <f>AP1984*Settings!$C$13*(INDEX(AP$420:AP$431,$D2011))</f>
        <v/>
      </c>
      <c r="AQ2011" s="44">
        <f>AQ1984*Settings!$C$13*(INDEX(AQ$420:AQ$431,$D2011))</f>
        <v/>
      </c>
      <c r="AR2011" s="44">
        <f>AR1984*Settings!$C$13*(INDEX(AR$420:AR$431,$D2011))</f>
        <v/>
      </c>
      <c r="AS2011" s="44">
        <f>AS1984*Settings!$C$13*(INDEX(AS$420:AS$431,$D2011))</f>
        <v/>
      </c>
      <c r="AT2011" s="44">
        <f>AT1984*Settings!$C$13*(INDEX(AT$420:AT$431,$D2011))</f>
        <v/>
      </c>
      <c r="AU2011" s="44">
        <f>AU1984*Settings!$C$13*(INDEX(AU$420:AU$431,$D2011))</f>
        <v/>
      </c>
      <c r="AV2011" s="44">
        <f>AV1984*Settings!$C$13*(INDEX(AV$420:AV$431,$D2011))</f>
        <v/>
      </c>
      <c r="AW2011" s="44">
        <f>AW1984*Settings!$C$13*(INDEX(AW$420:AW$431,$D2011))</f>
        <v/>
      </c>
      <c r="AX2011" s="44">
        <f>AX1984*Settings!$C$13*(INDEX(AX$420:AX$431,$D2011))</f>
        <v/>
      </c>
      <c r="AY2011" s="44">
        <f>AY1984*Settings!$C$13*(INDEX(AY$420:AY$431,$D2011))</f>
        <v/>
      </c>
      <c r="AZ2011" s="44">
        <f>AZ1984*Settings!$C$13*(INDEX(AZ$420:AZ$431,$D2011))</f>
        <v/>
      </c>
      <c r="BA2011" s="57">
        <f>REVENUE(BA1984,Settings!$C$13,INDEX(BA$420:BA$431,$D2011))</f>
        <v/>
      </c>
    </row>
    <row r="2012" hidden="1" outlineLevel="2">
      <c r="A2012" s="14" t="inlineStr">
        <is>
          <t>rsub</t>
        </is>
      </c>
      <c r="B2012" s="14" t="inlineStr">
        <is>
          <t>lpg</t>
        </is>
      </c>
      <c r="C2012" s="14" t="inlineStr">
        <is>
          <t>mch</t>
        </is>
      </c>
      <c r="D2012" s="35">
        <f>INDEX(Inputs!$U$5:$U$132,MATCH($B2012&amp;"|"&amp;$C2012,Inputs!$A$5:$A$132,0))</f>
        <v/>
      </c>
      <c r="E2012" s="39" t="n"/>
      <c r="F2012" s="39" t="n"/>
      <c r="G2012" s="39" t="n"/>
      <c r="H2012" s="14">
        <f>INDEX(VarLab,MATCH($A2012,VarKey,0))&amp;INDEX(MemLab,MATCH($C2012&amp;"|"&amp;$B2012,MemKey,0))</f>
        <v/>
      </c>
      <c r="I2012" s="14">
        <f>INDEX(VarUnit,MATCH($A2012,VarKey,0))</f>
        <v/>
      </c>
      <c r="J2012" s="14">
        <f>INDEX(VarSrc,MATCH($A2012,VarKey,0))</f>
        <v/>
      </c>
      <c r="K2012" s="11">
        <f>CodePrefix&amp;$A2012&amp;IF($C2012="","","."&amp;$C2012&amp;"."&amp;$B2012)&amp;INDEX(VarEnd,MATCH($A2012,VarKey,0))&amp;K$5</f>
        <v/>
      </c>
      <c r="L2012" s="43">
        <f>L1985*Settings!$C$13*(INDEX(L$420:L$431,$D2012))</f>
        <v/>
      </c>
      <c r="M2012" s="44">
        <f>M1985*Settings!$C$13*(INDEX(M$420:M$431,$D2012))</f>
        <v/>
      </c>
      <c r="N2012" s="44">
        <f>N1985*Settings!$C$13*(INDEX(N$420:N$431,$D2012))</f>
        <v/>
      </c>
      <c r="O2012" s="44">
        <f>O1985*Settings!$C$13*(INDEX(O$420:O$431,$D2012))</f>
        <v/>
      </c>
      <c r="P2012" s="44">
        <f>P1985*Settings!$C$13*(INDEX(P$420:P$431,$D2012))</f>
        <v/>
      </c>
      <c r="Q2012" s="44">
        <f>Q1985*Settings!$C$13*(INDEX(Q$420:Q$431,$D2012))</f>
        <v/>
      </c>
      <c r="R2012" s="44">
        <f>R1985*Settings!$C$13*(INDEX(R$420:R$431,$D2012))</f>
        <v/>
      </c>
      <c r="S2012" s="44">
        <f>S1985*Settings!$C$13*(INDEX(S$420:S$431,$D2012))</f>
        <v/>
      </c>
      <c r="T2012" s="44">
        <f>T1985*Settings!$C$13*(INDEX(T$420:T$431,$D2012))</f>
        <v/>
      </c>
      <c r="U2012" s="44">
        <f>U1985*Settings!$C$13*(INDEX(U$420:U$431,$D2012))</f>
        <v/>
      </c>
      <c r="V2012" s="44">
        <f>V1985*Settings!$C$13*(INDEX(V$420:V$431,$D2012))</f>
        <v/>
      </c>
      <c r="W2012" s="44">
        <f>W1985*Settings!$C$13*(INDEX(W$420:W$431,$D2012))</f>
        <v/>
      </c>
      <c r="X2012" s="44">
        <f>X1985*Settings!$C$13*(INDEX(X$420:X$431,$D2012))</f>
        <v/>
      </c>
      <c r="Y2012" s="44">
        <f>Y1985*Settings!$C$13*(INDEX(Y$420:Y$431,$D2012))</f>
        <v/>
      </c>
      <c r="Z2012" s="44">
        <f>Z1985*Settings!$C$13*(INDEX(Z$420:Z$431,$D2012))</f>
        <v/>
      </c>
      <c r="AA2012" s="44">
        <f>AA1985*Settings!$C$13*(INDEX(AA$420:AA$431,$D2012))</f>
        <v/>
      </c>
      <c r="AB2012" s="44">
        <f>AB1985*Settings!$C$13*(INDEX(AB$420:AB$431,$D2012))</f>
        <v/>
      </c>
      <c r="AC2012" s="44">
        <f>AC1985*Settings!$C$13*(INDEX(AC$420:AC$431,$D2012))</f>
        <v/>
      </c>
      <c r="AD2012" s="44">
        <f>AD1985*Settings!$C$13*(INDEX(AD$420:AD$431,$D2012))</f>
        <v/>
      </c>
      <c r="AE2012" s="57">
        <f>REVENUE(AE1985,Settings!$C$13,INDEX(AE$420:AE$431,$D2012))</f>
        <v/>
      </c>
      <c r="AG2012" s="11">
        <f>CodePrefix&amp;$A2012&amp;IF($C2012="","","."&amp;$C2012&amp;"."&amp;$B2012)&amp;INDEX(VarEnd,MATCH($A2012,VarKey,0))&amp;AG$5</f>
        <v/>
      </c>
      <c r="AH2012" s="43">
        <f>AH1985*Settings!$C$13*(INDEX(AH$420:AH$431,$D2012))</f>
        <v/>
      </c>
      <c r="AI2012" s="44">
        <f>AI1985*Settings!$C$13*(INDEX(AI$420:AI$431,$D2012))</f>
        <v/>
      </c>
      <c r="AJ2012" s="44">
        <f>AJ1985*Settings!$C$13*(INDEX(AJ$420:AJ$431,$D2012))</f>
        <v/>
      </c>
      <c r="AK2012" s="44">
        <f>AK1985*Settings!$C$13*(INDEX(AK$420:AK$431,$D2012))</f>
        <v/>
      </c>
      <c r="AL2012" s="44">
        <f>AL1985*Settings!$C$13*(INDEX(AL$420:AL$431,$D2012))</f>
        <v/>
      </c>
      <c r="AM2012" s="44">
        <f>AM1985*Settings!$C$13*(INDEX(AM$420:AM$431,$D2012))</f>
        <v/>
      </c>
      <c r="AN2012" s="44">
        <f>AN1985*Settings!$C$13*(INDEX(AN$420:AN$431,$D2012))</f>
        <v/>
      </c>
      <c r="AO2012" s="44">
        <f>AO1985*Settings!$C$13*(INDEX(AO$420:AO$431,$D2012))</f>
        <v/>
      </c>
      <c r="AP2012" s="44">
        <f>AP1985*Settings!$C$13*(INDEX(AP$420:AP$431,$D2012))</f>
        <v/>
      </c>
      <c r="AQ2012" s="44">
        <f>AQ1985*Settings!$C$13*(INDEX(AQ$420:AQ$431,$D2012))</f>
        <v/>
      </c>
      <c r="AR2012" s="44">
        <f>AR1985*Settings!$C$13*(INDEX(AR$420:AR$431,$D2012))</f>
        <v/>
      </c>
      <c r="AS2012" s="44">
        <f>AS1985*Settings!$C$13*(INDEX(AS$420:AS$431,$D2012))</f>
        <v/>
      </c>
      <c r="AT2012" s="44">
        <f>AT1985*Settings!$C$13*(INDEX(AT$420:AT$431,$D2012))</f>
        <v/>
      </c>
      <c r="AU2012" s="44">
        <f>AU1985*Settings!$C$13*(INDEX(AU$420:AU$431,$D2012))</f>
        <v/>
      </c>
      <c r="AV2012" s="44">
        <f>AV1985*Settings!$C$13*(INDEX(AV$420:AV$431,$D2012))</f>
        <v/>
      </c>
      <c r="AW2012" s="44">
        <f>AW1985*Settings!$C$13*(INDEX(AW$420:AW$431,$D2012))</f>
        <v/>
      </c>
      <c r="AX2012" s="44">
        <f>AX1985*Settings!$C$13*(INDEX(AX$420:AX$431,$D2012))</f>
        <v/>
      </c>
      <c r="AY2012" s="44">
        <f>AY1985*Settings!$C$13*(INDEX(AY$420:AY$431,$D2012))</f>
        <v/>
      </c>
      <c r="AZ2012" s="44">
        <f>AZ1985*Settings!$C$13*(INDEX(AZ$420:AZ$431,$D2012))</f>
        <v/>
      </c>
      <c r="BA2012" s="57">
        <f>REVENUE(BA1985,Settings!$C$13,INDEX(BA$420:BA$431,$D2012))</f>
        <v/>
      </c>
    </row>
    <row r="2013" hidden="1" outlineLevel="2">
      <c r="A2013" s="14" t="inlineStr">
        <is>
          <t>rsub</t>
        </is>
      </c>
      <c r="B2013" s="14" t="inlineStr">
        <is>
          <t>ker</t>
        </is>
      </c>
      <c r="C2013" s="14" t="inlineStr">
        <is>
          <t>mch</t>
        </is>
      </c>
      <c r="D2013" s="35">
        <f>INDEX(Inputs!$U$5:$U$132,MATCH($B2013&amp;"|"&amp;$C2013,Inputs!$A$5:$A$132,0))</f>
        <v/>
      </c>
      <c r="E2013" s="39" t="n"/>
      <c r="F2013" s="39" t="n"/>
      <c r="G2013" s="39" t="n"/>
      <c r="H2013" s="14">
        <f>INDEX(VarLab,MATCH($A2013,VarKey,0))&amp;INDEX(MemLab,MATCH($C2013&amp;"|"&amp;$B2013,MemKey,0))</f>
        <v/>
      </c>
      <c r="I2013" s="14">
        <f>INDEX(VarUnit,MATCH($A2013,VarKey,0))</f>
        <v/>
      </c>
      <c r="J2013" s="14">
        <f>INDEX(VarSrc,MATCH($A2013,VarKey,0))</f>
        <v/>
      </c>
      <c r="K2013" s="11">
        <f>CodePrefix&amp;$A2013&amp;IF($C2013="","","."&amp;$C2013&amp;"."&amp;$B2013)&amp;INDEX(VarEnd,MATCH($A2013,VarKey,0))&amp;K$5</f>
        <v/>
      </c>
      <c r="L2013" s="43">
        <f>L1986*Settings!$C$13*(INDEX(L$420:L$431,$D2013))</f>
        <v/>
      </c>
      <c r="M2013" s="44">
        <f>M1986*Settings!$C$13*(INDEX(M$420:M$431,$D2013))</f>
        <v/>
      </c>
      <c r="N2013" s="44">
        <f>N1986*Settings!$C$13*(INDEX(N$420:N$431,$D2013))</f>
        <v/>
      </c>
      <c r="O2013" s="44">
        <f>O1986*Settings!$C$13*(INDEX(O$420:O$431,$D2013))</f>
        <v/>
      </c>
      <c r="P2013" s="44">
        <f>P1986*Settings!$C$13*(INDEX(P$420:P$431,$D2013))</f>
        <v/>
      </c>
      <c r="Q2013" s="44">
        <f>Q1986*Settings!$C$13*(INDEX(Q$420:Q$431,$D2013))</f>
        <v/>
      </c>
      <c r="R2013" s="44">
        <f>R1986*Settings!$C$13*(INDEX(R$420:R$431,$D2013))</f>
        <v/>
      </c>
      <c r="S2013" s="44">
        <f>S1986*Settings!$C$13*(INDEX(S$420:S$431,$D2013))</f>
        <v/>
      </c>
      <c r="T2013" s="44">
        <f>T1986*Settings!$C$13*(INDEX(T$420:T$431,$D2013))</f>
        <v/>
      </c>
      <c r="U2013" s="44">
        <f>U1986*Settings!$C$13*(INDEX(U$420:U$431,$D2013))</f>
        <v/>
      </c>
      <c r="V2013" s="44">
        <f>V1986*Settings!$C$13*(INDEX(V$420:V$431,$D2013))</f>
        <v/>
      </c>
      <c r="W2013" s="44">
        <f>W1986*Settings!$C$13*(INDEX(W$420:W$431,$D2013))</f>
        <v/>
      </c>
      <c r="X2013" s="44">
        <f>X1986*Settings!$C$13*(INDEX(X$420:X$431,$D2013))</f>
        <v/>
      </c>
      <c r="Y2013" s="44">
        <f>Y1986*Settings!$C$13*(INDEX(Y$420:Y$431,$D2013))</f>
        <v/>
      </c>
      <c r="Z2013" s="44">
        <f>Z1986*Settings!$C$13*(INDEX(Z$420:Z$431,$D2013))</f>
        <v/>
      </c>
      <c r="AA2013" s="44">
        <f>AA1986*Settings!$C$13*(INDEX(AA$420:AA$431,$D2013))</f>
        <v/>
      </c>
      <c r="AB2013" s="44">
        <f>AB1986*Settings!$C$13*(INDEX(AB$420:AB$431,$D2013))</f>
        <v/>
      </c>
      <c r="AC2013" s="44">
        <f>AC1986*Settings!$C$13*(INDEX(AC$420:AC$431,$D2013))</f>
        <v/>
      </c>
      <c r="AD2013" s="44">
        <f>AD1986*Settings!$C$13*(INDEX(AD$420:AD$431,$D2013))</f>
        <v/>
      </c>
      <c r="AE2013" s="57">
        <f>REVENUE(AE1986,Settings!$C$13,INDEX(AE$420:AE$431,$D2013))</f>
        <v/>
      </c>
      <c r="AG2013" s="11">
        <f>CodePrefix&amp;$A2013&amp;IF($C2013="","","."&amp;$C2013&amp;"."&amp;$B2013)&amp;INDEX(VarEnd,MATCH($A2013,VarKey,0))&amp;AG$5</f>
        <v/>
      </c>
      <c r="AH2013" s="43">
        <f>AH1986*Settings!$C$13*(INDEX(AH$420:AH$431,$D2013))</f>
        <v/>
      </c>
      <c r="AI2013" s="44">
        <f>AI1986*Settings!$C$13*(INDEX(AI$420:AI$431,$D2013))</f>
        <v/>
      </c>
      <c r="AJ2013" s="44">
        <f>AJ1986*Settings!$C$13*(INDEX(AJ$420:AJ$431,$D2013))</f>
        <v/>
      </c>
      <c r="AK2013" s="44">
        <f>AK1986*Settings!$C$13*(INDEX(AK$420:AK$431,$D2013))</f>
        <v/>
      </c>
      <c r="AL2013" s="44">
        <f>AL1986*Settings!$C$13*(INDEX(AL$420:AL$431,$D2013))</f>
        <v/>
      </c>
      <c r="AM2013" s="44">
        <f>AM1986*Settings!$C$13*(INDEX(AM$420:AM$431,$D2013))</f>
        <v/>
      </c>
      <c r="AN2013" s="44">
        <f>AN1986*Settings!$C$13*(INDEX(AN$420:AN$431,$D2013))</f>
        <v/>
      </c>
      <c r="AO2013" s="44">
        <f>AO1986*Settings!$C$13*(INDEX(AO$420:AO$431,$D2013))</f>
        <v/>
      </c>
      <c r="AP2013" s="44">
        <f>AP1986*Settings!$C$13*(INDEX(AP$420:AP$431,$D2013))</f>
        <v/>
      </c>
      <c r="AQ2013" s="44">
        <f>AQ1986*Settings!$C$13*(INDEX(AQ$420:AQ$431,$D2013))</f>
        <v/>
      </c>
      <c r="AR2013" s="44">
        <f>AR1986*Settings!$C$13*(INDEX(AR$420:AR$431,$D2013))</f>
        <v/>
      </c>
      <c r="AS2013" s="44">
        <f>AS1986*Settings!$C$13*(INDEX(AS$420:AS$431,$D2013))</f>
        <v/>
      </c>
      <c r="AT2013" s="44">
        <f>AT1986*Settings!$C$13*(INDEX(AT$420:AT$431,$D2013))</f>
        <v/>
      </c>
      <c r="AU2013" s="44">
        <f>AU1986*Settings!$C$13*(INDEX(AU$420:AU$431,$D2013))</f>
        <v/>
      </c>
      <c r="AV2013" s="44">
        <f>AV1986*Settings!$C$13*(INDEX(AV$420:AV$431,$D2013))</f>
        <v/>
      </c>
      <c r="AW2013" s="44">
        <f>AW1986*Settings!$C$13*(INDEX(AW$420:AW$431,$D2013))</f>
        <v/>
      </c>
      <c r="AX2013" s="44">
        <f>AX1986*Settings!$C$13*(INDEX(AX$420:AX$431,$D2013))</f>
        <v/>
      </c>
      <c r="AY2013" s="44">
        <f>AY1986*Settings!$C$13*(INDEX(AY$420:AY$431,$D2013))</f>
        <v/>
      </c>
      <c r="AZ2013" s="44">
        <f>AZ1986*Settings!$C$13*(INDEX(AZ$420:AZ$431,$D2013))</f>
        <v/>
      </c>
      <c r="BA2013" s="57">
        <f>REVENUE(BA1986,Settings!$C$13,INDEX(BA$420:BA$431,$D2013))</f>
        <v/>
      </c>
    </row>
    <row r="2014" hidden="1" outlineLevel="2">
      <c r="A2014" s="14" t="inlineStr">
        <is>
          <t>rsub</t>
        </is>
      </c>
      <c r="B2014" s="14" t="inlineStr">
        <is>
          <t>oop</t>
        </is>
      </c>
      <c r="C2014" s="14" t="inlineStr">
        <is>
          <t>mch</t>
        </is>
      </c>
      <c r="D2014" s="35">
        <f>INDEX(Inputs!$U$5:$U$132,MATCH($B2014&amp;"|"&amp;$C2014,Inputs!$A$5:$A$132,0))</f>
        <v/>
      </c>
      <c r="E2014" s="39" t="n"/>
      <c r="F2014" s="39" t="n"/>
      <c r="G2014" s="39" t="n"/>
      <c r="H2014" s="14">
        <f>INDEX(VarLab,MATCH($A2014,VarKey,0))&amp;INDEX(MemLab,MATCH($C2014&amp;"|"&amp;$B2014,MemKey,0))</f>
        <v/>
      </c>
      <c r="I2014" s="14">
        <f>INDEX(VarUnit,MATCH($A2014,VarKey,0))</f>
        <v/>
      </c>
      <c r="J2014" s="14">
        <f>INDEX(VarSrc,MATCH($A2014,VarKey,0))</f>
        <v/>
      </c>
      <c r="K2014" s="11">
        <f>CodePrefix&amp;$A2014&amp;IF($C2014="","","."&amp;$C2014&amp;"."&amp;$B2014)&amp;INDEX(VarEnd,MATCH($A2014,VarKey,0))&amp;K$5</f>
        <v/>
      </c>
      <c r="L2014" s="43">
        <f>L1987*Settings!$C$13*(INDEX(L$420:L$431,$D2014))</f>
        <v/>
      </c>
      <c r="M2014" s="44">
        <f>M1987*Settings!$C$13*(INDEX(M$420:M$431,$D2014))</f>
        <v/>
      </c>
      <c r="N2014" s="44">
        <f>N1987*Settings!$C$13*(INDEX(N$420:N$431,$D2014))</f>
        <v/>
      </c>
      <c r="O2014" s="44">
        <f>O1987*Settings!$C$13*(INDEX(O$420:O$431,$D2014))</f>
        <v/>
      </c>
      <c r="P2014" s="44">
        <f>P1987*Settings!$C$13*(INDEX(P$420:P$431,$D2014))</f>
        <v/>
      </c>
      <c r="Q2014" s="44">
        <f>Q1987*Settings!$C$13*(INDEX(Q$420:Q$431,$D2014))</f>
        <v/>
      </c>
      <c r="R2014" s="44">
        <f>R1987*Settings!$C$13*(INDEX(R$420:R$431,$D2014))</f>
        <v/>
      </c>
      <c r="S2014" s="44">
        <f>S1987*Settings!$C$13*(INDEX(S$420:S$431,$D2014))</f>
        <v/>
      </c>
      <c r="T2014" s="44">
        <f>T1987*Settings!$C$13*(INDEX(T$420:T$431,$D2014))</f>
        <v/>
      </c>
      <c r="U2014" s="44">
        <f>U1987*Settings!$C$13*(INDEX(U$420:U$431,$D2014))</f>
        <v/>
      </c>
      <c r="V2014" s="44">
        <f>V1987*Settings!$C$13*(INDEX(V$420:V$431,$D2014))</f>
        <v/>
      </c>
      <c r="W2014" s="44">
        <f>W1987*Settings!$C$13*(INDEX(W$420:W$431,$D2014))</f>
        <v/>
      </c>
      <c r="X2014" s="44">
        <f>X1987*Settings!$C$13*(INDEX(X$420:X$431,$D2014))</f>
        <v/>
      </c>
      <c r="Y2014" s="44">
        <f>Y1987*Settings!$C$13*(INDEX(Y$420:Y$431,$D2014))</f>
        <v/>
      </c>
      <c r="Z2014" s="44">
        <f>Z1987*Settings!$C$13*(INDEX(Z$420:Z$431,$D2014))</f>
        <v/>
      </c>
      <c r="AA2014" s="44">
        <f>AA1987*Settings!$C$13*(INDEX(AA$420:AA$431,$D2014))</f>
        <v/>
      </c>
      <c r="AB2014" s="44">
        <f>AB1987*Settings!$C$13*(INDEX(AB$420:AB$431,$D2014))</f>
        <v/>
      </c>
      <c r="AC2014" s="44">
        <f>AC1987*Settings!$C$13*(INDEX(AC$420:AC$431,$D2014))</f>
        <v/>
      </c>
      <c r="AD2014" s="44">
        <f>AD1987*Settings!$C$13*(INDEX(AD$420:AD$431,$D2014))</f>
        <v/>
      </c>
      <c r="AE2014" s="57">
        <f>REVENUE(AE1987,Settings!$C$13,INDEX(AE$420:AE$431,$D2014))</f>
        <v/>
      </c>
      <c r="AG2014" s="11">
        <f>CodePrefix&amp;$A2014&amp;IF($C2014="","","."&amp;$C2014&amp;"."&amp;$B2014)&amp;INDEX(VarEnd,MATCH($A2014,VarKey,0))&amp;AG$5</f>
        <v/>
      </c>
      <c r="AH2014" s="43">
        <f>AH1987*Settings!$C$13*(INDEX(AH$420:AH$431,$D2014))</f>
        <v/>
      </c>
      <c r="AI2014" s="44">
        <f>AI1987*Settings!$C$13*(INDEX(AI$420:AI$431,$D2014))</f>
        <v/>
      </c>
      <c r="AJ2014" s="44">
        <f>AJ1987*Settings!$C$13*(INDEX(AJ$420:AJ$431,$D2014))</f>
        <v/>
      </c>
      <c r="AK2014" s="44">
        <f>AK1987*Settings!$C$13*(INDEX(AK$420:AK$431,$D2014))</f>
        <v/>
      </c>
      <c r="AL2014" s="44">
        <f>AL1987*Settings!$C$13*(INDEX(AL$420:AL$431,$D2014))</f>
        <v/>
      </c>
      <c r="AM2014" s="44">
        <f>AM1987*Settings!$C$13*(INDEX(AM$420:AM$431,$D2014))</f>
        <v/>
      </c>
      <c r="AN2014" s="44">
        <f>AN1987*Settings!$C$13*(INDEX(AN$420:AN$431,$D2014))</f>
        <v/>
      </c>
      <c r="AO2014" s="44">
        <f>AO1987*Settings!$C$13*(INDEX(AO$420:AO$431,$D2014))</f>
        <v/>
      </c>
      <c r="AP2014" s="44">
        <f>AP1987*Settings!$C$13*(INDEX(AP$420:AP$431,$D2014))</f>
        <v/>
      </c>
      <c r="AQ2014" s="44">
        <f>AQ1987*Settings!$C$13*(INDEX(AQ$420:AQ$431,$D2014))</f>
        <v/>
      </c>
      <c r="AR2014" s="44">
        <f>AR1987*Settings!$C$13*(INDEX(AR$420:AR$431,$D2014))</f>
        <v/>
      </c>
      <c r="AS2014" s="44">
        <f>AS1987*Settings!$C$13*(INDEX(AS$420:AS$431,$D2014))</f>
        <v/>
      </c>
      <c r="AT2014" s="44">
        <f>AT1987*Settings!$C$13*(INDEX(AT$420:AT$431,$D2014))</f>
        <v/>
      </c>
      <c r="AU2014" s="44">
        <f>AU1987*Settings!$C$13*(INDEX(AU$420:AU$431,$D2014))</f>
        <v/>
      </c>
      <c r="AV2014" s="44">
        <f>AV1987*Settings!$C$13*(INDEX(AV$420:AV$431,$D2014))</f>
        <v/>
      </c>
      <c r="AW2014" s="44">
        <f>AW1987*Settings!$C$13*(INDEX(AW$420:AW$431,$D2014))</f>
        <v/>
      </c>
      <c r="AX2014" s="44">
        <f>AX1987*Settings!$C$13*(INDEX(AX$420:AX$431,$D2014))</f>
        <v/>
      </c>
      <c r="AY2014" s="44">
        <f>AY1987*Settings!$C$13*(INDEX(AY$420:AY$431,$D2014))</f>
        <v/>
      </c>
      <c r="AZ2014" s="44">
        <f>AZ1987*Settings!$C$13*(INDEX(AZ$420:AZ$431,$D2014))</f>
        <v/>
      </c>
      <c r="BA2014" s="57">
        <f>REVENUE(BA1987,Settings!$C$13,INDEX(BA$420:BA$431,$D2014))</f>
        <v/>
      </c>
    </row>
    <row r="2015" hidden="1" outlineLevel="2">
      <c r="A2015" s="14" t="inlineStr">
        <is>
          <t>rsub</t>
        </is>
      </c>
      <c r="B2015" s="14" t="inlineStr">
        <is>
          <t>bio</t>
        </is>
      </c>
      <c r="C2015" s="14" t="inlineStr">
        <is>
          <t>mch</t>
        </is>
      </c>
      <c r="D2015" s="35">
        <f>INDEX(Inputs!$U$5:$U$132,MATCH($B2015&amp;"|"&amp;$C2015,Inputs!$A$5:$A$132,0))</f>
        <v/>
      </c>
      <c r="E2015" s="39" t="n"/>
      <c r="F2015" s="39" t="n"/>
      <c r="G2015" s="39" t="n"/>
      <c r="H2015" s="14">
        <f>INDEX(VarLab,MATCH($A2015,VarKey,0))&amp;INDEX(MemLab,MATCH($C2015&amp;"|"&amp;$B2015,MemKey,0))</f>
        <v/>
      </c>
      <c r="I2015" s="14">
        <f>INDEX(VarUnit,MATCH($A2015,VarKey,0))</f>
        <v/>
      </c>
      <c r="J2015" s="14">
        <f>INDEX(VarSrc,MATCH($A2015,VarKey,0))</f>
        <v/>
      </c>
      <c r="K2015" s="11">
        <f>CodePrefix&amp;$A2015&amp;IF($C2015="","","."&amp;$C2015&amp;"."&amp;$B2015)&amp;INDEX(VarEnd,MATCH($A2015,VarKey,0))&amp;K$5</f>
        <v/>
      </c>
      <c r="L2015" s="43">
        <f>L1988*Settings!$C$13*(INDEX(L$420:L$431,$D2015))</f>
        <v/>
      </c>
      <c r="M2015" s="44">
        <f>M1988*Settings!$C$13*(INDEX(M$420:M$431,$D2015))</f>
        <v/>
      </c>
      <c r="N2015" s="44">
        <f>N1988*Settings!$C$13*(INDEX(N$420:N$431,$D2015))</f>
        <v/>
      </c>
      <c r="O2015" s="44">
        <f>O1988*Settings!$C$13*(INDEX(O$420:O$431,$D2015))</f>
        <v/>
      </c>
      <c r="P2015" s="44">
        <f>P1988*Settings!$C$13*(INDEX(P$420:P$431,$D2015))</f>
        <v/>
      </c>
      <c r="Q2015" s="44">
        <f>Q1988*Settings!$C$13*(INDEX(Q$420:Q$431,$D2015))</f>
        <v/>
      </c>
      <c r="R2015" s="44">
        <f>R1988*Settings!$C$13*(INDEX(R$420:R$431,$D2015))</f>
        <v/>
      </c>
      <c r="S2015" s="44">
        <f>S1988*Settings!$C$13*(INDEX(S$420:S$431,$D2015))</f>
        <v/>
      </c>
      <c r="T2015" s="44">
        <f>T1988*Settings!$C$13*(INDEX(T$420:T$431,$D2015))</f>
        <v/>
      </c>
      <c r="U2015" s="44">
        <f>U1988*Settings!$C$13*(INDEX(U$420:U$431,$D2015))</f>
        <v/>
      </c>
      <c r="V2015" s="44">
        <f>V1988*Settings!$C$13*(INDEX(V$420:V$431,$D2015))</f>
        <v/>
      </c>
      <c r="W2015" s="44">
        <f>W1988*Settings!$C$13*(INDEX(W$420:W$431,$D2015))</f>
        <v/>
      </c>
      <c r="X2015" s="44">
        <f>X1988*Settings!$C$13*(INDEX(X$420:X$431,$D2015))</f>
        <v/>
      </c>
      <c r="Y2015" s="44">
        <f>Y1988*Settings!$C$13*(INDEX(Y$420:Y$431,$D2015))</f>
        <v/>
      </c>
      <c r="Z2015" s="44">
        <f>Z1988*Settings!$C$13*(INDEX(Z$420:Z$431,$D2015))</f>
        <v/>
      </c>
      <c r="AA2015" s="44">
        <f>AA1988*Settings!$C$13*(INDEX(AA$420:AA$431,$D2015))</f>
        <v/>
      </c>
      <c r="AB2015" s="44">
        <f>AB1988*Settings!$C$13*(INDEX(AB$420:AB$431,$D2015))</f>
        <v/>
      </c>
      <c r="AC2015" s="44">
        <f>AC1988*Settings!$C$13*(INDEX(AC$420:AC$431,$D2015))</f>
        <v/>
      </c>
      <c r="AD2015" s="44">
        <f>AD1988*Settings!$C$13*(INDEX(AD$420:AD$431,$D2015))</f>
        <v/>
      </c>
      <c r="AE2015" s="57">
        <f>REVENUE(AE1988,Settings!$C$13,INDEX(AE$420:AE$431,$D2015))</f>
        <v/>
      </c>
      <c r="AG2015" s="11">
        <f>CodePrefix&amp;$A2015&amp;IF($C2015="","","."&amp;$C2015&amp;"."&amp;$B2015)&amp;INDEX(VarEnd,MATCH($A2015,VarKey,0))&amp;AG$5</f>
        <v/>
      </c>
      <c r="AH2015" s="43">
        <f>AH1988*Settings!$C$13*(INDEX(AH$420:AH$431,$D2015))</f>
        <v/>
      </c>
      <c r="AI2015" s="44">
        <f>AI1988*Settings!$C$13*(INDEX(AI$420:AI$431,$D2015))</f>
        <v/>
      </c>
      <c r="AJ2015" s="44">
        <f>AJ1988*Settings!$C$13*(INDEX(AJ$420:AJ$431,$D2015))</f>
        <v/>
      </c>
      <c r="AK2015" s="44">
        <f>AK1988*Settings!$C$13*(INDEX(AK$420:AK$431,$D2015))</f>
        <v/>
      </c>
      <c r="AL2015" s="44">
        <f>AL1988*Settings!$C$13*(INDEX(AL$420:AL$431,$D2015))</f>
        <v/>
      </c>
      <c r="AM2015" s="44">
        <f>AM1988*Settings!$C$13*(INDEX(AM$420:AM$431,$D2015))</f>
        <v/>
      </c>
      <c r="AN2015" s="44">
        <f>AN1988*Settings!$C$13*(INDEX(AN$420:AN$431,$D2015))</f>
        <v/>
      </c>
      <c r="AO2015" s="44">
        <f>AO1988*Settings!$C$13*(INDEX(AO$420:AO$431,$D2015))</f>
        <v/>
      </c>
      <c r="AP2015" s="44">
        <f>AP1988*Settings!$C$13*(INDEX(AP$420:AP$431,$D2015))</f>
        <v/>
      </c>
      <c r="AQ2015" s="44">
        <f>AQ1988*Settings!$C$13*(INDEX(AQ$420:AQ$431,$D2015))</f>
        <v/>
      </c>
      <c r="AR2015" s="44">
        <f>AR1988*Settings!$C$13*(INDEX(AR$420:AR$431,$D2015))</f>
        <v/>
      </c>
      <c r="AS2015" s="44">
        <f>AS1988*Settings!$C$13*(INDEX(AS$420:AS$431,$D2015))</f>
        <v/>
      </c>
      <c r="AT2015" s="44">
        <f>AT1988*Settings!$C$13*(INDEX(AT$420:AT$431,$D2015))</f>
        <v/>
      </c>
      <c r="AU2015" s="44">
        <f>AU1988*Settings!$C$13*(INDEX(AU$420:AU$431,$D2015))</f>
        <v/>
      </c>
      <c r="AV2015" s="44">
        <f>AV1988*Settings!$C$13*(INDEX(AV$420:AV$431,$D2015))</f>
        <v/>
      </c>
      <c r="AW2015" s="44">
        <f>AW1988*Settings!$C$13*(INDEX(AW$420:AW$431,$D2015))</f>
        <v/>
      </c>
      <c r="AX2015" s="44">
        <f>AX1988*Settings!$C$13*(INDEX(AX$420:AX$431,$D2015))</f>
        <v/>
      </c>
      <c r="AY2015" s="44">
        <f>AY1988*Settings!$C$13*(INDEX(AY$420:AY$431,$D2015))</f>
        <v/>
      </c>
      <c r="AZ2015" s="44">
        <f>AZ1988*Settings!$C$13*(INDEX(AZ$420:AZ$431,$D2015))</f>
        <v/>
      </c>
      <c r="BA2015" s="57">
        <f>REVENUE(BA1988,Settings!$C$13,INDEX(BA$420:BA$431,$D2015))</f>
        <v/>
      </c>
    </row>
    <row r="2016" hidden="1" outlineLevel="2"/>
    <row r="2017" hidden="1" outlineLevel="2">
      <c r="A2017" s="14" t="inlineStr">
        <is>
          <t>rnew</t>
        </is>
      </c>
      <c r="B2017" s="14" t="inlineStr">
        <is>
          <t>coa</t>
        </is>
      </c>
      <c r="C2017" s="14" t="inlineStr">
        <is>
          <t>mch</t>
        </is>
      </c>
      <c r="D2017" s="35">
        <f>INDEX(Inputs!$V$5:$V$132,MATCH($B2017&amp;"|"&amp;$C2017,Inputs!$A$5:$A$132,0))</f>
        <v/>
      </c>
      <c r="E2017" s="39" t="n"/>
      <c r="F2017" s="39" t="n"/>
      <c r="G2017" s="39" t="n"/>
      <c r="H2017" s="14">
        <f>INDEX(VarLab,MATCH($A2017,VarKey,0))&amp;INDEX(MemLab,MATCH($C2017&amp;"|"&amp;$B2017,MemKey,0))</f>
        <v/>
      </c>
      <c r="I2017" s="14">
        <f>INDEX(VarUnit,MATCH($A2017,VarKey,0))</f>
        <v/>
      </c>
      <c r="J2017" s="14">
        <f>INDEX(VarSrc,MATCH($A2017,VarKey,0))</f>
        <v/>
      </c>
      <c r="K2017" s="11">
        <f>CodePrefix&amp;$A2017&amp;IF($C2017="","","."&amp;$C2017&amp;"."&amp;$B2017)&amp;INDEX(VarEnd,MATCH($A2017,VarKey,0))&amp;K$5</f>
        <v/>
      </c>
      <c r="L2017" s="43">
        <f>L1981*Settings!$C$13*(L1909+L1927+L1918*L$201+L1936*$D2017)</f>
        <v/>
      </c>
      <c r="M2017" s="44">
        <f>M1981*Settings!$C$13*(M1909+M1927+M1918*M$201+M1936*$D2017)</f>
        <v/>
      </c>
      <c r="N2017" s="44">
        <f>N1981*Settings!$C$13*(N1909+N1927+N1918*N$201+N1936*$D2017)</f>
        <v/>
      </c>
      <c r="O2017" s="44">
        <f>O1981*Settings!$C$13*(O1909+O1927+O1918*O$201+O1936*$D2017)</f>
        <v/>
      </c>
      <c r="P2017" s="44">
        <f>P1981*Settings!$C$13*(P1909+P1927+P1918*P$201+P1936*$D2017)</f>
        <v/>
      </c>
      <c r="Q2017" s="44">
        <f>Q1981*Settings!$C$13*(Q1909+Q1927+Q1918*Q$201+Q1936*$D2017)</f>
        <v/>
      </c>
      <c r="R2017" s="44">
        <f>R1981*Settings!$C$13*(R1909+R1927+R1918*R$201+R1936*$D2017)</f>
        <v/>
      </c>
      <c r="S2017" s="44">
        <f>S1981*Settings!$C$13*(S1909+S1927+S1918*S$201+S1936*$D2017)</f>
        <v/>
      </c>
      <c r="T2017" s="44">
        <f>T1981*Settings!$C$13*(T1909+T1927+T1918*T$201+T1936*$D2017)</f>
        <v/>
      </c>
      <c r="U2017" s="44">
        <f>U1981*Settings!$C$13*(U1909+U1927+U1918*U$201+U1936*$D2017)</f>
        <v/>
      </c>
      <c r="V2017" s="44">
        <f>V1981*Settings!$C$13*(V1909+V1927+V1918*V$201+V1936*$D2017)</f>
        <v/>
      </c>
      <c r="W2017" s="44">
        <f>W1981*Settings!$C$13*(W1909+W1927+W1918*W$201+W1936*$D2017)</f>
        <v/>
      </c>
      <c r="X2017" s="44">
        <f>X1981*Settings!$C$13*(X1909+X1927+X1918*X$201+X1936*$D2017)</f>
        <v/>
      </c>
      <c r="Y2017" s="44">
        <f>Y1981*Settings!$C$13*(Y1909+Y1927+Y1918*Y$201+Y1936*$D2017)</f>
        <v/>
      </c>
      <c r="Z2017" s="44">
        <f>Z1981*Settings!$C$13*(Z1909+Z1927+Z1918*Z$201+Z1936*$D2017)</f>
        <v/>
      </c>
      <c r="AA2017" s="44">
        <f>AA1981*Settings!$C$13*(AA1909+AA1927+AA1918*AA$201+AA1936*$D2017)</f>
        <v/>
      </c>
      <c r="AB2017" s="44">
        <f>AB1981*Settings!$C$13*(AB1909+AB1927+AB1918*AB$201+AB1936*$D2017)</f>
        <v/>
      </c>
      <c r="AC2017" s="44">
        <f>AC1981*Settings!$C$13*(AC1909+AC1927+AC1918*AC$201+AC1936*$D2017)</f>
        <v/>
      </c>
      <c r="AD2017" s="44">
        <f>AD1981*Settings!$C$13*(AD1909+AD1927+AD1918*AD$201+AD1936*$D2017)</f>
        <v/>
      </c>
      <c r="AE2017" s="57">
        <f>REVENUE(AE1981,Settings!$C$13,NEWREVRATE(AE1909,AE1927,AE1918,AE$201,AE1936,$D2017))</f>
        <v/>
      </c>
      <c r="AG2017" s="11">
        <f>CodePrefix&amp;$A2017&amp;IF($C2017="","","."&amp;$C2017&amp;"."&amp;$B2017)&amp;INDEX(VarEnd,MATCH($A2017,VarKey,0))&amp;AG$5</f>
        <v/>
      </c>
      <c r="AH2017" s="43">
        <f>AH1981*Settings!$C$13*(AH1909+AH1927+AH1918*AH$201+AH1936*$D2017)</f>
        <v/>
      </c>
      <c r="AI2017" s="44">
        <f>AI1981*Settings!$C$13*(AI1909+AI1927+AI1918*AI$201+AI1936*$D2017)</f>
        <v/>
      </c>
      <c r="AJ2017" s="44">
        <f>AJ1981*Settings!$C$13*(AJ1909+AJ1927+AJ1918*AJ$201+AJ1936*$D2017)</f>
        <v/>
      </c>
      <c r="AK2017" s="44">
        <f>AK1981*Settings!$C$13*(AK1909+AK1927+AK1918*AK$201+AK1936*$D2017)</f>
        <v/>
      </c>
      <c r="AL2017" s="44">
        <f>AL1981*Settings!$C$13*(AL1909+AL1927+AL1918*AL$201+AL1936*$D2017)</f>
        <v/>
      </c>
      <c r="AM2017" s="44">
        <f>AM1981*Settings!$C$13*(AM1909+AM1927+AM1918*AM$201+AM1936*$D2017)</f>
        <v/>
      </c>
      <c r="AN2017" s="44">
        <f>AN1981*Settings!$C$13*(AN1909+AN1927+AN1918*AN$201+AN1936*$D2017)</f>
        <v/>
      </c>
      <c r="AO2017" s="44">
        <f>AO1981*Settings!$C$13*(AO1909+AO1927+AO1918*AO$201+AO1936*$D2017)</f>
        <v/>
      </c>
      <c r="AP2017" s="44">
        <f>AP1981*Settings!$C$13*(AP1909+AP1927+AP1918*AP$201+AP1936*$D2017)</f>
        <v/>
      </c>
      <c r="AQ2017" s="44">
        <f>AQ1981*Settings!$C$13*(AQ1909+AQ1927+AQ1918*AQ$201+AQ1936*$D2017)</f>
        <v/>
      </c>
      <c r="AR2017" s="44">
        <f>AR1981*Settings!$C$13*(AR1909+AR1927+AR1918*AR$201+AR1936*$D2017)</f>
        <v/>
      </c>
      <c r="AS2017" s="44">
        <f>AS1981*Settings!$C$13*(AS1909+AS1927+AS1918*AS$201+AS1936*$D2017)</f>
        <v/>
      </c>
      <c r="AT2017" s="44">
        <f>AT1981*Settings!$C$13*(AT1909+AT1927+AT1918*AT$201+AT1936*$D2017)</f>
        <v/>
      </c>
      <c r="AU2017" s="44">
        <f>AU1981*Settings!$C$13*(AU1909+AU1927+AU1918*AU$201+AU1936*$D2017)</f>
        <v/>
      </c>
      <c r="AV2017" s="44">
        <f>AV1981*Settings!$C$13*(AV1909+AV1927+AV1918*AV$201+AV1936*$D2017)</f>
        <v/>
      </c>
      <c r="AW2017" s="44">
        <f>AW1981*Settings!$C$13*(AW1909+AW1927+AW1918*AW$201+AW1936*$D2017)</f>
        <v/>
      </c>
      <c r="AX2017" s="44">
        <f>AX1981*Settings!$C$13*(AX1909+AX1927+AX1918*AX$201+AX1936*$D2017)</f>
        <v/>
      </c>
      <c r="AY2017" s="44">
        <f>AY1981*Settings!$C$13*(AY1909+AY1927+AY1918*AY$201+AY1936*$D2017)</f>
        <v/>
      </c>
      <c r="AZ2017" s="44">
        <f>AZ1981*Settings!$C$13*(AZ1909+AZ1927+AZ1918*AZ$201+AZ1936*$D2017)</f>
        <v/>
      </c>
      <c r="BA2017" s="57">
        <f>REVENUE(BA1981,Settings!$C$13,NEWREVRATE(BA1909,BA1927,BA1918,BA$201,BA1936,$D2017))</f>
        <v/>
      </c>
    </row>
    <row r="2018" hidden="1" outlineLevel="2">
      <c r="A2018" s="14" t="inlineStr">
        <is>
          <t>rnew</t>
        </is>
      </c>
      <c r="B2018" s="14" t="inlineStr">
        <is>
          <t>nga</t>
        </is>
      </c>
      <c r="C2018" s="14" t="inlineStr">
        <is>
          <t>mch</t>
        </is>
      </c>
      <c r="D2018" s="35">
        <f>INDEX(Inputs!$V$5:$V$132,MATCH($B2018&amp;"|"&amp;$C2018,Inputs!$A$5:$A$132,0))</f>
        <v/>
      </c>
      <c r="E2018" s="39" t="n"/>
      <c r="F2018" s="39" t="n"/>
      <c r="G2018" s="39" t="n"/>
      <c r="H2018" s="14">
        <f>INDEX(VarLab,MATCH($A2018,VarKey,0))&amp;INDEX(MemLab,MATCH($C2018&amp;"|"&amp;$B2018,MemKey,0))</f>
        <v/>
      </c>
      <c r="I2018" s="14">
        <f>INDEX(VarUnit,MATCH($A2018,VarKey,0))</f>
        <v/>
      </c>
      <c r="J2018" s="14">
        <f>INDEX(VarSrc,MATCH($A2018,VarKey,0))</f>
        <v/>
      </c>
      <c r="K2018" s="11">
        <f>CodePrefix&amp;$A2018&amp;IF($C2018="","","."&amp;$C2018&amp;"."&amp;$B2018)&amp;INDEX(VarEnd,MATCH($A2018,VarKey,0))&amp;K$5</f>
        <v/>
      </c>
      <c r="L2018" s="43">
        <f>L1982*Settings!$C$13*(L1910+L1928+L1919*L$201+L1937*$D2018)</f>
        <v/>
      </c>
      <c r="M2018" s="44">
        <f>M1982*Settings!$C$13*(M1910+M1928+M1919*M$201+M1937*$D2018)</f>
        <v/>
      </c>
      <c r="N2018" s="44">
        <f>N1982*Settings!$C$13*(N1910+N1928+N1919*N$201+N1937*$D2018)</f>
        <v/>
      </c>
      <c r="O2018" s="44">
        <f>O1982*Settings!$C$13*(O1910+O1928+O1919*O$201+O1937*$D2018)</f>
        <v/>
      </c>
      <c r="P2018" s="44">
        <f>P1982*Settings!$C$13*(P1910+P1928+P1919*P$201+P1937*$D2018)</f>
        <v/>
      </c>
      <c r="Q2018" s="44">
        <f>Q1982*Settings!$C$13*(Q1910+Q1928+Q1919*Q$201+Q1937*$D2018)</f>
        <v/>
      </c>
      <c r="R2018" s="44">
        <f>R1982*Settings!$C$13*(R1910+R1928+R1919*R$201+R1937*$D2018)</f>
        <v/>
      </c>
      <c r="S2018" s="44">
        <f>S1982*Settings!$C$13*(S1910+S1928+S1919*S$201+S1937*$D2018)</f>
        <v/>
      </c>
      <c r="T2018" s="44">
        <f>T1982*Settings!$C$13*(T1910+T1928+T1919*T$201+T1937*$D2018)</f>
        <v/>
      </c>
      <c r="U2018" s="44">
        <f>U1982*Settings!$C$13*(U1910+U1928+U1919*U$201+U1937*$D2018)</f>
        <v/>
      </c>
      <c r="V2018" s="44">
        <f>V1982*Settings!$C$13*(V1910+V1928+V1919*V$201+V1937*$D2018)</f>
        <v/>
      </c>
      <c r="W2018" s="44">
        <f>W1982*Settings!$C$13*(W1910+W1928+W1919*W$201+W1937*$D2018)</f>
        <v/>
      </c>
      <c r="X2018" s="44">
        <f>X1982*Settings!$C$13*(X1910+X1928+X1919*X$201+X1937*$D2018)</f>
        <v/>
      </c>
      <c r="Y2018" s="44">
        <f>Y1982*Settings!$C$13*(Y1910+Y1928+Y1919*Y$201+Y1937*$D2018)</f>
        <v/>
      </c>
      <c r="Z2018" s="44">
        <f>Z1982*Settings!$C$13*(Z1910+Z1928+Z1919*Z$201+Z1937*$D2018)</f>
        <v/>
      </c>
      <c r="AA2018" s="44">
        <f>AA1982*Settings!$C$13*(AA1910+AA1928+AA1919*AA$201+AA1937*$D2018)</f>
        <v/>
      </c>
      <c r="AB2018" s="44">
        <f>AB1982*Settings!$C$13*(AB1910+AB1928+AB1919*AB$201+AB1937*$D2018)</f>
        <v/>
      </c>
      <c r="AC2018" s="44">
        <f>AC1982*Settings!$C$13*(AC1910+AC1928+AC1919*AC$201+AC1937*$D2018)</f>
        <v/>
      </c>
      <c r="AD2018" s="44">
        <f>AD1982*Settings!$C$13*(AD1910+AD1928+AD1919*AD$201+AD1937*$D2018)</f>
        <v/>
      </c>
      <c r="AE2018" s="57">
        <f>REVENUE(AE1982,Settings!$C$13,NEWREVRATE(AE1910,AE1928,AE1919,AE$201,AE1937,$D2018))</f>
        <v/>
      </c>
      <c r="AG2018" s="11">
        <f>CodePrefix&amp;$A2018&amp;IF($C2018="","","."&amp;$C2018&amp;"."&amp;$B2018)&amp;INDEX(VarEnd,MATCH($A2018,VarKey,0))&amp;AG$5</f>
        <v/>
      </c>
      <c r="AH2018" s="43">
        <f>AH1982*Settings!$C$13*(AH1910+AH1928+AH1919*AH$201+AH1937*$D2018)</f>
        <v/>
      </c>
      <c r="AI2018" s="44">
        <f>AI1982*Settings!$C$13*(AI1910+AI1928+AI1919*AI$201+AI1937*$D2018)</f>
        <v/>
      </c>
      <c r="AJ2018" s="44">
        <f>AJ1982*Settings!$C$13*(AJ1910+AJ1928+AJ1919*AJ$201+AJ1937*$D2018)</f>
        <v/>
      </c>
      <c r="AK2018" s="44">
        <f>AK1982*Settings!$C$13*(AK1910+AK1928+AK1919*AK$201+AK1937*$D2018)</f>
        <v/>
      </c>
      <c r="AL2018" s="44">
        <f>AL1982*Settings!$C$13*(AL1910+AL1928+AL1919*AL$201+AL1937*$D2018)</f>
        <v/>
      </c>
      <c r="AM2018" s="44">
        <f>AM1982*Settings!$C$13*(AM1910+AM1928+AM1919*AM$201+AM1937*$D2018)</f>
        <v/>
      </c>
      <c r="AN2018" s="44">
        <f>AN1982*Settings!$C$13*(AN1910+AN1928+AN1919*AN$201+AN1937*$D2018)</f>
        <v/>
      </c>
      <c r="AO2018" s="44">
        <f>AO1982*Settings!$C$13*(AO1910+AO1928+AO1919*AO$201+AO1937*$D2018)</f>
        <v/>
      </c>
      <c r="AP2018" s="44">
        <f>AP1982*Settings!$C$13*(AP1910+AP1928+AP1919*AP$201+AP1937*$D2018)</f>
        <v/>
      </c>
      <c r="AQ2018" s="44">
        <f>AQ1982*Settings!$C$13*(AQ1910+AQ1928+AQ1919*AQ$201+AQ1937*$D2018)</f>
        <v/>
      </c>
      <c r="AR2018" s="44">
        <f>AR1982*Settings!$C$13*(AR1910+AR1928+AR1919*AR$201+AR1937*$D2018)</f>
        <v/>
      </c>
      <c r="AS2018" s="44">
        <f>AS1982*Settings!$C$13*(AS1910+AS1928+AS1919*AS$201+AS1937*$D2018)</f>
        <v/>
      </c>
      <c r="AT2018" s="44">
        <f>AT1982*Settings!$C$13*(AT1910+AT1928+AT1919*AT$201+AT1937*$D2018)</f>
        <v/>
      </c>
      <c r="AU2018" s="44">
        <f>AU1982*Settings!$C$13*(AU1910+AU1928+AU1919*AU$201+AU1937*$D2018)</f>
        <v/>
      </c>
      <c r="AV2018" s="44">
        <f>AV1982*Settings!$C$13*(AV1910+AV1928+AV1919*AV$201+AV1937*$D2018)</f>
        <v/>
      </c>
      <c r="AW2018" s="44">
        <f>AW1982*Settings!$C$13*(AW1910+AW1928+AW1919*AW$201+AW1937*$D2018)</f>
        <v/>
      </c>
      <c r="AX2018" s="44">
        <f>AX1982*Settings!$C$13*(AX1910+AX1928+AX1919*AX$201+AX1937*$D2018)</f>
        <v/>
      </c>
      <c r="AY2018" s="44">
        <f>AY1982*Settings!$C$13*(AY1910+AY1928+AY1919*AY$201+AY1937*$D2018)</f>
        <v/>
      </c>
      <c r="AZ2018" s="44">
        <f>AZ1982*Settings!$C$13*(AZ1910+AZ1928+AZ1919*AZ$201+AZ1937*$D2018)</f>
        <v/>
      </c>
      <c r="BA2018" s="57">
        <f>REVENUE(BA1982,Settings!$C$13,NEWREVRATE(BA1910,BA1928,BA1919,BA$201,BA1937,$D2018))</f>
        <v/>
      </c>
    </row>
    <row r="2019" hidden="1" outlineLevel="2">
      <c r="A2019" s="14" t="inlineStr">
        <is>
          <t>rnew</t>
        </is>
      </c>
      <c r="B2019" s="14" t="inlineStr">
        <is>
          <t>gso</t>
        </is>
      </c>
      <c r="C2019" s="14" t="inlineStr">
        <is>
          <t>mch</t>
        </is>
      </c>
      <c r="D2019" s="35">
        <f>INDEX(Inputs!$V$5:$V$132,MATCH($B2019&amp;"|"&amp;$C2019,Inputs!$A$5:$A$132,0))</f>
        <v/>
      </c>
      <c r="E2019" s="39" t="n"/>
      <c r="F2019" s="39" t="n"/>
      <c r="G2019" s="39" t="n"/>
      <c r="H2019" s="14">
        <f>INDEX(VarLab,MATCH($A2019,VarKey,0))&amp;INDEX(MemLab,MATCH($C2019&amp;"|"&amp;$B2019,MemKey,0))</f>
        <v/>
      </c>
      <c r="I2019" s="14">
        <f>INDEX(VarUnit,MATCH($A2019,VarKey,0))</f>
        <v/>
      </c>
      <c r="J2019" s="14">
        <f>INDEX(VarSrc,MATCH($A2019,VarKey,0))</f>
        <v/>
      </c>
      <c r="K2019" s="11">
        <f>CodePrefix&amp;$A2019&amp;IF($C2019="","","."&amp;$C2019&amp;"."&amp;$B2019)&amp;INDEX(VarEnd,MATCH($A2019,VarKey,0))&amp;K$5</f>
        <v/>
      </c>
      <c r="L2019" s="43">
        <f>L1983*Settings!$C$13*(L1911+L1929+L1920*L$201+L1938*$D2019)</f>
        <v/>
      </c>
      <c r="M2019" s="44">
        <f>M1983*Settings!$C$13*(M1911+M1929+M1920*M$201+M1938*$D2019)</f>
        <v/>
      </c>
      <c r="N2019" s="44">
        <f>N1983*Settings!$C$13*(N1911+N1929+N1920*N$201+N1938*$D2019)</f>
        <v/>
      </c>
      <c r="O2019" s="44">
        <f>O1983*Settings!$C$13*(O1911+O1929+O1920*O$201+O1938*$D2019)</f>
        <v/>
      </c>
      <c r="P2019" s="44">
        <f>P1983*Settings!$C$13*(P1911+P1929+P1920*P$201+P1938*$D2019)</f>
        <v/>
      </c>
      <c r="Q2019" s="44">
        <f>Q1983*Settings!$C$13*(Q1911+Q1929+Q1920*Q$201+Q1938*$D2019)</f>
        <v/>
      </c>
      <c r="R2019" s="44">
        <f>R1983*Settings!$C$13*(R1911+R1929+R1920*R$201+R1938*$D2019)</f>
        <v/>
      </c>
      <c r="S2019" s="44">
        <f>S1983*Settings!$C$13*(S1911+S1929+S1920*S$201+S1938*$D2019)</f>
        <v/>
      </c>
      <c r="T2019" s="44">
        <f>T1983*Settings!$C$13*(T1911+T1929+T1920*T$201+T1938*$D2019)</f>
        <v/>
      </c>
      <c r="U2019" s="44">
        <f>U1983*Settings!$C$13*(U1911+U1929+U1920*U$201+U1938*$D2019)</f>
        <v/>
      </c>
      <c r="V2019" s="44">
        <f>V1983*Settings!$C$13*(V1911+V1929+V1920*V$201+V1938*$D2019)</f>
        <v/>
      </c>
      <c r="W2019" s="44">
        <f>W1983*Settings!$C$13*(W1911+W1929+W1920*W$201+W1938*$D2019)</f>
        <v/>
      </c>
      <c r="X2019" s="44">
        <f>X1983*Settings!$C$13*(X1911+X1929+X1920*X$201+X1938*$D2019)</f>
        <v/>
      </c>
      <c r="Y2019" s="44">
        <f>Y1983*Settings!$C$13*(Y1911+Y1929+Y1920*Y$201+Y1938*$D2019)</f>
        <v/>
      </c>
      <c r="Z2019" s="44">
        <f>Z1983*Settings!$C$13*(Z1911+Z1929+Z1920*Z$201+Z1938*$D2019)</f>
        <v/>
      </c>
      <c r="AA2019" s="44">
        <f>AA1983*Settings!$C$13*(AA1911+AA1929+AA1920*AA$201+AA1938*$D2019)</f>
        <v/>
      </c>
      <c r="AB2019" s="44">
        <f>AB1983*Settings!$C$13*(AB1911+AB1929+AB1920*AB$201+AB1938*$D2019)</f>
        <v/>
      </c>
      <c r="AC2019" s="44">
        <f>AC1983*Settings!$C$13*(AC1911+AC1929+AC1920*AC$201+AC1938*$D2019)</f>
        <v/>
      </c>
      <c r="AD2019" s="44">
        <f>AD1983*Settings!$C$13*(AD1911+AD1929+AD1920*AD$201+AD1938*$D2019)</f>
        <v/>
      </c>
      <c r="AE2019" s="57">
        <f>REVENUE(AE1983,Settings!$C$13,NEWREVRATE(AE1911,AE1929,AE1920,AE$201,AE1938,$D2019))</f>
        <v/>
      </c>
      <c r="AG2019" s="11">
        <f>CodePrefix&amp;$A2019&amp;IF($C2019="","","."&amp;$C2019&amp;"."&amp;$B2019)&amp;INDEX(VarEnd,MATCH($A2019,VarKey,0))&amp;AG$5</f>
        <v/>
      </c>
      <c r="AH2019" s="43">
        <f>AH1983*Settings!$C$13*(AH1911+AH1929+AH1920*AH$201+AH1938*$D2019)</f>
        <v/>
      </c>
      <c r="AI2019" s="44">
        <f>AI1983*Settings!$C$13*(AI1911+AI1929+AI1920*AI$201+AI1938*$D2019)</f>
        <v/>
      </c>
      <c r="AJ2019" s="44">
        <f>AJ1983*Settings!$C$13*(AJ1911+AJ1929+AJ1920*AJ$201+AJ1938*$D2019)</f>
        <v/>
      </c>
      <c r="AK2019" s="44">
        <f>AK1983*Settings!$C$13*(AK1911+AK1929+AK1920*AK$201+AK1938*$D2019)</f>
        <v/>
      </c>
      <c r="AL2019" s="44">
        <f>AL1983*Settings!$C$13*(AL1911+AL1929+AL1920*AL$201+AL1938*$D2019)</f>
        <v/>
      </c>
      <c r="AM2019" s="44">
        <f>AM1983*Settings!$C$13*(AM1911+AM1929+AM1920*AM$201+AM1938*$D2019)</f>
        <v/>
      </c>
      <c r="AN2019" s="44">
        <f>AN1983*Settings!$C$13*(AN1911+AN1929+AN1920*AN$201+AN1938*$D2019)</f>
        <v/>
      </c>
      <c r="AO2019" s="44">
        <f>AO1983*Settings!$C$13*(AO1911+AO1929+AO1920*AO$201+AO1938*$D2019)</f>
        <v/>
      </c>
      <c r="AP2019" s="44">
        <f>AP1983*Settings!$C$13*(AP1911+AP1929+AP1920*AP$201+AP1938*$D2019)</f>
        <v/>
      </c>
      <c r="AQ2019" s="44">
        <f>AQ1983*Settings!$C$13*(AQ1911+AQ1929+AQ1920*AQ$201+AQ1938*$D2019)</f>
        <v/>
      </c>
      <c r="AR2019" s="44">
        <f>AR1983*Settings!$C$13*(AR1911+AR1929+AR1920*AR$201+AR1938*$D2019)</f>
        <v/>
      </c>
      <c r="AS2019" s="44">
        <f>AS1983*Settings!$C$13*(AS1911+AS1929+AS1920*AS$201+AS1938*$D2019)</f>
        <v/>
      </c>
      <c r="AT2019" s="44">
        <f>AT1983*Settings!$C$13*(AT1911+AT1929+AT1920*AT$201+AT1938*$D2019)</f>
        <v/>
      </c>
      <c r="AU2019" s="44">
        <f>AU1983*Settings!$C$13*(AU1911+AU1929+AU1920*AU$201+AU1938*$D2019)</f>
        <v/>
      </c>
      <c r="AV2019" s="44">
        <f>AV1983*Settings!$C$13*(AV1911+AV1929+AV1920*AV$201+AV1938*$D2019)</f>
        <v/>
      </c>
      <c r="AW2019" s="44">
        <f>AW1983*Settings!$C$13*(AW1911+AW1929+AW1920*AW$201+AW1938*$D2019)</f>
        <v/>
      </c>
      <c r="AX2019" s="44">
        <f>AX1983*Settings!$C$13*(AX1911+AX1929+AX1920*AX$201+AX1938*$D2019)</f>
        <v/>
      </c>
      <c r="AY2019" s="44">
        <f>AY1983*Settings!$C$13*(AY1911+AY1929+AY1920*AY$201+AY1938*$D2019)</f>
        <v/>
      </c>
      <c r="AZ2019" s="44">
        <f>AZ1983*Settings!$C$13*(AZ1911+AZ1929+AZ1920*AZ$201+AZ1938*$D2019)</f>
        <v/>
      </c>
      <c r="BA2019" s="57">
        <f>REVENUE(BA1983,Settings!$C$13,NEWREVRATE(BA1911,BA1929,BA1920,BA$201,BA1938,$D2019))</f>
        <v/>
      </c>
    </row>
    <row r="2020" hidden="1" outlineLevel="2">
      <c r="A2020" s="14" t="inlineStr">
        <is>
          <t>rnew</t>
        </is>
      </c>
      <c r="B2020" s="14" t="inlineStr">
        <is>
          <t>die</t>
        </is>
      </c>
      <c r="C2020" s="14" t="inlineStr">
        <is>
          <t>mch</t>
        </is>
      </c>
      <c r="D2020" s="35">
        <f>INDEX(Inputs!$V$5:$V$132,MATCH($B2020&amp;"|"&amp;$C2020,Inputs!$A$5:$A$132,0))</f>
        <v/>
      </c>
      <c r="E2020" s="39" t="n"/>
      <c r="F2020" s="39" t="n"/>
      <c r="G2020" s="39" t="n"/>
      <c r="H2020" s="14">
        <f>INDEX(VarLab,MATCH($A2020,VarKey,0))&amp;INDEX(MemLab,MATCH($C2020&amp;"|"&amp;$B2020,MemKey,0))</f>
        <v/>
      </c>
      <c r="I2020" s="14">
        <f>INDEX(VarUnit,MATCH($A2020,VarKey,0))</f>
        <v/>
      </c>
      <c r="J2020" s="14">
        <f>INDEX(VarSrc,MATCH($A2020,VarKey,0))</f>
        <v/>
      </c>
      <c r="K2020" s="11">
        <f>CodePrefix&amp;$A2020&amp;IF($C2020="","","."&amp;$C2020&amp;"."&amp;$B2020)&amp;INDEX(VarEnd,MATCH($A2020,VarKey,0))&amp;K$5</f>
        <v/>
      </c>
      <c r="L2020" s="43">
        <f>L1984*Settings!$C$13*(L1912+L1930+L1921*L$201+L1939*$D2020)</f>
        <v/>
      </c>
      <c r="M2020" s="44">
        <f>M1984*Settings!$C$13*(M1912+M1930+M1921*M$201+M1939*$D2020)</f>
        <v/>
      </c>
      <c r="N2020" s="44">
        <f>N1984*Settings!$C$13*(N1912+N1930+N1921*N$201+N1939*$D2020)</f>
        <v/>
      </c>
      <c r="O2020" s="44">
        <f>O1984*Settings!$C$13*(O1912+O1930+O1921*O$201+O1939*$D2020)</f>
        <v/>
      </c>
      <c r="P2020" s="44">
        <f>P1984*Settings!$C$13*(P1912+P1930+P1921*P$201+P1939*$D2020)</f>
        <v/>
      </c>
      <c r="Q2020" s="44">
        <f>Q1984*Settings!$C$13*(Q1912+Q1930+Q1921*Q$201+Q1939*$D2020)</f>
        <v/>
      </c>
      <c r="R2020" s="44">
        <f>R1984*Settings!$C$13*(R1912+R1930+R1921*R$201+R1939*$D2020)</f>
        <v/>
      </c>
      <c r="S2020" s="44">
        <f>S1984*Settings!$C$13*(S1912+S1930+S1921*S$201+S1939*$D2020)</f>
        <v/>
      </c>
      <c r="T2020" s="44">
        <f>T1984*Settings!$C$13*(T1912+T1930+T1921*T$201+T1939*$D2020)</f>
        <v/>
      </c>
      <c r="U2020" s="44">
        <f>U1984*Settings!$C$13*(U1912+U1930+U1921*U$201+U1939*$D2020)</f>
        <v/>
      </c>
      <c r="V2020" s="44">
        <f>V1984*Settings!$C$13*(V1912+V1930+V1921*V$201+V1939*$D2020)</f>
        <v/>
      </c>
      <c r="W2020" s="44">
        <f>W1984*Settings!$C$13*(W1912+W1930+W1921*W$201+W1939*$D2020)</f>
        <v/>
      </c>
      <c r="X2020" s="44">
        <f>X1984*Settings!$C$13*(X1912+X1930+X1921*X$201+X1939*$D2020)</f>
        <v/>
      </c>
      <c r="Y2020" s="44">
        <f>Y1984*Settings!$C$13*(Y1912+Y1930+Y1921*Y$201+Y1939*$D2020)</f>
        <v/>
      </c>
      <c r="Z2020" s="44">
        <f>Z1984*Settings!$C$13*(Z1912+Z1930+Z1921*Z$201+Z1939*$D2020)</f>
        <v/>
      </c>
      <c r="AA2020" s="44">
        <f>AA1984*Settings!$C$13*(AA1912+AA1930+AA1921*AA$201+AA1939*$D2020)</f>
        <v/>
      </c>
      <c r="AB2020" s="44">
        <f>AB1984*Settings!$C$13*(AB1912+AB1930+AB1921*AB$201+AB1939*$D2020)</f>
        <v/>
      </c>
      <c r="AC2020" s="44">
        <f>AC1984*Settings!$C$13*(AC1912+AC1930+AC1921*AC$201+AC1939*$D2020)</f>
        <v/>
      </c>
      <c r="AD2020" s="44">
        <f>AD1984*Settings!$C$13*(AD1912+AD1930+AD1921*AD$201+AD1939*$D2020)</f>
        <v/>
      </c>
      <c r="AE2020" s="57">
        <f>REVENUE(AE1984,Settings!$C$13,NEWREVRATE(AE1912,AE1930,AE1921,AE$201,AE1939,$D2020))</f>
        <v/>
      </c>
      <c r="AG2020" s="11">
        <f>CodePrefix&amp;$A2020&amp;IF($C2020="","","."&amp;$C2020&amp;"."&amp;$B2020)&amp;INDEX(VarEnd,MATCH($A2020,VarKey,0))&amp;AG$5</f>
        <v/>
      </c>
      <c r="AH2020" s="43">
        <f>AH1984*Settings!$C$13*(AH1912+AH1930+AH1921*AH$201+AH1939*$D2020)</f>
        <v/>
      </c>
      <c r="AI2020" s="44">
        <f>AI1984*Settings!$C$13*(AI1912+AI1930+AI1921*AI$201+AI1939*$D2020)</f>
        <v/>
      </c>
      <c r="AJ2020" s="44">
        <f>AJ1984*Settings!$C$13*(AJ1912+AJ1930+AJ1921*AJ$201+AJ1939*$D2020)</f>
        <v/>
      </c>
      <c r="AK2020" s="44">
        <f>AK1984*Settings!$C$13*(AK1912+AK1930+AK1921*AK$201+AK1939*$D2020)</f>
        <v/>
      </c>
      <c r="AL2020" s="44">
        <f>AL1984*Settings!$C$13*(AL1912+AL1930+AL1921*AL$201+AL1939*$D2020)</f>
        <v/>
      </c>
      <c r="AM2020" s="44">
        <f>AM1984*Settings!$C$13*(AM1912+AM1930+AM1921*AM$201+AM1939*$D2020)</f>
        <v/>
      </c>
      <c r="AN2020" s="44">
        <f>AN1984*Settings!$C$13*(AN1912+AN1930+AN1921*AN$201+AN1939*$D2020)</f>
        <v/>
      </c>
      <c r="AO2020" s="44">
        <f>AO1984*Settings!$C$13*(AO1912+AO1930+AO1921*AO$201+AO1939*$D2020)</f>
        <v/>
      </c>
      <c r="AP2020" s="44">
        <f>AP1984*Settings!$C$13*(AP1912+AP1930+AP1921*AP$201+AP1939*$D2020)</f>
        <v/>
      </c>
      <c r="AQ2020" s="44">
        <f>AQ1984*Settings!$C$13*(AQ1912+AQ1930+AQ1921*AQ$201+AQ1939*$D2020)</f>
        <v/>
      </c>
      <c r="AR2020" s="44">
        <f>AR1984*Settings!$C$13*(AR1912+AR1930+AR1921*AR$201+AR1939*$D2020)</f>
        <v/>
      </c>
      <c r="AS2020" s="44">
        <f>AS1984*Settings!$C$13*(AS1912+AS1930+AS1921*AS$201+AS1939*$D2020)</f>
        <v/>
      </c>
      <c r="AT2020" s="44">
        <f>AT1984*Settings!$C$13*(AT1912+AT1930+AT1921*AT$201+AT1939*$D2020)</f>
        <v/>
      </c>
      <c r="AU2020" s="44">
        <f>AU1984*Settings!$C$13*(AU1912+AU1930+AU1921*AU$201+AU1939*$D2020)</f>
        <v/>
      </c>
      <c r="AV2020" s="44">
        <f>AV1984*Settings!$C$13*(AV1912+AV1930+AV1921*AV$201+AV1939*$D2020)</f>
        <v/>
      </c>
      <c r="AW2020" s="44">
        <f>AW1984*Settings!$C$13*(AW1912+AW1930+AW1921*AW$201+AW1939*$D2020)</f>
        <v/>
      </c>
      <c r="AX2020" s="44">
        <f>AX1984*Settings!$C$13*(AX1912+AX1930+AX1921*AX$201+AX1939*$D2020)</f>
        <v/>
      </c>
      <c r="AY2020" s="44">
        <f>AY1984*Settings!$C$13*(AY1912+AY1930+AY1921*AY$201+AY1939*$D2020)</f>
        <v/>
      </c>
      <c r="AZ2020" s="44">
        <f>AZ1984*Settings!$C$13*(AZ1912+AZ1930+AZ1921*AZ$201+AZ1939*$D2020)</f>
        <v/>
      </c>
      <c r="BA2020" s="57">
        <f>REVENUE(BA1984,Settings!$C$13,NEWREVRATE(BA1912,BA1930,BA1921,BA$201,BA1939,$D2020))</f>
        <v/>
      </c>
    </row>
    <row r="2021" hidden="1" outlineLevel="2">
      <c r="A2021" s="14" t="inlineStr">
        <is>
          <t>rnew</t>
        </is>
      </c>
      <c r="B2021" s="14" t="inlineStr">
        <is>
          <t>lpg</t>
        </is>
      </c>
      <c r="C2021" s="14" t="inlineStr">
        <is>
          <t>mch</t>
        </is>
      </c>
      <c r="D2021" s="35">
        <f>INDEX(Inputs!$V$5:$V$132,MATCH($B2021&amp;"|"&amp;$C2021,Inputs!$A$5:$A$132,0))</f>
        <v/>
      </c>
      <c r="E2021" s="39" t="n"/>
      <c r="F2021" s="39" t="n"/>
      <c r="G2021" s="39" t="n"/>
      <c r="H2021" s="14">
        <f>INDEX(VarLab,MATCH($A2021,VarKey,0))&amp;INDEX(MemLab,MATCH($C2021&amp;"|"&amp;$B2021,MemKey,0))</f>
        <v/>
      </c>
      <c r="I2021" s="14">
        <f>INDEX(VarUnit,MATCH($A2021,VarKey,0))</f>
        <v/>
      </c>
      <c r="J2021" s="14">
        <f>INDEX(VarSrc,MATCH($A2021,VarKey,0))</f>
        <v/>
      </c>
      <c r="K2021" s="11">
        <f>CodePrefix&amp;$A2021&amp;IF($C2021="","","."&amp;$C2021&amp;"."&amp;$B2021)&amp;INDEX(VarEnd,MATCH($A2021,VarKey,0))&amp;K$5</f>
        <v/>
      </c>
      <c r="L2021" s="43">
        <f>L1985*Settings!$C$13*(L1913+L1931+L1922*L$201+L1940*$D2021)</f>
        <v/>
      </c>
      <c r="M2021" s="44">
        <f>M1985*Settings!$C$13*(M1913+M1931+M1922*M$201+M1940*$D2021)</f>
        <v/>
      </c>
      <c r="N2021" s="44">
        <f>N1985*Settings!$C$13*(N1913+N1931+N1922*N$201+N1940*$D2021)</f>
        <v/>
      </c>
      <c r="O2021" s="44">
        <f>O1985*Settings!$C$13*(O1913+O1931+O1922*O$201+O1940*$D2021)</f>
        <v/>
      </c>
      <c r="P2021" s="44">
        <f>P1985*Settings!$C$13*(P1913+P1931+P1922*P$201+P1940*$D2021)</f>
        <v/>
      </c>
      <c r="Q2021" s="44">
        <f>Q1985*Settings!$C$13*(Q1913+Q1931+Q1922*Q$201+Q1940*$D2021)</f>
        <v/>
      </c>
      <c r="R2021" s="44">
        <f>R1985*Settings!$C$13*(R1913+R1931+R1922*R$201+R1940*$D2021)</f>
        <v/>
      </c>
      <c r="S2021" s="44">
        <f>S1985*Settings!$C$13*(S1913+S1931+S1922*S$201+S1940*$D2021)</f>
        <v/>
      </c>
      <c r="T2021" s="44">
        <f>T1985*Settings!$C$13*(T1913+T1931+T1922*T$201+T1940*$D2021)</f>
        <v/>
      </c>
      <c r="U2021" s="44">
        <f>U1985*Settings!$C$13*(U1913+U1931+U1922*U$201+U1940*$D2021)</f>
        <v/>
      </c>
      <c r="V2021" s="44">
        <f>V1985*Settings!$C$13*(V1913+V1931+V1922*V$201+V1940*$D2021)</f>
        <v/>
      </c>
      <c r="W2021" s="44">
        <f>W1985*Settings!$C$13*(W1913+W1931+W1922*W$201+W1940*$D2021)</f>
        <v/>
      </c>
      <c r="X2021" s="44">
        <f>X1985*Settings!$C$13*(X1913+X1931+X1922*X$201+X1940*$D2021)</f>
        <v/>
      </c>
      <c r="Y2021" s="44">
        <f>Y1985*Settings!$C$13*(Y1913+Y1931+Y1922*Y$201+Y1940*$D2021)</f>
        <v/>
      </c>
      <c r="Z2021" s="44">
        <f>Z1985*Settings!$C$13*(Z1913+Z1931+Z1922*Z$201+Z1940*$D2021)</f>
        <v/>
      </c>
      <c r="AA2021" s="44">
        <f>AA1985*Settings!$C$13*(AA1913+AA1931+AA1922*AA$201+AA1940*$D2021)</f>
        <v/>
      </c>
      <c r="AB2021" s="44">
        <f>AB1985*Settings!$C$13*(AB1913+AB1931+AB1922*AB$201+AB1940*$D2021)</f>
        <v/>
      </c>
      <c r="AC2021" s="44">
        <f>AC1985*Settings!$C$13*(AC1913+AC1931+AC1922*AC$201+AC1940*$D2021)</f>
        <v/>
      </c>
      <c r="AD2021" s="44">
        <f>AD1985*Settings!$C$13*(AD1913+AD1931+AD1922*AD$201+AD1940*$D2021)</f>
        <v/>
      </c>
      <c r="AE2021" s="57">
        <f>REVENUE(AE1985,Settings!$C$13,NEWREVRATE(AE1913,AE1931,AE1922,AE$201,AE1940,$D2021))</f>
        <v/>
      </c>
      <c r="AG2021" s="11">
        <f>CodePrefix&amp;$A2021&amp;IF($C2021="","","."&amp;$C2021&amp;"."&amp;$B2021)&amp;INDEX(VarEnd,MATCH($A2021,VarKey,0))&amp;AG$5</f>
        <v/>
      </c>
      <c r="AH2021" s="43">
        <f>AH1985*Settings!$C$13*(AH1913+AH1931+AH1922*AH$201+AH1940*$D2021)</f>
        <v/>
      </c>
      <c r="AI2021" s="44">
        <f>AI1985*Settings!$C$13*(AI1913+AI1931+AI1922*AI$201+AI1940*$D2021)</f>
        <v/>
      </c>
      <c r="AJ2021" s="44">
        <f>AJ1985*Settings!$C$13*(AJ1913+AJ1931+AJ1922*AJ$201+AJ1940*$D2021)</f>
        <v/>
      </c>
      <c r="AK2021" s="44">
        <f>AK1985*Settings!$C$13*(AK1913+AK1931+AK1922*AK$201+AK1940*$D2021)</f>
        <v/>
      </c>
      <c r="AL2021" s="44">
        <f>AL1985*Settings!$C$13*(AL1913+AL1931+AL1922*AL$201+AL1940*$D2021)</f>
        <v/>
      </c>
      <c r="AM2021" s="44">
        <f>AM1985*Settings!$C$13*(AM1913+AM1931+AM1922*AM$201+AM1940*$D2021)</f>
        <v/>
      </c>
      <c r="AN2021" s="44">
        <f>AN1985*Settings!$C$13*(AN1913+AN1931+AN1922*AN$201+AN1940*$D2021)</f>
        <v/>
      </c>
      <c r="AO2021" s="44">
        <f>AO1985*Settings!$C$13*(AO1913+AO1931+AO1922*AO$201+AO1940*$D2021)</f>
        <v/>
      </c>
      <c r="AP2021" s="44">
        <f>AP1985*Settings!$C$13*(AP1913+AP1931+AP1922*AP$201+AP1940*$D2021)</f>
        <v/>
      </c>
      <c r="AQ2021" s="44">
        <f>AQ1985*Settings!$C$13*(AQ1913+AQ1931+AQ1922*AQ$201+AQ1940*$D2021)</f>
        <v/>
      </c>
      <c r="AR2021" s="44">
        <f>AR1985*Settings!$C$13*(AR1913+AR1931+AR1922*AR$201+AR1940*$D2021)</f>
        <v/>
      </c>
      <c r="AS2021" s="44">
        <f>AS1985*Settings!$C$13*(AS1913+AS1931+AS1922*AS$201+AS1940*$D2021)</f>
        <v/>
      </c>
      <c r="AT2021" s="44">
        <f>AT1985*Settings!$C$13*(AT1913+AT1931+AT1922*AT$201+AT1940*$D2021)</f>
        <v/>
      </c>
      <c r="AU2021" s="44">
        <f>AU1985*Settings!$C$13*(AU1913+AU1931+AU1922*AU$201+AU1940*$D2021)</f>
        <v/>
      </c>
      <c r="AV2021" s="44">
        <f>AV1985*Settings!$C$13*(AV1913+AV1931+AV1922*AV$201+AV1940*$D2021)</f>
        <v/>
      </c>
      <c r="AW2021" s="44">
        <f>AW1985*Settings!$C$13*(AW1913+AW1931+AW1922*AW$201+AW1940*$D2021)</f>
        <v/>
      </c>
      <c r="AX2021" s="44">
        <f>AX1985*Settings!$C$13*(AX1913+AX1931+AX1922*AX$201+AX1940*$D2021)</f>
        <v/>
      </c>
      <c r="AY2021" s="44">
        <f>AY1985*Settings!$C$13*(AY1913+AY1931+AY1922*AY$201+AY1940*$D2021)</f>
        <v/>
      </c>
      <c r="AZ2021" s="44">
        <f>AZ1985*Settings!$C$13*(AZ1913+AZ1931+AZ1922*AZ$201+AZ1940*$D2021)</f>
        <v/>
      </c>
      <c r="BA2021" s="57">
        <f>REVENUE(BA1985,Settings!$C$13,NEWREVRATE(BA1913,BA1931,BA1922,BA$201,BA1940,$D2021))</f>
        <v/>
      </c>
    </row>
    <row r="2022" hidden="1" outlineLevel="2">
      <c r="A2022" s="14" t="inlineStr">
        <is>
          <t>rnew</t>
        </is>
      </c>
      <c r="B2022" s="14" t="inlineStr">
        <is>
          <t>ker</t>
        </is>
      </c>
      <c r="C2022" s="14" t="inlineStr">
        <is>
          <t>mch</t>
        </is>
      </c>
      <c r="D2022" s="35">
        <f>INDEX(Inputs!$V$5:$V$132,MATCH($B2022&amp;"|"&amp;$C2022,Inputs!$A$5:$A$132,0))</f>
        <v/>
      </c>
      <c r="E2022" s="39" t="n"/>
      <c r="F2022" s="39" t="n"/>
      <c r="G2022" s="39" t="n"/>
      <c r="H2022" s="14">
        <f>INDEX(VarLab,MATCH($A2022,VarKey,0))&amp;INDEX(MemLab,MATCH($C2022&amp;"|"&amp;$B2022,MemKey,0))</f>
        <v/>
      </c>
      <c r="I2022" s="14">
        <f>INDEX(VarUnit,MATCH($A2022,VarKey,0))</f>
        <v/>
      </c>
      <c r="J2022" s="14">
        <f>INDEX(VarSrc,MATCH($A2022,VarKey,0))</f>
        <v/>
      </c>
      <c r="K2022" s="11">
        <f>CodePrefix&amp;$A2022&amp;IF($C2022="","","."&amp;$C2022&amp;"."&amp;$B2022)&amp;INDEX(VarEnd,MATCH($A2022,VarKey,0))&amp;K$5</f>
        <v/>
      </c>
      <c r="L2022" s="43">
        <f>L1986*Settings!$C$13*(L1914+L1932+L1923*L$201+L1941*$D2022)</f>
        <v/>
      </c>
      <c r="M2022" s="44">
        <f>M1986*Settings!$C$13*(M1914+M1932+M1923*M$201+M1941*$D2022)</f>
        <v/>
      </c>
      <c r="N2022" s="44">
        <f>N1986*Settings!$C$13*(N1914+N1932+N1923*N$201+N1941*$D2022)</f>
        <v/>
      </c>
      <c r="O2022" s="44">
        <f>O1986*Settings!$C$13*(O1914+O1932+O1923*O$201+O1941*$D2022)</f>
        <v/>
      </c>
      <c r="P2022" s="44">
        <f>P1986*Settings!$C$13*(P1914+P1932+P1923*P$201+P1941*$D2022)</f>
        <v/>
      </c>
      <c r="Q2022" s="44">
        <f>Q1986*Settings!$C$13*(Q1914+Q1932+Q1923*Q$201+Q1941*$D2022)</f>
        <v/>
      </c>
      <c r="R2022" s="44">
        <f>R1986*Settings!$C$13*(R1914+R1932+R1923*R$201+R1941*$D2022)</f>
        <v/>
      </c>
      <c r="S2022" s="44">
        <f>S1986*Settings!$C$13*(S1914+S1932+S1923*S$201+S1941*$D2022)</f>
        <v/>
      </c>
      <c r="T2022" s="44">
        <f>T1986*Settings!$C$13*(T1914+T1932+T1923*T$201+T1941*$D2022)</f>
        <v/>
      </c>
      <c r="U2022" s="44">
        <f>U1986*Settings!$C$13*(U1914+U1932+U1923*U$201+U1941*$D2022)</f>
        <v/>
      </c>
      <c r="V2022" s="44">
        <f>V1986*Settings!$C$13*(V1914+V1932+V1923*V$201+V1941*$D2022)</f>
        <v/>
      </c>
      <c r="W2022" s="44">
        <f>W1986*Settings!$C$13*(W1914+W1932+W1923*W$201+W1941*$D2022)</f>
        <v/>
      </c>
      <c r="X2022" s="44">
        <f>X1986*Settings!$C$13*(X1914+X1932+X1923*X$201+X1941*$D2022)</f>
        <v/>
      </c>
      <c r="Y2022" s="44">
        <f>Y1986*Settings!$C$13*(Y1914+Y1932+Y1923*Y$201+Y1941*$D2022)</f>
        <v/>
      </c>
      <c r="Z2022" s="44">
        <f>Z1986*Settings!$C$13*(Z1914+Z1932+Z1923*Z$201+Z1941*$D2022)</f>
        <v/>
      </c>
      <c r="AA2022" s="44">
        <f>AA1986*Settings!$C$13*(AA1914+AA1932+AA1923*AA$201+AA1941*$D2022)</f>
        <v/>
      </c>
      <c r="AB2022" s="44">
        <f>AB1986*Settings!$C$13*(AB1914+AB1932+AB1923*AB$201+AB1941*$D2022)</f>
        <v/>
      </c>
      <c r="AC2022" s="44">
        <f>AC1986*Settings!$C$13*(AC1914+AC1932+AC1923*AC$201+AC1941*$D2022)</f>
        <v/>
      </c>
      <c r="AD2022" s="44">
        <f>AD1986*Settings!$C$13*(AD1914+AD1932+AD1923*AD$201+AD1941*$D2022)</f>
        <v/>
      </c>
      <c r="AE2022" s="57">
        <f>REVENUE(AE1986,Settings!$C$13,NEWREVRATE(AE1914,AE1932,AE1923,AE$201,AE1941,$D2022))</f>
        <v/>
      </c>
      <c r="AG2022" s="11">
        <f>CodePrefix&amp;$A2022&amp;IF($C2022="","","."&amp;$C2022&amp;"."&amp;$B2022)&amp;INDEX(VarEnd,MATCH($A2022,VarKey,0))&amp;AG$5</f>
        <v/>
      </c>
      <c r="AH2022" s="43">
        <f>AH1986*Settings!$C$13*(AH1914+AH1932+AH1923*AH$201+AH1941*$D2022)</f>
        <v/>
      </c>
      <c r="AI2022" s="44">
        <f>AI1986*Settings!$C$13*(AI1914+AI1932+AI1923*AI$201+AI1941*$D2022)</f>
        <v/>
      </c>
      <c r="AJ2022" s="44">
        <f>AJ1986*Settings!$C$13*(AJ1914+AJ1932+AJ1923*AJ$201+AJ1941*$D2022)</f>
        <v/>
      </c>
      <c r="AK2022" s="44">
        <f>AK1986*Settings!$C$13*(AK1914+AK1932+AK1923*AK$201+AK1941*$D2022)</f>
        <v/>
      </c>
      <c r="AL2022" s="44">
        <f>AL1986*Settings!$C$13*(AL1914+AL1932+AL1923*AL$201+AL1941*$D2022)</f>
        <v/>
      </c>
      <c r="AM2022" s="44">
        <f>AM1986*Settings!$C$13*(AM1914+AM1932+AM1923*AM$201+AM1941*$D2022)</f>
        <v/>
      </c>
      <c r="AN2022" s="44">
        <f>AN1986*Settings!$C$13*(AN1914+AN1932+AN1923*AN$201+AN1941*$D2022)</f>
        <v/>
      </c>
      <c r="AO2022" s="44">
        <f>AO1986*Settings!$C$13*(AO1914+AO1932+AO1923*AO$201+AO1941*$D2022)</f>
        <v/>
      </c>
      <c r="AP2022" s="44">
        <f>AP1986*Settings!$C$13*(AP1914+AP1932+AP1923*AP$201+AP1941*$D2022)</f>
        <v/>
      </c>
      <c r="AQ2022" s="44">
        <f>AQ1986*Settings!$C$13*(AQ1914+AQ1932+AQ1923*AQ$201+AQ1941*$D2022)</f>
        <v/>
      </c>
      <c r="AR2022" s="44">
        <f>AR1986*Settings!$C$13*(AR1914+AR1932+AR1923*AR$201+AR1941*$D2022)</f>
        <v/>
      </c>
      <c r="AS2022" s="44">
        <f>AS1986*Settings!$C$13*(AS1914+AS1932+AS1923*AS$201+AS1941*$D2022)</f>
        <v/>
      </c>
      <c r="AT2022" s="44">
        <f>AT1986*Settings!$C$13*(AT1914+AT1932+AT1923*AT$201+AT1941*$D2022)</f>
        <v/>
      </c>
      <c r="AU2022" s="44">
        <f>AU1986*Settings!$C$13*(AU1914+AU1932+AU1923*AU$201+AU1941*$D2022)</f>
        <v/>
      </c>
      <c r="AV2022" s="44">
        <f>AV1986*Settings!$C$13*(AV1914+AV1932+AV1923*AV$201+AV1941*$D2022)</f>
        <v/>
      </c>
      <c r="AW2022" s="44">
        <f>AW1986*Settings!$C$13*(AW1914+AW1932+AW1923*AW$201+AW1941*$D2022)</f>
        <v/>
      </c>
      <c r="AX2022" s="44">
        <f>AX1986*Settings!$C$13*(AX1914+AX1932+AX1923*AX$201+AX1941*$D2022)</f>
        <v/>
      </c>
      <c r="AY2022" s="44">
        <f>AY1986*Settings!$C$13*(AY1914+AY1932+AY1923*AY$201+AY1941*$D2022)</f>
        <v/>
      </c>
      <c r="AZ2022" s="44">
        <f>AZ1986*Settings!$C$13*(AZ1914+AZ1932+AZ1923*AZ$201+AZ1941*$D2022)</f>
        <v/>
      </c>
      <c r="BA2022" s="57">
        <f>REVENUE(BA1986,Settings!$C$13,NEWREVRATE(BA1914,BA1932,BA1923,BA$201,BA1941,$D2022))</f>
        <v/>
      </c>
    </row>
    <row r="2023" hidden="1" outlineLevel="2">
      <c r="A2023" s="14" t="inlineStr">
        <is>
          <t>rnew</t>
        </is>
      </c>
      <c r="B2023" s="14" t="inlineStr">
        <is>
          <t>oop</t>
        </is>
      </c>
      <c r="C2023" s="14" t="inlineStr">
        <is>
          <t>mch</t>
        </is>
      </c>
      <c r="D2023" s="35">
        <f>INDEX(Inputs!$V$5:$V$132,MATCH($B2023&amp;"|"&amp;$C2023,Inputs!$A$5:$A$132,0))</f>
        <v/>
      </c>
      <c r="E2023" s="39" t="n"/>
      <c r="F2023" s="39" t="n"/>
      <c r="G2023" s="39" t="n"/>
      <c r="H2023" s="14">
        <f>INDEX(VarLab,MATCH($A2023,VarKey,0))&amp;INDEX(MemLab,MATCH($C2023&amp;"|"&amp;$B2023,MemKey,0))</f>
        <v/>
      </c>
      <c r="I2023" s="14">
        <f>INDEX(VarUnit,MATCH($A2023,VarKey,0))</f>
        <v/>
      </c>
      <c r="J2023" s="14">
        <f>INDEX(VarSrc,MATCH($A2023,VarKey,0))</f>
        <v/>
      </c>
      <c r="K2023" s="11">
        <f>CodePrefix&amp;$A2023&amp;IF($C2023="","","."&amp;$C2023&amp;"."&amp;$B2023)&amp;INDEX(VarEnd,MATCH($A2023,VarKey,0))&amp;K$5</f>
        <v/>
      </c>
      <c r="L2023" s="43">
        <f>L1987*Settings!$C$13*(L1915+L1933+L1924*L$201+L1942*$D2023)</f>
        <v/>
      </c>
      <c r="M2023" s="44">
        <f>M1987*Settings!$C$13*(M1915+M1933+M1924*M$201+M1942*$D2023)</f>
        <v/>
      </c>
      <c r="N2023" s="44">
        <f>N1987*Settings!$C$13*(N1915+N1933+N1924*N$201+N1942*$D2023)</f>
        <v/>
      </c>
      <c r="O2023" s="44">
        <f>O1987*Settings!$C$13*(O1915+O1933+O1924*O$201+O1942*$D2023)</f>
        <v/>
      </c>
      <c r="P2023" s="44">
        <f>P1987*Settings!$C$13*(P1915+P1933+P1924*P$201+P1942*$D2023)</f>
        <v/>
      </c>
      <c r="Q2023" s="44">
        <f>Q1987*Settings!$C$13*(Q1915+Q1933+Q1924*Q$201+Q1942*$D2023)</f>
        <v/>
      </c>
      <c r="R2023" s="44">
        <f>R1987*Settings!$C$13*(R1915+R1933+R1924*R$201+R1942*$D2023)</f>
        <v/>
      </c>
      <c r="S2023" s="44">
        <f>S1987*Settings!$C$13*(S1915+S1933+S1924*S$201+S1942*$D2023)</f>
        <v/>
      </c>
      <c r="T2023" s="44">
        <f>T1987*Settings!$C$13*(T1915+T1933+T1924*T$201+T1942*$D2023)</f>
        <v/>
      </c>
      <c r="U2023" s="44">
        <f>U1987*Settings!$C$13*(U1915+U1933+U1924*U$201+U1942*$D2023)</f>
        <v/>
      </c>
      <c r="V2023" s="44">
        <f>V1987*Settings!$C$13*(V1915+V1933+V1924*V$201+V1942*$D2023)</f>
        <v/>
      </c>
      <c r="W2023" s="44">
        <f>W1987*Settings!$C$13*(W1915+W1933+W1924*W$201+W1942*$D2023)</f>
        <v/>
      </c>
      <c r="X2023" s="44">
        <f>X1987*Settings!$C$13*(X1915+X1933+X1924*X$201+X1942*$D2023)</f>
        <v/>
      </c>
      <c r="Y2023" s="44">
        <f>Y1987*Settings!$C$13*(Y1915+Y1933+Y1924*Y$201+Y1942*$D2023)</f>
        <v/>
      </c>
      <c r="Z2023" s="44">
        <f>Z1987*Settings!$C$13*(Z1915+Z1933+Z1924*Z$201+Z1942*$D2023)</f>
        <v/>
      </c>
      <c r="AA2023" s="44">
        <f>AA1987*Settings!$C$13*(AA1915+AA1933+AA1924*AA$201+AA1942*$D2023)</f>
        <v/>
      </c>
      <c r="AB2023" s="44">
        <f>AB1987*Settings!$C$13*(AB1915+AB1933+AB1924*AB$201+AB1942*$D2023)</f>
        <v/>
      </c>
      <c r="AC2023" s="44">
        <f>AC1987*Settings!$C$13*(AC1915+AC1933+AC1924*AC$201+AC1942*$D2023)</f>
        <v/>
      </c>
      <c r="AD2023" s="44">
        <f>AD1987*Settings!$C$13*(AD1915+AD1933+AD1924*AD$201+AD1942*$D2023)</f>
        <v/>
      </c>
      <c r="AE2023" s="57">
        <f>REVENUE(AE1987,Settings!$C$13,NEWREVRATE(AE1915,AE1933,AE1924,AE$201,AE1942,$D2023))</f>
        <v/>
      </c>
      <c r="AG2023" s="11">
        <f>CodePrefix&amp;$A2023&amp;IF($C2023="","","."&amp;$C2023&amp;"."&amp;$B2023)&amp;INDEX(VarEnd,MATCH($A2023,VarKey,0))&amp;AG$5</f>
        <v/>
      </c>
      <c r="AH2023" s="43">
        <f>AH1987*Settings!$C$13*(AH1915+AH1933+AH1924*AH$201+AH1942*$D2023)</f>
        <v/>
      </c>
      <c r="AI2023" s="44">
        <f>AI1987*Settings!$C$13*(AI1915+AI1933+AI1924*AI$201+AI1942*$D2023)</f>
        <v/>
      </c>
      <c r="AJ2023" s="44">
        <f>AJ1987*Settings!$C$13*(AJ1915+AJ1933+AJ1924*AJ$201+AJ1942*$D2023)</f>
        <v/>
      </c>
      <c r="AK2023" s="44">
        <f>AK1987*Settings!$C$13*(AK1915+AK1933+AK1924*AK$201+AK1942*$D2023)</f>
        <v/>
      </c>
      <c r="AL2023" s="44">
        <f>AL1987*Settings!$C$13*(AL1915+AL1933+AL1924*AL$201+AL1942*$D2023)</f>
        <v/>
      </c>
      <c r="AM2023" s="44">
        <f>AM1987*Settings!$C$13*(AM1915+AM1933+AM1924*AM$201+AM1942*$D2023)</f>
        <v/>
      </c>
      <c r="AN2023" s="44">
        <f>AN1987*Settings!$C$13*(AN1915+AN1933+AN1924*AN$201+AN1942*$D2023)</f>
        <v/>
      </c>
      <c r="AO2023" s="44">
        <f>AO1987*Settings!$C$13*(AO1915+AO1933+AO1924*AO$201+AO1942*$D2023)</f>
        <v/>
      </c>
      <c r="AP2023" s="44">
        <f>AP1987*Settings!$C$13*(AP1915+AP1933+AP1924*AP$201+AP1942*$D2023)</f>
        <v/>
      </c>
      <c r="AQ2023" s="44">
        <f>AQ1987*Settings!$C$13*(AQ1915+AQ1933+AQ1924*AQ$201+AQ1942*$D2023)</f>
        <v/>
      </c>
      <c r="AR2023" s="44">
        <f>AR1987*Settings!$C$13*(AR1915+AR1933+AR1924*AR$201+AR1942*$D2023)</f>
        <v/>
      </c>
      <c r="AS2023" s="44">
        <f>AS1987*Settings!$C$13*(AS1915+AS1933+AS1924*AS$201+AS1942*$D2023)</f>
        <v/>
      </c>
      <c r="AT2023" s="44">
        <f>AT1987*Settings!$C$13*(AT1915+AT1933+AT1924*AT$201+AT1942*$D2023)</f>
        <v/>
      </c>
      <c r="AU2023" s="44">
        <f>AU1987*Settings!$C$13*(AU1915+AU1933+AU1924*AU$201+AU1942*$D2023)</f>
        <v/>
      </c>
      <c r="AV2023" s="44">
        <f>AV1987*Settings!$C$13*(AV1915+AV1933+AV1924*AV$201+AV1942*$D2023)</f>
        <v/>
      </c>
      <c r="AW2023" s="44">
        <f>AW1987*Settings!$C$13*(AW1915+AW1933+AW1924*AW$201+AW1942*$D2023)</f>
        <v/>
      </c>
      <c r="AX2023" s="44">
        <f>AX1987*Settings!$C$13*(AX1915+AX1933+AX1924*AX$201+AX1942*$D2023)</f>
        <v/>
      </c>
      <c r="AY2023" s="44">
        <f>AY1987*Settings!$C$13*(AY1915+AY1933+AY1924*AY$201+AY1942*$D2023)</f>
        <v/>
      </c>
      <c r="AZ2023" s="44">
        <f>AZ1987*Settings!$C$13*(AZ1915+AZ1933+AZ1924*AZ$201+AZ1942*$D2023)</f>
        <v/>
      </c>
      <c r="BA2023" s="57">
        <f>REVENUE(BA1987,Settings!$C$13,NEWREVRATE(BA1915,BA1933,BA1924,BA$201,BA1942,$D2023))</f>
        <v/>
      </c>
    </row>
    <row r="2024" hidden="1" outlineLevel="2">
      <c r="A2024" s="14" t="inlineStr">
        <is>
          <t>rnew</t>
        </is>
      </c>
      <c r="B2024" s="14" t="inlineStr">
        <is>
          <t>bio</t>
        </is>
      </c>
      <c r="C2024" s="14" t="inlineStr">
        <is>
          <t>mch</t>
        </is>
      </c>
      <c r="D2024" s="35">
        <f>INDEX(Inputs!$V$5:$V$132,MATCH($B2024&amp;"|"&amp;$C2024,Inputs!$A$5:$A$132,0))</f>
        <v/>
      </c>
      <c r="E2024" s="39" t="n"/>
      <c r="F2024" s="39" t="n"/>
      <c r="G2024" s="39" t="n"/>
      <c r="H2024" s="14">
        <f>INDEX(VarLab,MATCH($A2024,VarKey,0))&amp;INDEX(MemLab,MATCH($C2024&amp;"|"&amp;$B2024,MemKey,0))</f>
        <v/>
      </c>
      <c r="I2024" s="14">
        <f>INDEX(VarUnit,MATCH($A2024,VarKey,0))</f>
        <v/>
      </c>
      <c r="J2024" s="14">
        <f>INDEX(VarSrc,MATCH($A2024,VarKey,0))</f>
        <v/>
      </c>
      <c r="K2024" s="11">
        <f>CodePrefix&amp;$A2024&amp;IF($C2024="","","."&amp;$C2024&amp;"."&amp;$B2024)&amp;INDEX(VarEnd,MATCH($A2024,VarKey,0))&amp;K$5</f>
        <v/>
      </c>
      <c r="L2024" s="43">
        <f>L1988*Settings!$C$13*(L1916+L1934+L1925*L$201+L1943*$D2024)</f>
        <v/>
      </c>
      <c r="M2024" s="44">
        <f>M1988*Settings!$C$13*(M1916+M1934+M1925*M$201+M1943*$D2024)</f>
        <v/>
      </c>
      <c r="N2024" s="44">
        <f>N1988*Settings!$C$13*(N1916+N1934+N1925*N$201+N1943*$D2024)</f>
        <v/>
      </c>
      <c r="O2024" s="44">
        <f>O1988*Settings!$C$13*(O1916+O1934+O1925*O$201+O1943*$D2024)</f>
        <v/>
      </c>
      <c r="P2024" s="44">
        <f>P1988*Settings!$C$13*(P1916+P1934+P1925*P$201+P1943*$D2024)</f>
        <v/>
      </c>
      <c r="Q2024" s="44">
        <f>Q1988*Settings!$C$13*(Q1916+Q1934+Q1925*Q$201+Q1943*$D2024)</f>
        <v/>
      </c>
      <c r="R2024" s="44">
        <f>R1988*Settings!$C$13*(R1916+R1934+R1925*R$201+R1943*$D2024)</f>
        <v/>
      </c>
      <c r="S2024" s="44">
        <f>S1988*Settings!$C$13*(S1916+S1934+S1925*S$201+S1943*$D2024)</f>
        <v/>
      </c>
      <c r="T2024" s="44">
        <f>T1988*Settings!$C$13*(T1916+T1934+T1925*T$201+T1943*$D2024)</f>
        <v/>
      </c>
      <c r="U2024" s="44">
        <f>U1988*Settings!$C$13*(U1916+U1934+U1925*U$201+U1943*$D2024)</f>
        <v/>
      </c>
      <c r="V2024" s="44">
        <f>V1988*Settings!$C$13*(V1916+V1934+V1925*V$201+V1943*$D2024)</f>
        <v/>
      </c>
      <c r="W2024" s="44">
        <f>W1988*Settings!$C$13*(W1916+W1934+W1925*W$201+W1943*$D2024)</f>
        <v/>
      </c>
      <c r="X2024" s="44">
        <f>X1988*Settings!$C$13*(X1916+X1934+X1925*X$201+X1943*$D2024)</f>
        <v/>
      </c>
      <c r="Y2024" s="44">
        <f>Y1988*Settings!$C$13*(Y1916+Y1934+Y1925*Y$201+Y1943*$D2024)</f>
        <v/>
      </c>
      <c r="Z2024" s="44">
        <f>Z1988*Settings!$C$13*(Z1916+Z1934+Z1925*Z$201+Z1943*$D2024)</f>
        <v/>
      </c>
      <c r="AA2024" s="44">
        <f>AA1988*Settings!$C$13*(AA1916+AA1934+AA1925*AA$201+AA1943*$D2024)</f>
        <v/>
      </c>
      <c r="AB2024" s="44">
        <f>AB1988*Settings!$C$13*(AB1916+AB1934+AB1925*AB$201+AB1943*$D2024)</f>
        <v/>
      </c>
      <c r="AC2024" s="44">
        <f>AC1988*Settings!$C$13*(AC1916+AC1934+AC1925*AC$201+AC1943*$D2024)</f>
        <v/>
      </c>
      <c r="AD2024" s="44">
        <f>AD1988*Settings!$C$13*(AD1916+AD1934+AD1925*AD$201+AD1943*$D2024)</f>
        <v/>
      </c>
      <c r="AE2024" s="57">
        <f>REVENUE(AE1988,Settings!$C$13,NEWREVRATE(AE1916,AE1934,AE1925,AE$201,AE1943,$D2024))</f>
        <v/>
      </c>
      <c r="AG2024" s="11">
        <f>CodePrefix&amp;$A2024&amp;IF($C2024="","","."&amp;$C2024&amp;"."&amp;$B2024)&amp;INDEX(VarEnd,MATCH($A2024,VarKey,0))&amp;AG$5</f>
        <v/>
      </c>
      <c r="AH2024" s="43">
        <f>AH1988*Settings!$C$13*(AH1916+AH1934+AH1925*AH$201+AH1943*$D2024)</f>
        <v/>
      </c>
      <c r="AI2024" s="44">
        <f>AI1988*Settings!$C$13*(AI1916+AI1934+AI1925*AI$201+AI1943*$D2024)</f>
        <v/>
      </c>
      <c r="AJ2024" s="44">
        <f>AJ1988*Settings!$C$13*(AJ1916+AJ1934+AJ1925*AJ$201+AJ1943*$D2024)</f>
        <v/>
      </c>
      <c r="AK2024" s="44">
        <f>AK1988*Settings!$C$13*(AK1916+AK1934+AK1925*AK$201+AK1943*$D2024)</f>
        <v/>
      </c>
      <c r="AL2024" s="44">
        <f>AL1988*Settings!$C$13*(AL1916+AL1934+AL1925*AL$201+AL1943*$D2024)</f>
        <v/>
      </c>
      <c r="AM2024" s="44">
        <f>AM1988*Settings!$C$13*(AM1916+AM1934+AM1925*AM$201+AM1943*$D2024)</f>
        <v/>
      </c>
      <c r="AN2024" s="44">
        <f>AN1988*Settings!$C$13*(AN1916+AN1934+AN1925*AN$201+AN1943*$D2024)</f>
        <v/>
      </c>
      <c r="AO2024" s="44">
        <f>AO1988*Settings!$C$13*(AO1916+AO1934+AO1925*AO$201+AO1943*$D2024)</f>
        <v/>
      </c>
      <c r="AP2024" s="44">
        <f>AP1988*Settings!$C$13*(AP1916+AP1934+AP1925*AP$201+AP1943*$D2024)</f>
        <v/>
      </c>
      <c r="AQ2024" s="44">
        <f>AQ1988*Settings!$C$13*(AQ1916+AQ1934+AQ1925*AQ$201+AQ1943*$D2024)</f>
        <v/>
      </c>
      <c r="AR2024" s="44">
        <f>AR1988*Settings!$C$13*(AR1916+AR1934+AR1925*AR$201+AR1943*$D2024)</f>
        <v/>
      </c>
      <c r="AS2024" s="44">
        <f>AS1988*Settings!$C$13*(AS1916+AS1934+AS1925*AS$201+AS1943*$D2024)</f>
        <v/>
      </c>
      <c r="AT2024" s="44">
        <f>AT1988*Settings!$C$13*(AT1916+AT1934+AT1925*AT$201+AT1943*$D2024)</f>
        <v/>
      </c>
      <c r="AU2024" s="44">
        <f>AU1988*Settings!$C$13*(AU1916+AU1934+AU1925*AU$201+AU1943*$D2024)</f>
        <v/>
      </c>
      <c r="AV2024" s="44">
        <f>AV1988*Settings!$C$13*(AV1916+AV1934+AV1925*AV$201+AV1943*$D2024)</f>
        <v/>
      </c>
      <c r="AW2024" s="44">
        <f>AW1988*Settings!$C$13*(AW1916+AW1934+AW1925*AW$201+AW1943*$D2024)</f>
        <v/>
      </c>
      <c r="AX2024" s="44">
        <f>AX1988*Settings!$C$13*(AX1916+AX1934+AX1925*AX$201+AX1943*$D2024)</f>
        <v/>
      </c>
      <c r="AY2024" s="44">
        <f>AY1988*Settings!$C$13*(AY1916+AY1934+AY1925*AY$201+AY1943*$D2024)</f>
        <v/>
      </c>
      <c r="AZ2024" s="44">
        <f>AZ1988*Settings!$C$13*(AZ1916+AZ1934+AZ1925*AZ$201+AZ1943*$D2024)</f>
        <v/>
      </c>
      <c r="BA2024" s="57">
        <f>REVENUE(BA1988,Settings!$C$13,NEWREVRATE(BA1916,BA1934,BA1925,BA$201,BA1943,$D2024))</f>
        <v/>
      </c>
    </row>
    <row r="2025" hidden="1" outlineLevel="2"/>
    <row r="2026" hidden="1" outlineLevel="2">
      <c r="A2026" s="14" t="inlineStr">
        <is>
          <t>rxcp</t>
        </is>
      </c>
      <c r="B2026" s="14" t="inlineStr">
        <is>
          <t>coa</t>
        </is>
      </c>
      <c r="C2026" s="14" t="inlineStr">
        <is>
          <t>mch</t>
        </is>
      </c>
      <c r="D2026" s="39" t="n"/>
      <c r="E2026" s="39" t="n"/>
      <c r="F2026" s="39" t="n"/>
      <c r="G2026" s="39" t="n"/>
      <c r="H2026" s="14">
        <f>INDEX(VarLab,MATCH($A2026,VarKey,0))&amp;INDEX(MemLab,MATCH($C2026&amp;"|"&amp;$B2026,MemKey,0))</f>
        <v/>
      </c>
      <c r="I2026" s="14">
        <f>INDEX(VarUnit,MATCH($A2026,VarKey,0))</f>
        <v/>
      </c>
      <c r="J2026" s="14">
        <f>INDEX(VarSrc,MATCH($A2026,VarKey,0))</f>
        <v/>
      </c>
      <c r="K2026" s="11">
        <f>CodePrefix&amp;$A2026&amp;IF($C2026="","","."&amp;$C2026&amp;"."&amp;$B2026)&amp;INDEX(VarEnd,MATCH($A2026,VarKey,0))&amp;K$5</f>
        <v/>
      </c>
      <c r="L2026" s="43">
        <f>L1981*Settings!$C$13*(L1945)</f>
        <v/>
      </c>
      <c r="M2026" s="44">
        <f>M1981*Settings!$C$13*(M1945)</f>
        <v/>
      </c>
      <c r="N2026" s="44">
        <f>N1981*Settings!$C$13*(N1945)</f>
        <v/>
      </c>
      <c r="O2026" s="44">
        <f>O1981*Settings!$C$13*(O1945)</f>
        <v/>
      </c>
      <c r="P2026" s="44">
        <f>P1981*Settings!$C$13*(P1945)</f>
        <v/>
      </c>
      <c r="Q2026" s="44">
        <f>Q1981*Settings!$C$13*(Q1945)</f>
        <v/>
      </c>
      <c r="R2026" s="44">
        <f>R1981*Settings!$C$13*(R1945)</f>
        <v/>
      </c>
      <c r="S2026" s="44">
        <f>S1981*Settings!$C$13*(S1945)</f>
        <v/>
      </c>
      <c r="T2026" s="44">
        <f>T1981*Settings!$C$13*(T1945)</f>
        <v/>
      </c>
      <c r="U2026" s="44">
        <f>U1981*Settings!$C$13*(U1945)</f>
        <v/>
      </c>
      <c r="V2026" s="44">
        <f>V1981*Settings!$C$13*(V1945)</f>
        <v/>
      </c>
      <c r="W2026" s="44">
        <f>W1981*Settings!$C$13*(W1945)</f>
        <v/>
      </c>
      <c r="X2026" s="44">
        <f>X1981*Settings!$C$13*(X1945)</f>
        <v/>
      </c>
      <c r="Y2026" s="44">
        <f>Y1981*Settings!$C$13*(Y1945)</f>
        <v/>
      </c>
      <c r="Z2026" s="44">
        <f>Z1981*Settings!$C$13*(Z1945)</f>
        <v/>
      </c>
      <c r="AA2026" s="44">
        <f>AA1981*Settings!$C$13*(AA1945)</f>
        <v/>
      </c>
      <c r="AB2026" s="44">
        <f>AB1981*Settings!$C$13*(AB1945)</f>
        <v/>
      </c>
      <c r="AC2026" s="44">
        <f>AC1981*Settings!$C$13*(AC1945)</f>
        <v/>
      </c>
      <c r="AD2026" s="44">
        <f>AD1981*Settings!$C$13*(AD1945)</f>
        <v/>
      </c>
      <c r="AE2026" s="57">
        <f>REVENUE(AE1981,Settings!$C$13,AE1945)</f>
        <v/>
      </c>
      <c r="AG2026" s="11">
        <f>CodePrefix&amp;$A2026&amp;IF($C2026="","","."&amp;$C2026&amp;"."&amp;$B2026)&amp;INDEX(VarEnd,MATCH($A2026,VarKey,0))&amp;AG$5</f>
        <v/>
      </c>
      <c r="AH2026" s="43">
        <f>AH1981*Settings!$C$13*(AH1945)</f>
        <v/>
      </c>
      <c r="AI2026" s="44">
        <f>AI1981*Settings!$C$13*(AI1945)</f>
        <v/>
      </c>
      <c r="AJ2026" s="44">
        <f>AJ1981*Settings!$C$13*(AJ1945)</f>
        <v/>
      </c>
      <c r="AK2026" s="44">
        <f>AK1981*Settings!$C$13*(AK1945)</f>
        <v/>
      </c>
      <c r="AL2026" s="44">
        <f>AL1981*Settings!$C$13*(AL1945)</f>
        <v/>
      </c>
      <c r="AM2026" s="44">
        <f>AM1981*Settings!$C$13*(AM1945)</f>
        <v/>
      </c>
      <c r="AN2026" s="44">
        <f>AN1981*Settings!$C$13*(AN1945)</f>
        <v/>
      </c>
      <c r="AO2026" s="44">
        <f>AO1981*Settings!$C$13*(AO1945)</f>
        <v/>
      </c>
      <c r="AP2026" s="44">
        <f>AP1981*Settings!$C$13*(AP1945)</f>
        <v/>
      </c>
      <c r="AQ2026" s="44">
        <f>AQ1981*Settings!$C$13*(AQ1945)</f>
        <v/>
      </c>
      <c r="AR2026" s="44">
        <f>AR1981*Settings!$C$13*(AR1945)</f>
        <v/>
      </c>
      <c r="AS2026" s="44">
        <f>AS1981*Settings!$C$13*(AS1945)</f>
        <v/>
      </c>
      <c r="AT2026" s="44">
        <f>AT1981*Settings!$C$13*(AT1945)</f>
        <v/>
      </c>
      <c r="AU2026" s="44">
        <f>AU1981*Settings!$C$13*(AU1945)</f>
        <v/>
      </c>
      <c r="AV2026" s="44">
        <f>AV1981*Settings!$C$13*(AV1945)</f>
        <v/>
      </c>
      <c r="AW2026" s="44">
        <f>AW1981*Settings!$C$13*(AW1945)</f>
        <v/>
      </c>
      <c r="AX2026" s="44">
        <f>AX1981*Settings!$C$13*(AX1945)</f>
        <v/>
      </c>
      <c r="AY2026" s="44">
        <f>AY1981*Settings!$C$13*(AY1945)</f>
        <v/>
      </c>
      <c r="AZ2026" s="44">
        <f>AZ1981*Settings!$C$13*(AZ1945)</f>
        <v/>
      </c>
      <c r="BA2026" s="57">
        <f>REVENUE(BA1981,Settings!$C$13,BA1945)</f>
        <v/>
      </c>
    </row>
    <row r="2027" hidden="1" outlineLevel="2">
      <c r="A2027" s="14" t="inlineStr">
        <is>
          <t>rxcp</t>
        </is>
      </c>
      <c r="B2027" s="14" t="inlineStr">
        <is>
          <t>nga</t>
        </is>
      </c>
      <c r="C2027" s="14" t="inlineStr">
        <is>
          <t>mch</t>
        </is>
      </c>
      <c r="D2027" s="39" t="n"/>
      <c r="E2027" s="39" t="n"/>
      <c r="F2027" s="39" t="n"/>
      <c r="G2027" s="39" t="n"/>
      <c r="H2027" s="14">
        <f>INDEX(VarLab,MATCH($A2027,VarKey,0))&amp;INDEX(MemLab,MATCH($C2027&amp;"|"&amp;$B2027,MemKey,0))</f>
        <v/>
      </c>
      <c r="I2027" s="14">
        <f>INDEX(VarUnit,MATCH($A2027,VarKey,0))</f>
        <v/>
      </c>
      <c r="J2027" s="14">
        <f>INDEX(VarSrc,MATCH($A2027,VarKey,0))</f>
        <v/>
      </c>
      <c r="K2027" s="11">
        <f>CodePrefix&amp;$A2027&amp;IF($C2027="","","."&amp;$C2027&amp;"."&amp;$B2027)&amp;INDEX(VarEnd,MATCH($A2027,VarKey,0))&amp;K$5</f>
        <v/>
      </c>
      <c r="L2027" s="43">
        <f>L1982*Settings!$C$13*(L1946)</f>
        <v/>
      </c>
      <c r="M2027" s="44">
        <f>M1982*Settings!$C$13*(M1946)</f>
        <v/>
      </c>
      <c r="N2027" s="44">
        <f>N1982*Settings!$C$13*(N1946)</f>
        <v/>
      </c>
      <c r="O2027" s="44">
        <f>O1982*Settings!$C$13*(O1946)</f>
        <v/>
      </c>
      <c r="P2027" s="44">
        <f>P1982*Settings!$C$13*(P1946)</f>
        <v/>
      </c>
      <c r="Q2027" s="44">
        <f>Q1982*Settings!$C$13*(Q1946)</f>
        <v/>
      </c>
      <c r="R2027" s="44">
        <f>R1982*Settings!$C$13*(R1946)</f>
        <v/>
      </c>
      <c r="S2027" s="44">
        <f>S1982*Settings!$C$13*(S1946)</f>
        <v/>
      </c>
      <c r="T2027" s="44">
        <f>T1982*Settings!$C$13*(T1946)</f>
        <v/>
      </c>
      <c r="U2027" s="44">
        <f>U1982*Settings!$C$13*(U1946)</f>
        <v/>
      </c>
      <c r="V2027" s="44">
        <f>V1982*Settings!$C$13*(V1946)</f>
        <v/>
      </c>
      <c r="W2027" s="44">
        <f>W1982*Settings!$C$13*(W1946)</f>
        <v/>
      </c>
      <c r="X2027" s="44">
        <f>X1982*Settings!$C$13*(X1946)</f>
        <v/>
      </c>
      <c r="Y2027" s="44">
        <f>Y1982*Settings!$C$13*(Y1946)</f>
        <v/>
      </c>
      <c r="Z2027" s="44">
        <f>Z1982*Settings!$C$13*(Z1946)</f>
        <v/>
      </c>
      <c r="AA2027" s="44">
        <f>AA1982*Settings!$C$13*(AA1946)</f>
        <v/>
      </c>
      <c r="AB2027" s="44">
        <f>AB1982*Settings!$C$13*(AB1946)</f>
        <v/>
      </c>
      <c r="AC2027" s="44">
        <f>AC1982*Settings!$C$13*(AC1946)</f>
        <v/>
      </c>
      <c r="AD2027" s="44">
        <f>AD1982*Settings!$C$13*(AD1946)</f>
        <v/>
      </c>
      <c r="AE2027" s="57">
        <f>REVENUE(AE1982,Settings!$C$13,AE1946)</f>
        <v/>
      </c>
      <c r="AG2027" s="11">
        <f>CodePrefix&amp;$A2027&amp;IF($C2027="","","."&amp;$C2027&amp;"."&amp;$B2027)&amp;INDEX(VarEnd,MATCH($A2027,VarKey,0))&amp;AG$5</f>
        <v/>
      </c>
      <c r="AH2027" s="43">
        <f>AH1982*Settings!$C$13*(AH1946)</f>
        <v/>
      </c>
      <c r="AI2027" s="44">
        <f>AI1982*Settings!$C$13*(AI1946)</f>
        <v/>
      </c>
      <c r="AJ2027" s="44">
        <f>AJ1982*Settings!$C$13*(AJ1946)</f>
        <v/>
      </c>
      <c r="AK2027" s="44">
        <f>AK1982*Settings!$C$13*(AK1946)</f>
        <v/>
      </c>
      <c r="AL2027" s="44">
        <f>AL1982*Settings!$C$13*(AL1946)</f>
        <v/>
      </c>
      <c r="AM2027" s="44">
        <f>AM1982*Settings!$C$13*(AM1946)</f>
        <v/>
      </c>
      <c r="AN2027" s="44">
        <f>AN1982*Settings!$C$13*(AN1946)</f>
        <v/>
      </c>
      <c r="AO2027" s="44">
        <f>AO1982*Settings!$C$13*(AO1946)</f>
        <v/>
      </c>
      <c r="AP2027" s="44">
        <f>AP1982*Settings!$C$13*(AP1946)</f>
        <v/>
      </c>
      <c r="AQ2027" s="44">
        <f>AQ1982*Settings!$C$13*(AQ1946)</f>
        <v/>
      </c>
      <c r="AR2027" s="44">
        <f>AR1982*Settings!$C$13*(AR1946)</f>
        <v/>
      </c>
      <c r="AS2027" s="44">
        <f>AS1982*Settings!$C$13*(AS1946)</f>
        <v/>
      </c>
      <c r="AT2027" s="44">
        <f>AT1982*Settings!$C$13*(AT1946)</f>
        <v/>
      </c>
      <c r="AU2027" s="44">
        <f>AU1982*Settings!$C$13*(AU1946)</f>
        <v/>
      </c>
      <c r="AV2027" s="44">
        <f>AV1982*Settings!$C$13*(AV1946)</f>
        <v/>
      </c>
      <c r="AW2027" s="44">
        <f>AW1982*Settings!$C$13*(AW1946)</f>
        <v/>
      </c>
      <c r="AX2027" s="44">
        <f>AX1982*Settings!$C$13*(AX1946)</f>
        <v/>
      </c>
      <c r="AY2027" s="44">
        <f>AY1982*Settings!$C$13*(AY1946)</f>
        <v/>
      </c>
      <c r="AZ2027" s="44">
        <f>AZ1982*Settings!$C$13*(AZ1946)</f>
        <v/>
      </c>
      <c r="BA2027" s="57">
        <f>REVENUE(BA1982,Settings!$C$13,BA1946)</f>
        <v/>
      </c>
    </row>
    <row r="2028" hidden="1" outlineLevel="2">
      <c r="A2028" s="14" t="inlineStr">
        <is>
          <t>rxcp</t>
        </is>
      </c>
      <c r="B2028" s="14" t="inlineStr">
        <is>
          <t>gso</t>
        </is>
      </c>
      <c r="C2028" s="14" t="inlineStr">
        <is>
          <t>mch</t>
        </is>
      </c>
      <c r="D2028" s="39" t="n"/>
      <c r="E2028" s="39" t="n"/>
      <c r="F2028" s="39" t="n"/>
      <c r="G2028" s="39" t="n"/>
      <c r="H2028" s="14">
        <f>INDEX(VarLab,MATCH($A2028,VarKey,0))&amp;INDEX(MemLab,MATCH($C2028&amp;"|"&amp;$B2028,MemKey,0))</f>
        <v/>
      </c>
      <c r="I2028" s="14">
        <f>INDEX(VarUnit,MATCH($A2028,VarKey,0))</f>
        <v/>
      </c>
      <c r="J2028" s="14">
        <f>INDEX(VarSrc,MATCH($A2028,VarKey,0))</f>
        <v/>
      </c>
      <c r="K2028" s="11">
        <f>CodePrefix&amp;$A2028&amp;IF($C2028="","","."&amp;$C2028&amp;"."&amp;$B2028)&amp;INDEX(VarEnd,MATCH($A2028,VarKey,0))&amp;K$5</f>
        <v/>
      </c>
      <c r="L2028" s="43">
        <f>L1983*Settings!$C$13*(L1947)</f>
        <v/>
      </c>
      <c r="M2028" s="44">
        <f>M1983*Settings!$C$13*(M1947)</f>
        <v/>
      </c>
      <c r="N2028" s="44">
        <f>N1983*Settings!$C$13*(N1947)</f>
        <v/>
      </c>
      <c r="O2028" s="44">
        <f>O1983*Settings!$C$13*(O1947)</f>
        <v/>
      </c>
      <c r="P2028" s="44">
        <f>P1983*Settings!$C$13*(P1947)</f>
        <v/>
      </c>
      <c r="Q2028" s="44">
        <f>Q1983*Settings!$C$13*(Q1947)</f>
        <v/>
      </c>
      <c r="R2028" s="44">
        <f>R1983*Settings!$C$13*(R1947)</f>
        <v/>
      </c>
      <c r="S2028" s="44">
        <f>S1983*Settings!$C$13*(S1947)</f>
        <v/>
      </c>
      <c r="T2028" s="44">
        <f>T1983*Settings!$C$13*(T1947)</f>
        <v/>
      </c>
      <c r="U2028" s="44">
        <f>U1983*Settings!$C$13*(U1947)</f>
        <v/>
      </c>
      <c r="V2028" s="44">
        <f>V1983*Settings!$C$13*(V1947)</f>
        <v/>
      </c>
      <c r="W2028" s="44">
        <f>W1983*Settings!$C$13*(W1947)</f>
        <v/>
      </c>
      <c r="X2028" s="44">
        <f>X1983*Settings!$C$13*(X1947)</f>
        <v/>
      </c>
      <c r="Y2028" s="44">
        <f>Y1983*Settings!$C$13*(Y1947)</f>
        <v/>
      </c>
      <c r="Z2028" s="44">
        <f>Z1983*Settings!$C$13*(Z1947)</f>
        <v/>
      </c>
      <c r="AA2028" s="44">
        <f>AA1983*Settings!$C$13*(AA1947)</f>
        <v/>
      </c>
      <c r="AB2028" s="44">
        <f>AB1983*Settings!$C$13*(AB1947)</f>
        <v/>
      </c>
      <c r="AC2028" s="44">
        <f>AC1983*Settings!$C$13*(AC1947)</f>
        <v/>
      </c>
      <c r="AD2028" s="44">
        <f>AD1983*Settings!$C$13*(AD1947)</f>
        <v/>
      </c>
      <c r="AE2028" s="57">
        <f>REVENUE(AE1983,Settings!$C$13,AE1947)</f>
        <v/>
      </c>
      <c r="AG2028" s="11">
        <f>CodePrefix&amp;$A2028&amp;IF($C2028="","","."&amp;$C2028&amp;"."&amp;$B2028)&amp;INDEX(VarEnd,MATCH($A2028,VarKey,0))&amp;AG$5</f>
        <v/>
      </c>
      <c r="AH2028" s="43">
        <f>AH1983*Settings!$C$13*(AH1947)</f>
        <v/>
      </c>
      <c r="AI2028" s="44">
        <f>AI1983*Settings!$C$13*(AI1947)</f>
        <v/>
      </c>
      <c r="AJ2028" s="44">
        <f>AJ1983*Settings!$C$13*(AJ1947)</f>
        <v/>
      </c>
      <c r="AK2028" s="44">
        <f>AK1983*Settings!$C$13*(AK1947)</f>
        <v/>
      </c>
      <c r="AL2028" s="44">
        <f>AL1983*Settings!$C$13*(AL1947)</f>
        <v/>
      </c>
      <c r="AM2028" s="44">
        <f>AM1983*Settings!$C$13*(AM1947)</f>
        <v/>
      </c>
      <c r="AN2028" s="44">
        <f>AN1983*Settings!$C$13*(AN1947)</f>
        <v/>
      </c>
      <c r="AO2028" s="44">
        <f>AO1983*Settings!$C$13*(AO1947)</f>
        <v/>
      </c>
      <c r="AP2028" s="44">
        <f>AP1983*Settings!$C$13*(AP1947)</f>
        <v/>
      </c>
      <c r="AQ2028" s="44">
        <f>AQ1983*Settings!$C$13*(AQ1947)</f>
        <v/>
      </c>
      <c r="AR2028" s="44">
        <f>AR1983*Settings!$C$13*(AR1947)</f>
        <v/>
      </c>
      <c r="AS2028" s="44">
        <f>AS1983*Settings!$C$13*(AS1947)</f>
        <v/>
      </c>
      <c r="AT2028" s="44">
        <f>AT1983*Settings!$C$13*(AT1947)</f>
        <v/>
      </c>
      <c r="AU2028" s="44">
        <f>AU1983*Settings!$C$13*(AU1947)</f>
        <v/>
      </c>
      <c r="AV2028" s="44">
        <f>AV1983*Settings!$C$13*(AV1947)</f>
        <v/>
      </c>
      <c r="AW2028" s="44">
        <f>AW1983*Settings!$C$13*(AW1947)</f>
        <v/>
      </c>
      <c r="AX2028" s="44">
        <f>AX1983*Settings!$C$13*(AX1947)</f>
        <v/>
      </c>
      <c r="AY2028" s="44">
        <f>AY1983*Settings!$C$13*(AY1947)</f>
        <v/>
      </c>
      <c r="AZ2028" s="44">
        <f>AZ1983*Settings!$C$13*(AZ1947)</f>
        <v/>
      </c>
      <c r="BA2028" s="57">
        <f>REVENUE(BA1983,Settings!$C$13,BA1947)</f>
        <v/>
      </c>
    </row>
    <row r="2029" hidden="1" outlineLevel="2">
      <c r="A2029" s="14" t="inlineStr">
        <is>
          <t>rxcp</t>
        </is>
      </c>
      <c r="B2029" s="14" t="inlineStr">
        <is>
          <t>die</t>
        </is>
      </c>
      <c r="C2029" s="14" t="inlineStr">
        <is>
          <t>mch</t>
        </is>
      </c>
      <c r="D2029" s="39" t="n"/>
      <c r="E2029" s="39" t="n"/>
      <c r="F2029" s="39" t="n"/>
      <c r="G2029" s="39" t="n"/>
      <c r="H2029" s="14">
        <f>INDEX(VarLab,MATCH($A2029,VarKey,0))&amp;INDEX(MemLab,MATCH($C2029&amp;"|"&amp;$B2029,MemKey,0))</f>
        <v/>
      </c>
      <c r="I2029" s="14">
        <f>INDEX(VarUnit,MATCH($A2029,VarKey,0))</f>
        <v/>
      </c>
      <c r="J2029" s="14">
        <f>INDEX(VarSrc,MATCH($A2029,VarKey,0))</f>
        <v/>
      </c>
      <c r="K2029" s="11">
        <f>CodePrefix&amp;$A2029&amp;IF($C2029="","","."&amp;$C2029&amp;"."&amp;$B2029)&amp;INDEX(VarEnd,MATCH($A2029,VarKey,0))&amp;K$5</f>
        <v/>
      </c>
      <c r="L2029" s="43">
        <f>L1984*Settings!$C$13*(L1948)</f>
        <v/>
      </c>
      <c r="M2029" s="44">
        <f>M1984*Settings!$C$13*(M1948)</f>
        <v/>
      </c>
      <c r="N2029" s="44">
        <f>N1984*Settings!$C$13*(N1948)</f>
        <v/>
      </c>
      <c r="O2029" s="44">
        <f>O1984*Settings!$C$13*(O1948)</f>
        <v/>
      </c>
      <c r="P2029" s="44">
        <f>P1984*Settings!$C$13*(P1948)</f>
        <v/>
      </c>
      <c r="Q2029" s="44">
        <f>Q1984*Settings!$C$13*(Q1948)</f>
        <v/>
      </c>
      <c r="R2029" s="44">
        <f>R1984*Settings!$C$13*(R1948)</f>
        <v/>
      </c>
      <c r="S2029" s="44">
        <f>S1984*Settings!$C$13*(S1948)</f>
        <v/>
      </c>
      <c r="T2029" s="44">
        <f>T1984*Settings!$C$13*(T1948)</f>
        <v/>
      </c>
      <c r="U2029" s="44">
        <f>U1984*Settings!$C$13*(U1948)</f>
        <v/>
      </c>
      <c r="V2029" s="44">
        <f>V1984*Settings!$C$13*(V1948)</f>
        <v/>
      </c>
      <c r="W2029" s="44">
        <f>W1984*Settings!$C$13*(W1948)</f>
        <v/>
      </c>
      <c r="X2029" s="44">
        <f>X1984*Settings!$C$13*(X1948)</f>
        <v/>
      </c>
      <c r="Y2029" s="44">
        <f>Y1984*Settings!$C$13*(Y1948)</f>
        <v/>
      </c>
      <c r="Z2029" s="44">
        <f>Z1984*Settings!$C$13*(Z1948)</f>
        <v/>
      </c>
      <c r="AA2029" s="44">
        <f>AA1984*Settings!$C$13*(AA1948)</f>
        <v/>
      </c>
      <c r="AB2029" s="44">
        <f>AB1984*Settings!$C$13*(AB1948)</f>
        <v/>
      </c>
      <c r="AC2029" s="44">
        <f>AC1984*Settings!$C$13*(AC1948)</f>
        <v/>
      </c>
      <c r="AD2029" s="44">
        <f>AD1984*Settings!$C$13*(AD1948)</f>
        <v/>
      </c>
      <c r="AE2029" s="57">
        <f>REVENUE(AE1984,Settings!$C$13,AE1948)</f>
        <v/>
      </c>
      <c r="AG2029" s="11">
        <f>CodePrefix&amp;$A2029&amp;IF($C2029="","","."&amp;$C2029&amp;"."&amp;$B2029)&amp;INDEX(VarEnd,MATCH($A2029,VarKey,0))&amp;AG$5</f>
        <v/>
      </c>
      <c r="AH2029" s="43">
        <f>AH1984*Settings!$C$13*(AH1948)</f>
        <v/>
      </c>
      <c r="AI2029" s="44">
        <f>AI1984*Settings!$C$13*(AI1948)</f>
        <v/>
      </c>
      <c r="AJ2029" s="44">
        <f>AJ1984*Settings!$C$13*(AJ1948)</f>
        <v/>
      </c>
      <c r="AK2029" s="44">
        <f>AK1984*Settings!$C$13*(AK1948)</f>
        <v/>
      </c>
      <c r="AL2029" s="44">
        <f>AL1984*Settings!$C$13*(AL1948)</f>
        <v/>
      </c>
      <c r="AM2029" s="44">
        <f>AM1984*Settings!$C$13*(AM1948)</f>
        <v/>
      </c>
      <c r="AN2029" s="44">
        <f>AN1984*Settings!$C$13*(AN1948)</f>
        <v/>
      </c>
      <c r="AO2029" s="44">
        <f>AO1984*Settings!$C$13*(AO1948)</f>
        <v/>
      </c>
      <c r="AP2029" s="44">
        <f>AP1984*Settings!$C$13*(AP1948)</f>
        <v/>
      </c>
      <c r="AQ2029" s="44">
        <f>AQ1984*Settings!$C$13*(AQ1948)</f>
        <v/>
      </c>
      <c r="AR2029" s="44">
        <f>AR1984*Settings!$C$13*(AR1948)</f>
        <v/>
      </c>
      <c r="AS2029" s="44">
        <f>AS1984*Settings!$C$13*(AS1948)</f>
        <v/>
      </c>
      <c r="AT2029" s="44">
        <f>AT1984*Settings!$C$13*(AT1948)</f>
        <v/>
      </c>
      <c r="AU2029" s="44">
        <f>AU1984*Settings!$C$13*(AU1948)</f>
        <v/>
      </c>
      <c r="AV2029" s="44">
        <f>AV1984*Settings!$C$13*(AV1948)</f>
        <v/>
      </c>
      <c r="AW2029" s="44">
        <f>AW1984*Settings!$C$13*(AW1948)</f>
        <v/>
      </c>
      <c r="AX2029" s="44">
        <f>AX1984*Settings!$C$13*(AX1948)</f>
        <v/>
      </c>
      <c r="AY2029" s="44">
        <f>AY1984*Settings!$C$13*(AY1948)</f>
        <v/>
      </c>
      <c r="AZ2029" s="44">
        <f>AZ1984*Settings!$C$13*(AZ1948)</f>
        <v/>
      </c>
      <c r="BA2029" s="57">
        <f>REVENUE(BA1984,Settings!$C$13,BA1948)</f>
        <v/>
      </c>
    </row>
    <row r="2030" hidden="1" outlineLevel="2">
      <c r="A2030" s="14" t="inlineStr">
        <is>
          <t>rxcp</t>
        </is>
      </c>
      <c r="B2030" s="14" t="inlineStr">
        <is>
          <t>lpg</t>
        </is>
      </c>
      <c r="C2030" s="14" t="inlineStr">
        <is>
          <t>mch</t>
        </is>
      </c>
      <c r="D2030" s="39" t="n"/>
      <c r="E2030" s="39" t="n"/>
      <c r="F2030" s="39" t="n"/>
      <c r="G2030" s="39" t="n"/>
      <c r="H2030" s="14">
        <f>INDEX(VarLab,MATCH($A2030,VarKey,0))&amp;INDEX(MemLab,MATCH($C2030&amp;"|"&amp;$B2030,MemKey,0))</f>
        <v/>
      </c>
      <c r="I2030" s="14">
        <f>INDEX(VarUnit,MATCH($A2030,VarKey,0))</f>
        <v/>
      </c>
      <c r="J2030" s="14">
        <f>INDEX(VarSrc,MATCH($A2030,VarKey,0))</f>
        <v/>
      </c>
      <c r="K2030" s="11">
        <f>CodePrefix&amp;$A2030&amp;IF($C2030="","","."&amp;$C2030&amp;"."&amp;$B2030)&amp;INDEX(VarEnd,MATCH($A2030,VarKey,0))&amp;K$5</f>
        <v/>
      </c>
      <c r="L2030" s="43">
        <f>L1985*Settings!$C$13*(L1949)</f>
        <v/>
      </c>
      <c r="M2030" s="44">
        <f>M1985*Settings!$C$13*(M1949)</f>
        <v/>
      </c>
      <c r="N2030" s="44">
        <f>N1985*Settings!$C$13*(N1949)</f>
        <v/>
      </c>
      <c r="O2030" s="44">
        <f>O1985*Settings!$C$13*(O1949)</f>
        <v/>
      </c>
      <c r="P2030" s="44">
        <f>P1985*Settings!$C$13*(P1949)</f>
        <v/>
      </c>
      <c r="Q2030" s="44">
        <f>Q1985*Settings!$C$13*(Q1949)</f>
        <v/>
      </c>
      <c r="R2030" s="44">
        <f>R1985*Settings!$C$13*(R1949)</f>
        <v/>
      </c>
      <c r="S2030" s="44">
        <f>S1985*Settings!$C$13*(S1949)</f>
        <v/>
      </c>
      <c r="T2030" s="44">
        <f>T1985*Settings!$C$13*(T1949)</f>
        <v/>
      </c>
      <c r="U2030" s="44">
        <f>U1985*Settings!$C$13*(U1949)</f>
        <v/>
      </c>
      <c r="V2030" s="44">
        <f>V1985*Settings!$C$13*(V1949)</f>
        <v/>
      </c>
      <c r="W2030" s="44">
        <f>W1985*Settings!$C$13*(W1949)</f>
        <v/>
      </c>
      <c r="X2030" s="44">
        <f>X1985*Settings!$C$13*(X1949)</f>
        <v/>
      </c>
      <c r="Y2030" s="44">
        <f>Y1985*Settings!$C$13*(Y1949)</f>
        <v/>
      </c>
      <c r="Z2030" s="44">
        <f>Z1985*Settings!$C$13*(Z1949)</f>
        <v/>
      </c>
      <c r="AA2030" s="44">
        <f>AA1985*Settings!$C$13*(AA1949)</f>
        <v/>
      </c>
      <c r="AB2030" s="44">
        <f>AB1985*Settings!$C$13*(AB1949)</f>
        <v/>
      </c>
      <c r="AC2030" s="44">
        <f>AC1985*Settings!$C$13*(AC1949)</f>
        <v/>
      </c>
      <c r="AD2030" s="44">
        <f>AD1985*Settings!$C$13*(AD1949)</f>
        <v/>
      </c>
      <c r="AE2030" s="57">
        <f>REVENUE(AE1985,Settings!$C$13,AE1949)</f>
        <v/>
      </c>
      <c r="AG2030" s="11">
        <f>CodePrefix&amp;$A2030&amp;IF($C2030="","","."&amp;$C2030&amp;"."&amp;$B2030)&amp;INDEX(VarEnd,MATCH($A2030,VarKey,0))&amp;AG$5</f>
        <v/>
      </c>
      <c r="AH2030" s="43">
        <f>AH1985*Settings!$C$13*(AH1949)</f>
        <v/>
      </c>
      <c r="AI2030" s="44">
        <f>AI1985*Settings!$C$13*(AI1949)</f>
        <v/>
      </c>
      <c r="AJ2030" s="44">
        <f>AJ1985*Settings!$C$13*(AJ1949)</f>
        <v/>
      </c>
      <c r="AK2030" s="44">
        <f>AK1985*Settings!$C$13*(AK1949)</f>
        <v/>
      </c>
      <c r="AL2030" s="44">
        <f>AL1985*Settings!$C$13*(AL1949)</f>
        <v/>
      </c>
      <c r="AM2030" s="44">
        <f>AM1985*Settings!$C$13*(AM1949)</f>
        <v/>
      </c>
      <c r="AN2030" s="44">
        <f>AN1985*Settings!$C$13*(AN1949)</f>
        <v/>
      </c>
      <c r="AO2030" s="44">
        <f>AO1985*Settings!$C$13*(AO1949)</f>
        <v/>
      </c>
      <c r="AP2030" s="44">
        <f>AP1985*Settings!$C$13*(AP1949)</f>
        <v/>
      </c>
      <c r="AQ2030" s="44">
        <f>AQ1985*Settings!$C$13*(AQ1949)</f>
        <v/>
      </c>
      <c r="AR2030" s="44">
        <f>AR1985*Settings!$C$13*(AR1949)</f>
        <v/>
      </c>
      <c r="AS2030" s="44">
        <f>AS1985*Settings!$C$13*(AS1949)</f>
        <v/>
      </c>
      <c r="AT2030" s="44">
        <f>AT1985*Settings!$C$13*(AT1949)</f>
        <v/>
      </c>
      <c r="AU2030" s="44">
        <f>AU1985*Settings!$C$13*(AU1949)</f>
        <v/>
      </c>
      <c r="AV2030" s="44">
        <f>AV1985*Settings!$C$13*(AV1949)</f>
        <v/>
      </c>
      <c r="AW2030" s="44">
        <f>AW1985*Settings!$C$13*(AW1949)</f>
        <v/>
      </c>
      <c r="AX2030" s="44">
        <f>AX1985*Settings!$C$13*(AX1949)</f>
        <v/>
      </c>
      <c r="AY2030" s="44">
        <f>AY1985*Settings!$C$13*(AY1949)</f>
        <v/>
      </c>
      <c r="AZ2030" s="44">
        <f>AZ1985*Settings!$C$13*(AZ1949)</f>
        <v/>
      </c>
      <c r="BA2030" s="57">
        <f>REVENUE(BA1985,Settings!$C$13,BA1949)</f>
        <v/>
      </c>
    </row>
    <row r="2031" hidden="1" outlineLevel="2">
      <c r="A2031" s="14" t="inlineStr">
        <is>
          <t>rxcp</t>
        </is>
      </c>
      <c r="B2031" s="14" t="inlineStr">
        <is>
          <t>ker</t>
        </is>
      </c>
      <c r="C2031" s="14" t="inlineStr">
        <is>
          <t>mch</t>
        </is>
      </c>
      <c r="D2031" s="39" t="n"/>
      <c r="E2031" s="39" t="n"/>
      <c r="F2031" s="39" t="n"/>
      <c r="G2031" s="39" t="n"/>
      <c r="H2031" s="14">
        <f>INDEX(VarLab,MATCH($A2031,VarKey,0))&amp;INDEX(MemLab,MATCH($C2031&amp;"|"&amp;$B2031,MemKey,0))</f>
        <v/>
      </c>
      <c r="I2031" s="14">
        <f>INDEX(VarUnit,MATCH($A2031,VarKey,0))</f>
        <v/>
      </c>
      <c r="J2031" s="14">
        <f>INDEX(VarSrc,MATCH($A2031,VarKey,0))</f>
        <v/>
      </c>
      <c r="K2031" s="11">
        <f>CodePrefix&amp;$A2031&amp;IF($C2031="","","."&amp;$C2031&amp;"."&amp;$B2031)&amp;INDEX(VarEnd,MATCH($A2031,VarKey,0))&amp;K$5</f>
        <v/>
      </c>
      <c r="L2031" s="43">
        <f>L1986*Settings!$C$13*(L1950)</f>
        <v/>
      </c>
      <c r="M2031" s="44">
        <f>M1986*Settings!$C$13*(M1950)</f>
        <v/>
      </c>
      <c r="N2031" s="44">
        <f>N1986*Settings!$C$13*(N1950)</f>
        <v/>
      </c>
      <c r="O2031" s="44">
        <f>O1986*Settings!$C$13*(O1950)</f>
        <v/>
      </c>
      <c r="P2031" s="44">
        <f>P1986*Settings!$C$13*(P1950)</f>
        <v/>
      </c>
      <c r="Q2031" s="44">
        <f>Q1986*Settings!$C$13*(Q1950)</f>
        <v/>
      </c>
      <c r="R2031" s="44">
        <f>R1986*Settings!$C$13*(R1950)</f>
        <v/>
      </c>
      <c r="S2031" s="44">
        <f>S1986*Settings!$C$13*(S1950)</f>
        <v/>
      </c>
      <c r="T2031" s="44">
        <f>T1986*Settings!$C$13*(T1950)</f>
        <v/>
      </c>
      <c r="U2031" s="44">
        <f>U1986*Settings!$C$13*(U1950)</f>
        <v/>
      </c>
      <c r="V2031" s="44">
        <f>V1986*Settings!$C$13*(V1950)</f>
        <v/>
      </c>
      <c r="W2031" s="44">
        <f>W1986*Settings!$C$13*(W1950)</f>
        <v/>
      </c>
      <c r="X2031" s="44">
        <f>X1986*Settings!$C$13*(X1950)</f>
        <v/>
      </c>
      <c r="Y2031" s="44">
        <f>Y1986*Settings!$C$13*(Y1950)</f>
        <v/>
      </c>
      <c r="Z2031" s="44">
        <f>Z1986*Settings!$C$13*(Z1950)</f>
        <v/>
      </c>
      <c r="AA2031" s="44">
        <f>AA1986*Settings!$C$13*(AA1950)</f>
        <v/>
      </c>
      <c r="AB2031" s="44">
        <f>AB1986*Settings!$C$13*(AB1950)</f>
        <v/>
      </c>
      <c r="AC2031" s="44">
        <f>AC1986*Settings!$C$13*(AC1950)</f>
        <v/>
      </c>
      <c r="AD2031" s="44">
        <f>AD1986*Settings!$C$13*(AD1950)</f>
        <v/>
      </c>
      <c r="AE2031" s="57">
        <f>REVENUE(AE1986,Settings!$C$13,AE1950)</f>
        <v/>
      </c>
      <c r="AG2031" s="11">
        <f>CodePrefix&amp;$A2031&amp;IF($C2031="","","."&amp;$C2031&amp;"."&amp;$B2031)&amp;INDEX(VarEnd,MATCH($A2031,VarKey,0))&amp;AG$5</f>
        <v/>
      </c>
      <c r="AH2031" s="43">
        <f>AH1986*Settings!$C$13*(AH1950)</f>
        <v/>
      </c>
      <c r="AI2031" s="44">
        <f>AI1986*Settings!$C$13*(AI1950)</f>
        <v/>
      </c>
      <c r="AJ2031" s="44">
        <f>AJ1986*Settings!$C$13*(AJ1950)</f>
        <v/>
      </c>
      <c r="AK2031" s="44">
        <f>AK1986*Settings!$C$13*(AK1950)</f>
        <v/>
      </c>
      <c r="AL2031" s="44">
        <f>AL1986*Settings!$C$13*(AL1950)</f>
        <v/>
      </c>
      <c r="AM2031" s="44">
        <f>AM1986*Settings!$C$13*(AM1950)</f>
        <v/>
      </c>
      <c r="AN2031" s="44">
        <f>AN1986*Settings!$C$13*(AN1950)</f>
        <v/>
      </c>
      <c r="AO2031" s="44">
        <f>AO1986*Settings!$C$13*(AO1950)</f>
        <v/>
      </c>
      <c r="AP2031" s="44">
        <f>AP1986*Settings!$C$13*(AP1950)</f>
        <v/>
      </c>
      <c r="AQ2031" s="44">
        <f>AQ1986*Settings!$C$13*(AQ1950)</f>
        <v/>
      </c>
      <c r="AR2031" s="44">
        <f>AR1986*Settings!$C$13*(AR1950)</f>
        <v/>
      </c>
      <c r="AS2031" s="44">
        <f>AS1986*Settings!$C$13*(AS1950)</f>
        <v/>
      </c>
      <c r="AT2031" s="44">
        <f>AT1986*Settings!$C$13*(AT1950)</f>
        <v/>
      </c>
      <c r="AU2031" s="44">
        <f>AU1986*Settings!$C$13*(AU1950)</f>
        <v/>
      </c>
      <c r="AV2031" s="44">
        <f>AV1986*Settings!$C$13*(AV1950)</f>
        <v/>
      </c>
      <c r="AW2031" s="44">
        <f>AW1986*Settings!$C$13*(AW1950)</f>
        <v/>
      </c>
      <c r="AX2031" s="44">
        <f>AX1986*Settings!$C$13*(AX1950)</f>
        <v/>
      </c>
      <c r="AY2031" s="44">
        <f>AY1986*Settings!$C$13*(AY1950)</f>
        <v/>
      </c>
      <c r="AZ2031" s="44">
        <f>AZ1986*Settings!$C$13*(AZ1950)</f>
        <v/>
      </c>
      <c r="BA2031" s="57">
        <f>REVENUE(BA1986,Settings!$C$13,BA1950)</f>
        <v/>
      </c>
    </row>
    <row r="2032" hidden="1" outlineLevel="2">
      <c r="A2032" s="14" t="inlineStr">
        <is>
          <t>rxcp</t>
        </is>
      </c>
      <c r="B2032" s="14" t="inlineStr">
        <is>
          <t>oop</t>
        </is>
      </c>
      <c r="C2032" s="14" t="inlineStr">
        <is>
          <t>mch</t>
        </is>
      </c>
      <c r="D2032" s="39" t="n"/>
      <c r="E2032" s="39" t="n"/>
      <c r="F2032" s="39" t="n"/>
      <c r="G2032" s="39" t="n"/>
      <c r="H2032" s="14">
        <f>INDEX(VarLab,MATCH($A2032,VarKey,0))&amp;INDEX(MemLab,MATCH($C2032&amp;"|"&amp;$B2032,MemKey,0))</f>
        <v/>
      </c>
      <c r="I2032" s="14">
        <f>INDEX(VarUnit,MATCH($A2032,VarKey,0))</f>
        <v/>
      </c>
      <c r="J2032" s="14">
        <f>INDEX(VarSrc,MATCH($A2032,VarKey,0))</f>
        <v/>
      </c>
      <c r="K2032" s="11">
        <f>CodePrefix&amp;$A2032&amp;IF($C2032="","","."&amp;$C2032&amp;"."&amp;$B2032)&amp;INDEX(VarEnd,MATCH($A2032,VarKey,0))&amp;K$5</f>
        <v/>
      </c>
      <c r="L2032" s="43">
        <f>L1987*Settings!$C$13*(L1951)</f>
        <v/>
      </c>
      <c r="M2032" s="44">
        <f>M1987*Settings!$C$13*(M1951)</f>
        <v/>
      </c>
      <c r="N2032" s="44">
        <f>N1987*Settings!$C$13*(N1951)</f>
        <v/>
      </c>
      <c r="O2032" s="44">
        <f>O1987*Settings!$C$13*(O1951)</f>
        <v/>
      </c>
      <c r="P2032" s="44">
        <f>P1987*Settings!$C$13*(P1951)</f>
        <v/>
      </c>
      <c r="Q2032" s="44">
        <f>Q1987*Settings!$C$13*(Q1951)</f>
        <v/>
      </c>
      <c r="R2032" s="44">
        <f>R1987*Settings!$C$13*(R1951)</f>
        <v/>
      </c>
      <c r="S2032" s="44">
        <f>S1987*Settings!$C$13*(S1951)</f>
        <v/>
      </c>
      <c r="T2032" s="44">
        <f>T1987*Settings!$C$13*(T1951)</f>
        <v/>
      </c>
      <c r="U2032" s="44">
        <f>U1987*Settings!$C$13*(U1951)</f>
        <v/>
      </c>
      <c r="V2032" s="44">
        <f>V1987*Settings!$C$13*(V1951)</f>
        <v/>
      </c>
      <c r="W2032" s="44">
        <f>W1987*Settings!$C$13*(W1951)</f>
        <v/>
      </c>
      <c r="X2032" s="44">
        <f>X1987*Settings!$C$13*(X1951)</f>
        <v/>
      </c>
      <c r="Y2032" s="44">
        <f>Y1987*Settings!$C$13*(Y1951)</f>
        <v/>
      </c>
      <c r="Z2032" s="44">
        <f>Z1987*Settings!$C$13*(Z1951)</f>
        <v/>
      </c>
      <c r="AA2032" s="44">
        <f>AA1987*Settings!$C$13*(AA1951)</f>
        <v/>
      </c>
      <c r="AB2032" s="44">
        <f>AB1987*Settings!$C$13*(AB1951)</f>
        <v/>
      </c>
      <c r="AC2032" s="44">
        <f>AC1987*Settings!$C$13*(AC1951)</f>
        <v/>
      </c>
      <c r="AD2032" s="44">
        <f>AD1987*Settings!$C$13*(AD1951)</f>
        <v/>
      </c>
      <c r="AE2032" s="57">
        <f>REVENUE(AE1987,Settings!$C$13,AE1951)</f>
        <v/>
      </c>
      <c r="AG2032" s="11">
        <f>CodePrefix&amp;$A2032&amp;IF($C2032="","","."&amp;$C2032&amp;"."&amp;$B2032)&amp;INDEX(VarEnd,MATCH($A2032,VarKey,0))&amp;AG$5</f>
        <v/>
      </c>
      <c r="AH2032" s="43">
        <f>AH1987*Settings!$C$13*(AH1951)</f>
        <v/>
      </c>
      <c r="AI2032" s="44">
        <f>AI1987*Settings!$C$13*(AI1951)</f>
        <v/>
      </c>
      <c r="AJ2032" s="44">
        <f>AJ1987*Settings!$C$13*(AJ1951)</f>
        <v/>
      </c>
      <c r="AK2032" s="44">
        <f>AK1987*Settings!$C$13*(AK1951)</f>
        <v/>
      </c>
      <c r="AL2032" s="44">
        <f>AL1987*Settings!$C$13*(AL1951)</f>
        <v/>
      </c>
      <c r="AM2032" s="44">
        <f>AM1987*Settings!$C$13*(AM1951)</f>
        <v/>
      </c>
      <c r="AN2032" s="44">
        <f>AN1987*Settings!$C$13*(AN1951)</f>
        <v/>
      </c>
      <c r="AO2032" s="44">
        <f>AO1987*Settings!$C$13*(AO1951)</f>
        <v/>
      </c>
      <c r="AP2032" s="44">
        <f>AP1987*Settings!$C$13*(AP1951)</f>
        <v/>
      </c>
      <c r="AQ2032" s="44">
        <f>AQ1987*Settings!$C$13*(AQ1951)</f>
        <v/>
      </c>
      <c r="AR2032" s="44">
        <f>AR1987*Settings!$C$13*(AR1951)</f>
        <v/>
      </c>
      <c r="AS2032" s="44">
        <f>AS1987*Settings!$C$13*(AS1951)</f>
        <v/>
      </c>
      <c r="AT2032" s="44">
        <f>AT1987*Settings!$C$13*(AT1951)</f>
        <v/>
      </c>
      <c r="AU2032" s="44">
        <f>AU1987*Settings!$C$13*(AU1951)</f>
        <v/>
      </c>
      <c r="AV2032" s="44">
        <f>AV1987*Settings!$C$13*(AV1951)</f>
        <v/>
      </c>
      <c r="AW2032" s="44">
        <f>AW1987*Settings!$C$13*(AW1951)</f>
        <v/>
      </c>
      <c r="AX2032" s="44">
        <f>AX1987*Settings!$C$13*(AX1951)</f>
        <v/>
      </c>
      <c r="AY2032" s="44">
        <f>AY1987*Settings!$C$13*(AY1951)</f>
        <v/>
      </c>
      <c r="AZ2032" s="44">
        <f>AZ1987*Settings!$C$13*(AZ1951)</f>
        <v/>
      </c>
      <c r="BA2032" s="57">
        <f>REVENUE(BA1987,Settings!$C$13,BA1951)</f>
        <v/>
      </c>
    </row>
    <row r="2033" hidden="1" outlineLevel="2">
      <c r="A2033" s="14" t="inlineStr">
        <is>
          <t>rxcp</t>
        </is>
      </c>
      <c r="B2033" s="14" t="inlineStr">
        <is>
          <t>bio</t>
        </is>
      </c>
      <c r="C2033" s="14" t="inlineStr">
        <is>
          <t>mch</t>
        </is>
      </c>
      <c r="D2033" s="39" t="n"/>
      <c r="E2033" s="39" t="n"/>
      <c r="F2033" s="39" t="n"/>
      <c r="G2033" s="39" t="n"/>
      <c r="H2033" s="14">
        <f>INDEX(VarLab,MATCH($A2033,VarKey,0))&amp;INDEX(MemLab,MATCH($C2033&amp;"|"&amp;$B2033,MemKey,0))</f>
        <v/>
      </c>
      <c r="I2033" s="14">
        <f>INDEX(VarUnit,MATCH($A2033,VarKey,0))</f>
        <v/>
      </c>
      <c r="J2033" s="14">
        <f>INDEX(VarSrc,MATCH($A2033,VarKey,0))</f>
        <v/>
      </c>
      <c r="K2033" s="11">
        <f>CodePrefix&amp;$A2033&amp;IF($C2033="","","."&amp;$C2033&amp;"."&amp;$B2033)&amp;INDEX(VarEnd,MATCH($A2033,VarKey,0))&amp;K$5</f>
        <v/>
      </c>
      <c r="L2033" s="43">
        <f>L1988*Settings!$C$13*(L1952)</f>
        <v/>
      </c>
      <c r="M2033" s="44">
        <f>M1988*Settings!$C$13*(M1952)</f>
        <v/>
      </c>
      <c r="N2033" s="44">
        <f>N1988*Settings!$C$13*(N1952)</f>
        <v/>
      </c>
      <c r="O2033" s="44">
        <f>O1988*Settings!$C$13*(O1952)</f>
        <v/>
      </c>
      <c r="P2033" s="44">
        <f>P1988*Settings!$C$13*(P1952)</f>
        <v/>
      </c>
      <c r="Q2033" s="44">
        <f>Q1988*Settings!$C$13*(Q1952)</f>
        <v/>
      </c>
      <c r="R2033" s="44">
        <f>R1988*Settings!$C$13*(R1952)</f>
        <v/>
      </c>
      <c r="S2033" s="44">
        <f>S1988*Settings!$C$13*(S1952)</f>
        <v/>
      </c>
      <c r="T2033" s="44">
        <f>T1988*Settings!$C$13*(T1952)</f>
        <v/>
      </c>
      <c r="U2033" s="44">
        <f>U1988*Settings!$C$13*(U1952)</f>
        <v/>
      </c>
      <c r="V2033" s="44">
        <f>V1988*Settings!$C$13*(V1952)</f>
        <v/>
      </c>
      <c r="W2033" s="44">
        <f>W1988*Settings!$C$13*(W1952)</f>
        <v/>
      </c>
      <c r="X2033" s="44">
        <f>X1988*Settings!$C$13*(X1952)</f>
        <v/>
      </c>
      <c r="Y2033" s="44">
        <f>Y1988*Settings!$C$13*(Y1952)</f>
        <v/>
      </c>
      <c r="Z2033" s="44">
        <f>Z1988*Settings!$C$13*(Z1952)</f>
        <v/>
      </c>
      <c r="AA2033" s="44">
        <f>AA1988*Settings!$C$13*(AA1952)</f>
        <v/>
      </c>
      <c r="AB2033" s="44">
        <f>AB1988*Settings!$C$13*(AB1952)</f>
        <v/>
      </c>
      <c r="AC2033" s="44">
        <f>AC1988*Settings!$C$13*(AC1952)</f>
        <v/>
      </c>
      <c r="AD2033" s="44">
        <f>AD1988*Settings!$C$13*(AD1952)</f>
        <v/>
      </c>
      <c r="AE2033" s="57">
        <f>REVENUE(AE1988,Settings!$C$13,AE1952)</f>
        <v/>
      </c>
      <c r="AG2033" s="11">
        <f>CodePrefix&amp;$A2033&amp;IF($C2033="","","."&amp;$C2033&amp;"."&amp;$B2033)&amp;INDEX(VarEnd,MATCH($A2033,VarKey,0))&amp;AG$5</f>
        <v/>
      </c>
      <c r="AH2033" s="43">
        <f>AH1988*Settings!$C$13*(AH1952)</f>
        <v/>
      </c>
      <c r="AI2033" s="44">
        <f>AI1988*Settings!$C$13*(AI1952)</f>
        <v/>
      </c>
      <c r="AJ2033" s="44">
        <f>AJ1988*Settings!$C$13*(AJ1952)</f>
        <v/>
      </c>
      <c r="AK2033" s="44">
        <f>AK1988*Settings!$C$13*(AK1952)</f>
        <v/>
      </c>
      <c r="AL2033" s="44">
        <f>AL1988*Settings!$C$13*(AL1952)</f>
        <v/>
      </c>
      <c r="AM2033" s="44">
        <f>AM1988*Settings!$C$13*(AM1952)</f>
        <v/>
      </c>
      <c r="AN2033" s="44">
        <f>AN1988*Settings!$C$13*(AN1952)</f>
        <v/>
      </c>
      <c r="AO2033" s="44">
        <f>AO1988*Settings!$C$13*(AO1952)</f>
        <v/>
      </c>
      <c r="AP2033" s="44">
        <f>AP1988*Settings!$C$13*(AP1952)</f>
        <v/>
      </c>
      <c r="AQ2033" s="44">
        <f>AQ1988*Settings!$C$13*(AQ1952)</f>
        <v/>
      </c>
      <c r="AR2033" s="44">
        <f>AR1988*Settings!$C$13*(AR1952)</f>
        <v/>
      </c>
      <c r="AS2033" s="44">
        <f>AS1988*Settings!$C$13*(AS1952)</f>
        <v/>
      </c>
      <c r="AT2033" s="44">
        <f>AT1988*Settings!$C$13*(AT1952)</f>
        <v/>
      </c>
      <c r="AU2033" s="44">
        <f>AU1988*Settings!$C$13*(AU1952)</f>
        <v/>
      </c>
      <c r="AV2033" s="44">
        <f>AV1988*Settings!$C$13*(AV1952)</f>
        <v/>
      </c>
      <c r="AW2033" s="44">
        <f>AW1988*Settings!$C$13*(AW1952)</f>
        <v/>
      </c>
      <c r="AX2033" s="44">
        <f>AX1988*Settings!$C$13*(AX1952)</f>
        <v/>
      </c>
      <c r="AY2033" s="44">
        <f>AY1988*Settings!$C$13*(AY1952)</f>
        <v/>
      </c>
      <c r="AZ2033" s="44">
        <f>AZ1988*Settings!$C$13*(AZ1952)</f>
        <v/>
      </c>
      <c r="BA2033" s="57">
        <f>REVENUE(BA1988,Settings!$C$13,BA1952)</f>
        <v/>
      </c>
    </row>
    <row r="2034" hidden="1" outlineLevel="2"/>
    <row r="2035" hidden="1" outlineLevel="1" collapsed="1">
      <c r="A2035" s="1" t="inlineStr">
        <is>
          <t>ener</t>
        </is>
      </c>
      <c r="B2035" s="1" t="inlineStr">
        <is>
          <t>all</t>
        </is>
      </c>
      <c r="C2035" s="1" t="inlineStr">
        <is>
          <t>irn</t>
        </is>
      </c>
      <c r="H2035" s="1">
        <f>INDEX(VarLab,MATCH($A2035,VarKey,0))&amp;INDEX(MemLab,MATCH($C2035&amp;"|"&amp;$B2035,MemKey,0))</f>
        <v/>
      </c>
      <c r="I2035" s="1">
        <f>INDEX(VarUnit,MATCH($A2035,VarKey,0))</f>
        <v/>
      </c>
      <c r="J2035" s="1">
        <f>INDEX(VarSrc,MATCH($A2035,VarKey,0))</f>
        <v/>
      </c>
      <c r="K2035" s="17">
        <f>CodePrefix&amp;$A2035&amp;IF($C2035="","","."&amp;$C2035&amp;"."&amp;$B2035)&amp;INDEX(VarEnd,MATCH($A2035,VarKey,0))&amp;K$5</f>
        <v/>
      </c>
      <c r="L2035" s="68">
        <f>SUM(L2109:L2116)</f>
        <v/>
      </c>
      <c r="M2035" s="69">
        <f>SUM(M2109:M2116)</f>
        <v/>
      </c>
      <c r="N2035" s="69">
        <f>SUM(N2109:N2116)</f>
        <v/>
      </c>
      <c r="O2035" s="69">
        <f>SUM(O2109:O2116)</f>
        <v/>
      </c>
      <c r="P2035" s="69">
        <f>SUM(P2109:P2116)</f>
        <v/>
      </c>
      <c r="Q2035" s="69">
        <f>SUM(Q2109:Q2116)</f>
        <v/>
      </c>
      <c r="R2035" s="69">
        <f>SUM(R2109:R2116)</f>
        <v/>
      </c>
      <c r="S2035" s="69">
        <f>SUM(S2109:S2116)</f>
        <v/>
      </c>
      <c r="T2035" s="69">
        <f>SUM(T2109:T2116)</f>
        <v/>
      </c>
      <c r="U2035" s="69">
        <f>SUM(U2109:U2116)</f>
        <v/>
      </c>
      <c r="V2035" s="69">
        <f>SUM(V2109:V2116)</f>
        <v/>
      </c>
      <c r="W2035" s="69">
        <f>SUM(W2109:W2116)</f>
        <v/>
      </c>
      <c r="X2035" s="69">
        <f>SUM(X2109:X2116)</f>
        <v/>
      </c>
      <c r="Y2035" s="69">
        <f>SUM(Y2109:Y2116)</f>
        <v/>
      </c>
      <c r="Z2035" s="69">
        <f>SUM(Z2109:Z2116)</f>
        <v/>
      </c>
      <c r="AA2035" s="69">
        <f>SUM(AA2109:AA2116)</f>
        <v/>
      </c>
      <c r="AB2035" s="69">
        <f>SUM(AB2109:AB2116)</f>
        <v/>
      </c>
      <c r="AC2035" s="69">
        <f>SUM(AC2109:AC2116)</f>
        <v/>
      </c>
      <c r="AD2035" s="69">
        <f>SUM(AD2109:AD2116)</f>
        <v/>
      </c>
      <c r="AE2035" s="69">
        <f>SUM(AE2109:AE2116)</f>
        <v/>
      </c>
      <c r="AG2035" s="17">
        <f>CodePrefix&amp;$A2035&amp;IF($C2035="","","."&amp;$C2035&amp;"."&amp;$B2035)&amp;INDEX(VarEnd,MATCH($A2035,VarKey,0))&amp;AG$5</f>
        <v/>
      </c>
      <c r="AH2035" s="68">
        <f>SUM(AH2109:AH2116)</f>
        <v/>
      </c>
      <c r="AI2035" s="69">
        <f>SUM(AI2109:AI2116)</f>
        <v/>
      </c>
      <c r="AJ2035" s="69">
        <f>SUM(AJ2109:AJ2116)</f>
        <v/>
      </c>
      <c r="AK2035" s="69">
        <f>SUM(AK2109:AK2116)</f>
        <v/>
      </c>
      <c r="AL2035" s="69">
        <f>SUM(AL2109:AL2116)</f>
        <v/>
      </c>
      <c r="AM2035" s="69">
        <f>SUM(AM2109:AM2116)</f>
        <v/>
      </c>
      <c r="AN2035" s="69">
        <f>SUM(AN2109:AN2116)</f>
        <v/>
      </c>
      <c r="AO2035" s="69">
        <f>SUM(AO2109:AO2116)</f>
        <v/>
      </c>
      <c r="AP2035" s="69">
        <f>SUM(AP2109:AP2116)</f>
        <v/>
      </c>
      <c r="AQ2035" s="69">
        <f>SUM(AQ2109:AQ2116)</f>
        <v/>
      </c>
      <c r="AR2035" s="69">
        <f>SUM(AR2109:AR2116)</f>
        <v/>
      </c>
      <c r="AS2035" s="69">
        <f>SUM(AS2109:AS2116)</f>
        <v/>
      </c>
      <c r="AT2035" s="69">
        <f>SUM(AT2109:AT2116)</f>
        <v/>
      </c>
      <c r="AU2035" s="69">
        <f>SUM(AU2109:AU2116)</f>
        <v/>
      </c>
      <c r="AV2035" s="69">
        <f>SUM(AV2109:AV2116)</f>
        <v/>
      </c>
      <c r="AW2035" s="69">
        <f>SUM(AW2109:AW2116)</f>
        <v/>
      </c>
      <c r="AX2035" s="69">
        <f>SUM(AX2109:AX2116)</f>
        <v/>
      </c>
      <c r="AY2035" s="69">
        <f>SUM(AY2109:AY2116)</f>
        <v/>
      </c>
      <c r="AZ2035" s="69">
        <f>SUM(AZ2109:AZ2116)</f>
        <v/>
      </c>
      <c r="BA2035" s="69">
        <f>SUM(BA2109:BA2116)</f>
        <v/>
      </c>
    </row>
    <row r="2036" hidden="1" outlineLevel="1">
      <c r="A2036" s="67" t="inlineStr">
        <is>
          <t>eldem</t>
        </is>
      </c>
      <c r="B2036" s="67" t="inlineStr">
        <is>
          <t>ecy</t>
        </is>
      </c>
      <c r="C2036" s="67" t="inlineStr">
        <is>
          <t>irn</t>
        </is>
      </c>
      <c r="H2036" s="67">
        <f>INDEX(VarLab,MATCH($A2036,VarKey,0))&amp;INDEX(MemLab,MATCH($C2036&amp;"|"&amp;$B2036,MemKey,0))</f>
        <v/>
      </c>
      <c r="I2036" s="67">
        <f>INDEX(VarUnit,MATCH($A2036,VarKey,0))</f>
        <v/>
      </c>
      <c r="J2036" s="67">
        <f>INDEX(VarSrc,MATCH($A2036,VarKey,0))</f>
        <v/>
      </c>
      <c r="K2036" s="70">
        <f>CodePrefix&amp;$A2036&amp;IF($C2036="","","."&amp;$C2036&amp;"."&amp;$B2036)&amp;INDEX(VarEnd,MATCH($A2036,VarKey,0))&amp;K$5</f>
        <v/>
      </c>
      <c r="L2036" s="71">
        <f>SUMIF($C$674:$C$688,$C2036,L$674:L$688)</f>
        <v/>
      </c>
      <c r="M2036" s="72">
        <f>SUMIF($C$674:$C$688,$C2036,M$674:M$688)</f>
        <v/>
      </c>
      <c r="N2036" s="72">
        <f>SUMIF($C$674:$C$688,$C2036,N$674:N$688)</f>
        <v/>
      </c>
      <c r="O2036" s="72">
        <f>SUMIF($C$674:$C$688,$C2036,O$674:O$688)</f>
        <v/>
      </c>
      <c r="P2036" s="72">
        <f>SUMIF($C$674:$C$688,$C2036,P$674:P$688)</f>
        <v/>
      </c>
      <c r="Q2036" s="72">
        <f>SUMIF($C$674:$C$688,$C2036,Q$674:Q$688)</f>
        <v/>
      </c>
      <c r="R2036" s="72">
        <f>SUMIF($C$674:$C$688,$C2036,R$674:R$688)</f>
        <v/>
      </c>
      <c r="S2036" s="72">
        <f>SUMIF($C$674:$C$688,$C2036,S$674:S$688)</f>
        <v/>
      </c>
      <c r="T2036" s="72">
        <f>SUMIF($C$674:$C$688,$C2036,T$674:T$688)</f>
        <v/>
      </c>
      <c r="U2036" s="72">
        <f>SUMIF($C$674:$C$688,$C2036,U$674:U$688)</f>
        <v/>
      </c>
      <c r="V2036" s="72">
        <f>SUMIF($C$674:$C$688,$C2036,V$674:V$688)</f>
        <v/>
      </c>
      <c r="W2036" s="72">
        <f>SUMIF($C$674:$C$688,$C2036,W$674:W$688)</f>
        <v/>
      </c>
      <c r="X2036" s="72">
        <f>SUMIF($C$674:$C$688,$C2036,X$674:X$688)</f>
        <v/>
      </c>
      <c r="Y2036" s="72">
        <f>SUMIF($C$674:$C$688,$C2036,Y$674:Y$688)</f>
        <v/>
      </c>
      <c r="Z2036" s="72">
        <f>SUMIF($C$674:$C$688,$C2036,Z$674:Z$688)</f>
        <v/>
      </c>
      <c r="AA2036" s="72">
        <f>SUMIF($C$674:$C$688,$C2036,AA$674:AA$688)</f>
        <v/>
      </c>
      <c r="AB2036" s="72">
        <f>SUMIF($C$674:$C$688,$C2036,AB$674:AB$688)</f>
        <v/>
      </c>
      <c r="AC2036" s="72">
        <f>SUMIF($C$674:$C$688,$C2036,AC$674:AC$688)</f>
        <v/>
      </c>
      <c r="AD2036" s="72">
        <f>SUMIF($C$674:$C$688,$C2036,AD$674:AD$688)</f>
        <v/>
      </c>
      <c r="AE2036" s="72">
        <f>SUMIF($C$674:$C$688,$C2036,AE$674:AE$688)</f>
        <v/>
      </c>
      <c r="AG2036" s="70">
        <f>CodePrefix&amp;$A2036&amp;IF($C2036="","","."&amp;$C2036&amp;"."&amp;$B2036)&amp;INDEX(VarEnd,MATCH($A2036,VarKey,0))&amp;AG$5</f>
        <v/>
      </c>
      <c r="AH2036" s="71">
        <f>SUMIF($C$674:$C$688,$C2036,AH$674:AH$688)</f>
        <v/>
      </c>
      <c r="AI2036" s="72">
        <f>SUMIF($C$674:$C$688,$C2036,AI$674:AI$688)</f>
        <v/>
      </c>
      <c r="AJ2036" s="72">
        <f>SUMIF($C$674:$C$688,$C2036,AJ$674:AJ$688)</f>
        <v/>
      </c>
      <c r="AK2036" s="72">
        <f>SUMIF($C$674:$C$688,$C2036,AK$674:AK$688)</f>
        <v/>
      </c>
      <c r="AL2036" s="72">
        <f>SUMIF($C$674:$C$688,$C2036,AL$674:AL$688)</f>
        <v/>
      </c>
      <c r="AM2036" s="72">
        <f>SUMIF($C$674:$C$688,$C2036,AM$674:AM$688)</f>
        <v/>
      </c>
      <c r="AN2036" s="72">
        <f>SUMIF($C$674:$C$688,$C2036,AN$674:AN$688)</f>
        <v/>
      </c>
      <c r="AO2036" s="72">
        <f>SUMIF($C$674:$C$688,$C2036,AO$674:AO$688)</f>
        <v/>
      </c>
      <c r="AP2036" s="72">
        <f>SUMIF($C$674:$C$688,$C2036,AP$674:AP$688)</f>
        <v/>
      </c>
      <c r="AQ2036" s="72">
        <f>SUMIF($C$674:$C$688,$C2036,AQ$674:AQ$688)</f>
        <v/>
      </c>
      <c r="AR2036" s="72">
        <f>SUMIF($C$674:$C$688,$C2036,AR$674:AR$688)</f>
        <v/>
      </c>
      <c r="AS2036" s="72">
        <f>SUMIF($C$674:$C$688,$C2036,AS$674:AS$688)</f>
        <v/>
      </c>
      <c r="AT2036" s="72">
        <f>SUMIF($C$674:$C$688,$C2036,AT$674:AT$688)</f>
        <v/>
      </c>
      <c r="AU2036" s="72">
        <f>SUMIF($C$674:$C$688,$C2036,AU$674:AU$688)</f>
        <v/>
      </c>
      <c r="AV2036" s="72">
        <f>SUMIF($C$674:$C$688,$C2036,AV$674:AV$688)</f>
        <v/>
      </c>
      <c r="AW2036" s="72">
        <f>SUMIF($C$674:$C$688,$C2036,AW$674:AW$688)</f>
        <v/>
      </c>
      <c r="AX2036" s="72">
        <f>SUMIF($C$674:$C$688,$C2036,AX$674:AX$688)</f>
        <v/>
      </c>
      <c r="AY2036" s="72">
        <f>SUMIF($C$674:$C$688,$C2036,AY$674:AY$688)</f>
        <v/>
      </c>
      <c r="AZ2036" s="72">
        <f>SUMIF($C$674:$C$688,$C2036,AZ$674:AZ$688)</f>
        <v/>
      </c>
      <c r="BA2036" s="72">
        <f>SUMIF($C$674:$C$688,$C2036,BA$674:BA$688)</f>
        <v/>
      </c>
    </row>
    <row r="2037" hidden="1" outlineLevel="2">
      <c r="A2037" s="14" t="inlineStr">
        <is>
          <t>ctxnew</t>
        </is>
      </c>
      <c r="B2037" s="14" t="inlineStr">
        <is>
          <t>coa</t>
        </is>
      </c>
      <c r="C2037" s="14" t="inlineStr">
        <is>
          <t>irn</t>
        </is>
      </c>
      <c r="D2037" s="35">
        <f>INDEX(Inputs!$W$5:$W$132,MATCH($B2037&amp;"|"&amp;$C2037,Inputs!$A$5:$A$132,0))</f>
        <v/>
      </c>
      <c r="E2037" s="35">
        <f>INDEX(Inputs!$L$5:$L$132,MATCH($B2037&amp;"|"&amp;$C2037,Inputs!$A$5:$A$132,0))</f>
        <v/>
      </c>
      <c r="F2037" s="35">
        <f>INDEX(Inputs!$M$5:$M$132,MATCH($B2037&amp;"|"&amp;$C2037,Inputs!$A$5:$A$132,0))</f>
        <v/>
      </c>
      <c r="G2037" s="39" t="n"/>
      <c r="H2037" s="14">
        <f>INDEX(VarLab,MATCH($A2037,VarKey,0))&amp;INDEX(MemLab,MATCH($C2037&amp;"|"&amp;$B2037,MemKey,0))</f>
        <v/>
      </c>
      <c r="I2037" s="14">
        <f>INDEX(VarUnit,MATCH($A2037,VarKey,0))</f>
        <v/>
      </c>
      <c r="J2037" s="14">
        <f>INDEX(VarSrc,MATCH($A2037,VarKey,0))</f>
        <v/>
      </c>
      <c r="K2037" s="11">
        <f>CodePrefix&amp;$A2037&amp;IF($C2037="","","."&amp;$C2037&amp;"."&amp;$B2037)&amp;INDEX(VarEnd,MATCH($A2037,VarKey,0))&amp;K$5</f>
        <v/>
      </c>
      <c r="L2037" s="40">
        <f>INDEX(L$263:L$279,$F2037)*$D2037*INDEX(L$23:L$30,$E2037)</f>
        <v/>
      </c>
      <c r="M2037" s="35">
        <f>INDEX(M$263:M$279,$F2037)*$D2037*INDEX(M$23:M$30,$E2037)</f>
        <v/>
      </c>
      <c r="N2037" s="35">
        <f>INDEX(N$263:N$279,$F2037)*$D2037*INDEX(N$23:N$30,$E2037)</f>
        <v/>
      </c>
      <c r="O2037" s="35">
        <f>INDEX(O$263:O$279,$F2037)*$D2037*INDEX(O$23:O$30,$E2037)</f>
        <v/>
      </c>
      <c r="P2037" s="35">
        <f>INDEX(P$263:P$279,$F2037)*$D2037*INDEX(P$23:P$30,$E2037)</f>
        <v/>
      </c>
      <c r="Q2037" s="35">
        <f>INDEX(Q$263:Q$279,$F2037)*$D2037*INDEX(Q$23:Q$30,$E2037)</f>
        <v/>
      </c>
      <c r="R2037" s="35">
        <f>INDEX(R$263:R$279,$F2037)*$D2037*INDEX(R$23:R$30,$E2037)</f>
        <v/>
      </c>
      <c r="S2037" s="35">
        <f>INDEX(S$263:S$279,$F2037)*$D2037*INDEX(S$23:S$30,$E2037)</f>
        <v/>
      </c>
      <c r="T2037" s="35">
        <f>INDEX(T$263:T$279,$F2037)*$D2037*INDEX(T$23:T$30,$E2037)</f>
        <v/>
      </c>
      <c r="U2037" s="35">
        <f>INDEX(U$263:U$279,$F2037)*$D2037*INDEX(U$23:U$30,$E2037)</f>
        <v/>
      </c>
      <c r="V2037" s="35">
        <f>INDEX(V$263:V$279,$F2037)*$D2037*INDEX(V$23:V$30,$E2037)</f>
        <v/>
      </c>
      <c r="W2037" s="35">
        <f>INDEX(W$263:W$279,$F2037)*$D2037*INDEX(W$23:W$30,$E2037)</f>
        <v/>
      </c>
      <c r="X2037" s="35">
        <f>INDEX(X$263:X$279,$F2037)*$D2037*INDEX(X$23:X$30,$E2037)</f>
        <v/>
      </c>
      <c r="Y2037" s="35">
        <f>INDEX(Y$263:Y$279,$F2037)*$D2037*INDEX(Y$23:Y$30,$E2037)</f>
        <v/>
      </c>
      <c r="Z2037" s="35">
        <f>INDEX(Z$263:Z$279,$F2037)*$D2037*INDEX(Z$23:Z$30,$E2037)</f>
        <v/>
      </c>
      <c r="AA2037" s="35">
        <f>INDEX(AA$263:AA$279,$F2037)*$D2037*INDEX(AA$23:AA$30,$E2037)</f>
        <v/>
      </c>
      <c r="AB2037" s="35">
        <f>INDEX(AB$263:AB$279,$F2037)*$D2037*INDEX(AB$23:AB$30,$E2037)</f>
        <v/>
      </c>
      <c r="AC2037" s="35">
        <f>INDEX(AC$263:AC$279,$F2037)*$D2037*INDEX(AC$23:AC$30,$E2037)</f>
        <v/>
      </c>
      <c r="AD2037" s="35">
        <f>INDEX(AD$263:AD$279,$F2037)*$D2037*INDEX(AD$23:AD$30,$E2037)</f>
        <v/>
      </c>
      <c r="AE2037" s="42">
        <f>CARBONTAX(INDEX(AE$263:AE$279,$F2037),$D2037,INDEX(AE$23:AE$30,$E2037))</f>
        <v/>
      </c>
      <c r="AG2037" s="11">
        <f>CodePrefix&amp;$A2037&amp;IF($C2037="","","."&amp;$C2037&amp;"."&amp;$B2037)&amp;INDEX(VarEnd,MATCH($A2037,VarKey,0))&amp;AG$5</f>
        <v/>
      </c>
      <c r="AH2037" s="40">
        <f>INDEX(AH$263:AH$279,$F2037)*$D2037*INDEX(AH$23:AH$30,$E2037)</f>
        <v/>
      </c>
      <c r="AI2037" s="35">
        <f>INDEX(AI$263:AI$279,$F2037)*$D2037*INDEX(AI$23:AI$30,$E2037)</f>
        <v/>
      </c>
      <c r="AJ2037" s="35">
        <f>INDEX(AJ$263:AJ$279,$F2037)*$D2037*INDEX(AJ$23:AJ$30,$E2037)</f>
        <v/>
      </c>
      <c r="AK2037" s="35">
        <f>INDEX(AK$263:AK$279,$F2037)*$D2037*INDEX(AK$23:AK$30,$E2037)</f>
        <v/>
      </c>
      <c r="AL2037" s="35">
        <f>INDEX(AL$263:AL$279,$F2037)*$D2037*INDEX(AL$23:AL$30,$E2037)</f>
        <v/>
      </c>
      <c r="AM2037" s="35">
        <f>INDEX(AM$263:AM$279,$F2037)*$D2037*INDEX(AM$23:AM$30,$E2037)</f>
        <v/>
      </c>
      <c r="AN2037" s="35">
        <f>INDEX(AN$263:AN$279,$F2037)*$D2037*INDEX(AN$23:AN$30,$E2037)</f>
        <v/>
      </c>
      <c r="AO2037" s="35">
        <f>INDEX(AO$263:AO$279,$F2037)*$D2037*INDEX(AO$23:AO$30,$E2037)</f>
        <v/>
      </c>
      <c r="AP2037" s="35">
        <f>INDEX(AP$263:AP$279,$F2037)*$D2037*INDEX(AP$23:AP$30,$E2037)</f>
        <v/>
      </c>
      <c r="AQ2037" s="35">
        <f>INDEX(AQ$263:AQ$279,$F2037)*$D2037*INDEX(AQ$23:AQ$30,$E2037)</f>
        <v/>
      </c>
      <c r="AR2037" s="35">
        <f>INDEX(AR$263:AR$279,$F2037)*$D2037*INDEX(AR$23:AR$30,$E2037)</f>
        <v/>
      </c>
      <c r="AS2037" s="35">
        <f>INDEX(AS$263:AS$279,$F2037)*$D2037*INDEX(AS$23:AS$30,$E2037)</f>
        <v/>
      </c>
      <c r="AT2037" s="35">
        <f>INDEX(AT$263:AT$279,$F2037)*$D2037*INDEX(AT$23:AT$30,$E2037)</f>
        <v/>
      </c>
      <c r="AU2037" s="35">
        <f>INDEX(AU$263:AU$279,$F2037)*$D2037*INDEX(AU$23:AU$30,$E2037)</f>
        <v/>
      </c>
      <c r="AV2037" s="35">
        <f>INDEX(AV$263:AV$279,$F2037)*$D2037*INDEX(AV$23:AV$30,$E2037)</f>
        <v/>
      </c>
      <c r="AW2037" s="35">
        <f>INDEX(AW$263:AW$279,$F2037)*$D2037*INDEX(AW$23:AW$30,$E2037)</f>
        <v/>
      </c>
      <c r="AX2037" s="35">
        <f>INDEX(AX$263:AX$279,$F2037)*$D2037*INDEX(AX$23:AX$30,$E2037)</f>
        <v/>
      </c>
      <c r="AY2037" s="35">
        <f>INDEX(AY$263:AY$279,$F2037)*$D2037*INDEX(AY$23:AY$30,$E2037)</f>
        <v/>
      </c>
      <c r="AZ2037" s="35">
        <f>INDEX(AZ$263:AZ$279,$F2037)*$D2037*INDEX(AZ$23:AZ$30,$E2037)</f>
        <v/>
      </c>
      <c r="BA2037" s="42">
        <f>CARBONTAX(INDEX(BA$263:BA$279,$F2037),$D2037,INDEX(BA$23:BA$30,$E2037))</f>
        <v/>
      </c>
    </row>
    <row r="2038" hidden="1" outlineLevel="2">
      <c r="A2038" s="14" t="inlineStr">
        <is>
          <t>ctxnew</t>
        </is>
      </c>
      <c r="B2038" s="14" t="inlineStr">
        <is>
          <t>nga</t>
        </is>
      </c>
      <c r="C2038" s="14" t="inlineStr">
        <is>
          <t>irn</t>
        </is>
      </c>
      <c r="D2038" s="35">
        <f>INDEX(Inputs!$W$5:$W$132,MATCH($B2038&amp;"|"&amp;$C2038,Inputs!$A$5:$A$132,0))</f>
        <v/>
      </c>
      <c r="E2038" s="35">
        <f>INDEX(Inputs!$L$5:$L$132,MATCH($B2038&amp;"|"&amp;$C2038,Inputs!$A$5:$A$132,0))</f>
        <v/>
      </c>
      <c r="F2038" s="35">
        <f>INDEX(Inputs!$M$5:$M$132,MATCH($B2038&amp;"|"&amp;$C2038,Inputs!$A$5:$A$132,0))</f>
        <v/>
      </c>
      <c r="G2038" s="39" t="n"/>
      <c r="H2038" s="14">
        <f>INDEX(VarLab,MATCH($A2038,VarKey,0))&amp;INDEX(MemLab,MATCH($C2038&amp;"|"&amp;$B2038,MemKey,0))</f>
        <v/>
      </c>
      <c r="I2038" s="14">
        <f>INDEX(VarUnit,MATCH($A2038,VarKey,0))</f>
        <v/>
      </c>
      <c r="J2038" s="14">
        <f>INDEX(VarSrc,MATCH($A2038,VarKey,0))</f>
        <v/>
      </c>
      <c r="K2038" s="11">
        <f>CodePrefix&amp;$A2038&amp;IF($C2038="","","."&amp;$C2038&amp;"."&amp;$B2038)&amp;INDEX(VarEnd,MATCH($A2038,VarKey,0))&amp;K$5</f>
        <v/>
      </c>
      <c r="L2038" s="40">
        <f>INDEX(L$263:L$279,$F2038)*$D2038*INDEX(L$23:L$30,$E2038)</f>
        <v/>
      </c>
      <c r="M2038" s="35">
        <f>INDEX(M$263:M$279,$F2038)*$D2038*INDEX(M$23:M$30,$E2038)</f>
        <v/>
      </c>
      <c r="N2038" s="35">
        <f>INDEX(N$263:N$279,$F2038)*$D2038*INDEX(N$23:N$30,$E2038)</f>
        <v/>
      </c>
      <c r="O2038" s="35">
        <f>INDEX(O$263:O$279,$F2038)*$D2038*INDEX(O$23:O$30,$E2038)</f>
        <v/>
      </c>
      <c r="P2038" s="35">
        <f>INDEX(P$263:P$279,$F2038)*$D2038*INDEX(P$23:P$30,$E2038)</f>
        <v/>
      </c>
      <c r="Q2038" s="35">
        <f>INDEX(Q$263:Q$279,$F2038)*$D2038*INDEX(Q$23:Q$30,$E2038)</f>
        <v/>
      </c>
      <c r="R2038" s="35">
        <f>INDEX(R$263:R$279,$F2038)*$D2038*INDEX(R$23:R$30,$E2038)</f>
        <v/>
      </c>
      <c r="S2038" s="35">
        <f>INDEX(S$263:S$279,$F2038)*$D2038*INDEX(S$23:S$30,$E2038)</f>
        <v/>
      </c>
      <c r="T2038" s="35">
        <f>INDEX(T$263:T$279,$F2038)*$D2038*INDEX(T$23:T$30,$E2038)</f>
        <v/>
      </c>
      <c r="U2038" s="35">
        <f>INDEX(U$263:U$279,$F2038)*$D2038*INDEX(U$23:U$30,$E2038)</f>
        <v/>
      </c>
      <c r="V2038" s="35">
        <f>INDEX(V$263:V$279,$F2038)*$D2038*INDEX(V$23:V$30,$E2038)</f>
        <v/>
      </c>
      <c r="W2038" s="35">
        <f>INDEX(W$263:W$279,$F2038)*$D2038*INDEX(W$23:W$30,$E2038)</f>
        <v/>
      </c>
      <c r="X2038" s="35">
        <f>INDEX(X$263:X$279,$F2038)*$D2038*INDEX(X$23:X$30,$E2038)</f>
        <v/>
      </c>
      <c r="Y2038" s="35">
        <f>INDEX(Y$263:Y$279,$F2038)*$D2038*INDEX(Y$23:Y$30,$E2038)</f>
        <v/>
      </c>
      <c r="Z2038" s="35">
        <f>INDEX(Z$263:Z$279,$F2038)*$D2038*INDEX(Z$23:Z$30,$E2038)</f>
        <v/>
      </c>
      <c r="AA2038" s="35">
        <f>INDEX(AA$263:AA$279,$F2038)*$D2038*INDEX(AA$23:AA$30,$E2038)</f>
        <v/>
      </c>
      <c r="AB2038" s="35">
        <f>INDEX(AB$263:AB$279,$F2038)*$D2038*INDEX(AB$23:AB$30,$E2038)</f>
        <v/>
      </c>
      <c r="AC2038" s="35">
        <f>INDEX(AC$263:AC$279,$F2038)*$D2038*INDEX(AC$23:AC$30,$E2038)</f>
        <v/>
      </c>
      <c r="AD2038" s="35">
        <f>INDEX(AD$263:AD$279,$F2038)*$D2038*INDEX(AD$23:AD$30,$E2038)</f>
        <v/>
      </c>
      <c r="AE2038" s="42">
        <f>CARBONTAX(INDEX(AE$263:AE$279,$F2038),$D2038,INDEX(AE$23:AE$30,$E2038))</f>
        <v/>
      </c>
      <c r="AG2038" s="11">
        <f>CodePrefix&amp;$A2038&amp;IF($C2038="","","."&amp;$C2038&amp;"."&amp;$B2038)&amp;INDEX(VarEnd,MATCH($A2038,VarKey,0))&amp;AG$5</f>
        <v/>
      </c>
      <c r="AH2038" s="40">
        <f>INDEX(AH$263:AH$279,$F2038)*$D2038*INDEX(AH$23:AH$30,$E2038)</f>
        <v/>
      </c>
      <c r="AI2038" s="35">
        <f>INDEX(AI$263:AI$279,$F2038)*$D2038*INDEX(AI$23:AI$30,$E2038)</f>
        <v/>
      </c>
      <c r="AJ2038" s="35">
        <f>INDEX(AJ$263:AJ$279,$F2038)*$D2038*INDEX(AJ$23:AJ$30,$E2038)</f>
        <v/>
      </c>
      <c r="AK2038" s="35">
        <f>INDEX(AK$263:AK$279,$F2038)*$D2038*INDEX(AK$23:AK$30,$E2038)</f>
        <v/>
      </c>
      <c r="AL2038" s="35">
        <f>INDEX(AL$263:AL$279,$F2038)*$D2038*INDEX(AL$23:AL$30,$E2038)</f>
        <v/>
      </c>
      <c r="AM2038" s="35">
        <f>INDEX(AM$263:AM$279,$F2038)*$D2038*INDEX(AM$23:AM$30,$E2038)</f>
        <v/>
      </c>
      <c r="AN2038" s="35">
        <f>INDEX(AN$263:AN$279,$F2038)*$D2038*INDEX(AN$23:AN$30,$E2038)</f>
        <v/>
      </c>
      <c r="AO2038" s="35">
        <f>INDEX(AO$263:AO$279,$F2038)*$D2038*INDEX(AO$23:AO$30,$E2038)</f>
        <v/>
      </c>
      <c r="AP2038" s="35">
        <f>INDEX(AP$263:AP$279,$F2038)*$D2038*INDEX(AP$23:AP$30,$E2038)</f>
        <v/>
      </c>
      <c r="AQ2038" s="35">
        <f>INDEX(AQ$263:AQ$279,$F2038)*$D2038*INDEX(AQ$23:AQ$30,$E2038)</f>
        <v/>
      </c>
      <c r="AR2038" s="35">
        <f>INDEX(AR$263:AR$279,$F2038)*$D2038*INDEX(AR$23:AR$30,$E2038)</f>
        <v/>
      </c>
      <c r="AS2038" s="35">
        <f>INDEX(AS$263:AS$279,$F2038)*$D2038*INDEX(AS$23:AS$30,$E2038)</f>
        <v/>
      </c>
      <c r="AT2038" s="35">
        <f>INDEX(AT$263:AT$279,$F2038)*$D2038*INDEX(AT$23:AT$30,$E2038)</f>
        <v/>
      </c>
      <c r="AU2038" s="35">
        <f>INDEX(AU$263:AU$279,$F2038)*$D2038*INDEX(AU$23:AU$30,$E2038)</f>
        <v/>
      </c>
      <c r="AV2038" s="35">
        <f>INDEX(AV$263:AV$279,$F2038)*$D2038*INDEX(AV$23:AV$30,$E2038)</f>
        <v/>
      </c>
      <c r="AW2038" s="35">
        <f>INDEX(AW$263:AW$279,$F2038)*$D2038*INDEX(AW$23:AW$30,$E2038)</f>
        <v/>
      </c>
      <c r="AX2038" s="35">
        <f>INDEX(AX$263:AX$279,$F2038)*$D2038*INDEX(AX$23:AX$30,$E2038)</f>
        <v/>
      </c>
      <c r="AY2038" s="35">
        <f>INDEX(AY$263:AY$279,$F2038)*$D2038*INDEX(AY$23:AY$30,$E2038)</f>
        <v/>
      </c>
      <c r="AZ2038" s="35">
        <f>INDEX(AZ$263:AZ$279,$F2038)*$D2038*INDEX(AZ$23:AZ$30,$E2038)</f>
        <v/>
      </c>
      <c r="BA2038" s="42">
        <f>CARBONTAX(INDEX(BA$263:BA$279,$F2038),$D2038,INDEX(BA$23:BA$30,$E2038))</f>
        <v/>
      </c>
    </row>
    <row r="2039" hidden="1" outlineLevel="2">
      <c r="A2039" s="14" t="inlineStr">
        <is>
          <t>ctxnew</t>
        </is>
      </c>
      <c r="B2039" s="14" t="inlineStr">
        <is>
          <t>gso</t>
        </is>
      </c>
      <c r="C2039" s="14" t="inlineStr">
        <is>
          <t>irn</t>
        </is>
      </c>
      <c r="D2039" s="35">
        <f>INDEX(Inputs!$W$5:$W$132,MATCH($B2039&amp;"|"&amp;$C2039,Inputs!$A$5:$A$132,0))</f>
        <v/>
      </c>
      <c r="E2039" s="35">
        <f>INDEX(Inputs!$L$5:$L$132,MATCH($B2039&amp;"|"&amp;$C2039,Inputs!$A$5:$A$132,0))</f>
        <v/>
      </c>
      <c r="F2039" s="35">
        <f>INDEX(Inputs!$M$5:$M$132,MATCH($B2039&amp;"|"&amp;$C2039,Inputs!$A$5:$A$132,0))</f>
        <v/>
      </c>
      <c r="G2039" s="39" t="n"/>
      <c r="H2039" s="14">
        <f>INDEX(VarLab,MATCH($A2039,VarKey,0))&amp;INDEX(MemLab,MATCH($C2039&amp;"|"&amp;$B2039,MemKey,0))</f>
        <v/>
      </c>
      <c r="I2039" s="14">
        <f>INDEX(VarUnit,MATCH($A2039,VarKey,0))</f>
        <v/>
      </c>
      <c r="J2039" s="14">
        <f>INDEX(VarSrc,MATCH($A2039,VarKey,0))</f>
        <v/>
      </c>
      <c r="K2039" s="11">
        <f>CodePrefix&amp;$A2039&amp;IF($C2039="","","."&amp;$C2039&amp;"."&amp;$B2039)&amp;INDEX(VarEnd,MATCH($A2039,VarKey,0))&amp;K$5</f>
        <v/>
      </c>
      <c r="L2039" s="40">
        <f>INDEX(L$263:L$279,$F2039)*$D2039*INDEX(L$23:L$30,$E2039)</f>
        <v/>
      </c>
      <c r="M2039" s="35">
        <f>INDEX(M$263:M$279,$F2039)*$D2039*INDEX(M$23:M$30,$E2039)</f>
        <v/>
      </c>
      <c r="N2039" s="35">
        <f>INDEX(N$263:N$279,$F2039)*$D2039*INDEX(N$23:N$30,$E2039)</f>
        <v/>
      </c>
      <c r="O2039" s="35">
        <f>INDEX(O$263:O$279,$F2039)*$D2039*INDEX(O$23:O$30,$E2039)</f>
        <v/>
      </c>
      <c r="P2039" s="35">
        <f>INDEX(P$263:P$279,$F2039)*$D2039*INDEX(P$23:P$30,$E2039)</f>
        <v/>
      </c>
      <c r="Q2039" s="35">
        <f>INDEX(Q$263:Q$279,$F2039)*$D2039*INDEX(Q$23:Q$30,$E2039)</f>
        <v/>
      </c>
      <c r="R2039" s="35">
        <f>INDEX(R$263:R$279,$F2039)*$D2039*INDEX(R$23:R$30,$E2039)</f>
        <v/>
      </c>
      <c r="S2039" s="35">
        <f>INDEX(S$263:S$279,$F2039)*$D2039*INDEX(S$23:S$30,$E2039)</f>
        <v/>
      </c>
      <c r="T2039" s="35">
        <f>INDEX(T$263:T$279,$F2039)*$D2039*INDEX(T$23:T$30,$E2039)</f>
        <v/>
      </c>
      <c r="U2039" s="35">
        <f>INDEX(U$263:U$279,$F2039)*$D2039*INDEX(U$23:U$30,$E2039)</f>
        <v/>
      </c>
      <c r="V2039" s="35">
        <f>INDEX(V$263:V$279,$F2039)*$D2039*INDEX(V$23:V$30,$E2039)</f>
        <v/>
      </c>
      <c r="W2039" s="35">
        <f>INDEX(W$263:W$279,$F2039)*$D2039*INDEX(W$23:W$30,$E2039)</f>
        <v/>
      </c>
      <c r="X2039" s="35">
        <f>INDEX(X$263:X$279,$F2039)*$D2039*INDEX(X$23:X$30,$E2039)</f>
        <v/>
      </c>
      <c r="Y2039" s="35">
        <f>INDEX(Y$263:Y$279,$F2039)*$D2039*INDEX(Y$23:Y$30,$E2039)</f>
        <v/>
      </c>
      <c r="Z2039" s="35">
        <f>INDEX(Z$263:Z$279,$F2039)*$D2039*INDEX(Z$23:Z$30,$E2039)</f>
        <v/>
      </c>
      <c r="AA2039" s="35">
        <f>INDEX(AA$263:AA$279,$F2039)*$D2039*INDEX(AA$23:AA$30,$E2039)</f>
        <v/>
      </c>
      <c r="AB2039" s="35">
        <f>INDEX(AB$263:AB$279,$F2039)*$D2039*INDEX(AB$23:AB$30,$E2039)</f>
        <v/>
      </c>
      <c r="AC2039" s="35">
        <f>INDEX(AC$263:AC$279,$F2039)*$D2039*INDEX(AC$23:AC$30,$E2039)</f>
        <v/>
      </c>
      <c r="AD2039" s="35">
        <f>INDEX(AD$263:AD$279,$F2039)*$D2039*INDEX(AD$23:AD$30,$E2039)</f>
        <v/>
      </c>
      <c r="AE2039" s="42">
        <f>CARBONTAX(INDEX(AE$263:AE$279,$F2039),$D2039,INDEX(AE$23:AE$30,$E2039))</f>
        <v/>
      </c>
      <c r="AG2039" s="11">
        <f>CodePrefix&amp;$A2039&amp;IF($C2039="","","."&amp;$C2039&amp;"."&amp;$B2039)&amp;INDEX(VarEnd,MATCH($A2039,VarKey,0))&amp;AG$5</f>
        <v/>
      </c>
      <c r="AH2039" s="40">
        <f>INDEX(AH$263:AH$279,$F2039)*$D2039*INDEX(AH$23:AH$30,$E2039)</f>
        <v/>
      </c>
      <c r="AI2039" s="35">
        <f>INDEX(AI$263:AI$279,$F2039)*$D2039*INDEX(AI$23:AI$30,$E2039)</f>
        <v/>
      </c>
      <c r="AJ2039" s="35">
        <f>INDEX(AJ$263:AJ$279,$F2039)*$D2039*INDEX(AJ$23:AJ$30,$E2039)</f>
        <v/>
      </c>
      <c r="AK2039" s="35">
        <f>INDEX(AK$263:AK$279,$F2039)*$D2039*INDEX(AK$23:AK$30,$E2039)</f>
        <v/>
      </c>
      <c r="AL2039" s="35">
        <f>INDEX(AL$263:AL$279,$F2039)*$D2039*INDEX(AL$23:AL$30,$E2039)</f>
        <v/>
      </c>
      <c r="AM2039" s="35">
        <f>INDEX(AM$263:AM$279,$F2039)*$D2039*INDEX(AM$23:AM$30,$E2039)</f>
        <v/>
      </c>
      <c r="AN2039" s="35">
        <f>INDEX(AN$263:AN$279,$F2039)*$D2039*INDEX(AN$23:AN$30,$E2039)</f>
        <v/>
      </c>
      <c r="AO2039" s="35">
        <f>INDEX(AO$263:AO$279,$F2039)*$D2039*INDEX(AO$23:AO$30,$E2039)</f>
        <v/>
      </c>
      <c r="AP2039" s="35">
        <f>INDEX(AP$263:AP$279,$F2039)*$D2039*INDEX(AP$23:AP$30,$E2039)</f>
        <v/>
      </c>
      <c r="AQ2039" s="35">
        <f>INDEX(AQ$263:AQ$279,$F2039)*$D2039*INDEX(AQ$23:AQ$30,$E2039)</f>
        <v/>
      </c>
      <c r="AR2039" s="35">
        <f>INDEX(AR$263:AR$279,$F2039)*$D2039*INDEX(AR$23:AR$30,$E2039)</f>
        <v/>
      </c>
      <c r="AS2039" s="35">
        <f>INDEX(AS$263:AS$279,$F2039)*$D2039*INDEX(AS$23:AS$30,$E2039)</f>
        <v/>
      </c>
      <c r="AT2039" s="35">
        <f>INDEX(AT$263:AT$279,$F2039)*$D2039*INDEX(AT$23:AT$30,$E2039)</f>
        <v/>
      </c>
      <c r="AU2039" s="35">
        <f>INDEX(AU$263:AU$279,$F2039)*$D2039*INDEX(AU$23:AU$30,$E2039)</f>
        <v/>
      </c>
      <c r="AV2039" s="35">
        <f>INDEX(AV$263:AV$279,$F2039)*$D2039*INDEX(AV$23:AV$30,$E2039)</f>
        <v/>
      </c>
      <c r="AW2039" s="35">
        <f>INDEX(AW$263:AW$279,$F2039)*$D2039*INDEX(AW$23:AW$30,$E2039)</f>
        <v/>
      </c>
      <c r="AX2039" s="35">
        <f>INDEX(AX$263:AX$279,$F2039)*$D2039*INDEX(AX$23:AX$30,$E2039)</f>
        <v/>
      </c>
      <c r="AY2039" s="35">
        <f>INDEX(AY$263:AY$279,$F2039)*$D2039*INDEX(AY$23:AY$30,$E2039)</f>
        <v/>
      </c>
      <c r="AZ2039" s="35">
        <f>INDEX(AZ$263:AZ$279,$F2039)*$D2039*INDEX(AZ$23:AZ$30,$E2039)</f>
        <v/>
      </c>
      <c r="BA2039" s="42">
        <f>CARBONTAX(INDEX(BA$263:BA$279,$F2039),$D2039,INDEX(BA$23:BA$30,$E2039))</f>
        <v/>
      </c>
    </row>
    <row r="2040" hidden="1" outlineLevel="2">
      <c r="A2040" s="14" t="inlineStr">
        <is>
          <t>ctxnew</t>
        </is>
      </c>
      <c r="B2040" s="14" t="inlineStr">
        <is>
          <t>die</t>
        </is>
      </c>
      <c r="C2040" s="14" t="inlineStr">
        <is>
          <t>irn</t>
        </is>
      </c>
      <c r="D2040" s="35">
        <f>INDEX(Inputs!$W$5:$W$132,MATCH($B2040&amp;"|"&amp;$C2040,Inputs!$A$5:$A$132,0))</f>
        <v/>
      </c>
      <c r="E2040" s="35">
        <f>INDEX(Inputs!$L$5:$L$132,MATCH($B2040&amp;"|"&amp;$C2040,Inputs!$A$5:$A$132,0))</f>
        <v/>
      </c>
      <c r="F2040" s="35">
        <f>INDEX(Inputs!$M$5:$M$132,MATCH($B2040&amp;"|"&amp;$C2040,Inputs!$A$5:$A$132,0))</f>
        <v/>
      </c>
      <c r="G2040" s="39" t="n"/>
      <c r="H2040" s="14">
        <f>INDEX(VarLab,MATCH($A2040,VarKey,0))&amp;INDEX(MemLab,MATCH($C2040&amp;"|"&amp;$B2040,MemKey,0))</f>
        <v/>
      </c>
      <c r="I2040" s="14">
        <f>INDEX(VarUnit,MATCH($A2040,VarKey,0))</f>
        <v/>
      </c>
      <c r="J2040" s="14">
        <f>INDEX(VarSrc,MATCH($A2040,VarKey,0))</f>
        <v/>
      </c>
      <c r="K2040" s="11">
        <f>CodePrefix&amp;$A2040&amp;IF($C2040="","","."&amp;$C2040&amp;"."&amp;$B2040)&amp;INDEX(VarEnd,MATCH($A2040,VarKey,0))&amp;K$5</f>
        <v/>
      </c>
      <c r="L2040" s="40">
        <f>INDEX(L$263:L$279,$F2040)*$D2040*INDEX(L$23:L$30,$E2040)</f>
        <v/>
      </c>
      <c r="M2040" s="35">
        <f>INDEX(M$263:M$279,$F2040)*$D2040*INDEX(M$23:M$30,$E2040)</f>
        <v/>
      </c>
      <c r="N2040" s="35">
        <f>INDEX(N$263:N$279,$F2040)*$D2040*INDEX(N$23:N$30,$E2040)</f>
        <v/>
      </c>
      <c r="O2040" s="35">
        <f>INDEX(O$263:O$279,$F2040)*$D2040*INDEX(O$23:O$30,$E2040)</f>
        <v/>
      </c>
      <c r="P2040" s="35">
        <f>INDEX(P$263:P$279,$F2040)*$D2040*INDEX(P$23:P$30,$E2040)</f>
        <v/>
      </c>
      <c r="Q2040" s="35">
        <f>INDEX(Q$263:Q$279,$F2040)*$D2040*INDEX(Q$23:Q$30,$E2040)</f>
        <v/>
      </c>
      <c r="R2040" s="35">
        <f>INDEX(R$263:R$279,$F2040)*$D2040*INDEX(R$23:R$30,$E2040)</f>
        <v/>
      </c>
      <c r="S2040" s="35">
        <f>INDEX(S$263:S$279,$F2040)*$D2040*INDEX(S$23:S$30,$E2040)</f>
        <v/>
      </c>
      <c r="T2040" s="35">
        <f>INDEX(T$263:T$279,$F2040)*$D2040*INDEX(T$23:T$30,$E2040)</f>
        <v/>
      </c>
      <c r="U2040" s="35">
        <f>INDEX(U$263:U$279,$F2040)*$D2040*INDEX(U$23:U$30,$E2040)</f>
        <v/>
      </c>
      <c r="V2040" s="35">
        <f>INDEX(V$263:V$279,$F2040)*$D2040*INDEX(V$23:V$30,$E2040)</f>
        <v/>
      </c>
      <c r="W2040" s="35">
        <f>INDEX(W$263:W$279,$F2040)*$D2040*INDEX(W$23:W$30,$E2040)</f>
        <v/>
      </c>
      <c r="X2040" s="35">
        <f>INDEX(X$263:X$279,$F2040)*$D2040*INDEX(X$23:X$30,$E2040)</f>
        <v/>
      </c>
      <c r="Y2040" s="35">
        <f>INDEX(Y$263:Y$279,$F2040)*$D2040*INDEX(Y$23:Y$30,$E2040)</f>
        <v/>
      </c>
      <c r="Z2040" s="35">
        <f>INDEX(Z$263:Z$279,$F2040)*$D2040*INDEX(Z$23:Z$30,$E2040)</f>
        <v/>
      </c>
      <c r="AA2040" s="35">
        <f>INDEX(AA$263:AA$279,$F2040)*$D2040*INDEX(AA$23:AA$30,$E2040)</f>
        <v/>
      </c>
      <c r="AB2040" s="35">
        <f>INDEX(AB$263:AB$279,$F2040)*$D2040*INDEX(AB$23:AB$30,$E2040)</f>
        <v/>
      </c>
      <c r="AC2040" s="35">
        <f>INDEX(AC$263:AC$279,$F2040)*$D2040*INDEX(AC$23:AC$30,$E2040)</f>
        <v/>
      </c>
      <c r="AD2040" s="35">
        <f>INDEX(AD$263:AD$279,$F2040)*$D2040*INDEX(AD$23:AD$30,$E2040)</f>
        <v/>
      </c>
      <c r="AE2040" s="42">
        <f>CARBONTAX(INDEX(AE$263:AE$279,$F2040),$D2040,INDEX(AE$23:AE$30,$E2040))</f>
        <v/>
      </c>
      <c r="AG2040" s="11">
        <f>CodePrefix&amp;$A2040&amp;IF($C2040="","","."&amp;$C2040&amp;"."&amp;$B2040)&amp;INDEX(VarEnd,MATCH($A2040,VarKey,0))&amp;AG$5</f>
        <v/>
      </c>
      <c r="AH2040" s="40">
        <f>INDEX(AH$263:AH$279,$F2040)*$D2040*INDEX(AH$23:AH$30,$E2040)</f>
        <v/>
      </c>
      <c r="AI2040" s="35">
        <f>INDEX(AI$263:AI$279,$F2040)*$D2040*INDEX(AI$23:AI$30,$E2040)</f>
        <v/>
      </c>
      <c r="AJ2040" s="35">
        <f>INDEX(AJ$263:AJ$279,$F2040)*$D2040*INDEX(AJ$23:AJ$30,$E2040)</f>
        <v/>
      </c>
      <c r="AK2040" s="35">
        <f>INDEX(AK$263:AK$279,$F2040)*$D2040*INDEX(AK$23:AK$30,$E2040)</f>
        <v/>
      </c>
      <c r="AL2040" s="35">
        <f>INDEX(AL$263:AL$279,$F2040)*$D2040*INDEX(AL$23:AL$30,$E2040)</f>
        <v/>
      </c>
      <c r="AM2040" s="35">
        <f>INDEX(AM$263:AM$279,$F2040)*$D2040*INDEX(AM$23:AM$30,$E2040)</f>
        <v/>
      </c>
      <c r="AN2040" s="35">
        <f>INDEX(AN$263:AN$279,$F2040)*$D2040*INDEX(AN$23:AN$30,$E2040)</f>
        <v/>
      </c>
      <c r="AO2040" s="35">
        <f>INDEX(AO$263:AO$279,$F2040)*$D2040*INDEX(AO$23:AO$30,$E2040)</f>
        <v/>
      </c>
      <c r="AP2040" s="35">
        <f>INDEX(AP$263:AP$279,$F2040)*$D2040*INDEX(AP$23:AP$30,$E2040)</f>
        <v/>
      </c>
      <c r="AQ2040" s="35">
        <f>INDEX(AQ$263:AQ$279,$F2040)*$D2040*INDEX(AQ$23:AQ$30,$E2040)</f>
        <v/>
      </c>
      <c r="AR2040" s="35">
        <f>INDEX(AR$263:AR$279,$F2040)*$D2040*INDEX(AR$23:AR$30,$E2040)</f>
        <v/>
      </c>
      <c r="AS2040" s="35">
        <f>INDEX(AS$263:AS$279,$F2040)*$D2040*INDEX(AS$23:AS$30,$E2040)</f>
        <v/>
      </c>
      <c r="AT2040" s="35">
        <f>INDEX(AT$263:AT$279,$F2040)*$D2040*INDEX(AT$23:AT$30,$E2040)</f>
        <v/>
      </c>
      <c r="AU2040" s="35">
        <f>INDEX(AU$263:AU$279,$F2040)*$D2040*INDEX(AU$23:AU$30,$E2040)</f>
        <v/>
      </c>
      <c r="AV2040" s="35">
        <f>INDEX(AV$263:AV$279,$F2040)*$D2040*INDEX(AV$23:AV$30,$E2040)</f>
        <v/>
      </c>
      <c r="AW2040" s="35">
        <f>INDEX(AW$263:AW$279,$F2040)*$D2040*INDEX(AW$23:AW$30,$E2040)</f>
        <v/>
      </c>
      <c r="AX2040" s="35">
        <f>INDEX(AX$263:AX$279,$F2040)*$D2040*INDEX(AX$23:AX$30,$E2040)</f>
        <v/>
      </c>
      <c r="AY2040" s="35">
        <f>INDEX(AY$263:AY$279,$F2040)*$D2040*INDEX(AY$23:AY$30,$E2040)</f>
        <v/>
      </c>
      <c r="AZ2040" s="35">
        <f>INDEX(AZ$263:AZ$279,$F2040)*$D2040*INDEX(AZ$23:AZ$30,$E2040)</f>
        <v/>
      </c>
      <c r="BA2040" s="42">
        <f>CARBONTAX(INDEX(BA$263:BA$279,$F2040),$D2040,INDEX(BA$23:BA$30,$E2040))</f>
        <v/>
      </c>
    </row>
    <row r="2041" hidden="1" outlineLevel="2">
      <c r="A2041" s="14" t="inlineStr">
        <is>
          <t>ctxnew</t>
        </is>
      </c>
      <c r="B2041" s="14" t="inlineStr">
        <is>
          <t>lpg</t>
        </is>
      </c>
      <c r="C2041" s="14" t="inlineStr">
        <is>
          <t>irn</t>
        </is>
      </c>
      <c r="D2041" s="35">
        <f>INDEX(Inputs!$W$5:$W$132,MATCH($B2041&amp;"|"&amp;$C2041,Inputs!$A$5:$A$132,0))</f>
        <v/>
      </c>
      <c r="E2041" s="35">
        <f>INDEX(Inputs!$L$5:$L$132,MATCH($B2041&amp;"|"&amp;$C2041,Inputs!$A$5:$A$132,0))</f>
        <v/>
      </c>
      <c r="F2041" s="35">
        <f>INDEX(Inputs!$M$5:$M$132,MATCH($B2041&amp;"|"&amp;$C2041,Inputs!$A$5:$A$132,0))</f>
        <v/>
      </c>
      <c r="G2041" s="39" t="n"/>
      <c r="H2041" s="14">
        <f>INDEX(VarLab,MATCH($A2041,VarKey,0))&amp;INDEX(MemLab,MATCH($C2041&amp;"|"&amp;$B2041,MemKey,0))</f>
        <v/>
      </c>
      <c r="I2041" s="14">
        <f>INDEX(VarUnit,MATCH($A2041,VarKey,0))</f>
        <v/>
      </c>
      <c r="J2041" s="14">
        <f>INDEX(VarSrc,MATCH($A2041,VarKey,0))</f>
        <v/>
      </c>
      <c r="K2041" s="11">
        <f>CodePrefix&amp;$A2041&amp;IF($C2041="","","."&amp;$C2041&amp;"."&amp;$B2041)&amp;INDEX(VarEnd,MATCH($A2041,VarKey,0))&amp;K$5</f>
        <v/>
      </c>
      <c r="L2041" s="40">
        <f>INDEX(L$263:L$279,$F2041)*$D2041*INDEX(L$23:L$30,$E2041)</f>
        <v/>
      </c>
      <c r="M2041" s="35">
        <f>INDEX(M$263:M$279,$F2041)*$D2041*INDEX(M$23:M$30,$E2041)</f>
        <v/>
      </c>
      <c r="N2041" s="35">
        <f>INDEX(N$263:N$279,$F2041)*$D2041*INDEX(N$23:N$30,$E2041)</f>
        <v/>
      </c>
      <c r="O2041" s="35">
        <f>INDEX(O$263:O$279,$F2041)*$D2041*INDEX(O$23:O$30,$E2041)</f>
        <v/>
      </c>
      <c r="P2041" s="35">
        <f>INDEX(P$263:P$279,$F2041)*$D2041*INDEX(P$23:P$30,$E2041)</f>
        <v/>
      </c>
      <c r="Q2041" s="35">
        <f>INDEX(Q$263:Q$279,$F2041)*$D2041*INDEX(Q$23:Q$30,$E2041)</f>
        <v/>
      </c>
      <c r="R2041" s="35">
        <f>INDEX(R$263:R$279,$F2041)*$D2041*INDEX(R$23:R$30,$E2041)</f>
        <v/>
      </c>
      <c r="S2041" s="35">
        <f>INDEX(S$263:S$279,$F2041)*$D2041*INDEX(S$23:S$30,$E2041)</f>
        <v/>
      </c>
      <c r="T2041" s="35">
        <f>INDEX(T$263:T$279,$F2041)*$D2041*INDEX(T$23:T$30,$E2041)</f>
        <v/>
      </c>
      <c r="U2041" s="35">
        <f>INDEX(U$263:U$279,$F2041)*$D2041*INDEX(U$23:U$30,$E2041)</f>
        <v/>
      </c>
      <c r="V2041" s="35">
        <f>INDEX(V$263:V$279,$F2041)*$D2041*INDEX(V$23:V$30,$E2041)</f>
        <v/>
      </c>
      <c r="W2041" s="35">
        <f>INDEX(W$263:W$279,$F2041)*$D2041*INDEX(W$23:W$30,$E2041)</f>
        <v/>
      </c>
      <c r="X2041" s="35">
        <f>INDEX(X$263:X$279,$F2041)*$D2041*INDEX(X$23:X$30,$E2041)</f>
        <v/>
      </c>
      <c r="Y2041" s="35">
        <f>INDEX(Y$263:Y$279,$F2041)*$D2041*INDEX(Y$23:Y$30,$E2041)</f>
        <v/>
      </c>
      <c r="Z2041" s="35">
        <f>INDEX(Z$263:Z$279,$F2041)*$D2041*INDEX(Z$23:Z$30,$E2041)</f>
        <v/>
      </c>
      <c r="AA2041" s="35">
        <f>INDEX(AA$263:AA$279,$F2041)*$D2041*INDEX(AA$23:AA$30,$E2041)</f>
        <v/>
      </c>
      <c r="AB2041" s="35">
        <f>INDEX(AB$263:AB$279,$F2041)*$D2041*INDEX(AB$23:AB$30,$E2041)</f>
        <v/>
      </c>
      <c r="AC2041" s="35">
        <f>INDEX(AC$263:AC$279,$F2041)*$D2041*INDEX(AC$23:AC$30,$E2041)</f>
        <v/>
      </c>
      <c r="AD2041" s="35">
        <f>INDEX(AD$263:AD$279,$F2041)*$D2041*INDEX(AD$23:AD$30,$E2041)</f>
        <v/>
      </c>
      <c r="AE2041" s="42">
        <f>CARBONTAX(INDEX(AE$263:AE$279,$F2041),$D2041,INDEX(AE$23:AE$30,$E2041))</f>
        <v/>
      </c>
      <c r="AG2041" s="11">
        <f>CodePrefix&amp;$A2041&amp;IF($C2041="","","."&amp;$C2041&amp;"."&amp;$B2041)&amp;INDEX(VarEnd,MATCH($A2041,VarKey,0))&amp;AG$5</f>
        <v/>
      </c>
      <c r="AH2041" s="40">
        <f>INDEX(AH$263:AH$279,$F2041)*$D2041*INDEX(AH$23:AH$30,$E2041)</f>
        <v/>
      </c>
      <c r="AI2041" s="35">
        <f>INDEX(AI$263:AI$279,$F2041)*$D2041*INDEX(AI$23:AI$30,$E2041)</f>
        <v/>
      </c>
      <c r="AJ2041" s="35">
        <f>INDEX(AJ$263:AJ$279,$F2041)*$D2041*INDEX(AJ$23:AJ$30,$E2041)</f>
        <v/>
      </c>
      <c r="AK2041" s="35">
        <f>INDEX(AK$263:AK$279,$F2041)*$D2041*INDEX(AK$23:AK$30,$E2041)</f>
        <v/>
      </c>
      <c r="AL2041" s="35">
        <f>INDEX(AL$263:AL$279,$F2041)*$D2041*INDEX(AL$23:AL$30,$E2041)</f>
        <v/>
      </c>
      <c r="AM2041" s="35">
        <f>INDEX(AM$263:AM$279,$F2041)*$D2041*INDEX(AM$23:AM$30,$E2041)</f>
        <v/>
      </c>
      <c r="AN2041" s="35">
        <f>INDEX(AN$263:AN$279,$F2041)*$D2041*INDEX(AN$23:AN$30,$E2041)</f>
        <v/>
      </c>
      <c r="AO2041" s="35">
        <f>INDEX(AO$263:AO$279,$F2041)*$D2041*INDEX(AO$23:AO$30,$E2041)</f>
        <v/>
      </c>
      <c r="AP2041" s="35">
        <f>INDEX(AP$263:AP$279,$F2041)*$D2041*INDEX(AP$23:AP$30,$E2041)</f>
        <v/>
      </c>
      <c r="AQ2041" s="35">
        <f>INDEX(AQ$263:AQ$279,$F2041)*$D2041*INDEX(AQ$23:AQ$30,$E2041)</f>
        <v/>
      </c>
      <c r="AR2041" s="35">
        <f>INDEX(AR$263:AR$279,$F2041)*$D2041*INDEX(AR$23:AR$30,$E2041)</f>
        <v/>
      </c>
      <c r="AS2041" s="35">
        <f>INDEX(AS$263:AS$279,$F2041)*$D2041*INDEX(AS$23:AS$30,$E2041)</f>
        <v/>
      </c>
      <c r="AT2041" s="35">
        <f>INDEX(AT$263:AT$279,$F2041)*$D2041*INDEX(AT$23:AT$30,$E2041)</f>
        <v/>
      </c>
      <c r="AU2041" s="35">
        <f>INDEX(AU$263:AU$279,$F2041)*$D2041*INDEX(AU$23:AU$30,$E2041)</f>
        <v/>
      </c>
      <c r="AV2041" s="35">
        <f>INDEX(AV$263:AV$279,$F2041)*$D2041*INDEX(AV$23:AV$30,$E2041)</f>
        <v/>
      </c>
      <c r="AW2041" s="35">
        <f>INDEX(AW$263:AW$279,$F2041)*$D2041*INDEX(AW$23:AW$30,$E2041)</f>
        <v/>
      </c>
      <c r="AX2041" s="35">
        <f>INDEX(AX$263:AX$279,$F2041)*$D2041*INDEX(AX$23:AX$30,$E2041)</f>
        <v/>
      </c>
      <c r="AY2041" s="35">
        <f>INDEX(AY$263:AY$279,$F2041)*$D2041*INDEX(AY$23:AY$30,$E2041)</f>
        <v/>
      </c>
      <c r="AZ2041" s="35">
        <f>INDEX(AZ$263:AZ$279,$F2041)*$D2041*INDEX(AZ$23:AZ$30,$E2041)</f>
        <v/>
      </c>
      <c r="BA2041" s="42">
        <f>CARBONTAX(INDEX(BA$263:BA$279,$F2041),$D2041,INDEX(BA$23:BA$30,$E2041))</f>
        <v/>
      </c>
    </row>
    <row r="2042" hidden="1" outlineLevel="2">
      <c r="A2042" s="14" t="inlineStr">
        <is>
          <t>ctxnew</t>
        </is>
      </c>
      <c r="B2042" s="14" t="inlineStr">
        <is>
          <t>ker</t>
        </is>
      </c>
      <c r="C2042" s="14" t="inlineStr">
        <is>
          <t>irn</t>
        </is>
      </c>
      <c r="D2042" s="35">
        <f>INDEX(Inputs!$W$5:$W$132,MATCH($B2042&amp;"|"&amp;$C2042,Inputs!$A$5:$A$132,0))</f>
        <v/>
      </c>
      <c r="E2042" s="35">
        <f>INDEX(Inputs!$L$5:$L$132,MATCH($B2042&amp;"|"&amp;$C2042,Inputs!$A$5:$A$132,0))</f>
        <v/>
      </c>
      <c r="F2042" s="35">
        <f>INDEX(Inputs!$M$5:$M$132,MATCH($B2042&amp;"|"&amp;$C2042,Inputs!$A$5:$A$132,0))</f>
        <v/>
      </c>
      <c r="G2042" s="39" t="n"/>
      <c r="H2042" s="14">
        <f>INDEX(VarLab,MATCH($A2042,VarKey,0))&amp;INDEX(MemLab,MATCH($C2042&amp;"|"&amp;$B2042,MemKey,0))</f>
        <v/>
      </c>
      <c r="I2042" s="14">
        <f>INDEX(VarUnit,MATCH($A2042,VarKey,0))</f>
        <v/>
      </c>
      <c r="J2042" s="14">
        <f>INDEX(VarSrc,MATCH($A2042,VarKey,0))</f>
        <v/>
      </c>
      <c r="K2042" s="11">
        <f>CodePrefix&amp;$A2042&amp;IF($C2042="","","."&amp;$C2042&amp;"."&amp;$B2042)&amp;INDEX(VarEnd,MATCH($A2042,VarKey,0))&amp;K$5</f>
        <v/>
      </c>
      <c r="L2042" s="40">
        <f>INDEX(L$263:L$279,$F2042)*$D2042*INDEX(L$23:L$30,$E2042)</f>
        <v/>
      </c>
      <c r="M2042" s="35">
        <f>INDEX(M$263:M$279,$F2042)*$D2042*INDEX(M$23:M$30,$E2042)</f>
        <v/>
      </c>
      <c r="N2042" s="35">
        <f>INDEX(N$263:N$279,$F2042)*$D2042*INDEX(N$23:N$30,$E2042)</f>
        <v/>
      </c>
      <c r="O2042" s="35">
        <f>INDEX(O$263:O$279,$F2042)*$D2042*INDEX(O$23:O$30,$E2042)</f>
        <v/>
      </c>
      <c r="P2042" s="35">
        <f>INDEX(P$263:P$279,$F2042)*$D2042*INDEX(P$23:P$30,$E2042)</f>
        <v/>
      </c>
      <c r="Q2042" s="35">
        <f>INDEX(Q$263:Q$279,$F2042)*$D2042*INDEX(Q$23:Q$30,$E2042)</f>
        <v/>
      </c>
      <c r="R2042" s="35">
        <f>INDEX(R$263:R$279,$F2042)*$D2042*INDEX(R$23:R$30,$E2042)</f>
        <v/>
      </c>
      <c r="S2042" s="35">
        <f>INDEX(S$263:S$279,$F2042)*$D2042*INDEX(S$23:S$30,$E2042)</f>
        <v/>
      </c>
      <c r="T2042" s="35">
        <f>INDEX(T$263:T$279,$F2042)*$D2042*INDEX(T$23:T$30,$E2042)</f>
        <v/>
      </c>
      <c r="U2042" s="35">
        <f>INDEX(U$263:U$279,$F2042)*$D2042*INDEX(U$23:U$30,$E2042)</f>
        <v/>
      </c>
      <c r="V2042" s="35">
        <f>INDEX(V$263:V$279,$F2042)*$D2042*INDEX(V$23:V$30,$E2042)</f>
        <v/>
      </c>
      <c r="W2042" s="35">
        <f>INDEX(W$263:W$279,$F2042)*$D2042*INDEX(W$23:W$30,$E2042)</f>
        <v/>
      </c>
      <c r="X2042" s="35">
        <f>INDEX(X$263:X$279,$F2042)*$D2042*INDEX(X$23:X$30,$E2042)</f>
        <v/>
      </c>
      <c r="Y2042" s="35">
        <f>INDEX(Y$263:Y$279,$F2042)*$D2042*INDEX(Y$23:Y$30,$E2042)</f>
        <v/>
      </c>
      <c r="Z2042" s="35">
        <f>INDEX(Z$263:Z$279,$F2042)*$D2042*INDEX(Z$23:Z$30,$E2042)</f>
        <v/>
      </c>
      <c r="AA2042" s="35">
        <f>INDEX(AA$263:AA$279,$F2042)*$D2042*INDEX(AA$23:AA$30,$E2042)</f>
        <v/>
      </c>
      <c r="AB2042" s="35">
        <f>INDEX(AB$263:AB$279,$F2042)*$D2042*INDEX(AB$23:AB$30,$E2042)</f>
        <v/>
      </c>
      <c r="AC2042" s="35">
        <f>INDEX(AC$263:AC$279,$F2042)*$D2042*INDEX(AC$23:AC$30,$E2042)</f>
        <v/>
      </c>
      <c r="AD2042" s="35">
        <f>INDEX(AD$263:AD$279,$F2042)*$D2042*INDEX(AD$23:AD$30,$E2042)</f>
        <v/>
      </c>
      <c r="AE2042" s="42">
        <f>CARBONTAX(INDEX(AE$263:AE$279,$F2042),$D2042,INDEX(AE$23:AE$30,$E2042))</f>
        <v/>
      </c>
      <c r="AG2042" s="11">
        <f>CodePrefix&amp;$A2042&amp;IF($C2042="","","."&amp;$C2042&amp;"."&amp;$B2042)&amp;INDEX(VarEnd,MATCH($A2042,VarKey,0))&amp;AG$5</f>
        <v/>
      </c>
      <c r="AH2042" s="40">
        <f>INDEX(AH$263:AH$279,$F2042)*$D2042*INDEX(AH$23:AH$30,$E2042)</f>
        <v/>
      </c>
      <c r="AI2042" s="35">
        <f>INDEX(AI$263:AI$279,$F2042)*$D2042*INDEX(AI$23:AI$30,$E2042)</f>
        <v/>
      </c>
      <c r="AJ2042" s="35">
        <f>INDEX(AJ$263:AJ$279,$F2042)*$D2042*INDEX(AJ$23:AJ$30,$E2042)</f>
        <v/>
      </c>
      <c r="AK2042" s="35">
        <f>INDEX(AK$263:AK$279,$F2042)*$D2042*INDEX(AK$23:AK$30,$E2042)</f>
        <v/>
      </c>
      <c r="AL2042" s="35">
        <f>INDEX(AL$263:AL$279,$F2042)*$D2042*INDEX(AL$23:AL$30,$E2042)</f>
        <v/>
      </c>
      <c r="AM2042" s="35">
        <f>INDEX(AM$263:AM$279,$F2042)*$D2042*INDEX(AM$23:AM$30,$E2042)</f>
        <v/>
      </c>
      <c r="AN2042" s="35">
        <f>INDEX(AN$263:AN$279,$F2042)*$D2042*INDEX(AN$23:AN$30,$E2042)</f>
        <v/>
      </c>
      <c r="AO2042" s="35">
        <f>INDEX(AO$263:AO$279,$F2042)*$D2042*INDEX(AO$23:AO$30,$E2042)</f>
        <v/>
      </c>
      <c r="AP2042" s="35">
        <f>INDEX(AP$263:AP$279,$F2042)*$D2042*INDEX(AP$23:AP$30,$E2042)</f>
        <v/>
      </c>
      <c r="AQ2042" s="35">
        <f>INDEX(AQ$263:AQ$279,$F2042)*$D2042*INDEX(AQ$23:AQ$30,$E2042)</f>
        <v/>
      </c>
      <c r="AR2042" s="35">
        <f>INDEX(AR$263:AR$279,$F2042)*$D2042*INDEX(AR$23:AR$30,$E2042)</f>
        <v/>
      </c>
      <c r="AS2042" s="35">
        <f>INDEX(AS$263:AS$279,$F2042)*$D2042*INDEX(AS$23:AS$30,$E2042)</f>
        <v/>
      </c>
      <c r="AT2042" s="35">
        <f>INDEX(AT$263:AT$279,$F2042)*$D2042*INDEX(AT$23:AT$30,$E2042)</f>
        <v/>
      </c>
      <c r="AU2042" s="35">
        <f>INDEX(AU$263:AU$279,$F2042)*$D2042*INDEX(AU$23:AU$30,$E2042)</f>
        <v/>
      </c>
      <c r="AV2042" s="35">
        <f>INDEX(AV$263:AV$279,$F2042)*$D2042*INDEX(AV$23:AV$30,$E2042)</f>
        <v/>
      </c>
      <c r="AW2042" s="35">
        <f>INDEX(AW$263:AW$279,$F2042)*$D2042*INDEX(AW$23:AW$30,$E2042)</f>
        <v/>
      </c>
      <c r="AX2042" s="35">
        <f>INDEX(AX$263:AX$279,$F2042)*$D2042*INDEX(AX$23:AX$30,$E2042)</f>
        <v/>
      </c>
      <c r="AY2042" s="35">
        <f>INDEX(AY$263:AY$279,$F2042)*$D2042*INDEX(AY$23:AY$30,$E2042)</f>
        <v/>
      </c>
      <c r="AZ2042" s="35">
        <f>INDEX(AZ$263:AZ$279,$F2042)*$D2042*INDEX(AZ$23:AZ$30,$E2042)</f>
        <v/>
      </c>
      <c r="BA2042" s="42">
        <f>CARBONTAX(INDEX(BA$263:BA$279,$F2042),$D2042,INDEX(BA$23:BA$30,$E2042))</f>
        <v/>
      </c>
    </row>
    <row r="2043" hidden="1" outlineLevel="2">
      <c r="A2043" s="14" t="inlineStr">
        <is>
          <t>ctxnew</t>
        </is>
      </c>
      <c r="B2043" s="14" t="inlineStr">
        <is>
          <t>oop</t>
        </is>
      </c>
      <c r="C2043" s="14" t="inlineStr">
        <is>
          <t>irn</t>
        </is>
      </c>
      <c r="D2043" s="35">
        <f>INDEX(Inputs!$W$5:$W$132,MATCH($B2043&amp;"|"&amp;$C2043,Inputs!$A$5:$A$132,0))</f>
        <v/>
      </c>
      <c r="E2043" s="35">
        <f>INDEX(Inputs!$L$5:$L$132,MATCH($B2043&amp;"|"&amp;$C2043,Inputs!$A$5:$A$132,0))</f>
        <v/>
      </c>
      <c r="F2043" s="35">
        <f>INDEX(Inputs!$M$5:$M$132,MATCH($B2043&amp;"|"&amp;$C2043,Inputs!$A$5:$A$132,0))</f>
        <v/>
      </c>
      <c r="G2043" s="39" t="n"/>
      <c r="H2043" s="14">
        <f>INDEX(VarLab,MATCH($A2043,VarKey,0))&amp;INDEX(MemLab,MATCH($C2043&amp;"|"&amp;$B2043,MemKey,0))</f>
        <v/>
      </c>
      <c r="I2043" s="14">
        <f>INDEX(VarUnit,MATCH($A2043,VarKey,0))</f>
        <v/>
      </c>
      <c r="J2043" s="14">
        <f>INDEX(VarSrc,MATCH($A2043,VarKey,0))</f>
        <v/>
      </c>
      <c r="K2043" s="11">
        <f>CodePrefix&amp;$A2043&amp;IF($C2043="","","."&amp;$C2043&amp;"."&amp;$B2043)&amp;INDEX(VarEnd,MATCH($A2043,VarKey,0))&amp;K$5</f>
        <v/>
      </c>
      <c r="L2043" s="40">
        <f>INDEX(L$263:L$279,$F2043)*$D2043*INDEX(L$23:L$30,$E2043)</f>
        <v/>
      </c>
      <c r="M2043" s="35">
        <f>INDEX(M$263:M$279,$F2043)*$D2043*INDEX(M$23:M$30,$E2043)</f>
        <v/>
      </c>
      <c r="N2043" s="35">
        <f>INDEX(N$263:N$279,$F2043)*$D2043*INDEX(N$23:N$30,$E2043)</f>
        <v/>
      </c>
      <c r="O2043" s="35">
        <f>INDEX(O$263:O$279,$F2043)*$D2043*INDEX(O$23:O$30,$E2043)</f>
        <v/>
      </c>
      <c r="P2043" s="35">
        <f>INDEX(P$263:P$279,$F2043)*$D2043*INDEX(P$23:P$30,$E2043)</f>
        <v/>
      </c>
      <c r="Q2043" s="35">
        <f>INDEX(Q$263:Q$279,$F2043)*$D2043*INDEX(Q$23:Q$30,$E2043)</f>
        <v/>
      </c>
      <c r="R2043" s="35">
        <f>INDEX(R$263:R$279,$F2043)*$D2043*INDEX(R$23:R$30,$E2043)</f>
        <v/>
      </c>
      <c r="S2043" s="35">
        <f>INDEX(S$263:S$279,$F2043)*$D2043*INDEX(S$23:S$30,$E2043)</f>
        <v/>
      </c>
      <c r="T2043" s="35">
        <f>INDEX(T$263:T$279,$F2043)*$D2043*INDEX(T$23:T$30,$E2043)</f>
        <v/>
      </c>
      <c r="U2043" s="35">
        <f>INDEX(U$263:U$279,$F2043)*$D2043*INDEX(U$23:U$30,$E2043)</f>
        <v/>
      </c>
      <c r="V2043" s="35">
        <f>INDEX(V$263:V$279,$F2043)*$D2043*INDEX(V$23:V$30,$E2043)</f>
        <v/>
      </c>
      <c r="W2043" s="35">
        <f>INDEX(W$263:W$279,$F2043)*$D2043*INDEX(W$23:W$30,$E2043)</f>
        <v/>
      </c>
      <c r="X2043" s="35">
        <f>INDEX(X$263:X$279,$F2043)*$D2043*INDEX(X$23:X$30,$E2043)</f>
        <v/>
      </c>
      <c r="Y2043" s="35">
        <f>INDEX(Y$263:Y$279,$F2043)*$D2043*INDEX(Y$23:Y$30,$E2043)</f>
        <v/>
      </c>
      <c r="Z2043" s="35">
        <f>INDEX(Z$263:Z$279,$F2043)*$D2043*INDEX(Z$23:Z$30,$E2043)</f>
        <v/>
      </c>
      <c r="AA2043" s="35">
        <f>INDEX(AA$263:AA$279,$F2043)*$D2043*INDEX(AA$23:AA$30,$E2043)</f>
        <v/>
      </c>
      <c r="AB2043" s="35">
        <f>INDEX(AB$263:AB$279,$F2043)*$D2043*INDEX(AB$23:AB$30,$E2043)</f>
        <v/>
      </c>
      <c r="AC2043" s="35">
        <f>INDEX(AC$263:AC$279,$F2043)*$D2043*INDEX(AC$23:AC$30,$E2043)</f>
        <v/>
      </c>
      <c r="AD2043" s="35">
        <f>INDEX(AD$263:AD$279,$F2043)*$D2043*INDEX(AD$23:AD$30,$E2043)</f>
        <v/>
      </c>
      <c r="AE2043" s="42">
        <f>CARBONTAX(INDEX(AE$263:AE$279,$F2043),$D2043,INDEX(AE$23:AE$30,$E2043))</f>
        <v/>
      </c>
      <c r="AG2043" s="11">
        <f>CodePrefix&amp;$A2043&amp;IF($C2043="","","."&amp;$C2043&amp;"."&amp;$B2043)&amp;INDEX(VarEnd,MATCH($A2043,VarKey,0))&amp;AG$5</f>
        <v/>
      </c>
      <c r="AH2043" s="40">
        <f>INDEX(AH$263:AH$279,$F2043)*$D2043*INDEX(AH$23:AH$30,$E2043)</f>
        <v/>
      </c>
      <c r="AI2043" s="35">
        <f>INDEX(AI$263:AI$279,$F2043)*$D2043*INDEX(AI$23:AI$30,$E2043)</f>
        <v/>
      </c>
      <c r="AJ2043" s="35">
        <f>INDEX(AJ$263:AJ$279,$F2043)*$D2043*INDEX(AJ$23:AJ$30,$E2043)</f>
        <v/>
      </c>
      <c r="AK2043" s="35">
        <f>INDEX(AK$263:AK$279,$F2043)*$D2043*INDEX(AK$23:AK$30,$E2043)</f>
        <v/>
      </c>
      <c r="AL2043" s="35">
        <f>INDEX(AL$263:AL$279,$F2043)*$D2043*INDEX(AL$23:AL$30,$E2043)</f>
        <v/>
      </c>
      <c r="AM2043" s="35">
        <f>INDEX(AM$263:AM$279,$F2043)*$D2043*INDEX(AM$23:AM$30,$E2043)</f>
        <v/>
      </c>
      <c r="AN2043" s="35">
        <f>INDEX(AN$263:AN$279,$F2043)*$D2043*INDEX(AN$23:AN$30,$E2043)</f>
        <v/>
      </c>
      <c r="AO2043" s="35">
        <f>INDEX(AO$263:AO$279,$F2043)*$D2043*INDEX(AO$23:AO$30,$E2043)</f>
        <v/>
      </c>
      <c r="AP2043" s="35">
        <f>INDEX(AP$263:AP$279,$F2043)*$D2043*INDEX(AP$23:AP$30,$E2043)</f>
        <v/>
      </c>
      <c r="AQ2043" s="35">
        <f>INDEX(AQ$263:AQ$279,$F2043)*$D2043*INDEX(AQ$23:AQ$30,$E2043)</f>
        <v/>
      </c>
      <c r="AR2043" s="35">
        <f>INDEX(AR$263:AR$279,$F2043)*$D2043*INDEX(AR$23:AR$30,$E2043)</f>
        <v/>
      </c>
      <c r="AS2043" s="35">
        <f>INDEX(AS$263:AS$279,$F2043)*$D2043*INDEX(AS$23:AS$30,$E2043)</f>
        <v/>
      </c>
      <c r="AT2043" s="35">
        <f>INDEX(AT$263:AT$279,$F2043)*$D2043*INDEX(AT$23:AT$30,$E2043)</f>
        <v/>
      </c>
      <c r="AU2043" s="35">
        <f>INDEX(AU$263:AU$279,$F2043)*$D2043*INDEX(AU$23:AU$30,$E2043)</f>
        <v/>
      </c>
      <c r="AV2043" s="35">
        <f>INDEX(AV$263:AV$279,$F2043)*$D2043*INDEX(AV$23:AV$30,$E2043)</f>
        <v/>
      </c>
      <c r="AW2043" s="35">
        <f>INDEX(AW$263:AW$279,$F2043)*$D2043*INDEX(AW$23:AW$30,$E2043)</f>
        <v/>
      </c>
      <c r="AX2043" s="35">
        <f>INDEX(AX$263:AX$279,$F2043)*$D2043*INDEX(AX$23:AX$30,$E2043)</f>
        <v/>
      </c>
      <c r="AY2043" s="35">
        <f>INDEX(AY$263:AY$279,$F2043)*$D2043*INDEX(AY$23:AY$30,$E2043)</f>
        <v/>
      </c>
      <c r="AZ2043" s="35">
        <f>INDEX(AZ$263:AZ$279,$F2043)*$D2043*INDEX(AZ$23:AZ$30,$E2043)</f>
        <v/>
      </c>
      <c r="BA2043" s="42">
        <f>CARBONTAX(INDEX(BA$263:BA$279,$F2043),$D2043,INDEX(BA$23:BA$30,$E2043))</f>
        <v/>
      </c>
    </row>
    <row r="2044" hidden="1" outlineLevel="2">
      <c r="A2044" s="14" t="inlineStr">
        <is>
          <t>ctxnew</t>
        </is>
      </c>
      <c r="B2044" s="14" t="inlineStr">
        <is>
          <t>bio</t>
        </is>
      </c>
      <c r="C2044" s="14" t="inlineStr">
        <is>
          <t>irn</t>
        </is>
      </c>
      <c r="D2044" s="35">
        <f>INDEX(Inputs!$W$5:$W$132,MATCH($B2044&amp;"|"&amp;$C2044,Inputs!$A$5:$A$132,0))</f>
        <v/>
      </c>
      <c r="E2044" s="35">
        <f>INDEX(Inputs!$L$5:$L$132,MATCH($B2044&amp;"|"&amp;$C2044,Inputs!$A$5:$A$132,0))</f>
        <v/>
      </c>
      <c r="F2044" s="35">
        <f>INDEX(Inputs!$M$5:$M$132,MATCH($B2044&amp;"|"&amp;$C2044,Inputs!$A$5:$A$132,0))</f>
        <v/>
      </c>
      <c r="G2044" s="39" t="n"/>
      <c r="H2044" s="14">
        <f>INDEX(VarLab,MATCH($A2044,VarKey,0))&amp;INDEX(MemLab,MATCH($C2044&amp;"|"&amp;$B2044,MemKey,0))</f>
        <v/>
      </c>
      <c r="I2044" s="14">
        <f>INDEX(VarUnit,MATCH($A2044,VarKey,0))</f>
        <v/>
      </c>
      <c r="J2044" s="14">
        <f>INDEX(VarSrc,MATCH($A2044,VarKey,0))</f>
        <v/>
      </c>
      <c r="K2044" s="11">
        <f>CodePrefix&amp;$A2044&amp;IF($C2044="","","."&amp;$C2044&amp;"."&amp;$B2044)&amp;INDEX(VarEnd,MATCH($A2044,VarKey,0))&amp;K$5</f>
        <v/>
      </c>
      <c r="L2044" s="40">
        <f>INDEX(L$263:L$279,$F2044)*$D2044*INDEX(L$23:L$30,$E2044)</f>
        <v/>
      </c>
      <c r="M2044" s="35">
        <f>INDEX(M$263:M$279,$F2044)*$D2044*INDEX(M$23:M$30,$E2044)</f>
        <v/>
      </c>
      <c r="N2044" s="35">
        <f>INDEX(N$263:N$279,$F2044)*$D2044*INDEX(N$23:N$30,$E2044)</f>
        <v/>
      </c>
      <c r="O2044" s="35">
        <f>INDEX(O$263:O$279,$F2044)*$D2044*INDEX(O$23:O$30,$E2044)</f>
        <v/>
      </c>
      <c r="P2044" s="35">
        <f>INDEX(P$263:P$279,$F2044)*$D2044*INDEX(P$23:P$30,$E2044)</f>
        <v/>
      </c>
      <c r="Q2044" s="35">
        <f>INDEX(Q$263:Q$279,$F2044)*$D2044*INDEX(Q$23:Q$30,$E2044)</f>
        <v/>
      </c>
      <c r="R2044" s="35">
        <f>INDEX(R$263:R$279,$F2044)*$D2044*INDEX(R$23:R$30,$E2044)</f>
        <v/>
      </c>
      <c r="S2044" s="35">
        <f>INDEX(S$263:S$279,$F2044)*$D2044*INDEX(S$23:S$30,$E2044)</f>
        <v/>
      </c>
      <c r="T2044" s="35">
        <f>INDEX(T$263:T$279,$F2044)*$D2044*INDEX(T$23:T$30,$E2044)</f>
        <v/>
      </c>
      <c r="U2044" s="35">
        <f>INDEX(U$263:U$279,$F2044)*$D2044*INDEX(U$23:U$30,$E2044)</f>
        <v/>
      </c>
      <c r="V2044" s="35">
        <f>INDEX(V$263:V$279,$F2044)*$D2044*INDEX(V$23:V$30,$E2044)</f>
        <v/>
      </c>
      <c r="W2044" s="35">
        <f>INDEX(W$263:W$279,$F2044)*$D2044*INDEX(W$23:W$30,$E2044)</f>
        <v/>
      </c>
      <c r="X2044" s="35">
        <f>INDEX(X$263:X$279,$F2044)*$D2044*INDEX(X$23:X$30,$E2044)</f>
        <v/>
      </c>
      <c r="Y2044" s="35">
        <f>INDEX(Y$263:Y$279,$F2044)*$D2044*INDEX(Y$23:Y$30,$E2044)</f>
        <v/>
      </c>
      <c r="Z2044" s="35">
        <f>INDEX(Z$263:Z$279,$F2044)*$D2044*INDEX(Z$23:Z$30,$E2044)</f>
        <v/>
      </c>
      <c r="AA2044" s="35">
        <f>INDEX(AA$263:AA$279,$F2044)*$D2044*INDEX(AA$23:AA$30,$E2044)</f>
        <v/>
      </c>
      <c r="AB2044" s="35">
        <f>INDEX(AB$263:AB$279,$F2044)*$D2044*INDEX(AB$23:AB$30,$E2044)</f>
        <v/>
      </c>
      <c r="AC2044" s="35">
        <f>INDEX(AC$263:AC$279,$F2044)*$D2044*INDEX(AC$23:AC$30,$E2044)</f>
        <v/>
      </c>
      <c r="AD2044" s="35">
        <f>INDEX(AD$263:AD$279,$F2044)*$D2044*INDEX(AD$23:AD$30,$E2044)</f>
        <v/>
      </c>
      <c r="AE2044" s="42">
        <f>CARBONTAX(INDEX(AE$263:AE$279,$F2044),$D2044,INDEX(AE$23:AE$30,$E2044))</f>
        <v/>
      </c>
      <c r="AG2044" s="11">
        <f>CodePrefix&amp;$A2044&amp;IF($C2044="","","."&amp;$C2044&amp;"."&amp;$B2044)&amp;INDEX(VarEnd,MATCH($A2044,VarKey,0))&amp;AG$5</f>
        <v/>
      </c>
      <c r="AH2044" s="40">
        <f>INDEX(AH$263:AH$279,$F2044)*$D2044*INDEX(AH$23:AH$30,$E2044)</f>
        <v/>
      </c>
      <c r="AI2044" s="35">
        <f>INDEX(AI$263:AI$279,$F2044)*$D2044*INDEX(AI$23:AI$30,$E2044)</f>
        <v/>
      </c>
      <c r="AJ2044" s="35">
        <f>INDEX(AJ$263:AJ$279,$F2044)*$D2044*INDEX(AJ$23:AJ$30,$E2044)</f>
        <v/>
      </c>
      <c r="AK2044" s="35">
        <f>INDEX(AK$263:AK$279,$F2044)*$D2044*INDEX(AK$23:AK$30,$E2044)</f>
        <v/>
      </c>
      <c r="AL2044" s="35">
        <f>INDEX(AL$263:AL$279,$F2044)*$D2044*INDEX(AL$23:AL$30,$E2044)</f>
        <v/>
      </c>
      <c r="AM2044" s="35">
        <f>INDEX(AM$263:AM$279,$F2044)*$D2044*INDEX(AM$23:AM$30,$E2044)</f>
        <v/>
      </c>
      <c r="AN2044" s="35">
        <f>INDEX(AN$263:AN$279,$F2044)*$D2044*INDEX(AN$23:AN$30,$E2044)</f>
        <v/>
      </c>
      <c r="AO2044" s="35">
        <f>INDEX(AO$263:AO$279,$F2044)*$D2044*INDEX(AO$23:AO$30,$E2044)</f>
        <v/>
      </c>
      <c r="AP2044" s="35">
        <f>INDEX(AP$263:AP$279,$F2044)*$D2044*INDEX(AP$23:AP$30,$E2044)</f>
        <v/>
      </c>
      <c r="AQ2044" s="35">
        <f>INDEX(AQ$263:AQ$279,$F2044)*$D2044*INDEX(AQ$23:AQ$30,$E2044)</f>
        <v/>
      </c>
      <c r="AR2044" s="35">
        <f>INDEX(AR$263:AR$279,$F2044)*$D2044*INDEX(AR$23:AR$30,$E2044)</f>
        <v/>
      </c>
      <c r="AS2044" s="35">
        <f>INDEX(AS$263:AS$279,$F2044)*$D2044*INDEX(AS$23:AS$30,$E2044)</f>
        <v/>
      </c>
      <c r="AT2044" s="35">
        <f>INDEX(AT$263:AT$279,$F2044)*$D2044*INDEX(AT$23:AT$30,$E2044)</f>
        <v/>
      </c>
      <c r="AU2044" s="35">
        <f>INDEX(AU$263:AU$279,$F2044)*$D2044*INDEX(AU$23:AU$30,$E2044)</f>
        <v/>
      </c>
      <c r="AV2044" s="35">
        <f>INDEX(AV$263:AV$279,$F2044)*$D2044*INDEX(AV$23:AV$30,$E2044)</f>
        <v/>
      </c>
      <c r="AW2044" s="35">
        <f>INDEX(AW$263:AW$279,$F2044)*$D2044*INDEX(AW$23:AW$30,$E2044)</f>
        <v/>
      </c>
      <c r="AX2044" s="35">
        <f>INDEX(AX$263:AX$279,$F2044)*$D2044*INDEX(AX$23:AX$30,$E2044)</f>
        <v/>
      </c>
      <c r="AY2044" s="35">
        <f>INDEX(AY$263:AY$279,$F2044)*$D2044*INDEX(AY$23:AY$30,$E2044)</f>
        <v/>
      </c>
      <c r="AZ2044" s="35">
        <f>INDEX(AZ$263:AZ$279,$F2044)*$D2044*INDEX(AZ$23:AZ$30,$E2044)</f>
        <v/>
      </c>
      <c r="BA2044" s="42">
        <f>CARBONTAX(INDEX(BA$263:BA$279,$F2044),$D2044,INDEX(BA$23:BA$30,$E2044))</f>
        <v/>
      </c>
    </row>
    <row r="2045" hidden="1" outlineLevel="2"/>
    <row r="2046" hidden="1" outlineLevel="2">
      <c r="A2046" s="14" t="inlineStr">
        <is>
          <t>ets</t>
        </is>
      </c>
      <c r="B2046" s="14" t="inlineStr">
        <is>
          <t>coa</t>
        </is>
      </c>
      <c r="C2046" s="14" t="inlineStr">
        <is>
          <t>irn</t>
        </is>
      </c>
      <c r="D2046" s="35">
        <f>INDEX(Inputs!$W$5:$W$132,MATCH($B2046&amp;"|"&amp;$C2046,Inputs!$A$5:$A$132,0))</f>
        <v/>
      </c>
      <c r="E2046" s="35">
        <f>INDEX(Inputs!$M$5:$M$132,MATCH($B2046&amp;"|"&amp;$C2046,Inputs!$A$5:$A$132,0))</f>
        <v/>
      </c>
      <c r="F2046" s="39" t="n"/>
      <c r="G2046" s="39" t="n"/>
      <c r="H2046" s="14">
        <f>INDEX(VarLab,MATCH($A2046,VarKey,0))&amp;INDEX(MemLab,MATCH($C2046&amp;"|"&amp;$B2046,MemKey,0))</f>
        <v/>
      </c>
      <c r="I2046" s="14">
        <f>INDEX(VarUnit,MATCH($A2046,VarKey,0))</f>
        <v/>
      </c>
      <c r="J2046" s="14">
        <f>INDEX(VarSrc,MATCH($A2046,VarKey,0))</f>
        <v/>
      </c>
      <c r="K2046" s="11">
        <f>CodePrefix&amp;$A2046&amp;IF($C2046="","","."&amp;$C2046&amp;"."&amp;$B2046)&amp;INDEX(VarEnd,MATCH($A2046,VarKey,0))&amp;K$5</f>
        <v/>
      </c>
      <c r="L2046" s="40">
        <f>INDEX(L$280:L$296,$E2046)*$D2046</f>
        <v/>
      </c>
      <c r="M2046" s="35">
        <f>INDEX(M$280:M$296,$E2046)*$D2046</f>
        <v/>
      </c>
      <c r="N2046" s="35">
        <f>INDEX(N$280:N$296,$E2046)*$D2046</f>
        <v/>
      </c>
      <c r="O2046" s="35">
        <f>INDEX(O$280:O$296,$E2046)*$D2046</f>
        <v/>
      </c>
      <c r="P2046" s="35">
        <f>INDEX(P$280:P$296,$E2046)*$D2046</f>
        <v/>
      </c>
      <c r="Q2046" s="35">
        <f>INDEX(Q$280:Q$296,$E2046)*$D2046</f>
        <v/>
      </c>
      <c r="R2046" s="35">
        <f>INDEX(R$280:R$296,$E2046)*$D2046</f>
        <v/>
      </c>
      <c r="S2046" s="35">
        <f>INDEX(S$280:S$296,$E2046)*$D2046</f>
        <v/>
      </c>
      <c r="T2046" s="35">
        <f>INDEX(T$280:T$296,$E2046)*$D2046</f>
        <v/>
      </c>
      <c r="U2046" s="35">
        <f>INDEX(U$280:U$296,$E2046)*$D2046</f>
        <v/>
      </c>
      <c r="V2046" s="35">
        <f>INDEX(V$280:V$296,$E2046)*$D2046</f>
        <v/>
      </c>
      <c r="W2046" s="35">
        <f>INDEX(W$280:W$296,$E2046)*$D2046</f>
        <v/>
      </c>
      <c r="X2046" s="35">
        <f>INDEX(X$280:X$296,$E2046)*$D2046</f>
        <v/>
      </c>
      <c r="Y2046" s="35">
        <f>INDEX(Y$280:Y$296,$E2046)*$D2046</f>
        <v/>
      </c>
      <c r="Z2046" s="35">
        <f>INDEX(Z$280:Z$296,$E2046)*$D2046</f>
        <v/>
      </c>
      <c r="AA2046" s="35">
        <f>INDEX(AA$280:AA$296,$E2046)*$D2046</f>
        <v/>
      </c>
      <c r="AB2046" s="35">
        <f>INDEX(AB$280:AB$296,$E2046)*$D2046</f>
        <v/>
      </c>
      <c r="AC2046" s="35">
        <f>INDEX(AC$280:AC$296,$E2046)*$D2046</f>
        <v/>
      </c>
      <c r="AD2046" s="35">
        <f>INDEX(AD$280:AD$296,$E2046)*$D2046</f>
        <v/>
      </c>
      <c r="AE2046" s="42">
        <f>ETSCOST(INDEX(AE$280:AE$296,$E2046),$D2046)</f>
        <v/>
      </c>
      <c r="AG2046" s="11">
        <f>CodePrefix&amp;$A2046&amp;IF($C2046="","","."&amp;$C2046&amp;"."&amp;$B2046)&amp;INDEX(VarEnd,MATCH($A2046,VarKey,0))&amp;AG$5</f>
        <v/>
      </c>
      <c r="AH2046" s="40">
        <f>INDEX(AH$280:AH$296,$E2046)*$D2046</f>
        <v/>
      </c>
      <c r="AI2046" s="35">
        <f>INDEX(AI$280:AI$296,$E2046)*$D2046</f>
        <v/>
      </c>
      <c r="AJ2046" s="35">
        <f>INDEX(AJ$280:AJ$296,$E2046)*$D2046</f>
        <v/>
      </c>
      <c r="AK2046" s="35">
        <f>INDEX(AK$280:AK$296,$E2046)*$D2046</f>
        <v/>
      </c>
      <c r="AL2046" s="35">
        <f>INDEX(AL$280:AL$296,$E2046)*$D2046</f>
        <v/>
      </c>
      <c r="AM2046" s="35">
        <f>INDEX(AM$280:AM$296,$E2046)*$D2046</f>
        <v/>
      </c>
      <c r="AN2046" s="35">
        <f>INDEX(AN$280:AN$296,$E2046)*$D2046</f>
        <v/>
      </c>
      <c r="AO2046" s="35">
        <f>INDEX(AO$280:AO$296,$E2046)*$D2046</f>
        <v/>
      </c>
      <c r="AP2046" s="35">
        <f>INDEX(AP$280:AP$296,$E2046)*$D2046</f>
        <v/>
      </c>
      <c r="AQ2046" s="35">
        <f>INDEX(AQ$280:AQ$296,$E2046)*$D2046</f>
        <v/>
      </c>
      <c r="AR2046" s="35">
        <f>INDEX(AR$280:AR$296,$E2046)*$D2046</f>
        <v/>
      </c>
      <c r="AS2046" s="35">
        <f>INDEX(AS$280:AS$296,$E2046)*$D2046</f>
        <v/>
      </c>
      <c r="AT2046" s="35">
        <f>INDEX(AT$280:AT$296,$E2046)*$D2046</f>
        <v/>
      </c>
      <c r="AU2046" s="35">
        <f>INDEX(AU$280:AU$296,$E2046)*$D2046</f>
        <v/>
      </c>
      <c r="AV2046" s="35">
        <f>INDEX(AV$280:AV$296,$E2046)*$D2046</f>
        <v/>
      </c>
      <c r="AW2046" s="35">
        <f>INDEX(AW$280:AW$296,$E2046)*$D2046</f>
        <v/>
      </c>
      <c r="AX2046" s="35">
        <f>INDEX(AX$280:AX$296,$E2046)*$D2046</f>
        <v/>
      </c>
      <c r="AY2046" s="35">
        <f>INDEX(AY$280:AY$296,$E2046)*$D2046</f>
        <v/>
      </c>
      <c r="AZ2046" s="35">
        <f>INDEX(AZ$280:AZ$296,$E2046)*$D2046</f>
        <v/>
      </c>
      <c r="BA2046" s="42">
        <f>ETSCOST(INDEX(BA$280:BA$296,$E2046),$D2046)</f>
        <v/>
      </c>
    </row>
    <row r="2047" hidden="1" outlineLevel="2">
      <c r="A2047" s="14" t="inlineStr">
        <is>
          <t>ets</t>
        </is>
      </c>
      <c r="B2047" s="14" t="inlineStr">
        <is>
          <t>nga</t>
        </is>
      </c>
      <c r="C2047" s="14" t="inlineStr">
        <is>
          <t>irn</t>
        </is>
      </c>
      <c r="D2047" s="35">
        <f>INDEX(Inputs!$W$5:$W$132,MATCH($B2047&amp;"|"&amp;$C2047,Inputs!$A$5:$A$132,0))</f>
        <v/>
      </c>
      <c r="E2047" s="35">
        <f>INDEX(Inputs!$M$5:$M$132,MATCH($B2047&amp;"|"&amp;$C2047,Inputs!$A$5:$A$132,0))</f>
        <v/>
      </c>
      <c r="F2047" s="39" t="n"/>
      <c r="G2047" s="39" t="n"/>
      <c r="H2047" s="14">
        <f>INDEX(VarLab,MATCH($A2047,VarKey,0))&amp;INDEX(MemLab,MATCH($C2047&amp;"|"&amp;$B2047,MemKey,0))</f>
        <v/>
      </c>
      <c r="I2047" s="14">
        <f>INDEX(VarUnit,MATCH($A2047,VarKey,0))</f>
        <v/>
      </c>
      <c r="J2047" s="14">
        <f>INDEX(VarSrc,MATCH($A2047,VarKey,0))</f>
        <v/>
      </c>
      <c r="K2047" s="11">
        <f>CodePrefix&amp;$A2047&amp;IF($C2047="","","."&amp;$C2047&amp;"."&amp;$B2047)&amp;INDEX(VarEnd,MATCH($A2047,VarKey,0))&amp;K$5</f>
        <v/>
      </c>
      <c r="L2047" s="40">
        <f>INDEX(L$280:L$296,$E2047)*$D2047</f>
        <v/>
      </c>
      <c r="M2047" s="35">
        <f>INDEX(M$280:M$296,$E2047)*$D2047</f>
        <v/>
      </c>
      <c r="N2047" s="35">
        <f>INDEX(N$280:N$296,$E2047)*$D2047</f>
        <v/>
      </c>
      <c r="O2047" s="35">
        <f>INDEX(O$280:O$296,$E2047)*$D2047</f>
        <v/>
      </c>
      <c r="P2047" s="35">
        <f>INDEX(P$280:P$296,$E2047)*$D2047</f>
        <v/>
      </c>
      <c r="Q2047" s="35">
        <f>INDEX(Q$280:Q$296,$E2047)*$D2047</f>
        <v/>
      </c>
      <c r="R2047" s="35">
        <f>INDEX(R$280:R$296,$E2047)*$D2047</f>
        <v/>
      </c>
      <c r="S2047" s="35">
        <f>INDEX(S$280:S$296,$E2047)*$D2047</f>
        <v/>
      </c>
      <c r="T2047" s="35">
        <f>INDEX(T$280:T$296,$E2047)*$D2047</f>
        <v/>
      </c>
      <c r="U2047" s="35">
        <f>INDEX(U$280:U$296,$E2047)*$D2047</f>
        <v/>
      </c>
      <c r="V2047" s="35">
        <f>INDEX(V$280:V$296,$E2047)*$D2047</f>
        <v/>
      </c>
      <c r="W2047" s="35">
        <f>INDEX(W$280:W$296,$E2047)*$D2047</f>
        <v/>
      </c>
      <c r="X2047" s="35">
        <f>INDEX(X$280:X$296,$E2047)*$D2047</f>
        <v/>
      </c>
      <c r="Y2047" s="35">
        <f>INDEX(Y$280:Y$296,$E2047)*$D2047</f>
        <v/>
      </c>
      <c r="Z2047" s="35">
        <f>INDEX(Z$280:Z$296,$E2047)*$D2047</f>
        <v/>
      </c>
      <c r="AA2047" s="35">
        <f>INDEX(AA$280:AA$296,$E2047)*$D2047</f>
        <v/>
      </c>
      <c r="AB2047" s="35">
        <f>INDEX(AB$280:AB$296,$E2047)*$D2047</f>
        <v/>
      </c>
      <c r="AC2047" s="35">
        <f>INDEX(AC$280:AC$296,$E2047)*$D2047</f>
        <v/>
      </c>
      <c r="AD2047" s="35">
        <f>INDEX(AD$280:AD$296,$E2047)*$D2047</f>
        <v/>
      </c>
      <c r="AE2047" s="42">
        <f>ETSCOST(INDEX(AE$280:AE$296,$E2047),$D2047)</f>
        <v/>
      </c>
      <c r="AG2047" s="11">
        <f>CodePrefix&amp;$A2047&amp;IF($C2047="","","."&amp;$C2047&amp;"."&amp;$B2047)&amp;INDEX(VarEnd,MATCH($A2047,VarKey,0))&amp;AG$5</f>
        <v/>
      </c>
      <c r="AH2047" s="40">
        <f>INDEX(AH$280:AH$296,$E2047)*$D2047</f>
        <v/>
      </c>
      <c r="AI2047" s="35">
        <f>INDEX(AI$280:AI$296,$E2047)*$D2047</f>
        <v/>
      </c>
      <c r="AJ2047" s="35">
        <f>INDEX(AJ$280:AJ$296,$E2047)*$D2047</f>
        <v/>
      </c>
      <c r="AK2047" s="35">
        <f>INDEX(AK$280:AK$296,$E2047)*$D2047</f>
        <v/>
      </c>
      <c r="AL2047" s="35">
        <f>INDEX(AL$280:AL$296,$E2047)*$D2047</f>
        <v/>
      </c>
      <c r="AM2047" s="35">
        <f>INDEX(AM$280:AM$296,$E2047)*$D2047</f>
        <v/>
      </c>
      <c r="AN2047" s="35">
        <f>INDEX(AN$280:AN$296,$E2047)*$D2047</f>
        <v/>
      </c>
      <c r="AO2047" s="35">
        <f>INDEX(AO$280:AO$296,$E2047)*$D2047</f>
        <v/>
      </c>
      <c r="AP2047" s="35">
        <f>INDEX(AP$280:AP$296,$E2047)*$D2047</f>
        <v/>
      </c>
      <c r="AQ2047" s="35">
        <f>INDEX(AQ$280:AQ$296,$E2047)*$D2047</f>
        <v/>
      </c>
      <c r="AR2047" s="35">
        <f>INDEX(AR$280:AR$296,$E2047)*$D2047</f>
        <v/>
      </c>
      <c r="AS2047" s="35">
        <f>INDEX(AS$280:AS$296,$E2047)*$D2047</f>
        <v/>
      </c>
      <c r="AT2047" s="35">
        <f>INDEX(AT$280:AT$296,$E2047)*$D2047</f>
        <v/>
      </c>
      <c r="AU2047" s="35">
        <f>INDEX(AU$280:AU$296,$E2047)*$D2047</f>
        <v/>
      </c>
      <c r="AV2047" s="35">
        <f>INDEX(AV$280:AV$296,$E2047)*$D2047</f>
        <v/>
      </c>
      <c r="AW2047" s="35">
        <f>INDEX(AW$280:AW$296,$E2047)*$D2047</f>
        <v/>
      </c>
      <c r="AX2047" s="35">
        <f>INDEX(AX$280:AX$296,$E2047)*$D2047</f>
        <v/>
      </c>
      <c r="AY2047" s="35">
        <f>INDEX(AY$280:AY$296,$E2047)*$D2047</f>
        <v/>
      </c>
      <c r="AZ2047" s="35">
        <f>INDEX(AZ$280:AZ$296,$E2047)*$D2047</f>
        <v/>
      </c>
      <c r="BA2047" s="42">
        <f>ETSCOST(INDEX(BA$280:BA$296,$E2047),$D2047)</f>
        <v/>
      </c>
    </row>
    <row r="2048" hidden="1" outlineLevel="2">
      <c r="A2048" s="14" t="inlineStr">
        <is>
          <t>ets</t>
        </is>
      </c>
      <c r="B2048" s="14" t="inlineStr">
        <is>
          <t>gso</t>
        </is>
      </c>
      <c r="C2048" s="14" t="inlineStr">
        <is>
          <t>irn</t>
        </is>
      </c>
      <c r="D2048" s="35">
        <f>INDEX(Inputs!$W$5:$W$132,MATCH($B2048&amp;"|"&amp;$C2048,Inputs!$A$5:$A$132,0))</f>
        <v/>
      </c>
      <c r="E2048" s="35">
        <f>INDEX(Inputs!$M$5:$M$132,MATCH($B2048&amp;"|"&amp;$C2048,Inputs!$A$5:$A$132,0))</f>
        <v/>
      </c>
      <c r="F2048" s="39" t="n"/>
      <c r="G2048" s="39" t="n"/>
      <c r="H2048" s="14">
        <f>INDEX(VarLab,MATCH($A2048,VarKey,0))&amp;INDEX(MemLab,MATCH($C2048&amp;"|"&amp;$B2048,MemKey,0))</f>
        <v/>
      </c>
      <c r="I2048" s="14">
        <f>INDEX(VarUnit,MATCH($A2048,VarKey,0))</f>
        <v/>
      </c>
      <c r="J2048" s="14">
        <f>INDEX(VarSrc,MATCH($A2048,VarKey,0))</f>
        <v/>
      </c>
      <c r="K2048" s="11">
        <f>CodePrefix&amp;$A2048&amp;IF($C2048="","","."&amp;$C2048&amp;"."&amp;$B2048)&amp;INDEX(VarEnd,MATCH($A2048,VarKey,0))&amp;K$5</f>
        <v/>
      </c>
      <c r="L2048" s="40">
        <f>INDEX(L$280:L$296,$E2048)*$D2048</f>
        <v/>
      </c>
      <c r="M2048" s="35">
        <f>INDEX(M$280:M$296,$E2048)*$D2048</f>
        <v/>
      </c>
      <c r="N2048" s="35">
        <f>INDEX(N$280:N$296,$E2048)*$D2048</f>
        <v/>
      </c>
      <c r="O2048" s="35">
        <f>INDEX(O$280:O$296,$E2048)*$D2048</f>
        <v/>
      </c>
      <c r="P2048" s="35">
        <f>INDEX(P$280:P$296,$E2048)*$D2048</f>
        <v/>
      </c>
      <c r="Q2048" s="35">
        <f>INDEX(Q$280:Q$296,$E2048)*$D2048</f>
        <v/>
      </c>
      <c r="R2048" s="35">
        <f>INDEX(R$280:R$296,$E2048)*$D2048</f>
        <v/>
      </c>
      <c r="S2048" s="35">
        <f>INDEX(S$280:S$296,$E2048)*$D2048</f>
        <v/>
      </c>
      <c r="T2048" s="35">
        <f>INDEX(T$280:T$296,$E2048)*$D2048</f>
        <v/>
      </c>
      <c r="U2048" s="35">
        <f>INDEX(U$280:U$296,$E2048)*$D2048</f>
        <v/>
      </c>
      <c r="V2048" s="35">
        <f>INDEX(V$280:V$296,$E2048)*$D2048</f>
        <v/>
      </c>
      <c r="W2048" s="35">
        <f>INDEX(W$280:W$296,$E2048)*$D2048</f>
        <v/>
      </c>
      <c r="X2048" s="35">
        <f>INDEX(X$280:X$296,$E2048)*$D2048</f>
        <v/>
      </c>
      <c r="Y2048" s="35">
        <f>INDEX(Y$280:Y$296,$E2048)*$D2048</f>
        <v/>
      </c>
      <c r="Z2048" s="35">
        <f>INDEX(Z$280:Z$296,$E2048)*$D2048</f>
        <v/>
      </c>
      <c r="AA2048" s="35">
        <f>INDEX(AA$280:AA$296,$E2048)*$D2048</f>
        <v/>
      </c>
      <c r="AB2048" s="35">
        <f>INDEX(AB$280:AB$296,$E2048)*$D2048</f>
        <v/>
      </c>
      <c r="AC2048" s="35">
        <f>INDEX(AC$280:AC$296,$E2048)*$D2048</f>
        <v/>
      </c>
      <c r="AD2048" s="35">
        <f>INDEX(AD$280:AD$296,$E2048)*$D2048</f>
        <v/>
      </c>
      <c r="AE2048" s="42">
        <f>ETSCOST(INDEX(AE$280:AE$296,$E2048),$D2048)</f>
        <v/>
      </c>
      <c r="AG2048" s="11">
        <f>CodePrefix&amp;$A2048&amp;IF($C2048="","","."&amp;$C2048&amp;"."&amp;$B2048)&amp;INDEX(VarEnd,MATCH($A2048,VarKey,0))&amp;AG$5</f>
        <v/>
      </c>
      <c r="AH2048" s="40">
        <f>INDEX(AH$280:AH$296,$E2048)*$D2048</f>
        <v/>
      </c>
      <c r="AI2048" s="35">
        <f>INDEX(AI$280:AI$296,$E2048)*$D2048</f>
        <v/>
      </c>
      <c r="AJ2048" s="35">
        <f>INDEX(AJ$280:AJ$296,$E2048)*$D2048</f>
        <v/>
      </c>
      <c r="AK2048" s="35">
        <f>INDEX(AK$280:AK$296,$E2048)*$D2048</f>
        <v/>
      </c>
      <c r="AL2048" s="35">
        <f>INDEX(AL$280:AL$296,$E2048)*$D2048</f>
        <v/>
      </c>
      <c r="AM2048" s="35">
        <f>INDEX(AM$280:AM$296,$E2048)*$D2048</f>
        <v/>
      </c>
      <c r="AN2048" s="35">
        <f>INDEX(AN$280:AN$296,$E2048)*$D2048</f>
        <v/>
      </c>
      <c r="AO2048" s="35">
        <f>INDEX(AO$280:AO$296,$E2048)*$D2048</f>
        <v/>
      </c>
      <c r="AP2048" s="35">
        <f>INDEX(AP$280:AP$296,$E2048)*$D2048</f>
        <v/>
      </c>
      <c r="AQ2048" s="35">
        <f>INDEX(AQ$280:AQ$296,$E2048)*$D2048</f>
        <v/>
      </c>
      <c r="AR2048" s="35">
        <f>INDEX(AR$280:AR$296,$E2048)*$D2048</f>
        <v/>
      </c>
      <c r="AS2048" s="35">
        <f>INDEX(AS$280:AS$296,$E2048)*$D2048</f>
        <v/>
      </c>
      <c r="AT2048" s="35">
        <f>INDEX(AT$280:AT$296,$E2048)*$D2048</f>
        <v/>
      </c>
      <c r="AU2048" s="35">
        <f>INDEX(AU$280:AU$296,$E2048)*$D2048</f>
        <v/>
      </c>
      <c r="AV2048" s="35">
        <f>INDEX(AV$280:AV$296,$E2048)*$D2048</f>
        <v/>
      </c>
      <c r="AW2048" s="35">
        <f>INDEX(AW$280:AW$296,$E2048)*$D2048</f>
        <v/>
      </c>
      <c r="AX2048" s="35">
        <f>INDEX(AX$280:AX$296,$E2048)*$D2048</f>
        <v/>
      </c>
      <c r="AY2048" s="35">
        <f>INDEX(AY$280:AY$296,$E2048)*$D2048</f>
        <v/>
      </c>
      <c r="AZ2048" s="35">
        <f>INDEX(AZ$280:AZ$296,$E2048)*$D2048</f>
        <v/>
      </c>
      <c r="BA2048" s="42">
        <f>ETSCOST(INDEX(BA$280:BA$296,$E2048),$D2048)</f>
        <v/>
      </c>
    </row>
    <row r="2049" hidden="1" outlineLevel="2">
      <c r="A2049" s="14" t="inlineStr">
        <is>
          <t>ets</t>
        </is>
      </c>
      <c r="B2049" s="14" t="inlineStr">
        <is>
          <t>die</t>
        </is>
      </c>
      <c r="C2049" s="14" t="inlineStr">
        <is>
          <t>irn</t>
        </is>
      </c>
      <c r="D2049" s="35">
        <f>INDEX(Inputs!$W$5:$W$132,MATCH($B2049&amp;"|"&amp;$C2049,Inputs!$A$5:$A$132,0))</f>
        <v/>
      </c>
      <c r="E2049" s="35">
        <f>INDEX(Inputs!$M$5:$M$132,MATCH($B2049&amp;"|"&amp;$C2049,Inputs!$A$5:$A$132,0))</f>
        <v/>
      </c>
      <c r="F2049" s="39" t="n"/>
      <c r="G2049" s="39" t="n"/>
      <c r="H2049" s="14">
        <f>INDEX(VarLab,MATCH($A2049,VarKey,0))&amp;INDEX(MemLab,MATCH($C2049&amp;"|"&amp;$B2049,MemKey,0))</f>
        <v/>
      </c>
      <c r="I2049" s="14">
        <f>INDEX(VarUnit,MATCH($A2049,VarKey,0))</f>
        <v/>
      </c>
      <c r="J2049" s="14">
        <f>INDEX(VarSrc,MATCH($A2049,VarKey,0))</f>
        <v/>
      </c>
      <c r="K2049" s="11">
        <f>CodePrefix&amp;$A2049&amp;IF($C2049="","","."&amp;$C2049&amp;"."&amp;$B2049)&amp;INDEX(VarEnd,MATCH($A2049,VarKey,0))&amp;K$5</f>
        <v/>
      </c>
      <c r="L2049" s="40">
        <f>INDEX(L$280:L$296,$E2049)*$D2049</f>
        <v/>
      </c>
      <c r="M2049" s="35">
        <f>INDEX(M$280:M$296,$E2049)*$D2049</f>
        <v/>
      </c>
      <c r="N2049" s="35">
        <f>INDEX(N$280:N$296,$E2049)*$D2049</f>
        <v/>
      </c>
      <c r="O2049" s="35">
        <f>INDEX(O$280:O$296,$E2049)*$D2049</f>
        <v/>
      </c>
      <c r="P2049" s="35">
        <f>INDEX(P$280:P$296,$E2049)*$D2049</f>
        <v/>
      </c>
      <c r="Q2049" s="35">
        <f>INDEX(Q$280:Q$296,$E2049)*$D2049</f>
        <v/>
      </c>
      <c r="R2049" s="35">
        <f>INDEX(R$280:R$296,$E2049)*$D2049</f>
        <v/>
      </c>
      <c r="S2049" s="35">
        <f>INDEX(S$280:S$296,$E2049)*$D2049</f>
        <v/>
      </c>
      <c r="T2049" s="35">
        <f>INDEX(T$280:T$296,$E2049)*$D2049</f>
        <v/>
      </c>
      <c r="U2049" s="35">
        <f>INDEX(U$280:U$296,$E2049)*$D2049</f>
        <v/>
      </c>
      <c r="V2049" s="35">
        <f>INDEX(V$280:V$296,$E2049)*$D2049</f>
        <v/>
      </c>
      <c r="W2049" s="35">
        <f>INDEX(W$280:W$296,$E2049)*$D2049</f>
        <v/>
      </c>
      <c r="X2049" s="35">
        <f>INDEX(X$280:X$296,$E2049)*$D2049</f>
        <v/>
      </c>
      <c r="Y2049" s="35">
        <f>INDEX(Y$280:Y$296,$E2049)*$D2049</f>
        <v/>
      </c>
      <c r="Z2049" s="35">
        <f>INDEX(Z$280:Z$296,$E2049)*$D2049</f>
        <v/>
      </c>
      <c r="AA2049" s="35">
        <f>INDEX(AA$280:AA$296,$E2049)*$D2049</f>
        <v/>
      </c>
      <c r="AB2049" s="35">
        <f>INDEX(AB$280:AB$296,$E2049)*$D2049</f>
        <v/>
      </c>
      <c r="AC2049" s="35">
        <f>INDEX(AC$280:AC$296,$E2049)*$D2049</f>
        <v/>
      </c>
      <c r="AD2049" s="35">
        <f>INDEX(AD$280:AD$296,$E2049)*$D2049</f>
        <v/>
      </c>
      <c r="AE2049" s="42">
        <f>ETSCOST(INDEX(AE$280:AE$296,$E2049),$D2049)</f>
        <v/>
      </c>
      <c r="AG2049" s="11">
        <f>CodePrefix&amp;$A2049&amp;IF($C2049="","","."&amp;$C2049&amp;"."&amp;$B2049)&amp;INDEX(VarEnd,MATCH($A2049,VarKey,0))&amp;AG$5</f>
        <v/>
      </c>
      <c r="AH2049" s="40">
        <f>INDEX(AH$280:AH$296,$E2049)*$D2049</f>
        <v/>
      </c>
      <c r="AI2049" s="35">
        <f>INDEX(AI$280:AI$296,$E2049)*$D2049</f>
        <v/>
      </c>
      <c r="AJ2049" s="35">
        <f>INDEX(AJ$280:AJ$296,$E2049)*$D2049</f>
        <v/>
      </c>
      <c r="AK2049" s="35">
        <f>INDEX(AK$280:AK$296,$E2049)*$D2049</f>
        <v/>
      </c>
      <c r="AL2049" s="35">
        <f>INDEX(AL$280:AL$296,$E2049)*$D2049</f>
        <v/>
      </c>
      <c r="AM2049" s="35">
        <f>INDEX(AM$280:AM$296,$E2049)*$D2049</f>
        <v/>
      </c>
      <c r="AN2049" s="35">
        <f>INDEX(AN$280:AN$296,$E2049)*$D2049</f>
        <v/>
      </c>
      <c r="AO2049" s="35">
        <f>INDEX(AO$280:AO$296,$E2049)*$D2049</f>
        <v/>
      </c>
      <c r="AP2049" s="35">
        <f>INDEX(AP$280:AP$296,$E2049)*$D2049</f>
        <v/>
      </c>
      <c r="AQ2049" s="35">
        <f>INDEX(AQ$280:AQ$296,$E2049)*$D2049</f>
        <v/>
      </c>
      <c r="AR2049" s="35">
        <f>INDEX(AR$280:AR$296,$E2049)*$D2049</f>
        <v/>
      </c>
      <c r="AS2049" s="35">
        <f>INDEX(AS$280:AS$296,$E2049)*$D2049</f>
        <v/>
      </c>
      <c r="AT2049" s="35">
        <f>INDEX(AT$280:AT$296,$E2049)*$D2049</f>
        <v/>
      </c>
      <c r="AU2049" s="35">
        <f>INDEX(AU$280:AU$296,$E2049)*$D2049</f>
        <v/>
      </c>
      <c r="AV2049" s="35">
        <f>INDEX(AV$280:AV$296,$E2049)*$D2049</f>
        <v/>
      </c>
      <c r="AW2049" s="35">
        <f>INDEX(AW$280:AW$296,$E2049)*$D2049</f>
        <v/>
      </c>
      <c r="AX2049" s="35">
        <f>INDEX(AX$280:AX$296,$E2049)*$D2049</f>
        <v/>
      </c>
      <c r="AY2049" s="35">
        <f>INDEX(AY$280:AY$296,$E2049)*$D2049</f>
        <v/>
      </c>
      <c r="AZ2049" s="35">
        <f>INDEX(AZ$280:AZ$296,$E2049)*$D2049</f>
        <v/>
      </c>
      <c r="BA2049" s="42">
        <f>ETSCOST(INDEX(BA$280:BA$296,$E2049),$D2049)</f>
        <v/>
      </c>
    </row>
    <row r="2050" hidden="1" outlineLevel="2">
      <c r="A2050" s="14" t="inlineStr">
        <is>
          <t>ets</t>
        </is>
      </c>
      <c r="B2050" s="14" t="inlineStr">
        <is>
          <t>lpg</t>
        </is>
      </c>
      <c r="C2050" s="14" t="inlineStr">
        <is>
          <t>irn</t>
        </is>
      </c>
      <c r="D2050" s="35">
        <f>INDEX(Inputs!$W$5:$W$132,MATCH($B2050&amp;"|"&amp;$C2050,Inputs!$A$5:$A$132,0))</f>
        <v/>
      </c>
      <c r="E2050" s="35">
        <f>INDEX(Inputs!$M$5:$M$132,MATCH($B2050&amp;"|"&amp;$C2050,Inputs!$A$5:$A$132,0))</f>
        <v/>
      </c>
      <c r="F2050" s="39" t="n"/>
      <c r="G2050" s="39" t="n"/>
      <c r="H2050" s="14">
        <f>INDEX(VarLab,MATCH($A2050,VarKey,0))&amp;INDEX(MemLab,MATCH($C2050&amp;"|"&amp;$B2050,MemKey,0))</f>
        <v/>
      </c>
      <c r="I2050" s="14">
        <f>INDEX(VarUnit,MATCH($A2050,VarKey,0))</f>
        <v/>
      </c>
      <c r="J2050" s="14">
        <f>INDEX(VarSrc,MATCH($A2050,VarKey,0))</f>
        <v/>
      </c>
      <c r="K2050" s="11">
        <f>CodePrefix&amp;$A2050&amp;IF($C2050="","","."&amp;$C2050&amp;"."&amp;$B2050)&amp;INDEX(VarEnd,MATCH($A2050,VarKey,0))&amp;K$5</f>
        <v/>
      </c>
      <c r="L2050" s="40">
        <f>INDEX(L$280:L$296,$E2050)*$D2050</f>
        <v/>
      </c>
      <c r="M2050" s="35">
        <f>INDEX(M$280:M$296,$E2050)*$D2050</f>
        <v/>
      </c>
      <c r="N2050" s="35">
        <f>INDEX(N$280:N$296,$E2050)*$D2050</f>
        <v/>
      </c>
      <c r="O2050" s="35">
        <f>INDEX(O$280:O$296,$E2050)*$D2050</f>
        <v/>
      </c>
      <c r="P2050" s="35">
        <f>INDEX(P$280:P$296,$E2050)*$D2050</f>
        <v/>
      </c>
      <c r="Q2050" s="35">
        <f>INDEX(Q$280:Q$296,$E2050)*$D2050</f>
        <v/>
      </c>
      <c r="R2050" s="35">
        <f>INDEX(R$280:R$296,$E2050)*$D2050</f>
        <v/>
      </c>
      <c r="S2050" s="35">
        <f>INDEX(S$280:S$296,$E2050)*$D2050</f>
        <v/>
      </c>
      <c r="T2050" s="35">
        <f>INDEX(T$280:T$296,$E2050)*$D2050</f>
        <v/>
      </c>
      <c r="U2050" s="35">
        <f>INDEX(U$280:U$296,$E2050)*$D2050</f>
        <v/>
      </c>
      <c r="V2050" s="35">
        <f>INDEX(V$280:V$296,$E2050)*$D2050</f>
        <v/>
      </c>
      <c r="W2050" s="35">
        <f>INDEX(W$280:W$296,$E2050)*$D2050</f>
        <v/>
      </c>
      <c r="X2050" s="35">
        <f>INDEX(X$280:X$296,$E2050)*$D2050</f>
        <v/>
      </c>
      <c r="Y2050" s="35">
        <f>INDEX(Y$280:Y$296,$E2050)*$D2050</f>
        <v/>
      </c>
      <c r="Z2050" s="35">
        <f>INDEX(Z$280:Z$296,$E2050)*$D2050</f>
        <v/>
      </c>
      <c r="AA2050" s="35">
        <f>INDEX(AA$280:AA$296,$E2050)*$D2050</f>
        <v/>
      </c>
      <c r="AB2050" s="35">
        <f>INDEX(AB$280:AB$296,$E2050)*$D2050</f>
        <v/>
      </c>
      <c r="AC2050" s="35">
        <f>INDEX(AC$280:AC$296,$E2050)*$D2050</f>
        <v/>
      </c>
      <c r="AD2050" s="35">
        <f>INDEX(AD$280:AD$296,$E2050)*$D2050</f>
        <v/>
      </c>
      <c r="AE2050" s="42">
        <f>ETSCOST(INDEX(AE$280:AE$296,$E2050),$D2050)</f>
        <v/>
      </c>
      <c r="AG2050" s="11">
        <f>CodePrefix&amp;$A2050&amp;IF($C2050="","","."&amp;$C2050&amp;"."&amp;$B2050)&amp;INDEX(VarEnd,MATCH($A2050,VarKey,0))&amp;AG$5</f>
        <v/>
      </c>
      <c r="AH2050" s="40">
        <f>INDEX(AH$280:AH$296,$E2050)*$D2050</f>
        <v/>
      </c>
      <c r="AI2050" s="35">
        <f>INDEX(AI$280:AI$296,$E2050)*$D2050</f>
        <v/>
      </c>
      <c r="AJ2050" s="35">
        <f>INDEX(AJ$280:AJ$296,$E2050)*$D2050</f>
        <v/>
      </c>
      <c r="AK2050" s="35">
        <f>INDEX(AK$280:AK$296,$E2050)*$D2050</f>
        <v/>
      </c>
      <c r="AL2050" s="35">
        <f>INDEX(AL$280:AL$296,$E2050)*$D2050</f>
        <v/>
      </c>
      <c r="AM2050" s="35">
        <f>INDEX(AM$280:AM$296,$E2050)*$D2050</f>
        <v/>
      </c>
      <c r="AN2050" s="35">
        <f>INDEX(AN$280:AN$296,$E2050)*$D2050</f>
        <v/>
      </c>
      <c r="AO2050" s="35">
        <f>INDEX(AO$280:AO$296,$E2050)*$D2050</f>
        <v/>
      </c>
      <c r="AP2050" s="35">
        <f>INDEX(AP$280:AP$296,$E2050)*$D2050</f>
        <v/>
      </c>
      <c r="AQ2050" s="35">
        <f>INDEX(AQ$280:AQ$296,$E2050)*$D2050</f>
        <v/>
      </c>
      <c r="AR2050" s="35">
        <f>INDEX(AR$280:AR$296,$E2050)*$D2050</f>
        <v/>
      </c>
      <c r="AS2050" s="35">
        <f>INDEX(AS$280:AS$296,$E2050)*$D2050</f>
        <v/>
      </c>
      <c r="AT2050" s="35">
        <f>INDEX(AT$280:AT$296,$E2050)*$D2050</f>
        <v/>
      </c>
      <c r="AU2050" s="35">
        <f>INDEX(AU$280:AU$296,$E2050)*$D2050</f>
        <v/>
      </c>
      <c r="AV2050" s="35">
        <f>INDEX(AV$280:AV$296,$E2050)*$D2050</f>
        <v/>
      </c>
      <c r="AW2050" s="35">
        <f>INDEX(AW$280:AW$296,$E2050)*$D2050</f>
        <v/>
      </c>
      <c r="AX2050" s="35">
        <f>INDEX(AX$280:AX$296,$E2050)*$D2050</f>
        <v/>
      </c>
      <c r="AY2050" s="35">
        <f>INDEX(AY$280:AY$296,$E2050)*$D2050</f>
        <v/>
      </c>
      <c r="AZ2050" s="35">
        <f>INDEX(AZ$280:AZ$296,$E2050)*$D2050</f>
        <v/>
      </c>
      <c r="BA2050" s="42">
        <f>ETSCOST(INDEX(BA$280:BA$296,$E2050),$D2050)</f>
        <v/>
      </c>
    </row>
    <row r="2051" hidden="1" outlineLevel="2">
      <c r="A2051" s="14" t="inlineStr">
        <is>
          <t>ets</t>
        </is>
      </c>
      <c r="B2051" s="14" t="inlineStr">
        <is>
          <t>ker</t>
        </is>
      </c>
      <c r="C2051" s="14" t="inlineStr">
        <is>
          <t>irn</t>
        </is>
      </c>
      <c r="D2051" s="35">
        <f>INDEX(Inputs!$W$5:$W$132,MATCH($B2051&amp;"|"&amp;$C2051,Inputs!$A$5:$A$132,0))</f>
        <v/>
      </c>
      <c r="E2051" s="35">
        <f>INDEX(Inputs!$M$5:$M$132,MATCH($B2051&amp;"|"&amp;$C2051,Inputs!$A$5:$A$132,0))</f>
        <v/>
      </c>
      <c r="F2051" s="39" t="n"/>
      <c r="G2051" s="39" t="n"/>
      <c r="H2051" s="14">
        <f>INDEX(VarLab,MATCH($A2051,VarKey,0))&amp;INDEX(MemLab,MATCH($C2051&amp;"|"&amp;$B2051,MemKey,0))</f>
        <v/>
      </c>
      <c r="I2051" s="14">
        <f>INDEX(VarUnit,MATCH($A2051,VarKey,0))</f>
        <v/>
      </c>
      <c r="J2051" s="14">
        <f>INDEX(VarSrc,MATCH($A2051,VarKey,0))</f>
        <v/>
      </c>
      <c r="K2051" s="11">
        <f>CodePrefix&amp;$A2051&amp;IF($C2051="","","."&amp;$C2051&amp;"."&amp;$B2051)&amp;INDEX(VarEnd,MATCH($A2051,VarKey,0))&amp;K$5</f>
        <v/>
      </c>
      <c r="L2051" s="40">
        <f>INDEX(L$280:L$296,$E2051)*$D2051</f>
        <v/>
      </c>
      <c r="M2051" s="35">
        <f>INDEX(M$280:M$296,$E2051)*$D2051</f>
        <v/>
      </c>
      <c r="N2051" s="35">
        <f>INDEX(N$280:N$296,$E2051)*$D2051</f>
        <v/>
      </c>
      <c r="O2051" s="35">
        <f>INDEX(O$280:O$296,$E2051)*$D2051</f>
        <v/>
      </c>
      <c r="P2051" s="35">
        <f>INDEX(P$280:P$296,$E2051)*$D2051</f>
        <v/>
      </c>
      <c r="Q2051" s="35">
        <f>INDEX(Q$280:Q$296,$E2051)*$D2051</f>
        <v/>
      </c>
      <c r="R2051" s="35">
        <f>INDEX(R$280:R$296,$E2051)*$D2051</f>
        <v/>
      </c>
      <c r="S2051" s="35">
        <f>INDEX(S$280:S$296,$E2051)*$D2051</f>
        <v/>
      </c>
      <c r="T2051" s="35">
        <f>INDEX(T$280:T$296,$E2051)*$D2051</f>
        <v/>
      </c>
      <c r="U2051" s="35">
        <f>INDEX(U$280:U$296,$E2051)*$D2051</f>
        <v/>
      </c>
      <c r="V2051" s="35">
        <f>INDEX(V$280:V$296,$E2051)*$D2051</f>
        <v/>
      </c>
      <c r="W2051" s="35">
        <f>INDEX(W$280:W$296,$E2051)*$D2051</f>
        <v/>
      </c>
      <c r="X2051" s="35">
        <f>INDEX(X$280:X$296,$E2051)*$D2051</f>
        <v/>
      </c>
      <c r="Y2051" s="35">
        <f>INDEX(Y$280:Y$296,$E2051)*$D2051</f>
        <v/>
      </c>
      <c r="Z2051" s="35">
        <f>INDEX(Z$280:Z$296,$E2051)*$D2051</f>
        <v/>
      </c>
      <c r="AA2051" s="35">
        <f>INDEX(AA$280:AA$296,$E2051)*$D2051</f>
        <v/>
      </c>
      <c r="AB2051" s="35">
        <f>INDEX(AB$280:AB$296,$E2051)*$D2051</f>
        <v/>
      </c>
      <c r="AC2051" s="35">
        <f>INDEX(AC$280:AC$296,$E2051)*$D2051</f>
        <v/>
      </c>
      <c r="AD2051" s="35">
        <f>INDEX(AD$280:AD$296,$E2051)*$D2051</f>
        <v/>
      </c>
      <c r="AE2051" s="42">
        <f>ETSCOST(INDEX(AE$280:AE$296,$E2051),$D2051)</f>
        <v/>
      </c>
      <c r="AG2051" s="11">
        <f>CodePrefix&amp;$A2051&amp;IF($C2051="","","."&amp;$C2051&amp;"."&amp;$B2051)&amp;INDEX(VarEnd,MATCH($A2051,VarKey,0))&amp;AG$5</f>
        <v/>
      </c>
      <c r="AH2051" s="40">
        <f>INDEX(AH$280:AH$296,$E2051)*$D2051</f>
        <v/>
      </c>
      <c r="AI2051" s="35">
        <f>INDEX(AI$280:AI$296,$E2051)*$D2051</f>
        <v/>
      </c>
      <c r="AJ2051" s="35">
        <f>INDEX(AJ$280:AJ$296,$E2051)*$D2051</f>
        <v/>
      </c>
      <c r="AK2051" s="35">
        <f>INDEX(AK$280:AK$296,$E2051)*$D2051</f>
        <v/>
      </c>
      <c r="AL2051" s="35">
        <f>INDEX(AL$280:AL$296,$E2051)*$D2051</f>
        <v/>
      </c>
      <c r="AM2051" s="35">
        <f>INDEX(AM$280:AM$296,$E2051)*$D2051</f>
        <v/>
      </c>
      <c r="AN2051" s="35">
        <f>INDEX(AN$280:AN$296,$E2051)*$D2051</f>
        <v/>
      </c>
      <c r="AO2051" s="35">
        <f>INDEX(AO$280:AO$296,$E2051)*$D2051</f>
        <v/>
      </c>
      <c r="AP2051" s="35">
        <f>INDEX(AP$280:AP$296,$E2051)*$D2051</f>
        <v/>
      </c>
      <c r="AQ2051" s="35">
        <f>INDEX(AQ$280:AQ$296,$E2051)*$D2051</f>
        <v/>
      </c>
      <c r="AR2051" s="35">
        <f>INDEX(AR$280:AR$296,$E2051)*$D2051</f>
        <v/>
      </c>
      <c r="AS2051" s="35">
        <f>INDEX(AS$280:AS$296,$E2051)*$D2051</f>
        <v/>
      </c>
      <c r="AT2051" s="35">
        <f>INDEX(AT$280:AT$296,$E2051)*$D2051</f>
        <v/>
      </c>
      <c r="AU2051" s="35">
        <f>INDEX(AU$280:AU$296,$E2051)*$D2051</f>
        <v/>
      </c>
      <c r="AV2051" s="35">
        <f>INDEX(AV$280:AV$296,$E2051)*$D2051</f>
        <v/>
      </c>
      <c r="AW2051" s="35">
        <f>INDEX(AW$280:AW$296,$E2051)*$D2051</f>
        <v/>
      </c>
      <c r="AX2051" s="35">
        <f>INDEX(AX$280:AX$296,$E2051)*$D2051</f>
        <v/>
      </c>
      <c r="AY2051" s="35">
        <f>INDEX(AY$280:AY$296,$E2051)*$D2051</f>
        <v/>
      </c>
      <c r="AZ2051" s="35">
        <f>INDEX(AZ$280:AZ$296,$E2051)*$D2051</f>
        <v/>
      </c>
      <c r="BA2051" s="42">
        <f>ETSCOST(INDEX(BA$280:BA$296,$E2051),$D2051)</f>
        <v/>
      </c>
    </row>
    <row r="2052" hidden="1" outlineLevel="2">
      <c r="A2052" s="14" t="inlineStr">
        <is>
          <t>ets</t>
        </is>
      </c>
      <c r="B2052" s="14" t="inlineStr">
        <is>
          <t>oop</t>
        </is>
      </c>
      <c r="C2052" s="14" t="inlineStr">
        <is>
          <t>irn</t>
        </is>
      </c>
      <c r="D2052" s="35">
        <f>INDEX(Inputs!$W$5:$W$132,MATCH($B2052&amp;"|"&amp;$C2052,Inputs!$A$5:$A$132,0))</f>
        <v/>
      </c>
      <c r="E2052" s="35">
        <f>INDEX(Inputs!$M$5:$M$132,MATCH($B2052&amp;"|"&amp;$C2052,Inputs!$A$5:$A$132,0))</f>
        <v/>
      </c>
      <c r="F2052" s="39" t="n"/>
      <c r="G2052" s="39" t="n"/>
      <c r="H2052" s="14">
        <f>INDEX(VarLab,MATCH($A2052,VarKey,0))&amp;INDEX(MemLab,MATCH($C2052&amp;"|"&amp;$B2052,MemKey,0))</f>
        <v/>
      </c>
      <c r="I2052" s="14">
        <f>INDEX(VarUnit,MATCH($A2052,VarKey,0))</f>
        <v/>
      </c>
      <c r="J2052" s="14">
        <f>INDEX(VarSrc,MATCH($A2052,VarKey,0))</f>
        <v/>
      </c>
      <c r="K2052" s="11">
        <f>CodePrefix&amp;$A2052&amp;IF($C2052="","","."&amp;$C2052&amp;"."&amp;$B2052)&amp;INDEX(VarEnd,MATCH($A2052,VarKey,0))&amp;K$5</f>
        <v/>
      </c>
      <c r="L2052" s="40">
        <f>INDEX(L$280:L$296,$E2052)*$D2052</f>
        <v/>
      </c>
      <c r="M2052" s="35">
        <f>INDEX(M$280:M$296,$E2052)*$D2052</f>
        <v/>
      </c>
      <c r="N2052" s="35">
        <f>INDEX(N$280:N$296,$E2052)*$D2052</f>
        <v/>
      </c>
      <c r="O2052" s="35">
        <f>INDEX(O$280:O$296,$E2052)*$D2052</f>
        <v/>
      </c>
      <c r="P2052" s="35">
        <f>INDEX(P$280:P$296,$E2052)*$D2052</f>
        <v/>
      </c>
      <c r="Q2052" s="35">
        <f>INDEX(Q$280:Q$296,$E2052)*$D2052</f>
        <v/>
      </c>
      <c r="R2052" s="35">
        <f>INDEX(R$280:R$296,$E2052)*$D2052</f>
        <v/>
      </c>
      <c r="S2052" s="35">
        <f>INDEX(S$280:S$296,$E2052)*$D2052</f>
        <v/>
      </c>
      <c r="T2052" s="35">
        <f>INDEX(T$280:T$296,$E2052)*$D2052</f>
        <v/>
      </c>
      <c r="U2052" s="35">
        <f>INDEX(U$280:U$296,$E2052)*$D2052</f>
        <v/>
      </c>
      <c r="V2052" s="35">
        <f>INDEX(V$280:V$296,$E2052)*$D2052</f>
        <v/>
      </c>
      <c r="W2052" s="35">
        <f>INDEX(W$280:W$296,$E2052)*$D2052</f>
        <v/>
      </c>
      <c r="X2052" s="35">
        <f>INDEX(X$280:X$296,$E2052)*$D2052</f>
        <v/>
      </c>
      <c r="Y2052" s="35">
        <f>INDEX(Y$280:Y$296,$E2052)*$D2052</f>
        <v/>
      </c>
      <c r="Z2052" s="35">
        <f>INDEX(Z$280:Z$296,$E2052)*$D2052</f>
        <v/>
      </c>
      <c r="AA2052" s="35">
        <f>INDEX(AA$280:AA$296,$E2052)*$D2052</f>
        <v/>
      </c>
      <c r="AB2052" s="35">
        <f>INDEX(AB$280:AB$296,$E2052)*$D2052</f>
        <v/>
      </c>
      <c r="AC2052" s="35">
        <f>INDEX(AC$280:AC$296,$E2052)*$D2052</f>
        <v/>
      </c>
      <c r="AD2052" s="35">
        <f>INDEX(AD$280:AD$296,$E2052)*$D2052</f>
        <v/>
      </c>
      <c r="AE2052" s="42">
        <f>ETSCOST(INDEX(AE$280:AE$296,$E2052),$D2052)</f>
        <v/>
      </c>
      <c r="AG2052" s="11">
        <f>CodePrefix&amp;$A2052&amp;IF($C2052="","","."&amp;$C2052&amp;"."&amp;$B2052)&amp;INDEX(VarEnd,MATCH($A2052,VarKey,0))&amp;AG$5</f>
        <v/>
      </c>
      <c r="AH2052" s="40">
        <f>INDEX(AH$280:AH$296,$E2052)*$D2052</f>
        <v/>
      </c>
      <c r="AI2052" s="35">
        <f>INDEX(AI$280:AI$296,$E2052)*$D2052</f>
        <v/>
      </c>
      <c r="AJ2052" s="35">
        <f>INDEX(AJ$280:AJ$296,$E2052)*$D2052</f>
        <v/>
      </c>
      <c r="AK2052" s="35">
        <f>INDEX(AK$280:AK$296,$E2052)*$D2052</f>
        <v/>
      </c>
      <c r="AL2052" s="35">
        <f>INDEX(AL$280:AL$296,$E2052)*$D2052</f>
        <v/>
      </c>
      <c r="AM2052" s="35">
        <f>INDEX(AM$280:AM$296,$E2052)*$D2052</f>
        <v/>
      </c>
      <c r="AN2052" s="35">
        <f>INDEX(AN$280:AN$296,$E2052)*$D2052</f>
        <v/>
      </c>
      <c r="AO2052" s="35">
        <f>INDEX(AO$280:AO$296,$E2052)*$D2052</f>
        <v/>
      </c>
      <c r="AP2052" s="35">
        <f>INDEX(AP$280:AP$296,$E2052)*$D2052</f>
        <v/>
      </c>
      <c r="AQ2052" s="35">
        <f>INDEX(AQ$280:AQ$296,$E2052)*$D2052</f>
        <v/>
      </c>
      <c r="AR2052" s="35">
        <f>INDEX(AR$280:AR$296,$E2052)*$D2052</f>
        <v/>
      </c>
      <c r="AS2052" s="35">
        <f>INDEX(AS$280:AS$296,$E2052)*$D2052</f>
        <v/>
      </c>
      <c r="AT2052" s="35">
        <f>INDEX(AT$280:AT$296,$E2052)*$D2052</f>
        <v/>
      </c>
      <c r="AU2052" s="35">
        <f>INDEX(AU$280:AU$296,$E2052)*$D2052</f>
        <v/>
      </c>
      <c r="AV2052" s="35">
        <f>INDEX(AV$280:AV$296,$E2052)*$D2052</f>
        <v/>
      </c>
      <c r="AW2052" s="35">
        <f>INDEX(AW$280:AW$296,$E2052)*$D2052</f>
        <v/>
      </c>
      <c r="AX2052" s="35">
        <f>INDEX(AX$280:AX$296,$E2052)*$D2052</f>
        <v/>
      </c>
      <c r="AY2052" s="35">
        <f>INDEX(AY$280:AY$296,$E2052)*$D2052</f>
        <v/>
      </c>
      <c r="AZ2052" s="35">
        <f>INDEX(AZ$280:AZ$296,$E2052)*$D2052</f>
        <v/>
      </c>
      <c r="BA2052" s="42">
        <f>ETSCOST(INDEX(BA$280:BA$296,$E2052),$D2052)</f>
        <v/>
      </c>
    </row>
    <row r="2053" hidden="1" outlineLevel="2">
      <c r="A2053" s="14" t="inlineStr">
        <is>
          <t>ets</t>
        </is>
      </c>
      <c r="B2053" s="14" t="inlineStr">
        <is>
          <t>bio</t>
        </is>
      </c>
      <c r="C2053" s="14" t="inlineStr">
        <is>
          <t>irn</t>
        </is>
      </c>
      <c r="D2053" s="35">
        <f>INDEX(Inputs!$W$5:$W$132,MATCH($B2053&amp;"|"&amp;$C2053,Inputs!$A$5:$A$132,0))</f>
        <v/>
      </c>
      <c r="E2053" s="35">
        <f>INDEX(Inputs!$M$5:$M$132,MATCH($B2053&amp;"|"&amp;$C2053,Inputs!$A$5:$A$132,0))</f>
        <v/>
      </c>
      <c r="F2053" s="39" t="n"/>
      <c r="G2053" s="39" t="n"/>
      <c r="H2053" s="14">
        <f>INDEX(VarLab,MATCH($A2053,VarKey,0))&amp;INDEX(MemLab,MATCH($C2053&amp;"|"&amp;$B2053,MemKey,0))</f>
        <v/>
      </c>
      <c r="I2053" s="14">
        <f>INDEX(VarUnit,MATCH($A2053,VarKey,0))</f>
        <v/>
      </c>
      <c r="J2053" s="14">
        <f>INDEX(VarSrc,MATCH($A2053,VarKey,0))</f>
        <v/>
      </c>
      <c r="K2053" s="11">
        <f>CodePrefix&amp;$A2053&amp;IF($C2053="","","."&amp;$C2053&amp;"."&amp;$B2053)&amp;INDEX(VarEnd,MATCH($A2053,VarKey,0))&amp;K$5</f>
        <v/>
      </c>
      <c r="L2053" s="40">
        <f>INDEX(L$280:L$296,$E2053)*$D2053</f>
        <v/>
      </c>
      <c r="M2053" s="35">
        <f>INDEX(M$280:M$296,$E2053)*$D2053</f>
        <v/>
      </c>
      <c r="N2053" s="35">
        <f>INDEX(N$280:N$296,$E2053)*$D2053</f>
        <v/>
      </c>
      <c r="O2053" s="35">
        <f>INDEX(O$280:O$296,$E2053)*$D2053</f>
        <v/>
      </c>
      <c r="P2053" s="35">
        <f>INDEX(P$280:P$296,$E2053)*$D2053</f>
        <v/>
      </c>
      <c r="Q2053" s="35">
        <f>INDEX(Q$280:Q$296,$E2053)*$D2053</f>
        <v/>
      </c>
      <c r="R2053" s="35">
        <f>INDEX(R$280:R$296,$E2053)*$D2053</f>
        <v/>
      </c>
      <c r="S2053" s="35">
        <f>INDEX(S$280:S$296,$E2053)*$D2053</f>
        <v/>
      </c>
      <c r="T2053" s="35">
        <f>INDEX(T$280:T$296,$E2053)*$D2053</f>
        <v/>
      </c>
      <c r="U2053" s="35">
        <f>INDEX(U$280:U$296,$E2053)*$D2053</f>
        <v/>
      </c>
      <c r="V2053" s="35">
        <f>INDEX(V$280:V$296,$E2053)*$D2053</f>
        <v/>
      </c>
      <c r="W2053" s="35">
        <f>INDEX(W$280:W$296,$E2053)*$D2053</f>
        <v/>
      </c>
      <c r="X2053" s="35">
        <f>INDEX(X$280:X$296,$E2053)*$D2053</f>
        <v/>
      </c>
      <c r="Y2053" s="35">
        <f>INDEX(Y$280:Y$296,$E2053)*$D2053</f>
        <v/>
      </c>
      <c r="Z2053" s="35">
        <f>INDEX(Z$280:Z$296,$E2053)*$D2053</f>
        <v/>
      </c>
      <c r="AA2053" s="35">
        <f>INDEX(AA$280:AA$296,$E2053)*$D2053</f>
        <v/>
      </c>
      <c r="AB2053" s="35">
        <f>INDEX(AB$280:AB$296,$E2053)*$D2053</f>
        <v/>
      </c>
      <c r="AC2053" s="35">
        <f>INDEX(AC$280:AC$296,$E2053)*$D2053</f>
        <v/>
      </c>
      <c r="AD2053" s="35">
        <f>INDEX(AD$280:AD$296,$E2053)*$D2053</f>
        <v/>
      </c>
      <c r="AE2053" s="42">
        <f>ETSCOST(INDEX(AE$280:AE$296,$E2053),$D2053)</f>
        <v/>
      </c>
      <c r="AG2053" s="11">
        <f>CodePrefix&amp;$A2053&amp;IF($C2053="","","."&amp;$C2053&amp;"."&amp;$B2053)&amp;INDEX(VarEnd,MATCH($A2053,VarKey,0))&amp;AG$5</f>
        <v/>
      </c>
      <c r="AH2053" s="40">
        <f>INDEX(AH$280:AH$296,$E2053)*$D2053</f>
        <v/>
      </c>
      <c r="AI2053" s="35">
        <f>INDEX(AI$280:AI$296,$E2053)*$D2053</f>
        <v/>
      </c>
      <c r="AJ2053" s="35">
        <f>INDEX(AJ$280:AJ$296,$E2053)*$D2053</f>
        <v/>
      </c>
      <c r="AK2053" s="35">
        <f>INDEX(AK$280:AK$296,$E2053)*$D2053</f>
        <v/>
      </c>
      <c r="AL2053" s="35">
        <f>INDEX(AL$280:AL$296,$E2053)*$D2053</f>
        <v/>
      </c>
      <c r="AM2053" s="35">
        <f>INDEX(AM$280:AM$296,$E2053)*$D2053</f>
        <v/>
      </c>
      <c r="AN2053" s="35">
        <f>INDEX(AN$280:AN$296,$E2053)*$D2053</f>
        <v/>
      </c>
      <c r="AO2053" s="35">
        <f>INDEX(AO$280:AO$296,$E2053)*$D2053</f>
        <v/>
      </c>
      <c r="AP2053" s="35">
        <f>INDEX(AP$280:AP$296,$E2053)*$D2053</f>
        <v/>
      </c>
      <c r="AQ2053" s="35">
        <f>INDEX(AQ$280:AQ$296,$E2053)*$D2053</f>
        <v/>
      </c>
      <c r="AR2053" s="35">
        <f>INDEX(AR$280:AR$296,$E2053)*$D2053</f>
        <v/>
      </c>
      <c r="AS2053" s="35">
        <f>INDEX(AS$280:AS$296,$E2053)*$D2053</f>
        <v/>
      </c>
      <c r="AT2053" s="35">
        <f>INDEX(AT$280:AT$296,$E2053)*$D2053</f>
        <v/>
      </c>
      <c r="AU2053" s="35">
        <f>INDEX(AU$280:AU$296,$E2053)*$D2053</f>
        <v/>
      </c>
      <c r="AV2053" s="35">
        <f>INDEX(AV$280:AV$296,$E2053)*$D2053</f>
        <v/>
      </c>
      <c r="AW2053" s="35">
        <f>INDEX(AW$280:AW$296,$E2053)*$D2053</f>
        <v/>
      </c>
      <c r="AX2053" s="35">
        <f>INDEX(AX$280:AX$296,$E2053)*$D2053</f>
        <v/>
      </c>
      <c r="AY2053" s="35">
        <f>INDEX(AY$280:AY$296,$E2053)*$D2053</f>
        <v/>
      </c>
      <c r="AZ2053" s="35">
        <f>INDEX(AZ$280:AZ$296,$E2053)*$D2053</f>
        <v/>
      </c>
      <c r="BA2053" s="42">
        <f>ETSCOST(INDEX(BA$280:BA$296,$E2053),$D2053)</f>
        <v/>
      </c>
    </row>
    <row r="2054" hidden="1" outlineLevel="2"/>
    <row r="2055" hidden="1" outlineLevel="2">
      <c r="A2055" s="14" t="inlineStr">
        <is>
          <t>ntx</t>
        </is>
      </c>
      <c r="B2055" s="14" t="inlineStr">
        <is>
          <t>coa</t>
        </is>
      </c>
      <c r="C2055" s="14" t="inlineStr">
        <is>
          <t>irn</t>
        </is>
      </c>
      <c r="D2055" s="35">
        <f>INDEX(Inputs!$N$5:$N$132,MATCH($B2055&amp;"|"&amp;$C2055,Inputs!$A$5:$A$132,0))</f>
        <v/>
      </c>
      <c r="E2055" s="35">
        <f>INDEX(Inputs!$K$5:$K$132,MATCH($B2055&amp;"|"&amp;$C2055,Inputs!$A$5:$A$132,0))</f>
        <v/>
      </c>
      <c r="F2055" s="39" t="n"/>
      <c r="G2055" s="39" t="n"/>
      <c r="H2055" s="14">
        <f>INDEX(VarLab,MATCH($A2055,VarKey,0))&amp;INDEX(MemLab,MATCH($C2055&amp;"|"&amp;$B2055,MemKey,0))</f>
        <v/>
      </c>
      <c r="I2055" s="14">
        <f>INDEX(VarUnit,MATCH($A2055,VarKey,0))</f>
        <v/>
      </c>
      <c r="J2055" s="14">
        <f>INDEX(VarSrc,MATCH($A2055,VarKey,0))</f>
        <v/>
      </c>
      <c r="K2055" s="11">
        <f>CodePrefix&amp;$A2055&amp;IF($C2055="","","."&amp;$C2055&amp;"."&amp;$B2055)&amp;INDEX(VarEnd,MATCH($A2055,VarKey,0))&amp;K$5</f>
        <v/>
      </c>
      <c r="L2055" s="40">
        <f>INDEX(L$80:L$93,$D2055)/$E2055</f>
        <v/>
      </c>
      <c r="M2055" s="35">
        <f>INDEX(M$80:M$93,$D2055)/$E2055</f>
        <v/>
      </c>
      <c r="N2055" s="35">
        <f>INDEX(N$80:N$93,$D2055)/$E2055</f>
        <v/>
      </c>
      <c r="O2055" s="35">
        <f>INDEX(O$80:O$93,$D2055)/$E2055</f>
        <v/>
      </c>
      <c r="P2055" s="35">
        <f>INDEX(P$80:P$93,$D2055)/$E2055</f>
        <v/>
      </c>
      <c r="Q2055" s="35">
        <f>INDEX(Q$80:Q$93,$D2055)/$E2055</f>
        <v/>
      </c>
      <c r="R2055" s="35">
        <f>INDEX(R$80:R$93,$D2055)/$E2055</f>
        <v/>
      </c>
      <c r="S2055" s="35">
        <f>INDEX(S$80:S$93,$D2055)/$E2055</f>
        <v/>
      </c>
      <c r="T2055" s="35">
        <f>INDEX(T$80:T$93,$D2055)/$E2055</f>
        <v/>
      </c>
      <c r="U2055" s="35">
        <f>INDEX(U$80:U$93,$D2055)/$E2055</f>
        <v/>
      </c>
      <c r="V2055" s="35">
        <f>INDEX(V$80:V$93,$D2055)/$E2055</f>
        <v/>
      </c>
      <c r="W2055" s="35">
        <f>INDEX(W$80:W$93,$D2055)/$E2055</f>
        <v/>
      </c>
      <c r="X2055" s="35">
        <f>INDEX(X$80:X$93,$D2055)/$E2055</f>
        <v/>
      </c>
      <c r="Y2055" s="35">
        <f>INDEX(Y$80:Y$93,$D2055)/$E2055</f>
        <v/>
      </c>
      <c r="Z2055" s="35">
        <f>INDEX(Z$80:Z$93,$D2055)/$E2055</f>
        <v/>
      </c>
      <c r="AA2055" s="35">
        <f>INDEX(AA$80:AA$93,$D2055)/$E2055</f>
        <v/>
      </c>
      <c r="AB2055" s="35">
        <f>INDEX(AB$80:AB$93,$D2055)/$E2055</f>
        <v/>
      </c>
      <c r="AC2055" s="35">
        <f>INDEX(AC$80:AC$93,$D2055)/$E2055</f>
        <v/>
      </c>
      <c r="AD2055" s="35">
        <f>INDEX(AD$80:AD$93,$D2055)/$E2055</f>
        <v/>
      </c>
      <c r="AE2055" s="42">
        <f>NEWEXCISE(INDEX(AE$80:AE$93,$D2055),$E2055)</f>
        <v/>
      </c>
      <c r="AG2055" s="11">
        <f>CodePrefix&amp;$A2055&amp;IF($C2055="","","."&amp;$C2055&amp;"."&amp;$B2055)&amp;INDEX(VarEnd,MATCH($A2055,VarKey,0))&amp;AG$5</f>
        <v/>
      </c>
      <c r="AH2055" s="40">
        <f>INDEX(AH$80:AH$93,$D2055)/$E2055</f>
        <v/>
      </c>
      <c r="AI2055" s="35">
        <f>INDEX(AI$80:AI$93,$D2055)/$E2055</f>
        <v/>
      </c>
      <c r="AJ2055" s="35">
        <f>INDEX(AJ$80:AJ$93,$D2055)/$E2055</f>
        <v/>
      </c>
      <c r="AK2055" s="35">
        <f>INDEX(AK$80:AK$93,$D2055)/$E2055</f>
        <v/>
      </c>
      <c r="AL2055" s="35">
        <f>INDEX(AL$80:AL$93,$D2055)/$E2055</f>
        <v/>
      </c>
      <c r="AM2055" s="35">
        <f>INDEX(AM$80:AM$93,$D2055)/$E2055</f>
        <v/>
      </c>
      <c r="AN2055" s="35">
        <f>INDEX(AN$80:AN$93,$D2055)/$E2055</f>
        <v/>
      </c>
      <c r="AO2055" s="35">
        <f>INDEX(AO$80:AO$93,$D2055)/$E2055</f>
        <v/>
      </c>
      <c r="AP2055" s="35">
        <f>INDEX(AP$80:AP$93,$D2055)/$E2055</f>
        <v/>
      </c>
      <c r="AQ2055" s="35">
        <f>INDEX(AQ$80:AQ$93,$D2055)/$E2055</f>
        <v/>
      </c>
      <c r="AR2055" s="35">
        <f>INDEX(AR$80:AR$93,$D2055)/$E2055</f>
        <v/>
      </c>
      <c r="AS2055" s="35">
        <f>INDEX(AS$80:AS$93,$D2055)/$E2055</f>
        <v/>
      </c>
      <c r="AT2055" s="35">
        <f>INDEX(AT$80:AT$93,$D2055)/$E2055</f>
        <v/>
      </c>
      <c r="AU2055" s="35">
        <f>INDEX(AU$80:AU$93,$D2055)/$E2055</f>
        <v/>
      </c>
      <c r="AV2055" s="35">
        <f>INDEX(AV$80:AV$93,$D2055)/$E2055</f>
        <v/>
      </c>
      <c r="AW2055" s="35">
        <f>INDEX(AW$80:AW$93,$D2055)/$E2055</f>
        <v/>
      </c>
      <c r="AX2055" s="35">
        <f>INDEX(AX$80:AX$93,$D2055)/$E2055</f>
        <v/>
      </c>
      <c r="AY2055" s="35">
        <f>INDEX(AY$80:AY$93,$D2055)/$E2055</f>
        <v/>
      </c>
      <c r="AZ2055" s="35">
        <f>INDEX(AZ$80:AZ$93,$D2055)/$E2055</f>
        <v/>
      </c>
      <c r="BA2055" s="42">
        <f>NEWEXCISE(INDEX(BA$80:BA$93,$D2055),$E2055)</f>
        <v/>
      </c>
    </row>
    <row r="2056" hidden="1" outlineLevel="2">
      <c r="A2056" s="14" t="inlineStr">
        <is>
          <t>ntx</t>
        </is>
      </c>
      <c r="B2056" s="14" t="inlineStr">
        <is>
          <t>nga</t>
        </is>
      </c>
      <c r="C2056" s="14" t="inlineStr">
        <is>
          <t>irn</t>
        </is>
      </c>
      <c r="D2056" s="35">
        <f>INDEX(Inputs!$N$5:$N$132,MATCH($B2056&amp;"|"&amp;$C2056,Inputs!$A$5:$A$132,0))</f>
        <v/>
      </c>
      <c r="E2056" s="35">
        <f>INDEX(Inputs!$K$5:$K$132,MATCH($B2056&amp;"|"&amp;$C2056,Inputs!$A$5:$A$132,0))</f>
        <v/>
      </c>
      <c r="F2056" s="39" t="n"/>
      <c r="G2056" s="39" t="n"/>
      <c r="H2056" s="14">
        <f>INDEX(VarLab,MATCH($A2056,VarKey,0))&amp;INDEX(MemLab,MATCH($C2056&amp;"|"&amp;$B2056,MemKey,0))</f>
        <v/>
      </c>
      <c r="I2056" s="14">
        <f>INDEX(VarUnit,MATCH($A2056,VarKey,0))</f>
        <v/>
      </c>
      <c r="J2056" s="14">
        <f>INDEX(VarSrc,MATCH($A2056,VarKey,0))</f>
        <v/>
      </c>
      <c r="K2056" s="11">
        <f>CodePrefix&amp;$A2056&amp;IF($C2056="","","."&amp;$C2056&amp;"."&amp;$B2056)&amp;INDEX(VarEnd,MATCH($A2056,VarKey,0))&amp;K$5</f>
        <v/>
      </c>
      <c r="L2056" s="40">
        <f>INDEX(L$80:L$93,$D2056)/$E2056</f>
        <v/>
      </c>
      <c r="M2056" s="35">
        <f>INDEX(M$80:M$93,$D2056)/$E2056</f>
        <v/>
      </c>
      <c r="N2056" s="35">
        <f>INDEX(N$80:N$93,$D2056)/$E2056</f>
        <v/>
      </c>
      <c r="O2056" s="35">
        <f>INDEX(O$80:O$93,$D2056)/$E2056</f>
        <v/>
      </c>
      <c r="P2056" s="35">
        <f>INDEX(P$80:P$93,$D2056)/$E2056</f>
        <v/>
      </c>
      <c r="Q2056" s="35">
        <f>INDEX(Q$80:Q$93,$D2056)/$E2056</f>
        <v/>
      </c>
      <c r="R2056" s="35">
        <f>INDEX(R$80:R$93,$D2056)/$E2056</f>
        <v/>
      </c>
      <c r="S2056" s="35">
        <f>INDEX(S$80:S$93,$D2056)/$E2056</f>
        <v/>
      </c>
      <c r="T2056" s="35">
        <f>INDEX(T$80:T$93,$D2056)/$E2056</f>
        <v/>
      </c>
      <c r="U2056" s="35">
        <f>INDEX(U$80:U$93,$D2056)/$E2056</f>
        <v/>
      </c>
      <c r="V2056" s="35">
        <f>INDEX(V$80:V$93,$D2056)/$E2056</f>
        <v/>
      </c>
      <c r="W2056" s="35">
        <f>INDEX(W$80:W$93,$D2056)/$E2056</f>
        <v/>
      </c>
      <c r="X2056" s="35">
        <f>INDEX(X$80:X$93,$D2056)/$E2056</f>
        <v/>
      </c>
      <c r="Y2056" s="35">
        <f>INDEX(Y$80:Y$93,$D2056)/$E2056</f>
        <v/>
      </c>
      <c r="Z2056" s="35">
        <f>INDEX(Z$80:Z$93,$D2056)/$E2056</f>
        <v/>
      </c>
      <c r="AA2056" s="35">
        <f>INDEX(AA$80:AA$93,$D2056)/$E2056</f>
        <v/>
      </c>
      <c r="AB2056" s="35">
        <f>INDEX(AB$80:AB$93,$D2056)/$E2056</f>
        <v/>
      </c>
      <c r="AC2056" s="35">
        <f>INDEX(AC$80:AC$93,$D2056)/$E2056</f>
        <v/>
      </c>
      <c r="AD2056" s="35">
        <f>INDEX(AD$80:AD$93,$D2056)/$E2056</f>
        <v/>
      </c>
      <c r="AE2056" s="42">
        <f>NEWEXCISE(INDEX(AE$80:AE$93,$D2056),$E2056)</f>
        <v/>
      </c>
      <c r="AG2056" s="11">
        <f>CodePrefix&amp;$A2056&amp;IF($C2056="","","."&amp;$C2056&amp;"."&amp;$B2056)&amp;INDEX(VarEnd,MATCH($A2056,VarKey,0))&amp;AG$5</f>
        <v/>
      </c>
      <c r="AH2056" s="40">
        <f>INDEX(AH$80:AH$93,$D2056)/$E2056</f>
        <v/>
      </c>
      <c r="AI2056" s="35">
        <f>INDEX(AI$80:AI$93,$D2056)/$E2056</f>
        <v/>
      </c>
      <c r="AJ2056" s="35">
        <f>INDEX(AJ$80:AJ$93,$D2056)/$E2056</f>
        <v/>
      </c>
      <c r="AK2056" s="35">
        <f>INDEX(AK$80:AK$93,$D2056)/$E2056</f>
        <v/>
      </c>
      <c r="AL2056" s="35">
        <f>INDEX(AL$80:AL$93,$D2056)/$E2056</f>
        <v/>
      </c>
      <c r="AM2056" s="35">
        <f>INDEX(AM$80:AM$93,$D2056)/$E2056</f>
        <v/>
      </c>
      <c r="AN2056" s="35">
        <f>INDEX(AN$80:AN$93,$D2056)/$E2056</f>
        <v/>
      </c>
      <c r="AO2056" s="35">
        <f>INDEX(AO$80:AO$93,$D2056)/$E2056</f>
        <v/>
      </c>
      <c r="AP2056" s="35">
        <f>INDEX(AP$80:AP$93,$D2056)/$E2056</f>
        <v/>
      </c>
      <c r="AQ2056" s="35">
        <f>INDEX(AQ$80:AQ$93,$D2056)/$E2056</f>
        <v/>
      </c>
      <c r="AR2056" s="35">
        <f>INDEX(AR$80:AR$93,$D2056)/$E2056</f>
        <v/>
      </c>
      <c r="AS2056" s="35">
        <f>INDEX(AS$80:AS$93,$D2056)/$E2056</f>
        <v/>
      </c>
      <c r="AT2056" s="35">
        <f>INDEX(AT$80:AT$93,$D2056)/$E2056</f>
        <v/>
      </c>
      <c r="AU2056" s="35">
        <f>INDEX(AU$80:AU$93,$D2056)/$E2056</f>
        <v/>
      </c>
      <c r="AV2056" s="35">
        <f>INDEX(AV$80:AV$93,$D2056)/$E2056</f>
        <v/>
      </c>
      <c r="AW2056" s="35">
        <f>INDEX(AW$80:AW$93,$D2056)/$E2056</f>
        <v/>
      </c>
      <c r="AX2056" s="35">
        <f>INDEX(AX$80:AX$93,$D2056)/$E2056</f>
        <v/>
      </c>
      <c r="AY2056" s="35">
        <f>INDEX(AY$80:AY$93,$D2056)/$E2056</f>
        <v/>
      </c>
      <c r="AZ2056" s="35">
        <f>INDEX(AZ$80:AZ$93,$D2056)/$E2056</f>
        <v/>
      </c>
      <c r="BA2056" s="42">
        <f>NEWEXCISE(INDEX(BA$80:BA$93,$D2056),$E2056)</f>
        <v/>
      </c>
    </row>
    <row r="2057" hidden="1" outlineLevel="2">
      <c r="A2057" s="14" t="inlineStr">
        <is>
          <t>ntx</t>
        </is>
      </c>
      <c r="B2057" s="14" t="inlineStr">
        <is>
          <t>gso</t>
        </is>
      </c>
      <c r="C2057" s="14" t="inlineStr">
        <is>
          <t>irn</t>
        </is>
      </c>
      <c r="D2057" s="35">
        <f>INDEX(Inputs!$N$5:$N$132,MATCH($B2057&amp;"|"&amp;$C2057,Inputs!$A$5:$A$132,0))</f>
        <v/>
      </c>
      <c r="E2057" s="35">
        <f>INDEX(Inputs!$K$5:$K$132,MATCH($B2057&amp;"|"&amp;$C2057,Inputs!$A$5:$A$132,0))</f>
        <v/>
      </c>
      <c r="F2057" s="39" t="n"/>
      <c r="G2057" s="39" t="n"/>
      <c r="H2057" s="14">
        <f>INDEX(VarLab,MATCH($A2057,VarKey,0))&amp;INDEX(MemLab,MATCH($C2057&amp;"|"&amp;$B2057,MemKey,0))</f>
        <v/>
      </c>
      <c r="I2057" s="14">
        <f>INDEX(VarUnit,MATCH($A2057,VarKey,0))</f>
        <v/>
      </c>
      <c r="J2057" s="14">
        <f>INDEX(VarSrc,MATCH($A2057,VarKey,0))</f>
        <v/>
      </c>
      <c r="K2057" s="11">
        <f>CodePrefix&amp;$A2057&amp;IF($C2057="","","."&amp;$C2057&amp;"."&amp;$B2057)&amp;INDEX(VarEnd,MATCH($A2057,VarKey,0))&amp;K$5</f>
        <v/>
      </c>
      <c r="L2057" s="40">
        <f>INDEX(L$80:L$93,$D2057)/$E2057</f>
        <v/>
      </c>
      <c r="M2057" s="35">
        <f>INDEX(M$80:M$93,$D2057)/$E2057</f>
        <v/>
      </c>
      <c r="N2057" s="35">
        <f>INDEX(N$80:N$93,$D2057)/$E2057</f>
        <v/>
      </c>
      <c r="O2057" s="35">
        <f>INDEX(O$80:O$93,$D2057)/$E2057</f>
        <v/>
      </c>
      <c r="P2057" s="35">
        <f>INDEX(P$80:P$93,$D2057)/$E2057</f>
        <v/>
      </c>
      <c r="Q2057" s="35">
        <f>INDEX(Q$80:Q$93,$D2057)/$E2057</f>
        <v/>
      </c>
      <c r="R2057" s="35">
        <f>INDEX(R$80:R$93,$D2057)/$E2057</f>
        <v/>
      </c>
      <c r="S2057" s="35">
        <f>INDEX(S$80:S$93,$D2057)/$E2057</f>
        <v/>
      </c>
      <c r="T2057" s="35">
        <f>INDEX(T$80:T$93,$D2057)/$E2057</f>
        <v/>
      </c>
      <c r="U2057" s="35">
        <f>INDEX(U$80:U$93,$D2057)/$E2057</f>
        <v/>
      </c>
      <c r="V2057" s="35">
        <f>INDEX(V$80:V$93,$D2057)/$E2057</f>
        <v/>
      </c>
      <c r="W2057" s="35">
        <f>INDEX(W$80:W$93,$D2057)/$E2057</f>
        <v/>
      </c>
      <c r="X2057" s="35">
        <f>INDEX(X$80:X$93,$D2057)/$E2057</f>
        <v/>
      </c>
      <c r="Y2057" s="35">
        <f>INDEX(Y$80:Y$93,$D2057)/$E2057</f>
        <v/>
      </c>
      <c r="Z2057" s="35">
        <f>INDEX(Z$80:Z$93,$D2057)/$E2057</f>
        <v/>
      </c>
      <c r="AA2057" s="35">
        <f>INDEX(AA$80:AA$93,$D2057)/$E2057</f>
        <v/>
      </c>
      <c r="AB2057" s="35">
        <f>INDEX(AB$80:AB$93,$D2057)/$E2057</f>
        <v/>
      </c>
      <c r="AC2057" s="35">
        <f>INDEX(AC$80:AC$93,$D2057)/$E2057</f>
        <v/>
      </c>
      <c r="AD2057" s="35">
        <f>INDEX(AD$80:AD$93,$D2057)/$E2057</f>
        <v/>
      </c>
      <c r="AE2057" s="42">
        <f>NEWEXCISE(INDEX(AE$80:AE$93,$D2057),$E2057)</f>
        <v/>
      </c>
      <c r="AG2057" s="11">
        <f>CodePrefix&amp;$A2057&amp;IF($C2057="","","."&amp;$C2057&amp;"."&amp;$B2057)&amp;INDEX(VarEnd,MATCH($A2057,VarKey,0))&amp;AG$5</f>
        <v/>
      </c>
      <c r="AH2057" s="40">
        <f>INDEX(AH$80:AH$93,$D2057)/$E2057</f>
        <v/>
      </c>
      <c r="AI2057" s="35">
        <f>INDEX(AI$80:AI$93,$D2057)/$E2057</f>
        <v/>
      </c>
      <c r="AJ2057" s="35">
        <f>INDEX(AJ$80:AJ$93,$D2057)/$E2057</f>
        <v/>
      </c>
      <c r="AK2057" s="35">
        <f>INDEX(AK$80:AK$93,$D2057)/$E2057</f>
        <v/>
      </c>
      <c r="AL2057" s="35">
        <f>INDEX(AL$80:AL$93,$D2057)/$E2057</f>
        <v/>
      </c>
      <c r="AM2057" s="35">
        <f>INDEX(AM$80:AM$93,$D2057)/$E2057</f>
        <v/>
      </c>
      <c r="AN2057" s="35">
        <f>INDEX(AN$80:AN$93,$D2057)/$E2057</f>
        <v/>
      </c>
      <c r="AO2057" s="35">
        <f>INDEX(AO$80:AO$93,$D2057)/$E2057</f>
        <v/>
      </c>
      <c r="AP2057" s="35">
        <f>INDEX(AP$80:AP$93,$D2057)/$E2057</f>
        <v/>
      </c>
      <c r="AQ2057" s="35">
        <f>INDEX(AQ$80:AQ$93,$D2057)/$E2057</f>
        <v/>
      </c>
      <c r="AR2057" s="35">
        <f>INDEX(AR$80:AR$93,$D2057)/$E2057</f>
        <v/>
      </c>
      <c r="AS2057" s="35">
        <f>INDEX(AS$80:AS$93,$D2057)/$E2057</f>
        <v/>
      </c>
      <c r="AT2057" s="35">
        <f>INDEX(AT$80:AT$93,$D2057)/$E2057</f>
        <v/>
      </c>
      <c r="AU2057" s="35">
        <f>INDEX(AU$80:AU$93,$D2057)/$E2057</f>
        <v/>
      </c>
      <c r="AV2057" s="35">
        <f>INDEX(AV$80:AV$93,$D2057)/$E2057</f>
        <v/>
      </c>
      <c r="AW2057" s="35">
        <f>INDEX(AW$80:AW$93,$D2057)/$E2057</f>
        <v/>
      </c>
      <c r="AX2057" s="35">
        <f>INDEX(AX$80:AX$93,$D2057)/$E2057</f>
        <v/>
      </c>
      <c r="AY2057" s="35">
        <f>INDEX(AY$80:AY$93,$D2057)/$E2057</f>
        <v/>
      </c>
      <c r="AZ2057" s="35">
        <f>INDEX(AZ$80:AZ$93,$D2057)/$E2057</f>
        <v/>
      </c>
      <c r="BA2057" s="42">
        <f>NEWEXCISE(INDEX(BA$80:BA$93,$D2057),$E2057)</f>
        <v/>
      </c>
    </row>
    <row r="2058" hidden="1" outlineLevel="2">
      <c r="A2058" s="14" t="inlineStr">
        <is>
          <t>ntx</t>
        </is>
      </c>
      <c r="B2058" s="14" t="inlineStr">
        <is>
          <t>die</t>
        </is>
      </c>
      <c r="C2058" s="14" t="inlineStr">
        <is>
          <t>irn</t>
        </is>
      </c>
      <c r="D2058" s="35">
        <f>INDEX(Inputs!$N$5:$N$132,MATCH($B2058&amp;"|"&amp;$C2058,Inputs!$A$5:$A$132,0))</f>
        <v/>
      </c>
      <c r="E2058" s="35">
        <f>INDEX(Inputs!$K$5:$K$132,MATCH($B2058&amp;"|"&amp;$C2058,Inputs!$A$5:$A$132,0))</f>
        <v/>
      </c>
      <c r="F2058" s="39" t="n"/>
      <c r="G2058" s="39" t="n"/>
      <c r="H2058" s="14">
        <f>INDEX(VarLab,MATCH($A2058,VarKey,0))&amp;INDEX(MemLab,MATCH($C2058&amp;"|"&amp;$B2058,MemKey,0))</f>
        <v/>
      </c>
      <c r="I2058" s="14">
        <f>INDEX(VarUnit,MATCH($A2058,VarKey,0))</f>
        <v/>
      </c>
      <c r="J2058" s="14">
        <f>INDEX(VarSrc,MATCH($A2058,VarKey,0))</f>
        <v/>
      </c>
      <c r="K2058" s="11">
        <f>CodePrefix&amp;$A2058&amp;IF($C2058="","","."&amp;$C2058&amp;"."&amp;$B2058)&amp;INDEX(VarEnd,MATCH($A2058,VarKey,0))&amp;K$5</f>
        <v/>
      </c>
      <c r="L2058" s="40">
        <f>INDEX(L$80:L$93,$D2058)/$E2058</f>
        <v/>
      </c>
      <c r="M2058" s="35">
        <f>INDEX(M$80:M$93,$D2058)/$E2058</f>
        <v/>
      </c>
      <c r="N2058" s="35">
        <f>INDEX(N$80:N$93,$D2058)/$E2058</f>
        <v/>
      </c>
      <c r="O2058" s="35">
        <f>INDEX(O$80:O$93,$D2058)/$E2058</f>
        <v/>
      </c>
      <c r="P2058" s="35">
        <f>INDEX(P$80:P$93,$D2058)/$E2058</f>
        <v/>
      </c>
      <c r="Q2058" s="35">
        <f>INDEX(Q$80:Q$93,$D2058)/$E2058</f>
        <v/>
      </c>
      <c r="R2058" s="35">
        <f>INDEX(R$80:R$93,$D2058)/$E2058</f>
        <v/>
      </c>
      <c r="S2058" s="35">
        <f>INDEX(S$80:S$93,$D2058)/$E2058</f>
        <v/>
      </c>
      <c r="T2058" s="35">
        <f>INDEX(T$80:T$93,$D2058)/$E2058</f>
        <v/>
      </c>
      <c r="U2058" s="35">
        <f>INDEX(U$80:U$93,$D2058)/$E2058</f>
        <v/>
      </c>
      <c r="V2058" s="35">
        <f>INDEX(V$80:V$93,$D2058)/$E2058</f>
        <v/>
      </c>
      <c r="W2058" s="35">
        <f>INDEX(W$80:W$93,$D2058)/$E2058</f>
        <v/>
      </c>
      <c r="X2058" s="35">
        <f>INDEX(X$80:X$93,$D2058)/$E2058</f>
        <v/>
      </c>
      <c r="Y2058" s="35">
        <f>INDEX(Y$80:Y$93,$D2058)/$E2058</f>
        <v/>
      </c>
      <c r="Z2058" s="35">
        <f>INDEX(Z$80:Z$93,$D2058)/$E2058</f>
        <v/>
      </c>
      <c r="AA2058" s="35">
        <f>INDEX(AA$80:AA$93,$D2058)/$E2058</f>
        <v/>
      </c>
      <c r="AB2058" s="35">
        <f>INDEX(AB$80:AB$93,$D2058)/$E2058</f>
        <v/>
      </c>
      <c r="AC2058" s="35">
        <f>INDEX(AC$80:AC$93,$D2058)/$E2058</f>
        <v/>
      </c>
      <c r="AD2058" s="35">
        <f>INDEX(AD$80:AD$93,$D2058)/$E2058</f>
        <v/>
      </c>
      <c r="AE2058" s="42">
        <f>NEWEXCISE(INDEX(AE$80:AE$93,$D2058),$E2058)</f>
        <v/>
      </c>
      <c r="AG2058" s="11">
        <f>CodePrefix&amp;$A2058&amp;IF($C2058="","","."&amp;$C2058&amp;"."&amp;$B2058)&amp;INDEX(VarEnd,MATCH($A2058,VarKey,0))&amp;AG$5</f>
        <v/>
      </c>
      <c r="AH2058" s="40">
        <f>INDEX(AH$80:AH$93,$D2058)/$E2058</f>
        <v/>
      </c>
      <c r="AI2058" s="35">
        <f>INDEX(AI$80:AI$93,$D2058)/$E2058</f>
        <v/>
      </c>
      <c r="AJ2058" s="35">
        <f>INDEX(AJ$80:AJ$93,$D2058)/$E2058</f>
        <v/>
      </c>
      <c r="AK2058" s="35">
        <f>INDEX(AK$80:AK$93,$D2058)/$E2058</f>
        <v/>
      </c>
      <c r="AL2058" s="35">
        <f>INDEX(AL$80:AL$93,$D2058)/$E2058</f>
        <v/>
      </c>
      <c r="AM2058" s="35">
        <f>INDEX(AM$80:AM$93,$D2058)/$E2058</f>
        <v/>
      </c>
      <c r="AN2058" s="35">
        <f>INDEX(AN$80:AN$93,$D2058)/$E2058</f>
        <v/>
      </c>
      <c r="AO2058" s="35">
        <f>INDEX(AO$80:AO$93,$D2058)/$E2058</f>
        <v/>
      </c>
      <c r="AP2058" s="35">
        <f>INDEX(AP$80:AP$93,$D2058)/$E2058</f>
        <v/>
      </c>
      <c r="AQ2058" s="35">
        <f>INDEX(AQ$80:AQ$93,$D2058)/$E2058</f>
        <v/>
      </c>
      <c r="AR2058" s="35">
        <f>INDEX(AR$80:AR$93,$D2058)/$E2058</f>
        <v/>
      </c>
      <c r="AS2058" s="35">
        <f>INDEX(AS$80:AS$93,$D2058)/$E2058</f>
        <v/>
      </c>
      <c r="AT2058" s="35">
        <f>INDEX(AT$80:AT$93,$D2058)/$E2058</f>
        <v/>
      </c>
      <c r="AU2058" s="35">
        <f>INDEX(AU$80:AU$93,$D2058)/$E2058</f>
        <v/>
      </c>
      <c r="AV2058" s="35">
        <f>INDEX(AV$80:AV$93,$D2058)/$E2058</f>
        <v/>
      </c>
      <c r="AW2058" s="35">
        <f>INDEX(AW$80:AW$93,$D2058)/$E2058</f>
        <v/>
      </c>
      <c r="AX2058" s="35">
        <f>INDEX(AX$80:AX$93,$D2058)/$E2058</f>
        <v/>
      </c>
      <c r="AY2058" s="35">
        <f>INDEX(AY$80:AY$93,$D2058)/$E2058</f>
        <v/>
      </c>
      <c r="AZ2058" s="35">
        <f>INDEX(AZ$80:AZ$93,$D2058)/$E2058</f>
        <v/>
      </c>
      <c r="BA2058" s="42">
        <f>NEWEXCISE(INDEX(BA$80:BA$93,$D2058),$E2058)</f>
        <v/>
      </c>
    </row>
    <row r="2059" hidden="1" outlineLevel="2">
      <c r="A2059" s="14" t="inlineStr">
        <is>
          <t>ntx</t>
        </is>
      </c>
      <c r="B2059" s="14" t="inlineStr">
        <is>
          <t>lpg</t>
        </is>
      </c>
      <c r="C2059" s="14" t="inlineStr">
        <is>
          <t>irn</t>
        </is>
      </c>
      <c r="D2059" s="35">
        <f>INDEX(Inputs!$N$5:$N$132,MATCH($B2059&amp;"|"&amp;$C2059,Inputs!$A$5:$A$132,0))</f>
        <v/>
      </c>
      <c r="E2059" s="35">
        <f>INDEX(Inputs!$K$5:$K$132,MATCH($B2059&amp;"|"&amp;$C2059,Inputs!$A$5:$A$132,0))</f>
        <v/>
      </c>
      <c r="F2059" s="39" t="n"/>
      <c r="G2059" s="39" t="n"/>
      <c r="H2059" s="14">
        <f>INDEX(VarLab,MATCH($A2059,VarKey,0))&amp;INDEX(MemLab,MATCH($C2059&amp;"|"&amp;$B2059,MemKey,0))</f>
        <v/>
      </c>
      <c r="I2059" s="14">
        <f>INDEX(VarUnit,MATCH($A2059,VarKey,0))</f>
        <v/>
      </c>
      <c r="J2059" s="14">
        <f>INDEX(VarSrc,MATCH($A2059,VarKey,0))</f>
        <v/>
      </c>
      <c r="K2059" s="11">
        <f>CodePrefix&amp;$A2059&amp;IF($C2059="","","."&amp;$C2059&amp;"."&amp;$B2059)&amp;INDEX(VarEnd,MATCH($A2059,VarKey,0))&amp;K$5</f>
        <v/>
      </c>
      <c r="L2059" s="40">
        <f>INDEX(L$80:L$93,$D2059)/$E2059</f>
        <v/>
      </c>
      <c r="M2059" s="35">
        <f>INDEX(M$80:M$93,$D2059)/$E2059</f>
        <v/>
      </c>
      <c r="N2059" s="35">
        <f>INDEX(N$80:N$93,$D2059)/$E2059</f>
        <v/>
      </c>
      <c r="O2059" s="35">
        <f>INDEX(O$80:O$93,$D2059)/$E2059</f>
        <v/>
      </c>
      <c r="P2059" s="35">
        <f>INDEX(P$80:P$93,$D2059)/$E2059</f>
        <v/>
      </c>
      <c r="Q2059" s="35">
        <f>INDEX(Q$80:Q$93,$D2059)/$E2059</f>
        <v/>
      </c>
      <c r="R2059" s="35">
        <f>INDEX(R$80:R$93,$D2059)/$E2059</f>
        <v/>
      </c>
      <c r="S2059" s="35">
        <f>INDEX(S$80:S$93,$D2059)/$E2059</f>
        <v/>
      </c>
      <c r="T2059" s="35">
        <f>INDEX(T$80:T$93,$D2059)/$E2059</f>
        <v/>
      </c>
      <c r="U2059" s="35">
        <f>INDEX(U$80:U$93,$D2059)/$E2059</f>
        <v/>
      </c>
      <c r="V2059" s="35">
        <f>INDEX(V$80:V$93,$D2059)/$E2059</f>
        <v/>
      </c>
      <c r="W2059" s="35">
        <f>INDEX(W$80:W$93,$D2059)/$E2059</f>
        <v/>
      </c>
      <c r="X2059" s="35">
        <f>INDEX(X$80:X$93,$D2059)/$E2059</f>
        <v/>
      </c>
      <c r="Y2059" s="35">
        <f>INDEX(Y$80:Y$93,$D2059)/$E2059</f>
        <v/>
      </c>
      <c r="Z2059" s="35">
        <f>INDEX(Z$80:Z$93,$D2059)/$E2059</f>
        <v/>
      </c>
      <c r="AA2059" s="35">
        <f>INDEX(AA$80:AA$93,$D2059)/$E2059</f>
        <v/>
      </c>
      <c r="AB2059" s="35">
        <f>INDEX(AB$80:AB$93,$D2059)/$E2059</f>
        <v/>
      </c>
      <c r="AC2059" s="35">
        <f>INDEX(AC$80:AC$93,$D2059)/$E2059</f>
        <v/>
      </c>
      <c r="AD2059" s="35">
        <f>INDEX(AD$80:AD$93,$D2059)/$E2059</f>
        <v/>
      </c>
      <c r="AE2059" s="42">
        <f>NEWEXCISE(INDEX(AE$80:AE$93,$D2059),$E2059)</f>
        <v/>
      </c>
      <c r="AG2059" s="11">
        <f>CodePrefix&amp;$A2059&amp;IF($C2059="","","."&amp;$C2059&amp;"."&amp;$B2059)&amp;INDEX(VarEnd,MATCH($A2059,VarKey,0))&amp;AG$5</f>
        <v/>
      </c>
      <c r="AH2059" s="40">
        <f>INDEX(AH$80:AH$93,$D2059)/$E2059</f>
        <v/>
      </c>
      <c r="AI2059" s="35">
        <f>INDEX(AI$80:AI$93,$D2059)/$E2059</f>
        <v/>
      </c>
      <c r="AJ2059" s="35">
        <f>INDEX(AJ$80:AJ$93,$D2059)/$E2059</f>
        <v/>
      </c>
      <c r="AK2059" s="35">
        <f>INDEX(AK$80:AK$93,$D2059)/$E2059</f>
        <v/>
      </c>
      <c r="AL2059" s="35">
        <f>INDEX(AL$80:AL$93,$D2059)/$E2059</f>
        <v/>
      </c>
      <c r="AM2059" s="35">
        <f>INDEX(AM$80:AM$93,$D2059)/$E2059</f>
        <v/>
      </c>
      <c r="AN2059" s="35">
        <f>INDEX(AN$80:AN$93,$D2059)/$E2059</f>
        <v/>
      </c>
      <c r="AO2059" s="35">
        <f>INDEX(AO$80:AO$93,$D2059)/$E2059</f>
        <v/>
      </c>
      <c r="AP2059" s="35">
        <f>INDEX(AP$80:AP$93,$D2059)/$E2059</f>
        <v/>
      </c>
      <c r="AQ2059" s="35">
        <f>INDEX(AQ$80:AQ$93,$D2059)/$E2059</f>
        <v/>
      </c>
      <c r="AR2059" s="35">
        <f>INDEX(AR$80:AR$93,$D2059)/$E2059</f>
        <v/>
      </c>
      <c r="AS2059" s="35">
        <f>INDEX(AS$80:AS$93,$D2059)/$E2059</f>
        <v/>
      </c>
      <c r="AT2059" s="35">
        <f>INDEX(AT$80:AT$93,$D2059)/$E2059</f>
        <v/>
      </c>
      <c r="AU2059" s="35">
        <f>INDEX(AU$80:AU$93,$D2059)/$E2059</f>
        <v/>
      </c>
      <c r="AV2059" s="35">
        <f>INDEX(AV$80:AV$93,$D2059)/$E2059</f>
        <v/>
      </c>
      <c r="AW2059" s="35">
        <f>INDEX(AW$80:AW$93,$D2059)/$E2059</f>
        <v/>
      </c>
      <c r="AX2059" s="35">
        <f>INDEX(AX$80:AX$93,$D2059)/$E2059</f>
        <v/>
      </c>
      <c r="AY2059" s="35">
        <f>INDEX(AY$80:AY$93,$D2059)/$E2059</f>
        <v/>
      </c>
      <c r="AZ2059" s="35">
        <f>INDEX(AZ$80:AZ$93,$D2059)/$E2059</f>
        <v/>
      </c>
      <c r="BA2059" s="42">
        <f>NEWEXCISE(INDEX(BA$80:BA$93,$D2059),$E2059)</f>
        <v/>
      </c>
    </row>
    <row r="2060" hidden="1" outlineLevel="2">
      <c r="A2060" s="14" t="inlineStr">
        <is>
          <t>ntx</t>
        </is>
      </c>
      <c r="B2060" s="14" t="inlineStr">
        <is>
          <t>ker</t>
        </is>
      </c>
      <c r="C2060" s="14" t="inlineStr">
        <is>
          <t>irn</t>
        </is>
      </c>
      <c r="D2060" s="35">
        <f>INDEX(Inputs!$N$5:$N$132,MATCH($B2060&amp;"|"&amp;$C2060,Inputs!$A$5:$A$132,0))</f>
        <v/>
      </c>
      <c r="E2060" s="35">
        <f>INDEX(Inputs!$K$5:$K$132,MATCH($B2060&amp;"|"&amp;$C2060,Inputs!$A$5:$A$132,0))</f>
        <v/>
      </c>
      <c r="F2060" s="39" t="n"/>
      <c r="G2060" s="39" t="n"/>
      <c r="H2060" s="14">
        <f>INDEX(VarLab,MATCH($A2060,VarKey,0))&amp;INDEX(MemLab,MATCH($C2060&amp;"|"&amp;$B2060,MemKey,0))</f>
        <v/>
      </c>
      <c r="I2060" s="14">
        <f>INDEX(VarUnit,MATCH($A2060,VarKey,0))</f>
        <v/>
      </c>
      <c r="J2060" s="14">
        <f>INDEX(VarSrc,MATCH($A2060,VarKey,0))</f>
        <v/>
      </c>
      <c r="K2060" s="11">
        <f>CodePrefix&amp;$A2060&amp;IF($C2060="","","."&amp;$C2060&amp;"."&amp;$B2060)&amp;INDEX(VarEnd,MATCH($A2060,VarKey,0))&amp;K$5</f>
        <v/>
      </c>
      <c r="L2060" s="40">
        <f>INDEX(L$80:L$93,$D2060)/$E2060</f>
        <v/>
      </c>
      <c r="M2060" s="35">
        <f>INDEX(M$80:M$93,$D2060)/$E2060</f>
        <v/>
      </c>
      <c r="N2060" s="35">
        <f>INDEX(N$80:N$93,$D2060)/$E2060</f>
        <v/>
      </c>
      <c r="O2060" s="35">
        <f>INDEX(O$80:O$93,$D2060)/$E2060</f>
        <v/>
      </c>
      <c r="P2060" s="35">
        <f>INDEX(P$80:P$93,$D2060)/$E2060</f>
        <v/>
      </c>
      <c r="Q2060" s="35">
        <f>INDEX(Q$80:Q$93,$D2060)/$E2060</f>
        <v/>
      </c>
      <c r="R2060" s="35">
        <f>INDEX(R$80:R$93,$D2060)/$E2060</f>
        <v/>
      </c>
      <c r="S2060" s="35">
        <f>INDEX(S$80:S$93,$D2060)/$E2060</f>
        <v/>
      </c>
      <c r="T2060" s="35">
        <f>INDEX(T$80:T$93,$D2060)/$E2060</f>
        <v/>
      </c>
      <c r="U2060" s="35">
        <f>INDEX(U$80:U$93,$D2060)/$E2060</f>
        <v/>
      </c>
      <c r="V2060" s="35">
        <f>INDEX(V$80:V$93,$D2060)/$E2060</f>
        <v/>
      </c>
      <c r="W2060" s="35">
        <f>INDEX(W$80:W$93,$D2060)/$E2060</f>
        <v/>
      </c>
      <c r="X2060" s="35">
        <f>INDEX(X$80:X$93,$D2060)/$E2060</f>
        <v/>
      </c>
      <c r="Y2060" s="35">
        <f>INDEX(Y$80:Y$93,$D2060)/$E2060</f>
        <v/>
      </c>
      <c r="Z2060" s="35">
        <f>INDEX(Z$80:Z$93,$D2060)/$E2060</f>
        <v/>
      </c>
      <c r="AA2060" s="35">
        <f>INDEX(AA$80:AA$93,$D2060)/$E2060</f>
        <v/>
      </c>
      <c r="AB2060" s="35">
        <f>INDEX(AB$80:AB$93,$D2060)/$E2060</f>
        <v/>
      </c>
      <c r="AC2060" s="35">
        <f>INDEX(AC$80:AC$93,$D2060)/$E2060</f>
        <v/>
      </c>
      <c r="AD2060" s="35">
        <f>INDEX(AD$80:AD$93,$D2060)/$E2060</f>
        <v/>
      </c>
      <c r="AE2060" s="42">
        <f>NEWEXCISE(INDEX(AE$80:AE$93,$D2060),$E2060)</f>
        <v/>
      </c>
      <c r="AG2060" s="11">
        <f>CodePrefix&amp;$A2060&amp;IF($C2060="","","."&amp;$C2060&amp;"."&amp;$B2060)&amp;INDEX(VarEnd,MATCH($A2060,VarKey,0))&amp;AG$5</f>
        <v/>
      </c>
      <c r="AH2060" s="40">
        <f>INDEX(AH$80:AH$93,$D2060)/$E2060</f>
        <v/>
      </c>
      <c r="AI2060" s="35">
        <f>INDEX(AI$80:AI$93,$D2060)/$E2060</f>
        <v/>
      </c>
      <c r="AJ2060" s="35">
        <f>INDEX(AJ$80:AJ$93,$D2060)/$E2060</f>
        <v/>
      </c>
      <c r="AK2060" s="35">
        <f>INDEX(AK$80:AK$93,$D2060)/$E2060</f>
        <v/>
      </c>
      <c r="AL2060" s="35">
        <f>INDEX(AL$80:AL$93,$D2060)/$E2060</f>
        <v/>
      </c>
      <c r="AM2060" s="35">
        <f>INDEX(AM$80:AM$93,$D2060)/$E2060</f>
        <v/>
      </c>
      <c r="AN2060" s="35">
        <f>INDEX(AN$80:AN$93,$D2060)/$E2060</f>
        <v/>
      </c>
      <c r="AO2060" s="35">
        <f>INDEX(AO$80:AO$93,$D2060)/$E2060</f>
        <v/>
      </c>
      <c r="AP2060" s="35">
        <f>INDEX(AP$80:AP$93,$D2060)/$E2060</f>
        <v/>
      </c>
      <c r="AQ2060" s="35">
        <f>INDEX(AQ$80:AQ$93,$D2060)/$E2060</f>
        <v/>
      </c>
      <c r="AR2060" s="35">
        <f>INDEX(AR$80:AR$93,$D2060)/$E2060</f>
        <v/>
      </c>
      <c r="AS2060" s="35">
        <f>INDEX(AS$80:AS$93,$D2060)/$E2060</f>
        <v/>
      </c>
      <c r="AT2060" s="35">
        <f>INDEX(AT$80:AT$93,$D2060)/$E2060</f>
        <v/>
      </c>
      <c r="AU2060" s="35">
        <f>INDEX(AU$80:AU$93,$D2060)/$E2060</f>
        <v/>
      </c>
      <c r="AV2060" s="35">
        <f>INDEX(AV$80:AV$93,$D2060)/$E2060</f>
        <v/>
      </c>
      <c r="AW2060" s="35">
        <f>INDEX(AW$80:AW$93,$D2060)/$E2060</f>
        <v/>
      </c>
      <c r="AX2060" s="35">
        <f>INDEX(AX$80:AX$93,$D2060)/$E2060</f>
        <v/>
      </c>
      <c r="AY2060" s="35">
        <f>INDEX(AY$80:AY$93,$D2060)/$E2060</f>
        <v/>
      </c>
      <c r="AZ2060" s="35">
        <f>INDEX(AZ$80:AZ$93,$D2060)/$E2060</f>
        <v/>
      </c>
      <c r="BA2060" s="42">
        <f>NEWEXCISE(INDEX(BA$80:BA$93,$D2060),$E2060)</f>
        <v/>
      </c>
    </row>
    <row r="2061" hidden="1" outlineLevel="2">
      <c r="A2061" s="14" t="inlineStr">
        <is>
          <t>ntx</t>
        </is>
      </c>
      <c r="B2061" s="14" t="inlineStr">
        <is>
          <t>oop</t>
        </is>
      </c>
      <c r="C2061" s="14" t="inlineStr">
        <is>
          <t>irn</t>
        </is>
      </c>
      <c r="D2061" s="35">
        <f>INDEX(Inputs!$N$5:$N$132,MATCH($B2061&amp;"|"&amp;$C2061,Inputs!$A$5:$A$132,0))</f>
        <v/>
      </c>
      <c r="E2061" s="35">
        <f>INDEX(Inputs!$K$5:$K$132,MATCH($B2061&amp;"|"&amp;$C2061,Inputs!$A$5:$A$132,0))</f>
        <v/>
      </c>
      <c r="F2061" s="39" t="n"/>
      <c r="G2061" s="39" t="n"/>
      <c r="H2061" s="14">
        <f>INDEX(VarLab,MATCH($A2061,VarKey,0))&amp;INDEX(MemLab,MATCH($C2061&amp;"|"&amp;$B2061,MemKey,0))</f>
        <v/>
      </c>
      <c r="I2061" s="14">
        <f>INDEX(VarUnit,MATCH($A2061,VarKey,0))</f>
        <v/>
      </c>
      <c r="J2061" s="14">
        <f>INDEX(VarSrc,MATCH($A2061,VarKey,0))</f>
        <v/>
      </c>
      <c r="K2061" s="11">
        <f>CodePrefix&amp;$A2061&amp;IF($C2061="","","."&amp;$C2061&amp;"."&amp;$B2061)&amp;INDEX(VarEnd,MATCH($A2061,VarKey,0))&amp;K$5</f>
        <v/>
      </c>
      <c r="L2061" s="40">
        <f>INDEX(L$80:L$93,$D2061)/$E2061</f>
        <v/>
      </c>
      <c r="M2061" s="35">
        <f>INDEX(M$80:M$93,$D2061)/$E2061</f>
        <v/>
      </c>
      <c r="N2061" s="35">
        <f>INDEX(N$80:N$93,$D2061)/$E2061</f>
        <v/>
      </c>
      <c r="O2061" s="35">
        <f>INDEX(O$80:O$93,$D2061)/$E2061</f>
        <v/>
      </c>
      <c r="P2061" s="35">
        <f>INDEX(P$80:P$93,$D2061)/$E2061</f>
        <v/>
      </c>
      <c r="Q2061" s="35">
        <f>INDEX(Q$80:Q$93,$D2061)/$E2061</f>
        <v/>
      </c>
      <c r="R2061" s="35">
        <f>INDEX(R$80:R$93,$D2061)/$E2061</f>
        <v/>
      </c>
      <c r="S2061" s="35">
        <f>INDEX(S$80:S$93,$D2061)/$E2061</f>
        <v/>
      </c>
      <c r="T2061" s="35">
        <f>INDEX(T$80:T$93,$D2061)/$E2061</f>
        <v/>
      </c>
      <c r="U2061" s="35">
        <f>INDEX(U$80:U$93,$D2061)/$E2061</f>
        <v/>
      </c>
      <c r="V2061" s="35">
        <f>INDEX(V$80:V$93,$D2061)/$E2061</f>
        <v/>
      </c>
      <c r="W2061" s="35">
        <f>INDEX(W$80:W$93,$D2061)/$E2061</f>
        <v/>
      </c>
      <c r="X2061" s="35">
        <f>INDEX(X$80:X$93,$D2061)/$E2061</f>
        <v/>
      </c>
      <c r="Y2061" s="35">
        <f>INDEX(Y$80:Y$93,$D2061)/$E2061</f>
        <v/>
      </c>
      <c r="Z2061" s="35">
        <f>INDEX(Z$80:Z$93,$D2061)/$E2061</f>
        <v/>
      </c>
      <c r="AA2061" s="35">
        <f>INDEX(AA$80:AA$93,$D2061)/$E2061</f>
        <v/>
      </c>
      <c r="AB2061" s="35">
        <f>INDEX(AB$80:AB$93,$D2061)/$E2061</f>
        <v/>
      </c>
      <c r="AC2061" s="35">
        <f>INDEX(AC$80:AC$93,$D2061)/$E2061</f>
        <v/>
      </c>
      <c r="AD2061" s="35">
        <f>INDEX(AD$80:AD$93,$D2061)/$E2061</f>
        <v/>
      </c>
      <c r="AE2061" s="42">
        <f>NEWEXCISE(INDEX(AE$80:AE$93,$D2061),$E2061)</f>
        <v/>
      </c>
      <c r="AG2061" s="11">
        <f>CodePrefix&amp;$A2061&amp;IF($C2061="","","."&amp;$C2061&amp;"."&amp;$B2061)&amp;INDEX(VarEnd,MATCH($A2061,VarKey,0))&amp;AG$5</f>
        <v/>
      </c>
      <c r="AH2061" s="40">
        <f>INDEX(AH$80:AH$93,$D2061)/$E2061</f>
        <v/>
      </c>
      <c r="AI2061" s="35">
        <f>INDEX(AI$80:AI$93,$D2061)/$E2061</f>
        <v/>
      </c>
      <c r="AJ2061" s="35">
        <f>INDEX(AJ$80:AJ$93,$D2061)/$E2061</f>
        <v/>
      </c>
      <c r="AK2061" s="35">
        <f>INDEX(AK$80:AK$93,$D2061)/$E2061</f>
        <v/>
      </c>
      <c r="AL2061" s="35">
        <f>INDEX(AL$80:AL$93,$D2061)/$E2061</f>
        <v/>
      </c>
      <c r="AM2061" s="35">
        <f>INDEX(AM$80:AM$93,$D2061)/$E2061</f>
        <v/>
      </c>
      <c r="AN2061" s="35">
        <f>INDEX(AN$80:AN$93,$D2061)/$E2061</f>
        <v/>
      </c>
      <c r="AO2061" s="35">
        <f>INDEX(AO$80:AO$93,$D2061)/$E2061</f>
        <v/>
      </c>
      <c r="AP2061" s="35">
        <f>INDEX(AP$80:AP$93,$D2061)/$E2061</f>
        <v/>
      </c>
      <c r="AQ2061" s="35">
        <f>INDEX(AQ$80:AQ$93,$D2061)/$E2061</f>
        <v/>
      </c>
      <c r="AR2061" s="35">
        <f>INDEX(AR$80:AR$93,$D2061)/$E2061</f>
        <v/>
      </c>
      <c r="AS2061" s="35">
        <f>INDEX(AS$80:AS$93,$D2061)/$E2061</f>
        <v/>
      </c>
      <c r="AT2061" s="35">
        <f>INDEX(AT$80:AT$93,$D2061)/$E2061</f>
        <v/>
      </c>
      <c r="AU2061" s="35">
        <f>INDEX(AU$80:AU$93,$D2061)/$E2061</f>
        <v/>
      </c>
      <c r="AV2061" s="35">
        <f>INDEX(AV$80:AV$93,$D2061)/$E2061</f>
        <v/>
      </c>
      <c r="AW2061" s="35">
        <f>INDEX(AW$80:AW$93,$D2061)/$E2061</f>
        <v/>
      </c>
      <c r="AX2061" s="35">
        <f>INDEX(AX$80:AX$93,$D2061)/$E2061</f>
        <v/>
      </c>
      <c r="AY2061" s="35">
        <f>INDEX(AY$80:AY$93,$D2061)/$E2061</f>
        <v/>
      </c>
      <c r="AZ2061" s="35">
        <f>INDEX(AZ$80:AZ$93,$D2061)/$E2061</f>
        <v/>
      </c>
      <c r="BA2061" s="42">
        <f>NEWEXCISE(INDEX(BA$80:BA$93,$D2061),$E2061)</f>
        <v/>
      </c>
    </row>
    <row r="2062" hidden="1" outlineLevel="2">
      <c r="A2062" s="14" t="inlineStr">
        <is>
          <t>ntx</t>
        </is>
      </c>
      <c r="B2062" s="14" t="inlineStr">
        <is>
          <t>bio</t>
        </is>
      </c>
      <c r="C2062" s="14" t="inlineStr">
        <is>
          <t>irn</t>
        </is>
      </c>
      <c r="D2062" s="35">
        <f>INDEX(Inputs!$N$5:$N$132,MATCH($B2062&amp;"|"&amp;$C2062,Inputs!$A$5:$A$132,0))</f>
        <v/>
      </c>
      <c r="E2062" s="35">
        <f>INDEX(Inputs!$K$5:$K$132,MATCH($B2062&amp;"|"&amp;$C2062,Inputs!$A$5:$A$132,0))</f>
        <v/>
      </c>
      <c r="F2062" s="39" t="n"/>
      <c r="G2062" s="39" t="n"/>
      <c r="H2062" s="14">
        <f>INDEX(VarLab,MATCH($A2062,VarKey,0))&amp;INDEX(MemLab,MATCH($C2062&amp;"|"&amp;$B2062,MemKey,0))</f>
        <v/>
      </c>
      <c r="I2062" s="14">
        <f>INDEX(VarUnit,MATCH($A2062,VarKey,0))</f>
        <v/>
      </c>
      <c r="J2062" s="14">
        <f>INDEX(VarSrc,MATCH($A2062,VarKey,0))</f>
        <v/>
      </c>
      <c r="K2062" s="11">
        <f>CodePrefix&amp;$A2062&amp;IF($C2062="","","."&amp;$C2062&amp;"."&amp;$B2062)&amp;INDEX(VarEnd,MATCH($A2062,VarKey,0))&amp;K$5</f>
        <v/>
      </c>
      <c r="L2062" s="40">
        <f>INDEX(L$80:L$93,$D2062)/$E2062</f>
        <v/>
      </c>
      <c r="M2062" s="35">
        <f>INDEX(M$80:M$93,$D2062)/$E2062</f>
        <v/>
      </c>
      <c r="N2062" s="35">
        <f>INDEX(N$80:N$93,$D2062)/$E2062</f>
        <v/>
      </c>
      <c r="O2062" s="35">
        <f>INDEX(O$80:O$93,$D2062)/$E2062</f>
        <v/>
      </c>
      <c r="P2062" s="35">
        <f>INDEX(P$80:P$93,$D2062)/$E2062</f>
        <v/>
      </c>
      <c r="Q2062" s="35">
        <f>INDEX(Q$80:Q$93,$D2062)/$E2062</f>
        <v/>
      </c>
      <c r="R2062" s="35">
        <f>INDEX(R$80:R$93,$D2062)/$E2062</f>
        <v/>
      </c>
      <c r="S2062" s="35">
        <f>INDEX(S$80:S$93,$D2062)/$E2062</f>
        <v/>
      </c>
      <c r="T2062" s="35">
        <f>INDEX(T$80:T$93,$D2062)/$E2062</f>
        <v/>
      </c>
      <c r="U2062" s="35">
        <f>INDEX(U$80:U$93,$D2062)/$E2062</f>
        <v/>
      </c>
      <c r="V2062" s="35">
        <f>INDEX(V$80:V$93,$D2062)/$E2062</f>
        <v/>
      </c>
      <c r="W2062" s="35">
        <f>INDEX(W$80:W$93,$D2062)/$E2062</f>
        <v/>
      </c>
      <c r="X2062" s="35">
        <f>INDEX(X$80:X$93,$D2062)/$E2062</f>
        <v/>
      </c>
      <c r="Y2062" s="35">
        <f>INDEX(Y$80:Y$93,$D2062)/$E2062</f>
        <v/>
      </c>
      <c r="Z2062" s="35">
        <f>INDEX(Z$80:Z$93,$D2062)/$E2062</f>
        <v/>
      </c>
      <c r="AA2062" s="35">
        <f>INDEX(AA$80:AA$93,$D2062)/$E2062</f>
        <v/>
      </c>
      <c r="AB2062" s="35">
        <f>INDEX(AB$80:AB$93,$D2062)/$E2062</f>
        <v/>
      </c>
      <c r="AC2062" s="35">
        <f>INDEX(AC$80:AC$93,$D2062)/$E2062</f>
        <v/>
      </c>
      <c r="AD2062" s="35">
        <f>INDEX(AD$80:AD$93,$D2062)/$E2062</f>
        <v/>
      </c>
      <c r="AE2062" s="42">
        <f>NEWEXCISE(INDEX(AE$80:AE$93,$D2062),$E2062)</f>
        <v/>
      </c>
      <c r="AG2062" s="11">
        <f>CodePrefix&amp;$A2062&amp;IF($C2062="","","."&amp;$C2062&amp;"."&amp;$B2062)&amp;INDEX(VarEnd,MATCH($A2062,VarKey,0))&amp;AG$5</f>
        <v/>
      </c>
      <c r="AH2062" s="40">
        <f>INDEX(AH$80:AH$93,$D2062)/$E2062</f>
        <v/>
      </c>
      <c r="AI2062" s="35">
        <f>INDEX(AI$80:AI$93,$D2062)/$E2062</f>
        <v/>
      </c>
      <c r="AJ2062" s="35">
        <f>INDEX(AJ$80:AJ$93,$D2062)/$E2062</f>
        <v/>
      </c>
      <c r="AK2062" s="35">
        <f>INDEX(AK$80:AK$93,$D2062)/$E2062</f>
        <v/>
      </c>
      <c r="AL2062" s="35">
        <f>INDEX(AL$80:AL$93,$D2062)/$E2062</f>
        <v/>
      </c>
      <c r="AM2062" s="35">
        <f>INDEX(AM$80:AM$93,$D2062)/$E2062</f>
        <v/>
      </c>
      <c r="AN2062" s="35">
        <f>INDEX(AN$80:AN$93,$D2062)/$E2062</f>
        <v/>
      </c>
      <c r="AO2062" s="35">
        <f>INDEX(AO$80:AO$93,$D2062)/$E2062</f>
        <v/>
      </c>
      <c r="AP2062" s="35">
        <f>INDEX(AP$80:AP$93,$D2062)/$E2062</f>
        <v/>
      </c>
      <c r="AQ2062" s="35">
        <f>INDEX(AQ$80:AQ$93,$D2062)/$E2062</f>
        <v/>
      </c>
      <c r="AR2062" s="35">
        <f>INDEX(AR$80:AR$93,$D2062)/$E2062</f>
        <v/>
      </c>
      <c r="AS2062" s="35">
        <f>INDEX(AS$80:AS$93,$D2062)/$E2062</f>
        <v/>
      </c>
      <c r="AT2062" s="35">
        <f>INDEX(AT$80:AT$93,$D2062)/$E2062</f>
        <v/>
      </c>
      <c r="AU2062" s="35">
        <f>INDEX(AU$80:AU$93,$D2062)/$E2062</f>
        <v/>
      </c>
      <c r="AV2062" s="35">
        <f>INDEX(AV$80:AV$93,$D2062)/$E2062</f>
        <v/>
      </c>
      <c r="AW2062" s="35">
        <f>INDEX(AW$80:AW$93,$D2062)/$E2062</f>
        <v/>
      </c>
      <c r="AX2062" s="35">
        <f>INDEX(AX$80:AX$93,$D2062)/$E2062</f>
        <v/>
      </c>
      <c r="AY2062" s="35">
        <f>INDEX(AY$80:AY$93,$D2062)/$E2062</f>
        <v/>
      </c>
      <c r="AZ2062" s="35">
        <f>INDEX(AZ$80:AZ$93,$D2062)/$E2062</f>
        <v/>
      </c>
      <c r="BA2062" s="42">
        <f>NEWEXCISE(INDEX(BA$80:BA$93,$D2062),$E2062)</f>
        <v/>
      </c>
    </row>
    <row r="2063" hidden="1" outlineLevel="2"/>
    <row r="2064" hidden="1" outlineLevel="2">
      <c r="A2064" s="14" t="inlineStr">
        <is>
          <t>nce</t>
        </is>
      </c>
      <c r="B2064" s="14" t="inlineStr">
        <is>
          <t>coa</t>
        </is>
      </c>
      <c r="C2064" s="14" t="inlineStr">
        <is>
          <t>irn</t>
        </is>
      </c>
      <c r="D2064" s="39" t="n"/>
      <c r="E2064" s="39" t="n"/>
      <c r="F2064" s="39" t="n"/>
      <c r="G2064" s="39" t="n"/>
      <c r="H2064" s="14">
        <f>INDEX(VarLab,MATCH($A2064,VarKey,0))&amp;INDEX(MemLab,MATCH($C2064&amp;"|"&amp;$B2064,MemKey,0))</f>
        <v/>
      </c>
      <c r="I2064" s="14">
        <f>INDEX(VarUnit,MATCH($A2064,VarKey,0))</f>
        <v/>
      </c>
      <c r="J2064" s="14">
        <f>INDEX(VarSrc,MATCH($A2064,VarKey,0))</f>
        <v/>
      </c>
      <c r="K2064" s="11">
        <f>CodePrefix&amp;$A2064&amp;IF($C2064="","","."&amp;$C2064&amp;"."&amp;$B2064)&amp;INDEX(VarEnd,MATCH($A2064,VarKey,0))&amp;K$5</f>
        <v/>
      </c>
      <c r="L2064" s="40">
        <f>L2037+L2046+L2055</f>
        <v/>
      </c>
      <c r="M2064" s="35">
        <f>M2037+M2046+M2055</f>
        <v/>
      </c>
      <c r="N2064" s="35">
        <f>N2037+N2046+N2055</f>
        <v/>
      </c>
      <c r="O2064" s="35">
        <f>O2037+O2046+O2055</f>
        <v/>
      </c>
      <c r="P2064" s="35">
        <f>P2037+P2046+P2055</f>
        <v/>
      </c>
      <c r="Q2064" s="35">
        <f>Q2037+Q2046+Q2055</f>
        <v/>
      </c>
      <c r="R2064" s="35">
        <f>R2037+R2046+R2055</f>
        <v/>
      </c>
      <c r="S2064" s="35">
        <f>S2037+S2046+S2055</f>
        <v/>
      </c>
      <c r="T2064" s="35">
        <f>T2037+T2046+T2055</f>
        <v/>
      </c>
      <c r="U2064" s="35">
        <f>U2037+U2046+U2055</f>
        <v/>
      </c>
      <c r="V2064" s="35">
        <f>V2037+V2046+V2055</f>
        <v/>
      </c>
      <c r="W2064" s="35">
        <f>W2037+W2046+W2055</f>
        <v/>
      </c>
      <c r="X2064" s="35">
        <f>X2037+X2046+X2055</f>
        <v/>
      </c>
      <c r="Y2064" s="35">
        <f>Y2037+Y2046+Y2055</f>
        <v/>
      </c>
      <c r="Z2064" s="35">
        <f>Z2037+Z2046+Z2055</f>
        <v/>
      </c>
      <c r="AA2064" s="35">
        <f>AA2037+AA2046+AA2055</f>
        <v/>
      </c>
      <c r="AB2064" s="35">
        <f>AB2037+AB2046+AB2055</f>
        <v/>
      </c>
      <c r="AC2064" s="35">
        <f>AC2037+AC2046+AC2055</f>
        <v/>
      </c>
      <c r="AD2064" s="35">
        <f>AD2037+AD2046+AD2055</f>
        <v/>
      </c>
      <c r="AE2064" s="42">
        <f>NEWPOLICY(AE2037,AE2046,AE2055)</f>
        <v/>
      </c>
      <c r="AG2064" s="11">
        <f>CodePrefix&amp;$A2064&amp;IF($C2064="","","."&amp;$C2064&amp;"."&amp;$B2064)&amp;INDEX(VarEnd,MATCH($A2064,VarKey,0))&amp;AG$5</f>
        <v/>
      </c>
      <c r="AH2064" s="40">
        <f>AH2037+AH2046+AH2055</f>
        <v/>
      </c>
      <c r="AI2064" s="35">
        <f>AI2037+AI2046+AI2055</f>
        <v/>
      </c>
      <c r="AJ2064" s="35">
        <f>AJ2037+AJ2046+AJ2055</f>
        <v/>
      </c>
      <c r="AK2064" s="35">
        <f>AK2037+AK2046+AK2055</f>
        <v/>
      </c>
      <c r="AL2064" s="35">
        <f>AL2037+AL2046+AL2055</f>
        <v/>
      </c>
      <c r="AM2064" s="35">
        <f>AM2037+AM2046+AM2055</f>
        <v/>
      </c>
      <c r="AN2064" s="35">
        <f>AN2037+AN2046+AN2055</f>
        <v/>
      </c>
      <c r="AO2064" s="35">
        <f>AO2037+AO2046+AO2055</f>
        <v/>
      </c>
      <c r="AP2064" s="35">
        <f>AP2037+AP2046+AP2055</f>
        <v/>
      </c>
      <c r="AQ2064" s="35">
        <f>AQ2037+AQ2046+AQ2055</f>
        <v/>
      </c>
      <c r="AR2064" s="35">
        <f>AR2037+AR2046+AR2055</f>
        <v/>
      </c>
      <c r="AS2064" s="35">
        <f>AS2037+AS2046+AS2055</f>
        <v/>
      </c>
      <c r="AT2064" s="35">
        <f>AT2037+AT2046+AT2055</f>
        <v/>
      </c>
      <c r="AU2064" s="35">
        <f>AU2037+AU2046+AU2055</f>
        <v/>
      </c>
      <c r="AV2064" s="35">
        <f>AV2037+AV2046+AV2055</f>
        <v/>
      </c>
      <c r="AW2064" s="35">
        <f>AW2037+AW2046+AW2055</f>
        <v/>
      </c>
      <c r="AX2064" s="35">
        <f>AX2037+AX2046+AX2055</f>
        <v/>
      </c>
      <c r="AY2064" s="35">
        <f>AY2037+AY2046+AY2055</f>
        <v/>
      </c>
      <c r="AZ2064" s="35">
        <f>AZ2037+AZ2046+AZ2055</f>
        <v/>
      </c>
      <c r="BA2064" s="42">
        <f>NEWPOLICY(BA2037,BA2046,BA2055)</f>
        <v/>
      </c>
    </row>
    <row r="2065" hidden="1" outlineLevel="2">
      <c r="A2065" s="14" t="inlineStr">
        <is>
          <t>nce</t>
        </is>
      </c>
      <c r="B2065" s="14" t="inlineStr">
        <is>
          <t>nga</t>
        </is>
      </c>
      <c r="C2065" s="14" t="inlineStr">
        <is>
          <t>irn</t>
        </is>
      </c>
      <c r="D2065" s="39" t="n"/>
      <c r="E2065" s="39" t="n"/>
      <c r="F2065" s="39" t="n"/>
      <c r="G2065" s="39" t="n"/>
      <c r="H2065" s="14">
        <f>INDEX(VarLab,MATCH($A2065,VarKey,0))&amp;INDEX(MemLab,MATCH($C2065&amp;"|"&amp;$B2065,MemKey,0))</f>
        <v/>
      </c>
      <c r="I2065" s="14">
        <f>INDEX(VarUnit,MATCH($A2065,VarKey,0))</f>
        <v/>
      </c>
      <c r="J2065" s="14">
        <f>INDEX(VarSrc,MATCH($A2065,VarKey,0))</f>
        <v/>
      </c>
      <c r="K2065" s="11">
        <f>CodePrefix&amp;$A2065&amp;IF($C2065="","","."&amp;$C2065&amp;"."&amp;$B2065)&amp;INDEX(VarEnd,MATCH($A2065,VarKey,0))&amp;K$5</f>
        <v/>
      </c>
      <c r="L2065" s="40">
        <f>L2038+L2047+L2056</f>
        <v/>
      </c>
      <c r="M2065" s="35">
        <f>M2038+M2047+M2056</f>
        <v/>
      </c>
      <c r="N2065" s="35">
        <f>N2038+N2047+N2056</f>
        <v/>
      </c>
      <c r="O2065" s="35">
        <f>O2038+O2047+O2056</f>
        <v/>
      </c>
      <c r="P2065" s="35">
        <f>P2038+P2047+P2056</f>
        <v/>
      </c>
      <c r="Q2065" s="35">
        <f>Q2038+Q2047+Q2056</f>
        <v/>
      </c>
      <c r="R2065" s="35">
        <f>R2038+R2047+R2056</f>
        <v/>
      </c>
      <c r="S2065" s="35">
        <f>S2038+S2047+S2056</f>
        <v/>
      </c>
      <c r="T2065" s="35">
        <f>T2038+T2047+T2056</f>
        <v/>
      </c>
      <c r="U2065" s="35">
        <f>U2038+U2047+U2056</f>
        <v/>
      </c>
      <c r="V2065" s="35">
        <f>V2038+V2047+V2056</f>
        <v/>
      </c>
      <c r="W2065" s="35">
        <f>W2038+W2047+W2056</f>
        <v/>
      </c>
      <c r="X2065" s="35">
        <f>X2038+X2047+X2056</f>
        <v/>
      </c>
      <c r="Y2065" s="35">
        <f>Y2038+Y2047+Y2056</f>
        <v/>
      </c>
      <c r="Z2065" s="35">
        <f>Z2038+Z2047+Z2056</f>
        <v/>
      </c>
      <c r="AA2065" s="35">
        <f>AA2038+AA2047+AA2056</f>
        <v/>
      </c>
      <c r="AB2065" s="35">
        <f>AB2038+AB2047+AB2056</f>
        <v/>
      </c>
      <c r="AC2065" s="35">
        <f>AC2038+AC2047+AC2056</f>
        <v/>
      </c>
      <c r="AD2065" s="35">
        <f>AD2038+AD2047+AD2056</f>
        <v/>
      </c>
      <c r="AE2065" s="42">
        <f>NEWPOLICY(AE2038,AE2047,AE2056)</f>
        <v/>
      </c>
      <c r="AG2065" s="11">
        <f>CodePrefix&amp;$A2065&amp;IF($C2065="","","."&amp;$C2065&amp;"."&amp;$B2065)&amp;INDEX(VarEnd,MATCH($A2065,VarKey,0))&amp;AG$5</f>
        <v/>
      </c>
      <c r="AH2065" s="40">
        <f>AH2038+AH2047+AH2056</f>
        <v/>
      </c>
      <c r="AI2065" s="35">
        <f>AI2038+AI2047+AI2056</f>
        <v/>
      </c>
      <c r="AJ2065" s="35">
        <f>AJ2038+AJ2047+AJ2056</f>
        <v/>
      </c>
      <c r="AK2065" s="35">
        <f>AK2038+AK2047+AK2056</f>
        <v/>
      </c>
      <c r="AL2065" s="35">
        <f>AL2038+AL2047+AL2056</f>
        <v/>
      </c>
      <c r="AM2065" s="35">
        <f>AM2038+AM2047+AM2056</f>
        <v/>
      </c>
      <c r="AN2065" s="35">
        <f>AN2038+AN2047+AN2056</f>
        <v/>
      </c>
      <c r="AO2065" s="35">
        <f>AO2038+AO2047+AO2056</f>
        <v/>
      </c>
      <c r="AP2065" s="35">
        <f>AP2038+AP2047+AP2056</f>
        <v/>
      </c>
      <c r="AQ2065" s="35">
        <f>AQ2038+AQ2047+AQ2056</f>
        <v/>
      </c>
      <c r="AR2065" s="35">
        <f>AR2038+AR2047+AR2056</f>
        <v/>
      </c>
      <c r="AS2065" s="35">
        <f>AS2038+AS2047+AS2056</f>
        <v/>
      </c>
      <c r="AT2065" s="35">
        <f>AT2038+AT2047+AT2056</f>
        <v/>
      </c>
      <c r="AU2065" s="35">
        <f>AU2038+AU2047+AU2056</f>
        <v/>
      </c>
      <c r="AV2065" s="35">
        <f>AV2038+AV2047+AV2056</f>
        <v/>
      </c>
      <c r="AW2065" s="35">
        <f>AW2038+AW2047+AW2056</f>
        <v/>
      </c>
      <c r="AX2065" s="35">
        <f>AX2038+AX2047+AX2056</f>
        <v/>
      </c>
      <c r="AY2065" s="35">
        <f>AY2038+AY2047+AY2056</f>
        <v/>
      </c>
      <c r="AZ2065" s="35">
        <f>AZ2038+AZ2047+AZ2056</f>
        <v/>
      </c>
      <c r="BA2065" s="42">
        <f>NEWPOLICY(BA2038,BA2047,BA2056)</f>
        <v/>
      </c>
    </row>
    <row r="2066" hidden="1" outlineLevel="2">
      <c r="A2066" s="14" t="inlineStr">
        <is>
          <t>nce</t>
        </is>
      </c>
      <c r="B2066" s="14" t="inlineStr">
        <is>
          <t>gso</t>
        </is>
      </c>
      <c r="C2066" s="14" t="inlineStr">
        <is>
          <t>irn</t>
        </is>
      </c>
      <c r="D2066" s="39" t="n"/>
      <c r="E2066" s="39" t="n"/>
      <c r="F2066" s="39" t="n"/>
      <c r="G2066" s="39" t="n"/>
      <c r="H2066" s="14">
        <f>INDEX(VarLab,MATCH($A2066,VarKey,0))&amp;INDEX(MemLab,MATCH($C2066&amp;"|"&amp;$B2066,MemKey,0))</f>
        <v/>
      </c>
      <c r="I2066" s="14">
        <f>INDEX(VarUnit,MATCH($A2066,VarKey,0))</f>
        <v/>
      </c>
      <c r="J2066" s="14">
        <f>INDEX(VarSrc,MATCH($A2066,VarKey,0))</f>
        <v/>
      </c>
      <c r="K2066" s="11">
        <f>CodePrefix&amp;$A2066&amp;IF($C2066="","","."&amp;$C2066&amp;"."&amp;$B2066)&amp;INDEX(VarEnd,MATCH($A2066,VarKey,0))&amp;K$5</f>
        <v/>
      </c>
      <c r="L2066" s="40">
        <f>L2039+L2048+L2057</f>
        <v/>
      </c>
      <c r="M2066" s="35">
        <f>M2039+M2048+M2057</f>
        <v/>
      </c>
      <c r="N2066" s="35">
        <f>N2039+N2048+N2057</f>
        <v/>
      </c>
      <c r="O2066" s="35">
        <f>O2039+O2048+O2057</f>
        <v/>
      </c>
      <c r="P2066" s="35">
        <f>P2039+P2048+P2057</f>
        <v/>
      </c>
      <c r="Q2066" s="35">
        <f>Q2039+Q2048+Q2057</f>
        <v/>
      </c>
      <c r="R2066" s="35">
        <f>R2039+R2048+R2057</f>
        <v/>
      </c>
      <c r="S2066" s="35">
        <f>S2039+S2048+S2057</f>
        <v/>
      </c>
      <c r="T2066" s="35">
        <f>T2039+T2048+T2057</f>
        <v/>
      </c>
      <c r="U2066" s="35">
        <f>U2039+U2048+U2057</f>
        <v/>
      </c>
      <c r="V2066" s="35">
        <f>V2039+V2048+V2057</f>
        <v/>
      </c>
      <c r="W2066" s="35">
        <f>W2039+W2048+W2057</f>
        <v/>
      </c>
      <c r="X2066" s="35">
        <f>X2039+X2048+X2057</f>
        <v/>
      </c>
      <c r="Y2066" s="35">
        <f>Y2039+Y2048+Y2057</f>
        <v/>
      </c>
      <c r="Z2066" s="35">
        <f>Z2039+Z2048+Z2057</f>
        <v/>
      </c>
      <c r="AA2066" s="35">
        <f>AA2039+AA2048+AA2057</f>
        <v/>
      </c>
      <c r="AB2066" s="35">
        <f>AB2039+AB2048+AB2057</f>
        <v/>
      </c>
      <c r="AC2066" s="35">
        <f>AC2039+AC2048+AC2057</f>
        <v/>
      </c>
      <c r="AD2066" s="35">
        <f>AD2039+AD2048+AD2057</f>
        <v/>
      </c>
      <c r="AE2066" s="42">
        <f>NEWPOLICY(AE2039,AE2048,AE2057)</f>
        <v/>
      </c>
      <c r="AG2066" s="11">
        <f>CodePrefix&amp;$A2066&amp;IF($C2066="","","."&amp;$C2066&amp;"."&amp;$B2066)&amp;INDEX(VarEnd,MATCH($A2066,VarKey,0))&amp;AG$5</f>
        <v/>
      </c>
      <c r="AH2066" s="40">
        <f>AH2039+AH2048+AH2057</f>
        <v/>
      </c>
      <c r="AI2066" s="35">
        <f>AI2039+AI2048+AI2057</f>
        <v/>
      </c>
      <c r="AJ2066" s="35">
        <f>AJ2039+AJ2048+AJ2057</f>
        <v/>
      </c>
      <c r="AK2066" s="35">
        <f>AK2039+AK2048+AK2057</f>
        <v/>
      </c>
      <c r="AL2066" s="35">
        <f>AL2039+AL2048+AL2057</f>
        <v/>
      </c>
      <c r="AM2066" s="35">
        <f>AM2039+AM2048+AM2057</f>
        <v/>
      </c>
      <c r="AN2066" s="35">
        <f>AN2039+AN2048+AN2057</f>
        <v/>
      </c>
      <c r="AO2066" s="35">
        <f>AO2039+AO2048+AO2057</f>
        <v/>
      </c>
      <c r="AP2066" s="35">
        <f>AP2039+AP2048+AP2057</f>
        <v/>
      </c>
      <c r="AQ2066" s="35">
        <f>AQ2039+AQ2048+AQ2057</f>
        <v/>
      </c>
      <c r="AR2066" s="35">
        <f>AR2039+AR2048+AR2057</f>
        <v/>
      </c>
      <c r="AS2066" s="35">
        <f>AS2039+AS2048+AS2057</f>
        <v/>
      </c>
      <c r="AT2066" s="35">
        <f>AT2039+AT2048+AT2057</f>
        <v/>
      </c>
      <c r="AU2066" s="35">
        <f>AU2039+AU2048+AU2057</f>
        <v/>
      </c>
      <c r="AV2066" s="35">
        <f>AV2039+AV2048+AV2057</f>
        <v/>
      </c>
      <c r="AW2066" s="35">
        <f>AW2039+AW2048+AW2057</f>
        <v/>
      </c>
      <c r="AX2066" s="35">
        <f>AX2039+AX2048+AX2057</f>
        <v/>
      </c>
      <c r="AY2066" s="35">
        <f>AY2039+AY2048+AY2057</f>
        <v/>
      </c>
      <c r="AZ2066" s="35">
        <f>AZ2039+AZ2048+AZ2057</f>
        <v/>
      </c>
      <c r="BA2066" s="42">
        <f>NEWPOLICY(BA2039,BA2048,BA2057)</f>
        <v/>
      </c>
    </row>
    <row r="2067" hidden="1" outlineLevel="2">
      <c r="A2067" s="14" t="inlineStr">
        <is>
          <t>nce</t>
        </is>
      </c>
      <c r="B2067" s="14" t="inlineStr">
        <is>
          <t>die</t>
        </is>
      </c>
      <c r="C2067" s="14" t="inlineStr">
        <is>
          <t>irn</t>
        </is>
      </c>
      <c r="D2067" s="39" t="n"/>
      <c r="E2067" s="39" t="n"/>
      <c r="F2067" s="39" t="n"/>
      <c r="G2067" s="39" t="n"/>
      <c r="H2067" s="14">
        <f>INDEX(VarLab,MATCH($A2067,VarKey,0))&amp;INDEX(MemLab,MATCH($C2067&amp;"|"&amp;$B2067,MemKey,0))</f>
        <v/>
      </c>
      <c r="I2067" s="14">
        <f>INDEX(VarUnit,MATCH($A2067,VarKey,0))</f>
        <v/>
      </c>
      <c r="J2067" s="14">
        <f>INDEX(VarSrc,MATCH($A2067,VarKey,0))</f>
        <v/>
      </c>
      <c r="K2067" s="11">
        <f>CodePrefix&amp;$A2067&amp;IF($C2067="","","."&amp;$C2067&amp;"."&amp;$B2067)&amp;INDEX(VarEnd,MATCH($A2067,VarKey,0))&amp;K$5</f>
        <v/>
      </c>
      <c r="L2067" s="40">
        <f>L2040+L2049+L2058</f>
        <v/>
      </c>
      <c r="M2067" s="35">
        <f>M2040+M2049+M2058</f>
        <v/>
      </c>
      <c r="N2067" s="35">
        <f>N2040+N2049+N2058</f>
        <v/>
      </c>
      <c r="O2067" s="35">
        <f>O2040+O2049+O2058</f>
        <v/>
      </c>
      <c r="P2067" s="35">
        <f>P2040+P2049+P2058</f>
        <v/>
      </c>
      <c r="Q2067" s="35">
        <f>Q2040+Q2049+Q2058</f>
        <v/>
      </c>
      <c r="R2067" s="35">
        <f>R2040+R2049+R2058</f>
        <v/>
      </c>
      <c r="S2067" s="35">
        <f>S2040+S2049+S2058</f>
        <v/>
      </c>
      <c r="T2067" s="35">
        <f>T2040+T2049+T2058</f>
        <v/>
      </c>
      <c r="U2067" s="35">
        <f>U2040+U2049+U2058</f>
        <v/>
      </c>
      <c r="V2067" s="35">
        <f>V2040+V2049+V2058</f>
        <v/>
      </c>
      <c r="W2067" s="35">
        <f>W2040+W2049+W2058</f>
        <v/>
      </c>
      <c r="X2067" s="35">
        <f>X2040+X2049+X2058</f>
        <v/>
      </c>
      <c r="Y2067" s="35">
        <f>Y2040+Y2049+Y2058</f>
        <v/>
      </c>
      <c r="Z2067" s="35">
        <f>Z2040+Z2049+Z2058</f>
        <v/>
      </c>
      <c r="AA2067" s="35">
        <f>AA2040+AA2049+AA2058</f>
        <v/>
      </c>
      <c r="AB2067" s="35">
        <f>AB2040+AB2049+AB2058</f>
        <v/>
      </c>
      <c r="AC2067" s="35">
        <f>AC2040+AC2049+AC2058</f>
        <v/>
      </c>
      <c r="AD2067" s="35">
        <f>AD2040+AD2049+AD2058</f>
        <v/>
      </c>
      <c r="AE2067" s="42">
        <f>NEWPOLICY(AE2040,AE2049,AE2058)</f>
        <v/>
      </c>
      <c r="AG2067" s="11">
        <f>CodePrefix&amp;$A2067&amp;IF($C2067="","","."&amp;$C2067&amp;"."&amp;$B2067)&amp;INDEX(VarEnd,MATCH($A2067,VarKey,0))&amp;AG$5</f>
        <v/>
      </c>
      <c r="AH2067" s="40">
        <f>AH2040+AH2049+AH2058</f>
        <v/>
      </c>
      <c r="AI2067" s="35">
        <f>AI2040+AI2049+AI2058</f>
        <v/>
      </c>
      <c r="AJ2067" s="35">
        <f>AJ2040+AJ2049+AJ2058</f>
        <v/>
      </c>
      <c r="AK2067" s="35">
        <f>AK2040+AK2049+AK2058</f>
        <v/>
      </c>
      <c r="AL2067" s="35">
        <f>AL2040+AL2049+AL2058</f>
        <v/>
      </c>
      <c r="AM2067" s="35">
        <f>AM2040+AM2049+AM2058</f>
        <v/>
      </c>
      <c r="AN2067" s="35">
        <f>AN2040+AN2049+AN2058</f>
        <v/>
      </c>
      <c r="AO2067" s="35">
        <f>AO2040+AO2049+AO2058</f>
        <v/>
      </c>
      <c r="AP2067" s="35">
        <f>AP2040+AP2049+AP2058</f>
        <v/>
      </c>
      <c r="AQ2067" s="35">
        <f>AQ2040+AQ2049+AQ2058</f>
        <v/>
      </c>
      <c r="AR2067" s="35">
        <f>AR2040+AR2049+AR2058</f>
        <v/>
      </c>
      <c r="AS2067" s="35">
        <f>AS2040+AS2049+AS2058</f>
        <v/>
      </c>
      <c r="AT2067" s="35">
        <f>AT2040+AT2049+AT2058</f>
        <v/>
      </c>
      <c r="AU2067" s="35">
        <f>AU2040+AU2049+AU2058</f>
        <v/>
      </c>
      <c r="AV2067" s="35">
        <f>AV2040+AV2049+AV2058</f>
        <v/>
      </c>
      <c r="AW2067" s="35">
        <f>AW2040+AW2049+AW2058</f>
        <v/>
      </c>
      <c r="AX2067" s="35">
        <f>AX2040+AX2049+AX2058</f>
        <v/>
      </c>
      <c r="AY2067" s="35">
        <f>AY2040+AY2049+AY2058</f>
        <v/>
      </c>
      <c r="AZ2067" s="35">
        <f>AZ2040+AZ2049+AZ2058</f>
        <v/>
      </c>
      <c r="BA2067" s="42">
        <f>NEWPOLICY(BA2040,BA2049,BA2058)</f>
        <v/>
      </c>
    </row>
    <row r="2068" hidden="1" outlineLevel="2">
      <c r="A2068" s="14" t="inlineStr">
        <is>
          <t>nce</t>
        </is>
      </c>
      <c r="B2068" s="14" t="inlineStr">
        <is>
          <t>lpg</t>
        </is>
      </c>
      <c r="C2068" s="14" t="inlineStr">
        <is>
          <t>irn</t>
        </is>
      </c>
      <c r="D2068" s="39" t="n"/>
      <c r="E2068" s="39" t="n"/>
      <c r="F2068" s="39" t="n"/>
      <c r="G2068" s="39" t="n"/>
      <c r="H2068" s="14">
        <f>INDEX(VarLab,MATCH($A2068,VarKey,0))&amp;INDEX(MemLab,MATCH($C2068&amp;"|"&amp;$B2068,MemKey,0))</f>
        <v/>
      </c>
      <c r="I2068" s="14">
        <f>INDEX(VarUnit,MATCH($A2068,VarKey,0))</f>
        <v/>
      </c>
      <c r="J2068" s="14">
        <f>INDEX(VarSrc,MATCH($A2068,VarKey,0))</f>
        <v/>
      </c>
      <c r="K2068" s="11">
        <f>CodePrefix&amp;$A2068&amp;IF($C2068="","","."&amp;$C2068&amp;"."&amp;$B2068)&amp;INDEX(VarEnd,MATCH($A2068,VarKey,0))&amp;K$5</f>
        <v/>
      </c>
      <c r="L2068" s="40">
        <f>L2041+L2050+L2059</f>
        <v/>
      </c>
      <c r="M2068" s="35">
        <f>M2041+M2050+M2059</f>
        <v/>
      </c>
      <c r="N2068" s="35">
        <f>N2041+N2050+N2059</f>
        <v/>
      </c>
      <c r="O2068" s="35">
        <f>O2041+O2050+O2059</f>
        <v/>
      </c>
      <c r="P2068" s="35">
        <f>P2041+P2050+P2059</f>
        <v/>
      </c>
      <c r="Q2068" s="35">
        <f>Q2041+Q2050+Q2059</f>
        <v/>
      </c>
      <c r="R2068" s="35">
        <f>R2041+R2050+R2059</f>
        <v/>
      </c>
      <c r="S2068" s="35">
        <f>S2041+S2050+S2059</f>
        <v/>
      </c>
      <c r="T2068" s="35">
        <f>T2041+T2050+T2059</f>
        <v/>
      </c>
      <c r="U2068" s="35">
        <f>U2041+U2050+U2059</f>
        <v/>
      </c>
      <c r="V2068" s="35">
        <f>V2041+V2050+V2059</f>
        <v/>
      </c>
      <c r="W2068" s="35">
        <f>W2041+W2050+W2059</f>
        <v/>
      </c>
      <c r="X2068" s="35">
        <f>X2041+X2050+X2059</f>
        <v/>
      </c>
      <c r="Y2068" s="35">
        <f>Y2041+Y2050+Y2059</f>
        <v/>
      </c>
      <c r="Z2068" s="35">
        <f>Z2041+Z2050+Z2059</f>
        <v/>
      </c>
      <c r="AA2068" s="35">
        <f>AA2041+AA2050+AA2059</f>
        <v/>
      </c>
      <c r="AB2068" s="35">
        <f>AB2041+AB2050+AB2059</f>
        <v/>
      </c>
      <c r="AC2068" s="35">
        <f>AC2041+AC2050+AC2059</f>
        <v/>
      </c>
      <c r="AD2068" s="35">
        <f>AD2041+AD2050+AD2059</f>
        <v/>
      </c>
      <c r="AE2068" s="42">
        <f>NEWPOLICY(AE2041,AE2050,AE2059)</f>
        <v/>
      </c>
      <c r="AG2068" s="11">
        <f>CodePrefix&amp;$A2068&amp;IF($C2068="","","."&amp;$C2068&amp;"."&amp;$B2068)&amp;INDEX(VarEnd,MATCH($A2068,VarKey,0))&amp;AG$5</f>
        <v/>
      </c>
      <c r="AH2068" s="40">
        <f>AH2041+AH2050+AH2059</f>
        <v/>
      </c>
      <c r="AI2068" s="35">
        <f>AI2041+AI2050+AI2059</f>
        <v/>
      </c>
      <c r="AJ2068" s="35">
        <f>AJ2041+AJ2050+AJ2059</f>
        <v/>
      </c>
      <c r="AK2068" s="35">
        <f>AK2041+AK2050+AK2059</f>
        <v/>
      </c>
      <c r="AL2068" s="35">
        <f>AL2041+AL2050+AL2059</f>
        <v/>
      </c>
      <c r="AM2068" s="35">
        <f>AM2041+AM2050+AM2059</f>
        <v/>
      </c>
      <c r="AN2068" s="35">
        <f>AN2041+AN2050+AN2059</f>
        <v/>
      </c>
      <c r="AO2068" s="35">
        <f>AO2041+AO2050+AO2059</f>
        <v/>
      </c>
      <c r="AP2068" s="35">
        <f>AP2041+AP2050+AP2059</f>
        <v/>
      </c>
      <c r="AQ2068" s="35">
        <f>AQ2041+AQ2050+AQ2059</f>
        <v/>
      </c>
      <c r="AR2068" s="35">
        <f>AR2041+AR2050+AR2059</f>
        <v/>
      </c>
      <c r="AS2068" s="35">
        <f>AS2041+AS2050+AS2059</f>
        <v/>
      </c>
      <c r="AT2068" s="35">
        <f>AT2041+AT2050+AT2059</f>
        <v/>
      </c>
      <c r="AU2068" s="35">
        <f>AU2041+AU2050+AU2059</f>
        <v/>
      </c>
      <c r="AV2068" s="35">
        <f>AV2041+AV2050+AV2059</f>
        <v/>
      </c>
      <c r="AW2068" s="35">
        <f>AW2041+AW2050+AW2059</f>
        <v/>
      </c>
      <c r="AX2068" s="35">
        <f>AX2041+AX2050+AX2059</f>
        <v/>
      </c>
      <c r="AY2068" s="35">
        <f>AY2041+AY2050+AY2059</f>
        <v/>
      </c>
      <c r="AZ2068" s="35">
        <f>AZ2041+AZ2050+AZ2059</f>
        <v/>
      </c>
      <c r="BA2068" s="42">
        <f>NEWPOLICY(BA2041,BA2050,BA2059)</f>
        <v/>
      </c>
    </row>
    <row r="2069" hidden="1" outlineLevel="2">
      <c r="A2069" s="14" t="inlineStr">
        <is>
          <t>nce</t>
        </is>
      </c>
      <c r="B2069" s="14" t="inlineStr">
        <is>
          <t>ker</t>
        </is>
      </c>
      <c r="C2069" s="14" t="inlineStr">
        <is>
          <t>irn</t>
        </is>
      </c>
      <c r="D2069" s="39" t="n"/>
      <c r="E2069" s="39" t="n"/>
      <c r="F2069" s="39" t="n"/>
      <c r="G2069" s="39" t="n"/>
      <c r="H2069" s="14">
        <f>INDEX(VarLab,MATCH($A2069,VarKey,0))&amp;INDEX(MemLab,MATCH($C2069&amp;"|"&amp;$B2069,MemKey,0))</f>
        <v/>
      </c>
      <c r="I2069" s="14">
        <f>INDEX(VarUnit,MATCH($A2069,VarKey,0))</f>
        <v/>
      </c>
      <c r="J2069" s="14">
        <f>INDEX(VarSrc,MATCH($A2069,VarKey,0))</f>
        <v/>
      </c>
      <c r="K2069" s="11">
        <f>CodePrefix&amp;$A2069&amp;IF($C2069="","","."&amp;$C2069&amp;"."&amp;$B2069)&amp;INDEX(VarEnd,MATCH($A2069,VarKey,0))&amp;K$5</f>
        <v/>
      </c>
      <c r="L2069" s="40">
        <f>L2042+L2051+L2060</f>
        <v/>
      </c>
      <c r="M2069" s="35">
        <f>M2042+M2051+M2060</f>
        <v/>
      </c>
      <c r="N2069" s="35">
        <f>N2042+N2051+N2060</f>
        <v/>
      </c>
      <c r="O2069" s="35">
        <f>O2042+O2051+O2060</f>
        <v/>
      </c>
      <c r="P2069" s="35">
        <f>P2042+P2051+P2060</f>
        <v/>
      </c>
      <c r="Q2069" s="35">
        <f>Q2042+Q2051+Q2060</f>
        <v/>
      </c>
      <c r="R2069" s="35">
        <f>R2042+R2051+R2060</f>
        <v/>
      </c>
      <c r="S2069" s="35">
        <f>S2042+S2051+S2060</f>
        <v/>
      </c>
      <c r="T2069" s="35">
        <f>T2042+T2051+T2060</f>
        <v/>
      </c>
      <c r="U2069" s="35">
        <f>U2042+U2051+U2060</f>
        <v/>
      </c>
      <c r="V2069" s="35">
        <f>V2042+V2051+V2060</f>
        <v/>
      </c>
      <c r="W2069" s="35">
        <f>W2042+W2051+W2060</f>
        <v/>
      </c>
      <c r="X2069" s="35">
        <f>X2042+X2051+X2060</f>
        <v/>
      </c>
      <c r="Y2069" s="35">
        <f>Y2042+Y2051+Y2060</f>
        <v/>
      </c>
      <c r="Z2069" s="35">
        <f>Z2042+Z2051+Z2060</f>
        <v/>
      </c>
      <c r="AA2069" s="35">
        <f>AA2042+AA2051+AA2060</f>
        <v/>
      </c>
      <c r="AB2069" s="35">
        <f>AB2042+AB2051+AB2060</f>
        <v/>
      </c>
      <c r="AC2069" s="35">
        <f>AC2042+AC2051+AC2060</f>
        <v/>
      </c>
      <c r="AD2069" s="35">
        <f>AD2042+AD2051+AD2060</f>
        <v/>
      </c>
      <c r="AE2069" s="42">
        <f>NEWPOLICY(AE2042,AE2051,AE2060)</f>
        <v/>
      </c>
      <c r="AG2069" s="11">
        <f>CodePrefix&amp;$A2069&amp;IF($C2069="","","."&amp;$C2069&amp;"."&amp;$B2069)&amp;INDEX(VarEnd,MATCH($A2069,VarKey,0))&amp;AG$5</f>
        <v/>
      </c>
      <c r="AH2069" s="40">
        <f>AH2042+AH2051+AH2060</f>
        <v/>
      </c>
      <c r="AI2069" s="35">
        <f>AI2042+AI2051+AI2060</f>
        <v/>
      </c>
      <c r="AJ2069" s="35">
        <f>AJ2042+AJ2051+AJ2060</f>
        <v/>
      </c>
      <c r="AK2069" s="35">
        <f>AK2042+AK2051+AK2060</f>
        <v/>
      </c>
      <c r="AL2069" s="35">
        <f>AL2042+AL2051+AL2060</f>
        <v/>
      </c>
      <c r="AM2069" s="35">
        <f>AM2042+AM2051+AM2060</f>
        <v/>
      </c>
      <c r="AN2069" s="35">
        <f>AN2042+AN2051+AN2060</f>
        <v/>
      </c>
      <c r="AO2069" s="35">
        <f>AO2042+AO2051+AO2060</f>
        <v/>
      </c>
      <c r="AP2069" s="35">
        <f>AP2042+AP2051+AP2060</f>
        <v/>
      </c>
      <c r="AQ2069" s="35">
        <f>AQ2042+AQ2051+AQ2060</f>
        <v/>
      </c>
      <c r="AR2069" s="35">
        <f>AR2042+AR2051+AR2060</f>
        <v/>
      </c>
      <c r="AS2069" s="35">
        <f>AS2042+AS2051+AS2060</f>
        <v/>
      </c>
      <c r="AT2069" s="35">
        <f>AT2042+AT2051+AT2060</f>
        <v/>
      </c>
      <c r="AU2069" s="35">
        <f>AU2042+AU2051+AU2060</f>
        <v/>
      </c>
      <c r="AV2069" s="35">
        <f>AV2042+AV2051+AV2060</f>
        <v/>
      </c>
      <c r="AW2069" s="35">
        <f>AW2042+AW2051+AW2060</f>
        <v/>
      </c>
      <c r="AX2069" s="35">
        <f>AX2042+AX2051+AX2060</f>
        <v/>
      </c>
      <c r="AY2069" s="35">
        <f>AY2042+AY2051+AY2060</f>
        <v/>
      </c>
      <c r="AZ2069" s="35">
        <f>AZ2042+AZ2051+AZ2060</f>
        <v/>
      </c>
      <c r="BA2069" s="42">
        <f>NEWPOLICY(BA2042,BA2051,BA2060)</f>
        <v/>
      </c>
    </row>
    <row r="2070" hidden="1" outlineLevel="2">
      <c r="A2070" s="14" t="inlineStr">
        <is>
          <t>nce</t>
        </is>
      </c>
      <c r="B2070" s="14" t="inlineStr">
        <is>
          <t>oop</t>
        </is>
      </c>
      <c r="C2070" s="14" t="inlineStr">
        <is>
          <t>irn</t>
        </is>
      </c>
      <c r="D2070" s="39" t="n"/>
      <c r="E2070" s="39" t="n"/>
      <c r="F2070" s="39" t="n"/>
      <c r="G2070" s="39" t="n"/>
      <c r="H2070" s="14">
        <f>INDEX(VarLab,MATCH($A2070,VarKey,0))&amp;INDEX(MemLab,MATCH($C2070&amp;"|"&amp;$B2070,MemKey,0))</f>
        <v/>
      </c>
      <c r="I2070" s="14">
        <f>INDEX(VarUnit,MATCH($A2070,VarKey,0))</f>
        <v/>
      </c>
      <c r="J2070" s="14">
        <f>INDEX(VarSrc,MATCH($A2070,VarKey,0))</f>
        <v/>
      </c>
      <c r="K2070" s="11">
        <f>CodePrefix&amp;$A2070&amp;IF($C2070="","","."&amp;$C2070&amp;"."&amp;$B2070)&amp;INDEX(VarEnd,MATCH($A2070,VarKey,0))&amp;K$5</f>
        <v/>
      </c>
      <c r="L2070" s="40">
        <f>L2043+L2052+L2061</f>
        <v/>
      </c>
      <c r="M2070" s="35">
        <f>M2043+M2052+M2061</f>
        <v/>
      </c>
      <c r="N2070" s="35">
        <f>N2043+N2052+N2061</f>
        <v/>
      </c>
      <c r="O2070" s="35">
        <f>O2043+O2052+O2061</f>
        <v/>
      </c>
      <c r="P2070" s="35">
        <f>P2043+P2052+P2061</f>
        <v/>
      </c>
      <c r="Q2070" s="35">
        <f>Q2043+Q2052+Q2061</f>
        <v/>
      </c>
      <c r="R2070" s="35">
        <f>R2043+R2052+R2061</f>
        <v/>
      </c>
      <c r="S2070" s="35">
        <f>S2043+S2052+S2061</f>
        <v/>
      </c>
      <c r="T2070" s="35">
        <f>T2043+T2052+T2061</f>
        <v/>
      </c>
      <c r="U2070" s="35">
        <f>U2043+U2052+U2061</f>
        <v/>
      </c>
      <c r="V2070" s="35">
        <f>V2043+V2052+V2061</f>
        <v/>
      </c>
      <c r="W2070" s="35">
        <f>W2043+W2052+W2061</f>
        <v/>
      </c>
      <c r="X2070" s="35">
        <f>X2043+X2052+X2061</f>
        <v/>
      </c>
      <c r="Y2070" s="35">
        <f>Y2043+Y2052+Y2061</f>
        <v/>
      </c>
      <c r="Z2070" s="35">
        <f>Z2043+Z2052+Z2061</f>
        <v/>
      </c>
      <c r="AA2070" s="35">
        <f>AA2043+AA2052+AA2061</f>
        <v/>
      </c>
      <c r="AB2070" s="35">
        <f>AB2043+AB2052+AB2061</f>
        <v/>
      </c>
      <c r="AC2070" s="35">
        <f>AC2043+AC2052+AC2061</f>
        <v/>
      </c>
      <c r="AD2070" s="35">
        <f>AD2043+AD2052+AD2061</f>
        <v/>
      </c>
      <c r="AE2070" s="42">
        <f>NEWPOLICY(AE2043,AE2052,AE2061)</f>
        <v/>
      </c>
      <c r="AG2070" s="11">
        <f>CodePrefix&amp;$A2070&amp;IF($C2070="","","."&amp;$C2070&amp;"."&amp;$B2070)&amp;INDEX(VarEnd,MATCH($A2070,VarKey,0))&amp;AG$5</f>
        <v/>
      </c>
      <c r="AH2070" s="40">
        <f>AH2043+AH2052+AH2061</f>
        <v/>
      </c>
      <c r="AI2070" s="35">
        <f>AI2043+AI2052+AI2061</f>
        <v/>
      </c>
      <c r="AJ2070" s="35">
        <f>AJ2043+AJ2052+AJ2061</f>
        <v/>
      </c>
      <c r="AK2070" s="35">
        <f>AK2043+AK2052+AK2061</f>
        <v/>
      </c>
      <c r="AL2070" s="35">
        <f>AL2043+AL2052+AL2061</f>
        <v/>
      </c>
      <c r="AM2070" s="35">
        <f>AM2043+AM2052+AM2061</f>
        <v/>
      </c>
      <c r="AN2070" s="35">
        <f>AN2043+AN2052+AN2061</f>
        <v/>
      </c>
      <c r="AO2070" s="35">
        <f>AO2043+AO2052+AO2061</f>
        <v/>
      </c>
      <c r="AP2070" s="35">
        <f>AP2043+AP2052+AP2061</f>
        <v/>
      </c>
      <c r="AQ2070" s="35">
        <f>AQ2043+AQ2052+AQ2061</f>
        <v/>
      </c>
      <c r="AR2070" s="35">
        <f>AR2043+AR2052+AR2061</f>
        <v/>
      </c>
      <c r="AS2070" s="35">
        <f>AS2043+AS2052+AS2061</f>
        <v/>
      </c>
      <c r="AT2070" s="35">
        <f>AT2043+AT2052+AT2061</f>
        <v/>
      </c>
      <c r="AU2070" s="35">
        <f>AU2043+AU2052+AU2061</f>
        <v/>
      </c>
      <c r="AV2070" s="35">
        <f>AV2043+AV2052+AV2061</f>
        <v/>
      </c>
      <c r="AW2070" s="35">
        <f>AW2043+AW2052+AW2061</f>
        <v/>
      </c>
      <c r="AX2070" s="35">
        <f>AX2043+AX2052+AX2061</f>
        <v/>
      </c>
      <c r="AY2070" s="35">
        <f>AY2043+AY2052+AY2061</f>
        <v/>
      </c>
      <c r="AZ2070" s="35">
        <f>AZ2043+AZ2052+AZ2061</f>
        <v/>
      </c>
      <c r="BA2070" s="42">
        <f>NEWPOLICY(BA2043,BA2052,BA2061)</f>
        <v/>
      </c>
    </row>
    <row r="2071" hidden="1" outlineLevel="2">
      <c r="A2071" s="14" t="inlineStr">
        <is>
          <t>nce</t>
        </is>
      </c>
      <c r="B2071" s="14" t="inlineStr">
        <is>
          <t>bio</t>
        </is>
      </c>
      <c r="C2071" s="14" t="inlineStr">
        <is>
          <t>irn</t>
        </is>
      </c>
      <c r="D2071" s="39" t="n"/>
      <c r="E2071" s="39" t="n"/>
      <c r="F2071" s="39" t="n"/>
      <c r="G2071" s="39" t="n"/>
      <c r="H2071" s="14">
        <f>INDEX(VarLab,MATCH($A2071,VarKey,0))&amp;INDEX(MemLab,MATCH($C2071&amp;"|"&amp;$B2071,MemKey,0))</f>
        <v/>
      </c>
      <c r="I2071" s="14">
        <f>INDEX(VarUnit,MATCH($A2071,VarKey,0))</f>
        <v/>
      </c>
      <c r="J2071" s="14">
        <f>INDEX(VarSrc,MATCH($A2071,VarKey,0))</f>
        <v/>
      </c>
      <c r="K2071" s="11">
        <f>CodePrefix&amp;$A2071&amp;IF($C2071="","","."&amp;$C2071&amp;"."&amp;$B2071)&amp;INDEX(VarEnd,MATCH($A2071,VarKey,0))&amp;K$5</f>
        <v/>
      </c>
      <c r="L2071" s="40">
        <f>L2044+L2053+L2062</f>
        <v/>
      </c>
      <c r="M2071" s="35">
        <f>M2044+M2053+M2062</f>
        <v/>
      </c>
      <c r="N2071" s="35">
        <f>N2044+N2053+N2062</f>
        <v/>
      </c>
      <c r="O2071" s="35">
        <f>O2044+O2053+O2062</f>
        <v/>
      </c>
      <c r="P2071" s="35">
        <f>P2044+P2053+P2062</f>
        <v/>
      </c>
      <c r="Q2071" s="35">
        <f>Q2044+Q2053+Q2062</f>
        <v/>
      </c>
      <c r="R2071" s="35">
        <f>R2044+R2053+R2062</f>
        <v/>
      </c>
      <c r="S2071" s="35">
        <f>S2044+S2053+S2062</f>
        <v/>
      </c>
      <c r="T2071" s="35">
        <f>T2044+T2053+T2062</f>
        <v/>
      </c>
      <c r="U2071" s="35">
        <f>U2044+U2053+U2062</f>
        <v/>
      </c>
      <c r="V2071" s="35">
        <f>V2044+V2053+V2062</f>
        <v/>
      </c>
      <c r="W2071" s="35">
        <f>W2044+W2053+W2062</f>
        <v/>
      </c>
      <c r="X2071" s="35">
        <f>X2044+X2053+X2062</f>
        <v/>
      </c>
      <c r="Y2071" s="35">
        <f>Y2044+Y2053+Y2062</f>
        <v/>
      </c>
      <c r="Z2071" s="35">
        <f>Z2044+Z2053+Z2062</f>
        <v/>
      </c>
      <c r="AA2071" s="35">
        <f>AA2044+AA2053+AA2062</f>
        <v/>
      </c>
      <c r="AB2071" s="35">
        <f>AB2044+AB2053+AB2062</f>
        <v/>
      </c>
      <c r="AC2071" s="35">
        <f>AC2044+AC2053+AC2062</f>
        <v/>
      </c>
      <c r="AD2071" s="35">
        <f>AD2044+AD2053+AD2062</f>
        <v/>
      </c>
      <c r="AE2071" s="42">
        <f>NEWPOLICY(AE2044,AE2053,AE2062)</f>
        <v/>
      </c>
      <c r="AG2071" s="11">
        <f>CodePrefix&amp;$A2071&amp;IF($C2071="","","."&amp;$C2071&amp;"."&amp;$B2071)&amp;INDEX(VarEnd,MATCH($A2071,VarKey,0))&amp;AG$5</f>
        <v/>
      </c>
      <c r="AH2071" s="40">
        <f>AH2044+AH2053+AH2062</f>
        <v/>
      </c>
      <c r="AI2071" s="35">
        <f>AI2044+AI2053+AI2062</f>
        <v/>
      </c>
      <c r="AJ2071" s="35">
        <f>AJ2044+AJ2053+AJ2062</f>
        <v/>
      </c>
      <c r="AK2071" s="35">
        <f>AK2044+AK2053+AK2062</f>
        <v/>
      </c>
      <c r="AL2071" s="35">
        <f>AL2044+AL2053+AL2062</f>
        <v/>
      </c>
      <c r="AM2071" s="35">
        <f>AM2044+AM2053+AM2062</f>
        <v/>
      </c>
      <c r="AN2071" s="35">
        <f>AN2044+AN2053+AN2062</f>
        <v/>
      </c>
      <c r="AO2071" s="35">
        <f>AO2044+AO2053+AO2062</f>
        <v/>
      </c>
      <c r="AP2071" s="35">
        <f>AP2044+AP2053+AP2062</f>
        <v/>
      </c>
      <c r="AQ2071" s="35">
        <f>AQ2044+AQ2053+AQ2062</f>
        <v/>
      </c>
      <c r="AR2071" s="35">
        <f>AR2044+AR2053+AR2062</f>
        <v/>
      </c>
      <c r="AS2071" s="35">
        <f>AS2044+AS2053+AS2062</f>
        <v/>
      </c>
      <c r="AT2071" s="35">
        <f>AT2044+AT2053+AT2062</f>
        <v/>
      </c>
      <c r="AU2071" s="35">
        <f>AU2044+AU2053+AU2062</f>
        <v/>
      </c>
      <c r="AV2071" s="35">
        <f>AV2044+AV2053+AV2062</f>
        <v/>
      </c>
      <c r="AW2071" s="35">
        <f>AW2044+AW2053+AW2062</f>
        <v/>
      </c>
      <c r="AX2071" s="35">
        <f>AX2044+AX2053+AX2062</f>
        <v/>
      </c>
      <c r="AY2071" s="35">
        <f>AY2044+AY2053+AY2062</f>
        <v/>
      </c>
      <c r="AZ2071" s="35">
        <f>AZ2044+AZ2053+AZ2062</f>
        <v/>
      </c>
      <c r="BA2071" s="42">
        <f>NEWPOLICY(BA2044,BA2053,BA2062)</f>
        <v/>
      </c>
    </row>
    <row r="2072" hidden="1" outlineLevel="2"/>
    <row r="2073" hidden="1" outlineLevel="2">
      <c r="A2073" s="14" t="inlineStr">
        <is>
          <t>xcp</t>
        </is>
      </c>
      <c r="B2073" s="14" t="inlineStr">
        <is>
          <t>coa</t>
        </is>
      </c>
      <c r="C2073" s="14" t="inlineStr">
        <is>
          <t>irn</t>
        </is>
      </c>
      <c r="D2073" s="35">
        <f>INDEX(Inputs!$W$5:$W$132,MATCH($B2073&amp;"|"&amp;$C2073,Inputs!$A$5:$A$132,0))</f>
        <v/>
      </c>
      <c r="E2073" s="35">
        <f>INDEX(Inputs!$Z$5:$Z$132,MATCH($B2073&amp;"|"&amp;$C2073,Inputs!$A$5:$A$132,0))</f>
        <v/>
      </c>
      <c r="F2073" s="35">
        <f>INDEX(Inputs!$AA$5:$AA$132,MATCH($B2073&amp;"|"&amp;$C2073,Inputs!$A$5:$A$132,0))</f>
        <v/>
      </c>
      <c r="G2073" s="39" t="n"/>
      <c r="H2073" s="14">
        <f>INDEX(VarLab,MATCH($A2073,VarKey,0))&amp;INDEX(MemLab,MATCH($C2073&amp;"|"&amp;$B2073,MemKey,0))</f>
        <v/>
      </c>
      <c r="I2073" s="14">
        <f>INDEX(VarUnit,MATCH($A2073,VarKey,0))</f>
        <v/>
      </c>
      <c r="J2073" s="14">
        <f>INDEX(VarSrc,MATCH($A2073,VarKey,0))</f>
        <v/>
      </c>
      <c r="K2073" s="11">
        <f>CodePrefix&amp;$A2073&amp;IF($C2073="","","."&amp;$C2073&amp;"."&amp;$B2073)&amp;INDEX(VarEnd,MATCH($A2073,VarKey,0))&amp;K$5</f>
        <v/>
      </c>
      <c r="L2073" s="40">
        <f>$D2073*($E2073*L$321+$F2073*L$324)</f>
        <v/>
      </c>
      <c r="M2073" s="35">
        <f>$D2073*($E2073*M$321+$F2073*M$324)</f>
        <v/>
      </c>
      <c r="N2073" s="35">
        <f>$D2073*($E2073*N$321+$F2073*N$324)</f>
        <v/>
      </c>
      <c r="O2073" s="35">
        <f>$D2073*($E2073*O$321+$F2073*O$324)</f>
        <v/>
      </c>
      <c r="P2073" s="35">
        <f>$D2073*($E2073*P$321+$F2073*P$324)</f>
        <v/>
      </c>
      <c r="Q2073" s="35">
        <f>$D2073*($E2073*Q$321+$F2073*Q$324)</f>
        <v/>
      </c>
      <c r="R2073" s="35">
        <f>$D2073*($E2073*R$321+$F2073*R$324)</f>
        <v/>
      </c>
      <c r="S2073" s="35">
        <f>$D2073*($E2073*S$321+$F2073*S$324)</f>
        <v/>
      </c>
      <c r="T2073" s="35">
        <f>$D2073*($E2073*T$321+$F2073*T$324)</f>
        <v/>
      </c>
      <c r="U2073" s="35">
        <f>$D2073*($E2073*U$321+$F2073*U$324)</f>
        <v/>
      </c>
      <c r="V2073" s="35">
        <f>$D2073*($E2073*V$321+$F2073*V$324)</f>
        <v/>
      </c>
      <c r="W2073" s="35">
        <f>$D2073*($E2073*W$321+$F2073*W$324)</f>
        <v/>
      </c>
      <c r="X2073" s="35">
        <f>$D2073*($E2073*X$321+$F2073*X$324)</f>
        <v/>
      </c>
      <c r="Y2073" s="35">
        <f>$D2073*($E2073*Y$321+$F2073*Y$324)</f>
        <v/>
      </c>
      <c r="Z2073" s="35">
        <f>$D2073*($E2073*Z$321+$F2073*Z$324)</f>
        <v/>
      </c>
      <c r="AA2073" s="35">
        <f>$D2073*($E2073*AA$321+$F2073*AA$324)</f>
        <v/>
      </c>
      <c r="AB2073" s="35">
        <f>$D2073*($E2073*AB$321+$F2073*AB$324)</f>
        <v/>
      </c>
      <c r="AC2073" s="35">
        <f>$D2073*($E2073*AC$321+$F2073*AC$324)</f>
        <v/>
      </c>
      <c r="AD2073" s="35">
        <f>$D2073*($E2073*AD$321+$F2073*AD$324)</f>
        <v/>
      </c>
      <c r="AE2073" s="42">
        <f>XCARBON($D2073,$E2073,AE$321,$F2073,AE$324)</f>
        <v/>
      </c>
      <c r="AG2073" s="11">
        <f>CodePrefix&amp;$A2073&amp;IF($C2073="","","."&amp;$C2073&amp;"."&amp;$B2073)&amp;INDEX(VarEnd,MATCH($A2073,VarKey,0))&amp;AG$5</f>
        <v/>
      </c>
      <c r="AH2073" s="40">
        <f>$D2073*($E2073*AH$321+$F2073*AH$324)</f>
        <v/>
      </c>
      <c r="AI2073" s="35">
        <f>$D2073*($E2073*AI$321+$F2073*AI$324)</f>
        <v/>
      </c>
      <c r="AJ2073" s="35">
        <f>$D2073*($E2073*AJ$321+$F2073*AJ$324)</f>
        <v/>
      </c>
      <c r="AK2073" s="35">
        <f>$D2073*($E2073*AK$321+$F2073*AK$324)</f>
        <v/>
      </c>
      <c r="AL2073" s="35">
        <f>$D2073*($E2073*AL$321+$F2073*AL$324)</f>
        <v/>
      </c>
      <c r="AM2073" s="35">
        <f>$D2073*($E2073*AM$321+$F2073*AM$324)</f>
        <v/>
      </c>
      <c r="AN2073" s="35">
        <f>$D2073*($E2073*AN$321+$F2073*AN$324)</f>
        <v/>
      </c>
      <c r="AO2073" s="35">
        <f>$D2073*($E2073*AO$321+$F2073*AO$324)</f>
        <v/>
      </c>
      <c r="AP2073" s="35">
        <f>$D2073*($E2073*AP$321+$F2073*AP$324)</f>
        <v/>
      </c>
      <c r="AQ2073" s="35">
        <f>$D2073*($E2073*AQ$321+$F2073*AQ$324)</f>
        <v/>
      </c>
      <c r="AR2073" s="35">
        <f>$D2073*($E2073*AR$321+$F2073*AR$324)</f>
        <v/>
      </c>
      <c r="AS2073" s="35">
        <f>$D2073*($E2073*AS$321+$F2073*AS$324)</f>
        <v/>
      </c>
      <c r="AT2073" s="35">
        <f>$D2073*($E2073*AT$321+$F2073*AT$324)</f>
        <v/>
      </c>
      <c r="AU2073" s="35">
        <f>$D2073*($E2073*AU$321+$F2073*AU$324)</f>
        <v/>
      </c>
      <c r="AV2073" s="35">
        <f>$D2073*($E2073*AV$321+$F2073*AV$324)</f>
        <v/>
      </c>
      <c r="AW2073" s="35">
        <f>$D2073*($E2073*AW$321+$F2073*AW$324)</f>
        <v/>
      </c>
      <c r="AX2073" s="35">
        <f>$D2073*($E2073*AX$321+$F2073*AX$324)</f>
        <v/>
      </c>
      <c r="AY2073" s="35">
        <f>$D2073*($E2073*AY$321+$F2073*AY$324)</f>
        <v/>
      </c>
      <c r="AZ2073" s="35">
        <f>$D2073*($E2073*AZ$321+$F2073*AZ$324)</f>
        <v/>
      </c>
      <c r="BA2073" s="42">
        <f>XCARBON($D2073,$E2073,BA$321,$F2073,BA$324)</f>
        <v/>
      </c>
    </row>
    <row r="2074" hidden="1" outlineLevel="2">
      <c r="A2074" s="14" t="inlineStr">
        <is>
          <t>xcp</t>
        </is>
      </c>
      <c r="B2074" s="14" t="inlineStr">
        <is>
          <t>nga</t>
        </is>
      </c>
      <c r="C2074" s="14" t="inlineStr">
        <is>
          <t>irn</t>
        </is>
      </c>
      <c r="D2074" s="35">
        <f>INDEX(Inputs!$W$5:$W$132,MATCH($B2074&amp;"|"&amp;$C2074,Inputs!$A$5:$A$132,0))</f>
        <v/>
      </c>
      <c r="E2074" s="35">
        <f>INDEX(Inputs!$Z$5:$Z$132,MATCH($B2074&amp;"|"&amp;$C2074,Inputs!$A$5:$A$132,0))</f>
        <v/>
      </c>
      <c r="F2074" s="35">
        <f>INDEX(Inputs!$AA$5:$AA$132,MATCH($B2074&amp;"|"&amp;$C2074,Inputs!$A$5:$A$132,0))</f>
        <v/>
      </c>
      <c r="G2074" s="39" t="n"/>
      <c r="H2074" s="14">
        <f>INDEX(VarLab,MATCH($A2074,VarKey,0))&amp;INDEX(MemLab,MATCH($C2074&amp;"|"&amp;$B2074,MemKey,0))</f>
        <v/>
      </c>
      <c r="I2074" s="14">
        <f>INDEX(VarUnit,MATCH($A2074,VarKey,0))</f>
        <v/>
      </c>
      <c r="J2074" s="14">
        <f>INDEX(VarSrc,MATCH($A2074,VarKey,0))</f>
        <v/>
      </c>
      <c r="K2074" s="11">
        <f>CodePrefix&amp;$A2074&amp;IF($C2074="","","."&amp;$C2074&amp;"."&amp;$B2074)&amp;INDEX(VarEnd,MATCH($A2074,VarKey,0))&amp;K$5</f>
        <v/>
      </c>
      <c r="L2074" s="40">
        <f>$D2074*($E2074*L$321+$F2074*L$324)</f>
        <v/>
      </c>
      <c r="M2074" s="35">
        <f>$D2074*($E2074*M$321+$F2074*M$324)</f>
        <v/>
      </c>
      <c r="N2074" s="35">
        <f>$D2074*($E2074*N$321+$F2074*N$324)</f>
        <v/>
      </c>
      <c r="O2074" s="35">
        <f>$D2074*($E2074*O$321+$F2074*O$324)</f>
        <v/>
      </c>
      <c r="P2074" s="35">
        <f>$D2074*($E2074*P$321+$F2074*P$324)</f>
        <v/>
      </c>
      <c r="Q2074" s="35">
        <f>$D2074*($E2074*Q$321+$F2074*Q$324)</f>
        <v/>
      </c>
      <c r="R2074" s="35">
        <f>$D2074*($E2074*R$321+$F2074*R$324)</f>
        <v/>
      </c>
      <c r="S2074" s="35">
        <f>$D2074*($E2074*S$321+$F2074*S$324)</f>
        <v/>
      </c>
      <c r="T2074" s="35">
        <f>$D2074*($E2074*T$321+$F2074*T$324)</f>
        <v/>
      </c>
      <c r="U2074" s="35">
        <f>$D2074*($E2074*U$321+$F2074*U$324)</f>
        <v/>
      </c>
      <c r="V2074" s="35">
        <f>$D2074*($E2074*V$321+$F2074*V$324)</f>
        <v/>
      </c>
      <c r="W2074" s="35">
        <f>$D2074*($E2074*W$321+$F2074*W$324)</f>
        <v/>
      </c>
      <c r="X2074" s="35">
        <f>$D2074*($E2074*X$321+$F2074*X$324)</f>
        <v/>
      </c>
      <c r="Y2074" s="35">
        <f>$D2074*($E2074*Y$321+$F2074*Y$324)</f>
        <v/>
      </c>
      <c r="Z2074" s="35">
        <f>$D2074*($E2074*Z$321+$F2074*Z$324)</f>
        <v/>
      </c>
      <c r="AA2074" s="35">
        <f>$D2074*($E2074*AA$321+$F2074*AA$324)</f>
        <v/>
      </c>
      <c r="AB2074" s="35">
        <f>$D2074*($E2074*AB$321+$F2074*AB$324)</f>
        <v/>
      </c>
      <c r="AC2074" s="35">
        <f>$D2074*($E2074*AC$321+$F2074*AC$324)</f>
        <v/>
      </c>
      <c r="AD2074" s="35">
        <f>$D2074*($E2074*AD$321+$F2074*AD$324)</f>
        <v/>
      </c>
      <c r="AE2074" s="42">
        <f>XCARBON($D2074,$E2074,AE$321,$F2074,AE$324)</f>
        <v/>
      </c>
      <c r="AG2074" s="11">
        <f>CodePrefix&amp;$A2074&amp;IF($C2074="","","."&amp;$C2074&amp;"."&amp;$B2074)&amp;INDEX(VarEnd,MATCH($A2074,VarKey,0))&amp;AG$5</f>
        <v/>
      </c>
      <c r="AH2074" s="40">
        <f>$D2074*($E2074*AH$321+$F2074*AH$324)</f>
        <v/>
      </c>
      <c r="AI2074" s="35">
        <f>$D2074*($E2074*AI$321+$F2074*AI$324)</f>
        <v/>
      </c>
      <c r="AJ2074" s="35">
        <f>$D2074*($E2074*AJ$321+$F2074*AJ$324)</f>
        <v/>
      </c>
      <c r="AK2074" s="35">
        <f>$D2074*($E2074*AK$321+$F2074*AK$324)</f>
        <v/>
      </c>
      <c r="AL2074" s="35">
        <f>$D2074*($E2074*AL$321+$F2074*AL$324)</f>
        <v/>
      </c>
      <c r="AM2074" s="35">
        <f>$D2074*($E2074*AM$321+$F2074*AM$324)</f>
        <v/>
      </c>
      <c r="AN2074" s="35">
        <f>$D2074*($E2074*AN$321+$F2074*AN$324)</f>
        <v/>
      </c>
      <c r="AO2074" s="35">
        <f>$D2074*($E2074*AO$321+$F2074*AO$324)</f>
        <v/>
      </c>
      <c r="AP2074" s="35">
        <f>$D2074*($E2074*AP$321+$F2074*AP$324)</f>
        <v/>
      </c>
      <c r="AQ2074" s="35">
        <f>$D2074*($E2074*AQ$321+$F2074*AQ$324)</f>
        <v/>
      </c>
      <c r="AR2074" s="35">
        <f>$D2074*($E2074*AR$321+$F2074*AR$324)</f>
        <v/>
      </c>
      <c r="AS2074" s="35">
        <f>$D2074*($E2074*AS$321+$F2074*AS$324)</f>
        <v/>
      </c>
      <c r="AT2074" s="35">
        <f>$D2074*($E2074*AT$321+$F2074*AT$324)</f>
        <v/>
      </c>
      <c r="AU2074" s="35">
        <f>$D2074*($E2074*AU$321+$F2074*AU$324)</f>
        <v/>
      </c>
      <c r="AV2074" s="35">
        <f>$D2074*($E2074*AV$321+$F2074*AV$324)</f>
        <v/>
      </c>
      <c r="AW2074" s="35">
        <f>$D2074*($E2074*AW$321+$F2074*AW$324)</f>
        <v/>
      </c>
      <c r="AX2074" s="35">
        <f>$D2074*($E2074*AX$321+$F2074*AX$324)</f>
        <v/>
      </c>
      <c r="AY2074" s="35">
        <f>$D2074*($E2074*AY$321+$F2074*AY$324)</f>
        <v/>
      </c>
      <c r="AZ2074" s="35">
        <f>$D2074*($E2074*AZ$321+$F2074*AZ$324)</f>
        <v/>
      </c>
      <c r="BA2074" s="42">
        <f>XCARBON($D2074,$E2074,BA$321,$F2074,BA$324)</f>
        <v/>
      </c>
    </row>
    <row r="2075" hidden="1" outlineLevel="2">
      <c r="A2075" s="14" t="inlineStr">
        <is>
          <t>xcp</t>
        </is>
      </c>
      <c r="B2075" s="14" t="inlineStr">
        <is>
          <t>gso</t>
        </is>
      </c>
      <c r="C2075" s="14" t="inlineStr">
        <is>
          <t>irn</t>
        </is>
      </c>
      <c r="D2075" s="35">
        <f>INDEX(Inputs!$W$5:$W$132,MATCH($B2075&amp;"|"&amp;$C2075,Inputs!$A$5:$A$132,0))</f>
        <v/>
      </c>
      <c r="E2075" s="35">
        <f>INDEX(Inputs!$Z$5:$Z$132,MATCH($B2075&amp;"|"&amp;$C2075,Inputs!$A$5:$A$132,0))</f>
        <v/>
      </c>
      <c r="F2075" s="35">
        <f>INDEX(Inputs!$AA$5:$AA$132,MATCH($B2075&amp;"|"&amp;$C2075,Inputs!$A$5:$A$132,0))</f>
        <v/>
      </c>
      <c r="G2075" s="39" t="n"/>
      <c r="H2075" s="14">
        <f>INDEX(VarLab,MATCH($A2075,VarKey,0))&amp;INDEX(MemLab,MATCH($C2075&amp;"|"&amp;$B2075,MemKey,0))</f>
        <v/>
      </c>
      <c r="I2075" s="14">
        <f>INDEX(VarUnit,MATCH($A2075,VarKey,0))</f>
        <v/>
      </c>
      <c r="J2075" s="14">
        <f>INDEX(VarSrc,MATCH($A2075,VarKey,0))</f>
        <v/>
      </c>
      <c r="K2075" s="11">
        <f>CodePrefix&amp;$A2075&amp;IF($C2075="","","."&amp;$C2075&amp;"."&amp;$B2075)&amp;INDEX(VarEnd,MATCH($A2075,VarKey,0))&amp;K$5</f>
        <v/>
      </c>
      <c r="L2075" s="40">
        <f>$D2075*($E2075*L$321+$F2075*L$324)</f>
        <v/>
      </c>
      <c r="M2075" s="35">
        <f>$D2075*($E2075*M$321+$F2075*M$324)</f>
        <v/>
      </c>
      <c r="N2075" s="35">
        <f>$D2075*($E2075*N$321+$F2075*N$324)</f>
        <v/>
      </c>
      <c r="O2075" s="35">
        <f>$D2075*($E2075*O$321+$F2075*O$324)</f>
        <v/>
      </c>
      <c r="P2075" s="35">
        <f>$D2075*($E2075*P$321+$F2075*P$324)</f>
        <v/>
      </c>
      <c r="Q2075" s="35">
        <f>$D2075*($E2075*Q$321+$F2075*Q$324)</f>
        <v/>
      </c>
      <c r="R2075" s="35">
        <f>$D2075*($E2075*R$321+$F2075*R$324)</f>
        <v/>
      </c>
      <c r="S2075" s="35">
        <f>$D2075*($E2075*S$321+$F2075*S$324)</f>
        <v/>
      </c>
      <c r="T2075" s="35">
        <f>$D2075*($E2075*T$321+$F2075*T$324)</f>
        <v/>
      </c>
      <c r="U2075" s="35">
        <f>$D2075*($E2075*U$321+$F2075*U$324)</f>
        <v/>
      </c>
      <c r="V2075" s="35">
        <f>$D2075*($E2075*V$321+$F2075*V$324)</f>
        <v/>
      </c>
      <c r="W2075" s="35">
        <f>$D2075*($E2075*W$321+$F2075*W$324)</f>
        <v/>
      </c>
      <c r="X2075" s="35">
        <f>$D2075*($E2075*X$321+$F2075*X$324)</f>
        <v/>
      </c>
      <c r="Y2075" s="35">
        <f>$D2075*($E2075*Y$321+$F2075*Y$324)</f>
        <v/>
      </c>
      <c r="Z2075" s="35">
        <f>$D2075*($E2075*Z$321+$F2075*Z$324)</f>
        <v/>
      </c>
      <c r="AA2075" s="35">
        <f>$D2075*($E2075*AA$321+$F2075*AA$324)</f>
        <v/>
      </c>
      <c r="AB2075" s="35">
        <f>$D2075*($E2075*AB$321+$F2075*AB$324)</f>
        <v/>
      </c>
      <c r="AC2075" s="35">
        <f>$D2075*($E2075*AC$321+$F2075*AC$324)</f>
        <v/>
      </c>
      <c r="AD2075" s="35">
        <f>$D2075*($E2075*AD$321+$F2075*AD$324)</f>
        <v/>
      </c>
      <c r="AE2075" s="42">
        <f>XCARBON($D2075,$E2075,AE$321,$F2075,AE$324)</f>
        <v/>
      </c>
      <c r="AG2075" s="11">
        <f>CodePrefix&amp;$A2075&amp;IF($C2075="","","."&amp;$C2075&amp;"."&amp;$B2075)&amp;INDEX(VarEnd,MATCH($A2075,VarKey,0))&amp;AG$5</f>
        <v/>
      </c>
      <c r="AH2075" s="40">
        <f>$D2075*($E2075*AH$321+$F2075*AH$324)</f>
        <v/>
      </c>
      <c r="AI2075" s="35">
        <f>$D2075*($E2075*AI$321+$F2075*AI$324)</f>
        <v/>
      </c>
      <c r="AJ2075" s="35">
        <f>$D2075*($E2075*AJ$321+$F2075*AJ$324)</f>
        <v/>
      </c>
      <c r="AK2075" s="35">
        <f>$D2075*($E2075*AK$321+$F2075*AK$324)</f>
        <v/>
      </c>
      <c r="AL2075" s="35">
        <f>$D2075*($E2075*AL$321+$F2075*AL$324)</f>
        <v/>
      </c>
      <c r="AM2075" s="35">
        <f>$D2075*($E2075*AM$321+$F2075*AM$324)</f>
        <v/>
      </c>
      <c r="AN2075" s="35">
        <f>$D2075*($E2075*AN$321+$F2075*AN$324)</f>
        <v/>
      </c>
      <c r="AO2075" s="35">
        <f>$D2075*($E2075*AO$321+$F2075*AO$324)</f>
        <v/>
      </c>
      <c r="AP2075" s="35">
        <f>$D2075*($E2075*AP$321+$F2075*AP$324)</f>
        <v/>
      </c>
      <c r="AQ2075" s="35">
        <f>$D2075*($E2075*AQ$321+$F2075*AQ$324)</f>
        <v/>
      </c>
      <c r="AR2075" s="35">
        <f>$D2075*($E2075*AR$321+$F2075*AR$324)</f>
        <v/>
      </c>
      <c r="AS2075" s="35">
        <f>$D2075*($E2075*AS$321+$F2075*AS$324)</f>
        <v/>
      </c>
      <c r="AT2075" s="35">
        <f>$D2075*($E2075*AT$321+$F2075*AT$324)</f>
        <v/>
      </c>
      <c r="AU2075" s="35">
        <f>$D2075*($E2075*AU$321+$F2075*AU$324)</f>
        <v/>
      </c>
      <c r="AV2075" s="35">
        <f>$D2075*($E2075*AV$321+$F2075*AV$324)</f>
        <v/>
      </c>
      <c r="AW2075" s="35">
        <f>$D2075*($E2075*AW$321+$F2075*AW$324)</f>
        <v/>
      </c>
      <c r="AX2075" s="35">
        <f>$D2075*($E2075*AX$321+$F2075*AX$324)</f>
        <v/>
      </c>
      <c r="AY2075" s="35">
        <f>$D2075*($E2075*AY$321+$F2075*AY$324)</f>
        <v/>
      </c>
      <c r="AZ2075" s="35">
        <f>$D2075*($E2075*AZ$321+$F2075*AZ$324)</f>
        <v/>
      </c>
      <c r="BA2075" s="42">
        <f>XCARBON($D2075,$E2075,BA$321,$F2075,BA$324)</f>
        <v/>
      </c>
    </row>
    <row r="2076" hidden="1" outlineLevel="2">
      <c r="A2076" s="14" t="inlineStr">
        <is>
          <t>xcp</t>
        </is>
      </c>
      <c r="B2076" s="14" t="inlineStr">
        <is>
          <t>die</t>
        </is>
      </c>
      <c r="C2076" s="14" t="inlineStr">
        <is>
          <t>irn</t>
        </is>
      </c>
      <c r="D2076" s="35">
        <f>INDEX(Inputs!$W$5:$W$132,MATCH($B2076&amp;"|"&amp;$C2076,Inputs!$A$5:$A$132,0))</f>
        <v/>
      </c>
      <c r="E2076" s="35">
        <f>INDEX(Inputs!$Z$5:$Z$132,MATCH($B2076&amp;"|"&amp;$C2076,Inputs!$A$5:$A$132,0))</f>
        <v/>
      </c>
      <c r="F2076" s="35">
        <f>INDEX(Inputs!$AA$5:$AA$132,MATCH($B2076&amp;"|"&amp;$C2076,Inputs!$A$5:$A$132,0))</f>
        <v/>
      </c>
      <c r="G2076" s="39" t="n"/>
      <c r="H2076" s="14">
        <f>INDEX(VarLab,MATCH($A2076,VarKey,0))&amp;INDEX(MemLab,MATCH($C2076&amp;"|"&amp;$B2076,MemKey,0))</f>
        <v/>
      </c>
      <c r="I2076" s="14">
        <f>INDEX(VarUnit,MATCH($A2076,VarKey,0))</f>
        <v/>
      </c>
      <c r="J2076" s="14">
        <f>INDEX(VarSrc,MATCH($A2076,VarKey,0))</f>
        <v/>
      </c>
      <c r="K2076" s="11">
        <f>CodePrefix&amp;$A2076&amp;IF($C2076="","","."&amp;$C2076&amp;"."&amp;$B2076)&amp;INDEX(VarEnd,MATCH($A2076,VarKey,0))&amp;K$5</f>
        <v/>
      </c>
      <c r="L2076" s="40">
        <f>$D2076*($E2076*L$321+$F2076*L$324)</f>
        <v/>
      </c>
      <c r="M2076" s="35">
        <f>$D2076*($E2076*M$321+$F2076*M$324)</f>
        <v/>
      </c>
      <c r="N2076" s="35">
        <f>$D2076*($E2076*N$321+$F2076*N$324)</f>
        <v/>
      </c>
      <c r="O2076" s="35">
        <f>$D2076*($E2076*O$321+$F2076*O$324)</f>
        <v/>
      </c>
      <c r="P2076" s="35">
        <f>$D2076*($E2076*P$321+$F2076*P$324)</f>
        <v/>
      </c>
      <c r="Q2076" s="35">
        <f>$D2076*($E2076*Q$321+$F2076*Q$324)</f>
        <v/>
      </c>
      <c r="R2076" s="35">
        <f>$D2076*($E2076*R$321+$F2076*R$324)</f>
        <v/>
      </c>
      <c r="S2076" s="35">
        <f>$D2076*($E2076*S$321+$F2076*S$324)</f>
        <v/>
      </c>
      <c r="T2076" s="35">
        <f>$D2076*($E2076*T$321+$F2076*T$324)</f>
        <v/>
      </c>
      <c r="U2076" s="35">
        <f>$D2076*($E2076*U$321+$F2076*U$324)</f>
        <v/>
      </c>
      <c r="V2076" s="35">
        <f>$D2076*($E2076*V$321+$F2076*V$324)</f>
        <v/>
      </c>
      <c r="W2076" s="35">
        <f>$D2076*($E2076*W$321+$F2076*W$324)</f>
        <v/>
      </c>
      <c r="X2076" s="35">
        <f>$D2076*($E2076*X$321+$F2076*X$324)</f>
        <v/>
      </c>
      <c r="Y2076" s="35">
        <f>$D2076*($E2076*Y$321+$F2076*Y$324)</f>
        <v/>
      </c>
      <c r="Z2076" s="35">
        <f>$D2076*($E2076*Z$321+$F2076*Z$324)</f>
        <v/>
      </c>
      <c r="AA2076" s="35">
        <f>$D2076*($E2076*AA$321+$F2076*AA$324)</f>
        <v/>
      </c>
      <c r="AB2076" s="35">
        <f>$D2076*($E2076*AB$321+$F2076*AB$324)</f>
        <v/>
      </c>
      <c r="AC2076" s="35">
        <f>$D2076*($E2076*AC$321+$F2076*AC$324)</f>
        <v/>
      </c>
      <c r="AD2076" s="35">
        <f>$D2076*($E2076*AD$321+$F2076*AD$324)</f>
        <v/>
      </c>
      <c r="AE2076" s="42">
        <f>XCARBON($D2076,$E2076,AE$321,$F2076,AE$324)</f>
        <v/>
      </c>
      <c r="AG2076" s="11">
        <f>CodePrefix&amp;$A2076&amp;IF($C2076="","","."&amp;$C2076&amp;"."&amp;$B2076)&amp;INDEX(VarEnd,MATCH($A2076,VarKey,0))&amp;AG$5</f>
        <v/>
      </c>
      <c r="AH2076" s="40">
        <f>$D2076*($E2076*AH$321+$F2076*AH$324)</f>
        <v/>
      </c>
      <c r="AI2076" s="35">
        <f>$D2076*($E2076*AI$321+$F2076*AI$324)</f>
        <v/>
      </c>
      <c r="AJ2076" s="35">
        <f>$D2076*($E2076*AJ$321+$F2076*AJ$324)</f>
        <v/>
      </c>
      <c r="AK2076" s="35">
        <f>$D2076*($E2076*AK$321+$F2076*AK$324)</f>
        <v/>
      </c>
      <c r="AL2076" s="35">
        <f>$D2076*($E2076*AL$321+$F2076*AL$324)</f>
        <v/>
      </c>
      <c r="AM2076" s="35">
        <f>$D2076*($E2076*AM$321+$F2076*AM$324)</f>
        <v/>
      </c>
      <c r="AN2076" s="35">
        <f>$D2076*($E2076*AN$321+$F2076*AN$324)</f>
        <v/>
      </c>
      <c r="AO2076" s="35">
        <f>$D2076*($E2076*AO$321+$F2076*AO$324)</f>
        <v/>
      </c>
      <c r="AP2076" s="35">
        <f>$D2076*($E2076*AP$321+$F2076*AP$324)</f>
        <v/>
      </c>
      <c r="AQ2076" s="35">
        <f>$D2076*($E2076*AQ$321+$F2076*AQ$324)</f>
        <v/>
      </c>
      <c r="AR2076" s="35">
        <f>$D2076*($E2076*AR$321+$F2076*AR$324)</f>
        <v/>
      </c>
      <c r="AS2076" s="35">
        <f>$D2076*($E2076*AS$321+$F2076*AS$324)</f>
        <v/>
      </c>
      <c r="AT2076" s="35">
        <f>$D2076*($E2076*AT$321+$F2076*AT$324)</f>
        <v/>
      </c>
      <c r="AU2076" s="35">
        <f>$D2076*($E2076*AU$321+$F2076*AU$324)</f>
        <v/>
      </c>
      <c r="AV2076" s="35">
        <f>$D2076*($E2076*AV$321+$F2076*AV$324)</f>
        <v/>
      </c>
      <c r="AW2076" s="35">
        <f>$D2076*($E2076*AW$321+$F2076*AW$324)</f>
        <v/>
      </c>
      <c r="AX2076" s="35">
        <f>$D2076*($E2076*AX$321+$F2076*AX$324)</f>
        <v/>
      </c>
      <c r="AY2076" s="35">
        <f>$D2076*($E2076*AY$321+$F2076*AY$324)</f>
        <v/>
      </c>
      <c r="AZ2076" s="35">
        <f>$D2076*($E2076*AZ$321+$F2076*AZ$324)</f>
        <v/>
      </c>
      <c r="BA2076" s="42">
        <f>XCARBON($D2076,$E2076,BA$321,$F2076,BA$324)</f>
        <v/>
      </c>
    </row>
    <row r="2077" hidden="1" outlineLevel="2">
      <c r="A2077" s="14" t="inlineStr">
        <is>
          <t>xcp</t>
        </is>
      </c>
      <c r="B2077" s="14" t="inlineStr">
        <is>
          <t>lpg</t>
        </is>
      </c>
      <c r="C2077" s="14" t="inlineStr">
        <is>
          <t>irn</t>
        </is>
      </c>
      <c r="D2077" s="35">
        <f>INDEX(Inputs!$W$5:$W$132,MATCH($B2077&amp;"|"&amp;$C2077,Inputs!$A$5:$A$132,0))</f>
        <v/>
      </c>
      <c r="E2077" s="35">
        <f>INDEX(Inputs!$Z$5:$Z$132,MATCH($B2077&amp;"|"&amp;$C2077,Inputs!$A$5:$A$132,0))</f>
        <v/>
      </c>
      <c r="F2077" s="35">
        <f>INDEX(Inputs!$AA$5:$AA$132,MATCH($B2077&amp;"|"&amp;$C2077,Inputs!$A$5:$A$132,0))</f>
        <v/>
      </c>
      <c r="G2077" s="39" t="n"/>
      <c r="H2077" s="14">
        <f>INDEX(VarLab,MATCH($A2077,VarKey,0))&amp;INDEX(MemLab,MATCH($C2077&amp;"|"&amp;$B2077,MemKey,0))</f>
        <v/>
      </c>
      <c r="I2077" s="14">
        <f>INDEX(VarUnit,MATCH($A2077,VarKey,0))</f>
        <v/>
      </c>
      <c r="J2077" s="14">
        <f>INDEX(VarSrc,MATCH($A2077,VarKey,0))</f>
        <v/>
      </c>
      <c r="K2077" s="11">
        <f>CodePrefix&amp;$A2077&amp;IF($C2077="","","."&amp;$C2077&amp;"."&amp;$B2077)&amp;INDEX(VarEnd,MATCH($A2077,VarKey,0))&amp;K$5</f>
        <v/>
      </c>
      <c r="L2077" s="40">
        <f>$D2077*($E2077*L$321+$F2077*L$324)</f>
        <v/>
      </c>
      <c r="M2077" s="35">
        <f>$D2077*($E2077*M$321+$F2077*M$324)</f>
        <v/>
      </c>
      <c r="N2077" s="35">
        <f>$D2077*($E2077*N$321+$F2077*N$324)</f>
        <v/>
      </c>
      <c r="O2077" s="35">
        <f>$D2077*($E2077*O$321+$F2077*O$324)</f>
        <v/>
      </c>
      <c r="P2077" s="35">
        <f>$D2077*($E2077*P$321+$F2077*P$324)</f>
        <v/>
      </c>
      <c r="Q2077" s="35">
        <f>$D2077*($E2077*Q$321+$F2077*Q$324)</f>
        <v/>
      </c>
      <c r="R2077" s="35">
        <f>$D2077*($E2077*R$321+$F2077*R$324)</f>
        <v/>
      </c>
      <c r="S2077" s="35">
        <f>$D2077*($E2077*S$321+$F2077*S$324)</f>
        <v/>
      </c>
      <c r="T2077" s="35">
        <f>$D2077*($E2077*T$321+$F2077*T$324)</f>
        <v/>
      </c>
      <c r="U2077" s="35">
        <f>$D2077*($E2077*U$321+$F2077*U$324)</f>
        <v/>
      </c>
      <c r="V2077" s="35">
        <f>$D2077*($E2077*V$321+$F2077*V$324)</f>
        <v/>
      </c>
      <c r="W2077" s="35">
        <f>$D2077*($E2077*W$321+$F2077*W$324)</f>
        <v/>
      </c>
      <c r="X2077" s="35">
        <f>$D2077*($E2077*X$321+$F2077*X$324)</f>
        <v/>
      </c>
      <c r="Y2077" s="35">
        <f>$D2077*($E2077*Y$321+$F2077*Y$324)</f>
        <v/>
      </c>
      <c r="Z2077" s="35">
        <f>$D2077*($E2077*Z$321+$F2077*Z$324)</f>
        <v/>
      </c>
      <c r="AA2077" s="35">
        <f>$D2077*($E2077*AA$321+$F2077*AA$324)</f>
        <v/>
      </c>
      <c r="AB2077" s="35">
        <f>$D2077*($E2077*AB$321+$F2077*AB$324)</f>
        <v/>
      </c>
      <c r="AC2077" s="35">
        <f>$D2077*($E2077*AC$321+$F2077*AC$324)</f>
        <v/>
      </c>
      <c r="AD2077" s="35">
        <f>$D2077*($E2077*AD$321+$F2077*AD$324)</f>
        <v/>
      </c>
      <c r="AE2077" s="42">
        <f>XCARBON($D2077,$E2077,AE$321,$F2077,AE$324)</f>
        <v/>
      </c>
      <c r="AG2077" s="11">
        <f>CodePrefix&amp;$A2077&amp;IF($C2077="","","."&amp;$C2077&amp;"."&amp;$B2077)&amp;INDEX(VarEnd,MATCH($A2077,VarKey,0))&amp;AG$5</f>
        <v/>
      </c>
      <c r="AH2077" s="40">
        <f>$D2077*($E2077*AH$321+$F2077*AH$324)</f>
        <v/>
      </c>
      <c r="AI2077" s="35">
        <f>$D2077*($E2077*AI$321+$F2077*AI$324)</f>
        <v/>
      </c>
      <c r="AJ2077" s="35">
        <f>$D2077*($E2077*AJ$321+$F2077*AJ$324)</f>
        <v/>
      </c>
      <c r="AK2077" s="35">
        <f>$D2077*($E2077*AK$321+$F2077*AK$324)</f>
        <v/>
      </c>
      <c r="AL2077" s="35">
        <f>$D2077*($E2077*AL$321+$F2077*AL$324)</f>
        <v/>
      </c>
      <c r="AM2077" s="35">
        <f>$D2077*($E2077*AM$321+$F2077*AM$324)</f>
        <v/>
      </c>
      <c r="AN2077" s="35">
        <f>$D2077*($E2077*AN$321+$F2077*AN$324)</f>
        <v/>
      </c>
      <c r="AO2077" s="35">
        <f>$D2077*($E2077*AO$321+$F2077*AO$324)</f>
        <v/>
      </c>
      <c r="AP2077" s="35">
        <f>$D2077*($E2077*AP$321+$F2077*AP$324)</f>
        <v/>
      </c>
      <c r="AQ2077" s="35">
        <f>$D2077*($E2077*AQ$321+$F2077*AQ$324)</f>
        <v/>
      </c>
      <c r="AR2077" s="35">
        <f>$D2077*($E2077*AR$321+$F2077*AR$324)</f>
        <v/>
      </c>
      <c r="AS2077" s="35">
        <f>$D2077*($E2077*AS$321+$F2077*AS$324)</f>
        <v/>
      </c>
      <c r="AT2077" s="35">
        <f>$D2077*($E2077*AT$321+$F2077*AT$324)</f>
        <v/>
      </c>
      <c r="AU2077" s="35">
        <f>$D2077*($E2077*AU$321+$F2077*AU$324)</f>
        <v/>
      </c>
      <c r="AV2077" s="35">
        <f>$D2077*($E2077*AV$321+$F2077*AV$324)</f>
        <v/>
      </c>
      <c r="AW2077" s="35">
        <f>$D2077*($E2077*AW$321+$F2077*AW$324)</f>
        <v/>
      </c>
      <c r="AX2077" s="35">
        <f>$D2077*($E2077*AX$321+$F2077*AX$324)</f>
        <v/>
      </c>
      <c r="AY2077" s="35">
        <f>$D2077*($E2077*AY$321+$F2077*AY$324)</f>
        <v/>
      </c>
      <c r="AZ2077" s="35">
        <f>$D2077*($E2077*AZ$321+$F2077*AZ$324)</f>
        <v/>
      </c>
      <c r="BA2077" s="42">
        <f>XCARBON($D2077,$E2077,BA$321,$F2077,BA$324)</f>
        <v/>
      </c>
    </row>
    <row r="2078" hidden="1" outlineLevel="2">
      <c r="A2078" s="14" t="inlineStr">
        <is>
          <t>xcp</t>
        </is>
      </c>
      <c r="B2078" s="14" t="inlineStr">
        <is>
          <t>ker</t>
        </is>
      </c>
      <c r="C2078" s="14" t="inlineStr">
        <is>
          <t>irn</t>
        </is>
      </c>
      <c r="D2078" s="35">
        <f>INDEX(Inputs!$W$5:$W$132,MATCH($B2078&amp;"|"&amp;$C2078,Inputs!$A$5:$A$132,0))</f>
        <v/>
      </c>
      <c r="E2078" s="35">
        <f>INDEX(Inputs!$Z$5:$Z$132,MATCH($B2078&amp;"|"&amp;$C2078,Inputs!$A$5:$A$132,0))</f>
        <v/>
      </c>
      <c r="F2078" s="35">
        <f>INDEX(Inputs!$AA$5:$AA$132,MATCH($B2078&amp;"|"&amp;$C2078,Inputs!$A$5:$A$132,0))</f>
        <v/>
      </c>
      <c r="G2078" s="39" t="n"/>
      <c r="H2078" s="14">
        <f>INDEX(VarLab,MATCH($A2078,VarKey,0))&amp;INDEX(MemLab,MATCH($C2078&amp;"|"&amp;$B2078,MemKey,0))</f>
        <v/>
      </c>
      <c r="I2078" s="14">
        <f>INDEX(VarUnit,MATCH($A2078,VarKey,0))</f>
        <v/>
      </c>
      <c r="J2078" s="14">
        <f>INDEX(VarSrc,MATCH($A2078,VarKey,0))</f>
        <v/>
      </c>
      <c r="K2078" s="11">
        <f>CodePrefix&amp;$A2078&amp;IF($C2078="","","."&amp;$C2078&amp;"."&amp;$B2078)&amp;INDEX(VarEnd,MATCH($A2078,VarKey,0))&amp;K$5</f>
        <v/>
      </c>
      <c r="L2078" s="40">
        <f>$D2078*($E2078*L$321+$F2078*L$324)</f>
        <v/>
      </c>
      <c r="M2078" s="35">
        <f>$D2078*($E2078*M$321+$F2078*M$324)</f>
        <v/>
      </c>
      <c r="N2078" s="35">
        <f>$D2078*($E2078*N$321+$F2078*N$324)</f>
        <v/>
      </c>
      <c r="O2078" s="35">
        <f>$D2078*($E2078*O$321+$F2078*O$324)</f>
        <v/>
      </c>
      <c r="P2078" s="35">
        <f>$D2078*($E2078*P$321+$F2078*P$324)</f>
        <v/>
      </c>
      <c r="Q2078" s="35">
        <f>$D2078*($E2078*Q$321+$F2078*Q$324)</f>
        <v/>
      </c>
      <c r="R2078" s="35">
        <f>$D2078*($E2078*R$321+$F2078*R$324)</f>
        <v/>
      </c>
      <c r="S2078" s="35">
        <f>$D2078*($E2078*S$321+$F2078*S$324)</f>
        <v/>
      </c>
      <c r="T2078" s="35">
        <f>$D2078*($E2078*T$321+$F2078*T$324)</f>
        <v/>
      </c>
      <c r="U2078" s="35">
        <f>$D2078*($E2078*U$321+$F2078*U$324)</f>
        <v/>
      </c>
      <c r="V2078" s="35">
        <f>$D2078*($E2078*V$321+$F2078*V$324)</f>
        <v/>
      </c>
      <c r="W2078" s="35">
        <f>$D2078*($E2078*W$321+$F2078*W$324)</f>
        <v/>
      </c>
      <c r="X2078" s="35">
        <f>$D2078*($E2078*X$321+$F2078*X$324)</f>
        <v/>
      </c>
      <c r="Y2078" s="35">
        <f>$D2078*($E2078*Y$321+$F2078*Y$324)</f>
        <v/>
      </c>
      <c r="Z2078" s="35">
        <f>$D2078*($E2078*Z$321+$F2078*Z$324)</f>
        <v/>
      </c>
      <c r="AA2078" s="35">
        <f>$D2078*($E2078*AA$321+$F2078*AA$324)</f>
        <v/>
      </c>
      <c r="AB2078" s="35">
        <f>$D2078*($E2078*AB$321+$F2078*AB$324)</f>
        <v/>
      </c>
      <c r="AC2078" s="35">
        <f>$D2078*($E2078*AC$321+$F2078*AC$324)</f>
        <v/>
      </c>
      <c r="AD2078" s="35">
        <f>$D2078*($E2078*AD$321+$F2078*AD$324)</f>
        <v/>
      </c>
      <c r="AE2078" s="42">
        <f>XCARBON($D2078,$E2078,AE$321,$F2078,AE$324)</f>
        <v/>
      </c>
      <c r="AG2078" s="11">
        <f>CodePrefix&amp;$A2078&amp;IF($C2078="","","."&amp;$C2078&amp;"."&amp;$B2078)&amp;INDEX(VarEnd,MATCH($A2078,VarKey,0))&amp;AG$5</f>
        <v/>
      </c>
      <c r="AH2078" s="40">
        <f>$D2078*($E2078*AH$321+$F2078*AH$324)</f>
        <v/>
      </c>
      <c r="AI2078" s="35">
        <f>$D2078*($E2078*AI$321+$F2078*AI$324)</f>
        <v/>
      </c>
      <c r="AJ2078" s="35">
        <f>$D2078*($E2078*AJ$321+$F2078*AJ$324)</f>
        <v/>
      </c>
      <c r="AK2078" s="35">
        <f>$D2078*($E2078*AK$321+$F2078*AK$324)</f>
        <v/>
      </c>
      <c r="AL2078" s="35">
        <f>$D2078*($E2078*AL$321+$F2078*AL$324)</f>
        <v/>
      </c>
      <c r="AM2078" s="35">
        <f>$D2078*($E2078*AM$321+$F2078*AM$324)</f>
        <v/>
      </c>
      <c r="AN2078" s="35">
        <f>$D2078*($E2078*AN$321+$F2078*AN$324)</f>
        <v/>
      </c>
      <c r="AO2078" s="35">
        <f>$D2078*($E2078*AO$321+$F2078*AO$324)</f>
        <v/>
      </c>
      <c r="AP2078" s="35">
        <f>$D2078*($E2078*AP$321+$F2078*AP$324)</f>
        <v/>
      </c>
      <c r="AQ2078" s="35">
        <f>$D2078*($E2078*AQ$321+$F2078*AQ$324)</f>
        <v/>
      </c>
      <c r="AR2078" s="35">
        <f>$D2078*($E2078*AR$321+$F2078*AR$324)</f>
        <v/>
      </c>
      <c r="AS2078" s="35">
        <f>$D2078*($E2078*AS$321+$F2078*AS$324)</f>
        <v/>
      </c>
      <c r="AT2078" s="35">
        <f>$D2078*($E2078*AT$321+$F2078*AT$324)</f>
        <v/>
      </c>
      <c r="AU2078" s="35">
        <f>$D2078*($E2078*AU$321+$F2078*AU$324)</f>
        <v/>
      </c>
      <c r="AV2078" s="35">
        <f>$D2078*($E2078*AV$321+$F2078*AV$324)</f>
        <v/>
      </c>
      <c r="AW2078" s="35">
        <f>$D2078*($E2078*AW$321+$F2078*AW$324)</f>
        <v/>
      </c>
      <c r="AX2078" s="35">
        <f>$D2078*($E2078*AX$321+$F2078*AX$324)</f>
        <v/>
      </c>
      <c r="AY2078" s="35">
        <f>$D2078*($E2078*AY$321+$F2078*AY$324)</f>
        <v/>
      </c>
      <c r="AZ2078" s="35">
        <f>$D2078*($E2078*AZ$321+$F2078*AZ$324)</f>
        <v/>
      </c>
      <c r="BA2078" s="42">
        <f>XCARBON($D2078,$E2078,BA$321,$F2078,BA$324)</f>
        <v/>
      </c>
    </row>
    <row r="2079" hidden="1" outlineLevel="2">
      <c r="A2079" s="14" t="inlineStr">
        <is>
          <t>xcp</t>
        </is>
      </c>
      <c r="B2079" s="14" t="inlineStr">
        <is>
          <t>oop</t>
        </is>
      </c>
      <c r="C2079" s="14" t="inlineStr">
        <is>
          <t>irn</t>
        </is>
      </c>
      <c r="D2079" s="35">
        <f>INDEX(Inputs!$W$5:$W$132,MATCH($B2079&amp;"|"&amp;$C2079,Inputs!$A$5:$A$132,0))</f>
        <v/>
      </c>
      <c r="E2079" s="35">
        <f>INDEX(Inputs!$Z$5:$Z$132,MATCH($B2079&amp;"|"&amp;$C2079,Inputs!$A$5:$A$132,0))</f>
        <v/>
      </c>
      <c r="F2079" s="35">
        <f>INDEX(Inputs!$AA$5:$AA$132,MATCH($B2079&amp;"|"&amp;$C2079,Inputs!$A$5:$A$132,0))</f>
        <v/>
      </c>
      <c r="G2079" s="39" t="n"/>
      <c r="H2079" s="14">
        <f>INDEX(VarLab,MATCH($A2079,VarKey,0))&amp;INDEX(MemLab,MATCH($C2079&amp;"|"&amp;$B2079,MemKey,0))</f>
        <v/>
      </c>
      <c r="I2079" s="14">
        <f>INDEX(VarUnit,MATCH($A2079,VarKey,0))</f>
        <v/>
      </c>
      <c r="J2079" s="14">
        <f>INDEX(VarSrc,MATCH($A2079,VarKey,0))</f>
        <v/>
      </c>
      <c r="K2079" s="11">
        <f>CodePrefix&amp;$A2079&amp;IF($C2079="","","."&amp;$C2079&amp;"."&amp;$B2079)&amp;INDEX(VarEnd,MATCH($A2079,VarKey,0))&amp;K$5</f>
        <v/>
      </c>
      <c r="L2079" s="40">
        <f>$D2079*($E2079*L$321+$F2079*L$324)</f>
        <v/>
      </c>
      <c r="M2079" s="35">
        <f>$D2079*($E2079*M$321+$F2079*M$324)</f>
        <v/>
      </c>
      <c r="N2079" s="35">
        <f>$D2079*($E2079*N$321+$F2079*N$324)</f>
        <v/>
      </c>
      <c r="O2079" s="35">
        <f>$D2079*($E2079*O$321+$F2079*O$324)</f>
        <v/>
      </c>
      <c r="P2079" s="35">
        <f>$D2079*($E2079*P$321+$F2079*P$324)</f>
        <v/>
      </c>
      <c r="Q2079" s="35">
        <f>$D2079*($E2079*Q$321+$F2079*Q$324)</f>
        <v/>
      </c>
      <c r="R2079" s="35">
        <f>$D2079*($E2079*R$321+$F2079*R$324)</f>
        <v/>
      </c>
      <c r="S2079" s="35">
        <f>$D2079*($E2079*S$321+$F2079*S$324)</f>
        <v/>
      </c>
      <c r="T2079" s="35">
        <f>$D2079*($E2079*T$321+$F2079*T$324)</f>
        <v/>
      </c>
      <c r="U2079" s="35">
        <f>$D2079*($E2079*U$321+$F2079*U$324)</f>
        <v/>
      </c>
      <c r="V2079" s="35">
        <f>$D2079*($E2079*V$321+$F2079*V$324)</f>
        <v/>
      </c>
      <c r="W2079" s="35">
        <f>$D2079*($E2079*W$321+$F2079*W$324)</f>
        <v/>
      </c>
      <c r="X2079" s="35">
        <f>$D2079*($E2079*X$321+$F2079*X$324)</f>
        <v/>
      </c>
      <c r="Y2079" s="35">
        <f>$D2079*($E2079*Y$321+$F2079*Y$324)</f>
        <v/>
      </c>
      <c r="Z2079" s="35">
        <f>$D2079*($E2079*Z$321+$F2079*Z$324)</f>
        <v/>
      </c>
      <c r="AA2079" s="35">
        <f>$D2079*($E2079*AA$321+$F2079*AA$324)</f>
        <v/>
      </c>
      <c r="AB2079" s="35">
        <f>$D2079*($E2079*AB$321+$F2079*AB$324)</f>
        <v/>
      </c>
      <c r="AC2079" s="35">
        <f>$D2079*($E2079*AC$321+$F2079*AC$324)</f>
        <v/>
      </c>
      <c r="AD2079" s="35">
        <f>$D2079*($E2079*AD$321+$F2079*AD$324)</f>
        <v/>
      </c>
      <c r="AE2079" s="42">
        <f>XCARBON($D2079,$E2079,AE$321,$F2079,AE$324)</f>
        <v/>
      </c>
      <c r="AG2079" s="11">
        <f>CodePrefix&amp;$A2079&amp;IF($C2079="","","."&amp;$C2079&amp;"."&amp;$B2079)&amp;INDEX(VarEnd,MATCH($A2079,VarKey,0))&amp;AG$5</f>
        <v/>
      </c>
      <c r="AH2079" s="40">
        <f>$D2079*($E2079*AH$321+$F2079*AH$324)</f>
        <v/>
      </c>
      <c r="AI2079" s="35">
        <f>$D2079*($E2079*AI$321+$F2079*AI$324)</f>
        <v/>
      </c>
      <c r="AJ2079" s="35">
        <f>$D2079*($E2079*AJ$321+$F2079*AJ$324)</f>
        <v/>
      </c>
      <c r="AK2079" s="35">
        <f>$D2079*($E2079*AK$321+$F2079*AK$324)</f>
        <v/>
      </c>
      <c r="AL2079" s="35">
        <f>$D2079*($E2079*AL$321+$F2079*AL$324)</f>
        <v/>
      </c>
      <c r="AM2079" s="35">
        <f>$D2079*($E2079*AM$321+$F2079*AM$324)</f>
        <v/>
      </c>
      <c r="AN2079" s="35">
        <f>$D2079*($E2079*AN$321+$F2079*AN$324)</f>
        <v/>
      </c>
      <c r="AO2079" s="35">
        <f>$D2079*($E2079*AO$321+$F2079*AO$324)</f>
        <v/>
      </c>
      <c r="AP2079" s="35">
        <f>$D2079*($E2079*AP$321+$F2079*AP$324)</f>
        <v/>
      </c>
      <c r="AQ2079" s="35">
        <f>$D2079*($E2079*AQ$321+$F2079*AQ$324)</f>
        <v/>
      </c>
      <c r="AR2079" s="35">
        <f>$D2079*($E2079*AR$321+$F2079*AR$324)</f>
        <v/>
      </c>
      <c r="AS2079" s="35">
        <f>$D2079*($E2079*AS$321+$F2079*AS$324)</f>
        <v/>
      </c>
      <c r="AT2079" s="35">
        <f>$D2079*($E2079*AT$321+$F2079*AT$324)</f>
        <v/>
      </c>
      <c r="AU2079" s="35">
        <f>$D2079*($E2079*AU$321+$F2079*AU$324)</f>
        <v/>
      </c>
      <c r="AV2079" s="35">
        <f>$D2079*($E2079*AV$321+$F2079*AV$324)</f>
        <v/>
      </c>
      <c r="AW2079" s="35">
        <f>$D2079*($E2079*AW$321+$F2079*AW$324)</f>
        <v/>
      </c>
      <c r="AX2079" s="35">
        <f>$D2079*($E2079*AX$321+$F2079*AX$324)</f>
        <v/>
      </c>
      <c r="AY2079" s="35">
        <f>$D2079*($E2079*AY$321+$F2079*AY$324)</f>
        <v/>
      </c>
      <c r="AZ2079" s="35">
        <f>$D2079*($E2079*AZ$321+$F2079*AZ$324)</f>
        <v/>
      </c>
      <c r="BA2079" s="42">
        <f>XCARBON($D2079,$E2079,BA$321,$F2079,BA$324)</f>
        <v/>
      </c>
    </row>
    <row r="2080" hidden="1" outlineLevel="2">
      <c r="A2080" s="14" t="inlineStr">
        <is>
          <t>xcp</t>
        </is>
      </c>
      <c r="B2080" s="14" t="inlineStr">
        <is>
          <t>bio</t>
        </is>
      </c>
      <c r="C2080" s="14" t="inlineStr">
        <is>
          <t>irn</t>
        </is>
      </c>
      <c r="D2080" s="35">
        <f>INDEX(Inputs!$W$5:$W$132,MATCH($B2080&amp;"|"&amp;$C2080,Inputs!$A$5:$A$132,0))</f>
        <v/>
      </c>
      <c r="E2080" s="35">
        <f>INDEX(Inputs!$Z$5:$Z$132,MATCH($B2080&amp;"|"&amp;$C2080,Inputs!$A$5:$A$132,0))</f>
        <v/>
      </c>
      <c r="F2080" s="35">
        <f>INDEX(Inputs!$AA$5:$AA$132,MATCH($B2080&amp;"|"&amp;$C2080,Inputs!$A$5:$A$132,0))</f>
        <v/>
      </c>
      <c r="G2080" s="39" t="n"/>
      <c r="H2080" s="14">
        <f>INDEX(VarLab,MATCH($A2080,VarKey,0))&amp;INDEX(MemLab,MATCH($C2080&amp;"|"&amp;$B2080,MemKey,0))</f>
        <v/>
      </c>
      <c r="I2080" s="14">
        <f>INDEX(VarUnit,MATCH($A2080,VarKey,0))</f>
        <v/>
      </c>
      <c r="J2080" s="14">
        <f>INDEX(VarSrc,MATCH($A2080,VarKey,0))</f>
        <v/>
      </c>
      <c r="K2080" s="11">
        <f>CodePrefix&amp;$A2080&amp;IF($C2080="","","."&amp;$C2080&amp;"."&amp;$B2080)&amp;INDEX(VarEnd,MATCH($A2080,VarKey,0))&amp;K$5</f>
        <v/>
      </c>
      <c r="L2080" s="40">
        <f>$D2080*($E2080*L$321+$F2080*L$324)</f>
        <v/>
      </c>
      <c r="M2080" s="35">
        <f>$D2080*($E2080*M$321+$F2080*M$324)</f>
        <v/>
      </c>
      <c r="N2080" s="35">
        <f>$D2080*($E2080*N$321+$F2080*N$324)</f>
        <v/>
      </c>
      <c r="O2080" s="35">
        <f>$D2080*($E2080*O$321+$F2080*O$324)</f>
        <v/>
      </c>
      <c r="P2080" s="35">
        <f>$D2080*($E2080*P$321+$F2080*P$324)</f>
        <v/>
      </c>
      <c r="Q2080" s="35">
        <f>$D2080*($E2080*Q$321+$F2080*Q$324)</f>
        <v/>
      </c>
      <c r="R2080" s="35">
        <f>$D2080*($E2080*R$321+$F2080*R$324)</f>
        <v/>
      </c>
      <c r="S2080" s="35">
        <f>$D2080*($E2080*S$321+$F2080*S$324)</f>
        <v/>
      </c>
      <c r="T2080" s="35">
        <f>$D2080*($E2080*T$321+$F2080*T$324)</f>
        <v/>
      </c>
      <c r="U2080" s="35">
        <f>$D2080*($E2080*U$321+$F2080*U$324)</f>
        <v/>
      </c>
      <c r="V2080" s="35">
        <f>$D2080*($E2080*V$321+$F2080*V$324)</f>
        <v/>
      </c>
      <c r="W2080" s="35">
        <f>$D2080*($E2080*W$321+$F2080*W$324)</f>
        <v/>
      </c>
      <c r="X2080" s="35">
        <f>$D2080*($E2080*X$321+$F2080*X$324)</f>
        <v/>
      </c>
      <c r="Y2080" s="35">
        <f>$D2080*($E2080*Y$321+$F2080*Y$324)</f>
        <v/>
      </c>
      <c r="Z2080" s="35">
        <f>$D2080*($E2080*Z$321+$F2080*Z$324)</f>
        <v/>
      </c>
      <c r="AA2080" s="35">
        <f>$D2080*($E2080*AA$321+$F2080*AA$324)</f>
        <v/>
      </c>
      <c r="AB2080" s="35">
        <f>$D2080*($E2080*AB$321+$F2080*AB$324)</f>
        <v/>
      </c>
      <c r="AC2080" s="35">
        <f>$D2080*($E2080*AC$321+$F2080*AC$324)</f>
        <v/>
      </c>
      <c r="AD2080" s="35">
        <f>$D2080*($E2080*AD$321+$F2080*AD$324)</f>
        <v/>
      </c>
      <c r="AE2080" s="42">
        <f>XCARBON($D2080,$E2080,AE$321,$F2080,AE$324)</f>
        <v/>
      </c>
      <c r="AG2080" s="11">
        <f>CodePrefix&amp;$A2080&amp;IF($C2080="","","."&amp;$C2080&amp;"."&amp;$B2080)&amp;INDEX(VarEnd,MATCH($A2080,VarKey,0))&amp;AG$5</f>
        <v/>
      </c>
      <c r="AH2080" s="40">
        <f>$D2080*($E2080*AH$321+$F2080*AH$324)</f>
        <v/>
      </c>
      <c r="AI2080" s="35">
        <f>$D2080*($E2080*AI$321+$F2080*AI$324)</f>
        <v/>
      </c>
      <c r="AJ2080" s="35">
        <f>$D2080*($E2080*AJ$321+$F2080*AJ$324)</f>
        <v/>
      </c>
      <c r="AK2080" s="35">
        <f>$D2080*($E2080*AK$321+$F2080*AK$324)</f>
        <v/>
      </c>
      <c r="AL2080" s="35">
        <f>$D2080*($E2080*AL$321+$F2080*AL$324)</f>
        <v/>
      </c>
      <c r="AM2080" s="35">
        <f>$D2080*($E2080*AM$321+$F2080*AM$324)</f>
        <v/>
      </c>
      <c r="AN2080" s="35">
        <f>$D2080*($E2080*AN$321+$F2080*AN$324)</f>
        <v/>
      </c>
      <c r="AO2080" s="35">
        <f>$D2080*($E2080*AO$321+$F2080*AO$324)</f>
        <v/>
      </c>
      <c r="AP2080" s="35">
        <f>$D2080*($E2080*AP$321+$F2080*AP$324)</f>
        <v/>
      </c>
      <c r="AQ2080" s="35">
        <f>$D2080*($E2080*AQ$321+$F2080*AQ$324)</f>
        <v/>
      </c>
      <c r="AR2080" s="35">
        <f>$D2080*($E2080*AR$321+$F2080*AR$324)</f>
        <v/>
      </c>
      <c r="AS2080" s="35">
        <f>$D2080*($E2080*AS$321+$F2080*AS$324)</f>
        <v/>
      </c>
      <c r="AT2080" s="35">
        <f>$D2080*($E2080*AT$321+$F2080*AT$324)</f>
        <v/>
      </c>
      <c r="AU2080" s="35">
        <f>$D2080*($E2080*AU$321+$F2080*AU$324)</f>
        <v/>
      </c>
      <c r="AV2080" s="35">
        <f>$D2080*($E2080*AV$321+$F2080*AV$324)</f>
        <v/>
      </c>
      <c r="AW2080" s="35">
        <f>$D2080*($E2080*AW$321+$F2080*AW$324)</f>
        <v/>
      </c>
      <c r="AX2080" s="35">
        <f>$D2080*($E2080*AX$321+$F2080*AX$324)</f>
        <v/>
      </c>
      <c r="AY2080" s="35">
        <f>$D2080*($E2080*AY$321+$F2080*AY$324)</f>
        <v/>
      </c>
      <c r="AZ2080" s="35">
        <f>$D2080*($E2080*AZ$321+$F2080*AZ$324)</f>
        <v/>
      </c>
      <c r="BA2080" s="42">
        <f>XCARBON($D2080,$E2080,BA$321,$F2080,BA$324)</f>
        <v/>
      </c>
    </row>
    <row r="2081" hidden="1" outlineLevel="2"/>
    <row r="2082" hidden="1" outlineLevel="2">
      <c r="A2082" s="14" t="inlineStr">
        <is>
          <t>xcpd</t>
        </is>
      </c>
      <c r="B2082" s="14" t="inlineStr">
        <is>
          <t>coa</t>
        </is>
      </c>
      <c r="C2082" s="14" t="inlineStr">
        <is>
          <t>irn</t>
        </is>
      </c>
      <c r="D2082" s="35">
        <f>INDEX(Inputs!$W$5:$W$132,MATCH($B2082&amp;"|"&amp;$C2082,Inputs!$A$5:$A$132,0))</f>
        <v/>
      </c>
      <c r="E2082" s="35">
        <f>INDEX(Inputs!$Z$5:$Z$132,MATCH($B2082&amp;"|"&amp;$C2082,Inputs!$A$5:$A$132,0))</f>
        <v/>
      </c>
      <c r="F2082" s="35">
        <f>INDEX(Inputs!$AA$5:$AA$132,MATCH($B2082&amp;"|"&amp;$C2082,Inputs!$A$5:$A$132,0))</f>
        <v/>
      </c>
      <c r="G2082" s="39" t="n"/>
      <c r="H2082" s="14">
        <f>INDEX(VarLab,MATCH($A2082,VarKey,0))&amp;INDEX(MemLab,MATCH($C2082&amp;"|"&amp;$B2082,MemKey,0))</f>
        <v/>
      </c>
      <c r="I2082" s="14">
        <f>INDEX(VarUnit,MATCH($A2082,VarKey,0))</f>
        <v/>
      </c>
      <c r="J2082" s="14">
        <f>INDEX(VarSrc,MATCH($A2082,VarKey,0))</f>
        <v/>
      </c>
      <c r="K2082" s="11">
        <f>CodePrefix&amp;$A2082&amp;IF($C2082="","","."&amp;$C2082&amp;"."&amp;$B2082)&amp;INDEX(VarEnd,MATCH($A2082,VarKey,0))&amp;K$5</f>
        <v/>
      </c>
      <c r="L2082" s="40">
        <f>$D2082*($E2082*(L$321-L$322)+$F2082*(L$324-L$325))</f>
        <v/>
      </c>
      <c r="M2082" s="35">
        <f>$D2082*($E2082*(M$321-M$322)+$F2082*(M$324-M$325))</f>
        <v/>
      </c>
      <c r="N2082" s="35">
        <f>$D2082*($E2082*(N$321-N$322)+$F2082*(N$324-N$325))</f>
        <v/>
      </c>
      <c r="O2082" s="35">
        <f>$D2082*($E2082*(O$321-O$322)+$F2082*(O$324-O$325))</f>
        <v/>
      </c>
      <c r="P2082" s="35">
        <f>$D2082*($E2082*(P$321-P$322)+$F2082*(P$324-P$325))</f>
        <v/>
      </c>
      <c r="Q2082" s="35">
        <f>$D2082*($E2082*(Q$321-Q$322)+$F2082*(Q$324-Q$325))</f>
        <v/>
      </c>
      <c r="R2082" s="35">
        <f>$D2082*($E2082*(R$321-R$322)+$F2082*(R$324-R$325))</f>
        <v/>
      </c>
      <c r="S2082" s="35">
        <f>$D2082*($E2082*(S$321-S$322)+$F2082*(S$324-S$325))</f>
        <v/>
      </c>
      <c r="T2082" s="35">
        <f>$D2082*($E2082*(T$321-T$322)+$F2082*(T$324-T$325))</f>
        <v/>
      </c>
      <c r="U2082" s="35">
        <f>$D2082*($E2082*(U$321-U$322)+$F2082*(U$324-U$325))</f>
        <v/>
      </c>
      <c r="V2082" s="35">
        <f>$D2082*($E2082*(V$321-V$322)+$F2082*(V$324-V$325))</f>
        <v/>
      </c>
      <c r="W2082" s="35">
        <f>$D2082*($E2082*(W$321-W$322)+$F2082*(W$324-W$325))</f>
        <v/>
      </c>
      <c r="X2082" s="35">
        <f>$D2082*($E2082*(X$321-X$322)+$F2082*(X$324-X$325))</f>
        <v/>
      </c>
      <c r="Y2082" s="35">
        <f>$D2082*($E2082*(Y$321-Y$322)+$F2082*(Y$324-Y$325))</f>
        <v/>
      </c>
      <c r="Z2082" s="35">
        <f>$D2082*($E2082*(Z$321-Z$322)+$F2082*(Z$324-Z$325))</f>
        <v/>
      </c>
      <c r="AA2082" s="35">
        <f>$D2082*($E2082*(AA$321-AA$322)+$F2082*(AA$324-AA$325))</f>
        <v/>
      </c>
      <c r="AB2082" s="35">
        <f>$D2082*($E2082*(AB$321-AB$322)+$F2082*(AB$324-AB$325))</f>
        <v/>
      </c>
      <c r="AC2082" s="35">
        <f>$D2082*($E2082*(AC$321-AC$322)+$F2082*(AC$324-AC$325))</f>
        <v/>
      </c>
      <c r="AD2082" s="35">
        <f>$D2082*($E2082*(AD$321-AD$322)+$F2082*(AD$324-AD$325))</f>
        <v/>
      </c>
      <c r="AE2082" s="42">
        <f>XCARBON($D2082,$E2082,(AE$321-AE$322),$F2082,(AE$324-AE$325))</f>
        <v/>
      </c>
      <c r="AG2082" s="11">
        <f>CodePrefix&amp;$A2082&amp;IF($C2082="","","."&amp;$C2082&amp;"."&amp;$B2082)&amp;INDEX(VarEnd,MATCH($A2082,VarKey,0))&amp;AG$5</f>
        <v/>
      </c>
      <c r="AH2082" s="40">
        <f>$D2082*($E2082*(AH$321-AH$322)+$F2082*(AH$324-AH$325))</f>
        <v/>
      </c>
      <c r="AI2082" s="35">
        <f>$D2082*($E2082*(AI$321-AI$322)+$F2082*(AI$324-AI$325))</f>
        <v/>
      </c>
      <c r="AJ2082" s="35">
        <f>$D2082*($E2082*(AJ$321-AJ$322)+$F2082*(AJ$324-AJ$325))</f>
        <v/>
      </c>
      <c r="AK2082" s="35">
        <f>$D2082*($E2082*(AK$321-AK$322)+$F2082*(AK$324-AK$325))</f>
        <v/>
      </c>
      <c r="AL2082" s="35">
        <f>$D2082*($E2082*(AL$321-AL$322)+$F2082*(AL$324-AL$325))</f>
        <v/>
      </c>
      <c r="AM2082" s="35">
        <f>$D2082*($E2082*(AM$321-AM$322)+$F2082*(AM$324-AM$325))</f>
        <v/>
      </c>
      <c r="AN2082" s="35">
        <f>$D2082*($E2082*(AN$321-AN$322)+$F2082*(AN$324-AN$325))</f>
        <v/>
      </c>
      <c r="AO2082" s="35">
        <f>$D2082*($E2082*(AO$321-AO$322)+$F2082*(AO$324-AO$325))</f>
        <v/>
      </c>
      <c r="AP2082" s="35">
        <f>$D2082*($E2082*(AP$321-AP$322)+$F2082*(AP$324-AP$325))</f>
        <v/>
      </c>
      <c r="AQ2082" s="35">
        <f>$D2082*($E2082*(AQ$321-AQ$322)+$F2082*(AQ$324-AQ$325))</f>
        <v/>
      </c>
      <c r="AR2082" s="35">
        <f>$D2082*($E2082*(AR$321-AR$322)+$F2082*(AR$324-AR$325))</f>
        <v/>
      </c>
      <c r="AS2082" s="35">
        <f>$D2082*($E2082*(AS$321-AS$322)+$F2082*(AS$324-AS$325))</f>
        <v/>
      </c>
      <c r="AT2082" s="35">
        <f>$D2082*($E2082*(AT$321-AT$322)+$F2082*(AT$324-AT$325))</f>
        <v/>
      </c>
      <c r="AU2082" s="35">
        <f>$D2082*($E2082*(AU$321-AU$322)+$F2082*(AU$324-AU$325))</f>
        <v/>
      </c>
      <c r="AV2082" s="35">
        <f>$D2082*($E2082*(AV$321-AV$322)+$F2082*(AV$324-AV$325))</f>
        <v/>
      </c>
      <c r="AW2082" s="35">
        <f>$D2082*($E2082*(AW$321-AW$322)+$F2082*(AW$324-AW$325))</f>
        <v/>
      </c>
      <c r="AX2082" s="35">
        <f>$D2082*($E2082*(AX$321-AX$322)+$F2082*(AX$324-AX$325))</f>
        <v/>
      </c>
      <c r="AY2082" s="35">
        <f>$D2082*($E2082*(AY$321-AY$322)+$F2082*(AY$324-AY$325))</f>
        <v/>
      </c>
      <c r="AZ2082" s="35">
        <f>$D2082*($E2082*(AZ$321-AZ$322)+$F2082*(AZ$324-AZ$325))</f>
        <v/>
      </c>
      <c r="BA2082" s="42">
        <f>XCARBON($D2082,$E2082,(BA$321-BA$322),$F2082,(BA$324-BA$325))</f>
        <v/>
      </c>
    </row>
    <row r="2083" hidden="1" outlineLevel="2">
      <c r="A2083" s="14" t="inlineStr">
        <is>
          <t>xcpd</t>
        </is>
      </c>
      <c r="B2083" s="14" t="inlineStr">
        <is>
          <t>nga</t>
        </is>
      </c>
      <c r="C2083" s="14" t="inlineStr">
        <is>
          <t>irn</t>
        </is>
      </c>
      <c r="D2083" s="35">
        <f>INDEX(Inputs!$W$5:$W$132,MATCH($B2083&amp;"|"&amp;$C2083,Inputs!$A$5:$A$132,0))</f>
        <v/>
      </c>
      <c r="E2083" s="35">
        <f>INDEX(Inputs!$Z$5:$Z$132,MATCH($B2083&amp;"|"&amp;$C2083,Inputs!$A$5:$A$132,0))</f>
        <v/>
      </c>
      <c r="F2083" s="35">
        <f>INDEX(Inputs!$AA$5:$AA$132,MATCH($B2083&amp;"|"&amp;$C2083,Inputs!$A$5:$A$132,0))</f>
        <v/>
      </c>
      <c r="G2083" s="39" t="n"/>
      <c r="H2083" s="14">
        <f>INDEX(VarLab,MATCH($A2083,VarKey,0))&amp;INDEX(MemLab,MATCH($C2083&amp;"|"&amp;$B2083,MemKey,0))</f>
        <v/>
      </c>
      <c r="I2083" s="14">
        <f>INDEX(VarUnit,MATCH($A2083,VarKey,0))</f>
        <v/>
      </c>
      <c r="J2083" s="14">
        <f>INDEX(VarSrc,MATCH($A2083,VarKey,0))</f>
        <v/>
      </c>
      <c r="K2083" s="11">
        <f>CodePrefix&amp;$A2083&amp;IF($C2083="","","."&amp;$C2083&amp;"."&amp;$B2083)&amp;INDEX(VarEnd,MATCH($A2083,VarKey,0))&amp;K$5</f>
        <v/>
      </c>
      <c r="L2083" s="40">
        <f>$D2083*($E2083*(L$321-L$322)+$F2083*(L$324-L$325))</f>
        <v/>
      </c>
      <c r="M2083" s="35">
        <f>$D2083*($E2083*(M$321-M$322)+$F2083*(M$324-M$325))</f>
        <v/>
      </c>
      <c r="N2083" s="35">
        <f>$D2083*($E2083*(N$321-N$322)+$F2083*(N$324-N$325))</f>
        <v/>
      </c>
      <c r="O2083" s="35">
        <f>$D2083*($E2083*(O$321-O$322)+$F2083*(O$324-O$325))</f>
        <v/>
      </c>
      <c r="P2083" s="35">
        <f>$D2083*($E2083*(P$321-P$322)+$F2083*(P$324-P$325))</f>
        <v/>
      </c>
      <c r="Q2083" s="35">
        <f>$D2083*($E2083*(Q$321-Q$322)+$F2083*(Q$324-Q$325))</f>
        <v/>
      </c>
      <c r="R2083" s="35">
        <f>$D2083*($E2083*(R$321-R$322)+$F2083*(R$324-R$325))</f>
        <v/>
      </c>
      <c r="S2083" s="35">
        <f>$D2083*($E2083*(S$321-S$322)+$F2083*(S$324-S$325))</f>
        <v/>
      </c>
      <c r="T2083" s="35">
        <f>$D2083*($E2083*(T$321-T$322)+$F2083*(T$324-T$325))</f>
        <v/>
      </c>
      <c r="U2083" s="35">
        <f>$D2083*($E2083*(U$321-U$322)+$F2083*(U$324-U$325))</f>
        <v/>
      </c>
      <c r="V2083" s="35">
        <f>$D2083*($E2083*(V$321-V$322)+$F2083*(V$324-V$325))</f>
        <v/>
      </c>
      <c r="W2083" s="35">
        <f>$D2083*($E2083*(W$321-W$322)+$F2083*(W$324-W$325))</f>
        <v/>
      </c>
      <c r="X2083" s="35">
        <f>$D2083*($E2083*(X$321-X$322)+$F2083*(X$324-X$325))</f>
        <v/>
      </c>
      <c r="Y2083" s="35">
        <f>$D2083*($E2083*(Y$321-Y$322)+$F2083*(Y$324-Y$325))</f>
        <v/>
      </c>
      <c r="Z2083" s="35">
        <f>$D2083*($E2083*(Z$321-Z$322)+$F2083*(Z$324-Z$325))</f>
        <v/>
      </c>
      <c r="AA2083" s="35">
        <f>$D2083*($E2083*(AA$321-AA$322)+$F2083*(AA$324-AA$325))</f>
        <v/>
      </c>
      <c r="AB2083" s="35">
        <f>$D2083*($E2083*(AB$321-AB$322)+$F2083*(AB$324-AB$325))</f>
        <v/>
      </c>
      <c r="AC2083" s="35">
        <f>$D2083*($E2083*(AC$321-AC$322)+$F2083*(AC$324-AC$325))</f>
        <v/>
      </c>
      <c r="AD2083" s="35">
        <f>$D2083*($E2083*(AD$321-AD$322)+$F2083*(AD$324-AD$325))</f>
        <v/>
      </c>
      <c r="AE2083" s="42">
        <f>XCARBON($D2083,$E2083,(AE$321-AE$322),$F2083,(AE$324-AE$325))</f>
        <v/>
      </c>
      <c r="AG2083" s="11">
        <f>CodePrefix&amp;$A2083&amp;IF($C2083="","","."&amp;$C2083&amp;"."&amp;$B2083)&amp;INDEX(VarEnd,MATCH($A2083,VarKey,0))&amp;AG$5</f>
        <v/>
      </c>
      <c r="AH2083" s="40">
        <f>$D2083*($E2083*(AH$321-AH$322)+$F2083*(AH$324-AH$325))</f>
        <v/>
      </c>
      <c r="AI2083" s="35">
        <f>$D2083*($E2083*(AI$321-AI$322)+$F2083*(AI$324-AI$325))</f>
        <v/>
      </c>
      <c r="AJ2083" s="35">
        <f>$D2083*($E2083*(AJ$321-AJ$322)+$F2083*(AJ$324-AJ$325))</f>
        <v/>
      </c>
      <c r="AK2083" s="35">
        <f>$D2083*($E2083*(AK$321-AK$322)+$F2083*(AK$324-AK$325))</f>
        <v/>
      </c>
      <c r="AL2083" s="35">
        <f>$D2083*($E2083*(AL$321-AL$322)+$F2083*(AL$324-AL$325))</f>
        <v/>
      </c>
      <c r="AM2083" s="35">
        <f>$D2083*($E2083*(AM$321-AM$322)+$F2083*(AM$324-AM$325))</f>
        <v/>
      </c>
      <c r="AN2083" s="35">
        <f>$D2083*($E2083*(AN$321-AN$322)+$F2083*(AN$324-AN$325))</f>
        <v/>
      </c>
      <c r="AO2083" s="35">
        <f>$D2083*($E2083*(AO$321-AO$322)+$F2083*(AO$324-AO$325))</f>
        <v/>
      </c>
      <c r="AP2083" s="35">
        <f>$D2083*($E2083*(AP$321-AP$322)+$F2083*(AP$324-AP$325))</f>
        <v/>
      </c>
      <c r="AQ2083" s="35">
        <f>$D2083*($E2083*(AQ$321-AQ$322)+$F2083*(AQ$324-AQ$325))</f>
        <v/>
      </c>
      <c r="AR2083" s="35">
        <f>$D2083*($E2083*(AR$321-AR$322)+$F2083*(AR$324-AR$325))</f>
        <v/>
      </c>
      <c r="AS2083" s="35">
        <f>$D2083*($E2083*(AS$321-AS$322)+$F2083*(AS$324-AS$325))</f>
        <v/>
      </c>
      <c r="AT2083" s="35">
        <f>$D2083*($E2083*(AT$321-AT$322)+$F2083*(AT$324-AT$325))</f>
        <v/>
      </c>
      <c r="AU2083" s="35">
        <f>$D2083*($E2083*(AU$321-AU$322)+$F2083*(AU$324-AU$325))</f>
        <v/>
      </c>
      <c r="AV2083" s="35">
        <f>$D2083*($E2083*(AV$321-AV$322)+$F2083*(AV$324-AV$325))</f>
        <v/>
      </c>
      <c r="AW2083" s="35">
        <f>$D2083*($E2083*(AW$321-AW$322)+$F2083*(AW$324-AW$325))</f>
        <v/>
      </c>
      <c r="AX2083" s="35">
        <f>$D2083*($E2083*(AX$321-AX$322)+$F2083*(AX$324-AX$325))</f>
        <v/>
      </c>
      <c r="AY2083" s="35">
        <f>$D2083*($E2083*(AY$321-AY$322)+$F2083*(AY$324-AY$325))</f>
        <v/>
      </c>
      <c r="AZ2083" s="35">
        <f>$D2083*($E2083*(AZ$321-AZ$322)+$F2083*(AZ$324-AZ$325))</f>
        <v/>
      </c>
      <c r="BA2083" s="42">
        <f>XCARBON($D2083,$E2083,(BA$321-BA$322),$F2083,(BA$324-BA$325))</f>
        <v/>
      </c>
    </row>
    <row r="2084" hidden="1" outlineLevel="2">
      <c r="A2084" s="14" t="inlineStr">
        <is>
          <t>xcpd</t>
        </is>
      </c>
      <c r="B2084" s="14" t="inlineStr">
        <is>
          <t>gso</t>
        </is>
      </c>
      <c r="C2084" s="14" t="inlineStr">
        <is>
          <t>irn</t>
        </is>
      </c>
      <c r="D2084" s="35">
        <f>INDEX(Inputs!$W$5:$W$132,MATCH($B2084&amp;"|"&amp;$C2084,Inputs!$A$5:$A$132,0))</f>
        <v/>
      </c>
      <c r="E2084" s="35">
        <f>INDEX(Inputs!$Z$5:$Z$132,MATCH($B2084&amp;"|"&amp;$C2084,Inputs!$A$5:$A$132,0))</f>
        <v/>
      </c>
      <c r="F2084" s="35">
        <f>INDEX(Inputs!$AA$5:$AA$132,MATCH($B2084&amp;"|"&amp;$C2084,Inputs!$A$5:$A$132,0))</f>
        <v/>
      </c>
      <c r="G2084" s="39" t="n"/>
      <c r="H2084" s="14">
        <f>INDEX(VarLab,MATCH($A2084,VarKey,0))&amp;INDEX(MemLab,MATCH($C2084&amp;"|"&amp;$B2084,MemKey,0))</f>
        <v/>
      </c>
      <c r="I2084" s="14">
        <f>INDEX(VarUnit,MATCH($A2084,VarKey,0))</f>
        <v/>
      </c>
      <c r="J2084" s="14">
        <f>INDEX(VarSrc,MATCH($A2084,VarKey,0))</f>
        <v/>
      </c>
      <c r="K2084" s="11">
        <f>CodePrefix&amp;$A2084&amp;IF($C2084="","","."&amp;$C2084&amp;"."&amp;$B2084)&amp;INDEX(VarEnd,MATCH($A2084,VarKey,0))&amp;K$5</f>
        <v/>
      </c>
      <c r="L2084" s="40">
        <f>$D2084*($E2084*(L$321-L$322)+$F2084*(L$324-L$325))</f>
        <v/>
      </c>
      <c r="M2084" s="35">
        <f>$D2084*($E2084*(M$321-M$322)+$F2084*(M$324-M$325))</f>
        <v/>
      </c>
      <c r="N2084" s="35">
        <f>$D2084*($E2084*(N$321-N$322)+$F2084*(N$324-N$325))</f>
        <v/>
      </c>
      <c r="O2084" s="35">
        <f>$D2084*($E2084*(O$321-O$322)+$F2084*(O$324-O$325))</f>
        <v/>
      </c>
      <c r="P2084" s="35">
        <f>$D2084*($E2084*(P$321-P$322)+$F2084*(P$324-P$325))</f>
        <v/>
      </c>
      <c r="Q2084" s="35">
        <f>$D2084*($E2084*(Q$321-Q$322)+$F2084*(Q$324-Q$325))</f>
        <v/>
      </c>
      <c r="R2084" s="35">
        <f>$D2084*($E2084*(R$321-R$322)+$F2084*(R$324-R$325))</f>
        <v/>
      </c>
      <c r="S2084" s="35">
        <f>$D2084*($E2084*(S$321-S$322)+$F2084*(S$324-S$325))</f>
        <v/>
      </c>
      <c r="T2084" s="35">
        <f>$D2084*($E2084*(T$321-T$322)+$F2084*(T$324-T$325))</f>
        <v/>
      </c>
      <c r="U2084" s="35">
        <f>$D2084*($E2084*(U$321-U$322)+$F2084*(U$324-U$325))</f>
        <v/>
      </c>
      <c r="V2084" s="35">
        <f>$D2084*($E2084*(V$321-V$322)+$F2084*(V$324-V$325))</f>
        <v/>
      </c>
      <c r="W2084" s="35">
        <f>$D2084*($E2084*(W$321-W$322)+$F2084*(W$324-W$325))</f>
        <v/>
      </c>
      <c r="X2084" s="35">
        <f>$D2084*($E2084*(X$321-X$322)+$F2084*(X$324-X$325))</f>
        <v/>
      </c>
      <c r="Y2084" s="35">
        <f>$D2084*($E2084*(Y$321-Y$322)+$F2084*(Y$324-Y$325))</f>
        <v/>
      </c>
      <c r="Z2084" s="35">
        <f>$D2084*($E2084*(Z$321-Z$322)+$F2084*(Z$324-Z$325))</f>
        <v/>
      </c>
      <c r="AA2084" s="35">
        <f>$D2084*($E2084*(AA$321-AA$322)+$F2084*(AA$324-AA$325))</f>
        <v/>
      </c>
      <c r="AB2084" s="35">
        <f>$D2084*($E2084*(AB$321-AB$322)+$F2084*(AB$324-AB$325))</f>
        <v/>
      </c>
      <c r="AC2084" s="35">
        <f>$D2084*($E2084*(AC$321-AC$322)+$F2084*(AC$324-AC$325))</f>
        <v/>
      </c>
      <c r="AD2084" s="35">
        <f>$D2084*($E2084*(AD$321-AD$322)+$F2084*(AD$324-AD$325))</f>
        <v/>
      </c>
      <c r="AE2084" s="42">
        <f>XCARBON($D2084,$E2084,(AE$321-AE$322),$F2084,(AE$324-AE$325))</f>
        <v/>
      </c>
      <c r="AG2084" s="11">
        <f>CodePrefix&amp;$A2084&amp;IF($C2084="","","."&amp;$C2084&amp;"."&amp;$B2084)&amp;INDEX(VarEnd,MATCH($A2084,VarKey,0))&amp;AG$5</f>
        <v/>
      </c>
      <c r="AH2084" s="40">
        <f>$D2084*($E2084*(AH$321-AH$322)+$F2084*(AH$324-AH$325))</f>
        <v/>
      </c>
      <c r="AI2084" s="35">
        <f>$D2084*($E2084*(AI$321-AI$322)+$F2084*(AI$324-AI$325))</f>
        <v/>
      </c>
      <c r="AJ2084" s="35">
        <f>$D2084*($E2084*(AJ$321-AJ$322)+$F2084*(AJ$324-AJ$325))</f>
        <v/>
      </c>
      <c r="AK2084" s="35">
        <f>$D2084*($E2084*(AK$321-AK$322)+$F2084*(AK$324-AK$325))</f>
        <v/>
      </c>
      <c r="AL2084" s="35">
        <f>$D2084*($E2084*(AL$321-AL$322)+$F2084*(AL$324-AL$325))</f>
        <v/>
      </c>
      <c r="AM2084" s="35">
        <f>$D2084*($E2084*(AM$321-AM$322)+$F2084*(AM$324-AM$325))</f>
        <v/>
      </c>
      <c r="AN2084" s="35">
        <f>$D2084*($E2084*(AN$321-AN$322)+$F2084*(AN$324-AN$325))</f>
        <v/>
      </c>
      <c r="AO2084" s="35">
        <f>$D2084*($E2084*(AO$321-AO$322)+$F2084*(AO$324-AO$325))</f>
        <v/>
      </c>
      <c r="AP2084" s="35">
        <f>$D2084*($E2084*(AP$321-AP$322)+$F2084*(AP$324-AP$325))</f>
        <v/>
      </c>
      <c r="AQ2084" s="35">
        <f>$D2084*($E2084*(AQ$321-AQ$322)+$F2084*(AQ$324-AQ$325))</f>
        <v/>
      </c>
      <c r="AR2084" s="35">
        <f>$D2084*($E2084*(AR$321-AR$322)+$F2084*(AR$324-AR$325))</f>
        <v/>
      </c>
      <c r="AS2084" s="35">
        <f>$D2084*($E2084*(AS$321-AS$322)+$F2084*(AS$324-AS$325))</f>
        <v/>
      </c>
      <c r="AT2084" s="35">
        <f>$D2084*($E2084*(AT$321-AT$322)+$F2084*(AT$324-AT$325))</f>
        <v/>
      </c>
      <c r="AU2084" s="35">
        <f>$D2084*($E2084*(AU$321-AU$322)+$F2084*(AU$324-AU$325))</f>
        <v/>
      </c>
      <c r="AV2084" s="35">
        <f>$D2084*($E2084*(AV$321-AV$322)+$F2084*(AV$324-AV$325))</f>
        <v/>
      </c>
      <c r="AW2084" s="35">
        <f>$D2084*($E2084*(AW$321-AW$322)+$F2084*(AW$324-AW$325))</f>
        <v/>
      </c>
      <c r="AX2084" s="35">
        <f>$D2084*($E2084*(AX$321-AX$322)+$F2084*(AX$324-AX$325))</f>
        <v/>
      </c>
      <c r="AY2084" s="35">
        <f>$D2084*($E2084*(AY$321-AY$322)+$F2084*(AY$324-AY$325))</f>
        <v/>
      </c>
      <c r="AZ2084" s="35">
        <f>$D2084*($E2084*(AZ$321-AZ$322)+$F2084*(AZ$324-AZ$325))</f>
        <v/>
      </c>
      <c r="BA2084" s="42">
        <f>XCARBON($D2084,$E2084,(BA$321-BA$322),$F2084,(BA$324-BA$325))</f>
        <v/>
      </c>
    </row>
    <row r="2085" hidden="1" outlineLevel="2">
      <c r="A2085" s="14" t="inlineStr">
        <is>
          <t>xcpd</t>
        </is>
      </c>
      <c r="B2085" s="14" t="inlineStr">
        <is>
          <t>die</t>
        </is>
      </c>
      <c r="C2085" s="14" t="inlineStr">
        <is>
          <t>irn</t>
        </is>
      </c>
      <c r="D2085" s="35">
        <f>INDEX(Inputs!$W$5:$W$132,MATCH($B2085&amp;"|"&amp;$C2085,Inputs!$A$5:$A$132,0))</f>
        <v/>
      </c>
      <c r="E2085" s="35">
        <f>INDEX(Inputs!$Z$5:$Z$132,MATCH($B2085&amp;"|"&amp;$C2085,Inputs!$A$5:$A$132,0))</f>
        <v/>
      </c>
      <c r="F2085" s="35">
        <f>INDEX(Inputs!$AA$5:$AA$132,MATCH($B2085&amp;"|"&amp;$C2085,Inputs!$A$5:$A$132,0))</f>
        <v/>
      </c>
      <c r="G2085" s="39" t="n"/>
      <c r="H2085" s="14">
        <f>INDEX(VarLab,MATCH($A2085,VarKey,0))&amp;INDEX(MemLab,MATCH($C2085&amp;"|"&amp;$B2085,MemKey,0))</f>
        <v/>
      </c>
      <c r="I2085" s="14">
        <f>INDEX(VarUnit,MATCH($A2085,VarKey,0))</f>
        <v/>
      </c>
      <c r="J2085" s="14">
        <f>INDEX(VarSrc,MATCH($A2085,VarKey,0))</f>
        <v/>
      </c>
      <c r="K2085" s="11">
        <f>CodePrefix&amp;$A2085&amp;IF($C2085="","","."&amp;$C2085&amp;"."&amp;$B2085)&amp;INDEX(VarEnd,MATCH($A2085,VarKey,0))&amp;K$5</f>
        <v/>
      </c>
      <c r="L2085" s="40">
        <f>$D2085*($E2085*(L$321-L$322)+$F2085*(L$324-L$325))</f>
        <v/>
      </c>
      <c r="M2085" s="35">
        <f>$D2085*($E2085*(M$321-M$322)+$F2085*(M$324-M$325))</f>
        <v/>
      </c>
      <c r="N2085" s="35">
        <f>$D2085*($E2085*(N$321-N$322)+$F2085*(N$324-N$325))</f>
        <v/>
      </c>
      <c r="O2085" s="35">
        <f>$D2085*($E2085*(O$321-O$322)+$F2085*(O$324-O$325))</f>
        <v/>
      </c>
      <c r="P2085" s="35">
        <f>$D2085*($E2085*(P$321-P$322)+$F2085*(P$324-P$325))</f>
        <v/>
      </c>
      <c r="Q2085" s="35">
        <f>$D2085*($E2085*(Q$321-Q$322)+$F2085*(Q$324-Q$325))</f>
        <v/>
      </c>
      <c r="R2085" s="35">
        <f>$D2085*($E2085*(R$321-R$322)+$F2085*(R$324-R$325))</f>
        <v/>
      </c>
      <c r="S2085" s="35">
        <f>$D2085*($E2085*(S$321-S$322)+$F2085*(S$324-S$325))</f>
        <v/>
      </c>
      <c r="T2085" s="35">
        <f>$D2085*($E2085*(T$321-T$322)+$F2085*(T$324-T$325))</f>
        <v/>
      </c>
      <c r="U2085" s="35">
        <f>$D2085*($E2085*(U$321-U$322)+$F2085*(U$324-U$325))</f>
        <v/>
      </c>
      <c r="V2085" s="35">
        <f>$D2085*($E2085*(V$321-V$322)+$F2085*(V$324-V$325))</f>
        <v/>
      </c>
      <c r="W2085" s="35">
        <f>$D2085*($E2085*(W$321-W$322)+$F2085*(W$324-W$325))</f>
        <v/>
      </c>
      <c r="X2085" s="35">
        <f>$D2085*($E2085*(X$321-X$322)+$F2085*(X$324-X$325))</f>
        <v/>
      </c>
      <c r="Y2085" s="35">
        <f>$D2085*($E2085*(Y$321-Y$322)+$F2085*(Y$324-Y$325))</f>
        <v/>
      </c>
      <c r="Z2085" s="35">
        <f>$D2085*($E2085*(Z$321-Z$322)+$F2085*(Z$324-Z$325))</f>
        <v/>
      </c>
      <c r="AA2085" s="35">
        <f>$D2085*($E2085*(AA$321-AA$322)+$F2085*(AA$324-AA$325))</f>
        <v/>
      </c>
      <c r="AB2085" s="35">
        <f>$D2085*($E2085*(AB$321-AB$322)+$F2085*(AB$324-AB$325))</f>
        <v/>
      </c>
      <c r="AC2085" s="35">
        <f>$D2085*($E2085*(AC$321-AC$322)+$F2085*(AC$324-AC$325))</f>
        <v/>
      </c>
      <c r="AD2085" s="35">
        <f>$D2085*($E2085*(AD$321-AD$322)+$F2085*(AD$324-AD$325))</f>
        <v/>
      </c>
      <c r="AE2085" s="42">
        <f>XCARBON($D2085,$E2085,(AE$321-AE$322),$F2085,(AE$324-AE$325))</f>
        <v/>
      </c>
      <c r="AG2085" s="11">
        <f>CodePrefix&amp;$A2085&amp;IF($C2085="","","."&amp;$C2085&amp;"."&amp;$B2085)&amp;INDEX(VarEnd,MATCH($A2085,VarKey,0))&amp;AG$5</f>
        <v/>
      </c>
      <c r="AH2085" s="40">
        <f>$D2085*($E2085*(AH$321-AH$322)+$F2085*(AH$324-AH$325))</f>
        <v/>
      </c>
      <c r="AI2085" s="35">
        <f>$D2085*($E2085*(AI$321-AI$322)+$F2085*(AI$324-AI$325))</f>
        <v/>
      </c>
      <c r="AJ2085" s="35">
        <f>$D2085*($E2085*(AJ$321-AJ$322)+$F2085*(AJ$324-AJ$325))</f>
        <v/>
      </c>
      <c r="AK2085" s="35">
        <f>$D2085*($E2085*(AK$321-AK$322)+$F2085*(AK$324-AK$325))</f>
        <v/>
      </c>
      <c r="AL2085" s="35">
        <f>$D2085*($E2085*(AL$321-AL$322)+$F2085*(AL$324-AL$325))</f>
        <v/>
      </c>
      <c r="AM2085" s="35">
        <f>$D2085*($E2085*(AM$321-AM$322)+$F2085*(AM$324-AM$325))</f>
        <v/>
      </c>
      <c r="AN2085" s="35">
        <f>$D2085*($E2085*(AN$321-AN$322)+$F2085*(AN$324-AN$325))</f>
        <v/>
      </c>
      <c r="AO2085" s="35">
        <f>$D2085*($E2085*(AO$321-AO$322)+$F2085*(AO$324-AO$325))</f>
        <v/>
      </c>
      <c r="AP2085" s="35">
        <f>$D2085*($E2085*(AP$321-AP$322)+$F2085*(AP$324-AP$325))</f>
        <v/>
      </c>
      <c r="AQ2085" s="35">
        <f>$D2085*($E2085*(AQ$321-AQ$322)+$F2085*(AQ$324-AQ$325))</f>
        <v/>
      </c>
      <c r="AR2085" s="35">
        <f>$D2085*($E2085*(AR$321-AR$322)+$F2085*(AR$324-AR$325))</f>
        <v/>
      </c>
      <c r="AS2085" s="35">
        <f>$D2085*($E2085*(AS$321-AS$322)+$F2085*(AS$324-AS$325))</f>
        <v/>
      </c>
      <c r="AT2085" s="35">
        <f>$D2085*($E2085*(AT$321-AT$322)+$F2085*(AT$324-AT$325))</f>
        <v/>
      </c>
      <c r="AU2085" s="35">
        <f>$D2085*($E2085*(AU$321-AU$322)+$F2085*(AU$324-AU$325))</f>
        <v/>
      </c>
      <c r="AV2085" s="35">
        <f>$D2085*($E2085*(AV$321-AV$322)+$F2085*(AV$324-AV$325))</f>
        <v/>
      </c>
      <c r="AW2085" s="35">
        <f>$D2085*($E2085*(AW$321-AW$322)+$F2085*(AW$324-AW$325))</f>
        <v/>
      </c>
      <c r="AX2085" s="35">
        <f>$D2085*($E2085*(AX$321-AX$322)+$F2085*(AX$324-AX$325))</f>
        <v/>
      </c>
      <c r="AY2085" s="35">
        <f>$D2085*($E2085*(AY$321-AY$322)+$F2085*(AY$324-AY$325))</f>
        <v/>
      </c>
      <c r="AZ2085" s="35">
        <f>$D2085*($E2085*(AZ$321-AZ$322)+$F2085*(AZ$324-AZ$325))</f>
        <v/>
      </c>
      <c r="BA2085" s="42">
        <f>XCARBON($D2085,$E2085,(BA$321-BA$322),$F2085,(BA$324-BA$325))</f>
        <v/>
      </c>
    </row>
    <row r="2086" hidden="1" outlineLevel="2">
      <c r="A2086" s="14" t="inlineStr">
        <is>
          <t>xcpd</t>
        </is>
      </c>
      <c r="B2086" s="14" t="inlineStr">
        <is>
          <t>lpg</t>
        </is>
      </c>
      <c r="C2086" s="14" t="inlineStr">
        <is>
          <t>irn</t>
        </is>
      </c>
      <c r="D2086" s="35">
        <f>INDEX(Inputs!$W$5:$W$132,MATCH($B2086&amp;"|"&amp;$C2086,Inputs!$A$5:$A$132,0))</f>
        <v/>
      </c>
      <c r="E2086" s="35">
        <f>INDEX(Inputs!$Z$5:$Z$132,MATCH($B2086&amp;"|"&amp;$C2086,Inputs!$A$5:$A$132,0))</f>
        <v/>
      </c>
      <c r="F2086" s="35">
        <f>INDEX(Inputs!$AA$5:$AA$132,MATCH($B2086&amp;"|"&amp;$C2086,Inputs!$A$5:$A$132,0))</f>
        <v/>
      </c>
      <c r="G2086" s="39" t="n"/>
      <c r="H2086" s="14">
        <f>INDEX(VarLab,MATCH($A2086,VarKey,0))&amp;INDEX(MemLab,MATCH($C2086&amp;"|"&amp;$B2086,MemKey,0))</f>
        <v/>
      </c>
      <c r="I2086" s="14">
        <f>INDEX(VarUnit,MATCH($A2086,VarKey,0))</f>
        <v/>
      </c>
      <c r="J2086" s="14">
        <f>INDEX(VarSrc,MATCH($A2086,VarKey,0))</f>
        <v/>
      </c>
      <c r="K2086" s="11">
        <f>CodePrefix&amp;$A2086&amp;IF($C2086="","","."&amp;$C2086&amp;"."&amp;$B2086)&amp;INDEX(VarEnd,MATCH($A2086,VarKey,0))&amp;K$5</f>
        <v/>
      </c>
      <c r="L2086" s="40">
        <f>$D2086*($E2086*(L$321-L$322)+$F2086*(L$324-L$325))</f>
        <v/>
      </c>
      <c r="M2086" s="35">
        <f>$D2086*($E2086*(M$321-M$322)+$F2086*(M$324-M$325))</f>
        <v/>
      </c>
      <c r="N2086" s="35">
        <f>$D2086*($E2086*(N$321-N$322)+$F2086*(N$324-N$325))</f>
        <v/>
      </c>
      <c r="O2086" s="35">
        <f>$D2086*($E2086*(O$321-O$322)+$F2086*(O$324-O$325))</f>
        <v/>
      </c>
      <c r="P2086" s="35">
        <f>$D2086*($E2086*(P$321-P$322)+$F2086*(P$324-P$325))</f>
        <v/>
      </c>
      <c r="Q2086" s="35">
        <f>$D2086*($E2086*(Q$321-Q$322)+$F2086*(Q$324-Q$325))</f>
        <v/>
      </c>
      <c r="R2086" s="35">
        <f>$D2086*($E2086*(R$321-R$322)+$F2086*(R$324-R$325))</f>
        <v/>
      </c>
      <c r="S2086" s="35">
        <f>$D2086*($E2086*(S$321-S$322)+$F2086*(S$324-S$325))</f>
        <v/>
      </c>
      <c r="T2086" s="35">
        <f>$D2086*($E2086*(T$321-T$322)+$F2086*(T$324-T$325))</f>
        <v/>
      </c>
      <c r="U2086" s="35">
        <f>$D2086*($E2086*(U$321-U$322)+$F2086*(U$324-U$325))</f>
        <v/>
      </c>
      <c r="V2086" s="35">
        <f>$D2086*($E2086*(V$321-V$322)+$F2086*(V$324-V$325))</f>
        <v/>
      </c>
      <c r="W2086" s="35">
        <f>$D2086*($E2086*(W$321-W$322)+$F2086*(W$324-W$325))</f>
        <v/>
      </c>
      <c r="X2086" s="35">
        <f>$D2086*($E2086*(X$321-X$322)+$F2086*(X$324-X$325))</f>
        <v/>
      </c>
      <c r="Y2086" s="35">
        <f>$D2086*($E2086*(Y$321-Y$322)+$F2086*(Y$324-Y$325))</f>
        <v/>
      </c>
      <c r="Z2086" s="35">
        <f>$D2086*($E2086*(Z$321-Z$322)+$F2086*(Z$324-Z$325))</f>
        <v/>
      </c>
      <c r="AA2086" s="35">
        <f>$D2086*($E2086*(AA$321-AA$322)+$F2086*(AA$324-AA$325))</f>
        <v/>
      </c>
      <c r="AB2086" s="35">
        <f>$D2086*($E2086*(AB$321-AB$322)+$F2086*(AB$324-AB$325))</f>
        <v/>
      </c>
      <c r="AC2086" s="35">
        <f>$D2086*($E2086*(AC$321-AC$322)+$F2086*(AC$324-AC$325))</f>
        <v/>
      </c>
      <c r="AD2086" s="35">
        <f>$D2086*($E2086*(AD$321-AD$322)+$F2086*(AD$324-AD$325))</f>
        <v/>
      </c>
      <c r="AE2086" s="42">
        <f>XCARBON($D2086,$E2086,(AE$321-AE$322),$F2086,(AE$324-AE$325))</f>
        <v/>
      </c>
      <c r="AG2086" s="11">
        <f>CodePrefix&amp;$A2086&amp;IF($C2086="","","."&amp;$C2086&amp;"."&amp;$B2086)&amp;INDEX(VarEnd,MATCH($A2086,VarKey,0))&amp;AG$5</f>
        <v/>
      </c>
      <c r="AH2086" s="40">
        <f>$D2086*($E2086*(AH$321-AH$322)+$F2086*(AH$324-AH$325))</f>
        <v/>
      </c>
      <c r="AI2086" s="35">
        <f>$D2086*($E2086*(AI$321-AI$322)+$F2086*(AI$324-AI$325))</f>
        <v/>
      </c>
      <c r="AJ2086" s="35">
        <f>$D2086*($E2086*(AJ$321-AJ$322)+$F2086*(AJ$324-AJ$325))</f>
        <v/>
      </c>
      <c r="AK2086" s="35">
        <f>$D2086*($E2086*(AK$321-AK$322)+$F2086*(AK$324-AK$325))</f>
        <v/>
      </c>
      <c r="AL2086" s="35">
        <f>$D2086*($E2086*(AL$321-AL$322)+$F2086*(AL$324-AL$325))</f>
        <v/>
      </c>
      <c r="AM2086" s="35">
        <f>$D2086*($E2086*(AM$321-AM$322)+$F2086*(AM$324-AM$325))</f>
        <v/>
      </c>
      <c r="AN2086" s="35">
        <f>$D2086*($E2086*(AN$321-AN$322)+$F2086*(AN$324-AN$325))</f>
        <v/>
      </c>
      <c r="AO2086" s="35">
        <f>$D2086*($E2086*(AO$321-AO$322)+$F2086*(AO$324-AO$325))</f>
        <v/>
      </c>
      <c r="AP2086" s="35">
        <f>$D2086*($E2086*(AP$321-AP$322)+$F2086*(AP$324-AP$325))</f>
        <v/>
      </c>
      <c r="AQ2086" s="35">
        <f>$D2086*($E2086*(AQ$321-AQ$322)+$F2086*(AQ$324-AQ$325))</f>
        <v/>
      </c>
      <c r="AR2086" s="35">
        <f>$D2086*($E2086*(AR$321-AR$322)+$F2086*(AR$324-AR$325))</f>
        <v/>
      </c>
      <c r="AS2086" s="35">
        <f>$D2086*($E2086*(AS$321-AS$322)+$F2086*(AS$324-AS$325))</f>
        <v/>
      </c>
      <c r="AT2086" s="35">
        <f>$D2086*($E2086*(AT$321-AT$322)+$F2086*(AT$324-AT$325))</f>
        <v/>
      </c>
      <c r="AU2086" s="35">
        <f>$D2086*($E2086*(AU$321-AU$322)+$F2086*(AU$324-AU$325))</f>
        <v/>
      </c>
      <c r="AV2086" s="35">
        <f>$D2086*($E2086*(AV$321-AV$322)+$F2086*(AV$324-AV$325))</f>
        <v/>
      </c>
      <c r="AW2086" s="35">
        <f>$D2086*($E2086*(AW$321-AW$322)+$F2086*(AW$324-AW$325))</f>
        <v/>
      </c>
      <c r="AX2086" s="35">
        <f>$D2086*($E2086*(AX$321-AX$322)+$F2086*(AX$324-AX$325))</f>
        <v/>
      </c>
      <c r="AY2086" s="35">
        <f>$D2086*($E2086*(AY$321-AY$322)+$F2086*(AY$324-AY$325))</f>
        <v/>
      </c>
      <c r="AZ2086" s="35">
        <f>$D2086*($E2086*(AZ$321-AZ$322)+$F2086*(AZ$324-AZ$325))</f>
        <v/>
      </c>
      <c r="BA2086" s="42">
        <f>XCARBON($D2086,$E2086,(BA$321-BA$322),$F2086,(BA$324-BA$325))</f>
        <v/>
      </c>
    </row>
    <row r="2087" hidden="1" outlineLevel="2">
      <c r="A2087" s="14" t="inlineStr">
        <is>
          <t>xcpd</t>
        </is>
      </c>
      <c r="B2087" s="14" t="inlineStr">
        <is>
          <t>ker</t>
        </is>
      </c>
      <c r="C2087" s="14" t="inlineStr">
        <is>
          <t>irn</t>
        </is>
      </c>
      <c r="D2087" s="35">
        <f>INDEX(Inputs!$W$5:$W$132,MATCH($B2087&amp;"|"&amp;$C2087,Inputs!$A$5:$A$132,0))</f>
        <v/>
      </c>
      <c r="E2087" s="35">
        <f>INDEX(Inputs!$Z$5:$Z$132,MATCH($B2087&amp;"|"&amp;$C2087,Inputs!$A$5:$A$132,0))</f>
        <v/>
      </c>
      <c r="F2087" s="35">
        <f>INDEX(Inputs!$AA$5:$AA$132,MATCH($B2087&amp;"|"&amp;$C2087,Inputs!$A$5:$A$132,0))</f>
        <v/>
      </c>
      <c r="G2087" s="39" t="n"/>
      <c r="H2087" s="14">
        <f>INDEX(VarLab,MATCH($A2087,VarKey,0))&amp;INDEX(MemLab,MATCH($C2087&amp;"|"&amp;$B2087,MemKey,0))</f>
        <v/>
      </c>
      <c r="I2087" s="14">
        <f>INDEX(VarUnit,MATCH($A2087,VarKey,0))</f>
        <v/>
      </c>
      <c r="J2087" s="14">
        <f>INDEX(VarSrc,MATCH($A2087,VarKey,0))</f>
        <v/>
      </c>
      <c r="K2087" s="11">
        <f>CodePrefix&amp;$A2087&amp;IF($C2087="","","."&amp;$C2087&amp;"."&amp;$B2087)&amp;INDEX(VarEnd,MATCH($A2087,VarKey,0))&amp;K$5</f>
        <v/>
      </c>
      <c r="L2087" s="40">
        <f>$D2087*($E2087*(L$321-L$322)+$F2087*(L$324-L$325))</f>
        <v/>
      </c>
      <c r="M2087" s="35">
        <f>$D2087*($E2087*(M$321-M$322)+$F2087*(M$324-M$325))</f>
        <v/>
      </c>
      <c r="N2087" s="35">
        <f>$D2087*($E2087*(N$321-N$322)+$F2087*(N$324-N$325))</f>
        <v/>
      </c>
      <c r="O2087" s="35">
        <f>$D2087*($E2087*(O$321-O$322)+$F2087*(O$324-O$325))</f>
        <v/>
      </c>
      <c r="P2087" s="35">
        <f>$D2087*($E2087*(P$321-P$322)+$F2087*(P$324-P$325))</f>
        <v/>
      </c>
      <c r="Q2087" s="35">
        <f>$D2087*($E2087*(Q$321-Q$322)+$F2087*(Q$324-Q$325))</f>
        <v/>
      </c>
      <c r="R2087" s="35">
        <f>$D2087*($E2087*(R$321-R$322)+$F2087*(R$324-R$325))</f>
        <v/>
      </c>
      <c r="S2087" s="35">
        <f>$D2087*($E2087*(S$321-S$322)+$F2087*(S$324-S$325))</f>
        <v/>
      </c>
      <c r="T2087" s="35">
        <f>$D2087*($E2087*(T$321-T$322)+$F2087*(T$324-T$325))</f>
        <v/>
      </c>
      <c r="U2087" s="35">
        <f>$D2087*($E2087*(U$321-U$322)+$F2087*(U$324-U$325))</f>
        <v/>
      </c>
      <c r="V2087" s="35">
        <f>$D2087*($E2087*(V$321-V$322)+$F2087*(V$324-V$325))</f>
        <v/>
      </c>
      <c r="W2087" s="35">
        <f>$D2087*($E2087*(W$321-W$322)+$F2087*(W$324-W$325))</f>
        <v/>
      </c>
      <c r="X2087" s="35">
        <f>$D2087*($E2087*(X$321-X$322)+$F2087*(X$324-X$325))</f>
        <v/>
      </c>
      <c r="Y2087" s="35">
        <f>$D2087*($E2087*(Y$321-Y$322)+$F2087*(Y$324-Y$325))</f>
        <v/>
      </c>
      <c r="Z2087" s="35">
        <f>$D2087*($E2087*(Z$321-Z$322)+$F2087*(Z$324-Z$325))</f>
        <v/>
      </c>
      <c r="AA2087" s="35">
        <f>$D2087*($E2087*(AA$321-AA$322)+$F2087*(AA$324-AA$325))</f>
        <v/>
      </c>
      <c r="AB2087" s="35">
        <f>$D2087*($E2087*(AB$321-AB$322)+$F2087*(AB$324-AB$325))</f>
        <v/>
      </c>
      <c r="AC2087" s="35">
        <f>$D2087*($E2087*(AC$321-AC$322)+$F2087*(AC$324-AC$325))</f>
        <v/>
      </c>
      <c r="AD2087" s="35">
        <f>$D2087*($E2087*(AD$321-AD$322)+$F2087*(AD$324-AD$325))</f>
        <v/>
      </c>
      <c r="AE2087" s="42">
        <f>XCARBON($D2087,$E2087,(AE$321-AE$322),$F2087,(AE$324-AE$325))</f>
        <v/>
      </c>
      <c r="AG2087" s="11">
        <f>CodePrefix&amp;$A2087&amp;IF($C2087="","","."&amp;$C2087&amp;"."&amp;$B2087)&amp;INDEX(VarEnd,MATCH($A2087,VarKey,0))&amp;AG$5</f>
        <v/>
      </c>
      <c r="AH2087" s="40">
        <f>$D2087*($E2087*(AH$321-AH$322)+$F2087*(AH$324-AH$325))</f>
        <v/>
      </c>
      <c r="AI2087" s="35">
        <f>$D2087*($E2087*(AI$321-AI$322)+$F2087*(AI$324-AI$325))</f>
        <v/>
      </c>
      <c r="AJ2087" s="35">
        <f>$D2087*($E2087*(AJ$321-AJ$322)+$F2087*(AJ$324-AJ$325))</f>
        <v/>
      </c>
      <c r="AK2087" s="35">
        <f>$D2087*($E2087*(AK$321-AK$322)+$F2087*(AK$324-AK$325))</f>
        <v/>
      </c>
      <c r="AL2087" s="35">
        <f>$D2087*($E2087*(AL$321-AL$322)+$F2087*(AL$324-AL$325))</f>
        <v/>
      </c>
      <c r="AM2087" s="35">
        <f>$D2087*($E2087*(AM$321-AM$322)+$F2087*(AM$324-AM$325))</f>
        <v/>
      </c>
      <c r="AN2087" s="35">
        <f>$D2087*($E2087*(AN$321-AN$322)+$F2087*(AN$324-AN$325))</f>
        <v/>
      </c>
      <c r="AO2087" s="35">
        <f>$D2087*($E2087*(AO$321-AO$322)+$F2087*(AO$324-AO$325))</f>
        <v/>
      </c>
      <c r="AP2087" s="35">
        <f>$D2087*($E2087*(AP$321-AP$322)+$F2087*(AP$324-AP$325))</f>
        <v/>
      </c>
      <c r="AQ2087" s="35">
        <f>$D2087*($E2087*(AQ$321-AQ$322)+$F2087*(AQ$324-AQ$325))</f>
        <v/>
      </c>
      <c r="AR2087" s="35">
        <f>$D2087*($E2087*(AR$321-AR$322)+$F2087*(AR$324-AR$325))</f>
        <v/>
      </c>
      <c r="AS2087" s="35">
        <f>$D2087*($E2087*(AS$321-AS$322)+$F2087*(AS$324-AS$325))</f>
        <v/>
      </c>
      <c r="AT2087" s="35">
        <f>$D2087*($E2087*(AT$321-AT$322)+$F2087*(AT$324-AT$325))</f>
        <v/>
      </c>
      <c r="AU2087" s="35">
        <f>$D2087*($E2087*(AU$321-AU$322)+$F2087*(AU$324-AU$325))</f>
        <v/>
      </c>
      <c r="AV2087" s="35">
        <f>$D2087*($E2087*(AV$321-AV$322)+$F2087*(AV$324-AV$325))</f>
        <v/>
      </c>
      <c r="AW2087" s="35">
        <f>$D2087*($E2087*(AW$321-AW$322)+$F2087*(AW$324-AW$325))</f>
        <v/>
      </c>
      <c r="AX2087" s="35">
        <f>$D2087*($E2087*(AX$321-AX$322)+$F2087*(AX$324-AX$325))</f>
        <v/>
      </c>
      <c r="AY2087" s="35">
        <f>$D2087*($E2087*(AY$321-AY$322)+$F2087*(AY$324-AY$325))</f>
        <v/>
      </c>
      <c r="AZ2087" s="35">
        <f>$D2087*($E2087*(AZ$321-AZ$322)+$F2087*(AZ$324-AZ$325))</f>
        <v/>
      </c>
      <c r="BA2087" s="42">
        <f>XCARBON($D2087,$E2087,(BA$321-BA$322),$F2087,(BA$324-BA$325))</f>
        <v/>
      </c>
    </row>
    <row r="2088" hidden="1" outlineLevel="2">
      <c r="A2088" s="14" t="inlineStr">
        <is>
          <t>xcpd</t>
        </is>
      </c>
      <c r="B2088" s="14" t="inlineStr">
        <is>
          <t>oop</t>
        </is>
      </c>
      <c r="C2088" s="14" t="inlineStr">
        <is>
          <t>irn</t>
        </is>
      </c>
      <c r="D2088" s="35">
        <f>INDEX(Inputs!$W$5:$W$132,MATCH($B2088&amp;"|"&amp;$C2088,Inputs!$A$5:$A$132,0))</f>
        <v/>
      </c>
      <c r="E2088" s="35">
        <f>INDEX(Inputs!$Z$5:$Z$132,MATCH($B2088&amp;"|"&amp;$C2088,Inputs!$A$5:$A$132,0))</f>
        <v/>
      </c>
      <c r="F2088" s="35">
        <f>INDEX(Inputs!$AA$5:$AA$132,MATCH($B2088&amp;"|"&amp;$C2088,Inputs!$A$5:$A$132,0))</f>
        <v/>
      </c>
      <c r="G2088" s="39" t="n"/>
      <c r="H2088" s="14">
        <f>INDEX(VarLab,MATCH($A2088,VarKey,0))&amp;INDEX(MemLab,MATCH($C2088&amp;"|"&amp;$B2088,MemKey,0))</f>
        <v/>
      </c>
      <c r="I2088" s="14">
        <f>INDEX(VarUnit,MATCH($A2088,VarKey,0))</f>
        <v/>
      </c>
      <c r="J2088" s="14">
        <f>INDEX(VarSrc,MATCH($A2088,VarKey,0))</f>
        <v/>
      </c>
      <c r="K2088" s="11">
        <f>CodePrefix&amp;$A2088&amp;IF($C2088="","","."&amp;$C2088&amp;"."&amp;$B2088)&amp;INDEX(VarEnd,MATCH($A2088,VarKey,0))&amp;K$5</f>
        <v/>
      </c>
      <c r="L2088" s="40">
        <f>$D2088*($E2088*(L$321-L$322)+$F2088*(L$324-L$325))</f>
        <v/>
      </c>
      <c r="M2088" s="35">
        <f>$D2088*($E2088*(M$321-M$322)+$F2088*(M$324-M$325))</f>
        <v/>
      </c>
      <c r="N2088" s="35">
        <f>$D2088*($E2088*(N$321-N$322)+$F2088*(N$324-N$325))</f>
        <v/>
      </c>
      <c r="O2088" s="35">
        <f>$D2088*($E2088*(O$321-O$322)+$F2088*(O$324-O$325))</f>
        <v/>
      </c>
      <c r="P2088" s="35">
        <f>$D2088*($E2088*(P$321-P$322)+$F2088*(P$324-P$325))</f>
        <v/>
      </c>
      <c r="Q2088" s="35">
        <f>$D2088*($E2088*(Q$321-Q$322)+$F2088*(Q$324-Q$325))</f>
        <v/>
      </c>
      <c r="R2088" s="35">
        <f>$D2088*($E2088*(R$321-R$322)+$F2088*(R$324-R$325))</f>
        <v/>
      </c>
      <c r="S2088" s="35">
        <f>$D2088*($E2088*(S$321-S$322)+$F2088*(S$324-S$325))</f>
        <v/>
      </c>
      <c r="T2088" s="35">
        <f>$D2088*($E2088*(T$321-T$322)+$F2088*(T$324-T$325))</f>
        <v/>
      </c>
      <c r="U2088" s="35">
        <f>$D2088*($E2088*(U$321-U$322)+$F2088*(U$324-U$325))</f>
        <v/>
      </c>
      <c r="V2088" s="35">
        <f>$D2088*($E2088*(V$321-V$322)+$F2088*(V$324-V$325))</f>
        <v/>
      </c>
      <c r="W2088" s="35">
        <f>$D2088*($E2088*(W$321-W$322)+$F2088*(W$324-W$325))</f>
        <v/>
      </c>
      <c r="X2088" s="35">
        <f>$D2088*($E2088*(X$321-X$322)+$F2088*(X$324-X$325))</f>
        <v/>
      </c>
      <c r="Y2088" s="35">
        <f>$D2088*($E2088*(Y$321-Y$322)+$F2088*(Y$324-Y$325))</f>
        <v/>
      </c>
      <c r="Z2088" s="35">
        <f>$D2088*($E2088*(Z$321-Z$322)+$F2088*(Z$324-Z$325))</f>
        <v/>
      </c>
      <c r="AA2088" s="35">
        <f>$D2088*($E2088*(AA$321-AA$322)+$F2088*(AA$324-AA$325))</f>
        <v/>
      </c>
      <c r="AB2088" s="35">
        <f>$D2088*($E2088*(AB$321-AB$322)+$F2088*(AB$324-AB$325))</f>
        <v/>
      </c>
      <c r="AC2088" s="35">
        <f>$D2088*($E2088*(AC$321-AC$322)+$F2088*(AC$324-AC$325))</f>
        <v/>
      </c>
      <c r="AD2088" s="35">
        <f>$D2088*($E2088*(AD$321-AD$322)+$F2088*(AD$324-AD$325))</f>
        <v/>
      </c>
      <c r="AE2088" s="42">
        <f>XCARBON($D2088,$E2088,(AE$321-AE$322),$F2088,(AE$324-AE$325))</f>
        <v/>
      </c>
      <c r="AG2088" s="11">
        <f>CodePrefix&amp;$A2088&amp;IF($C2088="","","."&amp;$C2088&amp;"."&amp;$B2088)&amp;INDEX(VarEnd,MATCH($A2088,VarKey,0))&amp;AG$5</f>
        <v/>
      </c>
      <c r="AH2088" s="40">
        <f>$D2088*($E2088*(AH$321-AH$322)+$F2088*(AH$324-AH$325))</f>
        <v/>
      </c>
      <c r="AI2088" s="35">
        <f>$D2088*($E2088*(AI$321-AI$322)+$F2088*(AI$324-AI$325))</f>
        <v/>
      </c>
      <c r="AJ2088" s="35">
        <f>$D2088*($E2088*(AJ$321-AJ$322)+$F2088*(AJ$324-AJ$325))</f>
        <v/>
      </c>
      <c r="AK2088" s="35">
        <f>$D2088*($E2088*(AK$321-AK$322)+$F2088*(AK$324-AK$325))</f>
        <v/>
      </c>
      <c r="AL2088" s="35">
        <f>$D2088*($E2088*(AL$321-AL$322)+$F2088*(AL$324-AL$325))</f>
        <v/>
      </c>
      <c r="AM2088" s="35">
        <f>$D2088*($E2088*(AM$321-AM$322)+$F2088*(AM$324-AM$325))</f>
        <v/>
      </c>
      <c r="AN2088" s="35">
        <f>$D2088*($E2088*(AN$321-AN$322)+$F2088*(AN$324-AN$325))</f>
        <v/>
      </c>
      <c r="AO2088" s="35">
        <f>$D2088*($E2088*(AO$321-AO$322)+$F2088*(AO$324-AO$325))</f>
        <v/>
      </c>
      <c r="AP2088" s="35">
        <f>$D2088*($E2088*(AP$321-AP$322)+$F2088*(AP$324-AP$325))</f>
        <v/>
      </c>
      <c r="AQ2088" s="35">
        <f>$D2088*($E2088*(AQ$321-AQ$322)+$F2088*(AQ$324-AQ$325))</f>
        <v/>
      </c>
      <c r="AR2088" s="35">
        <f>$D2088*($E2088*(AR$321-AR$322)+$F2088*(AR$324-AR$325))</f>
        <v/>
      </c>
      <c r="AS2088" s="35">
        <f>$D2088*($E2088*(AS$321-AS$322)+$F2088*(AS$324-AS$325))</f>
        <v/>
      </c>
      <c r="AT2088" s="35">
        <f>$D2088*($E2088*(AT$321-AT$322)+$F2088*(AT$324-AT$325))</f>
        <v/>
      </c>
      <c r="AU2088" s="35">
        <f>$D2088*($E2088*(AU$321-AU$322)+$F2088*(AU$324-AU$325))</f>
        <v/>
      </c>
      <c r="AV2088" s="35">
        <f>$D2088*($E2088*(AV$321-AV$322)+$F2088*(AV$324-AV$325))</f>
        <v/>
      </c>
      <c r="AW2088" s="35">
        <f>$D2088*($E2088*(AW$321-AW$322)+$F2088*(AW$324-AW$325))</f>
        <v/>
      </c>
      <c r="AX2088" s="35">
        <f>$D2088*($E2088*(AX$321-AX$322)+$F2088*(AX$324-AX$325))</f>
        <v/>
      </c>
      <c r="AY2088" s="35">
        <f>$D2088*($E2088*(AY$321-AY$322)+$F2088*(AY$324-AY$325))</f>
        <v/>
      </c>
      <c r="AZ2088" s="35">
        <f>$D2088*($E2088*(AZ$321-AZ$322)+$F2088*(AZ$324-AZ$325))</f>
        <v/>
      </c>
      <c r="BA2088" s="42">
        <f>XCARBON($D2088,$E2088,(BA$321-BA$322),$F2088,(BA$324-BA$325))</f>
        <v/>
      </c>
    </row>
    <row r="2089" hidden="1" outlineLevel="2">
      <c r="A2089" s="14" t="inlineStr">
        <is>
          <t>xcpd</t>
        </is>
      </c>
      <c r="B2089" s="14" t="inlineStr">
        <is>
          <t>bio</t>
        </is>
      </c>
      <c r="C2089" s="14" t="inlineStr">
        <is>
          <t>irn</t>
        </is>
      </c>
      <c r="D2089" s="35">
        <f>INDEX(Inputs!$W$5:$W$132,MATCH($B2089&amp;"|"&amp;$C2089,Inputs!$A$5:$A$132,0))</f>
        <v/>
      </c>
      <c r="E2089" s="35">
        <f>INDEX(Inputs!$Z$5:$Z$132,MATCH($B2089&amp;"|"&amp;$C2089,Inputs!$A$5:$A$132,0))</f>
        <v/>
      </c>
      <c r="F2089" s="35">
        <f>INDEX(Inputs!$AA$5:$AA$132,MATCH($B2089&amp;"|"&amp;$C2089,Inputs!$A$5:$A$132,0))</f>
        <v/>
      </c>
      <c r="G2089" s="39" t="n"/>
      <c r="H2089" s="14">
        <f>INDEX(VarLab,MATCH($A2089,VarKey,0))&amp;INDEX(MemLab,MATCH($C2089&amp;"|"&amp;$B2089,MemKey,0))</f>
        <v/>
      </c>
      <c r="I2089" s="14">
        <f>INDEX(VarUnit,MATCH($A2089,VarKey,0))</f>
        <v/>
      </c>
      <c r="J2089" s="14">
        <f>INDEX(VarSrc,MATCH($A2089,VarKey,0))</f>
        <v/>
      </c>
      <c r="K2089" s="11">
        <f>CodePrefix&amp;$A2089&amp;IF($C2089="","","."&amp;$C2089&amp;"."&amp;$B2089)&amp;INDEX(VarEnd,MATCH($A2089,VarKey,0))&amp;K$5</f>
        <v/>
      </c>
      <c r="L2089" s="40">
        <f>$D2089*($E2089*(L$321-L$322)+$F2089*(L$324-L$325))</f>
        <v/>
      </c>
      <c r="M2089" s="35">
        <f>$D2089*($E2089*(M$321-M$322)+$F2089*(M$324-M$325))</f>
        <v/>
      </c>
      <c r="N2089" s="35">
        <f>$D2089*($E2089*(N$321-N$322)+$F2089*(N$324-N$325))</f>
        <v/>
      </c>
      <c r="O2089" s="35">
        <f>$D2089*($E2089*(O$321-O$322)+$F2089*(O$324-O$325))</f>
        <v/>
      </c>
      <c r="P2089" s="35">
        <f>$D2089*($E2089*(P$321-P$322)+$F2089*(P$324-P$325))</f>
        <v/>
      </c>
      <c r="Q2089" s="35">
        <f>$D2089*($E2089*(Q$321-Q$322)+$F2089*(Q$324-Q$325))</f>
        <v/>
      </c>
      <c r="R2089" s="35">
        <f>$D2089*($E2089*(R$321-R$322)+$F2089*(R$324-R$325))</f>
        <v/>
      </c>
      <c r="S2089" s="35">
        <f>$D2089*($E2089*(S$321-S$322)+$F2089*(S$324-S$325))</f>
        <v/>
      </c>
      <c r="T2089" s="35">
        <f>$D2089*($E2089*(T$321-T$322)+$F2089*(T$324-T$325))</f>
        <v/>
      </c>
      <c r="U2089" s="35">
        <f>$D2089*($E2089*(U$321-U$322)+$F2089*(U$324-U$325))</f>
        <v/>
      </c>
      <c r="V2089" s="35">
        <f>$D2089*($E2089*(V$321-V$322)+$F2089*(V$324-V$325))</f>
        <v/>
      </c>
      <c r="W2089" s="35">
        <f>$D2089*($E2089*(W$321-W$322)+$F2089*(W$324-W$325))</f>
        <v/>
      </c>
      <c r="X2089" s="35">
        <f>$D2089*($E2089*(X$321-X$322)+$F2089*(X$324-X$325))</f>
        <v/>
      </c>
      <c r="Y2089" s="35">
        <f>$D2089*($E2089*(Y$321-Y$322)+$F2089*(Y$324-Y$325))</f>
        <v/>
      </c>
      <c r="Z2089" s="35">
        <f>$D2089*($E2089*(Z$321-Z$322)+$F2089*(Z$324-Z$325))</f>
        <v/>
      </c>
      <c r="AA2089" s="35">
        <f>$D2089*($E2089*(AA$321-AA$322)+$F2089*(AA$324-AA$325))</f>
        <v/>
      </c>
      <c r="AB2089" s="35">
        <f>$D2089*($E2089*(AB$321-AB$322)+$F2089*(AB$324-AB$325))</f>
        <v/>
      </c>
      <c r="AC2089" s="35">
        <f>$D2089*($E2089*(AC$321-AC$322)+$F2089*(AC$324-AC$325))</f>
        <v/>
      </c>
      <c r="AD2089" s="35">
        <f>$D2089*($E2089*(AD$321-AD$322)+$F2089*(AD$324-AD$325))</f>
        <v/>
      </c>
      <c r="AE2089" s="42">
        <f>XCARBON($D2089,$E2089,(AE$321-AE$322),$F2089,(AE$324-AE$325))</f>
        <v/>
      </c>
      <c r="AG2089" s="11">
        <f>CodePrefix&amp;$A2089&amp;IF($C2089="","","."&amp;$C2089&amp;"."&amp;$B2089)&amp;INDEX(VarEnd,MATCH($A2089,VarKey,0))&amp;AG$5</f>
        <v/>
      </c>
      <c r="AH2089" s="40">
        <f>$D2089*($E2089*(AH$321-AH$322)+$F2089*(AH$324-AH$325))</f>
        <v/>
      </c>
      <c r="AI2089" s="35">
        <f>$D2089*($E2089*(AI$321-AI$322)+$F2089*(AI$324-AI$325))</f>
        <v/>
      </c>
      <c r="AJ2089" s="35">
        <f>$D2089*($E2089*(AJ$321-AJ$322)+$F2089*(AJ$324-AJ$325))</f>
        <v/>
      </c>
      <c r="AK2089" s="35">
        <f>$D2089*($E2089*(AK$321-AK$322)+$F2089*(AK$324-AK$325))</f>
        <v/>
      </c>
      <c r="AL2089" s="35">
        <f>$D2089*($E2089*(AL$321-AL$322)+$F2089*(AL$324-AL$325))</f>
        <v/>
      </c>
      <c r="AM2089" s="35">
        <f>$D2089*($E2089*(AM$321-AM$322)+$F2089*(AM$324-AM$325))</f>
        <v/>
      </c>
      <c r="AN2089" s="35">
        <f>$D2089*($E2089*(AN$321-AN$322)+$F2089*(AN$324-AN$325))</f>
        <v/>
      </c>
      <c r="AO2089" s="35">
        <f>$D2089*($E2089*(AO$321-AO$322)+$F2089*(AO$324-AO$325))</f>
        <v/>
      </c>
      <c r="AP2089" s="35">
        <f>$D2089*($E2089*(AP$321-AP$322)+$F2089*(AP$324-AP$325))</f>
        <v/>
      </c>
      <c r="AQ2089" s="35">
        <f>$D2089*($E2089*(AQ$321-AQ$322)+$F2089*(AQ$324-AQ$325))</f>
        <v/>
      </c>
      <c r="AR2089" s="35">
        <f>$D2089*($E2089*(AR$321-AR$322)+$F2089*(AR$324-AR$325))</f>
        <v/>
      </c>
      <c r="AS2089" s="35">
        <f>$D2089*($E2089*(AS$321-AS$322)+$F2089*(AS$324-AS$325))</f>
        <v/>
      </c>
      <c r="AT2089" s="35">
        <f>$D2089*($E2089*(AT$321-AT$322)+$F2089*(AT$324-AT$325))</f>
        <v/>
      </c>
      <c r="AU2089" s="35">
        <f>$D2089*($E2089*(AU$321-AU$322)+$F2089*(AU$324-AU$325))</f>
        <v/>
      </c>
      <c r="AV2089" s="35">
        <f>$D2089*($E2089*(AV$321-AV$322)+$F2089*(AV$324-AV$325))</f>
        <v/>
      </c>
      <c r="AW2089" s="35">
        <f>$D2089*($E2089*(AW$321-AW$322)+$F2089*(AW$324-AW$325))</f>
        <v/>
      </c>
      <c r="AX2089" s="35">
        <f>$D2089*($E2089*(AX$321-AX$322)+$F2089*(AX$324-AX$325))</f>
        <v/>
      </c>
      <c r="AY2089" s="35">
        <f>$D2089*($E2089*(AY$321-AY$322)+$F2089*(AY$324-AY$325))</f>
        <v/>
      </c>
      <c r="AZ2089" s="35">
        <f>$D2089*($E2089*(AZ$321-AZ$322)+$F2089*(AZ$324-AZ$325))</f>
        <v/>
      </c>
      <c r="BA2089" s="42">
        <f>XCARBON($D2089,$E2089,(BA$321-BA$322),$F2089,(BA$324-BA$325))</f>
        <v/>
      </c>
    </row>
    <row r="2090" hidden="1" outlineLevel="2"/>
    <row r="2091" hidden="1" outlineLevel="2">
      <c r="A2091" s="14" t="inlineStr">
        <is>
          <t>atp</t>
        </is>
      </c>
      <c r="B2091" s="14" t="inlineStr">
        <is>
          <t>coa</t>
        </is>
      </c>
      <c r="C2091" s="14" t="inlineStr">
        <is>
          <t>irn</t>
        </is>
      </c>
      <c r="D2091" s="35">
        <f>INDEX(Inputs!$U$5:$U$132,MATCH($B2091&amp;"|"&amp;$C2091,Inputs!$A$5:$A$132,0))</f>
        <v/>
      </c>
      <c r="E2091" s="35">
        <f>INDEX(Inputs!$V$5:$V$132,MATCH($B2091&amp;"|"&amp;$C2091,Inputs!$A$5:$A$132,0))</f>
        <v/>
      </c>
      <c r="F2091" s="39" t="n"/>
      <c r="G2091" s="39" t="n"/>
      <c r="H2091" s="14">
        <f>INDEX(VarLab,MATCH($A2091,VarKey,0))&amp;INDEX(MemLab,MATCH($C2091&amp;"|"&amp;$B2091,MemKey,0))</f>
        <v/>
      </c>
      <c r="I2091" s="14">
        <f>INDEX(VarUnit,MATCH($A2091,VarKey,0))</f>
        <v/>
      </c>
      <c r="J2091" s="14">
        <f>INDEX(VarSrc,MATCH($A2091,VarKey,0))</f>
        <v/>
      </c>
      <c r="K2091" s="11">
        <f>CodePrefix&amp;$A2091&amp;IF($C2091="","","."&amp;$C2091&amp;"."&amp;$B2091)&amp;INDEX(VarEnd,MATCH($A2091,VarKey,0))&amp;K$5</f>
        <v/>
      </c>
      <c r="L2091" s="40">
        <f>MAX(INDEX(L$381:L$392,$D2091)+(L2064+L2082)*(1+$E2091),0.01)</f>
        <v/>
      </c>
      <c r="M2091" s="35">
        <f>MAX(INDEX(M$381:M$392,$D2091)+(M2064+M2082)*(1+$E2091),0.01)</f>
        <v/>
      </c>
      <c r="N2091" s="35">
        <f>MAX(INDEX(N$381:N$392,$D2091)+(N2064+N2082)*(1+$E2091),0.01)</f>
        <v/>
      </c>
      <c r="O2091" s="35">
        <f>MAX(INDEX(O$381:O$392,$D2091)+(O2064+O2082)*(1+$E2091),0.01)</f>
        <v/>
      </c>
      <c r="P2091" s="35">
        <f>MAX(INDEX(P$381:P$392,$D2091)+(P2064+P2082)*(1+$E2091),0.01)</f>
        <v/>
      </c>
      <c r="Q2091" s="35">
        <f>MAX(INDEX(Q$381:Q$392,$D2091)+(Q2064+Q2082)*(1+$E2091),0.01)</f>
        <v/>
      </c>
      <c r="R2091" s="35">
        <f>MAX(INDEX(R$381:R$392,$D2091)+(R2064+R2082)*(1+$E2091),0.01)</f>
        <v/>
      </c>
      <c r="S2091" s="35">
        <f>MAX(INDEX(S$381:S$392,$D2091)+(S2064+S2082)*(1+$E2091),0.01)</f>
        <v/>
      </c>
      <c r="T2091" s="35">
        <f>MAX(INDEX(T$381:T$392,$D2091)+(T2064+T2082)*(1+$E2091),0.01)</f>
        <v/>
      </c>
      <c r="U2091" s="35">
        <f>MAX(INDEX(U$381:U$392,$D2091)+(U2064+U2082)*(1+$E2091),0.01)</f>
        <v/>
      </c>
      <c r="V2091" s="35">
        <f>MAX(INDEX(V$381:V$392,$D2091)+(V2064+V2082)*(1+$E2091),0.01)</f>
        <v/>
      </c>
      <c r="W2091" s="35">
        <f>MAX(INDEX(W$381:W$392,$D2091)+(W2064+W2082)*(1+$E2091),0.01)</f>
        <v/>
      </c>
      <c r="X2091" s="35">
        <f>MAX(INDEX(X$381:X$392,$D2091)+(X2064+X2082)*(1+$E2091),0.01)</f>
        <v/>
      </c>
      <c r="Y2091" s="35">
        <f>MAX(INDEX(Y$381:Y$392,$D2091)+(Y2064+Y2082)*(1+$E2091),0.01)</f>
        <v/>
      </c>
      <c r="Z2091" s="35">
        <f>MAX(INDEX(Z$381:Z$392,$D2091)+(Z2064+Z2082)*(1+$E2091),0.01)</f>
        <v/>
      </c>
      <c r="AA2091" s="35">
        <f>MAX(INDEX(AA$381:AA$392,$D2091)+(AA2064+AA2082)*(1+$E2091),0.01)</f>
        <v/>
      </c>
      <c r="AB2091" s="35">
        <f>MAX(INDEX(AB$381:AB$392,$D2091)+(AB2064+AB2082)*(1+$E2091),0.01)</f>
        <v/>
      </c>
      <c r="AC2091" s="35">
        <f>MAX(INDEX(AC$381:AC$392,$D2091)+(AC2064+AC2082)*(1+$E2091),0.01)</f>
        <v/>
      </c>
      <c r="AD2091" s="35">
        <f>MAX(INDEX(AD$381:AD$392,$D2091)+(AD2064+AD2082)*(1+$E2091),0.01)</f>
        <v/>
      </c>
      <c r="AE2091" s="42">
        <f>POSTTAX(INDEX(AE$381:AE$392,$D2091),AE2064+AE2082,$E2091)</f>
        <v/>
      </c>
      <c r="AG2091" s="11">
        <f>CodePrefix&amp;$A2091&amp;IF($C2091="","","."&amp;$C2091&amp;"."&amp;$B2091)&amp;INDEX(VarEnd,MATCH($A2091,VarKey,0))&amp;AG$5</f>
        <v/>
      </c>
      <c r="AH2091" s="40">
        <f>MAX(INDEX(AH$381:AH$392,$D2091)+(AH2064+AH2082)*(1+$E2091),0.01)</f>
        <v/>
      </c>
      <c r="AI2091" s="35">
        <f>MAX(INDEX(AI$381:AI$392,$D2091)+(AI2064+AI2082)*(1+$E2091),0.01)</f>
        <v/>
      </c>
      <c r="AJ2091" s="35">
        <f>MAX(INDEX(AJ$381:AJ$392,$D2091)+(AJ2064+AJ2082)*(1+$E2091),0.01)</f>
        <v/>
      </c>
      <c r="AK2091" s="35">
        <f>MAX(INDEX(AK$381:AK$392,$D2091)+(AK2064+AK2082)*(1+$E2091),0.01)</f>
        <v/>
      </c>
      <c r="AL2091" s="35">
        <f>MAX(INDEX(AL$381:AL$392,$D2091)+(AL2064+AL2082)*(1+$E2091),0.01)</f>
        <v/>
      </c>
      <c r="AM2091" s="35">
        <f>MAX(INDEX(AM$381:AM$392,$D2091)+(AM2064+AM2082)*(1+$E2091),0.01)</f>
        <v/>
      </c>
      <c r="AN2091" s="35">
        <f>MAX(INDEX(AN$381:AN$392,$D2091)+(AN2064+AN2082)*(1+$E2091),0.01)</f>
        <v/>
      </c>
      <c r="AO2091" s="35">
        <f>MAX(INDEX(AO$381:AO$392,$D2091)+(AO2064+AO2082)*(1+$E2091),0.01)</f>
        <v/>
      </c>
      <c r="AP2091" s="35">
        <f>MAX(INDEX(AP$381:AP$392,$D2091)+(AP2064+AP2082)*(1+$E2091),0.01)</f>
        <v/>
      </c>
      <c r="AQ2091" s="35">
        <f>MAX(INDEX(AQ$381:AQ$392,$D2091)+(AQ2064+AQ2082)*(1+$E2091),0.01)</f>
        <v/>
      </c>
      <c r="AR2091" s="35">
        <f>MAX(INDEX(AR$381:AR$392,$D2091)+(AR2064+AR2082)*(1+$E2091),0.01)</f>
        <v/>
      </c>
      <c r="AS2091" s="35">
        <f>MAX(INDEX(AS$381:AS$392,$D2091)+(AS2064+AS2082)*(1+$E2091),0.01)</f>
        <v/>
      </c>
      <c r="AT2091" s="35">
        <f>MAX(INDEX(AT$381:AT$392,$D2091)+(AT2064+AT2082)*(1+$E2091),0.01)</f>
        <v/>
      </c>
      <c r="AU2091" s="35">
        <f>MAX(INDEX(AU$381:AU$392,$D2091)+(AU2064+AU2082)*(1+$E2091),0.01)</f>
        <v/>
      </c>
      <c r="AV2091" s="35">
        <f>MAX(INDEX(AV$381:AV$392,$D2091)+(AV2064+AV2082)*(1+$E2091),0.01)</f>
        <v/>
      </c>
      <c r="AW2091" s="35">
        <f>MAX(INDEX(AW$381:AW$392,$D2091)+(AW2064+AW2082)*(1+$E2091),0.01)</f>
        <v/>
      </c>
      <c r="AX2091" s="35">
        <f>MAX(INDEX(AX$381:AX$392,$D2091)+(AX2064+AX2082)*(1+$E2091),0.01)</f>
        <v/>
      </c>
      <c r="AY2091" s="35">
        <f>MAX(INDEX(AY$381:AY$392,$D2091)+(AY2064+AY2082)*(1+$E2091),0.01)</f>
        <v/>
      </c>
      <c r="AZ2091" s="35">
        <f>MAX(INDEX(AZ$381:AZ$392,$D2091)+(AZ2064+AZ2082)*(1+$E2091),0.01)</f>
        <v/>
      </c>
      <c r="BA2091" s="42">
        <f>POSTTAX(INDEX(BA$381:BA$392,$D2091),BA2064+BA2082,$E2091)</f>
        <v/>
      </c>
    </row>
    <row r="2092" hidden="1" outlineLevel="2">
      <c r="A2092" s="14" t="inlineStr">
        <is>
          <t>atp</t>
        </is>
      </c>
      <c r="B2092" s="14" t="inlineStr">
        <is>
          <t>nga</t>
        </is>
      </c>
      <c r="C2092" s="14" t="inlineStr">
        <is>
          <t>irn</t>
        </is>
      </c>
      <c r="D2092" s="35">
        <f>INDEX(Inputs!$U$5:$U$132,MATCH($B2092&amp;"|"&amp;$C2092,Inputs!$A$5:$A$132,0))</f>
        <v/>
      </c>
      <c r="E2092" s="35">
        <f>INDEX(Inputs!$V$5:$V$132,MATCH($B2092&amp;"|"&amp;$C2092,Inputs!$A$5:$A$132,0))</f>
        <v/>
      </c>
      <c r="F2092" s="39" t="n"/>
      <c r="G2092" s="39" t="n"/>
      <c r="H2092" s="14">
        <f>INDEX(VarLab,MATCH($A2092,VarKey,0))&amp;INDEX(MemLab,MATCH($C2092&amp;"|"&amp;$B2092,MemKey,0))</f>
        <v/>
      </c>
      <c r="I2092" s="14">
        <f>INDEX(VarUnit,MATCH($A2092,VarKey,0))</f>
        <v/>
      </c>
      <c r="J2092" s="14">
        <f>INDEX(VarSrc,MATCH($A2092,VarKey,0))</f>
        <v/>
      </c>
      <c r="K2092" s="11">
        <f>CodePrefix&amp;$A2092&amp;IF($C2092="","","."&amp;$C2092&amp;"."&amp;$B2092)&amp;INDEX(VarEnd,MATCH($A2092,VarKey,0))&amp;K$5</f>
        <v/>
      </c>
      <c r="L2092" s="40">
        <f>MAX(INDEX(L$381:L$392,$D2092)+(L2065+L2083)*(1+$E2092),0.01)</f>
        <v/>
      </c>
      <c r="M2092" s="35">
        <f>MAX(INDEX(M$381:M$392,$D2092)+(M2065+M2083)*(1+$E2092),0.01)</f>
        <v/>
      </c>
      <c r="N2092" s="35">
        <f>MAX(INDEX(N$381:N$392,$D2092)+(N2065+N2083)*(1+$E2092),0.01)</f>
        <v/>
      </c>
      <c r="O2092" s="35">
        <f>MAX(INDEX(O$381:O$392,$D2092)+(O2065+O2083)*(1+$E2092),0.01)</f>
        <v/>
      </c>
      <c r="P2092" s="35">
        <f>MAX(INDEX(P$381:P$392,$D2092)+(P2065+P2083)*(1+$E2092),0.01)</f>
        <v/>
      </c>
      <c r="Q2092" s="35">
        <f>MAX(INDEX(Q$381:Q$392,$D2092)+(Q2065+Q2083)*(1+$E2092),0.01)</f>
        <v/>
      </c>
      <c r="R2092" s="35">
        <f>MAX(INDEX(R$381:R$392,$D2092)+(R2065+R2083)*(1+$E2092),0.01)</f>
        <v/>
      </c>
      <c r="S2092" s="35">
        <f>MAX(INDEX(S$381:S$392,$D2092)+(S2065+S2083)*(1+$E2092),0.01)</f>
        <v/>
      </c>
      <c r="T2092" s="35">
        <f>MAX(INDEX(T$381:T$392,$D2092)+(T2065+T2083)*(1+$E2092),0.01)</f>
        <v/>
      </c>
      <c r="U2092" s="35">
        <f>MAX(INDEX(U$381:U$392,$D2092)+(U2065+U2083)*(1+$E2092),0.01)</f>
        <v/>
      </c>
      <c r="V2092" s="35">
        <f>MAX(INDEX(V$381:V$392,$D2092)+(V2065+V2083)*(1+$E2092),0.01)</f>
        <v/>
      </c>
      <c r="W2092" s="35">
        <f>MAX(INDEX(W$381:W$392,$D2092)+(W2065+W2083)*(1+$E2092),0.01)</f>
        <v/>
      </c>
      <c r="X2092" s="35">
        <f>MAX(INDEX(X$381:X$392,$D2092)+(X2065+X2083)*(1+$E2092),0.01)</f>
        <v/>
      </c>
      <c r="Y2092" s="35">
        <f>MAX(INDEX(Y$381:Y$392,$D2092)+(Y2065+Y2083)*(1+$E2092),0.01)</f>
        <v/>
      </c>
      <c r="Z2092" s="35">
        <f>MAX(INDEX(Z$381:Z$392,$D2092)+(Z2065+Z2083)*(1+$E2092),0.01)</f>
        <v/>
      </c>
      <c r="AA2092" s="35">
        <f>MAX(INDEX(AA$381:AA$392,$D2092)+(AA2065+AA2083)*(1+$E2092),0.01)</f>
        <v/>
      </c>
      <c r="AB2092" s="35">
        <f>MAX(INDEX(AB$381:AB$392,$D2092)+(AB2065+AB2083)*(1+$E2092),0.01)</f>
        <v/>
      </c>
      <c r="AC2092" s="35">
        <f>MAX(INDEX(AC$381:AC$392,$D2092)+(AC2065+AC2083)*(1+$E2092),0.01)</f>
        <v/>
      </c>
      <c r="AD2092" s="35">
        <f>MAX(INDEX(AD$381:AD$392,$D2092)+(AD2065+AD2083)*(1+$E2092),0.01)</f>
        <v/>
      </c>
      <c r="AE2092" s="42">
        <f>POSTTAX(INDEX(AE$381:AE$392,$D2092),AE2065+AE2083,$E2092)</f>
        <v/>
      </c>
      <c r="AG2092" s="11">
        <f>CodePrefix&amp;$A2092&amp;IF($C2092="","","."&amp;$C2092&amp;"."&amp;$B2092)&amp;INDEX(VarEnd,MATCH($A2092,VarKey,0))&amp;AG$5</f>
        <v/>
      </c>
      <c r="AH2092" s="40">
        <f>MAX(INDEX(AH$381:AH$392,$D2092)+(AH2065+AH2083)*(1+$E2092),0.01)</f>
        <v/>
      </c>
      <c r="AI2092" s="35">
        <f>MAX(INDEX(AI$381:AI$392,$D2092)+(AI2065+AI2083)*(1+$E2092),0.01)</f>
        <v/>
      </c>
      <c r="AJ2092" s="35">
        <f>MAX(INDEX(AJ$381:AJ$392,$D2092)+(AJ2065+AJ2083)*(1+$E2092),0.01)</f>
        <v/>
      </c>
      <c r="AK2092" s="35">
        <f>MAX(INDEX(AK$381:AK$392,$D2092)+(AK2065+AK2083)*(1+$E2092),0.01)</f>
        <v/>
      </c>
      <c r="AL2092" s="35">
        <f>MAX(INDEX(AL$381:AL$392,$D2092)+(AL2065+AL2083)*(1+$E2092),0.01)</f>
        <v/>
      </c>
      <c r="AM2092" s="35">
        <f>MAX(INDEX(AM$381:AM$392,$D2092)+(AM2065+AM2083)*(1+$E2092),0.01)</f>
        <v/>
      </c>
      <c r="AN2092" s="35">
        <f>MAX(INDEX(AN$381:AN$392,$D2092)+(AN2065+AN2083)*(1+$E2092),0.01)</f>
        <v/>
      </c>
      <c r="AO2092" s="35">
        <f>MAX(INDEX(AO$381:AO$392,$D2092)+(AO2065+AO2083)*(1+$E2092),0.01)</f>
        <v/>
      </c>
      <c r="AP2092" s="35">
        <f>MAX(INDEX(AP$381:AP$392,$D2092)+(AP2065+AP2083)*(1+$E2092),0.01)</f>
        <v/>
      </c>
      <c r="AQ2092" s="35">
        <f>MAX(INDEX(AQ$381:AQ$392,$D2092)+(AQ2065+AQ2083)*(1+$E2092),0.01)</f>
        <v/>
      </c>
      <c r="AR2092" s="35">
        <f>MAX(INDEX(AR$381:AR$392,$D2092)+(AR2065+AR2083)*(1+$E2092),0.01)</f>
        <v/>
      </c>
      <c r="AS2092" s="35">
        <f>MAX(INDEX(AS$381:AS$392,$D2092)+(AS2065+AS2083)*(1+$E2092),0.01)</f>
        <v/>
      </c>
      <c r="AT2092" s="35">
        <f>MAX(INDEX(AT$381:AT$392,$D2092)+(AT2065+AT2083)*(1+$E2092),0.01)</f>
        <v/>
      </c>
      <c r="AU2092" s="35">
        <f>MAX(INDEX(AU$381:AU$392,$D2092)+(AU2065+AU2083)*(1+$E2092),0.01)</f>
        <v/>
      </c>
      <c r="AV2092" s="35">
        <f>MAX(INDEX(AV$381:AV$392,$D2092)+(AV2065+AV2083)*(1+$E2092),0.01)</f>
        <v/>
      </c>
      <c r="AW2092" s="35">
        <f>MAX(INDEX(AW$381:AW$392,$D2092)+(AW2065+AW2083)*(1+$E2092),0.01)</f>
        <v/>
      </c>
      <c r="AX2092" s="35">
        <f>MAX(INDEX(AX$381:AX$392,$D2092)+(AX2065+AX2083)*(1+$E2092),0.01)</f>
        <v/>
      </c>
      <c r="AY2092" s="35">
        <f>MAX(INDEX(AY$381:AY$392,$D2092)+(AY2065+AY2083)*(1+$E2092),0.01)</f>
        <v/>
      </c>
      <c r="AZ2092" s="35">
        <f>MAX(INDEX(AZ$381:AZ$392,$D2092)+(AZ2065+AZ2083)*(1+$E2092),0.01)</f>
        <v/>
      </c>
      <c r="BA2092" s="42">
        <f>POSTTAX(INDEX(BA$381:BA$392,$D2092),BA2065+BA2083,$E2092)</f>
        <v/>
      </c>
    </row>
    <row r="2093" hidden="1" outlineLevel="2">
      <c r="A2093" s="14" t="inlineStr">
        <is>
          <t>atp</t>
        </is>
      </c>
      <c r="B2093" s="14" t="inlineStr">
        <is>
          <t>gso</t>
        </is>
      </c>
      <c r="C2093" s="14" t="inlineStr">
        <is>
          <t>irn</t>
        </is>
      </c>
      <c r="D2093" s="35">
        <f>INDEX(Inputs!$U$5:$U$132,MATCH($B2093&amp;"|"&amp;$C2093,Inputs!$A$5:$A$132,0))</f>
        <v/>
      </c>
      <c r="E2093" s="35">
        <f>INDEX(Inputs!$V$5:$V$132,MATCH($B2093&amp;"|"&amp;$C2093,Inputs!$A$5:$A$132,0))</f>
        <v/>
      </c>
      <c r="F2093" s="39" t="n"/>
      <c r="G2093" s="39" t="n"/>
      <c r="H2093" s="14">
        <f>INDEX(VarLab,MATCH($A2093,VarKey,0))&amp;INDEX(MemLab,MATCH($C2093&amp;"|"&amp;$B2093,MemKey,0))</f>
        <v/>
      </c>
      <c r="I2093" s="14">
        <f>INDEX(VarUnit,MATCH($A2093,VarKey,0))</f>
        <v/>
      </c>
      <c r="J2093" s="14">
        <f>INDEX(VarSrc,MATCH($A2093,VarKey,0))</f>
        <v/>
      </c>
      <c r="K2093" s="11">
        <f>CodePrefix&amp;$A2093&amp;IF($C2093="","","."&amp;$C2093&amp;"."&amp;$B2093)&amp;INDEX(VarEnd,MATCH($A2093,VarKey,0))&amp;K$5</f>
        <v/>
      </c>
      <c r="L2093" s="40">
        <f>MAX(INDEX(L$381:L$392,$D2093)+(L2066+L2084)*(1+$E2093),0.01)</f>
        <v/>
      </c>
      <c r="M2093" s="35">
        <f>MAX(INDEX(M$381:M$392,$D2093)+(M2066+M2084)*(1+$E2093),0.01)</f>
        <v/>
      </c>
      <c r="N2093" s="35">
        <f>MAX(INDEX(N$381:N$392,$D2093)+(N2066+N2084)*(1+$E2093),0.01)</f>
        <v/>
      </c>
      <c r="O2093" s="35">
        <f>MAX(INDEX(O$381:O$392,$D2093)+(O2066+O2084)*(1+$E2093),0.01)</f>
        <v/>
      </c>
      <c r="P2093" s="35">
        <f>MAX(INDEX(P$381:P$392,$D2093)+(P2066+P2084)*(1+$E2093),0.01)</f>
        <v/>
      </c>
      <c r="Q2093" s="35">
        <f>MAX(INDEX(Q$381:Q$392,$D2093)+(Q2066+Q2084)*(1+$E2093),0.01)</f>
        <v/>
      </c>
      <c r="R2093" s="35">
        <f>MAX(INDEX(R$381:R$392,$D2093)+(R2066+R2084)*(1+$E2093),0.01)</f>
        <v/>
      </c>
      <c r="S2093" s="35">
        <f>MAX(INDEX(S$381:S$392,$D2093)+(S2066+S2084)*(1+$E2093),0.01)</f>
        <v/>
      </c>
      <c r="T2093" s="35">
        <f>MAX(INDEX(T$381:T$392,$D2093)+(T2066+T2084)*(1+$E2093),0.01)</f>
        <v/>
      </c>
      <c r="U2093" s="35">
        <f>MAX(INDEX(U$381:U$392,$D2093)+(U2066+U2084)*(1+$E2093),0.01)</f>
        <v/>
      </c>
      <c r="V2093" s="35">
        <f>MAX(INDEX(V$381:V$392,$D2093)+(V2066+V2084)*(1+$E2093),0.01)</f>
        <v/>
      </c>
      <c r="W2093" s="35">
        <f>MAX(INDEX(W$381:W$392,$D2093)+(W2066+W2084)*(1+$E2093),0.01)</f>
        <v/>
      </c>
      <c r="X2093" s="35">
        <f>MAX(INDEX(X$381:X$392,$D2093)+(X2066+X2084)*(1+$E2093),0.01)</f>
        <v/>
      </c>
      <c r="Y2093" s="35">
        <f>MAX(INDEX(Y$381:Y$392,$D2093)+(Y2066+Y2084)*(1+$E2093),0.01)</f>
        <v/>
      </c>
      <c r="Z2093" s="35">
        <f>MAX(INDEX(Z$381:Z$392,$D2093)+(Z2066+Z2084)*(1+$E2093),0.01)</f>
        <v/>
      </c>
      <c r="AA2093" s="35">
        <f>MAX(INDEX(AA$381:AA$392,$D2093)+(AA2066+AA2084)*(1+$E2093),0.01)</f>
        <v/>
      </c>
      <c r="AB2093" s="35">
        <f>MAX(INDEX(AB$381:AB$392,$D2093)+(AB2066+AB2084)*(1+$E2093),0.01)</f>
        <v/>
      </c>
      <c r="AC2093" s="35">
        <f>MAX(INDEX(AC$381:AC$392,$D2093)+(AC2066+AC2084)*(1+$E2093),0.01)</f>
        <v/>
      </c>
      <c r="AD2093" s="35">
        <f>MAX(INDEX(AD$381:AD$392,$D2093)+(AD2066+AD2084)*(1+$E2093),0.01)</f>
        <v/>
      </c>
      <c r="AE2093" s="42">
        <f>POSTTAX(INDEX(AE$381:AE$392,$D2093),AE2066+AE2084,$E2093)</f>
        <v/>
      </c>
      <c r="AG2093" s="11">
        <f>CodePrefix&amp;$A2093&amp;IF($C2093="","","."&amp;$C2093&amp;"."&amp;$B2093)&amp;INDEX(VarEnd,MATCH($A2093,VarKey,0))&amp;AG$5</f>
        <v/>
      </c>
      <c r="AH2093" s="40">
        <f>MAX(INDEX(AH$381:AH$392,$D2093)+(AH2066+AH2084)*(1+$E2093),0.01)</f>
        <v/>
      </c>
      <c r="AI2093" s="35">
        <f>MAX(INDEX(AI$381:AI$392,$D2093)+(AI2066+AI2084)*(1+$E2093),0.01)</f>
        <v/>
      </c>
      <c r="AJ2093" s="35">
        <f>MAX(INDEX(AJ$381:AJ$392,$D2093)+(AJ2066+AJ2084)*(1+$E2093),0.01)</f>
        <v/>
      </c>
      <c r="AK2093" s="35">
        <f>MAX(INDEX(AK$381:AK$392,$D2093)+(AK2066+AK2084)*(1+$E2093),0.01)</f>
        <v/>
      </c>
      <c r="AL2093" s="35">
        <f>MAX(INDEX(AL$381:AL$392,$D2093)+(AL2066+AL2084)*(1+$E2093),0.01)</f>
        <v/>
      </c>
      <c r="AM2093" s="35">
        <f>MAX(INDEX(AM$381:AM$392,$D2093)+(AM2066+AM2084)*(1+$E2093),0.01)</f>
        <v/>
      </c>
      <c r="AN2093" s="35">
        <f>MAX(INDEX(AN$381:AN$392,$D2093)+(AN2066+AN2084)*(1+$E2093),0.01)</f>
        <v/>
      </c>
      <c r="AO2093" s="35">
        <f>MAX(INDEX(AO$381:AO$392,$D2093)+(AO2066+AO2084)*(1+$E2093),0.01)</f>
        <v/>
      </c>
      <c r="AP2093" s="35">
        <f>MAX(INDEX(AP$381:AP$392,$D2093)+(AP2066+AP2084)*(1+$E2093),0.01)</f>
        <v/>
      </c>
      <c r="AQ2093" s="35">
        <f>MAX(INDEX(AQ$381:AQ$392,$D2093)+(AQ2066+AQ2084)*(1+$E2093),0.01)</f>
        <v/>
      </c>
      <c r="AR2093" s="35">
        <f>MAX(INDEX(AR$381:AR$392,$D2093)+(AR2066+AR2084)*(1+$E2093),0.01)</f>
        <v/>
      </c>
      <c r="AS2093" s="35">
        <f>MAX(INDEX(AS$381:AS$392,$D2093)+(AS2066+AS2084)*(1+$E2093),0.01)</f>
        <v/>
      </c>
      <c r="AT2093" s="35">
        <f>MAX(INDEX(AT$381:AT$392,$D2093)+(AT2066+AT2084)*(1+$E2093),0.01)</f>
        <v/>
      </c>
      <c r="AU2093" s="35">
        <f>MAX(INDEX(AU$381:AU$392,$D2093)+(AU2066+AU2084)*(1+$E2093),0.01)</f>
        <v/>
      </c>
      <c r="AV2093" s="35">
        <f>MAX(INDEX(AV$381:AV$392,$D2093)+(AV2066+AV2084)*(1+$E2093),0.01)</f>
        <v/>
      </c>
      <c r="AW2093" s="35">
        <f>MAX(INDEX(AW$381:AW$392,$D2093)+(AW2066+AW2084)*(1+$E2093),0.01)</f>
        <v/>
      </c>
      <c r="AX2093" s="35">
        <f>MAX(INDEX(AX$381:AX$392,$D2093)+(AX2066+AX2084)*(1+$E2093),0.01)</f>
        <v/>
      </c>
      <c r="AY2093" s="35">
        <f>MAX(INDEX(AY$381:AY$392,$D2093)+(AY2066+AY2084)*(1+$E2093),0.01)</f>
        <v/>
      </c>
      <c r="AZ2093" s="35">
        <f>MAX(INDEX(AZ$381:AZ$392,$D2093)+(AZ2066+AZ2084)*(1+$E2093),0.01)</f>
        <v/>
      </c>
      <c r="BA2093" s="42">
        <f>POSTTAX(INDEX(BA$381:BA$392,$D2093),BA2066+BA2084,$E2093)</f>
        <v/>
      </c>
    </row>
    <row r="2094" hidden="1" outlineLevel="2">
      <c r="A2094" s="14" t="inlineStr">
        <is>
          <t>atp</t>
        </is>
      </c>
      <c r="B2094" s="14" t="inlineStr">
        <is>
          <t>die</t>
        </is>
      </c>
      <c r="C2094" s="14" t="inlineStr">
        <is>
          <t>irn</t>
        </is>
      </c>
      <c r="D2094" s="35">
        <f>INDEX(Inputs!$U$5:$U$132,MATCH($B2094&amp;"|"&amp;$C2094,Inputs!$A$5:$A$132,0))</f>
        <v/>
      </c>
      <c r="E2094" s="35">
        <f>INDEX(Inputs!$V$5:$V$132,MATCH($B2094&amp;"|"&amp;$C2094,Inputs!$A$5:$A$132,0))</f>
        <v/>
      </c>
      <c r="F2094" s="39" t="n"/>
      <c r="G2094" s="39" t="n"/>
      <c r="H2094" s="14">
        <f>INDEX(VarLab,MATCH($A2094,VarKey,0))&amp;INDEX(MemLab,MATCH($C2094&amp;"|"&amp;$B2094,MemKey,0))</f>
        <v/>
      </c>
      <c r="I2094" s="14">
        <f>INDEX(VarUnit,MATCH($A2094,VarKey,0))</f>
        <v/>
      </c>
      <c r="J2094" s="14">
        <f>INDEX(VarSrc,MATCH($A2094,VarKey,0))</f>
        <v/>
      </c>
      <c r="K2094" s="11">
        <f>CodePrefix&amp;$A2094&amp;IF($C2094="","","."&amp;$C2094&amp;"."&amp;$B2094)&amp;INDEX(VarEnd,MATCH($A2094,VarKey,0))&amp;K$5</f>
        <v/>
      </c>
      <c r="L2094" s="40">
        <f>MAX(INDEX(L$381:L$392,$D2094)+(L2067+L2085)*(1+$E2094),0.01)</f>
        <v/>
      </c>
      <c r="M2094" s="35">
        <f>MAX(INDEX(M$381:M$392,$D2094)+(M2067+M2085)*(1+$E2094),0.01)</f>
        <v/>
      </c>
      <c r="N2094" s="35">
        <f>MAX(INDEX(N$381:N$392,$D2094)+(N2067+N2085)*(1+$E2094),0.01)</f>
        <v/>
      </c>
      <c r="O2094" s="35">
        <f>MAX(INDEX(O$381:O$392,$D2094)+(O2067+O2085)*(1+$E2094),0.01)</f>
        <v/>
      </c>
      <c r="P2094" s="35">
        <f>MAX(INDEX(P$381:P$392,$D2094)+(P2067+P2085)*(1+$E2094),0.01)</f>
        <v/>
      </c>
      <c r="Q2094" s="35">
        <f>MAX(INDEX(Q$381:Q$392,$D2094)+(Q2067+Q2085)*(1+$E2094),0.01)</f>
        <v/>
      </c>
      <c r="R2094" s="35">
        <f>MAX(INDEX(R$381:R$392,$D2094)+(R2067+R2085)*(1+$E2094),0.01)</f>
        <v/>
      </c>
      <c r="S2094" s="35">
        <f>MAX(INDEX(S$381:S$392,$D2094)+(S2067+S2085)*(1+$E2094),0.01)</f>
        <v/>
      </c>
      <c r="T2094" s="35">
        <f>MAX(INDEX(T$381:T$392,$D2094)+(T2067+T2085)*(1+$E2094),0.01)</f>
        <v/>
      </c>
      <c r="U2094" s="35">
        <f>MAX(INDEX(U$381:U$392,$D2094)+(U2067+U2085)*(1+$E2094),0.01)</f>
        <v/>
      </c>
      <c r="V2094" s="35">
        <f>MAX(INDEX(V$381:V$392,$D2094)+(V2067+V2085)*(1+$E2094),0.01)</f>
        <v/>
      </c>
      <c r="W2094" s="35">
        <f>MAX(INDEX(W$381:W$392,$D2094)+(W2067+W2085)*(1+$E2094),0.01)</f>
        <v/>
      </c>
      <c r="X2094" s="35">
        <f>MAX(INDEX(X$381:X$392,$D2094)+(X2067+X2085)*(1+$E2094),0.01)</f>
        <v/>
      </c>
      <c r="Y2094" s="35">
        <f>MAX(INDEX(Y$381:Y$392,$D2094)+(Y2067+Y2085)*(1+$E2094),0.01)</f>
        <v/>
      </c>
      <c r="Z2094" s="35">
        <f>MAX(INDEX(Z$381:Z$392,$D2094)+(Z2067+Z2085)*(1+$E2094),0.01)</f>
        <v/>
      </c>
      <c r="AA2094" s="35">
        <f>MAX(INDEX(AA$381:AA$392,$D2094)+(AA2067+AA2085)*(1+$E2094),0.01)</f>
        <v/>
      </c>
      <c r="AB2094" s="35">
        <f>MAX(INDEX(AB$381:AB$392,$D2094)+(AB2067+AB2085)*(1+$E2094),0.01)</f>
        <v/>
      </c>
      <c r="AC2094" s="35">
        <f>MAX(INDEX(AC$381:AC$392,$D2094)+(AC2067+AC2085)*(1+$E2094),0.01)</f>
        <v/>
      </c>
      <c r="AD2094" s="35">
        <f>MAX(INDEX(AD$381:AD$392,$D2094)+(AD2067+AD2085)*(1+$E2094),0.01)</f>
        <v/>
      </c>
      <c r="AE2094" s="42">
        <f>POSTTAX(INDEX(AE$381:AE$392,$D2094),AE2067+AE2085,$E2094)</f>
        <v/>
      </c>
      <c r="AG2094" s="11">
        <f>CodePrefix&amp;$A2094&amp;IF($C2094="","","."&amp;$C2094&amp;"."&amp;$B2094)&amp;INDEX(VarEnd,MATCH($A2094,VarKey,0))&amp;AG$5</f>
        <v/>
      </c>
      <c r="AH2094" s="40">
        <f>MAX(INDEX(AH$381:AH$392,$D2094)+(AH2067+AH2085)*(1+$E2094),0.01)</f>
        <v/>
      </c>
      <c r="AI2094" s="35">
        <f>MAX(INDEX(AI$381:AI$392,$D2094)+(AI2067+AI2085)*(1+$E2094),0.01)</f>
        <v/>
      </c>
      <c r="AJ2094" s="35">
        <f>MAX(INDEX(AJ$381:AJ$392,$D2094)+(AJ2067+AJ2085)*(1+$E2094),0.01)</f>
        <v/>
      </c>
      <c r="AK2094" s="35">
        <f>MAX(INDEX(AK$381:AK$392,$D2094)+(AK2067+AK2085)*(1+$E2094),0.01)</f>
        <v/>
      </c>
      <c r="AL2094" s="35">
        <f>MAX(INDEX(AL$381:AL$392,$D2094)+(AL2067+AL2085)*(1+$E2094),0.01)</f>
        <v/>
      </c>
      <c r="AM2094" s="35">
        <f>MAX(INDEX(AM$381:AM$392,$D2094)+(AM2067+AM2085)*(1+$E2094),0.01)</f>
        <v/>
      </c>
      <c r="AN2094" s="35">
        <f>MAX(INDEX(AN$381:AN$392,$D2094)+(AN2067+AN2085)*(1+$E2094),0.01)</f>
        <v/>
      </c>
      <c r="AO2094" s="35">
        <f>MAX(INDEX(AO$381:AO$392,$D2094)+(AO2067+AO2085)*(1+$E2094),0.01)</f>
        <v/>
      </c>
      <c r="AP2094" s="35">
        <f>MAX(INDEX(AP$381:AP$392,$D2094)+(AP2067+AP2085)*(1+$E2094),0.01)</f>
        <v/>
      </c>
      <c r="AQ2094" s="35">
        <f>MAX(INDEX(AQ$381:AQ$392,$D2094)+(AQ2067+AQ2085)*(1+$E2094),0.01)</f>
        <v/>
      </c>
      <c r="AR2094" s="35">
        <f>MAX(INDEX(AR$381:AR$392,$D2094)+(AR2067+AR2085)*(1+$E2094),0.01)</f>
        <v/>
      </c>
      <c r="AS2094" s="35">
        <f>MAX(INDEX(AS$381:AS$392,$D2094)+(AS2067+AS2085)*(1+$E2094),0.01)</f>
        <v/>
      </c>
      <c r="AT2094" s="35">
        <f>MAX(INDEX(AT$381:AT$392,$D2094)+(AT2067+AT2085)*(1+$E2094),0.01)</f>
        <v/>
      </c>
      <c r="AU2094" s="35">
        <f>MAX(INDEX(AU$381:AU$392,$D2094)+(AU2067+AU2085)*(1+$E2094),0.01)</f>
        <v/>
      </c>
      <c r="AV2094" s="35">
        <f>MAX(INDEX(AV$381:AV$392,$D2094)+(AV2067+AV2085)*(1+$E2094),0.01)</f>
        <v/>
      </c>
      <c r="AW2094" s="35">
        <f>MAX(INDEX(AW$381:AW$392,$D2094)+(AW2067+AW2085)*(1+$E2094),0.01)</f>
        <v/>
      </c>
      <c r="AX2094" s="35">
        <f>MAX(INDEX(AX$381:AX$392,$D2094)+(AX2067+AX2085)*(1+$E2094),0.01)</f>
        <v/>
      </c>
      <c r="AY2094" s="35">
        <f>MAX(INDEX(AY$381:AY$392,$D2094)+(AY2067+AY2085)*(1+$E2094),0.01)</f>
        <v/>
      </c>
      <c r="AZ2094" s="35">
        <f>MAX(INDEX(AZ$381:AZ$392,$D2094)+(AZ2067+AZ2085)*(1+$E2094),0.01)</f>
        <v/>
      </c>
      <c r="BA2094" s="42">
        <f>POSTTAX(INDEX(BA$381:BA$392,$D2094),BA2067+BA2085,$E2094)</f>
        <v/>
      </c>
    </row>
    <row r="2095" hidden="1" outlineLevel="2">
      <c r="A2095" s="14" t="inlineStr">
        <is>
          <t>atp</t>
        </is>
      </c>
      <c r="B2095" s="14" t="inlineStr">
        <is>
          <t>lpg</t>
        </is>
      </c>
      <c r="C2095" s="14" t="inlineStr">
        <is>
          <t>irn</t>
        </is>
      </c>
      <c r="D2095" s="35">
        <f>INDEX(Inputs!$U$5:$U$132,MATCH($B2095&amp;"|"&amp;$C2095,Inputs!$A$5:$A$132,0))</f>
        <v/>
      </c>
      <c r="E2095" s="35">
        <f>INDEX(Inputs!$V$5:$V$132,MATCH($B2095&amp;"|"&amp;$C2095,Inputs!$A$5:$A$132,0))</f>
        <v/>
      </c>
      <c r="F2095" s="39" t="n"/>
      <c r="G2095" s="39" t="n"/>
      <c r="H2095" s="14">
        <f>INDEX(VarLab,MATCH($A2095,VarKey,0))&amp;INDEX(MemLab,MATCH($C2095&amp;"|"&amp;$B2095,MemKey,0))</f>
        <v/>
      </c>
      <c r="I2095" s="14">
        <f>INDEX(VarUnit,MATCH($A2095,VarKey,0))</f>
        <v/>
      </c>
      <c r="J2095" s="14">
        <f>INDEX(VarSrc,MATCH($A2095,VarKey,0))</f>
        <v/>
      </c>
      <c r="K2095" s="11">
        <f>CodePrefix&amp;$A2095&amp;IF($C2095="","","."&amp;$C2095&amp;"."&amp;$B2095)&amp;INDEX(VarEnd,MATCH($A2095,VarKey,0))&amp;K$5</f>
        <v/>
      </c>
      <c r="L2095" s="40">
        <f>MAX(INDEX(L$381:L$392,$D2095)+(L2068+L2086)*(1+$E2095),0.01)</f>
        <v/>
      </c>
      <c r="M2095" s="35">
        <f>MAX(INDEX(M$381:M$392,$D2095)+(M2068+M2086)*(1+$E2095),0.01)</f>
        <v/>
      </c>
      <c r="N2095" s="35">
        <f>MAX(INDEX(N$381:N$392,$D2095)+(N2068+N2086)*(1+$E2095),0.01)</f>
        <v/>
      </c>
      <c r="O2095" s="35">
        <f>MAX(INDEX(O$381:O$392,$D2095)+(O2068+O2086)*(1+$E2095),0.01)</f>
        <v/>
      </c>
      <c r="P2095" s="35">
        <f>MAX(INDEX(P$381:P$392,$D2095)+(P2068+P2086)*(1+$E2095),0.01)</f>
        <v/>
      </c>
      <c r="Q2095" s="35">
        <f>MAX(INDEX(Q$381:Q$392,$D2095)+(Q2068+Q2086)*(1+$E2095),0.01)</f>
        <v/>
      </c>
      <c r="R2095" s="35">
        <f>MAX(INDEX(R$381:R$392,$D2095)+(R2068+R2086)*(1+$E2095),0.01)</f>
        <v/>
      </c>
      <c r="S2095" s="35">
        <f>MAX(INDEX(S$381:S$392,$D2095)+(S2068+S2086)*(1+$E2095),0.01)</f>
        <v/>
      </c>
      <c r="T2095" s="35">
        <f>MAX(INDEX(T$381:T$392,$D2095)+(T2068+T2086)*(1+$E2095),0.01)</f>
        <v/>
      </c>
      <c r="U2095" s="35">
        <f>MAX(INDEX(U$381:U$392,$D2095)+(U2068+U2086)*(1+$E2095),0.01)</f>
        <v/>
      </c>
      <c r="V2095" s="35">
        <f>MAX(INDEX(V$381:V$392,$D2095)+(V2068+V2086)*(1+$E2095),0.01)</f>
        <v/>
      </c>
      <c r="W2095" s="35">
        <f>MAX(INDEX(W$381:W$392,$D2095)+(W2068+W2086)*(1+$E2095),0.01)</f>
        <v/>
      </c>
      <c r="X2095" s="35">
        <f>MAX(INDEX(X$381:X$392,$D2095)+(X2068+X2086)*(1+$E2095),0.01)</f>
        <v/>
      </c>
      <c r="Y2095" s="35">
        <f>MAX(INDEX(Y$381:Y$392,$D2095)+(Y2068+Y2086)*(1+$E2095),0.01)</f>
        <v/>
      </c>
      <c r="Z2095" s="35">
        <f>MAX(INDEX(Z$381:Z$392,$D2095)+(Z2068+Z2086)*(1+$E2095),0.01)</f>
        <v/>
      </c>
      <c r="AA2095" s="35">
        <f>MAX(INDEX(AA$381:AA$392,$D2095)+(AA2068+AA2086)*(1+$E2095),0.01)</f>
        <v/>
      </c>
      <c r="AB2095" s="35">
        <f>MAX(INDEX(AB$381:AB$392,$D2095)+(AB2068+AB2086)*(1+$E2095),0.01)</f>
        <v/>
      </c>
      <c r="AC2095" s="35">
        <f>MAX(INDEX(AC$381:AC$392,$D2095)+(AC2068+AC2086)*(1+$E2095),0.01)</f>
        <v/>
      </c>
      <c r="AD2095" s="35">
        <f>MAX(INDEX(AD$381:AD$392,$D2095)+(AD2068+AD2086)*(1+$E2095),0.01)</f>
        <v/>
      </c>
      <c r="AE2095" s="42">
        <f>POSTTAX(INDEX(AE$381:AE$392,$D2095),AE2068+AE2086,$E2095)</f>
        <v/>
      </c>
      <c r="AG2095" s="11">
        <f>CodePrefix&amp;$A2095&amp;IF($C2095="","","."&amp;$C2095&amp;"."&amp;$B2095)&amp;INDEX(VarEnd,MATCH($A2095,VarKey,0))&amp;AG$5</f>
        <v/>
      </c>
      <c r="AH2095" s="40">
        <f>MAX(INDEX(AH$381:AH$392,$D2095)+(AH2068+AH2086)*(1+$E2095),0.01)</f>
        <v/>
      </c>
      <c r="AI2095" s="35">
        <f>MAX(INDEX(AI$381:AI$392,$D2095)+(AI2068+AI2086)*(1+$E2095),0.01)</f>
        <v/>
      </c>
      <c r="AJ2095" s="35">
        <f>MAX(INDEX(AJ$381:AJ$392,$D2095)+(AJ2068+AJ2086)*(1+$E2095),0.01)</f>
        <v/>
      </c>
      <c r="AK2095" s="35">
        <f>MAX(INDEX(AK$381:AK$392,$D2095)+(AK2068+AK2086)*(1+$E2095),0.01)</f>
        <v/>
      </c>
      <c r="AL2095" s="35">
        <f>MAX(INDEX(AL$381:AL$392,$D2095)+(AL2068+AL2086)*(1+$E2095),0.01)</f>
        <v/>
      </c>
      <c r="AM2095" s="35">
        <f>MAX(INDEX(AM$381:AM$392,$D2095)+(AM2068+AM2086)*(1+$E2095),0.01)</f>
        <v/>
      </c>
      <c r="AN2095" s="35">
        <f>MAX(INDEX(AN$381:AN$392,$D2095)+(AN2068+AN2086)*(1+$E2095),0.01)</f>
        <v/>
      </c>
      <c r="AO2095" s="35">
        <f>MAX(INDEX(AO$381:AO$392,$D2095)+(AO2068+AO2086)*(1+$E2095),0.01)</f>
        <v/>
      </c>
      <c r="AP2095" s="35">
        <f>MAX(INDEX(AP$381:AP$392,$D2095)+(AP2068+AP2086)*(1+$E2095),0.01)</f>
        <v/>
      </c>
      <c r="AQ2095" s="35">
        <f>MAX(INDEX(AQ$381:AQ$392,$D2095)+(AQ2068+AQ2086)*(1+$E2095),0.01)</f>
        <v/>
      </c>
      <c r="AR2095" s="35">
        <f>MAX(INDEX(AR$381:AR$392,$D2095)+(AR2068+AR2086)*(1+$E2095),0.01)</f>
        <v/>
      </c>
      <c r="AS2095" s="35">
        <f>MAX(INDEX(AS$381:AS$392,$D2095)+(AS2068+AS2086)*(1+$E2095),0.01)</f>
        <v/>
      </c>
      <c r="AT2095" s="35">
        <f>MAX(INDEX(AT$381:AT$392,$D2095)+(AT2068+AT2086)*(1+$E2095),0.01)</f>
        <v/>
      </c>
      <c r="AU2095" s="35">
        <f>MAX(INDEX(AU$381:AU$392,$D2095)+(AU2068+AU2086)*(1+$E2095),0.01)</f>
        <v/>
      </c>
      <c r="AV2095" s="35">
        <f>MAX(INDEX(AV$381:AV$392,$D2095)+(AV2068+AV2086)*(1+$E2095),0.01)</f>
        <v/>
      </c>
      <c r="AW2095" s="35">
        <f>MAX(INDEX(AW$381:AW$392,$D2095)+(AW2068+AW2086)*(1+$E2095),0.01)</f>
        <v/>
      </c>
      <c r="AX2095" s="35">
        <f>MAX(INDEX(AX$381:AX$392,$D2095)+(AX2068+AX2086)*(1+$E2095),0.01)</f>
        <v/>
      </c>
      <c r="AY2095" s="35">
        <f>MAX(INDEX(AY$381:AY$392,$D2095)+(AY2068+AY2086)*(1+$E2095),0.01)</f>
        <v/>
      </c>
      <c r="AZ2095" s="35">
        <f>MAX(INDEX(AZ$381:AZ$392,$D2095)+(AZ2068+AZ2086)*(1+$E2095),0.01)</f>
        <v/>
      </c>
      <c r="BA2095" s="42">
        <f>POSTTAX(INDEX(BA$381:BA$392,$D2095),BA2068+BA2086,$E2095)</f>
        <v/>
      </c>
    </row>
    <row r="2096" hidden="1" outlineLevel="2">
      <c r="A2096" s="14" t="inlineStr">
        <is>
          <t>atp</t>
        </is>
      </c>
      <c r="B2096" s="14" t="inlineStr">
        <is>
          <t>ker</t>
        </is>
      </c>
      <c r="C2096" s="14" t="inlineStr">
        <is>
          <t>irn</t>
        </is>
      </c>
      <c r="D2096" s="35">
        <f>INDEX(Inputs!$U$5:$U$132,MATCH($B2096&amp;"|"&amp;$C2096,Inputs!$A$5:$A$132,0))</f>
        <v/>
      </c>
      <c r="E2096" s="35">
        <f>INDEX(Inputs!$V$5:$V$132,MATCH($B2096&amp;"|"&amp;$C2096,Inputs!$A$5:$A$132,0))</f>
        <v/>
      </c>
      <c r="F2096" s="39" t="n"/>
      <c r="G2096" s="39" t="n"/>
      <c r="H2096" s="14">
        <f>INDEX(VarLab,MATCH($A2096,VarKey,0))&amp;INDEX(MemLab,MATCH($C2096&amp;"|"&amp;$B2096,MemKey,0))</f>
        <v/>
      </c>
      <c r="I2096" s="14">
        <f>INDEX(VarUnit,MATCH($A2096,VarKey,0))</f>
        <v/>
      </c>
      <c r="J2096" s="14">
        <f>INDEX(VarSrc,MATCH($A2096,VarKey,0))</f>
        <v/>
      </c>
      <c r="K2096" s="11">
        <f>CodePrefix&amp;$A2096&amp;IF($C2096="","","."&amp;$C2096&amp;"."&amp;$B2096)&amp;INDEX(VarEnd,MATCH($A2096,VarKey,0))&amp;K$5</f>
        <v/>
      </c>
      <c r="L2096" s="40">
        <f>MAX(INDEX(L$381:L$392,$D2096)+(L2069+L2087)*(1+$E2096),0.01)</f>
        <v/>
      </c>
      <c r="M2096" s="35">
        <f>MAX(INDEX(M$381:M$392,$D2096)+(M2069+M2087)*(1+$E2096),0.01)</f>
        <v/>
      </c>
      <c r="N2096" s="35">
        <f>MAX(INDEX(N$381:N$392,$D2096)+(N2069+N2087)*(1+$E2096),0.01)</f>
        <v/>
      </c>
      <c r="O2096" s="35">
        <f>MAX(INDEX(O$381:O$392,$D2096)+(O2069+O2087)*(1+$E2096),0.01)</f>
        <v/>
      </c>
      <c r="P2096" s="35">
        <f>MAX(INDEX(P$381:P$392,$D2096)+(P2069+P2087)*(1+$E2096),0.01)</f>
        <v/>
      </c>
      <c r="Q2096" s="35">
        <f>MAX(INDEX(Q$381:Q$392,$D2096)+(Q2069+Q2087)*(1+$E2096),0.01)</f>
        <v/>
      </c>
      <c r="R2096" s="35">
        <f>MAX(INDEX(R$381:R$392,$D2096)+(R2069+R2087)*(1+$E2096),0.01)</f>
        <v/>
      </c>
      <c r="S2096" s="35">
        <f>MAX(INDEX(S$381:S$392,$D2096)+(S2069+S2087)*(1+$E2096),0.01)</f>
        <v/>
      </c>
      <c r="T2096" s="35">
        <f>MAX(INDEX(T$381:T$392,$D2096)+(T2069+T2087)*(1+$E2096),0.01)</f>
        <v/>
      </c>
      <c r="U2096" s="35">
        <f>MAX(INDEX(U$381:U$392,$D2096)+(U2069+U2087)*(1+$E2096),0.01)</f>
        <v/>
      </c>
      <c r="V2096" s="35">
        <f>MAX(INDEX(V$381:V$392,$D2096)+(V2069+V2087)*(1+$E2096),0.01)</f>
        <v/>
      </c>
      <c r="W2096" s="35">
        <f>MAX(INDEX(W$381:W$392,$D2096)+(W2069+W2087)*(1+$E2096),0.01)</f>
        <v/>
      </c>
      <c r="X2096" s="35">
        <f>MAX(INDEX(X$381:X$392,$D2096)+(X2069+X2087)*(1+$E2096),0.01)</f>
        <v/>
      </c>
      <c r="Y2096" s="35">
        <f>MAX(INDEX(Y$381:Y$392,$D2096)+(Y2069+Y2087)*(1+$E2096),0.01)</f>
        <v/>
      </c>
      <c r="Z2096" s="35">
        <f>MAX(INDEX(Z$381:Z$392,$D2096)+(Z2069+Z2087)*(1+$E2096),0.01)</f>
        <v/>
      </c>
      <c r="AA2096" s="35">
        <f>MAX(INDEX(AA$381:AA$392,$D2096)+(AA2069+AA2087)*(1+$E2096),0.01)</f>
        <v/>
      </c>
      <c r="AB2096" s="35">
        <f>MAX(INDEX(AB$381:AB$392,$D2096)+(AB2069+AB2087)*(1+$E2096),0.01)</f>
        <v/>
      </c>
      <c r="AC2096" s="35">
        <f>MAX(INDEX(AC$381:AC$392,$D2096)+(AC2069+AC2087)*(1+$E2096),0.01)</f>
        <v/>
      </c>
      <c r="AD2096" s="35">
        <f>MAX(INDEX(AD$381:AD$392,$D2096)+(AD2069+AD2087)*(1+$E2096),0.01)</f>
        <v/>
      </c>
      <c r="AE2096" s="42">
        <f>POSTTAX(INDEX(AE$381:AE$392,$D2096),AE2069+AE2087,$E2096)</f>
        <v/>
      </c>
      <c r="AG2096" s="11">
        <f>CodePrefix&amp;$A2096&amp;IF($C2096="","","."&amp;$C2096&amp;"."&amp;$B2096)&amp;INDEX(VarEnd,MATCH($A2096,VarKey,0))&amp;AG$5</f>
        <v/>
      </c>
      <c r="AH2096" s="40">
        <f>MAX(INDEX(AH$381:AH$392,$D2096)+(AH2069+AH2087)*(1+$E2096),0.01)</f>
        <v/>
      </c>
      <c r="AI2096" s="35">
        <f>MAX(INDEX(AI$381:AI$392,$D2096)+(AI2069+AI2087)*(1+$E2096),0.01)</f>
        <v/>
      </c>
      <c r="AJ2096" s="35">
        <f>MAX(INDEX(AJ$381:AJ$392,$D2096)+(AJ2069+AJ2087)*(1+$E2096),0.01)</f>
        <v/>
      </c>
      <c r="AK2096" s="35">
        <f>MAX(INDEX(AK$381:AK$392,$D2096)+(AK2069+AK2087)*(1+$E2096),0.01)</f>
        <v/>
      </c>
      <c r="AL2096" s="35">
        <f>MAX(INDEX(AL$381:AL$392,$D2096)+(AL2069+AL2087)*(1+$E2096),0.01)</f>
        <v/>
      </c>
      <c r="AM2096" s="35">
        <f>MAX(INDEX(AM$381:AM$392,$D2096)+(AM2069+AM2087)*(1+$E2096),0.01)</f>
        <v/>
      </c>
      <c r="AN2096" s="35">
        <f>MAX(INDEX(AN$381:AN$392,$D2096)+(AN2069+AN2087)*(1+$E2096),0.01)</f>
        <v/>
      </c>
      <c r="AO2096" s="35">
        <f>MAX(INDEX(AO$381:AO$392,$D2096)+(AO2069+AO2087)*(1+$E2096),0.01)</f>
        <v/>
      </c>
      <c r="AP2096" s="35">
        <f>MAX(INDEX(AP$381:AP$392,$D2096)+(AP2069+AP2087)*(1+$E2096),0.01)</f>
        <v/>
      </c>
      <c r="AQ2096" s="35">
        <f>MAX(INDEX(AQ$381:AQ$392,$D2096)+(AQ2069+AQ2087)*(1+$E2096),0.01)</f>
        <v/>
      </c>
      <c r="AR2096" s="35">
        <f>MAX(INDEX(AR$381:AR$392,$D2096)+(AR2069+AR2087)*(1+$E2096),0.01)</f>
        <v/>
      </c>
      <c r="AS2096" s="35">
        <f>MAX(INDEX(AS$381:AS$392,$D2096)+(AS2069+AS2087)*(1+$E2096),0.01)</f>
        <v/>
      </c>
      <c r="AT2096" s="35">
        <f>MAX(INDEX(AT$381:AT$392,$D2096)+(AT2069+AT2087)*(1+$E2096),0.01)</f>
        <v/>
      </c>
      <c r="AU2096" s="35">
        <f>MAX(INDEX(AU$381:AU$392,$D2096)+(AU2069+AU2087)*(1+$E2096),0.01)</f>
        <v/>
      </c>
      <c r="AV2096" s="35">
        <f>MAX(INDEX(AV$381:AV$392,$D2096)+(AV2069+AV2087)*(1+$E2096),0.01)</f>
        <v/>
      </c>
      <c r="AW2096" s="35">
        <f>MAX(INDEX(AW$381:AW$392,$D2096)+(AW2069+AW2087)*(1+$E2096),0.01)</f>
        <v/>
      </c>
      <c r="AX2096" s="35">
        <f>MAX(INDEX(AX$381:AX$392,$D2096)+(AX2069+AX2087)*(1+$E2096),0.01)</f>
        <v/>
      </c>
      <c r="AY2096" s="35">
        <f>MAX(INDEX(AY$381:AY$392,$D2096)+(AY2069+AY2087)*(1+$E2096),0.01)</f>
        <v/>
      </c>
      <c r="AZ2096" s="35">
        <f>MAX(INDEX(AZ$381:AZ$392,$D2096)+(AZ2069+AZ2087)*(1+$E2096),0.01)</f>
        <v/>
      </c>
      <c r="BA2096" s="42">
        <f>POSTTAX(INDEX(BA$381:BA$392,$D2096),BA2069+BA2087,$E2096)</f>
        <v/>
      </c>
    </row>
    <row r="2097" hidden="1" outlineLevel="2">
      <c r="A2097" s="14" t="inlineStr">
        <is>
          <t>atp</t>
        </is>
      </c>
      <c r="B2097" s="14" t="inlineStr">
        <is>
          <t>oop</t>
        </is>
      </c>
      <c r="C2097" s="14" t="inlineStr">
        <is>
          <t>irn</t>
        </is>
      </c>
      <c r="D2097" s="35">
        <f>INDEX(Inputs!$U$5:$U$132,MATCH($B2097&amp;"|"&amp;$C2097,Inputs!$A$5:$A$132,0))</f>
        <v/>
      </c>
      <c r="E2097" s="35">
        <f>INDEX(Inputs!$V$5:$V$132,MATCH($B2097&amp;"|"&amp;$C2097,Inputs!$A$5:$A$132,0))</f>
        <v/>
      </c>
      <c r="F2097" s="39" t="n"/>
      <c r="G2097" s="39" t="n"/>
      <c r="H2097" s="14">
        <f>INDEX(VarLab,MATCH($A2097,VarKey,0))&amp;INDEX(MemLab,MATCH($C2097&amp;"|"&amp;$B2097,MemKey,0))</f>
        <v/>
      </c>
      <c r="I2097" s="14">
        <f>INDEX(VarUnit,MATCH($A2097,VarKey,0))</f>
        <v/>
      </c>
      <c r="J2097" s="14">
        <f>INDEX(VarSrc,MATCH($A2097,VarKey,0))</f>
        <v/>
      </c>
      <c r="K2097" s="11">
        <f>CodePrefix&amp;$A2097&amp;IF($C2097="","","."&amp;$C2097&amp;"."&amp;$B2097)&amp;INDEX(VarEnd,MATCH($A2097,VarKey,0))&amp;K$5</f>
        <v/>
      </c>
      <c r="L2097" s="40">
        <f>MAX(INDEX(L$381:L$392,$D2097)+(L2070+L2088)*(1+$E2097),0.01)</f>
        <v/>
      </c>
      <c r="M2097" s="35">
        <f>MAX(INDEX(M$381:M$392,$D2097)+(M2070+M2088)*(1+$E2097),0.01)</f>
        <v/>
      </c>
      <c r="N2097" s="35">
        <f>MAX(INDEX(N$381:N$392,$D2097)+(N2070+N2088)*(1+$E2097),0.01)</f>
        <v/>
      </c>
      <c r="O2097" s="35">
        <f>MAX(INDEX(O$381:O$392,$D2097)+(O2070+O2088)*(1+$E2097),0.01)</f>
        <v/>
      </c>
      <c r="P2097" s="35">
        <f>MAX(INDEX(P$381:P$392,$D2097)+(P2070+P2088)*(1+$E2097),0.01)</f>
        <v/>
      </c>
      <c r="Q2097" s="35">
        <f>MAX(INDEX(Q$381:Q$392,$D2097)+(Q2070+Q2088)*(1+$E2097),0.01)</f>
        <v/>
      </c>
      <c r="R2097" s="35">
        <f>MAX(INDEX(R$381:R$392,$D2097)+(R2070+R2088)*(1+$E2097),0.01)</f>
        <v/>
      </c>
      <c r="S2097" s="35">
        <f>MAX(INDEX(S$381:S$392,$D2097)+(S2070+S2088)*(1+$E2097),0.01)</f>
        <v/>
      </c>
      <c r="T2097" s="35">
        <f>MAX(INDEX(T$381:T$392,$D2097)+(T2070+T2088)*(1+$E2097),0.01)</f>
        <v/>
      </c>
      <c r="U2097" s="35">
        <f>MAX(INDEX(U$381:U$392,$D2097)+(U2070+U2088)*(1+$E2097),0.01)</f>
        <v/>
      </c>
      <c r="V2097" s="35">
        <f>MAX(INDEX(V$381:V$392,$D2097)+(V2070+V2088)*(1+$E2097),0.01)</f>
        <v/>
      </c>
      <c r="W2097" s="35">
        <f>MAX(INDEX(W$381:W$392,$D2097)+(W2070+W2088)*(1+$E2097),0.01)</f>
        <v/>
      </c>
      <c r="X2097" s="35">
        <f>MAX(INDEX(X$381:X$392,$D2097)+(X2070+X2088)*(1+$E2097),0.01)</f>
        <v/>
      </c>
      <c r="Y2097" s="35">
        <f>MAX(INDEX(Y$381:Y$392,$D2097)+(Y2070+Y2088)*(1+$E2097),0.01)</f>
        <v/>
      </c>
      <c r="Z2097" s="35">
        <f>MAX(INDEX(Z$381:Z$392,$D2097)+(Z2070+Z2088)*(1+$E2097),0.01)</f>
        <v/>
      </c>
      <c r="AA2097" s="35">
        <f>MAX(INDEX(AA$381:AA$392,$D2097)+(AA2070+AA2088)*(1+$E2097),0.01)</f>
        <v/>
      </c>
      <c r="AB2097" s="35">
        <f>MAX(INDEX(AB$381:AB$392,$D2097)+(AB2070+AB2088)*(1+$E2097),0.01)</f>
        <v/>
      </c>
      <c r="AC2097" s="35">
        <f>MAX(INDEX(AC$381:AC$392,$D2097)+(AC2070+AC2088)*(1+$E2097),0.01)</f>
        <v/>
      </c>
      <c r="AD2097" s="35">
        <f>MAX(INDEX(AD$381:AD$392,$D2097)+(AD2070+AD2088)*(1+$E2097),0.01)</f>
        <v/>
      </c>
      <c r="AE2097" s="42">
        <f>POSTTAX(INDEX(AE$381:AE$392,$D2097),AE2070+AE2088,$E2097)</f>
        <v/>
      </c>
      <c r="AG2097" s="11">
        <f>CodePrefix&amp;$A2097&amp;IF($C2097="","","."&amp;$C2097&amp;"."&amp;$B2097)&amp;INDEX(VarEnd,MATCH($A2097,VarKey,0))&amp;AG$5</f>
        <v/>
      </c>
      <c r="AH2097" s="40">
        <f>MAX(INDEX(AH$381:AH$392,$D2097)+(AH2070+AH2088)*(1+$E2097),0.01)</f>
        <v/>
      </c>
      <c r="AI2097" s="35">
        <f>MAX(INDEX(AI$381:AI$392,$D2097)+(AI2070+AI2088)*(1+$E2097),0.01)</f>
        <v/>
      </c>
      <c r="AJ2097" s="35">
        <f>MAX(INDEX(AJ$381:AJ$392,$D2097)+(AJ2070+AJ2088)*(1+$E2097),0.01)</f>
        <v/>
      </c>
      <c r="AK2097" s="35">
        <f>MAX(INDEX(AK$381:AK$392,$D2097)+(AK2070+AK2088)*(1+$E2097),0.01)</f>
        <v/>
      </c>
      <c r="AL2097" s="35">
        <f>MAX(INDEX(AL$381:AL$392,$D2097)+(AL2070+AL2088)*(1+$E2097),0.01)</f>
        <v/>
      </c>
      <c r="AM2097" s="35">
        <f>MAX(INDEX(AM$381:AM$392,$D2097)+(AM2070+AM2088)*(1+$E2097),0.01)</f>
        <v/>
      </c>
      <c r="AN2097" s="35">
        <f>MAX(INDEX(AN$381:AN$392,$D2097)+(AN2070+AN2088)*(1+$E2097),0.01)</f>
        <v/>
      </c>
      <c r="AO2097" s="35">
        <f>MAX(INDEX(AO$381:AO$392,$D2097)+(AO2070+AO2088)*(1+$E2097),0.01)</f>
        <v/>
      </c>
      <c r="AP2097" s="35">
        <f>MAX(INDEX(AP$381:AP$392,$D2097)+(AP2070+AP2088)*(1+$E2097),0.01)</f>
        <v/>
      </c>
      <c r="AQ2097" s="35">
        <f>MAX(INDEX(AQ$381:AQ$392,$D2097)+(AQ2070+AQ2088)*(1+$E2097),0.01)</f>
        <v/>
      </c>
      <c r="AR2097" s="35">
        <f>MAX(INDEX(AR$381:AR$392,$D2097)+(AR2070+AR2088)*(1+$E2097),0.01)</f>
        <v/>
      </c>
      <c r="AS2097" s="35">
        <f>MAX(INDEX(AS$381:AS$392,$D2097)+(AS2070+AS2088)*(1+$E2097),0.01)</f>
        <v/>
      </c>
      <c r="AT2097" s="35">
        <f>MAX(INDEX(AT$381:AT$392,$D2097)+(AT2070+AT2088)*(1+$E2097),0.01)</f>
        <v/>
      </c>
      <c r="AU2097" s="35">
        <f>MAX(INDEX(AU$381:AU$392,$D2097)+(AU2070+AU2088)*(1+$E2097),0.01)</f>
        <v/>
      </c>
      <c r="AV2097" s="35">
        <f>MAX(INDEX(AV$381:AV$392,$D2097)+(AV2070+AV2088)*(1+$E2097),0.01)</f>
        <v/>
      </c>
      <c r="AW2097" s="35">
        <f>MAX(INDEX(AW$381:AW$392,$D2097)+(AW2070+AW2088)*(1+$E2097),0.01)</f>
        <v/>
      </c>
      <c r="AX2097" s="35">
        <f>MAX(INDEX(AX$381:AX$392,$D2097)+(AX2070+AX2088)*(1+$E2097),0.01)</f>
        <v/>
      </c>
      <c r="AY2097" s="35">
        <f>MAX(INDEX(AY$381:AY$392,$D2097)+(AY2070+AY2088)*(1+$E2097),0.01)</f>
        <v/>
      </c>
      <c r="AZ2097" s="35">
        <f>MAX(INDEX(AZ$381:AZ$392,$D2097)+(AZ2070+AZ2088)*(1+$E2097),0.01)</f>
        <v/>
      </c>
      <c r="BA2097" s="42">
        <f>POSTTAX(INDEX(BA$381:BA$392,$D2097),BA2070+BA2088,$E2097)</f>
        <v/>
      </c>
    </row>
    <row r="2098" hidden="1" outlineLevel="2">
      <c r="A2098" s="14" t="inlineStr">
        <is>
          <t>atp</t>
        </is>
      </c>
      <c r="B2098" s="14" t="inlineStr">
        <is>
          <t>bio</t>
        </is>
      </c>
      <c r="C2098" s="14" t="inlineStr">
        <is>
          <t>irn</t>
        </is>
      </c>
      <c r="D2098" s="35">
        <f>INDEX(Inputs!$U$5:$U$132,MATCH($B2098&amp;"|"&amp;$C2098,Inputs!$A$5:$A$132,0))</f>
        <v/>
      </c>
      <c r="E2098" s="35">
        <f>INDEX(Inputs!$V$5:$V$132,MATCH($B2098&amp;"|"&amp;$C2098,Inputs!$A$5:$A$132,0))</f>
        <v/>
      </c>
      <c r="F2098" s="39" t="n"/>
      <c r="G2098" s="39" t="n"/>
      <c r="H2098" s="14">
        <f>INDEX(VarLab,MATCH($A2098,VarKey,0))&amp;INDEX(MemLab,MATCH($C2098&amp;"|"&amp;$B2098,MemKey,0))</f>
        <v/>
      </c>
      <c r="I2098" s="14">
        <f>INDEX(VarUnit,MATCH($A2098,VarKey,0))</f>
        <v/>
      </c>
      <c r="J2098" s="14">
        <f>INDEX(VarSrc,MATCH($A2098,VarKey,0))</f>
        <v/>
      </c>
      <c r="K2098" s="11">
        <f>CodePrefix&amp;$A2098&amp;IF($C2098="","","."&amp;$C2098&amp;"."&amp;$B2098)&amp;INDEX(VarEnd,MATCH($A2098,VarKey,0))&amp;K$5</f>
        <v/>
      </c>
      <c r="L2098" s="40">
        <f>MAX(INDEX(L$381:L$392,$D2098)+(L2071+L2089)*(1+$E2098),0.01)</f>
        <v/>
      </c>
      <c r="M2098" s="35">
        <f>MAX(INDEX(M$381:M$392,$D2098)+(M2071+M2089)*(1+$E2098),0.01)</f>
        <v/>
      </c>
      <c r="N2098" s="35">
        <f>MAX(INDEX(N$381:N$392,$D2098)+(N2071+N2089)*(1+$E2098),0.01)</f>
        <v/>
      </c>
      <c r="O2098" s="35">
        <f>MAX(INDEX(O$381:O$392,$D2098)+(O2071+O2089)*(1+$E2098),0.01)</f>
        <v/>
      </c>
      <c r="P2098" s="35">
        <f>MAX(INDEX(P$381:P$392,$D2098)+(P2071+P2089)*(1+$E2098),0.01)</f>
        <v/>
      </c>
      <c r="Q2098" s="35">
        <f>MAX(INDEX(Q$381:Q$392,$D2098)+(Q2071+Q2089)*(1+$E2098),0.01)</f>
        <v/>
      </c>
      <c r="R2098" s="35">
        <f>MAX(INDEX(R$381:R$392,$D2098)+(R2071+R2089)*(1+$E2098),0.01)</f>
        <v/>
      </c>
      <c r="S2098" s="35">
        <f>MAX(INDEX(S$381:S$392,$D2098)+(S2071+S2089)*(1+$E2098),0.01)</f>
        <v/>
      </c>
      <c r="T2098" s="35">
        <f>MAX(INDEX(T$381:T$392,$D2098)+(T2071+T2089)*(1+$E2098),0.01)</f>
        <v/>
      </c>
      <c r="U2098" s="35">
        <f>MAX(INDEX(U$381:U$392,$D2098)+(U2071+U2089)*(1+$E2098),0.01)</f>
        <v/>
      </c>
      <c r="V2098" s="35">
        <f>MAX(INDEX(V$381:V$392,$D2098)+(V2071+V2089)*(1+$E2098),0.01)</f>
        <v/>
      </c>
      <c r="W2098" s="35">
        <f>MAX(INDEX(W$381:W$392,$D2098)+(W2071+W2089)*(1+$E2098),0.01)</f>
        <v/>
      </c>
      <c r="X2098" s="35">
        <f>MAX(INDEX(X$381:X$392,$D2098)+(X2071+X2089)*(1+$E2098),0.01)</f>
        <v/>
      </c>
      <c r="Y2098" s="35">
        <f>MAX(INDEX(Y$381:Y$392,$D2098)+(Y2071+Y2089)*(1+$E2098),0.01)</f>
        <v/>
      </c>
      <c r="Z2098" s="35">
        <f>MAX(INDEX(Z$381:Z$392,$D2098)+(Z2071+Z2089)*(1+$E2098),0.01)</f>
        <v/>
      </c>
      <c r="AA2098" s="35">
        <f>MAX(INDEX(AA$381:AA$392,$D2098)+(AA2071+AA2089)*(1+$E2098),0.01)</f>
        <v/>
      </c>
      <c r="AB2098" s="35">
        <f>MAX(INDEX(AB$381:AB$392,$D2098)+(AB2071+AB2089)*(1+$E2098),0.01)</f>
        <v/>
      </c>
      <c r="AC2098" s="35">
        <f>MAX(INDEX(AC$381:AC$392,$D2098)+(AC2071+AC2089)*(1+$E2098),0.01)</f>
        <v/>
      </c>
      <c r="AD2098" s="35">
        <f>MAX(INDEX(AD$381:AD$392,$D2098)+(AD2071+AD2089)*(1+$E2098),0.01)</f>
        <v/>
      </c>
      <c r="AE2098" s="42">
        <f>POSTTAX(INDEX(AE$381:AE$392,$D2098),AE2071+AE2089,$E2098)</f>
        <v/>
      </c>
      <c r="AG2098" s="11">
        <f>CodePrefix&amp;$A2098&amp;IF($C2098="","","."&amp;$C2098&amp;"."&amp;$B2098)&amp;INDEX(VarEnd,MATCH($A2098,VarKey,0))&amp;AG$5</f>
        <v/>
      </c>
      <c r="AH2098" s="40">
        <f>MAX(INDEX(AH$381:AH$392,$D2098)+(AH2071+AH2089)*(1+$E2098),0.01)</f>
        <v/>
      </c>
      <c r="AI2098" s="35">
        <f>MAX(INDEX(AI$381:AI$392,$D2098)+(AI2071+AI2089)*(1+$E2098),0.01)</f>
        <v/>
      </c>
      <c r="AJ2098" s="35">
        <f>MAX(INDEX(AJ$381:AJ$392,$D2098)+(AJ2071+AJ2089)*(1+$E2098),0.01)</f>
        <v/>
      </c>
      <c r="AK2098" s="35">
        <f>MAX(INDEX(AK$381:AK$392,$D2098)+(AK2071+AK2089)*(1+$E2098),0.01)</f>
        <v/>
      </c>
      <c r="AL2098" s="35">
        <f>MAX(INDEX(AL$381:AL$392,$D2098)+(AL2071+AL2089)*(1+$E2098),0.01)</f>
        <v/>
      </c>
      <c r="AM2098" s="35">
        <f>MAX(INDEX(AM$381:AM$392,$D2098)+(AM2071+AM2089)*(1+$E2098),0.01)</f>
        <v/>
      </c>
      <c r="AN2098" s="35">
        <f>MAX(INDEX(AN$381:AN$392,$D2098)+(AN2071+AN2089)*(1+$E2098),0.01)</f>
        <v/>
      </c>
      <c r="AO2098" s="35">
        <f>MAX(INDEX(AO$381:AO$392,$D2098)+(AO2071+AO2089)*(1+$E2098),0.01)</f>
        <v/>
      </c>
      <c r="AP2098" s="35">
        <f>MAX(INDEX(AP$381:AP$392,$D2098)+(AP2071+AP2089)*(1+$E2098),0.01)</f>
        <v/>
      </c>
      <c r="AQ2098" s="35">
        <f>MAX(INDEX(AQ$381:AQ$392,$D2098)+(AQ2071+AQ2089)*(1+$E2098),0.01)</f>
        <v/>
      </c>
      <c r="AR2098" s="35">
        <f>MAX(INDEX(AR$381:AR$392,$D2098)+(AR2071+AR2089)*(1+$E2098),0.01)</f>
        <v/>
      </c>
      <c r="AS2098" s="35">
        <f>MAX(INDEX(AS$381:AS$392,$D2098)+(AS2071+AS2089)*(1+$E2098),0.01)</f>
        <v/>
      </c>
      <c r="AT2098" s="35">
        <f>MAX(INDEX(AT$381:AT$392,$D2098)+(AT2071+AT2089)*(1+$E2098),0.01)</f>
        <v/>
      </c>
      <c r="AU2098" s="35">
        <f>MAX(INDEX(AU$381:AU$392,$D2098)+(AU2071+AU2089)*(1+$E2098),0.01)</f>
        <v/>
      </c>
      <c r="AV2098" s="35">
        <f>MAX(INDEX(AV$381:AV$392,$D2098)+(AV2071+AV2089)*(1+$E2098),0.01)</f>
        <v/>
      </c>
      <c r="AW2098" s="35">
        <f>MAX(INDEX(AW$381:AW$392,$D2098)+(AW2071+AW2089)*(1+$E2098),0.01)</f>
        <v/>
      </c>
      <c r="AX2098" s="35">
        <f>MAX(INDEX(AX$381:AX$392,$D2098)+(AX2071+AX2089)*(1+$E2098),0.01)</f>
        <v/>
      </c>
      <c r="AY2098" s="35">
        <f>MAX(INDEX(AY$381:AY$392,$D2098)+(AY2071+AY2089)*(1+$E2098),0.01)</f>
        <v/>
      </c>
      <c r="AZ2098" s="35">
        <f>MAX(INDEX(AZ$381:AZ$392,$D2098)+(AZ2071+AZ2089)*(1+$E2098),0.01)</f>
        <v/>
      </c>
      <c r="BA2098" s="42">
        <f>POSTTAX(INDEX(BA$381:BA$392,$D2098),BA2071+BA2089,$E2098)</f>
        <v/>
      </c>
    </row>
    <row r="2099" hidden="1" outlineLevel="2"/>
    <row r="2100" hidden="1" outlineLevel="2">
      <c r="A2100" s="14" t="inlineStr">
        <is>
          <t>shp</t>
        </is>
      </c>
      <c r="B2100" s="14" t="inlineStr">
        <is>
          <t>coa</t>
        </is>
      </c>
      <c r="C2100" s="14" t="inlineStr">
        <is>
          <t>irn</t>
        </is>
      </c>
      <c r="D2100" s="35">
        <f>INDEX(Inputs!$W$5:$W$132,MATCH($B2100&amp;"|"&amp;$C2100,Inputs!$A$5:$A$132,0))</f>
        <v/>
      </c>
      <c r="E2100" s="35">
        <f>INDEX(Inputs!$M$5:$M$132,MATCH($B2100&amp;"|"&amp;$C2100,Inputs!$A$5:$A$132,0))</f>
        <v/>
      </c>
      <c r="F2100" s="39" t="n"/>
      <c r="G2100" s="39" t="n"/>
      <c r="H2100" s="14">
        <f>INDEX(VarLab,MATCH($A2100,VarKey,0))&amp;INDEX(MemLab,MATCH($C2100&amp;"|"&amp;$B2100,MemKey,0))</f>
        <v/>
      </c>
      <c r="I2100" s="14">
        <f>INDEX(VarUnit,MATCH($A2100,VarKey,0))</f>
        <v/>
      </c>
      <c r="J2100" s="14">
        <f>INDEX(VarSrc,MATCH($A2100,VarKey,0))</f>
        <v/>
      </c>
      <c r="K2100" s="11">
        <f>CodePrefix&amp;$A2100&amp;IF($C2100="","","."&amp;$C2100&amp;"."&amp;$B2100)&amp;INDEX(VarEnd,MATCH($A2100,VarKey,0))&amp;K$5</f>
        <v/>
      </c>
      <c r="L2100" s="40">
        <f>INDEX(L$297:L$313,$E2100)*$D2100</f>
        <v/>
      </c>
      <c r="M2100" s="35">
        <f>INDEX(M$297:M$313,$E2100)*$D2100</f>
        <v/>
      </c>
      <c r="N2100" s="35">
        <f>INDEX(N$297:N$313,$E2100)*$D2100</f>
        <v/>
      </c>
      <c r="O2100" s="35">
        <f>INDEX(O$297:O$313,$E2100)*$D2100</f>
        <v/>
      </c>
      <c r="P2100" s="35">
        <f>INDEX(P$297:P$313,$E2100)*$D2100</f>
        <v/>
      </c>
      <c r="Q2100" s="35">
        <f>INDEX(Q$297:Q$313,$E2100)*$D2100</f>
        <v/>
      </c>
      <c r="R2100" s="35">
        <f>INDEX(R$297:R$313,$E2100)*$D2100</f>
        <v/>
      </c>
      <c r="S2100" s="35">
        <f>INDEX(S$297:S$313,$E2100)*$D2100</f>
        <v/>
      </c>
      <c r="T2100" s="35">
        <f>INDEX(T$297:T$313,$E2100)*$D2100</f>
        <v/>
      </c>
      <c r="U2100" s="35">
        <f>INDEX(U$297:U$313,$E2100)*$D2100</f>
        <v/>
      </c>
      <c r="V2100" s="35">
        <f>INDEX(V$297:V$313,$E2100)*$D2100</f>
        <v/>
      </c>
      <c r="W2100" s="35">
        <f>INDEX(W$297:W$313,$E2100)*$D2100</f>
        <v/>
      </c>
      <c r="X2100" s="35">
        <f>INDEX(X$297:X$313,$E2100)*$D2100</f>
        <v/>
      </c>
      <c r="Y2100" s="35">
        <f>INDEX(Y$297:Y$313,$E2100)*$D2100</f>
        <v/>
      </c>
      <c r="Z2100" s="35">
        <f>INDEX(Z$297:Z$313,$E2100)*$D2100</f>
        <v/>
      </c>
      <c r="AA2100" s="35">
        <f>INDEX(AA$297:AA$313,$E2100)*$D2100</f>
        <v/>
      </c>
      <c r="AB2100" s="35">
        <f>INDEX(AB$297:AB$313,$E2100)*$D2100</f>
        <v/>
      </c>
      <c r="AC2100" s="35">
        <f>INDEX(AC$297:AC$313,$E2100)*$D2100</f>
        <v/>
      </c>
      <c r="AD2100" s="35">
        <f>INDEX(AD$297:AD$313,$E2100)*$D2100</f>
        <v/>
      </c>
      <c r="AE2100" s="42">
        <f>SHADOWGJ(INDEX(AE$297:AE$313,$E2100),$D2100)</f>
        <v/>
      </c>
      <c r="AG2100" s="11">
        <f>CodePrefix&amp;$A2100&amp;IF($C2100="","","."&amp;$C2100&amp;"."&amp;$B2100)&amp;INDEX(VarEnd,MATCH($A2100,VarKey,0))&amp;AG$5</f>
        <v/>
      </c>
      <c r="AH2100" s="40">
        <f>INDEX(AH$297:AH$313,$E2100)*$D2100</f>
        <v/>
      </c>
      <c r="AI2100" s="35">
        <f>INDEX(AI$297:AI$313,$E2100)*$D2100</f>
        <v/>
      </c>
      <c r="AJ2100" s="35">
        <f>INDEX(AJ$297:AJ$313,$E2100)*$D2100</f>
        <v/>
      </c>
      <c r="AK2100" s="35">
        <f>INDEX(AK$297:AK$313,$E2100)*$D2100</f>
        <v/>
      </c>
      <c r="AL2100" s="35">
        <f>INDEX(AL$297:AL$313,$E2100)*$D2100</f>
        <v/>
      </c>
      <c r="AM2100" s="35">
        <f>INDEX(AM$297:AM$313,$E2100)*$D2100</f>
        <v/>
      </c>
      <c r="AN2100" s="35">
        <f>INDEX(AN$297:AN$313,$E2100)*$D2100</f>
        <v/>
      </c>
      <c r="AO2100" s="35">
        <f>INDEX(AO$297:AO$313,$E2100)*$D2100</f>
        <v/>
      </c>
      <c r="AP2100" s="35">
        <f>INDEX(AP$297:AP$313,$E2100)*$D2100</f>
        <v/>
      </c>
      <c r="AQ2100" s="35">
        <f>INDEX(AQ$297:AQ$313,$E2100)*$D2100</f>
        <v/>
      </c>
      <c r="AR2100" s="35">
        <f>INDEX(AR$297:AR$313,$E2100)*$D2100</f>
        <v/>
      </c>
      <c r="AS2100" s="35">
        <f>INDEX(AS$297:AS$313,$E2100)*$D2100</f>
        <v/>
      </c>
      <c r="AT2100" s="35">
        <f>INDEX(AT$297:AT$313,$E2100)*$D2100</f>
        <v/>
      </c>
      <c r="AU2100" s="35">
        <f>INDEX(AU$297:AU$313,$E2100)*$D2100</f>
        <v/>
      </c>
      <c r="AV2100" s="35">
        <f>INDEX(AV$297:AV$313,$E2100)*$D2100</f>
        <v/>
      </c>
      <c r="AW2100" s="35">
        <f>INDEX(AW$297:AW$313,$E2100)*$D2100</f>
        <v/>
      </c>
      <c r="AX2100" s="35">
        <f>INDEX(AX$297:AX$313,$E2100)*$D2100</f>
        <v/>
      </c>
      <c r="AY2100" s="35">
        <f>INDEX(AY$297:AY$313,$E2100)*$D2100</f>
        <v/>
      </c>
      <c r="AZ2100" s="35">
        <f>INDEX(AZ$297:AZ$313,$E2100)*$D2100</f>
        <v/>
      </c>
      <c r="BA2100" s="42">
        <f>SHADOWGJ(INDEX(BA$297:BA$313,$E2100),$D2100)</f>
        <v/>
      </c>
    </row>
    <row r="2101" hidden="1" outlineLevel="2">
      <c r="A2101" s="14" t="inlineStr">
        <is>
          <t>shp</t>
        </is>
      </c>
      <c r="B2101" s="14" t="inlineStr">
        <is>
          <t>nga</t>
        </is>
      </c>
      <c r="C2101" s="14" t="inlineStr">
        <is>
          <t>irn</t>
        </is>
      </c>
      <c r="D2101" s="35">
        <f>INDEX(Inputs!$W$5:$W$132,MATCH($B2101&amp;"|"&amp;$C2101,Inputs!$A$5:$A$132,0))</f>
        <v/>
      </c>
      <c r="E2101" s="35">
        <f>INDEX(Inputs!$M$5:$M$132,MATCH($B2101&amp;"|"&amp;$C2101,Inputs!$A$5:$A$132,0))</f>
        <v/>
      </c>
      <c r="F2101" s="39" t="n"/>
      <c r="G2101" s="39" t="n"/>
      <c r="H2101" s="14">
        <f>INDEX(VarLab,MATCH($A2101,VarKey,0))&amp;INDEX(MemLab,MATCH($C2101&amp;"|"&amp;$B2101,MemKey,0))</f>
        <v/>
      </c>
      <c r="I2101" s="14">
        <f>INDEX(VarUnit,MATCH($A2101,VarKey,0))</f>
        <v/>
      </c>
      <c r="J2101" s="14">
        <f>INDEX(VarSrc,MATCH($A2101,VarKey,0))</f>
        <v/>
      </c>
      <c r="K2101" s="11">
        <f>CodePrefix&amp;$A2101&amp;IF($C2101="","","."&amp;$C2101&amp;"."&amp;$B2101)&amp;INDEX(VarEnd,MATCH($A2101,VarKey,0))&amp;K$5</f>
        <v/>
      </c>
      <c r="L2101" s="40">
        <f>INDEX(L$297:L$313,$E2101)*$D2101</f>
        <v/>
      </c>
      <c r="M2101" s="35">
        <f>INDEX(M$297:M$313,$E2101)*$D2101</f>
        <v/>
      </c>
      <c r="N2101" s="35">
        <f>INDEX(N$297:N$313,$E2101)*$D2101</f>
        <v/>
      </c>
      <c r="O2101" s="35">
        <f>INDEX(O$297:O$313,$E2101)*$D2101</f>
        <v/>
      </c>
      <c r="P2101" s="35">
        <f>INDEX(P$297:P$313,$E2101)*$D2101</f>
        <v/>
      </c>
      <c r="Q2101" s="35">
        <f>INDEX(Q$297:Q$313,$E2101)*$D2101</f>
        <v/>
      </c>
      <c r="R2101" s="35">
        <f>INDEX(R$297:R$313,$E2101)*$D2101</f>
        <v/>
      </c>
      <c r="S2101" s="35">
        <f>INDEX(S$297:S$313,$E2101)*$D2101</f>
        <v/>
      </c>
      <c r="T2101" s="35">
        <f>INDEX(T$297:T$313,$E2101)*$D2101</f>
        <v/>
      </c>
      <c r="U2101" s="35">
        <f>INDEX(U$297:U$313,$E2101)*$D2101</f>
        <v/>
      </c>
      <c r="V2101" s="35">
        <f>INDEX(V$297:V$313,$E2101)*$D2101</f>
        <v/>
      </c>
      <c r="W2101" s="35">
        <f>INDEX(W$297:W$313,$E2101)*$D2101</f>
        <v/>
      </c>
      <c r="X2101" s="35">
        <f>INDEX(X$297:X$313,$E2101)*$D2101</f>
        <v/>
      </c>
      <c r="Y2101" s="35">
        <f>INDEX(Y$297:Y$313,$E2101)*$D2101</f>
        <v/>
      </c>
      <c r="Z2101" s="35">
        <f>INDEX(Z$297:Z$313,$E2101)*$D2101</f>
        <v/>
      </c>
      <c r="AA2101" s="35">
        <f>INDEX(AA$297:AA$313,$E2101)*$D2101</f>
        <v/>
      </c>
      <c r="AB2101" s="35">
        <f>INDEX(AB$297:AB$313,$E2101)*$D2101</f>
        <v/>
      </c>
      <c r="AC2101" s="35">
        <f>INDEX(AC$297:AC$313,$E2101)*$D2101</f>
        <v/>
      </c>
      <c r="AD2101" s="35">
        <f>INDEX(AD$297:AD$313,$E2101)*$D2101</f>
        <v/>
      </c>
      <c r="AE2101" s="42">
        <f>SHADOWGJ(INDEX(AE$297:AE$313,$E2101),$D2101)</f>
        <v/>
      </c>
      <c r="AG2101" s="11">
        <f>CodePrefix&amp;$A2101&amp;IF($C2101="","","."&amp;$C2101&amp;"."&amp;$B2101)&amp;INDEX(VarEnd,MATCH($A2101,VarKey,0))&amp;AG$5</f>
        <v/>
      </c>
      <c r="AH2101" s="40">
        <f>INDEX(AH$297:AH$313,$E2101)*$D2101</f>
        <v/>
      </c>
      <c r="AI2101" s="35">
        <f>INDEX(AI$297:AI$313,$E2101)*$D2101</f>
        <v/>
      </c>
      <c r="AJ2101" s="35">
        <f>INDEX(AJ$297:AJ$313,$E2101)*$D2101</f>
        <v/>
      </c>
      <c r="AK2101" s="35">
        <f>INDEX(AK$297:AK$313,$E2101)*$D2101</f>
        <v/>
      </c>
      <c r="AL2101" s="35">
        <f>INDEX(AL$297:AL$313,$E2101)*$D2101</f>
        <v/>
      </c>
      <c r="AM2101" s="35">
        <f>INDEX(AM$297:AM$313,$E2101)*$D2101</f>
        <v/>
      </c>
      <c r="AN2101" s="35">
        <f>INDEX(AN$297:AN$313,$E2101)*$D2101</f>
        <v/>
      </c>
      <c r="AO2101" s="35">
        <f>INDEX(AO$297:AO$313,$E2101)*$D2101</f>
        <v/>
      </c>
      <c r="AP2101" s="35">
        <f>INDEX(AP$297:AP$313,$E2101)*$D2101</f>
        <v/>
      </c>
      <c r="AQ2101" s="35">
        <f>INDEX(AQ$297:AQ$313,$E2101)*$D2101</f>
        <v/>
      </c>
      <c r="AR2101" s="35">
        <f>INDEX(AR$297:AR$313,$E2101)*$D2101</f>
        <v/>
      </c>
      <c r="AS2101" s="35">
        <f>INDEX(AS$297:AS$313,$E2101)*$D2101</f>
        <v/>
      </c>
      <c r="AT2101" s="35">
        <f>INDEX(AT$297:AT$313,$E2101)*$D2101</f>
        <v/>
      </c>
      <c r="AU2101" s="35">
        <f>INDEX(AU$297:AU$313,$E2101)*$D2101</f>
        <v/>
      </c>
      <c r="AV2101" s="35">
        <f>INDEX(AV$297:AV$313,$E2101)*$D2101</f>
        <v/>
      </c>
      <c r="AW2101" s="35">
        <f>INDEX(AW$297:AW$313,$E2101)*$D2101</f>
        <v/>
      </c>
      <c r="AX2101" s="35">
        <f>INDEX(AX$297:AX$313,$E2101)*$D2101</f>
        <v/>
      </c>
      <c r="AY2101" s="35">
        <f>INDEX(AY$297:AY$313,$E2101)*$D2101</f>
        <v/>
      </c>
      <c r="AZ2101" s="35">
        <f>INDEX(AZ$297:AZ$313,$E2101)*$D2101</f>
        <v/>
      </c>
      <c r="BA2101" s="42">
        <f>SHADOWGJ(INDEX(BA$297:BA$313,$E2101),$D2101)</f>
        <v/>
      </c>
    </row>
    <row r="2102" hidden="1" outlineLevel="2">
      <c r="A2102" s="14" t="inlineStr">
        <is>
          <t>shp</t>
        </is>
      </c>
      <c r="B2102" s="14" t="inlineStr">
        <is>
          <t>gso</t>
        </is>
      </c>
      <c r="C2102" s="14" t="inlineStr">
        <is>
          <t>irn</t>
        </is>
      </c>
      <c r="D2102" s="35">
        <f>INDEX(Inputs!$W$5:$W$132,MATCH($B2102&amp;"|"&amp;$C2102,Inputs!$A$5:$A$132,0))</f>
        <v/>
      </c>
      <c r="E2102" s="35">
        <f>INDEX(Inputs!$M$5:$M$132,MATCH($B2102&amp;"|"&amp;$C2102,Inputs!$A$5:$A$132,0))</f>
        <v/>
      </c>
      <c r="F2102" s="39" t="n"/>
      <c r="G2102" s="39" t="n"/>
      <c r="H2102" s="14">
        <f>INDEX(VarLab,MATCH($A2102,VarKey,0))&amp;INDEX(MemLab,MATCH($C2102&amp;"|"&amp;$B2102,MemKey,0))</f>
        <v/>
      </c>
      <c r="I2102" s="14">
        <f>INDEX(VarUnit,MATCH($A2102,VarKey,0))</f>
        <v/>
      </c>
      <c r="J2102" s="14">
        <f>INDEX(VarSrc,MATCH($A2102,VarKey,0))</f>
        <v/>
      </c>
      <c r="K2102" s="11">
        <f>CodePrefix&amp;$A2102&amp;IF($C2102="","","."&amp;$C2102&amp;"."&amp;$B2102)&amp;INDEX(VarEnd,MATCH($A2102,VarKey,0))&amp;K$5</f>
        <v/>
      </c>
      <c r="L2102" s="40">
        <f>INDEX(L$297:L$313,$E2102)*$D2102</f>
        <v/>
      </c>
      <c r="M2102" s="35">
        <f>INDEX(M$297:M$313,$E2102)*$D2102</f>
        <v/>
      </c>
      <c r="N2102" s="35">
        <f>INDEX(N$297:N$313,$E2102)*$D2102</f>
        <v/>
      </c>
      <c r="O2102" s="35">
        <f>INDEX(O$297:O$313,$E2102)*$D2102</f>
        <v/>
      </c>
      <c r="P2102" s="35">
        <f>INDEX(P$297:P$313,$E2102)*$D2102</f>
        <v/>
      </c>
      <c r="Q2102" s="35">
        <f>INDEX(Q$297:Q$313,$E2102)*$D2102</f>
        <v/>
      </c>
      <c r="R2102" s="35">
        <f>INDEX(R$297:R$313,$E2102)*$D2102</f>
        <v/>
      </c>
      <c r="S2102" s="35">
        <f>INDEX(S$297:S$313,$E2102)*$D2102</f>
        <v/>
      </c>
      <c r="T2102" s="35">
        <f>INDEX(T$297:T$313,$E2102)*$D2102</f>
        <v/>
      </c>
      <c r="U2102" s="35">
        <f>INDEX(U$297:U$313,$E2102)*$D2102</f>
        <v/>
      </c>
      <c r="V2102" s="35">
        <f>INDEX(V$297:V$313,$E2102)*$D2102</f>
        <v/>
      </c>
      <c r="W2102" s="35">
        <f>INDEX(W$297:W$313,$E2102)*$D2102</f>
        <v/>
      </c>
      <c r="X2102" s="35">
        <f>INDEX(X$297:X$313,$E2102)*$D2102</f>
        <v/>
      </c>
      <c r="Y2102" s="35">
        <f>INDEX(Y$297:Y$313,$E2102)*$D2102</f>
        <v/>
      </c>
      <c r="Z2102" s="35">
        <f>INDEX(Z$297:Z$313,$E2102)*$D2102</f>
        <v/>
      </c>
      <c r="AA2102" s="35">
        <f>INDEX(AA$297:AA$313,$E2102)*$D2102</f>
        <v/>
      </c>
      <c r="AB2102" s="35">
        <f>INDEX(AB$297:AB$313,$E2102)*$D2102</f>
        <v/>
      </c>
      <c r="AC2102" s="35">
        <f>INDEX(AC$297:AC$313,$E2102)*$D2102</f>
        <v/>
      </c>
      <c r="AD2102" s="35">
        <f>INDEX(AD$297:AD$313,$E2102)*$D2102</f>
        <v/>
      </c>
      <c r="AE2102" s="42">
        <f>SHADOWGJ(INDEX(AE$297:AE$313,$E2102),$D2102)</f>
        <v/>
      </c>
      <c r="AG2102" s="11">
        <f>CodePrefix&amp;$A2102&amp;IF($C2102="","","."&amp;$C2102&amp;"."&amp;$B2102)&amp;INDEX(VarEnd,MATCH($A2102,VarKey,0))&amp;AG$5</f>
        <v/>
      </c>
      <c r="AH2102" s="40">
        <f>INDEX(AH$297:AH$313,$E2102)*$D2102</f>
        <v/>
      </c>
      <c r="AI2102" s="35">
        <f>INDEX(AI$297:AI$313,$E2102)*$D2102</f>
        <v/>
      </c>
      <c r="AJ2102" s="35">
        <f>INDEX(AJ$297:AJ$313,$E2102)*$D2102</f>
        <v/>
      </c>
      <c r="AK2102" s="35">
        <f>INDEX(AK$297:AK$313,$E2102)*$D2102</f>
        <v/>
      </c>
      <c r="AL2102" s="35">
        <f>INDEX(AL$297:AL$313,$E2102)*$D2102</f>
        <v/>
      </c>
      <c r="AM2102" s="35">
        <f>INDEX(AM$297:AM$313,$E2102)*$D2102</f>
        <v/>
      </c>
      <c r="AN2102" s="35">
        <f>INDEX(AN$297:AN$313,$E2102)*$D2102</f>
        <v/>
      </c>
      <c r="AO2102" s="35">
        <f>INDEX(AO$297:AO$313,$E2102)*$D2102</f>
        <v/>
      </c>
      <c r="AP2102" s="35">
        <f>INDEX(AP$297:AP$313,$E2102)*$D2102</f>
        <v/>
      </c>
      <c r="AQ2102" s="35">
        <f>INDEX(AQ$297:AQ$313,$E2102)*$D2102</f>
        <v/>
      </c>
      <c r="AR2102" s="35">
        <f>INDEX(AR$297:AR$313,$E2102)*$D2102</f>
        <v/>
      </c>
      <c r="AS2102" s="35">
        <f>INDEX(AS$297:AS$313,$E2102)*$D2102</f>
        <v/>
      </c>
      <c r="AT2102" s="35">
        <f>INDEX(AT$297:AT$313,$E2102)*$D2102</f>
        <v/>
      </c>
      <c r="AU2102" s="35">
        <f>INDEX(AU$297:AU$313,$E2102)*$D2102</f>
        <v/>
      </c>
      <c r="AV2102" s="35">
        <f>INDEX(AV$297:AV$313,$E2102)*$D2102</f>
        <v/>
      </c>
      <c r="AW2102" s="35">
        <f>INDEX(AW$297:AW$313,$E2102)*$D2102</f>
        <v/>
      </c>
      <c r="AX2102" s="35">
        <f>INDEX(AX$297:AX$313,$E2102)*$D2102</f>
        <v/>
      </c>
      <c r="AY2102" s="35">
        <f>INDEX(AY$297:AY$313,$E2102)*$D2102</f>
        <v/>
      </c>
      <c r="AZ2102" s="35">
        <f>INDEX(AZ$297:AZ$313,$E2102)*$D2102</f>
        <v/>
      </c>
      <c r="BA2102" s="42">
        <f>SHADOWGJ(INDEX(BA$297:BA$313,$E2102),$D2102)</f>
        <v/>
      </c>
    </row>
    <row r="2103" hidden="1" outlineLevel="2">
      <c r="A2103" s="14" t="inlineStr">
        <is>
          <t>shp</t>
        </is>
      </c>
      <c r="B2103" s="14" t="inlineStr">
        <is>
          <t>die</t>
        </is>
      </c>
      <c r="C2103" s="14" t="inlineStr">
        <is>
          <t>irn</t>
        </is>
      </c>
      <c r="D2103" s="35">
        <f>INDEX(Inputs!$W$5:$W$132,MATCH($B2103&amp;"|"&amp;$C2103,Inputs!$A$5:$A$132,0))</f>
        <v/>
      </c>
      <c r="E2103" s="35">
        <f>INDEX(Inputs!$M$5:$M$132,MATCH($B2103&amp;"|"&amp;$C2103,Inputs!$A$5:$A$132,0))</f>
        <v/>
      </c>
      <c r="F2103" s="39" t="n"/>
      <c r="G2103" s="39" t="n"/>
      <c r="H2103" s="14">
        <f>INDEX(VarLab,MATCH($A2103,VarKey,0))&amp;INDEX(MemLab,MATCH($C2103&amp;"|"&amp;$B2103,MemKey,0))</f>
        <v/>
      </c>
      <c r="I2103" s="14">
        <f>INDEX(VarUnit,MATCH($A2103,VarKey,0))</f>
        <v/>
      </c>
      <c r="J2103" s="14">
        <f>INDEX(VarSrc,MATCH($A2103,VarKey,0))</f>
        <v/>
      </c>
      <c r="K2103" s="11">
        <f>CodePrefix&amp;$A2103&amp;IF($C2103="","","."&amp;$C2103&amp;"."&amp;$B2103)&amp;INDEX(VarEnd,MATCH($A2103,VarKey,0))&amp;K$5</f>
        <v/>
      </c>
      <c r="L2103" s="40">
        <f>INDEX(L$297:L$313,$E2103)*$D2103</f>
        <v/>
      </c>
      <c r="M2103" s="35">
        <f>INDEX(M$297:M$313,$E2103)*$D2103</f>
        <v/>
      </c>
      <c r="N2103" s="35">
        <f>INDEX(N$297:N$313,$E2103)*$D2103</f>
        <v/>
      </c>
      <c r="O2103" s="35">
        <f>INDEX(O$297:O$313,$E2103)*$D2103</f>
        <v/>
      </c>
      <c r="P2103" s="35">
        <f>INDEX(P$297:P$313,$E2103)*$D2103</f>
        <v/>
      </c>
      <c r="Q2103" s="35">
        <f>INDEX(Q$297:Q$313,$E2103)*$D2103</f>
        <v/>
      </c>
      <c r="R2103" s="35">
        <f>INDEX(R$297:R$313,$E2103)*$D2103</f>
        <v/>
      </c>
      <c r="S2103" s="35">
        <f>INDEX(S$297:S$313,$E2103)*$D2103</f>
        <v/>
      </c>
      <c r="T2103" s="35">
        <f>INDEX(T$297:T$313,$E2103)*$D2103</f>
        <v/>
      </c>
      <c r="U2103" s="35">
        <f>INDEX(U$297:U$313,$E2103)*$D2103</f>
        <v/>
      </c>
      <c r="V2103" s="35">
        <f>INDEX(V$297:V$313,$E2103)*$D2103</f>
        <v/>
      </c>
      <c r="W2103" s="35">
        <f>INDEX(W$297:W$313,$E2103)*$D2103</f>
        <v/>
      </c>
      <c r="X2103" s="35">
        <f>INDEX(X$297:X$313,$E2103)*$D2103</f>
        <v/>
      </c>
      <c r="Y2103" s="35">
        <f>INDEX(Y$297:Y$313,$E2103)*$D2103</f>
        <v/>
      </c>
      <c r="Z2103" s="35">
        <f>INDEX(Z$297:Z$313,$E2103)*$D2103</f>
        <v/>
      </c>
      <c r="AA2103" s="35">
        <f>INDEX(AA$297:AA$313,$E2103)*$D2103</f>
        <v/>
      </c>
      <c r="AB2103" s="35">
        <f>INDEX(AB$297:AB$313,$E2103)*$D2103</f>
        <v/>
      </c>
      <c r="AC2103" s="35">
        <f>INDEX(AC$297:AC$313,$E2103)*$D2103</f>
        <v/>
      </c>
      <c r="AD2103" s="35">
        <f>INDEX(AD$297:AD$313,$E2103)*$D2103</f>
        <v/>
      </c>
      <c r="AE2103" s="42">
        <f>SHADOWGJ(INDEX(AE$297:AE$313,$E2103),$D2103)</f>
        <v/>
      </c>
      <c r="AG2103" s="11">
        <f>CodePrefix&amp;$A2103&amp;IF($C2103="","","."&amp;$C2103&amp;"."&amp;$B2103)&amp;INDEX(VarEnd,MATCH($A2103,VarKey,0))&amp;AG$5</f>
        <v/>
      </c>
      <c r="AH2103" s="40">
        <f>INDEX(AH$297:AH$313,$E2103)*$D2103</f>
        <v/>
      </c>
      <c r="AI2103" s="35">
        <f>INDEX(AI$297:AI$313,$E2103)*$D2103</f>
        <v/>
      </c>
      <c r="AJ2103" s="35">
        <f>INDEX(AJ$297:AJ$313,$E2103)*$D2103</f>
        <v/>
      </c>
      <c r="AK2103" s="35">
        <f>INDEX(AK$297:AK$313,$E2103)*$D2103</f>
        <v/>
      </c>
      <c r="AL2103" s="35">
        <f>INDEX(AL$297:AL$313,$E2103)*$D2103</f>
        <v/>
      </c>
      <c r="AM2103" s="35">
        <f>INDEX(AM$297:AM$313,$E2103)*$D2103</f>
        <v/>
      </c>
      <c r="AN2103" s="35">
        <f>INDEX(AN$297:AN$313,$E2103)*$D2103</f>
        <v/>
      </c>
      <c r="AO2103" s="35">
        <f>INDEX(AO$297:AO$313,$E2103)*$D2103</f>
        <v/>
      </c>
      <c r="AP2103" s="35">
        <f>INDEX(AP$297:AP$313,$E2103)*$D2103</f>
        <v/>
      </c>
      <c r="AQ2103" s="35">
        <f>INDEX(AQ$297:AQ$313,$E2103)*$D2103</f>
        <v/>
      </c>
      <c r="AR2103" s="35">
        <f>INDEX(AR$297:AR$313,$E2103)*$D2103</f>
        <v/>
      </c>
      <c r="AS2103" s="35">
        <f>INDEX(AS$297:AS$313,$E2103)*$D2103</f>
        <v/>
      </c>
      <c r="AT2103" s="35">
        <f>INDEX(AT$297:AT$313,$E2103)*$D2103</f>
        <v/>
      </c>
      <c r="AU2103" s="35">
        <f>INDEX(AU$297:AU$313,$E2103)*$D2103</f>
        <v/>
      </c>
      <c r="AV2103" s="35">
        <f>INDEX(AV$297:AV$313,$E2103)*$D2103</f>
        <v/>
      </c>
      <c r="AW2103" s="35">
        <f>INDEX(AW$297:AW$313,$E2103)*$D2103</f>
        <v/>
      </c>
      <c r="AX2103" s="35">
        <f>INDEX(AX$297:AX$313,$E2103)*$D2103</f>
        <v/>
      </c>
      <c r="AY2103" s="35">
        <f>INDEX(AY$297:AY$313,$E2103)*$D2103</f>
        <v/>
      </c>
      <c r="AZ2103" s="35">
        <f>INDEX(AZ$297:AZ$313,$E2103)*$D2103</f>
        <v/>
      </c>
      <c r="BA2103" s="42">
        <f>SHADOWGJ(INDEX(BA$297:BA$313,$E2103),$D2103)</f>
        <v/>
      </c>
    </row>
    <row r="2104" hidden="1" outlineLevel="2">
      <c r="A2104" s="14" t="inlineStr">
        <is>
          <t>shp</t>
        </is>
      </c>
      <c r="B2104" s="14" t="inlineStr">
        <is>
          <t>lpg</t>
        </is>
      </c>
      <c r="C2104" s="14" t="inlineStr">
        <is>
          <t>irn</t>
        </is>
      </c>
      <c r="D2104" s="35">
        <f>INDEX(Inputs!$W$5:$W$132,MATCH($B2104&amp;"|"&amp;$C2104,Inputs!$A$5:$A$132,0))</f>
        <v/>
      </c>
      <c r="E2104" s="35">
        <f>INDEX(Inputs!$M$5:$M$132,MATCH($B2104&amp;"|"&amp;$C2104,Inputs!$A$5:$A$132,0))</f>
        <v/>
      </c>
      <c r="F2104" s="39" t="n"/>
      <c r="G2104" s="39" t="n"/>
      <c r="H2104" s="14">
        <f>INDEX(VarLab,MATCH($A2104,VarKey,0))&amp;INDEX(MemLab,MATCH($C2104&amp;"|"&amp;$B2104,MemKey,0))</f>
        <v/>
      </c>
      <c r="I2104" s="14">
        <f>INDEX(VarUnit,MATCH($A2104,VarKey,0))</f>
        <v/>
      </c>
      <c r="J2104" s="14">
        <f>INDEX(VarSrc,MATCH($A2104,VarKey,0))</f>
        <v/>
      </c>
      <c r="K2104" s="11">
        <f>CodePrefix&amp;$A2104&amp;IF($C2104="","","."&amp;$C2104&amp;"."&amp;$B2104)&amp;INDEX(VarEnd,MATCH($A2104,VarKey,0))&amp;K$5</f>
        <v/>
      </c>
      <c r="L2104" s="40">
        <f>INDEX(L$297:L$313,$E2104)*$D2104</f>
        <v/>
      </c>
      <c r="M2104" s="35">
        <f>INDEX(M$297:M$313,$E2104)*$D2104</f>
        <v/>
      </c>
      <c r="N2104" s="35">
        <f>INDEX(N$297:N$313,$E2104)*$D2104</f>
        <v/>
      </c>
      <c r="O2104" s="35">
        <f>INDEX(O$297:O$313,$E2104)*$D2104</f>
        <v/>
      </c>
      <c r="P2104" s="35">
        <f>INDEX(P$297:P$313,$E2104)*$D2104</f>
        <v/>
      </c>
      <c r="Q2104" s="35">
        <f>INDEX(Q$297:Q$313,$E2104)*$D2104</f>
        <v/>
      </c>
      <c r="R2104" s="35">
        <f>INDEX(R$297:R$313,$E2104)*$D2104</f>
        <v/>
      </c>
      <c r="S2104" s="35">
        <f>INDEX(S$297:S$313,$E2104)*$D2104</f>
        <v/>
      </c>
      <c r="T2104" s="35">
        <f>INDEX(T$297:T$313,$E2104)*$D2104</f>
        <v/>
      </c>
      <c r="U2104" s="35">
        <f>INDEX(U$297:U$313,$E2104)*$D2104</f>
        <v/>
      </c>
      <c r="V2104" s="35">
        <f>INDEX(V$297:V$313,$E2104)*$D2104</f>
        <v/>
      </c>
      <c r="W2104" s="35">
        <f>INDEX(W$297:W$313,$E2104)*$D2104</f>
        <v/>
      </c>
      <c r="X2104" s="35">
        <f>INDEX(X$297:X$313,$E2104)*$D2104</f>
        <v/>
      </c>
      <c r="Y2104" s="35">
        <f>INDEX(Y$297:Y$313,$E2104)*$D2104</f>
        <v/>
      </c>
      <c r="Z2104" s="35">
        <f>INDEX(Z$297:Z$313,$E2104)*$D2104</f>
        <v/>
      </c>
      <c r="AA2104" s="35">
        <f>INDEX(AA$297:AA$313,$E2104)*$D2104</f>
        <v/>
      </c>
      <c r="AB2104" s="35">
        <f>INDEX(AB$297:AB$313,$E2104)*$D2104</f>
        <v/>
      </c>
      <c r="AC2104" s="35">
        <f>INDEX(AC$297:AC$313,$E2104)*$D2104</f>
        <v/>
      </c>
      <c r="AD2104" s="35">
        <f>INDEX(AD$297:AD$313,$E2104)*$D2104</f>
        <v/>
      </c>
      <c r="AE2104" s="42">
        <f>SHADOWGJ(INDEX(AE$297:AE$313,$E2104),$D2104)</f>
        <v/>
      </c>
      <c r="AG2104" s="11">
        <f>CodePrefix&amp;$A2104&amp;IF($C2104="","","."&amp;$C2104&amp;"."&amp;$B2104)&amp;INDEX(VarEnd,MATCH($A2104,VarKey,0))&amp;AG$5</f>
        <v/>
      </c>
      <c r="AH2104" s="40">
        <f>INDEX(AH$297:AH$313,$E2104)*$D2104</f>
        <v/>
      </c>
      <c r="AI2104" s="35">
        <f>INDEX(AI$297:AI$313,$E2104)*$D2104</f>
        <v/>
      </c>
      <c r="AJ2104" s="35">
        <f>INDEX(AJ$297:AJ$313,$E2104)*$D2104</f>
        <v/>
      </c>
      <c r="AK2104" s="35">
        <f>INDEX(AK$297:AK$313,$E2104)*$D2104</f>
        <v/>
      </c>
      <c r="AL2104" s="35">
        <f>INDEX(AL$297:AL$313,$E2104)*$D2104</f>
        <v/>
      </c>
      <c r="AM2104" s="35">
        <f>INDEX(AM$297:AM$313,$E2104)*$D2104</f>
        <v/>
      </c>
      <c r="AN2104" s="35">
        <f>INDEX(AN$297:AN$313,$E2104)*$D2104</f>
        <v/>
      </c>
      <c r="AO2104" s="35">
        <f>INDEX(AO$297:AO$313,$E2104)*$D2104</f>
        <v/>
      </c>
      <c r="AP2104" s="35">
        <f>INDEX(AP$297:AP$313,$E2104)*$D2104</f>
        <v/>
      </c>
      <c r="AQ2104" s="35">
        <f>INDEX(AQ$297:AQ$313,$E2104)*$D2104</f>
        <v/>
      </c>
      <c r="AR2104" s="35">
        <f>INDEX(AR$297:AR$313,$E2104)*$D2104</f>
        <v/>
      </c>
      <c r="AS2104" s="35">
        <f>INDEX(AS$297:AS$313,$E2104)*$D2104</f>
        <v/>
      </c>
      <c r="AT2104" s="35">
        <f>INDEX(AT$297:AT$313,$E2104)*$D2104</f>
        <v/>
      </c>
      <c r="AU2104" s="35">
        <f>INDEX(AU$297:AU$313,$E2104)*$D2104</f>
        <v/>
      </c>
      <c r="AV2104" s="35">
        <f>INDEX(AV$297:AV$313,$E2104)*$D2104</f>
        <v/>
      </c>
      <c r="AW2104" s="35">
        <f>INDEX(AW$297:AW$313,$E2104)*$D2104</f>
        <v/>
      </c>
      <c r="AX2104" s="35">
        <f>INDEX(AX$297:AX$313,$E2104)*$D2104</f>
        <v/>
      </c>
      <c r="AY2104" s="35">
        <f>INDEX(AY$297:AY$313,$E2104)*$D2104</f>
        <v/>
      </c>
      <c r="AZ2104" s="35">
        <f>INDEX(AZ$297:AZ$313,$E2104)*$D2104</f>
        <v/>
      </c>
      <c r="BA2104" s="42">
        <f>SHADOWGJ(INDEX(BA$297:BA$313,$E2104),$D2104)</f>
        <v/>
      </c>
    </row>
    <row r="2105" hidden="1" outlineLevel="2">
      <c r="A2105" s="14" t="inlineStr">
        <is>
          <t>shp</t>
        </is>
      </c>
      <c r="B2105" s="14" t="inlineStr">
        <is>
          <t>ker</t>
        </is>
      </c>
      <c r="C2105" s="14" t="inlineStr">
        <is>
          <t>irn</t>
        </is>
      </c>
      <c r="D2105" s="35">
        <f>INDEX(Inputs!$W$5:$W$132,MATCH($B2105&amp;"|"&amp;$C2105,Inputs!$A$5:$A$132,0))</f>
        <v/>
      </c>
      <c r="E2105" s="35">
        <f>INDEX(Inputs!$M$5:$M$132,MATCH($B2105&amp;"|"&amp;$C2105,Inputs!$A$5:$A$132,0))</f>
        <v/>
      </c>
      <c r="F2105" s="39" t="n"/>
      <c r="G2105" s="39" t="n"/>
      <c r="H2105" s="14">
        <f>INDEX(VarLab,MATCH($A2105,VarKey,0))&amp;INDEX(MemLab,MATCH($C2105&amp;"|"&amp;$B2105,MemKey,0))</f>
        <v/>
      </c>
      <c r="I2105" s="14">
        <f>INDEX(VarUnit,MATCH($A2105,VarKey,0))</f>
        <v/>
      </c>
      <c r="J2105" s="14">
        <f>INDEX(VarSrc,MATCH($A2105,VarKey,0))</f>
        <v/>
      </c>
      <c r="K2105" s="11">
        <f>CodePrefix&amp;$A2105&amp;IF($C2105="","","."&amp;$C2105&amp;"."&amp;$B2105)&amp;INDEX(VarEnd,MATCH($A2105,VarKey,0))&amp;K$5</f>
        <v/>
      </c>
      <c r="L2105" s="40">
        <f>INDEX(L$297:L$313,$E2105)*$D2105</f>
        <v/>
      </c>
      <c r="M2105" s="35">
        <f>INDEX(M$297:M$313,$E2105)*$D2105</f>
        <v/>
      </c>
      <c r="N2105" s="35">
        <f>INDEX(N$297:N$313,$E2105)*$D2105</f>
        <v/>
      </c>
      <c r="O2105" s="35">
        <f>INDEX(O$297:O$313,$E2105)*$D2105</f>
        <v/>
      </c>
      <c r="P2105" s="35">
        <f>INDEX(P$297:P$313,$E2105)*$D2105</f>
        <v/>
      </c>
      <c r="Q2105" s="35">
        <f>INDEX(Q$297:Q$313,$E2105)*$D2105</f>
        <v/>
      </c>
      <c r="R2105" s="35">
        <f>INDEX(R$297:R$313,$E2105)*$D2105</f>
        <v/>
      </c>
      <c r="S2105" s="35">
        <f>INDEX(S$297:S$313,$E2105)*$D2105</f>
        <v/>
      </c>
      <c r="T2105" s="35">
        <f>INDEX(T$297:T$313,$E2105)*$D2105</f>
        <v/>
      </c>
      <c r="U2105" s="35">
        <f>INDEX(U$297:U$313,$E2105)*$D2105</f>
        <v/>
      </c>
      <c r="V2105" s="35">
        <f>INDEX(V$297:V$313,$E2105)*$D2105</f>
        <v/>
      </c>
      <c r="W2105" s="35">
        <f>INDEX(W$297:W$313,$E2105)*$D2105</f>
        <v/>
      </c>
      <c r="X2105" s="35">
        <f>INDEX(X$297:X$313,$E2105)*$D2105</f>
        <v/>
      </c>
      <c r="Y2105" s="35">
        <f>INDEX(Y$297:Y$313,$E2105)*$D2105</f>
        <v/>
      </c>
      <c r="Z2105" s="35">
        <f>INDEX(Z$297:Z$313,$E2105)*$D2105</f>
        <v/>
      </c>
      <c r="AA2105" s="35">
        <f>INDEX(AA$297:AA$313,$E2105)*$D2105</f>
        <v/>
      </c>
      <c r="AB2105" s="35">
        <f>INDEX(AB$297:AB$313,$E2105)*$D2105</f>
        <v/>
      </c>
      <c r="AC2105" s="35">
        <f>INDEX(AC$297:AC$313,$E2105)*$D2105</f>
        <v/>
      </c>
      <c r="AD2105" s="35">
        <f>INDEX(AD$297:AD$313,$E2105)*$D2105</f>
        <v/>
      </c>
      <c r="AE2105" s="42">
        <f>SHADOWGJ(INDEX(AE$297:AE$313,$E2105),$D2105)</f>
        <v/>
      </c>
      <c r="AG2105" s="11">
        <f>CodePrefix&amp;$A2105&amp;IF($C2105="","","."&amp;$C2105&amp;"."&amp;$B2105)&amp;INDEX(VarEnd,MATCH($A2105,VarKey,0))&amp;AG$5</f>
        <v/>
      </c>
      <c r="AH2105" s="40">
        <f>INDEX(AH$297:AH$313,$E2105)*$D2105</f>
        <v/>
      </c>
      <c r="AI2105" s="35">
        <f>INDEX(AI$297:AI$313,$E2105)*$D2105</f>
        <v/>
      </c>
      <c r="AJ2105" s="35">
        <f>INDEX(AJ$297:AJ$313,$E2105)*$D2105</f>
        <v/>
      </c>
      <c r="AK2105" s="35">
        <f>INDEX(AK$297:AK$313,$E2105)*$D2105</f>
        <v/>
      </c>
      <c r="AL2105" s="35">
        <f>INDEX(AL$297:AL$313,$E2105)*$D2105</f>
        <v/>
      </c>
      <c r="AM2105" s="35">
        <f>INDEX(AM$297:AM$313,$E2105)*$D2105</f>
        <v/>
      </c>
      <c r="AN2105" s="35">
        <f>INDEX(AN$297:AN$313,$E2105)*$D2105</f>
        <v/>
      </c>
      <c r="AO2105" s="35">
        <f>INDEX(AO$297:AO$313,$E2105)*$D2105</f>
        <v/>
      </c>
      <c r="AP2105" s="35">
        <f>INDEX(AP$297:AP$313,$E2105)*$D2105</f>
        <v/>
      </c>
      <c r="AQ2105" s="35">
        <f>INDEX(AQ$297:AQ$313,$E2105)*$D2105</f>
        <v/>
      </c>
      <c r="AR2105" s="35">
        <f>INDEX(AR$297:AR$313,$E2105)*$D2105</f>
        <v/>
      </c>
      <c r="AS2105" s="35">
        <f>INDEX(AS$297:AS$313,$E2105)*$D2105</f>
        <v/>
      </c>
      <c r="AT2105" s="35">
        <f>INDEX(AT$297:AT$313,$E2105)*$D2105</f>
        <v/>
      </c>
      <c r="AU2105" s="35">
        <f>INDEX(AU$297:AU$313,$E2105)*$D2105</f>
        <v/>
      </c>
      <c r="AV2105" s="35">
        <f>INDEX(AV$297:AV$313,$E2105)*$D2105</f>
        <v/>
      </c>
      <c r="AW2105" s="35">
        <f>INDEX(AW$297:AW$313,$E2105)*$D2105</f>
        <v/>
      </c>
      <c r="AX2105" s="35">
        <f>INDEX(AX$297:AX$313,$E2105)*$D2105</f>
        <v/>
      </c>
      <c r="AY2105" s="35">
        <f>INDEX(AY$297:AY$313,$E2105)*$D2105</f>
        <v/>
      </c>
      <c r="AZ2105" s="35">
        <f>INDEX(AZ$297:AZ$313,$E2105)*$D2105</f>
        <v/>
      </c>
      <c r="BA2105" s="42">
        <f>SHADOWGJ(INDEX(BA$297:BA$313,$E2105),$D2105)</f>
        <v/>
      </c>
    </row>
    <row r="2106" hidden="1" outlineLevel="2">
      <c r="A2106" s="14" t="inlineStr">
        <is>
          <t>shp</t>
        </is>
      </c>
      <c r="B2106" s="14" t="inlineStr">
        <is>
          <t>oop</t>
        </is>
      </c>
      <c r="C2106" s="14" t="inlineStr">
        <is>
          <t>irn</t>
        </is>
      </c>
      <c r="D2106" s="35">
        <f>INDEX(Inputs!$W$5:$W$132,MATCH($B2106&amp;"|"&amp;$C2106,Inputs!$A$5:$A$132,0))</f>
        <v/>
      </c>
      <c r="E2106" s="35">
        <f>INDEX(Inputs!$M$5:$M$132,MATCH($B2106&amp;"|"&amp;$C2106,Inputs!$A$5:$A$132,0))</f>
        <v/>
      </c>
      <c r="F2106" s="39" t="n"/>
      <c r="G2106" s="39" t="n"/>
      <c r="H2106" s="14">
        <f>INDEX(VarLab,MATCH($A2106,VarKey,0))&amp;INDEX(MemLab,MATCH($C2106&amp;"|"&amp;$B2106,MemKey,0))</f>
        <v/>
      </c>
      <c r="I2106" s="14">
        <f>INDEX(VarUnit,MATCH($A2106,VarKey,0))</f>
        <v/>
      </c>
      <c r="J2106" s="14">
        <f>INDEX(VarSrc,MATCH($A2106,VarKey,0))</f>
        <v/>
      </c>
      <c r="K2106" s="11">
        <f>CodePrefix&amp;$A2106&amp;IF($C2106="","","."&amp;$C2106&amp;"."&amp;$B2106)&amp;INDEX(VarEnd,MATCH($A2106,VarKey,0))&amp;K$5</f>
        <v/>
      </c>
      <c r="L2106" s="40">
        <f>INDEX(L$297:L$313,$E2106)*$D2106</f>
        <v/>
      </c>
      <c r="M2106" s="35">
        <f>INDEX(M$297:M$313,$E2106)*$D2106</f>
        <v/>
      </c>
      <c r="N2106" s="35">
        <f>INDEX(N$297:N$313,$E2106)*$D2106</f>
        <v/>
      </c>
      <c r="O2106" s="35">
        <f>INDEX(O$297:O$313,$E2106)*$D2106</f>
        <v/>
      </c>
      <c r="P2106" s="35">
        <f>INDEX(P$297:P$313,$E2106)*$D2106</f>
        <v/>
      </c>
      <c r="Q2106" s="35">
        <f>INDEX(Q$297:Q$313,$E2106)*$D2106</f>
        <v/>
      </c>
      <c r="R2106" s="35">
        <f>INDEX(R$297:R$313,$E2106)*$D2106</f>
        <v/>
      </c>
      <c r="S2106" s="35">
        <f>INDEX(S$297:S$313,$E2106)*$D2106</f>
        <v/>
      </c>
      <c r="T2106" s="35">
        <f>INDEX(T$297:T$313,$E2106)*$D2106</f>
        <v/>
      </c>
      <c r="U2106" s="35">
        <f>INDEX(U$297:U$313,$E2106)*$D2106</f>
        <v/>
      </c>
      <c r="V2106" s="35">
        <f>INDEX(V$297:V$313,$E2106)*$D2106</f>
        <v/>
      </c>
      <c r="W2106" s="35">
        <f>INDEX(W$297:W$313,$E2106)*$D2106</f>
        <v/>
      </c>
      <c r="X2106" s="35">
        <f>INDEX(X$297:X$313,$E2106)*$D2106</f>
        <v/>
      </c>
      <c r="Y2106" s="35">
        <f>INDEX(Y$297:Y$313,$E2106)*$D2106</f>
        <v/>
      </c>
      <c r="Z2106" s="35">
        <f>INDEX(Z$297:Z$313,$E2106)*$D2106</f>
        <v/>
      </c>
      <c r="AA2106" s="35">
        <f>INDEX(AA$297:AA$313,$E2106)*$D2106</f>
        <v/>
      </c>
      <c r="AB2106" s="35">
        <f>INDEX(AB$297:AB$313,$E2106)*$D2106</f>
        <v/>
      </c>
      <c r="AC2106" s="35">
        <f>INDEX(AC$297:AC$313,$E2106)*$D2106</f>
        <v/>
      </c>
      <c r="AD2106" s="35">
        <f>INDEX(AD$297:AD$313,$E2106)*$D2106</f>
        <v/>
      </c>
      <c r="AE2106" s="42">
        <f>SHADOWGJ(INDEX(AE$297:AE$313,$E2106),$D2106)</f>
        <v/>
      </c>
      <c r="AG2106" s="11">
        <f>CodePrefix&amp;$A2106&amp;IF($C2106="","","."&amp;$C2106&amp;"."&amp;$B2106)&amp;INDEX(VarEnd,MATCH($A2106,VarKey,0))&amp;AG$5</f>
        <v/>
      </c>
      <c r="AH2106" s="40">
        <f>INDEX(AH$297:AH$313,$E2106)*$D2106</f>
        <v/>
      </c>
      <c r="AI2106" s="35">
        <f>INDEX(AI$297:AI$313,$E2106)*$D2106</f>
        <v/>
      </c>
      <c r="AJ2106" s="35">
        <f>INDEX(AJ$297:AJ$313,$E2106)*$D2106</f>
        <v/>
      </c>
      <c r="AK2106" s="35">
        <f>INDEX(AK$297:AK$313,$E2106)*$D2106</f>
        <v/>
      </c>
      <c r="AL2106" s="35">
        <f>INDEX(AL$297:AL$313,$E2106)*$D2106</f>
        <v/>
      </c>
      <c r="AM2106" s="35">
        <f>INDEX(AM$297:AM$313,$E2106)*$D2106</f>
        <v/>
      </c>
      <c r="AN2106" s="35">
        <f>INDEX(AN$297:AN$313,$E2106)*$D2106</f>
        <v/>
      </c>
      <c r="AO2106" s="35">
        <f>INDEX(AO$297:AO$313,$E2106)*$D2106</f>
        <v/>
      </c>
      <c r="AP2106" s="35">
        <f>INDEX(AP$297:AP$313,$E2106)*$D2106</f>
        <v/>
      </c>
      <c r="AQ2106" s="35">
        <f>INDEX(AQ$297:AQ$313,$E2106)*$D2106</f>
        <v/>
      </c>
      <c r="AR2106" s="35">
        <f>INDEX(AR$297:AR$313,$E2106)*$D2106</f>
        <v/>
      </c>
      <c r="AS2106" s="35">
        <f>INDEX(AS$297:AS$313,$E2106)*$D2106</f>
        <v/>
      </c>
      <c r="AT2106" s="35">
        <f>INDEX(AT$297:AT$313,$E2106)*$D2106</f>
        <v/>
      </c>
      <c r="AU2106" s="35">
        <f>INDEX(AU$297:AU$313,$E2106)*$D2106</f>
        <v/>
      </c>
      <c r="AV2106" s="35">
        <f>INDEX(AV$297:AV$313,$E2106)*$D2106</f>
        <v/>
      </c>
      <c r="AW2106" s="35">
        <f>INDEX(AW$297:AW$313,$E2106)*$D2106</f>
        <v/>
      </c>
      <c r="AX2106" s="35">
        <f>INDEX(AX$297:AX$313,$E2106)*$D2106</f>
        <v/>
      </c>
      <c r="AY2106" s="35">
        <f>INDEX(AY$297:AY$313,$E2106)*$D2106</f>
        <v/>
      </c>
      <c r="AZ2106" s="35">
        <f>INDEX(AZ$297:AZ$313,$E2106)*$D2106</f>
        <v/>
      </c>
      <c r="BA2106" s="42">
        <f>SHADOWGJ(INDEX(BA$297:BA$313,$E2106),$D2106)</f>
        <v/>
      </c>
    </row>
    <row r="2107" hidden="1" outlineLevel="2">
      <c r="A2107" s="14" t="inlineStr">
        <is>
          <t>shp</t>
        </is>
      </c>
      <c r="B2107" s="14" t="inlineStr">
        <is>
          <t>bio</t>
        </is>
      </c>
      <c r="C2107" s="14" t="inlineStr">
        <is>
          <t>irn</t>
        </is>
      </c>
      <c r="D2107" s="35">
        <f>INDEX(Inputs!$W$5:$W$132,MATCH($B2107&amp;"|"&amp;$C2107,Inputs!$A$5:$A$132,0))</f>
        <v/>
      </c>
      <c r="E2107" s="35">
        <f>INDEX(Inputs!$M$5:$M$132,MATCH($B2107&amp;"|"&amp;$C2107,Inputs!$A$5:$A$132,0))</f>
        <v/>
      </c>
      <c r="F2107" s="39" t="n"/>
      <c r="G2107" s="39" t="n"/>
      <c r="H2107" s="14">
        <f>INDEX(VarLab,MATCH($A2107,VarKey,0))&amp;INDEX(MemLab,MATCH($C2107&amp;"|"&amp;$B2107,MemKey,0))</f>
        <v/>
      </c>
      <c r="I2107" s="14">
        <f>INDEX(VarUnit,MATCH($A2107,VarKey,0))</f>
        <v/>
      </c>
      <c r="J2107" s="14">
        <f>INDEX(VarSrc,MATCH($A2107,VarKey,0))</f>
        <v/>
      </c>
      <c r="K2107" s="11">
        <f>CodePrefix&amp;$A2107&amp;IF($C2107="","","."&amp;$C2107&amp;"."&amp;$B2107)&amp;INDEX(VarEnd,MATCH($A2107,VarKey,0))&amp;K$5</f>
        <v/>
      </c>
      <c r="L2107" s="40">
        <f>INDEX(L$297:L$313,$E2107)*$D2107</f>
        <v/>
      </c>
      <c r="M2107" s="35">
        <f>INDEX(M$297:M$313,$E2107)*$D2107</f>
        <v/>
      </c>
      <c r="N2107" s="35">
        <f>INDEX(N$297:N$313,$E2107)*$D2107</f>
        <v/>
      </c>
      <c r="O2107" s="35">
        <f>INDEX(O$297:O$313,$E2107)*$D2107</f>
        <v/>
      </c>
      <c r="P2107" s="35">
        <f>INDEX(P$297:P$313,$E2107)*$D2107</f>
        <v/>
      </c>
      <c r="Q2107" s="35">
        <f>INDEX(Q$297:Q$313,$E2107)*$D2107</f>
        <v/>
      </c>
      <c r="R2107" s="35">
        <f>INDEX(R$297:R$313,$E2107)*$D2107</f>
        <v/>
      </c>
      <c r="S2107" s="35">
        <f>INDEX(S$297:S$313,$E2107)*$D2107</f>
        <v/>
      </c>
      <c r="T2107" s="35">
        <f>INDEX(T$297:T$313,$E2107)*$D2107</f>
        <v/>
      </c>
      <c r="U2107" s="35">
        <f>INDEX(U$297:U$313,$E2107)*$D2107</f>
        <v/>
      </c>
      <c r="V2107" s="35">
        <f>INDEX(V$297:V$313,$E2107)*$D2107</f>
        <v/>
      </c>
      <c r="W2107" s="35">
        <f>INDEX(W$297:W$313,$E2107)*$D2107</f>
        <v/>
      </c>
      <c r="X2107" s="35">
        <f>INDEX(X$297:X$313,$E2107)*$D2107</f>
        <v/>
      </c>
      <c r="Y2107" s="35">
        <f>INDEX(Y$297:Y$313,$E2107)*$D2107</f>
        <v/>
      </c>
      <c r="Z2107" s="35">
        <f>INDEX(Z$297:Z$313,$E2107)*$D2107</f>
        <v/>
      </c>
      <c r="AA2107" s="35">
        <f>INDEX(AA$297:AA$313,$E2107)*$D2107</f>
        <v/>
      </c>
      <c r="AB2107" s="35">
        <f>INDEX(AB$297:AB$313,$E2107)*$D2107</f>
        <v/>
      </c>
      <c r="AC2107" s="35">
        <f>INDEX(AC$297:AC$313,$E2107)*$D2107</f>
        <v/>
      </c>
      <c r="AD2107" s="35">
        <f>INDEX(AD$297:AD$313,$E2107)*$D2107</f>
        <v/>
      </c>
      <c r="AE2107" s="42">
        <f>SHADOWGJ(INDEX(AE$297:AE$313,$E2107),$D2107)</f>
        <v/>
      </c>
      <c r="AG2107" s="11">
        <f>CodePrefix&amp;$A2107&amp;IF($C2107="","","."&amp;$C2107&amp;"."&amp;$B2107)&amp;INDEX(VarEnd,MATCH($A2107,VarKey,0))&amp;AG$5</f>
        <v/>
      </c>
      <c r="AH2107" s="40">
        <f>INDEX(AH$297:AH$313,$E2107)*$D2107</f>
        <v/>
      </c>
      <c r="AI2107" s="35">
        <f>INDEX(AI$297:AI$313,$E2107)*$D2107</f>
        <v/>
      </c>
      <c r="AJ2107" s="35">
        <f>INDEX(AJ$297:AJ$313,$E2107)*$D2107</f>
        <v/>
      </c>
      <c r="AK2107" s="35">
        <f>INDEX(AK$297:AK$313,$E2107)*$D2107</f>
        <v/>
      </c>
      <c r="AL2107" s="35">
        <f>INDEX(AL$297:AL$313,$E2107)*$D2107</f>
        <v/>
      </c>
      <c r="AM2107" s="35">
        <f>INDEX(AM$297:AM$313,$E2107)*$D2107</f>
        <v/>
      </c>
      <c r="AN2107" s="35">
        <f>INDEX(AN$297:AN$313,$E2107)*$D2107</f>
        <v/>
      </c>
      <c r="AO2107" s="35">
        <f>INDEX(AO$297:AO$313,$E2107)*$D2107</f>
        <v/>
      </c>
      <c r="AP2107" s="35">
        <f>INDEX(AP$297:AP$313,$E2107)*$D2107</f>
        <v/>
      </c>
      <c r="AQ2107" s="35">
        <f>INDEX(AQ$297:AQ$313,$E2107)*$D2107</f>
        <v/>
      </c>
      <c r="AR2107" s="35">
        <f>INDEX(AR$297:AR$313,$E2107)*$D2107</f>
        <v/>
      </c>
      <c r="AS2107" s="35">
        <f>INDEX(AS$297:AS$313,$E2107)*$D2107</f>
        <v/>
      </c>
      <c r="AT2107" s="35">
        <f>INDEX(AT$297:AT$313,$E2107)*$D2107</f>
        <v/>
      </c>
      <c r="AU2107" s="35">
        <f>INDEX(AU$297:AU$313,$E2107)*$D2107</f>
        <v/>
      </c>
      <c r="AV2107" s="35">
        <f>INDEX(AV$297:AV$313,$E2107)*$D2107</f>
        <v/>
      </c>
      <c r="AW2107" s="35">
        <f>INDEX(AW$297:AW$313,$E2107)*$D2107</f>
        <v/>
      </c>
      <c r="AX2107" s="35">
        <f>INDEX(AX$297:AX$313,$E2107)*$D2107</f>
        <v/>
      </c>
      <c r="AY2107" s="35">
        <f>INDEX(AY$297:AY$313,$E2107)*$D2107</f>
        <v/>
      </c>
      <c r="AZ2107" s="35">
        <f>INDEX(AZ$297:AZ$313,$E2107)*$D2107</f>
        <v/>
      </c>
      <c r="BA2107" s="42">
        <f>SHADOWGJ(INDEX(BA$297:BA$313,$E2107),$D2107)</f>
        <v/>
      </c>
    </row>
    <row r="2108" hidden="1" outlineLevel="2"/>
    <row r="2109" hidden="1" outlineLevel="2">
      <c r="A2109" s="14" t="inlineStr">
        <is>
          <t>ener</t>
        </is>
      </c>
      <c r="B2109" s="14" t="inlineStr">
        <is>
          <t>coa</t>
        </is>
      </c>
      <c r="C2109" s="14" t="inlineStr">
        <is>
          <t>irn</t>
        </is>
      </c>
      <c r="D2109" s="35">
        <f>INDEX(Inputs!$O$5:$O$132,MATCH($B2109&amp;"|"&amp;$C2109,Inputs!$A$5:$A$132,0))</f>
        <v/>
      </c>
      <c r="E2109" s="35">
        <f>INDEX(Inputs!$P$5:$P$132,MATCH($B2109&amp;"|"&amp;$C2109,Inputs!$A$5:$A$132,0))</f>
        <v/>
      </c>
      <c r="F2109" s="35">
        <f>INDEX(Inputs!$T$5:$T$132,MATCH($B2109&amp;"|"&amp;$C2109,Inputs!$A$5:$A$132,0))</f>
        <v/>
      </c>
      <c r="G2109" s="35">
        <f>INDEX(Inputs!$S$5:$S$132,MATCH($B2109&amp;"|"&amp;$C2109,Inputs!$A$5:$A$132,0))</f>
        <v/>
      </c>
      <c r="H2109" s="14">
        <f>INDEX(VarLab,MATCH($A2109,VarKey,0))&amp;INDEX(MemLab,MATCH($C2109&amp;"|"&amp;$B2109,MemKey,0))</f>
        <v/>
      </c>
      <c r="I2109" s="14">
        <f>INDEX(VarUnit,MATCH($A2109,VarKey,0))</f>
        <v/>
      </c>
      <c r="J2109" s="14">
        <f>INDEX(VarSrc,MATCH($A2109,VarKey,0))</f>
        <v/>
      </c>
      <c r="K2109" s="11">
        <f>CodePrefix&amp;$A2109&amp;IF($C2109="","","."&amp;$C2109&amp;"."&amp;$B2109)&amp;INDEX(VarEnd,MATCH($A2109,VarKey,0))&amp;K$5</f>
        <v/>
      </c>
      <c r="L2109" s="43">
        <f>INDEX(Inputs!$X$5:$X$132,MATCH($B2109&amp;"|"&amp;$C2109,Inputs!$A$5:$A$132,0))</f>
        <v/>
      </c>
      <c r="M2109" s="44">
        <f>L2109*$G2109*(1+M$7)^$D2109*(M2091/L2091)^$E2109*((M2091+M2100)/(L2091+L2100))^$F2109</f>
        <v/>
      </c>
      <c r="N2109" s="44">
        <f>M2109*$G2109*(1+N$7)^$D2109*(N2091/M2091)^$E2109*((N2091+N2100)/(M2091+M2100))^$F2109</f>
        <v/>
      </c>
      <c r="O2109" s="44">
        <f>N2109*$G2109*(1+O$7)^$D2109*(O2091/N2091)^$E2109*((O2091+O2100)/(N2091+N2100))^$F2109</f>
        <v/>
      </c>
      <c r="P2109" s="44">
        <f>O2109*$G2109*(1+P$7)^$D2109*(P2091/O2091)^$E2109*((P2091+P2100)/(O2091+O2100))^$F2109</f>
        <v/>
      </c>
      <c r="Q2109" s="44">
        <f>P2109*$G2109*(1+Q$7)^$D2109*(Q2091/P2091)^$E2109*((Q2091+Q2100)/(P2091+P2100))^$F2109</f>
        <v/>
      </c>
      <c r="R2109" s="44">
        <f>Q2109*$G2109*(1+R$7)^$D2109*(R2091/Q2091)^$E2109*((R2091+R2100)/(Q2091+Q2100))^$F2109</f>
        <v/>
      </c>
      <c r="S2109" s="44">
        <f>R2109*$G2109*(1+S$7)^$D2109*(S2091/R2091)^$E2109*((S2091+S2100)/(R2091+R2100))^$F2109</f>
        <v/>
      </c>
      <c r="T2109" s="44">
        <f>S2109*$G2109*(1+T$7)^$D2109*(T2091/S2091)^$E2109*((T2091+T2100)/(S2091+S2100))^$F2109</f>
        <v/>
      </c>
      <c r="U2109" s="44">
        <f>T2109*$G2109*(1+U$7)^$D2109*(U2091/T2091)^$E2109*((U2091+U2100)/(T2091+T2100))^$F2109</f>
        <v/>
      </c>
      <c r="V2109" s="44">
        <f>U2109*$G2109*(1+V$7)^$D2109*(V2091/U2091)^$E2109*((V2091+V2100)/(U2091+U2100))^$F2109</f>
        <v/>
      </c>
      <c r="W2109" s="44">
        <f>V2109*$G2109*(1+W$7)^$D2109*(W2091/V2091)^$E2109*((W2091+W2100)/(V2091+V2100))^$F2109</f>
        <v/>
      </c>
      <c r="X2109" s="44">
        <f>W2109*$G2109*(1+X$7)^$D2109*(X2091/W2091)^$E2109*((X2091+X2100)/(W2091+W2100))^$F2109</f>
        <v/>
      </c>
      <c r="Y2109" s="44">
        <f>X2109*$G2109*(1+Y$7)^$D2109*(Y2091/X2091)^$E2109*((Y2091+Y2100)/(X2091+X2100))^$F2109</f>
        <v/>
      </c>
      <c r="Z2109" s="44">
        <f>Y2109*$G2109*(1+Z$7)^$D2109*(Z2091/Y2091)^$E2109*((Z2091+Z2100)/(Y2091+Y2100))^$F2109</f>
        <v/>
      </c>
      <c r="AA2109" s="44">
        <f>Z2109*$G2109*(1+AA$7)^$D2109*(AA2091/Z2091)^$E2109*((AA2091+AA2100)/(Z2091+Z2100))^$F2109</f>
        <v/>
      </c>
      <c r="AB2109" s="44">
        <f>AA2109*$G2109*(1+AB$7)^$D2109*(AB2091/AA2091)^$E2109*((AB2091+AB2100)/(AA2091+AA2100))^$F2109</f>
        <v/>
      </c>
      <c r="AC2109" s="44">
        <f>AB2109*$G2109*(1+AC$7)^$D2109*(AC2091/AB2091)^$E2109*((AC2091+AC2100)/(AB2091+AB2100))^$F2109</f>
        <v/>
      </c>
      <c r="AD2109" s="44">
        <f>AC2109*$G2109*(1+AD$7)^$D2109*(AD2091/AC2091)^$E2109*((AD2091+AD2100)/(AC2091+AC2100))^$F2109</f>
        <v/>
      </c>
      <c r="AE2109" s="57">
        <f>FUELUSE(AD2109,AE2091,AD2091,AE2100,AD2100,AE$7,$D2109,$E2109,$F2109,$G2109)</f>
        <v/>
      </c>
      <c r="AG2109" s="11">
        <f>CodePrefix&amp;$A2109&amp;IF($C2109="","","."&amp;$C2109&amp;"."&amp;$B2109)&amp;INDEX(VarEnd,MATCH($A2109,VarKey,0))&amp;AG$5</f>
        <v/>
      </c>
      <c r="AH2109" s="43">
        <f>INDEX(Inputs!$X$5:$X$132,MATCH($B2109&amp;"|"&amp;$C2109,Inputs!$A$5:$A$132,0))</f>
        <v/>
      </c>
      <c r="AI2109" s="44">
        <f>AH2109*$G2109*(1+AI$7)^$D2109*(AI2091/AH2091)^$E2109*((AI2091+AI2100)/(AH2091+AH2100))^$F2109</f>
        <v/>
      </c>
      <c r="AJ2109" s="44">
        <f>AI2109*$G2109*(1+AJ$7)^$D2109*(AJ2091/AI2091)^$E2109*((AJ2091+AJ2100)/(AI2091+AI2100))^$F2109</f>
        <v/>
      </c>
      <c r="AK2109" s="44">
        <f>AJ2109*$G2109*(1+AK$7)^$D2109*(AK2091/AJ2091)^$E2109*((AK2091+AK2100)/(AJ2091+AJ2100))^$F2109</f>
        <v/>
      </c>
      <c r="AL2109" s="44">
        <f>AK2109*$G2109*(1+AL$7)^$D2109*(AL2091/AK2091)^$E2109*((AL2091+AL2100)/(AK2091+AK2100))^$F2109</f>
        <v/>
      </c>
      <c r="AM2109" s="44">
        <f>AL2109*$G2109*(1+AM$7)^$D2109*(AM2091/AL2091)^$E2109*((AM2091+AM2100)/(AL2091+AL2100))^$F2109</f>
        <v/>
      </c>
      <c r="AN2109" s="44">
        <f>AM2109*$G2109*(1+AN$7)^$D2109*(AN2091/AM2091)^$E2109*((AN2091+AN2100)/(AM2091+AM2100))^$F2109</f>
        <v/>
      </c>
      <c r="AO2109" s="44">
        <f>AN2109*$G2109*(1+AO$7)^$D2109*(AO2091/AN2091)^$E2109*((AO2091+AO2100)/(AN2091+AN2100))^$F2109</f>
        <v/>
      </c>
      <c r="AP2109" s="44">
        <f>AO2109*$G2109*(1+AP$7)^$D2109*(AP2091/AO2091)^$E2109*((AP2091+AP2100)/(AO2091+AO2100))^$F2109</f>
        <v/>
      </c>
      <c r="AQ2109" s="44">
        <f>AP2109*$G2109*(1+AQ$7)^$D2109*(AQ2091/AP2091)^$E2109*((AQ2091+AQ2100)/(AP2091+AP2100))^$F2109</f>
        <v/>
      </c>
      <c r="AR2109" s="44">
        <f>AQ2109*$G2109*(1+AR$7)^$D2109*(AR2091/AQ2091)^$E2109*((AR2091+AR2100)/(AQ2091+AQ2100))^$F2109</f>
        <v/>
      </c>
      <c r="AS2109" s="44">
        <f>AR2109*$G2109*(1+AS$7)^$D2109*(AS2091/AR2091)^$E2109*((AS2091+AS2100)/(AR2091+AR2100))^$F2109</f>
        <v/>
      </c>
      <c r="AT2109" s="44">
        <f>AS2109*$G2109*(1+AT$7)^$D2109*(AT2091/AS2091)^$E2109*((AT2091+AT2100)/(AS2091+AS2100))^$F2109</f>
        <v/>
      </c>
      <c r="AU2109" s="44">
        <f>AT2109*$G2109*(1+AU$7)^$D2109*(AU2091/AT2091)^$E2109*((AU2091+AU2100)/(AT2091+AT2100))^$F2109</f>
        <v/>
      </c>
      <c r="AV2109" s="44">
        <f>AU2109*$G2109*(1+AV$7)^$D2109*(AV2091/AU2091)^$E2109*((AV2091+AV2100)/(AU2091+AU2100))^$F2109</f>
        <v/>
      </c>
      <c r="AW2109" s="44">
        <f>AV2109*$G2109*(1+AW$7)^$D2109*(AW2091/AV2091)^$E2109*((AW2091+AW2100)/(AV2091+AV2100))^$F2109</f>
        <v/>
      </c>
      <c r="AX2109" s="44">
        <f>AW2109*$G2109*(1+AX$7)^$D2109*(AX2091/AW2091)^$E2109*((AX2091+AX2100)/(AW2091+AW2100))^$F2109</f>
        <v/>
      </c>
      <c r="AY2109" s="44">
        <f>AX2109*$G2109*(1+AY$7)^$D2109*(AY2091/AX2091)^$E2109*((AY2091+AY2100)/(AX2091+AX2100))^$F2109</f>
        <v/>
      </c>
      <c r="AZ2109" s="44">
        <f>AY2109*$G2109*(1+AZ$7)^$D2109*(AZ2091/AY2091)^$E2109*((AZ2091+AZ2100)/(AY2091+AY2100))^$F2109</f>
        <v/>
      </c>
      <c r="BA2109" s="57">
        <f>FUELUSE(AZ2109,BA2091,AZ2091,BA2100,AZ2100,BA$7,$D2109,$E2109,$F2109,$G2109)</f>
        <v/>
      </c>
    </row>
    <row r="2110" hidden="1" outlineLevel="2">
      <c r="A2110" s="14" t="inlineStr">
        <is>
          <t>ener</t>
        </is>
      </c>
      <c r="B2110" s="14" t="inlineStr">
        <is>
          <t>nga</t>
        </is>
      </c>
      <c r="C2110" s="14" t="inlineStr">
        <is>
          <t>irn</t>
        </is>
      </c>
      <c r="D2110" s="35">
        <f>INDEX(Inputs!$O$5:$O$132,MATCH($B2110&amp;"|"&amp;$C2110,Inputs!$A$5:$A$132,0))</f>
        <v/>
      </c>
      <c r="E2110" s="35">
        <f>INDEX(Inputs!$P$5:$P$132,MATCH($B2110&amp;"|"&amp;$C2110,Inputs!$A$5:$A$132,0))</f>
        <v/>
      </c>
      <c r="F2110" s="35">
        <f>INDEX(Inputs!$T$5:$T$132,MATCH($B2110&amp;"|"&amp;$C2110,Inputs!$A$5:$A$132,0))</f>
        <v/>
      </c>
      <c r="G2110" s="35">
        <f>INDEX(Inputs!$S$5:$S$132,MATCH($B2110&amp;"|"&amp;$C2110,Inputs!$A$5:$A$132,0))</f>
        <v/>
      </c>
      <c r="H2110" s="14">
        <f>INDEX(VarLab,MATCH($A2110,VarKey,0))&amp;INDEX(MemLab,MATCH($C2110&amp;"|"&amp;$B2110,MemKey,0))</f>
        <v/>
      </c>
      <c r="I2110" s="14">
        <f>INDEX(VarUnit,MATCH($A2110,VarKey,0))</f>
        <v/>
      </c>
      <c r="J2110" s="14">
        <f>INDEX(VarSrc,MATCH($A2110,VarKey,0))</f>
        <v/>
      </c>
      <c r="K2110" s="11">
        <f>CodePrefix&amp;$A2110&amp;IF($C2110="","","."&amp;$C2110&amp;"."&amp;$B2110)&amp;INDEX(VarEnd,MATCH($A2110,VarKey,0))&amp;K$5</f>
        <v/>
      </c>
      <c r="L2110" s="43">
        <f>INDEX(Inputs!$X$5:$X$132,MATCH($B2110&amp;"|"&amp;$C2110,Inputs!$A$5:$A$132,0))</f>
        <v/>
      </c>
      <c r="M2110" s="44">
        <f>L2110*$G2110*(1+M$7)^$D2110*(M2092/L2092)^$E2110*((M2092+M2101)/(L2092+L2101))^$F2110</f>
        <v/>
      </c>
      <c r="N2110" s="44">
        <f>M2110*$G2110*(1+N$7)^$D2110*(N2092/M2092)^$E2110*((N2092+N2101)/(M2092+M2101))^$F2110</f>
        <v/>
      </c>
      <c r="O2110" s="44">
        <f>N2110*$G2110*(1+O$7)^$D2110*(O2092/N2092)^$E2110*((O2092+O2101)/(N2092+N2101))^$F2110</f>
        <v/>
      </c>
      <c r="P2110" s="44">
        <f>O2110*$G2110*(1+P$7)^$D2110*(P2092/O2092)^$E2110*((P2092+P2101)/(O2092+O2101))^$F2110</f>
        <v/>
      </c>
      <c r="Q2110" s="44">
        <f>P2110*$G2110*(1+Q$7)^$D2110*(Q2092/P2092)^$E2110*((Q2092+Q2101)/(P2092+P2101))^$F2110</f>
        <v/>
      </c>
      <c r="R2110" s="44">
        <f>Q2110*$G2110*(1+R$7)^$D2110*(R2092/Q2092)^$E2110*((R2092+R2101)/(Q2092+Q2101))^$F2110</f>
        <v/>
      </c>
      <c r="S2110" s="44">
        <f>R2110*$G2110*(1+S$7)^$D2110*(S2092/R2092)^$E2110*((S2092+S2101)/(R2092+R2101))^$F2110</f>
        <v/>
      </c>
      <c r="T2110" s="44">
        <f>S2110*$G2110*(1+T$7)^$D2110*(T2092/S2092)^$E2110*((T2092+T2101)/(S2092+S2101))^$F2110</f>
        <v/>
      </c>
      <c r="U2110" s="44">
        <f>T2110*$G2110*(1+U$7)^$D2110*(U2092/T2092)^$E2110*((U2092+U2101)/(T2092+T2101))^$F2110</f>
        <v/>
      </c>
      <c r="V2110" s="44">
        <f>U2110*$G2110*(1+V$7)^$D2110*(V2092/U2092)^$E2110*((V2092+V2101)/(U2092+U2101))^$F2110</f>
        <v/>
      </c>
      <c r="W2110" s="44">
        <f>V2110*$G2110*(1+W$7)^$D2110*(W2092/V2092)^$E2110*((W2092+W2101)/(V2092+V2101))^$F2110</f>
        <v/>
      </c>
      <c r="X2110" s="44">
        <f>W2110*$G2110*(1+X$7)^$D2110*(X2092/W2092)^$E2110*((X2092+X2101)/(W2092+W2101))^$F2110</f>
        <v/>
      </c>
      <c r="Y2110" s="44">
        <f>X2110*$G2110*(1+Y$7)^$D2110*(Y2092/X2092)^$E2110*((Y2092+Y2101)/(X2092+X2101))^$F2110</f>
        <v/>
      </c>
      <c r="Z2110" s="44">
        <f>Y2110*$G2110*(1+Z$7)^$D2110*(Z2092/Y2092)^$E2110*((Z2092+Z2101)/(Y2092+Y2101))^$F2110</f>
        <v/>
      </c>
      <c r="AA2110" s="44">
        <f>Z2110*$G2110*(1+AA$7)^$D2110*(AA2092/Z2092)^$E2110*((AA2092+AA2101)/(Z2092+Z2101))^$F2110</f>
        <v/>
      </c>
      <c r="AB2110" s="44">
        <f>AA2110*$G2110*(1+AB$7)^$D2110*(AB2092/AA2092)^$E2110*((AB2092+AB2101)/(AA2092+AA2101))^$F2110</f>
        <v/>
      </c>
      <c r="AC2110" s="44">
        <f>AB2110*$G2110*(1+AC$7)^$D2110*(AC2092/AB2092)^$E2110*((AC2092+AC2101)/(AB2092+AB2101))^$F2110</f>
        <v/>
      </c>
      <c r="AD2110" s="44">
        <f>AC2110*$G2110*(1+AD$7)^$D2110*(AD2092/AC2092)^$E2110*((AD2092+AD2101)/(AC2092+AC2101))^$F2110</f>
        <v/>
      </c>
      <c r="AE2110" s="57">
        <f>FUELUSE(AD2110,AE2092,AD2092,AE2101,AD2101,AE$7,$D2110,$E2110,$F2110,$G2110)</f>
        <v/>
      </c>
      <c r="AG2110" s="11">
        <f>CodePrefix&amp;$A2110&amp;IF($C2110="","","."&amp;$C2110&amp;"."&amp;$B2110)&amp;INDEX(VarEnd,MATCH($A2110,VarKey,0))&amp;AG$5</f>
        <v/>
      </c>
      <c r="AH2110" s="43">
        <f>INDEX(Inputs!$X$5:$X$132,MATCH($B2110&amp;"|"&amp;$C2110,Inputs!$A$5:$A$132,0))</f>
        <v/>
      </c>
      <c r="AI2110" s="44">
        <f>AH2110*$G2110*(1+AI$7)^$D2110*(AI2092/AH2092)^$E2110*((AI2092+AI2101)/(AH2092+AH2101))^$F2110</f>
        <v/>
      </c>
      <c r="AJ2110" s="44">
        <f>AI2110*$G2110*(1+AJ$7)^$D2110*(AJ2092/AI2092)^$E2110*((AJ2092+AJ2101)/(AI2092+AI2101))^$F2110</f>
        <v/>
      </c>
      <c r="AK2110" s="44">
        <f>AJ2110*$G2110*(1+AK$7)^$D2110*(AK2092/AJ2092)^$E2110*((AK2092+AK2101)/(AJ2092+AJ2101))^$F2110</f>
        <v/>
      </c>
      <c r="AL2110" s="44">
        <f>AK2110*$G2110*(1+AL$7)^$D2110*(AL2092/AK2092)^$E2110*((AL2092+AL2101)/(AK2092+AK2101))^$F2110</f>
        <v/>
      </c>
      <c r="AM2110" s="44">
        <f>AL2110*$G2110*(1+AM$7)^$D2110*(AM2092/AL2092)^$E2110*((AM2092+AM2101)/(AL2092+AL2101))^$F2110</f>
        <v/>
      </c>
      <c r="AN2110" s="44">
        <f>AM2110*$G2110*(1+AN$7)^$D2110*(AN2092/AM2092)^$E2110*((AN2092+AN2101)/(AM2092+AM2101))^$F2110</f>
        <v/>
      </c>
      <c r="AO2110" s="44">
        <f>AN2110*$G2110*(1+AO$7)^$D2110*(AO2092/AN2092)^$E2110*((AO2092+AO2101)/(AN2092+AN2101))^$F2110</f>
        <v/>
      </c>
      <c r="AP2110" s="44">
        <f>AO2110*$G2110*(1+AP$7)^$D2110*(AP2092/AO2092)^$E2110*((AP2092+AP2101)/(AO2092+AO2101))^$F2110</f>
        <v/>
      </c>
      <c r="AQ2110" s="44">
        <f>AP2110*$G2110*(1+AQ$7)^$D2110*(AQ2092/AP2092)^$E2110*((AQ2092+AQ2101)/(AP2092+AP2101))^$F2110</f>
        <v/>
      </c>
      <c r="AR2110" s="44">
        <f>AQ2110*$G2110*(1+AR$7)^$D2110*(AR2092/AQ2092)^$E2110*((AR2092+AR2101)/(AQ2092+AQ2101))^$F2110</f>
        <v/>
      </c>
      <c r="AS2110" s="44">
        <f>AR2110*$G2110*(1+AS$7)^$D2110*(AS2092/AR2092)^$E2110*((AS2092+AS2101)/(AR2092+AR2101))^$F2110</f>
        <v/>
      </c>
      <c r="AT2110" s="44">
        <f>AS2110*$G2110*(1+AT$7)^$D2110*(AT2092/AS2092)^$E2110*((AT2092+AT2101)/(AS2092+AS2101))^$F2110</f>
        <v/>
      </c>
      <c r="AU2110" s="44">
        <f>AT2110*$G2110*(1+AU$7)^$D2110*(AU2092/AT2092)^$E2110*((AU2092+AU2101)/(AT2092+AT2101))^$F2110</f>
        <v/>
      </c>
      <c r="AV2110" s="44">
        <f>AU2110*$G2110*(1+AV$7)^$D2110*(AV2092/AU2092)^$E2110*((AV2092+AV2101)/(AU2092+AU2101))^$F2110</f>
        <v/>
      </c>
      <c r="AW2110" s="44">
        <f>AV2110*$G2110*(1+AW$7)^$D2110*(AW2092/AV2092)^$E2110*((AW2092+AW2101)/(AV2092+AV2101))^$F2110</f>
        <v/>
      </c>
      <c r="AX2110" s="44">
        <f>AW2110*$G2110*(1+AX$7)^$D2110*(AX2092/AW2092)^$E2110*((AX2092+AX2101)/(AW2092+AW2101))^$F2110</f>
        <v/>
      </c>
      <c r="AY2110" s="44">
        <f>AX2110*$G2110*(1+AY$7)^$D2110*(AY2092/AX2092)^$E2110*((AY2092+AY2101)/(AX2092+AX2101))^$F2110</f>
        <v/>
      </c>
      <c r="AZ2110" s="44">
        <f>AY2110*$G2110*(1+AZ$7)^$D2110*(AZ2092/AY2092)^$E2110*((AZ2092+AZ2101)/(AY2092+AY2101))^$F2110</f>
        <v/>
      </c>
      <c r="BA2110" s="57">
        <f>FUELUSE(AZ2110,BA2092,AZ2092,BA2101,AZ2101,BA$7,$D2110,$E2110,$F2110,$G2110)</f>
        <v/>
      </c>
    </row>
    <row r="2111" hidden="1" outlineLevel="2">
      <c r="A2111" s="14" t="inlineStr">
        <is>
          <t>ener</t>
        </is>
      </c>
      <c r="B2111" s="14" t="inlineStr">
        <is>
          <t>gso</t>
        </is>
      </c>
      <c r="C2111" s="14" t="inlineStr">
        <is>
          <t>irn</t>
        </is>
      </c>
      <c r="D2111" s="35">
        <f>INDEX(Inputs!$O$5:$O$132,MATCH($B2111&amp;"|"&amp;$C2111,Inputs!$A$5:$A$132,0))</f>
        <v/>
      </c>
      <c r="E2111" s="35">
        <f>INDEX(Inputs!$P$5:$P$132,MATCH($B2111&amp;"|"&amp;$C2111,Inputs!$A$5:$A$132,0))</f>
        <v/>
      </c>
      <c r="F2111" s="35">
        <f>INDEX(Inputs!$T$5:$T$132,MATCH($B2111&amp;"|"&amp;$C2111,Inputs!$A$5:$A$132,0))</f>
        <v/>
      </c>
      <c r="G2111" s="35">
        <f>INDEX(Inputs!$S$5:$S$132,MATCH($B2111&amp;"|"&amp;$C2111,Inputs!$A$5:$A$132,0))</f>
        <v/>
      </c>
      <c r="H2111" s="14">
        <f>INDEX(VarLab,MATCH($A2111,VarKey,0))&amp;INDEX(MemLab,MATCH($C2111&amp;"|"&amp;$B2111,MemKey,0))</f>
        <v/>
      </c>
      <c r="I2111" s="14">
        <f>INDEX(VarUnit,MATCH($A2111,VarKey,0))</f>
        <v/>
      </c>
      <c r="J2111" s="14">
        <f>INDEX(VarSrc,MATCH($A2111,VarKey,0))</f>
        <v/>
      </c>
      <c r="K2111" s="11">
        <f>CodePrefix&amp;$A2111&amp;IF($C2111="","","."&amp;$C2111&amp;"."&amp;$B2111)&amp;INDEX(VarEnd,MATCH($A2111,VarKey,0))&amp;K$5</f>
        <v/>
      </c>
      <c r="L2111" s="43">
        <f>INDEX(Inputs!$X$5:$X$132,MATCH($B2111&amp;"|"&amp;$C2111,Inputs!$A$5:$A$132,0))</f>
        <v/>
      </c>
      <c r="M2111" s="44">
        <f>L2111*$G2111*(1+M$7)^$D2111*(M2093/L2093)^$E2111*((M2093+M2102)/(L2093+L2102))^$F2111</f>
        <v/>
      </c>
      <c r="N2111" s="44">
        <f>M2111*$G2111*(1+N$7)^$D2111*(N2093/M2093)^$E2111*((N2093+N2102)/(M2093+M2102))^$F2111</f>
        <v/>
      </c>
      <c r="O2111" s="44">
        <f>N2111*$G2111*(1+O$7)^$D2111*(O2093/N2093)^$E2111*((O2093+O2102)/(N2093+N2102))^$F2111</f>
        <v/>
      </c>
      <c r="P2111" s="44">
        <f>O2111*$G2111*(1+P$7)^$D2111*(P2093/O2093)^$E2111*((P2093+P2102)/(O2093+O2102))^$F2111</f>
        <v/>
      </c>
      <c r="Q2111" s="44">
        <f>P2111*$G2111*(1+Q$7)^$D2111*(Q2093/P2093)^$E2111*((Q2093+Q2102)/(P2093+P2102))^$F2111</f>
        <v/>
      </c>
      <c r="R2111" s="44">
        <f>Q2111*$G2111*(1+R$7)^$D2111*(R2093/Q2093)^$E2111*((R2093+R2102)/(Q2093+Q2102))^$F2111</f>
        <v/>
      </c>
      <c r="S2111" s="44">
        <f>R2111*$G2111*(1+S$7)^$D2111*(S2093/R2093)^$E2111*((S2093+S2102)/(R2093+R2102))^$F2111</f>
        <v/>
      </c>
      <c r="T2111" s="44">
        <f>S2111*$G2111*(1+T$7)^$D2111*(T2093/S2093)^$E2111*((T2093+T2102)/(S2093+S2102))^$F2111</f>
        <v/>
      </c>
      <c r="U2111" s="44">
        <f>T2111*$G2111*(1+U$7)^$D2111*(U2093/T2093)^$E2111*((U2093+U2102)/(T2093+T2102))^$F2111</f>
        <v/>
      </c>
      <c r="V2111" s="44">
        <f>U2111*$G2111*(1+V$7)^$D2111*(V2093/U2093)^$E2111*((V2093+V2102)/(U2093+U2102))^$F2111</f>
        <v/>
      </c>
      <c r="W2111" s="44">
        <f>V2111*$G2111*(1+W$7)^$D2111*(W2093/V2093)^$E2111*((W2093+W2102)/(V2093+V2102))^$F2111</f>
        <v/>
      </c>
      <c r="X2111" s="44">
        <f>W2111*$G2111*(1+X$7)^$D2111*(X2093/W2093)^$E2111*((X2093+X2102)/(W2093+W2102))^$F2111</f>
        <v/>
      </c>
      <c r="Y2111" s="44">
        <f>X2111*$G2111*(1+Y$7)^$D2111*(Y2093/X2093)^$E2111*((Y2093+Y2102)/(X2093+X2102))^$F2111</f>
        <v/>
      </c>
      <c r="Z2111" s="44">
        <f>Y2111*$G2111*(1+Z$7)^$D2111*(Z2093/Y2093)^$E2111*((Z2093+Z2102)/(Y2093+Y2102))^$F2111</f>
        <v/>
      </c>
      <c r="AA2111" s="44">
        <f>Z2111*$G2111*(1+AA$7)^$D2111*(AA2093/Z2093)^$E2111*((AA2093+AA2102)/(Z2093+Z2102))^$F2111</f>
        <v/>
      </c>
      <c r="AB2111" s="44">
        <f>AA2111*$G2111*(1+AB$7)^$D2111*(AB2093/AA2093)^$E2111*((AB2093+AB2102)/(AA2093+AA2102))^$F2111</f>
        <v/>
      </c>
      <c r="AC2111" s="44">
        <f>AB2111*$G2111*(1+AC$7)^$D2111*(AC2093/AB2093)^$E2111*((AC2093+AC2102)/(AB2093+AB2102))^$F2111</f>
        <v/>
      </c>
      <c r="AD2111" s="44">
        <f>AC2111*$G2111*(1+AD$7)^$D2111*(AD2093/AC2093)^$E2111*((AD2093+AD2102)/(AC2093+AC2102))^$F2111</f>
        <v/>
      </c>
      <c r="AE2111" s="57">
        <f>FUELUSE(AD2111,AE2093,AD2093,AE2102,AD2102,AE$7,$D2111,$E2111,$F2111,$G2111)</f>
        <v/>
      </c>
      <c r="AG2111" s="11">
        <f>CodePrefix&amp;$A2111&amp;IF($C2111="","","."&amp;$C2111&amp;"."&amp;$B2111)&amp;INDEX(VarEnd,MATCH($A2111,VarKey,0))&amp;AG$5</f>
        <v/>
      </c>
      <c r="AH2111" s="43">
        <f>INDEX(Inputs!$X$5:$X$132,MATCH($B2111&amp;"|"&amp;$C2111,Inputs!$A$5:$A$132,0))</f>
        <v/>
      </c>
      <c r="AI2111" s="44">
        <f>AH2111*$G2111*(1+AI$7)^$D2111*(AI2093/AH2093)^$E2111*((AI2093+AI2102)/(AH2093+AH2102))^$F2111</f>
        <v/>
      </c>
      <c r="AJ2111" s="44">
        <f>AI2111*$G2111*(1+AJ$7)^$D2111*(AJ2093/AI2093)^$E2111*((AJ2093+AJ2102)/(AI2093+AI2102))^$F2111</f>
        <v/>
      </c>
      <c r="AK2111" s="44">
        <f>AJ2111*$G2111*(1+AK$7)^$D2111*(AK2093/AJ2093)^$E2111*((AK2093+AK2102)/(AJ2093+AJ2102))^$F2111</f>
        <v/>
      </c>
      <c r="AL2111" s="44">
        <f>AK2111*$G2111*(1+AL$7)^$D2111*(AL2093/AK2093)^$E2111*((AL2093+AL2102)/(AK2093+AK2102))^$F2111</f>
        <v/>
      </c>
      <c r="AM2111" s="44">
        <f>AL2111*$G2111*(1+AM$7)^$D2111*(AM2093/AL2093)^$E2111*((AM2093+AM2102)/(AL2093+AL2102))^$F2111</f>
        <v/>
      </c>
      <c r="AN2111" s="44">
        <f>AM2111*$G2111*(1+AN$7)^$D2111*(AN2093/AM2093)^$E2111*((AN2093+AN2102)/(AM2093+AM2102))^$F2111</f>
        <v/>
      </c>
      <c r="AO2111" s="44">
        <f>AN2111*$G2111*(1+AO$7)^$D2111*(AO2093/AN2093)^$E2111*((AO2093+AO2102)/(AN2093+AN2102))^$F2111</f>
        <v/>
      </c>
      <c r="AP2111" s="44">
        <f>AO2111*$G2111*(1+AP$7)^$D2111*(AP2093/AO2093)^$E2111*((AP2093+AP2102)/(AO2093+AO2102))^$F2111</f>
        <v/>
      </c>
      <c r="AQ2111" s="44">
        <f>AP2111*$G2111*(1+AQ$7)^$D2111*(AQ2093/AP2093)^$E2111*((AQ2093+AQ2102)/(AP2093+AP2102))^$F2111</f>
        <v/>
      </c>
      <c r="AR2111" s="44">
        <f>AQ2111*$G2111*(1+AR$7)^$D2111*(AR2093/AQ2093)^$E2111*((AR2093+AR2102)/(AQ2093+AQ2102))^$F2111</f>
        <v/>
      </c>
      <c r="AS2111" s="44">
        <f>AR2111*$G2111*(1+AS$7)^$D2111*(AS2093/AR2093)^$E2111*((AS2093+AS2102)/(AR2093+AR2102))^$F2111</f>
        <v/>
      </c>
      <c r="AT2111" s="44">
        <f>AS2111*$G2111*(1+AT$7)^$D2111*(AT2093/AS2093)^$E2111*((AT2093+AT2102)/(AS2093+AS2102))^$F2111</f>
        <v/>
      </c>
      <c r="AU2111" s="44">
        <f>AT2111*$G2111*(1+AU$7)^$D2111*(AU2093/AT2093)^$E2111*((AU2093+AU2102)/(AT2093+AT2102))^$F2111</f>
        <v/>
      </c>
      <c r="AV2111" s="44">
        <f>AU2111*$G2111*(1+AV$7)^$D2111*(AV2093/AU2093)^$E2111*((AV2093+AV2102)/(AU2093+AU2102))^$F2111</f>
        <v/>
      </c>
      <c r="AW2111" s="44">
        <f>AV2111*$G2111*(1+AW$7)^$D2111*(AW2093/AV2093)^$E2111*((AW2093+AW2102)/(AV2093+AV2102))^$F2111</f>
        <v/>
      </c>
      <c r="AX2111" s="44">
        <f>AW2111*$G2111*(1+AX$7)^$D2111*(AX2093/AW2093)^$E2111*((AX2093+AX2102)/(AW2093+AW2102))^$F2111</f>
        <v/>
      </c>
      <c r="AY2111" s="44">
        <f>AX2111*$G2111*(1+AY$7)^$D2111*(AY2093/AX2093)^$E2111*((AY2093+AY2102)/(AX2093+AX2102))^$F2111</f>
        <v/>
      </c>
      <c r="AZ2111" s="44">
        <f>AY2111*$G2111*(1+AZ$7)^$D2111*(AZ2093/AY2093)^$E2111*((AZ2093+AZ2102)/(AY2093+AY2102))^$F2111</f>
        <v/>
      </c>
      <c r="BA2111" s="57">
        <f>FUELUSE(AZ2111,BA2093,AZ2093,BA2102,AZ2102,BA$7,$D2111,$E2111,$F2111,$G2111)</f>
        <v/>
      </c>
    </row>
    <row r="2112" hidden="1" outlineLevel="2">
      <c r="A2112" s="14" t="inlineStr">
        <is>
          <t>ener</t>
        </is>
      </c>
      <c r="B2112" s="14" t="inlineStr">
        <is>
          <t>die</t>
        </is>
      </c>
      <c r="C2112" s="14" t="inlineStr">
        <is>
          <t>irn</t>
        </is>
      </c>
      <c r="D2112" s="35">
        <f>INDEX(Inputs!$O$5:$O$132,MATCH($B2112&amp;"|"&amp;$C2112,Inputs!$A$5:$A$132,0))</f>
        <v/>
      </c>
      <c r="E2112" s="35">
        <f>INDEX(Inputs!$P$5:$P$132,MATCH($B2112&amp;"|"&amp;$C2112,Inputs!$A$5:$A$132,0))</f>
        <v/>
      </c>
      <c r="F2112" s="35">
        <f>INDEX(Inputs!$T$5:$T$132,MATCH($B2112&amp;"|"&amp;$C2112,Inputs!$A$5:$A$132,0))</f>
        <v/>
      </c>
      <c r="G2112" s="35">
        <f>INDEX(Inputs!$S$5:$S$132,MATCH($B2112&amp;"|"&amp;$C2112,Inputs!$A$5:$A$132,0))</f>
        <v/>
      </c>
      <c r="H2112" s="14">
        <f>INDEX(VarLab,MATCH($A2112,VarKey,0))&amp;INDEX(MemLab,MATCH($C2112&amp;"|"&amp;$B2112,MemKey,0))</f>
        <v/>
      </c>
      <c r="I2112" s="14">
        <f>INDEX(VarUnit,MATCH($A2112,VarKey,0))</f>
        <v/>
      </c>
      <c r="J2112" s="14">
        <f>INDEX(VarSrc,MATCH($A2112,VarKey,0))</f>
        <v/>
      </c>
      <c r="K2112" s="11">
        <f>CodePrefix&amp;$A2112&amp;IF($C2112="","","."&amp;$C2112&amp;"."&amp;$B2112)&amp;INDEX(VarEnd,MATCH($A2112,VarKey,0))&amp;K$5</f>
        <v/>
      </c>
      <c r="L2112" s="43">
        <f>INDEX(Inputs!$X$5:$X$132,MATCH($B2112&amp;"|"&amp;$C2112,Inputs!$A$5:$A$132,0))</f>
        <v/>
      </c>
      <c r="M2112" s="44">
        <f>L2112*$G2112*(1+M$7)^$D2112*(M2094/L2094)^$E2112*((M2094+M2103)/(L2094+L2103))^$F2112</f>
        <v/>
      </c>
      <c r="N2112" s="44">
        <f>M2112*$G2112*(1+N$7)^$D2112*(N2094/M2094)^$E2112*((N2094+N2103)/(M2094+M2103))^$F2112</f>
        <v/>
      </c>
      <c r="O2112" s="44">
        <f>N2112*$G2112*(1+O$7)^$D2112*(O2094/N2094)^$E2112*((O2094+O2103)/(N2094+N2103))^$F2112</f>
        <v/>
      </c>
      <c r="P2112" s="44">
        <f>O2112*$G2112*(1+P$7)^$D2112*(P2094/O2094)^$E2112*((P2094+P2103)/(O2094+O2103))^$F2112</f>
        <v/>
      </c>
      <c r="Q2112" s="44">
        <f>P2112*$G2112*(1+Q$7)^$D2112*(Q2094/P2094)^$E2112*((Q2094+Q2103)/(P2094+P2103))^$F2112</f>
        <v/>
      </c>
      <c r="R2112" s="44">
        <f>Q2112*$G2112*(1+R$7)^$D2112*(R2094/Q2094)^$E2112*((R2094+R2103)/(Q2094+Q2103))^$F2112</f>
        <v/>
      </c>
      <c r="S2112" s="44">
        <f>R2112*$G2112*(1+S$7)^$D2112*(S2094/R2094)^$E2112*((S2094+S2103)/(R2094+R2103))^$F2112</f>
        <v/>
      </c>
      <c r="T2112" s="44">
        <f>S2112*$G2112*(1+T$7)^$D2112*(T2094/S2094)^$E2112*((T2094+T2103)/(S2094+S2103))^$F2112</f>
        <v/>
      </c>
      <c r="U2112" s="44">
        <f>T2112*$G2112*(1+U$7)^$D2112*(U2094/T2094)^$E2112*((U2094+U2103)/(T2094+T2103))^$F2112</f>
        <v/>
      </c>
      <c r="V2112" s="44">
        <f>U2112*$G2112*(1+V$7)^$D2112*(V2094/U2094)^$E2112*((V2094+V2103)/(U2094+U2103))^$F2112</f>
        <v/>
      </c>
      <c r="W2112" s="44">
        <f>V2112*$G2112*(1+W$7)^$D2112*(W2094/V2094)^$E2112*((W2094+W2103)/(V2094+V2103))^$F2112</f>
        <v/>
      </c>
      <c r="X2112" s="44">
        <f>W2112*$G2112*(1+X$7)^$D2112*(X2094/W2094)^$E2112*((X2094+X2103)/(W2094+W2103))^$F2112</f>
        <v/>
      </c>
      <c r="Y2112" s="44">
        <f>X2112*$G2112*(1+Y$7)^$D2112*(Y2094/X2094)^$E2112*((Y2094+Y2103)/(X2094+X2103))^$F2112</f>
        <v/>
      </c>
      <c r="Z2112" s="44">
        <f>Y2112*$G2112*(1+Z$7)^$D2112*(Z2094/Y2094)^$E2112*((Z2094+Z2103)/(Y2094+Y2103))^$F2112</f>
        <v/>
      </c>
      <c r="AA2112" s="44">
        <f>Z2112*$G2112*(1+AA$7)^$D2112*(AA2094/Z2094)^$E2112*((AA2094+AA2103)/(Z2094+Z2103))^$F2112</f>
        <v/>
      </c>
      <c r="AB2112" s="44">
        <f>AA2112*$G2112*(1+AB$7)^$D2112*(AB2094/AA2094)^$E2112*((AB2094+AB2103)/(AA2094+AA2103))^$F2112</f>
        <v/>
      </c>
      <c r="AC2112" s="44">
        <f>AB2112*$G2112*(1+AC$7)^$D2112*(AC2094/AB2094)^$E2112*((AC2094+AC2103)/(AB2094+AB2103))^$F2112</f>
        <v/>
      </c>
      <c r="AD2112" s="44">
        <f>AC2112*$G2112*(1+AD$7)^$D2112*(AD2094/AC2094)^$E2112*((AD2094+AD2103)/(AC2094+AC2103))^$F2112</f>
        <v/>
      </c>
      <c r="AE2112" s="57">
        <f>FUELUSE(AD2112,AE2094,AD2094,AE2103,AD2103,AE$7,$D2112,$E2112,$F2112,$G2112)</f>
        <v/>
      </c>
      <c r="AG2112" s="11">
        <f>CodePrefix&amp;$A2112&amp;IF($C2112="","","."&amp;$C2112&amp;"."&amp;$B2112)&amp;INDEX(VarEnd,MATCH($A2112,VarKey,0))&amp;AG$5</f>
        <v/>
      </c>
      <c r="AH2112" s="43">
        <f>INDEX(Inputs!$X$5:$X$132,MATCH($B2112&amp;"|"&amp;$C2112,Inputs!$A$5:$A$132,0))</f>
        <v/>
      </c>
      <c r="AI2112" s="44">
        <f>AH2112*$G2112*(1+AI$7)^$D2112*(AI2094/AH2094)^$E2112*((AI2094+AI2103)/(AH2094+AH2103))^$F2112</f>
        <v/>
      </c>
      <c r="AJ2112" s="44">
        <f>AI2112*$G2112*(1+AJ$7)^$D2112*(AJ2094/AI2094)^$E2112*((AJ2094+AJ2103)/(AI2094+AI2103))^$F2112</f>
        <v/>
      </c>
      <c r="AK2112" s="44">
        <f>AJ2112*$G2112*(1+AK$7)^$D2112*(AK2094/AJ2094)^$E2112*((AK2094+AK2103)/(AJ2094+AJ2103))^$F2112</f>
        <v/>
      </c>
      <c r="AL2112" s="44">
        <f>AK2112*$G2112*(1+AL$7)^$D2112*(AL2094/AK2094)^$E2112*((AL2094+AL2103)/(AK2094+AK2103))^$F2112</f>
        <v/>
      </c>
      <c r="AM2112" s="44">
        <f>AL2112*$G2112*(1+AM$7)^$D2112*(AM2094/AL2094)^$E2112*((AM2094+AM2103)/(AL2094+AL2103))^$F2112</f>
        <v/>
      </c>
      <c r="AN2112" s="44">
        <f>AM2112*$G2112*(1+AN$7)^$D2112*(AN2094/AM2094)^$E2112*((AN2094+AN2103)/(AM2094+AM2103))^$F2112</f>
        <v/>
      </c>
      <c r="AO2112" s="44">
        <f>AN2112*$G2112*(1+AO$7)^$D2112*(AO2094/AN2094)^$E2112*((AO2094+AO2103)/(AN2094+AN2103))^$F2112</f>
        <v/>
      </c>
      <c r="AP2112" s="44">
        <f>AO2112*$G2112*(1+AP$7)^$D2112*(AP2094/AO2094)^$E2112*((AP2094+AP2103)/(AO2094+AO2103))^$F2112</f>
        <v/>
      </c>
      <c r="AQ2112" s="44">
        <f>AP2112*$G2112*(1+AQ$7)^$D2112*(AQ2094/AP2094)^$E2112*((AQ2094+AQ2103)/(AP2094+AP2103))^$F2112</f>
        <v/>
      </c>
      <c r="AR2112" s="44">
        <f>AQ2112*$G2112*(1+AR$7)^$D2112*(AR2094/AQ2094)^$E2112*((AR2094+AR2103)/(AQ2094+AQ2103))^$F2112</f>
        <v/>
      </c>
      <c r="AS2112" s="44">
        <f>AR2112*$G2112*(1+AS$7)^$D2112*(AS2094/AR2094)^$E2112*((AS2094+AS2103)/(AR2094+AR2103))^$F2112</f>
        <v/>
      </c>
      <c r="AT2112" s="44">
        <f>AS2112*$G2112*(1+AT$7)^$D2112*(AT2094/AS2094)^$E2112*((AT2094+AT2103)/(AS2094+AS2103))^$F2112</f>
        <v/>
      </c>
      <c r="AU2112" s="44">
        <f>AT2112*$G2112*(1+AU$7)^$D2112*(AU2094/AT2094)^$E2112*((AU2094+AU2103)/(AT2094+AT2103))^$F2112</f>
        <v/>
      </c>
      <c r="AV2112" s="44">
        <f>AU2112*$G2112*(1+AV$7)^$D2112*(AV2094/AU2094)^$E2112*((AV2094+AV2103)/(AU2094+AU2103))^$F2112</f>
        <v/>
      </c>
      <c r="AW2112" s="44">
        <f>AV2112*$G2112*(1+AW$7)^$D2112*(AW2094/AV2094)^$E2112*((AW2094+AW2103)/(AV2094+AV2103))^$F2112</f>
        <v/>
      </c>
      <c r="AX2112" s="44">
        <f>AW2112*$G2112*(1+AX$7)^$D2112*(AX2094/AW2094)^$E2112*((AX2094+AX2103)/(AW2094+AW2103))^$F2112</f>
        <v/>
      </c>
      <c r="AY2112" s="44">
        <f>AX2112*$G2112*(1+AY$7)^$D2112*(AY2094/AX2094)^$E2112*((AY2094+AY2103)/(AX2094+AX2103))^$F2112</f>
        <v/>
      </c>
      <c r="AZ2112" s="44">
        <f>AY2112*$G2112*(1+AZ$7)^$D2112*(AZ2094/AY2094)^$E2112*((AZ2094+AZ2103)/(AY2094+AY2103))^$F2112</f>
        <v/>
      </c>
      <c r="BA2112" s="57">
        <f>FUELUSE(AZ2112,BA2094,AZ2094,BA2103,AZ2103,BA$7,$D2112,$E2112,$F2112,$G2112)</f>
        <v/>
      </c>
    </row>
    <row r="2113" hidden="1" outlineLevel="2">
      <c r="A2113" s="14" t="inlineStr">
        <is>
          <t>ener</t>
        </is>
      </c>
      <c r="B2113" s="14" t="inlineStr">
        <is>
          <t>lpg</t>
        </is>
      </c>
      <c r="C2113" s="14" t="inlineStr">
        <is>
          <t>irn</t>
        </is>
      </c>
      <c r="D2113" s="35">
        <f>INDEX(Inputs!$O$5:$O$132,MATCH($B2113&amp;"|"&amp;$C2113,Inputs!$A$5:$A$132,0))</f>
        <v/>
      </c>
      <c r="E2113" s="35">
        <f>INDEX(Inputs!$P$5:$P$132,MATCH($B2113&amp;"|"&amp;$C2113,Inputs!$A$5:$A$132,0))</f>
        <v/>
      </c>
      <c r="F2113" s="35">
        <f>INDEX(Inputs!$T$5:$T$132,MATCH($B2113&amp;"|"&amp;$C2113,Inputs!$A$5:$A$132,0))</f>
        <v/>
      </c>
      <c r="G2113" s="35">
        <f>INDEX(Inputs!$S$5:$S$132,MATCH($B2113&amp;"|"&amp;$C2113,Inputs!$A$5:$A$132,0))</f>
        <v/>
      </c>
      <c r="H2113" s="14">
        <f>INDEX(VarLab,MATCH($A2113,VarKey,0))&amp;INDEX(MemLab,MATCH($C2113&amp;"|"&amp;$B2113,MemKey,0))</f>
        <v/>
      </c>
      <c r="I2113" s="14">
        <f>INDEX(VarUnit,MATCH($A2113,VarKey,0))</f>
        <v/>
      </c>
      <c r="J2113" s="14">
        <f>INDEX(VarSrc,MATCH($A2113,VarKey,0))</f>
        <v/>
      </c>
      <c r="K2113" s="11">
        <f>CodePrefix&amp;$A2113&amp;IF($C2113="","","."&amp;$C2113&amp;"."&amp;$B2113)&amp;INDEX(VarEnd,MATCH($A2113,VarKey,0))&amp;K$5</f>
        <v/>
      </c>
      <c r="L2113" s="43">
        <f>INDEX(Inputs!$X$5:$X$132,MATCH($B2113&amp;"|"&amp;$C2113,Inputs!$A$5:$A$132,0))</f>
        <v/>
      </c>
      <c r="M2113" s="44">
        <f>L2113*$G2113*(1+M$7)^$D2113*(M2095/L2095)^$E2113*((M2095+M2104)/(L2095+L2104))^$F2113</f>
        <v/>
      </c>
      <c r="N2113" s="44">
        <f>M2113*$G2113*(1+N$7)^$D2113*(N2095/M2095)^$E2113*((N2095+N2104)/(M2095+M2104))^$F2113</f>
        <v/>
      </c>
      <c r="O2113" s="44">
        <f>N2113*$G2113*(1+O$7)^$D2113*(O2095/N2095)^$E2113*((O2095+O2104)/(N2095+N2104))^$F2113</f>
        <v/>
      </c>
      <c r="P2113" s="44">
        <f>O2113*$G2113*(1+P$7)^$D2113*(P2095/O2095)^$E2113*((P2095+P2104)/(O2095+O2104))^$F2113</f>
        <v/>
      </c>
      <c r="Q2113" s="44">
        <f>P2113*$G2113*(1+Q$7)^$D2113*(Q2095/P2095)^$E2113*((Q2095+Q2104)/(P2095+P2104))^$F2113</f>
        <v/>
      </c>
      <c r="R2113" s="44">
        <f>Q2113*$G2113*(1+R$7)^$D2113*(R2095/Q2095)^$E2113*((R2095+R2104)/(Q2095+Q2104))^$F2113</f>
        <v/>
      </c>
      <c r="S2113" s="44">
        <f>R2113*$G2113*(1+S$7)^$D2113*(S2095/R2095)^$E2113*((S2095+S2104)/(R2095+R2104))^$F2113</f>
        <v/>
      </c>
      <c r="T2113" s="44">
        <f>S2113*$G2113*(1+T$7)^$D2113*(T2095/S2095)^$E2113*((T2095+T2104)/(S2095+S2104))^$F2113</f>
        <v/>
      </c>
      <c r="U2113" s="44">
        <f>T2113*$G2113*(1+U$7)^$D2113*(U2095/T2095)^$E2113*((U2095+U2104)/(T2095+T2104))^$F2113</f>
        <v/>
      </c>
      <c r="V2113" s="44">
        <f>U2113*$G2113*(1+V$7)^$D2113*(V2095/U2095)^$E2113*((V2095+V2104)/(U2095+U2104))^$F2113</f>
        <v/>
      </c>
      <c r="W2113" s="44">
        <f>V2113*$G2113*(1+W$7)^$D2113*(W2095/V2095)^$E2113*((W2095+W2104)/(V2095+V2104))^$F2113</f>
        <v/>
      </c>
      <c r="X2113" s="44">
        <f>W2113*$G2113*(1+X$7)^$D2113*(X2095/W2095)^$E2113*((X2095+X2104)/(W2095+W2104))^$F2113</f>
        <v/>
      </c>
      <c r="Y2113" s="44">
        <f>X2113*$G2113*(1+Y$7)^$D2113*(Y2095/X2095)^$E2113*((Y2095+Y2104)/(X2095+X2104))^$F2113</f>
        <v/>
      </c>
      <c r="Z2113" s="44">
        <f>Y2113*$G2113*(1+Z$7)^$D2113*(Z2095/Y2095)^$E2113*((Z2095+Z2104)/(Y2095+Y2104))^$F2113</f>
        <v/>
      </c>
      <c r="AA2113" s="44">
        <f>Z2113*$G2113*(1+AA$7)^$D2113*(AA2095/Z2095)^$E2113*((AA2095+AA2104)/(Z2095+Z2104))^$F2113</f>
        <v/>
      </c>
      <c r="AB2113" s="44">
        <f>AA2113*$G2113*(1+AB$7)^$D2113*(AB2095/AA2095)^$E2113*((AB2095+AB2104)/(AA2095+AA2104))^$F2113</f>
        <v/>
      </c>
      <c r="AC2113" s="44">
        <f>AB2113*$G2113*(1+AC$7)^$D2113*(AC2095/AB2095)^$E2113*((AC2095+AC2104)/(AB2095+AB2104))^$F2113</f>
        <v/>
      </c>
      <c r="AD2113" s="44">
        <f>AC2113*$G2113*(1+AD$7)^$D2113*(AD2095/AC2095)^$E2113*((AD2095+AD2104)/(AC2095+AC2104))^$F2113</f>
        <v/>
      </c>
      <c r="AE2113" s="57">
        <f>FUELUSE(AD2113,AE2095,AD2095,AE2104,AD2104,AE$7,$D2113,$E2113,$F2113,$G2113)</f>
        <v/>
      </c>
      <c r="AG2113" s="11">
        <f>CodePrefix&amp;$A2113&amp;IF($C2113="","","."&amp;$C2113&amp;"."&amp;$B2113)&amp;INDEX(VarEnd,MATCH($A2113,VarKey,0))&amp;AG$5</f>
        <v/>
      </c>
      <c r="AH2113" s="43">
        <f>INDEX(Inputs!$X$5:$X$132,MATCH($B2113&amp;"|"&amp;$C2113,Inputs!$A$5:$A$132,0))</f>
        <v/>
      </c>
      <c r="AI2113" s="44">
        <f>AH2113*$G2113*(1+AI$7)^$D2113*(AI2095/AH2095)^$E2113*((AI2095+AI2104)/(AH2095+AH2104))^$F2113</f>
        <v/>
      </c>
      <c r="AJ2113" s="44">
        <f>AI2113*$G2113*(1+AJ$7)^$D2113*(AJ2095/AI2095)^$E2113*((AJ2095+AJ2104)/(AI2095+AI2104))^$F2113</f>
        <v/>
      </c>
      <c r="AK2113" s="44">
        <f>AJ2113*$G2113*(1+AK$7)^$D2113*(AK2095/AJ2095)^$E2113*((AK2095+AK2104)/(AJ2095+AJ2104))^$F2113</f>
        <v/>
      </c>
      <c r="AL2113" s="44">
        <f>AK2113*$G2113*(1+AL$7)^$D2113*(AL2095/AK2095)^$E2113*((AL2095+AL2104)/(AK2095+AK2104))^$F2113</f>
        <v/>
      </c>
      <c r="AM2113" s="44">
        <f>AL2113*$G2113*(1+AM$7)^$D2113*(AM2095/AL2095)^$E2113*((AM2095+AM2104)/(AL2095+AL2104))^$F2113</f>
        <v/>
      </c>
      <c r="AN2113" s="44">
        <f>AM2113*$G2113*(1+AN$7)^$D2113*(AN2095/AM2095)^$E2113*((AN2095+AN2104)/(AM2095+AM2104))^$F2113</f>
        <v/>
      </c>
      <c r="AO2113" s="44">
        <f>AN2113*$G2113*(1+AO$7)^$D2113*(AO2095/AN2095)^$E2113*((AO2095+AO2104)/(AN2095+AN2104))^$F2113</f>
        <v/>
      </c>
      <c r="AP2113" s="44">
        <f>AO2113*$G2113*(1+AP$7)^$D2113*(AP2095/AO2095)^$E2113*((AP2095+AP2104)/(AO2095+AO2104))^$F2113</f>
        <v/>
      </c>
      <c r="AQ2113" s="44">
        <f>AP2113*$G2113*(1+AQ$7)^$D2113*(AQ2095/AP2095)^$E2113*((AQ2095+AQ2104)/(AP2095+AP2104))^$F2113</f>
        <v/>
      </c>
      <c r="AR2113" s="44">
        <f>AQ2113*$G2113*(1+AR$7)^$D2113*(AR2095/AQ2095)^$E2113*((AR2095+AR2104)/(AQ2095+AQ2104))^$F2113</f>
        <v/>
      </c>
      <c r="AS2113" s="44">
        <f>AR2113*$G2113*(1+AS$7)^$D2113*(AS2095/AR2095)^$E2113*((AS2095+AS2104)/(AR2095+AR2104))^$F2113</f>
        <v/>
      </c>
      <c r="AT2113" s="44">
        <f>AS2113*$G2113*(1+AT$7)^$D2113*(AT2095/AS2095)^$E2113*((AT2095+AT2104)/(AS2095+AS2104))^$F2113</f>
        <v/>
      </c>
      <c r="AU2113" s="44">
        <f>AT2113*$G2113*(1+AU$7)^$D2113*(AU2095/AT2095)^$E2113*((AU2095+AU2104)/(AT2095+AT2104))^$F2113</f>
        <v/>
      </c>
      <c r="AV2113" s="44">
        <f>AU2113*$G2113*(1+AV$7)^$D2113*(AV2095/AU2095)^$E2113*((AV2095+AV2104)/(AU2095+AU2104))^$F2113</f>
        <v/>
      </c>
      <c r="AW2113" s="44">
        <f>AV2113*$G2113*(1+AW$7)^$D2113*(AW2095/AV2095)^$E2113*((AW2095+AW2104)/(AV2095+AV2104))^$F2113</f>
        <v/>
      </c>
      <c r="AX2113" s="44">
        <f>AW2113*$G2113*(1+AX$7)^$D2113*(AX2095/AW2095)^$E2113*((AX2095+AX2104)/(AW2095+AW2104))^$F2113</f>
        <v/>
      </c>
      <c r="AY2113" s="44">
        <f>AX2113*$G2113*(1+AY$7)^$D2113*(AY2095/AX2095)^$E2113*((AY2095+AY2104)/(AX2095+AX2104))^$F2113</f>
        <v/>
      </c>
      <c r="AZ2113" s="44">
        <f>AY2113*$G2113*(1+AZ$7)^$D2113*(AZ2095/AY2095)^$E2113*((AZ2095+AZ2104)/(AY2095+AY2104))^$F2113</f>
        <v/>
      </c>
      <c r="BA2113" s="57">
        <f>FUELUSE(AZ2113,BA2095,AZ2095,BA2104,AZ2104,BA$7,$D2113,$E2113,$F2113,$G2113)</f>
        <v/>
      </c>
    </row>
    <row r="2114" hidden="1" outlineLevel="2">
      <c r="A2114" s="14" t="inlineStr">
        <is>
          <t>ener</t>
        </is>
      </c>
      <c r="B2114" s="14" t="inlineStr">
        <is>
          <t>ker</t>
        </is>
      </c>
      <c r="C2114" s="14" t="inlineStr">
        <is>
          <t>irn</t>
        </is>
      </c>
      <c r="D2114" s="35">
        <f>INDEX(Inputs!$O$5:$O$132,MATCH($B2114&amp;"|"&amp;$C2114,Inputs!$A$5:$A$132,0))</f>
        <v/>
      </c>
      <c r="E2114" s="35">
        <f>INDEX(Inputs!$P$5:$P$132,MATCH($B2114&amp;"|"&amp;$C2114,Inputs!$A$5:$A$132,0))</f>
        <v/>
      </c>
      <c r="F2114" s="35">
        <f>INDEX(Inputs!$T$5:$T$132,MATCH($B2114&amp;"|"&amp;$C2114,Inputs!$A$5:$A$132,0))</f>
        <v/>
      </c>
      <c r="G2114" s="35">
        <f>INDEX(Inputs!$S$5:$S$132,MATCH($B2114&amp;"|"&amp;$C2114,Inputs!$A$5:$A$132,0))</f>
        <v/>
      </c>
      <c r="H2114" s="14">
        <f>INDEX(VarLab,MATCH($A2114,VarKey,0))&amp;INDEX(MemLab,MATCH($C2114&amp;"|"&amp;$B2114,MemKey,0))</f>
        <v/>
      </c>
      <c r="I2114" s="14">
        <f>INDEX(VarUnit,MATCH($A2114,VarKey,0))</f>
        <v/>
      </c>
      <c r="J2114" s="14">
        <f>INDEX(VarSrc,MATCH($A2114,VarKey,0))</f>
        <v/>
      </c>
      <c r="K2114" s="11">
        <f>CodePrefix&amp;$A2114&amp;IF($C2114="","","."&amp;$C2114&amp;"."&amp;$B2114)&amp;INDEX(VarEnd,MATCH($A2114,VarKey,0))&amp;K$5</f>
        <v/>
      </c>
      <c r="L2114" s="43">
        <f>INDEX(Inputs!$X$5:$X$132,MATCH($B2114&amp;"|"&amp;$C2114,Inputs!$A$5:$A$132,0))</f>
        <v/>
      </c>
      <c r="M2114" s="44">
        <f>L2114*$G2114*(1+M$7)^$D2114*(M2096/L2096)^$E2114*((M2096+M2105)/(L2096+L2105))^$F2114</f>
        <v/>
      </c>
      <c r="N2114" s="44">
        <f>M2114*$G2114*(1+N$7)^$D2114*(N2096/M2096)^$E2114*((N2096+N2105)/(M2096+M2105))^$F2114</f>
        <v/>
      </c>
      <c r="O2114" s="44">
        <f>N2114*$G2114*(1+O$7)^$D2114*(O2096/N2096)^$E2114*((O2096+O2105)/(N2096+N2105))^$F2114</f>
        <v/>
      </c>
      <c r="P2114" s="44">
        <f>O2114*$G2114*(1+P$7)^$D2114*(P2096/O2096)^$E2114*((P2096+P2105)/(O2096+O2105))^$F2114</f>
        <v/>
      </c>
      <c r="Q2114" s="44">
        <f>P2114*$G2114*(1+Q$7)^$D2114*(Q2096/P2096)^$E2114*((Q2096+Q2105)/(P2096+P2105))^$F2114</f>
        <v/>
      </c>
      <c r="R2114" s="44">
        <f>Q2114*$G2114*(1+R$7)^$D2114*(R2096/Q2096)^$E2114*((R2096+R2105)/(Q2096+Q2105))^$F2114</f>
        <v/>
      </c>
      <c r="S2114" s="44">
        <f>R2114*$G2114*(1+S$7)^$D2114*(S2096/R2096)^$E2114*((S2096+S2105)/(R2096+R2105))^$F2114</f>
        <v/>
      </c>
      <c r="T2114" s="44">
        <f>S2114*$G2114*(1+T$7)^$D2114*(T2096/S2096)^$E2114*((T2096+T2105)/(S2096+S2105))^$F2114</f>
        <v/>
      </c>
      <c r="U2114" s="44">
        <f>T2114*$G2114*(1+U$7)^$D2114*(U2096/T2096)^$E2114*((U2096+U2105)/(T2096+T2105))^$F2114</f>
        <v/>
      </c>
      <c r="V2114" s="44">
        <f>U2114*$G2114*(1+V$7)^$D2114*(V2096/U2096)^$E2114*((V2096+V2105)/(U2096+U2105))^$F2114</f>
        <v/>
      </c>
      <c r="W2114" s="44">
        <f>V2114*$G2114*(1+W$7)^$D2114*(W2096/V2096)^$E2114*((W2096+W2105)/(V2096+V2105))^$F2114</f>
        <v/>
      </c>
      <c r="X2114" s="44">
        <f>W2114*$G2114*(1+X$7)^$D2114*(X2096/W2096)^$E2114*((X2096+X2105)/(W2096+W2105))^$F2114</f>
        <v/>
      </c>
      <c r="Y2114" s="44">
        <f>X2114*$G2114*(1+Y$7)^$D2114*(Y2096/X2096)^$E2114*((Y2096+Y2105)/(X2096+X2105))^$F2114</f>
        <v/>
      </c>
      <c r="Z2114" s="44">
        <f>Y2114*$G2114*(1+Z$7)^$D2114*(Z2096/Y2096)^$E2114*((Z2096+Z2105)/(Y2096+Y2105))^$F2114</f>
        <v/>
      </c>
      <c r="AA2114" s="44">
        <f>Z2114*$G2114*(1+AA$7)^$D2114*(AA2096/Z2096)^$E2114*((AA2096+AA2105)/(Z2096+Z2105))^$F2114</f>
        <v/>
      </c>
      <c r="AB2114" s="44">
        <f>AA2114*$G2114*(1+AB$7)^$D2114*(AB2096/AA2096)^$E2114*((AB2096+AB2105)/(AA2096+AA2105))^$F2114</f>
        <v/>
      </c>
      <c r="AC2114" s="44">
        <f>AB2114*$G2114*(1+AC$7)^$D2114*(AC2096/AB2096)^$E2114*((AC2096+AC2105)/(AB2096+AB2105))^$F2114</f>
        <v/>
      </c>
      <c r="AD2114" s="44">
        <f>AC2114*$G2114*(1+AD$7)^$D2114*(AD2096/AC2096)^$E2114*((AD2096+AD2105)/(AC2096+AC2105))^$F2114</f>
        <v/>
      </c>
      <c r="AE2114" s="57">
        <f>FUELUSE(AD2114,AE2096,AD2096,AE2105,AD2105,AE$7,$D2114,$E2114,$F2114,$G2114)</f>
        <v/>
      </c>
      <c r="AG2114" s="11">
        <f>CodePrefix&amp;$A2114&amp;IF($C2114="","","."&amp;$C2114&amp;"."&amp;$B2114)&amp;INDEX(VarEnd,MATCH($A2114,VarKey,0))&amp;AG$5</f>
        <v/>
      </c>
      <c r="AH2114" s="43">
        <f>INDEX(Inputs!$X$5:$X$132,MATCH($B2114&amp;"|"&amp;$C2114,Inputs!$A$5:$A$132,0))</f>
        <v/>
      </c>
      <c r="AI2114" s="44">
        <f>AH2114*$G2114*(1+AI$7)^$D2114*(AI2096/AH2096)^$E2114*((AI2096+AI2105)/(AH2096+AH2105))^$F2114</f>
        <v/>
      </c>
      <c r="AJ2114" s="44">
        <f>AI2114*$G2114*(1+AJ$7)^$D2114*(AJ2096/AI2096)^$E2114*((AJ2096+AJ2105)/(AI2096+AI2105))^$F2114</f>
        <v/>
      </c>
      <c r="AK2114" s="44">
        <f>AJ2114*$G2114*(1+AK$7)^$D2114*(AK2096/AJ2096)^$E2114*((AK2096+AK2105)/(AJ2096+AJ2105))^$F2114</f>
        <v/>
      </c>
      <c r="AL2114" s="44">
        <f>AK2114*$G2114*(1+AL$7)^$D2114*(AL2096/AK2096)^$E2114*((AL2096+AL2105)/(AK2096+AK2105))^$F2114</f>
        <v/>
      </c>
      <c r="AM2114" s="44">
        <f>AL2114*$G2114*(1+AM$7)^$D2114*(AM2096/AL2096)^$E2114*((AM2096+AM2105)/(AL2096+AL2105))^$F2114</f>
        <v/>
      </c>
      <c r="AN2114" s="44">
        <f>AM2114*$G2114*(1+AN$7)^$D2114*(AN2096/AM2096)^$E2114*((AN2096+AN2105)/(AM2096+AM2105))^$F2114</f>
        <v/>
      </c>
      <c r="AO2114" s="44">
        <f>AN2114*$G2114*(1+AO$7)^$D2114*(AO2096/AN2096)^$E2114*((AO2096+AO2105)/(AN2096+AN2105))^$F2114</f>
        <v/>
      </c>
      <c r="AP2114" s="44">
        <f>AO2114*$G2114*(1+AP$7)^$D2114*(AP2096/AO2096)^$E2114*((AP2096+AP2105)/(AO2096+AO2105))^$F2114</f>
        <v/>
      </c>
      <c r="AQ2114" s="44">
        <f>AP2114*$G2114*(1+AQ$7)^$D2114*(AQ2096/AP2096)^$E2114*((AQ2096+AQ2105)/(AP2096+AP2105))^$F2114</f>
        <v/>
      </c>
      <c r="AR2114" s="44">
        <f>AQ2114*$G2114*(1+AR$7)^$D2114*(AR2096/AQ2096)^$E2114*((AR2096+AR2105)/(AQ2096+AQ2105))^$F2114</f>
        <v/>
      </c>
      <c r="AS2114" s="44">
        <f>AR2114*$G2114*(1+AS$7)^$D2114*(AS2096/AR2096)^$E2114*((AS2096+AS2105)/(AR2096+AR2105))^$F2114</f>
        <v/>
      </c>
      <c r="AT2114" s="44">
        <f>AS2114*$G2114*(1+AT$7)^$D2114*(AT2096/AS2096)^$E2114*((AT2096+AT2105)/(AS2096+AS2105))^$F2114</f>
        <v/>
      </c>
      <c r="AU2114" s="44">
        <f>AT2114*$G2114*(1+AU$7)^$D2114*(AU2096/AT2096)^$E2114*((AU2096+AU2105)/(AT2096+AT2105))^$F2114</f>
        <v/>
      </c>
      <c r="AV2114" s="44">
        <f>AU2114*$G2114*(1+AV$7)^$D2114*(AV2096/AU2096)^$E2114*((AV2096+AV2105)/(AU2096+AU2105))^$F2114</f>
        <v/>
      </c>
      <c r="AW2114" s="44">
        <f>AV2114*$G2114*(1+AW$7)^$D2114*(AW2096/AV2096)^$E2114*((AW2096+AW2105)/(AV2096+AV2105))^$F2114</f>
        <v/>
      </c>
      <c r="AX2114" s="44">
        <f>AW2114*$G2114*(1+AX$7)^$D2114*(AX2096/AW2096)^$E2114*((AX2096+AX2105)/(AW2096+AW2105))^$F2114</f>
        <v/>
      </c>
      <c r="AY2114" s="44">
        <f>AX2114*$G2114*(1+AY$7)^$D2114*(AY2096/AX2096)^$E2114*((AY2096+AY2105)/(AX2096+AX2105))^$F2114</f>
        <v/>
      </c>
      <c r="AZ2114" s="44">
        <f>AY2114*$G2114*(1+AZ$7)^$D2114*(AZ2096/AY2096)^$E2114*((AZ2096+AZ2105)/(AY2096+AY2105))^$F2114</f>
        <v/>
      </c>
      <c r="BA2114" s="57">
        <f>FUELUSE(AZ2114,BA2096,AZ2096,BA2105,AZ2105,BA$7,$D2114,$E2114,$F2114,$G2114)</f>
        <v/>
      </c>
    </row>
    <row r="2115" hidden="1" outlineLevel="2">
      <c r="A2115" s="14" t="inlineStr">
        <is>
          <t>ener</t>
        </is>
      </c>
      <c r="B2115" s="14" t="inlineStr">
        <is>
          <t>oop</t>
        </is>
      </c>
      <c r="C2115" s="14" t="inlineStr">
        <is>
          <t>irn</t>
        </is>
      </c>
      <c r="D2115" s="35">
        <f>INDEX(Inputs!$O$5:$O$132,MATCH($B2115&amp;"|"&amp;$C2115,Inputs!$A$5:$A$132,0))</f>
        <v/>
      </c>
      <c r="E2115" s="35">
        <f>INDEX(Inputs!$P$5:$P$132,MATCH($B2115&amp;"|"&amp;$C2115,Inputs!$A$5:$A$132,0))</f>
        <v/>
      </c>
      <c r="F2115" s="35">
        <f>INDEX(Inputs!$T$5:$T$132,MATCH($B2115&amp;"|"&amp;$C2115,Inputs!$A$5:$A$132,0))</f>
        <v/>
      </c>
      <c r="G2115" s="35">
        <f>INDEX(Inputs!$S$5:$S$132,MATCH($B2115&amp;"|"&amp;$C2115,Inputs!$A$5:$A$132,0))</f>
        <v/>
      </c>
      <c r="H2115" s="14">
        <f>INDEX(VarLab,MATCH($A2115,VarKey,0))&amp;INDEX(MemLab,MATCH($C2115&amp;"|"&amp;$B2115,MemKey,0))</f>
        <v/>
      </c>
      <c r="I2115" s="14">
        <f>INDEX(VarUnit,MATCH($A2115,VarKey,0))</f>
        <v/>
      </c>
      <c r="J2115" s="14">
        <f>INDEX(VarSrc,MATCH($A2115,VarKey,0))</f>
        <v/>
      </c>
      <c r="K2115" s="11">
        <f>CodePrefix&amp;$A2115&amp;IF($C2115="","","."&amp;$C2115&amp;"."&amp;$B2115)&amp;INDEX(VarEnd,MATCH($A2115,VarKey,0))&amp;K$5</f>
        <v/>
      </c>
      <c r="L2115" s="43">
        <f>INDEX(Inputs!$X$5:$X$132,MATCH($B2115&amp;"|"&amp;$C2115,Inputs!$A$5:$A$132,0))</f>
        <v/>
      </c>
      <c r="M2115" s="44">
        <f>L2115*$G2115*(1+M$7)^$D2115*(M2097/L2097)^$E2115*((M2097+M2106)/(L2097+L2106))^$F2115</f>
        <v/>
      </c>
      <c r="N2115" s="44">
        <f>M2115*$G2115*(1+N$7)^$D2115*(N2097/M2097)^$E2115*((N2097+N2106)/(M2097+M2106))^$F2115</f>
        <v/>
      </c>
      <c r="O2115" s="44">
        <f>N2115*$G2115*(1+O$7)^$D2115*(O2097/N2097)^$E2115*((O2097+O2106)/(N2097+N2106))^$F2115</f>
        <v/>
      </c>
      <c r="P2115" s="44">
        <f>O2115*$G2115*(1+P$7)^$D2115*(P2097/O2097)^$E2115*((P2097+P2106)/(O2097+O2106))^$F2115</f>
        <v/>
      </c>
      <c r="Q2115" s="44">
        <f>P2115*$G2115*(1+Q$7)^$D2115*(Q2097/P2097)^$E2115*((Q2097+Q2106)/(P2097+P2106))^$F2115</f>
        <v/>
      </c>
      <c r="R2115" s="44">
        <f>Q2115*$G2115*(1+R$7)^$D2115*(R2097/Q2097)^$E2115*((R2097+R2106)/(Q2097+Q2106))^$F2115</f>
        <v/>
      </c>
      <c r="S2115" s="44">
        <f>R2115*$G2115*(1+S$7)^$D2115*(S2097/R2097)^$E2115*((S2097+S2106)/(R2097+R2106))^$F2115</f>
        <v/>
      </c>
      <c r="T2115" s="44">
        <f>S2115*$G2115*(1+T$7)^$D2115*(T2097/S2097)^$E2115*((T2097+T2106)/(S2097+S2106))^$F2115</f>
        <v/>
      </c>
      <c r="U2115" s="44">
        <f>T2115*$G2115*(1+U$7)^$D2115*(U2097/T2097)^$E2115*((U2097+U2106)/(T2097+T2106))^$F2115</f>
        <v/>
      </c>
      <c r="V2115" s="44">
        <f>U2115*$G2115*(1+V$7)^$D2115*(V2097/U2097)^$E2115*((V2097+V2106)/(U2097+U2106))^$F2115</f>
        <v/>
      </c>
      <c r="W2115" s="44">
        <f>V2115*$G2115*(1+W$7)^$D2115*(W2097/V2097)^$E2115*((W2097+W2106)/(V2097+V2106))^$F2115</f>
        <v/>
      </c>
      <c r="X2115" s="44">
        <f>W2115*$G2115*(1+X$7)^$D2115*(X2097/W2097)^$E2115*((X2097+X2106)/(W2097+W2106))^$F2115</f>
        <v/>
      </c>
      <c r="Y2115" s="44">
        <f>X2115*$G2115*(1+Y$7)^$D2115*(Y2097/X2097)^$E2115*((Y2097+Y2106)/(X2097+X2106))^$F2115</f>
        <v/>
      </c>
      <c r="Z2115" s="44">
        <f>Y2115*$G2115*(1+Z$7)^$D2115*(Z2097/Y2097)^$E2115*((Z2097+Z2106)/(Y2097+Y2106))^$F2115</f>
        <v/>
      </c>
      <c r="AA2115" s="44">
        <f>Z2115*$G2115*(1+AA$7)^$D2115*(AA2097/Z2097)^$E2115*((AA2097+AA2106)/(Z2097+Z2106))^$F2115</f>
        <v/>
      </c>
      <c r="AB2115" s="44">
        <f>AA2115*$G2115*(1+AB$7)^$D2115*(AB2097/AA2097)^$E2115*((AB2097+AB2106)/(AA2097+AA2106))^$F2115</f>
        <v/>
      </c>
      <c r="AC2115" s="44">
        <f>AB2115*$G2115*(1+AC$7)^$D2115*(AC2097/AB2097)^$E2115*((AC2097+AC2106)/(AB2097+AB2106))^$F2115</f>
        <v/>
      </c>
      <c r="AD2115" s="44">
        <f>AC2115*$G2115*(1+AD$7)^$D2115*(AD2097/AC2097)^$E2115*((AD2097+AD2106)/(AC2097+AC2106))^$F2115</f>
        <v/>
      </c>
      <c r="AE2115" s="57">
        <f>FUELUSE(AD2115,AE2097,AD2097,AE2106,AD2106,AE$7,$D2115,$E2115,$F2115,$G2115)</f>
        <v/>
      </c>
      <c r="AG2115" s="11">
        <f>CodePrefix&amp;$A2115&amp;IF($C2115="","","."&amp;$C2115&amp;"."&amp;$B2115)&amp;INDEX(VarEnd,MATCH($A2115,VarKey,0))&amp;AG$5</f>
        <v/>
      </c>
      <c r="AH2115" s="43">
        <f>INDEX(Inputs!$X$5:$X$132,MATCH($B2115&amp;"|"&amp;$C2115,Inputs!$A$5:$A$132,0))</f>
        <v/>
      </c>
      <c r="AI2115" s="44">
        <f>AH2115*$G2115*(1+AI$7)^$D2115*(AI2097/AH2097)^$E2115*((AI2097+AI2106)/(AH2097+AH2106))^$F2115</f>
        <v/>
      </c>
      <c r="AJ2115" s="44">
        <f>AI2115*$G2115*(1+AJ$7)^$D2115*(AJ2097/AI2097)^$E2115*((AJ2097+AJ2106)/(AI2097+AI2106))^$F2115</f>
        <v/>
      </c>
      <c r="AK2115" s="44">
        <f>AJ2115*$G2115*(1+AK$7)^$D2115*(AK2097/AJ2097)^$E2115*((AK2097+AK2106)/(AJ2097+AJ2106))^$F2115</f>
        <v/>
      </c>
      <c r="AL2115" s="44">
        <f>AK2115*$G2115*(1+AL$7)^$D2115*(AL2097/AK2097)^$E2115*((AL2097+AL2106)/(AK2097+AK2106))^$F2115</f>
        <v/>
      </c>
      <c r="AM2115" s="44">
        <f>AL2115*$G2115*(1+AM$7)^$D2115*(AM2097/AL2097)^$E2115*((AM2097+AM2106)/(AL2097+AL2106))^$F2115</f>
        <v/>
      </c>
      <c r="AN2115" s="44">
        <f>AM2115*$G2115*(1+AN$7)^$D2115*(AN2097/AM2097)^$E2115*((AN2097+AN2106)/(AM2097+AM2106))^$F2115</f>
        <v/>
      </c>
      <c r="AO2115" s="44">
        <f>AN2115*$G2115*(1+AO$7)^$D2115*(AO2097/AN2097)^$E2115*((AO2097+AO2106)/(AN2097+AN2106))^$F2115</f>
        <v/>
      </c>
      <c r="AP2115" s="44">
        <f>AO2115*$G2115*(1+AP$7)^$D2115*(AP2097/AO2097)^$E2115*((AP2097+AP2106)/(AO2097+AO2106))^$F2115</f>
        <v/>
      </c>
      <c r="AQ2115" s="44">
        <f>AP2115*$G2115*(1+AQ$7)^$D2115*(AQ2097/AP2097)^$E2115*((AQ2097+AQ2106)/(AP2097+AP2106))^$F2115</f>
        <v/>
      </c>
      <c r="AR2115" s="44">
        <f>AQ2115*$G2115*(1+AR$7)^$D2115*(AR2097/AQ2097)^$E2115*((AR2097+AR2106)/(AQ2097+AQ2106))^$F2115</f>
        <v/>
      </c>
      <c r="AS2115" s="44">
        <f>AR2115*$G2115*(1+AS$7)^$D2115*(AS2097/AR2097)^$E2115*((AS2097+AS2106)/(AR2097+AR2106))^$F2115</f>
        <v/>
      </c>
      <c r="AT2115" s="44">
        <f>AS2115*$G2115*(1+AT$7)^$D2115*(AT2097/AS2097)^$E2115*((AT2097+AT2106)/(AS2097+AS2106))^$F2115</f>
        <v/>
      </c>
      <c r="AU2115" s="44">
        <f>AT2115*$G2115*(1+AU$7)^$D2115*(AU2097/AT2097)^$E2115*((AU2097+AU2106)/(AT2097+AT2106))^$F2115</f>
        <v/>
      </c>
      <c r="AV2115" s="44">
        <f>AU2115*$G2115*(1+AV$7)^$D2115*(AV2097/AU2097)^$E2115*((AV2097+AV2106)/(AU2097+AU2106))^$F2115</f>
        <v/>
      </c>
      <c r="AW2115" s="44">
        <f>AV2115*$G2115*(1+AW$7)^$D2115*(AW2097/AV2097)^$E2115*((AW2097+AW2106)/(AV2097+AV2106))^$F2115</f>
        <v/>
      </c>
      <c r="AX2115" s="44">
        <f>AW2115*$G2115*(1+AX$7)^$D2115*(AX2097/AW2097)^$E2115*((AX2097+AX2106)/(AW2097+AW2106))^$F2115</f>
        <v/>
      </c>
      <c r="AY2115" s="44">
        <f>AX2115*$G2115*(1+AY$7)^$D2115*(AY2097/AX2097)^$E2115*((AY2097+AY2106)/(AX2097+AX2106))^$F2115</f>
        <v/>
      </c>
      <c r="AZ2115" s="44">
        <f>AY2115*$G2115*(1+AZ$7)^$D2115*(AZ2097/AY2097)^$E2115*((AZ2097+AZ2106)/(AY2097+AY2106))^$F2115</f>
        <v/>
      </c>
      <c r="BA2115" s="57">
        <f>FUELUSE(AZ2115,BA2097,AZ2097,BA2106,AZ2106,BA$7,$D2115,$E2115,$F2115,$G2115)</f>
        <v/>
      </c>
    </row>
    <row r="2116" hidden="1" outlineLevel="2">
      <c r="A2116" s="14" t="inlineStr">
        <is>
          <t>ener</t>
        </is>
      </c>
      <c r="B2116" s="14" t="inlineStr">
        <is>
          <t>bio</t>
        </is>
      </c>
      <c r="C2116" s="14" t="inlineStr">
        <is>
          <t>irn</t>
        </is>
      </c>
      <c r="D2116" s="35">
        <f>INDEX(Inputs!$O$5:$O$132,MATCH($B2116&amp;"|"&amp;$C2116,Inputs!$A$5:$A$132,0))</f>
        <v/>
      </c>
      <c r="E2116" s="35">
        <f>INDEX(Inputs!$P$5:$P$132,MATCH($B2116&amp;"|"&amp;$C2116,Inputs!$A$5:$A$132,0))</f>
        <v/>
      </c>
      <c r="F2116" s="35">
        <f>INDEX(Inputs!$T$5:$T$132,MATCH($B2116&amp;"|"&amp;$C2116,Inputs!$A$5:$A$132,0))</f>
        <v/>
      </c>
      <c r="G2116" s="35">
        <f>INDEX(Inputs!$S$5:$S$132,MATCH($B2116&amp;"|"&amp;$C2116,Inputs!$A$5:$A$132,0))</f>
        <v/>
      </c>
      <c r="H2116" s="14">
        <f>INDEX(VarLab,MATCH($A2116,VarKey,0))&amp;INDEX(MemLab,MATCH($C2116&amp;"|"&amp;$B2116,MemKey,0))</f>
        <v/>
      </c>
      <c r="I2116" s="14">
        <f>INDEX(VarUnit,MATCH($A2116,VarKey,0))</f>
        <v/>
      </c>
      <c r="J2116" s="14">
        <f>INDEX(VarSrc,MATCH($A2116,VarKey,0))</f>
        <v/>
      </c>
      <c r="K2116" s="11">
        <f>CodePrefix&amp;$A2116&amp;IF($C2116="","","."&amp;$C2116&amp;"."&amp;$B2116)&amp;INDEX(VarEnd,MATCH($A2116,VarKey,0))&amp;K$5</f>
        <v/>
      </c>
      <c r="L2116" s="43">
        <f>INDEX(Inputs!$X$5:$X$132,MATCH($B2116&amp;"|"&amp;$C2116,Inputs!$A$5:$A$132,0))</f>
        <v/>
      </c>
      <c r="M2116" s="44">
        <f>L2116*$G2116*(1+M$7)^$D2116*(M2098/L2098)^$E2116*((M2098+M2107)/(L2098+L2107))^$F2116</f>
        <v/>
      </c>
      <c r="N2116" s="44">
        <f>M2116*$G2116*(1+N$7)^$D2116*(N2098/M2098)^$E2116*((N2098+N2107)/(M2098+M2107))^$F2116</f>
        <v/>
      </c>
      <c r="O2116" s="44">
        <f>N2116*$G2116*(1+O$7)^$D2116*(O2098/N2098)^$E2116*((O2098+O2107)/(N2098+N2107))^$F2116</f>
        <v/>
      </c>
      <c r="P2116" s="44">
        <f>O2116*$G2116*(1+P$7)^$D2116*(P2098/O2098)^$E2116*((P2098+P2107)/(O2098+O2107))^$F2116</f>
        <v/>
      </c>
      <c r="Q2116" s="44">
        <f>P2116*$G2116*(1+Q$7)^$D2116*(Q2098/P2098)^$E2116*((Q2098+Q2107)/(P2098+P2107))^$F2116</f>
        <v/>
      </c>
      <c r="R2116" s="44">
        <f>Q2116*$G2116*(1+R$7)^$D2116*(R2098/Q2098)^$E2116*((R2098+R2107)/(Q2098+Q2107))^$F2116</f>
        <v/>
      </c>
      <c r="S2116" s="44">
        <f>R2116*$G2116*(1+S$7)^$D2116*(S2098/R2098)^$E2116*((S2098+S2107)/(R2098+R2107))^$F2116</f>
        <v/>
      </c>
      <c r="T2116" s="44">
        <f>S2116*$G2116*(1+T$7)^$D2116*(T2098/S2098)^$E2116*((T2098+T2107)/(S2098+S2107))^$F2116</f>
        <v/>
      </c>
      <c r="U2116" s="44">
        <f>T2116*$G2116*(1+U$7)^$D2116*(U2098/T2098)^$E2116*((U2098+U2107)/(T2098+T2107))^$F2116</f>
        <v/>
      </c>
      <c r="V2116" s="44">
        <f>U2116*$G2116*(1+V$7)^$D2116*(V2098/U2098)^$E2116*((V2098+V2107)/(U2098+U2107))^$F2116</f>
        <v/>
      </c>
      <c r="W2116" s="44">
        <f>V2116*$G2116*(1+W$7)^$D2116*(W2098/V2098)^$E2116*((W2098+W2107)/(V2098+V2107))^$F2116</f>
        <v/>
      </c>
      <c r="X2116" s="44">
        <f>W2116*$G2116*(1+X$7)^$D2116*(X2098/W2098)^$E2116*((X2098+X2107)/(W2098+W2107))^$F2116</f>
        <v/>
      </c>
      <c r="Y2116" s="44">
        <f>X2116*$G2116*(1+Y$7)^$D2116*(Y2098/X2098)^$E2116*((Y2098+Y2107)/(X2098+X2107))^$F2116</f>
        <v/>
      </c>
      <c r="Z2116" s="44">
        <f>Y2116*$G2116*(1+Z$7)^$D2116*(Z2098/Y2098)^$E2116*((Z2098+Z2107)/(Y2098+Y2107))^$F2116</f>
        <v/>
      </c>
      <c r="AA2116" s="44">
        <f>Z2116*$G2116*(1+AA$7)^$D2116*(AA2098/Z2098)^$E2116*((AA2098+AA2107)/(Z2098+Z2107))^$F2116</f>
        <v/>
      </c>
      <c r="AB2116" s="44">
        <f>AA2116*$G2116*(1+AB$7)^$D2116*(AB2098/AA2098)^$E2116*((AB2098+AB2107)/(AA2098+AA2107))^$F2116</f>
        <v/>
      </c>
      <c r="AC2116" s="44">
        <f>AB2116*$G2116*(1+AC$7)^$D2116*(AC2098/AB2098)^$E2116*((AC2098+AC2107)/(AB2098+AB2107))^$F2116</f>
        <v/>
      </c>
      <c r="AD2116" s="44">
        <f>AC2116*$G2116*(1+AD$7)^$D2116*(AD2098/AC2098)^$E2116*((AD2098+AD2107)/(AC2098+AC2107))^$F2116</f>
        <v/>
      </c>
      <c r="AE2116" s="57">
        <f>FUELUSE(AD2116,AE2098,AD2098,AE2107,AD2107,AE$7,$D2116,$E2116,$F2116,$G2116)</f>
        <v/>
      </c>
      <c r="AG2116" s="11">
        <f>CodePrefix&amp;$A2116&amp;IF($C2116="","","."&amp;$C2116&amp;"."&amp;$B2116)&amp;INDEX(VarEnd,MATCH($A2116,VarKey,0))&amp;AG$5</f>
        <v/>
      </c>
      <c r="AH2116" s="43">
        <f>INDEX(Inputs!$X$5:$X$132,MATCH($B2116&amp;"|"&amp;$C2116,Inputs!$A$5:$A$132,0))</f>
        <v/>
      </c>
      <c r="AI2116" s="44">
        <f>AH2116*$G2116*(1+AI$7)^$D2116*(AI2098/AH2098)^$E2116*((AI2098+AI2107)/(AH2098+AH2107))^$F2116</f>
        <v/>
      </c>
      <c r="AJ2116" s="44">
        <f>AI2116*$G2116*(1+AJ$7)^$D2116*(AJ2098/AI2098)^$E2116*((AJ2098+AJ2107)/(AI2098+AI2107))^$F2116</f>
        <v/>
      </c>
      <c r="AK2116" s="44">
        <f>AJ2116*$G2116*(1+AK$7)^$D2116*(AK2098/AJ2098)^$E2116*((AK2098+AK2107)/(AJ2098+AJ2107))^$F2116</f>
        <v/>
      </c>
      <c r="AL2116" s="44">
        <f>AK2116*$G2116*(1+AL$7)^$D2116*(AL2098/AK2098)^$E2116*((AL2098+AL2107)/(AK2098+AK2107))^$F2116</f>
        <v/>
      </c>
      <c r="AM2116" s="44">
        <f>AL2116*$G2116*(1+AM$7)^$D2116*(AM2098/AL2098)^$E2116*((AM2098+AM2107)/(AL2098+AL2107))^$F2116</f>
        <v/>
      </c>
      <c r="AN2116" s="44">
        <f>AM2116*$G2116*(1+AN$7)^$D2116*(AN2098/AM2098)^$E2116*((AN2098+AN2107)/(AM2098+AM2107))^$F2116</f>
        <v/>
      </c>
      <c r="AO2116" s="44">
        <f>AN2116*$G2116*(1+AO$7)^$D2116*(AO2098/AN2098)^$E2116*((AO2098+AO2107)/(AN2098+AN2107))^$F2116</f>
        <v/>
      </c>
      <c r="AP2116" s="44">
        <f>AO2116*$G2116*(1+AP$7)^$D2116*(AP2098/AO2098)^$E2116*((AP2098+AP2107)/(AO2098+AO2107))^$F2116</f>
        <v/>
      </c>
      <c r="AQ2116" s="44">
        <f>AP2116*$G2116*(1+AQ$7)^$D2116*(AQ2098/AP2098)^$E2116*((AQ2098+AQ2107)/(AP2098+AP2107))^$F2116</f>
        <v/>
      </c>
      <c r="AR2116" s="44">
        <f>AQ2116*$G2116*(1+AR$7)^$D2116*(AR2098/AQ2098)^$E2116*((AR2098+AR2107)/(AQ2098+AQ2107))^$F2116</f>
        <v/>
      </c>
      <c r="AS2116" s="44">
        <f>AR2116*$G2116*(1+AS$7)^$D2116*(AS2098/AR2098)^$E2116*((AS2098+AS2107)/(AR2098+AR2107))^$F2116</f>
        <v/>
      </c>
      <c r="AT2116" s="44">
        <f>AS2116*$G2116*(1+AT$7)^$D2116*(AT2098/AS2098)^$E2116*((AT2098+AT2107)/(AS2098+AS2107))^$F2116</f>
        <v/>
      </c>
      <c r="AU2116" s="44">
        <f>AT2116*$G2116*(1+AU$7)^$D2116*(AU2098/AT2098)^$E2116*((AU2098+AU2107)/(AT2098+AT2107))^$F2116</f>
        <v/>
      </c>
      <c r="AV2116" s="44">
        <f>AU2116*$G2116*(1+AV$7)^$D2116*(AV2098/AU2098)^$E2116*((AV2098+AV2107)/(AU2098+AU2107))^$F2116</f>
        <v/>
      </c>
      <c r="AW2116" s="44">
        <f>AV2116*$G2116*(1+AW$7)^$D2116*(AW2098/AV2098)^$E2116*((AW2098+AW2107)/(AV2098+AV2107))^$F2116</f>
        <v/>
      </c>
      <c r="AX2116" s="44">
        <f>AW2116*$G2116*(1+AX$7)^$D2116*(AX2098/AW2098)^$E2116*((AX2098+AX2107)/(AW2098+AW2107))^$F2116</f>
        <v/>
      </c>
      <c r="AY2116" s="44">
        <f>AX2116*$G2116*(1+AY$7)^$D2116*(AY2098/AX2098)^$E2116*((AY2098+AY2107)/(AX2098+AX2107))^$F2116</f>
        <v/>
      </c>
      <c r="AZ2116" s="44">
        <f>AY2116*$G2116*(1+AZ$7)^$D2116*(AZ2098/AY2098)^$E2116*((AZ2098+AZ2107)/(AY2098+AY2107))^$F2116</f>
        <v/>
      </c>
      <c r="BA2116" s="57">
        <f>FUELUSE(AZ2116,BA2098,AZ2098,BA2107,AZ2107,BA$7,$D2116,$E2116,$F2116,$G2116)</f>
        <v/>
      </c>
    </row>
    <row r="2117" hidden="1" outlineLevel="2"/>
    <row r="2118" hidden="1" outlineLevel="2">
      <c r="A2118" s="14" t="inlineStr">
        <is>
          <t>co2</t>
        </is>
      </c>
      <c r="B2118" s="14" t="inlineStr">
        <is>
          <t>coa</t>
        </is>
      </c>
      <c r="C2118" s="14" t="inlineStr">
        <is>
          <t>irn</t>
        </is>
      </c>
      <c r="D2118" s="35">
        <f>INDEX(Inputs!$W$5:$W$132,MATCH($B2118&amp;"|"&amp;$C2118,Inputs!$A$5:$A$132,0))</f>
        <v/>
      </c>
      <c r="E2118" s="39" t="n"/>
      <c r="F2118" s="39" t="n"/>
      <c r="G2118" s="39" t="n"/>
      <c r="H2118" s="14">
        <f>INDEX(VarLab,MATCH($A2118,VarKey,0))&amp;INDEX(MemLab,MATCH($C2118&amp;"|"&amp;$B2118,MemKey,0))</f>
        <v/>
      </c>
      <c r="I2118" s="14">
        <f>INDEX(VarUnit,MATCH($A2118,VarKey,0))</f>
        <v/>
      </c>
      <c r="J2118" s="14">
        <f>INDEX(VarSrc,MATCH($A2118,VarKey,0))</f>
        <v/>
      </c>
      <c r="K2118" s="11">
        <f>CodePrefix&amp;$A2118&amp;IF($C2118="","","."&amp;$C2118&amp;"."&amp;$B2118)&amp;INDEX(VarEnd,MATCH($A2118,VarKey,0))&amp;K$5</f>
        <v/>
      </c>
      <c r="L2118" s="15">
        <f>L2109*Settings!$C$13*$D2118</f>
        <v/>
      </c>
      <c r="M2118" s="16">
        <f>M2109*Settings!$C$13*$D2118</f>
        <v/>
      </c>
      <c r="N2118" s="16">
        <f>N2109*Settings!$C$13*$D2118</f>
        <v/>
      </c>
      <c r="O2118" s="16">
        <f>O2109*Settings!$C$13*$D2118</f>
        <v/>
      </c>
      <c r="P2118" s="16">
        <f>P2109*Settings!$C$13*$D2118</f>
        <v/>
      </c>
      <c r="Q2118" s="16">
        <f>Q2109*Settings!$C$13*$D2118</f>
        <v/>
      </c>
      <c r="R2118" s="16">
        <f>R2109*Settings!$C$13*$D2118</f>
        <v/>
      </c>
      <c r="S2118" s="16">
        <f>S2109*Settings!$C$13*$D2118</f>
        <v/>
      </c>
      <c r="T2118" s="16">
        <f>T2109*Settings!$C$13*$D2118</f>
        <v/>
      </c>
      <c r="U2118" s="16">
        <f>U2109*Settings!$C$13*$D2118</f>
        <v/>
      </c>
      <c r="V2118" s="16">
        <f>V2109*Settings!$C$13*$D2118</f>
        <v/>
      </c>
      <c r="W2118" s="16">
        <f>W2109*Settings!$C$13*$D2118</f>
        <v/>
      </c>
      <c r="X2118" s="16">
        <f>X2109*Settings!$C$13*$D2118</f>
        <v/>
      </c>
      <c r="Y2118" s="16">
        <f>Y2109*Settings!$C$13*$D2118</f>
        <v/>
      </c>
      <c r="Z2118" s="16">
        <f>Z2109*Settings!$C$13*$D2118</f>
        <v/>
      </c>
      <c r="AA2118" s="16">
        <f>AA2109*Settings!$C$13*$D2118</f>
        <v/>
      </c>
      <c r="AB2118" s="16">
        <f>AB2109*Settings!$C$13*$D2118</f>
        <v/>
      </c>
      <c r="AC2118" s="16">
        <f>AC2109*Settings!$C$13*$D2118</f>
        <v/>
      </c>
      <c r="AD2118" s="16">
        <f>AD2109*Settings!$C$13*$D2118</f>
        <v/>
      </c>
      <c r="AE2118" s="49">
        <f>EMISSIONS(AE2109,Settings!$C$13,$D2118)</f>
        <v/>
      </c>
      <c r="AG2118" s="11">
        <f>CodePrefix&amp;$A2118&amp;IF($C2118="","","."&amp;$C2118&amp;"."&amp;$B2118)&amp;INDEX(VarEnd,MATCH($A2118,VarKey,0))&amp;AG$5</f>
        <v/>
      </c>
      <c r="AH2118" s="15">
        <f>AH2109*Settings!$C$13*$D2118</f>
        <v/>
      </c>
      <c r="AI2118" s="16">
        <f>AI2109*Settings!$C$13*$D2118</f>
        <v/>
      </c>
      <c r="AJ2118" s="16">
        <f>AJ2109*Settings!$C$13*$D2118</f>
        <v/>
      </c>
      <c r="AK2118" s="16">
        <f>AK2109*Settings!$C$13*$D2118</f>
        <v/>
      </c>
      <c r="AL2118" s="16">
        <f>AL2109*Settings!$C$13*$D2118</f>
        <v/>
      </c>
      <c r="AM2118" s="16">
        <f>AM2109*Settings!$C$13*$D2118</f>
        <v/>
      </c>
      <c r="AN2118" s="16">
        <f>AN2109*Settings!$C$13*$D2118</f>
        <v/>
      </c>
      <c r="AO2118" s="16">
        <f>AO2109*Settings!$C$13*$D2118</f>
        <v/>
      </c>
      <c r="AP2118" s="16">
        <f>AP2109*Settings!$C$13*$D2118</f>
        <v/>
      </c>
      <c r="AQ2118" s="16">
        <f>AQ2109*Settings!$C$13*$D2118</f>
        <v/>
      </c>
      <c r="AR2118" s="16">
        <f>AR2109*Settings!$C$13*$D2118</f>
        <v/>
      </c>
      <c r="AS2118" s="16">
        <f>AS2109*Settings!$C$13*$D2118</f>
        <v/>
      </c>
      <c r="AT2118" s="16">
        <f>AT2109*Settings!$C$13*$D2118</f>
        <v/>
      </c>
      <c r="AU2118" s="16">
        <f>AU2109*Settings!$C$13*$D2118</f>
        <v/>
      </c>
      <c r="AV2118" s="16">
        <f>AV2109*Settings!$C$13*$D2118</f>
        <v/>
      </c>
      <c r="AW2118" s="16">
        <f>AW2109*Settings!$C$13*$D2118</f>
        <v/>
      </c>
      <c r="AX2118" s="16">
        <f>AX2109*Settings!$C$13*$D2118</f>
        <v/>
      </c>
      <c r="AY2118" s="16">
        <f>AY2109*Settings!$C$13*$D2118</f>
        <v/>
      </c>
      <c r="AZ2118" s="16">
        <f>AZ2109*Settings!$C$13*$D2118</f>
        <v/>
      </c>
      <c r="BA2118" s="49">
        <f>EMISSIONS(BA2109,Settings!$C$13,$D2118)</f>
        <v/>
      </c>
    </row>
    <row r="2119" hidden="1" outlineLevel="2">
      <c r="A2119" s="14" t="inlineStr">
        <is>
          <t>co2</t>
        </is>
      </c>
      <c r="B2119" s="14" t="inlineStr">
        <is>
          <t>nga</t>
        </is>
      </c>
      <c r="C2119" s="14" t="inlineStr">
        <is>
          <t>irn</t>
        </is>
      </c>
      <c r="D2119" s="35">
        <f>INDEX(Inputs!$W$5:$W$132,MATCH($B2119&amp;"|"&amp;$C2119,Inputs!$A$5:$A$132,0))</f>
        <v/>
      </c>
      <c r="E2119" s="39" t="n"/>
      <c r="F2119" s="39" t="n"/>
      <c r="G2119" s="39" t="n"/>
      <c r="H2119" s="14">
        <f>INDEX(VarLab,MATCH($A2119,VarKey,0))&amp;INDEX(MemLab,MATCH($C2119&amp;"|"&amp;$B2119,MemKey,0))</f>
        <v/>
      </c>
      <c r="I2119" s="14">
        <f>INDEX(VarUnit,MATCH($A2119,VarKey,0))</f>
        <v/>
      </c>
      <c r="J2119" s="14">
        <f>INDEX(VarSrc,MATCH($A2119,VarKey,0))</f>
        <v/>
      </c>
      <c r="K2119" s="11">
        <f>CodePrefix&amp;$A2119&amp;IF($C2119="","","."&amp;$C2119&amp;"."&amp;$B2119)&amp;INDEX(VarEnd,MATCH($A2119,VarKey,0))&amp;K$5</f>
        <v/>
      </c>
      <c r="L2119" s="15">
        <f>L2110*Settings!$C$13*$D2119</f>
        <v/>
      </c>
      <c r="M2119" s="16">
        <f>M2110*Settings!$C$13*$D2119</f>
        <v/>
      </c>
      <c r="N2119" s="16">
        <f>N2110*Settings!$C$13*$D2119</f>
        <v/>
      </c>
      <c r="O2119" s="16">
        <f>O2110*Settings!$C$13*$D2119</f>
        <v/>
      </c>
      <c r="P2119" s="16">
        <f>P2110*Settings!$C$13*$D2119</f>
        <v/>
      </c>
      <c r="Q2119" s="16">
        <f>Q2110*Settings!$C$13*$D2119</f>
        <v/>
      </c>
      <c r="R2119" s="16">
        <f>R2110*Settings!$C$13*$D2119</f>
        <v/>
      </c>
      <c r="S2119" s="16">
        <f>S2110*Settings!$C$13*$D2119</f>
        <v/>
      </c>
      <c r="T2119" s="16">
        <f>T2110*Settings!$C$13*$D2119</f>
        <v/>
      </c>
      <c r="U2119" s="16">
        <f>U2110*Settings!$C$13*$D2119</f>
        <v/>
      </c>
      <c r="V2119" s="16">
        <f>V2110*Settings!$C$13*$D2119</f>
        <v/>
      </c>
      <c r="W2119" s="16">
        <f>W2110*Settings!$C$13*$D2119</f>
        <v/>
      </c>
      <c r="X2119" s="16">
        <f>X2110*Settings!$C$13*$D2119</f>
        <v/>
      </c>
      <c r="Y2119" s="16">
        <f>Y2110*Settings!$C$13*$D2119</f>
        <v/>
      </c>
      <c r="Z2119" s="16">
        <f>Z2110*Settings!$C$13*$D2119</f>
        <v/>
      </c>
      <c r="AA2119" s="16">
        <f>AA2110*Settings!$C$13*$D2119</f>
        <v/>
      </c>
      <c r="AB2119" s="16">
        <f>AB2110*Settings!$C$13*$D2119</f>
        <v/>
      </c>
      <c r="AC2119" s="16">
        <f>AC2110*Settings!$C$13*$D2119</f>
        <v/>
      </c>
      <c r="AD2119" s="16">
        <f>AD2110*Settings!$C$13*$D2119</f>
        <v/>
      </c>
      <c r="AE2119" s="49">
        <f>EMISSIONS(AE2110,Settings!$C$13,$D2119)</f>
        <v/>
      </c>
      <c r="AG2119" s="11">
        <f>CodePrefix&amp;$A2119&amp;IF($C2119="","","."&amp;$C2119&amp;"."&amp;$B2119)&amp;INDEX(VarEnd,MATCH($A2119,VarKey,0))&amp;AG$5</f>
        <v/>
      </c>
      <c r="AH2119" s="15">
        <f>AH2110*Settings!$C$13*$D2119</f>
        <v/>
      </c>
      <c r="AI2119" s="16">
        <f>AI2110*Settings!$C$13*$D2119</f>
        <v/>
      </c>
      <c r="AJ2119" s="16">
        <f>AJ2110*Settings!$C$13*$D2119</f>
        <v/>
      </c>
      <c r="AK2119" s="16">
        <f>AK2110*Settings!$C$13*$D2119</f>
        <v/>
      </c>
      <c r="AL2119" s="16">
        <f>AL2110*Settings!$C$13*$D2119</f>
        <v/>
      </c>
      <c r="AM2119" s="16">
        <f>AM2110*Settings!$C$13*$D2119</f>
        <v/>
      </c>
      <c r="AN2119" s="16">
        <f>AN2110*Settings!$C$13*$D2119</f>
        <v/>
      </c>
      <c r="AO2119" s="16">
        <f>AO2110*Settings!$C$13*$D2119</f>
        <v/>
      </c>
      <c r="AP2119" s="16">
        <f>AP2110*Settings!$C$13*$D2119</f>
        <v/>
      </c>
      <c r="AQ2119" s="16">
        <f>AQ2110*Settings!$C$13*$D2119</f>
        <v/>
      </c>
      <c r="AR2119" s="16">
        <f>AR2110*Settings!$C$13*$D2119</f>
        <v/>
      </c>
      <c r="AS2119" s="16">
        <f>AS2110*Settings!$C$13*$D2119</f>
        <v/>
      </c>
      <c r="AT2119" s="16">
        <f>AT2110*Settings!$C$13*$D2119</f>
        <v/>
      </c>
      <c r="AU2119" s="16">
        <f>AU2110*Settings!$C$13*$D2119</f>
        <v/>
      </c>
      <c r="AV2119" s="16">
        <f>AV2110*Settings!$C$13*$D2119</f>
        <v/>
      </c>
      <c r="AW2119" s="16">
        <f>AW2110*Settings!$C$13*$D2119</f>
        <v/>
      </c>
      <c r="AX2119" s="16">
        <f>AX2110*Settings!$C$13*$D2119</f>
        <v/>
      </c>
      <c r="AY2119" s="16">
        <f>AY2110*Settings!$C$13*$D2119</f>
        <v/>
      </c>
      <c r="AZ2119" s="16">
        <f>AZ2110*Settings!$C$13*$D2119</f>
        <v/>
      </c>
      <c r="BA2119" s="49">
        <f>EMISSIONS(BA2110,Settings!$C$13,$D2119)</f>
        <v/>
      </c>
    </row>
    <row r="2120" hidden="1" outlineLevel="2">
      <c r="A2120" s="14" t="inlineStr">
        <is>
          <t>co2</t>
        </is>
      </c>
      <c r="B2120" s="14" t="inlineStr">
        <is>
          <t>gso</t>
        </is>
      </c>
      <c r="C2120" s="14" t="inlineStr">
        <is>
          <t>irn</t>
        </is>
      </c>
      <c r="D2120" s="35">
        <f>INDEX(Inputs!$W$5:$W$132,MATCH($B2120&amp;"|"&amp;$C2120,Inputs!$A$5:$A$132,0))</f>
        <v/>
      </c>
      <c r="E2120" s="39" t="n"/>
      <c r="F2120" s="39" t="n"/>
      <c r="G2120" s="39" t="n"/>
      <c r="H2120" s="14">
        <f>INDEX(VarLab,MATCH($A2120,VarKey,0))&amp;INDEX(MemLab,MATCH($C2120&amp;"|"&amp;$B2120,MemKey,0))</f>
        <v/>
      </c>
      <c r="I2120" s="14">
        <f>INDEX(VarUnit,MATCH($A2120,VarKey,0))</f>
        <v/>
      </c>
      <c r="J2120" s="14">
        <f>INDEX(VarSrc,MATCH($A2120,VarKey,0))</f>
        <v/>
      </c>
      <c r="K2120" s="11">
        <f>CodePrefix&amp;$A2120&amp;IF($C2120="","","."&amp;$C2120&amp;"."&amp;$B2120)&amp;INDEX(VarEnd,MATCH($A2120,VarKey,0))&amp;K$5</f>
        <v/>
      </c>
      <c r="L2120" s="15">
        <f>L2111*Settings!$C$13*$D2120</f>
        <v/>
      </c>
      <c r="M2120" s="16">
        <f>M2111*Settings!$C$13*$D2120</f>
        <v/>
      </c>
      <c r="N2120" s="16">
        <f>N2111*Settings!$C$13*$D2120</f>
        <v/>
      </c>
      <c r="O2120" s="16">
        <f>O2111*Settings!$C$13*$D2120</f>
        <v/>
      </c>
      <c r="P2120" s="16">
        <f>P2111*Settings!$C$13*$D2120</f>
        <v/>
      </c>
      <c r="Q2120" s="16">
        <f>Q2111*Settings!$C$13*$D2120</f>
        <v/>
      </c>
      <c r="R2120" s="16">
        <f>R2111*Settings!$C$13*$D2120</f>
        <v/>
      </c>
      <c r="S2120" s="16">
        <f>S2111*Settings!$C$13*$D2120</f>
        <v/>
      </c>
      <c r="T2120" s="16">
        <f>T2111*Settings!$C$13*$D2120</f>
        <v/>
      </c>
      <c r="U2120" s="16">
        <f>U2111*Settings!$C$13*$D2120</f>
        <v/>
      </c>
      <c r="V2120" s="16">
        <f>V2111*Settings!$C$13*$D2120</f>
        <v/>
      </c>
      <c r="W2120" s="16">
        <f>W2111*Settings!$C$13*$D2120</f>
        <v/>
      </c>
      <c r="X2120" s="16">
        <f>X2111*Settings!$C$13*$D2120</f>
        <v/>
      </c>
      <c r="Y2120" s="16">
        <f>Y2111*Settings!$C$13*$D2120</f>
        <v/>
      </c>
      <c r="Z2120" s="16">
        <f>Z2111*Settings!$C$13*$D2120</f>
        <v/>
      </c>
      <c r="AA2120" s="16">
        <f>AA2111*Settings!$C$13*$D2120</f>
        <v/>
      </c>
      <c r="AB2120" s="16">
        <f>AB2111*Settings!$C$13*$D2120</f>
        <v/>
      </c>
      <c r="AC2120" s="16">
        <f>AC2111*Settings!$C$13*$D2120</f>
        <v/>
      </c>
      <c r="AD2120" s="16">
        <f>AD2111*Settings!$C$13*$D2120</f>
        <v/>
      </c>
      <c r="AE2120" s="49">
        <f>EMISSIONS(AE2111,Settings!$C$13,$D2120)</f>
        <v/>
      </c>
      <c r="AG2120" s="11">
        <f>CodePrefix&amp;$A2120&amp;IF($C2120="","","."&amp;$C2120&amp;"."&amp;$B2120)&amp;INDEX(VarEnd,MATCH($A2120,VarKey,0))&amp;AG$5</f>
        <v/>
      </c>
      <c r="AH2120" s="15">
        <f>AH2111*Settings!$C$13*$D2120</f>
        <v/>
      </c>
      <c r="AI2120" s="16">
        <f>AI2111*Settings!$C$13*$D2120</f>
        <v/>
      </c>
      <c r="AJ2120" s="16">
        <f>AJ2111*Settings!$C$13*$D2120</f>
        <v/>
      </c>
      <c r="AK2120" s="16">
        <f>AK2111*Settings!$C$13*$D2120</f>
        <v/>
      </c>
      <c r="AL2120" s="16">
        <f>AL2111*Settings!$C$13*$D2120</f>
        <v/>
      </c>
      <c r="AM2120" s="16">
        <f>AM2111*Settings!$C$13*$D2120</f>
        <v/>
      </c>
      <c r="AN2120" s="16">
        <f>AN2111*Settings!$C$13*$D2120</f>
        <v/>
      </c>
      <c r="AO2120" s="16">
        <f>AO2111*Settings!$C$13*$D2120</f>
        <v/>
      </c>
      <c r="AP2120" s="16">
        <f>AP2111*Settings!$C$13*$D2120</f>
        <v/>
      </c>
      <c r="AQ2120" s="16">
        <f>AQ2111*Settings!$C$13*$D2120</f>
        <v/>
      </c>
      <c r="AR2120" s="16">
        <f>AR2111*Settings!$C$13*$D2120</f>
        <v/>
      </c>
      <c r="AS2120" s="16">
        <f>AS2111*Settings!$C$13*$D2120</f>
        <v/>
      </c>
      <c r="AT2120" s="16">
        <f>AT2111*Settings!$C$13*$D2120</f>
        <v/>
      </c>
      <c r="AU2120" s="16">
        <f>AU2111*Settings!$C$13*$D2120</f>
        <v/>
      </c>
      <c r="AV2120" s="16">
        <f>AV2111*Settings!$C$13*$D2120</f>
        <v/>
      </c>
      <c r="AW2120" s="16">
        <f>AW2111*Settings!$C$13*$D2120</f>
        <v/>
      </c>
      <c r="AX2120" s="16">
        <f>AX2111*Settings!$C$13*$D2120</f>
        <v/>
      </c>
      <c r="AY2120" s="16">
        <f>AY2111*Settings!$C$13*$D2120</f>
        <v/>
      </c>
      <c r="AZ2120" s="16">
        <f>AZ2111*Settings!$C$13*$D2120</f>
        <v/>
      </c>
      <c r="BA2120" s="49">
        <f>EMISSIONS(BA2111,Settings!$C$13,$D2120)</f>
        <v/>
      </c>
    </row>
    <row r="2121" hidden="1" outlineLevel="2">
      <c r="A2121" s="14" t="inlineStr">
        <is>
          <t>co2</t>
        </is>
      </c>
      <c r="B2121" s="14" t="inlineStr">
        <is>
          <t>die</t>
        </is>
      </c>
      <c r="C2121" s="14" t="inlineStr">
        <is>
          <t>irn</t>
        </is>
      </c>
      <c r="D2121" s="35">
        <f>INDEX(Inputs!$W$5:$W$132,MATCH($B2121&amp;"|"&amp;$C2121,Inputs!$A$5:$A$132,0))</f>
        <v/>
      </c>
      <c r="E2121" s="39" t="n"/>
      <c r="F2121" s="39" t="n"/>
      <c r="G2121" s="39" t="n"/>
      <c r="H2121" s="14">
        <f>INDEX(VarLab,MATCH($A2121,VarKey,0))&amp;INDEX(MemLab,MATCH($C2121&amp;"|"&amp;$B2121,MemKey,0))</f>
        <v/>
      </c>
      <c r="I2121" s="14">
        <f>INDEX(VarUnit,MATCH($A2121,VarKey,0))</f>
        <v/>
      </c>
      <c r="J2121" s="14">
        <f>INDEX(VarSrc,MATCH($A2121,VarKey,0))</f>
        <v/>
      </c>
      <c r="K2121" s="11">
        <f>CodePrefix&amp;$A2121&amp;IF($C2121="","","."&amp;$C2121&amp;"."&amp;$B2121)&amp;INDEX(VarEnd,MATCH($A2121,VarKey,0))&amp;K$5</f>
        <v/>
      </c>
      <c r="L2121" s="15">
        <f>L2112*Settings!$C$13*$D2121</f>
        <v/>
      </c>
      <c r="M2121" s="16">
        <f>M2112*Settings!$C$13*$D2121</f>
        <v/>
      </c>
      <c r="N2121" s="16">
        <f>N2112*Settings!$C$13*$D2121</f>
        <v/>
      </c>
      <c r="O2121" s="16">
        <f>O2112*Settings!$C$13*$D2121</f>
        <v/>
      </c>
      <c r="P2121" s="16">
        <f>P2112*Settings!$C$13*$D2121</f>
        <v/>
      </c>
      <c r="Q2121" s="16">
        <f>Q2112*Settings!$C$13*$D2121</f>
        <v/>
      </c>
      <c r="R2121" s="16">
        <f>R2112*Settings!$C$13*$D2121</f>
        <v/>
      </c>
      <c r="S2121" s="16">
        <f>S2112*Settings!$C$13*$D2121</f>
        <v/>
      </c>
      <c r="T2121" s="16">
        <f>T2112*Settings!$C$13*$D2121</f>
        <v/>
      </c>
      <c r="U2121" s="16">
        <f>U2112*Settings!$C$13*$D2121</f>
        <v/>
      </c>
      <c r="V2121" s="16">
        <f>V2112*Settings!$C$13*$D2121</f>
        <v/>
      </c>
      <c r="W2121" s="16">
        <f>W2112*Settings!$C$13*$D2121</f>
        <v/>
      </c>
      <c r="X2121" s="16">
        <f>X2112*Settings!$C$13*$D2121</f>
        <v/>
      </c>
      <c r="Y2121" s="16">
        <f>Y2112*Settings!$C$13*$D2121</f>
        <v/>
      </c>
      <c r="Z2121" s="16">
        <f>Z2112*Settings!$C$13*$D2121</f>
        <v/>
      </c>
      <c r="AA2121" s="16">
        <f>AA2112*Settings!$C$13*$D2121</f>
        <v/>
      </c>
      <c r="AB2121" s="16">
        <f>AB2112*Settings!$C$13*$D2121</f>
        <v/>
      </c>
      <c r="AC2121" s="16">
        <f>AC2112*Settings!$C$13*$D2121</f>
        <v/>
      </c>
      <c r="AD2121" s="16">
        <f>AD2112*Settings!$C$13*$D2121</f>
        <v/>
      </c>
      <c r="AE2121" s="49">
        <f>EMISSIONS(AE2112,Settings!$C$13,$D2121)</f>
        <v/>
      </c>
      <c r="AG2121" s="11">
        <f>CodePrefix&amp;$A2121&amp;IF($C2121="","","."&amp;$C2121&amp;"."&amp;$B2121)&amp;INDEX(VarEnd,MATCH($A2121,VarKey,0))&amp;AG$5</f>
        <v/>
      </c>
      <c r="AH2121" s="15">
        <f>AH2112*Settings!$C$13*$D2121</f>
        <v/>
      </c>
      <c r="AI2121" s="16">
        <f>AI2112*Settings!$C$13*$D2121</f>
        <v/>
      </c>
      <c r="AJ2121" s="16">
        <f>AJ2112*Settings!$C$13*$D2121</f>
        <v/>
      </c>
      <c r="AK2121" s="16">
        <f>AK2112*Settings!$C$13*$D2121</f>
        <v/>
      </c>
      <c r="AL2121" s="16">
        <f>AL2112*Settings!$C$13*$D2121</f>
        <v/>
      </c>
      <c r="AM2121" s="16">
        <f>AM2112*Settings!$C$13*$D2121</f>
        <v/>
      </c>
      <c r="AN2121" s="16">
        <f>AN2112*Settings!$C$13*$D2121</f>
        <v/>
      </c>
      <c r="AO2121" s="16">
        <f>AO2112*Settings!$C$13*$D2121</f>
        <v/>
      </c>
      <c r="AP2121" s="16">
        <f>AP2112*Settings!$C$13*$D2121</f>
        <v/>
      </c>
      <c r="AQ2121" s="16">
        <f>AQ2112*Settings!$C$13*$D2121</f>
        <v/>
      </c>
      <c r="AR2121" s="16">
        <f>AR2112*Settings!$C$13*$D2121</f>
        <v/>
      </c>
      <c r="AS2121" s="16">
        <f>AS2112*Settings!$C$13*$D2121</f>
        <v/>
      </c>
      <c r="AT2121" s="16">
        <f>AT2112*Settings!$C$13*$D2121</f>
        <v/>
      </c>
      <c r="AU2121" s="16">
        <f>AU2112*Settings!$C$13*$D2121</f>
        <v/>
      </c>
      <c r="AV2121" s="16">
        <f>AV2112*Settings!$C$13*$D2121</f>
        <v/>
      </c>
      <c r="AW2121" s="16">
        <f>AW2112*Settings!$C$13*$D2121</f>
        <v/>
      </c>
      <c r="AX2121" s="16">
        <f>AX2112*Settings!$C$13*$D2121</f>
        <v/>
      </c>
      <c r="AY2121" s="16">
        <f>AY2112*Settings!$C$13*$D2121</f>
        <v/>
      </c>
      <c r="AZ2121" s="16">
        <f>AZ2112*Settings!$C$13*$D2121</f>
        <v/>
      </c>
      <c r="BA2121" s="49">
        <f>EMISSIONS(BA2112,Settings!$C$13,$D2121)</f>
        <v/>
      </c>
    </row>
    <row r="2122" hidden="1" outlineLevel="2">
      <c r="A2122" s="14" t="inlineStr">
        <is>
          <t>co2</t>
        </is>
      </c>
      <c r="B2122" s="14" t="inlineStr">
        <is>
          <t>lpg</t>
        </is>
      </c>
      <c r="C2122" s="14" t="inlineStr">
        <is>
          <t>irn</t>
        </is>
      </c>
      <c r="D2122" s="35">
        <f>INDEX(Inputs!$W$5:$W$132,MATCH($B2122&amp;"|"&amp;$C2122,Inputs!$A$5:$A$132,0))</f>
        <v/>
      </c>
      <c r="E2122" s="39" t="n"/>
      <c r="F2122" s="39" t="n"/>
      <c r="G2122" s="39" t="n"/>
      <c r="H2122" s="14">
        <f>INDEX(VarLab,MATCH($A2122,VarKey,0))&amp;INDEX(MemLab,MATCH($C2122&amp;"|"&amp;$B2122,MemKey,0))</f>
        <v/>
      </c>
      <c r="I2122" s="14">
        <f>INDEX(VarUnit,MATCH($A2122,VarKey,0))</f>
        <v/>
      </c>
      <c r="J2122" s="14">
        <f>INDEX(VarSrc,MATCH($A2122,VarKey,0))</f>
        <v/>
      </c>
      <c r="K2122" s="11">
        <f>CodePrefix&amp;$A2122&amp;IF($C2122="","","."&amp;$C2122&amp;"."&amp;$B2122)&amp;INDEX(VarEnd,MATCH($A2122,VarKey,0))&amp;K$5</f>
        <v/>
      </c>
      <c r="L2122" s="15">
        <f>L2113*Settings!$C$13*$D2122</f>
        <v/>
      </c>
      <c r="M2122" s="16">
        <f>M2113*Settings!$C$13*$D2122</f>
        <v/>
      </c>
      <c r="N2122" s="16">
        <f>N2113*Settings!$C$13*$D2122</f>
        <v/>
      </c>
      <c r="O2122" s="16">
        <f>O2113*Settings!$C$13*$D2122</f>
        <v/>
      </c>
      <c r="P2122" s="16">
        <f>P2113*Settings!$C$13*$D2122</f>
        <v/>
      </c>
      <c r="Q2122" s="16">
        <f>Q2113*Settings!$C$13*$D2122</f>
        <v/>
      </c>
      <c r="R2122" s="16">
        <f>R2113*Settings!$C$13*$D2122</f>
        <v/>
      </c>
      <c r="S2122" s="16">
        <f>S2113*Settings!$C$13*$D2122</f>
        <v/>
      </c>
      <c r="T2122" s="16">
        <f>T2113*Settings!$C$13*$D2122</f>
        <v/>
      </c>
      <c r="U2122" s="16">
        <f>U2113*Settings!$C$13*$D2122</f>
        <v/>
      </c>
      <c r="V2122" s="16">
        <f>V2113*Settings!$C$13*$D2122</f>
        <v/>
      </c>
      <c r="W2122" s="16">
        <f>W2113*Settings!$C$13*$D2122</f>
        <v/>
      </c>
      <c r="X2122" s="16">
        <f>X2113*Settings!$C$13*$D2122</f>
        <v/>
      </c>
      <c r="Y2122" s="16">
        <f>Y2113*Settings!$C$13*$D2122</f>
        <v/>
      </c>
      <c r="Z2122" s="16">
        <f>Z2113*Settings!$C$13*$D2122</f>
        <v/>
      </c>
      <c r="AA2122" s="16">
        <f>AA2113*Settings!$C$13*$D2122</f>
        <v/>
      </c>
      <c r="AB2122" s="16">
        <f>AB2113*Settings!$C$13*$D2122</f>
        <v/>
      </c>
      <c r="AC2122" s="16">
        <f>AC2113*Settings!$C$13*$D2122</f>
        <v/>
      </c>
      <c r="AD2122" s="16">
        <f>AD2113*Settings!$C$13*$D2122</f>
        <v/>
      </c>
      <c r="AE2122" s="49">
        <f>EMISSIONS(AE2113,Settings!$C$13,$D2122)</f>
        <v/>
      </c>
      <c r="AG2122" s="11">
        <f>CodePrefix&amp;$A2122&amp;IF($C2122="","","."&amp;$C2122&amp;"."&amp;$B2122)&amp;INDEX(VarEnd,MATCH($A2122,VarKey,0))&amp;AG$5</f>
        <v/>
      </c>
      <c r="AH2122" s="15">
        <f>AH2113*Settings!$C$13*$D2122</f>
        <v/>
      </c>
      <c r="AI2122" s="16">
        <f>AI2113*Settings!$C$13*$D2122</f>
        <v/>
      </c>
      <c r="AJ2122" s="16">
        <f>AJ2113*Settings!$C$13*$D2122</f>
        <v/>
      </c>
      <c r="AK2122" s="16">
        <f>AK2113*Settings!$C$13*$D2122</f>
        <v/>
      </c>
      <c r="AL2122" s="16">
        <f>AL2113*Settings!$C$13*$D2122</f>
        <v/>
      </c>
      <c r="AM2122" s="16">
        <f>AM2113*Settings!$C$13*$D2122</f>
        <v/>
      </c>
      <c r="AN2122" s="16">
        <f>AN2113*Settings!$C$13*$D2122</f>
        <v/>
      </c>
      <c r="AO2122" s="16">
        <f>AO2113*Settings!$C$13*$D2122</f>
        <v/>
      </c>
      <c r="AP2122" s="16">
        <f>AP2113*Settings!$C$13*$D2122</f>
        <v/>
      </c>
      <c r="AQ2122" s="16">
        <f>AQ2113*Settings!$C$13*$D2122</f>
        <v/>
      </c>
      <c r="AR2122" s="16">
        <f>AR2113*Settings!$C$13*$D2122</f>
        <v/>
      </c>
      <c r="AS2122" s="16">
        <f>AS2113*Settings!$C$13*$D2122</f>
        <v/>
      </c>
      <c r="AT2122" s="16">
        <f>AT2113*Settings!$C$13*$D2122</f>
        <v/>
      </c>
      <c r="AU2122" s="16">
        <f>AU2113*Settings!$C$13*$D2122</f>
        <v/>
      </c>
      <c r="AV2122" s="16">
        <f>AV2113*Settings!$C$13*$D2122</f>
        <v/>
      </c>
      <c r="AW2122" s="16">
        <f>AW2113*Settings!$C$13*$D2122</f>
        <v/>
      </c>
      <c r="AX2122" s="16">
        <f>AX2113*Settings!$C$13*$D2122</f>
        <v/>
      </c>
      <c r="AY2122" s="16">
        <f>AY2113*Settings!$C$13*$D2122</f>
        <v/>
      </c>
      <c r="AZ2122" s="16">
        <f>AZ2113*Settings!$C$13*$D2122</f>
        <v/>
      </c>
      <c r="BA2122" s="49">
        <f>EMISSIONS(BA2113,Settings!$C$13,$D2122)</f>
        <v/>
      </c>
    </row>
    <row r="2123" hidden="1" outlineLevel="2">
      <c r="A2123" s="14" t="inlineStr">
        <is>
          <t>co2</t>
        </is>
      </c>
      <c r="B2123" s="14" t="inlineStr">
        <is>
          <t>ker</t>
        </is>
      </c>
      <c r="C2123" s="14" t="inlineStr">
        <is>
          <t>irn</t>
        </is>
      </c>
      <c r="D2123" s="35">
        <f>INDEX(Inputs!$W$5:$W$132,MATCH($B2123&amp;"|"&amp;$C2123,Inputs!$A$5:$A$132,0))</f>
        <v/>
      </c>
      <c r="E2123" s="39" t="n"/>
      <c r="F2123" s="39" t="n"/>
      <c r="G2123" s="39" t="n"/>
      <c r="H2123" s="14">
        <f>INDEX(VarLab,MATCH($A2123,VarKey,0))&amp;INDEX(MemLab,MATCH($C2123&amp;"|"&amp;$B2123,MemKey,0))</f>
        <v/>
      </c>
      <c r="I2123" s="14">
        <f>INDEX(VarUnit,MATCH($A2123,VarKey,0))</f>
        <v/>
      </c>
      <c r="J2123" s="14">
        <f>INDEX(VarSrc,MATCH($A2123,VarKey,0))</f>
        <v/>
      </c>
      <c r="K2123" s="11">
        <f>CodePrefix&amp;$A2123&amp;IF($C2123="","","."&amp;$C2123&amp;"."&amp;$B2123)&amp;INDEX(VarEnd,MATCH($A2123,VarKey,0))&amp;K$5</f>
        <v/>
      </c>
      <c r="L2123" s="15">
        <f>L2114*Settings!$C$13*$D2123</f>
        <v/>
      </c>
      <c r="M2123" s="16">
        <f>M2114*Settings!$C$13*$D2123</f>
        <v/>
      </c>
      <c r="N2123" s="16">
        <f>N2114*Settings!$C$13*$D2123</f>
        <v/>
      </c>
      <c r="O2123" s="16">
        <f>O2114*Settings!$C$13*$D2123</f>
        <v/>
      </c>
      <c r="P2123" s="16">
        <f>P2114*Settings!$C$13*$D2123</f>
        <v/>
      </c>
      <c r="Q2123" s="16">
        <f>Q2114*Settings!$C$13*$D2123</f>
        <v/>
      </c>
      <c r="R2123" s="16">
        <f>R2114*Settings!$C$13*$D2123</f>
        <v/>
      </c>
      <c r="S2123" s="16">
        <f>S2114*Settings!$C$13*$D2123</f>
        <v/>
      </c>
      <c r="T2123" s="16">
        <f>T2114*Settings!$C$13*$D2123</f>
        <v/>
      </c>
      <c r="U2123" s="16">
        <f>U2114*Settings!$C$13*$D2123</f>
        <v/>
      </c>
      <c r="V2123" s="16">
        <f>V2114*Settings!$C$13*$D2123</f>
        <v/>
      </c>
      <c r="W2123" s="16">
        <f>W2114*Settings!$C$13*$D2123</f>
        <v/>
      </c>
      <c r="X2123" s="16">
        <f>X2114*Settings!$C$13*$D2123</f>
        <v/>
      </c>
      <c r="Y2123" s="16">
        <f>Y2114*Settings!$C$13*$D2123</f>
        <v/>
      </c>
      <c r="Z2123" s="16">
        <f>Z2114*Settings!$C$13*$D2123</f>
        <v/>
      </c>
      <c r="AA2123" s="16">
        <f>AA2114*Settings!$C$13*$D2123</f>
        <v/>
      </c>
      <c r="AB2123" s="16">
        <f>AB2114*Settings!$C$13*$D2123</f>
        <v/>
      </c>
      <c r="AC2123" s="16">
        <f>AC2114*Settings!$C$13*$D2123</f>
        <v/>
      </c>
      <c r="AD2123" s="16">
        <f>AD2114*Settings!$C$13*$D2123</f>
        <v/>
      </c>
      <c r="AE2123" s="49">
        <f>EMISSIONS(AE2114,Settings!$C$13,$D2123)</f>
        <v/>
      </c>
      <c r="AG2123" s="11">
        <f>CodePrefix&amp;$A2123&amp;IF($C2123="","","."&amp;$C2123&amp;"."&amp;$B2123)&amp;INDEX(VarEnd,MATCH($A2123,VarKey,0))&amp;AG$5</f>
        <v/>
      </c>
      <c r="AH2123" s="15">
        <f>AH2114*Settings!$C$13*$D2123</f>
        <v/>
      </c>
      <c r="AI2123" s="16">
        <f>AI2114*Settings!$C$13*$D2123</f>
        <v/>
      </c>
      <c r="AJ2123" s="16">
        <f>AJ2114*Settings!$C$13*$D2123</f>
        <v/>
      </c>
      <c r="AK2123" s="16">
        <f>AK2114*Settings!$C$13*$D2123</f>
        <v/>
      </c>
      <c r="AL2123" s="16">
        <f>AL2114*Settings!$C$13*$D2123</f>
        <v/>
      </c>
      <c r="AM2123" s="16">
        <f>AM2114*Settings!$C$13*$D2123</f>
        <v/>
      </c>
      <c r="AN2123" s="16">
        <f>AN2114*Settings!$C$13*$D2123</f>
        <v/>
      </c>
      <c r="AO2123" s="16">
        <f>AO2114*Settings!$C$13*$D2123</f>
        <v/>
      </c>
      <c r="AP2123" s="16">
        <f>AP2114*Settings!$C$13*$D2123</f>
        <v/>
      </c>
      <c r="AQ2123" s="16">
        <f>AQ2114*Settings!$C$13*$D2123</f>
        <v/>
      </c>
      <c r="AR2123" s="16">
        <f>AR2114*Settings!$C$13*$D2123</f>
        <v/>
      </c>
      <c r="AS2123" s="16">
        <f>AS2114*Settings!$C$13*$D2123</f>
        <v/>
      </c>
      <c r="AT2123" s="16">
        <f>AT2114*Settings!$C$13*$D2123</f>
        <v/>
      </c>
      <c r="AU2123" s="16">
        <f>AU2114*Settings!$C$13*$D2123</f>
        <v/>
      </c>
      <c r="AV2123" s="16">
        <f>AV2114*Settings!$C$13*$D2123</f>
        <v/>
      </c>
      <c r="AW2123" s="16">
        <f>AW2114*Settings!$C$13*$D2123</f>
        <v/>
      </c>
      <c r="AX2123" s="16">
        <f>AX2114*Settings!$C$13*$D2123</f>
        <v/>
      </c>
      <c r="AY2123" s="16">
        <f>AY2114*Settings!$C$13*$D2123</f>
        <v/>
      </c>
      <c r="AZ2123" s="16">
        <f>AZ2114*Settings!$C$13*$D2123</f>
        <v/>
      </c>
      <c r="BA2123" s="49">
        <f>EMISSIONS(BA2114,Settings!$C$13,$D2123)</f>
        <v/>
      </c>
    </row>
    <row r="2124" hidden="1" outlineLevel="2">
      <c r="A2124" s="14" t="inlineStr">
        <is>
          <t>co2</t>
        </is>
      </c>
      <c r="B2124" s="14" t="inlineStr">
        <is>
          <t>oop</t>
        </is>
      </c>
      <c r="C2124" s="14" t="inlineStr">
        <is>
          <t>irn</t>
        </is>
      </c>
      <c r="D2124" s="35">
        <f>INDEX(Inputs!$W$5:$W$132,MATCH($B2124&amp;"|"&amp;$C2124,Inputs!$A$5:$A$132,0))</f>
        <v/>
      </c>
      <c r="E2124" s="39" t="n"/>
      <c r="F2124" s="39" t="n"/>
      <c r="G2124" s="39" t="n"/>
      <c r="H2124" s="14">
        <f>INDEX(VarLab,MATCH($A2124,VarKey,0))&amp;INDEX(MemLab,MATCH($C2124&amp;"|"&amp;$B2124,MemKey,0))</f>
        <v/>
      </c>
      <c r="I2124" s="14">
        <f>INDEX(VarUnit,MATCH($A2124,VarKey,0))</f>
        <v/>
      </c>
      <c r="J2124" s="14">
        <f>INDEX(VarSrc,MATCH($A2124,VarKey,0))</f>
        <v/>
      </c>
      <c r="K2124" s="11">
        <f>CodePrefix&amp;$A2124&amp;IF($C2124="","","."&amp;$C2124&amp;"."&amp;$B2124)&amp;INDEX(VarEnd,MATCH($A2124,VarKey,0))&amp;K$5</f>
        <v/>
      </c>
      <c r="L2124" s="15">
        <f>L2115*Settings!$C$13*$D2124</f>
        <v/>
      </c>
      <c r="M2124" s="16">
        <f>M2115*Settings!$C$13*$D2124</f>
        <v/>
      </c>
      <c r="N2124" s="16">
        <f>N2115*Settings!$C$13*$D2124</f>
        <v/>
      </c>
      <c r="O2124" s="16">
        <f>O2115*Settings!$C$13*$D2124</f>
        <v/>
      </c>
      <c r="P2124" s="16">
        <f>P2115*Settings!$C$13*$D2124</f>
        <v/>
      </c>
      <c r="Q2124" s="16">
        <f>Q2115*Settings!$C$13*$D2124</f>
        <v/>
      </c>
      <c r="R2124" s="16">
        <f>R2115*Settings!$C$13*$D2124</f>
        <v/>
      </c>
      <c r="S2124" s="16">
        <f>S2115*Settings!$C$13*$D2124</f>
        <v/>
      </c>
      <c r="T2124" s="16">
        <f>T2115*Settings!$C$13*$D2124</f>
        <v/>
      </c>
      <c r="U2124" s="16">
        <f>U2115*Settings!$C$13*$D2124</f>
        <v/>
      </c>
      <c r="V2124" s="16">
        <f>V2115*Settings!$C$13*$D2124</f>
        <v/>
      </c>
      <c r="W2124" s="16">
        <f>W2115*Settings!$C$13*$D2124</f>
        <v/>
      </c>
      <c r="X2124" s="16">
        <f>X2115*Settings!$C$13*$D2124</f>
        <v/>
      </c>
      <c r="Y2124" s="16">
        <f>Y2115*Settings!$C$13*$D2124</f>
        <v/>
      </c>
      <c r="Z2124" s="16">
        <f>Z2115*Settings!$C$13*$D2124</f>
        <v/>
      </c>
      <c r="AA2124" s="16">
        <f>AA2115*Settings!$C$13*$D2124</f>
        <v/>
      </c>
      <c r="AB2124" s="16">
        <f>AB2115*Settings!$C$13*$D2124</f>
        <v/>
      </c>
      <c r="AC2124" s="16">
        <f>AC2115*Settings!$C$13*$D2124</f>
        <v/>
      </c>
      <c r="AD2124" s="16">
        <f>AD2115*Settings!$C$13*$D2124</f>
        <v/>
      </c>
      <c r="AE2124" s="49">
        <f>EMISSIONS(AE2115,Settings!$C$13,$D2124)</f>
        <v/>
      </c>
      <c r="AG2124" s="11">
        <f>CodePrefix&amp;$A2124&amp;IF($C2124="","","."&amp;$C2124&amp;"."&amp;$B2124)&amp;INDEX(VarEnd,MATCH($A2124,VarKey,0))&amp;AG$5</f>
        <v/>
      </c>
      <c r="AH2124" s="15">
        <f>AH2115*Settings!$C$13*$D2124</f>
        <v/>
      </c>
      <c r="AI2124" s="16">
        <f>AI2115*Settings!$C$13*$D2124</f>
        <v/>
      </c>
      <c r="AJ2124" s="16">
        <f>AJ2115*Settings!$C$13*$D2124</f>
        <v/>
      </c>
      <c r="AK2124" s="16">
        <f>AK2115*Settings!$C$13*$D2124</f>
        <v/>
      </c>
      <c r="AL2124" s="16">
        <f>AL2115*Settings!$C$13*$D2124</f>
        <v/>
      </c>
      <c r="AM2124" s="16">
        <f>AM2115*Settings!$C$13*$D2124</f>
        <v/>
      </c>
      <c r="AN2124" s="16">
        <f>AN2115*Settings!$C$13*$D2124</f>
        <v/>
      </c>
      <c r="AO2124" s="16">
        <f>AO2115*Settings!$C$13*$D2124</f>
        <v/>
      </c>
      <c r="AP2124" s="16">
        <f>AP2115*Settings!$C$13*$D2124</f>
        <v/>
      </c>
      <c r="AQ2124" s="16">
        <f>AQ2115*Settings!$C$13*$D2124</f>
        <v/>
      </c>
      <c r="AR2124" s="16">
        <f>AR2115*Settings!$C$13*$D2124</f>
        <v/>
      </c>
      <c r="AS2124" s="16">
        <f>AS2115*Settings!$C$13*$D2124</f>
        <v/>
      </c>
      <c r="AT2124" s="16">
        <f>AT2115*Settings!$C$13*$D2124</f>
        <v/>
      </c>
      <c r="AU2124" s="16">
        <f>AU2115*Settings!$C$13*$D2124</f>
        <v/>
      </c>
      <c r="AV2124" s="16">
        <f>AV2115*Settings!$C$13*$D2124</f>
        <v/>
      </c>
      <c r="AW2124" s="16">
        <f>AW2115*Settings!$C$13*$D2124</f>
        <v/>
      </c>
      <c r="AX2124" s="16">
        <f>AX2115*Settings!$C$13*$D2124</f>
        <v/>
      </c>
      <c r="AY2124" s="16">
        <f>AY2115*Settings!$C$13*$D2124</f>
        <v/>
      </c>
      <c r="AZ2124" s="16">
        <f>AZ2115*Settings!$C$13*$D2124</f>
        <v/>
      </c>
      <c r="BA2124" s="49">
        <f>EMISSIONS(BA2115,Settings!$C$13,$D2124)</f>
        <v/>
      </c>
    </row>
    <row r="2125" hidden="1" outlineLevel="2">
      <c r="A2125" s="14" t="inlineStr">
        <is>
          <t>co2</t>
        </is>
      </c>
      <c r="B2125" s="14" t="inlineStr">
        <is>
          <t>bio</t>
        </is>
      </c>
      <c r="C2125" s="14" t="inlineStr">
        <is>
          <t>irn</t>
        </is>
      </c>
      <c r="D2125" s="35">
        <f>INDEX(Inputs!$W$5:$W$132,MATCH($B2125&amp;"|"&amp;$C2125,Inputs!$A$5:$A$132,0))</f>
        <v/>
      </c>
      <c r="E2125" s="39" t="n"/>
      <c r="F2125" s="39" t="n"/>
      <c r="G2125" s="39" t="n"/>
      <c r="H2125" s="14">
        <f>INDEX(VarLab,MATCH($A2125,VarKey,0))&amp;INDEX(MemLab,MATCH($C2125&amp;"|"&amp;$B2125,MemKey,0))</f>
        <v/>
      </c>
      <c r="I2125" s="14">
        <f>INDEX(VarUnit,MATCH($A2125,VarKey,0))</f>
        <v/>
      </c>
      <c r="J2125" s="14">
        <f>INDEX(VarSrc,MATCH($A2125,VarKey,0))</f>
        <v/>
      </c>
      <c r="K2125" s="11">
        <f>CodePrefix&amp;$A2125&amp;IF($C2125="","","."&amp;$C2125&amp;"."&amp;$B2125)&amp;INDEX(VarEnd,MATCH($A2125,VarKey,0))&amp;K$5</f>
        <v/>
      </c>
      <c r="L2125" s="15">
        <f>L2116*Settings!$C$13*$D2125</f>
        <v/>
      </c>
      <c r="M2125" s="16">
        <f>M2116*Settings!$C$13*$D2125</f>
        <v/>
      </c>
      <c r="N2125" s="16">
        <f>N2116*Settings!$C$13*$D2125</f>
        <v/>
      </c>
      <c r="O2125" s="16">
        <f>O2116*Settings!$C$13*$D2125</f>
        <v/>
      </c>
      <c r="P2125" s="16">
        <f>P2116*Settings!$C$13*$D2125</f>
        <v/>
      </c>
      <c r="Q2125" s="16">
        <f>Q2116*Settings!$C$13*$D2125</f>
        <v/>
      </c>
      <c r="R2125" s="16">
        <f>R2116*Settings!$C$13*$D2125</f>
        <v/>
      </c>
      <c r="S2125" s="16">
        <f>S2116*Settings!$C$13*$D2125</f>
        <v/>
      </c>
      <c r="T2125" s="16">
        <f>T2116*Settings!$C$13*$D2125</f>
        <v/>
      </c>
      <c r="U2125" s="16">
        <f>U2116*Settings!$C$13*$D2125</f>
        <v/>
      </c>
      <c r="V2125" s="16">
        <f>V2116*Settings!$C$13*$D2125</f>
        <v/>
      </c>
      <c r="W2125" s="16">
        <f>W2116*Settings!$C$13*$D2125</f>
        <v/>
      </c>
      <c r="X2125" s="16">
        <f>X2116*Settings!$C$13*$D2125</f>
        <v/>
      </c>
      <c r="Y2125" s="16">
        <f>Y2116*Settings!$C$13*$D2125</f>
        <v/>
      </c>
      <c r="Z2125" s="16">
        <f>Z2116*Settings!$C$13*$D2125</f>
        <v/>
      </c>
      <c r="AA2125" s="16">
        <f>AA2116*Settings!$C$13*$D2125</f>
        <v/>
      </c>
      <c r="AB2125" s="16">
        <f>AB2116*Settings!$C$13*$D2125</f>
        <v/>
      </c>
      <c r="AC2125" s="16">
        <f>AC2116*Settings!$C$13*$D2125</f>
        <v/>
      </c>
      <c r="AD2125" s="16">
        <f>AD2116*Settings!$C$13*$D2125</f>
        <v/>
      </c>
      <c r="AE2125" s="49">
        <f>EMISSIONS(AE2116,Settings!$C$13,$D2125)</f>
        <v/>
      </c>
      <c r="AG2125" s="11">
        <f>CodePrefix&amp;$A2125&amp;IF($C2125="","","."&amp;$C2125&amp;"."&amp;$B2125)&amp;INDEX(VarEnd,MATCH($A2125,VarKey,0))&amp;AG$5</f>
        <v/>
      </c>
      <c r="AH2125" s="15">
        <f>AH2116*Settings!$C$13*$D2125</f>
        <v/>
      </c>
      <c r="AI2125" s="16">
        <f>AI2116*Settings!$C$13*$D2125</f>
        <v/>
      </c>
      <c r="AJ2125" s="16">
        <f>AJ2116*Settings!$C$13*$D2125</f>
        <v/>
      </c>
      <c r="AK2125" s="16">
        <f>AK2116*Settings!$C$13*$D2125</f>
        <v/>
      </c>
      <c r="AL2125" s="16">
        <f>AL2116*Settings!$C$13*$D2125</f>
        <v/>
      </c>
      <c r="AM2125" s="16">
        <f>AM2116*Settings!$C$13*$D2125</f>
        <v/>
      </c>
      <c r="AN2125" s="16">
        <f>AN2116*Settings!$C$13*$D2125</f>
        <v/>
      </c>
      <c r="AO2125" s="16">
        <f>AO2116*Settings!$C$13*$D2125</f>
        <v/>
      </c>
      <c r="AP2125" s="16">
        <f>AP2116*Settings!$C$13*$D2125</f>
        <v/>
      </c>
      <c r="AQ2125" s="16">
        <f>AQ2116*Settings!$C$13*$D2125</f>
        <v/>
      </c>
      <c r="AR2125" s="16">
        <f>AR2116*Settings!$C$13*$D2125</f>
        <v/>
      </c>
      <c r="AS2125" s="16">
        <f>AS2116*Settings!$C$13*$D2125</f>
        <v/>
      </c>
      <c r="AT2125" s="16">
        <f>AT2116*Settings!$C$13*$D2125</f>
        <v/>
      </c>
      <c r="AU2125" s="16">
        <f>AU2116*Settings!$C$13*$D2125</f>
        <v/>
      </c>
      <c r="AV2125" s="16">
        <f>AV2116*Settings!$C$13*$D2125</f>
        <v/>
      </c>
      <c r="AW2125" s="16">
        <f>AW2116*Settings!$C$13*$D2125</f>
        <v/>
      </c>
      <c r="AX2125" s="16">
        <f>AX2116*Settings!$C$13*$D2125</f>
        <v/>
      </c>
      <c r="AY2125" s="16">
        <f>AY2116*Settings!$C$13*$D2125</f>
        <v/>
      </c>
      <c r="AZ2125" s="16">
        <f>AZ2116*Settings!$C$13*$D2125</f>
        <v/>
      </c>
      <c r="BA2125" s="49">
        <f>EMISSIONS(BA2116,Settings!$C$13,$D2125)</f>
        <v/>
      </c>
    </row>
    <row r="2126" hidden="1" outlineLevel="2"/>
    <row r="2127" hidden="1" outlineLevel="2">
      <c r="A2127" s="14" t="inlineStr">
        <is>
          <t>rtx</t>
        </is>
      </c>
      <c r="B2127" s="14" t="inlineStr">
        <is>
          <t>coa</t>
        </is>
      </c>
      <c r="C2127" s="14" t="inlineStr">
        <is>
          <t>irn</t>
        </is>
      </c>
      <c r="D2127" s="35">
        <f>INDEX(Inputs!$U$5:$U$132,MATCH($B2127&amp;"|"&amp;$C2127,Inputs!$A$5:$A$132,0))</f>
        <v/>
      </c>
      <c r="E2127" s="35">
        <f>INDEX(Inputs!$V$5:$V$132,MATCH($B2127&amp;"|"&amp;$C2127,Inputs!$A$5:$A$132,0))</f>
        <v/>
      </c>
      <c r="F2127" s="39" t="n"/>
      <c r="G2127" s="39" t="n"/>
      <c r="H2127" s="14">
        <f>INDEX(VarLab,MATCH($A2127,VarKey,0))&amp;INDEX(MemLab,MATCH($C2127&amp;"|"&amp;$B2127,MemKey,0))</f>
        <v/>
      </c>
      <c r="I2127" s="14">
        <f>INDEX(VarUnit,MATCH($A2127,VarKey,0))</f>
        <v/>
      </c>
      <c r="J2127" s="14">
        <f>INDEX(VarSrc,MATCH($A2127,VarKey,0))</f>
        <v/>
      </c>
      <c r="K2127" s="11">
        <f>CodePrefix&amp;$A2127&amp;IF($C2127="","","."&amp;$C2127&amp;"."&amp;$B2127)&amp;INDEX(VarEnd,MATCH($A2127,VarKey,0))&amp;K$5</f>
        <v/>
      </c>
      <c r="L2127" s="43">
        <f>L2109*Settings!$C$13*(INDEX(L$407:L$418,$D2127)+INDEX(L$394:L$405,$D2127)+L2082*(1+$E2127))</f>
        <v/>
      </c>
      <c r="M2127" s="44">
        <f>M2109*Settings!$C$13*(INDEX(M$407:M$418,$D2127)+INDEX(M$394:M$405,$D2127)+M2082*(1+$E2127))</f>
        <v/>
      </c>
      <c r="N2127" s="44">
        <f>N2109*Settings!$C$13*(INDEX(N$407:N$418,$D2127)+INDEX(N$394:N$405,$D2127)+N2082*(1+$E2127))</f>
        <v/>
      </c>
      <c r="O2127" s="44">
        <f>O2109*Settings!$C$13*(INDEX(O$407:O$418,$D2127)+INDEX(O$394:O$405,$D2127)+O2082*(1+$E2127))</f>
        <v/>
      </c>
      <c r="P2127" s="44">
        <f>P2109*Settings!$C$13*(INDEX(P$407:P$418,$D2127)+INDEX(P$394:P$405,$D2127)+P2082*(1+$E2127))</f>
        <v/>
      </c>
      <c r="Q2127" s="44">
        <f>Q2109*Settings!$C$13*(INDEX(Q$407:Q$418,$D2127)+INDEX(Q$394:Q$405,$D2127)+Q2082*(1+$E2127))</f>
        <v/>
      </c>
      <c r="R2127" s="44">
        <f>R2109*Settings!$C$13*(INDEX(R$407:R$418,$D2127)+INDEX(R$394:R$405,$D2127)+R2082*(1+$E2127))</f>
        <v/>
      </c>
      <c r="S2127" s="44">
        <f>S2109*Settings!$C$13*(INDEX(S$407:S$418,$D2127)+INDEX(S$394:S$405,$D2127)+S2082*(1+$E2127))</f>
        <v/>
      </c>
      <c r="T2127" s="44">
        <f>T2109*Settings!$C$13*(INDEX(T$407:T$418,$D2127)+INDEX(T$394:T$405,$D2127)+T2082*(1+$E2127))</f>
        <v/>
      </c>
      <c r="U2127" s="44">
        <f>U2109*Settings!$C$13*(INDEX(U$407:U$418,$D2127)+INDEX(U$394:U$405,$D2127)+U2082*(1+$E2127))</f>
        <v/>
      </c>
      <c r="V2127" s="44">
        <f>V2109*Settings!$C$13*(INDEX(V$407:V$418,$D2127)+INDEX(V$394:V$405,$D2127)+V2082*(1+$E2127))</f>
        <v/>
      </c>
      <c r="W2127" s="44">
        <f>W2109*Settings!$C$13*(INDEX(W$407:W$418,$D2127)+INDEX(W$394:W$405,$D2127)+W2082*(1+$E2127))</f>
        <v/>
      </c>
      <c r="X2127" s="44">
        <f>X2109*Settings!$C$13*(INDEX(X$407:X$418,$D2127)+INDEX(X$394:X$405,$D2127)+X2082*(1+$E2127))</f>
        <v/>
      </c>
      <c r="Y2127" s="44">
        <f>Y2109*Settings!$C$13*(INDEX(Y$407:Y$418,$D2127)+INDEX(Y$394:Y$405,$D2127)+Y2082*(1+$E2127))</f>
        <v/>
      </c>
      <c r="Z2127" s="44">
        <f>Z2109*Settings!$C$13*(INDEX(Z$407:Z$418,$D2127)+INDEX(Z$394:Z$405,$D2127)+Z2082*(1+$E2127))</f>
        <v/>
      </c>
      <c r="AA2127" s="44">
        <f>AA2109*Settings!$C$13*(INDEX(AA$407:AA$418,$D2127)+INDEX(AA$394:AA$405,$D2127)+AA2082*(1+$E2127))</f>
        <v/>
      </c>
      <c r="AB2127" s="44">
        <f>AB2109*Settings!$C$13*(INDEX(AB$407:AB$418,$D2127)+INDEX(AB$394:AB$405,$D2127)+AB2082*(1+$E2127))</f>
        <v/>
      </c>
      <c r="AC2127" s="44">
        <f>AC2109*Settings!$C$13*(INDEX(AC$407:AC$418,$D2127)+INDEX(AC$394:AC$405,$D2127)+AC2082*(1+$E2127))</f>
        <v/>
      </c>
      <c r="AD2127" s="44">
        <f>AD2109*Settings!$C$13*(INDEX(AD$407:AD$418,$D2127)+INDEX(AD$394:AD$405,$D2127)+AD2082*(1+$E2127))</f>
        <v/>
      </c>
      <c r="AE2127" s="57">
        <f>REVENUE(AE2109,Settings!$C$13,INDEX(AE$407:AE$418,$D2127)+INDEX(AE$394:AE$405,$D2127)+AE2082*(1+$E2127))</f>
        <v/>
      </c>
      <c r="AG2127" s="11">
        <f>CodePrefix&amp;$A2127&amp;IF($C2127="","","."&amp;$C2127&amp;"."&amp;$B2127)&amp;INDEX(VarEnd,MATCH($A2127,VarKey,0))&amp;AG$5</f>
        <v/>
      </c>
      <c r="AH2127" s="43">
        <f>AH2109*Settings!$C$13*(INDEX(AH$407:AH$418,$D2127)+INDEX(AH$394:AH$405,$D2127)+AH2082*(1+$E2127))</f>
        <v/>
      </c>
      <c r="AI2127" s="44">
        <f>AI2109*Settings!$C$13*(INDEX(AI$407:AI$418,$D2127)+INDEX(AI$394:AI$405,$D2127)+AI2082*(1+$E2127))</f>
        <v/>
      </c>
      <c r="AJ2127" s="44">
        <f>AJ2109*Settings!$C$13*(INDEX(AJ$407:AJ$418,$D2127)+INDEX(AJ$394:AJ$405,$D2127)+AJ2082*(1+$E2127))</f>
        <v/>
      </c>
      <c r="AK2127" s="44">
        <f>AK2109*Settings!$C$13*(INDEX(AK$407:AK$418,$D2127)+INDEX(AK$394:AK$405,$D2127)+AK2082*(1+$E2127))</f>
        <v/>
      </c>
      <c r="AL2127" s="44">
        <f>AL2109*Settings!$C$13*(INDEX(AL$407:AL$418,$D2127)+INDEX(AL$394:AL$405,$D2127)+AL2082*(1+$E2127))</f>
        <v/>
      </c>
      <c r="AM2127" s="44">
        <f>AM2109*Settings!$C$13*(INDEX(AM$407:AM$418,$D2127)+INDEX(AM$394:AM$405,$D2127)+AM2082*(1+$E2127))</f>
        <v/>
      </c>
      <c r="AN2127" s="44">
        <f>AN2109*Settings!$C$13*(INDEX(AN$407:AN$418,$D2127)+INDEX(AN$394:AN$405,$D2127)+AN2082*(1+$E2127))</f>
        <v/>
      </c>
      <c r="AO2127" s="44">
        <f>AO2109*Settings!$C$13*(INDEX(AO$407:AO$418,$D2127)+INDEX(AO$394:AO$405,$D2127)+AO2082*(1+$E2127))</f>
        <v/>
      </c>
      <c r="AP2127" s="44">
        <f>AP2109*Settings!$C$13*(INDEX(AP$407:AP$418,$D2127)+INDEX(AP$394:AP$405,$D2127)+AP2082*(1+$E2127))</f>
        <v/>
      </c>
      <c r="AQ2127" s="44">
        <f>AQ2109*Settings!$C$13*(INDEX(AQ$407:AQ$418,$D2127)+INDEX(AQ$394:AQ$405,$D2127)+AQ2082*(1+$E2127))</f>
        <v/>
      </c>
      <c r="AR2127" s="44">
        <f>AR2109*Settings!$C$13*(INDEX(AR$407:AR$418,$D2127)+INDEX(AR$394:AR$405,$D2127)+AR2082*(1+$E2127))</f>
        <v/>
      </c>
      <c r="AS2127" s="44">
        <f>AS2109*Settings!$C$13*(INDEX(AS$407:AS$418,$D2127)+INDEX(AS$394:AS$405,$D2127)+AS2082*(1+$E2127))</f>
        <v/>
      </c>
      <c r="AT2127" s="44">
        <f>AT2109*Settings!$C$13*(INDEX(AT$407:AT$418,$D2127)+INDEX(AT$394:AT$405,$D2127)+AT2082*(1+$E2127))</f>
        <v/>
      </c>
      <c r="AU2127" s="44">
        <f>AU2109*Settings!$C$13*(INDEX(AU$407:AU$418,$D2127)+INDEX(AU$394:AU$405,$D2127)+AU2082*(1+$E2127))</f>
        <v/>
      </c>
      <c r="AV2127" s="44">
        <f>AV2109*Settings!$C$13*(INDEX(AV$407:AV$418,$D2127)+INDEX(AV$394:AV$405,$D2127)+AV2082*(1+$E2127))</f>
        <v/>
      </c>
      <c r="AW2127" s="44">
        <f>AW2109*Settings!$C$13*(INDEX(AW$407:AW$418,$D2127)+INDEX(AW$394:AW$405,$D2127)+AW2082*(1+$E2127))</f>
        <v/>
      </c>
      <c r="AX2127" s="44">
        <f>AX2109*Settings!$C$13*(INDEX(AX$407:AX$418,$D2127)+INDEX(AX$394:AX$405,$D2127)+AX2082*(1+$E2127))</f>
        <v/>
      </c>
      <c r="AY2127" s="44">
        <f>AY2109*Settings!$C$13*(INDEX(AY$407:AY$418,$D2127)+INDEX(AY$394:AY$405,$D2127)+AY2082*(1+$E2127))</f>
        <v/>
      </c>
      <c r="AZ2127" s="44">
        <f>AZ2109*Settings!$C$13*(INDEX(AZ$407:AZ$418,$D2127)+INDEX(AZ$394:AZ$405,$D2127)+AZ2082*(1+$E2127))</f>
        <v/>
      </c>
      <c r="BA2127" s="57">
        <f>REVENUE(BA2109,Settings!$C$13,INDEX(BA$407:BA$418,$D2127)+INDEX(BA$394:BA$405,$D2127)+BA2082*(1+$E2127))</f>
        <v/>
      </c>
    </row>
    <row r="2128" hidden="1" outlineLevel="2">
      <c r="A2128" s="14" t="inlineStr">
        <is>
          <t>rtx</t>
        </is>
      </c>
      <c r="B2128" s="14" t="inlineStr">
        <is>
          <t>nga</t>
        </is>
      </c>
      <c r="C2128" s="14" t="inlineStr">
        <is>
          <t>irn</t>
        </is>
      </c>
      <c r="D2128" s="35">
        <f>INDEX(Inputs!$U$5:$U$132,MATCH($B2128&amp;"|"&amp;$C2128,Inputs!$A$5:$A$132,0))</f>
        <v/>
      </c>
      <c r="E2128" s="35">
        <f>INDEX(Inputs!$V$5:$V$132,MATCH($B2128&amp;"|"&amp;$C2128,Inputs!$A$5:$A$132,0))</f>
        <v/>
      </c>
      <c r="F2128" s="39" t="n"/>
      <c r="G2128" s="39" t="n"/>
      <c r="H2128" s="14">
        <f>INDEX(VarLab,MATCH($A2128,VarKey,0))&amp;INDEX(MemLab,MATCH($C2128&amp;"|"&amp;$B2128,MemKey,0))</f>
        <v/>
      </c>
      <c r="I2128" s="14">
        <f>INDEX(VarUnit,MATCH($A2128,VarKey,0))</f>
        <v/>
      </c>
      <c r="J2128" s="14">
        <f>INDEX(VarSrc,MATCH($A2128,VarKey,0))</f>
        <v/>
      </c>
      <c r="K2128" s="11">
        <f>CodePrefix&amp;$A2128&amp;IF($C2128="","","."&amp;$C2128&amp;"."&amp;$B2128)&amp;INDEX(VarEnd,MATCH($A2128,VarKey,0))&amp;K$5</f>
        <v/>
      </c>
      <c r="L2128" s="43">
        <f>L2110*Settings!$C$13*(INDEX(L$407:L$418,$D2128)+INDEX(L$394:L$405,$D2128)+L2083*(1+$E2128))</f>
        <v/>
      </c>
      <c r="M2128" s="44">
        <f>M2110*Settings!$C$13*(INDEX(M$407:M$418,$D2128)+INDEX(M$394:M$405,$D2128)+M2083*(1+$E2128))</f>
        <v/>
      </c>
      <c r="N2128" s="44">
        <f>N2110*Settings!$C$13*(INDEX(N$407:N$418,$D2128)+INDEX(N$394:N$405,$D2128)+N2083*(1+$E2128))</f>
        <v/>
      </c>
      <c r="O2128" s="44">
        <f>O2110*Settings!$C$13*(INDEX(O$407:O$418,$D2128)+INDEX(O$394:O$405,$D2128)+O2083*(1+$E2128))</f>
        <v/>
      </c>
      <c r="P2128" s="44">
        <f>P2110*Settings!$C$13*(INDEX(P$407:P$418,$D2128)+INDEX(P$394:P$405,$D2128)+P2083*(1+$E2128))</f>
        <v/>
      </c>
      <c r="Q2128" s="44">
        <f>Q2110*Settings!$C$13*(INDEX(Q$407:Q$418,$D2128)+INDEX(Q$394:Q$405,$D2128)+Q2083*(1+$E2128))</f>
        <v/>
      </c>
      <c r="R2128" s="44">
        <f>R2110*Settings!$C$13*(INDEX(R$407:R$418,$D2128)+INDEX(R$394:R$405,$D2128)+R2083*(1+$E2128))</f>
        <v/>
      </c>
      <c r="S2128" s="44">
        <f>S2110*Settings!$C$13*(INDEX(S$407:S$418,$D2128)+INDEX(S$394:S$405,$D2128)+S2083*(1+$E2128))</f>
        <v/>
      </c>
      <c r="T2128" s="44">
        <f>T2110*Settings!$C$13*(INDEX(T$407:T$418,$D2128)+INDEX(T$394:T$405,$D2128)+T2083*(1+$E2128))</f>
        <v/>
      </c>
      <c r="U2128" s="44">
        <f>U2110*Settings!$C$13*(INDEX(U$407:U$418,$D2128)+INDEX(U$394:U$405,$D2128)+U2083*(1+$E2128))</f>
        <v/>
      </c>
      <c r="V2128" s="44">
        <f>V2110*Settings!$C$13*(INDEX(V$407:V$418,$D2128)+INDEX(V$394:V$405,$D2128)+V2083*(1+$E2128))</f>
        <v/>
      </c>
      <c r="W2128" s="44">
        <f>W2110*Settings!$C$13*(INDEX(W$407:W$418,$D2128)+INDEX(W$394:W$405,$D2128)+W2083*(1+$E2128))</f>
        <v/>
      </c>
      <c r="X2128" s="44">
        <f>X2110*Settings!$C$13*(INDEX(X$407:X$418,$D2128)+INDEX(X$394:X$405,$D2128)+X2083*(1+$E2128))</f>
        <v/>
      </c>
      <c r="Y2128" s="44">
        <f>Y2110*Settings!$C$13*(INDEX(Y$407:Y$418,$D2128)+INDEX(Y$394:Y$405,$D2128)+Y2083*(1+$E2128))</f>
        <v/>
      </c>
      <c r="Z2128" s="44">
        <f>Z2110*Settings!$C$13*(INDEX(Z$407:Z$418,$D2128)+INDEX(Z$394:Z$405,$D2128)+Z2083*(1+$E2128))</f>
        <v/>
      </c>
      <c r="AA2128" s="44">
        <f>AA2110*Settings!$C$13*(INDEX(AA$407:AA$418,$D2128)+INDEX(AA$394:AA$405,$D2128)+AA2083*(1+$E2128))</f>
        <v/>
      </c>
      <c r="AB2128" s="44">
        <f>AB2110*Settings!$C$13*(INDEX(AB$407:AB$418,$D2128)+INDEX(AB$394:AB$405,$D2128)+AB2083*(1+$E2128))</f>
        <v/>
      </c>
      <c r="AC2128" s="44">
        <f>AC2110*Settings!$C$13*(INDEX(AC$407:AC$418,$D2128)+INDEX(AC$394:AC$405,$D2128)+AC2083*(1+$E2128))</f>
        <v/>
      </c>
      <c r="AD2128" s="44">
        <f>AD2110*Settings!$C$13*(INDEX(AD$407:AD$418,$D2128)+INDEX(AD$394:AD$405,$D2128)+AD2083*(1+$E2128))</f>
        <v/>
      </c>
      <c r="AE2128" s="57">
        <f>REVENUE(AE2110,Settings!$C$13,INDEX(AE$407:AE$418,$D2128)+INDEX(AE$394:AE$405,$D2128)+AE2083*(1+$E2128))</f>
        <v/>
      </c>
      <c r="AG2128" s="11">
        <f>CodePrefix&amp;$A2128&amp;IF($C2128="","","."&amp;$C2128&amp;"."&amp;$B2128)&amp;INDEX(VarEnd,MATCH($A2128,VarKey,0))&amp;AG$5</f>
        <v/>
      </c>
      <c r="AH2128" s="43">
        <f>AH2110*Settings!$C$13*(INDEX(AH$407:AH$418,$D2128)+INDEX(AH$394:AH$405,$D2128)+AH2083*(1+$E2128))</f>
        <v/>
      </c>
      <c r="AI2128" s="44">
        <f>AI2110*Settings!$C$13*(INDEX(AI$407:AI$418,$D2128)+INDEX(AI$394:AI$405,$D2128)+AI2083*(1+$E2128))</f>
        <v/>
      </c>
      <c r="AJ2128" s="44">
        <f>AJ2110*Settings!$C$13*(INDEX(AJ$407:AJ$418,$D2128)+INDEX(AJ$394:AJ$405,$D2128)+AJ2083*(1+$E2128))</f>
        <v/>
      </c>
      <c r="AK2128" s="44">
        <f>AK2110*Settings!$C$13*(INDEX(AK$407:AK$418,$D2128)+INDEX(AK$394:AK$405,$D2128)+AK2083*(1+$E2128))</f>
        <v/>
      </c>
      <c r="AL2128" s="44">
        <f>AL2110*Settings!$C$13*(INDEX(AL$407:AL$418,$D2128)+INDEX(AL$394:AL$405,$D2128)+AL2083*(1+$E2128))</f>
        <v/>
      </c>
      <c r="AM2128" s="44">
        <f>AM2110*Settings!$C$13*(INDEX(AM$407:AM$418,$D2128)+INDEX(AM$394:AM$405,$D2128)+AM2083*(1+$E2128))</f>
        <v/>
      </c>
      <c r="AN2128" s="44">
        <f>AN2110*Settings!$C$13*(INDEX(AN$407:AN$418,$D2128)+INDEX(AN$394:AN$405,$D2128)+AN2083*(1+$E2128))</f>
        <v/>
      </c>
      <c r="AO2128" s="44">
        <f>AO2110*Settings!$C$13*(INDEX(AO$407:AO$418,$D2128)+INDEX(AO$394:AO$405,$D2128)+AO2083*(1+$E2128))</f>
        <v/>
      </c>
      <c r="AP2128" s="44">
        <f>AP2110*Settings!$C$13*(INDEX(AP$407:AP$418,$D2128)+INDEX(AP$394:AP$405,$D2128)+AP2083*(1+$E2128))</f>
        <v/>
      </c>
      <c r="AQ2128" s="44">
        <f>AQ2110*Settings!$C$13*(INDEX(AQ$407:AQ$418,$D2128)+INDEX(AQ$394:AQ$405,$D2128)+AQ2083*(1+$E2128))</f>
        <v/>
      </c>
      <c r="AR2128" s="44">
        <f>AR2110*Settings!$C$13*(INDEX(AR$407:AR$418,$D2128)+INDEX(AR$394:AR$405,$D2128)+AR2083*(1+$E2128))</f>
        <v/>
      </c>
      <c r="AS2128" s="44">
        <f>AS2110*Settings!$C$13*(INDEX(AS$407:AS$418,$D2128)+INDEX(AS$394:AS$405,$D2128)+AS2083*(1+$E2128))</f>
        <v/>
      </c>
      <c r="AT2128" s="44">
        <f>AT2110*Settings!$C$13*(INDEX(AT$407:AT$418,$D2128)+INDEX(AT$394:AT$405,$D2128)+AT2083*(1+$E2128))</f>
        <v/>
      </c>
      <c r="AU2128" s="44">
        <f>AU2110*Settings!$C$13*(INDEX(AU$407:AU$418,$D2128)+INDEX(AU$394:AU$405,$D2128)+AU2083*(1+$E2128))</f>
        <v/>
      </c>
      <c r="AV2128" s="44">
        <f>AV2110*Settings!$C$13*(INDEX(AV$407:AV$418,$D2128)+INDEX(AV$394:AV$405,$D2128)+AV2083*(1+$E2128))</f>
        <v/>
      </c>
      <c r="AW2128" s="44">
        <f>AW2110*Settings!$C$13*(INDEX(AW$407:AW$418,$D2128)+INDEX(AW$394:AW$405,$D2128)+AW2083*(1+$E2128))</f>
        <v/>
      </c>
      <c r="AX2128" s="44">
        <f>AX2110*Settings!$C$13*(INDEX(AX$407:AX$418,$D2128)+INDEX(AX$394:AX$405,$D2128)+AX2083*(1+$E2128))</f>
        <v/>
      </c>
      <c r="AY2128" s="44">
        <f>AY2110*Settings!$C$13*(INDEX(AY$407:AY$418,$D2128)+INDEX(AY$394:AY$405,$D2128)+AY2083*(1+$E2128))</f>
        <v/>
      </c>
      <c r="AZ2128" s="44">
        <f>AZ2110*Settings!$C$13*(INDEX(AZ$407:AZ$418,$D2128)+INDEX(AZ$394:AZ$405,$D2128)+AZ2083*(1+$E2128))</f>
        <v/>
      </c>
      <c r="BA2128" s="57">
        <f>REVENUE(BA2110,Settings!$C$13,INDEX(BA$407:BA$418,$D2128)+INDEX(BA$394:BA$405,$D2128)+BA2083*(1+$E2128))</f>
        <v/>
      </c>
    </row>
    <row r="2129" hidden="1" outlineLevel="2">
      <c r="A2129" s="14" t="inlineStr">
        <is>
          <t>rtx</t>
        </is>
      </c>
      <c r="B2129" s="14" t="inlineStr">
        <is>
          <t>gso</t>
        </is>
      </c>
      <c r="C2129" s="14" t="inlineStr">
        <is>
          <t>irn</t>
        </is>
      </c>
      <c r="D2129" s="35">
        <f>INDEX(Inputs!$U$5:$U$132,MATCH($B2129&amp;"|"&amp;$C2129,Inputs!$A$5:$A$132,0))</f>
        <v/>
      </c>
      <c r="E2129" s="35">
        <f>INDEX(Inputs!$V$5:$V$132,MATCH($B2129&amp;"|"&amp;$C2129,Inputs!$A$5:$A$132,0))</f>
        <v/>
      </c>
      <c r="F2129" s="39" t="n"/>
      <c r="G2129" s="39" t="n"/>
      <c r="H2129" s="14">
        <f>INDEX(VarLab,MATCH($A2129,VarKey,0))&amp;INDEX(MemLab,MATCH($C2129&amp;"|"&amp;$B2129,MemKey,0))</f>
        <v/>
      </c>
      <c r="I2129" s="14">
        <f>INDEX(VarUnit,MATCH($A2129,VarKey,0))</f>
        <v/>
      </c>
      <c r="J2129" s="14">
        <f>INDEX(VarSrc,MATCH($A2129,VarKey,0))</f>
        <v/>
      </c>
      <c r="K2129" s="11">
        <f>CodePrefix&amp;$A2129&amp;IF($C2129="","","."&amp;$C2129&amp;"."&amp;$B2129)&amp;INDEX(VarEnd,MATCH($A2129,VarKey,0))&amp;K$5</f>
        <v/>
      </c>
      <c r="L2129" s="43">
        <f>L2111*Settings!$C$13*(INDEX(L$407:L$418,$D2129)+INDEX(L$394:L$405,$D2129)+L2084*(1+$E2129))</f>
        <v/>
      </c>
      <c r="M2129" s="44">
        <f>M2111*Settings!$C$13*(INDEX(M$407:M$418,$D2129)+INDEX(M$394:M$405,$D2129)+M2084*(1+$E2129))</f>
        <v/>
      </c>
      <c r="N2129" s="44">
        <f>N2111*Settings!$C$13*(INDEX(N$407:N$418,$D2129)+INDEX(N$394:N$405,$D2129)+N2084*(1+$E2129))</f>
        <v/>
      </c>
      <c r="O2129" s="44">
        <f>O2111*Settings!$C$13*(INDEX(O$407:O$418,$D2129)+INDEX(O$394:O$405,$D2129)+O2084*(1+$E2129))</f>
        <v/>
      </c>
      <c r="P2129" s="44">
        <f>P2111*Settings!$C$13*(INDEX(P$407:P$418,$D2129)+INDEX(P$394:P$405,$D2129)+P2084*(1+$E2129))</f>
        <v/>
      </c>
      <c r="Q2129" s="44">
        <f>Q2111*Settings!$C$13*(INDEX(Q$407:Q$418,$D2129)+INDEX(Q$394:Q$405,$D2129)+Q2084*(1+$E2129))</f>
        <v/>
      </c>
      <c r="R2129" s="44">
        <f>R2111*Settings!$C$13*(INDEX(R$407:R$418,$D2129)+INDEX(R$394:R$405,$D2129)+R2084*(1+$E2129))</f>
        <v/>
      </c>
      <c r="S2129" s="44">
        <f>S2111*Settings!$C$13*(INDEX(S$407:S$418,$D2129)+INDEX(S$394:S$405,$D2129)+S2084*(1+$E2129))</f>
        <v/>
      </c>
      <c r="T2129" s="44">
        <f>T2111*Settings!$C$13*(INDEX(T$407:T$418,$D2129)+INDEX(T$394:T$405,$D2129)+T2084*(1+$E2129))</f>
        <v/>
      </c>
      <c r="U2129" s="44">
        <f>U2111*Settings!$C$13*(INDEX(U$407:U$418,$D2129)+INDEX(U$394:U$405,$D2129)+U2084*(1+$E2129))</f>
        <v/>
      </c>
      <c r="V2129" s="44">
        <f>V2111*Settings!$C$13*(INDEX(V$407:V$418,$D2129)+INDEX(V$394:V$405,$D2129)+V2084*(1+$E2129))</f>
        <v/>
      </c>
      <c r="W2129" s="44">
        <f>W2111*Settings!$C$13*(INDEX(W$407:W$418,$D2129)+INDEX(W$394:W$405,$D2129)+W2084*(1+$E2129))</f>
        <v/>
      </c>
      <c r="X2129" s="44">
        <f>X2111*Settings!$C$13*(INDEX(X$407:X$418,$D2129)+INDEX(X$394:X$405,$D2129)+X2084*(1+$E2129))</f>
        <v/>
      </c>
      <c r="Y2129" s="44">
        <f>Y2111*Settings!$C$13*(INDEX(Y$407:Y$418,$D2129)+INDEX(Y$394:Y$405,$D2129)+Y2084*(1+$E2129))</f>
        <v/>
      </c>
      <c r="Z2129" s="44">
        <f>Z2111*Settings!$C$13*(INDEX(Z$407:Z$418,$D2129)+INDEX(Z$394:Z$405,$D2129)+Z2084*(1+$E2129))</f>
        <v/>
      </c>
      <c r="AA2129" s="44">
        <f>AA2111*Settings!$C$13*(INDEX(AA$407:AA$418,$D2129)+INDEX(AA$394:AA$405,$D2129)+AA2084*(1+$E2129))</f>
        <v/>
      </c>
      <c r="AB2129" s="44">
        <f>AB2111*Settings!$C$13*(INDEX(AB$407:AB$418,$D2129)+INDEX(AB$394:AB$405,$D2129)+AB2084*(1+$E2129))</f>
        <v/>
      </c>
      <c r="AC2129" s="44">
        <f>AC2111*Settings!$C$13*(INDEX(AC$407:AC$418,$D2129)+INDEX(AC$394:AC$405,$D2129)+AC2084*(1+$E2129))</f>
        <v/>
      </c>
      <c r="AD2129" s="44">
        <f>AD2111*Settings!$C$13*(INDEX(AD$407:AD$418,$D2129)+INDEX(AD$394:AD$405,$D2129)+AD2084*(1+$E2129))</f>
        <v/>
      </c>
      <c r="AE2129" s="57">
        <f>REVENUE(AE2111,Settings!$C$13,INDEX(AE$407:AE$418,$D2129)+INDEX(AE$394:AE$405,$D2129)+AE2084*(1+$E2129))</f>
        <v/>
      </c>
      <c r="AG2129" s="11">
        <f>CodePrefix&amp;$A2129&amp;IF($C2129="","","."&amp;$C2129&amp;"."&amp;$B2129)&amp;INDEX(VarEnd,MATCH($A2129,VarKey,0))&amp;AG$5</f>
        <v/>
      </c>
      <c r="AH2129" s="43">
        <f>AH2111*Settings!$C$13*(INDEX(AH$407:AH$418,$D2129)+INDEX(AH$394:AH$405,$D2129)+AH2084*(1+$E2129))</f>
        <v/>
      </c>
      <c r="AI2129" s="44">
        <f>AI2111*Settings!$C$13*(INDEX(AI$407:AI$418,$D2129)+INDEX(AI$394:AI$405,$D2129)+AI2084*(1+$E2129))</f>
        <v/>
      </c>
      <c r="AJ2129" s="44">
        <f>AJ2111*Settings!$C$13*(INDEX(AJ$407:AJ$418,$D2129)+INDEX(AJ$394:AJ$405,$D2129)+AJ2084*(1+$E2129))</f>
        <v/>
      </c>
      <c r="AK2129" s="44">
        <f>AK2111*Settings!$C$13*(INDEX(AK$407:AK$418,$D2129)+INDEX(AK$394:AK$405,$D2129)+AK2084*(1+$E2129))</f>
        <v/>
      </c>
      <c r="AL2129" s="44">
        <f>AL2111*Settings!$C$13*(INDEX(AL$407:AL$418,$D2129)+INDEX(AL$394:AL$405,$D2129)+AL2084*(1+$E2129))</f>
        <v/>
      </c>
      <c r="AM2129" s="44">
        <f>AM2111*Settings!$C$13*(INDEX(AM$407:AM$418,$D2129)+INDEX(AM$394:AM$405,$D2129)+AM2084*(1+$E2129))</f>
        <v/>
      </c>
      <c r="AN2129" s="44">
        <f>AN2111*Settings!$C$13*(INDEX(AN$407:AN$418,$D2129)+INDEX(AN$394:AN$405,$D2129)+AN2084*(1+$E2129))</f>
        <v/>
      </c>
      <c r="AO2129" s="44">
        <f>AO2111*Settings!$C$13*(INDEX(AO$407:AO$418,$D2129)+INDEX(AO$394:AO$405,$D2129)+AO2084*(1+$E2129))</f>
        <v/>
      </c>
      <c r="AP2129" s="44">
        <f>AP2111*Settings!$C$13*(INDEX(AP$407:AP$418,$D2129)+INDEX(AP$394:AP$405,$D2129)+AP2084*(1+$E2129))</f>
        <v/>
      </c>
      <c r="AQ2129" s="44">
        <f>AQ2111*Settings!$C$13*(INDEX(AQ$407:AQ$418,$D2129)+INDEX(AQ$394:AQ$405,$D2129)+AQ2084*(1+$E2129))</f>
        <v/>
      </c>
      <c r="AR2129" s="44">
        <f>AR2111*Settings!$C$13*(INDEX(AR$407:AR$418,$D2129)+INDEX(AR$394:AR$405,$D2129)+AR2084*(1+$E2129))</f>
        <v/>
      </c>
      <c r="AS2129" s="44">
        <f>AS2111*Settings!$C$13*(INDEX(AS$407:AS$418,$D2129)+INDEX(AS$394:AS$405,$D2129)+AS2084*(1+$E2129))</f>
        <v/>
      </c>
      <c r="AT2129" s="44">
        <f>AT2111*Settings!$C$13*(INDEX(AT$407:AT$418,$D2129)+INDEX(AT$394:AT$405,$D2129)+AT2084*(1+$E2129))</f>
        <v/>
      </c>
      <c r="AU2129" s="44">
        <f>AU2111*Settings!$C$13*(INDEX(AU$407:AU$418,$D2129)+INDEX(AU$394:AU$405,$D2129)+AU2084*(1+$E2129))</f>
        <v/>
      </c>
      <c r="AV2129" s="44">
        <f>AV2111*Settings!$C$13*(INDEX(AV$407:AV$418,$D2129)+INDEX(AV$394:AV$405,$D2129)+AV2084*(1+$E2129))</f>
        <v/>
      </c>
      <c r="AW2129" s="44">
        <f>AW2111*Settings!$C$13*(INDEX(AW$407:AW$418,$D2129)+INDEX(AW$394:AW$405,$D2129)+AW2084*(1+$E2129))</f>
        <v/>
      </c>
      <c r="AX2129" s="44">
        <f>AX2111*Settings!$C$13*(INDEX(AX$407:AX$418,$D2129)+INDEX(AX$394:AX$405,$D2129)+AX2084*(1+$E2129))</f>
        <v/>
      </c>
      <c r="AY2129" s="44">
        <f>AY2111*Settings!$C$13*(INDEX(AY$407:AY$418,$D2129)+INDEX(AY$394:AY$405,$D2129)+AY2084*(1+$E2129))</f>
        <v/>
      </c>
      <c r="AZ2129" s="44">
        <f>AZ2111*Settings!$C$13*(INDEX(AZ$407:AZ$418,$D2129)+INDEX(AZ$394:AZ$405,$D2129)+AZ2084*(1+$E2129))</f>
        <v/>
      </c>
      <c r="BA2129" s="57">
        <f>REVENUE(BA2111,Settings!$C$13,INDEX(BA$407:BA$418,$D2129)+INDEX(BA$394:BA$405,$D2129)+BA2084*(1+$E2129))</f>
        <v/>
      </c>
    </row>
    <row r="2130" hidden="1" outlineLevel="2">
      <c r="A2130" s="14" t="inlineStr">
        <is>
          <t>rtx</t>
        </is>
      </c>
      <c r="B2130" s="14" t="inlineStr">
        <is>
          <t>die</t>
        </is>
      </c>
      <c r="C2130" s="14" t="inlineStr">
        <is>
          <t>irn</t>
        </is>
      </c>
      <c r="D2130" s="35">
        <f>INDEX(Inputs!$U$5:$U$132,MATCH($B2130&amp;"|"&amp;$C2130,Inputs!$A$5:$A$132,0))</f>
        <v/>
      </c>
      <c r="E2130" s="35">
        <f>INDEX(Inputs!$V$5:$V$132,MATCH($B2130&amp;"|"&amp;$C2130,Inputs!$A$5:$A$132,0))</f>
        <v/>
      </c>
      <c r="F2130" s="39" t="n"/>
      <c r="G2130" s="39" t="n"/>
      <c r="H2130" s="14">
        <f>INDEX(VarLab,MATCH($A2130,VarKey,0))&amp;INDEX(MemLab,MATCH($C2130&amp;"|"&amp;$B2130,MemKey,0))</f>
        <v/>
      </c>
      <c r="I2130" s="14">
        <f>INDEX(VarUnit,MATCH($A2130,VarKey,0))</f>
        <v/>
      </c>
      <c r="J2130" s="14">
        <f>INDEX(VarSrc,MATCH($A2130,VarKey,0))</f>
        <v/>
      </c>
      <c r="K2130" s="11">
        <f>CodePrefix&amp;$A2130&amp;IF($C2130="","","."&amp;$C2130&amp;"."&amp;$B2130)&amp;INDEX(VarEnd,MATCH($A2130,VarKey,0))&amp;K$5</f>
        <v/>
      </c>
      <c r="L2130" s="43">
        <f>L2112*Settings!$C$13*(INDEX(L$407:L$418,$D2130)+INDEX(L$394:L$405,$D2130)+L2085*(1+$E2130))</f>
        <v/>
      </c>
      <c r="M2130" s="44">
        <f>M2112*Settings!$C$13*(INDEX(M$407:M$418,$D2130)+INDEX(M$394:M$405,$D2130)+M2085*(1+$E2130))</f>
        <v/>
      </c>
      <c r="N2130" s="44">
        <f>N2112*Settings!$C$13*(INDEX(N$407:N$418,$D2130)+INDEX(N$394:N$405,$D2130)+N2085*(1+$E2130))</f>
        <v/>
      </c>
      <c r="O2130" s="44">
        <f>O2112*Settings!$C$13*(INDEX(O$407:O$418,$D2130)+INDEX(O$394:O$405,$D2130)+O2085*(1+$E2130))</f>
        <v/>
      </c>
      <c r="P2130" s="44">
        <f>P2112*Settings!$C$13*(INDEX(P$407:P$418,$D2130)+INDEX(P$394:P$405,$D2130)+P2085*(1+$E2130))</f>
        <v/>
      </c>
      <c r="Q2130" s="44">
        <f>Q2112*Settings!$C$13*(INDEX(Q$407:Q$418,$D2130)+INDEX(Q$394:Q$405,$D2130)+Q2085*(1+$E2130))</f>
        <v/>
      </c>
      <c r="R2130" s="44">
        <f>R2112*Settings!$C$13*(INDEX(R$407:R$418,$D2130)+INDEX(R$394:R$405,$D2130)+R2085*(1+$E2130))</f>
        <v/>
      </c>
      <c r="S2130" s="44">
        <f>S2112*Settings!$C$13*(INDEX(S$407:S$418,$D2130)+INDEX(S$394:S$405,$D2130)+S2085*(1+$E2130))</f>
        <v/>
      </c>
      <c r="T2130" s="44">
        <f>T2112*Settings!$C$13*(INDEX(T$407:T$418,$D2130)+INDEX(T$394:T$405,$D2130)+T2085*(1+$E2130))</f>
        <v/>
      </c>
      <c r="U2130" s="44">
        <f>U2112*Settings!$C$13*(INDEX(U$407:U$418,$D2130)+INDEX(U$394:U$405,$D2130)+U2085*(1+$E2130))</f>
        <v/>
      </c>
      <c r="V2130" s="44">
        <f>V2112*Settings!$C$13*(INDEX(V$407:V$418,$D2130)+INDEX(V$394:V$405,$D2130)+V2085*(1+$E2130))</f>
        <v/>
      </c>
      <c r="W2130" s="44">
        <f>W2112*Settings!$C$13*(INDEX(W$407:W$418,$D2130)+INDEX(W$394:W$405,$D2130)+W2085*(1+$E2130))</f>
        <v/>
      </c>
      <c r="X2130" s="44">
        <f>X2112*Settings!$C$13*(INDEX(X$407:X$418,$D2130)+INDEX(X$394:X$405,$D2130)+X2085*(1+$E2130))</f>
        <v/>
      </c>
      <c r="Y2130" s="44">
        <f>Y2112*Settings!$C$13*(INDEX(Y$407:Y$418,$D2130)+INDEX(Y$394:Y$405,$D2130)+Y2085*(1+$E2130))</f>
        <v/>
      </c>
      <c r="Z2130" s="44">
        <f>Z2112*Settings!$C$13*(INDEX(Z$407:Z$418,$D2130)+INDEX(Z$394:Z$405,$D2130)+Z2085*(1+$E2130))</f>
        <v/>
      </c>
      <c r="AA2130" s="44">
        <f>AA2112*Settings!$C$13*(INDEX(AA$407:AA$418,$D2130)+INDEX(AA$394:AA$405,$D2130)+AA2085*(1+$E2130))</f>
        <v/>
      </c>
      <c r="AB2130" s="44">
        <f>AB2112*Settings!$C$13*(INDEX(AB$407:AB$418,$D2130)+INDEX(AB$394:AB$405,$D2130)+AB2085*(1+$E2130))</f>
        <v/>
      </c>
      <c r="AC2130" s="44">
        <f>AC2112*Settings!$C$13*(INDEX(AC$407:AC$418,$D2130)+INDEX(AC$394:AC$405,$D2130)+AC2085*(1+$E2130))</f>
        <v/>
      </c>
      <c r="AD2130" s="44">
        <f>AD2112*Settings!$C$13*(INDEX(AD$407:AD$418,$D2130)+INDEX(AD$394:AD$405,$D2130)+AD2085*(1+$E2130))</f>
        <v/>
      </c>
      <c r="AE2130" s="57">
        <f>REVENUE(AE2112,Settings!$C$13,INDEX(AE$407:AE$418,$D2130)+INDEX(AE$394:AE$405,$D2130)+AE2085*(1+$E2130))</f>
        <v/>
      </c>
      <c r="AG2130" s="11">
        <f>CodePrefix&amp;$A2130&amp;IF($C2130="","","."&amp;$C2130&amp;"."&amp;$B2130)&amp;INDEX(VarEnd,MATCH($A2130,VarKey,0))&amp;AG$5</f>
        <v/>
      </c>
      <c r="AH2130" s="43">
        <f>AH2112*Settings!$C$13*(INDEX(AH$407:AH$418,$D2130)+INDEX(AH$394:AH$405,$D2130)+AH2085*(1+$E2130))</f>
        <v/>
      </c>
      <c r="AI2130" s="44">
        <f>AI2112*Settings!$C$13*(INDEX(AI$407:AI$418,$D2130)+INDEX(AI$394:AI$405,$D2130)+AI2085*(1+$E2130))</f>
        <v/>
      </c>
      <c r="AJ2130" s="44">
        <f>AJ2112*Settings!$C$13*(INDEX(AJ$407:AJ$418,$D2130)+INDEX(AJ$394:AJ$405,$D2130)+AJ2085*(1+$E2130))</f>
        <v/>
      </c>
      <c r="AK2130" s="44">
        <f>AK2112*Settings!$C$13*(INDEX(AK$407:AK$418,$D2130)+INDEX(AK$394:AK$405,$D2130)+AK2085*(1+$E2130))</f>
        <v/>
      </c>
      <c r="AL2130" s="44">
        <f>AL2112*Settings!$C$13*(INDEX(AL$407:AL$418,$D2130)+INDEX(AL$394:AL$405,$D2130)+AL2085*(1+$E2130))</f>
        <v/>
      </c>
      <c r="AM2130" s="44">
        <f>AM2112*Settings!$C$13*(INDEX(AM$407:AM$418,$D2130)+INDEX(AM$394:AM$405,$D2130)+AM2085*(1+$E2130))</f>
        <v/>
      </c>
      <c r="AN2130" s="44">
        <f>AN2112*Settings!$C$13*(INDEX(AN$407:AN$418,$D2130)+INDEX(AN$394:AN$405,$D2130)+AN2085*(1+$E2130))</f>
        <v/>
      </c>
      <c r="AO2130" s="44">
        <f>AO2112*Settings!$C$13*(INDEX(AO$407:AO$418,$D2130)+INDEX(AO$394:AO$405,$D2130)+AO2085*(1+$E2130))</f>
        <v/>
      </c>
      <c r="AP2130" s="44">
        <f>AP2112*Settings!$C$13*(INDEX(AP$407:AP$418,$D2130)+INDEX(AP$394:AP$405,$D2130)+AP2085*(1+$E2130))</f>
        <v/>
      </c>
      <c r="AQ2130" s="44">
        <f>AQ2112*Settings!$C$13*(INDEX(AQ$407:AQ$418,$D2130)+INDEX(AQ$394:AQ$405,$D2130)+AQ2085*(1+$E2130))</f>
        <v/>
      </c>
      <c r="AR2130" s="44">
        <f>AR2112*Settings!$C$13*(INDEX(AR$407:AR$418,$D2130)+INDEX(AR$394:AR$405,$D2130)+AR2085*(1+$E2130))</f>
        <v/>
      </c>
      <c r="AS2130" s="44">
        <f>AS2112*Settings!$C$13*(INDEX(AS$407:AS$418,$D2130)+INDEX(AS$394:AS$405,$D2130)+AS2085*(1+$E2130))</f>
        <v/>
      </c>
      <c r="AT2130" s="44">
        <f>AT2112*Settings!$C$13*(INDEX(AT$407:AT$418,$D2130)+INDEX(AT$394:AT$405,$D2130)+AT2085*(1+$E2130))</f>
        <v/>
      </c>
      <c r="AU2130" s="44">
        <f>AU2112*Settings!$C$13*(INDEX(AU$407:AU$418,$D2130)+INDEX(AU$394:AU$405,$D2130)+AU2085*(1+$E2130))</f>
        <v/>
      </c>
      <c r="AV2130" s="44">
        <f>AV2112*Settings!$C$13*(INDEX(AV$407:AV$418,$D2130)+INDEX(AV$394:AV$405,$D2130)+AV2085*(1+$E2130))</f>
        <v/>
      </c>
      <c r="AW2130" s="44">
        <f>AW2112*Settings!$C$13*(INDEX(AW$407:AW$418,$D2130)+INDEX(AW$394:AW$405,$D2130)+AW2085*(1+$E2130))</f>
        <v/>
      </c>
      <c r="AX2130" s="44">
        <f>AX2112*Settings!$C$13*(INDEX(AX$407:AX$418,$D2130)+INDEX(AX$394:AX$405,$D2130)+AX2085*(1+$E2130))</f>
        <v/>
      </c>
      <c r="AY2130" s="44">
        <f>AY2112*Settings!$C$13*(INDEX(AY$407:AY$418,$D2130)+INDEX(AY$394:AY$405,$D2130)+AY2085*(1+$E2130))</f>
        <v/>
      </c>
      <c r="AZ2130" s="44">
        <f>AZ2112*Settings!$C$13*(INDEX(AZ$407:AZ$418,$D2130)+INDEX(AZ$394:AZ$405,$D2130)+AZ2085*(1+$E2130))</f>
        <v/>
      </c>
      <c r="BA2130" s="57">
        <f>REVENUE(BA2112,Settings!$C$13,INDEX(BA$407:BA$418,$D2130)+INDEX(BA$394:BA$405,$D2130)+BA2085*(1+$E2130))</f>
        <v/>
      </c>
    </row>
    <row r="2131" hidden="1" outlineLevel="2">
      <c r="A2131" s="14" t="inlineStr">
        <is>
          <t>rtx</t>
        </is>
      </c>
      <c r="B2131" s="14" t="inlineStr">
        <is>
          <t>lpg</t>
        </is>
      </c>
      <c r="C2131" s="14" t="inlineStr">
        <is>
          <t>irn</t>
        </is>
      </c>
      <c r="D2131" s="35">
        <f>INDEX(Inputs!$U$5:$U$132,MATCH($B2131&amp;"|"&amp;$C2131,Inputs!$A$5:$A$132,0))</f>
        <v/>
      </c>
      <c r="E2131" s="35">
        <f>INDEX(Inputs!$V$5:$V$132,MATCH($B2131&amp;"|"&amp;$C2131,Inputs!$A$5:$A$132,0))</f>
        <v/>
      </c>
      <c r="F2131" s="39" t="n"/>
      <c r="G2131" s="39" t="n"/>
      <c r="H2131" s="14">
        <f>INDEX(VarLab,MATCH($A2131,VarKey,0))&amp;INDEX(MemLab,MATCH($C2131&amp;"|"&amp;$B2131,MemKey,0))</f>
        <v/>
      </c>
      <c r="I2131" s="14">
        <f>INDEX(VarUnit,MATCH($A2131,VarKey,0))</f>
        <v/>
      </c>
      <c r="J2131" s="14">
        <f>INDEX(VarSrc,MATCH($A2131,VarKey,0))</f>
        <v/>
      </c>
      <c r="K2131" s="11">
        <f>CodePrefix&amp;$A2131&amp;IF($C2131="","","."&amp;$C2131&amp;"."&amp;$B2131)&amp;INDEX(VarEnd,MATCH($A2131,VarKey,0))&amp;K$5</f>
        <v/>
      </c>
      <c r="L2131" s="43">
        <f>L2113*Settings!$C$13*(INDEX(L$407:L$418,$D2131)+INDEX(L$394:L$405,$D2131)+L2086*(1+$E2131))</f>
        <v/>
      </c>
      <c r="M2131" s="44">
        <f>M2113*Settings!$C$13*(INDEX(M$407:M$418,$D2131)+INDEX(M$394:M$405,$D2131)+M2086*(1+$E2131))</f>
        <v/>
      </c>
      <c r="N2131" s="44">
        <f>N2113*Settings!$C$13*(INDEX(N$407:N$418,$D2131)+INDEX(N$394:N$405,$D2131)+N2086*(1+$E2131))</f>
        <v/>
      </c>
      <c r="O2131" s="44">
        <f>O2113*Settings!$C$13*(INDEX(O$407:O$418,$D2131)+INDEX(O$394:O$405,$D2131)+O2086*(1+$E2131))</f>
        <v/>
      </c>
      <c r="P2131" s="44">
        <f>P2113*Settings!$C$13*(INDEX(P$407:P$418,$D2131)+INDEX(P$394:P$405,$D2131)+P2086*(1+$E2131))</f>
        <v/>
      </c>
      <c r="Q2131" s="44">
        <f>Q2113*Settings!$C$13*(INDEX(Q$407:Q$418,$D2131)+INDEX(Q$394:Q$405,$D2131)+Q2086*(1+$E2131))</f>
        <v/>
      </c>
      <c r="R2131" s="44">
        <f>R2113*Settings!$C$13*(INDEX(R$407:R$418,$D2131)+INDEX(R$394:R$405,$D2131)+R2086*(1+$E2131))</f>
        <v/>
      </c>
      <c r="S2131" s="44">
        <f>S2113*Settings!$C$13*(INDEX(S$407:S$418,$D2131)+INDEX(S$394:S$405,$D2131)+S2086*(1+$E2131))</f>
        <v/>
      </c>
      <c r="T2131" s="44">
        <f>T2113*Settings!$C$13*(INDEX(T$407:T$418,$D2131)+INDEX(T$394:T$405,$D2131)+T2086*(1+$E2131))</f>
        <v/>
      </c>
      <c r="U2131" s="44">
        <f>U2113*Settings!$C$13*(INDEX(U$407:U$418,$D2131)+INDEX(U$394:U$405,$D2131)+U2086*(1+$E2131))</f>
        <v/>
      </c>
      <c r="V2131" s="44">
        <f>V2113*Settings!$C$13*(INDEX(V$407:V$418,$D2131)+INDEX(V$394:V$405,$D2131)+V2086*(1+$E2131))</f>
        <v/>
      </c>
      <c r="W2131" s="44">
        <f>W2113*Settings!$C$13*(INDEX(W$407:W$418,$D2131)+INDEX(W$394:W$405,$D2131)+W2086*(1+$E2131))</f>
        <v/>
      </c>
      <c r="X2131" s="44">
        <f>X2113*Settings!$C$13*(INDEX(X$407:X$418,$D2131)+INDEX(X$394:X$405,$D2131)+X2086*(1+$E2131))</f>
        <v/>
      </c>
      <c r="Y2131" s="44">
        <f>Y2113*Settings!$C$13*(INDEX(Y$407:Y$418,$D2131)+INDEX(Y$394:Y$405,$D2131)+Y2086*(1+$E2131))</f>
        <v/>
      </c>
      <c r="Z2131" s="44">
        <f>Z2113*Settings!$C$13*(INDEX(Z$407:Z$418,$D2131)+INDEX(Z$394:Z$405,$D2131)+Z2086*(1+$E2131))</f>
        <v/>
      </c>
      <c r="AA2131" s="44">
        <f>AA2113*Settings!$C$13*(INDEX(AA$407:AA$418,$D2131)+INDEX(AA$394:AA$405,$D2131)+AA2086*(1+$E2131))</f>
        <v/>
      </c>
      <c r="AB2131" s="44">
        <f>AB2113*Settings!$C$13*(INDEX(AB$407:AB$418,$D2131)+INDEX(AB$394:AB$405,$D2131)+AB2086*(1+$E2131))</f>
        <v/>
      </c>
      <c r="AC2131" s="44">
        <f>AC2113*Settings!$C$13*(INDEX(AC$407:AC$418,$D2131)+INDEX(AC$394:AC$405,$D2131)+AC2086*(1+$E2131))</f>
        <v/>
      </c>
      <c r="AD2131" s="44">
        <f>AD2113*Settings!$C$13*(INDEX(AD$407:AD$418,$D2131)+INDEX(AD$394:AD$405,$D2131)+AD2086*(1+$E2131))</f>
        <v/>
      </c>
      <c r="AE2131" s="57">
        <f>REVENUE(AE2113,Settings!$C$13,INDEX(AE$407:AE$418,$D2131)+INDEX(AE$394:AE$405,$D2131)+AE2086*(1+$E2131))</f>
        <v/>
      </c>
      <c r="AG2131" s="11">
        <f>CodePrefix&amp;$A2131&amp;IF($C2131="","","."&amp;$C2131&amp;"."&amp;$B2131)&amp;INDEX(VarEnd,MATCH($A2131,VarKey,0))&amp;AG$5</f>
        <v/>
      </c>
      <c r="AH2131" s="43">
        <f>AH2113*Settings!$C$13*(INDEX(AH$407:AH$418,$D2131)+INDEX(AH$394:AH$405,$D2131)+AH2086*(1+$E2131))</f>
        <v/>
      </c>
      <c r="AI2131" s="44">
        <f>AI2113*Settings!$C$13*(INDEX(AI$407:AI$418,$D2131)+INDEX(AI$394:AI$405,$D2131)+AI2086*(1+$E2131))</f>
        <v/>
      </c>
      <c r="AJ2131" s="44">
        <f>AJ2113*Settings!$C$13*(INDEX(AJ$407:AJ$418,$D2131)+INDEX(AJ$394:AJ$405,$D2131)+AJ2086*(1+$E2131))</f>
        <v/>
      </c>
      <c r="AK2131" s="44">
        <f>AK2113*Settings!$C$13*(INDEX(AK$407:AK$418,$D2131)+INDEX(AK$394:AK$405,$D2131)+AK2086*(1+$E2131))</f>
        <v/>
      </c>
      <c r="AL2131" s="44">
        <f>AL2113*Settings!$C$13*(INDEX(AL$407:AL$418,$D2131)+INDEX(AL$394:AL$405,$D2131)+AL2086*(1+$E2131))</f>
        <v/>
      </c>
      <c r="AM2131" s="44">
        <f>AM2113*Settings!$C$13*(INDEX(AM$407:AM$418,$D2131)+INDEX(AM$394:AM$405,$D2131)+AM2086*(1+$E2131))</f>
        <v/>
      </c>
      <c r="AN2131" s="44">
        <f>AN2113*Settings!$C$13*(INDEX(AN$407:AN$418,$D2131)+INDEX(AN$394:AN$405,$D2131)+AN2086*(1+$E2131))</f>
        <v/>
      </c>
      <c r="AO2131" s="44">
        <f>AO2113*Settings!$C$13*(INDEX(AO$407:AO$418,$D2131)+INDEX(AO$394:AO$405,$D2131)+AO2086*(1+$E2131))</f>
        <v/>
      </c>
      <c r="AP2131" s="44">
        <f>AP2113*Settings!$C$13*(INDEX(AP$407:AP$418,$D2131)+INDEX(AP$394:AP$405,$D2131)+AP2086*(1+$E2131))</f>
        <v/>
      </c>
      <c r="AQ2131" s="44">
        <f>AQ2113*Settings!$C$13*(INDEX(AQ$407:AQ$418,$D2131)+INDEX(AQ$394:AQ$405,$D2131)+AQ2086*(1+$E2131))</f>
        <v/>
      </c>
      <c r="AR2131" s="44">
        <f>AR2113*Settings!$C$13*(INDEX(AR$407:AR$418,$D2131)+INDEX(AR$394:AR$405,$D2131)+AR2086*(1+$E2131))</f>
        <v/>
      </c>
      <c r="AS2131" s="44">
        <f>AS2113*Settings!$C$13*(INDEX(AS$407:AS$418,$D2131)+INDEX(AS$394:AS$405,$D2131)+AS2086*(1+$E2131))</f>
        <v/>
      </c>
      <c r="AT2131" s="44">
        <f>AT2113*Settings!$C$13*(INDEX(AT$407:AT$418,$D2131)+INDEX(AT$394:AT$405,$D2131)+AT2086*(1+$E2131))</f>
        <v/>
      </c>
      <c r="AU2131" s="44">
        <f>AU2113*Settings!$C$13*(INDEX(AU$407:AU$418,$D2131)+INDEX(AU$394:AU$405,$D2131)+AU2086*(1+$E2131))</f>
        <v/>
      </c>
      <c r="AV2131" s="44">
        <f>AV2113*Settings!$C$13*(INDEX(AV$407:AV$418,$D2131)+INDEX(AV$394:AV$405,$D2131)+AV2086*(1+$E2131))</f>
        <v/>
      </c>
      <c r="AW2131" s="44">
        <f>AW2113*Settings!$C$13*(INDEX(AW$407:AW$418,$D2131)+INDEX(AW$394:AW$405,$D2131)+AW2086*(1+$E2131))</f>
        <v/>
      </c>
      <c r="AX2131" s="44">
        <f>AX2113*Settings!$C$13*(INDEX(AX$407:AX$418,$D2131)+INDEX(AX$394:AX$405,$D2131)+AX2086*(1+$E2131))</f>
        <v/>
      </c>
      <c r="AY2131" s="44">
        <f>AY2113*Settings!$C$13*(INDEX(AY$407:AY$418,$D2131)+INDEX(AY$394:AY$405,$D2131)+AY2086*(1+$E2131))</f>
        <v/>
      </c>
      <c r="AZ2131" s="44">
        <f>AZ2113*Settings!$C$13*(INDEX(AZ$407:AZ$418,$D2131)+INDEX(AZ$394:AZ$405,$D2131)+AZ2086*(1+$E2131))</f>
        <v/>
      </c>
      <c r="BA2131" s="57">
        <f>REVENUE(BA2113,Settings!$C$13,INDEX(BA$407:BA$418,$D2131)+INDEX(BA$394:BA$405,$D2131)+BA2086*(1+$E2131))</f>
        <v/>
      </c>
    </row>
    <row r="2132" hidden="1" outlineLevel="2">
      <c r="A2132" s="14" t="inlineStr">
        <is>
          <t>rtx</t>
        </is>
      </c>
      <c r="B2132" s="14" t="inlineStr">
        <is>
          <t>ker</t>
        </is>
      </c>
      <c r="C2132" s="14" t="inlineStr">
        <is>
          <t>irn</t>
        </is>
      </c>
      <c r="D2132" s="35">
        <f>INDEX(Inputs!$U$5:$U$132,MATCH($B2132&amp;"|"&amp;$C2132,Inputs!$A$5:$A$132,0))</f>
        <v/>
      </c>
      <c r="E2132" s="35">
        <f>INDEX(Inputs!$V$5:$V$132,MATCH($B2132&amp;"|"&amp;$C2132,Inputs!$A$5:$A$132,0))</f>
        <v/>
      </c>
      <c r="F2132" s="39" t="n"/>
      <c r="G2132" s="39" t="n"/>
      <c r="H2132" s="14">
        <f>INDEX(VarLab,MATCH($A2132,VarKey,0))&amp;INDEX(MemLab,MATCH($C2132&amp;"|"&amp;$B2132,MemKey,0))</f>
        <v/>
      </c>
      <c r="I2132" s="14">
        <f>INDEX(VarUnit,MATCH($A2132,VarKey,0))</f>
        <v/>
      </c>
      <c r="J2132" s="14">
        <f>INDEX(VarSrc,MATCH($A2132,VarKey,0))</f>
        <v/>
      </c>
      <c r="K2132" s="11">
        <f>CodePrefix&amp;$A2132&amp;IF($C2132="","","."&amp;$C2132&amp;"."&amp;$B2132)&amp;INDEX(VarEnd,MATCH($A2132,VarKey,0))&amp;K$5</f>
        <v/>
      </c>
      <c r="L2132" s="43">
        <f>L2114*Settings!$C$13*(INDEX(L$407:L$418,$D2132)+INDEX(L$394:L$405,$D2132)+L2087*(1+$E2132))</f>
        <v/>
      </c>
      <c r="M2132" s="44">
        <f>M2114*Settings!$C$13*(INDEX(M$407:M$418,$D2132)+INDEX(M$394:M$405,$D2132)+M2087*(1+$E2132))</f>
        <v/>
      </c>
      <c r="N2132" s="44">
        <f>N2114*Settings!$C$13*(INDEX(N$407:N$418,$D2132)+INDEX(N$394:N$405,$D2132)+N2087*(1+$E2132))</f>
        <v/>
      </c>
      <c r="O2132" s="44">
        <f>O2114*Settings!$C$13*(INDEX(O$407:O$418,$D2132)+INDEX(O$394:O$405,$D2132)+O2087*(1+$E2132))</f>
        <v/>
      </c>
      <c r="P2132" s="44">
        <f>P2114*Settings!$C$13*(INDEX(P$407:P$418,$D2132)+INDEX(P$394:P$405,$D2132)+P2087*(1+$E2132))</f>
        <v/>
      </c>
      <c r="Q2132" s="44">
        <f>Q2114*Settings!$C$13*(INDEX(Q$407:Q$418,$D2132)+INDEX(Q$394:Q$405,$D2132)+Q2087*(1+$E2132))</f>
        <v/>
      </c>
      <c r="R2132" s="44">
        <f>R2114*Settings!$C$13*(INDEX(R$407:R$418,$D2132)+INDEX(R$394:R$405,$D2132)+R2087*(1+$E2132))</f>
        <v/>
      </c>
      <c r="S2132" s="44">
        <f>S2114*Settings!$C$13*(INDEX(S$407:S$418,$D2132)+INDEX(S$394:S$405,$D2132)+S2087*(1+$E2132))</f>
        <v/>
      </c>
      <c r="T2132" s="44">
        <f>T2114*Settings!$C$13*(INDEX(T$407:T$418,$D2132)+INDEX(T$394:T$405,$D2132)+T2087*(1+$E2132))</f>
        <v/>
      </c>
      <c r="U2132" s="44">
        <f>U2114*Settings!$C$13*(INDEX(U$407:U$418,$D2132)+INDEX(U$394:U$405,$D2132)+U2087*(1+$E2132))</f>
        <v/>
      </c>
      <c r="V2132" s="44">
        <f>V2114*Settings!$C$13*(INDEX(V$407:V$418,$D2132)+INDEX(V$394:V$405,$D2132)+V2087*(1+$E2132))</f>
        <v/>
      </c>
      <c r="W2132" s="44">
        <f>W2114*Settings!$C$13*(INDEX(W$407:W$418,$D2132)+INDEX(W$394:W$405,$D2132)+W2087*(1+$E2132))</f>
        <v/>
      </c>
      <c r="X2132" s="44">
        <f>X2114*Settings!$C$13*(INDEX(X$407:X$418,$D2132)+INDEX(X$394:X$405,$D2132)+X2087*(1+$E2132))</f>
        <v/>
      </c>
      <c r="Y2132" s="44">
        <f>Y2114*Settings!$C$13*(INDEX(Y$407:Y$418,$D2132)+INDEX(Y$394:Y$405,$D2132)+Y2087*(1+$E2132))</f>
        <v/>
      </c>
      <c r="Z2132" s="44">
        <f>Z2114*Settings!$C$13*(INDEX(Z$407:Z$418,$D2132)+INDEX(Z$394:Z$405,$D2132)+Z2087*(1+$E2132))</f>
        <v/>
      </c>
      <c r="AA2132" s="44">
        <f>AA2114*Settings!$C$13*(INDEX(AA$407:AA$418,$D2132)+INDEX(AA$394:AA$405,$D2132)+AA2087*(1+$E2132))</f>
        <v/>
      </c>
      <c r="AB2132" s="44">
        <f>AB2114*Settings!$C$13*(INDEX(AB$407:AB$418,$D2132)+INDEX(AB$394:AB$405,$D2132)+AB2087*(1+$E2132))</f>
        <v/>
      </c>
      <c r="AC2132" s="44">
        <f>AC2114*Settings!$C$13*(INDEX(AC$407:AC$418,$D2132)+INDEX(AC$394:AC$405,$D2132)+AC2087*(1+$E2132))</f>
        <v/>
      </c>
      <c r="AD2132" s="44">
        <f>AD2114*Settings!$C$13*(INDEX(AD$407:AD$418,$D2132)+INDEX(AD$394:AD$405,$D2132)+AD2087*(1+$E2132))</f>
        <v/>
      </c>
      <c r="AE2132" s="57">
        <f>REVENUE(AE2114,Settings!$C$13,INDEX(AE$407:AE$418,$D2132)+INDEX(AE$394:AE$405,$D2132)+AE2087*(1+$E2132))</f>
        <v/>
      </c>
      <c r="AG2132" s="11">
        <f>CodePrefix&amp;$A2132&amp;IF($C2132="","","."&amp;$C2132&amp;"."&amp;$B2132)&amp;INDEX(VarEnd,MATCH($A2132,VarKey,0))&amp;AG$5</f>
        <v/>
      </c>
      <c r="AH2132" s="43">
        <f>AH2114*Settings!$C$13*(INDEX(AH$407:AH$418,$D2132)+INDEX(AH$394:AH$405,$D2132)+AH2087*(1+$E2132))</f>
        <v/>
      </c>
      <c r="AI2132" s="44">
        <f>AI2114*Settings!$C$13*(INDEX(AI$407:AI$418,$D2132)+INDEX(AI$394:AI$405,$D2132)+AI2087*(1+$E2132))</f>
        <v/>
      </c>
      <c r="AJ2132" s="44">
        <f>AJ2114*Settings!$C$13*(INDEX(AJ$407:AJ$418,$D2132)+INDEX(AJ$394:AJ$405,$D2132)+AJ2087*(1+$E2132))</f>
        <v/>
      </c>
      <c r="AK2132" s="44">
        <f>AK2114*Settings!$C$13*(INDEX(AK$407:AK$418,$D2132)+INDEX(AK$394:AK$405,$D2132)+AK2087*(1+$E2132))</f>
        <v/>
      </c>
      <c r="AL2132" s="44">
        <f>AL2114*Settings!$C$13*(INDEX(AL$407:AL$418,$D2132)+INDEX(AL$394:AL$405,$D2132)+AL2087*(1+$E2132))</f>
        <v/>
      </c>
      <c r="AM2132" s="44">
        <f>AM2114*Settings!$C$13*(INDEX(AM$407:AM$418,$D2132)+INDEX(AM$394:AM$405,$D2132)+AM2087*(1+$E2132))</f>
        <v/>
      </c>
      <c r="AN2132" s="44">
        <f>AN2114*Settings!$C$13*(INDEX(AN$407:AN$418,$D2132)+INDEX(AN$394:AN$405,$D2132)+AN2087*(1+$E2132))</f>
        <v/>
      </c>
      <c r="AO2132" s="44">
        <f>AO2114*Settings!$C$13*(INDEX(AO$407:AO$418,$D2132)+INDEX(AO$394:AO$405,$D2132)+AO2087*(1+$E2132))</f>
        <v/>
      </c>
      <c r="AP2132" s="44">
        <f>AP2114*Settings!$C$13*(INDEX(AP$407:AP$418,$D2132)+INDEX(AP$394:AP$405,$D2132)+AP2087*(1+$E2132))</f>
        <v/>
      </c>
      <c r="AQ2132" s="44">
        <f>AQ2114*Settings!$C$13*(INDEX(AQ$407:AQ$418,$D2132)+INDEX(AQ$394:AQ$405,$D2132)+AQ2087*(1+$E2132))</f>
        <v/>
      </c>
      <c r="AR2132" s="44">
        <f>AR2114*Settings!$C$13*(INDEX(AR$407:AR$418,$D2132)+INDEX(AR$394:AR$405,$D2132)+AR2087*(1+$E2132))</f>
        <v/>
      </c>
      <c r="AS2132" s="44">
        <f>AS2114*Settings!$C$13*(INDEX(AS$407:AS$418,$D2132)+INDEX(AS$394:AS$405,$D2132)+AS2087*(1+$E2132))</f>
        <v/>
      </c>
      <c r="AT2132" s="44">
        <f>AT2114*Settings!$C$13*(INDEX(AT$407:AT$418,$D2132)+INDEX(AT$394:AT$405,$D2132)+AT2087*(1+$E2132))</f>
        <v/>
      </c>
      <c r="AU2132" s="44">
        <f>AU2114*Settings!$C$13*(INDEX(AU$407:AU$418,$D2132)+INDEX(AU$394:AU$405,$D2132)+AU2087*(1+$E2132))</f>
        <v/>
      </c>
      <c r="AV2132" s="44">
        <f>AV2114*Settings!$C$13*(INDEX(AV$407:AV$418,$D2132)+INDEX(AV$394:AV$405,$D2132)+AV2087*(1+$E2132))</f>
        <v/>
      </c>
      <c r="AW2132" s="44">
        <f>AW2114*Settings!$C$13*(INDEX(AW$407:AW$418,$D2132)+INDEX(AW$394:AW$405,$D2132)+AW2087*(1+$E2132))</f>
        <v/>
      </c>
      <c r="AX2132" s="44">
        <f>AX2114*Settings!$C$13*(INDEX(AX$407:AX$418,$D2132)+INDEX(AX$394:AX$405,$D2132)+AX2087*(1+$E2132))</f>
        <v/>
      </c>
      <c r="AY2132" s="44">
        <f>AY2114*Settings!$C$13*(INDEX(AY$407:AY$418,$D2132)+INDEX(AY$394:AY$405,$D2132)+AY2087*(1+$E2132))</f>
        <v/>
      </c>
      <c r="AZ2132" s="44">
        <f>AZ2114*Settings!$C$13*(INDEX(AZ$407:AZ$418,$D2132)+INDEX(AZ$394:AZ$405,$D2132)+AZ2087*(1+$E2132))</f>
        <v/>
      </c>
      <c r="BA2132" s="57">
        <f>REVENUE(BA2114,Settings!$C$13,INDEX(BA$407:BA$418,$D2132)+INDEX(BA$394:BA$405,$D2132)+BA2087*(1+$E2132))</f>
        <v/>
      </c>
    </row>
    <row r="2133" hidden="1" outlineLevel="2">
      <c r="A2133" s="14" t="inlineStr">
        <is>
          <t>rtx</t>
        </is>
      </c>
      <c r="B2133" s="14" t="inlineStr">
        <is>
          <t>oop</t>
        </is>
      </c>
      <c r="C2133" s="14" t="inlineStr">
        <is>
          <t>irn</t>
        </is>
      </c>
      <c r="D2133" s="35">
        <f>INDEX(Inputs!$U$5:$U$132,MATCH($B2133&amp;"|"&amp;$C2133,Inputs!$A$5:$A$132,0))</f>
        <v/>
      </c>
      <c r="E2133" s="35">
        <f>INDEX(Inputs!$V$5:$V$132,MATCH($B2133&amp;"|"&amp;$C2133,Inputs!$A$5:$A$132,0))</f>
        <v/>
      </c>
      <c r="F2133" s="39" t="n"/>
      <c r="G2133" s="39" t="n"/>
      <c r="H2133" s="14">
        <f>INDEX(VarLab,MATCH($A2133,VarKey,0))&amp;INDEX(MemLab,MATCH($C2133&amp;"|"&amp;$B2133,MemKey,0))</f>
        <v/>
      </c>
      <c r="I2133" s="14">
        <f>INDEX(VarUnit,MATCH($A2133,VarKey,0))</f>
        <v/>
      </c>
      <c r="J2133" s="14">
        <f>INDEX(VarSrc,MATCH($A2133,VarKey,0))</f>
        <v/>
      </c>
      <c r="K2133" s="11">
        <f>CodePrefix&amp;$A2133&amp;IF($C2133="","","."&amp;$C2133&amp;"."&amp;$B2133)&amp;INDEX(VarEnd,MATCH($A2133,VarKey,0))&amp;K$5</f>
        <v/>
      </c>
      <c r="L2133" s="43">
        <f>L2115*Settings!$C$13*(INDEX(L$407:L$418,$D2133)+INDEX(L$394:L$405,$D2133)+L2088*(1+$E2133))</f>
        <v/>
      </c>
      <c r="M2133" s="44">
        <f>M2115*Settings!$C$13*(INDEX(M$407:M$418,$D2133)+INDEX(M$394:M$405,$D2133)+M2088*(1+$E2133))</f>
        <v/>
      </c>
      <c r="N2133" s="44">
        <f>N2115*Settings!$C$13*(INDEX(N$407:N$418,$D2133)+INDEX(N$394:N$405,$D2133)+N2088*(1+$E2133))</f>
        <v/>
      </c>
      <c r="O2133" s="44">
        <f>O2115*Settings!$C$13*(INDEX(O$407:O$418,$D2133)+INDEX(O$394:O$405,$D2133)+O2088*(1+$E2133))</f>
        <v/>
      </c>
      <c r="P2133" s="44">
        <f>P2115*Settings!$C$13*(INDEX(P$407:P$418,$D2133)+INDEX(P$394:P$405,$D2133)+P2088*(1+$E2133))</f>
        <v/>
      </c>
      <c r="Q2133" s="44">
        <f>Q2115*Settings!$C$13*(INDEX(Q$407:Q$418,$D2133)+INDEX(Q$394:Q$405,$D2133)+Q2088*(1+$E2133))</f>
        <v/>
      </c>
      <c r="R2133" s="44">
        <f>R2115*Settings!$C$13*(INDEX(R$407:R$418,$D2133)+INDEX(R$394:R$405,$D2133)+R2088*(1+$E2133))</f>
        <v/>
      </c>
      <c r="S2133" s="44">
        <f>S2115*Settings!$C$13*(INDEX(S$407:S$418,$D2133)+INDEX(S$394:S$405,$D2133)+S2088*(1+$E2133))</f>
        <v/>
      </c>
      <c r="T2133" s="44">
        <f>T2115*Settings!$C$13*(INDEX(T$407:T$418,$D2133)+INDEX(T$394:T$405,$D2133)+T2088*(1+$E2133))</f>
        <v/>
      </c>
      <c r="U2133" s="44">
        <f>U2115*Settings!$C$13*(INDEX(U$407:U$418,$D2133)+INDEX(U$394:U$405,$D2133)+U2088*(1+$E2133))</f>
        <v/>
      </c>
      <c r="V2133" s="44">
        <f>V2115*Settings!$C$13*(INDEX(V$407:V$418,$D2133)+INDEX(V$394:V$405,$D2133)+V2088*(1+$E2133))</f>
        <v/>
      </c>
      <c r="W2133" s="44">
        <f>W2115*Settings!$C$13*(INDEX(W$407:W$418,$D2133)+INDEX(W$394:W$405,$D2133)+W2088*(1+$E2133))</f>
        <v/>
      </c>
      <c r="X2133" s="44">
        <f>X2115*Settings!$C$13*(INDEX(X$407:X$418,$D2133)+INDEX(X$394:X$405,$D2133)+X2088*(1+$E2133))</f>
        <v/>
      </c>
      <c r="Y2133" s="44">
        <f>Y2115*Settings!$C$13*(INDEX(Y$407:Y$418,$D2133)+INDEX(Y$394:Y$405,$D2133)+Y2088*(1+$E2133))</f>
        <v/>
      </c>
      <c r="Z2133" s="44">
        <f>Z2115*Settings!$C$13*(INDEX(Z$407:Z$418,$D2133)+INDEX(Z$394:Z$405,$D2133)+Z2088*(1+$E2133))</f>
        <v/>
      </c>
      <c r="AA2133" s="44">
        <f>AA2115*Settings!$C$13*(INDEX(AA$407:AA$418,$D2133)+INDEX(AA$394:AA$405,$D2133)+AA2088*(1+$E2133))</f>
        <v/>
      </c>
      <c r="AB2133" s="44">
        <f>AB2115*Settings!$C$13*(INDEX(AB$407:AB$418,$D2133)+INDEX(AB$394:AB$405,$D2133)+AB2088*(1+$E2133))</f>
        <v/>
      </c>
      <c r="AC2133" s="44">
        <f>AC2115*Settings!$C$13*(INDEX(AC$407:AC$418,$D2133)+INDEX(AC$394:AC$405,$D2133)+AC2088*(1+$E2133))</f>
        <v/>
      </c>
      <c r="AD2133" s="44">
        <f>AD2115*Settings!$C$13*(INDEX(AD$407:AD$418,$D2133)+INDEX(AD$394:AD$405,$D2133)+AD2088*(1+$E2133))</f>
        <v/>
      </c>
      <c r="AE2133" s="57">
        <f>REVENUE(AE2115,Settings!$C$13,INDEX(AE$407:AE$418,$D2133)+INDEX(AE$394:AE$405,$D2133)+AE2088*(1+$E2133))</f>
        <v/>
      </c>
      <c r="AG2133" s="11">
        <f>CodePrefix&amp;$A2133&amp;IF($C2133="","","."&amp;$C2133&amp;"."&amp;$B2133)&amp;INDEX(VarEnd,MATCH($A2133,VarKey,0))&amp;AG$5</f>
        <v/>
      </c>
      <c r="AH2133" s="43">
        <f>AH2115*Settings!$C$13*(INDEX(AH$407:AH$418,$D2133)+INDEX(AH$394:AH$405,$D2133)+AH2088*(1+$E2133))</f>
        <v/>
      </c>
      <c r="AI2133" s="44">
        <f>AI2115*Settings!$C$13*(INDEX(AI$407:AI$418,$D2133)+INDEX(AI$394:AI$405,$D2133)+AI2088*(1+$E2133))</f>
        <v/>
      </c>
      <c r="AJ2133" s="44">
        <f>AJ2115*Settings!$C$13*(INDEX(AJ$407:AJ$418,$D2133)+INDEX(AJ$394:AJ$405,$D2133)+AJ2088*(1+$E2133))</f>
        <v/>
      </c>
      <c r="AK2133" s="44">
        <f>AK2115*Settings!$C$13*(INDEX(AK$407:AK$418,$D2133)+INDEX(AK$394:AK$405,$D2133)+AK2088*(1+$E2133))</f>
        <v/>
      </c>
      <c r="AL2133" s="44">
        <f>AL2115*Settings!$C$13*(INDEX(AL$407:AL$418,$D2133)+INDEX(AL$394:AL$405,$D2133)+AL2088*(1+$E2133))</f>
        <v/>
      </c>
      <c r="AM2133" s="44">
        <f>AM2115*Settings!$C$13*(INDEX(AM$407:AM$418,$D2133)+INDEX(AM$394:AM$405,$D2133)+AM2088*(1+$E2133))</f>
        <v/>
      </c>
      <c r="AN2133" s="44">
        <f>AN2115*Settings!$C$13*(INDEX(AN$407:AN$418,$D2133)+INDEX(AN$394:AN$405,$D2133)+AN2088*(1+$E2133))</f>
        <v/>
      </c>
      <c r="AO2133" s="44">
        <f>AO2115*Settings!$C$13*(INDEX(AO$407:AO$418,$D2133)+INDEX(AO$394:AO$405,$D2133)+AO2088*(1+$E2133))</f>
        <v/>
      </c>
      <c r="AP2133" s="44">
        <f>AP2115*Settings!$C$13*(INDEX(AP$407:AP$418,$D2133)+INDEX(AP$394:AP$405,$D2133)+AP2088*(1+$E2133))</f>
        <v/>
      </c>
      <c r="AQ2133" s="44">
        <f>AQ2115*Settings!$C$13*(INDEX(AQ$407:AQ$418,$D2133)+INDEX(AQ$394:AQ$405,$D2133)+AQ2088*(1+$E2133))</f>
        <v/>
      </c>
      <c r="AR2133" s="44">
        <f>AR2115*Settings!$C$13*(INDEX(AR$407:AR$418,$D2133)+INDEX(AR$394:AR$405,$D2133)+AR2088*(1+$E2133))</f>
        <v/>
      </c>
      <c r="AS2133" s="44">
        <f>AS2115*Settings!$C$13*(INDEX(AS$407:AS$418,$D2133)+INDEX(AS$394:AS$405,$D2133)+AS2088*(1+$E2133))</f>
        <v/>
      </c>
      <c r="AT2133" s="44">
        <f>AT2115*Settings!$C$13*(INDEX(AT$407:AT$418,$D2133)+INDEX(AT$394:AT$405,$D2133)+AT2088*(1+$E2133))</f>
        <v/>
      </c>
      <c r="AU2133" s="44">
        <f>AU2115*Settings!$C$13*(INDEX(AU$407:AU$418,$D2133)+INDEX(AU$394:AU$405,$D2133)+AU2088*(1+$E2133))</f>
        <v/>
      </c>
      <c r="AV2133" s="44">
        <f>AV2115*Settings!$C$13*(INDEX(AV$407:AV$418,$D2133)+INDEX(AV$394:AV$405,$D2133)+AV2088*(1+$E2133))</f>
        <v/>
      </c>
      <c r="AW2133" s="44">
        <f>AW2115*Settings!$C$13*(INDEX(AW$407:AW$418,$D2133)+INDEX(AW$394:AW$405,$D2133)+AW2088*(1+$E2133))</f>
        <v/>
      </c>
      <c r="AX2133" s="44">
        <f>AX2115*Settings!$C$13*(INDEX(AX$407:AX$418,$D2133)+INDEX(AX$394:AX$405,$D2133)+AX2088*(1+$E2133))</f>
        <v/>
      </c>
      <c r="AY2133" s="44">
        <f>AY2115*Settings!$C$13*(INDEX(AY$407:AY$418,$D2133)+INDEX(AY$394:AY$405,$D2133)+AY2088*(1+$E2133))</f>
        <v/>
      </c>
      <c r="AZ2133" s="44">
        <f>AZ2115*Settings!$C$13*(INDEX(AZ$407:AZ$418,$D2133)+INDEX(AZ$394:AZ$405,$D2133)+AZ2088*(1+$E2133))</f>
        <v/>
      </c>
      <c r="BA2133" s="57">
        <f>REVENUE(BA2115,Settings!$C$13,INDEX(BA$407:BA$418,$D2133)+INDEX(BA$394:BA$405,$D2133)+BA2088*(1+$E2133))</f>
        <v/>
      </c>
    </row>
    <row r="2134" hidden="1" outlineLevel="2">
      <c r="A2134" s="14" t="inlineStr">
        <is>
          <t>rtx</t>
        </is>
      </c>
      <c r="B2134" s="14" t="inlineStr">
        <is>
          <t>bio</t>
        </is>
      </c>
      <c r="C2134" s="14" t="inlineStr">
        <is>
          <t>irn</t>
        </is>
      </c>
      <c r="D2134" s="35">
        <f>INDEX(Inputs!$U$5:$U$132,MATCH($B2134&amp;"|"&amp;$C2134,Inputs!$A$5:$A$132,0))</f>
        <v/>
      </c>
      <c r="E2134" s="35">
        <f>INDEX(Inputs!$V$5:$V$132,MATCH($B2134&amp;"|"&amp;$C2134,Inputs!$A$5:$A$132,0))</f>
        <v/>
      </c>
      <c r="F2134" s="39" t="n"/>
      <c r="G2134" s="39" t="n"/>
      <c r="H2134" s="14">
        <f>INDEX(VarLab,MATCH($A2134,VarKey,0))&amp;INDEX(MemLab,MATCH($C2134&amp;"|"&amp;$B2134,MemKey,0))</f>
        <v/>
      </c>
      <c r="I2134" s="14">
        <f>INDEX(VarUnit,MATCH($A2134,VarKey,0))</f>
        <v/>
      </c>
      <c r="J2134" s="14">
        <f>INDEX(VarSrc,MATCH($A2134,VarKey,0))</f>
        <v/>
      </c>
      <c r="K2134" s="11">
        <f>CodePrefix&amp;$A2134&amp;IF($C2134="","","."&amp;$C2134&amp;"."&amp;$B2134)&amp;INDEX(VarEnd,MATCH($A2134,VarKey,0))&amp;K$5</f>
        <v/>
      </c>
      <c r="L2134" s="43">
        <f>L2116*Settings!$C$13*(INDEX(L$407:L$418,$D2134)+INDEX(L$394:L$405,$D2134)+L2089*(1+$E2134))</f>
        <v/>
      </c>
      <c r="M2134" s="44">
        <f>M2116*Settings!$C$13*(INDEX(M$407:M$418,$D2134)+INDEX(M$394:M$405,$D2134)+M2089*(1+$E2134))</f>
        <v/>
      </c>
      <c r="N2134" s="44">
        <f>N2116*Settings!$C$13*(INDEX(N$407:N$418,$D2134)+INDEX(N$394:N$405,$D2134)+N2089*(1+$E2134))</f>
        <v/>
      </c>
      <c r="O2134" s="44">
        <f>O2116*Settings!$C$13*(INDEX(O$407:O$418,$D2134)+INDEX(O$394:O$405,$D2134)+O2089*(1+$E2134))</f>
        <v/>
      </c>
      <c r="P2134" s="44">
        <f>P2116*Settings!$C$13*(INDEX(P$407:P$418,$D2134)+INDEX(P$394:P$405,$D2134)+P2089*(1+$E2134))</f>
        <v/>
      </c>
      <c r="Q2134" s="44">
        <f>Q2116*Settings!$C$13*(INDEX(Q$407:Q$418,$D2134)+INDEX(Q$394:Q$405,$D2134)+Q2089*(1+$E2134))</f>
        <v/>
      </c>
      <c r="R2134" s="44">
        <f>R2116*Settings!$C$13*(INDEX(R$407:R$418,$D2134)+INDEX(R$394:R$405,$D2134)+R2089*(1+$E2134))</f>
        <v/>
      </c>
      <c r="S2134" s="44">
        <f>S2116*Settings!$C$13*(INDEX(S$407:S$418,$D2134)+INDEX(S$394:S$405,$D2134)+S2089*(1+$E2134))</f>
        <v/>
      </c>
      <c r="T2134" s="44">
        <f>T2116*Settings!$C$13*(INDEX(T$407:T$418,$D2134)+INDEX(T$394:T$405,$D2134)+T2089*(1+$E2134))</f>
        <v/>
      </c>
      <c r="U2134" s="44">
        <f>U2116*Settings!$C$13*(INDEX(U$407:U$418,$D2134)+INDEX(U$394:U$405,$D2134)+U2089*(1+$E2134))</f>
        <v/>
      </c>
      <c r="V2134" s="44">
        <f>V2116*Settings!$C$13*(INDEX(V$407:V$418,$D2134)+INDEX(V$394:V$405,$D2134)+V2089*(1+$E2134))</f>
        <v/>
      </c>
      <c r="W2134" s="44">
        <f>W2116*Settings!$C$13*(INDEX(W$407:W$418,$D2134)+INDEX(W$394:W$405,$D2134)+W2089*(1+$E2134))</f>
        <v/>
      </c>
      <c r="X2134" s="44">
        <f>X2116*Settings!$C$13*(INDEX(X$407:X$418,$D2134)+INDEX(X$394:X$405,$D2134)+X2089*(1+$E2134))</f>
        <v/>
      </c>
      <c r="Y2134" s="44">
        <f>Y2116*Settings!$C$13*(INDEX(Y$407:Y$418,$D2134)+INDEX(Y$394:Y$405,$D2134)+Y2089*(1+$E2134))</f>
        <v/>
      </c>
      <c r="Z2134" s="44">
        <f>Z2116*Settings!$C$13*(INDEX(Z$407:Z$418,$D2134)+INDEX(Z$394:Z$405,$D2134)+Z2089*(1+$E2134))</f>
        <v/>
      </c>
      <c r="AA2134" s="44">
        <f>AA2116*Settings!$C$13*(INDEX(AA$407:AA$418,$D2134)+INDEX(AA$394:AA$405,$D2134)+AA2089*(1+$E2134))</f>
        <v/>
      </c>
      <c r="AB2134" s="44">
        <f>AB2116*Settings!$C$13*(INDEX(AB$407:AB$418,$D2134)+INDEX(AB$394:AB$405,$D2134)+AB2089*(1+$E2134))</f>
        <v/>
      </c>
      <c r="AC2134" s="44">
        <f>AC2116*Settings!$C$13*(INDEX(AC$407:AC$418,$D2134)+INDEX(AC$394:AC$405,$D2134)+AC2089*(1+$E2134))</f>
        <v/>
      </c>
      <c r="AD2134" s="44">
        <f>AD2116*Settings!$C$13*(INDEX(AD$407:AD$418,$D2134)+INDEX(AD$394:AD$405,$D2134)+AD2089*(1+$E2134))</f>
        <v/>
      </c>
      <c r="AE2134" s="57">
        <f>REVENUE(AE2116,Settings!$C$13,INDEX(AE$407:AE$418,$D2134)+INDEX(AE$394:AE$405,$D2134)+AE2089*(1+$E2134))</f>
        <v/>
      </c>
      <c r="AG2134" s="11">
        <f>CodePrefix&amp;$A2134&amp;IF($C2134="","","."&amp;$C2134&amp;"."&amp;$B2134)&amp;INDEX(VarEnd,MATCH($A2134,VarKey,0))&amp;AG$5</f>
        <v/>
      </c>
      <c r="AH2134" s="43">
        <f>AH2116*Settings!$C$13*(INDEX(AH$407:AH$418,$D2134)+INDEX(AH$394:AH$405,$D2134)+AH2089*(1+$E2134))</f>
        <v/>
      </c>
      <c r="AI2134" s="44">
        <f>AI2116*Settings!$C$13*(INDEX(AI$407:AI$418,$D2134)+INDEX(AI$394:AI$405,$D2134)+AI2089*(1+$E2134))</f>
        <v/>
      </c>
      <c r="AJ2134" s="44">
        <f>AJ2116*Settings!$C$13*(INDEX(AJ$407:AJ$418,$D2134)+INDEX(AJ$394:AJ$405,$D2134)+AJ2089*(1+$E2134))</f>
        <v/>
      </c>
      <c r="AK2134" s="44">
        <f>AK2116*Settings!$C$13*(INDEX(AK$407:AK$418,$D2134)+INDEX(AK$394:AK$405,$D2134)+AK2089*(1+$E2134))</f>
        <v/>
      </c>
      <c r="AL2134" s="44">
        <f>AL2116*Settings!$C$13*(INDEX(AL$407:AL$418,$D2134)+INDEX(AL$394:AL$405,$D2134)+AL2089*(1+$E2134))</f>
        <v/>
      </c>
      <c r="AM2134" s="44">
        <f>AM2116*Settings!$C$13*(INDEX(AM$407:AM$418,$D2134)+INDEX(AM$394:AM$405,$D2134)+AM2089*(1+$E2134))</f>
        <v/>
      </c>
      <c r="AN2134" s="44">
        <f>AN2116*Settings!$C$13*(INDEX(AN$407:AN$418,$D2134)+INDEX(AN$394:AN$405,$D2134)+AN2089*(1+$E2134))</f>
        <v/>
      </c>
      <c r="AO2134" s="44">
        <f>AO2116*Settings!$C$13*(INDEX(AO$407:AO$418,$D2134)+INDEX(AO$394:AO$405,$D2134)+AO2089*(1+$E2134))</f>
        <v/>
      </c>
      <c r="AP2134" s="44">
        <f>AP2116*Settings!$C$13*(INDEX(AP$407:AP$418,$D2134)+INDEX(AP$394:AP$405,$D2134)+AP2089*(1+$E2134))</f>
        <v/>
      </c>
      <c r="AQ2134" s="44">
        <f>AQ2116*Settings!$C$13*(INDEX(AQ$407:AQ$418,$D2134)+INDEX(AQ$394:AQ$405,$D2134)+AQ2089*(1+$E2134))</f>
        <v/>
      </c>
      <c r="AR2134" s="44">
        <f>AR2116*Settings!$C$13*(INDEX(AR$407:AR$418,$D2134)+INDEX(AR$394:AR$405,$D2134)+AR2089*(1+$E2134))</f>
        <v/>
      </c>
      <c r="AS2134" s="44">
        <f>AS2116*Settings!$C$13*(INDEX(AS$407:AS$418,$D2134)+INDEX(AS$394:AS$405,$D2134)+AS2089*(1+$E2134))</f>
        <v/>
      </c>
      <c r="AT2134" s="44">
        <f>AT2116*Settings!$C$13*(INDEX(AT$407:AT$418,$D2134)+INDEX(AT$394:AT$405,$D2134)+AT2089*(1+$E2134))</f>
        <v/>
      </c>
      <c r="AU2134" s="44">
        <f>AU2116*Settings!$C$13*(INDEX(AU$407:AU$418,$D2134)+INDEX(AU$394:AU$405,$D2134)+AU2089*(1+$E2134))</f>
        <v/>
      </c>
      <c r="AV2134" s="44">
        <f>AV2116*Settings!$C$13*(INDEX(AV$407:AV$418,$D2134)+INDEX(AV$394:AV$405,$D2134)+AV2089*(1+$E2134))</f>
        <v/>
      </c>
      <c r="AW2134" s="44">
        <f>AW2116*Settings!$C$13*(INDEX(AW$407:AW$418,$D2134)+INDEX(AW$394:AW$405,$D2134)+AW2089*(1+$E2134))</f>
        <v/>
      </c>
      <c r="AX2134" s="44">
        <f>AX2116*Settings!$C$13*(INDEX(AX$407:AX$418,$D2134)+INDEX(AX$394:AX$405,$D2134)+AX2089*(1+$E2134))</f>
        <v/>
      </c>
      <c r="AY2134" s="44">
        <f>AY2116*Settings!$C$13*(INDEX(AY$407:AY$418,$D2134)+INDEX(AY$394:AY$405,$D2134)+AY2089*(1+$E2134))</f>
        <v/>
      </c>
      <c r="AZ2134" s="44">
        <f>AZ2116*Settings!$C$13*(INDEX(AZ$407:AZ$418,$D2134)+INDEX(AZ$394:AZ$405,$D2134)+AZ2089*(1+$E2134))</f>
        <v/>
      </c>
      <c r="BA2134" s="57">
        <f>REVENUE(BA2116,Settings!$C$13,INDEX(BA$407:BA$418,$D2134)+INDEX(BA$394:BA$405,$D2134)+BA2089*(1+$E2134))</f>
        <v/>
      </c>
    </row>
    <row r="2135" hidden="1" outlineLevel="2"/>
    <row r="2136" hidden="1" outlineLevel="2">
      <c r="A2136" s="14" t="inlineStr">
        <is>
          <t>rsub</t>
        </is>
      </c>
      <c r="B2136" s="14" t="inlineStr">
        <is>
          <t>coa</t>
        </is>
      </c>
      <c r="C2136" s="14" t="inlineStr">
        <is>
          <t>irn</t>
        </is>
      </c>
      <c r="D2136" s="35">
        <f>INDEX(Inputs!$U$5:$U$132,MATCH($B2136&amp;"|"&amp;$C2136,Inputs!$A$5:$A$132,0))</f>
        <v/>
      </c>
      <c r="E2136" s="39" t="n"/>
      <c r="F2136" s="39" t="n"/>
      <c r="G2136" s="39" t="n"/>
      <c r="H2136" s="14">
        <f>INDEX(VarLab,MATCH($A2136,VarKey,0))&amp;INDEX(MemLab,MATCH($C2136&amp;"|"&amp;$B2136,MemKey,0))</f>
        <v/>
      </c>
      <c r="I2136" s="14">
        <f>INDEX(VarUnit,MATCH($A2136,VarKey,0))</f>
        <v/>
      </c>
      <c r="J2136" s="14">
        <f>INDEX(VarSrc,MATCH($A2136,VarKey,0))</f>
        <v/>
      </c>
      <c r="K2136" s="11">
        <f>CodePrefix&amp;$A2136&amp;IF($C2136="","","."&amp;$C2136&amp;"."&amp;$B2136)&amp;INDEX(VarEnd,MATCH($A2136,VarKey,0))&amp;K$5</f>
        <v/>
      </c>
      <c r="L2136" s="43">
        <f>L2109*Settings!$C$13*(INDEX(L$420:L$431,$D2136))</f>
        <v/>
      </c>
      <c r="M2136" s="44">
        <f>M2109*Settings!$C$13*(INDEX(M$420:M$431,$D2136))</f>
        <v/>
      </c>
      <c r="N2136" s="44">
        <f>N2109*Settings!$C$13*(INDEX(N$420:N$431,$D2136))</f>
        <v/>
      </c>
      <c r="O2136" s="44">
        <f>O2109*Settings!$C$13*(INDEX(O$420:O$431,$D2136))</f>
        <v/>
      </c>
      <c r="P2136" s="44">
        <f>P2109*Settings!$C$13*(INDEX(P$420:P$431,$D2136))</f>
        <v/>
      </c>
      <c r="Q2136" s="44">
        <f>Q2109*Settings!$C$13*(INDEX(Q$420:Q$431,$D2136))</f>
        <v/>
      </c>
      <c r="R2136" s="44">
        <f>R2109*Settings!$C$13*(INDEX(R$420:R$431,$D2136))</f>
        <v/>
      </c>
      <c r="S2136" s="44">
        <f>S2109*Settings!$C$13*(INDEX(S$420:S$431,$D2136))</f>
        <v/>
      </c>
      <c r="T2136" s="44">
        <f>T2109*Settings!$C$13*(INDEX(T$420:T$431,$D2136))</f>
        <v/>
      </c>
      <c r="U2136" s="44">
        <f>U2109*Settings!$C$13*(INDEX(U$420:U$431,$D2136))</f>
        <v/>
      </c>
      <c r="V2136" s="44">
        <f>V2109*Settings!$C$13*(INDEX(V$420:V$431,$D2136))</f>
        <v/>
      </c>
      <c r="W2136" s="44">
        <f>W2109*Settings!$C$13*(INDEX(W$420:W$431,$D2136))</f>
        <v/>
      </c>
      <c r="X2136" s="44">
        <f>X2109*Settings!$C$13*(INDEX(X$420:X$431,$D2136))</f>
        <v/>
      </c>
      <c r="Y2136" s="44">
        <f>Y2109*Settings!$C$13*(INDEX(Y$420:Y$431,$D2136))</f>
        <v/>
      </c>
      <c r="Z2136" s="44">
        <f>Z2109*Settings!$C$13*(INDEX(Z$420:Z$431,$D2136))</f>
        <v/>
      </c>
      <c r="AA2136" s="44">
        <f>AA2109*Settings!$C$13*(INDEX(AA$420:AA$431,$D2136))</f>
        <v/>
      </c>
      <c r="AB2136" s="44">
        <f>AB2109*Settings!$C$13*(INDEX(AB$420:AB$431,$D2136))</f>
        <v/>
      </c>
      <c r="AC2136" s="44">
        <f>AC2109*Settings!$C$13*(INDEX(AC$420:AC$431,$D2136))</f>
        <v/>
      </c>
      <c r="AD2136" s="44">
        <f>AD2109*Settings!$C$13*(INDEX(AD$420:AD$431,$D2136))</f>
        <v/>
      </c>
      <c r="AE2136" s="57">
        <f>REVENUE(AE2109,Settings!$C$13,INDEX(AE$420:AE$431,$D2136))</f>
        <v/>
      </c>
      <c r="AG2136" s="11">
        <f>CodePrefix&amp;$A2136&amp;IF($C2136="","","."&amp;$C2136&amp;"."&amp;$B2136)&amp;INDEX(VarEnd,MATCH($A2136,VarKey,0))&amp;AG$5</f>
        <v/>
      </c>
      <c r="AH2136" s="43">
        <f>AH2109*Settings!$C$13*(INDEX(AH$420:AH$431,$D2136))</f>
        <v/>
      </c>
      <c r="AI2136" s="44">
        <f>AI2109*Settings!$C$13*(INDEX(AI$420:AI$431,$D2136))</f>
        <v/>
      </c>
      <c r="AJ2136" s="44">
        <f>AJ2109*Settings!$C$13*(INDEX(AJ$420:AJ$431,$D2136))</f>
        <v/>
      </c>
      <c r="AK2136" s="44">
        <f>AK2109*Settings!$C$13*(INDEX(AK$420:AK$431,$D2136))</f>
        <v/>
      </c>
      <c r="AL2136" s="44">
        <f>AL2109*Settings!$C$13*(INDEX(AL$420:AL$431,$D2136))</f>
        <v/>
      </c>
      <c r="AM2136" s="44">
        <f>AM2109*Settings!$C$13*(INDEX(AM$420:AM$431,$D2136))</f>
        <v/>
      </c>
      <c r="AN2136" s="44">
        <f>AN2109*Settings!$C$13*(INDEX(AN$420:AN$431,$D2136))</f>
        <v/>
      </c>
      <c r="AO2136" s="44">
        <f>AO2109*Settings!$C$13*(INDEX(AO$420:AO$431,$D2136))</f>
        <v/>
      </c>
      <c r="AP2136" s="44">
        <f>AP2109*Settings!$C$13*(INDEX(AP$420:AP$431,$D2136))</f>
        <v/>
      </c>
      <c r="AQ2136" s="44">
        <f>AQ2109*Settings!$C$13*(INDEX(AQ$420:AQ$431,$D2136))</f>
        <v/>
      </c>
      <c r="AR2136" s="44">
        <f>AR2109*Settings!$C$13*(INDEX(AR$420:AR$431,$D2136))</f>
        <v/>
      </c>
      <c r="AS2136" s="44">
        <f>AS2109*Settings!$C$13*(INDEX(AS$420:AS$431,$D2136))</f>
        <v/>
      </c>
      <c r="AT2136" s="44">
        <f>AT2109*Settings!$C$13*(INDEX(AT$420:AT$431,$D2136))</f>
        <v/>
      </c>
      <c r="AU2136" s="44">
        <f>AU2109*Settings!$C$13*(INDEX(AU$420:AU$431,$D2136))</f>
        <v/>
      </c>
      <c r="AV2136" s="44">
        <f>AV2109*Settings!$C$13*(INDEX(AV$420:AV$431,$D2136))</f>
        <v/>
      </c>
      <c r="AW2136" s="44">
        <f>AW2109*Settings!$C$13*(INDEX(AW$420:AW$431,$D2136))</f>
        <v/>
      </c>
      <c r="AX2136" s="44">
        <f>AX2109*Settings!$C$13*(INDEX(AX$420:AX$431,$D2136))</f>
        <v/>
      </c>
      <c r="AY2136" s="44">
        <f>AY2109*Settings!$C$13*(INDEX(AY$420:AY$431,$D2136))</f>
        <v/>
      </c>
      <c r="AZ2136" s="44">
        <f>AZ2109*Settings!$C$13*(INDEX(AZ$420:AZ$431,$D2136))</f>
        <v/>
      </c>
      <c r="BA2136" s="57">
        <f>REVENUE(BA2109,Settings!$C$13,INDEX(BA$420:BA$431,$D2136))</f>
        <v/>
      </c>
    </row>
    <row r="2137" hidden="1" outlineLevel="2">
      <c r="A2137" s="14" t="inlineStr">
        <is>
          <t>rsub</t>
        </is>
      </c>
      <c r="B2137" s="14" t="inlineStr">
        <is>
          <t>nga</t>
        </is>
      </c>
      <c r="C2137" s="14" t="inlineStr">
        <is>
          <t>irn</t>
        </is>
      </c>
      <c r="D2137" s="35">
        <f>INDEX(Inputs!$U$5:$U$132,MATCH($B2137&amp;"|"&amp;$C2137,Inputs!$A$5:$A$132,0))</f>
        <v/>
      </c>
      <c r="E2137" s="39" t="n"/>
      <c r="F2137" s="39" t="n"/>
      <c r="G2137" s="39" t="n"/>
      <c r="H2137" s="14">
        <f>INDEX(VarLab,MATCH($A2137,VarKey,0))&amp;INDEX(MemLab,MATCH($C2137&amp;"|"&amp;$B2137,MemKey,0))</f>
        <v/>
      </c>
      <c r="I2137" s="14">
        <f>INDEX(VarUnit,MATCH($A2137,VarKey,0))</f>
        <v/>
      </c>
      <c r="J2137" s="14">
        <f>INDEX(VarSrc,MATCH($A2137,VarKey,0))</f>
        <v/>
      </c>
      <c r="K2137" s="11">
        <f>CodePrefix&amp;$A2137&amp;IF($C2137="","","."&amp;$C2137&amp;"."&amp;$B2137)&amp;INDEX(VarEnd,MATCH($A2137,VarKey,0))&amp;K$5</f>
        <v/>
      </c>
      <c r="L2137" s="43">
        <f>L2110*Settings!$C$13*(INDEX(L$420:L$431,$D2137))</f>
        <v/>
      </c>
      <c r="M2137" s="44">
        <f>M2110*Settings!$C$13*(INDEX(M$420:M$431,$D2137))</f>
        <v/>
      </c>
      <c r="N2137" s="44">
        <f>N2110*Settings!$C$13*(INDEX(N$420:N$431,$D2137))</f>
        <v/>
      </c>
      <c r="O2137" s="44">
        <f>O2110*Settings!$C$13*(INDEX(O$420:O$431,$D2137))</f>
        <v/>
      </c>
      <c r="P2137" s="44">
        <f>P2110*Settings!$C$13*(INDEX(P$420:P$431,$D2137))</f>
        <v/>
      </c>
      <c r="Q2137" s="44">
        <f>Q2110*Settings!$C$13*(INDEX(Q$420:Q$431,$D2137))</f>
        <v/>
      </c>
      <c r="R2137" s="44">
        <f>R2110*Settings!$C$13*(INDEX(R$420:R$431,$D2137))</f>
        <v/>
      </c>
      <c r="S2137" s="44">
        <f>S2110*Settings!$C$13*(INDEX(S$420:S$431,$D2137))</f>
        <v/>
      </c>
      <c r="T2137" s="44">
        <f>T2110*Settings!$C$13*(INDEX(T$420:T$431,$D2137))</f>
        <v/>
      </c>
      <c r="U2137" s="44">
        <f>U2110*Settings!$C$13*(INDEX(U$420:U$431,$D2137))</f>
        <v/>
      </c>
      <c r="V2137" s="44">
        <f>V2110*Settings!$C$13*(INDEX(V$420:V$431,$D2137))</f>
        <v/>
      </c>
      <c r="W2137" s="44">
        <f>W2110*Settings!$C$13*(INDEX(W$420:W$431,$D2137))</f>
        <v/>
      </c>
      <c r="X2137" s="44">
        <f>X2110*Settings!$C$13*(INDEX(X$420:X$431,$D2137))</f>
        <v/>
      </c>
      <c r="Y2137" s="44">
        <f>Y2110*Settings!$C$13*(INDEX(Y$420:Y$431,$D2137))</f>
        <v/>
      </c>
      <c r="Z2137" s="44">
        <f>Z2110*Settings!$C$13*(INDEX(Z$420:Z$431,$D2137))</f>
        <v/>
      </c>
      <c r="AA2137" s="44">
        <f>AA2110*Settings!$C$13*(INDEX(AA$420:AA$431,$D2137))</f>
        <v/>
      </c>
      <c r="AB2137" s="44">
        <f>AB2110*Settings!$C$13*(INDEX(AB$420:AB$431,$D2137))</f>
        <v/>
      </c>
      <c r="AC2137" s="44">
        <f>AC2110*Settings!$C$13*(INDEX(AC$420:AC$431,$D2137))</f>
        <v/>
      </c>
      <c r="AD2137" s="44">
        <f>AD2110*Settings!$C$13*(INDEX(AD$420:AD$431,$D2137))</f>
        <v/>
      </c>
      <c r="AE2137" s="57">
        <f>REVENUE(AE2110,Settings!$C$13,INDEX(AE$420:AE$431,$D2137))</f>
        <v/>
      </c>
      <c r="AG2137" s="11">
        <f>CodePrefix&amp;$A2137&amp;IF($C2137="","","."&amp;$C2137&amp;"."&amp;$B2137)&amp;INDEX(VarEnd,MATCH($A2137,VarKey,0))&amp;AG$5</f>
        <v/>
      </c>
      <c r="AH2137" s="43">
        <f>AH2110*Settings!$C$13*(INDEX(AH$420:AH$431,$D2137))</f>
        <v/>
      </c>
      <c r="AI2137" s="44">
        <f>AI2110*Settings!$C$13*(INDEX(AI$420:AI$431,$D2137))</f>
        <v/>
      </c>
      <c r="AJ2137" s="44">
        <f>AJ2110*Settings!$C$13*(INDEX(AJ$420:AJ$431,$D2137))</f>
        <v/>
      </c>
      <c r="AK2137" s="44">
        <f>AK2110*Settings!$C$13*(INDEX(AK$420:AK$431,$D2137))</f>
        <v/>
      </c>
      <c r="AL2137" s="44">
        <f>AL2110*Settings!$C$13*(INDEX(AL$420:AL$431,$D2137))</f>
        <v/>
      </c>
      <c r="AM2137" s="44">
        <f>AM2110*Settings!$C$13*(INDEX(AM$420:AM$431,$D2137))</f>
        <v/>
      </c>
      <c r="AN2137" s="44">
        <f>AN2110*Settings!$C$13*(INDEX(AN$420:AN$431,$D2137))</f>
        <v/>
      </c>
      <c r="AO2137" s="44">
        <f>AO2110*Settings!$C$13*(INDEX(AO$420:AO$431,$D2137))</f>
        <v/>
      </c>
      <c r="AP2137" s="44">
        <f>AP2110*Settings!$C$13*(INDEX(AP$420:AP$431,$D2137))</f>
        <v/>
      </c>
      <c r="AQ2137" s="44">
        <f>AQ2110*Settings!$C$13*(INDEX(AQ$420:AQ$431,$D2137))</f>
        <v/>
      </c>
      <c r="AR2137" s="44">
        <f>AR2110*Settings!$C$13*(INDEX(AR$420:AR$431,$D2137))</f>
        <v/>
      </c>
      <c r="AS2137" s="44">
        <f>AS2110*Settings!$C$13*(INDEX(AS$420:AS$431,$D2137))</f>
        <v/>
      </c>
      <c r="AT2137" s="44">
        <f>AT2110*Settings!$C$13*(INDEX(AT$420:AT$431,$D2137))</f>
        <v/>
      </c>
      <c r="AU2137" s="44">
        <f>AU2110*Settings!$C$13*(INDEX(AU$420:AU$431,$D2137))</f>
        <v/>
      </c>
      <c r="AV2137" s="44">
        <f>AV2110*Settings!$C$13*(INDEX(AV$420:AV$431,$D2137))</f>
        <v/>
      </c>
      <c r="AW2137" s="44">
        <f>AW2110*Settings!$C$13*(INDEX(AW$420:AW$431,$D2137))</f>
        <v/>
      </c>
      <c r="AX2137" s="44">
        <f>AX2110*Settings!$C$13*(INDEX(AX$420:AX$431,$D2137))</f>
        <v/>
      </c>
      <c r="AY2137" s="44">
        <f>AY2110*Settings!$C$13*(INDEX(AY$420:AY$431,$D2137))</f>
        <v/>
      </c>
      <c r="AZ2137" s="44">
        <f>AZ2110*Settings!$C$13*(INDEX(AZ$420:AZ$431,$D2137))</f>
        <v/>
      </c>
      <c r="BA2137" s="57">
        <f>REVENUE(BA2110,Settings!$C$13,INDEX(BA$420:BA$431,$D2137))</f>
        <v/>
      </c>
    </row>
    <row r="2138" hidden="1" outlineLevel="2">
      <c r="A2138" s="14" t="inlineStr">
        <is>
          <t>rsub</t>
        </is>
      </c>
      <c r="B2138" s="14" t="inlineStr">
        <is>
          <t>gso</t>
        </is>
      </c>
      <c r="C2138" s="14" t="inlineStr">
        <is>
          <t>irn</t>
        </is>
      </c>
      <c r="D2138" s="35">
        <f>INDEX(Inputs!$U$5:$U$132,MATCH($B2138&amp;"|"&amp;$C2138,Inputs!$A$5:$A$132,0))</f>
        <v/>
      </c>
      <c r="E2138" s="39" t="n"/>
      <c r="F2138" s="39" t="n"/>
      <c r="G2138" s="39" t="n"/>
      <c r="H2138" s="14">
        <f>INDEX(VarLab,MATCH($A2138,VarKey,0))&amp;INDEX(MemLab,MATCH($C2138&amp;"|"&amp;$B2138,MemKey,0))</f>
        <v/>
      </c>
      <c r="I2138" s="14">
        <f>INDEX(VarUnit,MATCH($A2138,VarKey,0))</f>
        <v/>
      </c>
      <c r="J2138" s="14">
        <f>INDEX(VarSrc,MATCH($A2138,VarKey,0))</f>
        <v/>
      </c>
      <c r="K2138" s="11">
        <f>CodePrefix&amp;$A2138&amp;IF($C2138="","","."&amp;$C2138&amp;"."&amp;$B2138)&amp;INDEX(VarEnd,MATCH($A2138,VarKey,0))&amp;K$5</f>
        <v/>
      </c>
      <c r="L2138" s="43">
        <f>L2111*Settings!$C$13*(INDEX(L$420:L$431,$D2138))</f>
        <v/>
      </c>
      <c r="M2138" s="44">
        <f>M2111*Settings!$C$13*(INDEX(M$420:M$431,$D2138))</f>
        <v/>
      </c>
      <c r="N2138" s="44">
        <f>N2111*Settings!$C$13*(INDEX(N$420:N$431,$D2138))</f>
        <v/>
      </c>
      <c r="O2138" s="44">
        <f>O2111*Settings!$C$13*(INDEX(O$420:O$431,$D2138))</f>
        <v/>
      </c>
      <c r="P2138" s="44">
        <f>P2111*Settings!$C$13*(INDEX(P$420:P$431,$D2138))</f>
        <v/>
      </c>
      <c r="Q2138" s="44">
        <f>Q2111*Settings!$C$13*(INDEX(Q$420:Q$431,$D2138))</f>
        <v/>
      </c>
      <c r="R2138" s="44">
        <f>R2111*Settings!$C$13*(INDEX(R$420:R$431,$D2138))</f>
        <v/>
      </c>
      <c r="S2138" s="44">
        <f>S2111*Settings!$C$13*(INDEX(S$420:S$431,$D2138))</f>
        <v/>
      </c>
      <c r="T2138" s="44">
        <f>T2111*Settings!$C$13*(INDEX(T$420:T$431,$D2138))</f>
        <v/>
      </c>
      <c r="U2138" s="44">
        <f>U2111*Settings!$C$13*(INDEX(U$420:U$431,$D2138))</f>
        <v/>
      </c>
      <c r="V2138" s="44">
        <f>V2111*Settings!$C$13*(INDEX(V$420:V$431,$D2138))</f>
        <v/>
      </c>
      <c r="W2138" s="44">
        <f>W2111*Settings!$C$13*(INDEX(W$420:W$431,$D2138))</f>
        <v/>
      </c>
      <c r="X2138" s="44">
        <f>X2111*Settings!$C$13*(INDEX(X$420:X$431,$D2138))</f>
        <v/>
      </c>
      <c r="Y2138" s="44">
        <f>Y2111*Settings!$C$13*(INDEX(Y$420:Y$431,$D2138))</f>
        <v/>
      </c>
      <c r="Z2138" s="44">
        <f>Z2111*Settings!$C$13*(INDEX(Z$420:Z$431,$D2138))</f>
        <v/>
      </c>
      <c r="AA2138" s="44">
        <f>AA2111*Settings!$C$13*(INDEX(AA$420:AA$431,$D2138))</f>
        <v/>
      </c>
      <c r="AB2138" s="44">
        <f>AB2111*Settings!$C$13*(INDEX(AB$420:AB$431,$D2138))</f>
        <v/>
      </c>
      <c r="AC2138" s="44">
        <f>AC2111*Settings!$C$13*(INDEX(AC$420:AC$431,$D2138))</f>
        <v/>
      </c>
      <c r="AD2138" s="44">
        <f>AD2111*Settings!$C$13*(INDEX(AD$420:AD$431,$D2138))</f>
        <v/>
      </c>
      <c r="AE2138" s="57">
        <f>REVENUE(AE2111,Settings!$C$13,INDEX(AE$420:AE$431,$D2138))</f>
        <v/>
      </c>
      <c r="AG2138" s="11">
        <f>CodePrefix&amp;$A2138&amp;IF($C2138="","","."&amp;$C2138&amp;"."&amp;$B2138)&amp;INDEX(VarEnd,MATCH($A2138,VarKey,0))&amp;AG$5</f>
        <v/>
      </c>
      <c r="AH2138" s="43">
        <f>AH2111*Settings!$C$13*(INDEX(AH$420:AH$431,$D2138))</f>
        <v/>
      </c>
      <c r="AI2138" s="44">
        <f>AI2111*Settings!$C$13*(INDEX(AI$420:AI$431,$D2138))</f>
        <v/>
      </c>
      <c r="AJ2138" s="44">
        <f>AJ2111*Settings!$C$13*(INDEX(AJ$420:AJ$431,$D2138))</f>
        <v/>
      </c>
      <c r="AK2138" s="44">
        <f>AK2111*Settings!$C$13*(INDEX(AK$420:AK$431,$D2138))</f>
        <v/>
      </c>
      <c r="AL2138" s="44">
        <f>AL2111*Settings!$C$13*(INDEX(AL$420:AL$431,$D2138))</f>
        <v/>
      </c>
      <c r="AM2138" s="44">
        <f>AM2111*Settings!$C$13*(INDEX(AM$420:AM$431,$D2138))</f>
        <v/>
      </c>
      <c r="AN2138" s="44">
        <f>AN2111*Settings!$C$13*(INDEX(AN$420:AN$431,$D2138))</f>
        <v/>
      </c>
      <c r="AO2138" s="44">
        <f>AO2111*Settings!$C$13*(INDEX(AO$420:AO$431,$D2138))</f>
        <v/>
      </c>
      <c r="AP2138" s="44">
        <f>AP2111*Settings!$C$13*(INDEX(AP$420:AP$431,$D2138))</f>
        <v/>
      </c>
      <c r="AQ2138" s="44">
        <f>AQ2111*Settings!$C$13*(INDEX(AQ$420:AQ$431,$D2138))</f>
        <v/>
      </c>
      <c r="AR2138" s="44">
        <f>AR2111*Settings!$C$13*(INDEX(AR$420:AR$431,$D2138))</f>
        <v/>
      </c>
      <c r="AS2138" s="44">
        <f>AS2111*Settings!$C$13*(INDEX(AS$420:AS$431,$D2138))</f>
        <v/>
      </c>
      <c r="AT2138" s="44">
        <f>AT2111*Settings!$C$13*(INDEX(AT$420:AT$431,$D2138))</f>
        <v/>
      </c>
      <c r="AU2138" s="44">
        <f>AU2111*Settings!$C$13*(INDEX(AU$420:AU$431,$D2138))</f>
        <v/>
      </c>
      <c r="AV2138" s="44">
        <f>AV2111*Settings!$C$13*(INDEX(AV$420:AV$431,$D2138))</f>
        <v/>
      </c>
      <c r="AW2138" s="44">
        <f>AW2111*Settings!$C$13*(INDEX(AW$420:AW$431,$D2138))</f>
        <v/>
      </c>
      <c r="AX2138" s="44">
        <f>AX2111*Settings!$C$13*(INDEX(AX$420:AX$431,$D2138))</f>
        <v/>
      </c>
      <c r="AY2138" s="44">
        <f>AY2111*Settings!$C$13*(INDEX(AY$420:AY$431,$D2138))</f>
        <v/>
      </c>
      <c r="AZ2138" s="44">
        <f>AZ2111*Settings!$C$13*(INDEX(AZ$420:AZ$431,$D2138))</f>
        <v/>
      </c>
      <c r="BA2138" s="57">
        <f>REVENUE(BA2111,Settings!$C$13,INDEX(BA$420:BA$431,$D2138))</f>
        <v/>
      </c>
    </row>
    <row r="2139" hidden="1" outlineLevel="2">
      <c r="A2139" s="14" t="inlineStr">
        <is>
          <t>rsub</t>
        </is>
      </c>
      <c r="B2139" s="14" t="inlineStr">
        <is>
          <t>die</t>
        </is>
      </c>
      <c r="C2139" s="14" t="inlineStr">
        <is>
          <t>irn</t>
        </is>
      </c>
      <c r="D2139" s="35">
        <f>INDEX(Inputs!$U$5:$U$132,MATCH($B2139&amp;"|"&amp;$C2139,Inputs!$A$5:$A$132,0))</f>
        <v/>
      </c>
      <c r="E2139" s="39" t="n"/>
      <c r="F2139" s="39" t="n"/>
      <c r="G2139" s="39" t="n"/>
      <c r="H2139" s="14">
        <f>INDEX(VarLab,MATCH($A2139,VarKey,0))&amp;INDEX(MemLab,MATCH($C2139&amp;"|"&amp;$B2139,MemKey,0))</f>
        <v/>
      </c>
      <c r="I2139" s="14">
        <f>INDEX(VarUnit,MATCH($A2139,VarKey,0))</f>
        <v/>
      </c>
      <c r="J2139" s="14">
        <f>INDEX(VarSrc,MATCH($A2139,VarKey,0))</f>
        <v/>
      </c>
      <c r="K2139" s="11">
        <f>CodePrefix&amp;$A2139&amp;IF($C2139="","","."&amp;$C2139&amp;"."&amp;$B2139)&amp;INDEX(VarEnd,MATCH($A2139,VarKey,0))&amp;K$5</f>
        <v/>
      </c>
      <c r="L2139" s="43">
        <f>L2112*Settings!$C$13*(INDEX(L$420:L$431,$D2139))</f>
        <v/>
      </c>
      <c r="M2139" s="44">
        <f>M2112*Settings!$C$13*(INDEX(M$420:M$431,$D2139))</f>
        <v/>
      </c>
      <c r="N2139" s="44">
        <f>N2112*Settings!$C$13*(INDEX(N$420:N$431,$D2139))</f>
        <v/>
      </c>
      <c r="O2139" s="44">
        <f>O2112*Settings!$C$13*(INDEX(O$420:O$431,$D2139))</f>
        <v/>
      </c>
      <c r="P2139" s="44">
        <f>P2112*Settings!$C$13*(INDEX(P$420:P$431,$D2139))</f>
        <v/>
      </c>
      <c r="Q2139" s="44">
        <f>Q2112*Settings!$C$13*(INDEX(Q$420:Q$431,$D2139))</f>
        <v/>
      </c>
      <c r="R2139" s="44">
        <f>R2112*Settings!$C$13*(INDEX(R$420:R$431,$D2139))</f>
        <v/>
      </c>
      <c r="S2139" s="44">
        <f>S2112*Settings!$C$13*(INDEX(S$420:S$431,$D2139))</f>
        <v/>
      </c>
      <c r="T2139" s="44">
        <f>T2112*Settings!$C$13*(INDEX(T$420:T$431,$D2139))</f>
        <v/>
      </c>
      <c r="U2139" s="44">
        <f>U2112*Settings!$C$13*(INDEX(U$420:U$431,$D2139))</f>
        <v/>
      </c>
      <c r="V2139" s="44">
        <f>V2112*Settings!$C$13*(INDEX(V$420:V$431,$D2139))</f>
        <v/>
      </c>
      <c r="W2139" s="44">
        <f>W2112*Settings!$C$13*(INDEX(W$420:W$431,$D2139))</f>
        <v/>
      </c>
      <c r="X2139" s="44">
        <f>X2112*Settings!$C$13*(INDEX(X$420:X$431,$D2139))</f>
        <v/>
      </c>
      <c r="Y2139" s="44">
        <f>Y2112*Settings!$C$13*(INDEX(Y$420:Y$431,$D2139))</f>
        <v/>
      </c>
      <c r="Z2139" s="44">
        <f>Z2112*Settings!$C$13*(INDEX(Z$420:Z$431,$D2139))</f>
        <v/>
      </c>
      <c r="AA2139" s="44">
        <f>AA2112*Settings!$C$13*(INDEX(AA$420:AA$431,$D2139))</f>
        <v/>
      </c>
      <c r="AB2139" s="44">
        <f>AB2112*Settings!$C$13*(INDEX(AB$420:AB$431,$D2139))</f>
        <v/>
      </c>
      <c r="AC2139" s="44">
        <f>AC2112*Settings!$C$13*(INDEX(AC$420:AC$431,$D2139))</f>
        <v/>
      </c>
      <c r="AD2139" s="44">
        <f>AD2112*Settings!$C$13*(INDEX(AD$420:AD$431,$D2139))</f>
        <v/>
      </c>
      <c r="AE2139" s="57">
        <f>REVENUE(AE2112,Settings!$C$13,INDEX(AE$420:AE$431,$D2139))</f>
        <v/>
      </c>
      <c r="AG2139" s="11">
        <f>CodePrefix&amp;$A2139&amp;IF($C2139="","","."&amp;$C2139&amp;"."&amp;$B2139)&amp;INDEX(VarEnd,MATCH($A2139,VarKey,0))&amp;AG$5</f>
        <v/>
      </c>
      <c r="AH2139" s="43">
        <f>AH2112*Settings!$C$13*(INDEX(AH$420:AH$431,$D2139))</f>
        <v/>
      </c>
      <c r="AI2139" s="44">
        <f>AI2112*Settings!$C$13*(INDEX(AI$420:AI$431,$D2139))</f>
        <v/>
      </c>
      <c r="AJ2139" s="44">
        <f>AJ2112*Settings!$C$13*(INDEX(AJ$420:AJ$431,$D2139))</f>
        <v/>
      </c>
      <c r="AK2139" s="44">
        <f>AK2112*Settings!$C$13*(INDEX(AK$420:AK$431,$D2139))</f>
        <v/>
      </c>
      <c r="AL2139" s="44">
        <f>AL2112*Settings!$C$13*(INDEX(AL$420:AL$431,$D2139))</f>
        <v/>
      </c>
      <c r="AM2139" s="44">
        <f>AM2112*Settings!$C$13*(INDEX(AM$420:AM$431,$D2139))</f>
        <v/>
      </c>
      <c r="AN2139" s="44">
        <f>AN2112*Settings!$C$13*(INDEX(AN$420:AN$431,$D2139))</f>
        <v/>
      </c>
      <c r="AO2139" s="44">
        <f>AO2112*Settings!$C$13*(INDEX(AO$420:AO$431,$D2139))</f>
        <v/>
      </c>
      <c r="AP2139" s="44">
        <f>AP2112*Settings!$C$13*(INDEX(AP$420:AP$431,$D2139))</f>
        <v/>
      </c>
      <c r="AQ2139" s="44">
        <f>AQ2112*Settings!$C$13*(INDEX(AQ$420:AQ$431,$D2139))</f>
        <v/>
      </c>
      <c r="AR2139" s="44">
        <f>AR2112*Settings!$C$13*(INDEX(AR$420:AR$431,$D2139))</f>
        <v/>
      </c>
      <c r="AS2139" s="44">
        <f>AS2112*Settings!$C$13*(INDEX(AS$420:AS$431,$D2139))</f>
        <v/>
      </c>
      <c r="AT2139" s="44">
        <f>AT2112*Settings!$C$13*(INDEX(AT$420:AT$431,$D2139))</f>
        <v/>
      </c>
      <c r="AU2139" s="44">
        <f>AU2112*Settings!$C$13*(INDEX(AU$420:AU$431,$D2139))</f>
        <v/>
      </c>
      <c r="AV2139" s="44">
        <f>AV2112*Settings!$C$13*(INDEX(AV$420:AV$431,$D2139))</f>
        <v/>
      </c>
      <c r="AW2139" s="44">
        <f>AW2112*Settings!$C$13*(INDEX(AW$420:AW$431,$D2139))</f>
        <v/>
      </c>
      <c r="AX2139" s="44">
        <f>AX2112*Settings!$C$13*(INDEX(AX$420:AX$431,$D2139))</f>
        <v/>
      </c>
      <c r="AY2139" s="44">
        <f>AY2112*Settings!$C$13*(INDEX(AY$420:AY$431,$D2139))</f>
        <v/>
      </c>
      <c r="AZ2139" s="44">
        <f>AZ2112*Settings!$C$13*(INDEX(AZ$420:AZ$431,$D2139))</f>
        <v/>
      </c>
      <c r="BA2139" s="57">
        <f>REVENUE(BA2112,Settings!$C$13,INDEX(BA$420:BA$431,$D2139))</f>
        <v/>
      </c>
    </row>
    <row r="2140" hidden="1" outlineLevel="2">
      <c r="A2140" s="14" t="inlineStr">
        <is>
          <t>rsub</t>
        </is>
      </c>
      <c r="B2140" s="14" t="inlineStr">
        <is>
          <t>lpg</t>
        </is>
      </c>
      <c r="C2140" s="14" t="inlineStr">
        <is>
          <t>irn</t>
        </is>
      </c>
      <c r="D2140" s="35">
        <f>INDEX(Inputs!$U$5:$U$132,MATCH($B2140&amp;"|"&amp;$C2140,Inputs!$A$5:$A$132,0))</f>
        <v/>
      </c>
      <c r="E2140" s="39" t="n"/>
      <c r="F2140" s="39" t="n"/>
      <c r="G2140" s="39" t="n"/>
      <c r="H2140" s="14">
        <f>INDEX(VarLab,MATCH($A2140,VarKey,0))&amp;INDEX(MemLab,MATCH($C2140&amp;"|"&amp;$B2140,MemKey,0))</f>
        <v/>
      </c>
      <c r="I2140" s="14">
        <f>INDEX(VarUnit,MATCH($A2140,VarKey,0))</f>
        <v/>
      </c>
      <c r="J2140" s="14">
        <f>INDEX(VarSrc,MATCH($A2140,VarKey,0))</f>
        <v/>
      </c>
      <c r="K2140" s="11">
        <f>CodePrefix&amp;$A2140&amp;IF($C2140="","","."&amp;$C2140&amp;"."&amp;$B2140)&amp;INDEX(VarEnd,MATCH($A2140,VarKey,0))&amp;K$5</f>
        <v/>
      </c>
      <c r="L2140" s="43">
        <f>L2113*Settings!$C$13*(INDEX(L$420:L$431,$D2140))</f>
        <v/>
      </c>
      <c r="M2140" s="44">
        <f>M2113*Settings!$C$13*(INDEX(M$420:M$431,$D2140))</f>
        <v/>
      </c>
      <c r="N2140" s="44">
        <f>N2113*Settings!$C$13*(INDEX(N$420:N$431,$D2140))</f>
        <v/>
      </c>
      <c r="O2140" s="44">
        <f>O2113*Settings!$C$13*(INDEX(O$420:O$431,$D2140))</f>
        <v/>
      </c>
      <c r="P2140" s="44">
        <f>P2113*Settings!$C$13*(INDEX(P$420:P$431,$D2140))</f>
        <v/>
      </c>
      <c r="Q2140" s="44">
        <f>Q2113*Settings!$C$13*(INDEX(Q$420:Q$431,$D2140))</f>
        <v/>
      </c>
      <c r="R2140" s="44">
        <f>R2113*Settings!$C$13*(INDEX(R$420:R$431,$D2140))</f>
        <v/>
      </c>
      <c r="S2140" s="44">
        <f>S2113*Settings!$C$13*(INDEX(S$420:S$431,$D2140))</f>
        <v/>
      </c>
      <c r="T2140" s="44">
        <f>T2113*Settings!$C$13*(INDEX(T$420:T$431,$D2140))</f>
        <v/>
      </c>
      <c r="U2140" s="44">
        <f>U2113*Settings!$C$13*(INDEX(U$420:U$431,$D2140))</f>
        <v/>
      </c>
      <c r="V2140" s="44">
        <f>V2113*Settings!$C$13*(INDEX(V$420:V$431,$D2140))</f>
        <v/>
      </c>
      <c r="W2140" s="44">
        <f>W2113*Settings!$C$13*(INDEX(W$420:W$431,$D2140))</f>
        <v/>
      </c>
      <c r="X2140" s="44">
        <f>X2113*Settings!$C$13*(INDEX(X$420:X$431,$D2140))</f>
        <v/>
      </c>
      <c r="Y2140" s="44">
        <f>Y2113*Settings!$C$13*(INDEX(Y$420:Y$431,$D2140))</f>
        <v/>
      </c>
      <c r="Z2140" s="44">
        <f>Z2113*Settings!$C$13*(INDEX(Z$420:Z$431,$D2140))</f>
        <v/>
      </c>
      <c r="AA2140" s="44">
        <f>AA2113*Settings!$C$13*(INDEX(AA$420:AA$431,$D2140))</f>
        <v/>
      </c>
      <c r="AB2140" s="44">
        <f>AB2113*Settings!$C$13*(INDEX(AB$420:AB$431,$D2140))</f>
        <v/>
      </c>
      <c r="AC2140" s="44">
        <f>AC2113*Settings!$C$13*(INDEX(AC$420:AC$431,$D2140))</f>
        <v/>
      </c>
      <c r="AD2140" s="44">
        <f>AD2113*Settings!$C$13*(INDEX(AD$420:AD$431,$D2140))</f>
        <v/>
      </c>
      <c r="AE2140" s="57">
        <f>REVENUE(AE2113,Settings!$C$13,INDEX(AE$420:AE$431,$D2140))</f>
        <v/>
      </c>
      <c r="AG2140" s="11">
        <f>CodePrefix&amp;$A2140&amp;IF($C2140="","","."&amp;$C2140&amp;"."&amp;$B2140)&amp;INDEX(VarEnd,MATCH($A2140,VarKey,0))&amp;AG$5</f>
        <v/>
      </c>
      <c r="AH2140" s="43">
        <f>AH2113*Settings!$C$13*(INDEX(AH$420:AH$431,$D2140))</f>
        <v/>
      </c>
      <c r="AI2140" s="44">
        <f>AI2113*Settings!$C$13*(INDEX(AI$420:AI$431,$D2140))</f>
        <v/>
      </c>
      <c r="AJ2140" s="44">
        <f>AJ2113*Settings!$C$13*(INDEX(AJ$420:AJ$431,$D2140))</f>
        <v/>
      </c>
      <c r="AK2140" s="44">
        <f>AK2113*Settings!$C$13*(INDEX(AK$420:AK$431,$D2140))</f>
        <v/>
      </c>
      <c r="AL2140" s="44">
        <f>AL2113*Settings!$C$13*(INDEX(AL$420:AL$431,$D2140))</f>
        <v/>
      </c>
      <c r="AM2140" s="44">
        <f>AM2113*Settings!$C$13*(INDEX(AM$420:AM$431,$D2140))</f>
        <v/>
      </c>
      <c r="AN2140" s="44">
        <f>AN2113*Settings!$C$13*(INDEX(AN$420:AN$431,$D2140))</f>
        <v/>
      </c>
      <c r="AO2140" s="44">
        <f>AO2113*Settings!$C$13*(INDEX(AO$420:AO$431,$D2140))</f>
        <v/>
      </c>
      <c r="AP2140" s="44">
        <f>AP2113*Settings!$C$13*(INDEX(AP$420:AP$431,$D2140))</f>
        <v/>
      </c>
      <c r="AQ2140" s="44">
        <f>AQ2113*Settings!$C$13*(INDEX(AQ$420:AQ$431,$D2140))</f>
        <v/>
      </c>
      <c r="AR2140" s="44">
        <f>AR2113*Settings!$C$13*(INDEX(AR$420:AR$431,$D2140))</f>
        <v/>
      </c>
      <c r="AS2140" s="44">
        <f>AS2113*Settings!$C$13*(INDEX(AS$420:AS$431,$D2140))</f>
        <v/>
      </c>
      <c r="AT2140" s="44">
        <f>AT2113*Settings!$C$13*(INDEX(AT$420:AT$431,$D2140))</f>
        <v/>
      </c>
      <c r="AU2140" s="44">
        <f>AU2113*Settings!$C$13*(INDEX(AU$420:AU$431,$D2140))</f>
        <v/>
      </c>
      <c r="AV2140" s="44">
        <f>AV2113*Settings!$C$13*(INDEX(AV$420:AV$431,$D2140))</f>
        <v/>
      </c>
      <c r="AW2140" s="44">
        <f>AW2113*Settings!$C$13*(INDEX(AW$420:AW$431,$D2140))</f>
        <v/>
      </c>
      <c r="AX2140" s="44">
        <f>AX2113*Settings!$C$13*(INDEX(AX$420:AX$431,$D2140))</f>
        <v/>
      </c>
      <c r="AY2140" s="44">
        <f>AY2113*Settings!$C$13*(INDEX(AY$420:AY$431,$D2140))</f>
        <v/>
      </c>
      <c r="AZ2140" s="44">
        <f>AZ2113*Settings!$C$13*(INDEX(AZ$420:AZ$431,$D2140))</f>
        <v/>
      </c>
      <c r="BA2140" s="57">
        <f>REVENUE(BA2113,Settings!$C$13,INDEX(BA$420:BA$431,$D2140))</f>
        <v/>
      </c>
    </row>
    <row r="2141" hidden="1" outlineLevel="2">
      <c r="A2141" s="14" t="inlineStr">
        <is>
          <t>rsub</t>
        </is>
      </c>
      <c r="B2141" s="14" t="inlineStr">
        <is>
          <t>ker</t>
        </is>
      </c>
      <c r="C2141" s="14" t="inlineStr">
        <is>
          <t>irn</t>
        </is>
      </c>
      <c r="D2141" s="35">
        <f>INDEX(Inputs!$U$5:$U$132,MATCH($B2141&amp;"|"&amp;$C2141,Inputs!$A$5:$A$132,0))</f>
        <v/>
      </c>
      <c r="E2141" s="39" t="n"/>
      <c r="F2141" s="39" t="n"/>
      <c r="G2141" s="39" t="n"/>
      <c r="H2141" s="14">
        <f>INDEX(VarLab,MATCH($A2141,VarKey,0))&amp;INDEX(MemLab,MATCH($C2141&amp;"|"&amp;$B2141,MemKey,0))</f>
        <v/>
      </c>
      <c r="I2141" s="14">
        <f>INDEX(VarUnit,MATCH($A2141,VarKey,0))</f>
        <v/>
      </c>
      <c r="J2141" s="14">
        <f>INDEX(VarSrc,MATCH($A2141,VarKey,0))</f>
        <v/>
      </c>
      <c r="K2141" s="11">
        <f>CodePrefix&amp;$A2141&amp;IF($C2141="","","."&amp;$C2141&amp;"."&amp;$B2141)&amp;INDEX(VarEnd,MATCH($A2141,VarKey,0))&amp;K$5</f>
        <v/>
      </c>
      <c r="L2141" s="43">
        <f>L2114*Settings!$C$13*(INDEX(L$420:L$431,$D2141))</f>
        <v/>
      </c>
      <c r="M2141" s="44">
        <f>M2114*Settings!$C$13*(INDEX(M$420:M$431,$D2141))</f>
        <v/>
      </c>
      <c r="N2141" s="44">
        <f>N2114*Settings!$C$13*(INDEX(N$420:N$431,$D2141))</f>
        <v/>
      </c>
      <c r="O2141" s="44">
        <f>O2114*Settings!$C$13*(INDEX(O$420:O$431,$D2141))</f>
        <v/>
      </c>
      <c r="P2141" s="44">
        <f>P2114*Settings!$C$13*(INDEX(P$420:P$431,$D2141))</f>
        <v/>
      </c>
      <c r="Q2141" s="44">
        <f>Q2114*Settings!$C$13*(INDEX(Q$420:Q$431,$D2141))</f>
        <v/>
      </c>
      <c r="R2141" s="44">
        <f>R2114*Settings!$C$13*(INDEX(R$420:R$431,$D2141))</f>
        <v/>
      </c>
      <c r="S2141" s="44">
        <f>S2114*Settings!$C$13*(INDEX(S$420:S$431,$D2141))</f>
        <v/>
      </c>
      <c r="T2141" s="44">
        <f>T2114*Settings!$C$13*(INDEX(T$420:T$431,$D2141))</f>
        <v/>
      </c>
      <c r="U2141" s="44">
        <f>U2114*Settings!$C$13*(INDEX(U$420:U$431,$D2141))</f>
        <v/>
      </c>
      <c r="V2141" s="44">
        <f>V2114*Settings!$C$13*(INDEX(V$420:V$431,$D2141))</f>
        <v/>
      </c>
      <c r="W2141" s="44">
        <f>W2114*Settings!$C$13*(INDEX(W$420:W$431,$D2141))</f>
        <v/>
      </c>
      <c r="X2141" s="44">
        <f>X2114*Settings!$C$13*(INDEX(X$420:X$431,$D2141))</f>
        <v/>
      </c>
      <c r="Y2141" s="44">
        <f>Y2114*Settings!$C$13*(INDEX(Y$420:Y$431,$D2141))</f>
        <v/>
      </c>
      <c r="Z2141" s="44">
        <f>Z2114*Settings!$C$13*(INDEX(Z$420:Z$431,$D2141))</f>
        <v/>
      </c>
      <c r="AA2141" s="44">
        <f>AA2114*Settings!$C$13*(INDEX(AA$420:AA$431,$D2141))</f>
        <v/>
      </c>
      <c r="AB2141" s="44">
        <f>AB2114*Settings!$C$13*(INDEX(AB$420:AB$431,$D2141))</f>
        <v/>
      </c>
      <c r="AC2141" s="44">
        <f>AC2114*Settings!$C$13*(INDEX(AC$420:AC$431,$D2141))</f>
        <v/>
      </c>
      <c r="AD2141" s="44">
        <f>AD2114*Settings!$C$13*(INDEX(AD$420:AD$431,$D2141))</f>
        <v/>
      </c>
      <c r="AE2141" s="57">
        <f>REVENUE(AE2114,Settings!$C$13,INDEX(AE$420:AE$431,$D2141))</f>
        <v/>
      </c>
      <c r="AG2141" s="11">
        <f>CodePrefix&amp;$A2141&amp;IF($C2141="","","."&amp;$C2141&amp;"."&amp;$B2141)&amp;INDEX(VarEnd,MATCH($A2141,VarKey,0))&amp;AG$5</f>
        <v/>
      </c>
      <c r="AH2141" s="43">
        <f>AH2114*Settings!$C$13*(INDEX(AH$420:AH$431,$D2141))</f>
        <v/>
      </c>
      <c r="AI2141" s="44">
        <f>AI2114*Settings!$C$13*(INDEX(AI$420:AI$431,$D2141))</f>
        <v/>
      </c>
      <c r="AJ2141" s="44">
        <f>AJ2114*Settings!$C$13*(INDEX(AJ$420:AJ$431,$D2141))</f>
        <v/>
      </c>
      <c r="AK2141" s="44">
        <f>AK2114*Settings!$C$13*(INDEX(AK$420:AK$431,$D2141))</f>
        <v/>
      </c>
      <c r="AL2141" s="44">
        <f>AL2114*Settings!$C$13*(INDEX(AL$420:AL$431,$D2141))</f>
        <v/>
      </c>
      <c r="AM2141" s="44">
        <f>AM2114*Settings!$C$13*(INDEX(AM$420:AM$431,$D2141))</f>
        <v/>
      </c>
      <c r="AN2141" s="44">
        <f>AN2114*Settings!$C$13*(INDEX(AN$420:AN$431,$D2141))</f>
        <v/>
      </c>
      <c r="AO2141" s="44">
        <f>AO2114*Settings!$C$13*(INDEX(AO$420:AO$431,$D2141))</f>
        <v/>
      </c>
      <c r="AP2141" s="44">
        <f>AP2114*Settings!$C$13*(INDEX(AP$420:AP$431,$D2141))</f>
        <v/>
      </c>
      <c r="AQ2141" s="44">
        <f>AQ2114*Settings!$C$13*(INDEX(AQ$420:AQ$431,$D2141))</f>
        <v/>
      </c>
      <c r="AR2141" s="44">
        <f>AR2114*Settings!$C$13*(INDEX(AR$420:AR$431,$D2141))</f>
        <v/>
      </c>
      <c r="AS2141" s="44">
        <f>AS2114*Settings!$C$13*(INDEX(AS$420:AS$431,$D2141))</f>
        <v/>
      </c>
      <c r="AT2141" s="44">
        <f>AT2114*Settings!$C$13*(INDEX(AT$420:AT$431,$D2141))</f>
        <v/>
      </c>
      <c r="AU2141" s="44">
        <f>AU2114*Settings!$C$13*(INDEX(AU$420:AU$431,$D2141))</f>
        <v/>
      </c>
      <c r="AV2141" s="44">
        <f>AV2114*Settings!$C$13*(INDEX(AV$420:AV$431,$D2141))</f>
        <v/>
      </c>
      <c r="AW2141" s="44">
        <f>AW2114*Settings!$C$13*(INDEX(AW$420:AW$431,$D2141))</f>
        <v/>
      </c>
      <c r="AX2141" s="44">
        <f>AX2114*Settings!$C$13*(INDEX(AX$420:AX$431,$D2141))</f>
        <v/>
      </c>
      <c r="AY2141" s="44">
        <f>AY2114*Settings!$C$13*(INDEX(AY$420:AY$431,$D2141))</f>
        <v/>
      </c>
      <c r="AZ2141" s="44">
        <f>AZ2114*Settings!$C$13*(INDEX(AZ$420:AZ$431,$D2141))</f>
        <v/>
      </c>
      <c r="BA2141" s="57">
        <f>REVENUE(BA2114,Settings!$C$13,INDEX(BA$420:BA$431,$D2141))</f>
        <v/>
      </c>
    </row>
    <row r="2142" hidden="1" outlineLevel="2">
      <c r="A2142" s="14" t="inlineStr">
        <is>
          <t>rsub</t>
        </is>
      </c>
      <c r="B2142" s="14" t="inlineStr">
        <is>
          <t>oop</t>
        </is>
      </c>
      <c r="C2142" s="14" t="inlineStr">
        <is>
          <t>irn</t>
        </is>
      </c>
      <c r="D2142" s="35">
        <f>INDEX(Inputs!$U$5:$U$132,MATCH($B2142&amp;"|"&amp;$C2142,Inputs!$A$5:$A$132,0))</f>
        <v/>
      </c>
      <c r="E2142" s="39" t="n"/>
      <c r="F2142" s="39" t="n"/>
      <c r="G2142" s="39" t="n"/>
      <c r="H2142" s="14">
        <f>INDEX(VarLab,MATCH($A2142,VarKey,0))&amp;INDEX(MemLab,MATCH($C2142&amp;"|"&amp;$B2142,MemKey,0))</f>
        <v/>
      </c>
      <c r="I2142" s="14">
        <f>INDEX(VarUnit,MATCH($A2142,VarKey,0))</f>
        <v/>
      </c>
      <c r="J2142" s="14">
        <f>INDEX(VarSrc,MATCH($A2142,VarKey,0))</f>
        <v/>
      </c>
      <c r="K2142" s="11">
        <f>CodePrefix&amp;$A2142&amp;IF($C2142="","","."&amp;$C2142&amp;"."&amp;$B2142)&amp;INDEX(VarEnd,MATCH($A2142,VarKey,0))&amp;K$5</f>
        <v/>
      </c>
      <c r="L2142" s="43">
        <f>L2115*Settings!$C$13*(INDEX(L$420:L$431,$D2142))</f>
        <v/>
      </c>
      <c r="M2142" s="44">
        <f>M2115*Settings!$C$13*(INDEX(M$420:M$431,$D2142))</f>
        <v/>
      </c>
      <c r="N2142" s="44">
        <f>N2115*Settings!$C$13*(INDEX(N$420:N$431,$D2142))</f>
        <v/>
      </c>
      <c r="O2142" s="44">
        <f>O2115*Settings!$C$13*(INDEX(O$420:O$431,$D2142))</f>
        <v/>
      </c>
      <c r="P2142" s="44">
        <f>P2115*Settings!$C$13*(INDEX(P$420:P$431,$D2142))</f>
        <v/>
      </c>
      <c r="Q2142" s="44">
        <f>Q2115*Settings!$C$13*(INDEX(Q$420:Q$431,$D2142))</f>
        <v/>
      </c>
      <c r="R2142" s="44">
        <f>R2115*Settings!$C$13*(INDEX(R$420:R$431,$D2142))</f>
        <v/>
      </c>
      <c r="S2142" s="44">
        <f>S2115*Settings!$C$13*(INDEX(S$420:S$431,$D2142))</f>
        <v/>
      </c>
      <c r="T2142" s="44">
        <f>T2115*Settings!$C$13*(INDEX(T$420:T$431,$D2142))</f>
        <v/>
      </c>
      <c r="U2142" s="44">
        <f>U2115*Settings!$C$13*(INDEX(U$420:U$431,$D2142))</f>
        <v/>
      </c>
      <c r="V2142" s="44">
        <f>V2115*Settings!$C$13*(INDEX(V$420:V$431,$D2142))</f>
        <v/>
      </c>
      <c r="W2142" s="44">
        <f>W2115*Settings!$C$13*(INDEX(W$420:W$431,$D2142))</f>
        <v/>
      </c>
      <c r="X2142" s="44">
        <f>X2115*Settings!$C$13*(INDEX(X$420:X$431,$D2142))</f>
        <v/>
      </c>
      <c r="Y2142" s="44">
        <f>Y2115*Settings!$C$13*(INDEX(Y$420:Y$431,$D2142))</f>
        <v/>
      </c>
      <c r="Z2142" s="44">
        <f>Z2115*Settings!$C$13*(INDEX(Z$420:Z$431,$D2142))</f>
        <v/>
      </c>
      <c r="AA2142" s="44">
        <f>AA2115*Settings!$C$13*(INDEX(AA$420:AA$431,$D2142))</f>
        <v/>
      </c>
      <c r="AB2142" s="44">
        <f>AB2115*Settings!$C$13*(INDEX(AB$420:AB$431,$D2142))</f>
        <v/>
      </c>
      <c r="AC2142" s="44">
        <f>AC2115*Settings!$C$13*(INDEX(AC$420:AC$431,$D2142))</f>
        <v/>
      </c>
      <c r="AD2142" s="44">
        <f>AD2115*Settings!$C$13*(INDEX(AD$420:AD$431,$D2142))</f>
        <v/>
      </c>
      <c r="AE2142" s="57">
        <f>REVENUE(AE2115,Settings!$C$13,INDEX(AE$420:AE$431,$D2142))</f>
        <v/>
      </c>
      <c r="AG2142" s="11">
        <f>CodePrefix&amp;$A2142&amp;IF($C2142="","","."&amp;$C2142&amp;"."&amp;$B2142)&amp;INDEX(VarEnd,MATCH($A2142,VarKey,0))&amp;AG$5</f>
        <v/>
      </c>
      <c r="AH2142" s="43">
        <f>AH2115*Settings!$C$13*(INDEX(AH$420:AH$431,$D2142))</f>
        <v/>
      </c>
      <c r="AI2142" s="44">
        <f>AI2115*Settings!$C$13*(INDEX(AI$420:AI$431,$D2142))</f>
        <v/>
      </c>
      <c r="AJ2142" s="44">
        <f>AJ2115*Settings!$C$13*(INDEX(AJ$420:AJ$431,$D2142))</f>
        <v/>
      </c>
      <c r="AK2142" s="44">
        <f>AK2115*Settings!$C$13*(INDEX(AK$420:AK$431,$D2142))</f>
        <v/>
      </c>
      <c r="AL2142" s="44">
        <f>AL2115*Settings!$C$13*(INDEX(AL$420:AL$431,$D2142))</f>
        <v/>
      </c>
      <c r="AM2142" s="44">
        <f>AM2115*Settings!$C$13*(INDEX(AM$420:AM$431,$D2142))</f>
        <v/>
      </c>
      <c r="AN2142" s="44">
        <f>AN2115*Settings!$C$13*(INDEX(AN$420:AN$431,$D2142))</f>
        <v/>
      </c>
      <c r="AO2142" s="44">
        <f>AO2115*Settings!$C$13*(INDEX(AO$420:AO$431,$D2142))</f>
        <v/>
      </c>
      <c r="AP2142" s="44">
        <f>AP2115*Settings!$C$13*(INDEX(AP$420:AP$431,$D2142))</f>
        <v/>
      </c>
      <c r="AQ2142" s="44">
        <f>AQ2115*Settings!$C$13*(INDEX(AQ$420:AQ$431,$D2142))</f>
        <v/>
      </c>
      <c r="AR2142" s="44">
        <f>AR2115*Settings!$C$13*(INDEX(AR$420:AR$431,$D2142))</f>
        <v/>
      </c>
      <c r="AS2142" s="44">
        <f>AS2115*Settings!$C$13*(INDEX(AS$420:AS$431,$D2142))</f>
        <v/>
      </c>
      <c r="AT2142" s="44">
        <f>AT2115*Settings!$C$13*(INDEX(AT$420:AT$431,$D2142))</f>
        <v/>
      </c>
      <c r="AU2142" s="44">
        <f>AU2115*Settings!$C$13*(INDEX(AU$420:AU$431,$D2142))</f>
        <v/>
      </c>
      <c r="AV2142" s="44">
        <f>AV2115*Settings!$C$13*(INDEX(AV$420:AV$431,$D2142))</f>
        <v/>
      </c>
      <c r="AW2142" s="44">
        <f>AW2115*Settings!$C$13*(INDEX(AW$420:AW$431,$D2142))</f>
        <v/>
      </c>
      <c r="AX2142" s="44">
        <f>AX2115*Settings!$C$13*(INDEX(AX$420:AX$431,$D2142))</f>
        <v/>
      </c>
      <c r="AY2142" s="44">
        <f>AY2115*Settings!$C$13*(INDEX(AY$420:AY$431,$D2142))</f>
        <v/>
      </c>
      <c r="AZ2142" s="44">
        <f>AZ2115*Settings!$C$13*(INDEX(AZ$420:AZ$431,$D2142))</f>
        <v/>
      </c>
      <c r="BA2142" s="57">
        <f>REVENUE(BA2115,Settings!$C$13,INDEX(BA$420:BA$431,$D2142))</f>
        <v/>
      </c>
    </row>
    <row r="2143" hidden="1" outlineLevel="2">
      <c r="A2143" s="14" t="inlineStr">
        <is>
          <t>rsub</t>
        </is>
      </c>
      <c r="B2143" s="14" t="inlineStr">
        <is>
          <t>bio</t>
        </is>
      </c>
      <c r="C2143" s="14" t="inlineStr">
        <is>
          <t>irn</t>
        </is>
      </c>
      <c r="D2143" s="35">
        <f>INDEX(Inputs!$U$5:$U$132,MATCH($B2143&amp;"|"&amp;$C2143,Inputs!$A$5:$A$132,0))</f>
        <v/>
      </c>
      <c r="E2143" s="39" t="n"/>
      <c r="F2143" s="39" t="n"/>
      <c r="G2143" s="39" t="n"/>
      <c r="H2143" s="14">
        <f>INDEX(VarLab,MATCH($A2143,VarKey,0))&amp;INDEX(MemLab,MATCH($C2143&amp;"|"&amp;$B2143,MemKey,0))</f>
        <v/>
      </c>
      <c r="I2143" s="14">
        <f>INDEX(VarUnit,MATCH($A2143,VarKey,0))</f>
        <v/>
      </c>
      <c r="J2143" s="14">
        <f>INDEX(VarSrc,MATCH($A2143,VarKey,0))</f>
        <v/>
      </c>
      <c r="K2143" s="11">
        <f>CodePrefix&amp;$A2143&amp;IF($C2143="","","."&amp;$C2143&amp;"."&amp;$B2143)&amp;INDEX(VarEnd,MATCH($A2143,VarKey,0))&amp;K$5</f>
        <v/>
      </c>
      <c r="L2143" s="43">
        <f>L2116*Settings!$C$13*(INDEX(L$420:L$431,$D2143))</f>
        <v/>
      </c>
      <c r="M2143" s="44">
        <f>M2116*Settings!$C$13*(INDEX(M$420:M$431,$D2143))</f>
        <v/>
      </c>
      <c r="N2143" s="44">
        <f>N2116*Settings!$C$13*(INDEX(N$420:N$431,$D2143))</f>
        <v/>
      </c>
      <c r="O2143" s="44">
        <f>O2116*Settings!$C$13*(INDEX(O$420:O$431,$D2143))</f>
        <v/>
      </c>
      <c r="P2143" s="44">
        <f>P2116*Settings!$C$13*(INDEX(P$420:P$431,$D2143))</f>
        <v/>
      </c>
      <c r="Q2143" s="44">
        <f>Q2116*Settings!$C$13*(INDEX(Q$420:Q$431,$D2143))</f>
        <v/>
      </c>
      <c r="R2143" s="44">
        <f>R2116*Settings!$C$13*(INDEX(R$420:R$431,$D2143))</f>
        <v/>
      </c>
      <c r="S2143" s="44">
        <f>S2116*Settings!$C$13*(INDEX(S$420:S$431,$D2143))</f>
        <v/>
      </c>
      <c r="T2143" s="44">
        <f>T2116*Settings!$C$13*(INDEX(T$420:T$431,$D2143))</f>
        <v/>
      </c>
      <c r="U2143" s="44">
        <f>U2116*Settings!$C$13*(INDEX(U$420:U$431,$D2143))</f>
        <v/>
      </c>
      <c r="V2143" s="44">
        <f>V2116*Settings!$C$13*(INDEX(V$420:V$431,$D2143))</f>
        <v/>
      </c>
      <c r="W2143" s="44">
        <f>W2116*Settings!$C$13*(INDEX(W$420:W$431,$D2143))</f>
        <v/>
      </c>
      <c r="X2143" s="44">
        <f>X2116*Settings!$C$13*(INDEX(X$420:X$431,$D2143))</f>
        <v/>
      </c>
      <c r="Y2143" s="44">
        <f>Y2116*Settings!$C$13*(INDEX(Y$420:Y$431,$D2143))</f>
        <v/>
      </c>
      <c r="Z2143" s="44">
        <f>Z2116*Settings!$C$13*(INDEX(Z$420:Z$431,$D2143))</f>
        <v/>
      </c>
      <c r="AA2143" s="44">
        <f>AA2116*Settings!$C$13*(INDEX(AA$420:AA$431,$D2143))</f>
        <v/>
      </c>
      <c r="AB2143" s="44">
        <f>AB2116*Settings!$C$13*(INDEX(AB$420:AB$431,$D2143))</f>
        <v/>
      </c>
      <c r="AC2143" s="44">
        <f>AC2116*Settings!$C$13*(INDEX(AC$420:AC$431,$D2143))</f>
        <v/>
      </c>
      <c r="AD2143" s="44">
        <f>AD2116*Settings!$C$13*(INDEX(AD$420:AD$431,$D2143))</f>
        <v/>
      </c>
      <c r="AE2143" s="57">
        <f>REVENUE(AE2116,Settings!$C$13,INDEX(AE$420:AE$431,$D2143))</f>
        <v/>
      </c>
      <c r="AG2143" s="11">
        <f>CodePrefix&amp;$A2143&amp;IF($C2143="","","."&amp;$C2143&amp;"."&amp;$B2143)&amp;INDEX(VarEnd,MATCH($A2143,VarKey,0))&amp;AG$5</f>
        <v/>
      </c>
      <c r="AH2143" s="43">
        <f>AH2116*Settings!$C$13*(INDEX(AH$420:AH$431,$D2143))</f>
        <v/>
      </c>
      <c r="AI2143" s="44">
        <f>AI2116*Settings!$C$13*(INDEX(AI$420:AI$431,$D2143))</f>
        <v/>
      </c>
      <c r="AJ2143" s="44">
        <f>AJ2116*Settings!$C$13*(INDEX(AJ$420:AJ$431,$D2143))</f>
        <v/>
      </c>
      <c r="AK2143" s="44">
        <f>AK2116*Settings!$C$13*(INDEX(AK$420:AK$431,$D2143))</f>
        <v/>
      </c>
      <c r="AL2143" s="44">
        <f>AL2116*Settings!$C$13*(INDEX(AL$420:AL$431,$D2143))</f>
        <v/>
      </c>
      <c r="AM2143" s="44">
        <f>AM2116*Settings!$C$13*(INDEX(AM$420:AM$431,$D2143))</f>
        <v/>
      </c>
      <c r="AN2143" s="44">
        <f>AN2116*Settings!$C$13*(INDEX(AN$420:AN$431,$D2143))</f>
        <v/>
      </c>
      <c r="AO2143" s="44">
        <f>AO2116*Settings!$C$13*(INDEX(AO$420:AO$431,$D2143))</f>
        <v/>
      </c>
      <c r="AP2143" s="44">
        <f>AP2116*Settings!$C$13*(INDEX(AP$420:AP$431,$D2143))</f>
        <v/>
      </c>
      <c r="AQ2143" s="44">
        <f>AQ2116*Settings!$C$13*(INDEX(AQ$420:AQ$431,$D2143))</f>
        <v/>
      </c>
      <c r="AR2143" s="44">
        <f>AR2116*Settings!$C$13*(INDEX(AR$420:AR$431,$D2143))</f>
        <v/>
      </c>
      <c r="AS2143" s="44">
        <f>AS2116*Settings!$C$13*(INDEX(AS$420:AS$431,$D2143))</f>
        <v/>
      </c>
      <c r="AT2143" s="44">
        <f>AT2116*Settings!$C$13*(INDEX(AT$420:AT$431,$D2143))</f>
        <v/>
      </c>
      <c r="AU2143" s="44">
        <f>AU2116*Settings!$C$13*(INDEX(AU$420:AU$431,$D2143))</f>
        <v/>
      </c>
      <c r="AV2143" s="44">
        <f>AV2116*Settings!$C$13*(INDEX(AV$420:AV$431,$D2143))</f>
        <v/>
      </c>
      <c r="AW2143" s="44">
        <f>AW2116*Settings!$C$13*(INDEX(AW$420:AW$431,$D2143))</f>
        <v/>
      </c>
      <c r="AX2143" s="44">
        <f>AX2116*Settings!$C$13*(INDEX(AX$420:AX$431,$D2143))</f>
        <v/>
      </c>
      <c r="AY2143" s="44">
        <f>AY2116*Settings!$C$13*(INDEX(AY$420:AY$431,$D2143))</f>
        <v/>
      </c>
      <c r="AZ2143" s="44">
        <f>AZ2116*Settings!$C$13*(INDEX(AZ$420:AZ$431,$D2143))</f>
        <v/>
      </c>
      <c r="BA2143" s="57">
        <f>REVENUE(BA2116,Settings!$C$13,INDEX(BA$420:BA$431,$D2143))</f>
        <v/>
      </c>
    </row>
    <row r="2144" hidden="1" outlineLevel="2"/>
    <row r="2145" hidden="1" outlineLevel="2">
      <c r="A2145" s="14" t="inlineStr">
        <is>
          <t>rnew</t>
        </is>
      </c>
      <c r="B2145" s="14" t="inlineStr">
        <is>
          <t>coa</t>
        </is>
      </c>
      <c r="C2145" s="14" t="inlineStr">
        <is>
          <t>irn</t>
        </is>
      </c>
      <c r="D2145" s="35">
        <f>INDEX(Inputs!$V$5:$V$132,MATCH($B2145&amp;"|"&amp;$C2145,Inputs!$A$5:$A$132,0))</f>
        <v/>
      </c>
      <c r="E2145" s="39" t="n"/>
      <c r="F2145" s="39" t="n"/>
      <c r="G2145" s="39" t="n"/>
      <c r="H2145" s="14">
        <f>INDEX(VarLab,MATCH($A2145,VarKey,0))&amp;INDEX(MemLab,MATCH($C2145&amp;"|"&amp;$B2145,MemKey,0))</f>
        <v/>
      </c>
      <c r="I2145" s="14">
        <f>INDEX(VarUnit,MATCH($A2145,VarKey,0))</f>
        <v/>
      </c>
      <c r="J2145" s="14">
        <f>INDEX(VarSrc,MATCH($A2145,VarKey,0))</f>
        <v/>
      </c>
      <c r="K2145" s="11">
        <f>CodePrefix&amp;$A2145&amp;IF($C2145="","","."&amp;$C2145&amp;"."&amp;$B2145)&amp;INDEX(VarEnd,MATCH($A2145,VarKey,0))&amp;K$5</f>
        <v/>
      </c>
      <c r="L2145" s="43">
        <f>L2109*Settings!$C$13*(L2037+L2055+L2046*L$201+L2064*$D2145)</f>
        <v/>
      </c>
      <c r="M2145" s="44">
        <f>M2109*Settings!$C$13*(M2037+M2055+M2046*M$201+M2064*$D2145)</f>
        <v/>
      </c>
      <c r="N2145" s="44">
        <f>N2109*Settings!$C$13*(N2037+N2055+N2046*N$201+N2064*$D2145)</f>
        <v/>
      </c>
      <c r="O2145" s="44">
        <f>O2109*Settings!$C$13*(O2037+O2055+O2046*O$201+O2064*$D2145)</f>
        <v/>
      </c>
      <c r="P2145" s="44">
        <f>P2109*Settings!$C$13*(P2037+P2055+P2046*P$201+P2064*$D2145)</f>
        <v/>
      </c>
      <c r="Q2145" s="44">
        <f>Q2109*Settings!$C$13*(Q2037+Q2055+Q2046*Q$201+Q2064*$D2145)</f>
        <v/>
      </c>
      <c r="R2145" s="44">
        <f>R2109*Settings!$C$13*(R2037+R2055+R2046*R$201+R2064*$D2145)</f>
        <v/>
      </c>
      <c r="S2145" s="44">
        <f>S2109*Settings!$C$13*(S2037+S2055+S2046*S$201+S2064*$D2145)</f>
        <v/>
      </c>
      <c r="T2145" s="44">
        <f>T2109*Settings!$C$13*(T2037+T2055+T2046*T$201+T2064*$D2145)</f>
        <v/>
      </c>
      <c r="U2145" s="44">
        <f>U2109*Settings!$C$13*(U2037+U2055+U2046*U$201+U2064*$D2145)</f>
        <v/>
      </c>
      <c r="V2145" s="44">
        <f>V2109*Settings!$C$13*(V2037+V2055+V2046*V$201+V2064*$D2145)</f>
        <v/>
      </c>
      <c r="W2145" s="44">
        <f>W2109*Settings!$C$13*(W2037+W2055+W2046*W$201+W2064*$D2145)</f>
        <v/>
      </c>
      <c r="X2145" s="44">
        <f>X2109*Settings!$C$13*(X2037+X2055+X2046*X$201+X2064*$D2145)</f>
        <v/>
      </c>
      <c r="Y2145" s="44">
        <f>Y2109*Settings!$C$13*(Y2037+Y2055+Y2046*Y$201+Y2064*$D2145)</f>
        <v/>
      </c>
      <c r="Z2145" s="44">
        <f>Z2109*Settings!$C$13*(Z2037+Z2055+Z2046*Z$201+Z2064*$D2145)</f>
        <v/>
      </c>
      <c r="AA2145" s="44">
        <f>AA2109*Settings!$C$13*(AA2037+AA2055+AA2046*AA$201+AA2064*$D2145)</f>
        <v/>
      </c>
      <c r="AB2145" s="44">
        <f>AB2109*Settings!$C$13*(AB2037+AB2055+AB2046*AB$201+AB2064*$D2145)</f>
        <v/>
      </c>
      <c r="AC2145" s="44">
        <f>AC2109*Settings!$C$13*(AC2037+AC2055+AC2046*AC$201+AC2064*$D2145)</f>
        <v/>
      </c>
      <c r="AD2145" s="44">
        <f>AD2109*Settings!$C$13*(AD2037+AD2055+AD2046*AD$201+AD2064*$D2145)</f>
        <v/>
      </c>
      <c r="AE2145" s="57">
        <f>REVENUE(AE2109,Settings!$C$13,NEWREVRATE(AE2037,AE2055,AE2046,AE$201,AE2064,$D2145))</f>
        <v/>
      </c>
      <c r="AG2145" s="11">
        <f>CodePrefix&amp;$A2145&amp;IF($C2145="","","."&amp;$C2145&amp;"."&amp;$B2145)&amp;INDEX(VarEnd,MATCH($A2145,VarKey,0))&amp;AG$5</f>
        <v/>
      </c>
      <c r="AH2145" s="43">
        <f>AH2109*Settings!$C$13*(AH2037+AH2055+AH2046*AH$201+AH2064*$D2145)</f>
        <v/>
      </c>
      <c r="AI2145" s="44">
        <f>AI2109*Settings!$C$13*(AI2037+AI2055+AI2046*AI$201+AI2064*$D2145)</f>
        <v/>
      </c>
      <c r="AJ2145" s="44">
        <f>AJ2109*Settings!$C$13*(AJ2037+AJ2055+AJ2046*AJ$201+AJ2064*$D2145)</f>
        <v/>
      </c>
      <c r="AK2145" s="44">
        <f>AK2109*Settings!$C$13*(AK2037+AK2055+AK2046*AK$201+AK2064*$D2145)</f>
        <v/>
      </c>
      <c r="AL2145" s="44">
        <f>AL2109*Settings!$C$13*(AL2037+AL2055+AL2046*AL$201+AL2064*$D2145)</f>
        <v/>
      </c>
      <c r="AM2145" s="44">
        <f>AM2109*Settings!$C$13*(AM2037+AM2055+AM2046*AM$201+AM2064*$D2145)</f>
        <v/>
      </c>
      <c r="AN2145" s="44">
        <f>AN2109*Settings!$C$13*(AN2037+AN2055+AN2046*AN$201+AN2064*$D2145)</f>
        <v/>
      </c>
      <c r="AO2145" s="44">
        <f>AO2109*Settings!$C$13*(AO2037+AO2055+AO2046*AO$201+AO2064*$D2145)</f>
        <v/>
      </c>
      <c r="AP2145" s="44">
        <f>AP2109*Settings!$C$13*(AP2037+AP2055+AP2046*AP$201+AP2064*$D2145)</f>
        <v/>
      </c>
      <c r="AQ2145" s="44">
        <f>AQ2109*Settings!$C$13*(AQ2037+AQ2055+AQ2046*AQ$201+AQ2064*$D2145)</f>
        <v/>
      </c>
      <c r="AR2145" s="44">
        <f>AR2109*Settings!$C$13*(AR2037+AR2055+AR2046*AR$201+AR2064*$D2145)</f>
        <v/>
      </c>
      <c r="AS2145" s="44">
        <f>AS2109*Settings!$C$13*(AS2037+AS2055+AS2046*AS$201+AS2064*$D2145)</f>
        <v/>
      </c>
      <c r="AT2145" s="44">
        <f>AT2109*Settings!$C$13*(AT2037+AT2055+AT2046*AT$201+AT2064*$D2145)</f>
        <v/>
      </c>
      <c r="AU2145" s="44">
        <f>AU2109*Settings!$C$13*(AU2037+AU2055+AU2046*AU$201+AU2064*$D2145)</f>
        <v/>
      </c>
      <c r="AV2145" s="44">
        <f>AV2109*Settings!$C$13*(AV2037+AV2055+AV2046*AV$201+AV2064*$D2145)</f>
        <v/>
      </c>
      <c r="AW2145" s="44">
        <f>AW2109*Settings!$C$13*(AW2037+AW2055+AW2046*AW$201+AW2064*$D2145)</f>
        <v/>
      </c>
      <c r="AX2145" s="44">
        <f>AX2109*Settings!$C$13*(AX2037+AX2055+AX2046*AX$201+AX2064*$D2145)</f>
        <v/>
      </c>
      <c r="AY2145" s="44">
        <f>AY2109*Settings!$C$13*(AY2037+AY2055+AY2046*AY$201+AY2064*$D2145)</f>
        <v/>
      </c>
      <c r="AZ2145" s="44">
        <f>AZ2109*Settings!$C$13*(AZ2037+AZ2055+AZ2046*AZ$201+AZ2064*$D2145)</f>
        <v/>
      </c>
      <c r="BA2145" s="57">
        <f>REVENUE(BA2109,Settings!$C$13,NEWREVRATE(BA2037,BA2055,BA2046,BA$201,BA2064,$D2145))</f>
        <v/>
      </c>
    </row>
    <row r="2146" hidden="1" outlineLevel="2">
      <c r="A2146" s="14" t="inlineStr">
        <is>
          <t>rnew</t>
        </is>
      </c>
      <c r="B2146" s="14" t="inlineStr">
        <is>
          <t>nga</t>
        </is>
      </c>
      <c r="C2146" s="14" t="inlineStr">
        <is>
          <t>irn</t>
        </is>
      </c>
      <c r="D2146" s="35">
        <f>INDEX(Inputs!$V$5:$V$132,MATCH($B2146&amp;"|"&amp;$C2146,Inputs!$A$5:$A$132,0))</f>
        <v/>
      </c>
      <c r="E2146" s="39" t="n"/>
      <c r="F2146" s="39" t="n"/>
      <c r="G2146" s="39" t="n"/>
      <c r="H2146" s="14">
        <f>INDEX(VarLab,MATCH($A2146,VarKey,0))&amp;INDEX(MemLab,MATCH($C2146&amp;"|"&amp;$B2146,MemKey,0))</f>
        <v/>
      </c>
      <c r="I2146" s="14">
        <f>INDEX(VarUnit,MATCH($A2146,VarKey,0))</f>
        <v/>
      </c>
      <c r="J2146" s="14">
        <f>INDEX(VarSrc,MATCH($A2146,VarKey,0))</f>
        <v/>
      </c>
      <c r="K2146" s="11">
        <f>CodePrefix&amp;$A2146&amp;IF($C2146="","","."&amp;$C2146&amp;"."&amp;$B2146)&amp;INDEX(VarEnd,MATCH($A2146,VarKey,0))&amp;K$5</f>
        <v/>
      </c>
      <c r="L2146" s="43">
        <f>L2110*Settings!$C$13*(L2038+L2056+L2047*L$201+L2065*$D2146)</f>
        <v/>
      </c>
      <c r="M2146" s="44">
        <f>M2110*Settings!$C$13*(M2038+M2056+M2047*M$201+M2065*$D2146)</f>
        <v/>
      </c>
      <c r="N2146" s="44">
        <f>N2110*Settings!$C$13*(N2038+N2056+N2047*N$201+N2065*$D2146)</f>
        <v/>
      </c>
      <c r="O2146" s="44">
        <f>O2110*Settings!$C$13*(O2038+O2056+O2047*O$201+O2065*$D2146)</f>
        <v/>
      </c>
      <c r="P2146" s="44">
        <f>P2110*Settings!$C$13*(P2038+P2056+P2047*P$201+P2065*$D2146)</f>
        <v/>
      </c>
      <c r="Q2146" s="44">
        <f>Q2110*Settings!$C$13*(Q2038+Q2056+Q2047*Q$201+Q2065*$D2146)</f>
        <v/>
      </c>
      <c r="R2146" s="44">
        <f>R2110*Settings!$C$13*(R2038+R2056+R2047*R$201+R2065*$D2146)</f>
        <v/>
      </c>
      <c r="S2146" s="44">
        <f>S2110*Settings!$C$13*(S2038+S2056+S2047*S$201+S2065*$D2146)</f>
        <v/>
      </c>
      <c r="T2146" s="44">
        <f>T2110*Settings!$C$13*(T2038+T2056+T2047*T$201+T2065*$D2146)</f>
        <v/>
      </c>
      <c r="U2146" s="44">
        <f>U2110*Settings!$C$13*(U2038+U2056+U2047*U$201+U2065*$D2146)</f>
        <v/>
      </c>
      <c r="V2146" s="44">
        <f>V2110*Settings!$C$13*(V2038+V2056+V2047*V$201+V2065*$D2146)</f>
        <v/>
      </c>
      <c r="W2146" s="44">
        <f>W2110*Settings!$C$13*(W2038+W2056+W2047*W$201+W2065*$D2146)</f>
        <v/>
      </c>
      <c r="X2146" s="44">
        <f>X2110*Settings!$C$13*(X2038+X2056+X2047*X$201+X2065*$D2146)</f>
        <v/>
      </c>
      <c r="Y2146" s="44">
        <f>Y2110*Settings!$C$13*(Y2038+Y2056+Y2047*Y$201+Y2065*$D2146)</f>
        <v/>
      </c>
      <c r="Z2146" s="44">
        <f>Z2110*Settings!$C$13*(Z2038+Z2056+Z2047*Z$201+Z2065*$D2146)</f>
        <v/>
      </c>
      <c r="AA2146" s="44">
        <f>AA2110*Settings!$C$13*(AA2038+AA2056+AA2047*AA$201+AA2065*$D2146)</f>
        <v/>
      </c>
      <c r="AB2146" s="44">
        <f>AB2110*Settings!$C$13*(AB2038+AB2056+AB2047*AB$201+AB2065*$D2146)</f>
        <v/>
      </c>
      <c r="AC2146" s="44">
        <f>AC2110*Settings!$C$13*(AC2038+AC2056+AC2047*AC$201+AC2065*$D2146)</f>
        <v/>
      </c>
      <c r="AD2146" s="44">
        <f>AD2110*Settings!$C$13*(AD2038+AD2056+AD2047*AD$201+AD2065*$D2146)</f>
        <v/>
      </c>
      <c r="AE2146" s="57">
        <f>REVENUE(AE2110,Settings!$C$13,NEWREVRATE(AE2038,AE2056,AE2047,AE$201,AE2065,$D2146))</f>
        <v/>
      </c>
      <c r="AG2146" s="11">
        <f>CodePrefix&amp;$A2146&amp;IF($C2146="","","."&amp;$C2146&amp;"."&amp;$B2146)&amp;INDEX(VarEnd,MATCH($A2146,VarKey,0))&amp;AG$5</f>
        <v/>
      </c>
      <c r="AH2146" s="43">
        <f>AH2110*Settings!$C$13*(AH2038+AH2056+AH2047*AH$201+AH2065*$D2146)</f>
        <v/>
      </c>
      <c r="AI2146" s="44">
        <f>AI2110*Settings!$C$13*(AI2038+AI2056+AI2047*AI$201+AI2065*$D2146)</f>
        <v/>
      </c>
      <c r="AJ2146" s="44">
        <f>AJ2110*Settings!$C$13*(AJ2038+AJ2056+AJ2047*AJ$201+AJ2065*$D2146)</f>
        <v/>
      </c>
      <c r="AK2146" s="44">
        <f>AK2110*Settings!$C$13*(AK2038+AK2056+AK2047*AK$201+AK2065*$D2146)</f>
        <v/>
      </c>
      <c r="AL2146" s="44">
        <f>AL2110*Settings!$C$13*(AL2038+AL2056+AL2047*AL$201+AL2065*$D2146)</f>
        <v/>
      </c>
      <c r="AM2146" s="44">
        <f>AM2110*Settings!$C$13*(AM2038+AM2056+AM2047*AM$201+AM2065*$D2146)</f>
        <v/>
      </c>
      <c r="AN2146" s="44">
        <f>AN2110*Settings!$C$13*(AN2038+AN2056+AN2047*AN$201+AN2065*$D2146)</f>
        <v/>
      </c>
      <c r="AO2146" s="44">
        <f>AO2110*Settings!$C$13*(AO2038+AO2056+AO2047*AO$201+AO2065*$D2146)</f>
        <v/>
      </c>
      <c r="AP2146" s="44">
        <f>AP2110*Settings!$C$13*(AP2038+AP2056+AP2047*AP$201+AP2065*$D2146)</f>
        <v/>
      </c>
      <c r="AQ2146" s="44">
        <f>AQ2110*Settings!$C$13*(AQ2038+AQ2056+AQ2047*AQ$201+AQ2065*$D2146)</f>
        <v/>
      </c>
      <c r="AR2146" s="44">
        <f>AR2110*Settings!$C$13*(AR2038+AR2056+AR2047*AR$201+AR2065*$D2146)</f>
        <v/>
      </c>
      <c r="AS2146" s="44">
        <f>AS2110*Settings!$C$13*(AS2038+AS2056+AS2047*AS$201+AS2065*$D2146)</f>
        <v/>
      </c>
      <c r="AT2146" s="44">
        <f>AT2110*Settings!$C$13*(AT2038+AT2056+AT2047*AT$201+AT2065*$D2146)</f>
        <v/>
      </c>
      <c r="AU2146" s="44">
        <f>AU2110*Settings!$C$13*(AU2038+AU2056+AU2047*AU$201+AU2065*$D2146)</f>
        <v/>
      </c>
      <c r="AV2146" s="44">
        <f>AV2110*Settings!$C$13*(AV2038+AV2056+AV2047*AV$201+AV2065*$D2146)</f>
        <v/>
      </c>
      <c r="AW2146" s="44">
        <f>AW2110*Settings!$C$13*(AW2038+AW2056+AW2047*AW$201+AW2065*$D2146)</f>
        <v/>
      </c>
      <c r="AX2146" s="44">
        <f>AX2110*Settings!$C$13*(AX2038+AX2056+AX2047*AX$201+AX2065*$D2146)</f>
        <v/>
      </c>
      <c r="AY2146" s="44">
        <f>AY2110*Settings!$C$13*(AY2038+AY2056+AY2047*AY$201+AY2065*$D2146)</f>
        <v/>
      </c>
      <c r="AZ2146" s="44">
        <f>AZ2110*Settings!$C$13*(AZ2038+AZ2056+AZ2047*AZ$201+AZ2065*$D2146)</f>
        <v/>
      </c>
      <c r="BA2146" s="57">
        <f>REVENUE(BA2110,Settings!$C$13,NEWREVRATE(BA2038,BA2056,BA2047,BA$201,BA2065,$D2146))</f>
        <v/>
      </c>
    </row>
    <row r="2147" hidden="1" outlineLevel="2">
      <c r="A2147" s="14" t="inlineStr">
        <is>
          <t>rnew</t>
        </is>
      </c>
      <c r="B2147" s="14" t="inlineStr">
        <is>
          <t>gso</t>
        </is>
      </c>
      <c r="C2147" s="14" t="inlineStr">
        <is>
          <t>irn</t>
        </is>
      </c>
      <c r="D2147" s="35">
        <f>INDEX(Inputs!$V$5:$V$132,MATCH($B2147&amp;"|"&amp;$C2147,Inputs!$A$5:$A$132,0))</f>
        <v/>
      </c>
      <c r="E2147" s="39" t="n"/>
      <c r="F2147" s="39" t="n"/>
      <c r="G2147" s="39" t="n"/>
      <c r="H2147" s="14">
        <f>INDEX(VarLab,MATCH($A2147,VarKey,0))&amp;INDEX(MemLab,MATCH($C2147&amp;"|"&amp;$B2147,MemKey,0))</f>
        <v/>
      </c>
      <c r="I2147" s="14">
        <f>INDEX(VarUnit,MATCH($A2147,VarKey,0))</f>
        <v/>
      </c>
      <c r="J2147" s="14">
        <f>INDEX(VarSrc,MATCH($A2147,VarKey,0))</f>
        <v/>
      </c>
      <c r="K2147" s="11">
        <f>CodePrefix&amp;$A2147&amp;IF($C2147="","","."&amp;$C2147&amp;"."&amp;$B2147)&amp;INDEX(VarEnd,MATCH($A2147,VarKey,0))&amp;K$5</f>
        <v/>
      </c>
      <c r="L2147" s="43">
        <f>L2111*Settings!$C$13*(L2039+L2057+L2048*L$201+L2066*$D2147)</f>
        <v/>
      </c>
      <c r="M2147" s="44">
        <f>M2111*Settings!$C$13*(M2039+M2057+M2048*M$201+M2066*$D2147)</f>
        <v/>
      </c>
      <c r="N2147" s="44">
        <f>N2111*Settings!$C$13*(N2039+N2057+N2048*N$201+N2066*$D2147)</f>
        <v/>
      </c>
      <c r="O2147" s="44">
        <f>O2111*Settings!$C$13*(O2039+O2057+O2048*O$201+O2066*$D2147)</f>
        <v/>
      </c>
      <c r="P2147" s="44">
        <f>P2111*Settings!$C$13*(P2039+P2057+P2048*P$201+P2066*$D2147)</f>
        <v/>
      </c>
      <c r="Q2147" s="44">
        <f>Q2111*Settings!$C$13*(Q2039+Q2057+Q2048*Q$201+Q2066*$D2147)</f>
        <v/>
      </c>
      <c r="R2147" s="44">
        <f>R2111*Settings!$C$13*(R2039+R2057+R2048*R$201+R2066*$D2147)</f>
        <v/>
      </c>
      <c r="S2147" s="44">
        <f>S2111*Settings!$C$13*(S2039+S2057+S2048*S$201+S2066*$D2147)</f>
        <v/>
      </c>
      <c r="T2147" s="44">
        <f>T2111*Settings!$C$13*(T2039+T2057+T2048*T$201+T2066*$D2147)</f>
        <v/>
      </c>
      <c r="U2147" s="44">
        <f>U2111*Settings!$C$13*(U2039+U2057+U2048*U$201+U2066*$D2147)</f>
        <v/>
      </c>
      <c r="V2147" s="44">
        <f>V2111*Settings!$C$13*(V2039+V2057+V2048*V$201+V2066*$D2147)</f>
        <v/>
      </c>
      <c r="W2147" s="44">
        <f>W2111*Settings!$C$13*(W2039+W2057+W2048*W$201+W2066*$D2147)</f>
        <v/>
      </c>
      <c r="X2147" s="44">
        <f>X2111*Settings!$C$13*(X2039+X2057+X2048*X$201+X2066*$D2147)</f>
        <v/>
      </c>
      <c r="Y2147" s="44">
        <f>Y2111*Settings!$C$13*(Y2039+Y2057+Y2048*Y$201+Y2066*$D2147)</f>
        <v/>
      </c>
      <c r="Z2147" s="44">
        <f>Z2111*Settings!$C$13*(Z2039+Z2057+Z2048*Z$201+Z2066*$D2147)</f>
        <v/>
      </c>
      <c r="AA2147" s="44">
        <f>AA2111*Settings!$C$13*(AA2039+AA2057+AA2048*AA$201+AA2066*$D2147)</f>
        <v/>
      </c>
      <c r="AB2147" s="44">
        <f>AB2111*Settings!$C$13*(AB2039+AB2057+AB2048*AB$201+AB2066*$D2147)</f>
        <v/>
      </c>
      <c r="AC2147" s="44">
        <f>AC2111*Settings!$C$13*(AC2039+AC2057+AC2048*AC$201+AC2066*$D2147)</f>
        <v/>
      </c>
      <c r="AD2147" s="44">
        <f>AD2111*Settings!$C$13*(AD2039+AD2057+AD2048*AD$201+AD2066*$D2147)</f>
        <v/>
      </c>
      <c r="AE2147" s="57">
        <f>REVENUE(AE2111,Settings!$C$13,NEWREVRATE(AE2039,AE2057,AE2048,AE$201,AE2066,$D2147))</f>
        <v/>
      </c>
      <c r="AG2147" s="11">
        <f>CodePrefix&amp;$A2147&amp;IF($C2147="","","."&amp;$C2147&amp;"."&amp;$B2147)&amp;INDEX(VarEnd,MATCH($A2147,VarKey,0))&amp;AG$5</f>
        <v/>
      </c>
      <c r="AH2147" s="43">
        <f>AH2111*Settings!$C$13*(AH2039+AH2057+AH2048*AH$201+AH2066*$D2147)</f>
        <v/>
      </c>
      <c r="AI2147" s="44">
        <f>AI2111*Settings!$C$13*(AI2039+AI2057+AI2048*AI$201+AI2066*$D2147)</f>
        <v/>
      </c>
      <c r="AJ2147" s="44">
        <f>AJ2111*Settings!$C$13*(AJ2039+AJ2057+AJ2048*AJ$201+AJ2066*$D2147)</f>
        <v/>
      </c>
      <c r="AK2147" s="44">
        <f>AK2111*Settings!$C$13*(AK2039+AK2057+AK2048*AK$201+AK2066*$D2147)</f>
        <v/>
      </c>
      <c r="AL2147" s="44">
        <f>AL2111*Settings!$C$13*(AL2039+AL2057+AL2048*AL$201+AL2066*$D2147)</f>
        <v/>
      </c>
      <c r="AM2147" s="44">
        <f>AM2111*Settings!$C$13*(AM2039+AM2057+AM2048*AM$201+AM2066*$D2147)</f>
        <v/>
      </c>
      <c r="AN2147" s="44">
        <f>AN2111*Settings!$C$13*(AN2039+AN2057+AN2048*AN$201+AN2066*$D2147)</f>
        <v/>
      </c>
      <c r="AO2147" s="44">
        <f>AO2111*Settings!$C$13*(AO2039+AO2057+AO2048*AO$201+AO2066*$D2147)</f>
        <v/>
      </c>
      <c r="AP2147" s="44">
        <f>AP2111*Settings!$C$13*(AP2039+AP2057+AP2048*AP$201+AP2066*$D2147)</f>
        <v/>
      </c>
      <c r="AQ2147" s="44">
        <f>AQ2111*Settings!$C$13*(AQ2039+AQ2057+AQ2048*AQ$201+AQ2066*$D2147)</f>
        <v/>
      </c>
      <c r="AR2147" s="44">
        <f>AR2111*Settings!$C$13*(AR2039+AR2057+AR2048*AR$201+AR2066*$D2147)</f>
        <v/>
      </c>
      <c r="AS2147" s="44">
        <f>AS2111*Settings!$C$13*(AS2039+AS2057+AS2048*AS$201+AS2066*$D2147)</f>
        <v/>
      </c>
      <c r="AT2147" s="44">
        <f>AT2111*Settings!$C$13*(AT2039+AT2057+AT2048*AT$201+AT2066*$D2147)</f>
        <v/>
      </c>
      <c r="AU2147" s="44">
        <f>AU2111*Settings!$C$13*(AU2039+AU2057+AU2048*AU$201+AU2066*$D2147)</f>
        <v/>
      </c>
      <c r="AV2147" s="44">
        <f>AV2111*Settings!$C$13*(AV2039+AV2057+AV2048*AV$201+AV2066*$D2147)</f>
        <v/>
      </c>
      <c r="AW2147" s="44">
        <f>AW2111*Settings!$C$13*(AW2039+AW2057+AW2048*AW$201+AW2066*$D2147)</f>
        <v/>
      </c>
      <c r="AX2147" s="44">
        <f>AX2111*Settings!$C$13*(AX2039+AX2057+AX2048*AX$201+AX2066*$D2147)</f>
        <v/>
      </c>
      <c r="AY2147" s="44">
        <f>AY2111*Settings!$C$13*(AY2039+AY2057+AY2048*AY$201+AY2066*$D2147)</f>
        <v/>
      </c>
      <c r="AZ2147" s="44">
        <f>AZ2111*Settings!$C$13*(AZ2039+AZ2057+AZ2048*AZ$201+AZ2066*$D2147)</f>
        <v/>
      </c>
      <c r="BA2147" s="57">
        <f>REVENUE(BA2111,Settings!$C$13,NEWREVRATE(BA2039,BA2057,BA2048,BA$201,BA2066,$D2147))</f>
        <v/>
      </c>
    </row>
    <row r="2148" hidden="1" outlineLevel="2">
      <c r="A2148" s="14" t="inlineStr">
        <is>
          <t>rnew</t>
        </is>
      </c>
      <c r="B2148" s="14" t="inlineStr">
        <is>
          <t>die</t>
        </is>
      </c>
      <c r="C2148" s="14" t="inlineStr">
        <is>
          <t>irn</t>
        </is>
      </c>
      <c r="D2148" s="35">
        <f>INDEX(Inputs!$V$5:$V$132,MATCH($B2148&amp;"|"&amp;$C2148,Inputs!$A$5:$A$132,0))</f>
        <v/>
      </c>
      <c r="E2148" s="39" t="n"/>
      <c r="F2148" s="39" t="n"/>
      <c r="G2148" s="39" t="n"/>
      <c r="H2148" s="14">
        <f>INDEX(VarLab,MATCH($A2148,VarKey,0))&amp;INDEX(MemLab,MATCH($C2148&amp;"|"&amp;$B2148,MemKey,0))</f>
        <v/>
      </c>
      <c r="I2148" s="14">
        <f>INDEX(VarUnit,MATCH($A2148,VarKey,0))</f>
        <v/>
      </c>
      <c r="J2148" s="14">
        <f>INDEX(VarSrc,MATCH($A2148,VarKey,0))</f>
        <v/>
      </c>
      <c r="K2148" s="11">
        <f>CodePrefix&amp;$A2148&amp;IF($C2148="","","."&amp;$C2148&amp;"."&amp;$B2148)&amp;INDEX(VarEnd,MATCH($A2148,VarKey,0))&amp;K$5</f>
        <v/>
      </c>
      <c r="L2148" s="43">
        <f>L2112*Settings!$C$13*(L2040+L2058+L2049*L$201+L2067*$D2148)</f>
        <v/>
      </c>
      <c r="M2148" s="44">
        <f>M2112*Settings!$C$13*(M2040+M2058+M2049*M$201+M2067*$D2148)</f>
        <v/>
      </c>
      <c r="N2148" s="44">
        <f>N2112*Settings!$C$13*(N2040+N2058+N2049*N$201+N2067*$D2148)</f>
        <v/>
      </c>
      <c r="O2148" s="44">
        <f>O2112*Settings!$C$13*(O2040+O2058+O2049*O$201+O2067*$D2148)</f>
        <v/>
      </c>
      <c r="P2148" s="44">
        <f>P2112*Settings!$C$13*(P2040+P2058+P2049*P$201+P2067*$D2148)</f>
        <v/>
      </c>
      <c r="Q2148" s="44">
        <f>Q2112*Settings!$C$13*(Q2040+Q2058+Q2049*Q$201+Q2067*$D2148)</f>
        <v/>
      </c>
      <c r="R2148" s="44">
        <f>R2112*Settings!$C$13*(R2040+R2058+R2049*R$201+R2067*$D2148)</f>
        <v/>
      </c>
      <c r="S2148" s="44">
        <f>S2112*Settings!$C$13*(S2040+S2058+S2049*S$201+S2067*$D2148)</f>
        <v/>
      </c>
      <c r="T2148" s="44">
        <f>T2112*Settings!$C$13*(T2040+T2058+T2049*T$201+T2067*$D2148)</f>
        <v/>
      </c>
      <c r="U2148" s="44">
        <f>U2112*Settings!$C$13*(U2040+U2058+U2049*U$201+U2067*$D2148)</f>
        <v/>
      </c>
      <c r="V2148" s="44">
        <f>V2112*Settings!$C$13*(V2040+V2058+V2049*V$201+V2067*$D2148)</f>
        <v/>
      </c>
      <c r="W2148" s="44">
        <f>W2112*Settings!$C$13*(W2040+W2058+W2049*W$201+W2067*$D2148)</f>
        <v/>
      </c>
      <c r="X2148" s="44">
        <f>X2112*Settings!$C$13*(X2040+X2058+X2049*X$201+X2067*$D2148)</f>
        <v/>
      </c>
      <c r="Y2148" s="44">
        <f>Y2112*Settings!$C$13*(Y2040+Y2058+Y2049*Y$201+Y2067*$D2148)</f>
        <v/>
      </c>
      <c r="Z2148" s="44">
        <f>Z2112*Settings!$C$13*(Z2040+Z2058+Z2049*Z$201+Z2067*$D2148)</f>
        <v/>
      </c>
      <c r="AA2148" s="44">
        <f>AA2112*Settings!$C$13*(AA2040+AA2058+AA2049*AA$201+AA2067*$D2148)</f>
        <v/>
      </c>
      <c r="AB2148" s="44">
        <f>AB2112*Settings!$C$13*(AB2040+AB2058+AB2049*AB$201+AB2067*$D2148)</f>
        <v/>
      </c>
      <c r="AC2148" s="44">
        <f>AC2112*Settings!$C$13*(AC2040+AC2058+AC2049*AC$201+AC2067*$D2148)</f>
        <v/>
      </c>
      <c r="AD2148" s="44">
        <f>AD2112*Settings!$C$13*(AD2040+AD2058+AD2049*AD$201+AD2067*$D2148)</f>
        <v/>
      </c>
      <c r="AE2148" s="57">
        <f>REVENUE(AE2112,Settings!$C$13,NEWREVRATE(AE2040,AE2058,AE2049,AE$201,AE2067,$D2148))</f>
        <v/>
      </c>
      <c r="AG2148" s="11">
        <f>CodePrefix&amp;$A2148&amp;IF($C2148="","","."&amp;$C2148&amp;"."&amp;$B2148)&amp;INDEX(VarEnd,MATCH($A2148,VarKey,0))&amp;AG$5</f>
        <v/>
      </c>
      <c r="AH2148" s="43">
        <f>AH2112*Settings!$C$13*(AH2040+AH2058+AH2049*AH$201+AH2067*$D2148)</f>
        <v/>
      </c>
      <c r="AI2148" s="44">
        <f>AI2112*Settings!$C$13*(AI2040+AI2058+AI2049*AI$201+AI2067*$D2148)</f>
        <v/>
      </c>
      <c r="AJ2148" s="44">
        <f>AJ2112*Settings!$C$13*(AJ2040+AJ2058+AJ2049*AJ$201+AJ2067*$D2148)</f>
        <v/>
      </c>
      <c r="AK2148" s="44">
        <f>AK2112*Settings!$C$13*(AK2040+AK2058+AK2049*AK$201+AK2067*$D2148)</f>
        <v/>
      </c>
      <c r="AL2148" s="44">
        <f>AL2112*Settings!$C$13*(AL2040+AL2058+AL2049*AL$201+AL2067*$D2148)</f>
        <v/>
      </c>
      <c r="AM2148" s="44">
        <f>AM2112*Settings!$C$13*(AM2040+AM2058+AM2049*AM$201+AM2067*$D2148)</f>
        <v/>
      </c>
      <c r="AN2148" s="44">
        <f>AN2112*Settings!$C$13*(AN2040+AN2058+AN2049*AN$201+AN2067*$D2148)</f>
        <v/>
      </c>
      <c r="AO2148" s="44">
        <f>AO2112*Settings!$C$13*(AO2040+AO2058+AO2049*AO$201+AO2067*$D2148)</f>
        <v/>
      </c>
      <c r="AP2148" s="44">
        <f>AP2112*Settings!$C$13*(AP2040+AP2058+AP2049*AP$201+AP2067*$D2148)</f>
        <v/>
      </c>
      <c r="AQ2148" s="44">
        <f>AQ2112*Settings!$C$13*(AQ2040+AQ2058+AQ2049*AQ$201+AQ2067*$D2148)</f>
        <v/>
      </c>
      <c r="AR2148" s="44">
        <f>AR2112*Settings!$C$13*(AR2040+AR2058+AR2049*AR$201+AR2067*$D2148)</f>
        <v/>
      </c>
      <c r="AS2148" s="44">
        <f>AS2112*Settings!$C$13*(AS2040+AS2058+AS2049*AS$201+AS2067*$D2148)</f>
        <v/>
      </c>
      <c r="AT2148" s="44">
        <f>AT2112*Settings!$C$13*(AT2040+AT2058+AT2049*AT$201+AT2067*$D2148)</f>
        <v/>
      </c>
      <c r="AU2148" s="44">
        <f>AU2112*Settings!$C$13*(AU2040+AU2058+AU2049*AU$201+AU2067*$D2148)</f>
        <v/>
      </c>
      <c r="AV2148" s="44">
        <f>AV2112*Settings!$C$13*(AV2040+AV2058+AV2049*AV$201+AV2067*$D2148)</f>
        <v/>
      </c>
      <c r="AW2148" s="44">
        <f>AW2112*Settings!$C$13*(AW2040+AW2058+AW2049*AW$201+AW2067*$D2148)</f>
        <v/>
      </c>
      <c r="AX2148" s="44">
        <f>AX2112*Settings!$C$13*(AX2040+AX2058+AX2049*AX$201+AX2067*$D2148)</f>
        <v/>
      </c>
      <c r="AY2148" s="44">
        <f>AY2112*Settings!$C$13*(AY2040+AY2058+AY2049*AY$201+AY2067*$D2148)</f>
        <v/>
      </c>
      <c r="AZ2148" s="44">
        <f>AZ2112*Settings!$C$13*(AZ2040+AZ2058+AZ2049*AZ$201+AZ2067*$D2148)</f>
        <v/>
      </c>
      <c r="BA2148" s="57">
        <f>REVENUE(BA2112,Settings!$C$13,NEWREVRATE(BA2040,BA2058,BA2049,BA$201,BA2067,$D2148))</f>
        <v/>
      </c>
    </row>
    <row r="2149" hidden="1" outlineLevel="2">
      <c r="A2149" s="14" t="inlineStr">
        <is>
          <t>rnew</t>
        </is>
      </c>
      <c r="B2149" s="14" t="inlineStr">
        <is>
          <t>lpg</t>
        </is>
      </c>
      <c r="C2149" s="14" t="inlineStr">
        <is>
          <t>irn</t>
        </is>
      </c>
      <c r="D2149" s="35">
        <f>INDEX(Inputs!$V$5:$V$132,MATCH($B2149&amp;"|"&amp;$C2149,Inputs!$A$5:$A$132,0))</f>
        <v/>
      </c>
      <c r="E2149" s="39" t="n"/>
      <c r="F2149" s="39" t="n"/>
      <c r="G2149" s="39" t="n"/>
      <c r="H2149" s="14">
        <f>INDEX(VarLab,MATCH($A2149,VarKey,0))&amp;INDEX(MemLab,MATCH($C2149&amp;"|"&amp;$B2149,MemKey,0))</f>
        <v/>
      </c>
      <c r="I2149" s="14">
        <f>INDEX(VarUnit,MATCH($A2149,VarKey,0))</f>
        <v/>
      </c>
      <c r="J2149" s="14">
        <f>INDEX(VarSrc,MATCH($A2149,VarKey,0))</f>
        <v/>
      </c>
      <c r="K2149" s="11">
        <f>CodePrefix&amp;$A2149&amp;IF($C2149="","","."&amp;$C2149&amp;"."&amp;$B2149)&amp;INDEX(VarEnd,MATCH($A2149,VarKey,0))&amp;K$5</f>
        <v/>
      </c>
      <c r="L2149" s="43">
        <f>L2113*Settings!$C$13*(L2041+L2059+L2050*L$201+L2068*$D2149)</f>
        <v/>
      </c>
      <c r="M2149" s="44">
        <f>M2113*Settings!$C$13*(M2041+M2059+M2050*M$201+M2068*$D2149)</f>
        <v/>
      </c>
      <c r="N2149" s="44">
        <f>N2113*Settings!$C$13*(N2041+N2059+N2050*N$201+N2068*$D2149)</f>
        <v/>
      </c>
      <c r="O2149" s="44">
        <f>O2113*Settings!$C$13*(O2041+O2059+O2050*O$201+O2068*$D2149)</f>
        <v/>
      </c>
      <c r="P2149" s="44">
        <f>P2113*Settings!$C$13*(P2041+P2059+P2050*P$201+P2068*$D2149)</f>
        <v/>
      </c>
      <c r="Q2149" s="44">
        <f>Q2113*Settings!$C$13*(Q2041+Q2059+Q2050*Q$201+Q2068*$D2149)</f>
        <v/>
      </c>
      <c r="R2149" s="44">
        <f>R2113*Settings!$C$13*(R2041+R2059+R2050*R$201+R2068*$D2149)</f>
        <v/>
      </c>
      <c r="S2149" s="44">
        <f>S2113*Settings!$C$13*(S2041+S2059+S2050*S$201+S2068*$D2149)</f>
        <v/>
      </c>
      <c r="T2149" s="44">
        <f>T2113*Settings!$C$13*(T2041+T2059+T2050*T$201+T2068*$D2149)</f>
        <v/>
      </c>
      <c r="U2149" s="44">
        <f>U2113*Settings!$C$13*(U2041+U2059+U2050*U$201+U2068*$D2149)</f>
        <v/>
      </c>
      <c r="V2149" s="44">
        <f>V2113*Settings!$C$13*(V2041+V2059+V2050*V$201+V2068*$D2149)</f>
        <v/>
      </c>
      <c r="W2149" s="44">
        <f>W2113*Settings!$C$13*(W2041+W2059+W2050*W$201+W2068*$D2149)</f>
        <v/>
      </c>
      <c r="X2149" s="44">
        <f>X2113*Settings!$C$13*(X2041+X2059+X2050*X$201+X2068*$D2149)</f>
        <v/>
      </c>
      <c r="Y2149" s="44">
        <f>Y2113*Settings!$C$13*(Y2041+Y2059+Y2050*Y$201+Y2068*$D2149)</f>
        <v/>
      </c>
      <c r="Z2149" s="44">
        <f>Z2113*Settings!$C$13*(Z2041+Z2059+Z2050*Z$201+Z2068*$D2149)</f>
        <v/>
      </c>
      <c r="AA2149" s="44">
        <f>AA2113*Settings!$C$13*(AA2041+AA2059+AA2050*AA$201+AA2068*$D2149)</f>
        <v/>
      </c>
      <c r="AB2149" s="44">
        <f>AB2113*Settings!$C$13*(AB2041+AB2059+AB2050*AB$201+AB2068*$D2149)</f>
        <v/>
      </c>
      <c r="AC2149" s="44">
        <f>AC2113*Settings!$C$13*(AC2041+AC2059+AC2050*AC$201+AC2068*$D2149)</f>
        <v/>
      </c>
      <c r="AD2149" s="44">
        <f>AD2113*Settings!$C$13*(AD2041+AD2059+AD2050*AD$201+AD2068*$D2149)</f>
        <v/>
      </c>
      <c r="AE2149" s="57">
        <f>REVENUE(AE2113,Settings!$C$13,NEWREVRATE(AE2041,AE2059,AE2050,AE$201,AE2068,$D2149))</f>
        <v/>
      </c>
      <c r="AG2149" s="11">
        <f>CodePrefix&amp;$A2149&amp;IF($C2149="","","."&amp;$C2149&amp;"."&amp;$B2149)&amp;INDEX(VarEnd,MATCH($A2149,VarKey,0))&amp;AG$5</f>
        <v/>
      </c>
      <c r="AH2149" s="43">
        <f>AH2113*Settings!$C$13*(AH2041+AH2059+AH2050*AH$201+AH2068*$D2149)</f>
        <v/>
      </c>
      <c r="AI2149" s="44">
        <f>AI2113*Settings!$C$13*(AI2041+AI2059+AI2050*AI$201+AI2068*$D2149)</f>
        <v/>
      </c>
      <c r="AJ2149" s="44">
        <f>AJ2113*Settings!$C$13*(AJ2041+AJ2059+AJ2050*AJ$201+AJ2068*$D2149)</f>
        <v/>
      </c>
      <c r="AK2149" s="44">
        <f>AK2113*Settings!$C$13*(AK2041+AK2059+AK2050*AK$201+AK2068*$D2149)</f>
        <v/>
      </c>
      <c r="AL2149" s="44">
        <f>AL2113*Settings!$C$13*(AL2041+AL2059+AL2050*AL$201+AL2068*$D2149)</f>
        <v/>
      </c>
      <c r="AM2149" s="44">
        <f>AM2113*Settings!$C$13*(AM2041+AM2059+AM2050*AM$201+AM2068*$D2149)</f>
        <v/>
      </c>
      <c r="AN2149" s="44">
        <f>AN2113*Settings!$C$13*(AN2041+AN2059+AN2050*AN$201+AN2068*$D2149)</f>
        <v/>
      </c>
      <c r="AO2149" s="44">
        <f>AO2113*Settings!$C$13*(AO2041+AO2059+AO2050*AO$201+AO2068*$D2149)</f>
        <v/>
      </c>
      <c r="AP2149" s="44">
        <f>AP2113*Settings!$C$13*(AP2041+AP2059+AP2050*AP$201+AP2068*$D2149)</f>
        <v/>
      </c>
      <c r="AQ2149" s="44">
        <f>AQ2113*Settings!$C$13*(AQ2041+AQ2059+AQ2050*AQ$201+AQ2068*$D2149)</f>
        <v/>
      </c>
      <c r="AR2149" s="44">
        <f>AR2113*Settings!$C$13*(AR2041+AR2059+AR2050*AR$201+AR2068*$D2149)</f>
        <v/>
      </c>
      <c r="AS2149" s="44">
        <f>AS2113*Settings!$C$13*(AS2041+AS2059+AS2050*AS$201+AS2068*$D2149)</f>
        <v/>
      </c>
      <c r="AT2149" s="44">
        <f>AT2113*Settings!$C$13*(AT2041+AT2059+AT2050*AT$201+AT2068*$D2149)</f>
        <v/>
      </c>
      <c r="AU2149" s="44">
        <f>AU2113*Settings!$C$13*(AU2041+AU2059+AU2050*AU$201+AU2068*$D2149)</f>
        <v/>
      </c>
      <c r="AV2149" s="44">
        <f>AV2113*Settings!$C$13*(AV2041+AV2059+AV2050*AV$201+AV2068*$D2149)</f>
        <v/>
      </c>
      <c r="AW2149" s="44">
        <f>AW2113*Settings!$C$13*(AW2041+AW2059+AW2050*AW$201+AW2068*$D2149)</f>
        <v/>
      </c>
      <c r="AX2149" s="44">
        <f>AX2113*Settings!$C$13*(AX2041+AX2059+AX2050*AX$201+AX2068*$D2149)</f>
        <v/>
      </c>
      <c r="AY2149" s="44">
        <f>AY2113*Settings!$C$13*(AY2041+AY2059+AY2050*AY$201+AY2068*$D2149)</f>
        <v/>
      </c>
      <c r="AZ2149" s="44">
        <f>AZ2113*Settings!$C$13*(AZ2041+AZ2059+AZ2050*AZ$201+AZ2068*$D2149)</f>
        <v/>
      </c>
      <c r="BA2149" s="57">
        <f>REVENUE(BA2113,Settings!$C$13,NEWREVRATE(BA2041,BA2059,BA2050,BA$201,BA2068,$D2149))</f>
        <v/>
      </c>
    </row>
    <row r="2150" hidden="1" outlineLevel="2">
      <c r="A2150" s="14" t="inlineStr">
        <is>
          <t>rnew</t>
        </is>
      </c>
      <c r="B2150" s="14" t="inlineStr">
        <is>
          <t>ker</t>
        </is>
      </c>
      <c r="C2150" s="14" t="inlineStr">
        <is>
          <t>irn</t>
        </is>
      </c>
      <c r="D2150" s="35">
        <f>INDEX(Inputs!$V$5:$V$132,MATCH($B2150&amp;"|"&amp;$C2150,Inputs!$A$5:$A$132,0))</f>
        <v/>
      </c>
      <c r="E2150" s="39" t="n"/>
      <c r="F2150" s="39" t="n"/>
      <c r="G2150" s="39" t="n"/>
      <c r="H2150" s="14">
        <f>INDEX(VarLab,MATCH($A2150,VarKey,0))&amp;INDEX(MemLab,MATCH($C2150&amp;"|"&amp;$B2150,MemKey,0))</f>
        <v/>
      </c>
      <c r="I2150" s="14">
        <f>INDEX(VarUnit,MATCH($A2150,VarKey,0))</f>
        <v/>
      </c>
      <c r="J2150" s="14">
        <f>INDEX(VarSrc,MATCH($A2150,VarKey,0))</f>
        <v/>
      </c>
      <c r="K2150" s="11">
        <f>CodePrefix&amp;$A2150&amp;IF($C2150="","","."&amp;$C2150&amp;"."&amp;$B2150)&amp;INDEX(VarEnd,MATCH($A2150,VarKey,0))&amp;K$5</f>
        <v/>
      </c>
      <c r="L2150" s="43">
        <f>L2114*Settings!$C$13*(L2042+L2060+L2051*L$201+L2069*$D2150)</f>
        <v/>
      </c>
      <c r="M2150" s="44">
        <f>M2114*Settings!$C$13*(M2042+M2060+M2051*M$201+M2069*$D2150)</f>
        <v/>
      </c>
      <c r="N2150" s="44">
        <f>N2114*Settings!$C$13*(N2042+N2060+N2051*N$201+N2069*$D2150)</f>
        <v/>
      </c>
      <c r="O2150" s="44">
        <f>O2114*Settings!$C$13*(O2042+O2060+O2051*O$201+O2069*$D2150)</f>
        <v/>
      </c>
      <c r="P2150" s="44">
        <f>P2114*Settings!$C$13*(P2042+P2060+P2051*P$201+P2069*$D2150)</f>
        <v/>
      </c>
      <c r="Q2150" s="44">
        <f>Q2114*Settings!$C$13*(Q2042+Q2060+Q2051*Q$201+Q2069*$D2150)</f>
        <v/>
      </c>
      <c r="R2150" s="44">
        <f>R2114*Settings!$C$13*(R2042+R2060+R2051*R$201+R2069*$D2150)</f>
        <v/>
      </c>
      <c r="S2150" s="44">
        <f>S2114*Settings!$C$13*(S2042+S2060+S2051*S$201+S2069*$D2150)</f>
        <v/>
      </c>
      <c r="T2150" s="44">
        <f>T2114*Settings!$C$13*(T2042+T2060+T2051*T$201+T2069*$D2150)</f>
        <v/>
      </c>
      <c r="U2150" s="44">
        <f>U2114*Settings!$C$13*(U2042+U2060+U2051*U$201+U2069*$D2150)</f>
        <v/>
      </c>
      <c r="V2150" s="44">
        <f>V2114*Settings!$C$13*(V2042+V2060+V2051*V$201+V2069*$D2150)</f>
        <v/>
      </c>
      <c r="W2150" s="44">
        <f>W2114*Settings!$C$13*(W2042+W2060+W2051*W$201+W2069*$D2150)</f>
        <v/>
      </c>
      <c r="X2150" s="44">
        <f>X2114*Settings!$C$13*(X2042+X2060+X2051*X$201+X2069*$D2150)</f>
        <v/>
      </c>
      <c r="Y2150" s="44">
        <f>Y2114*Settings!$C$13*(Y2042+Y2060+Y2051*Y$201+Y2069*$D2150)</f>
        <v/>
      </c>
      <c r="Z2150" s="44">
        <f>Z2114*Settings!$C$13*(Z2042+Z2060+Z2051*Z$201+Z2069*$D2150)</f>
        <v/>
      </c>
      <c r="AA2150" s="44">
        <f>AA2114*Settings!$C$13*(AA2042+AA2060+AA2051*AA$201+AA2069*$D2150)</f>
        <v/>
      </c>
      <c r="AB2150" s="44">
        <f>AB2114*Settings!$C$13*(AB2042+AB2060+AB2051*AB$201+AB2069*$D2150)</f>
        <v/>
      </c>
      <c r="AC2150" s="44">
        <f>AC2114*Settings!$C$13*(AC2042+AC2060+AC2051*AC$201+AC2069*$D2150)</f>
        <v/>
      </c>
      <c r="AD2150" s="44">
        <f>AD2114*Settings!$C$13*(AD2042+AD2060+AD2051*AD$201+AD2069*$D2150)</f>
        <v/>
      </c>
      <c r="AE2150" s="57">
        <f>REVENUE(AE2114,Settings!$C$13,NEWREVRATE(AE2042,AE2060,AE2051,AE$201,AE2069,$D2150))</f>
        <v/>
      </c>
      <c r="AG2150" s="11">
        <f>CodePrefix&amp;$A2150&amp;IF($C2150="","","."&amp;$C2150&amp;"."&amp;$B2150)&amp;INDEX(VarEnd,MATCH($A2150,VarKey,0))&amp;AG$5</f>
        <v/>
      </c>
      <c r="AH2150" s="43">
        <f>AH2114*Settings!$C$13*(AH2042+AH2060+AH2051*AH$201+AH2069*$D2150)</f>
        <v/>
      </c>
      <c r="AI2150" s="44">
        <f>AI2114*Settings!$C$13*(AI2042+AI2060+AI2051*AI$201+AI2069*$D2150)</f>
        <v/>
      </c>
      <c r="AJ2150" s="44">
        <f>AJ2114*Settings!$C$13*(AJ2042+AJ2060+AJ2051*AJ$201+AJ2069*$D2150)</f>
        <v/>
      </c>
      <c r="AK2150" s="44">
        <f>AK2114*Settings!$C$13*(AK2042+AK2060+AK2051*AK$201+AK2069*$D2150)</f>
        <v/>
      </c>
      <c r="AL2150" s="44">
        <f>AL2114*Settings!$C$13*(AL2042+AL2060+AL2051*AL$201+AL2069*$D2150)</f>
        <v/>
      </c>
      <c r="AM2150" s="44">
        <f>AM2114*Settings!$C$13*(AM2042+AM2060+AM2051*AM$201+AM2069*$D2150)</f>
        <v/>
      </c>
      <c r="AN2150" s="44">
        <f>AN2114*Settings!$C$13*(AN2042+AN2060+AN2051*AN$201+AN2069*$D2150)</f>
        <v/>
      </c>
      <c r="AO2150" s="44">
        <f>AO2114*Settings!$C$13*(AO2042+AO2060+AO2051*AO$201+AO2069*$D2150)</f>
        <v/>
      </c>
      <c r="AP2150" s="44">
        <f>AP2114*Settings!$C$13*(AP2042+AP2060+AP2051*AP$201+AP2069*$D2150)</f>
        <v/>
      </c>
      <c r="AQ2150" s="44">
        <f>AQ2114*Settings!$C$13*(AQ2042+AQ2060+AQ2051*AQ$201+AQ2069*$D2150)</f>
        <v/>
      </c>
      <c r="AR2150" s="44">
        <f>AR2114*Settings!$C$13*(AR2042+AR2060+AR2051*AR$201+AR2069*$D2150)</f>
        <v/>
      </c>
      <c r="AS2150" s="44">
        <f>AS2114*Settings!$C$13*(AS2042+AS2060+AS2051*AS$201+AS2069*$D2150)</f>
        <v/>
      </c>
      <c r="AT2150" s="44">
        <f>AT2114*Settings!$C$13*(AT2042+AT2060+AT2051*AT$201+AT2069*$D2150)</f>
        <v/>
      </c>
      <c r="AU2150" s="44">
        <f>AU2114*Settings!$C$13*(AU2042+AU2060+AU2051*AU$201+AU2069*$D2150)</f>
        <v/>
      </c>
      <c r="AV2150" s="44">
        <f>AV2114*Settings!$C$13*(AV2042+AV2060+AV2051*AV$201+AV2069*$D2150)</f>
        <v/>
      </c>
      <c r="AW2150" s="44">
        <f>AW2114*Settings!$C$13*(AW2042+AW2060+AW2051*AW$201+AW2069*$D2150)</f>
        <v/>
      </c>
      <c r="AX2150" s="44">
        <f>AX2114*Settings!$C$13*(AX2042+AX2060+AX2051*AX$201+AX2069*$D2150)</f>
        <v/>
      </c>
      <c r="AY2150" s="44">
        <f>AY2114*Settings!$C$13*(AY2042+AY2060+AY2051*AY$201+AY2069*$D2150)</f>
        <v/>
      </c>
      <c r="AZ2150" s="44">
        <f>AZ2114*Settings!$C$13*(AZ2042+AZ2060+AZ2051*AZ$201+AZ2069*$D2150)</f>
        <v/>
      </c>
      <c r="BA2150" s="57">
        <f>REVENUE(BA2114,Settings!$C$13,NEWREVRATE(BA2042,BA2060,BA2051,BA$201,BA2069,$D2150))</f>
        <v/>
      </c>
    </row>
    <row r="2151" hidden="1" outlineLevel="2">
      <c r="A2151" s="14" t="inlineStr">
        <is>
          <t>rnew</t>
        </is>
      </c>
      <c r="B2151" s="14" t="inlineStr">
        <is>
          <t>oop</t>
        </is>
      </c>
      <c r="C2151" s="14" t="inlineStr">
        <is>
          <t>irn</t>
        </is>
      </c>
      <c r="D2151" s="35">
        <f>INDEX(Inputs!$V$5:$V$132,MATCH($B2151&amp;"|"&amp;$C2151,Inputs!$A$5:$A$132,0))</f>
        <v/>
      </c>
      <c r="E2151" s="39" t="n"/>
      <c r="F2151" s="39" t="n"/>
      <c r="G2151" s="39" t="n"/>
      <c r="H2151" s="14">
        <f>INDEX(VarLab,MATCH($A2151,VarKey,0))&amp;INDEX(MemLab,MATCH($C2151&amp;"|"&amp;$B2151,MemKey,0))</f>
        <v/>
      </c>
      <c r="I2151" s="14">
        <f>INDEX(VarUnit,MATCH($A2151,VarKey,0))</f>
        <v/>
      </c>
      <c r="J2151" s="14">
        <f>INDEX(VarSrc,MATCH($A2151,VarKey,0))</f>
        <v/>
      </c>
      <c r="K2151" s="11">
        <f>CodePrefix&amp;$A2151&amp;IF($C2151="","","."&amp;$C2151&amp;"."&amp;$B2151)&amp;INDEX(VarEnd,MATCH($A2151,VarKey,0))&amp;K$5</f>
        <v/>
      </c>
      <c r="L2151" s="43">
        <f>L2115*Settings!$C$13*(L2043+L2061+L2052*L$201+L2070*$D2151)</f>
        <v/>
      </c>
      <c r="M2151" s="44">
        <f>M2115*Settings!$C$13*(M2043+M2061+M2052*M$201+M2070*$D2151)</f>
        <v/>
      </c>
      <c r="N2151" s="44">
        <f>N2115*Settings!$C$13*(N2043+N2061+N2052*N$201+N2070*$D2151)</f>
        <v/>
      </c>
      <c r="O2151" s="44">
        <f>O2115*Settings!$C$13*(O2043+O2061+O2052*O$201+O2070*$D2151)</f>
        <v/>
      </c>
      <c r="P2151" s="44">
        <f>P2115*Settings!$C$13*(P2043+P2061+P2052*P$201+P2070*$D2151)</f>
        <v/>
      </c>
      <c r="Q2151" s="44">
        <f>Q2115*Settings!$C$13*(Q2043+Q2061+Q2052*Q$201+Q2070*$D2151)</f>
        <v/>
      </c>
      <c r="R2151" s="44">
        <f>R2115*Settings!$C$13*(R2043+R2061+R2052*R$201+R2070*$D2151)</f>
        <v/>
      </c>
      <c r="S2151" s="44">
        <f>S2115*Settings!$C$13*(S2043+S2061+S2052*S$201+S2070*$D2151)</f>
        <v/>
      </c>
      <c r="T2151" s="44">
        <f>T2115*Settings!$C$13*(T2043+T2061+T2052*T$201+T2070*$D2151)</f>
        <v/>
      </c>
      <c r="U2151" s="44">
        <f>U2115*Settings!$C$13*(U2043+U2061+U2052*U$201+U2070*$D2151)</f>
        <v/>
      </c>
      <c r="V2151" s="44">
        <f>V2115*Settings!$C$13*(V2043+V2061+V2052*V$201+V2070*$D2151)</f>
        <v/>
      </c>
      <c r="W2151" s="44">
        <f>W2115*Settings!$C$13*(W2043+W2061+W2052*W$201+W2070*$D2151)</f>
        <v/>
      </c>
      <c r="X2151" s="44">
        <f>X2115*Settings!$C$13*(X2043+X2061+X2052*X$201+X2070*$D2151)</f>
        <v/>
      </c>
      <c r="Y2151" s="44">
        <f>Y2115*Settings!$C$13*(Y2043+Y2061+Y2052*Y$201+Y2070*$D2151)</f>
        <v/>
      </c>
      <c r="Z2151" s="44">
        <f>Z2115*Settings!$C$13*(Z2043+Z2061+Z2052*Z$201+Z2070*$D2151)</f>
        <v/>
      </c>
      <c r="AA2151" s="44">
        <f>AA2115*Settings!$C$13*(AA2043+AA2061+AA2052*AA$201+AA2070*$D2151)</f>
        <v/>
      </c>
      <c r="AB2151" s="44">
        <f>AB2115*Settings!$C$13*(AB2043+AB2061+AB2052*AB$201+AB2070*$D2151)</f>
        <v/>
      </c>
      <c r="AC2151" s="44">
        <f>AC2115*Settings!$C$13*(AC2043+AC2061+AC2052*AC$201+AC2070*$D2151)</f>
        <v/>
      </c>
      <c r="AD2151" s="44">
        <f>AD2115*Settings!$C$13*(AD2043+AD2061+AD2052*AD$201+AD2070*$D2151)</f>
        <v/>
      </c>
      <c r="AE2151" s="57">
        <f>REVENUE(AE2115,Settings!$C$13,NEWREVRATE(AE2043,AE2061,AE2052,AE$201,AE2070,$D2151))</f>
        <v/>
      </c>
      <c r="AG2151" s="11">
        <f>CodePrefix&amp;$A2151&amp;IF($C2151="","","."&amp;$C2151&amp;"."&amp;$B2151)&amp;INDEX(VarEnd,MATCH($A2151,VarKey,0))&amp;AG$5</f>
        <v/>
      </c>
      <c r="AH2151" s="43">
        <f>AH2115*Settings!$C$13*(AH2043+AH2061+AH2052*AH$201+AH2070*$D2151)</f>
        <v/>
      </c>
      <c r="AI2151" s="44">
        <f>AI2115*Settings!$C$13*(AI2043+AI2061+AI2052*AI$201+AI2070*$D2151)</f>
        <v/>
      </c>
      <c r="AJ2151" s="44">
        <f>AJ2115*Settings!$C$13*(AJ2043+AJ2061+AJ2052*AJ$201+AJ2070*$D2151)</f>
        <v/>
      </c>
      <c r="AK2151" s="44">
        <f>AK2115*Settings!$C$13*(AK2043+AK2061+AK2052*AK$201+AK2070*$D2151)</f>
        <v/>
      </c>
      <c r="AL2151" s="44">
        <f>AL2115*Settings!$C$13*(AL2043+AL2061+AL2052*AL$201+AL2070*$D2151)</f>
        <v/>
      </c>
      <c r="AM2151" s="44">
        <f>AM2115*Settings!$C$13*(AM2043+AM2061+AM2052*AM$201+AM2070*$D2151)</f>
        <v/>
      </c>
      <c r="AN2151" s="44">
        <f>AN2115*Settings!$C$13*(AN2043+AN2061+AN2052*AN$201+AN2070*$D2151)</f>
        <v/>
      </c>
      <c r="AO2151" s="44">
        <f>AO2115*Settings!$C$13*(AO2043+AO2061+AO2052*AO$201+AO2070*$D2151)</f>
        <v/>
      </c>
      <c r="AP2151" s="44">
        <f>AP2115*Settings!$C$13*(AP2043+AP2061+AP2052*AP$201+AP2070*$D2151)</f>
        <v/>
      </c>
      <c r="AQ2151" s="44">
        <f>AQ2115*Settings!$C$13*(AQ2043+AQ2061+AQ2052*AQ$201+AQ2070*$D2151)</f>
        <v/>
      </c>
      <c r="AR2151" s="44">
        <f>AR2115*Settings!$C$13*(AR2043+AR2061+AR2052*AR$201+AR2070*$D2151)</f>
        <v/>
      </c>
      <c r="AS2151" s="44">
        <f>AS2115*Settings!$C$13*(AS2043+AS2061+AS2052*AS$201+AS2070*$D2151)</f>
        <v/>
      </c>
      <c r="AT2151" s="44">
        <f>AT2115*Settings!$C$13*(AT2043+AT2061+AT2052*AT$201+AT2070*$D2151)</f>
        <v/>
      </c>
      <c r="AU2151" s="44">
        <f>AU2115*Settings!$C$13*(AU2043+AU2061+AU2052*AU$201+AU2070*$D2151)</f>
        <v/>
      </c>
      <c r="AV2151" s="44">
        <f>AV2115*Settings!$C$13*(AV2043+AV2061+AV2052*AV$201+AV2070*$D2151)</f>
        <v/>
      </c>
      <c r="AW2151" s="44">
        <f>AW2115*Settings!$C$13*(AW2043+AW2061+AW2052*AW$201+AW2070*$D2151)</f>
        <v/>
      </c>
      <c r="AX2151" s="44">
        <f>AX2115*Settings!$C$13*(AX2043+AX2061+AX2052*AX$201+AX2070*$D2151)</f>
        <v/>
      </c>
      <c r="AY2151" s="44">
        <f>AY2115*Settings!$C$13*(AY2043+AY2061+AY2052*AY$201+AY2070*$D2151)</f>
        <v/>
      </c>
      <c r="AZ2151" s="44">
        <f>AZ2115*Settings!$C$13*(AZ2043+AZ2061+AZ2052*AZ$201+AZ2070*$D2151)</f>
        <v/>
      </c>
      <c r="BA2151" s="57">
        <f>REVENUE(BA2115,Settings!$C$13,NEWREVRATE(BA2043,BA2061,BA2052,BA$201,BA2070,$D2151))</f>
        <v/>
      </c>
    </row>
    <row r="2152" hidden="1" outlineLevel="2">
      <c r="A2152" s="14" t="inlineStr">
        <is>
          <t>rnew</t>
        </is>
      </c>
      <c r="B2152" s="14" t="inlineStr">
        <is>
          <t>bio</t>
        </is>
      </c>
      <c r="C2152" s="14" t="inlineStr">
        <is>
          <t>irn</t>
        </is>
      </c>
      <c r="D2152" s="35">
        <f>INDEX(Inputs!$V$5:$V$132,MATCH($B2152&amp;"|"&amp;$C2152,Inputs!$A$5:$A$132,0))</f>
        <v/>
      </c>
      <c r="E2152" s="39" t="n"/>
      <c r="F2152" s="39" t="n"/>
      <c r="G2152" s="39" t="n"/>
      <c r="H2152" s="14">
        <f>INDEX(VarLab,MATCH($A2152,VarKey,0))&amp;INDEX(MemLab,MATCH($C2152&amp;"|"&amp;$B2152,MemKey,0))</f>
        <v/>
      </c>
      <c r="I2152" s="14">
        <f>INDEX(VarUnit,MATCH($A2152,VarKey,0))</f>
        <v/>
      </c>
      <c r="J2152" s="14">
        <f>INDEX(VarSrc,MATCH($A2152,VarKey,0))</f>
        <v/>
      </c>
      <c r="K2152" s="11">
        <f>CodePrefix&amp;$A2152&amp;IF($C2152="","","."&amp;$C2152&amp;"."&amp;$B2152)&amp;INDEX(VarEnd,MATCH($A2152,VarKey,0))&amp;K$5</f>
        <v/>
      </c>
      <c r="L2152" s="43">
        <f>L2116*Settings!$C$13*(L2044+L2062+L2053*L$201+L2071*$D2152)</f>
        <v/>
      </c>
      <c r="M2152" s="44">
        <f>M2116*Settings!$C$13*(M2044+M2062+M2053*M$201+M2071*$D2152)</f>
        <v/>
      </c>
      <c r="N2152" s="44">
        <f>N2116*Settings!$C$13*(N2044+N2062+N2053*N$201+N2071*$D2152)</f>
        <v/>
      </c>
      <c r="O2152" s="44">
        <f>O2116*Settings!$C$13*(O2044+O2062+O2053*O$201+O2071*$D2152)</f>
        <v/>
      </c>
      <c r="P2152" s="44">
        <f>P2116*Settings!$C$13*(P2044+P2062+P2053*P$201+P2071*$D2152)</f>
        <v/>
      </c>
      <c r="Q2152" s="44">
        <f>Q2116*Settings!$C$13*(Q2044+Q2062+Q2053*Q$201+Q2071*$D2152)</f>
        <v/>
      </c>
      <c r="R2152" s="44">
        <f>R2116*Settings!$C$13*(R2044+R2062+R2053*R$201+R2071*$D2152)</f>
        <v/>
      </c>
      <c r="S2152" s="44">
        <f>S2116*Settings!$C$13*(S2044+S2062+S2053*S$201+S2071*$D2152)</f>
        <v/>
      </c>
      <c r="T2152" s="44">
        <f>T2116*Settings!$C$13*(T2044+T2062+T2053*T$201+T2071*$D2152)</f>
        <v/>
      </c>
      <c r="U2152" s="44">
        <f>U2116*Settings!$C$13*(U2044+U2062+U2053*U$201+U2071*$D2152)</f>
        <v/>
      </c>
      <c r="V2152" s="44">
        <f>V2116*Settings!$C$13*(V2044+V2062+V2053*V$201+V2071*$D2152)</f>
        <v/>
      </c>
      <c r="W2152" s="44">
        <f>W2116*Settings!$C$13*(W2044+W2062+W2053*W$201+W2071*$D2152)</f>
        <v/>
      </c>
      <c r="X2152" s="44">
        <f>X2116*Settings!$C$13*(X2044+X2062+X2053*X$201+X2071*$D2152)</f>
        <v/>
      </c>
      <c r="Y2152" s="44">
        <f>Y2116*Settings!$C$13*(Y2044+Y2062+Y2053*Y$201+Y2071*$D2152)</f>
        <v/>
      </c>
      <c r="Z2152" s="44">
        <f>Z2116*Settings!$C$13*(Z2044+Z2062+Z2053*Z$201+Z2071*$D2152)</f>
        <v/>
      </c>
      <c r="AA2152" s="44">
        <f>AA2116*Settings!$C$13*(AA2044+AA2062+AA2053*AA$201+AA2071*$D2152)</f>
        <v/>
      </c>
      <c r="AB2152" s="44">
        <f>AB2116*Settings!$C$13*(AB2044+AB2062+AB2053*AB$201+AB2071*$D2152)</f>
        <v/>
      </c>
      <c r="AC2152" s="44">
        <f>AC2116*Settings!$C$13*(AC2044+AC2062+AC2053*AC$201+AC2071*$D2152)</f>
        <v/>
      </c>
      <c r="AD2152" s="44">
        <f>AD2116*Settings!$C$13*(AD2044+AD2062+AD2053*AD$201+AD2071*$D2152)</f>
        <v/>
      </c>
      <c r="AE2152" s="57">
        <f>REVENUE(AE2116,Settings!$C$13,NEWREVRATE(AE2044,AE2062,AE2053,AE$201,AE2071,$D2152))</f>
        <v/>
      </c>
      <c r="AG2152" s="11">
        <f>CodePrefix&amp;$A2152&amp;IF($C2152="","","."&amp;$C2152&amp;"."&amp;$B2152)&amp;INDEX(VarEnd,MATCH($A2152,VarKey,0))&amp;AG$5</f>
        <v/>
      </c>
      <c r="AH2152" s="43">
        <f>AH2116*Settings!$C$13*(AH2044+AH2062+AH2053*AH$201+AH2071*$D2152)</f>
        <v/>
      </c>
      <c r="AI2152" s="44">
        <f>AI2116*Settings!$C$13*(AI2044+AI2062+AI2053*AI$201+AI2071*$D2152)</f>
        <v/>
      </c>
      <c r="AJ2152" s="44">
        <f>AJ2116*Settings!$C$13*(AJ2044+AJ2062+AJ2053*AJ$201+AJ2071*$D2152)</f>
        <v/>
      </c>
      <c r="AK2152" s="44">
        <f>AK2116*Settings!$C$13*(AK2044+AK2062+AK2053*AK$201+AK2071*$D2152)</f>
        <v/>
      </c>
      <c r="AL2152" s="44">
        <f>AL2116*Settings!$C$13*(AL2044+AL2062+AL2053*AL$201+AL2071*$D2152)</f>
        <v/>
      </c>
      <c r="AM2152" s="44">
        <f>AM2116*Settings!$C$13*(AM2044+AM2062+AM2053*AM$201+AM2071*$D2152)</f>
        <v/>
      </c>
      <c r="AN2152" s="44">
        <f>AN2116*Settings!$C$13*(AN2044+AN2062+AN2053*AN$201+AN2071*$D2152)</f>
        <v/>
      </c>
      <c r="AO2152" s="44">
        <f>AO2116*Settings!$C$13*(AO2044+AO2062+AO2053*AO$201+AO2071*$D2152)</f>
        <v/>
      </c>
      <c r="AP2152" s="44">
        <f>AP2116*Settings!$C$13*(AP2044+AP2062+AP2053*AP$201+AP2071*$D2152)</f>
        <v/>
      </c>
      <c r="AQ2152" s="44">
        <f>AQ2116*Settings!$C$13*(AQ2044+AQ2062+AQ2053*AQ$201+AQ2071*$D2152)</f>
        <v/>
      </c>
      <c r="AR2152" s="44">
        <f>AR2116*Settings!$C$13*(AR2044+AR2062+AR2053*AR$201+AR2071*$D2152)</f>
        <v/>
      </c>
      <c r="AS2152" s="44">
        <f>AS2116*Settings!$C$13*(AS2044+AS2062+AS2053*AS$201+AS2071*$D2152)</f>
        <v/>
      </c>
      <c r="AT2152" s="44">
        <f>AT2116*Settings!$C$13*(AT2044+AT2062+AT2053*AT$201+AT2071*$D2152)</f>
        <v/>
      </c>
      <c r="AU2152" s="44">
        <f>AU2116*Settings!$C$13*(AU2044+AU2062+AU2053*AU$201+AU2071*$D2152)</f>
        <v/>
      </c>
      <c r="AV2152" s="44">
        <f>AV2116*Settings!$C$13*(AV2044+AV2062+AV2053*AV$201+AV2071*$D2152)</f>
        <v/>
      </c>
      <c r="AW2152" s="44">
        <f>AW2116*Settings!$C$13*(AW2044+AW2062+AW2053*AW$201+AW2071*$D2152)</f>
        <v/>
      </c>
      <c r="AX2152" s="44">
        <f>AX2116*Settings!$C$13*(AX2044+AX2062+AX2053*AX$201+AX2071*$D2152)</f>
        <v/>
      </c>
      <c r="AY2152" s="44">
        <f>AY2116*Settings!$C$13*(AY2044+AY2062+AY2053*AY$201+AY2071*$D2152)</f>
        <v/>
      </c>
      <c r="AZ2152" s="44">
        <f>AZ2116*Settings!$C$13*(AZ2044+AZ2062+AZ2053*AZ$201+AZ2071*$D2152)</f>
        <v/>
      </c>
      <c r="BA2152" s="57">
        <f>REVENUE(BA2116,Settings!$C$13,NEWREVRATE(BA2044,BA2062,BA2053,BA$201,BA2071,$D2152))</f>
        <v/>
      </c>
    </row>
    <row r="2153" hidden="1" outlineLevel="2"/>
    <row r="2154" hidden="1" outlineLevel="2">
      <c r="A2154" s="14" t="inlineStr">
        <is>
          <t>rxcp</t>
        </is>
      </c>
      <c r="B2154" s="14" t="inlineStr">
        <is>
          <t>coa</t>
        </is>
      </c>
      <c r="C2154" s="14" t="inlineStr">
        <is>
          <t>irn</t>
        </is>
      </c>
      <c r="D2154" s="39" t="n"/>
      <c r="E2154" s="39" t="n"/>
      <c r="F2154" s="39" t="n"/>
      <c r="G2154" s="39" t="n"/>
      <c r="H2154" s="14">
        <f>INDEX(VarLab,MATCH($A2154,VarKey,0))&amp;INDEX(MemLab,MATCH($C2154&amp;"|"&amp;$B2154,MemKey,0))</f>
        <v/>
      </c>
      <c r="I2154" s="14">
        <f>INDEX(VarUnit,MATCH($A2154,VarKey,0))</f>
        <v/>
      </c>
      <c r="J2154" s="14">
        <f>INDEX(VarSrc,MATCH($A2154,VarKey,0))</f>
        <v/>
      </c>
      <c r="K2154" s="11">
        <f>CodePrefix&amp;$A2154&amp;IF($C2154="","","."&amp;$C2154&amp;"."&amp;$B2154)&amp;INDEX(VarEnd,MATCH($A2154,VarKey,0))&amp;K$5</f>
        <v/>
      </c>
      <c r="L2154" s="43">
        <f>L2109*Settings!$C$13*(L2073)</f>
        <v/>
      </c>
      <c r="M2154" s="44">
        <f>M2109*Settings!$C$13*(M2073)</f>
        <v/>
      </c>
      <c r="N2154" s="44">
        <f>N2109*Settings!$C$13*(N2073)</f>
        <v/>
      </c>
      <c r="O2154" s="44">
        <f>O2109*Settings!$C$13*(O2073)</f>
        <v/>
      </c>
      <c r="P2154" s="44">
        <f>P2109*Settings!$C$13*(P2073)</f>
        <v/>
      </c>
      <c r="Q2154" s="44">
        <f>Q2109*Settings!$C$13*(Q2073)</f>
        <v/>
      </c>
      <c r="R2154" s="44">
        <f>R2109*Settings!$C$13*(R2073)</f>
        <v/>
      </c>
      <c r="S2154" s="44">
        <f>S2109*Settings!$C$13*(S2073)</f>
        <v/>
      </c>
      <c r="T2154" s="44">
        <f>T2109*Settings!$C$13*(T2073)</f>
        <v/>
      </c>
      <c r="U2154" s="44">
        <f>U2109*Settings!$C$13*(U2073)</f>
        <v/>
      </c>
      <c r="V2154" s="44">
        <f>V2109*Settings!$C$13*(V2073)</f>
        <v/>
      </c>
      <c r="W2154" s="44">
        <f>W2109*Settings!$C$13*(W2073)</f>
        <v/>
      </c>
      <c r="X2154" s="44">
        <f>X2109*Settings!$C$13*(X2073)</f>
        <v/>
      </c>
      <c r="Y2154" s="44">
        <f>Y2109*Settings!$C$13*(Y2073)</f>
        <v/>
      </c>
      <c r="Z2154" s="44">
        <f>Z2109*Settings!$C$13*(Z2073)</f>
        <v/>
      </c>
      <c r="AA2154" s="44">
        <f>AA2109*Settings!$C$13*(AA2073)</f>
        <v/>
      </c>
      <c r="AB2154" s="44">
        <f>AB2109*Settings!$C$13*(AB2073)</f>
        <v/>
      </c>
      <c r="AC2154" s="44">
        <f>AC2109*Settings!$C$13*(AC2073)</f>
        <v/>
      </c>
      <c r="AD2154" s="44">
        <f>AD2109*Settings!$C$13*(AD2073)</f>
        <v/>
      </c>
      <c r="AE2154" s="57">
        <f>REVENUE(AE2109,Settings!$C$13,AE2073)</f>
        <v/>
      </c>
      <c r="AG2154" s="11">
        <f>CodePrefix&amp;$A2154&amp;IF($C2154="","","."&amp;$C2154&amp;"."&amp;$B2154)&amp;INDEX(VarEnd,MATCH($A2154,VarKey,0))&amp;AG$5</f>
        <v/>
      </c>
      <c r="AH2154" s="43">
        <f>AH2109*Settings!$C$13*(AH2073)</f>
        <v/>
      </c>
      <c r="AI2154" s="44">
        <f>AI2109*Settings!$C$13*(AI2073)</f>
        <v/>
      </c>
      <c r="AJ2154" s="44">
        <f>AJ2109*Settings!$C$13*(AJ2073)</f>
        <v/>
      </c>
      <c r="AK2154" s="44">
        <f>AK2109*Settings!$C$13*(AK2073)</f>
        <v/>
      </c>
      <c r="AL2154" s="44">
        <f>AL2109*Settings!$C$13*(AL2073)</f>
        <v/>
      </c>
      <c r="AM2154" s="44">
        <f>AM2109*Settings!$C$13*(AM2073)</f>
        <v/>
      </c>
      <c r="AN2154" s="44">
        <f>AN2109*Settings!$C$13*(AN2073)</f>
        <v/>
      </c>
      <c r="AO2154" s="44">
        <f>AO2109*Settings!$C$13*(AO2073)</f>
        <v/>
      </c>
      <c r="AP2154" s="44">
        <f>AP2109*Settings!$C$13*(AP2073)</f>
        <v/>
      </c>
      <c r="AQ2154" s="44">
        <f>AQ2109*Settings!$C$13*(AQ2073)</f>
        <v/>
      </c>
      <c r="AR2154" s="44">
        <f>AR2109*Settings!$C$13*(AR2073)</f>
        <v/>
      </c>
      <c r="AS2154" s="44">
        <f>AS2109*Settings!$C$13*(AS2073)</f>
        <v/>
      </c>
      <c r="AT2154" s="44">
        <f>AT2109*Settings!$C$13*(AT2073)</f>
        <v/>
      </c>
      <c r="AU2154" s="44">
        <f>AU2109*Settings!$C$13*(AU2073)</f>
        <v/>
      </c>
      <c r="AV2154" s="44">
        <f>AV2109*Settings!$C$13*(AV2073)</f>
        <v/>
      </c>
      <c r="AW2154" s="44">
        <f>AW2109*Settings!$C$13*(AW2073)</f>
        <v/>
      </c>
      <c r="AX2154" s="44">
        <f>AX2109*Settings!$C$13*(AX2073)</f>
        <v/>
      </c>
      <c r="AY2154" s="44">
        <f>AY2109*Settings!$C$13*(AY2073)</f>
        <v/>
      </c>
      <c r="AZ2154" s="44">
        <f>AZ2109*Settings!$C$13*(AZ2073)</f>
        <v/>
      </c>
      <c r="BA2154" s="57">
        <f>REVENUE(BA2109,Settings!$C$13,BA2073)</f>
        <v/>
      </c>
    </row>
    <row r="2155" hidden="1" outlineLevel="2">
      <c r="A2155" s="14" t="inlineStr">
        <is>
          <t>rxcp</t>
        </is>
      </c>
      <c r="B2155" s="14" t="inlineStr">
        <is>
          <t>nga</t>
        </is>
      </c>
      <c r="C2155" s="14" t="inlineStr">
        <is>
          <t>irn</t>
        </is>
      </c>
      <c r="D2155" s="39" t="n"/>
      <c r="E2155" s="39" t="n"/>
      <c r="F2155" s="39" t="n"/>
      <c r="G2155" s="39" t="n"/>
      <c r="H2155" s="14">
        <f>INDEX(VarLab,MATCH($A2155,VarKey,0))&amp;INDEX(MemLab,MATCH($C2155&amp;"|"&amp;$B2155,MemKey,0))</f>
        <v/>
      </c>
      <c r="I2155" s="14">
        <f>INDEX(VarUnit,MATCH($A2155,VarKey,0))</f>
        <v/>
      </c>
      <c r="J2155" s="14">
        <f>INDEX(VarSrc,MATCH($A2155,VarKey,0))</f>
        <v/>
      </c>
      <c r="K2155" s="11">
        <f>CodePrefix&amp;$A2155&amp;IF($C2155="","","."&amp;$C2155&amp;"."&amp;$B2155)&amp;INDEX(VarEnd,MATCH($A2155,VarKey,0))&amp;K$5</f>
        <v/>
      </c>
      <c r="L2155" s="43">
        <f>L2110*Settings!$C$13*(L2074)</f>
        <v/>
      </c>
      <c r="M2155" s="44">
        <f>M2110*Settings!$C$13*(M2074)</f>
        <v/>
      </c>
      <c r="N2155" s="44">
        <f>N2110*Settings!$C$13*(N2074)</f>
        <v/>
      </c>
      <c r="O2155" s="44">
        <f>O2110*Settings!$C$13*(O2074)</f>
        <v/>
      </c>
      <c r="P2155" s="44">
        <f>P2110*Settings!$C$13*(P2074)</f>
        <v/>
      </c>
      <c r="Q2155" s="44">
        <f>Q2110*Settings!$C$13*(Q2074)</f>
        <v/>
      </c>
      <c r="R2155" s="44">
        <f>R2110*Settings!$C$13*(R2074)</f>
        <v/>
      </c>
      <c r="S2155" s="44">
        <f>S2110*Settings!$C$13*(S2074)</f>
        <v/>
      </c>
      <c r="T2155" s="44">
        <f>T2110*Settings!$C$13*(T2074)</f>
        <v/>
      </c>
      <c r="U2155" s="44">
        <f>U2110*Settings!$C$13*(U2074)</f>
        <v/>
      </c>
      <c r="V2155" s="44">
        <f>V2110*Settings!$C$13*(V2074)</f>
        <v/>
      </c>
      <c r="W2155" s="44">
        <f>W2110*Settings!$C$13*(W2074)</f>
        <v/>
      </c>
      <c r="X2155" s="44">
        <f>X2110*Settings!$C$13*(X2074)</f>
        <v/>
      </c>
      <c r="Y2155" s="44">
        <f>Y2110*Settings!$C$13*(Y2074)</f>
        <v/>
      </c>
      <c r="Z2155" s="44">
        <f>Z2110*Settings!$C$13*(Z2074)</f>
        <v/>
      </c>
      <c r="AA2155" s="44">
        <f>AA2110*Settings!$C$13*(AA2074)</f>
        <v/>
      </c>
      <c r="AB2155" s="44">
        <f>AB2110*Settings!$C$13*(AB2074)</f>
        <v/>
      </c>
      <c r="AC2155" s="44">
        <f>AC2110*Settings!$C$13*(AC2074)</f>
        <v/>
      </c>
      <c r="AD2155" s="44">
        <f>AD2110*Settings!$C$13*(AD2074)</f>
        <v/>
      </c>
      <c r="AE2155" s="57">
        <f>REVENUE(AE2110,Settings!$C$13,AE2074)</f>
        <v/>
      </c>
      <c r="AG2155" s="11">
        <f>CodePrefix&amp;$A2155&amp;IF($C2155="","","."&amp;$C2155&amp;"."&amp;$B2155)&amp;INDEX(VarEnd,MATCH($A2155,VarKey,0))&amp;AG$5</f>
        <v/>
      </c>
      <c r="AH2155" s="43">
        <f>AH2110*Settings!$C$13*(AH2074)</f>
        <v/>
      </c>
      <c r="AI2155" s="44">
        <f>AI2110*Settings!$C$13*(AI2074)</f>
        <v/>
      </c>
      <c r="AJ2155" s="44">
        <f>AJ2110*Settings!$C$13*(AJ2074)</f>
        <v/>
      </c>
      <c r="AK2155" s="44">
        <f>AK2110*Settings!$C$13*(AK2074)</f>
        <v/>
      </c>
      <c r="AL2155" s="44">
        <f>AL2110*Settings!$C$13*(AL2074)</f>
        <v/>
      </c>
      <c r="AM2155" s="44">
        <f>AM2110*Settings!$C$13*(AM2074)</f>
        <v/>
      </c>
      <c r="AN2155" s="44">
        <f>AN2110*Settings!$C$13*(AN2074)</f>
        <v/>
      </c>
      <c r="AO2155" s="44">
        <f>AO2110*Settings!$C$13*(AO2074)</f>
        <v/>
      </c>
      <c r="AP2155" s="44">
        <f>AP2110*Settings!$C$13*(AP2074)</f>
        <v/>
      </c>
      <c r="AQ2155" s="44">
        <f>AQ2110*Settings!$C$13*(AQ2074)</f>
        <v/>
      </c>
      <c r="AR2155" s="44">
        <f>AR2110*Settings!$C$13*(AR2074)</f>
        <v/>
      </c>
      <c r="AS2155" s="44">
        <f>AS2110*Settings!$C$13*(AS2074)</f>
        <v/>
      </c>
      <c r="AT2155" s="44">
        <f>AT2110*Settings!$C$13*(AT2074)</f>
        <v/>
      </c>
      <c r="AU2155" s="44">
        <f>AU2110*Settings!$C$13*(AU2074)</f>
        <v/>
      </c>
      <c r="AV2155" s="44">
        <f>AV2110*Settings!$C$13*(AV2074)</f>
        <v/>
      </c>
      <c r="AW2155" s="44">
        <f>AW2110*Settings!$C$13*(AW2074)</f>
        <v/>
      </c>
      <c r="AX2155" s="44">
        <f>AX2110*Settings!$C$13*(AX2074)</f>
        <v/>
      </c>
      <c r="AY2155" s="44">
        <f>AY2110*Settings!$C$13*(AY2074)</f>
        <v/>
      </c>
      <c r="AZ2155" s="44">
        <f>AZ2110*Settings!$C$13*(AZ2074)</f>
        <v/>
      </c>
      <c r="BA2155" s="57">
        <f>REVENUE(BA2110,Settings!$C$13,BA2074)</f>
        <v/>
      </c>
    </row>
    <row r="2156" hidden="1" outlineLevel="2">
      <c r="A2156" s="14" t="inlineStr">
        <is>
          <t>rxcp</t>
        </is>
      </c>
      <c r="B2156" s="14" t="inlineStr">
        <is>
          <t>gso</t>
        </is>
      </c>
      <c r="C2156" s="14" t="inlineStr">
        <is>
          <t>irn</t>
        </is>
      </c>
      <c r="D2156" s="39" t="n"/>
      <c r="E2156" s="39" t="n"/>
      <c r="F2156" s="39" t="n"/>
      <c r="G2156" s="39" t="n"/>
      <c r="H2156" s="14">
        <f>INDEX(VarLab,MATCH($A2156,VarKey,0))&amp;INDEX(MemLab,MATCH($C2156&amp;"|"&amp;$B2156,MemKey,0))</f>
        <v/>
      </c>
      <c r="I2156" s="14">
        <f>INDEX(VarUnit,MATCH($A2156,VarKey,0))</f>
        <v/>
      </c>
      <c r="J2156" s="14">
        <f>INDEX(VarSrc,MATCH($A2156,VarKey,0))</f>
        <v/>
      </c>
      <c r="K2156" s="11">
        <f>CodePrefix&amp;$A2156&amp;IF($C2156="","","."&amp;$C2156&amp;"."&amp;$B2156)&amp;INDEX(VarEnd,MATCH($A2156,VarKey,0))&amp;K$5</f>
        <v/>
      </c>
      <c r="L2156" s="43">
        <f>L2111*Settings!$C$13*(L2075)</f>
        <v/>
      </c>
      <c r="M2156" s="44">
        <f>M2111*Settings!$C$13*(M2075)</f>
        <v/>
      </c>
      <c r="N2156" s="44">
        <f>N2111*Settings!$C$13*(N2075)</f>
        <v/>
      </c>
      <c r="O2156" s="44">
        <f>O2111*Settings!$C$13*(O2075)</f>
        <v/>
      </c>
      <c r="P2156" s="44">
        <f>P2111*Settings!$C$13*(P2075)</f>
        <v/>
      </c>
      <c r="Q2156" s="44">
        <f>Q2111*Settings!$C$13*(Q2075)</f>
        <v/>
      </c>
      <c r="R2156" s="44">
        <f>R2111*Settings!$C$13*(R2075)</f>
        <v/>
      </c>
      <c r="S2156" s="44">
        <f>S2111*Settings!$C$13*(S2075)</f>
        <v/>
      </c>
      <c r="T2156" s="44">
        <f>T2111*Settings!$C$13*(T2075)</f>
        <v/>
      </c>
      <c r="U2156" s="44">
        <f>U2111*Settings!$C$13*(U2075)</f>
        <v/>
      </c>
      <c r="V2156" s="44">
        <f>V2111*Settings!$C$13*(V2075)</f>
        <v/>
      </c>
      <c r="W2156" s="44">
        <f>W2111*Settings!$C$13*(W2075)</f>
        <v/>
      </c>
      <c r="X2156" s="44">
        <f>X2111*Settings!$C$13*(X2075)</f>
        <v/>
      </c>
      <c r="Y2156" s="44">
        <f>Y2111*Settings!$C$13*(Y2075)</f>
        <v/>
      </c>
      <c r="Z2156" s="44">
        <f>Z2111*Settings!$C$13*(Z2075)</f>
        <v/>
      </c>
      <c r="AA2156" s="44">
        <f>AA2111*Settings!$C$13*(AA2075)</f>
        <v/>
      </c>
      <c r="AB2156" s="44">
        <f>AB2111*Settings!$C$13*(AB2075)</f>
        <v/>
      </c>
      <c r="AC2156" s="44">
        <f>AC2111*Settings!$C$13*(AC2075)</f>
        <v/>
      </c>
      <c r="AD2156" s="44">
        <f>AD2111*Settings!$C$13*(AD2075)</f>
        <v/>
      </c>
      <c r="AE2156" s="57">
        <f>REVENUE(AE2111,Settings!$C$13,AE2075)</f>
        <v/>
      </c>
      <c r="AG2156" s="11">
        <f>CodePrefix&amp;$A2156&amp;IF($C2156="","","."&amp;$C2156&amp;"."&amp;$B2156)&amp;INDEX(VarEnd,MATCH($A2156,VarKey,0))&amp;AG$5</f>
        <v/>
      </c>
      <c r="AH2156" s="43">
        <f>AH2111*Settings!$C$13*(AH2075)</f>
        <v/>
      </c>
      <c r="AI2156" s="44">
        <f>AI2111*Settings!$C$13*(AI2075)</f>
        <v/>
      </c>
      <c r="AJ2156" s="44">
        <f>AJ2111*Settings!$C$13*(AJ2075)</f>
        <v/>
      </c>
      <c r="AK2156" s="44">
        <f>AK2111*Settings!$C$13*(AK2075)</f>
        <v/>
      </c>
      <c r="AL2156" s="44">
        <f>AL2111*Settings!$C$13*(AL2075)</f>
        <v/>
      </c>
      <c r="AM2156" s="44">
        <f>AM2111*Settings!$C$13*(AM2075)</f>
        <v/>
      </c>
      <c r="AN2156" s="44">
        <f>AN2111*Settings!$C$13*(AN2075)</f>
        <v/>
      </c>
      <c r="AO2156" s="44">
        <f>AO2111*Settings!$C$13*(AO2075)</f>
        <v/>
      </c>
      <c r="AP2156" s="44">
        <f>AP2111*Settings!$C$13*(AP2075)</f>
        <v/>
      </c>
      <c r="AQ2156" s="44">
        <f>AQ2111*Settings!$C$13*(AQ2075)</f>
        <v/>
      </c>
      <c r="AR2156" s="44">
        <f>AR2111*Settings!$C$13*(AR2075)</f>
        <v/>
      </c>
      <c r="AS2156" s="44">
        <f>AS2111*Settings!$C$13*(AS2075)</f>
        <v/>
      </c>
      <c r="AT2156" s="44">
        <f>AT2111*Settings!$C$13*(AT2075)</f>
        <v/>
      </c>
      <c r="AU2156" s="44">
        <f>AU2111*Settings!$C$13*(AU2075)</f>
        <v/>
      </c>
      <c r="AV2156" s="44">
        <f>AV2111*Settings!$C$13*(AV2075)</f>
        <v/>
      </c>
      <c r="AW2156" s="44">
        <f>AW2111*Settings!$C$13*(AW2075)</f>
        <v/>
      </c>
      <c r="AX2156" s="44">
        <f>AX2111*Settings!$C$13*(AX2075)</f>
        <v/>
      </c>
      <c r="AY2156" s="44">
        <f>AY2111*Settings!$C$13*(AY2075)</f>
        <v/>
      </c>
      <c r="AZ2156" s="44">
        <f>AZ2111*Settings!$C$13*(AZ2075)</f>
        <v/>
      </c>
      <c r="BA2156" s="57">
        <f>REVENUE(BA2111,Settings!$C$13,BA2075)</f>
        <v/>
      </c>
    </row>
    <row r="2157" hidden="1" outlineLevel="2">
      <c r="A2157" s="14" t="inlineStr">
        <is>
          <t>rxcp</t>
        </is>
      </c>
      <c r="B2157" s="14" t="inlineStr">
        <is>
          <t>die</t>
        </is>
      </c>
      <c r="C2157" s="14" t="inlineStr">
        <is>
          <t>irn</t>
        </is>
      </c>
      <c r="D2157" s="39" t="n"/>
      <c r="E2157" s="39" t="n"/>
      <c r="F2157" s="39" t="n"/>
      <c r="G2157" s="39" t="n"/>
      <c r="H2157" s="14">
        <f>INDEX(VarLab,MATCH($A2157,VarKey,0))&amp;INDEX(MemLab,MATCH($C2157&amp;"|"&amp;$B2157,MemKey,0))</f>
        <v/>
      </c>
      <c r="I2157" s="14">
        <f>INDEX(VarUnit,MATCH($A2157,VarKey,0))</f>
        <v/>
      </c>
      <c r="J2157" s="14">
        <f>INDEX(VarSrc,MATCH($A2157,VarKey,0))</f>
        <v/>
      </c>
      <c r="K2157" s="11">
        <f>CodePrefix&amp;$A2157&amp;IF($C2157="","","."&amp;$C2157&amp;"."&amp;$B2157)&amp;INDEX(VarEnd,MATCH($A2157,VarKey,0))&amp;K$5</f>
        <v/>
      </c>
      <c r="L2157" s="43">
        <f>L2112*Settings!$C$13*(L2076)</f>
        <v/>
      </c>
      <c r="M2157" s="44">
        <f>M2112*Settings!$C$13*(M2076)</f>
        <v/>
      </c>
      <c r="N2157" s="44">
        <f>N2112*Settings!$C$13*(N2076)</f>
        <v/>
      </c>
      <c r="O2157" s="44">
        <f>O2112*Settings!$C$13*(O2076)</f>
        <v/>
      </c>
      <c r="P2157" s="44">
        <f>P2112*Settings!$C$13*(P2076)</f>
        <v/>
      </c>
      <c r="Q2157" s="44">
        <f>Q2112*Settings!$C$13*(Q2076)</f>
        <v/>
      </c>
      <c r="R2157" s="44">
        <f>R2112*Settings!$C$13*(R2076)</f>
        <v/>
      </c>
      <c r="S2157" s="44">
        <f>S2112*Settings!$C$13*(S2076)</f>
        <v/>
      </c>
      <c r="T2157" s="44">
        <f>T2112*Settings!$C$13*(T2076)</f>
        <v/>
      </c>
      <c r="U2157" s="44">
        <f>U2112*Settings!$C$13*(U2076)</f>
        <v/>
      </c>
      <c r="V2157" s="44">
        <f>V2112*Settings!$C$13*(V2076)</f>
        <v/>
      </c>
      <c r="W2157" s="44">
        <f>W2112*Settings!$C$13*(W2076)</f>
        <v/>
      </c>
      <c r="X2157" s="44">
        <f>X2112*Settings!$C$13*(X2076)</f>
        <v/>
      </c>
      <c r="Y2157" s="44">
        <f>Y2112*Settings!$C$13*(Y2076)</f>
        <v/>
      </c>
      <c r="Z2157" s="44">
        <f>Z2112*Settings!$C$13*(Z2076)</f>
        <v/>
      </c>
      <c r="AA2157" s="44">
        <f>AA2112*Settings!$C$13*(AA2076)</f>
        <v/>
      </c>
      <c r="AB2157" s="44">
        <f>AB2112*Settings!$C$13*(AB2076)</f>
        <v/>
      </c>
      <c r="AC2157" s="44">
        <f>AC2112*Settings!$C$13*(AC2076)</f>
        <v/>
      </c>
      <c r="AD2157" s="44">
        <f>AD2112*Settings!$C$13*(AD2076)</f>
        <v/>
      </c>
      <c r="AE2157" s="57">
        <f>REVENUE(AE2112,Settings!$C$13,AE2076)</f>
        <v/>
      </c>
      <c r="AG2157" s="11">
        <f>CodePrefix&amp;$A2157&amp;IF($C2157="","","."&amp;$C2157&amp;"."&amp;$B2157)&amp;INDEX(VarEnd,MATCH($A2157,VarKey,0))&amp;AG$5</f>
        <v/>
      </c>
      <c r="AH2157" s="43">
        <f>AH2112*Settings!$C$13*(AH2076)</f>
        <v/>
      </c>
      <c r="AI2157" s="44">
        <f>AI2112*Settings!$C$13*(AI2076)</f>
        <v/>
      </c>
      <c r="AJ2157" s="44">
        <f>AJ2112*Settings!$C$13*(AJ2076)</f>
        <v/>
      </c>
      <c r="AK2157" s="44">
        <f>AK2112*Settings!$C$13*(AK2076)</f>
        <v/>
      </c>
      <c r="AL2157" s="44">
        <f>AL2112*Settings!$C$13*(AL2076)</f>
        <v/>
      </c>
      <c r="AM2157" s="44">
        <f>AM2112*Settings!$C$13*(AM2076)</f>
        <v/>
      </c>
      <c r="AN2157" s="44">
        <f>AN2112*Settings!$C$13*(AN2076)</f>
        <v/>
      </c>
      <c r="AO2157" s="44">
        <f>AO2112*Settings!$C$13*(AO2076)</f>
        <v/>
      </c>
      <c r="AP2157" s="44">
        <f>AP2112*Settings!$C$13*(AP2076)</f>
        <v/>
      </c>
      <c r="AQ2157" s="44">
        <f>AQ2112*Settings!$C$13*(AQ2076)</f>
        <v/>
      </c>
      <c r="AR2157" s="44">
        <f>AR2112*Settings!$C$13*(AR2076)</f>
        <v/>
      </c>
      <c r="AS2157" s="44">
        <f>AS2112*Settings!$C$13*(AS2076)</f>
        <v/>
      </c>
      <c r="AT2157" s="44">
        <f>AT2112*Settings!$C$13*(AT2076)</f>
        <v/>
      </c>
      <c r="AU2157" s="44">
        <f>AU2112*Settings!$C$13*(AU2076)</f>
        <v/>
      </c>
      <c r="AV2157" s="44">
        <f>AV2112*Settings!$C$13*(AV2076)</f>
        <v/>
      </c>
      <c r="AW2157" s="44">
        <f>AW2112*Settings!$C$13*(AW2076)</f>
        <v/>
      </c>
      <c r="AX2157" s="44">
        <f>AX2112*Settings!$C$13*(AX2076)</f>
        <v/>
      </c>
      <c r="AY2157" s="44">
        <f>AY2112*Settings!$C$13*(AY2076)</f>
        <v/>
      </c>
      <c r="AZ2157" s="44">
        <f>AZ2112*Settings!$C$13*(AZ2076)</f>
        <v/>
      </c>
      <c r="BA2157" s="57">
        <f>REVENUE(BA2112,Settings!$C$13,BA2076)</f>
        <v/>
      </c>
    </row>
    <row r="2158" hidden="1" outlineLevel="2">
      <c r="A2158" s="14" t="inlineStr">
        <is>
          <t>rxcp</t>
        </is>
      </c>
      <c r="B2158" s="14" t="inlineStr">
        <is>
          <t>lpg</t>
        </is>
      </c>
      <c r="C2158" s="14" t="inlineStr">
        <is>
          <t>irn</t>
        </is>
      </c>
      <c r="D2158" s="39" t="n"/>
      <c r="E2158" s="39" t="n"/>
      <c r="F2158" s="39" t="n"/>
      <c r="G2158" s="39" t="n"/>
      <c r="H2158" s="14">
        <f>INDEX(VarLab,MATCH($A2158,VarKey,0))&amp;INDEX(MemLab,MATCH($C2158&amp;"|"&amp;$B2158,MemKey,0))</f>
        <v/>
      </c>
      <c r="I2158" s="14">
        <f>INDEX(VarUnit,MATCH($A2158,VarKey,0))</f>
        <v/>
      </c>
      <c r="J2158" s="14">
        <f>INDEX(VarSrc,MATCH($A2158,VarKey,0))</f>
        <v/>
      </c>
      <c r="K2158" s="11">
        <f>CodePrefix&amp;$A2158&amp;IF($C2158="","","."&amp;$C2158&amp;"."&amp;$B2158)&amp;INDEX(VarEnd,MATCH($A2158,VarKey,0))&amp;K$5</f>
        <v/>
      </c>
      <c r="L2158" s="43">
        <f>L2113*Settings!$C$13*(L2077)</f>
        <v/>
      </c>
      <c r="M2158" s="44">
        <f>M2113*Settings!$C$13*(M2077)</f>
        <v/>
      </c>
      <c r="N2158" s="44">
        <f>N2113*Settings!$C$13*(N2077)</f>
        <v/>
      </c>
      <c r="O2158" s="44">
        <f>O2113*Settings!$C$13*(O2077)</f>
        <v/>
      </c>
      <c r="P2158" s="44">
        <f>P2113*Settings!$C$13*(P2077)</f>
        <v/>
      </c>
      <c r="Q2158" s="44">
        <f>Q2113*Settings!$C$13*(Q2077)</f>
        <v/>
      </c>
      <c r="R2158" s="44">
        <f>R2113*Settings!$C$13*(R2077)</f>
        <v/>
      </c>
      <c r="S2158" s="44">
        <f>S2113*Settings!$C$13*(S2077)</f>
        <v/>
      </c>
      <c r="T2158" s="44">
        <f>T2113*Settings!$C$13*(T2077)</f>
        <v/>
      </c>
      <c r="U2158" s="44">
        <f>U2113*Settings!$C$13*(U2077)</f>
        <v/>
      </c>
      <c r="V2158" s="44">
        <f>V2113*Settings!$C$13*(V2077)</f>
        <v/>
      </c>
      <c r="W2158" s="44">
        <f>W2113*Settings!$C$13*(W2077)</f>
        <v/>
      </c>
      <c r="X2158" s="44">
        <f>X2113*Settings!$C$13*(X2077)</f>
        <v/>
      </c>
      <c r="Y2158" s="44">
        <f>Y2113*Settings!$C$13*(Y2077)</f>
        <v/>
      </c>
      <c r="Z2158" s="44">
        <f>Z2113*Settings!$C$13*(Z2077)</f>
        <v/>
      </c>
      <c r="AA2158" s="44">
        <f>AA2113*Settings!$C$13*(AA2077)</f>
        <v/>
      </c>
      <c r="AB2158" s="44">
        <f>AB2113*Settings!$C$13*(AB2077)</f>
        <v/>
      </c>
      <c r="AC2158" s="44">
        <f>AC2113*Settings!$C$13*(AC2077)</f>
        <v/>
      </c>
      <c r="AD2158" s="44">
        <f>AD2113*Settings!$C$13*(AD2077)</f>
        <v/>
      </c>
      <c r="AE2158" s="57">
        <f>REVENUE(AE2113,Settings!$C$13,AE2077)</f>
        <v/>
      </c>
      <c r="AG2158" s="11">
        <f>CodePrefix&amp;$A2158&amp;IF($C2158="","","."&amp;$C2158&amp;"."&amp;$B2158)&amp;INDEX(VarEnd,MATCH($A2158,VarKey,0))&amp;AG$5</f>
        <v/>
      </c>
      <c r="AH2158" s="43">
        <f>AH2113*Settings!$C$13*(AH2077)</f>
        <v/>
      </c>
      <c r="AI2158" s="44">
        <f>AI2113*Settings!$C$13*(AI2077)</f>
        <v/>
      </c>
      <c r="AJ2158" s="44">
        <f>AJ2113*Settings!$C$13*(AJ2077)</f>
        <v/>
      </c>
      <c r="AK2158" s="44">
        <f>AK2113*Settings!$C$13*(AK2077)</f>
        <v/>
      </c>
      <c r="AL2158" s="44">
        <f>AL2113*Settings!$C$13*(AL2077)</f>
        <v/>
      </c>
      <c r="AM2158" s="44">
        <f>AM2113*Settings!$C$13*(AM2077)</f>
        <v/>
      </c>
      <c r="AN2158" s="44">
        <f>AN2113*Settings!$C$13*(AN2077)</f>
        <v/>
      </c>
      <c r="AO2158" s="44">
        <f>AO2113*Settings!$C$13*(AO2077)</f>
        <v/>
      </c>
      <c r="AP2158" s="44">
        <f>AP2113*Settings!$C$13*(AP2077)</f>
        <v/>
      </c>
      <c r="AQ2158" s="44">
        <f>AQ2113*Settings!$C$13*(AQ2077)</f>
        <v/>
      </c>
      <c r="AR2158" s="44">
        <f>AR2113*Settings!$C$13*(AR2077)</f>
        <v/>
      </c>
      <c r="AS2158" s="44">
        <f>AS2113*Settings!$C$13*(AS2077)</f>
        <v/>
      </c>
      <c r="AT2158" s="44">
        <f>AT2113*Settings!$C$13*(AT2077)</f>
        <v/>
      </c>
      <c r="AU2158" s="44">
        <f>AU2113*Settings!$C$13*(AU2077)</f>
        <v/>
      </c>
      <c r="AV2158" s="44">
        <f>AV2113*Settings!$C$13*(AV2077)</f>
        <v/>
      </c>
      <c r="AW2158" s="44">
        <f>AW2113*Settings!$C$13*(AW2077)</f>
        <v/>
      </c>
      <c r="AX2158" s="44">
        <f>AX2113*Settings!$C$13*(AX2077)</f>
        <v/>
      </c>
      <c r="AY2158" s="44">
        <f>AY2113*Settings!$C$13*(AY2077)</f>
        <v/>
      </c>
      <c r="AZ2158" s="44">
        <f>AZ2113*Settings!$C$13*(AZ2077)</f>
        <v/>
      </c>
      <c r="BA2158" s="57">
        <f>REVENUE(BA2113,Settings!$C$13,BA2077)</f>
        <v/>
      </c>
    </row>
    <row r="2159" hidden="1" outlineLevel="2">
      <c r="A2159" s="14" t="inlineStr">
        <is>
          <t>rxcp</t>
        </is>
      </c>
      <c r="B2159" s="14" t="inlineStr">
        <is>
          <t>ker</t>
        </is>
      </c>
      <c r="C2159" s="14" t="inlineStr">
        <is>
          <t>irn</t>
        </is>
      </c>
      <c r="D2159" s="39" t="n"/>
      <c r="E2159" s="39" t="n"/>
      <c r="F2159" s="39" t="n"/>
      <c r="G2159" s="39" t="n"/>
      <c r="H2159" s="14">
        <f>INDEX(VarLab,MATCH($A2159,VarKey,0))&amp;INDEX(MemLab,MATCH($C2159&amp;"|"&amp;$B2159,MemKey,0))</f>
        <v/>
      </c>
      <c r="I2159" s="14">
        <f>INDEX(VarUnit,MATCH($A2159,VarKey,0))</f>
        <v/>
      </c>
      <c r="J2159" s="14">
        <f>INDEX(VarSrc,MATCH($A2159,VarKey,0))</f>
        <v/>
      </c>
      <c r="K2159" s="11">
        <f>CodePrefix&amp;$A2159&amp;IF($C2159="","","."&amp;$C2159&amp;"."&amp;$B2159)&amp;INDEX(VarEnd,MATCH($A2159,VarKey,0))&amp;K$5</f>
        <v/>
      </c>
      <c r="L2159" s="43">
        <f>L2114*Settings!$C$13*(L2078)</f>
        <v/>
      </c>
      <c r="M2159" s="44">
        <f>M2114*Settings!$C$13*(M2078)</f>
        <v/>
      </c>
      <c r="N2159" s="44">
        <f>N2114*Settings!$C$13*(N2078)</f>
        <v/>
      </c>
      <c r="O2159" s="44">
        <f>O2114*Settings!$C$13*(O2078)</f>
        <v/>
      </c>
      <c r="P2159" s="44">
        <f>P2114*Settings!$C$13*(P2078)</f>
        <v/>
      </c>
      <c r="Q2159" s="44">
        <f>Q2114*Settings!$C$13*(Q2078)</f>
        <v/>
      </c>
      <c r="R2159" s="44">
        <f>R2114*Settings!$C$13*(R2078)</f>
        <v/>
      </c>
      <c r="S2159" s="44">
        <f>S2114*Settings!$C$13*(S2078)</f>
        <v/>
      </c>
      <c r="T2159" s="44">
        <f>T2114*Settings!$C$13*(T2078)</f>
        <v/>
      </c>
      <c r="U2159" s="44">
        <f>U2114*Settings!$C$13*(U2078)</f>
        <v/>
      </c>
      <c r="V2159" s="44">
        <f>V2114*Settings!$C$13*(V2078)</f>
        <v/>
      </c>
      <c r="W2159" s="44">
        <f>W2114*Settings!$C$13*(W2078)</f>
        <v/>
      </c>
      <c r="X2159" s="44">
        <f>X2114*Settings!$C$13*(X2078)</f>
        <v/>
      </c>
      <c r="Y2159" s="44">
        <f>Y2114*Settings!$C$13*(Y2078)</f>
        <v/>
      </c>
      <c r="Z2159" s="44">
        <f>Z2114*Settings!$C$13*(Z2078)</f>
        <v/>
      </c>
      <c r="AA2159" s="44">
        <f>AA2114*Settings!$C$13*(AA2078)</f>
        <v/>
      </c>
      <c r="AB2159" s="44">
        <f>AB2114*Settings!$C$13*(AB2078)</f>
        <v/>
      </c>
      <c r="AC2159" s="44">
        <f>AC2114*Settings!$C$13*(AC2078)</f>
        <v/>
      </c>
      <c r="AD2159" s="44">
        <f>AD2114*Settings!$C$13*(AD2078)</f>
        <v/>
      </c>
      <c r="AE2159" s="57">
        <f>REVENUE(AE2114,Settings!$C$13,AE2078)</f>
        <v/>
      </c>
      <c r="AG2159" s="11">
        <f>CodePrefix&amp;$A2159&amp;IF($C2159="","","."&amp;$C2159&amp;"."&amp;$B2159)&amp;INDEX(VarEnd,MATCH($A2159,VarKey,0))&amp;AG$5</f>
        <v/>
      </c>
      <c r="AH2159" s="43">
        <f>AH2114*Settings!$C$13*(AH2078)</f>
        <v/>
      </c>
      <c r="AI2159" s="44">
        <f>AI2114*Settings!$C$13*(AI2078)</f>
        <v/>
      </c>
      <c r="AJ2159" s="44">
        <f>AJ2114*Settings!$C$13*(AJ2078)</f>
        <v/>
      </c>
      <c r="AK2159" s="44">
        <f>AK2114*Settings!$C$13*(AK2078)</f>
        <v/>
      </c>
      <c r="AL2159" s="44">
        <f>AL2114*Settings!$C$13*(AL2078)</f>
        <v/>
      </c>
      <c r="AM2159" s="44">
        <f>AM2114*Settings!$C$13*(AM2078)</f>
        <v/>
      </c>
      <c r="AN2159" s="44">
        <f>AN2114*Settings!$C$13*(AN2078)</f>
        <v/>
      </c>
      <c r="AO2159" s="44">
        <f>AO2114*Settings!$C$13*(AO2078)</f>
        <v/>
      </c>
      <c r="AP2159" s="44">
        <f>AP2114*Settings!$C$13*(AP2078)</f>
        <v/>
      </c>
      <c r="AQ2159" s="44">
        <f>AQ2114*Settings!$C$13*(AQ2078)</f>
        <v/>
      </c>
      <c r="AR2159" s="44">
        <f>AR2114*Settings!$C$13*(AR2078)</f>
        <v/>
      </c>
      <c r="AS2159" s="44">
        <f>AS2114*Settings!$C$13*(AS2078)</f>
        <v/>
      </c>
      <c r="AT2159" s="44">
        <f>AT2114*Settings!$C$13*(AT2078)</f>
        <v/>
      </c>
      <c r="AU2159" s="44">
        <f>AU2114*Settings!$C$13*(AU2078)</f>
        <v/>
      </c>
      <c r="AV2159" s="44">
        <f>AV2114*Settings!$C$13*(AV2078)</f>
        <v/>
      </c>
      <c r="AW2159" s="44">
        <f>AW2114*Settings!$C$13*(AW2078)</f>
        <v/>
      </c>
      <c r="AX2159" s="44">
        <f>AX2114*Settings!$C$13*(AX2078)</f>
        <v/>
      </c>
      <c r="AY2159" s="44">
        <f>AY2114*Settings!$C$13*(AY2078)</f>
        <v/>
      </c>
      <c r="AZ2159" s="44">
        <f>AZ2114*Settings!$C$13*(AZ2078)</f>
        <v/>
      </c>
      <c r="BA2159" s="57">
        <f>REVENUE(BA2114,Settings!$C$13,BA2078)</f>
        <v/>
      </c>
    </row>
    <row r="2160" hidden="1" outlineLevel="2">
      <c r="A2160" s="14" t="inlineStr">
        <is>
          <t>rxcp</t>
        </is>
      </c>
      <c r="B2160" s="14" t="inlineStr">
        <is>
          <t>oop</t>
        </is>
      </c>
      <c r="C2160" s="14" t="inlineStr">
        <is>
          <t>irn</t>
        </is>
      </c>
      <c r="D2160" s="39" t="n"/>
      <c r="E2160" s="39" t="n"/>
      <c r="F2160" s="39" t="n"/>
      <c r="G2160" s="39" t="n"/>
      <c r="H2160" s="14">
        <f>INDEX(VarLab,MATCH($A2160,VarKey,0))&amp;INDEX(MemLab,MATCH($C2160&amp;"|"&amp;$B2160,MemKey,0))</f>
        <v/>
      </c>
      <c r="I2160" s="14">
        <f>INDEX(VarUnit,MATCH($A2160,VarKey,0))</f>
        <v/>
      </c>
      <c r="J2160" s="14">
        <f>INDEX(VarSrc,MATCH($A2160,VarKey,0))</f>
        <v/>
      </c>
      <c r="K2160" s="11">
        <f>CodePrefix&amp;$A2160&amp;IF($C2160="","","."&amp;$C2160&amp;"."&amp;$B2160)&amp;INDEX(VarEnd,MATCH($A2160,VarKey,0))&amp;K$5</f>
        <v/>
      </c>
      <c r="L2160" s="43">
        <f>L2115*Settings!$C$13*(L2079)</f>
        <v/>
      </c>
      <c r="M2160" s="44">
        <f>M2115*Settings!$C$13*(M2079)</f>
        <v/>
      </c>
      <c r="N2160" s="44">
        <f>N2115*Settings!$C$13*(N2079)</f>
        <v/>
      </c>
      <c r="O2160" s="44">
        <f>O2115*Settings!$C$13*(O2079)</f>
        <v/>
      </c>
      <c r="P2160" s="44">
        <f>P2115*Settings!$C$13*(P2079)</f>
        <v/>
      </c>
      <c r="Q2160" s="44">
        <f>Q2115*Settings!$C$13*(Q2079)</f>
        <v/>
      </c>
      <c r="R2160" s="44">
        <f>R2115*Settings!$C$13*(R2079)</f>
        <v/>
      </c>
      <c r="S2160" s="44">
        <f>S2115*Settings!$C$13*(S2079)</f>
        <v/>
      </c>
      <c r="T2160" s="44">
        <f>T2115*Settings!$C$13*(T2079)</f>
        <v/>
      </c>
      <c r="U2160" s="44">
        <f>U2115*Settings!$C$13*(U2079)</f>
        <v/>
      </c>
      <c r="V2160" s="44">
        <f>V2115*Settings!$C$13*(V2079)</f>
        <v/>
      </c>
      <c r="W2160" s="44">
        <f>W2115*Settings!$C$13*(W2079)</f>
        <v/>
      </c>
      <c r="X2160" s="44">
        <f>X2115*Settings!$C$13*(X2079)</f>
        <v/>
      </c>
      <c r="Y2160" s="44">
        <f>Y2115*Settings!$C$13*(Y2079)</f>
        <v/>
      </c>
      <c r="Z2160" s="44">
        <f>Z2115*Settings!$C$13*(Z2079)</f>
        <v/>
      </c>
      <c r="AA2160" s="44">
        <f>AA2115*Settings!$C$13*(AA2079)</f>
        <v/>
      </c>
      <c r="AB2160" s="44">
        <f>AB2115*Settings!$C$13*(AB2079)</f>
        <v/>
      </c>
      <c r="AC2160" s="44">
        <f>AC2115*Settings!$C$13*(AC2079)</f>
        <v/>
      </c>
      <c r="AD2160" s="44">
        <f>AD2115*Settings!$C$13*(AD2079)</f>
        <v/>
      </c>
      <c r="AE2160" s="57">
        <f>REVENUE(AE2115,Settings!$C$13,AE2079)</f>
        <v/>
      </c>
      <c r="AG2160" s="11">
        <f>CodePrefix&amp;$A2160&amp;IF($C2160="","","."&amp;$C2160&amp;"."&amp;$B2160)&amp;INDEX(VarEnd,MATCH($A2160,VarKey,0))&amp;AG$5</f>
        <v/>
      </c>
      <c r="AH2160" s="43">
        <f>AH2115*Settings!$C$13*(AH2079)</f>
        <v/>
      </c>
      <c r="AI2160" s="44">
        <f>AI2115*Settings!$C$13*(AI2079)</f>
        <v/>
      </c>
      <c r="AJ2160" s="44">
        <f>AJ2115*Settings!$C$13*(AJ2079)</f>
        <v/>
      </c>
      <c r="AK2160" s="44">
        <f>AK2115*Settings!$C$13*(AK2079)</f>
        <v/>
      </c>
      <c r="AL2160" s="44">
        <f>AL2115*Settings!$C$13*(AL2079)</f>
        <v/>
      </c>
      <c r="AM2160" s="44">
        <f>AM2115*Settings!$C$13*(AM2079)</f>
        <v/>
      </c>
      <c r="AN2160" s="44">
        <f>AN2115*Settings!$C$13*(AN2079)</f>
        <v/>
      </c>
      <c r="AO2160" s="44">
        <f>AO2115*Settings!$C$13*(AO2079)</f>
        <v/>
      </c>
      <c r="AP2160" s="44">
        <f>AP2115*Settings!$C$13*(AP2079)</f>
        <v/>
      </c>
      <c r="AQ2160" s="44">
        <f>AQ2115*Settings!$C$13*(AQ2079)</f>
        <v/>
      </c>
      <c r="AR2160" s="44">
        <f>AR2115*Settings!$C$13*(AR2079)</f>
        <v/>
      </c>
      <c r="AS2160" s="44">
        <f>AS2115*Settings!$C$13*(AS2079)</f>
        <v/>
      </c>
      <c r="AT2160" s="44">
        <f>AT2115*Settings!$C$13*(AT2079)</f>
        <v/>
      </c>
      <c r="AU2160" s="44">
        <f>AU2115*Settings!$C$13*(AU2079)</f>
        <v/>
      </c>
      <c r="AV2160" s="44">
        <f>AV2115*Settings!$C$13*(AV2079)</f>
        <v/>
      </c>
      <c r="AW2160" s="44">
        <f>AW2115*Settings!$C$13*(AW2079)</f>
        <v/>
      </c>
      <c r="AX2160" s="44">
        <f>AX2115*Settings!$C$13*(AX2079)</f>
        <v/>
      </c>
      <c r="AY2160" s="44">
        <f>AY2115*Settings!$C$13*(AY2079)</f>
        <v/>
      </c>
      <c r="AZ2160" s="44">
        <f>AZ2115*Settings!$C$13*(AZ2079)</f>
        <v/>
      </c>
      <c r="BA2160" s="57">
        <f>REVENUE(BA2115,Settings!$C$13,BA2079)</f>
        <v/>
      </c>
    </row>
    <row r="2161" hidden="1" outlineLevel="2">
      <c r="A2161" s="14" t="inlineStr">
        <is>
          <t>rxcp</t>
        </is>
      </c>
      <c r="B2161" s="14" t="inlineStr">
        <is>
          <t>bio</t>
        </is>
      </c>
      <c r="C2161" s="14" t="inlineStr">
        <is>
          <t>irn</t>
        </is>
      </c>
      <c r="D2161" s="39" t="n"/>
      <c r="E2161" s="39" t="n"/>
      <c r="F2161" s="39" t="n"/>
      <c r="G2161" s="39" t="n"/>
      <c r="H2161" s="14">
        <f>INDEX(VarLab,MATCH($A2161,VarKey,0))&amp;INDEX(MemLab,MATCH($C2161&amp;"|"&amp;$B2161,MemKey,0))</f>
        <v/>
      </c>
      <c r="I2161" s="14">
        <f>INDEX(VarUnit,MATCH($A2161,VarKey,0))</f>
        <v/>
      </c>
      <c r="J2161" s="14">
        <f>INDEX(VarSrc,MATCH($A2161,VarKey,0))</f>
        <v/>
      </c>
      <c r="K2161" s="11">
        <f>CodePrefix&amp;$A2161&amp;IF($C2161="","","."&amp;$C2161&amp;"."&amp;$B2161)&amp;INDEX(VarEnd,MATCH($A2161,VarKey,0))&amp;K$5</f>
        <v/>
      </c>
      <c r="L2161" s="43">
        <f>L2116*Settings!$C$13*(L2080)</f>
        <v/>
      </c>
      <c r="M2161" s="44">
        <f>M2116*Settings!$C$13*(M2080)</f>
        <v/>
      </c>
      <c r="N2161" s="44">
        <f>N2116*Settings!$C$13*(N2080)</f>
        <v/>
      </c>
      <c r="O2161" s="44">
        <f>O2116*Settings!$C$13*(O2080)</f>
        <v/>
      </c>
      <c r="P2161" s="44">
        <f>P2116*Settings!$C$13*(P2080)</f>
        <v/>
      </c>
      <c r="Q2161" s="44">
        <f>Q2116*Settings!$C$13*(Q2080)</f>
        <v/>
      </c>
      <c r="R2161" s="44">
        <f>R2116*Settings!$C$13*(R2080)</f>
        <v/>
      </c>
      <c r="S2161" s="44">
        <f>S2116*Settings!$C$13*(S2080)</f>
        <v/>
      </c>
      <c r="T2161" s="44">
        <f>T2116*Settings!$C$13*(T2080)</f>
        <v/>
      </c>
      <c r="U2161" s="44">
        <f>U2116*Settings!$C$13*(U2080)</f>
        <v/>
      </c>
      <c r="V2161" s="44">
        <f>V2116*Settings!$C$13*(V2080)</f>
        <v/>
      </c>
      <c r="W2161" s="44">
        <f>W2116*Settings!$C$13*(W2080)</f>
        <v/>
      </c>
      <c r="X2161" s="44">
        <f>X2116*Settings!$C$13*(X2080)</f>
        <v/>
      </c>
      <c r="Y2161" s="44">
        <f>Y2116*Settings!$C$13*(Y2080)</f>
        <v/>
      </c>
      <c r="Z2161" s="44">
        <f>Z2116*Settings!$C$13*(Z2080)</f>
        <v/>
      </c>
      <c r="AA2161" s="44">
        <f>AA2116*Settings!$C$13*(AA2080)</f>
        <v/>
      </c>
      <c r="AB2161" s="44">
        <f>AB2116*Settings!$C$13*(AB2080)</f>
        <v/>
      </c>
      <c r="AC2161" s="44">
        <f>AC2116*Settings!$C$13*(AC2080)</f>
        <v/>
      </c>
      <c r="AD2161" s="44">
        <f>AD2116*Settings!$C$13*(AD2080)</f>
        <v/>
      </c>
      <c r="AE2161" s="57">
        <f>REVENUE(AE2116,Settings!$C$13,AE2080)</f>
        <v/>
      </c>
      <c r="AG2161" s="11">
        <f>CodePrefix&amp;$A2161&amp;IF($C2161="","","."&amp;$C2161&amp;"."&amp;$B2161)&amp;INDEX(VarEnd,MATCH($A2161,VarKey,0))&amp;AG$5</f>
        <v/>
      </c>
      <c r="AH2161" s="43">
        <f>AH2116*Settings!$C$13*(AH2080)</f>
        <v/>
      </c>
      <c r="AI2161" s="44">
        <f>AI2116*Settings!$C$13*(AI2080)</f>
        <v/>
      </c>
      <c r="AJ2161" s="44">
        <f>AJ2116*Settings!$C$13*(AJ2080)</f>
        <v/>
      </c>
      <c r="AK2161" s="44">
        <f>AK2116*Settings!$C$13*(AK2080)</f>
        <v/>
      </c>
      <c r="AL2161" s="44">
        <f>AL2116*Settings!$C$13*(AL2080)</f>
        <v/>
      </c>
      <c r="AM2161" s="44">
        <f>AM2116*Settings!$C$13*(AM2080)</f>
        <v/>
      </c>
      <c r="AN2161" s="44">
        <f>AN2116*Settings!$C$13*(AN2080)</f>
        <v/>
      </c>
      <c r="AO2161" s="44">
        <f>AO2116*Settings!$C$13*(AO2080)</f>
        <v/>
      </c>
      <c r="AP2161" s="44">
        <f>AP2116*Settings!$C$13*(AP2080)</f>
        <v/>
      </c>
      <c r="AQ2161" s="44">
        <f>AQ2116*Settings!$C$13*(AQ2080)</f>
        <v/>
      </c>
      <c r="AR2161" s="44">
        <f>AR2116*Settings!$C$13*(AR2080)</f>
        <v/>
      </c>
      <c r="AS2161" s="44">
        <f>AS2116*Settings!$C$13*(AS2080)</f>
        <v/>
      </c>
      <c r="AT2161" s="44">
        <f>AT2116*Settings!$C$13*(AT2080)</f>
        <v/>
      </c>
      <c r="AU2161" s="44">
        <f>AU2116*Settings!$C$13*(AU2080)</f>
        <v/>
      </c>
      <c r="AV2161" s="44">
        <f>AV2116*Settings!$C$13*(AV2080)</f>
        <v/>
      </c>
      <c r="AW2161" s="44">
        <f>AW2116*Settings!$C$13*(AW2080)</f>
        <v/>
      </c>
      <c r="AX2161" s="44">
        <f>AX2116*Settings!$C$13*(AX2080)</f>
        <v/>
      </c>
      <c r="AY2161" s="44">
        <f>AY2116*Settings!$C$13*(AY2080)</f>
        <v/>
      </c>
      <c r="AZ2161" s="44">
        <f>AZ2116*Settings!$C$13*(AZ2080)</f>
        <v/>
      </c>
      <c r="BA2161" s="57">
        <f>REVENUE(BA2116,Settings!$C$13,BA2080)</f>
        <v/>
      </c>
    </row>
    <row r="2162" hidden="1" outlineLevel="2"/>
    <row r="2163" hidden="1" outlineLevel="1" collapsed="1">
      <c r="A2163" s="1" t="inlineStr">
        <is>
          <t>ener</t>
        </is>
      </c>
      <c r="B2163" s="1" t="inlineStr">
        <is>
          <t>all</t>
        </is>
      </c>
      <c r="C2163" s="1" t="inlineStr">
        <is>
          <t>nfm</t>
        </is>
      </c>
      <c r="H2163" s="1">
        <f>INDEX(VarLab,MATCH($A2163,VarKey,0))&amp;INDEX(MemLab,MATCH($C2163&amp;"|"&amp;$B2163,MemKey,0))</f>
        <v/>
      </c>
      <c r="I2163" s="1">
        <f>INDEX(VarUnit,MATCH($A2163,VarKey,0))</f>
        <v/>
      </c>
      <c r="J2163" s="1">
        <f>INDEX(VarSrc,MATCH($A2163,VarKey,0))</f>
        <v/>
      </c>
      <c r="K2163" s="17">
        <f>CodePrefix&amp;$A2163&amp;IF($C2163="","","."&amp;$C2163&amp;"."&amp;$B2163)&amp;INDEX(VarEnd,MATCH($A2163,VarKey,0))&amp;K$5</f>
        <v/>
      </c>
      <c r="L2163" s="68">
        <f>SUM(L2237:L2244)</f>
        <v/>
      </c>
      <c r="M2163" s="69">
        <f>SUM(M2237:M2244)</f>
        <v/>
      </c>
      <c r="N2163" s="69">
        <f>SUM(N2237:N2244)</f>
        <v/>
      </c>
      <c r="O2163" s="69">
        <f>SUM(O2237:O2244)</f>
        <v/>
      </c>
      <c r="P2163" s="69">
        <f>SUM(P2237:P2244)</f>
        <v/>
      </c>
      <c r="Q2163" s="69">
        <f>SUM(Q2237:Q2244)</f>
        <v/>
      </c>
      <c r="R2163" s="69">
        <f>SUM(R2237:R2244)</f>
        <v/>
      </c>
      <c r="S2163" s="69">
        <f>SUM(S2237:S2244)</f>
        <v/>
      </c>
      <c r="T2163" s="69">
        <f>SUM(T2237:T2244)</f>
        <v/>
      </c>
      <c r="U2163" s="69">
        <f>SUM(U2237:U2244)</f>
        <v/>
      </c>
      <c r="V2163" s="69">
        <f>SUM(V2237:V2244)</f>
        <v/>
      </c>
      <c r="W2163" s="69">
        <f>SUM(W2237:W2244)</f>
        <v/>
      </c>
      <c r="X2163" s="69">
        <f>SUM(X2237:X2244)</f>
        <v/>
      </c>
      <c r="Y2163" s="69">
        <f>SUM(Y2237:Y2244)</f>
        <v/>
      </c>
      <c r="Z2163" s="69">
        <f>SUM(Z2237:Z2244)</f>
        <v/>
      </c>
      <c r="AA2163" s="69">
        <f>SUM(AA2237:AA2244)</f>
        <v/>
      </c>
      <c r="AB2163" s="69">
        <f>SUM(AB2237:AB2244)</f>
        <v/>
      </c>
      <c r="AC2163" s="69">
        <f>SUM(AC2237:AC2244)</f>
        <v/>
      </c>
      <c r="AD2163" s="69">
        <f>SUM(AD2237:AD2244)</f>
        <v/>
      </c>
      <c r="AE2163" s="69">
        <f>SUM(AE2237:AE2244)</f>
        <v/>
      </c>
      <c r="AG2163" s="17">
        <f>CodePrefix&amp;$A2163&amp;IF($C2163="","","."&amp;$C2163&amp;"."&amp;$B2163)&amp;INDEX(VarEnd,MATCH($A2163,VarKey,0))&amp;AG$5</f>
        <v/>
      </c>
      <c r="AH2163" s="68">
        <f>SUM(AH2237:AH2244)</f>
        <v/>
      </c>
      <c r="AI2163" s="69">
        <f>SUM(AI2237:AI2244)</f>
        <v/>
      </c>
      <c r="AJ2163" s="69">
        <f>SUM(AJ2237:AJ2244)</f>
        <v/>
      </c>
      <c r="AK2163" s="69">
        <f>SUM(AK2237:AK2244)</f>
        <v/>
      </c>
      <c r="AL2163" s="69">
        <f>SUM(AL2237:AL2244)</f>
        <v/>
      </c>
      <c r="AM2163" s="69">
        <f>SUM(AM2237:AM2244)</f>
        <v/>
      </c>
      <c r="AN2163" s="69">
        <f>SUM(AN2237:AN2244)</f>
        <v/>
      </c>
      <c r="AO2163" s="69">
        <f>SUM(AO2237:AO2244)</f>
        <v/>
      </c>
      <c r="AP2163" s="69">
        <f>SUM(AP2237:AP2244)</f>
        <v/>
      </c>
      <c r="AQ2163" s="69">
        <f>SUM(AQ2237:AQ2244)</f>
        <v/>
      </c>
      <c r="AR2163" s="69">
        <f>SUM(AR2237:AR2244)</f>
        <v/>
      </c>
      <c r="AS2163" s="69">
        <f>SUM(AS2237:AS2244)</f>
        <v/>
      </c>
      <c r="AT2163" s="69">
        <f>SUM(AT2237:AT2244)</f>
        <v/>
      </c>
      <c r="AU2163" s="69">
        <f>SUM(AU2237:AU2244)</f>
        <v/>
      </c>
      <c r="AV2163" s="69">
        <f>SUM(AV2237:AV2244)</f>
        <v/>
      </c>
      <c r="AW2163" s="69">
        <f>SUM(AW2237:AW2244)</f>
        <v/>
      </c>
      <c r="AX2163" s="69">
        <f>SUM(AX2237:AX2244)</f>
        <v/>
      </c>
      <c r="AY2163" s="69">
        <f>SUM(AY2237:AY2244)</f>
        <v/>
      </c>
      <c r="AZ2163" s="69">
        <f>SUM(AZ2237:AZ2244)</f>
        <v/>
      </c>
      <c r="BA2163" s="69">
        <f>SUM(BA2237:BA2244)</f>
        <v/>
      </c>
    </row>
    <row r="2164" hidden="1" outlineLevel="1">
      <c r="A2164" s="67" t="inlineStr">
        <is>
          <t>eldem</t>
        </is>
      </c>
      <c r="B2164" s="67" t="inlineStr">
        <is>
          <t>ecy</t>
        </is>
      </c>
      <c r="C2164" s="67" t="inlineStr">
        <is>
          <t>nfm</t>
        </is>
      </c>
      <c r="H2164" s="67">
        <f>INDEX(VarLab,MATCH($A2164,VarKey,0))&amp;INDEX(MemLab,MATCH($C2164&amp;"|"&amp;$B2164,MemKey,0))</f>
        <v/>
      </c>
      <c r="I2164" s="67">
        <f>INDEX(VarUnit,MATCH($A2164,VarKey,0))</f>
        <v/>
      </c>
      <c r="J2164" s="67">
        <f>INDEX(VarSrc,MATCH($A2164,VarKey,0))</f>
        <v/>
      </c>
      <c r="K2164" s="70">
        <f>CodePrefix&amp;$A2164&amp;IF($C2164="","","."&amp;$C2164&amp;"."&amp;$B2164)&amp;INDEX(VarEnd,MATCH($A2164,VarKey,0))&amp;K$5</f>
        <v/>
      </c>
      <c r="L2164" s="71">
        <f>SUMIF($C$674:$C$688,$C2164,L$674:L$688)</f>
        <v/>
      </c>
      <c r="M2164" s="72">
        <f>SUMIF($C$674:$C$688,$C2164,M$674:M$688)</f>
        <v/>
      </c>
      <c r="N2164" s="72">
        <f>SUMIF($C$674:$C$688,$C2164,N$674:N$688)</f>
        <v/>
      </c>
      <c r="O2164" s="72">
        <f>SUMIF($C$674:$C$688,$C2164,O$674:O$688)</f>
        <v/>
      </c>
      <c r="P2164" s="72">
        <f>SUMIF($C$674:$C$688,$C2164,P$674:P$688)</f>
        <v/>
      </c>
      <c r="Q2164" s="72">
        <f>SUMIF($C$674:$C$688,$C2164,Q$674:Q$688)</f>
        <v/>
      </c>
      <c r="R2164" s="72">
        <f>SUMIF($C$674:$C$688,$C2164,R$674:R$688)</f>
        <v/>
      </c>
      <c r="S2164" s="72">
        <f>SUMIF($C$674:$C$688,$C2164,S$674:S$688)</f>
        <v/>
      </c>
      <c r="T2164" s="72">
        <f>SUMIF($C$674:$C$688,$C2164,T$674:T$688)</f>
        <v/>
      </c>
      <c r="U2164" s="72">
        <f>SUMIF($C$674:$C$688,$C2164,U$674:U$688)</f>
        <v/>
      </c>
      <c r="V2164" s="72">
        <f>SUMIF($C$674:$C$688,$C2164,V$674:V$688)</f>
        <v/>
      </c>
      <c r="W2164" s="72">
        <f>SUMIF($C$674:$C$688,$C2164,W$674:W$688)</f>
        <v/>
      </c>
      <c r="X2164" s="72">
        <f>SUMIF($C$674:$C$688,$C2164,X$674:X$688)</f>
        <v/>
      </c>
      <c r="Y2164" s="72">
        <f>SUMIF($C$674:$C$688,$C2164,Y$674:Y$688)</f>
        <v/>
      </c>
      <c r="Z2164" s="72">
        <f>SUMIF($C$674:$C$688,$C2164,Z$674:Z$688)</f>
        <v/>
      </c>
      <c r="AA2164" s="72">
        <f>SUMIF($C$674:$C$688,$C2164,AA$674:AA$688)</f>
        <v/>
      </c>
      <c r="AB2164" s="72">
        <f>SUMIF($C$674:$C$688,$C2164,AB$674:AB$688)</f>
        <v/>
      </c>
      <c r="AC2164" s="72">
        <f>SUMIF($C$674:$C$688,$C2164,AC$674:AC$688)</f>
        <v/>
      </c>
      <c r="AD2164" s="72">
        <f>SUMIF($C$674:$C$688,$C2164,AD$674:AD$688)</f>
        <v/>
      </c>
      <c r="AE2164" s="72">
        <f>SUMIF($C$674:$C$688,$C2164,AE$674:AE$688)</f>
        <v/>
      </c>
      <c r="AG2164" s="70">
        <f>CodePrefix&amp;$A2164&amp;IF($C2164="","","."&amp;$C2164&amp;"."&amp;$B2164)&amp;INDEX(VarEnd,MATCH($A2164,VarKey,0))&amp;AG$5</f>
        <v/>
      </c>
      <c r="AH2164" s="71">
        <f>SUMIF($C$674:$C$688,$C2164,AH$674:AH$688)</f>
        <v/>
      </c>
      <c r="AI2164" s="72">
        <f>SUMIF($C$674:$C$688,$C2164,AI$674:AI$688)</f>
        <v/>
      </c>
      <c r="AJ2164" s="72">
        <f>SUMIF($C$674:$C$688,$C2164,AJ$674:AJ$688)</f>
        <v/>
      </c>
      <c r="AK2164" s="72">
        <f>SUMIF($C$674:$C$688,$C2164,AK$674:AK$688)</f>
        <v/>
      </c>
      <c r="AL2164" s="72">
        <f>SUMIF($C$674:$C$688,$C2164,AL$674:AL$688)</f>
        <v/>
      </c>
      <c r="AM2164" s="72">
        <f>SUMIF($C$674:$C$688,$C2164,AM$674:AM$688)</f>
        <v/>
      </c>
      <c r="AN2164" s="72">
        <f>SUMIF($C$674:$C$688,$C2164,AN$674:AN$688)</f>
        <v/>
      </c>
      <c r="AO2164" s="72">
        <f>SUMIF($C$674:$C$688,$C2164,AO$674:AO$688)</f>
        <v/>
      </c>
      <c r="AP2164" s="72">
        <f>SUMIF($C$674:$C$688,$C2164,AP$674:AP$688)</f>
        <v/>
      </c>
      <c r="AQ2164" s="72">
        <f>SUMIF($C$674:$C$688,$C2164,AQ$674:AQ$688)</f>
        <v/>
      </c>
      <c r="AR2164" s="72">
        <f>SUMIF($C$674:$C$688,$C2164,AR$674:AR$688)</f>
        <v/>
      </c>
      <c r="AS2164" s="72">
        <f>SUMIF($C$674:$C$688,$C2164,AS$674:AS$688)</f>
        <v/>
      </c>
      <c r="AT2164" s="72">
        <f>SUMIF($C$674:$C$688,$C2164,AT$674:AT$688)</f>
        <v/>
      </c>
      <c r="AU2164" s="72">
        <f>SUMIF($C$674:$C$688,$C2164,AU$674:AU$688)</f>
        <v/>
      </c>
      <c r="AV2164" s="72">
        <f>SUMIF($C$674:$C$688,$C2164,AV$674:AV$688)</f>
        <v/>
      </c>
      <c r="AW2164" s="72">
        <f>SUMIF($C$674:$C$688,$C2164,AW$674:AW$688)</f>
        <v/>
      </c>
      <c r="AX2164" s="72">
        <f>SUMIF($C$674:$C$688,$C2164,AX$674:AX$688)</f>
        <v/>
      </c>
      <c r="AY2164" s="72">
        <f>SUMIF($C$674:$C$688,$C2164,AY$674:AY$688)</f>
        <v/>
      </c>
      <c r="AZ2164" s="72">
        <f>SUMIF($C$674:$C$688,$C2164,AZ$674:AZ$688)</f>
        <v/>
      </c>
      <c r="BA2164" s="72">
        <f>SUMIF($C$674:$C$688,$C2164,BA$674:BA$688)</f>
        <v/>
      </c>
    </row>
    <row r="2165" hidden="1" outlineLevel="2">
      <c r="A2165" s="14" t="inlineStr">
        <is>
          <t>ctxnew</t>
        </is>
      </c>
      <c r="B2165" s="14" t="inlineStr">
        <is>
          <t>coa</t>
        </is>
      </c>
      <c r="C2165" s="14" t="inlineStr">
        <is>
          <t>nfm</t>
        </is>
      </c>
      <c r="D2165" s="35">
        <f>INDEX(Inputs!$W$5:$W$132,MATCH($B2165&amp;"|"&amp;$C2165,Inputs!$A$5:$A$132,0))</f>
        <v/>
      </c>
      <c r="E2165" s="35">
        <f>INDEX(Inputs!$L$5:$L$132,MATCH($B2165&amp;"|"&amp;$C2165,Inputs!$A$5:$A$132,0))</f>
        <v/>
      </c>
      <c r="F2165" s="35">
        <f>INDEX(Inputs!$M$5:$M$132,MATCH($B2165&amp;"|"&amp;$C2165,Inputs!$A$5:$A$132,0))</f>
        <v/>
      </c>
      <c r="G2165" s="39" t="n"/>
      <c r="H2165" s="14">
        <f>INDEX(VarLab,MATCH($A2165,VarKey,0))&amp;INDEX(MemLab,MATCH($C2165&amp;"|"&amp;$B2165,MemKey,0))</f>
        <v/>
      </c>
      <c r="I2165" s="14">
        <f>INDEX(VarUnit,MATCH($A2165,VarKey,0))</f>
        <v/>
      </c>
      <c r="J2165" s="14">
        <f>INDEX(VarSrc,MATCH($A2165,VarKey,0))</f>
        <v/>
      </c>
      <c r="K2165" s="11">
        <f>CodePrefix&amp;$A2165&amp;IF($C2165="","","."&amp;$C2165&amp;"."&amp;$B2165)&amp;INDEX(VarEnd,MATCH($A2165,VarKey,0))&amp;K$5</f>
        <v/>
      </c>
      <c r="L2165" s="40">
        <f>INDEX(L$263:L$279,$F2165)*$D2165*INDEX(L$23:L$30,$E2165)</f>
        <v/>
      </c>
      <c r="M2165" s="35">
        <f>INDEX(M$263:M$279,$F2165)*$D2165*INDEX(M$23:M$30,$E2165)</f>
        <v/>
      </c>
      <c r="N2165" s="35">
        <f>INDEX(N$263:N$279,$F2165)*$D2165*INDEX(N$23:N$30,$E2165)</f>
        <v/>
      </c>
      <c r="O2165" s="35">
        <f>INDEX(O$263:O$279,$F2165)*$D2165*INDEX(O$23:O$30,$E2165)</f>
        <v/>
      </c>
      <c r="P2165" s="35">
        <f>INDEX(P$263:P$279,$F2165)*$D2165*INDEX(P$23:P$30,$E2165)</f>
        <v/>
      </c>
      <c r="Q2165" s="35">
        <f>INDEX(Q$263:Q$279,$F2165)*$D2165*INDEX(Q$23:Q$30,$E2165)</f>
        <v/>
      </c>
      <c r="R2165" s="35">
        <f>INDEX(R$263:R$279,$F2165)*$D2165*INDEX(R$23:R$30,$E2165)</f>
        <v/>
      </c>
      <c r="S2165" s="35">
        <f>INDEX(S$263:S$279,$F2165)*$D2165*INDEX(S$23:S$30,$E2165)</f>
        <v/>
      </c>
      <c r="T2165" s="35">
        <f>INDEX(T$263:T$279,$F2165)*$D2165*INDEX(T$23:T$30,$E2165)</f>
        <v/>
      </c>
      <c r="U2165" s="35">
        <f>INDEX(U$263:U$279,$F2165)*$D2165*INDEX(U$23:U$30,$E2165)</f>
        <v/>
      </c>
      <c r="V2165" s="35">
        <f>INDEX(V$263:V$279,$F2165)*$D2165*INDEX(V$23:V$30,$E2165)</f>
        <v/>
      </c>
      <c r="W2165" s="35">
        <f>INDEX(W$263:W$279,$F2165)*$D2165*INDEX(W$23:W$30,$E2165)</f>
        <v/>
      </c>
      <c r="X2165" s="35">
        <f>INDEX(X$263:X$279,$F2165)*$D2165*INDEX(X$23:X$30,$E2165)</f>
        <v/>
      </c>
      <c r="Y2165" s="35">
        <f>INDEX(Y$263:Y$279,$F2165)*$D2165*INDEX(Y$23:Y$30,$E2165)</f>
        <v/>
      </c>
      <c r="Z2165" s="35">
        <f>INDEX(Z$263:Z$279,$F2165)*$D2165*INDEX(Z$23:Z$30,$E2165)</f>
        <v/>
      </c>
      <c r="AA2165" s="35">
        <f>INDEX(AA$263:AA$279,$F2165)*$D2165*INDEX(AA$23:AA$30,$E2165)</f>
        <v/>
      </c>
      <c r="AB2165" s="35">
        <f>INDEX(AB$263:AB$279,$F2165)*$D2165*INDEX(AB$23:AB$30,$E2165)</f>
        <v/>
      </c>
      <c r="AC2165" s="35">
        <f>INDEX(AC$263:AC$279,$F2165)*$D2165*INDEX(AC$23:AC$30,$E2165)</f>
        <v/>
      </c>
      <c r="AD2165" s="35">
        <f>INDEX(AD$263:AD$279,$F2165)*$D2165*INDEX(AD$23:AD$30,$E2165)</f>
        <v/>
      </c>
      <c r="AE2165" s="42">
        <f>CARBONTAX(INDEX(AE$263:AE$279,$F2165),$D2165,INDEX(AE$23:AE$30,$E2165))</f>
        <v/>
      </c>
      <c r="AG2165" s="11">
        <f>CodePrefix&amp;$A2165&amp;IF($C2165="","","."&amp;$C2165&amp;"."&amp;$B2165)&amp;INDEX(VarEnd,MATCH($A2165,VarKey,0))&amp;AG$5</f>
        <v/>
      </c>
      <c r="AH2165" s="40">
        <f>INDEX(AH$263:AH$279,$F2165)*$D2165*INDEX(AH$23:AH$30,$E2165)</f>
        <v/>
      </c>
      <c r="AI2165" s="35">
        <f>INDEX(AI$263:AI$279,$F2165)*$D2165*INDEX(AI$23:AI$30,$E2165)</f>
        <v/>
      </c>
      <c r="AJ2165" s="35">
        <f>INDEX(AJ$263:AJ$279,$F2165)*$D2165*INDEX(AJ$23:AJ$30,$E2165)</f>
        <v/>
      </c>
      <c r="AK2165" s="35">
        <f>INDEX(AK$263:AK$279,$F2165)*$D2165*INDEX(AK$23:AK$30,$E2165)</f>
        <v/>
      </c>
      <c r="AL2165" s="35">
        <f>INDEX(AL$263:AL$279,$F2165)*$D2165*INDEX(AL$23:AL$30,$E2165)</f>
        <v/>
      </c>
      <c r="AM2165" s="35">
        <f>INDEX(AM$263:AM$279,$F2165)*$D2165*INDEX(AM$23:AM$30,$E2165)</f>
        <v/>
      </c>
      <c r="AN2165" s="35">
        <f>INDEX(AN$263:AN$279,$F2165)*$D2165*INDEX(AN$23:AN$30,$E2165)</f>
        <v/>
      </c>
      <c r="AO2165" s="35">
        <f>INDEX(AO$263:AO$279,$F2165)*$D2165*INDEX(AO$23:AO$30,$E2165)</f>
        <v/>
      </c>
      <c r="AP2165" s="35">
        <f>INDEX(AP$263:AP$279,$F2165)*$D2165*INDEX(AP$23:AP$30,$E2165)</f>
        <v/>
      </c>
      <c r="AQ2165" s="35">
        <f>INDEX(AQ$263:AQ$279,$F2165)*$D2165*INDEX(AQ$23:AQ$30,$E2165)</f>
        <v/>
      </c>
      <c r="AR2165" s="35">
        <f>INDEX(AR$263:AR$279,$F2165)*$D2165*INDEX(AR$23:AR$30,$E2165)</f>
        <v/>
      </c>
      <c r="AS2165" s="35">
        <f>INDEX(AS$263:AS$279,$F2165)*$D2165*INDEX(AS$23:AS$30,$E2165)</f>
        <v/>
      </c>
      <c r="AT2165" s="35">
        <f>INDEX(AT$263:AT$279,$F2165)*$D2165*INDEX(AT$23:AT$30,$E2165)</f>
        <v/>
      </c>
      <c r="AU2165" s="35">
        <f>INDEX(AU$263:AU$279,$F2165)*$D2165*INDEX(AU$23:AU$30,$E2165)</f>
        <v/>
      </c>
      <c r="AV2165" s="35">
        <f>INDEX(AV$263:AV$279,$F2165)*$D2165*INDEX(AV$23:AV$30,$E2165)</f>
        <v/>
      </c>
      <c r="AW2165" s="35">
        <f>INDEX(AW$263:AW$279,$F2165)*$D2165*INDEX(AW$23:AW$30,$E2165)</f>
        <v/>
      </c>
      <c r="AX2165" s="35">
        <f>INDEX(AX$263:AX$279,$F2165)*$D2165*INDEX(AX$23:AX$30,$E2165)</f>
        <v/>
      </c>
      <c r="AY2165" s="35">
        <f>INDEX(AY$263:AY$279,$F2165)*$D2165*INDEX(AY$23:AY$30,$E2165)</f>
        <v/>
      </c>
      <c r="AZ2165" s="35">
        <f>INDEX(AZ$263:AZ$279,$F2165)*$D2165*INDEX(AZ$23:AZ$30,$E2165)</f>
        <v/>
      </c>
      <c r="BA2165" s="42">
        <f>CARBONTAX(INDEX(BA$263:BA$279,$F2165),$D2165,INDEX(BA$23:BA$30,$E2165))</f>
        <v/>
      </c>
    </row>
    <row r="2166" hidden="1" outlineLevel="2">
      <c r="A2166" s="14" t="inlineStr">
        <is>
          <t>ctxnew</t>
        </is>
      </c>
      <c r="B2166" s="14" t="inlineStr">
        <is>
          <t>nga</t>
        </is>
      </c>
      <c r="C2166" s="14" t="inlineStr">
        <is>
          <t>nfm</t>
        </is>
      </c>
      <c r="D2166" s="35">
        <f>INDEX(Inputs!$W$5:$W$132,MATCH($B2166&amp;"|"&amp;$C2166,Inputs!$A$5:$A$132,0))</f>
        <v/>
      </c>
      <c r="E2166" s="35">
        <f>INDEX(Inputs!$L$5:$L$132,MATCH($B2166&amp;"|"&amp;$C2166,Inputs!$A$5:$A$132,0))</f>
        <v/>
      </c>
      <c r="F2166" s="35">
        <f>INDEX(Inputs!$M$5:$M$132,MATCH($B2166&amp;"|"&amp;$C2166,Inputs!$A$5:$A$132,0))</f>
        <v/>
      </c>
      <c r="G2166" s="39" t="n"/>
      <c r="H2166" s="14">
        <f>INDEX(VarLab,MATCH($A2166,VarKey,0))&amp;INDEX(MemLab,MATCH($C2166&amp;"|"&amp;$B2166,MemKey,0))</f>
        <v/>
      </c>
      <c r="I2166" s="14">
        <f>INDEX(VarUnit,MATCH($A2166,VarKey,0))</f>
        <v/>
      </c>
      <c r="J2166" s="14">
        <f>INDEX(VarSrc,MATCH($A2166,VarKey,0))</f>
        <v/>
      </c>
      <c r="K2166" s="11">
        <f>CodePrefix&amp;$A2166&amp;IF($C2166="","","."&amp;$C2166&amp;"."&amp;$B2166)&amp;INDEX(VarEnd,MATCH($A2166,VarKey,0))&amp;K$5</f>
        <v/>
      </c>
      <c r="L2166" s="40">
        <f>INDEX(L$263:L$279,$F2166)*$D2166*INDEX(L$23:L$30,$E2166)</f>
        <v/>
      </c>
      <c r="M2166" s="35">
        <f>INDEX(M$263:M$279,$F2166)*$D2166*INDEX(M$23:M$30,$E2166)</f>
        <v/>
      </c>
      <c r="N2166" s="35">
        <f>INDEX(N$263:N$279,$F2166)*$D2166*INDEX(N$23:N$30,$E2166)</f>
        <v/>
      </c>
      <c r="O2166" s="35">
        <f>INDEX(O$263:O$279,$F2166)*$D2166*INDEX(O$23:O$30,$E2166)</f>
        <v/>
      </c>
      <c r="P2166" s="35">
        <f>INDEX(P$263:P$279,$F2166)*$D2166*INDEX(P$23:P$30,$E2166)</f>
        <v/>
      </c>
      <c r="Q2166" s="35">
        <f>INDEX(Q$263:Q$279,$F2166)*$D2166*INDEX(Q$23:Q$30,$E2166)</f>
        <v/>
      </c>
      <c r="R2166" s="35">
        <f>INDEX(R$263:R$279,$F2166)*$D2166*INDEX(R$23:R$30,$E2166)</f>
        <v/>
      </c>
      <c r="S2166" s="35">
        <f>INDEX(S$263:S$279,$F2166)*$D2166*INDEX(S$23:S$30,$E2166)</f>
        <v/>
      </c>
      <c r="T2166" s="35">
        <f>INDEX(T$263:T$279,$F2166)*$D2166*INDEX(T$23:T$30,$E2166)</f>
        <v/>
      </c>
      <c r="U2166" s="35">
        <f>INDEX(U$263:U$279,$F2166)*$D2166*INDEX(U$23:U$30,$E2166)</f>
        <v/>
      </c>
      <c r="V2166" s="35">
        <f>INDEX(V$263:V$279,$F2166)*$D2166*INDEX(V$23:V$30,$E2166)</f>
        <v/>
      </c>
      <c r="W2166" s="35">
        <f>INDEX(W$263:W$279,$F2166)*$D2166*INDEX(W$23:W$30,$E2166)</f>
        <v/>
      </c>
      <c r="X2166" s="35">
        <f>INDEX(X$263:X$279,$F2166)*$D2166*INDEX(X$23:X$30,$E2166)</f>
        <v/>
      </c>
      <c r="Y2166" s="35">
        <f>INDEX(Y$263:Y$279,$F2166)*$D2166*INDEX(Y$23:Y$30,$E2166)</f>
        <v/>
      </c>
      <c r="Z2166" s="35">
        <f>INDEX(Z$263:Z$279,$F2166)*$D2166*INDEX(Z$23:Z$30,$E2166)</f>
        <v/>
      </c>
      <c r="AA2166" s="35">
        <f>INDEX(AA$263:AA$279,$F2166)*$D2166*INDEX(AA$23:AA$30,$E2166)</f>
        <v/>
      </c>
      <c r="AB2166" s="35">
        <f>INDEX(AB$263:AB$279,$F2166)*$D2166*INDEX(AB$23:AB$30,$E2166)</f>
        <v/>
      </c>
      <c r="AC2166" s="35">
        <f>INDEX(AC$263:AC$279,$F2166)*$D2166*INDEX(AC$23:AC$30,$E2166)</f>
        <v/>
      </c>
      <c r="AD2166" s="35">
        <f>INDEX(AD$263:AD$279,$F2166)*$D2166*INDEX(AD$23:AD$30,$E2166)</f>
        <v/>
      </c>
      <c r="AE2166" s="42">
        <f>CARBONTAX(INDEX(AE$263:AE$279,$F2166),$D2166,INDEX(AE$23:AE$30,$E2166))</f>
        <v/>
      </c>
      <c r="AG2166" s="11">
        <f>CodePrefix&amp;$A2166&amp;IF($C2166="","","."&amp;$C2166&amp;"."&amp;$B2166)&amp;INDEX(VarEnd,MATCH($A2166,VarKey,0))&amp;AG$5</f>
        <v/>
      </c>
      <c r="AH2166" s="40">
        <f>INDEX(AH$263:AH$279,$F2166)*$D2166*INDEX(AH$23:AH$30,$E2166)</f>
        <v/>
      </c>
      <c r="AI2166" s="35">
        <f>INDEX(AI$263:AI$279,$F2166)*$D2166*INDEX(AI$23:AI$30,$E2166)</f>
        <v/>
      </c>
      <c r="AJ2166" s="35">
        <f>INDEX(AJ$263:AJ$279,$F2166)*$D2166*INDEX(AJ$23:AJ$30,$E2166)</f>
        <v/>
      </c>
      <c r="AK2166" s="35">
        <f>INDEX(AK$263:AK$279,$F2166)*$D2166*INDEX(AK$23:AK$30,$E2166)</f>
        <v/>
      </c>
      <c r="AL2166" s="35">
        <f>INDEX(AL$263:AL$279,$F2166)*$D2166*INDEX(AL$23:AL$30,$E2166)</f>
        <v/>
      </c>
      <c r="AM2166" s="35">
        <f>INDEX(AM$263:AM$279,$F2166)*$D2166*INDEX(AM$23:AM$30,$E2166)</f>
        <v/>
      </c>
      <c r="AN2166" s="35">
        <f>INDEX(AN$263:AN$279,$F2166)*$D2166*INDEX(AN$23:AN$30,$E2166)</f>
        <v/>
      </c>
      <c r="AO2166" s="35">
        <f>INDEX(AO$263:AO$279,$F2166)*$D2166*INDEX(AO$23:AO$30,$E2166)</f>
        <v/>
      </c>
      <c r="AP2166" s="35">
        <f>INDEX(AP$263:AP$279,$F2166)*$D2166*INDEX(AP$23:AP$30,$E2166)</f>
        <v/>
      </c>
      <c r="AQ2166" s="35">
        <f>INDEX(AQ$263:AQ$279,$F2166)*$D2166*INDEX(AQ$23:AQ$30,$E2166)</f>
        <v/>
      </c>
      <c r="AR2166" s="35">
        <f>INDEX(AR$263:AR$279,$F2166)*$D2166*INDEX(AR$23:AR$30,$E2166)</f>
        <v/>
      </c>
      <c r="AS2166" s="35">
        <f>INDEX(AS$263:AS$279,$F2166)*$D2166*INDEX(AS$23:AS$30,$E2166)</f>
        <v/>
      </c>
      <c r="AT2166" s="35">
        <f>INDEX(AT$263:AT$279,$F2166)*$D2166*INDEX(AT$23:AT$30,$E2166)</f>
        <v/>
      </c>
      <c r="AU2166" s="35">
        <f>INDEX(AU$263:AU$279,$F2166)*$D2166*INDEX(AU$23:AU$30,$E2166)</f>
        <v/>
      </c>
      <c r="AV2166" s="35">
        <f>INDEX(AV$263:AV$279,$F2166)*$D2166*INDEX(AV$23:AV$30,$E2166)</f>
        <v/>
      </c>
      <c r="AW2166" s="35">
        <f>INDEX(AW$263:AW$279,$F2166)*$D2166*INDEX(AW$23:AW$30,$E2166)</f>
        <v/>
      </c>
      <c r="AX2166" s="35">
        <f>INDEX(AX$263:AX$279,$F2166)*$D2166*INDEX(AX$23:AX$30,$E2166)</f>
        <v/>
      </c>
      <c r="AY2166" s="35">
        <f>INDEX(AY$263:AY$279,$F2166)*$D2166*INDEX(AY$23:AY$30,$E2166)</f>
        <v/>
      </c>
      <c r="AZ2166" s="35">
        <f>INDEX(AZ$263:AZ$279,$F2166)*$D2166*INDEX(AZ$23:AZ$30,$E2166)</f>
        <v/>
      </c>
      <c r="BA2166" s="42">
        <f>CARBONTAX(INDEX(BA$263:BA$279,$F2166),$D2166,INDEX(BA$23:BA$30,$E2166))</f>
        <v/>
      </c>
    </row>
    <row r="2167" hidden="1" outlineLevel="2">
      <c r="A2167" s="14" t="inlineStr">
        <is>
          <t>ctxnew</t>
        </is>
      </c>
      <c r="B2167" s="14" t="inlineStr">
        <is>
          <t>gso</t>
        </is>
      </c>
      <c r="C2167" s="14" t="inlineStr">
        <is>
          <t>nfm</t>
        </is>
      </c>
      <c r="D2167" s="35">
        <f>INDEX(Inputs!$W$5:$W$132,MATCH($B2167&amp;"|"&amp;$C2167,Inputs!$A$5:$A$132,0))</f>
        <v/>
      </c>
      <c r="E2167" s="35">
        <f>INDEX(Inputs!$L$5:$L$132,MATCH($B2167&amp;"|"&amp;$C2167,Inputs!$A$5:$A$132,0))</f>
        <v/>
      </c>
      <c r="F2167" s="35">
        <f>INDEX(Inputs!$M$5:$M$132,MATCH($B2167&amp;"|"&amp;$C2167,Inputs!$A$5:$A$132,0))</f>
        <v/>
      </c>
      <c r="G2167" s="39" t="n"/>
      <c r="H2167" s="14">
        <f>INDEX(VarLab,MATCH($A2167,VarKey,0))&amp;INDEX(MemLab,MATCH($C2167&amp;"|"&amp;$B2167,MemKey,0))</f>
        <v/>
      </c>
      <c r="I2167" s="14">
        <f>INDEX(VarUnit,MATCH($A2167,VarKey,0))</f>
        <v/>
      </c>
      <c r="J2167" s="14">
        <f>INDEX(VarSrc,MATCH($A2167,VarKey,0))</f>
        <v/>
      </c>
      <c r="K2167" s="11">
        <f>CodePrefix&amp;$A2167&amp;IF($C2167="","","."&amp;$C2167&amp;"."&amp;$B2167)&amp;INDEX(VarEnd,MATCH($A2167,VarKey,0))&amp;K$5</f>
        <v/>
      </c>
      <c r="L2167" s="40">
        <f>INDEX(L$263:L$279,$F2167)*$D2167*INDEX(L$23:L$30,$E2167)</f>
        <v/>
      </c>
      <c r="M2167" s="35">
        <f>INDEX(M$263:M$279,$F2167)*$D2167*INDEX(M$23:M$30,$E2167)</f>
        <v/>
      </c>
      <c r="N2167" s="35">
        <f>INDEX(N$263:N$279,$F2167)*$D2167*INDEX(N$23:N$30,$E2167)</f>
        <v/>
      </c>
      <c r="O2167" s="35">
        <f>INDEX(O$263:O$279,$F2167)*$D2167*INDEX(O$23:O$30,$E2167)</f>
        <v/>
      </c>
      <c r="P2167" s="35">
        <f>INDEX(P$263:P$279,$F2167)*$D2167*INDEX(P$23:P$30,$E2167)</f>
        <v/>
      </c>
      <c r="Q2167" s="35">
        <f>INDEX(Q$263:Q$279,$F2167)*$D2167*INDEX(Q$23:Q$30,$E2167)</f>
        <v/>
      </c>
      <c r="R2167" s="35">
        <f>INDEX(R$263:R$279,$F2167)*$D2167*INDEX(R$23:R$30,$E2167)</f>
        <v/>
      </c>
      <c r="S2167" s="35">
        <f>INDEX(S$263:S$279,$F2167)*$D2167*INDEX(S$23:S$30,$E2167)</f>
        <v/>
      </c>
      <c r="T2167" s="35">
        <f>INDEX(T$263:T$279,$F2167)*$D2167*INDEX(T$23:T$30,$E2167)</f>
        <v/>
      </c>
      <c r="U2167" s="35">
        <f>INDEX(U$263:U$279,$F2167)*$D2167*INDEX(U$23:U$30,$E2167)</f>
        <v/>
      </c>
      <c r="V2167" s="35">
        <f>INDEX(V$263:V$279,$F2167)*$D2167*INDEX(V$23:V$30,$E2167)</f>
        <v/>
      </c>
      <c r="W2167" s="35">
        <f>INDEX(W$263:W$279,$F2167)*$D2167*INDEX(W$23:W$30,$E2167)</f>
        <v/>
      </c>
      <c r="X2167" s="35">
        <f>INDEX(X$263:X$279,$F2167)*$D2167*INDEX(X$23:X$30,$E2167)</f>
        <v/>
      </c>
      <c r="Y2167" s="35">
        <f>INDEX(Y$263:Y$279,$F2167)*$D2167*INDEX(Y$23:Y$30,$E2167)</f>
        <v/>
      </c>
      <c r="Z2167" s="35">
        <f>INDEX(Z$263:Z$279,$F2167)*$D2167*INDEX(Z$23:Z$30,$E2167)</f>
        <v/>
      </c>
      <c r="AA2167" s="35">
        <f>INDEX(AA$263:AA$279,$F2167)*$D2167*INDEX(AA$23:AA$30,$E2167)</f>
        <v/>
      </c>
      <c r="AB2167" s="35">
        <f>INDEX(AB$263:AB$279,$F2167)*$D2167*INDEX(AB$23:AB$30,$E2167)</f>
        <v/>
      </c>
      <c r="AC2167" s="35">
        <f>INDEX(AC$263:AC$279,$F2167)*$D2167*INDEX(AC$23:AC$30,$E2167)</f>
        <v/>
      </c>
      <c r="AD2167" s="35">
        <f>INDEX(AD$263:AD$279,$F2167)*$D2167*INDEX(AD$23:AD$30,$E2167)</f>
        <v/>
      </c>
      <c r="AE2167" s="42">
        <f>CARBONTAX(INDEX(AE$263:AE$279,$F2167),$D2167,INDEX(AE$23:AE$30,$E2167))</f>
        <v/>
      </c>
      <c r="AG2167" s="11">
        <f>CodePrefix&amp;$A2167&amp;IF($C2167="","","."&amp;$C2167&amp;"."&amp;$B2167)&amp;INDEX(VarEnd,MATCH($A2167,VarKey,0))&amp;AG$5</f>
        <v/>
      </c>
      <c r="AH2167" s="40">
        <f>INDEX(AH$263:AH$279,$F2167)*$D2167*INDEX(AH$23:AH$30,$E2167)</f>
        <v/>
      </c>
      <c r="AI2167" s="35">
        <f>INDEX(AI$263:AI$279,$F2167)*$D2167*INDEX(AI$23:AI$30,$E2167)</f>
        <v/>
      </c>
      <c r="AJ2167" s="35">
        <f>INDEX(AJ$263:AJ$279,$F2167)*$D2167*INDEX(AJ$23:AJ$30,$E2167)</f>
        <v/>
      </c>
      <c r="AK2167" s="35">
        <f>INDEX(AK$263:AK$279,$F2167)*$D2167*INDEX(AK$23:AK$30,$E2167)</f>
        <v/>
      </c>
      <c r="AL2167" s="35">
        <f>INDEX(AL$263:AL$279,$F2167)*$D2167*INDEX(AL$23:AL$30,$E2167)</f>
        <v/>
      </c>
      <c r="AM2167" s="35">
        <f>INDEX(AM$263:AM$279,$F2167)*$D2167*INDEX(AM$23:AM$30,$E2167)</f>
        <v/>
      </c>
      <c r="AN2167" s="35">
        <f>INDEX(AN$263:AN$279,$F2167)*$D2167*INDEX(AN$23:AN$30,$E2167)</f>
        <v/>
      </c>
      <c r="AO2167" s="35">
        <f>INDEX(AO$263:AO$279,$F2167)*$D2167*INDEX(AO$23:AO$30,$E2167)</f>
        <v/>
      </c>
      <c r="AP2167" s="35">
        <f>INDEX(AP$263:AP$279,$F2167)*$D2167*INDEX(AP$23:AP$30,$E2167)</f>
        <v/>
      </c>
      <c r="AQ2167" s="35">
        <f>INDEX(AQ$263:AQ$279,$F2167)*$D2167*INDEX(AQ$23:AQ$30,$E2167)</f>
        <v/>
      </c>
      <c r="AR2167" s="35">
        <f>INDEX(AR$263:AR$279,$F2167)*$D2167*INDEX(AR$23:AR$30,$E2167)</f>
        <v/>
      </c>
      <c r="AS2167" s="35">
        <f>INDEX(AS$263:AS$279,$F2167)*$D2167*INDEX(AS$23:AS$30,$E2167)</f>
        <v/>
      </c>
      <c r="AT2167" s="35">
        <f>INDEX(AT$263:AT$279,$F2167)*$D2167*INDEX(AT$23:AT$30,$E2167)</f>
        <v/>
      </c>
      <c r="AU2167" s="35">
        <f>INDEX(AU$263:AU$279,$F2167)*$D2167*INDEX(AU$23:AU$30,$E2167)</f>
        <v/>
      </c>
      <c r="AV2167" s="35">
        <f>INDEX(AV$263:AV$279,$F2167)*$D2167*INDEX(AV$23:AV$30,$E2167)</f>
        <v/>
      </c>
      <c r="AW2167" s="35">
        <f>INDEX(AW$263:AW$279,$F2167)*$D2167*INDEX(AW$23:AW$30,$E2167)</f>
        <v/>
      </c>
      <c r="AX2167" s="35">
        <f>INDEX(AX$263:AX$279,$F2167)*$D2167*INDEX(AX$23:AX$30,$E2167)</f>
        <v/>
      </c>
      <c r="AY2167" s="35">
        <f>INDEX(AY$263:AY$279,$F2167)*$D2167*INDEX(AY$23:AY$30,$E2167)</f>
        <v/>
      </c>
      <c r="AZ2167" s="35">
        <f>INDEX(AZ$263:AZ$279,$F2167)*$D2167*INDEX(AZ$23:AZ$30,$E2167)</f>
        <v/>
      </c>
      <c r="BA2167" s="42">
        <f>CARBONTAX(INDEX(BA$263:BA$279,$F2167),$D2167,INDEX(BA$23:BA$30,$E2167))</f>
        <v/>
      </c>
    </row>
    <row r="2168" hidden="1" outlineLevel="2">
      <c r="A2168" s="14" t="inlineStr">
        <is>
          <t>ctxnew</t>
        </is>
      </c>
      <c r="B2168" s="14" t="inlineStr">
        <is>
          <t>die</t>
        </is>
      </c>
      <c r="C2168" s="14" t="inlineStr">
        <is>
          <t>nfm</t>
        </is>
      </c>
      <c r="D2168" s="35">
        <f>INDEX(Inputs!$W$5:$W$132,MATCH($B2168&amp;"|"&amp;$C2168,Inputs!$A$5:$A$132,0))</f>
        <v/>
      </c>
      <c r="E2168" s="35">
        <f>INDEX(Inputs!$L$5:$L$132,MATCH($B2168&amp;"|"&amp;$C2168,Inputs!$A$5:$A$132,0))</f>
        <v/>
      </c>
      <c r="F2168" s="35">
        <f>INDEX(Inputs!$M$5:$M$132,MATCH($B2168&amp;"|"&amp;$C2168,Inputs!$A$5:$A$132,0))</f>
        <v/>
      </c>
      <c r="G2168" s="39" t="n"/>
      <c r="H2168" s="14">
        <f>INDEX(VarLab,MATCH($A2168,VarKey,0))&amp;INDEX(MemLab,MATCH($C2168&amp;"|"&amp;$B2168,MemKey,0))</f>
        <v/>
      </c>
      <c r="I2168" s="14">
        <f>INDEX(VarUnit,MATCH($A2168,VarKey,0))</f>
        <v/>
      </c>
      <c r="J2168" s="14">
        <f>INDEX(VarSrc,MATCH($A2168,VarKey,0))</f>
        <v/>
      </c>
      <c r="K2168" s="11">
        <f>CodePrefix&amp;$A2168&amp;IF($C2168="","","."&amp;$C2168&amp;"."&amp;$B2168)&amp;INDEX(VarEnd,MATCH($A2168,VarKey,0))&amp;K$5</f>
        <v/>
      </c>
      <c r="L2168" s="40">
        <f>INDEX(L$263:L$279,$F2168)*$D2168*INDEX(L$23:L$30,$E2168)</f>
        <v/>
      </c>
      <c r="M2168" s="35">
        <f>INDEX(M$263:M$279,$F2168)*$D2168*INDEX(M$23:M$30,$E2168)</f>
        <v/>
      </c>
      <c r="N2168" s="35">
        <f>INDEX(N$263:N$279,$F2168)*$D2168*INDEX(N$23:N$30,$E2168)</f>
        <v/>
      </c>
      <c r="O2168" s="35">
        <f>INDEX(O$263:O$279,$F2168)*$D2168*INDEX(O$23:O$30,$E2168)</f>
        <v/>
      </c>
      <c r="P2168" s="35">
        <f>INDEX(P$263:P$279,$F2168)*$D2168*INDEX(P$23:P$30,$E2168)</f>
        <v/>
      </c>
      <c r="Q2168" s="35">
        <f>INDEX(Q$263:Q$279,$F2168)*$D2168*INDEX(Q$23:Q$30,$E2168)</f>
        <v/>
      </c>
      <c r="R2168" s="35">
        <f>INDEX(R$263:R$279,$F2168)*$D2168*INDEX(R$23:R$30,$E2168)</f>
        <v/>
      </c>
      <c r="S2168" s="35">
        <f>INDEX(S$263:S$279,$F2168)*$D2168*INDEX(S$23:S$30,$E2168)</f>
        <v/>
      </c>
      <c r="T2168" s="35">
        <f>INDEX(T$263:T$279,$F2168)*$D2168*INDEX(T$23:T$30,$E2168)</f>
        <v/>
      </c>
      <c r="U2168" s="35">
        <f>INDEX(U$263:U$279,$F2168)*$D2168*INDEX(U$23:U$30,$E2168)</f>
        <v/>
      </c>
      <c r="V2168" s="35">
        <f>INDEX(V$263:V$279,$F2168)*$D2168*INDEX(V$23:V$30,$E2168)</f>
        <v/>
      </c>
      <c r="W2168" s="35">
        <f>INDEX(W$263:W$279,$F2168)*$D2168*INDEX(W$23:W$30,$E2168)</f>
        <v/>
      </c>
      <c r="X2168" s="35">
        <f>INDEX(X$263:X$279,$F2168)*$D2168*INDEX(X$23:X$30,$E2168)</f>
        <v/>
      </c>
      <c r="Y2168" s="35">
        <f>INDEX(Y$263:Y$279,$F2168)*$D2168*INDEX(Y$23:Y$30,$E2168)</f>
        <v/>
      </c>
      <c r="Z2168" s="35">
        <f>INDEX(Z$263:Z$279,$F2168)*$D2168*INDEX(Z$23:Z$30,$E2168)</f>
        <v/>
      </c>
      <c r="AA2168" s="35">
        <f>INDEX(AA$263:AA$279,$F2168)*$D2168*INDEX(AA$23:AA$30,$E2168)</f>
        <v/>
      </c>
      <c r="AB2168" s="35">
        <f>INDEX(AB$263:AB$279,$F2168)*$D2168*INDEX(AB$23:AB$30,$E2168)</f>
        <v/>
      </c>
      <c r="AC2168" s="35">
        <f>INDEX(AC$263:AC$279,$F2168)*$D2168*INDEX(AC$23:AC$30,$E2168)</f>
        <v/>
      </c>
      <c r="AD2168" s="35">
        <f>INDEX(AD$263:AD$279,$F2168)*$D2168*INDEX(AD$23:AD$30,$E2168)</f>
        <v/>
      </c>
      <c r="AE2168" s="42">
        <f>CARBONTAX(INDEX(AE$263:AE$279,$F2168),$D2168,INDEX(AE$23:AE$30,$E2168))</f>
        <v/>
      </c>
      <c r="AG2168" s="11">
        <f>CodePrefix&amp;$A2168&amp;IF($C2168="","","."&amp;$C2168&amp;"."&amp;$B2168)&amp;INDEX(VarEnd,MATCH($A2168,VarKey,0))&amp;AG$5</f>
        <v/>
      </c>
      <c r="AH2168" s="40">
        <f>INDEX(AH$263:AH$279,$F2168)*$D2168*INDEX(AH$23:AH$30,$E2168)</f>
        <v/>
      </c>
      <c r="AI2168" s="35">
        <f>INDEX(AI$263:AI$279,$F2168)*$D2168*INDEX(AI$23:AI$30,$E2168)</f>
        <v/>
      </c>
      <c r="AJ2168" s="35">
        <f>INDEX(AJ$263:AJ$279,$F2168)*$D2168*INDEX(AJ$23:AJ$30,$E2168)</f>
        <v/>
      </c>
      <c r="AK2168" s="35">
        <f>INDEX(AK$263:AK$279,$F2168)*$D2168*INDEX(AK$23:AK$30,$E2168)</f>
        <v/>
      </c>
      <c r="AL2168" s="35">
        <f>INDEX(AL$263:AL$279,$F2168)*$D2168*INDEX(AL$23:AL$30,$E2168)</f>
        <v/>
      </c>
      <c r="AM2168" s="35">
        <f>INDEX(AM$263:AM$279,$F2168)*$D2168*INDEX(AM$23:AM$30,$E2168)</f>
        <v/>
      </c>
      <c r="AN2168" s="35">
        <f>INDEX(AN$263:AN$279,$F2168)*$D2168*INDEX(AN$23:AN$30,$E2168)</f>
        <v/>
      </c>
      <c r="AO2168" s="35">
        <f>INDEX(AO$263:AO$279,$F2168)*$D2168*INDEX(AO$23:AO$30,$E2168)</f>
        <v/>
      </c>
      <c r="AP2168" s="35">
        <f>INDEX(AP$263:AP$279,$F2168)*$D2168*INDEX(AP$23:AP$30,$E2168)</f>
        <v/>
      </c>
      <c r="AQ2168" s="35">
        <f>INDEX(AQ$263:AQ$279,$F2168)*$D2168*INDEX(AQ$23:AQ$30,$E2168)</f>
        <v/>
      </c>
      <c r="AR2168" s="35">
        <f>INDEX(AR$263:AR$279,$F2168)*$D2168*INDEX(AR$23:AR$30,$E2168)</f>
        <v/>
      </c>
      <c r="AS2168" s="35">
        <f>INDEX(AS$263:AS$279,$F2168)*$D2168*INDEX(AS$23:AS$30,$E2168)</f>
        <v/>
      </c>
      <c r="AT2168" s="35">
        <f>INDEX(AT$263:AT$279,$F2168)*$D2168*INDEX(AT$23:AT$30,$E2168)</f>
        <v/>
      </c>
      <c r="AU2168" s="35">
        <f>INDEX(AU$263:AU$279,$F2168)*$D2168*INDEX(AU$23:AU$30,$E2168)</f>
        <v/>
      </c>
      <c r="AV2168" s="35">
        <f>INDEX(AV$263:AV$279,$F2168)*$D2168*INDEX(AV$23:AV$30,$E2168)</f>
        <v/>
      </c>
      <c r="AW2168" s="35">
        <f>INDEX(AW$263:AW$279,$F2168)*$D2168*INDEX(AW$23:AW$30,$E2168)</f>
        <v/>
      </c>
      <c r="AX2168" s="35">
        <f>INDEX(AX$263:AX$279,$F2168)*$D2168*INDEX(AX$23:AX$30,$E2168)</f>
        <v/>
      </c>
      <c r="AY2168" s="35">
        <f>INDEX(AY$263:AY$279,$F2168)*$D2168*INDEX(AY$23:AY$30,$E2168)</f>
        <v/>
      </c>
      <c r="AZ2168" s="35">
        <f>INDEX(AZ$263:AZ$279,$F2168)*$D2168*INDEX(AZ$23:AZ$30,$E2168)</f>
        <v/>
      </c>
      <c r="BA2168" s="42">
        <f>CARBONTAX(INDEX(BA$263:BA$279,$F2168),$D2168,INDEX(BA$23:BA$30,$E2168))</f>
        <v/>
      </c>
    </row>
    <row r="2169" hidden="1" outlineLevel="2">
      <c r="A2169" s="14" t="inlineStr">
        <is>
          <t>ctxnew</t>
        </is>
      </c>
      <c r="B2169" s="14" t="inlineStr">
        <is>
          <t>lpg</t>
        </is>
      </c>
      <c r="C2169" s="14" t="inlineStr">
        <is>
          <t>nfm</t>
        </is>
      </c>
      <c r="D2169" s="35">
        <f>INDEX(Inputs!$W$5:$W$132,MATCH($B2169&amp;"|"&amp;$C2169,Inputs!$A$5:$A$132,0))</f>
        <v/>
      </c>
      <c r="E2169" s="35">
        <f>INDEX(Inputs!$L$5:$L$132,MATCH($B2169&amp;"|"&amp;$C2169,Inputs!$A$5:$A$132,0))</f>
        <v/>
      </c>
      <c r="F2169" s="35">
        <f>INDEX(Inputs!$M$5:$M$132,MATCH($B2169&amp;"|"&amp;$C2169,Inputs!$A$5:$A$132,0))</f>
        <v/>
      </c>
      <c r="G2169" s="39" t="n"/>
      <c r="H2169" s="14">
        <f>INDEX(VarLab,MATCH($A2169,VarKey,0))&amp;INDEX(MemLab,MATCH($C2169&amp;"|"&amp;$B2169,MemKey,0))</f>
        <v/>
      </c>
      <c r="I2169" s="14">
        <f>INDEX(VarUnit,MATCH($A2169,VarKey,0))</f>
        <v/>
      </c>
      <c r="J2169" s="14">
        <f>INDEX(VarSrc,MATCH($A2169,VarKey,0))</f>
        <v/>
      </c>
      <c r="K2169" s="11">
        <f>CodePrefix&amp;$A2169&amp;IF($C2169="","","."&amp;$C2169&amp;"."&amp;$B2169)&amp;INDEX(VarEnd,MATCH($A2169,VarKey,0))&amp;K$5</f>
        <v/>
      </c>
      <c r="L2169" s="40">
        <f>INDEX(L$263:L$279,$F2169)*$D2169*INDEX(L$23:L$30,$E2169)</f>
        <v/>
      </c>
      <c r="M2169" s="35">
        <f>INDEX(M$263:M$279,$F2169)*$D2169*INDEX(M$23:M$30,$E2169)</f>
        <v/>
      </c>
      <c r="N2169" s="35">
        <f>INDEX(N$263:N$279,$F2169)*$D2169*INDEX(N$23:N$30,$E2169)</f>
        <v/>
      </c>
      <c r="O2169" s="35">
        <f>INDEX(O$263:O$279,$F2169)*$D2169*INDEX(O$23:O$30,$E2169)</f>
        <v/>
      </c>
      <c r="P2169" s="35">
        <f>INDEX(P$263:P$279,$F2169)*$D2169*INDEX(P$23:P$30,$E2169)</f>
        <v/>
      </c>
      <c r="Q2169" s="35">
        <f>INDEX(Q$263:Q$279,$F2169)*$D2169*INDEX(Q$23:Q$30,$E2169)</f>
        <v/>
      </c>
      <c r="R2169" s="35">
        <f>INDEX(R$263:R$279,$F2169)*$D2169*INDEX(R$23:R$30,$E2169)</f>
        <v/>
      </c>
      <c r="S2169" s="35">
        <f>INDEX(S$263:S$279,$F2169)*$D2169*INDEX(S$23:S$30,$E2169)</f>
        <v/>
      </c>
      <c r="T2169" s="35">
        <f>INDEX(T$263:T$279,$F2169)*$D2169*INDEX(T$23:T$30,$E2169)</f>
        <v/>
      </c>
      <c r="U2169" s="35">
        <f>INDEX(U$263:U$279,$F2169)*$D2169*INDEX(U$23:U$30,$E2169)</f>
        <v/>
      </c>
      <c r="V2169" s="35">
        <f>INDEX(V$263:V$279,$F2169)*$D2169*INDEX(V$23:V$30,$E2169)</f>
        <v/>
      </c>
      <c r="W2169" s="35">
        <f>INDEX(W$263:W$279,$F2169)*$D2169*INDEX(W$23:W$30,$E2169)</f>
        <v/>
      </c>
      <c r="X2169" s="35">
        <f>INDEX(X$263:X$279,$F2169)*$D2169*INDEX(X$23:X$30,$E2169)</f>
        <v/>
      </c>
      <c r="Y2169" s="35">
        <f>INDEX(Y$263:Y$279,$F2169)*$D2169*INDEX(Y$23:Y$30,$E2169)</f>
        <v/>
      </c>
      <c r="Z2169" s="35">
        <f>INDEX(Z$263:Z$279,$F2169)*$D2169*INDEX(Z$23:Z$30,$E2169)</f>
        <v/>
      </c>
      <c r="AA2169" s="35">
        <f>INDEX(AA$263:AA$279,$F2169)*$D2169*INDEX(AA$23:AA$30,$E2169)</f>
        <v/>
      </c>
      <c r="AB2169" s="35">
        <f>INDEX(AB$263:AB$279,$F2169)*$D2169*INDEX(AB$23:AB$30,$E2169)</f>
        <v/>
      </c>
      <c r="AC2169" s="35">
        <f>INDEX(AC$263:AC$279,$F2169)*$D2169*INDEX(AC$23:AC$30,$E2169)</f>
        <v/>
      </c>
      <c r="AD2169" s="35">
        <f>INDEX(AD$263:AD$279,$F2169)*$D2169*INDEX(AD$23:AD$30,$E2169)</f>
        <v/>
      </c>
      <c r="AE2169" s="42">
        <f>CARBONTAX(INDEX(AE$263:AE$279,$F2169),$D2169,INDEX(AE$23:AE$30,$E2169))</f>
        <v/>
      </c>
      <c r="AG2169" s="11">
        <f>CodePrefix&amp;$A2169&amp;IF($C2169="","","."&amp;$C2169&amp;"."&amp;$B2169)&amp;INDEX(VarEnd,MATCH($A2169,VarKey,0))&amp;AG$5</f>
        <v/>
      </c>
      <c r="AH2169" s="40">
        <f>INDEX(AH$263:AH$279,$F2169)*$D2169*INDEX(AH$23:AH$30,$E2169)</f>
        <v/>
      </c>
      <c r="AI2169" s="35">
        <f>INDEX(AI$263:AI$279,$F2169)*$D2169*INDEX(AI$23:AI$30,$E2169)</f>
        <v/>
      </c>
      <c r="AJ2169" s="35">
        <f>INDEX(AJ$263:AJ$279,$F2169)*$D2169*INDEX(AJ$23:AJ$30,$E2169)</f>
        <v/>
      </c>
      <c r="AK2169" s="35">
        <f>INDEX(AK$263:AK$279,$F2169)*$D2169*INDEX(AK$23:AK$30,$E2169)</f>
        <v/>
      </c>
      <c r="AL2169" s="35">
        <f>INDEX(AL$263:AL$279,$F2169)*$D2169*INDEX(AL$23:AL$30,$E2169)</f>
        <v/>
      </c>
      <c r="AM2169" s="35">
        <f>INDEX(AM$263:AM$279,$F2169)*$D2169*INDEX(AM$23:AM$30,$E2169)</f>
        <v/>
      </c>
      <c r="AN2169" s="35">
        <f>INDEX(AN$263:AN$279,$F2169)*$D2169*INDEX(AN$23:AN$30,$E2169)</f>
        <v/>
      </c>
      <c r="AO2169" s="35">
        <f>INDEX(AO$263:AO$279,$F2169)*$D2169*INDEX(AO$23:AO$30,$E2169)</f>
        <v/>
      </c>
      <c r="AP2169" s="35">
        <f>INDEX(AP$263:AP$279,$F2169)*$D2169*INDEX(AP$23:AP$30,$E2169)</f>
        <v/>
      </c>
      <c r="AQ2169" s="35">
        <f>INDEX(AQ$263:AQ$279,$F2169)*$D2169*INDEX(AQ$23:AQ$30,$E2169)</f>
        <v/>
      </c>
      <c r="AR2169" s="35">
        <f>INDEX(AR$263:AR$279,$F2169)*$D2169*INDEX(AR$23:AR$30,$E2169)</f>
        <v/>
      </c>
      <c r="AS2169" s="35">
        <f>INDEX(AS$263:AS$279,$F2169)*$D2169*INDEX(AS$23:AS$30,$E2169)</f>
        <v/>
      </c>
      <c r="AT2169" s="35">
        <f>INDEX(AT$263:AT$279,$F2169)*$D2169*INDEX(AT$23:AT$30,$E2169)</f>
        <v/>
      </c>
      <c r="AU2169" s="35">
        <f>INDEX(AU$263:AU$279,$F2169)*$D2169*INDEX(AU$23:AU$30,$E2169)</f>
        <v/>
      </c>
      <c r="AV2169" s="35">
        <f>INDEX(AV$263:AV$279,$F2169)*$D2169*INDEX(AV$23:AV$30,$E2169)</f>
        <v/>
      </c>
      <c r="AW2169" s="35">
        <f>INDEX(AW$263:AW$279,$F2169)*$D2169*INDEX(AW$23:AW$30,$E2169)</f>
        <v/>
      </c>
      <c r="AX2169" s="35">
        <f>INDEX(AX$263:AX$279,$F2169)*$D2169*INDEX(AX$23:AX$30,$E2169)</f>
        <v/>
      </c>
      <c r="AY2169" s="35">
        <f>INDEX(AY$263:AY$279,$F2169)*$D2169*INDEX(AY$23:AY$30,$E2169)</f>
        <v/>
      </c>
      <c r="AZ2169" s="35">
        <f>INDEX(AZ$263:AZ$279,$F2169)*$D2169*INDEX(AZ$23:AZ$30,$E2169)</f>
        <v/>
      </c>
      <c r="BA2169" s="42">
        <f>CARBONTAX(INDEX(BA$263:BA$279,$F2169),$D2169,INDEX(BA$23:BA$30,$E2169))</f>
        <v/>
      </c>
    </row>
    <row r="2170" hidden="1" outlineLevel="2">
      <c r="A2170" s="14" t="inlineStr">
        <is>
          <t>ctxnew</t>
        </is>
      </c>
      <c r="B2170" s="14" t="inlineStr">
        <is>
          <t>ker</t>
        </is>
      </c>
      <c r="C2170" s="14" t="inlineStr">
        <is>
          <t>nfm</t>
        </is>
      </c>
      <c r="D2170" s="35">
        <f>INDEX(Inputs!$W$5:$W$132,MATCH($B2170&amp;"|"&amp;$C2170,Inputs!$A$5:$A$132,0))</f>
        <v/>
      </c>
      <c r="E2170" s="35">
        <f>INDEX(Inputs!$L$5:$L$132,MATCH($B2170&amp;"|"&amp;$C2170,Inputs!$A$5:$A$132,0))</f>
        <v/>
      </c>
      <c r="F2170" s="35">
        <f>INDEX(Inputs!$M$5:$M$132,MATCH($B2170&amp;"|"&amp;$C2170,Inputs!$A$5:$A$132,0))</f>
        <v/>
      </c>
      <c r="G2170" s="39" t="n"/>
      <c r="H2170" s="14">
        <f>INDEX(VarLab,MATCH($A2170,VarKey,0))&amp;INDEX(MemLab,MATCH($C2170&amp;"|"&amp;$B2170,MemKey,0))</f>
        <v/>
      </c>
      <c r="I2170" s="14">
        <f>INDEX(VarUnit,MATCH($A2170,VarKey,0))</f>
        <v/>
      </c>
      <c r="J2170" s="14">
        <f>INDEX(VarSrc,MATCH($A2170,VarKey,0))</f>
        <v/>
      </c>
      <c r="K2170" s="11">
        <f>CodePrefix&amp;$A2170&amp;IF($C2170="","","."&amp;$C2170&amp;"."&amp;$B2170)&amp;INDEX(VarEnd,MATCH($A2170,VarKey,0))&amp;K$5</f>
        <v/>
      </c>
      <c r="L2170" s="40">
        <f>INDEX(L$263:L$279,$F2170)*$D2170*INDEX(L$23:L$30,$E2170)</f>
        <v/>
      </c>
      <c r="M2170" s="35">
        <f>INDEX(M$263:M$279,$F2170)*$D2170*INDEX(M$23:M$30,$E2170)</f>
        <v/>
      </c>
      <c r="N2170" s="35">
        <f>INDEX(N$263:N$279,$F2170)*$D2170*INDEX(N$23:N$30,$E2170)</f>
        <v/>
      </c>
      <c r="O2170" s="35">
        <f>INDEX(O$263:O$279,$F2170)*$D2170*INDEX(O$23:O$30,$E2170)</f>
        <v/>
      </c>
      <c r="P2170" s="35">
        <f>INDEX(P$263:P$279,$F2170)*$D2170*INDEX(P$23:P$30,$E2170)</f>
        <v/>
      </c>
      <c r="Q2170" s="35">
        <f>INDEX(Q$263:Q$279,$F2170)*$D2170*INDEX(Q$23:Q$30,$E2170)</f>
        <v/>
      </c>
      <c r="R2170" s="35">
        <f>INDEX(R$263:R$279,$F2170)*$D2170*INDEX(R$23:R$30,$E2170)</f>
        <v/>
      </c>
      <c r="S2170" s="35">
        <f>INDEX(S$263:S$279,$F2170)*$D2170*INDEX(S$23:S$30,$E2170)</f>
        <v/>
      </c>
      <c r="T2170" s="35">
        <f>INDEX(T$263:T$279,$F2170)*$D2170*INDEX(T$23:T$30,$E2170)</f>
        <v/>
      </c>
      <c r="U2170" s="35">
        <f>INDEX(U$263:U$279,$F2170)*$D2170*INDEX(U$23:U$30,$E2170)</f>
        <v/>
      </c>
      <c r="V2170" s="35">
        <f>INDEX(V$263:V$279,$F2170)*$D2170*INDEX(V$23:V$30,$E2170)</f>
        <v/>
      </c>
      <c r="W2170" s="35">
        <f>INDEX(W$263:W$279,$F2170)*$D2170*INDEX(W$23:W$30,$E2170)</f>
        <v/>
      </c>
      <c r="X2170" s="35">
        <f>INDEX(X$263:X$279,$F2170)*$D2170*INDEX(X$23:X$30,$E2170)</f>
        <v/>
      </c>
      <c r="Y2170" s="35">
        <f>INDEX(Y$263:Y$279,$F2170)*$D2170*INDEX(Y$23:Y$30,$E2170)</f>
        <v/>
      </c>
      <c r="Z2170" s="35">
        <f>INDEX(Z$263:Z$279,$F2170)*$D2170*INDEX(Z$23:Z$30,$E2170)</f>
        <v/>
      </c>
      <c r="AA2170" s="35">
        <f>INDEX(AA$263:AA$279,$F2170)*$D2170*INDEX(AA$23:AA$30,$E2170)</f>
        <v/>
      </c>
      <c r="AB2170" s="35">
        <f>INDEX(AB$263:AB$279,$F2170)*$D2170*INDEX(AB$23:AB$30,$E2170)</f>
        <v/>
      </c>
      <c r="AC2170" s="35">
        <f>INDEX(AC$263:AC$279,$F2170)*$D2170*INDEX(AC$23:AC$30,$E2170)</f>
        <v/>
      </c>
      <c r="AD2170" s="35">
        <f>INDEX(AD$263:AD$279,$F2170)*$D2170*INDEX(AD$23:AD$30,$E2170)</f>
        <v/>
      </c>
      <c r="AE2170" s="42">
        <f>CARBONTAX(INDEX(AE$263:AE$279,$F2170),$D2170,INDEX(AE$23:AE$30,$E2170))</f>
        <v/>
      </c>
      <c r="AG2170" s="11">
        <f>CodePrefix&amp;$A2170&amp;IF($C2170="","","."&amp;$C2170&amp;"."&amp;$B2170)&amp;INDEX(VarEnd,MATCH($A2170,VarKey,0))&amp;AG$5</f>
        <v/>
      </c>
      <c r="AH2170" s="40">
        <f>INDEX(AH$263:AH$279,$F2170)*$D2170*INDEX(AH$23:AH$30,$E2170)</f>
        <v/>
      </c>
      <c r="AI2170" s="35">
        <f>INDEX(AI$263:AI$279,$F2170)*$D2170*INDEX(AI$23:AI$30,$E2170)</f>
        <v/>
      </c>
      <c r="AJ2170" s="35">
        <f>INDEX(AJ$263:AJ$279,$F2170)*$D2170*INDEX(AJ$23:AJ$30,$E2170)</f>
        <v/>
      </c>
      <c r="AK2170" s="35">
        <f>INDEX(AK$263:AK$279,$F2170)*$D2170*INDEX(AK$23:AK$30,$E2170)</f>
        <v/>
      </c>
      <c r="AL2170" s="35">
        <f>INDEX(AL$263:AL$279,$F2170)*$D2170*INDEX(AL$23:AL$30,$E2170)</f>
        <v/>
      </c>
      <c r="AM2170" s="35">
        <f>INDEX(AM$263:AM$279,$F2170)*$D2170*INDEX(AM$23:AM$30,$E2170)</f>
        <v/>
      </c>
      <c r="AN2170" s="35">
        <f>INDEX(AN$263:AN$279,$F2170)*$D2170*INDEX(AN$23:AN$30,$E2170)</f>
        <v/>
      </c>
      <c r="AO2170" s="35">
        <f>INDEX(AO$263:AO$279,$F2170)*$D2170*INDEX(AO$23:AO$30,$E2170)</f>
        <v/>
      </c>
      <c r="AP2170" s="35">
        <f>INDEX(AP$263:AP$279,$F2170)*$D2170*INDEX(AP$23:AP$30,$E2170)</f>
        <v/>
      </c>
      <c r="AQ2170" s="35">
        <f>INDEX(AQ$263:AQ$279,$F2170)*$D2170*INDEX(AQ$23:AQ$30,$E2170)</f>
        <v/>
      </c>
      <c r="AR2170" s="35">
        <f>INDEX(AR$263:AR$279,$F2170)*$D2170*INDEX(AR$23:AR$30,$E2170)</f>
        <v/>
      </c>
      <c r="AS2170" s="35">
        <f>INDEX(AS$263:AS$279,$F2170)*$D2170*INDEX(AS$23:AS$30,$E2170)</f>
        <v/>
      </c>
      <c r="AT2170" s="35">
        <f>INDEX(AT$263:AT$279,$F2170)*$D2170*INDEX(AT$23:AT$30,$E2170)</f>
        <v/>
      </c>
      <c r="AU2170" s="35">
        <f>INDEX(AU$263:AU$279,$F2170)*$D2170*INDEX(AU$23:AU$30,$E2170)</f>
        <v/>
      </c>
      <c r="AV2170" s="35">
        <f>INDEX(AV$263:AV$279,$F2170)*$D2170*INDEX(AV$23:AV$30,$E2170)</f>
        <v/>
      </c>
      <c r="AW2170" s="35">
        <f>INDEX(AW$263:AW$279,$F2170)*$D2170*INDEX(AW$23:AW$30,$E2170)</f>
        <v/>
      </c>
      <c r="AX2170" s="35">
        <f>INDEX(AX$263:AX$279,$F2170)*$D2170*INDEX(AX$23:AX$30,$E2170)</f>
        <v/>
      </c>
      <c r="AY2170" s="35">
        <f>INDEX(AY$263:AY$279,$F2170)*$D2170*INDEX(AY$23:AY$30,$E2170)</f>
        <v/>
      </c>
      <c r="AZ2170" s="35">
        <f>INDEX(AZ$263:AZ$279,$F2170)*$D2170*INDEX(AZ$23:AZ$30,$E2170)</f>
        <v/>
      </c>
      <c r="BA2170" s="42">
        <f>CARBONTAX(INDEX(BA$263:BA$279,$F2170),$D2170,INDEX(BA$23:BA$30,$E2170))</f>
        <v/>
      </c>
    </row>
    <row r="2171" hidden="1" outlineLevel="2">
      <c r="A2171" s="14" t="inlineStr">
        <is>
          <t>ctxnew</t>
        </is>
      </c>
      <c r="B2171" s="14" t="inlineStr">
        <is>
          <t>oop</t>
        </is>
      </c>
      <c r="C2171" s="14" t="inlineStr">
        <is>
          <t>nfm</t>
        </is>
      </c>
      <c r="D2171" s="35">
        <f>INDEX(Inputs!$W$5:$W$132,MATCH($B2171&amp;"|"&amp;$C2171,Inputs!$A$5:$A$132,0))</f>
        <v/>
      </c>
      <c r="E2171" s="35">
        <f>INDEX(Inputs!$L$5:$L$132,MATCH($B2171&amp;"|"&amp;$C2171,Inputs!$A$5:$A$132,0))</f>
        <v/>
      </c>
      <c r="F2171" s="35">
        <f>INDEX(Inputs!$M$5:$M$132,MATCH($B2171&amp;"|"&amp;$C2171,Inputs!$A$5:$A$132,0))</f>
        <v/>
      </c>
      <c r="G2171" s="39" t="n"/>
      <c r="H2171" s="14">
        <f>INDEX(VarLab,MATCH($A2171,VarKey,0))&amp;INDEX(MemLab,MATCH($C2171&amp;"|"&amp;$B2171,MemKey,0))</f>
        <v/>
      </c>
      <c r="I2171" s="14">
        <f>INDEX(VarUnit,MATCH($A2171,VarKey,0))</f>
        <v/>
      </c>
      <c r="J2171" s="14">
        <f>INDEX(VarSrc,MATCH($A2171,VarKey,0))</f>
        <v/>
      </c>
      <c r="K2171" s="11">
        <f>CodePrefix&amp;$A2171&amp;IF($C2171="","","."&amp;$C2171&amp;"."&amp;$B2171)&amp;INDEX(VarEnd,MATCH($A2171,VarKey,0))&amp;K$5</f>
        <v/>
      </c>
      <c r="L2171" s="40">
        <f>INDEX(L$263:L$279,$F2171)*$D2171*INDEX(L$23:L$30,$E2171)</f>
        <v/>
      </c>
      <c r="M2171" s="35">
        <f>INDEX(M$263:M$279,$F2171)*$D2171*INDEX(M$23:M$30,$E2171)</f>
        <v/>
      </c>
      <c r="N2171" s="35">
        <f>INDEX(N$263:N$279,$F2171)*$D2171*INDEX(N$23:N$30,$E2171)</f>
        <v/>
      </c>
      <c r="O2171" s="35">
        <f>INDEX(O$263:O$279,$F2171)*$D2171*INDEX(O$23:O$30,$E2171)</f>
        <v/>
      </c>
      <c r="P2171" s="35">
        <f>INDEX(P$263:P$279,$F2171)*$D2171*INDEX(P$23:P$30,$E2171)</f>
        <v/>
      </c>
      <c r="Q2171" s="35">
        <f>INDEX(Q$263:Q$279,$F2171)*$D2171*INDEX(Q$23:Q$30,$E2171)</f>
        <v/>
      </c>
      <c r="R2171" s="35">
        <f>INDEX(R$263:R$279,$F2171)*$D2171*INDEX(R$23:R$30,$E2171)</f>
        <v/>
      </c>
      <c r="S2171" s="35">
        <f>INDEX(S$263:S$279,$F2171)*$D2171*INDEX(S$23:S$30,$E2171)</f>
        <v/>
      </c>
      <c r="T2171" s="35">
        <f>INDEX(T$263:T$279,$F2171)*$D2171*INDEX(T$23:T$30,$E2171)</f>
        <v/>
      </c>
      <c r="U2171" s="35">
        <f>INDEX(U$263:U$279,$F2171)*$D2171*INDEX(U$23:U$30,$E2171)</f>
        <v/>
      </c>
      <c r="V2171" s="35">
        <f>INDEX(V$263:V$279,$F2171)*$D2171*INDEX(V$23:V$30,$E2171)</f>
        <v/>
      </c>
      <c r="W2171" s="35">
        <f>INDEX(W$263:W$279,$F2171)*$D2171*INDEX(W$23:W$30,$E2171)</f>
        <v/>
      </c>
      <c r="X2171" s="35">
        <f>INDEX(X$263:X$279,$F2171)*$D2171*INDEX(X$23:X$30,$E2171)</f>
        <v/>
      </c>
      <c r="Y2171" s="35">
        <f>INDEX(Y$263:Y$279,$F2171)*$D2171*INDEX(Y$23:Y$30,$E2171)</f>
        <v/>
      </c>
      <c r="Z2171" s="35">
        <f>INDEX(Z$263:Z$279,$F2171)*$D2171*INDEX(Z$23:Z$30,$E2171)</f>
        <v/>
      </c>
      <c r="AA2171" s="35">
        <f>INDEX(AA$263:AA$279,$F2171)*$D2171*INDEX(AA$23:AA$30,$E2171)</f>
        <v/>
      </c>
      <c r="AB2171" s="35">
        <f>INDEX(AB$263:AB$279,$F2171)*$D2171*INDEX(AB$23:AB$30,$E2171)</f>
        <v/>
      </c>
      <c r="AC2171" s="35">
        <f>INDEX(AC$263:AC$279,$F2171)*$D2171*INDEX(AC$23:AC$30,$E2171)</f>
        <v/>
      </c>
      <c r="AD2171" s="35">
        <f>INDEX(AD$263:AD$279,$F2171)*$D2171*INDEX(AD$23:AD$30,$E2171)</f>
        <v/>
      </c>
      <c r="AE2171" s="42">
        <f>CARBONTAX(INDEX(AE$263:AE$279,$F2171),$D2171,INDEX(AE$23:AE$30,$E2171))</f>
        <v/>
      </c>
      <c r="AG2171" s="11">
        <f>CodePrefix&amp;$A2171&amp;IF($C2171="","","."&amp;$C2171&amp;"."&amp;$B2171)&amp;INDEX(VarEnd,MATCH($A2171,VarKey,0))&amp;AG$5</f>
        <v/>
      </c>
      <c r="AH2171" s="40">
        <f>INDEX(AH$263:AH$279,$F2171)*$D2171*INDEX(AH$23:AH$30,$E2171)</f>
        <v/>
      </c>
      <c r="AI2171" s="35">
        <f>INDEX(AI$263:AI$279,$F2171)*$D2171*INDEX(AI$23:AI$30,$E2171)</f>
        <v/>
      </c>
      <c r="AJ2171" s="35">
        <f>INDEX(AJ$263:AJ$279,$F2171)*$D2171*INDEX(AJ$23:AJ$30,$E2171)</f>
        <v/>
      </c>
      <c r="AK2171" s="35">
        <f>INDEX(AK$263:AK$279,$F2171)*$D2171*INDEX(AK$23:AK$30,$E2171)</f>
        <v/>
      </c>
      <c r="AL2171" s="35">
        <f>INDEX(AL$263:AL$279,$F2171)*$D2171*INDEX(AL$23:AL$30,$E2171)</f>
        <v/>
      </c>
      <c r="AM2171" s="35">
        <f>INDEX(AM$263:AM$279,$F2171)*$D2171*INDEX(AM$23:AM$30,$E2171)</f>
        <v/>
      </c>
      <c r="AN2171" s="35">
        <f>INDEX(AN$263:AN$279,$F2171)*$D2171*INDEX(AN$23:AN$30,$E2171)</f>
        <v/>
      </c>
      <c r="AO2171" s="35">
        <f>INDEX(AO$263:AO$279,$F2171)*$D2171*INDEX(AO$23:AO$30,$E2171)</f>
        <v/>
      </c>
      <c r="AP2171" s="35">
        <f>INDEX(AP$263:AP$279,$F2171)*$D2171*INDEX(AP$23:AP$30,$E2171)</f>
        <v/>
      </c>
      <c r="AQ2171" s="35">
        <f>INDEX(AQ$263:AQ$279,$F2171)*$D2171*INDEX(AQ$23:AQ$30,$E2171)</f>
        <v/>
      </c>
      <c r="AR2171" s="35">
        <f>INDEX(AR$263:AR$279,$F2171)*$D2171*INDEX(AR$23:AR$30,$E2171)</f>
        <v/>
      </c>
      <c r="AS2171" s="35">
        <f>INDEX(AS$263:AS$279,$F2171)*$D2171*INDEX(AS$23:AS$30,$E2171)</f>
        <v/>
      </c>
      <c r="AT2171" s="35">
        <f>INDEX(AT$263:AT$279,$F2171)*$D2171*INDEX(AT$23:AT$30,$E2171)</f>
        <v/>
      </c>
      <c r="AU2171" s="35">
        <f>INDEX(AU$263:AU$279,$F2171)*$D2171*INDEX(AU$23:AU$30,$E2171)</f>
        <v/>
      </c>
      <c r="AV2171" s="35">
        <f>INDEX(AV$263:AV$279,$F2171)*$D2171*INDEX(AV$23:AV$30,$E2171)</f>
        <v/>
      </c>
      <c r="AW2171" s="35">
        <f>INDEX(AW$263:AW$279,$F2171)*$D2171*INDEX(AW$23:AW$30,$E2171)</f>
        <v/>
      </c>
      <c r="AX2171" s="35">
        <f>INDEX(AX$263:AX$279,$F2171)*$D2171*INDEX(AX$23:AX$30,$E2171)</f>
        <v/>
      </c>
      <c r="AY2171" s="35">
        <f>INDEX(AY$263:AY$279,$F2171)*$D2171*INDEX(AY$23:AY$30,$E2171)</f>
        <v/>
      </c>
      <c r="AZ2171" s="35">
        <f>INDEX(AZ$263:AZ$279,$F2171)*$D2171*INDEX(AZ$23:AZ$30,$E2171)</f>
        <v/>
      </c>
      <c r="BA2171" s="42">
        <f>CARBONTAX(INDEX(BA$263:BA$279,$F2171),$D2171,INDEX(BA$23:BA$30,$E2171))</f>
        <v/>
      </c>
    </row>
    <row r="2172" hidden="1" outlineLevel="2">
      <c r="A2172" s="14" t="inlineStr">
        <is>
          <t>ctxnew</t>
        </is>
      </c>
      <c r="B2172" s="14" t="inlineStr">
        <is>
          <t>bio</t>
        </is>
      </c>
      <c r="C2172" s="14" t="inlineStr">
        <is>
          <t>nfm</t>
        </is>
      </c>
      <c r="D2172" s="35">
        <f>INDEX(Inputs!$W$5:$W$132,MATCH($B2172&amp;"|"&amp;$C2172,Inputs!$A$5:$A$132,0))</f>
        <v/>
      </c>
      <c r="E2172" s="35">
        <f>INDEX(Inputs!$L$5:$L$132,MATCH($B2172&amp;"|"&amp;$C2172,Inputs!$A$5:$A$132,0))</f>
        <v/>
      </c>
      <c r="F2172" s="35">
        <f>INDEX(Inputs!$M$5:$M$132,MATCH($B2172&amp;"|"&amp;$C2172,Inputs!$A$5:$A$132,0))</f>
        <v/>
      </c>
      <c r="G2172" s="39" t="n"/>
      <c r="H2172" s="14">
        <f>INDEX(VarLab,MATCH($A2172,VarKey,0))&amp;INDEX(MemLab,MATCH($C2172&amp;"|"&amp;$B2172,MemKey,0))</f>
        <v/>
      </c>
      <c r="I2172" s="14">
        <f>INDEX(VarUnit,MATCH($A2172,VarKey,0))</f>
        <v/>
      </c>
      <c r="J2172" s="14">
        <f>INDEX(VarSrc,MATCH($A2172,VarKey,0))</f>
        <v/>
      </c>
      <c r="K2172" s="11">
        <f>CodePrefix&amp;$A2172&amp;IF($C2172="","","."&amp;$C2172&amp;"."&amp;$B2172)&amp;INDEX(VarEnd,MATCH($A2172,VarKey,0))&amp;K$5</f>
        <v/>
      </c>
      <c r="L2172" s="40">
        <f>INDEX(L$263:L$279,$F2172)*$D2172*INDEX(L$23:L$30,$E2172)</f>
        <v/>
      </c>
      <c r="M2172" s="35">
        <f>INDEX(M$263:M$279,$F2172)*$D2172*INDEX(M$23:M$30,$E2172)</f>
        <v/>
      </c>
      <c r="N2172" s="35">
        <f>INDEX(N$263:N$279,$F2172)*$D2172*INDEX(N$23:N$30,$E2172)</f>
        <v/>
      </c>
      <c r="O2172" s="35">
        <f>INDEX(O$263:O$279,$F2172)*$D2172*INDEX(O$23:O$30,$E2172)</f>
        <v/>
      </c>
      <c r="P2172" s="35">
        <f>INDEX(P$263:P$279,$F2172)*$D2172*INDEX(P$23:P$30,$E2172)</f>
        <v/>
      </c>
      <c r="Q2172" s="35">
        <f>INDEX(Q$263:Q$279,$F2172)*$D2172*INDEX(Q$23:Q$30,$E2172)</f>
        <v/>
      </c>
      <c r="R2172" s="35">
        <f>INDEX(R$263:R$279,$F2172)*$D2172*INDEX(R$23:R$30,$E2172)</f>
        <v/>
      </c>
      <c r="S2172" s="35">
        <f>INDEX(S$263:S$279,$F2172)*$D2172*INDEX(S$23:S$30,$E2172)</f>
        <v/>
      </c>
      <c r="T2172" s="35">
        <f>INDEX(T$263:T$279,$F2172)*$D2172*INDEX(T$23:T$30,$E2172)</f>
        <v/>
      </c>
      <c r="U2172" s="35">
        <f>INDEX(U$263:U$279,$F2172)*$D2172*INDEX(U$23:U$30,$E2172)</f>
        <v/>
      </c>
      <c r="V2172" s="35">
        <f>INDEX(V$263:V$279,$F2172)*$D2172*INDEX(V$23:V$30,$E2172)</f>
        <v/>
      </c>
      <c r="W2172" s="35">
        <f>INDEX(W$263:W$279,$F2172)*$D2172*INDEX(W$23:W$30,$E2172)</f>
        <v/>
      </c>
      <c r="X2172" s="35">
        <f>INDEX(X$263:X$279,$F2172)*$D2172*INDEX(X$23:X$30,$E2172)</f>
        <v/>
      </c>
      <c r="Y2172" s="35">
        <f>INDEX(Y$263:Y$279,$F2172)*$D2172*INDEX(Y$23:Y$30,$E2172)</f>
        <v/>
      </c>
      <c r="Z2172" s="35">
        <f>INDEX(Z$263:Z$279,$F2172)*$D2172*INDEX(Z$23:Z$30,$E2172)</f>
        <v/>
      </c>
      <c r="AA2172" s="35">
        <f>INDEX(AA$263:AA$279,$F2172)*$D2172*INDEX(AA$23:AA$30,$E2172)</f>
        <v/>
      </c>
      <c r="AB2172" s="35">
        <f>INDEX(AB$263:AB$279,$F2172)*$D2172*INDEX(AB$23:AB$30,$E2172)</f>
        <v/>
      </c>
      <c r="AC2172" s="35">
        <f>INDEX(AC$263:AC$279,$F2172)*$D2172*INDEX(AC$23:AC$30,$E2172)</f>
        <v/>
      </c>
      <c r="AD2172" s="35">
        <f>INDEX(AD$263:AD$279,$F2172)*$D2172*INDEX(AD$23:AD$30,$E2172)</f>
        <v/>
      </c>
      <c r="AE2172" s="42">
        <f>CARBONTAX(INDEX(AE$263:AE$279,$F2172),$D2172,INDEX(AE$23:AE$30,$E2172))</f>
        <v/>
      </c>
      <c r="AG2172" s="11">
        <f>CodePrefix&amp;$A2172&amp;IF($C2172="","","."&amp;$C2172&amp;"."&amp;$B2172)&amp;INDEX(VarEnd,MATCH($A2172,VarKey,0))&amp;AG$5</f>
        <v/>
      </c>
      <c r="AH2172" s="40">
        <f>INDEX(AH$263:AH$279,$F2172)*$D2172*INDEX(AH$23:AH$30,$E2172)</f>
        <v/>
      </c>
      <c r="AI2172" s="35">
        <f>INDEX(AI$263:AI$279,$F2172)*$D2172*INDEX(AI$23:AI$30,$E2172)</f>
        <v/>
      </c>
      <c r="AJ2172" s="35">
        <f>INDEX(AJ$263:AJ$279,$F2172)*$D2172*INDEX(AJ$23:AJ$30,$E2172)</f>
        <v/>
      </c>
      <c r="AK2172" s="35">
        <f>INDEX(AK$263:AK$279,$F2172)*$D2172*INDEX(AK$23:AK$30,$E2172)</f>
        <v/>
      </c>
      <c r="AL2172" s="35">
        <f>INDEX(AL$263:AL$279,$F2172)*$D2172*INDEX(AL$23:AL$30,$E2172)</f>
        <v/>
      </c>
      <c r="AM2172" s="35">
        <f>INDEX(AM$263:AM$279,$F2172)*$D2172*INDEX(AM$23:AM$30,$E2172)</f>
        <v/>
      </c>
      <c r="AN2172" s="35">
        <f>INDEX(AN$263:AN$279,$F2172)*$D2172*INDEX(AN$23:AN$30,$E2172)</f>
        <v/>
      </c>
      <c r="AO2172" s="35">
        <f>INDEX(AO$263:AO$279,$F2172)*$D2172*INDEX(AO$23:AO$30,$E2172)</f>
        <v/>
      </c>
      <c r="AP2172" s="35">
        <f>INDEX(AP$263:AP$279,$F2172)*$D2172*INDEX(AP$23:AP$30,$E2172)</f>
        <v/>
      </c>
      <c r="AQ2172" s="35">
        <f>INDEX(AQ$263:AQ$279,$F2172)*$D2172*INDEX(AQ$23:AQ$30,$E2172)</f>
        <v/>
      </c>
      <c r="AR2172" s="35">
        <f>INDEX(AR$263:AR$279,$F2172)*$D2172*INDEX(AR$23:AR$30,$E2172)</f>
        <v/>
      </c>
      <c r="AS2172" s="35">
        <f>INDEX(AS$263:AS$279,$F2172)*$D2172*INDEX(AS$23:AS$30,$E2172)</f>
        <v/>
      </c>
      <c r="AT2172" s="35">
        <f>INDEX(AT$263:AT$279,$F2172)*$D2172*INDEX(AT$23:AT$30,$E2172)</f>
        <v/>
      </c>
      <c r="AU2172" s="35">
        <f>INDEX(AU$263:AU$279,$F2172)*$D2172*INDEX(AU$23:AU$30,$E2172)</f>
        <v/>
      </c>
      <c r="AV2172" s="35">
        <f>INDEX(AV$263:AV$279,$F2172)*$D2172*INDEX(AV$23:AV$30,$E2172)</f>
        <v/>
      </c>
      <c r="AW2172" s="35">
        <f>INDEX(AW$263:AW$279,$F2172)*$D2172*INDEX(AW$23:AW$30,$E2172)</f>
        <v/>
      </c>
      <c r="AX2172" s="35">
        <f>INDEX(AX$263:AX$279,$F2172)*$D2172*INDEX(AX$23:AX$30,$E2172)</f>
        <v/>
      </c>
      <c r="AY2172" s="35">
        <f>INDEX(AY$263:AY$279,$F2172)*$D2172*INDEX(AY$23:AY$30,$E2172)</f>
        <v/>
      </c>
      <c r="AZ2172" s="35">
        <f>INDEX(AZ$263:AZ$279,$F2172)*$D2172*INDEX(AZ$23:AZ$30,$E2172)</f>
        <v/>
      </c>
      <c r="BA2172" s="42">
        <f>CARBONTAX(INDEX(BA$263:BA$279,$F2172),$D2172,INDEX(BA$23:BA$30,$E2172))</f>
        <v/>
      </c>
    </row>
    <row r="2173" hidden="1" outlineLevel="2"/>
    <row r="2174" hidden="1" outlineLevel="2">
      <c r="A2174" s="14" t="inlineStr">
        <is>
          <t>ets</t>
        </is>
      </c>
      <c r="B2174" s="14" t="inlineStr">
        <is>
          <t>coa</t>
        </is>
      </c>
      <c r="C2174" s="14" t="inlineStr">
        <is>
          <t>nfm</t>
        </is>
      </c>
      <c r="D2174" s="35">
        <f>INDEX(Inputs!$W$5:$W$132,MATCH($B2174&amp;"|"&amp;$C2174,Inputs!$A$5:$A$132,0))</f>
        <v/>
      </c>
      <c r="E2174" s="35">
        <f>INDEX(Inputs!$M$5:$M$132,MATCH($B2174&amp;"|"&amp;$C2174,Inputs!$A$5:$A$132,0))</f>
        <v/>
      </c>
      <c r="F2174" s="39" t="n"/>
      <c r="G2174" s="39" t="n"/>
      <c r="H2174" s="14">
        <f>INDEX(VarLab,MATCH($A2174,VarKey,0))&amp;INDEX(MemLab,MATCH($C2174&amp;"|"&amp;$B2174,MemKey,0))</f>
        <v/>
      </c>
      <c r="I2174" s="14">
        <f>INDEX(VarUnit,MATCH($A2174,VarKey,0))</f>
        <v/>
      </c>
      <c r="J2174" s="14">
        <f>INDEX(VarSrc,MATCH($A2174,VarKey,0))</f>
        <v/>
      </c>
      <c r="K2174" s="11">
        <f>CodePrefix&amp;$A2174&amp;IF($C2174="","","."&amp;$C2174&amp;"."&amp;$B2174)&amp;INDEX(VarEnd,MATCH($A2174,VarKey,0))&amp;K$5</f>
        <v/>
      </c>
      <c r="L2174" s="40">
        <f>INDEX(L$280:L$296,$E2174)*$D2174</f>
        <v/>
      </c>
      <c r="M2174" s="35">
        <f>INDEX(M$280:M$296,$E2174)*$D2174</f>
        <v/>
      </c>
      <c r="N2174" s="35">
        <f>INDEX(N$280:N$296,$E2174)*$D2174</f>
        <v/>
      </c>
      <c r="O2174" s="35">
        <f>INDEX(O$280:O$296,$E2174)*$D2174</f>
        <v/>
      </c>
      <c r="P2174" s="35">
        <f>INDEX(P$280:P$296,$E2174)*$D2174</f>
        <v/>
      </c>
      <c r="Q2174" s="35">
        <f>INDEX(Q$280:Q$296,$E2174)*$D2174</f>
        <v/>
      </c>
      <c r="R2174" s="35">
        <f>INDEX(R$280:R$296,$E2174)*$D2174</f>
        <v/>
      </c>
      <c r="S2174" s="35">
        <f>INDEX(S$280:S$296,$E2174)*$D2174</f>
        <v/>
      </c>
      <c r="T2174" s="35">
        <f>INDEX(T$280:T$296,$E2174)*$D2174</f>
        <v/>
      </c>
      <c r="U2174" s="35">
        <f>INDEX(U$280:U$296,$E2174)*$D2174</f>
        <v/>
      </c>
      <c r="V2174" s="35">
        <f>INDEX(V$280:V$296,$E2174)*$D2174</f>
        <v/>
      </c>
      <c r="W2174" s="35">
        <f>INDEX(W$280:W$296,$E2174)*$D2174</f>
        <v/>
      </c>
      <c r="X2174" s="35">
        <f>INDEX(X$280:X$296,$E2174)*$D2174</f>
        <v/>
      </c>
      <c r="Y2174" s="35">
        <f>INDEX(Y$280:Y$296,$E2174)*$D2174</f>
        <v/>
      </c>
      <c r="Z2174" s="35">
        <f>INDEX(Z$280:Z$296,$E2174)*$D2174</f>
        <v/>
      </c>
      <c r="AA2174" s="35">
        <f>INDEX(AA$280:AA$296,$E2174)*$D2174</f>
        <v/>
      </c>
      <c r="AB2174" s="35">
        <f>INDEX(AB$280:AB$296,$E2174)*$D2174</f>
        <v/>
      </c>
      <c r="AC2174" s="35">
        <f>INDEX(AC$280:AC$296,$E2174)*$D2174</f>
        <v/>
      </c>
      <c r="AD2174" s="35">
        <f>INDEX(AD$280:AD$296,$E2174)*$D2174</f>
        <v/>
      </c>
      <c r="AE2174" s="42">
        <f>ETSCOST(INDEX(AE$280:AE$296,$E2174),$D2174)</f>
        <v/>
      </c>
      <c r="AG2174" s="11">
        <f>CodePrefix&amp;$A2174&amp;IF($C2174="","","."&amp;$C2174&amp;"."&amp;$B2174)&amp;INDEX(VarEnd,MATCH($A2174,VarKey,0))&amp;AG$5</f>
        <v/>
      </c>
      <c r="AH2174" s="40">
        <f>INDEX(AH$280:AH$296,$E2174)*$D2174</f>
        <v/>
      </c>
      <c r="AI2174" s="35">
        <f>INDEX(AI$280:AI$296,$E2174)*$D2174</f>
        <v/>
      </c>
      <c r="AJ2174" s="35">
        <f>INDEX(AJ$280:AJ$296,$E2174)*$D2174</f>
        <v/>
      </c>
      <c r="AK2174" s="35">
        <f>INDEX(AK$280:AK$296,$E2174)*$D2174</f>
        <v/>
      </c>
      <c r="AL2174" s="35">
        <f>INDEX(AL$280:AL$296,$E2174)*$D2174</f>
        <v/>
      </c>
      <c r="AM2174" s="35">
        <f>INDEX(AM$280:AM$296,$E2174)*$D2174</f>
        <v/>
      </c>
      <c r="AN2174" s="35">
        <f>INDEX(AN$280:AN$296,$E2174)*$D2174</f>
        <v/>
      </c>
      <c r="AO2174" s="35">
        <f>INDEX(AO$280:AO$296,$E2174)*$D2174</f>
        <v/>
      </c>
      <c r="AP2174" s="35">
        <f>INDEX(AP$280:AP$296,$E2174)*$D2174</f>
        <v/>
      </c>
      <c r="AQ2174" s="35">
        <f>INDEX(AQ$280:AQ$296,$E2174)*$D2174</f>
        <v/>
      </c>
      <c r="AR2174" s="35">
        <f>INDEX(AR$280:AR$296,$E2174)*$D2174</f>
        <v/>
      </c>
      <c r="AS2174" s="35">
        <f>INDEX(AS$280:AS$296,$E2174)*$D2174</f>
        <v/>
      </c>
      <c r="AT2174" s="35">
        <f>INDEX(AT$280:AT$296,$E2174)*$D2174</f>
        <v/>
      </c>
      <c r="AU2174" s="35">
        <f>INDEX(AU$280:AU$296,$E2174)*$D2174</f>
        <v/>
      </c>
      <c r="AV2174" s="35">
        <f>INDEX(AV$280:AV$296,$E2174)*$D2174</f>
        <v/>
      </c>
      <c r="AW2174" s="35">
        <f>INDEX(AW$280:AW$296,$E2174)*$D2174</f>
        <v/>
      </c>
      <c r="AX2174" s="35">
        <f>INDEX(AX$280:AX$296,$E2174)*$D2174</f>
        <v/>
      </c>
      <c r="AY2174" s="35">
        <f>INDEX(AY$280:AY$296,$E2174)*$D2174</f>
        <v/>
      </c>
      <c r="AZ2174" s="35">
        <f>INDEX(AZ$280:AZ$296,$E2174)*$D2174</f>
        <v/>
      </c>
      <c r="BA2174" s="42">
        <f>ETSCOST(INDEX(BA$280:BA$296,$E2174),$D2174)</f>
        <v/>
      </c>
    </row>
    <row r="2175" hidden="1" outlineLevel="2">
      <c r="A2175" s="14" t="inlineStr">
        <is>
          <t>ets</t>
        </is>
      </c>
      <c r="B2175" s="14" t="inlineStr">
        <is>
          <t>nga</t>
        </is>
      </c>
      <c r="C2175" s="14" t="inlineStr">
        <is>
          <t>nfm</t>
        </is>
      </c>
      <c r="D2175" s="35">
        <f>INDEX(Inputs!$W$5:$W$132,MATCH($B2175&amp;"|"&amp;$C2175,Inputs!$A$5:$A$132,0))</f>
        <v/>
      </c>
      <c r="E2175" s="35">
        <f>INDEX(Inputs!$M$5:$M$132,MATCH($B2175&amp;"|"&amp;$C2175,Inputs!$A$5:$A$132,0))</f>
        <v/>
      </c>
      <c r="F2175" s="39" t="n"/>
      <c r="G2175" s="39" t="n"/>
      <c r="H2175" s="14">
        <f>INDEX(VarLab,MATCH($A2175,VarKey,0))&amp;INDEX(MemLab,MATCH($C2175&amp;"|"&amp;$B2175,MemKey,0))</f>
        <v/>
      </c>
      <c r="I2175" s="14">
        <f>INDEX(VarUnit,MATCH($A2175,VarKey,0))</f>
        <v/>
      </c>
      <c r="J2175" s="14">
        <f>INDEX(VarSrc,MATCH($A2175,VarKey,0))</f>
        <v/>
      </c>
      <c r="K2175" s="11">
        <f>CodePrefix&amp;$A2175&amp;IF($C2175="","","."&amp;$C2175&amp;"."&amp;$B2175)&amp;INDEX(VarEnd,MATCH($A2175,VarKey,0))&amp;K$5</f>
        <v/>
      </c>
      <c r="L2175" s="40">
        <f>INDEX(L$280:L$296,$E2175)*$D2175</f>
        <v/>
      </c>
      <c r="M2175" s="35">
        <f>INDEX(M$280:M$296,$E2175)*$D2175</f>
        <v/>
      </c>
      <c r="N2175" s="35">
        <f>INDEX(N$280:N$296,$E2175)*$D2175</f>
        <v/>
      </c>
      <c r="O2175" s="35">
        <f>INDEX(O$280:O$296,$E2175)*$D2175</f>
        <v/>
      </c>
      <c r="P2175" s="35">
        <f>INDEX(P$280:P$296,$E2175)*$D2175</f>
        <v/>
      </c>
      <c r="Q2175" s="35">
        <f>INDEX(Q$280:Q$296,$E2175)*$D2175</f>
        <v/>
      </c>
      <c r="R2175" s="35">
        <f>INDEX(R$280:R$296,$E2175)*$D2175</f>
        <v/>
      </c>
      <c r="S2175" s="35">
        <f>INDEX(S$280:S$296,$E2175)*$D2175</f>
        <v/>
      </c>
      <c r="T2175" s="35">
        <f>INDEX(T$280:T$296,$E2175)*$D2175</f>
        <v/>
      </c>
      <c r="U2175" s="35">
        <f>INDEX(U$280:U$296,$E2175)*$D2175</f>
        <v/>
      </c>
      <c r="V2175" s="35">
        <f>INDEX(V$280:V$296,$E2175)*$D2175</f>
        <v/>
      </c>
      <c r="W2175" s="35">
        <f>INDEX(W$280:W$296,$E2175)*$D2175</f>
        <v/>
      </c>
      <c r="X2175" s="35">
        <f>INDEX(X$280:X$296,$E2175)*$D2175</f>
        <v/>
      </c>
      <c r="Y2175" s="35">
        <f>INDEX(Y$280:Y$296,$E2175)*$D2175</f>
        <v/>
      </c>
      <c r="Z2175" s="35">
        <f>INDEX(Z$280:Z$296,$E2175)*$D2175</f>
        <v/>
      </c>
      <c r="AA2175" s="35">
        <f>INDEX(AA$280:AA$296,$E2175)*$D2175</f>
        <v/>
      </c>
      <c r="AB2175" s="35">
        <f>INDEX(AB$280:AB$296,$E2175)*$D2175</f>
        <v/>
      </c>
      <c r="AC2175" s="35">
        <f>INDEX(AC$280:AC$296,$E2175)*$D2175</f>
        <v/>
      </c>
      <c r="AD2175" s="35">
        <f>INDEX(AD$280:AD$296,$E2175)*$D2175</f>
        <v/>
      </c>
      <c r="AE2175" s="42">
        <f>ETSCOST(INDEX(AE$280:AE$296,$E2175),$D2175)</f>
        <v/>
      </c>
      <c r="AG2175" s="11">
        <f>CodePrefix&amp;$A2175&amp;IF($C2175="","","."&amp;$C2175&amp;"."&amp;$B2175)&amp;INDEX(VarEnd,MATCH($A2175,VarKey,0))&amp;AG$5</f>
        <v/>
      </c>
      <c r="AH2175" s="40">
        <f>INDEX(AH$280:AH$296,$E2175)*$D2175</f>
        <v/>
      </c>
      <c r="AI2175" s="35">
        <f>INDEX(AI$280:AI$296,$E2175)*$D2175</f>
        <v/>
      </c>
      <c r="AJ2175" s="35">
        <f>INDEX(AJ$280:AJ$296,$E2175)*$D2175</f>
        <v/>
      </c>
      <c r="AK2175" s="35">
        <f>INDEX(AK$280:AK$296,$E2175)*$D2175</f>
        <v/>
      </c>
      <c r="AL2175" s="35">
        <f>INDEX(AL$280:AL$296,$E2175)*$D2175</f>
        <v/>
      </c>
      <c r="AM2175" s="35">
        <f>INDEX(AM$280:AM$296,$E2175)*$D2175</f>
        <v/>
      </c>
      <c r="AN2175" s="35">
        <f>INDEX(AN$280:AN$296,$E2175)*$D2175</f>
        <v/>
      </c>
      <c r="AO2175" s="35">
        <f>INDEX(AO$280:AO$296,$E2175)*$D2175</f>
        <v/>
      </c>
      <c r="AP2175" s="35">
        <f>INDEX(AP$280:AP$296,$E2175)*$D2175</f>
        <v/>
      </c>
      <c r="AQ2175" s="35">
        <f>INDEX(AQ$280:AQ$296,$E2175)*$D2175</f>
        <v/>
      </c>
      <c r="AR2175" s="35">
        <f>INDEX(AR$280:AR$296,$E2175)*$D2175</f>
        <v/>
      </c>
      <c r="AS2175" s="35">
        <f>INDEX(AS$280:AS$296,$E2175)*$D2175</f>
        <v/>
      </c>
      <c r="AT2175" s="35">
        <f>INDEX(AT$280:AT$296,$E2175)*$D2175</f>
        <v/>
      </c>
      <c r="AU2175" s="35">
        <f>INDEX(AU$280:AU$296,$E2175)*$D2175</f>
        <v/>
      </c>
      <c r="AV2175" s="35">
        <f>INDEX(AV$280:AV$296,$E2175)*$D2175</f>
        <v/>
      </c>
      <c r="AW2175" s="35">
        <f>INDEX(AW$280:AW$296,$E2175)*$D2175</f>
        <v/>
      </c>
      <c r="AX2175" s="35">
        <f>INDEX(AX$280:AX$296,$E2175)*$D2175</f>
        <v/>
      </c>
      <c r="AY2175" s="35">
        <f>INDEX(AY$280:AY$296,$E2175)*$D2175</f>
        <v/>
      </c>
      <c r="AZ2175" s="35">
        <f>INDEX(AZ$280:AZ$296,$E2175)*$D2175</f>
        <v/>
      </c>
      <c r="BA2175" s="42">
        <f>ETSCOST(INDEX(BA$280:BA$296,$E2175),$D2175)</f>
        <v/>
      </c>
    </row>
    <row r="2176" hidden="1" outlineLevel="2">
      <c r="A2176" s="14" t="inlineStr">
        <is>
          <t>ets</t>
        </is>
      </c>
      <c r="B2176" s="14" t="inlineStr">
        <is>
          <t>gso</t>
        </is>
      </c>
      <c r="C2176" s="14" t="inlineStr">
        <is>
          <t>nfm</t>
        </is>
      </c>
      <c r="D2176" s="35">
        <f>INDEX(Inputs!$W$5:$W$132,MATCH($B2176&amp;"|"&amp;$C2176,Inputs!$A$5:$A$132,0))</f>
        <v/>
      </c>
      <c r="E2176" s="35">
        <f>INDEX(Inputs!$M$5:$M$132,MATCH($B2176&amp;"|"&amp;$C2176,Inputs!$A$5:$A$132,0))</f>
        <v/>
      </c>
      <c r="F2176" s="39" t="n"/>
      <c r="G2176" s="39" t="n"/>
      <c r="H2176" s="14">
        <f>INDEX(VarLab,MATCH($A2176,VarKey,0))&amp;INDEX(MemLab,MATCH($C2176&amp;"|"&amp;$B2176,MemKey,0))</f>
        <v/>
      </c>
      <c r="I2176" s="14">
        <f>INDEX(VarUnit,MATCH($A2176,VarKey,0))</f>
        <v/>
      </c>
      <c r="J2176" s="14">
        <f>INDEX(VarSrc,MATCH($A2176,VarKey,0))</f>
        <v/>
      </c>
      <c r="K2176" s="11">
        <f>CodePrefix&amp;$A2176&amp;IF($C2176="","","."&amp;$C2176&amp;"."&amp;$B2176)&amp;INDEX(VarEnd,MATCH($A2176,VarKey,0))&amp;K$5</f>
        <v/>
      </c>
      <c r="L2176" s="40">
        <f>INDEX(L$280:L$296,$E2176)*$D2176</f>
        <v/>
      </c>
      <c r="M2176" s="35">
        <f>INDEX(M$280:M$296,$E2176)*$D2176</f>
        <v/>
      </c>
      <c r="N2176" s="35">
        <f>INDEX(N$280:N$296,$E2176)*$D2176</f>
        <v/>
      </c>
      <c r="O2176" s="35">
        <f>INDEX(O$280:O$296,$E2176)*$D2176</f>
        <v/>
      </c>
      <c r="P2176" s="35">
        <f>INDEX(P$280:P$296,$E2176)*$D2176</f>
        <v/>
      </c>
      <c r="Q2176" s="35">
        <f>INDEX(Q$280:Q$296,$E2176)*$D2176</f>
        <v/>
      </c>
      <c r="R2176" s="35">
        <f>INDEX(R$280:R$296,$E2176)*$D2176</f>
        <v/>
      </c>
      <c r="S2176" s="35">
        <f>INDEX(S$280:S$296,$E2176)*$D2176</f>
        <v/>
      </c>
      <c r="T2176" s="35">
        <f>INDEX(T$280:T$296,$E2176)*$D2176</f>
        <v/>
      </c>
      <c r="U2176" s="35">
        <f>INDEX(U$280:U$296,$E2176)*$D2176</f>
        <v/>
      </c>
      <c r="V2176" s="35">
        <f>INDEX(V$280:V$296,$E2176)*$D2176</f>
        <v/>
      </c>
      <c r="W2176" s="35">
        <f>INDEX(W$280:W$296,$E2176)*$D2176</f>
        <v/>
      </c>
      <c r="X2176" s="35">
        <f>INDEX(X$280:X$296,$E2176)*$D2176</f>
        <v/>
      </c>
      <c r="Y2176" s="35">
        <f>INDEX(Y$280:Y$296,$E2176)*$D2176</f>
        <v/>
      </c>
      <c r="Z2176" s="35">
        <f>INDEX(Z$280:Z$296,$E2176)*$D2176</f>
        <v/>
      </c>
      <c r="AA2176" s="35">
        <f>INDEX(AA$280:AA$296,$E2176)*$D2176</f>
        <v/>
      </c>
      <c r="AB2176" s="35">
        <f>INDEX(AB$280:AB$296,$E2176)*$D2176</f>
        <v/>
      </c>
      <c r="AC2176" s="35">
        <f>INDEX(AC$280:AC$296,$E2176)*$D2176</f>
        <v/>
      </c>
      <c r="AD2176" s="35">
        <f>INDEX(AD$280:AD$296,$E2176)*$D2176</f>
        <v/>
      </c>
      <c r="AE2176" s="42">
        <f>ETSCOST(INDEX(AE$280:AE$296,$E2176),$D2176)</f>
        <v/>
      </c>
      <c r="AG2176" s="11">
        <f>CodePrefix&amp;$A2176&amp;IF($C2176="","","."&amp;$C2176&amp;"."&amp;$B2176)&amp;INDEX(VarEnd,MATCH($A2176,VarKey,0))&amp;AG$5</f>
        <v/>
      </c>
      <c r="AH2176" s="40">
        <f>INDEX(AH$280:AH$296,$E2176)*$D2176</f>
        <v/>
      </c>
      <c r="AI2176" s="35">
        <f>INDEX(AI$280:AI$296,$E2176)*$D2176</f>
        <v/>
      </c>
      <c r="AJ2176" s="35">
        <f>INDEX(AJ$280:AJ$296,$E2176)*$D2176</f>
        <v/>
      </c>
      <c r="AK2176" s="35">
        <f>INDEX(AK$280:AK$296,$E2176)*$D2176</f>
        <v/>
      </c>
      <c r="AL2176" s="35">
        <f>INDEX(AL$280:AL$296,$E2176)*$D2176</f>
        <v/>
      </c>
      <c r="AM2176" s="35">
        <f>INDEX(AM$280:AM$296,$E2176)*$D2176</f>
        <v/>
      </c>
      <c r="AN2176" s="35">
        <f>INDEX(AN$280:AN$296,$E2176)*$D2176</f>
        <v/>
      </c>
      <c r="AO2176" s="35">
        <f>INDEX(AO$280:AO$296,$E2176)*$D2176</f>
        <v/>
      </c>
      <c r="AP2176" s="35">
        <f>INDEX(AP$280:AP$296,$E2176)*$D2176</f>
        <v/>
      </c>
      <c r="AQ2176" s="35">
        <f>INDEX(AQ$280:AQ$296,$E2176)*$D2176</f>
        <v/>
      </c>
      <c r="AR2176" s="35">
        <f>INDEX(AR$280:AR$296,$E2176)*$D2176</f>
        <v/>
      </c>
      <c r="AS2176" s="35">
        <f>INDEX(AS$280:AS$296,$E2176)*$D2176</f>
        <v/>
      </c>
      <c r="AT2176" s="35">
        <f>INDEX(AT$280:AT$296,$E2176)*$D2176</f>
        <v/>
      </c>
      <c r="AU2176" s="35">
        <f>INDEX(AU$280:AU$296,$E2176)*$D2176</f>
        <v/>
      </c>
      <c r="AV2176" s="35">
        <f>INDEX(AV$280:AV$296,$E2176)*$D2176</f>
        <v/>
      </c>
      <c r="AW2176" s="35">
        <f>INDEX(AW$280:AW$296,$E2176)*$D2176</f>
        <v/>
      </c>
      <c r="AX2176" s="35">
        <f>INDEX(AX$280:AX$296,$E2176)*$D2176</f>
        <v/>
      </c>
      <c r="AY2176" s="35">
        <f>INDEX(AY$280:AY$296,$E2176)*$D2176</f>
        <v/>
      </c>
      <c r="AZ2176" s="35">
        <f>INDEX(AZ$280:AZ$296,$E2176)*$D2176</f>
        <v/>
      </c>
      <c r="BA2176" s="42">
        <f>ETSCOST(INDEX(BA$280:BA$296,$E2176),$D2176)</f>
        <v/>
      </c>
    </row>
    <row r="2177" hidden="1" outlineLevel="2">
      <c r="A2177" s="14" t="inlineStr">
        <is>
          <t>ets</t>
        </is>
      </c>
      <c r="B2177" s="14" t="inlineStr">
        <is>
          <t>die</t>
        </is>
      </c>
      <c r="C2177" s="14" t="inlineStr">
        <is>
          <t>nfm</t>
        </is>
      </c>
      <c r="D2177" s="35">
        <f>INDEX(Inputs!$W$5:$W$132,MATCH($B2177&amp;"|"&amp;$C2177,Inputs!$A$5:$A$132,0))</f>
        <v/>
      </c>
      <c r="E2177" s="35">
        <f>INDEX(Inputs!$M$5:$M$132,MATCH($B2177&amp;"|"&amp;$C2177,Inputs!$A$5:$A$132,0))</f>
        <v/>
      </c>
      <c r="F2177" s="39" t="n"/>
      <c r="G2177" s="39" t="n"/>
      <c r="H2177" s="14">
        <f>INDEX(VarLab,MATCH($A2177,VarKey,0))&amp;INDEX(MemLab,MATCH($C2177&amp;"|"&amp;$B2177,MemKey,0))</f>
        <v/>
      </c>
      <c r="I2177" s="14">
        <f>INDEX(VarUnit,MATCH($A2177,VarKey,0))</f>
        <v/>
      </c>
      <c r="J2177" s="14">
        <f>INDEX(VarSrc,MATCH($A2177,VarKey,0))</f>
        <v/>
      </c>
      <c r="K2177" s="11">
        <f>CodePrefix&amp;$A2177&amp;IF($C2177="","","."&amp;$C2177&amp;"."&amp;$B2177)&amp;INDEX(VarEnd,MATCH($A2177,VarKey,0))&amp;K$5</f>
        <v/>
      </c>
      <c r="L2177" s="40">
        <f>INDEX(L$280:L$296,$E2177)*$D2177</f>
        <v/>
      </c>
      <c r="M2177" s="35">
        <f>INDEX(M$280:M$296,$E2177)*$D2177</f>
        <v/>
      </c>
      <c r="N2177" s="35">
        <f>INDEX(N$280:N$296,$E2177)*$D2177</f>
        <v/>
      </c>
      <c r="O2177" s="35">
        <f>INDEX(O$280:O$296,$E2177)*$D2177</f>
        <v/>
      </c>
      <c r="P2177" s="35">
        <f>INDEX(P$280:P$296,$E2177)*$D2177</f>
        <v/>
      </c>
      <c r="Q2177" s="35">
        <f>INDEX(Q$280:Q$296,$E2177)*$D2177</f>
        <v/>
      </c>
      <c r="R2177" s="35">
        <f>INDEX(R$280:R$296,$E2177)*$D2177</f>
        <v/>
      </c>
      <c r="S2177" s="35">
        <f>INDEX(S$280:S$296,$E2177)*$D2177</f>
        <v/>
      </c>
      <c r="T2177" s="35">
        <f>INDEX(T$280:T$296,$E2177)*$D2177</f>
        <v/>
      </c>
      <c r="U2177" s="35">
        <f>INDEX(U$280:U$296,$E2177)*$D2177</f>
        <v/>
      </c>
      <c r="V2177" s="35">
        <f>INDEX(V$280:V$296,$E2177)*$D2177</f>
        <v/>
      </c>
      <c r="W2177" s="35">
        <f>INDEX(W$280:W$296,$E2177)*$D2177</f>
        <v/>
      </c>
      <c r="X2177" s="35">
        <f>INDEX(X$280:X$296,$E2177)*$D2177</f>
        <v/>
      </c>
      <c r="Y2177" s="35">
        <f>INDEX(Y$280:Y$296,$E2177)*$D2177</f>
        <v/>
      </c>
      <c r="Z2177" s="35">
        <f>INDEX(Z$280:Z$296,$E2177)*$D2177</f>
        <v/>
      </c>
      <c r="AA2177" s="35">
        <f>INDEX(AA$280:AA$296,$E2177)*$D2177</f>
        <v/>
      </c>
      <c r="AB2177" s="35">
        <f>INDEX(AB$280:AB$296,$E2177)*$D2177</f>
        <v/>
      </c>
      <c r="AC2177" s="35">
        <f>INDEX(AC$280:AC$296,$E2177)*$D2177</f>
        <v/>
      </c>
      <c r="AD2177" s="35">
        <f>INDEX(AD$280:AD$296,$E2177)*$D2177</f>
        <v/>
      </c>
      <c r="AE2177" s="42">
        <f>ETSCOST(INDEX(AE$280:AE$296,$E2177),$D2177)</f>
        <v/>
      </c>
      <c r="AG2177" s="11">
        <f>CodePrefix&amp;$A2177&amp;IF($C2177="","","."&amp;$C2177&amp;"."&amp;$B2177)&amp;INDEX(VarEnd,MATCH($A2177,VarKey,0))&amp;AG$5</f>
        <v/>
      </c>
      <c r="AH2177" s="40">
        <f>INDEX(AH$280:AH$296,$E2177)*$D2177</f>
        <v/>
      </c>
      <c r="AI2177" s="35">
        <f>INDEX(AI$280:AI$296,$E2177)*$D2177</f>
        <v/>
      </c>
      <c r="AJ2177" s="35">
        <f>INDEX(AJ$280:AJ$296,$E2177)*$D2177</f>
        <v/>
      </c>
      <c r="AK2177" s="35">
        <f>INDEX(AK$280:AK$296,$E2177)*$D2177</f>
        <v/>
      </c>
      <c r="AL2177" s="35">
        <f>INDEX(AL$280:AL$296,$E2177)*$D2177</f>
        <v/>
      </c>
      <c r="AM2177" s="35">
        <f>INDEX(AM$280:AM$296,$E2177)*$D2177</f>
        <v/>
      </c>
      <c r="AN2177" s="35">
        <f>INDEX(AN$280:AN$296,$E2177)*$D2177</f>
        <v/>
      </c>
      <c r="AO2177" s="35">
        <f>INDEX(AO$280:AO$296,$E2177)*$D2177</f>
        <v/>
      </c>
      <c r="AP2177" s="35">
        <f>INDEX(AP$280:AP$296,$E2177)*$D2177</f>
        <v/>
      </c>
      <c r="AQ2177" s="35">
        <f>INDEX(AQ$280:AQ$296,$E2177)*$D2177</f>
        <v/>
      </c>
      <c r="AR2177" s="35">
        <f>INDEX(AR$280:AR$296,$E2177)*$D2177</f>
        <v/>
      </c>
      <c r="AS2177" s="35">
        <f>INDEX(AS$280:AS$296,$E2177)*$D2177</f>
        <v/>
      </c>
      <c r="AT2177" s="35">
        <f>INDEX(AT$280:AT$296,$E2177)*$D2177</f>
        <v/>
      </c>
      <c r="AU2177" s="35">
        <f>INDEX(AU$280:AU$296,$E2177)*$D2177</f>
        <v/>
      </c>
      <c r="AV2177" s="35">
        <f>INDEX(AV$280:AV$296,$E2177)*$D2177</f>
        <v/>
      </c>
      <c r="AW2177" s="35">
        <f>INDEX(AW$280:AW$296,$E2177)*$D2177</f>
        <v/>
      </c>
      <c r="AX2177" s="35">
        <f>INDEX(AX$280:AX$296,$E2177)*$D2177</f>
        <v/>
      </c>
      <c r="AY2177" s="35">
        <f>INDEX(AY$280:AY$296,$E2177)*$D2177</f>
        <v/>
      </c>
      <c r="AZ2177" s="35">
        <f>INDEX(AZ$280:AZ$296,$E2177)*$D2177</f>
        <v/>
      </c>
      <c r="BA2177" s="42">
        <f>ETSCOST(INDEX(BA$280:BA$296,$E2177),$D2177)</f>
        <v/>
      </c>
    </row>
    <row r="2178" hidden="1" outlineLevel="2">
      <c r="A2178" s="14" t="inlineStr">
        <is>
          <t>ets</t>
        </is>
      </c>
      <c r="B2178" s="14" t="inlineStr">
        <is>
          <t>lpg</t>
        </is>
      </c>
      <c r="C2178" s="14" t="inlineStr">
        <is>
          <t>nfm</t>
        </is>
      </c>
      <c r="D2178" s="35">
        <f>INDEX(Inputs!$W$5:$W$132,MATCH($B2178&amp;"|"&amp;$C2178,Inputs!$A$5:$A$132,0))</f>
        <v/>
      </c>
      <c r="E2178" s="35">
        <f>INDEX(Inputs!$M$5:$M$132,MATCH($B2178&amp;"|"&amp;$C2178,Inputs!$A$5:$A$132,0))</f>
        <v/>
      </c>
      <c r="F2178" s="39" t="n"/>
      <c r="G2178" s="39" t="n"/>
      <c r="H2178" s="14">
        <f>INDEX(VarLab,MATCH($A2178,VarKey,0))&amp;INDEX(MemLab,MATCH($C2178&amp;"|"&amp;$B2178,MemKey,0))</f>
        <v/>
      </c>
      <c r="I2178" s="14">
        <f>INDEX(VarUnit,MATCH($A2178,VarKey,0))</f>
        <v/>
      </c>
      <c r="J2178" s="14">
        <f>INDEX(VarSrc,MATCH($A2178,VarKey,0))</f>
        <v/>
      </c>
      <c r="K2178" s="11">
        <f>CodePrefix&amp;$A2178&amp;IF($C2178="","","."&amp;$C2178&amp;"."&amp;$B2178)&amp;INDEX(VarEnd,MATCH($A2178,VarKey,0))&amp;K$5</f>
        <v/>
      </c>
      <c r="L2178" s="40">
        <f>INDEX(L$280:L$296,$E2178)*$D2178</f>
        <v/>
      </c>
      <c r="M2178" s="35">
        <f>INDEX(M$280:M$296,$E2178)*$D2178</f>
        <v/>
      </c>
      <c r="N2178" s="35">
        <f>INDEX(N$280:N$296,$E2178)*$D2178</f>
        <v/>
      </c>
      <c r="O2178" s="35">
        <f>INDEX(O$280:O$296,$E2178)*$D2178</f>
        <v/>
      </c>
      <c r="P2178" s="35">
        <f>INDEX(P$280:P$296,$E2178)*$D2178</f>
        <v/>
      </c>
      <c r="Q2178" s="35">
        <f>INDEX(Q$280:Q$296,$E2178)*$D2178</f>
        <v/>
      </c>
      <c r="R2178" s="35">
        <f>INDEX(R$280:R$296,$E2178)*$D2178</f>
        <v/>
      </c>
      <c r="S2178" s="35">
        <f>INDEX(S$280:S$296,$E2178)*$D2178</f>
        <v/>
      </c>
      <c r="T2178" s="35">
        <f>INDEX(T$280:T$296,$E2178)*$D2178</f>
        <v/>
      </c>
      <c r="U2178" s="35">
        <f>INDEX(U$280:U$296,$E2178)*$D2178</f>
        <v/>
      </c>
      <c r="V2178" s="35">
        <f>INDEX(V$280:V$296,$E2178)*$D2178</f>
        <v/>
      </c>
      <c r="W2178" s="35">
        <f>INDEX(W$280:W$296,$E2178)*$D2178</f>
        <v/>
      </c>
      <c r="X2178" s="35">
        <f>INDEX(X$280:X$296,$E2178)*$D2178</f>
        <v/>
      </c>
      <c r="Y2178" s="35">
        <f>INDEX(Y$280:Y$296,$E2178)*$D2178</f>
        <v/>
      </c>
      <c r="Z2178" s="35">
        <f>INDEX(Z$280:Z$296,$E2178)*$D2178</f>
        <v/>
      </c>
      <c r="AA2178" s="35">
        <f>INDEX(AA$280:AA$296,$E2178)*$D2178</f>
        <v/>
      </c>
      <c r="AB2178" s="35">
        <f>INDEX(AB$280:AB$296,$E2178)*$D2178</f>
        <v/>
      </c>
      <c r="AC2178" s="35">
        <f>INDEX(AC$280:AC$296,$E2178)*$D2178</f>
        <v/>
      </c>
      <c r="AD2178" s="35">
        <f>INDEX(AD$280:AD$296,$E2178)*$D2178</f>
        <v/>
      </c>
      <c r="AE2178" s="42">
        <f>ETSCOST(INDEX(AE$280:AE$296,$E2178),$D2178)</f>
        <v/>
      </c>
      <c r="AG2178" s="11">
        <f>CodePrefix&amp;$A2178&amp;IF($C2178="","","."&amp;$C2178&amp;"."&amp;$B2178)&amp;INDEX(VarEnd,MATCH($A2178,VarKey,0))&amp;AG$5</f>
        <v/>
      </c>
      <c r="AH2178" s="40">
        <f>INDEX(AH$280:AH$296,$E2178)*$D2178</f>
        <v/>
      </c>
      <c r="AI2178" s="35">
        <f>INDEX(AI$280:AI$296,$E2178)*$D2178</f>
        <v/>
      </c>
      <c r="AJ2178" s="35">
        <f>INDEX(AJ$280:AJ$296,$E2178)*$D2178</f>
        <v/>
      </c>
      <c r="AK2178" s="35">
        <f>INDEX(AK$280:AK$296,$E2178)*$D2178</f>
        <v/>
      </c>
      <c r="AL2178" s="35">
        <f>INDEX(AL$280:AL$296,$E2178)*$D2178</f>
        <v/>
      </c>
      <c r="AM2178" s="35">
        <f>INDEX(AM$280:AM$296,$E2178)*$D2178</f>
        <v/>
      </c>
      <c r="AN2178" s="35">
        <f>INDEX(AN$280:AN$296,$E2178)*$D2178</f>
        <v/>
      </c>
      <c r="AO2178" s="35">
        <f>INDEX(AO$280:AO$296,$E2178)*$D2178</f>
        <v/>
      </c>
      <c r="AP2178" s="35">
        <f>INDEX(AP$280:AP$296,$E2178)*$D2178</f>
        <v/>
      </c>
      <c r="AQ2178" s="35">
        <f>INDEX(AQ$280:AQ$296,$E2178)*$D2178</f>
        <v/>
      </c>
      <c r="AR2178" s="35">
        <f>INDEX(AR$280:AR$296,$E2178)*$D2178</f>
        <v/>
      </c>
      <c r="AS2178" s="35">
        <f>INDEX(AS$280:AS$296,$E2178)*$D2178</f>
        <v/>
      </c>
      <c r="AT2178" s="35">
        <f>INDEX(AT$280:AT$296,$E2178)*$D2178</f>
        <v/>
      </c>
      <c r="AU2178" s="35">
        <f>INDEX(AU$280:AU$296,$E2178)*$D2178</f>
        <v/>
      </c>
      <c r="AV2178" s="35">
        <f>INDEX(AV$280:AV$296,$E2178)*$D2178</f>
        <v/>
      </c>
      <c r="AW2178" s="35">
        <f>INDEX(AW$280:AW$296,$E2178)*$D2178</f>
        <v/>
      </c>
      <c r="AX2178" s="35">
        <f>INDEX(AX$280:AX$296,$E2178)*$D2178</f>
        <v/>
      </c>
      <c r="AY2178" s="35">
        <f>INDEX(AY$280:AY$296,$E2178)*$D2178</f>
        <v/>
      </c>
      <c r="AZ2178" s="35">
        <f>INDEX(AZ$280:AZ$296,$E2178)*$D2178</f>
        <v/>
      </c>
      <c r="BA2178" s="42">
        <f>ETSCOST(INDEX(BA$280:BA$296,$E2178),$D2178)</f>
        <v/>
      </c>
    </row>
    <row r="2179" hidden="1" outlineLevel="2">
      <c r="A2179" s="14" t="inlineStr">
        <is>
          <t>ets</t>
        </is>
      </c>
      <c r="B2179" s="14" t="inlineStr">
        <is>
          <t>ker</t>
        </is>
      </c>
      <c r="C2179" s="14" t="inlineStr">
        <is>
          <t>nfm</t>
        </is>
      </c>
      <c r="D2179" s="35">
        <f>INDEX(Inputs!$W$5:$W$132,MATCH($B2179&amp;"|"&amp;$C2179,Inputs!$A$5:$A$132,0))</f>
        <v/>
      </c>
      <c r="E2179" s="35">
        <f>INDEX(Inputs!$M$5:$M$132,MATCH($B2179&amp;"|"&amp;$C2179,Inputs!$A$5:$A$132,0))</f>
        <v/>
      </c>
      <c r="F2179" s="39" t="n"/>
      <c r="G2179" s="39" t="n"/>
      <c r="H2179" s="14">
        <f>INDEX(VarLab,MATCH($A2179,VarKey,0))&amp;INDEX(MemLab,MATCH($C2179&amp;"|"&amp;$B2179,MemKey,0))</f>
        <v/>
      </c>
      <c r="I2179" s="14">
        <f>INDEX(VarUnit,MATCH($A2179,VarKey,0))</f>
        <v/>
      </c>
      <c r="J2179" s="14">
        <f>INDEX(VarSrc,MATCH($A2179,VarKey,0))</f>
        <v/>
      </c>
      <c r="K2179" s="11">
        <f>CodePrefix&amp;$A2179&amp;IF($C2179="","","."&amp;$C2179&amp;"."&amp;$B2179)&amp;INDEX(VarEnd,MATCH($A2179,VarKey,0))&amp;K$5</f>
        <v/>
      </c>
      <c r="L2179" s="40">
        <f>INDEX(L$280:L$296,$E2179)*$D2179</f>
        <v/>
      </c>
      <c r="M2179" s="35">
        <f>INDEX(M$280:M$296,$E2179)*$D2179</f>
        <v/>
      </c>
      <c r="N2179" s="35">
        <f>INDEX(N$280:N$296,$E2179)*$D2179</f>
        <v/>
      </c>
      <c r="O2179" s="35">
        <f>INDEX(O$280:O$296,$E2179)*$D2179</f>
        <v/>
      </c>
      <c r="P2179" s="35">
        <f>INDEX(P$280:P$296,$E2179)*$D2179</f>
        <v/>
      </c>
      <c r="Q2179" s="35">
        <f>INDEX(Q$280:Q$296,$E2179)*$D2179</f>
        <v/>
      </c>
      <c r="R2179" s="35">
        <f>INDEX(R$280:R$296,$E2179)*$D2179</f>
        <v/>
      </c>
      <c r="S2179" s="35">
        <f>INDEX(S$280:S$296,$E2179)*$D2179</f>
        <v/>
      </c>
      <c r="T2179" s="35">
        <f>INDEX(T$280:T$296,$E2179)*$D2179</f>
        <v/>
      </c>
      <c r="U2179" s="35">
        <f>INDEX(U$280:U$296,$E2179)*$D2179</f>
        <v/>
      </c>
      <c r="V2179" s="35">
        <f>INDEX(V$280:V$296,$E2179)*$D2179</f>
        <v/>
      </c>
      <c r="W2179" s="35">
        <f>INDEX(W$280:W$296,$E2179)*$D2179</f>
        <v/>
      </c>
      <c r="X2179" s="35">
        <f>INDEX(X$280:X$296,$E2179)*$D2179</f>
        <v/>
      </c>
      <c r="Y2179" s="35">
        <f>INDEX(Y$280:Y$296,$E2179)*$D2179</f>
        <v/>
      </c>
      <c r="Z2179" s="35">
        <f>INDEX(Z$280:Z$296,$E2179)*$D2179</f>
        <v/>
      </c>
      <c r="AA2179" s="35">
        <f>INDEX(AA$280:AA$296,$E2179)*$D2179</f>
        <v/>
      </c>
      <c r="AB2179" s="35">
        <f>INDEX(AB$280:AB$296,$E2179)*$D2179</f>
        <v/>
      </c>
      <c r="AC2179" s="35">
        <f>INDEX(AC$280:AC$296,$E2179)*$D2179</f>
        <v/>
      </c>
      <c r="AD2179" s="35">
        <f>INDEX(AD$280:AD$296,$E2179)*$D2179</f>
        <v/>
      </c>
      <c r="AE2179" s="42">
        <f>ETSCOST(INDEX(AE$280:AE$296,$E2179),$D2179)</f>
        <v/>
      </c>
      <c r="AG2179" s="11">
        <f>CodePrefix&amp;$A2179&amp;IF($C2179="","","."&amp;$C2179&amp;"."&amp;$B2179)&amp;INDEX(VarEnd,MATCH($A2179,VarKey,0))&amp;AG$5</f>
        <v/>
      </c>
      <c r="AH2179" s="40">
        <f>INDEX(AH$280:AH$296,$E2179)*$D2179</f>
        <v/>
      </c>
      <c r="AI2179" s="35">
        <f>INDEX(AI$280:AI$296,$E2179)*$D2179</f>
        <v/>
      </c>
      <c r="AJ2179" s="35">
        <f>INDEX(AJ$280:AJ$296,$E2179)*$D2179</f>
        <v/>
      </c>
      <c r="AK2179" s="35">
        <f>INDEX(AK$280:AK$296,$E2179)*$D2179</f>
        <v/>
      </c>
      <c r="AL2179" s="35">
        <f>INDEX(AL$280:AL$296,$E2179)*$D2179</f>
        <v/>
      </c>
      <c r="AM2179" s="35">
        <f>INDEX(AM$280:AM$296,$E2179)*$D2179</f>
        <v/>
      </c>
      <c r="AN2179" s="35">
        <f>INDEX(AN$280:AN$296,$E2179)*$D2179</f>
        <v/>
      </c>
      <c r="AO2179" s="35">
        <f>INDEX(AO$280:AO$296,$E2179)*$D2179</f>
        <v/>
      </c>
      <c r="AP2179" s="35">
        <f>INDEX(AP$280:AP$296,$E2179)*$D2179</f>
        <v/>
      </c>
      <c r="AQ2179" s="35">
        <f>INDEX(AQ$280:AQ$296,$E2179)*$D2179</f>
        <v/>
      </c>
      <c r="AR2179" s="35">
        <f>INDEX(AR$280:AR$296,$E2179)*$D2179</f>
        <v/>
      </c>
      <c r="AS2179" s="35">
        <f>INDEX(AS$280:AS$296,$E2179)*$D2179</f>
        <v/>
      </c>
      <c r="AT2179" s="35">
        <f>INDEX(AT$280:AT$296,$E2179)*$D2179</f>
        <v/>
      </c>
      <c r="AU2179" s="35">
        <f>INDEX(AU$280:AU$296,$E2179)*$D2179</f>
        <v/>
      </c>
      <c r="AV2179" s="35">
        <f>INDEX(AV$280:AV$296,$E2179)*$D2179</f>
        <v/>
      </c>
      <c r="AW2179" s="35">
        <f>INDEX(AW$280:AW$296,$E2179)*$D2179</f>
        <v/>
      </c>
      <c r="AX2179" s="35">
        <f>INDEX(AX$280:AX$296,$E2179)*$D2179</f>
        <v/>
      </c>
      <c r="AY2179" s="35">
        <f>INDEX(AY$280:AY$296,$E2179)*$D2179</f>
        <v/>
      </c>
      <c r="AZ2179" s="35">
        <f>INDEX(AZ$280:AZ$296,$E2179)*$D2179</f>
        <v/>
      </c>
      <c r="BA2179" s="42">
        <f>ETSCOST(INDEX(BA$280:BA$296,$E2179),$D2179)</f>
        <v/>
      </c>
    </row>
    <row r="2180" hidden="1" outlineLevel="2">
      <c r="A2180" s="14" t="inlineStr">
        <is>
          <t>ets</t>
        </is>
      </c>
      <c r="B2180" s="14" t="inlineStr">
        <is>
          <t>oop</t>
        </is>
      </c>
      <c r="C2180" s="14" t="inlineStr">
        <is>
          <t>nfm</t>
        </is>
      </c>
      <c r="D2180" s="35">
        <f>INDEX(Inputs!$W$5:$W$132,MATCH($B2180&amp;"|"&amp;$C2180,Inputs!$A$5:$A$132,0))</f>
        <v/>
      </c>
      <c r="E2180" s="35">
        <f>INDEX(Inputs!$M$5:$M$132,MATCH($B2180&amp;"|"&amp;$C2180,Inputs!$A$5:$A$132,0))</f>
        <v/>
      </c>
      <c r="F2180" s="39" t="n"/>
      <c r="G2180" s="39" t="n"/>
      <c r="H2180" s="14">
        <f>INDEX(VarLab,MATCH($A2180,VarKey,0))&amp;INDEX(MemLab,MATCH($C2180&amp;"|"&amp;$B2180,MemKey,0))</f>
        <v/>
      </c>
      <c r="I2180" s="14">
        <f>INDEX(VarUnit,MATCH($A2180,VarKey,0))</f>
        <v/>
      </c>
      <c r="J2180" s="14">
        <f>INDEX(VarSrc,MATCH($A2180,VarKey,0))</f>
        <v/>
      </c>
      <c r="K2180" s="11">
        <f>CodePrefix&amp;$A2180&amp;IF($C2180="","","."&amp;$C2180&amp;"."&amp;$B2180)&amp;INDEX(VarEnd,MATCH($A2180,VarKey,0))&amp;K$5</f>
        <v/>
      </c>
      <c r="L2180" s="40">
        <f>INDEX(L$280:L$296,$E2180)*$D2180</f>
        <v/>
      </c>
      <c r="M2180" s="35">
        <f>INDEX(M$280:M$296,$E2180)*$D2180</f>
        <v/>
      </c>
      <c r="N2180" s="35">
        <f>INDEX(N$280:N$296,$E2180)*$D2180</f>
        <v/>
      </c>
      <c r="O2180" s="35">
        <f>INDEX(O$280:O$296,$E2180)*$D2180</f>
        <v/>
      </c>
      <c r="P2180" s="35">
        <f>INDEX(P$280:P$296,$E2180)*$D2180</f>
        <v/>
      </c>
      <c r="Q2180" s="35">
        <f>INDEX(Q$280:Q$296,$E2180)*$D2180</f>
        <v/>
      </c>
      <c r="R2180" s="35">
        <f>INDEX(R$280:R$296,$E2180)*$D2180</f>
        <v/>
      </c>
      <c r="S2180" s="35">
        <f>INDEX(S$280:S$296,$E2180)*$D2180</f>
        <v/>
      </c>
      <c r="T2180" s="35">
        <f>INDEX(T$280:T$296,$E2180)*$D2180</f>
        <v/>
      </c>
      <c r="U2180" s="35">
        <f>INDEX(U$280:U$296,$E2180)*$D2180</f>
        <v/>
      </c>
      <c r="V2180" s="35">
        <f>INDEX(V$280:V$296,$E2180)*$D2180</f>
        <v/>
      </c>
      <c r="W2180" s="35">
        <f>INDEX(W$280:W$296,$E2180)*$D2180</f>
        <v/>
      </c>
      <c r="X2180" s="35">
        <f>INDEX(X$280:X$296,$E2180)*$D2180</f>
        <v/>
      </c>
      <c r="Y2180" s="35">
        <f>INDEX(Y$280:Y$296,$E2180)*$D2180</f>
        <v/>
      </c>
      <c r="Z2180" s="35">
        <f>INDEX(Z$280:Z$296,$E2180)*$D2180</f>
        <v/>
      </c>
      <c r="AA2180" s="35">
        <f>INDEX(AA$280:AA$296,$E2180)*$D2180</f>
        <v/>
      </c>
      <c r="AB2180" s="35">
        <f>INDEX(AB$280:AB$296,$E2180)*$D2180</f>
        <v/>
      </c>
      <c r="AC2180" s="35">
        <f>INDEX(AC$280:AC$296,$E2180)*$D2180</f>
        <v/>
      </c>
      <c r="AD2180" s="35">
        <f>INDEX(AD$280:AD$296,$E2180)*$D2180</f>
        <v/>
      </c>
      <c r="AE2180" s="42">
        <f>ETSCOST(INDEX(AE$280:AE$296,$E2180),$D2180)</f>
        <v/>
      </c>
      <c r="AG2180" s="11">
        <f>CodePrefix&amp;$A2180&amp;IF($C2180="","","."&amp;$C2180&amp;"."&amp;$B2180)&amp;INDEX(VarEnd,MATCH($A2180,VarKey,0))&amp;AG$5</f>
        <v/>
      </c>
      <c r="AH2180" s="40">
        <f>INDEX(AH$280:AH$296,$E2180)*$D2180</f>
        <v/>
      </c>
      <c r="AI2180" s="35">
        <f>INDEX(AI$280:AI$296,$E2180)*$D2180</f>
        <v/>
      </c>
      <c r="AJ2180" s="35">
        <f>INDEX(AJ$280:AJ$296,$E2180)*$D2180</f>
        <v/>
      </c>
      <c r="AK2180" s="35">
        <f>INDEX(AK$280:AK$296,$E2180)*$D2180</f>
        <v/>
      </c>
      <c r="AL2180" s="35">
        <f>INDEX(AL$280:AL$296,$E2180)*$D2180</f>
        <v/>
      </c>
      <c r="AM2180" s="35">
        <f>INDEX(AM$280:AM$296,$E2180)*$D2180</f>
        <v/>
      </c>
      <c r="AN2180" s="35">
        <f>INDEX(AN$280:AN$296,$E2180)*$D2180</f>
        <v/>
      </c>
      <c r="AO2180" s="35">
        <f>INDEX(AO$280:AO$296,$E2180)*$D2180</f>
        <v/>
      </c>
      <c r="AP2180" s="35">
        <f>INDEX(AP$280:AP$296,$E2180)*$D2180</f>
        <v/>
      </c>
      <c r="AQ2180" s="35">
        <f>INDEX(AQ$280:AQ$296,$E2180)*$D2180</f>
        <v/>
      </c>
      <c r="AR2180" s="35">
        <f>INDEX(AR$280:AR$296,$E2180)*$D2180</f>
        <v/>
      </c>
      <c r="AS2180" s="35">
        <f>INDEX(AS$280:AS$296,$E2180)*$D2180</f>
        <v/>
      </c>
      <c r="AT2180" s="35">
        <f>INDEX(AT$280:AT$296,$E2180)*$D2180</f>
        <v/>
      </c>
      <c r="AU2180" s="35">
        <f>INDEX(AU$280:AU$296,$E2180)*$D2180</f>
        <v/>
      </c>
      <c r="AV2180" s="35">
        <f>INDEX(AV$280:AV$296,$E2180)*$D2180</f>
        <v/>
      </c>
      <c r="AW2180" s="35">
        <f>INDEX(AW$280:AW$296,$E2180)*$D2180</f>
        <v/>
      </c>
      <c r="AX2180" s="35">
        <f>INDEX(AX$280:AX$296,$E2180)*$D2180</f>
        <v/>
      </c>
      <c r="AY2180" s="35">
        <f>INDEX(AY$280:AY$296,$E2180)*$D2180</f>
        <v/>
      </c>
      <c r="AZ2180" s="35">
        <f>INDEX(AZ$280:AZ$296,$E2180)*$D2180</f>
        <v/>
      </c>
      <c r="BA2180" s="42">
        <f>ETSCOST(INDEX(BA$280:BA$296,$E2180),$D2180)</f>
        <v/>
      </c>
    </row>
    <row r="2181" hidden="1" outlineLevel="2">
      <c r="A2181" s="14" t="inlineStr">
        <is>
          <t>ets</t>
        </is>
      </c>
      <c r="B2181" s="14" t="inlineStr">
        <is>
          <t>bio</t>
        </is>
      </c>
      <c r="C2181" s="14" t="inlineStr">
        <is>
          <t>nfm</t>
        </is>
      </c>
      <c r="D2181" s="35">
        <f>INDEX(Inputs!$W$5:$W$132,MATCH($B2181&amp;"|"&amp;$C2181,Inputs!$A$5:$A$132,0))</f>
        <v/>
      </c>
      <c r="E2181" s="35">
        <f>INDEX(Inputs!$M$5:$M$132,MATCH($B2181&amp;"|"&amp;$C2181,Inputs!$A$5:$A$132,0))</f>
        <v/>
      </c>
      <c r="F2181" s="39" t="n"/>
      <c r="G2181" s="39" t="n"/>
      <c r="H2181" s="14">
        <f>INDEX(VarLab,MATCH($A2181,VarKey,0))&amp;INDEX(MemLab,MATCH($C2181&amp;"|"&amp;$B2181,MemKey,0))</f>
        <v/>
      </c>
      <c r="I2181" s="14">
        <f>INDEX(VarUnit,MATCH($A2181,VarKey,0))</f>
        <v/>
      </c>
      <c r="J2181" s="14">
        <f>INDEX(VarSrc,MATCH($A2181,VarKey,0))</f>
        <v/>
      </c>
      <c r="K2181" s="11">
        <f>CodePrefix&amp;$A2181&amp;IF($C2181="","","."&amp;$C2181&amp;"."&amp;$B2181)&amp;INDEX(VarEnd,MATCH($A2181,VarKey,0))&amp;K$5</f>
        <v/>
      </c>
      <c r="L2181" s="40">
        <f>INDEX(L$280:L$296,$E2181)*$D2181</f>
        <v/>
      </c>
      <c r="M2181" s="35">
        <f>INDEX(M$280:M$296,$E2181)*$D2181</f>
        <v/>
      </c>
      <c r="N2181" s="35">
        <f>INDEX(N$280:N$296,$E2181)*$D2181</f>
        <v/>
      </c>
      <c r="O2181" s="35">
        <f>INDEX(O$280:O$296,$E2181)*$D2181</f>
        <v/>
      </c>
      <c r="P2181" s="35">
        <f>INDEX(P$280:P$296,$E2181)*$D2181</f>
        <v/>
      </c>
      <c r="Q2181" s="35">
        <f>INDEX(Q$280:Q$296,$E2181)*$D2181</f>
        <v/>
      </c>
      <c r="R2181" s="35">
        <f>INDEX(R$280:R$296,$E2181)*$D2181</f>
        <v/>
      </c>
      <c r="S2181" s="35">
        <f>INDEX(S$280:S$296,$E2181)*$D2181</f>
        <v/>
      </c>
      <c r="T2181" s="35">
        <f>INDEX(T$280:T$296,$E2181)*$D2181</f>
        <v/>
      </c>
      <c r="U2181" s="35">
        <f>INDEX(U$280:U$296,$E2181)*$D2181</f>
        <v/>
      </c>
      <c r="V2181" s="35">
        <f>INDEX(V$280:V$296,$E2181)*$D2181</f>
        <v/>
      </c>
      <c r="W2181" s="35">
        <f>INDEX(W$280:W$296,$E2181)*$D2181</f>
        <v/>
      </c>
      <c r="X2181" s="35">
        <f>INDEX(X$280:X$296,$E2181)*$D2181</f>
        <v/>
      </c>
      <c r="Y2181" s="35">
        <f>INDEX(Y$280:Y$296,$E2181)*$D2181</f>
        <v/>
      </c>
      <c r="Z2181" s="35">
        <f>INDEX(Z$280:Z$296,$E2181)*$D2181</f>
        <v/>
      </c>
      <c r="AA2181" s="35">
        <f>INDEX(AA$280:AA$296,$E2181)*$D2181</f>
        <v/>
      </c>
      <c r="AB2181" s="35">
        <f>INDEX(AB$280:AB$296,$E2181)*$D2181</f>
        <v/>
      </c>
      <c r="AC2181" s="35">
        <f>INDEX(AC$280:AC$296,$E2181)*$D2181</f>
        <v/>
      </c>
      <c r="AD2181" s="35">
        <f>INDEX(AD$280:AD$296,$E2181)*$D2181</f>
        <v/>
      </c>
      <c r="AE2181" s="42">
        <f>ETSCOST(INDEX(AE$280:AE$296,$E2181),$D2181)</f>
        <v/>
      </c>
      <c r="AG2181" s="11">
        <f>CodePrefix&amp;$A2181&amp;IF($C2181="","","."&amp;$C2181&amp;"."&amp;$B2181)&amp;INDEX(VarEnd,MATCH($A2181,VarKey,0))&amp;AG$5</f>
        <v/>
      </c>
      <c r="AH2181" s="40">
        <f>INDEX(AH$280:AH$296,$E2181)*$D2181</f>
        <v/>
      </c>
      <c r="AI2181" s="35">
        <f>INDEX(AI$280:AI$296,$E2181)*$D2181</f>
        <v/>
      </c>
      <c r="AJ2181" s="35">
        <f>INDEX(AJ$280:AJ$296,$E2181)*$D2181</f>
        <v/>
      </c>
      <c r="AK2181" s="35">
        <f>INDEX(AK$280:AK$296,$E2181)*$D2181</f>
        <v/>
      </c>
      <c r="AL2181" s="35">
        <f>INDEX(AL$280:AL$296,$E2181)*$D2181</f>
        <v/>
      </c>
      <c r="AM2181" s="35">
        <f>INDEX(AM$280:AM$296,$E2181)*$D2181</f>
        <v/>
      </c>
      <c r="AN2181" s="35">
        <f>INDEX(AN$280:AN$296,$E2181)*$D2181</f>
        <v/>
      </c>
      <c r="AO2181" s="35">
        <f>INDEX(AO$280:AO$296,$E2181)*$D2181</f>
        <v/>
      </c>
      <c r="AP2181" s="35">
        <f>INDEX(AP$280:AP$296,$E2181)*$D2181</f>
        <v/>
      </c>
      <c r="AQ2181" s="35">
        <f>INDEX(AQ$280:AQ$296,$E2181)*$D2181</f>
        <v/>
      </c>
      <c r="AR2181" s="35">
        <f>INDEX(AR$280:AR$296,$E2181)*$D2181</f>
        <v/>
      </c>
      <c r="AS2181" s="35">
        <f>INDEX(AS$280:AS$296,$E2181)*$D2181</f>
        <v/>
      </c>
      <c r="AT2181" s="35">
        <f>INDEX(AT$280:AT$296,$E2181)*$D2181</f>
        <v/>
      </c>
      <c r="AU2181" s="35">
        <f>INDEX(AU$280:AU$296,$E2181)*$D2181</f>
        <v/>
      </c>
      <c r="AV2181" s="35">
        <f>INDEX(AV$280:AV$296,$E2181)*$D2181</f>
        <v/>
      </c>
      <c r="AW2181" s="35">
        <f>INDEX(AW$280:AW$296,$E2181)*$D2181</f>
        <v/>
      </c>
      <c r="AX2181" s="35">
        <f>INDEX(AX$280:AX$296,$E2181)*$D2181</f>
        <v/>
      </c>
      <c r="AY2181" s="35">
        <f>INDEX(AY$280:AY$296,$E2181)*$D2181</f>
        <v/>
      </c>
      <c r="AZ2181" s="35">
        <f>INDEX(AZ$280:AZ$296,$E2181)*$D2181</f>
        <v/>
      </c>
      <c r="BA2181" s="42">
        <f>ETSCOST(INDEX(BA$280:BA$296,$E2181),$D2181)</f>
        <v/>
      </c>
    </row>
    <row r="2182" hidden="1" outlineLevel="2"/>
    <row r="2183" hidden="1" outlineLevel="2">
      <c r="A2183" s="14" t="inlineStr">
        <is>
          <t>ntx</t>
        </is>
      </c>
      <c r="B2183" s="14" t="inlineStr">
        <is>
          <t>coa</t>
        </is>
      </c>
      <c r="C2183" s="14" t="inlineStr">
        <is>
          <t>nfm</t>
        </is>
      </c>
      <c r="D2183" s="35">
        <f>INDEX(Inputs!$N$5:$N$132,MATCH($B2183&amp;"|"&amp;$C2183,Inputs!$A$5:$A$132,0))</f>
        <v/>
      </c>
      <c r="E2183" s="35">
        <f>INDEX(Inputs!$K$5:$K$132,MATCH($B2183&amp;"|"&amp;$C2183,Inputs!$A$5:$A$132,0))</f>
        <v/>
      </c>
      <c r="F2183" s="39" t="n"/>
      <c r="G2183" s="39" t="n"/>
      <c r="H2183" s="14">
        <f>INDEX(VarLab,MATCH($A2183,VarKey,0))&amp;INDEX(MemLab,MATCH($C2183&amp;"|"&amp;$B2183,MemKey,0))</f>
        <v/>
      </c>
      <c r="I2183" s="14">
        <f>INDEX(VarUnit,MATCH($A2183,VarKey,0))</f>
        <v/>
      </c>
      <c r="J2183" s="14">
        <f>INDEX(VarSrc,MATCH($A2183,VarKey,0))</f>
        <v/>
      </c>
      <c r="K2183" s="11">
        <f>CodePrefix&amp;$A2183&amp;IF($C2183="","","."&amp;$C2183&amp;"."&amp;$B2183)&amp;INDEX(VarEnd,MATCH($A2183,VarKey,0))&amp;K$5</f>
        <v/>
      </c>
      <c r="L2183" s="40">
        <f>INDEX(L$80:L$93,$D2183)/$E2183</f>
        <v/>
      </c>
      <c r="M2183" s="35">
        <f>INDEX(M$80:M$93,$D2183)/$E2183</f>
        <v/>
      </c>
      <c r="N2183" s="35">
        <f>INDEX(N$80:N$93,$D2183)/$E2183</f>
        <v/>
      </c>
      <c r="O2183" s="35">
        <f>INDEX(O$80:O$93,$D2183)/$E2183</f>
        <v/>
      </c>
      <c r="P2183" s="35">
        <f>INDEX(P$80:P$93,$D2183)/$E2183</f>
        <v/>
      </c>
      <c r="Q2183" s="35">
        <f>INDEX(Q$80:Q$93,$D2183)/$E2183</f>
        <v/>
      </c>
      <c r="R2183" s="35">
        <f>INDEX(R$80:R$93,$D2183)/$E2183</f>
        <v/>
      </c>
      <c r="S2183" s="35">
        <f>INDEX(S$80:S$93,$D2183)/$E2183</f>
        <v/>
      </c>
      <c r="T2183" s="35">
        <f>INDEX(T$80:T$93,$D2183)/$E2183</f>
        <v/>
      </c>
      <c r="U2183" s="35">
        <f>INDEX(U$80:U$93,$D2183)/$E2183</f>
        <v/>
      </c>
      <c r="V2183" s="35">
        <f>INDEX(V$80:V$93,$D2183)/$E2183</f>
        <v/>
      </c>
      <c r="W2183" s="35">
        <f>INDEX(W$80:W$93,$D2183)/$E2183</f>
        <v/>
      </c>
      <c r="X2183" s="35">
        <f>INDEX(X$80:X$93,$D2183)/$E2183</f>
        <v/>
      </c>
      <c r="Y2183" s="35">
        <f>INDEX(Y$80:Y$93,$D2183)/$E2183</f>
        <v/>
      </c>
      <c r="Z2183" s="35">
        <f>INDEX(Z$80:Z$93,$D2183)/$E2183</f>
        <v/>
      </c>
      <c r="AA2183" s="35">
        <f>INDEX(AA$80:AA$93,$D2183)/$E2183</f>
        <v/>
      </c>
      <c r="AB2183" s="35">
        <f>INDEX(AB$80:AB$93,$D2183)/$E2183</f>
        <v/>
      </c>
      <c r="AC2183" s="35">
        <f>INDEX(AC$80:AC$93,$D2183)/$E2183</f>
        <v/>
      </c>
      <c r="AD2183" s="35">
        <f>INDEX(AD$80:AD$93,$D2183)/$E2183</f>
        <v/>
      </c>
      <c r="AE2183" s="42">
        <f>NEWEXCISE(INDEX(AE$80:AE$93,$D2183),$E2183)</f>
        <v/>
      </c>
      <c r="AG2183" s="11">
        <f>CodePrefix&amp;$A2183&amp;IF($C2183="","","."&amp;$C2183&amp;"."&amp;$B2183)&amp;INDEX(VarEnd,MATCH($A2183,VarKey,0))&amp;AG$5</f>
        <v/>
      </c>
      <c r="AH2183" s="40">
        <f>INDEX(AH$80:AH$93,$D2183)/$E2183</f>
        <v/>
      </c>
      <c r="AI2183" s="35">
        <f>INDEX(AI$80:AI$93,$D2183)/$E2183</f>
        <v/>
      </c>
      <c r="AJ2183" s="35">
        <f>INDEX(AJ$80:AJ$93,$D2183)/$E2183</f>
        <v/>
      </c>
      <c r="AK2183" s="35">
        <f>INDEX(AK$80:AK$93,$D2183)/$E2183</f>
        <v/>
      </c>
      <c r="AL2183" s="35">
        <f>INDEX(AL$80:AL$93,$D2183)/$E2183</f>
        <v/>
      </c>
      <c r="AM2183" s="35">
        <f>INDEX(AM$80:AM$93,$D2183)/$E2183</f>
        <v/>
      </c>
      <c r="AN2183" s="35">
        <f>INDEX(AN$80:AN$93,$D2183)/$E2183</f>
        <v/>
      </c>
      <c r="AO2183" s="35">
        <f>INDEX(AO$80:AO$93,$D2183)/$E2183</f>
        <v/>
      </c>
      <c r="AP2183" s="35">
        <f>INDEX(AP$80:AP$93,$D2183)/$E2183</f>
        <v/>
      </c>
      <c r="AQ2183" s="35">
        <f>INDEX(AQ$80:AQ$93,$D2183)/$E2183</f>
        <v/>
      </c>
      <c r="AR2183" s="35">
        <f>INDEX(AR$80:AR$93,$D2183)/$E2183</f>
        <v/>
      </c>
      <c r="AS2183" s="35">
        <f>INDEX(AS$80:AS$93,$D2183)/$E2183</f>
        <v/>
      </c>
      <c r="AT2183" s="35">
        <f>INDEX(AT$80:AT$93,$D2183)/$E2183</f>
        <v/>
      </c>
      <c r="AU2183" s="35">
        <f>INDEX(AU$80:AU$93,$D2183)/$E2183</f>
        <v/>
      </c>
      <c r="AV2183" s="35">
        <f>INDEX(AV$80:AV$93,$D2183)/$E2183</f>
        <v/>
      </c>
      <c r="AW2183" s="35">
        <f>INDEX(AW$80:AW$93,$D2183)/$E2183</f>
        <v/>
      </c>
      <c r="AX2183" s="35">
        <f>INDEX(AX$80:AX$93,$D2183)/$E2183</f>
        <v/>
      </c>
      <c r="AY2183" s="35">
        <f>INDEX(AY$80:AY$93,$D2183)/$E2183</f>
        <v/>
      </c>
      <c r="AZ2183" s="35">
        <f>INDEX(AZ$80:AZ$93,$D2183)/$E2183</f>
        <v/>
      </c>
      <c r="BA2183" s="42">
        <f>NEWEXCISE(INDEX(BA$80:BA$93,$D2183),$E2183)</f>
        <v/>
      </c>
    </row>
    <row r="2184" hidden="1" outlineLevel="2">
      <c r="A2184" s="14" t="inlineStr">
        <is>
          <t>ntx</t>
        </is>
      </c>
      <c r="B2184" s="14" t="inlineStr">
        <is>
          <t>nga</t>
        </is>
      </c>
      <c r="C2184" s="14" t="inlineStr">
        <is>
          <t>nfm</t>
        </is>
      </c>
      <c r="D2184" s="35">
        <f>INDEX(Inputs!$N$5:$N$132,MATCH($B2184&amp;"|"&amp;$C2184,Inputs!$A$5:$A$132,0))</f>
        <v/>
      </c>
      <c r="E2184" s="35">
        <f>INDEX(Inputs!$K$5:$K$132,MATCH($B2184&amp;"|"&amp;$C2184,Inputs!$A$5:$A$132,0))</f>
        <v/>
      </c>
      <c r="F2184" s="39" t="n"/>
      <c r="G2184" s="39" t="n"/>
      <c r="H2184" s="14">
        <f>INDEX(VarLab,MATCH($A2184,VarKey,0))&amp;INDEX(MemLab,MATCH($C2184&amp;"|"&amp;$B2184,MemKey,0))</f>
        <v/>
      </c>
      <c r="I2184" s="14">
        <f>INDEX(VarUnit,MATCH($A2184,VarKey,0))</f>
        <v/>
      </c>
      <c r="J2184" s="14">
        <f>INDEX(VarSrc,MATCH($A2184,VarKey,0))</f>
        <v/>
      </c>
      <c r="K2184" s="11">
        <f>CodePrefix&amp;$A2184&amp;IF($C2184="","","."&amp;$C2184&amp;"."&amp;$B2184)&amp;INDEX(VarEnd,MATCH($A2184,VarKey,0))&amp;K$5</f>
        <v/>
      </c>
      <c r="L2184" s="40">
        <f>INDEX(L$80:L$93,$D2184)/$E2184</f>
        <v/>
      </c>
      <c r="M2184" s="35">
        <f>INDEX(M$80:M$93,$D2184)/$E2184</f>
        <v/>
      </c>
      <c r="N2184" s="35">
        <f>INDEX(N$80:N$93,$D2184)/$E2184</f>
        <v/>
      </c>
      <c r="O2184" s="35">
        <f>INDEX(O$80:O$93,$D2184)/$E2184</f>
        <v/>
      </c>
      <c r="P2184" s="35">
        <f>INDEX(P$80:P$93,$D2184)/$E2184</f>
        <v/>
      </c>
      <c r="Q2184" s="35">
        <f>INDEX(Q$80:Q$93,$D2184)/$E2184</f>
        <v/>
      </c>
      <c r="R2184" s="35">
        <f>INDEX(R$80:R$93,$D2184)/$E2184</f>
        <v/>
      </c>
      <c r="S2184" s="35">
        <f>INDEX(S$80:S$93,$D2184)/$E2184</f>
        <v/>
      </c>
      <c r="T2184" s="35">
        <f>INDEX(T$80:T$93,$D2184)/$E2184</f>
        <v/>
      </c>
      <c r="U2184" s="35">
        <f>INDEX(U$80:U$93,$D2184)/$E2184</f>
        <v/>
      </c>
      <c r="V2184" s="35">
        <f>INDEX(V$80:V$93,$D2184)/$E2184</f>
        <v/>
      </c>
      <c r="W2184" s="35">
        <f>INDEX(W$80:W$93,$D2184)/$E2184</f>
        <v/>
      </c>
      <c r="X2184" s="35">
        <f>INDEX(X$80:X$93,$D2184)/$E2184</f>
        <v/>
      </c>
      <c r="Y2184" s="35">
        <f>INDEX(Y$80:Y$93,$D2184)/$E2184</f>
        <v/>
      </c>
      <c r="Z2184" s="35">
        <f>INDEX(Z$80:Z$93,$D2184)/$E2184</f>
        <v/>
      </c>
      <c r="AA2184" s="35">
        <f>INDEX(AA$80:AA$93,$D2184)/$E2184</f>
        <v/>
      </c>
      <c r="AB2184" s="35">
        <f>INDEX(AB$80:AB$93,$D2184)/$E2184</f>
        <v/>
      </c>
      <c r="AC2184" s="35">
        <f>INDEX(AC$80:AC$93,$D2184)/$E2184</f>
        <v/>
      </c>
      <c r="AD2184" s="35">
        <f>INDEX(AD$80:AD$93,$D2184)/$E2184</f>
        <v/>
      </c>
      <c r="AE2184" s="42">
        <f>NEWEXCISE(INDEX(AE$80:AE$93,$D2184),$E2184)</f>
        <v/>
      </c>
      <c r="AG2184" s="11">
        <f>CodePrefix&amp;$A2184&amp;IF($C2184="","","."&amp;$C2184&amp;"."&amp;$B2184)&amp;INDEX(VarEnd,MATCH($A2184,VarKey,0))&amp;AG$5</f>
        <v/>
      </c>
      <c r="AH2184" s="40">
        <f>INDEX(AH$80:AH$93,$D2184)/$E2184</f>
        <v/>
      </c>
      <c r="AI2184" s="35">
        <f>INDEX(AI$80:AI$93,$D2184)/$E2184</f>
        <v/>
      </c>
      <c r="AJ2184" s="35">
        <f>INDEX(AJ$80:AJ$93,$D2184)/$E2184</f>
        <v/>
      </c>
      <c r="AK2184" s="35">
        <f>INDEX(AK$80:AK$93,$D2184)/$E2184</f>
        <v/>
      </c>
      <c r="AL2184" s="35">
        <f>INDEX(AL$80:AL$93,$D2184)/$E2184</f>
        <v/>
      </c>
      <c r="AM2184" s="35">
        <f>INDEX(AM$80:AM$93,$D2184)/$E2184</f>
        <v/>
      </c>
      <c r="AN2184" s="35">
        <f>INDEX(AN$80:AN$93,$D2184)/$E2184</f>
        <v/>
      </c>
      <c r="AO2184" s="35">
        <f>INDEX(AO$80:AO$93,$D2184)/$E2184</f>
        <v/>
      </c>
      <c r="AP2184" s="35">
        <f>INDEX(AP$80:AP$93,$D2184)/$E2184</f>
        <v/>
      </c>
      <c r="AQ2184" s="35">
        <f>INDEX(AQ$80:AQ$93,$D2184)/$E2184</f>
        <v/>
      </c>
      <c r="AR2184" s="35">
        <f>INDEX(AR$80:AR$93,$D2184)/$E2184</f>
        <v/>
      </c>
      <c r="AS2184" s="35">
        <f>INDEX(AS$80:AS$93,$D2184)/$E2184</f>
        <v/>
      </c>
      <c r="AT2184" s="35">
        <f>INDEX(AT$80:AT$93,$D2184)/$E2184</f>
        <v/>
      </c>
      <c r="AU2184" s="35">
        <f>INDEX(AU$80:AU$93,$D2184)/$E2184</f>
        <v/>
      </c>
      <c r="AV2184" s="35">
        <f>INDEX(AV$80:AV$93,$D2184)/$E2184</f>
        <v/>
      </c>
      <c r="AW2184" s="35">
        <f>INDEX(AW$80:AW$93,$D2184)/$E2184</f>
        <v/>
      </c>
      <c r="AX2184" s="35">
        <f>INDEX(AX$80:AX$93,$D2184)/$E2184</f>
        <v/>
      </c>
      <c r="AY2184" s="35">
        <f>INDEX(AY$80:AY$93,$D2184)/$E2184</f>
        <v/>
      </c>
      <c r="AZ2184" s="35">
        <f>INDEX(AZ$80:AZ$93,$D2184)/$E2184</f>
        <v/>
      </c>
      <c r="BA2184" s="42">
        <f>NEWEXCISE(INDEX(BA$80:BA$93,$D2184),$E2184)</f>
        <v/>
      </c>
    </row>
    <row r="2185" hidden="1" outlineLevel="2">
      <c r="A2185" s="14" t="inlineStr">
        <is>
          <t>ntx</t>
        </is>
      </c>
      <c r="B2185" s="14" t="inlineStr">
        <is>
          <t>gso</t>
        </is>
      </c>
      <c r="C2185" s="14" t="inlineStr">
        <is>
          <t>nfm</t>
        </is>
      </c>
      <c r="D2185" s="35">
        <f>INDEX(Inputs!$N$5:$N$132,MATCH($B2185&amp;"|"&amp;$C2185,Inputs!$A$5:$A$132,0))</f>
        <v/>
      </c>
      <c r="E2185" s="35">
        <f>INDEX(Inputs!$K$5:$K$132,MATCH($B2185&amp;"|"&amp;$C2185,Inputs!$A$5:$A$132,0))</f>
        <v/>
      </c>
      <c r="F2185" s="39" t="n"/>
      <c r="G2185" s="39" t="n"/>
      <c r="H2185" s="14">
        <f>INDEX(VarLab,MATCH($A2185,VarKey,0))&amp;INDEX(MemLab,MATCH($C2185&amp;"|"&amp;$B2185,MemKey,0))</f>
        <v/>
      </c>
      <c r="I2185" s="14">
        <f>INDEX(VarUnit,MATCH($A2185,VarKey,0))</f>
        <v/>
      </c>
      <c r="J2185" s="14">
        <f>INDEX(VarSrc,MATCH($A2185,VarKey,0))</f>
        <v/>
      </c>
      <c r="K2185" s="11">
        <f>CodePrefix&amp;$A2185&amp;IF($C2185="","","."&amp;$C2185&amp;"."&amp;$B2185)&amp;INDEX(VarEnd,MATCH($A2185,VarKey,0))&amp;K$5</f>
        <v/>
      </c>
      <c r="L2185" s="40">
        <f>INDEX(L$80:L$93,$D2185)/$E2185</f>
        <v/>
      </c>
      <c r="M2185" s="35">
        <f>INDEX(M$80:M$93,$D2185)/$E2185</f>
        <v/>
      </c>
      <c r="N2185" s="35">
        <f>INDEX(N$80:N$93,$D2185)/$E2185</f>
        <v/>
      </c>
      <c r="O2185" s="35">
        <f>INDEX(O$80:O$93,$D2185)/$E2185</f>
        <v/>
      </c>
      <c r="P2185" s="35">
        <f>INDEX(P$80:P$93,$D2185)/$E2185</f>
        <v/>
      </c>
      <c r="Q2185" s="35">
        <f>INDEX(Q$80:Q$93,$D2185)/$E2185</f>
        <v/>
      </c>
      <c r="R2185" s="35">
        <f>INDEX(R$80:R$93,$D2185)/$E2185</f>
        <v/>
      </c>
      <c r="S2185" s="35">
        <f>INDEX(S$80:S$93,$D2185)/$E2185</f>
        <v/>
      </c>
      <c r="T2185" s="35">
        <f>INDEX(T$80:T$93,$D2185)/$E2185</f>
        <v/>
      </c>
      <c r="U2185" s="35">
        <f>INDEX(U$80:U$93,$D2185)/$E2185</f>
        <v/>
      </c>
      <c r="V2185" s="35">
        <f>INDEX(V$80:V$93,$D2185)/$E2185</f>
        <v/>
      </c>
      <c r="W2185" s="35">
        <f>INDEX(W$80:W$93,$D2185)/$E2185</f>
        <v/>
      </c>
      <c r="X2185" s="35">
        <f>INDEX(X$80:X$93,$D2185)/$E2185</f>
        <v/>
      </c>
      <c r="Y2185" s="35">
        <f>INDEX(Y$80:Y$93,$D2185)/$E2185</f>
        <v/>
      </c>
      <c r="Z2185" s="35">
        <f>INDEX(Z$80:Z$93,$D2185)/$E2185</f>
        <v/>
      </c>
      <c r="AA2185" s="35">
        <f>INDEX(AA$80:AA$93,$D2185)/$E2185</f>
        <v/>
      </c>
      <c r="AB2185" s="35">
        <f>INDEX(AB$80:AB$93,$D2185)/$E2185</f>
        <v/>
      </c>
      <c r="AC2185" s="35">
        <f>INDEX(AC$80:AC$93,$D2185)/$E2185</f>
        <v/>
      </c>
      <c r="AD2185" s="35">
        <f>INDEX(AD$80:AD$93,$D2185)/$E2185</f>
        <v/>
      </c>
      <c r="AE2185" s="42">
        <f>NEWEXCISE(INDEX(AE$80:AE$93,$D2185),$E2185)</f>
        <v/>
      </c>
      <c r="AG2185" s="11">
        <f>CodePrefix&amp;$A2185&amp;IF($C2185="","","."&amp;$C2185&amp;"."&amp;$B2185)&amp;INDEX(VarEnd,MATCH($A2185,VarKey,0))&amp;AG$5</f>
        <v/>
      </c>
      <c r="AH2185" s="40">
        <f>INDEX(AH$80:AH$93,$D2185)/$E2185</f>
        <v/>
      </c>
      <c r="AI2185" s="35">
        <f>INDEX(AI$80:AI$93,$D2185)/$E2185</f>
        <v/>
      </c>
      <c r="AJ2185" s="35">
        <f>INDEX(AJ$80:AJ$93,$D2185)/$E2185</f>
        <v/>
      </c>
      <c r="AK2185" s="35">
        <f>INDEX(AK$80:AK$93,$D2185)/$E2185</f>
        <v/>
      </c>
      <c r="AL2185" s="35">
        <f>INDEX(AL$80:AL$93,$D2185)/$E2185</f>
        <v/>
      </c>
      <c r="AM2185" s="35">
        <f>INDEX(AM$80:AM$93,$D2185)/$E2185</f>
        <v/>
      </c>
      <c r="AN2185" s="35">
        <f>INDEX(AN$80:AN$93,$D2185)/$E2185</f>
        <v/>
      </c>
      <c r="AO2185" s="35">
        <f>INDEX(AO$80:AO$93,$D2185)/$E2185</f>
        <v/>
      </c>
      <c r="AP2185" s="35">
        <f>INDEX(AP$80:AP$93,$D2185)/$E2185</f>
        <v/>
      </c>
      <c r="AQ2185" s="35">
        <f>INDEX(AQ$80:AQ$93,$D2185)/$E2185</f>
        <v/>
      </c>
      <c r="AR2185" s="35">
        <f>INDEX(AR$80:AR$93,$D2185)/$E2185</f>
        <v/>
      </c>
      <c r="AS2185" s="35">
        <f>INDEX(AS$80:AS$93,$D2185)/$E2185</f>
        <v/>
      </c>
      <c r="AT2185" s="35">
        <f>INDEX(AT$80:AT$93,$D2185)/$E2185</f>
        <v/>
      </c>
      <c r="AU2185" s="35">
        <f>INDEX(AU$80:AU$93,$D2185)/$E2185</f>
        <v/>
      </c>
      <c r="AV2185" s="35">
        <f>INDEX(AV$80:AV$93,$D2185)/$E2185</f>
        <v/>
      </c>
      <c r="AW2185" s="35">
        <f>INDEX(AW$80:AW$93,$D2185)/$E2185</f>
        <v/>
      </c>
      <c r="AX2185" s="35">
        <f>INDEX(AX$80:AX$93,$D2185)/$E2185</f>
        <v/>
      </c>
      <c r="AY2185" s="35">
        <f>INDEX(AY$80:AY$93,$D2185)/$E2185</f>
        <v/>
      </c>
      <c r="AZ2185" s="35">
        <f>INDEX(AZ$80:AZ$93,$D2185)/$E2185</f>
        <v/>
      </c>
      <c r="BA2185" s="42">
        <f>NEWEXCISE(INDEX(BA$80:BA$93,$D2185),$E2185)</f>
        <v/>
      </c>
    </row>
    <row r="2186" hidden="1" outlineLevel="2">
      <c r="A2186" s="14" t="inlineStr">
        <is>
          <t>ntx</t>
        </is>
      </c>
      <c r="B2186" s="14" t="inlineStr">
        <is>
          <t>die</t>
        </is>
      </c>
      <c r="C2186" s="14" t="inlineStr">
        <is>
          <t>nfm</t>
        </is>
      </c>
      <c r="D2186" s="35">
        <f>INDEX(Inputs!$N$5:$N$132,MATCH($B2186&amp;"|"&amp;$C2186,Inputs!$A$5:$A$132,0))</f>
        <v/>
      </c>
      <c r="E2186" s="35">
        <f>INDEX(Inputs!$K$5:$K$132,MATCH($B2186&amp;"|"&amp;$C2186,Inputs!$A$5:$A$132,0))</f>
        <v/>
      </c>
      <c r="F2186" s="39" t="n"/>
      <c r="G2186" s="39" t="n"/>
      <c r="H2186" s="14">
        <f>INDEX(VarLab,MATCH($A2186,VarKey,0))&amp;INDEX(MemLab,MATCH($C2186&amp;"|"&amp;$B2186,MemKey,0))</f>
        <v/>
      </c>
      <c r="I2186" s="14">
        <f>INDEX(VarUnit,MATCH($A2186,VarKey,0))</f>
        <v/>
      </c>
      <c r="J2186" s="14">
        <f>INDEX(VarSrc,MATCH($A2186,VarKey,0))</f>
        <v/>
      </c>
      <c r="K2186" s="11">
        <f>CodePrefix&amp;$A2186&amp;IF($C2186="","","."&amp;$C2186&amp;"."&amp;$B2186)&amp;INDEX(VarEnd,MATCH($A2186,VarKey,0))&amp;K$5</f>
        <v/>
      </c>
      <c r="L2186" s="40">
        <f>INDEX(L$80:L$93,$D2186)/$E2186</f>
        <v/>
      </c>
      <c r="M2186" s="35">
        <f>INDEX(M$80:M$93,$D2186)/$E2186</f>
        <v/>
      </c>
      <c r="N2186" s="35">
        <f>INDEX(N$80:N$93,$D2186)/$E2186</f>
        <v/>
      </c>
      <c r="O2186" s="35">
        <f>INDEX(O$80:O$93,$D2186)/$E2186</f>
        <v/>
      </c>
      <c r="P2186" s="35">
        <f>INDEX(P$80:P$93,$D2186)/$E2186</f>
        <v/>
      </c>
      <c r="Q2186" s="35">
        <f>INDEX(Q$80:Q$93,$D2186)/$E2186</f>
        <v/>
      </c>
      <c r="R2186" s="35">
        <f>INDEX(R$80:R$93,$D2186)/$E2186</f>
        <v/>
      </c>
      <c r="S2186" s="35">
        <f>INDEX(S$80:S$93,$D2186)/$E2186</f>
        <v/>
      </c>
      <c r="T2186" s="35">
        <f>INDEX(T$80:T$93,$D2186)/$E2186</f>
        <v/>
      </c>
      <c r="U2186" s="35">
        <f>INDEX(U$80:U$93,$D2186)/$E2186</f>
        <v/>
      </c>
      <c r="V2186" s="35">
        <f>INDEX(V$80:V$93,$D2186)/$E2186</f>
        <v/>
      </c>
      <c r="W2186" s="35">
        <f>INDEX(W$80:W$93,$D2186)/$E2186</f>
        <v/>
      </c>
      <c r="X2186" s="35">
        <f>INDEX(X$80:X$93,$D2186)/$E2186</f>
        <v/>
      </c>
      <c r="Y2186" s="35">
        <f>INDEX(Y$80:Y$93,$D2186)/$E2186</f>
        <v/>
      </c>
      <c r="Z2186" s="35">
        <f>INDEX(Z$80:Z$93,$D2186)/$E2186</f>
        <v/>
      </c>
      <c r="AA2186" s="35">
        <f>INDEX(AA$80:AA$93,$D2186)/$E2186</f>
        <v/>
      </c>
      <c r="AB2186" s="35">
        <f>INDEX(AB$80:AB$93,$D2186)/$E2186</f>
        <v/>
      </c>
      <c r="AC2186" s="35">
        <f>INDEX(AC$80:AC$93,$D2186)/$E2186</f>
        <v/>
      </c>
      <c r="AD2186" s="35">
        <f>INDEX(AD$80:AD$93,$D2186)/$E2186</f>
        <v/>
      </c>
      <c r="AE2186" s="42">
        <f>NEWEXCISE(INDEX(AE$80:AE$93,$D2186),$E2186)</f>
        <v/>
      </c>
      <c r="AG2186" s="11">
        <f>CodePrefix&amp;$A2186&amp;IF($C2186="","","."&amp;$C2186&amp;"."&amp;$B2186)&amp;INDEX(VarEnd,MATCH($A2186,VarKey,0))&amp;AG$5</f>
        <v/>
      </c>
      <c r="AH2186" s="40">
        <f>INDEX(AH$80:AH$93,$D2186)/$E2186</f>
        <v/>
      </c>
      <c r="AI2186" s="35">
        <f>INDEX(AI$80:AI$93,$D2186)/$E2186</f>
        <v/>
      </c>
      <c r="AJ2186" s="35">
        <f>INDEX(AJ$80:AJ$93,$D2186)/$E2186</f>
        <v/>
      </c>
      <c r="AK2186" s="35">
        <f>INDEX(AK$80:AK$93,$D2186)/$E2186</f>
        <v/>
      </c>
      <c r="AL2186" s="35">
        <f>INDEX(AL$80:AL$93,$D2186)/$E2186</f>
        <v/>
      </c>
      <c r="AM2186" s="35">
        <f>INDEX(AM$80:AM$93,$D2186)/$E2186</f>
        <v/>
      </c>
      <c r="AN2186" s="35">
        <f>INDEX(AN$80:AN$93,$D2186)/$E2186</f>
        <v/>
      </c>
      <c r="AO2186" s="35">
        <f>INDEX(AO$80:AO$93,$D2186)/$E2186</f>
        <v/>
      </c>
      <c r="AP2186" s="35">
        <f>INDEX(AP$80:AP$93,$D2186)/$E2186</f>
        <v/>
      </c>
      <c r="AQ2186" s="35">
        <f>INDEX(AQ$80:AQ$93,$D2186)/$E2186</f>
        <v/>
      </c>
      <c r="AR2186" s="35">
        <f>INDEX(AR$80:AR$93,$D2186)/$E2186</f>
        <v/>
      </c>
      <c r="AS2186" s="35">
        <f>INDEX(AS$80:AS$93,$D2186)/$E2186</f>
        <v/>
      </c>
      <c r="AT2186" s="35">
        <f>INDEX(AT$80:AT$93,$D2186)/$E2186</f>
        <v/>
      </c>
      <c r="AU2186" s="35">
        <f>INDEX(AU$80:AU$93,$D2186)/$E2186</f>
        <v/>
      </c>
      <c r="AV2186" s="35">
        <f>INDEX(AV$80:AV$93,$D2186)/$E2186</f>
        <v/>
      </c>
      <c r="AW2186" s="35">
        <f>INDEX(AW$80:AW$93,$D2186)/$E2186</f>
        <v/>
      </c>
      <c r="AX2186" s="35">
        <f>INDEX(AX$80:AX$93,$D2186)/$E2186</f>
        <v/>
      </c>
      <c r="AY2186" s="35">
        <f>INDEX(AY$80:AY$93,$D2186)/$E2186</f>
        <v/>
      </c>
      <c r="AZ2186" s="35">
        <f>INDEX(AZ$80:AZ$93,$D2186)/$E2186</f>
        <v/>
      </c>
      <c r="BA2186" s="42">
        <f>NEWEXCISE(INDEX(BA$80:BA$93,$D2186),$E2186)</f>
        <v/>
      </c>
    </row>
    <row r="2187" hidden="1" outlineLevel="2">
      <c r="A2187" s="14" t="inlineStr">
        <is>
          <t>ntx</t>
        </is>
      </c>
      <c r="B2187" s="14" t="inlineStr">
        <is>
          <t>lpg</t>
        </is>
      </c>
      <c r="C2187" s="14" t="inlineStr">
        <is>
          <t>nfm</t>
        </is>
      </c>
      <c r="D2187" s="35">
        <f>INDEX(Inputs!$N$5:$N$132,MATCH($B2187&amp;"|"&amp;$C2187,Inputs!$A$5:$A$132,0))</f>
        <v/>
      </c>
      <c r="E2187" s="35">
        <f>INDEX(Inputs!$K$5:$K$132,MATCH($B2187&amp;"|"&amp;$C2187,Inputs!$A$5:$A$132,0))</f>
        <v/>
      </c>
      <c r="F2187" s="39" t="n"/>
      <c r="G2187" s="39" t="n"/>
      <c r="H2187" s="14">
        <f>INDEX(VarLab,MATCH($A2187,VarKey,0))&amp;INDEX(MemLab,MATCH($C2187&amp;"|"&amp;$B2187,MemKey,0))</f>
        <v/>
      </c>
      <c r="I2187" s="14">
        <f>INDEX(VarUnit,MATCH($A2187,VarKey,0))</f>
        <v/>
      </c>
      <c r="J2187" s="14">
        <f>INDEX(VarSrc,MATCH($A2187,VarKey,0))</f>
        <v/>
      </c>
      <c r="K2187" s="11">
        <f>CodePrefix&amp;$A2187&amp;IF($C2187="","","."&amp;$C2187&amp;"."&amp;$B2187)&amp;INDEX(VarEnd,MATCH($A2187,VarKey,0))&amp;K$5</f>
        <v/>
      </c>
      <c r="L2187" s="40">
        <f>INDEX(L$80:L$93,$D2187)/$E2187</f>
        <v/>
      </c>
      <c r="M2187" s="35">
        <f>INDEX(M$80:M$93,$D2187)/$E2187</f>
        <v/>
      </c>
      <c r="N2187" s="35">
        <f>INDEX(N$80:N$93,$D2187)/$E2187</f>
        <v/>
      </c>
      <c r="O2187" s="35">
        <f>INDEX(O$80:O$93,$D2187)/$E2187</f>
        <v/>
      </c>
      <c r="P2187" s="35">
        <f>INDEX(P$80:P$93,$D2187)/$E2187</f>
        <v/>
      </c>
      <c r="Q2187" s="35">
        <f>INDEX(Q$80:Q$93,$D2187)/$E2187</f>
        <v/>
      </c>
      <c r="R2187" s="35">
        <f>INDEX(R$80:R$93,$D2187)/$E2187</f>
        <v/>
      </c>
      <c r="S2187" s="35">
        <f>INDEX(S$80:S$93,$D2187)/$E2187</f>
        <v/>
      </c>
      <c r="T2187" s="35">
        <f>INDEX(T$80:T$93,$D2187)/$E2187</f>
        <v/>
      </c>
      <c r="U2187" s="35">
        <f>INDEX(U$80:U$93,$D2187)/$E2187</f>
        <v/>
      </c>
      <c r="V2187" s="35">
        <f>INDEX(V$80:V$93,$D2187)/$E2187</f>
        <v/>
      </c>
      <c r="W2187" s="35">
        <f>INDEX(W$80:W$93,$D2187)/$E2187</f>
        <v/>
      </c>
      <c r="X2187" s="35">
        <f>INDEX(X$80:X$93,$D2187)/$E2187</f>
        <v/>
      </c>
      <c r="Y2187" s="35">
        <f>INDEX(Y$80:Y$93,$D2187)/$E2187</f>
        <v/>
      </c>
      <c r="Z2187" s="35">
        <f>INDEX(Z$80:Z$93,$D2187)/$E2187</f>
        <v/>
      </c>
      <c r="AA2187" s="35">
        <f>INDEX(AA$80:AA$93,$D2187)/$E2187</f>
        <v/>
      </c>
      <c r="AB2187" s="35">
        <f>INDEX(AB$80:AB$93,$D2187)/$E2187</f>
        <v/>
      </c>
      <c r="AC2187" s="35">
        <f>INDEX(AC$80:AC$93,$D2187)/$E2187</f>
        <v/>
      </c>
      <c r="AD2187" s="35">
        <f>INDEX(AD$80:AD$93,$D2187)/$E2187</f>
        <v/>
      </c>
      <c r="AE2187" s="42">
        <f>NEWEXCISE(INDEX(AE$80:AE$93,$D2187),$E2187)</f>
        <v/>
      </c>
      <c r="AG2187" s="11">
        <f>CodePrefix&amp;$A2187&amp;IF($C2187="","","."&amp;$C2187&amp;"."&amp;$B2187)&amp;INDEX(VarEnd,MATCH($A2187,VarKey,0))&amp;AG$5</f>
        <v/>
      </c>
      <c r="AH2187" s="40">
        <f>INDEX(AH$80:AH$93,$D2187)/$E2187</f>
        <v/>
      </c>
      <c r="AI2187" s="35">
        <f>INDEX(AI$80:AI$93,$D2187)/$E2187</f>
        <v/>
      </c>
      <c r="AJ2187" s="35">
        <f>INDEX(AJ$80:AJ$93,$D2187)/$E2187</f>
        <v/>
      </c>
      <c r="AK2187" s="35">
        <f>INDEX(AK$80:AK$93,$D2187)/$E2187</f>
        <v/>
      </c>
      <c r="AL2187" s="35">
        <f>INDEX(AL$80:AL$93,$D2187)/$E2187</f>
        <v/>
      </c>
      <c r="AM2187" s="35">
        <f>INDEX(AM$80:AM$93,$D2187)/$E2187</f>
        <v/>
      </c>
      <c r="AN2187" s="35">
        <f>INDEX(AN$80:AN$93,$D2187)/$E2187</f>
        <v/>
      </c>
      <c r="AO2187" s="35">
        <f>INDEX(AO$80:AO$93,$D2187)/$E2187</f>
        <v/>
      </c>
      <c r="AP2187" s="35">
        <f>INDEX(AP$80:AP$93,$D2187)/$E2187</f>
        <v/>
      </c>
      <c r="AQ2187" s="35">
        <f>INDEX(AQ$80:AQ$93,$D2187)/$E2187</f>
        <v/>
      </c>
      <c r="AR2187" s="35">
        <f>INDEX(AR$80:AR$93,$D2187)/$E2187</f>
        <v/>
      </c>
      <c r="AS2187" s="35">
        <f>INDEX(AS$80:AS$93,$D2187)/$E2187</f>
        <v/>
      </c>
      <c r="AT2187" s="35">
        <f>INDEX(AT$80:AT$93,$D2187)/$E2187</f>
        <v/>
      </c>
      <c r="AU2187" s="35">
        <f>INDEX(AU$80:AU$93,$D2187)/$E2187</f>
        <v/>
      </c>
      <c r="AV2187" s="35">
        <f>INDEX(AV$80:AV$93,$D2187)/$E2187</f>
        <v/>
      </c>
      <c r="AW2187" s="35">
        <f>INDEX(AW$80:AW$93,$D2187)/$E2187</f>
        <v/>
      </c>
      <c r="AX2187" s="35">
        <f>INDEX(AX$80:AX$93,$D2187)/$E2187</f>
        <v/>
      </c>
      <c r="AY2187" s="35">
        <f>INDEX(AY$80:AY$93,$D2187)/$E2187</f>
        <v/>
      </c>
      <c r="AZ2187" s="35">
        <f>INDEX(AZ$80:AZ$93,$D2187)/$E2187</f>
        <v/>
      </c>
      <c r="BA2187" s="42">
        <f>NEWEXCISE(INDEX(BA$80:BA$93,$D2187),$E2187)</f>
        <v/>
      </c>
    </row>
    <row r="2188" hidden="1" outlineLevel="2">
      <c r="A2188" s="14" t="inlineStr">
        <is>
          <t>ntx</t>
        </is>
      </c>
      <c r="B2188" s="14" t="inlineStr">
        <is>
          <t>ker</t>
        </is>
      </c>
      <c r="C2188" s="14" t="inlineStr">
        <is>
          <t>nfm</t>
        </is>
      </c>
      <c r="D2188" s="35">
        <f>INDEX(Inputs!$N$5:$N$132,MATCH($B2188&amp;"|"&amp;$C2188,Inputs!$A$5:$A$132,0))</f>
        <v/>
      </c>
      <c r="E2188" s="35">
        <f>INDEX(Inputs!$K$5:$K$132,MATCH($B2188&amp;"|"&amp;$C2188,Inputs!$A$5:$A$132,0))</f>
        <v/>
      </c>
      <c r="F2188" s="39" t="n"/>
      <c r="G2188" s="39" t="n"/>
      <c r="H2188" s="14">
        <f>INDEX(VarLab,MATCH($A2188,VarKey,0))&amp;INDEX(MemLab,MATCH($C2188&amp;"|"&amp;$B2188,MemKey,0))</f>
        <v/>
      </c>
      <c r="I2188" s="14">
        <f>INDEX(VarUnit,MATCH($A2188,VarKey,0))</f>
        <v/>
      </c>
      <c r="J2188" s="14">
        <f>INDEX(VarSrc,MATCH($A2188,VarKey,0))</f>
        <v/>
      </c>
      <c r="K2188" s="11">
        <f>CodePrefix&amp;$A2188&amp;IF($C2188="","","."&amp;$C2188&amp;"."&amp;$B2188)&amp;INDEX(VarEnd,MATCH($A2188,VarKey,0))&amp;K$5</f>
        <v/>
      </c>
      <c r="L2188" s="40">
        <f>INDEX(L$80:L$93,$D2188)/$E2188</f>
        <v/>
      </c>
      <c r="M2188" s="35">
        <f>INDEX(M$80:M$93,$D2188)/$E2188</f>
        <v/>
      </c>
      <c r="N2188" s="35">
        <f>INDEX(N$80:N$93,$D2188)/$E2188</f>
        <v/>
      </c>
      <c r="O2188" s="35">
        <f>INDEX(O$80:O$93,$D2188)/$E2188</f>
        <v/>
      </c>
      <c r="P2188" s="35">
        <f>INDEX(P$80:P$93,$D2188)/$E2188</f>
        <v/>
      </c>
      <c r="Q2188" s="35">
        <f>INDEX(Q$80:Q$93,$D2188)/$E2188</f>
        <v/>
      </c>
      <c r="R2188" s="35">
        <f>INDEX(R$80:R$93,$D2188)/$E2188</f>
        <v/>
      </c>
      <c r="S2188" s="35">
        <f>INDEX(S$80:S$93,$D2188)/$E2188</f>
        <v/>
      </c>
      <c r="T2188" s="35">
        <f>INDEX(T$80:T$93,$D2188)/$E2188</f>
        <v/>
      </c>
      <c r="U2188" s="35">
        <f>INDEX(U$80:U$93,$D2188)/$E2188</f>
        <v/>
      </c>
      <c r="V2188" s="35">
        <f>INDEX(V$80:V$93,$D2188)/$E2188</f>
        <v/>
      </c>
      <c r="W2188" s="35">
        <f>INDEX(W$80:W$93,$D2188)/$E2188</f>
        <v/>
      </c>
      <c r="X2188" s="35">
        <f>INDEX(X$80:X$93,$D2188)/$E2188</f>
        <v/>
      </c>
      <c r="Y2188" s="35">
        <f>INDEX(Y$80:Y$93,$D2188)/$E2188</f>
        <v/>
      </c>
      <c r="Z2188" s="35">
        <f>INDEX(Z$80:Z$93,$D2188)/$E2188</f>
        <v/>
      </c>
      <c r="AA2188" s="35">
        <f>INDEX(AA$80:AA$93,$D2188)/$E2188</f>
        <v/>
      </c>
      <c r="AB2188" s="35">
        <f>INDEX(AB$80:AB$93,$D2188)/$E2188</f>
        <v/>
      </c>
      <c r="AC2188" s="35">
        <f>INDEX(AC$80:AC$93,$D2188)/$E2188</f>
        <v/>
      </c>
      <c r="AD2188" s="35">
        <f>INDEX(AD$80:AD$93,$D2188)/$E2188</f>
        <v/>
      </c>
      <c r="AE2188" s="42">
        <f>NEWEXCISE(INDEX(AE$80:AE$93,$D2188),$E2188)</f>
        <v/>
      </c>
      <c r="AG2188" s="11">
        <f>CodePrefix&amp;$A2188&amp;IF($C2188="","","."&amp;$C2188&amp;"."&amp;$B2188)&amp;INDEX(VarEnd,MATCH($A2188,VarKey,0))&amp;AG$5</f>
        <v/>
      </c>
      <c r="AH2188" s="40">
        <f>INDEX(AH$80:AH$93,$D2188)/$E2188</f>
        <v/>
      </c>
      <c r="AI2188" s="35">
        <f>INDEX(AI$80:AI$93,$D2188)/$E2188</f>
        <v/>
      </c>
      <c r="AJ2188" s="35">
        <f>INDEX(AJ$80:AJ$93,$D2188)/$E2188</f>
        <v/>
      </c>
      <c r="AK2188" s="35">
        <f>INDEX(AK$80:AK$93,$D2188)/$E2188</f>
        <v/>
      </c>
      <c r="AL2188" s="35">
        <f>INDEX(AL$80:AL$93,$D2188)/$E2188</f>
        <v/>
      </c>
      <c r="AM2188" s="35">
        <f>INDEX(AM$80:AM$93,$D2188)/$E2188</f>
        <v/>
      </c>
      <c r="AN2188" s="35">
        <f>INDEX(AN$80:AN$93,$D2188)/$E2188</f>
        <v/>
      </c>
      <c r="AO2188" s="35">
        <f>INDEX(AO$80:AO$93,$D2188)/$E2188</f>
        <v/>
      </c>
      <c r="AP2188" s="35">
        <f>INDEX(AP$80:AP$93,$D2188)/$E2188</f>
        <v/>
      </c>
      <c r="AQ2188" s="35">
        <f>INDEX(AQ$80:AQ$93,$D2188)/$E2188</f>
        <v/>
      </c>
      <c r="AR2188" s="35">
        <f>INDEX(AR$80:AR$93,$D2188)/$E2188</f>
        <v/>
      </c>
      <c r="AS2188" s="35">
        <f>INDEX(AS$80:AS$93,$D2188)/$E2188</f>
        <v/>
      </c>
      <c r="AT2188" s="35">
        <f>INDEX(AT$80:AT$93,$D2188)/$E2188</f>
        <v/>
      </c>
      <c r="AU2188" s="35">
        <f>INDEX(AU$80:AU$93,$D2188)/$E2188</f>
        <v/>
      </c>
      <c r="AV2188" s="35">
        <f>INDEX(AV$80:AV$93,$D2188)/$E2188</f>
        <v/>
      </c>
      <c r="AW2188" s="35">
        <f>INDEX(AW$80:AW$93,$D2188)/$E2188</f>
        <v/>
      </c>
      <c r="AX2188" s="35">
        <f>INDEX(AX$80:AX$93,$D2188)/$E2188</f>
        <v/>
      </c>
      <c r="AY2188" s="35">
        <f>INDEX(AY$80:AY$93,$D2188)/$E2188</f>
        <v/>
      </c>
      <c r="AZ2188" s="35">
        <f>INDEX(AZ$80:AZ$93,$D2188)/$E2188</f>
        <v/>
      </c>
      <c r="BA2188" s="42">
        <f>NEWEXCISE(INDEX(BA$80:BA$93,$D2188),$E2188)</f>
        <v/>
      </c>
    </row>
    <row r="2189" hidden="1" outlineLevel="2">
      <c r="A2189" s="14" t="inlineStr">
        <is>
          <t>ntx</t>
        </is>
      </c>
      <c r="B2189" s="14" t="inlineStr">
        <is>
          <t>oop</t>
        </is>
      </c>
      <c r="C2189" s="14" t="inlineStr">
        <is>
          <t>nfm</t>
        </is>
      </c>
      <c r="D2189" s="35">
        <f>INDEX(Inputs!$N$5:$N$132,MATCH($B2189&amp;"|"&amp;$C2189,Inputs!$A$5:$A$132,0))</f>
        <v/>
      </c>
      <c r="E2189" s="35">
        <f>INDEX(Inputs!$K$5:$K$132,MATCH($B2189&amp;"|"&amp;$C2189,Inputs!$A$5:$A$132,0))</f>
        <v/>
      </c>
      <c r="F2189" s="39" t="n"/>
      <c r="G2189" s="39" t="n"/>
      <c r="H2189" s="14">
        <f>INDEX(VarLab,MATCH($A2189,VarKey,0))&amp;INDEX(MemLab,MATCH($C2189&amp;"|"&amp;$B2189,MemKey,0))</f>
        <v/>
      </c>
      <c r="I2189" s="14">
        <f>INDEX(VarUnit,MATCH($A2189,VarKey,0))</f>
        <v/>
      </c>
      <c r="J2189" s="14">
        <f>INDEX(VarSrc,MATCH($A2189,VarKey,0))</f>
        <v/>
      </c>
      <c r="K2189" s="11">
        <f>CodePrefix&amp;$A2189&amp;IF($C2189="","","."&amp;$C2189&amp;"."&amp;$B2189)&amp;INDEX(VarEnd,MATCH($A2189,VarKey,0))&amp;K$5</f>
        <v/>
      </c>
      <c r="L2189" s="40">
        <f>INDEX(L$80:L$93,$D2189)/$E2189</f>
        <v/>
      </c>
      <c r="M2189" s="35">
        <f>INDEX(M$80:M$93,$D2189)/$E2189</f>
        <v/>
      </c>
      <c r="N2189" s="35">
        <f>INDEX(N$80:N$93,$D2189)/$E2189</f>
        <v/>
      </c>
      <c r="O2189" s="35">
        <f>INDEX(O$80:O$93,$D2189)/$E2189</f>
        <v/>
      </c>
      <c r="P2189" s="35">
        <f>INDEX(P$80:P$93,$D2189)/$E2189</f>
        <v/>
      </c>
      <c r="Q2189" s="35">
        <f>INDEX(Q$80:Q$93,$D2189)/$E2189</f>
        <v/>
      </c>
      <c r="R2189" s="35">
        <f>INDEX(R$80:R$93,$D2189)/$E2189</f>
        <v/>
      </c>
      <c r="S2189" s="35">
        <f>INDEX(S$80:S$93,$D2189)/$E2189</f>
        <v/>
      </c>
      <c r="T2189" s="35">
        <f>INDEX(T$80:T$93,$D2189)/$E2189</f>
        <v/>
      </c>
      <c r="U2189" s="35">
        <f>INDEX(U$80:U$93,$D2189)/$E2189</f>
        <v/>
      </c>
      <c r="V2189" s="35">
        <f>INDEX(V$80:V$93,$D2189)/$E2189</f>
        <v/>
      </c>
      <c r="W2189" s="35">
        <f>INDEX(W$80:W$93,$D2189)/$E2189</f>
        <v/>
      </c>
      <c r="X2189" s="35">
        <f>INDEX(X$80:X$93,$D2189)/$E2189</f>
        <v/>
      </c>
      <c r="Y2189" s="35">
        <f>INDEX(Y$80:Y$93,$D2189)/$E2189</f>
        <v/>
      </c>
      <c r="Z2189" s="35">
        <f>INDEX(Z$80:Z$93,$D2189)/$E2189</f>
        <v/>
      </c>
      <c r="AA2189" s="35">
        <f>INDEX(AA$80:AA$93,$D2189)/$E2189</f>
        <v/>
      </c>
      <c r="AB2189" s="35">
        <f>INDEX(AB$80:AB$93,$D2189)/$E2189</f>
        <v/>
      </c>
      <c r="AC2189" s="35">
        <f>INDEX(AC$80:AC$93,$D2189)/$E2189</f>
        <v/>
      </c>
      <c r="AD2189" s="35">
        <f>INDEX(AD$80:AD$93,$D2189)/$E2189</f>
        <v/>
      </c>
      <c r="AE2189" s="42">
        <f>NEWEXCISE(INDEX(AE$80:AE$93,$D2189),$E2189)</f>
        <v/>
      </c>
      <c r="AG2189" s="11">
        <f>CodePrefix&amp;$A2189&amp;IF($C2189="","","."&amp;$C2189&amp;"."&amp;$B2189)&amp;INDEX(VarEnd,MATCH($A2189,VarKey,0))&amp;AG$5</f>
        <v/>
      </c>
      <c r="AH2189" s="40">
        <f>INDEX(AH$80:AH$93,$D2189)/$E2189</f>
        <v/>
      </c>
      <c r="AI2189" s="35">
        <f>INDEX(AI$80:AI$93,$D2189)/$E2189</f>
        <v/>
      </c>
      <c r="AJ2189" s="35">
        <f>INDEX(AJ$80:AJ$93,$D2189)/$E2189</f>
        <v/>
      </c>
      <c r="AK2189" s="35">
        <f>INDEX(AK$80:AK$93,$D2189)/$E2189</f>
        <v/>
      </c>
      <c r="AL2189" s="35">
        <f>INDEX(AL$80:AL$93,$D2189)/$E2189</f>
        <v/>
      </c>
      <c r="AM2189" s="35">
        <f>INDEX(AM$80:AM$93,$D2189)/$E2189</f>
        <v/>
      </c>
      <c r="AN2189" s="35">
        <f>INDEX(AN$80:AN$93,$D2189)/$E2189</f>
        <v/>
      </c>
      <c r="AO2189" s="35">
        <f>INDEX(AO$80:AO$93,$D2189)/$E2189</f>
        <v/>
      </c>
      <c r="AP2189" s="35">
        <f>INDEX(AP$80:AP$93,$D2189)/$E2189</f>
        <v/>
      </c>
      <c r="AQ2189" s="35">
        <f>INDEX(AQ$80:AQ$93,$D2189)/$E2189</f>
        <v/>
      </c>
      <c r="AR2189" s="35">
        <f>INDEX(AR$80:AR$93,$D2189)/$E2189</f>
        <v/>
      </c>
      <c r="AS2189" s="35">
        <f>INDEX(AS$80:AS$93,$D2189)/$E2189</f>
        <v/>
      </c>
      <c r="AT2189" s="35">
        <f>INDEX(AT$80:AT$93,$D2189)/$E2189</f>
        <v/>
      </c>
      <c r="AU2189" s="35">
        <f>INDEX(AU$80:AU$93,$D2189)/$E2189</f>
        <v/>
      </c>
      <c r="AV2189" s="35">
        <f>INDEX(AV$80:AV$93,$D2189)/$E2189</f>
        <v/>
      </c>
      <c r="AW2189" s="35">
        <f>INDEX(AW$80:AW$93,$D2189)/$E2189</f>
        <v/>
      </c>
      <c r="AX2189" s="35">
        <f>INDEX(AX$80:AX$93,$D2189)/$E2189</f>
        <v/>
      </c>
      <c r="AY2189" s="35">
        <f>INDEX(AY$80:AY$93,$D2189)/$E2189</f>
        <v/>
      </c>
      <c r="AZ2189" s="35">
        <f>INDEX(AZ$80:AZ$93,$D2189)/$E2189</f>
        <v/>
      </c>
      <c r="BA2189" s="42">
        <f>NEWEXCISE(INDEX(BA$80:BA$93,$D2189),$E2189)</f>
        <v/>
      </c>
    </row>
    <row r="2190" hidden="1" outlineLevel="2">
      <c r="A2190" s="14" t="inlineStr">
        <is>
          <t>ntx</t>
        </is>
      </c>
      <c r="B2190" s="14" t="inlineStr">
        <is>
          <t>bio</t>
        </is>
      </c>
      <c r="C2190" s="14" t="inlineStr">
        <is>
          <t>nfm</t>
        </is>
      </c>
      <c r="D2190" s="35">
        <f>INDEX(Inputs!$N$5:$N$132,MATCH($B2190&amp;"|"&amp;$C2190,Inputs!$A$5:$A$132,0))</f>
        <v/>
      </c>
      <c r="E2190" s="35">
        <f>INDEX(Inputs!$K$5:$K$132,MATCH($B2190&amp;"|"&amp;$C2190,Inputs!$A$5:$A$132,0))</f>
        <v/>
      </c>
      <c r="F2190" s="39" t="n"/>
      <c r="G2190" s="39" t="n"/>
      <c r="H2190" s="14">
        <f>INDEX(VarLab,MATCH($A2190,VarKey,0))&amp;INDEX(MemLab,MATCH($C2190&amp;"|"&amp;$B2190,MemKey,0))</f>
        <v/>
      </c>
      <c r="I2190" s="14">
        <f>INDEX(VarUnit,MATCH($A2190,VarKey,0))</f>
        <v/>
      </c>
      <c r="J2190" s="14">
        <f>INDEX(VarSrc,MATCH($A2190,VarKey,0))</f>
        <v/>
      </c>
      <c r="K2190" s="11">
        <f>CodePrefix&amp;$A2190&amp;IF($C2190="","","."&amp;$C2190&amp;"."&amp;$B2190)&amp;INDEX(VarEnd,MATCH($A2190,VarKey,0))&amp;K$5</f>
        <v/>
      </c>
      <c r="L2190" s="40">
        <f>INDEX(L$80:L$93,$D2190)/$E2190</f>
        <v/>
      </c>
      <c r="M2190" s="35">
        <f>INDEX(M$80:M$93,$D2190)/$E2190</f>
        <v/>
      </c>
      <c r="N2190" s="35">
        <f>INDEX(N$80:N$93,$D2190)/$E2190</f>
        <v/>
      </c>
      <c r="O2190" s="35">
        <f>INDEX(O$80:O$93,$D2190)/$E2190</f>
        <v/>
      </c>
      <c r="P2190" s="35">
        <f>INDEX(P$80:P$93,$D2190)/$E2190</f>
        <v/>
      </c>
      <c r="Q2190" s="35">
        <f>INDEX(Q$80:Q$93,$D2190)/$E2190</f>
        <v/>
      </c>
      <c r="R2190" s="35">
        <f>INDEX(R$80:R$93,$D2190)/$E2190</f>
        <v/>
      </c>
      <c r="S2190" s="35">
        <f>INDEX(S$80:S$93,$D2190)/$E2190</f>
        <v/>
      </c>
      <c r="T2190" s="35">
        <f>INDEX(T$80:T$93,$D2190)/$E2190</f>
        <v/>
      </c>
      <c r="U2190" s="35">
        <f>INDEX(U$80:U$93,$D2190)/$E2190</f>
        <v/>
      </c>
      <c r="V2190" s="35">
        <f>INDEX(V$80:V$93,$D2190)/$E2190</f>
        <v/>
      </c>
      <c r="W2190" s="35">
        <f>INDEX(W$80:W$93,$D2190)/$E2190</f>
        <v/>
      </c>
      <c r="X2190" s="35">
        <f>INDEX(X$80:X$93,$D2190)/$E2190</f>
        <v/>
      </c>
      <c r="Y2190" s="35">
        <f>INDEX(Y$80:Y$93,$D2190)/$E2190</f>
        <v/>
      </c>
      <c r="Z2190" s="35">
        <f>INDEX(Z$80:Z$93,$D2190)/$E2190</f>
        <v/>
      </c>
      <c r="AA2190" s="35">
        <f>INDEX(AA$80:AA$93,$D2190)/$E2190</f>
        <v/>
      </c>
      <c r="AB2190" s="35">
        <f>INDEX(AB$80:AB$93,$D2190)/$E2190</f>
        <v/>
      </c>
      <c r="AC2190" s="35">
        <f>INDEX(AC$80:AC$93,$D2190)/$E2190</f>
        <v/>
      </c>
      <c r="AD2190" s="35">
        <f>INDEX(AD$80:AD$93,$D2190)/$E2190</f>
        <v/>
      </c>
      <c r="AE2190" s="42">
        <f>NEWEXCISE(INDEX(AE$80:AE$93,$D2190),$E2190)</f>
        <v/>
      </c>
      <c r="AG2190" s="11">
        <f>CodePrefix&amp;$A2190&amp;IF($C2190="","","."&amp;$C2190&amp;"."&amp;$B2190)&amp;INDEX(VarEnd,MATCH($A2190,VarKey,0))&amp;AG$5</f>
        <v/>
      </c>
      <c r="AH2190" s="40">
        <f>INDEX(AH$80:AH$93,$D2190)/$E2190</f>
        <v/>
      </c>
      <c r="AI2190" s="35">
        <f>INDEX(AI$80:AI$93,$D2190)/$E2190</f>
        <v/>
      </c>
      <c r="AJ2190" s="35">
        <f>INDEX(AJ$80:AJ$93,$D2190)/$E2190</f>
        <v/>
      </c>
      <c r="AK2190" s="35">
        <f>INDEX(AK$80:AK$93,$D2190)/$E2190</f>
        <v/>
      </c>
      <c r="AL2190" s="35">
        <f>INDEX(AL$80:AL$93,$D2190)/$E2190</f>
        <v/>
      </c>
      <c r="AM2190" s="35">
        <f>INDEX(AM$80:AM$93,$D2190)/$E2190</f>
        <v/>
      </c>
      <c r="AN2190" s="35">
        <f>INDEX(AN$80:AN$93,$D2190)/$E2190</f>
        <v/>
      </c>
      <c r="AO2190" s="35">
        <f>INDEX(AO$80:AO$93,$D2190)/$E2190</f>
        <v/>
      </c>
      <c r="AP2190" s="35">
        <f>INDEX(AP$80:AP$93,$D2190)/$E2190</f>
        <v/>
      </c>
      <c r="AQ2190" s="35">
        <f>INDEX(AQ$80:AQ$93,$D2190)/$E2190</f>
        <v/>
      </c>
      <c r="AR2190" s="35">
        <f>INDEX(AR$80:AR$93,$D2190)/$E2190</f>
        <v/>
      </c>
      <c r="AS2190" s="35">
        <f>INDEX(AS$80:AS$93,$D2190)/$E2190</f>
        <v/>
      </c>
      <c r="AT2190" s="35">
        <f>INDEX(AT$80:AT$93,$D2190)/$E2190</f>
        <v/>
      </c>
      <c r="AU2190" s="35">
        <f>INDEX(AU$80:AU$93,$D2190)/$E2190</f>
        <v/>
      </c>
      <c r="AV2190" s="35">
        <f>INDEX(AV$80:AV$93,$D2190)/$E2190</f>
        <v/>
      </c>
      <c r="AW2190" s="35">
        <f>INDEX(AW$80:AW$93,$D2190)/$E2190</f>
        <v/>
      </c>
      <c r="AX2190" s="35">
        <f>INDEX(AX$80:AX$93,$D2190)/$E2190</f>
        <v/>
      </c>
      <c r="AY2190" s="35">
        <f>INDEX(AY$80:AY$93,$D2190)/$E2190</f>
        <v/>
      </c>
      <c r="AZ2190" s="35">
        <f>INDEX(AZ$80:AZ$93,$D2190)/$E2190</f>
        <v/>
      </c>
      <c r="BA2190" s="42">
        <f>NEWEXCISE(INDEX(BA$80:BA$93,$D2190),$E2190)</f>
        <v/>
      </c>
    </row>
    <row r="2191" hidden="1" outlineLevel="2"/>
    <row r="2192" hidden="1" outlineLevel="2">
      <c r="A2192" s="14" t="inlineStr">
        <is>
          <t>nce</t>
        </is>
      </c>
      <c r="B2192" s="14" t="inlineStr">
        <is>
          <t>coa</t>
        </is>
      </c>
      <c r="C2192" s="14" t="inlineStr">
        <is>
          <t>nfm</t>
        </is>
      </c>
      <c r="D2192" s="39" t="n"/>
      <c r="E2192" s="39" t="n"/>
      <c r="F2192" s="39" t="n"/>
      <c r="G2192" s="39" t="n"/>
      <c r="H2192" s="14">
        <f>INDEX(VarLab,MATCH($A2192,VarKey,0))&amp;INDEX(MemLab,MATCH($C2192&amp;"|"&amp;$B2192,MemKey,0))</f>
        <v/>
      </c>
      <c r="I2192" s="14">
        <f>INDEX(VarUnit,MATCH($A2192,VarKey,0))</f>
        <v/>
      </c>
      <c r="J2192" s="14">
        <f>INDEX(VarSrc,MATCH($A2192,VarKey,0))</f>
        <v/>
      </c>
      <c r="K2192" s="11">
        <f>CodePrefix&amp;$A2192&amp;IF($C2192="","","."&amp;$C2192&amp;"."&amp;$B2192)&amp;INDEX(VarEnd,MATCH($A2192,VarKey,0))&amp;K$5</f>
        <v/>
      </c>
      <c r="L2192" s="40">
        <f>L2165+L2174+L2183</f>
        <v/>
      </c>
      <c r="M2192" s="35">
        <f>M2165+M2174+M2183</f>
        <v/>
      </c>
      <c r="N2192" s="35">
        <f>N2165+N2174+N2183</f>
        <v/>
      </c>
      <c r="O2192" s="35">
        <f>O2165+O2174+O2183</f>
        <v/>
      </c>
      <c r="P2192" s="35">
        <f>P2165+P2174+P2183</f>
        <v/>
      </c>
      <c r="Q2192" s="35">
        <f>Q2165+Q2174+Q2183</f>
        <v/>
      </c>
      <c r="R2192" s="35">
        <f>R2165+R2174+R2183</f>
        <v/>
      </c>
      <c r="S2192" s="35">
        <f>S2165+S2174+S2183</f>
        <v/>
      </c>
      <c r="T2192" s="35">
        <f>T2165+T2174+T2183</f>
        <v/>
      </c>
      <c r="U2192" s="35">
        <f>U2165+U2174+U2183</f>
        <v/>
      </c>
      <c r="V2192" s="35">
        <f>V2165+V2174+V2183</f>
        <v/>
      </c>
      <c r="W2192" s="35">
        <f>W2165+W2174+W2183</f>
        <v/>
      </c>
      <c r="X2192" s="35">
        <f>X2165+X2174+X2183</f>
        <v/>
      </c>
      <c r="Y2192" s="35">
        <f>Y2165+Y2174+Y2183</f>
        <v/>
      </c>
      <c r="Z2192" s="35">
        <f>Z2165+Z2174+Z2183</f>
        <v/>
      </c>
      <c r="AA2192" s="35">
        <f>AA2165+AA2174+AA2183</f>
        <v/>
      </c>
      <c r="AB2192" s="35">
        <f>AB2165+AB2174+AB2183</f>
        <v/>
      </c>
      <c r="AC2192" s="35">
        <f>AC2165+AC2174+AC2183</f>
        <v/>
      </c>
      <c r="AD2192" s="35">
        <f>AD2165+AD2174+AD2183</f>
        <v/>
      </c>
      <c r="AE2192" s="42">
        <f>NEWPOLICY(AE2165,AE2174,AE2183)</f>
        <v/>
      </c>
      <c r="AG2192" s="11">
        <f>CodePrefix&amp;$A2192&amp;IF($C2192="","","."&amp;$C2192&amp;"."&amp;$B2192)&amp;INDEX(VarEnd,MATCH($A2192,VarKey,0))&amp;AG$5</f>
        <v/>
      </c>
      <c r="AH2192" s="40">
        <f>AH2165+AH2174+AH2183</f>
        <v/>
      </c>
      <c r="AI2192" s="35">
        <f>AI2165+AI2174+AI2183</f>
        <v/>
      </c>
      <c r="AJ2192" s="35">
        <f>AJ2165+AJ2174+AJ2183</f>
        <v/>
      </c>
      <c r="AK2192" s="35">
        <f>AK2165+AK2174+AK2183</f>
        <v/>
      </c>
      <c r="AL2192" s="35">
        <f>AL2165+AL2174+AL2183</f>
        <v/>
      </c>
      <c r="AM2192" s="35">
        <f>AM2165+AM2174+AM2183</f>
        <v/>
      </c>
      <c r="AN2192" s="35">
        <f>AN2165+AN2174+AN2183</f>
        <v/>
      </c>
      <c r="AO2192" s="35">
        <f>AO2165+AO2174+AO2183</f>
        <v/>
      </c>
      <c r="AP2192" s="35">
        <f>AP2165+AP2174+AP2183</f>
        <v/>
      </c>
      <c r="AQ2192" s="35">
        <f>AQ2165+AQ2174+AQ2183</f>
        <v/>
      </c>
      <c r="AR2192" s="35">
        <f>AR2165+AR2174+AR2183</f>
        <v/>
      </c>
      <c r="AS2192" s="35">
        <f>AS2165+AS2174+AS2183</f>
        <v/>
      </c>
      <c r="AT2192" s="35">
        <f>AT2165+AT2174+AT2183</f>
        <v/>
      </c>
      <c r="AU2192" s="35">
        <f>AU2165+AU2174+AU2183</f>
        <v/>
      </c>
      <c r="AV2192" s="35">
        <f>AV2165+AV2174+AV2183</f>
        <v/>
      </c>
      <c r="AW2192" s="35">
        <f>AW2165+AW2174+AW2183</f>
        <v/>
      </c>
      <c r="AX2192" s="35">
        <f>AX2165+AX2174+AX2183</f>
        <v/>
      </c>
      <c r="AY2192" s="35">
        <f>AY2165+AY2174+AY2183</f>
        <v/>
      </c>
      <c r="AZ2192" s="35">
        <f>AZ2165+AZ2174+AZ2183</f>
        <v/>
      </c>
      <c r="BA2192" s="42">
        <f>NEWPOLICY(BA2165,BA2174,BA2183)</f>
        <v/>
      </c>
    </row>
    <row r="2193" hidden="1" outlineLevel="2">
      <c r="A2193" s="14" t="inlineStr">
        <is>
          <t>nce</t>
        </is>
      </c>
      <c r="B2193" s="14" t="inlineStr">
        <is>
          <t>nga</t>
        </is>
      </c>
      <c r="C2193" s="14" t="inlineStr">
        <is>
          <t>nfm</t>
        </is>
      </c>
      <c r="D2193" s="39" t="n"/>
      <c r="E2193" s="39" t="n"/>
      <c r="F2193" s="39" t="n"/>
      <c r="G2193" s="39" t="n"/>
      <c r="H2193" s="14">
        <f>INDEX(VarLab,MATCH($A2193,VarKey,0))&amp;INDEX(MemLab,MATCH($C2193&amp;"|"&amp;$B2193,MemKey,0))</f>
        <v/>
      </c>
      <c r="I2193" s="14">
        <f>INDEX(VarUnit,MATCH($A2193,VarKey,0))</f>
        <v/>
      </c>
      <c r="J2193" s="14">
        <f>INDEX(VarSrc,MATCH($A2193,VarKey,0))</f>
        <v/>
      </c>
      <c r="K2193" s="11">
        <f>CodePrefix&amp;$A2193&amp;IF($C2193="","","."&amp;$C2193&amp;"."&amp;$B2193)&amp;INDEX(VarEnd,MATCH($A2193,VarKey,0))&amp;K$5</f>
        <v/>
      </c>
      <c r="L2193" s="40">
        <f>L2166+L2175+L2184</f>
        <v/>
      </c>
      <c r="M2193" s="35">
        <f>M2166+M2175+M2184</f>
        <v/>
      </c>
      <c r="N2193" s="35">
        <f>N2166+N2175+N2184</f>
        <v/>
      </c>
      <c r="O2193" s="35">
        <f>O2166+O2175+O2184</f>
        <v/>
      </c>
      <c r="P2193" s="35">
        <f>P2166+P2175+P2184</f>
        <v/>
      </c>
      <c r="Q2193" s="35">
        <f>Q2166+Q2175+Q2184</f>
        <v/>
      </c>
      <c r="R2193" s="35">
        <f>R2166+R2175+R2184</f>
        <v/>
      </c>
      <c r="S2193" s="35">
        <f>S2166+S2175+S2184</f>
        <v/>
      </c>
      <c r="T2193" s="35">
        <f>T2166+T2175+T2184</f>
        <v/>
      </c>
      <c r="U2193" s="35">
        <f>U2166+U2175+U2184</f>
        <v/>
      </c>
      <c r="V2193" s="35">
        <f>V2166+V2175+V2184</f>
        <v/>
      </c>
      <c r="W2193" s="35">
        <f>W2166+W2175+W2184</f>
        <v/>
      </c>
      <c r="X2193" s="35">
        <f>X2166+X2175+X2184</f>
        <v/>
      </c>
      <c r="Y2193" s="35">
        <f>Y2166+Y2175+Y2184</f>
        <v/>
      </c>
      <c r="Z2193" s="35">
        <f>Z2166+Z2175+Z2184</f>
        <v/>
      </c>
      <c r="AA2193" s="35">
        <f>AA2166+AA2175+AA2184</f>
        <v/>
      </c>
      <c r="AB2193" s="35">
        <f>AB2166+AB2175+AB2184</f>
        <v/>
      </c>
      <c r="AC2193" s="35">
        <f>AC2166+AC2175+AC2184</f>
        <v/>
      </c>
      <c r="AD2193" s="35">
        <f>AD2166+AD2175+AD2184</f>
        <v/>
      </c>
      <c r="AE2193" s="42">
        <f>NEWPOLICY(AE2166,AE2175,AE2184)</f>
        <v/>
      </c>
      <c r="AG2193" s="11">
        <f>CodePrefix&amp;$A2193&amp;IF($C2193="","","."&amp;$C2193&amp;"."&amp;$B2193)&amp;INDEX(VarEnd,MATCH($A2193,VarKey,0))&amp;AG$5</f>
        <v/>
      </c>
      <c r="AH2193" s="40">
        <f>AH2166+AH2175+AH2184</f>
        <v/>
      </c>
      <c r="AI2193" s="35">
        <f>AI2166+AI2175+AI2184</f>
        <v/>
      </c>
      <c r="AJ2193" s="35">
        <f>AJ2166+AJ2175+AJ2184</f>
        <v/>
      </c>
      <c r="AK2193" s="35">
        <f>AK2166+AK2175+AK2184</f>
        <v/>
      </c>
      <c r="AL2193" s="35">
        <f>AL2166+AL2175+AL2184</f>
        <v/>
      </c>
      <c r="AM2193" s="35">
        <f>AM2166+AM2175+AM2184</f>
        <v/>
      </c>
      <c r="AN2193" s="35">
        <f>AN2166+AN2175+AN2184</f>
        <v/>
      </c>
      <c r="AO2193" s="35">
        <f>AO2166+AO2175+AO2184</f>
        <v/>
      </c>
      <c r="AP2193" s="35">
        <f>AP2166+AP2175+AP2184</f>
        <v/>
      </c>
      <c r="AQ2193" s="35">
        <f>AQ2166+AQ2175+AQ2184</f>
        <v/>
      </c>
      <c r="AR2193" s="35">
        <f>AR2166+AR2175+AR2184</f>
        <v/>
      </c>
      <c r="AS2193" s="35">
        <f>AS2166+AS2175+AS2184</f>
        <v/>
      </c>
      <c r="AT2193" s="35">
        <f>AT2166+AT2175+AT2184</f>
        <v/>
      </c>
      <c r="AU2193" s="35">
        <f>AU2166+AU2175+AU2184</f>
        <v/>
      </c>
      <c r="AV2193" s="35">
        <f>AV2166+AV2175+AV2184</f>
        <v/>
      </c>
      <c r="AW2193" s="35">
        <f>AW2166+AW2175+AW2184</f>
        <v/>
      </c>
      <c r="AX2193" s="35">
        <f>AX2166+AX2175+AX2184</f>
        <v/>
      </c>
      <c r="AY2193" s="35">
        <f>AY2166+AY2175+AY2184</f>
        <v/>
      </c>
      <c r="AZ2193" s="35">
        <f>AZ2166+AZ2175+AZ2184</f>
        <v/>
      </c>
      <c r="BA2193" s="42">
        <f>NEWPOLICY(BA2166,BA2175,BA2184)</f>
        <v/>
      </c>
    </row>
    <row r="2194" hidden="1" outlineLevel="2">
      <c r="A2194" s="14" t="inlineStr">
        <is>
          <t>nce</t>
        </is>
      </c>
      <c r="B2194" s="14" t="inlineStr">
        <is>
          <t>gso</t>
        </is>
      </c>
      <c r="C2194" s="14" t="inlineStr">
        <is>
          <t>nfm</t>
        </is>
      </c>
      <c r="D2194" s="39" t="n"/>
      <c r="E2194" s="39" t="n"/>
      <c r="F2194" s="39" t="n"/>
      <c r="G2194" s="39" t="n"/>
      <c r="H2194" s="14">
        <f>INDEX(VarLab,MATCH($A2194,VarKey,0))&amp;INDEX(MemLab,MATCH($C2194&amp;"|"&amp;$B2194,MemKey,0))</f>
        <v/>
      </c>
      <c r="I2194" s="14">
        <f>INDEX(VarUnit,MATCH($A2194,VarKey,0))</f>
        <v/>
      </c>
      <c r="J2194" s="14">
        <f>INDEX(VarSrc,MATCH($A2194,VarKey,0))</f>
        <v/>
      </c>
      <c r="K2194" s="11">
        <f>CodePrefix&amp;$A2194&amp;IF($C2194="","","."&amp;$C2194&amp;"."&amp;$B2194)&amp;INDEX(VarEnd,MATCH($A2194,VarKey,0))&amp;K$5</f>
        <v/>
      </c>
      <c r="L2194" s="40">
        <f>L2167+L2176+L2185</f>
        <v/>
      </c>
      <c r="M2194" s="35">
        <f>M2167+M2176+M2185</f>
        <v/>
      </c>
      <c r="N2194" s="35">
        <f>N2167+N2176+N2185</f>
        <v/>
      </c>
      <c r="O2194" s="35">
        <f>O2167+O2176+O2185</f>
        <v/>
      </c>
      <c r="P2194" s="35">
        <f>P2167+P2176+P2185</f>
        <v/>
      </c>
      <c r="Q2194" s="35">
        <f>Q2167+Q2176+Q2185</f>
        <v/>
      </c>
      <c r="R2194" s="35">
        <f>R2167+R2176+R2185</f>
        <v/>
      </c>
      <c r="S2194" s="35">
        <f>S2167+S2176+S2185</f>
        <v/>
      </c>
      <c r="T2194" s="35">
        <f>T2167+T2176+T2185</f>
        <v/>
      </c>
      <c r="U2194" s="35">
        <f>U2167+U2176+U2185</f>
        <v/>
      </c>
      <c r="V2194" s="35">
        <f>V2167+V2176+V2185</f>
        <v/>
      </c>
      <c r="W2194" s="35">
        <f>W2167+W2176+W2185</f>
        <v/>
      </c>
      <c r="X2194" s="35">
        <f>X2167+X2176+X2185</f>
        <v/>
      </c>
      <c r="Y2194" s="35">
        <f>Y2167+Y2176+Y2185</f>
        <v/>
      </c>
      <c r="Z2194" s="35">
        <f>Z2167+Z2176+Z2185</f>
        <v/>
      </c>
      <c r="AA2194" s="35">
        <f>AA2167+AA2176+AA2185</f>
        <v/>
      </c>
      <c r="AB2194" s="35">
        <f>AB2167+AB2176+AB2185</f>
        <v/>
      </c>
      <c r="AC2194" s="35">
        <f>AC2167+AC2176+AC2185</f>
        <v/>
      </c>
      <c r="AD2194" s="35">
        <f>AD2167+AD2176+AD2185</f>
        <v/>
      </c>
      <c r="AE2194" s="42">
        <f>NEWPOLICY(AE2167,AE2176,AE2185)</f>
        <v/>
      </c>
      <c r="AG2194" s="11">
        <f>CodePrefix&amp;$A2194&amp;IF($C2194="","","."&amp;$C2194&amp;"."&amp;$B2194)&amp;INDEX(VarEnd,MATCH($A2194,VarKey,0))&amp;AG$5</f>
        <v/>
      </c>
      <c r="AH2194" s="40">
        <f>AH2167+AH2176+AH2185</f>
        <v/>
      </c>
      <c r="AI2194" s="35">
        <f>AI2167+AI2176+AI2185</f>
        <v/>
      </c>
      <c r="AJ2194" s="35">
        <f>AJ2167+AJ2176+AJ2185</f>
        <v/>
      </c>
      <c r="AK2194" s="35">
        <f>AK2167+AK2176+AK2185</f>
        <v/>
      </c>
      <c r="AL2194" s="35">
        <f>AL2167+AL2176+AL2185</f>
        <v/>
      </c>
      <c r="AM2194" s="35">
        <f>AM2167+AM2176+AM2185</f>
        <v/>
      </c>
      <c r="AN2194" s="35">
        <f>AN2167+AN2176+AN2185</f>
        <v/>
      </c>
      <c r="AO2194" s="35">
        <f>AO2167+AO2176+AO2185</f>
        <v/>
      </c>
      <c r="AP2194" s="35">
        <f>AP2167+AP2176+AP2185</f>
        <v/>
      </c>
      <c r="AQ2194" s="35">
        <f>AQ2167+AQ2176+AQ2185</f>
        <v/>
      </c>
      <c r="AR2194" s="35">
        <f>AR2167+AR2176+AR2185</f>
        <v/>
      </c>
      <c r="AS2194" s="35">
        <f>AS2167+AS2176+AS2185</f>
        <v/>
      </c>
      <c r="AT2194" s="35">
        <f>AT2167+AT2176+AT2185</f>
        <v/>
      </c>
      <c r="AU2194" s="35">
        <f>AU2167+AU2176+AU2185</f>
        <v/>
      </c>
      <c r="AV2194" s="35">
        <f>AV2167+AV2176+AV2185</f>
        <v/>
      </c>
      <c r="AW2194" s="35">
        <f>AW2167+AW2176+AW2185</f>
        <v/>
      </c>
      <c r="AX2194" s="35">
        <f>AX2167+AX2176+AX2185</f>
        <v/>
      </c>
      <c r="AY2194" s="35">
        <f>AY2167+AY2176+AY2185</f>
        <v/>
      </c>
      <c r="AZ2194" s="35">
        <f>AZ2167+AZ2176+AZ2185</f>
        <v/>
      </c>
      <c r="BA2194" s="42">
        <f>NEWPOLICY(BA2167,BA2176,BA2185)</f>
        <v/>
      </c>
    </row>
    <row r="2195" hidden="1" outlineLevel="2">
      <c r="A2195" s="14" t="inlineStr">
        <is>
          <t>nce</t>
        </is>
      </c>
      <c r="B2195" s="14" t="inlineStr">
        <is>
          <t>die</t>
        </is>
      </c>
      <c r="C2195" s="14" t="inlineStr">
        <is>
          <t>nfm</t>
        </is>
      </c>
      <c r="D2195" s="39" t="n"/>
      <c r="E2195" s="39" t="n"/>
      <c r="F2195" s="39" t="n"/>
      <c r="G2195" s="39" t="n"/>
      <c r="H2195" s="14">
        <f>INDEX(VarLab,MATCH($A2195,VarKey,0))&amp;INDEX(MemLab,MATCH($C2195&amp;"|"&amp;$B2195,MemKey,0))</f>
        <v/>
      </c>
      <c r="I2195" s="14">
        <f>INDEX(VarUnit,MATCH($A2195,VarKey,0))</f>
        <v/>
      </c>
      <c r="J2195" s="14">
        <f>INDEX(VarSrc,MATCH($A2195,VarKey,0))</f>
        <v/>
      </c>
      <c r="K2195" s="11">
        <f>CodePrefix&amp;$A2195&amp;IF($C2195="","","."&amp;$C2195&amp;"."&amp;$B2195)&amp;INDEX(VarEnd,MATCH($A2195,VarKey,0))&amp;K$5</f>
        <v/>
      </c>
      <c r="L2195" s="40">
        <f>L2168+L2177+L2186</f>
        <v/>
      </c>
      <c r="M2195" s="35">
        <f>M2168+M2177+M2186</f>
        <v/>
      </c>
      <c r="N2195" s="35">
        <f>N2168+N2177+N2186</f>
        <v/>
      </c>
      <c r="O2195" s="35">
        <f>O2168+O2177+O2186</f>
        <v/>
      </c>
      <c r="P2195" s="35">
        <f>P2168+P2177+P2186</f>
        <v/>
      </c>
      <c r="Q2195" s="35">
        <f>Q2168+Q2177+Q2186</f>
        <v/>
      </c>
      <c r="R2195" s="35">
        <f>R2168+R2177+R2186</f>
        <v/>
      </c>
      <c r="S2195" s="35">
        <f>S2168+S2177+S2186</f>
        <v/>
      </c>
      <c r="T2195" s="35">
        <f>T2168+T2177+T2186</f>
        <v/>
      </c>
      <c r="U2195" s="35">
        <f>U2168+U2177+U2186</f>
        <v/>
      </c>
      <c r="V2195" s="35">
        <f>V2168+V2177+V2186</f>
        <v/>
      </c>
      <c r="W2195" s="35">
        <f>W2168+W2177+W2186</f>
        <v/>
      </c>
      <c r="X2195" s="35">
        <f>X2168+X2177+X2186</f>
        <v/>
      </c>
      <c r="Y2195" s="35">
        <f>Y2168+Y2177+Y2186</f>
        <v/>
      </c>
      <c r="Z2195" s="35">
        <f>Z2168+Z2177+Z2186</f>
        <v/>
      </c>
      <c r="AA2195" s="35">
        <f>AA2168+AA2177+AA2186</f>
        <v/>
      </c>
      <c r="AB2195" s="35">
        <f>AB2168+AB2177+AB2186</f>
        <v/>
      </c>
      <c r="AC2195" s="35">
        <f>AC2168+AC2177+AC2186</f>
        <v/>
      </c>
      <c r="AD2195" s="35">
        <f>AD2168+AD2177+AD2186</f>
        <v/>
      </c>
      <c r="AE2195" s="42">
        <f>NEWPOLICY(AE2168,AE2177,AE2186)</f>
        <v/>
      </c>
      <c r="AG2195" s="11">
        <f>CodePrefix&amp;$A2195&amp;IF($C2195="","","."&amp;$C2195&amp;"."&amp;$B2195)&amp;INDEX(VarEnd,MATCH($A2195,VarKey,0))&amp;AG$5</f>
        <v/>
      </c>
      <c r="AH2195" s="40">
        <f>AH2168+AH2177+AH2186</f>
        <v/>
      </c>
      <c r="AI2195" s="35">
        <f>AI2168+AI2177+AI2186</f>
        <v/>
      </c>
      <c r="AJ2195" s="35">
        <f>AJ2168+AJ2177+AJ2186</f>
        <v/>
      </c>
      <c r="AK2195" s="35">
        <f>AK2168+AK2177+AK2186</f>
        <v/>
      </c>
      <c r="AL2195" s="35">
        <f>AL2168+AL2177+AL2186</f>
        <v/>
      </c>
      <c r="AM2195" s="35">
        <f>AM2168+AM2177+AM2186</f>
        <v/>
      </c>
      <c r="AN2195" s="35">
        <f>AN2168+AN2177+AN2186</f>
        <v/>
      </c>
      <c r="AO2195" s="35">
        <f>AO2168+AO2177+AO2186</f>
        <v/>
      </c>
      <c r="AP2195" s="35">
        <f>AP2168+AP2177+AP2186</f>
        <v/>
      </c>
      <c r="AQ2195" s="35">
        <f>AQ2168+AQ2177+AQ2186</f>
        <v/>
      </c>
      <c r="AR2195" s="35">
        <f>AR2168+AR2177+AR2186</f>
        <v/>
      </c>
      <c r="AS2195" s="35">
        <f>AS2168+AS2177+AS2186</f>
        <v/>
      </c>
      <c r="AT2195" s="35">
        <f>AT2168+AT2177+AT2186</f>
        <v/>
      </c>
      <c r="AU2195" s="35">
        <f>AU2168+AU2177+AU2186</f>
        <v/>
      </c>
      <c r="AV2195" s="35">
        <f>AV2168+AV2177+AV2186</f>
        <v/>
      </c>
      <c r="AW2195" s="35">
        <f>AW2168+AW2177+AW2186</f>
        <v/>
      </c>
      <c r="AX2195" s="35">
        <f>AX2168+AX2177+AX2186</f>
        <v/>
      </c>
      <c r="AY2195" s="35">
        <f>AY2168+AY2177+AY2186</f>
        <v/>
      </c>
      <c r="AZ2195" s="35">
        <f>AZ2168+AZ2177+AZ2186</f>
        <v/>
      </c>
      <c r="BA2195" s="42">
        <f>NEWPOLICY(BA2168,BA2177,BA2186)</f>
        <v/>
      </c>
    </row>
    <row r="2196" hidden="1" outlineLevel="2">
      <c r="A2196" s="14" t="inlineStr">
        <is>
          <t>nce</t>
        </is>
      </c>
      <c r="B2196" s="14" t="inlineStr">
        <is>
          <t>lpg</t>
        </is>
      </c>
      <c r="C2196" s="14" t="inlineStr">
        <is>
          <t>nfm</t>
        </is>
      </c>
      <c r="D2196" s="39" t="n"/>
      <c r="E2196" s="39" t="n"/>
      <c r="F2196" s="39" t="n"/>
      <c r="G2196" s="39" t="n"/>
      <c r="H2196" s="14">
        <f>INDEX(VarLab,MATCH($A2196,VarKey,0))&amp;INDEX(MemLab,MATCH($C2196&amp;"|"&amp;$B2196,MemKey,0))</f>
        <v/>
      </c>
      <c r="I2196" s="14">
        <f>INDEX(VarUnit,MATCH($A2196,VarKey,0))</f>
        <v/>
      </c>
      <c r="J2196" s="14">
        <f>INDEX(VarSrc,MATCH($A2196,VarKey,0))</f>
        <v/>
      </c>
      <c r="K2196" s="11">
        <f>CodePrefix&amp;$A2196&amp;IF($C2196="","","."&amp;$C2196&amp;"."&amp;$B2196)&amp;INDEX(VarEnd,MATCH($A2196,VarKey,0))&amp;K$5</f>
        <v/>
      </c>
      <c r="L2196" s="40">
        <f>L2169+L2178+L2187</f>
        <v/>
      </c>
      <c r="M2196" s="35">
        <f>M2169+M2178+M2187</f>
        <v/>
      </c>
      <c r="N2196" s="35">
        <f>N2169+N2178+N2187</f>
        <v/>
      </c>
      <c r="O2196" s="35">
        <f>O2169+O2178+O2187</f>
        <v/>
      </c>
      <c r="P2196" s="35">
        <f>P2169+P2178+P2187</f>
        <v/>
      </c>
      <c r="Q2196" s="35">
        <f>Q2169+Q2178+Q2187</f>
        <v/>
      </c>
      <c r="R2196" s="35">
        <f>R2169+R2178+R2187</f>
        <v/>
      </c>
      <c r="S2196" s="35">
        <f>S2169+S2178+S2187</f>
        <v/>
      </c>
      <c r="T2196" s="35">
        <f>T2169+T2178+T2187</f>
        <v/>
      </c>
      <c r="U2196" s="35">
        <f>U2169+U2178+U2187</f>
        <v/>
      </c>
      <c r="V2196" s="35">
        <f>V2169+V2178+V2187</f>
        <v/>
      </c>
      <c r="W2196" s="35">
        <f>W2169+W2178+W2187</f>
        <v/>
      </c>
      <c r="X2196" s="35">
        <f>X2169+X2178+X2187</f>
        <v/>
      </c>
      <c r="Y2196" s="35">
        <f>Y2169+Y2178+Y2187</f>
        <v/>
      </c>
      <c r="Z2196" s="35">
        <f>Z2169+Z2178+Z2187</f>
        <v/>
      </c>
      <c r="AA2196" s="35">
        <f>AA2169+AA2178+AA2187</f>
        <v/>
      </c>
      <c r="AB2196" s="35">
        <f>AB2169+AB2178+AB2187</f>
        <v/>
      </c>
      <c r="AC2196" s="35">
        <f>AC2169+AC2178+AC2187</f>
        <v/>
      </c>
      <c r="AD2196" s="35">
        <f>AD2169+AD2178+AD2187</f>
        <v/>
      </c>
      <c r="AE2196" s="42">
        <f>NEWPOLICY(AE2169,AE2178,AE2187)</f>
        <v/>
      </c>
      <c r="AG2196" s="11">
        <f>CodePrefix&amp;$A2196&amp;IF($C2196="","","."&amp;$C2196&amp;"."&amp;$B2196)&amp;INDEX(VarEnd,MATCH($A2196,VarKey,0))&amp;AG$5</f>
        <v/>
      </c>
      <c r="AH2196" s="40">
        <f>AH2169+AH2178+AH2187</f>
        <v/>
      </c>
      <c r="AI2196" s="35">
        <f>AI2169+AI2178+AI2187</f>
        <v/>
      </c>
      <c r="AJ2196" s="35">
        <f>AJ2169+AJ2178+AJ2187</f>
        <v/>
      </c>
      <c r="AK2196" s="35">
        <f>AK2169+AK2178+AK2187</f>
        <v/>
      </c>
      <c r="AL2196" s="35">
        <f>AL2169+AL2178+AL2187</f>
        <v/>
      </c>
      <c r="AM2196" s="35">
        <f>AM2169+AM2178+AM2187</f>
        <v/>
      </c>
      <c r="AN2196" s="35">
        <f>AN2169+AN2178+AN2187</f>
        <v/>
      </c>
      <c r="AO2196" s="35">
        <f>AO2169+AO2178+AO2187</f>
        <v/>
      </c>
      <c r="AP2196" s="35">
        <f>AP2169+AP2178+AP2187</f>
        <v/>
      </c>
      <c r="AQ2196" s="35">
        <f>AQ2169+AQ2178+AQ2187</f>
        <v/>
      </c>
      <c r="AR2196" s="35">
        <f>AR2169+AR2178+AR2187</f>
        <v/>
      </c>
      <c r="AS2196" s="35">
        <f>AS2169+AS2178+AS2187</f>
        <v/>
      </c>
      <c r="AT2196" s="35">
        <f>AT2169+AT2178+AT2187</f>
        <v/>
      </c>
      <c r="AU2196" s="35">
        <f>AU2169+AU2178+AU2187</f>
        <v/>
      </c>
      <c r="AV2196" s="35">
        <f>AV2169+AV2178+AV2187</f>
        <v/>
      </c>
      <c r="AW2196" s="35">
        <f>AW2169+AW2178+AW2187</f>
        <v/>
      </c>
      <c r="AX2196" s="35">
        <f>AX2169+AX2178+AX2187</f>
        <v/>
      </c>
      <c r="AY2196" s="35">
        <f>AY2169+AY2178+AY2187</f>
        <v/>
      </c>
      <c r="AZ2196" s="35">
        <f>AZ2169+AZ2178+AZ2187</f>
        <v/>
      </c>
      <c r="BA2196" s="42">
        <f>NEWPOLICY(BA2169,BA2178,BA2187)</f>
        <v/>
      </c>
    </row>
    <row r="2197" hidden="1" outlineLevel="2">
      <c r="A2197" s="14" t="inlineStr">
        <is>
          <t>nce</t>
        </is>
      </c>
      <c r="B2197" s="14" t="inlineStr">
        <is>
          <t>ker</t>
        </is>
      </c>
      <c r="C2197" s="14" t="inlineStr">
        <is>
          <t>nfm</t>
        </is>
      </c>
      <c r="D2197" s="39" t="n"/>
      <c r="E2197" s="39" t="n"/>
      <c r="F2197" s="39" t="n"/>
      <c r="G2197" s="39" t="n"/>
      <c r="H2197" s="14">
        <f>INDEX(VarLab,MATCH($A2197,VarKey,0))&amp;INDEX(MemLab,MATCH($C2197&amp;"|"&amp;$B2197,MemKey,0))</f>
        <v/>
      </c>
      <c r="I2197" s="14">
        <f>INDEX(VarUnit,MATCH($A2197,VarKey,0))</f>
        <v/>
      </c>
      <c r="J2197" s="14">
        <f>INDEX(VarSrc,MATCH($A2197,VarKey,0))</f>
        <v/>
      </c>
      <c r="K2197" s="11">
        <f>CodePrefix&amp;$A2197&amp;IF($C2197="","","."&amp;$C2197&amp;"."&amp;$B2197)&amp;INDEX(VarEnd,MATCH($A2197,VarKey,0))&amp;K$5</f>
        <v/>
      </c>
      <c r="L2197" s="40">
        <f>L2170+L2179+L2188</f>
        <v/>
      </c>
      <c r="M2197" s="35">
        <f>M2170+M2179+M2188</f>
        <v/>
      </c>
      <c r="N2197" s="35">
        <f>N2170+N2179+N2188</f>
        <v/>
      </c>
      <c r="O2197" s="35">
        <f>O2170+O2179+O2188</f>
        <v/>
      </c>
      <c r="P2197" s="35">
        <f>P2170+P2179+P2188</f>
        <v/>
      </c>
      <c r="Q2197" s="35">
        <f>Q2170+Q2179+Q2188</f>
        <v/>
      </c>
      <c r="R2197" s="35">
        <f>R2170+R2179+R2188</f>
        <v/>
      </c>
      <c r="S2197" s="35">
        <f>S2170+S2179+S2188</f>
        <v/>
      </c>
      <c r="T2197" s="35">
        <f>T2170+T2179+T2188</f>
        <v/>
      </c>
      <c r="U2197" s="35">
        <f>U2170+U2179+U2188</f>
        <v/>
      </c>
      <c r="V2197" s="35">
        <f>V2170+V2179+V2188</f>
        <v/>
      </c>
      <c r="W2197" s="35">
        <f>W2170+W2179+W2188</f>
        <v/>
      </c>
      <c r="X2197" s="35">
        <f>X2170+X2179+X2188</f>
        <v/>
      </c>
      <c r="Y2197" s="35">
        <f>Y2170+Y2179+Y2188</f>
        <v/>
      </c>
      <c r="Z2197" s="35">
        <f>Z2170+Z2179+Z2188</f>
        <v/>
      </c>
      <c r="AA2197" s="35">
        <f>AA2170+AA2179+AA2188</f>
        <v/>
      </c>
      <c r="AB2197" s="35">
        <f>AB2170+AB2179+AB2188</f>
        <v/>
      </c>
      <c r="AC2197" s="35">
        <f>AC2170+AC2179+AC2188</f>
        <v/>
      </c>
      <c r="AD2197" s="35">
        <f>AD2170+AD2179+AD2188</f>
        <v/>
      </c>
      <c r="AE2197" s="42">
        <f>NEWPOLICY(AE2170,AE2179,AE2188)</f>
        <v/>
      </c>
      <c r="AG2197" s="11">
        <f>CodePrefix&amp;$A2197&amp;IF($C2197="","","."&amp;$C2197&amp;"."&amp;$B2197)&amp;INDEX(VarEnd,MATCH($A2197,VarKey,0))&amp;AG$5</f>
        <v/>
      </c>
      <c r="AH2197" s="40">
        <f>AH2170+AH2179+AH2188</f>
        <v/>
      </c>
      <c r="AI2197" s="35">
        <f>AI2170+AI2179+AI2188</f>
        <v/>
      </c>
      <c r="AJ2197" s="35">
        <f>AJ2170+AJ2179+AJ2188</f>
        <v/>
      </c>
      <c r="AK2197" s="35">
        <f>AK2170+AK2179+AK2188</f>
        <v/>
      </c>
      <c r="AL2197" s="35">
        <f>AL2170+AL2179+AL2188</f>
        <v/>
      </c>
      <c r="AM2197" s="35">
        <f>AM2170+AM2179+AM2188</f>
        <v/>
      </c>
      <c r="AN2197" s="35">
        <f>AN2170+AN2179+AN2188</f>
        <v/>
      </c>
      <c r="AO2197" s="35">
        <f>AO2170+AO2179+AO2188</f>
        <v/>
      </c>
      <c r="AP2197" s="35">
        <f>AP2170+AP2179+AP2188</f>
        <v/>
      </c>
      <c r="AQ2197" s="35">
        <f>AQ2170+AQ2179+AQ2188</f>
        <v/>
      </c>
      <c r="AR2197" s="35">
        <f>AR2170+AR2179+AR2188</f>
        <v/>
      </c>
      <c r="AS2197" s="35">
        <f>AS2170+AS2179+AS2188</f>
        <v/>
      </c>
      <c r="AT2197" s="35">
        <f>AT2170+AT2179+AT2188</f>
        <v/>
      </c>
      <c r="AU2197" s="35">
        <f>AU2170+AU2179+AU2188</f>
        <v/>
      </c>
      <c r="AV2197" s="35">
        <f>AV2170+AV2179+AV2188</f>
        <v/>
      </c>
      <c r="AW2197" s="35">
        <f>AW2170+AW2179+AW2188</f>
        <v/>
      </c>
      <c r="AX2197" s="35">
        <f>AX2170+AX2179+AX2188</f>
        <v/>
      </c>
      <c r="AY2197" s="35">
        <f>AY2170+AY2179+AY2188</f>
        <v/>
      </c>
      <c r="AZ2197" s="35">
        <f>AZ2170+AZ2179+AZ2188</f>
        <v/>
      </c>
      <c r="BA2197" s="42">
        <f>NEWPOLICY(BA2170,BA2179,BA2188)</f>
        <v/>
      </c>
    </row>
    <row r="2198" hidden="1" outlineLevel="2">
      <c r="A2198" s="14" t="inlineStr">
        <is>
          <t>nce</t>
        </is>
      </c>
      <c r="B2198" s="14" t="inlineStr">
        <is>
          <t>oop</t>
        </is>
      </c>
      <c r="C2198" s="14" t="inlineStr">
        <is>
          <t>nfm</t>
        </is>
      </c>
      <c r="D2198" s="39" t="n"/>
      <c r="E2198" s="39" t="n"/>
      <c r="F2198" s="39" t="n"/>
      <c r="G2198" s="39" t="n"/>
      <c r="H2198" s="14">
        <f>INDEX(VarLab,MATCH($A2198,VarKey,0))&amp;INDEX(MemLab,MATCH($C2198&amp;"|"&amp;$B2198,MemKey,0))</f>
        <v/>
      </c>
      <c r="I2198" s="14">
        <f>INDEX(VarUnit,MATCH($A2198,VarKey,0))</f>
        <v/>
      </c>
      <c r="J2198" s="14">
        <f>INDEX(VarSrc,MATCH($A2198,VarKey,0))</f>
        <v/>
      </c>
      <c r="K2198" s="11">
        <f>CodePrefix&amp;$A2198&amp;IF($C2198="","","."&amp;$C2198&amp;"."&amp;$B2198)&amp;INDEX(VarEnd,MATCH($A2198,VarKey,0))&amp;K$5</f>
        <v/>
      </c>
      <c r="L2198" s="40">
        <f>L2171+L2180+L2189</f>
        <v/>
      </c>
      <c r="M2198" s="35">
        <f>M2171+M2180+M2189</f>
        <v/>
      </c>
      <c r="N2198" s="35">
        <f>N2171+N2180+N2189</f>
        <v/>
      </c>
      <c r="O2198" s="35">
        <f>O2171+O2180+O2189</f>
        <v/>
      </c>
      <c r="P2198" s="35">
        <f>P2171+P2180+P2189</f>
        <v/>
      </c>
      <c r="Q2198" s="35">
        <f>Q2171+Q2180+Q2189</f>
        <v/>
      </c>
      <c r="R2198" s="35">
        <f>R2171+R2180+R2189</f>
        <v/>
      </c>
      <c r="S2198" s="35">
        <f>S2171+S2180+S2189</f>
        <v/>
      </c>
      <c r="T2198" s="35">
        <f>T2171+T2180+T2189</f>
        <v/>
      </c>
      <c r="U2198" s="35">
        <f>U2171+U2180+U2189</f>
        <v/>
      </c>
      <c r="V2198" s="35">
        <f>V2171+V2180+V2189</f>
        <v/>
      </c>
      <c r="W2198" s="35">
        <f>W2171+W2180+W2189</f>
        <v/>
      </c>
      <c r="X2198" s="35">
        <f>X2171+X2180+X2189</f>
        <v/>
      </c>
      <c r="Y2198" s="35">
        <f>Y2171+Y2180+Y2189</f>
        <v/>
      </c>
      <c r="Z2198" s="35">
        <f>Z2171+Z2180+Z2189</f>
        <v/>
      </c>
      <c r="AA2198" s="35">
        <f>AA2171+AA2180+AA2189</f>
        <v/>
      </c>
      <c r="AB2198" s="35">
        <f>AB2171+AB2180+AB2189</f>
        <v/>
      </c>
      <c r="AC2198" s="35">
        <f>AC2171+AC2180+AC2189</f>
        <v/>
      </c>
      <c r="AD2198" s="35">
        <f>AD2171+AD2180+AD2189</f>
        <v/>
      </c>
      <c r="AE2198" s="42">
        <f>NEWPOLICY(AE2171,AE2180,AE2189)</f>
        <v/>
      </c>
      <c r="AG2198" s="11">
        <f>CodePrefix&amp;$A2198&amp;IF($C2198="","","."&amp;$C2198&amp;"."&amp;$B2198)&amp;INDEX(VarEnd,MATCH($A2198,VarKey,0))&amp;AG$5</f>
        <v/>
      </c>
      <c r="AH2198" s="40">
        <f>AH2171+AH2180+AH2189</f>
        <v/>
      </c>
      <c r="AI2198" s="35">
        <f>AI2171+AI2180+AI2189</f>
        <v/>
      </c>
      <c r="AJ2198" s="35">
        <f>AJ2171+AJ2180+AJ2189</f>
        <v/>
      </c>
      <c r="AK2198" s="35">
        <f>AK2171+AK2180+AK2189</f>
        <v/>
      </c>
      <c r="AL2198" s="35">
        <f>AL2171+AL2180+AL2189</f>
        <v/>
      </c>
      <c r="AM2198" s="35">
        <f>AM2171+AM2180+AM2189</f>
        <v/>
      </c>
      <c r="AN2198" s="35">
        <f>AN2171+AN2180+AN2189</f>
        <v/>
      </c>
      <c r="AO2198" s="35">
        <f>AO2171+AO2180+AO2189</f>
        <v/>
      </c>
      <c r="AP2198" s="35">
        <f>AP2171+AP2180+AP2189</f>
        <v/>
      </c>
      <c r="AQ2198" s="35">
        <f>AQ2171+AQ2180+AQ2189</f>
        <v/>
      </c>
      <c r="AR2198" s="35">
        <f>AR2171+AR2180+AR2189</f>
        <v/>
      </c>
      <c r="AS2198" s="35">
        <f>AS2171+AS2180+AS2189</f>
        <v/>
      </c>
      <c r="AT2198" s="35">
        <f>AT2171+AT2180+AT2189</f>
        <v/>
      </c>
      <c r="AU2198" s="35">
        <f>AU2171+AU2180+AU2189</f>
        <v/>
      </c>
      <c r="AV2198" s="35">
        <f>AV2171+AV2180+AV2189</f>
        <v/>
      </c>
      <c r="AW2198" s="35">
        <f>AW2171+AW2180+AW2189</f>
        <v/>
      </c>
      <c r="AX2198" s="35">
        <f>AX2171+AX2180+AX2189</f>
        <v/>
      </c>
      <c r="AY2198" s="35">
        <f>AY2171+AY2180+AY2189</f>
        <v/>
      </c>
      <c r="AZ2198" s="35">
        <f>AZ2171+AZ2180+AZ2189</f>
        <v/>
      </c>
      <c r="BA2198" s="42">
        <f>NEWPOLICY(BA2171,BA2180,BA2189)</f>
        <v/>
      </c>
    </row>
    <row r="2199" hidden="1" outlineLevel="2">
      <c r="A2199" s="14" t="inlineStr">
        <is>
          <t>nce</t>
        </is>
      </c>
      <c r="B2199" s="14" t="inlineStr">
        <is>
          <t>bio</t>
        </is>
      </c>
      <c r="C2199" s="14" t="inlineStr">
        <is>
          <t>nfm</t>
        </is>
      </c>
      <c r="D2199" s="39" t="n"/>
      <c r="E2199" s="39" t="n"/>
      <c r="F2199" s="39" t="n"/>
      <c r="G2199" s="39" t="n"/>
      <c r="H2199" s="14">
        <f>INDEX(VarLab,MATCH($A2199,VarKey,0))&amp;INDEX(MemLab,MATCH($C2199&amp;"|"&amp;$B2199,MemKey,0))</f>
        <v/>
      </c>
      <c r="I2199" s="14">
        <f>INDEX(VarUnit,MATCH($A2199,VarKey,0))</f>
        <v/>
      </c>
      <c r="J2199" s="14">
        <f>INDEX(VarSrc,MATCH($A2199,VarKey,0))</f>
        <v/>
      </c>
      <c r="K2199" s="11">
        <f>CodePrefix&amp;$A2199&amp;IF($C2199="","","."&amp;$C2199&amp;"."&amp;$B2199)&amp;INDEX(VarEnd,MATCH($A2199,VarKey,0))&amp;K$5</f>
        <v/>
      </c>
      <c r="L2199" s="40">
        <f>L2172+L2181+L2190</f>
        <v/>
      </c>
      <c r="M2199" s="35">
        <f>M2172+M2181+M2190</f>
        <v/>
      </c>
      <c r="N2199" s="35">
        <f>N2172+N2181+N2190</f>
        <v/>
      </c>
      <c r="O2199" s="35">
        <f>O2172+O2181+O2190</f>
        <v/>
      </c>
      <c r="P2199" s="35">
        <f>P2172+P2181+P2190</f>
        <v/>
      </c>
      <c r="Q2199" s="35">
        <f>Q2172+Q2181+Q2190</f>
        <v/>
      </c>
      <c r="R2199" s="35">
        <f>R2172+R2181+R2190</f>
        <v/>
      </c>
      <c r="S2199" s="35">
        <f>S2172+S2181+S2190</f>
        <v/>
      </c>
      <c r="T2199" s="35">
        <f>T2172+T2181+T2190</f>
        <v/>
      </c>
      <c r="U2199" s="35">
        <f>U2172+U2181+U2190</f>
        <v/>
      </c>
      <c r="V2199" s="35">
        <f>V2172+V2181+V2190</f>
        <v/>
      </c>
      <c r="W2199" s="35">
        <f>W2172+W2181+W2190</f>
        <v/>
      </c>
      <c r="X2199" s="35">
        <f>X2172+X2181+X2190</f>
        <v/>
      </c>
      <c r="Y2199" s="35">
        <f>Y2172+Y2181+Y2190</f>
        <v/>
      </c>
      <c r="Z2199" s="35">
        <f>Z2172+Z2181+Z2190</f>
        <v/>
      </c>
      <c r="AA2199" s="35">
        <f>AA2172+AA2181+AA2190</f>
        <v/>
      </c>
      <c r="AB2199" s="35">
        <f>AB2172+AB2181+AB2190</f>
        <v/>
      </c>
      <c r="AC2199" s="35">
        <f>AC2172+AC2181+AC2190</f>
        <v/>
      </c>
      <c r="AD2199" s="35">
        <f>AD2172+AD2181+AD2190</f>
        <v/>
      </c>
      <c r="AE2199" s="42">
        <f>NEWPOLICY(AE2172,AE2181,AE2190)</f>
        <v/>
      </c>
      <c r="AG2199" s="11">
        <f>CodePrefix&amp;$A2199&amp;IF($C2199="","","."&amp;$C2199&amp;"."&amp;$B2199)&amp;INDEX(VarEnd,MATCH($A2199,VarKey,0))&amp;AG$5</f>
        <v/>
      </c>
      <c r="AH2199" s="40">
        <f>AH2172+AH2181+AH2190</f>
        <v/>
      </c>
      <c r="AI2199" s="35">
        <f>AI2172+AI2181+AI2190</f>
        <v/>
      </c>
      <c r="AJ2199" s="35">
        <f>AJ2172+AJ2181+AJ2190</f>
        <v/>
      </c>
      <c r="AK2199" s="35">
        <f>AK2172+AK2181+AK2190</f>
        <v/>
      </c>
      <c r="AL2199" s="35">
        <f>AL2172+AL2181+AL2190</f>
        <v/>
      </c>
      <c r="AM2199" s="35">
        <f>AM2172+AM2181+AM2190</f>
        <v/>
      </c>
      <c r="AN2199" s="35">
        <f>AN2172+AN2181+AN2190</f>
        <v/>
      </c>
      <c r="AO2199" s="35">
        <f>AO2172+AO2181+AO2190</f>
        <v/>
      </c>
      <c r="AP2199" s="35">
        <f>AP2172+AP2181+AP2190</f>
        <v/>
      </c>
      <c r="AQ2199" s="35">
        <f>AQ2172+AQ2181+AQ2190</f>
        <v/>
      </c>
      <c r="AR2199" s="35">
        <f>AR2172+AR2181+AR2190</f>
        <v/>
      </c>
      <c r="AS2199" s="35">
        <f>AS2172+AS2181+AS2190</f>
        <v/>
      </c>
      <c r="AT2199" s="35">
        <f>AT2172+AT2181+AT2190</f>
        <v/>
      </c>
      <c r="AU2199" s="35">
        <f>AU2172+AU2181+AU2190</f>
        <v/>
      </c>
      <c r="AV2199" s="35">
        <f>AV2172+AV2181+AV2190</f>
        <v/>
      </c>
      <c r="AW2199" s="35">
        <f>AW2172+AW2181+AW2190</f>
        <v/>
      </c>
      <c r="AX2199" s="35">
        <f>AX2172+AX2181+AX2190</f>
        <v/>
      </c>
      <c r="AY2199" s="35">
        <f>AY2172+AY2181+AY2190</f>
        <v/>
      </c>
      <c r="AZ2199" s="35">
        <f>AZ2172+AZ2181+AZ2190</f>
        <v/>
      </c>
      <c r="BA2199" s="42">
        <f>NEWPOLICY(BA2172,BA2181,BA2190)</f>
        <v/>
      </c>
    </row>
    <row r="2200" hidden="1" outlineLevel="2"/>
    <row r="2201" hidden="1" outlineLevel="2">
      <c r="A2201" s="14" t="inlineStr">
        <is>
          <t>xcp</t>
        </is>
      </c>
      <c r="B2201" s="14" t="inlineStr">
        <is>
          <t>coa</t>
        </is>
      </c>
      <c r="C2201" s="14" t="inlineStr">
        <is>
          <t>nfm</t>
        </is>
      </c>
      <c r="D2201" s="35">
        <f>INDEX(Inputs!$W$5:$W$132,MATCH($B2201&amp;"|"&amp;$C2201,Inputs!$A$5:$A$132,0))</f>
        <v/>
      </c>
      <c r="E2201" s="35">
        <f>INDEX(Inputs!$Z$5:$Z$132,MATCH($B2201&amp;"|"&amp;$C2201,Inputs!$A$5:$A$132,0))</f>
        <v/>
      </c>
      <c r="F2201" s="35">
        <f>INDEX(Inputs!$AA$5:$AA$132,MATCH($B2201&amp;"|"&amp;$C2201,Inputs!$A$5:$A$132,0))</f>
        <v/>
      </c>
      <c r="G2201" s="39" t="n"/>
      <c r="H2201" s="14">
        <f>INDEX(VarLab,MATCH($A2201,VarKey,0))&amp;INDEX(MemLab,MATCH($C2201&amp;"|"&amp;$B2201,MemKey,0))</f>
        <v/>
      </c>
      <c r="I2201" s="14">
        <f>INDEX(VarUnit,MATCH($A2201,VarKey,0))</f>
        <v/>
      </c>
      <c r="J2201" s="14">
        <f>INDEX(VarSrc,MATCH($A2201,VarKey,0))</f>
        <v/>
      </c>
      <c r="K2201" s="11">
        <f>CodePrefix&amp;$A2201&amp;IF($C2201="","","."&amp;$C2201&amp;"."&amp;$B2201)&amp;INDEX(VarEnd,MATCH($A2201,VarKey,0))&amp;K$5</f>
        <v/>
      </c>
      <c r="L2201" s="40">
        <f>$D2201*($E2201*L$321+$F2201*L$324)</f>
        <v/>
      </c>
      <c r="M2201" s="35">
        <f>$D2201*($E2201*M$321+$F2201*M$324)</f>
        <v/>
      </c>
      <c r="N2201" s="35">
        <f>$D2201*($E2201*N$321+$F2201*N$324)</f>
        <v/>
      </c>
      <c r="O2201" s="35">
        <f>$D2201*($E2201*O$321+$F2201*O$324)</f>
        <v/>
      </c>
      <c r="P2201" s="35">
        <f>$D2201*($E2201*P$321+$F2201*P$324)</f>
        <v/>
      </c>
      <c r="Q2201" s="35">
        <f>$D2201*($E2201*Q$321+$F2201*Q$324)</f>
        <v/>
      </c>
      <c r="R2201" s="35">
        <f>$D2201*($E2201*R$321+$F2201*R$324)</f>
        <v/>
      </c>
      <c r="S2201" s="35">
        <f>$D2201*($E2201*S$321+$F2201*S$324)</f>
        <v/>
      </c>
      <c r="T2201" s="35">
        <f>$D2201*($E2201*T$321+$F2201*T$324)</f>
        <v/>
      </c>
      <c r="U2201" s="35">
        <f>$D2201*($E2201*U$321+$F2201*U$324)</f>
        <v/>
      </c>
      <c r="V2201" s="35">
        <f>$D2201*($E2201*V$321+$F2201*V$324)</f>
        <v/>
      </c>
      <c r="W2201" s="35">
        <f>$D2201*($E2201*W$321+$F2201*W$324)</f>
        <v/>
      </c>
      <c r="X2201" s="35">
        <f>$D2201*($E2201*X$321+$F2201*X$324)</f>
        <v/>
      </c>
      <c r="Y2201" s="35">
        <f>$D2201*($E2201*Y$321+$F2201*Y$324)</f>
        <v/>
      </c>
      <c r="Z2201" s="35">
        <f>$D2201*($E2201*Z$321+$F2201*Z$324)</f>
        <v/>
      </c>
      <c r="AA2201" s="35">
        <f>$D2201*($E2201*AA$321+$F2201*AA$324)</f>
        <v/>
      </c>
      <c r="AB2201" s="35">
        <f>$D2201*($E2201*AB$321+$F2201*AB$324)</f>
        <v/>
      </c>
      <c r="AC2201" s="35">
        <f>$D2201*($E2201*AC$321+$F2201*AC$324)</f>
        <v/>
      </c>
      <c r="AD2201" s="35">
        <f>$D2201*($E2201*AD$321+$F2201*AD$324)</f>
        <v/>
      </c>
      <c r="AE2201" s="42">
        <f>XCARBON($D2201,$E2201,AE$321,$F2201,AE$324)</f>
        <v/>
      </c>
      <c r="AG2201" s="11">
        <f>CodePrefix&amp;$A2201&amp;IF($C2201="","","."&amp;$C2201&amp;"."&amp;$B2201)&amp;INDEX(VarEnd,MATCH($A2201,VarKey,0))&amp;AG$5</f>
        <v/>
      </c>
      <c r="AH2201" s="40">
        <f>$D2201*($E2201*AH$321+$F2201*AH$324)</f>
        <v/>
      </c>
      <c r="AI2201" s="35">
        <f>$D2201*($E2201*AI$321+$F2201*AI$324)</f>
        <v/>
      </c>
      <c r="AJ2201" s="35">
        <f>$D2201*($E2201*AJ$321+$F2201*AJ$324)</f>
        <v/>
      </c>
      <c r="AK2201" s="35">
        <f>$D2201*($E2201*AK$321+$F2201*AK$324)</f>
        <v/>
      </c>
      <c r="AL2201" s="35">
        <f>$D2201*($E2201*AL$321+$F2201*AL$324)</f>
        <v/>
      </c>
      <c r="AM2201" s="35">
        <f>$D2201*($E2201*AM$321+$F2201*AM$324)</f>
        <v/>
      </c>
      <c r="AN2201" s="35">
        <f>$D2201*($E2201*AN$321+$F2201*AN$324)</f>
        <v/>
      </c>
      <c r="AO2201" s="35">
        <f>$D2201*($E2201*AO$321+$F2201*AO$324)</f>
        <v/>
      </c>
      <c r="AP2201" s="35">
        <f>$D2201*($E2201*AP$321+$F2201*AP$324)</f>
        <v/>
      </c>
      <c r="AQ2201" s="35">
        <f>$D2201*($E2201*AQ$321+$F2201*AQ$324)</f>
        <v/>
      </c>
      <c r="AR2201" s="35">
        <f>$D2201*($E2201*AR$321+$F2201*AR$324)</f>
        <v/>
      </c>
      <c r="AS2201" s="35">
        <f>$D2201*($E2201*AS$321+$F2201*AS$324)</f>
        <v/>
      </c>
      <c r="AT2201" s="35">
        <f>$D2201*($E2201*AT$321+$F2201*AT$324)</f>
        <v/>
      </c>
      <c r="AU2201" s="35">
        <f>$D2201*($E2201*AU$321+$F2201*AU$324)</f>
        <v/>
      </c>
      <c r="AV2201" s="35">
        <f>$D2201*($E2201*AV$321+$F2201*AV$324)</f>
        <v/>
      </c>
      <c r="AW2201" s="35">
        <f>$D2201*($E2201*AW$321+$F2201*AW$324)</f>
        <v/>
      </c>
      <c r="AX2201" s="35">
        <f>$D2201*($E2201*AX$321+$F2201*AX$324)</f>
        <v/>
      </c>
      <c r="AY2201" s="35">
        <f>$D2201*($E2201*AY$321+$F2201*AY$324)</f>
        <v/>
      </c>
      <c r="AZ2201" s="35">
        <f>$D2201*($E2201*AZ$321+$F2201*AZ$324)</f>
        <v/>
      </c>
      <c r="BA2201" s="42">
        <f>XCARBON($D2201,$E2201,BA$321,$F2201,BA$324)</f>
        <v/>
      </c>
    </row>
    <row r="2202" hidden="1" outlineLevel="2">
      <c r="A2202" s="14" t="inlineStr">
        <is>
          <t>xcp</t>
        </is>
      </c>
      <c r="B2202" s="14" t="inlineStr">
        <is>
          <t>nga</t>
        </is>
      </c>
      <c r="C2202" s="14" t="inlineStr">
        <is>
          <t>nfm</t>
        </is>
      </c>
      <c r="D2202" s="35">
        <f>INDEX(Inputs!$W$5:$W$132,MATCH($B2202&amp;"|"&amp;$C2202,Inputs!$A$5:$A$132,0))</f>
        <v/>
      </c>
      <c r="E2202" s="35">
        <f>INDEX(Inputs!$Z$5:$Z$132,MATCH($B2202&amp;"|"&amp;$C2202,Inputs!$A$5:$A$132,0))</f>
        <v/>
      </c>
      <c r="F2202" s="35">
        <f>INDEX(Inputs!$AA$5:$AA$132,MATCH($B2202&amp;"|"&amp;$C2202,Inputs!$A$5:$A$132,0))</f>
        <v/>
      </c>
      <c r="G2202" s="39" t="n"/>
      <c r="H2202" s="14">
        <f>INDEX(VarLab,MATCH($A2202,VarKey,0))&amp;INDEX(MemLab,MATCH($C2202&amp;"|"&amp;$B2202,MemKey,0))</f>
        <v/>
      </c>
      <c r="I2202" s="14">
        <f>INDEX(VarUnit,MATCH($A2202,VarKey,0))</f>
        <v/>
      </c>
      <c r="J2202" s="14">
        <f>INDEX(VarSrc,MATCH($A2202,VarKey,0))</f>
        <v/>
      </c>
      <c r="K2202" s="11">
        <f>CodePrefix&amp;$A2202&amp;IF($C2202="","","."&amp;$C2202&amp;"."&amp;$B2202)&amp;INDEX(VarEnd,MATCH($A2202,VarKey,0))&amp;K$5</f>
        <v/>
      </c>
      <c r="L2202" s="40">
        <f>$D2202*($E2202*L$321+$F2202*L$324)</f>
        <v/>
      </c>
      <c r="M2202" s="35">
        <f>$D2202*($E2202*M$321+$F2202*M$324)</f>
        <v/>
      </c>
      <c r="N2202" s="35">
        <f>$D2202*($E2202*N$321+$F2202*N$324)</f>
        <v/>
      </c>
      <c r="O2202" s="35">
        <f>$D2202*($E2202*O$321+$F2202*O$324)</f>
        <v/>
      </c>
      <c r="P2202" s="35">
        <f>$D2202*($E2202*P$321+$F2202*P$324)</f>
        <v/>
      </c>
      <c r="Q2202" s="35">
        <f>$D2202*($E2202*Q$321+$F2202*Q$324)</f>
        <v/>
      </c>
      <c r="R2202" s="35">
        <f>$D2202*($E2202*R$321+$F2202*R$324)</f>
        <v/>
      </c>
      <c r="S2202" s="35">
        <f>$D2202*($E2202*S$321+$F2202*S$324)</f>
        <v/>
      </c>
      <c r="T2202" s="35">
        <f>$D2202*($E2202*T$321+$F2202*T$324)</f>
        <v/>
      </c>
      <c r="U2202" s="35">
        <f>$D2202*($E2202*U$321+$F2202*U$324)</f>
        <v/>
      </c>
      <c r="V2202" s="35">
        <f>$D2202*($E2202*V$321+$F2202*V$324)</f>
        <v/>
      </c>
      <c r="W2202" s="35">
        <f>$D2202*($E2202*W$321+$F2202*W$324)</f>
        <v/>
      </c>
      <c r="X2202" s="35">
        <f>$D2202*($E2202*X$321+$F2202*X$324)</f>
        <v/>
      </c>
      <c r="Y2202" s="35">
        <f>$D2202*($E2202*Y$321+$F2202*Y$324)</f>
        <v/>
      </c>
      <c r="Z2202" s="35">
        <f>$D2202*($E2202*Z$321+$F2202*Z$324)</f>
        <v/>
      </c>
      <c r="AA2202" s="35">
        <f>$D2202*($E2202*AA$321+$F2202*AA$324)</f>
        <v/>
      </c>
      <c r="AB2202" s="35">
        <f>$D2202*($E2202*AB$321+$F2202*AB$324)</f>
        <v/>
      </c>
      <c r="AC2202" s="35">
        <f>$D2202*($E2202*AC$321+$F2202*AC$324)</f>
        <v/>
      </c>
      <c r="AD2202" s="35">
        <f>$D2202*($E2202*AD$321+$F2202*AD$324)</f>
        <v/>
      </c>
      <c r="AE2202" s="42">
        <f>XCARBON($D2202,$E2202,AE$321,$F2202,AE$324)</f>
        <v/>
      </c>
      <c r="AG2202" s="11">
        <f>CodePrefix&amp;$A2202&amp;IF($C2202="","","."&amp;$C2202&amp;"."&amp;$B2202)&amp;INDEX(VarEnd,MATCH($A2202,VarKey,0))&amp;AG$5</f>
        <v/>
      </c>
      <c r="AH2202" s="40">
        <f>$D2202*($E2202*AH$321+$F2202*AH$324)</f>
        <v/>
      </c>
      <c r="AI2202" s="35">
        <f>$D2202*($E2202*AI$321+$F2202*AI$324)</f>
        <v/>
      </c>
      <c r="AJ2202" s="35">
        <f>$D2202*($E2202*AJ$321+$F2202*AJ$324)</f>
        <v/>
      </c>
      <c r="AK2202" s="35">
        <f>$D2202*($E2202*AK$321+$F2202*AK$324)</f>
        <v/>
      </c>
      <c r="AL2202" s="35">
        <f>$D2202*($E2202*AL$321+$F2202*AL$324)</f>
        <v/>
      </c>
      <c r="AM2202" s="35">
        <f>$D2202*($E2202*AM$321+$F2202*AM$324)</f>
        <v/>
      </c>
      <c r="AN2202" s="35">
        <f>$D2202*($E2202*AN$321+$F2202*AN$324)</f>
        <v/>
      </c>
      <c r="AO2202" s="35">
        <f>$D2202*($E2202*AO$321+$F2202*AO$324)</f>
        <v/>
      </c>
      <c r="AP2202" s="35">
        <f>$D2202*($E2202*AP$321+$F2202*AP$324)</f>
        <v/>
      </c>
      <c r="AQ2202" s="35">
        <f>$D2202*($E2202*AQ$321+$F2202*AQ$324)</f>
        <v/>
      </c>
      <c r="AR2202" s="35">
        <f>$D2202*($E2202*AR$321+$F2202*AR$324)</f>
        <v/>
      </c>
      <c r="AS2202" s="35">
        <f>$D2202*($E2202*AS$321+$F2202*AS$324)</f>
        <v/>
      </c>
      <c r="AT2202" s="35">
        <f>$D2202*($E2202*AT$321+$F2202*AT$324)</f>
        <v/>
      </c>
      <c r="AU2202" s="35">
        <f>$D2202*($E2202*AU$321+$F2202*AU$324)</f>
        <v/>
      </c>
      <c r="AV2202" s="35">
        <f>$D2202*($E2202*AV$321+$F2202*AV$324)</f>
        <v/>
      </c>
      <c r="AW2202" s="35">
        <f>$D2202*($E2202*AW$321+$F2202*AW$324)</f>
        <v/>
      </c>
      <c r="AX2202" s="35">
        <f>$D2202*($E2202*AX$321+$F2202*AX$324)</f>
        <v/>
      </c>
      <c r="AY2202" s="35">
        <f>$D2202*($E2202*AY$321+$F2202*AY$324)</f>
        <v/>
      </c>
      <c r="AZ2202" s="35">
        <f>$D2202*($E2202*AZ$321+$F2202*AZ$324)</f>
        <v/>
      </c>
      <c r="BA2202" s="42">
        <f>XCARBON($D2202,$E2202,BA$321,$F2202,BA$324)</f>
        <v/>
      </c>
    </row>
    <row r="2203" hidden="1" outlineLevel="2">
      <c r="A2203" s="14" t="inlineStr">
        <is>
          <t>xcp</t>
        </is>
      </c>
      <c r="B2203" s="14" t="inlineStr">
        <is>
          <t>gso</t>
        </is>
      </c>
      <c r="C2203" s="14" t="inlineStr">
        <is>
          <t>nfm</t>
        </is>
      </c>
      <c r="D2203" s="35">
        <f>INDEX(Inputs!$W$5:$W$132,MATCH($B2203&amp;"|"&amp;$C2203,Inputs!$A$5:$A$132,0))</f>
        <v/>
      </c>
      <c r="E2203" s="35">
        <f>INDEX(Inputs!$Z$5:$Z$132,MATCH($B2203&amp;"|"&amp;$C2203,Inputs!$A$5:$A$132,0))</f>
        <v/>
      </c>
      <c r="F2203" s="35">
        <f>INDEX(Inputs!$AA$5:$AA$132,MATCH($B2203&amp;"|"&amp;$C2203,Inputs!$A$5:$A$132,0))</f>
        <v/>
      </c>
      <c r="G2203" s="39" t="n"/>
      <c r="H2203" s="14">
        <f>INDEX(VarLab,MATCH($A2203,VarKey,0))&amp;INDEX(MemLab,MATCH($C2203&amp;"|"&amp;$B2203,MemKey,0))</f>
        <v/>
      </c>
      <c r="I2203" s="14">
        <f>INDEX(VarUnit,MATCH($A2203,VarKey,0))</f>
        <v/>
      </c>
      <c r="J2203" s="14">
        <f>INDEX(VarSrc,MATCH($A2203,VarKey,0))</f>
        <v/>
      </c>
      <c r="K2203" s="11">
        <f>CodePrefix&amp;$A2203&amp;IF($C2203="","","."&amp;$C2203&amp;"."&amp;$B2203)&amp;INDEX(VarEnd,MATCH($A2203,VarKey,0))&amp;K$5</f>
        <v/>
      </c>
      <c r="L2203" s="40">
        <f>$D2203*($E2203*L$321+$F2203*L$324)</f>
        <v/>
      </c>
      <c r="M2203" s="35">
        <f>$D2203*($E2203*M$321+$F2203*M$324)</f>
        <v/>
      </c>
      <c r="N2203" s="35">
        <f>$D2203*($E2203*N$321+$F2203*N$324)</f>
        <v/>
      </c>
      <c r="O2203" s="35">
        <f>$D2203*($E2203*O$321+$F2203*O$324)</f>
        <v/>
      </c>
      <c r="P2203" s="35">
        <f>$D2203*($E2203*P$321+$F2203*P$324)</f>
        <v/>
      </c>
      <c r="Q2203" s="35">
        <f>$D2203*($E2203*Q$321+$F2203*Q$324)</f>
        <v/>
      </c>
      <c r="R2203" s="35">
        <f>$D2203*($E2203*R$321+$F2203*R$324)</f>
        <v/>
      </c>
      <c r="S2203" s="35">
        <f>$D2203*($E2203*S$321+$F2203*S$324)</f>
        <v/>
      </c>
      <c r="T2203" s="35">
        <f>$D2203*($E2203*T$321+$F2203*T$324)</f>
        <v/>
      </c>
      <c r="U2203" s="35">
        <f>$D2203*($E2203*U$321+$F2203*U$324)</f>
        <v/>
      </c>
      <c r="V2203" s="35">
        <f>$D2203*($E2203*V$321+$F2203*V$324)</f>
        <v/>
      </c>
      <c r="W2203" s="35">
        <f>$D2203*($E2203*W$321+$F2203*W$324)</f>
        <v/>
      </c>
      <c r="X2203" s="35">
        <f>$D2203*($E2203*X$321+$F2203*X$324)</f>
        <v/>
      </c>
      <c r="Y2203" s="35">
        <f>$D2203*($E2203*Y$321+$F2203*Y$324)</f>
        <v/>
      </c>
      <c r="Z2203" s="35">
        <f>$D2203*($E2203*Z$321+$F2203*Z$324)</f>
        <v/>
      </c>
      <c r="AA2203" s="35">
        <f>$D2203*($E2203*AA$321+$F2203*AA$324)</f>
        <v/>
      </c>
      <c r="AB2203" s="35">
        <f>$D2203*($E2203*AB$321+$F2203*AB$324)</f>
        <v/>
      </c>
      <c r="AC2203" s="35">
        <f>$D2203*($E2203*AC$321+$F2203*AC$324)</f>
        <v/>
      </c>
      <c r="AD2203" s="35">
        <f>$D2203*($E2203*AD$321+$F2203*AD$324)</f>
        <v/>
      </c>
      <c r="AE2203" s="42">
        <f>XCARBON($D2203,$E2203,AE$321,$F2203,AE$324)</f>
        <v/>
      </c>
      <c r="AG2203" s="11">
        <f>CodePrefix&amp;$A2203&amp;IF($C2203="","","."&amp;$C2203&amp;"."&amp;$B2203)&amp;INDEX(VarEnd,MATCH($A2203,VarKey,0))&amp;AG$5</f>
        <v/>
      </c>
      <c r="AH2203" s="40">
        <f>$D2203*($E2203*AH$321+$F2203*AH$324)</f>
        <v/>
      </c>
      <c r="AI2203" s="35">
        <f>$D2203*($E2203*AI$321+$F2203*AI$324)</f>
        <v/>
      </c>
      <c r="AJ2203" s="35">
        <f>$D2203*($E2203*AJ$321+$F2203*AJ$324)</f>
        <v/>
      </c>
      <c r="AK2203" s="35">
        <f>$D2203*($E2203*AK$321+$F2203*AK$324)</f>
        <v/>
      </c>
      <c r="AL2203" s="35">
        <f>$D2203*($E2203*AL$321+$F2203*AL$324)</f>
        <v/>
      </c>
      <c r="AM2203" s="35">
        <f>$D2203*($E2203*AM$321+$F2203*AM$324)</f>
        <v/>
      </c>
      <c r="AN2203" s="35">
        <f>$D2203*($E2203*AN$321+$F2203*AN$324)</f>
        <v/>
      </c>
      <c r="AO2203" s="35">
        <f>$D2203*($E2203*AO$321+$F2203*AO$324)</f>
        <v/>
      </c>
      <c r="AP2203" s="35">
        <f>$D2203*($E2203*AP$321+$F2203*AP$324)</f>
        <v/>
      </c>
      <c r="AQ2203" s="35">
        <f>$D2203*($E2203*AQ$321+$F2203*AQ$324)</f>
        <v/>
      </c>
      <c r="AR2203" s="35">
        <f>$D2203*($E2203*AR$321+$F2203*AR$324)</f>
        <v/>
      </c>
      <c r="AS2203" s="35">
        <f>$D2203*($E2203*AS$321+$F2203*AS$324)</f>
        <v/>
      </c>
      <c r="AT2203" s="35">
        <f>$D2203*($E2203*AT$321+$F2203*AT$324)</f>
        <v/>
      </c>
      <c r="AU2203" s="35">
        <f>$D2203*($E2203*AU$321+$F2203*AU$324)</f>
        <v/>
      </c>
      <c r="AV2203" s="35">
        <f>$D2203*($E2203*AV$321+$F2203*AV$324)</f>
        <v/>
      </c>
      <c r="AW2203" s="35">
        <f>$D2203*($E2203*AW$321+$F2203*AW$324)</f>
        <v/>
      </c>
      <c r="AX2203" s="35">
        <f>$D2203*($E2203*AX$321+$F2203*AX$324)</f>
        <v/>
      </c>
      <c r="AY2203" s="35">
        <f>$D2203*($E2203*AY$321+$F2203*AY$324)</f>
        <v/>
      </c>
      <c r="AZ2203" s="35">
        <f>$D2203*($E2203*AZ$321+$F2203*AZ$324)</f>
        <v/>
      </c>
      <c r="BA2203" s="42">
        <f>XCARBON($D2203,$E2203,BA$321,$F2203,BA$324)</f>
        <v/>
      </c>
    </row>
    <row r="2204" hidden="1" outlineLevel="2">
      <c r="A2204" s="14" t="inlineStr">
        <is>
          <t>xcp</t>
        </is>
      </c>
      <c r="B2204" s="14" t="inlineStr">
        <is>
          <t>die</t>
        </is>
      </c>
      <c r="C2204" s="14" t="inlineStr">
        <is>
          <t>nfm</t>
        </is>
      </c>
      <c r="D2204" s="35">
        <f>INDEX(Inputs!$W$5:$W$132,MATCH($B2204&amp;"|"&amp;$C2204,Inputs!$A$5:$A$132,0))</f>
        <v/>
      </c>
      <c r="E2204" s="35">
        <f>INDEX(Inputs!$Z$5:$Z$132,MATCH($B2204&amp;"|"&amp;$C2204,Inputs!$A$5:$A$132,0))</f>
        <v/>
      </c>
      <c r="F2204" s="35">
        <f>INDEX(Inputs!$AA$5:$AA$132,MATCH($B2204&amp;"|"&amp;$C2204,Inputs!$A$5:$A$132,0))</f>
        <v/>
      </c>
      <c r="G2204" s="39" t="n"/>
      <c r="H2204" s="14">
        <f>INDEX(VarLab,MATCH($A2204,VarKey,0))&amp;INDEX(MemLab,MATCH($C2204&amp;"|"&amp;$B2204,MemKey,0))</f>
        <v/>
      </c>
      <c r="I2204" s="14">
        <f>INDEX(VarUnit,MATCH($A2204,VarKey,0))</f>
        <v/>
      </c>
      <c r="J2204" s="14">
        <f>INDEX(VarSrc,MATCH($A2204,VarKey,0))</f>
        <v/>
      </c>
      <c r="K2204" s="11">
        <f>CodePrefix&amp;$A2204&amp;IF($C2204="","","."&amp;$C2204&amp;"."&amp;$B2204)&amp;INDEX(VarEnd,MATCH($A2204,VarKey,0))&amp;K$5</f>
        <v/>
      </c>
      <c r="L2204" s="40">
        <f>$D2204*($E2204*L$321+$F2204*L$324)</f>
        <v/>
      </c>
      <c r="M2204" s="35">
        <f>$D2204*($E2204*M$321+$F2204*M$324)</f>
        <v/>
      </c>
      <c r="N2204" s="35">
        <f>$D2204*($E2204*N$321+$F2204*N$324)</f>
        <v/>
      </c>
      <c r="O2204" s="35">
        <f>$D2204*($E2204*O$321+$F2204*O$324)</f>
        <v/>
      </c>
      <c r="P2204" s="35">
        <f>$D2204*($E2204*P$321+$F2204*P$324)</f>
        <v/>
      </c>
      <c r="Q2204" s="35">
        <f>$D2204*($E2204*Q$321+$F2204*Q$324)</f>
        <v/>
      </c>
      <c r="R2204" s="35">
        <f>$D2204*($E2204*R$321+$F2204*R$324)</f>
        <v/>
      </c>
      <c r="S2204" s="35">
        <f>$D2204*($E2204*S$321+$F2204*S$324)</f>
        <v/>
      </c>
      <c r="T2204" s="35">
        <f>$D2204*($E2204*T$321+$F2204*T$324)</f>
        <v/>
      </c>
      <c r="U2204" s="35">
        <f>$D2204*($E2204*U$321+$F2204*U$324)</f>
        <v/>
      </c>
      <c r="V2204" s="35">
        <f>$D2204*($E2204*V$321+$F2204*V$324)</f>
        <v/>
      </c>
      <c r="W2204" s="35">
        <f>$D2204*($E2204*W$321+$F2204*W$324)</f>
        <v/>
      </c>
      <c r="X2204" s="35">
        <f>$D2204*($E2204*X$321+$F2204*X$324)</f>
        <v/>
      </c>
      <c r="Y2204" s="35">
        <f>$D2204*($E2204*Y$321+$F2204*Y$324)</f>
        <v/>
      </c>
      <c r="Z2204" s="35">
        <f>$D2204*($E2204*Z$321+$F2204*Z$324)</f>
        <v/>
      </c>
      <c r="AA2204" s="35">
        <f>$D2204*($E2204*AA$321+$F2204*AA$324)</f>
        <v/>
      </c>
      <c r="AB2204" s="35">
        <f>$D2204*($E2204*AB$321+$F2204*AB$324)</f>
        <v/>
      </c>
      <c r="AC2204" s="35">
        <f>$D2204*($E2204*AC$321+$F2204*AC$324)</f>
        <v/>
      </c>
      <c r="AD2204" s="35">
        <f>$D2204*($E2204*AD$321+$F2204*AD$324)</f>
        <v/>
      </c>
      <c r="AE2204" s="42">
        <f>XCARBON($D2204,$E2204,AE$321,$F2204,AE$324)</f>
        <v/>
      </c>
      <c r="AG2204" s="11">
        <f>CodePrefix&amp;$A2204&amp;IF($C2204="","","."&amp;$C2204&amp;"."&amp;$B2204)&amp;INDEX(VarEnd,MATCH($A2204,VarKey,0))&amp;AG$5</f>
        <v/>
      </c>
      <c r="AH2204" s="40">
        <f>$D2204*($E2204*AH$321+$F2204*AH$324)</f>
        <v/>
      </c>
      <c r="AI2204" s="35">
        <f>$D2204*($E2204*AI$321+$F2204*AI$324)</f>
        <v/>
      </c>
      <c r="AJ2204" s="35">
        <f>$D2204*($E2204*AJ$321+$F2204*AJ$324)</f>
        <v/>
      </c>
      <c r="AK2204" s="35">
        <f>$D2204*($E2204*AK$321+$F2204*AK$324)</f>
        <v/>
      </c>
      <c r="AL2204" s="35">
        <f>$D2204*($E2204*AL$321+$F2204*AL$324)</f>
        <v/>
      </c>
      <c r="AM2204" s="35">
        <f>$D2204*($E2204*AM$321+$F2204*AM$324)</f>
        <v/>
      </c>
      <c r="AN2204" s="35">
        <f>$D2204*($E2204*AN$321+$F2204*AN$324)</f>
        <v/>
      </c>
      <c r="AO2204" s="35">
        <f>$D2204*($E2204*AO$321+$F2204*AO$324)</f>
        <v/>
      </c>
      <c r="AP2204" s="35">
        <f>$D2204*($E2204*AP$321+$F2204*AP$324)</f>
        <v/>
      </c>
      <c r="AQ2204" s="35">
        <f>$D2204*($E2204*AQ$321+$F2204*AQ$324)</f>
        <v/>
      </c>
      <c r="AR2204" s="35">
        <f>$D2204*($E2204*AR$321+$F2204*AR$324)</f>
        <v/>
      </c>
      <c r="AS2204" s="35">
        <f>$D2204*($E2204*AS$321+$F2204*AS$324)</f>
        <v/>
      </c>
      <c r="AT2204" s="35">
        <f>$D2204*($E2204*AT$321+$F2204*AT$324)</f>
        <v/>
      </c>
      <c r="AU2204" s="35">
        <f>$D2204*($E2204*AU$321+$F2204*AU$324)</f>
        <v/>
      </c>
      <c r="AV2204" s="35">
        <f>$D2204*($E2204*AV$321+$F2204*AV$324)</f>
        <v/>
      </c>
      <c r="AW2204" s="35">
        <f>$D2204*($E2204*AW$321+$F2204*AW$324)</f>
        <v/>
      </c>
      <c r="AX2204" s="35">
        <f>$D2204*($E2204*AX$321+$F2204*AX$324)</f>
        <v/>
      </c>
      <c r="AY2204" s="35">
        <f>$D2204*($E2204*AY$321+$F2204*AY$324)</f>
        <v/>
      </c>
      <c r="AZ2204" s="35">
        <f>$D2204*($E2204*AZ$321+$F2204*AZ$324)</f>
        <v/>
      </c>
      <c r="BA2204" s="42">
        <f>XCARBON($D2204,$E2204,BA$321,$F2204,BA$324)</f>
        <v/>
      </c>
    </row>
    <row r="2205" hidden="1" outlineLevel="2">
      <c r="A2205" s="14" t="inlineStr">
        <is>
          <t>xcp</t>
        </is>
      </c>
      <c r="B2205" s="14" t="inlineStr">
        <is>
          <t>lpg</t>
        </is>
      </c>
      <c r="C2205" s="14" t="inlineStr">
        <is>
          <t>nfm</t>
        </is>
      </c>
      <c r="D2205" s="35">
        <f>INDEX(Inputs!$W$5:$W$132,MATCH($B2205&amp;"|"&amp;$C2205,Inputs!$A$5:$A$132,0))</f>
        <v/>
      </c>
      <c r="E2205" s="35">
        <f>INDEX(Inputs!$Z$5:$Z$132,MATCH($B2205&amp;"|"&amp;$C2205,Inputs!$A$5:$A$132,0))</f>
        <v/>
      </c>
      <c r="F2205" s="35">
        <f>INDEX(Inputs!$AA$5:$AA$132,MATCH($B2205&amp;"|"&amp;$C2205,Inputs!$A$5:$A$132,0))</f>
        <v/>
      </c>
      <c r="G2205" s="39" t="n"/>
      <c r="H2205" s="14">
        <f>INDEX(VarLab,MATCH($A2205,VarKey,0))&amp;INDEX(MemLab,MATCH($C2205&amp;"|"&amp;$B2205,MemKey,0))</f>
        <v/>
      </c>
      <c r="I2205" s="14">
        <f>INDEX(VarUnit,MATCH($A2205,VarKey,0))</f>
        <v/>
      </c>
      <c r="J2205" s="14">
        <f>INDEX(VarSrc,MATCH($A2205,VarKey,0))</f>
        <v/>
      </c>
      <c r="K2205" s="11">
        <f>CodePrefix&amp;$A2205&amp;IF($C2205="","","."&amp;$C2205&amp;"."&amp;$B2205)&amp;INDEX(VarEnd,MATCH($A2205,VarKey,0))&amp;K$5</f>
        <v/>
      </c>
      <c r="L2205" s="40">
        <f>$D2205*($E2205*L$321+$F2205*L$324)</f>
        <v/>
      </c>
      <c r="M2205" s="35">
        <f>$D2205*($E2205*M$321+$F2205*M$324)</f>
        <v/>
      </c>
      <c r="N2205" s="35">
        <f>$D2205*($E2205*N$321+$F2205*N$324)</f>
        <v/>
      </c>
      <c r="O2205" s="35">
        <f>$D2205*($E2205*O$321+$F2205*O$324)</f>
        <v/>
      </c>
      <c r="P2205" s="35">
        <f>$D2205*($E2205*P$321+$F2205*P$324)</f>
        <v/>
      </c>
      <c r="Q2205" s="35">
        <f>$D2205*($E2205*Q$321+$F2205*Q$324)</f>
        <v/>
      </c>
      <c r="R2205" s="35">
        <f>$D2205*($E2205*R$321+$F2205*R$324)</f>
        <v/>
      </c>
      <c r="S2205" s="35">
        <f>$D2205*($E2205*S$321+$F2205*S$324)</f>
        <v/>
      </c>
      <c r="T2205" s="35">
        <f>$D2205*($E2205*T$321+$F2205*T$324)</f>
        <v/>
      </c>
      <c r="U2205" s="35">
        <f>$D2205*($E2205*U$321+$F2205*U$324)</f>
        <v/>
      </c>
      <c r="V2205" s="35">
        <f>$D2205*($E2205*V$321+$F2205*V$324)</f>
        <v/>
      </c>
      <c r="W2205" s="35">
        <f>$D2205*($E2205*W$321+$F2205*W$324)</f>
        <v/>
      </c>
      <c r="X2205" s="35">
        <f>$D2205*($E2205*X$321+$F2205*X$324)</f>
        <v/>
      </c>
      <c r="Y2205" s="35">
        <f>$D2205*($E2205*Y$321+$F2205*Y$324)</f>
        <v/>
      </c>
      <c r="Z2205" s="35">
        <f>$D2205*($E2205*Z$321+$F2205*Z$324)</f>
        <v/>
      </c>
      <c r="AA2205" s="35">
        <f>$D2205*($E2205*AA$321+$F2205*AA$324)</f>
        <v/>
      </c>
      <c r="AB2205" s="35">
        <f>$D2205*($E2205*AB$321+$F2205*AB$324)</f>
        <v/>
      </c>
      <c r="AC2205" s="35">
        <f>$D2205*($E2205*AC$321+$F2205*AC$324)</f>
        <v/>
      </c>
      <c r="AD2205" s="35">
        <f>$D2205*($E2205*AD$321+$F2205*AD$324)</f>
        <v/>
      </c>
      <c r="AE2205" s="42">
        <f>XCARBON($D2205,$E2205,AE$321,$F2205,AE$324)</f>
        <v/>
      </c>
      <c r="AG2205" s="11">
        <f>CodePrefix&amp;$A2205&amp;IF($C2205="","","."&amp;$C2205&amp;"."&amp;$B2205)&amp;INDEX(VarEnd,MATCH($A2205,VarKey,0))&amp;AG$5</f>
        <v/>
      </c>
      <c r="AH2205" s="40">
        <f>$D2205*($E2205*AH$321+$F2205*AH$324)</f>
        <v/>
      </c>
      <c r="AI2205" s="35">
        <f>$D2205*($E2205*AI$321+$F2205*AI$324)</f>
        <v/>
      </c>
      <c r="AJ2205" s="35">
        <f>$D2205*($E2205*AJ$321+$F2205*AJ$324)</f>
        <v/>
      </c>
      <c r="AK2205" s="35">
        <f>$D2205*($E2205*AK$321+$F2205*AK$324)</f>
        <v/>
      </c>
      <c r="AL2205" s="35">
        <f>$D2205*($E2205*AL$321+$F2205*AL$324)</f>
        <v/>
      </c>
      <c r="AM2205" s="35">
        <f>$D2205*($E2205*AM$321+$F2205*AM$324)</f>
        <v/>
      </c>
      <c r="AN2205" s="35">
        <f>$D2205*($E2205*AN$321+$F2205*AN$324)</f>
        <v/>
      </c>
      <c r="AO2205" s="35">
        <f>$D2205*($E2205*AO$321+$F2205*AO$324)</f>
        <v/>
      </c>
      <c r="AP2205" s="35">
        <f>$D2205*($E2205*AP$321+$F2205*AP$324)</f>
        <v/>
      </c>
      <c r="AQ2205" s="35">
        <f>$D2205*($E2205*AQ$321+$F2205*AQ$324)</f>
        <v/>
      </c>
      <c r="AR2205" s="35">
        <f>$D2205*($E2205*AR$321+$F2205*AR$324)</f>
        <v/>
      </c>
      <c r="AS2205" s="35">
        <f>$D2205*($E2205*AS$321+$F2205*AS$324)</f>
        <v/>
      </c>
      <c r="AT2205" s="35">
        <f>$D2205*($E2205*AT$321+$F2205*AT$324)</f>
        <v/>
      </c>
      <c r="AU2205" s="35">
        <f>$D2205*($E2205*AU$321+$F2205*AU$324)</f>
        <v/>
      </c>
      <c r="AV2205" s="35">
        <f>$D2205*($E2205*AV$321+$F2205*AV$324)</f>
        <v/>
      </c>
      <c r="AW2205" s="35">
        <f>$D2205*($E2205*AW$321+$F2205*AW$324)</f>
        <v/>
      </c>
      <c r="AX2205" s="35">
        <f>$D2205*($E2205*AX$321+$F2205*AX$324)</f>
        <v/>
      </c>
      <c r="AY2205" s="35">
        <f>$D2205*($E2205*AY$321+$F2205*AY$324)</f>
        <v/>
      </c>
      <c r="AZ2205" s="35">
        <f>$D2205*($E2205*AZ$321+$F2205*AZ$324)</f>
        <v/>
      </c>
      <c r="BA2205" s="42">
        <f>XCARBON($D2205,$E2205,BA$321,$F2205,BA$324)</f>
        <v/>
      </c>
    </row>
    <row r="2206" hidden="1" outlineLevel="2">
      <c r="A2206" s="14" t="inlineStr">
        <is>
          <t>xcp</t>
        </is>
      </c>
      <c r="B2206" s="14" t="inlineStr">
        <is>
          <t>ker</t>
        </is>
      </c>
      <c r="C2206" s="14" t="inlineStr">
        <is>
          <t>nfm</t>
        </is>
      </c>
      <c r="D2206" s="35">
        <f>INDEX(Inputs!$W$5:$W$132,MATCH($B2206&amp;"|"&amp;$C2206,Inputs!$A$5:$A$132,0))</f>
        <v/>
      </c>
      <c r="E2206" s="35">
        <f>INDEX(Inputs!$Z$5:$Z$132,MATCH($B2206&amp;"|"&amp;$C2206,Inputs!$A$5:$A$132,0))</f>
        <v/>
      </c>
      <c r="F2206" s="35">
        <f>INDEX(Inputs!$AA$5:$AA$132,MATCH($B2206&amp;"|"&amp;$C2206,Inputs!$A$5:$A$132,0))</f>
        <v/>
      </c>
      <c r="G2206" s="39" t="n"/>
      <c r="H2206" s="14">
        <f>INDEX(VarLab,MATCH($A2206,VarKey,0))&amp;INDEX(MemLab,MATCH($C2206&amp;"|"&amp;$B2206,MemKey,0))</f>
        <v/>
      </c>
      <c r="I2206" s="14">
        <f>INDEX(VarUnit,MATCH($A2206,VarKey,0))</f>
        <v/>
      </c>
      <c r="J2206" s="14">
        <f>INDEX(VarSrc,MATCH($A2206,VarKey,0))</f>
        <v/>
      </c>
      <c r="K2206" s="11">
        <f>CodePrefix&amp;$A2206&amp;IF($C2206="","","."&amp;$C2206&amp;"."&amp;$B2206)&amp;INDEX(VarEnd,MATCH($A2206,VarKey,0))&amp;K$5</f>
        <v/>
      </c>
      <c r="L2206" s="40">
        <f>$D2206*($E2206*L$321+$F2206*L$324)</f>
        <v/>
      </c>
      <c r="M2206" s="35">
        <f>$D2206*($E2206*M$321+$F2206*M$324)</f>
        <v/>
      </c>
      <c r="N2206" s="35">
        <f>$D2206*($E2206*N$321+$F2206*N$324)</f>
        <v/>
      </c>
      <c r="O2206" s="35">
        <f>$D2206*($E2206*O$321+$F2206*O$324)</f>
        <v/>
      </c>
      <c r="P2206" s="35">
        <f>$D2206*($E2206*P$321+$F2206*P$324)</f>
        <v/>
      </c>
      <c r="Q2206" s="35">
        <f>$D2206*($E2206*Q$321+$F2206*Q$324)</f>
        <v/>
      </c>
      <c r="R2206" s="35">
        <f>$D2206*($E2206*R$321+$F2206*R$324)</f>
        <v/>
      </c>
      <c r="S2206" s="35">
        <f>$D2206*($E2206*S$321+$F2206*S$324)</f>
        <v/>
      </c>
      <c r="T2206" s="35">
        <f>$D2206*($E2206*T$321+$F2206*T$324)</f>
        <v/>
      </c>
      <c r="U2206" s="35">
        <f>$D2206*($E2206*U$321+$F2206*U$324)</f>
        <v/>
      </c>
      <c r="V2206" s="35">
        <f>$D2206*($E2206*V$321+$F2206*V$324)</f>
        <v/>
      </c>
      <c r="W2206" s="35">
        <f>$D2206*($E2206*W$321+$F2206*W$324)</f>
        <v/>
      </c>
      <c r="X2206" s="35">
        <f>$D2206*($E2206*X$321+$F2206*X$324)</f>
        <v/>
      </c>
      <c r="Y2206" s="35">
        <f>$D2206*($E2206*Y$321+$F2206*Y$324)</f>
        <v/>
      </c>
      <c r="Z2206" s="35">
        <f>$D2206*($E2206*Z$321+$F2206*Z$324)</f>
        <v/>
      </c>
      <c r="AA2206" s="35">
        <f>$D2206*($E2206*AA$321+$F2206*AA$324)</f>
        <v/>
      </c>
      <c r="AB2206" s="35">
        <f>$D2206*($E2206*AB$321+$F2206*AB$324)</f>
        <v/>
      </c>
      <c r="AC2206" s="35">
        <f>$D2206*($E2206*AC$321+$F2206*AC$324)</f>
        <v/>
      </c>
      <c r="AD2206" s="35">
        <f>$D2206*($E2206*AD$321+$F2206*AD$324)</f>
        <v/>
      </c>
      <c r="AE2206" s="42">
        <f>XCARBON($D2206,$E2206,AE$321,$F2206,AE$324)</f>
        <v/>
      </c>
      <c r="AG2206" s="11">
        <f>CodePrefix&amp;$A2206&amp;IF($C2206="","","."&amp;$C2206&amp;"."&amp;$B2206)&amp;INDEX(VarEnd,MATCH($A2206,VarKey,0))&amp;AG$5</f>
        <v/>
      </c>
      <c r="AH2206" s="40">
        <f>$D2206*($E2206*AH$321+$F2206*AH$324)</f>
        <v/>
      </c>
      <c r="AI2206" s="35">
        <f>$D2206*($E2206*AI$321+$F2206*AI$324)</f>
        <v/>
      </c>
      <c r="AJ2206" s="35">
        <f>$D2206*($E2206*AJ$321+$F2206*AJ$324)</f>
        <v/>
      </c>
      <c r="AK2206" s="35">
        <f>$D2206*($E2206*AK$321+$F2206*AK$324)</f>
        <v/>
      </c>
      <c r="AL2206" s="35">
        <f>$D2206*($E2206*AL$321+$F2206*AL$324)</f>
        <v/>
      </c>
      <c r="AM2206" s="35">
        <f>$D2206*($E2206*AM$321+$F2206*AM$324)</f>
        <v/>
      </c>
      <c r="AN2206" s="35">
        <f>$D2206*($E2206*AN$321+$F2206*AN$324)</f>
        <v/>
      </c>
      <c r="AO2206" s="35">
        <f>$D2206*($E2206*AO$321+$F2206*AO$324)</f>
        <v/>
      </c>
      <c r="AP2206" s="35">
        <f>$D2206*($E2206*AP$321+$F2206*AP$324)</f>
        <v/>
      </c>
      <c r="AQ2206" s="35">
        <f>$D2206*($E2206*AQ$321+$F2206*AQ$324)</f>
        <v/>
      </c>
      <c r="AR2206" s="35">
        <f>$D2206*($E2206*AR$321+$F2206*AR$324)</f>
        <v/>
      </c>
      <c r="AS2206" s="35">
        <f>$D2206*($E2206*AS$321+$F2206*AS$324)</f>
        <v/>
      </c>
      <c r="AT2206" s="35">
        <f>$D2206*($E2206*AT$321+$F2206*AT$324)</f>
        <v/>
      </c>
      <c r="AU2206" s="35">
        <f>$D2206*($E2206*AU$321+$F2206*AU$324)</f>
        <v/>
      </c>
      <c r="AV2206" s="35">
        <f>$D2206*($E2206*AV$321+$F2206*AV$324)</f>
        <v/>
      </c>
      <c r="AW2206" s="35">
        <f>$D2206*($E2206*AW$321+$F2206*AW$324)</f>
        <v/>
      </c>
      <c r="AX2206" s="35">
        <f>$D2206*($E2206*AX$321+$F2206*AX$324)</f>
        <v/>
      </c>
      <c r="AY2206" s="35">
        <f>$D2206*($E2206*AY$321+$F2206*AY$324)</f>
        <v/>
      </c>
      <c r="AZ2206" s="35">
        <f>$D2206*($E2206*AZ$321+$F2206*AZ$324)</f>
        <v/>
      </c>
      <c r="BA2206" s="42">
        <f>XCARBON($D2206,$E2206,BA$321,$F2206,BA$324)</f>
        <v/>
      </c>
    </row>
    <row r="2207" hidden="1" outlineLevel="2">
      <c r="A2207" s="14" t="inlineStr">
        <is>
          <t>xcp</t>
        </is>
      </c>
      <c r="B2207" s="14" t="inlineStr">
        <is>
          <t>oop</t>
        </is>
      </c>
      <c r="C2207" s="14" t="inlineStr">
        <is>
          <t>nfm</t>
        </is>
      </c>
      <c r="D2207" s="35">
        <f>INDEX(Inputs!$W$5:$W$132,MATCH($B2207&amp;"|"&amp;$C2207,Inputs!$A$5:$A$132,0))</f>
        <v/>
      </c>
      <c r="E2207" s="35">
        <f>INDEX(Inputs!$Z$5:$Z$132,MATCH($B2207&amp;"|"&amp;$C2207,Inputs!$A$5:$A$132,0))</f>
        <v/>
      </c>
      <c r="F2207" s="35">
        <f>INDEX(Inputs!$AA$5:$AA$132,MATCH($B2207&amp;"|"&amp;$C2207,Inputs!$A$5:$A$132,0))</f>
        <v/>
      </c>
      <c r="G2207" s="39" t="n"/>
      <c r="H2207" s="14">
        <f>INDEX(VarLab,MATCH($A2207,VarKey,0))&amp;INDEX(MemLab,MATCH($C2207&amp;"|"&amp;$B2207,MemKey,0))</f>
        <v/>
      </c>
      <c r="I2207" s="14">
        <f>INDEX(VarUnit,MATCH($A2207,VarKey,0))</f>
        <v/>
      </c>
      <c r="J2207" s="14">
        <f>INDEX(VarSrc,MATCH($A2207,VarKey,0))</f>
        <v/>
      </c>
      <c r="K2207" s="11">
        <f>CodePrefix&amp;$A2207&amp;IF($C2207="","","."&amp;$C2207&amp;"."&amp;$B2207)&amp;INDEX(VarEnd,MATCH($A2207,VarKey,0))&amp;K$5</f>
        <v/>
      </c>
      <c r="L2207" s="40">
        <f>$D2207*($E2207*L$321+$F2207*L$324)</f>
        <v/>
      </c>
      <c r="M2207" s="35">
        <f>$D2207*($E2207*M$321+$F2207*M$324)</f>
        <v/>
      </c>
      <c r="N2207" s="35">
        <f>$D2207*($E2207*N$321+$F2207*N$324)</f>
        <v/>
      </c>
      <c r="O2207" s="35">
        <f>$D2207*($E2207*O$321+$F2207*O$324)</f>
        <v/>
      </c>
      <c r="P2207" s="35">
        <f>$D2207*($E2207*P$321+$F2207*P$324)</f>
        <v/>
      </c>
      <c r="Q2207" s="35">
        <f>$D2207*($E2207*Q$321+$F2207*Q$324)</f>
        <v/>
      </c>
      <c r="R2207" s="35">
        <f>$D2207*($E2207*R$321+$F2207*R$324)</f>
        <v/>
      </c>
      <c r="S2207" s="35">
        <f>$D2207*($E2207*S$321+$F2207*S$324)</f>
        <v/>
      </c>
      <c r="T2207" s="35">
        <f>$D2207*($E2207*T$321+$F2207*T$324)</f>
        <v/>
      </c>
      <c r="U2207" s="35">
        <f>$D2207*($E2207*U$321+$F2207*U$324)</f>
        <v/>
      </c>
      <c r="V2207" s="35">
        <f>$D2207*($E2207*V$321+$F2207*V$324)</f>
        <v/>
      </c>
      <c r="W2207" s="35">
        <f>$D2207*($E2207*W$321+$F2207*W$324)</f>
        <v/>
      </c>
      <c r="X2207" s="35">
        <f>$D2207*($E2207*X$321+$F2207*X$324)</f>
        <v/>
      </c>
      <c r="Y2207" s="35">
        <f>$D2207*($E2207*Y$321+$F2207*Y$324)</f>
        <v/>
      </c>
      <c r="Z2207" s="35">
        <f>$D2207*($E2207*Z$321+$F2207*Z$324)</f>
        <v/>
      </c>
      <c r="AA2207" s="35">
        <f>$D2207*($E2207*AA$321+$F2207*AA$324)</f>
        <v/>
      </c>
      <c r="AB2207" s="35">
        <f>$D2207*($E2207*AB$321+$F2207*AB$324)</f>
        <v/>
      </c>
      <c r="AC2207" s="35">
        <f>$D2207*($E2207*AC$321+$F2207*AC$324)</f>
        <v/>
      </c>
      <c r="AD2207" s="35">
        <f>$D2207*($E2207*AD$321+$F2207*AD$324)</f>
        <v/>
      </c>
      <c r="AE2207" s="42">
        <f>XCARBON($D2207,$E2207,AE$321,$F2207,AE$324)</f>
        <v/>
      </c>
      <c r="AG2207" s="11">
        <f>CodePrefix&amp;$A2207&amp;IF($C2207="","","."&amp;$C2207&amp;"."&amp;$B2207)&amp;INDEX(VarEnd,MATCH($A2207,VarKey,0))&amp;AG$5</f>
        <v/>
      </c>
      <c r="AH2207" s="40">
        <f>$D2207*($E2207*AH$321+$F2207*AH$324)</f>
        <v/>
      </c>
      <c r="AI2207" s="35">
        <f>$D2207*($E2207*AI$321+$F2207*AI$324)</f>
        <v/>
      </c>
      <c r="AJ2207" s="35">
        <f>$D2207*($E2207*AJ$321+$F2207*AJ$324)</f>
        <v/>
      </c>
      <c r="AK2207" s="35">
        <f>$D2207*($E2207*AK$321+$F2207*AK$324)</f>
        <v/>
      </c>
      <c r="AL2207" s="35">
        <f>$D2207*($E2207*AL$321+$F2207*AL$324)</f>
        <v/>
      </c>
      <c r="AM2207" s="35">
        <f>$D2207*($E2207*AM$321+$F2207*AM$324)</f>
        <v/>
      </c>
      <c r="AN2207" s="35">
        <f>$D2207*($E2207*AN$321+$F2207*AN$324)</f>
        <v/>
      </c>
      <c r="AO2207" s="35">
        <f>$D2207*($E2207*AO$321+$F2207*AO$324)</f>
        <v/>
      </c>
      <c r="AP2207" s="35">
        <f>$D2207*($E2207*AP$321+$F2207*AP$324)</f>
        <v/>
      </c>
      <c r="AQ2207" s="35">
        <f>$D2207*($E2207*AQ$321+$F2207*AQ$324)</f>
        <v/>
      </c>
      <c r="AR2207" s="35">
        <f>$D2207*($E2207*AR$321+$F2207*AR$324)</f>
        <v/>
      </c>
      <c r="AS2207" s="35">
        <f>$D2207*($E2207*AS$321+$F2207*AS$324)</f>
        <v/>
      </c>
      <c r="AT2207" s="35">
        <f>$D2207*($E2207*AT$321+$F2207*AT$324)</f>
        <v/>
      </c>
      <c r="AU2207" s="35">
        <f>$D2207*($E2207*AU$321+$F2207*AU$324)</f>
        <v/>
      </c>
      <c r="AV2207" s="35">
        <f>$D2207*($E2207*AV$321+$F2207*AV$324)</f>
        <v/>
      </c>
      <c r="AW2207" s="35">
        <f>$D2207*($E2207*AW$321+$F2207*AW$324)</f>
        <v/>
      </c>
      <c r="AX2207" s="35">
        <f>$D2207*($E2207*AX$321+$F2207*AX$324)</f>
        <v/>
      </c>
      <c r="AY2207" s="35">
        <f>$D2207*($E2207*AY$321+$F2207*AY$324)</f>
        <v/>
      </c>
      <c r="AZ2207" s="35">
        <f>$D2207*($E2207*AZ$321+$F2207*AZ$324)</f>
        <v/>
      </c>
      <c r="BA2207" s="42">
        <f>XCARBON($D2207,$E2207,BA$321,$F2207,BA$324)</f>
        <v/>
      </c>
    </row>
    <row r="2208" hidden="1" outlineLevel="2">
      <c r="A2208" s="14" t="inlineStr">
        <is>
          <t>xcp</t>
        </is>
      </c>
      <c r="B2208" s="14" t="inlineStr">
        <is>
          <t>bio</t>
        </is>
      </c>
      <c r="C2208" s="14" t="inlineStr">
        <is>
          <t>nfm</t>
        </is>
      </c>
      <c r="D2208" s="35">
        <f>INDEX(Inputs!$W$5:$W$132,MATCH($B2208&amp;"|"&amp;$C2208,Inputs!$A$5:$A$132,0))</f>
        <v/>
      </c>
      <c r="E2208" s="35">
        <f>INDEX(Inputs!$Z$5:$Z$132,MATCH($B2208&amp;"|"&amp;$C2208,Inputs!$A$5:$A$132,0))</f>
        <v/>
      </c>
      <c r="F2208" s="35">
        <f>INDEX(Inputs!$AA$5:$AA$132,MATCH($B2208&amp;"|"&amp;$C2208,Inputs!$A$5:$A$132,0))</f>
        <v/>
      </c>
      <c r="G2208" s="39" t="n"/>
      <c r="H2208" s="14">
        <f>INDEX(VarLab,MATCH($A2208,VarKey,0))&amp;INDEX(MemLab,MATCH($C2208&amp;"|"&amp;$B2208,MemKey,0))</f>
        <v/>
      </c>
      <c r="I2208" s="14">
        <f>INDEX(VarUnit,MATCH($A2208,VarKey,0))</f>
        <v/>
      </c>
      <c r="J2208" s="14">
        <f>INDEX(VarSrc,MATCH($A2208,VarKey,0))</f>
        <v/>
      </c>
      <c r="K2208" s="11">
        <f>CodePrefix&amp;$A2208&amp;IF($C2208="","","."&amp;$C2208&amp;"."&amp;$B2208)&amp;INDEX(VarEnd,MATCH($A2208,VarKey,0))&amp;K$5</f>
        <v/>
      </c>
      <c r="L2208" s="40">
        <f>$D2208*($E2208*L$321+$F2208*L$324)</f>
        <v/>
      </c>
      <c r="M2208" s="35">
        <f>$D2208*($E2208*M$321+$F2208*M$324)</f>
        <v/>
      </c>
      <c r="N2208" s="35">
        <f>$D2208*($E2208*N$321+$F2208*N$324)</f>
        <v/>
      </c>
      <c r="O2208" s="35">
        <f>$D2208*($E2208*O$321+$F2208*O$324)</f>
        <v/>
      </c>
      <c r="P2208" s="35">
        <f>$D2208*($E2208*P$321+$F2208*P$324)</f>
        <v/>
      </c>
      <c r="Q2208" s="35">
        <f>$D2208*($E2208*Q$321+$F2208*Q$324)</f>
        <v/>
      </c>
      <c r="R2208" s="35">
        <f>$D2208*($E2208*R$321+$F2208*R$324)</f>
        <v/>
      </c>
      <c r="S2208" s="35">
        <f>$D2208*($E2208*S$321+$F2208*S$324)</f>
        <v/>
      </c>
      <c r="T2208" s="35">
        <f>$D2208*($E2208*T$321+$F2208*T$324)</f>
        <v/>
      </c>
      <c r="U2208" s="35">
        <f>$D2208*($E2208*U$321+$F2208*U$324)</f>
        <v/>
      </c>
      <c r="V2208" s="35">
        <f>$D2208*($E2208*V$321+$F2208*V$324)</f>
        <v/>
      </c>
      <c r="W2208" s="35">
        <f>$D2208*($E2208*W$321+$F2208*W$324)</f>
        <v/>
      </c>
      <c r="X2208" s="35">
        <f>$D2208*($E2208*X$321+$F2208*X$324)</f>
        <v/>
      </c>
      <c r="Y2208" s="35">
        <f>$D2208*($E2208*Y$321+$F2208*Y$324)</f>
        <v/>
      </c>
      <c r="Z2208" s="35">
        <f>$D2208*($E2208*Z$321+$F2208*Z$324)</f>
        <v/>
      </c>
      <c r="AA2208" s="35">
        <f>$D2208*($E2208*AA$321+$F2208*AA$324)</f>
        <v/>
      </c>
      <c r="AB2208" s="35">
        <f>$D2208*($E2208*AB$321+$F2208*AB$324)</f>
        <v/>
      </c>
      <c r="AC2208" s="35">
        <f>$D2208*($E2208*AC$321+$F2208*AC$324)</f>
        <v/>
      </c>
      <c r="AD2208" s="35">
        <f>$D2208*($E2208*AD$321+$F2208*AD$324)</f>
        <v/>
      </c>
      <c r="AE2208" s="42">
        <f>XCARBON($D2208,$E2208,AE$321,$F2208,AE$324)</f>
        <v/>
      </c>
      <c r="AG2208" s="11">
        <f>CodePrefix&amp;$A2208&amp;IF($C2208="","","."&amp;$C2208&amp;"."&amp;$B2208)&amp;INDEX(VarEnd,MATCH($A2208,VarKey,0))&amp;AG$5</f>
        <v/>
      </c>
      <c r="AH2208" s="40">
        <f>$D2208*($E2208*AH$321+$F2208*AH$324)</f>
        <v/>
      </c>
      <c r="AI2208" s="35">
        <f>$D2208*($E2208*AI$321+$F2208*AI$324)</f>
        <v/>
      </c>
      <c r="AJ2208" s="35">
        <f>$D2208*($E2208*AJ$321+$F2208*AJ$324)</f>
        <v/>
      </c>
      <c r="AK2208" s="35">
        <f>$D2208*($E2208*AK$321+$F2208*AK$324)</f>
        <v/>
      </c>
      <c r="AL2208" s="35">
        <f>$D2208*($E2208*AL$321+$F2208*AL$324)</f>
        <v/>
      </c>
      <c r="AM2208" s="35">
        <f>$D2208*($E2208*AM$321+$F2208*AM$324)</f>
        <v/>
      </c>
      <c r="AN2208" s="35">
        <f>$D2208*($E2208*AN$321+$F2208*AN$324)</f>
        <v/>
      </c>
      <c r="AO2208" s="35">
        <f>$D2208*($E2208*AO$321+$F2208*AO$324)</f>
        <v/>
      </c>
      <c r="AP2208" s="35">
        <f>$D2208*($E2208*AP$321+$F2208*AP$324)</f>
        <v/>
      </c>
      <c r="AQ2208" s="35">
        <f>$D2208*($E2208*AQ$321+$F2208*AQ$324)</f>
        <v/>
      </c>
      <c r="AR2208" s="35">
        <f>$D2208*($E2208*AR$321+$F2208*AR$324)</f>
        <v/>
      </c>
      <c r="AS2208" s="35">
        <f>$D2208*($E2208*AS$321+$F2208*AS$324)</f>
        <v/>
      </c>
      <c r="AT2208" s="35">
        <f>$D2208*($E2208*AT$321+$F2208*AT$324)</f>
        <v/>
      </c>
      <c r="AU2208" s="35">
        <f>$D2208*($E2208*AU$321+$F2208*AU$324)</f>
        <v/>
      </c>
      <c r="AV2208" s="35">
        <f>$D2208*($E2208*AV$321+$F2208*AV$324)</f>
        <v/>
      </c>
      <c r="AW2208" s="35">
        <f>$D2208*($E2208*AW$321+$F2208*AW$324)</f>
        <v/>
      </c>
      <c r="AX2208" s="35">
        <f>$D2208*($E2208*AX$321+$F2208*AX$324)</f>
        <v/>
      </c>
      <c r="AY2208" s="35">
        <f>$D2208*($E2208*AY$321+$F2208*AY$324)</f>
        <v/>
      </c>
      <c r="AZ2208" s="35">
        <f>$D2208*($E2208*AZ$321+$F2208*AZ$324)</f>
        <v/>
      </c>
      <c r="BA2208" s="42">
        <f>XCARBON($D2208,$E2208,BA$321,$F2208,BA$324)</f>
        <v/>
      </c>
    </row>
    <row r="2209" hidden="1" outlineLevel="2"/>
    <row r="2210" hidden="1" outlineLevel="2">
      <c r="A2210" s="14" t="inlineStr">
        <is>
          <t>xcpd</t>
        </is>
      </c>
      <c r="B2210" s="14" t="inlineStr">
        <is>
          <t>coa</t>
        </is>
      </c>
      <c r="C2210" s="14" t="inlineStr">
        <is>
          <t>nfm</t>
        </is>
      </c>
      <c r="D2210" s="35">
        <f>INDEX(Inputs!$W$5:$W$132,MATCH($B2210&amp;"|"&amp;$C2210,Inputs!$A$5:$A$132,0))</f>
        <v/>
      </c>
      <c r="E2210" s="35">
        <f>INDEX(Inputs!$Z$5:$Z$132,MATCH($B2210&amp;"|"&amp;$C2210,Inputs!$A$5:$A$132,0))</f>
        <v/>
      </c>
      <c r="F2210" s="35">
        <f>INDEX(Inputs!$AA$5:$AA$132,MATCH($B2210&amp;"|"&amp;$C2210,Inputs!$A$5:$A$132,0))</f>
        <v/>
      </c>
      <c r="G2210" s="39" t="n"/>
      <c r="H2210" s="14">
        <f>INDEX(VarLab,MATCH($A2210,VarKey,0))&amp;INDEX(MemLab,MATCH($C2210&amp;"|"&amp;$B2210,MemKey,0))</f>
        <v/>
      </c>
      <c r="I2210" s="14">
        <f>INDEX(VarUnit,MATCH($A2210,VarKey,0))</f>
        <v/>
      </c>
      <c r="J2210" s="14">
        <f>INDEX(VarSrc,MATCH($A2210,VarKey,0))</f>
        <v/>
      </c>
      <c r="K2210" s="11">
        <f>CodePrefix&amp;$A2210&amp;IF($C2210="","","."&amp;$C2210&amp;"."&amp;$B2210)&amp;INDEX(VarEnd,MATCH($A2210,VarKey,0))&amp;K$5</f>
        <v/>
      </c>
      <c r="L2210" s="40">
        <f>$D2210*($E2210*(L$321-L$322)+$F2210*(L$324-L$325))</f>
        <v/>
      </c>
      <c r="M2210" s="35">
        <f>$D2210*($E2210*(M$321-M$322)+$F2210*(M$324-M$325))</f>
        <v/>
      </c>
      <c r="N2210" s="35">
        <f>$D2210*($E2210*(N$321-N$322)+$F2210*(N$324-N$325))</f>
        <v/>
      </c>
      <c r="O2210" s="35">
        <f>$D2210*($E2210*(O$321-O$322)+$F2210*(O$324-O$325))</f>
        <v/>
      </c>
      <c r="P2210" s="35">
        <f>$D2210*($E2210*(P$321-P$322)+$F2210*(P$324-P$325))</f>
        <v/>
      </c>
      <c r="Q2210" s="35">
        <f>$D2210*($E2210*(Q$321-Q$322)+$F2210*(Q$324-Q$325))</f>
        <v/>
      </c>
      <c r="R2210" s="35">
        <f>$D2210*($E2210*(R$321-R$322)+$F2210*(R$324-R$325))</f>
        <v/>
      </c>
      <c r="S2210" s="35">
        <f>$D2210*($E2210*(S$321-S$322)+$F2210*(S$324-S$325))</f>
        <v/>
      </c>
      <c r="T2210" s="35">
        <f>$D2210*($E2210*(T$321-T$322)+$F2210*(T$324-T$325))</f>
        <v/>
      </c>
      <c r="U2210" s="35">
        <f>$D2210*($E2210*(U$321-U$322)+$F2210*(U$324-U$325))</f>
        <v/>
      </c>
      <c r="V2210" s="35">
        <f>$D2210*($E2210*(V$321-V$322)+$F2210*(V$324-V$325))</f>
        <v/>
      </c>
      <c r="W2210" s="35">
        <f>$D2210*($E2210*(W$321-W$322)+$F2210*(W$324-W$325))</f>
        <v/>
      </c>
      <c r="X2210" s="35">
        <f>$D2210*($E2210*(X$321-X$322)+$F2210*(X$324-X$325))</f>
        <v/>
      </c>
      <c r="Y2210" s="35">
        <f>$D2210*($E2210*(Y$321-Y$322)+$F2210*(Y$324-Y$325))</f>
        <v/>
      </c>
      <c r="Z2210" s="35">
        <f>$D2210*($E2210*(Z$321-Z$322)+$F2210*(Z$324-Z$325))</f>
        <v/>
      </c>
      <c r="AA2210" s="35">
        <f>$D2210*($E2210*(AA$321-AA$322)+$F2210*(AA$324-AA$325))</f>
        <v/>
      </c>
      <c r="AB2210" s="35">
        <f>$D2210*($E2210*(AB$321-AB$322)+$F2210*(AB$324-AB$325))</f>
        <v/>
      </c>
      <c r="AC2210" s="35">
        <f>$D2210*($E2210*(AC$321-AC$322)+$F2210*(AC$324-AC$325))</f>
        <v/>
      </c>
      <c r="AD2210" s="35">
        <f>$D2210*($E2210*(AD$321-AD$322)+$F2210*(AD$324-AD$325))</f>
        <v/>
      </c>
      <c r="AE2210" s="42">
        <f>XCARBON($D2210,$E2210,(AE$321-AE$322),$F2210,(AE$324-AE$325))</f>
        <v/>
      </c>
      <c r="AG2210" s="11">
        <f>CodePrefix&amp;$A2210&amp;IF($C2210="","","."&amp;$C2210&amp;"."&amp;$B2210)&amp;INDEX(VarEnd,MATCH($A2210,VarKey,0))&amp;AG$5</f>
        <v/>
      </c>
      <c r="AH2210" s="40">
        <f>$D2210*($E2210*(AH$321-AH$322)+$F2210*(AH$324-AH$325))</f>
        <v/>
      </c>
      <c r="AI2210" s="35">
        <f>$D2210*($E2210*(AI$321-AI$322)+$F2210*(AI$324-AI$325))</f>
        <v/>
      </c>
      <c r="AJ2210" s="35">
        <f>$D2210*($E2210*(AJ$321-AJ$322)+$F2210*(AJ$324-AJ$325))</f>
        <v/>
      </c>
      <c r="AK2210" s="35">
        <f>$D2210*($E2210*(AK$321-AK$322)+$F2210*(AK$324-AK$325))</f>
        <v/>
      </c>
      <c r="AL2210" s="35">
        <f>$D2210*($E2210*(AL$321-AL$322)+$F2210*(AL$324-AL$325))</f>
        <v/>
      </c>
      <c r="AM2210" s="35">
        <f>$D2210*($E2210*(AM$321-AM$322)+$F2210*(AM$324-AM$325))</f>
        <v/>
      </c>
      <c r="AN2210" s="35">
        <f>$D2210*($E2210*(AN$321-AN$322)+$F2210*(AN$324-AN$325))</f>
        <v/>
      </c>
      <c r="AO2210" s="35">
        <f>$D2210*($E2210*(AO$321-AO$322)+$F2210*(AO$324-AO$325))</f>
        <v/>
      </c>
      <c r="AP2210" s="35">
        <f>$D2210*($E2210*(AP$321-AP$322)+$F2210*(AP$324-AP$325))</f>
        <v/>
      </c>
      <c r="AQ2210" s="35">
        <f>$D2210*($E2210*(AQ$321-AQ$322)+$F2210*(AQ$324-AQ$325))</f>
        <v/>
      </c>
      <c r="AR2210" s="35">
        <f>$D2210*($E2210*(AR$321-AR$322)+$F2210*(AR$324-AR$325))</f>
        <v/>
      </c>
      <c r="AS2210" s="35">
        <f>$D2210*($E2210*(AS$321-AS$322)+$F2210*(AS$324-AS$325))</f>
        <v/>
      </c>
      <c r="AT2210" s="35">
        <f>$D2210*($E2210*(AT$321-AT$322)+$F2210*(AT$324-AT$325))</f>
        <v/>
      </c>
      <c r="AU2210" s="35">
        <f>$D2210*($E2210*(AU$321-AU$322)+$F2210*(AU$324-AU$325))</f>
        <v/>
      </c>
      <c r="AV2210" s="35">
        <f>$D2210*($E2210*(AV$321-AV$322)+$F2210*(AV$324-AV$325))</f>
        <v/>
      </c>
      <c r="AW2210" s="35">
        <f>$D2210*($E2210*(AW$321-AW$322)+$F2210*(AW$324-AW$325))</f>
        <v/>
      </c>
      <c r="AX2210" s="35">
        <f>$D2210*($E2210*(AX$321-AX$322)+$F2210*(AX$324-AX$325))</f>
        <v/>
      </c>
      <c r="AY2210" s="35">
        <f>$D2210*($E2210*(AY$321-AY$322)+$F2210*(AY$324-AY$325))</f>
        <v/>
      </c>
      <c r="AZ2210" s="35">
        <f>$D2210*($E2210*(AZ$321-AZ$322)+$F2210*(AZ$324-AZ$325))</f>
        <v/>
      </c>
      <c r="BA2210" s="42">
        <f>XCARBON($D2210,$E2210,(BA$321-BA$322),$F2210,(BA$324-BA$325))</f>
        <v/>
      </c>
    </row>
    <row r="2211" hidden="1" outlineLevel="2">
      <c r="A2211" s="14" t="inlineStr">
        <is>
          <t>xcpd</t>
        </is>
      </c>
      <c r="B2211" s="14" t="inlineStr">
        <is>
          <t>nga</t>
        </is>
      </c>
      <c r="C2211" s="14" t="inlineStr">
        <is>
          <t>nfm</t>
        </is>
      </c>
      <c r="D2211" s="35">
        <f>INDEX(Inputs!$W$5:$W$132,MATCH($B2211&amp;"|"&amp;$C2211,Inputs!$A$5:$A$132,0))</f>
        <v/>
      </c>
      <c r="E2211" s="35">
        <f>INDEX(Inputs!$Z$5:$Z$132,MATCH($B2211&amp;"|"&amp;$C2211,Inputs!$A$5:$A$132,0))</f>
        <v/>
      </c>
      <c r="F2211" s="35">
        <f>INDEX(Inputs!$AA$5:$AA$132,MATCH($B2211&amp;"|"&amp;$C2211,Inputs!$A$5:$A$132,0))</f>
        <v/>
      </c>
      <c r="G2211" s="39" t="n"/>
      <c r="H2211" s="14">
        <f>INDEX(VarLab,MATCH($A2211,VarKey,0))&amp;INDEX(MemLab,MATCH($C2211&amp;"|"&amp;$B2211,MemKey,0))</f>
        <v/>
      </c>
      <c r="I2211" s="14">
        <f>INDEX(VarUnit,MATCH($A2211,VarKey,0))</f>
        <v/>
      </c>
      <c r="J2211" s="14">
        <f>INDEX(VarSrc,MATCH($A2211,VarKey,0))</f>
        <v/>
      </c>
      <c r="K2211" s="11">
        <f>CodePrefix&amp;$A2211&amp;IF($C2211="","","."&amp;$C2211&amp;"."&amp;$B2211)&amp;INDEX(VarEnd,MATCH($A2211,VarKey,0))&amp;K$5</f>
        <v/>
      </c>
      <c r="L2211" s="40">
        <f>$D2211*($E2211*(L$321-L$322)+$F2211*(L$324-L$325))</f>
        <v/>
      </c>
      <c r="M2211" s="35">
        <f>$D2211*($E2211*(M$321-M$322)+$F2211*(M$324-M$325))</f>
        <v/>
      </c>
      <c r="N2211" s="35">
        <f>$D2211*($E2211*(N$321-N$322)+$F2211*(N$324-N$325))</f>
        <v/>
      </c>
      <c r="O2211" s="35">
        <f>$D2211*($E2211*(O$321-O$322)+$F2211*(O$324-O$325))</f>
        <v/>
      </c>
      <c r="P2211" s="35">
        <f>$D2211*($E2211*(P$321-P$322)+$F2211*(P$324-P$325))</f>
        <v/>
      </c>
      <c r="Q2211" s="35">
        <f>$D2211*($E2211*(Q$321-Q$322)+$F2211*(Q$324-Q$325))</f>
        <v/>
      </c>
      <c r="R2211" s="35">
        <f>$D2211*($E2211*(R$321-R$322)+$F2211*(R$324-R$325))</f>
        <v/>
      </c>
      <c r="S2211" s="35">
        <f>$D2211*($E2211*(S$321-S$322)+$F2211*(S$324-S$325))</f>
        <v/>
      </c>
      <c r="T2211" s="35">
        <f>$D2211*($E2211*(T$321-T$322)+$F2211*(T$324-T$325))</f>
        <v/>
      </c>
      <c r="U2211" s="35">
        <f>$D2211*($E2211*(U$321-U$322)+$F2211*(U$324-U$325))</f>
        <v/>
      </c>
      <c r="V2211" s="35">
        <f>$D2211*($E2211*(V$321-V$322)+$F2211*(V$324-V$325))</f>
        <v/>
      </c>
      <c r="W2211" s="35">
        <f>$D2211*($E2211*(W$321-W$322)+$F2211*(W$324-W$325))</f>
        <v/>
      </c>
      <c r="X2211" s="35">
        <f>$D2211*($E2211*(X$321-X$322)+$F2211*(X$324-X$325))</f>
        <v/>
      </c>
      <c r="Y2211" s="35">
        <f>$D2211*($E2211*(Y$321-Y$322)+$F2211*(Y$324-Y$325))</f>
        <v/>
      </c>
      <c r="Z2211" s="35">
        <f>$D2211*($E2211*(Z$321-Z$322)+$F2211*(Z$324-Z$325))</f>
        <v/>
      </c>
      <c r="AA2211" s="35">
        <f>$D2211*($E2211*(AA$321-AA$322)+$F2211*(AA$324-AA$325))</f>
        <v/>
      </c>
      <c r="AB2211" s="35">
        <f>$D2211*($E2211*(AB$321-AB$322)+$F2211*(AB$324-AB$325))</f>
        <v/>
      </c>
      <c r="AC2211" s="35">
        <f>$D2211*($E2211*(AC$321-AC$322)+$F2211*(AC$324-AC$325))</f>
        <v/>
      </c>
      <c r="AD2211" s="35">
        <f>$D2211*($E2211*(AD$321-AD$322)+$F2211*(AD$324-AD$325))</f>
        <v/>
      </c>
      <c r="AE2211" s="42">
        <f>XCARBON($D2211,$E2211,(AE$321-AE$322),$F2211,(AE$324-AE$325))</f>
        <v/>
      </c>
      <c r="AG2211" s="11">
        <f>CodePrefix&amp;$A2211&amp;IF($C2211="","","."&amp;$C2211&amp;"."&amp;$B2211)&amp;INDEX(VarEnd,MATCH($A2211,VarKey,0))&amp;AG$5</f>
        <v/>
      </c>
      <c r="AH2211" s="40">
        <f>$D2211*($E2211*(AH$321-AH$322)+$F2211*(AH$324-AH$325))</f>
        <v/>
      </c>
      <c r="AI2211" s="35">
        <f>$D2211*($E2211*(AI$321-AI$322)+$F2211*(AI$324-AI$325))</f>
        <v/>
      </c>
      <c r="AJ2211" s="35">
        <f>$D2211*($E2211*(AJ$321-AJ$322)+$F2211*(AJ$324-AJ$325))</f>
        <v/>
      </c>
      <c r="AK2211" s="35">
        <f>$D2211*($E2211*(AK$321-AK$322)+$F2211*(AK$324-AK$325))</f>
        <v/>
      </c>
      <c r="AL2211" s="35">
        <f>$D2211*($E2211*(AL$321-AL$322)+$F2211*(AL$324-AL$325))</f>
        <v/>
      </c>
      <c r="AM2211" s="35">
        <f>$D2211*($E2211*(AM$321-AM$322)+$F2211*(AM$324-AM$325))</f>
        <v/>
      </c>
      <c r="AN2211" s="35">
        <f>$D2211*($E2211*(AN$321-AN$322)+$F2211*(AN$324-AN$325))</f>
        <v/>
      </c>
      <c r="AO2211" s="35">
        <f>$D2211*($E2211*(AO$321-AO$322)+$F2211*(AO$324-AO$325))</f>
        <v/>
      </c>
      <c r="AP2211" s="35">
        <f>$D2211*($E2211*(AP$321-AP$322)+$F2211*(AP$324-AP$325))</f>
        <v/>
      </c>
      <c r="AQ2211" s="35">
        <f>$D2211*($E2211*(AQ$321-AQ$322)+$F2211*(AQ$324-AQ$325))</f>
        <v/>
      </c>
      <c r="AR2211" s="35">
        <f>$D2211*($E2211*(AR$321-AR$322)+$F2211*(AR$324-AR$325))</f>
        <v/>
      </c>
      <c r="AS2211" s="35">
        <f>$D2211*($E2211*(AS$321-AS$322)+$F2211*(AS$324-AS$325))</f>
        <v/>
      </c>
      <c r="AT2211" s="35">
        <f>$D2211*($E2211*(AT$321-AT$322)+$F2211*(AT$324-AT$325))</f>
        <v/>
      </c>
      <c r="AU2211" s="35">
        <f>$D2211*($E2211*(AU$321-AU$322)+$F2211*(AU$324-AU$325))</f>
        <v/>
      </c>
      <c r="AV2211" s="35">
        <f>$D2211*($E2211*(AV$321-AV$322)+$F2211*(AV$324-AV$325))</f>
        <v/>
      </c>
      <c r="AW2211" s="35">
        <f>$D2211*($E2211*(AW$321-AW$322)+$F2211*(AW$324-AW$325))</f>
        <v/>
      </c>
      <c r="AX2211" s="35">
        <f>$D2211*($E2211*(AX$321-AX$322)+$F2211*(AX$324-AX$325))</f>
        <v/>
      </c>
      <c r="AY2211" s="35">
        <f>$D2211*($E2211*(AY$321-AY$322)+$F2211*(AY$324-AY$325))</f>
        <v/>
      </c>
      <c r="AZ2211" s="35">
        <f>$D2211*($E2211*(AZ$321-AZ$322)+$F2211*(AZ$324-AZ$325))</f>
        <v/>
      </c>
      <c r="BA2211" s="42">
        <f>XCARBON($D2211,$E2211,(BA$321-BA$322),$F2211,(BA$324-BA$325))</f>
        <v/>
      </c>
    </row>
    <row r="2212" hidden="1" outlineLevel="2">
      <c r="A2212" s="14" t="inlineStr">
        <is>
          <t>xcpd</t>
        </is>
      </c>
      <c r="B2212" s="14" t="inlineStr">
        <is>
          <t>gso</t>
        </is>
      </c>
      <c r="C2212" s="14" t="inlineStr">
        <is>
          <t>nfm</t>
        </is>
      </c>
      <c r="D2212" s="35">
        <f>INDEX(Inputs!$W$5:$W$132,MATCH($B2212&amp;"|"&amp;$C2212,Inputs!$A$5:$A$132,0))</f>
        <v/>
      </c>
      <c r="E2212" s="35">
        <f>INDEX(Inputs!$Z$5:$Z$132,MATCH($B2212&amp;"|"&amp;$C2212,Inputs!$A$5:$A$132,0))</f>
        <v/>
      </c>
      <c r="F2212" s="35">
        <f>INDEX(Inputs!$AA$5:$AA$132,MATCH($B2212&amp;"|"&amp;$C2212,Inputs!$A$5:$A$132,0))</f>
        <v/>
      </c>
      <c r="G2212" s="39" t="n"/>
      <c r="H2212" s="14">
        <f>INDEX(VarLab,MATCH($A2212,VarKey,0))&amp;INDEX(MemLab,MATCH($C2212&amp;"|"&amp;$B2212,MemKey,0))</f>
        <v/>
      </c>
      <c r="I2212" s="14">
        <f>INDEX(VarUnit,MATCH($A2212,VarKey,0))</f>
        <v/>
      </c>
      <c r="J2212" s="14">
        <f>INDEX(VarSrc,MATCH($A2212,VarKey,0))</f>
        <v/>
      </c>
      <c r="K2212" s="11">
        <f>CodePrefix&amp;$A2212&amp;IF($C2212="","","."&amp;$C2212&amp;"."&amp;$B2212)&amp;INDEX(VarEnd,MATCH($A2212,VarKey,0))&amp;K$5</f>
        <v/>
      </c>
      <c r="L2212" s="40">
        <f>$D2212*($E2212*(L$321-L$322)+$F2212*(L$324-L$325))</f>
        <v/>
      </c>
      <c r="M2212" s="35">
        <f>$D2212*($E2212*(M$321-M$322)+$F2212*(M$324-M$325))</f>
        <v/>
      </c>
      <c r="N2212" s="35">
        <f>$D2212*($E2212*(N$321-N$322)+$F2212*(N$324-N$325))</f>
        <v/>
      </c>
      <c r="O2212" s="35">
        <f>$D2212*($E2212*(O$321-O$322)+$F2212*(O$324-O$325))</f>
        <v/>
      </c>
      <c r="P2212" s="35">
        <f>$D2212*($E2212*(P$321-P$322)+$F2212*(P$324-P$325))</f>
        <v/>
      </c>
      <c r="Q2212" s="35">
        <f>$D2212*($E2212*(Q$321-Q$322)+$F2212*(Q$324-Q$325))</f>
        <v/>
      </c>
      <c r="R2212" s="35">
        <f>$D2212*($E2212*(R$321-R$322)+$F2212*(R$324-R$325))</f>
        <v/>
      </c>
      <c r="S2212" s="35">
        <f>$D2212*($E2212*(S$321-S$322)+$F2212*(S$324-S$325))</f>
        <v/>
      </c>
      <c r="T2212" s="35">
        <f>$D2212*($E2212*(T$321-T$322)+$F2212*(T$324-T$325))</f>
        <v/>
      </c>
      <c r="U2212" s="35">
        <f>$D2212*($E2212*(U$321-U$322)+$F2212*(U$324-U$325))</f>
        <v/>
      </c>
      <c r="V2212" s="35">
        <f>$D2212*($E2212*(V$321-V$322)+$F2212*(V$324-V$325))</f>
        <v/>
      </c>
      <c r="W2212" s="35">
        <f>$D2212*($E2212*(W$321-W$322)+$F2212*(W$324-W$325))</f>
        <v/>
      </c>
      <c r="X2212" s="35">
        <f>$D2212*($E2212*(X$321-X$322)+$F2212*(X$324-X$325))</f>
        <v/>
      </c>
      <c r="Y2212" s="35">
        <f>$D2212*($E2212*(Y$321-Y$322)+$F2212*(Y$324-Y$325))</f>
        <v/>
      </c>
      <c r="Z2212" s="35">
        <f>$D2212*($E2212*(Z$321-Z$322)+$F2212*(Z$324-Z$325))</f>
        <v/>
      </c>
      <c r="AA2212" s="35">
        <f>$D2212*($E2212*(AA$321-AA$322)+$F2212*(AA$324-AA$325))</f>
        <v/>
      </c>
      <c r="AB2212" s="35">
        <f>$D2212*($E2212*(AB$321-AB$322)+$F2212*(AB$324-AB$325))</f>
        <v/>
      </c>
      <c r="AC2212" s="35">
        <f>$D2212*($E2212*(AC$321-AC$322)+$F2212*(AC$324-AC$325))</f>
        <v/>
      </c>
      <c r="AD2212" s="35">
        <f>$D2212*($E2212*(AD$321-AD$322)+$F2212*(AD$324-AD$325))</f>
        <v/>
      </c>
      <c r="AE2212" s="42">
        <f>XCARBON($D2212,$E2212,(AE$321-AE$322),$F2212,(AE$324-AE$325))</f>
        <v/>
      </c>
      <c r="AG2212" s="11">
        <f>CodePrefix&amp;$A2212&amp;IF($C2212="","","."&amp;$C2212&amp;"."&amp;$B2212)&amp;INDEX(VarEnd,MATCH($A2212,VarKey,0))&amp;AG$5</f>
        <v/>
      </c>
      <c r="AH2212" s="40">
        <f>$D2212*($E2212*(AH$321-AH$322)+$F2212*(AH$324-AH$325))</f>
        <v/>
      </c>
      <c r="AI2212" s="35">
        <f>$D2212*($E2212*(AI$321-AI$322)+$F2212*(AI$324-AI$325))</f>
        <v/>
      </c>
      <c r="AJ2212" s="35">
        <f>$D2212*($E2212*(AJ$321-AJ$322)+$F2212*(AJ$324-AJ$325))</f>
        <v/>
      </c>
      <c r="AK2212" s="35">
        <f>$D2212*($E2212*(AK$321-AK$322)+$F2212*(AK$324-AK$325))</f>
        <v/>
      </c>
      <c r="AL2212" s="35">
        <f>$D2212*($E2212*(AL$321-AL$322)+$F2212*(AL$324-AL$325))</f>
        <v/>
      </c>
      <c r="AM2212" s="35">
        <f>$D2212*($E2212*(AM$321-AM$322)+$F2212*(AM$324-AM$325))</f>
        <v/>
      </c>
      <c r="AN2212" s="35">
        <f>$D2212*($E2212*(AN$321-AN$322)+$F2212*(AN$324-AN$325))</f>
        <v/>
      </c>
      <c r="AO2212" s="35">
        <f>$D2212*($E2212*(AO$321-AO$322)+$F2212*(AO$324-AO$325))</f>
        <v/>
      </c>
      <c r="AP2212" s="35">
        <f>$D2212*($E2212*(AP$321-AP$322)+$F2212*(AP$324-AP$325))</f>
        <v/>
      </c>
      <c r="AQ2212" s="35">
        <f>$D2212*($E2212*(AQ$321-AQ$322)+$F2212*(AQ$324-AQ$325))</f>
        <v/>
      </c>
      <c r="AR2212" s="35">
        <f>$D2212*($E2212*(AR$321-AR$322)+$F2212*(AR$324-AR$325))</f>
        <v/>
      </c>
      <c r="AS2212" s="35">
        <f>$D2212*($E2212*(AS$321-AS$322)+$F2212*(AS$324-AS$325))</f>
        <v/>
      </c>
      <c r="AT2212" s="35">
        <f>$D2212*($E2212*(AT$321-AT$322)+$F2212*(AT$324-AT$325))</f>
        <v/>
      </c>
      <c r="AU2212" s="35">
        <f>$D2212*($E2212*(AU$321-AU$322)+$F2212*(AU$324-AU$325))</f>
        <v/>
      </c>
      <c r="AV2212" s="35">
        <f>$D2212*($E2212*(AV$321-AV$322)+$F2212*(AV$324-AV$325))</f>
        <v/>
      </c>
      <c r="AW2212" s="35">
        <f>$D2212*($E2212*(AW$321-AW$322)+$F2212*(AW$324-AW$325))</f>
        <v/>
      </c>
      <c r="AX2212" s="35">
        <f>$D2212*($E2212*(AX$321-AX$322)+$F2212*(AX$324-AX$325))</f>
        <v/>
      </c>
      <c r="AY2212" s="35">
        <f>$D2212*($E2212*(AY$321-AY$322)+$F2212*(AY$324-AY$325))</f>
        <v/>
      </c>
      <c r="AZ2212" s="35">
        <f>$D2212*($E2212*(AZ$321-AZ$322)+$F2212*(AZ$324-AZ$325))</f>
        <v/>
      </c>
      <c r="BA2212" s="42">
        <f>XCARBON($D2212,$E2212,(BA$321-BA$322),$F2212,(BA$324-BA$325))</f>
        <v/>
      </c>
    </row>
    <row r="2213" hidden="1" outlineLevel="2">
      <c r="A2213" s="14" t="inlineStr">
        <is>
          <t>xcpd</t>
        </is>
      </c>
      <c r="B2213" s="14" t="inlineStr">
        <is>
          <t>die</t>
        </is>
      </c>
      <c r="C2213" s="14" t="inlineStr">
        <is>
          <t>nfm</t>
        </is>
      </c>
      <c r="D2213" s="35">
        <f>INDEX(Inputs!$W$5:$W$132,MATCH($B2213&amp;"|"&amp;$C2213,Inputs!$A$5:$A$132,0))</f>
        <v/>
      </c>
      <c r="E2213" s="35">
        <f>INDEX(Inputs!$Z$5:$Z$132,MATCH($B2213&amp;"|"&amp;$C2213,Inputs!$A$5:$A$132,0))</f>
        <v/>
      </c>
      <c r="F2213" s="35">
        <f>INDEX(Inputs!$AA$5:$AA$132,MATCH($B2213&amp;"|"&amp;$C2213,Inputs!$A$5:$A$132,0))</f>
        <v/>
      </c>
      <c r="G2213" s="39" t="n"/>
      <c r="H2213" s="14">
        <f>INDEX(VarLab,MATCH($A2213,VarKey,0))&amp;INDEX(MemLab,MATCH($C2213&amp;"|"&amp;$B2213,MemKey,0))</f>
        <v/>
      </c>
      <c r="I2213" s="14">
        <f>INDEX(VarUnit,MATCH($A2213,VarKey,0))</f>
        <v/>
      </c>
      <c r="J2213" s="14">
        <f>INDEX(VarSrc,MATCH($A2213,VarKey,0))</f>
        <v/>
      </c>
      <c r="K2213" s="11">
        <f>CodePrefix&amp;$A2213&amp;IF($C2213="","","."&amp;$C2213&amp;"."&amp;$B2213)&amp;INDEX(VarEnd,MATCH($A2213,VarKey,0))&amp;K$5</f>
        <v/>
      </c>
      <c r="L2213" s="40">
        <f>$D2213*($E2213*(L$321-L$322)+$F2213*(L$324-L$325))</f>
        <v/>
      </c>
      <c r="M2213" s="35">
        <f>$D2213*($E2213*(M$321-M$322)+$F2213*(M$324-M$325))</f>
        <v/>
      </c>
      <c r="N2213" s="35">
        <f>$D2213*($E2213*(N$321-N$322)+$F2213*(N$324-N$325))</f>
        <v/>
      </c>
      <c r="O2213" s="35">
        <f>$D2213*($E2213*(O$321-O$322)+$F2213*(O$324-O$325))</f>
        <v/>
      </c>
      <c r="P2213" s="35">
        <f>$D2213*($E2213*(P$321-P$322)+$F2213*(P$324-P$325))</f>
        <v/>
      </c>
      <c r="Q2213" s="35">
        <f>$D2213*($E2213*(Q$321-Q$322)+$F2213*(Q$324-Q$325))</f>
        <v/>
      </c>
      <c r="R2213" s="35">
        <f>$D2213*($E2213*(R$321-R$322)+$F2213*(R$324-R$325))</f>
        <v/>
      </c>
      <c r="S2213" s="35">
        <f>$D2213*($E2213*(S$321-S$322)+$F2213*(S$324-S$325))</f>
        <v/>
      </c>
      <c r="T2213" s="35">
        <f>$D2213*($E2213*(T$321-T$322)+$F2213*(T$324-T$325))</f>
        <v/>
      </c>
      <c r="U2213" s="35">
        <f>$D2213*($E2213*(U$321-U$322)+$F2213*(U$324-U$325))</f>
        <v/>
      </c>
      <c r="V2213" s="35">
        <f>$D2213*($E2213*(V$321-V$322)+$F2213*(V$324-V$325))</f>
        <v/>
      </c>
      <c r="W2213" s="35">
        <f>$D2213*($E2213*(W$321-W$322)+$F2213*(W$324-W$325))</f>
        <v/>
      </c>
      <c r="X2213" s="35">
        <f>$D2213*($E2213*(X$321-X$322)+$F2213*(X$324-X$325))</f>
        <v/>
      </c>
      <c r="Y2213" s="35">
        <f>$D2213*($E2213*(Y$321-Y$322)+$F2213*(Y$324-Y$325))</f>
        <v/>
      </c>
      <c r="Z2213" s="35">
        <f>$D2213*($E2213*(Z$321-Z$322)+$F2213*(Z$324-Z$325))</f>
        <v/>
      </c>
      <c r="AA2213" s="35">
        <f>$D2213*($E2213*(AA$321-AA$322)+$F2213*(AA$324-AA$325))</f>
        <v/>
      </c>
      <c r="AB2213" s="35">
        <f>$D2213*($E2213*(AB$321-AB$322)+$F2213*(AB$324-AB$325))</f>
        <v/>
      </c>
      <c r="AC2213" s="35">
        <f>$D2213*($E2213*(AC$321-AC$322)+$F2213*(AC$324-AC$325))</f>
        <v/>
      </c>
      <c r="AD2213" s="35">
        <f>$D2213*($E2213*(AD$321-AD$322)+$F2213*(AD$324-AD$325))</f>
        <v/>
      </c>
      <c r="AE2213" s="42">
        <f>XCARBON($D2213,$E2213,(AE$321-AE$322),$F2213,(AE$324-AE$325))</f>
        <v/>
      </c>
      <c r="AG2213" s="11">
        <f>CodePrefix&amp;$A2213&amp;IF($C2213="","","."&amp;$C2213&amp;"."&amp;$B2213)&amp;INDEX(VarEnd,MATCH($A2213,VarKey,0))&amp;AG$5</f>
        <v/>
      </c>
      <c r="AH2213" s="40">
        <f>$D2213*($E2213*(AH$321-AH$322)+$F2213*(AH$324-AH$325))</f>
        <v/>
      </c>
      <c r="AI2213" s="35">
        <f>$D2213*($E2213*(AI$321-AI$322)+$F2213*(AI$324-AI$325))</f>
        <v/>
      </c>
      <c r="AJ2213" s="35">
        <f>$D2213*($E2213*(AJ$321-AJ$322)+$F2213*(AJ$324-AJ$325))</f>
        <v/>
      </c>
      <c r="AK2213" s="35">
        <f>$D2213*($E2213*(AK$321-AK$322)+$F2213*(AK$324-AK$325))</f>
        <v/>
      </c>
      <c r="AL2213" s="35">
        <f>$D2213*($E2213*(AL$321-AL$322)+$F2213*(AL$324-AL$325))</f>
        <v/>
      </c>
      <c r="AM2213" s="35">
        <f>$D2213*($E2213*(AM$321-AM$322)+$F2213*(AM$324-AM$325))</f>
        <v/>
      </c>
      <c r="AN2213" s="35">
        <f>$D2213*($E2213*(AN$321-AN$322)+$F2213*(AN$324-AN$325))</f>
        <v/>
      </c>
      <c r="AO2213" s="35">
        <f>$D2213*($E2213*(AO$321-AO$322)+$F2213*(AO$324-AO$325))</f>
        <v/>
      </c>
      <c r="AP2213" s="35">
        <f>$D2213*($E2213*(AP$321-AP$322)+$F2213*(AP$324-AP$325))</f>
        <v/>
      </c>
      <c r="AQ2213" s="35">
        <f>$D2213*($E2213*(AQ$321-AQ$322)+$F2213*(AQ$324-AQ$325))</f>
        <v/>
      </c>
      <c r="AR2213" s="35">
        <f>$D2213*($E2213*(AR$321-AR$322)+$F2213*(AR$324-AR$325))</f>
        <v/>
      </c>
      <c r="AS2213" s="35">
        <f>$D2213*($E2213*(AS$321-AS$322)+$F2213*(AS$324-AS$325))</f>
        <v/>
      </c>
      <c r="AT2213" s="35">
        <f>$D2213*($E2213*(AT$321-AT$322)+$F2213*(AT$324-AT$325))</f>
        <v/>
      </c>
      <c r="AU2213" s="35">
        <f>$D2213*($E2213*(AU$321-AU$322)+$F2213*(AU$324-AU$325))</f>
        <v/>
      </c>
      <c r="AV2213" s="35">
        <f>$D2213*($E2213*(AV$321-AV$322)+$F2213*(AV$324-AV$325))</f>
        <v/>
      </c>
      <c r="AW2213" s="35">
        <f>$D2213*($E2213*(AW$321-AW$322)+$F2213*(AW$324-AW$325))</f>
        <v/>
      </c>
      <c r="AX2213" s="35">
        <f>$D2213*($E2213*(AX$321-AX$322)+$F2213*(AX$324-AX$325))</f>
        <v/>
      </c>
      <c r="AY2213" s="35">
        <f>$D2213*($E2213*(AY$321-AY$322)+$F2213*(AY$324-AY$325))</f>
        <v/>
      </c>
      <c r="AZ2213" s="35">
        <f>$D2213*($E2213*(AZ$321-AZ$322)+$F2213*(AZ$324-AZ$325))</f>
        <v/>
      </c>
      <c r="BA2213" s="42">
        <f>XCARBON($D2213,$E2213,(BA$321-BA$322),$F2213,(BA$324-BA$325))</f>
        <v/>
      </c>
    </row>
    <row r="2214" hidden="1" outlineLevel="2">
      <c r="A2214" s="14" t="inlineStr">
        <is>
          <t>xcpd</t>
        </is>
      </c>
      <c r="B2214" s="14" t="inlineStr">
        <is>
          <t>lpg</t>
        </is>
      </c>
      <c r="C2214" s="14" t="inlineStr">
        <is>
          <t>nfm</t>
        </is>
      </c>
      <c r="D2214" s="35">
        <f>INDEX(Inputs!$W$5:$W$132,MATCH($B2214&amp;"|"&amp;$C2214,Inputs!$A$5:$A$132,0))</f>
        <v/>
      </c>
      <c r="E2214" s="35">
        <f>INDEX(Inputs!$Z$5:$Z$132,MATCH($B2214&amp;"|"&amp;$C2214,Inputs!$A$5:$A$132,0))</f>
        <v/>
      </c>
      <c r="F2214" s="35">
        <f>INDEX(Inputs!$AA$5:$AA$132,MATCH($B2214&amp;"|"&amp;$C2214,Inputs!$A$5:$A$132,0))</f>
        <v/>
      </c>
      <c r="G2214" s="39" t="n"/>
      <c r="H2214" s="14">
        <f>INDEX(VarLab,MATCH($A2214,VarKey,0))&amp;INDEX(MemLab,MATCH($C2214&amp;"|"&amp;$B2214,MemKey,0))</f>
        <v/>
      </c>
      <c r="I2214" s="14">
        <f>INDEX(VarUnit,MATCH($A2214,VarKey,0))</f>
        <v/>
      </c>
      <c r="J2214" s="14">
        <f>INDEX(VarSrc,MATCH($A2214,VarKey,0))</f>
        <v/>
      </c>
      <c r="K2214" s="11">
        <f>CodePrefix&amp;$A2214&amp;IF($C2214="","","."&amp;$C2214&amp;"."&amp;$B2214)&amp;INDEX(VarEnd,MATCH($A2214,VarKey,0))&amp;K$5</f>
        <v/>
      </c>
      <c r="L2214" s="40">
        <f>$D2214*($E2214*(L$321-L$322)+$F2214*(L$324-L$325))</f>
        <v/>
      </c>
      <c r="M2214" s="35">
        <f>$D2214*($E2214*(M$321-M$322)+$F2214*(M$324-M$325))</f>
        <v/>
      </c>
      <c r="N2214" s="35">
        <f>$D2214*($E2214*(N$321-N$322)+$F2214*(N$324-N$325))</f>
        <v/>
      </c>
      <c r="O2214" s="35">
        <f>$D2214*($E2214*(O$321-O$322)+$F2214*(O$324-O$325))</f>
        <v/>
      </c>
      <c r="P2214" s="35">
        <f>$D2214*($E2214*(P$321-P$322)+$F2214*(P$324-P$325))</f>
        <v/>
      </c>
      <c r="Q2214" s="35">
        <f>$D2214*($E2214*(Q$321-Q$322)+$F2214*(Q$324-Q$325))</f>
        <v/>
      </c>
      <c r="R2214" s="35">
        <f>$D2214*($E2214*(R$321-R$322)+$F2214*(R$324-R$325))</f>
        <v/>
      </c>
      <c r="S2214" s="35">
        <f>$D2214*($E2214*(S$321-S$322)+$F2214*(S$324-S$325))</f>
        <v/>
      </c>
      <c r="T2214" s="35">
        <f>$D2214*($E2214*(T$321-T$322)+$F2214*(T$324-T$325))</f>
        <v/>
      </c>
      <c r="U2214" s="35">
        <f>$D2214*($E2214*(U$321-U$322)+$F2214*(U$324-U$325))</f>
        <v/>
      </c>
      <c r="V2214" s="35">
        <f>$D2214*($E2214*(V$321-V$322)+$F2214*(V$324-V$325))</f>
        <v/>
      </c>
      <c r="W2214" s="35">
        <f>$D2214*($E2214*(W$321-W$322)+$F2214*(W$324-W$325))</f>
        <v/>
      </c>
      <c r="X2214" s="35">
        <f>$D2214*($E2214*(X$321-X$322)+$F2214*(X$324-X$325))</f>
        <v/>
      </c>
      <c r="Y2214" s="35">
        <f>$D2214*($E2214*(Y$321-Y$322)+$F2214*(Y$324-Y$325))</f>
        <v/>
      </c>
      <c r="Z2214" s="35">
        <f>$D2214*($E2214*(Z$321-Z$322)+$F2214*(Z$324-Z$325))</f>
        <v/>
      </c>
      <c r="AA2214" s="35">
        <f>$D2214*($E2214*(AA$321-AA$322)+$F2214*(AA$324-AA$325))</f>
        <v/>
      </c>
      <c r="AB2214" s="35">
        <f>$D2214*($E2214*(AB$321-AB$322)+$F2214*(AB$324-AB$325))</f>
        <v/>
      </c>
      <c r="AC2214" s="35">
        <f>$D2214*($E2214*(AC$321-AC$322)+$F2214*(AC$324-AC$325))</f>
        <v/>
      </c>
      <c r="AD2214" s="35">
        <f>$D2214*($E2214*(AD$321-AD$322)+$F2214*(AD$324-AD$325))</f>
        <v/>
      </c>
      <c r="AE2214" s="42">
        <f>XCARBON($D2214,$E2214,(AE$321-AE$322),$F2214,(AE$324-AE$325))</f>
        <v/>
      </c>
      <c r="AG2214" s="11">
        <f>CodePrefix&amp;$A2214&amp;IF($C2214="","","."&amp;$C2214&amp;"."&amp;$B2214)&amp;INDEX(VarEnd,MATCH($A2214,VarKey,0))&amp;AG$5</f>
        <v/>
      </c>
      <c r="AH2214" s="40">
        <f>$D2214*($E2214*(AH$321-AH$322)+$F2214*(AH$324-AH$325))</f>
        <v/>
      </c>
      <c r="AI2214" s="35">
        <f>$D2214*($E2214*(AI$321-AI$322)+$F2214*(AI$324-AI$325))</f>
        <v/>
      </c>
      <c r="AJ2214" s="35">
        <f>$D2214*($E2214*(AJ$321-AJ$322)+$F2214*(AJ$324-AJ$325))</f>
        <v/>
      </c>
      <c r="AK2214" s="35">
        <f>$D2214*($E2214*(AK$321-AK$322)+$F2214*(AK$324-AK$325))</f>
        <v/>
      </c>
      <c r="AL2214" s="35">
        <f>$D2214*($E2214*(AL$321-AL$322)+$F2214*(AL$324-AL$325))</f>
        <v/>
      </c>
      <c r="AM2214" s="35">
        <f>$D2214*($E2214*(AM$321-AM$322)+$F2214*(AM$324-AM$325))</f>
        <v/>
      </c>
      <c r="AN2214" s="35">
        <f>$D2214*($E2214*(AN$321-AN$322)+$F2214*(AN$324-AN$325))</f>
        <v/>
      </c>
      <c r="AO2214" s="35">
        <f>$D2214*($E2214*(AO$321-AO$322)+$F2214*(AO$324-AO$325))</f>
        <v/>
      </c>
      <c r="AP2214" s="35">
        <f>$D2214*($E2214*(AP$321-AP$322)+$F2214*(AP$324-AP$325))</f>
        <v/>
      </c>
      <c r="AQ2214" s="35">
        <f>$D2214*($E2214*(AQ$321-AQ$322)+$F2214*(AQ$324-AQ$325))</f>
        <v/>
      </c>
      <c r="AR2214" s="35">
        <f>$D2214*($E2214*(AR$321-AR$322)+$F2214*(AR$324-AR$325))</f>
        <v/>
      </c>
      <c r="AS2214" s="35">
        <f>$D2214*($E2214*(AS$321-AS$322)+$F2214*(AS$324-AS$325))</f>
        <v/>
      </c>
      <c r="AT2214" s="35">
        <f>$D2214*($E2214*(AT$321-AT$322)+$F2214*(AT$324-AT$325))</f>
        <v/>
      </c>
      <c r="AU2214" s="35">
        <f>$D2214*($E2214*(AU$321-AU$322)+$F2214*(AU$324-AU$325))</f>
        <v/>
      </c>
      <c r="AV2214" s="35">
        <f>$D2214*($E2214*(AV$321-AV$322)+$F2214*(AV$324-AV$325))</f>
        <v/>
      </c>
      <c r="AW2214" s="35">
        <f>$D2214*($E2214*(AW$321-AW$322)+$F2214*(AW$324-AW$325))</f>
        <v/>
      </c>
      <c r="AX2214" s="35">
        <f>$D2214*($E2214*(AX$321-AX$322)+$F2214*(AX$324-AX$325))</f>
        <v/>
      </c>
      <c r="AY2214" s="35">
        <f>$D2214*($E2214*(AY$321-AY$322)+$F2214*(AY$324-AY$325))</f>
        <v/>
      </c>
      <c r="AZ2214" s="35">
        <f>$D2214*($E2214*(AZ$321-AZ$322)+$F2214*(AZ$324-AZ$325))</f>
        <v/>
      </c>
      <c r="BA2214" s="42">
        <f>XCARBON($D2214,$E2214,(BA$321-BA$322),$F2214,(BA$324-BA$325))</f>
        <v/>
      </c>
    </row>
    <row r="2215" hidden="1" outlineLevel="2">
      <c r="A2215" s="14" t="inlineStr">
        <is>
          <t>xcpd</t>
        </is>
      </c>
      <c r="B2215" s="14" t="inlineStr">
        <is>
          <t>ker</t>
        </is>
      </c>
      <c r="C2215" s="14" t="inlineStr">
        <is>
          <t>nfm</t>
        </is>
      </c>
      <c r="D2215" s="35">
        <f>INDEX(Inputs!$W$5:$W$132,MATCH($B2215&amp;"|"&amp;$C2215,Inputs!$A$5:$A$132,0))</f>
        <v/>
      </c>
      <c r="E2215" s="35">
        <f>INDEX(Inputs!$Z$5:$Z$132,MATCH($B2215&amp;"|"&amp;$C2215,Inputs!$A$5:$A$132,0))</f>
        <v/>
      </c>
      <c r="F2215" s="35">
        <f>INDEX(Inputs!$AA$5:$AA$132,MATCH($B2215&amp;"|"&amp;$C2215,Inputs!$A$5:$A$132,0))</f>
        <v/>
      </c>
      <c r="G2215" s="39" t="n"/>
      <c r="H2215" s="14">
        <f>INDEX(VarLab,MATCH($A2215,VarKey,0))&amp;INDEX(MemLab,MATCH($C2215&amp;"|"&amp;$B2215,MemKey,0))</f>
        <v/>
      </c>
      <c r="I2215" s="14">
        <f>INDEX(VarUnit,MATCH($A2215,VarKey,0))</f>
        <v/>
      </c>
      <c r="J2215" s="14">
        <f>INDEX(VarSrc,MATCH($A2215,VarKey,0))</f>
        <v/>
      </c>
      <c r="K2215" s="11">
        <f>CodePrefix&amp;$A2215&amp;IF($C2215="","","."&amp;$C2215&amp;"."&amp;$B2215)&amp;INDEX(VarEnd,MATCH($A2215,VarKey,0))&amp;K$5</f>
        <v/>
      </c>
      <c r="L2215" s="40">
        <f>$D2215*($E2215*(L$321-L$322)+$F2215*(L$324-L$325))</f>
        <v/>
      </c>
      <c r="M2215" s="35">
        <f>$D2215*($E2215*(M$321-M$322)+$F2215*(M$324-M$325))</f>
        <v/>
      </c>
      <c r="N2215" s="35">
        <f>$D2215*($E2215*(N$321-N$322)+$F2215*(N$324-N$325))</f>
        <v/>
      </c>
      <c r="O2215" s="35">
        <f>$D2215*($E2215*(O$321-O$322)+$F2215*(O$324-O$325))</f>
        <v/>
      </c>
      <c r="P2215" s="35">
        <f>$D2215*($E2215*(P$321-P$322)+$F2215*(P$324-P$325))</f>
        <v/>
      </c>
      <c r="Q2215" s="35">
        <f>$D2215*($E2215*(Q$321-Q$322)+$F2215*(Q$324-Q$325))</f>
        <v/>
      </c>
      <c r="R2215" s="35">
        <f>$D2215*($E2215*(R$321-R$322)+$F2215*(R$324-R$325))</f>
        <v/>
      </c>
      <c r="S2215" s="35">
        <f>$D2215*($E2215*(S$321-S$322)+$F2215*(S$324-S$325))</f>
        <v/>
      </c>
      <c r="T2215" s="35">
        <f>$D2215*($E2215*(T$321-T$322)+$F2215*(T$324-T$325))</f>
        <v/>
      </c>
      <c r="U2215" s="35">
        <f>$D2215*($E2215*(U$321-U$322)+$F2215*(U$324-U$325))</f>
        <v/>
      </c>
      <c r="V2215" s="35">
        <f>$D2215*($E2215*(V$321-V$322)+$F2215*(V$324-V$325))</f>
        <v/>
      </c>
      <c r="W2215" s="35">
        <f>$D2215*($E2215*(W$321-W$322)+$F2215*(W$324-W$325))</f>
        <v/>
      </c>
      <c r="X2215" s="35">
        <f>$D2215*($E2215*(X$321-X$322)+$F2215*(X$324-X$325))</f>
        <v/>
      </c>
      <c r="Y2215" s="35">
        <f>$D2215*($E2215*(Y$321-Y$322)+$F2215*(Y$324-Y$325))</f>
        <v/>
      </c>
      <c r="Z2215" s="35">
        <f>$D2215*($E2215*(Z$321-Z$322)+$F2215*(Z$324-Z$325))</f>
        <v/>
      </c>
      <c r="AA2215" s="35">
        <f>$D2215*($E2215*(AA$321-AA$322)+$F2215*(AA$324-AA$325))</f>
        <v/>
      </c>
      <c r="AB2215" s="35">
        <f>$D2215*($E2215*(AB$321-AB$322)+$F2215*(AB$324-AB$325))</f>
        <v/>
      </c>
      <c r="AC2215" s="35">
        <f>$D2215*($E2215*(AC$321-AC$322)+$F2215*(AC$324-AC$325))</f>
        <v/>
      </c>
      <c r="AD2215" s="35">
        <f>$D2215*($E2215*(AD$321-AD$322)+$F2215*(AD$324-AD$325))</f>
        <v/>
      </c>
      <c r="AE2215" s="42">
        <f>XCARBON($D2215,$E2215,(AE$321-AE$322),$F2215,(AE$324-AE$325))</f>
        <v/>
      </c>
      <c r="AG2215" s="11">
        <f>CodePrefix&amp;$A2215&amp;IF($C2215="","","."&amp;$C2215&amp;"."&amp;$B2215)&amp;INDEX(VarEnd,MATCH($A2215,VarKey,0))&amp;AG$5</f>
        <v/>
      </c>
      <c r="AH2215" s="40">
        <f>$D2215*($E2215*(AH$321-AH$322)+$F2215*(AH$324-AH$325))</f>
        <v/>
      </c>
      <c r="AI2215" s="35">
        <f>$D2215*($E2215*(AI$321-AI$322)+$F2215*(AI$324-AI$325))</f>
        <v/>
      </c>
      <c r="AJ2215" s="35">
        <f>$D2215*($E2215*(AJ$321-AJ$322)+$F2215*(AJ$324-AJ$325))</f>
        <v/>
      </c>
      <c r="AK2215" s="35">
        <f>$D2215*($E2215*(AK$321-AK$322)+$F2215*(AK$324-AK$325))</f>
        <v/>
      </c>
      <c r="AL2215" s="35">
        <f>$D2215*($E2215*(AL$321-AL$322)+$F2215*(AL$324-AL$325))</f>
        <v/>
      </c>
      <c r="AM2215" s="35">
        <f>$D2215*($E2215*(AM$321-AM$322)+$F2215*(AM$324-AM$325))</f>
        <v/>
      </c>
      <c r="AN2215" s="35">
        <f>$D2215*($E2215*(AN$321-AN$322)+$F2215*(AN$324-AN$325))</f>
        <v/>
      </c>
      <c r="AO2215" s="35">
        <f>$D2215*($E2215*(AO$321-AO$322)+$F2215*(AO$324-AO$325))</f>
        <v/>
      </c>
      <c r="AP2215" s="35">
        <f>$D2215*($E2215*(AP$321-AP$322)+$F2215*(AP$324-AP$325))</f>
        <v/>
      </c>
      <c r="AQ2215" s="35">
        <f>$D2215*($E2215*(AQ$321-AQ$322)+$F2215*(AQ$324-AQ$325))</f>
        <v/>
      </c>
      <c r="AR2215" s="35">
        <f>$D2215*($E2215*(AR$321-AR$322)+$F2215*(AR$324-AR$325))</f>
        <v/>
      </c>
      <c r="AS2215" s="35">
        <f>$D2215*($E2215*(AS$321-AS$322)+$F2215*(AS$324-AS$325))</f>
        <v/>
      </c>
      <c r="AT2215" s="35">
        <f>$D2215*($E2215*(AT$321-AT$322)+$F2215*(AT$324-AT$325))</f>
        <v/>
      </c>
      <c r="AU2215" s="35">
        <f>$D2215*($E2215*(AU$321-AU$322)+$F2215*(AU$324-AU$325))</f>
        <v/>
      </c>
      <c r="AV2215" s="35">
        <f>$D2215*($E2215*(AV$321-AV$322)+$F2215*(AV$324-AV$325))</f>
        <v/>
      </c>
      <c r="AW2215" s="35">
        <f>$D2215*($E2215*(AW$321-AW$322)+$F2215*(AW$324-AW$325))</f>
        <v/>
      </c>
      <c r="AX2215" s="35">
        <f>$D2215*($E2215*(AX$321-AX$322)+$F2215*(AX$324-AX$325))</f>
        <v/>
      </c>
      <c r="AY2215" s="35">
        <f>$D2215*($E2215*(AY$321-AY$322)+$F2215*(AY$324-AY$325))</f>
        <v/>
      </c>
      <c r="AZ2215" s="35">
        <f>$D2215*($E2215*(AZ$321-AZ$322)+$F2215*(AZ$324-AZ$325))</f>
        <v/>
      </c>
      <c r="BA2215" s="42">
        <f>XCARBON($D2215,$E2215,(BA$321-BA$322),$F2215,(BA$324-BA$325))</f>
        <v/>
      </c>
    </row>
    <row r="2216" hidden="1" outlineLevel="2">
      <c r="A2216" s="14" t="inlineStr">
        <is>
          <t>xcpd</t>
        </is>
      </c>
      <c r="B2216" s="14" t="inlineStr">
        <is>
          <t>oop</t>
        </is>
      </c>
      <c r="C2216" s="14" t="inlineStr">
        <is>
          <t>nfm</t>
        </is>
      </c>
      <c r="D2216" s="35">
        <f>INDEX(Inputs!$W$5:$W$132,MATCH($B2216&amp;"|"&amp;$C2216,Inputs!$A$5:$A$132,0))</f>
        <v/>
      </c>
      <c r="E2216" s="35">
        <f>INDEX(Inputs!$Z$5:$Z$132,MATCH($B2216&amp;"|"&amp;$C2216,Inputs!$A$5:$A$132,0))</f>
        <v/>
      </c>
      <c r="F2216" s="35">
        <f>INDEX(Inputs!$AA$5:$AA$132,MATCH($B2216&amp;"|"&amp;$C2216,Inputs!$A$5:$A$132,0))</f>
        <v/>
      </c>
      <c r="G2216" s="39" t="n"/>
      <c r="H2216" s="14">
        <f>INDEX(VarLab,MATCH($A2216,VarKey,0))&amp;INDEX(MemLab,MATCH($C2216&amp;"|"&amp;$B2216,MemKey,0))</f>
        <v/>
      </c>
      <c r="I2216" s="14">
        <f>INDEX(VarUnit,MATCH($A2216,VarKey,0))</f>
        <v/>
      </c>
      <c r="J2216" s="14">
        <f>INDEX(VarSrc,MATCH($A2216,VarKey,0))</f>
        <v/>
      </c>
      <c r="K2216" s="11">
        <f>CodePrefix&amp;$A2216&amp;IF($C2216="","","."&amp;$C2216&amp;"."&amp;$B2216)&amp;INDEX(VarEnd,MATCH($A2216,VarKey,0))&amp;K$5</f>
        <v/>
      </c>
      <c r="L2216" s="40">
        <f>$D2216*($E2216*(L$321-L$322)+$F2216*(L$324-L$325))</f>
        <v/>
      </c>
      <c r="M2216" s="35">
        <f>$D2216*($E2216*(M$321-M$322)+$F2216*(M$324-M$325))</f>
        <v/>
      </c>
      <c r="N2216" s="35">
        <f>$D2216*($E2216*(N$321-N$322)+$F2216*(N$324-N$325))</f>
        <v/>
      </c>
      <c r="O2216" s="35">
        <f>$D2216*($E2216*(O$321-O$322)+$F2216*(O$324-O$325))</f>
        <v/>
      </c>
      <c r="P2216" s="35">
        <f>$D2216*($E2216*(P$321-P$322)+$F2216*(P$324-P$325))</f>
        <v/>
      </c>
      <c r="Q2216" s="35">
        <f>$D2216*($E2216*(Q$321-Q$322)+$F2216*(Q$324-Q$325))</f>
        <v/>
      </c>
      <c r="R2216" s="35">
        <f>$D2216*($E2216*(R$321-R$322)+$F2216*(R$324-R$325))</f>
        <v/>
      </c>
      <c r="S2216" s="35">
        <f>$D2216*($E2216*(S$321-S$322)+$F2216*(S$324-S$325))</f>
        <v/>
      </c>
      <c r="T2216" s="35">
        <f>$D2216*($E2216*(T$321-T$322)+$F2216*(T$324-T$325))</f>
        <v/>
      </c>
      <c r="U2216" s="35">
        <f>$D2216*($E2216*(U$321-U$322)+$F2216*(U$324-U$325))</f>
        <v/>
      </c>
      <c r="V2216" s="35">
        <f>$D2216*($E2216*(V$321-V$322)+$F2216*(V$324-V$325))</f>
        <v/>
      </c>
      <c r="W2216" s="35">
        <f>$D2216*($E2216*(W$321-W$322)+$F2216*(W$324-W$325))</f>
        <v/>
      </c>
      <c r="X2216" s="35">
        <f>$D2216*($E2216*(X$321-X$322)+$F2216*(X$324-X$325))</f>
        <v/>
      </c>
      <c r="Y2216" s="35">
        <f>$D2216*($E2216*(Y$321-Y$322)+$F2216*(Y$324-Y$325))</f>
        <v/>
      </c>
      <c r="Z2216" s="35">
        <f>$D2216*($E2216*(Z$321-Z$322)+$F2216*(Z$324-Z$325))</f>
        <v/>
      </c>
      <c r="AA2216" s="35">
        <f>$D2216*($E2216*(AA$321-AA$322)+$F2216*(AA$324-AA$325))</f>
        <v/>
      </c>
      <c r="AB2216" s="35">
        <f>$D2216*($E2216*(AB$321-AB$322)+$F2216*(AB$324-AB$325))</f>
        <v/>
      </c>
      <c r="AC2216" s="35">
        <f>$D2216*($E2216*(AC$321-AC$322)+$F2216*(AC$324-AC$325))</f>
        <v/>
      </c>
      <c r="AD2216" s="35">
        <f>$D2216*($E2216*(AD$321-AD$322)+$F2216*(AD$324-AD$325))</f>
        <v/>
      </c>
      <c r="AE2216" s="42">
        <f>XCARBON($D2216,$E2216,(AE$321-AE$322),$F2216,(AE$324-AE$325))</f>
        <v/>
      </c>
      <c r="AG2216" s="11">
        <f>CodePrefix&amp;$A2216&amp;IF($C2216="","","."&amp;$C2216&amp;"."&amp;$B2216)&amp;INDEX(VarEnd,MATCH($A2216,VarKey,0))&amp;AG$5</f>
        <v/>
      </c>
      <c r="AH2216" s="40">
        <f>$D2216*($E2216*(AH$321-AH$322)+$F2216*(AH$324-AH$325))</f>
        <v/>
      </c>
      <c r="AI2216" s="35">
        <f>$D2216*($E2216*(AI$321-AI$322)+$F2216*(AI$324-AI$325))</f>
        <v/>
      </c>
      <c r="AJ2216" s="35">
        <f>$D2216*($E2216*(AJ$321-AJ$322)+$F2216*(AJ$324-AJ$325))</f>
        <v/>
      </c>
      <c r="AK2216" s="35">
        <f>$D2216*($E2216*(AK$321-AK$322)+$F2216*(AK$324-AK$325))</f>
        <v/>
      </c>
      <c r="AL2216" s="35">
        <f>$D2216*($E2216*(AL$321-AL$322)+$F2216*(AL$324-AL$325))</f>
        <v/>
      </c>
      <c r="AM2216" s="35">
        <f>$D2216*($E2216*(AM$321-AM$322)+$F2216*(AM$324-AM$325))</f>
        <v/>
      </c>
      <c r="AN2216" s="35">
        <f>$D2216*($E2216*(AN$321-AN$322)+$F2216*(AN$324-AN$325))</f>
        <v/>
      </c>
      <c r="AO2216" s="35">
        <f>$D2216*($E2216*(AO$321-AO$322)+$F2216*(AO$324-AO$325))</f>
        <v/>
      </c>
      <c r="AP2216" s="35">
        <f>$D2216*($E2216*(AP$321-AP$322)+$F2216*(AP$324-AP$325))</f>
        <v/>
      </c>
      <c r="AQ2216" s="35">
        <f>$D2216*($E2216*(AQ$321-AQ$322)+$F2216*(AQ$324-AQ$325))</f>
        <v/>
      </c>
      <c r="AR2216" s="35">
        <f>$D2216*($E2216*(AR$321-AR$322)+$F2216*(AR$324-AR$325))</f>
        <v/>
      </c>
      <c r="AS2216" s="35">
        <f>$D2216*($E2216*(AS$321-AS$322)+$F2216*(AS$324-AS$325))</f>
        <v/>
      </c>
      <c r="AT2216" s="35">
        <f>$D2216*($E2216*(AT$321-AT$322)+$F2216*(AT$324-AT$325))</f>
        <v/>
      </c>
      <c r="AU2216" s="35">
        <f>$D2216*($E2216*(AU$321-AU$322)+$F2216*(AU$324-AU$325))</f>
        <v/>
      </c>
      <c r="AV2216" s="35">
        <f>$D2216*($E2216*(AV$321-AV$322)+$F2216*(AV$324-AV$325))</f>
        <v/>
      </c>
      <c r="AW2216" s="35">
        <f>$D2216*($E2216*(AW$321-AW$322)+$F2216*(AW$324-AW$325))</f>
        <v/>
      </c>
      <c r="AX2216" s="35">
        <f>$D2216*($E2216*(AX$321-AX$322)+$F2216*(AX$324-AX$325))</f>
        <v/>
      </c>
      <c r="AY2216" s="35">
        <f>$D2216*($E2216*(AY$321-AY$322)+$F2216*(AY$324-AY$325))</f>
        <v/>
      </c>
      <c r="AZ2216" s="35">
        <f>$D2216*($E2216*(AZ$321-AZ$322)+$F2216*(AZ$324-AZ$325))</f>
        <v/>
      </c>
      <c r="BA2216" s="42">
        <f>XCARBON($D2216,$E2216,(BA$321-BA$322),$F2216,(BA$324-BA$325))</f>
        <v/>
      </c>
    </row>
    <row r="2217" hidden="1" outlineLevel="2">
      <c r="A2217" s="14" t="inlineStr">
        <is>
          <t>xcpd</t>
        </is>
      </c>
      <c r="B2217" s="14" t="inlineStr">
        <is>
          <t>bio</t>
        </is>
      </c>
      <c r="C2217" s="14" t="inlineStr">
        <is>
          <t>nfm</t>
        </is>
      </c>
      <c r="D2217" s="35">
        <f>INDEX(Inputs!$W$5:$W$132,MATCH($B2217&amp;"|"&amp;$C2217,Inputs!$A$5:$A$132,0))</f>
        <v/>
      </c>
      <c r="E2217" s="35">
        <f>INDEX(Inputs!$Z$5:$Z$132,MATCH($B2217&amp;"|"&amp;$C2217,Inputs!$A$5:$A$132,0))</f>
        <v/>
      </c>
      <c r="F2217" s="35">
        <f>INDEX(Inputs!$AA$5:$AA$132,MATCH($B2217&amp;"|"&amp;$C2217,Inputs!$A$5:$A$132,0))</f>
        <v/>
      </c>
      <c r="G2217" s="39" t="n"/>
      <c r="H2217" s="14">
        <f>INDEX(VarLab,MATCH($A2217,VarKey,0))&amp;INDEX(MemLab,MATCH($C2217&amp;"|"&amp;$B2217,MemKey,0))</f>
        <v/>
      </c>
      <c r="I2217" s="14">
        <f>INDEX(VarUnit,MATCH($A2217,VarKey,0))</f>
        <v/>
      </c>
      <c r="J2217" s="14">
        <f>INDEX(VarSrc,MATCH($A2217,VarKey,0))</f>
        <v/>
      </c>
      <c r="K2217" s="11">
        <f>CodePrefix&amp;$A2217&amp;IF($C2217="","","."&amp;$C2217&amp;"."&amp;$B2217)&amp;INDEX(VarEnd,MATCH($A2217,VarKey,0))&amp;K$5</f>
        <v/>
      </c>
      <c r="L2217" s="40">
        <f>$D2217*($E2217*(L$321-L$322)+$F2217*(L$324-L$325))</f>
        <v/>
      </c>
      <c r="M2217" s="35">
        <f>$D2217*($E2217*(M$321-M$322)+$F2217*(M$324-M$325))</f>
        <v/>
      </c>
      <c r="N2217" s="35">
        <f>$D2217*($E2217*(N$321-N$322)+$F2217*(N$324-N$325))</f>
        <v/>
      </c>
      <c r="O2217" s="35">
        <f>$D2217*($E2217*(O$321-O$322)+$F2217*(O$324-O$325))</f>
        <v/>
      </c>
      <c r="P2217" s="35">
        <f>$D2217*($E2217*(P$321-P$322)+$F2217*(P$324-P$325))</f>
        <v/>
      </c>
      <c r="Q2217" s="35">
        <f>$D2217*($E2217*(Q$321-Q$322)+$F2217*(Q$324-Q$325))</f>
        <v/>
      </c>
      <c r="R2217" s="35">
        <f>$D2217*($E2217*(R$321-R$322)+$F2217*(R$324-R$325))</f>
        <v/>
      </c>
      <c r="S2217" s="35">
        <f>$D2217*($E2217*(S$321-S$322)+$F2217*(S$324-S$325))</f>
        <v/>
      </c>
      <c r="T2217" s="35">
        <f>$D2217*($E2217*(T$321-T$322)+$F2217*(T$324-T$325))</f>
        <v/>
      </c>
      <c r="U2217" s="35">
        <f>$D2217*($E2217*(U$321-U$322)+$F2217*(U$324-U$325))</f>
        <v/>
      </c>
      <c r="V2217" s="35">
        <f>$D2217*($E2217*(V$321-V$322)+$F2217*(V$324-V$325))</f>
        <v/>
      </c>
      <c r="W2217" s="35">
        <f>$D2217*($E2217*(W$321-W$322)+$F2217*(W$324-W$325))</f>
        <v/>
      </c>
      <c r="X2217" s="35">
        <f>$D2217*($E2217*(X$321-X$322)+$F2217*(X$324-X$325))</f>
        <v/>
      </c>
      <c r="Y2217" s="35">
        <f>$D2217*($E2217*(Y$321-Y$322)+$F2217*(Y$324-Y$325))</f>
        <v/>
      </c>
      <c r="Z2217" s="35">
        <f>$D2217*($E2217*(Z$321-Z$322)+$F2217*(Z$324-Z$325))</f>
        <v/>
      </c>
      <c r="AA2217" s="35">
        <f>$D2217*($E2217*(AA$321-AA$322)+$F2217*(AA$324-AA$325))</f>
        <v/>
      </c>
      <c r="AB2217" s="35">
        <f>$D2217*($E2217*(AB$321-AB$322)+$F2217*(AB$324-AB$325))</f>
        <v/>
      </c>
      <c r="AC2217" s="35">
        <f>$D2217*($E2217*(AC$321-AC$322)+$F2217*(AC$324-AC$325))</f>
        <v/>
      </c>
      <c r="AD2217" s="35">
        <f>$D2217*($E2217*(AD$321-AD$322)+$F2217*(AD$324-AD$325))</f>
        <v/>
      </c>
      <c r="AE2217" s="42">
        <f>XCARBON($D2217,$E2217,(AE$321-AE$322),$F2217,(AE$324-AE$325))</f>
        <v/>
      </c>
      <c r="AG2217" s="11">
        <f>CodePrefix&amp;$A2217&amp;IF($C2217="","","."&amp;$C2217&amp;"."&amp;$B2217)&amp;INDEX(VarEnd,MATCH($A2217,VarKey,0))&amp;AG$5</f>
        <v/>
      </c>
      <c r="AH2217" s="40">
        <f>$D2217*($E2217*(AH$321-AH$322)+$F2217*(AH$324-AH$325))</f>
        <v/>
      </c>
      <c r="AI2217" s="35">
        <f>$D2217*($E2217*(AI$321-AI$322)+$F2217*(AI$324-AI$325))</f>
        <v/>
      </c>
      <c r="AJ2217" s="35">
        <f>$D2217*($E2217*(AJ$321-AJ$322)+$F2217*(AJ$324-AJ$325))</f>
        <v/>
      </c>
      <c r="AK2217" s="35">
        <f>$D2217*($E2217*(AK$321-AK$322)+$F2217*(AK$324-AK$325))</f>
        <v/>
      </c>
      <c r="AL2217" s="35">
        <f>$D2217*($E2217*(AL$321-AL$322)+$F2217*(AL$324-AL$325))</f>
        <v/>
      </c>
      <c r="AM2217" s="35">
        <f>$D2217*($E2217*(AM$321-AM$322)+$F2217*(AM$324-AM$325))</f>
        <v/>
      </c>
      <c r="AN2217" s="35">
        <f>$D2217*($E2217*(AN$321-AN$322)+$F2217*(AN$324-AN$325))</f>
        <v/>
      </c>
      <c r="AO2217" s="35">
        <f>$D2217*($E2217*(AO$321-AO$322)+$F2217*(AO$324-AO$325))</f>
        <v/>
      </c>
      <c r="AP2217" s="35">
        <f>$D2217*($E2217*(AP$321-AP$322)+$F2217*(AP$324-AP$325))</f>
        <v/>
      </c>
      <c r="AQ2217" s="35">
        <f>$D2217*($E2217*(AQ$321-AQ$322)+$F2217*(AQ$324-AQ$325))</f>
        <v/>
      </c>
      <c r="AR2217" s="35">
        <f>$D2217*($E2217*(AR$321-AR$322)+$F2217*(AR$324-AR$325))</f>
        <v/>
      </c>
      <c r="AS2217" s="35">
        <f>$D2217*($E2217*(AS$321-AS$322)+$F2217*(AS$324-AS$325))</f>
        <v/>
      </c>
      <c r="AT2217" s="35">
        <f>$D2217*($E2217*(AT$321-AT$322)+$F2217*(AT$324-AT$325))</f>
        <v/>
      </c>
      <c r="AU2217" s="35">
        <f>$D2217*($E2217*(AU$321-AU$322)+$F2217*(AU$324-AU$325))</f>
        <v/>
      </c>
      <c r="AV2217" s="35">
        <f>$D2217*($E2217*(AV$321-AV$322)+$F2217*(AV$324-AV$325))</f>
        <v/>
      </c>
      <c r="AW2217" s="35">
        <f>$D2217*($E2217*(AW$321-AW$322)+$F2217*(AW$324-AW$325))</f>
        <v/>
      </c>
      <c r="AX2217" s="35">
        <f>$D2217*($E2217*(AX$321-AX$322)+$F2217*(AX$324-AX$325))</f>
        <v/>
      </c>
      <c r="AY2217" s="35">
        <f>$D2217*($E2217*(AY$321-AY$322)+$F2217*(AY$324-AY$325))</f>
        <v/>
      </c>
      <c r="AZ2217" s="35">
        <f>$D2217*($E2217*(AZ$321-AZ$322)+$F2217*(AZ$324-AZ$325))</f>
        <v/>
      </c>
      <c r="BA2217" s="42">
        <f>XCARBON($D2217,$E2217,(BA$321-BA$322),$F2217,(BA$324-BA$325))</f>
        <v/>
      </c>
    </row>
    <row r="2218" hidden="1" outlineLevel="2"/>
    <row r="2219" hidden="1" outlineLevel="2">
      <c r="A2219" s="14" t="inlineStr">
        <is>
          <t>atp</t>
        </is>
      </c>
      <c r="B2219" s="14" t="inlineStr">
        <is>
          <t>coa</t>
        </is>
      </c>
      <c r="C2219" s="14" t="inlineStr">
        <is>
          <t>nfm</t>
        </is>
      </c>
      <c r="D2219" s="35">
        <f>INDEX(Inputs!$U$5:$U$132,MATCH($B2219&amp;"|"&amp;$C2219,Inputs!$A$5:$A$132,0))</f>
        <v/>
      </c>
      <c r="E2219" s="35">
        <f>INDEX(Inputs!$V$5:$V$132,MATCH($B2219&amp;"|"&amp;$C2219,Inputs!$A$5:$A$132,0))</f>
        <v/>
      </c>
      <c r="F2219" s="39" t="n"/>
      <c r="G2219" s="39" t="n"/>
      <c r="H2219" s="14">
        <f>INDEX(VarLab,MATCH($A2219,VarKey,0))&amp;INDEX(MemLab,MATCH($C2219&amp;"|"&amp;$B2219,MemKey,0))</f>
        <v/>
      </c>
      <c r="I2219" s="14">
        <f>INDEX(VarUnit,MATCH($A2219,VarKey,0))</f>
        <v/>
      </c>
      <c r="J2219" s="14">
        <f>INDEX(VarSrc,MATCH($A2219,VarKey,0))</f>
        <v/>
      </c>
      <c r="K2219" s="11">
        <f>CodePrefix&amp;$A2219&amp;IF($C2219="","","."&amp;$C2219&amp;"."&amp;$B2219)&amp;INDEX(VarEnd,MATCH($A2219,VarKey,0))&amp;K$5</f>
        <v/>
      </c>
      <c r="L2219" s="40">
        <f>MAX(INDEX(L$381:L$392,$D2219)+(L2192+L2210)*(1+$E2219),0.01)</f>
        <v/>
      </c>
      <c r="M2219" s="35">
        <f>MAX(INDEX(M$381:M$392,$D2219)+(M2192+M2210)*(1+$E2219),0.01)</f>
        <v/>
      </c>
      <c r="N2219" s="35">
        <f>MAX(INDEX(N$381:N$392,$D2219)+(N2192+N2210)*(1+$E2219),0.01)</f>
        <v/>
      </c>
      <c r="O2219" s="35">
        <f>MAX(INDEX(O$381:O$392,$D2219)+(O2192+O2210)*(1+$E2219),0.01)</f>
        <v/>
      </c>
      <c r="P2219" s="35">
        <f>MAX(INDEX(P$381:P$392,$D2219)+(P2192+P2210)*(1+$E2219),0.01)</f>
        <v/>
      </c>
      <c r="Q2219" s="35">
        <f>MAX(INDEX(Q$381:Q$392,$D2219)+(Q2192+Q2210)*(1+$E2219),0.01)</f>
        <v/>
      </c>
      <c r="R2219" s="35">
        <f>MAX(INDEX(R$381:R$392,$D2219)+(R2192+R2210)*(1+$E2219),0.01)</f>
        <v/>
      </c>
      <c r="S2219" s="35">
        <f>MAX(INDEX(S$381:S$392,$D2219)+(S2192+S2210)*(1+$E2219),0.01)</f>
        <v/>
      </c>
      <c r="T2219" s="35">
        <f>MAX(INDEX(T$381:T$392,$D2219)+(T2192+T2210)*(1+$E2219),0.01)</f>
        <v/>
      </c>
      <c r="U2219" s="35">
        <f>MAX(INDEX(U$381:U$392,$D2219)+(U2192+U2210)*(1+$E2219),0.01)</f>
        <v/>
      </c>
      <c r="V2219" s="35">
        <f>MAX(INDEX(V$381:V$392,$D2219)+(V2192+V2210)*(1+$E2219),0.01)</f>
        <v/>
      </c>
      <c r="W2219" s="35">
        <f>MAX(INDEX(W$381:W$392,$D2219)+(W2192+W2210)*(1+$E2219),0.01)</f>
        <v/>
      </c>
      <c r="X2219" s="35">
        <f>MAX(INDEX(X$381:X$392,$D2219)+(X2192+X2210)*(1+$E2219),0.01)</f>
        <v/>
      </c>
      <c r="Y2219" s="35">
        <f>MAX(INDEX(Y$381:Y$392,$D2219)+(Y2192+Y2210)*(1+$E2219),0.01)</f>
        <v/>
      </c>
      <c r="Z2219" s="35">
        <f>MAX(INDEX(Z$381:Z$392,$D2219)+(Z2192+Z2210)*(1+$E2219),0.01)</f>
        <v/>
      </c>
      <c r="AA2219" s="35">
        <f>MAX(INDEX(AA$381:AA$392,$D2219)+(AA2192+AA2210)*(1+$E2219),0.01)</f>
        <v/>
      </c>
      <c r="AB2219" s="35">
        <f>MAX(INDEX(AB$381:AB$392,$D2219)+(AB2192+AB2210)*(1+$E2219),0.01)</f>
        <v/>
      </c>
      <c r="AC2219" s="35">
        <f>MAX(INDEX(AC$381:AC$392,$D2219)+(AC2192+AC2210)*(1+$E2219),0.01)</f>
        <v/>
      </c>
      <c r="AD2219" s="35">
        <f>MAX(INDEX(AD$381:AD$392,$D2219)+(AD2192+AD2210)*(1+$E2219),0.01)</f>
        <v/>
      </c>
      <c r="AE2219" s="42">
        <f>POSTTAX(INDEX(AE$381:AE$392,$D2219),AE2192+AE2210,$E2219)</f>
        <v/>
      </c>
      <c r="AG2219" s="11">
        <f>CodePrefix&amp;$A2219&amp;IF($C2219="","","."&amp;$C2219&amp;"."&amp;$B2219)&amp;INDEX(VarEnd,MATCH($A2219,VarKey,0))&amp;AG$5</f>
        <v/>
      </c>
      <c r="AH2219" s="40">
        <f>MAX(INDEX(AH$381:AH$392,$D2219)+(AH2192+AH2210)*(1+$E2219),0.01)</f>
        <v/>
      </c>
      <c r="AI2219" s="35">
        <f>MAX(INDEX(AI$381:AI$392,$D2219)+(AI2192+AI2210)*(1+$E2219),0.01)</f>
        <v/>
      </c>
      <c r="AJ2219" s="35">
        <f>MAX(INDEX(AJ$381:AJ$392,$D2219)+(AJ2192+AJ2210)*(1+$E2219),0.01)</f>
        <v/>
      </c>
      <c r="AK2219" s="35">
        <f>MAX(INDEX(AK$381:AK$392,$D2219)+(AK2192+AK2210)*(1+$E2219),0.01)</f>
        <v/>
      </c>
      <c r="AL2219" s="35">
        <f>MAX(INDEX(AL$381:AL$392,$D2219)+(AL2192+AL2210)*(1+$E2219),0.01)</f>
        <v/>
      </c>
      <c r="AM2219" s="35">
        <f>MAX(INDEX(AM$381:AM$392,$D2219)+(AM2192+AM2210)*(1+$E2219),0.01)</f>
        <v/>
      </c>
      <c r="AN2219" s="35">
        <f>MAX(INDEX(AN$381:AN$392,$D2219)+(AN2192+AN2210)*(1+$E2219),0.01)</f>
        <v/>
      </c>
      <c r="AO2219" s="35">
        <f>MAX(INDEX(AO$381:AO$392,$D2219)+(AO2192+AO2210)*(1+$E2219),0.01)</f>
        <v/>
      </c>
      <c r="AP2219" s="35">
        <f>MAX(INDEX(AP$381:AP$392,$D2219)+(AP2192+AP2210)*(1+$E2219),0.01)</f>
        <v/>
      </c>
      <c r="AQ2219" s="35">
        <f>MAX(INDEX(AQ$381:AQ$392,$D2219)+(AQ2192+AQ2210)*(1+$E2219),0.01)</f>
        <v/>
      </c>
      <c r="AR2219" s="35">
        <f>MAX(INDEX(AR$381:AR$392,$D2219)+(AR2192+AR2210)*(1+$E2219),0.01)</f>
        <v/>
      </c>
      <c r="AS2219" s="35">
        <f>MAX(INDEX(AS$381:AS$392,$D2219)+(AS2192+AS2210)*(1+$E2219),0.01)</f>
        <v/>
      </c>
      <c r="AT2219" s="35">
        <f>MAX(INDEX(AT$381:AT$392,$D2219)+(AT2192+AT2210)*(1+$E2219),0.01)</f>
        <v/>
      </c>
      <c r="AU2219" s="35">
        <f>MAX(INDEX(AU$381:AU$392,$D2219)+(AU2192+AU2210)*(1+$E2219),0.01)</f>
        <v/>
      </c>
      <c r="AV2219" s="35">
        <f>MAX(INDEX(AV$381:AV$392,$D2219)+(AV2192+AV2210)*(1+$E2219),0.01)</f>
        <v/>
      </c>
      <c r="AW2219" s="35">
        <f>MAX(INDEX(AW$381:AW$392,$D2219)+(AW2192+AW2210)*(1+$E2219),0.01)</f>
        <v/>
      </c>
      <c r="AX2219" s="35">
        <f>MAX(INDEX(AX$381:AX$392,$D2219)+(AX2192+AX2210)*(1+$E2219),0.01)</f>
        <v/>
      </c>
      <c r="AY2219" s="35">
        <f>MAX(INDEX(AY$381:AY$392,$D2219)+(AY2192+AY2210)*(1+$E2219),0.01)</f>
        <v/>
      </c>
      <c r="AZ2219" s="35">
        <f>MAX(INDEX(AZ$381:AZ$392,$D2219)+(AZ2192+AZ2210)*(1+$E2219),0.01)</f>
        <v/>
      </c>
      <c r="BA2219" s="42">
        <f>POSTTAX(INDEX(BA$381:BA$392,$D2219),BA2192+BA2210,$E2219)</f>
        <v/>
      </c>
    </row>
    <row r="2220" hidden="1" outlineLevel="2">
      <c r="A2220" s="14" t="inlineStr">
        <is>
          <t>atp</t>
        </is>
      </c>
      <c r="B2220" s="14" t="inlineStr">
        <is>
          <t>nga</t>
        </is>
      </c>
      <c r="C2220" s="14" t="inlineStr">
        <is>
          <t>nfm</t>
        </is>
      </c>
      <c r="D2220" s="35">
        <f>INDEX(Inputs!$U$5:$U$132,MATCH($B2220&amp;"|"&amp;$C2220,Inputs!$A$5:$A$132,0))</f>
        <v/>
      </c>
      <c r="E2220" s="35">
        <f>INDEX(Inputs!$V$5:$V$132,MATCH($B2220&amp;"|"&amp;$C2220,Inputs!$A$5:$A$132,0))</f>
        <v/>
      </c>
      <c r="F2220" s="39" t="n"/>
      <c r="G2220" s="39" t="n"/>
      <c r="H2220" s="14">
        <f>INDEX(VarLab,MATCH($A2220,VarKey,0))&amp;INDEX(MemLab,MATCH($C2220&amp;"|"&amp;$B2220,MemKey,0))</f>
        <v/>
      </c>
      <c r="I2220" s="14">
        <f>INDEX(VarUnit,MATCH($A2220,VarKey,0))</f>
        <v/>
      </c>
      <c r="J2220" s="14">
        <f>INDEX(VarSrc,MATCH($A2220,VarKey,0))</f>
        <v/>
      </c>
      <c r="K2220" s="11">
        <f>CodePrefix&amp;$A2220&amp;IF($C2220="","","."&amp;$C2220&amp;"."&amp;$B2220)&amp;INDEX(VarEnd,MATCH($A2220,VarKey,0))&amp;K$5</f>
        <v/>
      </c>
      <c r="L2220" s="40">
        <f>MAX(INDEX(L$381:L$392,$D2220)+(L2193+L2211)*(1+$E2220),0.01)</f>
        <v/>
      </c>
      <c r="M2220" s="35">
        <f>MAX(INDEX(M$381:M$392,$D2220)+(M2193+M2211)*(1+$E2220),0.01)</f>
        <v/>
      </c>
      <c r="N2220" s="35">
        <f>MAX(INDEX(N$381:N$392,$D2220)+(N2193+N2211)*(1+$E2220),0.01)</f>
        <v/>
      </c>
      <c r="O2220" s="35">
        <f>MAX(INDEX(O$381:O$392,$D2220)+(O2193+O2211)*(1+$E2220),0.01)</f>
        <v/>
      </c>
      <c r="P2220" s="35">
        <f>MAX(INDEX(P$381:P$392,$D2220)+(P2193+P2211)*(1+$E2220),0.01)</f>
        <v/>
      </c>
      <c r="Q2220" s="35">
        <f>MAX(INDEX(Q$381:Q$392,$D2220)+(Q2193+Q2211)*(1+$E2220),0.01)</f>
        <v/>
      </c>
      <c r="R2220" s="35">
        <f>MAX(INDEX(R$381:R$392,$D2220)+(R2193+R2211)*(1+$E2220),0.01)</f>
        <v/>
      </c>
      <c r="S2220" s="35">
        <f>MAX(INDEX(S$381:S$392,$D2220)+(S2193+S2211)*(1+$E2220),0.01)</f>
        <v/>
      </c>
      <c r="T2220" s="35">
        <f>MAX(INDEX(T$381:T$392,$D2220)+(T2193+T2211)*(1+$E2220),0.01)</f>
        <v/>
      </c>
      <c r="U2220" s="35">
        <f>MAX(INDEX(U$381:U$392,$D2220)+(U2193+U2211)*(1+$E2220),0.01)</f>
        <v/>
      </c>
      <c r="V2220" s="35">
        <f>MAX(INDEX(V$381:V$392,$D2220)+(V2193+V2211)*(1+$E2220),0.01)</f>
        <v/>
      </c>
      <c r="W2220" s="35">
        <f>MAX(INDEX(W$381:W$392,$D2220)+(W2193+W2211)*(1+$E2220),0.01)</f>
        <v/>
      </c>
      <c r="X2220" s="35">
        <f>MAX(INDEX(X$381:X$392,$D2220)+(X2193+X2211)*(1+$E2220),0.01)</f>
        <v/>
      </c>
      <c r="Y2220" s="35">
        <f>MAX(INDEX(Y$381:Y$392,$D2220)+(Y2193+Y2211)*(1+$E2220),0.01)</f>
        <v/>
      </c>
      <c r="Z2220" s="35">
        <f>MAX(INDEX(Z$381:Z$392,$D2220)+(Z2193+Z2211)*(1+$E2220),0.01)</f>
        <v/>
      </c>
      <c r="AA2220" s="35">
        <f>MAX(INDEX(AA$381:AA$392,$D2220)+(AA2193+AA2211)*(1+$E2220),0.01)</f>
        <v/>
      </c>
      <c r="AB2220" s="35">
        <f>MAX(INDEX(AB$381:AB$392,$D2220)+(AB2193+AB2211)*(1+$E2220),0.01)</f>
        <v/>
      </c>
      <c r="AC2220" s="35">
        <f>MAX(INDEX(AC$381:AC$392,$D2220)+(AC2193+AC2211)*(1+$E2220),0.01)</f>
        <v/>
      </c>
      <c r="AD2220" s="35">
        <f>MAX(INDEX(AD$381:AD$392,$D2220)+(AD2193+AD2211)*(1+$E2220),0.01)</f>
        <v/>
      </c>
      <c r="AE2220" s="42">
        <f>POSTTAX(INDEX(AE$381:AE$392,$D2220),AE2193+AE2211,$E2220)</f>
        <v/>
      </c>
      <c r="AG2220" s="11">
        <f>CodePrefix&amp;$A2220&amp;IF($C2220="","","."&amp;$C2220&amp;"."&amp;$B2220)&amp;INDEX(VarEnd,MATCH($A2220,VarKey,0))&amp;AG$5</f>
        <v/>
      </c>
      <c r="AH2220" s="40">
        <f>MAX(INDEX(AH$381:AH$392,$D2220)+(AH2193+AH2211)*(1+$E2220),0.01)</f>
        <v/>
      </c>
      <c r="AI2220" s="35">
        <f>MAX(INDEX(AI$381:AI$392,$D2220)+(AI2193+AI2211)*(1+$E2220),0.01)</f>
        <v/>
      </c>
      <c r="AJ2220" s="35">
        <f>MAX(INDEX(AJ$381:AJ$392,$D2220)+(AJ2193+AJ2211)*(1+$E2220),0.01)</f>
        <v/>
      </c>
      <c r="AK2220" s="35">
        <f>MAX(INDEX(AK$381:AK$392,$D2220)+(AK2193+AK2211)*(1+$E2220),0.01)</f>
        <v/>
      </c>
      <c r="AL2220" s="35">
        <f>MAX(INDEX(AL$381:AL$392,$D2220)+(AL2193+AL2211)*(1+$E2220),0.01)</f>
        <v/>
      </c>
      <c r="AM2220" s="35">
        <f>MAX(INDEX(AM$381:AM$392,$D2220)+(AM2193+AM2211)*(1+$E2220),0.01)</f>
        <v/>
      </c>
      <c r="AN2220" s="35">
        <f>MAX(INDEX(AN$381:AN$392,$D2220)+(AN2193+AN2211)*(1+$E2220),0.01)</f>
        <v/>
      </c>
      <c r="AO2220" s="35">
        <f>MAX(INDEX(AO$381:AO$392,$D2220)+(AO2193+AO2211)*(1+$E2220),0.01)</f>
        <v/>
      </c>
      <c r="AP2220" s="35">
        <f>MAX(INDEX(AP$381:AP$392,$D2220)+(AP2193+AP2211)*(1+$E2220),0.01)</f>
        <v/>
      </c>
      <c r="AQ2220" s="35">
        <f>MAX(INDEX(AQ$381:AQ$392,$D2220)+(AQ2193+AQ2211)*(1+$E2220),0.01)</f>
        <v/>
      </c>
      <c r="AR2220" s="35">
        <f>MAX(INDEX(AR$381:AR$392,$D2220)+(AR2193+AR2211)*(1+$E2220),0.01)</f>
        <v/>
      </c>
      <c r="AS2220" s="35">
        <f>MAX(INDEX(AS$381:AS$392,$D2220)+(AS2193+AS2211)*(1+$E2220),0.01)</f>
        <v/>
      </c>
      <c r="AT2220" s="35">
        <f>MAX(INDEX(AT$381:AT$392,$D2220)+(AT2193+AT2211)*(1+$E2220),0.01)</f>
        <v/>
      </c>
      <c r="AU2220" s="35">
        <f>MAX(INDEX(AU$381:AU$392,$D2220)+(AU2193+AU2211)*(1+$E2220),0.01)</f>
        <v/>
      </c>
      <c r="AV2220" s="35">
        <f>MAX(INDEX(AV$381:AV$392,$D2220)+(AV2193+AV2211)*(1+$E2220),0.01)</f>
        <v/>
      </c>
      <c r="AW2220" s="35">
        <f>MAX(INDEX(AW$381:AW$392,$D2220)+(AW2193+AW2211)*(1+$E2220),0.01)</f>
        <v/>
      </c>
      <c r="AX2220" s="35">
        <f>MAX(INDEX(AX$381:AX$392,$D2220)+(AX2193+AX2211)*(1+$E2220),0.01)</f>
        <v/>
      </c>
      <c r="AY2220" s="35">
        <f>MAX(INDEX(AY$381:AY$392,$D2220)+(AY2193+AY2211)*(1+$E2220),0.01)</f>
        <v/>
      </c>
      <c r="AZ2220" s="35">
        <f>MAX(INDEX(AZ$381:AZ$392,$D2220)+(AZ2193+AZ2211)*(1+$E2220),0.01)</f>
        <v/>
      </c>
      <c r="BA2220" s="42">
        <f>POSTTAX(INDEX(BA$381:BA$392,$D2220),BA2193+BA2211,$E2220)</f>
        <v/>
      </c>
    </row>
    <row r="2221" hidden="1" outlineLevel="2">
      <c r="A2221" s="14" t="inlineStr">
        <is>
          <t>atp</t>
        </is>
      </c>
      <c r="B2221" s="14" t="inlineStr">
        <is>
          <t>gso</t>
        </is>
      </c>
      <c r="C2221" s="14" t="inlineStr">
        <is>
          <t>nfm</t>
        </is>
      </c>
      <c r="D2221" s="35">
        <f>INDEX(Inputs!$U$5:$U$132,MATCH($B2221&amp;"|"&amp;$C2221,Inputs!$A$5:$A$132,0))</f>
        <v/>
      </c>
      <c r="E2221" s="35">
        <f>INDEX(Inputs!$V$5:$V$132,MATCH($B2221&amp;"|"&amp;$C2221,Inputs!$A$5:$A$132,0))</f>
        <v/>
      </c>
      <c r="F2221" s="39" t="n"/>
      <c r="G2221" s="39" t="n"/>
      <c r="H2221" s="14">
        <f>INDEX(VarLab,MATCH($A2221,VarKey,0))&amp;INDEX(MemLab,MATCH($C2221&amp;"|"&amp;$B2221,MemKey,0))</f>
        <v/>
      </c>
      <c r="I2221" s="14">
        <f>INDEX(VarUnit,MATCH($A2221,VarKey,0))</f>
        <v/>
      </c>
      <c r="J2221" s="14">
        <f>INDEX(VarSrc,MATCH($A2221,VarKey,0))</f>
        <v/>
      </c>
      <c r="K2221" s="11">
        <f>CodePrefix&amp;$A2221&amp;IF($C2221="","","."&amp;$C2221&amp;"."&amp;$B2221)&amp;INDEX(VarEnd,MATCH($A2221,VarKey,0))&amp;K$5</f>
        <v/>
      </c>
      <c r="L2221" s="40">
        <f>MAX(INDEX(L$381:L$392,$D2221)+(L2194+L2212)*(1+$E2221),0.01)</f>
        <v/>
      </c>
      <c r="M2221" s="35">
        <f>MAX(INDEX(M$381:M$392,$D2221)+(M2194+M2212)*(1+$E2221),0.01)</f>
        <v/>
      </c>
      <c r="N2221" s="35">
        <f>MAX(INDEX(N$381:N$392,$D2221)+(N2194+N2212)*(1+$E2221),0.01)</f>
        <v/>
      </c>
      <c r="O2221" s="35">
        <f>MAX(INDEX(O$381:O$392,$D2221)+(O2194+O2212)*(1+$E2221),0.01)</f>
        <v/>
      </c>
      <c r="P2221" s="35">
        <f>MAX(INDEX(P$381:P$392,$D2221)+(P2194+P2212)*(1+$E2221),0.01)</f>
        <v/>
      </c>
      <c r="Q2221" s="35">
        <f>MAX(INDEX(Q$381:Q$392,$D2221)+(Q2194+Q2212)*(1+$E2221),0.01)</f>
        <v/>
      </c>
      <c r="R2221" s="35">
        <f>MAX(INDEX(R$381:R$392,$D2221)+(R2194+R2212)*(1+$E2221),0.01)</f>
        <v/>
      </c>
      <c r="S2221" s="35">
        <f>MAX(INDEX(S$381:S$392,$D2221)+(S2194+S2212)*(1+$E2221),0.01)</f>
        <v/>
      </c>
      <c r="T2221" s="35">
        <f>MAX(INDEX(T$381:T$392,$D2221)+(T2194+T2212)*(1+$E2221),0.01)</f>
        <v/>
      </c>
      <c r="U2221" s="35">
        <f>MAX(INDEX(U$381:U$392,$D2221)+(U2194+U2212)*(1+$E2221),0.01)</f>
        <v/>
      </c>
      <c r="V2221" s="35">
        <f>MAX(INDEX(V$381:V$392,$D2221)+(V2194+V2212)*(1+$E2221),0.01)</f>
        <v/>
      </c>
      <c r="W2221" s="35">
        <f>MAX(INDEX(W$381:W$392,$D2221)+(W2194+W2212)*(1+$E2221),0.01)</f>
        <v/>
      </c>
      <c r="X2221" s="35">
        <f>MAX(INDEX(X$381:X$392,$D2221)+(X2194+X2212)*(1+$E2221),0.01)</f>
        <v/>
      </c>
      <c r="Y2221" s="35">
        <f>MAX(INDEX(Y$381:Y$392,$D2221)+(Y2194+Y2212)*(1+$E2221),0.01)</f>
        <v/>
      </c>
      <c r="Z2221" s="35">
        <f>MAX(INDEX(Z$381:Z$392,$D2221)+(Z2194+Z2212)*(1+$E2221),0.01)</f>
        <v/>
      </c>
      <c r="AA2221" s="35">
        <f>MAX(INDEX(AA$381:AA$392,$D2221)+(AA2194+AA2212)*(1+$E2221),0.01)</f>
        <v/>
      </c>
      <c r="AB2221" s="35">
        <f>MAX(INDEX(AB$381:AB$392,$D2221)+(AB2194+AB2212)*(1+$E2221),0.01)</f>
        <v/>
      </c>
      <c r="AC2221" s="35">
        <f>MAX(INDEX(AC$381:AC$392,$D2221)+(AC2194+AC2212)*(1+$E2221),0.01)</f>
        <v/>
      </c>
      <c r="AD2221" s="35">
        <f>MAX(INDEX(AD$381:AD$392,$D2221)+(AD2194+AD2212)*(1+$E2221),0.01)</f>
        <v/>
      </c>
      <c r="AE2221" s="42">
        <f>POSTTAX(INDEX(AE$381:AE$392,$D2221),AE2194+AE2212,$E2221)</f>
        <v/>
      </c>
      <c r="AG2221" s="11">
        <f>CodePrefix&amp;$A2221&amp;IF($C2221="","","."&amp;$C2221&amp;"."&amp;$B2221)&amp;INDEX(VarEnd,MATCH($A2221,VarKey,0))&amp;AG$5</f>
        <v/>
      </c>
      <c r="AH2221" s="40">
        <f>MAX(INDEX(AH$381:AH$392,$D2221)+(AH2194+AH2212)*(1+$E2221),0.01)</f>
        <v/>
      </c>
      <c r="AI2221" s="35">
        <f>MAX(INDEX(AI$381:AI$392,$D2221)+(AI2194+AI2212)*(1+$E2221),0.01)</f>
        <v/>
      </c>
      <c r="AJ2221" s="35">
        <f>MAX(INDEX(AJ$381:AJ$392,$D2221)+(AJ2194+AJ2212)*(1+$E2221),0.01)</f>
        <v/>
      </c>
      <c r="AK2221" s="35">
        <f>MAX(INDEX(AK$381:AK$392,$D2221)+(AK2194+AK2212)*(1+$E2221),0.01)</f>
        <v/>
      </c>
      <c r="AL2221" s="35">
        <f>MAX(INDEX(AL$381:AL$392,$D2221)+(AL2194+AL2212)*(1+$E2221),0.01)</f>
        <v/>
      </c>
      <c r="AM2221" s="35">
        <f>MAX(INDEX(AM$381:AM$392,$D2221)+(AM2194+AM2212)*(1+$E2221),0.01)</f>
        <v/>
      </c>
      <c r="AN2221" s="35">
        <f>MAX(INDEX(AN$381:AN$392,$D2221)+(AN2194+AN2212)*(1+$E2221),0.01)</f>
        <v/>
      </c>
      <c r="AO2221" s="35">
        <f>MAX(INDEX(AO$381:AO$392,$D2221)+(AO2194+AO2212)*(1+$E2221),0.01)</f>
        <v/>
      </c>
      <c r="AP2221" s="35">
        <f>MAX(INDEX(AP$381:AP$392,$D2221)+(AP2194+AP2212)*(1+$E2221),0.01)</f>
        <v/>
      </c>
      <c r="AQ2221" s="35">
        <f>MAX(INDEX(AQ$381:AQ$392,$D2221)+(AQ2194+AQ2212)*(1+$E2221),0.01)</f>
        <v/>
      </c>
      <c r="AR2221" s="35">
        <f>MAX(INDEX(AR$381:AR$392,$D2221)+(AR2194+AR2212)*(1+$E2221),0.01)</f>
        <v/>
      </c>
      <c r="AS2221" s="35">
        <f>MAX(INDEX(AS$381:AS$392,$D2221)+(AS2194+AS2212)*(1+$E2221),0.01)</f>
        <v/>
      </c>
      <c r="AT2221" s="35">
        <f>MAX(INDEX(AT$381:AT$392,$D2221)+(AT2194+AT2212)*(1+$E2221),0.01)</f>
        <v/>
      </c>
      <c r="AU2221" s="35">
        <f>MAX(INDEX(AU$381:AU$392,$D2221)+(AU2194+AU2212)*(1+$E2221),0.01)</f>
        <v/>
      </c>
      <c r="AV2221" s="35">
        <f>MAX(INDEX(AV$381:AV$392,$D2221)+(AV2194+AV2212)*(1+$E2221),0.01)</f>
        <v/>
      </c>
      <c r="AW2221" s="35">
        <f>MAX(INDEX(AW$381:AW$392,$D2221)+(AW2194+AW2212)*(1+$E2221),0.01)</f>
        <v/>
      </c>
      <c r="AX2221" s="35">
        <f>MAX(INDEX(AX$381:AX$392,$D2221)+(AX2194+AX2212)*(1+$E2221),0.01)</f>
        <v/>
      </c>
      <c r="AY2221" s="35">
        <f>MAX(INDEX(AY$381:AY$392,$D2221)+(AY2194+AY2212)*(1+$E2221),0.01)</f>
        <v/>
      </c>
      <c r="AZ2221" s="35">
        <f>MAX(INDEX(AZ$381:AZ$392,$D2221)+(AZ2194+AZ2212)*(1+$E2221),0.01)</f>
        <v/>
      </c>
      <c r="BA2221" s="42">
        <f>POSTTAX(INDEX(BA$381:BA$392,$D2221),BA2194+BA2212,$E2221)</f>
        <v/>
      </c>
    </row>
    <row r="2222" hidden="1" outlineLevel="2">
      <c r="A2222" s="14" t="inlineStr">
        <is>
          <t>atp</t>
        </is>
      </c>
      <c r="B2222" s="14" t="inlineStr">
        <is>
          <t>die</t>
        </is>
      </c>
      <c r="C2222" s="14" t="inlineStr">
        <is>
          <t>nfm</t>
        </is>
      </c>
      <c r="D2222" s="35">
        <f>INDEX(Inputs!$U$5:$U$132,MATCH($B2222&amp;"|"&amp;$C2222,Inputs!$A$5:$A$132,0))</f>
        <v/>
      </c>
      <c r="E2222" s="35">
        <f>INDEX(Inputs!$V$5:$V$132,MATCH($B2222&amp;"|"&amp;$C2222,Inputs!$A$5:$A$132,0))</f>
        <v/>
      </c>
      <c r="F2222" s="39" t="n"/>
      <c r="G2222" s="39" t="n"/>
      <c r="H2222" s="14">
        <f>INDEX(VarLab,MATCH($A2222,VarKey,0))&amp;INDEX(MemLab,MATCH($C2222&amp;"|"&amp;$B2222,MemKey,0))</f>
        <v/>
      </c>
      <c r="I2222" s="14">
        <f>INDEX(VarUnit,MATCH($A2222,VarKey,0))</f>
        <v/>
      </c>
      <c r="J2222" s="14">
        <f>INDEX(VarSrc,MATCH($A2222,VarKey,0))</f>
        <v/>
      </c>
      <c r="K2222" s="11">
        <f>CodePrefix&amp;$A2222&amp;IF($C2222="","","."&amp;$C2222&amp;"."&amp;$B2222)&amp;INDEX(VarEnd,MATCH($A2222,VarKey,0))&amp;K$5</f>
        <v/>
      </c>
      <c r="L2222" s="40">
        <f>MAX(INDEX(L$381:L$392,$D2222)+(L2195+L2213)*(1+$E2222),0.01)</f>
        <v/>
      </c>
      <c r="M2222" s="35">
        <f>MAX(INDEX(M$381:M$392,$D2222)+(M2195+M2213)*(1+$E2222),0.01)</f>
        <v/>
      </c>
      <c r="N2222" s="35">
        <f>MAX(INDEX(N$381:N$392,$D2222)+(N2195+N2213)*(1+$E2222),0.01)</f>
        <v/>
      </c>
      <c r="O2222" s="35">
        <f>MAX(INDEX(O$381:O$392,$D2222)+(O2195+O2213)*(1+$E2222),0.01)</f>
        <v/>
      </c>
      <c r="P2222" s="35">
        <f>MAX(INDEX(P$381:P$392,$D2222)+(P2195+P2213)*(1+$E2222),0.01)</f>
        <v/>
      </c>
      <c r="Q2222" s="35">
        <f>MAX(INDEX(Q$381:Q$392,$D2222)+(Q2195+Q2213)*(1+$E2222),0.01)</f>
        <v/>
      </c>
      <c r="R2222" s="35">
        <f>MAX(INDEX(R$381:R$392,$D2222)+(R2195+R2213)*(1+$E2222),0.01)</f>
        <v/>
      </c>
      <c r="S2222" s="35">
        <f>MAX(INDEX(S$381:S$392,$D2222)+(S2195+S2213)*(1+$E2222),0.01)</f>
        <v/>
      </c>
      <c r="T2222" s="35">
        <f>MAX(INDEX(T$381:T$392,$D2222)+(T2195+T2213)*(1+$E2222),0.01)</f>
        <v/>
      </c>
      <c r="U2222" s="35">
        <f>MAX(INDEX(U$381:U$392,$D2222)+(U2195+U2213)*(1+$E2222),0.01)</f>
        <v/>
      </c>
      <c r="V2222" s="35">
        <f>MAX(INDEX(V$381:V$392,$D2222)+(V2195+V2213)*(1+$E2222),0.01)</f>
        <v/>
      </c>
      <c r="W2222" s="35">
        <f>MAX(INDEX(W$381:W$392,$D2222)+(W2195+W2213)*(1+$E2222),0.01)</f>
        <v/>
      </c>
      <c r="X2222" s="35">
        <f>MAX(INDEX(X$381:X$392,$D2222)+(X2195+X2213)*(1+$E2222),0.01)</f>
        <v/>
      </c>
      <c r="Y2222" s="35">
        <f>MAX(INDEX(Y$381:Y$392,$D2222)+(Y2195+Y2213)*(1+$E2222),0.01)</f>
        <v/>
      </c>
      <c r="Z2222" s="35">
        <f>MAX(INDEX(Z$381:Z$392,$D2222)+(Z2195+Z2213)*(1+$E2222),0.01)</f>
        <v/>
      </c>
      <c r="AA2222" s="35">
        <f>MAX(INDEX(AA$381:AA$392,$D2222)+(AA2195+AA2213)*(1+$E2222),0.01)</f>
        <v/>
      </c>
      <c r="AB2222" s="35">
        <f>MAX(INDEX(AB$381:AB$392,$D2222)+(AB2195+AB2213)*(1+$E2222),0.01)</f>
        <v/>
      </c>
      <c r="AC2222" s="35">
        <f>MAX(INDEX(AC$381:AC$392,$D2222)+(AC2195+AC2213)*(1+$E2222),0.01)</f>
        <v/>
      </c>
      <c r="AD2222" s="35">
        <f>MAX(INDEX(AD$381:AD$392,$D2222)+(AD2195+AD2213)*(1+$E2222),0.01)</f>
        <v/>
      </c>
      <c r="AE2222" s="42">
        <f>POSTTAX(INDEX(AE$381:AE$392,$D2222),AE2195+AE2213,$E2222)</f>
        <v/>
      </c>
      <c r="AG2222" s="11">
        <f>CodePrefix&amp;$A2222&amp;IF($C2222="","","."&amp;$C2222&amp;"."&amp;$B2222)&amp;INDEX(VarEnd,MATCH($A2222,VarKey,0))&amp;AG$5</f>
        <v/>
      </c>
      <c r="AH2222" s="40">
        <f>MAX(INDEX(AH$381:AH$392,$D2222)+(AH2195+AH2213)*(1+$E2222),0.01)</f>
        <v/>
      </c>
      <c r="AI2222" s="35">
        <f>MAX(INDEX(AI$381:AI$392,$D2222)+(AI2195+AI2213)*(1+$E2222),0.01)</f>
        <v/>
      </c>
      <c r="AJ2222" s="35">
        <f>MAX(INDEX(AJ$381:AJ$392,$D2222)+(AJ2195+AJ2213)*(1+$E2222),0.01)</f>
        <v/>
      </c>
      <c r="AK2222" s="35">
        <f>MAX(INDEX(AK$381:AK$392,$D2222)+(AK2195+AK2213)*(1+$E2222),0.01)</f>
        <v/>
      </c>
      <c r="AL2222" s="35">
        <f>MAX(INDEX(AL$381:AL$392,$D2222)+(AL2195+AL2213)*(1+$E2222),0.01)</f>
        <v/>
      </c>
      <c r="AM2222" s="35">
        <f>MAX(INDEX(AM$381:AM$392,$D2222)+(AM2195+AM2213)*(1+$E2222),0.01)</f>
        <v/>
      </c>
      <c r="AN2222" s="35">
        <f>MAX(INDEX(AN$381:AN$392,$D2222)+(AN2195+AN2213)*(1+$E2222),0.01)</f>
        <v/>
      </c>
      <c r="AO2222" s="35">
        <f>MAX(INDEX(AO$381:AO$392,$D2222)+(AO2195+AO2213)*(1+$E2222),0.01)</f>
        <v/>
      </c>
      <c r="AP2222" s="35">
        <f>MAX(INDEX(AP$381:AP$392,$D2222)+(AP2195+AP2213)*(1+$E2222),0.01)</f>
        <v/>
      </c>
      <c r="AQ2222" s="35">
        <f>MAX(INDEX(AQ$381:AQ$392,$D2222)+(AQ2195+AQ2213)*(1+$E2222),0.01)</f>
        <v/>
      </c>
      <c r="AR2222" s="35">
        <f>MAX(INDEX(AR$381:AR$392,$D2222)+(AR2195+AR2213)*(1+$E2222),0.01)</f>
        <v/>
      </c>
      <c r="AS2222" s="35">
        <f>MAX(INDEX(AS$381:AS$392,$D2222)+(AS2195+AS2213)*(1+$E2222),0.01)</f>
        <v/>
      </c>
      <c r="AT2222" s="35">
        <f>MAX(INDEX(AT$381:AT$392,$D2222)+(AT2195+AT2213)*(1+$E2222),0.01)</f>
        <v/>
      </c>
      <c r="AU2222" s="35">
        <f>MAX(INDEX(AU$381:AU$392,$D2222)+(AU2195+AU2213)*(1+$E2222),0.01)</f>
        <v/>
      </c>
      <c r="AV2222" s="35">
        <f>MAX(INDEX(AV$381:AV$392,$D2222)+(AV2195+AV2213)*(1+$E2222),0.01)</f>
        <v/>
      </c>
      <c r="AW2222" s="35">
        <f>MAX(INDEX(AW$381:AW$392,$D2222)+(AW2195+AW2213)*(1+$E2222),0.01)</f>
        <v/>
      </c>
      <c r="AX2222" s="35">
        <f>MAX(INDEX(AX$381:AX$392,$D2222)+(AX2195+AX2213)*(1+$E2222),0.01)</f>
        <v/>
      </c>
      <c r="AY2222" s="35">
        <f>MAX(INDEX(AY$381:AY$392,$D2222)+(AY2195+AY2213)*(1+$E2222),0.01)</f>
        <v/>
      </c>
      <c r="AZ2222" s="35">
        <f>MAX(INDEX(AZ$381:AZ$392,$D2222)+(AZ2195+AZ2213)*(1+$E2222),0.01)</f>
        <v/>
      </c>
      <c r="BA2222" s="42">
        <f>POSTTAX(INDEX(BA$381:BA$392,$D2222),BA2195+BA2213,$E2222)</f>
        <v/>
      </c>
    </row>
    <row r="2223" hidden="1" outlineLevel="2">
      <c r="A2223" s="14" t="inlineStr">
        <is>
          <t>atp</t>
        </is>
      </c>
      <c r="B2223" s="14" t="inlineStr">
        <is>
          <t>lpg</t>
        </is>
      </c>
      <c r="C2223" s="14" t="inlineStr">
        <is>
          <t>nfm</t>
        </is>
      </c>
      <c r="D2223" s="35">
        <f>INDEX(Inputs!$U$5:$U$132,MATCH($B2223&amp;"|"&amp;$C2223,Inputs!$A$5:$A$132,0))</f>
        <v/>
      </c>
      <c r="E2223" s="35">
        <f>INDEX(Inputs!$V$5:$V$132,MATCH($B2223&amp;"|"&amp;$C2223,Inputs!$A$5:$A$132,0))</f>
        <v/>
      </c>
      <c r="F2223" s="39" t="n"/>
      <c r="G2223" s="39" t="n"/>
      <c r="H2223" s="14">
        <f>INDEX(VarLab,MATCH($A2223,VarKey,0))&amp;INDEX(MemLab,MATCH($C2223&amp;"|"&amp;$B2223,MemKey,0))</f>
        <v/>
      </c>
      <c r="I2223" s="14">
        <f>INDEX(VarUnit,MATCH($A2223,VarKey,0))</f>
        <v/>
      </c>
      <c r="J2223" s="14">
        <f>INDEX(VarSrc,MATCH($A2223,VarKey,0))</f>
        <v/>
      </c>
      <c r="K2223" s="11">
        <f>CodePrefix&amp;$A2223&amp;IF($C2223="","","."&amp;$C2223&amp;"."&amp;$B2223)&amp;INDEX(VarEnd,MATCH($A2223,VarKey,0))&amp;K$5</f>
        <v/>
      </c>
      <c r="L2223" s="40">
        <f>MAX(INDEX(L$381:L$392,$D2223)+(L2196+L2214)*(1+$E2223),0.01)</f>
        <v/>
      </c>
      <c r="M2223" s="35">
        <f>MAX(INDEX(M$381:M$392,$D2223)+(M2196+M2214)*(1+$E2223),0.01)</f>
        <v/>
      </c>
      <c r="N2223" s="35">
        <f>MAX(INDEX(N$381:N$392,$D2223)+(N2196+N2214)*(1+$E2223),0.01)</f>
        <v/>
      </c>
      <c r="O2223" s="35">
        <f>MAX(INDEX(O$381:O$392,$D2223)+(O2196+O2214)*(1+$E2223),0.01)</f>
        <v/>
      </c>
      <c r="P2223" s="35">
        <f>MAX(INDEX(P$381:P$392,$D2223)+(P2196+P2214)*(1+$E2223),0.01)</f>
        <v/>
      </c>
      <c r="Q2223" s="35">
        <f>MAX(INDEX(Q$381:Q$392,$D2223)+(Q2196+Q2214)*(1+$E2223),0.01)</f>
        <v/>
      </c>
      <c r="R2223" s="35">
        <f>MAX(INDEX(R$381:R$392,$D2223)+(R2196+R2214)*(1+$E2223),0.01)</f>
        <v/>
      </c>
      <c r="S2223" s="35">
        <f>MAX(INDEX(S$381:S$392,$D2223)+(S2196+S2214)*(1+$E2223),0.01)</f>
        <v/>
      </c>
      <c r="T2223" s="35">
        <f>MAX(INDEX(T$381:T$392,$D2223)+(T2196+T2214)*(1+$E2223),0.01)</f>
        <v/>
      </c>
      <c r="U2223" s="35">
        <f>MAX(INDEX(U$381:U$392,$D2223)+(U2196+U2214)*(1+$E2223),0.01)</f>
        <v/>
      </c>
      <c r="V2223" s="35">
        <f>MAX(INDEX(V$381:V$392,$D2223)+(V2196+V2214)*(1+$E2223),0.01)</f>
        <v/>
      </c>
      <c r="W2223" s="35">
        <f>MAX(INDEX(W$381:W$392,$D2223)+(W2196+W2214)*(1+$E2223),0.01)</f>
        <v/>
      </c>
      <c r="X2223" s="35">
        <f>MAX(INDEX(X$381:X$392,$D2223)+(X2196+X2214)*(1+$E2223),0.01)</f>
        <v/>
      </c>
      <c r="Y2223" s="35">
        <f>MAX(INDEX(Y$381:Y$392,$D2223)+(Y2196+Y2214)*(1+$E2223),0.01)</f>
        <v/>
      </c>
      <c r="Z2223" s="35">
        <f>MAX(INDEX(Z$381:Z$392,$D2223)+(Z2196+Z2214)*(1+$E2223),0.01)</f>
        <v/>
      </c>
      <c r="AA2223" s="35">
        <f>MAX(INDEX(AA$381:AA$392,$D2223)+(AA2196+AA2214)*(1+$E2223),0.01)</f>
        <v/>
      </c>
      <c r="AB2223" s="35">
        <f>MAX(INDEX(AB$381:AB$392,$D2223)+(AB2196+AB2214)*(1+$E2223),0.01)</f>
        <v/>
      </c>
      <c r="AC2223" s="35">
        <f>MAX(INDEX(AC$381:AC$392,$D2223)+(AC2196+AC2214)*(1+$E2223),0.01)</f>
        <v/>
      </c>
      <c r="AD2223" s="35">
        <f>MAX(INDEX(AD$381:AD$392,$D2223)+(AD2196+AD2214)*(1+$E2223),0.01)</f>
        <v/>
      </c>
      <c r="AE2223" s="42">
        <f>POSTTAX(INDEX(AE$381:AE$392,$D2223),AE2196+AE2214,$E2223)</f>
        <v/>
      </c>
      <c r="AG2223" s="11">
        <f>CodePrefix&amp;$A2223&amp;IF($C2223="","","."&amp;$C2223&amp;"."&amp;$B2223)&amp;INDEX(VarEnd,MATCH($A2223,VarKey,0))&amp;AG$5</f>
        <v/>
      </c>
      <c r="AH2223" s="40">
        <f>MAX(INDEX(AH$381:AH$392,$D2223)+(AH2196+AH2214)*(1+$E2223),0.01)</f>
        <v/>
      </c>
      <c r="AI2223" s="35">
        <f>MAX(INDEX(AI$381:AI$392,$D2223)+(AI2196+AI2214)*(1+$E2223),0.01)</f>
        <v/>
      </c>
      <c r="AJ2223" s="35">
        <f>MAX(INDEX(AJ$381:AJ$392,$D2223)+(AJ2196+AJ2214)*(1+$E2223),0.01)</f>
        <v/>
      </c>
      <c r="AK2223" s="35">
        <f>MAX(INDEX(AK$381:AK$392,$D2223)+(AK2196+AK2214)*(1+$E2223),0.01)</f>
        <v/>
      </c>
      <c r="AL2223" s="35">
        <f>MAX(INDEX(AL$381:AL$392,$D2223)+(AL2196+AL2214)*(1+$E2223),0.01)</f>
        <v/>
      </c>
      <c r="AM2223" s="35">
        <f>MAX(INDEX(AM$381:AM$392,$D2223)+(AM2196+AM2214)*(1+$E2223),0.01)</f>
        <v/>
      </c>
      <c r="AN2223" s="35">
        <f>MAX(INDEX(AN$381:AN$392,$D2223)+(AN2196+AN2214)*(1+$E2223),0.01)</f>
        <v/>
      </c>
      <c r="AO2223" s="35">
        <f>MAX(INDEX(AO$381:AO$392,$D2223)+(AO2196+AO2214)*(1+$E2223),0.01)</f>
        <v/>
      </c>
      <c r="AP2223" s="35">
        <f>MAX(INDEX(AP$381:AP$392,$D2223)+(AP2196+AP2214)*(1+$E2223),0.01)</f>
        <v/>
      </c>
      <c r="AQ2223" s="35">
        <f>MAX(INDEX(AQ$381:AQ$392,$D2223)+(AQ2196+AQ2214)*(1+$E2223),0.01)</f>
        <v/>
      </c>
      <c r="AR2223" s="35">
        <f>MAX(INDEX(AR$381:AR$392,$D2223)+(AR2196+AR2214)*(1+$E2223),0.01)</f>
        <v/>
      </c>
      <c r="AS2223" s="35">
        <f>MAX(INDEX(AS$381:AS$392,$D2223)+(AS2196+AS2214)*(1+$E2223),0.01)</f>
        <v/>
      </c>
      <c r="AT2223" s="35">
        <f>MAX(INDEX(AT$381:AT$392,$D2223)+(AT2196+AT2214)*(1+$E2223),0.01)</f>
        <v/>
      </c>
      <c r="AU2223" s="35">
        <f>MAX(INDEX(AU$381:AU$392,$D2223)+(AU2196+AU2214)*(1+$E2223),0.01)</f>
        <v/>
      </c>
      <c r="AV2223" s="35">
        <f>MAX(INDEX(AV$381:AV$392,$D2223)+(AV2196+AV2214)*(1+$E2223),0.01)</f>
        <v/>
      </c>
      <c r="AW2223" s="35">
        <f>MAX(INDEX(AW$381:AW$392,$D2223)+(AW2196+AW2214)*(1+$E2223),0.01)</f>
        <v/>
      </c>
      <c r="AX2223" s="35">
        <f>MAX(INDEX(AX$381:AX$392,$D2223)+(AX2196+AX2214)*(1+$E2223),0.01)</f>
        <v/>
      </c>
      <c r="AY2223" s="35">
        <f>MAX(INDEX(AY$381:AY$392,$D2223)+(AY2196+AY2214)*(1+$E2223),0.01)</f>
        <v/>
      </c>
      <c r="AZ2223" s="35">
        <f>MAX(INDEX(AZ$381:AZ$392,$D2223)+(AZ2196+AZ2214)*(1+$E2223),0.01)</f>
        <v/>
      </c>
      <c r="BA2223" s="42">
        <f>POSTTAX(INDEX(BA$381:BA$392,$D2223),BA2196+BA2214,$E2223)</f>
        <v/>
      </c>
    </row>
    <row r="2224" hidden="1" outlineLevel="2">
      <c r="A2224" s="14" t="inlineStr">
        <is>
          <t>atp</t>
        </is>
      </c>
      <c r="B2224" s="14" t="inlineStr">
        <is>
          <t>ker</t>
        </is>
      </c>
      <c r="C2224" s="14" t="inlineStr">
        <is>
          <t>nfm</t>
        </is>
      </c>
      <c r="D2224" s="35">
        <f>INDEX(Inputs!$U$5:$U$132,MATCH($B2224&amp;"|"&amp;$C2224,Inputs!$A$5:$A$132,0))</f>
        <v/>
      </c>
      <c r="E2224" s="35">
        <f>INDEX(Inputs!$V$5:$V$132,MATCH($B2224&amp;"|"&amp;$C2224,Inputs!$A$5:$A$132,0))</f>
        <v/>
      </c>
      <c r="F2224" s="39" t="n"/>
      <c r="G2224" s="39" t="n"/>
      <c r="H2224" s="14">
        <f>INDEX(VarLab,MATCH($A2224,VarKey,0))&amp;INDEX(MemLab,MATCH($C2224&amp;"|"&amp;$B2224,MemKey,0))</f>
        <v/>
      </c>
      <c r="I2224" s="14">
        <f>INDEX(VarUnit,MATCH($A2224,VarKey,0))</f>
        <v/>
      </c>
      <c r="J2224" s="14">
        <f>INDEX(VarSrc,MATCH($A2224,VarKey,0))</f>
        <v/>
      </c>
      <c r="K2224" s="11">
        <f>CodePrefix&amp;$A2224&amp;IF($C2224="","","."&amp;$C2224&amp;"."&amp;$B2224)&amp;INDEX(VarEnd,MATCH($A2224,VarKey,0))&amp;K$5</f>
        <v/>
      </c>
      <c r="L2224" s="40">
        <f>MAX(INDEX(L$381:L$392,$D2224)+(L2197+L2215)*(1+$E2224),0.01)</f>
        <v/>
      </c>
      <c r="M2224" s="35">
        <f>MAX(INDEX(M$381:M$392,$D2224)+(M2197+M2215)*(1+$E2224),0.01)</f>
        <v/>
      </c>
      <c r="N2224" s="35">
        <f>MAX(INDEX(N$381:N$392,$D2224)+(N2197+N2215)*(1+$E2224),0.01)</f>
        <v/>
      </c>
      <c r="O2224" s="35">
        <f>MAX(INDEX(O$381:O$392,$D2224)+(O2197+O2215)*(1+$E2224),0.01)</f>
        <v/>
      </c>
      <c r="P2224" s="35">
        <f>MAX(INDEX(P$381:P$392,$D2224)+(P2197+P2215)*(1+$E2224),0.01)</f>
        <v/>
      </c>
      <c r="Q2224" s="35">
        <f>MAX(INDEX(Q$381:Q$392,$D2224)+(Q2197+Q2215)*(1+$E2224),0.01)</f>
        <v/>
      </c>
      <c r="R2224" s="35">
        <f>MAX(INDEX(R$381:R$392,$D2224)+(R2197+R2215)*(1+$E2224),0.01)</f>
        <v/>
      </c>
      <c r="S2224" s="35">
        <f>MAX(INDEX(S$381:S$392,$D2224)+(S2197+S2215)*(1+$E2224),0.01)</f>
        <v/>
      </c>
      <c r="T2224" s="35">
        <f>MAX(INDEX(T$381:T$392,$D2224)+(T2197+T2215)*(1+$E2224),0.01)</f>
        <v/>
      </c>
      <c r="U2224" s="35">
        <f>MAX(INDEX(U$381:U$392,$D2224)+(U2197+U2215)*(1+$E2224),0.01)</f>
        <v/>
      </c>
      <c r="V2224" s="35">
        <f>MAX(INDEX(V$381:V$392,$D2224)+(V2197+V2215)*(1+$E2224),0.01)</f>
        <v/>
      </c>
      <c r="W2224" s="35">
        <f>MAX(INDEX(W$381:W$392,$D2224)+(W2197+W2215)*(1+$E2224),0.01)</f>
        <v/>
      </c>
      <c r="X2224" s="35">
        <f>MAX(INDEX(X$381:X$392,$D2224)+(X2197+X2215)*(1+$E2224),0.01)</f>
        <v/>
      </c>
      <c r="Y2224" s="35">
        <f>MAX(INDEX(Y$381:Y$392,$D2224)+(Y2197+Y2215)*(1+$E2224),0.01)</f>
        <v/>
      </c>
      <c r="Z2224" s="35">
        <f>MAX(INDEX(Z$381:Z$392,$D2224)+(Z2197+Z2215)*(1+$E2224),0.01)</f>
        <v/>
      </c>
      <c r="AA2224" s="35">
        <f>MAX(INDEX(AA$381:AA$392,$D2224)+(AA2197+AA2215)*(1+$E2224),0.01)</f>
        <v/>
      </c>
      <c r="AB2224" s="35">
        <f>MAX(INDEX(AB$381:AB$392,$D2224)+(AB2197+AB2215)*(1+$E2224),0.01)</f>
        <v/>
      </c>
      <c r="AC2224" s="35">
        <f>MAX(INDEX(AC$381:AC$392,$D2224)+(AC2197+AC2215)*(1+$E2224),0.01)</f>
        <v/>
      </c>
      <c r="AD2224" s="35">
        <f>MAX(INDEX(AD$381:AD$392,$D2224)+(AD2197+AD2215)*(1+$E2224),0.01)</f>
        <v/>
      </c>
      <c r="AE2224" s="42">
        <f>POSTTAX(INDEX(AE$381:AE$392,$D2224),AE2197+AE2215,$E2224)</f>
        <v/>
      </c>
      <c r="AG2224" s="11">
        <f>CodePrefix&amp;$A2224&amp;IF($C2224="","","."&amp;$C2224&amp;"."&amp;$B2224)&amp;INDEX(VarEnd,MATCH($A2224,VarKey,0))&amp;AG$5</f>
        <v/>
      </c>
      <c r="AH2224" s="40">
        <f>MAX(INDEX(AH$381:AH$392,$D2224)+(AH2197+AH2215)*(1+$E2224),0.01)</f>
        <v/>
      </c>
      <c r="AI2224" s="35">
        <f>MAX(INDEX(AI$381:AI$392,$D2224)+(AI2197+AI2215)*(1+$E2224),0.01)</f>
        <v/>
      </c>
      <c r="AJ2224" s="35">
        <f>MAX(INDEX(AJ$381:AJ$392,$D2224)+(AJ2197+AJ2215)*(1+$E2224),0.01)</f>
        <v/>
      </c>
      <c r="AK2224" s="35">
        <f>MAX(INDEX(AK$381:AK$392,$D2224)+(AK2197+AK2215)*(1+$E2224),0.01)</f>
        <v/>
      </c>
      <c r="AL2224" s="35">
        <f>MAX(INDEX(AL$381:AL$392,$D2224)+(AL2197+AL2215)*(1+$E2224),0.01)</f>
        <v/>
      </c>
      <c r="AM2224" s="35">
        <f>MAX(INDEX(AM$381:AM$392,$D2224)+(AM2197+AM2215)*(1+$E2224),0.01)</f>
        <v/>
      </c>
      <c r="AN2224" s="35">
        <f>MAX(INDEX(AN$381:AN$392,$D2224)+(AN2197+AN2215)*(1+$E2224),0.01)</f>
        <v/>
      </c>
      <c r="AO2224" s="35">
        <f>MAX(INDEX(AO$381:AO$392,$D2224)+(AO2197+AO2215)*(1+$E2224),0.01)</f>
        <v/>
      </c>
      <c r="AP2224" s="35">
        <f>MAX(INDEX(AP$381:AP$392,$D2224)+(AP2197+AP2215)*(1+$E2224),0.01)</f>
        <v/>
      </c>
      <c r="AQ2224" s="35">
        <f>MAX(INDEX(AQ$381:AQ$392,$D2224)+(AQ2197+AQ2215)*(1+$E2224),0.01)</f>
        <v/>
      </c>
      <c r="AR2224" s="35">
        <f>MAX(INDEX(AR$381:AR$392,$D2224)+(AR2197+AR2215)*(1+$E2224),0.01)</f>
        <v/>
      </c>
      <c r="AS2224" s="35">
        <f>MAX(INDEX(AS$381:AS$392,$D2224)+(AS2197+AS2215)*(1+$E2224),0.01)</f>
        <v/>
      </c>
      <c r="AT2224" s="35">
        <f>MAX(INDEX(AT$381:AT$392,$D2224)+(AT2197+AT2215)*(1+$E2224),0.01)</f>
        <v/>
      </c>
      <c r="AU2224" s="35">
        <f>MAX(INDEX(AU$381:AU$392,$D2224)+(AU2197+AU2215)*(1+$E2224),0.01)</f>
        <v/>
      </c>
      <c r="AV2224" s="35">
        <f>MAX(INDEX(AV$381:AV$392,$D2224)+(AV2197+AV2215)*(1+$E2224),0.01)</f>
        <v/>
      </c>
      <c r="AW2224" s="35">
        <f>MAX(INDEX(AW$381:AW$392,$D2224)+(AW2197+AW2215)*(1+$E2224),0.01)</f>
        <v/>
      </c>
      <c r="AX2224" s="35">
        <f>MAX(INDEX(AX$381:AX$392,$D2224)+(AX2197+AX2215)*(1+$E2224),0.01)</f>
        <v/>
      </c>
      <c r="AY2224" s="35">
        <f>MAX(INDEX(AY$381:AY$392,$D2224)+(AY2197+AY2215)*(1+$E2224),0.01)</f>
        <v/>
      </c>
      <c r="AZ2224" s="35">
        <f>MAX(INDEX(AZ$381:AZ$392,$D2224)+(AZ2197+AZ2215)*(1+$E2224),0.01)</f>
        <v/>
      </c>
      <c r="BA2224" s="42">
        <f>POSTTAX(INDEX(BA$381:BA$392,$D2224),BA2197+BA2215,$E2224)</f>
        <v/>
      </c>
    </row>
    <row r="2225" hidden="1" outlineLevel="2">
      <c r="A2225" s="14" t="inlineStr">
        <is>
          <t>atp</t>
        </is>
      </c>
      <c r="B2225" s="14" t="inlineStr">
        <is>
          <t>oop</t>
        </is>
      </c>
      <c r="C2225" s="14" t="inlineStr">
        <is>
          <t>nfm</t>
        </is>
      </c>
      <c r="D2225" s="35">
        <f>INDEX(Inputs!$U$5:$U$132,MATCH($B2225&amp;"|"&amp;$C2225,Inputs!$A$5:$A$132,0))</f>
        <v/>
      </c>
      <c r="E2225" s="35">
        <f>INDEX(Inputs!$V$5:$V$132,MATCH($B2225&amp;"|"&amp;$C2225,Inputs!$A$5:$A$132,0))</f>
        <v/>
      </c>
      <c r="F2225" s="39" t="n"/>
      <c r="G2225" s="39" t="n"/>
      <c r="H2225" s="14">
        <f>INDEX(VarLab,MATCH($A2225,VarKey,0))&amp;INDEX(MemLab,MATCH($C2225&amp;"|"&amp;$B2225,MemKey,0))</f>
        <v/>
      </c>
      <c r="I2225" s="14">
        <f>INDEX(VarUnit,MATCH($A2225,VarKey,0))</f>
        <v/>
      </c>
      <c r="J2225" s="14">
        <f>INDEX(VarSrc,MATCH($A2225,VarKey,0))</f>
        <v/>
      </c>
      <c r="K2225" s="11">
        <f>CodePrefix&amp;$A2225&amp;IF($C2225="","","."&amp;$C2225&amp;"."&amp;$B2225)&amp;INDEX(VarEnd,MATCH($A2225,VarKey,0))&amp;K$5</f>
        <v/>
      </c>
      <c r="L2225" s="40">
        <f>MAX(INDEX(L$381:L$392,$D2225)+(L2198+L2216)*(1+$E2225),0.01)</f>
        <v/>
      </c>
      <c r="M2225" s="35">
        <f>MAX(INDEX(M$381:M$392,$D2225)+(M2198+M2216)*(1+$E2225),0.01)</f>
        <v/>
      </c>
      <c r="N2225" s="35">
        <f>MAX(INDEX(N$381:N$392,$D2225)+(N2198+N2216)*(1+$E2225),0.01)</f>
        <v/>
      </c>
      <c r="O2225" s="35">
        <f>MAX(INDEX(O$381:O$392,$D2225)+(O2198+O2216)*(1+$E2225),0.01)</f>
        <v/>
      </c>
      <c r="P2225" s="35">
        <f>MAX(INDEX(P$381:P$392,$D2225)+(P2198+P2216)*(1+$E2225),0.01)</f>
        <v/>
      </c>
      <c r="Q2225" s="35">
        <f>MAX(INDEX(Q$381:Q$392,$D2225)+(Q2198+Q2216)*(1+$E2225),0.01)</f>
        <v/>
      </c>
      <c r="R2225" s="35">
        <f>MAX(INDEX(R$381:R$392,$D2225)+(R2198+R2216)*(1+$E2225),0.01)</f>
        <v/>
      </c>
      <c r="S2225" s="35">
        <f>MAX(INDEX(S$381:S$392,$D2225)+(S2198+S2216)*(1+$E2225),0.01)</f>
        <v/>
      </c>
      <c r="T2225" s="35">
        <f>MAX(INDEX(T$381:T$392,$D2225)+(T2198+T2216)*(1+$E2225),0.01)</f>
        <v/>
      </c>
      <c r="U2225" s="35">
        <f>MAX(INDEX(U$381:U$392,$D2225)+(U2198+U2216)*(1+$E2225),0.01)</f>
        <v/>
      </c>
      <c r="V2225" s="35">
        <f>MAX(INDEX(V$381:V$392,$D2225)+(V2198+V2216)*(1+$E2225),0.01)</f>
        <v/>
      </c>
      <c r="W2225" s="35">
        <f>MAX(INDEX(W$381:W$392,$D2225)+(W2198+W2216)*(1+$E2225),0.01)</f>
        <v/>
      </c>
      <c r="X2225" s="35">
        <f>MAX(INDEX(X$381:X$392,$D2225)+(X2198+X2216)*(1+$E2225),0.01)</f>
        <v/>
      </c>
      <c r="Y2225" s="35">
        <f>MAX(INDEX(Y$381:Y$392,$D2225)+(Y2198+Y2216)*(1+$E2225),0.01)</f>
        <v/>
      </c>
      <c r="Z2225" s="35">
        <f>MAX(INDEX(Z$381:Z$392,$D2225)+(Z2198+Z2216)*(1+$E2225),0.01)</f>
        <v/>
      </c>
      <c r="AA2225" s="35">
        <f>MAX(INDEX(AA$381:AA$392,$D2225)+(AA2198+AA2216)*(1+$E2225),0.01)</f>
        <v/>
      </c>
      <c r="AB2225" s="35">
        <f>MAX(INDEX(AB$381:AB$392,$D2225)+(AB2198+AB2216)*(1+$E2225),0.01)</f>
        <v/>
      </c>
      <c r="AC2225" s="35">
        <f>MAX(INDEX(AC$381:AC$392,$D2225)+(AC2198+AC2216)*(1+$E2225),0.01)</f>
        <v/>
      </c>
      <c r="AD2225" s="35">
        <f>MAX(INDEX(AD$381:AD$392,$D2225)+(AD2198+AD2216)*(1+$E2225),0.01)</f>
        <v/>
      </c>
      <c r="AE2225" s="42">
        <f>POSTTAX(INDEX(AE$381:AE$392,$D2225),AE2198+AE2216,$E2225)</f>
        <v/>
      </c>
      <c r="AG2225" s="11">
        <f>CodePrefix&amp;$A2225&amp;IF($C2225="","","."&amp;$C2225&amp;"."&amp;$B2225)&amp;INDEX(VarEnd,MATCH($A2225,VarKey,0))&amp;AG$5</f>
        <v/>
      </c>
      <c r="AH2225" s="40">
        <f>MAX(INDEX(AH$381:AH$392,$D2225)+(AH2198+AH2216)*(1+$E2225),0.01)</f>
        <v/>
      </c>
      <c r="AI2225" s="35">
        <f>MAX(INDEX(AI$381:AI$392,$D2225)+(AI2198+AI2216)*(1+$E2225),0.01)</f>
        <v/>
      </c>
      <c r="AJ2225" s="35">
        <f>MAX(INDEX(AJ$381:AJ$392,$D2225)+(AJ2198+AJ2216)*(1+$E2225),0.01)</f>
        <v/>
      </c>
      <c r="AK2225" s="35">
        <f>MAX(INDEX(AK$381:AK$392,$D2225)+(AK2198+AK2216)*(1+$E2225),0.01)</f>
        <v/>
      </c>
      <c r="AL2225" s="35">
        <f>MAX(INDEX(AL$381:AL$392,$D2225)+(AL2198+AL2216)*(1+$E2225),0.01)</f>
        <v/>
      </c>
      <c r="AM2225" s="35">
        <f>MAX(INDEX(AM$381:AM$392,$D2225)+(AM2198+AM2216)*(1+$E2225),0.01)</f>
        <v/>
      </c>
      <c r="AN2225" s="35">
        <f>MAX(INDEX(AN$381:AN$392,$D2225)+(AN2198+AN2216)*(1+$E2225),0.01)</f>
        <v/>
      </c>
      <c r="AO2225" s="35">
        <f>MAX(INDEX(AO$381:AO$392,$D2225)+(AO2198+AO2216)*(1+$E2225),0.01)</f>
        <v/>
      </c>
      <c r="AP2225" s="35">
        <f>MAX(INDEX(AP$381:AP$392,$D2225)+(AP2198+AP2216)*(1+$E2225),0.01)</f>
        <v/>
      </c>
      <c r="AQ2225" s="35">
        <f>MAX(INDEX(AQ$381:AQ$392,$D2225)+(AQ2198+AQ2216)*(1+$E2225),0.01)</f>
        <v/>
      </c>
      <c r="AR2225" s="35">
        <f>MAX(INDEX(AR$381:AR$392,$D2225)+(AR2198+AR2216)*(1+$E2225),0.01)</f>
        <v/>
      </c>
      <c r="AS2225" s="35">
        <f>MAX(INDEX(AS$381:AS$392,$D2225)+(AS2198+AS2216)*(1+$E2225),0.01)</f>
        <v/>
      </c>
      <c r="AT2225" s="35">
        <f>MAX(INDEX(AT$381:AT$392,$D2225)+(AT2198+AT2216)*(1+$E2225),0.01)</f>
        <v/>
      </c>
      <c r="AU2225" s="35">
        <f>MAX(INDEX(AU$381:AU$392,$D2225)+(AU2198+AU2216)*(1+$E2225),0.01)</f>
        <v/>
      </c>
      <c r="AV2225" s="35">
        <f>MAX(INDEX(AV$381:AV$392,$D2225)+(AV2198+AV2216)*(1+$E2225),0.01)</f>
        <v/>
      </c>
      <c r="AW2225" s="35">
        <f>MAX(INDEX(AW$381:AW$392,$D2225)+(AW2198+AW2216)*(1+$E2225),0.01)</f>
        <v/>
      </c>
      <c r="AX2225" s="35">
        <f>MAX(INDEX(AX$381:AX$392,$D2225)+(AX2198+AX2216)*(1+$E2225),0.01)</f>
        <v/>
      </c>
      <c r="AY2225" s="35">
        <f>MAX(INDEX(AY$381:AY$392,$D2225)+(AY2198+AY2216)*(1+$E2225),0.01)</f>
        <v/>
      </c>
      <c r="AZ2225" s="35">
        <f>MAX(INDEX(AZ$381:AZ$392,$D2225)+(AZ2198+AZ2216)*(1+$E2225),0.01)</f>
        <v/>
      </c>
      <c r="BA2225" s="42">
        <f>POSTTAX(INDEX(BA$381:BA$392,$D2225),BA2198+BA2216,$E2225)</f>
        <v/>
      </c>
    </row>
    <row r="2226" hidden="1" outlineLevel="2">
      <c r="A2226" s="14" t="inlineStr">
        <is>
          <t>atp</t>
        </is>
      </c>
      <c r="B2226" s="14" t="inlineStr">
        <is>
          <t>bio</t>
        </is>
      </c>
      <c r="C2226" s="14" t="inlineStr">
        <is>
          <t>nfm</t>
        </is>
      </c>
      <c r="D2226" s="35">
        <f>INDEX(Inputs!$U$5:$U$132,MATCH($B2226&amp;"|"&amp;$C2226,Inputs!$A$5:$A$132,0))</f>
        <v/>
      </c>
      <c r="E2226" s="35">
        <f>INDEX(Inputs!$V$5:$V$132,MATCH($B2226&amp;"|"&amp;$C2226,Inputs!$A$5:$A$132,0))</f>
        <v/>
      </c>
      <c r="F2226" s="39" t="n"/>
      <c r="G2226" s="39" t="n"/>
      <c r="H2226" s="14">
        <f>INDEX(VarLab,MATCH($A2226,VarKey,0))&amp;INDEX(MemLab,MATCH($C2226&amp;"|"&amp;$B2226,MemKey,0))</f>
        <v/>
      </c>
      <c r="I2226" s="14">
        <f>INDEX(VarUnit,MATCH($A2226,VarKey,0))</f>
        <v/>
      </c>
      <c r="J2226" s="14">
        <f>INDEX(VarSrc,MATCH($A2226,VarKey,0))</f>
        <v/>
      </c>
      <c r="K2226" s="11">
        <f>CodePrefix&amp;$A2226&amp;IF($C2226="","","."&amp;$C2226&amp;"."&amp;$B2226)&amp;INDEX(VarEnd,MATCH($A2226,VarKey,0))&amp;K$5</f>
        <v/>
      </c>
      <c r="L2226" s="40">
        <f>MAX(INDEX(L$381:L$392,$D2226)+(L2199+L2217)*(1+$E2226),0.01)</f>
        <v/>
      </c>
      <c r="M2226" s="35">
        <f>MAX(INDEX(M$381:M$392,$D2226)+(M2199+M2217)*(1+$E2226),0.01)</f>
        <v/>
      </c>
      <c r="N2226" s="35">
        <f>MAX(INDEX(N$381:N$392,$D2226)+(N2199+N2217)*(1+$E2226),0.01)</f>
        <v/>
      </c>
      <c r="O2226" s="35">
        <f>MAX(INDEX(O$381:O$392,$D2226)+(O2199+O2217)*(1+$E2226),0.01)</f>
        <v/>
      </c>
      <c r="P2226" s="35">
        <f>MAX(INDEX(P$381:P$392,$D2226)+(P2199+P2217)*(1+$E2226),0.01)</f>
        <v/>
      </c>
      <c r="Q2226" s="35">
        <f>MAX(INDEX(Q$381:Q$392,$D2226)+(Q2199+Q2217)*(1+$E2226),0.01)</f>
        <v/>
      </c>
      <c r="R2226" s="35">
        <f>MAX(INDEX(R$381:R$392,$D2226)+(R2199+R2217)*(1+$E2226),0.01)</f>
        <v/>
      </c>
      <c r="S2226" s="35">
        <f>MAX(INDEX(S$381:S$392,$D2226)+(S2199+S2217)*(1+$E2226),0.01)</f>
        <v/>
      </c>
      <c r="T2226" s="35">
        <f>MAX(INDEX(T$381:T$392,$D2226)+(T2199+T2217)*(1+$E2226),0.01)</f>
        <v/>
      </c>
      <c r="U2226" s="35">
        <f>MAX(INDEX(U$381:U$392,$D2226)+(U2199+U2217)*(1+$E2226),0.01)</f>
        <v/>
      </c>
      <c r="V2226" s="35">
        <f>MAX(INDEX(V$381:V$392,$D2226)+(V2199+V2217)*(1+$E2226),0.01)</f>
        <v/>
      </c>
      <c r="W2226" s="35">
        <f>MAX(INDEX(W$381:W$392,$D2226)+(W2199+W2217)*(1+$E2226),0.01)</f>
        <v/>
      </c>
      <c r="X2226" s="35">
        <f>MAX(INDEX(X$381:X$392,$D2226)+(X2199+X2217)*(1+$E2226),0.01)</f>
        <v/>
      </c>
      <c r="Y2226" s="35">
        <f>MAX(INDEX(Y$381:Y$392,$D2226)+(Y2199+Y2217)*(1+$E2226),0.01)</f>
        <v/>
      </c>
      <c r="Z2226" s="35">
        <f>MAX(INDEX(Z$381:Z$392,$D2226)+(Z2199+Z2217)*(1+$E2226),0.01)</f>
        <v/>
      </c>
      <c r="AA2226" s="35">
        <f>MAX(INDEX(AA$381:AA$392,$D2226)+(AA2199+AA2217)*(1+$E2226),0.01)</f>
        <v/>
      </c>
      <c r="AB2226" s="35">
        <f>MAX(INDEX(AB$381:AB$392,$D2226)+(AB2199+AB2217)*(1+$E2226),0.01)</f>
        <v/>
      </c>
      <c r="AC2226" s="35">
        <f>MAX(INDEX(AC$381:AC$392,$D2226)+(AC2199+AC2217)*(1+$E2226),0.01)</f>
        <v/>
      </c>
      <c r="AD2226" s="35">
        <f>MAX(INDEX(AD$381:AD$392,$D2226)+(AD2199+AD2217)*(1+$E2226),0.01)</f>
        <v/>
      </c>
      <c r="AE2226" s="42">
        <f>POSTTAX(INDEX(AE$381:AE$392,$D2226),AE2199+AE2217,$E2226)</f>
        <v/>
      </c>
      <c r="AG2226" s="11">
        <f>CodePrefix&amp;$A2226&amp;IF($C2226="","","."&amp;$C2226&amp;"."&amp;$B2226)&amp;INDEX(VarEnd,MATCH($A2226,VarKey,0))&amp;AG$5</f>
        <v/>
      </c>
      <c r="AH2226" s="40">
        <f>MAX(INDEX(AH$381:AH$392,$D2226)+(AH2199+AH2217)*(1+$E2226),0.01)</f>
        <v/>
      </c>
      <c r="AI2226" s="35">
        <f>MAX(INDEX(AI$381:AI$392,$D2226)+(AI2199+AI2217)*(1+$E2226),0.01)</f>
        <v/>
      </c>
      <c r="AJ2226" s="35">
        <f>MAX(INDEX(AJ$381:AJ$392,$D2226)+(AJ2199+AJ2217)*(1+$E2226),0.01)</f>
        <v/>
      </c>
      <c r="AK2226" s="35">
        <f>MAX(INDEX(AK$381:AK$392,$D2226)+(AK2199+AK2217)*(1+$E2226),0.01)</f>
        <v/>
      </c>
      <c r="AL2226" s="35">
        <f>MAX(INDEX(AL$381:AL$392,$D2226)+(AL2199+AL2217)*(1+$E2226),0.01)</f>
        <v/>
      </c>
      <c r="AM2226" s="35">
        <f>MAX(INDEX(AM$381:AM$392,$D2226)+(AM2199+AM2217)*(1+$E2226),0.01)</f>
        <v/>
      </c>
      <c r="AN2226" s="35">
        <f>MAX(INDEX(AN$381:AN$392,$D2226)+(AN2199+AN2217)*(1+$E2226),0.01)</f>
        <v/>
      </c>
      <c r="AO2226" s="35">
        <f>MAX(INDEX(AO$381:AO$392,$D2226)+(AO2199+AO2217)*(1+$E2226),0.01)</f>
        <v/>
      </c>
      <c r="AP2226" s="35">
        <f>MAX(INDEX(AP$381:AP$392,$D2226)+(AP2199+AP2217)*(1+$E2226),0.01)</f>
        <v/>
      </c>
      <c r="AQ2226" s="35">
        <f>MAX(INDEX(AQ$381:AQ$392,$D2226)+(AQ2199+AQ2217)*(1+$E2226),0.01)</f>
        <v/>
      </c>
      <c r="AR2226" s="35">
        <f>MAX(INDEX(AR$381:AR$392,$D2226)+(AR2199+AR2217)*(1+$E2226),0.01)</f>
        <v/>
      </c>
      <c r="AS2226" s="35">
        <f>MAX(INDEX(AS$381:AS$392,$D2226)+(AS2199+AS2217)*(1+$E2226),0.01)</f>
        <v/>
      </c>
      <c r="AT2226" s="35">
        <f>MAX(INDEX(AT$381:AT$392,$D2226)+(AT2199+AT2217)*(1+$E2226),0.01)</f>
        <v/>
      </c>
      <c r="AU2226" s="35">
        <f>MAX(INDEX(AU$381:AU$392,$D2226)+(AU2199+AU2217)*(1+$E2226),0.01)</f>
        <v/>
      </c>
      <c r="AV2226" s="35">
        <f>MAX(INDEX(AV$381:AV$392,$D2226)+(AV2199+AV2217)*(1+$E2226),0.01)</f>
        <v/>
      </c>
      <c r="AW2226" s="35">
        <f>MAX(INDEX(AW$381:AW$392,$D2226)+(AW2199+AW2217)*(1+$E2226),0.01)</f>
        <v/>
      </c>
      <c r="AX2226" s="35">
        <f>MAX(INDEX(AX$381:AX$392,$D2226)+(AX2199+AX2217)*(1+$E2226),0.01)</f>
        <v/>
      </c>
      <c r="AY2226" s="35">
        <f>MAX(INDEX(AY$381:AY$392,$D2226)+(AY2199+AY2217)*(1+$E2226),0.01)</f>
        <v/>
      </c>
      <c r="AZ2226" s="35">
        <f>MAX(INDEX(AZ$381:AZ$392,$D2226)+(AZ2199+AZ2217)*(1+$E2226),0.01)</f>
        <v/>
      </c>
      <c r="BA2226" s="42">
        <f>POSTTAX(INDEX(BA$381:BA$392,$D2226),BA2199+BA2217,$E2226)</f>
        <v/>
      </c>
    </row>
    <row r="2227" hidden="1" outlineLevel="2"/>
    <row r="2228" hidden="1" outlineLevel="2">
      <c r="A2228" s="14" t="inlineStr">
        <is>
          <t>shp</t>
        </is>
      </c>
      <c r="B2228" s="14" t="inlineStr">
        <is>
          <t>coa</t>
        </is>
      </c>
      <c r="C2228" s="14" t="inlineStr">
        <is>
          <t>nfm</t>
        </is>
      </c>
      <c r="D2228" s="35">
        <f>INDEX(Inputs!$W$5:$W$132,MATCH($B2228&amp;"|"&amp;$C2228,Inputs!$A$5:$A$132,0))</f>
        <v/>
      </c>
      <c r="E2228" s="35">
        <f>INDEX(Inputs!$M$5:$M$132,MATCH($B2228&amp;"|"&amp;$C2228,Inputs!$A$5:$A$132,0))</f>
        <v/>
      </c>
      <c r="F2228" s="39" t="n"/>
      <c r="G2228" s="39" t="n"/>
      <c r="H2228" s="14">
        <f>INDEX(VarLab,MATCH($A2228,VarKey,0))&amp;INDEX(MemLab,MATCH($C2228&amp;"|"&amp;$B2228,MemKey,0))</f>
        <v/>
      </c>
      <c r="I2228" s="14">
        <f>INDEX(VarUnit,MATCH($A2228,VarKey,0))</f>
        <v/>
      </c>
      <c r="J2228" s="14">
        <f>INDEX(VarSrc,MATCH($A2228,VarKey,0))</f>
        <v/>
      </c>
      <c r="K2228" s="11">
        <f>CodePrefix&amp;$A2228&amp;IF($C2228="","","."&amp;$C2228&amp;"."&amp;$B2228)&amp;INDEX(VarEnd,MATCH($A2228,VarKey,0))&amp;K$5</f>
        <v/>
      </c>
      <c r="L2228" s="40">
        <f>INDEX(L$297:L$313,$E2228)*$D2228</f>
        <v/>
      </c>
      <c r="M2228" s="35">
        <f>INDEX(M$297:M$313,$E2228)*$D2228</f>
        <v/>
      </c>
      <c r="N2228" s="35">
        <f>INDEX(N$297:N$313,$E2228)*$D2228</f>
        <v/>
      </c>
      <c r="O2228" s="35">
        <f>INDEX(O$297:O$313,$E2228)*$D2228</f>
        <v/>
      </c>
      <c r="P2228" s="35">
        <f>INDEX(P$297:P$313,$E2228)*$D2228</f>
        <v/>
      </c>
      <c r="Q2228" s="35">
        <f>INDEX(Q$297:Q$313,$E2228)*$D2228</f>
        <v/>
      </c>
      <c r="R2228" s="35">
        <f>INDEX(R$297:R$313,$E2228)*$D2228</f>
        <v/>
      </c>
      <c r="S2228" s="35">
        <f>INDEX(S$297:S$313,$E2228)*$D2228</f>
        <v/>
      </c>
      <c r="T2228" s="35">
        <f>INDEX(T$297:T$313,$E2228)*$D2228</f>
        <v/>
      </c>
      <c r="U2228" s="35">
        <f>INDEX(U$297:U$313,$E2228)*$D2228</f>
        <v/>
      </c>
      <c r="V2228" s="35">
        <f>INDEX(V$297:V$313,$E2228)*$D2228</f>
        <v/>
      </c>
      <c r="W2228" s="35">
        <f>INDEX(W$297:W$313,$E2228)*$D2228</f>
        <v/>
      </c>
      <c r="X2228" s="35">
        <f>INDEX(X$297:X$313,$E2228)*$D2228</f>
        <v/>
      </c>
      <c r="Y2228" s="35">
        <f>INDEX(Y$297:Y$313,$E2228)*$D2228</f>
        <v/>
      </c>
      <c r="Z2228" s="35">
        <f>INDEX(Z$297:Z$313,$E2228)*$D2228</f>
        <v/>
      </c>
      <c r="AA2228" s="35">
        <f>INDEX(AA$297:AA$313,$E2228)*$D2228</f>
        <v/>
      </c>
      <c r="AB2228" s="35">
        <f>INDEX(AB$297:AB$313,$E2228)*$D2228</f>
        <v/>
      </c>
      <c r="AC2228" s="35">
        <f>INDEX(AC$297:AC$313,$E2228)*$D2228</f>
        <v/>
      </c>
      <c r="AD2228" s="35">
        <f>INDEX(AD$297:AD$313,$E2228)*$D2228</f>
        <v/>
      </c>
      <c r="AE2228" s="42">
        <f>SHADOWGJ(INDEX(AE$297:AE$313,$E2228),$D2228)</f>
        <v/>
      </c>
      <c r="AG2228" s="11">
        <f>CodePrefix&amp;$A2228&amp;IF($C2228="","","."&amp;$C2228&amp;"."&amp;$B2228)&amp;INDEX(VarEnd,MATCH($A2228,VarKey,0))&amp;AG$5</f>
        <v/>
      </c>
      <c r="AH2228" s="40">
        <f>INDEX(AH$297:AH$313,$E2228)*$D2228</f>
        <v/>
      </c>
      <c r="AI2228" s="35">
        <f>INDEX(AI$297:AI$313,$E2228)*$D2228</f>
        <v/>
      </c>
      <c r="AJ2228" s="35">
        <f>INDEX(AJ$297:AJ$313,$E2228)*$D2228</f>
        <v/>
      </c>
      <c r="AK2228" s="35">
        <f>INDEX(AK$297:AK$313,$E2228)*$D2228</f>
        <v/>
      </c>
      <c r="AL2228" s="35">
        <f>INDEX(AL$297:AL$313,$E2228)*$D2228</f>
        <v/>
      </c>
      <c r="AM2228" s="35">
        <f>INDEX(AM$297:AM$313,$E2228)*$D2228</f>
        <v/>
      </c>
      <c r="AN2228" s="35">
        <f>INDEX(AN$297:AN$313,$E2228)*$D2228</f>
        <v/>
      </c>
      <c r="AO2228" s="35">
        <f>INDEX(AO$297:AO$313,$E2228)*$D2228</f>
        <v/>
      </c>
      <c r="AP2228" s="35">
        <f>INDEX(AP$297:AP$313,$E2228)*$D2228</f>
        <v/>
      </c>
      <c r="AQ2228" s="35">
        <f>INDEX(AQ$297:AQ$313,$E2228)*$D2228</f>
        <v/>
      </c>
      <c r="AR2228" s="35">
        <f>INDEX(AR$297:AR$313,$E2228)*$D2228</f>
        <v/>
      </c>
      <c r="AS2228" s="35">
        <f>INDEX(AS$297:AS$313,$E2228)*$D2228</f>
        <v/>
      </c>
      <c r="AT2228" s="35">
        <f>INDEX(AT$297:AT$313,$E2228)*$D2228</f>
        <v/>
      </c>
      <c r="AU2228" s="35">
        <f>INDEX(AU$297:AU$313,$E2228)*$D2228</f>
        <v/>
      </c>
      <c r="AV2228" s="35">
        <f>INDEX(AV$297:AV$313,$E2228)*$D2228</f>
        <v/>
      </c>
      <c r="AW2228" s="35">
        <f>INDEX(AW$297:AW$313,$E2228)*$D2228</f>
        <v/>
      </c>
      <c r="AX2228" s="35">
        <f>INDEX(AX$297:AX$313,$E2228)*$D2228</f>
        <v/>
      </c>
      <c r="AY2228" s="35">
        <f>INDEX(AY$297:AY$313,$E2228)*$D2228</f>
        <v/>
      </c>
      <c r="AZ2228" s="35">
        <f>INDEX(AZ$297:AZ$313,$E2228)*$D2228</f>
        <v/>
      </c>
      <c r="BA2228" s="42">
        <f>SHADOWGJ(INDEX(BA$297:BA$313,$E2228),$D2228)</f>
        <v/>
      </c>
    </row>
    <row r="2229" hidden="1" outlineLevel="2">
      <c r="A2229" s="14" t="inlineStr">
        <is>
          <t>shp</t>
        </is>
      </c>
      <c r="B2229" s="14" t="inlineStr">
        <is>
          <t>nga</t>
        </is>
      </c>
      <c r="C2229" s="14" t="inlineStr">
        <is>
          <t>nfm</t>
        </is>
      </c>
      <c r="D2229" s="35">
        <f>INDEX(Inputs!$W$5:$W$132,MATCH($B2229&amp;"|"&amp;$C2229,Inputs!$A$5:$A$132,0))</f>
        <v/>
      </c>
      <c r="E2229" s="35">
        <f>INDEX(Inputs!$M$5:$M$132,MATCH($B2229&amp;"|"&amp;$C2229,Inputs!$A$5:$A$132,0))</f>
        <v/>
      </c>
      <c r="F2229" s="39" t="n"/>
      <c r="G2229" s="39" t="n"/>
      <c r="H2229" s="14">
        <f>INDEX(VarLab,MATCH($A2229,VarKey,0))&amp;INDEX(MemLab,MATCH($C2229&amp;"|"&amp;$B2229,MemKey,0))</f>
        <v/>
      </c>
      <c r="I2229" s="14">
        <f>INDEX(VarUnit,MATCH($A2229,VarKey,0))</f>
        <v/>
      </c>
      <c r="J2229" s="14">
        <f>INDEX(VarSrc,MATCH($A2229,VarKey,0))</f>
        <v/>
      </c>
      <c r="K2229" s="11">
        <f>CodePrefix&amp;$A2229&amp;IF($C2229="","","."&amp;$C2229&amp;"."&amp;$B2229)&amp;INDEX(VarEnd,MATCH($A2229,VarKey,0))&amp;K$5</f>
        <v/>
      </c>
      <c r="L2229" s="40">
        <f>INDEX(L$297:L$313,$E2229)*$D2229</f>
        <v/>
      </c>
      <c r="M2229" s="35">
        <f>INDEX(M$297:M$313,$E2229)*$D2229</f>
        <v/>
      </c>
      <c r="N2229" s="35">
        <f>INDEX(N$297:N$313,$E2229)*$D2229</f>
        <v/>
      </c>
      <c r="O2229" s="35">
        <f>INDEX(O$297:O$313,$E2229)*$D2229</f>
        <v/>
      </c>
      <c r="P2229" s="35">
        <f>INDEX(P$297:P$313,$E2229)*$D2229</f>
        <v/>
      </c>
      <c r="Q2229" s="35">
        <f>INDEX(Q$297:Q$313,$E2229)*$D2229</f>
        <v/>
      </c>
      <c r="R2229" s="35">
        <f>INDEX(R$297:R$313,$E2229)*$D2229</f>
        <v/>
      </c>
      <c r="S2229" s="35">
        <f>INDEX(S$297:S$313,$E2229)*$D2229</f>
        <v/>
      </c>
      <c r="T2229" s="35">
        <f>INDEX(T$297:T$313,$E2229)*$D2229</f>
        <v/>
      </c>
      <c r="U2229" s="35">
        <f>INDEX(U$297:U$313,$E2229)*$D2229</f>
        <v/>
      </c>
      <c r="V2229" s="35">
        <f>INDEX(V$297:V$313,$E2229)*$D2229</f>
        <v/>
      </c>
      <c r="W2229" s="35">
        <f>INDEX(W$297:W$313,$E2229)*$D2229</f>
        <v/>
      </c>
      <c r="X2229" s="35">
        <f>INDEX(X$297:X$313,$E2229)*$D2229</f>
        <v/>
      </c>
      <c r="Y2229" s="35">
        <f>INDEX(Y$297:Y$313,$E2229)*$D2229</f>
        <v/>
      </c>
      <c r="Z2229" s="35">
        <f>INDEX(Z$297:Z$313,$E2229)*$D2229</f>
        <v/>
      </c>
      <c r="AA2229" s="35">
        <f>INDEX(AA$297:AA$313,$E2229)*$D2229</f>
        <v/>
      </c>
      <c r="AB2229" s="35">
        <f>INDEX(AB$297:AB$313,$E2229)*$D2229</f>
        <v/>
      </c>
      <c r="AC2229" s="35">
        <f>INDEX(AC$297:AC$313,$E2229)*$D2229</f>
        <v/>
      </c>
      <c r="AD2229" s="35">
        <f>INDEX(AD$297:AD$313,$E2229)*$D2229</f>
        <v/>
      </c>
      <c r="AE2229" s="42">
        <f>SHADOWGJ(INDEX(AE$297:AE$313,$E2229),$D2229)</f>
        <v/>
      </c>
      <c r="AG2229" s="11">
        <f>CodePrefix&amp;$A2229&amp;IF($C2229="","","."&amp;$C2229&amp;"."&amp;$B2229)&amp;INDEX(VarEnd,MATCH($A2229,VarKey,0))&amp;AG$5</f>
        <v/>
      </c>
      <c r="AH2229" s="40">
        <f>INDEX(AH$297:AH$313,$E2229)*$D2229</f>
        <v/>
      </c>
      <c r="AI2229" s="35">
        <f>INDEX(AI$297:AI$313,$E2229)*$D2229</f>
        <v/>
      </c>
      <c r="AJ2229" s="35">
        <f>INDEX(AJ$297:AJ$313,$E2229)*$D2229</f>
        <v/>
      </c>
      <c r="AK2229" s="35">
        <f>INDEX(AK$297:AK$313,$E2229)*$D2229</f>
        <v/>
      </c>
      <c r="AL2229" s="35">
        <f>INDEX(AL$297:AL$313,$E2229)*$D2229</f>
        <v/>
      </c>
      <c r="AM2229" s="35">
        <f>INDEX(AM$297:AM$313,$E2229)*$D2229</f>
        <v/>
      </c>
      <c r="AN2229" s="35">
        <f>INDEX(AN$297:AN$313,$E2229)*$D2229</f>
        <v/>
      </c>
      <c r="AO2229" s="35">
        <f>INDEX(AO$297:AO$313,$E2229)*$D2229</f>
        <v/>
      </c>
      <c r="AP2229" s="35">
        <f>INDEX(AP$297:AP$313,$E2229)*$D2229</f>
        <v/>
      </c>
      <c r="AQ2229" s="35">
        <f>INDEX(AQ$297:AQ$313,$E2229)*$D2229</f>
        <v/>
      </c>
      <c r="AR2229" s="35">
        <f>INDEX(AR$297:AR$313,$E2229)*$D2229</f>
        <v/>
      </c>
      <c r="AS2229" s="35">
        <f>INDEX(AS$297:AS$313,$E2229)*$D2229</f>
        <v/>
      </c>
      <c r="AT2229" s="35">
        <f>INDEX(AT$297:AT$313,$E2229)*$D2229</f>
        <v/>
      </c>
      <c r="AU2229" s="35">
        <f>INDEX(AU$297:AU$313,$E2229)*$D2229</f>
        <v/>
      </c>
      <c r="AV2229" s="35">
        <f>INDEX(AV$297:AV$313,$E2229)*$D2229</f>
        <v/>
      </c>
      <c r="AW2229" s="35">
        <f>INDEX(AW$297:AW$313,$E2229)*$D2229</f>
        <v/>
      </c>
      <c r="AX2229" s="35">
        <f>INDEX(AX$297:AX$313,$E2229)*$D2229</f>
        <v/>
      </c>
      <c r="AY2229" s="35">
        <f>INDEX(AY$297:AY$313,$E2229)*$D2229</f>
        <v/>
      </c>
      <c r="AZ2229" s="35">
        <f>INDEX(AZ$297:AZ$313,$E2229)*$D2229</f>
        <v/>
      </c>
      <c r="BA2229" s="42">
        <f>SHADOWGJ(INDEX(BA$297:BA$313,$E2229),$D2229)</f>
        <v/>
      </c>
    </row>
    <row r="2230" hidden="1" outlineLevel="2">
      <c r="A2230" s="14" t="inlineStr">
        <is>
          <t>shp</t>
        </is>
      </c>
      <c r="B2230" s="14" t="inlineStr">
        <is>
          <t>gso</t>
        </is>
      </c>
      <c r="C2230" s="14" t="inlineStr">
        <is>
          <t>nfm</t>
        </is>
      </c>
      <c r="D2230" s="35">
        <f>INDEX(Inputs!$W$5:$W$132,MATCH($B2230&amp;"|"&amp;$C2230,Inputs!$A$5:$A$132,0))</f>
        <v/>
      </c>
      <c r="E2230" s="35">
        <f>INDEX(Inputs!$M$5:$M$132,MATCH($B2230&amp;"|"&amp;$C2230,Inputs!$A$5:$A$132,0))</f>
        <v/>
      </c>
      <c r="F2230" s="39" t="n"/>
      <c r="G2230" s="39" t="n"/>
      <c r="H2230" s="14">
        <f>INDEX(VarLab,MATCH($A2230,VarKey,0))&amp;INDEX(MemLab,MATCH($C2230&amp;"|"&amp;$B2230,MemKey,0))</f>
        <v/>
      </c>
      <c r="I2230" s="14">
        <f>INDEX(VarUnit,MATCH($A2230,VarKey,0))</f>
        <v/>
      </c>
      <c r="J2230" s="14">
        <f>INDEX(VarSrc,MATCH($A2230,VarKey,0))</f>
        <v/>
      </c>
      <c r="K2230" s="11">
        <f>CodePrefix&amp;$A2230&amp;IF($C2230="","","."&amp;$C2230&amp;"."&amp;$B2230)&amp;INDEX(VarEnd,MATCH($A2230,VarKey,0))&amp;K$5</f>
        <v/>
      </c>
      <c r="L2230" s="40">
        <f>INDEX(L$297:L$313,$E2230)*$D2230</f>
        <v/>
      </c>
      <c r="M2230" s="35">
        <f>INDEX(M$297:M$313,$E2230)*$D2230</f>
        <v/>
      </c>
      <c r="N2230" s="35">
        <f>INDEX(N$297:N$313,$E2230)*$D2230</f>
        <v/>
      </c>
      <c r="O2230" s="35">
        <f>INDEX(O$297:O$313,$E2230)*$D2230</f>
        <v/>
      </c>
      <c r="P2230" s="35">
        <f>INDEX(P$297:P$313,$E2230)*$D2230</f>
        <v/>
      </c>
      <c r="Q2230" s="35">
        <f>INDEX(Q$297:Q$313,$E2230)*$D2230</f>
        <v/>
      </c>
      <c r="R2230" s="35">
        <f>INDEX(R$297:R$313,$E2230)*$D2230</f>
        <v/>
      </c>
      <c r="S2230" s="35">
        <f>INDEX(S$297:S$313,$E2230)*$D2230</f>
        <v/>
      </c>
      <c r="T2230" s="35">
        <f>INDEX(T$297:T$313,$E2230)*$D2230</f>
        <v/>
      </c>
      <c r="U2230" s="35">
        <f>INDEX(U$297:U$313,$E2230)*$D2230</f>
        <v/>
      </c>
      <c r="V2230" s="35">
        <f>INDEX(V$297:V$313,$E2230)*$D2230</f>
        <v/>
      </c>
      <c r="W2230" s="35">
        <f>INDEX(W$297:W$313,$E2230)*$D2230</f>
        <v/>
      </c>
      <c r="X2230" s="35">
        <f>INDEX(X$297:X$313,$E2230)*$D2230</f>
        <v/>
      </c>
      <c r="Y2230" s="35">
        <f>INDEX(Y$297:Y$313,$E2230)*$D2230</f>
        <v/>
      </c>
      <c r="Z2230" s="35">
        <f>INDEX(Z$297:Z$313,$E2230)*$D2230</f>
        <v/>
      </c>
      <c r="AA2230" s="35">
        <f>INDEX(AA$297:AA$313,$E2230)*$D2230</f>
        <v/>
      </c>
      <c r="AB2230" s="35">
        <f>INDEX(AB$297:AB$313,$E2230)*$D2230</f>
        <v/>
      </c>
      <c r="AC2230" s="35">
        <f>INDEX(AC$297:AC$313,$E2230)*$D2230</f>
        <v/>
      </c>
      <c r="AD2230" s="35">
        <f>INDEX(AD$297:AD$313,$E2230)*$D2230</f>
        <v/>
      </c>
      <c r="AE2230" s="42">
        <f>SHADOWGJ(INDEX(AE$297:AE$313,$E2230),$D2230)</f>
        <v/>
      </c>
      <c r="AG2230" s="11">
        <f>CodePrefix&amp;$A2230&amp;IF($C2230="","","."&amp;$C2230&amp;"."&amp;$B2230)&amp;INDEX(VarEnd,MATCH($A2230,VarKey,0))&amp;AG$5</f>
        <v/>
      </c>
      <c r="AH2230" s="40">
        <f>INDEX(AH$297:AH$313,$E2230)*$D2230</f>
        <v/>
      </c>
      <c r="AI2230" s="35">
        <f>INDEX(AI$297:AI$313,$E2230)*$D2230</f>
        <v/>
      </c>
      <c r="AJ2230" s="35">
        <f>INDEX(AJ$297:AJ$313,$E2230)*$D2230</f>
        <v/>
      </c>
      <c r="AK2230" s="35">
        <f>INDEX(AK$297:AK$313,$E2230)*$D2230</f>
        <v/>
      </c>
      <c r="AL2230" s="35">
        <f>INDEX(AL$297:AL$313,$E2230)*$D2230</f>
        <v/>
      </c>
      <c r="AM2230" s="35">
        <f>INDEX(AM$297:AM$313,$E2230)*$D2230</f>
        <v/>
      </c>
      <c r="AN2230" s="35">
        <f>INDEX(AN$297:AN$313,$E2230)*$D2230</f>
        <v/>
      </c>
      <c r="AO2230" s="35">
        <f>INDEX(AO$297:AO$313,$E2230)*$D2230</f>
        <v/>
      </c>
      <c r="AP2230" s="35">
        <f>INDEX(AP$297:AP$313,$E2230)*$D2230</f>
        <v/>
      </c>
      <c r="AQ2230" s="35">
        <f>INDEX(AQ$297:AQ$313,$E2230)*$D2230</f>
        <v/>
      </c>
      <c r="AR2230" s="35">
        <f>INDEX(AR$297:AR$313,$E2230)*$D2230</f>
        <v/>
      </c>
      <c r="AS2230" s="35">
        <f>INDEX(AS$297:AS$313,$E2230)*$D2230</f>
        <v/>
      </c>
      <c r="AT2230" s="35">
        <f>INDEX(AT$297:AT$313,$E2230)*$D2230</f>
        <v/>
      </c>
      <c r="AU2230" s="35">
        <f>INDEX(AU$297:AU$313,$E2230)*$D2230</f>
        <v/>
      </c>
      <c r="AV2230" s="35">
        <f>INDEX(AV$297:AV$313,$E2230)*$D2230</f>
        <v/>
      </c>
      <c r="AW2230" s="35">
        <f>INDEX(AW$297:AW$313,$E2230)*$D2230</f>
        <v/>
      </c>
      <c r="AX2230" s="35">
        <f>INDEX(AX$297:AX$313,$E2230)*$D2230</f>
        <v/>
      </c>
      <c r="AY2230" s="35">
        <f>INDEX(AY$297:AY$313,$E2230)*$D2230</f>
        <v/>
      </c>
      <c r="AZ2230" s="35">
        <f>INDEX(AZ$297:AZ$313,$E2230)*$D2230</f>
        <v/>
      </c>
      <c r="BA2230" s="42">
        <f>SHADOWGJ(INDEX(BA$297:BA$313,$E2230),$D2230)</f>
        <v/>
      </c>
    </row>
    <row r="2231" hidden="1" outlineLevel="2">
      <c r="A2231" s="14" t="inlineStr">
        <is>
          <t>shp</t>
        </is>
      </c>
      <c r="B2231" s="14" t="inlineStr">
        <is>
          <t>die</t>
        </is>
      </c>
      <c r="C2231" s="14" t="inlineStr">
        <is>
          <t>nfm</t>
        </is>
      </c>
      <c r="D2231" s="35">
        <f>INDEX(Inputs!$W$5:$W$132,MATCH($B2231&amp;"|"&amp;$C2231,Inputs!$A$5:$A$132,0))</f>
        <v/>
      </c>
      <c r="E2231" s="35">
        <f>INDEX(Inputs!$M$5:$M$132,MATCH($B2231&amp;"|"&amp;$C2231,Inputs!$A$5:$A$132,0))</f>
        <v/>
      </c>
      <c r="F2231" s="39" t="n"/>
      <c r="G2231" s="39" t="n"/>
      <c r="H2231" s="14">
        <f>INDEX(VarLab,MATCH($A2231,VarKey,0))&amp;INDEX(MemLab,MATCH($C2231&amp;"|"&amp;$B2231,MemKey,0))</f>
        <v/>
      </c>
      <c r="I2231" s="14">
        <f>INDEX(VarUnit,MATCH($A2231,VarKey,0))</f>
        <v/>
      </c>
      <c r="J2231" s="14">
        <f>INDEX(VarSrc,MATCH($A2231,VarKey,0))</f>
        <v/>
      </c>
      <c r="K2231" s="11">
        <f>CodePrefix&amp;$A2231&amp;IF($C2231="","","."&amp;$C2231&amp;"."&amp;$B2231)&amp;INDEX(VarEnd,MATCH($A2231,VarKey,0))&amp;K$5</f>
        <v/>
      </c>
      <c r="L2231" s="40">
        <f>INDEX(L$297:L$313,$E2231)*$D2231</f>
        <v/>
      </c>
      <c r="M2231" s="35">
        <f>INDEX(M$297:M$313,$E2231)*$D2231</f>
        <v/>
      </c>
      <c r="N2231" s="35">
        <f>INDEX(N$297:N$313,$E2231)*$D2231</f>
        <v/>
      </c>
      <c r="O2231" s="35">
        <f>INDEX(O$297:O$313,$E2231)*$D2231</f>
        <v/>
      </c>
      <c r="P2231" s="35">
        <f>INDEX(P$297:P$313,$E2231)*$D2231</f>
        <v/>
      </c>
      <c r="Q2231" s="35">
        <f>INDEX(Q$297:Q$313,$E2231)*$D2231</f>
        <v/>
      </c>
      <c r="R2231" s="35">
        <f>INDEX(R$297:R$313,$E2231)*$D2231</f>
        <v/>
      </c>
      <c r="S2231" s="35">
        <f>INDEX(S$297:S$313,$E2231)*$D2231</f>
        <v/>
      </c>
      <c r="T2231" s="35">
        <f>INDEX(T$297:T$313,$E2231)*$D2231</f>
        <v/>
      </c>
      <c r="U2231" s="35">
        <f>INDEX(U$297:U$313,$E2231)*$D2231</f>
        <v/>
      </c>
      <c r="V2231" s="35">
        <f>INDEX(V$297:V$313,$E2231)*$D2231</f>
        <v/>
      </c>
      <c r="W2231" s="35">
        <f>INDEX(W$297:W$313,$E2231)*$D2231</f>
        <v/>
      </c>
      <c r="X2231" s="35">
        <f>INDEX(X$297:X$313,$E2231)*$D2231</f>
        <v/>
      </c>
      <c r="Y2231" s="35">
        <f>INDEX(Y$297:Y$313,$E2231)*$D2231</f>
        <v/>
      </c>
      <c r="Z2231" s="35">
        <f>INDEX(Z$297:Z$313,$E2231)*$D2231</f>
        <v/>
      </c>
      <c r="AA2231" s="35">
        <f>INDEX(AA$297:AA$313,$E2231)*$D2231</f>
        <v/>
      </c>
      <c r="AB2231" s="35">
        <f>INDEX(AB$297:AB$313,$E2231)*$D2231</f>
        <v/>
      </c>
      <c r="AC2231" s="35">
        <f>INDEX(AC$297:AC$313,$E2231)*$D2231</f>
        <v/>
      </c>
      <c r="AD2231" s="35">
        <f>INDEX(AD$297:AD$313,$E2231)*$D2231</f>
        <v/>
      </c>
      <c r="AE2231" s="42">
        <f>SHADOWGJ(INDEX(AE$297:AE$313,$E2231),$D2231)</f>
        <v/>
      </c>
      <c r="AG2231" s="11">
        <f>CodePrefix&amp;$A2231&amp;IF($C2231="","","."&amp;$C2231&amp;"."&amp;$B2231)&amp;INDEX(VarEnd,MATCH($A2231,VarKey,0))&amp;AG$5</f>
        <v/>
      </c>
      <c r="AH2231" s="40">
        <f>INDEX(AH$297:AH$313,$E2231)*$D2231</f>
        <v/>
      </c>
      <c r="AI2231" s="35">
        <f>INDEX(AI$297:AI$313,$E2231)*$D2231</f>
        <v/>
      </c>
      <c r="AJ2231" s="35">
        <f>INDEX(AJ$297:AJ$313,$E2231)*$D2231</f>
        <v/>
      </c>
      <c r="AK2231" s="35">
        <f>INDEX(AK$297:AK$313,$E2231)*$D2231</f>
        <v/>
      </c>
      <c r="AL2231" s="35">
        <f>INDEX(AL$297:AL$313,$E2231)*$D2231</f>
        <v/>
      </c>
      <c r="AM2231" s="35">
        <f>INDEX(AM$297:AM$313,$E2231)*$D2231</f>
        <v/>
      </c>
      <c r="AN2231" s="35">
        <f>INDEX(AN$297:AN$313,$E2231)*$D2231</f>
        <v/>
      </c>
      <c r="AO2231" s="35">
        <f>INDEX(AO$297:AO$313,$E2231)*$D2231</f>
        <v/>
      </c>
      <c r="AP2231" s="35">
        <f>INDEX(AP$297:AP$313,$E2231)*$D2231</f>
        <v/>
      </c>
      <c r="AQ2231" s="35">
        <f>INDEX(AQ$297:AQ$313,$E2231)*$D2231</f>
        <v/>
      </c>
      <c r="AR2231" s="35">
        <f>INDEX(AR$297:AR$313,$E2231)*$D2231</f>
        <v/>
      </c>
      <c r="AS2231" s="35">
        <f>INDEX(AS$297:AS$313,$E2231)*$D2231</f>
        <v/>
      </c>
      <c r="AT2231" s="35">
        <f>INDEX(AT$297:AT$313,$E2231)*$D2231</f>
        <v/>
      </c>
      <c r="AU2231" s="35">
        <f>INDEX(AU$297:AU$313,$E2231)*$D2231</f>
        <v/>
      </c>
      <c r="AV2231" s="35">
        <f>INDEX(AV$297:AV$313,$E2231)*$D2231</f>
        <v/>
      </c>
      <c r="AW2231" s="35">
        <f>INDEX(AW$297:AW$313,$E2231)*$D2231</f>
        <v/>
      </c>
      <c r="AX2231" s="35">
        <f>INDEX(AX$297:AX$313,$E2231)*$D2231</f>
        <v/>
      </c>
      <c r="AY2231" s="35">
        <f>INDEX(AY$297:AY$313,$E2231)*$D2231</f>
        <v/>
      </c>
      <c r="AZ2231" s="35">
        <f>INDEX(AZ$297:AZ$313,$E2231)*$D2231</f>
        <v/>
      </c>
      <c r="BA2231" s="42">
        <f>SHADOWGJ(INDEX(BA$297:BA$313,$E2231),$D2231)</f>
        <v/>
      </c>
    </row>
    <row r="2232" hidden="1" outlineLevel="2">
      <c r="A2232" s="14" t="inlineStr">
        <is>
          <t>shp</t>
        </is>
      </c>
      <c r="B2232" s="14" t="inlineStr">
        <is>
          <t>lpg</t>
        </is>
      </c>
      <c r="C2232" s="14" t="inlineStr">
        <is>
          <t>nfm</t>
        </is>
      </c>
      <c r="D2232" s="35">
        <f>INDEX(Inputs!$W$5:$W$132,MATCH($B2232&amp;"|"&amp;$C2232,Inputs!$A$5:$A$132,0))</f>
        <v/>
      </c>
      <c r="E2232" s="35">
        <f>INDEX(Inputs!$M$5:$M$132,MATCH($B2232&amp;"|"&amp;$C2232,Inputs!$A$5:$A$132,0))</f>
        <v/>
      </c>
      <c r="F2232" s="39" t="n"/>
      <c r="G2232" s="39" t="n"/>
      <c r="H2232" s="14">
        <f>INDEX(VarLab,MATCH($A2232,VarKey,0))&amp;INDEX(MemLab,MATCH($C2232&amp;"|"&amp;$B2232,MemKey,0))</f>
        <v/>
      </c>
      <c r="I2232" s="14">
        <f>INDEX(VarUnit,MATCH($A2232,VarKey,0))</f>
        <v/>
      </c>
      <c r="J2232" s="14">
        <f>INDEX(VarSrc,MATCH($A2232,VarKey,0))</f>
        <v/>
      </c>
      <c r="K2232" s="11">
        <f>CodePrefix&amp;$A2232&amp;IF($C2232="","","."&amp;$C2232&amp;"."&amp;$B2232)&amp;INDEX(VarEnd,MATCH($A2232,VarKey,0))&amp;K$5</f>
        <v/>
      </c>
      <c r="L2232" s="40">
        <f>INDEX(L$297:L$313,$E2232)*$D2232</f>
        <v/>
      </c>
      <c r="M2232" s="35">
        <f>INDEX(M$297:M$313,$E2232)*$D2232</f>
        <v/>
      </c>
      <c r="N2232" s="35">
        <f>INDEX(N$297:N$313,$E2232)*$D2232</f>
        <v/>
      </c>
      <c r="O2232" s="35">
        <f>INDEX(O$297:O$313,$E2232)*$D2232</f>
        <v/>
      </c>
      <c r="P2232" s="35">
        <f>INDEX(P$297:P$313,$E2232)*$D2232</f>
        <v/>
      </c>
      <c r="Q2232" s="35">
        <f>INDEX(Q$297:Q$313,$E2232)*$D2232</f>
        <v/>
      </c>
      <c r="R2232" s="35">
        <f>INDEX(R$297:R$313,$E2232)*$D2232</f>
        <v/>
      </c>
      <c r="S2232" s="35">
        <f>INDEX(S$297:S$313,$E2232)*$D2232</f>
        <v/>
      </c>
      <c r="T2232" s="35">
        <f>INDEX(T$297:T$313,$E2232)*$D2232</f>
        <v/>
      </c>
      <c r="U2232" s="35">
        <f>INDEX(U$297:U$313,$E2232)*$D2232</f>
        <v/>
      </c>
      <c r="V2232" s="35">
        <f>INDEX(V$297:V$313,$E2232)*$D2232</f>
        <v/>
      </c>
      <c r="W2232" s="35">
        <f>INDEX(W$297:W$313,$E2232)*$D2232</f>
        <v/>
      </c>
      <c r="X2232" s="35">
        <f>INDEX(X$297:X$313,$E2232)*$D2232</f>
        <v/>
      </c>
      <c r="Y2232" s="35">
        <f>INDEX(Y$297:Y$313,$E2232)*$D2232</f>
        <v/>
      </c>
      <c r="Z2232" s="35">
        <f>INDEX(Z$297:Z$313,$E2232)*$D2232</f>
        <v/>
      </c>
      <c r="AA2232" s="35">
        <f>INDEX(AA$297:AA$313,$E2232)*$D2232</f>
        <v/>
      </c>
      <c r="AB2232" s="35">
        <f>INDEX(AB$297:AB$313,$E2232)*$D2232</f>
        <v/>
      </c>
      <c r="AC2232" s="35">
        <f>INDEX(AC$297:AC$313,$E2232)*$D2232</f>
        <v/>
      </c>
      <c r="AD2232" s="35">
        <f>INDEX(AD$297:AD$313,$E2232)*$D2232</f>
        <v/>
      </c>
      <c r="AE2232" s="42">
        <f>SHADOWGJ(INDEX(AE$297:AE$313,$E2232),$D2232)</f>
        <v/>
      </c>
      <c r="AG2232" s="11">
        <f>CodePrefix&amp;$A2232&amp;IF($C2232="","","."&amp;$C2232&amp;"."&amp;$B2232)&amp;INDEX(VarEnd,MATCH($A2232,VarKey,0))&amp;AG$5</f>
        <v/>
      </c>
      <c r="AH2232" s="40">
        <f>INDEX(AH$297:AH$313,$E2232)*$D2232</f>
        <v/>
      </c>
      <c r="AI2232" s="35">
        <f>INDEX(AI$297:AI$313,$E2232)*$D2232</f>
        <v/>
      </c>
      <c r="AJ2232" s="35">
        <f>INDEX(AJ$297:AJ$313,$E2232)*$D2232</f>
        <v/>
      </c>
      <c r="AK2232" s="35">
        <f>INDEX(AK$297:AK$313,$E2232)*$D2232</f>
        <v/>
      </c>
      <c r="AL2232" s="35">
        <f>INDEX(AL$297:AL$313,$E2232)*$D2232</f>
        <v/>
      </c>
      <c r="AM2232" s="35">
        <f>INDEX(AM$297:AM$313,$E2232)*$D2232</f>
        <v/>
      </c>
      <c r="AN2232" s="35">
        <f>INDEX(AN$297:AN$313,$E2232)*$D2232</f>
        <v/>
      </c>
      <c r="AO2232" s="35">
        <f>INDEX(AO$297:AO$313,$E2232)*$D2232</f>
        <v/>
      </c>
      <c r="AP2232" s="35">
        <f>INDEX(AP$297:AP$313,$E2232)*$D2232</f>
        <v/>
      </c>
      <c r="AQ2232" s="35">
        <f>INDEX(AQ$297:AQ$313,$E2232)*$D2232</f>
        <v/>
      </c>
      <c r="AR2232" s="35">
        <f>INDEX(AR$297:AR$313,$E2232)*$D2232</f>
        <v/>
      </c>
      <c r="AS2232" s="35">
        <f>INDEX(AS$297:AS$313,$E2232)*$D2232</f>
        <v/>
      </c>
      <c r="AT2232" s="35">
        <f>INDEX(AT$297:AT$313,$E2232)*$D2232</f>
        <v/>
      </c>
      <c r="AU2232" s="35">
        <f>INDEX(AU$297:AU$313,$E2232)*$D2232</f>
        <v/>
      </c>
      <c r="AV2232" s="35">
        <f>INDEX(AV$297:AV$313,$E2232)*$D2232</f>
        <v/>
      </c>
      <c r="AW2232" s="35">
        <f>INDEX(AW$297:AW$313,$E2232)*$D2232</f>
        <v/>
      </c>
      <c r="AX2232" s="35">
        <f>INDEX(AX$297:AX$313,$E2232)*$D2232</f>
        <v/>
      </c>
      <c r="AY2232" s="35">
        <f>INDEX(AY$297:AY$313,$E2232)*$D2232</f>
        <v/>
      </c>
      <c r="AZ2232" s="35">
        <f>INDEX(AZ$297:AZ$313,$E2232)*$D2232</f>
        <v/>
      </c>
      <c r="BA2232" s="42">
        <f>SHADOWGJ(INDEX(BA$297:BA$313,$E2232),$D2232)</f>
        <v/>
      </c>
    </row>
    <row r="2233" hidden="1" outlineLevel="2">
      <c r="A2233" s="14" t="inlineStr">
        <is>
          <t>shp</t>
        </is>
      </c>
      <c r="B2233" s="14" t="inlineStr">
        <is>
          <t>ker</t>
        </is>
      </c>
      <c r="C2233" s="14" t="inlineStr">
        <is>
          <t>nfm</t>
        </is>
      </c>
      <c r="D2233" s="35">
        <f>INDEX(Inputs!$W$5:$W$132,MATCH($B2233&amp;"|"&amp;$C2233,Inputs!$A$5:$A$132,0))</f>
        <v/>
      </c>
      <c r="E2233" s="35">
        <f>INDEX(Inputs!$M$5:$M$132,MATCH($B2233&amp;"|"&amp;$C2233,Inputs!$A$5:$A$132,0))</f>
        <v/>
      </c>
      <c r="F2233" s="39" t="n"/>
      <c r="G2233" s="39" t="n"/>
      <c r="H2233" s="14">
        <f>INDEX(VarLab,MATCH($A2233,VarKey,0))&amp;INDEX(MemLab,MATCH($C2233&amp;"|"&amp;$B2233,MemKey,0))</f>
        <v/>
      </c>
      <c r="I2233" s="14">
        <f>INDEX(VarUnit,MATCH($A2233,VarKey,0))</f>
        <v/>
      </c>
      <c r="J2233" s="14">
        <f>INDEX(VarSrc,MATCH($A2233,VarKey,0))</f>
        <v/>
      </c>
      <c r="K2233" s="11">
        <f>CodePrefix&amp;$A2233&amp;IF($C2233="","","."&amp;$C2233&amp;"."&amp;$B2233)&amp;INDEX(VarEnd,MATCH($A2233,VarKey,0))&amp;K$5</f>
        <v/>
      </c>
      <c r="L2233" s="40">
        <f>INDEX(L$297:L$313,$E2233)*$D2233</f>
        <v/>
      </c>
      <c r="M2233" s="35">
        <f>INDEX(M$297:M$313,$E2233)*$D2233</f>
        <v/>
      </c>
      <c r="N2233" s="35">
        <f>INDEX(N$297:N$313,$E2233)*$D2233</f>
        <v/>
      </c>
      <c r="O2233" s="35">
        <f>INDEX(O$297:O$313,$E2233)*$D2233</f>
        <v/>
      </c>
      <c r="P2233" s="35">
        <f>INDEX(P$297:P$313,$E2233)*$D2233</f>
        <v/>
      </c>
      <c r="Q2233" s="35">
        <f>INDEX(Q$297:Q$313,$E2233)*$D2233</f>
        <v/>
      </c>
      <c r="R2233" s="35">
        <f>INDEX(R$297:R$313,$E2233)*$D2233</f>
        <v/>
      </c>
      <c r="S2233" s="35">
        <f>INDEX(S$297:S$313,$E2233)*$D2233</f>
        <v/>
      </c>
      <c r="T2233" s="35">
        <f>INDEX(T$297:T$313,$E2233)*$D2233</f>
        <v/>
      </c>
      <c r="U2233" s="35">
        <f>INDEX(U$297:U$313,$E2233)*$D2233</f>
        <v/>
      </c>
      <c r="V2233" s="35">
        <f>INDEX(V$297:V$313,$E2233)*$D2233</f>
        <v/>
      </c>
      <c r="W2233" s="35">
        <f>INDEX(W$297:W$313,$E2233)*$D2233</f>
        <v/>
      </c>
      <c r="X2233" s="35">
        <f>INDEX(X$297:X$313,$E2233)*$D2233</f>
        <v/>
      </c>
      <c r="Y2233" s="35">
        <f>INDEX(Y$297:Y$313,$E2233)*$D2233</f>
        <v/>
      </c>
      <c r="Z2233" s="35">
        <f>INDEX(Z$297:Z$313,$E2233)*$D2233</f>
        <v/>
      </c>
      <c r="AA2233" s="35">
        <f>INDEX(AA$297:AA$313,$E2233)*$D2233</f>
        <v/>
      </c>
      <c r="AB2233" s="35">
        <f>INDEX(AB$297:AB$313,$E2233)*$D2233</f>
        <v/>
      </c>
      <c r="AC2233" s="35">
        <f>INDEX(AC$297:AC$313,$E2233)*$D2233</f>
        <v/>
      </c>
      <c r="AD2233" s="35">
        <f>INDEX(AD$297:AD$313,$E2233)*$D2233</f>
        <v/>
      </c>
      <c r="AE2233" s="42">
        <f>SHADOWGJ(INDEX(AE$297:AE$313,$E2233),$D2233)</f>
        <v/>
      </c>
      <c r="AG2233" s="11">
        <f>CodePrefix&amp;$A2233&amp;IF($C2233="","","."&amp;$C2233&amp;"."&amp;$B2233)&amp;INDEX(VarEnd,MATCH($A2233,VarKey,0))&amp;AG$5</f>
        <v/>
      </c>
      <c r="AH2233" s="40">
        <f>INDEX(AH$297:AH$313,$E2233)*$D2233</f>
        <v/>
      </c>
      <c r="AI2233" s="35">
        <f>INDEX(AI$297:AI$313,$E2233)*$D2233</f>
        <v/>
      </c>
      <c r="AJ2233" s="35">
        <f>INDEX(AJ$297:AJ$313,$E2233)*$D2233</f>
        <v/>
      </c>
      <c r="AK2233" s="35">
        <f>INDEX(AK$297:AK$313,$E2233)*$D2233</f>
        <v/>
      </c>
      <c r="AL2233" s="35">
        <f>INDEX(AL$297:AL$313,$E2233)*$D2233</f>
        <v/>
      </c>
      <c r="AM2233" s="35">
        <f>INDEX(AM$297:AM$313,$E2233)*$D2233</f>
        <v/>
      </c>
      <c r="AN2233" s="35">
        <f>INDEX(AN$297:AN$313,$E2233)*$D2233</f>
        <v/>
      </c>
      <c r="AO2233" s="35">
        <f>INDEX(AO$297:AO$313,$E2233)*$D2233</f>
        <v/>
      </c>
      <c r="AP2233" s="35">
        <f>INDEX(AP$297:AP$313,$E2233)*$D2233</f>
        <v/>
      </c>
      <c r="AQ2233" s="35">
        <f>INDEX(AQ$297:AQ$313,$E2233)*$D2233</f>
        <v/>
      </c>
      <c r="AR2233" s="35">
        <f>INDEX(AR$297:AR$313,$E2233)*$D2233</f>
        <v/>
      </c>
      <c r="AS2233" s="35">
        <f>INDEX(AS$297:AS$313,$E2233)*$D2233</f>
        <v/>
      </c>
      <c r="AT2233" s="35">
        <f>INDEX(AT$297:AT$313,$E2233)*$D2233</f>
        <v/>
      </c>
      <c r="AU2233" s="35">
        <f>INDEX(AU$297:AU$313,$E2233)*$D2233</f>
        <v/>
      </c>
      <c r="AV2233" s="35">
        <f>INDEX(AV$297:AV$313,$E2233)*$D2233</f>
        <v/>
      </c>
      <c r="AW2233" s="35">
        <f>INDEX(AW$297:AW$313,$E2233)*$D2233</f>
        <v/>
      </c>
      <c r="AX2233" s="35">
        <f>INDEX(AX$297:AX$313,$E2233)*$D2233</f>
        <v/>
      </c>
      <c r="AY2233" s="35">
        <f>INDEX(AY$297:AY$313,$E2233)*$D2233</f>
        <v/>
      </c>
      <c r="AZ2233" s="35">
        <f>INDEX(AZ$297:AZ$313,$E2233)*$D2233</f>
        <v/>
      </c>
      <c r="BA2233" s="42">
        <f>SHADOWGJ(INDEX(BA$297:BA$313,$E2233),$D2233)</f>
        <v/>
      </c>
    </row>
    <row r="2234" hidden="1" outlineLevel="2">
      <c r="A2234" s="14" t="inlineStr">
        <is>
          <t>shp</t>
        </is>
      </c>
      <c r="B2234" s="14" t="inlineStr">
        <is>
          <t>oop</t>
        </is>
      </c>
      <c r="C2234" s="14" t="inlineStr">
        <is>
          <t>nfm</t>
        </is>
      </c>
      <c r="D2234" s="35">
        <f>INDEX(Inputs!$W$5:$W$132,MATCH($B2234&amp;"|"&amp;$C2234,Inputs!$A$5:$A$132,0))</f>
        <v/>
      </c>
      <c r="E2234" s="35">
        <f>INDEX(Inputs!$M$5:$M$132,MATCH($B2234&amp;"|"&amp;$C2234,Inputs!$A$5:$A$132,0))</f>
        <v/>
      </c>
      <c r="F2234" s="39" t="n"/>
      <c r="G2234" s="39" t="n"/>
      <c r="H2234" s="14">
        <f>INDEX(VarLab,MATCH($A2234,VarKey,0))&amp;INDEX(MemLab,MATCH($C2234&amp;"|"&amp;$B2234,MemKey,0))</f>
        <v/>
      </c>
      <c r="I2234" s="14">
        <f>INDEX(VarUnit,MATCH($A2234,VarKey,0))</f>
        <v/>
      </c>
      <c r="J2234" s="14">
        <f>INDEX(VarSrc,MATCH($A2234,VarKey,0))</f>
        <v/>
      </c>
      <c r="K2234" s="11">
        <f>CodePrefix&amp;$A2234&amp;IF($C2234="","","."&amp;$C2234&amp;"."&amp;$B2234)&amp;INDEX(VarEnd,MATCH($A2234,VarKey,0))&amp;K$5</f>
        <v/>
      </c>
      <c r="L2234" s="40">
        <f>INDEX(L$297:L$313,$E2234)*$D2234</f>
        <v/>
      </c>
      <c r="M2234" s="35">
        <f>INDEX(M$297:M$313,$E2234)*$D2234</f>
        <v/>
      </c>
      <c r="N2234" s="35">
        <f>INDEX(N$297:N$313,$E2234)*$D2234</f>
        <v/>
      </c>
      <c r="O2234" s="35">
        <f>INDEX(O$297:O$313,$E2234)*$D2234</f>
        <v/>
      </c>
      <c r="P2234" s="35">
        <f>INDEX(P$297:P$313,$E2234)*$D2234</f>
        <v/>
      </c>
      <c r="Q2234" s="35">
        <f>INDEX(Q$297:Q$313,$E2234)*$D2234</f>
        <v/>
      </c>
      <c r="R2234" s="35">
        <f>INDEX(R$297:R$313,$E2234)*$D2234</f>
        <v/>
      </c>
      <c r="S2234" s="35">
        <f>INDEX(S$297:S$313,$E2234)*$D2234</f>
        <v/>
      </c>
      <c r="T2234" s="35">
        <f>INDEX(T$297:T$313,$E2234)*$D2234</f>
        <v/>
      </c>
      <c r="U2234" s="35">
        <f>INDEX(U$297:U$313,$E2234)*$D2234</f>
        <v/>
      </c>
      <c r="V2234" s="35">
        <f>INDEX(V$297:V$313,$E2234)*$D2234</f>
        <v/>
      </c>
      <c r="W2234" s="35">
        <f>INDEX(W$297:W$313,$E2234)*$D2234</f>
        <v/>
      </c>
      <c r="X2234" s="35">
        <f>INDEX(X$297:X$313,$E2234)*$D2234</f>
        <v/>
      </c>
      <c r="Y2234" s="35">
        <f>INDEX(Y$297:Y$313,$E2234)*$D2234</f>
        <v/>
      </c>
      <c r="Z2234" s="35">
        <f>INDEX(Z$297:Z$313,$E2234)*$D2234</f>
        <v/>
      </c>
      <c r="AA2234" s="35">
        <f>INDEX(AA$297:AA$313,$E2234)*$D2234</f>
        <v/>
      </c>
      <c r="AB2234" s="35">
        <f>INDEX(AB$297:AB$313,$E2234)*$D2234</f>
        <v/>
      </c>
      <c r="AC2234" s="35">
        <f>INDEX(AC$297:AC$313,$E2234)*$D2234</f>
        <v/>
      </c>
      <c r="AD2234" s="35">
        <f>INDEX(AD$297:AD$313,$E2234)*$D2234</f>
        <v/>
      </c>
      <c r="AE2234" s="42">
        <f>SHADOWGJ(INDEX(AE$297:AE$313,$E2234),$D2234)</f>
        <v/>
      </c>
      <c r="AG2234" s="11">
        <f>CodePrefix&amp;$A2234&amp;IF($C2234="","","."&amp;$C2234&amp;"."&amp;$B2234)&amp;INDEX(VarEnd,MATCH($A2234,VarKey,0))&amp;AG$5</f>
        <v/>
      </c>
      <c r="AH2234" s="40">
        <f>INDEX(AH$297:AH$313,$E2234)*$D2234</f>
        <v/>
      </c>
      <c r="AI2234" s="35">
        <f>INDEX(AI$297:AI$313,$E2234)*$D2234</f>
        <v/>
      </c>
      <c r="AJ2234" s="35">
        <f>INDEX(AJ$297:AJ$313,$E2234)*$D2234</f>
        <v/>
      </c>
      <c r="AK2234" s="35">
        <f>INDEX(AK$297:AK$313,$E2234)*$D2234</f>
        <v/>
      </c>
      <c r="AL2234" s="35">
        <f>INDEX(AL$297:AL$313,$E2234)*$D2234</f>
        <v/>
      </c>
      <c r="AM2234" s="35">
        <f>INDEX(AM$297:AM$313,$E2234)*$D2234</f>
        <v/>
      </c>
      <c r="AN2234" s="35">
        <f>INDEX(AN$297:AN$313,$E2234)*$D2234</f>
        <v/>
      </c>
      <c r="AO2234" s="35">
        <f>INDEX(AO$297:AO$313,$E2234)*$D2234</f>
        <v/>
      </c>
      <c r="AP2234" s="35">
        <f>INDEX(AP$297:AP$313,$E2234)*$D2234</f>
        <v/>
      </c>
      <c r="AQ2234" s="35">
        <f>INDEX(AQ$297:AQ$313,$E2234)*$D2234</f>
        <v/>
      </c>
      <c r="AR2234" s="35">
        <f>INDEX(AR$297:AR$313,$E2234)*$D2234</f>
        <v/>
      </c>
      <c r="AS2234" s="35">
        <f>INDEX(AS$297:AS$313,$E2234)*$D2234</f>
        <v/>
      </c>
      <c r="AT2234" s="35">
        <f>INDEX(AT$297:AT$313,$E2234)*$D2234</f>
        <v/>
      </c>
      <c r="AU2234" s="35">
        <f>INDEX(AU$297:AU$313,$E2234)*$D2234</f>
        <v/>
      </c>
      <c r="AV2234" s="35">
        <f>INDEX(AV$297:AV$313,$E2234)*$D2234</f>
        <v/>
      </c>
      <c r="AW2234" s="35">
        <f>INDEX(AW$297:AW$313,$E2234)*$D2234</f>
        <v/>
      </c>
      <c r="AX2234" s="35">
        <f>INDEX(AX$297:AX$313,$E2234)*$D2234</f>
        <v/>
      </c>
      <c r="AY2234" s="35">
        <f>INDEX(AY$297:AY$313,$E2234)*$D2234</f>
        <v/>
      </c>
      <c r="AZ2234" s="35">
        <f>INDEX(AZ$297:AZ$313,$E2234)*$D2234</f>
        <v/>
      </c>
      <c r="BA2234" s="42">
        <f>SHADOWGJ(INDEX(BA$297:BA$313,$E2234),$D2234)</f>
        <v/>
      </c>
    </row>
    <row r="2235" hidden="1" outlineLevel="2">
      <c r="A2235" s="14" t="inlineStr">
        <is>
          <t>shp</t>
        </is>
      </c>
      <c r="B2235" s="14" t="inlineStr">
        <is>
          <t>bio</t>
        </is>
      </c>
      <c r="C2235" s="14" t="inlineStr">
        <is>
          <t>nfm</t>
        </is>
      </c>
      <c r="D2235" s="35">
        <f>INDEX(Inputs!$W$5:$W$132,MATCH($B2235&amp;"|"&amp;$C2235,Inputs!$A$5:$A$132,0))</f>
        <v/>
      </c>
      <c r="E2235" s="35">
        <f>INDEX(Inputs!$M$5:$M$132,MATCH($B2235&amp;"|"&amp;$C2235,Inputs!$A$5:$A$132,0))</f>
        <v/>
      </c>
      <c r="F2235" s="39" t="n"/>
      <c r="G2235" s="39" t="n"/>
      <c r="H2235" s="14">
        <f>INDEX(VarLab,MATCH($A2235,VarKey,0))&amp;INDEX(MemLab,MATCH($C2235&amp;"|"&amp;$B2235,MemKey,0))</f>
        <v/>
      </c>
      <c r="I2235" s="14">
        <f>INDEX(VarUnit,MATCH($A2235,VarKey,0))</f>
        <v/>
      </c>
      <c r="J2235" s="14">
        <f>INDEX(VarSrc,MATCH($A2235,VarKey,0))</f>
        <v/>
      </c>
      <c r="K2235" s="11">
        <f>CodePrefix&amp;$A2235&amp;IF($C2235="","","."&amp;$C2235&amp;"."&amp;$B2235)&amp;INDEX(VarEnd,MATCH($A2235,VarKey,0))&amp;K$5</f>
        <v/>
      </c>
      <c r="L2235" s="40">
        <f>INDEX(L$297:L$313,$E2235)*$D2235</f>
        <v/>
      </c>
      <c r="M2235" s="35">
        <f>INDEX(M$297:M$313,$E2235)*$D2235</f>
        <v/>
      </c>
      <c r="N2235" s="35">
        <f>INDEX(N$297:N$313,$E2235)*$D2235</f>
        <v/>
      </c>
      <c r="O2235" s="35">
        <f>INDEX(O$297:O$313,$E2235)*$D2235</f>
        <v/>
      </c>
      <c r="P2235" s="35">
        <f>INDEX(P$297:P$313,$E2235)*$D2235</f>
        <v/>
      </c>
      <c r="Q2235" s="35">
        <f>INDEX(Q$297:Q$313,$E2235)*$D2235</f>
        <v/>
      </c>
      <c r="R2235" s="35">
        <f>INDEX(R$297:R$313,$E2235)*$D2235</f>
        <v/>
      </c>
      <c r="S2235" s="35">
        <f>INDEX(S$297:S$313,$E2235)*$D2235</f>
        <v/>
      </c>
      <c r="T2235" s="35">
        <f>INDEX(T$297:T$313,$E2235)*$D2235</f>
        <v/>
      </c>
      <c r="U2235" s="35">
        <f>INDEX(U$297:U$313,$E2235)*$D2235</f>
        <v/>
      </c>
      <c r="V2235" s="35">
        <f>INDEX(V$297:V$313,$E2235)*$D2235</f>
        <v/>
      </c>
      <c r="W2235" s="35">
        <f>INDEX(W$297:W$313,$E2235)*$D2235</f>
        <v/>
      </c>
      <c r="X2235" s="35">
        <f>INDEX(X$297:X$313,$E2235)*$D2235</f>
        <v/>
      </c>
      <c r="Y2235" s="35">
        <f>INDEX(Y$297:Y$313,$E2235)*$D2235</f>
        <v/>
      </c>
      <c r="Z2235" s="35">
        <f>INDEX(Z$297:Z$313,$E2235)*$D2235</f>
        <v/>
      </c>
      <c r="AA2235" s="35">
        <f>INDEX(AA$297:AA$313,$E2235)*$D2235</f>
        <v/>
      </c>
      <c r="AB2235" s="35">
        <f>INDEX(AB$297:AB$313,$E2235)*$D2235</f>
        <v/>
      </c>
      <c r="AC2235" s="35">
        <f>INDEX(AC$297:AC$313,$E2235)*$D2235</f>
        <v/>
      </c>
      <c r="AD2235" s="35">
        <f>INDEX(AD$297:AD$313,$E2235)*$D2235</f>
        <v/>
      </c>
      <c r="AE2235" s="42">
        <f>SHADOWGJ(INDEX(AE$297:AE$313,$E2235),$D2235)</f>
        <v/>
      </c>
      <c r="AG2235" s="11">
        <f>CodePrefix&amp;$A2235&amp;IF($C2235="","","."&amp;$C2235&amp;"."&amp;$B2235)&amp;INDEX(VarEnd,MATCH($A2235,VarKey,0))&amp;AG$5</f>
        <v/>
      </c>
      <c r="AH2235" s="40">
        <f>INDEX(AH$297:AH$313,$E2235)*$D2235</f>
        <v/>
      </c>
      <c r="AI2235" s="35">
        <f>INDEX(AI$297:AI$313,$E2235)*$D2235</f>
        <v/>
      </c>
      <c r="AJ2235" s="35">
        <f>INDEX(AJ$297:AJ$313,$E2235)*$D2235</f>
        <v/>
      </c>
      <c r="AK2235" s="35">
        <f>INDEX(AK$297:AK$313,$E2235)*$D2235</f>
        <v/>
      </c>
      <c r="AL2235" s="35">
        <f>INDEX(AL$297:AL$313,$E2235)*$D2235</f>
        <v/>
      </c>
      <c r="AM2235" s="35">
        <f>INDEX(AM$297:AM$313,$E2235)*$D2235</f>
        <v/>
      </c>
      <c r="AN2235" s="35">
        <f>INDEX(AN$297:AN$313,$E2235)*$D2235</f>
        <v/>
      </c>
      <c r="AO2235" s="35">
        <f>INDEX(AO$297:AO$313,$E2235)*$D2235</f>
        <v/>
      </c>
      <c r="AP2235" s="35">
        <f>INDEX(AP$297:AP$313,$E2235)*$D2235</f>
        <v/>
      </c>
      <c r="AQ2235" s="35">
        <f>INDEX(AQ$297:AQ$313,$E2235)*$D2235</f>
        <v/>
      </c>
      <c r="AR2235" s="35">
        <f>INDEX(AR$297:AR$313,$E2235)*$D2235</f>
        <v/>
      </c>
      <c r="AS2235" s="35">
        <f>INDEX(AS$297:AS$313,$E2235)*$D2235</f>
        <v/>
      </c>
      <c r="AT2235" s="35">
        <f>INDEX(AT$297:AT$313,$E2235)*$D2235</f>
        <v/>
      </c>
      <c r="AU2235" s="35">
        <f>INDEX(AU$297:AU$313,$E2235)*$D2235</f>
        <v/>
      </c>
      <c r="AV2235" s="35">
        <f>INDEX(AV$297:AV$313,$E2235)*$D2235</f>
        <v/>
      </c>
      <c r="AW2235" s="35">
        <f>INDEX(AW$297:AW$313,$E2235)*$D2235</f>
        <v/>
      </c>
      <c r="AX2235" s="35">
        <f>INDEX(AX$297:AX$313,$E2235)*$D2235</f>
        <v/>
      </c>
      <c r="AY2235" s="35">
        <f>INDEX(AY$297:AY$313,$E2235)*$D2235</f>
        <v/>
      </c>
      <c r="AZ2235" s="35">
        <f>INDEX(AZ$297:AZ$313,$E2235)*$D2235</f>
        <v/>
      </c>
      <c r="BA2235" s="42">
        <f>SHADOWGJ(INDEX(BA$297:BA$313,$E2235),$D2235)</f>
        <v/>
      </c>
    </row>
    <row r="2236" hidden="1" outlineLevel="2"/>
    <row r="2237" hidden="1" outlineLevel="2">
      <c r="A2237" s="14" t="inlineStr">
        <is>
          <t>ener</t>
        </is>
      </c>
      <c r="B2237" s="14" t="inlineStr">
        <is>
          <t>coa</t>
        </is>
      </c>
      <c r="C2237" s="14" t="inlineStr">
        <is>
          <t>nfm</t>
        </is>
      </c>
      <c r="D2237" s="35">
        <f>INDEX(Inputs!$O$5:$O$132,MATCH($B2237&amp;"|"&amp;$C2237,Inputs!$A$5:$A$132,0))</f>
        <v/>
      </c>
      <c r="E2237" s="35">
        <f>INDEX(Inputs!$P$5:$P$132,MATCH($B2237&amp;"|"&amp;$C2237,Inputs!$A$5:$A$132,0))</f>
        <v/>
      </c>
      <c r="F2237" s="35">
        <f>INDEX(Inputs!$T$5:$T$132,MATCH($B2237&amp;"|"&amp;$C2237,Inputs!$A$5:$A$132,0))</f>
        <v/>
      </c>
      <c r="G2237" s="35">
        <f>INDEX(Inputs!$S$5:$S$132,MATCH($B2237&amp;"|"&amp;$C2237,Inputs!$A$5:$A$132,0))</f>
        <v/>
      </c>
      <c r="H2237" s="14">
        <f>INDEX(VarLab,MATCH($A2237,VarKey,0))&amp;INDEX(MemLab,MATCH($C2237&amp;"|"&amp;$B2237,MemKey,0))</f>
        <v/>
      </c>
      <c r="I2237" s="14">
        <f>INDEX(VarUnit,MATCH($A2237,VarKey,0))</f>
        <v/>
      </c>
      <c r="J2237" s="14">
        <f>INDEX(VarSrc,MATCH($A2237,VarKey,0))</f>
        <v/>
      </c>
      <c r="K2237" s="11">
        <f>CodePrefix&amp;$A2237&amp;IF($C2237="","","."&amp;$C2237&amp;"."&amp;$B2237)&amp;INDEX(VarEnd,MATCH($A2237,VarKey,0))&amp;K$5</f>
        <v/>
      </c>
      <c r="L2237" s="43">
        <f>INDEX(Inputs!$X$5:$X$132,MATCH($B2237&amp;"|"&amp;$C2237,Inputs!$A$5:$A$132,0))</f>
        <v/>
      </c>
      <c r="M2237" s="44">
        <f>L2237*$G2237*(1+M$7)^$D2237*(M2219/L2219)^$E2237*((M2219+M2228)/(L2219+L2228))^$F2237</f>
        <v/>
      </c>
      <c r="N2237" s="44">
        <f>M2237*$G2237*(1+N$7)^$D2237*(N2219/M2219)^$E2237*((N2219+N2228)/(M2219+M2228))^$F2237</f>
        <v/>
      </c>
      <c r="O2237" s="44">
        <f>N2237*$G2237*(1+O$7)^$D2237*(O2219/N2219)^$E2237*((O2219+O2228)/(N2219+N2228))^$F2237</f>
        <v/>
      </c>
      <c r="P2237" s="44">
        <f>O2237*$G2237*(1+P$7)^$D2237*(P2219/O2219)^$E2237*((P2219+P2228)/(O2219+O2228))^$F2237</f>
        <v/>
      </c>
      <c r="Q2237" s="44">
        <f>P2237*$G2237*(1+Q$7)^$D2237*(Q2219/P2219)^$E2237*((Q2219+Q2228)/(P2219+P2228))^$F2237</f>
        <v/>
      </c>
      <c r="R2237" s="44">
        <f>Q2237*$G2237*(1+R$7)^$D2237*(R2219/Q2219)^$E2237*((R2219+R2228)/(Q2219+Q2228))^$F2237</f>
        <v/>
      </c>
      <c r="S2237" s="44">
        <f>R2237*$G2237*(1+S$7)^$D2237*(S2219/R2219)^$E2237*((S2219+S2228)/(R2219+R2228))^$F2237</f>
        <v/>
      </c>
      <c r="T2237" s="44">
        <f>S2237*$G2237*(1+T$7)^$D2237*(T2219/S2219)^$E2237*((T2219+T2228)/(S2219+S2228))^$F2237</f>
        <v/>
      </c>
      <c r="U2237" s="44">
        <f>T2237*$G2237*(1+U$7)^$D2237*(U2219/T2219)^$E2237*((U2219+U2228)/(T2219+T2228))^$F2237</f>
        <v/>
      </c>
      <c r="V2237" s="44">
        <f>U2237*$G2237*(1+V$7)^$D2237*(V2219/U2219)^$E2237*((V2219+V2228)/(U2219+U2228))^$F2237</f>
        <v/>
      </c>
      <c r="W2237" s="44">
        <f>V2237*$G2237*(1+W$7)^$D2237*(W2219/V2219)^$E2237*((W2219+W2228)/(V2219+V2228))^$F2237</f>
        <v/>
      </c>
      <c r="X2237" s="44">
        <f>W2237*$G2237*(1+X$7)^$D2237*(X2219/W2219)^$E2237*((X2219+X2228)/(W2219+W2228))^$F2237</f>
        <v/>
      </c>
      <c r="Y2237" s="44">
        <f>X2237*$G2237*(1+Y$7)^$D2237*(Y2219/X2219)^$E2237*((Y2219+Y2228)/(X2219+X2228))^$F2237</f>
        <v/>
      </c>
      <c r="Z2237" s="44">
        <f>Y2237*$G2237*(1+Z$7)^$D2237*(Z2219/Y2219)^$E2237*((Z2219+Z2228)/(Y2219+Y2228))^$F2237</f>
        <v/>
      </c>
      <c r="AA2237" s="44">
        <f>Z2237*$G2237*(1+AA$7)^$D2237*(AA2219/Z2219)^$E2237*((AA2219+AA2228)/(Z2219+Z2228))^$F2237</f>
        <v/>
      </c>
      <c r="AB2237" s="44">
        <f>AA2237*$G2237*(1+AB$7)^$D2237*(AB2219/AA2219)^$E2237*((AB2219+AB2228)/(AA2219+AA2228))^$F2237</f>
        <v/>
      </c>
      <c r="AC2237" s="44">
        <f>AB2237*$G2237*(1+AC$7)^$D2237*(AC2219/AB2219)^$E2237*((AC2219+AC2228)/(AB2219+AB2228))^$F2237</f>
        <v/>
      </c>
      <c r="AD2237" s="44">
        <f>AC2237*$G2237*(1+AD$7)^$D2237*(AD2219/AC2219)^$E2237*((AD2219+AD2228)/(AC2219+AC2228))^$F2237</f>
        <v/>
      </c>
      <c r="AE2237" s="57">
        <f>FUELUSE(AD2237,AE2219,AD2219,AE2228,AD2228,AE$7,$D2237,$E2237,$F2237,$G2237)</f>
        <v/>
      </c>
      <c r="AG2237" s="11">
        <f>CodePrefix&amp;$A2237&amp;IF($C2237="","","."&amp;$C2237&amp;"."&amp;$B2237)&amp;INDEX(VarEnd,MATCH($A2237,VarKey,0))&amp;AG$5</f>
        <v/>
      </c>
      <c r="AH2237" s="43">
        <f>INDEX(Inputs!$X$5:$X$132,MATCH($B2237&amp;"|"&amp;$C2237,Inputs!$A$5:$A$132,0))</f>
        <v/>
      </c>
      <c r="AI2237" s="44">
        <f>AH2237*$G2237*(1+AI$7)^$D2237*(AI2219/AH2219)^$E2237*((AI2219+AI2228)/(AH2219+AH2228))^$F2237</f>
        <v/>
      </c>
      <c r="AJ2237" s="44">
        <f>AI2237*$G2237*(1+AJ$7)^$D2237*(AJ2219/AI2219)^$E2237*((AJ2219+AJ2228)/(AI2219+AI2228))^$F2237</f>
        <v/>
      </c>
      <c r="AK2237" s="44">
        <f>AJ2237*$G2237*(1+AK$7)^$D2237*(AK2219/AJ2219)^$E2237*((AK2219+AK2228)/(AJ2219+AJ2228))^$F2237</f>
        <v/>
      </c>
      <c r="AL2237" s="44">
        <f>AK2237*$G2237*(1+AL$7)^$D2237*(AL2219/AK2219)^$E2237*((AL2219+AL2228)/(AK2219+AK2228))^$F2237</f>
        <v/>
      </c>
      <c r="AM2237" s="44">
        <f>AL2237*$G2237*(1+AM$7)^$D2237*(AM2219/AL2219)^$E2237*((AM2219+AM2228)/(AL2219+AL2228))^$F2237</f>
        <v/>
      </c>
      <c r="AN2237" s="44">
        <f>AM2237*$G2237*(1+AN$7)^$D2237*(AN2219/AM2219)^$E2237*((AN2219+AN2228)/(AM2219+AM2228))^$F2237</f>
        <v/>
      </c>
      <c r="AO2237" s="44">
        <f>AN2237*$G2237*(1+AO$7)^$D2237*(AO2219/AN2219)^$E2237*((AO2219+AO2228)/(AN2219+AN2228))^$F2237</f>
        <v/>
      </c>
      <c r="AP2237" s="44">
        <f>AO2237*$G2237*(1+AP$7)^$D2237*(AP2219/AO2219)^$E2237*((AP2219+AP2228)/(AO2219+AO2228))^$F2237</f>
        <v/>
      </c>
      <c r="AQ2237" s="44">
        <f>AP2237*$G2237*(1+AQ$7)^$D2237*(AQ2219/AP2219)^$E2237*((AQ2219+AQ2228)/(AP2219+AP2228))^$F2237</f>
        <v/>
      </c>
      <c r="AR2237" s="44">
        <f>AQ2237*$G2237*(1+AR$7)^$D2237*(AR2219/AQ2219)^$E2237*((AR2219+AR2228)/(AQ2219+AQ2228))^$F2237</f>
        <v/>
      </c>
      <c r="AS2237" s="44">
        <f>AR2237*$G2237*(1+AS$7)^$D2237*(AS2219/AR2219)^$E2237*((AS2219+AS2228)/(AR2219+AR2228))^$F2237</f>
        <v/>
      </c>
      <c r="AT2237" s="44">
        <f>AS2237*$G2237*(1+AT$7)^$D2237*(AT2219/AS2219)^$E2237*((AT2219+AT2228)/(AS2219+AS2228))^$F2237</f>
        <v/>
      </c>
      <c r="AU2237" s="44">
        <f>AT2237*$G2237*(1+AU$7)^$D2237*(AU2219/AT2219)^$E2237*((AU2219+AU2228)/(AT2219+AT2228))^$F2237</f>
        <v/>
      </c>
      <c r="AV2237" s="44">
        <f>AU2237*$G2237*(1+AV$7)^$D2237*(AV2219/AU2219)^$E2237*((AV2219+AV2228)/(AU2219+AU2228))^$F2237</f>
        <v/>
      </c>
      <c r="AW2237" s="44">
        <f>AV2237*$G2237*(1+AW$7)^$D2237*(AW2219/AV2219)^$E2237*((AW2219+AW2228)/(AV2219+AV2228))^$F2237</f>
        <v/>
      </c>
      <c r="AX2237" s="44">
        <f>AW2237*$G2237*(1+AX$7)^$D2237*(AX2219/AW2219)^$E2237*((AX2219+AX2228)/(AW2219+AW2228))^$F2237</f>
        <v/>
      </c>
      <c r="AY2237" s="44">
        <f>AX2237*$G2237*(1+AY$7)^$D2237*(AY2219/AX2219)^$E2237*((AY2219+AY2228)/(AX2219+AX2228))^$F2237</f>
        <v/>
      </c>
      <c r="AZ2237" s="44">
        <f>AY2237*$G2237*(1+AZ$7)^$D2237*(AZ2219/AY2219)^$E2237*((AZ2219+AZ2228)/(AY2219+AY2228))^$F2237</f>
        <v/>
      </c>
      <c r="BA2237" s="57">
        <f>FUELUSE(AZ2237,BA2219,AZ2219,BA2228,AZ2228,BA$7,$D2237,$E2237,$F2237,$G2237)</f>
        <v/>
      </c>
    </row>
    <row r="2238" hidden="1" outlineLevel="2">
      <c r="A2238" s="14" t="inlineStr">
        <is>
          <t>ener</t>
        </is>
      </c>
      <c r="B2238" s="14" t="inlineStr">
        <is>
          <t>nga</t>
        </is>
      </c>
      <c r="C2238" s="14" t="inlineStr">
        <is>
          <t>nfm</t>
        </is>
      </c>
      <c r="D2238" s="35">
        <f>INDEX(Inputs!$O$5:$O$132,MATCH($B2238&amp;"|"&amp;$C2238,Inputs!$A$5:$A$132,0))</f>
        <v/>
      </c>
      <c r="E2238" s="35">
        <f>INDEX(Inputs!$P$5:$P$132,MATCH($B2238&amp;"|"&amp;$C2238,Inputs!$A$5:$A$132,0))</f>
        <v/>
      </c>
      <c r="F2238" s="35">
        <f>INDEX(Inputs!$T$5:$T$132,MATCH($B2238&amp;"|"&amp;$C2238,Inputs!$A$5:$A$132,0))</f>
        <v/>
      </c>
      <c r="G2238" s="35">
        <f>INDEX(Inputs!$S$5:$S$132,MATCH($B2238&amp;"|"&amp;$C2238,Inputs!$A$5:$A$132,0))</f>
        <v/>
      </c>
      <c r="H2238" s="14">
        <f>INDEX(VarLab,MATCH($A2238,VarKey,0))&amp;INDEX(MemLab,MATCH($C2238&amp;"|"&amp;$B2238,MemKey,0))</f>
        <v/>
      </c>
      <c r="I2238" s="14">
        <f>INDEX(VarUnit,MATCH($A2238,VarKey,0))</f>
        <v/>
      </c>
      <c r="J2238" s="14">
        <f>INDEX(VarSrc,MATCH($A2238,VarKey,0))</f>
        <v/>
      </c>
      <c r="K2238" s="11">
        <f>CodePrefix&amp;$A2238&amp;IF($C2238="","","."&amp;$C2238&amp;"."&amp;$B2238)&amp;INDEX(VarEnd,MATCH($A2238,VarKey,0))&amp;K$5</f>
        <v/>
      </c>
      <c r="L2238" s="43">
        <f>INDEX(Inputs!$X$5:$X$132,MATCH($B2238&amp;"|"&amp;$C2238,Inputs!$A$5:$A$132,0))</f>
        <v/>
      </c>
      <c r="M2238" s="44">
        <f>L2238*$G2238*(1+M$7)^$D2238*(M2220/L2220)^$E2238*((M2220+M2229)/(L2220+L2229))^$F2238</f>
        <v/>
      </c>
      <c r="N2238" s="44">
        <f>M2238*$G2238*(1+N$7)^$D2238*(N2220/M2220)^$E2238*((N2220+N2229)/(M2220+M2229))^$F2238</f>
        <v/>
      </c>
      <c r="O2238" s="44">
        <f>N2238*$G2238*(1+O$7)^$D2238*(O2220/N2220)^$E2238*((O2220+O2229)/(N2220+N2229))^$F2238</f>
        <v/>
      </c>
      <c r="P2238" s="44">
        <f>O2238*$G2238*(1+P$7)^$D2238*(P2220/O2220)^$E2238*((P2220+P2229)/(O2220+O2229))^$F2238</f>
        <v/>
      </c>
      <c r="Q2238" s="44">
        <f>P2238*$G2238*(1+Q$7)^$D2238*(Q2220/P2220)^$E2238*((Q2220+Q2229)/(P2220+P2229))^$F2238</f>
        <v/>
      </c>
      <c r="R2238" s="44">
        <f>Q2238*$G2238*(1+R$7)^$D2238*(R2220/Q2220)^$E2238*((R2220+R2229)/(Q2220+Q2229))^$F2238</f>
        <v/>
      </c>
      <c r="S2238" s="44">
        <f>R2238*$G2238*(1+S$7)^$D2238*(S2220/R2220)^$E2238*((S2220+S2229)/(R2220+R2229))^$F2238</f>
        <v/>
      </c>
      <c r="T2238" s="44">
        <f>S2238*$G2238*(1+T$7)^$D2238*(T2220/S2220)^$E2238*((T2220+T2229)/(S2220+S2229))^$F2238</f>
        <v/>
      </c>
      <c r="U2238" s="44">
        <f>T2238*$G2238*(1+U$7)^$D2238*(U2220/T2220)^$E2238*((U2220+U2229)/(T2220+T2229))^$F2238</f>
        <v/>
      </c>
      <c r="V2238" s="44">
        <f>U2238*$G2238*(1+V$7)^$D2238*(V2220/U2220)^$E2238*((V2220+V2229)/(U2220+U2229))^$F2238</f>
        <v/>
      </c>
      <c r="W2238" s="44">
        <f>V2238*$G2238*(1+W$7)^$D2238*(W2220/V2220)^$E2238*((W2220+W2229)/(V2220+V2229))^$F2238</f>
        <v/>
      </c>
      <c r="X2238" s="44">
        <f>W2238*$G2238*(1+X$7)^$D2238*(X2220/W2220)^$E2238*((X2220+X2229)/(W2220+W2229))^$F2238</f>
        <v/>
      </c>
      <c r="Y2238" s="44">
        <f>X2238*$G2238*(1+Y$7)^$D2238*(Y2220/X2220)^$E2238*((Y2220+Y2229)/(X2220+X2229))^$F2238</f>
        <v/>
      </c>
      <c r="Z2238" s="44">
        <f>Y2238*$G2238*(1+Z$7)^$D2238*(Z2220/Y2220)^$E2238*((Z2220+Z2229)/(Y2220+Y2229))^$F2238</f>
        <v/>
      </c>
      <c r="AA2238" s="44">
        <f>Z2238*$G2238*(1+AA$7)^$D2238*(AA2220/Z2220)^$E2238*((AA2220+AA2229)/(Z2220+Z2229))^$F2238</f>
        <v/>
      </c>
      <c r="AB2238" s="44">
        <f>AA2238*$G2238*(1+AB$7)^$D2238*(AB2220/AA2220)^$E2238*((AB2220+AB2229)/(AA2220+AA2229))^$F2238</f>
        <v/>
      </c>
      <c r="AC2238" s="44">
        <f>AB2238*$G2238*(1+AC$7)^$D2238*(AC2220/AB2220)^$E2238*((AC2220+AC2229)/(AB2220+AB2229))^$F2238</f>
        <v/>
      </c>
      <c r="AD2238" s="44">
        <f>AC2238*$G2238*(1+AD$7)^$D2238*(AD2220/AC2220)^$E2238*((AD2220+AD2229)/(AC2220+AC2229))^$F2238</f>
        <v/>
      </c>
      <c r="AE2238" s="57">
        <f>FUELUSE(AD2238,AE2220,AD2220,AE2229,AD2229,AE$7,$D2238,$E2238,$F2238,$G2238)</f>
        <v/>
      </c>
      <c r="AG2238" s="11">
        <f>CodePrefix&amp;$A2238&amp;IF($C2238="","","."&amp;$C2238&amp;"."&amp;$B2238)&amp;INDEX(VarEnd,MATCH($A2238,VarKey,0))&amp;AG$5</f>
        <v/>
      </c>
      <c r="AH2238" s="43">
        <f>INDEX(Inputs!$X$5:$X$132,MATCH($B2238&amp;"|"&amp;$C2238,Inputs!$A$5:$A$132,0))</f>
        <v/>
      </c>
      <c r="AI2238" s="44">
        <f>AH2238*$G2238*(1+AI$7)^$D2238*(AI2220/AH2220)^$E2238*((AI2220+AI2229)/(AH2220+AH2229))^$F2238</f>
        <v/>
      </c>
      <c r="AJ2238" s="44">
        <f>AI2238*$G2238*(1+AJ$7)^$D2238*(AJ2220/AI2220)^$E2238*((AJ2220+AJ2229)/(AI2220+AI2229))^$F2238</f>
        <v/>
      </c>
      <c r="AK2238" s="44">
        <f>AJ2238*$G2238*(1+AK$7)^$D2238*(AK2220/AJ2220)^$E2238*((AK2220+AK2229)/(AJ2220+AJ2229))^$F2238</f>
        <v/>
      </c>
      <c r="AL2238" s="44">
        <f>AK2238*$G2238*(1+AL$7)^$D2238*(AL2220/AK2220)^$E2238*((AL2220+AL2229)/(AK2220+AK2229))^$F2238</f>
        <v/>
      </c>
      <c r="AM2238" s="44">
        <f>AL2238*$G2238*(1+AM$7)^$D2238*(AM2220/AL2220)^$E2238*((AM2220+AM2229)/(AL2220+AL2229))^$F2238</f>
        <v/>
      </c>
      <c r="AN2238" s="44">
        <f>AM2238*$G2238*(1+AN$7)^$D2238*(AN2220/AM2220)^$E2238*((AN2220+AN2229)/(AM2220+AM2229))^$F2238</f>
        <v/>
      </c>
      <c r="AO2238" s="44">
        <f>AN2238*$G2238*(1+AO$7)^$D2238*(AO2220/AN2220)^$E2238*((AO2220+AO2229)/(AN2220+AN2229))^$F2238</f>
        <v/>
      </c>
      <c r="AP2238" s="44">
        <f>AO2238*$G2238*(1+AP$7)^$D2238*(AP2220/AO2220)^$E2238*((AP2220+AP2229)/(AO2220+AO2229))^$F2238</f>
        <v/>
      </c>
      <c r="AQ2238" s="44">
        <f>AP2238*$G2238*(1+AQ$7)^$D2238*(AQ2220/AP2220)^$E2238*((AQ2220+AQ2229)/(AP2220+AP2229))^$F2238</f>
        <v/>
      </c>
      <c r="AR2238" s="44">
        <f>AQ2238*$G2238*(1+AR$7)^$D2238*(AR2220/AQ2220)^$E2238*((AR2220+AR2229)/(AQ2220+AQ2229))^$F2238</f>
        <v/>
      </c>
      <c r="AS2238" s="44">
        <f>AR2238*$G2238*(1+AS$7)^$D2238*(AS2220/AR2220)^$E2238*((AS2220+AS2229)/(AR2220+AR2229))^$F2238</f>
        <v/>
      </c>
      <c r="AT2238" s="44">
        <f>AS2238*$G2238*(1+AT$7)^$D2238*(AT2220/AS2220)^$E2238*((AT2220+AT2229)/(AS2220+AS2229))^$F2238</f>
        <v/>
      </c>
      <c r="AU2238" s="44">
        <f>AT2238*$G2238*(1+AU$7)^$D2238*(AU2220/AT2220)^$E2238*((AU2220+AU2229)/(AT2220+AT2229))^$F2238</f>
        <v/>
      </c>
      <c r="AV2238" s="44">
        <f>AU2238*$G2238*(1+AV$7)^$D2238*(AV2220/AU2220)^$E2238*((AV2220+AV2229)/(AU2220+AU2229))^$F2238</f>
        <v/>
      </c>
      <c r="AW2238" s="44">
        <f>AV2238*$G2238*(1+AW$7)^$D2238*(AW2220/AV2220)^$E2238*((AW2220+AW2229)/(AV2220+AV2229))^$F2238</f>
        <v/>
      </c>
      <c r="AX2238" s="44">
        <f>AW2238*$G2238*(1+AX$7)^$D2238*(AX2220/AW2220)^$E2238*((AX2220+AX2229)/(AW2220+AW2229))^$F2238</f>
        <v/>
      </c>
      <c r="AY2238" s="44">
        <f>AX2238*$G2238*(1+AY$7)^$D2238*(AY2220/AX2220)^$E2238*((AY2220+AY2229)/(AX2220+AX2229))^$F2238</f>
        <v/>
      </c>
      <c r="AZ2238" s="44">
        <f>AY2238*$G2238*(1+AZ$7)^$D2238*(AZ2220/AY2220)^$E2238*((AZ2220+AZ2229)/(AY2220+AY2229))^$F2238</f>
        <v/>
      </c>
      <c r="BA2238" s="57">
        <f>FUELUSE(AZ2238,BA2220,AZ2220,BA2229,AZ2229,BA$7,$D2238,$E2238,$F2238,$G2238)</f>
        <v/>
      </c>
    </row>
    <row r="2239" hidden="1" outlineLevel="2">
      <c r="A2239" s="14" t="inlineStr">
        <is>
          <t>ener</t>
        </is>
      </c>
      <c r="B2239" s="14" t="inlineStr">
        <is>
          <t>gso</t>
        </is>
      </c>
      <c r="C2239" s="14" t="inlineStr">
        <is>
          <t>nfm</t>
        </is>
      </c>
      <c r="D2239" s="35">
        <f>INDEX(Inputs!$O$5:$O$132,MATCH($B2239&amp;"|"&amp;$C2239,Inputs!$A$5:$A$132,0))</f>
        <v/>
      </c>
      <c r="E2239" s="35">
        <f>INDEX(Inputs!$P$5:$P$132,MATCH($B2239&amp;"|"&amp;$C2239,Inputs!$A$5:$A$132,0))</f>
        <v/>
      </c>
      <c r="F2239" s="35">
        <f>INDEX(Inputs!$T$5:$T$132,MATCH($B2239&amp;"|"&amp;$C2239,Inputs!$A$5:$A$132,0))</f>
        <v/>
      </c>
      <c r="G2239" s="35">
        <f>INDEX(Inputs!$S$5:$S$132,MATCH($B2239&amp;"|"&amp;$C2239,Inputs!$A$5:$A$132,0))</f>
        <v/>
      </c>
      <c r="H2239" s="14">
        <f>INDEX(VarLab,MATCH($A2239,VarKey,0))&amp;INDEX(MemLab,MATCH($C2239&amp;"|"&amp;$B2239,MemKey,0))</f>
        <v/>
      </c>
      <c r="I2239" s="14">
        <f>INDEX(VarUnit,MATCH($A2239,VarKey,0))</f>
        <v/>
      </c>
      <c r="J2239" s="14">
        <f>INDEX(VarSrc,MATCH($A2239,VarKey,0))</f>
        <v/>
      </c>
      <c r="K2239" s="11">
        <f>CodePrefix&amp;$A2239&amp;IF($C2239="","","."&amp;$C2239&amp;"."&amp;$B2239)&amp;INDEX(VarEnd,MATCH($A2239,VarKey,0))&amp;K$5</f>
        <v/>
      </c>
      <c r="L2239" s="43">
        <f>INDEX(Inputs!$X$5:$X$132,MATCH($B2239&amp;"|"&amp;$C2239,Inputs!$A$5:$A$132,0))</f>
        <v/>
      </c>
      <c r="M2239" s="44">
        <f>L2239*$G2239*(1+M$7)^$D2239*(M2221/L2221)^$E2239*((M2221+M2230)/(L2221+L2230))^$F2239</f>
        <v/>
      </c>
      <c r="N2239" s="44">
        <f>M2239*$G2239*(1+N$7)^$D2239*(N2221/M2221)^$E2239*((N2221+N2230)/(M2221+M2230))^$F2239</f>
        <v/>
      </c>
      <c r="O2239" s="44">
        <f>N2239*$G2239*(1+O$7)^$D2239*(O2221/N2221)^$E2239*((O2221+O2230)/(N2221+N2230))^$F2239</f>
        <v/>
      </c>
      <c r="P2239" s="44">
        <f>O2239*$G2239*(1+P$7)^$D2239*(P2221/O2221)^$E2239*((P2221+P2230)/(O2221+O2230))^$F2239</f>
        <v/>
      </c>
      <c r="Q2239" s="44">
        <f>P2239*$G2239*(1+Q$7)^$D2239*(Q2221/P2221)^$E2239*((Q2221+Q2230)/(P2221+P2230))^$F2239</f>
        <v/>
      </c>
      <c r="R2239" s="44">
        <f>Q2239*$G2239*(1+R$7)^$D2239*(R2221/Q2221)^$E2239*((R2221+R2230)/(Q2221+Q2230))^$F2239</f>
        <v/>
      </c>
      <c r="S2239" s="44">
        <f>R2239*$G2239*(1+S$7)^$D2239*(S2221/R2221)^$E2239*((S2221+S2230)/(R2221+R2230))^$F2239</f>
        <v/>
      </c>
      <c r="T2239" s="44">
        <f>S2239*$G2239*(1+T$7)^$D2239*(T2221/S2221)^$E2239*((T2221+T2230)/(S2221+S2230))^$F2239</f>
        <v/>
      </c>
      <c r="U2239" s="44">
        <f>T2239*$G2239*(1+U$7)^$D2239*(U2221/T2221)^$E2239*((U2221+U2230)/(T2221+T2230))^$F2239</f>
        <v/>
      </c>
      <c r="V2239" s="44">
        <f>U2239*$G2239*(1+V$7)^$D2239*(V2221/U2221)^$E2239*((V2221+V2230)/(U2221+U2230))^$F2239</f>
        <v/>
      </c>
      <c r="W2239" s="44">
        <f>V2239*$G2239*(1+W$7)^$D2239*(W2221/V2221)^$E2239*((W2221+W2230)/(V2221+V2230))^$F2239</f>
        <v/>
      </c>
      <c r="X2239" s="44">
        <f>W2239*$G2239*(1+X$7)^$D2239*(X2221/W2221)^$E2239*((X2221+X2230)/(W2221+W2230))^$F2239</f>
        <v/>
      </c>
      <c r="Y2239" s="44">
        <f>X2239*$G2239*(1+Y$7)^$D2239*(Y2221/X2221)^$E2239*((Y2221+Y2230)/(X2221+X2230))^$F2239</f>
        <v/>
      </c>
      <c r="Z2239" s="44">
        <f>Y2239*$G2239*(1+Z$7)^$D2239*(Z2221/Y2221)^$E2239*((Z2221+Z2230)/(Y2221+Y2230))^$F2239</f>
        <v/>
      </c>
      <c r="AA2239" s="44">
        <f>Z2239*$G2239*(1+AA$7)^$D2239*(AA2221/Z2221)^$E2239*((AA2221+AA2230)/(Z2221+Z2230))^$F2239</f>
        <v/>
      </c>
      <c r="AB2239" s="44">
        <f>AA2239*$G2239*(1+AB$7)^$D2239*(AB2221/AA2221)^$E2239*((AB2221+AB2230)/(AA2221+AA2230))^$F2239</f>
        <v/>
      </c>
      <c r="AC2239" s="44">
        <f>AB2239*$G2239*(1+AC$7)^$D2239*(AC2221/AB2221)^$E2239*((AC2221+AC2230)/(AB2221+AB2230))^$F2239</f>
        <v/>
      </c>
      <c r="AD2239" s="44">
        <f>AC2239*$G2239*(1+AD$7)^$D2239*(AD2221/AC2221)^$E2239*((AD2221+AD2230)/(AC2221+AC2230))^$F2239</f>
        <v/>
      </c>
      <c r="AE2239" s="57">
        <f>FUELUSE(AD2239,AE2221,AD2221,AE2230,AD2230,AE$7,$D2239,$E2239,$F2239,$G2239)</f>
        <v/>
      </c>
      <c r="AG2239" s="11">
        <f>CodePrefix&amp;$A2239&amp;IF($C2239="","","."&amp;$C2239&amp;"."&amp;$B2239)&amp;INDEX(VarEnd,MATCH($A2239,VarKey,0))&amp;AG$5</f>
        <v/>
      </c>
      <c r="AH2239" s="43">
        <f>INDEX(Inputs!$X$5:$X$132,MATCH($B2239&amp;"|"&amp;$C2239,Inputs!$A$5:$A$132,0))</f>
        <v/>
      </c>
      <c r="AI2239" s="44">
        <f>AH2239*$G2239*(1+AI$7)^$D2239*(AI2221/AH2221)^$E2239*((AI2221+AI2230)/(AH2221+AH2230))^$F2239</f>
        <v/>
      </c>
      <c r="AJ2239" s="44">
        <f>AI2239*$G2239*(1+AJ$7)^$D2239*(AJ2221/AI2221)^$E2239*((AJ2221+AJ2230)/(AI2221+AI2230))^$F2239</f>
        <v/>
      </c>
      <c r="AK2239" s="44">
        <f>AJ2239*$G2239*(1+AK$7)^$D2239*(AK2221/AJ2221)^$E2239*((AK2221+AK2230)/(AJ2221+AJ2230))^$F2239</f>
        <v/>
      </c>
      <c r="AL2239" s="44">
        <f>AK2239*$G2239*(1+AL$7)^$D2239*(AL2221/AK2221)^$E2239*((AL2221+AL2230)/(AK2221+AK2230))^$F2239</f>
        <v/>
      </c>
      <c r="AM2239" s="44">
        <f>AL2239*$G2239*(1+AM$7)^$D2239*(AM2221/AL2221)^$E2239*((AM2221+AM2230)/(AL2221+AL2230))^$F2239</f>
        <v/>
      </c>
      <c r="AN2239" s="44">
        <f>AM2239*$G2239*(1+AN$7)^$D2239*(AN2221/AM2221)^$E2239*((AN2221+AN2230)/(AM2221+AM2230))^$F2239</f>
        <v/>
      </c>
      <c r="AO2239" s="44">
        <f>AN2239*$G2239*(1+AO$7)^$D2239*(AO2221/AN2221)^$E2239*((AO2221+AO2230)/(AN2221+AN2230))^$F2239</f>
        <v/>
      </c>
      <c r="AP2239" s="44">
        <f>AO2239*$G2239*(1+AP$7)^$D2239*(AP2221/AO2221)^$E2239*((AP2221+AP2230)/(AO2221+AO2230))^$F2239</f>
        <v/>
      </c>
      <c r="AQ2239" s="44">
        <f>AP2239*$G2239*(1+AQ$7)^$D2239*(AQ2221/AP2221)^$E2239*((AQ2221+AQ2230)/(AP2221+AP2230))^$F2239</f>
        <v/>
      </c>
      <c r="AR2239" s="44">
        <f>AQ2239*$G2239*(1+AR$7)^$D2239*(AR2221/AQ2221)^$E2239*((AR2221+AR2230)/(AQ2221+AQ2230))^$F2239</f>
        <v/>
      </c>
      <c r="AS2239" s="44">
        <f>AR2239*$G2239*(1+AS$7)^$D2239*(AS2221/AR2221)^$E2239*((AS2221+AS2230)/(AR2221+AR2230))^$F2239</f>
        <v/>
      </c>
      <c r="AT2239" s="44">
        <f>AS2239*$G2239*(1+AT$7)^$D2239*(AT2221/AS2221)^$E2239*((AT2221+AT2230)/(AS2221+AS2230))^$F2239</f>
        <v/>
      </c>
      <c r="AU2239" s="44">
        <f>AT2239*$G2239*(1+AU$7)^$D2239*(AU2221/AT2221)^$E2239*((AU2221+AU2230)/(AT2221+AT2230))^$F2239</f>
        <v/>
      </c>
      <c r="AV2239" s="44">
        <f>AU2239*$G2239*(1+AV$7)^$D2239*(AV2221/AU2221)^$E2239*((AV2221+AV2230)/(AU2221+AU2230))^$F2239</f>
        <v/>
      </c>
      <c r="AW2239" s="44">
        <f>AV2239*$G2239*(1+AW$7)^$D2239*(AW2221/AV2221)^$E2239*((AW2221+AW2230)/(AV2221+AV2230))^$F2239</f>
        <v/>
      </c>
      <c r="AX2239" s="44">
        <f>AW2239*$G2239*(1+AX$7)^$D2239*(AX2221/AW2221)^$E2239*((AX2221+AX2230)/(AW2221+AW2230))^$F2239</f>
        <v/>
      </c>
      <c r="AY2239" s="44">
        <f>AX2239*$G2239*(1+AY$7)^$D2239*(AY2221/AX2221)^$E2239*((AY2221+AY2230)/(AX2221+AX2230))^$F2239</f>
        <v/>
      </c>
      <c r="AZ2239" s="44">
        <f>AY2239*$G2239*(1+AZ$7)^$D2239*(AZ2221/AY2221)^$E2239*((AZ2221+AZ2230)/(AY2221+AY2230))^$F2239</f>
        <v/>
      </c>
      <c r="BA2239" s="57">
        <f>FUELUSE(AZ2239,BA2221,AZ2221,BA2230,AZ2230,BA$7,$D2239,$E2239,$F2239,$G2239)</f>
        <v/>
      </c>
    </row>
    <row r="2240" hidden="1" outlineLevel="2">
      <c r="A2240" s="14" t="inlineStr">
        <is>
          <t>ener</t>
        </is>
      </c>
      <c r="B2240" s="14" t="inlineStr">
        <is>
          <t>die</t>
        </is>
      </c>
      <c r="C2240" s="14" t="inlineStr">
        <is>
          <t>nfm</t>
        </is>
      </c>
      <c r="D2240" s="35">
        <f>INDEX(Inputs!$O$5:$O$132,MATCH($B2240&amp;"|"&amp;$C2240,Inputs!$A$5:$A$132,0))</f>
        <v/>
      </c>
      <c r="E2240" s="35">
        <f>INDEX(Inputs!$P$5:$P$132,MATCH($B2240&amp;"|"&amp;$C2240,Inputs!$A$5:$A$132,0))</f>
        <v/>
      </c>
      <c r="F2240" s="35">
        <f>INDEX(Inputs!$T$5:$T$132,MATCH($B2240&amp;"|"&amp;$C2240,Inputs!$A$5:$A$132,0))</f>
        <v/>
      </c>
      <c r="G2240" s="35">
        <f>INDEX(Inputs!$S$5:$S$132,MATCH($B2240&amp;"|"&amp;$C2240,Inputs!$A$5:$A$132,0))</f>
        <v/>
      </c>
      <c r="H2240" s="14">
        <f>INDEX(VarLab,MATCH($A2240,VarKey,0))&amp;INDEX(MemLab,MATCH($C2240&amp;"|"&amp;$B2240,MemKey,0))</f>
        <v/>
      </c>
      <c r="I2240" s="14">
        <f>INDEX(VarUnit,MATCH($A2240,VarKey,0))</f>
        <v/>
      </c>
      <c r="J2240" s="14">
        <f>INDEX(VarSrc,MATCH($A2240,VarKey,0))</f>
        <v/>
      </c>
      <c r="K2240" s="11">
        <f>CodePrefix&amp;$A2240&amp;IF($C2240="","","."&amp;$C2240&amp;"."&amp;$B2240)&amp;INDEX(VarEnd,MATCH($A2240,VarKey,0))&amp;K$5</f>
        <v/>
      </c>
      <c r="L2240" s="43">
        <f>INDEX(Inputs!$X$5:$X$132,MATCH($B2240&amp;"|"&amp;$C2240,Inputs!$A$5:$A$132,0))</f>
        <v/>
      </c>
      <c r="M2240" s="44">
        <f>L2240*$G2240*(1+M$7)^$D2240*(M2222/L2222)^$E2240*((M2222+M2231)/(L2222+L2231))^$F2240</f>
        <v/>
      </c>
      <c r="N2240" s="44">
        <f>M2240*$G2240*(1+N$7)^$D2240*(N2222/M2222)^$E2240*((N2222+N2231)/(M2222+M2231))^$F2240</f>
        <v/>
      </c>
      <c r="O2240" s="44">
        <f>N2240*$G2240*(1+O$7)^$D2240*(O2222/N2222)^$E2240*((O2222+O2231)/(N2222+N2231))^$F2240</f>
        <v/>
      </c>
      <c r="P2240" s="44">
        <f>O2240*$G2240*(1+P$7)^$D2240*(P2222/O2222)^$E2240*((P2222+P2231)/(O2222+O2231))^$F2240</f>
        <v/>
      </c>
      <c r="Q2240" s="44">
        <f>P2240*$G2240*(1+Q$7)^$D2240*(Q2222/P2222)^$E2240*((Q2222+Q2231)/(P2222+P2231))^$F2240</f>
        <v/>
      </c>
      <c r="R2240" s="44">
        <f>Q2240*$G2240*(1+R$7)^$D2240*(R2222/Q2222)^$E2240*((R2222+R2231)/(Q2222+Q2231))^$F2240</f>
        <v/>
      </c>
      <c r="S2240" s="44">
        <f>R2240*$G2240*(1+S$7)^$D2240*(S2222/R2222)^$E2240*((S2222+S2231)/(R2222+R2231))^$F2240</f>
        <v/>
      </c>
      <c r="T2240" s="44">
        <f>S2240*$G2240*(1+T$7)^$D2240*(T2222/S2222)^$E2240*((T2222+T2231)/(S2222+S2231))^$F2240</f>
        <v/>
      </c>
      <c r="U2240" s="44">
        <f>T2240*$G2240*(1+U$7)^$D2240*(U2222/T2222)^$E2240*((U2222+U2231)/(T2222+T2231))^$F2240</f>
        <v/>
      </c>
      <c r="V2240" s="44">
        <f>U2240*$G2240*(1+V$7)^$D2240*(V2222/U2222)^$E2240*((V2222+V2231)/(U2222+U2231))^$F2240</f>
        <v/>
      </c>
      <c r="W2240" s="44">
        <f>V2240*$G2240*(1+W$7)^$D2240*(W2222/V2222)^$E2240*((W2222+W2231)/(V2222+V2231))^$F2240</f>
        <v/>
      </c>
      <c r="X2240" s="44">
        <f>W2240*$G2240*(1+X$7)^$D2240*(X2222/W2222)^$E2240*((X2222+X2231)/(W2222+W2231))^$F2240</f>
        <v/>
      </c>
      <c r="Y2240" s="44">
        <f>X2240*$G2240*(1+Y$7)^$D2240*(Y2222/X2222)^$E2240*((Y2222+Y2231)/(X2222+X2231))^$F2240</f>
        <v/>
      </c>
      <c r="Z2240" s="44">
        <f>Y2240*$G2240*(1+Z$7)^$D2240*(Z2222/Y2222)^$E2240*((Z2222+Z2231)/(Y2222+Y2231))^$F2240</f>
        <v/>
      </c>
      <c r="AA2240" s="44">
        <f>Z2240*$G2240*(1+AA$7)^$D2240*(AA2222/Z2222)^$E2240*((AA2222+AA2231)/(Z2222+Z2231))^$F2240</f>
        <v/>
      </c>
      <c r="AB2240" s="44">
        <f>AA2240*$G2240*(1+AB$7)^$D2240*(AB2222/AA2222)^$E2240*((AB2222+AB2231)/(AA2222+AA2231))^$F2240</f>
        <v/>
      </c>
      <c r="AC2240" s="44">
        <f>AB2240*$G2240*(1+AC$7)^$D2240*(AC2222/AB2222)^$E2240*((AC2222+AC2231)/(AB2222+AB2231))^$F2240</f>
        <v/>
      </c>
      <c r="AD2240" s="44">
        <f>AC2240*$G2240*(1+AD$7)^$D2240*(AD2222/AC2222)^$E2240*((AD2222+AD2231)/(AC2222+AC2231))^$F2240</f>
        <v/>
      </c>
      <c r="AE2240" s="57">
        <f>FUELUSE(AD2240,AE2222,AD2222,AE2231,AD2231,AE$7,$D2240,$E2240,$F2240,$G2240)</f>
        <v/>
      </c>
      <c r="AG2240" s="11">
        <f>CodePrefix&amp;$A2240&amp;IF($C2240="","","."&amp;$C2240&amp;"."&amp;$B2240)&amp;INDEX(VarEnd,MATCH($A2240,VarKey,0))&amp;AG$5</f>
        <v/>
      </c>
      <c r="AH2240" s="43">
        <f>INDEX(Inputs!$X$5:$X$132,MATCH($B2240&amp;"|"&amp;$C2240,Inputs!$A$5:$A$132,0))</f>
        <v/>
      </c>
      <c r="AI2240" s="44">
        <f>AH2240*$G2240*(1+AI$7)^$D2240*(AI2222/AH2222)^$E2240*((AI2222+AI2231)/(AH2222+AH2231))^$F2240</f>
        <v/>
      </c>
      <c r="AJ2240" s="44">
        <f>AI2240*$G2240*(1+AJ$7)^$D2240*(AJ2222/AI2222)^$E2240*((AJ2222+AJ2231)/(AI2222+AI2231))^$F2240</f>
        <v/>
      </c>
      <c r="AK2240" s="44">
        <f>AJ2240*$G2240*(1+AK$7)^$D2240*(AK2222/AJ2222)^$E2240*((AK2222+AK2231)/(AJ2222+AJ2231))^$F2240</f>
        <v/>
      </c>
      <c r="AL2240" s="44">
        <f>AK2240*$G2240*(1+AL$7)^$D2240*(AL2222/AK2222)^$E2240*((AL2222+AL2231)/(AK2222+AK2231))^$F2240</f>
        <v/>
      </c>
      <c r="AM2240" s="44">
        <f>AL2240*$G2240*(1+AM$7)^$D2240*(AM2222/AL2222)^$E2240*((AM2222+AM2231)/(AL2222+AL2231))^$F2240</f>
        <v/>
      </c>
      <c r="AN2240" s="44">
        <f>AM2240*$G2240*(1+AN$7)^$D2240*(AN2222/AM2222)^$E2240*((AN2222+AN2231)/(AM2222+AM2231))^$F2240</f>
        <v/>
      </c>
      <c r="AO2240" s="44">
        <f>AN2240*$G2240*(1+AO$7)^$D2240*(AO2222/AN2222)^$E2240*((AO2222+AO2231)/(AN2222+AN2231))^$F2240</f>
        <v/>
      </c>
      <c r="AP2240" s="44">
        <f>AO2240*$G2240*(1+AP$7)^$D2240*(AP2222/AO2222)^$E2240*((AP2222+AP2231)/(AO2222+AO2231))^$F2240</f>
        <v/>
      </c>
      <c r="AQ2240" s="44">
        <f>AP2240*$G2240*(1+AQ$7)^$D2240*(AQ2222/AP2222)^$E2240*((AQ2222+AQ2231)/(AP2222+AP2231))^$F2240</f>
        <v/>
      </c>
      <c r="AR2240" s="44">
        <f>AQ2240*$G2240*(1+AR$7)^$D2240*(AR2222/AQ2222)^$E2240*((AR2222+AR2231)/(AQ2222+AQ2231))^$F2240</f>
        <v/>
      </c>
      <c r="AS2240" s="44">
        <f>AR2240*$G2240*(1+AS$7)^$D2240*(AS2222/AR2222)^$E2240*((AS2222+AS2231)/(AR2222+AR2231))^$F2240</f>
        <v/>
      </c>
      <c r="AT2240" s="44">
        <f>AS2240*$G2240*(1+AT$7)^$D2240*(AT2222/AS2222)^$E2240*((AT2222+AT2231)/(AS2222+AS2231))^$F2240</f>
        <v/>
      </c>
      <c r="AU2240" s="44">
        <f>AT2240*$G2240*(1+AU$7)^$D2240*(AU2222/AT2222)^$E2240*((AU2222+AU2231)/(AT2222+AT2231))^$F2240</f>
        <v/>
      </c>
      <c r="AV2240" s="44">
        <f>AU2240*$G2240*(1+AV$7)^$D2240*(AV2222/AU2222)^$E2240*((AV2222+AV2231)/(AU2222+AU2231))^$F2240</f>
        <v/>
      </c>
      <c r="AW2240" s="44">
        <f>AV2240*$G2240*(1+AW$7)^$D2240*(AW2222/AV2222)^$E2240*((AW2222+AW2231)/(AV2222+AV2231))^$F2240</f>
        <v/>
      </c>
      <c r="AX2240" s="44">
        <f>AW2240*$G2240*(1+AX$7)^$D2240*(AX2222/AW2222)^$E2240*((AX2222+AX2231)/(AW2222+AW2231))^$F2240</f>
        <v/>
      </c>
      <c r="AY2240" s="44">
        <f>AX2240*$G2240*(1+AY$7)^$D2240*(AY2222/AX2222)^$E2240*((AY2222+AY2231)/(AX2222+AX2231))^$F2240</f>
        <v/>
      </c>
      <c r="AZ2240" s="44">
        <f>AY2240*$G2240*(1+AZ$7)^$D2240*(AZ2222/AY2222)^$E2240*((AZ2222+AZ2231)/(AY2222+AY2231))^$F2240</f>
        <v/>
      </c>
      <c r="BA2240" s="57">
        <f>FUELUSE(AZ2240,BA2222,AZ2222,BA2231,AZ2231,BA$7,$D2240,$E2240,$F2240,$G2240)</f>
        <v/>
      </c>
    </row>
    <row r="2241" hidden="1" outlineLevel="2">
      <c r="A2241" s="14" t="inlineStr">
        <is>
          <t>ener</t>
        </is>
      </c>
      <c r="B2241" s="14" t="inlineStr">
        <is>
          <t>lpg</t>
        </is>
      </c>
      <c r="C2241" s="14" t="inlineStr">
        <is>
          <t>nfm</t>
        </is>
      </c>
      <c r="D2241" s="35">
        <f>INDEX(Inputs!$O$5:$O$132,MATCH($B2241&amp;"|"&amp;$C2241,Inputs!$A$5:$A$132,0))</f>
        <v/>
      </c>
      <c r="E2241" s="35">
        <f>INDEX(Inputs!$P$5:$P$132,MATCH($B2241&amp;"|"&amp;$C2241,Inputs!$A$5:$A$132,0))</f>
        <v/>
      </c>
      <c r="F2241" s="35">
        <f>INDEX(Inputs!$T$5:$T$132,MATCH($B2241&amp;"|"&amp;$C2241,Inputs!$A$5:$A$132,0))</f>
        <v/>
      </c>
      <c r="G2241" s="35">
        <f>INDEX(Inputs!$S$5:$S$132,MATCH($B2241&amp;"|"&amp;$C2241,Inputs!$A$5:$A$132,0))</f>
        <v/>
      </c>
      <c r="H2241" s="14">
        <f>INDEX(VarLab,MATCH($A2241,VarKey,0))&amp;INDEX(MemLab,MATCH($C2241&amp;"|"&amp;$B2241,MemKey,0))</f>
        <v/>
      </c>
      <c r="I2241" s="14">
        <f>INDEX(VarUnit,MATCH($A2241,VarKey,0))</f>
        <v/>
      </c>
      <c r="J2241" s="14">
        <f>INDEX(VarSrc,MATCH($A2241,VarKey,0))</f>
        <v/>
      </c>
      <c r="K2241" s="11">
        <f>CodePrefix&amp;$A2241&amp;IF($C2241="","","."&amp;$C2241&amp;"."&amp;$B2241)&amp;INDEX(VarEnd,MATCH($A2241,VarKey,0))&amp;K$5</f>
        <v/>
      </c>
      <c r="L2241" s="43">
        <f>INDEX(Inputs!$X$5:$X$132,MATCH($B2241&amp;"|"&amp;$C2241,Inputs!$A$5:$A$132,0))</f>
        <v/>
      </c>
      <c r="M2241" s="44">
        <f>L2241*$G2241*(1+M$7)^$D2241*(M2223/L2223)^$E2241*((M2223+M2232)/(L2223+L2232))^$F2241</f>
        <v/>
      </c>
      <c r="N2241" s="44">
        <f>M2241*$G2241*(1+N$7)^$D2241*(N2223/M2223)^$E2241*((N2223+N2232)/(M2223+M2232))^$F2241</f>
        <v/>
      </c>
      <c r="O2241" s="44">
        <f>N2241*$G2241*(1+O$7)^$D2241*(O2223/N2223)^$E2241*((O2223+O2232)/(N2223+N2232))^$F2241</f>
        <v/>
      </c>
      <c r="P2241" s="44">
        <f>O2241*$G2241*(1+P$7)^$D2241*(P2223/O2223)^$E2241*((P2223+P2232)/(O2223+O2232))^$F2241</f>
        <v/>
      </c>
      <c r="Q2241" s="44">
        <f>P2241*$G2241*(1+Q$7)^$D2241*(Q2223/P2223)^$E2241*((Q2223+Q2232)/(P2223+P2232))^$F2241</f>
        <v/>
      </c>
      <c r="R2241" s="44">
        <f>Q2241*$G2241*(1+R$7)^$D2241*(R2223/Q2223)^$E2241*((R2223+R2232)/(Q2223+Q2232))^$F2241</f>
        <v/>
      </c>
      <c r="S2241" s="44">
        <f>R2241*$G2241*(1+S$7)^$D2241*(S2223/R2223)^$E2241*((S2223+S2232)/(R2223+R2232))^$F2241</f>
        <v/>
      </c>
      <c r="T2241" s="44">
        <f>S2241*$G2241*(1+T$7)^$D2241*(T2223/S2223)^$E2241*((T2223+T2232)/(S2223+S2232))^$F2241</f>
        <v/>
      </c>
      <c r="U2241" s="44">
        <f>T2241*$G2241*(1+U$7)^$D2241*(U2223/T2223)^$E2241*((U2223+U2232)/(T2223+T2232))^$F2241</f>
        <v/>
      </c>
      <c r="V2241" s="44">
        <f>U2241*$G2241*(1+V$7)^$D2241*(V2223/U2223)^$E2241*((V2223+V2232)/(U2223+U2232))^$F2241</f>
        <v/>
      </c>
      <c r="W2241" s="44">
        <f>V2241*$G2241*(1+W$7)^$D2241*(W2223/V2223)^$E2241*((W2223+W2232)/(V2223+V2232))^$F2241</f>
        <v/>
      </c>
      <c r="X2241" s="44">
        <f>W2241*$G2241*(1+X$7)^$D2241*(X2223/W2223)^$E2241*((X2223+X2232)/(W2223+W2232))^$F2241</f>
        <v/>
      </c>
      <c r="Y2241" s="44">
        <f>X2241*$G2241*(1+Y$7)^$D2241*(Y2223/X2223)^$E2241*((Y2223+Y2232)/(X2223+X2232))^$F2241</f>
        <v/>
      </c>
      <c r="Z2241" s="44">
        <f>Y2241*$G2241*(1+Z$7)^$D2241*(Z2223/Y2223)^$E2241*((Z2223+Z2232)/(Y2223+Y2232))^$F2241</f>
        <v/>
      </c>
      <c r="AA2241" s="44">
        <f>Z2241*$G2241*(1+AA$7)^$D2241*(AA2223/Z2223)^$E2241*((AA2223+AA2232)/(Z2223+Z2232))^$F2241</f>
        <v/>
      </c>
      <c r="AB2241" s="44">
        <f>AA2241*$G2241*(1+AB$7)^$D2241*(AB2223/AA2223)^$E2241*((AB2223+AB2232)/(AA2223+AA2232))^$F2241</f>
        <v/>
      </c>
      <c r="AC2241" s="44">
        <f>AB2241*$G2241*(1+AC$7)^$D2241*(AC2223/AB2223)^$E2241*((AC2223+AC2232)/(AB2223+AB2232))^$F2241</f>
        <v/>
      </c>
      <c r="AD2241" s="44">
        <f>AC2241*$G2241*(1+AD$7)^$D2241*(AD2223/AC2223)^$E2241*((AD2223+AD2232)/(AC2223+AC2232))^$F2241</f>
        <v/>
      </c>
      <c r="AE2241" s="57">
        <f>FUELUSE(AD2241,AE2223,AD2223,AE2232,AD2232,AE$7,$D2241,$E2241,$F2241,$G2241)</f>
        <v/>
      </c>
      <c r="AG2241" s="11">
        <f>CodePrefix&amp;$A2241&amp;IF($C2241="","","."&amp;$C2241&amp;"."&amp;$B2241)&amp;INDEX(VarEnd,MATCH($A2241,VarKey,0))&amp;AG$5</f>
        <v/>
      </c>
      <c r="AH2241" s="43">
        <f>INDEX(Inputs!$X$5:$X$132,MATCH($B2241&amp;"|"&amp;$C2241,Inputs!$A$5:$A$132,0))</f>
        <v/>
      </c>
      <c r="AI2241" s="44">
        <f>AH2241*$G2241*(1+AI$7)^$D2241*(AI2223/AH2223)^$E2241*((AI2223+AI2232)/(AH2223+AH2232))^$F2241</f>
        <v/>
      </c>
      <c r="AJ2241" s="44">
        <f>AI2241*$G2241*(1+AJ$7)^$D2241*(AJ2223/AI2223)^$E2241*((AJ2223+AJ2232)/(AI2223+AI2232))^$F2241</f>
        <v/>
      </c>
      <c r="AK2241" s="44">
        <f>AJ2241*$G2241*(1+AK$7)^$D2241*(AK2223/AJ2223)^$E2241*((AK2223+AK2232)/(AJ2223+AJ2232))^$F2241</f>
        <v/>
      </c>
      <c r="AL2241" s="44">
        <f>AK2241*$G2241*(1+AL$7)^$D2241*(AL2223/AK2223)^$E2241*((AL2223+AL2232)/(AK2223+AK2232))^$F2241</f>
        <v/>
      </c>
      <c r="AM2241" s="44">
        <f>AL2241*$G2241*(1+AM$7)^$D2241*(AM2223/AL2223)^$E2241*((AM2223+AM2232)/(AL2223+AL2232))^$F2241</f>
        <v/>
      </c>
      <c r="AN2241" s="44">
        <f>AM2241*$G2241*(1+AN$7)^$D2241*(AN2223/AM2223)^$E2241*((AN2223+AN2232)/(AM2223+AM2232))^$F2241</f>
        <v/>
      </c>
      <c r="AO2241" s="44">
        <f>AN2241*$G2241*(1+AO$7)^$D2241*(AO2223/AN2223)^$E2241*((AO2223+AO2232)/(AN2223+AN2232))^$F2241</f>
        <v/>
      </c>
      <c r="AP2241" s="44">
        <f>AO2241*$G2241*(1+AP$7)^$D2241*(AP2223/AO2223)^$E2241*((AP2223+AP2232)/(AO2223+AO2232))^$F2241</f>
        <v/>
      </c>
      <c r="AQ2241" s="44">
        <f>AP2241*$G2241*(1+AQ$7)^$D2241*(AQ2223/AP2223)^$E2241*((AQ2223+AQ2232)/(AP2223+AP2232))^$F2241</f>
        <v/>
      </c>
      <c r="AR2241" s="44">
        <f>AQ2241*$G2241*(1+AR$7)^$D2241*(AR2223/AQ2223)^$E2241*((AR2223+AR2232)/(AQ2223+AQ2232))^$F2241</f>
        <v/>
      </c>
      <c r="AS2241" s="44">
        <f>AR2241*$G2241*(1+AS$7)^$D2241*(AS2223/AR2223)^$E2241*((AS2223+AS2232)/(AR2223+AR2232))^$F2241</f>
        <v/>
      </c>
      <c r="AT2241" s="44">
        <f>AS2241*$G2241*(1+AT$7)^$D2241*(AT2223/AS2223)^$E2241*((AT2223+AT2232)/(AS2223+AS2232))^$F2241</f>
        <v/>
      </c>
      <c r="AU2241" s="44">
        <f>AT2241*$G2241*(1+AU$7)^$D2241*(AU2223/AT2223)^$E2241*((AU2223+AU2232)/(AT2223+AT2232))^$F2241</f>
        <v/>
      </c>
      <c r="AV2241" s="44">
        <f>AU2241*$G2241*(1+AV$7)^$D2241*(AV2223/AU2223)^$E2241*((AV2223+AV2232)/(AU2223+AU2232))^$F2241</f>
        <v/>
      </c>
      <c r="AW2241" s="44">
        <f>AV2241*$G2241*(1+AW$7)^$D2241*(AW2223/AV2223)^$E2241*((AW2223+AW2232)/(AV2223+AV2232))^$F2241</f>
        <v/>
      </c>
      <c r="AX2241" s="44">
        <f>AW2241*$G2241*(1+AX$7)^$D2241*(AX2223/AW2223)^$E2241*((AX2223+AX2232)/(AW2223+AW2232))^$F2241</f>
        <v/>
      </c>
      <c r="AY2241" s="44">
        <f>AX2241*$G2241*(1+AY$7)^$D2241*(AY2223/AX2223)^$E2241*((AY2223+AY2232)/(AX2223+AX2232))^$F2241</f>
        <v/>
      </c>
      <c r="AZ2241" s="44">
        <f>AY2241*$G2241*(1+AZ$7)^$D2241*(AZ2223/AY2223)^$E2241*((AZ2223+AZ2232)/(AY2223+AY2232))^$F2241</f>
        <v/>
      </c>
      <c r="BA2241" s="57">
        <f>FUELUSE(AZ2241,BA2223,AZ2223,BA2232,AZ2232,BA$7,$D2241,$E2241,$F2241,$G2241)</f>
        <v/>
      </c>
    </row>
    <row r="2242" hidden="1" outlineLevel="2">
      <c r="A2242" s="14" t="inlineStr">
        <is>
          <t>ener</t>
        </is>
      </c>
      <c r="B2242" s="14" t="inlineStr">
        <is>
          <t>ker</t>
        </is>
      </c>
      <c r="C2242" s="14" t="inlineStr">
        <is>
          <t>nfm</t>
        </is>
      </c>
      <c r="D2242" s="35">
        <f>INDEX(Inputs!$O$5:$O$132,MATCH($B2242&amp;"|"&amp;$C2242,Inputs!$A$5:$A$132,0))</f>
        <v/>
      </c>
      <c r="E2242" s="35">
        <f>INDEX(Inputs!$P$5:$P$132,MATCH($B2242&amp;"|"&amp;$C2242,Inputs!$A$5:$A$132,0))</f>
        <v/>
      </c>
      <c r="F2242" s="35">
        <f>INDEX(Inputs!$T$5:$T$132,MATCH($B2242&amp;"|"&amp;$C2242,Inputs!$A$5:$A$132,0))</f>
        <v/>
      </c>
      <c r="G2242" s="35">
        <f>INDEX(Inputs!$S$5:$S$132,MATCH($B2242&amp;"|"&amp;$C2242,Inputs!$A$5:$A$132,0))</f>
        <v/>
      </c>
      <c r="H2242" s="14">
        <f>INDEX(VarLab,MATCH($A2242,VarKey,0))&amp;INDEX(MemLab,MATCH($C2242&amp;"|"&amp;$B2242,MemKey,0))</f>
        <v/>
      </c>
      <c r="I2242" s="14">
        <f>INDEX(VarUnit,MATCH($A2242,VarKey,0))</f>
        <v/>
      </c>
      <c r="J2242" s="14">
        <f>INDEX(VarSrc,MATCH($A2242,VarKey,0))</f>
        <v/>
      </c>
      <c r="K2242" s="11">
        <f>CodePrefix&amp;$A2242&amp;IF($C2242="","","."&amp;$C2242&amp;"."&amp;$B2242)&amp;INDEX(VarEnd,MATCH($A2242,VarKey,0))&amp;K$5</f>
        <v/>
      </c>
      <c r="L2242" s="43">
        <f>INDEX(Inputs!$X$5:$X$132,MATCH($B2242&amp;"|"&amp;$C2242,Inputs!$A$5:$A$132,0))</f>
        <v/>
      </c>
      <c r="M2242" s="44">
        <f>L2242*$G2242*(1+M$7)^$D2242*(M2224/L2224)^$E2242*((M2224+M2233)/(L2224+L2233))^$F2242</f>
        <v/>
      </c>
      <c r="N2242" s="44">
        <f>M2242*$G2242*(1+N$7)^$D2242*(N2224/M2224)^$E2242*((N2224+N2233)/(M2224+M2233))^$F2242</f>
        <v/>
      </c>
      <c r="O2242" s="44">
        <f>N2242*$G2242*(1+O$7)^$D2242*(O2224/N2224)^$E2242*((O2224+O2233)/(N2224+N2233))^$F2242</f>
        <v/>
      </c>
      <c r="P2242" s="44">
        <f>O2242*$G2242*(1+P$7)^$D2242*(P2224/O2224)^$E2242*((P2224+P2233)/(O2224+O2233))^$F2242</f>
        <v/>
      </c>
      <c r="Q2242" s="44">
        <f>P2242*$G2242*(1+Q$7)^$D2242*(Q2224/P2224)^$E2242*((Q2224+Q2233)/(P2224+P2233))^$F2242</f>
        <v/>
      </c>
      <c r="R2242" s="44">
        <f>Q2242*$G2242*(1+R$7)^$D2242*(R2224/Q2224)^$E2242*((R2224+R2233)/(Q2224+Q2233))^$F2242</f>
        <v/>
      </c>
      <c r="S2242" s="44">
        <f>R2242*$G2242*(1+S$7)^$D2242*(S2224/R2224)^$E2242*((S2224+S2233)/(R2224+R2233))^$F2242</f>
        <v/>
      </c>
      <c r="T2242" s="44">
        <f>S2242*$G2242*(1+T$7)^$D2242*(T2224/S2224)^$E2242*((T2224+T2233)/(S2224+S2233))^$F2242</f>
        <v/>
      </c>
      <c r="U2242" s="44">
        <f>T2242*$G2242*(1+U$7)^$D2242*(U2224/T2224)^$E2242*((U2224+U2233)/(T2224+T2233))^$F2242</f>
        <v/>
      </c>
      <c r="V2242" s="44">
        <f>U2242*$G2242*(1+V$7)^$D2242*(V2224/U2224)^$E2242*((V2224+V2233)/(U2224+U2233))^$F2242</f>
        <v/>
      </c>
      <c r="W2242" s="44">
        <f>V2242*$G2242*(1+W$7)^$D2242*(W2224/V2224)^$E2242*((W2224+W2233)/(V2224+V2233))^$F2242</f>
        <v/>
      </c>
      <c r="X2242" s="44">
        <f>W2242*$G2242*(1+X$7)^$D2242*(X2224/W2224)^$E2242*((X2224+X2233)/(W2224+W2233))^$F2242</f>
        <v/>
      </c>
      <c r="Y2242" s="44">
        <f>X2242*$G2242*(1+Y$7)^$D2242*(Y2224/X2224)^$E2242*((Y2224+Y2233)/(X2224+X2233))^$F2242</f>
        <v/>
      </c>
      <c r="Z2242" s="44">
        <f>Y2242*$G2242*(1+Z$7)^$D2242*(Z2224/Y2224)^$E2242*((Z2224+Z2233)/(Y2224+Y2233))^$F2242</f>
        <v/>
      </c>
      <c r="AA2242" s="44">
        <f>Z2242*$G2242*(1+AA$7)^$D2242*(AA2224/Z2224)^$E2242*((AA2224+AA2233)/(Z2224+Z2233))^$F2242</f>
        <v/>
      </c>
      <c r="AB2242" s="44">
        <f>AA2242*$G2242*(1+AB$7)^$D2242*(AB2224/AA2224)^$E2242*((AB2224+AB2233)/(AA2224+AA2233))^$F2242</f>
        <v/>
      </c>
      <c r="AC2242" s="44">
        <f>AB2242*$G2242*(1+AC$7)^$D2242*(AC2224/AB2224)^$E2242*((AC2224+AC2233)/(AB2224+AB2233))^$F2242</f>
        <v/>
      </c>
      <c r="AD2242" s="44">
        <f>AC2242*$G2242*(1+AD$7)^$D2242*(AD2224/AC2224)^$E2242*((AD2224+AD2233)/(AC2224+AC2233))^$F2242</f>
        <v/>
      </c>
      <c r="AE2242" s="57">
        <f>FUELUSE(AD2242,AE2224,AD2224,AE2233,AD2233,AE$7,$D2242,$E2242,$F2242,$G2242)</f>
        <v/>
      </c>
      <c r="AG2242" s="11">
        <f>CodePrefix&amp;$A2242&amp;IF($C2242="","","."&amp;$C2242&amp;"."&amp;$B2242)&amp;INDEX(VarEnd,MATCH($A2242,VarKey,0))&amp;AG$5</f>
        <v/>
      </c>
      <c r="AH2242" s="43">
        <f>INDEX(Inputs!$X$5:$X$132,MATCH($B2242&amp;"|"&amp;$C2242,Inputs!$A$5:$A$132,0))</f>
        <v/>
      </c>
      <c r="AI2242" s="44">
        <f>AH2242*$G2242*(1+AI$7)^$D2242*(AI2224/AH2224)^$E2242*((AI2224+AI2233)/(AH2224+AH2233))^$F2242</f>
        <v/>
      </c>
      <c r="AJ2242" s="44">
        <f>AI2242*$G2242*(1+AJ$7)^$D2242*(AJ2224/AI2224)^$E2242*((AJ2224+AJ2233)/(AI2224+AI2233))^$F2242</f>
        <v/>
      </c>
      <c r="AK2242" s="44">
        <f>AJ2242*$G2242*(1+AK$7)^$D2242*(AK2224/AJ2224)^$E2242*((AK2224+AK2233)/(AJ2224+AJ2233))^$F2242</f>
        <v/>
      </c>
      <c r="AL2242" s="44">
        <f>AK2242*$G2242*(1+AL$7)^$D2242*(AL2224/AK2224)^$E2242*((AL2224+AL2233)/(AK2224+AK2233))^$F2242</f>
        <v/>
      </c>
      <c r="AM2242" s="44">
        <f>AL2242*$G2242*(1+AM$7)^$D2242*(AM2224/AL2224)^$E2242*((AM2224+AM2233)/(AL2224+AL2233))^$F2242</f>
        <v/>
      </c>
      <c r="AN2242" s="44">
        <f>AM2242*$G2242*(1+AN$7)^$D2242*(AN2224/AM2224)^$E2242*((AN2224+AN2233)/(AM2224+AM2233))^$F2242</f>
        <v/>
      </c>
      <c r="AO2242" s="44">
        <f>AN2242*$G2242*(1+AO$7)^$D2242*(AO2224/AN2224)^$E2242*((AO2224+AO2233)/(AN2224+AN2233))^$F2242</f>
        <v/>
      </c>
      <c r="AP2242" s="44">
        <f>AO2242*$G2242*(1+AP$7)^$D2242*(AP2224/AO2224)^$E2242*((AP2224+AP2233)/(AO2224+AO2233))^$F2242</f>
        <v/>
      </c>
      <c r="AQ2242" s="44">
        <f>AP2242*$G2242*(1+AQ$7)^$D2242*(AQ2224/AP2224)^$E2242*((AQ2224+AQ2233)/(AP2224+AP2233))^$F2242</f>
        <v/>
      </c>
      <c r="AR2242" s="44">
        <f>AQ2242*$G2242*(1+AR$7)^$D2242*(AR2224/AQ2224)^$E2242*((AR2224+AR2233)/(AQ2224+AQ2233))^$F2242</f>
        <v/>
      </c>
      <c r="AS2242" s="44">
        <f>AR2242*$G2242*(1+AS$7)^$D2242*(AS2224/AR2224)^$E2242*((AS2224+AS2233)/(AR2224+AR2233))^$F2242</f>
        <v/>
      </c>
      <c r="AT2242" s="44">
        <f>AS2242*$G2242*(1+AT$7)^$D2242*(AT2224/AS2224)^$E2242*((AT2224+AT2233)/(AS2224+AS2233))^$F2242</f>
        <v/>
      </c>
      <c r="AU2242" s="44">
        <f>AT2242*$G2242*(1+AU$7)^$D2242*(AU2224/AT2224)^$E2242*((AU2224+AU2233)/(AT2224+AT2233))^$F2242</f>
        <v/>
      </c>
      <c r="AV2242" s="44">
        <f>AU2242*$G2242*(1+AV$7)^$D2242*(AV2224/AU2224)^$E2242*((AV2224+AV2233)/(AU2224+AU2233))^$F2242</f>
        <v/>
      </c>
      <c r="AW2242" s="44">
        <f>AV2242*$G2242*(1+AW$7)^$D2242*(AW2224/AV2224)^$E2242*((AW2224+AW2233)/(AV2224+AV2233))^$F2242</f>
        <v/>
      </c>
      <c r="AX2242" s="44">
        <f>AW2242*$G2242*(1+AX$7)^$D2242*(AX2224/AW2224)^$E2242*((AX2224+AX2233)/(AW2224+AW2233))^$F2242</f>
        <v/>
      </c>
      <c r="AY2242" s="44">
        <f>AX2242*$G2242*(1+AY$7)^$D2242*(AY2224/AX2224)^$E2242*((AY2224+AY2233)/(AX2224+AX2233))^$F2242</f>
        <v/>
      </c>
      <c r="AZ2242" s="44">
        <f>AY2242*$G2242*(1+AZ$7)^$D2242*(AZ2224/AY2224)^$E2242*((AZ2224+AZ2233)/(AY2224+AY2233))^$F2242</f>
        <v/>
      </c>
      <c r="BA2242" s="57">
        <f>FUELUSE(AZ2242,BA2224,AZ2224,BA2233,AZ2233,BA$7,$D2242,$E2242,$F2242,$G2242)</f>
        <v/>
      </c>
    </row>
    <row r="2243" hidden="1" outlineLevel="2">
      <c r="A2243" s="14" t="inlineStr">
        <is>
          <t>ener</t>
        </is>
      </c>
      <c r="B2243" s="14" t="inlineStr">
        <is>
          <t>oop</t>
        </is>
      </c>
      <c r="C2243" s="14" t="inlineStr">
        <is>
          <t>nfm</t>
        </is>
      </c>
      <c r="D2243" s="35">
        <f>INDEX(Inputs!$O$5:$O$132,MATCH($B2243&amp;"|"&amp;$C2243,Inputs!$A$5:$A$132,0))</f>
        <v/>
      </c>
      <c r="E2243" s="35">
        <f>INDEX(Inputs!$P$5:$P$132,MATCH($B2243&amp;"|"&amp;$C2243,Inputs!$A$5:$A$132,0))</f>
        <v/>
      </c>
      <c r="F2243" s="35">
        <f>INDEX(Inputs!$T$5:$T$132,MATCH($B2243&amp;"|"&amp;$C2243,Inputs!$A$5:$A$132,0))</f>
        <v/>
      </c>
      <c r="G2243" s="35">
        <f>INDEX(Inputs!$S$5:$S$132,MATCH($B2243&amp;"|"&amp;$C2243,Inputs!$A$5:$A$132,0))</f>
        <v/>
      </c>
      <c r="H2243" s="14">
        <f>INDEX(VarLab,MATCH($A2243,VarKey,0))&amp;INDEX(MemLab,MATCH($C2243&amp;"|"&amp;$B2243,MemKey,0))</f>
        <v/>
      </c>
      <c r="I2243" s="14">
        <f>INDEX(VarUnit,MATCH($A2243,VarKey,0))</f>
        <v/>
      </c>
      <c r="J2243" s="14">
        <f>INDEX(VarSrc,MATCH($A2243,VarKey,0))</f>
        <v/>
      </c>
      <c r="K2243" s="11">
        <f>CodePrefix&amp;$A2243&amp;IF($C2243="","","."&amp;$C2243&amp;"."&amp;$B2243)&amp;INDEX(VarEnd,MATCH($A2243,VarKey,0))&amp;K$5</f>
        <v/>
      </c>
      <c r="L2243" s="43">
        <f>INDEX(Inputs!$X$5:$X$132,MATCH($B2243&amp;"|"&amp;$C2243,Inputs!$A$5:$A$132,0))</f>
        <v/>
      </c>
      <c r="M2243" s="44">
        <f>L2243*$G2243*(1+M$7)^$D2243*(M2225/L2225)^$E2243*((M2225+M2234)/(L2225+L2234))^$F2243</f>
        <v/>
      </c>
      <c r="N2243" s="44">
        <f>M2243*$G2243*(1+N$7)^$D2243*(N2225/M2225)^$E2243*((N2225+N2234)/(M2225+M2234))^$F2243</f>
        <v/>
      </c>
      <c r="O2243" s="44">
        <f>N2243*$G2243*(1+O$7)^$D2243*(O2225/N2225)^$E2243*((O2225+O2234)/(N2225+N2234))^$F2243</f>
        <v/>
      </c>
      <c r="P2243" s="44">
        <f>O2243*$G2243*(1+P$7)^$D2243*(P2225/O2225)^$E2243*((P2225+P2234)/(O2225+O2234))^$F2243</f>
        <v/>
      </c>
      <c r="Q2243" s="44">
        <f>P2243*$G2243*(1+Q$7)^$D2243*(Q2225/P2225)^$E2243*((Q2225+Q2234)/(P2225+P2234))^$F2243</f>
        <v/>
      </c>
      <c r="R2243" s="44">
        <f>Q2243*$G2243*(1+R$7)^$D2243*(R2225/Q2225)^$E2243*((R2225+R2234)/(Q2225+Q2234))^$F2243</f>
        <v/>
      </c>
      <c r="S2243" s="44">
        <f>R2243*$G2243*(1+S$7)^$D2243*(S2225/R2225)^$E2243*((S2225+S2234)/(R2225+R2234))^$F2243</f>
        <v/>
      </c>
      <c r="T2243" s="44">
        <f>S2243*$G2243*(1+T$7)^$D2243*(T2225/S2225)^$E2243*((T2225+T2234)/(S2225+S2234))^$F2243</f>
        <v/>
      </c>
      <c r="U2243" s="44">
        <f>T2243*$G2243*(1+U$7)^$D2243*(U2225/T2225)^$E2243*((U2225+U2234)/(T2225+T2234))^$F2243</f>
        <v/>
      </c>
      <c r="V2243" s="44">
        <f>U2243*$G2243*(1+V$7)^$D2243*(V2225/U2225)^$E2243*((V2225+V2234)/(U2225+U2234))^$F2243</f>
        <v/>
      </c>
      <c r="W2243" s="44">
        <f>V2243*$G2243*(1+W$7)^$D2243*(W2225/V2225)^$E2243*((W2225+W2234)/(V2225+V2234))^$F2243</f>
        <v/>
      </c>
      <c r="X2243" s="44">
        <f>W2243*$G2243*(1+X$7)^$D2243*(X2225/W2225)^$E2243*((X2225+X2234)/(W2225+W2234))^$F2243</f>
        <v/>
      </c>
      <c r="Y2243" s="44">
        <f>X2243*$G2243*(1+Y$7)^$D2243*(Y2225/X2225)^$E2243*((Y2225+Y2234)/(X2225+X2234))^$F2243</f>
        <v/>
      </c>
      <c r="Z2243" s="44">
        <f>Y2243*$G2243*(1+Z$7)^$D2243*(Z2225/Y2225)^$E2243*((Z2225+Z2234)/(Y2225+Y2234))^$F2243</f>
        <v/>
      </c>
      <c r="AA2243" s="44">
        <f>Z2243*$G2243*(1+AA$7)^$D2243*(AA2225/Z2225)^$E2243*((AA2225+AA2234)/(Z2225+Z2234))^$F2243</f>
        <v/>
      </c>
      <c r="AB2243" s="44">
        <f>AA2243*$G2243*(1+AB$7)^$D2243*(AB2225/AA2225)^$E2243*((AB2225+AB2234)/(AA2225+AA2234))^$F2243</f>
        <v/>
      </c>
      <c r="AC2243" s="44">
        <f>AB2243*$G2243*(1+AC$7)^$D2243*(AC2225/AB2225)^$E2243*((AC2225+AC2234)/(AB2225+AB2234))^$F2243</f>
        <v/>
      </c>
      <c r="AD2243" s="44">
        <f>AC2243*$G2243*(1+AD$7)^$D2243*(AD2225/AC2225)^$E2243*((AD2225+AD2234)/(AC2225+AC2234))^$F2243</f>
        <v/>
      </c>
      <c r="AE2243" s="57">
        <f>FUELUSE(AD2243,AE2225,AD2225,AE2234,AD2234,AE$7,$D2243,$E2243,$F2243,$G2243)</f>
        <v/>
      </c>
      <c r="AG2243" s="11">
        <f>CodePrefix&amp;$A2243&amp;IF($C2243="","","."&amp;$C2243&amp;"."&amp;$B2243)&amp;INDEX(VarEnd,MATCH($A2243,VarKey,0))&amp;AG$5</f>
        <v/>
      </c>
      <c r="AH2243" s="43">
        <f>INDEX(Inputs!$X$5:$X$132,MATCH($B2243&amp;"|"&amp;$C2243,Inputs!$A$5:$A$132,0))</f>
        <v/>
      </c>
      <c r="AI2243" s="44">
        <f>AH2243*$G2243*(1+AI$7)^$D2243*(AI2225/AH2225)^$E2243*((AI2225+AI2234)/(AH2225+AH2234))^$F2243</f>
        <v/>
      </c>
      <c r="AJ2243" s="44">
        <f>AI2243*$G2243*(1+AJ$7)^$D2243*(AJ2225/AI2225)^$E2243*((AJ2225+AJ2234)/(AI2225+AI2234))^$F2243</f>
        <v/>
      </c>
      <c r="AK2243" s="44">
        <f>AJ2243*$G2243*(1+AK$7)^$D2243*(AK2225/AJ2225)^$E2243*((AK2225+AK2234)/(AJ2225+AJ2234))^$F2243</f>
        <v/>
      </c>
      <c r="AL2243" s="44">
        <f>AK2243*$G2243*(1+AL$7)^$D2243*(AL2225/AK2225)^$E2243*((AL2225+AL2234)/(AK2225+AK2234))^$F2243</f>
        <v/>
      </c>
      <c r="AM2243" s="44">
        <f>AL2243*$G2243*(1+AM$7)^$D2243*(AM2225/AL2225)^$E2243*((AM2225+AM2234)/(AL2225+AL2234))^$F2243</f>
        <v/>
      </c>
      <c r="AN2243" s="44">
        <f>AM2243*$G2243*(1+AN$7)^$D2243*(AN2225/AM2225)^$E2243*((AN2225+AN2234)/(AM2225+AM2234))^$F2243</f>
        <v/>
      </c>
      <c r="AO2243" s="44">
        <f>AN2243*$G2243*(1+AO$7)^$D2243*(AO2225/AN2225)^$E2243*((AO2225+AO2234)/(AN2225+AN2234))^$F2243</f>
        <v/>
      </c>
      <c r="AP2243" s="44">
        <f>AO2243*$G2243*(1+AP$7)^$D2243*(AP2225/AO2225)^$E2243*((AP2225+AP2234)/(AO2225+AO2234))^$F2243</f>
        <v/>
      </c>
      <c r="AQ2243" s="44">
        <f>AP2243*$G2243*(1+AQ$7)^$D2243*(AQ2225/AP2225)^$E2243*((AQ2225+AQ2234)/(AP2225+AP2234))^$F2243</f>
        <v/>
      </c>
      <c r="AR2243" s="44">
        <f>AQ2243*$G2243*(1+AR$7)^$D2243*(AR2225/AQ2225)^$E2243*((AR2225+AR2234)/(AQ2225+AQ2234))^$F2243</f>
        <v/>
      </c>
      <c r="AS2243" s="44">
        <f>AR2243*$G2243*(1+AS$7)^$D2243*(AS2225/AR2225)^$E2243*((AS2225+AS2234)/(AR2225+AR2234))^$F2243</f>
        <v/>
      </c>
      <c r="AT2243" s="44">
        <f>AS2243*$G2243*(1+AT$7)^$D2243*(AT2225/AS2225)^$E2243*((AT2225+AT2234)/(AS2225+AS2234))^$F2243</f>
        <v/>
      </c>
      <c r="AU2243" s="44">
        <f>AT2243*$G2243*(1+AU$7)^$D2243*(AU2225/AT2225)^$E2243*((AU2225+AU2234)/(AT2225+AT2234))^$F2243</f>
        <v/>
      </c>
      <c r="AV2243" s="44">
        <f>AU2243*$G2243*(1+AV$7)^$D2243*(AV2225/AU2225)^$E2243*((AV2225+AV2234)/(AU2225+AU2234))^$F2243</f>
        <v/>
      </c>
      <c r="AW2243" s="44">
        <f>AV2243*$G2243*(1+AW$7)^$D2243*(AW2225/AV2225)^$E2243*((AW2225+AW2234)/(AV2225+AV2234))^$F2243</f>
        <v/>
      </c>
      <c r="AX2243" s="44">
        <f>AW2243*$G2243*(1+AX$7)^$D2243*(AX2225/AW2225)^$E2243*((AX2225+AX2234)/(AW2225+AW2234))^$F2243</f>
        <v/>
      </c>
      <c r="AY2243" s="44">
        <f>AX2243*$G2243*(1+AY$7)^$D2243*(AY2225/AX2225)^$E2243*((AY2225+AY2234)/(AX2225+AX2234))^$F2243</f>
        <v/>
      </c>
      <c r="AZ2243" s="44">
        <f>AY2243*$G2243*(1+AZ$7)^$D2243*(AZ2225/AY2225)^$E2243*((AZ2225+AZ2234)/(AY2225+AY2234))^$F2243</f>
        <v/>
      </c>
      <c r="BA2243" s="57">
        <f>FUELUSE(AZ2243,BA2225,AZ2225,BA2234,AZ2234,BA$7,$D2243,$E2243,$F2243,$G2243)</f>
        <v/>
      </c>
    </row>
    <row r="2244" hidden="1" outlineLevel="2">
      <c r="A2244" s="14" t="inlineStr">
        <is>
          <t>ener</t>
        </is>
      </c>
      <c r="B2244" s="14" t="inlineStr">
        <is>
          <t>bio</t>
        </is>
      </c>
      <c r="C2244" s="14" t="inlineStr">
        <is>
          <t>nfm</t>
        </is>
      </c>
      <c r="D2244" s="35">
        <f>INDEX(Inputs!$O$5:$O$132,MATCH($B2244&amp;"|"&amp;$C2244,Inputs!$A$5:$A$132,0))</f>
        <v/>
      </c>
      <c r="E2244" s="35">
        <f>INDEX(Inputs!$P$5:$P$132,MATCH($B2244&amp;"|"&amp;$C2244,Inputs!$A$5:$A$132,0))</f>
        <v/>
      </c>
      <c r="F2244" s="35">
        <f>INDEX(Inputs!$T$5:$T$132,MATCH($B2244&amp;"|"&amp;$C2244,Inputs!$A$5:$A$132,0))</f>
        <v/>
      </c>
      <c r="G2244" s="35">
        <f>INDEX(Inputs!$S$5:$S$132,MATCH($B2244&amp;"|"&amp;$C2244,Inputs!$A$5:$A$132,0))</f>
        <v/>
      </c>
      <c r="H2244" s="14">
        <f>INDEX(VarLab,MATCH($A2244,VarKey,0))&amp;INDEX(MemLab,MATCH($C2244&amp;"|"&amp;$B2244,MemKey,0))</f>
        <v/>
      </c>
      <c r="I2244" s="14">
        <f>INDEX(VarUnit,MATCH($A2244,VarKey,0))</f>
        <v/>
      </c>
      <c r="J2244" s="14">
        <f>INDEX(VarSrc,MATCH($A2244,VarKey,0))</f>
        <v/>
      </c>
      <c r="K2244" s="11">
        <f>CodePrefix&amp;$A2244&amp;IF($C2244="","","."&amp;$C2244&amp;"."&amp;$B2244)&amp;INDEX(VarEnd,MATCH($A2244,VarKey,0))&amp;K$5</f>
        <v/>
      </c>
      <c r="L2244" s="43">
        <f>INDEX(Inputs!$X$5:$X$132,MATCH($B2244&amp;"|"&amp;$C2244,Inputs!$A$5:$A$132,0))</f>
        <v/>
      </c>
      <c r="M2244" s="44">
        <f>L2244*$G2244*(1+M$7)^$D2244*(M2226/L2226)^$E2244*((M2226+M2235)/(L2226+L2235))^$F2244</f>
        <v/>
      </c>
      <c r="N2244" s="44">
        <f>M2244*$G2244*(1+N$7)^$D2244*(N2226/M2226)^$E2244*((N2226+N2235)/(M2226+M2235))^$F2244</f>
        <v/>
      </c>
      <c r="O2244" s="44">
        <f>N2244*$G2244*(1+O$7)^$D2244*(O2226/N2226)^$E2244*((O2226+O2235)/(N2226+N2235))^$F2244</f>
        <v/>
      </c>
      <c r="P2244" s="44">
        <f>O2244*$G2244*(1+P$7)^$D2244*(P2226/O2226)^$E2244*((P2226+P2235)/(O2226+O2235))^$F2244</f>
        <v/>
      </c>
      <c r="Q2244" s="44">
        <f>P2244*$G2244*(1+Q$7)^$D2244*(Q2226/P2226)^$E2244*((Q2226+Q2235)/(P2226+P2235))^$F2244</f>
        <v/>
      </c>
      <c r="R2244" s="44">
        <f>Q2244*$G2244*(1+R$7)^$D2244*(R2226/Q2226)^$E2244*((R2226+R2235)/(Q2226+Q2235))^$F2244</f>
        <v/>
      </c>
      <c r="S2244" s="44">
        <f>R2244*$G2244*(1+S$7)^$D2244*(S2226/R2226)^$E2244*((S2226+S2235)/(R2226+R2235))^$F2244</f>
        <v/>
      </c>
      <c r="T2244" s="44">
        <f>S2244*$G2244*(1+T$7)^$D2244*(T2226/S2226)^$E2244*((T2226+T2235)/(S2226+S2235))^$F2244</f>
        <v/>
      </c>
      <c r="U2244" s="44">
        <f>T2244*$G2244*(1+U$7)^$D2244*(U2226/T2226)^$E2244*((U2226+U2235)/(T2226+T2235))^$F2244</f>
        <v/>
      </c>
      <c r="V2244" s="44">
        <f>U2244*$G2244*(1+V$7)^$D2244*(V2226/U2226)^$E2244*((V2226+V2235)/(U2226+U2235))^$F2244</f>
        <v/>
      </c>
      <c r="W2244" s="44">
        <f>V2244*$G2244*(1+W$7)^$D2244*(W2226/V2226)^$E2244*((W2226+W2235)/(V2226+V2235))^$F2244</f>
        <v/>
      </c>
      <c r="X2244" s="44">
        <f>W2244*$G2244*(1+X$7)^$D2244*(X2226/W2226)^$E2244*((X2226+X2235)/(W2226+W2235))^$F2244</f>
        <v/>
      </c>
      <c r="Y2244" s="44">
        <f>X2244*$G2244*(1+Y$7)^$D2244*(Y2226/X2226)^$E2244*((Y2226+Y2235)/(X2226+X2235))^$F2244</f>
        <v/>
      </c>
      <c r="Z2244" s="44">
        <f>Y2244*$G2244*(1+Z$7)^$D2244*(Z2226/Y2226)^$E2244*((Z2226+Z2235)/(Y2226+Y2235))^$F2244</f>
        <v/>
      </c>
      <c r="AA2244" s="44">
        <f>Z2244*$G2244*(1+AA$7)^$D2244*(AA2226/Z2226)^$E2244*((AA2226+AA2235)/(Z2226+Z2235))^$F2244</f>
        <v/>
      </c>
      <c r="AB2244" s="44">
        <f>AA2244*$G2244*(1+AB$7)^$D2244*(AB2226/AA2226)^$E2244*((AB2226+AB2235)/(AA2226+AA2235))^$F2244</f>
        <v/>
      </c>
      <c r="AC2244" s="44">
        <f>AB2244*$G2244*(1+AC$7)^$D2244*(AC2226/AB2226)^$E2244*((AC2226+AC2235)/(AB2226+AB2235))^$F2244</f>
        <v/>
      </c>
      <c r="AD2244" s="44">
        <f>AC2244*$G2244*(1+AD$7)^$D2244*(AD2226/AC2226)^$E2244*((AD2226+AD2235)/(AC2226+AC2235))^$F2244</f>
        <v/>
      </c>
      <c r="AE2244" s="57">
        <f>FUELUSE(AD2244,AE2226,AD2226,AE2235,AD2235,AE$7,$D2244,$E2244,$F2244,$G2244)</f>
        <v/>
      </c>
      <c r="AG2244" s="11">
        <f>CodePrefix&amp;$A2244&amp;IF($C2244="","","."&amp;$C2244&amp;"."&amp;$B2244)&amp;INDEX(VarEnd,MATCH($A2244,VarKey,0))&amp;AG$5</f>
        <v/>
      </c>
      <c r="AH2244" s="43">
        <f>INDEX(Inputs!$X$5:$X$132,MATCH($B2244&amp;"|"&amp;$C2244,Inputs!$A$5:$A$132,0))</f>
        <v/>
      </c>
      <c r="AI2244" s="44">
        <f>AH2244*$G2244*(1+AI$7)^$D2244*(AI2226/AH2226)^$E2244*((AI2226+AI2235)/(AH2226+AH2235))^$F2244</f>
        <v/>
      </c>
      <c r="AJ2244" s="44">
        <f>AI2244*$G2244*(1+AJ$7)^$D2244*(AJ2226/AI2226)^$E2244*((AJ2226+AJ2235)/(AI2226+AI2235))^$F2244</f>
        <v/>
      </c>
      <c r="AK2244" s="44">
        <f>AJ2244*$G2244*(1+AK$7)^$D2244*(AK2226/AJ2226)^$E2244*((AK2226+AK2235)/(AJ2226+AJ2235))^$F2244</f>
        <v/>
      </c>
      <c r="AL2244" s="44">
        <f>AK2244*$G2244*(1+AL$7)^$D2244*(AL2226/AK2226)^$E2244*((AL2226+AL2235)/(AK2226+AK2235))^$F2244</f>
        <v/>
      </c>
      <c r="AM2244" s="44">
        <f>AL2244*$G2244*(1+AM$7)^$D2244*(AM2226/AL2226)^$E2244*((AM2226+AM2235)/(AL2226+AL2235))^$F2244</f>
        <v/>
      </c>
      <c r="AN2244" s="44">
        <f>AM2244*$G2244*(1+AN$7)^$D2244*(AN2226/AM2226)^$E2244*((AN2226+AN2235)/(AM2226+AM2235))^$F2244</f>
        <v/>
      </c>
      <c r="AO2244" s="44">
        <f>AN2244*$G2244*(1+AO$7)^$D2244*(AO2226/AN2226)^$E2244*((AO2226+AO2235)/(AN2226+AN2235))^$F2244</f>
        <v/>
      </c>
      <c r="AP2244" s="44">
        <f>AO2244*$G2244*(1+AP$7)^$D2244*(AP2226/AO2226)^$E2244*((AP2226+AP2235)/(AO2226+AO2235))^$F2244</f>
        <v/>
      </c>
      <c r="AQ2244" s="44">
        <f>AP2244*$G2244*(1+AQ$7)^$D2244*(AQ2226/AP2226)^$E2244*((AQ2226+AQ2235)/(AP2226+AP2235))^$F2244</f>
        <v/>
      </c>
      <c r="AR2244" s="44">
        <f>AQ2244*$G2244*(1+AR$7)^$D2244*(AR2226/AQ2226)^$E2244*((AR2226+AR2235)/(AQ2226+AQ2235))^$F2244</f>
        <v/>
      </c>
      <c r="AS2244" s="44">
        <f>AR2244*$G2244*(1+AS$7)^$D2244*(AS2226/AR2226)^$E2244*((AS2226+AS2235)/(AR2226+AR2235))^$F2244</f>
        <v/>
      </c>
      <c r="AT2244" s="44">
        <f>AS2244*$G2244*(1+AT$7)^$D2244*(AT2226/AS2226)^$E2244*((AT2226+AT2235)/(AS2226+AS2235))^$F2244</f>
        <v/>
      </c>
      <c r="AU2244" s="44">
        <f>AT2244*$G2244*(1+AU$7)^$D2244*(AU2226/AT2226)^$E2244*((AU2226+AU2235)/(AT2226+AT2235))^$F2244</f>
        <v/>
      </c>
      <c r="AV2244" s="44">
        <f>AU2244*$G2244*(1+AV$7)^$D2244*(AV2226/AU2226)^$E2244*((AV2226+AV2235)/(AU2226+AU2235))^$F2244</f>
        <v/>
      </c>
      <c r="AW2244" s="44">
        <f>AV2244*$G2244*(1+AW$7)^$D2244*(AW2226/AV2226)^$E2244*((AW2226+AW2235)/(AV2226+AV2235))^$F2244</f>
        <v/>
      </c>
      <c r="AX2244" s="44">
        <f>AW2244*$G2244*(1+AX$7)^$D2244*(AX2226/AW2226)^$E2244*((AX2226+AX2235)/(AW2226+AW2235))^$F2244</f>
        <v/>
      </c>
      <c r="AY2244" s="44">
        <f>AX2244*$G2244*(1+AY$7)^$D2244*(AY2226/AX2226)^$E2244*((AY2226+AY2235)/(AX2226+AX2235))^$F2244</f>
        <v/>
      </c>
      <c r="AZ2244" s="44">
        <f>AY2244*$G2244*(1+AZ$7)^$D2244*(AZ2226/AY2226)^$E2244*((AZ2226+AZ2235)/(AY2226+AY2235))^$F2244</f>
        <v/>
      </c>
      <c r="BA2244" s="57">
        <f>FUELUSE(AZ2244,BA2226,AZ2226,BA2235,AZ2235,BA$7,$D2244,$E2244,$F2244,$G2244)</f>
        <v/>
      </c>
    </row>
    <row r="2245" hidden="1" outlineLevel="2"/>
    <row r="2246" hidden="1" outlineLevel="2">
      <c r="A2246" s="14" t="inlineStr">
        <is>
          <t>co2</t>
        </is>
      </c>
      <c r="B2246" s="14" t="inlineStr">
        <is>
          <t>coa</t>
        </is>
      </c>
      <c r="C2246" s="14" t="inlineStr">
        <is>
          <t>nfm</t>
        </is>
      </c>
      <c r="D2246" s="35">
        <f>INDEX(Inputs!$W$5:$W$132,MATCH($B2246&amp;"|"&amp;$C2246,Inputs!$A$5:$A$132,0))</f>
        <v/>
      </c>
      <c r="E2246" s="39" t="n"/>
      <c r="F2246" s="39" t="n"/>
      <c r="G2246" s="39" t="n"/>
      <c r="H2246" s="14">
        <f>INDEX(VarLab,MATCH($A2246,VarKey,0))&amp;INDEX(MemLab,MATCH($C2246&amp;"|"&amp;$B2246,MemKey,0))</f>
        <v/>
      </c>
      <c r="I2246" s="14">
        <f>INDEX(VarUnit,MATCH($A2246,VarKey,0))</f>
        <v/>
      </c>
      <c r="J2246" s="14">
        <f>INDEX(VarSrc,MATCH($A2246,VarKey,0))</f>
        <v/>
      </c>
      <c r="K2246" s="11">
        <f>CodePrefix&amp;$A2246&amp;IF($C2246="","","."&amp;$C2246&amp;"."&amp;$B2246)&amp;INDEX(VarEnd,MATCH($A2246,VarKey,0))&amp;K$5</f>
        <v/>
      </c>
      <c r="L2246" s="15">
        <f>L2237*Settings!$C$13*$D2246</f>
        <v/>
      </c>
      <c r="M2246" s="16">
        <f>M2237*Settings!$C$13*$D2246</f>
        <v/>
      </c>
      <c r="N2246" s="16">
        <f>N2237*Settings!$C$13*$D2246</f>
        <v/>
      </c>
      <c r="O2246" s="16">
        <f>O2237*Settings!$C$13*$D2246</f>
        <v/>
      </c>
      <c r="P2246" s="16">
        <f>P2237*Settings!$C$13*$D2246</f>
        <v/>
      </c>
      <c r="Q2246" s="16">
        <f>Q2237*Settings!$C$13*$D2246</f>
        <v/>
      </c>
      <c r="R2246" s="16">
        <f>R2237*Settings!$C$13*$D2246</f>
        <v/>
      </c>
      <c r="S2246" s="16">
        <f>S2237*Settings!$C$13*$D2246</f>
        <v/>
      </c>
      <c r="T2246" s="16">
        <f>T2237*Settings!$C$13*$D2246</f>
        <v/>
      </c>
      <c r="U2246" s="16">
        <f>U2237*Settings!$C$13*$D2246</f>
        <v/>
      </c>
      <c r="V2246" s="16">
        <f>V2237*Settings!$C$13*$D2246</f>
        <v/>
      </c>
      <c r="W2246" s="16">
        <f>W2237*Settings!$C$13*$D2246</f>
        <v/>
      </c>
      <c r="X2246" s="16">
        <f>X2237*Settings!$C$13*$D2246</f>
        <v/>
      </c>
      <c r="Y2246" s="16">
        <f>Y2237*Settings!$C$13*$D2246</f>
        <v/>
      </c>
      <c r="Z2246" s="16">
        <f>Z2237*Settings!$C$13*$D2246</f>
        <v/>
      </c>
      <c r="AA2246" s="16">
        <f>AA2237*Settings!$C$13*$D2246</f>
        <v/>
      </c>
      <c r="AB2246" s="16">
        <f>AB2237*Settings!$C$13*$D2246</f>
        <v/>
      </c>
      <c r="AC2246" s="16">
        <f>AC2237*Settings!$C$13*$D2246</f>
        <v/>
      </c>
      <c r="AD2246" s="16">
        <f>AD2237*Settings!$C$13*$D2246</f>
        <v/>
      </c>
      <c r="AE2246" s="49">
        <f>EMISSIONS(AE2237,Settings!$C$13,$D2246)</f>
        <v/>
      </c>
      <c r="AG2246" s="11">
        <f>CodePrefix&amp;$A2246&amp;IF($C2246="","","."&amp;$C2246&amp;"."&amp;$B2246)&amp;INDEX(VarEnd,MATCH($A2246,VarKey,0))&amp;AG$5</f>
        <v/>
      </c>
      <c r="AH2246" s="15">
        <f>AH2237*Settings!$C$13*$D2246</f>
        <v/>
      </c>
      <c r="AI2246" s="16">
        <f>AI2237*Settings!$C$13*$D2246</f>
        <v/>
      </c>
      <c r="AJ2246" s="16">
        <f>AJ2237*Settings!$C$13*$D2246</f>
        <v/>
      </c>
      <c r="AK2246" s="16">
        <f>AK2237*Settings!$C$13*$D2246</f>
        <v/>
      </c>
      <c r="AL2246" s="16">
        <f>AL2237*Settings!$C$13*$D2246</f>
        <v/>
      </c>
      <c r="AM2246" s="16">
        <f>AM2237*Settings!$C$13*$D2246</f>
        <v/>
      </c>
      <c r="AN2246" s="16">
        <f>AN2237*Settings!$C$13*$D2246</f>
        <v/>
      </c>
      <c r="AO2246" s="16">
        <f>AO2237*Settings!$C$13*$D2246</f>
        <v/>
      </c>
      <c r="AP2246" s="16">
        <f>AP2237*Settings!$C$13*$D2246</f>
        <v/>
      </c>
      <c r="AQ2246" s="16">
        <f>AQ2237*Settings!$C$13*$D2246</f>
        <v/>
      </c>
      <c r="AR2246" s="16">
        <f>AR2237*Settings!$C$13*$D2246</f>
        <v/>
      </c>
      <c r="AS2246" s="16">
        <f>AS2237*Settings!$C$13*$D2246</f>
        <v/>
      </c>
      <c r="AT2246" s="16">
        <f>AT2237*Settings!$C$13*$D2246</f>
        <v/>
      </c>
      <c r="AU2246" s="16">
        <f>AU2237*Settings!$C$13*$D2246</f>
        <v/>
      </c>
      <c r="AV2246" s="16">
        <f>AV2237*Settings!$C$13*$D2246</f>
        <v/>
      </c>
      <c r="AW2246" s="16">
        <f>AW2237*Settings!$C$13*$D2246</f>
        <v/>
      </c>
      <c r="AX2246" s="16">
        <f>AX2237*Settings!$C$13*$D2246</f>
        <v/>
      </c>
      <c r="AY2246" s="16">
        <f>AY2237*Settings!$C$13*$D2246</f>
        <v/>
      </c>
      <c r="AZ2246" s="16">
        <f>AZ2237*Settings!$C$13*$D2246</f>
        <v/>
      </c>
      <c r="BA2246" s="49">
        <f>EMISSIONS(BA2237,Settings!$C$13,$D2246)</f>
        <v/>
      </c>
    </row>
    <row r="2247" hidden="1" outlineLevel="2">
      <c r="A2247" s="14" t="inlineStr">
        <is>
          <t>co2</t>
        </is>
      </c>
      <c r="B2247" s="14" t="inlineStr">
        <is>
          <t>nga</t>
        </is>
      </c>
      <c r="C2247" s="14" t="inlineStr">
        <is>
          <t>nfm</t>
        </is>
      </c>
      <c r="D2247" s="35">
        <f>INDEX(Inputs!$W$5:$W$132,MATCH($B2247&amp;"|"&amp;$C2247,Inputs!$A$5:$A$132,0))</f>
        <v/>
      </c>
      <c r="E2247" s="39" t="n"/>
      <c r="F2247" s="39" t="n"/>
      <c r="G2247" s="39" t="n"/>
      <c r="H2247" s="14">
        <f>INDEX(VarLab,MATCH($A2247,VarKey,0))&amp;INDEX(MemLab,MATCH($C2247&amp;"|"&amp;$B2247,MemKey,0))</f>
        <v/>
      </c>
      <c r="I2247" s="14">
        <f>INDEX(VarUnit,MATCH($A2247,VarKey,0))</f>
        <v/>
      </c>
      <c r="J2247" s="14">
        <f>INDEX(VarSrc,MATCH($A2247,VarKey,0))</f>
        <v/>
      </c>
      <c r="K2247" s="11">
        <f>CodePrefix&amp;$A2247&amp;IF($C2247="","","."&amp;$C2247&amp;"."&amp;$B2247)&amp;INDEX(VarEnd,MATCH($A2247,VarKey,0))&amp;K$5</f>
        <v/>
      </c>
      <c r="L2247" s="15">
        <f>L2238*Settings!$C$13*$D2247</f>
        <v/>
      </c>
      <c r="M2247" s="16">
        <f>M2238*Settings!$C$13*$D2247</f>
        <v/>
      </c>
      <c r="N2247" s="16">
        <f>N2238*Settings!$C$13*$D2247</f>
        <v/>
      </c>
      <c r="O2247" s="16">
        <f>O2238*Settings!$C$13*$D2247</f>
        <v/>
      </c>
      <c r="P2247" s="16">
        <f>P2238*Settings!$C$13*$D2247</f>
        <v/>
      </c>
      <c r="Q2247" s="16">
        <f>Q2238*Settings!$C$13*$D2247</f>
        <v/>
      </c>
      <c r="R2247" s="16">
        <f>R2238*Settings!$C$13*$D2247</f>
        <v/>
      </c>
      <c r="S2247" s="16">
        <f>S2238*Settings!$C$13*$D2247</f>
        <v/>
      </c>
      <c r="T2247" s="16">
        <f>T2238*Settings!$C$13*$D2247</f>
        <v/>
      </c>
      <c r="U2247" s="16">
        <f>U2238*Settings!$C$13*$D2247</f>
        <v/>
      </c>
      <c r="V2247" s="16">
        <f>V2238*Settings!$C$13*$D2247</f>
        <v/>
      </c>
      <c r="W2247" s="16">
        <f>W2238*Settings!$C$13*$D2247</f>
        <v/>
      </c>
      <c r="X2247" s="16">
        <f>X2238*Settings!$C$13*$D2247</f>
        <v/>
      </c>
      <c r="Y2247" s="16">
        <f>Y2238*Settings!$C$13*$D2247</f>
        <v/>
      </c>
      <c r="Z2247" s="16">
        <f>Z2238*Settings!$C$13*$D2247</f>
        <v/>
      </c>
      <c r="AA2247" s="16">
        <f>AA2238*Settings!$C$13*$D2247</f>
        <v/>
      </c>
      <c r="AB2247" s="16">
        <f>AB2238*Settings!$C$13*$D2247</f>
        <v/>
      </c>
      <c r="AC2247" s="16">
        <f>AC2238*Settings!$C$13*$D2247</f>
        <v/>
      </c>
      <c r="AD2247" s="16">
        <f>AD2238*Settings!$C$13*$D2247</f>
        <v/>
      </c>
      <c r="AE2247" s="49">
        <f>EMISSIONS(AE2238,Settings!$C$13,$D2247)</f>
        <v/>
      </c>
      <c r="AG2247" s="11">
        <f>CodePrefix&amp;$A2247&amp;IF($C2247="","","."&amp;$C2247&amp;"."&amp;$B2247)&amp;INDEX(VarEnd,MATCH($A2247,VarKey,0))&amp;AG$5</f>
        <v/>
      </c>
      <c r="AH2247" s="15">
        <f>AH2238*Settings!$C$13*$D2247</f>
        <v/>
      </c>
      <c r="AI2247" s="16">
        <f>AI2238*Settings!$C$13*$D2247</f>
        <v/>
      </c>
      <c r="AJ2247" s="16">
        <f>AJ2238*Settings!$C$13*$D2247</f>
        <v/>
      </c>
      <c r="AK2247" s="16">
        <f>AK2238*Settings!$C$13*$D2247</f>
        <v/>
      </c>
      <c r="AL2247" s="16">
        <f>AL2238*Settings!$C$13*$D2247</f>
        <v/>
      </c>
      <c r="AM2247" s="16">
        <f>AM2238*Settings!$C$13*$D2247</f>
        <v/>
      </c>
      <c r="AN2247" s="16">
        <f>AN2238*Settings!$C$13*$D2247</f>
        <v/>
      </c>
      <c r="AO2247" s="16">
        <f>AO2238*Settings!$C$13*$D2247</f>
        <v/>
      </c>
      <c r="AP2247" s="16">
        <f>AP2238*Settings!$C$13*$D2247</f>
        <v/>
      </c>
      <c r="AQ2247" s="16">
        <f>AQ2238*Settings!$C$13*$D2247</f>
        <v/>
      </c>
      <c r="AR2247" s="16">
        <f>AR2238*Settings!$C$13*$D2247</f>
        <v/>
      </c>
      <c r="AS2247" s="16">
        <f>AS2238*Settings!$C$13*$D2247</f>
        <v/>
      </c>
      <c r="AT2247" s="16">
        <f>AT2238*Settings!$C$13*$D2247</f>
        <v/>
      </c>
      <c r="AU2247" s="16">
        <f>AU2238*Settings!$C$13*$D2247</f>
        <v/>
      </c>
      <c r="AV2247" s="16">
        <f>AV2238*Settings!$C$13*$D2247</f>
        <v/>
      </c>
      <c r="AW2247" s="16">
        <f>AW2238*Settings!$C$13*$D2247</f>
        <v/>
      </c>
      <c r="AX2247" s="16">
        <f>AX2238*Settings!$C$13*$D2247</f>
        <v/>
      </c>
      <c r="AY2247" s="16">
        <f>AY2238*Settings!$C$13*$D2247</f>
        <v/>
      </c>
      <c r="AZ2247" s="16">
        <f>AZ2238*Settings!$C$13*$D2247</f>
        <v/>
      </c>
      <c r="BA2247" s="49">
        <f>EMISSIONS(BA2238,Settings!$C$13,$D2247)</f>
        <v/>
      </c>
    </row>
    <row r="2248" hidden="1" outlineLevel="2">
      <c r="A2248" s="14" t="inlineStr">
        <is>
          <t>co2</t>
        </is>
      </c>
      <c r="B2248" s="14" t="inlineStr">
        <is>
          <t>gso</t>
        </is>
      </c>
      <c r="C2248" s="14" t="inlineStr">
        <is>
          <t>nfm</t>
        </is>
      </c>
      <c r="D2248" s="35">
        <f>INDEX(Inputs!$W$5:$W$132,MATCH($B2248&amp;"|"&amp;$C2248,Inputs!$A$5:$A$132,0))</f>
        <v/>
      </c>
      <c r="E2248" s="39" t="n"/>
      <c r="F2248" s="39" t="n"/>
      <c r="G2248" s="39" t="n"/>
      <c r="H2248" s="14">
        <f>INDEX(VarLab,MATCH($A2248,VarKey,0))&amp;INDEX(MemLab,MATCH($C2248&amp;"|"&amp;$B2248,MemKey,0))</f>
        <v/>
      </c>
      <c r="I2248" s="14">
        <f>INDEX(VarUnit,MATCH($A2248,VarKey,0))</f>
        <v/>
      </c>
      <c r="J2248" s="14">
        <f>INDEX(VarSrc,MATCH($A2248,VarKey,0))</f>
        <v/>
      </c>
      <c r="K2248" s="11">
        <f>CodePrefix&amp;$A2248&amp;IF($C2248="","","."&amp;$C2248&amp;"."&amp;$B2248)&amp;INDEX(VarEnd,MATCH($A2248,VarKey,0))&amp;K$5</f>
        <v/>
      </c>
      <c r="L2248" s="15">
        <f>L2239*Settings!$C$13*$D2248</f>
        <v/>
      </c>
      <c r="M2248" s="16">
        <f>M2239*Settings!$C$13*$D2248</f>
        <v/>
      </c>
      <c r="N2248" s="16">
        <f>N2239*Settings!$C$13*$D2248</f>
        <v/>
      </c>
      <c r="O2248" s="16">
        <f>O2239*Settings!$C$13*$D2248</f>
        <v/>
      </c>
      <c r="P2248" s="16">
        <f>P2239*Settings!$C$13*$D2248</f>
        <v/>
      </c>
      <c r="Q2248" s="16">
        <f>Q2239*Settings!$C$13*$D2248</f>
        <v/>
      </c>
      <c r="R2248" s="16">
        <f>R2239*Settings!$C$13*$D2248</f>
        <v/>
      </c>
      <c r="S2248" s="16">
        <f>S2239*Settings!$C$13*$D2248</f>
        <v/>
      </c>
      <c r="T2248" s="16">
        <f>T2239*Settings!$C$13*$D2248</f>
        <v/>
      </c>
      <c r="U2248" s="16">
        <f>U2239*Settings!$C$13*$D2248</f>
        <v/>
      </c>
      <c r="V2248" s="16">
        <f>V2239*Settings!$C$13*$D2248</f>
        <v/>
      </c>
      <c r="W2248" s="16">
        <f>W2239*Settings!$C$13*$D2248</f>
        <v/>
      </c>
      <c r="X2248" s="16">
        <f>X2239*Settings!$C$13*$D2248</f>
        <v/>
      </c>
      <c r="Y2248" s="16">
        <f>Y2239*Settings!$C$13*$D2248</f>
        <v/>
      </c>
      <c r="Z2248" s="16">
        <f>Z2239*Settings!$C$13*$D2248</f>
        <v/>
      </c>
      <c r="AA2248" s="16">
        <f>AA2239*Settings!$C$13*$D2248</f>
        <v/>
      </c>
      <c r="AB2248" s="16">
        <f>AB2239*Settings!$C$13*$D2248</f>
        <v/>
      </c>
      <c r="AC2248" s="16">
        <f>AC2239*Settings!$C$13*$D2248</f>
        <v/>
      </c>
      <c r="AD2248" s="16">
        <f>AD2239*Settings!$C$13*$D2248</f>
        <v/>
      </c>
      <c r="AE2248" s="49">
        <f>EMISSIONS(AE2239,Settings!$C$13,$D2248)</f>
        <v/>
      </c>
      <c r="AG2248" s="11">
        <f>CodePrefix&amp;$A2248&amp;IF($C2248="","","."&amp;$C2248&amp;"."&amp;$B2248)&amp;INDEX(VarEnd,MATCH($A2248,VarKey,0))&amp;AG$5</f>
        <v/>
      </c>
      <c r="AH2248" s="15">
        <f>AH2239*Settings!$C$13*$D2248</f>
        <v/>
      </c>
      <c r="AI2248" s="16">
        <f>AI2239*Settings!$C$13*$D2248</f>
        <v/>
      </c>
      <c r="AJ2248" s="16">
        <f>AJ2239*Settings!$C$13*$D2248</f>
        <v/>
      </c>
      <c r="AK2248" s="16">
        <f>AK2239*Settings!$C$13*$D2248</f>
        <v/>
      </c>
      <c r="AL2248" s="16">
        <f>AL2239*Settings!$C$13*$D2248</f>
        <v/>
      </c>
      <c r="AM2248" s="16">
        <f>AM2239*Settings!$C$13*$D2248</f>
        <v/>
      </c>
      <c r="AN2248" s="16">
        <f>AN2239*Settings!$C$13*$D2248</f>
        <v/>
      </c>
      <c r="AO2248" s="16">
        <f>AO2239*Settings!$C$13*$D2248</f>
        <v/>
      </c>
      <c r="AP2248" s="16">
        <f>AP2239*Settings!$C$13*$D2248</f>
        <v/>
      </c>
      <c r="AQ2248" s="16">
        <f>AQ2239*Settings!$C$13*$D2248</f>
        <v/>
      </c>
      <c r="AR2248" s="16">
        <f>AR2239*Settings!$C$13*$D2248</f>
        <v/>
      </c>
      <c r="AS2248" s="16">
        <f>AS2239*Settings!$C$13*$D2248</f>
        <v/>
      </c>
      <c r="AT2248" s="16">
        <f>AT2239*Settings!$C$13*$D2248</f>
        <v/>
      </c>
      <c r="AU2248" s="16">
        <f>AU2239*Settings!$C$13*$D2248</f>
        <v/>
      </c>
      <c r="AV2248" s="16">
        <f>AV2239*Settings!$C$13*$D2248</f>
        <v/>
      </c>
      <c r="AW2248" s="16">
        <f>AW2239*Settings!$C$13*$D2248</f>
        <v/>
      </c>
      <c r="AX2248" s="16">
        <f>AX2239*Settings!$C$13*$D2248</f>
        <v/>
      </c>
      <c r="AY2248" s="16">
        <f>AY2239*Settings!$C$13*$D2248</f>
        <v/>
      </c>
      <c r="AZ2248" s="16">
        <f>AZ2239*Settings!$C$13*$D2248</f>
        <v/>
      </c>
      <c r="BA2248" s="49">
        <f>EMISSIONS(BA2239,Settings!$C$13,$D2248)</f>
        <v/>
      </c>
    </row>
    <row r="2249" hidden="1" outlineLevel="2">
      <c r="A2249" s="14" t="inlineStr">
        <is>
          <t>co2</t>
        </is>
      </c>
      <c r="B2249" s="14" t="inlineStr">
        <is>
          <t>die</t>
        </is>
      </c>
      <c r="C2249" s="14" t="inlineStr">
        <is>
          <t>nfm</t>
        </is>
      </c>
      <c r="D2249" s="35">
        <f>INDEX(Inputs!$W$5:$W$132,MATCH($B2249&amp;"|"&amp;$C2249,Inputs!$A$5:$A$132,0))</f>
        <v/>
      </c>
      <c r="E2249" s="39" t="n"/>
      <c r="F2249" s="39" t="n"/>
      <c r="G2249" s="39" t="n"/>
      <c r="H2249" s="14">
        <f>INDEX(VarLab,MATCH($A2249,VarKey,0))&amp;INDEX(MemLab,MATCH($C2249&amp;"|"&amp;$B2249,MemKey,0))</f>
        <v/>
      </c>
      <c r="I2249" s="14">
        <f>INDEX(VarUnit,MATCH($A2249,VarKey,0))</f>
        <v/>
      </c>
      <c r="J2249" s="14">
        <f>INDEX(VarSrc,MATCH($A2249,VarKey,0))</f>
        <v/>
      </c>
      <c r="K2249" s="11">
        <f>CodePrefix&amp;$A2249&amp;IF($C2249="","","."&amp;$C2249&amp;"."&amp;$B2249)&amp;INDEX(VarEnd,MATCH($A2249,VarKey,0))&amp;K$5</f>
        <v/>
      </c>
      <c r="L2249" s="15">
        <f>L2240*Settings!$C$13*$D2249</f>
        <v/>
      </c>
      <c r="M2249" s="16">
        <f>M2240*Settings!$C$13*$D2249</f>
        <v/>
      </c>
      <c r="N2249" s="16">
        <f>N2240*Settings!$C$13*$D2249</f>
        <v/>
      </c>
      <c r="O2249" s="16">
        <f>O2240*Settings!$C$13*$D2249</f>
        <v/>
      </c>
      <c r="P2249" s="16">
        <f>P2240*Settings!$C$13*$D2249</f>
        <v/>
      </c>
      <c r="Q2249" s="16">
        <f>Q2240*Settings!$C$13*$D2249</f>
        <v/>
      </c>
      <c r="R2249" s="16">
        <f>R2240*Settings!$C$13*$D2249</f>
        <v/>
      </c>
      <c r="S2249" s="16">
        <f>S2240*Settings!$C$13*$D2249</f>
        <v/>
      </c>
      <c r="T2249" s="16">
        <f>T2240*Settings!$C$13*$D2249</f>
        <v/>
      </c>
      <c r="U2249" s="16">
        <f>U2240*Settings!$C$13*$D2249</f>
        <v/>
      </c>
      <c r="V2249" s="16">
        <f>V2240*Settings!$C$13*$D2249</f>
        <v/>
      </c>
      <c r="W2249" s="16">
        <f>W2240*Settings!$C$13*$D2249</f>
        <v/>
      </c>
      <c r="X2249" s="16">
        <f>X2240*Settings!$C$13*$D2249</f>
        <v/>
      </c>
      <c r="Y2249" s="16">
        <f>Y2240*Settings!$C$13*$D2249</f>
        <v/>
      </c>
      <c r="Z2249" s="16">
        <f>Z2240*Settings!$C$13*$D2249</f>
        <v/>
      </c>
      <c r="AA2249" s="16">
        <f>AA2240*Settings!$C$13*$D2249</f>
        <v/>
      </c>
      <c r="AB2249" s="16">
        <f>AB2240*Settings!$C$13*$D2249</f>
        <v/>
      </c>
      <c r="AC2249" s="16">
        <f>AC2240*Settings!$C$13*$D2249</f>
        <v/>
      </c>
      <c r="AD2249" s="16">
        <f>AD2240*Settings!$C$13*$D2249</f>
        <v/>
      </c>
      <c r="AE2249" s="49">
        <f>EMISSIONS(AE2240,Settings!$C$13,$D2249)</f>
        <v/>
      </c>
      <c r="AG2249" s="11">
        <f>CodePrefix&amp;$A2249&amp;IF($C2249="","","."&amp;$C2249&amp;"."&amp;$B2249)&amp;INDEX(VarEnd,MATCH($A2249,VarKey,0))&amp;AG$5</f>
        <v/>
      </c>
      <c r="AH2249" s="15">
        <f>AH2240*Settings!$C$13*$D2249</f>
        <v/>
      </c>
      <c r="AI2249" s="16">
        <f>AI2240*Settings!$C$13*$D2249</f>
        <v/>
      </c>
      <c r="AJ2249" s="16">
        <f>AJ2240*Settings!$C$13*$D2249</f>
        <v/>
      </c>
      <c r="AK2249" s="16">
        <f>AK2240*Settings!$C$13*$D2249</f>
        <v/>
      </c>
      <c r="AL2249" s="16">
        <f>AL2240*Settings!$C$13*$D2249</f>
        <v/>
      </c>
      <c r="AM2249" s="16">
        <f>AM2240*Settings!$C$13*$D2249</f>
        <v/>
      </c>
      <c r="AN2249" s="16">
        <f>AN2240*Settings!$C$13*$D2249</f>
        <v/>
      </c>
      <c r="AO2249" s="16">
        <f>AO2240*Settings!$C$13*$D2249</f>
        <v/>
      </c>
      <c r="AP2249" s="16">
        <f>AP2240*Settings!$C$13*$D2249</f>
        <v/>
      </c>
      <c r="AQ2249" s="16">
        <f>AQ2240*Settings!$C$13*$D2249</f>
        <v/>
      </c>
      <c r="AR2249" s="16">
        <f>AR2240*Settings!$C$13*$D2249</f>
        <v/>
      </c>
      <c r="AS2249" s="16">
        <f>AS2240*Settings!$C$13*$D2249</f>
        <v/>
      </c>
      <c r="AT2249" s="16">
        <f>AT2240*Settings!$C$13*$D2249</f>
        <v/>
      </c>
      <c r="AU2249" s="16">
        <f>AU2240*Settings!$C$13*$D2249</f>
        <v/>
      </c>
      <c r="AV2249" s="16">
        <f>AV2240*Settings!$C$13*$D2249</f>
        <v/>
      </c>
      <c r="AW2249" s="16">
        <f>AW2240*Settings!$C$13*$D2249</f>
        <v/>
      </c>
      <c r="AX2249" s="16">
        <f>AX2240*Settings!$C$13*$D2249</f>
        <v/>
      </c>
      <c r="AY2249" s="16">
        <f>AY2240*Settings!$C$13*$D2249</f>
        <v/>
      </c>
      <c r="AZ2249" s="16">
        <f>AZ2240*Settings!$C$13*$D2249</f>
        <v/>
      </c>
      <c r="BA2249" s="49">
        <f>EMISSIONS(BA2240,Settings!$C$13,$D2249)</f>
        <v/>
      </c>
    </row>
    <row r="2250" hidden="1" outlineLevel="2">
      <c r="A2250" s="14" t="inlineStr">
        <is>
          <t>co2</t>
        </is>
      </c>
      <c r="B2250" s="14" t="inlineStr">
        <is>
          <t>lpg</t>
        </is>
      </c>
      <c r="C2250" s="14" t="inlineStr">
        <is>
          <t>nfm</t>
        </is>
      </c>
      <c r="D2250" s="35">
        <f>INDEX(Inputs!$W$5:$W$132,MATCH($B2250&amp;"|"&amp;$C2250,Inputs!$A$5:$A$132,0))</f>
        <v/>
      </c>
      <c r="E2250" s="39" t="n"/>
      <c r="F2250" s="39" t="n"/>
      <c r="G2250" s="39" t="n"/>
      <c r="H2250" s="14">
        <f>INDEX(VarLab,MATCH($A2250,VarKey,0))&amp;INDEX(MemLab,MATCH($C2250&amp;"|"&amp;$B2250,MemKey,0))</f>
        <v/>
      </c>
      <c r="I2250" s="14">
        <f>INDEX(VarUnit,MATCH($A2250,VarKey,0))</f>
        <v/>
      </c>
      <c r="J2250" s="14">
        <f>INDEX(VarSrc,MATCH($A2250,VarKey,0))</f>
        <v/>
      </c>
      <c r="K2250" s="11">
        <f>CodePrefix&amp;$A2250&amp;IF($C2250="","","."&amp;$C2250&amp;"."&amp;$B2250)&amp;INDEX(VarEnd,MATCH($A2250,VarKey,0))&amp;K$5</f>
        <v/>
      </c>
      <c r="L2250" s="15">
        <f>L2241*Settings!$C$13*$D2250</f>
        <v/>
      </c>
      <c r="M2250" s="16">
        <f>M2241*Settings!$C$13*$D2250</f>
        <v/>
      </c>
      <c r="N2250" s="16">
        <f>N2241*Settings!$C$13*$D2250</f>
        <v/>
      </c>
      <c r="O2250" s="16">
        <f>O2241*Settings!$C$13*$D2250</f>
        <v/>
      </c>
      <c r="P2250" s="16">
        <f>P2241*Settings!$C$13*$D2250</f>
        <v/>
      </c>
      <c r="Q2250" s="16">
        <f>Q2241*Settings!$C$13*$D2250</f>
        <v/>
      </c>
      <c r="R2250" s="16">
        <f>R2241*Settings!$C$13*$D2250</f>
        <v/>
      </c>
      <c r="S2250" s="16">
        <f>S2241*Settings!$C$13*$D2250</f>
        <v/>
      </c>
      <c r="T2250" s="16">
        <f>T2241*Settings!$C$13*$D2250</f>
        <v/>
      </c>
      <c r="U2250" s="16">
        <f>U2241*Settings!$C$13*$D2250</f>
        <v/>
      </c>
      <c r="V2250" s="16">
        <f>V2241*Settings!$C$13*$D2250</f>
        <v/>
      </c>
      <c r="W2250" s="16">
        <f>W2241*Settings!$C$13*$D2250</f>
        <v/>
      </c>
      <c r="X2250" s="16">
        <f>X2241*Settings!$C$13*$D2250</f>
        <v/>
      </c>
      <c r="Y2250" s="16">
        <f>Y2241*Settings!$C$13*$D2250</f>
        <v/>
      </c>
      <c r="Z2250" s="16">
        <f>Z2241*Settings!$C$13*$D2250</f>
        <v/>
      </c>
      <c r="AA2250" s="16">
        <f>AA2241*Settings!$C$13*$D2250</f>
        <v/>
      </c>
      <c r="AB2250" s="16">
        <f>AB2241*Settings!$C$13*$D2250</f>
        <v/>
      </c>
      <c r="AC2250" s="16">
        <f>AC2241*Settings!$C$13*$D2250</f>
        <v/>
      </c>
      <c r="AD2250" s="16">
        <f>AD2241*Settings!$C$13*$D2250</f>
        <v/>
      </c>
      <c r="AE2250" s="49">
        <f>EMISSIONS(AE2241,Settings!$C$13,$D2250)</f>
        <v/>
      </c>
      <c r="AG2250" s="11">
        <f>CodePrefix&amp;$A2250&amp;IF($C2250="","","."&amp;$C2250&amp;"."&amp;$B2250)&amp;INDEX(VarEnd,MATCH($A2250,VarKey,0))&amp;AG$5</f>
        <v/>
      </c>
      <c r="AH2250" s="15">
        <f>AH2241*Settings!$C$13*$D2250</f>
        <v/>
      </c>
      <c r="AI2250" s="16">
        <f>AI2241*Settings!$C$13*$D2250</f>
        <v/>
      </c>
      <c r="AJ2250" s="16">
        <f>AJ2241*Settings!$C$13*$D2250</f>
        <v/>
      </c>
      <c r="AK2250" s="16">
        <f>AK2241*Settings!$C$13*$D2250</f>
        <v/>
      </c>
      <c r="AL2250" s="16">
        <f>AL2241*Settings!$C$13*$D2250</f>
        <v/>
      </c>
      <c r="AM2250" s="16">
        <f>AM2241*Settings!$C$13*$D2250</f>
        <v/>
      </c>
      <c r="AN2250" s="16">
        <f>AN2241*Settings!$C$13*$D2250</f>
        <v/>
      </c>
      <c r="AO2250" s="16">
        <f>AO2241*Settings!$C$13*$D2250</f>
        <v/>
      </c>
      <c r="AP2250" s="16">
        <f>AP2241*Settings!$C$13*$D2250</f>
        <v/>
      </c>
      <c r="AQ2250" s="16">
        <f>AQ2241*Settings!$C$13*$D2250</f>
        <v/>
      </c>
      <c r="AR2250" s="16">
        <f>AR2241*Settings!$C$13*$D2250</f>
        <v/>
      </c>
      <c r="AS2250" s="16">
        <f>AS2241*Settings!$C$13*$D2250</f>
        <v/>
      </c>
      <c r="AT2250" s="16">
        <f>AT2241*Settings!$C$13*$D2250</f>
        <v/>
      </c>
      <c r="AU2250" s="16">
        <f>AU2241*Settings!$C$13*$D2250</f>
        <v/>
      </c>
      <c r="AV2250" s="16">
        <f>AV2241*Settings!$C$13*$D2250</f>
        <v/>
      </c>
      <c r="AW2250" s="16">
        <f>AW2241*Settings!$C$13*$D2250</f>
        <v/>
      </c>
      <c r="AX2250" s="16">
        <f>AX2241*Settings!$C$13*$D2250</f>
        <v/>
      </c>
      <c r="AY2250" s="16">
        <f>AY2241*Settings!$C$13*$D2250</f>
        <v/>
      </c>
      <c r="AZ2250" s="16">
        <f>AZ2241*Settings!$C$13*$D2250</f>
        <v/>
      </c>
      <c r="BA2250" s="49">
        <f>EMISSIONS(BA2241,Settings!$C$13,$D2250)</f>
        <v/>
      </c>
    </row>
    <row r="2251" hidden="1" outlineLevel="2">
      <c r="A2251" s="14" t="inlineStr">
        <is>
          <t>co2</t>
        </is>
      </c>
      <c r="B2251" s="14" t="inlineStr">
        <is>
          <t>ker</t>
        </is>
      </c>
      <c r="C2251" s="14" t="inlineStr">
        <is>
          <t>nfm</t>
        </is>
      </c>
      <c r="D2251" s="35">
        <f>INDEX(Inputs!$W$5:$W$132,MATCH($B2251&amp;"|"&amp;$C2251,Inputs!$A$5:$A$132,0))</f>
        <v/>
      </c>
      <c r="E2251" s="39" t="n"/>
      <c r="F2251" s="39" t="n"/>
      <c r="G2251" s="39" t="n"/>
      <c r="H2251" s="14">
        <f>INDEX(VarLab,MATCH($A2251,VarKey,0))&amp;INDEX(MemLab,MATCH($C2251&amp;"|"&amp;$B2251,MemKey,0))</f>
        <v/>
      </c>
      <c r="I2251" s="14">
        <f>INDEX(VarUnit,MATCH($A2251,VarKey,0))</f>
        <v/>
      </c>
      <c r="J2251" s="14">
        <f>INDEX(VarSrc,MATCH($A2251,VarKey,0))</f>
        <v/>
      </c>
      <c r="K2251" s="11">
        <f>CodePrefix&amp;$A2251&amp;IF($C2251="","","."&amp;$C2251&amp;"."&amp;$B2251)&amp;INDEX(VarEnd,MATCH($A2251,VarKey,0))&amp;K$5</f>
        <v/>
      </c>
      <c r="L2251" s="15">
        <f>L2242*Settings!$C$13*$D2251</f>
        <v/>
      </c>
      <c r="M2251" s="16">
        <f>M2242*Settings!$C$13*$D2251</f>
        <v/>
      </c>
      <c r="N2251" s="16">
        <f>N2242*Settings!$C$13*$D2251</f>
        <v/>
      </c>
      <c r="O2251" s="16">
        <f>O2242*Settings!$C$13*$D2251</f>
        <v/>
      </c>
      <c r="P2251" s="16">
        <f>P2242*Settings!$C$13*$D2251</f>
        <v/>
      </c>
      <c r="Q2251" s="16">
        <f>Q2242*Settings!$C$13*$D2251</f>
        <v/>
      </c>
      <c r="R2251" s="16">
        <f>R2242*Settings!$C$13*$D2251</f>
        <v/>
      </c>
      <c r="S2251" s="16">
        <f>S2242*Settings!$C$13*$D2251</f>
        <v/>
      </c>
      <c r="T2251" s="16">
        <f>T2242*Settings!$C$13*$D2251</f>
        <v/>
      </c>
      <c r="U2251" s="16">
        <f>U2242*Settings!$C$13*$D2251</f>
        <v/>
      </c>
      <c r="V2251" s="16">
        <f>V2242*Settings!$C$13*$D2251</f>
        <v/>
      </c>
      <c r="W2251" s="16">
        <f>W2242*Settings!$C$13*$D2251</f>
        <v/>
      </c>
      <c r="X2251" s="16">
        <f>X2242*Settings!$C$13*$D2251</f>
        <v/>
      </c>
      <c r="Y2251" s="16">
        <f>Y2242*Settings!$C$13*$D2251</f>
        <v/>
      </c>
      <c r="Z2251" s="16">
        <f>Z2242*Settings!$C$13*$D2251</f>
        <v/>
      </c>
      <c r="AA2251" s="16">
        <f>AA2242*Settings!$C$13*$D2251</f>
        <v/>
      </c>
      <c r="AB2251" s="16">
        <f>AB2242*Settings!$C$13*$D2251</f>
        <v/>
      </c>
      <c r="AC2251" s="16">
        <f>AC2242*Settings!$C$13*$D2251</f>
        <v/>
      </c>
      <c r="AD2251" s="16">
        <f>AD2242*Settings!$C$13*$D2251</f>
        <v/>
      </c>
      <c r="AE2251" s="49">
        <f>EMISSIONS(AE2242,Settings!$C$13,$D2251)</f>
        <v/>
      </c>
      <c r="AG2251" s="11">
        <f>CodePrefix&amp;$A2251&amp;IF($C2251="","","."&amp;$C2251&amp;"."&amp;$B2251)&amp;INDEX(VarEnd,MATCH($A2251,VarKey,0))&amp;AG$5</f>
        <v/>
      </c>
      <c r="AH2251" s="15">
        <f>AH2242*Settings!$C$13*$D2251</f>
        <v/>
      </c>
      <c r="AI2251" s="16">
        <f>AI2242*Settings!$C$13*$D2251</f>
        <v/>
      </c>
      <c r="AJ2251" s="16">
        <f>AJ2242*Settings!$C$13*$D2251</f>
        <v/>
      </c>
      <c r="AK2251" s="16">
        <f>AK2242*Settings!$C$13*$D2251</f>
        <v/>
      </c>
      <c r="AL2251" s="16">
        <f>AL2242*Settings!$C$13*$D2251</f>
        <v/>
      </c>
      <c r="AM2251" s="16">
        <f>AM2242*Settings!$C$13*$D2251</f>
        <v/>
      </c>
      <c r="AN2251" s="16">
        <f>AN2242*Settings!$C$13*$D2251</f>
        <v/>
      </c>
      <c r="AO2251" s="16">
        <f>AO2242*Settings!$C$13*$D2251</f>
        <v/>
      </c>
      <c r="AP2251" s="16">
        <f>AP2242*Settings!$C$13*$D2251</f>
        <v/>
      </c>
      <c r="AQ2251" s="16">
        <f>AQ2242*Settings!$C$13*$D2251</f>
        <v/>
      </c>
      <c r="AR2251" s="16">
        <f>AR2242*Settings!$C$13*$D2251</f>
        <v/>
      </c>
      <c r="AS2251" s="16">
        <f>AS2242*Settings!$C$13*$D2251</f>
        <v/>
      </c>
      <c r="AT2251" s="16">
        <f>AT2242*Settings!$C$13*$D2251</f>
        <v/>
      </c>
      <c r="AU2251" s="16">
        <f>AU2242*Settings!$C$13*$D2251</f>
        <v/>
      </c>
      <c r="AV2251" s="16">
        <f>AV2242*Settings!$C$13*$D2251</f>
        <v/>
      </c>
      <c r="AW2251" s="16">
        <f>AW2242*Settings!$C$13*$D2251</f>
        <v/>
      </c>
      <c r="AX2251" s="16">
        <f>AX2242*Settings!$C$13*$D2251</f>
        <v/>
      </c>
      <c r="AY2251" s="16">
        <f>AY2242*Settings!$C$13*$D2251</f>
        <v/>
      </c>
      <c r="AZ2251" s="16">
        <f>AZ2242*Settings!$C$13*$D2251</f>
        <v/>
      </c>
      <c r="BA2251" s="49">
        <f>EMISSIONS(BA2242,Settings!$C$13,$D2251)</f>
        <v/>
      </c>
    </row>
    <row r="2252" hidden="1" outlineLevel="2">
      <c r="A2252" s="14" t="inlineStr">
        <is>
          <t>co2</t>
        </is>
      </c>
      <c r="B2252" s="14" t="inlineStr">
        <is>
          <t>oop</t>
        </is>
      </c>
      <c r="C2252" s="14" t="inlineStr">
        <is>
          <t>nfm</t>
        </is>
      </c>
      <c r="D2252" s="35">
        <f>INDEX(Inputs!$W$5:$W$132,MATCH($B2252&amp;"|"&amp;$C2252,Inputs!$A$5:$A$132,0))</f>
        <v/>
      </c>
      <c r="E2252" s="39" t="n"/>
      <c r="F2252" s="39" t="n"/>
      <c r="G2252" s="39" t="n"/>
      <c r="H2252" s="14">
        <f>INDEX(VarLab,MATCH($A2252,VarKey,0))&amp;INDEX(MemLab,MATCH($C2252&amp;"|"&amp;$B2252,MemKey,0))</f>
        <v/>
      </c>
      <c r="I2252" s="14">
        <f>INDEX(VarUnit,MATCH($A2252,VarKey,0))</f>
        <v/>
      </c>
      <c r="J2252" s="14">
        <f>INDEX(VarSrc,MATCH($A2252,VarKey,0))</f>
        <v/>
      </c>
      <c r="K2252" s="11">
        <f>CodePrefix&amp;$A2252&amp;IF($C2252="","","."&amp;$C2252&amp;"."&amp;$B2252)&amp;INDEX(VarEnd,MATCH($A2252,VarKey,0))&amp;K$5</f>
        <v/>
      </c>
      <c r="L2252" s="15">
        <f>L2243*Settings!$C$13*$D2252</f>
        <v/>
      </c>
      <c r="M2252" s="16">
        <f>M2243*Settings!$C$13*$D2252</f>
        <v/>
      </c>
      <c r="N2252" s="16">
        <f>N2243*Settings!$C$13*$D2252</f>
        <v/>
      </c>
      <c r="O2252" s="16">
        <f>O2243*Settings!$C$13*$D2252</f>
        <v/>
      </c>
      <c r="P2252" s="16">
        <f>P2243*Settings!$C$13*$D2252</f>
        <v/>
      </c>
      <c r="Q2252" s="16">
        <f>Q2243*Settings!$C$13*$D2252</f>
        <v/>
      </c>
      <c r="R2252" s="16">
        <f>R2243*Settings!$C$13*$D2252</f>
        <v/>
      </c>
      <c r="S2252" s="16">
        <f>S2243*Settings!$C$13*$D2252</f>
        <v/>
      </c>
      <c r="T2252" s="16">
        <f>T2243*Settings!$C$13*$D2252</f>
        <v/>
      </c>
      <c r="U2252" s="16">
        <f>U2243*Settings!$C$13*$D2252</f>
        <v/>
      </c>
      <c r="V2252" s="16">
        <f>V2243*Settings!$C$13*$D2252</f>
        <v/>
      </c>
      <c r="W2252" s="16">
        <f>W2243*Settings!$C$13*$D2252</f>
        <v/>
      </c>
      <c r="X2252" s="16">
        <f>X2243*Settings!$C$13*$D2252</f>
        <v/>
      </c>
      <c r="Y2252" s="16">
        <f>Y2243*Settings!$C$13*$D2252</f>
        <v/>
      </c>
      <c r="Z2252" s="16">
        <f>Z2243*Settings!$C$13*$D2252</f>
        <v/>
      </c>
      <c r="AA2252" s="16">
        <f>AA2243*Settings!$C$13*$D2252</f>
        <v/>
      </c>
      <c r="AB2252" s="16">
        <f>AB2243*Settings!$C$13*$D2252</f>
        <v/>
      </c>
      <c r="AC2252" s="16">
        <f>AC2243*Settings!$C$13*$D2252</f>
        <v/>
      </c>
      <c r="AD2252" s="16">
        <f>AD2243*Settings!$C$13*$D2252</f>
        <v/>
      </c>
      <c r="AE2252" s="49">
        <f>EMISSIONS(AE2243,Settings!$C$13,$D2252)</f>
        <v/>
      </c>
      <c r="AG2252" s="11">
        <f>CodePrefix&amp;$A2252&amp;IF($C2252="","","."&amp;$C2252&amp;"."&amp;$B2252)&amp;INDEX(VarEnd,MATCH($A2252,VarKey,0))&amp;AG$5</f>
        <v/>
      </c>
      <c r="AH2252" s="15">
        <f>AH2243*Settings!$C$13*$D2252</f>
        <v/>
      </c>
      <c r="AI2252" s="16">
        <f>AI2243*Settings!$C$13*$D2252</f>
        <v/>
      </c>
      <c r="AJ2252" s="16">
        <f>AJ2243*Settings!$C$13*$D2252</f>
        <v/>
      </c>
      <c r="AK2252" s="16">
        <f>AK2243*Settings!$C$13*$D2252</f>
        <v/>
      </c>
      <c r="AL2252" s="16">
        <f>AL2243*Settings!$C$13*$D2252</f>
        <v/>
      </c>
      <c r="AM2252" s="16">
        <f>AM2243*Settings!$C$13*$D2252</f>
        <v/>
      </c>
      <c r="AN2252" s="16">
        <f>AN2243*Settings!$C$13*$D2252</f>
        <v/>
      </c>
      <c r="AO2252" s="16">
        <f>AO2243*Settings!$C$13*$D2252</f>
        <v/>
      </c>
      <c r="AP2252" s="16">
        <f>AP2243*Settings!$C$13*$D2252</f>
        <v/>
      </c>
      <c r="AQ2252" s="16">
        <f>AQ2243*Settings!$C$13*$D2252</f>
        <v/>
      </c>
      <c r="AR2252" s="16">
        <f>AR2243*Settings!$C$13*$D2252</f>
        <v/>
      </c>
      <c r="AS2252" s="16">
        <f>AS2243*Settings!$C$13*$D2252</f>
        <v/>
      </c>
      <c r="AT2252" s="16">
        <f>AT2243*Settings!$C$13*$D2252</f>
        <v/>
      </c>
      <c r="AU2252" s="16">
        <f>AU2243*Settings!$C$13*$D2252</f>
        <v/>
      </c>
      <c r="AV2252" s="16">
        <f>AV2243*Settings!$C$13*$D2252</f>
        <v/>
      </c>
      <c r="AW2252" s="16">
        <f>AW2243*Settings!$C$13*$D2252</f>
        <v/>
      </c>
      <c r="AX2252" s="16">
        <f>AX2243*Settings!$C$13*$D2252</f>
        <v/>
      </c>
      <c r="AY2252" s="16">
        <f>AY2243*Settings!$C$13*$D2252</f>
        <v/>
      </c>
      <c r="AZ2252" s="16">
        <f>AZ2243*Settings!$C$13*$D2252</f>
        <v/>
      </c>
      <c r="BA2252" s="49">
        <f>EMISSIONS(BA2243,Settings!$C$13,$D2252)</f>
        <v/>
      </c>
    </row>
    <row r="2253" hidden="1" outlineLevel="2">
      <c r="A2253" s="14" t="inlineStr">
        <is>
          <t>co2</t>
        </is>
      </c>
      <c r="B2253" s="14" t="inlineStr">
        <is>
          <t>bio</t>
        </is>
      </c>
      <c r="C2253" s="14" t="inlineStr">
        <is>
          <t>nfm</t>
        </is>
      </c>
      <c r="D2253" s="35">
        <f>INDEX(Inputs!$W$5:$W$132,MATCH($B2253&amp;"|"&amp;$C2253,Inputs!$A$5:$A$132,0))</f>
        <v/>
      </c>
      <c r="E2253" s="39" t="n"/>
      <c r="F2253" s="39" t="n"/>
      <c r="G2253" s="39" t="n"/>
      <c r="H2253" s="14">
        <f>INDEX(VarLab,MATCH($A2253,VarKey,0))&amp;INDEX(MemLab,MATCH($C2253&amp;"|"&amp;$B2253,MemKey,0))</f>
        <v/>
      </c>
      <c r="I2253" s="14">
        <f>INDEX(VarUnit,MATCH($A2253,VarKey,0))</f>
        <v/>
      </c>
      <c r="J2253" s="14">
        <f>INDEX(VarSrc,MATCH($A2253,VarKey,0))</f>
        <v/>
      </c>
      <c r="K2253" s="11">
        <f>CodePrefix&amp;$A2253&amp;IF($C2253="","","."&amp;$C2253&amp;"."&amp;$B2253)&amp;INDEX(VarEnd,MATCH($A2253,VarKey,0))&amp;K$5</f>
        <v/>
      </c>
      <c r="L2253" s="15">
        <f>L2244*Settings!$C$13*$D2253</f>
        <v/>
      </c>
      <c r="M2253" s="16">
        <f>M2244*Settings!$C$13*$D2253</f>
        <v/>
      </c>
      <c r="N2253" s="16">
        <f>N2244*Settings!$C$13*$D2253</f>
        <v/>
      </c>
      <c r="O2253" s="16">
        <f>O2244*Settings!$C$13*$D2253</f>
        <v/>
      </c>
      <c r="P2253" s="16">
        <f>P2244*Settings!$C$13*$D2253</f>
        <v/>
      </c>
      <c r="Q2253" s="16">
        <f>Q2244*Settings!$C$13*$D2253</f>
        <v/>
      </c>
      <c r="R2253" s="16">
        <f>R2244*Settings!$C$13*$D2253</f>
        <v/>
      </c>
      <c r="S2253" s="16">
        <f>S2244*Settings!$C$13*$D2253</f>
        <v/>
      </c>
      <c r="T2253" s="16">
        <f>T2244*Settings!$C$13*$D2253</f>
        <v/>
      </c>
      <c r="U2253" s="16">
        <f>U2244*Settings!$C$13*$D2253</f>
        <v/>
      </c>
      <c r="V2253" s="16">
        <f>V2244*Settings!$C$13*$D2253</f>
        <v/>
      </c>
      <c r="W2253" s="16">
        <f>W2244*Settings!$C$13*$D2253</f>
        <v/>
      </c>
      <c r="X2253" s="16">
        <f>X2244*Settings!$C$13*$D2253</f>
        <v/>
      </c>
      <c r="Y2253" s="16">
        <f>Y2244*Settings!$C$13*$D2253</f>
        <v/>
      </c>
      <c r="Z2253" s="16">
        <f>Z2244*Settings!$C$13*$D2253</f>
        <v/>
      </c>
      <c r="AA2253" s="16">
        <f>AA2244*Settings!$C$13*$D2253</f>
        <v/>
      </c>
      <c r="AB2253" s="16">
        <f>AB2244*Settings!$C$13*$D2253</f>
        <v/>
      </c>
      <c r="AC2253" s="16">
        <f>AC2244*Settings!$C$13*$D2253</f>
        <v/>
      </c>
      <c r="AD2253" s="16">
        <f>AD2244*Settings!$C$13*$D2253</f>
        <v/>
      </c>
      <c r="AE2253" s="49">
        <f>EMISSIONS(AE2244,Settings!$C$13,$D2253)</f>
        <v/>
      </c>
      <c r="AG2253" s="11">
        <f>CodePrefix&amp;$A2253&amp;IF($C2253="","","."&amp;$C2253&amp;"."&amp;$B2253)&amp;INDEX(VarEnd,MATCH($A2253,VarKey,0))&amp;AG$5</f>
        <v/>
      </c>
      <c r="AH2253" s="15">
        <f>AH2244*Settings!$C$13*$D2253</f>
        <v/>
      </c>
      <c r="AI2253" s="16">
        <f>AI2244*Settings!$C$13*$D2253</f>
        <v/>
      </c>
      <c r="AJ2253" s="16">
        <f>AJ2244*Settings!$C$13*$D2253</f>
        <v/>
      </c>
      <c r="AK2253" s="16">
        <f>AK2244*Settings!$C$13*$D2253</f>
        <v/>
      </c>
      <c r="AL2253" s="16">
        <f>AL2244*Settings!$C$13*$D2253</f>
        <v/>
      </c>
      <c r="AM2253" s="16">
        <f>AM2244*Settings!$C$13*$D2253</f>
        <v/>
      </c>
      <c r="AN2253" s="16">
        <f>AN2244*Settings!$C$13*$D2253</f>
        <v/>
      </c>
      <c r="AO2253" s="16">
        <f>AO2244*Settings!$C$13*$D2253</f>
        <v/>
      </c>
      <c r="AP2253" s="16">
        <f>AP2244*Settings!$C$13*$D2253</f>
        <v/>
      </c>
      <c r="AQ2253" s="16">
        <f>AQ2244*Settings!$C$13*$D2253</f>
        <v/>
      </c>
      <c r="AR2253" s="16">
        <f>AR2244*Settings!$C$13*$D2253</f>
        <v/>
      </c>
      <c r="AS2253" s="16">
        <f>AS2244*Settings!$C$13*$D2253</f>
        <v/>
      </c>
      <c r="AT2253" s="16">
        <f>AT2244*Settings!$C$13*$D2253</f>
        <v/>
      </c>
      <c r="AU2253" s="16">
        <f>AU2244*Settings!$C$13*$D2253</f>
        <v/>
      </c>
      <c r="AV2253" s="16">
        <f>AV2244*Settings!$C$13*$D2253</f>
        <v/>
      </c>
      <c r="AW2253" s="16">
        <f>AW2244*Settings!$C$13*$D2253</f>
        <v/>
      </c>
      <c r="AX2253" s="16">
        <f>AX2244*Settings!$C$13*$D2253</f>
        <v/>
      </c>
      <c r="AY2253" s="16">
        <f>AY2244*Settings!$C$13*$D2253</f>
        <v/>
      </c>
      <c r="AZ2253" s="16">
        <f>AZ2244*Settings!$C$13*$D2253</f>
        <v/>
      </c>
      <c r="BA2253" s="49">
        <f>EMISSIONS(BA2244,Settings!$C$13,$D2253)</f>
        <v/>
      </c>
    </row>
    <row r="2254" hidden="1" outlineLevel="2"/>
    <row r="2255" hidden="1" outlineLevel="2">
      <c r="A2255" s="14" t="inlineStr">
        <is>
          <t>rtx</t>
        </is>
      </c>
      <c r="B2255" s="14" t="inlineStr">
        <is>
          <t>coa</t>
        </is>
      </c>
      <c r="C2255" s="14" t="inlineStr">
        <is>
          <t>nfm</t>
        </is>
      </c>
      <c r="D2255" s="35">
        <f>INDEX(Inputs!$U$5:$U$132,MATCH($B2255&amp;"|"&amp;$C2255,Inputs!$A$5:$A$132,0))</f>
        <v/>
      </c>
      <c r="E2255" s="35">
        <f>INDEX(Inputs!$V$5:$V$132,MATCH($B2255&amp;"|"&amp;$C2255,Inputs!$A$5:$A$132,0))</f>
        <v/>
      </c>
      <c r="F2255" s="39" t="n"/>
      <c r="G2255" s="39" t="n"/>
      <c r="H2255" s="14">
        <f>INDEX(VarLab,MATCH($A2255,VarKey,0))&amp;INDEX(MemLab,MATCH($C2255&amp;"|"&amp;$B2255,MemKey,0))</f>
        <v/>
      </c>
      <c r="I2255" s="14">
        <f>INDEX(VarUnit,MATCH($A2255,VarKey,0))</f>
        <v/>
      </c>
      <c r="J2255" s="14">
        <f>INDEX(VarSrc,MATCH($A2255,VarKey,0))</f>
        <v/>
      </c>
      <c r="K2255" s="11">
        <f>CodePrefix&amp;$A2255&amp;IF($C2255="","","."&amp;$C2255&amp;"."&amp;$B2255)&amp;INDEX(VarEnd,MATCH($A2255,VarKey,0))&amp;K$5</f>
        <v/>
      </c>
      <c r="L2255" s="43">
        <f>L2237*Settings!$C$13*(INDEX(L$407:L$418,$D2255)+INDEX(L$394:L$405,$D2255)+L2210*(1+$E2255))</f>
        <v/>
      </c>
      <c r="M2255" s="44">
        <f>M2237*Settings!$C$13*(INDEX(M$407:M$418,$D2255)+INDEX(M$394:M$405,$D2255)+M2210*(1+$E2255))</f>
        <v/>
      </c>
      <c r="N2255" s="44">
        <f>N2237*Settings!$C$13*(INDEX(N$407:N$418,$D2255)+INDEX(N$394:N$405,$D2255)+N2210*(1+$E2255))</f>
        <v/>
      </c>
      <c r="O2255" s="44">
        <f>O2237*Settings!$C$13*(INDEX(O$407:O$418,$D2255)+INDEX(O$394:O$405,$D2255)+O2210*(1+$E2255))</f>
        <v/>
      </c>
      <c r="P2255" s="44">
        <f>P2237*Settings!$C$13*(INDEX(P$407:P$418,$D2255)+INDEX(P$394:P$405,$D2255)+P2210*(1+$E2255))</f>
        <v/>
      </c>
      <c r="Q2255" s="44">
        <f>Q2237*Settings!$C$13*(INDEX(Q$407:Q$418,$D2255)+INDEX(Q$394:Q$405,$D2255)+Q2210*(1+$E2255))</f>
        <v/>
      </c>
      <c r="R2255" s="44">
        <f>R2237*Settings!$C$13*(INDEX(R$407:R$418,$D2255)+INDEX(R$394:R$405,$D2255)+R2210*(1+$E2255))</f>
        <v/>
      </c>
      <c r="S2255" s="44">
        <f>S2237*Settings!$C$13*(INDEX(S$407:S$418,$D2255)+INDEX(S$394:S$405,$D2255)+S2210*(1+$E2255))</f>
        <v/>
      </c>
      <c r="T2255" s="44">
        <f>T2237*Settings!$C$13*(INDEX(T$407:T$418,$D2255)+INDEX(T$394:T$405,$D2255)+T2210*(1+$E2255))</f>
        <v/>
      </c>
      <c r="U2255" s="44">
        <f>U2237*Settings!$C$13*(INDEX(U$407:U$418,$D2255)+INDEX(U$394:U$405,$D2255)+U2210*(1+$E2255))</f>
        <v/>
      </c>
      <c r="V2255" s="44">
        <f>V2237*Settings!$C$13*(INDEX(V$407:V$418,$D2255)+INDEX(V$394:V$405,$D2255)+V2210*(1+$E2255))</f>
        <v/>
      </c>
      <c r="W2255" s="44">
        <f>W2237*Settings!$C$13*(INDEX(W$407:W$418,$D2255)+INDEX(W$394:W$405,$D2255)+W2210*(1+$E2255))</f>
        <v/>
      </c>
      <c r="X2255" s="44">
        <f>X2237*Settings!$C$13*(INDEX(X$407:X$418,$D2255)+INDEX(X$394:X$405,$D2255)+X2210*(1+$E2255))</f>
        <v/>
      </c>
      <c r="Y2255" s="44">
        <f>Y2237*Settings!$C$13*(INDEX(Y$407:Y$418,$D2255)+INDEX(Y$394:Y$405,$D2255)+Y2210*(1+$E2255))</f>
        <v/>
      </c>
      <c r="Z2255" s="44">
        <f>Z2237*Settings!$C$13*(INDEX(Z$407:Z$418,$D2255)+INDEX(Z$394:Z$405,$D2255)+Z2210*(1+$E2255))</f>
        <v/>
      </c>
      <c r="AA2255" s="44">
        <f>AA2237*Settings!$C$13*(INDEX(AA$407:AA$418,$D2255)+INDEX(AA$394:AA$405,$D2255)+AA2210*(1+$E2255))</f>
        <v/>
      </c>
      <c r="AB2255" s="44">
        <f>AB2237*Settings!$C$13*(INDEX(AB$407:AB$418,$D2255)+INDEX(AB$394:AB$405,$D2255)+AB2210*(1+$E2255))</f>
        <v/>
      </c>
      <c r="AC2255" s="44">
        <f>AC2237*Settings!$C$13*(INDEX(AC$407:AC$418,$D2255)+INDEX(AC$394:AC$405,$D2255)+AC2210*(1+$E2255))</f>
        <v/>
      </c>
      <c r="AD2255" s="44">
        <f>AD2237*Settings!$C$13*(INDEX(AD$407:AD$418,$D2255)+INDEX(AD$394:AD$405,$D2255)+AD2210*(1+$E2255))</f>
        <v/>
      </c>
      <c r="AE2255" s="57">
        <f>REVENUE(AE2237,Settings!$C$13,INDEX(AE$407:AE$418,$D2255)+INDEX(AE$394:AE$405,$D2255)+AE2210*(1+$E2255))</f>
        <v/>
      </c>
      <c r="AG2255" s="11">
        <f>CodePrefix&amp;$A2255&amp;IF($C2255="","","."&amp;$C2255&amp;"."&amp;$B2255)&amp;INDEX(VarEnd,MATCH($A2255,VarKey,0))&amp;AG$5</f>
        <v/>
      </c>
      <c r="AH2255" s="43">
        <f>AH2237*Settings!$C$13*(INDEX(AH$407:AH$418,$D2255)+INDEX(AH$394:AH$405,$D2255)+AH2210*(1+$E2255))</f>
        <v/>
      </c>
      <c r="AI2255" s="44">
        <f>AI2237*Settings!$C$13*(INDEX(AI$407:AI$418,$D2255)+INDEX(AI$394:AI$405,$D2255)+AI2210*(1+$E2255))</f>
        <v/>
      </c>
      <c r="AJ2255" s="44">
        <f>AJ2237*Settings!$C$13*(INDEX(AJ$407:AJ$418,$D2255)+INDEX(AJ$394:AJ$405,$D2255)+AJ2210*(1+$E2255))</f>
        <v/>
      </c>
      <c r="AK2255" s="44">
        <f>AK2237*Settings!$C$13*(INDEX(AK$407:AK$418,$D2255)+INDEX(AK$394:AK$405,$D2255)+AK2210*(1+$E2255))</f>
        <v/>
      </c>
      <c r="AL2255" s="44">
        <f>AL2237*Settings!$C$13*(INDEX(AL$407:AL$418,$D2255)+INDEX(AL$394:AL$405,$D2255)+AL2210*(1+$E2255))</f>
        <v/>
      </c>
      <c r="AM2255" s="44">
        <f>AM2237*Settings!$C$13*(INDEX(AM$407:AM$418,$D2255)+INDEX(AM$394:AM$405,$D2255)+AM2210*(1+$E2255))</f>
        <v/>
      </c>
      <c r="AN2255" s="44">
        <f>AN2237*Settings!$C$13*(INDEX(AN$407:AN$418,$D2255)+INDEX(AN$394:AN$405,$D2255)+AN2210*(1+$E2255))</f>
        <v/>
      </c>
      <c r="AO2255" s="44">
        <f>AO2237*Settings!$C$13*(INDEX(AO$407:AO$418,$D2255)+INDEX(AO$394:AO$405,$D2255)+AO2210*(1+$E2255))</f>
        <v/>
      </c>
      <c r="AP2255" s="44">
        <f>AP2237*Settings!$C$13*(INDEX(AP$407:AP$418,$D2255)+INDEX(AP$394:AP$405,$D2255)+AP2210*(1+$E2255))</f>
        <v/>
      </c>
      <c r="AQ2255" s="44">
        <f>AQ2237*Settings!$C$13*(INDEX(AQ$407:AQ$418,$D2255)+INDEX(AQ$394:AQ$405,$D2255)+AQ2210*(1+$E2255))</f>
        <v/>
      </c>
      <c r="AR2255" s="44">
        <f>AR2237*Settings!$C$13*(INDEX(AR$407:AR$418,$D2255)+INDEX(AR$394:AR$405,$D2255)+AR2210*(1+$E2255))</f>
        <v/>
      </c>
      <c r="AS2255" s="44">
        <f>AS2237*Settings!$C$13*(INDEX(AS$407:AS$418,$D2255)+INDEX(AS$394:AS$405,$D2255)+AS2210*(1+$E2255))</f>
        <v/>
      </c>
      <c r="AT2255" s="44">
        <f>AT2237*Settings!$C$13*(INDEX(AT$407:AT$418,$D2255)+INDEX(AT$394:AT$405,$D2255)+AT2210*(1+$E2255))</f>
        <v/>
      </c>
      <c r="AU2255" s="44">
        <f>AU2237*Settings!$C$13*(INDEX(AU$407:AU$418,$D2255)+INDEX(AU$394:AU$405,$D2255)+AU2210*(1+$E2255))</f>
        <v/>
      </c>
      <c r="AV2255" s="44">
        <f>AV2237*Settings!$C$13*(INDEX(AV$407:AV$418,$D2255)+INDEX(AV$394:AV$405,$D2255)+AV2210*(1+$E2255))</f>
        <v/>
      </c>
      <c r="AW2255" s="44">
        <f>AW2237*Settings!$C$13*(INDEX(AW$407:AW$418,$D2255)+INDEX(AW$394:AW$405,$D2255)+AW2210*(1+$E2255))</f>
        <v/>
      </c>
      <c r="AX2255" s="44">
        <f>AX2237*Settings!$C$13*(INDEX(AX$407:AX$418,$D2255)+INDEX(AX$394:AX$405,$D2255)+AX2210*(1+$E2255))</f>
        <v/>
      </c>
      <c r="AY2255" s="44">
        <f>AY2237*Settings!$C$13*(INDEX(AY$407:AY$418,$D2255)+INDEX(AY$394:AY$405,$D2255)+AY2210*(1+$E2255))</f>
        <v/>
      </c>
      <c r="AZ2255" s="44">
        <f>AZ2237*Settings!$C$13*(INDEX(AZ$407:AZ$418,$D2255)+INDEX(AZ$394:AZ$405,$D2255)+AZ2210*(1+$E2255))</f>
        <v/>
      </c>
      <c r="BA2255" s="57">
        <f>REVENUE(BA2237,Settings!$C$13,INDEX(BA$407:BA$418,$D2255)+INDEX(BA$394:BA$405,$D2255)+BA2210*(1+$E2255))</f>
        <v/>
      </c>
    </row>
    <row r="2256" hidden="1" outlineLevel="2">
      <c r="A2256" s="14" t="inlineStr">
        <is>
          <t>rtx</t>
        </is>
      </c>
      <c r="B2256" s="14" t="inlineStr">
        <is>
          <t>nga</t>
        </is>
      </c>
      <c r="C2256" s="14" t="inlineStr">
        <is>
          <t>nfm</t>
        </is>
      </c>
      <c r="D2256" s="35">
        <f>INDEX(Inputs!$U$5:$U$132,MATCH($B2256&amp;"|"&amp;$C2256,Inputs!$A$5:$A$132,0))</f>
        <v/>
      </c>
      <c r="E2256" s="35">
        <f>INDEX(Inputs!$V$5:$V$132,MATCH($B2256&amp;"|"&amp;$C2256,Inputs!$A$5:$A$132,0))</f>
        <v/>
      </c>
      <c r="F2256" s="39" t="n"/>
      <c r="G2256" s="39" t="n"/>
      <c r="H2256" s="14">
        <f>INDEX(VarLab,MATCH($A2256,VarKey,0))&amp;INDEX(MemLab,MATCH($C2256&amp;"|"&amp;$B2256,MemKey,0))</f>
        <v/>
      </c>
      <c r="I2256" s="14">
        <f>INDEX(VarUnit,MATCH($A2256,VarKey,0))</f>
        <v/>
      </c>
      <c r="J2256" s="14">
        <f>INDEX(VarSrc,MATCH($A2256,VarKey,0))</f>
        <v/>
      </c>
      <c r="K2256" s="11">
        <f>CodePrefix&amp;$A2256&amp;IF($C2256="","","."&amp;$C2256&amp;"."&amp;$B2256)&amp;INDEX(VarEnd,MATCH($A2256,VarKey,0))&amp;K$5</f>
        <v/>
      </c>
      <c r="L2256" s="43">
        <f>L2238*Settings!$C$13*(INDEX(L$407:L$418,$D2256)+INDEX(L$394:L$405,$D2256)+L2211*(1+$E2256))</f>
        <v/>
      </c>
      <c r="M2256" s="44">
        <f>M2238*Settings!$C$13*(INDEX(M$407:M$418,$D2256)+INDEX(M$394:M$405,$D2256)+M2211*(1+$E2256))</f>
        <v/>
      </c>
      <c r="N2256" s="44">
        <f>N2238*Settings!$C$13*(INDEX(N$407:N$418,$D2256)+INDEX(N$394:N$405,$D2256)+N2211*(1+$E2256))</f>
        <v/>
      </c>
      <c r="O2256" s="44">
        <f>O2238*Settings!$C$13*(INDEX(O$407:O$418,$D2256)+INDEX(O$394:O$405,$D2256)+O2211*(1+$E2256))</f>
        <v/>
      </c>
      <c r="P2256" s="44">
        <f>P2238*Settings!$C$13*(INDEX(P$407:P$418,$D2256)+INDEX(P$394:P$405,$D2256)+P2211*(1+$E2256))</f>
        <v/>
      </c>
      <c r="Q2256" s="44">
        <f>Q2238*Settings!$C$13*(INDEX(Q$407:Q$418,$D2256)+INDEX(Q$394:Q$405,$D2256)+Q2211*(1+$E2256))</f>
        <v/>
      </c>
      <c r="R2256" s="44">
        <f>R2238*Settings!$C$13*(INDEX(R$407:R$418,$D2256)+INDEX(R$394:R$405,$D2256)+R2211*(1+$E2256))</f>
        <v/>
      </c>
      <c r="S2256" s="44">
        <f>S2238*Settings!$C$13*(INDEX(S$407:S$418,$D2256)+INDEX(S$394:S$405,$D2256)+S2211*(1+$E2256))</f>
        <v/>
      </c>
      <c r="T2256" s="44">
        <f>T2238*Settings!$C$13*(INDEX(T$407:T$418,$D2256)+INDEX(T$394:T$405,$D2256)+T2211*(1+$E2256))</f>
        <v/>
      </c>
      <c r="U2256" s="44">
        <f>U2238*Settings!$C$13*(INDEX(U$407:U$418,$D2256)+INDEX(U$394:U$405,$D2256)+U2211*(1+$E2256))</f>
        <v/>
      </c>
      <c r="V2256" s="44">
        <f>V2238*Settings!$C$13*(INDEX(V$407:V$418,$D2256)+INDEX(V$394:V$405,$D2256)+V2211*(1+$E2256))</f>
        <v/>
      </c>
      <c r="W2256" s="44">
        <f>W2238*Settings!$C$13*(INDEX(W$407:W$418,$D2256)+INDEX(W$394:W$405,$D2256)+W2211*(1+$E2256))</f>
        <v/>
      </c>
      <c r="X2256" s="44">
        <f>X2238*Settings!$C$13*(INDEX(X$407:X$418,$D2256)+INDEX(X$394:X$405,$D2256)+X2211*(1+$E2256))</f>
        <v/>
      </c>
      <c r="Y2256" s="44">
        <f>Y2238*Settings!$C$13*(INDEX(Y$407:Y$418,$D2256)+INDEX(Y$394:Y$405,$D2256)+Y2211*(1+$E2256))</f>
        <v/>
      </c>
      <c r="Z2256" s="44">
        <f>Z2238*Settings!$C$13*(INDEX(Z$407:Z$418,$D2256)+INDEX(Z$394:Z$405,$D2256)+Z2211*(1+$E2256))</f>
        <v/>
      </c>
      <c r="AA2256" s="44">
        <f>AA2238*Settings!$C$13*(INDEX(AA$407:AA$418,$D2256)+INDEX(AA$394:AA$405,$D2256)+AA2211*(1+$E2256))</f>
        <v/>
      </c>
      <c r="AB2256" s="44">
        <f>AB2238*Settings!$C$13*(INDEX(AB$407:AB$418,$D2256)+INDEX(AB$394:AB$405,$D2256)+AB2211*(1+$E2256))</f>
        <v/>
      </c>
      <c r="AC2256" s="44">
        <f>AC2238*Settings!$C$13*(INDEX(AC$407:AC$418,$D2256)+INDEX(AC$394:AC$405,$D2256)+AC2211*(1+$E2256))</f>
        <v/>
      </c>
      <c r="AD2256" s="44">
        <f>AD2238*Settings!$C$13*(INDEX(AD$407:AD$418,$D2256)+INDEX(AD$394:AD$405,$D2256)+AD2211*(1+$E2256))</f>
        <v/>
      </c>
      <c r="AE2256" s="57">
        <f>REVENUE(AE2238,Settings!$C$13,INDEX(AE$407:AE$418,$D2256)+INDEX(AE$394:AE$405,$D2256)+AE2211*(1+$E2256))</f>
        <v/>
      </c>
      <c r="AG2256" s="11">
        <f>CodePrefix&amp;$A2256&amp;IF($C2256="","","."&amp;$C2256&amp;"."&amp;$B2256)&amp;INDEX(VarEnd,MATCH($A2256,VarKey,0))&amp;AG$5</f>
        <v/>
      </c>
      <c r="AH2256" s="43">
        <f>AH2238*Settings!$C$13*(INDEX(AH$407:AH$418,$D2256)+INDEX(AH$394:AH$405,$D2256)+AH2211*(1+$E2256))</f>
        <v/>
      </c>
      <c r="AI2256" s="44">
        <f>AI2238*Settings!$C$13*(INDEX(AI$407:AI$418,$D2256)+INDEX(AI$394:AI$405,$D2256)+AI2211*(1+$E2256))</f>
        <v/>
      </c>
      <c r="AJ2256" s="44">
        <f>AJ2238*Settings!$C$13*(INDEX(AJ$407:AJ$418,$D2256)+INDEX(AJ$394:AJ$405,$D2256)+AJ2211*(1+$E2256))</f>
        <v/>
      </c>
      <c r="AK2256" s="44">
        <f>AK2238*Settings!$C$13*(INDEX(AK$407:AK$418,$D2256)+INDEX(AK$394:AK$405,$D2256)+AK2211*(1+$E2256))</f>
        <v/>
      </c>
      <c r="AL2256" s="44">
        <f>AL2238*Settings!$C$13*(INDEX(AL$407:AL$418,$D2256)+INDEX(AL$394:AL$405,$D2256)+AL2211*(1+$E2256))</f>
        <v/>
      </c>
      <c r="AM2256" s="44">
        <f>AM2238*Settings!$C$13*(INDEX(AM$407:AM$418,$D2256)+INDEX(AM$394:AM$405,$D2256)+AM2211*(1+$E2256))</f>
        <v/>
      </c>
      <c r="AN2256" s="44">
        <f>AN2238*Settings!$C$13*(INDEX(AN$407:AN$418,$D2256)+INDEX(AN$394:AN$405,$D2256)+AN2211*(1+$E2256))</f>
        <v/>
      </c>
      <c r="AO2256" s="44">
        <f>AO2238*Settings!$C$13*(INDEX(AO$407:AO$418,$D2256)+INDEX(AO$394:AO$405,$D2256)+AO2211*(1+$E2256))</f>
        <v/>
      </c>
      <c r="AP2256" s="44">
        <f>AP2238*Settings!$C$13*(INDEX(AP$407:AP$418,$D2256)+INDEX(AP$394:AP$405,$D2256)+AP2211*(1+$E2256))</f>
        <v/>
      </c>
      <c r="AQ2256" s="44">
        <f>AQ2238*Settings!$C$13*(INDEX(AQ$407:AQ$418,$D2256)+INDEX(AQ$394:AQ$405,$D2256)+AQ2211*(1+$E2256))</f>
        <v/>
      </c>
      <c r="AR2256" s="44">
        <f>AR2238*Settings!$C$13*(INDEX(AR$407:AR$418,$D2256)+INDEX(AR$394:AR$405,$D2256)+AR2211*(1+$E2256))</f>
        <v/>
      </c>
      <c r="AS2256" s="44">
        <f>AS2238*Settings!$C$13*(INDEX(AS$407:AS$418,$D2256)+INDEX(AS$394:AS$405,$D2256)+AS2211*(1+$E2256))</f>
        <v/>
      </c>
      <c r="AT2256" s="44">
        <f>AT2238*Settings!$C$13*(INDEX(AT$407:AT$418,$D2256)+INDEX(AT$394:AT$405,$D2256)+AT2211*(1+$E2256))</f>
        <v/>
      </c>
      <c r="AU2256" s="44">
        <f>AU2238*Settings!$C$13*(INDEX(AU$407:AU$418,$D2256)+INDEX(AU$394:AU$405,$D2256)+AU2211*(1+$E2256))</f>
        <v/>
      </c>
      <c r="AV2256" s="44">
        <f>AV2238*Settings!$C$13*(INDEX(AV$407:AV$418,$D2256)+INDEX(AV$394:AV$405,$D2256)+AV2211*(1+$E2256))</f>
        <v/>
      </c>
      <c r="AW2256" s="44">
        <f>AW2238*Settings!$C$13*(INDEX(AW$407:AW$418,$D2256)+INDEX(AW$394:AW$405,$D2256)+AW2211*(1+$E2256))</f>
        <v/>
      </c>
      <c r="AX2256" s="44">
        <f>AX2238*Settings!$C$13*(INDEX(AX$407:AX$418,$D2256)+INDEX(AX$394:AX$405,$D2256)+AX2211*(1+$E2256))</f>
        <v/>
      </c>
      <c r="AY2256" s="44">
        <f>AY2238*Settings!$C$13*(INDEX(AY$407:AY$418,$D2256)+INDEX(AY$394:AY$405,$D2256)+AY2211*(1+$E2256))</f>
        <v/>
      </c>
      <c r="AZ2256" s="44">
        <f>AZ2238*Settings!$C$13*(INDEX(AZ$407:AZ$418,$D2256)+INDEX(AZ$394:AZ$405,$D2256)+AZ2211*(1+$E2256))</f>
        <v/>
      </c>
      <c r="BA2256" s="57">
        <f>REVENUE(BA2238,Settings!$C$13,INDEX(BA$407:BA$418,$D2256)+INDEX(BA$394:BA$405,$D2256)+BA2211*(1+$E2256))</f>
        <v/>
      </c>
    </row>
    <row r="2257" hidden="1" outlineLevel="2">
      <c r="A2257" s="14" t="inlineStr">
        <is>
          <t>rtx</t>
        </is>
      </c>
      <c r="B2257" s="14" t="inlineStr">
        <is>
          <t>gso</t>
        </is>
      </c>
      <c r="C2257" s="14" t="inlineStr">
        <is>
          <t>nfm</t>
        </is>
      </c>
      <c r="D2257" s="35">
        <f>INDEX(Inputs!$U$5:$U$132,MATCH($B2257&amp;"|"&amp;$C2257,Inputs!$A$5:$A$132,0))</f>
        <v/>
      </c>
      <c r="E2257" s="35">
        <f>INDEX(Inputs!$V$5:$V$132,MATCH($B2257&amp;"|"&amp;$C2257,Inputs!$A$5:$A$132,0))</f>
        <v/>
      </c>
      <c r="F2257" s="39" t="n"/>
      <c r="G2257" s="39" t="n"/>
      <c r="H2257" s="14">
        <f>INDEX(VarLab,MATCH($A2257,VarKey,0))&amp;INDEX(MemLab,MATCH($C2257&amp;"|"&amp;$B2257,MemKey,0))</f>
        <v/>
      </c>
      <c r="I2257" s="14">
        <f>INDEX(VarUnit,MATCH($A2257,VarKey,0))</f>
        <v/>
      </c>
      <c r="J2257" s="14">
        <f>INDEX(VarSrc,MATCH($A2257,VarKey,0))</f>
        <v/>
      </c>
      <c r="K2257" s="11">
        <f>CodePrefix&amp;$A2257&amp;IF($C2257="","","."&amp;$C2257&amp;"."&amp;$B2257)&amp;INDEX(VarEnd,MATCH($A2257,VarKey,0))&amp;K$5</f>
        <v/>
      </c>
      <c r="L2257" s="43">
        <f>L2239*Settings!$C$13*(INDEX(L$407:L$418,$D2257)+INDEX(L$394:L$405,$D2257)+L2212*(1+$E2257))</f>
        <v/>
      </c>
      <c r="M2257" s="44">
        <f>M2239*Settings!$C$13*(INDEX(M$407:M$418,$D2257)+INDEX(M$394:M$405,$D2257)+M2212*(1+$E2257))</f>
        <v/>
      </c>
      <c r="N2257" s="44">
        <f>N2239*Settings!$C$13*(INDEX(N$407:N$418,$D2257)+INDEX(N$394:N$405,$D2257)+N2212*(1+$E2257))</f>
        <v/>
      </c>
      <c r="O2257" s="44">
        <f>O2239*Settings!$C$13*(INDEX(O$407:O$418,$D2257)+INDEX(O$394:O$405,$D2257)+O2212*(1+$E2257))</f>
        <v/>
      </c>
      <c r="P2257" s="44">
        <f>P2239*Settings!$C$13*(INDEX(P$407:P$418,$D2257)+INDEX(P$394:P$405,$D2257)+P2212*(1+$E2257))</f>
        <v/>
      </c>
      <c r="Q2257" s="44">
        <f>Q2239*Settings!$C$13*(INDEX(Q$407:Q$418,$D2257)+INDEX(Q$394:Q$405,$D2257)+Q2212*(1+$E2257))</f>
        <v/>
      </c>
      <c r="R2257" s="44">
        <f>R2239*Settings!$C$13*(INDEX(R$407:R$418,$D2257)+INDEX(R$394:R$405,$D2257)+R2212*(1+$E2257))</f>
        <v/>
      </c>
      <c r="S2257" s="44">
        <f>S2239*Settings!$C$13*(INDEX(S$407:S$418,$D2257)+INDEX(S$394:S$405,$D2257)+S2212*(1+$E2257))</f>
        <v/>
      </c>
      <c r="T2257" s="44">
        <f>T2239*Settings!$C$13*(INDEX(T$407:T$418,$D2257)+INDEX(T$394:T$405,$D2257)+T2212*(1+$E2257))</f>
        <v/>
      </c>
      <c r="U2257" s="44">
        <f>U2239*Settings!$C$13*(INDEX(U$407:U$418,$D2257)+INDEX(U$394:U$405,$D2257)+U2212*(1+$E2257))</f>
        <v/>
      </c>
      <c r="V2257" s="44">
        <f>V2239*Settings!$C$13*(INDEX(V$407:V$418,$D2257)+INDEX(V$394:V$405,$D2257)+V2212*(1+$E2257))</f>
        <v/>
      </c>
      <c r="W2257" s="44">
        <f>W2239*Settings!$C$13*(INDEX(W$407:W$418,$D2257)+INDEX(W$394:W$405,$D2257)+W2212*(1+$E2257))</f>
        <v/>
      </c>
      <c r="X2257" s="44">
        <f>X2239*Settings!$C$13*(INDEX(X$407:X$418,$D2257)+INDEX(X$394:X$405,$D2257)+X2212*(1+$E2257))</f>
        <v/>
      </c>
      <c r="Y2257" s="44">
        <f>Y2239*Settings!$C$13*(INDEX(Y$407:Y$418,$D2257)+INDEX(Y$394:Y$405,$D2257)+Y2212*(1+$E2257))</f>
        <v/>
      </c>
      <c r="Z2257" s="44">
        <f>Z2239*Settings!$C$13*(INDEX(Z$407:Z$418,$D2257)+INDEX(Z$394:Z$405,$D2257)+Z2212*(1+$E2257))</f>
        <v/>
      </c>
      <c r="AA2257" s="44">
        <f>AA2239*Settings!$C$13*(INDEX(AA$407:AA$418,$D2257)+INDEX(AA$394:AA$405,$D2257)+AA2212*(1+$E2257))</f>
        <v/>
      </c>
      <c r="AB2257" s="44">
        <f>AB2239*Settings!$C$13*(INDEX(AB$407:AB$418,$D2257)+INDEX(AB$394:AB$405,$D2257)+AB2212*(1+$E2257))</f>
        <v/>
      </c>
      <c r="AC2257" s="44">
        <f>AC2239*Settings!$C$13*(INDEX(AC$407:AC$418,$D2257)+INDEX(AC$394:AC$405,$D2257)+AC2212*(1+$E2257))</f>
        <v/>
      </c>
      <c r="AD2257" s="44">
        <f>AD2239*Settings!$C$13*(INDEX(AD$407:AD$418,$D2257)+INDEX(AD$394:AD$405,$D2257)+AD2212*(1+$E2257))</f>
        <v/>
      </c>
      <c r="AE2257" s="57">
        <f>REVENUE(AE2239,Settings!$C$13,INDEX(AE$407:AE$418,$D2257)+INDEX(AE$394:AE$405,$D2257)+AE2212*(1+$E2257))</f>
        <v/>
      </c>
      <c r="AG2257" s="11">
        <f>CodePrefix&amp;$A2257&amp;IF($C2257="","","."&amp;$C2257&amp;"."&amp;$B2257)&amp;INDEX(VarEnd,MATCH($A2257,VarKey,0))&amp;AG$5</f>
        <v/>
      </c>
      <c r="AH2257" s="43">
        <f>AH2239*Settings!$C$13*(INDEX(AH$407:AH$418,$D2257)+INDEX(AH$394:AH$405,$D2257)+AH2212*(1+$E2257))</f>
        <v/>
      </c>
      <c r="AI2257" s="44">
        <f>AI2239*Settings!$C$13*(INDEX(AI$407:AI$418,$D2257)+INDEX(AI$394:AI$405,$D2257)+AI2212*(1+$E2257))</f>
        <v/>
      </c>
      <c r="AJ2257" s="44">
        <f>AJ2239*Settings!$C$13*(INDEX(AJ$407:AJ$418,$D2257)+INDEX(AJ$394:AJ$405,$D2257)+AJ2212*(1+$E2257))</f>
        <v/>
      </c>
      <c r="AK2257" s="44">
        <f>AK2239*Settings!$C$13*(INDEX(AK$407:AK$418,$D2257)+INDEX(AK$394:AK$405,$D2257)+AK2212*(1+$E2257))</f>
        <v/>
      </c>
      <c r="AL2257" s="44">
        <f>AL2239*Settings!$C$13*(INDEX(AL$407:AL$418,$D2257)+INDEX(AL$394:AL$405,$D2257)+AL2212*(1+$E2257))</f>
        <v/>
      </c>
      <c r="AM2257" s="44">
        <f>AM2239*Settings!$C$13*(INDEX(AM$407:AM$418,$D2257)+INDEX(AM$394:AM$405,$D2257)+AM2212*(1+$E2257))</f>
        <v/>
      </c>
      <c r="AN2257" s="44">
        <f>AN2239*Settings!$C$13*(INDEX(AN$407:AN$418,$D2257)+INDEX(AN$394:AN$405,$D2257)+AN2212*(1+$E2257))</f>
        <v/>
      </c>
      <c r="AO2257" s="44">
        <f>AO2239*Settings!$C$13*(INDEX(AO$407:AO$418,$D2257)+INDEX(AO$394:AO$405,$D2257)+AO2212*(1+$E2257))</f>
        <v/>
      </c>
      <c r="AP2257" s="44">
        <f>AP2239*Settings!$C$13*(INDEX(AP$407:AP$418,$D2257)+INDEX(AP$394:AP$405,$D2257)+AP2212*(1+$E2257))</f>
        <v/>
      </c>
      <c r="AQ2257" s="44">
        <f>AQ2239*Settings!$C$13*(INDEX(AQ$407:AQ$418,$D2257)+INDEX(AQ$394:AQ$405,$D2257)+AQ2212*(1+$E2257))</f>
        <v/>
      </c>
      <c r="AR2257" s="44">
        <f>AR2239*Settings!$C$13*(INDEX(AR$407:AR$418,$D2257)+INDEX(AR$394:AR$405,$D2257)+AR2212*(1+$E2257))</f>
        <v/>
      </c>
      <c r="AS2257" s="44">
        <f>AS2239*Settings!$C$13*(INDEX(AS$407:AS$418,$D2257)+INDEX(AS$394:AS$405,$D2257)+AS2212*(1+$E2257))</f>
        <v/>
      </c>
      <c r="AT2257" s="44">
        <f>AT2239*Settings!$C$13*(INDEX(AT$407:AT$418,$D2257)+INDEX(AT$394:AT$405,$D2257)+AT2212*(1+$E2257))</f>
        <v/>
      </c>
      <c r="AU2257" s="44">
        <f>AU2239*Settings!$C$13*(INDEX(AU$407:AU$418,$D2257)+INDEX(AU$394:AU$405,$D2257)+AU2212*(1+$E2257))</f>
        <v/>
      </c>
      <c r="AV2257" s="44">
        <f>AV2239*Settings!$C$13*(INDEX(AV$407:AV$418,$D2257)+INDEX(AV$394:AV$405,$D2257)+AV2212*(1+$E2257))</f>
        <v/>
      </c>
      <c r="AW2257" s="44">
        <f>AW2239*Settings!$C$13*(INDEX(AW$407:AW$418,$D2257)+INDEX(AW$394:AW$405,$D2257)+AW2212*(1+$E2257))</f>
        <v/>
      </c>
      <c r="AX2257" s="44">
        <f>AX2239*Settings!$C$13*(INDEX(AX$407:AX$418,$D2257)+INDEX(AX$394:AX$405,$D2257)+AX2212*(1+$E2257))</f>
        <v/>
      </c>
      <c r="AY2257" s="44">
        <f>AY2239*Settings!$C$13*(INDEX(AY$407:AY$418,$D2257)+INDEX(AY$394:AY$405,$D2257)+AY2212*(1+$E2257))</f>
        <v/>
      </c>
      <c r="AZ2257" s="44">
        <f>AZ2239*Settings!$C$13*(INDEX(AZ$407:AZ$418,$D2257)+INDEX(AZ$394:AZ$405,$D2257)+AZ2212*(1+$E2257))</f>
        <v/>
      </c>
      <c r="BA2257" s="57">
        <f>REVENUE(BA2239,Settings!$C$13,INDEX(BA$407:BA$418,$D2257)+INDEX(BA$394:BA$405,$D2257)+BA2212*(1+$E2257))</f>
        <v/>
      </c>
    </row>
    <row r="2258" hidden="1" outlineLevel="2">
      <c r="A2258" s="14" t="inlineStr">
        <is>
          <t>rtx</t>
        </is>
      </c>
      <c r="B2258" s="14" t="inlineStr">
        <is>
          <t>die</t>
        </is>
      </c>
      <c r="C2258" s="14" t="inlineStr">
        <is>
          <t>nfm</t>
        </is>
      </c>
      <c r="D2258" s="35">
        <f>INDEX(Inputs!$U$5:$U$132,MATCH($B2258&amp;"|"&amp;$C2258,Inputs!$A$5:$A$132,0))</f>
        <v/>
      </c>
      <c r="E2258" s="35">
        <f>INDEX(Inputs!$V$5:$V$132,MATCH($B2258&amp;"|"&amp;$C2258,Inputs!$A$5:$A$132,0))</f>
        <v/>
      </c>
      <c r="F2258" s="39" t="n"/>
      <c r="G2258" s="39" t="n"/>
      <c r="H2258" s="14">
        <f>INDEX(VarLab,MATCH($A2258,VarKey,0))&amp;INDEX(MemLab,MATCH($C2258&amp;"|"&amp;$B2258,MemKey,0))</f>
        <v/>
      </c>
      <c r="I2258" s="14">
        <f>INDEX(VarUnit,MATCH($A2258,VarKey,0))</f>
        <v/>
      </c>
      <c r="J2258" s="14">
        <f>INDEX(VarSrc,MATCH($A2258,VarKey,0))</f>
        <v/>
      </c>
      <c r="K2258" s="11">
        <f>CodePrefix&amp;$A2258&amp;IF($C2258="","","."&amp;$C2258&amp;"."&amp;$B2258)&amp;INDEX(VarEnd,MATCH($A2258,VarKey,0))&amp;K$5</f>
        <v/>
      </c>
      <c r="L2258" s="43">
        <f>L2240*Settings!$C$13*(INDEX(L$407:L$418,$D2258)+INDEX(L$394:L$405,$D2258)+L2213*(1+$E2258))</f>
        <v/>
      </c>
      <c r="M2258" s="44">
        <f>M2240*Settings!$C$13*(INDEX(M$407:M$418,$D2258)+INDEX(M$394:M$405,$D2258)+M2213*(1+$E2258))</f>
        <v/>
      </c>
      <c r="N2258" s="44">
        <f>N2240*Settings!$C$13*(INDEX(N$407:N$418,$D2258)+INDEX(N$394:N$405,$D2258)+N2213*(1+$E2258))</f>
        <v/>
      </c>
      <c r="O2258" s="44">
        <f>O2240*Settings!$C$13*(INDEX(O$407:O$418,$D2258)+INDEX(O$394:O$405,$D2258)+O2213*(1+$E2258))</f>
        <v/>
      </c>
      <c r="P2258" s="44">
        <f>P2240*Settings!$C$13*(INDEX(P$407:P$418,$D2258)+INDEX(P$394:P$405,$D2258)+P2213*(1+$E2258))</f>
        <v/>
      </c>
      <c r="Q2258" s="44">
        <f>Q2240*Settings!$C$13*(INDEX(Q$407:Q$418,$D2258)+INDEX(Q$394:Q$405,$D2258)+Q2213*(1+$E2258))</f>
        <v/>
      </c>
      <c r="R2258" s="44">
        <f>R2240*Settings!$C$13*(INDEX(R$407:R$418,$D2258)+INDEX(R$394:R$405,$D2258)+R2213*(1+$E2258))</f>
        <v/>
      </c>
      <c r="S2258" s="44">
        <f>S2240*Settings!$C$13*(INDEX(S$407:S$418,$D2258)+INDEX(S$394:S$405,$D2258)+S2213*(1+$E2258))</f>
        <v/>
      </c>
      <c r="T2258" s="44">
        <f>T2240*Settings!$C$13*(INDEX(T$407:T$418,$D2258)+INDEX(T$394:T$405,$D2258)+T2213*(1+$E2258))</f>
        <v/>
      </c>
      <c r="U2258" s="44">
        <f>U2240*Settings!$C$13*(INDEX(U$407:U$418,$D2258)+INDEX(U$394:U$405,$D2258)+U2213*(1+$E2258))</f>
        <v/>
      </c>
      <c r="V2258" s="44">
        <f>V2240*Settings!$C$13*(INDEX(V$407:V$418,$D2258)+INDEX(V$394:V$405,$D2258)+V2213*(1+$E2258))</f>
        <v/>
      </c>
      <c r="W2258" s="44">
        <f>W2240*Settings!$C$13*(INDEX(W$407:W$418,$D2258)+INDEX(W$394:W$405,$D2258)+W2213*(1+$E2258))</f>
        <v/>
      </c>
      <c r="X2258" s="44">
        <f>X2240*Settings!$C$13*(INDEX(X$407:X$418,$D2258)+INDEX(X$394:X$405,$D2258)+X2213*(1+$E2258))</f>
        <v/>
      </c>
      <c r="Y2258" s="44">
        <f>Y2240*Settings!$C$13*(INDEX(Y$407:Y$418,$D2258)+INDEX(Y$394:Y$405,$D2258)+Y2213*(1+$E2258))</f>
        <v/>
      </c>
      <c r="Z2258" s="44">
        <f>Z2240*Settings!$C$13*(INDEX(Z$407:Z$418,$D2258)+INDEX(Z$394:Z$405,$D2258)+Z2213*(1+$E2258))</f>
        <v/>
      </c>
      <c r="AA2258" s="44">
        <f>AA2240*Settings!$C$13*(INDEX(AA$407:AA$418,$D2258)+INDEX(AA$394:AA$405,$D2258)+AA2213*(1+$E2258))</f>
        <v/>
      </c>
      <c r="AB2258" s="44">
        <f>AB2240*Settings!$C$13*(INDEX(AB$407:AB$418,$D2258)+INDEX(AB$394:AB$405,$D2258)+AB2213*(1+$E2258))</f>
        <v/>
      </c>
      <c r="AC2258" s="44">
        <f>AC2240*Settings!$C$13*(INDEX(AC$407:AC$418,$D2258)+INDEX(AC$394:AC$405,$D2258)+AC2213*(1+$E2258))</f>
        <v/>
      </c>
      <c r="AD2258" s="44">
        <f>AD2240*Settings!$C$13*(INDEX(AD$407:AD$418,$D2258)+INDEX(AD$394:AD$405,$D2258)+AD2213*(1+$E2258))</f>
        <v/>
      </c>
      <c r="AE2258" s="57">
        <f>REVENUE(AE2240,Settings!$C$13,INDEX(AE$407:AE$418,$D2258)+INDEX(AE$394:AE$405,$D2258)+AE2213*(1+$E2258))</f>
        <v/>
      </c>
      <c r="AG2258" s="11">
        <f>CodePrefix&amp;$A2258&amp;IF($C2258="","","."&amp;$C2258&amp;"."&amp;$B2258)&amp;INDEX(VarEnd,MATCH($A2258,VarKey,0))&amp;AG$5</f>
        <v/>
      </c>
      <c r="AH2258" s="43">
        <f>AH2240*Settings!$C$13*(INDEX(AH$407:AH$418,$D2258)+INDEX(AH$394:AH$405,$D2258)+AH2213*(1+$E2258))</f>
        <v/>
      </c>
      <c r="AI2258" s="44">
        <f>AI2240*Settings!$C$13*(INDEX(AI$407:AI$418,$D2258)+INDEX(AI$394:AI$405,$D2258)+AI2213*(1+$E2258))</f>
        <v/>
      </c>
      <c r="AJ2258" s="44">
        <f>AJ2240*Settings!$C$13*(INDEX(AJ$407:AJ$418,$D2258)+INDEX(AJ$394:AJ$405,$D2258)+AJ2213*(1+$E2258))</f>
        <v/>
      </c>
      <c r="AK2258" s="44">
        <f>AK2240*Settings!$C$13*(INDEX(AK$407:AK$418,$D2258)+INDEX(AK$394:AK$405,$D2258)+AK2213*(1+$E2258))</f>
        <v/>
      </c>
      <c r="AL2258" s="44">
        <f>AL2240*Settings!$C$13*(INDEX(AL$407:AL$418,$D2258)+INDEX(AL$394:AL$405,$D2258)+AL2213*(1+$E2258))</f>
        <v/>
      </c>
      <c r="AM2258" s="44">
        <f>AM2240*Settings!$C$13*(INDEX(AM$407:AM$418,$D2258)+INDEX(AM$394:AM$405,$D2258)+AM2213*(1+$E2258))</f>
        <v/>
      </c>
      <c r="AN2258" s="44">
        <f>AN2240*Settings!$C$13*(INDEX(AN$407:AN$418,$D2258)+INDEX(AN$394:AN$405,$D2258)+AN2213*(1+$E2258))</f>
        <v/>
      </c>
      <c r="AO2258" s="44">
        <f>AO2240*Settings!$C$13*(INDEX(AO$407:AO$418,$D2258)+INDEX(AO$394:AO$405,$D2258)+AO2213*(1+$E2258))</f>
        <v/>
      </c>
      <c r="AP2258" s="44">
        <f>AP2240*Settings!$C$13*(INDEX(AP$407:AP$418,$D2258)+INDEX(AP$394:AP$405,$D2258)+AP2213*(1+$E2258))</f>
        <v/>
      </c>
      <c r="AQ2258" s="44">
        <f>AQ2240*Settings!$C$13*(INDEX(AQ$407:AQ$418,$D2258)+INDEX(AQ$394:AQ$405,$D2258)+AQ2213*(1+$E2258))</f>
        <v/>
      </c>
      <c r="AR2258" s="44">
        <f>AR2240*Settings!$C$13*(INDEX(AR$407:AR$418,$D2258)+INDEX(AR$394:AR$405,$D2258)+AR2213*(1+$E2258))</f>
        <v/>
      </c>
      <c r="AS2258" s="44">
        <f>AS2240*Settings!$C$13*(INDEX(AS$407:AS$418,$D2258)+INDEX(AS$394:AS$405,$D2258)+AS2213*(1+$E2258))</f>
        <v/>
      </c>
      <c r="AT2258" s="44">
        <f>AT2240*Settings!$C$13*(INDEX(AT$407:AT$418,$D2258)+INDEX(AT$394:AT$405,$D2258)+AT2213*(1+$E2258))</f>
        <v/>
      </c>
      <c r="AU2258" s="44">
        <f>AU2240*Settings!$C$13*(INDEX(AU$407:AU$418,$D2258)+INDEX(AU$394:AU$405,$D2258)+AU2213*(1+$E2258))</f>
        <v/>
      </c>
      <c r="AV2258" s="44">
        <f>AV2240*Settings!$C$13*(INDEX(AV$407:AV$418,$D2258)+INDEX(AV$394:AV$405,$D2258)+AV2213*(1+$E2258))</f>
        <v/>
      </c>
      <c r="AW2258" s="44">
        <f>AW2240*Settings!$C$13*(INDEX(AW$407:AW$418,$D2258)+INDEX(AW$394:AW$405,$D2258)+AW2213*(1+$E2258))</f>
        <v/>
      </c>
      <c r="AX2258" s="44">
        <f>AX2240*Settings!$C$13*(INDEX(AX$407:AX$418,$D2258)+INDEX(AX$394:AX$405,$D2258)+AX2213*(1+$E2258))</f>
        <v/>
      </c>
      <c r="AY2258" s="44">
        <f>AY2240*Settings!$C$13*(INDEX(AY$407:AY$418,$D2258)+INDEX(AY$394:AY$405,$D2258)+AY2213*(1+$E2258))</f>
        <v/>
      </c>
      <c r="AZ2258" s="44">
        <f>AZ2240*Settings!$C$13*(INDEX(AZ$407:AZ$418,$D2258)+INDEX(AZ$394:AZ$405,$D2258)+AZ2213*(1+$E2258))</f>
        <v/>
      </c>
      <c r="BA2258" s="57">
        <f>REVENUE(BA2240,Settings!$C$13,INDEX(BA$407:BA$418,$D2258)+INDEX(BA$394:BA$405,$D2258)+BA2213*(1+$E2258))</f>
        <v/>
      </c>
    </row>
    <row r="2259" hidden="1" outlineLevel="2">
      <c r="A2259" s="14" t="inlineStr">
        <is>
          <t>rtx</t>
        </is>
      </c>
      <c r="B2259" s="14" t="inlineStr">
        <is>
          <t>lpg</t>
        </is>
      </c>
      <c r="C2259" s="14" t="inlineStr">
        <is>
          <t>nfm</t>
        </is>
      </c>
      <c r="D2259" s="35">
        <f>INDEX(Inputs!$U$5:$U$132,MATCH($B2259&amp;"|"&amp;$C2259,Inputs!$A$5:$A$132,0))</f>
        <v/>
      </c>
      <c r="E2259" s="35">
        <f>INDEX(Inputs!$V$5:$V$132,MATCH($B2259&amp;"|"&amp;$C2259,Inputs!$A$5:$A$132,0))</f>
        <v/>
      </c>
      <c r="F2259" s="39" t="n"/>
      <c r="G2259" s="39" t="n"/>
      <c r="H2259" s="14">
        <f>INDEX(VarLab,MATCH($A2259,VarKey,0))&amp;INDEX(MemLab,MATCH($C2259&amp;"|"&amp;$B2259,MemKey,0))</f>
        <v/>
      </c>
      <c r="I2259" s="14">
        <f>INDEX(VarUnit,MATCH($A2259,VarKey,0))</f>
        <v/>
      </c>
      <c r="J2259" s="14">
        <f>INDEX(VarSrc,MATCH($A2259,VarKey,0))</f>
        <v/>
      </c>
      <c r="K2259" s="11">
        <f>CodePrefix&amp;$A2259&amp;IF($C2259="","","."&amp;$C2259&amp;"."&amp;$B2259)&amp;INDEX(VarEnd,MATCH($A2259,VarKey,0))&amp;K$5</f>
        <v/>
      </c>
      <c r="L2259" s="43">
        <f>L2241*Settings!$C$13*(INDEX(L$407:L$418,$D2259)+INDEX(L$394:L$405,$D2259)+L2214*(1+$E2259))</f>
        <v/>
      </c>
      <c r="M2259" s="44">
        <f>M2241*Settings!$C$13*(INDEX(M$407:M$418,$D2259)+INDEX(M$394:M$405,$D2259)+M2214*(1+$E2259))</f>
        <v/>
      </c>
      <c r="N2259" s="44">
        <f>N2241*Settings!$C$13*(INDEX(N$407:N$418,$D2259)+INDEX(N$394:N$405,$D2259)+N2214*(1+$E2259))</f>
        <v/>
      </c>
      <c r="O2259" s="44">
        <f>O2241*Settings!$C$13*(INDEX(O$407:O$418,$D2259)+INDEX(O$394:O$405,$D2259)+O2214*(1+$E2259))</f>
        <v/>
      </c>
      <c r="P2259" s="44">
        <f>P2241*Settings!$C$13*(INDEX(P$407:P$418,$D2259)+INDEX(P$394:P$405,$D2259)+P2214*(1+$E2259))</f>
        <v/>
      </c>
      <c r="Q2259" s="44">
        <f>Q2241*Settings!$C$13*(INDEX(Q$407:Q$418,$D2259)+INDEX(Q$394:Q$405,$D2259)+Q2214*(1+$E2259))</f>
        <v/>
      </c>
      <c r="R2259" s="44">
        <f>R2241*Settings!$C$13*(INDEX(R$407:R$418,$D2259)+INDEX(R$394:R$405,$D2259)+R2214*(1+$E2259))</f>
        <v/>
      </c>
      <c r="S2259" s="44">
        <f>S2241*Settings!$C$13*(INDEX(S$407:S$418,$D2259)+INDEX(S$394:S$405,$D2259)+S2214*(1+$E2259))</f>
        <v/>
      </c>
      <c r="T2259" s="44">
        <f>T2241*Settings!$C$13*(INDEX(T$407:T$418,$D2259)+INDEX(T$394:T$405,$D2259)+T2214*(1+$E2259))</f>
        <v/>
      </c>
      <c r="U2259" s="44">
        <f>U2241*Settings!$C$13*(INDEX(U$407:U$418,$D2259)+INDEX(U$394:U$405,$D2259)+U2214*(1+$E2259))</f>
        <v/>
      </c>
      <c r="V2259" s="44">
        <f>V2241*Settings!$C$13*(INDEX(V$407:V$418,$D2259)+INDEX(V$394:V$405,$D2259)+V2214*(1+$E2259))</f>
        <v/>
      </c>
      <c r="W2259" s="44">
        <f>W2241*Settings!$C$13*(INDEX(W$407:W$418,$D2259)+INDEX(W$394:W$405,$D2259)+W2214*(1+$E2259))</f>
        <v/>
      </c>
      <c r="X2259" s="44">
        <f>X2241*Settings!$C$13*(INDEX(X$407:X$418,$D2259)+INDEX(X$394:X$405,$D2259)+X2214*(1+$E2259))</f>
        <v/>
      </c>
      <c r="Y2259" s="44">
        <f>Y2241*Settings!$C$13*(INDEX(Y$407:Y$418,$D2259)+INDEX(Y$394:Y$405,$D2259)+Y2214*(1+$E2259))</f>
        <v/>
      </c>
      <c r="Z2259" s="44">
        <f>Z2241*Settings!$C$13*(INDEX(Z$407:Z$418,$D2259)+INDEX(Z$394:Z$405,$D2259)+Z2214*(1+$E2259))</f>
        <v/>
      </c>
      <c r="AA2259" s="44">
        <f>AA2241*Settings!$C$13*(INDEX(AA$407:AA$418,$D2259)+INDEX(AA$394:AA$405,$D2259)+AA2214*(1+$E2259))</f>
        <v/>
      </c>
      <c r="AB2259" s="44">
        <f>AB2241*Settings!$C$13*(INDEX(AB$407:AB$418,$D2259)+INDEX(AB$394:AB$405,$D2259)+AB2214*(1+$E2259))</f>
        <v/>
      </c>
      <c r="AC2259" s="44">
        <f>AC2241*Settings!$C$13*(INDEX(AC$407:AC$418,$D2259)+INDEX(AC$394:AC$405,$D2259)+AC2214*(1+$E2259))</f>
        <v/>
      </c>
      <c r="AD2259" s="44">
        <f>AD2241*Settings!$C$13*(INDEX(AD$407:AD$418,$D2259)+INDEX(AD$394:AD$405,$D2259)+AD2214*(1+$E2259))</f>
        <v/>
      </c>
      <c r="AE2259" s="57">
        <f>REVENUE(AE2241,Settings!$C$13,INDEX(AE$407:AE$418,$D2259)+INDEX(AE$394:AE$405,$D2259)+AE2214*(1+$E2259))</f>
        <v/>
      </c>
      <c r="AG2259" s="11">
        <f>CodePrefix&amp;$A2259&amp;IF($C2259="","","."&amp;$C2259&amp;"."&amp;$B2259)&amp;INDEX(VarEnd,MATCH($A2259,VarKey,0))&amp;AG$5</f>
        <v/>
      </c>
      <c r="AH2259" s="43">
        <f>AH2241*Settings!$C$13*(INDEX(AH$407:AH$418,$D2259)+INDEX(AH$394:AH$405,$D2259)+AH2214*(1+$E2259))</f>
        <v/>
      </c>
      <c r="AI2259" s="44">
        <f>AI2241*Settings!$C$13*(INDEX(AI$407:AI$418,$D2259)+INDEX(AI$394:AI$405,$D2259)+AI2214*(1+$E2259))</f>
        <v/>
      </c>
      <c r="AJ2259" s="44">
        <f>AJ2241*Settings!$C$13*(INDEX(AJ$407:AJ$418,$D2259)+INDEX(AJ$394:AJ$405,$D2259)+AJ2214*(1+$E2259))</f>
        <v/>
      </c>
      <c r="AK2259" s="44">
        <f>AK2241*Settings!$C$13*(INDEX(AK$407:AK$418,$D2259)+INDEX(AK$394:AK$405,$D2259)+AK2214*(1+$E2259))</f>
        <v/>
      </c>
      <c r="AL2259" s="44">
        <f>AL2241*Settings!$C$13*(INDEX(AL$407:AL$418,$D2259)+INDEX(AL$394:AL$405,$D2259)+AL2214*(1+$E2259))</f>
        <v/>
      </c>
      <c r="AM2259" s="44">
        <f>AM2241*Settings!$C$13*(INDEX(AM$407:AM$418,$D2259)+INDEX(AM$394:AM$405,$D2259)+AM2214*(1+$E2259))</f>
        <v/>
      </c>
      <c r="AN2259" s="44">
        <f>AN2241*Settings!$C$13*(INDEX(AN$407:AN$418,$D2259)+INDEX(AN$394:AN$405,$D2259)+AN2214*(1+$E2259))</f>
        <v/>
      </c>
      <c r="AO2259" s="44">
        <f>AO2241*Settings!$C$13*(INDEX(AO$407:AO$418,$D2259)+INDEX(AO$394:AO$405,$D2259)+AO2214*(1+$E2259))</f>
        <v/>
      </c>
      <c r="AP2259" s="44">
        <f>AP2241*Settings!$C$13*(INDEX(AP$407:AP$418,$D2259)+INDEX(AP$394:AP$405,$D2259)+AP2214*(1+$E2259))</f>
        <v/>
      </c>
      <c r="AQ2259" s="44">
        <f>AQ2241*Settings!$C$13*(INDEX(AQ$407:AQ$418,$D2259)+INDEX(AQ$394:AQ$405,$D2259)+AQ2214*(1+$E2259))</f>
        <v/>
      </c>
      <c r="AR2259" s="44">
        <f>AR2241*Settings!$C$13*(INDEX(AR$407:AR$418,$D2259)+INDEX(AR$394:AR$405,$D2259)+AR2214*(1+$E2259))</f>
        <v/>
      </c>
      <c r="AS2259" s="44">
        <f>AS2241*Settings!$C$13*(INDEX(AS$407:AS$418,$D2259)+INDEX(AS$394:AS$405,$D2259)+AS2214*(1+$E2259))</f>
        <v/>
      </c>
      <c r="AT2259" s="44">
        <f>AT2241*Settings!$C$13*(INDEX(AT$407:AT$418,$D2259)+INDEX(AT$394:AT$405,$D2259)+AT2214*(1+$E2259))</f>
        <v/>
      </c>
      <c r="AU2259" s="44">
        <f>AU2241*Settings!$C$13*(INDEX(AU$407:AU$418,$D2259)+INDEX(AU$394:AU$405,$D2259)+AU2214*(1+$E2259))</f>
        <v/>
      </c>
      <c r="AV2259" s="44">
        <f>AV2241*Settings!$C$13*(INDEX(AV$407:AV$418,$D2259)+INDEX(AV$394:AV$405,$D2259)+AV2214*(1+$E2259))</f>
        <v/>
      </c>
      <c r="AW2259" s="44">
        <f>AW2241*Settings!$C$13*(INDEX(AW$407:AW$418,$D2259)+INDEX(AW$394:AW$405,$D2259)+AW2214*(1+$E2259))</f>
        <v/>
      </c>
      <c r="AX2259" s="44">
        <f>AX2241*Settings!$C$13*(INDEX(AX$407:AX$418,$D2259)+INDEX(AX$394:AX$405,$D2259)+AX2214*(1+$E2259))</f>
        <v/>
      </c>
      <c r="AY2259" s="44">
        <f>AY2241*Settings!$C$13*(INDEX(AY$407:AY$418,$D2259)+INDEX(AY$394:AY$405,$D2259)+AY2214*(1+$E2259))</f>
        <v/>
      </c>
      <c r="AZ2259" s="44">
        <f>AZ2241*Settings!$C$13*(INDEX(AZ$407:AZ$418,$D2259)+INDEX(AZ$394:AZ$405,$D2259)+AZ2214*(1+$E2259))</f>
        <v/>
      </c>
      <c r="BA2259" s="57">
        <f>REVENUE(BA2241,Settings!$C$13,INDEX(BA$407:BA$418,$D2259)+INDEX(BA$394:BA$405,$D2259)+BA2214*(1+$E2259))</f>
        <v/>
      </c>
    </row>
    <row r="2260" hidden="1" outlineLevel="2">
      <c r="A2260" s="14" t="inlineStr">
        <is>
          <t>rtx</t>
        </is>
      </c>
      <c r="B2260" s="14" t="inlineStr">
        <is>
          <t>ker</t>
        </is>
      </c>
      <c r="C2260" s="14" t="inlineStr">
        <is>
          <t>nfm</t>
        </is>
      </c>
      <c r="D2260" s="35">
        <f>INDEX(Inputs!$U$5:$U$132,MATCH($B2260&amp;"|"&amp;$C2260,Inputs!$A$5:$A$132,0))</f>
        <v/>
      </c>
      <c r="E2260" s="35">
        <f>INDEX(Inputs!$V$5:$V$132,MATCH($B2260&amp;"|"&amp;$C2260,Inputs!$A$5:$A$132,0))</f>
        <v/>
      </c>
      <c r="F2260" s="39" t="n"/>
      <c r="G2260" s="39" t="n"/>
      <c r="H2260" s="14">
        <f>INDEX(VarLab,MATCH($A2260,VarKey,0))&amp;INDEX(MemLab,MATCH($C2260&amp;"|"&amp;$B2260,MemKey,0))</f>
        <v/>
      </c>
      <c r="I2260" s="14">
        <f>INDEX(VarUnit,MATCH($A2260,VarKey,0))</f>
        <v/>
      </c>
      <c r="J2260" s="14">
        <f>INDEX(VarSrc,MATCH($A2260,VarKey,0))</f>
        <v/>
      </c>
      <c r="K2260" s="11">
        <f>CodePrefix&amp;$A2260&amp;IF($C2260="","","."&amp;$C2260&amp;"."&amp;$B2260)&amp;INDEX(VarEnd,MATCH($A2260,VarKey,0))&amp;K$5</f>
        <v/>
      </c>
      <c r="L2260" s="43">
        <f>L2242*Settings!$C$13*(INDEX(L$407:L$418,$D2260)+INDEX(L$394:L$405,$D2260)+L2215*(1+$E2260))</f>
        <v/>
      </c>
      <c r="M2260" s="44">
        <f>M2242*Settings!$C$13*(INDEX(M$407:M$418,$D2260)+INDEX(M$394:M$405,$D2260)+M2215*(1+$E2260))</f>
        <v/>
      </c>
      <c r="N2260" s="44">
        <f>N2242*Settings!$C$13*(INDEX(N$407:N$418,$D2260)+INDEX(N$394:N$405,$D2260)+N2215*(1+$E2260))</f>
        <v/>
      </c>
      <c r="O2260" s="44">
        <f>O2242*Settings!$C$13*(INDEX(O$407:O$418,$D2260)+INDEX(O$394:O$405,$D2260)+O2215*(1+$E2260))</f>
        <v/>
      </c>
      <c r="P2260" s="44">
        <f>P2242*Settings!$C$13*(INDEX(P$407:P$418,$D2260)+INDEX(P$394:P$405,$D2260)+P2215*(1+$E2260))</f>
        <v/>
      </c>
      <c r="Q2260" s="44">
        <f>Q2242*Settings!$C$13*(INDEX(Q$407:Q$418,$D2260)+INDEX(Q$394:Q$405,$D2260)+Q2215*(1+$E2260))</f>
        <v/>
      </c>
      <c r="R2260" s="44">
        <f>R2242*Settings!$C$13*(INDEX(R$407:R$418,$D2260)+INDEX(R$394:R$405,$D2260)+R2215*(1+$E2260))</f>
        <v/>
      </c>
      <c r="S2260" s="44">
        <f>S2242*Settings!$C$13*(INDEX(S$407:S$418,$D2260)+INDEX(S$394:S$405,$D2260)+S2215*(1+$E2260))</f>
        <v/>
      </c>
      <c r="T2260" s="44">
        <f>T2242*Settings!$C$13*(INDEX(T$407:T$418,$D2260)+INDEX(T$394:T$405,$D2260)+T2215*(1+$E2260))</f>
        <v/>
      </c>
      <c r="U2260" s="44">
        <f>U2242*Settings!$C$13*(INDEX(U$407:U$418,$D2260)+INDEX(U$394:U$405,$D2260)+U2215*(1+$E2260))</f>
        <v/>
      </c>
      <c r="V2260" s="44">
        <f>V2242*Settings!$C$13*(INDEX(V$407:V$418,$D2260)+INDEX(V$394:V$405,$D2260)+V2215*(1+$E2260))</f>
        <v/>
      </c>
      <c r="W2260" s="44">
        <f>W2242*Settings!$C$13*(INDEX(W$407:W$418,$D2260)+INDEX(W$394:W$405,$D2260)+W2215*(1+$E2260))</f>
        <v/>
      </c>
      <c r="X2260" s="44">
        <f>X2242*Settings!$C$13*(INDEX(X$407:X$418,$D2260)+INDEX(X$394:X$405,$D2260)+X2215*(1+$E2260))</f>
        <v/>
      </c>
      <c r="Y2260" s="44">
        <f>Y2242*Settings!$C$13*(INDEX(Y$407:Y$418,$D2260)+INDEX(Y$394:Y$405,$D2260)+Y2215*(1+$E2260))</f>
        <v/>
      </c>
      <c r="Z2260" s="44">
        <f>Z2242*Settings!$C$13*(INDEX(Z$407:Z$418,$D2260)+INDEX(Z$394:Z$405,$D2260)+Z2215*(1+$E2260))</f>
        <v/>
      </c>
      <c r="AA2260" s="44">
        <f>AA2242*Settings!$C$13*(INDEX(AA$407:AA$418,$D2260)+INDEX(AA$394:AA$405,$D2260)+AA2215*(1+$E2260))</f>
        <v/>
      </c>
      <c r="AB2260" s="44">
        <f>AB2242*Settings!$C$13*(INDEX(AB$407:AB$418,$D2260)+INDEX(AB$394:AB$405,$D2260)+AB2215*(1+$E2260))</f>
        <v/>
      </c>
      <c r="AC2260" s="44">
        <f>AC2242*Settings!$C$13*(INDEX(AC$407:AC$418,$D2260)+INDEX(AC$394:AC$405,$D2260)+AC2215*(1+$E2260))</f>
        <v/>
      </c>
      <c r="AD2260" s="44">
        <f>AD2242*Settings!$C$13*(INDEX(AD$407:AD$418,$D2260)+INDEX(AD$394:AD$405,$D2260)+AD2215*(1+$E2260))</f>
        <v/>
      </c>
      <c r="AE2260" s="57">
        <f>REVENUE(AE2242,Settings!$C$13,INDEX(AE$407:AE$418,$D2260)+INDEX(AE$394:AE$405,$D2260)+AE2215*(1+$E2260))</f>
        <v/>
      </c>
      <c r="AG2260" s="11">
        <f>CodePrefix&amp;$A2260&amp;IF($C2260="","","."&amp;$C2260&amp;"."&amp;$B2260)&amp;INDEX(VarEnd,MATCH($A2260,VarKey,0))&amp;AG$5</f>
        <v/>
      </c>
      <c r="AH2260" s="43">
        <f>AH2242*Settings!$C$13*(INDEX(AH$407:AH$418,$D2260)+INDEX(AH$394:AH$405,$D2260)+AH2215*(1+$E2260))</f>
        <v/>
      </c>
      <c r="AI2260" s="44">
        <f>AI2242*Settings!$C$13*(INDEX(AI$407:AI$418,$D2260)+INDEX(AI$394:AI$405,$D2260)+AI2215*(1+$E2260))</f>
        <v/>
      </c>
      <c r="AJ2260" s="44">
        <f>AJ2242*Settings!$C$13*(INDEX(AJ$407:AJ$418,$D2260)+INDEX(AJ$394:AJ$405,$D2260)+AJ2215*(1+$E2260))</f>
        <v/>
      </c>
      <c r="AK2260" s="44">
        <f>AK2242*Settings!$C$13*(INDEX(AK$407:AK$418,$D2260)+INDEX(AK$394:AK$405,$D2260)+AK2215*(1+$E2260))</f>
        <v/>
      </c>
      <c r="AL2260" s="44">
        <f>AL2242*Settings!$C$13*(INDEX(AL$407:AL$418,$D2260)+INDEX(AL$394:AL$405,$D2260)+AL2215*(1+$E2260))</f>
        <v/>
      </c>
      <c r="AM2260" s="44">
        <f>AM2242*Settings!$C$13*(INDEX(AM$407:AM$418,$D2260)+INDEX(AM$394:AM$405,$D2260)+AM2215*(1+$E2260))</f>
        <v/>
      </c>
      <c r="AN2260" s="44">
        <f>AN2242*Settings!$C$13*(INDEX(AN$407:AN$418,$D2260)+INDEX(AN$394:AN$405,$D2260)+AN2215*(1+$E2260))</f>
        <v/>
      </c>
      <c r="AO2260" s="44">
        <f>AO2242*Settings!$C$13*(INDEX(AO$407:AO$418,$D2260)+INDEX(AO$394:AO$405,$D2260)+AO2215*(1+$E2260))</f>
        <v/>
      </c>
      <c r="AP2260" s="44">
        <f>AP2242*Settings!$C$13*(INDEX(AP$407:AP$418,$D2260)+INDEX(AP$394:AP$405,$D2260)+AP2215*(1+$E2260))</f>
        <v/>
      </c>
      <c r="AQ2260" s="44">
        <f>AQ2242*Settings!$C$13*(INDEX(AQ$407:AQ$418,$D2260)+INDEX(AQ$394:AQ$405,$D2260)+AQ2215*(1+$E2260))</f>
        <v/>
      </c>
      <c r="AR2260" s="44">
        <f>AR2242*Settings!$C$13*(INDEX(AR$407:AR$418,$D2260)+INDEX(AR$394:AR$405,$D2260)+AR2215*(1+$E2260))</f>
        <v/>
      </c>
      <c r="AS2260" s="44">
        <f>AS2242*Settings!$C$13*(INDEX(AS$407:AS$418,$D2260)+INDEX(AS$394:AS$405,$D2260)+AS2215*(1+$E2260))</f>
        <v/>
      </c>
      <c r="AT2260" s="44">
        <f>AT2242*Settings!$C$13*(INDEX(AT$407:AT$418,$D2260)+INDEX(AT$394:AT$405,$D2260)+AT2215*(1+$E2260))</f>
        <v/>
      </c>
      <c r="AU2260" s="44">
        <f>AU2242*Settings!$C$13*(INDEX(AU$407:AU$418,$D2260)+INDEX(AU$394:AU$405,$D2260)+AU2215*(1+$E2260))</f>
        <v/>
      </c>
      <c r="AV2260" s="44">
        <f>AV2242*Settings!$C$13*(INDEX(AV$407:AV$418,$D2260)+INDEX(AV$394:AV$405,$D2260)+AV2215*(1+$E2260))</f>
        <v/>
      </c>
      <c r="AW2260" s="44">
        <f>AW2242*Settings!$C$13*(INDEX(AW$407:AW$418,$D2260)+INDEX(AW$394:AW$405,$D2260)+AW2215*(1+$E2260))</f>
        <v/>
      </c>
      <c r="AX2260" s="44">
        <f>AX2242*Settings!$C$13*(INDEX(AX$407:AX$418,$D2260)+INDEX(AX$394:AX$405,$D2260)+AX2215*(1+$E2260))</f>
        <v/>
      </c>
      <c r="AY2260" s="44">
        <f>AY2242*Settings!$C$13*(INDEX(AY$407:AY$418,$D2260)+INDEX(AY$394:AY$405,$D2260)+AY2215*(1+$E2260))</f>
        <v/>
      </c>
      <c r="AZ2260" s="44">
        <f>AZ2242*Settings!$C$13*(INDEX(AZ$407:AZ$418,$D2260)+INDEX(AZ$394:AZ$405,$D2260)+AZ2215*(1+$E2260))</f>
        <v/>
      </c>
      <c r="BA2260" s="57">
        <f>REVENUE(BA2242,Settings!$C$13,INDEX(BA$407:BA$418,$D2260)+INDEX(BA$394:BA$405,$D2260)+BA2215*(1+$E2260))</f>
        <v/>
      </c>
    </row>
    <row r="2261" hidden="1" outlineLevel="2">
      <c r="A2261" s="14" t="inlineStr">
        <is>
          <t>rtx</t>
        </is>
      </c>
      <c r="B2261" s="14" t="inlineStr">
        <is>
          <t>oop</t>
        </is>
      </c>
      <c r="C2261" s="14" t="inlineStr">
        <is>
          <t>nfm</t>
        </is>
      </c>
      <c r="D2261" s="35">
        <f>INDEX(Inputs!$U$5:$U$132,MATCH($B2261&amp;"|"&amp;$C2261,Inputs!$A$5:$A$132,0))</f>
        <v/>
      </c>
      <c r="E2261" s="35">
        <f>INDEX(Inputs!$V$5:$V$132,MATCH($B2261&amp;"|"&amp;$C2261,Inputs!$A$5:$A$132,0))</f>
        <v/>
      </c>
      <c r="F2261" s="39" t="n"/>
      <c r="G2261" s="39" t="n"/>
      <c r="H2261" s="14">
        <f>INDEX(VarLab,MATCH($A2261,VarKey,0))&amp;INDEX(MemLab,MATCH($C2261&amp;"|"&amp;$B2261,MemKey,0))</f>
        <v/>
      </c>
      <c r="I2261" s="14">
        <f>INDEX(VarUnit,MATCH($A2261,VarKey,0))</f>
        <v/>
      </c>
      <c r="J2261" s="14">
        <f>INDEX(VarSrc,MATCH($A2261,VarKey,0))</f>
        <v/>
      </c>
      <c r="K2261" s="11">
        <f>CodePrefix&amp;$A2261&amp;IF($C2261="","","."&amp;$C2261&amp;"."&amp;$B2261)&amp;INDEX(VarEnd,MATCH($A2261,VarKey,0))&amp;K$5</f>
        <v/>
      </c>
      <c r="L2261" s="43">
        <f>L2243*Settings!$C$13*(INDEX(L$407:L$418,$D2261)+INDEX(L$394:L$405,$D2261)+L2216*(1+$E2261))</f>
        <v/>
      </c>
      <c r="M2261" s="44">
        <f>M2243*Settings!$C$13*(INDEX(M$407:M$418,$D2261)+INDEX(M$394:M$405,$D2261)+M2216*(1+$E2261))</f>
        <v/>
      </c>
      <c r="N2261" s="44">
        <f>N2243*Settings!$C$13*(INDEX(N$407:N$418,$D2261)+INDEX(N$394:N$405,$D2261)+N2216*(1+$E2261))</f>
        <v/>
      </c>
      <c r="O2261" s="44">
        <f>O2243*Settings!$C$13*(INDEX(O$407:O$418,$D2261)+INDEX(O$394:O$405,$D2261)+O2216*(1+$E2261))</f>
        <v/>
      </c>
      <c r="P2261" s="44">
        <f>P2243*Settings!$C$13*(INDEX(P$407:P$418,$D2261)+INDEX(P$394:P$405,$D2261)+P2216*(1+$E2261))</f>
        <v/>
      </c>
      <c r="Q2261" s="44">
        <f>Q2243*Settings!$C$13*(INDEX(Q$407:Q$418,$D2261)+INDEX(Q$394:Q$405,$D2261)+Q2216*(1+$E2261))</f>
        <v/>
      </c>
      <c r="R2261" s="44">
        <f>R2243*Settings!$C$13*(INDEX(R$407:R$418,$D2261)+INDEX(R$394:R$405,$D2261)+R2216*(1+$E2261))</f>
        <v/>
      </c>
      <c r="S2261" s="44">
        <f>S2243*Settings!$C$13*(INDEX(S$407:S$418,$D2261)+INDEX(S$394:S$405,$D2261)+S2216*(1+$E2261))</f>
        <v/>
      </c>
      <c r="T2261" s="44">
        <f>T2243*Settings!$C$13*(INDEX(T$407:T$418,$D2261)+INDEX(T$394:T$405,$D2261)+T2216*(1+$E2261))</f>
        <v/>
      </c>
      <c r="U2261" s="44">
        <f>U2243*Settings!$C$13*(INDEX(U$407:U$418,$D2261)+INDEX(U$394:U$405,$D2261)+U2216*(1+$E2261))</f>
        <v/>
      </c>
      <c r="V2261" s="44">
        <f>V2243*Settings!$C$13*(INDEX(V$407:V$418,$D2261)+INDEX(V$394:V$405,$D2261)+V2216*(1+$E2261))</f>
        <v/>
      </c>
      <c r="W2261" s="44">
        <f>W2243*Settings!$C$13*(INDEX(W$407:W$418,$D2261)+INDEX(W$394:W$405,$D2261)+W2216*(1+$E2261))</f>
        <v/>
      </c>
      <c r="X2261" s="44">
        <f>X2243*Settings!$C$13*(INDEX(X$407:X$418,$D2261)+INDEX(X$394:X$405,$D2261)+X2216*(1+$E2261))</f>
        <v/>
      </c>
      <c r="Y2261" s="44">
        <f>Y2243*Settings!$C$13*(INDEX(Y$407:Y$418,$D2261)+INDEX(Y$394:Y$405,$D2261)+Y2216*(1+$E2261))</f>
        <v/>
      </c>
      <c r="Z2261" s="44">
        <f>Z2243*Settings!$C$13*(INDEX(Z$407:Z$418,$D2261)+INDEX(Z$394:Z$405,$D2261)+Z2216*(1+$E2261))</f>
        <v/>
      </c>
      <c r="AA2261" s="44">
        <f>AA2243*Settings!$C$13*(INDEX(AA$407:AA$418,$D2261)+INDEX(AA$394:AA$405,$D2261)+AA2216*(1+$E2261))</f>
        <v/>
      </c>
      <c r="AB2261" s="44">
        <f>AB2243*Settings!$C$13*(INDEX(AB$407:AB$418,$D2261)+INDEX(AB$394:AB$405,$D2261)+AB2216*(1+$E2261))</f>
        <v/>
      </c>
      <c r="AC2261" s="44">
        <f>AC2243*Settings!$C$13*(INDEX(AC$407:AC$418,$D2261)+INDEX(AC$394:AC$405,$D2261)+AC2216*(1+$E2261))</f>
        <v/>
      </c>
      <c r="AD2261" s="44">
        <f>AD2243*Settings!$C$13*(INDEX(AD$407:AD$418,$D2261)+INDEX(AD$394:AD$405,$D2261)+AD2216*(1+$E2261))</f>
        <v/>
      </c>
      <c r="AE2261" s="57">
        <f>REVENUE(AE2243,Settings!$C$13,INDEX(AE$407:AE$418,$D2261)+INDEX(AE$394:AE$405,$D2261)+AE2216*(1+$E2261))</f>
        <v/>
      </c>
      <c r="AG2261" s="11">
        <f>CodePrefix&amp;$A2261&amp;IF($C2261="","","."&amp;$C2261&amp;"."&amp;$B2261)&amp;INDEX(VarEnd,MATCH($A2261,VarKey,0))&amp;AG$5</f>
        <v/>
      </c>
      <c r="AH2261" s="43">
        <f>AH2243*Settings!$C$13*(INDEX(AH$407:AH$418,$D2261)+INDEX(AH$394:AH$405,$D2261)+AH2216*(1+$E2261))</f>
        <v/>
      </c>
      <c r="AI2261" s="44">
        <f>AI2243*Settings!$C$13*(INDEX(AI$407:AI$418,$D2261)+INDEX(AI$394:AI$405,$D2261)+AI2216*(1+$E2261))</f>
        <v/>
      </c>
      <c r="AJ2261" s="44">
        <f>AJ2243*Settings!$C$13*(INDEX(AJ$407:AJ$418,$D2261)+INDEX(AJ$394:AJ$405,$D2261)+AJ2216*(1+$E2261))</f>
        <v/>
      </c>
      <c r="AK2261" s="44">
        <f>AK2243*Settings!$C$13*(INDEX(AK$407:AK$418,$D2261)+INDEX(AK$394:AK$405,$D2261)+AK2216*(1+$E2261))</f>
        <v/>
      </c>
      <c r="AL2261" s="44">
        <f>AL2243*Settings!$C$13*(INDEX(AL$407:AL$418,$D2261)+INDEX(AL$394:AL$405,$D2261)+AL2216*(1+$E2261))</f>
        <v/>
      </c>
      <c r="AM2261" s="44">
        <f>AM2243*Settings!$C$13*(INDEX(AM$407:AM$418,$D2261)+INDEX(AM$394:AM$405,$D2261)+AM2216*(1+$E2261))</f>
        <v/>
      </c>
      <c r="AN2261" s="44">
        <f>AN2243*Settings!$C$13*(INDEX(AN$407:AN$418,$D2261)+INDEX(AN$394:AN$405,$D2261)+AN2216*(1+$E2261))</f>
        <v/>
      </c>
      <c r="AO2261" s="44">
        <f>AO2243*Settings!$C$13*(INDEX(AO$407:AO$418,$D2261)+INDEX(AO$394:AO$405,$D2261)+AO2216*(1+$E2261))</f>
        <v/>
      </c>
      <c r="AP2261" s="44">
        <f>AP2243*Settings!$C$13*(INDEX(AP$407:AP$418,$D2261)+INDEX(AP$394:AP$405,$D2261)+AP2216*(1+$E2261))</f>
        <v/>
      </c>
      <c r="AQ2261" s="44">
        <f>AQ2243*Settings!$C$13*(INDEX(AQ$407:AQ$418,$D2261)+INDEX(AQ$394:AQ$405,$D2261)+AQ2216*(1+$E2261))</f>
        <v/>
      </c>
      <c r="AR2261" s="44">
        <f>AR2243*Settings!$C$13*(INDEX(AR$407:AR$418,$D2261)+INDEX(AR$394:AR$405,$D2261)+AR2216*(1+$E2261))</f>
        <v/>
      </c>
      <c r="AS2261" s="44">
        <f>AS2243*Settings!$C$13*(INDEX(AS$407:AS$418,$D2261)+INDEX(AS$394:AS$405,$D2261)+AS2216*(1+$E2261))</f>
        <v/>
      </c>
      <c r="AT2261" s="44">
        <f>AT2243*Settings!$C$13*(INDEX(AT$407:AT$418,$D2261)+INDEX(AT$394:AT$405,$D2261)+AT2216*(1+$E2261))</f>
        <v/>
      </c>
      <c r="AU2261" s="44">
        <f>AU2243*Settings!$C$13*(INDEX(AU$407:AU$418,$D2261)+INDEX(AU$394:AU$405,$D2261)+AU2216*(1+$E2261))</f>
        <v/>
      </c>
      <c r="AV2261" s="44">
        <f>AV2243*Settings!$C$13*(INDEX(AV$407:AV$418,$D2261)+INDEX(AV$394:AV$405,$D2261)+AV2216*(1+$E2261))</f>
        <v/>
      </c>
      <c r="AW2261" s="44">
        <f>AW2243*Settings!$C$13*(INDEX(AW$407:AW$418,$D2261)+INDEX(AW$394:AW$405,$D2261)+AW2216*(1+$E2261))</f>
        <v/>
      </c>
      <c r="AX2261" s="44">
        <f>AX2243*Settings!$C$13*(INDEX(AX$407:AX$418,$D2261)+INDEX(AX$394:AX$405,$D2261)+AX2216*(1+$E2261))</f>
        <v/>
      </c>
      <c r="AY2261" s="44">
        <f>AY2243*Settings!$C$13*(INDEX(AY$407:AY$418,$D2261)+INDEX(AY$394:AY$405,$D2261)+AY2216*(1+$E2261))</f>
        <v/>
      </c>
      <c r="AZ2261" s="44">
        <f>AZ2243*Settings!$C$13*(INDEX(AZ$407:AZ$418,$D2261)+INDEX(AZ$394:AZ$405,$D2261)+AZ2216*(1+$E2261))</f>
        <v/>
      </c>
      <c r="BA2261" s="57">
        <f>REVENUE(BA2243,Settings!$C$13,INDEX(BA$407:BA$418,$D2261)+INDEX(BA$394:BA$405,$D2261)+BA2216*(1+$E2261))</f>
        <v/>
      </c>
    </row>
    <row r="2262" hidden="1" outlineLevel="2">
      <c r="A2262" s="14" t="inlineStr">
        <is>
          <t>rtx</t>
        </is>
      </c>
      <c r="B2262" s="14" t="inlineStr">
        <is>
          <t>bio</t>
        </is>
      </c>
      <c r="C2262" s="14" t="inlineStr">
        <is>
          <t>nfm</t>
        </is>
      </c>
      <c r="D2262" s="35">
        <f>INDEX(Inputs!$U$5:$U$132,MATCH($B2262&amp;"|"&amp;$C2262,Inputs!$A$5:$A$132,0))</f>
        <v/>
      </c>
      <c r="E2262" s="35">
        <f>INDEX(Inputs!$V$5:$V$132,MATCH($B2262&amp;"|"&amp;$C2262,Inputs!$A$5:$A$132,0))</f>
        <v/>
      </c>
      <c r="F2262" s="39" t="n"/>
      <c r="G2262" s="39" t="n"/>
      <c r="H2262" s="14">
        <f>INDEX(VarLab,MATCH($A2262,VarKey,0))&amp;INDEX(MemLab,MATCH($C2262&amp;"|"&amp;$B2262,MemKey,0))</f>
        <v/>
      </c>
      <c r="I2262" s="14">
        <f>INDEX(VarUnit,MATCH($A2262,VarKey,0))</f>
        <v/>
      </c>
      <c r="J2262" s="14">
        <f>INDEX(VarSrc,MATCH($A2262,VarKey,0))</f>
        <v/>
      </c>
      <c r="K2262" s="11">
        <f>CodePrefix&amp;$A2262&amp;IF($C2262="","","."&amp;$C2262&amp;"."&amp;$B2262)&amp;INDEX(VarEnd,MATCH($A2262,VarKey,0))&amp;K$5</f>
        <v/>
      </c>
      <c r="L2262" s="43">
        <f>L2244*Settings!$C$13*(INDEX(L$407:L$418,$D2262)+INDEX(L$394:L$405,$D2262)+L2217*(1+$E2262))</f>
        <v/>
      </c>
      <c r="M2262" s="44">
        <f>M2244*Settings!$C$13*(INDEX(M$407:M$418,$D2262)+INDEX(M$394:M$405,$D2262)+M2217*(1+$E2262))</f>
        <v/>
      </c>
      <c r="N2262" s="44">
        <f>N2244*Settings!$C$13*(INDEX(N$407:N$418,$D2262)+INDEX(N$394:N$405,$D2262)+N2217*(1+$E2262))</f>
        <v/>
      </c>
      <c r="O2262" s="44">
        <f>O2244*Settings!$C$13*(INDEX(O$407:O$418,$D2262)+INDEX(O$394:O$405,$D2262)+O2217*(1+$E2262))</f>
        <v/>
      </c>
      <c r="P2262" s="44">
        <f>P2244*Settings!$C$13*(INDEX(P$407:P$418,$D2262)+INDEX(P$394:P$405,$D2262)+P2217*(1+$E2262))</f>
        <v/>
      </c>
      <c r="Q2262" s="44">
        <f>Q2244*Settings!$C$13*(INDEX(Q$407:Q$418,$D2262)+INDEX(Q$394:Q$405,$D2262)+Q2217*(1+$E2262))</f>
        <v/>
      </c>
      <c r="R2262" s="44">
        <f>R2244*Settings!$C$13*(INDEX(R$407:R$418,$D2262)+INDEX(R$394:R$405,$D2262)+R2217*(1+$E2262))</f>
        <v/>
      </c>
      <c r="S2262" s="44">
        <f>S2244*Settings!$C$13*(INDEX(S$407:S$418,$D2262)+INDEX(S$394:S$405,$D2262)+S2217*(1+$E2262))</f>
        <v/>
      </c>
      <c r="T2262" s="44">
        <f>T2244*Settings!$C$13*(INDEX(T$407:T$418,$D2262)+INDEX(T$394:T$405,$D2262)+T2217*(1+$E2262))</f>
        <v/>
      </c>
      <c r="U2262" s="44">
        <f>U2244*Settings!$C$13*(INDEX(U$407:U$418,$D2262)+INDEX(U$394:U$405,$D2262)+U2217*(1+$E2262))</f>
        <v/>
      </c>
      <c r="V2262" s="44">
        <f>V2244*Settings!$C$13*(INDEX(V$407:V$418,$D2262)+INDEX(V$394:V$405,$D2262)+V2217*(1+$E2262))</f>
        <v/>
      </c>
      <c r="W2262" s="44">
        <f>W2244*Settings!$C$13*(INDEX(W$407:W$418,$D2262)+INDEX(W$394:W$405,$D2262)+W2217*(1+$E2262))</f>
        <v/>
      </c>
      <c r="X2262" s="44">
        <f>X2244*Settings!$C$13*(INDEX(X$407:X$418,$D2262)+INDEX(X$394:X$405,$D2262)+X2217*(1+$E2262))</f>
        <v/>
      </c>
      <c r="Y2262" s="44">
        <f>Y2244*Settings!$C$13*(INDEX(Y$407:Y$418,$D2262)+INDEX(Y$394:Y$405,$D2262)+Y2217*(1+$E2262))</f>
        <v/>
      </c>
      <c r="Z2262" s="44">
        <f>Z2244*Settings!$C$13*(INDEX(Z$407:Z$418,$D2262)+INDEX(Z$394:Z$405,$D2262)+Z2217*(1+$E2262))</f>
        <v/>
      </c>
      <c r="AA2262" s="44">
        <f>AA2244*Settings!$C$13*(INDEX(AA$407:AA$418,$D2262)+INDEX(AA$394:AA$405,$D2262)+AA2217*(1+$E2262))</f>
        <v/>
      </c>
      <c r="AB2262" s="44">
        <f>AB2244*Settings!$C$13*(INDEX(AB$407:AB$418,$D2262)+INDEX(AB$394:AB$405,$D2262)+AB2217*(1+$E2262))</f>
        <v/>
      </c>
      <c r="AC2262" s="44">
        <f>AC2244*Settings!$C$13*(INDEX(AC$407:AC$418,$D2262)+INDEX(AC$394:AC$405,$D2262)+AC2217*(1+$E2262))</f>
        <v/>
      </c>
      <c r="AD2262" s="44">
        <f>AD2244*Settings!$C$13*(INDEX(AD$407:AD$418,$D2262)+INDEX(AD$394:AD$405,$D2262)+AD2217*(1+$E2262))</f>
        <v/>
      </c>
      <c r="AE2262" s="57">
        <f>REVENUE(AE2244,Settings!$C$13,INDEX(AE$407:AE$418,$D2262)+INDEX(AE$394:AE$405,$D2262)+AE2217*(1+$E2262))</f>
        <v/>
      </c>
      <c r="AG2262" s="11">
        <f>CodePrefix&amp;$A2262&amp;IF($C2262="","","."&amp;$C2262&amp;"."&amp;$B2262)&amp;INDEX(VarEnd,MATCH($A2262,VarKey,0))&amp;AG$5</f>
        <v/>
      </c>
      <c r="AH2262" s="43">
        <f>AH2244*Settings!$C$13*(INDEX(AH$407:AH$418,$D2262)+INDEX(AH$394:AH$405,$D2262)+AH2217*(1+$E2262))</f>
        <v/>
      </c>
      <c r="AI2262" s="44">
        <f>AI2244*Settings!$C$13*(INDEX(AI$407:AI$418,$D2262)+INDEX(AI$394:AI$405,$D2262)+AI2217*(1+$E2262))</f>
        <v/>
      </c>
      <c r="AJ2262" s="44">
        <f>AJ2244*Settings!$C$13*(INDEX(AJ$407:AJ$418,$D2262)+INDEX(AJ$394:AJ$405,$D2262)+AJ2217*(1+$E2262))</f>
        <v/>
      </c>
      <c r="AK2262" s="44">
        <f>AK2244*Settings!$C$13*(INDEX(AK$407:AK$418,$D2262)+INDEX(AK$394:AK$405,$D2262)+AK2217*(1+$E2262))</f>
        <v/>
      </c>
      <c r="AL2262" s="44">
        <f>AL2244*Settings!$C$13*(INDEX(AL$407:AL$418,$D2262)+INDEX(AL$394:AL$405,$D2262)+AL2217*(1+$E2262))</f>
        <v/>
      </c>
      <c r="AM2262" s="44">
        <f>AM2244*Settings!$C$13*(INDEX(AM$407:AM$418,$D2262)+INDEX(AM$394:AM$405,$D2262)+AM2217*(1+$E2262))</f>
        <v/>
      </c>
      <c r="AN2262" s="44">
        <f>AN2244*Settings!$C$13*(INDEX(AN$407:AN$418,$D2262)+INDEX(AN$394:AN$405,$D2262)+AN2217*(1+$E2262))</f>
        <v/>
      </c>
      <c r="AO2262" s="44">
        <f>AO2244*Settings!$C$13*(INDEX(AO$407:AO$418,$D2262)+INDEX(AO$394:AO$405,$D2262)+AO2217*(1+$E2262))</f>
        <v/>
      </c>
      <c r="AP2262" s="44">
        <f>AP2244*Settings!$C$13*(INDEX(AP$407:AP$418,$D2262)+INDEX(AP$394:AP$405,$D2262)+AP2217*(1+$E2262))</f>
        <v/>
      </c>
      <c r="AQ2262" s="44">
        <f>AQ2244*Settings!$C$13*(INDEX(AQ$407:AQ$418,$D2262)+INDEX(AQ$394:AQ$405,$D2262)+AQ2217*(1+$E2262))</f>
        <v/>
      </c>
      <c r="AR2262" s="44">
        <f>AR2244*Settings!$C$13*(INDEX(AR$407:AR$418,$D2262)+INDEX(AR$394:AR$405,$D2262)+AR2217*(1+$E2262))</f>
        <v/>
      </c>
      <c r="AS2262" s="44">
        <f>AS2244*Settings!$C$13*(INDEX(AS$407:AS$418,$D2262)+INDEX(AS$394:AS$405,$D2262)+AS2217*(1+$E2262))</f>
        <v/>
      </c>
      <c r="AT2262" s="44">
        <f>AT2244*Settings!$C$13*(INDEX(AT$407:AT$418,$D2262)+INDEX(AT$394:AT$405,$D2262)+AT2217*(1+$E2262))</f>
        <v/>
      </c>
      <c r="AU2262" s="44">
        <f>AU2244*Settings!$C$13*(INDEX(AU$407:AU$418,$D2262)+INDEX(AU$394:AU$405,$D2262)+AU2217*(1+$E2262))</f>
        <v/>
      </c>
      <c r="AV2262" s="44">
        <f>AV2244*Settings!$C$13*(INDEX(AV$407:AV$418,$D2262)+INDEX(AV$394:AV$405,$D2262)+AV2217*(1+$E2262))</f>
        <v/>
      </c>
      <c r="AW2262" s="44">
        <f>AW2244*Settings!$C$13*(INDEX(AW$407:AW$418,$D2262)+INDEX(AW$394:AW$405,$D2262)+AW2217*(1+$E2262))</f>
        <v/>
      </c>
      <c r="AX2262" s="44">
        <f>AX2244*Settings!$C$13*(INDEX(AX$407:AX$418,$D2262)+INDEX(AX$394:AX$405,$D2262)+AX2217*(1+$E2262))</f>
        <v/>
      </c>
      <c r="AY2262" s="44">
        <f>AY2244*Settings!$C$13*(INDEX(AY$407:AY$418,$D2262)+INDEX(AY$394:AY$405,$D2262)+AY2217*(1+$E2262))</f>
        <v/>
      </c>
      <c r="AZ2262" s="44">
        <f>AZ2244*Settings!$C$13*(INDEX(AZ$407:AZ$418,$D2262)+INDEX(AZ$394:AZ$405,$D2262)+AZ2217*(1+$E2262))</f>
        <v/>
      </c>
      <c r="BA2262" s="57">
        <f>REVENUE(BA2244,Settings!$C$13,INDEX(BA$407:BA$418,$D2262)+INDEX(BA$394:BA$405,$D2262)+BA2217*(1+$E2262))</f>
        <v/>
      </c>
    </row>
    <row r="2263" hidden="1" outlineLevel="2"/>
    <row r="2264" hidden="1" outlineLevel="2">
      <c r="A2264" s="14" t="inlineStr">
        <is>
          <t>rsub</t>
        </is>
      </c>
      <c r="B2264" s="14" t="inlineStr">
        <is>
          <t>coa</t>
        </is>
      </c>
      <c r="C2264" s="14" t="inlineStr">
        <is>
          <t>nfm</t>
        </is>
      </c>
      <c r="D2264" s="35">
        <f>INDEX(Inputs!$U$5:$U$132,MATCH($B2264&amp;"|"&amp;$C2264,Inputs!$A$5:$A$132,0))</f>
        <v/>
      </c>
      <c r="E2264" s="39" t="n"/>
      <c r="F2264" s="39" t="n"/>
      <c r="G2264" s="39" t="n"/>
      <c r="H2264" s="14">
        <f>INDEX(VarLab,MATCH($A2264,VarKey,0))&amp;INDEX(MemLab,MATCH($C2264&amp;"|"&amp;$B2264,MemKey,0))</f>
        <v/>
      </c>
      <c r="I2264" s="14">
        <f>INDEX(VarUnit,MATCH($A2264,VarKey,0))</f>
        <v/>
      </c>
      <c r="J2264" s="14">
        <f>INDEX(VarSrc,MATCH($A2264,VarKey,0))</f>
        <v/>
      </c>
      <c r="K2264" s="11">
        <f>CodePrefix&amp;$A2264&amp;IF($C2264="","","."&amp;$C2264&amp;"."&amp;$B2264)&amp;INDEX(VarEnd,MATCH($A2264,VarKey,0))&amp;K$5</f>
        <v/>
      </c>
      <c r="L2264" s="43">
        <f>L2237*Settings!$C$13*(INDEX(L$420:L$431,$D2264))</f>
        <v/>
      </c>
      <c r="M2264" s="44">
        <f>M2237*Settings!$C$13*(INDEX(M$420:M$431,$D2264))</f>
        <v/>
      </c>
      <c r="N2264" s="44">
        <f>N2237*Settings!$C$13*(INDEX(N$420:N$431,$D2264))</f>
        <v/>
      </c>
      <c r="O2264" s="44">
        <f>O2237*Settings!$C$13*(INDEX(O$420:O$431,$D2264))</f>
        <v/>
      </c>
      <c r="P2264" s="44">
        <f>P2237*Settings!$C$13*(INDEX(P$420:P$431,$D2264))</f>
        <v/>
      </c>
      <c r="Q2264" s="44">
        <f>Q2237*Settings!$C$13*(INDEX(Q$420:Q$431,$D2264))</f>
        <v/>
      </c>
      <c r="R2264" s="44">
        <f>R2237*Settings!$C$13*(INDEX(R$420:R$431,$D2264))</f>
        <v/>
      </c>
      <c r="S2264" s="44">
        <f>S2237*Settings!$C$13*(INDEX(S$420:S$431,$D2264))</f>
        <v/>
      </c>
      <c r="T2264" s="44">
        <f>T2237*Settings!$C$13*(INDEX(T$420:T$431,$D2264))</f>
        <v/>
      </c>
      <c r="U2264" s="44">
        <f>U2237*Settings!$C$13*(INDEX(U$420:U$431,$D2264))</f>
        <v/>
      </c>
      <c r="V2264" s="44">
        <f>V2237*Settings!$C$13*(INDEX(V$420:V$431,$D2264))</f>
        <v/>
      </c>
      <c r="W2264" s="44">
        <f>W2237*Settings!$C$13*(INDEX(W$420:W$431,$D2264))</f>
        <v/>
      </c>
      <c r="X2264" s="44">
        <f>X2237*Settings!$C$13*(INDEX(X$420:X$431,$D2264))</f>
        <v/>
      </c>
      <c r="Y2264" s="44">
        <f>Y2237*Settings!$C$13*(INDEX(Y$420:Y$431,$D2264))</f>
        <v/>
      </c>
      <c r="Z2264" s="44">
        <f>Z2237*Settings!$C$13*(INDEX(Z$420:Z$431,$D2264))</f>
        <v/>
      </c>
      <c r="AA2264" s="44">
        <f>AA2237*Settings!$C$13*(INDEX(AA$420:AA$431,$D2264))</f>
        <v/>
      </c>
      <c r="AB2264" s="44">
        <f>AB2237*Settings!$C$13*(INDEX(AB$420:AB$431,$D2264))</f>
        <v/>
      </c>
      <c r="AC2264" s="44">
        <f>AC2237*Settings!$C$13*(INDEX(AC$420:AC$431,$D2264))</f>
        <v/>
      </c>
      <c r="AD2264" s="44">
        <f>AD2237*Settings!$C$13*(INDEX(AD$420:AD$431,$D2264))</f>
        <v/>
      </c>
      <c r="AE2264" s="57">
        <f>REVENUE(AE2237,Settings!$C$13,INDEX(AE$420:AE$431,$D2264))</f>
        <v/>
      </c>
      <c r="AG2264" s="11">
        <f>CodePrefix&amp;$A2264&amp;IF($C2264="","","."&amp;$C2264&amp;"."&amp;$B2264)&amp;INDEX(VarEnd,MATCH($A2264,VarKey,0))&amp;AG$5</f>
        <v/>
      </c>
      <c r="AH2264" s="43">
        <f>AH2237*Settings!$C$13*(INDEX(AH$420:AH$431,$D2264))</f>
        <v/>
      </c>
      <c r="AI2264" s="44">
        <f>AI2237*Settings!$C$13*(INDEX(AI$420:AI$431,$D2264))</f>
        <v/>
      </c>
      <c r="AJ2264" s="44">
        <f>AJ2237*Settings!$C$13*(INDEX(AJ$420:AJ$431,$D2264))</f>
        <v/>
      </c>
      <c r="AK2264" s="44">
        <f>AK2237*Settings!$C$13*(INDEX(AK$420:AK$431,$D2264))</f>
        <v/>
      </c>
      <c r="AL2264" s="44">
        <f>AL2237*Settings!$C$13*(INDEX(AL$420:AL$431,$D2264))</f>
        <v/>
      </c>
      <c r="AM2264" s="44">
        <f>AM2237*Settings!$C$13*(INDEX(AM$420:AM$431,$D2264))</f>
        <v/>
      </c>
      <c r="AN2264" s="44">
        <f>AN2237*Settings!$C$13*(INDEX(AN$420:AN$431,$D2264))</f>
        <v/>
      </c>
      <c r="AO2264" s="44">
        <f>AO2237*Settings!$C$13*(INDEX(AO$420:AO$431,$D2264))</f>
        <v/>
      </c>
      <c r="AP2264" s="44">
        <f>AP2237*Settings!$C$13*(INDEX(AP$420:AP$431,$D2264))</f>
        <v/>
      </c>
      <c r="AQ2264" s="44">
        <f>AQ2237*Settings!$C$13*(INDEX(AQ$420:AQ$431,$D2264))</f>
        <v/>
      </c>
      <c r="AR2264" s="44">
        <f>AR2237*Settings!$C$13*(INDEX(AR$420:AR$431,$D2264))</f>
        <v/>
      </c>
      <c r="AS2264" s="44">
        <f>AS2237*Settings!$C$13*(INDEX(AS$420:AS$431,$D2264))</f>
        <v/>
      </c>
      <c r="AT2264" s="44">
        <f>AT2237*Settings!$C$13*(INDEX(AT$420:AT$431,$D2264))</f>
        <v/>
      </c>
      <c r="AU2264" s="44">
        <f>AU2237*Settings!$C$13*(INDEX(AU$420:AU$431,$D2264))</f>
        <v/>
      </c>
      <c r="AV2264" s="44">
        <f>AV2237*Settings!$C$13*(INDEX(AV$420:AV$431,$D2264))</f>
        <v/>
      </c>
      <c r="AW2264" s="44">
        <f>AW2237*Settings!$C$13*(INDEX(AW$420:AW$431,$D2264))</f>
        <v/>
      </c>
      <c r="AX2264" s="44">
        <f>AX2237*Settings!$C$13*(INDEX(AX$420:AX$431,$D2264))</f>
        <v/>
      </c>
      <c r="AY2264" s="44">
        <f>AY2237*Settings!$C$13*(INDEX(AY$420:AY$431,$D2264))</f>
        <v/>
      </c>
      <c r="AZ2264" s="44">
        <f>AZ2237*Settings!$C$13*(INDEX(AZ$420:AZ$431,$D2264))</f>
        <v/>
      </c>
      <c r="BA2264" s="57">
        <f>REVENUE(BA2237,Settings!$C$13,INDEX(BA$420:BA$431,$D2264))</f>
        <v/>
      </c>
    </row>
    <row r="2265" hidden="1" outlineLevel="2">
      <c r="A2265" s="14" t="inlineStr">
        <is>
          <t>rsub</t>
        </is>
      </c>
      <c r="B2265" s="14" t="inlineStr">
        <is>
          <t>nga</t>
        </is>
      </c>
      <c r="C2265" s="14" t="inlineStr">
        <is>
          <t>nfm</t>
        </is>
      </c>
      <c r="D2265" s="35">
        <f>INDEX(Inputs!$U$5:$U$132,MATCH($B2265&amp;"|"&amp;$C2265,Inputs!$A$5:$A$132,0))</f>
        <v/>
      </c>
      <c r="E2265" s="39" t="n"/>
      <c r="F2265" s="39" t="n"/>
      <c r="G2265" s="39" t="n"/>
      <c r="H2265" s="14">
        <f>INDEX(VarLab,MATCH($A2265,VarKey,0))&amp;INDEX(MemLab,MATCH($C2265&amp;"|"&amp;$B2265,MemKey,0))</f>
        <v/>
      </c>
      <c r="I2265" s="14">
        <f>INDEX(VarUnit,MATCH($A2265,VarKey,0))</f>
        <v/>
      </c>
      <c r="J2265" s="14">
        <f>INDEX(VarSrc,MATCH($A2265,VarKey,0))</f>
        <v/>
      </c>
      <c r="K2265" s="11">
        <f>CodePrefix&amp;$A2265&amp;IF($C2265="","","."&amp;$C2265&amp;"."&amp;$B2265)&amp;INDEX(VarEnd,MATCH($A2265,VarKey,0))&amp;K$5</f>
        <v/>
      </c>
      <c r="L2265" s="43">
        <f>L2238*Settings!$C$13*(INDEX(L$420:L$431,$D2265))</f>
        <v/>
      </c>
      <c r="M2265" s="44">
        <f>M2238*Settings!$C$13*(INDEX(M$420:M$431,$D2265))</f>
        <v/>
      </c>
      <c r="N2265" s="44">
        <f>N2238*Settings!$C$13*(INDEX(N$420:N$431,$D2265))</f>
        <v/>
      </c>
      <c r="O2265" s="44">
        <f>O2238*Settings!$C$13*(INDEX(O$420:O$431,$D2265))</f>
        <v/>
      </c>
      <c r="P2265" s="44">
        <f>P2238*Settings!$C$13*(INDEX(P$420:P$431,$D2265))</f>
        <v/>
      </c>
      <c r="Q2265" s="44">
        <f>Q2238*Settings!$C$13*(INDEX(Q$420:Q$431,$D2265))</f>
        <v/>
      </c>
      <c r="R2265" s="44">
        <f>R2238*Settings!$C$13*(INDEX(R$420:R$431,$D2265))</f>
        <v/>
      </c>
      <c r="S2265" s="44">
        <f>S2238*Settings!$C$13*(INDEX(S$420:S$431,$D2265))</f>
        <v/>
      </c>
      <c r="T2265" s="44">
        <f>T2238*Settings!$C$13*(INDEX(T$420:T$431,$D2265))</f>
        <v/>
      </c>
      <c r="U2265" s="44">
        <f>U2238*Settings!$C$13*(INDEX(U$420:U$431,$D2265))</f>
        <v/>
      </c>
      <c r="V2265" s="44">
        <f>V2238*Settings!$C$13*(INDEX(V$420:V$431,$D2265))</f>
        <v/>
      </c>
      <c r="W2265" s="44">
        <f>W2238*Settings!$C$13*(INDEX(W$420:W$431,$D2265))</f>
        <v/>
      </c>
      <c r="X2265" s="44">
        <f>X2238*Settings!$C$13*(INDEX(X$420:X$431,$D2265))</f>
        <v/>
      </c>
      <c r="Y2265" s="44">
        <f>Y2238*Settings!$C$13*(INDEX(Y$420:Y$431,$D2265))</f>
        <v/>
      </c>
      <c r="Z2265" s="44">
        <f>Z2238*Settings!$C$13*(INDEX(Z$420:Z$431,$D2265))</f>
        <v/>
      </c>
      <c r="AA2265" s="44">
        <f>AA2238*Settings!$C$13*(INDEX(AA$420:AA$431,$D2265))</f>
        <v/>
      </c>
      <c r="AB2265" s="44">
        <f>AB2238*Settings!$C$13*(INDEX(AB$420:AB$431,$D2265))</f>
        <v/>
      </c>
      <c r="AC2265" s="44">
        <f>AC2238*Settings!$C$13*(INDEX(AC$420:AC$431,$D2265))</f>
        <v/>
      </c>
      <c r="AD2265" s="44">
        <f>AD2238*Settings!$C$13*(INDEX(AD$420:AD$431,$D2265))</f>
        <v/>
      </c>
      <c r="AE2265" s="57">
        <f>REVENUE(AE2238,Settings!$C$13,INDEX(AE$420:AE$431,$D2265))</f>
        <v/>
      </c>
      <c r="AG2265" s="11">
        <f>CodePrefix&amp;$A2265&amp;IF($C2265="","","."&amp;$C2265&amp;"."&amp;$B2265)&amp;INDEX(VarEnd,MATCH($A2265,VarKey,0))&amp;AG$5</f>
        <v/>
      </c>
      <c r="AH2265" s="43">
        <f>AH2238*Settings!$C$13*(INDEX(AH$420:AH$431,$D2265))</f>
        <v/>
      </c>
      <c r="AI2265" s="44">
        <f>AI2238*Settings!$C$13*(INDEX(AI$420:AI$431,$D2265))</f>
        <v/>
      </c>
      <c r="AJ2265" s="44">
        <f>AJ2238*Settings!$C$13*(INDEX(AJ$420:AJ$431,$D2265))</f>
        <v/>
      </c>
      <c r="AK2265" s="44">
        <f>AK2238*Settings!$C$13*(INDEX(AK$420:AK$431,$D2265))</f>
        <v/>
      </c>
      <c r="AL2265" s="44">
        <f>AL2238*Settings!$C$13*(INDEX(AL$420:AL$431,$D2265))</f>
        <v/>
      </c>
      <c r="AM2265" s="44">
        <f>AM2238*Settings!$C$13*(INDEX(AM$420:AM$431,$D2265))</f>
        <v/>
      </c>
      <c r="AN2265" s="44">
        <f>AN2238*Settings!$C$13*(INDEX(AN$420:AN$431,$D2265))</f>
        <v/>
      </c>
      <c r="AO2265" s="44">
        <f>AO2238*Settings!$C$13*(INDEX(AO$420:AO$431,$D2265))</f>
        <v/>
      </c>
      <c r="AP2265" s="44">
        <f>AP2238*Settings!$C$13*(INDEX(AP$420:AP$431,$D2265))</f>
        <v/>
      </c>
      <c r="AQ2265" s="44">
        <f>AQ2238*Settings!$C$13*(INDEX(AQ$420:AQ$431,$D2265))</f>
        <v/>
      </c>
      <c r="AR2265" s="44">
        <f>AR2238*Settings!$C$13*(INDEX(AR$420:AR$431,$D2265))</f>
        <v/>
      </c>
      <c r="AS2265" s="44">
        <f>AS2238*Settings!$C$13*(INDEX(AS$420:AS$431,$D2265))</f>
        <v/>
      </c>
      <c r="AT2265" s="44">
        <f>AT2238*Settings!$C$13*(INDEX(AT$420:AT$431,$D2265))</f>
        <v/>
      </c>
      <c r="AU2265" s="44">
        <f>AU2238*Settings!$C$13*(INDEX(AU$420:AU$431,$D2265))</f>
        <v/>
      </c>
      <c r="AV2265" s="44">
        <f>AV2238*Settings!$C$13*(INDEX(AV$420:AV$431,$D2265))</f>
        <v/>
      </c>
      <c r="AW2265" s="44">
        <f>AW2238*Settings!$C$13*(INDEX(AW$420:AW$431,$D2265))</f>
        <v/>
      </c>
      <c r="AX2265" s="44">
        <f>AX2238*Settings!$C$13*(INDEX(AX$420:AX$431,$D2265))</f>
        <v/>
      </c>
      <c r="AY2265" s="44">
        <f>AY2238*Settings!$C$13*(INDEX(AY$420:AY$431,$D2265))</f>
        <v/>
      </c>
      <c r="AZ2265" s="44">
        <f>AZ2238*Settings!$C$13*(INDEX(AZ$420:AZ$431,$D2265))</f>
        <v/>
      </c>
      <c r="BA2265" s="57">
        <f>REVENUE(BA2238,Settings!$C$13,INDEX(BA$420:BA$431,$D2265))</f>
        <v/>
      </c>
    </row>
    <row r="2266" hidden="1" outlineLevel="2">
      <c r="A2266" s="14" t="inlineStr">
        <is>
          <t>rsub</t>
        </is>
      </c>
      <c r="B2266" s="14" t="inlineStr">
        <is>
          <t>gso</t>
        </is>
      </c>
      <c r="C2266" s="14" t="inlineStr">
        <is>
          <t>nfm</t>
        </is>
      </c>
      <c r="D2266" s="35">
        <f>INDEX(Inputs!$U$5:$U$132,MATCH($B2266&amp;"|"&amp;$C2266,Inputs!$A$5:$A$132,0))</f>
        <v/>
      </c>
      <c r="E2266" s="39" t="n"/>
      <c r="F2266" s="39" t="n"/>
      <c r="G2266" s="39" t="n"/>
      <c r="H2266" s="14">
        <f>INDEX(VarLab,MATCH($A2266,VarKey,0))&amp;INDEX(MemLab,MATCH($C2266&amp;"|"&amp;$B2266,MemKey,0))</f>
        <v/>
      </c>
      <c r="I2266" s="14">
        <f>INDEX(VarUnit,MATCH($A2266,VarKey,0))</f>
        <v/>
      </c>
      <c r="J2266" s="14">
        <f>INDEX(VarSrc,MATCH($A2266,VarKey,0))</f>
        <v/>
      </c>
      <c r="K2266" s="11">
        <f>CodePrefix&amp;$A2266&amp;IF($C2266="","","."&amp;$C2266&amp;"."&amp;$B2266)&amp;INDEX(VarEnd,MATCH($A2266,VarKey,0))&amp;K$5</f>
        <v/>
      </c>
      <c r="L2266" s="43">
        <f>L2239*Settings!$C$13*(INDEX(L$420:L$431,$D2266))</f>
        <v/>
      </c>
      <c r="M2266" s="44">
        <f>M2239*Settings!$C$13*(INDEX(M$420:M$431,$D2266))</f>
        <v/>
      </c>
      <c r="N2266" s="44">
        <f>N2239*Settings!$C$13*(INDEX(N$420:N$431,$D2266))</f>
        <v/>
      </c>
      <c r="O2266" s="44">
        <f>O2239*Settings!$C$13*(INDEX(O$420:O$431,$D2266))</f>
        <v/>
      </c>
      <c r="P2266" s="44">
        <f>P2239*Settings!$C$13*(INDEX(P$420:P$431,$D2266))</f>
        <v/>
      </c>
      <c r="Q2266" s="44">
        <f>Q2239*Settings!$C$13*(INDEX(Q$420:Q$431,$D2266))</f>
        <v/>
      </c>
      <c r="R2266" s="44">
        <f>R2239*Settings!$C$13*(INDEX(R$420:R$431,$D2266))</f>
        <v/>
      </c>
      <c r="S2266" s="44">
        <f>S2239*Settings!$C$13*(INDEX(S$420:S$431,$D2266))</f>
        <v/>
      </c>
      <c r="T2266" s="44">
        <f>T2239*Settings!$C$13*(INDEX(T$420:T$431,$D2266))</f>
        <v/>
      </c>
      <c r="U2266" s="44">
        <f>U2239*Settings!$C$13*(INDEX(U$420:U$431,$D2266))</f>
        <v/>
      </c>
      <c r="V2266" s="44">
        <f>V2239*Settings!$C$13*(INDEX(V$420:V$431,$D2266))</f>
        <v/>
      </c>
      <c r="W2266" s="44">
        <f>W2239*Settings!$C$13*(INDEX(W$420:W$431,$D2266))</f>
        <v/>
      </c>
      <c r="X2266" s="44">
        <f>X2239*Settings!$C$13*(INDEX(X$420:X$431,$D2266))</f>
        <v/>
      </c>
      <c r="Y2266" s="44">
        <f>Y2239*Settings!$C$13*(INDEX(Y$420:Y$431,$D2266))</f>
        <v/>
      </c>
      <c r="Z2266" s="44">
        <f>Z2239*Settings!$C$13*(INDEX(Z$420:Z$431,$D2266))</f>
        <v/>
      </c>
      <c r="AA2266" s="44">
        <f>AA2239*Settings!$C$13*(INDEX(AA$420:AA$431,$D2266))</f>
        <v/>
      </c>
      <c r="AB2266" s="44">
        <f>AB2239*Settings!$C$13*(INDEX(AB$420:AB$431,$D2266))</f>
        <v/>
      </c>
      <c r="AC2266" s="44">
        <f>AC2239*Settings!$C$13*(INDEX(AC$420:AC$431,$D2266))</f>
        <v/>
      </c>
      <c r="AD2266" s="44">
        <f>AD2239*Settings!$C$13*(INDEX(AD$420:AD$431,$D2266))</f>
        <v/>
      </c>
      <c r="AE2266" s="57">
        <f>REVENUE(AE2239,Settings!$C$13,INDEX(AE$420:AE$431,$D2266))</f>
        <v/>
      </c>
      <c r="AG2266" s="11">
        <f>CodePrefix&amp;$A2266&amp;IF($C2266="","","."&amp;$C2266&amp;"."&amp;$B2266)&amp;INDEX(VarEnd,MATCH($A2266,VarKey,0))&amp;AG$5</f>
        <v/>
      </c>
      <c r="AH2266" s="43">
        <f>AH2239*Settings!$C$13*(INDEX(AH$420:AH$431,$D2266))</f>
        <v/>
      </c>
      <c r="AI2266" s="44">
        <f>AI2239*Settings!$C$13*(INDEX(AI$420:AI$431,$D2266))</f>
        <v/>
      </c>
      <c r="AJ2266" s="44">
        <f>AJ2239*Settings!$C$13*(INDEX(AJ$420:AJ$431,$D2266))</f>
        <v/>
      </c>
      <c r="AK2266" s="44">
        <f>AK2239*Settings!$C$13*(INDEX(AK$420:AK$431,$D2266))</f>
        <v/>
      </c>
      <c r="AL2266" s="44">
        <f>AL2239*Settings!$C$13*(INDEX(AL$420:AL$431,$D2266))</f>
        <v/>
      </c>
      <c r="AM2266" s="44">
        <f>AM2239*Settings!$C$13*(INDEX(AM$420:AM$431,$D2266))</f>
        <v/>
      </c>
      <c r="AN2266" s="44">
        <f>AN2239*Settings!$C$13*(INDEX(AN$420:AN$431,$D2266))</f>
        <v/>
      </c>
      <c r="AO2266" s="44">
        <f>AO2239*Settings!$C$13*(INDEX(AO$420:AO$431,$D2266))</f>
        <v/>
      </c>
      <c r="AP2266" s="44">
        <f>AP2239*Settings!$C$13*(INDEX(AP$420:AP$431,$D2266))</f>
        <v/>
      </c>
      <c r="AQ2266" s="44">
        <f>AQ2239*Settings!$C$13*(INDEX(AQ$420:AQ$431,$D2266))</f>
        <v/>
      </c>
      <c r="AR2266" s="44">
        <f>AR2239*Settings!$C$13*(INDEX(AR$420:AR$431,$D2266))</f>
        <v/>
      </c>
      <c r="AS2266" s="44">
        <f>AS2239*Settings!$C$13*(INDEX(AS$420:AS$431,$D2266))</f>
        <v/>
      </c>
      <c r="AT2266" s="44">
        <f>AT2239*Settings!$C$13*(INDEX(AT$420:AT$431,$D2266))</f>
        <v/>
      </c>
      <c r="AU2266" s="44">
        <f>AU2239*Settings!$C$13*(INDEX(AU$420:AU$431,$D2266))</f>
        <v/>
      </c>
      <c r="AV2266" s="44">
        <f>AV2239*Settings!$C$13*(INDEX(AV$420:AV$431,$D2266))</f>
        <v/>
      </c>
      <c r="AW2266" s="44">
        <f>AW2239*Settings!$C$13*(INDEX(AW$420:AW$431,$D2266))</f>
        <v/>
      </c>
      <c r="AX2266" s="44">
        <f>AX2239*Settings!$C$13*(INDEX(AX$420:AX$431,$D2266))</f>
        <v/>
      </c>
      <c r="AY2266" s="44">
        <f>AY2239*Settings!$C$13*(INDEX(AY$420:AY$431,$D2266))</f>
        <v/>
      </c>
      <c r="AZ2266" s="44">
        <f>AZ2239*Settings!$C$13*(INDEX(AZ$420:AZ$431,$D2266))</f>
        <v/>
      </c>
      <c r="BA2266" s="57">
        <f>REVENUE(BA2239,Settings!$C$13,INDEX(BA$420:BA$431,$D2266))</f>
        <v/>
      </c>
    </row>
    <row r="2267" hidden="1" outlineLevel="2">
      <c r="A2267" s="14" t="inlineStr">
        <is>
          <t>rsub</t>
        </is>
      </c>
      <c r="B2267" s="14" t="inlineStr">
        <is>
          <t>die</t>
        </is>
      </c>
      <c r="C2267" s="14" t="inlineStr">
        <is>
          <t>nfm</t>
        </is>
      </c>
      <c r="D2267" s="35">
        <f>INDEX(Inputs!$U$5:$U$132,MATCH($B2267&amp;"|"&amp;$C2267,Inputs!$A$5:$A$132,0))</f>
        <v/>
      </c>
      <c r="E2267" s="39" t="n"/>
      <c r="F2267" s="39" t="n"/>
      <c r="G2267" s="39" t="n"/>
      <c r="H2267" s="14">
        <f>INDEX(VarLab,MATCH($A2267,VarKey,0))&amp;INDEX(MemLab,MATCH($C2267&amp;"|"&amp;$B2267,MemKey,0))</f>
        <v/>
      </c>
      <c r="I2267" s="14">
        <f>INDEX(VarUnit,MATCH($A2267,VarKey,0))</f>
        <v/>
      </c>
      <c r="J2267" s="14">
        <f>INDEX(VarSrc,MATCH($A2267,VarKey,0))</f>
        <v/>
      </c>
      <c r="K2267" s="11">
        <f>CodePrefix&amp;$A2267&amp;IF($C2267="","","."&amp;$C2267&amp;"."&amp;$B2267)&amp;INDEX(VarEnd,MATCH($A2267,VarKey,0))&amp;K$5</f>
        <v/>
      </c>
      <c r="L2267" s="43">
        <f>L2240*Settings!$C$13*(INDEX(L$420:L$431,$D2267))</f>
        <v/>
      </c>
      <c r="M2267" s="44">
        <f>M2240*Settings!$C$13*(INDEX(M$420:M$431,$D2267))</f>
        <v/>
      </c>
      <c r="N2267" s="44">
        <f>N2240*Settings!$C$13*(INDEX(N$420:N$431,$D2267))</f>
        <v/>
      </c>
      <c r="O2267" s="44">
        <f>O2240*Settings!$C$13*(INDEX(O$420:O$431,$D2267))</f>
        <v/>
      </c>
      <c r="P2267" s="44">
        <f>P2240*Settings!$C$13*(INDEX(P$420:P$431,$D2267))</f>
        <v/>
      </c>
      <c r="Q2267" s="44">
        <f>Q2240*Settings!$C$13*(INDEX(Q$420:Q$431,$D2267))</f>
        <v/>
      </c>
      <c r="R2267" s="44">
        <f>R2240*Settings!$C$13*(INDEX(R$420:R$431,$D2267))</f>
        <v/>
      </c>
      <c r="S2267" s="44">
        <f>S2240*Settings!$C$13*(INDEX(S$420:S$431,$D2267))</f>
        <v/>
      </c>
      <c r="T2267" s="44">
        <f>T2240*Settings!$C$13*(INDEX(T$420:T$431,$D2267))</f>
        <v/>
      </c>
      <c r="U2267" s="44">
        <f>U2240*Settings!$C$13*(INDEX(U$420:U$431,$D2267))</f>
        <v/>
      </c>
      <c r="V2267" s="44">
        <f>V2240*Settings!$C$13*(INDEX(V$420:V$431,$D2267))</f>
        <v/>
      </c>
      <c r="W2267" s="44">
        <f>W2240*Settings!$C$13*(INDEX(W$420:W$431,$D2267))</f>
        <v/>
      </c>
      <c r="X2267" s="44">
        <f>X2240*Settings!$C$13*(INDEX(X$420:X$431,$D2267))</f>
        <v/>
      </c>
      <c r="Y2267" s="44">
        <f>Y2240*Settings!$C$13*(INDEX(Y$420:Y$431,$D2267))</f>
        <v/>
      </c>
      <c r="Z2267" s="44">
        <f>Z2240*Settings!$C$13*(INDEX(Z$420:Z$431,$D2267))</f>
        <v/>
      </c>
      <c r="AA2267" s="44">
        <f>AA2240*Settings!$C$13*(INDEX(AA$420:AA$431,$D2267))</f>
        <v/>
      </c>
      <c r="AB2267" s="44">
        <f>AB2240*Settings!$C$13*(INDEX(AB$420:AB$431,$D2267))</f>
        <v/>
      </c>
      <c r="AC2267" s="44">
        <f>AC2240*Settings!$C$13*(INDEX(AC$420:AC$431,$D2267))</f>
        <v/>
      </c>
      <c r="AD2267" s="44">
        <f>AD2240*Settings!$C$13*(INDEX(AD$420:AD$431,$D2267))</f>
        <v/>
      </c>
      <c r="AE2267" s="57">
        <f>REVENUE(AE2240,Settings!$C$13,INDEX(AE$420:AE$431,$D2267))</f>
        <v/>
      </c>
      <c r="AG2267" s="11">
        <f>CodePrefix&amp;$A2267&amp;IF($C2267="","","."&amp;$C2267&amp;"."&amp;$B2267)&amp;INDEX(VarEnd,MATCH($A2267,VarKey,0))&amp;AG$5</f>
        <v/>
      </c>
      <c r="AH2267" s="43">
        <f>AH2240*Settings!$C$13*(INDEX(AH$420:AH$431,$D2267))</f>
        <v/>
      </c>
      <c r="AI2267" s="44">
        <f>AI2240*Settings!$C$13*(INDEX(AI$420:AI$431,$D2267))</f>
        <v/>
      </c>
      <c r="AJ2267" s="44">
        <f>AJ2240*Settings!$C$13*(INDEX(AJ$420:AJ$431,$D2267))</f>
        <v/>
      </c>
      <c r="AK2267" s="44">
        <f>AK2240*Settings!$C$13*(INDEX(AK$420:AK$431,$D2267))</f>
        <v/>
      </c>
      <c r="AL2267" s="44">
        <f>AL2240*Settings!$C$13*(INDEX(AL$420:AL$431,$D2267))</f>
        <v/>
      </c>
      <c r="AM2267" s="44">
        <f>AM2240*Settings!$C$13*(INDEX(AM$420:AM$431,$D2267))</f>
        <v/>
      </c>
      <c r="AN2267" s="44">
        <f>AN2240*Settings!$C$13*(INDEX(AN$420:AN$431,$D2267))</f>
        <v/>
      </c>
      <c r="AO2267" s="44">
        <f>AO2240*Settings!$C$13*(INDEX(AO$420:AO$431,$D2267))</f>
        <v/>
      </c>
      <c r="AP2267" s="44">
        <f>AP2240*Settings!$C$13*(INDEX(AP$420:AP$431,$D2267))</f>
        <v/>
      </c>
      <c r="AQ2267" s="44">
        <f>AQ2240*Settings!$C$13*(INDEX(AQ$420:AQ$431,$D2267))</f>
        <v/>
      </c>
      <c r="AR2267" s="44">
        <f>AR2240*Settings!$C$13*(INDEX(AR$420:AR$431,$D2267))</f>
        <v/>
      </c>
      <c r="AS2267" s="44">
        <f>AS2240*Settings!$C$13*(INDEX(AS$420:AS$431,$D2267))</f>
        <v/>
      </c>
      <c r="AT2267" s="44">
        <f>AT2240*Settings!$C$13*(INDEX(AT$420:AT$431,$D2267))</f>
        <v/>
      </c>
      <c r="AU2267" s="44">
        <f>AU2240*Settings!$C$13*(INDEX(AU$420:AU$431,$D2267))</f>
        <v/>
      </c>
      <c r="AV2267" s="44">
        <f>AV2240*Settings!$C$13*(INDEX(AV$420:AV$431,$D2267))</f>
        <v/>
      </c>
      <c r="AW2267" s="44">
        <f>AW2240*Settings!$C$13*(INDEX(AW$420:AW$431,$D2267))</f>
        <v/>
      </c>
      <c r="AX2267" s="44">
        <f>AX2240*Settings!$C$13*(INDEX(AX$420:AX$431,$D2267))</f>
        <v/>
      </c>
      <c r="AY2267" s="44">
        <f>AY2240*Settings!$C$13*(INDEX(AY$420:AY$431,$D2267))</f>
        <v/>
      </c>
      <c r="AZ2267" s="44">
        <f>AZ2240*Settings!$C$13*(INDEX(AZ$420:AZ$431,$D2267))</f>
        <v/>
      </c>
      <c r="BA2267" s="57">
        <f>REVENUE(BA2240,Settings!$C$13,INDEX(BA$420:BA$431,$D2267))</f>
        <v/>
      </c>
    </row>
    <row r="2268" hidden="1" outlineLevel="2">
      <c r="A2268" s="14" t="inlineStr">
        <is>
          <t>rsub</t>
        </is>
      </c>
      <c r="B2268" s="14" t="inlineStr">
        <is>
          <t>lpg</t>
        </is>
      </c>
      <c r="C2268" s="14" t="inlineStr">
        <is>
          <t>nfm</t>
        </is>
      </c>
      <c r="D2268" s="35">
        <f>INDEX(Inputs!$U$5:$U$132,MATCH($B2268&amp;"|"&amp;$C2268,Inputs!$A$5:$A$132,0))</f>
        <v/>
      </c>
      <c r="E2268" s="39" t="n"/>
      <c r="F2268" s="39" t="n"/>
      <c r="G2268" s="39" t="n"/>
      <c r="H2268" s="14">
        <f>INDEX(VarLab,MATCH($A2268,VarKey,0))&amp;INDEX(MemLab,MATCH($C2268&amp;"|"&amp;$B2268,MemKey,0))</f>
        <v/>
      </c>
      <c r="I2268" s="14">
        <f>INDEX(VarUnit,MATCH($A2268,VarKey,0))</f>
        <v/>
      </c>
      <c r="J2268" s="14">
        <f>INDEX(VarSrc,MATCH($A2268,VarKey,0))</f>
        <v/>
      </c>
      <c r="K2268" s="11">
        <f>CodePrefix&amp;$A2268&amp;IF($C2268="","","."&amp;$C2268&amp;"."&amp;$B2268)&amp;INDEX(VarEnd,MATCH($A2268,VarKey,0))&amp;K$5</f>
        <v/>
      </c>
      <c r="L2268" s="43">
        <f>L2241*Settings!$C$13*(INDEX(L$420:L$431,$D2268))</f>
        <v/>
      </c>
      <c r="M2268" s="44">
        <f>M2241*Settings!$C$13*(INDEX(M$420:M$431,$D2268))</f>
        <v/>
      </c>
      <c r="N2268" s="44">
        <f>N2241*Settings!$C$13*(INDEX(N$420:N$431,$D2268))</f>
        <v/>
      </c>
      <c r="O2268" s="44">
        <f>O2241*Settings!$C$13*(INDEX(O$420:O$431,$D2268))</f>
        <v/>
      </c>
      <c r="P2268" s="44">
        <f>P2241*Settings!$C$13*(INDEX(P$420:P$431,$D2268))</f>
        <v/>
      </c>
      <c r="Q2268" s="44">
        <f>Q2241*Settings!$C$13*(INDEX(Q$420:Q$431,$D2268))</f>
        <v/>
      </c>
      <c r="R2268" s="44">
        <f>R2241*Settings!$C$13*(INDEX(R$420:R$431,$D2268))</f>
        <v/>
      </c>
      <c r="S2268" s="44">
        <f>S2241*Settings!$C$13*(INDEX(S$420:S$431,$D2268))</f>
        <v/>
      </c>
      <c r="T2268" s="44">
        <f>T2241*Settings!$C$13*(INDEX(T$420:T$431,$D2268))</f>
        <v/>
      </c>
      <c r="U2268" s="44">
        <f>U2241*Settings!$C$13*(INDEX(U$420:U$431,$D2268))</f>
        <v/>
      </c>
      <c r="V2268" s="44">
        <f>V2241*Settings!$C$13*(INDEX(V$420:V$431,$D2268))</f>
        <v/>
      </c>
      <c r="W2268" s="44">
        <f>W2241*Settings!$C$13*(INDEX(W$420:W$431,$D2268))</f>
        <v/>
      </c>
      <c r="X2268" s="44">
        <f>X2241*Settings!$C$13*(INDEX(X$420:X$431,$D2268))</f>
        <v/>
      </c>
      <c r="Y2268" s="44">
        <f>Y2241*Settings!$C$13*(INDEX(Y$420:Y$431,$D2268))</f>
        <v/>
      </c>
      <c r="Z2268" s="44">
        <f>Z2241*Settings!$C$13*(INDEX(Z$420:Z$431,$D2268))</f>
        <v/>
      </c>
      <c r="AA2268" s="44">
        <f>AA2241*Settings!$C$13*(INDEX(AA$420:AA$431,$D2268))</f>
        <v/>
      </c>
      <c r="AB2268" s="44">
        <f>AB2241*Settings!$C$13*(INDEX(AB$420:AB$431,$D2268))</f>
        <v/>
      </c>
      <c r="AC2268" s="44">
        <f>AC2241*Settings!$C$13*(INDEX(AC$420:AC$431,$D2268))</f>
        <v/>
      </c>
      <c r="AD2268" s="44">
        <f>AD2241*Settings!$C$13*(INDEX(AD$420:AD$431,$D2268))</f>
        <v/>
      </c>
      <c r="AE2268" s="57">
        <f>REVENUE(AE2241,Settings!$C$13,INDEX(AE$420:AE$431,$D2268))</f>
        <v/>
      </c>
      <c r="AG2268" s="11">
        <f>CodePrefix&amp;$A2268&amp;IF($C2268="","","."&amp;$C2268&amp;"."&amp;$B2268)&amp;INDEX(VarEnd,MATCH($A2268,VarKey,0))&amp;AG$5</f>
        <v/>
      </c>
      <c r="AH2268" s="43">
        <f>AH2241*Settings!$C$13*(INDEX(AH$420:AH$431,$D2268))</f>
        <v/>
      </c>
      <c r="AI2268" s="44">
        <f>AI2241*Settings!$C$13*(INDEX(AI$420:AI$431,$D2268))</f>
        <v/>
      </c>
      <c r="AJ2268" s="44">
        <f>AJ2241*Settings!$C$13*(INDEX(AJ$420:AJ$431,$D2268))</f>
        <v/>
      </c>
      <c r="AK2268" s="44">
        <f>AK2241*Settings!$C$13*(INDEX(AK$420:AK$431,$D2268))</f>
        <v/>
      </c>
      <c r="AL2268" s="44">
        <f>AL2241*Settings!$C$13*(INDEX(AL$420:AL$431,$D2268))</f>
        <v/>
      </c>
      <c r="AM2268" s="44">
        <f>AM2241*Settings!$C$13*(INDEX(AM$420:AM$431,$D2268))</f>
        <v/>
      </c>
      <c r="AN2268" s="44">
        <f>AN2241*Settings!$C$13*(INDEX(AN$420:AN$431,$D2268))</f>
        <v/>
      </c>
      <c r="AO2268" s="44">
        <f>AO2241*Settings!$C$13*(INDEX(AO$420:AO$431,$D2268))</f>
        <v/>
      </c>
      <c r="AP2268" s="44">
        <f>AP2241*Settings!$C$13*(INDEX(AP$420:AP$431,$D2268))</f>
        <v/>
      </c>
      <c r="AQ2268" s="44">
        <f>AQ2241*Settings!$C$13*(INDEX(AQ$420:AQ$431,$D2268))</f>
        <v/>
      </c>
      <c r="AR2268" s="44">
        <f>AR2241*Settings!$C$13*(INDEX(AR$420:AR$431,$D2268))</f>
        <v/>
      </c>
      <c r="AS2268" s="44">
        <f>AS2241*Settings!$C$13*(INDEX(AS$420:AS$431,$D2268))</f>
        <v/>
      </c>
      <c r="AT2268" s="44">
        <f>AT2241*Settings!$C$13*(INDEX(AT$420:AT$431,$D2268))</f>
        <v/>
      </c>
      <c r="AU2268" s="44">
        <f>AU2241*Settings!$C$13*(INDEX(AU$420:AU$431,$D2268))</f>
        <v/>
      </c>
      <c r="AV2268" s="44">
        <f>AV2241*Settings!$C$13*(INDEX(AV$420:AV$431,$D2268))</f>
        <v/>
      </c>
      <c r="AW2268" s="44">
        <f>AW2241*Settings!$C$13*(INDEX(AW$420:AW$431,$D2268))</f>
        <v/>
      </c>
      <c r="AX2268" s="44">
        <f>AX2241*Settings!$C$13*(INDEX(AX$420:AX$431,$D2268))</f>
        <v/>
      </c>
      <c r="AY2268" s="44">
        <f>AY2241*Settings!$C$13*(INDEX(AY$420:AY$431,$D2268))</f>
        <v/>
      </c>
      <c r="AZ2268" s="44">
        <f>AZ2241*Settings!$C$13*(INDEX(AZ$420:AZ$431,$D2268))</f>
        <v/>
      </c>
      <c r="BA2268" s="57">
        <f>REVENUE(BA2241,Settings!$C$13,INDEX(BA$420:BA$431,$D2268))</f>
        <v/>
      </c>
    </row>
    <row r="2269" hidden="1" outlineLevel="2">
      <c r="A2269" s="14" t="inlineStr">
        <is>
          <t>rsub</t>
        </is>
      </c>
      <c r="B2269" s="14" t="inlineStr">
        <is>
          <t>ker</t>
        </is>
      </c>
      <c r="C2269" s="14" t="inlineStr">
        <is>
          <t>nfm</t>
        </is>
      </c>
      <c r="D2269" s="35">
        <f>INDEX(Inputs!$U$5:$U$132,MATCH($B2269&amp;"|"&amp;$C2269,Inputs!$A$5:$A$132,0))</f>
        <v/>
      </c>
      <c r="E2269" s="39" t="n"/>
      <c r="F2269" s="39" t="n"/>
      <c r="G2269" s="39" t="n"/>
      <c r="H2269" s="14">
        <f>INDEX(VarLab,MATCH($A2269,VarKey,0))&amp;INDEX(MemLab,MATCH($C2269&amp;"|"&amp;$B2269,MemKey,0))</f>
        <v/>
      </c>
      <c r="I2269" s="14">
        <f>INDEX(VarUnit,MATCH($A2269,VarKey,0))</f>
        <v/>
      </c>
      <c r="J2269" s="14">
        <f>INDEX(VarSrc,MATCH($A2269,VarKey,0))</f>
        <v/>
      </c>
      <c r="K2269" s="11">
        <f>CodePrefix&amp;$A2269&amp;IF($C2269="","","."&amp;$C2269&amp;"."&amp;$B2269)&amp;INDEX(VarEnd,MATCH($A2269,VarKey,0))&amp;K$5</f>
        <v/>
      </c>
      <c r="L2269" s="43">
        <f>L2242*Settings!$C$13*(INDEX(L$420:L$431,$D2269))</f>
        <v/>
      </c>
      <c r="M2269" s="44">
        <f>M2242*Settings!$C$13*(INDEX(M$420:M$431,$D2269))</f>
        <v/>
      </c>
      <c r="N2269" s="44">
        <f>N2242*Settings!$C$13*(INDEX(N$420:N$431,$D2269))</f>
        <v/>
      </c>
      <c r="O2269" s="44">
        <f>O2242*Settings!$C$13*(INDEX(O$420:O$431,$D2269))</f>
        <v/>
      </c>
      <c r="P2269" s="44">
        <f>P2242*Settings!$C$13*(INDEX(P$420:P$431,$D2269))</f>
        <v/>
      </c>
      <c r="Q2269" s="44">
        <f>Q2242*Settings!$C$13*(INDEX(Q$420:Q$431,$D2269))</f>
        <v/>
      </c>
      <c r="R2269" s="44">
        <f>R2242*Settings!$C$13*(INDEX(R$420:R$431,$D2269))</f>
        <v/>
      </c>
      <c r="S2269" s="44">
        <f>S2242*Settings!$C$13*(INDEX(S$420:S$431,$D2269))</f>
        <v/>
      </c>
      <c r="T2269" s="44">
        <f>T2242*Settings!$C$13*(INDEX(T$420:T$431,$D2269))</f>
        <v/>
      </c>
      <c r="U2269" s="44">
        <f>U2242*Settings!$C$13*(INDEX(U$420:U$431,$D2269))</f>
        <v/>
      </c>
      <c r="V2269" s="44">
        <f>V2242*Settings!$C$13*(INDEX(V$420:V$431,$D2269))</f>
        <v/>
      </c>
      <c r="W2269" s="44">
        <f>W2242*Settings!$C$13*(INDEX(W$420:W$431,$D2269))</f>
        <v/>
      </c>
      <c r="X2269" s="44">
        <f>X2242*Settings!$C$13*(INDEX(X$420:X$431,$D2269))</f>
        <v/>
      </c>
      <c r="Y2269" s="44">
        <f>Y2242*Settings!$C$13*(INDEX(Y$420:Y$431,$D2269))</f>
        <v/>
      </c>
      <c r="Z2269" s="44">
        <f>Z2242*Settings!$C$13*(INDEX(Z$420:Z$431,$D2269))</f>
        <v/>
      </c>
      <c r="AA2269" s="44">
        <f>AA2242*Settings!$C$13*(INDEX(AA$420:AA$431,$D2269))</f>
        <v/>
      </c>
      <c r="AB2269" s="44">
        <f>AB2242*Settings!$C$13*(INDEX(AB$420:AB$431,$D2269))</f>
        <v/>
      </c>
      <c r="AC2269" s="44">
        <f>AC2242*Settings!$C$13*(INDEX(AC$420:AC$431,$D2269))</f>
        <v/>
      </c>
      <c r="AD2269" s="44">
        <f>AD2242*Settings!$C$13*(INDEX(AD$420:AD$431,$D2269))</f>
        <v/>
      </c>
      <c r="AE2269" s="57">
        <f>REVENUE(AE2242,Settings!$C$13,INDEX(AE$420:AE$431,$D2269))</f>
        <v/>
      </c>
      <c r="AG2269" s="11">
        <f>CodePrefix&amp;$A2269&amp;IF($C2269="","","."&amp;$C2269&amp;"."&amp;$B2269)&amp;INDEX(VarEnd,MATCH($A2269,VarKey,0))&amp;AG$5</f>
        <v/>
      </c>
      <c r="AH2269" s="43">
        <f>AH2242*Settings!$C$13*(INDEX(AH$420:AH$431,$D2269))</f>
        <v/>
      </c>
      <c r="AI2269" s="44">
        <f>AI2242*Settings!$C$13*(INDEX(AI$420:AI$431,$D2269))</f>
        <v/>
      </c>
      <c r="AJ2269" s="44">
        <f>AJ2242*Settings!$C$13*(INDEX(AJ$420:AJ$431,$D2269))</f>
        <v/>
      </c>
      <c r="AK2269" s="44">
        <f>AK2242*Settings!$C$13*(INDEX(AK$420:AK$431,$D2269))</f>
        <v/>
      </c>
      <c r="AL2269" s="44">
        <f>AL2242*Settings!$C$13*(INDEX(AL$420:AL$431,$D2269))</f>
        <v/>
      </c>
      <c r="AM2269" s="44">
        <f>AM2242*Settings!$C$13*(INDEX(AM$420:AM$431,$D2269))</f>
        <v/>
      </c>
      <c r="AN2269" s="44">
        <f>AN2242*Settings!$C$13*(INDEX(AN$420:AN$431,$D2269))</f>
        <v/>
      </c>
      <c r="AO2269" s="44">
        <f>AO2242*Settings!$C$13*(INDEX(AO$420:AO$431,$D2269))</f>
        <v/>
      </c>
      <c r="AP2269" s="44">
        <f>AP2242*Settings!$C$13*(INDEX(AP$420:AP$431,$D2269))</f>
        <v/>
      </c>
      <c r="AQ2269" s="44">
        <f>AQ2242*Settings!$C$13*(INDEX(AQ$420:AQ$431,$D2269))</f>
        <v/>
      </c>
      <c r="AR2269" s="44">
        <f>AR2242*Settings!$C$13*(INDEX(AR$420:AR$431,$D2269))</f>
        <v/>
      </c>
      <c r="AS2269" s="44">
        <f>AS2242*Settings!$C$13*(INDEX(AS$420:AS$431,$D2269))</f>
        <v/>
      </c>
      <c r="AT2269" s="44">
        <f>AT2242*Settings!$C$13*(INDEX(AT$420:AT$431,$D2269))</f>
        <v/>
      </c>
      <c r="AU2269" s="44">
        <f>AU2242*Settings!$C$13*(INDEX(AU$420:AU$431,$D2269))</f>
        <v/>
      </c>
      <c r="AV2269" s="44">
        <f>AV2242*Settings!$C$13*(INDEX(AV$420:AV$431,$D2269))</f>
        <v/>
      </c>
      <c r="AW2269" s="44">
        <f>AW2242*Settings!$C$13*(INDEX(AW$420:AW$431,$D2269))</f>
        <v/>
      </c>
      <c r="AX2269" s="44">
        <f>AX2242*Settings!$C$13*(INDEX(AX$420:AX$431,$D2269))</f>
        <v/>
      </c>
      <c r="AY2269" s="44">
        <f>AY2242*Settings!$C$13*(INDEX(AY$420:AY$431,$D2269))</f>
        <v/>
      </c>
      <c r="AZ2269" s="44">
        <f>AZ2242*Settings!$C$13*(INDEX(AZ$420:AZ$431,$D2269))</f>
        <v/>
      </c>
      <c r="BA2269" s="57">
        <f>REVENUE(BA2242,Settings!$C$13,INDEX(BA$420:BA$431,$D2269))</f>
        <v/>
      </c>
    </row>
    <row r="2270" hidden="1" outlineLevel="2">
      <c r="A2270" s="14" t="inlineStr">
        <is>
          <t>rsub</t>
        </is>
      </c>
      <c r="B2270" s="14" t="inlineStr">
        <is>
          <t>oop</t>
        </is>
      </c>
      <c r="C2270" s="14" t="inlineStr">
        <is>
          <t>nfm</t>
        </is>
      </c>
      <c r="D2270" s="35">
        <f>INDEX(Inputs!$U$5:$U$132,MATCH($B2270&amp;"|"&amp;$C2270,Inputs!$A$5:$A$132,0))</f>
        <v/>
      </c>
      <c r="E2270" s="39" t="n"/>
      <c r="F2270" s="39" t="n"/>
      <c r="G2270" s="39" t="n"/>
      <c r="H2270" s="14">
        <f>INDEX(VarLab,MATCH($A2270,VarKey,0))&amp;INDEX(MemLab,MATCH($C2270&amp;"|"&amp;$B2270,MemKey,0))</f>
        <v/>
      </c>
      <c r="I2270" s="14">
        <f>INDEX(VarUnit,MATCH($A2270,VarKey,0))</f>
        <v/>
      </c>
      <c r="J2270" s="14">
        <f>INDEX(VarSrc,MATCH($A2270,VarKey,0))</f>
        <v/>
      </c>
      <c r="K2270" s="11">
        <f>CodePrefix&amp;$A2270&amp;IF($C2270="","","."&amp;$C2270&amp;"."&amp;$B2270)&amp;INDEX(VarEnd,MATCH($A2270,VarKey,0))&amp;K$5</f>
        <v/>
      </c>
      <c r="L2270" s="43">
        <f>L2243*Settings!$C$13*(INDEX(L$420:L$431,$D2270))</f>
        <v/>
      </c>
      <c r="M2270" s="44">
        <f>M2243*Settings!$C$13*(INDEX(M$420:M$431,$D2270))</f>
        <v/>
      </c>
      <c r="N2270" s="44">
        <f>N2243*Settings!$C$13*(INDEX(N$420:N$431,$D2270))</f>
        <v/>
      </c>
      <c r="O2270" s="44">
        <f>O2243*Settings!$C$13*(INDEX(O$420:O$431,$D2270))</f>
        <v/>
      </c>
      <c r="P2270" s="44">
        <f>P2243*Settings!$C$13*(INDEX(P$420:P$431,$D2270))</f>
        <v/>
      </c>
      <c r="Q2270" s="44">
        <f>Q2243*Settings!$C$13*(INDEX(Q$420:Q$431,$D2270))</f>
        <v/>
      </c>
      <c r="R2270" s="44">
        <f>R2243*Settings!$C$13*(INDEX(R$420:R$431,$D2270))</f>
        <v/>
      </c>
      <c r="S2270" s="44">
        <f>S2243*Settings!$C$13*(INDEX(S$420:S$431,$D2270))</f>
        <v/>
      </c>
      <c r="T2270" s="44">
        <f>T2243*Settings!$C$13*(INDEX(T$420:T$431,$D2270))</f>
        <v/>
      </c>
      <c r="U2270" s="44">
        <f>U2243*Settings!$C$13*(INDEX(U$420:U$431,$D2270))</f>
        <v/>
      </c>
      <c r="V2270" s="44">
        <f>V2243*Settings!$C$13*(INDEX(V$420:V$431,$D2270))</f>
        <v/>
      </c>
      <c r="W2270" s="44">
        <f>W2243*Settings!$C$13*(INDEX(W$420:W$431,$D2270))</f>
        <v/>
      </c>
      <c r="X2270" s="44">
        <f>X2243*Settings!$C$13*(INDEX(X$420:X$431,$D2270))</f>
        <v/>
      </c>
      <c r="Y2270" s="44">
        <f>Y2243*Settings!$C$13*(INDEX(Y$420:Y$431,$D2270))</f>
        <v/>
      </c>
      <c r="Z2270" s="44">
        <f>Z2243*Settings!$C$13*(INDEX(Z$420:Z$431,$D2270))</f>
        <v/>
      </c>
      <c r="AA2270" s="44">
        <f>AA2243*Settings!$C$13*(INDEX(AA$420:AA$431,$D2270))</f>
        <v/>
      </c>
      <c r="AB2270" s="44">
        <f>AB2243*Settings!$C$13*(INDEX(AB$420:AB$431,$D2270))</f>
        <v/>
      </c>
      <c r="AC2270" s="44">
        <f>AC2243*Settings!$C$13*(INDEX(AC$420:AC$431,$D2270))</f>
        <v/>
      </c>
      <c r="AD2270" s="44">
        <f>AD2243*Settings!$C$13*(INDEX(AD$420:AD$431,$D2270))</f>
        <v/>
      </c>
      <c r="AE2270" s="57">
        <f>REVENUE(AE2243,Settings!$C$13,INDEX(AE$420:AE$431,$D2270))</f>
        <v/>
      </c>
      <c r="AG2270" s="11">
        <f>CodePrefix&amp;$A2270&amp;IF($C2270="","","."&amp;$C2270&amp;"."&amp;$B2270)&amp;INDEX(VarEnd,MATCH($A2270,VarKey,0))&amp;AG$5</f>
        <v/>
      </c>
      <c r="AH2270" s="43">
        <f>AH2243*Settings!$C$13*(INDEX(AH$420:AH$431,$D2270))</f>
        <v/>
      </c>
      <c r="AI2270" s="44">
        <f>AI2243*Settings!$C$13*(INDEX(AI$420:AI$431,$D2270))</f>
        <v/>
      </c>
      <c r="AJ2270" s="44">
        <f>AJ2243*Settings!$C$13*(INDEX(AJ$420:AJ$431,$D2270))</f>
        <v/>
      </c>
      <c r="AK2270" s="44">
        <f>AK2243*Settings!$C$13*(INDEX(AK$420:AK$431,$D2270))</f>
        <v/>
      </c>
      <c r="AL2270" s="44">
        <f>AL2243*Settings!$C$13*(INDEX(AL$420:AL$431,$D2270))</f>
        <v/>
      </c>
      <c r="AM2270" s="44">
        <f>AM2243*Settings!$C$13*(INDEX(AM$420:AM$431,$D2270))</f>
        <v/>
      </c>
      <c r="AN2270" s="44">
        <f>AN2243*Settings!$C$13*(INDEX(AN$420:AN$431,$D2270))</f>
        <v/>
      </c>
      <c r="AO2270" s="44">
        <f>AO2243*Settings!$C$13*(INDEX(AO$420:AO$431,$D2270))</f>
        <v/>
      </c>
      <c r="AP2270" s="44">
        <f>AP2243*Settings!$C$13*(INDEX(AP$420:AP$431,$D2270))</f>
        <v/>
      </c>
      <c r="AQ2270" s="44">
        <f>AQ2243*Settings!$C$13*(INDEX(AQ$420:AQ$431,$D2270))</f>
        <v/>
      </c>
      <c r="AR2270" s="44">
        <f>AR2243*Settings!$C$13*(INDEX(AR$420:AR$431,$D2270))</f>
        <v/>
      </c>
      <c r="AS2270" s="44">
        <f>AS2243*Settings!$C$13*(INDEX(AS$420:AS$431,$D2270))</f>
        <v/>
      </c>
      <c r="AT2270" s="44">
        <f>AT2243*Settings!$C$13*(INDEX(AT$420:AT$431,$D2270))</f>
        <v/>
      </c>
      <c r="AU2270" s="44">
        <f>AU2243*Settings!$C$13*(INDEX(AU$420:AU$431,$D2270))</f>
        <v/>
      </c>
      <c r="AV2270" s="44">
        <f>AV2243*Settings!$C$13*(INDEX(AV$420:AV$431,$D2270))</f>
        <v/>
      </c>
      <c r="AW2270" s="44">
        <f>AW2243*Settings!$C$13*(INDEX(AW$420:AW$431,$D2270))</f>
        <v/>
      </c>
      <c r="AX2270" s="44">
        <f>AX2243*Settings!$C$13*(INDEX(AX$420:AX$431,$D2270))</f>
        <v/>
      </c>
      <c r="AY2270" s="44">
        <f>AY2243*Settings!$C$13*(INDEX(AY$420:AY$431,$D2270))</f>
        <v/>
      </c>
      <c r="AZ2270" s="44">
        <f>AZ2243*Settings!$C$13*(INDEX(AZ$420:AZ$431,$D2270))</f>
        <v/>
      </c>
      <c r="BA2270" s="57">
        <f>REVENUE(BA2243,Settings!$C$13,INDEX(BA$420:BA$431,$D2270))</f>
        <v/>
      </c>
    </row>
    <row r="2271" hidden="1" outlineLevel="2">
      <c r="A2271" s="14" t="inlineStr">
        <is>
          <t>rsub</t>
        </is>
      </c>
      <c r="B2271" s="14" t="inlineStr">
        <is>
          <t>bio</t>
        </is>
      </c>
      <c r="C2271" s="14" t="inlineStr">
        <is>
          <t>nfm</t>
        </is>
      </c>
      <c r="D2271" s="35">
        <f>INDEX(Inputs!$U$5:$U$132,MATCH($B2271&amp;"|"&amp;$C2271,Inputs!$A$5:$A$132,0))</f>
        <v/>
      </c>
      <c r="E2271" s="39" t="n"/>
      <c r="F2271" s="39" t="n"/>
      <c r="G2271" s="39" t="n"/>
      <c r="H2271" s="14">
        <f>INDEX(VarLab,MATCH($A2271,VarKey,0))&amp;INDEX(MemLab,MATCH($C2271&amp;"|"&amp;$B2271,MemKey,0))</f>
        <v/>
      </c>
      <c r="I2271" s="14">
        <f>INDEX(VarUnit,MATCH($A2271,VarKey,0))</f>
        <v/>
      </c>
      <c r="J2271" s="14">
        <f>INDEX(VarSrc,MATCH($A2271,VarKey,0))</f>
        <v/>
      </c>
      <c r="K2271" s="11">
        <f>CodePrefix&amp;$A2271&amp;IF($C2271="","","."&amp;$C2271&amp;"."&amp;$B2271)&amp;INDEX(VarEnd,MATCH($A2271,VarKey,0))&amp;K$5</f>
        <v/>
      </c>
      <c r="L2271" s="43">
        <f>L2244*Settings!$C$13*(INDEX(L$420:L$431,$D2271))</f>
        <v/>
      </c>
      <c r="M2271" s="44">
        <f>M2244*Settings!$C$13*(INDEX(M$420:M$431,$D2271))</f>
        <v/>
      </c>
      <c r="N2271" s="44">
        <f>N2244*Settings!$C$13*(INDEX(N$420:N$431,$D2271))</f>
        <v/>
      </c>
      <c r="O2271" s="44">
        <f>O2244*Settings!$C$13*(INDEX(O$420:O$431,$D2271))</f>
        <v/>
      </c>
      <c r="P2271" s="44">
        <f>P2244*Settings!$C$13*(INDEX(P$420:P$431,$D2271))</f>
        <v/>
      </c>
      <c r="Q2271" s="44">
        <f>Q2244*Settings!$C$13*(INDEX(Q$420:Q$431,$D2271))</f>
        <v/>
      </c>
      <c r="R2271" s="44">
        <f>R2244*Settings!$C$13*(INDEX(R$420:R$431,$D2271))</f>
        <v/>
      </c>
      <c r="S2271" s="44">
        <f>S2244*Settings!$C$13*(INDEX(S$420:S$431,$D2271))</f>
        <v/>
      </c>
      <c r="T2271" s="44">
        <f>T2244*Settings!$C$13*(INDEX(T$420:T$431,$D2271))</f>
        <v/>
      </c>
      <c r="U2271" s="44">
        <f>U2244*Settings!$C$13*(INDEX(U$420:U$431,$D2271))</f>
        <v/>
      </c>
      <c r="V2271" s="44">
        <f>V2244*Settings!$C$13*(INDEX(V$420:V$431,$D2271))</f>
        <v/>
      </c>
      <c r="W2271" s="44">
        <f>W2244*Settings!$C$13*(INDEX(W$420:W$431,$D2271))</f>
        <v/>
      </c>
      <c r="X2271" s="44">
        <f>X2244*Settings!$C$13*(INDEX(X$420:X$431,$D2271))</f>
        <v/>
      </c>
      <c r="Y2271" s="44">
        <f>Y2244*Settings!$C$13*(INDEX(Y$420:Y$431,$D2271))</f>
        <v/>
      </c>
      <c r="Z2271" s="44">
        <f>Z2244*Settings!$C$13*(INDEX(Z$420:Z$431,$D2271))</f>
        <v/>
      </c>
      <c r="AA2271" s="44">
        <f>AA2244*Settings!$C$13*(INDEX(AA$420:AA$431,$D2271))</f>
        <v/>
      </c>
      <c r="AB2271" s="44">
        <f>AB2244*Settings!$C$13*(INDEX(AB$420:AB$431,$D2271))</f>
        <v/>
      </c>
      <c r="AC2271" s="44">
        <f>AC2244*Settings!$C$13*(INDEX(AC$420:AC$431,$D2271))</f>
        <v/>
      </c>
      <c r="AD2271" s="44">
        <f>AD2244*Settings!$C$13*(INDEX(AD$420:AD$431,$D2271))</f>
        <v/>
      </c>
      <c r="AE2271" s="57">
        <f>REVENUE(AE2244,Settings!$C$13,INDEX(AE$420:AE$431,$D2271))</f>
        <v/>
      </c>
      <c r="AG2271" s="11">
        <f>CodePrefix&amp;$A2271&amp;IF($C2271="","","."&amp;$C2271&amp;"."&amp;$B2271)&amp;INDEX(VarEnd,MATCH($A2271,VarKey,0))&amp;AG$5</f>
        <v/>
      </c>
      <c r="AH2271" s="43">
        <f>AH2244*Settings!$C$13*(INDEX(AH$420:AH$431,$D2271))</f>
        <v/>
      </c>
      <c r="AI2271" s="44">
        <f>AI2244*Settings!$C$13*(INDEX(AI$420:AI$431,$D2271))</f>
        <v/>
      </c>
      <c r="AJ2271" s="44">
        <f>AJ2244*Settings!$C$13*(INDEX(AJ$420:AJ$431,$D2271))</f>
        <v/>
      </c>
      <c r="AK2271" s="44">
        <f>AK2244*Settings!$C$13*(INDEX(AK$420:AK$431,$D2271))</f>
        <v/>
      </c>
      <c r="AL2271" s="44">
        <f>AL2244*Settings!$C$13*(INDEX(AL$420:AL$431,$D2271))</f>
        <v/>
      </c>
      <c r="AM2271" s="44">
        <f>AM2244*Settings!$C$13*(INDEX(AM$420:AM$431,$D2271))</f>
        <v/>
      </c>
      <c r="AN2271" s="44">
        <f>AN2244*Settings!$C$13*(INDEX(AN$420:AN$431,$D2271))</f>
        <v/>
      </c>
      <c r="AO2271" s="44">
        <f>AO2244*Settings!$C$13*(INDEX(AO$420:AO$431,$D2271))</f>
        <v/>
      </c>
      <c r="AP2271" s="44">
        <f>AP2244*Settings!$C$13*(INDEX(AP$420:AP$431,$D2271))</f>
        <v/>
      </c>
      <c r="AQ2271" s="44">
        <f>AQ2244*Settings!$C$13*(INDEX(AQ$420:AQ$431,$D2271))</f>
        <v/>
      </c>
      <c r="AR2271" s="44">
        <f>AR2244*Settings!$C$13*(INDEX(AR$420:AR$431,$D2271))</f>
        <v/>
      </c>
      <c r="AS2271" s="44">
        <f>AS2244*Settings!$C$13*(INDEX(AS$420:AS$431,$D2271))</f>
        <v/>
      </c>
      <c r="AT2271" s="44">
        <f>AT2244*Settings!$C$13*(INDEX(AT$420:AT$431,$D2271))</f>
        <v/>
      </c>
      <c r="AU2271" s="44">
        <f>AU2244*Settings!$C$13*(INDEX(AU$420:AU$431,$D2271))</f>
        <v/>
      </c>
      <c r="AV2271" s="44">
        <f>AV2244*Settings!$C$13*(INDEX(AV$420:AV$431,$D2271))</f>
        <v/>
      </c>
      <c r="AW2271" s="44">
        <f>AW2244*Settings!$C$13*(INDEX(AW$420:AW$431,$D2271))</f>
        <v/>
      </c>
      <c r="AX2271" s="44">
        <f>AX2244*Settings!$C$13*(INDEX(AX$420:AX$431,$D2271))</f>
        <v/>
      </c>
      <c r="AY2271" s="44">
        <f>AY2244*Settings!$C$13*(INDEX(AY$420:AY$431,$D2271))</f>
        <v/>
      </c>
      <c r="AZ2271" s="44">
        <f>AZ2244*Settings!$C$13*(INDEX(AZ$420:AZ$431,$D2271))</f>
        <v/>
      </c>
      <c r="BA2271" s="57">
        <f>REVENUE(BA2244,Settings!$C$13,INDEX(BA$420:BA$431,$D2271))</f>
        <v/>
      </c>
    </row>
    <row r="2272" hidden="1" outlineLevel="2"/>
    <row r="2273" hidden="1" outlineLevel="2">
      <c r="A2273" s="14" t="inlineStr">
        <is>
          <t>rnew</t>
        </is>
      </c>
      <c r="B2273" s="14" t="inlineStr">
        <is>
          <t>coa</t>
        </is>
      </c>
      <c r="C2273" s="14" t="inlineStr">
        <is>
          <t>nfm</t>
        </is>
      </c>
      <c r="D2273" s="35">
        <f>INDEX(Inputs!$V$5:$V$132,MATCH($B2273&amp;"|"&amp;$C2273,Inputs!$A$5:$A$132,0))</f>
        <v/>
      </c>
      <c r="E2273" s="39" t="n"/>
      <c r="F2273" s="39" t="n"/>
      <c r="G2273" s="39" t="n"/>
      <c r="H2273" s="14">
        <f>INDEX(VarLab,MATCH($A2273,VarKey,0))&amp;INDEX(MemLab,MATCH($C2273&amp;"|"&amp;$B2273,MemKey,0))</f>
        <v/>
      </c>
      <c r="I2273" s="14">
        <f>INDEX(VarUnit,MATCH($A2273,VarKey,0))</f>
        <v/>
      </c>
      <c r="J2273" s="14">
        <f>INDEX(VarSrc,MATCH($A2273,VarKey,0))</f>
        <v/>
      </c>
      <c r="K2273" s="11">
        <f>CodePrefix&amp;$A2273&amp;IF($C2273="","","."&amp;$C2273&amp;"."&amp;$B2273)&amp;INDEX(VarEnd,MATCH($A2273,VarKey,0))&amp;K$5</f>
        <v/>
      </c>
      <c r="L2273" s="43">
        <f>L2237*Settings!$C$13*(L2165+L2183+L2174*L$201+L2192*$D2273)</f>
        <v/>
      </c>
      <c r="M2273" s="44">
        <f>M2237*Settings!$C$13*(M2165+M2183+M2174*M$201+M2192*$D2273)</f>
        <v/>
      </c>
      <c r="N2273" s="44">
        <f>N2237*Settings!$C$13*(N2165+N2183+N2174*N$201+N2192*$D2273)</f>
        <v/>
      </c>
      <c r="O2273" s="44">
        <f>O2237*Settings!$C$13*(O2165+O2183+O2174*O$201+O2192*$D2273)</f>
        <v/>
      </c>
      <c r="P2273" s="44">
        <f>P2237*Settings!$C$13*(P2165+P2183+P2174*P$201+P2192*$D2273)</f>
        <v/>
      </c>
      <c r="Q2273" s="44">
        <f>Q2237*Settings!$C$13*(Q2165+Q2183+Q2174*Q$201+Q2192*$D2273)</f>
        <v/>
      </c>
      <c r="R2273" s="44">
        <f>R2237*Settings!$C$13*(R2165+R2183+R2174*R$201+R2192*$D2273)</f>
        <v/>
      </c>
      <c r="S2273" s="44">
        <f>S2237*Settings!$C$13*(S2165+S2183+S2174*S$201+S2192*$D2273)</f>
        <v/>
      </c>
      <c r="T2273" s="44">
        <f>T2237*Settings!$C$13*(T2165+T2183+T2174*T$201+T2192*$D2273)</f>
        <v/>
      </c>
      <c r="U2273" s="44">
        <f>U2237*Settings!$C$13*(U2165+U2183+U2174*U$201+U2192*$D2273)</f>
        <v/>
      </c>
      <c r="V2273" s="44">
        <f>V2237*Settings!$C$13*(V2165+V2183+V2174*V$201+V2192*$D2273)</f>
        <v/>
      </c>
      <c r="W2273" s="44">
        <f>W2237*Settings!$C$13*(W2165+W2183+W2174*W$201+W2192*$D2273)</f>
        <v/>
      </c>
      <c r="X2273" s="44">
        <f>X2237*Settings!$C$13*(X2165+X2183+X2174*X$201+X2192*$D2273)</f>
        <v/>
      </c>
      <c r="Y2273" s="44">
        <f>Y2237*Settings!$C$13*(Y2165+Y2183+Y2174*Y$201+Y2192*$D2273)</f>
        <v/>
      </c>
      <c r="Z2273" s="44">
        <f>Z2237*Settings!$C$13*(Z2165+Z2183+Z2174*Z$201+Z2192*$D2273)</f>
        <v/>
      </c>
      <c r="AA2273" s="44">
        <f>AA2237*Settings!$C$13*(AA2165+AA2183+AA2174*AA$201+AA2192*$D2273)</f>
        <v/>
      </c>
      <c r="AB2273" s="44">
        <f>AB2237*Settings!$C$13*(AB2165+AB2183+AB2174*AB$201+AB2192*$D2273)</f>
        <v/>
      </c>
      <c r="AC2273" s="44">
        <f>AC2237*Settings!$C$13*(AC2165+AC2183+AC2174*AC$201+AC2192*$D2273)</f>
        <v/>
      </c>
      <c r="AD2273" s="44">
        <f>AD2237*Settings!$C$13*(AD2165+AD2183+AD2174*AD$201+AD2192*$D2273)</f>
        <v/>
      </c>
      <c r="AE2273" s="57">
        <f>REVENUE(AE2237,Settings!$C$13,NEWREVRATE(AE2165,AE2183,AE2174,AE$201,AE2192,$D2273))</f>
        <v/>
      </c>
      <c r="AG2273" s="11">
        <f>CodePrefix&amp;$A2273&amp;IF($C2273="","","."&amp;$C2273&amp;"."&amp;$B2273)&amp;INDEX(VarEnd,MATCH($A2273,VarKey,0))&amp;AG$5</f>
        <v/>
      </c>
      <c r="AH2273" s="43">
        <f>AH2237*Settings!$C$13*(AH2165+AH2183+AH2174*AH$201+AH2192*$D2273)</f>
        <v/>
      </c>
      <c r="AI2273" s="44">
        <f>AI2237*Settings!$C$13*(AI2165+AI2183+AI2174*AI$201+AI2192*$D2273)</f>
        <v/>
      </c>
      <c r="AJ2273" s="44">
        <f>AJ2237*Settings!$C$13*(AJ2165+AJ2183+AJ2174*AJ$201+AJ2192*$D2273)</f>
        <v/>
      </c>
      <c r="AK2273" s="44">
        <f>AK2237*Settings!$C$13*(AK2165+AK2183+AK2174*AK$201+AK2192*$D2273)</f>
        <v/>
      </c>
      <c r="AL2273" s="44">
        <f>AL2237*Settings!$C$13*(AL2165+AL2183+AL2174*AL$201+AL2192*$D2273)</f>
        <v/>
      </c>
      <c r="AM2273" s="44">
        <f>AM2237*Settings!$C$13*(AM2165+AM2183+AM2174*AM$201+AM2192*$D2273)</f>
        <v/>
      </c>
      <c r="AN2273" s="44">
        <f>AN2237*Settings!$C$13*(AN2165+AN2183+AN2174*AN$201+AN2192*$D2273)</f>
        <v/>
      </c>
      <c r="AO2273" s="44">
        <f>AO2237*Settings!$C$13*(AO2165+AO2183+AO2174*AO$201+AO2192*$D2273)</f>
        <v/>
      </c>
      <c r="AP2273" s="44">
        <f>AP2237*Settings!$C$13*(AP2165+AP2183+AP2174*AP$201+AP2192*$D2273)</f>
        <v/>
      </c>
      <c r="AQ2273" s="44">
        <f>AQ2237*Settings!$C$13*(AQ2165+AQ2183+AQ2174*AQ$201+AQ2192*$D2273)</f>
        <v/>
      </c>
      <c r="AR2273" s="44">
        <f>AR2237*Settings!$C$13*(AR2165+AR2183+AR2174*AR$201+AR2192*$D2273)</f>
        <v/>
      </c>
      <c r="AS2273" s="44">
        <f>AS2237*Settings!$C$13*(AS2165+AS2183+AS2174*AS$201+AS2192*$D2273)</f>
        <v/>
      </c>
      <c r="AT2273" s="44">
        <f>AT2237*Settings!$C$13*(AT2165+AT2183+AT2174*AT$201+AT2192*$D2273)</f>
        <v/>
      </c>
      <c r="AU2273" s="44">
        <f>AU2237*Settings!$C$13*(AU2165+AU2183+AU2174*AU$201+AU2192*$D2273)</f>
        <v/>
      </c>
      <c r="AV2273" s="44">
        <f>AV2237*Settings!$C$13*(AV2165+AV2183+AV2174*AV$201+AV2192*$D2273)</f>
        <v/>
      </c>
      <c r="AW2273" s="44">
        <f>AW2237*Settings!$C$13*(AW2165+AW2183+AW2174*AW$201+AW2192*$D2273)</f>
        <v/>
      </c>
      <c r="AX2273" s="44">
        <f>AX2237*Settings!$C$13*(AX2165+AX2183+AX2174*AX$201+AX2192*$D2273)</f>
        <v/>
      </c>
      <c r="AY2273" s="44">
        <f>AY2237*Settings!$C$13*(AY2165+AY2183+AY2174*AY$201+AY2192*$D2273)</f>
        <v/>
      </c>
      <c r="AZ2273" s="44">
        <f>AZ2237*Settings!$C$13*(AZ2165+AZ2183+AZ2174*AZ$201+AZ2192*$D2273)</f>
        <v/>
      </c>
      <c r="BA2273" s="57">
        <f>REVENUE(BA2237,Settings!$C$13,NEWREVRATE(BA2165,BA2183,BA2174,BA$201,BA2192,$D2273))</f>
        <v/>
      </c>
    </row>
    <row r="2274" hidden="1" outlineLevel="2">
      <c r="A2274" s="14" t="inlineStr">
        <is>
          <t>rnew</t>
        </is>
      </c>
      <c r="B2274" s="14" t="inlineStr">
        <is>
          <t>nga</t>
        </is>
      </c>
      <c r="C2274" s="14" t="inlineStr">
        <is>
          <t>nfm</t>
        </is>
      </c>
      <c r="D2274" s="35">
        <f>INDEX(Inputs!$V$5:$V$132,MATCH($B2274&amp;"|"&amp;$C2274,Inputs!$A$5:$A$132,0))</f>
        <v/>
      </c>
      <c r="E2274" s="39" t="n"/>
      <c r="F2274" s="39" t="n"/>
      <c r="G2274" s="39" t="n"/>
      <c r="H2274" s="14">
        <f>INDEX(VarLab,MATCH($A2274,VarKey,0))&amp;INDEX(MemLab,MATCH($C2274&amp;"|"&amp;$B2274,MemKey,0))</f>
        <v/>
      </c>
      <c r="I2274" s="14">
        <f>INDEX(VarUnit,MATCH($A2274,VarKey,0))</f>
        <v/>
      </c>
      <c r="J2274" s="14">
        <f>INDEX(VarSrc,MATCH($A2274,VarKey,0))</f>
        <v/>
      </c>
      <c r="K2274" s="11">
        <f>CodePrefix&amp;$A2274&amp;IF($C2274="","","."&amp;$C2274&amp;"."&amp;$B2274)&amp;INDEX(VarEnd,MATCH($A2274,VarKey,0))&amp;K$5</f>
        <v/>
      </c>
      <c r="L2274" s="43">
        <f>L2238*Settings!$C$13*(L2166+L2184+L2175*L$201+L2193*$D2274)</f>
        <v/>
      </c>
      <c r="M2274" s="44">
        <f>M2238*Settings!$C$13*(M2166+M2184+M2175*M$201+M2193*$D2274)</f>
        <v/>
      </c>
      <c r="N2274" s="44">
        <f>N2238*Settings!$C$13*(N2166+N2184+N2175*N$201+N2193*$D2274)</f>
        <v/>
      </c>
      <c r="O2274" s="44">
        <f>O2238*Settings!$C$13*(O2166+O2184+O2175*O$201+O2193*$D2274)</f>
        <v/>
      </c>
      <c r="P2274" s="44">
        <f>P2238*Settings!$C$13*(P2166+P2184+P2175*P$201+P2193*$D2274)</f>
        <v/>
      </c>
      <c r="Q2274" s="44">
        <f>Q2238*Settings!$C$13*(Q2166+Q2184+Q2175*Q$201+Q2193*$D2274)</f>
        <v/>
      </c>
      <c r="R2274" s="44">
        <f>R2238*Settings!$C$13*(R2166+R2184+R2175*R$201+R2193*$D2274)</f>
        <v/>
      </c>
      <c r="S2274" s="44">
        <f>S2238*Settings!$C$13*(S2166+S2184+S2175*S$201+S2193*$D2274)</f>
        <v/>
      </c>
      <c r="T2274" s="44">
        <f>T2238*Settings!$C$13*(T2166+T2184+T2175*T$201+T2193*$D2274)</f>
        <v/>
      </c>
      <c r="U2274" s="44">
        <f>U2238*Settings!$C$13*(U2166+U2184+U2175*U$201+U2193*$D2274)</f>
        <v/>
      </c>
      <c r="V2274" s="44">
        <f>V2238*Settings!$C$13*(V2166+V2184+V2175*V$201+V2193*$D2274)</f>
        <v/>
      </c>
      <c r="W2274" s="44">
        <f>W2238*Settings!$C$13*(W2166+W2184+W2175*W$201+W2193*$D2274)</f>
        <v/>
      </c>
      <c r="X2274" s="44">
        <f>X2238*Settings!$C$13*(X2166+X2184+X2175*X$201+X2193*$D2274)</f>
        <v/>
      </c>
      <c r="Y2274" s="44">
        <f>Y2238*Settings!$C$13*(Y2166+Y2184+Y2175*Y$201+Y2193*$D2274)</f>
        <v/>
      </c>
      <c r="Z2274" s="44">
        <f>Z2238*Settings!$C$13*(Z2166+Z2184+Z2175*Z$201+Z2193*$D2274)</f>
        <v/>
      </c>
      <c r="AA2274" s="44">
        <f>AA2238*Settings!$C$13*(AA2166+AA2184+AA2175*AA$201+AA2193*$D2274)</f>
        <v/>
      </c>
      <c r="AB2274" s="44">
        <f>AB2238*Settings!$C$13*(AB2166+AB2184+AB2175*AB$201+AB2193*$D2274)</f>
        <v/>
      </c>
      <c r="AC2274" s="44">
        <f>AC2238*Settings!$C$13*(AC2166+AC2184+AC2175*AC$201+AC2193*$D2274)</f>
        <v/>
      </c>
      <c r="AD2274" s="44">
        <f>AD2238*Settings!$C$13*(AD2166+AD2184+AD2175*AD$201+AD2193*$D2274)</f>
        <v/>
      </c>
      <c r="AE2274" s="57">
        <f>REVENUE(AE2238,Settings!$C$13,NEWREVRATE(AE2166,AE2184,AE2175,AE$201,AE2193,$D2274))</f>
        <v/>
      </c>
      <c r="AG2274" s="11">
        <f>CodePrefix&amp;$A2274&amp;IF($C2274="","","."&amp;$C2274&amp;"."&amp;$B2274)&amp;INDEX(VarEnd,MATCH($A2274,VarKey,0))&amp;AG$5</f>
        <v/>
      </c>
      <c r="AH2274" s="43">
        <f>AH2238*Settings!$C$13*(AH2166+AH2184+AH2175*AH$201+AH2193*$D2274)</f>
        <v/>
      </c>
      <c r="AI2274" s="44">
        <f>AI2238*Settings!$C$13*(AI2166+AI2184+AI2175*AI$201+AI2193*$D2274)</f>
        <v/>
      </c>
      <c r="AJ2274" s="44">
        <f>AJ2238*Settings!$C$13*(AJ2166+AJ2184+AJ2175*AJ$201+AJ2193*$D2274)</f>
        <v/>
      </c>
      <c r="AK2274" s="44">
        <f>AK2238*Settings!$C$13*(AK2166+AK2184+AK2175*AK$201+AK2193*$D2274)</f>
        <v/>
      </c>
      <c r="AL2274" s="44">
        <f>AL2238*Settings!$C$13*(AL2166+AL2184+AL2175*AL$201+AL2193*$D2274)</f>
        <v/>
      </c>
      <c r="AM2274" s="44">
        <f>AM2238*Settings!$C$13*(AM2166+AM2184+AM2175*AM$201+AM2193*$D2274)</f>
        <v/>
      </c>
      <c r="AN2274" s="44">
        <f>AN2238*Settings!$C$13*(AN2166+AN2184+AN2175*AN$201+AN2193*$D2274)</f>
        <v/>
      </c>
      <c r="AO2274" s="44">
        <f>AO2238*Settings!$C$13*(AO2166+AO2184+AO2175*AO$201+AO2193*$D2274)</f>
        <v/>
      </c>
      <c r="AP2274" s="44">
        <f>AP2238*Settings!$C$13*(AP2166+AP2184+AP2175*AP$201+AP2193*$D2274)</f>
        <v/>
      </c>
      <c r="AQ2274" s="44">
        <f>AQ2238*Settings!$C$13*(AQ2166+AQ2184+AQ2175*AQ$201+AQ2193*$D2274)</f>
        <v/>
      </c>
      <c r="AR2274" s="44">
        <f>AR2238*Settings!$C$13*(AR2166+AR2184+AR2175*AR$201+AR2193*$D2274)</f>
        <v/>
      </c>
      <c r="AS2274" s="44">
        <f>AS2238*Settings!$C$13*(AS2166+AS2184+AS2175*AS$201+AS2193*$D2274)</f>
        <v/>
      </c>
      <c r="AT2274" s="44">
        <f>AT2238*Settings!$C$13*(AT2166+AT2184+AT2175*AT$201+AT2193*$D2274)</f>
        <v/>
      </c>
      <c r="AU2274" s="44">
        <f>AU2238*Settings!$C$13*(AU2166+AU2184+AU2175*AU$201+AU2193*$D2274)</f>
        <v/>
      </c>
      <c r="AV2274" s="44">
        <f>AV2238*Settings!$C$13*(AV2166+AV2184+AV2175*AV$201+AV2193*$D2274)</f>
        <v/>
      </c>
      <c r="AW2274" s="44">
        <f>AW2238*Settings!$C$13*(AW2166+AW2184+AW2175*AW$201+AW2193*$D2274)</f>
        <v/>
      </c>
      <c r="AX2274" s="44">
        <f>AX2238*Settings!$C$13*(AX2166+AX2184+AX2175*AX$201+AX2193*$D2274)</f>
        <v/>
      </c>
      <c r="AY2274" s="44">
        <f>AY2238*Settings!$C$13*(AY2166+AY2184+AY2175*AY$201+AY2193*$D2274)</f>
        <v/>
      </c>
      <c r="AZ2274" s="44">
        <f>AZ2238*Settings!$C$13*(AZ2166+AZ2184+AZ2175*AZ$201+AZ2193*$D2274)</f>
        <v/>
      </c>
      <c r="BA2274" s="57">
        <f>REVENUE(BA2238,Settings!$C$13,NEWREVRATE(BA2166,BA2184,BA2175,BA$201,BA2193,$D2274))</f>
        <v/>
      </c>
    </row>
    <row r="2275" hidden="1" outlineLevel="2">
      <c r="A2275" s="14" t="inlineStr">
        <is>
          <t>rnew</t>
        </is>
      </c>
      <c r="B2275" s="14" t="inlineStr">
        <is>
          <t>gso</t>
        </is>
      </c>
      <c r="C2275" s="14" t="inlineStr">
        <is>
          <t>nfm</t>
        </is>
      </c>
      <c r="D2275" s="35">
        <f>INDEX(Inputs!$V$5:$V$132,MATCH($B2275&amp;"|"&amp;$C2275,Inputs!$A$5:$A$132,0))</f>
        <v/>
      </c>
      <c r="E2275" s="39" t="n"/>
      <c r="F2275" s="39" t="n"/>
      <c r="G2275" s="39" t="n"/>
      <c r="H2275" s="14">
        <f>INDEX(VarLab,MATCH($A2275,VarKey,0))&amp;INDEX(MemLab,MATCH($C2275&amp;"|"&amp;$B2275,MemKey,0))</f>
        <v/>
      </c>
      <c r="I2275" s="14">
        <f>INDEX(VarUnit,MATCH($A2275,VarKey,0))</f>
        <v/>
      </c>
      <c r="J2275" s="14">
        <f>INDEX(VarSrc,MATCH($A2275,VarKey,0))</f>
        <v/>
      </c>
      <c r="K2275" s="11">
        <f>CodePrefix&amp;$A2275&amp;IF($C2275="","","."&amp;$C2275&amp;"."&amp;$B2275)&amp;INDEX(VarEnd,MATCH($A2275,VarKey,0))&amp;K$5</f>
        <v/>
      </c>
      <c r="L2275" s="43">
        <f>L2239*Settings!$C$13*(L2167+L2185+L2176*L$201+L2194*$D2275)</f>
        <v/>
      </c>
      <c r="M2275" s="44">
        <f>M2239*Settings!$C$13*(M2167+M2185+M2176*M$201+M2194*$D2275)</f>
        <v/>
      </c>
      <c r="N2275" s="44">
        <f>N2239*Settings!$C$13*(N2167+N2185+N2176*N$201+N2194*$D2275)</f>
        <v/>
      </c>
      <c r="O2275" s="44">
        <f>O2239*Settings!$C$13*(O2167+O2185+O2176*O$201+O2194*$D2275)</f>
        <v/>
      </c>
      <c r="P2275" s="44">
        <f>P2239*Settings!$C$13*(P2167+P2185+P2176*P$201+P2194*$D2275)</f>
        <v/>
      </c>
      <c r="Q2275" s="44">
        <f>Q2239*Settings!$C$13*(Q2167+Q2185+Q2176*Q$201+Q2194*$D2275)</f>
        <v/>
      </c>
      <c r="R2275" s="44">
        <f>R2239*Settings!$C$13*(R2167+R2185+R2176*R$201+R2194*$D2275)</f>
        <v/>
      </c>
      <c r="S2275" s="44">
        <f>S2239*Settings!$C$13*(S2167+S2185+S2176*S$201+S2194*$D2275)</f>
        <v/>
      </c>
      <c r="T2275" s="44">
        <f>T2239*Settings!$C$13*(T2167+T2185+T2176*T$201+T2194*$D2275)</f>
        <v/>
      </c>
      <c r="U2275" s="44">
        <f>U2239*Settings!$C$13*(U2167+U2185+U2176*U$201+U2194*$D2275)</f>
        <v/>
      </c>
      <c r="V2275" s="44">
        <f>V2239*Settings!$C$13*(V2167+V2185+V2176*V$201+V2194*$D2275)</f>
        <v/>
      </c>
      <c r="W2275" s="44">
        <f>W2239*Settings!$C$13*(W2167+W2185+W2176*W$201+W2194*$D2275)</f>
        <v/>
      </c>
      <c r="X2275" s="44">
        <f>X2239*Settings!$C$13*(X2167+X2185+X2176*X$201+X2194*$D2275)</f>
        <v/>
      </c>
      <c r="Y2275" s="44">
        <f>Y2239*Settings!$C$13*(Y2167+Y2185+Y2176*Y$201+Y2194*$D2275)</f>
        <v/>
      </c>
      <c r="Z2275" s="44">
        <f>Z2239*Settings!$C$13*(Z2167+Z2185+Z2176*Z$201+Z2194*$D2275)</f>
        <v/>
      </c>
      <c r="AA2275" s="44">
        <f>AA2239*Settings!$C$13*(AA2167+AA2185+AA2176*AA$201+AA2194*$D2275)</f>
        <v/>
      </c>
      <c r="AB2275" s="44">
        <f>AB2239*Settings!$C$13*(AB2167+AB2185+AB2176*AB$201+AB2194*$D2275)</f>
        <v/>
      </c>
      <c r="AC2275" s="44">
        <f>AC2239*Settings!$C$13*(AC2167+AC2185+AC2176*AC$201+AC2194*$D2275)</f>
        <v/>
      </c>
      <c r="AD2275" s="44">
        <f>AD2239*Settings!$C$13*(AD2167+AD2185+AD2176*AD$201+AD2194*$D2275)</f>
        <v/>
      </c>
      <c r="AE2275" s="57">
        <f>REVENUE(AE2239,Settings!$C$13,NEWREVRATE(AE2167,AE2185,AE2176,AE$201,AE2194,$D2275))</f>
        <v/>
      </c>
      <c r="AG2275" s="11">
        <f>CodePrefix&amp;$A2275&amp;IF($C2275="","","."&amp;$C2275&amp;"."&amp;$B2275)&amp;INDEX(VarEnd,MATCH($A2275,VarKey,0))&amp;AG$5</f>
        <v/>
      </c>
      <c r="AH2275" s="43">
        <f>AH2239*Settings!$C$13*(AH2167+AH2185+AH2176*AH$201+AH2194*$D2275)</f>
        <v/>
      </c>
      <c r="AI2275" s="44">
        <f>AI2239*Settings!$C$13*(AI2167+AI2185+AI2176*AI$201+AI2194*$D2275)</f>
        <v/>
      </c>
      <c r="AJ2275" s="44">
        <f>AJ2239*Settings!$C$13*(AJ2167+AJ2185+AJ2176*AJ$201+AJ2194*$D2275)</f>
        <v/>
      </c>
      <c r="AK2275" s="44">
        <f>AK2239*Settings!$C$13*(AK2167+AK2185+AK2176*AK$201+AK2194*$D2275)</f>
        <v/>
      </c>
      <c r="AL2275" s="44">
        <f>AL2239*Settings!$C$13*(AL2167+AL2185+AL2176*AL$201+AL2194*$D2275)</f>
        <v/>
      </c>
      <c r="AM2275" s="44">
        <f>AM2239*Settings!$C$13*(AM2167+AM2185+AM2176*AM$201+AM2194*$D2275)</f>
        <v/>
      </c>
      <c r="AN2275" s="44">
        <f>AN2239*Settings!$C$13*(AN2167+AN2185+AN2176*AN$201+AN2194*$D2275)</f>
        <v/>
      </c>
      <c r="AO2275" s="44">
        <f>AO2239*Settings!$C$13*(AO2167+AO2185+AO2176*AO$201+AO2194*$D2275)</f>
        <v/>
      </c>
      <c r="AP2275" s="44">
        <f>AP2239*Settings!$C$13*(AP2167+AP2185+AP2176*AP$201+AP2194*$D2275)</f>
        <v/>
      </c>
      <c r="AQ2275" s="44">
        <f>AQ2239*Settings!$C$13*(AQ2167+AQ2185+AQ2176*AQ$201+AQ2194*$D2275)</f>
        <v/>
      </c>
      <c r="AR2275" s="44">
        <f>AR2239*Settings!$C$13*(AR2167+AR2185+AR2176*AR$201+AR2194*$D2275)</f>
        <v/>
      </c>
      <c r="AS2275" s="44">
        <f>AS2239*Settings!$C$13*(AS2167+AS2185+AS2176*AS$201+AS2194*$D2275)</f>
        <v/>
      </c>
      <c r="AT2275" s="44">
        <f>AT2239*Settings!$C$13*(AT2167+AT2185+AT2176*AT$201+AT2194*$D2275)</f>
        <v/>
      </c>
      <c r="AU2275" s="44">
        <f>AU2239*Settings!$C$13*(AU2167+AU2185+AU2176*AU$201+AU2194*$D2275)</f>
        <v/>
      </c>
      <c r="AV2275" s="44">
        <f>AV2239*Settings!$C$13*(AV2167+AV2185+AV2176*AV$201+AV2194*$D2275)</f>
        <v/>
      </c>
      <c r="AW2275" s="44">
        <f>AW2239*Settings!$C$13*(AW2167+AW2185+AW2176*AW$201+AW2194*$D2275)</f>
        <v/>
      </c>
      <c r="AX2275" s="44">
        <f>AX2239*Settings!$C$13*(AX2167+AX2185+AX2176*AX$201+AX2194*$D2275)</f>
        <v/>
      </c>
      <c r="AY2275" s="44">
        <f>AY2239*Settings!$C$13*(AY2167+AY2185+AY2176*AY$201+AY2194*$D2275)</f>
        <v/>
      </c>
      <c r="AZ2275" s="44">
        <f>AZ2239*Settings!$C$13*(AZ2167+AZ2185+AZ2176*AZ$201+AZ2194*$D2275)</f>
        <v/>
      </c>
      <c r="BA2275" s="57">
        <f>REVENUE(BA2239,Settings!$C$13,NEWREVRATE(BA2167,BA2185,BA2176,BA$201,BA2194,$D2275))</f>
        <v/>
      </c>
    </row>
    <row r="2276" hidden="1" outlineLevel="2">
      <c r="A2276" s="14" t="inlineStr">
        <is>
          <t>rnew</t>
        </is>
      </c>
      <c r="B2276" s="14" t="inlineStr">
        <is>
          <t>die</t>
        </is>
      </c>
      <c r="C2276" s="14" t="inlineStr">
        <is>
          <t>nfm</t>
        </is>
      </c>
      <c r="D2276" s="35">
        <f>INDEX(Inputs!$V$5:$V$132,MATCH($B2276&amp;"|"&amp;$C2276,Inputs!$A$5:$A$132,0))</f>
        <v/>
      </c>
      <c r="E2276" s="39" t="n"/>
      <c r="F2276" s="39" t="n"/>
      <c r="G2276" s="39" t="n"/>
      <c r="H2276" s="14">
        <f>INDEX(VarLab,MATCH($A2276,VarKey,0))&amp;INDEX(MemLab,MATCH($C2276&amp;"|"&amp;$B2276,MemKey,0))</f>
        <v/>
      </c>
      <c r="I2276" s="14">
        <f>INDEX(VarUnit,MATCH($A2276,VarKey,0))</f>
        <v/>
      </c>
      <c r="J2276" s="14">
        <f>INDEX(VarSrc,MATCH($A2276,VarKey,0))</f>
        <v/>
      </c>
      <c r="K2276" s="11">
        <f>CodePrefix&amp;$A2276&amp;IF($C2276="","","."&amp;$C2276&amp;"."&amp;$B2276)&amp;INDEX(VarEnd,MATCH($A2276,VarKey,0))&amp;K$5</f>
        <v/>
      </c>
      <c r="L2276" s="43">
        <f>L2240*Settings!$C$13*(L2168+L2186+L2177*L$201+L2195*$D2276)</f>
        <v/>
      </c>
      <c r="M2276" s="44">
        <f>M2240*Settings!$C$13*(M2168+M2186+M2177*M$201+M2195*$D2276)</f>
        <v/>
      </c>
      <c r="N2276" s="44">
        <f>N2240*Settings!$C$13*(N2168+N2186+N2177*N$201+N2195*$D2276)</f>
        <v/>
      </c>
      <c r="O2276" s="44">
        <f>O2240*Settings!$C$13*(O2168+O2186+O2177*O$201+O2195*$D2276)</f>
        <v/>
      </c>
      <c r="P2276" s="44">
        <f>P2240*Settings!$C$13*(P2168+P2186+P2177*P$201+P2195*$D2276)</f>
        <v/>
      </c>
      <c r="Q2276" s="44">
        <f>Q2240*Settings!$C$13*(Q2168+Q2186+Q2177*Q$201+Q2195*$D2276)</f>
        <v/>
      </c>
      <c r="R2276" s="44">
        <f>R2240*Settings!$C$13*(R2168+R2186+R2177*R$201+R2195*$D2276)</f>
        <v/>
      </c>
      <c r="S2276" s="44">
        <f>S2240*Settings!$C$13*(S2168+S2186+S2177*S$201+S2195*$D2276)</f>
        <v/>
      </c>
      <c r="T2276" s="44">
        <f>T2240*Settings!$C$13*(T2168+T2186+T2177*T$201+T2195*$D2276)</f>
        <v/>
      </c>
      <c r="U2276" s="44">
        <f>U2240*Settings!$C$13*(U2168+U2186+U2177*U$201+U2195*$D2276)</f>
        <v/>
      </c>
      <c r="V2276" s="44">
        <f>V2240*Settings!$C$13*(V2168+V2186+V2177*V$201+V2195*$D2276)</f>
        <v/>
      </c>
      <c r="W2276" s="44">
        <f>W2240*Settings!$C$13*(W2168+W2186+W2177*W$201+W2195*$D2276)</f>
        <v/>
      </c>
      <c r="X2276" s="44">
        <f>X2240*Settings!$C$13*(X2168+X2186+X2177*X$201+X2195*$D2276)</f>
        <v/>
      </c>
      <c r="Y2276" s="44">
        <f>Y2240*Settings!$C$13*(Y2168+Y2186+Y2177*Y$201+Y2195*$D2276)</f>
        <v/>
      </c>
      <c r="Z2276" s="44">
        <f>Z2240*Settings!$C$13*(Z2168+Z2186+Z2177*Z$201+Z2195*$D2276)</f>
        <v/>
      </c>
      <c r="AA2276" s="44">
        <f>AA2240*Settings!$C$13*(AA2168+AA2186+AA2177*AA$201+AA2195*$D2276)</f>
        <v/>
      </c>
      <c r="AB2276" s="44">
        <f>AB2240*Settings!$C$13*(AB2168+AB2186+AB2177*AB$201+AB2195*$D2276)</f>
        <v/>
      </c>
      <c r="AC2276" s="44">
        <f>AC2240*Settings!$C$13*(AC2168+AC2186+AC2177*AC$201+AC2195*$D2276)</f>
        <v/>
      </c>
      <c r="AD2276" s="44">
        <f>AD2240*Settings!$C$13*(AD2168+AD2186+AD2177*AD$201+AD2195*$D2276)</f>
        <v/>
      </c>
      <c r="AE2276" s="57">
        <f>REVENUE(AE2240,Settings!$C$13,NEWREVRATE(AE2168,AE2186,AE2177,AE$201,AE2195,$D2276))</f>
        <v/>
      </c>
      <c r="AG2276" s="11">
        <f>CodePrefix&amp;$A2276&amp;IF($C2276="","","."&amp;$C2276&amp;"."&amp;$B2276)&amp;INDEX(VarEnd,MATCH($A2276,VarKey,0))&amp;AG$5</f>
        <v/>
      </c>
      <c r="AH2276" s="43">
        <f>AH2240*Settings!$C$13*(AH2168+AH2186+AH2177*AH$201+AH2195*$D2276)</f>
        <v/>
      </c>
      <c r="AI2276" s="44">
        <f>AI2240*Settings!$C$13*(AI2168+AI2186+AI2177*AI$201+AI2195*$D2276)</f>
        <v/>
      </c>
      <c r="AJ2276" s="44">
        <f>AJ2240*Settings!$C$13*(AJ2168+AJ2186+AJ2177*AJ$201+AJ2195*$D2276)</f>
        <v/>
      </c>
      <c r="AK2276" s="44">
        <f>AK2240*Settings!$C$13*(AK2168+AK2186+AK2177*AK$201+AK2195*$D2276)</f>
        <v/>
      </c>
      <c r="AL2276" s="44">
        <f>AL2240*Settings!$C$13*(AL2168+AL2186+AL2177*AL$201+AL2195*$D2276)</f>
        <v/>
      </c>
      <c r="AM2276" s="44">
        <f>AM2240*Settings!$C$13*(AM2168+AM2186+AM2177*AM$201+AM2195*$D2276)</f>
        <v/>
      </c>
      <c r="AN2276" s="44">
        <f>AN2240*Settings!$C$13*(AN2168+AN2186+AN2177*AN$201+AN2195*$D2276)</f>
        <v/>
      </c>
      <c r="AO2276" s="44">
        <f>AO2240*Settings!$C$13*(AO2168+AO2186+AO2177*AO$201+AO2195*$D2276)</f>
        <v/>
      </c>
      <c r="AP2276" s="44">
        <f>AP2240*Settings!$C$13*(AP2168+AP2186+AP2177*AP$201+AP2195*$D2276)</f>
        <v/>
      </c>
      <c r="AQ2276" s="44">
        <f>AQ2240*Settings!$C$13*(AQ2168+AQ2186+AQ2177*AQ$201+AQ2195*$D2276)</f>
        <v/>
      </c>
      <c r="AR2276" s="44">
        <f>AR2240*Settings!$C$13*(AR2168+AR2186+AR2177*AR$201+AR2195*$D2276)</f>
        <v/>
      </c>
      <c r="AS2276" s="44">
        <f>AS2240*Settings!$C$13*(AS2168+AS2186+AS2177*AS$201+AS2195*$D2276)</f>
        <v/>
      </c>
      <c r="AT2276" s="44">
        <f>AT2240*Settings!$C$13*(AT2168+AT2186+AT2177*AT$201+AT2195*$D2276)</f>
        <v/>
      </c>
      <c r="AU2276" s="44">
        <f>AU2240*Settings!$C$13*(AU2168+AU2186+AU2177*AU$201+AU2195*$D2276)</f>
        <v/>
      </c>
      <c r="AV2276" s="44">
        <f>AV2240*Settings!$C$13*(AV2168+AV2186+AV2177*AV$201+AV2195*$D2276)</f>
        <v/>
      </c>
      <c r="AW2276" s="44">
        <f>AW2240*Settings!$C$13*(AW2168+AW2186+AW2177*AW$201+AW2195*$D2276)</f>
        <v/>
      </c>
      <c r="AX2276" s="44">
        <f>AX2240*Settings!$C$13*(AX2168+AX2186+AX2177*AX$201+AX2195*$D2276)</f>
        <v/>
      </c>
      <c r="AY2276" s="44">
        <f>AY2240*Settings!$C$13*(AY2168+AY2186+AY2177*AY$201+AY2195*$D2276)</f>
        <v/>
      </c>
      <c r="AZ2276" s="44">
        <f>AZ2240*Settings!$C$13*(AZ2168+AZ2186+AZ2177*AZ$201+AZ2195*$D2276)</f>
        <v/>
      </c>
      <c r="BA2276" s="57">
        <f>REVENUE(BA2240,Settings!$C$13,NEWREVRATE(BA2168,BA2186,BA2177,BA$201,BA2195,$D2276))</f>
        <v/>
      </c>
    </row>
    <row r="2277" hidden="1" outlineLevel="2">
      <c r="A2277" s="14" t="inlineStr">
        <is>
          <t>rnew</t>
        </is>
      </c>
      <c r="B2277" s="14" t="inlineStr">
        <is>
          <t>lpg</t>
        </is>
      </c>
      <c r="C2277" s="14" t="inlineStr">
        <is>
          <t>nfm</t>
        </is>
      </c>
      <c r="D2277" s="35">
        <f>INDEX(Inputs!$V$5:$V$132,MATCH($B2277&amp;"|"&amp;$C2277,Inputs!$A$5:$A$132,0))</f>
        <v/>
      </c>
      <c r="E2277" s="39" t="n"/>
      <c r="F2277" s="39" t="n"/>
      <c r="G2277" s="39" t="n"/>
      <c r="H2277" s="14">
        <f>INDEX(VarLab,MATCH($A2277,VarKey,0))&amp;INDEX(MemLab,MATCH($C2277&amp;"|"&amp;$B2277,MemKey,0))</f>
        <v/>
      </c>
      <c r="I2277" s="14">
        <f>INDEX(VarUnit,MATCH($A2277,VarKey,0))</f>
        <v/>
      </c>
      <c r="J2277" s="14">
        <f>INDEX(VarSrc,MATCH($A2277,VarKey,0))</f>
        <v/>
      </c>
      <c r="K2277" s="11">
        <f>CodePrefix&amp;$A2277&amp;IF($C2277="","","."&amp;$C2277&amp;"."&amp;$B2277)&amp;INDEX(VarEnd,MATCH($A2277,VarKey,0))&amp;K$5</f>
        <v/>
      </c>
      <c r="L2277" s="43">
        <f>L2241*Settings!$C$13*(L2169+L2187+L2178*L$201+L2196*$D2277)</f>
        <v/>
      </c>
      <c r="M2277" s="44">
        <f>M2241*Settings!$C$13*(M2169+M2187+M2178*M$201+M2196*$D2277)</f>
        <v/>
      </c>
      <c r="N2277" s="44">
        <f>N2241*Settings!$C$13*(N2169+N2187+N2178*N$201+N2196*$D2277)</f>
        <v/>
      </c>
      <c r="O2277" s="44">
        <f>O2241*Settings!$C$13*(O2169+O2187+O2178*O$201+O2196*$D2277)</f>
        <v/>
      </c>
      <c r="P2277" s="44">
        <f>P2241*Settings!$C$13*(P2169+P2187+P2178*P$201+P2196*$D2277)</f>
        <v/>
      </c>
      <c r="Q2277" s="44">
        <f>Q2241*Settings!$C$13*(Q2169+Q2187+Q2178*Q$201+Q2196*$D2277)</f>
        <v/>
      </c>
      <c r="R2277" s="44">
        <f>R2241*Settings!$C$13*(R2169+R2187+R2178*R$201+R2196*$D2277)</f>
        <v/>
      </c>
      <c r="S2277" s="44">
        <f>S2241*Settings!$C$13*(S2169+S2187+S2178*S$201+S2196*$D2277)</f>
        <v/>
      </c>
      <c r="T2277" s="44">
        <f>T2241*Settings!$C$13*(T2169+T2187+T2178*T$201+T2196*$D2277)</f>
        <v/>
      </c>
      <c r="U2277" s="44">
        <f>U2241*Settings!$C$13*(U2169+U2187+U2178*U$201+U2196*$D2277)</f>
        <v/>
      </c>
      <c r="V2277" s="44">
        <f>V2241*Settings!$C$13*(V2169+V2187+V2178*V$201+V2196*$D2277)</f>
        <v/>
      </c>
      <c r="W2277" s="44">
        <f>W2241*Settings!$C$13*(W2169+W2187+W2178*W$201+W2196*$D2277)</f>
        <v/>
      </c>
      <c r="X2277" s="44">
        <f>X2241*Settings!$C$13*(X2169+X2187+X2178*X$201+X2196*$D2277)</f>
        <v/>
      </c>
      <c r="Y2277" s="44">
        <f>Y2241*Settings!$C$13*(Y2169+Y2187+Y2178*Y$201+Y2196*$D2277)</f>
        <v/>
      </c>
      <c r="Z2277" s="44">
        <f>Z2241*Settings!$C$13*(Z2169+Z2187+Z2178*Z$201+Z2196*$D2277)</f>
        <v/>
      </c>
      <c r="AA2277" s="44">
        <f>AA2241*Settings!$C$13*(AA2169+AA2187+AA2178*AA$201+AA2196*$D2277)</f>
        <v/>
      </c>
      <c r="AB2277" s="44">
        <f>AB2241*Settings!$C$13*(AB2169+AB2187+AB2178*AB$201+AB2196*$D2277)</f>
        <v/>
      </c>
      <c r="AC2277" s="44">
        <f>AC2241*Settings!$C$13*(AC2169+AC2187+AC2178*AC$201+AC2196*$D2277)</f>
        <v/>
      </c>
      <c r="AD2277" s="44">
        <f>AD2241*Settings!$C$13*(AD2169+AD2187+AD2178*AD$201+AD2196*$D2277)</f>
        <v/>
      </c>
      <c r="AE2277" s="57">
        <f>REVENUE(AE2241,Settings!$C$13,NEWREVRATE(AE2169,AE2187,AE2178,AE$201,AE2196,$D2277))</f>
        <v/>
      </c>
      <c r="AG2277" s="11">
        <f>CodePrefix&amp;$A2277&amp;IF($C2277="","","."&amp;$C2277&amp;"."&amp;$B2277)&amp;INDEX(VarEnd,MATCH($A2277,VarKey,0))&amp;AG$5</f>
        <v/>
      </c>
      <c r="AH2277" s="43">
        <f>AH2241*Settings!$C$13*(AH2169+AH2187+AH2178*AH$201+AH2196*$D2277)</f>
        <v/>
      </c>
      <c r="AI2277" s="44">
        <f>AI2241*Settings!$C$13*(AI2169+AI2187+AI2178*AI$201+AI2196*$D2277)</f>
        <v/>
      </c>
      <c r="AJ2277" s="44">
        <f>AJ2241*Settings!$C$13*(AJ2169+AJ2187+AJ2178*AJ$201+AJ2196*$D2277)</f>
        <v/>
      </c>
      <c r="AK2277" s="44">
        <f>AK2241*Settings!$C$13*(AK2169+AK2187+AK2178*AK$201+AK2196*$D2277)</f>
        <v/>
      </c>
      <c r="AL2277" s="44">
        <f>AL2241*Settings!$C$13*(AL2169+AL2187+AL2178*AL$201+AL2196*$D2277)</f>
        <v/>
      </c>
      <c r="AM2277" s="44">
        <f>AM2241*Settings!$C$13*(AM2169+AM2187+AM2178*AM$201+AM2196*$D2277)</f>
        <v/>
      </c>
      <c r="AN2277" s="44">
        <f>AN2241*Settings!$C$13*(AN2169+AN2187+AN2178*AN$201+AN2196*$D2277)</f>
        <v/>
      </c>
      <c r="AO2277" s="44">
        <f>AO2241*Settings!$C$13*(AO2169+AO2187+AO2178*AO$201+AO2196*$D2277)</f>
        <v/>
      </c>
      <c r="AP2277" s="44">
        <f>AP2241*Settings!$C$13*(AP2169+AP2187+AP2178*AP$201+AP2196*$D2277)</f>
        <v/>
      </c>
      <c r="AQ2277" s="44">
        <f>AQ2241*Settings!$C$13*(AQ2169+AQ2187+AQ2178*AQ$201+AQ2196*$D2277)</f>
        <v/>
      </c>
      <c r="AR2277" s="44">
        <f>AR2241*Settings!$C$13*(AR2169+AR2187+AR2178*AR$201+AR2196*$D2277)</f>
        <v/>
      </c>
      <c r="AS2277" s="44">
        <f>AS2241*Settings!$C$13*(AS2169+AS2187+AS2178*AS$201+AS2196*$D2277)</f>
        <v/>
      </c>
      <c r="AT2277" s="44">
        <f>AT2241*Settings!$C$13*(AT2169+AT2187+AT2178*AT$201+AT2196*$D2277)</f>
        <v/>
      </c>
      <c r="AU2277" s="44">
        <f>AU2241*Settings!$C$13*(AU2169+AU2187+AU2178*AU$201+AU2196*$D2277)</f>
        <v/>
      </c>
      <c r="AV2277" s="44">
        <f>AV2241*Settings!$C$13*(AV2169+AV2187+AV2178*AV$201+AV2196*$D2277)</f>
        <v/>
      </c>
      <c r="AW2277" s="44">
        <f>AW2241*Settings!$C$13*(AW2169+AW2187+AW2178*AW$201+AW2196*$D2277)</f>
        <v/>
      </c>
      <c r="AX2277" s="44">
        <f>AX2241*Settings!$C$13*(AX2169+AX2187+AX2178*AX$201+AX2196*$D2277)</f>
        <v/>
      </c>
      <c r="AY2277" s="44">
        <f>AY2241*Settings!$C$13*(AY2169+AY2187+AY2178*AY$201+AY2196*$D2277)</f>
        <v/>
      </c>
      <c r="AZ2277" s="44">
        <f>AZ2241*Settings!$C$13*(AZ2169+AZ2187+AZ2178*AZ$201+AZ2196*$D2277)</f>
        <v/>
      </c>
      <c r="BA2277" s="57">
        <f>REVENUE(BA2241,Settings!$C$13,NEWREVRATE(BA2169,BA2187,BA2178,BA$201,BA2196,$D2277))</f>
        <v/>
      </c>
    </row>
    <row r="2278" hidden="1" outlineLevel="2">
      <c r="A2278" s="14" t="inlineStr">
        <is>
          <t>rnew</t>
        </is>
      </c>
      <c r="B2278" s="14" t="inlineStr">
        <is>
          <t>ker</t>
        </is>
      </c>
      <c r="C2278" s="14" t="inlineStr">
        <is>
          <t>nfm</t>
        </is>
      </c>
      <c r="D2278" s="35">
        <f>INDEX(Inputs!$V$5:$V$132,MATCH($B2278&amp;"|"&amp;$C2278,Inputs!$A$5:$A$132,0))</f>
        <v/>
      </c>
      <c r="E2278" s="39" t="n"/>
      <c r="F2278" s="39" t="n"/>
      <c r="G2278" s="39" t="n"/>
      <c r="H2278" s="14">
        <f>INDEX(VarLab,MATCH($A2278,VarKey,0))&amp;INDEX(MemLab,MATCH($C2278&amp;"|"&amp;$B2278,MemKey,0))</f>
        <v/>
      </c>
      <c r="I2278" s="14">
        <f>INDEX(VarUnit,MATCH($A2278,VarKey,0))</f>
        <v/>
      </c>
      <c r="J2278" s="14">
        <f>INDEX(VarSrc,MATCH($A2278,VarKey,0))</f>
        <v/>
      </c>
      <c r="K2278" s="11">
        <f>CodePrefix&amp;$A2278&amp;IF($C2278="","","."&amp;$C2278&amp;"."&amp;$B2278)&amp;INDEX(VarEnd,MATCH($A2278,VarKey,0))&amp;K$5</f>
        <v/>
      </c>
      <c r="L2278" s="43">
        <f>L2242*Settings!$C$13*(L2170+L2188+L2179*L$201+L2197*$D2278)</f>
        <v/>
      </c>
      <c r="M2278" s="44">
        <f>M2242*Settings!$C$13*(M2170+M2188+M2179*M$201+M2197*$D2278)</f>
        <v/>
      </c>
      <c r="N2278" s="44">
        <f>N2242*Settings!$C$13*(N2170+N2188+N2179*N$201+N2197*$D2278)</f>
        <v/>
      </c>
      <c r="O2278" s="44">
        <f>O2242*Settings!$C$13*(O2170+O2188+O2179*O$201+O2197*$D2278)</f>
        <v/>
      </c>
      <c r="P2278" s="44">
        <f>P2242*Settings!$C$13*(P2170+P2188+P2179*P$201+P2197*$D2278)</f>
        <v/>
      </c>
      <c r="Q2278" s="44">
        <f>Q2242*Settings!$C$13*(Q2170+Q2188+Q2179*Q$201+Q2197*$D2278)</f>
        <v/>
      </c>
      <c r="R2278" s="44">
        <f>R2242*Settings!$C$13*(R2170+R2188+R2179*R$201+R2197*$D2278)</f>
        <v/>
      </c>
      <c r="S2278" s="44">
        <f>S2242*Settings!$C$13*(S2170+S2188+S2179*S$201+S2197*$D2278)</f>
        <v/>
      </c>
      <c r="T2278" s="44">
        <f>T2242*Settings!$C$13*(T2170+T2188+T2179*T$201+T2197*$D2278)</f>
        <v/>
      </c>
      <c r="U2278" s="44">
        <f>U2242*Settings!$C$13*(U2170+U2188+U2179*U$201+U2197*$D2278)</f>
        <v/>
      </c>
      <c r="V2278" s="44">
        <f>V2242*Settings!$C$13*(V2170+V2188+V2179*V$201+V2197*$D2278)</f>
        <v/>
      </c>
      <c r="W2278" s="44">
        <f>W2242*Settings!$C$13*(W2170+W2188+W2179*W$201+W2197*$D2278)</f>
        <v/>
      </c>
      <c r="X2278" s="44">
        <f>X2242*Settings!$C$13*(X2170+X2188+X2179*X$201+X2197*$D2278)</f>
        <v/>
      </c>
      <c r="Y2278" s="44">
        <f>Y2242*Settings!$C$13*(Y2170+Y2188+Y2179*Y$201+Y2197*$D2278)</f>
        <v/>
      </c>
      <c r="Z2278" s="44">
        <f>Z2242*Settings!$C$13*(Z2170+Z2188+Z2179*Z$201+Z2197*$D2278)</f>
        <v/>
      </c>
      <c r="AA2278" s="44">
        <f>AA2242*Settings!$C$13*(AA2170+AA2188+AA2179*AA$201+AA2197*$D2278)</f>
        <v/>
      </c>
      <c r="AB2278" s="44">
        <f>AB2242*Settings!$C$13*(AB2170+AB2188+AB2179*AB$201+AB2197*$D2278)</f>
        <v/>
      </c>
      <c r="AC2278" s="44">
        <f>AC2242*Settings!$C$13*(AC2170+AC2188+AC2179*AC$201+AC2197*$D2278)</f>
        <v/>
      </c>
      <c r="AD2278" s="44">
        <f>AD2242*Settings!$C$13*(AD2170+AD2188+AD2179*AD$201+AD2197*$D2278)</f>
        <v/>
      </c>
      <c r="AE2278" s="57">
        <f>REVENUE(AE2242,Settings!$C$13,NEWREVRATE(AE2170,AE2188,AE2179,AE$201,AE2197,$D2278))</f>
        <v/>
      </c>
      <c r="AG2278" s="11">
        <f>CodePrefix&amp;$A2278&amp;IF($C2278="","","."&amp;$C2278&amp;"."&amp;$B2278)&amp;INDEX(VarEnd,MATCH($A2278,VarKey,0))&amp;AG$5</f>
        <v/>
      </c>
      <c r="AH2278" s="43">
        <f>AH2242*Settings!$C$13*(AH2170+AH2188+AH2179*AH$201+AH2197*$D2278)</f>
        <v/>
      </c>
      <c r="AI2278" s="44">
        <f>AI2242*Settings!$C$13*(AI2170+AI2188+AI2179*AI$201+AI2197*$D2278)</f>
        <v/>
      </c>
      <c r="AJ2278" s="44">
        <f>AJ2242*Settings!$C$13*(AJ2170+AJ2188+AJ2179*AJ$201+AJ2197*$D2278)</f>
        <v/>
      </c>
      <c r="AK2278" s="44">
        <f>AK2242*Settings!$C$13*(AK2170+AK2188+AK2179*AK$201+AK2197*$D2278)</f>
        <v/>
      </c>
      <c r="AL2278" s="44">
        <f>AL2242*Settings!$C$13*(AL2170+AL2188+AL2179*AL$201+AL2197*$D2278)</f>
        <v/>
      </c>
      <c r="AM2278" s="44">
        <f>AM2242*Settings!$C$13*(AM2170+AM2188+AM2179*AM$201+AM2197*$D2278)</f>
        <v/>
      </c>
      <c r="AN2278" s="44">
        <f>AN2242*Settings!$C$13*(AN2170+AN2188+AN2179*AN$201+AN2197*$D2278)</f>
        <v/>
      </c>
      <c r="AO2278" s="44">
        <f>AO2242*Settings!$C$13*(AO2170+AO2188+AO2179*AO$201+AO2197*$D2278)</f>
        <v/>
      </c>
      <c r="AP2278" s="44">
        <f>AP2242*Settings!$C$13*(AP2170+AP2188+AP2179*AP$201+AP2197*$D2278)</f>
        <v/>
      </c>
      <c r="AQ2278" s="44">
        <f>AQ2242*Settings!$C$13*(AQ2170+AQ2188+AQ2179*AQ$201+AQ2197*$D2278)</f>
        <v/>
      </c>
      <c r="AR2278" s="44">
        <f>AR2242*Settings!$C$13*(AR2170+AR2188+AR2179*AR$201+AR2197*$D2278)</f>
        <v/>
      </c>
      <c r="AS2278" s="44">
        <f>AS2242*Settings!$C$13*(AS2170+AS2188+AS2179*AS$201+AS2197*$D2278)</f>
        <v/>
      </c>
      <c r="AT2278" s="44">
        <f>AT2242*Settings!$C$13*(AT2170+AT2188+AT2179*AT$201+AT2197*$D2278)</f>
        <v/>
      </c>
      <c r="AU2278" s="44">
        <f>AU2242*Settings!$C$13*(AU2170+AU2188+AU2179*AU$201+AU2197*$D2278)</f>
        <v/>
      </c>
      <c r="AV2278" s="44">
        <f>AV2242*Settings!$C$13*(AV2170+AV2188+AV2179*AV$201+AV2197*$D2278)</f>
        <v/>
      </c>
      <c r="AW2278" s="44">
        <f>AW2242*Settings!$C$13*(AW2170+AW2188+AW2179*AW$201+AW2197*$D2278)</f>
        <v/>
      </c>
      <c r="AX2278" s="44">
        <f>AX2242*Settings!$C$13*(AX2170+AX2188+AX2179*AX$201+AX2197*$D2278)</f>
        <v/>
      </c>
      <c r="AY2278" s="44">
        <f>AY2242*Settings!$C$13*(AY2170+AY2188+AY2179*AY$201+AY2197*$D2278)</f>
        <v/>
      </c>
      <c r="AZ2278" s="44">
        <f>AZ2242*Settings!$C$13*(AZ2170+AZ2188+AZ2179*AZ$201+AZ2197*$D2278)</f>
        <v/>
      </c>
      <c r="BA2278" s="57">
        <f>REVENUE(BA2242,Settings!$C$13,NEWREVRATE(BA2170,BA2188,BA2179,BA$201,BA2197,$D2278))</f>
        <v/>
      </c>
    </row>
    <row r="2279" hidden="1" outlineLevel="2">
      <c r="A2279" s="14" t="inlineStr">
        <is>
          <t>rnew</t>
        </is>
      </c>
      <c r="B2279" s="14" t="inlineStr">
        <is>
          <t>oop</t>
        </is>
      </c>
      <c r="C2279" s="14" t="inlineStr">
        <is>
          <t>nfm</t>
        </is>
      </c>
      <c r="D2279" s="35">
        <f>INDEX(Inputs!$V$5:$V$132,MATCH($B2279&amp;"|"&amp;$C2279,Inputs!$A$5:$A$132,0))</f>
        <v/>
      </c>
      <c r="E2279" s="39" t="n"/>
      <c r="F2279" s="39" t="n"/>
      <c r="G2279" s="39" t="n"/>
      <c r="H2279" s="14">
        <f>INDEX(VarLab,MATCH($A2279,VarKey,0))&amp;INDEX(MemLab,MATCH($C2279&amp;"|"&amp;$B2279,MemKey,0))</f>
        <v/>
      </c>
      <c r="I2279" s="14">
        <f>INDEX(VarUnit,MATCH($A2279,VarKey,0))</f>
        <v/>
      </c>
      <c r="J2279" s="14">
        <f>INDEX(VarSrc,MATCH($A2279,VarKey,0))</f>
        <v/>
      </c>
      <c r="K2279" s="11">
        <f>CodePrefix&amp;$A2279&amp;IF($C2279="","","."&amp;$C2279&amp;"."&amp;$B2279)&amp;INDEX(VarEnd,MATCH($A2279,VarKey,0))&amp;K$5</f>
        <v/>
      </c>
      <c r="L2279" s="43">
        <f>L2243*Settings!$C$13*(L2171+L2189+L2180*L$201+L2198*$D2279)</f>
        <v/>
      </c>
      <c r="M2279" s="44">
        <f>M2243*Settings!$C$13*(M2171+M2189+M2180*M$201+M2198*$D2279)</f>
        <v/>
      </c>
      <c r="N2279" s="44">
        <f>N2243*Settings!$C$13*(N2171+N2189+N2180*N$201+N2198*$D2279)</f>
        <v/>
      </c>
      <c r="O2279" s="44">
        <f>O2243*Settings!$C$13*(O2171+O2189+O2180*O$201+O2198*$D2279)</f>
        <v/>
      </c>
      <c r="P2279" s="44">
        <f>P2243*Settings!$C$13*(P2171+P2189+P2180*P$201+P2198*$D2279)</f>
        <v/>
      </c>
      <c r="Q2279" s="44">
        <f>Q2243*Settings!$C$13*(Q2171+Q2189+Q2180*Q$201+Q2198*$D2279)</f>
        <v/>
      </c>
      <c r="R2279" s="44">
        <f>R2243*Settings!$C$13*(R2171+R2189+R2180*R$201+R2198*$D2279)</f>
        <v/>
      </c>
      <c r="S2279" s="44">
        <f>S2243*Settings!$C$13*(S2171+S2189+S2180*S$201+S2198*$D2279)</f>
        <v/>
      </c>
      <c r="T2279" s="44">
        <f>T2243*Settings!$C$13*(T2171+T2189+T2180*T$201+T2198*$D2279)</f>
        <v/>
      </c>
      <c r="U2279" s="44">
        <f>U2243*Settings!$C$13*(U2171+U2189+U2180*U$201+U2198*$D2279)</f>
        <v/>
      </c>
      <c r="V2279" s="44">
        <f>V2243*Settings!$C$13*(V2171+V2189+V2180*V$201+V2198*$D2279)</f>
        <v/>
      </c>
      <c r="W2279" s="44">
        <f>W2243*Settings!$C$13*(W2171+W2189+W2180*W$201+W2198*$D2279)</f>
        <v/>
      </c>
      <c r="X2279" s="44">
        <f>X2243*Settings!$C$13*(X2171+X2189+X2180*X$201+X2198*$D2279)</f>
        <v/>
      </c>
      <c r="Y2279" s="44">
        <f>Y2243*Settings!$C$13*(Y2171+Y2189+Y2180*Y$201+Y2198*$D2279)</f>
        <v/>
      </c>
      <c r="Z2279" s="44">
        <f>Z2243*Settings!$C$13*(Z2171+Z2189+Z2180*Z$201+Z2198*$D2279)</f>
        <v/>
      </c>
      <c r="AA2279" s="44">
        <f>AA2243*Settings!$C$13*(AA2171+AA2189+AA2180*AA$201+AA2198*$D2279)</f>
        <v/>
      </c>
      <c r="AB2279" s="44">
        <f>AB2243*Settings!$C$13*(AB2171+AB2189+AB2180*AB$201+AB2198*$D2279)</f>
        <v/>
      </c>
      <c r="AC2279" s="44">
        <f>AC2243*Settings!$C$13*(AC2171+AC2189+AC2180*AC$201+AC2198*$D2279)</f>
        <v/>
      </c>
      <c r="AD2279" s="44">
        <f>AD2243*Settings!$C$13*(AD2171+AD2189+AD2180*AD$201+AD2198*$D2279)</f>
        <v/>
      </c>
      <c r="AE2279" s="57">
        <f>REVENUE(AE2243,Settings!$C$13,NEWREVRATE(AE2171,AE2189,AE2180,AE$201,AE2198,$D2279))</f>
        <v/>
      </c>
      <c r="AG2279" s="11">
        <f>CodePrefix&amp;$A2279&amp;IF($C2279="","","."&amp;$C2279&amp;"."&amp;$B2279)&amp;INDEX(VarEnd,MATCH($A2279,VarKey,0))&amp;AG$5</f>
        <v/>
      </c>
      <c r="AH2279" s="43">
        <f>AH2243*Settings!$C$13*(AH2171+AH2189+AH2180*AH$201+AH2198*$D2279)</f>
        <v/>
      </c>
      <c r="AI2279" s="44">
        <f>AI2243*Settings!$C$13*(AI2171+AI2189+AI2180*AI$201+AI2198*$D2279)</f>
        <v/>
      </c>
      <c r="AJ2279" s="44">
        <f>AJ2243*Settings!$C$13*(AJ2171+AJ2189+AJ2180*AJ$201+AJ2198*$D2279)</f>
        <v/>
      </c>
      <c r="AK2279" s="44">
        <f>AK2243*Settings!$C$13*(AK2171+AK2189+AK2180*AK$201+AK2198*$D2279)</f>
        <v/>
      </c>
      <c r="AL2279" s="44">
        <f>AL2243*Settings!$C$13*(AL2171+AL2189+AL2180*AL$201+AL2198*$D2279)</f>
        <v/>
      </c>
      <c r="AM2279" s="44">
        <f>AM2243*Settings!$C$13*(AM2171+AM2189+AM2180*AM$201+AM2198*$D2279)</f>
        <v/>
      </c>
      <c r="AN2279" s="44">
        <f>AN2243*Settings!$C$13*(AN2171+AN2189+AN2180*AN$201+AN2198*$D2279)</f>
        <v/>
      </c>
      <c r="AO2279" s="44">
        <f>AO2243*Settings!$C$13*(AO2171+AO2189+AO2180*AO$201+AO2198*$D2279)</f>
        <v/>
      </c>
      <c r="AP2279" s="44">
        <f>AP2243*Settings!$C$13*(AP2171+AP2189+AP2180*AP$201+AP2198*$D2279)</f>
        <v/>
      </c>
      <c r="AQ2279" s="44">
        <f>AQ2243*Settings!$C$13*(AQ2171+AQ2189+AQ2180*AQ$201+AQ2198*$D2279)</f>
        <v/>
      </c>
      <c r="AR2279" s="44">
        <f>AR2243*Settings!$C$13*(AR2171+AR2189+AR2180*AR$201+AR2198*$D2279)</f>
        <v/>
      </c>
      <c r="AS2279" s="44">
        <f>AS2243*Settings!$C$13*(AS2171+AS2189+AS2180*AS$201+AS2198*$D2279)</f>
        <v/>
      </c>
      <c r="AT2279" s="44">
        <f>AT2243*Settings!$C$13*(AT2171+AT2189+AT2180*AT$201+AT2198*$D2279)</f>
        <v/>
      </c>
      <c r="AU2279" s="44">
        <f>AU2243*Settings!$C$13*(AU2171+AU2189+AU2180*AU$201+AU2198*$D2279)</f>
        <v/>
      </c>
      <c r="AV2279" s="44">
        <f>AV2243*Settings!$C$13*(AV2171+AV2189+AV2180*AV$201+AV2198*$D2279)</f>
        <v/>
      </c>
      <c r="AW2279" s="44">
        <f>AW2243*Settings!$C$13*(AW2171+AW2189+AW2180*AW$201+AW2198*$D2279)</f>
        <v/>
      </c>
      <c r="AX2279" s="44">
        <f>AX2243*Settings!$C$13*(AX2171+AX2189+AX2180*AX$201+AX2198*$D2279)</f>
        <v/>
      </c>
      <c r="AY2279" s="44">
        <f>AY2243*Settings!$C$13*(AY2171+AY2189+AY2180*AY$201+AY2198*$D2279)</f>
        <v/>
      </c>
      <c r="AZ2279" s="44">
        <f>AZ2243*Settings!$C$13*(AZ2171+AZ2189+AZ2180*AZ$201+AZ2198*$D2279)</f>
        <v/>
      </c>
      <c r="BA2279" s="57">
        <f>REVENUE(BA2243,Settings!$C$13,NEWREVRATE(BA2171,BA2189,BA2180,BA$201,BA2198,$D2279))</f>
        <v/>
      </c>
    </row>
    <row r="2280" hidden="1" outlineLevel="2">
      <c r="A2280" s="14" t="inlineStr">
        <is>
          <t>rnew</t>
        </is>
      </c>
      <c r="B2280" s="14" t="inlineStr">
        <is>
          <t>bio</t>
        </is>
      </c>
      <c r="C2280" s="14" t="inlineStr">
        <is>
          <t>nfm</t>
        </is>
      </c>
      <c r="D2280" s="35">
        <f>INDEX(Inputs!$V$5:$V$132,MATCH($B2280&amp;"|"&amp;$C2280,Inputs!$A$5:$A$132,0))</f>
        <v/>
      </c>
      <c r="E2280" s="39" t="n"/>
      <c r="F2280" s="39" t="n"/>
      <c r="G2280" s="39" t="n"/>
      <c r="H2280" s="14">
        <f>INDEX(VarLab,MATCH($A2280,VarKey,0))&amp;INDEX(MemLab,MATCH($C2280&amp;"|"&amp;$B2280,MemKey,0))</f>
        <v/>
      </c>
      <c r="I2280" s="14">
        <f>INDEX(VarUnit,MATCH($A2280,VarKey,0))</f>
        <v/>
      </c>
      <c r="J2280" s="14">
        <f>INDEX(VarSrc,MATCH($A2280,VarKey,0))</f>
        <v/>
      </c>
      <c r="K2280" s="11">
        <f>CodePrefix&amp;$A2280&amp;IF($C2280="","","."&amp;$C2280&amp;"."&amp;$B2280)&amp;INDEX(VarEnd,MATCH($A2280,VarKey,0))&amp;K$5</f>
        <v/>
      </c>
      <c r="L2280" s="43">
        <f>L2244*Settings!$C$13*(L2172+L2190+L2181*L$201+L2199*$D2280)</f>
        <v/>
      </c>
      <c r="M2280" s="44">
        <f>M2244*Settings!$C$13*(M2172+M2190+M2181*M$201+M2199*$D2280)</f>
        <v/>
      </c>
      <c r="N2280" s="44">
        <f>N2244*Settings!$C$13*(N2172+N2190+N2181*N$201+N2199*$D2280)</f>
        <v/>
      </c>
      <c r="O2280" s="44">
        <f>O2244*Settings!$C$13*(O2172+O2190+O2181*O$201+O2199*$D2280)</f>
        <v/>
      </c>
      <c r="P2280" s="44">
        <f>P2244*Settings!$C$13*(P2172+P2190+P2181*P$201+P2199*$D2280)</f>
        <v/>
      </c>
      <c r="Q2280" s="44">
        <f>Q2244*Settings!$C$13*(Q2172+Q2190+Q2181*Q$201+Q2199*$D2280)</f>
        <v/>
      </c>
      <c r="R2280" s="44">
        <f>R2244*Settings!$C$13*(R2172+R2190+R2181*R$201+R2199*$D2280)</f>
        <v/>
      </c>
      <c r="S2280" s="44">
        <f>S2244*Settings!$C$13*(S2172+S2190+S2181*S$201+S2199*$D2280)</f>
        <v/>
      </c>
      <c r="T2280" s="44">
        <f>T2244*Settings!$C$13*(T2172+T2190+T2181*T$201+T2199*$D2280)</f>
        <v/>
      </c>
      <c r="U2280" s="44">
        <f>U2244*Settings!$C$13*(U2172+U2190+U2181*U$201+U2199*$D2280)</f>
        <v/>
      </c>
      <c r="V2280" s="44">
        <f>V2244*Settings!$C$13*(V2172+V2190+V2181*V$201+V2199*$D2280)</f>
        <v/>
      </c>
      <c r="W2280" s="44">
        <f>W2244*Settings!$C$13*(W2172+W2190+W2181*W$201+W2199*$D2280)</f>
        <v/>
      </c>
      <c r="X2280" s="44">
        <f>X2244*Settings!$C$13*(X2172+X2190+X2181*X$201+X2199*$D2280)</f>
        <v/>
      </c>
      <c r="Y2280" s="44">
        <f>Y2244*Settings!$C$13*(Y2172+Y2190+Y2181*Y$201+Y2199*$D2280)</f>
        <v/>
      </c>
      <c r="Z2280" s="44">
        <f>Z2244*Settings!$C$13*(Z2172+Z2190+Z2181*Z$201+Z2199*$D2280)</f>
        <v/>
      </c>
      <c r="AA2280" s="44">
        <f>AA2244*Settings!$C$13*(AA2172+AA2190+AA2181*AA$201+AA2199*$D2280)</f>
        <v/>
      </c>
      <c r="AB2280" s="44">
        <f>AB2244*Settings!$C$13*(AB2172+AB2190+AB2181*AB$201+AB2199*$D2280)</f>
        <v/>
      </c>
      <c r="AC2280" s="44">
        <f>AC2244*Settings!$C$13*(AC2172+AC2190+AC2181*AC$201+AC2199*$D2280)</f>
        <v/>
      </c>
      <c r="AD2280" s="44">
        <f>AD2244*Settings!$C$13*(AD2172+AD2190+AD2181*AD$201+AD2199*$D2280)</f>
        <v/>
      </c>
      <c r="AE2280" s="57">
        <f>REVENUE(AE2244,Settings!$C$13,NEWREVRATE(AE2172,AE2190,AE2181,AE$201,AE2199,$D2280))</f>
        <v/>
      </c>
      <c r="AG2280" s="11">
        <f>CodePrefix&amp;$A2280&amp;IF($C2280="","","."&amp;$C2280&amp;"."&amp;$B2280)&amp;INDEX(VarEnd,MATCH($A2280,VarKey,0))&amp;AG$5</f>
        <v/>
      </c>
      <c r="AH2280" s="43">
        <f>AH2244*Settings!$C$13*(AH2172+AH2190+AH2181*AH$201+AH2199*$D2280)</f>
        <v/>
      </c>
      <c r="AI2280" s="44">
        <f>AI2244*Settings!$C$13*(AI2172+AI2190+AI2181*AI$201+AI2199*$D2280)</f>
        <v/>
      </c>
      <c r="AJ2280" s="44">
        <f>AJ2244*Settings!$C$13*(AJ2172+AJ2190+AJ2181*AJ$201+AJ2199*$D2280)</f>
        <v/>
      </c>
      <c r="AK2280" s="44">
        <f>AK2244*Settings!$C$13*(AK2172+AK2190+AK2181*AK$201+AK2199*$D2280)</f>
        <v/>
      </c>
      <c r="AL2280" s="44">
        <f>AL2244*Settings!$C$13*(AL2172+AL2190+AL2181*AL$201+AL2199*$D2280)</f>
        <v/>
      </c>
      <c r="AM2280" s="44">
        <f>AM2244*Settings!$C$13*(AM2172+AM2190+AM2181*AM$201+AM2199*$D2280)</f>
        <v/>
      </c>
      <c r="AN2280" s="44">
        <f>AN2244*Settings!$C$13*(AN2172+AN2190+AN2181*AN$201+AN2199*$D2280)</f>
        <v/>
      </c>
      <c r="AO2280" s="44">
        <f>AO2244*Settings!$C$13*(AO2172+AO2190+AO2181*AO$201+AO2199*$D2280)</f>
        <v/>
      </c>
      <c r="AP2280" s="44">
        <f>AP2244*Settings!$C$13*(AP2172+AP2190+AP2181*AP$201+AP2199*$D2280)</f>
        <v/>
      </c>
      <c r="AQ2280" s="44">
        <f>AQ2244*Settings!$C$13*(AQ2172+AQ2190+AQ2181*AQ$201+AQ2199*$D2280)</f>
        <v/>
      </c>
      <c r="AR2280" s="44">
        <f>AR2244*Settings!$C$13*(AR2172+AR2190+AR2181*AR$201+AR2199*$D2280)</f>
        <v/>
      </c>
      <c r="AS2280" s="44">
        <f>AS2244*Settings!$C$13*(AS2172+AS2190+AS2181*AS$201+AS2199*$D2280)</f>
        <v/>
      </c>
      <c r="AT2280" s="44">
        <f>AT2244*Settings!$C$13*(AT2172+AT2190+AT2181*AT$201+AT2199*$D2280)</f>
        <v/>
      </c>
      <c r="AU2280" s="44">
        <f>AU2244*Settings!$C$13*(AU2172+AU2190+AU2181*AU$201+AU2199*$D2280)</f>
        <v/>
      </c>
      <c r="AV2280" s="44">
        <f>AV2244*Settings!$C$13*(AV2172+AV2190+AV2181*AV$201+AV2199*$D2280)</f>
        <v/>
      </c>
      <c r="AW2280" s="44">
        <f>AW2244*Settings!$C$13*(AW2172+AW2190+AW2181*AW$201+AW2199*$D2280)</f>
        <v/>
      </c>
      <c r="AX2280" s="44">
        <f>AX2244*Settings!$C$13*(AX2172+AX2190+AX2181*AX$201+AX2199*$D2280)</f>
        <v/>
      </c>
      <c r="AY2280" s="44">
        <f>AY2244*Settings!$C$13*(AY2172+AY2190+AY2181*AY$201+AY2199*$D2280)</f>
        <v/>
      </c>
      <c r="AZ2280" s="44">
        <f>AZ2244*Settings!$C$13*(AZ2172+AZ2190+AZ2181*AZ$201+AZ2199*$D2280)</f>
        <v/>
      </c>
      <c r="BA2280" s="57">
        <f>REVENUE(BA2244,Settings!$C$13,NEWREVRATE(BA2172,BA2190,BA2181,BA$201,BA2199,$D2280))</f>
        <v/>
      </c>
    </row>
    <row r="2281" hidden="1" outlineLevel="2"/>
    <row r="2282" hidden="1" outlineLevel="2">
      <c r="A2282" s="14" t="inlineStr">
        <is>
          <t>rxcp</t>
        </is>
      </c>
      <c r="B2282" s="14" t="inlineStr">
        <is>
          <t>coa</t>
        </is>
      </c>
      <c r="C2282" s="14" t="inlineStr">
        <is>
          <t>nfm</t>
        </is>
      </c>
      <c r="D2282" s="39" t="n"/>
      <c r="E2282" s="39" t="n"/>
      <c r="F2282" s="39" t="n"/>
      <c r="G2282" s="39" t="n"/>
      <c r="H2282" s="14">
        <f>INDEX(VarLab,MATCH($A2282,VarKey,0))&amp;INDEX(MemLab,MATCH($C2282&amp;"|"&amp;$B2282,MemKey,0))</f>
        <v/>
      </c>
      <c r="I2282" s="14">
        <f>INDEX(VarUnit,MATCH($A2282,VarKey,0))</f>
        <v/>
      </c>
      <c r="J2282" s="14">
        <f>INDEX(VarSrc,MATCH($A2282,VarKey,0))</f>
        <v/>
      </c>
      <c r="K2282" s="11">
        <f>CodePrefix&amp;$A2282&amp;IF($C2282="","","."&amp;$C2282&amp;"."&amp;$B2282)&amp;INDEX(VarEnd,MATCH($A2282,VarKey,0))&amp;K$5</f>
        <v/>
      </c>
      <c r="L2282" s="43">
        <f>L2237*Settings!$C$13*(L2201)</f>
        <v/>
      </c>
      <c r="M2282" s="44">
        <f>M2237*Settings!$C$13*(M2201)</f>
        <v/>
      </c>
      <c r="N2282" s="44">
        <f>N2237*Settings!$C$13*(N2201)</f>
        <v/>
      </c>
      <c r="O2282" s="44">
        <f>O2237*Settings!$C$13*(O2201)</f>
        <v/>
      </c>
      <c r="P2282" s="44">
        <f>P2237*Settings!$C$13*(P2201)</f>
        <v/>
      </c>
      <c r="Q2282" s="44">
        <f>Q2237*Settings!$C$13*(Q2201)</f>
        <v/>
      </c>
      <c r="R2282" s="44">
        <f>R2237*Settings!$C$13*(R2201)</f>
        <v/>
      </c>
      <c r="S2282" s="44">
        <f>S2237*Settings!$C$13*(S2201)</f>
        <v/>
      </c>
      <c r="T2282" s="44">
        <f>T2237*Settings!$C$13*(T2201)</f>
        <v/>
      </c>
      <c r="U2282" s="44">
        <f>U2237*Settings!$C$13*(U2201)</f>
        <v/>
      </c>
      <c r="V2282" s="44">
        <f>V2237*Settings!$C$13*(V2201)</f>
        <v/>
      </c>
      <c r="W2282" s="44">
        <f>W2237*Settings!$C$13*(W2201)</f>
        <v/>
      </c>
      <c r="X2282" s="44">
        <f>X2237*Settings!$C$13*(X2201)</f>
        <v/>
      </c>
      <c r="Y2282" s="44">
        <f>Y2237*Settings!$C$13*(Y2201)</f>
        <v/>
      </c>
      <c r="Z2282" s="44">
        <f>Z2237*Settings!$C$13*(Z2201)</f>
        <v/>
      </c>
      <c r="AA2282" s="44">
        <f>AA2237*Settings!$C$13*(AA2201)</f>
        <v/>
      </c>
      <c r="AB2282" s="44">
        <f>AB2237*Settings!$C$13*(AB2201)</f>
        <v/>
      </c>
      <c r="AC2282" s="44">
        <f>AC2237*Settings!$C$13*(AC2201)</f>
        <v/>
      </c>
      <c r="AD2282" s="44">
        <f>AD2237*Settings!$C$13*(AD2201)</f>
        <v/>
      </c>
      <c r="AE2282" s="57">
        <f>REVENUE(AE2237,Settings!$C$13,AE2201)</f>
        <v/>
      </c>
      <c r="AG2282" s="11">
        <f>CodePrefix&amp;$A2282&amp;IF($C2282="","","."&amp;$C2282&amp;"."&amp;$B2282)&amp;INDEX(VarEnd,MATCH($A2282,VarKey,0))&amp;AG$5</f>
        <v/>
      </c>
      <c r="AH2282" s="43">
        <f>AH2237*Settings!$C$13*(AH2201)</f>
        <v/>
      </c>
      <c r="AI2282" s="44">
        <f>AI2237*Settings!$C$13*(AI2201)</f>
        <v/>
      </c>
      <c r="AJ2282" s="44">
        <f>AJ2237*Settings!$C$13*(AJ2201)</f>
        <v/>
      </c>
      <c r="AK2282" s="44">
        <f>AK2237*Settings!$C$13*(AK2201)</f>
        <v/>
      </c>
      <c r="AL2282" s="44">
        <f>AL2237*Settings!$C$13*(AL2201)</f>
        <v/>
      </c>
      <c r="AM2282" s="44">
        <f>AM2237*Settings!$C$13*(AM2201)</f>
        <v/>
      </c>
      <c r="AN2282" s="44">
        <f>AN2237*Settings!$C$13*(AN2201)</f>
        <v/>
      </c>
      <c r="AO2282" s="44">
        <f>AO2237*Settings!$C$13*(AO2201)</f>
        <v/>
      </c>
      <c r="AP2282" s="44">
        <f>AP2237*Settings!$C$13*(AP2201)</f>
        <v/>
      </c>
      <c r="AQ2282" s="44">
        <f>AQ2237*Settings!$C$13*(AQ2201)</f>
        <v/>
      </c>
      <c r="AR2282" s="44">
        <f>AR2237*Settings!$C$13*(AR2201)</f>
        <v/>
      </c>
      <c r="AS2282" s="44">
        <f>AS2237*Settings!$C$13*(AS2201)</f>
        <v/>
      </c>
      <c r="AT2282" s="44">
        <f>AT2237*Settings!$C$13*(AT2201)</f>
        <v/>
      </c>
      <c r="AU2282" s="44">
        <f>AU2237*Settings!$C$13*(AU2201)</f>
        <v/>
      </c>
      <c r="AV2282" s="44">
        <f>AV2237*Settings!$C$13*(AV2201)</f>
        <v/>
      </c>
      <c r="AW2282" s="44">
        <f>AW2237*Settings!$C$13*(AW2201)</f>
        <v/>
      </c>
      <c r="AX2282" s="44">
        <f>AX2237*Settings!$C$13*(AX2201)</f>
        <v/>
      </c>
      <c r="AY2282" s="44">
        <f>AY2237*Settings!$C$13*(AY2201)</f>
        <v/>
      </c>
      <c r="AZ2282" s="44">
        <f>AZ2237*Settings!$C$13*(AZ2201)</f>
        <v/>
      </c>
      <c r="BA2282" s="57">
        <f>REVENUE(BA2237,Settings!$C$13,BA2201)</f>
        <v/>
      </c>
    </row>
    <row r="2283" hidden="1" outlineLevel="2">
      <c r="A2283" s="14" t="inlineStr">
        <is>
          <t>rxcp</t>
        </is>
      </c>
      <c r="B2283" s="14" t="inlineStr">
        <is>
          <t>nga</t>
        </is>
      </c>
      <c r="C2283" s="14" t="inlineStr">
        <is>
          <t>nfm</t>
        </is>
      </c>
      <c r="D2283" s="39" t="n"/>
      <c r="E2283" s="39" t="n"/>
      <c r="F2283" s="39" t="n"/>
      <c r="G2283" s="39" t="n"/>
      <c r="H2283" s="14">
        <f>INDEX(VarLab,MATCH($A2283,VarKey,0))&amp;INDEX(MemLab,MATCH($C2283&amp;"|"&amp;$B2283,MemKey,0))</f>
        <v/>
      </c>
      <c r="I2283" s="14">
        <f>INDEX(VarUnit,MATCH($A2283,VarKey,0))</f>
        <v/>
      </c>
      <c r="J2283" s="14">
        <f>INDEX(VarSrc,MATCH($A2283,VarKey,0))</f>
        <v/>
      </c>
      <c r="K2283" s="11">
        <f>CodePrefix&amp;$A2283&amp;IF($C2283="","","."&amp;$C2283&amp;"."&amp;$B2283)&amp;INDEX(VarEnd,MATCH($A2283,VarKey,0))&amp;K$5</f>
        <v/>
      </c>
      <c r="L2283" s="43">
        <f>L2238*Settings!$C$13*(L2202)</f>
        <v/>
      </c>
      <c r="M2283" s="44">
        <f>M2238*Settings!$C$13*(M2202)</f>
        <v/>
      </c>
      <c r="N2283" s="44">
        <f>N2238*Settings!$C$13*(N2202)</f>
        <v/>
      </c>
      <c r="O2283" s="44">
        <f>O2238*Settings!$C$13*(O2202)</f>
        <v/>
      </c>
      <c r="P2283" s="44">
        <f>P2238*Settings!$C$13*(P2202)</f>
        <v/>
      </c>
      <c r="Q2283" s="44">
        <f>Q2238*Settings!$C$13*(Q2202)</f>
        <v/>
      </c>
      <c r="R2283" s="44">
        <f>R2238*Settings!$C$13*(R2202)</f>
        <v/>
      </c>
      <c r="S2283" s="44">
        <f>S2238*Settings!$C$13*(S2202)</f>
        <v/>
      </c>
      <c r="T2283" s="44">
        <f>T2238*Settings!$C$13*(T2202)</f>
        <v/>
      </c>
      <c r="U2283" s="44">
        <f>U2238*Settings!$C$13*(U2202)</f>
        <v/>
      </c>
      <c r="V2283" s="44">
        <f>V2238*Settings!$C$13*(V2202)</f>
        <v/>
      </c>
      <c r="W2283" s="44">
        <f>W2238*Settings!$C$13*(W2202)</f>
        <v/>
      </c>
      <c r="X2283" s="44">
        <f>X2238*Settings!$C$13*(X2202)</f>
        <v/>
      </c>
      <c r="Y2283" s="44">
        <f>Y2238*Settings!$C$13*(Y2202)</f>
        <v/>
      </c>
      <c r="Z2283" s="44">
        <f>Z2238*Settings!$C$13*(Z2202)</f>
        <v/>
      </c>
      <c r="AA2283" s="44">
        <f>AA2238*Settings!$C$13*(AA2202)</f>
        <v/>
      </c>
      <c r="AB2283" s="44">
        <f>AB2238*Settings!$C$13*(AB2202)</f>
        <v/>
      </c>
      <c r="AC2283" s="44">
        <f>AC2238*Settings!$C$13*(AC2202)</f>
        <v/>
      </c>
      <c r="AD2283" s="44">
        <f>AD2238*Settings!$C$13*(AD2202)</f>
        <v/>
      </c>
      <c r="AE2283" s="57">
        <f>REVENUE(AE2238,Settings!$C$13,AE2202)</f>
        <v/>
      </c>
      <c r="AG2283" s="11">
        <f>CodePrefix&amp;$A2283&amp;IF($C2283="","","."&amp;$C2283&amp;"."&amp;$B2283)&amp;INDEX(VarEnd,MATCH($A2283,VarKey,0))&amp;AG$5</f>
        <v/>
      </c>
      <c r="AH2283" s="43">
        <f>AH2238*Settings!$C$13*(AH2202)</f>
        <v/>
      </c>
      <c r="AI2283" s="44">
        <f>AI2238*Settings!$C$13*(AI2202)</f>
        <v/>
      </c>
      <c r="AJ2283" s="44">
        <f>AJ2238*Settings!$C$13*(AJ2202)</f>
        <v/>
      </c>
      <c r="AK2283" s="44">
        <f>AK2238*Settings!$C$13*(AK2202)</f>
        <v/>
      </c>
      <c r="AL2283" s="44">
        <f>AL2238*Settings!$C$13*(AL2202)</f>
        <v/>
      </c>
      <c r="AM2283" s="44">
        <f>AM2238*Settings!$C$13*(AM2202)</f>
        <v/>
      </c>
      <c r="AN2283" s="44">
        <f>AN2238*Settings!$C$13*(AN2202)</f>
        <v/>
      </c>
      <c r="AO2283" s="44">
        <f>AO2238*Settings!$C$13*(AO2202)</f>
        <v/>
      </c>
      <c r="AP2283" s="44">
        <f>AP2238*Settings!$C$13*(AP2202)</f>
        <v/>
      </c>
      <c r="AQ2283" s="44">
        <f>AQ2238*Settings!$C$13*(AQ2202)</f>
        <v/>
      </c>
      <c r="AR2283" s="44">
        <f>AR2238*Settings!$C$13*(AR2202)</f>
        <v/>
      </c>
      <c r="AS2283" s="44">
        <f>AS2238*Settings!$C$13*(AS2202)</f>
        <v/>
      </c>
      <c r="AT2283" s="44">
        <f>AT2238*Settings!$C$13*(AT2202)</f>
        <v/>
      </c>
      <c r="AU2283" s="44">
        <f>AU2238*Settings!$C$13*(AU2202)</f>
        <v/>
      </c>
      <c r="AV2283" s="44">
        <f>AV2238*Settings!$C$13*(AV2202)</f>
        <v/>
      </c>
      <c r="AW2283" s="44">
        <f>AW2238*Settings!$C$13*(AW2202)</f>
        <v/>
      </c>
      <c r="AX2283" s="44">
        <f>AX2238*Settings!$C$13*(AX2202)</f>
        <v/>
      </c>
      <c r="AY2283" s="44">
        <f>AY2238*Settings!$C$13*(AY2202)</f>
        <v/>
      </c>
      <c r="AZ2283" s="44">
        <f>AZ2238*Settings!$C$13*(AZ2202)</f>
        <v/>
      </c>
      <c r="BA2283" s="57">
        <f>REVENUE(BA2238,Settings!$C$13,BA2202)</f>
        <v/>
      </c>
    </row>
    <row r="2284" hidden="1" outlineLevel="2">
      <c r="A2284" s="14" t="inlineStr">
        <is>
          <t>rxcp</t>
        </is>
      </c>
      <c r="B2284" s="14" t="inlineStr">
        <is>
          <t>gso</t>
        </is>
      </c>
      <c r="C2284" s="14" t="inlineStr">
        <is>
          <t>nfm</t>
        </is>
      </c>
      <c r="D2284" s="39" t="n"/>
      <c r="E2284" s="39" t="n"/>
      <c r="F2284" s="39" t="n"/>
      <c r="G2284" s="39" t="n"/>
      <c r="H2284" s="14">
        <f>INDEX(VarLab,MATCH($A2284,VarKey,0))&amp;INDEX(MemLab,MATCH($C2284&amp;"|"&amp;$B2284,MemKey,0))</f>
        <v/>
      </c>
      <c r="I2284" s="14">
        <f>INDEX(VarUnit,MATCH($A2284,VarKey,0))</f>
        <v/>
      </c>
      <c r="J2284" s="14">
        <f>INDEX(VarSrc,MATCH($A2284,VarKey,0))</f>
        <v/>
      </c>
      <c r="K2284" s="11">
        <f>CodePrefix&amp;$A2284&amp;IF($C2284="","","."&amp;$C2284&amp;"."&amp;$B2284)&amp;INDEX(VarEnd,MATCH($A2284,VarKey,0))&amp;K$5</f>
        <v/>
      </c>
      <c r="L2284" s="43">
        <f>L2239*Settings!$C$13*(L2203)</f>
        <v/>
      </c>
      <c r="M2284" s="44">
        <f>M2239*Settings!$C$13*(M2203)</f>
        <v/>
      </c>
      <c r="N2284" s="44">
        <f>N2239*Settings!$C$13*(N2203)</f>
        <v/>
      </c>
      <c r="O2284" s="44">
        <f>O2239*Settings!$C$13*(O2203)</f>
        <v/>
      </c>
      <c r="P2284" s="44">
        <f>P2239*Settings!$C$13*(P2203)</f>
        <v/>
      </c>
      <c r="Q2284" s="44">
        <f>Q2239*Settings!$C$13*(Q2203)</f>
        <v/>
      </c>
      <c r="R2284" s="44">
        <f>R2239*Settings!$C$13*(R2203)</f>
        <v/>
      </c>
      <c r="S2284" s="44">
        <f>S2239*Settings!$C$13*(S2203)</f>
        <v/>
      </c>
      <c r="T2284" s="44">
        <f>T2239*Settings!$C$13*(T2203)</f>
        <v/>
      </c>
      <c r="U2284" s="44">
        <f>U2239*Settings!$C$13*(U2203)</f>
        <v/>
      </c>
      <c r="V2284" s="44">
        <f>V2239*Settings!$C$13*(V2203)</f>
        <v/>
      </c>
      <c r="W2284" s="44">
        <f>W2239*Settings!$C$13*(W2203)</f>
        <v/>
      </c>
      <c r="X2284" s="44">
        <f>X2239*Settings!$C$13*(X2203)</f>
        <v/>
      </c>
      <c r="Y2284" s="44">
        <f>Y2239*Settings!$C$13*(Y2203)</f>
        <v/>
      </c>
      <c r="Z2284" s="44">
        <f>Z2239*Settings!$C$13*(Z2203)</f>
        <v/>
      </c>
      <c r="AA2284" s="44">
        <f>AA2239*Settings!$C$13*(AA2203)</f>
        <v/>
      </c>
      <c r="AB2284" s="44">
        <f>AB2239*Settings!$C$13*(AB2203)</f>
        <v/>
      </c>
      <c r="AC2284" s="44">
        <f>AC2239*Settings!$C$13*(AC2203)</f>
        <v/>
      </c>
      <c r="AD2284" s="44">
        <f>AD2239*Settings!$C$13*(AD2203)</f>
        <v/>
      </c>
      <c r="AE2284" s="57">
        <f>REVENUE(AE2239,Settings!$C$13,AE2203)</f>
        <v/>
      </c>
      <c r="AG2284" s="11">
        <f>CodePrefix&amp;$A2284&amp;IF($C2284="","","."&amp;$C2284&amp;"."&amp;$B2284)&amp;INDEX(VarEnd,MATCH($A2284,VarKey,0))&amp;AG$5</f>
        <v/>
      </c>
      <c r="AH2284" s="43">
        <f>AH2239*Settings!$C$13*(AH2203)</f>
        <v/>
      </c>
      <c r="AI2284" s="44">
        <f>AI2239*Settings!$C$13*(AI2203)</f>
        <v/>
      </c>
      <c r="AJ2284" s="44">
        <f>AJ2239*Settings!$C$13*(AJ2203)</f>
        <v/>
      </c>
      <c r="AK2284" s="44">
        <f>AK2239*Settings!$C$13*(AK2203)</f>
        <v/>
      </c>
      <c r="AL2284" s="44">
        <f>AL2239*Settings!$C$13*(AL2203)</f>
        <v/>
      </c>
      <c r="AM2284" s="44">
        <f>AM2239*Settings!$C$13*(AM2203)</f>
        <v/>
      </c>
      <c r="AN2284" s="44">
        <f>AN2239*Settings!$C$13*(AN2203)</f>
        <v/>
      </c>
      <c r="AO2284" s="44">
        <f>AO2239*Settings!$C$13*(AO2203)</f>
        <v/>
      </c>
      <c r="AP2284" s="44">
        <f>AP2239*Settings!$C$13*(AP2203)</f>
        <v/>
      </c>
      <c r="AQ2284" s="44">
        <f>AQ2239*Settings!$C$13*(AQ2203)</f>
        <v/>
      </c>
      <c r="AR2284" s="44">
        <f>AR2239*Settings!$C$13*(AR2203)</f>
        <v/>
      </c>
      <c r="AS2284" s="44">
        <f>AS2239*Settings!$C$13*(AS2203)</f>
        <v/>
      </c>
      <c r="AT2284" s="44">
        <f>AT2239*Settings!$C$13*(AT2203)</f>
        <v/>
      </c>
      <c r="AU2284" s="44">
        <f>AU2239*Settings!$C$13*(AU2203)</f>
        <v/>
      </c>
      <c r="AV2284" s="44">
        <f>AV2239*Settings!$C$13*(AV2203)</f>
        <v/>
      </c>
      <c r="AW2284" s="44">
        <f>AW2239*Settings!$C$13*(AW2203)</f>
        <v/>
      </c>
      <c r="AX2284" s="44">
        <f>AX2239*Settings!$C$13*(AX2203)</f>
        <v/>
      </c>
      <c r="AY2284" s="44">
        <f>AY2239*Settings!$C$13*(AY2203)</f>
        <v/>
      </c>
      <c r="AZ2284" s="44">
        <f>AZ2239*Settings!$C$13*(AZ2203)</f>
        <v/>
      </c>
      <c r="BA2284" s="57">
        <f>REVENUE(BA2239,Settings!$C$13,BA2203)</f>
        <v/>
      </c>
    </row>
    <row r="2285" hidden="1" outlineLevel="2">
      <c r="A2285" s="14" t="inlineStr">
        <is>
          <t>rxcp</t>
        </is>
      </c>
      <c r="B2285" s="14" t="inlineStr">
        <is>
          <t>die</t>
        </is>
      </c>
      <c r="C2285" s="14" t="inlineStr">
        <is>
          <t>nfm</t>
        </is>
      </c>
      <c r="D2285" s="39" t="n"/>
      <c r="E2285" s="39" t="n"/>
      <c r="F2285" s="39" t="n"/>
      <c r="G2285" s="39" t="n"/>
      <c r="H2285" s="14">
        <f>INDEX(VarLab,MATCH($A2285,VarKey,0))&amp;INDEX(MemLab,MATCH($C2285&amp;"|"&amp;$B2285,MemKey,0))</f>
        <v/>
      </c>
      <c r="I2285" s="14">
        <f>INDEX(VarUnit,MATCH($A2285,VarKey,0))</f>
        <v/>
      </c>
      <c r="J2285" s="14">
        <f>INDEX(VarSrc,MATCH($A2285,VarKey,0))</f>
        <v/>
      </c>
      <c r="K2285" s="11">
        <f>CodePrefix&amp;$A2285&amp;IF($C2285="","","."&amp;$C2285&amp;"."&amp;$B2285)&amp;INDEX(VarEnd,MATCH($A2285,VarKey,0))&amp;K$5</f>
        <v/>
      </c>
      <c r="L2285" s="43">
        <f>L2240*Settings!$C$13*(L2204)</f>
        <v/>
      </c>
      <c r="M2285" s="44">
        <f>M2240*Settings!$C$13*(M2204)</f>
        <v/>
      </c>
      <c r="N2285" s="44">
        <f>N2240*Settings!$C$13*(N2204)</f>
        <v/>
      </c>
      <c r="O2285" s="44">
        <f>O2240*Settings!$C$13*(O2204)</f>
        <v/>
      </c>
      <c r="P2285" s="44">
        <f>P2240*Settings!$C$13*(P2204)</f>
        <v/>
      </c>
      <c r="Q2285" s="44">
        <f>Q2240*Settings!$C$13*(Q2204)</f>
        <v/>
      </c>
      <c r="R2285" s="44">
        <f>R2240*Settings!$C$13*(R2204)</f>
        <v/>
      </c>
      <c r="S2285" s="44">
        <f>S2240*Settings!$C$13*(S2204)</f>
        <v/>
      </c>
      <c r="T2285" s="44">
        <f>T2240*Settings!$C$13*(T2204)</f>
        <v/>
      </c>
      <c r="U2285" s="44">
        <f>U2240*Settings!$C$13*(U2204)</f>
        <v/>
      </c>
      <c r="V2285" s="44">
        <f>V2240*Settings!$C$13*(V2204)</f>
        <v/>
      </c>
      <c r="W2285" s="44">
        <f>W2240*Settings!$C$13*(W2204)</f>
        <v/>
      </c>
      <c r="X2285" s="44">
        <f>X2240*Settings!$C$13*(X2204)</f>
        <v/>
      </c>
      <c r="Y2285" s="44">
        <f>Y2240*Settings!$C$13*(Y2204)</f>
        <v/>
      </c>
      <c r="Z2285" s="44">
        <f>Z2240*Settings!$C$13*(Z2204)</f>
        <v/>
      </c>
      <c r="AA2285" s="44">
        <f>AA2240*Settings!$C$13*(AA2204)</f>
        <v/>
      </c>
      <c r="AB2285" s="44">
        <f>AB2240*Settings!$C$13*(AB2204)</f>
        <v/>
      </c>
      <c r="AC2285" s="44">
        <f>AC2240*Settings!$C$13*(AC2204)</f>
        <v/>
      </c>
      <c r="AD2285" s="44">
        <f>AD2240*Settings!$C$13*(AD2204)</f>
        <v/>
      </c>
      <c r="AE2285" s="57">
        <f>REVENUE(AE2240,Settings!$C$13,AE2204)</f>
        <v/>
      </c>
      <c r="AG2285" s="11">
        <f>CodePrefix&amp;$A2285&amp;IF($C2285="","","."&amp;$C2285&amp;"."&amp;$B2285)&amp;INDEX(VarEnd,MATCH($A2285,VarKey,0))&amp;AG$5</f>
        <v/>
      </c>
      <c r="AH2285" s="43">
        <f>AH2240*Settings!$C$13*(AH2204)</f>
        <v/>
      </c>
      <c r="AI2285" s="44">
        <f>AI2240*Settings!$C$13*(AI2204)</f>
        <v/>
      </c>
      <c r="AJ2285" s="44">
        <f>AJ2240*Settings!$C$13*(AJ2204)</f>
        <v/>
      </c>
      <c r="AK2285" s="44">
        <f>AK2240*Settings!$C$13*(AK2204)</f>
        <v/>
      </c>
      <c r="AL2285" s="44">
        <f>AL2240*Settings!$C$13*(AL2204)</f>
        <v/>
      </c>
      <c r="AM2285" s="44">
        <f>AM2240*Settings!$C$13*(AM2204)</f>
        <v/>
      </c>
      <c r="AN2285" s="44">
        <f>AN2240*Settings!$C$13*(AN2204)</f>
        <v/>
      </c>
      <c r="AO2285" s="44">
        <f>AO2240*Settings!$C$13*(AO2204)</f>
        <v/>
      </c>
      <c r="AP2285" s="44">
        <f>AP2240*Settings!$C$13*(AP2204)</f>
        <v/>
      </c>
      <c r="AQ2285" s="44">
        <f>AQ2240*Settings!$C$13*(AQ2204)</f>
        <v/>
      </c>
      <c r="AR2285" s="44">
        <f>AR2240*Settings!$C$13*(AR2204)</f>
        <v/>
      </c>
      <c r="AS2285" s="44">
        <f>AS2240*Settings!$C$13*(AS2204)</f>
        <v/>
      </c>
      <c r="AT2285" s="44">
        <f>AT2240*Settings!$C$13*(AT2204)</f>
        <v/>
      </c>
      <c r="AU2285" s="44">
        <f>AU2240*Settings!$C$13*(AU2204)</f>
        <v/>
      </c>
      <c r="AV2285" s="44">
        <f>AV2240*Settings!$C$13*(AV2204)</f>
        <v/>
      </c>
      <c r="AW2285" s="44">
        <f>AW2240*Settings!$C$13*(AW2204)</f>
        <v/>
      </c>
      <c r="AX2285" s="44">
        <f>AX2240*Settings!$C$13*(AX2204)</f>
        <v/>
      </c>
      <c r="AY2285" s="44">
        <f>AY2240*Settings!$C$13*(AY2204)</f>
        <v/>
      </c>
      <c r="AZ2285" s="44">
        <f>AZ2240*Settings!$C$13*(AZ2204)</f>
        <v/>
      </c>
      <c r="BA2285" s="57">
        <f>REVENUE(BA2240,Settings!$C$13,BA2204)</f>
        <v/>
      </c>
    </row>
    <row r="2286" hidden="1" outlineLevel="2">
      <c r="A2286" s="14" t="inlineStr">
        <is>
          <t>rxcp</t>
        </is>
      </c>
      <c r="B2286" s="14" t="inlineStr">
        <is>
          <t>lpg</t>
        </is>
      </c>
      <c r="C2286" s="14" t="inlineStr">
        <is>
          <t>nfm</t>
        </is>
      </c>
      <c r="D2286" s="39" t="n"/>
      <c r="E2286" s="39" t="n"/>
      <c r="F2286" s="39" t="n"/>
      <c r="G2286" s="39" t="n"/>
      <c r="H2286" s="14">
        <f>INDEX(VarLab,MATCH($A2286,VarKey,0))&amp;INDEX(MemLab,MATCH($C2286&amp;"|"&amp;$B2286,MemKey,0))</f>
        <v/>
      </c>
      <c r="I2286" s="14">
        <f>INDEX(VarUnit,MATCH($A2286,VarKey,0))</f>
        <v/>
      </c>
      <c r="J2286" s="14">
        <f>INDEX(VarSrc,MATCH($A2286,VarKey,0))</f>
        <v/>
      </c>
      <c r="K2286" s="11">
        <f>CodePrefix&amp;$A2286&amp;IF($C2286="","","."&amp;$C2286&amp;"."&amp;$B2286)&amp;INDEX(VarEnd,MATCH($A2286,VarKey,0))&amp;K$5</f>
        <v/>
      </c>
      <c r="L2286" s="43">
        <f>L2241*Settings!$C$13*(L2205)</f>
        <v/>
      </c>
      <c r="M2286" s="44">
        <f>M2241*Settings!$C$13*(M2205)</f>
        <v/>
      </c>
      <c r="N2286" s="44">
        <f>N2241*Settings!$C$13*(N2205)</f>
        <v/>
      </c>
      <c r="O2286" s="44">
        <f>O2241*Settings!$C$13*(O2205)</f>
        <v/>
      </c>
      <c r="P2286" s="44">
        <f>P2241*Settings!$C$13*(P2205)</f>
        <v/>
      </c>
      <c r="Q2286" s="44">
        <f>Q2241*Settings!$C$13*(Q2205)</f>
        <v/>
      </c>
      <c r="R2286" s="44">
        <f>R2241*Settings!$C$13*(R2205)</f>
        <v/>
      </c>
      <c r="S2286" s="44">
        <f>S2241*Settings!$C$13*(S2205)</f>
        <v/>
      </c>
      <c r="T2286" s="44">
        <f>T2241*Settings!$C$13*(T2205)</f>
        <v/>
      </c>
      <c r="U2286" s="44">
        <f>U2241*Settings!$C$13*(U2205)</f>
        <v/>
      </c>
      <c r="V2286" s="44">
        <f>V2241*Settings!$C$13*(V2205)</f>
        <v/>
      </c>
      <c r="W2286" s="44">
        <f>W2241*Settings!$C$13*(W2205)</f>
        <v/>
      </c>
      <c r="X2286" s="44">
        <f>X2241*Settings!$C$13*(X2205)</f>
        <v/>
      </c>
      <c r="Y2286" s="44">
        <f>Y2241*Settings!$C$13*(Y2205)</f>
        <v/>
      </c>
      <c r="Z2286" s="44">
        <f>Z2241*Settings!$C$13*(Z2205)</f>
        <v/>
      </c>
      <c r="AA2286" s="44">
        <f>AA2241*Settings!$C$13*(AA2205)</f>
        <v/>
      </c>
      <c r="AB2286" s="44">
        <f>AB2241*Settings!$C$13*(AB2205)</f>
        <v/>
      </c>
      <c r="AC2286" s="44">
        <f>AC2241*Settings!$C$13*(AC2205)</f>
        <v/>
      </c>
      <c r="AD2286" s="44">
        <f>AD2241*Settings!$C$13*(AD2205)</f>
        <v/>
      </c>
      <c r="AE2286" s="57">
        <f>REVENUE(AE2241,Settings!$C$13,AE2205)</f>
        <v/>
      </c>
      <c r="AG2286" s="11">
        <f>CodePrefix&amp;$A2286&amp;IF($C2286="","","."&amp;$C2286&amp;"."&amp;$B2286)&amp;INDEX(VarEnd,MATCH($A2286,VarKey,0))&amp;AG$5</f>
        <v/>
      </c>
      <c r="AH2286" s="43">
        <f>AH2241*Settings!$C$13*(AH2205)</f>
        <v/>
      </c>
      <c r="AI2286" s="44">
        <f>AI2241*Settings!$C$13*(AI2205)</f>
        <v/>
      </c>
      <c r="AJ2286" s="44">
        <f>AJ2241*Settings!$C$13*(AJ2205)</f>
        <v/>
      </c>
      <c r="AK2286" s="44">
        <f>AK2241*Settings!$C$13*(AK2205)</f>
        <v/>
      </c>
      <c r="AL2286" s="44">
        <f>AL2241*Settings!$C$13*(AL2205)</f>
        <v/>
      </c>
      <c r="AM2286" s="44">
        <f>AM2241*Settings!$C$13*(AM2205)</f>
        <v/>
      </c>
      <c r="AN2286" s="44">
        <f>AN2241*Settings!$C$13*(AN2205)</f>
        <v/>
      </c>
      <c r="AO2286" s="44">
        <f>AO2241*Settings!$C$13*(AO2205)</f>
        <v/>
      </c>
      <c r="AP2286" s="44">
        <f>AP2241*Settings!$C$13*(AP2205)</f>
        <v/>
      </c>
      <c r="AQ2286" s="44">
        <f>AQ2241*Settings!$C$13*(AQ2205)</f>
        <v/>
      </c>
      <c r="AR2286" s="44">
        <f>AR2241*Settings!$C$13*(AR2205)</f>
        <v/>
      </c>
      <c r="AS2286" s="44">
        <f>AS2241*Settings!$C$13*(AS2205)</f>
        <v/>
      </c>
      <c r="AT2286" s="44">
        <f>AT2241*Settings!$C$13*(AT2205)</f>
        <v/>
      </c>
      <c r="AU2286" s="44">
        <f>AU2241*Settings!$C$13*(AU2205)</f>
        <v/>
      </c>
      <c r="AV2286" s="44">
        <f>AV2241*Settings!$C$13*(AV2205)</f>
        <v/>
      </c>
      <c r="AW2286" s="44">
        <f>AW2241*Settings!$C$13*(AW2205)</f>
        <v/>
      </c>
      <c r="AX2286" s="44">
        <f>AX2241*Settings!$C$13*(AX2205)</f>
        <v/>
      </c>
      <c r="AY2286" s="44">
        <f>AY2241*Settings!$C$13*(AY2205)</f>
        <v/>
      </c>
      <c r="AZ2286" s="44">
        <f>AZ2241*Settings!$C$13*(AZ2205)</f>
        <v/>
      </c>
      <c r="BA2286" s="57">
        <f>REVENUE(BA2241,Settings!$C$13,BA2205)</f>
        <v/>
      </c>
    </row>
    <row r="2287" hidden="1" outlineLevel="2">
      <c r="A2287" s="14" t="inlineStr">
        <is>
          <t>rxcp</t>
        </is>
      </c>
      <c r="B2287" s="14" t="inlineStr">
        <is>
          <t>ker</t>
        </is>
      </c>
      <c r="C2287" s="14" t="inlineStr">
        <is>
          <t>nfm</t>
        </is>
      </c>
      <c r="D2287" s="39" t="n"/>
      <c r="E2287" s="39" t="n"/>
      <c r="F2287" s="39" t="n"/>
      <c r="G2287" s="39" t="n"/>
      <c r="H2287" s="14">
        <f>INDEX(VarLab,MATCH($A2287,VarKey,0))&amp;INDEX(MemLab,MATCH($C2287&amp;"|"&amp;$B2287,MemKey,0))</f>
        <v/>
      </c>
      <c r="I2287" s="14">
        <f>INDEX(VarUnit,MATCH($A2287,VarKey,0))</f>
        <v/>
      </c>
      <c r="J2287" s="14">
        <f>INDEX(VarSrc,MATCH($A2287,VarKey,0))</f>
        <v/>
      </c>
      <c r="K2287" s="11">
        <f>CodePrefix&amp;$A2287&amp;IF($C2287="","","."&amp;$C2287&amp;"."&amp;$B2287)&amp;INDEX(VarEnd,MATCH($A2287,VarKey,0))&amp;K$5</f>
        <v/>
      </c>
      <c r="L2287" s="43">
        <f>L2242*Settings!$C$13*(L2206)</f>
        <v/>
      </c>
      <c r="M2287" s="44">
        <f>M2242*Settings!$C$13*(M2206)</f>
        <v/>
      </c>
      <c r="N2287" s="44">
        <f>N2242*Settings!$C$13*(N2206)</f>
        <v/>
      </c>
      <c r="O2287" s="44">
        <f>O2242*Settings!$C$13*(O2206)</f>
        <v/>
      </c>
      <c r="P2287" s="44">
        <f>P2242*Settings!$C$13*(P2206)</f>
        <v/>
      </c>
      <c r="Q2287" s="44">
        <f>Q2242*Settings!$C$13*(Q2206)</f>
        <v/>
      </c>
      <c r="R2287" s="44">
        <f>R2242*Settings!$C$13*(R2206)</f>
        <v/>
      </c>
      <c r="S2287" s="44">
        <f>S2242*Settings!$C$13*(S2206)</f>
        <v/>
      </c>
      <c r="T2287" s="44">
        <f>T2242*Settings!$C$13*(T2206)</f>
        <v/>
      </c>
      <c r="U2287" s="44">
        <f>U2242*Settings!$C$13*(U2206)</f>
        <v/>
      </c>
      <c r="V2287" s="44">
        <f>V2242*Settings!$C$13*(V2206)</f>
        <v/>
      </c>
      <c r="W2287" s="44">
        <f>W2242*Settings!$C$13*(W2206)</f>
        <v/>
      </c>
      <c r="X2287" s="44">
        <f>X2242*Settings!$C$13*(X2206)</f>
        <v/>
      </c>
      <c r="Y2287" s="44">
        <f>Y2242*Settings!$C$13*(Y2206)</f>
        <v/>
      </c>
      <c r="Z2287" s="44">
        <f>Z2242*Settings!$C$13*(Z2206)</f>
        <v/>
      </c>
      <c r="AA2287" s="44">
        <f>AA2242*Settings!$C$13*(AA2206)</f>
        <v/>
      </c>
      <c r="AB2287" s="44">
        <f>AB2242*Settings!$C$13*(AB2206)</f>
        <v/>
      </c>
      <c r="AC2287" s="44">
        <f>AC2242*Settings!$C$13*(AC2206)</f>
        <v/>
      </c>
      <c r="AD2287" s="44">
        <f>AD2242*Settings!$C$13*(AD2206)</f>
        <v/>
      </c>
      <c r="AE2287" s="57">
        <f>REVENUE(AE2242,Settings!$C$13,AE2206)</f>
        <v/>
      </c>
      <c r="AG2287" s="11">
        <f>CodePrefix&amp;$A2287&amp;IF($C2287="","","."&amp;$C2287&amp;"."&amp;$B2287)&amp;INDEX(VarEnd,MATCH($A2287,VarKey,0))&amp;AG$5</f>
        <v/>
      </c>
      <c r="AH2287" s="43">
        <f>AH2242*Settings!$C$13*(AH2206)</f>
        <v/>
      </c>
      <c r="AI2287" s="44">
        <f>AI2242*Settings!$C$13*(AI2206)</f>
        <v/>
      </c>
      <c r="AJ2287" s="44">
        <f>AJ2242*Settings!$C$13*(AJ2206)</f>
        <v/>
      </c>
      <c r="AK2287" s="44">
        <f>AK2242*Settings!$C$13*(AK2206)</f>
        <v/>
      </c>
      <c r="AL2287" s="44">
        <f>AL2242*Settings!$C$13*(AL2206)</f>
        <v/>
      </c>
      <c r="AM2287" s="44">
        <f>AM2242*Settings!$C$13*(AM2206)</f>
        <v/>
      </c>
      <c r="AN2287" s="44">
        <f>AN2242*Settings!$C$13*(AN2206)</f>
        <v/>
      </c>
      <c r="AO2287" s="44">
        <f>AO2242*Settings!$C$13*(AO2206)</f>
        <v/>
      </c>
      <c r="AP2287" s="44">
        <f>AP2242*Settings!$C$13*(AP2206)</f>
        <v/>
      </c>
      <c r="AQ2287" s="44">
        <f>AQ2242*Settings!$C$13*(AQ2206)</f>
        <v/>
      </c>
      <c r="AR2287" s="44">
        <f>AR2242*Settings!$C$13*(AR2206)</f>
        <v/>
      </c>
      <c r="AS2287" s="44">
        <f>AS2242*Settings!$C$13*(AS2206)</f>
        <v/>
      </c>
      <c r="AT2287" s="44">
        <f>AT2242*Settings!$C$13*(AT2206)</f>
        <v/>
      </c>
      <c r="AU2287" s="44">
        <f>AU2242*Settings!$C$13*(AU2206)</f>
        <v/>
      </c>
      <c r="AV2287" s="44">
        <f>AV2242*Settings!$C$13*(AV2206)</f>
        <v/>
      </c>
      <c r="AW2287" s="44">
        <f>AW2242*Settings!$C$13*(AW2206)</f>
        <v/>
      </c>
      <c r="AX2287" s="44">
        <f>AX2242*Settings!$C$13*(AX2206)</f>
        <v/>
      </c>
      <c r="AY2287" s="44">
        <f>AY2242*Settings!$C$13*(AY2206)</f>
        <v/>
      </c>
      <c r="AZ2287" s="44">
        <f>AZ2242*Settings!$C$13*(AZ2206)</f>
        <v/>
      </c>
      <c r="BA2287" s="57">
        <f>REVENUE(BA2242,Settings!$C$13,BA2206)</f>
        <v/>
      </c>
    </row>
    <row r="2288" hidden="1" outlineLevel="2">
      <c r="A2288" s="14" t="inlineStr">
        <is>
          <t>rxcp</t>
        </is>
      </c>
      <c r="B2288" s="14" t="inlineStr">
        <is>
          <t>oop</t>
        </is>
      </c>
      <c r="C2288" s="14" t="inlineStr">
        <is>
          <t>nfm</t>
        </is>
      </c>
      <c r="D2288" s="39" t="n"/>
      <c r="E2288" s="39" t="n"/>
      <c r="F2288" s="39" t="n"/>
      <c r="G2288" s="39" t="n"/>
      <c r="H2288" s="14">
        <f>INDEX(VarLab,MATCH($A2288,VarKey,0))&amp;INDEX(MemLab,MATCH($C2288&amp;"|"&amp;$B2288,MemKey,0))</f>
        <v/>
      </c>
      <c r="I2288" s="14">
        <f>INDEX(VarUnit,MATCH($A2288,VarKey,0))</f>
        <v/>
      </c>
      <c r="J2288" s="14">
        <f>INDEX(VarSrc,MATCH($A2288,VarKey,0))</f>
        <v/>
      </c>
      <c r="K2288" s="11">
        <f>CodePrefix&amp;$A2288&amp;IF($C2288="","","."&amp;$C2288&amp;"."&amp;$B2288)&amp;INDEX(VarEnd,MATCH($A2288,VarKey,0))&amp;K$5</f>
        <v/>
      </c>
      <c r="L2288" s="43">
        <f>L2243*Settings!$C$13*(L2207)</f>
        <v/>
      </c>
      <c r="M2288" s="44">
        <f>M2243*Settings!$C$13*(M2207)</f>
        <v/>
      </c>
      <c r="N2288" s="44">
        <f>N2243*Settings!$C$13*(N2207)</f>
        <v/>
      </c>
      <c r="O2288" s="44">
        <f>O2243*Settings!$C$13*(O2207)</f>
        <v/>
      </c>
      <c r="P2288" s="44">
        <f>P2243*Settings!$C$13*(P2207)</f>
        <v/>
      </c>
      <c r="Q2288" s="44">
        <f>Q2243*Settings!$C$13*(Q2207)</f>
        <v/>
      </c>
      <c r="R2288" s="44">
        <f>R2243*Settings!$C$13*(R2207)</f>
        <v/>
      </c>
      <c r="S2288" s="44">
        <f>S2243*Settings!$C$13*(S2207)</f>
        <v/>
      </c>
      <c r="T2288" s="44">
        <f>T2243*Settings!$C$13*(T2207)</f>
        <v/>
      </c>
      <c r="U2288" s="44">
        <f>U2243*Settings!$C$13*(U2207)</f>
        <v/>
      </c>
      <c r="V2288" s="44">
        <f>V2243*Settings!$C$13*(V2207)</f>
        <v/>
      </c>
      <c r="W2288" s="44">
        <f>W2243*Settings!$C$13*(W2207)</f>
        <v/>
      </c>
      <c r="X2288" s="44">
        <f>X2243*Settings!$C$13*(X2207)</f>
        <v/>
      </c>
      <c r="Y2288" s="44">
        <f>Y2243*Settings!$C$13*(Y2207)</f>
        <v/>
      </c>
      <c r="Z2288" s="44">
        <f>Z2243*Settings!$C$13*(Z2207)</f>
        <v/>
      </c>
      <c r="AA2288" s="44">
        <f>AA2243*Settings!$C$13*(AA2207)</f>
        <v/>
      </c>
      <c r="AB2288" s="44">
        <f>AB2243*Settings!$C$13*(AB2207)</f>
        <v/>
      </c>
      <c r="AC2288" s="44">
        <f>AC2243*Settings!$C$13*(AC2207)</f>
        <v/>
      </c>
      <c r="AD2288" s="44">
        <f>AD2243*Settings!$C$13*(AD2207)</f>
        <v/>
      </c>
      <c r="AE2288" s="57">
        <f>REVENUE(AE2243,Settings!$C$13,AE2207)</f>
        <v/>
      </c>
      <c r="AG2288" s="11">
        <f>CodePrefix&amp;$A2288&amp;IF($C2288="","","."&amp;$C2288&amp;"."&amp;$B2288)&amp;INDEX(VarEnd,MATCH($A2288,VarKey,0))&amp;AG$5</f>
        <v/>
      </c>
      <c r="AH2288" s="43">
        <f>AH2243*Settings!$C$13*(AH2207)</f>
        <v/>
      </c>
      <c r="AI2288" s="44">
        <f>AI2243*Settings!$C$13*(AI2207)</f>
        <v/>
      </c>
      <c r="AJ2288" s="44">
        <f>AJ2243*Settings!$C$13*(AJ2207)</f>
        <v/>
      </c>
      <c r="AK2288" s="44">
        <f>AK2243*Settings!$C$13*(AK2207)</f>
        <v/>
      </c>
      <c r="AL2288" s="44">
        <f>AL2243*Settings!$C$13*(AL2207)</f>
        <v/>
      </c>
      <c r="AM2288" s="44">
        <f>AM2243*Settings!$C$13*(AM2207)</f>
        <v/>
      </c>
      <c r="AN2288" s="44">
        <f>AN2243*Settings!$C$13*(AN2207)</f>
        <v/>
      </c>
      <c r="AO2288" s="44">
        <f>AO2243*Settings!$C$13*(AO2207)</f>
        <v/>
      </c>
      <c r="AP2288" s="44">
        <f>AP2243*Settings!$C$13*(AP2207)</f>
        <v/>
      </c>
      <c r="AQ2288" s="44">
        <f>AQ2243*Settings!$C$13*(AQ2207)</f>
        <v/>
      </c>
      <c r="AR2288" s="44">
        <f>AR2243*Settings!$C$13*(AR2207)</f>
        <v/>
      </c>
      <c r="AS2288" s="44">
        <f>AS2243*Settings!$C$13*(AS2207)</f>
        <v/>
      </c>
      <c r="AT2288" s="44">
        <f>AT2243*Settings!$C$13*(AT2207)</f>
        <v/>
      </c>
      <c r="AU2288" s="44">
        <f>AU2243*Settings!$C$13*(AU2207)</f>
        <v/>
      </c>
      <c r="AV2288" s="44">
        <f>AV2243*Settings!$C$13*(AV2207)</f>
        <v/>
      </c>
      <c r="AW2288" s="44">
        <f>AW2243*Settings!$C$13*(AW2207)</f>
        <v/>
      </c>
      <c r="AX2288" s="44">
        <f>AX2243*Settings!$C$13*(AX2207)</f>
        <v/>
      </c>
      <c r="AY2288" s="44">
        <f>AY2243*Settings!$C$13*(AY2207)</f>
        <v/>
      </c>
      <c r="AZ2288" s="44">
        <f>AZ2243*Settings!$C$13*(AZ2207)</f>
        <v/>
      </c>
      <c r="BA2288" s="57">
        <f>REVENUE(BA2243,Settings!$C$13,BA2207)</f>
        <v/>
      </c>
    </row>
    <row r="2289" hidden="1" outlineLevel="2">
      <c r="A2289" s="14" t="inlineStr">
        <is>
          <t>rxcp</t>
        </is>
      </c>
      <c r="B2289" s="14" t="inlineStr">
        <is>
          <t>bio</t>
        </is>
      </c>
      <c r="C2289" s="14" t="inlineStr">
        <is>
          <t>nfm</t>
        </is>
      </c>
      <c r="D2289" s="39" t="n"/>
      <c r="E2289" s="39" t="n"/>
      <c r="F2289" s="39" t="n"/>
      <c r="G2289" s="39" t="n"/>
      <c r="H2289" s="14">
        <f>INDEX(VarLab,MATCH($A2289,VarKey,0))&amp;INDEX(MemLab,MATCH($C2289&amp;"|"&amp;$B2289,MemKey,0))</f>
        <v/>
      </c>
      <c r="I2289" s="14">
        <f>INDEX(VarUnit,MATCH($A2289,VarKey,0))</f>
        <v/>
      </c>
      <c r="J2289" s="14">
        <f>INDEX(VarSrc,MATCH($A2289,VarKey,0))</f>
        <v/>
      </c>
      <c r="K2289" s="11">
        <f>CodePrefix&amp;$A2289&amp;IF($C2289="","","."&amp;$C2289&amp;"."&amp;$B2289)&amp;INDEX(VarEnd,MATCH($A2289,VarKey,0))&amp;K$5</f>
        <v/>
      </c>
      <c r="L2289" s="43">
        <f>L2244*Settings!$C$13*(L2208)</f>
        <v/>
      </c>
      <c r="M2289" s="44">
        <f>M2244*Settings!$C$13*(M2208)</f>
        <v/>
      </c>
      <c r="N2289" s="44">
        <f>N2244*Settings!$C$13*(N2208)</f>
        <v/>
      </c>
      <c r="O2289" s="44">
        <f>O2244*Settings!$C$13*(O2208)</f>
        <v/>
      </c>
      <c r="P2289" s="44">
        <f>P2244*Settings!$C$13*(P2208)</f>
        <v/>
      </c>
      <c r="Q2289" s="44">
        <f>Q2244*Settings!$C$13*(Q2208)</f>
        <v/>
      </c>
      <c r="R2289" s="44">
        <f>R2244*Settings!$C$13*(R2208)</f>
        <v/>
      </c>
      <c r="S2289" s="44">
        <f>S2244*Settings!$C$13*(S2208)</f>
        <v/>
      </c>
      <c r="T2289" s="44">
        <f>T2244*Settings!$C$13*(T2208)</f>
        <v/>
      </c>
      <c r="U2289" s="44">
        <f>U2244*Settings!$C$13*(U2208)</f>
        <v/>
      </c>
      <c r="V2289" s="44">
        <f>V2244*Settings!$C$13*(V2208)</f>
        <v/>
      </c>
      <c r="W2289" s="44">
        <f>W2244*Settings!$C$13*(W2208)</f>
        <v/>
      </c>
      <c r="X2289" s="44">
        <f>X2244*Settings!$C$13*(X2208)</f>
        <v/>
      </c>
      <c r="Y2289" s="44">
        <f>Y2244*Settings!$C$13*(Y2208)</f>
        <v/>
      </c>
      <c r="Z2289" s="44">
        <f>Z2244*Settings!$C$13*(Z2208)</f>
        <v/>
      </c>
      <c r="AA2289" s="44">
        <f>AA2244*Settings!$C$13*(AA2208)</f>
        <v/>
      </c>
      <c r="AB2289" s="44">
        <f>AB2244*Settings!$C$13*(AB2208)</f>
        <v/>
      </c>
      <c r="AC2289" s="44">
        <f>AC2244*Settings!$C$13*(AC2208)</f>
        <v/>
      </c>
      <c r="AD2289" s="44">
        <f>AD2244*Settings!$C$13*(AD2208)</f>
        <v/>
      </c>
      <c r="AE2289" s="57">
        <f>REVENUE(AE2244,Settings!$C$13,AE2208)</f>
        <v/>
      </c>
      <c r="AG2289" s="11">
        <f>CodePrefix&amp;$A2289&amp;IF($C2289="","","."&amp;$C2289&amp;"."&amp;$B2289)&amp;INDEX(VarEnd,MATCH($A2289,VarKey,0))&amp;AG$5</f>
        <v/>
      </c>
      <c r="AH2289" s="43">
        <f>AH2244*Settings!$C$13*(AH2208)</f>
        <v/>
      </c>
      <c r="AI2289" s="44">
        <f>AI2244*Settings!$C$13*(AI2208)</f>
        <v/>
      </c>
      <c r="AJ2289" s="44">
        <f>AJ2244*Settings!$C$13*(AJ2208)</f>
        <v/>
      </c>
      <c r="AK2289" s="44">
        <f>AK2244*Settings!$C$13*(AK2208)</f>
        <v/>
      </c>
      <c r="AL2289" s="44">
        <f>AL2244*Settings!$C$13*(AL2208)</f>
        <v/>
      </c>
      <c r="AM2289" s="44">
        <f>AM2244*Settings!$C$13*(AM2208)</f>
        <v/>
      </c>
      <c r="AN2289" s="44">
        <f>AN2244*Settings!$C$13*(AN2208)</f>
        <v/>
      </c>
      <c r="AO2289" s="44">
        <f>AO2244*Settings!$C$13*(AO2208)</f>
        <v/>
      </c>
      <c r="AP2289" s="44">
        <f>AP2244*Settings!$C$13*(AP2208)</f>
        <v/>
      </c>
      <c r="AQ2289" s="44">
        <f>AQ2244*Settings!$C$13*(AQ2208)</f>
        <v/>
      </c>
      <c r="AR2289" s="44">
        <f>AR2244*Settings!$C$13*(AR2208)</f>
        <v/>
      </c>
      <c r="AS2289" s="44">
        <f>AS2244*Settings!$C$13*(AS2208)</f>
        <v/>
      </c>
      <c r="AT2289" s="44">
        <f>AT2244*Settings!$C$13*(AT2208)</f>
        <v/>
      </c>
      <c r="AU2289" s="44">
        <f>AU2244*Settings!$C$13*(AU2208)</f>
        <v/>
      </c>
      <c r="AV2289" s="44">
        <f>AV2244*Settings!$C$13*(AV2208)</f>
        <v/>
      </c>
      <c r="AW2289" s="44">
        <f>AW2244*Settings!$C$13*(AW2208)</f>
        <v/>
      </c>
      <c r="AX2289" s="44">
        <f>AX2244*Settings!$C$13*(AX2208)</f>
        <v/>
      </c>
      <c r="AY2289" s="44">
        <f>AY2244*Settings!$C$13*(AY2208)</f>
        <v/>
      </c>
      <c r="AZ2289" s="44">
        <f>AZ2244*Settings!$C$13*(AZ2208)</f>
        <v/>
      </c>
      <c r="BA2289" s="57">
        <f>REVENUE(BA2244,Settings!$C$13,BA2208)</f>
        <v/>
      </c>
    </row>
    <row r="2290" hidden="1" outlineLevel="2"/>
    <row r="2291" hidden="1" outlineLevel="1" collapsed="1">
      <c r="A2291" s="1" t="inlineStr">
        <is>
          <t>ener</t>
        </is>
      </c>
      <c r="B2291" s="1" t="inlineStr">
        <is>
          <t>all</t>
        </is>
      </c>
      <c r="C2291" s="1" t="inlineStr">
        <is>
          <t>mac</t>
        </is>
      </c>
      <c r="H2291" s="1">
        <f>INDEX(VarLab,MATCH($A2291,VarKey,0))&amp;INDEX(MemLab,MATCH($C2291&amp;"|"&amp;$B2291,MemKey,0))</f>
        <v/>
      </c>
      <c r="I2291" s="1">
        <f>INDEX(VarUnit,MATCH($A2291,VarKey,0))</f>
        <v/>
      </c>
      <c r="J2291" s="1">
        <f>INDEX(VarSrc,MATCH($A2291,VarKey,0))</f>
        <v/>
      </c>
      <c r="K2291" s="17">
        <f>CodePrefix&amp;$A2291&amp;IF($C2291="","","."&amp;$C2291&amp;"."&amp;$B2291)&amp;INDEX(VarEnd,MATCH($A2291,VarKey,0))&amp;K$5</f>
        <v/>
      </c>
      <c r="L2291" s="68">
        <f>SUM(L2365:L2372)</f>
        <v/>
      </c>
      <c r="M2291" s="69">
        <f>SUM(M2365:M2372)</f>
        <v/>
      </c>
      <c r="N2291" s="69">
        <f>SUM(N2365:N2372)</f>
        <v/>
      </c>
      <c r="O2291" s="69">
        <f>SUM(O2365:O2372)</f>
        <v/>
      </c>
      <c r="P2291" s="69">
        <f>SUM(P2365:P2372)</f>
        <v/>
      </c>
      <c r="Q2291" s="69">
        <f>SUM(Q2365:Q2372)</f>
        <v/>
      </c>
      <c r="R2291" s="69">
        <f>SUM(R2365:R2372)</f>
        <v/>
      </c>
      <c r="S2291" s="69">
        <f>SUM(S2365:S2372)</f>
        <v/>
      </c>
      <c r="T2291" s="69">
        <f>SUM(T2365:T2372)</f>
        <v/>
      </c>
      <c r="U2291" s="69">
        <f>SUM(U2365:U2372)</f>
        <v/>
      </c>
      <c r="V2291" s="69">
        <f>SUM(V2365:V2372)</f>
        <v/>
      </c>
      <c r="W2291" s="69">
        <f>SUM(W2365:W2372)</f>
        <v/>
      </c>
      <c r="X2291" s="69">
        <f>SUM(X2365:X2372)</f>
        <v/>
      </c>
      <c r="Y2291" s="69">
        <f>SUM(Y2365:Y2372)</f>
        <v/>
      </c>
      <c r="Z2291" s="69">
        <f>SUM(Z2365:Z2372)</f>
        <v/>
      </c>
      <c r="AA2291" s="69">
        <f>SUM(AA2365:AA2372)</f>
        <v/>
      </c>
      <c r="AB2291" s="69">
        <f>SUM(AB2365:AB2372)</f>
        <v/>
      </c>
      <c r="AC2291" s="69">
        <f>SUM(AC2365:AC2372)</f>
        <v/>
      </c>
      <c r="AD2291" s="69">
        <f>SUM(AD2365:AD2372)</f>
        <v/>
      </c>
      <c r="AE2291" s="69">
        <f>SUM(AE2365:AE2372)</f>
        <v/>
      </c>
      <c r="AG2291" s="17">
        <f>CodePrefix&amp;$A2291&amp;IF($C2291="","","."&amp;$C2291&amp;"."&amp;$B2291)&amp;INDEX(VarEnd,MATCH($A2291,VarKey,0))&amp;AG$5</f>
        <v/>
      </c>
      <c r="AH2291" s="68">
        <f>SUM(AH2365:AH2372)</f>
        <v/>
      </c>
      <c r="AI2291" s="69">
        <f>SUM(AI2365:AI2372)</f>
        <v/>
      </c>
      <c r="AJ2291" s="69">
        <f>SUM(AJ2365:AJ2372)</f>
        <v/>
      </c>
      <c r="AK2291" s="69">
        <f>SUM(AK2365:AK2372)</f>
        <v/>
      </c>
      <c r="AL2291" s="69">
        <f>SUM(AL2365:AL2372)</f>
        <v/>
      </c>
      <c r="AM2291" s="69">
        <f>SUM(AM2365:AM2372)</f>
        <v/>
      </c>
      <c r="AN2291" s="69">
        <f>SUM(AN2365:AN2372)</f>
        <v/>
      </c>
      <c r="AO2291" s="69">
        <f>SUM(AO2365:AO2372)</f>
        <v/>
      </c>
      <c r="AP2291" s="69">
        <f>SUM(AP2365:AP2372)</f>
        <v/>
      </c>
      <c r="AQ2291" s="69">
        <f>SUM(AQ2365:AQ2372)</f>
        <v/>
      </c>
      <c r="AR2291" s="69">
        <f>SUM(AR2365:AR2372)</f>
        <v/>
      </c>
      <c r="AS2291" s="69">
        <f>SUM(AS2365:AS2372)</f>
        <v/>
      </c>
      <c r="AT2291" s="69">
        <f>SUM(AT2365:AT2372)</f>
        <v/>
      </c>
      <c r="AU2291" s="69">
        <f>SUM(AU2365:AU2372)</f>
        <v/>
      </c>
      <c r="AV2291" s="69">
        <f>SUM(AV2365:AV2372)</f>
        <v/>
      </c>
      <c r="AW2291" s="69">
        <f>SUM(AW2365:AW2372)</f>
        <v/>
      </c>
      <c r="AX2291" s="69">
        <f>SUM(AX2365:AX2372)</f>
        <v/>
      </c>
      <c r="AY2291" s="69">
        <f>SUM(AY2365:AY2372)</f>
        <v/>
      </c>
      <c r="AZ2291" s="69">
        <f>SUM(AZ2365:AZ2372)</f>
        <v/>
      </c>
      <c r="BA2291" s="69">
        <f>SUM(BA2365:BA2372)</f>
        <v/>
      </c>
    </row>
    <row r="2292" hidden="1" outlineLevel="1">
      <c r="A2292" s="67" t="inlineStr">
        <is>
          <t>eldem</t>
        </is>
      </c>
      <c r="B2292" s="67" t="inlineStr">
        <is>
          <t>ecy</t>
        </is>
      </c>
      <c r="C2292" s="67" t="inlineStr">
        <is>
          <t>mac</t>
        </is>
      </c>
      <c r="H2292" s="67">
        <f>INDEX(VarLab,MATCH($A2292,VarKey,0))&amp;INDEX(MemLab,MATCH($C2292&amp;"|"&amp;$B2292,MemKey,0))</f>
        <v/>
      </c>
      <c r="I2292" s="67">
        <f>INDEX(VarUnit,MATCH($A2292,VarKey,0))</f>
        <v/>
      </c>
      <c r="J2292" s="67">
        <f>INDEX(VarSrc,MATCH($A2292,VarKey,0))</f>
        <v/>
      </c>
      <c r="K2292" s="70">
        <f>CodePrefix&amp;$A2292&amp;IF($C2292="","","."&amp;$C2292&amp;"."&amp;$B2292)&amp;INDEX(VarEnd,MATCH($A2292,VarKey,0))&amp;K$5</f>
        <v/>
      </c>
      <c r="L2292" s="71">
        <f>SUMIF($C$674:$C$688,$C2292,L$674:L$688)</f>
        <v/>
      </c>
      <c r="M2292" s="72">
        <f>SUMIF($C$674:$C$688,$C2292,M$674:M$688)</f>
        <v/>
      </c>
      <c r="N2292" s="72">
        <f>SUMIF($C$674:$C$688,$C2292,N$674:N$688)</f>
        <v/>
      </c>
      <c r="O2292" s="72">
        <f>SUMIF($C$674:$C$688,$C2292,O$674:O$688)</f>
        <v/>
      </c>
      <c r="P2292" s="72">
        <f>SUMIF($C$674:$C$688,$C2292,P$674:P$688)</f>
        <v/>
      </c>
      <c r="Q2292" s="72">
        <f>SUMIF($C$674:$C$688,$C2292,Q$674:Q$688)</f>
        <v/>
      </c>
      <c r="R2292" s="72">
        <f>SUMIF($C$674:$C$688,$C2292,R$674:R$688)</f>
        <v/>
      </c>
      <c r="S2292" s="72">
        <f>SUMIF($C$674:$C$688,$C2292,S$674:S$688)</f>
        <v/>
      </c>
      <c r="T2292" s="72">
        <f>SUMIF($C$674:$C$688,$C2292,T$674:T$688)</f>
        <v/>
      </c>
      <c r="U2292" s="72">
        <f>SUMIF($C$674:$C$688,$C2292,U$674:U$688)</f>
        <v/>
      </c>
      <c r="V2292" s="72">
        <f>SUMIF($C$674:$C$688,$C2292,V$674:V$688)</f>
        <v/>
      </c>
      <c r="W2292" s="72">
        <f>SUMIF($C$674:$C$688,$C2292,W$674:W$688)</f>
        <v/>
      </c>
      <c r="X2292" s="72">
        <f>SUMIF($C$674:$C$688,$C2292,X$674:X$688)</f>
        <v/>
      </c>
      <c r="Y2292" s="72">
        <f>SUMIF($C$674:$C$688,$C2292,Y$674:Y$688)</f>
        <v/>
      </c>
      <c r="Z2292" s="72">
        <f>SUMIF($C$674:$C$688,$C2292,Z$674:Z$688)</f>
        <v/>
      </c>
      <c r="AA2292" s="72">
        <f>SUMIF($C$674:$C$688,$C2292,AA$674:AA$688)</f>
        <v/>
      </c>
      <c r="AB2292" s="72">
        <f>SUMIF($C$674:$C$688,$C2292,AB$674:AB$688)</f>
        <v/>
      </c>
      <c r="AC2292" s="72">
        <f>SUMIF($C$674:$C$688,$C2292,AC$674:AC$688)</f>
        <v/>
      </c>
      <c r="AD2292" s="72">
        <f>SUMIF($C$674:$C$688,$C2292,AD$674:AD$688)</f>
        <v/>
      </c>
      <c r="AE2292" s="72">
        <f>SUMIF($C$674:$C$688,$C2292,AE$674:AE$688)</f>
        <v/>
      </c>
      <c r="AG2292" s="70">
        <f>CodePrefix&amp;$A2292&amp;IF($C2292="","","."&amp;$C2292&amp;"."&amp;$B2292)&amp;INDEX(VarEnd,MATCH($A2292,VarKey,0))&amp;AG$5</f>
        <v/>
      </c>
      <c r="AH2292" s="71">
        <f>SUMIF($C$674:$C$688,$C2292,AH$674:AH$688)</f>
        <v/>
      </c>
      <c r="AI2292" s="72">
        <f>SUMIF($C$674:$C$688,$C2292,AI$674:AI$688)</f>
        <v/>
      </c>
      <c r="AJ2292" s="72">
        <f>SUMIF($C$674:$C$688,$C2292,AJ$674:AJ$688)</f>
        <v/>
      </c>
      <c r="AK2292" s="72">
        <f>SUMIF($C$674:$C$688,$C2292,AK$674:AK$688)</f>
        <v/>
      </c>
      <c r="AL2292" s="72">
        <f>SUMIF($C$674:$C$688,$C2292,AL$674:AL$688)</f>
        <v/>
      </c>
      <c r="AM2292" s="72">
        <f>SUMIF($C$674:$C$688,$C2292,AM$674:AM$688)</f>
        <v/>
      </c>
      <c r="AN2292" s="72">
        <f>SUMIF($C$674:$C$688,$C2292,AN$674:AN$688)</f>
        <v/>
      </c>
      <c r="AO2292" s="72">
        <f>SUMIF($C$674:$C$688,$C2292,AO$674:AO$688)</f>
        <v/>
      </c>
      <c r="AP2292" s="72">
        <f>SUMIF($C$674:$C$688,$C2292,AP$674:AP$688)</f>
        <v/>
      </c>
      <c r="AQ2292" s="72">
        <f>SUMIF($C$674:$C$688,$C2292,AQ$674:AQ$688)</f>
        <v/>
      </c>
      <c r="AR2292" s="72">
        <f>SUMIF($C$674:$C$688,$C2292,AR$674:AR$688)</f>
        <v/>
      </c>
      <c r="AS2292" s="72">
        <f>SUMIF($C$674:$C$688,$C2292,AS$674:AS$688)</f>
        <v/>
      </c>
      <c r="AT2292" s="72">
        <f>SUMIF($C$674:$C$688,$C2292,AT$674:AT$688)</f>
        <v/>
      </c>
      <c r="AU2292" s="72">
        <f>SUMIF($C$674:$C$688,$C2292,AU$674:AU$688)</f>
        <v/>
      </c>
      <c r="AV2292" s="72">
        <f>SUMIF($C$674:$C$688,$C2292,AV$674:AV$688)</f>
        <v/>
      </c>
      <c r="AW2292" s="72">
        <f>SUMIF($C$674:$C$688,$C2292,AW$674:AW$688)</f>
        <v/>
      </c>
      <c r="AX2292" s="72">
        <f>SUMIF($C$674:$C$688,$C2292,AX$674:AX$688)</f>
        <v/>
      </c>
      <c r="AY2292" s="72">
        <f>SUMIF($C$674:$C$688,$C2292,AY$674:AY$688)</f>
        <v/>
      </c>
      <c r="AZ2292" s="72">
        <f>SUMIF($C$674:$C$688,$C2292,AZ$674:AZ$688)</f>
        <v/>
      </c>
      <c r="BA2292" s="72">
        <f>SUMIF($C$674:$C$688,$C2292,BA$674:BA$688)</f>
        <v/>
      </c>
    </row>
    <row r="2293" hidden="1" outlineLevel="2">
      <c r="A2293" s="14" t="inlineStr">
        <is>
          <t>ctxnew</t>
        </is>
      </c>
      <c r="B2293" s="14" t="inlineStr">
        <is>
          <t>coa</t>
        </is>
      </c>
      <c r="C2293" s="14" t="inlineStr">
        <is>
          <t>mac</t>
        </is>
      </c>
      <c r="D2293" s="35">
        <f>INDEX(Inputs!$W$5:$W$132,MATCH($B2293&amp;"|"&amp;$C2293,Inputs!$A$5:$A$132,0))</f>
        <v/>
      </c>
      <c r="E2293" s="35">
        <f>INDEX(Inputs!$L$5:$L$132,MATCH($B2293&amp;"|"&amp;$C2293,Inputs!$A$5:$A$132,0))</f>
        <v/>
      </c>
      <c r="F2293" s="35">
        <f>INDEX(Inputs!$M$5:$M$132,MATCH($B2293&amp;"|"&amp;$C2293,Inputs!$A$5:$A$132,0))</f>
        <v/>
      </c>
      <c r="G2293" s="39" t="n"/>
      <c r="H2293" s="14">
        <f>INDEX(VarLab,MATCH($A2293,VarKey,0))&amp;INDEX(MemLab,MATCH($C2293&amp;"|"&amp;$B2293,MemKey,0))</f>
        <v/>
      </c>
      <c r="I2293" s="14">
        <f>INDEX(VarUnit,MATCH($A2293,VarKey,0))</f>
        <v/>
      </c>
      <c r="J2293" s="14">
        <f>INDEX(VarSrc,MATCH($A2293,VarKey,0))</f>
        <v/>
      </c>
      <c r="K2293" s="11">
        <f>CodePrefix&amp;$A2293&amp;IF($C2293="","","."&amp;$C2293&amp;"."&amp;$B2293)&amp;INDEX(VarEnd,MATCH($A2293,VarKey,0))&amp;K$5</f>
        <v/>
      </c>
      <c r="L2293" s="40">
        <f>INDEX(L$263:L$279,$F2293)*$D2293*INDEX(L$23:L$30,$E2293)</f>
        <v/>
      </c>
      <c r="M2293" s="35">
        <f>INDEX(M$263:M$279,$F2293)*$D2293*INDEX(M$23:M$30,$E2293)</f>
        <v/>
      </c>
      <c r="N2293" s="35">
        <f>INDEX(N$263:N$279,$F2293)*$D2293*INDEX(N$23:N$30,$E2293)</f>
        <v/>
      </c>
      <c r="O2293" s="35">
        <f>INDEX(O$263:O$279,$F2293)*$D2293*INDEX(O$23:O$30,$E2293)</f>
        <v/>
      </c>
      <c r="P2293" s="35">
        <f>INDEX(P$263:P$279,$F2293)*$D2293*INDEX(P$23:P$30,$E2293)</f>
        <v/>
      </c>
      <c r="Q2293" s="35">
        <f>INDEX(Q$263:Q$279,$F2293)*$D2293*INDEX(Q$23:Q$30,$E2293)</f>
        <v/>
      </c>
      <c r="R2293" s="35">
        <f>INDEX(R$263:R$279,$F2293)*$D2293*INDEX(R$23:R$30,$E2293)</f>
        <v/>
      </c>
      <c r="S2293" s="35">
        <f>INDEX(S$263:S$279,$F2293)*$D2293*INDEX(S$23:S$30,$E2293)</f>
        <v/>
      </c>
      <c r="T2293" s="35">
        <f>INDEX(T$263:T$279,$F2293)*$D2293*INDEX(T$23:T$30,$E2293)</f>
        <v/>
      </c>
      <c r="U2293" s="35">
        <f>INDEX(U$263:U$279,$F2293)*$D2293*INDEX(U$23:U$30,$E2293)</f>
        <v/>
      </c>
      <c r="V2293" s="35">
        <f>INDEX(V$263:V$279,$F2293)*$D2293*INDEX(V$23:V$30,$E2293)</f>
        <v/>
      </c>
      <c r="W2293" s="35">
        <f>INDEX(W$263:W$279,$F2293)*$D2293*INDEX(W$23:W$30,$E2293)</f>
        <v/>
      </c>
      <c r="X2293" s="35">
        <f>INDEX(X$263:X$279,$F2293)*$D2293*INDEX(X$23:X$30,$E2293)</f>
        <v/>
      </c>
      <c r="Y2293" s="35">
        <f>INDEX(Y$263:Y$279,$F2293)*$D2293*INDEX(Y$23:Y$30,$E2293)</f>
        <v/>
      </c>
      <c r="Z2293" s="35">
        <f>INDEX(Z$263:Z$279,$F2293)*$D2293*INDEX(Z$23:Z$30,$E2293)</f>
        <v/>
      </c>
      <c r="AA2293" s="35">
        <f>INDEX(AA$263:AA$279,$F2293)*$D2293*INDEX(AA$23:AA$30,$E2293)</f>
        <v/>
      </c>
      <c r="AB2293" s="35">
        <f>INDEX(AB$263:AB$279,$F2293)*$D2293*INDEX(AB$23:AB$30,$E2293)</f>
        <v/>
      </c>
      <c r="AC2293" s="35">
        <f>INDEX(AC$263:AC$279,$F2293)*$D2293*INDEX(AC$23:AC$30,$E2293)</f>
        <v/>
      </c>
      <c r="AD2293" s="35">
        <f>INDEX(AD$263:AD$279,$F2293)*$D2293*INDEX(AD$23:AD$30,$E2293)</f>
        <v/>
      </c>
      <c r="AE2293" s="42">
        <f>CARBONTAX(INDEX(AE$263:AE$279,$F2293),$D2293,INDEX(AE$23:AE$30,$E2293))</f>
        <v/>
      </c>
      <c r="AG2293" s="11">
        <f>CodePrefix&amp;$A2293&amp;IF($C2293="","","."&amp;$C2293&amp;"."&amp;$B2293)&amp;INDEX(VarEnd,MATCH($A2293,VarKey,0))&amp;AG$5</f>
        <v/>
      </c>
      <c r="AH2293" s="40">
        <f>INDEX(AH$263:AH$279,$F2293)*$D2293*INDEX(AH$23:AH$30,$E2293)</f>
        <v/>
      </c>
      <c r="AI2293" s="35">
        <f>INDEX(AI$263:AI$279,$F2293)*$D2293*INDEX(AI$23:AI$30,$E2293)</f>
        <v/>
      </c>
      <c r="AJ2293" s="35">
        <f>INDEX(AJ$263:AJ$279,$F2293)*$D2293*INDEX(AJ$23:AJ$30,$E2293)</f>
        <v/>
      </c>
      <c r="AK2293" s="35">
        <f>INDEX(AK$263:AK$279,$F2293)*$D2293*INDEX(AK$23:AK$30,$E2293)</f>
        <v/>
      </c>
      <c r="AL2293" s="35">
        <f>INDEX(AL$263:AL$279,$F2293)*$D2293*INDEX(AL$23:AL$30,$E2293)</f>
        <v/>
      </c>
      <c r="AM2293" s="35">
        <f>INDEX(AM$263:AM$279,$F2293)*$D2293*INDEX(AM$23:AM$30,$E2293)</f>
        <v/>
      </c>
      <c r="AN2293" s="35">
        <f>INDEX(AN$263:AN$279,$F2293)*$D2293*INDEX(AN$23:AN$30,$E2293)</f>
        <v/>
      </c>
      <c r="AO2293" s="35">
        <f>INDEX(AO$263:AO$279,$F2293)*$D2293*INDEX(AO$23:AO$30,$E2293)</f>
        <v/>
      </c>
      <c r="AP2293" s="35">
        <f>INDEX(AP$263:AP$279,$F2293)*$D2293*INDEX(AP$23:AP$30,$E2293)</f>
        <v/>
      </c>
      <c r="AQ2293" s="35">
        <f>INDEX(AQ$263:AQ$279,$F2293)*$D2293*INDEX(AQ$23:AQ$30,$E2293)</f>
        <v/>
      </c>
      <c r="AR2293" s="35">
        <f>INDEX(AR$263:AR$279,$F2293)*$D2293*INDEX(AR$23:AR$30,$E2293)</f>
        <v/>
      </c>
      <c r="AS2293" s="35">
        <f>INDEX(AS$263:AS$279,$F2293)*$D2293*INDEX(AS$23:AS$30,$E2293)</f>
        <v/>
      </c>
      <c r="AT2293" s="35">
        <f>INDEX(AT$263:AT$279,$F2293)*$D2293*INDEX(AT$23:AT$30,$E2293)</f>
        <v/>
      </c>
      <c r="AU2293" s="35">
        <f>INDEX(AU$263:AU$279,$F2293)*$D2293*INDEX(AU$23:AU$30,$E2293)</f>
        <v/>
      </c>
      <c r="AV2293" s="35">
        <f>INDEX(AV$263:AV$279,$F2293)*$D2293*INDEX(AV$23:AV$30,$E2293)</f>
        <v/>
      </c>
      <c r="AW2293" s="35">
        <f>INDEX(AW$263:AW$279,$F2293)*$D2293*INDEX(AW$23:AW$30,$E2293)</f>
        <v/>
      </c>
      <c r="AX2293" s="35">
        <f>INDEX(AX$263:AX$279,$F2293)*$D2293*INDEX(AX$23:AX$30,$E2293)</f>
        <v/>
      </c>
      <c r="AY2293" s="35">
        <f>INDEX(AY$263:AY$279,$F2293)*$D2293*INDEX(AY$23:AY$30,$E2293)</f>
        <v/>
      </c>
      <c r="AZ2293" s="35">
        <f>INDEX(AZ$263:AZ$279,$F2293)*$D2293*INDEX(AZ$23:AZ$30,$E2293)</f>
        <v/>
      </c>
      <c r="BA2293" s="42">
        <f>CARBONTAX(INDEX(BA$263:BA$279,$F2293),$D2293,INDEX(BA$23:BA$30,$E2293))</f>
        <v/>
      </c>
    </row>
    <row r="2294" hidden="1" outlineLevel="2">
      <c r="A2294" s="14" t="inlineStr">
        <is>
          <t>ctxnew</t>
        </is>
      </c>
      <c r="B2294" s="14" t="inlineStr">
        <is>
          <t>nga</t>
        </is>
      </c>
      <c r="C2294" s="14" t="inlineStr">
        <is>
          <t>mac</t>
        </is>
      </c>
      <c r="D2294" s="35">
        <f>INDEX(Inputs!$W$5:$W$132,MATCH($B2294&amp;"|"&amp;$C2294,Inputs!$A$5:$A$132,0))</f>
        <v/>
      </c>
      <c r="E2294" s="35">
        <f>INDEX(Inputs!$L$5:$L$132,MATCH($B2294&amp;"|"&amp;$C2294,Inputs!$A$5:$A$132,0))</f>
        <v/>
      </c>
      <c r="F2294" s="35">
        <f>INDEX(Inputs!$M$5:$M$132,MATCH($B2294&amp;"|"&amp;$C2294,Inputs!$A$5:$A$132,0))</f>
        <v/>
      </c>
      <c r="G2294" s="39" t="n"/>
      <c r="H2294" s="14">
        <f>INDEX(VarLab,MATCH($A2294,VarKey,0))&amp;INDEX(MemLab,MATCH($C2294&amp;"|"&amp;$B2294,MemKey,0))</f>
        <v/>
      </c>
      <c r="I2294" s="14">
        <f>INDEX(VarUnit,MATCH($A2294,VarKey,0))</f>
        <v/>
      </c>
      <c r="J2294" s="14">
        <f>INDEX(VarSrc,MATCH($A2294,VarKey,0))</f>
        <v/>
      </c>
      <c r="K2294" s="11">
        <f>CodePrefix&amp;$A2294&amp;IF($C2294="","","."&amp;$C2294&amp;"."&amp;$B2294)&amp;INDEX(VarEnd,MATCH($A2294,VarKey,0))&amp;K$5</f>
        <v/>
      </c>
      <c r="L2294" s="40">
        <f>INDEX(L$263:L$279,$F2294)*$D2294*INDEX(L$23:L$30,$E2294)</f>
        <v/>
      </c>
      <c r="M2294" s="35">
        <f>INDEX(M$263:M$279,$F2294)*$D2294*INDEX(M$23:M$30,$E2294)</f>
        <v/>
      </c>
      <c r="N2294" s="35">
        <f>INDEX(N$263:N$279,$F2294)*$D2294*INDEX(N$23:N$30,$E2294)</f>
        <v/>
      </c>
      <c r="O2294" s="35">
        <f>INDEX(O$263:O$279,$F2294)*$D2294*INDEX(O$23:O$30,$E2294)</f>
        <v/>
      </c>
      <c r="P2294" s="35">
        <f>INDEX(P$263:P$279,$F2294)*$D2294*INDEX(P$23:P$30,$E2294)</f>
        <v/>
      </c>
      <c r="Q2294" s="35">
        <f>INDEX(Q$263:Q$279,$F2294)*$D2294*INDEX(Q$23:Q$30,$E2294)</f>
        <v/>
      </c>
      <c r="R2294" s="35">
        <f>INDEX(R$263:R$279,$F2294)*$D2294*INDEX(R$23:R$30,$E2294)</f>
        <v/>
      </c>
      <c r="S2294" s="35">
        <f>INDEX(S$263:S$279,$F2294)*$D2294*INDEX(S$23:S$30,$E2294)</f>
        <v/>
      </c>
      <c r="T2294" s="35">
        <f>INDEX(T$263:T$279,$F2294)*$D2294*INDEX(T$23:T$30,$E2294)</f>
        <v/>
      </c>
      <c r="U2294" s="35">
        <f>INDEX(U$263:U$279,$F2294)*$D2294*INDEX(U$23:U$30,$E2294)</f>
        <v/>
      </c>
      <c r="V2294" s="35">
        <f>INDEX(V$263:V$279,$F2294)*$D2294*INDEX(V$23:V$30,$E2294)</f>
        <v/>
      </c>
      <c r="W2294" s="35">
        <f>INDEX(W$263:W$279,$F2294)*$D2294*INDEX(W$23:W$30,$E2294)</f>
        <v/>
      </c>
      <c r="X2294" s="35">
        <f>INDEX(X$263:X$279,$F2294)*$D2294*INDEX(X$23:X$30,$E2294)</f>
        <v/>
      </c>
      <c r="Y2294" s="35">
        <f>INDEX(Y$263:Y$279,$F2294)*$D2294*INDEX(Y$23:Y$30,$E2294)</f>
        <v/>
      </c>
      <c r="Z2294" s="35">
        <f>INDEX(Z$263:Z$279,$F2294)*$D2294*INDEX(Z$23:Z$30,$E2294)</f>
        <v/>
      </c>
      <c r="AA2294" s="35">
        <f>INDEX(AA$263:AA$279,$F2294)*$D2294*INDEX(AA$23:AA$30,$E2294)</f>
        <v/>
      </c>
      <c r="AB2294" s="35">
        <f>INDEX(AB$263:AB$279,$F2294)*$D2294*INDEX(AB$23:AB$30,$E2294)</f>
        <v/>
      </c>
      <c r="AC2294" s="35">
        <f>INDEX(AC$263:AC$279,$F2294)*$D2294*INDEX(AC$23:AC$30,$E2294)</f>
        <v/>
      </c>
      <c r="AD2294" s="35">
        <f>INDEX(AD$263:AD$279,$F2294)*$D2294*INDEX(AD$23:AD$30,$E2294)</f>
        <v/>
      </c>
      <c r="AE2294" s="42">
        <f>CARBONTAX(INDEX(AE$263:AE$279,$F2294),$D2294,INDEX(AE$23:AE$30,$E2294))</f>
        <v/>
      </c>
      <c r="AG2294" s="11">
        <f>CodePrefix&amp;$A2294&amp;IF($C2294="","","."&amp;$C2294&amp;"."&amp;$B2294)&amp;INDEX(VarEnd,MATCH($A2294,VarKey,0))&amp;AG$5</f>
        <v/>
      </c>
      <c r="AH2294" s="40">
        <f>INDEX(AH$263:AH$279,$F2294)*$D2294*INDEX(AH$23:AH$30,$E2294)</f>
        <v/>
      </c>
      <c r="AI2294" s="35">
        <f>INDEX(AI$263:AI$279,$F2294)*$D2294*INDEX(AI$23:AI$30,$E2294)</f>
        <v/>
      </c>
      <c r="AJ2294" s="35">
        <f>INDEX(AJ$263:AJ$279,$F2294)*$D2294*INDEX(AJ$23:AJ$30,$E2294)</f>
        <v/>
      </c>
      <c r="AK2294" s="35">
        <f>INDEX(AK$263:AK$279,$F2294)*$D2294*INDEX(AK$23:AK$30,$E2294)</f>
        <v/>
      </c>
      <c r="AL2294" s="35">
        <f>INDEX(AL$263:AL$279,$F2294)*$D2294*INDEX(AL$23:AL$30,$E2294)</f>
        <v/>
      </c>
      <c r="AM2294" s="35">
        <f>INDEX(AM$263:AM$279,$F2294)*$D2294*INDEX(AM$23:AM$30,$E2294)</f>
        <v/>
      </c>
      <c r="AN2294" s="35">
        <f>INDEX(AN$263:AN$279,$F2294)*$D2294*INDEX(AN$23:AN$30,$E2294)</f>
        <v/>
      </c>
      <c r="AO2294" s="35">
        <f>INDEX(AO$263:AO$279,$F2294)*$D2294*INDEX(AO$23:AO$30,$E2294)</f>
        <v/>
      </c>
      <c r="AP2294" s="35">
        <f>INDEX(AP$263:AP$279,$F2294)*$D2294*INDEX(AP$23:AP$30,$E2294)</f>
        <v/>
      </c>
      <c r="AQ2294" s="35">
        <f>INDEX(AQ$263:AQ$279,$F2294)*$D2294*INDEX(AQ$23:AQ$30,$E2294)</f>
        <v/>
      </c>
      <c r="AR2294" s="35">
        <f>INDEX(AR$263:AR$279,$F2294)*$D2294*INDEX(AR$23:AR$30,$E2294)</f>
        <v/>
      </c>
      <c r="AS2294" s="35">
        <f>INDEX(AS$263:AS$279,$F2294)*$D2294*INDEX(AS$23:AS$30,$E2294)</f>
        <v/>
      </c>
      <c r="AT2294" s="35">
        <f>INDEX(AT$263:AT$279,$F2294)*$D2294*INDEX(AT$23:AT$30,$E2294)</f>
        <v/>
      </c>
      <c r="AU2294" s="35">
        <f>INDEX(AU$263:AU$279,$F2294)*$D2294*INDEX(AU$23:AU$30,$E2294)</f>
        <v/>
      </c>
      <c r="AV2294" s="35">
        <f>INDEX(AV$263:AV$279,$F2294)*$D2294*INDEX(AV$23:AV$30,$E2294)</f>
        <v/>
      </c>
      <c r="AW2294" s="35">
        <f>INDEX(AW$263:AW$279,$F2294)*$D2294*INDEX(AW$23:AW$30,$E2294)</f>
        <v/>
      </c>
      <c r="AX2294" s="35">
        <f>INDEX(AX$263:AX$279,$F2294)*$D2294*INDEX(AX$23:AX$30,$E2294)</f>
        <v/>
      </c>
      <c r="AY2294" s="35">
        <f>INDEX(AY$263:AY$279,$F2294)*$D2294*INDEX(AY$23:AY$30,$E2294)</f>
        <v/>
      </c>
      <c r="AZ2294" s="35">
        <f>INDEX(AZ$263:AZ$279,$F2294)*$D2294*INDEX(AZ$23:AZ$30,$E2294)</f>
        <v/>
      </c>
      <c r="BA2294" s="42">
        <f>CARBONTAX(INDEX(BA$263:BA$279,$F2294),$D2294,INDEX(BA$23:BA$30,$E2294))</f>
        <v/>
      </c>
    </row>
    <row r="2295" hidden="1" outlineLevel="2">
      <c r="A2295" s="14" t="inlineStr">
        <is>
          <t>ctxnew</t>
        </is>
      </c>
      <c r="B2295" s="14" t="inlineStr">
        <is>
          <t>gso</t>
        </is>
      </c>
      <c r="C2295" s="14" t="inlineStr">
        <is>
          <t>mac</t>
        </is>
      </c>
      <c r="D2295" s="35">
        <f>INDEX(Inputs!$W$5:$W$132,MATCH($B2295&amp;"|"&amp;$C2295,Inputs!$A$5:$A$132,0))</f>
        <v/>
      </c>
      <c r="E2295" s="35">
        <f>INDEX(Inputs!$L$5:$L$132,MATCH($B2295&amp;"|"&amp;$C2295,Inputs!$A$5:$A$132,0))</f>
        <v/>
      </c>
      <c r="F2295" s="35">
        <f>INDEX(Inputs!$M$5:$M$132,MATCH($B2295&amp;"|"&amp;$C2295,Inputs!$A$5:$A$132,0))</f>
        <v/>
      </c>
      <c r="G2295" s="39" t="n"/>
      <c r="H2295" s="14">
        <f>INDEX(VarLab,MATCH($A2295,VarKey,0))&amp;INDEX(MemLab,MATCH($C2295&amp;"|"&amp;$B2295,MemKey,0))</f>
        <v/>
      </c>
      <c r="I2295" s="14">
        <f>INDEX(VarUnit,MATCH($A2295,VarKey,0))</f>
        <v/>
      </c>
      <c r="J2295" s="14">
        <f>INDEX(VarSrc,MATCH($A2295,VarKey,0))</f>
        <v/>
      </c>
      <c r="K2295" s="11">
        <f>CodePrefix&amp;$A2295&amp;IF($C2295="","","."&amp;$C2295&amp;"."&amp;$B2295)&amp;INDEX(VarEnd,MATCH($A2295,VarKey,0))&amp;K$5</f>
        <v/>
      </c>
      <c r="L2295" s="40">
        <f>INDEX(L$263:L$279,$F2295)*$D2295*INDEX(L$23:L$30,$E2295)</f>
        <v/>
      </c>
      <c r="M2295" s="35">
        <f>INDEX(M$263:M$279,$F2295)*$D2295*INDEX(M$23:M$30,$E2295)</f>
        <v/>
      </c>
      <c r="N2295" s="35">
        <f>INDEX(N$263:N$279,$F2295)*$D2295*INDEX(N$23:N$30,$E2295)</f>
        <v/>
      </c>
      <c r="O2295" s="35">
        <f>INDEX(O$263:O$279,$F2295)*$D2295*INDEX(O$23:O$30,$E2295)</f>
        <v/>
      </c>
      <c r="P2295" s="35">
        <f>INDEX(P$263:P$279,$F2295)*$D2295*INDEX(P$23:P$30,$E2295)</f>
        <v/>
      </c>
      <c r="Q2295" s="35">
        <f>INDEX(Q$263:Q$279,$F2295)*$D2295*INDEX(Q$23:Q$30,$E2295)</f>
        <v/>
      </c>
      <c r="R2295" s="35">
        <f>INDEX(R$263:R$279,$F2295)*$D2295*INDEX(R$23:R$30,$E2295)</f>
        <v/>
      </c>
      <c r="S2295" s="35">
        <f>INDEX(S$263:S$279,$F2295)*$D2295*INDEX(S$23:S$30,$E2295)</f>
        <v/>
      </c>
      <c r="T2295" s="35">
        <f>INDEX(T$263:T$279,$F2295)*$D2295*INDEX(T$23:T$30,$E2295)</f>
        <v/>
      </c>
      <c r="U2295" s="35">
        <f>INDEX(U$263:U$279,$F2295)*$D2295*INDEX(U$23:U$30,$E2295)</f>
        <v/>
      </c>
      <c r="V2295" s="35">
        <f>INDEX(V$263:V$279,$F2295)*$D2295*INDEX(V$23:V$30,$E2295)</f>
        <v/>
      </c>
      <c r="W2295" s="35">
        <f>INDEX(W$263:W$279,$F2295)*$D2295*INDEX(W$23:W$30,$E2295)</f>
        <v/>
      </c>
      <c r="X2295" s="35">
        <f>INDEX(X$263:X$279,$F2295)*$D2295*INDEX(X$23:X$30,$E2295)</f>
        <v/>
      </c>
      <c r="Y2295" s="35">
        <f>INDEX(Y$263:Y$279,$F2295)*$D2295*INDEX(Y$23:Y$30,$E2295)</f>
        <v/>
      </c>
      <c r="Z2295" s="35">
        <f>INDEX(Z$263:Z$279,$F2295)*$D2295*INDEX(Z$23:Z$30,$E2295)</f>
        <v/>
      </c>
      <c r="AA2295" s="35">
        <f>INDEX(AA$263:AA$279,$F2295)*$D2295*INDEX(AA$23:AA$30,$E2295)</f>
        <v/>
      </c>
      <c r="AB2295" s="35">
        <f>INDEX(AB$263:AB$279,$F2295)*$D2295*INDEX(AB$23:AB$30,$E2295)</f>
        <v/>
      </c>
      <c r="AC2295" s="35">
        <f>INDEX(AC$263:AC$279,$F2295)*$D2295*INDEX(AC$23:AC$30,$E2295)</f>
        <v/>
      </c>
      <c r="AD2295" s="35">
        <f>INDEX(AD$263:AD$279,$F2295)*$D2295*INDEX(AD$23:AD$30,$E2295)</f>
        <v/>
      </c>
      <c r="AE2295" s="42">
        <f>CARBONTAX(INDEX(AE$263:AE$279,$F2295),$D2295,INDEX(AE$23:AE$30,$E2295))</f>
        <v/>
      </c>
      <c r="AG2295" s="11">
        <f>CodePrefix&amp;$A2295&amp;IF($C2295="","","."&amp;$C2295&amp;"."&amp;$B2295)&amp;INDEX(VarEnd,MATCH($A2295,VarKey,0))&amp;AG$5</f>
        <v/>
      </c>
      <c r="AH2295" s="40">
        <f>INDEX(AH$263:AH$279,$F2295)*$D2295*INDEX(AH$23:AH$30,$E2295)</f>
        <v/>
      </c>
      <c r="AI2295" s="35">
        <f>INDEX(AI$263:AI$279,$F2295)*$D2295*INDEX(AI$23:AI$30,$E2295)</f>
        <v/>
      </c>
      <c r="AJ2295" s="35">
        <f>INDEX(AJ$263:AJ$279,$F2295)*$D2295*INDEX(AJ$23:AJ$30,$E2295)</f>
        <v/>
      </c>
      <c r="AK2295" s="35">
        <f>INDEX(AK$263:AK$279,$F2295)*$D2295*INDEX(AK$23:AK$30,$E2295)</f>
        <v/>
      </c>
      <c r="AL2295" s="35">
        <f>INDEX(AL$263:AL$279,$F2295)*$D2295*INDEX(AL$23:AL$30,$E2295)</f>
        <v/>
      </c>
      <c r="AM2295" s="35">
        <f>INDEX(AM$263:AM$279,$F2295)*$D2295*INDEX(AM$23:AM$30,$E2295)</f>
        <v/>
      </c>
      <c r="AN2295" s="35">
        <f>INDEX(AN$263:AN$279,$F2295)*$D2295*INDEX(AN$23:AN$30,$E2295)</f>
        <v/>
      </c>
      <c r="AO2295" s="35">
        <f>INDEX(AO$263:AO$279,$F2295)*$D2295*INDEX(AO$23:AO$30,$E2295)</f>
        <v/>
      </c>
      <c r="AP2295" s="35">
        <f>INDEX(AP$263:AP$279,$F2295)*$D2295*INDEX(AP$23:AP$30,$E2295)</f>
        <v/>
      </c>
      <c r="AQ2295" s="35">
        <f>INDEX(AQ$263:AQ$279,$F2295)*$D2295*INDEX(AQ$23:AQ$30,$E2295)</f>
        <v/>
      </c>
      <c r="AR2295" s="35">
        <f>INDEX(AR$263:AR$279,$F2295)*$D2295*INDEX(AR$23:AR$30,$E2295)</f>
        <v/>
      </c>
      <c r="AS2295" s="35">
        <f>INDEX(AS$263:AS$279,$F2295)*$D2295*INDEX(AS$23:AS$30,$E2295)</f>
        <v/>
      </c>
      <c r="AT2295" s="35">
        <f>INDEX(AT$263:AT$279,$F2295)*$D2295*INDEX(AT$23:AT$30,$E2295)</f>
        <v/>
      </c>
      <c r="AU2295" s="35">
        <f>INDEX(AU$263:AU$279,$F2295)*$D2295*INDEX(AU$23:AU$30,$E2295)</f>
        <v/>
      </c>
      <c r="AV2295" s="35">
        <f>INDEX(AV$263:AV$279,$F2295)*$D2295*INDEX(AV$23:AV$30,$E2295)</f>
        <v/>
      </c>
      <c r="AW2295" s="35">
        <f>INDEX(AW$263:AW$279,$F2295)*$D2295*INDEX(AW$23:AW$30,$E2295)</f>
        <v/>
      </c>
      <c r="AX2295" s="35">
        <f>INDEX(AX$263:AX$279,$F2295)*$D2295*INDEX(AX$23:AX$30,$E2295)</f>
        <v/>
      </c>
      <c r="AY2295" s="35">
        <f>INDEX(AY$263:AY$279,$F2295)*$D2295*INDEX(AY$23:AY$30,$E2295)</f>
        <v/>
      </c>
      <c r="AZ2295" s="35">
        <f>INDEX(AZ$263:AZ$279,$F2295)*$D2295*INDEX(AZ$23:AZ$30,$E2295)</f>
        <v/>
      </c>
      <c r="BA2295" s="42">
        <f>CARBONTAX(INDEX(BA$263:BA$279,$F2295),$D2295,INDEX(BA$23:BA$30,$E2295))</f>
        <v/>
      </c>
    </row>
    <row r="2296" hidden="1" outlineLevel="2">
      <c r="A2296" s="14" t="inlineStr">
        <is>
          <t>ctxnew</t>
        </is>
      </c>
      <c r="B2296" s="14" t="inlineStr">
        <is>
          <t>die</t>
        </is>
      </c>
      <c r="C2296" s="14" t="inlineStr">
        <is>
          <t>mac</t>
        </is>
      </c>
      <c r="D2296" s="35">
        <f>INDEX(Inputs!$W$5:$W$132,MATCH($B2296&amp;"|"&amp;$C2296,Inputs!$A$5:$A$132,0))</f>
        <v/>
      </c>
      <c r="E2296" s="35">
        <f>INDEX(Inputs!$L$5:$L$132,MATCH($B2296&amp;"|"&amp;$C2296,Inputs!$A$5:$A$132,0))</f>
        <v/>
      </c>
      <c r="F2296" s="35">
        <f>INDEX(Inputs!$M$5:$M$132,MATCH($B2296&amp;"|"&amp;$C2296,Inputs!$A$5:$A$132,0))</f>
        <v/>
      </c>
      <c r="G2296" s="39" t="n"/>
      <c r="H2296" s="14">
        <f>INDEX(VarLab,MATCH($A2296,VarKey,0))&amp;INDEX(MemLab,MATCH($C2296&amp;"|"&amp;$B2296,MemKey,0))</f>
        <v/>
      </c>
      <c r="I2296" s="14">
        <f>INDEX(VarUnit,MATCH($A2296,VarKey,0))</f>
        <v/>
      </c>
      <c r="J2296" s="14">
        <f>INDEX(VarSrc,MATCH($A2296,VarKey,0))</f>
        <v/>
      </c>
      <c r="K2296" s="11">
        <f>CodePrefix&amp;$A2296&amp;IF($C2296="","","."&amp;$C2296&amp;"."&amp;$B2296)&amp;INDEX(VarEnd,MATCH($A2296,VarKey,0))&amp;K$5</f>
        <v/>
      </c>
      <c r="L2296" s="40">
        <f>INDEX(L$263:L$279,$F2296)*$D2296*INDEX(L$23:L$30,$E2296)</f>
        <v/>
      </c>
      <c r="M2296" s="35">
        <f>INDEX(M$263:M$279,$F2296)*$D2296*INDEX(M$23:M$30,$E2296)</f>
        <v/>
      </c>
      <c r="N2296" s="35">
        <f>INDEX(N$263:N$279,$F2296)*$D2296*INDEX(N$23:N$30,$E2296)</f>
        <v/>
      </c>
      <c r="O2296" s="35">
        <f>INDEX(O$263:O$279,$F2296)*$D2296*INDEX(O$23:O$30,$E2296)</f>
        <v/>
      </c>
      <c r="P2296" s="35">
        <f>INDEX(P$263:P$279,$F2296)*$D2296*INDEX(P$23:P$30,$E2296)</f>
        <v/>
      </c>
      <c r="Q2296" s="35">
        <f>INDEX(Q$263:Q$279,$F2296)*$D2296*INDEX(Q$23:Q$30,$E2296)</f>
        <v/>
      </c>
      <c r="R2296" s="35">
        <f>INDEX(R$263:R$279,$F2296)*$D2296*INDEX(R$23:R$30,$E2296)</f>
        <v/>
      </c>
      <c r="S2296" s="35">
        <f>INDEX(S$263:S$279,$F2296)*$D2296*INDEX(S$23:S$30,$E2296)</f>
        <v/>
      </c>
      <c r="T2296" s="35">
        <f>INDEX(T$263:T$279,$F2296)*$D2296*INDEX(T$23:T$30,$E2296)</f>
        <v/>
      </c>
      <c r="U2296" s="35">
        <f>INDEX(U$263:U$279,$F2296)*$D2296*INDEX(U$23:U$30,$E2296)</f>
        <v/>
      </c>
      <c r="V2296" s="35">
        <f>INDEX(V$263:V$279,$F2296)*$D2296*INDEX(V$23:V$30,$E2296)</f>
        <v/>
      </c>
      <c r="W2296" s="35">
        <f>INDEX(W$263:W$279,$F2296)*$D2296*INDEX(W$23:W$30,$E2296)</f>
        <v/>
      </c>
      <c r="X2296" s="35">
        <f>INDEX(X$263:X$279,$F2296)*$D2296*INDEX(X$23:X$30,$E2296)</f>
        <v/>
      </c>
      <c r="Y2296" s="35">
        <f>INDEX(Y$263:Y$279,$F2296)*$D2296*INDEX(Y$23:Y$30,$E2296)</f>
        <v/>
      </c>
      <c r="Z2296" s="35">
        <f>INDEX(Z$263:Z$279,$F2296)*$D2296*INDEX(Z$23:Z$30,$E2296)</f>
        <v/>
      </c>
      <c r="AA2296" s="35">
        <f>INDEX(AA$263:AA$279,$F2296)*$D2296*INDEX(AA$23:AA$30,$E2296)</f>
        <v/>
      </c>
      <c r="AB2296" s="35">
        <f>INDEX(AB$263:AB$279,$F2296)*$D2296*INDEX(AB$23:AB$30,$E2296)</f>
        <v/>
      </c>
      <c r="AC2296" s="35">
        <f>INDEX(AC$263:AC$279,$F2296)*$D2296*INDEX(AC$23:AC$30,$E2296)</f>
        <v/>
      </c>
      <c r="AD2296" s="35">
        <f>INDEX(AD$263:AD$279,$F2296)*$D2296*INDEX(AD$23:AD$30,$E2296)</f>
        <v/>
      </c>
      <c r="AE2296" s="42">
        <f>CARBONTAX(INDEX(AE$263:AE$279,$F2296),$D2296,INDEX(AE$23:AE$30,$E2296))</f>
        <v/>
      </c>
      <c r="AG2296" s="11">
        <f>CodePrefix&amp;$A2296&amp;IF($C2296="","","."&amp;$C2296&amp;"."&amp;$B2296)&amp;INDEX(VarEnd,MATCH($A2296,VarKey,0))&amp;AG$5</f>
        <v/>
      </c>
      <c r="AH2296" s="40">
        <f>INDEX(AH$263:AH$279,$F2296)*$D2296*INDEX(AH$23:AH$30,$E2296)</f>
        <v/>
      </c>
      <c r="AI2296" s="35">
        <f>INDEX(AI$263:AI$279,$F2296)*$D2296*INDEX(AI$23:AI$30,$E2296)</f>
        <v/>
      </c>
      <c r="AJ2296" s="35">
        <f>INDEX(AJ$263:AJ$279,$F2296)*$D2296*INDEX(AJ$23:AJ$30,$E2296)</f>
        <v/>
      </c>
      <c r="AK2296" s="35">
        <f>INDEX(AK$263:AK$279,$F2296)*$D2296*INDEX(AK$23:AK$30,$E2296)</f>
        <v/>
      </c>
      <c r="AL2296" s="35">
        <f>INDEX(AL$263:AL$279,$F2296)*$D2296*INDEX(AL$23:AL$30,$E2296)</f>
        <v/>
      </c>
      <c r="AM2296" s="35">
        <f>INDEX(AM$263:AM$279,$F2296)*$D2296*INDEX(AM$23:AM$30,$E2296)</f>
        <v/>
      </c>
      <c r="AN2296" s="35">
        <f>INDEX(AN$263:AN$279,$F2296)*$D2296*INDEX(AN$23:AN$30,$E2296)</f>
        <v/>
      </c>
      <c r="AO2296" s="35">
        <f>INDEX(AO$263:AO$279,$F2296)*$D2296*INDEX(AO$23:AO$30,$E2296)</f>
        <v/>
      </c>
      <c r="AP2296" s="35">
        <f>INDEX(AP$263:AP$279,$F2296)*$D2296*INDEX(AP$23:AP$30,$E2296)</f>
        <v/>
      </c>
      <c r="AQ2296" s="35">
        <f>INDEX(AQ$263:AQ$279,$F2296)*$D2296*INDEX(AQ$23:AQ$30,$E2296)</f>
        <v/>
      </c>
      <c r="AR2296" s="35">
        <f>INDEX(AR$263:AR$279,$F2296)*$D2296*INDEX(AR$23:AR$30,$E2296)</f>
        <v/>
      </c>
      <c r="AS2296" s="35">
        <f>INDEX(AS$263:AS$279,$F2296)*$D2296*INDEX(AS$23:AS$30,$E2296)</f>
        <v/>
      </c>
      <c r="AT2296" s="35">
        <f>INDEX(AT$263:AT$279,$F2296)*$D2296*INDEX(AT$23:AT$30,$E2296)</f>
        <v/>
      </c>
      <c r="AU2296" s="35">
        <f>INDEX(AU$263:AU$279,$F2296)*$D2296*INDEX(AU$23:AU$30,$E2296)</f>
        <v/>
      </c>
      <c r="AV2296" s="35">
        <f>INDEX(AV$263:AV$279,$F2296)*$D2296*INDEX(AV$23:AV$30,$E2296)</f>
        <v/>
      </c>
      <c r="AW2296" s="35">
        <f>INDEX(AW$263:AW$279,$F2296)*$D2296*INDEX(AW$23:AW$30,$E2296)</f>
        <v/>
      </c>
      <c r="AX2296" s="35">
        <f>INDEX(AX$263:AX$279,$F2296)*$D2296*INDEX(AX$23:AX$30,$E2296)</f>
        <v/>
      </c>
      <c r="AY2296" s="35">
        <f>INDEX(AY$263:AY$279,$F2296)*$D2296*INDEX(AY$23:AY$30,$E2296)</f>
        <v/>
      </c>
      <c r="AZ2296" s="35">
        <f>INDEX(AZ$263:AZ$279,$F2296)*$D2296*INDEX(AZ$23:AZ$30,$E2296)</f>
        <v/>
      </c>
      <c r="BA2296" s="42">
        <f>CARBONTAX(INDEX(BA$263:BA$279,$F2296),$D2296,INDEX(BA$23:BA$30,$E2296))</f>
        <v/>
      </c>
    </row>
    <row r="2297" hidden="1" outlineLevel="2">
      <c r="A2297" s="14" t="inlineStr">
        <is>
          <t>ctxnew</t>
        </is>
      </c>
      <c r="B2297" s="14" t="inlineStr">
        <is>
          <t>lpg</t>
        </is>
      </c>
      <c r="C2297" s="14" t="inlineStr">
        <is>
          <t>mac</t>
        </is>
      </c>
      <c r="D2297" s="35">
        <f>INDEX(Inputs!$W$5:$W$132,MATCH($B2297&amp;"|"&amp;$C2297,Inputs!$A$5:$A$132,0))</f>
        <v/>
      </c>
      <c r="E2297" s="35">
        <f>INDEX(Inputs!$L$5:$L$132,MATCH($B2297&amp;"|"&amp;$C2297,Inputs!$A$5:$A$132,0))</f>
        <v/>
      </c>
      <c r="F2297" s="35">
        <f>INDEX(Inputs!$M$5:$M$132,MATCH($B2297&amp;"|"&amp;$C2297,Inputs!$A$5:$A$132,0))</f>
        <v/>
      </c>
      <c r="G2297" s="39" t="n"/>
      <c r="H2297" s="14">
        <f>INDEX(VarLab,MATCH($A2297,VarKey,0))&amp;INDEX(MemLab,MATCH($C2297&amp;"|"&amp;$B2297,MemKey,0))</f>
        <v/>
      </c>
      <c r="I2297" s="14">
        <f>INDEX(VarUnit,MATCH($A2297,VarKey,0))</f>
        <v/>
      </c>
      <c r="J2297" s="14">
        <f>INDEX(VarSrc,MATCH($A2297,VarKey,0))</f>
        <v/>
      </c>
      <c r="K2297" s="11">
        <f>CodePrefix&amp;$A2297&amp;IF($C2297="","","."&amp;$C2297&amp;"."&amp;$B2297)&amp;INDEX(VarEnd,MATCH($A2297,VarKey,0))&amp;K$5</f>
        <v/>
      </c>
      <c r="L2297" s="40">
        <f>INDEX(L$263:L$279,$F2297)*$D2297*INDEX(L$23:L$30,$E2297)</f>
        <v/>
      </c>
      <c r="M2297" s="35">
        <f>INDEX(M$263:M$279,$F2297)*$D2297*INDEX(M$23:M$30,$E2297)</f>
        <v/>
      </c>
      <c r="N2297" s="35">
        <f>INDEX(N$263:N$279,$F2297)*$D2297*INDEX(N$23:N$30,$E2297)</f>
        <v/>
      </c>
      <c r="O2297" s="35">
        <f>INDEX(O$263:O$279,$F2297)*$D2297*INDEX(O$23:O$30,$E2297)</f>
        <v/>
      </c>
      <c r="P2297" s="35">
        <f>INDEX(P$263:P$279,$F2297)*$D2297*INDEX(P$23:P$30,$E2297)</f>
        <v/>
      </c>
      <c r="Q2297" s="35">
        <f>INDEX(Q$263:Q$279,$F2297)*$D2297*INDEX(Q$23:Q$30,$E2297)</f>
        <v/>
      </c>
      <c r="R2297" s="35">
        <f>INDEX(R$263:R$279,$F2297)*$D2297*INDEX(R$23:R$30,$E2297)</f>
        <v/>
      </c>
      <c r="S2297" s="35">
        <f>INDEX(S$263:S$279,$F2297)*$D2297*INDEX(S$23:S$30,$E2297)</f>
        <v/>
      </c>
      <c r="T2297" s="35">
        <f>INDEX(T$263:T$279,$F2297)*$D2297*INDEX(T$23:T$30,$E2297)</f>
        <v/>
      </c>
      <c r="U2297" s="35">
        <f>INDEX(U$263:U$279,$F2297)*$D2297*INDEX(U$23:U$30,$E2297)</f>
        <v/>
      </c>
      <c r="V2297" s="35">
        <f>INDEX(V$263:V$279,$F2297)*$D2297*INDEX(V$23:V$30,$E2297)</f>
        <v/>
      </c>
      <c r="W2297" s="35">
        <f>INDEX(W$263:W$279,$F2297)*$D2297*INDEX(W$23:W$30,$E2297)</f>
        <v/>
      </c>
      <c r="X2297" s="35">
        <f>INDEX(X$263:X$279,$F2297)*$D2297*INDEX(X$23:X$30,$E2297)</f>
        <v/>
      </c>
      <c r="Y2297" s="35">
        <f>INDEX(Y$263:Y$279,$F2297)*$D2297*INDEX(Y$23:Y$30,$E2297)</f>
        <v/>
      </c>
      <c r="Z2297" s="35">
        <f>INDEX(Z$263:Z$279,$F2297)*$D2297*INDEX(Z$23:Z$30,$E2297)</f>
        <v/>
      </c>
      <c r="AA2297" s="35">
        <f>INDEX(AA$263:AA$279,$F2297)*$D2297*INDEX(AA$23:AA$30,$E2297)</f>
        <v/>
      </c>
      <c r="AB2297" s="35">
        <f>INDEX(AB$263:AB$279,$F2297)*$D2297*INDEX(AB$23:AB$30,$E2297)</f>
        <v/>
      </c>
      <c r="AC2297" s="35">
        <f>INDEX(AC$263:AC$279,$F2297)*$D2297*INDEX(AC$23:AC$30,$E2297)</f>
        <v/>
      </c>
      <c r="AD2297" s="35">
        <f>INDEX(AD$263:AD$279,$F2297)*$D2297*INDEX(AD$23:AD$30,$E2297)</f>
        <v/>
      </c>
      <c r="AE2297" s="42">
        <f>CARBONTAX(INDEX(AE$263:AE$279,$F2297),$D2297,INDEX(AE$23:AE$30,$E2297))</f>
        <v/>
      </c>
      <c r="AG2297" s="11">
        <f>CodePrefix&amp;$A2297&amp;IF($C2297="","","."&amp;$C2297&amp;"."&amp;$B2297)&amp;INDEX(VarEnd,MATCH($A2297,VarKey,0))&amp;AG$5</f>
        <v/>
      </c>
      <c r="AH2297" s="40">
        <f>INDEX(AH$263:AH$279,$F2297)*$D2297*INDEX(AH$23:AH$30,$E2297)</f>
        <v/>
      </c>
      <c r="AI2297" s="35">
        <f>INDEX(AI$263:AI$279,$F2297)*$D2297*INDEX(AI$23:AI$30,$E2297)</f>
        <v/>
      </c>
      <c r="AJ2297" s="35">
        <f>INDEX(AJ$263:AJ$279,$F2297)*$D2297*INDEX(AJ$23:AJ$30,$E2297)</f>
        <v/>
      </c>
      <c r="AK2297" s="35">
        <f>INDEX(AK$263:AK$279,$F2297)*$D2297*INDEX(AK$23:AK$30,$E2297)</f>
        <v/>
      </c>
      <c r="AL2297" s="35">
        <f>INDEX(AL$263:AL$279,$F2297)*$D2297*INDEX(AL$23:AL$30,$E2297)</f>
        <v/>
      </c>
      <c r="AM2297" s="35">
        <f>INDEX(AM$263:AM$279,$F2297)*$D2297*INDEX(AM$23:AM$30,$E2297)</f>
        <v/>
      </c>
      <c r="AN2297" s="35">
        <f>INDEX(AN$263:AN$279,$F2297)*$D2297*INDEX(AN$23:AN$30,$E2297)</f>
        <v/>
      </c>
      <c r="AO2297" s="35">
        <f>INDEX(AO$263:AO$279,$F2297)*$D2297*INDEX(AO$23:AO$30,$E2297)</f>
        <v/>
      </c>
      <c r="AP2297" s="35">
        <f>INDEX(AP$263:AP$279,$F2297)*$D2297*INDEX(AP$23:AP$30,$E2297)</f>
        <v/>
      </c>
      <c r="AQ2297" s="35">
        <f>INDEX(AQ$263:AQ$279,$F2297)*$D2297*INDEX(AQ$23:AQ$30,$E2297)</f>
        <v/>
      </c>
      <c r="AR2297" s="35">
        <f>INDEX(AR$263:AR$279,$F2297)*$D2297*INDEX(AR$23:AR$30,$E2297)</f>
        <v/>
      </c>
      <c r="AS2297" s="35">
        <f>INDEX(AS$263:AS$279,$F2297)*$D2297*INDEX(AS$23:AS$30,$E2297)</f>
        <v/>
      </c>
      <c r="AT2297" s="35">
        <f>INDEX(AT$263:AT$279,$F2297)*$D2297*INDEX(AT$23:AT$30,$E2297)</f>
        <v/>
      </c>
      <c r="AU2297" s="35">
        <f>INDEX(AU$263:AU$279,$F2297)*$D2297*INDEX(AU$23:AU$30,$E2297)</f>
        <v/>
      </c>
      <c r="AV2297" s="35">
        <f>INDEX(AV$263:AV$279,$F2297)*$D2297*INDEX(AV$23:AV$30,$E2297)</f>
        <v/>
      </c>
      <c r="AW2297" s="35">
        <f>INDEX(AW$263:AW$279,$F2297)*$D2297*INDEX(AW$23:AW$30,$E2297)</f>
        <v/>
      </c>
      <c r="AX2297" s="35">
        <f>INDEX(AX$263:AX$279,$F2297)*$D2297*INDEX(AX$23:AX$30,$E2297)</f>
        <v/>
      </c>
      <c r="AY2297" s="35">
        <f>INDEX(AY$263:AY$279,$F2297)*$D2297*INDEX(AY$23:AY$30,$E2297)</f>
        <v/>
      </c>
      <c r="AZ2297" s="35">
        <f>INDEX(AZ$263:AZ$279,$F2297)*$D2297*INDEX(AZ$23:AZ$30,$E2297)</f>
        <v/>
      </c>
      <c r="BA2297" s="42">
        <f>CARBONTAX(INDEX(BA$263:BA$279,$F2297),$D2297,INDEX(BA$23:BA$30,$E2297))</f>
        <v/>
      </c>
    </row>
    <row r="2298" hidden="1" outlineLevel="2">
      <c r="A2298" s="14" t="inlineStr">
        <is>
          <t>ctxnew</t>
        </is>
      </c>
      <c r="B2298" s="14" t="inlineStr">
        <is>
          <t>ker</t>
        </is>
      </c>
      <c r="C2298" s="14" t="inlineStr">
        <is>
          <t>mac</t>
        </is>
      </c>
      <c r="D2298" s="35">
        <f>INDEX(Inputs!$W$5:$W$132,MATCH($B2298&amp;"|"&amp;$C2298,Inputs!$A$5:$A$132,0))</f>
        <v/>
      </c>
      <c r="E2298" s="35">
        <f>INDEX(Inputs!$L$5:$L$132,MATCH($B2298&amp;"|"&amp;$C2298,Inputs!$A$5:$A$132,0))</f>
        <v/>
      </c>
      <c r="F2298" s="35">
        <f>INDEX(Inputs!$M$5:$M$132,MATCH($B2298&amp;"|"&amp;$C2298,Inputs!$A$5:$A$132,0))</f>
        <v/>
      </c>
      <c r="G2298" s="39" t="n"/>
      <c r="H2298" s="14">
        <f>INDEX(VarLab,MATCH($A2298,VarKey,0))&amp;INDEX(MemLab,MATCH($C2298&amp;"|"&amp;$B2298,MemKey,0))</f>
        <v/>
      </c>
      <c r="I2298" s="14">
        <f>INDEX(VarUnit,MATCH($A2298,VarKey,0))</f>
        <v/>
      </c>
      <c r="J2298" s="14">
        <f>INDEX(VarSrc,MATCH($A2298,VarKey,0))</f>
        <v/>
      </c>
      <c r="K2298" s="11">
        <f>CodePrefix&amp;$A2298&amp;IF($C2298="","","."&amp;$C2298&amp;"."&amp;$B2298)&amp;INDEX(VarEnd,MATCH($A2298,VarKey,0))&amp;K$5</f>
        <v/>
      </c>
      <c r="L2298" s="40">
        <f>INDEX(L$263:L$279,$F2298)*$D2298*INDEX(L$23:L$30,$E2298)</f>
        <v/>
      </c>
      <c r="M2298" s="35">
        <f>INDEX(M$263:M$279,$F2298)*$D2298*INDEX(M$23:M$30,$E2298)</f>
        <v/>
      </c>
      <c r="N2298" s="35">
        <f>INDEX(N$263:N$279,$F2298)*$D2298*INDEX(N$23:N$30,$E2298)</f>
        <v/>
      </c>
      <c r="O2298" s="35">
        <f>INDEX(O$263:O$279,$F2298)*$D2298*INDEX(O$23:O$30,$E2298)</f>
        <v/>
      </c>
      <c r="P2298" s="35">
        <f>INDEX(P$263:P$279,$F2298)*$D2298*INDEX(P$23:P$30,$E2298)</f>
        <v/>
      </c>
      <c r="Q2298" s="35">
        <f>INDEX(Q$263:Q$279,$F2298)*$D2298*INDEX(Q$23:Q$30,$E2298)</f>
        <v/>
      </c>
      <c r="R2298" s="35">
        <f>INDEX(R$263:R$279,$F2298)*$D2298*INDEX(R$23:R$30,$E2298)</f>
        <v/>
      </c>
      <c r="S2298" s="35">
        <f>INDEX(S$263:S$279,$F2298)*$D2298*INDEX(S$23:S$30,$E2298)</f>
        <v/>
      </c>
      <c r="T2298" s="35">
        <f>INDEX(T$263:T$279,$F2298)*$D2298*INDEX(T$23:T$30,$E2298)</f>
        <v/>
      </c>
      <c r="U2298" s="35">
        <f>INDEX(U$263:U$279,$F2298)*$D2298*INDEX(U$23:U$30,$E2298)</f>
        <v/>
      </c>
      <c r="V2298" s="35">
        <f>INDEX(V$263:V$279,$F2298)*$D2298*INDEX(V$23:V$30,$E2298)</f>
        <v/>
      </c>
      <c r="W2298" s="35">
        <f>INDEX(W$263:W$279,$F2298)*$D2298*INDEX(W$23:W$30,$E2298)</f>
        <v/>
      </c>
      <c r="X2298" s="35">
        <f>INDEX(X$263:X$279,$F2298)*$D2298*INDEX(X$23:X$30,$E2298)</f>
        <v/>
      </c>
      <c r="Y2298" s="35">
        <f>INDEX(Y$263:Y$279,$F2298)*$D2298*INDEX(Y$23:Y$30,$E2298)</f>
        <v/>
      </c>
      <c r="Z2298" s="35">
        <f>INDEX(Z$263:Z$279,$F2298)*$D2298*INDEX(Z$23:Z$30,$E2298)</f>
        <v/>
      </c>
      <c r="AA2298" s="35">
        <f>INDEX(AA$263:AA$279,$F2298)*$D2298*INDEX(AA$23:AA$30,$E2298)</f>
        <v/>
      </c>
      <c r="AB2298" s="35">
        <f>INDEX(AB$263:AB$279,$F2298)*$D2298*INDEX(AB$23:AB$30,$E2298)</f>
        <v/>
      </c>
      <c r="AC2298" s="35">
        <f>INDEX(AC$263:AC$279,$F2298)*$D2298*INDEX(AC$23:AC$30,$E2298)</f>
        <v/>
      </c>
      <c r="AD2298" s="35">
        <f>INDEX(AD$263:AD$279,$F2298)*$D2298*INDEX(AD$23:AD$30,$E2298)</f>
        <v/>
      </c>
      <c r="AE2298" s="42">
        <f>CARBONTAX(INDEX(AE$263:AE$279,$F2298),$D2298,INDEX(AE$23:AE$30,$E2298))</f>
        <v/>
      </c>
      <c r="AG2298" s="11">
        <f>CodePrefix&amp;$A2298&amp;IF($C2298="","","."&amp;$C2298&amp;"."&amp;$B2298)&amp;INDEX(VarEnd,MATCH($A2298,VarKey,0))&amp;AG$5</f>
        <v/>
      </c>
      <c r="AH2298" s="40">
        <f>INDEX(AH$263:AH$279,$F2298)*$D2298*INDEX(AH$23:AH$30,$E2298)</f>
        <v/>
      </c>
      <c r="AI2298" s="35">
        <f>INDEX(AI$263:AI$279,$F2298)*$D2298*INDEX(AI$23:AI$30,$E2298)</f>
        <v/>
      </c>
      <c r="AJ2298" s="35">
        <f>INDEX(AJ$263:AJ$279,$F2298)*$D2298*INDEX(AJ$23:AJ$30,$E2298)</f>
        <v/>
      </c>
      <c r="AK2298" s="35">
        <f>INDEX(AK$263:AK$279,$F2298)*$D2298*INDEX(AK$23:AK$30,$E2298)</f>
        <v/>
      </c>
      <c r="AL2298" s="35">
        <f>INDEX(AL$263:AL$279,$F2298)*$D2298*INDEX(AL$23:AL$30,$E2298)</f>
        <v/>
      </c>
      <c r="AM2298" s="35">
        <f>INDEX(AM$263:AM$279,$F2298)*$D2298*INDEX(AM$23:AM$30,$E2298)</f>
        <v/>
      </c>
      <c r="AN2298" s="35">
        <f>INDEX(AN$263:AN$279,$F2298)*$D2298*INDEX(AN$23:AN$30,$E2298)</f>
        <v/>
      </c>
      <c r="AO2298" s="35">
        <f>INDEX(AO$263:AO$279,$F2298)*$D2298*INDEX(AO$23:AO$30,$E2298)</f>
        <v/>
      </c>
      <c r="AP2298" s="35">
        <f>INDEX(AP$263:AP$279,$F2298)*$D2298*INDEX(AP$23:AP$30,$E2298)</f>
        <v/>
      </c>
      <c r="AQ2298" s="35">
        <f>INDEX(AQ$263:AQ$279,$F2298)*$D2298*INDEX(AQ$23:AQ$30,$E2298)</f>
        <v/>
      </c>
      <c r="AR2298" s="35">
        <f>INDEX(AR$263:AR$279,$F2298)*$D2298*INDEX(AR$23:AR$30,$E2298)</f>
        <v/>
      </c>
      <c r="AS2298" s="35">
        <f>INDEX(AS$263:AS$279,$F2298)*$D2298*INDEX(AS$23:AS$30,$E2298)</f>
        <v/>
      </c>
      <c r="AT2298" s="35">
        <f>INDEX(AT$263:AT$279,$F2298)*$D2298*INDEX(AT$23:AT$30,$E2298)</f>
        <v/>
      </c>
      <c r="AU2298" s="35">
        <f>INDEX(AU$263:AU$279,$F2298)*$D2298*INDEX(AU$23:AU$30,$E2298)</f>
        <v/>
      </c>
      <c r="AV2298" s="35">
        <f>INDEX(AV$263:AV$279,$F2298)*$D2298*INDEX(AV$23:AV$30,$E2298)</f>
        <v/>
      </c>
      <c r="AW2298" s="35">
        <f>INDEX(AW$263:AW$279,$F2298)*$D2298*INDEX(AW$23:AW$30,$E2298)</f>
        <v/>
      </c>
      <c r="AX2298" s="35">
        <f>INDEX(AX$263:AX$279,$F2298)*$D2298*INDEX(AX$23:AX$30,$E2298)</f>
        <v/>
      </c>
      <c r="AY2298" s="35">
        <f>INDEX(AY$263:AY$279,$F2298)*$D2298*INDEX(AY$23:AY$30,$E2298)</f>
        <v/>
      </c>
      <c r="AZ2298" s="35">
        <f>INDEX(AZ$263:AZ$279,$F2298)*$D2298*INDEX(AZ$23:AZ$30,$E2298)</f>
        <v/>
      </c>
      <c r="BA2298" s="42">
        <f>CARBONTAX(INDEX(BA$263:BA$279,$F2298),$D2298,INDEX(BA$23:BA$30,$E2298))</f>
        <v/>
      </c>
    </row>
    <row r="2299" hidden="1" outlineLevel="2">
      <c r="A2299" s="14" t="inlineStr">
        <is>
          <t>ctxnew</t>
        </is>
      </c>
      <c r="B2299" s="14" t="inlineStr">
        <is>
          <t>oop</t>
        </is>
      </c>
      <c r="C2299" s="14" t="inlineStr">
        <is>
          <t>mac</t>
        </is>
      </c>
      <c r="D2299" s="35">
        <f>INDEX(Inputs!$W$5:$W$132,MATCH($B2299&amp;"|"&amp;$C2299,Inputs!$A$5:$A$132,0))</f>
        <v/>
      </c>
      <c r="E2299" s="35">
        <f>INDEX(Inputs!$L$5:$L$132,MATCH($B2299&amp;"|"&amp;$C2299,Inputs!$A$5:$A$132,0))</f>
        <v/>
      </c>
      <c r="F2299" s="35">
        <f>INDEX(Inputs!$M$5:$M$132,MATCH($B2299&amp;"|"&amp;$C2299,Inputs!$A$5:$A$132,0))</f>
        <v/>
      </c>
      <c r="G2299" s="39" t="n"/>
      <c r="H2299" s="14">
        <f>INDEX(VarLab,MATCH($A2299,VarKey,0))&amp;INDEX(MemLab,MATCH($C2299&amp;"|"&amp;$B2299,MemKey,0))</f>
        <v/>
      </c>
      <c r="I2299" s="14">
        <f>INDEX(VarUnit,MATCH($A2299,VarKey,0))</f>
        <v/>
      </c>
      <c r="J2299" s="14">
        <f>INDEX(VarSrc,MATCH($A2299,VarKey,0))</f>
        <v/>
      </c>
      <c r="K2299" s="11">
        <f>CodePrefix&amp;$A2299&amp;IF($C2299="","","."&amp;$C2299&amp;"."&amp;$B2299)&amp;INDEX(VarEnd,MATCH($A2299,VarKey,0))&amp;K$5</f>
        <v/>
      </c>
      <c r="L2299" s="40">
        <f>INDEX(L$263:L$279,$F2299)*$D2299*INDEX(L$23:L$30,$E2299)</f>
        <v/>
      </c>
      <c r="M2299" s="35">
        <f>INDEX(M$263:M$279,$F2299)*$D2299*INDEX(M$23:M$30,$E2299)</f>
        <v/>
      </c>
      <c r="N2299" s="35">
        <f>INDEX(N$263:N$279,$F2299)*$D2299*INDEX(N$23:N$30,$E2299)</f>
        <v/>
      </c>
      <c r="O2299" s="35">
        <f>INDEX(O$263:O$279,$F2299)*$D2299*INDEX(O$23:O$30,$E2299)</f>
        <v/>
      </c>
      <c r="P2299" s="35">
        <f>INDEX(P$263:P$279,$F2299)*$D2299*INDEX(P$23:P$30,$E2299)</f>
        <v/>
      </c>
      <c r="Q2299" s="35">
        <f>INDEX(Q$263:Q$279,$F2299)*$D2299*INDEX(Q$23:Q$30,$E2299)</f>
        <v/>
      </c>
      <c r="R2299" s="35">
        <f>INDEX(R$263:R$279,$F2299)*$D2299*INDEX(R$23:R$30,$E2299)</f>
        <v/>
      </c>
      <c r="S2299" s="35">
        <f>INDEX(S$263:S$279,$F2299)*$D2299*INDEX(S$23:S$30,$E2299)</f>
        <v/>
      </c>
      <c r="T2299" s="35">
        <f>INDEX(T$263:T$279,$F2299)*$D2299*INDEX(T$23:T$30,$E2299)</f>
        <v/>
      </c>
      <c r="U2299" s="35">
        <f>INDEX(U$263:U$279,$F2299)*$D2299*INDEX(U$23:U$30,$E2299)</f>
        <v/>
      </c>
      <c r="V2299" s="35">
        <f>INDEX(V$263:V$279,$F2299)*$D2299*INDEX(V$23:V$30,$E2299)</f>
        <v/>
      </c>
      <c r="W2299" s="35">
        <f>INDEX(W$263:W$279,$F2299)*$D2299*INDEX(W$23:W$30,$E2299)</f>
        <v/>
      </c>
      <c r="X2299" s="35">
        <f>INDEX(X$263:X$279,$F2299)*$D2299*INDEX(X$23:X$30,$E2299)</f>
        <v/>
      </c>
      <c r="Y2299" s="35">
        <f>INDEX(Y$263:Y$279,$F2299)*$D2299*INDEX(Y$23:Y$30,$E2299)</f>
        <v/>
      </c>
      <c r="Z2299" s="35">
        <f>INDEX(Z$263:Z$279,$F2299)*$D2299*INDEX(Z$23:Z$30,$E2299)</f>
        <v/>
      </c>
      <c r="AA2299" s="35">
        <f>INDEX(AA$263:AA$279,$F2299)*$D2299*INDEX(AA$23:AA$30,$E2299)</f>
        <v/>
      </c>
      <c r="AB2299" s="35">
        <f>INDEX(AB$263:AB$279,$F2299)*$D2299*INDEX(AB$23:AB$30,$E2299)</f>
        <v/>
      </c>
      <c r="AC2299" s="35">
        <f>INDEX(AC$263:AC$279,$F2299)*$D2299*INDEX(AC$23:AC$30,$E2299)</f>
        <v/>
      </c>
      <c r="AD2299" s="35">
        <f>INDEX(AD$263:AD$279,$F2299)*$D2299*INDEX(AD$23:AD$30,$E2299)</f>
        <v/>
      </c>
      <c r="AE2299" s="42">
        <f>CARBONTAX(INDEX(AE$263:AE$279,$F2299),$D2299,INDEX(AE$23:AE$30,$E2299))</f>
        <v/>
      </c>
      <c r="AG2299" s="11">
        <f>CodePrefix&amp;$A2299&amp;IF($C2299="","","."&amp;$C2299&amp;"."&amp;$B2299)&amp;INDEX(VarEnd,MATCH($A2299,VarKey,0))&amp;AG$5</f>
        <v/>
      </c>
      <c r="AH2299" s="40">
        <f>INDEX(AH$263:AH$279,$F2299)*$D2299*INDEX(AH$23:AH$30,$E2299)</f>
        <v/>
      </c>
      <c r="AI2299" s="35">
        <f>INDEX(AI$263:AI$279,$F2299)*$D2299*INDEX(AI$23:AI$30,$E2299)</f>
        <v/>
      </c>
      <c r="AJ2299" s="35">
        <f>INDEX(AJ$263:AJ$279,$F2299)*$D2299*INDEX(AJ$23:AJ$30,$E2299)</f>
        <v/>
      </c>
      <c r="AK2299" s="35">
        <f>INDEX(AK$263:AK$279,$F2299)*$D2299*INDEX(AK$23:AK$30,$E2299)</f>
        <v/>
      </c>
      <c r="AL2299" s="35">
        <f>INDEX(AL$263:AL$279,$F2299)*$D2299*INDEX(AL$23:AL$30,$E2299)</f>
        <v/>
      </c>
      <c r="AM2299" s="35">
        <f>INDEX(AM$263:AM$279,$F2299)*$D2299*INDEX(AM$23:AM$30,$E2299)</f>
        <v/>
      </c>
      <c r="AN2299" s="35">
        <f>INDEX(AN$263:AN$279,$F2299)*$D2299*INDEX(AN$23:AN$30,$E2299)</f>
        <v/>
      </c>
      <c r="AO2299" s="35">
        <f>INDEX(AO$263:AO$279,$F2299)*$D2299*INDEX(AO$23:AO$30,$E2299)</f>
        <v/>
      </c>
      <c r="AP2299" s="35">
        <f>INDEX(AP$263:AP$279,$F2299)*$D2299*INDEX(AP$23:AP$30,$E2299)</f>
        <v/>
      </c>
      <c r="AQ2299" s="35">
        <f>INDEX(AQ$263:AQ$279,$F2299)*$D2299*INDEX(AQ$23:AQ$30,$E2299)</f>
        <v/>
      </c>
      <c r="AR2299" s="35">
        <f>INDEX(AR$263:AR$279,$F2299)*$D2299*INDEX(AR$23:AR$30,$E2299)</f>
        <v/>
      </c>
      <c r="AS2299" s="35">
        <f>INDEX(AS$263:AS$279,$F2299)*$D2299*INDEX(AS$23:AS$30,$E2299)</f>
        <v/>
      </c>
      <c r="AT2299" s="35">
        <f>INDEX(AT$263:AT$279,$F2299)*$D2299*INDEX(AT$23:AT$30,$E2299)</f>
        <v/>
      </c>
      <c r="AU2299" s="35">
        <f>INDEX(AU$263:AU$279,$F2299)*$D2299*INDEX(AU$23:AU$30,$E2299)</f>
        <v/>
      </c>
      <c r="AV2299" s="35">
        <f>INDEX(AV$263:AV$279,$F2299)*$D2299*INDEX(AV$23:AV$30,$E2299)</f>
        <v/>
      </c>
      <c r="AW2299" s="35">
        <f>INDEX(AW$263:AW$279,$F2299)*$D2299*INDEX(AW$23:AW$30,$E2299)</f>
        <v/>
      </c>
      <c r="AX2299" s="35">
        <f>INDEX(AX$263:AX$279,$F2299)*$D2299*INDEX(AX$23:AX$30,$E2299)</f>
        <v/>
      </c>
      <c r="AY2299" s="35">
        <f>INDEX(AY$263:AY$279,$F2299)*$D2299*INDEX(AY$23:AY$30,$E2299)</f>
        <v/>
      </c>
      <c r="AZ2299" s="35">
        <f>INDEX(AZ$263:AZ$279,$F2299)*$D2299*INDEX(AZ$23:AZ$30,$E2299)</f>
        <v/>
      </c>
      <c r="BA2299" s="42">
        <f>CARBONTAX(INDEX(BA$263:BA$279,$F2299),$D2299,INDEX(BA$23:BA$30,$E2299))</f>
        <v/>
      </c>
    </row>
    <row r="2300" hidden="1" outlineLevel="2">
      <c r="A2300" s="14" t="inlineStr">
        <is>
          <t>ctxnew</t>
        </is>
      </c>
      <c r="B2300" s="14" t="inlineStr">
        <is>
          <t>bio</t>
        </is>
      </c>
      <c r="C2300" s="14" t="inlineStr">
        <is>
          <t>mac</t>
        </is>
      </c>
      <c r="D2300" s="35">
        <f>INDEX(Inputs!$W$5:$W$132,MATCH($B2300&amp;"|"&amp;$C2300,Inputs!$A$5:$A$132,0))</f>
        <v/>
      </c>
      <c r="E2300" s="35">
        <f>INDEX(Inputs!$L$5:$L$132,MATCH($B2300&amp;"|"&amp;$C2300,Inputs!$A$5:$A$132,0))</f>
        <v/>
      </c>
      <c r="F2300" s="35">
        <f>INDEX(Inputs!$M$5:$M$132,MATCH($B2300&amp;"|"&amp;$C2300,Inputs!$A$5:$A$132,0))</f>
        <v/>
      </c>
      <c r="G2300" s="39" t="n"/>
      <c r="H2300" s="14">
        <f>INDEX(VarLab,MATCH($A2300,VarKey,0))&amp;INDEX(MemLab,MATCH($C2300&amp;"|"&amp;$B2300,MemKey,0))</f>
        <v/>
      </c>
      <c r="I2300" s="14">
        <f>INDEX(VarUnit,MATCH($A2300,VarKey,0))</f>
        <v/>
      </c>
      <c r="J2300" s="14">
        <f>INDEX(VarSrc,MATCH($A2300,VarKey,0))</f>
        <v/>
      </c>
      <c r="K2300" s="11">
        <f>CodePrefix&amp;$A2300&amp;IF($C2300="","","."&amp;$C2300&amp;"."&amp;$B2300)&amp;INDEX(VarEnd,MATCH($A2300,VarKey,0))&amp;K$5</f>
        <v/>
      </c>
      <c r="L2300" s="40">
        <f>INDEX(L$263:L$279,$F2300)*$D2300*INDEX(L$23:L$30,$E2300)</f>
        <v/>
      </c>
      <c r="M2300" s="35">
        <f>INDEX(M$263:M$279,$F2300)*$D2300*INDEX(M$23:M$30,$E2300)</f>
        <v/>
      </c>
      <c r="N2300" s="35">
        <f>INDEX(N$263:N$279,$F2300)*$D2300*INDEX(N$23:N$30,$E2300)</f>
        <v/>
      </c>
      <c r="O2300" s="35">
        <f>INDEX(O$263:O$279,$F2300)*$D2300*INDEX(O$23:O$30,$E2300)</f>
        <v/>
      </c>
      <c r="P2300" s="35">
        <f>INDEX(P$263:P$279,$F2300)*$D2300*INDEX(P$23:P$30,$E2300)</f>
        <v/>
      </c>
      <c r="Q2300" s="35">
        <f>INDEX(Q$263:Q$279,$F2300)*$D2300*INDEX(Q$23:Q$30,$E2300)</f>
        <v/>
      </c>
      <c r="R2300" s="35">
        <f>INDEX(R$263:R$279,$F2300)*$D2300*INDEX(R$23:R$30,$E2300)</f>
        <v/>
      </c>
      <c r="S2300" s="35">
        <f>INDEX(S$263:S$279,$F2300)*$D2300*INDEX(S$23:S$30,$E2300)</f>
        <v/>
      </c>
      <c r="T2300" s="35">
        <f>INDEX(T$263:T$279,$F2300)*$D2300*INDEX(T$23:T$30,$E2300)</f>
        <v/>
      </c>
      <c r="U2300" s="35">
        <f>INDEX(U$263:U$279,$F2300)*$D2300*INDEX(U$23:U$30,$E2300)</f>
        <v/>
      </c>
      <c r="V2300" s="35">
        <f>INDEX(V$263:V$279,$F2300)*$D2300*INDEX(V$23:V$30,$E2300)</f>
        <v/>
      </c>
      <c r="W2300" s="35">
        <f>INDEX(W$263:W$279,$F2300)*$D2300*INDEX(W$23:W$30,$E2300)</f>
        <v/>
      </c>
      <c r="X2300" s="35">
        <f>INDEX(X$263:X$279,$F2300)*$D2300*INDEX(X$23:X$30,$E2300)</f>
        <v/>
      </c>
      <c r="Y2300" s="35">
        <f>INDEX(Y$263:Y$279,$F2300)*$D2300*INDEX(Y$23:Y$30,$E2300)</f>
        <v/>
      </c>
      <c r="Z2300" s="35">
        <f>INDEX(Z$263:Z$279,$F2300)*$D2300*INDEX(Z$23:Z$30,$E2300)</f>
        <v/>
      </c>
      <c r="AA2300" s="35">
        <f>INDEX(AA$263:AA$279,$F2300)*$D2300*INDEX(AA$23:AA$30,$E2300)</f>
        <v/>
      </c>
      <c r="AB2300" s="35">
        <f>INDEX(AB$263:AB$279,$F2300)*$D2300*INDEX(AB$23:AB$30,$E2300)</f>
        <v/>
      </c>
      <c r="AC2300" s="35">
        <f>INDEX(AC$263:AC$279,$F2300)*$D2300*INDEX(AC$23:AC$30,$E2300)</f>
        <v/>
      </c>
      <c r="AD2300" s="35">
        <f>INDEX(AD$263:AD$279,$F2300)*$D2300*INDEX(AD$23:AD$30,$E2300)</f>
        <v/>
      </c>
      <c r="AE2300" s="42">
        <f>CARBONTAX(INDEX(AE$263:AE$279,$F2300),$D2300,INDEX(AE$23:AE$30,$E2300))</f>
        <v/>
      </c>
      <c r="AG2300" s="11">
        <f>CodePrefix&amp;$A2300&amp;IF($C2300="","","."&amp;$C2300&amp;"."&amp;$B2300)&amp;INDEX(VarEnd,MATCH($A2300,VarKey,0))&amp;AG$5</f>
        <v/>
      </c>
      <c r="AH2300" s="40">
        <f>INDEX(AH$263:AH$279,$F2300)*$D2300*INDEX(AH$23:AH$30,$E2300)</f>
        <v/>
      </c>
      <c r="AI2300" s="35">
        <f>INDEX(AI$263:AI$279,$F2300)*$D2300*INDEX(AI$23:AI$30,$E2300)</f>
        <v/>
      </c>
      <c r="AJ2300" s="35">
        <f>INDEX(AJ$263:AJ$279,$F2300)*$D2300*INDEX(AJ$23:AJ$30,$E2300)</f>
        <v/>
      </c>
      <c r="AK2300" s="35">
        <f>INDEX(AK$263:AK$279,$F2300)*$D2300*INDEX(AK$23:AK$30,$E2300)</f>
        <v/>
      </c>
      <c r="AL2300" s="35">
        <f>INDEX(AL$263:AL$279,$F2300)*$D2300*INDEX(AL$23:AL$30,$E2300)</f>
        <v/>
      </c>
      <c r="AM2300" s="35">
        <f>INDEX(AM$263:AM$279,$F2300)*$D2300*INDEX(AM$23:AM$30,$E2300)</f>
        <v/>
      </c>
      <c r="AN2300" s="35">
        <f>INDEX(AN$263:AN$279,$F2300)*$D2300*INDEX(AN$23:AN$30,$E2300)</f>
        <v/>
      </c>
      <c r="AO2300" s="35">
        <f>INDEX(AO$263:AO$279,$F2300)*$D2300*INDEX(AO$23:AO$30,$E2300)</f>
        <v/>
      </c>
      <c r="AP2300" s="35">
        <f>INDEX(AP$263:AP$279,$F2300)*$D2300*INDEX(AP$23:AP$30,$E2300)</f>
        <v/>
      </c>
      <c r="AQ2300" s="35">
        <f>INDEX(AQ$263:AQ$279,$F2300)*$D2300*INDEX(AQ$23:AQ$30,$E2300)</f>
        <v/>
      </c>
      <c r="AR2300" s="35">
        <f>INDEX(AR$263:AR$279,$F2300)*$D2300*INDEX(AR$23:AR$30,$E2300)</f>
        <v/>
      </c>
      <c r="AS2300" s="35">
        <f>INDEX(AS$263:AS$279,$F2300)*$D2300*INDEX(AS$23:AS$30,$E2300)</f>
        <v/>
      </c>
      <c r="AT2300" s="35">
        <f>INDEX(AT$263:AT$279,$F2300)*$D2300*INDEX(AT$23:AT$30,$E2300)</f>
        <v/>
      </c>
      <c r="AU2300" s="35">
        <f>INDEX(AU$263:AU$279,$F2300)*$D2300*INDEX(AU$23:AU$30,$E2300)</f>
        <v/>
      </c>
      <c r="AV2300" s="35">
        <f>INDEX(AV$263:AV$279,$F2300)*$D2300*INDEX(AV$23:AV$30,$E2300)</f>
        <v/>
      </c>
      <c r="AW2300" s="35">
        <f>INDEX(AW$263:AW$279,$F2300)*$D2300*INDEX(AW$23:AW$30,$E2300)</f>
        <v/>
      </c>
      <c r="AX2300" s="35">
        <f>INDEX(AX$263:AX$279,$F2300)*$D2300*INDEX(AX$23:AX$30,$E2300)</f>
        <v/>
      </c>
      <c r="AY2300" s="35">
        <f>INDEX(AY$263:AY$279,$F2300)*$D2300*INDEX(AY$23:AY$30,$E2300)</f>
        <v/>
      </c>
      <c r="AZ2300" s="35">
        <f>INDEX(AZ$263:AZ$279,$F2300)*$D2300*INDEX(AZ$23:AZ$30,$E2300)</f>
        <v/>
      </c>
      <c r="BA2300" s="42">
        <f>CARBONTAX(INDEX(BA$263:BA$279,$F2300),$D2300,INDEX(BA$23:BA$30,$E2300))</f>
        <v/>
      </c>
    </row>
    <row r="2301" hidden="1" outlineLevel="2"/>
    <row r="2302" hidden="1" outlineLevel="2">
      <c r="A2302" s="14" t="inlineStr">
        <is>
          <t>ets</t>
        </is>
      </c>
      <c r="B2302" s="14" t="inlineStr">
        <is>
          <t>coa</t>
        </is>
      </c>
      <c r="C2302" s="14" t="inlineStr">
        <is>
          <t>mac</t>
        </is>
      </c>
      <c r="D2302" s="35">
        <f>INDEX(Inputs!$W$5:$W$132,MATCH($B2302&amp;"|"&amp;$C2302,Inputs!$A$5:$A$132,0))</f>
        <v/>
      </c>
      <c r="E2302" s="35">
        <f>INDEX(Inputs!$M$5:$M$132,MATCH($B2302&amp;"|"&amp;$C2302,Inputs!$A$5:$A$132,0))</f>
        <v/>
      </c>
      <c r="F2302" s="39" t="n"/>
      <c r="G2302" s="39" t="n"/>
      <c r="H2302" s="14">
        <f>INDEX(VarLab,MATCH($A2302,VarKey,0))&amp;INDEX(MemLab,MATCH($C2302&amp;"|"&amp;$B2302,MemKey,0))</f>
        <v/>
      </c>
      <c r="I2302" s="14">
        <f>INDEX(VarUnit,MATCH($A2302,VarKey,0))</f>
        <v/>
      </c>
      <c r="J2302" s="14">
        <f>INDEX(VarSrc,MATCH($A2302,VarKey,0))</f>
        <v/>
      </c>
      <c r="K2302" s="11">
        <f>CodePrefix&amp;$A2302&amp;IF($C2302="","","."&amp;$C2302&amp;"."&amp;$B2302)&amp;INDEX(VarEnd,MATCH($A2302,VarKey,0))&amp;K$5</f>
        <v/>
      </c>
      <c r="L2302" s="40">
        <f>INDEX(L$280:L$296,$E2302)*$D2302</f>
        <v/>
      </c>
      <c r="M2302" s="35">
        <f>INDEX(M$280:M$296,$E2302)*$D2302</f>
        <v/>
      </c>
      <c r="N2302" s="35">
        <f>INDEX(N$280:N$296,$E2302)*$D2302</f>
        <v/>
      </c>
      <c r="O2302" s="35">
        <f>INDEX(O$280:O$296,$E2302)*$D2302</f>
        <v/>
      </c>
      <c r="P2302" s="35">
        <f>INDEX(P$280:P$296,$E2302)*$D2302</f>
        <v/>
      </c>
      <c r="Q2302" s="35">
        <f>INDEX(Q$280:Q$296,$E2302)*$D2302</f>
        <v/>
      </c>
      <c r="R2302" s="35">
        <f>INDEX(R$280:R$296,$E2302)*$D2302</f>
        <v/>
      </c>
      <c r="S2302" s="35">
        <f>INDEX(S$280:S$296,$E2302)*$D2302</f>
        <v/>
      </c>
      <c r="T2302" s="35">
        <f>INDEX(T$280:T$296,$E2302)*$D2302</f>
        <v/>
      </c>
      <c r="U2302" s="35">
        <f>INDEX(U$280:U$296,$E2302)*$D2302</f>
        <v/>
      </c>
      <c r="V2302" s="35">
        <f>INDEX(V$280:V$296,$E2302)*$D2302</f>
        <v/>
      </c>
      <c r="W2302" s="35">
        <f>INDEX(W$280:W$296,$E2302)*$D2302</f>
        <v/>
      </c>
      <c r="X2302" s="35">
        <f>INDEX(X$280:X$296,$E2302)*$D2302</f>
        <v/>
      </c>
      <c r="Y2302" s="35">
        <f>INDEX(Y$280:Y$296,$E2302)*$D2302</f>
        <v/>
      </c>
      <c r="Z2302" s="35">
        <f>INDEX(Z$280:Z$296,$E2302)*$D2302</f>
        <v/>
      </c>
      <c r="AA2302" s="35">
        <f>INDEX(AA$280:AA$296,$E2302)*$D2302</f>
        <v/>
      </c>
      <c r="AB2302" s="35">
        <f>INDEX(AB$280:AB$296,$E2302)*$D2302</f>
        <v/>
      </c>
      <c r="AC2302" s="35">
        <f>INDEX(AC$280:AC$296,$E2302)*$D2302</f>
        <v/>
      </c>
      <c r="AD2302" s="35">
        <f>INDEX(AD$280:AD$296,$E2302)*$D2302</f>
        <v/>
      </c>
      <c r="AE2302" s="42">
        <f>ETSCOST(INDEX(AE$280:AE$296,$E2302),$D2302)</f>
        <v/>
      </c>
      <c r="AG2302" s="11">
        <f>CodePrefix&amp;$A2302&amp;IF($C2302="","","."&amp;$C2302&amp;"."&amp;$B2302)&amp;INDEX(VarEnd,MATCH($A2302,VarKey,0))&amp;AG$5</f>
        <v/>
      </c>
      <c r="AH2302" s="40">
        <f>INDEX(AH$280:AH$296,$E2302)*$D2302</f>
        <v/>
      </c>
      <c r="AI2302" s="35">
        <f>INDEX(AI$280:AI$296,$E2302)*$D2302</f>
        <v/>
      </c>
      <c r="AJ2302" s="35">
        <f>INDEX(AJ$280:AJ$296,$E2302)*$D2302</f>
        <v/>
      </c>
      <c r="AK2302" s="35">
        <f>INDEX(AK$280:AK$296,$E2302)*$D2302</f>
        <v/>
      </c>
      <c r="AL2302" s="35">
        <f>INDEX(AL$280:AL$296,$E2302)*$D2302</f>
        <v/>
      </c>
      <c r="AM2302" s="35">
        <f>INDEX(AM$280:AM$296,$E2302)*$D2302</f>
        <v/>
      </c>
      <c r="AN2302" s="35">
        <f>INDEX(AN$280:AN$296,$E2302)*$D2302</f>
        <v/>
      </c>
      <c r="AO2302" s="35">
        <f>INDEX(AO$280:AO$296,$E2302)*$D2302</f>
        <v/>
      </c>
      <c r="AP2302" s="35">
        <f>INDEX(AP$280:AP$296,$E2302)*$D2302</f>
        <v/>
      </c>
      <c r="AQ2302" s="35">
        <f>INDEX(AQ$280:AQ$296,$E2302)*$D2302</f>
        <v/>
      </c>
      <c r="AR2302" s="35">
        <f>INDEX(AR$280:AR$296,$E2302)*$D2302</f>
        <v/>
      </c>
      <c r="AS2302" s="35">
        <f>INDEX(AS$280:AS$296,$E2302)*$D2302</f>
        <v/>
      </c>
      <c r="AT2302" s="35">
        <f>INDEX(AT$280:AT$296,$E2302)*$D2302</f>
        <v/>
      </c>
      <c r="AU2302" s="35">
        <f>INDEX(AU$280:AU$296,$E2302)*$D2302</f>
        <v/>
      </c>
      <c r="AV2302" s="35">
        <f>INDEX(AV$280:AV$296,$E2302)*$D2302</f>
        <v/>
      </c>
      <c r="AW2302" s="35">
        <f>INDEX(AW$280:AW$296,$E2302)*$D2302</f>
        <v/>
      </c>
      <c r="AX2302" s="35">
        <f>INDEX(AX$280:AX$296,$E2302)*$D2302</f>
        <v/>
      </c>
      <c r="AY2302" s="35">
        <f>INDEX(AY$280:AY$296,$E2302)*$D2302</f>
        <v/>
      </c>
      <c r="AZ2302" s="35">
        <f>INDEX(AZ$280:AZ$296,$E2302)*$D2302</f>
        <v/>
      </c>
      <c r="BA2302" s="42">
        <f>ETSCOST(INDEX(BA$280:BA$296,$E2302),$D2302)</f>
        <v/>
      </c>
    </row>
    <row r="2303" hidden="1" outlineLevel="2">
      <c r="A2303" s="14" t="inlineStr">
        <is>
          <t>ets</t>
        </is>
      </c>
      <c r="B2303" s="14" t="inlineStr">
        <is>
          <t>nga</t>
        </is>
      </c>
      <c r="C2303" s="14" t="inlineStr">
        <is>
          <t>mac</t>
        </is>
      </c>
      <c r="D2303" s="35">
        <f>INDEX(Inputs!$W$5:$W$132,MATCH($B2303&amp;"|"&amp;$C2303,Inputs!$A$5:$A$132,0))</f>
        <v/>
      </c>
      <c r="E2303" s="35">
        <f>INDEX(Inputs!$M$5:$M$132,MATCH($B2303&amp;"|"&amp;$C2303,Inputs!$A$5:$A$132,0))</f>
        <v/>
      </c>
      <c r="F2303" s="39" t="n"/>
      <c r="G2303" s="39" t="n"/>
      <c r="H2303" s="14">
        <f>INDEX(VarLab,MATCH($A2303,VarKey,0))&amp;INDEX(MemLab,MATCH($C2303&amp;"|"&amp;$B2303,MemKey,0))</f>
        <v/>
      </c>
      <c r="I2303" s="14">
        <f>INDEX(VarUnit,MATCH($A2303,VarKey,0))</f>
        <v/>
      </c>
      <c r="J2303" s="14">
        <f>INDEX(VarSrc,MATCH($A2303,VarKey,0))</f>
        <v/>
      </c>
      <c r="K2303" s="11">
        <f>CodePrefix&amp;$A2303&amp;IF($C2303="","","."&amp;$C2303&amp;"."&amp;$B2303)&amp;INDEX(VarEnd,MATCH($A2303,VarKey,0))&amp;K$5</f>
        <v/>
      </c>
      <c r="L2303" s="40">
        <f>INDEX(L$280:L$296,$E2303)*$D2303</f>
        <v/>
      </c>
      <c r="M2303" s="35">
        <f>INDEX(M$280:M$296,$E2303)*$D2303</f>
        <v/>
      </c>
      <c r="N2303" s="35">
        <f>INDEX(N$280:N$296,$E2303)*$D2303</f>
        <v/>
      </c>
      <c r="O2303" s="35">
        <f>INDEX(O$280:O$296,$E2303)*$D2303</f>
        <v/>
      </c>
      <c r="P2303" s="35">
        <f>INDEX(P$280:P$296,$E2303)*$D2303</f>
        <v/>
      </c>
      <c r="Q2303" s="35">
        <f>INDEX(Q$280:Q$296,$E2303)*$D2303</f>
        <v/>
      </c>
      <c r="R2303" s="35">
        <f>INDEX(R$280:R$296,$E2303)*$D2303</f>
        <v/>
      </c>
      <c r="S2303" s="35">
        <f>INDEX(S$280:S$296,$E2303)*$D2303</f>
        <v/>
      </c>
      <c r="T2303" s="35">
        <f>INDEX(T$280:T$296,$E2303)*$D2303</f>
        <v/>
      </c>
      <c r="U2303" s="35">
        <f>INDEX(U$280:U$296,$E2303)*$D2303</f>
        <v/>
      </c>
      <c r="V2303" s="35">
        <f>INDEX(V$280:V$296,$E2303)*$D2303</f>
        <v/>
      </c>
      <c r="W2303" s="35">
        <f>INDEX(W$280:W$296,$E2303)*$D2303</f>
        <v/>
      </c>
      <c r="X2303" s="35">
        <f>INDEX(X$280:X$296,$E2303)*$D2303</f>
        <v/>
      </c>
      <c r="Y2303" s="35">
        <f>INDEX(Y$280:Y$296,$E2303)*$D2303</f>
        <v/>
      </c>
      <c r="Z2303" s="35">
        <f>INDEX(Z$280:Z$296,$E2303)*$D2303</f>
        <v/>
      </c>
      <c r="AA2303" s="35">
        <f>INDEX(AA$280:AA$296,$E2303)*$D2303</f>
        <v/>
      </c>
      <c r="AB2303" s="35">
        <f>INDEX(AB$280:AB$296,$E2303)*$D2303</f>
        <v/>
      </c>
      <c r="AC2303" s="35">
        <f>INDEX(AC$280:AC$296,$E2303)*$D2303</f>
        <v/>
      </c>
      <c r="AD2303" s="35">
        <f>INDEX(AD$280:AD$296,$E2303)*$D2303</f>
        <v/>
      </c>
      <c r="AE2303" s="42">
        <f>ETSCOST(INDEX(AE$280:AE$296,$E2303),$D2303)</f>
        <v/>
      </c>
      <c r="AG2303" s="11">
        <f>CodePrefix&amp;$A2303&amp;IF($C2303="","","."&amp;$C2303&amp;"."&amp;$B2303)&amp;INDEX(VarEnd,MATCH($A2303,VarKey,0))&amp;AG$5</f>
        <v/>
      </c>
      <c r="AH2303" s="40">
        <f>INDEX(AH$280:AH$296,$E2303)*$D2303</f>
        <v/>
      </c>
      <c r="AI2303" s="35">
        <f>INDEX(AI$280:AI$296,$E2303)*$D2303</f>
        <v/>
      </c>
      <c r="AJ2303" s="35">
        <f>INDEX(AJ$280:AJ$296,$E2303)*$D2303</f>
        <v/>
      </c>
      <c r="AK2303" s="35">
        <f>INDEX(AK$280:AK$296,$E2303)*$D2303</f>
        <v/>
      </c>
      <c r="AL2303" s="35">
        <f>INDEX(AL$280:AL$296,$E2303)*$D2303</f>
        <v/>
      </c>
      <c r="AM2303" s="35">
        <f>INDEX(AM$280:AM$296,$E2303)*$D2303</f>
        <v/>
      </c>
      <c r="AN2303" s="35">
        <f>INDEX(AN$280:AN$296,$E2303)*$D2303</f>
        <v/>
      </c>
      <c r="AO2303" s="35">
        <f>INDEX(AO$280:AO$296,$E2303)*$D2303</f>
        <v/>
      </c>
      <c r="AP2303" s="35">
        <f>INDEX(AP$280:AP$296,$E2303)*$D2303</f>
        <v/>
      </c>
      <c r="AQ2303" s="35">
        <f>INDEX(AQ$280:AQ$296,$E2303)*$D2303</f>
        <v/>
      </c>
      <c r="AR2303" s="35">
        <f>INDEX(AR$280:AR$296,$E2303)*$D2303</f>
        <v/>
      </c>
      <c r="AS2303" s="35">
        <f>INDEX(AS$280:AS$296,$E2303)*$D2303</f>
        <v/>
      </c>
      <c r="AT2303" s="35">
        <f>INDEX(AT$280:AT$296,$E2303)*$D2303</f>
        <v/>
      </c>
      <c r="AU2303" s="35">
        <f>INDEX(AU$280:AU$296,$E2303)*$D2303</f>
        <v/>
      </c>
      <c r="AV2303" s="35">
        <f>INDEX(AV$280:AV$296,$E2303)*$D2303</f>
        <v/>
      </c>
      <c r="AW2303" s="35">
        <f>INDEX(AW$280:AW$296,$E2303)*$D2303</f>
        <v/>
      </c>
      <c r="AX2303" s="35">
        <f>INDEX(AX$280:AX$296,$E2303)*$D2303</f>
        <v/>
      </c>
      <c r="AY2303" s="35">
        <f>INDEX(AY$280:AY$296,$E2303)*$D2303</f>
        <v/>
      </c>
      <c r="AZ2303" s="35">
        <f>INDEX(AZ$280:AZ$296,$E2303)*$D2303</f>
        <v/>
      </c>
      <c r="BA2303" s="42">
        <f>ETSCOST(INDEX(BA$280:BA$296,$E2303),$D2303)</f>
        <v/>
      </c>
    </row>
    <row r="2304" hidden="1" outlineLevel="2">
      <c r="A2304" s="14" t="inlineStr">
        <is>
          <t>ets</t>
        </is>
      </c>
      <c r="B2304" s="14" t="inlineStr">
        <is>
          <t>gso</t>
        </is>
      </c>
      <c r="C2304" s="14" t="inlineStr">
        <is>
          <t>mac</t>
        </is>
      </c>
      <c r="D2304" s="35">
        <f>INDEX(Inputs!$W$5:$W$132,MATCH($B2304&amp;"|"&amp;$C2304,Inputs!$A$5:$A$132,0))</f>
        <v/>
      </c>
      <c r="E2304" s="35">
        <f>INDEX(Inputs!$M$5:$M$132,MATCH($B2304&amp;"|"&amp;$C2304,Inputs!$A$5:$A$132,0))</f>
        <v/>
      </c>
      <c r="F2304" s="39" t="n"/>
      <c r="G2304" s="39" t="n"/>
      <c r="H2304" s="14">
        <f>INDEX(VarLab,MATCH($A2304,VarKey,0))&amp;INDEX(MemLab,MATCH($C2304&amp;"|"&amp;$B2304,MemKey,0))</f>
        <v/>
      </c>
      <c r="I2304" s="14">
        <f>INDEX(VarUnit,MATCH($A2304,VarKey,0))</f>
        <v/>
      </c>
      <c r="J2304" s="14">
        <f>INDEX(VarSrc,MATCH($A2304,VarKey,0))</f>
        <v/>
      </c>
      <c r="K2304" s="11">
        <f>CodePrefix&amp;$A2304&amp;IF($C2304="","","."&amp;$C2304&amp;"."&amp;$B2304)&amp;INDEX(VarEnd,MATCH($A2304,VarKey,0))&amp;K$5</f>
        <v/>
      </c>
      <c r="L2304" s="40">
        <f>INDEX(L$280:L$296,$E2304)*$D2304</f>
        <v/>
      </c>
      <c r="M2304" s="35">
        <f>INDEX(M$280:M$296,$E2304)*$D2304</f>
        <v/>
      </c>
      <c r="N2304" s="35">
        <f>INDEX(N$280:N$296,$E2304)*$D2304</f>
        <v/>
      </c>
      <c r="O2304" s="35">
        <f>INDEX(O$280:O$296,$E2304)*$D2304</f>
        <v/>
      </c>
      <c r="P2304" s="35">
        <f>INDEX(P$280:P$296,$E2304)*$D2304</f>
        <v/>
      </c>
      <c r="Q2304" s="35">
        <f>INDEX(Q$280:Q$296,$E2304)*$D2304</f>
        <v/>
      </c>
      <c r="R2304" s="35">
        <f>INDEX(R$280:R$296,$E2304)*$D2304</f>
        <v/>
      </c>
      <c r="S2304" s="35">
        <f>INDEX(S$280:S$296,$E2304)*$D2304</f>
        <v/>
      </c>
      <c r="T2304" s="35">
        <f>INDEX(T$280:T$296,$E2304)*$D2304</f>
        <v/>
      </c>
      <c r="U2304" s="35">
        <f>INDEX(U$280:U$296,$E2304)*$D2304</f>
        <v/>
      </c>
      <c r="V2304" s="35">
        <f>INDEX(V$280:V$296,$E2304)*$D2304</f>
        <v/>
      </c>
      <c r="W2304" s="35">
        <f>INDEX(W$280:W$296,$E2304)*$D2304</f>
        <v/>
      </c>
      <c r="X2304" s="35">
        <f>INDEX(X$280:X$296,$E2304)*$D2304</f>
        <v/>
      </c>
      <c r="Y2304" s="35">
        <f>INDEX(Y$280:Y$296,$E2304)*$D2304</f>
        <v/>
      </c>
      <c r="Z2304" s="35">
        <f>INDEX(Z$280:Z$296,$E2304)*$D2304</f>
        <v/>
      </c>
      <c r="AA2304" s="35">
        <f>INDEX(AA$280:AA$296,$E2304)*$D2304</f>
        <v/>
      </c>
      <c r="AB2304" s="35">
        <f>INDEX(AB$280:AB$296,$E2304)*$D2304</f>
        <v/>
      </c>
      <c r="AC2304" s="35">
        <f>INDEX(AC$280:AC$296,$E2304)*$D2304</f>
        <v/>
      </c>
      <c r="AD2304" s="35">
        <f>INDEX(AD$280:AD$296,$E2304)*$D2304</f>
        <v/>
      </c>
      <c r="AE2304" s="42">
        <f>ETSCOST(INDEX(AE$280:AE$296,$E2304),$D2304)</f>
        <v/>
      </c>
      <c r="AG2304" s="11">
        <f>CodePrefix&amp;$A2304&amp;IF($C2304="","","."&amp;$C2304&amp;"."&amp;$B2304)&amp;INDEX(VarEnd,MATCH($A2304,VarKey,0))&amp;AG$5</f>
        <v/>
      </c>
      <c r="AH2304" s="40">
        <f>INDEX(AH$280:AH$296,$E2304)*$D2304</f>
        <v/>
      </c>
      <c r="AI2304" s="35">
        <f>INDEX(AI$280:AI$296,$E2304)*$D2304</f>
        <v/>
      </c>
      <c r="AJ2304" s="35">
        <f>INDEX(AJ$280:AJ$296,$E2304)*$D2304</f>
        <v/>
      </c>
      <c r="AK2304" s="35">
        <f>INDEX(AK$280:AK$296,$E2304)*$D2304</f>
        <v/>
      </c>
      <c r="AL2304" s="35">
        <f>INDEX(AL$280:AL$296,$E2304)*$D2304</f>
        <v/>
      </c>
      <c r="AM2304" s="35">
        <f>INDEX(AM$280:AM$296,$E2304)*$D2304</f>
        <v/>
      </c>
      <c r="AN2304" s="35">
        <f>INDEX(AN$280:AN$296,$E2304)*$D2304</f>
        <v/>
      </c>
      <c r="AO2304" s="35">
        <f>INDEX(AO$280:AO$296,$E2304)*$D2304</f>
        <v/>
      </c>
      <c r="AP2304" s="35">
        <f>INDEX(AP$280:AP$296,$E2304)*$D2304</f>
        <v/>
      </c>
      <c r="AQ2304" s="35">
        <f>INDEX(AQ$280:AQ$296,$E2304)*$D2304</f>
        <v/>
      </c>
      <c r="AR2304" s="35">
        <f>INDEX(AR$280:AR$296,$E2304)*$D2304</f>
        <v/>
      </c>
      <c r="AS2304" s="35">
        <f>INDEX(AS$280:AS$296,$E2304)*$D2304</f>
        <v/>
      </c>
      <c r="AT2304" s="35">
        <f>INDEX(AT$280:AT$296,$E2304)*$D2304</f>
        <v/>
      </c>
      <c r="AU2304" s="35">
        <f>INDEX(AU$280:AU$296,$E2304)*$D2304</f>
        <v/>
      </c>
      <c r="AV2304" s="35">
        <f>INDEX(AV$280:AV$296,$E2304)*$D2304</f>
        <v/>
      </c>
      <c r="AW2304" s="35">
        <f>INDEX(AW$280:AW$296,$E2304)*$D2304</f>
        <v/>
      </c>
      <c r="AX2304" s="35">
        <f>INDEX(AX$280:AX$296,$E2304)*$D2304</f>
        <v/>
      </c>
      <c r="AY2304" s="35">
        <f>INDEX(AY$280:AY$296,$E2304)*$D2304</f>
        <v/>
      </c>
      <c r="AZ2304" s="35">
        <f>INDEX(AZ$280:AZ$296,$E2304)*$D2304</f>
        <v/>
      </c>
      <c r="BA2304" s="42">
        <f>ETSCOST(INDEX(BA$280:BA$296,$E2304),$D2304)</f>
        <v/>
      </c>
    </row>
    <row r="2305" hidden="1" outlineLevel="2">
      <c r="A2305" s="14" t="inlineStr">
        <is>
          <t>ets</t>
        </is>
      </c>
      <c r="B2305" s="14" t="inlineStr">
        <is>
          <t>die</t>
        </is>
      </c>
      <c r="C2305" s="14" t="inlineStr">
        <is>
          <t>mac</t>
        </is>
      </c>
      <c r="D2305" s="35">
        <f>INDEX(Inputs!$W$5:$W$132,MATCH($B2305&amp;"|"&amp;$C2305,Inputs!$A$5:$A$132,0))</f>
        <v/>
      </c>
      <c r="E2305" s="35">
        <f>INDEX(Inputs!$M$5:$M$132,MATCH($B2305&amp;"|"&amp;$C2305,Inputs!$A$5:$A$132,0))</f>
        <v/>
      </c>
      <c r="F2305" s="39" t="n"/>
      <c r="G2305" s="39" t="n"/>
      <c r="H2305" s="14">
        <f>INDEX(VarLab,MATCH($A2305,VarKey,0))&amp;INDEX(MemLab,MATCH($C2305&amp;"|"&amp;$B2305,MemKey,0))</f>
        <v/>
      </c>
      <c r="I2305" s="14">
        <f>INDEX(VarUnit,MATCH($A2305,VarKey,0))</f>
        <v/>
      </c>
      <c r="J2305" s="14">
        <f>INDEX(VarSrc,MATCH($A2305,VarKey,0))</f>
        <v/>
      </c>
      <c r="K2305" s="11">
        <f>CodePrefix&amp;$A2305&amp;IF($C2305="","","."&amp;$C2305&amp;"."&amp;$B2305)&amp;INDEX(VarEnd,MATCH($A2305,VarKey,0))&amp;K$5</f>
        <v/>
      </c>
      <c r="L2305" s="40">
        <f>INDEX(L$280:L$296,$E2305)*$D2305</f>
        <v/>
      </c>
      <c r="M2305" s="35">
        <f>INDEX(M$280:M$296,$E2305)*$D2305</f>
        <v/>
      </c>
      <c r="N2305" s="35">
        <f>INDEX(N$280:N$296,$E2305)*$D2305</f>
        <v/>
      </c>
      <c r="O2305" s="35">
        <f>INDEX(O$280:O$296,$E2305)*$D2305</f>
        <v/>
      </c>
      <c r="P2305" s="35">
        <f>INDEX(P$280:P$296,$E2305)*$D2305</f>
        <v/>
      </c>
      <c r="Q2305" s="35">
        <f>INDEX(Q$280:Q$296,$E2305)*$D2305</f>
        <v/>
      </c>
      <c r="R2305" s="35">
        <f>INDEX(R$280:R$296,$E2305)*$D2305</f>
        <v/>
      </c>
      <c r="S2305" s="35">
        <f>INDEX(S$280:S$296,$E2305)*$D2305</f>
        <v/>
      </c>
      <c r="T2305" s="35">
        <f>INDEX(T$280:T$296,$E2305)*$D2305</f>
        <v/>
      </c>
      <c r="U2305" s="35">
        <f>INDEX(U$280:U$296,$E2305)*$D2305</f>
        <v/>
      </c>
      <c r="V2305" s="35">
        <f>INDEX(V$280:V$296,$E2305)*$D2305</f>
        <v/>
      </c>
      <c r="W2305" s="35">
        <f>INDEX(W$280:W$296,$E2305)*$D2305</f>
        <v/>
      </c>
      <c r="X2305" s="35">
        <f>INDEX(X$280:X$296,$E2305)*$D2305</f>
        <v/>
      </c>
      <c r="Y2305" s="35">
        <f>INDEX(Y$280:Y$296,$E2305)*$D2305</f>
        <v/>
      </c>
      <c r="Z2305" s="35">
        <f>INDEX(Z$280:Z$296,$E2305)*$D2305</f>
        <v/>
      </c>
      <c r="AA2305" s="35">
        <f>INDEX(AA$280:AA$296,$E2305)*$D2305</f>
        <v/>
      </c>
      <c r="AB2305" s="35">
        <f>INDEX(AB$280:AB$296,$E2305)*$D2305</f>
        <v/>
      </c>
      <c r="AC2305" s="35">
        <f>INDEX(AC$280:AC$296,$E2305)*$D2305</f>
        <v/>
      </c>
      <c r="AD2305" s="35">
        <f>INDEX(AD$280:AD$296,$E2305)*$D2305</f>
        <v/>
      </c>
      <c r="AE2305" s="42">
        <f>ETSCOST(INDEX(AE$280:AE$296,$E2305),$D2305)</f>
        <v/>
      </c>
      <c r="AG2305" s="11">
        <f>CodePrefix&amp;$A2305&amp;IF($C2305="","","."&amp;$C2305&amp;"."&amp;$B2305)&amp;INDEX(VarEnd,MATCH($A2305,VarKey,0))&amp;AG$5</f>
        <v/>
      </c>
      <c r="AH2305" s="40">
        <f>INDEX(AH$280:AH$296,$E2305)*$D2305</f>
        <v/>
      </c>
      <c r="AI2305" s="35">
        <f>INDEX(AI$280:AI$296,$E2305)*$D2305</f>
        <v/>
      </c>
      <c r="AJ2305" s="35">
        <f>INDEX(AJ$280:AJ$296,$E2305)*$D2305</f>
        <v/>
      </c>
      <c r="AK2305" s="35">
        <f>INDEX(AK$280:AK$296,$E2305)*$D2305</f>
        <v/>
      </c>
      <c r="AL2305" s="35">
        <f>INDEX(AL$280:AL$296,$E2305)*$D2305</f>
        <v/>
      </c>
      <c r="AM2305" s="35">
        <f>INDEX(AM$280:AM$296,$E2305)*$D2305</f>
        <v/>
      </c>
      <c r="AN2305" s="35">
        <f>INDEX(AN$280:AN$296,$E2305)*$D2305</f>
        <v/>
      </c>
      <c r="AO2305" s="35">
        <f>INDEX(AO$280:AO$296,$E2305)*$D2305</f>
        <v/>
      </c>
      <c r="AP2305" s="35">
        <f>INDEX(AP$280:AP$296,$E2305)*$D2305</f>
        <v/>
      </c>
      <c r="AQ2305" s="35">
        <f>INDEX(AQ$280:AQ$296,$E2305)*$D2305</f>
        <v/>
      </c>
      <c r="AR2305" s="35">
        <f>INDEX(AR$280:AR$296,$E2305)*$D2305</f>
        <v/>
      </c>
      <c r="AS2305" s="35">
        <f>INDEX(AS$280:AS$296,$E2305)*$D2305</f>
        <v/>
      </c>
      <c r="AT2305" s="35">
        <f>INDEX(AT$280:AT$296,$E2305)*$D2305</f>
        <v/>
      </c>
      <c r="AU2305" s="35">
        <f>INDEX(AU$280:AU$296,$E2305)*$D2305</f>
        <v/>
      </c>
      <c r="AV2305" s="35">
        <f>INDEX(AV$280:AV$296,$E2305)*$D2305</f>
        <v/>
      </c>
      <c r="AW2305" s="35">
        <f>INDEX(AW$280:AW$296,$E2305)*$D2305</f>
        <v/>
      </c>
      <c r="AX2305" s="35">
        <f>INDEX(AX$280:AX$296,$E2305)*$D2305</f>
        <v/>
      </c>
      <c r="AY2305" s="35">
        <f>INDEX(AY$280:AY$296,$E2305)*$D2305</f>
        <v/>
      </c>
      <c r="AZ2305" s="35">
        <f>INDEX(AZ$280:AZ$296,$E2305)*$D2305</f>
        <v/>
      </c>
      <c r="BA2305" s="42">
        <f>ETSCOST(INDEX(BA$280:BA$296,$E2305),$D2305)</f>
        <v/>
      </c>
    </row>
    <row r="2306" hidden="1" outlineLevel="2">
      <c r="A2306" s="14" t="inlineStr">
        <is>
          <t>ets</t>
        </is>
      </c>
      <c r="B2306" s="14" t="inlineStr">
        <is>
          <t>lpg</t>
        </is>
      </c>
      <c r="C2306" s="14" t="inlineStr">
        <is>
          <t>mac</t>
        </is>
      </c>
      <c r="D2306" s="35">
        <f>INDEX(Inputs!$W$5:$W$132,MATCH($B2306&amp;"|"&amp;$C2306,Inputs!$A$5:$A$132,0))</f>
        <v/>
      </c>
      <c r="E2306" s="35">
        <f>INDEX(Inputs!$M$5:$M$132,MATCH($B2306&amp;"|"&amp;$C2306,Inputs!$A$5:$A$132,0))</f>
        <v/>
      </c>
      <c r="F2306" s="39" t="n"/>
      <c r="G2306" s="39" t="n"/>
      <c r="H2306" s="14">
        <f>INDEX(VarLab,MATCH($A2306,VarKey,0))&amp;INDEX(MemLab,MATCH($C2306&amp;"|"&amp;$B2306,MemKey,0))</f>
        <v/>
      </c>
      <c r="I2306" s="14">
        <f>INDEX(VarUnit,MATCH($A2306,VarKey,0))</f>
        <v/>
      </c>
      <c r="J2306" s="14">
        <f>INDEX(VarSrc,MATCH($A2306,VarKey,0))</f>
        <v/>
      </c>
      <c r="K2306" s="11">
        <f>CodePrefix&amp;$A2306&amp;IF($C2306="","","."&amp;$C2306&amp;"."&amp;$B2306)&amp;INDEX(VarEnd,MATCH($A2306,VarKey,0))&amp;K$5</f>
        <v/>
      </c>
      <c r="L2306" s="40">
        <f>INDEX(L$280:L$296,$E2306)*$D2306</f>
        <v/>
      </c>
      <c r="M2306" s="35">
        <f>INDEX(M$280:M$296,$E2306)*$D2306</f>
        <v/>
      </c>
      <c r="N2306" s="35">
        <f>INDEX(N$280:N$296,$E2306)*$D2306</f>
        <v/>
      </c>
      <c r="O2306" s="35">
        <f>INDEX(O$280:O$296,$E2306)*$D2306</f>
        <v/>
      </c>
      <c r="P2306" s="35">
        <f>INDEX(P$280:P$296,$E2306)*$D2306</f>
        <v/>
      </c>
      <c r="Q2306" s="35">
        <f>INDEX(Q$280:Q$296,$E2306)*$D2306</f>
        <v/>
      </c>
      <c r="R2306" s="35">
        <f>INDEX(R$280:R$296,$E2306)*$D2306</f>
        <v/>
      </c>
      <c r="S2306" s="35">
        <f>INDEX(S$280:S$296,$E2306)*$D2306</f>
        <v/>
      </c>
      <c r="T2306" s="35">
        <f>INDEX(T$280:T$296,$E2306)*$D2306</f>
        <v/>
      </c>
      <c r="U2306" s="35">
        <f>INDEX(U$280:U$296,$E2306)*$D2306</f>
        <v/>
      </c>
      <c r="V2306" s="35">
        <f>INDEX(V$280:V$296,$E2306)*$D2306</f>
        <v/>
      </c>
      <c r="W2306" s="35">
        <f>INDEX(W$280:W$296,$E2306)*$D2306</f>
        <v/>
      </c>
      <c r="X2306" s="35">
        <f>INDEX(X$280:X$296,$E2306)*$D2306</f>
        <v/>
      </c>
      <c r="Y2306" s="35">
        <f>INDEX(Y$280:Y$296,$E2306)*$D2306</f>
        <v/>
      </c>
      <c r="Z2306" s="35">
        <f>INDEX(Z$280:Z$296,$E2306)*$D2306</f>
        <v/>
      </c>
      <c r="AA2306" s="35">
        <f>INDEX(AA$280:AA$296,$E2306)*$D2306</f>
        <v/>
      </c>
      <c r="AB2306" s="35">
        <f>INDEX(AB$280:AB$296,$E2306)*$D2306</f>
        <v/>
      </c>
      <c r="AC2306" s="35">
        <f>INDEX(AC$280:AC$296,$E2306)*$D2306</f>
        <v/>
      </c>
      <c r="AD2306" s="35">
        <f>INDEX(AD$280:AD$296,$E2306)*$D2306</f>
        <v/>
      </c>
      <c r="AE2306" s="42">
        <f>ETSCOST(INDEX(AE$280:AE$296,$E2306),$D2306)</f>
        <v/>
      </c>
      <c r="AG2306" s="11">
        <f>CodePrefix&amp;$A2306&amp;IF($C2306="","","."&amp;$C2306&amp;"."&amp;$B2306)&amp;INDEX(VarEnd,MATCH($A2306,VarKey,0))&amp;AG$5</f>
        <v/>
      </c>
      <c r="AH2306" s="40">
        <f>INDEX(AH$280:AH$296,$E2306)*$D2306</f>
        <v/>
      </c>
      <c r="AI2306" s="35">
        <f>INDEX(AI$280:AI$296,$E2306)*$D2306</f>
        <v/>
      </c>
      <c r="AJ2306" s="35">
        <f>INDEX(AJ$280:AJ$296,$E2306)*$D2306</f>
        <v/>
      </c>
      <c r="AK2306" s="35">
        <f>INDEX(AK$280:AK$296,$E2306)*$D2306</f>
        <v/>
      </c>
      <c r="AL2306" s="35">
        <f>INDEX(AL$280:AL$296,$E2306)*$D2306</f>
        <v/>
      </c>
      <c r="AM2306" s="35">
        <f>INDEX(AM$280:AM$296,$E2306)*$D2306</f>
        <v/>
      </c>
      <c r="AN2306" s="35">
        <f>INDEX(AN$280:AN$296,$E2306)*$D2306</f>
        <v/>
      </c>
      <c r="AO2306" s="35">
        <f>INDEX(AO$280:AO$296,$E2306)*$D2306</f>
        <v/>
      </c>
      <c r="AP2306" s="35">
        <f>INDEX(AP$280:AP$296,$E2306)*$D2306</f>
        <v/>
      </c>
      <c r="AQ2306" s="35">
        <f>INDEX(AQ$280:AQ$296,$E2306)*$D2306</f>
        <v/>
      </c>
      <c r="AR2306" s="35">
        <f>INDEX(AR$280:AR$296,$E2306)*$D2306</f>
        <v/>
      </c>
      <c r="AS2306" s="35">
        <f>INDEX(AS$280:AS$296,$E2306)*$D2306</f>
        <v/>
      </c>
      <c r="AT2306" s="35">
        <f>INDEX(AT$280:AT$296,$E2306)*$D2306</f>
        <v/>
      </c>
      <c r="AU2306" s="35">
        <f>INDEX(AU$280:AU$296,$E2306)*$D2306</f>
        <v/>
      </c>
      <c r="AV2306" s="35">
        <f>INDEX(AV$280:AV$296,$E2306)*$D2306</f>
        <v/>
      </c>
      <c r="AW2306" s="35">
        <f>INDEX(AW$280:AW$296,$E2306)*$D2306</f>
        <v/>
      </c>
      <c r="AX2306" s="35">
        <f>INDEX(AX$280:AX$296,$E2306)*$D2306</f>
        <v/>
      </c>
      <c r="AY2306" s="35">
        <f>INDEX(AY$280:AY$296,$E2306)*$D2306</f>
        <v/>
      </c>
      <c r="AZ2306" s="35">
        <f>INDEX(AZ$280:AZ$296,$E2306)*$D2306</f>
        <v/>
      </c>
      <c r="BA2306" s="42">
        <f>ETSCOST(INDEX(BA$280:BA$296,$E2306),$D2306)</f>
        <v/>
      </c>
    </row>
    <row r="2307" hidden="1" outlineLevel="2">
      <c r="A2307" s="14" t="inlineStr">
        <is>
          <t>ets</t>
        </is>
      </c>
      <c r="B2307" s="14" t="inlineStr">
        <is>
          <t>ker</t>
        </is>
      </c>
      <c r="C2307" s="14" t="inlineStr">
        <is>
          <t>mac</t>
        </is>
      </c>
      <c r="D2307" s="35">
        <f>INDEX(Inputs!$W$5:$W$132,MATCH($B2307&amp;"|"&amp;$C2307,Inputs!$A$5:$A$132,0))</f>
        <v/>
      </c>
      <c r="E2307" s="35">
        <f>INDEX(Inputs!$M$5:$M$132,MATCH($B2307&amp;"|"&amp;$C2307,Inputs!$A$5:$A$132,0))</f>
        <v/>
      </c>
      <c r="F2307" s="39" t="n"/>
      <c r="G2307" s="39" t="n"/>
      <c r="H2307" s="14">
        <f>INDEX(VarLab,MATCH($A2307,VarKey,0))&amp;INDEX(MemLab,MATCH($C2307&amp;"|"&amp;$B2307,MemKey,0))</f>
        <v/>
      </c>
      <c r="I2307" s="14">
        <f>INDEX(VarUnit,MATCH($A2307,VarKey,0))</f>
        <v/>
      </c>
      <c r="J2307" s="14">
        <f>INDEX(VarSrc,MATCH($A2307,VarKey,0))</f>
        <v/>
      </c>
      <c r="K2307" s="11">
        <f>CodePrefix&amp;$A2307&amp;IF($C2307="","","."&amp;$C2307&amp;"."&amp;$B2307)&amp;INDEX(VarEnd,MATCH($A2307,VarKey,0))&amp;K$5</f>
        <v/>
      </c>
      <c r="L2307" s="40">
        <f>INDEX(L$280:L$296,$E2307)*$D2307</f>
        <v/>
      </c>
      <c r="M2307" s="35">
        <f>INDEX(M$280:M$296,$E2307)*$D2307</f>
        <v/>
      </c>
      <c r="N2307" s="35">
        <f>INDEX(N$280:N$296,$E2307)*$D2307</f>
        <v/>
      </c>
      <c r="O2307" s="35">
        <f>INDEX(O$280:O$296,$E2307)*$D2307</f>
        <v/>
      </c>
      <c r="P2307" s="35">
        <f>INDEX(P$280:P$296,$E2307)*$D2307</f>
        <v/>
      </c>
      <c r="Q2307" s="35">
        <f>INDEX(Q$280:Q$296,$E2307)*$D2307</f>
        <v/>
      </c>
      <c r="R2307" s="35">
        <f>INDEX(R$280:R$296,$E2307)*$D2307</f>
        <v/>
      </c>
      <c r="S2307" s="35">
        <f>INDEX(S$280:S$296,$E2307)*$D2307</f>
        <v/>
      </c>
      <c r="T2307" s="35">
        <f>INDEX(T$280:T$296,$E2307)*$D2307</f>
        <v/>
      </c>
      <c r="U2307" s="35">
        <f>INDEX(U$280:U$296,$E2307)*$D2307</f>
        <v/>
      </c>
      <c r="V2307" s="35">
        <f>INDEX(V$280:V$296,$E2307)*$D2307</f>
        <v/>
      </c>
      <c r="W2307" s="35">
        <f>INDEX(W$280:W$296,$E2307)*$D2307</f>
        <v/>
      </c>
      <c r="X2307" s="35">
        <f>INDEX(X$280:X$296,$E2307)*$D2307</f>
        <v/>
      </c>
      <c r="Y2307" s="35">
        <f>INDEX(Y$280:Y$296,$E2307)*$D2307</f>
        <v/>
      </c>
      <c r="Z2307" s="35">
        <f>INDEX(Z$280:Z$296,$E2307)*$D2307</f>
        <v/>
      </c>
      <c r="AA2307" s="35">
        <f>INDEX(AA$280:AA$296,$E2307)*$D2307</f>
        <v/>
      </c>
      <c r="AB2307" s="35">
        <f>INDEX(AB$280:AB$296,$E2307)*$D2307</f>
        <v/>
      </c>
      <c r="AC2307" s="35">
        <f>INDEX(AC$280:AC$296,$E2307)*$D2307</f>
        <v/>
      </c>
      <c r="AD2307" s="35">
        <f>INDEX(AD$280:AD$296,$E2307)*$D2307</f>
        <v/>
      </c>
      <c r="AE2307" s="42">
        <f>ETSCOST(INDEX(AE$280:AE$296,$E2307),$D2307)</f>
        <v/>
      </c>
      <c r="AG2307" s="11">
        <f>CodePrefix&amp;$A2307&amp;IF($C2307="","","."&amp;$C2307&amp;"."&amp;$B2307)&amp;INDEX(VarEnd,MATCH($A2307,VarKey,0))&amp;AG$5</f>
        <v/>
      </c>
      <c r="AH2307" s="40">
        <f>INDEX(AH$280:AH$296,$E2307)*$D2307</f>
        <v/>
      </c>
      <c r="AI2307" s="35">
        <f>INDEX(AI$280:AI$296,$E2307)*$D2307</f>
        <v/>
      </c>
      <c r="AJ2307" s="35">
        <f>INDEX(AJ$280:AJ$296,$E2307)*$D2307</f>
        <v/>
      </c>
      <c r="AK2307" s="35">
        <f>INDEX(AK$280:AK$296,$E2307)*$D2307</f>
        <v/>
      </c>
      <c r="AL2307" s="35">
        <f>INDEX(AL$280:AL$296,$E2307)*$D2307</f>
        <v/>
      </c>
      <c r="AM2307" s="35">
        <f>INDEX(AM$280:AM$296,$E2307)*$D2307</f>
        <v/>
      </c>
      <c r="AN2307" s="35">
        <f>INDEX(AN$280:AN$296,$E2307)*$D2307</f>
        <v/>
      </c>
      <c r="AO2307" s="35">
        <f>INDEX(AO$280:AO$296,$E2307)*$D2307</f>
        <v/>
      </c>
      <c r="AP2307" s="35">
        <f>INDEX(AP$280:AP$296,$E2307)*$D2307</f>
        <v/>
      </c>
      <c r="AQ2307" s="35">
        <f>INDEX(AQ$280:AQ$296,$E2307)*$D2307</f>
        <v/>
      </c>
      <c r="AR2307" s="35">
        <f>INDEX(AR$280:AR$296,$E2307)*$D2307</f>
        <v/>
      </c>
      <c r="AS2307" s="35">
        <f>INDEX(AS$280:AS$296,$E2307)*$D2307</f>
        <v/>
      </c>
      <c r="AT2307" s="35">
        <f>INDEX(AT$280:AT$296,$E2307)*$D2307</f>
        <v/>
      </c>
      <c r="AU2307" s="35">
        <f>INDEX(AU$280:AU$296,$E2307)*$D2307</f>
        <v/>
      </c>
      <c r="AV2307" s="35">
        <f>INDEX(AV$280:AV$296,$E2307)*$D2307</f>
        <v/>
      </c>
      <c r="AW2307" s="35">
        <f>INDEX(AW$280:AW$296,$E2307)*$D2307</f>
        <v/>
      </c>
      <c r="AX2307" s="35">
        <f>INDEX(AX$280:AX$296,$E2307)*$D2307</f>
        <v/>
      </c>
      <c r="AY2307" s="35">
        <f>INDEX(AY$280:AY$296,$E2307)*$D2307</f>
        <v/>
      </c>
      <c r="AZ2307" s="35">
        <f>INDEX(AZ$280:AZ$296,$E2307)*$D2307</f>
        <v/>
      </c>
      <c r="BA2307" s="42">
        <f>ETSCOST(INDEX(BA$280:BA$296,$E2307),$D2307)</f>
        <v/>
      </c>
    </row>
    <row r="2308" hidden="1" outlineLevel="2">
      <c r="A2308" s="14" t="inlineStr">
        <is>
          <t>ets</t>
        </is>
      </c>
      <c r="B2308" s="14" t="inlineStr">
        <is>
          <t>oop</t>
        </is>
      </c>
      <c r="C2308" s="14" t="inlineStr">
        <is>
          <t>mac</t>
        </is>
      </c>
      <c r="D2308" s="35">
        <f>INDEX(Inputs!$W$5:$W$132,MATCH($B2308&amp;"|"&amp;$C2308,Inputs!$A$5:$A$132,0))</f>
        <v/>
      </c>
      <c r="E2308" s="35">
        <f>INDEX(Inputs!$M$5:$M$132,MATCH($B2308&amp;"|"&amp;$C2308,Inputs!$A$5:$A$132,0))</f>
        <v/>
      </c>
      <c r="F2308" s="39" t="n"/>
      <c r="G2308" s="39" t="n"/>
      <c r="H2308" s="14">
        <f>INDEX(VarLab,MATCH($A2308,VarKey,0))&amp;INDEX(MemLab,MATCH($C2308&amp;"|"&amp;$B2308,MemKey,0))</f>
        <v/>
      </c>
      <c r="I2308" s="14">
        <f>INDEX(VarUnit,MATCH($A2308,VarKey,0))</f>
        <v/>
      </c>
      <c r="J2308" s="14">
        <f>INDEX(VarSrc,MATCH($A2308,VarKey,0))</f>
        <v/>
      </c>
      <c r="K2308" s="11">
        <f>CodePrefix&amp;$A2308&amp;IF($C2308="","","."&amp;$C2308&amp;"."&amp;$B2308)&amp;INDEX(VarEnd,MATCH($A2308,VarKey,0))&amp;K$5</f>
        <v/>
      </c>
      <c r="L2308" s="40">
        <f>INDEX(L$280:L$296,$E2308)*$D2308</f>
        <v/>
      </c>
      <c r="M2308" s="35">
        <f>INDEX(M$280:M$296,$E2308)*$D2308</f>
        <v/>
      </c>
      <c r="N2308" s="35">
        <f>INDEX(N$280:N$296,$E2308)*$D2308</f>
        <v/>
      </c>
      <c r="O2308" s="35">
        <f>INDEX(O$280:O$296,$E2308)*$D2308</f>
        <v/>
      </c>
      <c r="P2308" s="35">
        <f>INDEX(P$280:P$296,$E2308)*$D2308</f>
        <v/>
      </c>
      <c r="Q2308" s="35">
        <f>INDEX(Q$280:Q$296,$E2308)*$D2308</f>
        <v/>
      </c>
      <c r="R2308" s="35">
        <f>INDEX(R$280:R$296,$E2308)*$D2308</f>
        <v/>
      </c>
      <c r="S2308" s="35">
        <f>INDEX(S$280:S$296,$E2308)*$D2308</f>
        <v/>
      </c>
      <c r="T2308" s="35">
        <f>INDEX(T$280:T$296,$E2308)*$D2308</f>
        <v/>
      </c>
      <c r="U2308" s="35">
        <f>INDEX(U$280:U$296,$E2308)*$D2308</f>
        <v/>
      </c>
      <c r="V2308" s="35">
        <f>INDEX(V$280:V$296,$E2308)*$D2308</f>
        <v/>
      </c>
      <c r="W2308" s="35">
        <f>INDEX(W$280:W$296,$E2308)*$D2308</f>
        <v/>
      </c>
      <c r="X2308" s="35">
        <f>INDEX(X$280:X$296,$E2308)*$D2308</f>
        <v/>
      </c>
      <c r="Y2308" s="35">
        <f>INDEX(Y$280:Y$296,$E2308)*$D2308</f>
        <v/>
      </c>
      <c r="Z2308" s="35">
        <f>INDEX(Z$280:Z$296,$E2308)*$D2308</f>
        <v/>
      </c>
      <c r="AA2308" s="35">
        <f>INDEX(AA$280:AA$296,$E2308)*$D2308</f>
        <v/>
      </c>
      <c r="AB2308" s="35">
        <f>INDEX(AB$280:AB$296,$E2308)*$D2308</f>
        <v/>
      </c>
      <c r="AC2308" s="35">
        <f>INDEX(AC$280:AC$296,$E2308)*$D2308</f>
        <v/>
      </c>
      <c r="AD2308" s="35">
        <f>INDEX(AD$280:AD$296,$E2308)*$D2308</f>
        <v/>
      </c>
      <c r="AE2308" s="42">
        <f>ETSCOST(INDEX(AE$280:AE$296,$E2308),$D2308)</f>
        <v/>
      </c>
      <c r="AG2308" s="11">
        <f>CodePrefix&amp;$A2308&amp;IF($C2308="","","."&amp;$C2308&amp;"."&amp;$B2308)&amp;INDEX(VarEnd,MATCH($A2308,VarKey,0))&amp;AG$5</f>
        <v/>
      </c>
      <c r="AH2308" s="40">
        <f>INDEX(AH$280:AH$296,$E2308)*$D2308</f>
        <v/>
      </c>
      <c r="AI2308" s="35">
        <f>INDEX(AI$280:AI$296,$E2308)*$D2308</f>
        <v/>
      </c>
      <c r="AJ2308" s="35">
        <f>INDEX(AJ$280:AJ$296,$E2308)*$D2308</f>
        <v/>
      </c>
      <c r="AK2308" s="35">
        <f>INDEX(AK$280:AK$296,$E2308)*$D2308</f>
        <v/>
      </c>
      <c r="AL2308" s="35">
        <f>INDEX(AL$280:AL$296,$E2308)*$D2308</f>
        <v/>
      </c>
      <c r="AM2308" s="35">
        <f>INDEX(AM$280:AM$296,$E2308)*$D2308</f>
        <v/>
      </c>
      <c r="AN2308" s="35">
        <f>INDEX(AN$280:AN$296,$E2308)*$D2308</f>
        <v/>
      </c>
      <c r="AO2308" s="35">
        <f>INDEX(AO$280:AO$296,$E2308)*$D2308</f>
        <v/>
      </c>
      <c r="AP2308" s="35">
        <f>INDEX(AP$280:AP$296,$E2308)*$D2308</f>
        <v/>
      </c>
      <c r="AQ2308" s="35">
        <f>INDEX(AQ$280:AQ$296,$E2308)*$D2308</f>
        <v/>
      </c>
      <c r="AR2308" s="35">
        <f>INDEX(AR$280:AR$296,$E2308)*$D2308</f>
        <v/>
      </c>
      <c r="AS2308" s="35">
        <f>INDEX(AS$280:AS$296,$E2308)*$D2308</f>
        <v/>
      </c>
      <c r="AT2308" s="35">
        <f>INDEX(AT$280:AT$296,$E2308)*$D2308</f>
        <v/>
      </c>
      <c r="AU2308" s="35">
        <f>INDEX(AU$280:AU$296,$E2308)*$D2308</f>
        <v/>
      </c>
      <c r="AV2308" s="35">
        <f>INDEX(AV$280:AV$296,$E2308)*$D2308</f>
        <v/>
      </c>
      <c r="AW2308" s="35">
        <f>INDEX(AW$280:AW$296,$E2308)*$D2308</f>
        <v/>
      </c>
      <c r="AX2308" s="35">
        <f>INDEX(AX$280:AX$296,$E2308)*$D2308</f>
        <v/>
      </c>
      <c r="AY2308" s="35">
        <f>INDEX(AY$280:AY$296,$E2308)*$D2308</f>
        <v/>
      </c>
      <c r="AZ2308" s="35">
        <f>INDEX(AZ$280:AZ$296,$E2308)*$D2308</f>
        <v/>
      </c>
      <c r="BA2308" s="42">
        <f>ETSCOST(INDEX(BA$280:BA$296,$E2308),$D2308)</f>
        <v/>
      </c>
    </row>
    <row r="2309" hidden="1" outlineLevel="2">
      <c r="A2309" s="14" t="inlineStr">
        <is>
          <t>ets</t>
        </is>
      </c>
      <c r="B2309" s="14" t="inlineStr">
        <is>
          <t>bio</t>
        </is>
      </c>
      <c r="C2309" s="14" t="inlineStr">
        <is>
          <t>mac</t>
        </is>
      </c>
      <c r="D2309" s="35">
        <f>INDEX(Inputs!$W$5:$W$132,MATCH($B2309&amp;"|"&amp;$C2309,Inputs!$A$5:$A$132,0))</f>
        <v/>
      </c>
      <c r="E2309" s="35">
        <f>INDEX(Inputs!$M$5:$M$132,MATCH($B2309&amp;"|"&amp;$C2309,Inputs!$A$5:$A$132,0))</f>
        <v/>
      </c>
      <c r="F2309" s="39" t="n"/>
      <c r="G2309" s="39" t="n"/>
      <c r="H2309" s="14">
        <f>INDEX(VarLab,MATCH($A2309,VarKey,0))&amp;INDEX(MemLab,MATCH($C2309&amp;"|"&amp;$B2309,MemKey,0))</f>
        <v/>
      </c>
      <c r="I2309" s="14">
        <f>INDEX(VarUnit,MATCH($A2309,VarKey,0))</f>
        <v/>
      </c>
      <c r="J2309" s="14">
        <f>INDEX(VarSrc,MATCH($A2309,VarKey,0))</f>
        <v/>
      </c>
      <c r="K2309" s="11">
        <f>CodePrefix&amp;$A2309&amp;IF($C2309="","","."&amp;$C2309&amp;"."&amp;$B2309)&amp;INDEX(VarEnd,MATCH($A2309,VarKey,0))&amp;K$5</f>
        <v/>
      </c>
      <c r="L2309" s="40">
        <f>INDEX(L$280:L$296,$E2309)*$D2309</f>
        <v/>
      </c>
      <c r="M2309" s="35">
        <f>INDEX(M$280:M$296,$E2309)*$D2309</f>
        <v/>
      </c>
      <c r="N2309" s="35">
        <f>INDEX(N$280:N$296,$E2309)*$D2309</f>
        <v/>
      </c>
      <c r="O2309" s="35">
        <f>INDEX(O$280:O$296,$E2309)*$D2309</f>
        <v/>
      </c>
      <c r="P2309" s="35">
        <f>INDEX(P$280:P$296,$E2309)*$D2309</f>
        <v/>
      </c>
      <c r="Q2309" s="35">
        <f>INDEX(Q$280:Q$296,$E2309)*$D2309</f>
        <v/>
      </c>
      <c r="R2309" s="35">
        <f>INDEX(R$280:R$296,$E2309)*$D2309</f>
        <v/>
      </c>
      <c r="S2309" s="35">
        <f>INDEX(S$280:S$296,$E2309)*$D2309</f>
        <v/>
      </c>
      <c r="T2309" s="35">
        <f>INDEX(T$280:T$296,$E2309)*$D2309</f>
        <v/>
      </c>
      <c r="U2309" s="35">
        <f>INDEX(U$280:U$296,$E2309)*$D2309</f>
        <v/>
      </c>
      <c r="V2309" s="35">
        <f>INDEX(V$280:V$296,$E2309)*$D2309</f>
        <v/>
      </c>
      <c r="W2309" s="35">
        <f>INDEX(W$280:W$296,$E2309)*$D2309</f>
        <v/>
      </c>
      <c r="X2309" s="35">
        <f>INDEX(X$280:X$296,$E2309)*$D2309</f>
        <v/>
      </c>
      <c r="Y2309" s="35">
        <f>INDEX(Y$280:Y$296,$E2309)*$D2309</f>
        <v/>
      </c>
      <c r="Z2309" s="35">
        <f>INDEX(Z$280:Z$296,$E2309)*$D2309</f>
        <v/>
      </c>
      <c r="AA2309" s="35">
        <f>INDEX(AA$280:AA$296,$E2309)*$D2309</f>
        <v/>
      </c>
      <c r="AB2309" s="35">
        <f>INDEX(AB$280:AB$296,$E2309)*$D2309</f>
        <v/>
      </c>
      <c r="AC2309" s="35">
        <f>INDEX(AC$280:AC$296,$E2309)*$D2309</f>
        <v/>
      </c>
      <c r="AD2309" s="35">
        <f>INDEX(AD$280:AD$296,$E2309)*$D2309</f>
        <v/>
      </c>
      <c r="AE2309" s="42">
        <f>ETSCOST(INDEX(AE$280:AE$296,$E2309),$D2309)</f>
        <v/>
      </c>
      <c r="AG2309" s="11">
        <f>CodePrefix&amp;$A2309&amp;IF($C2309="","","."&amp;$C2309&amp;"."&amp;$B2309)&amp;INDEX(VarEnd,MATCH($A2309,VarKey,0))&amp;AG$5</f>
        <v/>
      </c>
      <c r="AH2309" s="40">
        <f>INDEX(AH$280:AH$296,$E2309)*$D2309</f>
        <v/>
      </c>
      <c r="AI2309" s="35">
        <f>INDEX(AI$280:AI$296,$E2309)*$D2309</f>
        <v/>
      </c>
      <c r="AJ2309" s="35">
        <f>INDEX(AJ$280:AJ$296,$E2309)*$D2309</f>
        <v/>
      </c>
      <c r="AK2309" s="35">
        <f>INDEX(AK$280:AK$296,$E2309)*$D2309</f>
        <v/>
      </c>
      <c r="AL2309" s="35">
        <f>INDEX(AL$280:AL$296,$E2309)*$D2309</f>
        <v/>
      </c>
      <c r="AM2309" s="35">
        <f>INDEX(AM$280:AM$296,$E2309)*$D2309</f>
        <v/>
      </c>
      <c r="AN2309" s="35">
        <f>INDEX(AN$280:AN$296,$E2309)*$D2309</f>
        <v/>
      </c>
      <c r="AO2309" s="35">
        <f>INDEX(AO$280:AO$296,$E2309)*$D2309</f>
        <v/>
      </c>
      <c r="AP2309" s="35">
        <f>INDEX(AP$280:AP$296,$E2309)*$D2309</f>
        <v/>
      </c>
      <c r="AQ2309" s="35">
        <f>INDEX(AQ$280:AQ$296,$E2309)*$D2309</f>
        <v/>
      </c>
      <c r="AR2309" s="35">
        <f>INDEX(AR$280:AR$296,$E2309)*$D2309</f>
        <v/>
      </c>
      <c r="AS2309" s="35">
        <f>INDEX(AS$280:AS$296,$E2309)*$D2309</f>
        <v/>
      </c>
      <c r="AT2309" s="35">
        <f>INDEX(AT$280:AT$296,$E2309)*$D2309</f>
        <v/>
      </c>
      <c r="AU2309" s="35">
        <f>INDEX(AU$280:AU$296,$E2309)*$D2309</f>
        <v/>
      </c>
      <c r="AV2309" s="35">
        <f>INDEX(AV$280:AV$296,$E2309)*$D2309</f>
        <v/>
      </c>
      <c r="AW2309" s="35">
        <f>INDEX(AW$280:AW$296,$E2309)*$D2309</f>
        <v/>
      </c>
      <c r="AX2309" s="35">
        <f>INDEX(AX$280:AX$296,$E2309)*$D2309</f>
        <v/>
      </c>
      <c r="AY2309" s="35">
        <f>INDEX(AY$280:AY$296,$E2309)*$D2309</f>
        <v/>
      </c>
      <c r="AZ2309" s="35">
        <f>INDEX(AZ$280:AZ$296,$E2309)*$D2309</f>
        <v/>
      </c>
      <c r="BA2309" s="42">
        <f>ETSCOST(INDEX(BA$280:BA$296,$E2309),$D2309)</f>
        <v/>
      </c>
    </row>
    <row r="2310" hidden="1" outlineLevel="2"/>
    <row r="2311" hidden="1" outlineLevel="2">
      <c r="A2311" s="14" t="inlineStr">
        <is>
          <t>ntx</t>
        </is>
      </c>
      <c r="B2311" s="14" t="inlineStr">
        <is>
          <t>coa</t>
        </is>
      </c>
      <c r="C2311" s="14" t="inlineStr">
        <is>
          <t>mac</t>
        </is>
      </c>
      <c r="D2311" s="35">
        <f>INDEX(Inputs!$N$5:$N$132,MATCH($B2311&amp;"|"&amp;$C2311,Inputs!$A$5:$A$132,0))</f>
        <v/>
      </c>
      <c r="E2311" s="35">
        <f>INDEX(Inputs!$K$5:$K$132,MATCH($B2311&amp;"|"&amp;$C2311,Inputs!$A$5:$A$132,0))</f>
        <v/>
      </c>
      <c r="F2311" s="39" t="n"/>
      <c r="G2311" s="39" t="n"/>
      <c r="H2311" s="14">
        <f>INDEX(VarLab,MATCH($A2311,VarKey,0))&amp;INDEX(MemLab,MATCH($C2311&amp;"|"&amp;$B2311,MemKey,0))</f>
        <v/>
      </c>
      <c r="I2311" s="14">
        <f>INDEX(VarUnit,MATCH($A2311,VarKey,0))</f>
        <v/>
      </c>
      <c r="J2311" s="14">
        <f>INDEX(VarSrc,MATCH($A2311,VarKey,0))</f>
        <v/>
      </c>
      <c r="K2311" s="11">
        <f>CodePrefix&amp;$A2311&amp;IF($C2311="","","."&amp;$C2311&amp;"."&amp;$B2311)&amp;INDEX(VarEnd,MATCH($A2311,VarKey,0))&amp;K$5</f>
        <v/>
      </c>
      <c r="L2311" s="40">
        <f>INDEX(L$80:L$93,$D2311)/$E2311</f>
        <v/>
      </c>
      <c r="M2311" s="35">
        <f>INDEX(M$80:M$93,$D2311)/$E2311</f>
        <v/>
      </c>
      <c r="N2311" s="35">
        <f>INDEX(N$80:N$93,$D2311)/$E2311</f>
        <v/>
      </c>
      <c r="O2311" s="35">
        <f>INDEX(O$80:O$93,$D2311)/$E2311</f>
        <v/>
      </c>
      <c r="P2311" s="35">
        <f>INDEX(P$80:P$93,$D2311)/$E2311</f>
        <v/>
      </c>
      <c r="Q2311" s="35">
        <f>INDEX(Q$80:Q$93,$D2311)/$E2311</f>
        <v/>
      </c>
      <c r="R2311" s="35">
        <f>INDEX(R$80:R$93,$D2311)/$E2311</f>
        <v/>
      </c>
      <c r="S2311" s="35">
        <f>INDEX(S$80:S$93,$D2311)/$E2311</f>
        <v/>
      </c>
      <c r="T2311" s="35">
        <f>INDEX(T$80:T$93,$D2311)/$E2311</f>
        <v/>
      </c>
      <c r="U2311" s="35">
        <f>INDEX(U$80:U$93,$D2311)/$E2311</f>
        <v/>
      </c>
      <c r="V2311" s="35">
        <f>INDEX(V$80:V$93,$D2311)/$E2311</f>
        <v/>
      </c>
      <c r="W2311" s="35">
        <f>INDEX(W$80:W$93,$D2311)/$E2311</f>
        <v/>
      </c>
      <c r="X2311" s="35">
        <f>INDEX(X$80:X$93,$D2311)/$E2311</f>
        <v/>
      </c>
      <c r="Y2311" s="35">
        <f>INDEX(Y$80:Y$93,$D2311)/$E2311</f>
        <v/>
      </c>
      <c r="Z2311" s="35">
        <f>INDEX(Z$80:Z$93,$D2311)/$E2311</f>
        <v/>
      </c>
      <c r="AA2311" s="35">
        <f>INDEX(AA$80:AA$93,$D2311)/$E2311</f>
        <v/>
      </c>
      <c r="AB2311" s="35">
        <f>INDEX(AB$80:AB$93,$D2311)/$E2311</f>
        <v/>
      </c>
      <c r="AC2311" s="35">
        <f>INDEX(AC$80:AC$93,$D2311)/$E2311</f>
        <v/>
      </c>
      <c r="AD2311" s="35">
        <f>INDEX(AD$80:AD$93,$D2311)/$E2311</f>
        <v/>
      </c>
      <c r="AE2311" s="42">
        <f>NEWEXCISE(INDEX(AE$80:AE$93,$D2311),$E2311)</f>
        <v/>
      </c>
      <c r="AG2311" s="11">
        <f>CodePrefix&amp;$A2311&amp;IF($C2311="","","."&amp;$C2311&amp;"."&amp;$B2311)&amp;INDEX(VarEnd,MATCH($A2311,VarKey,0))&amp;AG$5</f>
        <v/>
      </c>
      <c r="AH2311" s="40">
        <f>INDEX(AH$80:AH$93,$D2311)/$E2311</f>
        <v/>
      </c>
      <c r="AI2311" s="35">
        <f>INDEX(AI$80:AI$93,$D2311)/$E2311</f>
        <v/>
      </c>
      <c r="AJ2311" s="35">
        <f>INDEX(AJ$80:AJ$93,$D2311)/$E2311</f>
        <v/>
      </c>
      <c r="AK2311" s="35">
        <f>INDEX(AK$80:AK$93,$D2311)/$E2311</f>
        <v/>
      </c>
      <c r="AL2311" s="35">
        <f>INDEX(AL$80:AL$93,$D2311)/$E2311</f>
        <v/>
      </c>
      <c r="AM2311" s="35">
        <f>INDEX(AM$80:AM$93,$D2311)/$E2311</f>
        <v/>
      </c>
      <c r="AN2311" s="35">
        <f>INDEX(AN$80:AN$93,$D2311)/$E2311</f>
        <v/>
      </c>
      <c r="AO2311" s="35">
        <f>INDEX(AO$80:AO$93,$D2311)/$E2311</f>
        <v/>
      </c>
      <c r="AP2311" s="35">
        <f>INDEX(AP$80:AP$93,$D2311)/$E2311</f>
        <v/>
      </c>
      <c r="AQ2311" s="35">
        <f>INDEX(AQ$80:AQ$93,$D2311)/$E2311</f>
        <v/>
      </c>
      <c r="AR2311" s="35">
        <f>INDEX(AR$80:AR$93,$D2311)/$E2311</f>
        <v/>
      </c>
      <c r="AS2311" s="35">
        <f>INDEX(AS$80:AS$93,$D2311)/$E2311</f>
        <v/>
      </c>
      <c r="AT2311" s="35">
        <f>INDEX(AT$80:AT$93,$D2311)/$E2311</f>
        <v/>
      </c>
      <c r="AU2311" s="35">
        <f>INDEX(AU$80:AU$93,$D2311)/$E2311</f>
        <v/>
      </c>
      <c r="AV2311" s="35">
        <f>INDEX(AV$80:AV$93,$D2311)/$E2311</f>
        <v/>
      </c>
      <c r="AW2311" s="35">
        <f>INDEX(AW$80:AW$93,$D2311)/$E2311</f>
        <v/>
      </c>
      <c r="AX2311" s="35">
        <f>INDEX(AX$80:AX$93,$D2311)/$E2311</f>
        <v/>
      </c>
      <c r="AY2311" s="35">
        <f>INDEX(AY$80:AY$93,$D2311)/$E2311</f>
        <v/>
      </c>
      <c r="AZ2311" s="35">
        <f>INDEX(AZ$80:AZ$93,$D2311)/$E2311</f>
        <v/>
      </c>
      <c r="BA2311" s="42">
        <f>NEWEXCISE(INDEX(BA$80:BA$93,$D2311),$E2311)</f>
        <v/>
      </c>
    </row>
    <row r="2312" hidden="1" outlineLevel="2">
      <c r="A2312" s="14" t="inlineStr">
        <is>
          <t>ntx</t>
        </is>
      </c>
      <c r="B2312" s="14" t="inlineStr">
        <is>
          <t>nga</t>
        </is>
      </c>
      <c r="C2312" s="14" t="inlineStr">
        <is>
          <t>mac</t>
        </is>
      </c>
      <c r="D2312" s="35">
        <f>INDEX(Inputs!$N$5:$N$132,MATCH($B2312&amp;"|"&amp;$C2312,Inputs!$A$5:$A$132,0))</f>
        <v/>
      </c>
      <c r="E2312" s="35">
        <f>INDEX(Inputs!$K$5:$K$132,MATCH($B2312&amp;"|"&amp;$C2312,Inputs!$A$5:$A$132,0))</f>
        <v/>
      </c>
      <c r="F2312" s="39" t="n"/>
      <c r="G2312" s="39" t="n"/>
      <c r="H2312" s="14">
        <f>INDEX(VarLab,MATCH($A2312,VarKey,0))&amp;INDEX(MemLab,MATCH($C2312&amp;"|"&amp;$B2312,MemKey,0))</f>
        <v/>
      </c>
      <c r="I2312" s="14">
        <f>INDEX(VarUnit,MATCH($A2312,VarKey,0))</f>
        <v/>
      </c>
      <c r="J2312" s="14">
        <f>INDEX(VarSrc,MATCH($A2312,VarKey,0))</f>
        <v/>
      </c>
      <c r="K2312" s="11">
        <f>CodePrefix&amp;$A2312&amp;IF($C2312="","","."&amp;$C2312&amp;"."&amp;$B2312)&amp;INDEX(VarEnd,MATCH($A2312,VarKey,0))&amp;K$5</f>
        <v/>
      </c>
      <c r="L2312" s="40">
        <f>INDEX(L$80:L$93,$D2312)/$E2312</f>
        <v/>
      </c>
      <c r="M2312" s="35">
        <f>INDEX(M$80:M$93,$D2312)/$E2312</f>
        <v/>
      </c>
      <c r="N2312" s="35">
        <f>INDEX(N$80:N$93,$D2312)/$E2312</f>
        <v/>
      </c>
      <c r="O2312" s="35">
        <f>INDEX(O$80:O$93,$D2312)/$E2312</f>
        <v/>
      </c>
      <c r="P2312" s="35">
        <f>INDEX(P$80:P$93,$D2312)/$E2312</f>
        <v/>
      </c>
      <c r="Q2312" s="35">
        <f>INDEX(Q$80:Q$93,$D2312)/$E2312</f>
        <v/>
      </c>
      <c r="R2312" s="35">
        <f>INDEX(R$80:R$93,$D2312)/$E2312</f>
        <v/>
      </c>
      <c r="S2312" s="35">
        <f>INDEX(S$80:S$93,$D2312)/$E2312</f>
        <v/>
      </c>
      <c r="T2312" s="35">
        <f>INDEX(T$80:T$93,$D2312)/$E2312</f>
        <v/>
      </c>
      <c r="U2312" s="35">
        <f>INDEX(U$80:U$93,$D2312)/$E2312</f>
        <v/>
      </c>
      <c r="V2312" s="35">
        <f>INDEX(V$80:V$93,$D2312)/$E2312</f>
        <v/>
      </c>
      <c r="W2312" s="35">
        <f>INDEX(W$80:W$93,$D2312)/$E2312</f>
        <v/>
      </c>
      <c r="X2312" s="35">
        <f>INDEX(X$80:X$93,$D2312)/$E2312</f>
        <v/>
      </c>
      <c r="Y2312" s="35">
        <f>INDEX(Y$80:Y$93,$D2312)/$E2312</f>
        <v/>
      </c>
      <c r="Z2312" s="35">
        <f>INDEX(Z$80:Z$93,$D2312)/$E2312</f>
        <v/>
      </c>
      <c r="AA2312" s="35">
        <f>INDEX(AA$80:AA$93,$D2312)/$E2312</f>
        <v/>
      </c>
      <c r="AB2312" s="35">
        <f>INDEX(AB$80:AB$93,$D2312)/$E2312</f>
        <v/>
      </c>
      <c r="AC2312" s="35">
        <f>INDEX(AC$80:AC$93,$D2312)/$E2312</f>
        <v/>
      </c>
      <c r="AD2312" s="35">
        <f>INDEX(AD$80:AD$93,$D2312)/$E2312</f>
        <v/>
      </c>
      <c r="AE2312" s="42">
        <f>NEWEXCISE(INDEX(AE$80:AE$93,$D2312),$E2312)</f>
        <v/>
      </c>
      <c r="AG2312" s="11">
        <f>CodePrefix&amp;$A2312&amp;IF($C2312="","","."&amp;$C2312&amp;"."&amp;$B2312)&amp;INDEX(VarEnd,MATCH($A2312,VarKey,0))&amp;AG$5</f>
        <v/>
      </c>
      <c r="AH2312" s="40">
        <f>INDEX(AH$80:AH$93,$D2312)/$E2312</f>
        <v/>
      </c>
      <c r="AI2312" s="35">
        <f>INDEX(AI$80:AI$93,$D2312)/$E2312</f>
        <v/>
      </c>
      <c r="AJ2312" s="35">
        <f>INDEX(AJ$80:AJ$93,$D2312)/$E2312</f>
        <v/>
      </c>
      <c r="AK2312" s="35">
        <f>INDEX(AK$80:AK$93,$D2312)/$E2312</f>
        <v/>
      </c>
      <c r="AL2312" s="35">
        <f>INDEX(AL$80:AL$93,$D2312)/$E2312</f>
        <v/>
      </c>
      <c r="AM2312" s="35">
        <f>INDEX(AM$80:AM$93,$D2312)/$E2312</f>
        <v/>
      </c>
      <c r="AN2312" s="35">
        <f>INDEX(AN$80:AN$93,$D2312)/$E2312</f>
        <v/>
      </c>
      <c r="AO2312" s="35">
        <f>INDEX(AO$80:AO$93,$D2312)/$E2312</f>
        <v/>
      </c>
      <c r="AP2312" s="35">
        <f>INDEX(AP$80:AP$93,$D2312)/$E2312</f>
        <v/>
      </c>
      <c r="AQ2312" s="35">
        <f>INDEX(AQ$80:AQ$93,$D2312)/$E2312</f>
        <v/>
      </c>
      <c r="AR2312" s="35">
        <f>INDEX(AR$80:AR$93,$D2312)/$E2312</f>
        <v/>
      </c>
      <c r="AS2312" s="35">
        <f>INDEX(AS$80:AS$93,$D2312)/$E2312</f>
        <v/>
      </c>
      <c r="AT2312" s="35">
        <f>INDEX(AT$80:AT$93,$D2312)/$E2312</f>
        <v/>
      </c>
      <c r="AU2312" s="35">
        <f>INDEX(AU$80:AU$93,$D2312)/$E2312</f>
        <v/>
      </c>
      <c r="AV2312" s="35">
        <f>INDEX(AV$80:AV$93,$D2312)/$E2312</f>
        <v/>
      </c>
      <c r="AW2312" s="35">
        <f>INDEX(AW$80:AW$93,$D2312)/$E2312</f>
        <v/>
      </c>
      <c r="AX2312" s="35">
        <f>INDEX(AX$80:AX$93,$D2312)/$E2312</f>
        <v/>
      </c>
      <c r="AY2312" s="35">
        <f>INDEX(AY$80:AY$93,$D2312)/$E2312</f>
        <v/>
      </c>
      <c r="AZ2312" s="35">
        <f>INDEX(AZ$80:AZ$93,$D2312)/$E2312</f>
        <v/>
      </c>
      <c r="BA2312" s="42">
        <f>NEWEXCISE(INDEX(BA$80:BA$93,$D2312),$E2312)</f>
        <v/>
      </c>
    </row>
    <row r="2313" hidden="1" outlineLevel="2">
      <c r="A2313" s="14" t="inlineStr">
        <is>
          <t>ntx</t>
        </is>
      </c>
      <c r="B2313" s="14" t="inlineStr">
        <is>
          <t>gso</t>
        </is>
      </c>
      <c r="C2313" s="14" t="inlineStr">
        <is>
          <t>mac</t>
        </is>
      </c>
      <c r="D2313" s="35">
        <f>INDEX(Inputs!$N$5:$N$132,MATCH($B2313&amp;"|"&amp;$C2313,Inputs!$A$5:$A$132,0))</f>
        <v/>
      </c>
      <c r="E2313" s="35">
        <f>INDEX(Inputs!$K$5:$K$132,MATCH($B2313&amp;"|"&amp;$C2313,Inputs!$A$5:$A$132,0))</f>
        <v/>
      </c>
      <c r="F2313" s="39" t="n"/>
      <c r="G2313" s="39" t="n"/>
      <c r="H2313" s="14">
        <f>INDEX(VarLab,MATCH($A2313,VarKey,0))&amp;INDEX(MemLab,MATCH($C2313&amp;"|"&amp;$B2313,MemKey,0))</f>
        <v/>
      </c>
      <c r="I2313" s="14">
        <f>INDEX(VarUnit,MATCH($A2313,VarKey,0))</f>
        <v/>
      </c>
      <c r="J2313" s="14">
        <f>INDEX(VarSrc,MATCH($A2313,VarKey,0))</f>
        <v/>
      </c>
      <c r="K2313" s="11">
        <f>CodePrefix&amp;$A2313&amp;IF($C2313="","","."&amp;$C2313&amp;"."&amp;$B2313)&amp;INDEX(VarEnd,MATCH($A2313,VarKey,0))&amp;K$5</f>
        <v/>
      </c>
      <c r="L2313" s="40">
        <f>INDEX(L$80:L$93,$D2313)/$E2313</f>
        <v/>
      </c>
      <c r="M2313" s="35">
        <f>INDEX(M$80:M$93,$D2313)/$E2313</f>
        <v/>
      </c>
      <c r="N2313" s="35">
        <f>INDEX(N$80:N$93,$D2313)/$E2313</f>
        <v/>
      </c>
      <c r="O2313" s="35">
        <f>INDEX(O$80:O$93,$D2313)/$E2313</f>
        <v/>
      </c>
      <c r="P2313" s="35">
        <f>INDEX(P$80:P$93,$D2313)/$E2313</f>
        <v/>
      </c>
      <c r="Q2313" s="35">
        <f>INDEX(Q$80:Q$93,$D2313)/$E2313</f>
        <v/>
      </c>
      <c r="R2313" s="35">
        <f>INDEX(R$80:R$93,$D2313)/$E2313</f>
        <v/>
      </c>
      <c r="S2313" s="35">
        <f>INDEX(S$80:S$93,$D2313)/$E2313</f>
        <v/>
      </c>
      <c r="T2313" s="35">
        <f>INDEX(T$80:T$93,$D2313)/$E2313</f>
        <v/>
      </c>
      <c r="U2313" s="35">
        <f>INDEX(U$80:U$93,$D2313)/$E2313</f>
        <v/>
      </c>
      <c r="V2313" s="35">
        <f>INDEX(V$80:V$93,$D2313)/$E2313</f>
        <v/>
      </c>
      <c r="W2313" s="35">
        <f>INDEX(W$80:W$93,$D2313)/$E2313</f>
        <v/>
      </c>
      <c r="X2313" s="35">
        <f>INDEX(X$80:X$93,$D2313)/$E2313</f>
        <v/>
      </c>
      <c r="Y2313" s="35">
        <f>INDEX(Y$80:Y$93,$D2313)/$E2313</f>
        <v/>
      </c>
      <c r="Z2313" s="35">
        <f>INDEX(Z$80:Z$93,$D2313)/$E2313</f>
        <v/>
      </c>
      <c r="AA2313" s="35">
        <f>INDEX(AA$80:AA$93,$D2313)/$E2313</f>
        <v/>
      </c>
      <c r="AB2313" s="35">
        <f>INDEX(AB$80:AB$93,$D2313)/$E2313</f>
        <v/>
      </c>
      <c r="AC2313" s="35">
        <f>INDEX(AC$80:AC$93,$D2313)/$E2313</f>
        <v/>
      </c>
      <c r="AD2313" s="35">
        <f>INDEX(AD$80:AD$93,$D2313)/$E2313</f>
        <v/>
      </c>
      <c r="AE2313" s="42">
        <f>NEWEXCISE(INDEX(AE$80:AE$93,$D2313),$E2313)</f>
        <v/>
      </c>
      <c r="AG2313" s="11">
        <f>CodePrefix&amp;$A2313&amp;IF($C2313="","","."&amp;$C2313&amp;"."&amp;$B2313)&amp;INDEX(VarEnd,MATCH($A2313,VarKey,0))&amp;AG$5</f>
        <v/>
      </c>
      <c r="AH2313" s="40">
        <f>INDEX(AH$80:AH$93,$D2313)/$E2313</f>
        <v/>
      </c>
      <c r="AI2313" s="35">
        <f>INDEX(AI$80:AI$93,$D2313)/$E2313</f>
        <v/>
      </c>
      <c r="AJ2313" s="35">
        <f>INDEX(AJ$80:AJ$93,$D2313)/$E2313</f>
        <v/>
      </c>
      <c r="AK2313" s="35">
        <f>INDEX(AK$80:AK$93,$D2313)/$E2313</f>
        <v/>
      </c>
      <c r="AL2313" s="35">
        <f>INDEX(AL$80:AL$93,$D2313)/$E2313</f>
        <v/>
      </c>
      <c r="AM2313" s="35">
        <f>INDEX(AM$80:AM$93,$D2313)/$E2313</f>
        <v/>
      </c>
      <c r="AN2313" s="35">
        <f>INDEX(AN$80:AN$93,$D2313)/$E2313</f>
        <v/>
      </c>
      <c r="AO2313" s="35">
        <f>INDEX(AO$80:AO$93,$D2313)/$E2313</f>
        <v/>
      </c>
      <c r="AP2313" s="35">
        <f>INDEX(AP$80:AP$93,$D2313)/$E2313</f>
        <v/>
      </c>
      <c r="AQ2313" s="35">
        <f>INDEX(AQ$80:AQ$93,$D2313)/$E2313</f>
        <v/>
      </c>
      <c r="AR2313" s="35">
        <f>INDEX(AR$80:AR$93,$D2313)/$E2313</f>
        <v/>
      </c>
      <c r="AS2313" s="35">
        <f>INDEX(AS$80:AS$93,$D2313)/$E2313</f>
        <v/>
      </c>
      <c r="AT2313" s="35">
        <f>INDEX(AT$80:AT$93,$D2313)/$E2313</f>
        <v/>
      </c>
      <c r="AU2313" s="35">
        <f>INDEX(AU$80:AU$93,$D2313)/$E2313</f>
        <v/>
      </c>
      <c r="AV2313" s="35">
        <f>INDEX(AV$80:AV$93,$D2313)/$E2313</f>
        <v/>
      </c>
      <c r="AW2313" s="35">
        <f>INDEX(AW$80:AW$93,$D2313)/$E2313</f>
        <v/>
      </c>
      <c r="AX2313" s="35">
        <f>INDEX(AX$80:AX$93,$D2313)/$E2313</f>
        <v/>
      </c>
      <c r="AY2313" s="35">
        <f>INDEX(AY$80:AY$93,$D2313)/$E2313</f>
        <v/>
      </c>
      <c r="AZ2313" s="35">
        <f>INDEX(AZ$80:AZ$93,$D2313)/$E2313</f>
        <v/>
      </c>
      <c r="BA2313" s="42">
        <f>NEWEXCISE(INDEX(BA$80:BA$93,$D2313),$E2313)</f>
        <v/>
      </c>
    </row>
    <row r="2314" hidden="1" outlineLevel="2">
      <c r="A2314" s="14" t="inlineStr">
        <is>
          <t>ntx</t>
        </is>
      </c>
      <c r="B2314" s="14" t="inlineStr">
        <is>
          <t>die</t>
        </is>
      </c>
      <c r="C2314" s="14" t="inlineStr">
        <is>
          <t>mac</t>
        </is>
      </c>
      <c r="D2314" s="35">
        <f>INDEX(Inputs!$N$5:$N$132,MATCH($B2314&amp;"|"&amp;$C2314,Inputs!$A$5:$A$132,0))</f>
        <v/>
      </c>
      <c r="E2314" s="35">
        <f>INDEX(Inputs!$K$5:$K$132,MATCH($B2314&amp;"|"&amp;$C2314,Inputs!$A$5:$A$132,0))</f>
        <v/>
      </c>
      <c r="F2314" s="39" t="n"/>
      <c r="G2314" s="39" t="n"/>
      <c r="H2314" s="14">
        <f>INDEX(VarLab,MATCH($A2314,VarKey,0))&amp;INDEX(MemLab,MATCH($C2314&amp;"|"&amp;$B2314,MemKey,0))</f>
        <v/>
      </c>
      <c r="I2314" s="14">
        <f>INDEX(VarUnit,MATCH($A2314,VarKey,0))</f>
        <v/>
      </c>
      <c r="J2314" s="14">
        <f>INDEX(VarSrc,MATCH($A2314,VarKey,0))</f>
        <v/>
      </c>
      <c r="K2314" s="11">
        <f>CodePrefix&amp;$A2314&amp;IF($C2314="","","."&amp;$C2314&amp;"."&amp;$B2314)&amp;INDEX(VarEnd,MATCH($A2314,VarKey,0))&amp;K$5</f>
        <v/>
      </c>
      <c r="L2314" s="40">
        <f>INDEX(L$80:L$93,$D2314)/$E2314</f>
        <v/>
      </c>
      <c r="M2314" s="35">
        <f>INDEX(M$80:M$93,$D2314)/$E2314</f>
        <v/>
      </c>
      <c r="N2314" s="35">
        <f>INDEX(N$80:N$93,$D2314)/$E2314</f>
        <v/>
      </c>
      <c r="O2314" s="35">
        <f>INDEX(O$80:O$93,$D2314)/$E2314</f>
        <v/>
      </c>
      <c r="P2314" s="35">
        <f>INDEX(P$80:P$93,$D2314)/$E2314</f>
        <v/>
      </c>
      <c r="Q2314" s="35">
        <f>INDEX(Q$80:Q$93,$D2314)/$E2314</f>
        <v/>
      </c>
      <c r="R2314" s="35">
        <f>INDEX(R$80:R$93,$D2314)/$E2314</f>
        <v/>
      </c>
      <c r="S2314" s="35">
        <f>INDEX(S$80:S$93,$D2314)/$E2314</f>
        <v/>
      </c>
      <c r="T2314" s="35">
        <f>INDEX(T$80:T$93,$D2314)/$E2314</f>
        <v/>
      </c>
      <c r="U2314" s="35">
        <f>INDEX(U$80:U$93,$D2314)/$E2314</f>
        <v/>
      </c>
      <c r="V2314" s="35">
        <f>INDEX(V$80:V$93,$D2314)/$E2314</f>
        <v/>
      </c>
      <c r="W2314" s="35">
        <f>INDEX(W$80:W$93,$D2314)/$E2314</f>
        <v/>
      </c>
      <c r="X2314" s="35">
        <f>INDEX(X$80:X$93,$D2314)/$E2314</f>
        <v/>
      </c>
      <c r="Y2314" s="35">
        <f>INDEX(Y$80:Y$93,$D2314)/$E2314</f>
        <v/>
      </c>
      <c r="Z2314" s="35">
        <f>INDEX(Z$80:Z$93,$D2314)/$E2314</f>
        <v/>
      </c>
      <c r="AA2314" s="35">
        <f>INDEX(AA$80:AA$93,$D2314)/$E2314</f>
        <v/>
      </c>
      <c r="AB2314" s="35">
        <f>INDEX(AB$80:AB$93,$D2314)/$E2314</f>
        <v/>
      </c>
      <c r="AC2314" s="35">
        <f>INDEX(AC$80:AC$93,$D2314)/$E2314</f>
        <v/>
      </c>
      <c r="AD2314" s="35">
        <f>INDEX(AD$80:AD$93,$D2314)/$E2314</f>
        <v/>
      </c>
      <c r="AE2314" s="42">
        <f>NEWEXCISE(INDEX(AE$80:AE$93,$D2314),$E2314)</f>
        <v/>
      </c>
      <c r="AG2314" s="11">
        <f>CodePrefix&amp;$A2314&amp;IF($C2314="","","."&amp;$C2314&amp;"."&amp;$B2314)&amp;INDEX(VarEnd,MATCH($A2314,VarKey,0))&amp;AG$5</f>
        <v/>
      </c>
      <c r="AH2314" s="40">
        <f>INDEX(AH$80:AH$93,$D2314)/$E2314</f>
        <v/>
      </c>
      <c r="AI2314" s="35">
        <f>INDEX(AI$80:AI$93,$D2314)/$E2314</f>
        <v/>
      </c>
      <c r="AJ2314" s="35">
        <f>INDEX(AJ$80:AJ$93,$D2314)/$E2314</f>
        <v/>
      </c>
      <c r="AK2314" s="35">
        <f>INDEX(AK$80:AK$93,$D2314)/$E2314</f>
        <v/>
      </c>
      <c r="AL2314" s="35">
        <f>INDEX(AL$80:AL$93,$D2314)/$E2314</f>
        <v/>
      </c>
      <c r="AM2314" s="35">
        <f>INDEX(AM$80:AM$93,$D2314)/$E2314</f>
        <v/>
      </c>
      <c r="AN2314" s="35">
        <f>INDEX(AN$80:AN$93,$D2314)/$E2314</f>
        <v/>
      </c>
      <c r="AO2314" s="35">
        <f>INDEX(AO$80:AO$93,$D2314)/$E2314</f>
        <v/>
      </c>
      <c r="AP2314" s="35">
        <f>INDEX(AP$80:AP$93,$D2314)/$E2314</f>
        <v/>
      </c>
      <c r="AQ2314" s="35">
        <f>INDEX(AQ$80:AQ$93,$D2314)/$E2314</f>
        <v/>
      </c>
      <c r="AR2314" s="35">
        <f>INDEX(AR$80:AR$93,$D2314)/$E2314</f>
        <v/>
      </c>
      <c r="AS2314" s="35">
        <f>INDEX(AS$80:AS$93,$D2314)/$E2314</f>
        <v/>
      </c>
      <c r="AT2314" s="35">
        <f>INDEX(AT$80:AT$93,$D2314)/$E2314</f>
        <v/>
      </c>
      <c r="AU2314" s="35">
        <f>INDEX(AU$80:AU$93,$D2314)/$E2314</f>
        <v/>
      </c>
      <c r="AV2314" s="35">
        <f>INDEX(AV$80:AV$93,$D2314)/$E2314</f>
        <v/>
      </c>
      <c r="AW2314" s="35">
        <f>INDEX(AW$80:AW$93,$D2314)/$E2314</f>
        <v/>
      </c>
      <c r="AX2314" s="35">
        <f>INDEX(AX$80:AX$93,$D2314)/$E2314</f>
        <v/>
      </c>
      <c r="AY2314" s="35">
        <f>INDEX(AY$80:AY$93,$D2314)/$E2314</f>
        <v/>
      </c>
      <c r="AZ2314" s="35">
        <f>INDEX(AZ$80:AZ$93,$D2314)/$E2314</f>
        <v/>
      </c>
      <c r="BA2314" s="42">
        <f>NEWEXCISE(INDEX(BA$80:BA$93,$D2314),$E2314)</f>
        <v/>
      </c>
    </row>
    <row r="2315" hidden="1" outlineLevel="2">
      <c r="A2315" s="14" t="inlineStr">
        <is>
          <t>ntx</t>
        </is>
      </c>
      <c r="B2315" s="14" t="inlineStr">
        <is>
          <t>lpg</t>
        </is>
      </c>
      <c r="C2315" s="14" t="inlineStr">
        <is>
          <t>mac</t>
        </is>
      </c>
      <c r="D2315" s="35">
        <f>INDEX(Inputs!$N$5:$N$132,MATCH($B2315&amp;"|"&amp;$C2315,Inputs!$A$5:$A$132,0))</f>
        <v/>
      </c>
      <c r="E2315" s="35">
        <f>INDEX(Inputs!$K$5:$K$132,MATCH($B2315&amp;"|"&amp;$C2315,Inputs!$A$5:$A$132,0))</f>
        <v/>
      </c>
      <c r="F2315" s="39" t="n"/>
      <c r="G2315" s="39" t="n"/>
      <c r="H2315" s="14">
        <f>INDEX(VarLab,MATCH($A2315,VarKey,0))&amp;INDEX(MemLab,MATCH($C2315&amp;"|"&amp;$B2315,MemKey,0))</f>
        <v/>
      </c>
      <c r="I2315" s="14">
        <f>INDEX(VarUnit,MATCH($A2315,VarKey,0))</f>
        <v/>
      </c>
      <c r="J2315" s="14">
        <f>INDEX(VarSrc,MATCH($A2315,VarKey,0))</f>
        <v/>
      </c>
      <c r="K2315" s="11">
        <f>CodePrefix&amp;$A2315&amp;IF($C2315="","","."&amp;$C2315&amp;"."&amp;$B2315)&amp;INDEX(VarEnd,MATCH($A2315,VarKey,0))&amp;K$5</f>
        <v/>
      </c>
      <c r="L2315" s="40">
        <f>INDEX(L$80:L$93,$D2315)/$E2315</f>
        <v/>
      </c>
      <c r="M2315" s="35">
        <f>INDEX(M$80:M$93,$D2315)/$E2315</f>
        <v/>
      </c>
      <c r="N2315" s="35">
        <f>INDEX(N$80:N$93,$D2315)/$E2315</f>
        <v/>
      </c>
      <c r="O2315" s="35">
        <f>INDEX(O$80:O$93,$D2315)/$E2315</f>
        <v/>
      </c>
      <c r="P2315" s="35">
        <f>INDEX(P$80:P$93,$D2315)/$E2315</f>
        <v/>
      </c>
      <c r="Q2315" s="35">
        <f>INDEX(Q$80:Q$93,$D2315)/$E2315</f>
        <v/>
      </c>
      <c r="R2315" s="35">
        <f>INDEX(R$80:R$93,$D2315)/$E2315</f>
        <v/>
      </c>
      <c r="S2315" s="35">
        <f>INDEX(S$80:S$93,$D2315)/$E2315</f>
        <v/>
      </c>
      <c r="T2315" s="35">
        <f>INDEX(T$80:T$93,$D2315)/$E2315</f>
        <v/>
      </c>
      <c r="U2315" s="35">
        <f>INDEX(U$80:U$93,$D2315)/$E2315</f>
        <v/>
      </c>
      <c r="V2315" s="35">
        <f>INDEX(V$80:V$93,$D2315)/$E2315</f>
        <v/>
      </c>
      <c r="W2315" s="35">
        <f>INDEX(W$80:W$93,$D2315)/$E2315</f>
        <v/>
      </c>
      <c r="X2315" s="35">
        <f>INDEX(X$80:X$93,$D2315)/$E2315</f>
        <v/>
      </c>
      <c r="Y2315" s="35">
        <f>INDEX(Y$80:Y$93,$D2315)/$E2315</f>
        <v/>
      </c>
      <c r="Z2315" s="35">
        <f>INDEX(Z$80:Z$93,$D2315)/$E2315</f>
        <v/>
      </c>
      <c r="AA2315" s="35">
        <f>INDEX(AA$80:AA$93,$D2315)/$E2315</f>
        <v/>
      </c>
      <c r="AB2315" s="35">
        <f>INDEX(AB$80:AB$93,$D2315)/$E2315</f>
        <v/>
      </c>
      <c r="AC2315" s="35">
        <f>INDEX(AC$80:AC$93,$D2315)/$E2315</f>
        <v/>
      </c>
      <c r="AD2315" s="35">
        <f>INDEX(AD$80:AD$93,$D2315)/$E2315</f>
        <v/>
      </c>
      <c r="AE2315" s="42">
        <f>NEWEXCISE(INDEX(AE$80:AE$93,$D2315),$E2315)</f>
        <v/>
      </c>
      <c r="AG2315" s="11">
        <f>CodePrefix&amp;$A2315&amp;IF($C2315="","","."&amp;$C2315&amp;"."&amp;$B2315)&amp;INDEX(VarEnd,MATCH($A2315,VarKey,0))&amp;AG$5</f>
        <v/>
      </c>
      <c r="AH2315" s="40">
        <f>INDEX(AH$80:AH$93,$D2315)/$E2315</f>
        <v/>
      </c>
      <c r="AI2315" s="35">
        <f>INDEX(AI$80:AI$93,$D2315)/$E2315</f>
        <v/>
      </c>
      <c r="AJ2315" s="35">
        <f>INDEX(AJ$80:AJ$93,$D2315)/$E2315</f>
        <v/>
      </c>
      <c r="AK2315" s="35">
        <f>INDEX(AK$80:AK$93,$D2315)/$E2315</f>
        <v/>
      </c>
      <c r="AL2315" s="35">
        <f>INDEX(AL$80:AL$93,$D2315)/$E2315</f>
        <v/>
      </c>
      <c r="AM2315" s="35">
        <f>INDEX(AM$80:AM$93,$D2315)/$E2315</f>
        <v/>
      </c>
      <c r="AN2315" s="35">
        <f>INDEX(AN$80:AN$93,$D2315)/$E2315</f>
        <v/>
      </c>
      <c r="AO2315" s="35">
        <f>INDEX(AO$80:AO$93,$D2315)/$E2315</f>
        <v/>
      </c>
      <c r="AP2315" s="35">
        <f>INDEX(AP$80:AP$93,$D2315)/$E2315</f>
        <v/>
      </c>
      <c r="AQ2315" s="35">
        <f>INDEX(AQ$80:AQ$93,$D2315)/$E2315</f>
        <v/>
      </c>
      <c r="AR2315" s="35">
        <f>INDEX(AR$80:AR$93,$D2315)/$E2315</f>
        <v/>
      </c>
      <c r="AS2315" s="35">
        <f>INDEX(AS$80:AS$93,$D2315)/$E2315</f>
        <v/>
      </c>
      <c r="AT2315" s="35">
        <f>INDEX(AT$80:AT$93,$D2315)/$E2315</f>
        <v/>
      </c>
      <c r="AU2315" s="35">
        <f>INDEX(AU$80:AU$93,$D2315)/$E2315</f>
        <v/>
      </c>
      <c r="AV2315" s="35">
        <f>INDEX(AV$80:AV$93,$D2315)/$E2315</f>
        <v/>
      </c>
      <c r="AW2315" s="35">
        <f>INDEX(AW$80:AW$93,$D2315)/$E2315</f>
        <v/>
      </c>
      <c r="AX2315" s="35">
        <f>INDEX(AX$80:AX$93,$D2315)/$E2315</f>
        <v/>
      </c>
      <c r="AY2315" s="35">
        <f>INDEX(AY$80:AY$93,$D2315)/$E2315</f>
        <v/>
      </c>
      <c r="AZ2315" s="35">
        <f>INDEX(AZ$80:AZ$93,$D2315)/$E2315</f>
        <v/>
      </c>
      <c r="BA2315" s="42">
        <f>NEWEXCISE(INDEX(BA$80:BA$93,$D2315),$E2315)</f>
        <v/>
      </c>
    </row>
    <row r="2316" hidden="1" outlineLevel="2">
      <c r="A2316" s="14" t="inlineStr">
        <is>
          <t>ntx</t>
        </is>
      </c>
      <c r="B2316" s="14" t="inlineStr">
        <is>
          <t>ker</t>
        </is>
      </c>
      <c r="C2316" s="14" t="inlineStr">
        <is>
          <t>mac</t>
        </is>
      </c>
      <c r="D2316" s="35">
        <f>INDEX(Inputs!$N$5:$N$132,MATCH($B2316&amp;"|"&amp;$C2316,Inputs!$A$5:$A$132,0))</f>
        <v/>
      </c>
      <c r="E2316" s="35">
        <f>INDEX(Inputs!$K$5:$K$132,MATCH($B2316&amp;"|"&amp;$C2316,Inputs!$A$5:$A$132,0))</f>
        <v/>
      </c>
      <c r="F2316" s="39" t="n"/>
      <c r="G2316" s="39" t="n"/>
      <c r="H2316" s="14">
        <f>INDEX(VarLab,MATCH($A2316,VarKey,0))&amp;INDEX(MemLab,MATCH($C2316&amp;"|"&amp;$B2316,MemKey,0))</f>
        <v/>
      </c>
      <c r="I2316" s="14">
        <f>INDEX(VarUnit,MATCH($A2316,VarKey,0))</f>
        <v/>
      </c>
      <c r="J2316" s="14">
        <f>INDEX(VarSrc,MATCH($A2316,VarKey,0))</f>
        <v/>
      </c>
      <c r="K2316" s="11">
        <f>CodePrefix&amp;$A2316&amp;IF($C2316="","","."&amp;$C2316&amp;"."&amp;$B2316)&amp;INDEX(VarEnd,MATCH($A2316,VarKey,0))&amp;K$5</f>
        <v/>
      </c>
      <c r="L2316" s="40">
        <f>INDEX(L$80:L$93,$D2316)/$E2316</f>
        <v/>
      </c>
      <c r="M2316" s="35">
        <f>INDEX(M$80:M$93,$D2316)/$E2316</f>
        <v/>
      </c>
      <c r="N2316" s="35">
        <f>INDEX(N$80:N$93,$D2316)/$E2316</f>
        <v/>
      </c>
      <c r="O2316" s="35">
        <f>INDEX(O$80:O$93,$D2316)/$E2316</f>
        <v/>
      </c>
      <c r="P2316" s="35">
        <f>INDEX(P$80:P$93,$D2316)/$E2316</f>
        <v/>
      </c>
      <c r="Q2316" s="35">
        <f>INDEX(Q$80:Q$93,$D2316)/$E2316</f>
        <v/>
      </c>
      <c r="R2316" s="35">
        <f>INDEX(R$80:R$93,$D2316)/$E2316</f>
        <v/>
      </c>
      <c r="S2316" s="35">
        <f>INDEX(S$80:S$93,$D2316)/$E2316</f>
        <v/>
      </c>
      <c r="T2316" s="35">
        <f>INDEX(T$80:T$93,$D2316)/$E2316</f>
        <v/>
      </c>
      <c r="U2316" s="35">
        <f>INDEX(U$80:U$93,$D2316)/$E2316</f>
        <v/>
      </c>
      <c r="V2316" s="35">
        <f>INDEX(V$80:V$93,$D2316)/$E2316</f>
        <v/>
      </c>
      <c r="W2316" s="35">
        <f>INDEX(W$80:W$93,$D2316)/$E2316</f>
        <v/>
      </c>
      <c r="X2316" s="35">
        <f>INDEX(X$80:X$93,$D2316)/$E2316</f>
        <v/>
      </c>
      <c r="Y2316" s="35">
        <f>INDEX(Y$80:Y$93,$D2316)/$E2316</f>
        <v/>
      </c>
      <c r="Z2316" s="35">
        <f>INDEX(Z$80:Z$93,$D2316)/$E2316</f>
        <v/>
      </c>
      <c r="AA2316" s="35">
        <f>INDEX(AA$80:AA$93,$D2316)/$E2316</f>
        <v/>
      </c>
      <c r="AB2316" s="35">
        <f>INDEX(AB$80:AB$93,$D2316)/$E2316</f>
        <v/>
      </c>
      <c r="AC2316" s="35">
        <f>INDEX(AC$80:AC$93,$D2316)/$E2316</f>
        <v/>
      </c>
      <c r="AD2316" s="35">
        <f>INDEX(AD$80:AD$93,$D2316)/$E2316</f>
        <v/>
      </c>
      <c r="AE2316" s="42">
        <f>NEWEXCISE(INDEX(AE$80:AE$93,$D2316),$E2316)</f>
        <v/>
      </c>
      <c r="AG2316" s="11">
        <f>CodePrefix&amp;$A2316&amp;IF($C2316="","","."&amp;$C2316&amp;"."&amp;$B2316)&amp;INDEX(VarEnd,MATCH($A2316,VarKey,0))&amp;AG$5</f>
        <v/>
      </c>
      <c r="AH2316" s="40">
        <f>INDEX(AH$80:AH$93,$D2316)/$E2316</f>
        <v/>
      </c>
      <c r="AI2316" s="35">
        <f>INDEX(AI$80:AI$93,$D2316)/$E2316</f>
        <v/>
      </c>
      <c r="AJ2316" s="35">
        <f>INDEX(AJ$80:AJ$93,$D2316)/$E2316</f>
        <v/>
      </c>
      <c r="AK2316" s="35">
        <f>INDEX(AK$80:AK$93,$D2316)/$E2316</f>
        <v/>
      </c>
      <c r="AL2316" s="35">
        <f>INDEX(AL$80:AL$93,$D2316)/$E2316</f>
        <v/>
      </c>
      <c r="AM2316" s="35">
        <f>INDEX(AM$80:AM$93,$D2316)/$E2316</f>
        <v/>
      </c>
      <c r="AN2316" s="35">
        <f>INDEX(AN$80:AN$93,$D2316)/$E2316</f>
        <v/>
      </c>
      <c r="AO2316" s="35">
        <f>INDEX(AO$80:AO$93,$D2316)/$E2316</f>
        <v/>
      </c>
      <c r="AP2316" s="35">
        <f>INDEX(AP$80:AP$93,$D2316)/$E2316</f>
        <v/>
      </c>
      <c r="AQ2316" s="35">
        <f>INDEX(AQ$80:AQ$93,$D2316)/$E2316</f>
        <v/>
      </c>
      <c r="AR2316" s="35">
        <f>INDEX(AR$80:AR$93,$D2316)/$E2316</f>
        <v/>
      </c>
      <c r="AS2316" s="35">
        <f>INDEX(AS$80:AS$93,$D2316)/$E2316</f>
        <v/>
      </c>
      <c r="AT2316" s="35">
        <f>INDEX(AT$80:AT$93,$D2316)/$E2316</f>
        <v/>
      </c>
      <c r="AU2316" s="35">
        <f>INDEX(AU$80:AU$93,$D2316)/$E2316</f>
        <v/>
      </c>
      <c r="AV2316" s="35">
        <f>INDEX(AV$80:AV$93,$D2316)/$E2316</f>
        <v/>
      </c>
      <c r="AW2316" s="35">
        <f>INDEX(AW$80:AW$93,$D2316)/$E2316</f>
        <v/>
      </c>
      <c r="AX2316" s="35">
        <f>INDEX(AX$80:AX$93,$D2316)/$E2316</f>
        <v/>
      </c>
      <c r="AY2316" s="35">
        <f>INDEX(AY$80:AY$93,$D2316)/$E2316</f>
        <v/>
      </c>
      <c r="AZ2316" s="35">
        <f>INDEX(AZ$80:AZ$93,$D2316)/$E2316</f>
        <v/>
      </c>
      <c r="BA2316" s="42">
        <f>NEWEXCISE(INDEX(BA$80:BA$93,$D2316),$E2316)</f>
        <v/>
      </c>
    </row>
    <row r="2317" hidden="1" outlineLevel="2">
      <c r="A2317" s="14" t="inlineStr">
        <is>
          <t>ntx</t>
        </is>
      </c>
      <c r="B2317" s="14" t="inlineStr">
        <is>
          <t>oop</t>
        </is>
      </c>
      <c r="C2317" s="14" t="inlineStr">
        <is>
          <t>mac</t>
        </is>
      </c>
      <c r="D2317" s="35">
        <f>INDEX(Inputs!$N$5:$N$132,MATCH($B2317&amp;"|"&amp;$C2317,Inputs!$A$5:$A$132,0))</f>
        <v/>
      </c>
      <c r="E2317" s="35">
        <f>INDEX(Inputs!$K$5:$K$132,MATCH($B2317&amp;"|"&amp;$C2317,Inputs!$A$5:$A$132,0))</f>
        <v/>
      </c>
      <c r="F2317" s="39" t="n"/>
      <c r="G2317" s="39" t="n"/>
      <c r="H2317" s="14">
        <f>INDEX(VarLab,MATCH($A2317,VarKey,0))&amp;INDEX(MemLab,MATCH($C2317&amp;"|"&amp;$B2317,MemKey,0))</f>
        <v/>
      </c>
      <c r="I2317" s="14">
        <f>INDEX(VarUnit,MATCH($A2317,VarKey,0))</f>
        <v/>
      </c>
      <c r="J2317" s="14">
        <f>INDEX(VarSrc,MATCH($A2317,VarKey,0))</f>
        <v/>
      </c>
      <c r="K2317" s="11">
        <f>CodePrefix&amp;$A2317&amp;IF($C2317="","","."&amp;$C2317&amp;"."&amp;$B2317)&amp;INDEX(VarEnd,MATCH($A2317,VarKey,0))&amp;K$5</f>
        <v/>
      </c>
      <c r="L2317" s="40">
        <f>INDEX(L$80:L$93,$D2317)/$E2317</f>
        <v/>
      </c>
      <c r="M2317" s="35">
        <f>INDEX(M$80:M$93,$D2317)/$E2317</f>
        <v/>
      </c>
      <c r="N2317" s="35">
        <f>INDEX(N$80:N$93,$D2317)/$E2317</f>
        <v/>
      </c>
      <c r="O2317" s="35">
        <f>INDEX(O$80:O$93,$D2317)/$E2317</f>
        <v/>
      </c>
      <c r="P2317" s="35">
        <f>INDEX(P$80:P$93,$D2317)/$E2317</f>
        <v/>
      </c>
      <c r="Q2317" s="35">
        <f>INDEX(Q$80:Q$93,$D2317)/$E2317</f>
        <v/>
      </c>
      <c r="R2317" s="35">
        <f>INDEX(R$80:R$93,$D2317)/$E2317</f>
        <v/>
      </c>
      <c r="S2317" s="35">
        <f>INDEX(S$80:S$93,$D2317)/$E2317</f>
        <v/>
      </c>
      <c r="T2317" s="35">
        <f>INDEX(T$80:T$93,$D2317)/$E2317</f>
        <v/>
      </c>
      <c r="U2317" s="35">
        <f>INDEX(U$80:U$93,$D2317)/$E2317</f>
        <v/>
      </c>
      <c r="V2317" s="35">
        <f>INDEX(V$80:V$93,$D2317)/$E2317</f>
        <v/>
      </c>
      <c r="W2317" s="35">
        <f>INDEX(W$80:W$93,$D2317)/$E2317</f>
        <v/>
      </c>
      <c r="X2317" s="35">
        <f>INDEX(X$80:X$93,$D2317)/$E2317</f>
        <v/>
      </c>
      <c r="Y2317" s="35">
        <f>INDEX(Y$80:Y$93,$D2317)/$E2317</f>
        <v/>
      </c>
      <c r="Z2317" s="35">
        <f>INDEX(Z$80:Z$93,$D2317)/$E2317</f>
        <v/>
      </c>
      <c r="AA2317" s="35">
        <f>INDEX(AA$80:AA$93,$D2317)/$E2317</f>
        <v/>
      </c>
      <c r="AB2317" s="35">
        <f>INDEX(AB$80:AB$93,$D2317)/$E2317</f>
        <v/>
      </c>
      <c r="AC2317" s="35">
        <f>INDEX(AC$80:AC$93,$D2317)/$E2317</f>
        <v/>
      </c>
      <c r="AD2317" s="35">
        <f>INDEX(AD$80:AD$93,$D2317)/$E2317</f>
        <v/>
      </c>
      <c r="AE2317" s="42">
        <f>NEWEXCISE(INDEX(AE$80:AE$93,$D2317),$E2317)</f>
        <v/>
      </c>
      <c r="AG2317" s="11">
        <f>CodePrefix&amp;$A2317&amp;IF($C2317="","","."&amp;$C2317&amp;"."&amp;$B2317)&amp;INDEX(VarEnd,MATCH($A2317,VarKey,0))&amp;AG$5</f>
        <v/>
      </c>
      <c r="AH2317" s="40">
        <f>INDEX(AH$80:AH$93,$D2317)/$E2317</f>
        <v/>
      </c>
      <c r="AI2317" s="35">
        <f>INDEX(AI$80:AI$93,$D2317)/$E2317</f>
        <v/>
      </c>
      <c r="AJ2317" s="35">
        <f>INDEX(AJ$80:AJ$93,$D2317)/$E2317</f>
        <v/>
      </c>
      <c r="AK2317" s="35">
        <f>INDEX(AK$80:AK$93,$D2317)/$E2317</f>
        <v/>
      </c>
      <c r="AL2317" s="35">
        <f>INDEX(AL$80:AL$93,$D2317)/$E2317</f>
        <v/>
      </c>
      <c r="AM2317" s="35">
        <f>INDEX(AM$80:AM$93,$D2317)/$E2317</f>
        <v/>
      </c>
      <c r="AN2317" s="35">
        <f>INDEX(AN$80:AN$93,$D2317)/$E2317</f>
        <v/>
      </c>
      <c r="AO2317" s="35">
        <f>INDEX(AO$80:AO$93,$D2317)/$E2317</f>
        <v/>
      </c>
      <c r="AP2317" s="35">
        <f>INDEX(AP$80:AP$93,$D2317)/$E2317</f>
        <v/>
      </c>
      <c r="AQ2317" s="35">
        <f>INDEX(AQ$80:AQ$93,$D2317)/$E2317</f>
        <v/>
      </c>
      <c r="AR2317" s="35">
        <f>INDEX(AR$80:AR$93,$D2317)/$E2317</f>
        <v/>
      </c>
      <c r="AS2317" s="35">
        <f>INDEX(AS$80:AS$93,$D2317)/$E2317</f>
        <v/>
      </c>
      <c r="AT2317" s="35">
        <f>INDEX(AT$80:AT$93,$D2317)/$E2317</f>
        <v/>
      </c>
      <c r="AU2317" s="35">
        <f>INDEX(AU$80:AU$93,$D2317)/$E2317</f>
        <v/>
      </c>
      <c r="AV2317" s="35">
        <f>INDEX(AV$80:AV$93,$D2317)/$E2317</f>
        <v/>
      </c>
      <c r="AW2317" s="35">
        <f>INDEX(AW$80:AW$93,$D2317)/$E2317</f>
        <v/>
      </c>
      <c r="AX2317" s="35">
        <f>INDEX(AX$80:AX$93,$D2317)/$E2317</f>
        <v/>
      </c>
      <c r="AY2317" s="35">
        <f>INDEX(AY$80:AY$93,$D2317)/$E2317</f>
        <v/>
      </c>
      <c r="AZ2317" s="35">
        <f>INDEX(AZ$80:AZ$93,$D2317)/$E2317</f>
        <v/>
      </c>
      <c r="BA2317" s="42">
        <f>NEWEXCISE(INDEX(BA$80:BA$93,$D2317),$E2317)</f>
        <v/>
      </c>
    </row>
    <row r="2318" hidden="1" outlineLevel="2">
      <c r="A2318" s="14" t="inlineStr">
        <is>
          <t>ntx</t>
        </is>
      </c>
      <c r="B2318" s="14" t="inlineStr">
        <is>
          <t>bio</t>
        </is>
      </c>
      <c r="C2318" s="14" t="inlineStr">
        <is>
          <t>mac</t>
        </is>
      </c>
      <c r="D2318" s="35">
        <f>INDEX(Inputs!$N$5:$N$132,MATCH($B2318&amp;"|"&amp;$C2318,Inputs!$A$5:$A$132,0))</f>
        <v/>
      </c>
      <c r="E2318" s="35">
        <f>INDEX(Inputs!$K$5:$K$132,MATCH($B2318&amp;"|"&amp;$C2318,Inputs!$A$5:$A$132,0))</f>
        <v/>
      </c>
      <c r="F2318" s="39" t="n"/>
      <c r="G2318" s="39" t="n"/>
      <c r="H2318" s="14">
        <f>INDEX(VarLab,MATCH($A2318,VarKey,0))&amp;INDEX(MemLab,MATCH($C2318&amp;"|"&amp;$B2318,MemKey,0))</f>
        <v/>
      </c>
      <c r="I2318" s="14">
        <f>INDEX(VarUnit,MATCH($A2318,VarKey,0))</f>
        <v/>
      </c>
      <c r="J2318" s="14">
        <f>INDEX(VarSrc,MATCH($A2318,VarKey,0))</f>
        <v/>
      </c>
      <c r="K2318" s="11">
        <f>CodePrefix&amp;$A2318&amp;IF($C2318="","","."&amp;$C2318&amp;"."&amp;$B2318)&amp;INDEX(VarEnd,MATCH($A2318,VarKey,0))&amp;K$5</f>
        <v/>
      </c>
      <c r="L2318" s="40">
        <f>INDEX(L$80:L$93,$D2318)/$E2318</f>
        <v/>
      </c>
      <c r="M2318" s="35">
        <f>INDEX(M$80:M$93,$D2318)/$E2318</f>
        <v/>
      </c>
      <c r="N2318" s="35">
        <f>INDEX(N$80:N$93,$D2318)/$E2318</f>
        <v/>
      </c>
      <c r="O2318" s="35">
        <f>INDEX(O$80:O$93,$D2318)/$E2318</f>
        <v/>
      </c>
      <c r="P2318" s="35">
        <f>INDEX(P$80:P$93,$D2318)/$E2318</f>
        <v/>
      </c>
      <c r="Q2318" s="35">
        <f>INDEX(Q$80:Q$93,$D2318)/$E2318</f>
        <v/>
      </c>
      <c r="R2318" s="35">
        <f>INDEX(R$80:R$93,$D2318)/$E2318</f>
        <v/>
      </c>
      <c r="S2318" s="35">
        <f>INDEX(S$80:S$93,$D2318)/$E2318</f>
        <v/>
      </c>
      <c r="T2318" s="35">
        <f>INDEX(T$80:T$93,$D2318)/$E2318</f>
        <v/>
      </c>
      <c r="U2318" s="35">
        <f>INDEX(U$80:U$93,$D2318)/$E2318</f>
        <v/>
      </c>
      <c r="V2318" s="35">
        <f>INDEX(V$80:V$93,$D2318)/$E2318</f>
        <v/>
      </c>
      <c r="W2318" s="35">
        <f>INDEX(W$80:W$93,$D2318)/$E2318</f>
        <v/>
      </c>
      <c r="X2318" s="35">
        <f>INDEX(X$80:X$93,$D2318)/$E2318</f>
        <v/>
      </c>
      <c r="Y2318" s="35">
        <f>INDEX(Y$80:Y$93,$D2318)/$E2318</f>
        <v/>
      </c>
      <c r="Z2318" s="35">
        <f>INDEX(Z$80:Z$93,$D2318)/$E2318</f>
        <v/>
      </c>
      <c r="AA2318" s="35">
        <f>INDEX(AA$80:AA$93,$D2318)/$E2318</f>
        <v/>
      </c>
      <c r="AB2318" s="35">
        <f>INDEX(AB$80:AB$93,$D2318)/$E2318</f>
        <v/>
      </c>
      <c r="AC2318" s="35">
        <f>INDEX(AC$80:AC$93,$D2318)/$E2318</f>
        <v/>
      </c>
      <c r="AD2318" s="35">
        <f>INDEX(AD$80:AD$93,$D2318)/$E2318</f>
        <v/>
      </c>
      <c r="AE2318" s="42">
        <f>NEWEXCISE(INDEX(AE$80:AE$93,$D2318),$E2318)</f>
        <v/>
      </c>
      <c r="AG2318" s="11">
        <f>CodePrefix&amp;$A2318&amp;IF($C2318="","","."&amp;$C2318&amp;"."&amp;$B2318)&amp;INDEX(VarEnd,MATCH($A2318,VarKey,0))&amp;AG$5</f>
        <v/>
      </c>
      <c r="AH2318" s="40">
        <f>INDEX(AH$80:AH$93,$D2318)/$E2318</f>
        <v/>
      </c>
      <c r="AI2318" s="35">
        <f>INDEX(AI$80:AI$93,$D2318)/$E2318</f>
        <v/>
      </c>
      <c r="AJ2318" s="35">
        <f>INDEX(AJ$80:AJ$93,$D2318)/$E2318</f>
        <v/>
      </c>
      <c r="AK2318" s="35">
        <f>INDEX(AK$80:AK$93,$D2318)/$E2318</f>
        <v/>
      </c>
      <c r="AL2318" s="35">
        <f>INDEX(AL$80:AL$93,$D2318)/$E2318</f>
        <v/>
      </c>
      <c r="AM2318" s="35">
        <f>INDEX(AM$80:AM$93,$D2318)/$E2318</f>
        <v/>
      </c>
      <c r="AN2318" s="35">
        <f>INDEX(AN$80:AN$93,$D2318)/$E2318</f>
        <v/>
      </c>
      <c r="AO2318" s="35">
        <f>INDEX(AO$80:AO$93,$D2318)/$E2318</f>
        <v/>
      </c>
      <c r="AP2318" s="35">
        <f>INDEX(AP$80:AP$93,$D2318)/$E2318</f>
        <v/>
      </c>
      <c r="AQ2318" s="35">
        <f>INDEX(AQ$80:AQ$93,$D2318)/$E2318</f>
        <v/>
      </c>
      <c r="AR2318" s="35">
        <f>INDEX(AR$80:AR$93,$D2318)/$E2318</f>
        <v/>
      </c>
      <c r="AS2318" s="35">
        <f>INDEX(AS$80:AS$93,$D2318)/$E2318</f>
        <v/>
      </c>
      <c r="AT2318" s="35">
        <f>INDEX(AT$80:AT$93,$D2318)/$E2318</f>
        <v/>
      </c>
      <c r="AU2318" s="35">
        <f>INDEX(AU$80:AU$93,$D2318)/$E2318</f>
        <v/>
      </c>
      <c r="AV2318" s="35">
        <f>INDEX(AV$80:AV$93,$D2318)/$E2318</f>
        <v/>
      </c>
      <c r="AW2318" s="35">
        <f>INDEX(AW$80:AW$93,$D2318)/$E2318</f>
        <v/>
      </c>
      <c r="AX2318" s="35">
        <f>INDEX(AX$80:AX$93,$D2318)/$E2318</f>
        <v/>
      </c>
      <c r="AY2318" s="35">
        <f>INDEX(AY$80:AY$93,$D2318)/$E2318</f>
        <v/>
      </c>
      <c r="AZ2318" s="35">
        <f>INDEX(AZ$80:AZ$93,$D2318)/$E2318</f>
        <v/>
      </c>
      <c r="BA2318" s="42">
        <f>NEWEXCISE(INDEX(BA$80:BA$93,$D2318),$E2318)</f>
        <v/>
      </c>
    </row>
    <row r="2319" hidden="1" outlineLevel="2"/>
    <row r="2320" hidden="1" outlineLevel="2">
      <c r="A2320" s="14" t="inlineStr">
        <is>
          <t>nce</t>
        </is>
      </c>
      <c r="B2320" s="14" t="inlineStr">
        <is>
          <t>coa</t>
        </is>
      </c>
      <c r="C2320" s="14" t="inlineStr">
        <is>
          <t>mac</t>
        </is>
      </c>
      <c r="D2320" s="39" t="n"/>
      <c r="E2320" s="39" t="n"/>
      <c r="F2320" s="39" t="n"/>
      <c r="G2320" s="39" t="n"/>
      <c r="H2320" s="14">
        <f>INDEX(VarLab,MATCH($A2320,VarKey,0))&amp;INDEX(MemLab,MATCH($C2320&amp;"|"&amp;$B2320,MemKey,0))</f>
        <v/>
      </c>
      <c r="I2320" s="14">
        <f>INDEX(VarUnit,MATCH($A2320,VarKey,0))</f>
        <v/>
      </c>
      <c r="J2320" s="14">
        <f>INDEX(VarSrc,MATCH($A2320,VarKey,0))</f>
        <v/>
      </c>
      <c r="K2320" s="11">
        <f>CodePrefix&amp;$A2320&amp;IF($C2320="","","."&amp;$C2320&amp;"."&amp;$B2320)&amp;INDEX(VarEnd,MATCH($A2320,VarKey,0))&amp;K$5</f>
        <v/>
      </c>
      <c r="L2320" s="40">
        <f>L2293+L2302+L2311</f>
        <v/>
      </c>
      <c r="M2320" s="35">
        <f>M2293+M2302+M2311</f>
        <v/>
      </c>
      <c r="N2320" s="35">
        <f>N2293+N2302+N2311</f>
        <v/>
      </c>
      <c r="O2320" s="35">
        <f>O2293+O2302+O2311</f>
        <v/>
      </c>
      <c r="P2320" s="35">
        <f>P2293+P2302+P2311</f>
        <v/>
      </c>
      <c r="Q2320" s="35">
        <f>Q2293+Q2302+Q2311</f>
        <v/>
      </c>
      <c r="R2320" s="35">
        <f>R2293+R2302+R2311</f>
        <v/>
      </c>
      <c r="S2320" s="35">
        <f>S2293+S2302+S2311</f>
        <v/>
      </c>
      <c r="T2320" s="35">
        <f>T2293+T2302+T2311</f>
        <v/>
      </c>
      <c r="U2320" s="35">
        <f>U2293+U2302+U2311</f>
        <v/>
      </c>
      <c r="V2320" s="35">
        <f>V2293+V2302+V2311</f>
        <v/>
      </c>
      <c r="W2320" s="35">
        <f>W2293+W2302+W2311</f>
        <v/>
      </c>
      <c r="X2320" s="35">
        <f>X2293+X2302+X2311</f>
        <v/>
      </c>
      <c r="Y2320" s="35">
        <f>Y2293+Y2302+Y2311</f>
        <v/>
      </c>
      <c r="Z2320" s="35">
        <f>Z2293+Z2302+Z2311</f>
        <v/>
      </c>
      <c r="AA2320" s="35">
        <f>AA2293+AA2302+AA2311</f>
        <v/>
      </c>
      <c r="AB2320" s="35">
        <f>AB2293+AB2302+AB2311</f>
        <v/>
      </c>
      <c r="AC2320" s="35">
        <f>AC2293+AC2302+AC2311</f>
        <v/>
      </c>
      <c r="AD2320" s="35">
        <f>AD2293+AD2302+AD2311</f>
        <v/>
      </c>
      <c r="AE2320" s="42">
        <f>NEWPOLICY(AE2293,AE2302,AE2311)</f>
        <v/>
      </c>
      <c r="AG2320" s="11">
        <f>CodePrefix&amp;$A2320&amp;IF($C2320="","","."&amp;$C2320&amp;"."&amp;$B2320)&amp;INDEX(VarEnd,MATCH($A2320,VarKey,0))&amp;AG$5</f>
        <v/>
      </c>
      <c r="AH2320" s="40">
        <f>AH2293+AH2302+AH2311</f>
        <v/>
      </c>
      <c r="AI2320" s="35">
        <f>AI2293+AI2302+AI2311</f>
        <v/>
      </c>
      <c r="AJ2320" s="35">
        <f>AJ2293+AJ2302+AJ2311</f>
        <v/>
      </c>
      <c r="AK2320" s="35">
        <f>AK2293+AK2302+AK2311</f>
        <v/>
      </c>
      <c r="AL2320" s="35">
        <f>AL2293+AL2302+AL2311</f>
        <v/>
      </c>
      <c r="AM2320" s="35">
        <f>AM2293+AM2302+AM2311</f>
        <v/>
      </c>
      <c r="AN2320" s="35">
        <f>AN2293+AN2302+AN2311</f>
        <v/>
      </c>
      <c r="AO2320" s="35">
        <f>AO2293+AO2302+AO2311</f>
        <v/>
      </c>
      <c r="AP2320" s="35">
        <f>AP2293+AP2302+AP2311</f>
        <v/>
      </c>
      <c r="AQ2320" s="35">
        <f>AQ2293+AQ2302+AQ2311</f>
        <v/>
      </c>
      <c r="AR2320" s="35">
        <f>AR2293+AR2302+AR2311</f>
        <v/>
      </c>
      <c r="AS2320" s="35">
        <f>AS2293+AS2302+AS2311</f>
        <v/>
      </c>
      <c r="AT2320" s="35">
        <f>AT2293+AT2302+AT2311</f>
        <v/>
      </c>
      <c r="AU2320" s="35">
        <f>AU2293+AU2302+AU2311</f>
        <v/>
      </c>
      <c r="AV2320" s="35">
        <f>AV2293+AV2302+AV2311</f>
        <v/>
      </c>
      <c r="AW2320" s="35">
        <f>AW2293+AW2302+AW2311</f>
        <v/>
      </c>
      <c r="AX2320" s="35">
        <f>AX2293+AX2302+AX2311</f>
        <v/>
      </c>
      <c r="AY2320" s="35">
        <f>AY2293+AY2302+AY2311</f>
        <v/>
      </c>
      <c r="AZ2320" s="35">
        <f>AZ2293+AZ2302+AZ2311</f>
        <v/>
      </c>
      <c r="BA2320" s="42">
        <f>NEWPOLICY(BA2293,BA2302,BA2311)</f>
        <v/>
      </c>
    </row>
    <row r="2321" hidden="1" outlineLevel="2">
      <c r="A2321" s="14" t="inlineStr">
        <is>
          <t>nce</t>
        </is>
      </c>
      <c r="B2321" s="14" t="inlineStr">
        <is>
          <t>nga</t>
        </is>
      </c>
      <c r="C2321" s="14" t="inlineStr">
        <is>
          <t>mac</t>
        </is>
      </c>
      <c r="D2321" s="39" t="n"/>
      <c r="E2321" s="39" t="n"/>
      <c r="F2321" s="39" t="n"/>
      <c r="G2321" s="39" t="n"/>
      <c r="H2321" s="14">
        <f>INDEX(VarLab,MATCH($A2321,VarKey,0))&amp;INDEX(MemLab,MATCH($C2321&amp;"|"&amp;$B2321,MemKey,0))</f>
        <v/>
      </c>
      <c r="I2321" s="14">
        <f>INDEX(VarUnit,MATCH($A2321,VarKey,0))</f>
        <v/>
      </c>
      <c r="J2321" s="14">
        <f>INDEX(VarSrc,MATCH($A2321,VarKey,0))</f>
        <v/>
      </c>
      <c r="K2321" s="11">
        <f>CodePrefix&amp;$A2321&amp;IF($C2321="","","."&amp;$C2321&amp;"."&amp;$B2321)&amp;INDEX(VarEnd,MATCH($A2321,VarKey,0))&amp;K$5</f>
        <v/>
      </c>
      <c r="L2321" s="40">
        <f>L2294+L2303+L2312</f>
        <v/>
      </c>
      <c r="M2321" s="35">
        <f>M2294+M2303+M2312</f>
        <v/>
      </c>
      <c r="N2321" s="35">
        <f>N2294+N2303+N2312</f>
        <v/>
      </c>
      <c r="O2321" s="35">
        <f>O2294+O2303+O2312</f>
        <v/>
      </c>
      <c r="P2321" s="35">
        <f>P2294+P2303+P2312</f>
        <v/>
      </c>
      <c r="Q2321" s="35">
        <f>Q2294+Q2303+Q2312</f>
        <v/>
      </c>
      <c r="R2321" s="35">
        <f>R2294+R2303+R2312</f>
        <v/>
      </c>
      <c r="S2321" s="35">
        <f>S2294+S2303+S2312</f>
        <v/>
      </c>
      <c r="T2321" s="35">
        <f>T2294+T2303+T2312</f>
        <v/>
      </c>
      <c r="U2321" s="35">
        <f>U2294+U2303+U2312</f>
        <v/>
      </c>
      <c r="V2321" s="35">
        <f>V2294+V2303+V2312</f>
        <v/>
      </c>
      <c r="W2321" s="35">
        <f>W2294+W2303+W2312</f>
        <v/>
      </c>
      <c r="X2321" s="35">
        <f>X2294+X2303+X2312</f>
        <v/>
      </c>
      <c r="Y2321" s="35">
        <f>Y2294+Y2303+Y2312</f>
        <v/>
      </c>
      <c r="Z2321" s="35">
        <f>Z2294+Z2303+Z2312</f>
        <v/>
      </c>
      <c r="AA2321" s="35">
        <f>AA2294+AA2303+AA2312</f>
        <v/>
      </c>
      <c r="AB2321" s="35">
        <f>AB2294+AB2303+AB2312</f>
        <v/>
      </c>
      <c r="AC2321" s="35">
        <f>AC2294+AC2303+AC2312</f>
        <v/>
      </c>
      <c r="AD2321" s="35">
        <f>AD2294+AD2303+AD2312</f>
        <v/>
      </c>
      <c r="AE2321" s="42">
        <f>NEWPOLICY(AE2294,AE2303,AE2312)</f>
        <v/>
      </c>
      <c r="AG2321" s="11">
        <f>CodePrefix&amp;$A2321&amp;IF($C2321="","","."&amp;$C2321&amp;"."&amp;$B2321)&amp;INDEX(VarEnd,MATCH($A2321,VarKey,0))&amp;AG$5</f>
        <v/>
      </c>
      <c r="AH2321" s="40">
        <f>AH2294+AH2303+AH2312</f>
        <v/>
      </c>
      <c r="AI2321" s="35">
        <f>AI2294+AI2303+AI2312</f>
        <v/>
      </c>
      <c r="AJ2321" s="35">
        <f>AJ2294+AJ2303+AJ2312</f>
        <v/>
      </c>
      <c r="AK2321" s="35">
        <f>AK2294+AK2303+AK2312</f>
        <v/>
      </c>
      <c r="AL2321" s="35">
        <f>AL2294+AL2303+AL2312</f>
        <v/>
      </c>
      <c r="AM2321" s="35">
        <f>AM2294+AM2303+AM2312</f>
        <v/>
      </c>
      <c r="AN2321" s="35">
        <f>AN2294+AN2303+AN2312</f>
        <v/>
      </c>
      <c r="AO2321" s="35">
        <f>AO2294+AO2303+AO2312</f>
        <v/>
      </c>
      <c r="AP2321" s="35">
        <f>AP2294+AP2303+AP2312</f>
        <v/>
      </c>
      <c r="AQ2321" s="35">
        <f>AQ2294+AQ2303+AQ2312</f>
        <v/>
      </c>
      <c r="AR2321" s="35">
        <f>AR2294+AR2303+AR2312</f>
        <v/>
      </c>
      <c r="AS2321" s="35">
        <f>AS2294+AS2303+AS2312</f>
        <v/>
      </c>
      <c r="AT2321" s="35">
        <f>AT2294+AT2303+AT2312</f>
        <v/>
      </c>
      <c r="AU2321" s="35">
        <f>AU2294+AU2303+AU2312</f>
        <v/>
      </c>
      <c r="AV2321" s="35">
        <f>AV2294+AV2303+AV2312</f>
        <v/>
      </c>
      <c r="AW2321" s="35">
        <f>AW2294+AW2303+AW2312</f>
        <v/>
      </c>
      <c r="AX2321" s="35">
        <f>AX2294+AX2303+AX2312</f>
        <v/>
      </c>
      <c r="AY2321" s="35">
        <f>AY2294+AY2303+AY2312</f>
        <v/>
      </c>
      <c r="AZ2321" s="35">
        <f>AZ2294+AZ2303+AZ2312</f>
        <v/>
      </c>
      <c r="BA2321" s="42">
        <f>NEWPOLICY(BA2294,BA2303,BA2312)</f>
        <v/>
      </c>
    </row>
    <row r="2322" hidden="1" outlineLevel="2">
      <c r="A2322" s="14" t="inlineStr">
        <is>
          <t>nce</t>
        </is>
      </c>
      <c r="B2322" s="14" t="inlineStr">
        <is>
          <t>gso</t>
        </is>
      </c>
      <c r="C2322" s="14" t="inlineStr">
        <is>
          <t>mac</t>
        </is>
      </c>
      <c r="D2322" s="39" t="n"/>
      <c r="E2322" s="39" t="n"/>
      <c r="F2322" s="39" t="n"/>
      <c r="G2322" s="39" t="n"/>
      <c r="H2322" s="14">
        <f>INDEX(VarLab,MATCH($A2322,VarKey,0))&amp;INDEX(MemLab,MATCH($C2322&amp;"|"&amp;$B2322,MemKey,0))</f>
        <v/>
      </c>
      <c r="I2322" s="14">
        <f>INDEX(VarUnit,MATCH($A2322,VarKey,0))</f>
        <v/>
      </c>
      <c r="J2322" s="14">
        <f>INDEX(VarSrc,MATCH($A2322,VarKey,0))</f>
        <v/>
      </c>
      <c r="K2322" s="11">
        <f>CodePrefix&amp;$A2322&amp;IF($C2322="","","."&amp;$C2322&amp;"."&amp;$B2322)&amp;INDEX(VarEnd,MATCH($A2322,VarKey,0))&amp;K$5</f>
        <v/>
      </c>
      <c r="L2322" s="40">
        <f>L2295+L2304+L2313</f>
        <v/>
      </c>
      <c r="M2322" s="35">
        <f>M2295+M2304+M2313</f>
        <v/>
      </c>
      <c r="N2322" s="35">
        <f>N2295+N2304+N2313</f>
        <v/>
      </c>
      <c r="O2322" s="35">
        <f>O2295+O2304+O2313</f>
        <v/>
      </c>
      <c r="P2322" s="35">
        <f>P2295+P2304+P2313</f>
        <v/>
      </c>
      <c r="Q2322" s="35">
        <f>Q2295+Q2304+Q2313</f>
        <v/>
      </c>
      <c r="R2322" s="35">
        <f>R2295+R2304+R2313</f>
        <v/>
      </c>
      <c r="S2322" s="35">
        <f>S2295+S2304+S2313</f>
        <v/>
      </c>
      <c r="T2322" s="35">
        <f>T2295+T2304+T2313</f>
        <v/>
      </c>
      <c r="U2322" s="35">
        <f>U2295+U2304+U2313</f>
        <v/>
      </c>
      <c r="V2322" s="35">
        <f>V2295+V2304+V2313</f>
        <v/>
      </c>
      <c r="W2322" s="35">
        <f>W2295+W2304+W2313</f>
        <v/>
      </c>
      <c r="X2322" s="35">
        <f>X2295+X2304+X2313</f>
        <v/>
      </c>
      <c r="Y2322" s="35">
        <f>Y2295+Y2304+Y2313</f>
        <v/>
      </c>
      <c r="Z2322" s="35">
        <f>Z2295+Z2304+Z2313</f>
        <v/>
      </c>
      <c r="AA2322" s="35">
        <f>AA2295+AA2304+AA2313</f>
        <v/>
      </c>
      <c r="AB2322" s="35">
        <f>AB2295+AB2304+AB2313</f>
        <v/>
      </c>
      <c r="AC2322" s="35">
        <f>AC2295+AC2304+AC2313</f>
        <v/>
      </c>
      <c r="AD2322" s="35">
        <f>AD2295+AD2304+AD2313</f>
        <v/>
      </c>
      <c r="AE2322" s="42">
        <f>NEWPOLICY(AE2295,AE2304,AE2313)</f>
        <v/>
      </c>
      <c r="AG2322" s="11">
        <f>CodePrefix&amp;$A2322&amp;IF($C2322="","","."&amp;$C2322&amp;"."&amp;$B2322)&amp;INDEX(VarEnd,MATCH($A2322,VarKey,0))&amp;AG$5</f>
        <v/>
      </c>
      <c r="AH2322" s="40">
        <f>AH2295+AH2304+AH2313</f>
        <v/>
      </c>
      <c r="AI2322" s="35">
        <f>AI2295+AI2304+AI2313</f>
        <v/>
      </c>
      <c r="AJ2322" s="35">
        <f>AJ2295+AJ2304+AJ2313</f>
        <v/>
      </c>
      <c r="AK2322" s="35">
        <f>AK2295+AK2304+AK2313</f>
        <v/>
      </c>
      <c r="AL2322" s="35">
        <f>AL2295+AL2304+AL2313</f>
        <v/>
      </c>
      <c r="AM2322" s="35">
        <f>AM2295+AM2304+AM2313</f>
        <v/>
      </c>
      <c r="AN2322" s="35">
        <f>AN2295+AN2304+AN2313</f>
        <v/>
      </c>
      <c r="AO2322" s="35">
        <f>AO2295+AO2304+AO2313</f>
        <v/>
      </c>
      <c r="AP2322" s="35">
        <f>AP2295+AP2304+AP2313</f>
        <v/>
      </c>
      <c r="AQ2322" s="35">
        <f>AQ2295+AQ2304+AQ2313</f>
        <v/>
      </c>
      <c r="AR2322" s="35">
        <f>AR2295+AR2304+AR2313</f>
        <v/>
      </c>
      <c r="AS2322" s="35">
        <f>AS2295+AS2304+AS2313</f>
        <v/>
      </c>
      <c r="AT2322" s="35">
        <f>AT2295+AT2304+AT2313</f>
        <v/>
      </c>
      <c r="AU2322" s="35">
        <f>AU2295+AU2304+AU2313</f>
        <v/>
      </c>
      <c r="AV2322" s="35">
        <f>AV2295+AV2304+AV2313</f>
        <v/>
      </c>
      <c r="AW2322" s="35">
        <f>AW2295+AW2304+AW2313</f>
        <v/>
      </c>
      <c r="AX2322" s="35">
        <f>AX2295+AX2304+AX2313</f>
        <v/>
      </c>
      <c r="AY2322" s="35">
        <f>AY2295+AY2304+AY2313</f>
        <v/>
      </c>
      <c r="AZ2322" s="35">
        <f>AZ2295+AZ2304+AZ2313</f>
        <v/>
      </c>
      <c r="BA2322" s="42">
        <f>NEWPOLICY(BA2295,BA2304,BA2313)</f>
        <v/>
      </c>
    </row>
    <row r="2323" hidden="1" outlineLevel="2">
      <c r="A2323" s="14" t="inlineStr">
        <is>
          <t>nce</t>
        </is>
      </c>
      <c r="B2323" s="14" t="inlineStr">
        <is>
          <t>die</t>
        </is>
      </c>
      <c r="C2323" s="14" t="inlineStr">
        <is>
          <t>mac</t>
        </is>
      </c>
      <c r="D2323" s="39" t="n"/>
      <c r="E2323" s="39" t="n"/>
      <c r="F2323" s="39" t="n"/>
      <c r="G2323" s="39" t="n"/>
      <c r="H2323" s="14">
        <f>INDEX(VarLab,MATCH($A2323,VarKey,0))&amp;INDEX(MemLab,MATCH($C2323&amp;"|"&amp;$B2323,MemKey,0))</f>
        <v/>
      </c>
      <c r="I2323" s="14">
        <f>INDEX(VarUnit,MATCH($A2323,VarKey,0))</f>
        <v/>
      </c>
      <c r="J2323" s="14">
        <f>INDEX(VarSrc,MATCH($A2323,VarKey,0))</f>
        <v/>
      </c>
      <c r="K2323" s="11">
        <f>CodePrefix&amp;$A2323&amp;IF($C2323="","","."&amp;$C2323&amp;"."&amp;$B2323)&amp;INDEX(VarEnd,MATCH($A2323,VarKey,0))&amp;K$5</f>
        <v/>
      </c>
      <c r="L2323" s="40">
        <f>L2296+L2305+L2314</f>
        <v/>
      </c>
      <c r="M2323" s="35">
        <f>M2296+M2305+M2314</f>
        <v/>
      </c>
      <c r="N2323" s="35">
        <f>N2296+N2305+N2314</f>
        <v/>
      </c>
      <c r="O2323" s="35">
        <f>O2296+O2305+O2314</f>
        <v/>
      </c>
      <c r="P2323" s="35">
        <f>P2296+P2305+P2314</f>
        <v/>
      </c>
      <c r="Q2323" s="35">
        <f>Q2296+Q2305+Q2314</f>
        <v/>
      </c>
      <c r="R2323" s="35">
        <f>R2296+R2305+R2314</f>
        <v/>
      </c>
      <c r="S2323" s="35">
        <f>S2296+S2305+S2314</f>
        <v/>
      </c>
      <c r="T2323" s="35">
        <f>T2296+T2305+T2314</f>
        <v/>
      </c>
      <c r="U2323" s="35">
        <f>U2296+U2305+U2314</f>
        <v/>
      </c>
      <c r="V2323" s="35">
        <f>V2296+V2305+V2314</f>
        <v/>
      </c>
      <c r="W2323" s="35">
        <f>W2296+W2305+W2314</f>
        <v/>
      </c>
      <c r="X2323" s="35">
        <f>X2296+X2305+X2314</f>
        <v/>
      </c>
      <c r="Y2323" s="35">
        <f>Y2296+Y2305+Y2314</f>
        <v/>
      </c>
      <c r="Z2323" s="35">
        <f>Z2296+Z2305+Z2314</f>
        <v/>
      </c>
      <c r="AA2323" s="35">
        <f>AA2296+AA2305+AA2314</f>
        <v/>
      </c>
      <c r="AB2323" s="35">
        <f>AB2296+AB2305+AB2314</f>
        <v/>
      </c>
      <c r="AC2323" s="35">
        <f>AC2296+AC2305+AC2314</f>
        <v/>
      </c>
      <c r="AD2323" s="35">
        <f>AD2296+AD2305+AD2314</f>
        <v/>
      </c>
      <c r="AE2323" s="42">
        <f>NEWPOLICY(AE2296,AE2305,AE2314)</f>
        <v/>
      </c>
      <c r="AG2323" s="11">
        <f>CodePrefix&amp;$A2323&amp;IF($C2323="","","."&amp;$C2323&amp;"."&amp;$B2323)&amp;INDEX(VarEnd,MATCH($A2323,VarKey,0))&amp;AG$5</f>
        <v/>
      </c>
      <c r="AH2323" s="40">
        <f>AH2296+AH2305+AH2314</f>
        <v/>
      </c>
      <c r="AI2323" s="35">
        <f>AI2296+AI2305+AI2314</f>
        <v/>
      </c>
      <c r="AJ2323" s="35">
        <f>AJ2296+AJ2305+AJ2314</f>
        <v/>
      </c>
      <c r="AK2323" s="35">
        <f>AK2296+AK2305+AK2314</f>
        <v/>
      </c>
      <c r="AL2323" s="35">
        <f>AL2296+AL2305+AL2314</f>
        <v/>
      </c>
      <c r="AM2323" s="35">
        <f>AM2296+AM2305+AM2314</f>
        <v/>
      </c>
      <c r="AN2323" s="35">
        <f>AN2296+AN2305+AN2314</f>
        <v/>
      </c>
      <c r="AO2323" s="35">
        <f>AO2296+AO2305+AO2314</f>
        <v/>
      </c>
      <c r="AP2323" s="35">
        <f>AP2296+AP2305+AP2314</f>
        <v/>
      </c>
      <c r="AQ2323" s="35">
        <f>AQ2296+AQ2305+AQ2314</f>
        <v/>
      </c>
      <c r="AR2323" s="35">
        <f>AR2296+AR2305+AR2314</f>
        <v/>
      </c>
      <c r="AS2323" s="35">
        <f>AS2296+AS2305+AS2314</f>
        <v/>
      </c>
      <c r="AT2323" s="35">
        <f>AT2296+AT2305+AT2314</f>
        <v/>
      </c>
      <c r="AU2323" s="35">
        <f>AU2296+AU2305+AU2314</f>
        <v/>
      </c>
      <c r="AV2323" s="35">
        <f>AV2296+AV2305+AV2314</f>
        <v/>
      </c>
      <c r="AW2323" s="35">
        <f>AW2296+AW2305+AW2314</f>
        <v/>
      </c>
      <c r="AX2323" s="35">
        <f>AX2296+AX2305+AX2314</f>
        <v/>
      </c>
      <c r="AY2323" s="35">
        <f>AY2296+AY2305+AY2314</f>
        <v/>
      </c>
      <c r="AZ2323" s="35">
        <f>AZ2296+AZ2305+AZ2314</f>
        <v/>
      </c>
      <c r="BA2323" s="42">
        <f>NEWPOLICY(BA2296,BA2305,BA2314)</f>
        <v/>
      </c>
    </row>
    <row r="2324" hidden="1" outlineLevel="2">
      <c r="A2324" s="14" t="inlineStr">
        <is>
          <t>nce</t>
        </is>
      </c>
      <c r="B2324" s="14" t="inlineStr">
        <is>
          <t>lpg</t>
        </is>
      </c>
      <c r="C2324" s="14" t="inlineStr">
        <is>
          <t>mac</t>
        </is>
      </c>
      <c r="D2324" s="39" t="n"/>
      <c r="E2324" s="39" t="n"/>
      <c r="F2324" s="39" t="n"/>
      <c r="G2324" s="39" t="n"/>
      <c r="H2324" s="14">
        <f>INDEX(VarLab,MATCH($A2324,VarKey,0))&amp;INDEX(MemLab,MATCH($C2324&amp;"|"&amp;$B2324,MemKey,0))</f>
        <v/>
      </c>
      <c r="I2324" s="14">
        <f>INDEX(VarUnit,MATCH($A2324,VarKey,0))</f>
        <v/>
      </c>
      <c r="J2324" s="14">
        <f>INDEX(VarSrc,MATCH($A2324,VarKey,0))</f>
        <v/>
      </c>
      <c r="K2324" s="11">
        <f>CodePrefix&amp;$A2324&amp;IF($C2324="","","."&amp;$C2324&amp;"."&amp;$B2324)&amp;INDEX(VarEnd,MATCH($A2324,VarKey,0))&amp;K$5</f>
        <v/>
      </c>
      <c r="L2324" s="40">
        <f>L2297+L2306+L2315</f>
        <v/>
      </c>
      <c r="M2324" s="35">
        <f>M2297+M2306+M2315</f>
        <v/>
      </c>
      <c r="N2324" s="35">
        <f>N2297+N2306+N2315</f>
        <v/>
      </c>
      <c r="O2324" s="35">
        <f>O2297+O2306+O2315</f>
        <v/>
      </c>
      <c r="P2324" s="35">
        <f>P2297+P2306+P2315</f>
        <v/>
      </c>
      <c r="Q2324" s="35">
        <f>Q2297+Q2306+Q2315</f>
        <v/>
      </c>
      <c r="R2324" s="35">
        <f>R2297+R2306+R2315</f>
        <v/>
      </c>
      <c r="S2324" s="35">
        <f>S2297+S2306+S2315</f>
        <v/>
      </c>
      <c r="T2324" s="35">
        <f>T2297+T2306+T2315</f>
        <v/>
      </c>
      <c r="U2324" s="35">
        <f>U2297+U2306+U2315</f>
        <v/>
      </c>
      <c r="V2324" s="35">
        <f>V2297+V2306+V2315</f>
        <v/>
      </c>
      <c r="W2324" s="35">
        <f>W2297+W2306+W2315</f>
        <v/>
      </c>
      <c r="X2324" s="35">
        <f>X2297+X2306+X2315</f>
        <v/>
      </c>
      <c r="Y2324" s="35">
        <f>Y2297+Y2306+Y2315</f>
        <v/>
      </c>
      <c r="Z2324" s="35">
        <f>Z2297+Z2306+Z2315</f>
        <v/>
      </c>
      <c r="AA2324" s="35">
        <f>AA2297+AA2306+AA2315</f>
        <v/>
      </c>
      <c r="AB2324" s="35">
        <f>AB2297+AB2306+AB2315</f>
        <v/>
      </c>
      <c r="AC2324" s="35">
        <f>AC2297+AC2306+AC2315</f>
        <v/>
      </c>
      <c r="AD2324" s="35">
        <f>AD2297+AD2306+AD2315</f>
        <v/>
      </c>
      <c r="AE2324" s="42">
        <f>NEWPOLICY(AE2297,AE2306,AE2315)</f>
        <v/>
      </c>
      <c r="AG2324" s="11">
        <f>CodePrefix&amp;$A2324&amp;IF($C2324="","","."&amp;$C2324&amp;"."&amp;$B2324)&amp;INDEX(VarEnd,MATCH($A2324,VarKey,0))&amp;AG$5</f>
        <v/>
      </c>
      <c r="AH2324" s="40">
        <f>AH2297+AH2306+AH2315</f>
        <v/>
      </c>
      <c r="AI2324" s="35">
        <f>AI2297+AI2306+AI2315</f>
        <v/>
      </c>
      <c r="AJ2324" s="35">
        <f>AJ2297+AJ2306+AJ2315</f>
        <v/>
      </c>
      <c r="AK2324" s="35">
        <f>AK2297+AK2306+AK2315</f>
        <v/>
      </c>
      <c r="AL2324" s="35">
        <f>AL2297+AL2306+AL2315</f>
        <v/>
      </c>
      <c r="AM2324" s="35">
        <f>AM2297+AM2306+AM2315</f>
        <v/>
      </c>
      <c r="AN2324" s="35">
        <f>AN2297+AN2306+AN2315</f>
        <v/>
      </c>
      <c r="AO2324" s="35">
        <f>AO2297+AO2306+AO2315</f>
        <v/>
      </c>
      <c r="AP2324" s="35">
        <f>AP2297+AP2306+AP2315</f>
        <v/>
      </c>
      <c r="AQ2324" s="35">
        <f>AQ2297+AQ2306+AQ2315</f>
        <v/>
      </c>
      <c r="AR2324" s="35">
        <f>AR2297+AR2306+AR2315</f>
        <v/>
      </c>
      <c r="AS2324" s="35">
        <f>AS2297+AS2306+AS2315</f>
        <v/>
      </c>
      <c r="AT2324" s="35">
        <f>AT2297+AT2306+AT2315</f>
        <v/>
      </c>
      <c r="AU2324" s="35">
        <f>AU2297+AU2306+AU2315</f>
        <v/>
      </c>
      <c r="AV2324" s="35">
        <f>AV2297+AV2306+AV2315</f>
        <v/>
      </c>
      <c r="AW2324" s="35">
        <f>AW2297+AW2306+AW2315</f>
        <v/>
      </c>
      <c r="AX2324" s="35">
        <f>AX2297+AX2306+AX2315</f>
        <v/>
      </c>
      <c r="AY2324" s="35">
        <f>AY2297+AY2306+AY2315</f>
        <v/>
      </c>
      <c r="AZ2324" s="35">
        <f>AZ2297+AZ2306+AZ2315</f>
        <v/>
      </c>
      <c r="BA2324" s="42">
        <f>NEWPOLICY(BA2297,BA2306,BA2315)</f>
        <v/>
      </c>
    </row>
    <row r="2325" hidden="1" outlineLevel="2">
      <c r="A2325" s="14" t="inlineStr">
        <is>
          <t>nce</t>
        </is>
      </c>
      <c r="B2325" s="14" t="inlineStr">
        <is>
          <t>ker</t>
        </is>
      </c>
      <c r="C2325" s="14" t="inlineStr">
        <is>
          <t>mac</t>
        </is>
      </c>
      <c r="D2325" s="39" t="n"/>
      <c r="E2325" s="39" t="n"/>
      <c r="F2325" s="39" t="n"/>
      <c r="G2325" s="39" t="n"/>
      <c r="H2325" s="14">
        <f>INDEX(VarLab,MATCH($A2325,VarKey,0))&amp;INDEX(MemLab,MATCH($C2325&amp;"|"&amp;$B2325,MemKey,0))</f>
        <v/>
      </c>
      <c r="I2325" s="14">
        <f>INDEX(VarUnit,MATCH($A2325,VarKey,0))</f>
        <v/>
      </c>
      <c r="J2325" s="14">
        <f>INDEX(VarSrc,MATCH($A2325,VarKey,0))</f>
        <v/>
      </c>
      <c r="K2325" s="11">
        <f>CodePrefix&amp;$A2325&amp;IF($C2325="","","."&amp;$C2325&amp;"."&amp;$B2325)&amp;INDEX(VarEnd,MATCH($A2325,VarKey,0))&amp;K$5</f>
        <v/>
      </c>
      <c r="L2325" s="40">
        <f>L2298+L2307+L2316</f>
        <v/>
      </c>
      <c r="M2325" s="35">
        <f>M2298+M2307+M2316</f>
        <v/>
      </c>
      <c r="N2325" s="35">
        <f>N2298+N2307+N2316</f>
        <v/>
      </c>
      <c r="O2325" s="35">
        <f>O2298+O2307+O2316</f>
        <v/>
      </c>
      <c r="P2325" s="35">
        <f>P2298+P2307+P2316</f>
        <v/>
      </c>
      <c r="Q2325" s="35">
        <f>Q2298+Q2307+Q2316</f>
        <v/>
      </c>
      <c r="R2325" s="35">
        <f>R2298+R2307+R2316</f>
        <v/>
      </c>
      <c r="S2325" s="35">
        <f>S2298+S2307+S2316</f>
        <v/>
      </c>
      <c r="T2325" s="35">
        <f>T2298+T2307+T2316</f>
        <v/>
      </c>
      <c r="U2325" s="35">
        <f>U2298+U2307+U2316</f>
        <v/>
      </c>
      <c r="V2325" s="35">
        <f>V2298+V2307+V2316</f>
        <v/>
      </c>
      <c r="W2325" s="35">
        <f>W2298+W2307+W2316</f>
        <v/>
      </c>
      <c r="X2325" s="35">
        <f>X2298+X2307+X2316</f>
        <v/>
      </c>
      <c r="Y2325" s="35">
        <f>Y2298+Y2307+Y2316</f>
        <v/>
      </c>
      <c r="Z2325" s="35">
        <f>Z2298+Z2307+Z2316</f>
        <v/>
      </c>
      <c r="AA2325" s="35">
        <f>AA2298+AA2307+AA2316</f>
        <v/>
      </c>
      <c r="AB2325" s="35">
        <f>AB2298+AB2307+AB2316</f>
        <v/>
      </c>
      <c r="AC2325" s="35">
        <f>AC2298+AC2307+AC2316</f>
        <v/>
      </c>
      <c r="AD2325" s="35">
        <f>AD2298+AD2307+AD2316</f>
        <v/>
      </c>
      <c r="AE2325" s="42">
        <f>NEWPOLICY(AE2298,AE2307,AE2316)</f>
        <v/>
      </c>
      <c r="AG2325" s="11">
        <f>CodePrefix&amp;$A2325&amp;IF($C2325="","","."&amp;$C2325&amp;"."&amp;$B2325)&amp;INDEX(VarEnd,MATCH($A2325,VarKey,0))&amp;AG$5</f>
        <v/>
      </c>
      <c r="AH2325" s="40">
        <f>AH2298+AH2307+AH2316</f>
        <v/>
      </c>
      <c r="AI2325" s="35">
        <f>AI2298+AI2307+AI2316</f>
        <v/>
      </c>
      <c r="AJ2325" s="35">
        <f>AJ2298+AJ2307+AJ2316</f>
        <v/>
      </c>
      <c r="AK2325" s="35">
        <f>AK2298+AK2307+AK2316</f>
        <v/>
      </c>
      <c r="AL2325" s="35">
        <f>AL2298+AL2307+AL2316</f>
        <v/>
      </c>
      <c r="AM2325" s="35">
        <f>AM2298+AM2307+AM2316</f>
        <v/>
      </c>
      <c r="AN2325" s="35">
        <f>AN2298+AN2307+AN2316</f>
        <v/>
      </c>
      <c r="AO2325" s="35">
        <f>AO2298+AO2307+AO2316</f>
        <v/>
      </c>
      <c r="AP2325" s="35">
        <f>AP2298+AP2307+AP2316</f>
        <v/>
      </c>
      <c r="AQ2325" s="35">
        <f>AQ2298+AQ2307+AQ2316</f>
        <v/>
      </c>
      <c r="AR2325" s="35">
        <f>AR2298+AR2307+AR2316</f>
        <v/>
      </c>
      <c r="AS2325" s="35">
        <f>AS2298+AS2307+AS2316</f>
        <v/>
      </c>
      <c r="AT2325" s="35">
        <f>AT2298+AT2307+AT2316</f>
        <v/>
      </c>
      <c r="AU2325" s="35">
        <f>AU2298+AU2307+AU2316</f>
        <v/>
      </c>
      <c r="AV2325" s="35">
        <f>AV2298+AV2307+AV2316</f>
        <v/>
      </c>
      <c r="AW2325" s="35">
        <f>AW2298+AW2307+AW2316</f>
        <v/>
      </c>
      <c r="AX2325" s="35">
        <f>AX2298+AX2307+AX2316</f>
        <v/>
      </c>
      <c r="AY2325" s="35">
        <f>AY2298+AY2307+AY2316</f>
        <v/>
      </c>
      <c r="AZ2325" s="35">
        <f>AZ2298+AZ2307+AZ2316</f>
        <v/>
      </c>
      <c r="BA2325" s="42">
        <f>NEWPOLICY(BA2298,BA2307,BA2316)</f>
        <v/>
      </c>
    </row>
    <row r="2326" hidden="1" outlineLevel="2">
      <c r="A2326" s="14" t="inlineStr">
        <is>
          <t>nce</t>
        </is>
      </c>
      <c r="B2326" s="14" t="inlineStr">
        <is>
          <t>oop</t>
        </is>
      </c>
      <c r="C2326" s="14" t="inlineStr">
        <is>
          <t>mac</t>
        </is>
      </c>
      <c r="D2326" s="39" t="n"/>
      <c r="E2326" s="39" t="n"/>
      <c r="F2326" s="39" t="n"/>
      <c r="G2326" s="39" t="n"/>
      <c r="H2326" s="14">
        <f>INDEX(VarLab,MATCH($A2326,VarKey,0))&amp;INDEX(MemLab,MATCH($C2326&amp;"|"&amp;$B2326,MemKey,0))</f>
        <v/>
      </c>
      <c r="I2326" s="14">
        <f>INDEX(VarUnit,MATCH($A2326,VarKey,0))</f>
        <v/>
      </c>
      <c r="J2326" s="14">
        <f>INDEX(VarSrc,MATCH($A2326,VarKey,0))</f>
        <v/>
      </c>
      <c r="K2326" s="11">
        <f>CodePrefix&amp;$A2326&amp;IF($C2326="","","."&amp;$C2326&amp;"."&amp;$B2326)&amp;INDEX(VarEnd,MATCH($A2326,VarKey,0))&amp;K$5</f>
        <v/>
      </c>
      <c r="L2326" s="40">
        <f>L2299+L2308+L2317</f>
        <v/>
      </c>
      <c r="M2326" s="35">
        <f>M2299+M2308+M2317</f>
        <v/>
      </c>
      <c r="N2326" s="35">
        <f>N2299+N2308+N2317</f>
        <v/>
      </c>
      <c r="O2326" s="35">
        <f>O2299+O2308+O2317</f>
        <v/>
      </c>
      <c r="P2326" s="35">
        <f>P2299+P2308+P2317</f>
        <v/>
      </c>
      <c r="Q2326" s="35">
        <f>Q2299+Q2308+Q2317</f>
        <v/>
      </c>
      <c r="R2326" s="35">
        <f>R2299+R2308+R2317</f>
        <v/>
      </c>
      <c r="S2326" s="35">
        <f>S2299+S2308+S2317</f>
        <v/>
      </c>
      <c r="T2326" s="35">
        <f>T2299+T2308+T2317</f>
        <v/>
      </c>
      <c r="U2326" s="35">
        <f>U2299+U2308+U2317</f>
        <v/>
      </c>
      <c r="V2326" s="35">
        <f>V2299+V2308+V2317</f>
        <v/>
      </c>
      <c r="W2326" s="35">
        <f>W2299+W2308+W2317</f>
        <v/>
      </c>
      <c r="X2326" s="35">
        <f>X2299+X2308+X2317</f>
        <v/>
      </c>
      <c r="Y2326" s="35">
        <f>Y2299+Y2308+Y2317</f>
        <v/>
      </c>
      <c r="Z2326" s="35">
        <f>Z2299+Z2308+Z2317</f>
        <v/>
      </c>
      <c r="AA2326" s="35">
        <f>AA2299+AA2308+AA2317</f>
        <v/>
      </c>
      <c r="AB2326" s="35">
        <f>AB2299+AB2308+AB2317</f>
        <v/>
      </c>
      <c r="AC2326" s="35">
        <f>AC2299+AC2308+AC2317</f>
        <v/>
      </c>
      <c r="AD2326" s="35">
        <f>AD2299+AD2308+AD2317</f>
        <v/>
      </c>
      <c r="AE2326" s="42">
        <f>NEWPOLICY(AE2299,AE2308,AE2317)</f>
        <v/>
      </c>
      <c r="AG2326" s="11">
        <f>CodePrefix&amp;$A2326&amp;IF($C2326="","","."&amp;$C2326&amp;"."&amp;$B2326)&amp;INDEX(VarEnd,MATCH($A2326,VarKey,0))&amp;AG$5</f>
        <v/>
      </c>
      <c r="AH2326" s="40">
        <f>AH2299+AH2308+AH2317</f>
        <v/>
      </c>
      <c r="AI2326" s="35">
        <f>AI2299+AI2308+AI2317</f>
        <v/>
      </c>
      <c r="AJ2326" s="35">
        <f>AJ2299+AJ2308+AJ2317</f>
        <v/>
      </c>
      <c r="AK2326" s="35">
        <f>AK2299+AK2308+AK2317</f>
        <v/>
      </c>
      <c r="AL2326" s="35">
        <f>AL2299+AL2308+AL2317</f>
        <v/>
      </c>
      <c r="AM2326" s="35">
        <f>AM2299+AM2308+AM2317</f>
        <v/>
      </c>
      <c r="AN2326" s="35">
        <f>AN2299+AN2308+AN2317</f>
        <v/>
      </c>
      <c r="AO2326" s="35">
        <f>AO2299+AO2308+AO2317</f>
        <v/>
      </c>
      <c r="AP2326" s="35">
        <f>AP2299+AP2308+AP2317</f>
        <v/>
      </c>
      <c r="AQ2326" s="35">
        <f>AQ2299+AQ2308+AQ2317</f>
        <v/>
      </c>
      <c r="AR2326" s="35">
        <f>AR2299+AR2308+AR2317</f>
        <v/>
      </c>
      <c r="AS2326" s="35">
        <f>AS2299+AS2308+AS2317</f>
        <v/>
      </c>
      <c r="AT2326" s="35">
        <f>AT2299+AT2308+AT2317</f>
        <v/>
      </c>
      <c r="AU2326" s="35">
        <f>AU2299+AU2308+AU2317</f>
        <v/>
      </c>
      <c r="AV2326" s="35">
        <f>AV2299+AV2308+AV2317</f>
        <v/>
      </c>
      <c r="AW2326" s="35">
        <f>AW2299+AW2308+AW2317</f>
        <v/>
      </c>
      <c r="AX2326" s="35">
        <f>AX2299+AX2308+AX2317</f>
        <v/>
      </c>
      <c r="AY2326" s="35">
        <f>AY2299+AY2308+AY2317</f>
        <v/>
      </c>
      <c r="AZ2326" s="35">
        <f>AZ2299+AZ2308+AZ2317</f>
        <v/>
      </c>
      <c r="BA2326" s="42">
        <f>NEWPOLICY(BA2299,BA2308,BA2317)</f>
        <v/>
      </c>
    </row>
    <row r="2327" hidden="1" outlineLevel="2">
      <c r="A2327" s="14" t="inlineStr">
        <is>
          <t>nce</t>
        </is>
      </c>
      <c r="B2327" s="14" t="inlineStr">
        <is>
          <t>bio</t>
        </is>
      </c>
      <c r="C2327" s="14" t="inlineStr">
        <is>
          <t>mac</t>
        </is>
      </c>
      <c r="D2327" s="39" t="n"/>
      <c r="E2327" s="39" t="n"/>
      <c r="F2327" s="39" t="n"/>
      <c r="G2327" s="39" t="n"/>
      <c r="H2327" s="14">
        <f>INDEX(VarLab,MATCH($A2327,VarKey,0))&amp;INDEX(MemLab,MATCH($C2327&amp;"|"&amp;$B2327,MemKey,0))</f>
        <v/>
      </c>
      <c r="I2327" s="14">
        <f>INDEX(VarUnit,MATCH($A2327,VarKey,0))</f>
        <v/>
      </c>
      <c r="J2327" s="14">
        <f>INDEX(VarSrc,MATCH($A2327,VarKey,0))</f>
        <v/>
      </c>
      <c r="K2327" s="11">
        <f>CodePrefix&amp;$A2327&amp;IF($C2327="","","."&amp;$C2327&amp;"."&amp;$B2327)&amp;INDEX(VarEnd,MATCH($A2327,VarKey,0))&amp;K$5</f>
        <v/>
      </c>
      <c r="L2327" s="40">
        <f>L2300+L2309+L2318</f>
        <v/>
      </c>
      <c r="M2327" s="35">
        <f>M2300+M2309+M2318</f>
        <v/>
      </c>
      <c r="N2327" s="35">
        <f>N2300+N2309+N2318</f>
        <v/>
      </c>
      <c r="O2327" s="35">
        <f>O2300+O2309+O2318</f>
        <v/>
      </c>
      <c r="P2327" s="35">
        <f>P2300+P2309+P2318</f>
        <v/>
      </c>
      <c r="Q2327" s="35">
        <f>Q2300+Q2309+Q2318</f>
        <v/>
      </c>
      <c r="R2327" s="35">
        <f>R2300+R2309+R2318</f>
        <v/>
      </c>
      <c r="S2327" s="35">
        <f>S2300+S2309+S2318</f>
        <v/>
      </c>
      <c r="T2327" s="35">
        <f>T2300+T2309+T2318</f>
        <v/>
      </c>
      <c r="U2327" s="35">
        <f>U2300+U2309+U2318</f>
        <v/>
      </c>
      <c r="V2327" s="35">
        <f>V2300+V2309+V2318</f>
        <v/>
      </c>
      <c r="W2327" s="35">
        <f>W2300+W2309+W2318</f>
        <v/>
      </c>
      <c r="X2327" s="35">
        <f>X2300+X2309+X2318</f>
        <v/>
      </c>
      <c r="Y2327" s="35">
        <f>Y2300+Y2309+Y2318</f>
        <v/>
      </c>
      <c r="Z2327" s="35">
        <f>Z2300+Z2309+Z2318</f>
        <v/>
      </c>
      <c r="AA2327" s="35">
        <f>AA2300+AA2309+AA2318</f>
        <v/>
      </c>
      <c r="AB2327" s="35">
        <f>AB2300+AB2309+AB2318</f>
        <v/>
      </c>
      <c r="AC2327" s="35">
        <f>AC2300+AC2309+AC2318</f>
        <v/>
      </c>
      <c r="AD2327" s="35">
        <f>AD2300+AD2309+AD2318</f>
        <v/>
      </c>
      <c r="AE2327" s="42">
        <f>NEWPOLICY(AE2300,AE2309,AE2318)</f>
        <v/>
      </c>
      <c r="AG2327" s="11">
        <f>CodePrefix&amp;$A2327&amp;IF($C2327="","","."&amp;$C2327&amp;"."&amp;$B2327)&amp;INDEX(VarEnd,MATCH($A2327,VarKey,0))&amp;AG$5</f>
        <v/>
      </c>
      <c r="AH2327" s="40">
        <f>AH2300+AH2309+AH2318</f>
        <v/>
      </c>
      <c r="AI2327" s="35">
        <f>AI2300+AI2309+AI2318</f>
        <v/>
      </c>
      <c r="AJ2327" s="35">
        <f>AJ2300+AJ2309+AJ2318</f>
        <v/>
      </c>
      <c r="AK2327" s="35">
        <f>AK2300+AK2309+AK2318</f>
        <v/>
      </c>
      <c r="AL2327" s="35">
        <f>AL2300+AL2309+AL2318</f>
        <v/>
      </c>
      <c r="AM2327" s="35">
        <f>AM2300+AM2309+AM2318</f>
        <v/>
      </c>
      <c r="AN2327" s="35">
        <f>AN2300+AN2309+AN2318</f>
        <v/>
      </c>
      <c r="AO2327" s="35">
        <f>AO2300+AO2309+AO2318</f>
        <v/>
      </c>
      <c r="AP2327" s="35">
        <f>AP2300+AP2309+AP2318</f>
        <v/>
      </c>
      <c r="AQ2327" s="35">
        <f>AQ2300+AQ2309+AQ2318</f>
        <v/>
      </c>
      <c r="AR2327" s="35">
        <f>AR2300+AR2309+AR2318</f>
        <v/>
      </c>
      <c r="AS2327" s="35">
        <f>AS2300+AS2309+AS2318</f>
        <v/>
      </c>
      <c r="AT2327" s="35">
        <f>AT2300+AT2309+AT2318</f>
        <v/>
      </c>
      <c r="AU2327" s="35">
        <f>AU2300+AU2309+AU2318</f>
        <v/>
      </c>
      <c r="AV2327" s="35">
        <f>AV2300+AV2309+AV2318</f>
        <v/>
      </c>
      <c r="AW2327" s="35">
        <f>AW2300+AW2309+AW2318</f>
        <v/>
      </c>
      <c r="AX2327" s="35">
        <f>AX2300+AX2309+AX2318</f>
        <v/>
      </c>
      <c r="AY2327" s="35">
        <f>AY2300+AY2309+AY2318</f>
        <v/>
      </c>
      <c r="AZ2327" s="35">
        <f>AZ2300+AZ2309+AZ2318</f>
        <v/>
      </c>
      <c r="BA2327" s="42">
        <f>NEWPOLICY(BA2300,BA2309,BA2318)</f>
        <v/>
      </c>
    </row>
    <row r="2328" hidden="1" outlineLevel="2"/>
    <row r="2329" hidden="1" outlineLevel="2">
      <c r="A2329" s="14" t="inlineStr">
        <is>
          <t>xcp</t>
        </is>
      </c>
      <c r="B2329" s="14" t="inlineStr">
        <is>
          <t>coa</t>
        </is>
      </c>
      <c r="C2329" s="14" t="inlineStr">
        <is>
          <t>mac</t>
        </is>
      </c>
      <c r="D2329" s="35">
        <f>INDEX(Inputs!$W$5:$W$132,MATCH($B2329&amp;"|"&amp;$C2329,Inputs!$A$5:$A$132,0))</f>
        <v/>
      </c>
      <c r="E2329" s="35">
        <f>INDEX(Inputs!$Z$5:$Z$132,MATCH($B2329&amp;"|"&amp;$C2329,Inputs!$A$5:$A$132,0))</f>
        <v/>
      </c>
      <c r="F2329" s="35">
        <f>INDEX(Inputs!$AA$5:$AA$132,MATCH($B2329&amp;"|"&amp;$C2329,Inputs!$A$5:$A$132,0))</f>
        <v/>
      </c>
      <c r="G2329" s="39" t="n"/>
      <c r="H2329" s="14">
        <f>INDEX(VarLab,MATCH($A2329,VarKey,0))&amp;INDEX(MemLab,MATCH($C2329&amp;"|"&amp;$B2329,MemKey,0))</f>
        <v/>
      </c>
      <c r="I2329" s="14">
        <f>INDEX(VarUnit,MATCH($A2329,VarKey,0))</f>
        <v/>
      </c>
      <c r="J2329" s="14">
        <f>INDEX(VarSrc,MATCH($A2329,VarKey,0))</f>
        <v/>
      </c>
      <c r="K2329" s="11">
        <f>CodePrefix&amp;$A2329&amp;IF($C2329="","","."&amp;$C2329&amp;"."&amp;$B2329)&amp;INDEX(VarEnd,MATCH($A2329,VarKey,0))&amp;K$5</f>
        <v/>
      </c>
      <c r="L2329" s="40">
        <f>$D2329*($E2329*L$321+$F2329*L$324)</f>
        <v/>
      </c>
      <c r="M2329" s="35">
        <f>$D2329*($E2329*M$321+$F2329*M$324)</f>
        <v/>
      </c>
      <c r="N2329" s="35">
        <f>$D2329*($E2329*N$321+$F2329*N$324)</f>
        <v/>
      </c>
      <c r="O2329" s="35">
        <f>$D2329*($E2329*O$321+$F2329*O$324)</f>
        <v/>
      </c>
      <c r="P2329" s="35">
        <f>$D2329*($E2329*P$321+$F2329*P$324)</f>
        <v/>
      </c>
      <c r="Q2329" s="35">
        <f>$D2329*($E2329*Q$321+$F2329*Q$324)</f>
        <v/>
      </c>
      <c r="R2329" s="35">
        <f>$D2329*($E2329*R$321+$F2329*R$324)</f>
        <v/>
      </c>
      <c r="S2329" s="35">
        <f>$D2329*($E2329*S$321+$F2329*S$324)</f>
        <v/>
      </c>
      <c r="T2329" s="35">
        <f>$D2329*($E2329*T$321+$F2329*T$324)</f>
        <v/>
      </c>
      <c r="U2329" s="35">
        <f>$D2329*($E2329*U$321+$F2329*U$324)</f>
        <v/>
      </c>
      <c r="V2329" s="35">
        <f>$D2329*($E2329*V$321+$F2329*V$324)</f>
        <v/>
      </c>
      <c r="W2329" s="35">
        <f>$D2329*($E2329*W$321+$F2329*W$324)</f>
        <v/>
      </c>
      <c r="X2329" s="35">
        <f>$D2329*($E2329*X$321+$F2329*X$324)</f>
        <v/>
      </c>
      <c r="Y2329" s="35">
        <f>$D2329*($E2329*Y$321+$F2329*Y$324)</f>
        <v/>
      </c>
      <c r="Z2329" s="35">
        <f>$D2329*($E2329*Z$321+$F2329*Z$324)</f>
        <v/>
      </c>
      <c r="AA2329" s="35">
        <f>$D2329*($E2329*AA$321+$F2329*AA$324)</f>
        <v/>
      </c>
      <c r="AB2329" s="35">
        <f>$D2329*($E2329*AB$321+$F2329*AB$324)</f>
        <v/>
      </c>
      <c r="AC2329" s="35">
        <f>$D2329*($E2329*AC$321+$F2329*AC$324)</f>
        <v/>
      </c>
      <c r="AD2329" s="35">
        <f>$D2329*($E2329*AD$321+$F2329*AD$324)</f>
        <v/>
      </c>
      <c r="AE2329" s="42">
        <f>XCARBON($D2329,$E2329,AE$321,$F2329,AE$324)</f>
        <v/>
      </c>
      <c r="AG2329" s="11">
        <f>CodePrefix&amp;$A2329&amp;IF($C2329="","","."&amp;$C2329&amp;"."&amp;$B2329)&amp;INDEX(VarEnd,MATCH($A2329,VarKey,0))&amp;AG$5</f>
        <v/>
      </c>
      <c r="AH2329" s="40">
        <f>$D2329*($E2329*AH$321+$F2329*AH$324)</f>
        <v/>
      </c>
      <c r="AI2329" s="35">
        <f>$D2329*($E2329*AI$321+$F2329*AI$324)</f>
        <v/>
      </c>
      <c r="AJ2329" s="35">
        <f>$D2329*($E2329*AJ$321+$F2329*AJ$324)</f>
        <v/>
      </c>
      <c r="AK2329" s="35">
        <f>$D2329*($E2329*AK$321+$F2329*AK$324)</f>
        <v/>
      </c>
      <c r="AL2329" s="35">
        <f>$D2329*($E2329*AL$321+$F2329*AL$324)</f>
        <v/>
      </c>
      <c r="AM2329" s="35">
        <f>$D2329*($E2329*AM$321+$F2329*AM$324)</f>
        <v/>
      </c>
      <c r="AN2329" s="35">
        <f>$D2329*($E2329*AN$321+$F2329*AN$324)</f>
        <v/>
      </c>
      <c r="AO2329" s="35">
        <f>$D2329*($E2329*AO$321+$F2329*AO$324)</f>
        <v/>
      </c>
      <c r="AP2329" s="35">
        <f>$D2329*($E2329*AP$321+$F2329*AP$324)</f>
        <v/>
      </c>
      <c r="AQ2329" s="35">
        <f>$D2329*($E2329*AQ$321+$F2329*AQ$324)</f>
        <v/>
      </c>
      <c r="AR2329" s="35">
        <f>$D2329*($E2329*AR$321+$F2329*AR$324)</f>
        <v/>
      </c>
      <c r="AS2329" s="35">
        <f>$D2329*($E2329*AS$321+$F2329*AS$324)</f>
        <v/>
      </c>
      <c r="AT2329" s="35">
        <f>$D2329*($E2329*AT$321+$F2329*AT$324)</f>
        <v/>
      </c>
      <c r="AU2329" s="35">
        <f>$D2329*($E2329*AU$321+$F2329*AU$324)</f>
        <v/>
      </c>
      <c r="AV2329" s="35">
        <f>$D2329*($E2329*AV$321+$F2329*AV$324)</f>
        <v/>
      </c>
      <c r="AW2329" s="35">
        <f>$D2329*($E2329*AW$321+$F2329*AW$324)</f>
        <v/>
      </c>
      <c r="AX2329" s="35">
        <f>$D2329*($E2329*AX$321+$F2329*AX$324)</f>
        <v/>
      </c>
      <c r="AY2329" s="35">
        <f>$D2329*($E2329*AY$321+$F2329*AY$324)</f>
        <v/>
      </c>
      <c r="AZ2329" s="35">
        <f>$D2329*($E2329*AZ$321+$F2329*AZ$324)</f>
        <v/>
      </c>
      <c r="BA2329" s="42">
        <f>XCARBON($D2329,$E2329,BA$321,$F2329,BA$324)</f>
        <v/>
      </c>
    </row>
    <row r="2330" hidden="1" outlineLevel="2">
      <c r="A2330" s="14" t="inlineStr">
        <is>
          <t>xcp</t>
        </is>
      </c>
      <c r="B2330" s="14" t="inlineStr">
        <is>
          <t>nga</t>
        </is>
      </c>
      <c r="C2330" s="14" t="inlineStr">
        <is>
          <t>mac</t>
        </is>
      </c>
      <c r="D2330" s="35">
        <f>INDEX(Inputs!$W$5:$W$132,MATCH($B2330&amp;"|"&amp;$C2330,Inputs!$A$5:$A$132,0))</f>
        <v/>
      </c>
      <c r="E2330" s="35">
        <f>INDEX(Inputs!$Z$5:$Z$132,MATCH($B2330&amp;"|"&amp;$C2330,Inputs!$A$5:$A$132,0))</f>
        <v/>
      </c>
      <c r="F2330" s="35">
        <f>INDEX(Inputs!$AA$5:$AA$132,MATCH($B2330&amp;"|"&amp;$C2330,Inputs!$A$5:$A$132,0))</f>
        <v/>
      </c>
      <c r="G2330" s="39" t="n"/>
      <c r="H2330" s="14">
        <f>INDEX(VarLab,MATCH($A2330,VarKey,0))&amp;INDEX(MemLab,MATCH($C2330&amp;"|"&amp;$B2330,MemKey,0))</f>
        <v/>
      </c>
      <c r="I2330" s="14">
        <f>INDEX(VarUnit,MATCH($A2330,VarKey,0))</f>
        <v/>
      </c>
      <c r="J2330" s="14">
        <f>INDEX(VarSrc,MATCH($A2330,VarKey,0))</f>
        <v/>
      </c>
      <c r="K2330" s="11">
        <f>CodePrefix&amp;$A2330&amp;IF($C2330="","","."&amp;$C2330&amp;"."&amp;$B2330)&amp;INDEX(VarEnd,MATCH($A2330,VarKey,0))&amp;K$5</f>
        <v/>
      </c>
      <c r="L2330" s="40">
        <f>$D2330*($E2330*L$321+$F2330*L$324)</f>
        <v/>
      </c>
      <c r="M2330" s="35">
        <f>$D2330*($E2330*M$321+$F2330*M$324)</f>
        <v/>
      </c>
      <c r="N2330" s="35">
        <f>$D2330*($E2330*N$321+$F2330*N$324)</f>
        <v/>
      </c>
      <c r="O2330" s="35">
        <f>$D2330*($E2330*O$321+$F2330*O$324)</f>
        <v/>
      </c>
      <c r="P2330" s="35">
        <f>$D2330*($E2330*P$321+$F2330*P$324)</f>
        <v/>
      </c>
      <c r="Q2330" s="35">
        <f>$D2330*($E2330*Q$321+$F2330*Q$324)</f>
        <v/>
      </c>
      <c r="R2330" s="35">
        <f>$D2330*($E2330*R$321+$F2330*R$324)</f>
        <v/>
      </c>
      <c r="S2330" s="35">
        <f>$D2330*($E2330*S$321+$F2330*S$324)</f>
        <v/>
      </c>
      <c r="T2330" s="35">
        <f>$D2330*($E2330*T$321+$F2330*T$324)</f>
        <v/>
      </c>
      <c r="U2330" s="35">
        <f>$D2330*($E2330*U$321+$F2330*U$324)</f>
        <v/>
      </c>
      <c r="V2330" s="35">
        <f>$D2330*($E2330*V$321+$F2330*V$324)</f>
        <v/>
      </c>
      <c r="W2330" s="35">
        <f>$D2330*($E2330*W$321+$F2330*W$324)</f>
        <v/>
      </c>
      <c r="X2330" s="35">
        <f>$D2330*($E2330*X$321+$F2330*X$324)</f>
        <v/>
      </c>
      <c r="Y2330" s="35">
        <f>$D2330*($E2330*Y$321+$F2330*Y$324)</f>
        <v/>
      </c>
      <c r="Z2330" s="35">
        <f>$D2330*($E2330*Z$321+$F2330*Z$324)</f>
        <v/>
      </c>
      <c r="AA2330" s="35">
        <f>$D2330*($E2330*AA$321+$F2330*AA$324)</f>
        <v/>
      </c>
      <c r="AB2330" s="35">
        <f>$D2330*($E2330*AB$321+$F2330*AB$324)</f>
        <v/>
      </c>
      <c r="AC2330" s="35">
        <f>$D2330*($E2330*AC$321+$F2330*AC$324)</f>
        <v/>
      </c>
      <c r="AD2330" s="35">
        <f>$D2330*($E2330*AD$321+$F2330*AD$324)</f>
        <v/>
      </c>
      <c r="AE2330" s="42">
        <f>XCARBON($D2330,$E2330,AE$321,$F2330,AE$324)</f>
        <v/>
      </c>
      <c r="AG2330" s="11">
        <f>CodePrefix&amp;$A2330&amp;IF($C2330="","","."&amp;$C2330&amp;"."&amp;$B2330)&amp;INDEX(VarEnd,MATCH($A2330,VarKey,0))&amp;AG$5</f>
        <v/>
      </c>
      <c r="AH2330" s="40">
        <f>$D2330*($E2330*AH$321+$F2330*AH$324)</f>
        <v/>
      </c>
      <c r="AI2330" s="35">
        <f>$D2330*($E2330*AI$321+$F2330*AI$324)</f>
        <v/>
      </c>
      <c r="AJ2330" s="35">
        <f>$D2330*($E2330*AJ$321+$F2330*AJ$324)</f>
        <v/>
      </c>
      <c r="AK2330" s="35">
        <f>$D2330*($E2330*AK$321+$F2330*AK$324)</f>
        <v/>
      </c>
      <c r="AL2330" s="35">
        <f>$D2330*($E2330*AL$321+$F2330*AL$324)</f>
        <v/>
      </c>
      <c r="AM2330" s="35">
        <f>$D2330*($E2330*AM$321+$F2330*AM$324)</f>
        <v/>
      </c>
      <c r="AN2330" s="35">
        <f>$D2330*($E2330*AN$321+$F2330*AN$324)</f>
        <v/>
      </c>
      <c r="AO2330" s="35">
        <f>$D2330*($E2330*AO$321+$F2330*AO$324)</f>
        <v/>
      </c>
      <c r="AP2330" s="35">
        <f>$D2330*($E2330*AP$321+$F2330*AP$324)</f>
        <v/>
      </c>
      <c r="AQ2330" s="35">
        <f>$D2330*($E2330*AQ$321+$F2330*AQ$324)</f>
        <v/>
      </c>
      <c r="AR2330" s="35">
        <f>$D2330*($E2330*AR$321+$F2330*AR$324)</f>
        <v/>
      </c>
      <c r="AS2330" s="35">
        <f>$D2330*($E2330*AS$321+$F2330*AS$324)</f>
        <v/>
      </c>
      <c r="AT2330" s="35">
        <f>$D2330*($E2330*AT$321+$F2330*AT$324)</f>
        <v/>
      </c>
      <c r="AU2330" s="35">
        <f>$D2330*($E2330*AU$321+$F2330*AU$324)</f>
        <v/>
      </c>
      <c r="AV2330" s="35">
        <f>$D2330*($E2330*AV$321+$F2330*AV$324)</f>
        <v/>
      </c>
      <c r="AW2330" s="35">
        <f>$D2330*($E2330*AW$321+$F2330*AW$324)</f>
        <v/>
      </c>
      <c r="AX2330" s="35">
        <f>$D2330*($E2330*AX$321+$F2330*AX$324)</f>
        <v/>
      </c>
      <c r="AY2330" s="35">
        <f>$D2330*($E2330*AY$321+$F2330*AY$324)</f>
        <v/>
      </c>
      <c r="AZ2330" s="35">
        <f>$D2330*($E2330*AZ$321+$F2330*AZ$324)</f>
        <v/>
      </c>
      <c r="BA2330" s="42">
        <f>XCARBON($D2330,$E2330,BA$321,$F2330,BA$324)</f>
        <v/>
      </c>
    </row>
    <row r="2331" hidden="1" outlineLevel="2">
      <c r="A2331" s="14" t="inlineStr">
        <is>
          <t>xcp</t>
        </is>
      </c>
      <c r="B2331" s="14" t="inlineStr">
        <is>
          <t>gso</t>
        </is>
      </c>
      <c r="C2331" s="14" t="inlineStr">
        <is>
          <t>mac</t>
        </is>
      </c>
      <c r="D2331" s="35">
        <f>INDEX(Inputs!$W$5:$W$132,MATCH($B2331&amp;"|"&amp;$C2331,Inputs!$A$5:$A$132,0))</f>
        <v/>
      </c>
      <c r="E2331" s="35">
        <f>INDEX(Inputs!$Z$5:$Z$132,MATCH($B2331&amp;"|"&amp;$C2331,Inputs!$A$5:$A$132,0))</f>
        <v/>
      </c>
      <c r="F2331" s="35">
        <f>INDEX(Inputs!$AA$5:$AA$132,MATCH($B2331&amp;"|"&amp;$C2331,Inputs!$A$5:$A$132,0))</f>
        <v/>
      </c>
      <c r="G2331" s="39" t="n"/>
      <c r="H2331" s="14">
        <f>INDEX(VarLab,MATCH($A2331,VarKey,0))&amp;INDEX(MemLab,MATCH($C2331&amp;"|"&amp;$B2331,MemKey,0))</f>
        <v/>
      </c>
      <c r="I2331" s="14">
        <f>INDEX(VarUnit,MATCH($A2331,VarKey,0))</f>
        <v/>
      </c>
      <c r="J2331" s="14">
        <f>INDEX(VarSrc,MATCH($A2331,VarKey,0))</f>
        <v/>
      </c>
      <c r="K2331" s="11">
        <f>CodePrefix&amp;$A2331&amp;IF($C2331="","","."&amp;$C2331&amp;"."&amp;$B2331)&amp;INDEX(VarEnd,MATCH($A2331,VarKey,0))&amp;K$5</f>
        <v/>
      </c>
      <c r="L2331" s="40">
        <f>$D2331*($E2331*L$321+$F2331*L$324)</f>
        <v/>
      </c>
      <c r="M2331" s="35">
        <f>$D2331*($E2331*M$321+$F2331*M$324)</f>
        <v/>
      </c>
      <c r="N2331" s="35">
        <f>$D2331*($E2331*N$321+$F2331*N$324)</f>
        <v/>
      </c>
      <c r="O2331" s="35">
        <f>$D2331*($E2331*O$321+$F2331*O$324)</f>
        <v/>
      </c>
      <c r="P2331" s="35">
        <f>$D2331*($E2331*P$321+$F2331*P$324)</f>
        <v/>
      </c>
      <c r="Q2331" s="35">
        <f>$D2331*($E2331*Q$321+$F2331*Q$324)</f>
        <v/>
      </c>
      <c r="R2331" s="35">
        <f>$D2331*($E2331*R$321+$F2331*R$324)</f>
        <v/>
      </c>
      <c r="S2331" s="35">
        <f>$D2331*($E2331*S$321+$F2331*S$324)</f>
        <v/>
      </c>
      <c r="T2331" s="35">
        <f>$D2331*($E2331*T$321+$F2331*T$324)</f>
        <v/>
      </c>
      <c r="U2331" s="35">
        <f>$D2331*($E2331*U$321+$F2331*U$324)</f>
        <v/>
      </c>
      <c r="V2331" s="35">
        <f>$D2331*($E2331*V$321+$F2331*V$324)</f>
        <v/>
      </c>
      <c r="W2331" s="35">
        <f>$D2331*($E2331*W$321+$F2331*W$324)</f>
        <v/>
      </c>
      <c r="X2331" s="35">
        <f>$D2331*($E2331*X$321+$F2331*X$324)</f>
        <v/>
      </c>
      <c r="Y2331" s="35">
        <f>$D2331*($E2331*Y$321+$F2331*Y$324)</f>
        <v/>
      </c>
      <c r="Z2331" s="35">
        <f>$D2331*($E2331*Z$321+$F2331*Z$324)</f>
        <v/>
      </c>
      <c r="AA2331" s="35">
        <f>$D2331*($E2331*AA$321+$F2331*AA$324)</f>
        <v/>
      </c>
      <c r="AB2331" s="35">
        <f>$D2331*($E2331*AB$321+$F2331*AB$324)</f>
        <v/>
      </c>
      <c r="AC2331" s="35">
        <f>$D2331*($E2331*AC$321+$F2331*AC$324)</f>
        <v/>
      </c>
      <c r="AD2331" s="35">
        <f>$D2331*($E2331*AD$321+$F2331*AD$324)</f>
        <v/>
      </c>
      <c r="AE2331" s="42">
        <f>XCARBON($D2331,$E2331,AE$321,$F2331,AE$324)</f>
        <v/>
      </c>
      <c r="AG2331" s="11">
        <f>CodePrefix&amp;$A2331&amp;IF($C2331="","","."&amp;$C2331&amp;"."&amp;$B2331)&amp;INDEX(VarEnd,MATCH($A2331,VarKey,0))&amp;AG$5</f>
        <v/>
      </c>
      <c r="AH2331" s="40">
        <f>$D2331*($E2331*AH$321+$F2331*AH$324)</f>
        <v/>
      </c>
      <c r="AI2331" s="35">
        <f>$D2331*($E2331*AI$321+$F2331*AI$324)</f>
        <v/>
      </c>
      <c r="AJ2331" s="35">
        <f>$D2331*($E2331*AJ$321+$F2331*AJ$324)</f>
        <v/>
      </c>
      <c r="AK2331" s="35">
        <f>$D2331*($E2331*AK$321+$F2331*AK$324)</f>
        <v/>
      </c>
      <c r="AL2331" s="35">
        <f>$D2331*($E2331*AL$321+$F2331*AL$324)</f>
        <v/>
      </c>
      <c r="AM2331" s="35">
        <f>$D2331*($E2331*AM$321+$F2331*AM$324)</f>
        <v/>
      </c>
      <c r="AN2331" s="35">
        <f>$D2331*($E2331*AN$321+$F2331*AN$324)</f>
        <v/>
      </c>
      <c r="AO2331" s="35">
        <f>$D2331*($E2331*AO$321+$F2331*AO$324)</f>
        <v/>
      </c>
      <c r="AP2331" s="35">
        <f>$D2331*($E2331*AP$321+$F2331*AP$324)</f>
        <v/>
      </c>
      <c r="AQ2331" s="35">
        <f>$D2331*($E2331*AQ$321+$F2331*AQ$324)</f>
        <v/>
      </c>
      <c r="AR2331" s="35">
        <f>$D2331*($E2331*AR$321+$F2331*AR$324)</f>
        <v/>
      </c>
      <c r="AS2331" s="35">
        <f>$D2331*($E2331*AS$321+$F2331*AS$324)</f>
        <v/>
      </c>
      <c r="AT2331" s="35">
        <f>$D2331*($E2331*AT$321+$F2331*AT$324)</f>
        <v/>
      </c>
      <c r="AU2331" s="35">
        <f>$D2331*($E2331*AU$321+$F2331*AU$324)</f>
        <v/>
      </c>
      <c r="AV2331" s="35">
        <f>$D2331*($E2331*AV$321+$F2331*AV$324)</f>
        <v/>
      </c>
      <c r="AW2331" s="35">
        <f>$D2331*($E2331*AW$321+$F2331*AW$324)</f>
        <v/>
      </c>
      <c r="AX2331" s="35">
        <f>$D2331*($E2331*AX$321+$F2331*AX$324)</f>
        <v/>
      </c>
      <c r="AY2331" s="35">
        <f>$D2331*($E2331*AY$321+$F2331*AY$324)</f>
        <v/>
      </c>
      <c r="AZ2331" s="35">
        <f>$D2331*($E2331*AZ$321+$F2331*AZ$324)</f>
        <v/>
      </c>
      <c r="BA2331" s="42">
        <f>XCARBON($D2331,$E2331,BA$321,$F2331,BA$324)</f>
        <v/>
      </c>
    </row>
    <row r="2332" hidden="1" outlineLevel="2">
      <c r="A2332" s="14" t="inlineStr">
        <is>
          <t>xcp</t>
        </is>
      </c>
      <c r="B2332" s="14" t="inlineStr">
        <is>
          <t>die</t>
        </is>
      </c>
      <c r="C2332" s="14" t="inlineStr">
        <is>
          <t>mac</t>
        </is>
      </c>
      <c r="D2332" s="35">
        <f>INDEX(Inputs!$W$5:$W$132,MATCH($B2332&amp;"|"&amp;$C2332,Inputs!$A$5:$A$132,0))</f>
        <v/>
      </c>
      <c r="E2332" s="35">
        <f>INDEX(Inputs!$Z$5:$Z$132,MATCH($B2332&amp;"|"&amp;$C2332,Inputs!$A$5:$A$132,0))</f>
        <v/>
      </c>
      <c r="F2332" s="35">
        <f>INDEX(Inputs!$AA$5:$AA$132,MATCH($B2332&amp;"|"&amp;$C2332,Inputs!$A$5:$A$132,0))</f>
        <v/>
      </c>
      <c r="G2332" s="39" t="n"/>
      <c r="H2332" s="14">
        <f>INDEX(VarLab,MATCH($A2332,VarKey,0))&amp;INDEX(MemLab,MATCH($C2332&amp;"|"&amp;$B2332,MemKey,0))</f>
        <v/>
      </c>
      <c r="I2332" s="14">
        <f>INDEX(VarUnit,MATCH($A2332,VarKey,0))</f>
        <v/>
      </c>
      <c r="J2332" s="14">
        <f>INDEX(VarSrc,MATCH($A2332,VarKey,0))</f>
        <v/>
      </c>
      <c r="K2332" s="11">
        <f>CodePrefix&amp;$A2332&amp;IF($C2332="","","."&amp;$C2332&amp;"."&amp;$B2332)&amp;INDEX(VarEnd,MATCH($A2332,VarKey,0))&amp;K$5</f>
        <v/>
      </c>
      <c r="L2332" s="40">
        <f>$D2332*($E2332*L$321+$F2332*L$324)</f>
        <v/>
      </c>
      <c r="M2332" s="35">
        <f>$D2332*($E2332*M$321+$F2332*M$324)</f>
        <v/>
      </c>
      <c r="N2332" s="35">
        <f>$D2332*($E2332*N$321+$F2332*N$324)</f>
        <v/>
      </c>
      <c r="O2332" s="35">
        <f>$D2332*($E2332*O$321+$F2332*O$324)</f>
        <v/>
      </c>
      <c r="P2332" s="35">
        <f>$D2332*($E2332*P$321+$F2332*P$324)</f>
        <v/>
      </c>
      <c r="Q2332" s="35">
        <f>$D2332*($E2332*Q$321+$F2332*Q$324)</f>
        <v/>
      </c>
      <c r="R2332" s="35">
        <f>$D2332*($E2332*R$321+$F2332*R$324)</f>
        <v/>
      </c>
      <c r="S2332" s="35">
        <f>$D2332*($E2332*S$321+$F2332*S$324)</f>
        <v/>
      </c>
      <c r="T2332" s="35">
        <f>$D2332*($E2332*T$321+$F2332*T$324)</f>
        <v/>
      </c>
      <c r="U2332" s="35">
        <f>$D2332*($E2332*U$321+$F2332*U$324)</f>
        <v/>
      </c>
      <c r="V2332" s="35">
        <f>$D2332*($E2332*V$321+$F2332*V$324)</f>
        <v/>
      </c>
      <c r="W2332" s="35">
        <f>$D2332*($E2332*W$321+$F2332*W$324)</f>
        <v/>
      </c>
      <c r="X2332" s="35">
        <f>$D2332*($E2332*X$321+$F2332*X$324)</f>
        <v/>
      </c>
      <c r="Y2332" s="35">
        <f>$D2332*($E2332*Y$321+$F2332*Y$324)</f>
        <v/>
      </c>
      <c r="Z2332" s="35">
        <f>$D2332*($E2332*Z$321+$F2332*Z$324)</f>
        <v/>
      </c>
      <c r="AA2332" s="35">
        <f>$D2332*($E2332*AA$321+$F2332*AA$324)</f>
        <v/>
      </c>
      <c r="AB2332" s="35">
        <f>$D2332*($E2332*AB$321+$F2332*AB$324)</f>
        <v/>
      </c>
      <c r="AC2332" s="35">
        <f>$D2332*($E2332*AC$321+$F2332*AC$324)</f>
        <v/>
      </c>
      <c r="AD2332" s="35">
        <f>$D2332*($E2332*AD$321+$F2332*AD$324)</f>
        <v/>
      </c>
      <c r="AE2332" s="42">
        <f>XCARBON($D2332,$E2332,AE$321,$F2332,AE$324)</f>
        <v/>
      </c>
      <c r="AG2332" s="11">
        <f>CodePrefix&amp;$A2332&amp;IF($C2332="","","."&amp;$C2332&amp;"."&amp;$B2332)&amp;INDEX(VarEnd,MATCH($A2332,VarKey,0))&amp;AG$5</f>
        <v/>
      </c>
      <c r="AH2332" s="40">
        <f>$D2332*($E2332*AH$321+$F2332*AH$324)</f>
        <v/>
      </c>
      <c r="AI2332" s="35">
        <f>$D2332*($E2332*AI$321+$F2332*AI$324)</f>
        <v/>
      </c>
      <c r="AJ2332" s="35">
        <f>$D2332*($E2332*AJ$321+$F2332*AJ$324)</f>
        <v/>
      </c>
      <c r="AK2332" s="35">
        <f>$D2332*($E2332*AK$321+$F2332*AK$324)</f>
        <v/>
      </c>
      <c r="AL2332" s="35">
        <f>$D2332*($E2332*AL$321+$F2332*AL$324)</f>
        <v/>
      </c>
      <c r="AM2332" s="35">
        <f>$D2332*($E2332*AM$321+$F2332*AM$324)</f>
        <v/>
      </c>
      <c r="AN2332" s="35">
        <f>$D2332*($E2332*AN$321+$F2332*AN$324)</f>
        <v/>
      </c>
      <c r="AO2332" s="35">
        <f>$D2332*($E2332*AO$321+$F2332*AO$324)</f>
        <v/>
      </c>
      <c r="AP2332" s="35">
        <f>$D2332*($E2332*AP$321+$F2332*AP$324)</f>
        <v/>
      </c>
      <c r="AQ2332" s="35">
        <f>$D2332*($E2332*AQ$321+$F2332*AQ$324)</f>
        <v/>
      </c>
      <c r="AR2332" s="35">
        <f>$D2332*($E2332*AR$321+$F2332*AR$324)</f>
        <v/>
      </c>
      <c r="AS2332" s="35">
        <f>$D2332*($E2332*AS$321+$F2332*AS$324)</f>
        <v/>
      </c>
      <c r="AT2332" s="35">
        <f>$D2332*($E2332*AT$321+$F2332*AT$324)</f>
        <v/>
      </c>
      <c r="AU2332" s="35">
        <f>$D2332*($E2332*AU$321+$F2332*AU$324)</f>
        <v/>
      </c>
      <c r="AV2332" s="35">
        <f>$D2332*($E2332*AV$321+$F2332*AV$324)</f>
        <v/>
      </c>
      <c r="AW2332" s="35">
        <f>$D2332*($E2332*AW$321+$F2332*AW$324)</f>
        <v/>
      </c>
      <c r="AX2332" s="35">
        <f>$D2332*($E2332*AX$321+$F2332*AX$324)</f>
        <v/>
      </c>
      <c r="AY2332" s="35">
        <f>$D2332*($E2332*AY$321+$F2332*AY$324)</f>
        <v/>
      </c>
      <c r="AZ2332" s="35">
        <f>$D2332*($E2332*AZ$321+$F2332*AZ$324)</f>
        <v/>
      </c>
      <c r="BA2332" s="42">
        <f>XCARBON($D2332,$E2332,BA$321,$F2332,BA$324)</f>
        <v/>
      </c>
    </row>
    <row r="2333" hidden="1" outlineLevel="2">
      <c r="A2333" s="14" t="inlineStr">
        <is>
          <t>xcp</t>
        </is>
      </c>
      <c r="B2333" s="14" t="inlineStr">
        <is>
          <t>lpg</t>
        </is>
      </c>
      <c r="C2333" s="14" t="inlineStr">
        <is>
          <t>mac</t>
        </is>
      </c>
      <c r="D2333" s="35">
        <f>INDEX(Inputs!$W$5:$W$132,MATCH($B2333&amp;"|"&amp;$C2333,Inputs!$A$5:$A$132,0))</f>
        <v/>
      </c>
      <c r="E2333" s="35">
        <f>INDEX(Inputs!$Z$5:$Z$132,MATCH($B2333&amp;"|"&amp;$C2333,Inputs!$A$5:$A$132,0))</f>
        <v/>
      </c>
      <c r="F2333" s="35">
        <f>INDEX(Inputs!$AA$5:$AA$132,MATCH($B2333&amp;"|"&amp;$C2333,Inputs!$A$5:$A$132,0))</f>
        <v/>
      </c>
      <c r="G2333" s="39" t="n"/>
      <c r="H2333" s="14">
        <f>INDEX(VarLab,MATCH($A2333,VarKey,0))&amp;INDEX(MemLab,MATCH($C2333&amp;"|"&amp;$B2333,MemKey,0))</f>
        <v/>
      </c>
      <c r="I2333" s="14">
        <f>INDEX(VarUnit,MATCH($A2333,VarKey,0))</f>
        <v/>
      </c>
      <c r="J2333" s="14">
        <f>INDEX(VarSrc,MATCH($A2333,VarKey,0))</f>
        <v/>
      </c>
      <c r="K2333" s="11">
        <f>CodePrefix&amp;$A2333&amp;IF($C2333="","","."&amp;$C2333&amp;"."&amp;$B2333)&amp;INDEX(VarEnd,MATCH($A2333,VarKey,0))&amp;K$5</f>
        <v/>
      </c>
      <c r="L2333" s="40">
        <f>$D2333*($E2333*L$321+$F2333*L$324)</f>
        <v/>
      </c>
      <c r="M2333" s="35">
        <f>$D2333*($E2333*M$321+$F2333*M$324)</f>
        <v/>
      </c>
      <c r="N2333" s="35">
        <f>$D2333*($E2333*N$321+$F2333*N$324)</f>
        <v/>
      </c>
      <c r="O2333" s="35">
        <f>$D2333*($E2333*O$321+$F2333*O$324)</f>
        <v/>
      </c>
      <c r="P2333" s="35">
        <f>$D2333*($E2333*P$321+$F2333*P$324)</f>
        <v/>
      </c>
      <c r="Q2333" s="35">
        <f>$D2333*($E2333*Q$321+$F2333*Q$324)</f>
        <v/>
      </c>
      <c r="R2333" s="35">
        <f>$D2333*($E2333*R$321+$F2333*R$324)</f>
        <v/>
      </c>
      <c r="S2333" s="35">
        <f>$D2333*($E2333*S$321+$F2333*S$324)</f>
        <v/>
      </c>
      <c r="T2333" s="35">
        <f>$D2333*($E2333*T$321+$F2333*T$324)</f>
        <v/>
      </c>
      <c r="U2333" s="35">
        <f>$D2333*($E2333*U$321+$F2333*U$324)</f>
        <v/>
      </c>
      <c r="V2333" s="35">
        <f>$D2333*($E2333*V$321+$F2333*V$324)</f>
        <v/>
      </c>
      <c r="W2333" s="35">
        <f>$D2333*($E2333*W$321+$F2333*W$324)</f>
        <v/>
      </c>
      <c r="X2333" s="35">
        <f>$D2333*($E2333*X$321+$F2333*X$324)</f>
        <v/>
      </c>
      <c r="Y2333" s="35">
        <f>$D2333*($E2333*Y$321+$F2333*Y$324)</f>
        <v/>
      </c>
      <c r="Z2333" s="35">
        <f>$D2333*($E2333*Z$321+$F2333*Z$324)</f>
        <v/>
      </c>
      <c r="AA2333" s="35">
        <f>$D2333*($E2333*AA$321+$F2333*AA$324)</f>
        <v/>
      </c>
      <c r="AB2333" s="35">
        <f>$D2333*($E2333*AB$321+$F2333*AB$324)</f>
        <v/>
      </c>
      <c r="AC2333" s="35">
        <f>$D2333*($E2333*AC$321+$F2333*AC$324)</f>
        <v/>
      </c>
      <c r="AD2333" s="35">
        <f>$D2333*($E2333*AD$321+$F2333*AD$324)</f>
        <v/>
      </c>
      <c r="AE2333" s="42">
        <f>XCARBON($D2333,$E2333,AE$321,$F2333,AE$324)</f>
        <v/>
      </c>
      <c r="AG2333" s="11">
        <f>CodePrefix&amp;$A2333&amp;IF($C2333="","","."&amp;$C2333&amp;"."&amp;$B2333)&amp;INDEX(VarEnd,MATCH($A2333,VarKey,0))&amp;AG$5</f>
        <v/>
      </c>
      <c r="AH2333" s="40">
        <f>$D2333*($E2333*AH$321+$F2333*AH$324)</f>
        <v/>
      </c>
      <c r="AI2333" s="35">
        <f>$D2333*($E2333*AI$321+$F2333*AI$324)</f>
        <v/>
      </c>
      <c r="AJ2333" s="35">
        <f>$D2333*($E2333*AJ$321+$F2333*AJ$324)</f>
        <v/>
      </c>
      <c r="AK2333" s="35">
        <f>$D2333*($E2333*AK$321+$F2333*AK$324)</f>
        <v/>
      </c>
      <c r="AL2333" s="35">
        <f>$D2333*($E2333*AL$321+$F2333*AL$324)</f>
        <v/>
      </c>
      <c r="AM2333" s="35">
        <f>$D2333*($E2333*AM$321+$F2333*AM$324)</f>
        <v/>
      </c>
      <c r="AN2333" s="35">
        <f>$D2333*($E2333*AN$321+$F2333*AN$324)</f>
        <v/>
      </c>
      <c r="AO2333" s="35">
        <f>$D2333*($E2333*AO$321+$F2333*AO$324)</f>
        <v/>
      </c>
      <c r="AP2333" s="35">
        <f>$D2333*($E2333*AP$321+$F2333*AP$324)</f>
        <v/>
      </c>
      <c r="AQ2333" s="35">
        <f>$D2333*($E2333*AQ$321+$F2333*AQ$324)</f>
        <v/>
      </c>
      <c r="AR2333" s="35">
        <f>$D2333*($E2333*AR$321+$F2333*AR$324)</f>
        <v/>
      </c>
      <c r="AS2333" s="35">
        <f>$D2333*($E2333*AS$321+$F2333*AS$324)</f>
        <v/>
      </c>
      <c r="AT2333" s="35">
        <f>$D2333*($E2333*AT$321+$F2333*AT$324)</f>
        <v/>
      </c>
      <c r="AU2333" s="35">
        <f>$D2333*($E2333*AU$321+$F2333*AU$324)</f>
        <v/>
      </c>
      <c r="AV2333" s="35">
        <f>$D2333*($E2333*AV$321+$F2333*AV$324)</f>
        <v/>
      </c>
      <c r="AW2333" s="35">
        <f>$D2333*($E2333*AW$321+$F2333*AW$324)</f>
        <v/>
      </c>
      <c r="AX2333" s="35">
        <f>$D2333*($E2333*AX$321+$F2333*AX$324)</f>
        <v/>
      </c>
      <c r="AY2333" s="35">
        <f>$D2333*($E2333*AY$321+$F2333*AY$324)</f>
        <v/>
      </c>
      <c r="AZ2333" s="35">
        <f>$D2333*($E2333*AZ$321+$F2333*AZ$324)</f>
        <v/>
      </c>
      <c r="BA2333" s="42">
        <f>XCARBON($D2333,$E2333,BA$321,$F2333,BA$324)</f>
        <v/>
      </c>
    </row>
    <row r="2334" hidden="1" outlineLevel="2">
      <c r="A2334" s="14" t="inlineStr">
        <is>
          <t>xcp</t>
        </is>
      </c>
      <c r="B2334" s="14" t="inlineStr">
        <is>
          <t>ker</t>
        </is>
      </c>
      <c r="C2334" s="14" t="inlineStr">
        <is>
          <t>mac</t>
        </is>
      </c>
      <c r="D2334" s="35">
        <f>INDEX(Inputs!$W$5:$W$132,MATCH($B2334&amp;"|"&amp;$C2334,Inputs!$A$5:$A$132,0))</f>
        <v/>
      </c>
      <c r="E2334" s="35">
        <f>INDEX(Inputs!$Z$5:$Z$132,MATCH($B2334&amp;"|"&amp;$C2334,Inputs!$A$5:$A$132,0))</f>
        <v/>
      </c>
      <c r="F2334" s="35">
        <f>INDEX(Inputs!$AA$5:$AA$132,MATCH($B2334&amp;"|"&amp;$C2334,Inputs!$A$5:$A$132,0))</f>
        <v/>
      </c>
      <c r="G2334" s="39" t="n"/>
      <c r="H2334" s="14">
        <f>INDEX(VarLab,MATCH($A2334,VarKey,0))&amp;INDEX(MemLab,MATCH($C2334&amp;"|"&amp;$B2334,MemKey,0))</f>
        <v/>
      </c>
      <c r="I2334" s="14">
        <f>INDEX(VarUnit,MATCH($A2334,VarKey,0))</f>
        <v/>
      </c>
      <c r="J2334" s="14">
        <f>INDEX(VarSrc,MATCH($A2334,VarKey,0))</f>
        <v/>
      </c>
      <c r="K2334" s="11">
        <f>CodePrefix&amp;$A2334&amp;IF($C2334="","","."&amp;$C2334&amp;"."&amp;$B2334)&amp;INDEX(VarEnd,MATCH($A2334,VarKey,0))&amp;K$5</f>
        <v/>
      </c>
      <c r="L2334" s="40">
        <f>$D2334*($E2334*L$321+$F2334*L$324)</f>
        <v/>
      </c>
      <c r="M2334" s="35">
        <f>$D2334*($E2334*M$321+$F2334*M$324)</f>
        <v/>
      </c>
      <c r="N2334" s="35">
        <f>$D2334*($E2334*N$321+$F2334*N$324)</f>
        <v/>
      </c>
      <c r="O2334" s="35">
        <f>$D2334*($E2334*O$321+$F2334*O$324)</f>
        <v/>
      </c>
      <c r="P2334" s="35">
        <f>$D2334*($E2334*P$321+$F2334*P$324)</f>
        <v/>
      </c>
      <c r="Q2334" s="35">
        <f>$D2334*($E2334*Q$321+$F2334*Q$324)</f>
        <v/>
      </c>
      <c r="R2334" s="35">
        <f>$D2334*($E2334*R$321+$F2334*R$324)</f>
        <v/>
      </c>
      <c r="S2334" s="35">
        <f>$D2334*($E2334*S$321+$F2334*S$324)</f>
        <v/>
      </c>
      <c r="T2334" s="35">
        <f>$D2334*($E2334*T$321+$F2334*T$324)</f>
        <v/>
      </c>
      <c r="U2334" s="35">
        <f>$D2334*($E2334*U$321+$F2334*U$324)</f>
        <v/>
      </c>
      <c r="V2334" s="35">
        <f>$D2334*($E2334*V$321+$F2334*V$324)</f>
        <v/>
      </c>
      <c r="W2334" s="35">
        <f>$D2334*($E2334*W$321+$F2334*W$324)</f>
        <v/>
      </c>
      <c r="X2334" s="35">
        <f>$D2334*($E2334*X$321+$F2334*X$324)</f>
        <v/>
      </c>
      <c r="Y2334" s="35">
        <f>$D2334*($E2334*Y$321+$F2334*Y$324)</f>
        <v/>
      </c>
      <c r="Z2334" s="35">
        <f>$D2334*($E2334*Z$321+$F2334*Z$324)</f>
        <v/>
      </c>
      <c r="AA2334" s="35">
        <f>$D2334*($E2334*AA$321+$F2334*AA$324)</f>
        <v/>
      </c>
      <c r="AB2334" s="35">
        <f>$D2334*($E2334*AB$321+$F2334*AB$324)</f>
        <v/>
      </c>
      <c r="AC2334" s="35">
        <f>$D2334*($E2334*AC$321+$F2334*AC$324)</f>
        <v/>
      </c>
      <c r="AD2334" s="35">
        <f>$D2334*($E2334*AD$321+$F2334*AD$324)</f>
        <v/>
      </c>
      <c r="AE2334" s="42">
        <f>XCARBON($D2334,$E2334,AE$321,$F2334,AE$324)</f>
        <v/>
      </c>
      <c r="AG2334" s="11">
        <f>CodePrefix&amp;$A2334&amp;IF($C2334="","","."&amp;$C2334&amp;"."&amp;$B2334)&amp;INDEX(VarEnd,MATCH($A2334,VarKey,0))&amp;AG$5</f>
        <v/>
      </c>
      <c r="AH2334" s="40">
        <f>$D2334*($E2334*AH$321+$F2334*AH$324)</f>
        <v/>
      </c>
      <c r="AI2334" s="35">
        <f>$D2334*($E2334*AI$321+$F2334*AI$324)</f>
        <v/>
      </c>
      <c r="AJ2334" s="35">
        <f>$D2334*($E2334*AJ$321+$F2334*AJ$324)</f>
        <v/>
      </c>
      <c r="AK2334" s="35">
        <f>$D2334*($E2334*AK$321+$F2334*AK$324)</f>
        <v/>
      </c>
      <c r="AL2334" s="35">
        <f>$D2334*($E2334*AL$321+$F2334*AL$324)</f>
        <v/>
      </c>
      <c r="AM2334" s="35">
        <f>$D2334*($E2334*AM$321+$F2334*AM$324)</f>
        <v/>
      </c>
      <c r="AN2334" s="35">
        <f>$D2334*($E2334*AN$321+$F2334*AN$324)</f>
        <v/>
      </c>
      <c r="AO2334" s="35">
        <f>$D2334*($E2334*AO$321+$F2334*AO$324)</f>
        <v/>
      </c>
      <c r="AP2334" s="35">
        <f>$D2334*($E2334*AP$321+$F2334*AP$324)</f>
        <v/>
      </c>
      <c r="AQ2334" s="35">
        <f>$D2334*($E2334*AQ$321+$F2334*AQ$324)</f>
        <v/>
      </c>
      <c r="AR2334" s="35">
        <f>$D2334*($E2334*AR$321+$F2334*AR$324)</f>
        <v/>
      </c>
      <c r="AS2334" s="35">
        <f>$D2334*($E2334*AS$321+$F2334*AS$324)</f>
        <v/>
      </c>
      <c r="AT2334" s="35">
        <f>$D2334*($E2334*AT$321+$F2334*AT$324)</f>
        <v/>
      </c>
      <c r="AU2334" s="35">
        <f>$D2334*($E2334*AU$321+$F2334*AU$324)</f>
        <v/>
      </c>
      <c r="AV2334" s="35">
        <f>$D2334*($E2334*AV$321+$F2334*AV$324)</f>
        <v/>
      </c>
      <c r="AW2334" s="35">
        <f>$D2334*($E2334*AW$321+$F2334*AW$324)</f>
        <v/>
      </c>
      <c r="AX2334" s="35">
        <f>$D2334*($E2334*AX$321+$F2334*AX$324)</f>
        <v/>
      </c>
      <c r="AY2334" s="35">
        <f>$D2334*($E2334*AY$321+$F2334*AY$324)</f>
        <v/>
      </c>
      <c r="AZ2334" s="35">
        <f>$D2334*($E2334*AZ$321+$F2334*AZ$324)</f>
        <v/>
      </c>
      <c r="BA2334" s="42">
        <f>XCARBON($D2334,$E2334,BA$321,$F2334,BA$324)</f>
        <v/>
      </c>
    </row>
    <row r="2335" hidden="1" outlineLevel="2">
      <c r="A2335" s="14" t="inlineStr">
        <is>
          <t>xcp</t>
        </is>
      </c>
      <c r="B2335" s="14" t="inlineStr">
        <is>
          <t>oop</t>
        </is>
      </c>
      <c r="C2335" s="14" t="inlineStr">
        <is>
          <t>mac</t>
        </is>
      </c>
      <c r="D2335" s="35">
        <f>INDEX(Inputs!$W$5:$W$132,MATCH($B2335&amp;"|"&amp;$C2335,Inputs!$A$5:$A$132,0))</f>
        <v/>
      </c>
      <c r="E2335" s="35">
        <f>INDEX(Inputs!$Z$5:$Z$132,MATCH($B2335&amp;"|"&amp;$C2335,Inputs!$A$5:$A$132,0))</f>
        <v/>
      </c>
      <c r="F2335" s="35">
        <f>INDEX(Inputs!$AA$5:$AA$132,MATCH($B2335&amp;"|"&amp;$C2335,Inputs!$A$5:$A$132,0))</f>
        <v/>
      </c>
      <c r="G2335" s="39" t="n"/>
      <c r="H2335" s="14">
        <f>INDEX(VarLab,MATCH($A2335,VarKey,0))&amp;INDEX(MemLab,MATCH($C2335&amp;"|"&amp;$B2335,MemKey,0))</f>
        <v/>
      </c>
      <c r="I2335" s="14">
        <f>INDEX(VarUnit,MATCH($A2335,VarKey,0))</f>
        <v/>
      </c>
      <c r="J2335" s="14">
        <f>INDEX(VarSrc,MATCH($A2335,VarKey,0))</f>
        <v/>
      </c>
      <c r="K2335" s="11">
        <f>CodePrefix&amp;$A2335&amp;IF($C2335="","","."&amp;$C2335&amp;"."&amp;$B2335)&amp;INDEX(VarEnd,MATCH($A2335,VarKey,0))&amp;K$5</f>
        <v/>
      </c>
      <c r="L2335" s="40">
        <f>$D2335*($E2335*L$321+$F2335*L$324)</f>
        <v/>
      </c>
      <c r="M2335" s="35">
        <f>$D2335*($E2335*M$321+$F2335*M$324)</f>
        <v/>
      </c>
      <c r="N2335" s="35">
        <f>$D2335*($E2335*N$321+$F2335*N$324)</f>
        <v/>
      </c>
      <c r="O2335" s="35">
        <f>$D2335*($E2335*O$321+$F2335*O$324)</f>
        <v/>
      </c>
      <c r="P2335" s="35">
        <f>$D2335*($E2335*P$321+$F2335*P$324)</f>
        <v/>
      </c>
      <c r="Q2335" s="35">
        <f>$D2335*($E2335*Q$321+$F2335*Q$324)</f>
        <v/>
      </c>
      <c r="R2335" s="35">
        <f>$D2335*($E2335*R$321+$F2335*R$324)</f>
        <v/>
      </c>
      <c r="S2335" s="35">
        <f>$D2335*($E2335*S$321+$F2335*S$324)</f>
        <v/>
      </c>
      <c r="T2335" s="35">
        <f>$D2335*($E2335*T$321+$F2335*T$324)</f>
        <v/>
      </c>
      <c r="U2335" s="35">
        <f>$D2335*($E2335*U$321+$F2335*U$324)</f>
        <v/>
      </c>
      <c r="V2335" s="35">
        <f>$D2335*($E2335*V$321+$F2335*V$324)</f>
        <v/>
      </c>
      <c r="W2335" s="35">
        <f>$D2335*($E2335*W$321+$F2335*W$324)</f>
        <v/>
      </c>
      <c r="X2335" s="35">
        <f>$D2335*($E2335*X$321+$F2335*X$324)</f>
        <v/>
      </c>
      <c r="Y2335" s="35">
        <f>$D2335*($E2335*Y$321+$F2335*Y$324)</f>
        <v/>
      </c>
      <c r="Z2335" s="35">
        <f>$D2335*($E2335*Z$321+$F2335*Z$324)</f>
        <v/>
      </c>
      <c r="AA2335" s="35">
        <f>$D2335*($E2335*AA$321+$F2335*AA$324)</f>
        <v/>
      </c>
      <c r="AB2335" s="35">
        <f>$D2335*($E2335*AB$321+$F2335*AB$324)</f>
        <v/>
      </c>
      <c r="AC2335" s="35">
        <f>$D2335*($E2335*AC$321+$F2335*AC$324)</f>
        <v/>
      </c>
      <c r="AD2335" s="35">
        <f>$D2335*($E2335*AD$321+$F2335*AD$324)</f>
        <v/>
      </c>
      <c r="AE2335" s="42">
        <f>XCARBON($D2335,$E2335,AE$321,$F2335,AE$324)</f>
        <v/>
      </c>
      <c r="AG2335" s="11">
        <f>CodePrefix&amp;$A2335&amp;IF($C2335="","","."&amp;$C2335&amp;"."&amp;$B2335)&amp;INDEX(VarEnd,MATCH($A2335,VarKey,0))&amp;AG$5</f>
        <v/>
      </c>
      <c r="AH2335" s="40">
        <f>$D2335*($E2335*AH$321+$F2335*AH$324)</f>
        <v/>
      </c>
      <c r="AI2335" s="35">
        <f>$D2335*($E2335*AI$321+$F2335*AI$324)</f>
        <v/>
      </c>
      <c r="AJ2335" s="35">
        <f>$D2335*($E2335*AJ$321+$F2335*AJ$324)</f>
        <v/>
      </c>
      <c r="AK2335" s="35">
        <f>$D2335*($E2335*AK$321+$F2335*AK$324)</f>
        <v/>
      </c>
      <c r="AL2335" s="35">
        <f>$D2335*($E2335*AL$321+$F2335*AL$324)</f>
        <v/>
      </c>
      <c r="AM2335" s="35">
        <f>$D2335*($E2335*AM$321+$F2335*AM$324)</f>
        <v/>
      </c>
      <c r="AN2335" s="35">
        <f>$D2335*($E2335*AN$321+$F2335*AN$324)</f>
        <v/>
      </c>
      <c r="AO2335" s="35">
        <f>$D2335*($E2335*AO$321+$F2335*AO$324)</f>
        <v/>
      </c>
      <c r="AP2335" s="35">
        <f>$D2335*($E2335*AP$321+$F2335*AP$324)</f>
        <v/>
      </c>
      <c r="AQ2335" s="35">
        <f>$D2335*($E2335*AQ$321+$F2335*AQ$324)</f>
        <v/>
      </c>
      <c r="AR2335" s="35">
        <f>$D2335*($E2335*AR$321+$F2335*AR$324)</f>
        <v/>
      </c>
      <c r="AS2335" s="35">
        <f>$D2335*($E2335*AS$321+$F2335*AS$324)</f>
        <v/>
      </c>
      <c r="AT2335" s="35">
        <f>$D2335*($E2335*AT$321+$F2335*AT$324)</f>
        <v/>
      </c>
      <c r="AU2335" s="35">
        <f>$D2335*($E2335*AU$321+$F2335*AU$324)</f>
        <v/>
      </c>
      <c r="AV2335" s="35">
        <f>$D2335*($E2335*AV$321+$F2335*AV$324)</f>
        <v/>
      </c>
      <c r="AW2335" s="35">
        <f>$D2335*($E2335*AW$321+$F2335*AW$324)</f>
        <v/>
      </c>
      <c r="AX2335" s="35">
        <f>$D2335*($E2335*AX$321+$F2335*AX$324)</f>
        <v/>
      </c>
      <c r="AY2335" s="35">
        <f>$D2335*($E2335*AY$321+$F2335*AY$324)</f>
        <v/>
      </c>
      <c r="AZ2335" s="35">
        <f>$D2335*($E2335*AZ$321+$F2335*AZ$324)</f>
        <v/>
      </c>
      <c r="BA2335" s="42">
        <f>XCARBON($D2335,$E2335,BA$321,$F2335,BA$324)</f>
        <v/>
      </c>
    </row>
    <row r="2336" hidden="1" outlineLevel="2">
      <c r="A2336" s="14" t="inlineStr">
        <is>
          <t>xcp</t>
        </is>
      </c>
      <c r="B2336" s="14" t="inlineStr">
        <is>
          <t>bio</t>
        </is>
      </c>
      <c r="C2336" s="14" t="inlineStr">
        <is>
          <t>mac</t>
        </is>
      </c>
      <c r="D2336" s="35">
        <f>INDEX(Inputs!$W$5:$W$132,MATCH($B2336&amp;"|"&amp;$C2336,Inputs!$A$5:$A$132,0))</f>
        <v/>
      </c>
      <c r="E2336" s="35">
        <f>INDEX(Inputs!$Z$5:$Z$132,MATCH($B2336&amp;"|"&amp;$C2336,Inputs!$A$5:$A$132,0))</f>
        <v/>
      </c>
      <c r="F2336" s="35">
        <f>INDEX(Inputs!$AA$5:$AA$132,MATCH($B2336&amp;"|"&amp;$C2336,Inputs!$A$5:$A$132,0))</f>
        <v/>
      </c>
      <c r="G2336" s="39" t="n"/>
      <c r="H2336" s="14">
        <f>INDEX(VarLab,MATCH($A2336,VarKey,0))&amp;INDEX(MemLab,MATCH($C2336&amp;"|"&amp;$B2336,MemKey,0))</f>
        <v/>
      </c>
      <c r="I2336" s="14">
        <f>INDEX(VarUnit,MATCH($A2336,VarKey,0))</f>
        <v/>
      </c>
      <c r="J2336" s="14">
        <f>INDEX(VarSrc,MATCH($A2336,VarKey,0))</f>
        <v/>
      </c>
      <c r="K2336" s="11">
        <f>CodePrefix&amp;$A2336&amp;IF($C2336="","","."&amp;$C2336&amp;"."&amp;$B2336)&amp;INDEX(VarEnd,MATCH($A2336,VarKey,0))&amp;K$5</f>
        <v/>
      </c>
      <c r="L2336" s="40">
        <f>$D2336*($E2336*L$321+$F2336*L$324)</f>
        <v/>
      </c>
      <c r="M2336" s="35">
        <f>$D2336*($E2336*M$321+$F2336*M$324)</f>
        <v/>
      </c>
      <c r="N2336" s="35">
        <f>$D2336*($E2336*N$321+$F2336*N$324)</f>
        <v/>
      </c>
      <c r="O2336" s="35">
        <f>$D2336*($E2336*O$321+$F2336*O$324)</f>
        <v/>
      </c>
      <c r="P2336" s="35">
        <f>$D2336*($E2336*P$321+$F2336*P$324)</f>
        <v/>
      </c>
      <c r="Q2336" s="35">
        <f>$D2336*($E2336*Q$321+$F2336*Q$324)</f>
        <v/>
      </c>
      <c r="R2336" s="35">
        <f>$D2336*($E2336*R$321+$F2336*R$324)</f>
        <v/>
      </c>
      <c r="S2336" s="35">
        <f>$D2336*($E2336*S$321+$F2336*S$324)</f>
        <v/>
      </c>
      <c r="T2336" s="35">
        <f>$D2336*($E2336*T$321+$F2336*T$324)</f>
        <v/>
      </c>
      <c r="U2336" s="35">
        <f>$D2336*($E2336*U$321+$F2336*U$324)</f>
        <v/>
      </c>
      <c r="V2336" s="35">
        <f>$D2336*($E2336*V$321+$F2336*V$324)</f>
        <v/>
      </c>
      <c r="W2336" s="35">
        <f>$D2336*($E2336*W$321+$F2336*W$324)</f>
        <v/>
      </c>
      <c r="X2336" s="35">
        <f>$D2336*($E2336*X$321+$F2336*X$324)</f>
        <v/>
      </c>
      <c r="Y2336" s="35">
        <f>$D2336*($E2336*Y$321+$F2336*Y$324)</f>
        <v/>
      </c>
      <c r="Z2336" s="35">
        <f>$D2336*($E2336*Z$321+$F2336*Z$324)</f>
        <v/>
      </c>
      <c r="AA2336" s="35">
        <f>$D2336*($E2336*AA$321+$F2336*AA$324)</f>
        <v/>
      </c>
      <c r="AB2336" s="35">
        <f>$D2336*($E2336*AB$321+$F2336*AB$324)</f>
        <v/>
      </c>
      <c r="AC2336" s="35">
        <f>$D2336*($E2336*AC$321+$F2336*AC$324)</f>
        <v/>
      </c>
      <c r="AD2336" s="35">
        <f>$D2336*($E2336*AD$321+$F2336*AD$324)</f>
        <v/>
      </c>
      <c r="AE2336" s="42">
        <f>XCARBON($D2336,$E2336,AE$321,$F2336,AE$324)</f>
        <v/>
      </c>
      <c r="AG2336" s="11">
        <f>CodePrefix&amp;$A2336&amp;IF($C2336="","","."&amp;$C2336&amp;"."&amp;$B2336)&amp;INDEX(VarEnd,MATCH($A2336,VarKey,0))&amp;AG$5</f>
        <v/>
      </c>
      <c r="AH2336" s="40">
        <f>$D2336*($E2336*AH$321+$F2336*AH$324)</f>
        <v/>
      </c>
      <c r="AI2336" s="35">
        <f>$D2336*($E2336*AI$321+$F2336*AI$324)</f>
        <v/>
      </c>
      <c r="AJ2336" s="35">
        <f>$D2336*($E2336*AJ$321+$F2336*AJ$324)</f>
        <v/>
      </c>
      <c r="AK2336" s="35">
        <f>$D2336*($E2336*AK$321+$F2336*AK$324)</f>
        <v/>
      </c>
      <c r="AL2336" s="35">
        <f>$D2336*($E2336*AL$321+$F2336*AL$324)</f>
        <v/>
      </c>
      <c r="AM2336" s="35">
        <f>$D2336*($E2336*AM$321+$F2336*AM$324)</f>
        <v/>
      </c>
      <c r="AN2336" s="35">
        <f>$D2336*($E2336*AN$321+$F2336*AN$324)</f>
        <v/>
      </c>
      <c r="AO2336" s="35">
        <f>$D2336*($E2336*AO$321+$F2336*AO$324)</f>
        <v/>
      </c>
      <c r="AP2336" s="35">
        <f>$D2336*($E2336*AP$321+$F2336*AP$324)</f>
        <v/>
      </c>
      <c r="AQ2336" s="35">
        <f>$D2336*($E2336*AQ$321+$F2336*AQ$324)</f>
        <v/>
      </c>
      <c r="AR2336" s="35">
        <f>$D2336*($E2336*AR$321+$F2336*AR$324)</f>
        <v/>
      </c>
      <c r="AS2336" s="35">
        <f>$D2336*($E2336*AS$321+$F2336*AS$324)</f>
        <v/>
      </c>
      <c r="AT2336" s="35">
        <f>$D2336*($E2336*AT$321+$F2336*AT$324)</f>
        <v/>
      </c>
      <c r="AU2336" s="35">
        <f>$D2336*($E2336*AU$321+$F2336*AU$324)</f>
        <v/>
      </c>
      <c r="AV2336" s="35">
        <f>$D2336*($E2336*AV$321+$F2336*AV$324)</f>
        <v/>
      </c>
      <c r="AW2336" s="35">
        <f>$D2336*($E2336*AW$321+$F2336*AW$324)</f>
        <v/>
      </c>
      <c r="AX2336" s="35">
        <f>$D2336*($E2336*AX$321+$F2336*AX$324)</f>
        <v/>
      </c>
      <c r="AY2336" s="35">
        <f>$D2336*($E2336*AY$321+$F2336*AY$324)</f>
        <v/>
      </c>
      <c r="AZ2336" s="35">
        <f>$D2336*($E2336*AZ$321+$F2336*AZ$324)</f>
        <v/>
      </c>
      <c r="BA2336" s="42">
        <f>XCARBON($D2336,$E2336,BA$321,$F2336,BA$324)</f>
        <v/>
      </c>
    </row>
    <row r="2337" hidden="1" outlineLevel="2"/>
    <row r="2338" hidden="1" outlineLevel="2">
      <c r="A2338" s="14" t="inlineStr">
        <is>
          <t>xcpd</t>
        </is>
      </c>
      <c r="B2338" s="14" t="inlineStr">
        <is>
          <t>coa</t>
        </is>
      </c>
      <c r="C2338" s="14" t="inlineStr">
        <is>
          <t>mac</t>
        </is>
      </c>
      <c r="D2338" s="35">
        <f>INDEX(Inputs!$W$5:$W$132,MATCH($B2338&amp;"|"&amp;$C2338,Inputs!$A$5:$A$132,0))</f>
        <v/>
      </c>
      <c r="E2338" s="35">
        <f>INDEX(Inputs!$Z$5:$Z$132,MATCH($B2338&amp;"|"&amp;$C2338,Inputs!$A$5:$A$132,0))</f>
        <v/>
      </c>
      <c r="F2338" s="35">
        <f>INDEX(Inputs!$AA$5:$AA$132,MATCH($B2338&amp;"|"&amp;$C2338,Inputs!$A$5:$A$132,0))</f>
        <v/>
      </c>
      <c r="G2338" s="39" t="n"/>
      <c r="H2338" s="14">
        <f>INDEX(VarLab,MATCH($A2338,VarKey,0))&amp;INDEX(MemLab,MATCH($C2338&amp;"|"&amp;$B2338,MemKey,0))</f>
        <v/>
      </c>
      <c r="I2338" s="14">
        <f>INDEX(VarUnit,MATCH($A2338,VarKey,0))</f>
        <v/>
      </c>
      <c r="J2338" s="14">
        <f>INDEX(VarSrc,MATCH($A2338,VarKey,0))</f>
        <v/>
      </c>
      <c r="K2338" s="11">
        <f>CodePrefix&amp;$A2338&amp;IF($C2338="","","."&amp;$C2338&amp;"."&amp;$B2338)&amp;INDEX(VarEnd,MATCH($A2338,VarKey,0))&amp;K$5</f>
        <v/>
      </c>
      <c r="L2338" s="40">
        <f>$D2338*($E2338*(L$321-L$322)+$F2338*(L$324-L$325))</f>
        <v/>
      </c>
      <c r="M2338" s="35">
        <f>$D2338*($E2338*(M$321-M$322)+$F2338*(M$324-M$325))</f>
        <v/>
      </c>
      <c r="N2338" s="35">
        <f>$D2338*($E2338*(N$321-N$322)+$F2338*(N$324-N$325))</f>
        <v/>
      </c>
      <c r="O2338" s="35">
        <f>$D2338*($E2338*(O$321-O$322)+$F2338*(O$324-O$325))</f>
        <v/>
      </c>
      <c r="P2338" s="35">
        <f>$D2338*($E2338*(P$321-P$322)+$F2338*(P$324-P$325))</f>
        <v/>
      </c>
      <c r="Q2338" s="35">
        <f>$D2338*($E2338*(Q$321-Q$322)+$F2338*(Q$324-Q$325))</f>
        <v/>
      </c>
      <c r="R2338" s="35">
        <f>$D2338*($E2338*(R$321-R$322)+$F2338*(R$324-R$325))</f>
        <v/>
      </c>
      <c r="S2338" s="35">
        <f>$D2338*($E2338*(S$321-S$322)+$F2338*(S$324-S$325))</f>
        <v/>
      </c>
      <c r="T2338" s="35">
        <f>$D2338*($E2338*(T$321-T$322)+$F2338*(T$324-T$325))</f>
        <v/>
      </c>
      <c r="U2338" s="35">
        <f>$D2338*($E2338*(U$321-U$322)+$F2338*(U$324-U$325))</f>
        <v/>
      </c>
      <c r="V2338" s="35">
        <f>$D2338*($E2338*(V$321-V$322)+$F2338*(V$324-V$325))</f>
        <v/>
      </c>
      <c r="W2338" s="35">
        <f>$D2338*($E2338*(W$321-W$322)+$F2338*(W$324-W$325))</f>
        <v/>
      </c>
      <c r="X2338" s="35">
        <f>$D2338*($E2338*(X$321-X$322)+$F2338*(X$324-X$325))</f>
        <v/>
      </c>
      <c r="Y2338" s="35">
        <f>$D2338*($E2338*(Y$321-Y$322)+$F2338*(Y$324-Y$325))</f>
        <v/>
      </c>
      <c r="Z2338" s="35">
        <f>$D2338*($E2338*(Z$321-Z$322)+$F2338*(Z$324-Z$325))</f>
        <v/>
      </c>
      <c r="AA2338" s="35">
        <f>$D2338*($E2338*(AA$321-AA$322)+$F2338*(AA$324-AA$325))</f>
        <v/>
      </c>
      <c r="AB2338" s="35">
        <f>$D2338*($E2338*(AB$321-AB$322)+$F2338*(AB$324-AB$325))</f>
        <v/>
      </c>
      <c r="AC2338" s="35">
        <f>$D2338*($E2338*(AC$321-AC$322)+$F2338*(AC$324-AC$325))</f>
        <v/>
      </c>
      <c r="AD2338" s="35">
        <f>$D2338*($E2338*(AD$321-AD$322)+$F2338*(AD$324-AD$325))</f>
        <v/>
      </c>
      <c r="AE2338" s="42">
        <f>XCARBON($D2338,$E2338,(AE$321-AE$322),$F2338,(AE$324-AE$325))</f>
        <v/>
      </c>
      <c r="AG2338" s="11">
        <f>CodePrefix&amp;$A2338&amp;IF($C2338="","","."&amp;$C2338&amp;"."&amp;$B2338)&amp;INDEX(VarEnd,MATCH($A2338,VarKey,0))&amp;AG$5</f>
        <v/>
      </c>
      <c r="AH2338" s="40">
        <f>$D2338*($E2338*(AH$321-AH$322)+$F2338*(AH$324-AH$325))</f>
        <v/>
      </c>
      <c r="AI2338" s="35">
        <f>$D2338*($E2338*(AI$321-AI$322)+$F2338*(AI$324-AI$325))</f>
        <v/>
      </c>
      <c r="AJ2338" s="35">
        <f>$D2338*($E2338*(AJ$321-AJ$322)+$F2338*(AJ$324-AJ$325))</f>
        <v/>
      </c>
      <c r="AK2338" s="35">
        <f>$D2338*($E2338*(AK$321-AK$322)+$F2338*(AK$324-AK$325))</f>
        <v/>
      </c>
      <c r="AL2338" s="35">
        <f>$D2338*($E2338*(AL$321-AL$322)+$F2338*(AL$324-AL$325))</f>
        <v/>
      </c>
      <c r="AM2338" s="35">
        <f>$D2338*($E2338*(AM$321-AM$322)+$F2338*(AM$324-AM$325))</f>
        <v/>
      </c>
      <c r="AN2338" s="35">
        <f>$D2338*($E2338*(AN$321-AN$322)+$F2338*(AN$324-AN$325))</f>
        <v/>
      </c>
      <c r="AO2338" s="35">
        <f>$D2338*($E2338*(AO$321-AO$322)+$F2338*(AO$324-AO$325))</f>
        <v/>
      </c>
      <c r="AP2338" s="35">
        <f>$D2338*($E2338*(AP$321-AP$322)+$F2338*(AP$324-AP$325))</f>
        <v/>
      </c>
      <c r="AQ2338" s="35">
        <f>$D2338*($E2338*(AQ$321-AQ$322)+$F2338*(AQ$324-AQ$325))</f>
        <v/>
      </c>
      <c r="AR2338" s="35">
        <f>$D2338*($E2338*(AR$321-AR$322)+$F2338*(AR$324-AR$325))</f>
        <v/>
      </c>
      <c r="AS2338" s="35">
        <f>$D2338*($E2338*(AS$321-AS$322)+$F2338*(AS$324-AS$325))</f>
        <v/>
      </c>
      <c r="AT2338" s="35">
        <f>$D2338*($E2338*(AT$321-AT$322)+$F2338*(AT$324-AT$325))</f>
        <v/>
      </c>
      <c r="AU2338" s="35">
        <f>$D2338*($E2338*(AU$321-AU$322)+$F2338*(AU$324-AU$325))</f>
        <v/>
      </c>
      <c r="AV2338" s="35">
        <f>$D2338*($E2338*(AV$321-AV$322)+$F2338*(AV$324-AV$325))</f>
        <v/>
      </c>
      <c r="AW2338" s="35">
        <f>$D2338*($E2338*(AW$321-AW$322)+$F2338*(AW$324-AW$325))</f>
        <v/>
      </c>
      <c r="AX2338" s="35">
        <f>$D2338*($E2338*(AX$321-AX$322)+$F2338*(AX$324-AX$325))</f>
        <v/>
      </c>
      <c r="AY2338" s="35">
        <f>$D2338*($E2338*(AY$321-AY$322)+$F2338*(AY$324-AY$325))</f>
        <v/>
      </c>
      <c r="AZ2338" s="35">
        <f>$D2338*($E2338*(AZ$321-AZ$322)+$F2338*(AZ$324-AZ$325))</f>
        <v/>
      </c>
      <c r="BA2338" s="42">
        <f>XCARBON($D2338,$E2338,(BA$321-BA$322),$F2338,(BA$324-BA$325))</f>
        <v/>
      </c>
    </row>
    <row r="2339" hidden="1" outlineLevel="2">
      <c r="A2339" s="14" t="inlineStr">
        <is>
          <t>xcpd</t>
        </is>
      </c>
      <c r="B2339" s="14" t="inlineStr">
        <is>
          <t>nga</t>
        </is>
      </c>
      <c r="C2339" s="14" t="inlineStr">
        <is>
          <t>mac</t>
        </is>
      </c>
      <c r="D2339" s="35">
        <f>INDEX(Inputs!$W$5:$W$132,MATCH($B2339&amp;"|"&amp;$C2339,Inputs!$A$5:$A$132,0))</f>
        <v/>
      </c>
      <c r="E2339" s="35">
        <f>INDEX(Inputs!$Z$5:$Z$132,MATCH($B2339&amp;"|"&amp;$C2339,Inputs!$A$5:$A$132,0))</f>
        <v/>
      </c>
      <c r="F2339" s="35">
        <f>INDEX(Inputs!$AA$5:$AA$132,MATCH($B2339&amp;"|"&amp;$C2339,Inputs!$A$5:$A$132,0))</f>
        <v/>
      </c>
      <c r="G2339" s="39" t="n"/>
      <c r="H2339" s="14">
        <f>INDEX(VarLab,MATCH($A2339,VarKey,0))&amp;INDEX(MemLab,MATCH($C2339&amp;"|"&amp;$B2339,MemKey,0))</f>
        <v/>
      </c>
      <c r="I2339" s="14">
        <f>INDEX(VarUnit,MATCH($A2339,VarKey,0))</f>
        <v/>
      </c>
      <c r="J2339" s="14">
        <f>INDEX(VarSrc,MATCH($A2339,VarKey,0))</f>
        <v/>
      </c>
      <c r="K2339" s="11">
        <f>CodePrefix&amp;$A2339&amp;IF($C2339="","","."&amp;$C2339&amp;"."&amp;$B2339)&amp;INDEX(VarEnd,MATCH($A2339,VarKey,0))&amp;K$5</f>
        <v/>
      </c>
      <c r="L2339" s="40">
        <f>$D2339*($E2339*(L$321-L$322)+$F2339*(L$324-L$325))</f>
        <v/>
      </c>
      <c r="M2339" s="35">
        <f>$D2339*($E2339*(M$321-M$322)+$F2339*(M$324-M$325))</f>
        <v/>
      </c>
      <c r="N2339" s="35">
        <f>$D2339*($E2339*(N$321-N$322)+$F2339*(N$324-N$325))</f>
        <v/>
      </c>
      <c r="O2339" s="35">
        <f>$D2339*($E2339*(O$321-O$322)+$F2339*(O$324-O$325))</f>
        <v/>
      </c>
      <c r="P2339" s="35">
        <f>$D2339*($E2339*(P$321-P$322)+$F2339*(P$324-P$325))</f>
        <v/>
      </c>
      <c r="Q2339" s="35">
        <f>$D2339*($E2339*(Q$321-Q$322)+$F2339*(Q$324-Q$325))</f>
        <v/>
      </c>
      <c r="R2339" s="35">
        <f>$D2339*($E2339*(R$321-R$322)+$F2339*(R$324-R$325))</f>
        <v/>
      </c>
      <c r="S2339" s="35">
        <f>$D2339*($E2339*(S$321-S$322)+$F2339*(S$324-S$325))</f>
        <v/>
      </c>
      <c r="T2339" s="35">
        <f>$D2339*($E2339*(T$321-T$322)+$F2339*(T$324-T$325))</f>
        <v/>
      </c>
      <c r="U2339" s="35">
        <f>$D2339*($E2339*(U$321-U$322)+$F2339*(U$324-U$325))</f>
        <v/>
      </c>
      <c r="V2339" s="35">
        <f>$D2339*($E2339*(V$321-V$322)+$F2339*(V$324-V$325))</f>
        <v/>
      </c>
      <c r="W2339" s="35">
        <f>$D2339*($E2339*(W$321-W$322)+$F2339*(W$324-W$325))</f>
        <v/>
      </c>
      <c r="X2339" s="35">
        <f>$D2339*($E2339*(X$321-X$322)+$F2339*(X$324-X$325))</f>
        <v/>
      </c>
      <c r="Y2339" s="35">
        <f>$D2339*($E2339*(Y$321-Y$322)+$F2339*(Y$324-Y$325))</f>
        <v/>
      </c>
      <c r="Z2339" s="35">
        <f>$D2339*($E2339*(Z$321-Z$322)+$F2339*(Z$324-Z$325))</f>
        <v/>
      </c>
      <c r="AA2339" s="35">
        <f>$D2339*($E2339*(AA$321-AA$322)+$F2339*(AA$324-AA$325))</f>
        <v/>
      </c>
      <c r="AB2339" s="35">
        <f>$D2339*($E2339*(AB$321-AB$322)+$F2339*(AB$324-AB$325))</f>
        <v/>
      </c>
      <c r="AC2339" s="35">
        <f>$D2339*($E2339*(AC$321-AC$322)+$F2339*(AC$324-AC$325))</f>
        <v/>
      </c>
      <c r="AD2339" s="35">
        <f>$D2339*($E2339*(AD$321-AD$322)+$F2339*(AD$324-AD$325))</f>
        <v/>
      </c>
      <c r="AE2339" s="42">
        <f>XCARBON($D2339,$E2339,(AE$321-AE$322),$F2339,(AE$324-AE$325))</f>
        <v/>
      </c>
      <c r="AG2339" s="11">
        <f>CodePrefix&amp;$A2339&amp;IF($C2339="","","."&amp;$C2339&amp;"."&amp;$B2339)&amp;INDEX(VarEnd,MATCH($A2339,VarKey,0))&amp;AG$5</f>
        <v/>
      </c>
      <c r="AH2339" s="40">
        <f>$D2339*($E2339*(AH$321-AH$322)+$F2339*(AH$324-AH$325))</f>
        <v/>
      </c>
      <c r="AI2339" s="35">
        <f>$D2339*($E2339*(AI$321-AI$322)+$F2339*(AI$324-AI$325))</f>
        <v/>
      </c>
      <c r="AJ2339" s="35">
        <f>$D2339*($E2339*(AJ$321-AJ$322)+$F2339*(AJ$324-AJ$325))</f>
        <v/>
      </c>
      <c r="AK2339" s="35">
        <f>$D2339*($E2339*(AK$321-AK$322)+$F2339*(AK$324-AK$325))</f>
        <v/>
      </c>
      <c r="AL2339" s="35">
        <f>$D2339*($E2339*(AL$321-AL$322)+$F2339*(AL$324-AL$325))</f>
        <v/>
      </c>
      <c r="AM2339" s="35">
        <f>$D2339*($E2339*(AM$321-AM$322)+$F2339*(AM$324-AM$325))</f>
        <v/>
      </c>
      <c r="AN2339" s="35">
        <f>$D2339*($E2339*(AN$321-AN$322)+$F2339*(AN$324-AN$325))</f>
        <v/>
      </c>
      <c r="AO2339" s="35">
        <f>$D2339*($E2339*(AO$321-AO$322)+$F2339*(AO$324-AO$325))</f>
        <v/>
      </c>
      <c r="AP2339" s="35">
        <f>$D2339*($E2339*(AP$321-AP$322)+$F2339*(AP$324-AP$325))</f>
        <v/>
      </c>
      <c r="AQ2339" s="35">
        <f>$D2339*($E2339*(AQ$321-AQ$322)+$F2339*(AQ$324-AQ$325))</f>
        <v/>
      </c>
      <c r="AR2339" s="35">
        <f>$D2339*($E2339*(AR$321-AR$322)+$F2339*(AR$324-AR$325))</f>
        <v/>
      </c>
      <c r="AS2339" s="35">
        <f>$D2339*($E2339*(AS$321-AS$322)+$F2339*(AS$324-AS$325))</f>
        <v/>
      </c>
      <c r="AT2339" s="35">
        <f>$D2339*($E2339*(AT$321-AT$322)+$F2339*(AT$324-AT$325))</f>
        <v/>
      </c>
      <c r="AU2339" s="35">
        <f>$D2339*($E2339*(AU$321-AU$322)+$F2339*(AU$324-AU$325))</f>
        <v/>
      </c>
      <c r="AV2339" s="35">
        <f>$D2339*($E2339*(AV$321-AV$322)+$F2339*(AV$324-AV$325))</f>
        <v/>
      </c>
      <c r="AW2339" s="35">
        <f>$D2339*($E2339*(AW$321-AW$322)+$F2339*(AW$324-AW$325))</f>
        <v/>
      </c>
      <c r="AX2339" s="35">
        <f>$D2339*($E2339*(AX$321-AX$322)+$F2339*(AX$324-AX$325))</f>
        <v/>
      </c>
      <c r="AY2339" s="35">
        <f>$D2339*($E2339*(AY$321-AY$322)+$F2339*(AY$324-AY$325))</f>
        <v/>
      </c>
      <c r="AZ2339" s="35">
        <f>$D2339*($E2339*(AZ$321-AZ$322)+$F2339*(AZ$324-AZ$325))</f>
        <v/>
      </c>
      <c r="BA2339" s="42">
        <f>XCARBON($D2339,$E2339,(BA$321-BA$322),$F2339,(BA$324-BA$325))</f>
        <v/>
      </c>
    </row>
    <row r="2340" hidden="1" outlineLevel="2">
      <c r="A2340" s="14" t="inlineStr">
        <is>
          <t>xcpd</t>
        </is>
      </c>
      <c r="B2340" s="14" t="inlineStr">
        <is>
          <t>gso</t>
        </is>
      </c>
      <c r="C2340" s="14" t="inlineStr">
        <is>
          <t>mac</t>
        </is>
      </c>
      <c r="D2340" s="35">
        <f>INDEX(Inputs!$W$5:$W$132,MATCH($B2340&amp;"|"&amp;$C2340,Inputs!$A$5:$A$132,0))</f>
        <v/>
      </c>
      <c r="E2340" s="35">
        <f>INDEX(Inputs!$Z$5:$Z$132,MATCH($B2340&amp;"|"&amp;$C2340,Inputs!$A$5:$A$132,0))</f>
        <v/>
      </c>
      <c r="F2340" s="35">
        <f>INDEX(Inputs!$AA$5:$AA$132,MATCH($B2340&amp;"|"&amp;$C2340,Inputs!$A$5:$A$132,0))</f>
        <v/>
      </c>
      <c r="G2340" s="39" t="n"/>
      <c r="H2340" s="14">
        <f>INDEX(VarLab,MATCH($A2340,VarKey,0))&amp;INDEX(MemLab,MATCH($C2340&amp;"|"&amp;$B2340,MemKey,0))</f>
        <v/>
      </c>
      <c r="I2340" s="14">
        <f>INDEX(VarUnit,MATCH($A2340,VarKey,0))</f>
        <v/>
      </c>
      <c r="J2340" s="14">
        <f>INDEX(VarSrc,MATCH($A2340,VarKey,0))</f>
        <v/>
      </c>
      <c r="K2340" s="11">
        <f>CodePrefix&amp;$A2340&amp;IF($C2340="","","."&amp;$C2340&amp;"."&amp;$B2340)&amp;INDEX(VarEnd,MATCH($A2340,VarKey,0))&amp;K$5</f>
        <v/>
      </c>
      <c r="L2340" s="40">
        <f>$D2340*($E2340*(L$321-L$322)+$F2340*(L$324-L$325))</f>
        <v/>
      </c>
      <c r="M2340" s="35">
        <f>$D2340*($E2340*(M$321-M$322)+$F2340*(M$324-M$325))</f>
        <v/>
      </c>
      <c r="N2340" s="35">
        <f>$D2340*($E2340*(N$321-N$322)+$F2340*(N$324-N$325))</f>
        <v/>
      </c>
      <c r="O2340" s="35">
        <f>$D2340*($E2340*(O$321-O$322)+$F2340*(O$324-O$325))</f>
        <v/>
      </c>
      <c r="P2340" s="35">
        <f>$D2340*($E2340*(P$321-P$322)+$F2340*(P$324-P$325))</f>
        <v/>
      </c>
      <c r="Q2340" s="35">
        <f>$D2340*($E2340*(Q$321-Q$322)+$F2340*(Q$324-Q$325))</f>
        <v/>
      </c>
      <c r="R2340" s="35">
        <f>$D2340*($E2340*(R$321-R$322)+$F2340*(R$324-R$325))</f>
        <v/>
      </c>
      <c r="S2340" s="35">
        <f>$D2340*($E2340*(S$321-S$322)+$F2340*(S$324-S$325))</f>
        <v/>
      </c>
      <c r="T2340" s="35">
        <f>$D2340*($E2340*(T$321-T$322)+$F2340*(T$324-T$325))</f>
        <v/>
      </c>
      <c r="U2340" s="35">
        <f>$D2340*($E2340*(U$321-U$322)+$F2340*(U$324-U$325))</f>
        <v/>
      </c>
      <c r="V2340" s="35">
        <f>$D2340*($E2340*(V$321-V$322)+$F2340*(V$324-V$325))</f>
        <v/>
      </c>
      <c r="W2340" s="35">
        <f>$D2340*($E2340*(W$321-W$322)+$F2340*(W$324-W$325))</f>
        <v/>
      </c>
      <c r="X2340" s="35">
        <f>$D2340*($E2340*(X$321-X$322)+$F2340*(X$324-X$325))</f>
        <v/>
      </c>
      <c r="Y2340" s="35">
        <f>$D2340*($E2340*(Y$321-Y$322)+$F2340*(Y$324-Y$325))</f>
        <v/>
      </c>
      <c r="Z2340" s="35">
        <f>$D2340*($E2340*(Z$321-Z$322)+$F2340*(Z$324-Z$325))</f>
        <v/>
      </c>
      <c r="AA2340" s="35">
        <f>$D2340*($E2340*(AA$321-AA$322)+$F2340*(AA$324-AA$325))</f>
        <v/>
      </c>
      <c r="AB2340" s="35">
        <f>$D2340*($E2340*(AB$321-AB$322)+$F2340*(AB$324-AB$325))</f>
        <v/>
      </c>
      <c r="AC2340" s="35">
        <f>$D2340*($E2340*(AC$321-AC$322)+$F2340*(AC$324-AC$325))</f>
        <v/>
      </c>
      <c r="AD2340" s="35">
        <f>$D2340*($E2340*(AD$321-AD$322)+$F2340*(AD$324-AD$325))</f>
        <v/>
      </c>
      <c r="AE2340" s="42">
        <f>XCARBON($D2340,$E2340,(AE$321-AE$322),$F2340,(AE$324-AE$325))</f>
        <v/>
      </c>
      <c r="AG2340" s="11">
        <f>CodePrefix&amp;$A2340&amp;IF($C2340="","","."&amp;$C2340&amp;"."&amp;$B2340)&amp;INDEX(VarEnd,MATCH($A2340,VarKey,0))&amp;AG$5</f>
        <v/>
      </c>
      <c r="AH2340" s="40">
        <f>$D2340*($E2340*(AH$321-AH$322)+$F2340*(AH$324-AH$325))</f>
        <v/>
      </c>
      <c r="AI2340" s="35">
        <f>$D2340*($E2340*(AI$321-AI$322)+$F2340*(AI$324-AI$325))</f>
        <v/>
      </c>
      <c r="AJ2340" s="35">
        <f>$D2340*($E2340*(AJ$321-AJ$322)+$F2340*(AJ$324-AJ$325))</f>
        <v/>
      </c>
      <c r="AK2340" s="35">
        <f>$D2340*($E2340*(AK$321-AK$322)+$F2340*(AK$324-AK$325))</f>
        <v/>
      </c>
      <c r="AL2340" s="35">
        <f>$D2340*($E2340*(AL$321-AL$322)+$F2340*(AL$324-AL$325))</f>
        <v/>
      </c>
      <c r="AM2340" s="35">
        <f>$D2340*($E2340*(AM$321-AM$322)+$F2340*(AM$324-AM$325))</f>
        <v/>
      </c>
      <c r="AN2340" s="35">
        <f>$D2340*($E2340*(AN$321-AN$322)+$F2340*(AN$324-AN$325))</f>
        <v/>
      </c>
      <c r="AO2340" s="35">
        <f>$D2340*($E2340*(AO$321-AO$322)+$F2340*(AO$324-AO$325))</f>
        <v/>
      </c>
      <c r="AP2340" s="35">
        <f>$D2340*($E2340*(AP$321-AP$322)+$F2340*(AP$324-AP$325))</f>
        <v/>
      </c>
      <c r="AQ2340" s="35">
        <f>$D2340*($E2340*(AQ$321-AQ$322)+$F2340*(AQ$324-AQ$325))</f>
        <v/>
      </c>
      <c r="AR2340" s="35">
        <f>$D2340*($E2340*(AR$321-AR$322)+$F2340*(AR$324-AR$325))</f>
        <v/>
      </c>
      <c r="AS2340" s="35">
        <f>$D2340*($E2340*(AS$321-AS$322)+$F2340*(AS$324-AS$325))</f>
        <v/>
      </c>
      <c r="AT2340" s="35">
        <f>$D2340*($E2340*(AT$321-AT$322)+$F2340*(AT$324-AT$325))</f>
        <v/>
      </c>
      <c r="AU2340" s="35">
        <f>$D2340*($E2340*(AU$321-AU$322)+$F2340*(AU$324-AU$325))</f>
        <v/>
      </c>
      <c r="AV2340" s="35">
        <f>$D2340*($E2340*(AV$321-AV$322)+$F2340*(AV$324-AV$325))</f>
        <v/>
      </c>
      <c r="AW2340" s="35">
        <f>$D2340*($E2340*(AW$321-AW$322)+$F2340*(AW$324-AW$325))</f>
        <v/>
      </c>
      <c r="AX2340" s="35">
        <f>$D2340*($E2340*(AX$321-AX$322)+$F2340*(AX$324-AX$325))</f>
        <v/>
      </c>
      <c r="AY2340" s="35">
        <f>$D2340*($E2340*(AY$321-AY$322)+$F2340*(AY$324-AY$325))</f>
        <v/>
      </c>
      <c r="AZ2340" s="35">
        <f>$D2340*($E2340*(AZ$321-AZ$322)+$F2340*(AZ$324-AZ$325))</f>
        <v/>
      </c>
      <c r="BA2340" s="42">
        <f>XCARBON($D2340,$E2340,(BA$321-BA$322),$F2340,(BA$324-BA$325))</f>
        <v/>
      </c>
    </row>
    <row r="2341" hidden="1" outlineLevel="2">
      <c r="A2341" s="14" t="inlineStr">
        <is>
          <t>xcpd</t>
        </is>
      </c>
      <c r="B2341" s="14" t="inlineStr">
        <is>
          <t>die</t>
        </is>
      </c>
      <c r="C2341" s="14" t="inlineStr">
        <is>
          <t>mac</t>
        </is>
      </c>
      <c r="D2341" s="35">
        <f>INDEX(Inputs!$W$5:$W$132,MATCH($B2341&amp;"|"&amp;$C2341,Inputs!$A$5:$A$132,0))</f>
        <v/>
      </c>
      <c r="E2341" s="35">
        <f>INDEX(Inputs!$Z$5:$Z$132,MATCH($B2341&amp;"|"&amp;$C2341,Inputs!$A$5:$A$132,0))</f>
        <v/>
      </c>
      <c r="F2341" s="35">
        <f>INDEX(Inputs!$AA$5:$AA$132,MATCH($B2341&amp;"|"&amp;$C2341,Inputs!$A$5:$A$132,0))</f>
        <v/>
      </c>
      <c r="G2341" s="39" t="n"/>
      <c r="H2341" s="14">
        <f>INDEX(VarLab,MATCH($A2341,VarKey,0))&amp;INDEX(MemLab,MATCH($C2341&amp;"|"&amp;$B2341,MemKey,0))</f>
        <v/>
      </c>
      <c r="I2341" s="14">
        <f>INDEX(VarUnit,MATCH($A2341,VarKey,0))</f>
        <v/>
      </c>
      <c r="J2341" s="14">
        <f>INDEX(VarSrc,MATCH($A2341,VarKey,0))</f>
        <v/>
      </c>
      <c r="K2341" s="11">
        <f>CodePrefix&amp;$A2341&amp;IF($C2341="","","."&amp;$C2341&amp;"."&amp;$B2341)&amp;INDEX(VarEnd,MATCH($A2341,VarKey,0))&amp;K$5</f>
        <v/>
      </c>
      <c r="L2341" s="40">
        <f>$D2341*($E2341*(L$321-L$322)+$F2341*(L$324-L$325))</f>
        <v/>
      </c>
      <c r="M2341" s="35">
        <f>$D2341*($E2341*(M$321-M$322)+$F2341*(M$324-M$325))</f>
        <v/>
      </c>
      <c r="N2341" s="35">
        <f>$D2341*($E2341*(N$321-N$322)+$F2341*(N$324-N$325))</f>
        <v/>
      </c>
      <c r="O2341" s="35">
        <f>$D2341*($E2341*(O$321-O$322)+$F2341*(O$324-O$325))</f>
        <v/>
      </c>
      <c r="P2341" s="35">
        <f>$D2341*($E2341*(P$321-P$322)+$F2341*(P$324-P$325))</f>
        <v/>
      </c>
      <c r="Q2341" s="35">
        <f>$D2341*($E2341*(Q$321-Q$322)+$F2341*(Q$324-Q$325))</f>
        <v/>
      </c>
      <c r="R2341" s="35">
        <f>$D2341*($E2341*(R$321-R$322)+$F2341*(R$324-R$325))</f>
        <v/>
      </c>
      <c r="S2341" s="35">
        <f>$D2341*($E2341*(S$321-S$322)+$F2341*(S$324-S$325))</f>
        <v/>
      </c>
      <c r="T2341" s="35">
        <f>$D2341*($E2341*(T$321-T$322)+$F2341*(T$324-T$325))</f>
        <v/>
      </c>
      <c r="U2341" s="35">
        <f>$D2341*($E2341*(U$321-U$322)+$F2341*(U$324-U$325))</f>
        <v/>
      </c>
      <c r="V2341" s="35">
        <f>$D2341*($E2341*(V$321-V$322)+$F2341*(V$324-V$325))</f>
        <v/>
      </c>
      <c r="W2341" s="35">
        <f>$D2341*($E2341*(W$321-W$322)+$F2341*(W$324-W$325))</f>
        <v/>
      </c>
      <c r="X2341" s="35">
        <f>$D2341*($E2341*(X$321-X$322)+$F2341*(X$324-X$325))</f>
        <v/>
      </c>
      <c r="Y2341" s="35">
        <f>$D2341*($E2341*(Y$321-Y$322)+$F2341*(Y$324-Y$325))</f>
        <v/>
      </c>
      <c r="Z2341" s="35">
        <f>$D2341*($E2341*(Z$321-Z$322)+$F2341*(Z$324-Z$325))</f>
        <v/>
      </c>
      <c r="AA2341" s="35">
        <f>$D2341*($E2341*(AA$321-AA$322)+$F2341*(AA$324-AA$325))</f>
        <v/>
      </c>
      <c r="AB2341" s="35">
        <f>$D2341*($E2341*(AB$321-AB$322)+$F2341*(AB$324-AB$325))</f>
        <v/>
      </c>
      <c r="AC2341" s="35">
        <f>$D2341*($E2341*(AC$321-AC$322)+$F2341*(AC$324-AC$325))</f>
        <v/>
      </c>
      <c r="AD2341" s="35">
        <f>$D2341*($E2341*(AD$321-AD$322)+$F2341*(AD$324-AD$325))</f>
        <v/>
      </c>
      <c r="AE2341" s="42">
        <f>XCARBON($D2341,$E2341,(AE$321-AE$322),$F2341,(AE$324-AE$325))</f>
        <v/>
      </c>
      <c r="AG2341" s="11">
        <f>CodePrefix&amp;$A2341&amp;IF($C2341="","","."&amp;$C2341&amp;"."&amp;$B2341)&amp;INDEX(VarEnd,MATCH($A2341,VarKey,0))&amp;AG$5</f>
        <v/>
      </c>
      <c r="AH2341" s="40">
        <f>$D2341*($E2341*(AH$321-AH$322)+$F2341*(AH$324-AH$325))</f>
        <v/>
      </c>
      <c r="AI2341" s="35">
        <f>$D2341*($E2341*(AI$321-AI$322)+$F2341*(AI$324-AI$325))</f>
        <v/>
      </c>
      <c r="AJ2341" s="35">
        <f>$D2341*($E2341*(AJ$321-AJ$322)+$F2341*(AJ$324-AJ$325))</f>
        <v/>
      </c>
      <c r="AK2341" s="35">
        <f>$D2341*($E2341*(AK$321-AK$322)+$F2341*(AK$324-AK$325))</f>
        <v/>
      </c>
      <c r="AL2341" s="35">
        <f>$D2341*($E2341*(AL$321-AL$322)+$F2341*(AL$324-AL$325))</f>
        <v/>
      </c>
      <c r="AM2341" s="35">
        <f>$D2341*($E2341*(AM$321-AM$322)+$F2341*(AM$324-AM$325))</f>
        <v/>
      </c>
      <c r="AN2341" s="35">
        <f>$D2341*($E2341*(AN$321-AN$322)+$F2341*(AN$324-AN$325))</f>
        <v/>
      </c>
      <c r="AO2341" s="35">
        <f>$D2341*($E2341*(AO$321-AO$322)+$F2341*(AO$324-AO$325))</f>
        <v/>
      </c>
      <c r="AP2341" s="35">
        <f>$D2341*($E2341*(AP$321-AP$322)+$F2341*(AP$324-AP$325))</f>
        <v/>
      </c>
      <c r="AQ2341" s="35">
        <f>$D2341*($E2341*(AQ$321-AQ$322)+$F2341*(AQ$324-AQ$325))</f>
        <v/>
      </c>
      <c r="AR2341" s="35">
        <f>$D2341*($E2341*(AR$321-AR$322)+$F2341*(AR$324-AR$325))</f>
        <v/>
      </c>
      <c r="AS2341" s="35">
        <f>$D2341*($E2341*(AS$321-AS$322)+$F2341*(AS$324-AS$325))</f>
        <v/>
      </c>
      <c r="AT2341" s="35">
        <f>$D2341*($E2341*(AT$321-AT$322)+$F2341*(AT$324-AT$325))</f>
        <v/>
      </c>
      <c r="AU2341" s="35">
        <f>$D2341*($E2341*(AU$321-AU$322)+$F2341*(AU$324-AU$325))</f>
        <v/>
      </c>
      <c r="AV2341" s="35">
        <f>$D2341*($E2341*(AV$321-AV$322)+$F2341*(AV$324-AV$325))</f>
        <v/>
      </c>
      <c r="AW2341" s="35">
        <f>$D2341*($E2341*(AW$321-AW$322)+$F2341*(AW$324-AW$325))</f>
        <v/>
      </c>
      <c r="AX2341" s="35">
        <f>$D2341*($E2341*(AX$321-AX$322)+$F2341*(AX$324-AX$325))</f>
        <v/>
      </c>
      <c r="AY2341" s="35">
        <f>$D2341*($E2341*(AY$321-AY$322)+$F2341*(AY$324-AY$325))</f>
        <v/>
      </c>
      <c r="AZ2341" s="35">
        <f>$D2341*($E2341*(AZ$321-AZ$322)+$F2341*(AZ$324-AZ$325))</f>
        <v/>
      </c>
      <c r="BA2341" s="42">
        <f>XCARBON($D2341,$E2341,(BA$321-BA$322),$F2341,(BA$324-BA$325))</f>
        <v/>
      </c>
    </row>
    <row r="2342" hidden="1" outlineLevel="2">
      <c r="A2342" s="14" t="inlineStr">
        <is>
          <t>xcpd</t>
        </is>
      </c>
      <c r="B2342" s="14" t="inlineStr">
        <is>
          <t>lpg</t>
        </is>
      </c>
      <c r="C2342" s="14" t="inlineStr">
        <is>
          <t>mac</t>
        </is>
      </c>
      <c r="D2342" s="35">
        <f>INDEX(Inputs!$W$5:$W$132,MATCH($B2342&amp;"|"&amp;$C2342,Inputs!$A$5:$A$132,0))</f>
        <v/>
      </c>
      <c r="E2342" s="35">
        <f>INDEX(Inputs!$Z$5:$Z$132,MATCH($B2342&amp;"|"&amp;$C2342,Inputs!$A$5:$A$132,0))</f>
        <v/>
      </c>
      <c r="F2342" s="35">
        <f>INDEX(Inputs!$AA$5:$AA$132,MATCH($B2342&amp;"|"&amp;$C2342,Inputs!$A$5:$A$132,0))</f>
        <v/>
      </c>
      <c r="G2342" s="39" t="n"/>
      <c r="H2342" s="14">
        <f>INDEX(VarLab,MATCH($A2342,VarKey,0))&amp;INDEX(MemLab,MATCH($C2342&amp;"|"&amp;$B2342,MemKey,0))</f>
        <v/>
      </c>
      <c r="I2342" s="14">
        <f>INDEX(VarUnit,MATCH($A2342,VarKey,0))</f>
        <v/>
      </c>
      <c r="J2342" s="14">
        <f>INDEX(VarSrc,MATCH($A2342,VarKey,0))</f>
        <v/>
      </c>
      <c r="K2342" s="11">
        <f>CodePrefix&amp;$A2342&amp;IF($C2342="","","."&amp;$C2342&amp;"."&amp;$B2342)&amp;INDEX(VarEnd,MATCH($A2342,VarKey,0))&amp;K$5</f>
        <v/>
      </c>
      <c r="L2342" s="40">
        <f>$D2342*($E2342*(L$321-L$322)+$F2342*(L$324-L$325))</f>
        <v/>
      </c>
      <c r="M2342" s="35">
        <f>$D2342*($E2342*(M$321-M$322)+$F2342*(M$324-M$325))</f>
        <v/>
      </c>
      <c r="N2342" s="35">
        <f>$D2342*($E2342*(N$321-N$322)+$F2342*(N$324-N$325))</f>
        <v/>
      </c>
      <c r="O2342" s="35">
        <f>$D2342*($E2342*(O$321-O$322)+$F2342*(O$324-O$325))</f>
        <v/>
      </c>
      <c r="P2342" s="35">
        <f>$D2342*($E2342*(P$321-P$322)+$F2342*(P$324-P$325))</f>
        <v/>
      </c>
      <c r="Q2342" s="35">
        <f>$D2342*($E2342*(Q$321-Q$322)+$F2342*(Q$324-Q$325))</f>
        <v/>
      </c>
      <c r="R2342" s="35">
        <f>$D2342*($E2342*(R$321-R$322)+$F2342*(R$324-R$325))</f>
        <v/>
      </c>
      <c r="S2342" s="35">
        <f>$D2342*($E2342*(S$321-S$322)+$F2342*(S$324-S$325))</f>
        <v/>
      </c>
      <c r="T2342" s="35">
        <f>$D2342*($E2342*(T$321-T$322)+$F2342*(T$324-T$325))</f>
        <v/>
      </c>
      <c r="U2342" s="35">
        <f>$D2342*($E2342*(U$321-U$322)+$F2342*(U$324-U$325))</f>
        <v/>
      </c>
      <c r="V2342" s="35">
        <f>$D2342*($E2342*(V$321-V$322)+$F2342*(V$324-V$325))</f>
        <v/>
      </c>
      <c r="W2342" s="35">
        <f>$D2342*($E2342*(W$321-W$322)+$F2342*(W$324-W$325))</f>
        <v/>
      </c>
      <c r="X2342" s="35">
        <f>$D2342*($E2342*(X$321-X$322)+$F2342*(X$324-X$325))</f>
        <v/>
      </c>
      <c r="Y2342" s="35">
        <f>$D2342*($E2342*(Y$321-Y$322)+$F2342*(Y$324-Y$325))</f>
        <v/>
      </c>
      <c r="Z2342" s="35">
        <f>$D2342*($E2342*(Z$321-Z$322)+$F2342*(Z$324-Z$325))</f>
        <v/>
      </c>
      <c r="AA2342" s="35">
        <f>$D2342*($E2342*(AA$321-AA$322)+$F2342*(AA$324-AA$325))</f>
        <v/>
      </c>
      <c r="AB2342" s="35">
        <f>$D2342*($E2342*(AB$321-AB$322)+$F2342*(AB$324-AB$325))</f>
        <v/>
      </c>
      <c r="AC2342" s="35">
        <f>$D2342*($E2342*(AC$321-AC$322)+$F2342*(AC$324-AC$325))</f>
        <v/>
      </c>
      <c r="AD2342" s="35">
        <f>$D2342*($E2342*(AD$321-AD$322)+$F2342*(AD$324-AD$325))</f>
        <v/>
      </c>
      <c r="AE2342" s="42">
        <f>XCARBON($D2342,$E2342,(AE$321-AE$322),$F2342,(AE$324-AE$325))</f>
        <v/>
      </c>
      <c r="AG2342" s="11">
        <f>CodePrefix&amp;$A2342&amp;IF($C2342="","","."&amp;$C2342&amp;"."&amp;$B2342)&amp;INDEX(VarEnd,MATCH($A2342,VarKey,0))&amp;AG$5</f>
        <v/>
      </c>
      <c r="AH2342" s="40">
        <f>$D2342*($E2342*(AH$321-AH$322)+$F2342*(AH$324-AH$325))</f>
        <v/>
      </c>
      <c r="AI2342" s="35">
        <f>$D2342*($E2342*(AI$321-AI$322)+$F2342*(AI$324-AI$325))</f>
        <v/>
      </c>
      <c r="AJ2342" s="35">
        <f>$D2342*($E2342*(AJ$321-AJ$322)+$F2342*(AJ$324-AJ$325))</f>
        <v/>
      </c>
      <c r="AK2342" s="35">
        <f>$D2342*($E2342*(AK$321-AK$322)+$F2342*(AK$324-AK$325))</f>
        <v/>
      </c>
      <c r="AL2342" s="35">
        <f>$D2342*($E2342*(AL$321-AL$322)+$F2342*(AL$324-AL$325))</f>
        <v/>
      </c>
      <c r="AM2342" s="35">
        <f>$D2342*($E2342*(AM$321-AM$322)+$F2342*(AM$324-AM$325))</f>
        <v/>
      </c>
      <c r="AN2342" s="35">
        <f>$D2342*($E2342*(AN$321-AN$322)+$F2342*(AN$324-AN$325))</f>
        <v/>
      </c>
      <c r="AO2342" s="35">
        <f>$D2342*($E2342*(AO$321-AO$322)+$F2342*(AO$324-AO$325))</f>
        <v/>
      </c>
      <c r="AP2342" s="35">
        <f>$D2342*($E2342*(AP$321-AP$322)+$F2342*(AP$324-AP$325))</f>
        <v/>
      </c>
      <c r="AQ2342" s="35">
        <f>$D2342*($E2342*(AQ$321-AQ$322)+$F2342*(AQ$324-AQ$325))</f>
        <v/>
      </c>
      <c r="AR2342" s="35">
        <f>$D2342*($E2342*(AR$321-AR$322)+$F2342*(AR$324-AR$325))</f>
        <v/>
      </c>
      <c r="AS2342" s="35">
        <f>$D2342*($E2342*(AS$321-AS$322)+$F2342*(AS$324-AS$325))</f>
        <v/>
      </c>
      <c r="AT2342" s="35">
        <f>$D2342*($E2342*(AT$321-AT$322)+$F2342*(AT$324-AT$325))</f>
        <v/>
      </c>
      <c r="AU2342" s="35">
        <f>$D2342*($E2342*(AU$321-AU$322)+$F2342*(AU$324-AU$325))</f>
        <v/>
      </c>
      <c r="AV2342" s="35">
        <f>$D2342*($E2342*(AV$321-AV$322)+$F2342*(AV$324-AV$325))</f>
        <v/>
      </c>
      <c r="AW2342" s="35">
        <f>$D2342*($E2342*(AW$321-AW$322)+$F2342*(AW$324-AW$325))</f>
        <v/>
      </c>
      <c r="AX2342" s="35">
        <f>$D2342*($E2342*(AX$321-AX$322)+$F2342*(AX$324-AX$325))</f>
        <v/>
      </c>
      <c r="AY2342" s="35">
        <f>$D2342*($E2342*(AY$321-AY$322)+$F2342*(AY$324-AY$325))</f>
        <v/>
      </c>
      <c r="AZ2342" s="35">
        <f>$D2342*($E2342*(AZ$321-AZ$322)+$F2342*(AZ$324-AZ$325))</f>
        <v/>
      </c>
      <c r="BA2342" s="42">
        <f>XCARBON($D2342,$E2342,(BA$321-BA$322),$F2342,(BA$324-BA$325))</f>
        <v/>
      </c>
    </row>
    <row r="2343" hidden="1" outlineLevel="2">
      <c r="A2343" s="14" t="inlineStr">
        <is>
          <t>xcpd</t>
        </is>
      </c>
      <c r="B2343" s="14" t="inlineStr">
        <is>
          <t>ker</t>
        </is>
      </c>
      <c r="C2343" s="14" t="inlineStr">
        <is>
          <t>mac</t>
        </is>
      </c>
      <c r="D2343" s="35">
        <f>INDEX(Inputs!$W$5:$W$132,MATCH($B2343&amp;"|"&amp;$C2343,Inputs!$A$5:$A$132,0))</f>
        <v/>
      </c>
      <c r="E2343" s="35">
        <f>INDEX(Inputs!$Z$5:$Z$132,MATCH($B2343&amp;"|"&amp;$C2343,Inputs!$A$5:$A$132,0))</f>
        <v/>
      </c>
      <c r="F2343" s="35">
        <f>INDEX(Inputs!$AA$5:$AA$132,MATCH($B2343&amp;"|"&amp;$C2343,Inputs!$A$5:$A$132,0))</f>
        <v/>
      </c>
      <c r="G2343" s="39" t="n"/>
      <c r="H2343" s="14">
        <f>INDEX(VarLab,MATCH($A2343,VarKey,0))&amp;INDEX(MemLab,MATCH($C2343&amp;"|"&amp;$B2343,MemKey,0))</f>
        <v/>
      </c>
      <c r="I2343" s="14">
        <f>INDEX(VarUnit,MATCH($A2343,VarKey,0))</f>
        <v/>
      </c>
      <c r="J2343" s="14">
        <f>INDEX(VarSrc,MATCH($A2343,VarKey,0))</f>
        <v/>
      </c>
      <c r="K2343" s="11">
        <f>CodePrefix&amp;$A2343&amp;IF($C2343="","","."&amp;$C2343&amp;"."&amp;$B2343)&amp;INDEX(VarEnd,MATCH($A2343,VarKey,0))&amp;K$5</f>
        <v/>
      </c>
      <c r="L2343" s="40">
        <f>$D2343*($E2343*(L$321-L$322)+$F2343*(L$324-L$325))</f>
        <v/>
      </c>
      <c r="M2343" s="35">
        <f>$D2343*($E2343*(M$321-M$322)+$F2343*(M$324-M$325))</f>
        <v/>
      </c>
      <c r="N2343" s="35">
        <f>$D2343*($E2343*(N$321-N$322)+$F2343*(N$324-N$325))</f>
        <v/>
      </c>
      <c r="O2343" s="35">
        <f>$D2343*($E2343*(O$321-O$322)+$F2343*(O$324-O$325))</f>
        <v/>
      </c>
      <c r="P2343" s="35">
        <f>$D2343*($E2343*(P$321-P$322)+$F2343*(P$324-P$325))</f>
        <v/>
      </c>
      <c r="Q2343" s="35">
        <f>$D2343*($E2343*(Q$321-Q$322)+$F2343*(Q$324-Q$325))</f>
        <v/>
      </c>
      <c r="R2343" s="35">
        <f>$D2343*($E2343*(R$321-R$322)+$F2343*(R$324-R$325))</f>
        <v/>
      </c>
      <c r="S2343" s="35">
        <f>$D2343*($E2343*(S$321-S$322)+$F2343*(S$324-S$325))</f>
        <v/>
      </c>
      <c r="T2343" s="35">
        <f>$D2343*($E2343*(T$321-T$322)+$F2343*(T$324-T$325))</f>
        <v/>
      </c>
      <c r="U2343" s="35">
        <f>$D2343*($E2343*(U$321-U$322)+$F2343*(U$324-U$325))</f>
        <v/>
      </c>
      <c r="V2343" s="35">
        <f>$D2343*($E2343*(V$321-V$322)+$F2343*(V$324-V$325))</f>
        <v/>
      </c>
      <c r="W2343" s="35">
        <f>$D2343*($E2343*(W$321-W$322)+$F2343*(W$324-W$325))</f>
        <v/>
      </c>
      <c r="X2343" s="35">
        <f>$D2343*($E2343*(X$321-X$322)+$F2343*(X$324-X$325))</f>
        <v/>
      </c>
      <c r="Y2343" s="35">
        <f>$D2343*($E2343*(Y$321-Y$322)+$F2343*(Y$324-Y$325))</f>
        <v/>
      </c>
      <c r="Z2343" s="35">
        <f>$D2343*($E2343*(Z$321-Z$322)+$F2343*(Z$324-Z$325))</f>
        <v/>
      </c>
      <c r="AA2343" s="35">
        <f>$D2343*($E2343*(AA$321-AA$322)+$F2343*(AA$324-AA$325))</f>
        <v/>
      </c>
      <c r="AB2343" s="35">
        <f>$D2343*($E2343*(AB$321-AB$322)+$F2343*(AB$324-AB$325))</f>
        <v/>
      </c>
      <c r="AC2343" s="35">
        <f>$D2343*($E2343*(AC$321-AC$322)+$F2343*(AC$324-AC$325))</f>
        <v/>
      </c>
      <c r="AD2343" s="35">
        <f>$D2343*($E2343*(AD$321-AD$322)+$F2343*(AD$324-AD$325))</f>
        <v/>
      </c>
      <c r="AE2343" s="42">
        <f>XCARBON($D2343,$E2343,(AE$321-AE$322),$F2343,(AE$324-AE$325))</f>
        <v/>
      </c>
      <c r="AG2343" s="11">
        <f>CodePrefix&amp;$A2343&amp;IF($C2343="","","."&amp;$C2343&amp;"."&amp;$B2343)&amp;INDEX(VarEnd,MATCH($A2343,VarKey,0))&amp;AG$5</f>
        <v/>
      </c>
      <c r="AH2343" s="40">
        <f>$D2343*($E2343*(AH$321-AH$322)+$F2343*(AH$324-AH$325))</f>
        <v/>
      </c>
      <c r="AI2343" s="35">
        <f>$D2343*($E2343*(AI$321-AI$322)+$F2343*(AI$324-AI$325))</f>
        <v/>
      </c>
      <c r="AJ2343" s="35">
        <f>$D2343*($E2343*(AJ$321-AJ$322)+$F2343*(AJ$324-AJ$325))</f>
        <v/>
      </c>
      <c r="AK2343" s="35">
        <f>$D2343*($E2343*(AK$321-AK$322)+$F2343*(AK$324-AK$325))</f>
        <v/>
      </c>
      <c r="AL2343" s="35">
        <f>$D2343*($E2343*(AL$321-AL$322)+$F2343*(AL$324-AL$325))</f>
        <v/>
      </c>
      <c r="AM2343" s="35">
        <f>$D2343*($E2343*(AM$321-AM$322)+$F2343*(AM$324-AM$325))</f>
        <v/>
      </c>
      <c r="AN2343" s="35">
        <f>$D2343*($E2343*(AN$321-AN$322)+$F2343*(AN$324-AN$325))</f>
        <v/>
      </c>
      <c r="AO2343" s="35">
        <f>$D2343*($E2343*(AO$321-AO$322)+$F2343*(AO$324-AO$325))</f>
        <v/>
      </c>
      <c r="AP2343" s="35">
        <f>$D2343*($E2343*(AP$321-AP$322)+$F2343*(AP$324-AP$325))</f>
        <v/>
      </c>
      <c r="AQ2343" s="35">
        <f>$D2343*($E2343*(AQ$321-AQ$322)+$F2343*(AQ$324-AQ$325))</f>
        <v/>
      </c>
      <c r="AR2343" s="35">
        <f>$D2343*($E2343*(AR$321-AR$322)+$F2343*(AR$324-AR$325))</f>
        <v/>
      </c>
      <c r="AS2343" s="35">
        <f>$D2343*($E2343*(AS$321-AS$322)+$F2343*(AS$324-AS$325))</f>
        <v/>
      </c>
      <c r="AT2343" s="35">
        <f>$D2343*($E2343*(AT$321-AT$322)+$F2343*(AT$324-AT$325))</f>
        <v/>
      </c>
      <c r="AU2343" s="35">
        <f>$D2343*($E2343*(AU$321-AU$322)+$F2343*(AU$324-AU$325))</f>
        <v/>
      </c>
      <c r="AV2343" s="35">
        <f>$D2343*($E2343*(AV$321-AV$322)+$F2343*(AV$324-AV$325))</f>
        <v/>
      </c>
      <c r="AW2343" s="35">
        <f>$D2343*($E2343*(AW$321-AW$322)+$F2343*(AW$324-AW$325))</f>
        <v/>
      </c>
      <c r="AX2343" s="35">
        <f>$D2343*($E2343*(AX$321-AX$322)+$F2343*(AX$324-AX$325))</f>
        <v/>
      </c>
      <c r="AY2343" s="35">
        <f>$D2343*($E2343*(AY$321-AY$322)+$F2343*(AY$324-AY$325))</f>
        <v/>
      </c>
      <c r="AZ2343" s="35">
        <f>$D2343*($E2343*(AZ$321-AZ$322)+$F2343*(AZ$324-AZ$325))</f>
        <v/>
      </c>
      <c r="BA2343" s="42">
        <f>XCARBON($D2343,$E2343,(BA$321-BA$322),$F2343,(BA$324-BA$325))</f>
        <v/>
      </c>
    </row>
    <row r="2344" hidden="1" outlineLevel="2">
      <c r="A2344" s="14" t="inlineStr">
        <is>
          <t>xcpd</t>
        </is>
      </c>
      <c r="B2344" s="14" t="inlineStr">
        <is>
          <t>oop</t>
        </is>
      </c>
      <c r="C2344" s="14" t="inlineStr">
        <is>
          <t>mac</t>
        </is>
      </c>
      <c r="D2344" s="35">
        <f>INDEX(Inputs!$W$5:$W$132,MATCH($B2344&amp;"|"&amp;$C2344,Inputs!$A$5:$A$132,0))</f>
        <v/>
      </c>
      <c r="E2344" s="35">
        <f>INDEX(Inputs!$Z$5:$Z$132,MATCH($B2344&amp;"|"&amp;$C2344,Inputs!$A$5:$A$132,0))</f>
        <v/>
      </c>
      <c r="F2344" s="35">
        <f>INDEX(Inputs!$AA$5:$AA$132,MATCH($B2344&amp;"|"&amp;$C2344,Inputs!$A$5:$A$132,0))</f>
        <v/>
      </c>
      <c r="G2344" s="39" t="n"/>
      <c r="H2344" s="14">
        <f>INDEX(VarLab,MATCH($A2344,VarKey,0))&amp;INDEX(MemLab,MATCH($C2344&amp;"|"&amp;$B2344,MemKey,0))</f>
        <v/>
      </c>
      <c r="I2344" s="14">
        <f>INDEX(VarUnit,MATCH($A2344,VarKey,0))</f>
        <v/>
      </c>
      <c r="J2344" s="14">
        <f>INDEX(VarSrc,MATCH($A2344,VarKey,0))</f>
        <v/>
      </c>
      <c r="K2344" s="11">
        <f>CodePrefix&amp;$A2344&amp;IF($C2344="","","."&amp;$C2344&amp;"."&amp;$B2344)&amp;INDEX(VarEnd,MATCH($A2344,VarKey,0))&amp;K$5</f>
        <v/>
      </c>
      <c r="L2344" s="40">
        <f>$D2344*($E2344*(L$321-L$322)+$F2344*(L$324-L$325))</f>
        <v/>
      </c>
      <c r="M2344" s="35">
        <f>$D2344*($E2344*(M$321-M$322)+$F2344*(M$324-M$325))</f>
        <v/>
      </c>
      <c r="N2344" s="35">
        <f>$D2344*($E2344*(N$321-N$322)+$F2344*(N$324-N$325))</f>
        <v/>
      </c>
      <c r="O2344" s="35">
        <f>$D2344*($E2344*(O$321-O$322)+$F2344*(O$324-O$325))</f>
        <v/>
      </c>
      <c r="P2344" s="35">
        <f>$D2344*($E2344*(P$321-P$322)+$F2344*(P$324-P$325))</f>
        <v/>
      </c>
      <c r="Q2344" s="35">
        <f>$D2344*($E2344*(Q$321-Q$322)+$F2344*(Q$324-Q$325))</f>
        <v/>
      </c>
      <c r="R2344" s="35">
        <f>$D2344*($E2344*(R$321-R$322)+$F2344*(R$324-R$325))</f>
        <v/>
      </c>
      <c r="S2344" s="35">
        <f>$D2344*($E2344*(S$321-S$322)+$F2344*(S$324-S$325))</f>
        <v/>
      </c>
      <c r="T2344" s="35">
        <f>$D2344*($E2344*(T$321-T$322)+$F2344*(T$324-T$325))</f>
        <v/>
      </c>
      <c r="U2344" s="35">
        <f>$D2344*($E2344*(U$321-U$322)+$F2344*(U$324-U$325))</f>
        <v/>
      </c>
      <c r="V2344" s="35">
        <f>$D2344*($E2344*(V$321-V$322)+$F2344*(V$324-V$325))</f>
        <v/>
      </c>
      <c r="W2344" s="35">
        <f>$D2344*($E2344*(W$321-W$322)+$F2344*(W$324-W$325))</f>
        <v/>
      </c>
      <c r="X2344" s="35">
        <f>$D2344*($E2344*(X$321-X$322)+$F2344*(X$324-X$325))</f>
        <v/>
      </c>
      <c r="Y2344" s="35">
        <f>$D2344*($E2344*(Y$321-Y$322)+$F2344*(Y$324-Y$325))</f>
        <v/>
      </c>
      <c r="Z2344" s="35">
        <f>$D2344*($E2344*(Z$321-Z$322)+$F2344*(Z$324-Z$325))</f>
        <v/>
      </c>
      <c r="AA2344" s="35">
        <f>$D2344*($E2344*(AA$321-AA$322)+$F2344*(AA$324-AA$325))</f>
        <v/>
      </c>
      <c r="AB2344" s="35">
        <f>$D2344*($E2344*(AB$321-AB$322)+$F2344*(AB$324-AB$325))</f>
        <v/>
      </c>
      <c r="AC2344" s="35">
        <f>$D2344*($E2344*(AC$321-AC$322)+$F2344*(AC$324-AC$325))</f>
        <v/>
      </c>
      <c r="AD2344" s="35">
        <f>$D2344*($E2344*(AD$321-AD$322)+$F2344*(AD$324-AD$325))</f>
        <v/>
      </c>
      <c r="AE2344" s="42">
        <f>XCARBON($D2344,$E2344,(AE$321-AE$322),$F2344,(AE$324-AE$325))</f>
        <v/>
      </c>
      <c r="AG2344" s="11">
        <f>CodePrefix&amp;$A2344&amp;IF($C2344="","","."&amp;$C2344&amp;"."&amp;$B2344)&amp;INDEX(VarEnd,MATCH($A2344,VarKey,0))&amp;AG$5</f>
        <v/>
      </c>
      <c r="AH2344" s="40">
        <f>$D2344*($E2344*(AH$321-AH$322)+$F2344*(AH$324-AH$325))</f>
        <v/>
      </c>
      <c r="AI2344" s="35">
        <f>$D2344*($E2344*(AI$321-AI$322)+$F2344*(AI$324-AI$325))</f>
        <v/>
      </c>
      <c r="AJ2344" s="35">
        <f>$D2344*($E2344*(AJ$321-AJ$322)+$F2344*(AJ$324-AJ$325))</f>
        <v/>
      </c>
      <c r="AK2344" s="35">
        <f>$D2344*($E2344*(AK$321-AK$322)+$F2344*(AK$324-AK$325))</f>
        <v/>
      </c>
      <c r="AL2344" s="35">
        <f>$D2344*($E2344*(AL$321-AL$322)+$F2344*(AL$324-AL$325))</f>
        <v/>
      </c>
      <c r="AM2344" s="35">
        <f>$D2344*($E2344*(AM$321-AM$322)+$F2344*(AM$324-AM$325))</f>
        <v/>
      </c>
      <c r="AN2344" s="35">
        <f>$D2344*($E2344*(AN$321-AN$322)+$F2344*(AN$324-AN$325))</f>
        <v/>
      </c>
      <c r="AO2344" s="35">
        <f>$D2344*($E2344*(AO$321-AO$322)+$F2344*(AO$324-AO$325))</f>
        <v/>
      </c>
      <c r="AP2344" s="35">
        <f>$D2344*($E2344*(AP$321-AP$322)+$F2344*(AP$324-AP$325))</f>
        <v/>
      </c>
      <c r="AQ2344" s="35">
        <f>$D2344*($E2344*(AQ$321-AQ$322)+$F2344*(AQ$324-AQ$325))</f>
        <v/>
      </c>
      <c r="AR2344" s="35">
        <f>$D2344*($E2344*(AR$321-AR$322)+$F2344*(AR$324-AR$325))</f>
        <v/>
      </c>
      <c r="AS2344" s="35">
        <f>$D2344*($E2344*(AS$321-AS$322)+$F2344*(AS$324-AS$325))</f>
        <v/>
      </c>
      <c r="AT2344" s="35">
        <f>$D2344*($E2344*(AT$321-AT$322)+$F2344*(AT$324-AT$325))</f>
        <v/>
      </c>
      <c r="AU2344" s="35">
        <f>$D2344*($E2344*(AU$321-AU$322)+$F2344*(AU$324-AU$325))</f>
        <v/>
      </c>
      <c r="AV2344" s="35">
        <f>$D2344*($E2344*(AV$321-AV$322)+$F2344*(AV$324-AV$325))</f>
        <v/>
      </c>
      <c r="AW2344" s="35">
        <f>$D2344*($E2344*(AW$321-AW$322)+$F2344*(AW$324-AW$325))</f>
        <v/>
      </c>
      <c r="AX2344" s="35">
        <f>$D2344*($E2344*(AX$321-AX$322)+$F2344*(AX$324-AX$325))</f>
        <v/>
      </c>
      <c r="AY2344" s="35">
        <f>$D2344*($E2344*(AY$321-AY$322)+$F2344*(AY$324-AY$325))</f>
        <v/>
      </c>
      <c r="AZ2344" s="35">
        <f>$D2344*($E2344*(AZ$321-AZ$322)+$F2344*(AZ$324-AZ$325))</f>
        <v/>
      </c>
      <c r="BA2344" s="42">
        <f>XCARBON($D2344,$E2344,(BA$321-BA$322),$F2344,(BA$324-BA$325))</f>
        <v/>
      </c>
    </row>
    <row r="2345" hidden="1" outlineLevel="2">
      <c r="A2345" s="14" t="inlineStr">
        <is>
          <t>xcpd</t>
        </is>
      </c>
      <c r="B2345" s="14" t="inlineStr">
        <is>
          <t>bio</t>
        </is>
      </c>
      <c r="C2345" s="14" t="inlineStr">
        <is>
          <t>mac</t>
        </is>
      </c>
      <c r="D2345" s="35">
        <f>INDEX(Inputs!$W$5:$W$132,MATCH($B2345&amp;"|"&amp;$C2345,Inputs!$A$5:$A$132,0))</f>
        <v/>
      </c>
      <c r="E2345" s="35">
        <f>INDEX(Inputs!$Z$5:$Z$132,MATCH($B2345&amp;"|"&amp;$C2345,Inputs!$A$5:$A$132,0))</f>
        <v/>
      </c>
      <c r="F2345" s="35">
        <f>INDEX(Inputs!$AA$5:$AA$132,MATCH($B2345&amp;"|"&amp;$C2345,Inputs!$A$5:$A$132,0))</f>
        <v/>
      </c>
      <c r="G2345" s="39" t="n"/>
      <c r="H2345" s="14">
        <f>INDEX(VarLab,MATCH($A2345,VarKey,0))&amp;INDEX(MemLab,MATCH($C2345&amp;"|"&amp;$B2345,MemKey,0))</f>
        <v/>
      </c>
      <c r="I2345" s="14">
        <f>INDEX(VarUnit,MATCH($A2345,VarKey,0))</f>
        <v/>
      </c>
      <c r="J2345" s="14">
        <f>INDEX(VarSrc,MATCH($A2345,VarKey,0))</f>
        <v/>
      </c>
      <c r="K2345" s="11">
        <f>CodePrefix&amp;$A2345&amp;IF($C2345="","","."&amp;$C2345&amp;"."&amp;$B2345)&amp;INDEX(VarEnd,MATCH($A2345,VarKey,0))&amp;K$5</f>
        <v/>
      </c>
      <c r="L2345" s="40">
        <f>$D2345*($E2345*(L$321-L$322)+$F2345*(L$324-L$325))</f>
        <v/>
      </c>
      <c r="M2345" s="35">
        <f>$D2345*($E2345*(M$321-M$322)+$F2345*(M$324-M$325))</f>
        <v/>
      </c>
      <c r="N2345" s="35">
        <f>$D2345*($E2345*(N$321-N$322)+$F2345*(N$324-N$325))</f>
        <v/>
      </c>
      <c r="O2345" s="35">
        <f>$D2345*($E2345*(O$321-O$322)+$F2345*(O$324-O$325))</f>
        <v/>
      </c>
      <c r="P2345" s="35">
        <f>$D2345*($E2345*(P$321-P$322)+$F2345*(P$324-P$325))</f>
        <v/>
      </c>
      <c r="Q2345" s="35">
        <f>$D2345*($E2345*(Q$321-Q$322)+$F2345*(Q$324-Q$325))</f>
        <v/>
      </c>
      <c r="R2345" s="35">
        <f>$D2345*($E2345*(R$321-R$322)+$F2345*(R$324-R$325))</f>
        <v/>
      </c>
      <c r="S2345" s="35">
        <f>$D2345*($E2345*(S$321-S$322)+$F2345*(S$324-S$325))</f>
        <v/>
      </c>
      <c r="T2345" s="35">
        <f>$D2345*($E2345*(T$321-T$322)+$F2345*(T$324-T$325))</f>
        <v/>
      </c>
      <c r="U2345" s="35">
        <f>$D2345*($E2345*(U$321-U$322)+$F2345*(U$324-U$325))</f>
        <v/>
      </c>
      <c r="V2345" s="35">
        <f>$D2345*($E2345*(V$321-V$322)+$F2345*(V$324-V$325))</f>
        <v/>
      </c>
      <c r="W2345" s="35">
        <f>$D2345*($E2345*(W$321-W$322)+$F2345*(W$324-W$325))</f>
        <v/>
      </c>
      <c r="X2345" s="35">
        <f>$D2345*($E2345*(X$321-X$322)+$F2345*(X$324-X$325))</f>
        <v/>
      </c>
      <c r="Y2345" s="35">
        <f>$D2345*($E2345*(Y$321-Y$322)+$F2345*(Y$324-Y$325))</f>
        <v/>
      </c>
      <c r="Z2345" s="35">
        <f>$D2345*($E2345*(Z$321-Z$322)+$F2345*(Z$324-Z$325))</f>
        <v/>
      </c>
      <c r="AA2345" s="35">
        <f>$D2345*($E2345*(AA$321-AA$322)+$F2345*(AA$324-AA$325))</f>
        <v/>
      </c>
      <c r="AB2345" s="35">
        <f>$D2345*($E2345*(AB$321-AB$322)+$F2345*(AB$324-AB$325))</f>
        <v/>
      </c>
      <c r="AC2345" s="35">
        <f>$D2345*($E2345*(AC$321-AC$322)+$F2345*(AC$324-AC$325))</f>
        <v/>
      </c>
      <c r="AD2345" s="35">
        <f>$D2345*($E2345*(AD$321-AD$322)+$F2345*(AD$324-AD$325))</f>
        <v/>
      </c>
      <c r="AE2345" s="42">
        <f>XCARBON($D2345,$E2345,(AE$321-AE$322),$F2345,(AE$324-AE$325))</f>
        <v/>
      </c>
      <c r="AG2345" s="11">
        <f>CodePrefix&amp;$A2345&amp;IF($C2345="","","."&amp;$C2345&amp;"."&amp;$B2345)&amp;INDEX(VarEnd,MATCH($A2345,VarKey,0))&amp;AG$5</f>
        <v/>
      </c>
      <c r="AH2345" s="40">
        <f>$D2345*($E2345*(AH$321-AH$322)+$F2345*(AH$324-AH$325))</f>
        <v/>
      </c>
      <c r="AI2345" s="35">
        <f>$D2345*($E2345*(AI$321-AI$322)+$F2345*(AI$324-AI$325))</f>
        <v/>
      </c>
      <c r="AJ2345" s="35">
        <f>$D2345*($E2345*(AJ$321-AJ$322)+$F2345*(AJ$324-AJ$325))</f>
        <v/>
      </c>
      <c r="AK2345" s="35">
        <f>$D2345*($E2345*(AK$321-AK$322)+$F2345*(AK$324-AK$325))</f>
        <v/>
      </c>
      <c r="AL2345" s="35">
        <f>$D2345*($E2345*(AL$321-AL$322)+$F2345*(AL$324-AL$325))</f>
        <v/>
      </c>
      <c r="AM2345" s="35">
        <f>$D2345*($E2345*(AM$321-AM$322)+$F2345*(AM$324-AM$325))</f>
        <v/>
      </c>
      <c r="AN2345" s="35">
        <f>$D2345*($E2345*(AN$321-AN$322)+$F2345*(AN$324-AN$325))</f>
        <v/>
      </c>
      <c r="AO2345" s="35">
        <f>$D2345*($E2345*(AO$321-AO$322)+$F2345*(AO$324-AO$325))</f>
        <v/>
      </c>
      <c r="AP2345" s="35">
        <f>$D2345*($E2345*(AP$321-AP$322)+$F2345*(AP$324-AP$325))</f>
        <v/>
      </c>
      <c r="AQ2345" s="35">
        <f>$D2345*($E2345*(AQ$321-AQ$322)+$F2345*(AQ$324-AQ$325))</f>
        <v/>
      </c>
      <c r="AR2345" s="35">
        <f>$D2345*($E2345*(AR$321-AR$322)+$F2345*(AR$324-AR$325))</f>
        <v/>
      </c>
      <c r="AS2345" s="35">
        <f>$D2345*($E2345*(AS$321-AS$322)+$F2345*(AS$324-AS$325))</f>
        <v/>
      </c>
      <c r="AT2345" s="35">
        <f>$D2345*($E2345*(AT$321-AT$322)+$F2345*(AT$324-AT$325))</f>
        <v/>
      </c>
      <c r="AU2345" s="35">
        <f>$D2345*($E2345*(AU$321-AU$322)+$F2345*(AU$324-AU$325))</f>
        <v/>
      </c>
      <c r="AV2345" s="35">
        <f>$D2345*($E2345*(AV$321-AV$322)+$F2345*(AV$324-AV$325))</f>
        <v/>
      </c>
      <c r="AW2345" s="35">
        <f>$D2345*($E2345*(AW$321-AW$322)+$F2345*(AW$324-AW$325))</f>
        <v/>
      </c>
      <c r="AX2345" s="35">
        <f>$D2345*($E2345*(AX$321-AX$322)+$F2345*(AX$324-AX$325))</f>
        <v/>
      </c>
      <c r="AY2345" s="35">
        <f>$D2345*($E2345*(AY$321-AY$322)+$F2345*(AY$324-AY$325))</f>
        <v/>
      </c>
      <c r="AZ2345" s="35">
        <f>$D2345*($E2345*(AZ$321-AZ$322)+$F2345*(AZ$324-AZ$325))</f>
        <v/>
      </c>
      <c r="BA2345" s="42">
        <f>XCARBON($D2345,$E2345,(BA$321-BA$322),$F2345,(BA$324-BA$325))</f>
        <v/>
      </c>
    </row>
    <row r="2346" hidden="1" outlineLevel="2"/>
    <row r="2347" hidden="1" outlineLevel="2">
      <c r="A2347" s="14" t="inlineStr">
        <is>
          <t>atp</t>
        </is>
      </c>
      <c r="B2347" s="14" t="inlineStr">
        <is>
          <t>coa</t>
        </is>
      </c>
      <c r="C2347" s="14" t="inlineStr">
        <is>
          <t>mac</t>
        </is>
      </c>
      <c r="D2347" s="35">
        <f>INDEX(Inputs!$U$5:$U$132,MATCH($B2347&amp;"|"&amp;$C2347,Inputs!$A$5:$A$132,0))</f>
        <v/>
      </c>
      <c r="E2347" s="35">
        <f>INDEX(Inputs!$V$5:$V$132,MATCH($B2347&amp;"|"&amp;$C2347,Inputs!$A$5:$A$132,0))</f>
        <v/>
      </c>
      <c r="F2347" s="39" t="n"/>
      <c r="G2347" s="39" t="n"/>
      <c r="H2347" s="14">
        <f>INDEX(VarLab,MATCH($A2347,VarKey,0))&amp;INDEX(MemLab,MATCH($C2347&amp;"|"&amp;$B2347,MemKey,0))</f>
        <v/>
      </c>
      <c r="I2347" s="14">
        <f>INDEX(VarUnit,MATCH($A2347,VarKey,0))</f>
        <v/>
      </c>
      <c r="J2347" s="14">
        <f>INDEX(VarSrc,MATCH($A2347,VarKey,0))</f>
        <v/>
      </c>
      <c r="K2347" s="11">
        <f>CodePrefix&amp;$A2347&amp;IF($C2347="","","."&amp;$C2347&amp;"."&amp;$B2347)&amp;INDEX(VarEnd,MATCH($A2347,VarKey,0))&amp;K$5</f>
        <v/>
      </c>
      <c r="L2347" s="40">
        <f>MAX(INDEX(L$381:L$392,$D2347)+(L2320+L2338)*(1+$E2347),0.01)</f>
        <v/>
      </c>
      <c r="M2347" s="35">
        <f>MAX(INDEX(M$381:M$392,$D2347)+(M2320+M2338)*(1+$E2347),0.01)</f>
        <v/>
      </c>
      <c r="N2347" s="35">
        <f>MAX(INDEX(N$381:N$392,$D2347)+(N2320+N2338)*(1+$E2347),0.01)</f>
        <v/>
      </c>
      <c r="O2347" s="35">
        <f>MAX(INDEX(O$381:O$392,$D2347)+(O2320+O2338)*(1+$E2347),0.01)</f>
        <v/>
      </c>
      <c r="P2347" s="35">
        <f>MAX(INDEX(P$381:P$392,$D2347)+(P2320+P2338)*(1+$E2347),0.01)</f>
        <v/>
      </c>
      <c r="Q2347" s="35">
        <f>MAX(INDEX(Q$381:Q$392,$D2347)+(Q2320+Q2338)*(1+$E2347),0.01)</f>
        <v/>
      </c>
      <c r="R2347" s="35">
        <f>MAX(INDEX(R$381:R$392,$D2347)+(R2320+R2338)*(1+$E2347),0.01)</f>
        <v/>
      </c>
      <c r="S2347" s="35">
        <f>MAX(INDEX(S$381:S$392,$D2347)+(S2320+S2338)*(1+$E2347),0.01)</f>
        <v/>
      </c>
      <c r="T2347" s="35">
        <f>MAX(INDEX(T$381:T$392,$D2347)+(T2320+T2338)*(1+$E2347),0.01)</f>
        <v/>
      </c>
      <c r="U2347" s="35">
        <f>MAX(INDEX(U$381:U$392,$D2347)+(U2320+U2338)*(1+$E2347),0.01)</f>
        <v/>
      </c>
      <c r="V2347" s="35">
        <f>MAX(INDEX(V$381:V$392,$D2347)+(V2320+V2338)*(1+$E2347),0.01)</f>
        <v/>
      </c>
      <c r="W2347" s="35">
        <f>MAX(INDEX(W$381:W$392,$D2347)+(W2320+W2338)*(1+$E2347),0.01)</f>
        <v/>
      </c>
      <c r="X2347" s="35">
        <f>MAX(INDEX(X$381:X$392,$D2347)+(X2320+X2338)*(1+$E2347),0.01)</f>
        <v/>
      </c>
      <c r="Y2347" s="35">
        <f>MAX(INDEX(Y$381:Y$392,$D2347)+(Y2320+Y2338)*(1+$E2347),0.01)</f>
        <v/>
      </c>
      <c r="Z2347" s="35">
        <f>MAX(INDEX(Z$381:Z$392,$D2347)+(Z2320+Z2338)*(1+$E2347),0.01)</f>
        <v/>
      </c>
      <c r="AA2347" s="35">
        <f>MAX(INDEX(AA$381:AA$392,$D2347)+(AA2320+AA2338)*(1+$E2347),0.01)</f>
        <v/>
      </c>
      <c r="AB2347" s="35">
        <f>MAX(INDEX(AB$381:AB$392,$D2347)+(AB2320+AB2338)*(1+$E2347),0.01)</f>
        <v/>
      </c>
      <c r="AC2347" s="35">
        <f>MAX(INDEX(AC$381:AC$392,$D2347)+(AC2320+AC2338)*(1+$E2347),0.01)</f>
        <v/>
      </c>
      <c r="AD2347" s="35">
        <f>MAX(INDEX(AD$381:AD$392,$D2347)+(AD2320+AD2338)*(1+$E2347),0.01)</f>
        <v/>
      </c>
      <c r="AE2347" s="42">
        <f>POSTTAX(INDEX(AE$381:AE$392,$D2347),AE2320+AE2338,$E2347)</f>
        <v/>
      </c>
      <c r="AG2347" s="11">
        <f>CodePrefix&amp;$A2347&amp;IF($C2347="","","."&amp;$C2347&amp;"."&amp;$B2347)&amp;INDEX(VarEnd,MATCH($A2347,VarKey,0))&amp;AG$5</f>
        <v/>
      </c>
      <c r="AH2347" s="40">
        <f>MAX(INDEX(AH$381:AH$392,$D2347)+(AH2320+AH2338)*(1+$E2347),0.01)</f>
        <v/>
      </c>
      <c r="AI2347" s="35">
        <f>MAX(INDEX(AI$381:AI$392,$D2347)+(AI2320+AI2338)*(1+$E2347),0.01)</f>
        <v/>
      </c>
      <c r="AJ2347" s="35">
        <f>MAX(INDEX(AJ$381:AJ$392,$D2347)+(AJ2320+AJ2338)*(1+$E2347),0.01)</f>
        <v/>
      </c>
      <c r="AK2347" s="35">
        <f>MAX(INDEX(AK$381:AK$392,$D2347)+(AK2320+AK2338)*(1+$E2347),0.01)</f>
        <v/>
      </c>
      <c r="AL2347" s="35">
        <f>MAX(INDEX(AL$381:AL$392,$D2347)+(AL2320+AL2338)*(1+$E2347),0.01)</f>
        <v/>
      </c>
      <c r="AM2347" s="35">
        <f>MAX(INDEX(AM$381:AM$392,$D2347)+(AM2320+AM2338)*(1+$E2347),0.01)</f>
        <v/>
      </c>
      <c r="AN2347" s="35">
        <f>MAX(INDEX(AN$381:AN$392,$D2347)+(AN2320+AN2338)*(1+$E2347),0.01)</f>
        <v/>
      </c>
      <c r="AO2347" s="35">
        <f>MAX(INDEX(AO$381:AO$392,$D2347)+(AO2320+AO2338)*(1+$E2347),0.01)</f>
        <v/>
      </c>
      <c r="AP2347" s="35">
        <f>MAX(INDEX(AP$381:AP$392,$D2347)+(AP2320+AP2338)*(1+$E2347),0.01)</f>
        <v/>
      </c>
      <c r="AQ2347" s="35">
        <f>MAX(INDEX(AQ$381:AQ$392,$D2347)+(AQ2320+AQ2338)*(1+$E2347),0.01)</f>
        <v/>
      </c>
      <c r="AR2347" s="35">
        <f>MAX(INDEX(AR$381:AR$392,$D2347)+(AR2320+AR2338)*(1+$E2347),0.01)</f>
        <v/>
      </c>
      <c r="AS2347" s="35">
        <f>MAX(INDEX(AS$381:AS$392,$D2347)+(AS2320+AS2338)*(1+$E2347),0.01)</f>
        <v/>
      </c>
      <c r="AT2347" s="35">
        <f>MAX(INDEX(AT$381:AT$392,$D2347)+(AT2320+AT2338)*(1+$E2347),0.01)</f>
        <v/>
      </c>
      <c r="AU2347" s="35">
        <f>MAX(INDEX(AU$381:AU$392,$D2347)+(AU2320+AU2338)*(1+$E2347),0.01)</f>
        <v/>
      </c>
      <c r="AV2347" s="35">
        <f>MAX(INDEX(AV$381:AV$392,$D2347)+(AV2320+AV2338)*(1+$E2347),0.01)</f>
        <v/>
      </c>
      <c r="AW2347" s="35">
        <f>MAX(INDEX(AW$381:AW$392,$D2347)+(AW2320+AW2338)*(1+$E2347),0.01)</f>
        <v/>
      </c>
      <c r="AX2347" s="35">
        <f>MAX(INDEX(AX$381:AX$392,$D2347)+(AX2320+AX2338)*(1+$E2347),0.01)</f>
        <v/>
      </c>
      <c r="AY2347" s="35">
        <f>MAX(INDEX(AY$381:AY$392,$D2347)+(AY2320+AY2338)*(1+$E2347),0.01)</f>
        <v/>
      </c>
      <c r="AZ2347" s="35">
        <f>MAX(INDEX(AZ$381:AZ$392,$D2347)+(AZ2320+AZ2338)*(1+$E2347),0.01)</f>
        <v/>
      </c>
      <c r="BA2347" s="42">
        <f>POSTTAX(INDEX(BA$381:BA$392,$D2347),BA2320+BA2338,$E2347)</f>
        <v/>
      </c>
    </row>
    <row r="2348" hidden="1" outlineLevel="2">
      <c r="A2348" s="14" t="inlineStr">
        <is>
          <t>atp</t>
        </is>
      </c>
      <c r="B2348" s="14" t="inlineStr">
        <is>
          <t>nga</t>
        </is>
      </c>
      <c r="C2348" s="14" t="inlineStr">
        <is>
          <t>mac</t>
        </is>
      </c>
      <c r="D2348" s="35">
        <f>INDEX(Inputs!$U$5:$U$132,MATCH($B2348&amp;"|"&amp;$C2348,Inputs!$A$5:$A$132,0))</f>
        <v/>
      </c>
      <c r="E2348" s="35">
        <f>INDEX(Inputs!$V$5:$V$132,MATCH($B2348&amp;"|"&amp;$C2348,Inputs!$A$5:$A$132,0))</f>
        <v/>
      </c>
      <c r="F2348" s="39" t="n"/>
      <c r="G2348" s="39" t="n"/>
      <c r="H2348" s="14">
        <f>INDEX(VarLab,MATCH($A2348,VarKey,0))&amp;INDEX(MemLab,MATCH($C2348&amp;"|"&amp;$B2348,MemKey,0))</f>
        <v/>
      </c>
      <c r="I2348" s="14">
        <f>INDEX(VarUnit,MATCH($A2348,VarKey,0))</f>
        <v/>
      </c>
      <c r="J2348" s="14">
        <f>INDEX(VarSrc,MATCH($A2348,VarKey,0))</f>
        <v/>
      </c>
      <c r="K2348" s="11">
        <f>CodePrefix&amp;$A2348&amp;IF($C2348="","","."&amp;$C2348&amp;"."&amp;$B2348)&amp;INDEX(VarEnd,MATCH($A2348,VarKey,0))&amp;K$5</f>
        <v/>
      </c>
      <c r="L2348" s="40">
        <f>MAX(INDEX(L$381:L$392,$D2348)+(L2321+L2339)*(1+$E2348),0.01)</f>
        <v/>
      </c>
      <c r="M2348" s="35">
        <f>MAX(INDEX(M$381:M$392,$D2348)+(M2321+M2339)*(1+$E2348),0.01)</f>
        <v/>
      </c>
      <c r="N2348" s="35">
        <f>MAX(INDEX(N$381:N$392,$D2348)+(N2321+N2339)*(1+$E2348),0.01)</f>
        <v/>
      </c>
      <c r="O2348" s="35">
        <f>MAX(INDEX(O$381:O$392,$D2348)+(O2321+O2339)*(1+$E2348),0.01)</f>
        <v/>
      </c>
      <c r="P2348" s="35">
        <f>MAX(INDEX(P$381:P$392,$D2348)+(P2321+P2339)*(1+$E2348),0.01)</f>
        <v/>
      </c>
      <c r="Q2348" s="35">
        <f>MAX(INDEX(Q$381:Q$392,$D2348)+(Q2321+Q2339)*(1+$E2348),0.01)</f>
        <v/>
      </c>
      <c r="R2348" s="35">
        <f>MAX(INDEX(R$381:R$392,$D2348)+(R2321+R2339)*(1+$E2348),0.01)</f>
        <v/>
      </c>
      <c r="S2348" s="35">
        <f>MAX(INDEX(S$381:S$392,$D2348)+(S2321+S2339)*(1+$E2348),0.01)</f>
        <v/>
      </c>
      <c r="T2348" s="35">
        <f>MAX(INDEX(T$381:T$392,$D2348)+(T2321+T2339)*(1+$E2348),0.01)</f>
        <v/>
      </c>
      <c r="U2348" s="35">
        <f>MAX(INDEX(U$381:U$392,$D2348)+(U2321+U2339)*(1+$E2348),0.01)</f>
        <v/>
      </c>
      <c r="V2348" s="35">
        <f>MAX(INDEX(V$381:V$392,$D2348)+(V2321+V2339)*(1+$E2348),0.01)</f>
        <v/>
      </c>
      <c r="W2348" s="35">
        <f>MAX(INDEX(W$381:W$392,$D2348)+(W2321+W2339)*(1+$E2348),0.01)</f>
        <v/>
      </c>
      <c r="X2348" s="35">
        <f>MAX(INDEX(X$381:X$392,$D2348)+(X2321+X2339)*(1+$E2348),0.01)</f>
        <v/>
      </c>
      <c r="Y2348" s="35">
        <f>MAX(INDEX(Y$381:Y$392,$D2348)+(Y2321+Y2339)*(1+$E2348),0.01)</f>
        <v/>
      </c>
      <c r="Z2348" s="35">
        <f>MAX(INDEX(Z$381:Z$392,$D2348)+(Z2321+Z2339)*(1+$E2348),0.01)</f>
        <v/>
      </c>
      <c r="AA2348" s="35">
        <f>MAX(INDEX(AA$381:AA$392,$D2348)+(AA2321+AA2339)*(1+$E2348),0.01)</f>
        <v/>
      </c>
      <c r="AB2348" s="35">
        <f>MAX(INDEX(AB$381:AB$392,$D2348)+(AB2321+AB2339)*(1+$E2348),0.01)</f>
        <v/>
      </c>
      <c r="AC2348" s="35">
        <f>MAX(INDEX(AC$381:AC$392,$D2348)+(AC2321+AC2339)*(1+$E2348),0.01)</f>
        <v/>
      </c>
      <c r="AD2348" s="35">
        <f>MAX(INDEX(AD$381:AD$392,$D2348)+(AD2321+AD2339)*(1+$E2348),0.01)</f>
        <v/>
      </c>
      <c r="AE2348" s="42">
        <f>POSTTAX(INDEX(AE$381:AE$392,$D2348),AE2321+AE2339,$E2348)</f>
        <v/>
      </c>
      <c r="AG2348" s="11">
        <f>CodePrefix&amp;$A2348&amp;IF($C2348="","","."&amp;$C2348&amp;"."&amp;$B2348)&amp;INDEX(VarEnd,MATCH($A2348,VarKey,0))&amp;AG$5</f>
        <v/>
      </c>
      <c r="AH2348" s="40">
        <f>MAX(INDEX(AH$381:AH$392,$D2348)+(AH2321+AH2339)*(1+$E2348),0.01)</f>
        <v/>
      </c>
      <c r="AI2348" s="35">
        <f>MAX(INDEX(AI$381:AI$392,$D2348)+(AI2321+AI2339)*(1+$E2348),0.01)</f>
        <v/>
      </c>
      <c r="AJ2348" s="35">
        <f>MAX(INDEX(AJ$381:AJ$392,$D2348)+(AJ2321+AJ2339)*(1+$E2348),0.01)</f>
        <v/>
      </c>
      <c r="AK2348" s="35">
        <f>MAX(INDEX(AK$381:AK$392,$D2348)+(AK2321+AK2339)*(1+$E2348),0.01)</f>
        <v/>
      </c>
      <c r="AL2348" s="35">
        <f>MAX(INDEX(AL$381:AL$392,$D2348)+(AL2321+AL2339)*(1+$E2348),0.01)</f>
        <v/>
      </c>
      <c r="AM2348" s="35">
        <f>MAX(INDEX(AM$381:AM$392,$D2348)+(AM2321+AM2339)*(1+$E2348),0.01)</f>
        <v/>
      </c>
      <c r="AN2348" s="35">
        <f>MAX(INDEX(AN$381:AN$392,$D2348)+(AN2321+AN2339)*(1+$E2348),0.01)</f>
        <v/>
      </c>
      <c r="AO2348" s="35">
        <f>MAX(INDEX(AO$381:AO$392,$D2348)+(AO2321+AO2339)*(1+$E2348),0.01)</f>
        <v/>
      </c>
      <c r="AP2348" s="35">
        <f>MAX(INDEX(AP$381:AP$392,$D2348)+(AP2321+AP2339)*(1+$E2348),0.01)</f>
        <v/>
      </c>
      <c r="AQ2348" s="35">
        <f>MAX(INDEX(AQ$381:AQ$392,$D2348)+(AQ2321+AQ2339)*(1+$E2348),0.01)</f>
        <v/>
      </c>
      <c r="AR2348" s="35">
        <f>MAX(INDEX(AR$381:AR$392,$D2348)+(AR2321+AR2339)*(1+$E2348),0.01)</f>
        <v/>
      </c>
      <c r="AS2348" s="35">
        <f>MAX(INDEX(AS$381:AS$392,$D2348)+(AS2321+AS2339)*(1+$E2348),0.01)</f>
        <v/>
      </c>
      <c r="AT2348" s="35">
        <f>MAX(INDEX(AT$381:AT$392,$D2348)+(AT2321+AT2339)*(1+$E2348),0.01)</f>
        <v/>
      </c>
      <c r="AU2348" s="35">
        <f>MAX(INDEX(AU$381:AU$392,$D2348)+(AU2321+AU2339)*(1+$E2348),0.01)</f>
        <v/>
      </c>
      <c r="AV2348" s="35">
        <f>MAX(INDEX(AV$381:AV$392,$D2348)+(AV2321+AV2339)*(1+$E2348),0.01)</f>
        <v/>
      </c>
      <c r="AW2348" s="35">
        <f>MAX(INDEX(AW$381:AW$392,$D2348)+(AW2321+AW2339)*(1+$E2348),0.01)</f>
        <v/>
      </c>
      <c r="AX2348" s="35">
        <f>MAX(INDEX(AX$381:AX$392,$D2348)+(AX2321+AX2339)*(1+$E2348),0.01)</f>
        <v/>
      </c>
      <c r="AY2348" s="35">
        <f>MAX(INDEX(AY$381:AY$392,$D2348)+(AY2321+AY2339)*(1+$E2348),0.01)</f>
        <v/>
      </c>
      <c r="AZ2348" s="35">
        <f>MAX(INDEX(AZ$381:AZ$392,$D2348)+(AZ2321+AZ2339)*(1+$E2348),0.01)</f>
        <v/>
      </c>
      <c r="BA2348" s="42">
        <f>POSTTAX(INDEX(BA$381:BA$392,$D2348),BA2321+BA2339,$E2348)</f>
        <v/>
      </c>
    </row>
    <row r="2349" hidden="1" outlineLevel="2">
      <c r="A2349" s="14" t="inlineStr">
        <is>
          <t>atp</t>
        </is>
      </c>
      <c r="B2349" s="14" t="inlineStr">
        <is>
          <t>gso</t>
        </is>
      </c>
      <c r="C2349" s="14" t="inlineStr">
        <is>
          <t>mac</t>
        </is>
      </c>
      <c r="D2349" s="35">
        <f>INDEX(Inputs!$U$5:$U$132,MATCH($B2349&amp;"|"&amp;$C2349,Inputs!$A$5:$A$132,0))</f>
        <v/>
      </c>
      <c r="E2349" s="35">
        <f>INDEX(Inputs!$V$5:$V$132,MATCH($B2349&amp;"|"&amp;$C2349,Inputs!$A$5:$A$132,0))</f>
        <v/>
      </c>
      <c r="F2349" s="39" t="n"/>
      <c r="G2349" s="39" t="n"/>
      <c r="H2349" s="14">
        <f>INDEX(VarLab,MATCH($A2349,VarKey,0))&amp;INDEX(MemLab,MATCH($C2349&amp;"|"&amp;$B2349,MemKey,0))</f>
        <v/>
      </c>
      <c r="I2349" s="14">
        <f>INDEX(VarUnit,MATCH($A2349,VarKey,0))</f>
        <v/>
      </c>
      <c r="J2349" s="14">
        <f>INDEX(VarSrc,MATCH($A2349,VarKey,0))</f>
        <v/>
      </c>
      <c r="K2349" s="11">
        <f>CodePrefix&amp;$A2349&amp;IF($C2349="","","."&amp;$C2349&amp;"."&amp;$B2349)&amp;INDEX(VarEnd,MATCH($A2349,VarKey,0))&amp;K$5</f>
        <v/>
      </c>
      <c r="L2349" s="40">
        <f>MAX(INDEX(L$381:L$392,$D2349)+(L2322+L2340)*(1+$E2349),0.01)</f>
        <v/>
      </c>
      <c r="M2349" s="35">
        <f>MAX(INDEX(M$381:M$392,$D2349)+(M2322+M2340)*(1+$E2349),0.01)</f>
        <v/>
      </c>
      <c r="N2349" s="35">
        <f>MAX(INDEX(N$381:N$392,$D2349)+(N2322+N2340)*(1+$E2349),0.01)</f>
        <v/>
      </c>
      <c r="O2349" s="35">
        <f>MAX(INDEX(O$381:O$392,$D2349)+(O2322+O2340)*(1+$E2349),0.01)</f>
        <v/>
      </c>
      <c r="P2349" s="35">
        <f>MAX(INDEX(P$381:P$392,$D2349)+(P2322+P2340)*(1+$E2349),0.01)</f>
        <v/>
      </c>
      <c r="Q2349" s="35">
        <f>MAX(INDEX(Q$381:Q$392,$D2349)+(Q2322+Q2340)*(1+$E2349),0.01)</f>
        <v/>
      </c>
      <c r="R2349" s="35">
        <f>MAX(INDEX(R$381:R$392,$D2349)+(R2322+R2340)*(1+$E2349),0.01)</f>
        <v/>
      </c>
      <c r="S2349" s="35">
        <f>MAX(INDEX(S$381:S$392,$D2349)+(S2322+S2340)*(1+$E2349),0.01)</f>
        <v/>
      </c>
      <c r="T2349" s="35">
        <f>MAX(INDEX(T$381:T$392,$D2349)+(T2322+T2340)*(1+$E2349),0.01)</f>
        <v/>
      </c>
      <c r="U2349" s="35">
        <f>MAX(INDEX(U$381:U$392,$D2349)+(U2322+U2340)*(1+$E2349),0.01)</f>
        <v/>
      </c>
      <c r="V2349" s="35">
        <f>MAX(INDEX(V$381:V$392,$D2349)+(V2322+V2340)*(1+$E2349),0.01)</f>
        <v/>
      </c>
      <c r="W2349" s="35">
        <f>MAX(INDEX(W$381:W$392,$D2349)+(W2322+W2340)*(1+$E2349),0.01)</f>
        <v/>
      </c>
      <c r="X2349" s="35">
        <f>MAX(INDEX(X$381:X$392,$D2349)+(X2322+X2340)*(1+$E2349),0.01)</f>
        <v/>
      </c>
      <c r="Y2349" s="35">
        <f>MAX(INDEX(Y$381:Y$392,$D2349)+(Y2322+Y2340)*(1+$E2349),0.01)</f>
        <v/>
      </c>
      <c r="Z2349" s="35">
        <f>MAX(INDEX(Z$381:Z$392,$D2349)+(Z2322+Z2340)*(1+$E2349),0.01)</f>
        <v/>
      </c>
      <c r="AA2349" s="35">
        <f>MAX(INDEX(AA$381:AA$392,$D2349)+(AA2322+AA2340)*(1+$E2349),0.01)</f>
        <v/>
      </c>
      <c r="AB2349" s="35">
        <f>MAX(INDEX(AB$381:AB$392,$D2349)+(AB2322+AB2340)*(1+$E2349),0.01)</f>
        <v/>
      </c>
      <c r="AC2349" s="35">
        <f>MAX(INDEX(AC$381:AC$392,$D2349)+(AC2322+AC2340)*(1+$E2349),0.01)</f>
        <v/>
      </c>
      <c r="AD2349" s="35">
        <f>MAX(INDEX(AD$381:AD$392,$D2349)+(AD2322+AD2340)*(1+$E2349),0.01)</f>
        <v/>
      </c>
      <c r="AE2349" s="42">
        <f>POSTTAX(INDEX(AE$381:AE$392,$D2349),AE2322+AE2340,$E2349)</f>
        <v/>
      </c>
      <c r="AG2349" s="11">
        <f>CodePrefix&amp;$A2349&amp;IF($C2349="","","."&amp;$C2349&amp;"."&amp;$B2349)&amp;INDEX(VarEnd,MATCH($A2349,VarKey,0))&amp;AG$5</f>
        <v/>
      </c>
      <c r="AH2349" s="40">
        <f>MAX(INDEX(AH$381:AH$392,$D2349)+(AH2322+AH2340)*(1+$E2349),0.01)</f>
        <v/>
      </c>
      <c r="AI2349" s="35">
        <f>MAX(INDEX(AI$381:AI$392,$D2349)+(AI2322+AI2340)*(1+$E2349),0.01)</f>
        <v/>
      </c>
      <c r="AJ2349" s="35">
        <f>MAX(INDEX(AJ$381:AJ$392,$D2349)+(AJ2322+AJ2340)*(1+$E2349),0.01)</f>
        <v/>
      </c>
      <c r="AK2349" s="35">
        <f>MAX(INDEX(AK$381:AK$392,$D2349)+(AK2322+AK2340)*(1+$E2349),0.01)</f>
        <v/>
      </c>
      <c r="AL2349" s="35">
        <f>MAX(INDEX(AL$381:AL$392,$D2349)+(AL2322+AL2340)*(1+$E2349),0.01)</f>
        <v/>
      </c>
      <c r="AM2349" s="35">
        <f>MAX(INDEX(AM$381:AM$392,$D2349)+(AM2322+AM2340)*(1+$E2349),0.01)</f>
        <v/>
      </c>
      <c r="AN2349" s="35">
        <f>MAX(INDEX(AN$381:AN$392,$D2349)+(AN2322+AN2340)*(1+$E2349),0.01)</f>
        <v/>
      </c>
      <c r="AO2349" s="35">
        <f>MAX(INDEX(AO$381:AO$392,$D2349)+(AO2322+AO2340)*(1+$E2349),0.01)</f>
        <v/>
      </c>
      <c r="AP2349" s="35">
        <f>MAX(INDEX(AP$381:AP$392,$D2349)+(AP2322+AP2340)*(1+$E2349),0.01)</f>
        <v/>
      </c>
      <c r="AQ2349" s="35">
        <f>MAX(INDEX(AQ$381:AQ$392,$D2349)+(AQ2322+AQ2340)*(1+$E2349),0.01)</f>
        <v/>
      </c>
      <c r="AR2349" s="35">
        <f>MAX(INDEX(AR$381:AR$392,$D2349)+(AR2322+AR2340)*(1+$E2349),0.01)</f>
        <v/>
      </c>
      <c r="AS2349" s="35">
        <f>MAX(INDEX(AS$381:AS$392,$D2349)+(AS2322+AS2340)*(1+$E2349),0.01)</f>
        <v/>
      </c>
      <c r="AT2349" s="35">
        <f>MAX(INDEX(AT$381:AT$392,$D2349)+(AT2322+AT2340)*(1+$E2349),0.01)</f>
        <v/>
      </c>
      <c r="AU2349" s="35">
        <f>MAX(INDEX(AU$381:AU$392,$D2349)+(AU2322+AU2340)*(1+$E2349),0.01)</f>
        <v/>
      </c>
      <c r="AV2349" s="35">
        <f>MAX(INDEX(AV$381:AV$392,$D2349)+(AV2322+AV2340)*(1+$E2349),0.01)</f>
        <v/>
      </c>
      <c r="AW2349" s="35">
        <f>MAX(INDEX(AW$381:AW$392,$D2349)+(AW2322+AW2340)*(1+$E2349),0.01)</f>
        <v/>
      </c>
      <c r="AX2349" s="35">
        <f>MAX(INDEX(AX$381:AX$392,$D2349)+(AX2322+AX2340)*(1+$E2349),0.01)</f>
        <v/>
      </c>
      <c r="AY2349" s="35">
        <f>MAX(INDEX(AY$381:AY$392,$D2349)+(AY2322+AY2340)*(1+$E2349),0.01)</f>
        <v/>
      </c>
      <c r="AZ2349" s="35">
        <f>MAX(INDEX(AZ$381:AZ$392,$D2349)+(AZ2322+AZ2340)*(1+$E2349),0.01)</f>
        <v/>
      </c>
      <c r="BA2349" s="42">
        <f>POSTTAX(INDEX(BA$381:BA$392,$D2349),BA2322+BA2340,$E2349)</f>
        <v/>
      </c>
    </row>
    <row r="2350" hidden="1" outlineLevel="2">
      <c r="A2350" s="14" t="inlineStr">
        <is>
          <t>atp</t>
        </is>
      </c>
      <c r="B2350" s="14" t="inlineStr">
        <is>
          <t>die</t>
        </is>
      </c>
      <c r="C2350" s="14" t="inlineStr">
        <is>
          <t>mac</t>
        </is>
      </c>
      <c r="D2350" s="35">
        <f>INDEX(Inputs!$U$5:$U$132,MATCH($B2350&amp;"|"&amp;$C2350,Inputs!$A$5:$A$132,0))</f>
        <v/>
      </c>
      <c r="E2350" s="35">
        <f>INDEX(Inputs!$V$5:$V$132,MATCH($B2350&amp;"|"&amp;$C2350,Inputs!$A$5:$A$132,0))</f>
        <v/>
      </c>
      <c r="F2350" s="39" t="n"/>
      <c r="G2350" s="39" t="n"/>
      <c r="H2350" s="14">
        <f>INDEX(VarLab,MATCH($A2350,VarKey,0))&amp;INDEX(MemLab,MATCH($C2350&amp;"|"&amp;$B2350,MemKey,0))</f>
        <v/>
      </c>
      <c r="I2350" s="14">
        <f>INDEX(VarUnit,MATCH($A2350,VarKey,0))</f>
        <v/>
      </c>
      <c r="J2350" s="14">
        <f>INDEX(VarSrc,MATCH($A2350,VarKey,0))</f>
        <v/>
      </c>
      <c r="K2350" s="11">
        <f>CodePrefix&amp;$A2350&amp;IF($C2350="","","."&amp;$C2350&amp;"."&amp;$B2350)&amp;INDEX(VarEnd,MATCH($A2350,VarKey,0))&amp;K$5</f>
        <v/>
      </c>
      <c r="L2350" s="40">
        <f>MAX(INDEX(L$381:L$392,$D2350)+(L2323+L2341)*(1+$E2350),0.01)</f>
        <v/>
      </c>
      <c r="M2350" s="35">
        <f>MAX(INDEX(M$381:M$392,$D2350)+(M2323+M2341)*(1+$E2350),0.01)</f>
        <v/>
      </c>
      <c r="N2350" s="35">
        <f>MAX(INDEX(N$381:N$392,$D2350)+(N2323+N2341)*(1+$E2350),0.01)</f>
        <v/>
      </c>
      <c r="O2350" s="35">
        <f>MAX(INDEX(O$381:O$392,$D2350)+(O2323+O2341)*(1+$E2350),0.01)</f>
        <v/>
      </c>
      <c r="P2350" s="35">
        <f>MAX(INDEX(P$381:P$392,$D2350)+(P2323+P2341)*(1+$E2350),0.01)</f>
        <v/>
      </c>
      <c r="Q2350" s="35">
        <f>MAX(INDEX(Q$381:Q$392,$D2350)+(Q2323+Q2341)*(1+$E2350),0.01)</f>
        <v/>
      </c>
      <c r="R2350" s="35">
        <f>MAX(INDEX(R$381:R$392,$D2350)+(R2323+R2341)*(1+$E2350),0.01)</f>
        <v/>
      </c>
      <c r="S2350" s="35">
        <f>MAX(INDEX(S$381:S$392,$D2350)+(S2323+S2341)*(1+$E2350),0.01)</f>
        <v/>
      </c>
      <c r="T2350" s="35">
        <f>MAX(INDEX(T$381:T$392,$D2350)+(T2323+T2341)*(1+$E2350),0.01)</f>
        <v/>
      </c>
      <c r="U2350" s="35">
        <f>MAX(INDEX(U$381:U$392,$D2350)+(U2323+U2341)*(1+$E2350),0.01)</f>
        <v/>
      </c>
      <c r="V2350" s="35">
        <f>MAX(INDEX(V$381:V$392,$D2350)+(V2323+V2341)*(1+$E2350),0.01)</f>
        <v/>
      </c>
      <c r="W2350" s="35">
        <f>MAX(INDEX(W$381:W$392,$D2350)+(W2323+W2341)*(1+$E2350),0.01)</f>
        <v/>
      </c>
      <c r="X2350" s="35">
        <f>MAX(INDEX(X$381:X$392,$D2350)+(X2323+X2341)*(1+$E2350),0.01)</f>
        <v/>
      </c>
      <c r="Y2350" s="35">
        <f>MAX(INDEX(Y$381:Y$392,$D2350)+(Y2323+Y2341)*(1+$E2350),0.01)</f>
        <v/>
      </c>
      <c r="Z2350" s="35">
        <f>MAX(INDEX(Z$381:Z$392,$D2350)+(Z2323+Z2341)*(1+$E2350),0.01)</f>
        <v/>
      </c>
      <c r="AA2350" s="35">
        <f>MAX(INDEX(AA$381:AA$392,$D2350)+(AA2323+AA2341)*(1+$E2350),0.01)</f>
        <v/>
      </c>
      <c r="AB2350" s="35">
        <f>MAX(INDEX(AB$381:AB$392,$D2350)+(AB2323+AB2341)*(1+$E2350),0.01)</f>
        <v/>
      </c>
      <c r="AC2350" s="35">
        <f>MAX(INDEX(AC$381:AC$392,$D2350)+(AC2323+AC2341)*(1+$E2350),0.01)</f>
        <v/>
      </c>
      <c r="AD2350" s="35">
        <f>MAX(INDEX(AD$381:AD$392,$D2350)+(AD2323+AD2341)*(1+$E2350),0.01)</f>
        <v/>
      </c>
      <c r="AE2350" s="42">
        <f>POSTTAX(INDEX(AE$381:AE$392,$D2350),AE2323+AE2341,$E2350)</f>
        <v/>
      </c>
      <c r="AG2350" s="11">
        <f>CodePrefix&amp;$A2350&amp;IF($C2350="","","."&amp;$C2350&amp;"."&amp;$B2350)&amp;INDEX(VarEnd,MATCH($A2350,VarKey,0))&amp;AG$5</f>
        <v/>
      </c>
      <c r="AH2350" s="40">
        <f>MAX(INDEX(AH$381:AH$392,$D2350)+(AH2323+AH2341)*(1+$E2350),0.01)</f>
        <v/>
      </c>
      <c r="AI2350" s="35">
        <f>MAX(INDEX(AI$381:AI$392,$D2350)+(AI2323+AI2341)*(1+$E2350),0.01)</f>
        <v/>
      </c>
      <c r="AJ2350" s="35">
        <f>MAX(INDEX(AJ$381:AJ$392,$D2350)+(AJ2323+AJ2341)*(1+$E2350),0.01)</f>
        <v/>
      </c>
      <c r="AK2350" s="35">
        <f>MAX(INDEX(AK$381:AK$392,$D2350)+(AK2323+AK2341)*(1+$E2350),0.01)</f>
        <v/>
      </c>
      <c r="AL2350" s="35">
        <f>MAX(INDEX(AL$381:AL$392,$D2350)+(AL2323+AL2341)*(1+$E2350),0.01)</f>
        <v/>
      </c>
      <c r="AM2350" s="35">
        <f>MAX(INDEX(AM$381:AM$392,$D2350)+(AM2323+AM2341)*(1+$E2350),0.01)</f>
        <v/>
      </c>
      <c r="AN2350" s="35">
        <f>MAX(INDEX(AN$381:AN$392,$D2350)+(AN2323+AN2341)*(1+$E2350),0.01)</f>
        <v/>
      </c>
      <c r="AO2350" s="35">
        <f>MAX(INDEX(AO$381:AO$392,$D2350)+(AO2323+AO2341)*(1+$E2350),0.01)</f>
        <v/>
      </c>
      <c r="AP2350" s="35">
        <f>MAX(INDEX(AP$381:AP$392,$D2350)+(AP2323+AP2341)*(1+$E2350),0.01)</f>
        <v/>
      </c>
      <c r="AQ2350" s="35">
        <f>MAX(INDEX(AQ$381:AQ$392,$D2350)+(AQ2323+AQ2341)*(1+$E2350),0.01)</f>
        <v/>
      </c>
      <c r="AR2350" s="35">
        <f>MAX(INDEX(AR$381:AR$392,$D2350)+(AR2323+AR2341)*(1+$E2350),0.01)</f>
        <v/>
      </c>
      <c r="AS2350" s="35">
        <f>MAX(INDEX(AS$381:AS$392,$D2350)+(AS2323+AS2341)*(1+$E2350),0.01)</f>
        <v/>
      </c>
      <c r="AT2350" s="35">
        <f>MAX(INDEX(AT$381:AT$392,$D2350)+(AT2323+AT2341)*(1+$E2350),0.01)</f>
        <v/>
      </c>
      <c r="AU2350" s="35">
        <f>MAX(INDEX(AU$381:AU$392,$D2350)+(AU2323+AU2341)*(1+$E2350),0.01)</f>
        <v/>
      </c>
      <c r="AV2350" s="35">
        <f>MAX(INDEX(AV$381:AV$392,$D2350)+(AV2323+AV2341)*(1+$E2350),0.01)</f>
        <v/>
      </c>
      <c r="AW2350" s="35">
        <f>MAX(INDEX(AW$381:AW$392,$D2350)+(AW2323+AW2341)*(1+$E2350),0.01)</f>
        <v/>
      </c>
      <c r="AX2350" s="35">
        <f>MAX(INDEX(AX$381:AX$392,$D2350)+(AX2323+AX2341)*(1+$E2350),0.01)</f>
        <v/>
      </c>
      <c r="AY2350" s="35">
        <f>MAX(INDEX(AY$381:AY$392,$D2350)+(AY2323+AY2341)*(1+$E2350),0.01)</f>
        <v/>
      </c>
      <c r="AZ2350" s="35">
        <f>MAX(INDEX(AZ$381:AZ$392,$D2350)+(AZ2323+AZ2341)*(1+$E2350),0.01)</f>
        <v/>
      </c>
      <c r="BA2350" s="42">
        <f>POSTTAX(INDEX(BA$381:BA$392,$D2350),BA2323+BA2341,$E2350)</f>
        <v/>
      </c>
    </row>
    <row r="2351" hidden="1" outlineLevel="2">
      <c r="A2351" s="14" t="inlineStr">
        <is>
          <t>atp</t>
        </is>
      </c>
      <c r="B2351" s="14" t="inlineStr">
        <is>
          <t>lpg</t>
        </is>
      </c>
      <c r="C2351" s="14" t="inlineStr">
        <is>
          <t>mac</t>
        </is>
      </c>
      <c r="D2351" s="35">
        <f>INDEX(Inputs!$U$5:$U$132,MATCH($B2351&amp;"|"&amp;$C2351,Inputs!$A$5:$A$132,0))</f>
        <v/>
      </c>
      <c r="E2351" s="35">
        <f>INDEX(Inputs!$V$5:$V$132,MATCH($B2351&amp;"|"&amp;$C2351,Inputs!$A$5:$A$132,0))</f>
        <v/>
      </c>
      <c r="F2351" s="39" t="n"/>
      <c r="G2351" s="39" t="n"/>
      <c r="H2351" s="14">
        <f>INDEX(VarLab,MATCH($A2351,VarKey,0))&amp;INDEX(MemLab,MATCH($C2351&amp;"|"&amp;$B2351,MemKey,0))</f>
        <v/>
      </c>
      <c r="I2351" s="14">
        <f>INDEX(VarUnit,MATCH($A2351,VarKey,0))</f>
        <v/>
      </c>
      <c r="J2351" s="14">
        <f>INDEX(VarSrc,MATCH($A2351,VarKey,0))</f>
        <v/>
      </c>
      <c r="K2351" s="11">
        <f>CodePrefix&amp;$A2351&amp;IF($C2351="","","."&amp;$C2351&amp;"."&amp;$B2351)&amp;INDEX(VarEnd,MATCH($A2351,VarKey,0))&amp;K$5</f>
        <v/>
      </c>
      <c r="L2351" s="40">
        <f>MAX(INDEX(L$381:L$392,$D2351)+(L2324+L2342)*(1+$E2351),0.01)</f>
        <v/>
      </c>
      <c r="M2351" s="35">
        <f>MAX(INDEX(M$381:M$392,$D2351)+(M2324+M2342)*(1+$E2351),0.01)</f>
        <v/>
      </c>
      <c r="N2351" s="35">
        <f>MAX(INDEX(N$381:N$392,$D2351)+(N2324+N2342)*(1+$E2351),0.01)</f>
        <v/>
      </c>
      <c r="O2351" s="35">
        <f>MAX(INDEX(O$381:O$392,$D2351)+(O2324+O2342)*(1+$E2351),0.01)</f>
        <v/>
      </c>
      <c r="P2351" s="35">
        <f>MAX(INDEX(P$381:P$392,$D2351)+(P2324+P2342)*(1+$E2351),0.01)</f>
        <v/>
      </c>
      <c r="Q2351" s="35">
        <f>MAX(INDEX(Q$381:Q$392,$D2351)+(Q2324+Q2342)*(1+$E2351),0.01)</f>
        <v/>
      </c>
      <c r="R2351" s="35">
        <f>MAX(INDEX(R$381:R$392,$D2351)+(R2324+R2342)*(1+$E2351),0.01)</f>
        <v/>
      </c>
      <c r="S2351" s="35">
        <f>MAX(INDEX(S$381:S$392,$D2351)+(S2324+S2342)*(1+$E2351),0.01)</f>
        <v/>
      </c>
      <c r="T2351" s="35">
        <f>MAX(INDEX(T$381:T$392,$D2351)+(T2324+T2342)*(1+$E2351),0.01)</f>
        <v/>
      </c>
      <c r="U2351" s="35">
        <f>MAX(INDEX(U$381:U$392,$D2351)+(U2324+U2342)*(1+$E2351),0.01)</f>
        <v/>
      </c>
      <c r="V2351" s="35">
        <f>MAX(INDEX(V$381:V$392,$D2351)+(V2324+V2342)*(1+$E2351),0.01)</f>
        <v/>
      </c>
      <c r="W2351" s="35">
        <f>MAX(INDEX(W$381:W$392,$D2351)+(W2324+W2342)*(1+$E2351),0.01)</f>
        <v/>
      </c>
      <c r="X2351" s="35">
        <f>MAX(INDEX(X$381:X$392,$D2351)+(X2324+X2342)*(1+$E2351),0.01)</f>
        <v/>
      </c>
      <c r="Y2351" s="35">
        <f>MAX(INDEX(Y$381:Y$392,$D2351)+(Y2324+Y2342)*(1+$E2351),0.01)</f>
        <v/>
      </c>
      <c r="Z2351" s="35">
        <f>MAX(INDEX(Z$381:Z$392,$D2351)+(Z2324+Z2342)*(1+$E2351),0.01)</f>
        <v/>
      </c>
      <c r="AA2351" s="35">
        <f>MAX(INDEX(AA$381:AA$392,$D2351)+(AA2324+AA2342)*(1+$E2351),0.01)</f>
        <v/>
      </c>
      <c r="AB2351" s="35">
        <f>MAX(INDEX(AB$381:AB$392,$D2351)+(AB2324+AB2342)*(1+$E2351),0.01)</f>
        <v/>
      </c>
      <c r="AC2351" s="35">
        <f>MAX(INDEX(AC$381:AC$392,$D2351)+(AC2324+AC2342)*(1+$E2351),0.01)</f>
        <v/>
      </c>
      <c r="AD2351" s="35">
        <f>MAX(INDEX(AD$381:AD$392,$D2351)+(AD2324+AD2342)*(1+$E2351),0.01)</f>
        <v/>
      </c>
      <c r="AE2351" s="42">
        <f>POSTTAX(INDEX(AE$381:AE$392,$D2351),AE2324+AE2342,$E2351)</f>
        <v/>
      </c>
      <c r="AG2351" s="11">
        <f>CodePrefix&amp;$A2351&amp;IF($C2351="","","."&amp;$C2351&amp;"."&amp;$B2351)&amp;INDEX(VarEnd,MATCH($A2351,VarKey,0))&amp;AG$5</f>
        <v/>
      </c>
      <c r="AH2351" s="40">
        <f>MAX(INDEX(AH$381:AH$392,$D2351)+(AH2324+AH2342)*(1+$E2351),0.01)</f>
        <v/>
      </c>
      <c r="AI2351" s="35">
        <f>MAX(INDEX(AI$381:AI$392,$D2351)+(AI2324+AI2342)*(1+$E2351),0.01)</f>
        <v/>
      </c>
      <c r="AJ2351" s="35">
        <f>MAX(INDEX(AJ$381:AJ$392,$D2351)+(AJ2324+AJ2342)*(1+$E2351),0.01)</f>
        <v/>
      </c>
      <c r="AK2351" s="35">
        <f>MAX(INDEX(AK$381:AK$392,$D2351)+(AK2324+AK2342)*(1+$E2351),0.01)</f>
        <v/>
      </c>
      <c r="AL2351" s="35">
        <f>MAX(INDEX(AL$381:AL$392,$D2351)+(AL2324+AL2342)*(1+$E2351),0.01)</f>
        <v/>
      </c>
      <c r="AM2351" s="35">
        <f>MAX(INDEX(AM$381:AM$392,$D2351)+(AM2324+AM2342)*(1+$E2351),0.01)</f>
        <v/>
      </c>
      <c r="AN2351" s="35">
        <f>MAX(INDEX(AN$381:AN$392,$D2351)+(AN2324+AN2342)*(1+$E2351),0.01)</f>
        <v/>
      </c>
      <c r="AO2351" s="35">
        <f>MAX(INDEX(AO$381:AO$392,$D2351)+(AO2324+AO2342)*(1+$E2351),0.01)</f>
        <v/>
      </c>
      <c r="AP2351" s="35">
        <f>MAX(INDEX(AP$381:AP$392,$D2351)+(AP2324+AP2342)*(1+$E2351),0.01)</f>
        <v/>
      </c>
      <c r="AQ2351" s="35">
        <f>MAX(INDEX(AQ$381:AQ$392,$D2351)+(AQ2324+AQ2342)*(1+$E2351),0.01)</f>
        <v/>
      </c>
      <c r="AR2351" s="35">
        <f>MAX(INDEX(AR$381:AR$392,$D2351)+(AR2324+AR2342)*(1+$E2351),0.01)</f>
        <v/>
      </c>
      <c r="AS2351" s="35">
        <f>MAX(INDEX(AS$381:AS$392,$D2351)+(AS2324+AS2342)*(1+$E2351),0.01)</f>
        <v/>
      </c>
      <c r="AT2351" s="35">
        <f>MAX(INDEX(AT$381:AT$392,$D2351)+(AT2324+AT2342)*(1+$E2351),0.01)</f>
        <v/>
      </c>
      <c r="AU2351" s="35">
        <f>MAX(INDEX(AU$381:AU$392,$D2351)+(AU2324+AU2342)*(1+$E2351),0.01)</f>
        <v/>
      </c>
      <c r="AV2351" s="35">
        <f>MAX(INDEX(AV$381:AV$392,$D2351)+(AV2324+AV2342)*(1+$E2351),0.01)</f>
        <v/>
      </c>
      <c r="AW2351" s="35">
        <f>MAX(INDEX(AW$381:AW$392,$D2351)+(AW2324+AW2342)*(1+$E2351),0.01)</f>
        <v/>
      </c>
      <c r="AX2351" s="35">
        <f>MAX(INDEX(AX$381:AX$392,$D2351)+(AX2324+AX2342)*(1+$E2351),0.01)</f>
        <v/>
      </c>
      <c r="AY2351" s="35">
        <f>MAX(INDEX(AY$381:AY$392,$D2351)+(AY2324+AY2342)*(1+$E2351),0.01)</f>
        <v/>
      </c>
      <c r="AZ2351" s="35">
        <f>MAX(INDEX(AZ$381:AZ$392,$D2351)+(AZ2324+AZ2342)*(1+$E2351),0.01)</f>
        <v/>
      </c>
      <c r="BA2351" s="42">
        <f>POSTTAX(INDEX(BA$381:BA$392,$D2351),BA2324+BA2342,$E2351)</f>
        <v/>
      </c>
    </row>
    <row r="2352" hidden="1" outlineLevel="2">
      <c r="A2352" s="14" t="inlineStr">
        <is>
          <t>atp</t>
        </is>
      </c>
      <c r="B2352" s="14" t="inlineStr">
        <is>
          <t>ker</t>
        </is>
      </c>
      <c r="C2352" s="14" t="inlineStr">
        <is>
          <t>mac</t>
        </is>
      </c>
      <c r="D2352" s="35">
        <f>INDEX(Inputs!$U$5:$U$132,MATCH($B2352&amp;"|"&amp;$C2352,Inputs!$A$5:$A$132,0))</f>
        <v/>
      </c>
      <c r="E2352" s="35">
        <f>INDEX(Inputs!$V$5:$V$132,MATCH($B2352&amp;"|"&amp;$C2352,Inputs!$A$5:$A$132,0))</f>
        <v/>
      </c>
      <c r="F2352" s="39" t="n"/>
      <c r="G2352" s="39" t="n"/>
      <c r="H2352" s="14">
        <f>INDEX(VarLab,MATCH($A2352,VarKey,0))&amp;INDEX(MemLab,MATCH($C2352&amp;"|"&amp;$B2352,MemKey,0))</f>
        <v/>
      </c>
      <c r="I2352" s="14">
        <f>INDEX(VarUnit,MATCH($A2352,VarKey,0))</f>
        <v/>
      </c>
      <c r="J2352" s="14">
        <f>INDEX(VarSrc,MATCH($A2352,VarKey,0))</f>
        <v/>
      </c>
      <c r="K2352" s="11">
        <f>CodePrefix&amp;$A2352&amp;IF($C2352="","","."&amp;$C2352&amp;"."&amp;$B2352)&amp;INDEX(VarEnd,MATCH($A2352,VarKey,0))&amp;K$5</f>
        <v/>
      </c>
      <c r="L2352" s="40">
        <f>MAX(INDEX(L$381:L$392,$D2352)+(L2325+L2343)*(1+$E2352),0.01)</f>
        <v/>
      </c>
      <c r="M2352" s="35">
        <f>MAX(INDEX(M$381:M$392,$D2352)+(M2325+M2343)*(1+$E2352),0.01)</f>
        <v/>
      </c>
      <c r="N2352" s="35">
        <f>MAX(INDEX(N$381:N$392,$D2352)+(N2325+N2343)*(1+$E2352),0.01)</f>
        <v/>
      </c>
      <c r="O2352" s="35">
        <f>MAX(INDEX(O$381:O$392,$D2352)+(O2325+O2343)*(1+$E2352),0.01)</f>
        <v/>
      </c>
      <c r="P2352" s="35">
        <f>MAX(INDEX(P$381:P$392,$D2352)+(P2325+P2343)*(1+$E2352),0.01)</f>
        <v/>
      </c>
      <c r="Q2352" s="35">
        <f>MAX(INDEX(Q$381:Q$392,$D2352)+(Q2325+Q2343)*(1+$E2352),0.01)</f>
        <v/>
      </c>
      <c r="R2352" s="35">
        <f>MAX(INDEX(R$381:R$392,$D2352)+(R2325+R2343)*(1+$E2352),0.01)</f>
        <v/>
      </c>
      <c r="S2352" s="35">
        <f>MAX(INDEX(S$381:S$392,$D2352)+(S2325+S2343)*(1+$E2352),0.01)</f>
        <v/>
      </c>
      <c r="T2352" s="35">
        <f>MAX(INDEX(T$381:T$392,$D2352)+(T2325+T2343)*(1+$E2352),0.01)</f>
        <v/>
      </c>
      <c r="U2352" s="35">
        <f>MAX(INDEX(U$381:U$392,$D2352)+(U2325+U2343)*(1+$E2352),0.01)</f>
        <v/>
      </c>
      <c r="V2352" s="35">
        <f>MAX(INDEX(V$381:V$392,$D2352)+(V2325+V2343)*(1+$E2352),0.01)</f>
        <v/>
      </c>
      <c r="W2352" s="35">
        <f>MAX(INDEX(W$381:W$392,$D2352)+(W2325+W2343)*(1+$E2352),0.01)</f>
        <v/>
      </c>
      <c r="X2352" s="35">
        <f>MAX(INDEX(X$381:X$392,$D2352)+(X2325+X2343)*(1+$E2352),0.01)</f>
        <v/>
      </c>
      <c r="Y2352" s="35">
        <f>MAX(INDEX(Y$381:Y$392,$D2352)+(Y2325+Y2343)*(1+$E2352),0.01)</f>
        <v/>
      </c>
      <c r="Z2352" s="35">
        <f>MAX(INDEX(Z$381:Z$392,$D2352)+(Z2325+Z2343)*(1+$E2352),0.01)</f>
        <v/>
      </c>
      <c r="AA2352" s="35">
        <f>MAX(INDEX(AA$381:AA$392,$D2352)+(AA2325+AA2343)*(1+$E2352),0.01)</f>
        <v/>
      </c>
      <c r="AB2352" s="35">
        <f>MAX(INDEX(AB$381:AB$392,$D2352)+(AB2325+AB2343)*(1+$E2352),0.01)</f>
        <v/>
      </c>
      <c r="AC2352" s="35">
        <f>MAX(INDEX(AC$381:AC$392,$D2352)+(AC2325+AC2343)*(1+$E2352),0.01)</f>
        <v/>
      </c>
      <c r="AD2352" s="35">
        <f>MAX(INDEX(AD$381:AD$392,$D2352)+(AD2325+AD2343)*(1+$E2352),0.01)</f>
        <v/>
      </c>
      <c r="AE2352" s="42">
        <f>POSTTAX(INDEX(AE$381:AE$392,$D2352),AE2325+AE2343,$E2352)</f>
        <v/>
      </c>
      <c r="AG2352" s="11">
        <f>CodePrefix&amp;$A2352&amp;IF($C2352="","","."&amp;$C2352&amp;"."&amp;$B2352)&amp;INDEX(VarEnd,MATCH($A2352,VarKey,0))&amp;AG$5</f>
        <v/>
      </c>
      <c r="AH2352" s="40">
        <f>MAX(INDEX(AH$381:AH$392,$D2352)+(AH2325+AH2343)*(1+$E2352),0.01)</f>
        <v/>
      </c>
      <c r="AI2352" s="35">
        <f>MAX(INDEX(AI$381:AI$392,$D2352)+(AI2325+AI2343)*(1+$E2352),0.01)</f>
        <v/>
      </c>
      <c r="AJ2352" s="35">
        <f>MAX(INDEX(AJ$381:AJ$392,$D2352)+(AJ2325+AJ2343)*(1+$E2352),0.01)</f>
        <v/>
      </c>
      <c r="AK2352" s="35">
        <f>MAX(INDEX(AK$381:AK$392,$D2352)+(AK2325+AK2343)*(1+$E2352),0.01)</f>
        <v/>
      </c>
      <c r="AL2352" s="35">
        <f>MAX(INDEX(AL$381:AL$392,$D2352)+(AL2325+AL2343)*(1+$E2352),0.01)</f>
        <v/>
      </c>
      <c r="AM2352" s="35">
        <f>MAX(INDEX(AM$381:AM$392,$D2352)+(AM2325+AM2343)*(1+$E2352),0.01)</f>
        <v/>
      </c>
      <c r="AN2352" s="35">
        <f>MAX(INDEX(AN$381:AN$392,$D2352)+(AN2325+AN2343)*(1+$E2352),0.01)</f>
        <v/>
      </c>
      <c r="AO2352" s="35">
        <f>MAX(INDEX(AO$381:AO$392,$D2352)+(AO2325+AO2343)*(1+$E2352),0.01)</f>
        <v/>
      </c>
      <c r="AP2352" s="35">
        <f>MAX(INDEX(AP$381:AP$392,$D2352)+(AP2325+AP2343)*(1+$E2352),0.01)</f>
        <v/>
      </c>
      <c r="AQ2352" s="35">
        <f>MAX(INDEX(AQ$381:AQ$392,$D2352)+(AQ2325+AQ2343)*(1+$E2352),0.01)</f>
        <v/>
      </c>
      <c r="AR2352" s="35">
        <f>MAX(INDEX(AR$381:AR$392,$D2352)+(AR2325+AR2343)*(1+$E2352),0.01)</f>
        <v/>
      </c>
      <c r="AS2352" s="35">
        <f>MAX(INDEX(AS$381:AS$392,$D2352)+(AS2325+AS2343)*(1+$E2352),0.01)</f>
        <v/>
      </c>
      <c r="AT2352" s="35">
        <f>MAX(INDEX(AT$381:AT$392,$D2352)+(AT2325+AT2343)*(1+$E2352),0.01)</f>
        <v/>
      </c>
      <c r="AU2352" s="35">
        <f>MAX(INDEX(AU$381:AU$392,$D2352)+(AU2325+AU2343)*(1+$E2352),0.01)</f>
        <v/>
      </c>
      <c r="AV2352" s="35">
        <f>MAX(INDEX(AV$381:AV$392,$D2352)+(AV2325+AV2343)*(1+$E2352),0.01)</f>
        <v/>
      </c>
      <c r="AW2352" s="35">
        <f>MAX(INDEX(AW$381:AW$392,$D2352)+(AW2325+AW2343)*(1+$E2352),0.01)</f>
        <v/>
      </c>
      <c r="AX2352" s="35">
        <f>MAX(INDEX(AX$381:AX$392,$D2352)+(AX2325+AX2343)*(1+$E2352),0.01)</f>
        <v/>
      </c>
      <c r="AY2352" s="35">
        <f>MAX(INDEX(AY$381:AY$392,$D2352)+(AY2325+AY2343)*(1+$E2352),0.01)</f>
        <v/>
      </c>
      <c r="AZ2352" s="35">
        <f>MAX(INDEX(AZ$381:AZ$392,$D2352)+(AZ2325+AZ2343)*(1+$E2352),0.01)</f>
        <v/>
      </c>
      <c r="BA2352" s="42">
        <f>POSTTAX(INDEX(BA$381:BA$392,$D2352),BA2325+BA2343,$E2352)</f>
        <v/>
      </c>
    </row>
    <row r="2353" hidden="1" outlineLevel="2">
      <c r="A2353" s="14" t="inlineStr">
        <is>
          <t>atp</t>
        </is>
      </c>
      <c r="B2353" s="14" t="inlineStr">
        <is>
          <t>oop</t>
        </is>
      </c>
      <c r="C2353" s="14" t="inlineStr">
        <is>
          <t>mac</t>
        </is>
      </c>
      <c r="D2353" s="35">
        <f>INDEX(Inputs!$U$5:$U$132,MATCH($B2353&amp;"|"&amp;$C2353,Inputs!$A$5:$A$132,0))</f>
        <v/>
      </c>
      <c r="E2353" s="35">
        <f>INDEX(Inputs!$V$5:$V$132,MATCH($B2353&amp;"|"&amp;$C2353,Inputs!$A$5:$A$132,0))</f>
        <v/>
      </c>
      <c r="F2353" s="39" t="n"/>
      <c r="G2353" s="39" t="n"/>
      <c r="H2353" s="14">
        <f>INDEX(VarLab,MATCH($A2353,VarKey,0))&amp;INDEX(MemLab,MATCH($C2353&amp;"|"&amp;$B2353,MemKey,0))</f>
        <v/>
      </c>
      <c r="I2353" s="14">
        <f>INDEX(VarUnit,MATCH($A2353,VarKey,0))</f>
        <v/>
      </c>
      <c r="J2353" s="14">
        <f>INDEX(VarSrc,MATCH($A2353,VarKey,0))</f>
        <v/>
      </c>
      <c r="K2353" s="11">
        <f>CodePrefix&amp;$A2353&amp;IF($C2353="","","."&amp;$C2353&amp;"."&amp;$B2353)&amp;INDEX(VarEnd,MATCH($A2353,VarKey,0))&amp;K$5</f>
        <v/>
      </c>
      <c r="L2353" s="40">
        <f>MAX(INDEX(L$381:L$392,$D2353)+(L2326+L2344)*(1+$E2353),0.01)</f>
        <v/>
      </c>
      <c r="M2353" s="35">
        <f>MAX(INDEX(M$381:M$392,$D2353)+(M2326+M2344)*(1+$E2353),0.01)</f>
        <v/>
      </c>
      <c r="N2353" s="35">
        <f>MAX(INDEX(N$381:N$392,$D2353)+(N2326+N2344)*(1+$E2353),0.01)</f>
        <v/>
      </c>
      <c r="O2353" s="35">
        <f>MAX(INDEX(O$381:O$392,$D2353)+(O2326+O2344)*(1+$E2353),0.01)</f>
        <v/>
      </c>
      <c r="P2353" s="35">
        <f>MAX(INDEX(P$381:P$392,$D2353)+(P2326+P2344)*(1+$E2353),0.01)</f>
        <v/>
      </c>
      <c r="Q2353" s="35">
        <f>MAX(INDEX(Q$381:Q$392,$D2353)+(Q2326+Q2344)*(1+$E2353),0.01)</f>
        <v/>
      </c>
      <c r="R2353" s="35">
        <f>MAX(INDEX(R$381:R$392,$D2353)+(R2326+R2344)*(1+$E2353),0.01)</f>
        <v/>
      </c>
      <c r="S2353" s="35">
        <f>MAX(INDEX(S$381:S$392,$D2353)+(S2326+S2344)*(1+$E2353),0.01)</f>
        <v/>
      </c>
      <c r="T2353" s="35">
        <f>MAX(INDEX(T$381:T$392,$D2353)+(T2326+T2344)*(1+$E2353),0.01)</f>
        <v/>
      </c>
      <c r="U2353" s="35">
        <f>MAX(INDEX(U$381:U$392,$D2353)+(U2326+U2344)*(1+$E2353),0.01)</f>
        <v/>
      </c>
      <c r="V2353" s="35">
        <f>MAX(INDEX(V$381:V$392,$D2353)+(V2326+V2344)*(1+$E2353),0.01)</f>
        <v/>
      </c>
      <c r="W2353" s="35">
        <f>MAX(INDEX(W$381:W$392,$D2353)+(W2326+W2344)*(1+$E2353),0.01)</f>
        <v/>
      </c>
      <c r="X2353" s="35">
        <f>MAX(INDEX(X$381:X$392,$D2353)+(X2326+X2344)*(1+$E2353),0.01)</f>
        <v/>
      </c>
      <c r="Y2353" s="35">
        <f>MAX(INDEX(Y$381:Y$392,$D2353)+(Y2326+Y2344)*(1+$E2353),0.01)</f>
        <v/>
      </c>
      <c r="Z2353" s="35">
        <f>MAX(INDEX(Z$381:Z$392,$D2353)+(Z2326+Z2344)*(1+$E2353),0.01)</f>
        <v/>
      </c>
      <c r="AA2353" s="35">
        <f>MAX(INDEX(AA$381:AA$392,$D2353)+(AA2326+AA2344)*(1+$E2353),0.01)</f>
        <v/>
      </c>
      <c r="AB2353" s="35">
        <f>MAX(INDEX(AB$381:AB$392,$D2353)+(AB2326+AB2344)*(1+$E2353),0.01)</f>
        <v/>
      </c>
      <c r="AC2353" s="35">
        <f>MAX(INDEX(AC$381:AC$392,$D2353)+(AC2326+AC2344)*(1+$E2353),0.01)</f>
        <v/>
      </c>
      <c r="AD2353" s="35">
        <f>MAX(INDEX(AD$381:AD$392,$D2353)+(AD2326+AD2344)*(1+$E2353),0.01)</f>
        <v/>
      </c>
      <c r="AE2353" s="42">
        <f>POSTTAX(INDEX(AE$381:AE$392,$D2353),AE2326+AE2344,$E2353)</f>
        <v/>
      </c>
      <c r="AG2353" s="11">
        <f>CodePrefix&amp;$A2353&amp;IF($C2353="","","."&amp;$C2353&amp;"."&amp;$B2353)&amp;INDEX(VarEnd,MATCH($A2353,VarKey,0))&amp;AG$5</f>
        <v/>
      </c>
      <c r="AH2353" s="40">
        <f>MAX(INDEX(AH$381:AH$392,$D2353)+(AH2326+AH2344)*(1+$E2353),0.01)</f>
        <v/>
      </c>
      <c r="AI2353" s="35">
        <f>MAX(INDEX(AI$381:AI$392,$D2353)+(AI2326+AI2344)*(1+$E2353),0.01)</f>
        <v/>
      </c>
      <c r="AJ2353" s="35">
        <f>MAX(INDEX(AJ$381:AJ$392,$D2353)+(AJ2326+AJ2344)*(1+$E2353),0.01)</f>
        <v/>
      </c>
      <c r="AK2353" s="35">
        <f>MAX(INDEX(AK$381:AK$392,$D2353)+(AK2326+AK2344)*(1+$E2353),0.01)</f>
        <v/>
      </c>
      <c r="AL2353" s="35">
        <f>MAX(INDEX(AL$381:AL$392,$D2353)+(AL2326+AL2344)*(1+$E2353),0.01)</f>
        <v/>
      </c>
      <c r="AM2353" s="35">
        <f>MAX(INDEX(AM$381:AM$392,$D2353)+(AM2326+AM2344)*(1+$E2353),0.01)</f>
        <v/>
      </c>
      <c r="AN2353" s="35">
        <f>MAX(INDEX(AN$381:AN$392,$D2353)+(AN2326+AN2344)*(1+$E2353),0.01)</f>
        <v/>
      </c>
      <c r="AO2353" s="35">
        <f>MAX(INDEX(AO$381:AO$392,$D2353)+(AO2326+AO2344)*(1+$E2353),0.01)</f>
        <v/>
      </c>
      <c r="AP2353" s="35">
        <f>MAX(INDEX(AP$381:AP$392,$D2353)+(AP2326+AP2344)*(1+$E2353),0.01)</f>
        <v/>
      </c>
      <c r="AQ2353" s="35">
        <f>MAX(INDEX(AQ$381:AQ$392,$D2353)+(AQ2326+AQ2344)*(1+$E2353),0.01)</f>
        <v/>
      </c>
      <c r="AR2353" s="35">
        <f>MAX(INDEX(AR$381:AR$392,$D2353)+(AR2326+AR2344)*(1+$E2353),0.01)</f>
        <v/>
      </c>
      <c r="AS2353" s="35">
        <f>MAX(INDEX(AS$381:AS$392,$D2353)+(AS2326+AS2344)*(1+$E2353),0.01)</f>
        <v/>
      </c>
      <c r="AT2353" s="35">
        <f>MAX(INDEX(AT$381:AT$392,$D2353)+(AT2326+AT2344)*(1+$E2353),0.01)</f>
        <v/>
      </c>
      <c r="AU2353" s="35">
        <f>MAX(INDEX(AU$381:AU$392,$D2353)+(AU2326+AU2344)*(1+$E2353),0.01)</f>
        <v/>
      </c>
      <c r="AV2353" s="35">
        <f>MAX(INDEX(AV$381:AV$392,$D2353)+(AV2326+AV2344)*(1+$E2353),0.01)</f>
        <v/>
      </c>
      <c r="AW2353" s="35">
        <f>MAX(INDEX(AW$381:AW$392,$D2353)+(AW2326+AW2344)*(1+$E2353),0.01)</f>
        <v/>
      </c>
      <c r="AX2353" s="35">
        <f>MAX(INDEX(AX$381:AX$392,$D2353)+(AX2326+AX2344)*(1+$E2353),0.01)</f>
        <v/>
      </c>
      <c r="AY2353" s="35">
        <f>MAX(INDEX(AY$381:AY$392,$D2353)+(AY2326+AY2344)*(1+$E2353),0.01)</f>
        <v/>
      </c>
      <c r="AZ2353" s="35">
        <f>MAX(INDEX(AZ$381:AZ$392,$D2353)+(AZ2326+AZ2344)*(1+$E2353),0.01)</f>
        <v/>
      </c>
      <c r="BA2353" s="42">
        <f>POSTTAX(INDEX(BA$381:BA$392,$D2353),BA2326+BA2344,$E2353)</f>
        <v/>
      </c>
    </row>
    <row r="2354" hidden="1" outlineLevel="2">
      <c r="A2354" s="14" t="inlineStr">
        <is>
          <t>atp</t>
        </is>
      </c>
      <c r="B2354" s="14" t="inlineStr">
        <is>
          <t>bio</t>
        </is>
      </c>
      <c r="C2354" s="14" t="inlineStr">
        <is>
          <t>mac</t>
        </is>
      </c>
      <c r="D2354" s="35">
        <f>INDEX(Inputs!$U$5:$U$132,MATCH($B2354&amp;"|"&amp;$C2354,Inputs!$A$5:$A$132,0))</f>
        <v/>
      </c>
      <c r="E2354" s="35">
        <f>INDEX(Inputs!$V$5:$V$132,MATCH($B2354&amp;"|"&amp;$C2354,Inputs!$A$5:$A$132,0))</f>
        <v/>
      </c>
      <c r="F2354" s="39" t="n"/>
      <c r="G2354" s="39" t="n"/>
      <c r="H2354" s="14">
        <f>INDEX(VarLab,MATCH($A2354,VarKey,0))&amp;INDEX(MemLab,MATCH($C2354&amp;"|"&amp;$B2354,MemKey,0))</f>
        <v/>
      </c>
      <c r="I2354" s="14">
        <f>INDEX(VarUnit,MATCH($A2354,VarKey,0))</f>
        <v/>
      </c>
      <c r="J2354" s="14">
        <f>INDEX(VarSrc,MATCH($A2354,VarKey,0))</f>
        <v/>
      </c>
      <c r="K2354" s="11">
        <f>CodePrefix&amp;$A2354&amp;IF($C2354="","","."&amp;$C2354&amp;"."&amp;$B2354)&amp;INDEX(VarEnd,MATCH($A2354,VarKey,0))&amp;K$5</f>
        <v/>
      </c>
      <c r="L2354" s="40">
        <f>MAX(INDEX(L$381:L$392,$D2354)+(L2327+L2345)*(1+$E2354),0.01)</f>
        <v/>
      </c>
      <c r="M2354" s="35">
        <f>MAX(INDEX(M$381:M$392,$D2354)+(M2327+M2345)*(1+$E2354),0.01)</f>
        <v/>
      </c>
      <c r="N2354" s="35">
        <f>MAX(INDEX(N$381:N$392,$D2354)+(N2327+N2345)*(1+$E2354),0.01)</f>
        <v/>
      </c>
      <c r="O2354" s="35">
        <f>MAX(INDEX(O$381:O$392,$D2354)+(O2327+O2345)*(1+$E2354),0.01)</f>
        <v/>
      </c>
      <c r="P2354" s="35">
        <f>MAX(INDEX(P$381:P$392,$D2354)+(P2327+P2345)*(1+$E2354),0.01)</f>
        <v/>
      </c>
      <c r="Q2354" s="35">
        <f>MAX(INDEX(Q$381:Q$392,$D2354)+(Q2327+Q2345)*(1+$E2354),0.01)</f>
        <v/>
      </c>
      <c r="R2354" s="35">
        <f>MAX(INDEX(R$381:R$392,$D2354)+(R2327+R2345)*(1+$E2354),0.01)</f>
        <v/>
      </c>
      <c r="S2354" s="35">
        <f>MAX(INDEX(S$381:S$392,$D2354)+(S2327+S2345)*(1+$E2354),0.01)</f>
        <v/>
      </c>
      <c r="T2354" s="35">
        <f>MAX(INDEX(T$381:T$392,$D2354)+(T2327+T2345)*(1+$E2354),0.01)</f>
        <v/>
      </c>
      <c r="U2354" s="35">
        <f>MAX(INDEX(U$381:U$392,$D2354)+(U2327+U2345)*(1+$E2354),0.01)</f>
        <v/>
      </c>
      <c r="V2354" s="35">
        <f>MAX(INDEX(V$381:V$392,$D2354)+(V2327+V2345)*(1+$E2354),0.01)</f>
        <v/>
      </c>
      <c r="W2354" s="35">
        <f>MAX(INDEX(W$381:W$392,$D2354)+(W2327+W2345)*(1+$E2354),0.01)</f>
        <v/>
      </c>
      <c r="X2354" s="35">
        <f>MAX(INDEX(X$381:X$392,$D2354)+(X2327+X2345)*(1+$E2354),0.01)</f>
        <v/>
      </c>
      <c r="Y2354" s="35">
        <f>MAX(INDEX(Y$381:Y$392,$D2354)+(Y2327+Y2345)*(1+$E2354),0.01)</f>
        <v/>
      </c>
      <c r="Z2354" s="35">
        <f>MAX(INDEX(Z$381:Z$392,$D2354)+(Z2327+Z2345)*(1+$E2354),0.01)</f>
        <v/>
      </c>
      <c r="AA2354" s="35">
        <f>MAX(INDEX(AA$381:AA$392,$D2354)+(AA2327+AA2345)*(1+$E2354),0.01)</f>
        <v/>
      </c>
      <c r="AB2354" s="35">
        <f>MAX(INDEX(AB$381:AB$392,$D2354)+(AB2327+AB2345)*(1+$E2354),0.01)</f>
        <v/>
      </c>
      <c r="AC2354" s="35">
        <f>MAX(INDEX(AC$381:AC$392,$D2354)+(AC2327+AC2345)*(1+$E2354),0.01)</f>
        <v/>
      </c>
      <c r="AD2354" s="35">
        <f>MAX(INDEX(AD$381:AD$392,$D2354)+(AD2327+AD2345)*(1+$E2354),0.01)</f>
        <v/>
      </c>
      <c r="AE2354" s="42">
        <f>POSTTAX(INDEX(AE$381:AE$392,$D2354),AE2327+AE2345,$E2354)</f>
        <v/>
      </c>
      <c r="AG2354" s="11">
        <f>CodePrefix&amp;$A2354&amp;IF($C2354="","","."&amp;$C2354&amp;"."&amp;$B2354)&amp;INDEX(VarEnd,MATCH($A2354,VarKey,0))&amp;AG$5</f>
        <v/>
      </c>
      <c r="AH2354" s="40">
        <f>MAX(INDEX(AH$381:AH$392,$D2354)+(AH2327+AH2345)*(1+$E2354),0.01)</f>
        <v/>
      </c>
      <c r="AI2354" s="35">
        <f>MAX(INDEX(AI$381:AI$392,$D2354)+(AI2327+AI2345)*(1+$E2354),0.01)</f>
        <v/>
      </c>
      <c r="AJ2354" s="35">
        <f>MAX(INDEX(AJ$381:AJ$392,$D2354)+(AJ2327+AJ2345)*(1+$E2354),0.01)</f>
        <v/>
      </c>
      <c r="AK2354" s="35">
        <f>MAX(INDEX(AK$381:AK$392,$D2354)+(AK2327+AK2345)*(1+$E2354),0.01)</f>
        <v/>
      </c>
      <c r="AL2354" s="35">
        <f>MAX(INDEX(AL$381:AL$392,$D2354)+(AL2327+AL2345)*(1+$E2354),0.01)</f>
        <v/>
      </c>
      <c r="AM2354" s="35">
        <f>MAX(INDEX(AM$381:AM$392,$D2354)+(AM2327+AM2345)*(1+$E2354),0.01)</f>
        <v/>
      </c>
      <c r="AN2354" s="35">
        <f>MAX(INDEX(AN$381:AN$392,$D2354)+(AN2327+AN2345)*(1+$E2354),0.01)</f>
        <v/>
      </c>
      <c r="AO2354" s="35">
        <f>MAX(INDEX(AO$381:AO$392,$D2354)+(AO2327+AO2345)*(1+$E2354),0.01)</f>
        <v/>
      </c>
      <c r="AP2354" s="35">
        <f>MAX(INDEX(AP$381:AP$392,$D2354)+(AP2327+AP2345)*(1+$E2354),0.01)</f>
        <v/>
      </c>
      <c r="AQ2354" s="35">
        <f>MAX(INDEX(AQ$381:AQ$392,$D2354)+(AQ2327+AQ2345)*(1+$E2354),0.01)</f>
        <v/>
      </c>
      <c r="AR2354" s="35">
        <f>MAX(INDEX(AR$381:AR$392,$D2354)+(AR2327+AR2345)*(1+$E2354),0.01)</f>
        <v/>
      </c>
      <c r="AS2354" s="35">
        <f>MAX(INDEX(AS$381:AS$392,$D2354)+(AS2327+AS2345)*(1+$E2354),0.01)</f>
        <v/>
      </c>
      <c r="AT2354" s="35">
        <f>MAX(INDEX(AT$381:AT$392,$D2354)+(AT2327+AT2345)*(1+$E2354),0.01)</f>
        <v/>
      </c>
      <c r="AU2354" s="35">
        <f>MAX(INDEX(AU$381:AU$392,$D2354)+(AU2327+AU2345)*(1+$E2354),0.01)</f>
        <v/>
      </c>
      <c r="AV2354" s="35">
        <f>MAX(INDEX(AV$381:AV$392,$D2354)+(AV2327+AV2345)*(1+$E2354),0.01)</f>
        <v/>
      </c>
      <c r="AW2354" s="35">
        <f>MAX(INDEX(AW$381:AW$392,$D2354)+(AW2327+AW2345)*(1+$E2354),0.01)</f>
        <v/>
      </c>
      <c r="AX2354" s="35">
        <f>MAX(INDEX(AX$381:AX$392,$D2354)+(AX2327+AX2345)*(1+$E2354),0.01)</f>
        <v/>
      </c>
      <c r="AY2354" s="35">
        <f>MAX(INDEX(AY$381:AY$392,$D2354)+(AY2327+AY2345)*(1+$E2354),0.01)</f>
        <v/>
      </c>
      <c r="AZ2354" s="35">
        <f>MAX(INDEX(AZ$381:AZ$392,$D2354)+(AZ2327+AZ2345)*(1+$E2354),0.01)</f>
        <v/>
      </c>
      <c r="BA2354" s="42">
        <f>POSTTAX(INDEX(BA$381:BA$392,$D2354),BA2327+BA2345,$E2354)</f>
        <v/>
      </c>
    </row>
    <row r="2355" hidden="1" outlineLevel="2"/>
    <row r="2356" hidden="1" outlineLevel="2">
      <c r="A2356" s="14" t="inlineStr">
        <is>
          <t>shp</t>
        </is>
      </c>
      <c r="B2356" s="14" t="inlineStr">
        <is>
          <t>coa</t>
        </is>
      </c>
      <c r="C2356" s="14" t="inlineStr">
        <is>
          <t>mac</t>
        </is>
      </c>
      <c r="D2356" s="35">
        <f>INDEX(Inputs!$W$5:$W$132,MATCH($B2356&amp;"|"&amp;$C2356,Inputs!$A$5:$A$132,0))</f>
        <v/>
      </c>
      <c r="E2356" s="35">
        <f>INDEX(Inputs!$M$5:$M$132,MATCH($B2356&amp;"|"&amp;$C2356,Inputs!$A$5:$A$132,0))</f>
        <v/>
      </c>
      <c r="F2356" s="39" t="n"/>
      <c r="G2356" s="39" t="n"/>
      <c r="H2356" s="14">
        <f>INDEX(VarLab,MATCH($A2356,VarKey,0))&amp;INDEX(MemLab,MATCH($C2356&amp;"|"&amp;$B2356,MemKey,0))</f>
        <v/>
      </c>
      <c r="I2356" s="14">
        <f>INDEX(VarUnit,MATCH($A2356,VarKey,0))</f>
        <v/>
      </c>
      <c r="J2356" s="14">
        <f>INDEX(VarSrc,MATCH($A2356,VarKey,0))</f>
        <v/>
      </c>
      <c r="K2356" s="11">
        <f>CodePrefix&amp;$A2356&amp;IF($C2356="","","."&amp;$C2356&amp;"."&amp;$B2356)&amp;INDEX(VarEnd,MATCH($A2356,VarKey,0))&amp;K$5</f>
        <v/>
      </c>
      <c r="L2356" s="40">
        <f>INDEX(L$297:L$313,$E2356)*$D2356</f>
        <v/>
      </c>
      <c r="M2356" s="35">
        <f>INDEX(M$297:M$313,$E2356)*$D2356</f>
        <v/>
      </c>
      <c r="N2356" s="35">
        <f>INDEX(N$297:N$313,$E2356)*$D2356</f>
        <v/>
      </c>
      <c r="O2356" s="35">
        <f>INDEX(O$297:O$313,$E2356)*$D2356</f>
        <v/>
      </c>
      <c r="P2356" s="35">
        <f>INDEX(P$297:P$313,$E2356)*$D2356</f>
        <v/>
      </c>
      <c r="Q2356" s="35">
        <f>INDEX(Q$297:Q$313,$E2356)*$D2356</f>
        <v/>
      </c>
      <c r="R2356" s="35">
        <f>INDEX(R$297:R$313,$E2356)*$D2356</f>
        <v/>
      </c>
      <c r="S2356" s="35">
        <f>INDEX(S$297:S$313,$E2356)*$D2356</f>
        <v/>
      </c>
      <c r="T2356" s="35">
        <f>INDEX(T$297:T$313,$E2356)*$D2356</f>
        <v/>
      </c>
      <c r="U2356" s="35">
        <f>INDEX(U$297:U$313,$E2356)*$D2356</f>
        <v/>
      </c>
      <c r="V2356" s="35">
        <f>INDEX(V$297:V$313,$E2356)*$D2356</f>
        <v/>
      </c>
      <c r="W2356" s="35">
        <f>INDEX(W$297:W$313,$E2356)*$D2356</f>
        <v/>
      </c>
      <c r="X2356" s="35">
        <f>INDEX(X$297:X$313,$E2356)*$D2356</f>
        <v/>
      </c>
      <c r="Y2356" s="35">
        <f>INDEX(Y$297:Y$313,$E2356)*$D2356</f>
        <v/>
      </c>
      <c r="Z2356" s="35">
        <f>INDEX(Z$297:Z$313,$E2356)*$D2356</f>
        <v/>
      </c>
      <c r="AA2356" s="35">
        <f>INDEX(AA$297:AA$313,$E2356)*$D2356</f>
        <v/>
      </c>
      <c r="AB2356" s="35">
        <f>INDEX(AB$297:AB$313,$E2356)*$D2356</f>
        <v/>
      </c>
      <c r="AC2356" s="35">
        <f>INDEX(AC$297:AC$313,$E2356)*$D2356</f>
        <v/>
      </c>
      <c r="AD2356" s="35">
        <f>INDEX(AD$297:AD$313,$E2356)*$D2356</f>
        <v/>
      </c>
      <c r="AE2356" s="42">
        <f>SHADOWGJ(INDEX(AE$297:AE$313,$E2356),$D2356)</f>
        <v/>
      </c>
      <c r="AG2356" s="11">
        <f>CodePrefix&amp;$A2356&amp;IF($C2356="","","."&amp;$C2356&amp;"."&amp;$B2356)&amp;INDEX(VarEnd,MATCH($A2356,VarKey,0))&amp;AG$5</f>
        <v/>
      </c>
      <c r="AH2356" s="40">
        <f>INDEX(AH$297:AH$313,$E2356)*$D2356</f>
        <v/>
      </c>
      <c r="AI2356" s="35">
        <f>INDEX(AI$297:AI$313,$E2356)*$D2356</f>
        <v/>
      </c>
      <c r="AJ2356" s="35">
        <f>INDEX(AJ$297:AJ$313,$E2356)*$D2356</f>
        <v/>
      </c>
      <c r="AK2356" s="35">
        <f>INDEX(AK$297:AK$313,$E2356)*$D2356</f>
        <v/>
      </c>
      <c r="AL2356" s="35">
        <f>INDEX(AL$297:AL$313,$E2356)*$D2356</f>
        <v/>
      </c>
      <c r="AM2356" s="35">
        <f>INDEX(AM$297:AM$313,$E2356)*$D2356</f>
        <v/>
      </c>
      <c r="AN2356" s="35">
        <f>INDEX(AN$297:AN$313,$E2356)*$D2356</f>
        <v/>
      </c>
      <c r="AO2356" s="35">
        <f>INDEX(AO$297:AO$313,$E2356)*$D2356</f>
        <v/>
      </c>
      <c r="AP2356" s="35">
        <f>INDEX(AP$297:AP$313,$E2356)*$D2356</f>
        <v/>
      </c>
      <c r="AQ2356" s="35">
        <f>INDEX(AQ$297:AQ$313,$E2356)*$D2356</f>
        <v/>
      </c>
      <c r="AR2356" s="35">
        <f>INDEX(AR$297:AR$313,$E2356)*$D2356</f>
        <v/>
      </c>
      <c r="AS2356" s="35">
        <f>INDEX(AS$297:AS$313,$E2356)*$D2356</f>
        <v/>
      </c>
      <c r="AT2356" s="35">
        <f>INDEX(AT$297:AT$313,$E2356)*$D2356</f>
        <v/>
      </c>
      <c r="AU2356" s="35">
        <f>INDEX(AU$297:AU$313,$E2356)*$D2356</f>
        <v/>
      </c>
      <c r="AV2356" s="35">
        <f>INDEX(AV$297:AV$313,$E2356)*$D2356</f>
        <v/>
      </c>
      <c r="AW2356" s="35">
        <f>INDEX(AW$297:AW$313,$E2356)*$D2356</f>
        <v/>
      </c>
      <c r="AX2356" s="35">
        <f>INDEX(AX$297:AX$313,$E2356)*$D2356</f>
        <v/>
      </c>
      <c r="AY2356" s="35">
        <f>INDEX(AY$297:AY$313,$E2356)*$D2356</f>
        <v/>
      </c>
      <c r="AZ2356" s="35">
        <f>INDEX(AZ$297:AZ$313,$E2356)*$D2356</f>
        <v/>
      </c>
      <c r="BA2356" s="42">
        <f>SHADOWGJ(INDEX(BA$297:BA$313,$E2356),$D2356)</f>
        <v/>
      </c>
    </row>
    <row r="2357" hidden="1" outlineLevel="2">
      <c r="A2357" s="14" t="inlineStr">
        <is>
          <t>shp</t>
        </is>
      </c>
      <c r="B2357" s="14" t="inlineStr">
        <is>
          <t>nga</t>
        </is>
      </c>
      <c r="C2357" s="14" t="inlineStr">
        <is>
          <t>mac</t>
        </is>
      </c>
      <c r="D2357" s="35">
        <f>INDEX(Inputs!$W$5:$W$132,MATCH($B2357&amp;"|"&amp;$C2357,Inputs!$A$5:$A$132,0))</f>
        <v/>
      </c>
      <c r="E2357" s="35">
        <f>INDEX(Inputs!$M$5:$M$132,MATCH($B2357&amp;"|"&amp;$C2357,Inputs!$A$5:$A$132,0))</f>
        <v/>
      </c>
      <c r="F2357" s="39" t="n"/>
      <c r="G2357" s="39" t="n"/>
      <c r="H2357" s="14">
        <f>INDEX(VarLab,MATCH($A2357,VarKey,0))&amp;INDEX(MemLab,MATCH($C2357&amp;"|"&amp;$B2357,MemKey,0))</f>
        <v/>
      </c>
      <c r="I2357" s="14">
        <f>INDEX(VarUnit,MATCH($A2357,VarKey,0))</f>
        <v/>
      </c>
      <c r="J2357" s="14">
        <f>INDEX(VarSrc,MATCH($A2357,VarKey,0))</f>
        <v/>
      </c>
      <c r="K2357" s="11">
        <f>CodePrefix&amp;$A2357&amp;IF($C2357="","","."&amp;$C2357&amp;"."&amp;$B2357)&amp;INDEX(VarEnd,MATCH($A2357,VarKey,0))&amp;K$5</f>
        <v/>
      </c>
      <c r="L2357" s="40">
        <f>INDEX(L$297:L$313,$E2357)*$D2357</f>
        <v/>
      </c>
      <c r="M2357" s="35">
        <f>INDEX(M$297:M$313,$E2357)*$D2357</f>
        <v/>
      </c>
      <c r="N2357" s="35">
        <f>INDEX(N$297:N$313,$E2357)*$D2357</f>
        <v/>
      </c>
      <c r="O2357" s="35">
        <f>INDEX(O$297:O$313,$E2357)*$D2357</f>
        <v/>
      </c>
      <c r="P2357" s="35">
        <f>INDEX(P$297:P$313,$E2357)*$D2357</f>
        <v/>
      </c>
      <c r="Q2357" s="35">
        <f>INDEX(Q$297:Q$313,$E2357)*$D2357</f>
        <v/>
      </c>
      <c r="R2357" s="35">
        <f>INDEX(R$297:R$313,$E2357)*$D2357</f>
        <v/>
      </c>
      <c r="S2357" s="35">
        <f>INDEX(S$297:S$313,$E2357)*$D2357</f>
        <v/>
      </c>
      <c r="T2357" s="35">
        <f>INDEX(T$297:T$313,$E2357)*$D2357</f>
        <v/>
      </c>
      <c r="U2357" s="35">
        <f>INDEX(U$297:U$313,$E2357)*$D2357</f>
        <v/>
      </c>
      <c r="V2357" s="35">
        <f>INDEX(V$297:V$313,$E2357)*$D2357</f>
        <v/>
      </c>
      <c r="W2357" s="35">
        <f>INDEX(W$297:W$313,$E2357)*$D2357</f>
        <v/>
      </c>
      <c r="X2357" s="35">
        <f>INDEX(X$297:X$313,$E2357)*$D2357</f>
        <v/>
      </c>
      <c r="Y2357" s="35">
        <f>INDEX(Y$297:Y$313,$E2357)*$D2357</f>
        <v/>
      </c>
      <c r="Z2357" s="35">
        <f>INDEX(Z$297:Z$313,$E2357)*$D2357</f>
        <v/>
      </c>
      <c r="AA2357" s="35">
        <f>INDEX(AA$297:AA$313,$E2357)*$D2357</f>
        <v/>
      </c>
      <c r="AB2357" s="35">
        <f>INDEX(AB$297:AB$313,$E2357)*$D2357</f>
        <v/>
      </c>
      <c r="AC2357" s="35">
        <f>INDEX(AC$297:AC$313,$E2357)*$D2357</f>
        <v/>
      </c>
      <c r="AD2357" s="35">
        <f>INDEX(AD$297:AD$313,$E2357)*$D2357</f>
        <v/>
      </c>
      <c r="AE2357" s="42">
        <f>SHADOWGJ(INDEX(AE$297:AE$313,$E2357),$D2357)</f>
        <v/>
      </c>
      <c r="AG2357" s="11">
        <f>CodePrefix&amp;$A2357&amp;IF($C2357="","","."&amp;$C2357&amp;"."&amp;$B2357)&amp;INDEX(VarEnd,MATCH($A2357,VarKey,0))&amp;AG$5</f>
        <v/>
      </c>
      <c r="AH2357" s="40">
        <f>INDEX(AH$297:AH$313,$E2357)*$D2357</f>
        <v/>
      </c>
      <c r="AI2357" s="35">
        <f>INDEX(AI$297:AI$313,$E2357)*$D2357</f>
        <v/>
      </c>
      <c r="AJ2357" s="35">
        <f>INDEX(AJ$297:AJ$313,$E2357)*$D2357</f>
        <v/>
      </c>
      <c r="AK2357" s="35">
        <f>INDEX(AK$297:AK$313,$E2357)*$D2357</f>
        <v/>
      </c>
      <c r="AL2357" s="35">
        <f>INDEX(AL$297:AL$313,$E2357)*$D2357</f>
        <v/>
      </c>
      <c r="AM2357" s="35">
        <f>INDEX(AM$297:AM$313,$E2357)*$D2357</f>
        <v/>
      </c>
      <c r="AN2357" s="35">
        <f>INDEX(AN$297:AN$313,$E2357)*$D2357</f>
        <v/>
      </c>
      <c r="AO2357" s="35">
        <f>INDEX(AO$297:AO$313,$E2357)*$D2357</f>
        <v/>
      </c>
      <c r="AP2357" s="35">
        <f>INDEX(AP$297:AP$313,$E2357)*$D2357</f>
        <v/>
      </c>
      <c r="AQ2357" s="35">
        <f>INDEX(AQ$297:AQ$313,$E2357)*$D2357</f>
        <v/>
      </c>
      <c r="AR2357" s="35">
        <f>INDEX(AR$297:AR$313,$E2357)*$D2357</f>
        <v/>
      </c>
      <c r="AS2357" s="35">
        <f>INDEX(AS$297:AS$313,$E2357)*$D2357</f>
        <v/>
      </c>
      <c r="AT2357" s="35">
        <f>INDEX(AT$297:AT$313,$E2357)*$D2357</f>
        <v/>
      </c>
      <c r="AU2357" s="35">
        <f>INDEX(AU$297:AU$313,$E2357)*$D2357</f>
        <v/>
      </c>
      <c r="AV2357" s="35">
        <f>INDEX(AV$297:AV$313,$E2357)*$D2357</f>
        <v/>
      </c>
      <c r="AW2357" s="35">
        <f>INDEX(AW$297:AW$313,$E2357)*$D2357</f>
        <v/>
      </c>
      <c r="AX2357" s="35">
        <f>INDEX(AX$297:AX$313,$E2357)*$D2357</f>
        <v/>
      </c>
      <c r="AY2357" s="35">
        <f>INDEX(AY$297:AY$313,$E2357)*$D2357</f>
        <v/>
      </c>
      <c r="AZ2357" s="35">
        <f>INDEX(AZ$297:AZ$313,$E2357)*$D2357</f>
        <v/>
      </c>
      <c r="BA2357" s="42">
        <f>SHADOWGJ(INDEX(BA$297:BA$313,$E2357),$D2357)</f>
        <v/>
      </c>
    </row>
    <row r="2358" hidden="1" outlineLevel="2">
      <c r="A2358" s="14" t="inlineStr">
        <is>
          <t>shp</t>
        </is>
      </c>
      <c r="B2358" s="14" t="inlineStr">
        <is>
          <t>gso</t>
        </is>
      </c>
      <c r="C2358" s="14" t="inlineStr">
        <is>
          <t>mac</t>
        </is>
      </c>
      <c r="D2358" s="35">
        <f>INDEX(Inputs!$W$5:$W$132,MATCH($B2358&amp;"|"&amp;$C2358,Inputs!$A$5:$A$132,0))</f>
        <v/>
      </c>
      <c r="E2358" s="35">
        <f>INDEX(Inputs!$M$5:$M$132,MATCH($B2358&amp;"|"&amp;$C2358,Inputs!$A$5:$A$132,0))</f>
        <v/>
      </c>
      <c r="F2358" s="39" t="n"/>
      <c r="G2358" s="39" t="n"/>
      <c r="H2358" s="14">
        <f>INDEX(VarLab,MATCH($A2358,VarKey,0))&amp;INDEX(MemLab,MATCH($C2358&amp;"|"&amp;$B2358,MemKey,0))</f>
        <v/>
      </c>
      <c r="I2358" s="14">
        <f>INDEX(VarUnit,MATCH($A2358,VarKey,0))</f>
        <v/>
      </c>
      <c r="J2358" s="14">
        <f>INDEX(VarSrc,MATCH($A2358,VarKey,0))</f>
        <v/>
      </c>
      <c r="K2358" s="11">
        <f>CodePrefix&amp;$A2358&amp;IF($C2358="","","."&amp;$C2358&amp;"."&amp;$B2358)&amp;INDEX(VarEnd,MATCH($A2358,VarKey,0))&amp;K$5</f>
        <v/>
      </c>
      <c r="L2358" s="40">
        <f>INDEX(L$297:L$313,$E2358)*$D2358</f>
        <v/>
      </c>
      <c r="M2358" s="35">
        <f>INDEX(M$297:M$313,$E2358)*$D2358</f>
        <v/>
      </c>
      <c r="N2358" s="35">
        <f>INDEX(N$297:N$313,$E2358)*$D2358</f>
        <v/>
      </c>
      <c r="O2358" s="35">
        <f>INDEX(O$297:O$313,$E2358)*$D2358</f>
        <v/>
      </c>
      <c r="P2358" s="35">
        <f>INDEX(P$297:P$313,$E2358)*$D2358</f>
        <v/>
      </c>
      <c r="Q2358" s="35">
        <f>INDEX(Q$297:Q$313,$E2358)*$D2358</f>
        <v/>
      </c>
      <c r="R2358" s="35">
        <f>INDEX(R$297:R$313,$E2358)*$D2358</f>
        <v/>
      </c>
      <c r="S2358" s="35">
        <f>INDEX(S$297:S$313,$E2358)*$D2358</f>
        <v/>
      </c>
      <c r="T2358" s="35">
        <f>INDEX(T$297:T$313,$E2358)*$D2358</f>
        <v/>
      </c>
      <c r="U2358" s="35">
        <f>INDEX(U$297:U$313,$E2358)*$D2358</f>
        <v/>
      </c>
      <c r="V2358" s="35">
        <f>INDEX(V$297:V$313,$E2358)*$D2358</f>
        <v/>
      </c>
      <c r="W2358" s="35">
        <f>INDEX(W$297:W$313,$E2358)*$D2358</f>
        <v/>
      </c>
      <c r="X2358" s="35">
        <f>INDEX(X$297:X$313,$E2358)*$D2358</f>
        <v/>
      </c>
      <c r="Y2358" s="35">
        <f>INDEX(Y$297:Y$313,$E2358)*$D2358</f>
        <v/>
      </c>
      <c r="Z2358" s="35">
        <f>INDEX(Z$297:Z$313,$E2358)*$D2358</f>
        <v/>
      </c>
      <c r="AA2358" s="35">
        <f>INDEX(AA$297:AA$313,$E2358)*$D2358</f>
        <v/>
      </c>
      <c r="AB2358" s="35">
        <f>INDEX(AB$297:AB$313,$E2358)*$D2358</f>
        <v/>
      </c>
      <c r="AC2358" s="35">
        <f>INDEX(AC$297:AC$313,$E2358)*$D2358</f>
        <v/>
      </c>
      <c r="AD2358" s="35">
        <f>INDEX(AD$297:AD$313,$E2358)*$D2358</f>
        <v/>
      </c>
      <c r="AE2358" s="42">
        <f>SHADOWGJ(INDEX(AE$297:AE$313,$E2358),$D2358)</f>
        <v/>
      </c>
      <c r="AG2358" s="11">
        <f>CodePrefix&amp;$A2358&amp;IF($C2358="","","."&amp;$C2358&amp;"."&amp;$B2358)&amp;INDEX(VarEnd,MATCH($A2358,VarKey,0))&amp;AG$5</f>
        <v/>
      </c>
      <c r="AH2358" s="40">
        <f>INDEX(AH$297:AH$313,$E2358)*$D2358</f>
        <v/>
      </c>
      <c r="AI2358" s="35">
        <f>INDEX(AI$297:AI$313,$E2358)*$D2358</f>
        <v/>
      </c>
      <c r="AJ2358" s="35">
        <f>INDEX(AJ$297:AJ$313,$E2358)*$D2358</f>
        <v/>
      </c>
      <c r="AK2358" s="35">
        <f>INDEX(AK$297:AK$313,$E2358)*$D2358</f>
        <v/>
      </c>
      <c r="AL2358" s="35">
        <f>INDEX(AL$297:AL$313,$E2358)*$D2358</f>
        <v/>
      </c>
      <c r="AM2358" s="35">
        <f>INDEX(AM$297:AM$313,$E2358)*$D2358</f>
        <v/>
      </c>
      <c r="AN2358" s="35">
        <f>INDEX(AN$297:AN$313,$E2358)*$D2358</f>
        <v/>
      </c>
      <c r="AO2358" s="35">
        <f>INDEX(AO$297:AO$313,$E2358)*$D2358</f>
        <v/>
      </c>
      <c r="AP2358" s="35">
        <f>INDEX(AP$297:AP$313,$E2358)*$D2358</f>
        <v/>
      </c>
      <c r="AQ2358" s="35">
        <f>INDEX(AQ$297:AQ$313,$E2358)*$D2358</f>
        <v/>
      </c>
      <c r="AR2358" s="35">
        <f>INDEX(AR$297:AR$313,$E2358)*$D2358</f>
        <v/>
      </c>
      <c r="AS2358" s="35">
        <f>INDEX(AS$297:AS$313,$E2358)*$D2358</f>
        <v/>
      </c>
      <c r="AT2358" s="35">
        <f>INDEX(AT$297:AT$313,$E2358)*$D2358</f>
        <v/>
      </c>
      <c r="AU2358" s="35">
        <f>INDEX(AU$297:AU$313,$E2358)*$D2358</f>
        <v/>
      </c>
      <c r="AV2358" s="35">
        <f>INDEX(AV$297:AV$313,$E2358)*$D2358</f>
        <v/>
      </c>
      <c r="AW2358" s="35">
        <f>INDEX(AW$297:AW$313,$E2358)*$D2358</f>
        <v/>
      </c>
      <c r="AX2358" s="35">
        <f>INDEX(AX$297:AX$313,$E2358)*$D2358</f>
        <v/>
      </c>
      <c r="AY2358" s="35">
        <f>INDEX(AY$297:AY$313,$E2358)*$D2358</f>
        <v/>
      </c>
      <c r="AZ2358" s="35">
        <f>INDEX(AZ$297:AZ$313,$E2358)*$D2358</f>
        <v/>
      </c>
      <c r="BA2358" s="42">
        <f>SHADOWGJ(INDEX(BA$297:BA$313,$E2358),$D2358)</f>
        <v/>
      </c>
    </row>
    <row r="2359" hidden="1" outlineLevel="2">
      <c r="A2359" s="14" t="inlineStr">
        <is>
          <t>shp</t>
        </is>
      </c>
      <c r="B2359" s="14" t="inlineStr">
        <is>
          <t>die</t>
        </is>
      </c>
      <c r="C2359" s="14" t="inlineStr">
        <is>
          <t>mac</t>
        </is>
      </c>
      <c r="D2359" s="35">
        <f>INDEX(Inputs!$W$5:$W$132,MATCH($B2359&amp;"|"&amp;$C2359,Inputs!$A$5:$A$132,0))</f>
        <v/>
      </c>
      <c r="E2359" s="35">
        <f>INDEX(Inputs!$M$5:$M$132,MATCH($B2359&amp;"|"&amp;$C2359,Inputs!$A$5:$A$132,0))</f>
        <v/>
      </c>
      <c r="F2359" s="39" t="n"/>
      <c r="G2359" s="39" t="n"/>
      <c r="H2359" s="14">
        <f>INDEX(VarLab,MATCH($A2359,VarKey,0))&amp;INDEX(MemLab,MATCH($C2359&amp;"|"&amp;$B2359,MemKey,0))</f>
        <v/>
      </c>
      <c r="I2359" s="14">
        <f>INDEX(VarUnit,MATCH($A2359,VarKey,0))</f>
        <v/>
      </c>
      <c r="J2359" s="14">
        <f>INDEX(VarSrc,MATCH($A2359,VarKey,0))</f>
        <v/>
      </c>
      <c r="K2359" s="11">
        <f>CodePrefix&amp;$A2359&amp;IF($C2359="","","."&amp;$C2359&amp;"."&amp;$B2359)&amp;INDEX(VarEnd,MATCH($A2359,VarKey,0))&amp;K$5</f>
        <v/>
      </c>
      <c r="L2359" s="40">
        <f>INDEX(L$297:L$313,$E2359)*$D2359</f>
        <v/>
      </c>
      <c r="M2359" s="35">
        <f>INDEX(M$297:M$313,$E2359)*$D2359</f>
        <v/>
      </c>
      <c r="N2359" s="35">
        <f>INDEX(N$297:N$313,$E2359)*$D2359</f>
        <v/>
      </c>
      <c r="O2359" s="35">
        <f>INDEX(O$297:O$313,$E2359)*$D2359</f>
        <v/>
      </c>
      <c r="P2359" s="35">
        <f>INDEX(P$297:P$313,$E2359)*$D2359</f>
        <v/>
      </c>
      <c r="Q2359" s="35">
        <f>INDEX(Q$297:Q$313,$E2359)*$D2359</f>
        <v/>
      </c>
      <c r="R2359" s="35">
        <f>INDEX(R$297:R$313,$E2359)*$D2359</f>
        <v/>
      </c>
      <c r="S2359" s="35">
        <f>INDEX(S$297:S$313,$E2359)*$D2359</f>
        <v/>
      </c>
      <c r="T2359" s="35">
        <f>INDEX(T$297:T$313,$E2359)*$D2359</f>
        <v/>
      </c>
      <c r="U2359" s="35">
        <f>INDEX(U$297:U$313,$E2359)*$D2359</f>
        <v/>
      </c>
      <c r="V2359" s="35">
        <f>INDEX(V$297:V$313,$E2359)*$D2359</f>
        <v/>
      </c>
      <c r="W2359" s="35">
        <f>INDEX(W$297:W$313,$E2359)*$D2359</f>
        <v/>
      </c>
      <c r="X2359" s="35">
        <f>INDEX(X$297:X$313,$E2359)*$D2359</f>
        <v/>
      </c>
      <c r="Y2359" s="35">
        <f>INDEX(Y$297:Y$313,$E2359)*$D2359</f>
        <v/>
      </c>
      <c r="Z2359" s="35">
        <f>INDEX(Z$297:Z$313,$E2359)*$D2359</f>
        <v/>
      </c>
      <c r="AA2359" s="35">
        <f>INDEX(AA$297:AA$313,$E2359)*$D2359</f>
        <v/>
      </c>
      <c r="AB2359" s="35">
        <f>INDEX(AB$297:AB$313,$E2359)*$D2359</f>
        <v/>
      </c>
      <c r="AC2359" s="35">
        <f>INDEX(AC$297:AC$313,$E2359)*$D2359</f>
        <v/>
      </c>
      <c r="AD2359" s="35">
        <f>INDEX(AD$297:AD$313,$E2359)*$D2359</f>
        <v/>
      </c>
      <c r="AE2359" s="42">
        <f>SHADOWGJ(INDEX(AE$297:AE$313,$E2359),$D2359)</f>
        <v/>
      </c>
      <c r="AG2359" s="11">
        <f>CodePrefix&amp;$A2359&amp;IF($C2359="","","."&amp;$C2359&amp;"."&amp;$B2359)&amp;INDEX(VarEnd,MATCH($A2359,VarKey,0))&amp;AG$5</f>
        <v/>
      </c>
      <c r="AH2359" s="40">
        <f>INDEX(AH$297:AH$313,$E2359)*$D2359</f>
        <v/>
      </c>
      <c r="AI2359" s="35">
        <f>INDEX(AI$297:AI$313,$E2359)*$D2359</f>
        <v/>
      </c>
      <c r="AJ2359" s="35">
        <f>INDEX(AJ$297:AJ$313,$E2359)*$D2359</f>
        <v/>
      </c>
      <c r="AK2359" s="35">
        <f>INDEX(AK$297:AK$313,$E2359)*$D2359</f>
        <v/>
      </c>
      <c r="AL2359" s="35">
        <f>INDEX(AL$297:AL$313,$E2359)*$D2359</f>
        <v/>
      </c>
      <c r="AM2359" s="35">
        <f>INDEX(AM$297:AM$313,$E2359)*$D2359</f>
        <v/>
      </c>
      <c r="AN2359" s="35">
        <f>INDEX(AN$297:AN$313,$E2359)*$D2359</f>
        <v/>
      </c>
      <c r="AO2359" s="35">
        <f>INDEX(AO$297:AO$313,$E2359)*$D2359</f>
        <v/>
      </c>
      <c r="AP2359" s="35">
        <f>INDEX(AP$297:AP$313,$E2359)*$D2359</f>
        <v/>
      </c>
      <c r="AQ2359" s="35">
        <f>INDEX(AQ$297:AQ$313,$E2359)*$D2359</f>
        <v/>
      </c>
      <c r="AR2359" s="35">
        <f>INDEX(AR$297:AR$313,$E2359)*$D2359</f>
        <v/>
      </c>
      <c r="AS2359" s="35">
        <f>INDEX(AS$297:AS$313,$E2359)*$D2359</f>
        <v/>
      </c>
      <c r="AT2359" s="35">
        <f>INDEX(AT$297:AT$313,$E2359)*$D2359</f>
        <v/>
      </c>
      <c r="AU2359" s="35">
        <f>INDEX(AU$297:AU$313,$E2359)*$D2359</f>
        <v/>
      </c>
      <c r="AV2359" s="35">
        <f>INDEX(AV$297:AV$313,$E2359)*$D2359</f>
        <v/>
      </c>
      <c r="AW2359" s="35">
        <f>INDEX(AW$297:AW$313,$E2359)*$D2359</f>
        <v/>
      </c>
      <c r="AX2359" s="35">
        <f>INDEX(AX$297:AX$313,$E2359)*$D2359</f>
        <v/>
      </c>
      <c r="AY2359" s="35">
        <f>INDEX(AY$297:AY$313,$E2359)*$D2359</f>
        <v/>
      </c>
      <c r="AZ2359" s="35">
        <f>INDEX(AZ$297:AZ$313,$E2359)*$D2359</f>
        <v/>
      </c>
      <c r="BA2359" s="42">
        <f>SHADOWGJ(INDEX(BA$297:BA$313,$E2359),$D2359)</f>
        <v/>
      </c>
    </row>
    <row r="2360" hidden="1" outlineLevel="2">
      <c r="A2360" s="14" t="inlineStr">
        <is>
          <t>shp</t>
        </is>
      </c>
      <c r="B2360" s="14" t="inlineStr">
        <is>
          <t>lpg</t>
        </is>
      </c>
      <c r="C2360" s="14" t="inlineStr">
        <is>
          <t>mac</t>
        </is>
      </c>
      <c r="D2360" s="35">
        <f>INDEX(Inputs!$W$5:$W$132,MATCH($B2360&amp;"|"&amp;$C2360,Inputs!$A$5:$A$132,0))</f>
        <v/>
      </c>
      <c r="E2360" s="35">
        <f>INDEX(Inputs!$M$5:$M$132,MATCH($B2360&amp;"|"&amp;$C2360,Inputs!$A$5:$A$132,0))</f>
        <v/>
      </c>
      <c r="F2360" s="39" t="n"/>
      <c r="G2360" s="39" t="n"/>
      <c r="H2360" s="14">
        <f>INDEX(VarLab,MATCH($A2360,VarKey,0))&amp;INDEX(MemLab,MATCH($C2360&amp;"|"&amp;$B2360,MemKey,0))</f>
        <v/>
      </c>
      <c r="I2360" s="14">
        <f>INDEX(VarUnit,MATCH($A2360,VarKey,0))</f>
        <v/>
      </c>
      <c r="J2360" s="14">
        <f>INDEX(VarSrc,MATCH($A2360,VarKey,0))</f>
        <v/>
      </c>
      <c r="K2360" s="11">
        <f>CodePrefix&amp;$A2360&amp;IF($C2360="","","."&amp;$C2360&amp;"."&amp;$B2360)&amp;INDEX(VarEnd,MATCH($A2360,VarKey,0))&amp;K$5</f>
        <v/>
      </c>
      <c r="L2360" s="40">
        <f>INDEX(L$297:L$313,$E2360)*$D2360</f>
        <v/>
      </c>
      <c r="M2360" s="35">
        <f>INDEX(M$297:M$313,$E2360)*$D2360</f>
        <v/>
      </c>
      <c r="N2360" s="35">
        <f>INDEX(N$297:N$313,$E2360)*$D2360</f>
        <v/>
      </c>
      <c r="O2360" s="35">
        <f>INDEX(O$297:O$313,$E2360)*$D2360</f>
        <v/>
      </c>
      <c r="P2360" s="35">
        <f>INDEX(P$297:P$313,$E2360)*$D2360</f>
        <v/>
      </c>
      <c r="Q2360" s="35">
        <f>INDEX(Q$297:Q$313,$E2360)*$D2360</f>
        <v/>
      </c>
      <c r="R2360" s="35">
        <f>INDEX(R$297:R$313,$E2360)*$D2360</f>
        <v/>
      </c>
      <c r="S2360" s="35">
        <f>INDEX(S$297:S$313,$E2360)*$D2360</f>
        <v/>
      </c>
      <c r="T2360" s="35">
        <f>INDEX(T$297:T$313,$E2360)*$D2360</f>
        <v/>
      </c>
      <c r="U2360" s="35">
        <f>INDEX(U$297:U$313,$E2360)*$D2360</f>
        <v/>
      </c>
      <c r="V2360" s="35">
        <f>INDEX(V$297:V$313,$E2360)*$D2360</f>
        <v/>
      </c>
      <c r="W2360" s="35">
        <f>INDEX(W$297:W$313,$E2360)*$D2360</f>
        <v/>
      </c>
      <c r="X2360" s="35">
        <f>INDEX(X$297:X$313,$E2360)*$D2360</f>
        <v/>
      </c>
      <c r="Y2360" s="35">
        <f>INDEX(Y$297:Y$313,$E2360)*$D2360</f>
        <v/>
      </c>
      <c r="Z2360" s="35">
        <f>INDEX(Z$297:Z$313,$E2360)*$D2360</f>
        <v/>
      </c>
      <c r="AA2360" s="35">
        <f>INDEX(AA$297:AA$313,$E2360)*$D2360</f>
        <v/>
      </c>
      <c r="AB2360" s="35">
        <f>INDEX(AB$297:AB$313,$E2360)*$D2360</f>
        <v/>
      </c>
      <c r="AC2360" s="35">
        <f>INDEX(AC$297:AC$313,$E2360)*$D2360</f>
        <v/>
      </c>
      <c r="AD2360" s="35">
        <f>INDEX(AD$297:AD$313,$E2360)*$D2360</f>
        <v/>
      </c>
      <c r="AE2360" s="42">
        <f>SHADOWGJ(INDEX(AE$297:AE$313,$E2360),$D2360)</f>
        <v/>
      </c>
      <c r="AG2360" s="11">
        <f>CodePrefix&amp;$A2360&amp;IF($C2360="","","."&amp;$C2360&amp;"."&amp;$B2360)&amp;INDEX(VarEnd,MATCH($A2360,VarKey,0))&amp;AG$5</f>
        <v/>
      </c>
      <c r="AH2360" s="40">
        <f>INDEX(AH$297:AH$313,$E2360)*$D2360</f>
        <v/>
      </c>
      <c r="AI2360" s="35">
        <f>INDEX(AI$297:AI$313,$E2360)*$D2360</f>
        <v/>
      </c>
      <c r="AJ2360" s="35">
        <f>INDEX(AJ$297:AJ$313,$E2360)*$D2360</f>
        <v/>
      </c>
      <c r="AK2360" s="35">
        <f>INDEX(AK$297:AK$313,$E2360)*$D2360</f>
        <v/>
      </c>
      <c r="AL2360" s="35">
        <f>INDEX(AL$297:AL$313,$E2360)*$D2360</f>
        <v/>
      </c>
      <c r="AM2360" s="35">
        <f>INDEX(AM$297:AM$313,$E2360)*$D2360</f>
        <v/>
      </c>
      <c r="AN2360" s="35">
        <f>INDEX(AN$297:AN$313,$E2360)*$D2360</f>
        <v/>
      </c>
      <c r="AO2360" s="35">
        <f>INDEX(AO$297:AO$313,$E2360)*$D2360</f>
        <v/>
      </c>
      <c r="AP2360" s="35">
        <f>INDEX(AP$297:AP$313,$E2360)*$D2360</f>
        <v/>
      </c>
      <c r="AQ2360" s="35">
        <f>INDEX(AQ$297:AQ$313,$E2360)*$D2360</f>
        <v/>
      </c>
      <c r="AR2360" s="35">
        <f>INDEX(AR$297:AR$313,$E2360)*$D2360</f>
        <v/>
      </c>
      <c r="AS2360" s="35">
        <f>INDEX(AS$297:AS$313,$E2360)*$D2360</f>
        <v/>
      </c>
      <c r="AT2360" s="35">
        <f>INDEX(AT$297:AT$313,$E2360)*$D2360</f>
        <v/>
      </c>
      <c r="AU2360" s="35">
        <f>INDEX(AU$297:AU$313,$E2360)*$D2360</f>
        <v/>
      </c>
      <c r="AV2360" s="35">
        <f>INDEX(AV$297:AV$313,$E2360)*$D2360</f>
        <v/>
      </c>
      <c r="AW2360" s="35">
        <f>INDEX(AW$297:AW$313,$E2360)*$D2360</f>
        <v/>
      </c>
      <c r="AX2360" s="35">
        <f>INDEX(AX$297:AX$313,$E2360)*$D2360</f>
        <v/>
      </c>
      <c r="AY2360" s="35">
        <f>INDEX(AY$297:AY$313,$E2360)*$D2360</f>
        <v/>
      </c>
      <c r="AZ2360" s="35">
        <f>INDEX(AZ$297:AZ$313,$E2360)*$D2360</f>
        <v/>
      </c>
      <c r="BA2360" s="42">
        <f>SHADOWGJ(INDEX(BA$297:BA$313,$E2360),$D2360)</f>
        <v/>
      </c>
    </row>
    <row r="2361" hidden="1" outlineLevel="2">
      <c r="A2361" s="14" t="inlineStr">
        <is>
          <t>shp</t>
        </is>
      </c>
      <c r="B2361" s="14" t="inlineStr">
        <is>
          <t>ker</t>
        </is>
      </c>
      <c r="C2361" s="14" t="inlineStr">
        <is>
          <t>mac</t>
        </is>
      </c>
      <c r="D2361" s="35">
        <f>INDEX(Inputs!$W$5:$W$132,MATCH($B2361&amp;"|"&amp;$C2361,Inputs!$A$5:$A$132,0))</f>
        <v/>
      </c>
      <c r="E2361" s="35">
        <f>INDEX(Inputs!$M$5:$M$132,MATCH($B2361&amp;"|"&amp;$C2361,Inputs!$A$5:$A$132,0))</f>
        <v/>
      </c>
      <c r="F2361" s="39" t="n"/>
      <c r="G2361" s="39" t="n"/>
      <c r="H2361" s="14">
        <f>INDEX(VarLab,MATCH($A2361,VarKey,0))&amp;INDEX(MemLab,MATCH($C2361&amp;"|"&amp;$B2361,MemKey,0))</f>
        <v/>
      </c>
      <c r="I2361" s="14">
        <f>INDEX(VarUnit,MATCH($A2361,VarKey,0))</f>
        <v/>
      </c>
      <c r="J2361" s="14">
        <f>INDEX(VarSrc,MATCH($A2361,VarKey,0))</f>
        <v/>
      </c>
      <c r="K2361" s="11">
        <f>CodePrefix&amp;$A2361&amp;IF($C2361="","","."&amp;$C2361&amp;"."&amp;$B2361)&amp;INDEX(VarEnd,MATCH($A2361,VarKey,0))&amp;K$5</f>
        <v/>
      </c>
      <c r="L2361" s="40">
        <f>INDEX(L$297:L$313,$E2361)*$D2361</f>
        <v/>
      </c>
      <c r="M2361" s="35">
        <f>INDEX(M$297:M$313,$E2361)*$D2361</f>
        <v/>
      </c>
      <c r="N2361" s="35">
        <f>INDEX(N$297:N$313,$E2361)*$D2361</f>
        <v/>
      </c>
      <c r="O2361" s="35">
        <f>INDEX(O$297:O$313,$E2361)*$D2361</f>
        <v/>
      </c>
      <c r="P2361" s="35">
        <f>INDEX(P$297:P$313,$E2361)*$D2361</f>
        <v/>
      </c>
      <c r="Q2361" s="35">
        <f>INDEX(Q$297:Q$313,$E2361)*$D2361</f>
        <v/>
      </c>
      <c r="R2361" s="35">
        <f>INDEX(R$297:R$313,$E2361)*$D2361</f>
        <v/>
      </c>
      <c r="S2361" s="35">
        <f>INDEX(S$297:S$313,$E2361)*$D2361</f>
        <v/>
      </c>
      <c r="T2361" s="35">
        <f>INDEX(T$297:T$313,$E2361)*$D2361</f>
        <v/>
      </c>
      <c r="U2361" s="35">
        <f>INDEX(U$297:U$313,$E2361)*$D2361</f>
        <v/>
      </c>
      <c r="V2361" s="35">
        <f>INDEX(V$297:V$313,$E2361)*$D2361</f>
        <v/>
      </c>
      <c r="W2361" s="35">
        <f>INDEX(W$297:W$313,$E2361)*$D2361</f>
        <v/>
      </c>
      <c r="X2361" s="35">
        <f>INDEX(X$297:X$313,$E2361)*$D2361</f>
        <v/>
      </c>
      <c r="Y2361" s="35">
        <f>INDEX(Y$297:Y$313,$E2361)*$D2361</f>
        <v/>
      </c>
      <c r="Z2361" s="35">
        <f>INDEX(Z$297:Z$313,$E2361)*$D2361</f>
        <v/>
      </c>
      <c r="AA2361" s="35">
        <f>INDEX(AA$297:AA$313,$E2361)*$D2361</f>
        <v/>
      </c>
      <c r="AB2361" s="35">
        <f>INDEX(AB$297:AB$313,$E2361)*$D2361</f>
        <v/>
      </c>
      <c r="AC2361" s="35">
        <f>INDEX(AC$297:AC$313,$E2361)*$D2361</f>
        <v/>
      </c>
      <c r="AD2361" s="35">
        <f>INDEX(AD$297:AD$313,$E2361)*$D2361</f>
        <v/>
      </c>
      <c r="AE2361" s="42">
        <f>SHADOWGJ(INDEX(AE$297:AE$313,$E2361),$D2361)</f>
        <v/>
      </c>
      <c r="AG2361" s="11">
        <f>CodePrefix&amp;$A2361&amp;IF($C2361="","","."&amp;$C2361&amp;"."&amp;$B2361)&amp;INDEX(VarEnd,MATCH($A2361,VarKey,0))&amp;AG$5</f>
        <v/>
      </c>
      <c r="AH2361" s="40">
        <f>INDEX(AH$297:AH$313,$E2361)*$D2361</f>
        <v/>
      </c>
      <c r="AI2361" s="35">
        <f>INDEX(AI$297:AI$313,$E2361)*$D2361</f>
        <v/>
      </c>
      <c r="AJ2361" s="35">
        <f>INDEX(AJ$297:AJ$313,$E2361)*$D2361</f>
        <v/>
      </c>
      <c r="AK2361" s="35">
        <f>INDEX(AK$297:AK$313,$E2361)*$D2361</f>
        <v/>
      </c>
      <c r="AL2361" s="35">
        <f>INDEX(AL$297:AL$313,$E2361)*$D2361</f>
        <v/>
      </c>
      <c r="AM2361" s="35">
        <f>INDEX(AM$297:AM$313,$E2361)*$D2361</f>
        <v/>
      </c>
      <c r="AN2361" s="35">
        <f>INDEX(AN$297:AN$313,$E2361)*$D2361</f>
        <v/>
      </c>
      <c r="AO2361" s="35">
        <f>INDEX(AO$297:AO$313,$E2361)*$D2361</f>
        <v/>
      </c>
      <c r="AP2361" s="35">
        <f>INDEX(AP$297:AP$313,$E2361)*$D2361</f>
        <v/>
      </c>
      <c r="AQ2361" s="35">
        <f>INDEX(AQ$297:AQ$313,$E2361)*$D2361</f>
        <v/>
      </c>
      <c r="AR2361" s="35">
        <f>INDEX(AR$297:AR$313,$E2361)*$D2361</f>
        <v/>
      </c>
      <c r="AS2361" s="35">
        <f>INDEX(AS$297:AS$313,$E2361)*$D2361</f>
        <v/>
      </c>
      <c r="AT2361" s="35">
        <f>INDEX(AT$297:AT$313,$E2361)*$D2361</f>
        <v/>
      </c>
      <c r="AU2361" s="35">
        <f>INDEX(AU$297:AU$313,$E2361)*$D2361</f>
        <v/>
      </c>
      <c r="AV2361" s="35">
        <f>INDEX(AV$297:AV$313,$E2361)*$D2361</f>
        <v/>
      </c>
      <c r="AW2361" s="35">
        <f>INDEX(AW$297:AW$313,$E2361)*$D2361</f>
        <v/>
      </c>
      <c r="AX2361" s="35">
        <f>INDEX(AX$297:AX$313,$E2361)*$D2361</f>
        <v/>
      </c>
      <c r="AY2361" s="35">
        <f>INDEX(AY$297:AY$313,$E2361)*$D2361</f>
        <v/>
      </c>
      <c r="AZ2361" s="35">
        <f>INDEX(AZ$297:AZ$313,$E2361)*$D2361</f>
        <v/>
      </c>
      <c r="BA2361" s="42">
        <f>SHADOWGJ(INDEX(BA$297:BA$313,$E2361),$D2361)</f>
        <v/>
      </c>
    </row>
    <row r="2362" hidden="1" outlineLevel="2">
      <c r="A2362" s="14" t="inlineStr">
        <is>
          <t>shp</t>
        </is>
      </c>
      <c r="B2362" s="14" t="inlineStr">
        <is>
          <t>oop</t>
        </is>
      </c>
      <c r="C2362" s="14" t="inlineStr">
        <is>
          <t>mac</t>
        </is>
      </c>
      <c r="D2362" s="35">
        <f>INDEX(Inputs!$W$5:$W$132,MATCH($B2362&amp;"|"&amp;$C2362,Inputs!$A$5:$A$132,0))</f>
        <v/>
      </c>
      <c r="E2362" s="35">
        <f>INDEX(Inputs!$M$5:$M$132,MATCH($B2362&amp;"|"&amp;$C2362,Inputs!$A$5:$A$132,0))</f>
        <v/>
      </c>
      <c r="F2362" s="39" t="n"/>
      <c r="G2362" s="39" t="n"/>
      <c r="H2362" s="14">
        <f>INDEX(VarLab,MATCH($A2362,VarKey,0))&amp;INDEX(MemLab,MATCH($C2362&amp;"|"&amp;$B2362,MemKey,0))</f>
        <v/>
      </c>
      <c r="I2362" s="14">
        <f>INDEX(VarUnit,MATCH($A2362,VarKey,0))</f>
        <v/>
      </c>
      <c r="J2362" s="14">
        <f>INDEX(VarSrc,MATCH($A2362,VarKey,0))</f>
        <v/>
      </c>
      <c r="K2362" s="11">
        <f>CodePrefix&amp;$A2362&amp;IF($C2362="","","."&amp;$C2362&amp;"."&amp;$B2362)&amp;INDEX(VarEnd,MATCH($A2362,VarKey,0))&amp;K$5</f>
        <v/>
      </c>
      <c r="L2362" s="40">
        <f>INDEX(L$297:L$313,$E2362)*$D2362</f>
        <v/>
      </c>
      <c r="M2362" s="35">
        <f>INDEX(M$297:M$313,$E2362)*$D2362</f>
        <v/>
      </c>
      <c r="N2362" s="35">
        <f>INDEX(N$297:N$313,$E2362)*$D2362</f>
        <v/>
      </c>
      <c r="O2362" s="35">
        <f>INDEX(O$297:O$313,$E2362)*$D2362</f>
        <v/>
      </c>
      <c r="P2362" s="35">
        <f>INDEX(P$297:P$313,$E2362)*$D2362</f>
        <v/>
      </c>
      <c r="Q2362" s="35">
        <f>INDEX(Q$297:Q$313,$E2362)*$D2362</f>
        <v/>
      </c>
      <c r="R2362" s="35">
        <f>INDEX(R$297:R$313,$E2362)*$D2362</f>
        <v/>
      </c>
      <c r="S2362" s="35">
        <f>INDEX(S$297:S$313,$E2362)*$D2362</f>
        <v/>
      </c>
      <c r="T2362" s="35">
        <f>INDEX(T$297:T$313,$E2362)*$D2362</f>
        <v/>
      </c>
      <c r="U2362" s="35">
        <f>INDEX(U$297:U$313,$E2362)*$D2362</f>
        <v/>
      </c>
      <c r="V2362" s="35">
        <f>INDEX(V$297:V$313,$E2362)*$D2362</f>
        <v/>
      </c>
      <c r="W2362" s="35">
        <f>INDEX(W$297:W$313,$E2362)*$D2362</f>
        <v/>
      </c>
      <c r="X2362" s="35">
        <f>INDEX(X$297:X$313,$E2362)*$D2362</f>
        <v/>
      </c>
      <c r="Y2362" s="35">
        <f>INDEX(Y$297:Y$313,$E2362)*$D2362</f>
        <v/>
      </c>
      <c r="Z2362" s="35">
        <f>INDEX(Z$297:Z$313,$E2362)*$D2362</f>
        <v/>
      </c>
      <c r="AA2362" s="35">
        <f>INDEX(AA$297:AA$313,$E2362)*$D2362</f>
        <v/>
      </c>
      <c r="AB2362" s="35">
        <f>INDEX(AB$297:AB$313,$E2362)*$D2362</f>
        <v/>
      </c>
      <c r="AC2362" s="35">
        <f>INDEX(AC$297:AC$313,$E2362)*$D2362</f>
        <v/>
      </c>
      <c r="AD2362" s="35">
        <f>INDEX(AD$297:AD$313,$E2362)*$D2362</f>
        <v/>
      </c>
      <c r="AE2362" s="42">
        <f>SHADOWGJ(INDEX(AE$297:AE$313,$E2362),$D2362)</f>
        <v/>
      </c>
      <c r="AG2362" s="11">
        <f>CodePrefix&amp;$A2362&amp;IF($C2362="","","."&amp;$C2362&amp;"."&amp;$B2362)&amp;INDEX(VarEnd,MATCH($A2362,VarKey,0))&amp;AG$5</f>
        <v/>
      </c>
      <c r="AH2362" s="40">
        <f>INDEX(AH$297:AH$313,$E2362)*$D2362</f>
        <v/>
      </c>
      <c r="AI2362" s="35">
        <f>INDEX(AI$297:AI$313,$E2362)*$D2362</f>
        <v/>
      </c>
      <c r="AJ2362" s="35">
        <f>INDEX(AJ$297:AJ$313,$E2362)*$D2362</f>
        <v/>
      </c>
      <c r="AK2362" s="35">
        <f>INDEX(AK$297:AK$313,$E2362)*$D2362</f>
        <v/>
      </c>
      <c r="AL2362" s="35">
        <f>INDEX(AL$297:AL$313,$E2362)*$D2362</f>
        <v/>
      </c>
      <c r="AM2362" s="35">
        <f>INDEX(AM$297:AM$313,$E2362)*$D2362</f>
        <v/>
      </c>
      <c r="AN2362" s="35">
        <f>INDEX(AN$297:AN$313,$E2362)*$D2362</f>
        <v/>
      </c>
      <c r="AO2362" s="35">
        <f>INDEX(AO$297:AO$313,$E2362)*$D2362</f>
        <v/>
      </c>
      <c r="AP2362" s="35">
        <f>INDEX(AP$297:AP$313,$E2362)*$D2362</f>
        <v/>
      </c>
      <c r="AQ2362" s="35">
        <f>INDEX(AQ$297:AQ$313,$E2362)*$D2362</f>
        <v/>
      </c>
      <c r="AR2362" s="35">
        <f>INDEX(AR$297:AR$313,$E2362)*$D2362</f>
        <v/>
      </c>
      <c r="AS2362" s="35">
        <f>INDEX(AS$297:AS$313,$E2362)*$D2362</f>
        <v/>
      </c>
      <c r="AT2362" s="35">
        <f>INDEX(AT$297:AT$313,$E2362)*$D2362</f>
        <v/>
      </c>
      <c r="AU2362" s="35">
        <f>INDEX(AU$297:AU$313,$E2362)*$D2362</f>
        <v/>
      </c>
      <c r="AV2362" s="35">
        <f>INDEX(AV$297:AV$313,$E2362)*$D2362</f>
        <v/>
      </c>
      <c r="AW2362" s="35">
        <f>INDEX(AW$297:AW$313,$E2362)*$D2362</f>
        <v/>
      </c>
      <c r="AX2362" s="35">
        <f>INDEX(AX$297:AX$313,$E2362)*$D2362</f>
        <v/>
      </c>
      <c r="AY2362" s="35">
        <f>INDEX(AY$297:AY$313,$E2362)*$D2362</f>
        <v/>
      </c>
      <c r="AZ2362" s="35">
        <f>INDEX(AZ$297:AZ$313,$E2362)*$D2362</f>
        <v/>
      </c>
      <c r="BA2362" s="42">
        <f>SHADOWGJ(INDEX(BA$297:BA$313,$E2362),$D2362)</f>
        <v/>
      </c>
    </row>
    <row r="2363" hidden="1" outlineLevel="2">
      <c r="A2363" s="14" t="inlineStr">
        <is>
          <t>shp</t>
        </is>
      </c>
      <c r="B2363" s="14" t="inlineStr">
        <is>
          <t>bio</t>
        </is>
      </c>
      <c r="C2363" s="14" t="inlineStr">
        <is>
          <t>mac</t>
        </is>
      </c>
      <c r="D2363" s="35">
        <f>INDEX(Inputs!$W$5:$W$132,MATCH($B2363&amp;"|"&amp;$C2363,Inputs!$A$5:$A$132,0))</f>
        <v/>
      </c>
      <c r="E2363" s="35">
        <f>INDEX(Inputs!$M$5:$M$132,MATCH($B2363&amp;"|"&amp;$C2363,Inputs!$A$5:$A$132,0))</f>
        <v/>
      </c>
      <c r="F2363" s="39" t="n"/>
      <c r="G2363" s="39" t="n"/>
      <c r="H2363" s="14">
        <f>INDEX(VarLab,MATCH($A2363,VarKey,0))&amp;INDEX(MemLab,MATCH($C2363&amp;"|"&amp;$B2363,MemKey,0))</f>
        <v/>
      </c>
      <c r="I2363" s="14">
        <f>INDEX(VarUnit,MATCH($A2363,VarKey,0))</f>
        <v/>
      </c>
      <c r="J2363" s="14">
        <f>INDEX(VarSrc,MATCH($A2363,VarKey,0))</f>
        <v/>
      </c>
      <c r="K2363" s="11">
        <f>CodePrefix&amp;$A2363&amp;IF($C2363="","","."&amp;$C2363&amp;"."&amp;$B2363)&amp;INDEX(VarEnd,MATCH($A2363,VarKey,0))&amp;K$5</f>
        <v/>
      </c>
      <c r="L2363" s="40">
        <f>INDEX(L$297:L$313,$E2363)*$D2363</f>
        <v/>
      </c>
      <c r="M2363" s="35">
        <f>INDEX(M$297:M$313,$E2363)*$D2363</f>
        <v/>
      </c>
      <c r="N2363" s="35">
        <f>INDEX(N$297:N$313,$E2363)*$D2363</f>
        <v/>
      </c>
      <c r="O2363" s="35">
        <f>INDEX(O$297:O$313,$E2363)*$D2363</f>
        <v/>
      </c>
      <c r="P2363" s="35">
        <f>INDEX(P$297:P$313,$E2363)*$D2363</f>
        <v/>
      </c>
      <c r="Q2363" s="35">
        <f>INDEX(Q$297:Q$313,$E2363)*$D2363</f>
        <v/>
      </c>
      <c r="R2363" s="35">
        <f>INDEX(R$297:R$313,$E2363)*$D2363</f>
        <v/>
      </c>
      <c r="S2363" s="35">
        <f>INDEX(S$297:S$313,$E2363)*$D2363</f>
        <v/>
      </c>
      <c r="T2363" s="35">
        <f>INDEX(T$297:T$313,$E2363)*$D2363</f>
        <v/>
      </c>
      <c r="U2363" s="35">
        <f>INDEX(U$297:U$313,$E2363)*$D2363</f>
        <v/>
      </c>
      <c r="V2363" s="35">
        <f>INDEX(V$297:V$313,$E2363)*$D2363</f>
        <v/>
      </c>
      <c r="W2363" s="35">
        <f>INDEX(W$297:W$313,$E2363)*$D2363</f>
        <v/>
      </c>
      <c r="X2363" s="35">
        <f>INDEX(X$297:X$313,$E2363)*$D2363</f>
        <v/>
      </c>
      <c r="Y2363" s="35">
        <f>INDEX(Y$297:Y$313,$E2363)*$D2363</f>
        <v/>
      </c>
      <c r="Z2363" s="35">
        <f>INDEX(Z$297:Z$313,$E2363)*$D2363</f>
        <v/>
      </c>
      <c r="AA2363" s="35">
        <f>INDEX(AA$297:AA$313,$E2363)*$D2363</f>
        <v/>
      </c>
      <c r="AB2363" s="35">
        <f>INDEX(AB$297:AB$313,$E2363)*$D2363</f>
        <v/>
      </c>
      <c r="AC2363" s="35">
        <f>INDEX(AC$297:AC$313,$E2363)*$D2363</f>
        <v/>
      </c>
      <c r="AD2363" s="35">
        <f>INDEX(AD$297:AD$313,$E2363)*$D2363</f>
        <v/>
      </c>
      <c r="AE2363" s="42">
        <f>SHADOWGJ(INDEX(AE$297:AE$313,$E2363),$D2363)</f>
        <v/>
      </c>
      <c r="AG2363" s="11">
        <f>CodePrefix&amp;$A2363&amp;IF($C2363="","","."&amp;$C2363&amp;"."&amp;$B2363)&amp;INDEX(VarEnd,MATCH($A2363,VarKey,0))&amp;AG$5</f>
        <v/>
      </c>
      <c r="AH2363" s="40">
        <f>INDEX(AH$297:AH$313,$E2363)*$D2363</f>
        <v/>
      </c>
      <c r="AI2363" s="35">
        <f>INDEX(AI$297:AI$313,$E2363)*$D2363</f>
        <v/>
      </c>
      <c r="AJ2363" s="35">
        <f>INDEX(AJ$297:AJ$313,$E2363)*$D2363</f>
        <v/>
      </c>
      <c r="AK2363" s="35">
        <f>INDEX(AK$297:AK$313,$E2363)*$D2363</f>
        <v/>
      </c>
      <c r="AL2363" s="35">
        <f>INDEX(AL$297:AL$313,$E2363)*$D2363</f>
        <v/>
      </c>
      <c r="AM2363" s="35">
        <f>INDEX(AM$297:AM$313,$E2363)*$D2363</f>
        <v/>
      </c>
      <c r="AN2363" s="35">
        <f>INDEX(AN$297:AN$313,$E2363)*$D2363</f>
        <v/>
      </c>
      <c r="AO2363" s="35">
        <f>INDEX(AO$297:AO$313,$E2363)*$D2363</f>
        <v/>
      </c>
      <c r="AP2363" s="35">
        <f>INDEX(AP$297:AP$313,$E2363)*$D2363</f>
        <v/>
      </c>
      <c r="AQ2363" s="35">
        <f>INDEX(AQ$297:AQ$313,$E2363)*$D2363</f>
        <v/>
      </c>
      <c r="AR2363" s="35">
        <f>INDEX(AR$297:AR$313,$E2363)*$D2363</f>
        <v/>
      </c>
      <c r="AS2363" s="35">
        <f>INDEX(AS$297:AS$313,$E2363)*$D2363</f>
        <v/>
      </c>
      <c r="AT2363" s="35">
        <f>INDEX(AT$297:AT$313,$E2363)*$D2363</f>
        <v/>
      </c>
      <c r="AU2363" s="35">
        <f>INDEX(AU$297:AU$313,$E2363)*$D2363</f>
        <v/>
      </c>
      <c r="AV2363" s="35">
        <f>INDEX(AV$297:AV$313,$E2363)*$D2363</f>
        <v/>
      </c>
      <c r="AW2363" s="35">
        <f>INDEX(AW$297:AW$313,$E2363)*$D2363</f>
        <v/>
      </c>
      <c r="AX2363" s="35">
        <f>INDEX(AX$297:AX$313,$E2363)*$D2363</f>
        <v/>
      </c>
      <c r="AY2363" s="35">
        <f>INDEX(AY$297:AY$313,$E2363)*$D2363</f>
        <v/>
      </c>
      <c r="AZ2363" s="35">
        <f>INDEX(AZ$297:AZ$313,$E2363)*$D2363</f>
        <v/>
      </c>
      <c r="BA2363" s="42">
        <f>SHADOWGJ(INDEX(BA$297:BA$313,$E2363),$D2363)</f>
        <v/>
      </c>
    </row>
    <row r="2364" hidden="1" outlineLevel="2"/>
    <row r="2365" hidden="1" outlineLevel="2">
      <c r="A2365" s="14" t="inlineStr">
        <is>
          <t>ener</t>
        </is>
      </c>
      <c r="B2365" s="14" t="inlineStr">
        <is>
          <t>coa</t>
        </is>
      </c>
      <c r="C2365" s="14" t="inlineStr">
        <is>
          <t>mac</t>
        </is>
      </c>
      <c r="D2365" s="35">
        <f>INDEX(Inputs!$O$5:$O$132,MATCH($B2365&amp;"|"&amp;$C2365,Inputs!$A$5:$A$132,0))</f>
        <v/>
      </c>
      <c r="E2365" s="35">
        <f>INDEX(Inputs!$P$5:$P$132,MATCH($B2365&amp;"|"&amp;$C2365,Inputs!$A$5:$A$132,0))</f>
        <v/>
      </c>
      <c r="F2365" s="35">
        <f>INDEX(Inputs!$T$5:$T$132,MATCH($B2365&amp;"|"&amp;$C2365,Inputs!$A$5:$A$132,0))</f>
        <v/>
      </c>
      <c r="G2365" s="35">
        <f>INDEX(Inputs!$S$5:$S$132,MATCH($B2365&amp;"|"&amp;$C2365,Inputs!$A$5:$A$132,0))</f>
        <v/>
      </c>
      <c r="H2365" s="14">
        <f>INDEX(VarLab,MATCH($A2365,VarKey,0))&amp;INDEX(MemLab,MATCH($C2365&amp;"|"&amp;$B2365,MemKey,0))</f>
        <v/>
      </c>
      <c r="I2365" s="14">
        <f>INDEX(VarUnit,MATCH($A2365,VarKey,0))</f>
        <v/>
      </c>
      <c r="J2365" s="14">
        <f>INDEX(VarSrc,MATCH($A2365,VarKey,0))</f>
        <v/>
      </c>
      <c r="K2365" s="11">
        <f>CodePrefix&amp;$A2365&amp;IF($C2365="","","."&amp;$C2365&amp;"."&amp;$B2365)&amp;INDEX(VarEnd,MATCH($A2365,VarKey,0))&amp;K$5</f>
        <v/>
      </c>
      <c r="L2365" s="43">
        <f>INDEX(Inputs!$X$5:$X$132,MATCH($B2365&amp;"|"&amp;$C2365,Inputs!$A$5:$A$132,0))</f>
        <v/>
      </c>
      <c r="M2365" s="44">
        <f>L2365*$G2365*(1+M$7)^$D2365*(M2347/L2347)^$E2365*((M2347+M2356)/(L2347+L2356))^$F2365</f>
        <v/>
      </c>
      <c r="N2365" s="44">
        <f>M2365*$G2365*(1+N$7)^$D2365*(N2347/M2347)^$E2365*((N2347+N2356)/(M2347+M2356))^$F2365</f>
        <v/>
      </c>
      <c r="O2365" s="44">
        <f>N2365*$G2365*(1+O$7)^$D2365*(O2347/N2347)^$E2365*((O2347+O2356)/(N2347+N2356))^$F2365</f>
        <v/>
      </c>
      <c r="P2365" s="44">
        <f>O2365*$G2365*(1+P$7)^$D2365*(P2347/O2347)^$E2365*((P2347+P2356)/(O2347+O2356))^$F2365</f>
        <v/>
      </c>
      <c r="Q2365" s="44">
        <f>P2365*$G2365*(1+Q$7)^$D2365*(Q2347/P2347)^$E2365*((Q2347+Q2356)/(P2347+P2356))^$F2365</f>
        <v/>
      </c>
      <c r="R2365" s="44">
        <f>Q2365*$G2365*(1+R$7)^$D2365*(R2347/Q2347)^$E2365*((R2347+R2356)/(Q2347+Q2356))^$F2365</f>
        <v/>
      </c>
      <c r="S2365" s="44">
        <f>R2365*$G2365*(1+S$7)^$D2365*(S2347/R2347)^$E2365*((S2347+S2356)/(R2347+R2356))^$F2365</f>
        <v/>
      </c>
      <c r="T2365" s="44">
        <f>S2365*$G2365*(1+T$7)^$D2365*(T2347/S2347)^$E2365*((T2347+T2356)/(S2347+S2356))^$F2365</f>
        <v/>
      </c>
      <c r="U2365" s="44">
        <f>T2365*$G2365*(1+U$7)^$D2365*(U2347/T2347)^$E2365*((U2347+U2356)/(T2347+T2356))^$F2365</f>
        <v/>
      </c>
      <c r="V2365" s="44">
        <f>U2365*$G2365*(1+V$7)^$D2365*(V2347/U2347)^$E2365*((V2347+V2356)/(U2347+U2356))^$F2365</f>
        <v/>
      </c>
      <c r="W2365" s="44">
        <f>V2365*$G2365*(1+W$7)^$D2365*(W2347/V2347)^$E2365*((W2347+W2356)/(V2347+V2356))^$F2365</f>
        <v/>
      </c>
      <c r="X2365" s="44">
        <f>W2365*$G2365*(1+X$7)^$D2365*(X2347/W2347)^$E2365*((X2347+X2356)/(W2347+W2356))^$F2365</f>
        <v/>
      </c>
      <c r="Y2365" s="44">
        <f>X2365*$G2365*(1+Y$7)^$D2365*(Y2347/X2347)^$E2365*((Y2347+Y2356)/(X2347+X2356))^$F2365</f>
        <v/>
      </c>
      <c r="Z2365" s="44">
        <f>Y2365*$G2365*(1+Z$7)^$D2365*(Z2347/Y2347)^$E2365*((Z2347+Z2356)/(Y2347+Y2356))^$F2365</f>
        <v/>
      </c>
      <c r="AA2365" s="44">
        <f>Z2365*$G2365*(1+AA$7)^$D2365*(AA2347/Z2347)^$E2365*((AA2347+AA2356)/(Z2347+Z2356))^$F2365</f>
        <v/>
      </c>
      <c r="AB2365" s="44">
        <f>AA2365*$G2365*(1+AB$7)^$D2365*(AB2347/AA2347)^$E2365*((AB2347+AB2356)/(AA2347+AA2356))^$F2365</f>
        <v/>
      </c>
      <c r="AC2365" s="44">
        <f>AB2365*$G2365*(1+AC$7)^$D2365*(AC2347/AB2347)^$E2365*((AC2347+AC2356)/(AB2347+AB2356))^$F2365</f>
        <v/>
      </c>
      <c r="AD2365" s="44">
        <f>AC2365*$G2365*(1+AD$7)^$D2365*(AD2347/AC2347)^$E2365*((AD2347+AD2356)/(AC2347+AC2356))^$F2365</f>
        <v/>
      </c>
      <c r="AE2365" s="57">
        <f>FUELUSE(AD2365,AE2347,AD2347,AE2356,AD2356,AE$7,$D2365,$E2365,$F2365,$G2365)</f>
        <v/>
      </c>
      <c r="AG2365" s="11">
        <f>CodePrefix&amp;$A2365&amp;IF($C2365="","","."&amp;$C2365&amp;"."&amp;$B2365)&amp;INDEX(VarEnd,MATCH($A2365,VarKey,0))&amp;AG$5</f>
        <v/>
      </c>
      <c r="AH2365" s="43">
        <f>INDEX(Inputs!$X$5:$X$132,MATCH($B2365&amp;"|"&amp;$C2365,Inputs!$A$5:$A$132,0))</f>
        <v/>
      </c>
      <c r="AI2365" s="44">
        <f>AH2365*$G2365*(1+AI$7)^$D2365*(AI2347/AH2347)^$E2365*((AI2347+AI2356)/(AH2347+AH2356))^$F2365</f>
        <v/>
      </c>
      <c r="AJ2365" s="44">
        <f>AI2365*$G2365*(1+AJ$7)^$D2365*(AJ2347/AI2347)^$E2365*((AJ2347+AJ2356)/(AI2347+AI2356))^$F2365</f>
        <v/>
      </c>
      <c r="AK2365" s="44">
        <f>AJ2365*$G2365*(1+AK$7)^$D2365*(AK2347/AJ2347)^$E2365*((AK2347+AK2356)/(AJ2347+AJ2356))^$F2365</f>
        <v/>
      </c>
      <c r="AL2365" s="44">
        <f>AK2365*$G2365*(1+AL$7)^$D2365*(AL2347/AK2347)^$E2365*((AL2347+AL2356)/(AK2347+AK2356))^$F2365</f>
        <v/>
      </c>
      <c r="AM2365" s="44">
        <f>AL2365*$G2365*(1+AM$7)^$D2365*(AM2347/AL2347)^$E2365*((AM2347+AM2356)/(AL2347+AL2356))^$F2365</f>
        <v/>
      </c>
      <c r="AN2365" s="44">
        <f>AM2365*$G2365*(1+AN$7)^$D2365*(AN2347/AM2347)^$E2365*((AN2347+AN2356)/(AM2347+AM2356))^$F2365</f>
        <v/>
      </c>
      <c r="AO2365" s="44">
        <f>AN2365*$G2365*(1+AO$7)^$D2365*(AO2347/AN2347)^$E2365*((AO2347+AO2356)/(AN2347+AN2356))^$F2365</f>
        <v/>
      </c>
      <c r="AP2365" s="44">
        <f>AO2365*$G2365*(1+AP$7)^$D2365*(AP2347/AO2347)^$E2365*((AP2347+AP2356)/(AO2347+AO2356))^$F2365</f>
        <v/>
      </c>
      <c r="AQ2365" s="44">
        <f>AP2365*$G2365*(1+AQ$7)^$D2365*(AQ2347/AP2347)^$E2365*((AQ2347+AQ2356)/(AP2347+AP2356))^$F2365</f>
        <v/>
      </c>
      <c r="AR2365" s="44">
        <f>AQ2365*$G2365*(1+AR$7)^$D2365*(AR2347/AQ2347)^$E2365*((AR2347+AR2356)/(AQ2347+AQ2356))^$F2365</f>
        <v/>
      </c>
      <c r="AS2365" s="44">
        <f>AR2365*$G2365*(1+AS$7)^$D2365*(AS2347/AR2347)^$E2365*((AS2347+AS2356)/(AR2347+AR2356))^$F2365</f>
        <v/>
      </c>
      <c r="AT2365" s="44">
        <f>AS2365*$G2365*(1+AT$7)^$D2365*(AT2347/AS2347)^$E2365*((AT2347+AT2356)/(AS2347+AS2356))^$F2365</f>
        <v/>
      </c>
      <c r="AU2365" s="44">
        <f>AT2365*$G2365*(1+AU$7)^$D2365*(AU2347/AT2347)^$E2365*((AU2347+AU2356)/(AT2347+AT2356))^$F2365</f>
        <v/>
      </c>
      <c r="AV2365" s="44">
        <f>AU2365*$G2365*(1+AV$7)^$D2365*(AV2347/AU2347)^$E2365*((AV2347+AV2356)/(AU2347+AU2356))^$F2365</f>
        <v/>
      </c>
      <c r="AW2365" s="44">
        <f>AV2365*$G2365*(1+AW$7)^$D2365*(AW2347/AV2347)^$E2365*((AW2347+AW2356)/(AV2347+AV2356))^$F2365</f>
        <v/>
      </c>
      <c r="AX2365" s="44">
        <f>AW2365*$G2365*(1+AX$7)^$D2365*(AX2347/AW2347)^$E2365*((AX2347+AX2356)/(AW2347+AW2356))^$F2365</f>
        <v/>
      </c>
      <c r="AY2365" s="44">
        <f>AX2365*$G2365*(1+AY$7)^$D2365*(AY2347/AX2347)^$E2365*((AY2347+AY2356)/(AX2347+AX2356))^$F2365</f>
        <v/>
      </c>
      <c r="AZ2365" s="44">
        <f>AY2365*$G2365*(1+AZ$7)^$D2365*(AZ2347/AY2347)^$E2365*((AZ2347+AZ2356)/(AY2347+AY2356))^$F2365</f>
        <v/>
      </c>
      <c r="BA2365" s="57">
        <f>FUELUSE(AZ2365,BA2347,AZ2347,BA2356,AZ2356,BA$7,$D2365,$E2365,$F2365,$G2365)</f>
        <v/>
      </c>
    </row>
    <row r="2366" hidden="1" outlineLevel="2">
      <c r="A2366" s="14" t="inlineStr">
        <is>
          <t>ener</t>
        </is>
      </c>
      <c r="B2366" s="14" t="inlineStr">
        <is>
          <t>nga</t>
        </is>
      </c>
      <c r="C2366" s="14" t="inlineStr">
        <is>
          <t>mac</t>
        </is>
      </c>
      <c r="D2366" s="35">
        <f>INDEX(Inputs!$O$5:$O$132,MATCH($B2366&amp;"|"&amp;$C2366,Inputs!$A$5:$A$132,0))</f>
        <v/>
      </c>
      <c r="E2366" s="35">
        <f>INDEX(Inputs!$P$5:$P$132,MATCH($B2366&amp;"|"&amp;$C2366,Inputs!$A$5:$A$132,0))</f>
        <v/>
      </c>
      <c r="F2366" s="35">
        <f>INDEX(Inputs!$T$5:$T$132,MATCH($B2366&amp;"|"&amp;$C2366,Inputs!$A$5:$A$132,0))</f>
        <v/>
      </c>
      <c r="G2366" s="35">
        <f>INDEX(Inputs!$S$5:$S$132,MATCH($B2366&amp;"|"&amp;$C2366,Inputs!$A$5:$A$132,0))</f>
        <v/>
      </c>
      <c r="H2366" s="14">
        <f>INDEX(VarLab,MATCH($A2366,VarKey,0))&amp;INDEX(MemLab,MATCH($C2366&amp;"|"&amp;$B2366,MemKey,0))</f>
        <v/>
      </c>
      <c r="I2366" s="14">
        <f>INDEX(VarUnit,MATCH($A2366,VarKey,0))</f>
        <v/>
      </c>
      <c r="J2366" s="14">
        <f>INDEX(VarSrc,MATCH($A2366,VarKey,0))</f>
        <v/>
      </c>
      <c r="K2366" s="11">
        <f>CodePrefix&amp;$A2366&amp;IF($C2366="","","."&amp;$C2366&amp;"."&amp;$B2366)&amp;INDEX(VarEnd,MATCH($A2366,VarKey,0))&amp;K$5</f>
        <v/>
      </c>
      <c r="L2366" s="43">
        <f>INDEX(Inputs!$X$5:$X$132,MATCH($B2366&amp;"|"&amp;$C2366,Inputs!$A$5:$A$132,0))</f>
        <v/>
      </c>
      <c r="M2366" s="44">
        <f>L2366*$G2366*(1+M$7)^$D2366*(M2348/L2348)^$E2366*((M2348+M2357)/(L2348+L2357))^$F2366</f>
        <v/>
      </c>
      <c r="N2366" s="44">
        <f>M2366*$G2366*(1+N$7)^$D2366*(N2348/M2348)^$E2366*((N2348+N2357)/(M2348+M2357))^$F2366</f>
        <v/>
      </c>
      <c r="O2366" s="44">
        <f>N2366*$G2366*(1+O$7)^$D2366*(O2348/N2348)^$E2366*((O2348+O2357)/(N2348+N2357))^$F2366</f>
        <v/>
      </c>
      <c r="P2366" s="44">
        <f>O2366*$G2366*(1+P$7)^$D2366*(P2348/O2348)^$E2366*((P2348+P2357)/(O2348+O2357))^$F2366</f>
        <v/>
      </c>
      <c r="Q2366" s="44">
        <f>P2366*$G2366*(1+Q$7)^$D2366*(Q2348/P2348)^$E2366*((Q2348+Q2357)/(P2348+P2357))^$F2366</f>
        <v/>
      </c>
      <c r="R2366" s="44">
        <f>Q2366*$G2366*(1+R$7)^$D2366*(R2348/Q2348)^$E2366*((R2348+R2357)/(Q2348+Q2357))^$F2366</f>
        <v/>
      </c>
      <c r="S2366" s="44">
        <f>R2366*$G2366*(1+S$7)^$D2366*(S2348/R2348)^$E2366*((S2348+S2357)/(R2348+R2357))^$F2366</f>
        <v/>
      </c>
      <c r="T2366" s="44">
        <f>S2366*$G2366*(1+T$7)^$D2366*(T2348/S2348)^$E2366*((T2348+T2357)/(S2348+S2357))^$F2366</f>
        <v/>
      </c>
      <c r="U2366" s="44">
        <f>T2366*$G2366*(1+U$7)^$D2366*(U2348/T2348)^$E2366*((U2348+U2357)/(T2348+T2357))^$F2366</f>
        <v/>
      </c>
      <c r="V2366" s="44">
        <f>U2366*$G2366*(1+V$7)^$D2366*(V2348/U2348)^$E2366*((V2348+V2357)/(U2348+U2357))^$F2366</f>
        <v/>
      </c>
      <c r="W2366" s="44">
        <f>V2366*$G2366*(1+W$7)^$D2366*(W2348/V2348)^$E2366*((W2348+W2357)/(V2348+V2357))^$F2366</f>
        <v/>
      </c>
      <c r="X2366" s="44">
        <f>W2366*$G2366*(1+X$7)^$D2366*(X2348/W2348)^$E2366*((X2348+X2357)/(W2348+W2357))^$F2366</f>
        <v/>
      </c>
      <c r="Y2366" s="44">
        <f>X2366*$G2366*(1+Y$7)^$D2366*(Y2348/X2348)^$E2366*((Y2348+Y2357)/(X2348+X2357))^$F2366</f>
        <v/>
      </c>
      <c r="Z2366" s="44">
        <f>Y2366*$G2366*(1+Z$7)^$D2366*(Z2348/Y2348)^$E2366*((Z2348+Z2357)/(Y2348+Y2357))^$F2366</f>
        <v/>
      </c>
      <c r="AA2366" s="44">
        <f>Z2366*$G2366*(1+AA$7)^$D2366*(AA2348/Z2348)^$E2366*((AA2348+AA2357)/(Z2348+Z2357))^$F2366</f>
        <v/>
      </c>
      <c r="AB2366" s="44">
        <f>AA2366*$G2366*(1+AB$7)^$D2366*(AB2348/AA2348)^$E2366*((AB2348+AB2357)/(AA2348+AA2357))^$F2366</f>
        <v/>
      </c>
      <c r="AC2366" s="44">
        <f>AB2366*$G2366*(1+AC$7)^$D2366*(AC2348/AB2348)^$E2366*((AC2348+AC2357)/(AB2348+AB2357))^$F2366</f>
        <v/>
      </c>
      <c r="AD2366" s="44">
        <f>AC2366*$G2366*(1+AD$7)^$D2366*(AD2348/AC2348)^$E2366*((AD2348+AD2357)/(AC2348+AC2357))^$F2366</f>
        <v/>
      </c>
      <c r="AE2366" s="57">
        <f>FUELUSE(AD2366,AE2348,AD2348,AE2357,AD2357,AE$7,$D2366,$E2366,$F2366,$G2366)</f>
        <v/>
      </c>
      <c r="AG2366" s="11">
        <f>CodePrefix&amp;$A2366&amp;IF($C2366="","","."&amp;$C2366&amp;"."&amp;$B2366)&amp;INDEX(VarEnd,MATCH($A2366,VarKey,0))&amp;AG$5</f>
        <v/>
      </c>
      <c r="AH2366" s="43">
        <f>INDEX(Inputs!$X$5:$X$132,MATCH($B2366&amp;"|"&amp;$C2366,Inputs!$A$5:$A$132,0))</f>
        <v/>
      </c>
      <c r="AI2366" s="44">
        <f>AH2366*$G2366*(1+AI$7)^$D2366*(AI2348/AH2348)^$E2366*((AI2348+AI2357)/(AH2348+AH2357))^$F2366</f>
        <v/>
      </c>
      <c r="AJ2366" s="44">
        <f>AI2366*$G2366*(1+AJ$7)^$D2366*(AJ2348/AI2348)^$E2366*((AJ2348+AJ2357)/(AI2348+AI2357))^$F2366</f>
        <v/>
      </c>
      <c r="AK2366" s="44">
        <f>AJ2366*$G2366*(1+AK$7)^$D2366*(AK2348/AJ2348)^$E2366*((AK2348+AK2357)/(AJ2348+AJ2357))^$F2366</f>
        <v/>
      </c>
      <c r="AL2366" s="44">
        <f>AK2366*$G2366*(1+AL$7)^$D2366*(AL2348/AK2348)^$E2366*((AL2348+AL2357)/(AK2348+AK2357))^$F2366</f>
        <v/>
      </c>
      <c r="AM2366" s="44">
        <f>AL2366*$G2366*(1+AM$7)^$D2366*(AM2348/AL2348)^$E2366*((AM2348+AM2357)/(AL2348+AL2357))^$F2366</f>
        <v/>
      </c>
      <c r="AN2366" s="44">
        <f>AM2366*$G2366*(1+AN$7)^$D2366*(AN2348/AM2348)^$E2366*((AN2348+AN2357)/(AM2348+AM2357))^$F2366</f>
        <v/>
      </c>
      <c r="AO2366" s="44">
        <f>AN2366*$G2366*(1+AO$7)^$D2366*(AO2348/AN2348)^$E2366*((AO2348+AO2357)/(AN2348+AN2357))^$F2366</f>
        <v/>
      </c>
      <c r="AP2366" s="44">
        <f>AO2366*$G2366*(1+AP$7)^$D2366*(AP2348/AO2348)^$E2366*((AP2348+AP2357)/(AO2348+AO2357))^$F2366</f>
        <v/>
      </c>
      <c r="AQ2366" s="44">
        <f>AP2366*$G2366*(1+AQ$7)^$D2366*(AQ2348/AP2348)^$E2366*((AQ2348+AQ2357)/(AP2348+AP2357))^$F2366</f>
        <v/>
      </c>
      <c r="AR2366" s="44">
        <f>AQ2366*$G2366*(1+AR$7)^$D2366*(AR2348/AQ2348)^$E2366*((AR2348+AR2357)/(AQ2348+AQ2357))^$F2366</f>
        <v/>
      </c>
      <c r="AS2366" s="44">
        <f>AR2366*$G2366*(1+AS$7)^$D2366*(AS2348/AR2348)^$E2366*((AS2348+AS2357)/(AR2348+AR2357))^$F2366</f>
        <v/>
      </c>
      <c r="AT2366" s="44">
        <f>AS2366*$G2366*(1+AT$7)^$D2366*(AT2348/AS2348)^$E2366*((AT2348+AT2357)/(AS2348+AS2357))^$F2366</f>
        <v/>
      </c>
      <c r="AU2366" s="44">
        <f>AT2366*$G2366*(1+AU$7)^$D2366*(AU2348/AT2348)^$E2366*((AU2348+AU2357)/(AT2348+AT2357))^$F2366</f>
        <v/>
      </c>
      <c r="AV2366" s="44">
        <f>AU2366*$G2366*(1+AV$7)^$D2366*(AV2348/AU2348)^$E2366*((AV2348+AV2357)/(AU2348+AU2357))^$F2366</f>
        <v/>
      </c>
      <c r="AW2366" s="44">
        <f>AV2366*$G2366*(1+AW$7)^$D2366*(AW2348/AV2348)^$E2366*((AW2348+AW2357)/(AV2348+AV2357))^$F2366</f>
        <v/>
      </c>
      <c r="AX2366" s="44">
        <f>AW2366*$G2366*(1+AX$7)^$D2366*(AX2348/AW2348)^$E2366*((AX2348+AX2357)/(AW2348+AW2357))^$F2366</f>
        <v/>
      </c>
      <c r="AY2366" s="44">
        <f>AX2366*$G2366*(1+AY$7)^$D2366*(AY2348/AX2348)^$E2366*((AY2348+AY2357)/(AX2348+AX2357))^$F2366</f>
        <v/>
      </c>
      <c r="AZ2366" s="44">
        <f>AY2366*$G2366*(1+AZ$7)^$D2366*(AZ2348/AY2348)^$E2366*((AZ2348+AZ2357)/(AY2348+AY2357))^$F2366</f>
        <v/>
      </c>
      <c r="BA2366" s="57">
        <f>FUELUSE(AZ2366,BA2348,AZ2348,BA2357,AZ2357,BA$7,$D2366,$E2366,$F2366,$G2366)</f>
        <v/>
      </c>
    </row>
    <row r="2367" hidden="1" outlineLevel="2">
      <c r="A2367" s="14" t="inlineStr">
        <is>
          <t>ener</t>
        </is>
      </c>
      <c r="B2367" s="14" t="inlineStr">
        <is>
          <t>gso</t>
        </is>
      </c>
      <c r="C2367" s="14" t="inlineStr">
        <is>
          <t>mac</t>
        </is>
      </c>
      <c r="D2367" s="35">
        <f>INDEX(Inputs!$O$5:$O$132,MATCH($B2367&amp;"|"&amp;$C2367,Inputs!$A$5:$A$132,0))</f>
        <v/>
      </c>
      <c r="E2367" s="35">
        <f>INDEX(Inputs!$P$5:$P$132,MATCH($B2367&amp;"|"&amp;$C2367,Inputs!$A$5:$A$132,0))</f>
        <v/>
      </c>
      <c r="F2367" s="35">
        <f>INDEX(Inputs!$T$5:$T$132,MATCH($B2367&amp;"|"&amp;$C2367,Inputs!$A$5:$A$132,0))</f>
        <v/>
      </c>
      <c r="G2367" s="35">
        <f>INDEX(Inputs!$S$5:$S$132,MATCH($B2367&amp;"|"&amp;$C2367,Inputs!$A$5:$A$132,0))</f>
        <v/>
      </c>
      <c r="H2367" s="14">
        <f>INDEX(VarLab,MATCH($A2367,VarKey,0))&amp;INDEX(MemLab,MATCH($C2367&amp;"|"&amp;$B2367,MemKey,0))</f>
        <v/>
      </c>
      <c r="I2367" s="14">
        <f>INDEX(VarUnit,MATCH($A2367,VarKey,0))</f>
        <v/>
      </c>
      <c r="J2367" s="14">
        <f>INDEX(VarSrc,MATCH($A2367,VarKey,0))</f>
        <v/>
      </c>
      <c r="K2367" s="11">
        <f>CodePrefix&amp;$A2367&amp;IF($C2367="","","."&amp;$C2367&amp;"."&amp;$B2367)&amp;INDEX(VarEnd,MATCH($A2367,VarKey,0))&amp;K$5</f>
        <v/>
      </c>
      <c r="L2367" s="43">
        <f>INDEX(Inputs!$X$5:$X$132,MATCH($B2367&amp;"|"&amp;$C2367,Inputs!$A$5:$A$132,0))</f>
        <v/>
      </c>
      <c r="M2367" s="44">
        <f>L2367*$G2367*(1+M$7)^$D2367*(M2349/L2349)^$E2367*((M2349+M2358)/(L2349+L2358))^$F2367</f>
        <v/>
      </c>
      <c r="N2367" s="44">
        <f>M2367*$G2367*(1+N$7)^$D2367*(N2349/M2349)^$E2367*((N2349+N2358)/(M2349+M2358))^$F2367</f>
        <v/>
      </c>
      <c r="O2367" s="44">
        <f>N2367*$G2367*(1+O$7)^$D2367*(O2349/N2349)^$E2367*((O2349+O2358)/(N2349+N2358))^$F2367</f>
        <v/>
      </c>
      <c r="P2367" s="44">
        <f>O2367*$G2367*(1+P$7)^$D2367*(P2349/O2349)^$E2367*((P2349+P2358)/(O2349+O2358))^$F2367</f>
        <v/>
      </c>
      <c r="Q2367" s="44">
        <f>P2367*$G2367*(1+Q$7)^$D2367*(Q2349/P2349)^$E2367*((Q2349+Q2358)/(P2349+P2358))^$F2367</f>
        <v/>
      </c>
      <c r="R2367" s="44">
        <f>Q2367*$G2367*(1+R$7)^$D2367*(R2349/Q2349)^$E2367*((R2349+R2358)/(Q2349+Q2358))^$F2367</f>
        <v/>
      </c>
      <c r="S2367" s="44">
        <f>R2367*$G2367*(1+S$7)^$D2367*(S2349/R2349)^$E2367*((S2349+S2358)/(R2349+R2358))^$F2367</f>
        <v/>
      </c>
      <c r="T2367" s="44">
        <f>S2367*$G2367*(1+T$7)^$D2367*(T2349/S2349)^$E2367*((T2349+T2358)/(S2349+S2358))^$F2367</f>
        <v/>
      </c>
      <c r="U2367" s="44">
        <f>T2367*$G2367*(1+U$7)^$D2367*(U2349/T2349)^$E2367*((U2349+U2358)/(T2349+T2358))^$F2367</f>
        <v/>
      </c>
      <c r="V2367" s="44">
        <f>U2367*$G2367*(1+V$7)^$D2367*(V2349/U2349)^$E2367*((V2349+V2358)/(U2349+U2358))^$F2367</f>
        <v/>
      </c>
      <c r="W2367" s="44">
        <f>V2367*$G2367*(1+W$7)^$D2367*(W2349/V2349)^$E2367*((W2349+W2358)/(V2349+V2358))^$F2367</f>
        <v/>
      </c>
      <c r="X2367" s="44">
        <f>W2367*$G2367*(1+X$7)^$D2367*(X2349/W2349)^$E2367*((X2349+X2358)/(W2349+W2358))^$F2367</f>
        <v/>
      </c>
      <c r="Y2367" s="44">
        <f>X2367*$G2367*(1+Y$7)^$D2367*(Y2349/X2349)^$E2367*((Y2349+Y2358)/(X2349+X2358))^$F2367</f>
        <v/>
      </c>
      <c r="Z2367" s="44">
        <f>Y2367*$G2367*(1+Z$7)^$D2367*(Z2349/Y2349)^$E2367*((Z2349+Z2358)/(Y2349+Y2358))^$F2367</f>
        <v/>
      </c>
      <c r="AA2367" s="44">
        <f>Z2367*$G2367*(1+AA$7)^$D2367*(AA2349/Z2349)^$E2367*((AA2349+AA2358)/(Z2349+Z2358))^$F2367</f>
        <v/>
      </c>
      <c r="AB2367" s="44">
        <f>AA2367*$G2367*(1+AB$7)^$D2367*(AB2349/AA2349)^$E2367*((AB2349+AB2358)/(AA2349+AA2358))^$F2367</f>
        <v/>
      </c>
      <c r="AC2367" s="44">
        <f>AB2367*$G2367*(1+AC$7)^$D2367*(AC2349/AB2349)^$E2367*((AC2349+AC2358)/(AB2349+AB2358))^$F2367</f>
        <v/>
      </c>
      <c r="AD2367" s="44">
        <f>AC2367*$G2367*(1+AD$7)^$D2367*(AD2349/AC2349)^$E2367*((AD2349+AD2358)/(AC2349+AC2358))^$F2367</f>
        <v/>
      </c>
      <c r="AE2367" s="57">
        <f>FUELUSE(AD2367,AE2349,AD2349,AE2358,AD2358,AE$7,$D2367,$E2367,$F2367,$G2367)</f>
        <v/>
      </c>
      <c r="AG2367" s="11">
        <f>CodePrefix&amp;$A2367&amp;IF($C2367="","","."&amp;$C2367&amp;"."&amp;$B2367)&amp;INDEX(VarEnd,MATCH($A2367,VarKey,0))&amp;AG$5</f>
        <v/>
      </c>
      <c r="AH2367" s="43">
        <f>INDEX(Inputs!$X$5:$X$132,MATCH($B2367&amp;"|"&amp;$C2367,Inputs!$A$5:$A$132,0))</f>
        <v/>
      </c>
      <c r="AI2367" s="44">
        <f>AH2367*$G2367*(1+AI$7)^$D2367*(AI2349/AH2349)^$E2367*((AI2349+AI2358)/(AH2349+AH2358))^$F2367</f>
        <v/>
      </c>
      <c r="AJ2367" s="44">
        <f>AI2367*$G2367*(1+AJ$7)^$D2367*(AJ2349/AI2349)^$E2367*((AJ2349+AJ2358)/(AI2349+AI2358))^$F2367</f>
        <v/>
      </c>
      <c r="AK2367" s="44">
        <f>AJ2367*$G2367*(1+AK$7)^$D2367*(AK2349/AJ2349)^$E2367*((AK2349+AK2358)/(AJ2349+AJ2358))^$F2367</f>
        <v/>
      </c>
      <c r="AL2367" s="44">
        <f>AK2367*$G2367*(1+AL$7)^$D2367*(AL2349/AK2349)^$E2367*((AL2349+AL2358)/(AK2349+AK2358))^$F2367</f>
        <v/>
      </c>
      <c r="AM2367" s="44">
        <f>AL2367*$G2367*(1+AM$7)^$D2367*(AM2349/AL2349)^$E2367*((AM2349+AM2358)/(AL2349+AL2358))^$F2367</f>
        <v/>
      </c>
      <c r="AN2367" s="44">
        <f>AM2367*$G2367*(1+AN$7)^$D2367*(AN2349/AM2349)^$E2367*((AN2349+AN2358)/(AM2349+AM2358))^$F2367</f>
        <v/>
      </c>
      <c r="AO2367" s="44">
        <f>AN2367*$G2367*(1+AO$7)^$D2367*(AO2349/AN2349)^$E2367*((AO2349+AO2358)/(AN2349+AN2358))^$F2367</f>
        <v/>
      </c>
      <c r="AP2367" s="44">
        <f>AO2367*$G2367*(1+AP$7)^$D2367*(AP2349/AO2349)^$E2367*((AP2349+AP2358)/(AO2349+AO2358))^$F2367</f>
        <v/>
      </c>
      <c r="AQ2367" s="44">
        <f>AP2367*$G2367*(1+AQ$7)^$D2367*(AQ2349/AP2349)^$E2367*((AQ2349+AQ2358)/(AP2349+AP2358))^$F2367</f>
        <v/>
      </c>
      <c r="AR2367" s="44">
        <f>AQ2367*$G2367*(1+AR$7)^$D2367*(AR2349/AQ2349)^$E2367*((AR2349+AR2358)/(AQ2349+AQ2358))^$F2367</f>
        <v/>
      </c>
      <c r="AS2367" s="44">
        <f>AR2367*$G2367*(1+AS$7)^$D2367*(AS2349/AR2349)^$E2367*((AS2349+AS2358)/(AR2349+AR2358))^$F2367</f>
        <v/>
      </c>
      <c r="AT2367" s="44">
        <f>AS2367*$G2367*(1+AT$7)^$D2367*(AT2349/AS2349)^$E2367*((AT2349+AT2358)/(AS2349+AS2358))^$F2367</f>
        <v/>
      </c>
      <c r="AU2367" s="44">
        <f>AT2367*$G2367*(1+AU$7)^$D2367*(AU2349/AT2349)^$E2367*((AU2349+AU2358)/(AT2349+AT2358))^$F2367</f>
        <v/>
      </c>
      <c r="AV2367" s="44">
        <f>AU2367*$G2367*(1+AV$7)^$D2367*(AV2349/AU2349)^$E2367*((AV2349+AV2358)/(AU2349+AU2358))^$F2367</f>
        <v/>
      </c>
      <c r="AW2367" s="44">
        <f>AV2367*$G2367*(1+AW$7)^$D2367*(AW2349/AV2349)^$E2367*((AW2349+AW2358)/(AV2349+AV2358))^$F2367</f>
        <v/>
      </c>
      <c r="AX2367" s="44">
        <f>AW2367*$G2367*(1+AX$7)^$D2367*(AX2349/AW2349)^$E2367*((AX2349+AX2358)/(AW2349+AW2358))^$F2367</f>
        <v/>
      </c>
      <c r="AY2367" s="44">
        <f>AX2367*$G2367*(1+AY$7)^$D2367*(AY2349/AX2349)^$E2367*((AY2349+AY2358)/(AX2349+AX2358))^$F2367</f>
        <v/>
      </c>
      <c r="AZ2367" s="44">
        <f>AY2367*$G2367*(1+AZ$7)^$D2367*(AZ2349/AY2349)^$E2367*((AZ2349+AZ2358)/(AY2349+AY2358))^$F2367</f>
        <v/>
      </c>
      <c r="BA2367" s="57">
        <f>FUELUSE(AZ2367,BA2349,AZ2349,BA2358,AZ2358,BA$7,$D2367,$E2367,$F2367,$G2367)</f>
        <v/>
      </c>
    </row>
    <row r="2368" hidden="1" outlineLevel="2">
      <c r="A2368" s="14" t="inlineStr">
        <is>
          <t>ener</t>
        </is>
      </c>
      <c r="B2368" s="14" t="inlineStr">
        <is>
          <t>die</t>
        </is>
      </c>
      <c r="C2368" s="14" t="inlineStr">
        <is>
          <t>mac</t>
        </is>
      </c>
      <c r="D2368" s="35">
        <f>INDEX(Inputs!$O$5:$O$132,MATCH($B2368&amp;"|"&amp;$C2368,Inputs!$A$5:$A$132,0))</f>
        <v/>
      </c>
      <c r="E2368" s="35">
        <f>INDEX(Inputs!$P$5:$P$132,MATCH($B2368&amp;"|"&amp;$C2368,Inputs!$A$5:$A$132,0))</f>
        <v/>
      </c>
      <c r="F2368" s="35">
        <f>INDEX(Inputs!$T$5:$T$132,MATCH($B2368&amp;"|"&amp;$C2368,Inputs!$A$5:$A$132,0))</f>
        <v/>
      </c>
      <c r="G2368" s="35">
        <f>INDEX(Inputs!$S$5:$S$132,MATCH($B2368&amp;"|"&amp;$C2368,Inputs!$A$5:$A$132,0))</f>
        <v/>
      </c>
      <c r="H2368" s="14">
        <f>INDEX(VarLab,MATCH($A2368,VarKey,0))&amp;INDEX(MemLab,MATCH($C2368&amp;"|"&amp;$B2368,MemKey,0))</f>
        <v/>
      </c>
      <c r="I2368" s="14">
        <f>INDEX(VarUnit,MATCH($A2368,VarKey,0))</f>
        <v/>
      </c>
      <c r="J2368" s="14">
        <f>INDEX(VarSrc,MATCH($A2368,VarKey,0))</f>
        <v/>
      </c>
      <c r="K2368" s="11">
        <f>CodePrefix&amp;$A2368&amp;IF($C2368="","","."&amp;$C2368&amp;"."&amp;$B2368)&amp;INDEX(VarEnd,MATCH($A2368,VarKey,0))&amp;K$5</f>
        <v/>
      </c>
      <c r="L2368" s="43">
        <f>INDEX(Inputs!$X$5:$X$132,MATCH($B2368&amp;"|"&amp;$C2368,Inputs!$A$5:$A$132,0))</f>
        <v/>
      </c>
      <c r="M2368" s="44">
        <f>L2368*$G2368*(1+M$7)^$D2368*(M2350/L2350)^$E2368*((M2350+M2359)/(L2350+L2359))^$F2368</f>
        <v/>
      </c>
      <c r="N2368" s="44">
        <f>M2368*$G2368*(1+N$7)^$D2368*(N2350/M2350)^$E2368*((N2350+N2359)/(M2350+M2359))^$F2368</f>
        <v/>
      </c>
      <c r="O2368" s="44">
        <f>N2368*$G2368*(1+O$7)^$D2368*(O2350/N2350)^$E2368*((O2350+O2359)/(N2350+N2359))^$F2368</f>
        <v/>
      </c>
      <c r="P2368" s="44">
        <f>O2368*$G2368*(1+P$7)^$D2368*(P2350/O2350)^$E2368*((P2350+P2359)/(O2350+O2359))^$F2368</f>
        <v/>
      </c>
      <c r="Q2368" s="44">
        <f>P2368*$G2368*(1+Q$7)^$D2368*(Q2350/P2350)^$E2368*((Q2350+Q2359)/(P2350+P2359))^$F2368</f>
        <v/>
      </c>
      <c r="R2368" s="44">
        <f>Q2368*$G2368*(1+R$7)^$D2368*(R2350/Q2350)^$E2368*((R2350+R2359)/(Q2350+Q2359))^$F2368</f>
        <v/>
      </c>
      <c r="S2368" s="44">
        <f>R2368*$G2368*(1+S$7)^$D2368*(S2350/R2350)^$E2368*((S2350+S2359)/(R2350+R2359))^$F2368</f>
        <v/>
      </c>
      <c r="T2368" s="44">
        <f>S2368*$G2368*(1+T$7)^$D2368*(T2350/S2350)^$E2368*((T2350+T2359)/(S2350+S2359))^$F2368</f>
        <v/>
      </c>
      <c r="U2368" s="44">
        <f>T2368*$G2368*(1+U$7)^$D2368*(U2350/T2350)^$E2368*((U2350+U2359)/(T2350+T2359))^$F2368</f>
        <v/>
      </c>
      <c r="V2368" s="44">
        <f>U2368*$G2368*(1+V$7)^$D2368*(V2350/U2350)^$E2368*((V2350+V2359)/(U2350+U2359))^$F2368</f>
        <v/>
      </c>
      <c r="W2368" s="44">
        <f>V2368*$G2368*(1+W$7)^$D2368*(W2350/V2350)^$E2368*((W2350+W2359)/(V2350+V2359))^$F2368</f>
        <v/>
      </c>
      <c r="X2368" s="44">
        <f>W2368*$G2368*(1+X$7)^$D2368*(X2350/W2350)^$E2368*((X2350+X2359)/(W2350+W2359))^$F2368</f>
        <v/>
      </c>
      <c r="Y2368" s="44">
        <f>X2368*$G2368*(1+Y$7)^$D2368*(Y2350/X2350)^$E2368*((Y2350+Y2359)/(X2350+X2359))^$F2368</f>
        <v/>
      </c>
      <c r="Z2368" s="44">
        <f>Y2368*$G2368*(1+Z$7)^$D2368*(Z2350/Y2350)^$E2368*((Z2350+Z2359)/(Y2350+Y2359))^$F2368</f>
        <v/>
      </c>
      <c r="AA2368" s="44">
        <f>Z2368*$G2368*(1+AA$7)^$D2368*(AA2350/Z2350)^$E2368*((AA2350+AA2359)/(Z2350+Z2359))^$F2368</f>
        <v/>
      </c>
      <c r="AB2368" s="44">
        <f>AA2368*$G2368*(1+AB$7)^$D2368*(AB2350/AA2350)^$E2368*((AB2350+AB2359)/(AA2350+AA2359))^$F2368</f>
        <v/>
      </c>
      <c r="AC2368" s="44">
        <f>AB2368*$G2368*(1+AC$7)^$D2368*(AC2350/AB2350)^$E2368*((AC2350+AC2359)/(AB2350+AB2359))^$F2368</f>
        <v/>
      </c>
      <c r="AD2368" s="44">
        <f>AC2368*$G2368*(1+AD$7)^$D2368*(AD2350/AC2350)^$E2368*((AD2350+AD2359)/(AC2350+AC2359))^$F2368</f>
        <v/>
      </c>
      <c r="AE2368" s="57">
        <f>FUELUSE(AD2368,AE2350,AD2350,AE2359,AD2359,AE$7,$D2368,$E2368,$F2368,$G2368)</f>
        <v/>
      </c>
      <c r="AG2368" s="11">
        <f>CodePrefix&amp;$A2368&amp;IF($C2368="","","."&amp;$C2368&amp;"."&amp;$B2368)&amp;INDEX(VarEnd,MATCH($A2368,VarKey,0))&amp;AG$5</f>
        <v/>
      </c>
      <c r="AH2368" s="43">
        <f>INDEX(Inputs!$X$5:$X$132,MATCH($B2368&amp;"|"&amp;$C2368,Inputs!$A$5:$A$132,0))</f>
        <v/>
      </c>
      <c r="AI2368" s="44">
        <f>AH2368*$G2368*(1+AI$7)^$D2368*(AI2350/AH2350)^$E2368*((AI2350+AI2359)/(AH2350+AH2359))^$F2368</f>
        <v/>
      </c>
      <c r="AJ2368" s="44">
        <f>AI2368*$G2368*(1+AJ$7)^$D2368*(AJ2350/AI2350)^$E2368*((AJ2350+AJ2359)/(AI2350+AI2359))^$F2368</f>
        <v/>
      </c>
      <c r="AK2368" s="44">
        <f>AJ2368*$G2368*(1+AK$7)^$D2368*(AK2350/AJ2350)^$E2368*((AK2350+AK2359)/(AJ2350+AJ2359))^$F2368</f>
        <v/>
      </c>
      <c r="AL2368" s="44">
        <f>AK2368*$G2368*(1+AL$7)^$D2368*(AL2350/AK2350)^$E2368*((AL2350+AL2359)/(AK2350+AK2359))^$F2368</f>
        <v/>
      </c>
      <c r="AM2368" s="44">
        <f>AL2368*$G2368*(1+AM$7)^$D2368*(AM2350/AL2350)^$E2368*((AM2350+AM2359)/(AL2350+AL2359))^$F2368</f>
        <v/>
      </c>
      <c r="AN2368" s="44">
        <f>AM2368*$G2368*(1+AN$7)^$D2368*(AN2350/AM2350)^$E2368*((AN2350+AN2359)/(AM2350+AM2359))^$F2368</f>
        <v/>
      </c>
      <c r="AO2368" s="44">
        <f>AN2368*$G2368*(1+AO$7)^$D2368*(AO2350/AN2350)^$E2368*((AO2350+AO2359)/(AN2350+AN2359))^$F2368</f>
        <v/>
      </c>
      <c r="AP2368" s="44">
        <f>AO2368*$G2368*(1+AP$7)^$D2368*(AP2350/AO2350)^$E2368*((AP2350+AP2359)/(AO2350+AO2359))^$F2368</f>
        <v/>
      </c>
      <c r="AQ2368" s="44">
        <f>AP2368*$G2368*(1+AQ$7)^$D2368*(AQ2350/AP2350)^$E2368*((AQ2350+AQ2359)/(AP2350+AP2359))^$F2368</f>
        <v/>
      </c>
      <c r="AR2368" s="44">
        <f>AQ2368*$G2368*(1+AR$7)^$D2368*(AR2350/AQ2350)^$E2368*((AR2350+AR2359)/(AQ2350+AQ2359))^$F2368</f>
        <v/>
      </c>
      <c r="AS2368" s="44">
        <f>AR2368*$G2368*(1+AS$7)^$D2368*(AS2350/AR2350)^$E2368*((AS2350+AS2359)/(AR2350+AR2359))^$F2368</f>
        <v/>
      </c>
      <c r="AT2368" s="44">
        <f>AS2368*$G2368*(1+AT$7)^$D2368*(AT2350/AS2350)^$E2368*((AT2350+AT2359)/(AS2350+AS2359))^$F2368</f>
        <v/>
      </c>
      <c r="AU2368" s="44">
        <f>AT2368*$G2368*(1+AU$7)^$D2368*(AU2350/AT2350)^$E2368*((AU2350+AU2359)/(AT2350+AT2359))^$F2368</f>
        <v/>
      </c>
      <c r="AV2368" s="44">
        <f>AU2368*$G2368*(1+AV$7)^$D2368*(AV2350/AU2350)^$E2368*((AV2350+AV2359)/(AU2350+AU2359))^$F2368</f>
        <v/>
      </c>
      <c r="AW2368" s="44">
        <f>AV2368*$G2368*(1+AW$7)^$D2368*(AW2350/AV2350)^$E2368*((AW2350+AW2359)/(AV2350+AV2359))^$F2368</f>
        <v/>
      </c>
      <c r="AX2368" s="44">
        <f>AW2368*$G2368*(1+AX$7)^$D2368*(AX2350/AW2350)^$E2368*((AX2350+AX2359)/(AW2350+AW2359))^$F2368</f>
        <v/>
      </c>
      <c r="AY2368" s="44">
        <f>AX2368*$G2368*(1+AY$7)^$D2368*(AY2350/AX2350)^$E2368*((AY2350+AY2359)/(AX2350+AX2359))^$F2368</f>
        <v/>
      </c>
      <c r="AZ2368" s="44">
        <f>AY2368*$G2368*(1+AZ$7)^$D2368*(AZ2350/AY2350)^$E2368*((AZ2350+AZ2359)/(AY2350+AY2359))^$F2368</f>
        <v/>
      </c>
      <c r="BA2368" s="57">
        <f>FUELUSE(AZ2368,BA2350,AZ2350,BA2359,AZ2359,BA$7,$D2368,$E2368,$F2368,$G2368)</f>
        <v/>
      </c>
    </row>
    <row r="2369" hidden="1" outlineLevel="2">
      <c r="A2369" s="14" t="inlineStr">
        <is>
          <t>ener</t>
        </is>
      </c>
      <c r="B2369" s="14" t="inlineStr">
        <is>
          <t>lpg</t>
        </is>
      </c>
      <c r="C2369" s="14" t="inlineStr">
        <is>
          <t>mac</t>
        </is>
      </c>
      <c r="D2369" s="35">
        <f>INDEX(Inputs!$O$5:$O$132,MATCH($B2369&amp;"|"&amp;$C2369,Inputs!$A$5:$A$132,0))</f>
        <v/>
      </c>
      <c r="E2369" s="35">
        <f>INDEX(Inputs!$P$5:$P$132,MATCH($B2369&amp;"|"&amp;$C2369,Inputs!$A$5:$A$132,0))</f>
        <v/>
      </c>
      <c r="F2369" s="35">
        <f>INDEX(Inputs!$T$5:$T$132,MATCH($B2369&amp;"|"&amp;$C2369,Inputs!$A$5:$A$132,0))</f>
        <v/>
      </c>
      <c r="G2369" s="35">
        <f>INDEX(Inputs!$S$5:$S$132,MATCH($B2369&amp;"|"&amp;$C2369,Inputs!$A$5:$A$132,0))</f>
        <v/>
      </c>
      <c r="H2369" s="14">
        <f>INDEX(VarLab,MATCH($A2369,VarKey,0))&amp;INDEX(MemLab,MATCH($C2369&amp;"|"&amp;$B2369,MemKey,0))</f>
        <v/>
      </c>
      <c r="I2369" s="14">
        <f>INDEX(VarUnit,MATCH($A2369,VarKey,0))</f>
        <v/>
      </c>
      <c r="J2369" s="14">
        <f>INDEX(VarSrc,MATCH($A2369,VarKey,0))</f>
        <v/>
      </c>
      <c r="K2369" s="11">
        <f>CodePrefix&amp;$A2369&amp;IF($C2369="","","."&amp;$C2369&amp;"."&amp;$B2369)&amp;INDEX(VarEnd,MATCH($A2369,VarKey,0))&amp;K$5</f>
        <v/>
      </c>
      <c r="L2369" s="43">
        <f>INDEX(Inputs!$X$5:$X$132,MATCH($B2369&amp;"|"&amp;$C2369,Inputs!$A$5:$A$132,0))</f>
        <v/>
      </c>
      <c r="M2369" s="44">
        <f>L2369*$G2369*(1+M$7)^$D2369*(M2351/L2351)^$E2369*((M2351+M2360)/(L2351+L2360))^$F2369</f>
        <v/>
      </c>
      <c r="N2369" s="44">
        <f>M2369*$G2369*(1+N$7)^$D2369*(N2351/M2351)^$E2369*((N2351+N2360)/(M2351+M2360))^$F2369</f>
        <v/>
      </c>
      <c r="O2369" s="44">
        <f>N2369*$G2369*(1+O$7)^$D2369*(O2351/N2351)^$E2369*((O2351+O2360)/(N2351+N2360))^$F2369</f>
        <v/>
      </c>
      <c r="P2369" s="44">
        <f>O2369*$G2369*(1+P$7)^$D2369*(P2351/O2351)^$E2369*((P2351+P2360)/(O2351+O2360))^$F2369</f>
        <v/>
      </c>
      <c r="Q2369" s="44">
        <f>P2369*$G2369*(1+Q$7)^$D2369*(Q2351/P2351)^$E2369*((Q2351+Q2360)/(P2351+P2360))^$F2369</f>
        <v/>
      </c>
      <c r="R2369" s="44">
        <f>Q2369*$G2369*(1+R$7)^$D2369*(R2351/Q2351)^$E2369*((R2351+R2360)/(Q2351+Q2360))^$F2369</f>
        <v/>
      </c>
      <c r="S2369" s="44">
        <f>R2369*$G2369*(1+S$7)^$D2369*(S2351/R2351)^$E2369*((S2351+S2360)/(R2351+R2360))^$F2369</f>
        <v/>
      </c>
      <c r="T2369" s="44">
        <f>S2369*$G2369*(1+T$7)^$D2369*(T2351/S2351)^$E2369*((T2351+T2360)/(S2351+S2360))^$F2369</f>
        <v/>
      </c>
      <c r="U2369" s="44">
        <f>T2369*$G2369*(1+U$7)^$D2369*(U2351/T2351)^$E2369*((U2351+U2360)/(T2351+T2360))^$F2369</f>
        <v/>
      </c>
      <c r="V2369" s="44">
        <f>U2369*$G2369*(1+V$7)^$D2369*(V2351/U2351)^$E2369*((V2351+V2360)/(U2351+U2360))^$F2369</f>
        <v/>
      </c>
      <c r="W2369" s="44">
        <f>V2369*$G2369*(1+W$7)^$D2369*(W2351/V2351)^$E2369*((W2351+W2360)/(V2351+V2360))^$F2369</f>
        <v/>
      </c>
      <c r="X2369" s="44">
        <f>W2369*$G2369*(1+X$7)^$D2369*(X2351/W2351)^$E2369*((X2351+X2360)/(W2351+W2360))^$F2369</f>
        <v/>
      </c>
      <c r="Y2369" s="44">
        <f>X2369*$G2369*(1+Y$7)^$D2369*(Y2351/X2351)^$E2369*((Y2351+Y2360)/(X2351+X2360))^$F2369</f>
        <v/>
      </c>
      <c r="Z2369" s="44">
        <f>Y2369*$G2369*(1+Z$7)^$D2369*(Z2351/Y2351)^$E2369*((Z2351+Z2360)/(Y2351+Y2360))^$F2369</f>
        <v/>
      </c>
      <c r="AA2369" s="44">
        <f>Z2369*$G2369*(1+AA$7)^$D2369*(AA2351/Z2351)^$E2369*((AA2351+AA2360)/(Z2351+Z2360))^$F2369</f>
        <v/>
      </c>
      <c r="AB2369" s="44">
        <f>AA2369*$G2369*(1+AB$7)^$D2369*(AB2351/AA2351)^$E2369*((AB2351+AB2360)/(AA2351+AA2360))^$F2369</f>
        <v/>
      </c>
      <c r="AC2369" s="44">
        <f>AB2369*$G2369*(1+AC$7)^$D2369*(AC2351/AB2351)^$E2369*((AC2351+AC2360)/(AB2351+AB2360))^$F2369</f>
        <v/>
      </c>
      <c r="AD2369" s="44">
        <f>AC2369*$G2369*(1+AD$7)^$D2369*(AD2351/AC2351)^$E2369*((AD2351+AD2360)/(AC2351+AC2360))^$F2369</f>
        <v/>
      </c>
      <c r="AE2369" s="57">
        <f>FUELUSE(AD2369,AE2351,AD2351,AE2360,AD2360,AE$7,$D2369,$E2369,$F2369,$G2369)</f>
        <v/>
      </c>
      <c r="AG2369" s="11">
        <f>CodePrefix&amp;$A2369&amp;IF($C2369="","","."&amp;$C2369&amp;"."&amp;$B2369)&amp;INDEX(VarEnd,MATCH($A2369,VarKey,0))&amp;AG$5</f>
        <v/>
      </c>
      <c r="AH2369" s="43">
        <f>INDEX(Inputs!$X$5:$X$132,MATCH($B2369&amp;"|"&amp;$C2369,Inputs!$A$5:$A$132,0))</f>
        <v/>
      </c>
      <c r="AI2369" s="44">
        <f>AH2369*$G2369*(1+AI$7)^$D2369*(AI2351/AH2351)^$E2369*((AI2351+AI2360)/(AH2351+AH2360))^$F2369</f>
        <v/>
      </c>
      <c r="AJ2369" s="44">
        <f>AI2369*$G2369*(1+AJ$7)^$D2369*(AJ2351/AI2351)^$E2369*((AJ2351+AJ2360)/(AI2351+AI2360))^$F2369</f>
        <v/>
      </c>
      <c r="AK2369" s="44">
        <f>AJ2369*$G2369*(1+AK$7)^$D2369*(AK2351/AJ2351)^$E2369*((AK2351+AK2360)/(AJ2351+AJ2360))^$F2369</f>
        <v/>
      </c>
      <c r="AL2369" s="44">
        <f>AK2369*$G2369*(1+AL$7)^$D2369*(AL2351/AK2351)^$E2369*((AL2351+AL2360)/(AK2351+AK2360))^$F2369</f>
        <v/>
      </c>
      <c r="AM2369" s="44">
        <f>AL2369*$G2369*(1+AM$7)^$D2369*(AM2351/AL2351)^$E2369*((AM2351+AM2360)/(AL2351+AL2360))^$F2369</f>
        <v/>
      </c>
      <c r="AN2369" s="44">
        <f>AM2369*$G2369*(1+AN$7)^$D2369*(AN2351/AM2351)^$E2369*((AN2351+AN2360)/(AM2351+AM2360))^$F2369</f>
        <v/>
      </c>
      <c r="AO2369" s="44">
        <f>AN2369*$G2369*(1+AO$7)^$D2369*(AO2351/AN2351)^$E2369*((AO2351+AO2360)/(AN2351+AN2360))^$F2369</f>
        <v/>
      </c>
      <c r="AP2369" s="44">
        <f>AO2369*$G2369*(1+AP$7)^$D2369*(AP2351/AO2351)^$E2369*((AP2351+AP2360)/(AO2351+AO2360))^$F2369</f>
        <v/>
      </c>
      <c r="AQ2369" s="44">
        <f>AP2369*$G2369*(1+AQ$7)^$D2369*(AQ2351/AP2351)^$E2369*((AQ2351+AQ2360)/(AP2351+AP2360))^$F2369</f>
        <v/>
      </c>
      <c r="AR2369" s="44">
        <f>AQ2369*$G2369*(1+AR$7)^$D2369*(AR2351/AQ2351)^$E2369*((AR2351+AR2360)/(AQ2351+AQ2360))^$F2369</f>
        <v/>
      </c>
      <c r="AS2369" s="44">
        <f>AR2369*$G2369*(1+AS$7)^$D2369*(AS2351/AR2351)^$E2369*((AS2351+AS2360)/(AR2351+AR2360))^$F2369</f>
        <v/>
      </c>
      <c r="AT2369" s="44">
        <f>AS2369*$G2369*(1+AT$7)^$D2369*(AT2351/AS2351)^$E2369*((AT2351+AT2360)/(AS2351+AS2360))^$F2369</f>
        <v/>
      </c>
      <c r="AU2369" s="44">
        <f>AT2369*$G2369*(1+AU$7)^$D2369*(AU2351/AT2351)^$E2369*((AU2351+AU2360)/(AT2351+AT2360))^$F2369</f>
        <v/>
      </c>
      <c r="AV2369" s="44">
        <f>AU2369*$G2369*(1+AV$7)^$D2369*(AV2351/AU2351)^$E2369*((AV2351+AV2360)/(AU2351+AU2360))^$F2369</f>
        <v/>
      </c>
      <c r="AW2369" s="44">
        <f>AV2369*$G2369*(1+AW$7)^$D2369*(AW2351/AV2351)^$E2369*((AW2351+AW2360)/(AV2351+AV2360))^$F2369</f>
        <v/>
      </c>
      <c r="AX2369" s="44">
        <f>AW2369*$G2369*(1+AX$7)^$D2369*(AX2351/AW2351)^$E2369*((AX2351+AX2360)/(AW2351+AW2360))^$F2369</f>
        <v/>
      </c>
      <c r="AY2369" s="44">
        <f>AX2369*$G2369*(1+AY$7)^$D2369*(AY2351/AX2351)^$E2369*((AY2351+AY2360)/(AX2351+AX2360))^$F2369</f>
        <v/>
      </c>
      <c r="AZ2369" s="44">
        <f>AY2369*$G2369*(1+AZ$7)^$D2369*(AZ2351/AY2351)^$E2369*((AZ2351+AZ2360)/(AY2351+AY2360))^$F2369</f>
        <v/>
      </c>
      <c r="BA2369" s="57">
        <f>FUELUSE(AZ2369,BA2351,AZ2351,BA2360,AZ2360,BA$7,$D2369,$E2369,$F2369,$G2369)</f>
        <v/>
      </c>
    </row>
    <row r="2370" hidden="1" outlineLevel="2">
      <c r="A2370" s="14" t="inlineStr">
        <is>
          <t>ener</t>
        </is>
      </c>
      <c r="B2370" s="14" t="inlineStr">
        <is>
          <t>ker</t>
        </is>
      </c>
      <c r="C2370" s="14" t="inlineStr">
        <is>
          <t>mac</t>
        </is>
      </c>
      <c r="D2370" s="35">
        <f>INDEX(Inputs!$O$5:$O$132,MATCH($B2370&amp;"|"&amp;$C2370,Inputs!$A$5:$A$132,0))</f>
        <v/>
      </c>
      <c r="E2370" s="35">
        <f>INDEX(Inputs!$P$5:$P$132,MATCH($B2370&amp;"|"&amp;$C2370,Inputs!$A$5:$A$132,0))</f>
        <v/>
      </c>
      <c r="F2370" s="35">
        <f>INDEX(Inputs!$T$5:$T$132,MATCH($B2370&amp;"|"&amp;$C2370,Inputs!$A$5:$A$132,0))</f>
        <v/>
      </c>
      <c r="G2370" s="35">
        <f>INDEX(Inputs!$S$5:$S$132,MATCH($B2370&amp;"|"&amp;$C2370,Inputs!$A$5:$A$132,0))</f>
        <v/>
      </c>
      <c r="H2370" s="14">
        <f>INDEX(VarLab,MATCH($A2370,VarKey,0))&amp;INDEX(MemLab,MATCH($C2370&amp;"|"&amp;$B2370,MemKey,0))</f>
        <v/>
      </c>
      <c r="I2370" s="14">
        <f>INDEX(VarUnit,MATCH($A2370,VarKey,0))</f>
        <v/>
      </c>
      <c r="J2370" s="14">
        <f>INDEX(VarSrc,MATCH($A2370,VarKey,0))</f>
        <v/>
      </c>
      <c r="K2370" s="11">
        <f>CodePrefix&amp;$A2370&amp;IF($C2370="","","."&amp;$C2370&amp;"."&amp;$B2370)&amp;INDEX(VarEnd,MATCH($A2370,VarKey,0))&amp;K$5</f>
        <v/>
      </c>
      <c r="L2370" s="43">
        <f>INDEX(Inputs!$X$5:$X$132,MATCH($B2370&amp;"|"&amp;$C2370,Inputs!$A$5:$A$132,0))</f>
        <v/>
      </c>
      <c r="M2370" s="44">
        <f>L2370*$G2370*(1+M$7)^$D2370*(M2352/L2352)^$E2370*((M2352+M2361)/(L2352+L2361))^$F2370</f>
        <v/>
      </c>
      <c r="N2370" s="44">
        <f>M2370*$G2370*(1+N$7)^$D2370*(N2352/M2352)^$E2370*((N2352+N2361)/(M2352+M2361))^$F2370</f>
        <v/>
      </c>
      <c r="O2370" s="44">
        <f>N2370*$G2370*(1+O$7)^$D2370*(O2352/N2352)^$E2370*((O2352+O2361)/(N2352+N2361))^$F2370</f>
        <v/>
      </c>
      <c r="P2370" s="44">
        <f>O2370*$G2370*(1+P$7)^$D2370*(P2352/O2352)^$E2370*((P2352+P2361)/(O2352+O2361))^$F2370</f>
        <v/>
      </c>
      <c r="Q2370" s="44">
        <f>P2370*$G2370*(1+Q$7)^$D2370*(Q2352/P2352)^$E2370*((Q2352+Q2361)/(P2352+P2361))^$F2370</f>
        <v/>
      </c>
      <c r="R2370" s="44">
        <f>Q2370*$G2370*(1+R$7)^$D2370*(R2352/Q2352)^$E2370*((R2352+R2361)/(Q2352+Q2361))^$F2370</f>
        <v/>
      </c>
      <c r="S2370" s="44">
        <f>R2370*$G2370*(1+S$7)^$D2370*(S2352/R2352)^$E2370*((S2352+S2361)/(R2352+R2361))^$F2370</f>
        <v/>
      </c>
      <c r="T2370" s="44">
        <f>S2370*$G2370*(1+T$7)^$D2370*(T2352/S2352)^$E2370*((T2352+T2361)/(S2352+S2361))^$F2370</f>
        <v/>
      </c>
      <c r="U2370" s="44">
        <f>T2370*$G2370*(1+U$7)^$D2370*(U2352/T2352)^$E2370*((U2352+U2361)/(T2352+T2361))^$F2370</f>
        <v/>
      </c>
      <c r="V2370" s="44">
        <f>U2370*$G2370*(1+V$7)^$D2370*(V2352/U2352)^$E2370*((V2352+V2361)/(U2352+U2361))^$F2370</f>
        <v/>
      </c>
      <c r="W2370" s="44">
        <f>V2370*$G2370*(1+W$7)^$D2370*(W2352/V2352)^$E2370*((W2352+W2361)/(V2352+V2361))^$F2370</f>
        <v/>
      </c>
      <c r="X2370" s="44">
        <f>W2370*$G2370*(1+X$7)^$D2370*(X2352/W2352)^$E2370*((X2352+X2361)/(W2352+W2361))^$F2370</f>
        <v/>
      </c>
      <c r="Y2370" s="44">
        <f>X2370*$G2370*(1+Y$7)^$D2370*(Y2352/X2352)^$E2370*((Y2352+Y2361)/(X2352+X2361))^$F2370</f>
        <v/>
      </c>
      <c r="Z2370" s="44">
        <f>Y2370*$G2370*(1+Z$7)^$D2370*(Z2352/Y2352)^$E2370*((Z2352+Z2361)/(Y2352+Y2361))^$F2370</f>
        <v/>
      </c>
      <c r="AA2370" s="44">
        <f>Z2370*$G2370*(1+AA$7)^$D2370*(AA2352/Z2352)^$E2370*((AA2352+AA2361)/(Z2352+Z2361))^$F2370</f>
        <v/>
      </c>
      <c r="AB2370" s="44">
        <f>AA2370*$G2370*(1+AB$7)^$D2370*(AB2352/AA2352)^$E2370*((AB2352+AB2361)/(AA2352+AA2361))^$F2370</f>
        <v/>
      </c>
      <c r="AC2370" s="44">
        <f>AB2370*$G2370*(1+AC$7)^$D2370*(AC2352/AB2352)^$E2370*((AC2352+AC2361)/(AB2352+AB2361))^$F2370</f>
        <v/>
      </c>
      <c r="AD2370" s="44">
        <f>AC2370*$G2370*(1+AD$7)^$D2370*(AD2352/AC2352)^$E2370*((AD2352+AD2361)/(AC2352+AC2361))^$F2370</f>
        <v/>
      </c>
      <c r="AE2370" s="57">
        <f>FUELUSE(AD2370,AE2352,AD2352,AE2361,AD2361,AE$7,$D2370,$E2370,$F2370,$G2370)</f>
        <v/>
      </c>
      <c r="AG2370" s="11">
        <f>CodePrefix&amp;$A2370&amp;IF($C2370="","","."&amp;$C2370&amp;"."&amp;$B2370)&amp;INDEX(VarEnd,MATCH($A2370,VarKey,0))&amp;AG$5</f>
        <v/>
      </c>
      <c r="AH2370" s="43">
        <f>INDEX(Inputs!$X$5:$X$132,MATCH($B2370&amp;"|"&amp;$C2370,Inputs!$A$5:$A$132,0))</f>
        <v/>
      </c>
      <c r="AI2370" s="44">
        <f>AH2370*$G2370*(1+AI$7)^$D2370*(AI2352/AH2352)^$E2370*((AI2352+AI2361)/(AH2352+AH2361))^$F2370</f>
        <v/>
      </c>
      <c r="AJ2370" s="44">
        <f>AI2370*$G2370*(1+AJ$7)^$D2370*(AJ2352/AI2352)^$E2370*((AJ2352+AJ2361)/(AI2352+AI2361))^$F2370</f>
        <v/>
      </c>
      <c r="AK2370" s="44">
        <f>AJ2370*$G2370*(1+AK$7)^$D2370*(AK2352/AJ2352)^$E2370*((AK2352+AK2361)/(AJ2352+AJ2361))^$F2370</f>
        <v/>
      </c>
      <c r="AL2370" s="44">
        <f>AK2370*$G2370*(1+AL$7)^$D2370*(AL2352/AK2352)^$E2370*((AL2352+AL2361)/(AK2352+AK2361))^$F2370</f>
        <v/>
      </c>
      <c r="AM2370" s="44">
        <f>AL2370*$G2370*(1+AM$7)^$D2370*(AM2352/AL2352)^$E2370*((AM2352+AM2361)/(AL2352+AL2361))^$F2370</f>
        <v/>
      </c>
      <c r="AN2370" s="44">
        <f>AM2370*$G2370*(1+AN$7)^$D2370*(AN2352/AM2352)^$E2370*((AN2352+AN2361)/(AM2352+AM2361))^$F2370</f>
        <v/>
      </c>
      <c r="AO2370" s="44">
        <f>AN2370*$G2370*(1+AO$7)^$D2370*(AO2352/AN2352)^$E2370*((AO2352+AO2361)/(AN2352+AN2361))^$F2370</f>
        <v/>
      </c>
      <c r="AP2370" s="44">
        <f>AO2370*$G2370*(1+AP$7)^$D2370*(AP2352/AO2352)^$E2370*((AP2352+AP2361)/(AO2352+AO2361))^$F2370</f>
        <v/>
      </c>
      <c r="AQ2370" s="44">
        <f>AP2370*$G2370*(1+AQ$7)^$D2370*(AQ2352/AP2352)^$E2370*((AQ2352+AQ2361)/(AP2352+AP2361))^$F2370</f>
        <v/>
      </c>
      <c r="AR2370" s="44">
        <f>AQ2370*$G2370*(1+AR$7)^$D2370*(AR2352/AQ2352)^$E2370*((AR2352+AR2361)/(AQ2352+AQ2361))^$F2370</f>
        <v/>
      </c>
      <c r="AS2370" s="44">
        <f>AR2370*$G2370*(1+AS$7)^$D2370*(AS2352/AR2352)^$E2370*((AS2352+AS2361)/(AR2352+AR2361))^$F2370</f>
        <v/>
      </c>
      <c r="AT2370" s="44">
        <f>AS2370*$G2370*(1+AT$7)^$D2370*(AT2352/AS2352)^$E2370*((AT2352+AT2361)/(AS2352+AS2361))^$F2370</f>
        <v/>
      </c>
      <c r="AU2370" s="44">
        <f>AT2370*$G2370*(1+AU$7)^$D2370*(AU2352/AT2352)^$E2370*((AU2352+AU2361)/(AT2352+AT2361))^$F2370</f>
        <v/>
      </c>
      <c r="AV2370" s="44">
        <f>AU2370*$G2370*(1+AV$7)^$D2370*(AV2352/AU2352)^$E2370*((AV2352+AV2361)/(AU2352+AU2361))^$F2370</f>
        <v/>
      </c>
      <c r="AW2370" s="44">
        <f>AV2370*$G2370*(1+AW$7)^$D2370*(AW2352/AV2352)^$E2370*((AW2352+AW2361)/(AV2352+AV2361))^$F2370</f>
        <v/>
      </c>
      <c r="AX2370" s="44">
        <f>AW2370*$G2370*(1+AX$7)^$D2370*(AX2352/AW2352)^$E2370*((AX2352+AX2361)/(AW2352+AW2361))^$F2370</f>
        <v/>
      </c>
      <c r="AY2370" s="44">
        <f>AX2370*$G2370*(1+AY$7)^$D2370*(AY2352/AX2352)^$E2370*((AY2352+AY2361)/(AX2352+AX2361))^$F2370</f>
        <v/>
      </c>
      <c r="AZ2370" s="44">
        <f>AY2370*$G2370*(1+AZ$7)^$D2370*(AZ2352/AY2352)^$E2370*((AZ2352+AZ2361)/(AY2352+AY2361))^$F2370</f>
        <v/>
      </c>
      <c r="BA2370" s="57">
        <f>FUELUSE(AZ2370,BA2352,AZ2352,BA2361,AZ2361,BA$7,$D2370,$E2370,$F2370,$G2370)</f>
        <v/>
      </c>
    </row>
    <row r="2371" hidden="1" outlineLevel="2">
      <c r="A2371" s="14" t="inlineStr">
        <is>
          <t>ener</t>
        </is>
      </c>
      <c r="B2371" s="14" t="inlineStr">
        <is>
          <t>oop</t>
        </is>
      </c>
      <c r="C2371" s="14" t="inlineStr">
        <is>
          <t>mac</t>
        </is>
      </c>
      <c r="D2371" s="35">
        <f>INDEX(Inputs!$O$5:$O$132,MATCH($B2371&amp;"|"&amp;$C2371,Inputs!$A$5:$A$132,0))</f>
        <v/>
      </c>
      <c r="E2371" s="35">
        <f>INDEX(Inputs!$P$5:$P$132,MATCH($B2371&amp;"|"&amp;$C2371,Inputs!$A$5:$A$132,0))</f>
        <v/>
      </c>
      <c r="F2371" s="35">
        <f>INDEX(Inputs!$T$5:$T$132,MATCH($B2371&amp;"|"&amp;$C2371,Inputs!$A$5:$A$132,0))</f>
        <v/>
      </c>
      <c r="G2371" s="35">
        <f>INDEX(Inputs!$S$5:$S$132,MATCH($B2371&amp;"|"&amp;$C2371,Inputs!$A$5:$A$132,0))</f>
        <v/>
      </c>
      <c r="H2371" s="14">
        <f>INDEX(VarLab,MATCH($A2371,VarKey,0))&amp;INDEX(MemLab,MATCH($C2371&amp;"|"&amp;$B2371,MemKey,0))</f>
        <v/>
      </c>
      <c r="I2371" s="14">
        <f>INDEX(VarUnit,MATCH($A2371,VarKey,0))</f>
        <v/>
      </c>
      <c r="J2371" s="14">
        <f>INDEX(VarSrc,MATCH($A2371,VarKey,0))</f>
        <v/>
      </c>
      <c r="K2371" s="11">
        <f>CodePrefix&amp;$A2371&amp;IF($C2371="","","."&amp;$C2371&amp;"."&amp;$B2371)&amp;INDEX(VarEnd,MATCH($A2371,VarKey,0))&amp;K$5</f>
        <v/>
      </c>
      <c r="L2371" s="43">
        <f>INDEX(Inputs!$X$5:$X$132,MATCH($B2371&amp;"|"&amp;$C2371,Inputs!$A$5:$A$132,0))</f>
        <v/>
      </c>
      <c r="M2371" s="44">
        <f>L2371*$G2371*(1+M$7)^$D2371*(M2353/L2353)^$E2371*((M2353+M2362)/(L2353+L2362))^$F2371</f>
        <v/>
      </c>
      <c r="N2371" s="44">
        <f>M2371*$G2371*(1+N$7)^$D2371*(N2353/M2353)^$E2371*((N2353+N2362)/(M2353+M2362))^$F2371</f>
        <v/>
      </c>
      <c r="O2371" s="44">
        <f>N2371*$G2371*(1+O$7)^$D2371*(O2353/N2353)^$E2371*((O2353+O2362)/(N2353+N2362))^$F2371</f>
        <v/>
      </c>
      <c r="P2371" s="44">
        <f>O2371*$G2371*(1+P$7)^$D2371*(P2353/O2353)^$E2371*((P2353+P2362)/(O2353+O2362))^$F2371</f>
        <v/>
      </c>
      <c r="Q2371" s="44">
        <f>P2371*$G2371*(1+Q$7)^$D2371*(Q2353/P2353)^$E2371*((Q2353+Q2362)/(P2353+P2362))^$F2371</f>
        <v/>
      </c>
      <c r="R2371" s="44">
        <f>Q2371*$G2371*(1+R$7)^$D2371*(R2353/Q2353)^$E2371*((R2353+R2362)/(Q2353+Q2362))^$F2371</f>
        <v/>
      </c>
      <c r="S2371" s="44">
        <f>R2371*$G2371*(1+S$7)^$D2371*(S2353/R2353)^$E2371*((S2353+S2362)/(R2353+R2362))^$F2371</f>
        <v/>
      </c>
      <c r="T2371" s="44">
        <f>S2371*$G2371*(1+T$7)^$D2371*(T2353/S2353)^$E2371*((T2353+T2362)/(S2353+S2362))^$F2371</f>
        <v/>
      </c>
      <c r="U2371" s="44">
        <f>T2371*$G2371*(1+U$7)^$D2371*(U2353/T2353)^$E2371*((U2353+U2362)/(T2353+T2362))^$F2371</f>
        <v/>
      </c>
      <c r="V2371" s="44">
        <f>U2371*$G2371*(1+V$7)^$D2371*(V2353/U2353)^$E2371*((V2353+V2362)/(U2353+U2362))^$F2371</f>
        <v/>
      </c>
      <c r="W2371" s="44">
        <f>V2371*$G2371*(1+W$7)^$D2371*(W2353/V2353)^$E2371*((W2353+W2362)/(V2353+V2362))^$F2371</f>
        <v/>
      </c>
      <c r="X2371" s="44">
        <f>W2371*$G2371*(1+X$7)^$D2371*(X2353/W2353)^$E2371*((X2353+X2362)/(W2353+W2362))^$F2371</f>
        <v/>
      </c>
      <c r="Y2371" s="44">
        <f>X2371*$G2371*(1+Y$7)^$D2371*(Y2353/X2353)^$E2371*((Y2353+Y2362)/(X2353+X2362))^$F2371</f>
        <v/>
      </c>
      <c r="Z2371" s="44">
        <f>Y2371*$G2371*(1+Z$7)^$D2371*(Z2353/Y2353)^$E2371*((Z2353+Z2362)/(Y2353+Y2362))^$F2371</f>
        <v/>
      </c>
      <c r="AA2371" s="44">
        <f>Z2371*$G2371*(1+AA$7)^$D2371*(AA2353/Z2353)^$E2371*((AA2353+AA2362)/(Z2353+Z2362))^$F2371</f>
        <v/>
      </c>
      <c r="AB2371" s="44">
        <f>AA2371*$G2371*(1+AB$7)^$D2371*(AB2353/AA2353)^$E2371*((AB2353+AB2362)/(AA2353+AA2362))^$F2371</f>
        <v/>
      </c>
      <c r="AC2371" s="44">
        <f>AB2371*$G2371*(1+AC$7)^$D2371*(AC2353/AB2353)^$E2371*((AC2353+AC2362)/(AB2353+AB2362))^$F2371</f>
        <v/>
      </c>
      <c r="AD2371" s="44">
        <f>AC2371*$G2371*(1+AD$7)^$D2371*(AD2353/AC2353)^$E2371*((AD2353+AD2362)/(AC2353+AC2362))^$F2371</f>
        <v/>
      </c>
      <c r="AE2371" s="57">
        <f>FUELUSE(AD2371,AE2353,AD2353,AE2362,AD2362,AE$7,$D2371,$E2371,$F2371,$G2371)</f>
        <v/>
      </c>
      <c r="AG2371" s="11">
        <f>CodePrefix&amp;$A2371&amp;IF($C2371="","","."&amp;$C2371&amp;"."&amp;$B2371)&amp;INDEX(VarEnd,MATCH($A2371,VarKey,0))&amp;AG$5</f>
        <v/>
      </c>
      <c r="AH2371" s="43">
        <f>INDEX(Inputs!$X$5:$X$132,MATCH($B2371&amp;"|"&amp;$C2371,Inputs!$A$5:$A$132,0))</f>
        <v/>
      </c>
      <c r="AI2371" s="44">
        <f>AH2371*$G2371*(1+AI$7)^$D2371*(AI2353/AH2353)^$E2371*((AI2353+AI2362)/(AH2353+AH2362))^$F2371</f>
        <v/>
      </c>
      <c r="AJ2371" s="44">
        <f>AI2371*$G2371*(1+AJ$7)^$D2371*(AJ2353/AI2353)^$E2371*((AJ2353+AJ2362)/(AI2353+AI2362))^$F2371</f>
        <v/>
      </c>
      <c r="AK2371" s="44">
        <f>AJ2371*$G2371*(1+AK$7)^$D2371*(AK2353/AJ2353)^$E2371*((AK2353+AK2362)/(AJ2353+AJ2362))^$F2371</f>
        <v/>
      </c>
      <c r="AL2371" s="44">
        <f>AK2371*$G2371*(1+AL$7)^$D2371*(AL2353/AK2353)^$E2371*((AL2353+AL2362)/(AK2353+AK2362))^$F2371</f>
        <v/>
      </c>
      <c r="AM2371" s="44">
        <f>AL2371*$G2371*(1+AM$7)^$D2371*(AM2353/AL2353)^$E2371*((AM2353+AM2362)/(AL2353+AL2362))^$F2371</f>
        <v/>
      </c>
      <c r="AN2371" s="44">
        <f>AM2371*$G2371*(1+AN$7)^$D2371*(AN2353/AM2353)^$E2371*((AN2353+AN2362)/(AM2353+AM2362))^$F2371</f>
        <v/>
      </c>
      <c r="AO2371" s="44">
        <f>AN2371*$G2371*(1+AO$7)^$D2371*(AO2353/AN2353)^$E2371*((AO2353+AO2362)/(AN2353+AN2362))^$F2371</f>
        <v/>
      </c>
      <c r="AP2371" s="44">
        <f>AO2371*$G2371*(1+AP$7)^$D2371*(AP2353/AO2353)^$E2371*((AP2353+AP2362)/(AO2353+AO2362))^$F2371</f>
        <v/>
      </c>
      <c r="AQ2371" s="44">
        <f>AP2371*$G2371*(1+AQ$7)^$D2371*(AQ2353/AP2353)^$E2371*((AQ2353+AQ2362)/(AP2353+AP2362))^$F2371</f>
        <v/>
      </c>
      <c r="AR2371" s="44">
        <f>AQ2371*$G2371*(1+AR$7)^$D2371*(AR2353/AQ2353)^$E2371*((AR2353+AR2362)/(AQ2353+AQ2362))^$F2371</f>
        <v/>
      </c>
      <c r="AS2371" s="44">
        <f>AR2371*$G2371*(1+AS$7)^$D2371*(AS2353/AR2353)^$E2371*((AS2353+AS2362)/(AR2353+AR2362))^$F2371</f>
        <v/>
      </c>
      <c r="AT2371" s="44">
        <f>AS2371*$G2371*(1+AT$7)^$D2371*(AT2353/AS2353)^$E2371*((AT2353+AT2362)/(AS2353+AS2362))^$F2371</f>
        <v/>
      </c>
      <c r="AU2371" s="44">
        <f>AT2371*$G2371*(1+AU$7)^$D2371*(AU2353/AT2353)^$E2371*((AU2353+AU2362)/(AT2353+AT2362))^$F2371</f>
        <v/>
      </c>
      <c r="AV2371" s="44">
        <f>AU2371*$G2371*(1+AV$7)^$D2371*(AV2353/AU2353)^$E2371*((AV2353+AV2362)/(AU2353+AU2362))^$F2371</f>
        <v/>
      </c>
      <c r="AW2371" s="44">
        <f>AV2371*$G2371*(1+AW$7)^$D2371*(AW2353/AV2353)^$E2371*((AW2353+AW2362)/(AV2353+AV2362))^$F2371</f>
        <v/>
      </c>
      <c r="AX2371" s="44">
        <f>AW2371*$G2371*(1+AX$7)^$D2371*(AX2353/AW2353)^$E2371*((AX2353+AX2362)/(AW2353+AW2362))^$F2371</f>
        <v/>
      </c>
      <c r="AY2371" s="44">
        <f>AX2371*$G2371*(1+AY$7)^$D2371*(AY2353/AX2353)^$E2371*((AY2353+AY2362)/(AX2353+AX2362))^$F2371</f>
        <v/>
      </c>
      <c r="AZ2371" s="44">
        <f>AY2371*$G2371*(1+AZ$7)^$D2371*(AZ2353/AY2353)^$E2371*((AZ2353+AZ2362)/(AY2353+AY2362))^$F2371</f>
        <v/>
      </c>
      <c r="BA2371" s="57">
        <f>FUELUSE(AZ2371,BA2353,AZ2353,BA2362,AZ2362,BA$7,$D2371,$E2371,$F2371,$G2371)</f>
        <v/>
      </c>
    </row>
    <row r="2372" hidden="1" outlineLevel="2">
      <c r="A2372" s="14" t="inlineStr">
        <is>
          <t>ener</t>
        </is>
      </c>
      <c r="B2372" s="14" t="inlineStr">
        <is>
          <t>bio</t>
        </is>
      </c>
      <c r="C2372" s="14" t="inlineStr">
        <is>
          <t>mac</t>
        </is>
      </c>
      <c r="D2372" s="35">
        <f>INDEX(Inputs!$O$5:$O$132,MATCH($B2372&amp;"|"&amp;$C2372,Inputs!$A$5:$A$132,0))</f>
        <v/>
      </c>
      <c r="E2372" s="35">
        <f>INDEX(Inputs!$P$5:$P$132,MATCH($B2372&amp;"|"&amp;$C2372,Inputs!$A$5:$A$132,0))</f>
        <v/>
      </c>
      <c r="F2372" s="35">
        <f>INDEX(Inputs!$T$5:$T$132,MATCH($B2372&amp;"|"&amp;$C2372,Inputs!$A$5:$A$132,0))</f>
        <v/>
      </c>
      <c r="G2372" s="35">
        <f>INDEX(Inputs!$S$5:$S$132,MATCH($B2372&amp;"|"&amp;$C2372,Inputs!$A$5:$A$132,0))</f>
        <v/>
      </c>
      <c r="H2372" s="14">
        <f>INDEX(VarLab,MATCH($A2372,VarKey,0))&amp;INDEX(MemLab,MATCH($C2372&amp;"|"&amp;$B2372,MemKey,0))</f>
        <v/>
      </c>
      <c r="I2372" s="14">
        <f>INDEX(VarUnit,MATCH($A2372,VarKey,0))</f>
        <v/>
      </c>
      <c r="J2372" s="14">
        <f>INDEX(VarSrc,MATCH($A2372,VarKey,0))</f>
        <v/>
      </c>
      <c r="K2372" s="11">
        <f>CodePrefix&amp;$A2372&amp;IF($C2372="","","."&amp;$C2372&amp;"."&amp;$B2372)&amp;INDEX(VarEnd,MATCH($A2372,VarKey,0))&amp;K$5</f>
        <v/>
      </c>
      <c r="L2372" s="43">
        <f>INDEX(Inputs!$X$5:$X$132,MATCH($B2372&amp;"|"&amp;$C2372,Inputs!$A$5:$A$132,0))</f>
        <v/>
      </c>
      <c r="M2372" s="44">
        <f>L2372*$G2372*(1+M$7)^$D2372*(M2354/L2354)^$E2372*((M2354+M2363)/(L2354+L2363))^$F2372</f>
        <v/>
      </c>
      <c r="N2372" s="44">
        <f>M2372*$G2372*(1+N$7)^$D2372*(N2354/M2354)^$E2372*((N2354+N2363)/(M2354+M2363))^$F2372</f>
        <v/>
      </c>
      <c r="O2372" s="44">
        <f>N2372*$G2372*(1+O$7)^$D2372*(O2354/N2354)^$E2372*((O2354+O2363)/(N2354+N2363))^$F2372</f>
        <v/>
      </c>
      <c r="P2372" s="44">
        <f>O2372*$G2372*(1+P$7)^$D2372*(P2354/O2354)^$E2372*((P2354+P2363)/(O2354+O2363))^$F2372</f>
        <v/>
      </c>
      <c r="Q2372" s="44">
        <f>P2372*$G2372*(1+Q$7)^$D2372*(Q2354/P2354)^$E2372*((Q2354+Q2363)/(P2354+P2363))^$F2372</f>
        <v/>
      </c>
      <c r="R2372" s="44">
        <f>Q2372*$G2372*(1+R$7)^$D2372*(R2354/Q2354)^$E2372*((R2354+R2363)/(Q2354+Q2363))^$F2372</f>
        <v/>
      </c>
      <c r="S2372" s="44">
        <f>R2372*$G2372*(1+S$7)^$D2372*(S2354/R2354)^$E2372*((S2354+S2363)/(R2354+R2363))^$F2372</f>
        <v/>
      </c>
      <c r="T2372" s="44">
        <f>S2372*$G2372*(1+T$7)^$D2372*(T2354/S2354)^$E2372*((T2354+T2363)/(S2354+S2363))^$F2372</f>
        <v/>
      </c>
      <c r="U2372" s="44">
        <f>T2372*$G2372*(1+U$7)^$D2372*(U2354/T2354)^$E2372*((U2354+U2363)/(T2354+T2363))^$F2372</f>
        <v/>
      </c>
      <c r="V2372" s="44">
        <f>U2372*$G2372*(1+V$7)^$D2372*(V2354/U2354)^$E2372*((V2354+V2363)/(U2354+U2363))^$F2372</f>
        <v/>
      </c>
      <c r="W2372" s="44">
        <f>V2372*$G2372*(1+W$7)^$D2372*(W2354/V2354)^$E2372*((W2354+W2363)/(V2354+V2363))^$F2372</f>
        <v/>
      </c>
      <c r="X2372" s="44">
        <f>W2372*$G2372*(1+X$7)^$D2372*(X2354/W2354)^$E2372*((X2354+X2363)/(W2354+W2363))^$F2372</f>
        <v/>
      </c>
      <c r="Y2372" s="44">
        <f>X2372*$G2372*(1+Y$7)^$D2372*(Y2354/X2354)^$E2372*((Y2354+Y2363)/(X2354+X2363))^$F2372</f>
        <v/>
      </c>
      <c r="Z2372" s="44">
        <f>Y2372*$G2372*(1+Z$7)^$D2372*(Z2354/Y2354)^$E2372*((Z2354+Z2363)/(Y2354+Y2363))^$F2372</f>
        <v/>
      </c>
      <c r="AA2372" s="44">
        <f>Z2372*$G2372*(1+AA$7)^$D2372*(AA2354/Z2354)^$E2372*((AA2354+AA2363)/(Z2354+Z2363))^$F2372</f>
        <v/>
      </c>
      <c r="AB2372" s="44">
        <f>AA2372*$G2372*(1+AB$7)^$D2372*(AB2354/AA2354)^$E2372*((AB2354+AB2363)/(AA2354+AA2363))^$F2372</f>
        <v/>
      </c>
      <c r="AC2372" s="44">
        <f>AB2372*$G2372*(1+AC$7)^$D2372*(AC2354/AB2354)^$E2372*((AC2354+AC2363)/(AB2354+AB2363))^$F2372</f>
        <v/>
      </c>
      <c r="AD2372" s="44">
        <f>AC2372*$G2372*(1+AD$7)^$D2372*(AD2354/AC2354)^$E2372*((AD2354+AD2363)/(AC2354+AC2363))^$F2372</f>
        <v/>
      </c>
      <c r="AE2372" s="57">
        <f>FUELUSE(AD2372,AE2354,AD2354,AE2363,AD2363,AE$7,$D2372,$E2372,$F2372,$G2372)</f>
        <v/>
      </c>
      <c r="AG2372" s="11">
        <f>CodePrefix&amp;$A2372&amp;IF($C2372="","","."&amp;$C2372&amp;"."&amp;$B2372)&amp;INDEX(VarEnd,MATCH($A2372,VarKey,0))&amp;AG$5</f>
        <v/>
      </c>
      <c r="AH2372" s="43">
        <f>INDEX(Inputs!$X$5:$X$132,MATCH($B2372&amp;"|"&amp;$C2372,Inputs!$A$5:$A$132,0))</f>
        <v/>
      </c>
      <c r="AI2372" s="44">
        <f>AH2372*$G2372*(1+AI$7)^$D2372*(AI2354/AH2354)^$E2372*((AI2354+AI2363)/(AH2354+AH2363))^$F2372</f>
        <v/>
      </c>
      <c r="AJ2372" s="44">
        <f>AI2372*$G2372*(1+AJ$7)^$D2372*(AJ2354/AI2354)^$E2372*((AJ2354+AJ2363)/(AI2354+AI2363))^$F2372</f>
        <v/>
      </c>
      <c r="AK2372" s="44">
        <f>AJ2372*$G2372*(1+AK$7)^$D2372*(AK2354/AJ2354)^$E2372*((AK2354+AK2363)/(AJ2354+AJ2363))^$F2372</f>
        <v/>
      </c>
      <c r="AL2372" s="44">
        <f>AK2372*$G2372*(1+AL$7)^$D2372*(AL2354/AK2354)^$E2372*((AL2354+AL2363)/(AK2354+AK2363))^$F2372</f>
        <v/>
      </c>
      <c r="AM2372" s="44">
        <f>AL2372*$G2372*(1+AM$7)^$D2372*(AM2354/AL2354)^$E2372*((AM2354+AM2363)/(AL2354+AL2363))^$F2372</f>
        <v/>
      </c>
      <c r="AN2372" s="44">
        <f>AM2372*$G2372*(1+AN$7)^$D2372*(AN2354/AM2354)^$E2372*((AN2354+AN2363)/(AM2354+AM2363))^$F2372</f>
        <v/>
      </c>
      <c r="AO2372" s="44">
        <f>AN2372*$G2372*(1+AO$7)^$D2372*(AO2354/AN2354)^$E2372*((AO2354+AO2363)/(AN2354+AN2363))^$F2372</f>
        <v/>
      </c>
      <c r="AP2372" s="44">
        <f>AO2372*$G2372*(1+AP$7)^$D2372*(AP2354/AO2354)^$E2372*((AP2354+AP2363)/(AO2354+AO2363))^$F2372</f>
        <v/>
      </c>
      <c r="AQ2372" s="44">
        <f>AP2372*$G2372*(1+AQ$7)^$D2372*(AQ2354/AP2354)^$E2372*((AQ2354+AQ2363)/(AP2354+AP2363))^$F2372</f>
        <v/>
      </c>
      <c r="AR2372" s="44">
        <f>AQ2372*$G2372*(1+AR$7)^$D2372*(AR2354/AQ2354)^$E2372*((AR2354+AR2363)/(AQ2354+AQ2363))^$F2372</f>
        <v/>
      </c>
      <c r="AS2372" s="44">
        <f>AR2372*$G2372*(1+AS$7)^$D2372*(AS2354/AR2354)^$E2372*((AS2354+AS2363)/(AR2354+AR2363))^$F2372</f>
        <v/>
      </c>
      <c r="AT2372" s="44">
        <f>AS2372*$G2372*(1+AT$7)^$D2372*(AT2354/AS2354)^$E2372*((AT2354+AT2363)/(AS2354+AS2363))^$F2372</f>
        <v/>
      </c>
      <c r="AU2372" s="44">
        <f>AT2372*$G2372*(1+AU$7)^$D2372*(AU2354/AT2354)^$E2372*((AU2354+AU2363)/(AT2354+AT2363))^$F2372</f>
        <v/>
      </c>
      <c r="AV2372" s="44">
        <f>AU2372*$G2372*(1+AV$7)^$D2372*(AV2354/AU2354)^$E2372*((AV2354+AV2363)/(AU2354+AU2363))^$F2372</f>
        <v/>
      </c>
      <c r="AW2372" s="44">
        <f>AV2372*$G2372*(1+AW$7)^$D2372*(AW2354/AV2354)^$E2372*((AW2354+AW2363)/(AV2354+AV2363))^$F2372</f>
        <v/>
      </c>
      <c r="AX2372" s="44">
        <f>AW2372*$G2372*(1+AX$7)^$D2372*(AX2354/AW2354)^$E2372*((AX2354+AX2363)/(AW2354+AW2363))^$F2372</f>
        <v/>
      </c>
      <c r="AY2372" s="44">
        <f>AX2372*$G2372*(1+AY$7)^$D2372*(AY2354/AX2354)^$E2372*((AY2354+AY2363)/(AX2354+AX2363))^$F2372</f>
        <v/>
      </c>
      <c r="AZ2372" s="44">
        <f>AY2372*$G2372*(1+AZ$7)^$D2372*(AZ2354/AY2354)^$E2372*((AZ2354+AZ2363)/(AY2354+AY2363))^$F2372</f>
        <v/>
      </c>
      <c r="BA2372" s="57">
        <f>FUELUSE(AZ2372,BA2354,AZ2354,BA2363,AZ2363,BA$7,$D2372,$E2372,$F2372,$G2372)</f>
        <v/>
      </c>
    </row>
    <row r="2373" hidden="1" outlineLevel="2"/>
    <row r="2374" hidden="1" outlineLevel="2">
      <c r="A2374" s="14" t="inlineStr">
        <is>
          <t>co2</t>
        </is>
      </c>
      <c r="B2374" s="14" t="inlineStr">
        <is>
          <t>coa</t>
        </is>
      </c>
      <c r="C2374" s="14" t="inlineStr">
        <is>
          <t>mac</t>
        </is>
      </c>
      <c r="D2374" s="35">
        <f>INDEX(Inputs!$W$5:$W$132,MATCH($B2374&amp;"|"&amp;$C2374,Inputs!$A$5:$A$132,0))</f>
        <v/>
      </c>
      <c r="E2374" s="39" t="n"/>
      <c r="F2374" s="39" t="n"/>
      <c r="G2374" s="39" t="n"/>
      <c r="H2374" s="14">
        <f>INDEX(VarLab,MATCH($A2374,VarKey,0))&amp;INDEX(MemLab,MATCH($C2374&amp;"|"&amp;$B2374,MemKey,0))</f>
        <v/>
      </c>
      <c r="I2374" s="14">
        <f>INDEX(VarUnit,MATCH($A2374,VarKey,0))</f>
        <v/>
      </c>
      <c r="J2374" s="14">
        <f>INDEX(VarSrc,MATCH($A2374,VarKey,0))</f>
        <v/>
      </c>
      <c r="K2374" s="11">
        <f>CodePrefix&amp;$A2374&amp;IF($C2374="","","."&amp;$C2374&amp;"."&amp;$B2374)&amp;INDEX(VarEnd,MATCH($A2374,VarKey,0))&amp;K$5</f>
        <v/>
      </c>
      <c r="L2374" s="15">
        <f>L2365*Settings!$C$13*$D2374</f>
        <v/>
      </c>
      <c r="M2374" s="16">
        <f>M2365*Settings!$C$13*$D2374</f>
        <v/>
      </c>
      <c r="N2374" s="16">
        <f>N2365*Settings!$C$13*$D2374</f>
        <v/>
      </c>
      <c r="O2374" s="16">
        <f>O2365*Settings!$C$13*$D2374</f>
        <v/>
      </c>
      <c r="P2374" s="16">
        <f>P2365*Settings!$C$13*$D2374</f>
        <v/>
      </c>
      <c r="Q2374" s="16">
        <f>Q2365*Settings!$C$13*$D2374</f>
        <v/>
      </c>
      <c r="R2374" s="16">
        <f>R2365*Settings!$C$13*$D2374</f>
        <v/>
      </c>
      <c r="S2374" s="16">
        <f>S2365*Settings!$C$13*$D2374</f>
        <v/>
      </c>
      <c r="T2374" s="16">
        <f>T2365*Settings!$C$13*$D2374</f>
        <v/>
      </c>
      <c r="U2374" s="16">
        <f>U2365*Settings!$C$13*$D2374</f>
        <v/>
      </c>
      <c r="V2374" s="16">
        <f>V2365*Settings!$C$13*$D2374</f>
        <v/>
      </c>
      <c r="W2374" s="16">
        <f>W2365*Settings!$C$13*$D2374</f>
        <v/>
      </c>
      <c r="X2374" s="16">
        <f>X2365*Settings!$C$13*$D2374</f>
        <v/>
      </c>
      <c r="Y2374" s="16">
        <f>Y2365*Settings!$C$13*$D2374</f>
        <v/>
      </c>
      <c r="Z2374" s="16">
        <f>Z2365*Settings!$C$13*$D2374</f>
        <v/>
      </c>
      <c r="AA2374" s="16">
        <f>AA2365*Settings!$C$13*$D2374</f>
        <v/>
      </c>
      <c r="AB2374" s="16">
        <f>AB2365*Settings!$C$13*$D2374</f>
        <v/>
      </c>
      <c r="AC2374" s="16">
        <f>AC2365*Settings!$C$13*$D2374</f>
        <v/>
      </c>
      <c r="AD2374" s="16">
        <f>AD2365*Settings!$C$13*$D2374</f>
        <v/>
      </c>
      <c r="AE2374" s="49">
        <f>EMISSIONS(AE2365,Settings!$C$13,$D2374)</f>
        <v/>
      </c>
      <c r="AG2374" s="11">
        <f>CodePrefix&amp;$A2374&amp;IF($C2374="","","."&amp;$C2374&amp;"."&amp;$B2374)&amp;INDEX(VarEnd,MATCH($A2374,VarKey,0))&amp;AG$5</f>
        <v/>
      </c>
      <c r="AH2374" s="15">
        <f>AH2365*Settings!$C$13*$D2374</f>
        <v/>
      </c>
      <c r="AI2374" s="16">
        <f>AI2365*Settings!$C$13*$D2374</f>
        <v/>
      </c>
      <c r="AJ2374" s="16">
        <f>AJ2365*Settings!$C$13*$D2374</f>
        <v/>
      </c>
      <c r="AK2374" s="16">
        <f>AK2365*Settings!$C$13*$D2374</f>
        <v/>
      </c>
      <c r="AL2374" s="16">
        <f>AL2365*Settings!$C$13*$D2374</f>
        <v/>
      </c>
      <c r="AM2374" s="16">
        <f>AM2365*Settings!$C$13*$D2374</f>
        <v/>
      </c>
      <c r="AN2374" s="16">
        <f>AN2365*Settings!$C$13*$D2374</f>
        <v/>
      </c>
      <c r="AO2374" s="16">
        <f>AO2365*Settings!$C$13*$D2374</f>
        <v/>
      </c>
      <c r="AP2374" s="16">
        <f>AP2365*Settings!$C$13*$D2374</f>
        <v/>
      </c>
      <c r="AQ2374" s="16">
        <f>AQ2365*Settings!$C$13*$D2374</f>
        <v/>
      </c>
      <c r="AR2374" s="16">
        <f>AR2365*Settings!$C$13*$D2374</f>
        <v/>
      </c>
      <c r="AS2374" s="16">
        <f>AS2365*Settings!$C$13*$D2374</f>
        <v/>
      </c>
      <c r="AT2374" s="16">
        <f>AT2365*Settings!$C$13*$D2374</f>
        <v/>
      </c>
      <c r="AU2374" s="16">
        <f>AU2365*Settings!$C$13*$D2374</f>
        <v/>
      </c>
      <c r="AV2374" s="16">
        <f>AV2365*Settings!$C$13*$D2374</f>
        <v/>
      </c>
      <c r="AW2374" s="16">
        <f>AW2365*Settings!$C$13*$D2374</f>
        <v/>
      </c>
      <c r="AX2374" s="16">
        <f>AX2365*Settings!$C$13*$D2374</f>
        <v/>
      </c>
      <c r="AY2374" s="16">
        <f>AY2365*Settings!$C$13*$D2374</f>
        <v/>
      </c>
      <c r="AZ2374" s="16">
        <f>AZ2365*Settings!$C$13*$D2374</f>
        <v/>
      </c>
      <c r="BA2374" s="49">
        <f>EMISSIONS(BA2365,Settings!$C$13,$D2374)</f>
        <v/>
      </c>
    </row>
    <row r="2375" hidden="1" outlineLevel="2">
      <c r="A2375" s="14" t="inlineStr">
        <is>
          <t>co2</t>
        </is>
      </c>
      <c r="B2375" s="14" t="inlineStr">
        <is>
          <t>nga</t>
        </is>
      </c>
      <c r="C2375" s="14" t="inlineStr">
        <is>
          <t>mac</t>
        </is>
      </c>
      <c r="D2375" s="35">
        <f>INDEX(Inputs!$W$5:$W$132,MATCH($B2375&amp;"|"&amp;$C2375,Inputs!$A$5:$A$132,0))</f>
        <v/>
      </c>
      <c r="E2375" s="39" t="n"/>
      <c r="F2375" s="39" t="n"/>
      <c r="G2375" s="39" t="n"/>
      <c r="H2375" s="14">
        <f>INDEX(VarLab,MATCH($A2375,VarKey,0))&amp;INDEX(MemLab,MATCH($C2375&amp;"|"&amp;$B2375,MemKey,0))</f>
        <v/>
      </c>
      <c r="I2375" s="14">
        <f>INDEX(VarUnit,MATCH($A2375,VarKey,0))</f>
        <v/>
      </c>
      <c r="J2375" s="14">
        <f>INDEX(VarSrc,MATCH($A2375,VarKey,0))</f>
        <v/>
      </c>
      <c r="K2375" s="11">
        <f>CodePrefix&amp;$A2375&amp;IF($C2375="","","."&amp;$C2375&amp;"."&amp;$B2375)&amp;INDEX(VarEnd,MATCH($A2375,VarKey,0))&amp;K$5</f>
        <v/>
      </c>
      <c r="L2375" s="15">
        <f>L2366*Settings!$C$13*$D2375</f>
        <v/>
      </c>
      <c r="M2375" s="16">
        <f>M2366*Settings!$C$13*$D2375</f>
        <v/>
      </c>
      <c r="N2375" s="16">
        <f>N2366*Settings!$C$13*$D2375</f>
        <v/>
      </c>
      <c r="O2375" s="16">
        <f>O2366*Settings!$C$13*$D2375</f>
        <v/>
      </c>
      <c r="P2375" s="16">
        <f>P2366*Settings!$C$13*$D2375</f>
        <v/>
      </c>
      <c r="Q2375" s="16">
        <f>Q2366*Settings!$C$13*$D2375</f>
        <v/>
      </c>
      <c r="R2375" s="16">
        <f>R2366*Settings!$C$13*$D2375</f>
        <v/>
      </c>
      <c r="S2375" s="16">
        <f>S2366*Settings!$C$13*$D2375</f>
        <v/>
      </c>
      <c r="T2375" s="16">
        <f>T2366*Settings!$C$13*$D2375</f>
        <v/>
      </c>
      <c r="U2375" s="16">
        <f>U2366*Settings!$C$13*$D2375</f>
        <v/>
      </c>
      <c r="V2375" s="16">
        <f>V2366*Settings!$C$13*$D2375</f>
        <v/>
      </c>
      <c r="W2375" s="16">
        <f>W2366*Settings!$C$13*$D2375</f>
        <v/>
      </c>
      <c r="X2375" s="16">
        <f>X2366*Settings!$C$13*$D2375</f>
        <v/>
      </c>
      <c r="Y2375" s="16">
        <f>Y2366*Settings!$C$13*$D2375</f>
        <v/>
      </c>
      <c r="Z2375" s="16">
        <f>Z2366*Settings!$C$13*$D2375</f>
        <v/>
      </c>
      <c r="AA2375" s="16">
        <f>AA2366*Settings!$C$13*$D2375</f>
        <v/>
      </c>
      <c r="AB2375" s="16">
        <f>AB2366*Settings!$C$13*$D2375</f>
        <v/>
      </c>
      <c r="AC2375" s="16">
        <f>AC2366*Settings!$C$13*$D2375</f>
        <v/>
      </c>
      <c r="AD2375" s="16">
        <f>AD2366*Settings!$C$13*$D2375</f>
        <v/>
      </c>
      <c r="AE2375" s="49">
        <f>EMISSIONS(AE2366,Settings!$C$13,$D2375)</f>
        <v/>
      </c>
      <c r="AG2375" s="11">
        <f>CodePrefix&amp;$A2375&amp;IF($C2375="","","."&amp;$C2375&amp;"."&amp;$B2375)&amp;INDEX(VarEnd,MATCH($A2375,VarKey,0))&amp;AG$5</f>
        <v/>
      </c>
      <c r="AH2375" s="15">
        <f>AH2366*Settings!$C$13*$D2375</f>
        <v/>
      </c>
      <c r="AI2375" s="16">
        <f>AI2366*Settings!$C$13*$D2375</f>
        <v/>
      </c>
      <c r="AJ2375" s="16">
        <f>AJ2366*Settings!$C$13*$D2375</f>
        <v/>
      </c>
      <c r="AK2375" s="16">
        <f>AK2366*Settings!$C$13*$D2375</f>
        <v/>
      </c>
      <c r="AL2375" s="16">
        <f>AL2366*Settings!$C$13*$D2375</f>
        <v/>
      </c>
      <c r="AM2375" s="16">
        <f>AM2366*Settings!$C$13*$D2375</f>
        <v/>
      </c>
      <c r="AN2375" s="16">
        <f>AN2366*Settings!$C$13*$D2375</f>
        <v/>
      </c>
      <c r="AO2375" s="16">
        <f>AO2366*Settings!$C$13*$D2375</f>
        <v/>
      </c>
      <c r="AP2375" s="16">
        <f>AP2366*Settings!$C$13*$D2375</f>
        <v/>
      </c>
      <c r="AQ2375" s="16">
        <f>AQ2366*Settings!$C$13*$D2375</f>
        <v/>
      </c>
      <c r="AR2375" s="16">
        <f>AR2366*Settings!$C$13*$D2375</f>
        <v/>
      </c>
      <c r="AS2375" s="16">
        <f>AS2366*Settings!$C$13*$D2375</f>
        <v/>
      </c>
      <c r="AT2375" s="16">
        <f>AT2366*Settings!$C$13*$D2375</f>
        <v/>
      </c>
      <c r="AU2375" s="16">
        <f>AU2366*Settings!$C$13*$D2375</f>
        <v/>
      </c>
      <c r="AV2375" s="16">
        <f>AV2366*Settings!$C$13*$D2375</f>
        <v/>
      </c>
      <c r="AW2375" s="16">
        <f>AW2366*Settings!$C$13*$D2375</f>
        <v/>
      </c>
      <c r="AX2375" s="16">
        <f>AX2366*Settings!$C$13*$D2375</f>
        <v/>
      </c>
      <c r="AY2375" s="16">
        <f>AY2366*Settings!$C$13*$D2375</f>
        <v/>
      </c>
      <c r="AZ2375" s="16">
        <f>AZ2366*Settings!$C$13*$D2375</f>
        <v/>
      </c>
      <c r="BA2375" s="49">
        <f>EMISSIONS(BA2366,Settings!$C$13,$D2375)</f>
        <v/>
      </c>
    </row>
    <row r="2376" hidden="1" outlineLevel="2">
      <c r="A2376" s="14" t="inlineStr">
        <is>
          <t>co2</t>
        </is>
      </c>
      <c r="B2376" s="14" t="inlineStr">
        <is>
          <t>gso</t>
        </is>
      </c>
      <c r="C2376" s="14" t="inlineStr">
        <is>
          <t>mac</t>
        </is>
      </c>
      <c r="D2376" s="35">
        <f>INDEX(Inputs!$W$5:$W$132,MATCH($B2376&amp;"|"&amp;$C2376,Inputs!$A$5:$A$132,0))</f>
        <v/>
      </c>
      <c r="E2376" s="39" t="n"/>
      <c r="F2376" s="39" t="n"/>
      <c r="G2376" s="39" t="n"/>
      <c r="H2376" s="14">
        <f>INDEX(VarLab,MATCH($A2376,VarKey,0))&amp;INDEX(MemLab,MATCH($C2376&amp;"|"&amp;$B2376,MemKey,0))</f>
        <v/>
      </c>
      <c r="I2376" s="14">
        <f>INDEX(VarUnit,MATCH($A2376,VarKey,0))</f>
        <v/>
      </c>
      <c r="J2376" s="14">
        <f>INDEX(VarSrc,MATCH($A2376,VarKey,0))</f>
        <v/>
      </c>
      <c r="K2376" s="11">
        <f>CodePrefix&amp;$A2376&amp;IF($C2376="","","."&amp;$C2376&amp;"."&amp;$B2376)&amp;INDEX(VarEnd,MATCH($A2376,VarKey,0))&amp;K$5</f>
        <v/>
      </c>
      <c r="L2376" s="15">
        <f>L2367*Settings!$C$13*$D2376</f>
        <v/>
      </c>
      <c r="M2376" s="16">
        <f>M2367*Settings!$C$13*$D2376</f>
        <v/>
      </c>
      <c r="N2376" s="16">
        <f>N2367*Settings!$C$13*$D2376</f>
        <v/>
      </c>
      <c r="O2376" s="16">
        <f>O2367*Settings!$C$13*$D2376</f>
        <v/>
      </c>
      <c r="P2376" s="16">
        <f>P2367*Settings!$C$13*$D2376</f>
        <v/>
      </c>
      <c r="Q2376" s="16">
        <f>Q2367*Settings!$C$13*$D2376</f>
        <v/>
      </c>
      <c r="R2376" s="16">
        <f>R2367*Settings!$C$13*$D2376</f>
        <v/>
      </c>
      <c r="S2376" s="16">
        <f>S2367*Settings!$C$13*$D2376</f>
        <v/>
      </c>
      <c r="T2376" s="16">
        <f>T2367*Settings!$C$13*$D2376</f>
        <v/>
      </c>
      <c r="U2376" s="16">
        <f>U2367*Settings!$C$13*$D2376</f>
        <v/>
      </c>
      <c r="V2376" s="16">
        <f>V2367*Settings!$C$13*$D2376</f>
        <v/>
      </c>
      <c r="W2376" s="16">
        <f>W2367*Settings!$C$13*$D2376</f>
        <v/>
      </c>
      <c r="X2376" s="16">
        <f>X2367*Settings!$C$13*$D2376</f>
        <v/>
      </c>
      <c r="Y2376" s="16">
        <f>Y2367*Settings!$C$13*$D2376</f>
        <v/>
      </c>
      <c r="Z2376" s="16">
        <f>Z2367*Settings!$C$13*$D2376</f>
        <v/>
      </c>
      <c r="AA2376" s="16">
        <f>AA2367*Settings!$C$13*$D2376</f>
        <v/>
      </c>
      <c r="AB2376" s="16">
        <f>AB2367*Settings!$C$13*$D2376</f>
        <v/>
      </c>
      <c r="AC2376" s="16">
        <f>AC2367*Settings!$C$13*$D2376</f>
        <v/>
      </c>
      <c r="AD2376" s="16">
        <f>AD2367*Settings!$C$13*$D2376</f>
        <v/>
      </c>
      <c r="AE2376" s="49">
        <f>EMISSIONS(AE2367,Settings!$C$13,$D2376)</f>
        <v/>
      </c>
      <c r="AG2376" s="11">
        <f>CodePrefix&amp;$A2376&amp;IF($C2376="","","."&amp;$C2376&amp;"."&amp;$B2376)&amp;INDEX(VarEnd,MATCH($A2376,VarKey,0))&amp;AG$5</f>
        <v/>
      </c>
      <c r="AH2376" s="15">
        <f>AH2367*Settings!$C$13*$D2376</f>
        <v/>
      </c>
      <c r="AI2376" s="16">
        <f>AI2367*Settings!$C$13*$D2376</f>
        <v/>
      </c>
      <c r="AJ2376" s="16">
        <f>AJ2367*Settings!$C$13*$D2376</f>
        <v/>
      </c>
      <c r="AK2376" s="16">
        <f>AK2367*Settings!$C$13*$D2376</f>
        <v/>
      </c>
      <c r="AL2376" s="16">
        <f>AL2367*Settings!$C$13*$D2376</f>
        <v/>
      </c>
      <c r="AM2376" s="16">
        <f>AM2367*Settings!$C$13*$D2376</f>
        <v/>
      </c>
      <c r="AN2376" s="16">
        <f>AN2367*Settings!$C$13*$D2376</f>
        <v/>
      </c>
      <c r="AO2376" s="16">
        <f>AO2367*Settings!$C$13*$D2376</f>
        <v/>
      </c>
      <c r="AP2376" s="16">
        <f>AP2367*Settings!$C$13*$D2376</f>
        <v/>
      </c>
      <c r="AQ2376" s="16">
        <f>AQ2367*Settings!$C$13*$D2376</f>
        <v/>
      </c>
      <c r="AR2376" s="16">
        <f>AR2367*Settings!$C$13*$D2376</f>
        <v/>
      </c>
      <c r="AS2376" s="16">
        <f>AS2367*Settings!$C$13*$D2376</f>
        <v/>
      </c>
      <c r="AT2376" s="16">
        <f>AT2367*Settings!$C$13*$D2376</f>
        <v/>
      </c>
      <c r="AU2376" s="16">
        <f>AU2367*Settings!$C$13*$D2376</f>
        <v/>
      </c>
      <c r="AV2376" s="16">
        <f>AV2367*Settings!$C$13*$D2376</f>
        <v/>
      </c>
      <c r="AW2376" s="16">
        <f>AW2367*Settings!$C$13*$D2376</f>
        <v/>
      </c>
      <c r="AX2376" s="16">
        <f>AX2367*Settings!$C$13*$D2376</f>
        <v/>
      </c>
      <c r="AY2376" s="16">
        <f>AY2367*Settings!$C$13*$D2376</f>
        <v/>
      </c>
      <c r="AZ2376" s="16">
        <f>AZ2367*Settings!$C$13*$D2376</f>
        <v/>
      </c>
      <c r="BA2376" s="49">
        <f>EMISSIONS(BA2367,Settings!$C$13,$D2376)</f>
        <v/>
      </c>
    </row>
    <row r="2377" hidden="1" outlineLevel="2">
      <c r="A2377" s="14" t="inlineStr">
        <is>
          <t>co2</t>
        </is>
      </c>
      <c r="B2377" s="14" t="inlineStr">
        <is>
          <t>die</t>
        </is>
      </c>
      <c r="C2377" s="14" t="inlineStr">
        <is>
          <t>mac</t>
        </is>
      </c>
      <c r="D2377" s="35">
        <f>INDEX(Inputs!$W$5:$W$132,MATCH($B2377&amp;"|"&amp;$C2377,Inputs!$A$5:$A$132,0))</f>
        <v/>
      </c>
      <c r="E2377" s="39" t="n"/>
      <c r="F2377" s="39" t="n"/>
      <c r="G2377" s="39" t="n"/>
      <c r="H2377" s="14">
        <f>INDEX(VarLab,MATCH($A2377,VarKey,0))&amp;INDEX(MemLab,MATCH($C2377&amp;"|"&amp;$B2377,MemKey,0))</f>
        <v/>
      </c>
      <c r="I2377" s="14">
        <f>INDEX(VarUnit,MATCH($A2377,VarKey,0))</f>
        <v/>
      </c>
      <c r="J2377" s="14">
        <f>INDEX(VarSrc,MATCH($A2377,VarKey,0))</f>
        <v/>
      </c>
      <c r="K2377" s="11">
        <f>CodePrefix&amp;$A2377&amp;IF($C2377="","","."&amp;$C2377&amp;"."&amp;$B2377)&amp;INDEX(VarEnd,MATCH($A2377,VarKey,0))&amp;K$5</f>
        <v/>
      </c>
      <c r="L2377" s="15">
        <f>L2368*Settings!$C$13*$D2377</f>
        <v/>
      </c>
      <c r="M2377" s="16">
        <f>M2368*Settings!$C$13*$D2377</f>
        <v/>
      </c>
      <c r="N2377" s="16">
        <f>N2368*Settings!$C$13*$D2377</f>
        <v/>
      </c>
      <c r="O2377" s="16">
        <f>O2368*Settings!$C$13*$D2377</f>
        <v/>
      </c>
      <c r="P2377" s="16">
        <f>P2368*Settings!$C$13*$D2377</f>
        <v/>
      </c>
      <c r="Q2377" s="16">
        <f>Q2368*Settings!$C$13*$D2377</f>
        <v/>
      </c>
      <c r="R2377" s="16">
        <f>R2368*Settings!$C$13*$D2377</f>
        <v/>
      </c>
      <c r="S2377" s="16">
        <f>S2368*Settings!$C$13*$D2377</f>
        <v/>
      </c>
      <c r="T2377" s="16">
        <f>T2368*Settings!$C$13*$D2377</f>
        <v/>
      </c>
      <c r="U2377" s="16">
        <f>U2368*Settings!$C$13*$D2377</f>
        <v/>
      </c>
      <c r="V2377" s="16">
        <f>V2368*Settings!$C$13*$D2377</f>
        <v/>
      </c>
      <c r="W2377" s="16">
        <f>W2368*Settings!$C$13*$D2377</f>
        <v/>
      </c>
      <c r="X2377" s="16">
        <f>X2368*Settings!$C$13*$D2377</f>
        <v/>
      </c>
      <c r="Y2377" s="16">
        <f>Y2368*Settings!$C$13*$D2377</f>
        <v/>
      </c>
      <c r="Z2377" s="16">
        <f>Z2368*Settings!$C$13*$D2377</f>
        <v/>
      </c>
      <c r="AA2377" s="16">
        <f>AA2368*Settings!$C$13*$D2377</f>
        <v/>
      </c>
      <c r="AB2377" s="16">
        <f>AB2368*Settings!$C$13*$D2377</f>
        <v/>
      </c>
      <c r="AC2377" s="16">
        <f>AC2368*Settings!$C$13*$D2377</f>
        <v/>
      </c>
      <c r="AD2377" s="16">
        <f>AD2368*Settings!$C$13*$D2377</f>
        <v/>
      </c>
      <c r="AE2377" s="49">
        <f>EMISSIONS(AE2368,Settings!$C$13,$D2377)</f>
        <v/>
      </c>
      <c r="AG2377" s="11">
        <f>CodePrefix&amp;$A2377&amp;IF($C2377="","","."&amp;$C2377&amp;"."&amp;$B2377)&amp;INDEX(VarEnd,MATCH($A2377,VarKey,0))&amp;AG$5</f>
        <v/>
      </c>
      <c r="AH2377" s="15">
        <f>AH2368*Settings!$C$13*$D2377</f>
        <v/>
      </c>
      <c r="AI2377" s="16">
        <f>AI2368*Settings!$C$13*$D2377</f>
        <v/>
      </c>
      <c r="AJ2377" s="16">
        <f>AJ2368*Settings!$C$13*$D2377</f>
        <v/>
      </c>
      <c r="AK2377" s="16">
        <f>AK2368*Settings!$C$13*$D2377</f>
        <v/>
      </c>
      <c r="AL2377" s="16">
        <f>AL2368*Settings!$C$13*$D2377</f>
        <v/>
      </c>
      <c r="AM2377" s="16">
        <f>AM2368*Settings!$C$13*$D2377</f>
        <v/>
      </c>
      <c r="AN2377" s="16">
        <f>AN2368*Settings!$C$13*$D2377</f>
        <v/>
      </c>
      <c r="AO2377" s="16">
        <f>AO2368*Settings!$C$13*$D2377</f>
        <v/>
      </c>
      <c r="AP2377" s="16">
        <f>AP2368*Settings!$C$13*$D2377</f>
        <v/>
      </c>
      <c r="AQ2377" s="16">
        <f>AQ2368*Settings!$C$13*$D2377</f>
        <v/>
      </c>
      <c r="AR2377" s="16">
        <f>AR2368*Settings!$C$13*$D2377</f>
        <v/>
      </c>
      <c r="AS2377" s="16">
        <f>AS2368*Settings!$C$13*$D2377</f>
        <v/>
      </c>
      <c r="AT2377" s="16">
        <f>AT2368*Settings!$C$13*$D2377</f>
        <v/>
      </c>
      <c r="AU2377" s="16">
        <f>AU2368*Settings!$C$13*$D2377</f>
        <v/>
      </c>
      <c r="AV2377" s="16">
        <f>AV2368*Settings!$C$13*$D2377</f>
        <v/>
      </c>
      <c r="AW2377" s="16">
        <f>AW2368*Settings!$C$13*$D2377</f>
        <v/>
      </c>
      <c r="AX2377" s="16">
        <f>AX2368*Settings!$C$13*$D2377</f>
        <v/>
      </c>
      <c r="AY2377" s="16">
        <f>AY2368*Settings!$C$13*$D2377</f>
        <v/>
      </c>
      <c r="AZ2377" s="16">
        <f>AZ2368*Settings!$C$13*$D2377</f>
        <v/>
      </c>
      <c r="BA2377" s="49">
        <f>EMISSIONS(BA2368,Settings!$C$13,$D2377)</f>
        <v/>
      </c>
    </row>
    <row r="2378" hidden="1" outlineLevel="2">
      <c r="A2378" s="14" t="inlineStr">
        <is>
          <t>co2</t>
        </is>
      </c>
      <c r="B2378" s="14" t="inlineStr">
        <is>
          <t>lpg</t>
        </is>
      </c>
      <c r="C2378" s="14" t="inlineStr">
        <is>
          <t>mac</t>
        </is>
      </c>
      <c r="D2378" s="35">
        <f>INDEX(Inputs!$W$5:$W$132,MATCH($B2378&amp;"|"&amp;$C2378,Inputs!$A$5:$A$132,0))</f>
        <v/>
      </c>
      <c r="E2378" s="39" t="n"/>
      <c r="F2378" s="39" t="n"/>
      <c r="G2378" s="39" t="n"/>
      <c r="H2378" s="14">
        <f>INDEX(VarLab,MATCH($A2378,VarKey,0))&amp;INDEX(MemLab,MATCH($C2378&amp;"|"&amp;$B2378,MemKey,0))</f>
        <v/>
      </c>
      <c r="I2378" s="14">
        <f>INDEX(VarUnit,MATCH($A2378,VarKey,0))</f>
        <v/>
      </c>
      <c r="J2378" s="14">
        <f>INDEX(VarSrc,MATCH($A2378,VarKey,0))</f>
        <v/>
      </c>
      <c r="K2378" s="11">
        <f>CodePrefix&amp;$A2378&amp;IF($C2378="","","."&amp;$C2378&amp;"."&amp;$B2378)&amp;INDEX(VarEnd,MATCH($A2378,VarKey,0))&amp;K$5</f>
        <v/>
      </c>
      <c r="L2378" s="15">
        <f>L2369*Settings!$C$13*$D2378</f>
        <v/>
      </c>
      <c r="M2378" s="16">
        <f>M2369*Settings!$C$13*$D2378</f>
        <v/>
      </c>
      <c r="N2378" s="16">
        <f>N2369*Settings!$C$13*$D2378</f>
        <v/>
      </c>
      <c r="O2378" s="16">
        <f>O2369*Settings!$C$13*$D2378</f>
        <v/>
      </c>
      <c r="P2378" s="16">
        <f>P2369*Settings!$C$13*$D2378</f>
        <v/>
      </c>
      <c r="Q2378" s="16">
        <f>Q2369*Settings!$C$13*$D2378</f>
        <v/>
      </c>
      <c r="R2378" s="16">
        <f>R2369*Settings!$C$13*$D2378</f>
        <v/>
      </c>
      <c r="S2378" s="16">
        <f>S2369*Settings!$C$13*$D2378</f>
        <v/>
      </c>
      <c r="T2378" s="16">
        <f>T2369*Settings!$C$13*$D2378</f>
        <v/>
      </c>
      <c r="U2378" s="16">
        <f>U2369*Settings!$C$13*$D2378</f>
        <v/>
      </c>
      <c r="V2378" s="16">
        <f>V2369*Settings!$C$13*$D2378</f>
        <v/>
      </c>
      <c r="W2378" s="16">
        <f>W2369*Settings!$C$13*$D2378</f>
        <v/>
      </c>
      <c r="X2378" s="16">
        <f>X2369*Settings!$C$13*$D2378</f>
        <v/>
      </c>
      <c r="Y2378" s="16">
        <f>Y2369*Settings!$C$13*$D2378</f>
        <v/>
      </c>
      <c r="Z2378" s="16">
        <f>Z2369*Settings!$C$13*$D2378</f>
        <v/>
      </c>
      <c r="AA2378" s="16">
        <f>AA2369*Settings!$C$13*$D2378</f>
        <v/>
      </c>
      <c r="AB2378" s="16">
        <f>AB2369*Settings!$C$13*$D2378</f>
        <v/>
      </c>
      <c r="AC2378" s="16">
        <f>AC2369*Settings!$C$13*$D2378</f>
        <v/>
      </c>
      <c r="AD2378" s="16">
        <f>AD2369*Settings!$C$13*$D2378</f>
        <v/>
      </c>
      <c r="AE2378" s="49">
        <f>EMISSIONS(AE2369,Settings!$C$13,$D2378)</f>
        <v/>
      </c>
      <c r="AG2378" s="11">
        <f>CodePrefix&amp;$A2378&amp;IF($C2378="","","."&amp;$C2378&amp;"."&amp;$B2378)&amp;INDEX(VarEnd,MATCH($A2378,VarKey,0))&amp;AG$5</f>
        <v/>
      </c>
      <c r="AH2378" s="15">
        <f>AH2369*Settings!$C$13*$D2378</f>
        <v/>
      </c>
      <c r="AI2378" s="16">
        <f>AI2369*Settings!$C$13*$D2378</f>
        <v/>
      </c>
      <c r="AJ2378" s="16">
        <f>AJ2369*Settings!$C$13*$D2378</f>
        <v/>
      </c>
      <c r="AK2378" s="16">
        <f>AK2369*Settings!$C$13*$D2378</f>
        <v/>
      </c>
      <c r="AL2378" s="16">
        <f>AL2369*Settings!$C$13*$D2378</f>
        <v/>
      </c>
      <c r="AM2378" s="16">
        <f>AM2369*Settings!$C$13*$D2378</f>
        <v/>
      </c>
      <c r="AN2378" s="16">
        <f>AN2369*Settings!$C$13*$D2378</f>
        <v/>
      </c>
      <c r="AO2378" s="16">
        <f>AO2369*Settings!$C$13*$D2378</f>
        <v/>
      </c>
      <c r="AP2378" s="16">
        <f>AP2369*Settings!$C$13*$D2378</f>
        <v/>
      </c>
      <c r="AQ2378" s="16">
        <f>AQ2369*Settings!$C$13*$D2378</f>
        <v/>
      </c>
      <c r="AR2378" s="16">
        <f>AR2369*Settings!$C$13*$D2378</f>
        <v/>
      </c>
      <c r="AS2378" s="16">
        <f>AS2369*Settings!$C$13*$D2378</f>
        <v/>
      </c>
      <c r="AT2378" s="16">
        <f>AT2369*Settings!$C$13*$D2378</f>
        <v/>
      </c>
      <c r="AU2378" s="16">
        <f>AU2369*Settings!$C$13*$D2378</f>
        <v/>
      </c>
      <c r="AV2378" s="16">
        <f>AV2369*Settings!$C$13*$D2378</f>
        <v/>
      </c>
      <c r="AW2378" s="16">
        <f>AW2369*Settings!$C$13*$D2378</f>
        <v/>
      </c>
      <c r="AX2378" s="16">
        <f>AX2369*Settings!$C$13*$D2378</f>
        <v/>
      </c>
      <c r="AY2378" s="16">
        <f>AY2369*Settings!$C$13*$D2378</f>
        <v/>
      </c>
      <c r="AZ2378" s="16">
        <f>AZ2369*Settings!$C$13*$D2378</f>
        <v/>
      </c>
      <c r="BA2378" s="49">
        <f>EMISSIONS(BA2369,Settings!$C$13,$D2378)</f>
        <v/>
      </c>
    </row>
    <row r="2379" hidden="1" outlineLevel="2">
      <c r="A2379" s="14" t="inlineStr">
        <is>
          <t>co2</t>
        </is>
      </c>
      <c r="B2379" s="14" t="inlineStr">
        <is>
          <t>ker</t>
        </is>
      </c>
      <c r="C2379" s="14" t="inlineStr">
        <is>
          <t>mac</t>
        </is>
      </c>
      <c r="D2379" s="35">
        <f>INDEX(Inputs!$W$5:$W$132,MATCH($B2379&amp;"|"&amp;$C2379,Inputs!$A$5:$A$132,0))</f>
        <v/>
      </c>
      <c r="E2379" s="39" t="n"/>
      <c r="F2379" s="39" t="n"/>
      <c r="G2379" s="39" t="n"/>
      <c r="H2379" s="14">
        <f>INDEX(VarLab,MATCH($A2379,VarKey,0))&amp;INDEX(MemLab,MATCH($C2379&amp;"|"&amp;$B2379,MemKey,0))</f>
        <v/>
      </c>
      <c r="I2379" s="14">
        <f>INDEX(VarUnit,MATCH($A2379,VarKey,0))</f>
        <v/>
      </c>
      <c r="J2379" s="14">
        <f>INDEX(VarSrc,MATCH($A2379,VarKey,0))</f>
        <v/>
      </c>
      <c r="K2379" s="11">
        <f>CodePrefix&amp;$A2379&amp;IF($C2379="","","."&amp;$C2379&amp;"."&amp;$B2379)&amp;INDEX(VarEnd,MATCH($A2379,VarKey,0))&amp;K$5</f>
        <v/>
      </c>
      <c r="L2379" s="15">
        <f>L2370*Settings!$C$13*$D2379</f>
        <v/>
      </c>
      <c r="M2379" s="16">
        <f>M2370*Settings!$C$13*$D2379</f>
        <v/>
      </c>
      <c r="N2379" s="16">
        <f>N2370*Settings!$C$13*$D2379</f>
        <v/>
      </c>
      <c r="O2379" s="16">
        <f>O2370*Settings!$C$13*$D2379</f>
        <v/>
      </c>
      <c r="P2379" s="16">
        <f>P2370*Settings!$C$13*$D2379</f>
        <v/>
      </c>
      <c r="Q2379" s="16">
        <f>Q2370*Settings!$C$13*$D2379</f>
        <v/>
      </c>
      <c r="R2379" s="16">
        <f>R2370*Settings!$C$13*$D2379</f>
        <v/>
      </c>
      <c r="S2379" s="16">
        <f>S2370*Settings!$C$13*$D2379</f>
        <v/>
      </c>
      <c r="T2379" s="16">
        <f>T2370*Settings!$C$13*$D2379</f>
        <v/>
      </c>
      <c r="U2379" s="16">
        <f>U2370*Settings!$C$13*$D2379</f>
        <v/>
      </c>
      <c r="V2379" s="16">
        <f>V2370*Settings!$C$13*$D2379</f>
        <v/>
      </c>
      <c r="W2379" s="16">
        <f>W2370*Settings!$C$13*$D2379</f>
        <v/>
      </c>
      <c r="X2379" s="16">
        <f>X2370*Settings!$C$13*$D2379</f>
        <v/>
      </c>
      <c r="Y2379" s="16">
        <f>Y2370*Settings!$C$13*$D2379</f>
        <v/>
      </c>
      <c r="Z2379" s="16">
        <f>Z2370*Settings!$C$13*$D2379</f>
        <v/>
      </c>
      <c r="AA2379" s="16">
        <f>AA2370*Settings!$C$13*$D2379</f>
        <v/>
      </c>
      <c r="AB2379" s="16">
        <f>AB2370*Settings!$C$13*$D2379</f>
        <v/>
      </c>
      <c r="AC2379" s="16">
        <f>AC2370*Settings!$C$13*$D2379</f>
        <v/>
      </c>
      <c r="AD2379" s="16">
        <f>AD2370*Settings!$C$13*$D2379</f>
        <v/>
      </c>
      <c r="AE2379" s="49">
        <f>EMISSIONS(AE2370,Settings!$C$13,$D2379)</f>
        <v/>
      </c>
      <c r="AG2379" s="11">
        <f>CodePrefix&amp;$A2379&amp;IF($C2379="","","."&amp;$C2379&amp;"."&amp;$B2379)&amp;INDEX(VarEnd,MATCH($A2379,VarKey,0))&amp;AG$5</f>
        <v/>
      </c>
      <c r="AH2379" s="15">
        <f>AH2370*Settings!$C$13*$D2379</f>
        <v/>
      </c>
      <c r="AI2379" s="16">
        <f>AI2370*Settings!$C$13*$D2379</f>
        <v/>
      </c>
      <c r="AJ2379" s="16">
        <f>AJ2370*Settings!$C$13*$D2379</f>
        <v/>
      </c>
      <c r="AK2379" s="16">
        <f>AK2370*Settings!$C$13*$D2379</f>
        <v/>
      </c>
      <c r="AL2379" s="16">
        <f>AL2370*Settings!$C$13*$D2379</f>
        <v/>
      </c>
      <c r="AM2379" s="16">
        <f>AM2370*Settings!$C$13*$D2379</f>
        <v/>
      </c>
      <c r="AN2379" s="16">
        <f>AN2370*Settings!$C$13*$D2379</f>
        <v/>
      </c>
      <c r="AO2379" s="16">
        <f>AO2370*Settings!$C$13*$D2379</f>
        <v/>
      </c>
      <c r="AP2379" s="16">
        <f>AP2370*Settings!$C$13*$D2379</f>
        <v/>
      </c>
      <c r="AQ2379" s="16">
        <f>AQ2370*Settings!$C$13*$D2379</f>
        <v/>
      </c>
      <c r="AR2379" s="16">
        <f>AR2370*Settings!$C$13*$D2379</f>
        <v/>
      </c>
      <c r="AS2379" s="16">
        <f>AS2370*Settings!$C$13*$D2379</f>
        <v/>
      </c>
      <c r="AT2379" s="16">
        <f>AT2370*Settings!$C$13*$D2379</f>
        <v/>
      </c>
      <c r="AU2379" s="16">
        <f>AU2370*Settings!$C$13*$D2379</f>
        <v/>
      </c>
      <c r="AV2379" s="16">
        <f>AV2370*Settings!$C$13*$D2379</f>
        <v/>
      </c>
      <c r="AW2379" s="16">
        <f>AW2370*Settings!$C$13*$D2379</f>
        <v/>
      </c>
      <c r="AX2379" s="16">
        <f>AX2370*Settings!$C$13*$D2379</f>
        <v/>
      </c>
      <c r="AY2379" s="16">
        <f>AY2370*Settings!$C$13*$D2379</f>
        <v/>
      </c>
      <c r="AZ2379" s="16">
        <f>AZ2370*Settings!$C$13*$D2379</f>
        <v/>
      </c>
      <c r="BA2379" s="49">
        <f>EMISSIONS(BA2370,Settings!$C$13,$D2379)</f>
        <v/>
      </c>
    </row>
    <row r="2380" hidden="1" outlineLevel="2">
      <c r="A2380" s="14" t="inlineStr">
        <is>
          <t>co2</t>
        </is>
      </c>
      <c r="B2380" s="14" t="inlineStr">
        <is>
          <t>oop</t>
        </is>
      </c>
      <c r="C2380" s="14" t="inlineStr">
        <is>
          <t>mac</t>
        </is>
      </c>
      <c r="D2380" s="35">
        <f>INDEX(Inputs!$W$5:$W$132,MATCH($B2380&amp;"|"&amp;$C2380,Inputs!$A$5:$A$132,0))</f>
        <v/>
      </c>
      <c r="E2380" s="39" t="n"/>
      <c r="F2380" s="39" t="n"/>
      <c r="G2380" s="39" t="n"/>
      <c r="H2380" s="14">
        <f>INDEX(VarLab,MATCH($A2380,VarKey,0))&amp;INDEX(MemLab,MATCH($C2380&amp;"|"&amp;$B2380,MemKey,0))</f>
        <v/>
      </c>
      <c r="I2380" s="14">
        <f>INDEX(VarUnit,MATCH($A2380,VarKey,0))</f>
        <v/>
      </c>
      <c r="J2380" s="14">
        <f>INDEX(VarSrc,MATCH($A2380,VarKey,0))</f>
        <v/>
      </c>
      <c r="K2380" s="11">
        <f>CodePrefix&amp;$A2380&amp;IF($C2380="","","."&amp;$C2380&amp;"."&amp;$B2380)&amp;INDEX(VarEnd,MATCH($A2380,VarKey,0))&amp;K$5</f>
        <v/>
      </c>
      <c r="L2380" s="15">
        <f>L2371*Settings!$C$13*$D2380</f>
        <v/>
      </c>
      <c r="M2380" s="16">
        <f>M2371*Settings!$C$13*$D2380</f>
        <v/>
      </c>
      <c r="N2380" s="16">
        <f>N2371*Settings!$C$13*$D2380</f>
        <v/>
      </c>
      <c r="O2380" s="16">
        <f>O2371*Settings!$C$13*$D2380</f>
        <v/>
      </c>
      <c r="P2380" s="16">
        <f>P2371*Settings!$C$13*$D2380</f>
        <v/>
      </c>
      <c r="Q2380" s="16">
        <f>Q2371*Settings!$C$13*$D2380</f>
        <v/>
      </c>
      <c r="R2380" s="16">
        <f>R2371*Settings!$C$13*$D2380</f>
        <v/>
      </c>
      <c r="S2380" s="16">
        <f>S2371*Settings!$C$13*$D2380</f>
        <v/>
      </c>
      <c r="T2380" s="16">
        <f>T2371*Settings!$C$13*$D2380</f>
        <v/>
      </c>
      <c r="U2380" s="16">
        <f>U2371*Settings!$C$13*$D2380</f>
        <v/>
      </c>
      <c r="V2380" s="16">
        <f>V2371*Settings!$C$13*$D2380</f>
        <v/>
      </c>
      <c r="W2380" s="16">
        <f>W2371*Settings!$C$13*$D2380</f>
        <v/>
      </c>
      <c r="X2380" s="16">
        <f>X2371*Settings!$C$13*$D2380</f>
        <v/>
      </c>
      <c r="Y2380" s="16">
        <f>Y2371*Settings!$C$13*$D2380</f>
        <v/>
      </c>
      <c r="Z2380" s="16">
        <f>Z2371*Settings!$C$13*$D2380</f>
        <v/>
      </c>
      <c r="AA2380" s="16">
        <f>AA2371*Settings!$C$13*$D2380</f>
        <v/>
      </c>
      <c r="AB2380" s="16">
        <f>AB2371*Settings!$C$13*$D2380</f>
        <v/>
      </c>
      <c r="AC2380" s="16">
        <f>AC2371*Settings!$C$13*$D2380</f>
        <v/>
      </c>
      <c r="AD2380" s="16">
        <f>AD2371*Settings!$C$13*$D2380</f>
        <v/>
      </c>
      <c r="AE2380" s="49">
        <f>EMISSIONS(AE2371,Settings!$C$13,$D2380)</f>
        <v/>
      </c>
      <c r="AG2380" s="11">
        <f>CodePrefix&amp;$A2380&amp;IF($C2380="","","."&amp;$C2380&amp;"."&amp;$B2380)&amp;INDEX(VarEnd,MATCH($A2380,VarKey,0))&amp;AG$5</f>
        <v/>
      </c>
      <c r="AH2380" s="15">
        <f>AH2371*Settings!$C$13*$D2380</f>
        <v/>
      </c>
      <c r="AI2380" s="16">
        <f>AI2371*Settings!$C$13*$D2380</f>
        <v/>
      </c>
      <c r="AJ2380" s="16">
        <f>AJ2371*Settings!$C$13*$D2380</f>
        <v/>
      </c>
      <c r="AK2380" s="16">
        <f>AK2371*Settings!$C$13*$D2380</f>
        <v/>
      </c>
      <c r="AL2380" s="16">
        <f>AL2371*Settings!$C$13*$D2380</f>
        <v/>
      </c>
      <c r="AM2380" s="16">
        <f>AM2371*Settings!$C$13*$D2380</f>
        <v/>
      </c>
      <c r="AN2380" s="16">
        <f>AN2371*Settings!$C$13*$D2380</f>
        <v/>
      </c>
      <c r="AO2380" s="16">
        <f>AO2371*Settings!$C$13*$D2380</f>
        <v/>
      </c>
      <c r="AP2380" s="16">
        <f>AP2371*Settings!$C$13*$D2380</f>
        <v/>
      </c>
      <c r="AQ2380" s="16">
        <f>AQ2371*Settings!$C$13*$D2380</f>
        <v/>
      </c>
      <c r="AR2380" s="16">
        <f>AR2371*Settings!$C$13*$D2380</f>
        <v/>
      </c>
      <c r="AS2380" s="16">
        <f>AS2371*Settings!$C$13*$D2380</f>
        <v/>
      </c>
      <c r="AT2380" s="16">
        <f>AT2371*Settings!$C$13*$D2380</f>
        <v/>
      </c>
      <c r="AU2380" s="16">
        <f>AU2371*Settings!$C$13*$D2380</f>
        <v/>
      </c>
      <c r="AV2380" s="16">
        <f>AV2371*Settings!$C$13*$D2380</f>
        <v/>
      </c>
      <c r="AW2380" s="16">
        <f>AW2371*Settings!$C$13*$D2380</f>
        <v/>
      </c>
      <c r="AX2380" s="16">
        <f>AX2371*Settings!$C$13*$D2380</f>
        <v/>
      </c>
      <c r="AY2380" s="16">
        <f>AY2371*Settings!$C$13*$D2380</f>
        <v/>
      </c>
      <c r="AZ2380" s="16">
        <f>AZ2371*Settings!$C$13*$D2380</f>
        <v/>
      </c>
      <c r="BA2380" s="49">
        <f>EMISSIONS(BA2371,Settings!$C$13,$D2380)</f>
        <v/>
      </c>
    </row>
    <row r="2381" hidden="1" outlineLevel="2">
      <c r="A2381" s="14" t="inlineStr">
        <is>
          <t>co2</t>
        </is>
      </c>
      <c r="B2381" s="14" t="inlineStr">
        <is>
          <t>bio</t>
        </is>
      </c>
      <c r="C2381" s="14" t="inlineStr">
        <is>
          <t>mac</t>
        </is>
      </c>
      <c r="D2381" s="35">
        <f>INDEX(Inputs!$W$5:$W$132,MATCH($B2381&amp;"|"&amp;$C2381,Inputs!$A$5:$A$132,0))</f>
        <v/>
      </c>
      <c r="E2381" s="39" t="n"/>
      <c r="F2381" s="39" t="n"/>
      <c r="G2381" s="39" t="n"/>
      <c r="H2381" s="14">
        <f>INDEX(VarLab,MATCH($A2381,VarKey,0))&amp;INDEX(MemLab,MATCH($C2381&amp;"|"&amp;$B2381,MemKey,0))</f>
        <v/>
      </c>
      <c r="I2381" s="14">
        <f>INDEX(VarUnit,MATCH($A2381,VarKey,0))</f>
        <v/>
      </c>
      <c r="J2381" s="14">
        <f>INDEX(VarSrc,MATCH($A2381,VarKey,0))</f>
        <v/>
      </c>
      <c r="K2381" s="11">
        <f>CodePrefix&amp;$A2381&amp;IF($C2381="","","."&amp;$C2381&amp;"."&amp;$B2381)&amp;INDEX(VarEnd,MATCH($A2381,VarKey,0))&amp;K$5</f>
        <v/>
      </c>
      <c r="L2381" s="15">
        <f>L2372*Settings!$C$13*$D2381</f>
        <v/>
      </c>
      <c r="M2381" s="16">
        <f>M2372*Settings!$C$13*$D2381</f>
        <v/>
      </c>
      <c r="N2381" s="16">
        <f>N2372*Settings!$C$13*$D2381</f>
        <v/>
      </c>
      <c r="O2381" s="16">
        <f>O2372*Settings!$C$13*$D2381</f>
        <v/>
      </c>
      <c r="P2381" s="16">
        <f>P2372*Settings!$C$13*$D2381</f>
        <v/>
      </c>
      <c r="Q2381" s="16">
        <f>Q2372*Settings!$C$13*$D2381</f>
        <v/>
      </c>
      <c r="R2381" s="16">
        <f>R2372*Settings!$C$13*$D2381</f>
        <v/>
      </c>
      <c r="S2381" s="16">
        <f>S2372*Settings!$C$13*$D2381</f>
        <v/>
      </c>
      <c r="T2381" s="16">
        <f>T2372*Settings!$C$13*$D2381</f>
        <v/>
      </c>
      <c r="U2381" s="16">
        <f>U2372*Settings!$C$13*$D2381</f>
        <v/>
      </c>
      <c r="V2381" s="16">
        <f>V2372*Settings!$C$13*$D2381</f>
        <v/>
      </c>
      <c r="W2381" s="16">
        <f>W2372*Settings!$C$13*$D2381</f>
        <v/>
      </c>
      <c r="X2381" s="16">
        <f>X2372*Settings!$C$13*$D2381</f>
        <v/>
      </c>
      <c r="Y2381" s="16">
        <f>Y2372*Settings!$C$13*$D2381</f>
        <v/>
      </c>
      <c r="Z2381" s="16">
        <f>Z2372*Settings!$C$13*$D2381</f>
        <v/>
      </c>
      <c r="AA2381" s="16">
        <f>AA2372*Settings!$C$13*$D2381</f>
        <v/>
      </c>
      <c r="AB2381" s="16">
        <f>AB2372*Settings!$C$13*$D2381</f>
        <v/>
      </c>
      <c r="AC2381" s="16">
        <f>AC2372*Settings!$C$13*$D2381</f>
        <v/>
      </c>
      <c r="AD2381" s="16">
        <f>AD2372*Settings!$C$13*$D2381</f>
        <v/>
      </c>
      <c r="AE2381" s="49">
        <f>EMISSIONS(AE2372,Settings!$C$13,$D2381)</f>
        <v/>
      </c>
      <c r="AG2381" s="11">
        <f>CodePrefix&amp;$A2381&amp;IF($C2381="","","."&amp;$C2381&amp;"."&amp;$B2381)&amp;INDEX(VarEnd,MATCH($A2381,VarKey,0))&amp;AG$5</f>
        <v/>
      </c>
      <c r="AH2381" s="15">
        <f>AH2372*Settings!$C$13*$D2381</f>
        <v/>
      </c>
      <c r="AI2381" s="16">
        <f>AI2372*Settings!$C$13*$D2381</f>
        <v/>
      </c>
      <c r="AJ2381" s="16">
        <f>AJ2372*Settings!$C$13*$D2381</f>
        <v/>
      </c>
      <c r="AK2381" s="16">
        <f>AK2372*Settings!$C$13*$D2381</f>
        <v/>
      </c>
      <c r="AL2381" s="16">
        <f>AL2372*Settings!$C$13*$D2381</f>
        <v/>
      </c>
      <c r="AM2381" s="16">
        <f>AM2372*Settings!$C$13*$D2381</f>
        <v/>
      </c>
      <c r="AN2381" s="16">
        <f>AN2372*Settings!$C$13*$D2381</f>
        <v/>
      </c>
      <c r="AO2381" s="16">
        <f>AO2372*Settings!$C$13*$D2381</f>
        <v/>
      </c>
      <c r="AP2381" s="16">
        <f>AP2372*Settings!$C$13*$D2381</f>
        <v/>
      </c>
      <c r="AQ2381" s="16">
        <f>AQ2372*Settings!$C$13*$D2381</f>
        <v/>
      </c>
      <c r="AR2381" s="16">
        <f>AR2372*Settings!$C$13*$D2381</f>
        <v/>
      </c>
      <c r="AS2381" s="16">
        <f>AS2372*Settings!$C$13*$D2381</f>
        <v/>
      </c>
      <c r="AT2381" s="16">
        <f>AT2372*Settings!$C$13*$D2381</f>
        <v/>
      </c>
      <c r="AU2381" s="16">
        <f>AU2372*Settings!$C$13*$D2381</f>
        <v/>
      </c>
      <c r="AV2381" s="16">
        <f>AV2372*Settings!$C$13*$D2381</f>
        <v/>
      </c>
      <c r="AW2381" s="16">
        <f>AW2372*Settings!$C$13*$D2381</f>
        <v/>
      </c>
      <c r="AX2381" s="16">
        <f>AX2372*Settings!$C$13*$D2381</f>
        <v/>
      </c>
      <c r="AY2381" s="16">
        <f>AY2372*Settings!$C$13*$D2381</f>
        <v/>
      </c>
      <c r="AZ2381" s="16">
        <f>AZ2372*Settings!$C$13*$D2381</f>
        <v/>
      </c>
      <c r="BA2381" s="49">
        <f>EMISSIONS(BA2372,Settings!$C$13,$D2381)</f>
        <v/>
      </c>
    </row>
    <row r="2382" hidden="1" outlineLevel="2"/>
    <row r="2383" hidden="1" outlineLevel="2">
      <c r="A2383" s="14" t="inlineStr">
        <is>
          <t>rtx</t>
        </is>
      </c>
      <c r="B2383" s="14" t="inlineStr">
        <is>
          <t>coa</t>
        </is>
      </c>
      <c r="C2383" s="14" t="inlineStr">
        <is>
          <t>mac</t>
        </is>
      </c>
      <c r="D2383" s="35">
        <f>INDEX(Inputs!$U$5:$U$132,MATCH($B2383&amp;"|"&amp;$C2383,Inputs!$A$5:$A$132,0))</f>
        <v/>
      </c>
      <c r="E2383" s="35">
        <f>INDEX(Inputs!$V$5:$V$132,MATCH($B2383&amp;"|"&amp;$C2383,Inputs!$A$5:$A$132,0))</f>
        <v/>
      </c>
      <c r="F2383" s="39" t="n"/>
      <c r="G2383" s="39" t="n"/>
      <c r="H2383" s="14">
        <f>INDEX(VarLab,MATCH($A2383,VarKey,0))&amp;INDEX(MemLab,MATCH($C2383&amp;"|"&amp;$B2383,MemKey,0))</f>
        <v/>
      </c>
      <c r="I2383" s="14">
        <f>INDEX(VarUnit,MATCH($A2383,VarKey,0))</f>
        <v/>
      </c>
      <c r="J2383" s="14">
        <f>INDEX(VarSrc,MATCH($A2383,VarKey,0))</f>
        <v/>
      </c>
      <c r="K2383" s="11">
        <f>CodePrefix&amp;$A2383&amp;IF($C2383="","","."&amp;$C2383&amp;"."&amp;$B2383)&amp;INDEX(VarEnd,MATCH($A2383,VarKey,0))&amp;K$5</f>
        <v/>
      </c>
      <c r="L2383" s="43">
        <f>L2365*Settings!$C$13*(INDEX(L$407:L$418,$D2383)+INDEX(L$394:L$405,$D2383)+L2338*(1+$E2383))</f>
        <v/>
      </c>
      <c r="M2383" s="44">
        <f>M2365*Settings!$C$13*(INDEX(M$407:M$418,$D2383)+INDEX(M$394:M$405,$D2383)+M2338*(1+$E2383))</f>
        <v/>
      </c>
      <c r="N2383" s="44">
        <f>N2365*Settings!$C$13*(INDEX(N$407:N$418,$D2383)+INDEX(N$394:N$405,$D2383)+N2338*(1+$E2383))</f>
        <v/>
      </c>
      <c r="O2383" s="44">
        <f>O2365*Settings!$C$13*(INDEX(O$407:O$418,$D2383)+INDEX(O$394:O$405,$D2383)+O2338*(1+$E2383))</f>
        <v/>
      </c>
      <c r="P2383" s="44">
        <f>P2365*Settings!$C$13*(INDEX(P$407:P$418,$D2383)+INDEX(P$394:P$405,$D2383)+P2338*(1+$E2383))</f>
        <v/>
      </c>
      <c r="Q2383" s="44">
        <f>Q2365*Settings!$C$13*(INDEX(Q$407:Q$418,$D2383)+INDEX(Q$394:Q$405,$D2383)+Q2338*(1+$E2383))</f>
        <v/>
      </c>
      <c r="R2383" s="44">
        <f>R2365*Settings!$C$13*(INDEX(R$407:R$418,$D2383)+INDEX(R$394:R$405,$D2383)+R2338*(1+$E2383))</f>
        <v/>
      </c>
      <c r="S2383" s="44">
        <f>S2365*Settings!$C$13*(INDEX(S$407:S$418,$D2383)+INDEX(S$394:S$405,$D2383)+S2338*(1+$E2383))</f>
        <v/>
      </c>
      <c r="T2383" s="44">
        <f>T2365*Settings!$C$13*(INDEX(T$407:T$418,$D2383)+INDEX(T$394:T$405,$D2383)+T2338*(1+$E2383))</f>
        <v/>
      </c>
      <c r="U2383" s="44">
        <f>U2365*Settings!$C$13*(INDEX(U$407:U$418,$D2383)+INDEX(U$394:U$405,$D2383)+U2338*(1+$E2383))</f>
        <v/>
      </c>
      <c r="V2383" s="44">
        <f>V2365*Settings!$C$13*(INDEX(V$407:V$418,$D2383)+INDEX(V$394:V$405,$D2383)+V2338*(1+$E2383))</f>
        <v/>
      </c>
      <c r="W2383" s="44">
        <f>W2365*Settings!$C$13*(INDEX(W$407:W$418,$D2383)+INDEX(W$394:W$405,$D2383)+W2338*(1+$E2383))</f>
        <v/>
      </c>
      <c r="X2383" s="44">
        <f>X2365*Settings!$C$13*(INDEX(X$407:X$418,$D2383)+INDEX(X$394:X$405,$D2383)+X2338*(1+$E2383))</f>
        <v/>
      </c>
      <c r="Y2383" s="44">
        <f>Y2365*Settings!$C$13*(INDEX(Y$407:Y$418,$D2383)+INDEX(Y$394:Y$405,$D2383)+Y2338*(1+$E2383))</f>
        <v/>
      </c>
      <c r="Z2383" s="44">
        <f>Z2365*Settings!$C$13*(INDEX(Z$407:Z$418,$D2383)+INDEX(Z$394:Z$405,$D2383)+Z2338*(1+$E2383))</f>
        <v/>
      </c>
      <c r="AA2383" s="44">
        <f>AA2365*Settings!$C$13*(INDEX(AA$407:AA$418,$D2383)+INDEX(AA$394:AA$405,$D2383)+AA2338*(1+$E2383))</f>
        <v/>
      </c>
      <c r="AB2383" s="44">
        <f>AB2365*Settings!$C$13*(INDEX(AB$407:AB$418,$D2383)+INDEX(AB$394:AB$405,$D2383)+AB2338*(1+$E2383))</f>
        <v/>
      </c>
      <c r="AC2383" s="44">
        <f>AC2365*Settings!$C$13*(INDEX(AC$407:AC$418,$D2383)+INDEX(AC$394:AC$405,$D2383)+AC2338*(1+$E2383))</f>
        <v/>
      </c>
      <c r="AD2383" s="44">
        <f>AD2365*Settings!$C$13*(INDEX(AD$407:AD$418,$D2383)+INDEX(AD$394:AD$405,$D2383)+AD2338*(1+$E2383))</f>
        <v/>
      </c>
      <c r="AE2383" s="57">
        <f>REVENUE(AE2365,Settings!$C$13,INDEX(AE$407:AE$418,$D2383)+INDEX(AE$394:AE$405,$D2383)+AE2338*(1+$E2383))</f>
        <v/>
      </c>
      <c r="AG2383" s="11">
        <f>CodePrefix&amp;$A2383&amp;IF($C2383="","","."&amp;$C2383&amp;"."&amp;$B2383)&amp;INDEX(VarEnd,MATCH($A2383,VarKey,0))&amp;AG$5</f>
        <v/>
      </c>
      <c r="AH2383" s="43">
        <f>AH2365*Settings!$C$13*(INDEX(AH$407:AH$418,$D2383)+INDEX(AH$394:AH$405,$D2383)+AH2338*(1+$E2383))</f>
        <v/>
      </c>
      <c r="AI2383" s="44">
        <f>AI2365*Settings!$C$13*(INDEX(AI$407:AI$418,$D2383)+INDEX(AI$394:AI$405,$D2383)+AI2338*(1+$E2383))</f>
        <v/>
      </c>
      <c r="AJ2383" s="44">
        <f>AJ2365*Settings!$C$13*(INDEX(AJ$407:AJ$418,$D2383)+INDEX(AJ$394:AJ$405,$D2383)+AJ2338*(1+$E2383))</f>
        <v/>
      </c>
      <c r="AK2383" s="44">
        <f>AK2365*Settings!$C$13*(INDEX(AK$407:AK$418,$D2383)+INDEX(AK$394:AK$405,$D2383)+AK2338*(1+$E2383))</f>
        <v/>
      </c>
      <c r="AL2383" s="44">
        <f>AL2365*Settings!$C$13*(INDEX(AL$407:AL$418,$D2383)+INDEX(AL$394:AL$405,$D2383)+AL2338*(1+$E2383))</f>
        <v/>
      </c>
      <c r="AM2383" s="44">
        <f>AM2365*Settings!$C$13*(INDEX(AM$407:AM$418,$D2383)+INDEX(AM$394:AM$405,$D2383)+AM2338*(1+$E2383))</f>
        <v/>
      </c>
      <c r="AN2383" s="44">
        <f>AN2365*Settings!$C$13*(INDEX(AN$407:AN$418,$D2383)+INDEX(AN$394:AN$405,$D2383)+AN2338*(1+$E2383))</f>
        <v/>
      </c>
      <c r="AO2383" s="44">
        <f>AO2365*Settings!$C$13*(INDEX(AO$407:AO$418,$D2383)+INDEX(AO$394:AO$405,$D2383)+AO2338*(1+$E2383))</f>
        <v/>
      </c>
      <c r="AP2383" s="44">
        <f>AP2365*Settings!$C$13*(INDEX(AP$407:AP$418,$D2383)+INDEX(AP$394:AP$405,$D2383)+AP2338*(1+$E2383))</f>
        <v/>
      </c>
      <c r="AQ2383" s="44">
        <f>AQ2365*Settings!$C$13*(INDEX(AQ$407:AQ$418,$D2383)+INDEX(AQ$394:AQ$405,$D2383)+AQ2338*(1+$E2383))</f>
        <v/>
      </c>
      <c r="AR2383" s="44">
        <f>AR2365*Settings!$C$13*(INDEX(AR$407:AR$418,$D2383)+INDEX(AR$394:AR$405,$D2383)+AR2338*(1+$E2383))</f>
        <v/>
      </c>
      <c r="AS2383" s="44">
        <f>AS2365*Settings!$C$13*(INDEX(AS$407:AS$418,$D2383)+INDEX(AS$394:AS$405,$D2383)+AS2338*(1+$E2383))</f>
        <v/>
      </c>
      <c r="AT2383" s="44">
        <f>AT2365*Settings!$C$13*(INDEX(AT$407:AT$418,$D2383)+INDEX(AT$394:AT$405,$D2383)+AT2338*(1+$E2383))</f>
        <v/>
      </c>
      <c r="AU2383" s="44">
        <f>AU2365*Settings!$C$13*(INDEX(AU$407:AU$418,$D2383)+INDEX(AU$394:AU$405,$D2383)+AU2338*(1+$E2383))</f>
        <v/>
      </c>
      <c r="AV2383" s="44">
        <f>AV2365*Settings!$C$13*(INDEX(AV$407:AV$418,$D2383)+INDEX(AV$394:AV$405,$D2383)+AV2338*(1+$E2383))</f>
        <v/>
      </c>
      <c r="AW2383" s="44">
        <f>AW2365*Settings!$C$13*(INDEX(AW$407:AW$418,$D2383)+INDEX(AW$394:AW$405,$D2383)+AW2338*(1+$E2383))</f>
        <v/>
      </c>
      <c r="AX2383" s="44">
        <f>AX2365*Settings!$C$13*(INDEX(AX$407:AX$418,$D2383)+INDEX(AX$394:AX$405,$D2383)+AX2338*(1+$E2383))</f>
        <v/>
      </c>
      <c r="AY2383" s="44">
        <f>AY2365*Settings!$C$13*(INDEX(AY$407:AY$418,$D2383)+INDEX(AY$394:AY$405,$D2383)+AY2338*(1+$E2383))</f>
        <v/>
      </c>
      <c r="AZ2383" s="44">
        <f>AZ2365*Settings!$C$13*(INDEX(AZ$407:AZ$418,$D2383)+INDEX(AZ$394:AZ$405,$D2383)+AZ2338*(1+$E2383))</f>
        <v/>
      </c>
      <c r="BA2383" s="57">
        <f>REVENUE(BA2365,Settings!$C$13,INDEX(BA$407:BA$418,$D2383)+INDEX(BA$394:BA$405,$D2383)+BA2338*(1+$E2383))</f>
        <v/>
      </c>
    </row>
    <row r="2384" hidden="1" outlineLevel="2">
      <c r="A2384" s="14" t="inlineStr">
        <is>
          <t>rtx</t>
        </is>
      </c>
      <c r="B2384" s="14" t="inlineStr">
        <is>
          <t>nga</t>
        </is>
      </c>
      <c r="C2384" s="14" t="inlineStr">
        <is>
          <t>mac</t>
        </is>
      </c>
      <c r="D2384" s="35">
        <f>INDEX(Inputs!$U$5:$U$132,MATCH($B2384&amp;"|"&amp;$C2384,Inputs!$A$5:$A$132,0))</f>
        <v/>
      </c>
      <c r="E2384" s="35">
        <f>INDEX(Inputs!$V$5:$V$132,MATCH($B2384&amp;"|"&amp;$C2384,Inputs!$A$5:$A$132,0))</f>
        <v/>
      </c>
      <c r="F2384" s="39" t="n"/>
      <c r="G2384" s="39" t="n"/>
      <c r="H2384" s="14">
        <f>INDEX(VarLab,MATCH($A2384,VarKey,0))&amp;INDEX(MemLab,MATCH($C2384&amp;"|"&amp;$B2384,MemKey,0))</f>
        <v/>
      </c>
      <c r="I2384" s="14">
        <f>INDEX(VarUnit,MATCH($A2384,VarKey,0))</f>
        <v/>
      </c>
      <c r="J2384" s="14">
        <f>INDEX(VarSrc,MATCH($A2384,VarKey,0))</f>
        <v/>
      </c>
      <c r="K2384" s="11">
        <f>CodePrefix&amp;$A2384&amp;IF($C2384="","","."&amp;$C2384&amp;"."&amp;$B2384)&amp;INDEX(VarEnd,MATCH($A2384,VarKey,0))&amp;K$5</f>
        <v/>
      </c>
      <c r="L2384" s="43">
        <f>L2366*Settings!$C$13*(INDEX(L$407:L$418,$D2384)+INDEX(L$394:L$405,$D2384)+L2339*(1+$E2384))</f>
        <v/>
      </c>
      <c r="M2384" s="44">
        <f>M2366*Settings!$C$13*(INDEX(M$407:M$418,$D2384)+INDEX(M$394:M$405,$D2384)+M2339*(1+$E2384))</f>
        <v/>
      </c>
      <c r="N2384" s="44">
        <f>N2366*Settings!$C$13*(INDEX(N$407:N$418,$D2384)+INDEX(N$394:N$405,$D2384)+N2339*(1+$E2384))</f>
        <v/>
      </c>
      <c r="O2384" s="44">
        <f>O2366*Settings!$C$13*(INDEX(O$407:O$418,$D2384)+INDEX(O$394:O$405,$D2384)+O2339*(1+$E2384))</f>
        <v/>
      </c>
      <c r="P2384" s="44">
        <f>P2366*Settings!$C$13*(INDEX(P$407:P$418,$D2384)+INDEX(P$394:P$405,$D2384)+P2339*(1+$E2384))</f>
        <v/>
      </c>
      <c r="Q2384" s="44">
        <f>Q2366*Settings!$C$13*(INDEX(Q$407:Q$418,$D2384)+INDEX(Q$394:Q$405,$D2384)+Q2339*(1+$E2384))</f>
        <v/>
      </c>
      <c r="R2384" s="44">
        <f>R2366*Settings!$C$13*(INDEX(R$407:R$418,$D2384)+INDEX(R$394:R$405,$D2384)+R2339*(1+$E2384))</f>
        <v/>
      </c>
      <c r="S2384" s="44">
        <f>S2366*Settings!$C$13*(INDEX(S$407:S$418,$D2384)+INDEX(S$394:S$405,$D2384)+S2339*(1+$E2384))</f>
        <v/>
      </c>
      <c r="T2384" s="44">
        <f>T2366*Settings!$C$13*(INDEX(T$407:T$418,$D2384)+INDEX(T$394:T$405,$D2384)+T2339*(1+$E2384))</f>
        <v/>
      </c>
      <c r="U2384" s="44">
        <f>U2366*Settings!$C$13*(INDEX(U$407:U$418,$D2384)+INDEX(U$394:U$405,$D2384)+U2339*(1+$E2384))</f>
        <v/>
      </c>
      <c r="V2384" s="44">
        <f>V2366*Settings!$C$13*(INDEX(V$407:V$418,$D2384)+INDEX(V$394:V$405,$D2384)+V2339*(1+$E2384))</f>
        <v/>
      </c>
      <c r="W2384" s="44">
        <f>W2366*Settings!$C$13*(INDEX(W$407:W$418,$D2384)+INDEX(W$394:W$405,$D2384)+W2339*(1+$E2384))</f>
        <v/>
      </c>
      <c r="X2384" s="44">
        <f>X2366*Settings!$C$13*(INDEX(X$407:X$418,$D2384)+INDEX(X$394:X$405,$D2384)+X2339*(1+$E2384))</f>
        <v/>
      </c>
      <c r="Y2384" s="44">
        <f>Y2366*Settings!$C$13*(INDEX(Y$407:Y$418,$D2384)+INDEX(Y$394:Y$405,$D2384)+Y2339*(1+$E2384))</f>
        <v/>
      </c>
      <c r="Z2384" s="44">
        <f>Z2366*Settings!$C$13*(INDEX(Z$407:Z$418,$D2384)+INDEX(Z$394:Z$405,$D2384)+Z2339*(1+$E2384))</f>
        <v/>
      </c>
      <c r="AA2384" s="44">
        <f>AA2366*Settings!$C$13*(INDEX(AA$407:AA$418,$D2384)+INDEX(AA$394:AA$405,$D2384)+AA2339*(1+$E2384))</f>
        <v/>
      </c>
      <c r="AB2384" s="44">
        <f>AB2366*Settings!$C$13*(INDEX(AB$407:AB$418,$D2384)+INDEX(AB$394:AB$405,$D2384)+AB2339*(1+$E2384))</f>
        <v/>
      </c>
      <c r="AC2384" s="44">
        <f>AC2366*Settings!$C$13*(INDEX(AC$407:AC$418,$D2384)+INDEX(AC$394:AC$405,$D2384)+AC2339*(1+$E2384))</f>
        <v/>
      </c>
      <c r="AD2384" s="44">
        <f>AD2366*Settings!$C$13*(INDEX(AD$407:AD$418,$D2384)+INDEX(AD$394:AD$405,$D2384)+AD2339*(1+$E2384))</f>
        <v/>
      </c>
      <c r="AE2384" s="57">
        <f>REVENUE(AE2366,Settings!$C$13,INDEX(AE$407:AE$418,$D2384)+INDEX(AE$394:AE$405,$D2384)+AE2339*(1+$E2384))</f>
        <v/>
      </c>
      <c r="AG2384" s="11">
        <f>CodePrefix&amp;$A2384&amp;IF($C2384="","","."&amp;$C2384&amp;"."&amp;$B2384)&amp;INDEX(VarEnd,MATCH($A2384,VarKey,0))&amp;AG$5</f>
        <v/>
      </c>
      <c r="AH2384" s="43">
        <f>AH2366*Settings!$C$13*(INDEX(AH$407:AH$418,$D2384)+INDEX(AH$394:AH$405,$D2384)+AH2339*(1+$E2384))</f>
        <v/>
      </c>
      <c r="AI2384" s="44">
        <f>AI2366*Settings!$C$13*(INDEX(AI$407:AI$418,$D2384)+INDEX(AI$394:AI$405,$D2384)+AI2339*(1+$E2384))</f>
        <v/>
      </c>
      <c r="AJ2384" s="44">
        <f>AJ2366*Settings!$C$13*(INDEX(AJ$407:AJ$418,$D2384)+INDEX(AJ$394:AJ$405,$D2384)+AJ2339*(1+$E2384))</f>
        <v/>
      </c>
      <c r="AK2384" s="44">
        <f>AK2366*Settings!$C$13*(INDEX(AK$407:AK$418,$D2384)+INDEX(AK$394:AK$405,$D2384)+AK2339*(1+$E2384))</f>
        <v/>
      </c>
      <c r="AL2384" s="44">
        <f>AL2366*Settings!$C$13*(INDEX(AL$407:AL$418,$D2384)+INDEX(AL$394:AL$405,$D2384)+AL2339*(1+$E2384))</f>
        <v/>
      </c>
      <c r="AM2384" s="44">
        <f>AM2366*Settings!$C$13*(INDEX(AM$407:AM$418,$D2384)+INDEX(AM$394:AM$405,$D2384)+AM2339*(1+$E2384))</f>
        <v/>
      </c>
      <c r="AN2384" s="44">
        <f>AN2366*Settings!$C$13*(INDEX(AN$407:AN$418,$D2384)+INDEX(AN$394:AN$405,$D2384)+AN2339*(1+$E2384))</f>
        <v/>
      </c>
      <c r="AO2384" s="44">
        <f>AO2366*Settings!$C$13*(INDEX(AO$407:AO$418,$D2384)+INDEX(AO$394:AO$405,$D2384)+AO2339*(1+$E2384))</f>
        <v/>
      </c>
      <c r="AP2384" s="44">
        <f>AP2366*Settings!$C$13*(INDEX(AP$407:AP$418,$D2384)+INDEX(AP$394:AP$405,$D2384)+AP2339*(1+$E2384))</f>
        <v/>
      </c>
      <c r="AQ2384" s="44">
        <f>AQ2366*Settings!$C$13*(INDEX(AQ$407:AQ$418,$D2384)+INDEX(AQ$394:AQ$405,$D2384)+AQ2339*(1+$E2384))</f>
        <v/>
      </c>
      <c r="AR2384" s="44">
        <f>AR2366*Settings!$C$13*(INDEX(AR$407:AR$418,$D2384)+INDEX(AR$394:AR$405,$D2384)+AR2339*(1+$E2384))</f>
        <v/>
      </c>
      <c r="AS2384" s="44">
        <f>AS2366*Settings!$C$13*(INDEX(AS$407:AS$418,$D2384)+INDEX(AS$394:AS$405,$D2384)+AS2339*(1+$E2384))</f>
        <v/>
      </c>
      <c r="AT2384" s="44">
        <f>AT2366*Settings!$C$13*(INDEX(AT$407:AT$418,$D2384)+INDEX(AT$394:AT$405,$D2384)+AT2339*(1+$E2384))</f>
        <v/>
      </c>
      <c r="AU2384" s="44">
        <f>AU2366*Settings!$C$13*(INDEX(AU$407:AU$418,$D2384)+INDEX(AU$394:AU$405,$D2384)+AU2339*(1+$E2384))</f>
        <v/>
      </c>
      <c r="AV2384" s="44">
        <f>AV2366*Settings!$C$13*(INDEX(AV$407:AV$418,$D2384)+INDEX(AV$394:AV$405,$D2384)+AV2339*(1+$E2384))</f>
        <v/>
      </c>
      <c r="AW2384" s="44">
        <f>AW2366*Settings!$C$13*(INDEX(AW$407:AW$418,$D2384)+INDEX(AW$394:AW$405,$D2384)+AW2339*(1+$E2384))</f>
        <v/>
      </c>
      <c r="AX2384" s="44">
        <f>AX2366*Settings!$C$13*(INDEX(AX$407:AX$418,$D2384)+INDEX(AX$394:AX$405,$D2384)+AX2339*(1+$E2384))</f>
        <v/>
      </c>
      <c r="AY2384" s="44">
        <f>AY2366*Settings!$C$13*(INDEX(AY$407:AY$418,$D2384)+INDEX(AY$394:AY$405,$D2384)+AY2339*(1+$E2384))</f>
        <v/>
      </c>
      <c r="AZ2384" s="44">
        <f>AZ2366*Settings!$C$13*(INDEX(AZ$407:AZ$418,$D2384)+INDEX(AZ$394:AZ$405,$D2384)+AZ2339*(1+$E2384))</f>
        <v/>
      </c>
      <c r="BA2384" s="57">
        <f>REVENUE(BA2366,Settings!$C$13,INDEX(BA$407:BA$418,$D2384)+INDEX(BA$394:BA$405,$D2384)+BA2339*(1+$E2384))</f>
        <v/>
      </c>
    </row>
    <row r="2385" hidden="1" outlineLevel="2">
      <c r="A2385" s="14" t="inlineStr">
        <is>
          <t>rtx</t>
        </is>
      </c>
      <c r="B2385" s="14" t="inlineStr">
        <is>
          <t>gso</t>
        </is>
      </c>
      <c r="C2385" s="14" t="inlineStr">
        <is>
          <t>mac</t>
        </is>
      </c>
      <c r="D2385" s="35">
        <f>INDEX(Inputs!$U$5:$U$132,MATCH($B2385&amp;"|"&amp;$C2385,Inputs!$A$5:$A$132,0))</f>
        <v/>
      </c>
      <c r="E2385" s="35">
        <f>INDEX(Inputs!$V$5:$V$132,MATCH($B2385&amp;"|"&amp;$C2385,Inputs!$A$5:$A$132,0))</f>
        <v/>
      </c>
      <c r="F2385" s="39" t="n"/>
      <c r="G2385" s="39" t="n"/>
      <c r="H2385" s="14">
        <f>INDEX(VarLab,MATCH($A2385,VarKey,0))&amp;INDEX(MemLab,MATCH($C2385&amp;"|"&amp;$B2385,MemKey,0))</f>
        <v/>
      </c>
      <c r="I2385" s="14">
        <f>INDEX(VarUnit,MATCH($A2385,VarKey,0))</f>
        <v/>
      </c>
      <c r="J2385" s="14">
        <f>INDEX(VarSrc,MATCH($A2385,VarKey,0))</f>
        <v/>
      </c>
      <c r="K2385" s="11">
        <f>CodePrefix&amp;$A2385&amp;IF($C2385="","","."&amp;$C2385&amp;"."&amp;$B2385)&amp;INDEX(VarEnd,MATCH($A2385,VarKey,0))&amp;K$5</f>
        <v/>
      </c>
      <c r="L2385" s="43">
        <f>L2367*Settings!$C$13*(INDEX(L$407:L$418,$D2385)+INDEX(L$394:L$405,$D2385)+L2340*(1+$E2385))</f>
        <v/>
      </c>
      <c r="M2385" s="44">
        <f>M2367*Settings!$C$13*(INDEX(M$407:M$418,$D2385)+INDEX(M$394:M$405,$D2385)+M2340*(1+$E2385))</f>
        <v/>
      </c>
      <c r="N2385" s="44">
        <f>N2367*Settings!$C$13*(INDEX(N$407:N$418,$D2385)+INDEX(N$394:N$405,$D2385)+N2340*(1+$E2385))</f>
        <v/>
      </c>
      <c r="O2385" s="44">
        <f>O2367*Settings!$C$13*(INDEX(O$407:O$418,$D2385)+INDEX(O$394:O$405,$D2385)+O2340*(1+$E2385))</f>
        <v/>
      </c>
      <c r="P2385" s="44">
        <f>P2367*Settings!$C$13*(INDEX(P$407:P$418,$D2385)+INDEX(P$394:P$405,$D2385)+P2340*(1+$E2385))</f>
        <v/>
      </c>
      <c r="Q2385" s="44">
        <f>Q2367*Settings!$C$13*(INDEX(Q$407:Q$418,$D2385)+INDEX(Q$394:Q$405,$D2385)+Q2340*(1+$E2385))</f>
        <v/>
      </c>
      <c r="R2385" s="44">
        <f>R2367*Settings!$C$13*(INDEX(R$407:R$418,$D2385)+INDEX(R$394:R$405,$D2385)+R2340*(1+$E2385))</f>
        <v/>
      </c>
      <c r="S2385" s="44">
        <f>S2367*Settings!$C$13*(INDEX(S$407:S$418,$D2385)+INDEX(S$394:S$405,$D2385)+S2340*(1+$E2385))</f>
        <v/>
      </c>
      <c r="T2385" s="44">
        <f>T2367*Settings!$C$13*(INDEX(T$407:T$418,$D2385)+INDEX(T$394:T$405,$D2385)+T2340*(1+$E2385))</f>
        <v/>
      </c>
      <c r="U2385" s="44">
        <f>U2367*Settings!$C$13*(INDEX(U$407:U$418,$D2385)+INDEX(U$394:U$405,$D2385)+U2340*(1+$E2385))</f>
        <v/>
      </c>
      <c r="V2385" s="44">
        <f>V2367*Settings!$C$13*(INDEX(V$407:V$418,$D2385)+INDEX(V$394:V$405,$D2385)+V2340*(1+$E2385))</f>
        <v/>
      </c>
      <c r="W2385" s="44">
        <f>W2367*Settings!$C$13*(INDEX(W$407:W$418,$D2385)+INDEX(W$394:W$405,$D2385)+W2340*(1+$E2385))</f>
        <v/>
      </c>
      <c r="X2385" s="44">
        <f>X2367*Settings!$C$13*(INDEX(X$407:X$418,$D2385)+INDEX(X$394:X$405,$D2385)+X2340*(1+$E2385))</f>
        <v/>
      </c>
      <c r="Y2385" s="44">
        <f>Y2367*Settings!$C$13*(INDEX(Y$407:Y$418,$D2385)+INDEX(Y$394:Y$405,$D2385)+Y2340*(1+$E2385))</f>
        <v/>
      </c>
      <c r="Z2385" s="44">
        <f>Z2367*Settings!$C$13*(INDEX(Z$407:Z$418,$D2385)+INDEX(Z$394:Z$405,$D2385)+Z2340*(1+$E2385))</f>
        <v/>
      </c>
      <c r="AA2385" s="44">
        <f>AA2367*Settings!$C$13*(INDEX(AA$407:AA$418,$D2385)+INDEX(AA$394:AA$405,$D2385)+AA2340*(1+$E2385))</f>
        <v/>
      </c>
      <c r="AB2385" s="44">
        <f>AB2367*Settings!$C$13*(INDEX(AB$407:AB$418,$D2385)+INDEX(AB$394:AB$405,$D2385)+AB2340*(1+$E2385))</f>
        <v/>
      </c>
      <c r="AC2385" s="44">
        <f>AC2367*Settings!$C$13*(INDEX(AC$407:AC$418,$D2385)+INDEX(AC$394:AC$405,$D2385)+AC2340*(1+$E2385))</f>
        <v/>
      </c>
      <c r="AD2385" s="44">
        <f>AD2367*Settings!$C$13*(INDEX(AD$407:AD$418,$D2385)+INDEX(AD$394:AD$405,$D2385)+AD2340*(1+$E2385))</f>
        <v/>
      </c>
      <c r="AE2385" s="57">
        <f>REVENUE(AE2367,Settings!$C$13,INDEX(AE$407:AE$418,$D2385)+INDEX(AE$394:AE$405,$D2385)+AE2340*(1+$E2385))</f>
        <v/>
      </c>
      <c r="AG2385" s="11">
        <f>CodePrefix&amp;$A2385&amp;IF($C2385="","","."&amp;$C2385&amp;"."&amp;$B2385)&amp;INDEX(VarEnd,MATCH($A2385,VarKey,0))&amp;AG$5</f>
        <v/>
      </c>
      <c r="AH2385" s="43">
        <f>AH2367*Settings!$C$13*(INDEX(AH$407:AH$418,$D2385)+INDEX(AH$394:AH$405,$D2385)+AH2340*(1+$E2385))</f>
        <v/>
      </c>
      <c r="AI2385" s="44">
        <f>AI2367*Settings!$C$13*(INDEX(AI$407:AI$418,$D2385)+INDEX(AI$394:AI$405,$D2385)+AI2340*(1+$E2385))</f>
        <v/>
      </c>
      <c r="AJ2385" s="44">
        <f>AJ2367*Settings!$C$13*(INDEX(AJ$407:AJ$418,$D2385)+INDEX(AJ$394:AJ$405,$D2385)+AJ2340*(1+$E2385))</f>
        <v/>
      </c>
      <c r="AK2385" s="44">
        <f>AK2367*Settings!$C$13*(INDEX(AK$407:AK$418,$D2385)+INDEX(AK$394:AK$405,$D2385)+AK2340*(1+$E2385))</f>
        <v/>
      </c>
      <c r="AL2385" s="44">
        <f>AL2367*Settings!$C$13*(INDEX(AL$407:AL$418,$D2385)+INDEX(AL$394:AL$405,$D2385)+AL2340*(1+$E2385))</f>
        <v/>
      </c>
      <c r="AM2385" s="44">
        <f>AM2367*Settings!$C$13*(INDEX(AM$407:AM$418,$D2385)+INDEX(AM$394:AM$405,$D2385)+AM2340*(1+$E2385))</f>
        <v/>
      </c>
      <c r="AN2385" s="44">
        <f>AN2367*Settings!$C$13*(INDEX(AN$407:AN$418,$D2385)+INDEX(AN$394:AN$405,$D2385)+AN2340*(1+$E2385))</f>
        <v/>
      </c>
      <c r="AO2385" s="44">
        <f>AO2367*Settings!$C$13*(INDEX(AO$407:AO$418,$D2385)+INDEX(AO$394:AO$405,$D2385)+AO2340*(1+$E2385))</f>
        <v/>
      </c>
      <c r="AP2385" s="44">
        <f>AP2367*Settings!$C$13*(INDEX(AP$407:AP$418,$D2385)+INDEX(AP$394:AP$405,$D2385)+AP2340*(1+$E2385))</f>
        <v/>
      </c>
      <c r="AQ2385" s="44">
        <f>AQ2367*Settings!$C$13*(INDEX(AQ$407:AQ$418,$D2385)+INDEX(AQ$394:AQ$405,$D2385)+AQ2340*(1+$E2385))</f>
        <v/>
      </c>
      <c r="AR2385" s="44">
        <f>AR2367*Settings!$C$13*(INDEX(AR$407:AR$418,$D2385)+INDEX(AR$394:AR$405,$D2385)+AR2340*(1+$E2385))</f>
        <v/>
      </c>
      <c r="AS2385" s="44">
        <f>AS2367*Settings!$C$13*(INDEX(AS$407:AS$418,$D2385)+INDEX(AS$394:AS$405,$D2385)+AS2340*(1+$E2385))</f>
        <v/>
      </c>
      <c r="AT2385" s="44">
        <f>AT2367*Settings!$C$13*(INDEX(AT$407:AT$418,$D2385)+INDEX(AT$394:AT$405,$D2385)+AT2340*(1+$E2385))</f>
        <v/>
      </c>
      <c r="AU2385" s="44">
        <f>AU2367*Settings!$C$13*(INDEX(AU$407:AU$418,$D2385)+INDEX(AU$394:AU$405,$D2385)+AU2340*(1+$E2385))</f>
        <v/>
      </c>
      <c r="AV2385" s="44">
        <f>AV2367*Settings!$C$13*(INDEX(AV$407:AV$418,$D2385)+INDEX(AV$394:AV$405,$D2385)+AV2340*(1+$E2385))</f>
        <v/>
      </c>
      <c r="AW2385" s="44">
        <f>AW2367*Settings!$C$13*(INDEX(AW$407:AW$418,$D2385)+INDEX(AW$394:AW$405,$D2385)+AW2340*(1+$E2385))</f>
        <v/>
      </c>
      <c r="AX2385" s="44">
        <f>AX2367*Settings!$C$13*(INDEX(AX$407:AX$418,$D2385)+INDEX(AX$394:AX$405,$D2385)+AX2340*(1+$E2385))</f>
        <v/>
      </c>
      <c r="AY2385" s="44">
        <f>AY2367*Settings!$C$13*(INDEX(AY$407:AY$418,$D2385)+INDEX(AY$394:AY$405,$D2385)+AY2340*(1+$E2385))</f>
        <v/>
      </c>
      <c r="AZ2385" s="44">
        <f>AZ2367*Settings!$C$13*(INDEX(AZ$407:AZ$418,$D2385)+INDEX(AZ$394:AZ$405,$D2385)+AZ2340*(1+$E2385))</f>
        <v/>
      </c>
      <c r="BA2385" s="57">
        <f>REVENUE(BA2367,Settings!$C$13,INDEX(BA$407:BA$418,$D2385)+INDEX(BA$394:BA$405,$D2385)+BA2340*(1+$E2385))</f>
        <v/>
      </c>
    </row>
    <row r="2386" hidden="1" outlineLevel="2">
      <c r="A2386" s="14" t="inlineStr">
        <is>
          <t>rtx</t>
        </is>
      </c>
      <c r="B2386" s="14" t="inlineStr">
        <is>
          <t>die</t>
        </is>
      </c>
      <c r="C2386" s="14" t="inlineStr">
        <is>
          <t>mac</t>
        </is>
      </c>
      <c r="D2386" s="35">
        <f>INDEX(Inputs!$U$5:$U$132,MATCH($B2386&amp;"|"&amp;$C2386,Inputs!$A$5:$A$132,0))</f>
        <v/>
      </c>
      <c r="E2386" s="35">
        <f>INDEX(Inputs!$V$5:$V$132,MATCH($B2386&amp;"|"&amp;$C2386,Inputs!$A$5:$A$132,0))</f>
        <v/>
      </c>
      <c r="F2386" s="39" t="n"/>
      <c r="G2386" s="39" t="n"/>
      <c r="H2386" s="14">
        <f>INDEX(VarLab,MATCH($A2386,VarKey,0))&amp;INDEX(MemLab,MATCH($C2386&amp;"|"&amp;$B2386,MemKey,0))</f>
        <v/>
      </c>
      <c r="I2386" s="14">
        <f>INDEX(VarUnit,MATCH($A2386,VarKey,0))</f>
        <v/>
      </c>
      <c r="J2386" s="14">
        <f>INDEX(VarSrc,MATCH($A2386,VarKey,0))</f>
        <v/>
      </c>
      <c r="K2386" s="11">
        <f>CodePrefix&amp;$A2386&amp;IF($C2386="","","."&amp;$C2386&amp;"."&amp;$B2386)&amp;INDEX(VarEnd,MATCH($A2386,VarKey,0))&amp;K$5</f>
        <v/>
      </c>
      <c r="L2386" s="43">
        <f>L2368*Settings!$C$13*(INDEX(L$407:L$418,$D2386)+INDEX(L$394:L$405,$D2386)+L2341*(1+$E2386))</f>
        <v/>
      </c>
      <c r="M2386" s="44">
        <f>M2368*Settings!$C$13*(INDEX(M$407:M$418,$D2386)+INDEX(M$394:M$405,$D2386)+M2341*(1+$E2386))</f>
        <v/>
      </c>
      <c r="N2386" s="44">
        <f>N2368*Settings!$C$13*(INDEX(N$407:N$418,$D2386)+INDEX(N$394:N$405,$D2386)+N2341*(1+$E2386))</f>
        <v/>
      </c>
      <c r="O2386" s="44">
        <f>O2368*Settings!$C$13*(INDEX(O$407:O$418,$D2386)+INDEX(O$394:O$405,$D2386)+O2341*(1+$E2386))</f>
        <v/>
      </c>
      <c r="P2386" s="44">
        <f>P2368*Settings!$C$13*(INDEX(P$407:P$418,$D2386)+INDEX(P$394:P$405,$D2386)+P2341*(1+$E2386))</f>
        <v/>
      </c>
      <c r="Q2386" s="44">
        <f>Q2368*Settings!$C$13*(INDEX(Q$407:Q$418,$D2386)+INDEX(Q$394:Q$405,$D2386)+Q2341*(1+$E2386))</f>
        <v/>
      </c>
      <c r="R2386" s="44">
        <f>R2368*Settings!$C$13*(INDEX(R$407:R$418,$D2386)+INDEX(R$394:R$405,$D2386)+R2341*(1+$E2386))</f>
        <v/>
      </c>
      <c r="S2386" s="44">
        <f>S2368*Settings!$C$13*(INDEX(S$407:S$418,$D2386)+INDEX(S$394:S$405,$D2386)+S2341*(1+$E2386))</f>
        <v/>
      </c>
      <c r="T2386" s="44">
        <f>T2368*Settings!$C$13*(INDEX(T$407:T$418,$D2386)+INDEX(T$394:T$405,$D2386)+T2341*(1+$E2386))</f>
        <v/>
      </c>
      <c r="U2386" s="44">
        <f>U2368*Settings!$C$13*(INDEX(U$407:U$418,$D2386)+INDEX(U$394:U$405,$D2386)+U2341*(1+$E2386))</f>
        <v/>
      </c>
      <c r="V2386" s="44">
        <f>V2368*Settings!$C$13*(INDEX(V$407:V$418,$D2386)+INDEX(V$394:V$405,$D2386)+V2341*(1+$E2386))</f>
        <v/>
      </c>
      <c r="W2386" s="44">
        <f>W2368*Settings!$C$13*(INDEX(W$407:W$418,$D2386)+INDEX(W$394:W$405,$D2386)+W2341*(1+$E2386))</f>
        <v/>
      </c>
      <c r="X2386" s="44">
        <f>X2368*Settings!$C$13*(INDEX(X$407:X$418,$D2386)+INDEX(X$394:X$405,$D2386)+X2341*(1+$E2386))</f>
        <v/>
      </c>
      <c r="Y2386" s="44">
        <f>Y2368*Settings!$C$13*(INDEX(Y$407:Y$418,$D2386)+INDEX(Y$394:Y$405,$D2386)+Y2341*(1+$E2386))</f>
        <v/>
      </c>
      <c r="Z2386" s="44">
        <f>Z2368*Settings!$C$13*(INDEX(Z$407:Z$418,$D2386)+INDEX(Z$394:Z$405,$D2386)+Z2341*(1+$E2386))</f>
        <v/>
      </c>
      <c r="AA2386" s="44">
        <f>AA2368*Settings!$C$13*(INDEX(AA$407:AA$418,$D2386)+INDEX(AA$394:AA$405,$D2386)+AA2341*(1+$E2386))</f>
        <v/>
      </c>
      <c r="AB2386" s="44">
        <f>AB2368*Settings!$C$13*(INDEX(AB$407:AB$418,$D2386)+INDEX(AB$394:AB$405,$D2386)+AB2341*(1+$E2386))</f>
        <v/>
      </c>
      <c r="AC2386" s="44">
        <f>AC2368*Settings!$C$13*(INDEX(AC$407:AC$418,$D2386)+INDEX(AC$394:AC$405,$D2386)+AC2341*(1+$E2386))</f>
        <v/>
      </c>
      <c r="AD2386" s="44">
        <f>AD2368*Settings!$C$13*(INDEX(AD$407:AD$418,$D2386)+INDEX(AD$394:AD$405,$D2386)+AD2341*(1+$E2386))</f>
        <v/>
      </c>
      <c r="AE2386" s="57">
        <f>REVENUE(AE2368,Settings!$C$13,INDEX(AE$407:AE$418,$D2386)+INDEX(AE$394:AE$405,$D2386)+AE2341*(1+$E2386))</f>
        <v/>
      </c>
      <c r="AG2386" s="11">
        <f>CodePrefix&amp;$A2386&amp;IF($C2386="","","."&amp;$C2386&amp;"."&amp;$B2386)&amp;INDEX(VarEnd,MATCH($A2386,VarKey,0))&amp;AG$5</f>
        <v/>
      </c>
      <c r="AH2386" s="43">
        <f>AH2368*Settings!$C$13*(INDEX(AH$407:AH$418,$D2386)+INDEX(AH$394:AH$405,$D2386)+AH2341*(1+$E2386))</f>
        <v/>
      </c>
      <c r="AI2386" s="44">
        <f>AI2368*Settings!$C$13*(INDEX(AI$407:AI$418,$D2386)+INDEX(AI$394:AI$405,$D2386)+AI2341*(1+$E2386))</f>
        <v/>
      </c>
      <c r="AJ2386" s="44">
        <f>AJ2368*Settings!$C$13*(INDEX(AJ$407:AJ$418,$D2386)+INDEX(AJ$394:AJ$405,$D2386)+AJ2341*(1+$E2386))</f>
        <v/>
      </c>
      <c r="AK2386" s="44">
        <f>AK2368*Settings!$C$13*(INDEX(AK$407:AK$418,$D2386)+INDEX(AK$394:AK$405,$D2386)+AK2341*(1+$E2386))</f>
        <v/>
      </c>
      <c r="AL2386" s="44">
        <f>AL2368*Settings!$C$13*(INDEX(AL$407:AL$418,$D2386)+INDEX(AL$394:AL$405,$D2386)+AL2341*(1+$E2386))</f>
        <v/>
      </c>
      <c r="AM2386" s="44">
        <f>AM2368*Settings!$C$13*(INDEX(AM$407:AM$418,$D2386)+INDEX(AM$394:AM$405,$D2386)+AM2341*(1+$E2386))</f>
        <v/>
      </c>
      <c r="AN2386" s="44">
        <f>AN2368*Settings!$C$13*(INDEX(AN$407:AN$418,$D2386)+INDEX(AN$394:AN$405,$D2386)+AN2341*(1+$E2386))</f>
        <v/>
      </c>
      <c r="AO2386" s="44">
        <f>AO2368*Settings!$C$13*(INDEX(AO$407:AO$418,$D2386)+INDEX(AO$394:AO$405,$D2386)+AO2341*(1+$E2386))</f>
        <v/>
      </c>
      <c r="AP2386" s="44">
        <f>AP2368*Settings!$C$13*(INDEX(AP$407:AP$418,$D2386)+INDEX(AP$394:AP$405,$D2386)+AP2341*(1+$E2386))</f>
        <v/>
      </c>
      <c r="AQ2386" s="44">
        <f>AQ2368*Settings!$C$13*(INDEX(AQ$407:AQ$418,$D2386)+INDEX(AQ$394:AQ$405,$D2386)+AQ2341*(1+$E2386))</f>
        <v/>
      </c>
      <c r="AR2386" s="44">
        <f>AR2368*Settings!$C$13*(INDEX(AR$407:AR$418,$D2386)+INDEX(AR$394:AR$405,$D2386)+AR2341*(1+$E2386))</f>
        <v/>
      </c>
      <c r="AS2386" s="44">
        <f>AS2368*Settings!$C$13*(INDEX(AS$407:AS$418,$D2386)+INDEX(AS$394:AS$405,$D2386)+AS2341*(1+$E2386))</f>
        <v/>
      </c>
      <c r="AT2386" s="44">
        <f>AT2368*Settings!$C$13*(INDEX(AT$407:AT$418,$D2386)+INDEX(AT$394:AT$405,$D2386)+AT2341*(1+$E2386))</f>
        <v/>
      </c>
      <c r="AU2386" s="44">
        <f>AU2368*Settings!$C$13*(INDEX(AU$407:AU$418,$D2386)+INDEX(AU$394:AU$405,$D2386)+AU2341*(1+$E2386))</f>
        <v/>
      </c>
      <c r="AV2386" s="44">
        <f>AV2368*Settings!$C$13*(INDEX(AV$407:AV$418,$D2386)+INDEX(AV$394:AV$405,$D2386)+AV2341*(1+$E2386))</f>
        <v/>
      </c>
      <c r="AW2386" s="44">
        <f>AW2368*Settings!$C$13*(INDEX(AW$407:AW$418,$D2386)+INDEX(AW$394:AW$405,$D2386)+AW2341*(1+$E2386))</f>
        <v/>
      </c>
      <c r="AX2386" s="44">
        <f>AX2368*Settings!$C$13*(INDEX(AX$407:AX$418,$D2386)+INDEX(AX$394:AX$405,$D2386)+AX2341*(1+$E2386))</f>
        <v/>
      </c>
      <c r="AY2386" s="44">
        <f>AY2368*Settings!$C$13*(INDEX(AY$407:AY$418,$D2386)+INDEX(AY$394:AY$405,$D2386)+AY2341*(1+$E2386))</f>
        <v/>
      </c>
      <c r="AZ2386" s="44">
        <f>AZ2368*Settings!$C$13*(INDEX(AZ$407:AZ$418,$D2386)+INDEX(AZ$394:AZ$405,$D2386)+AZ2341*(1+$E2386))</f>
        <v/>
      </c>
      <c r="BA2386" s="57">
        <f>REVENUE(BA2368,Settings!$C$13,INDEX(BA$407:BA$418,$D2386)+INDEX(BA$394:BA$405,$D2386)+BA2341*(1+$E2386))</f>
        <v/>
      </c>
    </row>
    <row r="2387" hidden="1" outlineLevel="2">
      <c r="A2387" s="14" t="inlineStr">
        <is>
          <t>rtx</t>
        </is>
      </c>
      <c r="B2387" s="14" t="inlineStr">
        <is>
          <t>lpg</t>
        </is>
      </c>
      <c r="C2387" s="14" t="inlineStr">
        <is>
          <t>mac</t>
        </is>
      </c>
      <c r="D2387" s="35">
        <f>INDEX(Inputs!$U$5:$U$132,MATCH($B2387&amp;"|"&amp;$C2387,Inputs!$A$5:$A$132,0))</f>
        <v/>
      </c>
      <c r="E2387" s="35">
        <f>INDEX(Inputs!$V$5:$V$132,MATCH($B2387&amp;"|"&amp;$C2387,Inputs!$A$5:$A$132,0))</f>
        <v/>
      </c>
      <c r="F2387" s="39" t="n"/>
      <c r="G2387" s="39" t="n"/>
      <c r="H2387" s="14">
        <f>INDEX(VarLab,MATCH($A2387,VarKey,0))&amp;INDEX(MemLab,MATCH($C2387&amp;"|"&amp;$B2387,MemKey,0))</f>
        <v/>
      </c>
      <c r="I2387" s="14">
        <f>INDEX(VarUnit,MATCH($A2387,VarKey,0))</f>
        <v/>
      </c>
      <c r="J2387" s="14">
        <f>INDEX(VarSrc,MATCH($A2387,VarKey,0))</f>
        <v/>
      </c>
      <c r="K2387" s="11">
        <f>CodePrefix&amp;$A2387&amp;IF($C2387="","","."&amp;$C2387&amp;"."&amp;$B2387)&amp;INDEX(VarEnd,MATCH($A2387,VarKey,0))&amp;K$5</f>
        <v/>
      </c>
      <c r="L2387" s="43">
        <f>L2369*Settings!$C$13*(INDEX(L$407:L$418,$D2387)+INDEX(L$394:L$405,$D2387)+L2342*(1+$E2387))</f>
        <v/>
      </c>
      <c r="M2387" s="44">
        <f>M2369*Settings!$C$13*(INDEX(M$407:M$418,$D2387)+INDEX(M$394:M$405,$D2387)+M2342*(1+$E2387))</f>
        <v/>
      </c>
      <c r="N2387" s="44">
        <f>N2369*Settings!$C$13*(INDEX(N$407:N$418,$D2387)+INDEX(N$394:N$405,$D2387)+N2342*(1+$E2387))</f>
        <v/>
      </c>
      <c r="O2387" s="44">
        <f>O2369*Settings!$C$13*(INDEX(O$407:O$418,$D2387)+INDEX(O$394:O$405,$D2387)+O2342*(1+$E2387))</f>
        <v/>
      </c>
      <c r="P2387" s="44">
        <f>P2369*Settings!$C$13*(INDEX(P$407:P$418,$D2387)+INDEX(P$394:P$405,$D2387)+P2342*(1+$E2387))</f>
        <v/>
      </c>
      <c r="Q2387" s="44">
        <f>Q2369*Settings!$C$13*(INDEX(Q$407:Q$418,$D2387)+INDEX(Q$394:Q$405,$D2387)+Q2342*(1+$E2387))</f>
        <v/>
      </c>
      <c r="R2387" s="44">
        <f>R2369*Settings!$C$13*(INDEX(R$407:R$418,$D2387)+INDEX(R$394:R$405,$D2387)+R2342*(1+$E2387))</f>
        <v/>
      </c>
      <c r="S2387" s="44">
        <f>S2369*Settings!$C$13*(INDEX(S$407:S$418,$D2387)+INDEX(S$394:S$405,$D2387)+S2342*(1+$E2387))</f>
        <v/>
      </c>
      <c r="T2387" s="44">
        <f>T2369*Settings!$C$13*(INDEX(T$407:T$418,$D2387)+INDEX(T$394:T$405,$D2387)+T2342*(1+$E2387))</f>
        <v/>
      </c>
      <c r="U2387" s="44">
        <f>U2369*Settings!$C$13*(INDEX(U$407:U$418,$D2387)+INDEX(U$394:U$405,$D2387)+U2342*(1+$E2387))</f>
        <v/>
      </c>
      <c r="V2387" s="44">
        <f>V2369*Settings!$C$13*(INDEX(V$407:V$418,$D2387)+INDEX(V$394:V$405,$D2387)+V2342*(1+$E2387))</f>
        <v/>
      </c>
      <c r="W2387" s="44">
        <f>W2369*Settings!$C$13*(INDEX(W$407:W$418,$D2387)+INDEX(W$394:W$405,$D2387)+W2342*(1+$E2387))</f>
        <v/>
      </c>
      <c r="X2387" s="44">
        <f>X2369*Settings!$C$13*(INDEX(X$407:X$418,$D2387)+INDEX(X$394:X$405,$D2387)+X2342*(1+$E2387))</f>
        <v/>
      </c>
      <c r="Y2387" s="44">
        <f>Y2369*Settings!$C$13*(INDEX(Y$407:Y$418,$D2387)+INDEX(Y$394:Y$405,$D2387)+Y2342*(1+$E2387))</f>
        <v/>
      </c>
      <c r="Z2387" s="44">
        <f>Z2369*Settings!$C$13*(INDEX(Z$407:Z$418,$D2387)+INDEX(Z$394:Z$405,$D2387)+Z2342*(1+$E2387))</f>
        <v/>
      </c>
      <c r="AA2387" s="44">
        <f>AA2369*Settings!$C$13*(INDEX(AA$407:AA$418,$D2387)+INDEX(AA$394:AA$405,$D2387)+AA2342*(1+$E2387))</f>
        <v/>
      </c>
      <c r="AB2387" s="44">
        <f>AB2369*Settings!$C$13*(INDEX(AB$407:AB$418,$D2387)+INDEX(AB$394:AB$405,$D2387)+AB2342*(1+$E2387))</f>
        <v/>
      </c>
      <c r="AC2387" s="44">
        <f>AC2369*Settings!$C$13*(INDEX(AC$407:AC$418,$D2387)+INDEX(AC$394:AC$405,$D2387)+AC2342*(1+$E2387))</f>
        <v/>
      </c>
      <c r="AD2387" s="44">
        <f>AD2369*Settings!$C$13*(INDEX(AD$407:AD$418,$D2387)+INDEX(AD$394:AD$405,$D2387)+AD2342*(1+$E2387))</f>
        <v/>
      </c>
      <c r="AE2387" s="57">
        <f>REVENUE(AE2369,Settings!$C$13,INDEX(AE$407:AE$418,$D2387)+INDEX(AE$394:AE$405,$D2387)+AE2342*(1+$E2387))</f>
        <v/>
      </c>
      <c r="AG2387" s="11">
        <f>CodePrefix&amp;$A2387&amp;IF($C2387="","","."&amp;$C2387&amp;"."&amp;$B2387)&amp;INDEX(VarEnd,MATCH($A2387,VarKey,0))&amp;AG$5</f>
        <v/>
      </c>
      <c r="AH2387" s="43">
        <f>AH2369*Settings!$C$13*(INDEX(AH$407:AH$418,$D2387)+INDEX(AH$394:AH$405,$D2387)+AH2342*(1+$E2387))</f>
        <v/>
      </c>
      <c r="AI2387" s="44">
        <f>AI2369*Settings!$C$13*(INDEX(AI$407:AI$418,$D2387)+INDEX(AI$394:AI$405,$D2387)+AI2342*(1+$E2387))</f>
        <v/>
      </c>
      <c r="AJ2387" s="44">
        <f>AJ2369*Settings!$C$13*(INDEX(AJ$407:AJ$418,$D2387)+INDEX(AJ$394:AJ$405,$D2387)+AJ2342*(1+$E2387))</f>
        <v/>
      </c>
      <c r="AK2387" s="44">
        <f>AK2369*Settings!$C$13*(INDEX(AK$407:AK$418,$D2387)+INDEX(AK$394:AK$405,$D2387)+AK2342*(1+$E2387))</f>
        <v/>
      </c>
      <c r="AL2387" s="44">
        <f>AL2369*Settings!$C$13*(INDEX(AL$407:AL$418,$D2387)+INDEX(AL$394:AL$405,$D2387)+AL2342*(1+$E2387))</f>
        <v/>
      </c>
      <c r="AM2387" s="44">
        <f>AM2369*Settings!$C$13*(INDEX(AM$407:AM$418,$D2387)+INDEX(AM$394:AM$405,$D2387)+AM2342*(1+$E2387))</f>
        <v/>
      </c>
      <c r="AN2387" s="44">
        <f>AN2369*Settings!$C$13*(INDEX(AN$407:AN$418,$D2387)+INDEX(AN$394:AN$405,$D2387)+AN2342*(1+$E2387))</f>
        <v/>
      </c>
      <c r="AO2387" s="44">
        <f>AO2369*Settings!$C$13*(INDEX(AO$407:AO$418,$D2387)+INDEX(AO$394:AO$405,$D2387)+AO2342*(1+$E2387))</f>
        <v/>
      </c>
      <c r="AP2387" s="44">
        <f>AP2369*Settings!$C$13*(INDEX(AP$407:AP$418,$D2387)+INDEX(AP$394:AP$405,$D2387)+AP2342*(1+$E2387))</f>
        <v/>
      </c>
      <c r="AQ2387" s="44">
        <f>AQ2369*Settings!$C$13*(INDEX(AQ$407:AQ$418,$D2387)+INDEX(AQ$394:AQ$405,$D2387)+AQ2342*(1+$E2387))</f>
        <v/>
      </c>
      <c r="AR2387" s="44">
        <f>AR2369*Settings!$C$13*(INDEX(AR$407:AR$418,$D2387)+INDEX(AR$394:AR$405,$D2387)+AR2342*(1+$E2387))</f>
        <v/>
      </c>
      <c r="AS2387" s="44">
        <f>AS2369*Settings!$C$13*(INDEX(AS$407:AS$418,$D2387)+INDEX(AS$394:AS$405,$D2387)+AS2342*(1+$E2387))</f>
        <v/>
      </c>
      <c r="AT2387" s="44">
        <f>AT2369*Settings!$C$13*(INDEX(AT$407:AT$418,$D2387)+INDEX(AT$394:AT$405,$D2387)+AT2342*(1+$E2387))</f>
        <v/>
      </c>
      <c r="AU2387" s="44">
        <f>AU2369*Settings!$C$13*(INDEX(AU$407:AU$418,$D2387)+INDEX(AU$394:AU$405,$D2387)+AU2342*(1+$E2387))</f>
        <v/>
      </c>
      <c r="AV2387" s="44">
        <f>AV2369*Settings!$C$13*(INDEX(AV$407:AV$418,$D2387)+INDEX(AV$394:AV$405,$D2387)+AV2342*(1+$E2387))</f>
        <v/>
      </c>
      <c r="AW2387" s="44">
        <f>AW2369*Settings!$C$13*(INDEX(AW$407:AW$418,$D2387)+INDEX(AW$394:AW$405,$D2387)+AW2342*(1+$E2387))</f>
        <v/>
      </c>
      <c r="AX2387" s="44">
        <f>AX2369*Settings!$C$13*(INDEX(AX$407:AX$418,$D2387)+INDEX(AX$394:AX$405,$D2387)+AX2342*(1+$E2387))</f>
        <v/>
      </c>
      <c r="AY2387" s="44">
        <f>AY2369*Settings!$C$13*(INDEX(AY$407:AY$418,$D2387)+INDEX(AY$394:AY$405,$D2387)+AY2342*(1+$E2387))</f>
        <v/>
      </c>
      <c r="AZ2387" s="44">
        <f>AZ2369*Settings!$C$13*(INDEX(AZ$407:AZ$418,$D2387)+INDEX(AZ$394:AZ$405,$D2387)+AZ2342*(1+$E2387))</f>
        <v/>
      </c>
      <c r="BA2387" s="57">
        <f>REVENUE(BA2369,Settings!$C$13,INDEX(BA$407:BA$418,$D2387)+INDEX(BA$394:BA$405,$D2387)+BA2342*(1+$E2387))</f>
        <v/>
      </c>
    </row>
    <row r="2388" hidden="1" outlineLevel="2">
      <c r="A2388" s="14" t="inlineStr">
        <is>
          <t>rtx</t>
        </is>
      </c>
      <c r="B2388" s="14" t="inlineStr">
        <is>
          <t>ker</t>
        </is>
      </c>
      <c r="C2388" s="14" t="inlineStr">
        <is>
          <t>mac</t>
        </is>
      </c>
      <c r="D2388" s="35">
        <f>INDEX(Inputs!$U$5:$U$132,MATCH($B2388&amp;"|"&amp;$C2388,Inputs!$A$5:$A$132,0))</f>
        <v/>
      </c>
      <c r="E2388" s="35">
        <f>INDEX(Inputs!$V$5:$V$132,MATCH($B2388&amp;"|"&amp;$C2388,Inputs!$A$5:$A$132,0))</f>
        <v/>
      </c>
      <c r="F2388" s="39" t="n"/>
      <c r="G2388" s="39" t="n"/>
      <c r="H2388" s="14">
        <f>INDEX(VarLab,MATCH($A2388,VarKey,0))&amp;INDEX(MemLab,MATCH($C2388&amp;"|"&amp;$B2388,MemKey,0))</f>
        <v/>
      </c>
      <c r="I2388" s="14">
        <f>INDEX(VarUnit,MATCH($A2388,VarKey,0))</f>
        <v/>
      </c>
      <c r="J2388" s="14">
        <f>INDEX(VarSrc,MATCH($A2388,VarKey,0))</f>
        <v/>
      </c>
      <c r="K2388" s="11">
        <f>CodePrefix&amp;$A2388&amp;IF($C2388="","","."&amp;$C2388&amp;"."&amp;$B2388)&amp;INDEX(VarEnd,MATCH($A2388,VarKey,0))&amp;K$5</f>
        <v/>
      </c>
      <c r="L2388" s="43">
        <f>L2370*Settings!$C$13*(INDEX(L$407:L$418,$D2388)+INDEX(L$394:L$405,$D2388)+L2343*(1+$E2388))</f>
        <v/>
      </c>
      <c r="M2388" s="44">
        <f>M2370*Settings!$C$13*(INDEX(M$407:M$418,$D2388)+INDEX(M$394:M$405,$D2388)+M2343*(1+$E2388))</f>
        <v/>
      </c>
      <c r="N2388" s="44">
        <f>N2370*Settings!$C$13*(INDEX(N$407:N$418,$D2388)+INDEX(N$394:N$405,$D2388)+N2343*(1+$E2388))</f>
        <v/>
      </c>
      <c r="O2388" s="44">
        <f>O2370*Settings!$C$13*(INDEX(O$407:O$418,$D2388)+INDEX(O$394:O$405,$D2388)+O2343*(1+$E2388))</f>
        <v/>
      </c>
      <c r="P2388" s="44">
        <f>P2370*Settings!$C$13*(INDEX(P$407:P$418,$D2388)+INDEX(P$394:P$405,$D2388)+P2343*(1+$E2388))</f>
        <v/>
      </c>
      <c r="Q2388" s="44">
        <f>Q2370*Settings!$C$13*(INDEX(Q$407:Q$418,$D2388)+INDEX(Q$394:Q$405,$D2388)+Q2343*(1+$E2388))</f>
        <v/>
      </c>
      <c r="R2388" s="44">
        <f>R2370*Settings!$C$13*(INDEX(R$407:R$418,$D2388)+INDEX(R$394:R$405,$D2388)+R2343*(1+$E2388))</f>
        <v/>
      </c>
      <c r="S2388" s="44">
        <f>S2370*Settings!$C$13*(INDEX(S$407:S$418,$D2388)+INDEX(S$394:S$405,$D2388)+S2343*(1+$E2388))</f>
        <v/>
      </c>
      <c r="T2388" s="44">
        <f>T2370*Settings!$C$13*(INDEX(T$407:T$418,$D2388)+INDEX(T$394:T$405,$D2388)+T2343*(1+$E2388))</f>
        <v/>
      </c>
      <c r="U2388" s="44">
        <f>U2370*Settings!$C$13*(INDEX(U$407:U$418,$D2388)+INDEX(U$394:U$405,$D2388)+U2343*(1+$E2388))</f>
        <v/>
      </c>
      <c r="V2388" s="44">
        <f>V2370*Settings!$C$13*(INDEX(V$407:V$418,$D2388)+INDEX(V$394:V$405,$D2388)+V2343*(1+$E2388))</f>
        <v/>
      </c>
      <c r="W2388" s="44">
        <f>W2370*Settings!$C$13*(INDEX(W$407:W$418,$D2388)+INDEX(W$394:W$405,$D2388)+W2343*(1+$E2388))</f>
        <v/>
      </c>
      <c r="X2388" s="44">
        <f>X2370*Settings!$C$13*(INDEX(X$407:X$418,$D2388)+INDEX(X$394:X$405,$D2388)+X2343*(1+$E2388))</f>
        <v/>
      </c>
      <c r="Y2388" s="44">
        <f>Y2370*Settings!$C$13*(INDEX(Y$407:Y$418,$D2388)+INDEX(Y$394:Y$405,$D2388)+Y2343*(1+$E2388))</f>
        <v/>
      </c>
      <c r="Z2388" s="44">
        <f>Z2370*Settings!$C$13*(INDEX(Z$407:Z$418,$D2388)+INDEX(Z$394:Z$405,$D2388)+Z2343*(1+$E2388))</f>
        <v/>
      </c>
      <c r="AA2388" s="44">
        <f>AA2370*Settings!$C$13*(INDEX(AA$407:AA$418,$D2388)+INDEX(AA$394:AA$405,$D2388)+AA2343*(1+$E2388))</f>
        <v/>
      </c>
      <c r="AB2388" s="44">
        <f>AB2370*Settings!$C$13*(INDEX(AB$407:AB$418,$D2388)+INDEX(AB$394:AB$405,$D2388)+AB2343*(1+$E2388))</f>
        <v/>
      </c>
      <c r="AC2388" s="44">
        <f>AC2370*Settings!$C$13*(INDEX(AC$407:AC$418,$D2388)+INDEX(AC$394:AC$405,$D2388)+AC2343*(1+$E2388))</f>
        <v/>
      </c>
      <c r="AD2388" s="44">
        <f>AD2370*Settings!$C$13*(INDEX(AD$407:AD$418,$D2388)+INDEX(AD$394:AD$405,$D2388)+AD2343*(1+$E2388))</f>
        <v/>
      </c>
      <c r="AE2388" s="57">
        <f>REVENUE(AE2370,Settings!$C$13,INDEX(AE$407:AE$418,$D2388)+INDEX(AE$394:AE$405,$D2388)+AE2343*(1+$E2388))</f>
        <v/>
      </c>
      <c r="AG2388" s="11">
        <f>CodePrefix&amp;$A2388&amp;IF($C2388="","","."&amp;$C2388&amp;"."&amp;$B2388)&amp;INDEX(VarEnd,MATCH($A2388,VarKey,0))&amp;AG$5</f>
        <v/>
      </c>
      <c r="AH2388" s="43">
        <f>AH2370*Settings!$C$13*(INDEX(AH$407:AH$418,$D2388)+INDEX(AH$394:AH$405,$D2388)+AH2343*(1+$E2388))</f>
        <v/>
      </c>
      <c r="AI2388" s="44">
        <f>AI2370*Settings!$C$13*(INDEX(AI$407:AI$418,$D2388)+INDEX(AI$394:AI$405,$D2388)+AI2343*(1+$E2388))</f>
        <v/>
      </c>
      <c r="AJ2388" s="44">
        <f>AJ2370*Settings!$C$13*(INDEX(AJ$407:AJ$418,$D2388)+INDEX(AJ$394:AJ$405,$D2388)+AJ2343*(1+$E2388))</f>
        <v/>
      </c>
      <c r="AK2388" s="44">
        <f>AK2370*Settings!$C$13*(INDEX(AK$407:AK$418,$D2388)+INDEX(AK$394:AK$405,$D2388)+AK2343*(1+$E2388))</f>
        <v/>
      </c>
      <c r="AL2388" s="44">
        <f>AL2370*Settings!$C$13*(INDEX(AL$407:AL$418,$D2388)+INDEX(AL$394:AL$405,$D2388)+AL2343*(1+$E2388))</f>
        <v/>
      </c>
      <c r="AM2388" s="44">
        <f>AM2370*Settings!$C$13*(INDEX(AM$407:AM$418,$D2388)+INDEX(AM$394:AM$405,$D2388)+AM2343*(1+$E2388))</f>
        <v/>
      </c>
      <c r="AN2388" s="44">
        <f>AN2370*Settings!$C$13*(INDEX(AN$407:AN$418,$D2388)+INDEX(AN$394:AN$405,$D2388)+AN2343*(1+$E2388))</f>
        <v/>
      </c>
      <c r="AO2388" s="44">
        <f>AO2370*Settings!$C$13*(INDEX(AO$407:AO$418,$D2388)+INDEX(AO$394:AO$405,$D2388)+AO2343*(1+$E2388))</f>
        <v/>
      </c>
      <c r="AP2388" s="44">
        <f>AP2370*Settings!$C$13*(INDEX(AP$407:AP$418,$D2388)+INDEX(AP$394:AP$405,$D2388)+AP2343*(1+$E2388))</f>
        <v/>
      </c>
      <c r="AQ2388" s="44">
        <f>AQ2370*Settings!$C$13*(INDEX(AQ$407:AQ$418,$D2388)+INDEX(AQ$394:AQ$405,$D2388)+AQ2343*(1+$E2388))</f>
        <v/>
      </c>
      <c r="AR2388" s="44">
        <f>AR2370*Settings!$C$13*(INDEX(AR$407:AR$418,$D2388)+INDEX(AR$394:AR$405,$D2388)+AR2343*(1+$E2388))</f>
        <v/>
      </c>
      <c r="AS2388" s="44">
        <f>AS2370*Settings!$C$13*(INDEX(AS$407:AS$418,$D2388)+INDEX(AS$394:AS$405,$D2388)+AS2343*(1+$E2388))</f>
        <v/>
      </c>
      <c r="AT2388" s="44">
        <f>AT2370*Settings!$C$13*(INDEX(AT$407:AT$418,$D2388)+INDEX(AT$394:AT$405,$D2388)+AT2343*(1+$E2388))</f>
        <v/>
      </c>
      <c r="AU2388" s="44">
        <f>AU2370*Settings!$C$13*(INDEX(AU$407:AU$418,$D2388)+INDEX(AU$394:AU$405,$D2388)+AU2343*(1+$E2388))</f>
        <v/>
      </c>
      <c r="AV2388" s="44">
        <f>AV2370*Settings!$C$13*(INDEX(AV$407:AV$418,$D2388)+INDEX(AV$394:AV$405,$D2388)+AV2343*(1+$E2388))</f>
        <v/>
      </c>
      <c r="AW2388" s="44">
        <f>AW2370*Settings!$C$13*(INDEX(AW$407:AW$418,$D2388)+INDEX(AW$394:AW$405,$D2388)+AW2343*(1+$E2388))</f>
        <v/>
      </c>
      <c r="AX2388" s="44">
        <f>AX2370*Settings!$C$13*(INDEX(AX$407:AX$418,$D2388)+INDEX(AX$394:AX$405,$D2388)+AX2343*(1+$E2388))</f>
        <v/>
      </c>
      <c r="AY2388" s="44">
        <f>AY2370*Settings!$C$13*(INDEX(AY$407:AY$418,$D2388)+INDEX(AY$394:AY$405,$D2388)+AY2343*(1+$E2388))</f>
        <v/>
      </c>
      <c r="AZ2388" s="44">
        <f>AZ2370*Settings!$C$13*(INDEX(AZ$407:AZ$418,$D2388)+INDEX(AZ$394:AZ$405,$D2388)+AZ2343*(1+$E2388))</f>
        <v/>
      </c>
      <c r="BA2388" s="57">
        <f>REVENUE(BA2370,Settings!$C$13,INDEX(BA$407:BA$418,$D2388)+INDEX(BA$394:BA$405,$D2388)+BA2343*(1+$E2388))</f>
        <v/>
      </c>
    </row>
    <row r="2389" hidden="1" outlineLevel="2">
      <c r="A2389" s="14" t="inlineStr">
        <is>
          <t>rtx</t>
        </is>
      </c>
      <c r="B2389" s="14" t="inlineStr">
        <is>
          <t>oop</t>
        </is>
      </c>
      <c r="C2389" s="14" t="inlineStr">
        <is>
          <t>mac</t>
        </is>
      </c>
      <c r="D2389" s="35">
        <f>INDEX(Inputs!$U$5:$U$132,MATCH($B2389&amp;"|"&amp;$C2389,Inputs!$A$5:$A$132,0))</f>
        <v/>
      </c>
      <c r="E2389" s="35">
        <f>INDEX(Inputs!$V$5:$V$132,MATCH($B2389&amp;"|"&amp;$C2389,Inputs!$A$5:$A$132,0))</f>
        <v/>
      </c>
      <c r="F2389" s="39" t="n"/>
      <c r="G2389" s="39" t="n"/>
      <c r="H2389" s="14">
        <f>INDEX(VarLab,MATCH($A2389,VarKey,0))&amp;INDEX(MemLab,MATCH($C2389&amp;"|"&amp;$B2389,MemKey,0))</f>
        <v/>
      </c>
      <c r="I2389" s="14">
        <f>INDEX(VarUnit,MATCH($A2389,VarKey,0))</f>
        <v/>
      </c>
      <c r="J2389" s="14">
        <f>INDEX(VarSrc,MATCH($A2389,VarKey,0))</f>
        <v/>
      </c>
      <c r="K2389" s="11">
        <f>CodePrefix&amp;$A2389&amp;IF($C2389="","","."&amp;$C2389&amp;"."&amp;$B2389)&amp;INDEX(VarEnd,MATCH($A2389,VarKey,0))&amp;K$5</f>
        <v/>
      </c>
      <c r="L2389" s="43">
        <f>L2371*Settings!$C$13*(INDEX(L$407:L$418,$D2389)+INDEX(L$394:L$405,$D2389)+L2344*(1+$E2389))</f>
        <v/>
      </c>
      <c r="M2389" s="44">
        <f>M2371*Settings!$C$13*(INDEX(M$407:M$418,$D2389)+INDEX(M$394:M$405,$D2389)+M2344*(1+$E2389))</f>
        <v/>
      </c>
      <c r="N2389" s="44">
        <f>N2371*Settings!$C$13*(INDEX(N$407:N$418,$D2389)+INDEX(N$394:N$405,$D2389)+N2344*(1+$E2389))</f>
        <v/>
      </c>
      <c r="O2389" s="44">
        <f>O2371*Settings!$C$13*(INDEX(O$407:O$418,$D2389)+INDEX(O$394:O$405,$D2389)+O2344*(1+$E2389))</f>
        <v/>
      </c>
      <c r="P2389" s="44">
        <f>P2371*Settings!$C$13*(INDEX(P$407:P$418,$D2389)+INDEX(P$394:P$405,$D2389)+P2344*(1+$E2389))</f>
        <v/>
      </c>
      <c r="Q2389" s="44">
        <f>Q2371*Settings!$C$13*(INDEX(Q$407:Q$418,$D2389)+INDEX(Q$394:Q$405,$D2389)+Q2344*(1+$E2389))</f>
        <v/>
      </c>
      <c r="R2389" s="44">
        <f>R2371*Settings!$C$13*(INDEX(R$407:R$418,$D2389)+INDEX(R$394:R$405,$D2389)+R2344*(1+$E2389))</f>
        <v/>
      </c>
      <c r="S2389" s="44">
        <f>S2371*Settings!$C$13*(INDEX(S$407:S$418,$D2389)+INDEX(S$394:S$405,$D2389)+S2344*(1+$E2389))</f>
        <v/>
      </c>
      <c r="T2389" s="44">
        <f>T2371*Settings!$C$13*(INDEX(T$407:T$418,$D2389)+INDEX(T$394:T$405,$D2389)+T2344*(1+$E2389))</f>
        <v/>
      </c>
      <c r="U2389" s="44">
        <f>U2371*Settings!$C$13*(INDEX(U$407:U$418,$D2389)+INDEX(U$394:U$405,$D2389)+U2344*(1+$E2389))</f>
        <v/>
      </c>
      <c r="V2389" s="44">
        <f>V2371*Settings!$C$13*(INDEX(V$407:V$418,$D2389)+INDEX(V$394:V$405,$D2389)+V2344*(1+$E2389))</f>
        <v/>
      </c>
      <c r="W2389" s="44">
        <f>W2371*Settings!$C$13*(INDEX(W$407:W$418,$D2389)+INDEX(W$394:W$405,$D2389)+W2344*(1+$E2389))</f>
        <v/>
      </c>
      <c r="X2389" s="44">
        <f>X2371*Settings!$C$13*(INDEX(X$407:X$418,$D2389)+INDEX(X$394:X$405,$D2389)+X2344*(1+$E2389))</f>
        <v/>
      </c>
      <c r="Y2389" s="44">
        <f>Y2371*Settings!$C$13*(INDEX(Y$407:Y$418,$D2389)+INDEX(Y$394:Y$405,$D2389)+Y2344*(1+$E2389))</f>
        <v/>
      </c>
      <c r="Z2389" s="44">
        <f>Z2371*Settings!$C$13*(INDEX(Z$407:Z$418,$D2389)+INDEX(Z$394:Z$405,$D2389)+Z2344*(1+$E2389))</f>
        <v/>
      </c>
      <c r="AA2389" s="44">
        <f>AA2371*Settings!$C$13*(INDEX(AA$407:AA$418,$D2389)+INDEX(AA$394:AA$405,$D2389)+AA2344*(1+$E2389))</f>
        <v/>
      </c>
      <c r="AB2389" s="44">
        <f>AB2371*Settings!$C$13*(INDEX(AB$407:AB$418,$D2389)+INDEX(AB$394:AB$405,$D2389)+AB2344*(1+$E2389))</f>
        <v/>
      </c>
      <c r="AC2389" s="44">
        <f>AC2371*Settings!$C$13*(INDEX(AC$407:AC$418,$D2389)+INDEX(AC$394:AC$405,$D2389)+AC2344*(1+$E2389))</f>
        <v/>
      </c>
      <c r="AD2389" s="44">
        <f>AD2371*Settings!$C$13*(INDEX(AD$407:AD$418,$D2389)+INDEX(AD$394:AD$405,$D2389)+AD2344*(1+$E2389))</f>
        <v/>
      </c>
      <c r="AE2389" s="57">
        <f>REVENUE(AE2371,Settings!$C$13,INDEX(AE$407:AE$418,$D2389)+INDEX(AE$394:AE$405,$D2389)+AE2344*(1+$E2389))</f>
        <v/>
      </c>
      <c r="AG2389" s="11">
        <f>CodePrefix&amp;$A2389&amp;IF($C2389="","","."&amp;$C2389&amp;"."&amp;$B2389)&amp;INDEX(VarEnd,MATCH($A2389,VarKey,0))&amp;AG$5</f>
        <v/>
      </c>
      <c r="AH2389" s="43">
        <f>AH2371*Settings!$C$13*(INDEX(AH$407:AH$418,$D2389)+INDEX(AH$394:AH$405,$D2389)+AH2344*(1+$E2389))</f>
        <v/>
      </c>
      <c r="AI2389" s="44">
        <f>AI2371*Settings!$C$13*(INDEX(AI$407:AI$418,$D2389)+INDEX(AI$394:AI$405,$D2389)+AI2344*(1+$E2389))</f>
        <v/>
      </c>
      <c r="AJ2389" s="44">
        <f>AJ2371*Settings!$C$13*(INDEX(AJ$407:AJ$418,$D2389)+INDEX(AJ$394:AJ$405,$D2389)+AJ2344*(1+$E2389))</f>
        <v/>
      </c>
      <c r="AK2389" s="44">
        <f>AK2371*Settings!$C$13*(INDEX(AK$407:AK$418,$D2389)+INDEX(AK$394:AK$405,$D2389)+AK2344*(1+$E2389))</f>
        <v/>
      </c>
      <c r="AL2389" s="44">
        <f>AL2371*Settings!$C$13*(INDEX(AL$407:AL$418,$D2389)+INDEX(AL$394:AL$405,$D2389)+AL2344*(1+$E2389))</f>
        <v/>
      </c>
      <c r="AM2389" s="44">
        <f>AM2371*Settings!$C$13*(INDEX(AM$407:AM$418,$D2389)+INDEX(AM$394:AM$405,$D2389)+AM2344*(1+$E2389))</f>
        <v/>
      </c>
      <c r="AN2389" s="44">
        <f>AN2371*Settings!$C$13*(INDEX(AN$407:AN$418,$D2389)+INDEX(AN$394:AN$405,$D2389)+AN2344*(1+$E2389))</f>
        <v/>
      </c>
      <c r="AO2389" s="44">
        <f>AO2371*Settings!$C$13*(INDEX(AO$407:AO$418,$D2389)+INDEX(AO$394:AO$405,$D2389)+AO2344*(1+$E2389))</f>
        <v/>
      </c>
      <c r="AP2389" s="44">
        <f>AP2371*Settings!$C$13*(INDEX(AP$407:AP$418,$D2389)+INDEX(AP$394:AP$405,$D2389)+AP2344*(1+$E2389))</f>
        <v/>
      </c>
      <c r="AQ2389" s="44">
        <f>AQ2371*Settings!$C$13*(INDEX(AQ$407:AQ$418,$D2389)+INDEX(AQ$394:AQ$405,$D2389)+AQ2344*(1+$E2389))</f>
        <v/>
      </c>
      <c r="AR2389" s="44">
        <f>AR2371*Settings!$C$13*(INDEX(AR$407:AR$418,$D2389)+INDEX(AR$394:AR$405,$D2389)+AR2344*(1+$E2389))</f>
        <v/>
      </c>
      <c r="AS2389" s="44">
        <f>AS2371*Settings!$C$13*(INDEX(AS$407:AS$418,$D2389)+INDEX(AS$394:AS$405,$D2389)+AS2344*(1+$E2389))</f>
        <v/>
      </c>
      <c r="AT2389" s="44">
        <f>AT2371*Settings!$C$13*(INDEX(AT$407:AT$418,$D2389)+INDEX(AT$394:AT$405,$D2389)+AT2344*(1+$E2389))</f>
        <v/>
      </c>
      <c r="AU2389" s="44">
        <f>AU2371*Settings!$C$13*(INDEX(AU$407:AU$418,$D2389)+INDEX(AU$394:AU$405,$D2389)+AU2344*(1+$E2389))</f>
        <v/>
      </c>
      <c r="AV2389" s="44">
        <f>AV2371*Settings!$C$13*(INDEX(AV$407:AV$418,$D2389)+INDEX(AV$394:AV$405,$D2389)+AV2344*(1+$E2389))</f>
        <v/>
      </c>
      <c r="AW2389" s="44">
        <f>AW2371*Settings!$C$13*(INDEX(AW$407:AW$418,$D2389)+INDEX(AW$394:AW$405,$D2389)+AW2344*(1+$E2389))</f>
        <v/>
      </c>
      <c r="AX2389" s="44">
        <f>AX2371*Settings!$C$13*(INDEX(AX$407:AX$418,$D2389)+INDEX(AX$394:AX$405,$D2389)+AX2344*(1+$E2389))</f>
        <v/>
      </c>
      <c r="AY2389" s="44">
        <f>AY2371*Settings!$C$13*(INDEX(AY$407:AY$418,$D2389)+INDEX(AY$394:AY$405,$D2389)+AY2344*(1+$E2389))</f>
        <v/>
      </c>
      <c r="AZ2389" s="44">
        <f>AZ2371*Settings!$C$13*(INDEX(AZ$407:AZ$418,$D2389)+INDEX(AZ$394:AZ$405,$D2389)+AZ2344*(1+$E2389))</f>
        <v/>
      </c>
      <c r="BA2389" s="57">
        <f>REVENUE(BA2371,Settings!$C$13,INDEX(BA$407:BA$418,$D2389)+INDEX(BA$394:BA$405,$D2389)+BA2344*(1+$E2389))</f>
        <v/>
      </c>
    </row>
    <row r="2390" hidden="1" outlineLevel="2">
      <c r="A2390" s="14" t="inlineStr">
        <is>
          <t>rtx</t>
        </is>
      </c>
      <c r="B2390" s="14" t="inlineStr">
        <is>
          <t>bio</t>
        </is>
      </c>
      <c r="C2390" s="14" t="inlineStr">
        <is>
          <t>mac</t>
        </is>
      </c>
      <c r="D2390" s="35">
        <f>INDEX(Inputs!$U$5:$U$132,MATCH($B2390&amp;"|"&amp;$C2390,Inputs!$A$5:$A$132,0))</f>
        <v/>
      </c>
      <c r="E2390" s="35">
        <f>INDEX(Inputs!$V$5:$V$132,MATCH($B2390&amp;"|"&amp;$C2390,Inputs!$A$5:$A$132,0))</f>
        <v/>
      </c>
      <c r="F2390" s="39" t="n"/>
      <c r="G2390" s="39" t="n"/>
      <c r="H2390" s="14">
        <f>INDEX(VarLab,MATCH($A2390,VarKey,0))&amp;INDEX(MemLab,MATCH($C2390&amp;"|"&amp;$B2390,MemKey,0))</f>
        <v/>
      </c>
      <c r="I2390" s="14">
        <f>INDEX(VarUnit,MATCH($A2390,VarKey,0))</f>
        <v/>
      </c>
      <c r="J2390" s="14">
        <f>INDEX(VarSrc,MATCH($A2390,VarKey,0))</f>
        <v/>
      </c>
      <c r="K2390" s="11">
        <f>CodePrefix&amp;$A2390&amp;IF($C2390="","","."&amp;$C2390&amp;"."&amp;$B2390)&amp;INDEX(VarEnd,MATCH($A2390,VarKey,0))&amp;K$5</f>
        <v/>
      </c>
      <c r="L2390" s="43">
        <f>L2372*Settings!$C$13*(INDEX(L$407:L$418,$D2390)+INDEX(L$394:L$405,$D2390)+L2345*(1+$E2390))</f>
        <v/>
      </c>
      <c r="M2390" s="44">
        <f>M2372*Settings!$C$13*(INDEX(M$407:M$418,$D2390)+INDEX(M$394:M$405,$D2390)+M2345*(1+$E2390))</f>
        <v/>
      </c>
      <c r="N2390" s="44">
        <f>N2372*Settings!$C$13*(INDEX(N$407:N$418,$D2390)+INDEX(N$394:N$405,$D2390)+N2345*(1+$E2390))</f>
        <v/>
      </c>
      <c r="O2390" s="44">
        <f>O2372*Settings!$C$13*(INDEX(O$407:O$418,$D2390)+INDEX(O$394:O$405,$D2390)+O2345*(1+$E2390))</f>
        <v/>
      </c>
      <c r="P2390" s="44">
        <f>P2372*Settings!$C$13*(INDEX(P$407:P$418,$D2390)+INDEX(P$394:P$405,$D2390)+P2345*(1+$E2390))</f>
        <v/>
      </c>
      <c r="Q2390" s="44">
        <f>Q2372*Settings!$C$13*(INDEX(Q$407:Q$418,$D2390)+INDEX(Q$394:Q$405,$D2390)+Q2345*(1+$E2390))</f>
        <v/>
      </c>
      <c r="R2390" s="44">
        <f>R2372*Settings!$C$13*(INDEX(R$407:R$418,$D2390)+INDEX(R$394:R$405,$D2390)+R2345*(1+$E2390))</f>
        <v/>
      </c>
      <c r="S2390" s="44">
        <f>S2372*Settings!$C$13*(INDEX(S$407:S$418,$D2390)+INDEX(S$394:S$405,$D2390)+S2345*(1+$E2390))</f>
        <v/>
      </c>
      <c r="T2390" s="44">
        <f>T2372*Settings!$C$13*(INDEX(T$407:T$418,$D2390)+INDEX(T$394:T$405,$D2390)+T2345*(1+$E2390))</f>
        <v/>
      </c>
      <c r="U2390" s="44">
        <f>U2372*Settings!$C$13*(INDEX(U$407:U$418,$D2390)+INDEX(U$394:U$405,$D2390)+U2345*(1+$E2390))</f>
        <v/>
      </c>
      <c r="V2390" s="44">
        <f>V2372*Settings!$C$13*(INDEX(V$407:V$418,$D2390)+INDEX(V$394:V$405,$D2390)+V2345*(1+$E2390))</f>
        <v/>
      </c>
      <c r="W2390" s="44">
        <f>W2372*Settings!$C$13*(INDEX(W$407:W$418,$D2390)+INDEX(W$394:W$405,$D2390)+W2345*(1+$E2390))</f>
        <v/>
      </c>
      <c r="X2390" s="44">
        <f>X2372*Settings!$C$13*(INDEX(X$407:X$418,$D2390)+INDEX(X$394:X$405,$D2390)+X2345*(1+$E2390))</f>
        <v/>
      </c>
      <c r="Y2390" s="44">
        <f>Y2372*Settings!$C$13*(INDEX(Y$407:Y$418,$D2390)+INDEX(Y$394:Y$405,$D2390)+Y2345*(1+$E2390))</f>
        <v/>
      </c>
      <c r="Z2390" s="44">
        <f>Z2372*Settings!$C$13*(INDEX(Z$407:Z$418,$D2390)+INDEX(Z$394:Z$405,$D2390)+Z2345*(1+$E2390))</f>
        <v/>
      </c>
      <c r="AA2390" s="44">
        <f>AA2372*Settings!$C$13*(INDEX(AA$407:AA$418,$D2390)+INDEX(AA$394:AA$405,$D2390)+AA2345*(1+$E2390))</f>
        <v/>
      </c>
      <c r="AB2390" s="44">
        <f>AB2372*Settings!$C$13*(INDEX(AB$407:AB$418,$D2390)+INDEX(AB$394:AB$405,$D2390)+AB2345*(1+$E2390))</f>
        <v/>
      </c>
      <c r="AC2390" s="44">
        <f>AC2372*Settings!$C$13*(INDEX(AC$407:AC$418,$D2390)+INDEX(AC$394:AC$405,$D2390)+AC2345*(1+$E2390))</f>
        <v/>
      </c>
      <c r="AD2390" s="44">
        <f>AD2372*Settings!$C$13*(INDEX(AD$407:AD$418,$D2390)+INDEX(AD$394:AD$405,$D2390)+AD2345*(1+$E2390))</f>
        <v/>
      </c>
      <c r="AE2390" s="57">
        <f>REVENUE(AE2372,Settings!$C$13,INDEX(AE$407:AE$418,$D2390)+INDEX(AE$394:AE$405,$D2390)+AE2345*(1+$E2390))</f>
        <v/>
      </c>
      <c r="AG2390" s="11">
        <f>CodePrefix&amp;$A2390&amp;IF($C2390="","","."&amp;$C2390&amp;"."&amp;$B2390)&amp;INDEX(VarEnd,MATCH($A2390,VarKey,0))&amp;AG$5</f>
        <v/>
      </c>
      <c r="AH2390" s="43">
        <f>AH2372*Settings!$C$13*(INDEX(AH$407:AH$418,$D2390)+INDEX(AH$394:AH$405,$D2390)+AH2345*(1+$E2390))</f>
        <v/>
      </c>
      <c r="AI2390" s="44">
        <f>AI2372*Settings!$C$13*(INDEX(AI$407:AI$418,$D2390)+INDEX(AI$394:AI$405,$D2390)+AI2345*(1+$E2390))</f>
        <v/>
      </c>
      <c r="AJ2390" s="44">
        <f>AJ2372*Settings!$C$13*(INDEX(AJ$407:AJ$418,$D2390)+INDEX(AJ$394:AJ$405,$D2390)+AJ2345*(1+$E2390))</f>
        <v/>
      </c>
      <c r="AK2390" s="44">
        <f>AK2372*Settings!$C$13*(INDEX(AK$407:AK$418,$D2390)+INDEX(AK$394:AK$405,$D2390)+AK2345*(1+$E2390))</f>
        <v/>
      </c>
      <c r="AL2390" s="44">
        <f>AL2372*Settings!$C$13*(INDEX(AL$407:AL$418,$D2390)+INDEX(AL$394:AL$405,$D2390)+AL2345*(1+$E2390))</f>
        <v/>
      </c>
      <c r="AM2390" s="44">
        <f>AM2372*Settings!$C$13*(INDEX(AM$407:AM$418,$D2390)+INDEX(AM$394:AM$405,$D2390)+AM2345*(1+$E2390))</f>
        <v/>
      </c>
      <c r="AN2390" s="44">
        <f>AN2372*Settings!$C$13*(INDEX(AN$407:AN$418,$D2390)+INDEX(AN$394:AN$405,$D2390)+AN2345*(1+$E2390))</f>
        <v/>
      </c>
      <c r="AO2390" s="44">
        <f>AO2372*Settings!$C$13*(INDEX(AO$407:AO$418,$D2390)+INDEX(AO$394:AO$405,$D2390)+AO2345*(1+$E2390))</f>
        <v/>
      </c>
      <c r="AP2390" s="44">
        <f>AP2372*Settings!$C$13*(INDEX(AP$407:AP$418,$D2390)+INDEX(AP$394:AP$405,$D2390)+AP2345*(1+$E2390))</f>
        <v/>
      </c>
      <c r="AQ2390" s="44">
        <f>AQ2372*Settings!$C$13*(INDEX(AQ$407:AQ$418,$D2390)+INDEX(AQ$394:AQ$405,$D2390)+AQ2345*(1+$E2390))</f>
        <v/>
      </c>
      <c r="AR2390" s="44">
        <f>AR2372*Settings!$C$13*(INDEX(AR$407:AR$418,$D2390)+INDEX(AR$394:AR$405,$D2390)+AR2345*(1+$E2390))</f>
        <v/>
      </c>
      <c r="AS2390" s="44">
        <f>AS2372*Settings!$C$13*(INDEX(AS$407:AS$418,$D2390)+INDEX(AS$394:AS$405,$D2390)+AS2345*(1+$E2390))</f>
        <v/>
      </c>
      <c r="AT2390" s="44">
        <f>AT2372*Settings!$C$13*(INDEX(AT$407:AT$418,$D2390)+INDEX(AT$394:AT$405,$D2390)+AT2345*(1+$E2390))</f>
        <v/>
      </c>
      <c r="AU2390" s="44">
        <f>AU2372*Settings!$C$13*(INDEX(AU$407:AU$418,$D2390)+INDEX(AU$394:AU$405,$D2390)+AU2345*(1+$E2390))</f>
        <v/>
      </c>
      <c r="AV2390" s="44">
        <f>AV2372*Settings!$C$13*(INDEX(AV$407:AV$418,$D2390)+INDEX(AV$394:AV$405,$D2390)+AV2345*(1+$E2390))</f>
        <v/>
      </c>
      <c r="AW2390" s="44">
        <f>AW2372*Settings!$C$13*(INDEX(AW$407:AW$418,$D2390)+INDEX(AW$394:AW$405,$D2390)+AW2345*(1+$E2390))</f>
        <v/>
      </c>
      <c r="AX2390" s="44">
        <f>AX2372*Settings!$C$13*(INDEX(AX$407:AX$418,$D2390)+INDEX(AX$394:AX$405,$D2390)+AX2345*(1+$E2390))</f>
        <v/>
      </c>
      <c r="AY2390" s="44">
        <f>AY2372*Settings!$C$13*(INDEX(AY$407:AY$418,$D2390)+INDEX(AY$394:AY$405,$D2390)+AY2345*(1+$E2390))</f>
        <v/>
      </c>
      <c r="AZ2390" s="44">
        <f>AZ2372*Settings!$C$13*(INDEX(AZ$407:AZ$418,$D2390)+INDEX(AZ$394:AZ$405,$D2390)+AZ2345*(1+$E2390))</f>
        <v/>
      </c>
      <c r="BA2390" s="57">
        <f>REVENUE(BA2372,Settings!$C$13,INDEX(BA$407:BA$418,$D2390)+INDEX(BA$394:BA$405,$D2390)+BA2345*(1+$E2390))</f>
        <v/>
      </c>
    </row>
    <row r="2391" hidden="1" outlineLevel="2"/>
    <row r="2392" hidden="1" outlineLevel="2">
      <c r="A2392" s="14" t="inlineStr">
        <is>
          <t>rsub</t>
        </is>
      </c>
      <c r="B2392" s="14" t="inlineStr">
        <is>
          <t>coa</t>
        </is>
      </c>
      <c r="C2392" s="14" t="inlineStr">
        <is>
          <t>mac</t>
        </is>
      </c>
      <c r="D2392" s="35">
        <f>INDEX(Inputs!$U$5:$U$132,MATCH($B2392&amp;"|"&amp;$C2392,Inputs!$A$5:$A$132,0))</f>
        <v/>
      </c>
      <c r="E2392" s="39" t="n"/>
      <c r="F2392" s="39" t="n"/>
      <c r="G2392" s="39" t="n"/>
      <c r="H2392" s="14">
        <f>INDEX(VarLab,MATCH($A2392,VarKey,0))&amp;INDEX(MemLab,MATCH($C2392&amp;"|"&amp;$B2392,MemKey,0))</f>
        <v/>
      </c>
      <c r="I2392" s="14">
        <f>INDEX(VarUnit,MATCH($A2392,VarKey,0))</f>
        <v/>
      </c>
      <c r="J2392" s="14">
        <f>INDEX(VarSrc,MATCH($A2392,VarKey,0))</f>
        <v/>
      </c>
      <c r="K2392" s="11">
        <f>CodePrefix&amp;$A2392&amp;IF($C2392="","","."&amp;$C2392&amp;"."&amp;$B2392)&amp;INDEX(VarEnd,MATCH($A2392,VarKey,0))&amp;K$5</f>
        <v/>
      </c>
      <c r="L2392" s="43">
        <f>L2365*Settings!$C$13*(INDEX(L$420:L$431,$D2392))</f>
        <v/>
      </c>
      <c r="M2392" s="44">
        <f>M2365*Settings!$C$13*(INDEX(M$420:M$431,$D2392))</f>
        <v/>
      </c>
      <c r="N2392" s="44">
        <f>N2365*Settings!$C$13*(INDEX(N$420:N$431,$D2392))</f>
        <v/>
      </c>
      <c r="O2392" s="44">
        <f>O2365*Settings!$C$13*(INDEX(O$420:O$431,$D2392))</f>
        <v/>
      </c>
      <c r="P2392" s="44">
        <f>P2365*Settings!$C$13*(INDEX(P$420:P$431,$D2392))</f>
        <v/>
      </c>
      <c r="Q2392" s="44">
        <f>Q2365*Settings!$C$13*(INDEX(Q$420:Q$431,$D2392))</f>
        <v/>
      </c>
      <c r="R2392" s="44">
        <f>R2365*Settings!$C$13*(INDEX(R$420:R$431,$D2392))</f>
        <v/>
      </c>
      <c r="S2392" s="44">
        <f>S2365*Settings!$C$13*(INDEX(S$420:S$431,$D2392))</f>
        <v/>
      </c>
      <c r="T2392" s="44">
        <f>T2365*Settings!$C$13*(INDEX(T$420:T$431,$D2392))</f>
        <v/>
      </c>
      <c r="U2392" s="44">
        <f>U2365*Settings!$C$13*(INDEX(U$420:U$431,$D2392))</f>
        <v/>
      </c>
      <c r="V2392" s="44">
        <f>V2365*Settings!$C$13*(INDEX(V$420:V$431,$D2392))</f>
        <v/>
      </c>
      <c r="W2392" s="44">
        <f>W2365*Settings!$C$13*(INDEX(W$420:W$431,$D2392))</f>
        <v/>
      </c>
      <c r="X2392" s="44">
        <f>X2365*Settings!$C$13*(INDEX(X$420:X$431,$D2392))</f>
        <v/>
      </c>
      <c r="Y2392" s="44">
        <f>Y2365*Settings!$C$13*(INDEX(Y$420:Y$431,$D2392))</f>
        <v/>
      </c>
      <c r="Z2392" s="44">
        <f>Z2365*Settings!$C$13*(INDEX(Z$420:Z$431,$D2392))</f>
        <v/>
      </c>
      <c r="AA2392" s="44">
        <f>AA2365*Settings!$C$13*(INDEX(AA$420:AA$431,$D2392))</f>
        <v/>
      </c>
      <c r="AB2392" s="44">
        <f>AB2365*Settings!$C$13*(INDEX(AB$420:AB$431,$D2392))</f>
        <v/>
      </c>
      <c r="AC2392" s="44">
        <f>AC2365*Settings!$C$13*(INDEX(AC$420:AC$431,$D2392))</f>
        <v/>
      </c>
      <c r="AD2392" s="44">
        <f>AD2365*Settings!$C$13*(INDEX(AD$420:AD$431,$D2392))</f>
        <v/>
      </c>
      <c r="AE2392" s="57">
        <f>REVENUE(AE2365,Settings!$C$13,INDEX(AE$420:AE$431,$D2392))</f>
        <v/>
      </c>
      <c r="AG2392" s="11">
        <f>CodePrefix&amp;$A2392&amp;IF($C2392="","","."&amp;$C2392&amp;"."&amp;$B2392)&amp;INDEX(VarEnd,MATCH($A2392,VarKey,0))&amp;AG$5</f>
        <v/>
      </c>
      <c r="AH2392" s="43">
        <f>AH2365*Settings!$C$13*(INDEX(AH$420:AH$431,$D2392))</f>
        <v/>
      </c>
      <c r="AI2392" s="44">
        <f>AI2365*Settings!$C$13*(INDEX(AI$420:AI$431,$D2392))</f>
        <v/>
      </c>
      <c r="AJ2392" s="44">
        <f>AJ2365*Settings!$C$13*(INDEX(AJ$420:AJ$431,$D2392))</f>
        <v/>
      </c>
      <c r="AK2392" s="44">
        <f>AK2365*Settings!$C$13*(INDEX(AK$420:AK$431,$D2392))</f>
        <v/>
      </c>
      <c r="AL2392" s="44">
        <f>AL2365*Settings!$C$13*(INDEX(AL$420:AL$431,$D2392))</f>
        <v/>
      </c>
      <c r="AM2392" s="44">
        <f>AM2365*Settings!$C$13*(INDEX(AM$420:AM$431,$D2392))</f>
        <v/>
      </c>
      <c r="AN2392" s="44">
        <f>AN2365*Settings!$C$13*(INDEX(AN$420:AN$431,$D2392))</f>
        <v/>
      </c>
      <c r="AO2392" s="44">
        <f>AO2365*Settings!$C$13*(INDEX(AO$420:AO$431,$D2392))</f>
        <v/>
      </c>
      <c r="AP2392" s="44">
        <f>AP2365*Settings!$C$13*(INDEX(AP$420:AP$431,$D2392))</f>
        <v/>
      </c>
      <c r="AQ2392" s="44">
        <f>AQ2365*Settings!$C$13*(INDEX(AQ$420:AQ$431,$D2392))</f>
        <v/>
      </c>
      <c r="AR2392" s="44">
        <f>AR2365*Settings!$C$13*(INDEX(AR$420:AR$431,$D2392))</f>
        <v/>
      </c>
      <c r="AS2392" s="44">
        <f>AS2365*Settings!$C$13*(INDEX(AS$420:AS$431,$D2392))</f>
        <v/>
      </c>
      <c r="AT2392" s="44">
        <f>AT2365*Settings!$C$13*(INDEX(AT$420:AT$431,$D2392))</f>
        <v/>
      </c>
      <c r="AU2392" s="44">
        <f>AU2365*Settings!$C$13*(INDEX(AU$420:AU$431,$D2392))</f>
        <v/>
      </c>
      <c r="AV2392" s="44">
        <f>AV2365*Settings!$C$13*(INDEX(AV$420:AV$431,$D2392))</f>
        <v/>
      </c>
      <c r="AW2392" s="44">
        <f>AW2365*Settings!$C$13*(INDEX(AW$420:AW$431,$D2392))</f>
        <v/>
      </c>
      <c r="AX2392" s="44">
        <f>AX2365*Settings!$C$13*(INDEX(AX$420:AX$431,$D2392))</f>
        <v/>
      </c>
      <c r="AY2392" s="44">
        <f>AY2365*Settings!$C$13*(INDEX(AY$420:AY$431,$D2392))</f>
        <v/>
      </c>
      <c r="AZ2392" s="44">
        <f>AZ2365*Settings!$C$13*(INDEX(AZ$420:AZ$431,$D2392))</f>
        <v/>
      </c>
      <c r="BA2392" s="57">
        <f>REVENUE(BA2365,Settings!$C$13,INDEX(BA$420:BA$431,$D2392))</f>
        <v/>
      </c>
    </row>
    <row r="2393" hidden="1" outlineLevel="2">
      <c r="A2393" s="14" t="inlineStr">
        <is>
          <t>rsub</t>
        </is>
      </c>
      <c r="B2393" s="14" t="inlineStr">
        <is>
          <t>nga</t>
        </is>
      </c>
      <c r="C2393" s="14" t="inlineStr">
        <is>
          <t>mac</t>
        </is>
      </c>
      <c r="D2393" s="35">
        <f>INDEX(Inputs!$U$5:$U$132,MATCH($B2393&amp;"|"&amp;$C2393,Inputs!$A$5:$A$132,0))</f>
        <v/>
      </c>
      <c r="E2393" s="39" t="n"/>
      <c r="F2393" s="39" t="n"/>
      <c r="G2393" s="39" t="n"/>
      <c r="H2393" s="14">
        <f>INDEX(VarLab,MATCH($A2393,VarKey,0))&amp;INDEX(MemLab,MATCH($C2393&amp;"|"&amp;$B2393,MemKey,0))</f>
        <v/>
      </c>
      <c r="I2393" s="14">
        <f>INDEX(VarUnit,MATCH($A2393,VarKey,0))</f>
        <v/>
      </c>
      <c r="J2393" s="14">
        <f>INDEX(VarSrc,MATCH($A2393,VarKey,0))</f>
        <v/>
      </c>
      <c r="K2393" s="11">
        <f>CodePrefix&amp;$A2393&amp;IF($C2393="","","."&amp;$C2393&amp;"."&amp;$B2393)&amp;INDEX(VarEnd,MATCH($A2393,VarKey,0))&amp;K$5</f>
        <v/>
      </c>
      <c r="L2393" s="43">
        <f>L2366*Settings!$C$13*(INDEX(L$420:L$431,$D2393))</f>
        <v/>
      </c>
      <c r="M2393" s="44">
        <f>M2366*Settings!$C$13*(INDEX(M$420:M$431,$D2393))</f>
        <v/>
      </c>
      <c r="N2393" s="44">
        <f>N2366*Settings!$C$13*(INDEX(N$420:N$431,$D2393))</f>
        <v/>
      </c>
      <c r="O2393" s="44">
        <f>O2366*Settings!$C$13*(INDEX(O$420:O$431,$D2393))</f>
        <v/>
      </c>
      <c r="P2393" s="44">
        <f>P2366*Settings!$C$13*(INDEX(P$420:P$431,$D2393))</f>
        <v/>
      </c>
      <c r="Q2393" s="44">
        <f>Q2366*Settings!$C$13*(INDEX(Q$420:Q$431,$D2393))</f>
        <v/>
      </c>
      <c r="R2393" s="44">
        <f>R2366*Settings!$C$13*(INDEX(R$420:R$431,$D2393))</f>
        <v/>
      </c>
      <c r="S2393" s="44">
        <f>S2366*Settings!$C$13*(INDEX(S$420:S$431,$D2393))</f>
        <v/>
      </c>
      <c r="T2393" s="44">
        <f>T2366*Settings!$C$13*(INDEX(T$420:T$431,$D2393))</f>
        <v/>
      </c>
      <c r="U2393" s="44">
        <f>U2366*Settings!$C$13*(INDEX(U$420:U$431,$D2393))</f>
        <v/>
      </c>
      <c r="V2393" s="44">
        <f>V2366*Settings!$C$13*(INDEX(V$420:V$431,$D2393))</f>
        <v/>
      </c>
      <c r="W2393" s="44">
        <f>W2366*Settings!$C$13*(INDEX(W$420:W$431,$D2393))</f>
        <v/>
      </c>
      <c r="X2393" s="44">
        <f>X2366*Settings!$C$13*(INDEX(X$420:X$431,$D2393))</f>
        <v/>
      </c>
      <c r="Y2393" s="44">
        <f>Y2366*Settings!$C$13*(INDEX(Y$420:Y$431,$D2393))</f>
        <v/>
      </c>
      <c r="Z2393" s="44">
        <f>Z2366*Settings!$C$13*(INDEX(Z$420:Z$431,$D2393))</f>
        <v/>
      </c>
      <c r="AA2393" s="44">
        <f>AA2366*Settings!$C$13*(INDEX(AA$420:AA$431,$D2393))</f>
        <v/>
      </c>
      <c r="AB2393" s="44">
        <f>AB2366*Settings!$C$13*(INDEX(AB$420:AB$431,$D2393))</f>
        <v/>
      </c>
      <c r="AC2393" s="44">
        <f>AC2366*Settings!$C$13*(INDEX(AC$420:AC$431,$D2393))</f>
        <v/>
      </c>
      <c r="AD2393" s="44">
        <f>AD2366*Settings!$C$13*(INDEX(AD$420:AD$431,$D2393))</f>
        <v/>
      </c>
      <c r="AE2393" s="57">
        <f>REVENUE(AE2366,Settings!$C$13,INDEX(AE$420:AE$431,$D2393))</f>
        <v/>
      </c>
      <c r="AG2393" s="11">
        <f>CodePrefix&amp;$A2393&amp;IF($C2393="","","."&amp;$C2393&amp;"."&amp;$B2393)&amp;INDEX(VarEnd,MATCH($A2393,VarKey,0))&amp;AG$5</f>
        <v/>
      </c>
      <c r="AH2393" s="43">
        <f>AH2366*Settings!$C$13*(INDEX(AH$420:AH$431,$D2393))</f>
        <v/>
      </c>
      <c r="AI2393" s="44">
        <f>AI2366*Settings!$C$13*(INDEX(AI$420:AI$431,$D2393))</f>
        <v/>
      </c>
      <c r="AJ2393" s="44">
        <f>AJ2366*Settings!$C$13*(INDEX(AJ$420:AJ$431,$D2393))</f>
        <v/>
      </c>
      <c r="AK2393" s="44">
        <f>AK2366*Settings!$C$13*(INDEX(AK$420:AK$431,$D2393))</f>
        <v/>
      </c>
      <c r="AL2393" s="44">
        <f>AL2366*Settings!$C$13*(INDEX(AL$420:AL$431,$D2393))</f>
        <v/>
      </c>
      <c r="AM2393" s="44">
        <f>AM2366*Settings!$C$13*(INDEX(AM$420:AM$431,$D2393))</f>
        <v/>
      </c>
      <c r="AN2393" s="44">
        <f>AN2366*Settings!$C$13*(INDEX(AN$420:AN$431,$D2393))</f>
        <v/>
      </c>
      <c r="AO2393" s="44">
        <f>AO2366*Settings!$C$13*(INDEX(AO$420:AO$431,$D2393))</f>
        <v/>
      </c>
      <c r="AP2393" s="44">
        <f>AP2366*Settings!$C$13*(INDEX(AP$420:AP$431,$D2393))</f>
        <v/>
      </c>
      <c r="AQ2393" s="44">
        <f>AQ2366*Settings!$C$13*(INDEX(AQ$420:AQ$431,$D2393))</f>
        <v/>
      </c>
      <c r="AR2393" s="44">
        <f>AR2366*Settings!$C$13*(INDEX(AR$420:AR$431,$D2393))</f>
        <v/>
      </c>
      <c r="AS2393" s="44">
        <f>AS2366*Settings!$C$13*(INDEX(AS$420:AS$431,$D2393))</f>
        <v/>
      </c>
      <c r="AT2393" s="44">
        <f>AT2366*Settings!$C$13*(INDEX(AT$420:AT$431,$D2393))</f>
        <v/>
      </c>
      <c r="AU2393" s="44">
        <f>AU2366*Settings!$C$13*(INDEX(AU$420:AU$431,$D2393))</f>
        <v/>
      </c>
      <c r="AV2393" s="44">
        <f>AV2366*Settings!$C$13*(INDEX(AV$420:AV$431,$D2393))</f>
        <v/>
      </c>
      <c r="AW2393" s="44">
        <f>AW2366*Settings!$C$13*(INDEX(AW$420:AW$431,$D2393))</f>
        <v/>
      </c>
      <c r="AX2393" s="44">
        <f>AX2366*Settings!$C$13*(INDEX(AX$420:AX$431,$D2393))</f>
        <v/>
      </c>
      <c r="AY2393" s="44">
        <f>AY2366*Settings!$C$13*(INDEX(AY$420:AY$431,$D2393))</f>
        <v/>
      </c>
      <c r="AZ2393" s="44">
        <f>AZ2366*Settings!$C$13*(INDEX(AZ$420:AZ$431,$D2393))</f>
        <v/>
      </c>
      <c r="BA2393" s="57">
        <f>REVENUE(BA2366,Settings!$C$13,INDEX(BA$420:BA$431,$D2393))</f>
        <v/>
      </c>
    </row>
    <row r="2394" hidden="1" outlineLevel="2">
      <c r="A2394" s="14" t="inlineStr">
        <is>
          <t>rsub</t>
        </is>
      </c>
      <c r="B2394" s="14" t="inlineStr">
        <is>
          <t>gso</t>
        </is>
      </c>
      <c r="C2394" s="14" t="inlineStr">
        <is>
          <t>mac</t>
        </is>
      </c>
      <c r="D2394" s="35">
        <f>INDEX(Inputs!$U$5:$U$132,MATCH($B2394&amp;"|"&amp;$C2394,Inputs!$A$5:$A$132,0))</f>
        <v/>
      </c>
      <c r="E2394" s="39" t="n"/>
      <c r="F2394" s="39" t="n"/>
      <c r="G2394" s="39" t="n"/>
      <c r="H2394" s="14">
        <f>INDEX(VarLab,MATCH($A2394,VarKey,0))&amp;INDEX(MemLab,MATCH($C2394&amp;"|"&amp;$B2394,MemKey,0))</f>
        <v/>
      </c>
      <c r="I2394" s="14">
        <f>INDEX(VarUnit,MATCH($A2394,VarKey,0))</f>
        <v/>
      </c>
      <c r="J2394" s="14">
        <f>INDEX(VarSrc,MATCH($A2394,VarKey,0))</f>
        <v/>
      </c>
      <c r="K2394" s="11">
        <f>CodePrefix&amp;$A2394&amp;IF($C2394="","","."&amp;$C2394&amp;"."&amp;$B2394)&amp;INDEX(VarEnd,MATCH($A2394,VarKey,0))&amp;K$5</f>
        <v/>
      </c>
      <c r="L2394" s="43">
        <f>L2367*Settings!$C$13*(INDEX(L$420:L$431,$D2394))</f>
        <v/>
      </c>
      <c r="M2394" s="44">
        <f>M2367*Settings!$C$13*(INDEX(M$420:M$431,$D2394))</f>
        <v/>
      </c>
      <c r="N2394" s="44">
        <f>N2367*Settings!$C$13*(INDEX(N$420:N$431,$D2394))</f>
        <v/>
      </c>
      <c r="O2394" s="44">
        <f>O2367*Settings!$C$13*(INDEX(O$420:O$431,$D2394))</f>
        <v/>
      </c>
      <c r="P2394" s="44">
        <f>P2367*Settings!$C$13*(INDEX(P$420:P$431,$D2394))</f>
        <v/>
      </c>
      <c r="Q2394" s="44">
        <f>Q2367*Settings!$C$13*(INDEX(Q$420:Q$431,$D2394))</f>
        <v/>
      </c>
      <c r="R2394" s="44">
        <f>R2367*Settings!$C$13*(INDEX(R$420:R$431,$D2394))</f>
        <v/>
      </c>
      <c r="S2394" s="44">
        <f>S2367*Settings!$C$13*(INDEX(S$420:S$431,$D2394))</f>
        <v/>
      </c>
      <c r="T2394" s="44">
        <f>T2367*Settings!$C$13*(INDEX(T$420:T$431,$D2394))</f>
        <v/>
      </c>
      <c r="U2394" s="44">
        <f>U2367*Settings!$C$13*(INDEX(U$420:U$431,$D2394))</f>
        <v/>
      </c>
      <c r="V2394" s="44">
        <f>V2367*Settings!$C$13*(INDEX(V$420:V$431,$D2394))</f>
        <v/>
      </c>
      <c r="W2394" s="44">
        <f>W2367*Settings!$C$13*(INDEX(W$420:W$431,$D2394))</f>
        <v/>
      </c>
      <c r="X2394" s="44">
        <f>X2367*Settings!$C$13*(INDEX(X$420:X$431,$D2394))</f>
        <v/>
      </c>
      <c r="Y2394" s="44">
        <f>Y2367*Settings!$C$13*(INDEX(Y$420:Y$431,$D2394))</f>
        <v/>
      </c>
      <c r="Z2394" s="44">
        <f>Z2367*Settings!$C$13*(INDEX(Z$420:Z$431,$D2394))</f>
        <v/>
      </c>
      <c r="AA2394" s="44">
        <f>AA2367*Settings!$C$13*(INDEX(AA$420:AA$431,$D2394))</f>
        <v/>
      </c>
      <c r="AB2394" s="44">
        <f>AB2367*Settings!$C$13*(INDEX(AB$420:AB$431,$D2394))</f>
        <v/>
      </c>
      <c r="AC2394" s="44">
        <f>AC2367*Settings!$C$13*(INDEX(AC$420:AC$431,$D2394))</f>
        <v/>
      </c>
      <c r="AD2394" s="44">
        <f>AD2367*Settings!$C$13*(INDEX(AD$420:AD$431,$D2394))</f>
        <v/>
      </c>
      <c r="AE2394" s="57">
        <f>REVENUE(AE2367,Settings!$C$13,INDEX(AE$420:AE$431,$D2394))</f>
        <v/>
      </c>
      <c r="AG2394" s="11">
        <f>CodePrefix&amp;$A2394&amp;IF($C2394="","","."&amp;$C2394&amp;"."&amp;$B2394)&amp;INDEX(VarEnd,MATCH($A2394,VarKey,0))&amp;AG$5</f>
        <v/>
      </c>
      <c r="AH2394" s="43">
        <f>AH2367*Settings!$C$13*(INDEX(AH$420:AH$431,$D2394))</f>
        <v/>
      </c>
      <c r="AI2394" s="44">
        <f>AI2367*Settings!$C$13*(INDEX(AI$420:AI$431,$D2394))</f>
        <v/>
      </c>
      <c r="AJ2394" s="44">
        <f>AJ2367*Settings!$C$13*(INDEX(AJ$420:AJ$431,$D2394))</f>
        <v/>
      </c>
      <c r="AK2394" s="44">
        <f>AK2367*Settings!$C$13*(INDEX(AK$420:AK$431,$D2394))</f>
        <v/>
      </c>
      <c r="AL2394" s="44">
        <f>AL2367*Settings!$C$13*(INDEX(AL$420:AL$431,$D2394))</f>
        <v/>
      </c>
      <c r="AM2394" s="44">
        <f>AM2367*Settings!$C$13*(INDEX(AM$420:AM$431,$D2394))</f>
        <v/>
      </c>
      <c r="AN2394" s="44">
        <f>AN2367*Settings!$C$13*(INDEX(AN$420:AN$431,$D2394))</f>
        <v/>
      </c>
      <c r="AO2394" s="44">
        <f>AO2367*Settings!$C$13*(INDEX(AO$420:AO$431,$D2394))</f>
        <v/>
      </c>
      <c r="AP2394" s="44">
        <f>AP2367*Settings!$C$13*(INDEX(AP$420:AP$431,$D2394))</f>
        <v/>
      </c>
      <c r="AQ2394" s="44">
        <f>AQ2367*Settings!$C$13*(INDEX(AQ$420:AQ$431,$D2394))</f>
        <v/>
      </c>
      <c r="AR2394" s="44">
        <f>AR2367*Settings!$C$13*(INDEX(AR$420:AR$431,$D2394))</f>
        <v/>
      </c>
      <c r="AS2394" s="44">
        <f>AS2367*Settings!$C$13*(INDEX(AS$420:AS$431,$D2394))</f>
        <v/>
      </c>
      <c r="AT2394" s="44">
        <f>AT2367*Settings!$C$13*(INDEX(AT$420:AT$431,$D2394))</f>
        <v/>
      </c>
      <c r="AU2394" s="44">
        <f>AU2367*Settings!$C$13*(INDEX(AU$420:AU$431,$D2394))</f>
        <v/>
      </c>
      <c r="AV2394" s="44">
        <f>AV2367*Settings!$C$13*(INDEX(AV$420:AV$431,$D2394))</f>
        <v/>
      </c>
      <c r="AW2394" s="44">
        <f>AW2367*Settings!$C$13*(INDEX(AW$420:AW$431,$D2394))</f>
        <v/>
      </c>
      <c r="AX2394" s="44">
        <f>AX2367*Settings!$C$13*(INDEX(AX$420:AX$431,$D2394))</f>
        <v/>
      </c>
      <c r="AY2394" s="44">
        <f>AY2367*Settings!$C$13*(INDEX(AY$420:AY$431,$D2394))</f>
        <v/>
      </c>
      <c r="AZ2394" s="44">
        <f>AZ2367*Settings!$C$13*(INDEX(AZ$420:AZ$431,$D2394))</f>
        <v/>
      </c>
      <c r="BA2394" s="57">
        <f>REVENUE(BA2367,Settings!$C$13,INDEX(BA$420:BA$431,$D2394))</f>
        <v/>
      </c>
    </row>
    <row r="2395" hidden="1" outlineLevel="2">
      <c r="A2395" s="14" t="inlineStr">
        <is>
          <t>rsub</t>
        </is>
      </c>
      <c r="B2395" s="14" t="inlineStr">
        <is>
          <t>die</t>
        </is>
      </c>
      <c r="C2395" s="14" t="inlineStr">
        <is>
          <t>mac</t>
        </is>
      </c>
      <c r="D2395" s="35">
        <f>INDEX(Inputs!$U$5:$U$132,MATCH($B2395&amp;"|"&amp;$C2395,Inputs!$A$5:$A$132,0))</f>
        <v/>
      </c>
      <c r="E2395" s="39" t="n"/>
      <c r="F2395" s="39" t="n"/>
      <c r="G2395" s="39" t="n"/>
      <c r="H2395" s="14">
        <f>INDEX(VarLab,MATCH($A2395,VarKey,0))&amp;INDEX(MemLab,MATCH($C2395&amp;"|"&amp;$B2395,MemKey,0))</f>
        <v/>
      </c>
      <c r="I2395" s="14">
        <f>INDEX(VarUnit,MATCH($A2395,VarKey,0))</f>
        <v/>
      </c>
      <c r="J2395" s="14">
        <f>INDEX(VarSrc,MATCH($A2395,VarKey,0))</f>
        <v/>
      </c>
      <c r="K2395" s="11">
        <f>CodePrefix&amp;$A2395&amp;IF($C2395="","","."&amp;$C2395&amp;"."&amp;$B2395)&amp;INDEX(VarEnd,MATCH($A2395,VarKey,0))&amp;K$5</f>
        <v/>
      </c>
      <c r="L2395" s="43">
        <f>L2368*Settings!$C$13*(INDEX(L$420:L$431,$D2395))</f>
        <v/>
      </c>
      <c r="M2395" s="44">
        <f>M2368*Settings!$C$13*(INDEX(M$420:M$431,$D2395))</f>
        <v/>
      </c>
      <c r="N2395" s="44">
        <f>N2368*Settings!$C$13*(INDEX(N$420:N$431,$D2395))</f>
        <v/>
      </c>
      <c r="O2395" s="44">
        <f>O2368*Settings!$C$13*(INDEX(O$420:O$431,$D2395))</f>
        <v/>
      </c>
      <c r="P2395" s="44">
        <f>P2368*Settings!$C$13*(INDEX(P$420:P$431,$D2395))</f>
        <v/>
      </c>
      <c r="Q2395" s="44">
        <f>Q2368*Settings!$C$13*(INDEX(Q$420:Q$431,$D2395))</f>
        <v/>
      </c>
      <c r="R2395" s="44">
        <f>R2368*Settings!$C$13*(INDEX(R$420:R$431,$D2395))</f>
        <v/>
      </c>
      <c r="S2395" s="44">
        <f>S2368*Settings!$C$13*(INDEX(S$420:S$431,$D2395))</f>
        <v/>
      </c>
      <c r="T2395" s="44">
        <f>T2368*Settings!$C$13*(INDEX(T$420:T$431,$D2395))</f>
        <v/>
      </c>
      <c r="U2395" s="44">
        <f>U2368*Settings!$C$13*(INDEX(U$420:U$431,$D2395))</f>
        <v/>
      </c>
      <c r="V2395" s="44">
        <f>V2368*Settings!$C$13*(INDEX(V$420:V$431,$D2395))</f>
        <v/>
      </c>
      <c r="W2395" s="44">
        <f>W2368*Settings!$C$13*(INDEX(W$420:W$431,$D2395))</f>
        <v/>
      </c>
      <c r="X2395" s="44">
        <f>X2368*Settings!$C$13*(INDEX(X$420:X$431,$D2395))</f>
        <v/>
      </c>
      <c r="Y2395" s="44">
        <f>Y2368*Settings!$C$13*(INDEX(Y$420:Y$431,$D2395))</f>
        <v/>
      </c>
      <c r="Z2395" s="44">
        <f>Z2368*Settings!$C$13*(INDEX(Z$420:Z$431,$D2395))</f>
        <v/>
      </c>
      <c r="AA2395" s="44">
        <f>AA2368*Settings!$C$13*(INDEX(AA$420:AA$431,$D2395))</f>
        <v/>
      </c>
      <c r="AB2395" s="44">
        <f>AB2368*Settings!$C$13*(INDEX(AB$420:AB$431,$D2395))</f>
        <v/>
      </c>
      <c r="AC2395" s="44">
        <f>AC2368*Settings!$C$13*(INDEX(AC$420:AC$431,$D2395))</f>
        <v/>
      </c>
      <c r="AD2395" s="44">
        <f>AD2368*Settings!$C$13*(INDEX(AD$420:AD$431,$D2395))</f>
        <v/>
      </c>
      <c r="AE2395" s="57">
        <f>REVENUE(AE2368,Settings!$C$13,INDEX(AE$420:AE$431,$D2395))</f>
        <v/>
      </c>
      <c r="AG2395" s="11">
        <f>CodePrefix&amp;$A2395&amp;IF($C2395="","","."&amp;$C2395&amp;"."&amp;$B2395)&amp;INDEX(VarEnd,MATCH($A2395,VarKey,0))&amp;AG$5</f>
        <v/>
      </c>
      <c r="AH2395" s="43">
        <f>AH2368*Settings!$C$13*(INDEX(AH$420:AH$431,$D2395))</f>
        <v/>
      </c>
      <c r="AI2395" s="44">
        <f>AI2368*Settings!$C$13*(INDEX(AI$420:AI$431,$D2395))</f>
        <v/>
      </c>
      <c r="AJ2395" s="44">
        <f>AJ2368*Settings!$C$13*(INDEX(AJ$420:AJ$431,$D2395))</f>
        <v/>
      </c>
      <c r="AK2395" s="44">
        <f>AK2368*Settings!$C$13*(INDEX(AK$420:AK$431,$D2395))</f>
        <v/>
      </c>
      <c r="AL2395" s="44">
        <f>AL2368*Settings!$C$13*(INDEX(AL$420:AL$431,$D2395))</f>
        <v/>
      </c>
      <c r="AM2395" s="44">
        <f>AM2368*Settings!$C$13*(INDEX(AM$420:AM$431,$D2395))</f>
        <v/>
      </c>
      <c r="AN2395" s="44">
        <f>AN2368*Settings!$C$13*(INDEX(AN$420:AN$431,$D2395))</f>
        <v/>
      </c>
      <c r="AO2395" s="44">
        <f>AO2368*Settings!$C$13*(INDEX(AO$420:AO$431,$D2395))</f>
        <v/>
      </c>
      <c r="AP2395" s="44">
        <f>AP2368*Settings!$C$13*(INDEX(AP$420:AP$431,$D2395))</f>
        <v/>
      </c>
      <c r="AQ2395" s="44">
        <f>AQ2368*Settings!$C$13*(INDEX(AQ$420:AQ$431,$D2395))</f>
        <v/>
      </c>
      <c r="AR2395" s="44">
        <f>AR2368*Settings!$C$13*(INDEX(AR$420:AR$431,$D2395))</f>
        <v/>
      </c>
      <c r="AS2395" s="44">
        <f>AS2368*Settings!$C$13*(INDEX(AS$420:AS$431,$D2395))</f>
        <v/>
      </c>
      <c r="AT2395" s="44">
        <f>AT2368*Settings!$C$13*(INDEX(AT$420:AT$431,$D2395))</f>
        <v/>
      </c>
      <c r="AU2395" s="44">
        <f>AU2368*Settings!$C$13*(INDEX(AU$420:AU$431,$D2395))</f>
        <v/>
      </c>
      <c r="AV2395" s="44">
        <f>AV2368*Settings!$C$13*(INDEX(AV$420:AV$431,$D2395))</f>
        <v/>
      </c>
      <c r="AW2395" s="44">
        <f>AW2368*Settings!$C$13*(INDEX(AW$420:AW$431,$D2395))</f>
        <v/>
      </c>
      <c r="AX2395" s="44">
        <f>AX2368*Settings!$C$13*(INDEX(AX$420:AX$431,$D2395))</f>
        <v/>
      </c>
      <c r="AY2395" s="44">
        <f>AY2368*Settings!$C$13*(INDEX(AY$420:AY$431,$D2395))</f>
        <v/>
      </c>
      <c r="AZ2395" s="44">
        <f>AZ2368*Settings!$C$13*(INDEX(AZ$420:AZ$431,$D2395))</f>
        <v/>
      </c>
      <c r="BA2395" s="57">
        <f>REVENUE(BA2368,Settings!$C$13,INDEX(BA$420:BA$431,$D2395))</f>
        <v/>
      </c>
    </row>
    <row r="2396" hidden="1" outlineLevel="2">
      <c r="A2396" s="14" t="inlineStr">
        <is>
          <t>rsub</t>
        </is>
      </c>
      <c r="B2396" s="14" t="inlineStr">
        <is>
          <t>lpg</t>
        </is>
      </c>
      <c r="C2396" s="14" t="inlineStr">
        <is>
          <t>mac</t>
        </is>
      </c>
      <c r="D2396" s="35">
        <f>INDEX(Inputs!$U$5:$U$132,MATCH($B2396&amp;"|"&amp;$C2396,Inputs!$A$5:$A$132,0))</f>
        <v/>
      </c>
      <c r="E2396" s="39" t="n"/>
      <c r="F2396" s="39" t="n"/>
      <c r="G2396" s="39" t="n"/>
      <c r="H2396" s="14">
        <f>INDEX(VarLab,MATCH($A2396,VarKey,0))&amp;INDEX(MemLab,MATCH($C2396&amp;"|"&amp;$B2396,MemKey,0))</f>
        <v/>
      </c>
      <c r="I2396" s="14">
        <f>INDEX(VarUnit,MATCH($A2396,VarKey,0))</f>
        <v/>
      </c>
      <c r="J2396" s="14">
        <f>INDEX(VarSrc,MATCH($A2396,VarKey,0))</f>
        <v/>
      </c>
      <c r="K2396" s="11">
        <f>CodePrefix&amp;$A2396&amp;IF($C2396="","","."&amp;$C2396&amp;"."&amp;$B2396)&amp;INDEX(VarEnd,MATCH($A2396,VarKey,0))&amp;K$5</f>
        <v/>
      </c>
      <c r="L2396" s="43">
        <f>L2369*Settings!$C$13*(INDEX(L$420:L$431,$D2396))</f>
        <v/>
      </c>
      <c r="M2396" s="44">
        <f>M2369*Settings!$C$13*(INDEX(M$420:M$431,$D2396))</f>
        <v/>
      </c>
      <c r="N2396" s="44">
        <f>N2369*Settings!$C$13*(INDEX(N$420:N$431,$D2396))</f>
        <v/>
      </c>
      <c r="O2396" s="44">
        <f>O2369*Settings!$C$13*(INDEX(O$420:O$431,$D2396))</f>
        <v/>
      </c>
      <c r="P2396" s="44">
        <f>P2369*Settings!$C$13*(INDEX(P$420:P$431,$D2396))</f>
        <v/>
      </c>
      <c r="Q2396" s="44">
        <f>Q2369*Settings!$C$13*(INDEX(Q$420:Q$431,$D2396))</f>
        <v/>
      </c>
      <c r="R2396" s="44">
        <f>R2369*Settings!$C$13*(INDEX(R$420:R$431,$D2396))</f>
        <v/>
      </c>
      <c r="S2396" s="44">
        <f>S2369*Settings!$C$13*(INDEX(S$420:S$431,$D2396))</f>
        <v/>
      </c>
      <c r="T2396" s="44">
        <f>T2369*Settings!$C$13*(INDEX(T$420:T$431,$D2396))</f>
        <v/>
      </c>
      <c r="U2396" s="44">
        <f>U2369*Settings!$C$13*(INDEX(U$420:U$431,$D2396))</f>
        <v/>
      </c>
      <c r="V2396" s="44">
        <f>V2369*Settings!$C$13*(INDEX(V$420:V$431,$D2396))</f>
        <v/>
      </c>
      <c r="W2396" s="44">
        <f>W2369*Settings!$C$13*(INDEX(W$420:W$431,$D2396))</f>
        <v/>
      </c>
      <c r="X2396" s="44">
        <f>X2369*Settings!$C$13*(INDEX(X$420:X$431,$D2396))</f>
        <v/>
      </c>
      <c r="Y2396" s="44">
        <f>Y2369*Settings!$C$13*(INDEX(Y$420:Y$431,$D2396))</f>
        <v/>
      </c>
      <c r="Z2396" s="44">
        <f>Z2369*Settings!$C$13*(INDEX(Z$420:Z$431,$D2396))</f>
        <v/>
      </c>
      <c r="AA2396" s="44">
        <f>AA2369*Settings!$C$13*(INDEX(AA$420:AA$431,$D2396))</f>
        <v/>
      </c>
      <c r="AB2396" s="44">
        <f>AB2369*Settings!$C$13*(INDEX(AB$420:AB$431,$D2396))</f>
        <v/>
      </c>
      <c r="AC2396" s="44">
        <f>AC2369*Settings!$C$13*(INDEX(AC$420:AC$431,$D2396))</f>
        <v/>
      </c>
      <c r="AD2396" s="44">
        <f>AD2369*Settings!$C$13*(INDEX(AD$420:AD$431,$D2396))</f>
        <v/>
      </c>
      <c r="AE2396" s="57">
        <f>REVENUE(AE2369,Settings!$C$13,INDEX(AE$420:AE$431,$D2396))</f>
        <v/>
      </c>
      <c r="AG2396" s="11">
        <f>CodePrefix&amp;$A2396&amp;IF($C2396="","","."&amp;$C2396&amp;"."&amp;$B2396)&amp;INDEX(VarEnd,MATCH($A2396,VarKey,0))&amp;AG$5</f>
        <v/>
      </c>
      <c r="AH2396" s="43">
        <f>AH2369*Settings!$C$13*(INDEX(AH$420:AH$431,$D2396))</f>
        <v/>
      </c>
      <c r="AI2396" s="44">
        <f>AI2369*Settings!$C$13*(INDEX(AI$420:AI$431,$D2396))</f>
        <v/>
      </c>
      <c r="AJ2396" s="44">
        <f>AJ2369*Settings!$C$13*(INDEX(AJ$420:AJ$431,$D2396))</f>
        <v/>
      </c>
      <c r="AK2396" s="44">
        <f>AK2369*Settings!$C$13*(INDEX(AK$420:AK$431,$D2396))</f>
        <v/>
      </c>
      <c r="AL2396" s="44">
        <f>AL2369*Settings!$C$13*(INDEX(AL$420:AL$431,$D2396))</f>
        <v/>
      </c>
      <c r="AM2396" s="44">
        <f>AM2369*Settings!$C$13*(INDEX(AM$420:AM$431,$D2396))</f>
        <v/>
      </c>
      <c r="AN2396" s="44">
        <f>AN2369*Settings!$C$13*(INDEX(AN$420:AN$431,$D2396))</f>
        <v/>
      </c>
      <c r="AO2396" s="44">
        <f>AO2369*Settings!$C$13*(INDEX(AO$420:AO$431,$D2396))</f>
        <v/>
      </c>
      <c r="AP2396" s="44">
        <f>AP2369*Settings!$C$13*(INDEX(AP$420:AP$431,$D2396))</f>
        <v/>
      </c>
      <c r="AQ2396" s="44">
        <f>AQ2369*Settings!$C$13*(INDEX(AQ$420:AQ$431,$D2396))</f>
        <v/>
      </c>
      <c r="AR2396" s="44">
        <f>AR2369*Settings!$C$13*(INDEX(AR$420:AR$431,$D2396))</f>
        <v/>
      </c>
      <c r="AS2396" s="44">
        <f>AS2369*Settings!$C$13*(INDEX(AS$420:AS$431,$D2396))</f>
        <v/>
      </c>
      <c r="AT2396" s="44">
        <f>AT2369*Settings!$C$13*(INDEX(AT$420:AT$431,$D2396))</f>
        <v/>
      </c>
      <c r="AU2396" s="44">
        <f>AU2369*Settings!$C$13*(INDEX(AU$420:AU$431,$D2396))</f>
        <v/>
      </c>
      <c r="AV2396" s="44">
        <f>AV2369*Settings!$C$13*(INDEX(AV$420:AV$431,$D2396))</f>
        <v/>
      </c>
      <c r="AW2396" s="44">
        <f>AW2369*Settings!$C$13*(INDEX(AW$420:AW$431,$D2396))</f>
        <v/>
      </c>
      <c r="AX2396" s="44">
        <f>AX2369*Settings!$C$13*(INDEX(AX$420:AX$431,$D2396))</f>
        <v/>
      </c>
      <c r="AY2396" s="44">
        <f>AY2369*Settings!$C$13*(INDEX(AY$420:AY$431,$D2396))</f>
        <v/>
      </c>
      <c r="AZ2396" s="44">
        <f>AZ2369*Settings!$C$13*(INDEX(AZ$420:AZ$431,$D2396))</f>
        <v/>
      </c>
      <c r="BA2396" s="57">
        <f>REVENUE(BA2369,Settings!$C$13,INDEX(BA$420:BA$431,$D2396))</f>
        <v/>
      </c>
    </row>
    <row r="2397" hidden="1" outlineLevel="2">
      <c r="A2397" s="14" t="inlineStr">
        <is>
          <t>rsub</t>
        </is>
      </c>
      <c r="B2397" s="14" t="inlineStr">
        <is>
          <t>ker</t>
        </is>
      </c>
      <c r="C2397" s="14" t="inlineStr">
        <is>
          <t>mac</t>
        </is>
      </c>
      <c r="D2397" s="35">
        <f>INDEX(Inputs!$U$5:$U$132,MATCH($B2397&amp;"|"&amp;$C2397,Inputs!$A$5:$A$132,0))</f>
        <v/>
      </c>
      <c r="E2397" s="39" t="n"/>
      <c r="F2397" s="39" t="n"/>
      <c r="G2397" s="39" t="n"/>
      <c r="H2397" s="14">
        <f>INDEX(VarLab,MATCH($A2397,VarKey,0))&amp;INDEX(MemLab,MATCH($C2397&amp;"|"&amp;$B2397,MemKey,0))</f>
        <v/>
      </c>
      <c r="I2397" s="14">
        <f>INDEX(VarUnit,MATCH($A2397,VarKey,0))</f>
        <v/>
      </c>
      <c r="J2397" s="14">
        <f>INDEX(VarSrc,MATCH($A2397,VarKey,0))</f>
        <v/>
      </c>
      <c r="K2397" s="11">
        <f>CodePrefix&amp;$A2397&amp;IF($C2397="","","."&amp;$C2397&amp;"."&amp;$B2397)&amp;INDEX(VarEnd,MATCH($A2397,VarKey,0))&amp;K$5</f>
        <v/>
      </c>
      <c r="L2397" s="43">
        <f>L2370*Settings!$C$13*(INDEX(L$420:L$431,$D2397))</f>
        <v/>
      </c>
      <c r="M2397" s="44">
        <f>M2370*Settings!$C$13*(INDEX(M$420:M$431,$D2397))</f>
        <v/>
      </c>
      <c r="N2397" s="44">
        <f>N2370*Settings!$C$13*(INDEX(N$420:N$431,$D2397))</f>
        <v/>
      </c>
      <c r="O2397" s="44">
        <f>O2370*Settings!$C$13*(INDEX(O$420:O$431,$D2397))</f>
        <v/>
      </c>
      <c r="P2397" s="44">
        <f>P2370*Settings!$C$13*(INDEX(P$420:P$431,$D2397))</f>
        <v/>
      </c>
      <c r="Q2397" s="44">
        <f>Q2370*Settings!$C$13*(INDEX(Q$420:Q$431,$D2397))</f>
        <v/>
      </c>
      <c r="R2397" s="44">
        <f>R2370*Settings!$C$13*(INDEX(R$420:R$431,$D2397))</f>
        <v/>
      </c>
      <c r="S2397" s="44">
        <f>S2370*Settings!$C$13*(INDEX(S$420:S$431,$D2397))</f>
        <v/>
      </c>
      <c r="T2397" s="44">
        <f>T2370*Settings!$C$13*(INDEX(T$420:T$431,$D2397))</f>
        <v/>
      </c>
      <c r="U2397" s="44">
        <f>U2370*Settings!$C$13*(INDEX(U$420:U$431,$D2397))</f>
        <v/>
      </c>
      <c r="V2397" s="44">
        <f>V2370*Settings!$C$13*(INDEX(V$420:V$431,$D2397))</f>
        <v/>
      </c>
      <c r="W2397" s="44">
        <f>W2370*Settings!$C$13*(INDEX(W$420:W$431,$D2397))</f>
        <v/>
      </c>
      <c r="X2397" s="44">
        <f>X2370*Settings!$C$13*(INDEX(X$420:X$431,$D2397))</f>
        <v/>
      </c>
      <c r="Y2397" s="44">
        <f>Y2370*Settings!$C$13*(INDEX(Y$420:Y$431,$D2397))</f>
        <v/>
      </c>
      <c r="Z2397" s="44">
        <f>Z2370*Settings!$C$13*(INDEX(Z$420:Z$431,$D2397))</f>
        <v/>
      </c>
      <c r="AA2397" s="44">
        <f>AA2370*Settings!$C$13*(INDEX(AA$420:AA$431,$D2397))</f>
        <v/>
      </c>
      <c r="AB2397" s="44">
        <f>AB2370*Settings!$C$13*(INDEX(AB$420:AB$431,$D2397))</f>
        <v/>
      </c>
      <c r="AC2397" s="44">
        <f>AC2370*Settings!$C$13*(INDEX(AC$420:AC$431,$D2397))</f>
        <v/>
      </c>
      <c r="AD2397" s="44">
        <f>AD2370*Settings!$C$13*(INDEX(AD$420:AD$431,$D2397))</f>
        <v/>
      </c>
      <c r="AE2397" s="57">
        <f>REVENUE(AE2370,Settings!$C$13,INDEX(AE$420:AE$431,$D2397))</f>
        <v/>
      </c>
      <c r="AG2397" s="11">
        <f>CodePrefix&amp;$A2397&amp;IF($C2397="","","."&amp;$C2397&amp;"."&amp;$B2397)&amp;INDEX(VarEnd,MATCH($A2397,VarKey,0))&amp;AG$5</f>
        <v/>
      </c>
      <c r="AH2397" s="43">
        <f>AH2370*Settings!$C$13*(INDEX(AH$420:AH$431,$D2397))</f>
        <v/>
      </c>
      <c r="AI2397" s="44">
        <f>AI2370*Settings!$C$13*(INDEX(AI$420:AI$431,$D2397))</f>
        <v/>
      </c>
      <c r="AJ2397" s="44">
        <f>AJ2370*Settings!$C$13*(INDEX(AJ$420:AJ$431,$D2397))</f>
        <v/>
      </c>
      <c r="AK2397" s="44">
        <f>AK2370*Settings!$C$13*(INDEX(AK$420:AK$431,$D2397))</f>
        <v/>
      </c>
      <c r="AL2397" s="44">
        <f>AL2370*Settings!$C$13*(INDEX(AL$420:AL$431,$D2397))</f>
        <v/>
      </c>
      <c r="AM2397" s="44">
        <f>AM2370*Settings!$C$13*(INDEX(AM$420:AM$431,$D2397))</f>
        <v/>
      </c>
      <c r="AN2397" s="44">
        <f>AN2370*Settings!$C$13*(INDEX(AN$420:AN$431,$D2397))</f>
        <v/>
      </c>
      <c r="AO2397" s="44">
        <f>AO2370*Settings!$C$13*(INDEX(AO$420:AO$431,$D2397))</f>
        <v/>
      </c>
      <c r="AP2397" s="44">
        <f>AP2370*Settings!$C$13*(INDEX(AP$420:AP$431,$D2397))</f>
        <v/>
      </c>
      <c r="AQ2397" s="44">
        <f>AQ2370*Settings!$C$13*(INDEX(AQ$420:AQ$431,$D2397))</f>
        <v/>
      </c>
      <c r="AR2397" s="44">
        <f>AR2370*Settings!$C$13*(INDEX(AR$420:AR$431,$D2397))</f>
        <v/>
      </c>
      <c r="AS2397" s="44">
        <f>AS2370*Settings!$C$13*(INDEX(AS$420:AS$431,$D2397))</f>
        <v/>
      </c>
      <c r="AT2397" s="44">
        <f>AT2370*Settings!$C$13*(INDEX(AT$420:AT$431,$D2397))</f>
        <v/>
      </c>
      <c r="AU2397" s="44">
        <f>AU2370*Settings!$C$13*(INDEX(AU$420:AU$431,$D2397))</f>
        <v/>
      </c>
      <c r="AV2397" s="44">
        <f>AV2370*Settings!$C$13*(INDEX(AV$420:AV$431,$D2397))</f>
        <v/>
      </c>
      <c r="AW2397" s="44">
        <f>AW2370*Settings!$C$13*(INDEX(AW$420:AW$431,$D2397))</f>
        <v/>
      </c>
      <c r="AX2397" s="44">
        <f>AX2370*Settings!$C$13*(INDEX(AX$420:AX$431,$D2397))</f>
        <v/>
      </c>
      <c r="AY2397" s="44">
        <f>AY2370*Settings!$C$13*(INDEX(AY$420:AY$431,$D2397))</f>
        <v/>
      </c>
      <c r="AZ2397" s="44">
        <f>AZ2370*Settings!$C$13*(INDEX(AZ$420:AZ$431,$D2397))</f>
        <v/>
      </c>
      <c r="BA2397" s="57">
        <f>REVENUE(BA2370,Settings!$C$13,INDEX(BA$420:BA$431,$D2397))</f>
        <v/>
      </c>
    </row>
    <row r="2398" hidden="1" outlineLevel="2">
      <c r="A2398" s="14" t="inlineStr">
        <is>
          <t>rsub</t>
        </is>
      </c>
      <c r="B2398" s="14" t="inlineStr">
        <is>
          <t>oop</t>
        </is>
      </c>
      <c r="C2398" s="14" t="inlineStr">
        <is>
          <t>mac</t>
        </is>
      </c>
      <c r="D2398" s="35">
        <f>INDEX(Inputs!$U$5:$U$132,MATCH($B2398&amp;"|"&amp;$C2398,Inputs!$A$5:$A$132,0))</f>
        <v/>
      </c>
      <c r="E2398" s="39" t="n"/>
      <c r="F2398" s="39" t="n"/>
      <c r="G2398" s="39" t="n"/>
      <c r="H2398" s="14">
        <f>INDEX(VarLab,MATCH($A2398,VarKey,0))&amp;INDEX(MemLab,MATCH($C2398&amp;"|"&amp;$B2398,MemKey,0))</f>
        <v/>
      </c>
      <c r="I2398" s="14">
        <f>INDEX(VarUnit,MATCH($A2398,VarKey,0))</f>
        <v/>
      </c>
      <c r="J2398" s="14">
        <f>INDEX(VarSrc,MATCH($A2398,VarKey,0))</f>
        <v/>
      </c>
      <c r="K2398" s="11">
        <f>CodePrefix&amp;$A2398&amp;IF($C2398="","","."&amp;$C2398&amp;"."&amp;$B2398)&amp;INDEX(VarEnd,MATCH($A2398,VarKey,0))&amp;K$5</f>
        <v/>
      </c>
      <c r="L2398" s="43">
        <f>L2371*Settings!$C$13*(INDEX(L$420:L$431,$D2398))</f>
        <v/>
      </c>
      <c r="M2398" s="44">
        <f>M2371*Settings!$C$13*(INDEX(M$420:M$431,$D2398))</f>
        <v/>
      </c>
      <c r="N2398" s="44">
        <f>N2371*Settings!$C$13*(INDEX(N$420:N$431,$D2398))</f>
        <v/>
      </c>
      <c r="O2398" s="44">
        <f>O2371*Settings!$C$13*(INDEX(O$420:O$431,$D2398))</f>
        <v/>
      </c>
      <c r="P2398" s="44">
        <f>P2371*Settings!$C$13*(INDEX(P$420:P$431,$D2398))</f>
        <v/>
      </c>
      <c r="Q2398" s="44">
        <f>Q2371*Settings!$C$13*(INDEX(Q$420:Q$431,$D2398))</f>
        <v/>
      </c>
      <c r="R2398" s="44">
        <f>R2371*Settings!$C$13*(INDEX(R$420:R$431,$D2398))</f>
        <v/>
      </c>
      <c r="S2398" s="44">
        <f>S2371*Settings!$C$13*(INDEX(S$420:S$431,$D2398))</f>
        <v/>
      </c>
      <c r="T2398" s="44">
        <f>T2371*Settings!$C$13*(INDEX(T$420:T$431,$D2398))</f>
        <v/>
      </c>
      <c r="U2398" s="44">
        <f>U2371*Settings!$C$13*(INDEX(U$420:U$431,$D2398))</f>
        <v/>
      </c>
      <c r="V2398" s="44">
        <f>V2371*Settings!$C$13*(INDEX(V$420:V$431,$D2398))</f>
        <v/>
      </c>
      <c r="W2398" s="44">
        <f>W2371*Settings!$C$13*(INDEX(W$420:W$431,$D2398))</f>
        <v/>
      </c>
      <c r="X2398" s="44">
        <f>X2371*Settings!$C$13*(INDEX(X$420:X$431,$D2398))</f>
        <v/>
      </c>
      <c r="Y2398" s="44">
        <f>Y2371*Settings!$C$13*(INDEX(Y$420:Y$431,$D2398))</f>
        <v/>
      </c>
      <c r="Z2398" s="44">
        <f>Z2371*Settings!$C$13*(INDEX(Z$420:Z$431,$D2398))</f>
        <v/>
      </c>
      <c r="AA2398" s="44">
        <f>AA2371*Settings!$C$13*(INDEX(AA$420:AA$431,$D2398))</f>
        <v/>
      </c>
      <c r="AB2398" s="44">
        <f>AB2371*Settings!$C$13*(INDEX(AB$420:AB$431,$D2398))</f>
        <v/>
      </c>
      <c r="AC2398" s="44">
        <f>AC2371*Settings!$C$13*(INDEX(AC$420:AC$431,$D2398))</f>
        <v/>
      </c>
      <c r="AD2398" s="44">
        <f>AD2371*Settings!$C$13*(INDEX(AD$420:AD$431,$D2398))</f>
        <v/>
      </c>
      <c r="AE2398" s="57">
        <f>REVENUE(AE2371,Settings!$C$13,INDEX(AE$420:AE$431,$D2398))</f>
        <v/>
      </c>
      <c r="AG2398" s="11">
        <f>CodePrefix&amp;$A2398&amp;IF($C2398="","","."&amp;$C2398&amp;"."&amp;$B2398)&amp;INDEX(VarEnd,MATCH($A2398,VarKey,0))&amp;AG$5</f>
        <v/>
      </c>
      <c r="AH2398" s="43">
        <f>AH2371*Settings!$C$13*(INDEX(AH$420:AH$431,$D2398))</f>
        <v/>
      </c>
      <c r="AI2398" s="44">
        <f>AI2371*Settings!$C$13*(INDEX(AI$420:AI$431,$D2398))</f>
        <v/>
      </c>
      <c r="AJ2398" s="44">
        <f>AJ2371*Settings!$C$13*(INDEX(AJ$420:AJ$431,$D2398))</f>
        <v/>
      </c>
      <c r="AK2398" s="44">
        <f>AK2371*Settings!$C$13*(INDEX(AK$420:AK$431,$D2398))</f>
        <v/>
      </c>
      <c r="AL2398" s="44">
        <f>AL2371*Settings!$C$13*(INDEX(AL$420:AL$431,$D2398))</f>
        <v/>
      </c>
      <c r="AM2398" s="44">
        <f>AM2371*Settings!$C$13*(INDEX(AM$420:AM$431,$D2398))</f>
        <v/>
      </c>
      <c r="AN2398" s="44">
        <f>AN2371*Settings!$C$13*(INDEX(AN$420:AN$431,$D2398))</f>
        <v/>
      </c>
      <c r="AO2398" s="44">
        <f>AO2371*Settings!$C$13*(INDEX(AO$420:AO$431,$D2398))</f>
        <v/>
      </c>
      <c r="AP2398" s="44">
        <f>AP2371*Settings!$C$13*(INDEX(AP$420:AP$431,$D2398))</f>
        <v/>
      </c>
      <c r="AQ2398" s="44">
        <f>AQ2371*Settings!$C$13*(INDEX(AQ$420:AQ$431,$D2398))</f>
        <v/>
      </c>
      <c r="AR2398" s="44">
        <f>AR2371*Settings!$C$13*(INDEX(AR$420:AR$431,$D2398))</f>
        <v/>
      </c>
      <c r="AS2398" s="44">
        <f>AS2371*Settings!$C$13*(INDEX(AS$420:AS$431,$D2398))</f>
        <v/>
      </c>
      <c r="AT2398" s="44">
        <f>AT2371*Settings!$C$13*(INDEX(AT$420:AT$431,$D2398))</f>
        <v/>
      </c>
      <c r="AU2398" s="44">
        <f>AU2371*Settings!$C$13*(INDEX(AU$420:AU$431,$D2398))</f>
        <v/>
      </c>
      <c r="AV2398" s="44">
        <f>AV2371*Settings!$C$13*(INDEX(AV$420:AV$431,$D2398))</f>
        <v/>
      </c>
      <c r="AW2398" s="44">
        <f>AW2371*Settings!$C$13*(INDEX(AW$420:AW$431,$D2398))</f>
        <v/>
      </c>
      <c r="AX2398" s="44">
        <f>AX2371*Settings!$C$13*(INDEX(AX$420:AX$431,$D2398))</f>
        <v/>
      </c>
      <c r="AY2398" s="44">
        <f>AY2371*Settings!$C$13*(INDEX(AY$420:AY$431,$D2398))</f>
        <v/>
      </c>
      <c r="AZ2398" s="44">
        <f>AZ2371*Settings!$C$13*(INDEX(AZ$420:AZ$431,$D2398))</f>
        <v/>
      </c>
      <c r="BA2398" s="57">
        <f>REVENUE(BA2371,Settings!$C$13,INDEX(BA$420:BA$431,$D2398))</f>
        <v/>
      </c>
    </row>
    <row r="2399" hidden="1" outlineLevel="2">
      <c r="A2399" s="14" t="inlineStr">
        <is>
          <t>rsub</t>
        </is>
      </c>
      <c r="B2399" s="14" t="inlineStr">
        <is>
          <t>bio</t>
        </is>
      </c>
      <c r="C2399" s="14" t="inlineStr">
        <is>
          <t>mac</t>
        </is>
      </c>
      <c r="D2399" s="35">
        <f>INDEX(Inputs!$U$5:$U$132,MATCH($B2399&amp;"|"&amp;$C2399,Inputs!$A$5:$A$132,0))</f>
        <v/>
      </c>
      <c r="E2399" s="39" t="n"/>
      <c r="F2399" s="39" t="n"/>
      <c r="G2399" s="39" t="n"/>
      <c r="H2399" s="14">
        <f>INDEX(VarLab,MATCH($A2399,VarKey,0))&amp;INDEX(MemLab,MATCH($C2399&amp;"|"&amp;$B2399,MemKey,0))</f>
        <v/>
      </c>
      <c r="I2399" s="14">
        <f>INDEX(VarUnit,MATCH($A2399,VarKey,0))</f>
        <v/>
      </c>
      <c r="J2399" s="14">
        <f>INDEX(VarSrc,MATCH($A2399,VarKey,0))</f>
        <v/>
      </c>
      <c r="K2399" s="11">
        <f>CodePrefix&amp;$A2399&amp;IF($C2399="","","."&amp;$C2399&amp;"."&amp;$B2399)&amp;INDEX(VarEnd,MATCH($A2399,VarKey,0))&amp;K$5</f>
        <v/>
      </c>
      <c r="L2399" s="43">
        <f>L2372*Settings!$C$13*(INDEX(L$420:L$431,$D2399))</f>
        <v/>
      </c>
      <c r="M2399" s="44">
        <f>M2372*Settings!$C$13*(INDEX(M$420:M$431,$D2399))</f>
        <v/>
      </c>
      <c r="N2399" s="44">
        <f>N2372*Settings!$C$13*(INDEX(N$420:N$431,$D2399))</f>
        <v/>
      </c>
      <c r="O2399" s="44">
        <f>O2372*Settings!$C$13*(INDEX(O$420:O$431,$D2399))</f>
        <v/>
      </c>
      <c r="P2399" s="44">
        <f>P2372*Settings!$C$13*(INDEX(P$420:P$431,$D2399))</f>
        <v/>
      </c>
      <c r="Q2399" s="44">
        <f>Q2372*Settings!$C$13*(INDEX(Q$420:Q$431,$D2399))</f>
        <v/>
      </c>
      <c r="R2399" s="44">
        <f>R2372*Settings!$C$13*(INDEX(R$420:R$431,$D2399))</f>
        <v/>
      </c>
      <c r="S2399" s="44">
        <f>S2372*Settings!$C$13*(INDEX(S$420:S$431,$D2399))</f>
        <v/>
      </c>
      <c r="T2399" s="44">
        <f>T2372*Settings!$C$13*(INDEX(T$420:T$431,$D2399))</f>
        <v/>
      </c>
      <c r="U2399" s="44">
        <f>U2372*Settings!$C$13*(INDEX(U$420:U$431,$D2399))</f>
        <v/>
      </c>
      <c r="V2399" s="44">
        <f>V2372*Settings!$C$13*(INDEX(V$420:V$431,$D2399))</f>
        <v/>
      </c>
      <c r="W2399" s="44">
        <f>W2372*Settings!$C$13*(INDEX(W$420:W$431,$D2399))</f>
        <v/>
      </c>
      <c r="X2399" s="44">
        <f>X2372*Settings!$C$13*(INDEX(X$420:X$431,$D2399))</f>
        <v/>
      </c>
      <c r="Y2399" s="44">
        <f>Y2372*Settings!$C$13*(INDEX(Y$420:Y$431,$D2399))</f>
        <v/>
      </c>
      <c r="Z2399" s="44">
        <f>Z2372*Settings!$C$13*(INDEX(Z$420:Z$431,$D2399))</f>
        <v/>
      </c>
      <c r="AA2399" s="44">
        <f>AA2372*Settings!$C$13*(INDEX(AA$420:AA$431,$D2399))</f>
        <v/>
      </c>
      <c r="AB2399" s="44">
        <f>AB2372*Settings!$C$13*(INDEX(AB$420:AB$431,$D2399))</f>
        <v/>
      </c>
      <c r="AC2399" s="44">
        <f>AC2372*Settings!$C$13*(INDEX(AC$420:AC$431,$D2399))</f>
        <v/>
      </c>
      <c r="AD2399" s="44">
        <f>AD2372*Settings!$C$13*(INDEX(AD$420:AD$431,$D2399))</f>
        <v/>
      </c>
      <c r="AE2399" s="57">
        <f>REVENUE(AE2372,Settings!$C$13,INDEX(AE$420:AE$431,$D2399))</f>
        <v/>
      </c>
      <c r="AG2399" s="11">
        <f>CodePrefix&amp;$A2399&amp;IF($C2399="","","."&amp;$C2399&amp;"."&amp;$B2399)&amp;INDEX(VarEnd,MATCH($A2399,VarKey,0))&amp;AG$5</f>
        <v/>
      </c>
      <c r="AH2399" s="43">
        <f>AH2372*Settings!$C$13*(INDEX(AH$420:AH$431,$D2399))</f>
        <v/>
      </c>
      <c r="AI2399" s="44">
        <f>AI2372*Settings!$C$13*(INDEX(AI$420:AI$431,$D2399))</f>
        <v/>
      </c>
      <c r="AJ2399" s="44">
        <f>AJ2372*Settings!$C$13*(INDEX(AJ$420:AJ$431,$D2399))</f>
        <v/>
      </c>
      <c r="AK2399" s="44">
        <f>AK2372*Settings!$C$13*(INDEX(AK$420:AK$431,$D2399))</f>
        <v/>
      </c>
      <c r="AL2399" s="44">
        <f>AL2372*Settings!$C$13*(INDEX(AL$420:AL$431,$D2399))</f>
        <v/>
      </c>
      <c r="AM2399" s="44">
        <f>AM2372*Settings!$C$13*(INDEX(AM$420:AM$431,$D2399))</f>
        <v/>
      </c>
      <c r="AN2399" s="44">
        <f>AN2372*Settings!$C$13*(INDEX(AN$420:AN$431,$D2399))</f>
        <v/>
      </c>
      <c r="AO2399" s="44">
        <f>AO2372*Settings!$C$13*(INDEX(AO$420:AO$431,$D2399))</f>
        <v/>
      </c>
      <c r="AP2399" s="44">
        <f>AP2372*Settings!$C$13*(INDEX(AP$420:AP$431,$D2399))</f>
        <v/>
      </c>
      <c r="AQ2399" s="44">
        <f>AQ2372*Settings!$C$13*(INDEX(AQ$420:AQ$431,$D2399))</f>
        <v/>
      </c>
      <c r="AR2399" s="44">
        <f>AR2372*Settings!$C$13*(INDEX(AR$420:AR$431,$D2399))</f>
        <v/>
      </c>
      <c r="AS2399" s="44">
        <f>AS2372*Settings!$C$13*(INDEX(AS$420:AS$431,$D2399))</f>
        <v/>
      </c>
      <c r="AT2399" s="44">
        <f>AT2372*Settings!$C$13*(INDEX(AT$420:AT$431,$D2399))</f>
        <v/>
      </c>
      <c r="AU2399" s="44">
        <f>AU2372*Settings!$C$13*(INDEX(AU$420:AU$431,$D2399))</f>
        <v/>
      </c>
      <c r="AV2399" s="44">
        <f>AV2372*Settings!$C$13*(INDEX(AV$420:AV$431,$D2399))</f>
        <v/>
      </c>
      <c r="AW2399" s="44">
        <f>AW2372*Settings!$C$13*(INDEX(AW$420:AW$431,$D2399))</f>
        <v/>
      </c>
      <c r="AX2399" s="44">
        <f>AX2372*Settings!$C$13*(INDEX(AX$420:AX$431,$D2399))</f>
        <v/>
      </c>
      <c r="AY2399" s="44">
        <f>AY2372*Settings!$C$13*(INDEX(AY$420:AY$431,$D2399))</f>
        <v/>
      </c>
      <c r="AZ2399" s="44">
        <f>AZ2372*Settings!$C$13*(INDEX(AZ$420:AZ$431,$D2399))</f>
        <v/>
      </c>
      <c r="BA2399" s="57">
        <f>REVENUE(BA2372,Settings!$C$13,INDEX(BA$420:BA$431,$D2399))</f>
        <v/>
      </c>
    </row>
    <row r="2400" hidden="1" outlineLevel="2"/>
    <row r="2401" hidden="1" outlineLevel="2">
      <c r="A2401" s="14" t="inlineStr">
        <is>
          <t>rnew</t>
        </is>
      </c>
      <c r="B2401" s="14" t="inlineStr">
        <is>
          <t>coa</t>
        </is>
      </c>
      <c r="C2401" s="14" t="inlineStr">
        <is>
          <t>mac</t>
        </is>
      </c>
      <c r="D2401" s="35">
        <f>INDEX(Inputs!$V$5:$V$132,MATCH($B2401&amp;"|"&amp;$C2401,Inputs!$A$5:$A$132,0))</f>
        <v/>
      </c>
      <c r="E2401" s="39" t="n"/>
      <c r="F2401" s="39" t="n"/>
      <c r="G2401" s="39" t="n"/>
      <c r="H2401" s="14">
        <f>INDEX(VarLab,MATCH($A2401,VarKey,0))&amp;INDEX(MemLab,MATCH($C2401&amp;"|"&amp;$B2401,MemKey,0))</f>
        <v/>
      </c>
      <c r="I2401" s="14">
        <f>INDEX(VarUnit,MATCH($A2401,VarKey,0))</f>
        <v/>
      </c>
      <c r="J2401" s="14">
        <f>INDEX(VarSrc,MATCH($A2401,VarKey,0))</f>
        <v/>
      </c>
      <c r="K2401" s="11">
        <f>CodePrefix&amp;$A2401&amp;IF($C2401="","","."&amp;$C2401&amp;"."&amp;$B2401)&amp;INDEX(VarEnd,MATCH($A2401,VarKey,0))&amp;K$5</f>
        <v/>
      </c>
      <c r="L2401" s="43">
        <f>L2365*Settings!$C$13*(L2293+L2311+L2302*L$201+L2320*$D2401)</f>
        <v/>
      </c>
      <c r="M2401" s="44">
        <f>M2365*Settings!$C$13*(M2293+M2311+M2302*M$201+M2320*$D2401)</f>
        <v/>
      </c>
      <c r="N2401" s="44">
        <f>N2365*Settings!$C$13*(N2293+N2311+N2302*N$201+N2320*$D2401)</f>
        <v/>
      </c>
      <c r="O2401" s="44">
        <f>O2365*Settings!$C$13*(O2293+O2311+O2302*O$201+O2320*$D2401)</f>
        <v/>
      </c>
      <c r="P2401" s="44">
        <f>P2365*Settings!$C$13*(P2293+P2311+P2302*P$201+P2320*$D2401)</f>
        <v/>
      </c>
      <c r="Q2401" s="44">
        <f>Q2365*Settings!$C$13*(Q2293+Q2311+Q2302*Q$201+Q2320*$D2401)</f>
        <v/>
      </c>
      <c r="R2401" s="44">
        <f>R2365*Settings!$C$13*(R2293+R2311+R2302*R$201+R2320*$D2401)</f>
        <v/>
      </c>
      <c r="S2401" s="44">
        <f>S2365*Settings!$C$13*(S2293+S2311+S2302*S$201+S2320*$D2401)</f>
        <v/>
      </c>
      <c r="T2401" s="44">
        <f>T2365*Settings!$C$13*(T2293+T2311+T2302*T$201+T2320*$D2401)</f>
        <v/>
      </c>
      <c r="U2401" s="44">
        <f>U2365*Settings!$C$13*(U2293+U2311+U2302*U$201+U2320*$D2401)</f>
        <v/>
      </c>
      <c r="V2401" s="44">
        <f>V2365*Settings!$C$13*(V2293+V2311+V2302*V$201+V2320*$D2401)</f>
        <v/>
      </c>
      <c r="W2401" s="44">
        <f>W2365*Settings!$C$13*(W2293+W2311+W2302*W$201+W2320*$D2401)</f>
        <v/>
      </c>
      <c r="X2401" s="44">
        <f>X2365*Settings!$C$13*(X2293+X2311+X2302*X$201+X2320*$D2401)</f>
        <v/>
      </c>
      <c r="Y2401" s="44">
        <f>Y2365*Settings!$C$13*(Y2293+Y2311+Y2302*Y$201+Y2320*$D2401)</f>
        <v/>
      </c>
      <c r="Z2401" s="44">
        <f>Z2365*Settings!$C$13*(Z2293+Z2311+Z2302*Z$201+Z2320*$D2401)</f>
        <v/>
      </c>
      <c r="AA2401" s="44">
        <f>AA2365*Settings!$C$13*(AA2293+AA2311+AA2302*AA$201+AA2320*$D2401)</f>
        <v/>
      </c>
      <c r="AB2401" s="44">
        <f>AB2365*Settings!$C$13*(AB2293+AB2311+AB2302*AB$201+AB2320*$D2401)</f>
        <v/>
      </c>
      <c r="AC2401" s="44">
        <f>AC2365*Settings!$C$13*(AC2293+AC2311+AC2302*AC$201+AC2320*$D2401)</f>
        <v/>
      </c>
      <c r="AD2401" s="44">
        <f>AD2365*Settings!$C$13*(AD2293+AD2311+AD2302*AD$201+AD2320*$D2401)</f>
        <v/>
      </c>
      <c r="AE2401" s="57">
        <f>REVENUE(AE2365,Settings!$C$13,NEWREVRATE(AE2293,AE2311,AE2302,AE$201,AE2320,$D2401))</f>
        <v/>
      </c>
      <c r="AG2401" s="11">
        <f>CodePrefix&amp;$A2401&amp;IF($C2401="","","."&amp;$C2401&amp;"."&amp;$B2401)&amp;INDEX(VarEnd,MATCH($A2401,VarKey,0))&amp;AG$5</f>
        <v/>
      </c>
      <c r="AH2401" s="43">
        <f>AH2365*Settings!$C$13*(AH2293+AH2311+AH2302*AH$201+AH2320*$D2401)</f>
        <v/>
      </c>
      <c r="AI2401" s="44">
        <f>AI2365*Settings!$C$13*(AI2293+AI2311+AI2302*AI$201+AI2320*$D2401)</f>
        <v/>
      </c>
      <c r="AJ2401" s="44">
        <f>AJ2365*Settings!$C$13*(AJ2293+AJ2311+AJ2302*AJ$201+AJ2320*$D2401)</f>
        <v/>
      </c>
      <c r="AK2401" s="44">
        <f>AK2365*Settings!$C$13*(AK2293+AK2311+AK2302*AK$201+AK2320*$D2401)</f>
        <v/>
      </c>
      <c r="AL2401" s="44">
        <f>AL2365*Settings!$C$13*(AL2293+AL2311+AL2302*AL$201+AL2320*$D2401)</f>
        <v/>
      </c>
      <c r="AM2401" s="44">
        <f>AM2365*Settings!$C$13*(AM2293+AM2311+AM2302*AM$201+AM2320*$D2401)</f>
        <v/>
      </c>
      <c r="AN2401" s="44">
        <f>AN2365*Settings!$C$13*(AN2293+AN2311+AN2302*AN$201+AN2320*$D2401)</f>
        <v/>
      </c>
      <c r="AO2401" s="44">
        <f>AO2365*Settings!$C$13*(AO2293+AO2311+AO2302*AO$201+AO2320*$D2401)</f>
        <v/>
      </c>
      <c r="AP2401" s="44">
        <f>AP2365*Settings!$C$13*(AP2293+AP2311+AP2302*AP$201+AP2320*$D2401)</f>
        <v/>
      </c>
      <c r="AQ2401" s="44">
        <f>AQ2365*Settings!$C$13*(AQ2293+AQ2311+AQ2302*AQ$201+AQ2320*$D2401)</f>
        <v/>
      </c>
      <c r="AR2401" s="44">
        <f>AR2365*Settings!$C$13*(AR2293+AR2311+AR2302*AR$201+AR2320*$D2401)</f>
        <v/>
      </c>
      <c r="AS2401" s="44">
        <f>AS2365*Settings!$C$13*(AS2293+AS2311+AS2302*AS$201+AS2320*$D2401)</f>
        <v/>
      </c>
      <c r="AT2401" s="44">
        <f>AT2365*Settings!$C$13*(AT2293+AT2311+AT2302*AT$201+AT2320*$D2401)</f>
        <v/>
      </c>
      <c r="AU2401" s="44">
        <f>AU2365*Settings!$C$13*(AU2293+AU2311+AU2302*AU$201+AU2320*$D2401)</f>
        <v/>
      </c>
      <c r="AV2401" s="44">
        <f>AV2365*Settings!$C$13*(AV2293+AV2311+AV2302*AV$201+AV2320*$D2401)</f>
        <v/>
      </c>
      <c r="AW2401" s="44">
        <f>AW2365*Settings!$C$13*(AW2293+AW2311+AW2302*AW$201+AW2320*$D2401)</f>
        <v/>
      </c>
      <c r="AX2401" s="44">
        <f>AX2365*Settings!$C$13*(AX2293+AX2311+AX2302*AX$201+AX2320*$D2401)</f>
        <v/>
      </c>
      <c r="AY2401" s="44">
        <f>AY2365*Settings!$C$13*(AY2293+AY2311+AY2302*AY$201+AY2320*$D2401)</f>
        <v/>
      </c>
      <c r="AZ2401" s="44">
        <f>AZ2365*Settings!$C$13*(AZ2293+AZ2311+AZ2302*AZ$201+AZ2320*$D2401)</f>
        <v/>
      </c>
      <c r="BA2401" s="57">
        <f>REVENUE(BA2365,Settings!$C$13,NEWREVRATE(BA2293,BA2311,BA2302,BA$201,BA2320,$D2401))</f>
        <v/>
      </c>
    </row>
    <row r="2402" hidden="1" outlineLevel="2">
      <c r="A2402" s="14" t="inlineStr">
        <is>
          <t>rnew</t>
        </is>
      </c>
      <c r="B2402" s="14" t="inlineStr">
        <is>
          <t>nga</t>
        </is>
      </c>
      <c r="C2402" s="14" t="inlineStr">
        <is>
          <t>mac</t>
        </is>
      </c>
      <c r="D2402" s="35">
        <f>INDEX(Inputs!$V$5:$V$132,MATCH($B2402&amp;"|"&amp;$C2402,Inputs!$A$5:$A$132,0))</f>
        <v/>
      </c>
      <c r="E2402" s="39" t="n"/>
      <c r="F2402" s="39" t="n"/>
      <c r="G2402" s="39" t="n"/>
      <c r="H2402" s="14">
        <f>INDEX(VarLab,MATCH($A2402,VarKey,0))&amp;INDEX(MemLab,MATCH($C2402&amp;"|"&amp;$B2402,MemKey,0))</f>
        <v/>
      </c>
      <c r="I2402" s="14">
        <f>INDEX(VarUnit,MATCH($A2402,VarKey,0))</f>
        <v/>
      </c>
      <c r="J2402" s="14">
        <f>INDEX(VarSrc,MATCH($A2402,VarKey,0))</f>
        <v/>
      </c>
      <c r="K2402" s="11">
        <f>CodePrefix&amp;$A2402&amp;IF($C2402="","","."&amp;$C2402&amp;"."&amp;$B2402)&amp;INDEX(VarEnd,MATCH($A2402,VarKey,0))&amp;K$5</f>
        <v/>
      </c>
      <c r="L2402" s="43">
        <f>L2366*Settings!$C$13*(L2294+L2312+L2303*L$201+L2321*$D2402)</f>
        <v/>
      </c>
      <c r="M2402" s="44">
        <f>M2366*Settings!$C$13*(M2294+M2312+M2303*M$201+M2321*$D2402)</f>
        <v/>
      </c>
      <c r="N2402" s="44">
        <f>N2366*Settings!$C$13*(N2294+N2312+N2303*N$201+N2321*$D2402)</f>
        <v/>
      </c>
      <c r="O2402" s="44">
        <f>O2366*Settings!$C$13*(O2294+O2312+O2303*O$201+O2321*$D2402)</f>
        <v/>
      </c>
      <c r="P2402" s="44">
        <f>P2366*Settings!$C$13*(P2294+P2312+P2303*P$201+P2321*$D2402)</f>
        <v/>
      </c>
      <c r="Q2402" s="44">
        <f>Q2366*Settings!$C$13*(Q2294+Q2312+Q2303*Q$201+Q2321*$D2402)</f>
        <v/>
      </c>
      <c r="R2402" s="44">
        <f>R2366*Settings!$C$13*(R2294+R2312+R2303*R$201+R2321*$D2402)</f>
        <v/>
      </c>
      <c r="S2402" s="44">
        <f>S2366*Settings!$C$13*(S2294+S2312+S2303*S$201+S2321*$D2402)</f>
        <v/>
      </c>
      <c r="T2402" s="44">
        <f>T2366*Settings!$C$13*(T2294+T2312+T2303*T$201+T2321*$D2402)</f>
        <v/>
      </c>
      <c r="U2402" s="44">
        <f>U2366*Settings!$C$13*(U2294+U2312+U2303*U$201+U2321*$D2402)</f>
        <v/>
      </c>
      <c r="V2402" s="44">
        <f>V2366*Settings!$C$13*(V2294+V2312+V2303*V$201+V2321*$D2402)</f>
        <v/>
      </c>
      <c r="W2402" s="44">
        <f>W2366*Settings!$C$13*(W2294+W2312+W2303*W$201+W2321*$D2402)</f>
        <v/>
      </c>
      <c r="X2402" s="44">
        <f>X2366*Settings!$C$13*(X2294+X2312+X2303*X$201+X2321*$D2402)</f>
        <v/>
      </c>
      <c r="Y2402" s="44">
        <f>Y2366*Settings!$C$13*(Y2294+Y2312+Y2303*Y$201+Y2321*$D2402)</f>
        <v/>
      </c>
      <c r="Z2402" s="44">
        <f>Z2366*Settings!$C$13*(Z2294+Z2312+Z2303*Z$201+Z2321*$D2402)</f>
        <v/>
      </c>
      <c r="AA2402" s="44">
        <f>AA2366*Settings!$C$13*(AA2294+AA2312+AA2303*AA$201+AA2321*$D2402)</f>
        <v/>
      </c>
      <c r="AB2402" s="44">
        <f>AB2366*Settings!$C$13*(AB2294+AB2312+AB2303*AB$201+AB2321*$D2402)</f>
        <v/>
      </c>
      <c r="AC2402" s="44">
        <f>AC2366*Settings!$C$13*(AC2294+AC2312+AC2303*AC$201+AC2321*$D2402)</f>
        <v/>
      </c>
      <c r="AD2402" s="44">
        <f>AD2366*Settings!$C$13*(AD2294+AD2312+AD2303*AD$201+AD2321*$D2402)</f>
        <v/>
      </c>
      <c r="AE2402" s="57">
        <f>REVENUE(AE2366,Settings!$C$13,NEWREVRATE(AE2294,AE2312,AE2303,AE$201,AE2321,$D2402))</f>
        <v/>
      </c>
      <c r="AG2402" s="11">
        <f>CodePrefix&amp;$A2402&amp;IF($C2402="","","."&amp;$C2402&amp;"."&amp;$B2402)&amp;INDEX(VarEnd,MATCH($A2402,VarKey,0))&amp;AG$5</f>
        <v/>
      </c>
      <c r="AH2402" s="43">
        <f>AH2366*Settings!$C$13*(AH2294+AH2312+AH2303*AH$201+AH2321*$D2402)</f>
        <v/>
      </c>
      <c r="AI2402" s="44">
        <f>AI2366*Settings!$C$13*(AI2294+AI2312+AI2303*AI$201+AI2321*$D2402)</f>
        <v/>
      </c>
      <c r="AJ2402" s="44">
        <f>AJ2366*Settings!$C$13*(AJ2294+AJ2312+AJ2303*AJ$201+AJ2321*$D2402)</f>
        <v/>
      </c>
      <c r="AK2402" s="44">
        <f>AK2366*Settings!$C$13*(AK2294+AK2312+AK2303*AK$201+AK2321*$D2402)</f>
        <v/>
      </c>
      <c r="AL2402" s="44">
        <f>AL2366*Settings!$C$13*(AL2294+AL2312+AL2303*AL$201+AL2321*$D2402)</f>
        <v/>
      </c>
      <c r="AM2402" s="44">
        <f>AM2366*Settings!$C$13*(AM2294+AM2312+AM2303*AM$201+AM2321*$D2402)</f>
        <v/>
      </c>
      <c r="AN2402" s="44">
        <f>AN2366*Settings!$C$13*(AN2294+AN2312+AN2303*AN$201+AN2321*$D2402)</f>
        <v/>
      </c>
      <c r="AO2402" s="44">
        <f>AO2366*Settings!$C$13*(AO2294+AO2312+AO2303*AO$201+AO2321*$D2402)</f>
        <v/>
      </c>
      <c r="AP2402" s="44">
        <f>AP2366*Settings!$C$13*(AP2294+AP2312+AP2303*AP$201+AP2321*$D2402)</f>
        <v/>
      </c>
      <c r="AQ2402" s="44">
        <f>AQ2366*Settings!$C$13*(AQ2294+AQ2312+AQ2303*AQ$201+AQ2321*$D2402)</f>
        <v/>
      </c>
      <c r="AR2402" s="44">
        <f>AR2366*Settings!$C$13*(AR2294+AR2312+AR2303*AR$201+AR2321*$D2402)</f>
        <v/>
      </c>
      <c r="AS2402" s="44">
        <f>AS2366*Settings!$C$13*(AS2294+AS2312+AS2303*AS$201+AS2321*$D2402)</f>
        <v/>
      </c>
      <c r="AT2402" s="44">
        <f>AT2366*Settings!$C$13*(AT2294+AT2312+AT2303*AT$201+AT2321*$D2402)</f>
        <v/>
      </c>
      <c r="AU2402" s="44">
        <f>AU2366*Settings!$C$13*(AU2294+AU2312+AU2303*AU$201+AU2321*$D2402)</f>
        <v/>
      </c>
      <c r="AV2402" s="44">
        <f>AV2366*Settings!$C$13*(AV2294+AV2312+AV2303*AV$201+AV2321*$D2402)</f>
        <v/>
      </c>
      <c r="AW2402" s="44">
        <f>AW2366*Settings!$C$13*(AW2294+AW2312+AW2303*AW$201+AW2321*$D2402)</f>
        <v/>
      </c>
      <c r="AX2402" s="44">
        <f>AX2366*Settings!$C$13*(AX2294+AX2312+AX2303*AX$201+AX2321*$D2402)</f>
        <v/>
      </c>
      <c r="AY2402" s="44">
        <f>AY2366*Settings!$C$13*(AY2294+AY2312+AY2303*AY$201+AY2321*$D2402)</f>
        <v/>
      </c>
      <c r="AZ2402" s="44">
        <f>AZ2366*Settings!$C$13*(AZ2294+AZ2312+AZ2303*AZ$201+AZ2321*$D2402)</f>
        <v/>
      </c>
      <c r="BA2402" s="57">
        <f>REVENUE(BA2366,Settings!$C$13,NEWREVRATE(BA2294,BA2312,BA2303,BA$201,BA2321,$D2402))</f>
        <v/>
      </c>
    </row>
    <row r="2403" hidden="1" outlineLevel="2">
      <c r="A2403" s="14" t="inlineStr">
        <is>
          <t>rnew</t>
        </is>
      </c>
      <c r="B2403" s="14" t="inlineStr">
        <is>
          <t>gso</t>
        </is>
      </c>
      <c r="C2403" s="14" t="inlineStr">
        <is>
          <t>mac</t>
        </is>
      </c>
      <c r="D2403" s="35">
        <f>INDEX(Inputs!$V$5:$V$132,MATCH($B2403&amp;"|"&amp;$C2403,Inputs!$A$5:$A$132,0))</f>
        <v/>
      </c>
      <c r="E2403" s="39" t="n"/>
      <c r="F2403" s="39" t="n"/>
      <c r="G2403" s="39" t="n"/>
      <c r="H2403" s="14">
        <f>INDEX(VarLab,MATCH($A2403,VarKey,0))&amp;INDEX(MemLab,MATCH($C2403&amp;"|"&amp;$B2403,MemKey,0))</f>
        <v/>
      </c>
      <c r="I2403" s="14">
        <f>INDEX(VarUnit,MATCH($A2403,VarKey,0))</f>
        <v/>
      </c>
      <c r="J2403" s="14">
        <f>INDEX(VarSrc,MATCH($A2403,VarKey,0))</f>
        <v/>
      </c>
      <c r="K2403" s="11">
        <f>CodePrefix&amp;$A2403&amp;IF($C2403="","","."&amp;$C2403&amp;"."&amp;$B2403)&amp;INDEX(VarEnd,MATCH($A2403,VarKey,0))&amp;K$5</f>
        <v/>
      </c>
      <c r="L2403" s="43">
        <f>L2367*Settings!$C$13*(L2295+L2313+L2304*L$201+L2322*$D2403)</f>
        <v/>
      </c>
      <c r="M2403" s="44">
        <f>M2367*Settings!$C$13*(M2295+M2313+M2304*M$201+M2322*$D2403)</f>
        <v/>
      </c>
      <c r="N2403" s="44">
        <f>N2367*Settings!$C$13*(N2295+N2313+N2304*N$201+N2322*$D2403)</f>
        <v/>
      </c>
      <c r="O2403" s="44">
        <f>O2367*Settings!$C$13*(O2295+O2313+O2304*O$201+O2322*$D2403)</f>
        <v/>
      </c>
      <c r="P2403" s="44">
        <f>P2367*Settings!$C$13*(P2295+P2313+P2304*P$201+P2322*$D2403)</f>
        <v/>
      </c>
      <c r="Q2403" s="44">
        <f>Q2367*Settings!$C$13*(Q2295+Q2313+Q2304*Q$201+Q2322*$D2403)</f>
        <v/>
      </c>
      <c r="R2403" s="44">
        <f>R2367*Settings!$C$13*(R2295+R2313+R2304*R$201+R2322*$D2403)</f>
        <v/>
      </c>
      <c r="S2403" s="44">
        <f>S2367*Settings!$C$13*(S2295+S2313+S2304*S$201+S2322*$D2403)</f>
        <v/>
      </c>
      <c r="T2403" s="44">
        <f>T2367*Settings!$C$13*(T2295+T2313+T2304*T$201+T2322*$D2403)</f>
        <v/>
      </c>
      <c r="U2403" s="44">
        <f>U2367*Settings!$C$13*(U2295+U2313+U2304*U$201+U2322*$D2403)</f>
        <v/>
      </c>
      <c r="V2403" s="44">
        <f>V2367*Settings!$C$13*(V2295+V2313+V2304*V$201+V2322*$D2403)</f>
        <v/>
      </c>
      <c r="W2403" s="44">
        <f>W2367*Settings!$C$13*(W2295+W2313+W2304*W$201+W2322*$D2403)</f>
        <v/>
      </c>
      <c r="X2403" s="44">
        <f>X2367*Settings!$C$13*(X2295+X2313+X2304*X$201+X2322*$D2403)</f>
        <v/>
      </c>
      <c r="Y2403" s="44">
        <f>Y2367*Settings!$C$13*(Y2295+Y2313+Y2304*Y$201+Y2322*$D2403)</f>
        <v/>
      </c>
      <c r="Z2403" s="44">
        <f>Z2367*Settings!$C$13*(Z2295+Z2313+Z2304*Z$201+Z2322*$D2403)</f>
        <v/>
      </c>
      <c r="AA2403" s="44">
        <f>AA2367*Settings!$C$13*(AA2295+AA2313+AA2304*AA$201+AA2322*$D2403)</f>
        <v/>
      </c>
      <c r="AB2403" s="44">
        <f>AB2367*Settings!$C$13*(AB2295+AB2313+AB2304*AB$201+AB2322*$D2403)</f>
        <v/>
      </c>
      <c r="AC2403" s="44">
        <f>AC2367*Settings!$C$13*(AC2295+AC2313+AC2304*AC$201+AC2322*$D2403)</f>
        <v/>
      </c>
      <c r="AD2403" s="44">
        <f>AD2367*Settings!$C$13*(AD2295+AD2313+AD2304*AD$201+AD2322*$D2403)</f>
        <v/>
      </c>
      <c r="AE2403" s="57">
        <f>REVENUE(AE2367,Settings!$C$13,NEWREVRATE(AE2295,AE2313,AE2304,AE$201,AE2322,$D2403))</f>
        <v/>
      </c>
      <c r="AG2403" s="11">
        <f>CodePrefix&amp;$A2403&amp;IF($C2403="","","."&amp;$C2403&amp;"."&amp;$B2403)&amp;INDEX(VarEnd,MATCH($A2403,VarKey,0))&amp;AG$5</f>
        <v/>
      </c>
      <c r="AH2403" s="43">
        <f>AH2367*Settings!$C$13*(AH2295+AH2313+AH2304*AH$201+AH2322*$D2403)</f>
        <v/>
      </c>
      <c r="AI2403" s="44">
        <f>AI2367*Settings!$C$13*(AI2295+AI2313+AI2304*AI$201+AI2322*$D2403)</f>
        <v/>
      </c>
      <c r="AJ2403" s="44">
        <f>AJ2367*Settings!$C$13*(AJ2295+AJ2313+AJ2304*AJ$201+AJ2322*$D2403)</f>
        <v/>
      </c>
      <c r="AK2403" s="44">
        <f>AK2367*Settings!$C$13*(AK2295+AK2313+AK2304*AK$201+AK2322*$D2403)</f>
        <v/>
      </c>
      <c r="AL2403" s="44">
        <f>AL2367*Settings!$C$13*(AL2295+AL2313+AL2304*AL$201+AL2322*$D2403)</f>
        <v/>
      </c>
      <c r="AM2403" s="44">
        <f>AM2367*Settings!$C$13*(AM2295+AM2313+AM2304*AM$201+AM2322*$D2403)</f>
        <v/>
      </c>
      <c r="AN2403" s="44">
        <f>AN2367*Settings!$C$13*(AN2295+AN2313+AN2304*AN$201+AN2322*$D2403)</f>
        <v/>
      </c>
      <c r="AO2403" s="44">
        <f>AO2367*Settings!$C$13*(AO2295+AO2313+AO2304*AO$201+AO2322*$D2403)</f>
        <v/>
      </c>
      <c r="AP2403" s="44">
        <f>AP2367*Settings!$C$13*(AP2295+AP2313+AP2304*AP$201+AP2322*$D2403)</f>
        <v/>
      </c>
      <c r="AQ2403" s="44">
        <f>AQ2367*Settings!$C$13*(AQ2295+AQ2313+AQ2304*AQ$201+AQ2322*$D2403)</f>
        <v/>
      </c>
      <c r="AR2403" s="44">
        <f>AR2367*Settings!$C$13*(AR2295+AR2313+AR2304*AR$201+AR2322*$D2403)</f>
        <v/>
      </c>
      <c r="AS2403" s="44">
        <f>AS2367*Settings!$C$13*(AS2295+AS2313+AS2304*AS$201+AS2322*$D2403)</f>
        <v/>
      </c>
      <c r="AT2403" s="44">
        <f>AT2367*Settings!$C$13*(AT2295+AT2313+AT2304*AT$201+AT2322*$D2403)</f>
        <v/>
      </c>
      <c r="AU2403" s="44">
        <f>AU2367*Settings!$C$13*(AU2295+AU2313+AU2304*AU$201+AU2322*$D2403)</f>
        <v/>
      </c>
      <c r="AV2403" s="44">
        <f>AV2367*Settings!$C$13*(AV2295+AV2313+AV2304*AV$201+AV2322*$D2403)</f>
        <v/>
      </c>
      <c r="AW2403" s="44">
        <f>AW2367*Settings!$C$13*(AW2295+AW2313+AW2304*AW$201+AW2322*$D2403)</f>
        <v/>
      </c>
      <c r="AX2403" s="44">
        <f>AX2367*Settings!$C$13*(AX2295+AX2313+AX2304*AX$201+AX2322*$D2403)</f>
        <v/>
      </c>
      <c r="AY2403" s="44">
        <f>AY2367*Settings!$C$13*(AY2295+AY2313+AY2304*AY$201+AY2322*$D2403)</f>
        <v/>
      </c>
      <c r="AZ2403" s="44">
        <f>AZ2367*Settings!$C$13*(AZ2295+AZ2313+AZ2304*AZ$201+AZ2322*$D2403)</f>
        <v/>
      </c>
      <c r="BA2403" s="57">
        <f>REVENUE(BA2367,Settings!$C$13,NEWREVRATE(BA2295,BA2313,BA2304,BA$201,BA2322,$D2403))</f>
        <v/>
      </c>
    </row>
    <row r="2404" hidden="1" outlineLevel="2">
      <c r="A2404" s="14" t="inlineStr">
        <is>
          <t>rnew</t>
        </is>
      </c>
      <c r="B2404" s="14" t="inlineStr">
        <is>
          <t>die</t>
        </is>
      </c>
      <c r="C2404" s="14" t="inlineStr">
        <is>
          <t>mac</t>
        </is>
      </c>
      <c r="D2404" s="35">
        <f>INDEX(Inputs!$V$5:$V$132,MATCH($B2404&amp;"|"&amp;$C2404,Inputs!$A$5:$A$132,0))</f>
        <v/>
      </c>
      <c r="E2404" s="39" t="n"/>
      <c r="F2404" s="39" t="n"/>
      <c r="G2404" s="39" t="n"/>
      <c r="H2404" s="14">
        <f>INDEX(VarLab,MATCH($A2404,VarKey,0))&amp;INDEX(MemLab,MATCH($C2404&amp;"|"&amp;$B2404,MemKey,0))</f>
        <v/>
      </c>
      <c r="I2404" s="14">
        <f>INDEX(VarUnit,MATCH($A2404,VarKey,0))</f>
        <v/>
      </c>
      <c r="J2404" s="14">
        <f>INDEX(VarSrc,MATCH($A2404,VarKey,0))</f>
        <v/>
      </c>
      <c r="K2404" s="11">
        <f>CodePrefix&amp;$A2404&amp;IF($C2404="","","."&amp;$C2404&amp;"."&amp;$B2404)&amp;INDEX(VarEnd,MATCH($A2404,VarKey,0))&amp;K$5</f>
        <v/>
      </c>
      <c r="L2404" s="43">
        <f>L2368*Settings!$C$13*(L2296+L2314+L2305*L$201+L2323*$D2404)</f>
        <v/>
      </c>
      <c r="M2404" s="44">
        <f>M2368*Settings!$C$13*(M2296+M2314+M2305*M$201+M2323*$D2404)</f>
        <v/>
      </c>
      <c r="N2404" s="44">
        <f>N2368*Settings!$C$13*(N2296+N2314+N2305*N$201+N2323*$D2404)</f>
        <v/>
      </c>
      <c r="O2404" s="44">
        <f>O2368*Settings!$C$13*(O2296+O2314+O2305*O$201+O2323*$D2404)</f>
        <v/>
      </c>
      <c r="P2404" s="44">
        <f>P2368*Settings!$C$13*(P2296+P2314+P2305*P$201+P2323*$D2404)</f>
        <v/>
      </c>
      <c r="Q2404" s="44">
        <f>Q2368*Settings!$C$13*(Q2296+Q2314+Q2305*Q$201+Q2323*$D2404)</f>
        <v/>
      </c>
      <c r="R2404" s="44">
        <f>R2368*Settings!$C$13*(R2296+R2314+R2305*R$201+R2323*$D2404)</f>
        <v/>
      </c>
      <c r="S2404" s="44">
        <f>S2368*Settings!$C$13*(S2296+S2314+S2305*S$201+S2323*$D2404)</f>
        <v/>
      </c>
      <c r="T2404" s="44">
        <f>T2368*Settings!$C$13*(T2296+T2314+T2305*T$201+T2323*$D2404)</f>
        <v/>
      </c>
      <c r="U2404" s="44">
        <f>U2368*Settings!$C$13*(U2296+U2314+U2305*U$201+U2323*$D2404)</f>
        <v/>
      </c>
      <c r="V2404" s="44">
        <f>V2368*Settings!$C$13*(V2296+V2314+V2305*V$201+V2323*$D2404)</f>
        <v/>
      </c>
      <c r="W2404" s="44">
        <f>W2368*Settings!$C$13*(W2296+W2314+W2305*W$201+W2323*$D2404)</f>
        <v/>
      </c>
      <c r="X2404" s="44">
        <f>X2368*Settings!$C$13*(X2296+X2314+X2305*X$201+X2323*$D2404)</f>
        <v/>
      </c>
      <c r="Y2404" s="44">
        <f>Y2368*Settings!$C$13*(Y2296+Y2314+Y2305*Y$201+Y2323*$D2404)</f>
        <v/>
      </c>
      <c r="Z2404" s="44">
        <f>Z2368*Settings!$C$13*(Z2296+Z2314+Z2305*Z$201+Z2323*$D2404)</f>
        <v/>
      </c>
      <c r="AA2404" s="44">
        <f>AA2368*Settings!$C$13*(AA2296+AA2314+AA2305*AA$201+AA2323*$D2404)</f>
        <v/>
      </c>
      <c r="AB2404" s="44">
        <f>AB2368*Settings!$C$13*(AB2296+AB2314+AB2305*AB$201+AB2323*$D2404)</f>
        <v/>
      </c>
      <c r="AC2404" s="44">
        <f>AC2368*Settings!$C$13*(AC2296+AC2314+AC2305*AC$201+AC2323*$D2404)</f>
        <v/>
      </c>
      <c r="AD2404" s="44">
        <f>AD2368*Settings!$C$13*(AD2296+AD2314+AD2305*AD$201+AD2323*$D2404)</f>
        <v/>
      </c>
      <c r="AE2404" s="57">
        <f>REVENUE(AE2368,Settings!$C$13,NEWREVRATE(AE2296,AE2314,AE2305,AE$201,AE2323,$D2404))</f>
        <v/>
      </c>
      <c r="AG2404" s="11">
        <f>CodePrefix&amp;$A2404&amp;IF($C2404="","","."&amp;$C2404&amp;"."&amp;$B2404)&amp;INDEX(VarEnd,MATCH($A2404,VarKey,0))&amp;AG$5</f>
        <v/>
      </c>
      <c r="AH2404" s="43">
        <f>AH2368*Settings!$C$13*(AH2296+AH2314+AH2305*AH$201+AH2323*$D2404)</f>
        <v/>
      </c>
      <c r="AI2404" s="44">
        <f>AI2368*Settings!$C$13*(AI2296+AI2314+AI2305*AI$201+AI2323*$D2404)</f>
        <v/>
      </c>
      <c r="AJ2404" s="44">
        <f>AJ2368*Settings!$C$13*(AJ2296+AJ2314+AJ2305*AJ$201+AJ2323*$D2404)</f>
        <v/>
      </c>
      <c r="AK2404" s="44">
        <f>AK2368*Settings!$C$13*(AK2296+AK2314+AK2305*AK$201+AK2323*$D2404)</f>
        <v/>
      </c>
      <c r="AL2404" s="44">
        <f>AL2368*Settings!$C$13*(AL2296+AL2314+AL2305*AL$201+AL2323*$D2404)</f>
        <v/>
      </c>
      <c r="AM2404" s="44">
        <f>AM2368*Settings!$C$13*(AM2296+AM2314+AM2305*AM$201+AM2323*$D2404)</f>
        <v/>
      </c>
      <c r="AN2404" s="44">
        <f>AN2368*Settings!$C$13*(AN2296+AN2314+AN2305*AN$201+AN2323*$D2404)</f>
        <v/>
      </c>
      <c r="AO2404" s="44">
        <f>AO2368*Settings!$C$13*(AO2296+AO2314+AO2305*AO$201+AO2323*$D2404)</f>
        <v/>
      </c>
      <c r="AP2404" s="44">
        <f>AP2368*Settings!$C$13*(AP2296+AP2314+AP2305*AP$201+AP2323*$D2404)</f>
        <v/>
      </c>
      <c r="AQ2404" s="44">
        <f>AQ2368*Settings!$C$13*(AQ2296+AQ2314+AQ2305*AQ$201+AQ2323*$D2404)</f>
        <v/>
      </c>
      <c r="AR2404" s="44">
        <f>AR2368*Settings!$C$13*(AR2296+AR2314+AR2305*AR$201+AR2323*$D2404)</f>
        <v/>
      </c>
      <c r="AS2404" s="44">
        <f>AS2368*Settings!$C$13*(AS2296+AS2314+AS2305*AS$201+AS2323*$D2404)</f>
        <v/>
      </c>
      <c r="AT2404" s="44">
        <f>AT2368*Settings!$C$13*(AT2296+AT2314+AT2305*AT$201+AT2323*$D2404)</f>
        <v/>
      </c>
      <c r="AU2404" s="44">
        <f>AU2368*Settings!$C$13*(AU2296+AU2314+AU2305*AU$201+AU2323*$D2404)</f>
        <v/>
      </c>
      <c r="AV2404" s="44">
        <f>AV2368*Settings!$C$13*(AV2296+AV2314+AV2305*AV$201+AV2323*$D2404)</f>
        <v/>
      </c>
      <c r="AW2404" s="44">
        <f>AW2368*Settings!$C$13*(AW2296+AW2314+AW2305*AW$201+AW2323*$D2404)</f>
        <v/>
      </c>
      <c r="AX2404" s="44">
        <f>AX2368*Settings!$C$13*(AX2296+AX2314+AX2305*AX$201+AX2323*$D2404)</f>
        <v/>
      </c>
      <c r="AY2404" s="44">
        <f>AY2368*Settings!$C$13*(AY2296+AY2314+AY2305*AY$201+AY2323*$D2404)</f>
        <v/>
      </c>
      <c r="AZ2404" s="44">
        <f>AZ2368*Settings!$C$13*(AZ2296+AZ2314+AZ2305*AZ$201+AZ2323*$D2404)</f>
        <v/>
      </c>
      <c r="BA2404" s="57">
        <f>REVENUE(BA2368,Settings!$C$13,NEWREVRATE(BA2296,BA2314,BA2305,BA$201,BA2323,$D2404))</f>
        <v/>
      </c>
    </row>
    <row r="2405" hidden="1" outlineLevel="2">
      <c r="A2405" s="14" t="inlineStr">
        <is>
          <t>rnew</t>
        </is>
      </c>
      <c r="B2405" s="14" t="inlineStr">
        <is>
          <t>lpg</t>
        </is>
      </c>
      <c r="C2405" s="14" t="inlineStr">
        <is>
          <t>mac</t>
        </is>
      </c>
      <c r="D2405" s="35">
        <f>INDEX(Inputs!$V$5:$V$132,MATCH($B2405&amp;"|"&amp;$C2405,Inputs!$A$5:$A$132,0))</f>
        <v/>
      </c>
      <c r="E2405" s="39" t="n"/>
      <c r="F2405" s="39" t="n"/>
      <c r="G2405" s="39" t="n"/>
      <c r="H2405" s="14">
        <f>INDEX(VarLab,MATCH($A2405,VarKey,0))&amp;INDEX(MemLab,MATCH($C2405&amp;"|"&amp;$B2405,MemKey,0))</f>
        <v/>
      </c>
      <c r="I2405" s="14">
        <f>INDEX(VarUnit,MATCH($A2405,VarKey,0))</f>
        <v/>
      </c>
      <c r="J2405" s="14">
        <f>INDEX(VarSrc,MATCH($A2405,VarKey,0))</f>
        <v/>
      </c>
      <c r="K2405" s="11">
        <f>CodePrefix&amp;$A2405&amp;IF($C2405="","","."&amp;$C2405&amp;"."&amp;$B2405)&amp;INDEX(VarEnd,MATCH($A2405,VarKey,0))&amp;K$5</f>
        <v/>
      </c>
      <c r="L2405" s="43">
        <f>L2369*Settings!$C$13*(L2297+L2315+L2306*L$201+L2324*$D2405)</f>
        <v/>
      </c>
      <c r="M2405" s="44">
        <f>M2369*Settings!$C$13*(M2297+M2315+M2306*M$201+M2324*$D2405)</f>
        <v/>
      </c>
      <c r="N2405" s="44">
        <f>N2369*Settings!$C$13*(N2297+N2315+N2306*N$201+N2324*$D2405)</f>
        <v/>
      </c>
      <c r="O2405" s="44">
        <f>O2369*Settings!$C$13*(O2297+O2315+O2306*O$201+O2324*$D2405)</f>
        <v/>
      </c>
      <c r="P2405" s="44">
        <f>P2369*Settings!$C$13*(P2297+P2315+P2306*P$201+P2324*$D2405)</f>
        <v/>
      </c>
      <c r="Q2405" s="44">
        <f>Q2369*Settings!$C$13*(Q2297+Q2315+Q2306*Q$201+Q2324*$D2405)</f>
        <v/>
      </c>
      <c r="R2405" s="44">
        <f>R2369*Settings!$C$13*(R2297+R2315+R2306*R$201+R2324*$D2405)</f>
        <v/>
      </c>
      <c r="S2405" s="44">
        <f>S2369*Settings!$C$13*(S2297+S2315+S2306*S$201+S2324*$D2405)</f>
        <v/>
      </c>
      <c r="T2405" s="44">
        <f>T2369*Settings!$C$13*(T2297+T2315+T2306*T$201+T2324*$D2405)</f>
        <v/>
      </c>
      <c r="U2405" s="44">
        <f>U2369*Settings!$C$13*(U2297+U2315+U2306*U$201+U2324*$D2405)</f>
        <v/>
      </c>
      <c r="V2405" s="44">
        <f>V2369*Settings!$C$13*(V2297+V2315+V2306*V$201+V2324*$D2405)</f>
        <v/>
      </c>
      <c r="W2405" s="44">
        <f>W2369*Settings!$C$13*(W2297+W2315+W2306*W$201+W2324*$D2405)</f>
        <v/>
      </c>
      <c r="X2405" s="44">
        <f>X2369*Settings!$C$13*(X2297+X2315+X2306*X$201+X2324*$D2405)</f>
        <v/>
      </c>
      <c r="Y2405" s="44">
        <f>Y2369*Settings!$C$13*(Y2297+Y2315+Y2306*Y$201+Y2324*$D2405)</f>
        <v/>
      </c>
      <c r="Z2405" s="44">
        <f>Z2369*Settings!$C$13*(Z2297+Z2315+Z2306*Z$201+Z2324*$D2405)</f>
        <v/>
      </c>
      <c r="AA2405" s="44">
        <f>AA2369*Settings!$C$13*(AA2297+AA2315+AA2306*AA$201+AA2324*$D2405)</f>
        <v/>
      </c>
      <c r="AB2405" s="44">
        <f>AB2369*Settings!$C$13*(AB2297+AB2315+AB2306*AB$201+AB2324*$D2405)</f>
        <v/>
      </c>
      <c r="AC2405" s="44">
        <f>AC2369*Settings!$C$13*(AC2297+AC2315+AC2306*AC$201+AC2324*$D2405)</f>
        <v/>
      </c>
      <c r="AD2405" s="44">
        <f>AD2369*Settings!$C$13*(AD2297+AD2315+AD2306*AD$201+AD2324*$D2405)</f>
        <v/>
      </c>
      <c r="AE2405" s="57">
        <f>REVENUE(AE2369,Settings!$C$13,NEWREVRATE(AE2297,AE2315,AE2306,AE$201,AE2324,$D2405))</f>
        <v/>
      </c>
      <c r="AG2405" s="11">
        <f>CodePrefix&amp;$A2405&amp;IF($C2405="","","."&amp;$C2405&amp;"."&amp;$B2405)&amp;INDEX(VarEnd,MATCH($A2405,VarKey,0))&amp;AG$5</f>
        <v/>
      </c>
      <c r="AH2405" s="43">
        <f>AH2369*Settings!$C$13*(AH2297+AH2315+AH2306*AH$201+AH2324*$D2405)</f>
        <v/>
      </c>
      <c r="AI2405" s="44">
        <f>AI2369*Settings!$C$13*(AI2297+AI2315+AI2306*AI$201+AI2324*$D2405)</f>
        <v/>
      </c>
      <c r="AJ2405" s="44">
        <f>AJ2369*Settings!$C$13*(AJ2297+AJ2315+AJ2306*AJ$201+AJ2324*$D2405)</f>
        <v/>
      </c>
      <c r="AK2405" s="44">
        <f>AK2369*Settings!$C$13*(AK2297+AK2315+AK2306*AK$201+AK2324*$D2405)</f>
        <v/>
      </c>
      <c r="AL2405" s="44">
        <f>AL2369*Settings!$C$13*(AL2297+AL2315+AL2306*AL$201+AL2324*$D2405)</f>
        <v/>
      </c>
      <c r="AM2405" s="44">
        <f>AM2369*Settings!$C$13*(AM2297+AM2315+AM2306*AM$201+AM2324*$D2405)</f>
        <v/>
      </c>
      <c r="AN2405" s="44">
        <f>AN2369*Settings!$C$13*(AN2297+AN2315+AN2306*AN$201+AN2324*$D2405)</f>
        <v/>
      </c>
      <c r="AO2405" s="44">
        <f>AO2369*Settings!$C$13*(AO2297+AO2315+AO2306*AO$201+AO2324*$D2405)</f>
        <v/>
      </c>
      <c r="AP2405" s="44">
        <f>AP2369*Settings!$C$13*(AP2297+AP2315+AP2306*AP$201+AP2324*$D2405)</f>
        <v/>
      </c>
      <c r="AQ2405" s="44">
        <f>AQ2369*Settings!$C$13*(AQ2297+AQ2315+AQ2306*AQ$201+AQ2324*$D2405)</f>
        <v/>
      </c>
      <c r="AR2405" s="44">
        <f>AR2369*Settings!$C$13*(AR2297+AR2315+AR2306*AR$201+AR2324*$D2405)</f>
        <v/>
      </c>
      <c r="AS2405" s="44">
        <f>AS2369*Settings!$C$13*(AS2297+AS2315+AS2306*AS$201+AS2324*$D2405)</f>
        <v/>
      </c>
      <c r="AT2405" s="44">
        <f>AT2369*Settings!$C$13*(AT2297+AT2315+AT2306*AT$201+AT2324*$D2405)</f>
        <v/>
      </c>
      <c r="AU2405" s="44">
        <f>AU2369*Settings!$C$13*(AU2297+AU2315+AU2306*AU$201+AU2324*$D2405)</f>
        <v/>
      </c>
      <c r="AV2405" s="44">
        <f>AV2369*Settings!$C$13*(AV2297+AV2315+AV2306*AV$201+AV2324*$D2405)</f>
        <v/>
      </c>
      <c r="AW2405" s="44">
        <f>AW2369*Settings!$C$13*(AW2297+AW2315+AW2306*AW$201+AW2324*$D2405)</f>
        <v/>
      </c>
      <c r="AX2405" s="44">
        <f>AX2369*Settings!$C$13*(AX2297+AX2315+AX2306*AX$201+AX2324*$D2405)</f>
        <v/>
      </c>
      <c r="AY2405" s="44">
        <f>AY2369*Settings!$C$13*(AY2297+AY2315+AY2306*AY$201+AY2324*$D2405)</f>
        <v/>
      </c>
      <c r="AZ2405" s="44">
        <f>AZ2369*Settings!$C$13*(AZ2297+AZ2315+AZ2306*AZ$201+AZ2324*$D2405)</f>
        <v/>
      </c>
      <c r="BA2405" s="57">
        <f>REVENUE(BA2369,Settings!$C$13,NEWREVRATE(BA2297,BA2315,BA2306,BA$201,BA2324,$D2405))</f>
        <v/>
      </c>
    </row>
    <row r="2406" hidden="1" outlineLevel="2">
      <c r="A2406" s="14" t="inlineStr">
        <is>
          <t>rnew</t>
        </is>
      </c>
      <c r="B2406" s="14" t="inlineStr">
        <is>
          <t>ker</t>
        </is>
      </c>
      <c r="C2406" s="14" t="inlineStr">
        <is>
          <t>mac</t>
        </is>
      </c>
      <c r="D2406" s="35">
        <f>INDEX(Inputs!$V$5:$V$132,MATCH($B2406&amp;"|"&amp;$C2406,Inputs!$A$5:$A$132,0))</f>
        <v/>
      </c>
      <c r="E2406" s="39" t="n"/>
      <c r="F2406" s="39" t="n"/>
      <c r="G2406" s="39" t="n"/>
      <c r="H2406" s="14">
        <f>INDEX(VarLab,MATCH($A2406,VarKey,0))&amp;INDEX(MemLab,MATCH($C2406&amp;"|"&amp;$B2406,MemKey,0))</f>
        <v/>
      </c>
      <c r="I2406" s="14">
        <f>INDEX(VarUnit,MATCH($A2406,VarKey,0))</f>
        <v/>
      </c>
      <c r="J2406" s="14">
        <f>INDEX(VarSrc,MATCH($A2406,VarKey,0))</f>
        <v/>
      </c>
      <c r="K2406" s="11">
        <f>CodePrefix&amp;$A2406&amp;IF($C2406="","","."&amp;$C2406&amp;"."&amp;$B2406)&amp;INDEX(VarEnd,MATCH($A2406,VarKey,0))&amp;K$5</f>
        <v/>
      </c>
      <c r="L2406" s="43">
        <f>L2370*Settings!$C$13*(L2298+L2316+L2307*L$201+L2325*$D2406)</f>
        <v/>
      </c>
      <c r="M2406" s="44">
        <f>M2370*Settings!$C$13*(M2298+M2316+M2307*M$201+M2325*$D2406)</f>
        <v/>
      </c>
      <c r="N2406" s="44">
        <f>N2370*Settings!$C$13*(N2298+N2316+N2307*N$201+N2325*$D2406)</f>
        <v/>
      </c>
      <c r="O2406" s="44">
        <f>O2370*Settings!$C$13*(O2298+O2316+O2307*O$201+O2325*$D2406)</f>
        <v/>
      </c>
      <c r="P2406" s="44">
        <f>P2370*Settings!$C$13*(P2298+P2316+P2307*P$201+P2325*$D2406)</f>
        <v/>
      </c>
      <c r="Q2406" s="44">
        <f>Q2370*Settings!$C$13*(Q2298+Q2316+Q2307*Q$201+Q2325*$D2406)</f>
        <v/>
      </c>
      <c r="R2406" s="44">
        <f>R2370*Settings!$C$13*(R2298+R2316+R2307*R$201+R2325*$D2406)</f>
        <v/>
      </c>
      <c r="S2406" s="44">
        <f>S2370*Settings!$C$13*(S2298+S2316+S2307*S$201+S2325*$D2406)</f>
        <v/>
      </c>
      <c r="T2406" s="44">
        <f>T2370*Settings!$C$13*(T2298+T2316+T2307*T$201+T2325*$D2406)</f>
        <v/>
      </c>
      <c r="U2406" s="44">
        <f>U2370*Settings!$C$13*(U2298+U2316+U2307*U$201+U2325*$D2406)</f>
        <v/>
      </c>
      <c r="V2406" s="44">
        <f>V2370*Settings!$C$13*(V2298+V2316+V2307*V$201+V2325*$D2406)</f>
        <v/>
      </c>
      <c r="W2406" s="44">
        <f>W2370*Settings!$C$13*(W2298+W2316+W2307*W$201+W2325*$D2406)</f>
        <v/>
      </c>
      <c r="X2406" s="44">
        <f>X2370*Settings!$C$13*(X2298+X2316+X2307*X$201+X2325*$D2406)</f>
        <v/>
      </c>
      <c r="Y2406" s="44">
        <f>Y2370*Settings!$C$13*(Y2298+Y2316+Y2307*Y$201+Y2325*$D2406)</f>
        <v/>
      </c>
      <c r="Z2406" s="44">
        <f>Z2370*Settings!$C$13*(Z2298+Z2316+Z2307*Z$201+Z2325*$D2406)</f>
        <v/>
      </c>
      <c r="AA2406" s="44">
        <f>AA2370*Settings!$C$13*(AA2298+AA2316+AA2307*AA$201+AA2325*$D2406)</f>
        <v/>
      </c>
      <c r="AB2406" s="44">
        <f>AB2370*Settings!$C$13*(AB2298+AB2316+AB2307*AB$201+AB2325*$D2406)</f>
        <v/>
      </c>
      <c r="AC2406" s="44">
        <f>AC2370*Settings!$C$13*(AC2298+AC2316+AC2307*AC$201+AC2325*$D2406)</f>
        <v/>
      </c>
      <c r="AD2406" s="44">
        <f>AD2370*Settings!$C$13*(AD2298+AD2316+AD2307*AD$201+AD2325*$D2406)</f>
        <v/>
      </c>
      <c r="AE2406" s="57">
        <f>REVENUE(AE2370,Settings!$C$13,NEWREVRATE(AE2298,AE2316,AE2307,AE$201,AE2325,$D2406))</f>
        <v/>
      </c>
      <c r="AG2406" s="11">
        <f>CodePrefix&amp;$A2406&amp;IF($C2406="","","."&amp;$C2406&amp;"."&amp;$B2406)&amp;INDEX(VarEnd,MATCH($A2406,VarKey,0))&amp;AG$5</f>
        <v/>
      </c>
      <c r="AH2406" s="43">
        <f>AH2370*Settings!$C$13*(AH2298+AH2316+AH2307*AH$201+AH2325*$D2406)</f>
        <v/>
      </c>
      <c r="AI2406" s="44">
        <f>AI2370*Settings!$C$13*(AI2298+AI2316+AI2307*AI$201+AI2325*$D2406)</f>
        <v/>
      </c>
      <c r="AJ2406" s="44">
        <f>AJ2370*Settings!$C$13*(AJ2298+AJ2316+AJ2307*AJ$201+AJ2325*$D2406)</f>
        <v/>
      </c>
      <c r="AK2406" s="44">
        <f>AK2370*Settings!$C$13*(AK2298+AK2316+AK2307*AK$201+AK2325*$D2406)</f>
        <v/>
      </c>
      <c r="AL2406" s="44">
        <f>AL2370*Settings!$C$13*(AL2298+AL2316+AL2307*AL$201+AL2325*$D2406)</f>
        <v/>
      </c>
      <c r="AM2406" s="44">
        <f>AM2370*Settings!$C$13*(AM2298+AM2316+AM2307*AM$201+AM2325*$D2406)</f>
        <v/>
      </c>
      <c r="AN2406" s="44">
        <f>AN2370*Settings!$C$13*(AN2298+AN2316+AN2307*AN$201+AN2325*$D2406)</f>
        <v/>
      </c>
      <c r="AO2406" s="44">
        <f>AO2370*Settings!$C$13*(AO2298+AO2316+AO2307*AO$201+AO2325*$D2406)</f>
        <v/>
      </c>
      <c r="AP2406" s="44">
        <f>AP2370*Settings!$C$13*(AP2298+AP2316+AP2307*AP$201+AP2325*$D2406)</f>
        <v/>
      </c>
      <c r="AQ2406" s="44">
        <f>AQ2370*Settings!$C$13*(AQ2298+AQ2316+AQ2307*AQ$201+AQ2325*$D2406)</f>
        <v/>
      </c>
      <c r="AR2406" s="44">
        <f>AR2370*Settings!$C$13*(AR2298+AR2316+AR2307*AR$201+AR2325*$D2406)</f>
        <v/>
      </c>
      <c r="AS2406" s="44">
        <f>AS2370*Settings!$C$13*(AS2298+AS2316+AS2307*AS$201+AS2325*$D2406)</f>
        <v/>
      </c>
      <c r="AT2406" s="44">
        <f>AT2370*Settings!$C$13*(AT2298+AT2316+AT2307*AT$201+AT2325*$D2406)</f>
        <v/>
      </c>
      <c r="AU2406" s="44">
        <f>AU2370*Settings!$C$13*(AU2298+AU2316+AU2307*AU$201+AU2325*$D2406)</f>
        <v/>
      </c>
      <c r="AV2406" s="44">
        <f>AV2370*Settings!$C$13*(AV2298+AV2316+AV2307*AV$201+AV2325*$D2406)</f>
        <v/>
      </c>
      <c r="AW2406" s="44">
        <f>AW2370*Settings!$C$13*(AW2298+AW2316+AW2307*AW$201+AW2325*$D2406)</f>
        <v/>
      </c>
      <c r="AX2406" s="44">
        <f>AX2370*Settings!$C$13*(AX2298+AX2316+AX2307*AX$201+AX2325*$D2406)</f>
        <v/>
      </c>
      <c r="AY2406" s="44">
        <f>AY2370*Settings!$C$13*(AY2298+AY2316+AY2307*AY$201+AY2325*$D2406)</f>
        <v/>
      </c>
      <c r="AZ2406" s="44">
        <f>AZ2370*Settings!$C$13*(AZ2298+AZ2316+AZ2307*AZ$201+AZ2325*$D2406)</f>
        <v/>
      </c>
      <c r="BA2406" s="57">
        <f>REVENUE(BA2370,Settings!$C$13,NEWREVRATE(BA2298,BA2316,BA2307,BA$201,BA2325,$D2406))</f>
        <v/>
      </c>
    </row>
    <row r="2407" hidden="1" outlineLevel="2">
      <c r="A2407" s="14" t="inlineStr">
        <is>
          <t>rnew</t>
        </is>
      </c>
      <c r="B2407" s="14" t="inlineStr">
        <is>
          <t>oop</t>
        </is>
      </c>
      <c r="C2407" s="14" t="inlineStr">
        <is>
          <t>mac</t>
        </is>
      </c>
      <c r="D2407" s="35">
        <f>INDEX(Inputs!$V$5:$V$132,MATCH($B2407&amp;"|"&amp;$C2407,Inputs!$A$5:$A$132,0))</f>
        <v/>
      </c>
      <c r="E2407" s="39" t="n"/>
      <c r="F2407" s="39" t="n"/>
      <c r="G2407" s="39" t="n"/>
      <c r="H2407" s="14">
        <f>INDEX(VarLab,MATCH($A2407,VarKey,0))&amp;INDEX(MemLab,MATCH($C2407&amp;"|"&amp;$B2407,MemKey,0))</f>
        <v/>
      </c>
      <c r="I2407" s="14">
        <f>INDEX(VarUnit,MATCH($A2407,VarKey,0))</f>
        <v/>
      </c>
      <c r="J2407" s="14">
        <f>INDEX(VarSrc,MATCH($A2407,VarKey,0))</f>
        <v/>
      </c>
      <c r="K2407" s="11">
        <f>CodePrefix&amp;$A2407&amp;IF($C2407="","","."&amp;$C2407&amp;"."&amp;$B2407)&amp;INDEX(VarEnd,MATCH($A2407,VarKey,0))&amp;K$5</f>
        <v/>
      </c>
      <c r="L2407" s="43">
        <f>L2371*Settings!$C$13*(L2299+L2317+L2308*L$201+L2326*$D2407)</f>
        <v/>
      </c>
      <c r="M2407" s="44">
        <f>M2371*Settings!$C$13*(M2299+M2317+M2308*M$201+M2326*$D2407)</f>
        <v/>
      </c>
      <c r="N2407" s="44">
        <f>N2371*Settings!$C$13*(N2299+N2317+N2308*N$201+N2326*$D2407)</f>
        <v/>
      </c>
      <c r="O2407" s="44">
        <f>O2371*Settings!$C$13*(O2299+O2317+O2308*O$201+O2326*$D2407)</f>
        <v/>
      </c>
      <c r="P2407" s="44">
        <f>P2371*Settings!$C$13*(P2299+P2317+P2308*P$201+P2326*$D2407)</f>
        <v/>
      </c>
      <c r="Q2407" s="44">
        <f>Q2371*Settings!$C$13*(Q2299+Q2317+Q2308*Q$201+Q2326*$D2407)</f>
        <v/>
      </c>
      <c r="R2407" s="44">
        <f>R2371*Settings!$C$13*(R2299+R2317+R2308*R$201+R2326*$D2407)</f>
        <v/>
      </c>
      <c r="S2407" s="44">
        <f>S2371*Settings!$C$13*(S2299+S2317+S2308*S$201+S2326*$D2407)</f>
        <v/>
      </c>
      <c r="T2407" s="44">
        <f>T2371*Settings!$C$13*(T2299+T2317+T2308*T$201+T2326*$D2407)</f>
        <v/>
      </c>
      <c r="U2407" s="44">
        <f>U2371*Settings!$C$13*(U2299+U2317+U2308*U$201+U2326*$D2407)</f>
        <v/>
      </c>
      <c r="V2407" s="44">
        <f>V2371*Settings!$C$13*(V2299+V2317+V2308*V$201+V2326*$D2407)</f>
        <v/>
      </c>
      <c r="W2407" s="44">
        <f>W2371*Settings!$C$13*(W2299+W2317+W2308*W$201+W2326*$D2407)</f>
        <v/>
      </c>
      <c r="X2407" s="44">
        <f>X2371*Settings!$C$13*(X2299+X2317+X2308*X$201+X2326*$D2407)</f>
        <v/>
      </c>
      <c r="Y2407" s="44">
        <f>Y2371*Settings!$C$13*(Y2299+Y2317+Y2308*Y$201+Y2326*$D2407)</f>
        <v/>
      </c>
      <c r="Z2407" s="44">
        <f>Z2371*Settings!$C$13*(Z2299+Z2317+Z2308*Z$201+Z2326*$D2407)</f>
        <v/>
      </c>
      <c r="AA2407" s="44">
        <f>AA2371*Settings!$C$13*(AA2299+AA2317+AA2308*AA$201+AA2326*$D2407)</f>
        <v/>
      </c>
      <c r="AB2407" s="44">
        <f>AB2371*Settings!$C$13*(AB2299+AB2317+AB2308*AB$201+AB2326*$D2407)</f>
        <v/>
      </c>
      <c r="AC2407" s="44">
        <f>AC2371*Settings!$C$13*(AC2299+AC2317+AC2308*AC$201+AC2326*$D2407)</f>
        <v/>
      </c>
      <c r="AD2407" s="44">
        <f>AD2371*Settings!$C$13*(AD2299+AD2317+AD2308*AD$201+AD2326*$D2407)</f>
        <v/>
      </c>
      <c r="AE2407" s="57">
        <f>REVENUE(AE2371,Settings!$C$13,NEWREVRATE(AE2299,AE2317,AE2308,AE$201,AE2326,$D2407))</f>
        <v/>
      </c>
      <c r="AG2407" s="11">
        <f>CodePrefix&amp;$A2407&amp;IF($C2407="","","."&amp;$C2407&amp;"."&amp;$B2407)&amp;INDEX(VarEnd,MATCH($A2407,VarKey,0))&amp;AG$5</f>
        <v/>
      </c>
      <c r="AH2407" s="43">
        <f>AH2371*Settings!$C$13*(AH2299+AH2317+AH2308*AH$201+AH2326*$D2407)</f>
        <v/>
      </c>
      <c r="AI2407" s="44">
        <f>AI2371*Settings!$C$13*(AI2299+AI2317+AI2308*AI$201+AI2326*$D2407)</f>
        <v/>
      </c>
      <c r="AJ2407" s="44">
        <f>AJ2371*Settings!$C$13*(AJ2299+AJ2317+AJ2308*AJ$201+AJ2326*$D2407)</f>
        <v/>
      </c>
      <c r="AK2407" s="44">
        <f>AK2371*Settings!$C$13*(AK2299+AK2317+AK2308*AK$201+AK2326*$D2407)</f>
        <v/>
      </c>
      <c r="AL2407" s="44">
        <f>AL2371*Settings!$C$13*(AL2299+AL2317+AL2308*AL$201+AL2326*$D2407)</f>
        <v/>
      </c>
      <c r="AM2407" s="44">
        <f>AM2371*Settings!$C$13*(AM2299+AM2317+AM2308*AM$201+AM2326*$D2407)</f>
        <v/>
      </c>
      <c r="AN2407" s="44">
        <f>AN2371*Settings!$C$13*(AN2299+AN2317+AN2308*AN$201+AN2326*$D2407)</f>
        <v/>
      </c>
      <c r="AO2407" s="44">
        <f>AO2371*Settings!$C$13*(AO2299+AO2317+AO2308*AO$201+AO2326*$D2407)</f>
        <v/>
      </c>
      <c r="AP2407" s="44">
        <f>AP2371*Settings!$C$13*(AP2299+AP2317+AP2308*AP$201+AP2326*$D2407)</f>
        <v/>
      </c>
      <c r="AQ2407" s="44">
        <f>AQ2371*Settings!$C$13*(AQ2299+AQ2317+AQ2308*AQ$201+AQ2326*$D2407)</f>
        <v/>
      </c>
      <c r="AR2407" s="44">
        <f>AR2371*Settings!$C$13*(AR2299+AR2317+AR2308*AR$201+AR2326*$D2407)</f>
        <v/>
      </c>
      <c r="AS2407" s="44">
        <f>AS2371*Settings!$C$13*(AS2299+AS2317+AS2308*AS$201+AS2326*$D2407)</f>
        <v/>
      </c>
      <c r="AT2407" s="44">
        <f>AT2371*Settings!$C$13*(AT2299+AT2317+AT2308*AT$201+AT2326*$D2407)</f>
        <v/>
      </c>
      <c r="AU2407" s="44">
        <f>AU2371*Settings!$C$13*(AU2299+AU2317+AU2308*AU$201+AU2326*$D2407)</f>
        <v/>
      </c>
      <c r="AV2407" s="44">
        <f>AV2371*Settings!$C$13*(AV2299+AV2317+AV2308*AV$201+AV2326*$D2407)</f>
        <v/>
      </c>
      <c r="AW2407" s="44">
        <f>AW2371*Settings!$C$13*(AW2299+AW2317+AW2308*AW$201+AW2326*$D2407)</f>
        <v/>
      </c>
      <c r="AX2407" s="44">
        <f>AX2371*Settings!$C$13*(AX2299+AX2317+AX2308*AX$201+AX2326*$D2407)</f>
        <v/>
      </c>
      <c r="AY2407" s="44">
        <f>AY2371*Settings!$C$13*(AY2299+AY2317+AY2308*AY$201+AY2326*$D2407)</f>
        <v/>
      </c>
      <c r="AZ2407" s="44">
        <f>AZ2371*Settings!$C$13*(AZ2299+AZ2317+AZ2308*AZ$201+AZ2326*$D2407)</f>
        <v/>
      </c>
      <c r="BA2407" s="57">
        <f>REVENUE(BA2371,Settings!$C$13,NEWREVRATE(BA2299,BA2317,BA2308,BA$201,BA2326,$D2407))</f>
        <v/>
      </c>
    </row>
    <row r="2408" hidden="1" outlineLevel="2">
      <c r="A2408" s="14" t="inlineStr">
        <is>
          <t>rnew</t>
        </is>
      </c>
      <c r="B2408" s="14" t="inlineStr">
        <is>
          <t>bio</t>
        </is>
      </c>
      <c r="C2408" s="14" t="inlineStr">
        <is>
          <t>mac</t>
        </is>
      </c>
      <c r="D2408" s="35">
        <f>INDEX(Inputs!$V$5:$V$132,MATCH($B2408&amp;"|"&amp;$C2408,Inputs!$A$5:$A$132,0))</f>
        <v/>
      </c>
      <c r="E2408" s="39" t="n"/>
      <c r="F2408" s="39" t="n"/>
      <c r="G2408" s="39" t="n"/>
      <c r="H2408" s="14">
        <f>INDEX(VarLab,MATCH($A2408,VarKey,0))&amp;INDEX(MemLab,MATCH($C2408&amp;"|"&amp;$B2408,MemKey,0))</f>
        <v/>
      </c>
      <c r="I2408" s="14">
        <f>INDEX(VarUnit,MATCH($A2408,VarKey,0))</f>
        <v/>
      </c>
      <c r="J2408" s="14">
        <f>INDEX(VarSrc,MATCH($A2408,VarKey,0))</f>
        <v/>
      </c>
      <c r="K2408" s="11">
        <f>CodePrefix&amp;$A2408&amp;IF($C2408="","","."&amp;$C2408&amp;"."&amp;$B2408)&amp;INDEX(VarEnd,MATCH($A2408,VarKey,0))&amp;K$5</f>
        <v/>
      </c>
      <c r="L2408" s="43">
        <f>L2372*Settings!$C$13*(L2300+L2318+L2309*L$201+L2327*$D2408)</f>
        <v/>
      </c>
      <c r="M2408" s="44">
        <f>M2372*Settings!$C$13*(M2300+M2318+M2309*M$201+M2327*$D2408)</f>
        <v/>
      </c>
      <c r="N2408" s="44">
        <f>N2372*Settings!$C$13*(N2300+N2318+N2309*N$201+N2327*$D2408)</f>
        <v/>
      </c>
      <c r="O2408" s="44">
        <f>O2372*Settings!$C$13*(O2300+O2318+O2309*O$201+O2327*$D2408)</f>
        <v/>
      </c>
      <c r="P2408" s="44">
        <f>P2372*Settings!$C$13*(P2300+P2318+P2309*P$201+P2327*$D2408)</f>
        <v/>
      </c>
      <c r="Q2408" s="44">
        <f>Q2372*Settings!$C$13*(Q2300+Q2318+Q2309*Q$201+Q2327*$D2408)</f>
        <v/>
      </c>
      <c r="R2408" s="44">
        <f>R2372*Settings!$C$13*(R2300+R2318+R2309*R$201+R2327*$D2408)</f>
        <v/>
      </c>
      <c r="S2408" s="44">
        <f>S2372*Settings!$C$13*(S2300+S2318+S2309*S$201+S2327*$D2408)</f>
        <v/>
      </c>
      <c r="T2408" s="44">
        <f>T2372*Settings!$C$13*(T2300+T2318+T2309*T$201+T2327*$D2408)</f>
        <v/>
      </c>
      <c r="U2408" s="44">
        <f>U2372*Settings!$C$13*(U2300+U2318+U2309*U$201+U2327*$D2408)</f>
        <v/>
      </c>
      <c r="V2408" s="44">
        <f>V2372*Settings!$C$13*(V2300+V2318+V2309*V$201+V2327*$D2408)</f>
        <v/>
      </c>
      <c r="W2408" s="44">
        <f>W2372*Settings!$C$13*(W2300+W2318+W2309*W$201+W2327*$D2408)</f>
        <v/>
      </c>
      <c r="X2408" s="44">
        <f>X2372*Settings!$C$13*(X2300+X2318+X2309*X$201+X2327*$D2408)</f>
        <v/>
      </c>
      <c r="Y2408" s="44">
        <f>Y2372*Settings!$C$13*(Y2300+Y2318+Y2309*Y$201+Y2327*$D2408)</f>
        <v/>
      </c>
      <c r="Z2408" s="44">
        <f>Z2372*Settings!$C$13*(Z2300+Z2318+Z2309*Z$201+Z2327*$D2408)</f>
        <v/>
      </c>
      <c r="AA2408" s="44">
        <f>AA2372*Settings!$C$13*(AA2300+AA2318+AA2309*AA$201+AA2327*$D2408)</f>
        <v/>
      </c>
      <c r="AB2408" s="44">
        <f>AB2372*Settings!$C$13*(AB2300+AB2318+AB2309*AB$201+AB2327*$D2408)</f>
        <v/>
      </c>
      <c r="AC2408" s="44">
        <f>AC2372*Settings!$C$13*(AC2300+AC2318+AC2309*AC$201+AC2327*$D2408)</f>
        <v/>
      </c>
      <c r="AD2408" s="44">
        <f>AD2372*Settings!$C$13*(AD2300+AD2318+AD2309*AD$201+AD2327*$D2408)</f>
        <v/>
      </c>
      <c r="AE2408" s="57">
        <f>REVENUE(AE2372,Settings!$C$13,NEWREVRATE(AE2300,AE2318,AE2309,AE$201,AE2327,$D2408))</f>
        <v/>
      </c>
      <c r="AG2408" s="11">
        <f>CodePrefix&amp;$A2408&amp;IF($C2408="","","."&amp;$C2408&amp;"."&amp;$B2408)&amp;INDEX(VarEnd,MATCH($A2408,VarKey,0))&amp;AG$5</f>
        <v/>
      </c>
      <c r="AH2408" s="43">
        <f>AH2372*Settings!$C$13*(AH2300+AH2318+AH2309*AH$201+AH2327*$D2408)</f>
        <v/>
      </c>
      <c r="AI2408" s="44">
        <f>AI2372*Settings!$C$13*(AI2300+AI2318+AI2309*AI$201+AI2327*$D2408)</f>
        <v/>
      </c>
      <c r="AJ2408" s="44">
        <f>AJ2372*Settings!$C$13*(AJ2300+AJ2318+AJ2309*AJ$201+AJ2327*$D2408)</f>
        <v/>
      </c>
      <c r="AK2408" s="44">
        <f>AK2372*Settings!$C$13*(AK2300+AK2318+AK2309*AK$201+AK2327*$D2408)</f>
        <v/>
      </c>
      <c r="AL2408" s="44">
        <f>AL2372*Settings!$C$13*(AL2300+AL2318+AL2309*AL$201+AL2327*$D2408)</f>
        <v/>
      </c>
      <c r="AM2408" s="44">
        <f>AM2372*Settings!$C$13*(AM2300+AM2318+AM2309*AM$201+AM2327*$D2408)</f>
        <v/>
      </c>
      <c r="AN2408" s="44">
        <f>AN2372*Settings!$C$13*(AN2300+AN2318+AN2309*AN$201+AN2327*$D2408)</f>
        <v/>
      </c>
      <c r="AO2408" s="44">
        <f>AO2372*Settings!$C$13*(AO2300+AO2318+AO2309*AO$201+AO2327*$D2408)</f>
        <v/>
      </c>
      <c r="AP2408" s="44">
        <f>AP2372*Settings!$C$13*(AP2300+AP2318+AP2309*AP$201+AP2327*$D2408)</f>
        <v/>
      </c>
      <c r="AQ2408" s="44">
        <f>AQ2372*Settings!$C$13*(AQ2300+AQ2318+AQ2309*AQ$201+AQ2327*$D2408)</f>
        <v/>
      </c>
      <c r="AR2408" s="44">
        <f>AR2372*Settings!$C$13*(AR2300+AR2318+AR2309*AR$201+AR2327*$D2408)</f>
        <v/>
      </c>
      <c r="AS2408" s="44">
        <f>AS2372*Settings!$C$13*(AS2300+AS2318+AS2309*AS$201+AS2327*$D2408)</f>
        <v/>
      </c>
      <c r="AT2408" s="44">
        <f>AT2372*Settings!$C$13*(AT2300+AT2318+AT2309*AT$201+AT2327*$D2408)</f>
        <v/>
      </c>
      <c r="AU2408" s="44">
        <f>AU2372*Settings!$C$13*(AU2300+AU2318+AU2309*AU$201+AU2327*$D2408)</f>
        <v/>
      </c>
      <c r="AV2408" s="44">
        <f>AV2372*Settings!$C$13*(AV2300+AV2318+AV2309*AV$201+AV2327*$D2408)</f>
        <v/>
      </c>
      <c r="AW2408" s="44">
        <f>AW2372*Settings!$C$13*(AW2300+AW2318+AW2309*AW$201+AW2327*$D2408)</f>
        <v/>
      </c>
      <c r="AX2408" s="44">
        <f>AX2372*Settings!$C$13*(AX2300+AX2318+AX2309*AX$201+AX2327*$D2408)</f>
        <v/>
      </c>
      <c r="AY2408" s="44">
        <f>AY2372*Settings!$C$13*(AY2300+AY2318+AY2309*AY$201+AY2327*$D2408)</f>
        <v/>
      </c>
      <c r="AZ2408" s="44">
        <f>AZ2372*Settings!$C$13*(AZ2300+AZ2318+AZ2309*AZ$201+AZ2327*$D2408)</f>
        <v/>
      </c>
      <c r="BA2408" s="57">
        <f>REVENUE(BA2372,Settings!$C$13,NEWREVRATE(BA2300,BA2318,BA2309,BA$201,BA2327,$D2408))</f>
        <v/>
      </c>
    </row>
    <row r="2409" hidden="1" outlineLevel="2"/>
    <row r="2410" hidden="1" outlineLevel="2">
      <c r="A2410" s="14" t="inlineStr">
        <is>
          <t>rxcp</t>
        </is>
      </c>
      <c r="B2410" s="14" t="inlineStr">
        <is>
          <t>coa</t>
        </is>
      </c>
      <c r="C2410" s="14" t="inlineStr">
        <is>
          <t>mac</t>
        </is>
      </c>
      <c r="D2410" s="39" t="n"/>
      <c r="E2410" s="39" t="n"/>
      <c r="F2410" s="39" t="n"/>
      <c r="G2410" s="39" t="n"/>
      <c r="H2410" s="14">
        <f>INDEX(VarLab,MATCH($A2410,VarKey,0))&amp;INDEX(MemLab,MATCH($C2410&amp;"|"&amp;$B2410,MemKey,0))</f>
        <v/>
      </c>
      <c r="I2410" s="14">
        <f>INDEX(VarUnit,MATCH($A2410,VarKey,0))</f>
        <v/>
      </c>
      <c r="J2410" s="14">
        <f>INDEX(VarSrc,MATCH($A2410,VarKey,0))</f>
        <v/>
      </c>
      <c r="K2410" s="11">
        <f>CodePrefix&amp;$A2410&amp;IF($C2410="","","."&amp;$C2410&amp;"."&amp;$B2410)&amp;INDEX(VarEnd,MATCH($A2410,VarKey,0))&amp;K$5</f>
        <v/>
      </c>
      <c r="L2410" s="43">
        <f>L2365*Settings!$C$13*(L2329)</f>
        <v/>
      </c>
      <c r="M2410" s="44">
        <f>M2365*Settings!$C$13*(M2329)</f>
        <v/>
      </c>
      <c r="N2410" s="44">
        <f>N2365*Settings!$C$13*(N2329)</f>
        <v/>
      </c>
      <c r="O2410" s="44">
        <f>O2365*Settings!$C$13*(O2329)</f>
        <v/>
      </c>
      <c r="P2410" s="44">
        <f>P2365*Settings!$C$13*(P2329)</f>
        <v/>
      </c>
      <c r="Q2410" s="44">
        <f>Q2365*Settings!$C$13*(Q2329)</f>
        <v/>
      </c>
      <c r="R2410" s="44">
        <f>R2365*Settings!$C$13*(R2329)</f>
        <v/>
      </c>
      <c r="S2410" s="44">
        <f>S2365*Settings!$C$13*(S2329)</f>
        <v/>
      </c>
      <c r="T2410" s="44">
        <f>T2365*Settings!$C$13*(T2329)</f>
        <v/>
      </c>
      <c r="U2410" s="44">
        <f>U2365*Settings!$C$13*(U2329)</f>
        <v/>
      </c>
      <c r="V2410" s="44">
        <f>V2365*Settings!$C$13*(V2329)</f>
        <v/>
      </c>
      <c r="W2410" s="44">
        <f>W2365*Settings!$C$13*(W2329)</f>
        <v/>
      </c>
      <c r="X2410" s="44">
        <f>X2365*Settings!$C$13*(X2329)</f>
        <v/>
      </c>
      <c r="Y2410" s="44">
        <f>Y2365*Settings!$C$13*(Y2329)</f>
        <v/>
      </c>
      <c r="Z2410" s="44">
        <f>Z2365*Settings!$C$13*(Z2329)</f>
        <v/>
      </c>
      <c r="AA2410" s="44">
        <f>AA2365*Settings!$C$13*(AA2329)</f>
        <v/>
      </c>
      <c r="AB2410" s="44">
        <f>AB2365*Settings!$C$13*(AB2329)</f>
        <v/>
      </c>
      <c r="AC2410" s="44">
        <f>AC2365*Settings!$C$13*(AC2329)</f>
        <v/>
      </c>
      <c r="AD2410" s="44">
        <f>AD2365*Settings!$C$13*(AD2329)</f>
        <v/>
      </c>
      <c r="AE2410" s="57">
        <f>REVENUE(AE2365,Settings!$C$13,AE2329)</f>
        <v/>
      </c>
      <c r="AG2410" s="11">
        <f>CodePrefix&amp;$A2410&amp;IF($C2410="","","."&amp;$C2410&amp;"."&amp;$B2410)&amp;INDEX(VarEnd,MATCH($A2410,VarKey,0))&amp;AG$5</f>
        <v/>
      </c>
      <c r="AH2410" s="43">
        <f>AH2365*Settings!$C$13*(AH2329)</f>
        <v/>
      </c>
      <c r="AI2410" s="44">
        <f>AI2365*Settings!$C$13*(AI2329)</f>
        <v/>
      </c>
      <c r="AJ2410" s="44">
        <f>AJ2365*Settings!$C$13*(AJ2329)</f>
        <v/>
      </c>
      <c r="AK2410" s="44">
        <f>AK2365*Settings!$C$13*(AK2329)</f>
        <v/>
      </c>
      <c r="AL2410" s="44">
        <f>AL2365*Settings!$C$13*(AL2329)</f>
        <v/>
      </c>
      <c r="AM2410" s="44">
        <f>AM2365*Settings!$C$13*(AM2329)</f>
        <v/>
      </c>
      <c r="AN2410" s="44">
        <f>AN2365*Settings!$C$13*(AN2329)</f>
        <v/>
      </c>
      <c r="AO2410" s="44">
        <f>AO2365*Settings!$C$13*(AO2329)</f>
        <v/>
      </c>
      <c r="AP2410" s="44">
        <f>AP2365*Settings!$C$13*(AP2329)</f>
        <v/>
      </c>
      <c r="AQ2410" s="44">
        <f>AQ2365*Settings!$C$13*(AQ2329)</f>
        <v/>
      </c>
      <c r="AR2410" s="44">
        <f>AR2365*Settings!$C$13*(AR2329)</f>
        <v/>
      </c>
      <c r="AS2410" s="44">
        <f>AS2365*Settings!$C$13*(AS2329)</f>
        <v/>
      </c>
      <c r="AT2410" s="44">
        <f>AT2365*Settings!$C$13*(AT2329)</f>
        <v/>
      </c>
      <c r="AU2410" s="44">
        <f>AU2365*Settings!$C$13*(AU2329)</f>
        <v/>
      </c>
      <c r="AV2410" s="44">
        <f>AV2365*Settings!$C$13*(AV2329)</f>
        <v/>
      </c>
      <c r="AW2410" s="44">
        <f>AW2365*Settings!$C$13*(AW2329)</f>
        <v/>
      </c>
      <c r="AX2410" s="44">
        <f>AX2365*Settings!$C$13*(AX2329)</f>
        <v/>
      </c>
      <c r="AY2410" s="44">
        <f>AY2365*Settings!$C$13*(AY2329)</f>
        <v/>
      </c>
      <c r="AZ2410" s="44">
        <f>AZ2365*Settings!$C$13*(AZ2329)</f>
        <v/>
      </c>
      <c r="BA2410" s="57">
        <f>REVENUE(BA2365,Settings!$C$13,BA2329)</f>
        <v/>
      </c>
    </row>
    <row r="2411" hidden="1" outlineLevel="2">
      <c r="A2411" s="14" t="inlineStr">
        <is>
          <t>rxcp</t>
        </is>
      </c>
      <c r="B2411" s="14" t="inlineStr">
        <is>
          <t>nga</t>
        </is>
      </c>
      <c r="C2411" s="14" t="inlineStr">
        <is>
          <t>mac</t>
        </is>
      </c>
      <c r="D2411" s="39" t="n"/>
      <c r="E2411" s="39" t="n"/>
      <c r="F2411" s="39" t="n"/>
      <c r="G2411" s="39" t="n"/>
      <c r="H2411" s="14">
        <f>INDEX(VarLab,MATCH($A2411,VarKey,0))&amp;INDEX(MemLab,MATCH($C2411&amp;"|"&amp;$B2411,MemKey,0))</f>
        <v/>
      </c>
      <c r="I2411" s="14">
        <f>INDEX(VarUnit,MATCH($A2411,VarKey,0))</f>
        <v/>
      </c>
      <c r="J2411" s="14">
        <f>INDEX(VarSrc,MATCH($A2411,VarKey,0))</f>
        <v/>
      </c>
      <c r="K2411" s="11">
        <f>CodePrefix&amp;$A2411&amp;IF($C2411="","","."&amp;$C2411&amp;"."&amp;$B2411)&amp;INDEX(VarEnd,MATCH($A2411,VarKey,0))&amp;K$5</f>
        <v/>
      </c>
      <c r="L2411" s="43">
        <f>L2366*Settings!$C$13*(L2330)</f>
        <v/>
      </c>
      <c r="M2411" s="44">
        <f>M2366*Settings!$C$13*(M2330)</f>
        <v/>
      </c>
      <c r="N2411" s="44">
        <f>N2366*Settings!$C$13*(N2330)</f>
        <v/>
      </c>
      <c r="O2411" s="44">
        <f>O2366*Settings!$C$13*(O2330)</f>
        <v/>
      </c>
      <c r="P2411" s="44">
        <f>P2366*Settings!$C$13*(P2330)</f>
        <v/>
      </c>
      <c r="Q2411" s="44">
        <f>Q2366*Settings!$C$13*(Q2330)</f>
        <v/>
      </c>
      <c r="R2411" s="44">
        <f>R2366*Settings!$C$13*(R2330)</f>
        <v/>
      </c>
      <c r="S2411" s="44">
        <f>S2366*Settings!$C$13*(S2330)</f>
        <v/>
      </c>
      <c r="T2411" s="44">
        <f>T2366*Settings!$C$13*(T2330)</f>
        <v/>
      </c>
      <c r="U2411" s="44">
        <f>U2366*Settings!$C$13*(U2330)</f>
        <v/>
      </c>
      <c r="V2411" s="44">
        <f>V2366*Settings!$C$13*(V2330)</f>
        <v/>
      </c>
      <c r="W2411" s="44">
        <f>W2366*Settings!$C$13*(W2330)</f>
        <v/>
      </c>
      <c r="X2411" s="44">
        <f>X2366*Settings!$C$13*(X2330)</f>
        <v/>
      </c>
      <c r="Y2411" s="44">
        <f>Y2366*Settings!$C$13*(Y2330)</f>
        <v/>
      </c>
      <c r="Z2411" s="44">
        <f>Z2366*Settings!$C$13*(Z2330)</f>
        <v/>
      </c>
      <c r="AA2411" s="44">
        <f>AA2366*Settings!$C$13*(AA2330)</f>
        <v/>
      </c>
      <c r="AB2411" s="44">
        <f>AB2366*Settings!$C$13*(AB2330)</f>
        <v/>
      </c>
      <c r="AC2411" s="44">
        <f>AC2366*Settings!$C$13*(AC2330)</f>
        <v/>
      </c>
      <c r="AD2411" s="44">
        <f>AD2366*Settings!$C$13*(AD2330)</f>
        <v/>
      </c>
      <c r="AE2411" s="57">
        <f>REVENUE(AE2366,Settings!$C$13,AE2330)</f>
        <v/>
      </c>
      <c r="AG2411" s="11">
        <f>CodePrefix&amp;$A2411&amp;IF($C2411="","","."&amp;$C2411&amp;"."&amp;$B2411)&amp;INDEX(VarEnd,MATCH($A2411,VarKey,0))&amp;AG$5</f>
        <v/>
      </c>
      <c r="AH2411" s="43">
        <f>AH2366*Settings!$C$13*(AH2330)</f>
        <v/>
      </c>
      <c r="AI2411" s="44">
        <f>AI2366*Settings!$C$13*(AI2330)</f>
        <v/>
      </c>
      <c r="AJ2411" s="44">
        <f>AJ2366*Settings!$C$13*(AJ2330)</f>
        <v/>
      </c>
      <c r="AK2411" s="44">
        <f>AK2366*Settings!$C$13*(AK2330)</f>
        <v/>
      </c>
      <c r="AL2411" s="44">
        <f>AL2366*Settings!$C$13*(AL2330)</f>
        <v/>
      </c>
      <c r="AM2411" s="44">
        <f>AM2366*Settings!$C$13*(AM2330)</f>
        <v/>
      </c>
      <c r="AN2411" s="44">
        <f>AN2366*Settings!$C$13*(AN2330)</f>
        <v/>
      </c>
      <c r="AO2411" s="44">
        <f>AO2366*Settings!$C$13*(AO2330)</f>
        <v/>
      </c>
      <c r="AP2411" s="44">
        <f>AP2366*Settings!$C$13*(AP2330)</f>
        <v/>
      </c>
      <c r="AQ2411" s="44">
        <f>AQ2366*Settings!$C$13*(AQ2330)</f>
        <v/>
      </c>
      <c r="AR2411" s="44">
        <f>AR2366*Settings!$C$13*(AR2330)</f>
        <v/>
      </c>
      <c r="AS2411" s="44">
        <f>AS2366*Settings!$C$13*(AS2330)</f>
        <v/>
      </c>
      <c r="AT2411" s="44">
        <f>AT2366*Settings!$C$13*(AT2330)</f>
        <v/>
      </c>
      <c r="AU2411" s="44">
        <f>AU2366*Settings!$C$13*(AU2330)</f>
        <v/>
      </c>
      <c r="AV2411" s="44">
        <f>AV2366*Settings!$C$13*(AV2330)</f>
        <v/>
      </c>
      <c r="AW2411" s="44">
        <f>AW2366*Settings!$C$13*(AW2330)</f>
        <v/>
      </c>
      <c r="AX2411" s="44">
        <f>AX2366*Settings!$C$13*(AX2330)</f>
        <v/>
      </c>
      <c r="AY2411" s="44">
        <f>AY2366*Settings!$C$13*(AY2330)</f>
        <v/>
      </c>
      <c r="AZ2411" s="44">
        <f>AZ2366*Settings!$C$13*(AZ2330)</f>
        <v/>
      </c>
      <c r="BA2411" s="57">
        <f>REVENUE(BA2366,Settings!$C$13,BA2330)</f>
        <v/>
      </c>
    </row>
    <row r="2412" hidden="1" outlineLevel="2">
      <c r="A2412" s="14" t="inlineStr">
        <is>
          <t>rxcp</t>
        </is>
      </c>
      <c r="B2412" s="14" t="inlineStr">
        <is>
          <t>gso</t>
        </is>
      </c>
      <c r="C2412" s="14" t="inlineStr">
        <is>
          <t>mac</t>
        </is>
      </c>
      <c r="D2412" s="39" t="n"/>
      <c r="E2412" s="39" t="n"/>
      <c r="F2412" s="39" t="n"/>
      <c r="G2412" s="39" t="n"/>
      <c r="H2412" s="14">
        <f>INDEX(VarLab,MATCH($A2412,VarKey,0))&amp;INDEX(MemLab,MATCH($C2412&amp;"|"&amp;$B2412,MemKey,0))</f>
        <v/>
      </c>
      <c r="I2412" s="14">
        <f>INDEX(VarUnit,MATCH($A2412,VarKey,0))</f>
        <v/>
      </c>
      <c r="J2412" s="14">
        <f>INDEX(VarSrc,MATCH($A2412,VarKey,0))</f>
        <v/>
      </c>
      <c r="K2412" s="11">
        <f>CodePrefix&amp;$A2412&amp;IF($C2412="","","."&amp;$C2412&amp;"."&amp;$B2412)&amp;INDEX(VarEnd,MATCH($A2412,VarKey,0))&amp;K$5</f>
        <v/>
      </c>
      <c r="L2412" s="43">
        <f>L2367*Settings!$C$13*(L2331)</f>
        <v/>
      </c>
      <c r="M2412" s="44">
        <f>M2367*Settings!$C$13*(M2331)</f>
        <v/>
      </c>
      <c r="N2412" s="44">
        <f>N2367*Settings!$C$13*(N2331)</f>
        <v/>
      </c>
      <c r="O2412" s="44">
        <f>O2367*Settings!$C$13*(O2331)</f>
        <v/>
      </c>
      <c r="P2412" s="44">
        <f>P2367*Settings!$C$13*(P2331)</f>
        <v/>
      </c>
      <c r="Q2412" s="44">
        <f>Q2367*Settings!$C$13*(Q2331)</f>
        <v/>
      </c>
      <c r="R2412" s="44">
        <f>R2367*Settings!$C$13*(R2331)</f>
        <v/>
      </c>
      <c r="S2412" s="44">
        <f>S2367*Settings!$C$13*(S2331)</f>
        <v/>
      </c>
      <c r="T2412" s="44">
        <f>T2367*Settings!$C$13*(T2331)</f>
        <v/>
      </c>
      <c r="U2412" s="44">
        <f>U2367*Settings!$C$13*(U2331)</f>
        <v/>
      </c>
      <c r="V2412" s="44">
        <f>V2367*Settings!$C$13*(V2331)</f>
        <v/>
      </c>
      <c r="W2412" s="44">
        <f>W2367*Settings!$C$13*(W2331)</f>
        <v/>
      </c>
      <c r="X2412" s="44">
        <f>X2367*Settings!$C$13*(X2331)</f>
        <v/>
      </c>
      <c r="Y2412" s="44">
        <f>Y2367*Settings!$C$13*(Y2331)</f>
        <v/>
      </c>
      <c r="Z2412" s="44">
        <f>Z2367*Settings!$C$13*(Z2331)</f>
        <v/>
      </c>
      <c r="AA2412" s="44">
        <f>AA2367*Settings!$C$13*(AA2331)</f>
        <v/>
      </c>
      <c r="AB2412" s="44">
        <f>AB2367*Settings!$C$13*(AB2331)</f>
        <v/>
      </c>
      <c r="AC2412" s="44">
        <f>AC2367*Settings!$C$13*(AC2331)</f>
        <v/>
      </c>
      <c r="AD2412" s="44">
        <f>AD2367*Settings!$C$13*(AD2331)</f>
        <v/>
      </c>
      <c r="AE2412" s="57">
        <f>REVENUE(AE2367,Settings!$C$13,AE2331)</f>
        <v/>
      </c>
      <c r="AG2412" s="11">
        <f>CodePrefix&amp;$A2412&amp;IF($C2412="","","."&amp;$C2412&amp;"."&amp;$B2412)&amp;INDEX(VarEnd,MATCH($A2412,VarKey,0))&amp;AG$5</f>
        <v/>
      </c>
      <c r="AH2412" s="43">
        <f>AH2367*Settings!$C$13*(AH2331)</f>
        <v/>
      </c>
      <c r="AI2412" s="44">
        <f>AI2367*Settings!$C$13*(AI2331)</f>
        <v/>
      </c>
      <c r="AJ2412" s="44">
        <f>AJ2367*Settings!$C$13*(AJ2331)</f>
        <v/>
      </c>
      <c r="AK2412" s="44">
        <f>AK2367*Settings!$C$13*(AK2331)</f>
        <v/>
      </c>
      <c r="AL2412" s="44">
        <f>AL2367*Settings!$C$13*(AL2331)</f>
        <v/>
      </c>
      <c r="AM2412" s="44">
        <f>AM2367*Settings!$C$13*(AM2331)</f>
        <v/>
      </c>
      <c r="AN2412" s="44">
        <f>AN2367*Settings!$C$13*(AN2331)</f>
        <v/>
      </c>
      <c r="AO2412" s="44">
        <f>AO2367*Settings!$C$13*(AO2331)</f>
        <v/>
      </c>
      <c r="AP2412" s="44">
        <f>AP2367*Settings!$C$13*(AP2331)</f>
        <v/>
      </c>
      <c r="AQ2412" s="44">
        <f>AQ2367*Settings!$C$13*(AQ2331)</f>
        <v/>
      </c>
      <c r="AR2412" s="44">
        <f>AR2367*Settings!$C$13*(AR2331)</f>
        <v/>
      </c>
      <c r="AS2412" s="44">
        <f>AS2367*Settings!$C$13*(AS2331)</f>
        <v/>
      </c>
      <c r="AT2412" s="44">
        <f>AT2367*Settings!$C$13*(AT2331)</f>
        <v/>
      </c>
      <c r="AU2412" s="44">
        <f>AU2367*Settings!$C$13*(AU2331)</f>
        <v/>
      </c>
      <c r="AV2412" s="44">
        <f>AV2367*Settings!$C$13*(AV2331)</f>
        <v/>
      </c>
      <c r="AW2412" s="44">
        <f>AW2367*Settings!$C$13*(AW2331)</f>
        <v/>
      </c>
      <c r="AX2412" s="44">
        <f>AX2367*Settings!$C$13*(AX2331)</f>
        <v/>
      </c>
      <c r="AY2412" s="44">
        <f>AY2367*Settings!$C$13*(AY2331)</f>
        <v/>
      </c>
      <c r="AZ2412" s="44">
        <f>AZ2367*Settings!$C$13*(AZ2331)</f>
        <v/>
      </c>
      <c r="BA2412" s="57">
        <f>REVENUE(BA2367,Settings!$C$13,BA2331)</f>
        <v/>
      </c>
    </row>
    <row r="2413" hidden="1" outlineLevel="2">
      <c r="A2413" s="14" t="inlineStr">
        <is>
          <t>rxcp</t>
        </is>
      </c>
      <c r="B2413" s="14" t="inlineStr">
        <is>
          <t>die</t>
        </is>
      </c>
      <c r="C2413" s="14" t="inlineStr">
        <is>
          <t>mac</t>
        </is>
      </c>
      <c r="D2413" s="39" t="n"/>
      <c r="E2413" s="39" t="n"/>
      <c r="F2413" s="39" t="n"/>
      <c r="G2413" s="39" t="n"/>
      <c r="H2413" s="14">
        <f>INDEX(VarLab,MATCH($A2413,VarKey,0))&amp;INDEX(MemLab,MATCH($C2413&amp;"|"&amp;$B2413,MemKey,0))</f>
        <v/>
      </c>
      <c r="I2413" s="14">
        <f>INDEX(VarUnit,MATCH($A2413,VarKey,0))</f>
        <v/>
      </c>
      <c r="J2413" s="14">
        <f>INDEX(VarSrc,MATCH($A2413,VarKey,0))</f>
        <v/>
      </c>
      <c r="K2413" s="11">
        <f>CodePrefix&amp;$A2413&amp;IF($C2413="","","."&amp;$C2413&amp;"."&amp;$B2413)&amp;INDEX(VarEnd,MATCH($A2413,VarKey,0))&amp;K$5</f>
        <v/>
      </c>
      <c r="L2413" s="43">
        <f>L2368*Settings!$C$13*(L2332)</f>
        <v/>
      </c>
      <c r="M2413" s="44">
        <f>M2368*Settings!$C$13*(M2332)</f>
        <v/>
      </c>
      <c r="N2413" s="44">
        <f>N2368*Settings!$C$13*(N2332)</f>
        <v/>
      </c>
      <c r="O2413" s="44">
        <f>O2368*Settings!$C$13*(O2332)</f>
        <v/>
      </c>
      <c r="P2413" s="44">
        <f>P2368*Settings!$C$13*(P2332)</f>
        <v/>
      </c>
      <c r="Q2413" s="44">
        <f>Q2368*Settings!$C$13*(Q2332)</f>
        <v/>
      </c>
      <c r="R2413" s="44">
        <f>R2368*Settings!$C$13*(R2332)</f>
        <v/>
      </c>
      <c r="S2413" s="44">
        <f>S2368*Settings!$C$13*(S2332)</f>
        <v/>
      </c>
      <c r="T2413" s="44">
        <f>T2368*Settings!$C$13*(T2332)</f>
        <v/>
      </c>
      <c r="U2413" s="44">
        <f>U2368*Settings!$C$13*(U2332)</f>
        <v/>
      </c>
      <c r="V2413" s="44">
        <f>V2368*Settings!$C$13*(V2332)</f>
        <v/>
      </c>
      <c r="W2413" s="44">
        <f>W2368*Settings!$C$13*(W2332)</f>
        <v/>
      </c>
      <c r="X2413" s="44">
        <f>X2368*Settings!$C$13*(X2332)</f>
        <v/>
      </c>
      <c r="Y2413" s="44">
        <f>Y2368*Settings!$C$13*(Y2332)</f>
        <v/>
      </c>
      <c r="Z2413" s="44">
        <f>Z2368*Settings!$C$13*(Z2332)</f>
        <v/>
      </c>
      <c r="AA2413" s="44">
        <f>AA2368*Settings!$C$13*(AA2332)</f>
        <v/>
      </c>
      <c r="AB2413" s="44">
        <f>AB2368*Settings!$C$13*(AB2332)</f>
        <v/>
      </c>
      <c r="AC2413" s="44">
        <f>AC2368*Settings!$C$13*(AC2332)</f>
        <v/>
      </c>
      <c r="AD2413" s="44">
        <f>AD2368*Settings!$C$13*(AD2332)</f>
        <v/>
      </c>
      <c r="AE2413" s="57">
        <f>REVENUE(AE2368,Settings!$C$13,AE2332)</f>
        <v/>
      </c>
      <c r="AG2413" s="11">
        <f>CodePrefix&amp;$A2413&amp;IF($C2413="","","."&amp;$C2413&amp;"."&amp;$B2413)&amp;INDEX(VarEnd,MATCH($A2413,VarKey,0))&amp;AG$5</f>
        <v/>
      </c>
      <c r="AH2413" s="43">
        <f>AH2368*Settings!$C$13*(AH2332)</f>
        <v/>
      </c>
      <c r="AI2413" s="44">
        <f>AI2368*Settings!$C$13*(AI2332)</f>
        <v/>
      </c>
      <c r="AJ2413" s="44">
        <f>AJ2368*Settings!$C$13*(AJ2332)</f>
        <v/>
      </c>
      <c r="AK2413" s="44">
        <f>AK2368*Settings!$C$13*(AK2332)</f>
        <v/>
      </c>
      <c r="AL2413" s="44">
        <f>AL2368*Settings!$C$13*(AL2332)</f>
        <v/>
      </c>
      <c r="AM2413" s="44">
        <f>AM2368*Settings!$C$13*(AM2332)</f>
        <v/>
      </c>
      <c r="AN2413" s="44">
        <f>AN2368*Settings!$C$13*(AN2332)</f>
        <v/>
      </c>
      <c r="AO2413" s="44">
        <f>AO2368*Settings!$C$13*(AO2332)</f>
        <v/>
      </c>
      <c r="AP2413" s="44">
        <f>AP2368*Settings!$C$13*(AP2332)</f>
        <v/>
      </c>
      <c r="AQ2413" s="44">
        <f>AQ2368*Settings!$C$13*(AQ2332)</f>
        <v/>
      </c>
      <c r="AR2413" s="44">
        <f>AR2368*Settings!$C$13*(AR2332)</f>
        <v/>
      </c>
      <c r="AS2413" s="44">
        <f>AS2368*Settings!$C$13*(AS2332)</f>
        <v/>
      </c>
      <c r="AT2413" s="44">
        <f>AT2368*Settings!$C$13*(AT2332)</f>
        <v/>
      </c>
      <c r="AU2413" s="44">
        <f>AU2368*Settings!$C$13*(AU2332)</f>
        <v/>
      </c>
      <c r="AV2413" s="44">
        <f>AV2368*Settings!$C$13*(AV2332)</f>
        <v/>
      </c>
      <c r="AW2413" s="44">
        <f>AW2368*Settings!$C$13*(AW2332)</f>
        <v/>
      </c>
      <c r="AX2413" s="44">
        <f>AX2368*Settings!$C$13*(AX2332)</f>
        <v/>
      </c>
      <c r="AY2413" s="44">
        <f>AY2368*Settings!$C$13*(AY2332)</f>
        <v/>
      </c>
      <c r="AZ2413" s="44">
        <f>AZ2368*Settings!$C$13*(AZ2332)</f>
        <v/>
      </c>
      <c r="BA2413" s="57">
        <f>REVENUE(BA2368,Settings!$C$13,BA2332)</f>
        <v/>
      </c>
    </row>
    <row r="2414" hidden="1" outlineLevel="2">
      <c r="A2414" s="14" t="inlineStr">
        <is>
          <t>rxcp</t>
        </is>
      </c>
      <c r="B2414" s="14" t="inlineStr">
        <is>
          <t>lpg</t>
        </is>
      </c>
      <c r="C2414" s="14" t="inlineStr">
        <is>
          <t>mac</t>
        </is>
      </c>
      <c r="D2414" s="39" t="n"/>
      <c r="E2414" s="39" t="n"/>
      <c r="F2414" s="39" t="n"/>
      <c r="G2414" s="39" t="n"/>
      <c r="H2414" s="14">
        <f>INDEX(VarLab,MATCH($A2414,VarKey,0))&amp;INDEX(MemLab,MATCH($C2414&amp;"|"&amp;$B2414,MemKey,0))</f>
        <v/>
      </c>
      <c r="I2414" s="14">
        <f>INDEX(VarUnit,MATCH($A2414,VarKey,0))</f>
        <v/>
      </c>
      <c r="J2414" s="14">
        <f>INDEX(VarSrc,MATCH($A2414,VarKey,0))</f>
        <v/>
      </c>
      <c r="K2414" s="11">
        <f>CodePrefix&amp;$A2414&amp;IF($C2414="","","."&amp;$C2414&amp;"."&amp;$B2414)&amp;INDEX(VarEnd,MATCH($A2414,VarKey,0))&amp;K$5</f>
        <v/>
      </c>
      <c r="L2414" s="43">
        <f>L2369*Settings!$C$13*(L2333)</f>
        <v/>
      </c>
      <c r="M2414" s="44">
        <f>M2369*Settings!$C$13*(M2333)</f>
        <v/>
      </c>
      <c r="N2414" s="44">
        <f>N2369*Settings!$C$13*(N2333)</f>
        <v/>
      </c>
      <c r="O2414" s="44">
        <f>O2369*Settings!$C$13*(O2333)</f>
        <v/>
      </c>
      <c r="P2414" s="44">
        <f>P2369*Settings!$C$13*(P2333)</f>
        <v/>
      </c>
      <c r="Q2414" s="44">
        <f>Q2369*Settings!$C$13*(Q2333)</f>
        <v/>
      </c>
      <c r="R2414" s="44">
        <f>R2369*Settings!$C$13*(R2333)</f>
        <v/>
      </c>
      <c r="S2414" s="44">
        <f>S2369*Settings!$C$13*(S2333)</f>
        <v/>
      </c>
      <c r="T2414" s="44">
        <f>T2369*Settings!$C$13*(T2333)</f>
        <v/>
      </c>
      <c r="U2414" s="44">
        <f>U2369*Settings!$C$13*(U2333)</f>
        <v/>
      </c>
      <c r="V2414" s="44">
        <f>V2369*Settings!$C$13*(V2333)</f>
        <v/>
      </c>
      <c r="W2414" s="44">
        <f>W2369*Settings!$C$13*(W2333)</f>
        <v/>
      </c>
      <c r="X2414" s="44">
        <f>X2369*Settings!$C$13*(X2333)</f>
        <v/>
      </c>
      <c r="Y2414" s="44">
        <f>Y2369*Settings!$C$13*(Y2333)</f>
        <v/>
      </c>
      <c r="Z2414" s="44">
        <f>Z2369*Settings!$C$13*(Z2333)</f>
        <v/>
      </c>
      <c r="AA2414" s="44">
        <f>AA2369*Settings!$C$13*(AA2333)</f>
        <v/>
      </c>
      <c r="AB2414" s="44">
        <f>AB2369*Settings!$C$13*(AB2333)</f>
        <v/>
      </c>
      <c r="AC2414" s="44">
        <f>AC2369*Settings!$C$13*(AC2333)</f>
        <v/>
      </c>
      <c r="AD2414" s="44">
        <f>AD2369*Settings!$C$13*(AD2333)</f>
        <v/>
      </c>
      <c r="AE2414" s="57">
        <f>REVENUE(AE2369,Settings!$C$13,AE2333)</f>
        <v/>
      </c>
      <c r="AG2414" s="11">
        <f>CodePrefix&amp;$A2414&amp;IF($C2414="","","."&amp;$C2414&amp;"."&amp;$B2414)&amp;INDEX(VarEnd,MATCH($A2414,VarKey,0))&amp;AG$5</f>
        <v/>
      </c>
      <c r="AH2414" s="43">
        <f>AH2369*Settings!$C$13*(AH2333)</f>
        <v/>
      </c>
      <c r="AI2414" s="44">
        <f>AI2369*Settings!$C$13*(AI2333)</f>
        <v/>
      </c>
      <c r="AJ2414" s="44">
        <f>AJ2369*Settings!$C$13*(AJ2333)</f>
        <v/>
      </c>
      <c r="AK2414" s="44">
        <f>AK2369*Settings!$C$13*(AK2333)</f>
        <v/>
      </c>
      <c r="AL2414" s="44">
        <f>AL2369*Settings!$C$13*(AL2333)</f>
        <v/>
      </c>
      <c r="AM2414" s="44">
        <f>AM2369*Settings!$C$13*(AM2333)</f>
        <v/>
      </c>
      <c r="AN2414" s="44">
        <f>AN2369*Settings!$C$13*(AN2333)</f>
        <v/>
      </c>
      <c r="AO2414" s="44">
        <f>AO2369*Settings!$C$13*(AO2333)</f>
        <v/>
      </c>
      <c r="AP2414" s="44">
        <f>AP2369*Settings!$C$13*(AP2333)</f>
        <v/>
      </c>
      <c r="AQ2414" s="44">
        <f>AQ2369*Settings!$C$13*(AQ2333)</f>
        <v/>
      </c>
      <c r="AR2414" s="44">
        <f>AR2369*Settings!$C$13*(AR2333)</f>
        <v/>
      </c>
      <c r="AS2414" s="44">
        <f>AS2369*Settings!$C$13*(AS2333)</f>
        <v/>
      </c>
      <c r="AT2414" s="44">
        <f>AT2369*Settings!$C$13*(AT2333)</f>
        <v/>
      </c>
      <c r="AU2414" s="44">
        <f>AU2369*Settings!$C$13*(AU2333)</f>
        <v/>
      </c>
      <c r="AV2414" s="44">
        <f>AV2369*Settings!$C$13*(AV2333)</f>
        <v/>
      </c>
      <c r="AW2414" s="44">
        <f>AW2369*Settings!$C$13*(AW2333)</f>
        <v/>
      </c>
      <c r="AX2414" s="44">
        <f>AX2369*Settings!$C$13*(AX2333)</f>
        <v/>
      </c>
      <c r="AY2414" s="44">
        <f>AY2369*Settings!$C$13*(AY2333)</f>
        <v/>
      </c>
      <c r="AZ2414" s="44">
        <f>AZ2369*Settings!$C$13*(AZ2333)</f>
        <v/>
      </c>
      <c r="BA2414" s="57">
        <f>REVENUE(BA2369,Settings!$C$13,BA2333)</f>
        <v/>
      </c>
    </row>
    <row r="2415" hidden="1" outlineLevel="2">
      <c r="A2415" s="14" t="inlineStr">
        <is>
          <t>rxcp</t>
        </is>
      </c>
      <c r="B2415" s="14" t="inlineStr">
        <is>
          <t>ker</t>
        </is>
      </c>
      <c r="C2415" s="14" t="inlineStr">
        <is>
          <t>mac</t>
        </is>
      </c>
      <c r="D2415" s="39" t="n"/>
      <c r="E2415" s="39" t="n"/>
      <c r="F2415" s="39" t="n"/>
      <c r="G2415" s="39" t="n"/>
      <c r="H2415" s="14">
        <f>INDEX(VarLab,MATCH($A2415,VarKey,0))&amp;INDEX(MemLab,MATCH($C2415&amp;"|"&amp;$B2415,MemKey,0))</f>
        <v/>
      </c>
      <c r="I2415" s="14">
        <f>INDEX(VarUnit,MATCH($A2415,VarKey,0))</f>
        <v/>
      </c>
      <c r="J2415" s="14">
        <f>INDEX(VarSrc,MATCH($A2415,VarKey,0))</f>
        <v/>
      </c>
      <c r="K2415" s="11">
        <f>CodePrefix&amp;$A2415&amp;IF($C2415="","","."&amp;$C2415&amp;"."&amp;$B2415)&amp;INDEX(VarEnd,MATCH($A2415,VarKey,0))&amp;K$5</f>
        <v/>
      </c>
      <c r="L2415" s="43">
        <f>L2370*Settings!$C$13*(L2334)</f>
        <v/>
      </c>
      <c r="M2415" s="44">
        <f>M2370*Settings!$C$13*(M2334)</f>
        <v/>
      </c>
      <c r="N2415" s="44">
        <f>N2370*Settings!$C$13*(N2334)</f>
        <v/>
      </c>
      <c r="O2415" s="44">
        <f>O2370*Settings!$C$13*(O2334)</f>
        <v/>
      </c>
      <c r="P2415" s="44">
        <f>P2370*Settings!$C$13*(P2334)</f>
        <v/>
      </c>
      <c r="Q2415" s="44">
        <f>Q2370*Settings!$C$13*(Q2334)</f>
        <v/>
      </c>
      <c r="R2415" s="44">
        <f>R2370*Settings!$C$13*(R2334)</f>
        <v/>
      </c>
      <c r="S2415" s="44">
        <f>S2370*Settings!$C$13*(S2334)</f>
        <v/>
      </c>
      <c r="T2415" s="44">
        <f>T2370*Settings!$C$13*(T2334)</f>
        <v/>
      </c>
      <c r="U2415" s="44">
        <f>U2370*Settings!$C$13*(U2334)</f>
        <v/>
      </c>
      <c r="V2415" s="44">
        <f>V2370*Settings!$C$13*(V2334)</f>
        <v/>
      </c>
      <c r="W2415" s="44">
        <f>W2370*Settings!$C$13*(W2334)</f>
        <v/>
      </c>
      <c r="X2415" s="44">
        <f>X2370*Settings!$C$13*(X2334)</f>
        <v/>
      </c>
      <c r="Y2415" s="44">
        <f>Y2370*Settings!$C$13*(Y2334)</f>
        <v/>
      </c>
      <c r="Z2415" s="44">
        <f>Z2370*Settings!$C$13*(Z2334)</f>
        <v/>
      </c>
      <c r="AA2415" s="44">
        <f>AA2370*Settings!$C$13*(AA2334)</f>
        <v/>
      </c>
      <c r="AB2415" s="44">
        <f>AB2370*Settings!$C$13*(AB2334)</f>
        <v/>
      </c>
      <c r="AC2415" s="44">
        <f>AC2370*Settings!$C$13*(AC2334)</f>
        <v/>
      </c>
      <c r="AD2415" s="44">
        <f>AD2370*Settings!$C$13*(AD2334)</f>
        <v/>
      </c>
      <c r="AE2415" s="57">
        <f>REVENUE(AE2370,Settings!$C$13,AE2334)</f>
        <v/>
      </c>
      <c r="AG2415" s="11">
        <f>CodePrefix&amp;$A2415&amp;IF($C2415="","","."&amp;$C2415&amp;"."&amp;$B2415)&amp;INDEX(VarEnd,MATCH($A2415,VarKey,0))&amp;AG$5</f>
        <v/>
      </c>
      <c r="AH2415" s="43">
        <f>AH2370*Settings!$C$13*(AH2334)</f>
        <v/>
      </c>
      <c r="AI2415" s="44">
        <f>AI2370*Settings!$C$13*(AI2334)</f>
        <v/>
      </c>
      <c r="AJ2415" s="44">
        <f>AJ2370*Settings!$C$13*(AJ2334)</f>
        <v/>
      </c>
      <c r="AK2415" s="44">
        <f>AK2370*Settings!$C$13*(AK2334)</f>
        <v/>
      </c>
      <c r="AL2415" s="44">
        <f>AL2370*Settings!$C$13*(AL2334)</f>
        <v/>
      </c>
      <c r="AM2415" s="44">
        <f>AM2370*Settings!$C$13*(AM2334)</f>
        <v/>
      </c>
      <c r="AN2415" s="44">
        <f>AN2370*Settings!$C$13*(AN2334)</f>
        <v/>
      </c>
      <c r="AO2415" s="44">
        <f>AO2370*Settings!$C$13*(AO2334)</f>
        <v/>
      </c>
      <c r="AP2415" s="44">
        <f>AP2370*Settings!$C$13*(AP2334)</f>
        <v/>
      </c>
      <c r="AQ2415" s="44">
        <f>AQ2370*Settings!$C$13*(AQ2334)</f>
        <v/>
      </c>
      <c r="AR2415" s="44">
        <f>AR2370*Settings!$C$13*(AR2334)</f>
        <v/>
      </c>
      <c r="AS2415" s="44">
        <f>AS2370*Settings!$C$13*(AS2334)</f>
        <v/>
      </c>
      <c r="AT2415" s="44">
        <f>AT2370*Settings!$C$13*(AT2334)</f>
        <v/>
      </c>
      <c r="AU2415" s="44">
        <f>AU2370*Settings!$C$13*(AU2334)</f>
        <v/>
      </c>
      <c r="AV2415" s="44">
        <f>AV2370*Settings!$C$13*(AV2334)</f>
        <v/>
      </c>
      <c r="AW2415" s="44">
        <f>AW2370*Settings!$C$13*(AW2334)</f>
        <v/>
      </c>
      <c r="AX2415" s="44">
        <f>AX2370*Settings!$C$13*(AX2334)</f>
        <v/>
      </c>
      <c r="AY2415" s="44">
        <f>AY2370*Settings!$C$13*(AY2334)</f>
        <v/>
      </c>
      <c r="AZ2415" s="44">
        <f>AZ2370*Settings!$C$13*(AZ2334)</f>
        <v/>
      </c>
      <c r="BA2415" s="57">
        <f>REVENUE(BA2370,Settings!$C$13,BA2334)</f>
        <v/>
      </c>
    </row>
    <row r="2416" hidden="1" outlineLevel="2">
      <c r="A2416" s="14" t="inlineStr">
        <is>
          <t>rxcp</t>
        </is>
      </c>
      <c r="B2416" s="14" t="inlineStr">
        <is>
          <t>oop</t>
        </is>
      </c>
      <c r="C2416" s="14" t="inlineStr">
        <is>
          <t>mac</t>
        </is>
      </c>
      <c r="D2416" s="39" t="n"/>
      <c r="E2416" s="39" t="n"/>
      <c r="F2416" s="39" t="n"/>
      <c r="G2416" s="39" t="n"/>
      <c r="H2416" s="14">
        <f>INDEX(VarLab,MATCH($A2416,VarKey,0))&amp;INDEX(MemLab,MATCH($C2416&amp;"|"&amp;$B2416,MemKey,0))</f>
        <v/>
      </c>
      <c r="I2416" s="14">
        <f>INDEX(VarUnit,MATCH($A2416,VarKey,0))</f>
        <v/>
      </c>
      <c r="J2416" s="14">
        <f>INDEX(VarSrc,MATCH($A2416,VarKey,0))</f>
        <v/>
      </c>
      <c r="K2416" s="11">
        <f>CodePrefix&amp;$A2416&amp;IF($C2416="","","."&amp;$C2416&amp;"."&amp;$B2416)&amp;INDEX(VarEnd,MATCH($A2416,VarKey,0))&amp;K$5</f>
        <v/>
      </c>
      <c r="L2416" s="43">
        <f>L2371*Settings!$C$13*(L2335)</f>
        <v/>
      </c>
      <c r="M2416" s="44">
        <f>M2371*Settings!$C$13*(M2335)</f>
        <v/>
      </c>
      <c r="N2416" s="44">
        <f>N2371*Settings!$C$13*(N2335)</f>
        <v/>
      </c>
      <c r="O2416" s="44">
        <f>O2371*Settings!$C$13*(O2335)</f>
        <v/>
      </c>
      <c r="P2416" s="44">
        <f>P2371*Settings!$C$13*(P2335)</f>
        <v/>
      </c>
      <c r="Q2416" s="44">
        <f>Q2371*Settings!$C$13*(Q2335)</f>
        <v/>
      </c>
      <c r="R2416" s="44">
        <f>R2371*Settings!$C$13*(R2335)</f>
        <v/>
      </c>
      <c r="S2416" s="44">
        <f>S2371*Settings!$C$13*(S2335)</f>
        <v/>
      </c>
      <c r="T2416" s="44">
        <f>T2371*Settings!$C$13*(T2335)</f>
        <v/>
      </c>
      <c r="U2416" s="44">
        <f>U2371*Settings!$C$13*(U2335)</f>
        <v/>
      </c>
      <c r="V2416" s="44">
        <f>V2371*Settings!$C$13*(V2335)</f>
        <v/>
      </c>
      <c r="W2416" s="44">
        <f>W2371*Settings!$C$13*(W2335)</f>
        <v/>
      </c>
      <c r="X2416" s="44">
        <f>X2371*Settings!$C$13*(X2335)</f>
        <v/>
      </c>
      <c r="Y2416" s="44">
        <f>Y2371*Settings!$C$13*(Y2335)</f>
        <v/>
      </c>
      <c r="Z2416" s="44">
        <f>Z2371*Settings!$C$13*(Z2335)</f>
        <v/>
      </c>
      <c r="AA2416" s="44">
        <f>AA2371*Settings!$C$13*(AA2335)</f>
        <v/>
      </c>
      <c r="AB2416" s="44">
        <f>AB2371*Settings!$C$13*(AB2335)</f>
        <v/>
      </c>
      <c r="AC2416" s="44">
        <f>AC2371*Settings!$C$13*(AC2335)</f>
        <v/>
      </c>
      <c r="AD2416" s="44">
        <f>AD2371*Settings!$C$13*(AD2335)</f>
        <v/>
      </c>
      <c r="AE2416" s="57">
        <f>REVENUE(AE2371,Settings!$C$13,AE2335)</f>
        <v/>
      </c>
      <c r="AG2416" s="11">
        <f>CodePrefix&amp;$A2416&amp;IF($C2416="","","."&amp;$C2416&amp;"."&amp;$B2416)&amp;INDEX(VarEnd,MATCH($A2416,VarKey,0))&amp;AG$5</f>
        <v/>
      </c>
      <c r="AH2416" s="43">
        <f>AH2371*Settings!$C$13*(AH2335)</f>
        <v/>
      </c>
      <c r="AI2416" s="44">
        <f>AI2371*Settings!$C$13*(AI2335)</f>
        <v/>
      </c>
      <c r="AJ2416" s="44">
        <f>AJ2371*Settings!$C$13*(AJ2335)</f>
        <v/>
      </c>
      <c r="AK2416" s="44">
        <f>AK2371*Settings!$C$13*(AK2335)</f>
        <v/>
      </c>
      <c r="AL2416" s="44">
        <f>AL2371*Settings!$C$13*(AL2335)</f>
        <v/>
      </c>
      <c r="AM2416" s="44">
        <f>AM2371*Settings!$C$13*(AM2335)</f>
        <v/>
      </c>
      <c r="AN2416" s="44">
        <f>AN2371*Settings!$C$13*(AN2335)</f>
        <v/>
      </c>
      <c r="AO2416" s="44">
        <f>AO2371*Settings!$C$13*(AO2335)</f>
        <v/>
      </c>
      <c r="AP2416" s="44">
        <f>AP2371*Settings!$C$13*(AP2335)</f>
        <v/>
      </c>
      <c r="AQ2416" s="44">
        <f>AQ2371*Settings!$C$13*(AQ2335)</f>
        <v/>
      </c>
      <c r="AR2416" s="44">
        <f>AR2371*Settings!$C$13*(AR2335)</f>
        <v/>
      </c>
      <c r="AS2416" s="44">
        <f>AS2371*Settings!$C$13*(AS2335)</f>
        <v/>
      </c>
      <c r="AT2416" s="44">
        <f>AT2371*Settings!$C$13*(AT2335)</f>
        <v/>
      </c>
      <c r="AU2416" s="44">
        <f>AU2371*Settings!$C$13*(AU2335)</f>
        <v/>
      </c>
      <c r="AV2416" s="44">
        <f>AV2371*Settings!$C$13*(AV2335)</f>
        <v/>
      </c>
      <c r="AW2416" s="44">
        <f>AW2371*Settings!$C$13*(AW2335)</f>
        <v/>
      </c>
      <c r="AX2416" s="44">
        <f>AX2371*Settings!$C$13*(AX2335)</f>
        <v/>
      </c>
      <c r="AY2416" s="44">
        <f>AY2371*Settings!$C$13*(AY2335)</f>
        <v/>
      </c>
      <c r="AZ2416" s="44">
        <f>AZ2371*Settings!$C$13*(AZ2335)</f>
        <v/>
      </c>
      <c r="BA2416" s="57">
        <f>REVENUE(BA2371,Settings!$C$13,BA2335)</f>
        <v/>
      </c>
    </row>
    <row r="2417" hidden="1" outlineLevel="2">
      <c r="A2417" s="14" t="inlineStr">
        <is>
          <t>rxcp</t>
        </is>
      </c>
      <c r="B2417" s="14" t="inlineStr">
        <is>
          <t>bio</t>
        </is>
      </c>
      <c r="C2417" s="14" t="inlineStr">
        <is>
          <t>mac</t>
        </is>
      </c>
      <c r="D2417" s="39" t="n"/>
      <c r="E2417" s="39" t="n"/>
      <c r="F2417" s="39" t="n"/>
      <c r="G2417" s="39" t="n"/>
      <c r="H2417" s="14">
        <f>INDEX(VarLab,MATCH($A2417,VarKey,0))&amp;INDEX(MemLab,MATCH($C2417&amp;"|"&amp;$B2417,MemKey,0))</f>
        <v/>
      </c>
      <c r="I2417" s="14">
        <f>INDEX(VarUnit,MATCH($A2417,VarKey,0))</f>
        <v/>
      </c>
      <c r="J2417" s="14">
        <f>INDEX(VarSrc,MATCH($A2417,VarKey,0))</f>
        <v/>
      </c>
      <c r="K2417" s="11">
        <f>CodePrefix&amp;$A2417&amp;IF($C2417="","","."&amp;$C2417&amp;"."&amp;$B2417)&amp;INDEX(VarEnd,MATCH($A2417,VarKey,0))&amp;K$5</f>
        <v/>
      </c>
      <c r="L2417" s="43">
        <f>L2372*Settings!$C$13*(L2336)</f>
        <v/>
      </c>
      <c r="M2417" s="44">
        <f>M2372*Settings!$C$13*(M2336)</f>
        <v/>
      </c>
      <c r="N2417" s="44">
        <f>N2372*Settings!$C$13*(N2336)</f>
        <v/>
      </c>
      <c r="O2417" s="44">
        <f>O2372*Settings!$C$13*(O2336)</f>
        <v/>
      </c>
      <c r="P2417" s="44">
        <f>P2372*Settings!$C$13*(P2336)</f>
        <v/>
      </c>
      <c r="Q2417" s="44">
        <f>Q2372*Settings!$C$13*(Q2336)</f>
        <v/>
      </c>
      <c r="R2417" s="44">
        <f>R2372*Settings!$C$13*(R2336)</f>
        <v/>
      </c>
      <c r="S2417" s="44">
        <f>S2372*Settings!$C$13*(S2336)</f>
        <v/>
      </c>
      <c r="T2417" s="44">
        <f>T2372*Settings!$C$13*(T2336)</f>
        <v/>
      </c>
      <c r="U2417" s="44">
        <f>U2372*Settings!$C$13*(U2336)</f>
        <v/>
      </c>
      <c r="V2417" s="44">
        <f>V2372*Settings!$C$13*(V2336)</f>
        <v/>
      </c>
      <c r="W2417" s="44">
        <f>W2372*Settings!$C$13*(W2336)</f>
        <v/>
      </c>
      <c r="X2417" s="44">
        <f>X2372*Settings!$C$13*(X2336)</f>
        <v/>
      </c>
      <c r="Y2417" s="44">
        <f>Y2372*Settings!$C$13*(Y2336)</f>
        <v/>
      </c>
      <c r="Z2417" s="44">
        <f>Z2372*Settings!$C$13*(Z2336)</f>
        <v/>
      </c>
      <c r="AA2417" s="44">
        <f>AA2372*Settings!$C$13*(AA2336)</f>
        <v/>
      </c>
      <c r="AB2417" s="44">
        <f>AB2372*Settings!$C$13*(AB2336)</f>
        <v/>
      </c>
      <c r="AC2417" s="44">
        <f>AC2372*Settings!$C$13*(AC2336)</f>
        <v/>
      </c>
      <c r="AD2417" s="44">
        <f>AD2372*Settings!$C$13*(AD2336)</f>
        <v/>
      </c>
      <c r="AE2417" s="57">
        <f>REVENUE(AE2372,Settings!$C$13,AE2336)</f>
        <v/>
      </c>
      <c r="AG2417" s="11">
        <f>CodePrefix&amp;$A2417&amp;IF($C2417="","","."&amp;$C2417&amp;"."&amp;$B2417)&amp;INDEX(VarEnd,MATCH($A2417,VarKey,0))&amp;AG$5</f>
        <v/>
      </c>
      <c r="AH2417" s="43">
        <f>AH2372*Settings!$C$13*(AH2336)</f>
        <v/>
      </c>
      <c r="AI2417" s="44">
        <f>AI2372*Settings!$C$13*(AI2336)</f>
        <v/>
      </c>
      <c r="AJ2417" s="44">
        <f>AJ2372*Settings!$C$13*(AJ2336)</f>
        <v/>
      </c>
      <c r="AK2417" s="44">
        <f>AK2372*Settings!$C$13*(AK2336)</f>
        <v/>
      </c>
      <c r="AL2417" s="44">
        <f>AL2372*Settings!$C$13*(AL2336)</f>
        <v/>
      </c>
      <c r="AM2417" s="44">
        <f>AM2372*Settings!$C$13*(AM2336)</f>
        <v/>
      </c>
      <c r="AN2417" s="44">
        <f>AN2372*Settings!$C$13*(AN2336)</f>
        <v/>
      </c>
      <c r="AO2417" s="44">
        <f>AO2372*Settings!$C$13*(AO2336)</f>
        <v/>
      </c>
      <c r="AP2417" s="44">
        <f>AP2372*Settings!$C$13*(AP2336)</f>
        <v/>
      </c>
      <c r="AQ2417" s="44">
        <f>AQ2372*Settings!$C$13*(AQ2336)</f>
        <v/>
      </c>
      <c r="AR2417" s="44">
        <f>AR2372*Settings!$C$13*(AR2336)</f>
        <v/>
      </c>
      <c r="AS2417" s="44">
        <f>AS2372*Settings!$C$13*(AS2336)</f>
        <v/>
      </c>
      <c r="AT2417" s="44">
        <f>AT2372*Settings!$C$13*(AT2336)</f>
        <v/>
      </c>
      <c r="AU2417" s="44">
        <f>AU2372*Settings!$C$13*(AU2336)</f>
        <v/>
      </c>
      <c r="AV2417" s="44">
        <f>AV2372*Settings!$C$13*(AV2336)</f>
        <v/>
      </c>
      <c r="AW2417" s="44">
        <f>AW2372*Settings!$C$13*(AW2336)</f>
        <v/>
      </c>
      <c r="AX2417" s="44">
        <f>AX2372*Settings!$C$13*(AX2336)</f>
        <v/>
      </c>
      <c r="AY2417" s="44">
        <f>AY2372*Settings!$C$13*(AY2336)</f>
        <v/>
      </c>
      <c r="AZ2417" s="44">
        <f>AZ2372*Settings!$C$13*(AZ2336)</f>
        <v/>
      </c>
      <c r="BA2417" s="57">
        <f>REVENUE(BA2372,Settings!$C$13,BA2336)</f>
        <v/>
      </c>
    </row>
    <row r="2418" hidden="1" outlineLevel="2"/>
    <row r="2419" hidden="1" outlineLevel="1" collapsed="1">
      <c r="A2419" s="1" t="inlineStr">
        <is>
          <t>ener</t>
        </is>
      </c>
      <c r="B2419" s="1" t="inlineStr">
        <is>
          <t>all</t>
        </is>
      </c>
      <c r="C2419" s="1" t="inlineStr">
        <is>
          <t>cem</t>
        </is>
      </c>
      <c r="H2419" s="1">
        <f>INDEX(VarLab,MATCH($A2419,VarKey,0))&amp;INDEX(MemLab,MATCH($C2419&amp;"|"&amp;$B2419,MemKey,0))</f>
        <v/>
      </c>
      <c r="I2419" s="1">
        <f>INDEX(VarUnit,MATCH($A2419,VarKey,0))</f>
        <v/>
      </c>
      <c r="J2419" s="1">
        <f>INDEX(VarSrc,MATCH($A2419,VarKey,0))</f>
        <v/>
      </c>
      <c r="K2419" s="17">
        <f>CodePrefix&amp;$A2419&amp;IF($C2419="","","."&amp;$C2419&amp;"."&amp;$B2419)&amp;INDEX(VarEnd,MATCH($A2419,VarKey,0))&amp;K$5</f>
        <v/>
      </c>
      <c r="L2419" s="68">
        <f>SUM(L2493:L2500)</f>
        <v/>
      </c>
      <c r="M2419" s="69">
        <f>SUM(M2493:M2500)</f>
        <v/>
      </c>
      <c r="N2419" s="69">
        <f>SUM(N2493:N2500)</f>
        <v/>
      </c>
      <c r="O2419" s="69">
        <f>SUM(O2493:O2500)</f>
        <v/>
      </c>
      <c r="P2419" s="69">
        <f>SUM(P2493:P2500)</f>
        <v/>
      </c>
      <c r="Q2419" s="69">
        <f>SUM(Q2493:Q2500)</f>
        <v/>
      </c>
      <c r="R2419" s="69">
        <f>SUM(R2493:R2500)</f>
        <v/>
      </c>
      <c r="S2419" s="69">
        <f>SUM(S2493:S2500)</f>
        <v/>
      </c>
      <c r="T2419" s="69">
        <f>SUM(T2493:T2500)</f>
        <v/>
      </c>
      <c r="U2419" s="69">
        <f>SUM(U2493:U2500)</f>
        <v/>
      </c>
      <c r="V2419" s="69">
        <f>SUM(V2493:V2500)</f>
        <v/>
      </c>
      <c r="W2419" s="69">
        <f>SUM(W2493:W2500)</f>
        <v/>
      </c>
      <c r="X2419" s="69">
        <f>SUM(X2493:X2500)</f>
        <v/>
      </c>
      <c r="Y2419" s="69">
        <f>SUM(Y2493:Y2500)</f>
        <v/>
      </c>
      <c r="Z2419" s="69">
        <f>SUM(Z2493:Z2500)</f>
        <v/>
      </c>
      <c r="AA2419" s="69">
        <f>SUM(AA2493:AA2500)</f>
        <v/>
      </c>
      <c r="AB2419" s="69">
        <f>SUM(AB2493:AB2500)</f>
        <v/>
      </c>
      <c r="AC2419" s="69">
        <f>SUM(AC2493:AC2500)</f>
        <v/>
      </c>
      <c r="AD2419" s="69">
        <f>SUM(AD2493:AD2500)</f>
        <v/>
      </c>
      <c r="AE2419" s="69">
        <f>SUM(AE2493:AE2500)</f>
        <v/>
      </c>
      <c r="AG2419" s="17">
        <f>CodePrefix&amp;$A2419&amp;IF($C2419="","","."&amp;$C2419&amp;"."&amp;$B2419)&amp;INDEX(VarEnd,MATCH($A2419,VarKey,0))&amp;AG$5</f>
        <v/>
      </c>
      <c r="AH2419" s="68">
        <f>SUM(AH2493:AH2500)</f>
        <v/>
      </c>
      <c r="AI2419" s="69">
        <f>SUM(AI2493:AI2500)</f>
        <v/>
      </c>
      <c r="AJ2419" s="69">
        <f>SUM(AJ2493:AJ2500)</f>
        <v/>
      </c>
      <c r="AK2419" s="69">
        <f>SUM(AK2493:AK2500)</f>
        <v/>
      </c>
      <c r="AL2419" s="69">
        <f>SUM(AL2493:AL2500)</f>
        <v/>
      </c>
      <c r="AM2419" s="69">
        <f>SUM(AM2493:AM2500)</f>
        <v/>
      </c>
      <c r="AN2419" s="69">
        <f>SUM(AN2493:AN2500)</f>
        <v/>
      </c>
      <c r="AO2419" s="69">
        <f>SUM(AO2493:AO2500)</f>
        <v/>
      </c>
      <c r="AP2419" s="69">
        <f>SUM(AP2493:AP2500)</f>
        <v/>
      </c>
      <c r="AQ2419" s="69">
        <f>SUM(AQ2493:AQ2500)</f>
        <v/>
      </c>
      <c r="AR2419" s="69">
        <f>SUM(AR2493:AR2500)</f>
        <v/>
      </c>
      <c r="AS2419" s="69">
        <f>SUM(AS2493:AS2500)</f>
        <v/>
      </c>
      <c r="AT2419" s="69">
        <f>SUM(AT2493:AT2500)</f>
        <v/>
      </c>
      <c r="AU2419" s="69">
        <f>SUM(AU2493:AU2500)</f>
        <v/>
      </c>
      <c r="AV2419" s="69">
        <f>SUM(AV2493:AV2500)</f>
        <v/>
      </c>
      <c r="AW2419" s="69">
        <f>SUM(AW2493:AW2500)</f>
        <v/>
      </c>
      <c r="AX2419" s="69">
        <f>SUM(AX2493:AX2500)</f>
        <v/>
      </c>
      <c r="AY2419" s="69">
        <f>SUM(AY2493:AY2500)</f>
        <v/>
      </c>
      <c r="AZ2419" s="69">
        <f>SUM(AZ2493:AZ2500)</f>
        <v/>
      </c>
      <c r="BA2419" s="69">
        <f>SUM(BA2493:BA2500)</f>
        <v/>
      </c>
    </row>
    <row r="2420" hidden="1" outlineLevel="1">
      <c r="A2420" s="67" t="inlineStr">
        <is>
          <t>eldem</t>
        </is>
      </c>
      <c r="B2420" s="67" t="inlineStr">
        <is>
          <t>ecy</t>
        </is>
      </c>
      <c r="C2420" s="67" t="inlineStr">
        <is>
          <t>cem</t>
        </is>
      </c>
      <c r="H2420" s="67">
        <f>INDEX(VarLab,MATCH($A2420,VarKey,0))&amp;INDEX(MemLab,MATCH($C2420&amp;"|"&amp;$B2420,MemKey,0))</f>
        <v/>
      </c>
      <c r="I2420" s="67">
        <f>INDEX(VarUnit,MATCH($A2420,VarKey,0))</f>
        <v/>
      </c>
      <c r="J2420" s="67">
        <f>INDEX(VarSrc,MATCH($A2420,VarKey,0))</f>
        <v/>
      </c>
      <c r="K2420" s="70">
        <f>CodePrefix&amp;$A2420&amp;IF($C2420="","","."&amp;$C2420&amp;"."&amp;$B2420)&amp;INDEX(VarEnd,MATCH($A2420,VarKey,0))&amp;K$5</f>
        <v/>
      </c>
      <c r="L2420" s="71">
        <f>SUMIF($C$674:$C$688,$C2420,L$674:L$688)</f>
        <v/>
      </c>
      <c r="M2420" s="72">
        <f>SUMIF($C$674:$C$688,$C2420,M$674:M$688)</f>
        <v/>
      </c>
      <c r="N2420" s="72">
        <f>SUMIF($C$674:$C$688,$C2420,N$674:N$688)</f>
        <v/>
      </c>
      <c r="O2420" s="72">
        <f>SUMIF($C$674:$C$688,$C2420,O$674:O$688)</f>
        <v/>
      </c>
      <c r="P2420" s="72">
        <f>SUMIF($C$674:$C$688,$C2420,P$674:P$688)</f>
        <v/>
      </c>
      <c r="Q2420" s="72">
        <f>SUMIF($C$674:$C$688,$C2420,Q$674:Q$688)</f>
        <v/>
      </c>
      <c r="R2420" s="72">
        <f>SUMIF($C$674:$C$688,$C2420,R$674:R$688)</f>
        <v/>
      </c>
      <c r="S2420" s="72">
        <f>SUMIF($C$674:$C$688,$C2420,S$674:S$688)</f>
        <v/>
      </c>
      <c r="T2420" s="72">
        <f>SUMIF($C$674:$C$688,$C2420,T$674:T$688)</f>
        <v/>
      </c>
      <c r="U2420" s="72">
        <f>SUMIF($C$674:$C$688,$C2420,U$674:U$688)</f>
        <v/>
      </c>
      <c r="V2420" s="72">
        <f>SUMIF($C$674:$C$688,$C2420,V$674:V$688)</f>
        <v/>
      </c>
      <c r="W2420" s="72">
        <f>SUMIF($C$674:$C$688,$C2420,W$674:W$688)</f>
        <v/>
      </c>
      <c r="X2420" s="72">
        <f>SUMIF($C$674:$C$688,$C2420,X$674:X$688)</f>
        <v/>
      </c>
      <c r="Y2420" s="72">
        <f>SUMIF($C$674:$C$688,$C2420,Y$674:Y$688)</f>
        <v/>
      </c>
      <c r="Z2420" s="72">
        <f>SUMIF($C$674:$C$688,$C2420,Z$674:Z$688)</f>
        <v/>
      </c>
      <c r="AA2420" s="72">
        <f>SUMIF($C$674:$C$688,$C2420,AA$674:AA$688)</f>
        <v/>
      </c>
      <c r="AB2420" s="72">
        <f>SUMIF($C$674:$C$688,$C2420,AB$674:AB$688)</f>
        <v/>
      </c>
      <c r="AC2420" s="72">
        <f>SUMIF($C$674:$C$688,$C2420,AC$674:AC$688)</f>
        <v/>
      </c>
      <c r="AD2420" s="72">
        <f>SUMIF($C$674:$C$688,$C2420,AD$674:AD$688)</f>
        <v/>
      </c>
      <c r="AE2420" s="72">
        <f>SUMIF($C$674:$C$688,$C2420,AE$674:AE$688)</f>
        <v/>
      </c>
      <c r="AG2420" s="70">
        <f>CodePrefix&amp;$A2420&amp;IF($C2420="","","."&amp;$C2420&amp;"."&amp;$B2420)&amp;INDEX(VarEnd,MATCH($A2420,VarKey,0))&amp;AG$5</f>
        <v/>
      </c>
      <c r="AH2420" s="71">
        <f>SUMIF($C$674:$C$688,$C2420,AH$674:AH$688)</f>
        <v/>
      </c>
      <c r="AI2420" s="72">
        <f>SUMIF($C$674:$C$688,$C2420,AI$674:AI$688)</f>
        <v/>
      </c>
      <c r="AJ2420" s="72">
        <f>SUMIF($C$674:$C$688,$C2420,AJ$674:AJ$688)</f>
        <v/>
      </c>
      <c r="AK2420" s="72">
        <f>SUMIF($C$674:$C$688,$C2420,AK$674:AK$688)</f>
        <v/>
      </c>
      <c r="AL2420" s="72">
        <f>SUMIF($C$674:$C$688,$C2420,AL$674:AL$688)</f>
        <v/>
      </c>
      <c r="AM2420" s="72">
        <f>SUMIF($C$674:$C$688,$C2420,AM$674:AM$688)</f>
        <v/>
      </c>
      <c r="AN2420" s="72">
        <f>SUMIF($C$674:$C$688,$C2420,AN$674:AN$688)</f>
        <v/>
      </c>
      <c r="AO2420" s="72">
        <f>SUMIF($C$674:$C$688,$C2420,AO$674:AO$688)</f>
        <v/>
      </c>
      <c r="AP2420" s="72">
        <f>SUMIF($C$674:$C$688,$C2420,AP$674:AP$688)</f>
        <v/>
      </c>
      <c r="AQ2420" s="72">
        <f>SUMIF($C$674:$C$688,$C2420,AQ$674:AQ$688)</f>
        <v/>
      </c>
      <c r="AR2420" s="72">
        <f>SUMIF($C$674:$C$688,$C2420,AR$674:AR$688)</f>
        <v/>
      </c>
      <c r="AS2420" s="72">
        <f>SUMIF($C$674:$C$688,$C2420,AS$674:AS$688)</f>
        <v/>
      </c>
      <c r="AT2420" s="72">
        <f>SUMIF($C$674:$C$688,$C2420,AT$674:AT$688)</f>
        <v/>
      </c>
      <c r="AU2420" s="72">
        <f>SUMIF($C$674:$C$688,$C2420,AU$674:AU$688)</f>
        <v/>
      </c>
      <c r="AV2420" s="72">
        <f>SUMIF($C$674:$C$688,$C2420,AV$674:AV$688)</f>
        <v/>
      </c>
      <c r="AW2420" s="72">
        <f>SUMIF($C$674:$C$688,$C2420,AW$674:AW$688)</f>
        <v/>
      </c>
      <c r="AX2420" s="72">
        <f>SUMIF($C$674:$C$688,$C2420,AX$674:AX$688)</f>
        <v/>
      </c>
      <c r="AY2420" s="72">
        <f>SUMIF($C$674:$C$688,$C2420,AY$674:AY$688)</f>
        <v/>
      </c>
      <c r="AZ2420" s="72">
        <f>SUMIF($C$674:$C$688,$C2420,AZ$674:AZ$688)</f>
        <v/>
      </c>
      <c r="BA2420" s="72">
        <f>SUMIF($C$674:$C$688,$C2420,BA$674:BA$688)</f>
        <v/>
      </c>
    </row>
    <row r="2421" hidden="1" outlineLevel="2">
      <c r="A2421" s="14" t="inlineStr">
        <is>
          <t>ctxnew</t>
        </is>
      </c>
      <c r="B2421" s="14" t="inlineStr">
        <is>
          <t>coa</t>
        </is>
      </c>
      <c r="C2421" s="14" t="inlineStr">
        <is>
          <t>cem</t>
        </is>
      </c>
      <c r="D2421" s="35">
        <f>INDEX(Inputs!$W$5:$W$132,MATCH($B2421&amp;"|"&amp;$C2421,Inputs!$A$5:$A$132,0))</f>
        <v/>
      </c>
      <c r="E2421" s="35">
        <f>INDEX(Inputs!$L$5:$L$132,MATCH($B2421&amp;"|"&amp;$C2421,Inputs!$A$5:$A$132,0))</f>
        <v/>
      </c>
      <c r="F2421" s="35">
        <f>INDEX(Inputs!$M$5:$M$132,MATCH($B2421&amp;"|"&amp;$C2421,Inputs!$A$5:$A$132,0))</f>
        <v/>
      </c>
      <c r="G2421" s="39" t="n"/>
      <c r="H2421" s="14">
        <f>INDEX(VarLab,MATCH($A2421,VarKey,0))&amp;INDEX(MemLab,MATCH($C2421&amp;"|"&amp;$B2421,MemKey,0))</f>
        <v/>
      </c>
      <c r="I2421" s="14">
        <f>INDEX(VarUnit,MATCH($A2421,VarKey,0))</f>
        <v/>
      </c>
      <c r="J2421" s="14">
        <f>INDEX(VarSrc,MATCH($A2421,VarKey,0))</f>
        <v/>
      </c>
      <c r="K2421" s="11">
        <f>CodePrefix&amp;$A2421&amp;IF($C2421="","","."&amp;$C2421&amp;"."&amp;$B2421)&amp;INDEX(VarEnd,MATCH($A2421,VarKey,0))&amp;K$5</f>
        <v/>
      </c>
      <c r="L2421" s="40">
        <f>INDEX(L$263:L$279,$F2421)*$D2421*INDEX(L$23:L$30,$E2421)</f>
        <v/>
      </c>
      <c r="M2421" s="35">
        <f>INDEX(M$263:M$279,$F2421)*$D2421*INDEX(M$23:M$30,$E2421)</f>
        <v/>
      </c>
      <c r="N2421" s="35">
        <f>INDEX(N$263:N$279,$F2421)*$D2421*INDEX(N$23:N$30,$E2421)</f>
        <v/>
      </c>
      <c r="O2421" s="35">
        <f>INDEX(O$263:O$279,$F2421)*$D2421*INDEX(O$23:O$30,$E2421)</f>
        <v/>
      </c>
      <c r="P2421" s="35">
        <f>INDEX(P$263:P$279,$F2421)*$D2421*INDEX(P$23:P$30,$E2421)</f>
        <v/>
      </c>
      <c r="Q2421" s="35">
        <f>INDEX(Q$263:Q$279,$F2421)*$D2421*INDEX(Q$23:Q$30,$E2421)</f>
        <v/>
      </c>
      <c r="R2421" s="35">
        <f>INDEX(R$263:R$279,$F2421)*$D2421*INDEX(R$23:R$30,$E2421)</f>
        <v/>
      </c>
      <c r="S2421" s="35">
        <f>INDEX(S$263:S$279,$F2421)*$D2421*INDEX(S$23:S$30,$E2421)</f>
        <v/>
      </c>
      <c r="T2421" s="35">
        <f>INDEX(T$263:T$279,$F2421)*$D2421*INDEX(T$23:T$30,$E2421)</f>
        <v/>
      </c>
      <c r="U2421" s="35">
        <f>INDEX(U$263:U$279,$F2421)*$D2421*INDEX(U$23:U$30,$E2421)</f>
        <v/>
      </c>
      <c r="V2421" s="35">
        <f>INDEX(V$263:V$279,$F2421)*$D2421*INDEX(V$23:V$30,$E2421)</f>
        <v/>
      </c>
      <c r="W2421" s="35">
        <f>INDEX(W$263:W$279,$F2421)*$D2421*INDEX(W$23:W$30,$E2421)</f>
        <v/>
      </c>
      <c r="X2421" s="35">
        <f>INDEX(X$263:X$279,$F2421)*$D2421*INDEX(X$23:X$30,$E2421)</f>
        <v/>
      </c>
      <c r="Y2421" s="35">
        <f>INDEX(Y$263:Y$279,$F2421)*$D2421*INDEX(Y$23:Y$30,$E2421)</f>
        <v/>
      </c>
      <c r="Z2421" s="35">
        <f>INDEX(Z$263:Z$279,$F2421)*$D2421*INDEX(Z$23:Z$30,$E2421)</f>
        <v/>
      </c>
      <c r="AA2421" s="35">
        <f>INDEX(AA$263:AA$279,$F2421)*$D2421*INDEX(AA$23:AA$30,$E2421)</f>
        <v/>
      </c>
      <c r="AB2421" s="35">
        <f>INDEX(AB$263:AB$279,$F2421)*$D2421*INDEX(AB$23:AB$30,$E2421)</f>
        <v/>
      </c>
      <c r="AC2421" s="35">
        <f>INDEX(AC$263:AC$279,$F2421)*$D2421*INDEX(AC$23:AC$30,$E2421)</f>
        <v/>
      </c>
      <c r="AD2421" s="35">
        <f>INDEX(AD$263:AD$279,$F2421)*$D2421*INDEX(AD$23:AD$30,$E2421)</f>
        <v/>
      </c>
      <c r="AE2421" s="42">
        <f>CARBONTAX(INDEX(AE$263:AE$279,$F2421),$D2421,INDEX(AE$23:AE$30,$E2421))</f>
        <v/>
      </c>
      <c r="AG2421" s="11">
        <f>CodePrefix&amp;$A2421&amp;IF($C2421="","","."&amp;$C2421&amp;"."&amp;$B2421)&amp;INDEX(VarEnd,MATCH($A2421,VarKey,0))&amp;AG$5</f>
        <v/>
      </c>
      <c r="AH2421" s="40">
        <f>INDEX(AH$263:AH$279,$F2421)*$D2421*INDEX(AH$23:AH$30,$E2421)</f>
        <v/>
      </c>
      <c r="AI2421" s="35">
        <f>INDEX(AI$263:AI$279,$F2421)*$D2421*INDEX(AI$23:AI$30,$E2421)</f>
        <v/>
      </c>
      <c r="AJ2421" s="35">
        <f>INDEX(AJ$263:AJ$279,$F2421)*$D2421*INDEX(AJ$23:AJ$30,$E2421)</f>
        <v/>
      </c>
      <c r="AK2421" s="35">
        <f>INDEX(AK$263:AK$279,$F2421)*$D2421*INDEX(AK$23:AK$30,$E2421)</f>
        <v/>
      </c>
      <c r="AL2421" s="35">
        <f>INDEX(AL$263:AL$279,$F2421)*$D2421*INDEX(AL$23:AL$30,$E2421)</f>
        <v/>
      </c>
      <c r="AM2421" s="35">
        <f>INDEX(AM$263:AM$279,$F2421)*$D2421*INDEX(AM$23:AM$30,$E2421)</f>
        <v/>
      </c>
      <c r="AN2421" s="35">
        <f>INDEX(AN$263:AN$279,$F2421)*$D2421*INDEX(AN$23:AN$30,$E2421)</f>
        <v/>
      </c>
      <c r="AO2421" s="35">
        <f>INDEX(AO$263:AO$279,$F2421)*$D2421*INDEX(AO$23:AO$30,$E2421)</f>
        <v/>
      </c>
      <c r="AP2421" s="35">
        <f>INDEX(AP$263:AP$279,$F2421)*$D2421*INDEX(AP$23:AP$30,$E2421)</f>
        <v/>
      </c>
      <c r="AQ2421" s="35">
        <f>INDEX(AQ$263:AQ$279,$F2421)*$D2421*INDEX(AQ$23:AQ$30,$E2421)</f>
        <v/>
      </c>
      <c r="AR2421" s="35">
        <f>INDEX(AR$263:AR$279,$F2421)*$D2421*INDEX(AR$23:AR$30,$E2421)</f>
        <v/>
      </c>
      <c r="AS2421" s="35">
        <f>INDEX(AS$263:AS$279,$F2421)*$D2421*INDEX(AS$23:AS$30,$E2421)</f>
        <v/>
      </c>
      <c r="AT2421" s="35">
        <f>INDEX(AT$263:AT$279,$F2421)*$D2421*INDEX(AT$23:AT$30,$E2421)</f>
        <v/>
      </c>
      <c r="AU2421" s="35">
        <f>INDEX(AU$263:AU$279,$F2421)*$D2421*INDEX(AU$23:AU$30,$E2421)</f>
        <v/>
      </c>
      <c r="AV2421" s="35">
        <f>INDEX(AV$263:AV$279,$F2421)*$D2421*INDEX(AV$23:AV$30,$E2421)</f>
        <v/>
      </c>
      <c r="AW2421" s="35">
        <f>INDEX(AW$263:AW$279,$F2421)*$D2421*INDEX(AW$23:AW$30,$E2421)</f>
        <v/>
      </c>
      <c r="AX2421" s="35">
        <f>INDEX(AX$263:AX$279,$F2421)*$D2421*INDEX(AX$23:AX$30,$E2421)</f>
        <v/>
      </c>
      <c r="AY2421" s="35">
        <f>INDEX(AY$263:AY$279,$F2421)*$D2421*INDEX(AY$23:AY$30,$E2421)</f>
        <v/>
      </c>
      <c r="AZ2421" s="35">
        <f>INDEX(AZ$263:AZ$279,$F2421)*$D2421*INDEX(AZ$23:AZ$30,$E2421)</f>
        <v/>
      </c>
      <c r="BA2421" s="42">
        <f>CARBONTAX(INDEX(BA$263:BA$279,$F2421),$D2421,INDEX(BA$23:BA$30,$E2421))</f>
        <v/>
      </c>
    </row>
    <row r="2422" hidden="1" outlineLevel="2">
      <c r="A2422" s="14" t="inlineStr">
        <is>
          <t>ctxnew</t>
        </is>
      </c>
      <c r="B2422" s="14" t="inlineStr">
        <is>
          <t>nga</t>
        </is>
      </c>
      <c r="C2422" s="14" t="inlineStr">
        <is>
          <t>cem</t>
        </is>
      </c>
      <c r="D2422" s="35">
        <f>INDEX(Inputs!$W$5:$W$132,MATCH($B2422&amp;"|"&amp;$C2422,Inputs!$A$5:$A$132,0))</f>
        <v/>
      </c>
      <c r="E2422" s="35">
        <f>INDEX(Inputs!$L$5:$L$132,MATCH($B2422&amp;"|"&amp;$C2422,Inputs!$A$5:$A$132,0))</f>
        <v/>
      </c>
      <c r="F2422" s="35">
        <f>INDEX(Inputs!$M$5:$M$132,MATCH($B2422&amp;"|"&amp;$C2422,Inputs!$A$5:$A$132,0))</f>
        <v/>
      </c>
      <c r="G2422" s="39" t="n"/>
      <c r="H2422" s="14">
        <f>INDEX(VarLab,MATCH($A2422,VarKey,0))&amp;INDEX(MemLab,MATCH($C2422&amp;"|"&amp;$B2422,MemKey,0))</f>
        <v/>
      </c>
      <c r="I2422" s="14">
        <f>INDEX(VarUnit,MATCH($A2422,VarKey,0))</f>
        <v/>
      </c>
      <c r="J2422" s="14">
        <f>INDEX(VarSrc,MATCH($A2422,VarKey,0))</f>
        <v/>
      </c>
      <c r="K2422" s="11">
        <f>CodePrefix&amp;$A2422&amp;IF($C2422="","","."&amp;$C2422&amp;"."&amp;$B2422)&amp;INDEX(VarEnd,MATCH($A2422,VarKey,0))&amp;K$5</f>
        <v/>
      </c>
      <c r="L2422" s="40">
        <f>INDEX(L$263:L$279,$F2422)*$D2422*INDEX(L$23:L$30,$E2422)</f>
        <v/>
      </c>
      <c r="M2422" s="35">
        <f>INDEX(M$263:M$279,$F2422)*$D2422*INDEX(M$23:M$30,$E2422)</f>
        <v/>
      </c>
      <c r="N2422" s="35">
        <f>INDEX(N$263:N$279,$F2422)*$D2422*INDEX(N$23:N$30,$E2422)</f>
        <v/>
      </c>
      <c r="O2422" s="35">
        <f>INDEX(O$263:O$279,$F2422)*$D2422*INDEX(O$23:O$30,$E2422)</f>
        <v/>
      </c>
      <c r="P2422" s="35">
        <f>INDEX(P$263:P$279,$F2422)*$D2422*INDEX(P$23:P$30,$E2422)</f>
        <v/>
      </c>
      <c r="Q2422" s="35">
        <f>INDEX(Q$263:Q$279,$F2422)*$D2422*INDEX(Q$23:Q$30,$E2422)</f>
        <v/>
      </c>
      <c r="R2422" s="35">
        <f>INDEX(R$263:R$279,$F2422)*$D2422*INDEX(R$23:R$30,$E2422)</f>
        <v/>
      </c>
      <c r="S2422" s="35">
        <f>INDEX(S$263:S$279,$F2422)*$D2422*INDEX(S$23:S$30,$E2422)</f>
        <v/>
      </c>
      <c r="T2422" s="35">
        <f>INDEX(T$263:T$279,$F2422)*$D2422*INDEX(T$23:T$30,$E2422)</f>
        <v/>
      </c>
      <c r="U2422" s="35">
        <f>INDEX(U$263:U$279,$F2422)*$D2422*INDEX(U$23:U$30,$E2422)</f>
        <v/>
      </c>
      <c r="V2422" s="35">
        <f>INDEX(V$263:V$279,$F2422)*$D2422*INDEX(V$23:V$30,$E2422)</f>
        <v/>
      </c>
      <c r="W2422" s="35">
        <f>INDEX(W$263:W$279,$F2422)*$D2422*INDEX(W$23:W$30,$E2422)</f>
        <v/>
      </c>
      <c r="X2422" s="35">
        <f>INDEX(X$263:X$279,$F2422)*$D2422*INDEX(X$23:X$30,$E2422)</f>
        <v/>
      </c>
      <c r="Y2422" s="35">
        <f>INDEX(Y$263:Y$279,$F2422)*$D2422*INDEX(Y$23:Y$30,$E2422)</f>
        <v/>
      </c>
      <c r="Z2422" s="35">
        <f>INDEX(Z$263:Z$279,$F2422)*$D2422*INDEX(Z$23:Z$30,$E2422)</f>
        <v/>
      </c>
      <c r="AA2422" s="35">
        <f>INDEX(AA$263:AA$279,$F2422)*$D2422*INDEX(AA$23:AA$30,$E2422)</f>
        <v/>
      </c>
      <c r="AB2422" s="35">
        <f>INDEX(AB$263:AB$279,$F2422)*$D2422*INDEX(AB$23:AB$30,$E2422)</f>
        <v/>
      </c>
      <c r="AC2422" s="35">
        <f>INDEX(AC$263:AC$279,$F2422)*$D2422*INDEX(AC$23:AC$30,$E2422)</f>
        <v/>
      </c>
      <c r="AD2422" s="35">
        <f>INDEX(AD$263:AD$279,$F2422)*$D2422*INDEX(AD$23:AD$30,$E2422)</f>
        <v/>
      </c>
      <c r="AE2422" s="42">
        <f>CARBONTAX(INDEX(AE$263:AE$279,$F2422),$D2422,INDEX(AE$23:AE$30,$E2422))</f>
        <v/>
      </c>
      <c r="AG2422" s="11">
        <f>CodePrefix&amp;$A2422&amp;IF($C2422="","","."&amp;$C2422&amp;"."&amp;$B2422)&amp;INDEX(VarEnd,MATCH($A2422,VarKey,0))&amp;AG$5</f>
        <v/>
      </c>
      <c r="AH2422" s="40">
        <f>INDEX(AH$263:AH$279,$F2422)*$D2422*INDEX(AH$23:AH$30,$E2422)</f>
        <v/>
      </c>
      <c r="AI2422" s="35">
        <f>INDEX(AI$263:AI$279,$F2422)*$D2422*INDEX(AI$23:AI$30,$E2422)</f>
        <v/>
      </c>
      <c r="AJ2422" s="35">
        <f>INDEX(AJ$263:AJ$279,$F2422)*$D2422*INDEX(AJ$23:AJ$30,$E2422)</f>
        <v/>
      </c>
      <c r="AK2422" s="35">
        <f>INDEX(AK$263:AK$279,$F2422)*$D2422*INDEX(AK$23:AK$30,$E2422)</f>
        <v/>
      </c>
      <c r="AL2422" s="35">
        <f>INDEX(AL$263:AL$279,$F2422)*$D2422*INDEX(AL$23:AL$30,$E2422)</f>
        <v/>
      </c>
      <c r="AM2422" s="35">
        <f>INDEX(AM$263:AM$279,$F2422)*$D2422*INDEX(AM$23:AM$30,$E2422)</f>
        <v/>
      </c>
      <c r="AN2422" s="35">
        <f>INDEX(AN$263:AN$279,$F2422)*$D2422*INDEX(AN$23:AN$30,$E2422)</f>
        <v/>
      </c>
      <c r="AO2422" s="35">
        <f>INDEX(AO$263:AO$279,$F2422)*$D2422*INDEX(AO$23:AO$30,$E2422)</f>
        <v/>
      </c>
      <c r="AP2422" s="35">
        <f>INDEX(AP$263:AP$279,$F2422)*$D2422*INDEX(AP$23:AP$30,$E2422)</f>
        <v/>
      </c>
      <c r="AQ2422" s="35">
        <f>INDEX(AQ$263:AQ$279,$F2422)*$D2422*INDEX(AQ$23:AQ$30,$E2422)</f>
        <v/>
      </c>
      <c r="AR2422" s="35">
        <f>INDEX(AR$263:AR$279,$F2422)*$D2422*INDEX(AR$23:AR$30,$E2422)</f>
        <v/>
      </c>
      <c r="AS2422" s="35">
        <f>INDEX(AS$263:AS$279,$F2422)*$D2422*INDEX(AS$23:AS$30,$E2422)</f>
        <v/>
      </c>
      <c r="AT2422" s="35">
        <f>INDEX(AT$263:AT$279,$F2422)*$D2422*INDEX(AT$23:AT$30,$E2422)</f>
        <v/>
      </c>
      <c r="AU2422" s="35">
        <f>INDEX(AU$263:AU$279,$F2422)*$D2422*INDEX(AU$23:AU$30,$E2422)</f>
        <v/>
      </c>
      <c r="AV2422" s="35">
        <f>INDEX(AV$263:AV$279,$F2422)*$D2422*INDEX(AV$23:AV$30,$E2422)</f>
        <v/>
      </c>
      <c r="AW2422" s="35">
        <f>INDEX(AW$263:AW$279,$F2422)*$D2422*INDEX(AW$23:AW$30,$E2422)</f>
        <v/>
      </c>
      <c r="AX2422" s="35">
        <f>INDEX(AX$263:AX$279,$F2422)*$D2422*INDEX(AX$23:AX$30,$E2422)</f>
        <v/>
      </c>
      <c r="AY2422" s="35">
        <f>INDEX(AY$263:AY$279,$F2422)*$D2422*INDEX(AY$23:AY$30,$E2422)</f>
        <v/>
      </c>
      <c r="AZ2422" s="35">
        <f>INDEX(AZ$263:AZ$279,$F2422)*$D2422*INDEX(AZ$23:AZ$30,$E2422)</f>
        <v/>
      </c>
      <c r="BA2422" s="42">
        <f>CARBONTAX(INDEX(BA$263:BA$279,$F2422),$D2422,INDEX(BA$23:BA$30,$E2422))</f>
        <v/>
      </c>
    </row>
    <row r="2423" hidden="1" outlineLevel="2">
      <c r="A2423" s="14" t="inlineStr">
        <is>
          <t>ctxnew</t>
        </is>
      </c>
      <c r="B2423" s="14" t="inlineStr">
        <is>
          <t>gso</t>
        </is>
      </c>
      <c r="C2423" s="14" t="inlineStr">
        <is>
          <t>cem</t>
        </is>
      </c>
      <c r="D2423" s="35">
        <f>INDEX(Inputs!$W$5:$W$132,MATCH($B2423&amp;"|"&amp;$C2423,Inputs!$A$5:$A$132,0))</f>
        <v/>
      </c>
      <c r="E2423" s="35">
        <f>INDEX(Inputs!$L$5:$L$132,MATCH($B2423&amp;"|"&amp;$C2423,Inputs!$A$5:$A$132,0))</f>
        <v/>
      </c>
      <c r="F2423" s="35">
        <f>INDEX(Inputs!$M$5:$M$132,MATCH($B2423&amp;"|"&amp;$C2423,Inputs!$A$5:$A$132,0))</f>
        <v/>
      </c>
      <c r="G2423" s="39" t="n"/>
      <c r="H2423" s="14">
        <f>INDEX(VarLab,MATCH($A2423,VarKey,0))&amp;INDEX(MemLab,MATCH($C2423&amp;"|"&amp;$B2423,MemKey,0))</f>
        <v/>
      </c>
      <c r="I2423" s="14">
        <f>INDEX(VarUnit,MATCH($A2423,VarKey,0))</f>
        <v/>
      </c>
      <c r="J2423" s="14">
        <f>INDEX(VarSrc,MATCH($A2423,VarKey,0))</f>
        <v/>
      </c>
      <c r="K2423" s="11">
        <f>CodePrefix&amp;$A2423&amp;IF($C2423="","","."&amp;$C2423&amp;"."&amp;$B2423)&amp;INDEX(VarEnd,MATCH($A2423,VarKey,0))&amp;K$5</f>
        <v/>
      </c>
      <c r="L2423" s="40">
        <f>INDEX(L$263:L$279,$F2423)*$D2423*INDEX(L$23:L$30,$E2423)</f>
        <v/>
      </c>
      <c r="M2423" s="35">
        <f>INDEX(M$263:M$279,$F2423)*$D2423*INDEX(M$23:M$30,$E2423)</f>
        <v/>
      </c>
      <c r="N2423" s="35">
        <f>INDEX(N$263:N$279,$F2423)*$D2423*INDEX(N$23:N$30,$E2423)</f>
        <v/>
      </c>
      <c r="O2423" s="35">
        <f>INDEX(O$263:O$279,$F2423)*$D2423*INDEX(O$23:O$30,$E2423)</f>
        <v/>
      </c>
      <c r="P2423" s="35">
        <f>INDEX(P$263:P$279,$F2423)*$D2423*INDEX(P$23:P$30,$E2423)</f>
        <v/>
      </c>
      <c r="Q2423" s="35">
        <f>INDEX(Q$263:Q$279,$F2423)*$D2423*INDEX(Q$23:Q$30,$E2423)</f>
        <v/>
      </c>
      <c r="R2423" s="35">
        <f>INDEX(R$263:R$279,$F2423)*$D2423*INDEX(R$23:R$30,$E2423)</f>
        <v/>
      </c>
      <c r="S2423" s="35">
        <f>INDEX(S$263:S$279,$F2423)*$D2423*INDEX(S$23:S$30,$E2423)</f>
        <v/>
      </c>
      <c r="T2423" s="35">
        <f>INDEX(T$263:T$279,$F2423)*$D2423*INDEX(T$23:T$30,$E2423)</f>
        <v/>
      </c>
      <c r="U2423" s="35">
        <f>INDEX(U$263:U$279,$F2423)*$D2423*INDEX(U$23:U$30,$E2423)</f>
        <v/>
      </c>
      <c r="V2423" s="35">
        <f>INDEX(V$263:V$279,$F2423)*$D2423*INDEX(V$23:V$30,$E2423)</f>
        <v/>
      </c>
      <c r="W2423" s="35">
        <f>INDEX(W$263:W$279,$F2423)*$D2423*INDEX(W$23:W$30,$E2423)</f>
        <v/>
      </c>
      <c r="X2423" s="35">
        <f>INDEX(X$263:X$279,$F2423)*$D2423*INDEX(X$23:X$30,$E2423)</f>
        <v/>
      </c>
      <c r="Y2423" s="35">
        <f>INDEX(Y$263:Y$279,$F2423)*$D2423*INDEX(Y$23:Y$30,$E2423)</f>
        <v/>
      </c>
      <c r="Z2423" s="35">
        <f>INDEX(Z$263:Z$279,$F2423)*$D2423*INDEX(Z$23:Z$30,$E2423)</f>
        <v/>
      </c>
      <c r="AA2423" s="35">
        <f>INDEX(AA$263:AA$279,$F2423)*$D2423*INDEX(AA$23:AA$30,$E2423)</f>
        <v/>
      </c>
      <c r="AB2423" s="35">
        <f>INDEX(AB$263:AB$279,$F2423)*$D2423*INDEX(AB$23:AB$30,$E2423)</f>
        <v/>
      </c>
      <c r="AC2423" s="35">
        <f>INDEX(AC$263:AC$279,$F2423)*$D2423*INDEX(AC$23:AC$30,$E2423)</f>
        <v/>
      </c>
      <c r="AD2423" s="35">
        <f>INDEX(AD$263:AD$279,$F2423)*$D2423*INDEX(AD$23:AD$30,$E2423)</f>
        <v/>
      </c>
      <c r="AE2423" s="42">
        <f>CARBONTAX(INDEX(AE$263:AE$279,$F2423),$D2423,INDEX(AE$23:AE$30,$E2423))</f>
        <v/>
      </c>
      <c r="AG2423" s="11">
        <f>CodePrefix&amp;$A2423&amp;IF($C2423="","","."&amp;$C2423&amp;"."&amp;$B2423)&amp;INDEX(VarEnd,MATCH($A2423,VarKey,0))&amp;AG$5</f>
        <v/>
      </c>
      <c r="AH2423" s="40">
        <f>INDEX(AH$263:AH$279,$F2423)*$D2423*INDEX(AH$23:AH$30,$E2423)</f>
        <v/>
      </c>
      <c r="AI2423" s="35">
        <f>INDEX(AI$263:AI$279,$F2423)*$D2423*INDEX(AI$23:AI$30,$E2423)</f>
        <v/>
      </c>
      <c r="AJ2423" s="35">
        <f>INDEX(AJ$263:AJ$279,$F2423)*$D2423*INDEX(AJ$23:AJ$30,$E2423)</f>
        <v/>
      </c>
      <c r="AK2423" s="35">
        <f>INDEX(AK$263:AK$279,$F2423)*$D2423*INDEX(AK$23:AK$30,$E2423)</f>
        <v/>
      </c>
      <c r="AL2423" s="35">
        <f>INDEX(AL$263:AL$279,$F2423)*$D2423*INDEX(AL$23:AL$30,$E2423)</f>
        <v/>
      </c>
      <c r="AM2423" s="35">
        <f>INDEX(AM$263:AM$279,$F2423)*$D2423*INDEX(AM$23:AM$30,$E2423)</f>
        <v/>
      </c>
      <c r="AN2423" s="35">
        <f>INDEX(AN$263:AN$279,$F2423)*$D2423*INDEX(AN$23:AN$30,$E2423)</f>
        <v/>
      </c>
      <c r="AO2423" s="35">
        <f>INDEX(AO$263:AO$279,$F2423)*$D2423*INDEX(AO$23:AO$30,$E2423)</f>
        <v/>
      </c>
      <c r="AP2423" s="35">
        <f>INDEX(AP$263:AP$279,$F2423)*$D2423*INDEX(AP$23:AP$30,$E2423)</f>
        <v/>
      </c>
      <c r="AQ2423" s="35">
        <f>INDEX(AQ$263:AQ$279,$F2423)*$D2423*INDEX(AQ$23:AQ$30,$E2423)</f>
        <v/>
      </c>
      <c r="AR2423" s="35">
        <f>INDEX(AR$263:AR$279,$F2423)*$D2423*INDEX(AR$23:AR$30,$E2423)</f>
        <v/>
      </c>
      <c r="AS2423" s="35">
        <f>INDEX(AS$263:AS$279,$F2423)*$D2423*INDEX(AS$23:AS$30,$E2423)</f>
        <v/>
      </c>
      <c r="AT2423" s="35">
        <f>INDEX(AT$263:AT$279,$F2423)*$D2423*INDEX(AT$23:AT$30,$E2423)</f>
        <v/>
      </c>
      <c r="AU2423" s="35">
        <f>INDEX(AU$263:AU$279,$F2423)*$D2423*INDEX(AU$23:AU$30,$E2423)</f>
        <v/>
      </c>
      <c r="AV2423" s="35">
        <f>INDEX(AV$263:AV$279,$F2423)*$D2423*INDEX(AV$23:AV$30,$E2423)</f>
        <v/>
      </c>
      <c r="AW2423" s="35">
        <f>INDEX(AW$263:AW$279,$F2423)*$D2423*INDEX(AW$23:AW$30,$E2423)</f>
        <v/>
      </c>
      <c r="AX2423" s="35">
        <f>INDEX(AX$263:AX$279,$F2423)*$D2423*INDEX(AX$23:AX$30,$E2423)</f>
        <v/>
      </c>
      <c r="AY2423" s="35">
        <f>INDEX(AY$263:AY$279,$F2423)*$D2423*INDEX(AY$23:AY$30,$E2423)</f>
        <v/>
      </c>
      <c r="AZ2423" s="35">
        <f>INDEX(AZ$263:AZ$279,$F2423)*$D2423*INDEX(AZ$23:AZ$30,$E2423)</f>
        <v/>
      </c>
      <c r="BA2423" s="42">
        <f>CARBONTAX(INDEX(BA$263:BA$279,$F2423),$D2423,INDEX(BA$23:BA$30,$E2423))</f>
        <v/>
      </c>
    </row>
    <row r="2424" hidden="1" outlineLevel="2">
      <c r="A2424" s="14" t="inlineStr">
        <is>
          <t>ctxnew</t>
        </is>
      </c>
      <c r="B2424" s="14" t="inlineStr">
        <is>
          <t>die</t>
        </is>
      </c>
      <c r="C2424" s="14" t="inlineStr">
        <is>
          <t>cem</t>
        </is>
      </c>
      <c r="D2424" s="35">
        <f>INDEX(Inputs!$W$5:$W$132,MATCH($B2424&amp;"|"&amp;$C2424,Inputs!$A$5:$A$132,0))</f>
        <v/>
      </c>
      <c r="E2424" s="35">
        <f>INDEX(Inputs!$L$5:$L$132,MATCH($B2424&amp;"|"&amp;$C2424,Inputs!$A$5:$A$132,0))</f>
        <v/>
      </c>
      <c r="F2424" s="35">
        <f>INDEX(Inputs!$M$5:$M$132,MATCH($B2424&amp;"|"&amp;$C2424,Inputs!$A$5:$A$132,0))</f>
        <v/>
      </c>
      <c r="G2424" s="39" t="n"/>
      <c r="H2424" s="14">
        <f>INDEX(VarLab,MATCH($A2424,VarKey,0))&amp;INDEX(MemLab,MATCH($C2424&amp;"|"&amp;$B2424,MemKey,0))</f>
        <v/>
      </c>
      <c r="I2424" s="14">
        <f>INDEX(VarUnit,MATCH($A2424,VarKey,0))</f>
        <v/>
      </c>
      <c r="J2424" s="14">
        <f>INDEX(VarSrc,MATCH($A2424,VarKey,0))</f>
        <v/>
      </c>
      <c r="K2424" s="11">
        <f>CodePrefix&amp;$A2424&amp;IF($C2424="","","."&amp;$C2424&amp;"."&amp;$B2424)&amp;INDEX(VarEnd,MATCH($A2424,VarKey,0))&amp;K$5</f>
        <v/>
      </c>
      <c r="L2424" s="40">
        <f>INDEX(L$263:L$279,$F2424)*$D2424*INDEX(L$23:L$30,$E2424)</f>
        <v/>
      </c>
      <c r="M2424" s="35">
        <f>INDEX(M$263:M$279,$F2424)*$D2424*INDEX(M$23:M$30,$E2424)</f>
        <v/>
      </c>
      <c r="N2424" s="35">
        <f>INDEX(N$263:N$279,$F2424)*$D2424*INDEX(N$23:N$30,$E2424)</f>
        <v/>
      </c>
      <c r="O2424" s="35">
        <f>INDEX(O$263:O$279,$F2424)*$D2424*INDEX(O$23:O$30,$E2424)</f>
        <v/>
      </c>
      <c r="P2424" s="35">
        <f>INDEX(P$263:P$279,$F2424)*$D2424*INDEX(P$23:P$30,$E2424)</f>
        <v/>
      </c>
      <c r="Q2424" s="35">
        <f>INDEX(Q$263:Q$279,$F2424)*$D2424*INDEX(Q$23:Q$30,$E2424)</f>
        <v/>
      </c>
      <c r="R2424" s="35">
        <f>INDEX(R$263:R$279,$F2424)*$D2424*INDEX(R$23:R$30,$E2424)</f>
        <v/>
      </c>
      <c r="S2424" s="35">
        <f>INDEX(S$263:S$279,$F2424)*$D2424*INDEX(S$23:S$30,$E2424)</f>
        <v/>
      </c>
      <c r="T2424" s="35">
        <f>INDEX(T$263:T$279,$F2424)*$D2424*INDEX(T$23:T$30,$E2424)</f>
        <v/>
      </c>
      <c r="U2424" s="35">
        <f>INDEX(U$263:U$279,$F2424)*$D2424*INDEX(U$23:U$30,$E2424)</f>
        <v/>
      </c>
      <c r="V2424" s="35">
        <f>INDEX(V$263:V$279,$F2424)*$D2424*INDEX(V$23:V$30,$E2424)</f>
        <v/>
      </c>
      <c r="W2424" s="35">
        <f>INDEX(W$263:W$279,$F2424)*$D2424*INDEX(W$23:W$30,$E2424)</f>
        <v/>
      </c>
      <c r="X2424" s="35">
        <f>INDEX(X$263:X$279,$F2424)*$D2424*INDEX(X$23:X$30,$E2424)</f>
        <v/>
      </c>
      <c r="Y2424" s="35">
        <f>INDEX(Y$263:Y$279,$F2424)*$D2424*INDEX(Y$23:Y$30,$E2424)</f>
        <v/>
      </c>
      <c r="Z2424" s="35">
        <f>INDEX(Z$263:Z$279,$F2424)*$D2424*INDEX(Z$23:Z$30,$E2424)</f>
        <v/>
      </c>
      <c r="AA2424" s="35">
        <f>INDEX(AA$263:AA$279,$F2424)*$D2424*INDEX(AA$23:AA$30,$E2424)</f>
        <v/>
      </c>
      <c r="AB2424" s="35">
        <f>INDEX(AB$263:AB$279,$F2424)*$D2424*INDEX(AB$23:AB$30,$E2424)</f>
        <v/>
      </c>
      <c r="AC2424" s="35">
        <f>INDEX(AC$263:AC$279,$F2424)*$D2424*INDEX(AC$23:AC$30,$E2424)</f>
        <v/>
      </c>
      <c r="AD2424" s="35">
        <f>INDEX(AD$263:AD$279,$F2424)*$D2424*INDEX(AD$23:AD$30,$E2424)</f>
        <v/>
      </c>
      <c r="AE2424" s="42">
        <f>CARBONTAX(INDEX(AE$263:AE$279,$F2424),$D2424,INDEX(AE$23:AE$30,$E2424))</f>
        <v/>
      </c>
      <c r="AG2424" s="11">
        <f>CodePrefix&amp;$A2424&amp;IF($C2424="","","."&amp;$C2424&amp;"."&amp;$B2424)&amp;INDEX(VarEnd,MATCH($A2424,VarKey,0))&amp;AG$5</f>
        <v/>
      </c>
      <c r="AH2424" s="40">
        <f>INDEX(AH$263:AH$279,$F2424)*$D2424*INDEX(AH$23:AH$30,$E2424)</f>
        <v/>
      </c>
      <c r="AI2424" s="35">
        <f>INDEX(AI$263:AI$279,$F2424)*$D2424*INDEX(AI$23:AI$30,$E2424)</f>
        <v/>
      </c>
      <c r="AJ2424" s="35">
        <f>INDEX(AJ$263:AJ$279,$F2424)*$D2424*INDEX(AJ$23:AJ$30,$E2424)</f>
        <v/>
      </c>
      <c r="AK2424" s="35">
        <f>INDEX(AK$263:AK$279,$F2424)*$D2424*INDEX(AK$23:AK$30,$E2424)</f>
        <v/>
      </c>
      <c r="AL2424" s="35">
        <f>INDEX(AL$263:AL$279,$F2424)*$D2424*INDEX(AL$23:AL$30,$E2424)</f>
        <v/>
      </c>
      <c r="AM2424" s="35">
        <f>INDEX(AM$263:AM$279,$F2424)*$D2424*INDEX(AM$23:AM$30,$E2424)</f>
        <v/>
      </c>
      <c r="AN2424" s="35">
        <f>INDEX(AN$263:AN$279,$F2424)*$D2424*INDEX(AN$23:AN$30,$E2424)</f>
        <v/>
      </c>
      <c r="AO2424" s="35">
        <f>INDEX(AO$263:AO$279,$F2424)*$D2424*INDEX(AO$23:AO$30,$E2424)</f>
        <v/>
      </c>
      <c r="AP2424" s="35">
        <f>INDEX(AP$263:AP$279,$F2424)*$D2424*INDEX(AP$23:AP$30,$E2424)</f>
        <v/>
      </c>
      <c r="AQ2424" s="35">
        <f>INDEX(AQ$263:AQ$279,$F2424)*$D2424*INDEX(AQ$23:AQ$30,$E2424)</f>
        <v/>
      </c>
      <c r="AR2424" s="35">
        <f>INDEX(AR$263:AR$279,$F2424)*$D2424*INDEX(AR$23:AR$30,$E2424)</f>
        <v/>
      </c>
      <c r="AS2424" s="35">
        <f>INDEX(AS$263:AS$279,$F2424)*$D2424*INDEX(AS$23:AS$30,$E2424)</f>
        <v/>
      </c>
      <c r="AT2424" s="35">
        <f>INDEX(AT$263:AT$279,$F2424)*$D2424*INDEX(AT$23:AT$30,$E2424)</f>
        <v/>
      </c>
      <c r="AU2424" s="35">
        <f>INDEX(AU$263:AU$279,$F2424)*$D2424*INDEX(AU$23:AU$30,$E2424)</f>
        <v/>
      </c>
      <c r="AV2424" s="35">
        <f>INDEX(AV$263:AV$279,$F2424)*$D2424*INDEX(AV$23:AV$30,$E2424)</f>
        <v/>
      </c>
      <c r="AW2424" s="35">
        <f>INDEX(AW$263:AW$279,$F2424)*$D2424*INDEX(AW$23:AW$30,$E2424)</f>
        <v/>
      </c>
      <c r="AX2424" s="35">
        <f>INDEX(AX$263:AX$279,$F2424)*$D2424*INDEX(AX$23:AX$30,$E2424)</f>
        <v/>
      </c>
      <c r="AY2424" s="35">
        <f>INDEX(AY$263:AY$279,$F2424)*$D2424*INDEX(AY$23:AY$30,$E2424)</f>
        <v/>
      </c>
      <c r="AZ2424" s="35">
        <f>INDEX(AZ$263:AZ$279,$F2424)*$D2424*INDEX(AZ$23:AZ$30,$E2424)</f>
        <v/>
      </c>
      <c r="BA2424" s="42">
        <f>CARBONTAX(INDEX(BA$263:BA$279,$F2424),$D2424,INDEX(BA$23:BA$30,$E2424))</f>
        <v/>
      </c>
    </row>
    <row r="2425" hidden="1" outlineLevel="2">
      <c r="A2425" s="14" t="inlineStr">
        <is>
          <t>ctxnew</t>
        </is>
      </c>
      <c r="B2425" s="14" t="inlineStr">
        <is>
          <t>lpg</t>
        </is>
      </c>
      <c r="C2425" s="14" t="inlineStr">
        <is>
          <t>cem</t>
        </is>
      </c>
      <c r="D2425" s="35">
        <f>INDEX(Inputs!$W$5:$W$132,MATCH($B2425&amp;"|"&amp;$C2425,Inputs!$A$5:$A$132,0))</f>
        <v/>
      </c>
      <c r="E2425" s="35">
        <f>INDEX(Inputs!$L$5:$L$132,MATCH($B2425&amp;"|"&amp;$C2425,Inputs!$A$5:$A$132,0))</f>
        <v/>
      </c>
      <c r="F2425" s="35">
        <f>INDEX(Inputs!$M$5:$M$132,MATCH($B2425&amp;"|"&amp;$C2425,Inputs!$A$5:$A$132,0))</f>
        <v/>
      </c>
      <c r="G2425" s="39" t="n"/>
      <c r="H2425" s="14">
        <f>INDEX(VarLab,MATCH($A2425,VarKey,0))&amp;INDEX(MemLab,MATCH($C2425&amp;"|"&amp;$B2425,MemKey,0))</f>
        <v/>
      </c>
      <c r="I2425" s="14">
        <f>INDEX(VarUnit,MATCH($A2425,VarKey,0))</f>
        <v/>
      </c>
      <c r="J2425" s="14">
        <f>INDEX(VarSrc,MATCH($A2425,VarKey,0))</f>
        <v/>
      </c>
      <c r="K2425" s="11">
        <f>CodePrefix&amp;$A2425&amp;IF($C2425="","","."&amp;$C2425&amp;"."&amp;$B2425)&amp;INDEX(VarEnd,MATCH($A2425,VarKey,0))&amp;K$5</f>
        <v/>
      </c>
      <c r="L2425" s="40">
        <f>INDEX(L$263:L$279,$F2425)*$D2425*INDEX(L$23:L$30,$E2425)</f>
        <v/>
      </c>
      <c r="M2425" s="35">
        <f>INDEX(M$263:M$279,$F2425)*$D2425*INDEX(M$23:M$30,$E2425)</f>
        <v/>
      </c>
      <c r="N2425" s="35">
        <f>INDEX(N$263:N$279,$F2425)*$D2425*INDEX(N$23:N$30,$E2425)</f>
        <v/>
      </c>
      <c r="O2425" s="35">
        <f>INDEX(O$263:O$279,$F2425)*$D2425*INDEX(O$23:O$30,$E2425)</f>
        <v/>
      </c>
      <c r="P2425" s="35">
        <f>INDEX(P$263:P$279,$F2425)*$D2425*INDEX(P$23:P$30,$E2425)</f>
        <v/>
      </c>
      <c r="Q2425" s="35">
        <f>INDEX(Q$263:Q$279,$F2425)*$D2425*INDEX(Q$23:Q$30,$E2425)</f>
        <v/>
      </c>
      <c r="R2425" s="35">
        <f>INDEX(R$263:R$279,$F2425)*$D2425*INDEX(R$23:R$30,$E2425)</f>
        <v/>
      </c>
      <c r="S2425" s="35">
        <f>INDEX(S$263:S$279,$F2425)*$D2425*INDEX(S$23:S$30,$E2425)</f>
        <v/>
      </c>
      <c r="T2425" s="35">
        <f>INDEX(T$263:T$279,$F2425)*$D2425*INDEX(T$23:T$30,$E2425)</f>
        <v/>
      </c>
      <c r="U2425" s="35">
        <f>INDEX(U$263:U$279,$F2425)*$D2425*INDEX(U$23:U$30,$E2425)</f>
        <v/>
      </c>
      <c r="V2425" s="35">
        <f>INDEX(V$263:V$279,$F2425)*$D2425*INDEX(V$23:V$30,$E2425)</f>
        <v/>
      </c>
      <c r="W2425" s="35">
        <f>INDEX(W$263:W$279,$F2425)*$D2425*INDEX(W$23:W$30,$E2425)</f>
        <v/>
      </c>
      <c r="X2425" s="35">
        <f>INDEX(X$263:X$279,$F2425)*$D2425*INDEX(X$23:X$30,$E2425)</f>
        <v/>
      </c>
      <c r="Y2425" s="35">
        <f>INDEX(Y$263:Y$279,$F2425)*$D2425*INDEX(Y$23:Y$30,$E2425)</f>
        <v/>
      </c>
      <c r="Z2425" s="35">
        <f>INDEX(Z$263:Z$279,$F2425)*$D2425*INDEX(Z$23:Z$30,$E2425)</f>
        <v/>
      </c>
      <c r="AA2425" s="35">
        <f>INDEX(AA$263:AA$279,$F2425)*$D2425*INDEX(AA$23:AA$30,$E2425)</f>
        <v/>
      </c>
      <c r="AB2425" s="35">
        <f>INDEX(AB$263:AB$279,$F2425)*$D2425*INDEX(AB$23:AB$30,$E2425)</f>
        <v/>
      </c>
      <c r="AC2425" s="35">
        <f>INDEX(AC$263:AC$279,$F2425)*$D2425*INDEX(AC$23:AC$30,$E2425)</f>
        <v/>
      </c>
      <c r="AD2425" s="35">
        <f>INDEX(AD$263:AD$279,$F2425)*$D2425*INDEX(AD$23:AD$30,$E2425)</f>
        <v/>
      </c>
      <c r="AE2425" s="42">
        <f>CARBONTAX(INDEX(AE$263:AE$279,$F2425),$D2425,INDEX(AE$23:AE$30,$E2425))</f>
        <v/>
      </c>
      <c r="AG2425" s="11">
        <f>CodePrefix&amp;$A2425&amp;IF($C2425="","","."&amp;$C2425&amp;"."&amp;$B2425)&amp;INDEX(VarEnd,MATCH($A2425,VarKey,0))&amp;AG$5</f>
        <v/>
      </c>
      <c r="AH2425" s="40">
        <f>INDEX(AH$263:AH$279,$F2425)*$D2425*INDEX(AH$23:AH$30,$E2425)</f>
        <v/>
      </c>
      <c r="AI2425" s="35">
        <f>INDEX(AI$263:AI$279,$F2425)*$D2425*INDEX(AI$23:AI$30,$E2425)</f>
        <v/>
      </c>
      <c r="AJ2425" s="35">
        <f>INDEX(AJ$263:AJ$279,$F2425)*$D2425*INDEX(AJ$23:AJ$30,$E2425)</f>
        <v/>
      </c>
      <c r="AK2425" s="35">
        <f>INDEX(AK$263:AK$279,$F2425)*$D2425*INDEX(AK$23:AK$30,$E2425)</f>
        <v/>
      </c>
      <c r="AL2425" s="35">
        <f>INDEX(AL$263:AL$279,$F2425)*$D2425*INDEX(AL$23:AL$30,$E2425)</f>
        <v/>
      </c>
      <c r="AM2425" s="35">
        <f>INDEX(AM$263:AM$279,$F2425)*$D2425*INDEX(AM$23:AM$30,$E2425)</f>
        <v/>
      </c>
      <c r="AN2425" s="35">
        <f>INDEX(AN$263:AN$279,$F2425)*$D2425*INDEX(AN$23:AN$30,$E2425)</f>
        <v/>
      </c>
      <c r="AO2425" s="35">
        <f>INDEX(AO$263:AO$279,$F2425)*$D2425*INDEX(AO$23:AO$30,$E2425)</f>
        <v/>
      </c>
      <c r="AP2425" s="35">
        <f>INDEX(AP$263:AP$279,$F2425)*$D2425*INDEX(AP$23:AP$30,$E2425)</f>
        <v/>
      </c>
      <c r="AQ2425" s="35">
        <f>INDEX(AQ$263:AQ$279,$F2425)*$D2425*INDEX(AQ$23:AQ$30,$E2425)</f>
        <v/>
      </c>
      <c r="AR2425" s="35">
        <f>INDEX(AR$263:AR$279,$F2425)*$D2425*INDEX(AR$23:AR$30,$E2425)</f>
        <v/>
      </c>
      <c r="AS2425" s="35">
        <f>INDEX(AS$263:AS$279,$F2425)*$D2425*INDEX(AS$23:AS$30,$E2425)</f>
        <v/>
      </c>
      <c r="AT2425" s="35">
        <f>INDEX(AT$263:AT$279,$F2425)*$D2425*INDEX(AT$23:AT$30,$E2425)</f>
        <v/>
      </c>
      <c r="AU2425" s="35">
        <f>INDEX(AU$263:AU$279,$F2425)*$D2425*INDEX(AU$23:AU$30,$E2425)</f>
        <v/>
      </c>
      <c r="AV2425" s="35">
        <f>INDEX(AV$263:AV$279,$F2425)*$D2425*INDEX(AV$23:AV$30,$E2425)</f>
        <v/>
      </c>
      <c r="AW2425" s="35">
        <f>INDEX(AW$263:AW$279,$F2425)*$D2425*INDEX(AW$23:AW$30,$E2425)</f>
        <v/>
      </c>
      <c r="AX2425" s="35">
        <f>INDEX(AX$263:AX$279,$F2425)*$D2425*INDEX(AX$23:AX$30,$E2425)</f>
        <v/>
      </c>
      <c r="AY2425" s="35">
        <f>INDEX(AY$263:AY$279,$F2425)*$D2425*INDEX(AY$23:AY$30,$E2425)</f>
        <v/>
      </c>
      <c r="AZ2425" s="35">
        <f>INDEX(AZ$263:AZ$279,$F2425)*$D2425*INDEX(AZ$23:AZ$30,$E2425)</f>
        <v/>
      </c>
      <c r="BA2425" s="42">
        <f>CARBONTAX(INDEX(BA$263:BA$279,$F2425),$D2425,INDEX(BA$23:BA$30,$E2425))</f>
        <v/>
      </c>
    </row>
    <row r="2426" hidden="1" outlineLevel="2">
      <c r="A2426" s="14" t="inlineStr">
        <is>
          <t>ctxnew</t>
        </is>
      </c>
      <c r="B2426" s="14" t="inlineStr">
        <is>
          <t>ker</t>
        </is>
      </c>
      <c r="C2426" s="14" t="inlineStr">
        <is>
          <t>cem</t>
        </is>
      </c>
      <c r="D2426" s="35">
        <f>INDEX(Inputs!$W$5:$W$132,MATCH($B2426&amp;"|"&amp;$C2426,Inputs!$A$5:$A$132,0))</f>
        <v/>
      </c>
      <c r="E2426" s="35">
        <f>INDEX(Inputs!$L$5:$L$132,MATCH($B2426&amp;"|"&amp;$C2426,Inputs!$A$5:$A$132,0))</f>
        <v/>
      </c>
      <c r="F2426" s="35">
        <f>INDEX(Inputs!$M$5:$M$132,MATCH($B2426&amp;"|"&amp;$C2426,Inputs!$A$5:$A$132,0))</f>
        <v/>
      </c>
      <c r="G2426" s="39" t="n"/>
      <c r="H2426" s="14">
        <f>INDEX(VarLab,MATCH($A2426,VarKey,0))&amp;INDEX(MemLab,MATCH($C2426&amp;"|"&amp;$B2426,MemKey,0))</f>
        <v/>
      </c>
      <c r="I2426" s="14">
        <f>INDEX(VarUnit,MATCH($A2426,VarKey,0))</f>
        <v/>
      </c>
      <c r="J2426" s="14">
        <f>INDEX(VarSrc,MATCH($A2426,VarKey,0))</f>
        <v/>
      </c>
      <c r="K2426" s="11">
        <f>CodePrefix&amp;$A2426&amp;IF($C2426="","","."&amp;$C2426&amp;"."&amp;$B2426)&amp;INDEX(VarEnd,MATCH($A2426,VarKey,0))&amp;K$5</f>
        <v/>
      </c>
      <c r="L2426" s="40">
        <f>INDEX(L$263:L$279,$F2426)*$D2426*INDEX(L$23:L$30,$E2426)</f>
        <v/>
      </c>
      <c r="M2426" s="35">
        <f>INDEX(M$263:M$279,$F2426)*$D2426*INDEX(M$23:M$30,$E2426)</f>
        <v/>
      </c>
      <c r="N2426" s="35">
        <f>INDEX(N$263:N$279,$F2426)*$D2426*INDEX(N$23:N$30,$E2426)</f>
        <v/>
      </c>
      <c r="O2426" s="35">
        <f>INDEX(O$263:O$279,$F2426)*$D2426*INDEX(O$23:O$30,$E2426)</f>
        <v/>
      </c>
      <c r="P2426" s="35">
        <f>INDEX(P$263:P$279,$F2426)*$D2426*INDEX(P$23:P$30,$E2426)</f>
        <v/>
      </c>
      <c r="Q2426" s="35">
        <f>INDEX(Q$263:Q$279,$F2426)*$D2426*INDEX(Q$23:Q$30,$E2426)</f>
        <v/>
      </c>
      <c r="R2426" s="35">
        <f>INDEX(R$263:R$279,$F2426)*$D2426*INDEX(R$23:R$30,$E2426)</f>
        <v/>
      </c>
      <c r="S2426" s="35">
        <f>INDEX(S$263:S$279,$F2426)*$D2426*INDEX(S$23:S$30,$E2426)</f>
        <v/>
      </c>
      <c r="T2426" s="35">
        <f>INDEX(T$263:T$279,$F2426)*$D2426*INDEX(T$23:T$30,$E2426)</f>
        <v/>
      </c>
      <c r="U2426" s="35">
        <f>INDEX(U$263:U$279,$F2426)*$D2426*INDEX(U$23:U$30,$E2426)</f>
        <v/>
      </c>
      <c r="V2426" s="35">
        <f>INDEX(V$263:V$279,$F2426)*$D2426*INDEX(V$23:V$30,$E2426)</f>
        <v/>
      </c>
      <c r="W2426" s="35">
        <f>INDEX(W$263:W$279,$F2426)*$D2426*INDEX(W$23:W$30,$E2426)</f>
        <v/>
      </c>
      <c r="X2426" s="35">
        <f>INDEX(X$263:X$279,$F2426)*$D2426*INDEX(X$23:X$30,$E2426)</f>
        <v/>
      </c>
      <c r="Y2426" s="35">
        <f>INDEX(Y$263:Y$279,$F2426)*$D2426*INDEX(Y$23:Y$30,$E2426)</f>
        <v/>
      </c>
      <c r="Z2426" s="35">
        <f>INDEX(Z$263:Z$279,$F2426)*$D2426*INDEX(Z$23:Z$30,$E2426)</f>
        <v/>
      </c>
      <c r="AA2426" s="35">
        <f>INDEX(AA$263:AA$279,$F2426)*$D2426*INDEX(AA$23:AA$30,$E2426)</f>
        <v/>
      </c>
      <c r="AB2426" s="35">
        <f>INDEX(AB$263:AB$279,$F2426)*$D2426*INDEX(AB$23:AB$30,$E2426)</f>
        <v/>
      </c>
      <c r="AC2426" s="35">
        <f>INDEX(AC$263:AC$279,$F2426)*$D2426*INDEX(AC$23:AC$30,$E2426)</f>
        <v/>
      </c>
      <c r="AD2426" s="35">
        <f>INDEX(AD$263:AD$279,$F2426)*$D2426*INDEX(AD$23:AD$30,$E2426)</f>
        <v/>
      </c>
      <c r="AE2426" s="42">
        <f>CARBONTAX(INDEX(AE$263:AE$279,$F2426),$D2426,INDEX(AE$23:AE$30,$E2426))</f>
        <v/>
      </c>
      <c r="AG2426" s="11">
        <f>CodePrefix&amp;$A2426&amp;IF($C2426="","","."&amp;$C2426&amp;"."&amp;$B2426)&amp;INDEX(VarEnd,MATCH($A2426,VarKey,0))&amp;AG$5</f>
        <v/>
      </c>
      <c r="AH2426" s="40">
        <f>INDEX(AH$263:AH$279,$F2426)*$D2426*INDEX(AH$23:AH$30,$E2426)</f>
        <v/>
      </c>
      <c r="AI2426" s="35">
        <f>INDEX(AI$263:AI$279,$F2426)*$D2426*INDEX(AI$23:AI$30,$E2426)</f>
        <v/>
      </c>
      <c r="AJ2426" s="35">
        <f>INDEX(AJ$263:AJ$279,$F2426)*$D2426*INDEX(AJ$23:AJ$30,$E2426)</f>
        <v/>
      </c>
      <c r="AK2426" s="35">
        <f>INDEX(AK$263:AK$279,$F2426)*$D2426*INDEX(AK$23:AK$30,$E2426)</f>
        <v/>
      </c>
      <c r="AL2426" s="35">
        <f>INDEX(AL$263:AL$279,$F2426)*$D2426*INDEX(AL$23:AL$30,$E2426)</f>
        <v/>
      </c>
      <c r="AM2426" s="35">
        <f>INDEX(AM$263:AM$279,$F2426)*$D2426*INDEX(AM$23:AM$30,$E2426)</f>
        <v/>
      </c>
      <c r="AN2426" s="35">
        <f>INDEX(AN$263:AN$279,$F2426)*$D2426*INDEX(AN$23:AN$30,$E2426)</f>
        <v/>
      </c>
      <c r="AO2426" s="35">
        <f>INDEX(AO$263:AO$279,$F2426)*$D2426*INDEX(AO$23:AO$30,$E2426)</f>
        <v/>
      </c>
      <c r="AP2426" s="35">
        <f>INDEX(AP$263:AP$279,$F2426)*$D2426*INDEX(AP$23:AP$30,$E2426)</f>
        <v/>
      </c>
      <c r="AQ2426" s="35">
        <f>INDEX(AQ$263:AQ$279,$F2426)*$D2426*INDEX(AQ$23:AQ$30,$E2426)</f>
        <v/>
      </c>
      <c r="AR2426" s="35">
        <f>INDEX(AR$263:AR$279,$F2426)*$D2426*INDEX(AR$23:AR$30,$E2426)</f>
        <v/>
      </c>
      <c r="AS2426" s="35">
        <f>INDEX(AS$263:AS$279,$F2426)*$D2426*INDEX(AS$23:AS$30,$E2426)</f>
        <v/>
      </c>
      <c r="AT2426" s="35">
        <f>INDEX(AT$263:AT$279,$F2426)*$D2426*INDEX(AT$23:AT$30,$E2426)</f>
        <v/>
      </c>
      <c r="AU2426" s="35">
        <f>INDEX(AU$263:AU$279,$F2426)*$D2426*INDEX(AU$23:AU$30,$E2426)</f>
        <v/>
      </c>
      <c r="AV2426" s="35">
        <f>INDEX(AV$263:AV$279,$F2426)*$D2426*INDEX(AV$23:AV$30,$E2426)</f>
        <v/>
      </c>
      <c r="AW2426" s="35">
        <f>INDEX(AW$263:AW$279,$F2426)*$D2426*INDEX(AW$23:AW$30,$E2426)</f>
        <v/>
      </c>
      <c r="AX2426" s="35">
        <f>INDEX(AX$263:AX$279,$F2426)*$D2426*INDEX(AX$23:AX$30,$E2426)</f>
        <v/>
      </c>
      <c r="AY2426" s="35">
        <f>INDEX(AY$263:AY$279,$F2426)*$D2426*INDEX(AY$23:AY$30,$E2426)</f>
        <v/>
      </c>
      <c r="AZ2426" s="35">
        <f>INDEX(AZ$263:AZ$279,$F2426)*$D2426*INDEX(AZ$23:AZ$30,$E2426)</f>
        <v/>
      </c>
      <c r="BA2426" s="42">
        <f>CARBONTAX(INDEX(BA$263:BA$279,$F2426),$D2426,INDEX(BA$23:BA$30,$E2426))</f>
        <v/>
      </c>
    </row>
    <row r="2427" hidden="1" outlineLevel="2">
      <c r="A2427" s="14" t="inlineStr">
        <is>
          <t>ctxnew</t>
        </is>
      </c>
      <c r="B2427" s="14" t="inlineStr">
        <is>
          <t>oop</t>
        </is>
      </c>
      <c r="C2427" s="14" t="inlineStr">
        <is>
          <t>cem</t>
        </is>
      </c>
      <c r="D2427" s="35">
        <f>INDEX(Inputs!$W$5:$W$132,MATCH($B2427&amp;"|"&amp;$C2427,Inputs!$A$5:$A$132,0))</f>
        <v/>
      </c>
      <c r="E2427" s="35">
        <f>INDEX(Inputs!$L$5:$L$132,MATCH($B2427&amp;"|"&amp;$C2427,Inputs!$A$5:$A$132,0))</f>
        <v/>
      </c>
      <c r="F2427" s="35">
        <f>INDEX(Inputs!$M$5:$M$132,MATCH($B2427&amp;"|"&amp;$C2427,Inputs!$A$5:$A$132,0))</f>
        <v/>
      </c>
      <c r="G2427" s="39" t="n"/>
      <c r="H2427" s="14">
        <f>INDEX(VarLab,MATCH($A2427,VarKey,0))&amp;INDEX(MemLab,MATCH($C2427&amp;"|"&amp;$B2427,MemKey,0))</f>
        <v/>
      </c>
      <c r="I2427" s="14">
        <f>INDEX(VarUnit,MATCH($A2427,VarKey,0))</f>
        <v/>
      </c>
      <c r="J2427" s="14">
        <f>INDEX(VarSrc,MATCH($A2427,VarKey,0))</f>
        <v/>
      </c>
      <c r="K2427" s="11">
        <f>CodePrefix&amp;$A2427&amp;IF($C2427="","","."&amp;$C2427&amp;"."&amp;$B2427)&amp;INDEX(VarEnd,MATCH($A2427,VarKey,0))&amp;K$5</f>
        <v/>
      </c>
      <c r="L2427" s="40">
        <f>INDEX(L$263:L$279,$F2427)*$D2427*INDEX(L$23:L$30,$E2427)</f>
        <v/>
      </c>
      <c r="M2427" s="35">
        <f>INDEX(M$263:M$279,$F2427)*$D2427*INDEX(M$23:M$30,$E2427)</f>
        <v/>
      </c>
      <c r="N2427" s="35">
        <f>INDEX(N$263:N$279,$F2427)*$D2427*INDEX(N$23:N$30,$E2427)</f>
        <v/>
      </c>
      <c r="O2427" s="35">
        <f>INDEX(O$263:O$279,$F2427)*$D2427*INDEX(O$23:O$30,$E2427)</f>
        <v/>
      </c>
      <c r="P2427" s="35">
        <f>INDEX(P$263:P$279,$F2427)*$D2427*INDEX(P$23:P$30,$E2427)</f>
        <v/>
      </c>
      <c r="Q2427" s="35">
        <f>INDEX(Q$263:Q$279,$F2427)*$D2427*INDEX(Q$23:Q$30,$E2427)</f>
        <v/>
      </c>
      <c r="R2427" s="35">
        <f>INDEX(R$263:R$279,$F2427)*$D2427*INDEX(R$23:R$30,$E2427)</f>
        <v/>
      </c>
      <c r="S2427" s="35">
        <f>INDEX(S$263:S$279,$F2427)*$D2427*INDEX(S$23:S$30,$E2427)</f>
        <v/>
      </c>
      <c r="T2427" s="35">
        <f>INDEX(T$263:T$279,$F2427)*$D2427*INDEX(T$23:T$30,$E2427)</f>
        <v/>
      </c>
      <c r="U2427" s="35">
        <f>INDEX(U$263:U$279,$F2427)*$D2427*INDEX(U$23:U$30,$E2427)</f>
        <v/>
      </c>
      <c r="V2427" s="35">
        <f>INDEX(V$263:V$279,$F2427)*$D2427*INDEX(V$23:V$30,$E2427)</f>
        <v/>
      </c>
      <c r="W2427" s="35">
        <f>INDEX(W$263:W$279,$F2427)*$D2427*INDEX(W$23:W$30,$E2427)</f>
        <v/>
      </c>
      <c r="X2427" s="35">
        <f>INDEX(X$263:X$279,$F2427)*$D2427*INDEX(X$23:X$30,$E2427)</f>
        <v/>
      </c>
      <c r="Y2427" s="35">
        <f>INDEX(Y$263:Y$279,$F2427)*$D2427*INDEX(Y$23:Y$30,$E2427)</f>
        <v/>
      </c>
      <c r="Z2427" s="35">
        <f>INDEX(Z$263:Z$279,$F2427)*$D2427*INDEX(Z$23:Z$30,$E2427)</f>
        <v/>
      </c>
      <c r="AA2427" s="35">
        <f>INDEX(AA$263:AA$279,$F2427)*$D2427*INDEX(AA$23:AA$30,$E2427)</f>
        <v/>
      </c>
      <c r="AB2427" s="35">
        <f>INDEX(AB$263:AB$279,$F2427)*$D2427*INDEX(AB$23:AB$30,$E2427)</f>
        <v/>
      </c>
      <c r="AC2427" s="35">
        <f>INDEX(AC$263:AC$279,$F2427)*$D2427*INDEX(AC$23:AC$30,$E2427)</f>
        <v/>
      </c>
      <c r="AD2427" s="35">
        <f>INDEX(AD$263:AD$279,$F2427)*$D2427*INDEX(AD$23:AD$30,$E2427)</f>
        <v/>
      </c>
      <c r="AE2427" s="42">
        <f>CARBONTAX(INDEX(AE$263:AE$279,$F2427),$D2427,INDEX(AE$23:AE$30,$E2427))</f>
        <v/>
      </c>
      <c r="AG2427" s="11">
        <f>CodePrefix&amp;$A2427&amp;IF($C2427="","","."&amp;$C2427&amp;"."&amp;$B2427)&amp;INDEX(VarEnd,MATCH($A2427,VarKey,0))&amp;AG$5</f>
        <v/>
      </c>
      <c r="AH2427" s="40">
        <f>INDEX(AH$263:AH$279,$F2427)*$D2427*INDEX(AH$23:AH$30,$E2427)</f>
        <v/>
      </c>
      <c r="AI2427" s="35">
        <f>INDEX(AI$263:AI$279,$F2427)*$D2427*INDEX(AI$23:AI$30,$E2427)</f>
        <v/>
      </c>
      <c r="AJ2427" s="35">
        <f>INDEX(AJ$263:AJ$279,$F2427)*$D2427*INDEX(AJ$23:AJ$30,$E2427)</f>
        <v/>
      </c>
      <c r="AK2427" s="35">
        <f>INDEX(AK$263:AK$279,$F2427)*$D2427*INDEX(AK$23:AK$30,$E2427)</f>
        <v/>
      </c>
      <c r="AL2427" s="35">
        <f>INDEX(AL$263:AL$279,$F2427)*$D2427*INDEX(AL$23:AL$30,$E2427)</f>
        <v/>
      </c>
      <c r="AM2427" s="35">
        <f>INDEX(AM$263:AM$279,$F2427)*$D2427*INDEX(AM$23:AM$30,$E2427)</f>
        <v/>
      </c>
      <c r="AN2427" s="35">
        <f>INDEX(AN$263:AN$279,$F2427)*$D2427*INDEX(AN$23:AN$30,$E2427)</f>
        <v/>
      </c>
      <c r="AO2427" s="35">
        <f>INDEX(AO$263:AO$279,$F2427)*$D2427*INDEX(AO$23:AO$30,$E2427)</f>
        <v/>
      </c>
      <c r="AP2427" s="35">
        <f>INDEX(AP$263:AP$279,$F2427)*$D2427*INDEX(AP$23:AP$30,$E2427)</f>
        <v/>
      </c>
      <c r="AQ2427" s="35">
        <f>INDEX(AQ$263:AQ$279,$F2427)*$D2427*INDEX(AQ$23:AQ$30,$E2427)</f>
        <v/>
      </c>
      <c r="AR2427" s="35">
        <f>INDEX(AR$263:AR$279,$F2427)*$D2427*INDEX(AR$23:AR$30,$E2427)</f>
        <v/>
      </c>
      <c r="AS2427" s="35">
        <f>INDEX(AS$263:AS$279,$F2427)*$D2427*INDEX(AS$23:AS$30,$E2427)</f>
        <v/>
      </c>
      <c r="AT2427" s="35">
        <f>INDEX(AT$263:AT$279,$F2427)*$D2427*INDEX(AT$23:AT$30,$E2427)</f>
        <v/>
      </c>
      <c r="AU2427" s="35">
        <f>INDEX(AU$263:AU$279,$F2427)*$D2427*INDEX(AU$23:AU$30,$E2427)</f>
        <v/>
      </c>
      <c r="AV2427" s="35">
        <f>INDEX(AV$263:AV$279,$F2427)*$D2427*INDEX(AV$23:AV$30,$E2427)</f>
        <v/>
      </c>
      <c r="AW2427" s="35">
        <f>INDEX(AW$263:AW$279,$F2427)*$D2427*INDEX(AW$23:AW$30,$E2427)</f>
        <v/>
      </c>
      <c r="AX2427" s="35">
        <f>INDEX(AX$263:AX$279,$F2427)*$D2427*INDEX(AX$23:AX$30,$E2427)</f>
        <v/>
      </c>
      <c r="AY2427" s="35">
        <f>INDEX(AY$263:AY$279,$F2427)*$D2427*INDEX(AY$23:AY$30,$E2427)</f>
        <v/>
      </c>
      <c r="AZ2427" s="35">
        <f>INDEX(AZ$263:AZ$279,$F2427)*$D2427*INDEX(AZ$23:AZ$30,$E2427)</f>
        <v/>
      </c>
      <c r="BA2427" s="42">
        <f>CARBONTAX(INDEX(BA$263:BA$279,$F2427),$D2427,INDEX(BA$23:BA$30,$E2427))</f>
        <v/>
      </c>
    </row>
    <row r="2428" hidden="1" outlineLevel="2">
      <c r="A2428" s="14" t="inlineStr">
        <is>
          <t>ctxnew</t>
        </is>
      </c>
      <c r="B2428" s="14" t="inlineStr">
        <is>
          <t>bio</t>
        </is>
      </c>
      <c r="C2428" s="14" t="inlineStr">
        <is>
          <t>cem</t>
        </is>
      </c>
      <c r="D2428" s="35">
        <f>INDEX(Inputs!$W$5:$W$132,MATCH($B2428&amp;"|"&amp;$C2428,Inputs!$A$5:$A$132,0))</f>
        <v/>
      </c>
      <c r="E2428" s="35">
        <f>INDEX(Inputs!$L$5:$L$132,MATCH($B2428&amp;"|"&amp;$C2428,Inputs!$A$5:$A$132,0))</f>
        <v/>
      </c>
      <c r="F2428" s="35">
        <f>INDEX(Inputs!$M$5:$M$132,MATCH($B2428&amp;"|"&amp;$C2428,Inputs!$A$5:$A$132,0))</f>
        <v/>
      </c>
      <c r="G2428" s="39" t="n"/>
      <c r="H2428" s="14">
        <f>INDEX(VarLab,MATCH($A2428,VarKey,0))&amp;INDEX(MemLab,MATCH($C2428&amp;"|"&amp;$B2428,MemKey,0))</f>
        <v/>
      </c>
      <c r="I2428" s="14">
        <f>INDEX(VarUnit,MATCH($A2428,VarKey,0))</f>
        <v/>
      </c>
      <c r="J2428" s="14">
        <f>INDEX(VarSrc,MATCH($A2428,VarKey,0))</f>
        <v/>
      </c>
      <c r="K2428" s="11">
        <f>CodePrefix&amp;$A2428&amp;IF($C2428="","","."&amp;$C2428&amp;"."&amp;$B2428)&amp;INDEX(VarEnd,MATCH($A2428,VarKey,0))&amp;K$5</f>
        <v/>
      </c>
      <c r="L2428" s="40">
        <f>INDEX(L$263:L$279,$F2428)*$D2428*INDEX(L$23:L$30,$E2428)</f>
        <v/>
      </c>
      <c r="M2428" s="35">
        <f>INDEX(M$263:M$279,$F2428)*$D2428*INDEX(M$23:M$30,$E2428)</f>
        <v/>
      </c>
      <c r="N2428" s="35">
        <f>INDEX(N$263:N$279,$F2428)*$D2428*INDEX(N$23:N$30,$E2428)</f>
        <v/>
      </c>
      <c r="O2428" s="35">
        <f>INDEX(O$263:O$279,$F2428)*$D2428*INDEX(O$23:O$30,$E2428)</f>
        <v/>
      </c>
      <c r="P2428" s="35">
        <f>INDEX(P$263:P$279,$F2428)*$D2428*INDEX(P$23:P$30,$E2428)</f>
        <v/>
      </c>
      <c r="Q2428" s="35">
        <f>INDEX(Q$263:Q$279,$F2428)*$D2428*INDEX(Q$23:Q$30,$E2428)</f>
        <v/>
      </c>
      <c r="R2428" s="35">
        <f>INDEX(R$263:R$279,$F2428)*$D2428*INDEX(R$23:R$30,$E2428)</f>
        <v/>
      </c>
      <c r="S2428" s="35">
        <f>INDEX(S$263:S$279,$F2428)*$D2428*INDEX(S$23:S$30,$E2428)</f>
        <v/>
      </c>
      <c r="T2428" s="35">
        <f>INDEX(T$263:T$279,$F2428)*$D2428*INDEX(T$23:T$30,$E2428)</f>
        <v/>
      </c>
      <c r="U2428" s="35">
        <f>INDEX(U$263:U$279,$F2428)*$D2428*INDEX(U$23:U$30,$E2428)</f>
        <v/>
      </c>
      <c r="V2428" s="35">
        <f>INDEX(V$263:V$279,$F2428)*$D2428*INDEX(V$23:V$30,$E2428)</f>
        <v/>
      </c>
      <c r="W2428" s="35">
        <f>INDEX(W$263:W$279,$F2428)*$D2428*INDEX(W$23:W$30,$E2428)</f>
        <v/>
      </c>
      <c r="X2428" s="35">
        <f>INDEX(X$263:X$279,$F2428)*$D2428*INDEX(X$23:X$30,$E2428)</f>
        <v/>
      </c>
      <c r="Y2428" s="35">
        <f>INDEX(Y$263:Y$279,$F2428)*$D2428*INDEX(Y$23:Y$30,$E2428)</f>
        <v/>
      </c>
      <c r="Z2428" s="35">
        <f>INDEX(Z$263:Z$279,$F2428)*$D2428*INDEX(Z$23:Z$30,$E2428)</f>
        <v/>
      </c>
      <c r="AA2428" s="35">
        <f>INDEX(AA$263:AA$279,$F2428)*$D2428*INDEX(AA$23:AA$30,$E2428)</f>
        <v/>
      </c>
      <c r="AB2428" s="35">
        <f>INDEX(AB$263:AB$279,$F2428)*$D2428*INDEX(AB$23:AB$30,$E2428)</f>
        <v/>
      </c>
      <c r="AC2428" s="35">
        <f>INDEX(AC$263:AC$279,$F2428)*$D2428*INDEX(AC$23:AC$30,$E2428)</f>
        <v/>
      </c>
      <c r="AD2428" s="35">
        <f>INDEX(AD$263:AD$279,$F2428)*$D2428*INDEX(AD$23:AD$30,$E2428)</f>
        <v/>
      </c>
      <c r="AE2428" s="42">
        <f>CARBONTAX(INDEX(AE$263:AE$279,$F2428),$D2428,INDEX(AE$23:AE$30,$E2428))</f>
        <v/>
      </c>
      <c r="AG2428" s="11">
        <f>CodePrefix&amp;$A2428&amp;IF($C2428="","","."&amp;$C2428&amp;"."&amp;$B2428)&amp;INDEX(VarEnd,MATCH($A2428,VarKey,0))&amp;AG$5</f>
        <v/>
      </c>
      <c r="AH2428" s="40">
        <f>INDEX(AH$263:AH$279,$F2428)*$D2428*INDEX(AH$23:AH$30,$E2428)</f>
        <v/>
      </c>
      <c r="AI2428" s="35">
        <f>INDEX(AI$263:AI$279,$F2428)*$D2428*INDEX(AI$23:AI$30,$E2428)</f>
        <v/>
      </c>
      <c r="AJ2428" s="35">
        <f>INDEX(AJ$263:AJ$279,$F2428)*$D2428*INDEX(AJ$23:AJ$30,$E2428)</f>
        <v/>
      </c>
      <c r="AK2428" s="35">
        <f>INDEX(AK$263:AK$279,$F2428)*$D2428*INDEX(AK$23:AK$30,$E2428)</f>
        <v/>
      </c>
      <c r="AL2428" s="35">
        <f>INDEX(AL$263:AL$279,$F2428)*$D2428*INDEX(AL$23:AL$30,$E2428)</f>
        <v/>
      </c>
      <c r="AM2428" s="35">
        <f>INDEX(AM$263:AM$279,$F2428)*$D2428*INDEX(AM$23:AM$30,$E2428)</f>
        <v/>
      </c>
      <c r="AN2428" s="35">
        <f>INDEX(AN$263:AN$279,$F2428)*$D2428*INDEX(AN$23:AN$30,$E2428)</f>
        <v/>
      </c>
      <c r="AO2428" s="35">
        <f>INDEX(AO$263:AO$279,$F2428)*$D2428*INDEX(AO$23:AO$30,$E2428)</f>
        <v/>
      </c>
      <c r="AP2428" s="35">
        <f>INDEX(AP$263:AP$279,$F2428)*$D2428*INDEX(AP$23:AP$30,$E2428)</f>
        <v/>
      </c>
      <c r="AQ2428" s="35">
        <f>INDEX(AQ$263:AQ$279,$F2428)*$D2428*INDEX(AQ$23:AQ$30,$E2428)</f>
        <v/>
      </c>
      <c r="AR2428" s="35">
        <f>INDEX(AR$263:AR$279,$F2428)*$D2428*INDEX(AR$23:AR$30,$E2428)</f>
        <v/>
      </c>
      <c r="AS2428" s="35">
        <f>INDEX(AS$263:AS$279,$F2428)*$D2428*INDEX(AS$23:AS$30,$E2428)</f>
        <v/>
      </c>
      <c r="AT2428" s="35">
        <f>INDEX(AT$263:AT$279,$F2428)*$D2428*INDEX(AT$23:AT$30,$E2428)</f>
        <v/>
      </c>
      <c r="AU2428" s="35">
        <f>INDEX(AU$263:AU$279,$F2428)*$D2428*INDEX(AU$23:AU$30,$E2428)</f>
        <v/>
      </c>
      <c r="AV2428" s="35">
        <f>INDEX(AV$263:AV$279,$F2428)*$D2428*INDEX(AV$23:AV$30,$E2428)</f>
        <v/>
      </c>
      <c r="AW2428" s="35">
        <f>INDEX(AW$263:AW$279,$F2428)*$D2428*INDEX(AW$23:AW$30,$E2428)</f>
        <v/>
      </c>
      <c r="AX2428" s="35">
        <f>INDEX(AX$263:AX$279,$F2428)*$D2428*INDEX(AX$23:AX$30,$E2428)</f>
        <v/>
      </c>
      <c r="AY2428" s="35">
        <f>INDEX(AY$263:AY$279,$F2428)*$D2428*INDEX(AY$23:AY$30,$E2428)</f>
        <v/>
      </c>
      <c r="AZ2428" s="35">
        <f>INDEX(AZ$263:AZ$279,$F2428)*$D2428*INDEX(AZ$23:AZ$30,$E2428)</f>
        <v/>
      </c>
      <c r="BA2428" s="42">
        <f>CARBONTAX(INDEX(BA$263:BA$279,$F2428),$D2428,INDEX(BA$23:BA$30,$E2428))</f>
        <v/>
      </c>
    </row>
    <row r="2429" hidden="1" outlineLevel="2"/>
    <row r="2430" hidden="1" outlineLevel="2">
      <c r="A2430" s="14" t="inlineStr">
        <is>
          <t>ets</t>
        </is>
      </c>
      <c r="B2430" s="14" t="inlineStr">
        <is>
          <t>coa</t>
        </is>
      </c>
      <c r="C2430" s="14" t="inlineStr">
        <is>
          <t>cem</t>
        </is>
      </c>
      <c r="D2430" s="35">
        <f>INDEX(Inputs!$W$5:$W$132,MATCH($B2430&amp;"|"&amp;$C2430,Inputs!$A$5:$A$132,0))</f>
        <v/>
      </c>
      <c r="E2430" s="35">
        <f>INDEX(Inputs!$M$5:$M$132,MATCH($B2430&amp;"|"&amp;$C2430,Inputs!$A$5:$A$132,0))</f>
        <v/>
      </c>
      <c r="F2430" s="39" t="n"/>
      <c r="G2430" s="39" t="n"/>
      <c r="H2430" s="14">
        <f>INDEX(VarLab,MATCH($A2430,VarKey,0))&amp;INDEX(MemLab,MATCH($C2430&amp;"|"&amp;$B2430,MemKey,0))</f>
        <v/>
      </c>
      <c r="I2430" s="14">
        <f>INDEX(VarUnit,MATCH($A2430,VarKey,0))</f>
        <v/>
      </c>
      <c r="J2430" s="14">
        <f>INDEX(VarSrc,MATCH($A2430,VarKey,0))</f>
        <v/>
      </c>
      <c r="K2430" s="11">
        <f>CodePrefix&amp;$A2430&amp;IF($C2430="","","."&amp;$C2430&amp;"."&amp;$B2430)&amp;INDEX(VarEnd,MATCH($A2430,VarKey,0))&amp;K$5</f>
        <v/>
      </c>
      <c r="L2430" s="40">
        <f>INDEX(L$280:L$296,$E2430)*$D2430</f>
        <v/>
      </c>
      <c r="M2430" s="35">
        <f>INDEX(M$280:M$296,$E2430)*$D2430</f>
        <v/>
      </c>
      <c r="N2430" s="35">
        <f>INDEX(N$280:N$296,$E2430)*$D2430</f>
        <v/>
      </c>
      <c r="O2430" s="35">
        <f>INDEX(O$280:O$296,$E2430)*$D2430</f>
        <v/>
      </c>
      <c r="P2430" s="35">
        <f>INDEX(P$280:P$296,$E2430)*$D2430</f>
        <v/>
      </c>
      <c r="Q2430" s="35">
        <f>INDEX(Q$280:Q$296,$E2430)*$D2430</f>
        <v/>
      </c>
      <c r="R2430" s="35">
        <f>INDEX(R$280:R$296,$E2430)*$D2430</f>
        <v/>
      </c>
      <c r="S2430" s="35">
        <f>INDEX(S$280:S$296,$E2430)*$D2430</f>
        <v/>
      </c>
      <c r="T2430" s="35">
        <f>INDEX(T$280:T$296,$E2430)*$D2430</f>
        <v/>
      </c>
      <c r="U2430" s="35">
        <f>INDEX(U$280:U$296,$E2430)*$D2430</f>
        <v/>
      </c>
      <c r="V2430" s="35">
        <f>INDEX(V$280:V$296,$E2430)*$D2430</f>
        <v/>
      </c>
      <c r="W2430" s="35">
        <f>INDEX(W$280:W$296,$E2430)*$D2430</f>
        <v/>
      </c>
      <c r="X2430" s="35">
        <f>INDEX(X$280:X$296,$E2430)*$D2430</f>
        <v/>
      </c>
      <c r="Y2430" s="35">
        <f>INDEX(Y$280:Y$296,$E2430)*$D2430</f>
        <v/>
      </c>
      <c r="Z2430" s="35">
        <f>INDEX(Z$280:Z$296,$E2430)*$D2430</f>
        <v/>
      </c>
      <c r="AA2430" s="35">
        <f>INDEX(AA$280:AA$296,$E2430)*$D2430</f>
        <v/>
      </c>
      <c r="AB2430" s="35">
        <f>INDEX(AB$280:AB$296,$E2430)*$D2430</f>
        <v/>
      </c>
      <c r="AC2430" s="35">
        <f>INDEX(AC$280:AC$296,$E2430)*$D2430</f>
        <v/>
      </c>
      <c r="AD2430" s="35">
        <f>INDEX(AD$280:AD$296,$E2430)*$D2430</f>
        <v/>
      </c>
      <c r="AE2430" s="42">
        <f>ETSCOST(INDEX(AE$280:AE$296,$E2430),$D2430)</f>
        <v/>
      </c>
      <c r="AG2430" s="11">
        <f>CodePrefix&amp;$A2430&amp;IF($C2430="","","."&amp;$C2430&amp;"."&amp;$B2430)&amp;INDEX(VarEnd,MATCH($A2430,VarKey,0))&amp;AG$5</f>
        <v/>
      </c>
      <c r="AH2430" s="40">
        <f>INDEX(AH$280:AH$296,$E2430)*$D2430</f>
        <v/>
      </c>
      <c r="AI2430" s="35">
        <f>INDEX(AI$280:AI$296,$E2430)*$D2430</f>
        <v/>
      </c>
      <c r="AJ2430" s="35">
        <f>INDEX(AJ$280:AJ$296,$E2430)*$D2430</f>
        <v/>
      </c>
      <c r="AK2430" s="35">
        <f>INDEX(AK$280:AK$296,$E2430)*$D2430</f>
        <v/>
      </c>
      <c r="AL2430" s="35">
        <f>INDEX(AL$280:AL$296,$E2430)*$D2430</f>
        <v/>
      </c>
      <c r="AM2430" s="35">
        <f>INDEX(AM$280:AM$296,$E2430)*$D2430</f>
        <v/>
      </c>
      <c r="AN2430" s="35">
        <f>INDEX(AN$280:AN$296,$E2430)*$D2430</f>
        <v/>
      </c>
      <c r="AO2430" s="35">
        <f>INDEX(AO$280:AO$296,$E2430)*$D2430</f>
        <v/>
      </c>
      <c r="AP2430" s="35">
        <f>INDEX(AP$280:AP$296,$E2430)*$D2430</f>
        <v/>
      </c>
      <c r="AQ2430" s="35">
        <f>INDEX(AQ$280:AQ$296,$E2430)*$D2430</f>
        <v/>
      </c>
      <c r="AR2430" s="35">
        <f>INDEX(AR$280:AR$296,$E2430)*$D2430</f>
        <v/>
      </c>
      <c r="AS2430" s="35">
        <f>INDEX(AS$280:AS$296,$E2430)*$D2430</f>
        <v/>
      </c>
      <c r="AT2430" s="35">
        <f>INDEX(AT$280:AT$296,$E2430)*$D2430</f>
        <v/>
      </c>
      <c r="AU2430" s="35">
        <f>INDEX(AU$280:AU$296,$E2430)*$D2430</f>
        <v/>
      </c>
      <c r="AV2430" s="35">
        <f>INDEX(AV$280:AV$296,$E2430)*$D2430</f>
        <v/>
      </c>
      <c r="AW2430" s="35">
        <f>INDEX(AW$280:AW$296,$E2430)*$D2430</f>
        <v/>
      </c>
      <c r="AX2430" s="35">
        <f>INDEX(AX$280:AX$296,$E2430)*$D2430</f>
        <v/>
      </c>
      <c r="AY2430" s="35">
        <f>INDEX(AY$280:AY$296,$E2430)*$D2430</f>
        <v/>
      </c>
      <c r="AZ2430" s="35">
        <f>INDEX(AZ$280:AZ$296,$E2430)*$D2430</f>
        <v/>
      </c>
      <c r="BA2430" s="42">
        <f>ETSCOST(INDEX(BA$280:BA$296,$E2430),$D2430)</f>
        <v/>
      </c>
    </row>
    <row r="2431" hidden="1" outlineLevel="2">
      <c r="A2431" s="14" t="inlineStr">
        <is>
          <t>ets</t>
        </is>
      </c>
      <c r="B2431" s="14" t="inlineStr">
        <is>
          <t>nga</t>
        </is>
      </c>
      <c r="C2431" s="14" t="inlineStr">
        <is>
          <t>cem</t>
        </is>
      </c>
      <c r="D2431" s="35">
        <f>INDEX(Inputs!$W$5:$W$132,MATCH($B2431&amp;"|"&amp;$C2431,Inputs!$A$5:$A$132,0))</f>
        <v/>
      </c>
      <c r="E2431" s="35">
        <f>INDEX(Inputs!$M$5:$M$132,MATCH($B2431&amp;"|"&amp;$C2431,Inputs!$A$5:$A$132,0))</f>
        <v/>
      </c>
      <c r="F2431" s="39" t="n"/>
      <c r="G2431" s="39" t="n"/>
      <c r="H2431" s="14">
        <f>INDEX(VarLab,MATCH($A2431,VarKey,0))&amp;INDEX(MemLab,MATCH($C2431&amp;"|"&amp;$B2431,MemKey,0))</f>
        <v/>
      </c>
      <c r="I2431" s="14">
        <f>INDEX(VarUnit,MATCH($A2431,VarKey,0))</f>
        <v/>
      </c>
      <c r="J2431" s="14">
        <f>INDEX(VarSrc,MATCH($A2431,VarKey,0))</f>
        <v/>
      </c>
      <c r="K2431" s="11">
        <f>CodePrefix&amp;$A2431&amp;IF($C2431="","","."&amp;$C2431&amp;"."&amp;$B2431)&amp;INDEX(VarEnd,MATCH($A2431,VarKey,0))&amp;K$5</f>
        <v/>
      </c>
      <c r="L2431" s="40">
        <f>INDEX(L$280:L$296,$E2431)*$D2431</f>
        <v/>
      </c>
      <c r="M2431" s="35">
        <f>INDEX(M$280:M$296,$E2431)*$D2431</f>
        <v/>
      </c>
      <c r="N2431" s="35">
        <f>INDEX(N$280:N$296,$E2431)*$D2431</f>
        <v/>
      </c>
      <c r="O2431" s="35">
        <f>INDEX(O$280:O$296,$E2431)*$D2431</f>
        <v/>
      </c>
      <c r="P2431" s="35">
        <f>INDEX(P$280:P$296,$E2431)*$D2431</f>
        <v/>
      </c>
      <c r="Q2431" s="35">
        <f>INDEX(Q$280:Q$296,$E2431)*$D2431</f>
        <v/>
      </c>
      <c r="R2431" s="35">
        <f>INDEX(R$280:R$296,$E2431)*$D2431</f>
        <v/>
      </c>
      <c r="S2431" s="35">
        <f>INDEX(S$280:S$296,$E2431)*$D2431</f>
        <v/>
      </c>
      <c r="T2431" s="35">
        <f>INDEX(T$280:T$296,$E2431)*$D2431</f>
        <v/>
      </c>
      <c r="U2431" s="35">
        <f>INDEX(U$280:U$296,$E2431)*$D2431</f>
        <v/>
      </c>
      <c r="V2431" s="35">
        <f>INDEX(V$280:V$296,$E2431)*$D2431</f>
        <v/>
      </c>
      <c r="W2431" s="35">
        <f>INDEX(W$280:W$296,$E2431)*$D2431</f>
        <v/>
      </c>
      <c r="X2431" s="35">
        <f>INDEX(X$280:X$296,$E2431)*$D2431</f>
        <v/>
      </c>
      <c r="Y2431" s="35">
        <f>INDEX(Y$280:Y$296,$E2431)*$D2431</f>
        <v/>
      </c>
      <c r="Z2431" s="35">
        <f>INDEX(Z$280:Z$296,$E2431)*$D2431</f>
        <v/>
      </c>
      <c r="AA2431" s="35">
        <f>INDEX(AA$280:AA$296,$E2431)*$D2431</f>
        <v/>
      </c>
      <c r="AB2431" s="35">
        <f>INDEX(AB$280:AB$296,$E2431)*$D2431</f>
        <v/>
      </c>
      <c r="AC2431" s="35">
        <f>INDEX(AC$280:AC$296,$E2431)*$D2431</f>
        <v/>
      </c>
      <c r="AD2431" s="35">
        <f>INDEX(AD$280:AD$296,$E2431)*$D2431</f>
        <v/>
      </c>
      <c r="AE2431" s="42">
        <f>ETSCOST(INDEX(AE$280:AE$296,$E2431),$D2431)</f>
        <v/>
      </c>
      <c r="AG2431" s="11">
        <f>CodePrefix&amp;$A2431&amp;IF($C2431="","","."&amp;$C2431&amp;"."&amp;$B2431)&amp;INDEX(VarEnd,MATCH($A2431,VarKey,0))&amp;AG$5</f>
        <v/>
      </c>
      <c r="AH2431" s="40">
        <f>INDEX(AH$280:AH$296,$E2431)*$D2431</f>
        <v/>
      </c>
      <c r="AI2431" s="35">
        <f>INDEX(AI$280:AI$296,$E2431)*$D2431</f>
        <v/>
      </c>
      <c r="AJ2431" s="35">
        <f>INDEX(AJ$280:AJ$296,$E2431)*$D2431</f>
        <v/>
      </c>
      <c r="AK2431" s="35">
        <f>INDEX(AK$280:AK$296,$E2431)*$D2431</f>
        <v/>
      </c>
      <c r="AL2431" s="35">
        <f>INDEX(AL$280:AL$296,$E2431)*$D2431</f>
        <v/>
      </c>
      <c r="AM2431" s="35">
        <f>INDEX(AM$280:AM$296,$E2431)*$D2431</f>
        <v/>
      </c>
      <c r="AN2431" s="35">
        <f>INDEX(AN$280:AN$296,$E2431)*$D2431</f>
        <v/>
      </c>
      <c r="AO2431" s="35">
        <f>INDEX(AO$280:AO$296,$E2431)*$D2431</f>
        <v/>
      </c>
      <c r="AP2431" s="35">
        <f>INDEX(AP$280:AP$296,$E2431)*$D2431</f>
        <v/>
      </c>
      <c r="AQ2431" s="35">
        <f>INDEX(AQ$280:AQ$296,$E2431)*$D2431</f>
        <v/>
      </c>
      <c r="AR2431" s="35">
        <f>INDEX(AR$280:AR$296,$E2431)*$D2431</f>
        <v/>
      </c>
      <c r="AS2431" s="35">
        <f>INDEX(AS$280:AS$296,$E2431)*$D2431</f>
        <v/>
      </c>
      <c r="AT2431" s="35">
        <f>INDEX(AT$280:AT$296,$E2431)*$D2431</f>
        <v/>
      </c>
      <c r="AU2431" s="35">
        <f>INDEX(AU$280:AU$296,$E2431)*$D2431</f>
        <v/>
      </c>
      <c r="AV2431" s="35">
        <f>INDEX(AV$280:AV$296,$E2431)*$D2431</f>
        <v/>
      </c>
      <c r="AW2431" s="35">
        <f>INDEX(AW$280:AW$296,$E2431)*$D2431</f>
        <v/>
      </c>
      <c r="AX2431" s="35">
        <f>INDEX(AX$280:AX$296,$E2431)*$D2431</f>
        <v/>
      </c>
      <c r="AY2431" s="35">
        <f>INDEX(AY$280:AY$296,$E2431)*$D2431</f>
        <v/>
      </c>
      <c r="AZ2431" s="35">
        <f>INDEX(AZ$280:AZ$296,$E2431)*$D2431</f>
        <v/>
      </c>
      <c r="BA2431" s="42">
        <f>ETSCOST(INDEX(BA$280:BA$296,$E2431),$D2431)</f>
        <v/>
      </c>
    </row>
    <row r="2432" hidden="1" outlineLevel="2">
      <c r="A2432" s="14" t="inlineStr">
        <is>
          <t>ets</t>
        </is>
      </c>
      <c r="B2432" s="14" t="inlineStr">
        <is>
          <t>gso</t>
        </is>
      </c>
      <c r="C2432" s="14" t="inlineStr">
        <is>
          <t>cem</t>
        </is>
      </c>
      <c r="D2432" s="35">
        <f>INDEX(Inputs!$W$5:$W$132,MATCH($B2432&amp;"|"&amp;$C2432,Inputs!$A$5:$A$132,0))</f>
        <v/>
      </c>
      <c r="E2432" s="35">
        <f>INDEX(Inputs!$M$5:$M$132,MATCH($B2432&amp;"|"&amp;$C2432,Inputs!$A$5:$A$132,0))</f>
        <v/>
      </c>
      <c r="F2432" s="39" t="n"/>
      <c r="G2432" s="39" t="n"/>
      <c r="H2432" s="14">
        <f>INDEX(VarLab,MATCH($A2432,VarKey,0))&amp;INDEX(MemLab,MATCH($C2432&amp;"|"&amp;$B2432,MemKey,0))</f>
        <v/>
      </c>
      <c r="I2432" s="14">
        <f>INDEX(VarUnit,MATCH($A2432,VarKey,0))</f>
        <v/>
      </c>
      <c r="J2432" s="14">
        <f>INDEX(VarSrc,MATCH($A2432,VarKey,0))</f>
        <v/>
      </c>
      <c r="K2432" s="11">
        <f>CodePrefix&amp;$A2432&amp;IF($C2432="","","."&amp;$C2432&amp;"."&amp;$B2432)&amp;INDEX(VarEnd,MATCH($A2432,VarKey,0))&amp;K$5</f>
        <v/>
      </c>
      <c r="L2432" s="40">
        <f>INDEX(L$280:L$296,$E2432)*$D2432</f>
        <v/>
      </c>
      <c r="M2432" s="35">
        <f>INDEX(M$280:M$296,$E2432)*$D2432</f>
        <v/>
      </c>
      <c r="N2432" s="35">
        <f>INDEX(N$280:N$296,$E2432)*$D2432</f>
        <v/>
      </c>
      <c r="O2432" s="35">
        <f>INDEX(O$280:O$296,$E2432)*$D2432</f>
        <v/>
      </c>
      <c r="P2432" s="35">
        <f>INDEX(P$280:P$296,$E2432)*$D2432</f>
        <v/>
      </c>
      <c r="Q2432" s="35">
        <f>INDEX(Q$280:Q$296,$E2432)*$D2432</f>
        <v/>
      </c>
      <c r="R2432" s="35">
        <f>INDEX(R$280:R$296,$E2432)*$D2432</f>
        <v/>
      </c>
      <c r="S2432" s="35">
        <f>INDEX(S$280:S$296,$E2432)*$D2432</f>
        <v/>
      </c>
      <c r="T2432" s="35">
        <f>INDEX(T$280:T$296,$E2432)*$D2432</f>
        <v/>
      </c>
      <c r="U2432" s="35">
        <f>INDEX(U$280:U$296,$E2432)*$D2432</f>
        <v/>
      </c>
      <c r="V2432" s="35">
        <f>INDEX(V$280:V$296,$E2432)*$D2432</f>
        <v/>
      </c>
      <c r="W2432" s="35">
        <f>INDEX(W$280:W$296,$E2432)*$D2432</f>
        <v/>
      </c>
      <c r="X2432" s="35">
        <f>INDEX(X$280:X$296,$E2432)*$D2432</f>
        <v/>
      </c>
      <c r="Y2432" s="35">
        <f>INDEX(Y$280:Y$296,$E2432)*$D2432</f>
        <v/>
      </c>
      <c r="Z2432" s="35">
        <f>INDEX(Z$280:Z$296,$E2432)*$D2432</f>
        <v/>
      </c>
      <c r="AA2432" s="35">
        <f>INDEX(AA$280:AA$296,$E2432)*$D2432</f>
        <v/>
      </c>
      <c r="AB2432" s="35">
        <f>INDEX(AB$280:AB$296,$E2432)*$D2432</f>
        <v/>
      </c>
      <c r="AC2432" s="35">
        <f>INDEX(AC$280:AC$296,$E2432)*$D2432</f>
        <v/>
      </c>
      <c r="AD2432" s="35">
        <f>INDEX(AD$280:AD$296,$E2432)*$D2432</f>
        <v/>
      </c>
      <c r="AE2432" s="42">
        <f>ETSCOST(INDEX(AE$280:AE$296,$E2432),$D2432)</f>
        <v/>
      </c>
      <c r="AG2432" s="11">
        <f>CodePrefix&amp;$A2432&amp;IF($C2432="","","."&amp;$C2432&amp;"."&amp;$B2432)&amp;INDEX(VarEnd,MATCH($A2432,VarKey,0))&amp;AG$5</f>
        <v/>
      </c>
      <c r="AH2432" s="40">
        <f>INDEX(AH$280:AH$296,$E2432)*$D2432</f>
        <v/>
      </c>
      <c r="AI2432" s="35">
        <f>INDEX(AI$280:AI$296,$E2432)*$D2432</f>
        <v/>
      </c>
      <c r="AJ2432" s="35">
        <f>INDEX(AJ$280:AJ$296,$E2432)*$D2432</f>
        <v/>
      </c>
      <c r="AK2432" s="35">
        <f>INDEX(AK$280:AK$296,$E2432)*$D2432</f>
        <v/>
      </c>
      <c r="AL2432" s="35">
        <f>INDEX(AL$280:AL$296,$E2432)*$D2432</f>
        <v/>
      </c>
      <c r="AM2432" s="35">
        <f>INDEX(AM$280:AM$296,$E2432)*$D2432</f>
        <v/>
      </c>
      <c r="AN2432" s="35">
        <f>INDEX(AN$280:AN$296,$E2432)*$D2432</f>
        <v/>
      </c>
      <c r="AO2432" s="35">
        <f>INDEX(AO$280:AO$296,$E2432)*$D2432</f>
        <v/>
      </c>
      <c r="AP2432" s="35">
        <f>INDEX(AP$280:AP$296,$E2432)*$D2432</f>
        <v/>
      </c>
      <c r="AQ2432" s="35">
        <f>INDEX(AQ$280:AQ$296,$E2432)*$D2432</f>
        <v/>
      </c>
      <c r="AR2432" s="35">
        <f>INDEX(AR$280:AR$296,$E2432)*$D2432</f>
        <v/>
      </c>
      <c r="AS2432" s="35">
        <f>INDEX(AS$280:AS$296,$E2432)*$D2432</f>
        <v/>
      </c>
      <c r="AT2432" s="35">
        <f>INDEX(AT$280:AT$296,$E2432)*$D2432</f>
        <v/>
      </c>
      <c r="AU2432" s="35">
        <f>INDEX(AU$280:AU$296,$E2432)*$D2432</f>
        <v/>
      </c>
      <c r="AV2432" s="35">
        <f>INDEX(AV$280:AV$296,$E2432)*$D2432</f>
        <v/>
      </c>
      <c r="AW2432" s="35">
        <f>INDEX(AW$280:AW$296,$E2432)*$D2432</f>
        <v/>
      </c>
      <c r="AX2432" s="35">
        <f>INDEX(AX$280:AX$296,$E2432)*$D2432</f>
        <v/>
      </c>
      <c r="AY2432" s="35">
        <f>INDEX(AY$280:AY$296,$E2432)*$D2432</f>
        <v/>
      </c>
      <c r="AZ2432" s="35">
        <f>INDEX(AZ$280:AZ$296,$E2432)*$D2432</f>
        <v/>
      </c>
      <c r="BA2432" s="42">
        <f>ETSCOST(INDEX(BA$280:BA$296,$E2432),$D2432)</f>
        <v/>
      </c>
    </row>
    <row r="2433" hidden="1" outlineLevel="2">
      <c r="A2433" s="14" t="inlineStr">
        <is>
          <t>ets</t>
        </is>
      </c>
      <c r="B2433" s="14" t="inlineStr">
        <is>
          <t>die</t>
        </is>
      </c>
      <c r="C2433" s="14" t="inlineStr">
        <is>
          <t>cem</t>
        </is>
      </c>
      <c r="D2433" s="35">
        <f>INDEX(Inputs!$W$5:$W$132,MATCH($B2433&amp;"|"&amp;$C2433,Inputs!$A$5:$A$132,0))</f>
        <v/>
      </c>
      <c r="E2433" s="35">
        <f>INDEX(Inputs!$M$5:$M$132,MATCH($B2433&amp;"|"&amp;$C2433,Inputs!$A$5:$A$132,0))</f>
        <v/>
      </c>
      <c r="F2433" s="39" t="n"/>
      <c r="G2433" s="39" t="n"/>
      <c r="H2433" s="14">
        <f>INDEX(VarLab,MATCH($A2433,VarKey,0))&amp;INDEX(MemLab,MATCH($C2433&amp;"|"&amp;$B2433,MemKey,0))</f>
        <v/>
      </c>
      <c r="I2433" s="14">
        <f>INDEX(VarUnit,MATCH($A2433,VarKey,0))</f>
        <v/>
      </c>
      <c r="J2433" s="14">
        <f>INDEX(VarSrc,MATCH($A2433,VarKey,0))</f>
        <v/>
      </c>
      <c r="K2433" s="11">
        <f>CodePrefix&amp;$A2433&amp;IF($C2433="","","."&amp;$C2433&amp;"."&amp;$B2433)&amp;INDEX(VarEnd,MATCH($A2433,VarKey,0))&amp;K$5</f>
        <v/>
      </c>
      <c r="L2433" s="40">
        <f>INDEX(L$280:L$296,$E2433)*$D2433</f>
        <v/>
      </c>
      <c r="M2433" s="35">
        <f>INDEX(M$280:M$296,$E2433)*$D2433</f>
        <v/>
      </c>
      <c r="N2433" s="35">
        <f>INDEX(N$280:N$296,$E2433)*$D2433</f>
        <v/>
      </c>
      <c r="O2433" s="35">
        <f>INDEX(O$280:O$296,$E2433)*$D2433</f>
        <v/>
      </c>
      <c r="P2433" s="35">
        <f>INDEX(P$280:P$296,$E2433)*$D2433</f>
        <v/>
      </c>
      <c r="Q2433" s="35">
        <f>INDEX(Q$280:Q$296,$E2433)*$D2433</f>
        <v/>
      </c>
      <c r="R2433" s="35">
        <f>INDEX(R$280:R$296,$E2433)*$D2433</f>
        <v/>
      </c>
      <c r="S2433" s="35">
        <f>INDEX(S$280:S$296,$E2433)*$D2433</f>
        <v/>
      </c>
      <c r="T2433" s="35">
        <f>INDEX(T$280:T$296,$E2433)*$D2433</f>
        <v/>
      </c>
      <c r="U2433" s="35">
        <f>INDEX(U$280:U$296,$E2433)*$D2433</f>
        <v/>
      </c>
      <c r="V2433" s="35">
        <f>INDEX(V$280:V$296,$E2433)*$D2433</f>
        <v/>
      </c>
      <c r="W2433" s="35">
        <f>INDEX(W$280:W$296,$E2433)*$D2433</f>
        <v/>
      </c>
      <c r="X2433" s="35">
        <f>INDEX(X$280:X$296,$E2433)*$D2433</f>
        <v/>
      </c>
      <c r="Y2433" s="35">
        <f>INDEX(Y$280:Y$296,$E2433)*$D2433</f>
        <v/>
      </c>
      <c r="Z2433" s="35">
        <f>INDEX(Z$280:Z$296,$E2433)*$D2433</f>
        <v/>
      </c>
      <c r="AA2433" s="35">
        <f>INDEX(AA$280:AA$296,$E2433)*$D2433</f>
        <v/>
      </c>
      <c r="AB2433" s="35">
        <f>INDEX(AB$280:AB$296,$E2433)*$D2433</f>
        <v/>
      </c>
      <c r="AC2433" s="35">
        <f>INDEX(AC$280:AC$296,$E2433)*$D2433</f>
        <v/>
      </c>
      <c r="AD2433" s="35">
        <f>INDEX(AD$280:AD$296,$E2433)*$D2433</f>
        <v/>
      </c>
      <c r="AE2433" s="42">
        <f>ETSCOST(INDEX(AE$280:AE$296,$E2433),$D2433)</f>
        <v/>
      </c>
      <c r="AG2433" s="11">
        <f>CodePrefix&amp;$A2433&amp;IF($C2433="","","."&amp;$C2433&amp;"."&amp;$B2433)&amp;INDEX(VarEnd,MATCH($A2433,VarKey,0))&amp;AG$5</f>
        <v/>
      </c>
      <c r="AH2433" s="40">
        <f>INDEX(AH$280:AH$296,$E2433)*$D2433</f>
        <v/>
      </c>
      <c r="AI2433" s="35">
        <f>INDEX(AI$280:AI$296,$E2433)*$D2433</f>
        <v/>
      </c>
      <c r="AJ2433" s="35">
        <f>INDEX(AJ$280:AJ$296,$E2433)*$D2433</f>
        <v/>
      </c>
      <c r="AK2433" s="35">
        <f>INDEX(AK$280:AK$296,$E2433)*$D2433</f>
        <v/>
      </c>
      <c r="AL2433" s="35">
        <f>INDEX(AL$280:AL$296,$E2433)*$D2433</f>
        <v/>
      </c>
      <c r="AM2433" s="35">
        <f>INDEX(AM$280:AM$296,$E2433)*$D2433</f>
        <v/>
      </c>
      <c r="AN2433" s="35">
        <f>INDEX(AN$280:AN$296,$E2433)*$D2433</f>
        <v/>
      </c>
      <c r="AO2433" s="35">
        <f>INDEX(AO$280:AO$296,$E2433)*$D2433</f>
        <v/>
      </c>
      <c r="AP2433" s="35">
        <f>INDEX(AP$280:AP$296,$E2433)*$D2433</f>
        <v/>
      </c>
      <c r="AQ2433" s="35">
        <f>INDEX(AQ$280:AQ$296,$E2433)*$D2433</f>
        <v/>
      </c>
      <c r="AR2433" s="35">
        <f>INDEX(AR$280:AR$296,$E2433)*$D2433</f>
        <v/>
      </c>
      <c r="AS2433" s="35">
        <f>INDEX(AS$280:AS$296,$E2433)*$D2433</f>
        <v/>
      </c>
      <c r="AT2433" s="35">
        <f>INDEX(AT$280:AT$296,$E2433)*$D2433</f>
        <v/>
      </c>
      <c r="AU2433" s="35">
        <f>INDEX(AU$280:AU$296,$E2433)*$D2433</f>
        <v/>
      </c>
      <c r="AV2433" s="35">
        <f>INDEX(AV$280:AV$296,$E2433)*$D2433</f>
        <v/>
      </c>
      <c r="AW2433" s="35">
        <f>INDEX(AW$280:AW$296,$E2433)*$D2433</f>
        <v/>
      </c>
      <c r="AX2433" s="35">
        <f>INDEX(AX$280:AX$296,$E2433)*$D2433</f>
        <v/>
      </c>
      <c r="AY2433" s="35">
        <f>INDEX(AY$280:AY$296,$E2433)*$D2433</f>
        <v/>
      </c>
      <c r="AZ2433" s="35">
        <f>INDEX(AZ$280:AZ$296,$E2433)*$D2433</f>
        <v/>
      </c>
      <c r="BA2433" s="42">
        <f>ETSCOST(INDEX(BA$280:BA$296,$E2433),$D2433)</f>
        <v/>
      </c>
    </row>
    <row r="2434" hidden="1" outlineLevel="2">
      <c r="A2434" s="14" t="inlineStr">
        <is>
          <t>ets</t>
        </is>
      </c>
      <c r="B2434" s="14" t="inlineStr">
        <is>
          <t>lpg</t>
        </is>
      </c>
      <c r="C2434" s="14" t="inlineStr">
        <is>
          <t>cem</t>
        </is>
      </c>
      <c r="D2434" s="35">
        <f>INDEX(Inputs!$W$5:$W$132,MATCH($B2434&amp;"|"&amp;$C2434,Inputs!$A$5:$A$132,0))</f>
        <v/>
      </c>
      <c r="E2434" s="35">
        <f>INDEX(Inputs!$M$5:$M$132,MATCH($B2434&amp;"|"&amp;$C2434,Inputs!$A$5:$A$132,0))</f>
        <v/>
      </c>
      <c r="F2434" s="39" t="n"/>
      <c r="G2434" s="39" t="n"/>
      <c r="H2434" s="14">
        <f>INDEX(VarLab,MATCH($A2434,VarKey,0))&amp;INDEX(MemLab,MATCH($C2434&amp;"|"&amp;$B2434,MemKey,0))</f>
        <v/>
      </c>
      <c r="I2434" s="14">
        <f>INDEX(VarUnit,MATCH($A2434,VarKey,0))</f>
        <v/>
      </c>
      <c r="J2434" s="14">
        <f>INDEX(VarSrc,MATCH($A2434,VarKey,0))</f>
        <v/>
      </c>
      <c r="K2434" s="11">
        <f>CodePrefix&amp;$A2434&amp;IF($C2434="","","."&amp;$C2434&amp;"."&amp;$B2434)&amp;INDEX(VarEnd,MATCH($A2434,VarKey,0))&amp;K$5</f>
        <v/>
      </c>
      <c r="L2434" s="40">
        <f>INDEX(L$280:L$296,$E2434)*$D2434</f>
        <v/>
      </c>
      <c r="M2434" s="35">
        <f>INDEX(M$280:M$296,$E2434)*$D2434</f>
        <v/>
      </c>
      <c r="N2434" s="35">
        <f>INDEX(N$280:N$296,$E2434)*$D2434</f>
        <v/>
      </c>
      <c r="O2434" s="35">
        <f>INDEX(O$280:O$296,$E2434)*$D2434</f>
        <v/>
      </c>
      <c r="P2434" s="35">
        <f>INDEX(P$280:P$296,$E2434)*$D2434</f>
        <v/>
      </c>
      <c r="Q2434" s="35">
        <f>INDEX(Q$280:Q$296,$E2434)*$D2434</f>
        <v/>
      </c>
      <c r="R2434" s="35">
        <f>INDEX(R$280:R$296,$E2434)*$D2434</f>
        <v/>
      </c>
      <c r="S2434" s="35">
        <f>INDEX(S$280:S$296,$E2434)*$D2434</f>
        <v/>
      </c>
      <c r="T2434" s="35">
        <f>INDEX(T$280:T$296,$E2434)*$D2434</f>
        <v/>
      </c>
      <c r="U2434" s="35">
        <f>INDEX(U$280:U$296,$E2434)*$D2434</f>
        <v/>
      </c>
      <c r="V2434" s="35">
        <f>INDEX(V$280:V$296,$E2434)*$D2434</f>
        <v/>
      </c>
      <c r="W2434" s="35">
        <f>INDEX(W$280:W$296,$E2434)*$D2434</f>
        <v/>
      </c>
      <c r="X2434" s="35">
        <f>INDEX(X$280:X$296,$E2434)*$D2434</f>
        <v/>
      </c>
      <c r="Y2434" s="35">
        <f>INDEX(Y$280:Y$296,$E2434)*$D2434</f>
        <v/>
      </c>
      <c r="Z2434" s="35">
        <f>INDEX(Z$280:Z$296,$E2434)*$D2434</f>
        <v/>
      </c>
      <c r="AA2434" s="35">
        <f>INDEX(AA$280:AA$296,$E2434)*$D2434</f>
        <v/>
      </c>
      <c r="AB2434" s="35">
        <f>INDEX(AB$280:AB$296,$E2434)*$D2434</f>
        <v/>
      </c>
      <c r="AC2434" s="35">
        <f>INDEX(AC$280:AC$296,$E2434)*$D2434</f>
        <v/>
      </c>
      <c r="AD2434" s="35">
        <f>INDEX(AD$280:AD$296,$E2434)*$D2434</f>
        <v/>
      </c>
      <c r="AE2434" s="42">
        <f>ETSCOST(INDEX(AE$280:AE$296,$E2434),$D2434)</f>
        <v/>
      </c>
      <c r="AG2434" s="11">
        <f>CodePrefix&amp;$A2434&amp;IF($C2434="","","."&amp;$C2434&amp;"."&amp;$B2434)&amp;INDEX(VarEnd,MATCH($A2434,VarKey,0))&amp;AG$5</f>
        <v/>
      </c>
      <c r="AH2434" s="40">
        <f>INDEX(AH$280:AH$296,$E2434)*$D2434</f>
        <v/>
      </c>
      <c r="AI2434" s="35">
        <f>INDEX(AI$280:AI$296,$E2434)*$D2434</f>
        <v/>
      </c>
      <c r="AJ2434" s="35">
        <f>INDEX(AJ$280:AJ$296,$E2434)*$D2434</f>
        <v/>
      </c>
      <c r="AK2434" s="35">
        <f>INDEX(AK$280:AK$296,$E2434)*$D2434</f>
        <v/>
      </c>
      <c r="AL2434" s="35">
        <f>INDEX(AL$280:AL$296,$E2434)*$D2434</f>
        <v/>
      </c>
      <c r="AM2434" s="35">
        <f>INDEX(AM$280:AM$296,$E2434)*$D2434</f>
        <v/>
      </c>
      <c r="AN2434" s="35">
        <f>INDEX(AN$280:AN$296,$E2434)*$D2434</f>
        <v/>
      </c>
      <c r="AO2434" s="35">
        <f>INDEX(AO$280:AO$296,$E2434)*$D2434</f>
        <v/>
      </c>
      <c r="AP2434" s="35">
        <f>INDEX(AP$280:AP$296,$E2434)*$D2434</f>
        <v/>
      </c>
      <c r="AQ2434" s="35">
        <f>INDEX(AQ$280:AQ$296,$E2434)*$D2434</f>
        <v/>
      </c>
      <c r="AR2434" s="35">
        <f>INDEX(AR$280:AR$296,$E2434)*$D2434</f>
        <v/>
      </c>
      <c r="AS2434" s="35">
        <f>INDEX(AS$280:AS$296,$E2434)*$D2434</f>
        <v/>
      </c>
      <c r="AT2434" s="35">
        <f>INDEX(AT$280:AT$296,$E2434)*$D2434</f>
        <v/>
      </c>
      <c r="AU2434" s="35">
        <f>INDEX(AU$280:AU$296,$E2434)*$D2434</f>
        <v/>
      </c>
      <c r="AV2434" s="35">
        <f>INDEX(AV$280:AV$296,$E2434)*$D2434</f>
        <v/>
      </c>
      <c r="AW2434" s="35">
        <f>INDEX(AW$280:AW$296,$E2434)*$D2434</f>
        <v/>
      </c>
      <c r="AX2434" s="35">
        <f>INDEX(AX$280:AX$296,$E2434)*$D2434</f>
        <v/>
      </c>
      <c r="AY2434" s="35">
        <f>INDEX(AY$280:AY$296,$E2434)*$D2434</f>
        <v/>
      </c>
      <c r="AZ2434" s="35">
        <f>INDEX(AZ$280:AZ$296,$E2434)*$D2434</f>
        <v/>
      </c>
      <c r="BA2434" s="42">
        <f>ETSCOST(INDEX(BA$280:BA$296,$E2434),$D2434)</f>
        <v/>
      </c>
    </row>
    <row r="2435" hidden="1" outlineLevel="2">
      <c r="A2435" s="14" t="inlineStr">
        <is>
          <t>ets</t>
        </is>
      </c>
      <c r="B2435" s="14" t="inlineStr">
        <is>
          <t>ker</t>
        </is>
      </c>
      <c r="C2435" s="14" t="inlineStr">
        <is>
          <t>cem</t>
        </is>
      </c>
      <c r="D2435" s="35">
        <f>INDEX(Inputs!$W$5:$W$132,MATCH($B2435&amp;"|"&amp;$C2435,Inputs!$A$5:$A$132,0))</f>
        <v/>
      </c>
      <c r="E2435" s="35">
        <f>INDEX(Inputs!$M$5:$M$132,MATCH($B2435&amp;"|"&amp;$C2435,Inputs!$A$5:$A$132,0))</f>
        <v/>
      </c>
      <c r="F2435" s="39" t="n"/>
      <c r="G2435" s="39" t="n"/>
      <c r="H2435" s="14">
        <f>INDEX(VarLab,MATCH($A2435,VarKey,0))&amp;INDEX(MemLab,MATCH($C2435&amp;"|"&amp;$B2435,MemKey,0))</f>
        <v/>
      </c>
      <c r="I2435" s="14">
        <f>INDEX(VarUnit,MATCH($A2435,VarKey,0))</f>
        <v/>
      </c>
      <c r="J2435" s="14">
        <f>INDEX(VarSrc,MATCH($A2435,VarKey,0))</f>
        <v/>
      </c>
      <c r="K2435" s="11">
        <f>CodePrefix&amp;$A2435&amp;IF($C2435="","","."&amp;$C2435&amp;"."&amp;$B2435)&amp;INDEX(VarEnd,MATCH($A2435,VarKey,0))&amp;K$5</f>
        <v/>
      </c>
      <c r="L2435" s="40">
        <f>INDEX(L$280:L$296,$E2435)*$D2435</f>
        <v/>
      </c>
      <c r="M2435" s="35">
        <f>INDEX(M$280:M$296,$E2435)*$D2435</f>
        <v/>
      </c>
      <c r="N2435" s="35">
        <f>INDEX(N$280:N$296,$E2435)*$D2435</f>
        <v/>
      </c>
      <c r="O2435" s="35">
        <f>INDEX(O$280:O$296,$E2435)*$D2435</f>
        <v/>
      </c>
      <c r="P2435" s="35">
        <f>INDEX(P$280:P$296,$E2435)*$D2435</f>
        <v/>
      </c>
      <c r="Q2435" s="35">
        <f>INDEX(Q$280:Q$296,$E2435)*$D2435</f>
        <v/>
      </c>
      <c r="R2435" s="35">
        <f>INDEX(R$280:R$296,$E2435)*$D2435</f>
        <v/>
      </c>
      <c r="S2435" s="35">
        <f>INDEX(S$280:S$296,$E2435)*$D2435</f>
        <v/>
      </c>
      <c r="T2435" s="35">
        <f>INDEX(T$280:T$296,$E2435)*$D2435</f>
        <v/>
      </c>
      <c r="U2435" s="35">
        <f>INDEX(U$280:U$296,$E2435)*$D2435</f>
        <v/>
      </c>
      <c r="V2435" s="35">
        <f>INDEX(V$280:V$296,$E2435)*$D2435</f>
        <v/>
      </c>
      <c r="W2435" s="35">
        <f>INDEX(W$280:W$296,$E2435)*$D2435</f>
        <v/>
      </c>
      <c r="X2435" s="35">
        <f>INDEX(X$280:X$296,$E2435)*$D2435</f>
        <v/>
      </c>
      <c r="Y2435" s="35">
        <f>INDEX(Y$280:Y$296,$E2435)*$D2435</f>
        <v/>
      </c>
      <c r="Z2435" s="35">
        <f>INDEX(Z$280:Z$296,$E2435)*$D2435</f>
        <v/>
      </c>
      <c r="AA2435" s="35">
        <f>INDEX(AA$280:AA$296,$E2435)*$D2435</f>
        <v/>
      </c>
      <c r="AB2435" s="35">
        <f>INDEX(AB$280:AB$296,$E2435)*$D2435</f>
        <v/>
      </c>
      <c r="AC2435" s="35">
        <f>INDEX(AC$280:AC$296,$E2435)*$D2435</f>
        <v/>
      </c>
      <c r="AD2435" s="35">
        <f>INDEX(AD$280:AD$296,$E2435)*$D2435</f>
        <v/>
      </c>
      <c r="AE2435" s="42">
        <f>ETSCOST(INDEX(AE$280:AE$296,$E2435),$D2435)</f>
        <v/>
      </c>
      <c r="AG2435" s="11">
        <f>CodePrefix&amp;$A2435&amp;IF($C2435="","","."&amp;$C2435&amp;"."&amp;$B2435)&amp;INDEX(VarEnd,MATCH($A2435,VarKey,0))&amp;AG$5</f>
        <v/>
      </c>
      <c r="AH2435" s="40">
        <f>INDEX(AH$280:AH$296,$E2435)*$D2435</f>
        <v/>
      </c>
      <c r="AI2435" s="35">
        <f>INDEX(AI$280:AI$296,$E2435)*$D2435</f>
        <v/>
      </c>
      <c r="AJ2435" s="35">
        <f>INDEX(AJ$280:AJ$296,$E2435)*$D2435</f>
        <v/>
      </c>
      <c r="AK2435" s="35">
        <f>INDEX(AK$280:AK$296,$E2435)*$D2435</f>
        <v/>
      </c>
      <c r="AL2435" s="35">
        <f>INDEX(AL$280:AL$296,$E2435)*$D2435</f>
        <v/>
      </c>
      <c r="AM2435" s="35">
        <f>INDEX(AM$280:AM$296,$E2435)*$D2435</f>
        <v/>
      </c>
      <c r="AN2435" s="35">
        <f>INDEX(AN$280:AN$296,$E2435)*$D2435</f>
        <v/>
      </c>
      <c r="AO2435" s="35">
        <f>INDEX(AO$280:AO$296,$E2435)*$D2435</f>
        <v/>
      </c>
      <c r="AP2435" s="35">
        <f>INDEX(AP$280:AP$296,$E2435)*$D2435</f>
        <v/>
      </c>
      <c r="AQ2435" s="35">
        <f>INDEX(AQ$280:AQ$296,$E2435)*$D2435</f>
        <v/>
      </c>
      <c r="AR2435" s="35">
        <f>INDEX(AR$280:AR$296,$E2435)*$D2435</f>
        <v/>
      </c>
      <c r="AS2435" s="35">
        <f>INDEX(AS$280:AS$296,$E2435)*$D2435</f>
        <v/>
      </c>
      <c r="AT2435" s="35">
        <f>INDEX(AT$280:AT$296,$E2435)*$D2435</f>
        <v/>
      </c>
      <c r="AU2435" s="35">
        <f>INDEX(AU$280:AU$296,$E2435)*$D2435</f>
        <v/>
      </c>
      <c r="AV2435" s="35">
        <f>INDEX(AV$280:AV$296,$E2435)*$D2435</f>
        <v/>
      </c>
      <c r="AW2435" s="35">
        <f>INDEX(AW$280:AW$296,$E2435)*$D2435</f>
        <v/>
      </c>
      <c r="AX2435" s="35">
        <f>INDEX(AX$280:AX$296,$E2435)*$D2435</f>
        <v/>
      </c>
      <c r="AY2435" s="35">
        <f>INDEX(AY$280:AY$296,$E2435)*$D2435</f>
        <v/>
      </c>
      <c r="AZ2435" s="35">
        <f>INDEX(AZ$280:AZ$296,$E2435)*$D2435</f>
        <v/>
      </c>
      <c r="BA2435" s="42">
        <f>ETSCOST(INDEX(BA$280:BA$296,$E2435),$D2435)</f>
        <v/>
      </c>
    </row>
    <row r="2436" hidden="1" outlineLevel="2">
      <c r="A2436" s="14" t="inlineStr">
        <is>
          <t>ets</t>
        </is>
      </c>
      <c r="B2436" s="14" t="inlineStr">
        <is>
          <t>oop</t>
        </is>
      </c>
      <c r="C2436" s="14" t="inlineStr">
        <is>
          <t>cem</t>
        </is>
      </c>
      <c r="D2436" s="35">
        <f>INDEX(Inputs!$W$5:$W$132,MATCH($B2436&amp;"|"&amp;$C2436,Inputs!$A$5:$A$132,0))</f>
        <v/>
      </c>
      <c r="E2436" s="35">
        <f>INDEX(Inputs!$M$5:$M$132,MATCH($B2436&amp;"|"&amp;$C2436,Inputs!$A$5:$A$132,0))</f>
        <v/>
      </c>
      <c r="F2436" s="39" t="n"/>
      <c r="G2436" s="39" t="n"/>
      <c r="H2436" s="14">
        <f>INDEX(VarLab,MATCH($A2436,VarKey,0))&amp;INDEX(MemLab,MATCH($C2436&amp;"|"&amp;$B2436,MemKey,0))</f>
        <v/>
      </c>
      <c r="I2436" s="14">
        <f>INDEX(VarUnit,MATCH($A2436,VarKey,0))</f>
        <v/>
      </c>
      <c r="J2436" s="14">
        <f>INDEX(VarSrc,MATCH($A2436,VarKey,0))</f>
        <v/>
      </c>
      <c r="K2436" s="11">
        <f>CodePrefix&amp;$A2436&amp;IF($C2436="","","."&amp;$C2436&amp;"."&amp;$B2436)&amp;INDEX(VarEnd,MATCH($A2436,VarKey,0))&amp;K$5</f>
        <v/>
      </c>
      <c r="L2436" s="40">
        <f>INDEX(L$280:L$296,$E2436)*$D2436</f>
        <v/>
      </c>
      <c r="M2436" s="35">
        <f>INDEX(M$280:M$296,$E2436)*$D2436</f>
        <v/>
      </c>
      <c r="N2436" s="35">
        <f>INDEX(N$280:N$296,$E2436)*$D2436</f>
        <v/>
      </c>
      <c r="O2436" s="35">
        <f>INDEX(O$280:O$296,$E2436)*$D2436</f>
        <v/>
      </c>
      <c r="P2436" s="35">
        <f>INDEX(P$280:P$296,$E2436)*$D2436</f>
        <v/>
      </c>
      <c r="Q2436" s="35">
        <f>INDEX(Q$280:Q$296,$E2436)*$D2436</f>
        <v/>
      </c>
      <c r="R2436" s="35">
        <f>INDEX(R$280:R$296,$E2436)*$D2436</f>
        <v/>
      </c>
      <c r="S2436" s="35">
        <f>INDEX(S$280:S$296,$E2436)*$D2436</f>
        <v/>
      </c>
      <c r="T2436" s="35">
        <f>INDEX(T$280:T$296,$E2436)*$D2436</f>
        <v/>
      </c>
      <c r="U2436" s="35">
        <f>INDEX(U$280:U$296,$E2436)*$D2436</f>
        <v/>
      </c>
      <c r="V2436" s="35">
        <f>INDEX(V$280:V$296,$E2436)*$D2436</f>
        <v/>
      </c>
      <c r="W2436" s="35">
        <f>INDEX(W$280:W$296,$E2436)*$D2436</f>
        <v/>
      </c>
      <c r="X2436" s="35">
        <f>INDEX(X$280:X$296,$E2436)*$D2436</f>
        <v/>
      </c>
      <c r="Y2436" s="35">
        <f>INDEX(Y$280:Y$296,$E2436)*$D2436</f>
        <v/>
      </c>
      <c r="Z2436" s="35">
        <f>INDEX(Z$280:Z$296,$E2436)*$D2436</f>
        <v/>
      </c>
      <c r="AA2436" s="35">
        <f>INDEX(AA$280:AA$296,$E2436)*$D2436</f>
        <v/>
      </c>
      <c r="AB2436" s="35">
        <f>INDEX(AB$280:AB$296,$E2436)*$D2436</f>
        <v/>
      </c>
      <c r="AC2436" s="35">
        <f>INDEX(AC$280:AC$296,$E2436)*$D2436</f>
        <v/>
      </c>
      <c r="AD2436" s="35">
        <f>INDEX(AD$280:AD$296,$E2436)*$D2436</f>
        <v/>
      </c>
      <c r="AE2436" s="42">
        <f>ETSCOST(INDEX(AE$280:AE$296,$E2436),$D2436)</f>
        <v/>
      </c>
      <c r="AG2436" s="11">
        <f>CodePrefix&amp;$A2436&amp;IF($C2436="","","."&amp;$C2436&amp;"."&amp;$B2436)&amp;INDEX(VarEnd,MATCH($A2436,VarKey,0))&amp;AG$5</f>
        <v/>
      </c>
      <c r="AH2436" s="40">
        <f>INDEX(AH$280:AH$296,$E2436)*$D2436</f>
        <v/>
      </c>
      <c r="AI2436" s="35">
        <f>INDEX(AI$280:AI$296,$E2436)*$D2436</f>
        <v/>
      </c>
      <c r="AJ2436" s="35">
        <f>INDEX(AJ$280:AJ$296,$E2436)*$D2436</f>
        <v/>
      </c>
      <c r="AK2436" s="35">
        <f>INDEX(AK$280:AK$296,$E2436)*$D2436</f>
        <v/>
      </c>
      <c r="AL2436" s="35">
        <f>INDEX(AL$280:AL$296,$E2436)*$D2436</f>
        <v/>
      </c>
      <c r="AM2436" s="35">
        <f>INDEX(AM$280:AM$296,$E2436)*$D2436</f>
        <v/>
      </c>
      <c r="AN2436" s="35">
        <f>INDEX(AN$280:AN$296,$E2436)*$D2436</f>
        <v/>
      </c>
      <c r="AO2436" s="35">
        <f>INDEX(AO$280:AO$296,$E2436)*$D2436</f>
        <v/>
      </c>
      <c r="AP2436" s="35">
        <f>INDEX(AP$280:AP$296,$E2436)*$D2436</f>
        <v/>
      </c>
      <c r="AQ2436" s="35">
        <f>INDEX(AQ$280:AQ$296,$E2436)*$D2436</f>
        <v/>
      </c>
      <c r="AR2436" s="35">
        <f>INDEX(AR$280:AR$296,$E2436)*$D2436</f>
        <v/>
      </c>
      <c r="AS2436" s="35">
        <f>INDEX(AS$280:AS$296,$E2436)*$D2436</f>
        <v/>
      </c>
      <c r="AT2436" s="35">
        <f>INDEX(AT$280:AT$296,$E2436)*$D2436</f>
        <v/>
      </c>
      <c r="AU2436" s="35">
        <f>INDEX(AU$280:AU$296,$E2436)*$D2436</f>
        <v/>
      </c>
      <c r="AV2436" s="35">
        <f>INDEX(AV$280:AV$296,$E2436)*$D2436</f>
        <v/>
      </c>
      <c r="AW2436" s="35">
        <f>INDEX(AW$280:AW$296,$E2436)*$D2436</f>
        <v/>
      </c>
      <c r="AX2436" s="35">
        <f>INDEX(AX$280:AX$296,$E2436)*$D2436</f>
        <v/>
      </c>
      <c r="AY2436" s="35">
        <f>INDEX(AY$280:AY$296,$E2436)*$D2436</f>
        <v/>
      </c>
      <c r="AZ2436" s="35">
        <f>INDEX(AZ$280:AZ$296,$E2436)*$D2436</f>
        <v/>
      </c>
      <c r="BA2436" s="42">
        <f>ETSCOST(INDEX(BA$280:BA$296,$E2436),$D2436)</f>
        <v/>
      </c>
    </row>
    <row r="2437" hidden="1" outlineLevel="2">
      <c r="A2437" s="14" t="inlineStr">
        <is>
          <t>ets</t>
        </is>
      </c>
      <c r="B2437" s="14" t="inlineStr">
        <is>
          <t>bio</t>
        </is>
      </c>
      <c r="C2437" s="14" t="inlineStr">
        <is>
          <t>cem</t>
        </is>
      </c>
      <c r="D2437" s="35">
        <f>INDEX(Inputs!$W$5:$W$132,MATCH($B2437&amp;"|"&amp;$C2437,Inputs!$A$5:$A$132,0))</f>
        <v/>
      </c>
      <c r="E2437" s="35">
        <f>INDEX(Inputs!$M$5:$M$132,MATCH($B2437&amp;"|"&amp;$C2437,Inputs!$A$5:$A$132,0))</f>
        <v/>
      </c>
      <c r="F2437" s="39" t="n"/>
      <c r="G2437" s="39" t="n"/>
      <c r="H2437" s="14">
        <f>INDEX(VarLab,MATCH($A2437,VarKey,0))&amp;INDEX(MemLab,MATCH($C2437&amp;"|"&amp;$B2437,MemKey,0))</f>
        <v/>
      </c>
      <c r="I2437" s="14">
        <f>INDEX(VarUnit,MATCH($A2437,VarKey,0))</f>
        <v/>
      </c>
      <c r="J2437" s="14">
        <f>INDEX(VarSrc,MATCH($A2437,VarKey,0))</f>
        <v/>
      </c>
      <c r="K2437" s="11">
        <f>CodePrefix&amp;$A2437&amp;IF($C2437="","","."&amp;$C2437&amp;"."&amp;$B2437)&amp;INDEX(VarEnd,MATCH($A2437,VarKey,0))&amp;K$5</f>
        <v/>
      </c>
      <c r="L2437" s="40">
        <f>INDEX(L$280:L$296,$E2437)*$D2437</f>
        <v/>
      </c>
      <c r="M2437" s="35">
        <f>INDEX(M$280:M$296,$E2437)*$D2437</f>
        <v/>
      </c>
      <c r="N2437" s="35">
        <f>INDEX(N$280:N$296,$E2437)*$D2437</f>
        <v/>
      </c>
      <c r="O2437" s="35">
        <f>INDEX(O$280:O$296,$E2437)*$D2437</f>
        <v/>
      </c>
      <c r="P2437" s="35">
        <f>INDEX(P$280:P$296,$E2437)*$D2437</f>
        <v/>
      </c>
      <c r="Q2437" s="35">
        <f>INDEX(Q$280:Q$296,$E2437)*$D2437</f>
        <v/>
      </c>
      <c r="R2437" s="35">
        <f>INDEX(R$280:R$296,$E2437)*$D2437</f>
        <v/>
      </c>
      <c r="S2437" s="35">
        <f>INDEX(S$280:S$296,$E2437)*$D2437</f>
        <v/>
      </c>
      <c r="T2437" s="35">
        <f>INDEX(T$280:T$296,$E2437)*$D2437</f>
        <v/>
      </c>
      <c r="U2437" s="35">
        <f>INDEX(U$280:U$296,$E2437)*$D2437</f>
        <v/>
      </c>
      <c r="V2437" s="35">
        <f>INDEX(V$280:V$296,$E2437)*$D2437</f>
        <v/>
      </c>
      <c r="W2437" s="35">
        <f>INDEX(W$280:W$296,$E2437)*$D2437</f>
        <v/>
      </c>
      <c r="X2437" s="35">
        <f>INDEX(X$280:X$296,$E2437)*$D2437</f>
        <v/>
      </c>
      <c r="Y2437" s="35">
        <f>INDEX(Y$280:Y$296,$E2437)*$D2437</f>
        <v/>
      </c>
      <c r="Z2437" s="35">
        <f>INDEX(Z$280:Z$296,$E2437)*$D2437</f>
        <v/>
      </c>
      <c r="AA2437" s="35">
        <f>INDEX(AA$280:AA$296,$E2437)*$D2437</f>
        <v/>
      </c>
      <c r="AB2437" s="35">
        <f>INDEX(AB$280:AB$296,$E2437)*$D2437</f>
        <v/>
      </c>
      <c r="AC2437" s="35">
        <f>INDEX(AC$280:AC$296,$E2437)*$D2437</f>
        <v/>
      </c>
      <c r="AD2437" s="35">
        <f>INDEX(AD$280:AD$296,$E2437)*$D2437</f>
        <v/>
      </c>
      <c r="AE2437" s="42">
        <f>ETSCOST(INDEX(AE$280:AE$296,$E2437),$D2437)</f>
        <v/>
      </c>
      <c r="AG2437" s="11">
        <f>CodePrefix&amp;$A2437&amp;IF($C2437="","","."&amp;$C2437&amp;"."&amp;$B2437)&amp;INDEX(VarEnd,MATCH($A2437,VarKey,0))&amp;AG$5</f>
        <v/>
      </c>
      <c r="AH2437" s="40">
        <f>INDEX(AH$280:AH$296,$E2437)*$D2437</f>
        <v/>
      </c>
      <c r="AI2437" s="35">
        <f>INDEX(AI$280:AI$296,$E2437)*$D2437</f>
        <v/>
      </c>
      <c r="AJ2437" s="35">
        <f>INDEX(AJ$280:AJ$296,$E2437)*$D2437</f>
        <v/>
      </c>
      <c r="AK2437" s="35">
        <f>INDEX(AK$280:AK$296,$E2437)*$D2437</f>
        <v/>
      </c>
      <c r="AL2437" s="35">
        <f>INDEX(AL$280:AL$296,$E2437)*$D2437</f>
        <v/>
      </c>
      <c r="AM2437" s="35">
        <f>INDEX(AM$280:AM$296,$E2437)*$D2437</f>
        <v/>
      </c>
      <c r="AN2437" s="35">
        <f>INDEX(AN$280:AN$296,$E2437)*$D2437</f>
        <v/>
      </c>
      <c r="AO2437" s="35">
        <f>INDEX(AO$280:AO$296,$E2437)*$D2437</f>
        <v/>
      </c>
      <c r="AP2437" s="35">
        <f>INDEX(AP$280:AP$296,$E2437)*$D2437</f>
        <v/>
      </c>
      <c r="AQ2437" s="35">
        <f>INDEX(AQ$280:AQ$296,$E2437)*$D2437</f>
        <v/>
      </c>
      <c r="AR2437" s="35">
        <f>INDEX(AR$280:AR$296,$E2437)*$D2437</f>
        <v/>
      </c>
      <c r="AS2437" s="35">
        <f>INDEX(AS$280:AS$296,$E2437)*$D2437</f>
        <v/>
      </c>
      <c r="AT2437" s="35">
        <f>INDEX(AT$280:AT$296,$E2437)*$D2437</f>
        <v/>
      </c>
      <c r="AU2437" s="35">
        <f>INDEX(AU$280:AU$296,$E2437)*$D2437</f>
        <v/>
      </c>
      <c r="AV2437" s="35">
        <f>INDEX(AV$280:AV$296,$E2437)*$D2437</f>
        <v/>
      </c>
      <c r="AW2437" s="35">
        <f>INDEX(AW$280:AW$296,$E2437)*$D2437</f>
        <v/>
      </c>
      <c r="AX2437" s="35">
        <f>INDEX(AX$280:AX$296,$E2437)*$D2437</f>
        <v/>
      </c>
      <c r="AY2437" s="35">
        <f>INDEX(AY$280:AY$296,$E2437)*$D2437</f>
        <v/>
      </c>
      <c r="AZ2437" s="35">
        <f>INDEX(AZ$280:AZ$296,$E2437)*$D2437</f>
        <v/>
      </c>
      <c r="BA2437" s="42">
        <f>ETSCOST(INDEX(BA$280:BA$296,$E2437),$D2437)</f>
        <v/>
      </c>
    </row>
    <row r="2438" hidden="1" outlineLevel="2"/>
    <row r="2439" hidden="1" outlineLevel="2">
      <c r="A2439" s="14" t="inlineStr">
        <is>
          <t>ntx</t>
        </is>
      </c>
      <c r="B2439" s="14" t="inlineStr">
        <is>
          <t>coa</t>
        </is>
      </c>
      <c r="C2439" s="14" t="inlineStr">
        <is>
          <t>cem</t>
        </is>
      </c>
      <c r="D2439" s="35">
        <f>INDEX(Inputs!$N$5:$N$132,MATCH($B2439&amp;"|"&amp;$C2439,Inputs!$A$5:$A$132,0))</f>
        <v/>
      </c>
      <c r="E2439" s="35">
        <f>INDEX(Inputs!$K$5:$K$132,MATCH($B2439&amp;"|"&amp;$C2439,Inputs!$A$5:$A$132,0))</f>
        <v/>
      </c>
      <c r="F2439" s="39" t="n"/>
      <c r="G2439" s="39" t="n"/>
      <c r="H2439" s="14">
        <f>INDEX(VarLab,MATCH($A2439,VarKey,0))&amp;INDEX(MemLab,MATCH($C2439&amp;"|"&amp;$B2439,MemKey,0))</f>
        <v/>
      </c>
      <c r="I2439" s="14">
        <f>INDEX(VarUnit,MATCH($A2439,VarKey,0))</f>
        <v/>
      </c>
      <c r="J2439" s="14">
        <f>INDEX(VarSrc,MATCH($A2439,VarKey,0))</f>
        <v/>
      </c>
      <c r="K2439" s="11">
        <f>CodePrefix&amp;$A2439&amp;IF($C2439="","","."&amp;$C2439&amp;"."&amp;$B2439)&amp;INDEX(VarEnd,MATCH($A2439,VarKey,0))&amp;K$5</f>
        <v/>
      </c>
      <c r="L2439" s="40">
        <f>INDEX(L$80:L$93,$D2439)/$E2439</f>
        <v/>
      </c>
      <c r="M2439" s="35">
        <f>INDEX(M$80:M$93,$D2439)/$E2439</f>
        <v/>
      </c>
      <c r="N2439" s="35">
        <f>INDEX(N$80:N$93,$D2439)/$E2439</f>
        <v/>
      </c>
      <c r="O2439" s="35">
        <f>INDEX(O$80:O$93,$D2439)/$E2439</f>
        <v/>
      </c>
      <c r="P2439" s="35">
        <f>INDEX(P$80:P$93,$D2439)/$E2439</f>
        <v/>
      </c>
      <c r="Q2439" s="35">
        <f>INDEX(Q$80:Q$93,$D2439)/$E2439</f>
        <v/>
      </c>
      <c r="R2439" s="35">
        <f>INDEX(R$80:R$93,$D2439)/$E2439</f>
        <v/>
      </c>
      <c r="S2439" s="35">
        <f>INDEX(S$80:S$93,$D2439)/$E2439</f>
        <v/>
      </c>
      <c r="T2439" s="35">
        <f>INDEX(T$80:T$93,$D2439)/$E2439</f>
        <v/>
      </c>
      <c r="U2439" s="35">
        <f>INDEX(U$80:U$93,$D2439)/$E2439</f>
        <v/>
      </c>
      <c r="V2439" s="35">
        <f>INDEX(V$80:V$93,$D2439)/$E2439</f>
        <v/>
      </c>
      <c r="W2439" s="35">
        <f>INDEX(W$80:W$93,$D2439)/$E2439</f>
        <v/>
      </c>
      <c r="X2439" s="35">
        <f>INDEX(X$80:X$93,$D2439)/$E2439</f>
        <v/>
      </c>
      <c r="Y2439" s="35">
        <f>INDEX(Y$80:Y$93,$D2439)/$E2439</f>
        <v/>
      </c>
      <c r="Z2439" s="35">
        <f>INDEX(Z$80:Z$93,$D2439)/$E2439</f>
        <v/>
      </c>
      <c r="AA2439" s="35">
        <f>INDEX(AA$80:AA$93,$D2439)/$E2439</f>
        <v/>
      </c>
      <c r="AB2439" s="35">
        <f>INDEX(AB$80:AB$93,$D2439)/$E2439</f>
        <v/>
      </c>
      <c r="AC2439" s="35">
        <f>INDEX(AC$80:AC$93,$D2439)/$E2439</f>
        <v/>
      </c>
      <c r="AD2439" s="35">
        <f>INDEX(AD$80:AD$93,$D2439)/$E2439</f>
        <v/>
      </c>
      <c r="AE2439" s="42">
        <f>NEWEXCISE(INDEX(AE$80:AE$93,$D2439),$E2439)</f>
        <v/>
      </c>
      <c r="AG2439" s="11">
        <f>CodePrefix&amp;$A2439&amp;IF($C2439="","","."&amp;$C2439&amp;"."&amp;$B2439)&amp;INDEX(VarEnd,MATCH($A2439,VarKey,0))&amp;AG$5</f>
        <v/>
      </c>
      <c r="AH2439" s="40">
        <f>INDEX(AH$80:AH$93,$D2439)/$E2439</f>
        <v/>
      </c>
      <c r="AI2439" s="35">
        <f>INDEX(AI$80:AI$93,$D2439)/$E2439</f>
        <v/>
      </c>
      <c r="AJ2439" s="35">
        <f>INDEX(AJ$80:AJ$93,$D2439)/$E2439</f>
        <v/>
      </c>
      <c r="AK2439" s="35">
        <f>INDEX(AK$80:AK$93,$D2439)/$E2439</f>
        <v/>
      </c>
      <c r="AL2439" s="35">
        <f>INDEX(AL$80:AL$93,$D2439)/$E2439</f>
        <v/>
      </c>
      <c r="AM2439" s="35">
        <f>INDEX(AM$80:AM$93,$D2439)/$E2439</f>
        <v/>
      </c>
      <c r="AN2439" s="35">
        <f>INDEX(AN$80:AN$93,$D2439)/$E2439</f>
        <v/>
      </c>
      <c r="AO2439" s="35">
        <f>INDEX(AO$80:AO$93,$D2439)/$E2439</f>
        <v/>
      </c>
      <c r="AP2439" s="35">
        <f>INDEX(AP$80:AP$93,$D2439)/$E2439</f>
        <v/>
      </c>
      <c r="AQ2439" s="35">
        <f>INDEX(AQ$80:AQ$93,$D2439)/$E2439</f>
        <v/>
      </c>
      <c r="AR2439" s="35">
        <f>INDEX(AR$80:AR$93,$D2439)/$E2439</f>
        <v/>
      </c>
      <c r="AS2439" s="35">
        <f>INDEX(AS$80:AS$93,$D2439)/$E2439</f>
        <v/>
      </c>
      <c r="AT2439" s="35">
        <f>INDEX(AT$80:AT$93,$D2439)/$E2439</f>
        <v/>
      </c>
      <c r="AU2439" s="35">
        <f>INDEX(AU$80:AU$93,$D2439)/$E2439</f>
        <v/>
      </c>
      <c r="AV2439" s="35">
        <f>INDEX(AV$80:AV$93,$D2439)/$E2439</f>
        <v/>
      </c>
      <c r="AW2439" s="35">
        <f>INDEX(AW$80:AW$93,$D2439)/$E2439</f>
        <v/>
      </c>
      <c r="AX2439" s="35">
        <f>INDEX(AX$80:AX$93,$D2439)/$E2439</f>
        <v/>
      </c>
      <c r="AY2439" s="35">
        <f>INDEX(AY$80:AY$93,$D2439)/$E2439</f>
        <v/>
      </c>
      <c r="AZ2439" s="35">
        <f>INDEX(AZ$80:AZ$93,$D2439)/$E2439</f>
        <v/>
      </c>
      <c r="BA2439" s="42">
        <f>NEWEXCISE(INDEX(BA$80:BA$93,$D2439),$E2439)</f>
        <v/>
      </c>
    </row>
    <row r="2440" hidden="1" outlineLevel="2">
      <c r="A2440" s="14" t="inlineStr">
        <is>
          <t>ntx</t>
        </is>
      </c>
      <c r="B2440" s="14" t="inlineStr">
        <is>
          <t>nga</t>
        </is>
      </c>
      <c r="C2440" s="14" t="inlineStr">
        <is>
          <t>cem</t>
        </is>
      </c>
      <c r="D2440" s="35">
        <f>INDEX(Inputs!$N$5:$N$132,MATCH($B2440&amp;"|"&amp;$C2440,Inputs!$A$5:$A$132,0))</f>
        <v/>
      </c>
      <c r="E2440" s="35">
        <f>INDEX(Inputs!$K$5:$K$132,MATCH($B2440&amp;"|"&amp;$C2440,Inputs!$A$5:$A$132,0))</f>
        <v/>
      </c>
      <c r="F2440" s="39" t="n"/>
      <c r="G2440" s="39" t="n"/>
      <c r="H2440" s="14">
        <f>INDEX(VarLab,MATCH($A2440,VarKey,0))&amp;INDEX(MemLab,MATCH($C2440&amp;"|"&amp;$B2440,MemKey,0))</f>
        <v/>
      </c>
      <c r="I2440" s="14">
        <f>INDEX(VarUnit,MATCH($A2440,VarKey,0))</f>
        <v/>
      </c>
      <c r="J2440" s="14">
        <f>INDEX(VarSrc,MATCH($A2440,VarKey,0))</f>
        <v/>
      </c>
      <c r="K2440" s="11">
        <f>CodePrefix&amp;$A2440&amp;IF($C2440="","","."&amp;$C2440&amp;"."&amp;$B2440)&amp;INDEX(VarEnd,MATCH($A2440,VarKey,0))&amp;K$5</f>
        <v/>
      </c>
      <c r="L2440" s="40">
        <f>INDEX(L$80:L$93,$D2440)/$E2440</f>
        <v/>
      </c>
      <c r="M2440" s="35">
        <f>INDEX(M$80:M$93,$D2440)/$E2440</f>
        <v/>
      </c>
      <c r="N2440" s="35">
        <f>INDEX(N$80:N$93,$D2440)/$E2440</f>
        <v/>
      </c>
      <c r="O2440" s="35">
        <f>INDEX(O$80:O$93,$D2440)/$E2440</f>
        <v/>
      </c>
      <c r="P2440" s="35">
        <f>INDEX(P$80:P$93,$D2440)/$E2440</f>
        <v/>
      </c>
      <c r="Q2440" s="35">
        <f>INDEX(Q$80:Q$93,$D2440)/$E2440</f>
        <v/>
      </c>
      <c r="R2440" s="35">
        <f>INDEX(R$80:R$93,$D2440)/$E2440</f>
        <v/>
      </c>
      <c r="S2440" s="35">
        <f>INDEX(S$80:S$93,$D2440)/$E2440</f>
        <v/>
      </c>
      <c r="T2440" s="35">
        <f>INDEX(T$80:T$93,$D2440)/$E2440</f>
        <v/>
      </c>
      <c r="U2440" s="35">
        <f>INDEX(U$80:U$93,$D2440)/$E2440</f>
        <v/>
      </c>
      <c r="V2440" s="35">
        <f>INDEX(V$80:V$93,$D2440)/$E2440</f>
        <v/>
      </c>
      <c r="W2440" s="35">
        <f>INDEX(W$80:W$93,$D2440)/$E2440</f>
        <v/>
      </c>
      <c r="X2440" s="35">
        <f>INDEX(X$80:X$93,$D2440)/$E2440</f>
        <v/>
      </c>
      <c r="Y2440" s="35">
        <f>INDEX(Y$80:Y$93,$D2440)/$E2440</f>
        <v/>
      </c>
      <c r="Z2440" s="35">
        <f>INDEX(Z$80:Z$93,$D2440)/$E2440</f>
        <v/>
      </c>
      <c r="AA2440" s="35">
        <f>INDEX(AA$80:AA$93,$D2440)/$E2440</f>
        <v/>
      </c>
      <c r="AB2440" s="35">
        <f>INDEX(AB$80:AB$93,$D2440)/$E2440</f>
        <v/>
      </c>
      <c r="AC2440" s="35">
        <f>INDEX(AC$80:AC$93,$D2440)/$E2440</f>
        <v/>
      </c>
      <c r="AD2440" s="35">
        <f>INDEX(AD$80:AD$93,$D2440)/$E2440</f>
        <v/>
      </c>
      <c r="AE2440" s="42">
        <f>NEWEXCISE(INDEX(AE$80:AE$93,$D2440),$E2440)</f>
        <v/>
      </c>
      <c r="AG2440" s="11">
        <f>CodePrefix&amp;$A2440&amp;IF($C2440="","","."&amp;$C2440&amp;"."&amp;$B2440)&amp;INDEX(VarEnd,MATCH($A2440,VarKey,0))&amp;AG$5</f>
        <v/>
      </c>
      <c r="AH2440" s="40">
        <f>INDEX(AH$80:AH$93,$D2440)/$E2440</f>
        <v/>
      </c>
      <c r="AI2440" s="35">
        <f>INDEX(AI$80:AI$93,$D2440)/$E2440</f>
        <v/>
      </c>
      <c r="AJ2440" s="35">
        <f>INDEX(AJ$80:AJ$93,$D2440)/$E2440</f>
        <v/>
      </c>
      <c r="AK2440" s="35">
        <f>INDEX(AK$80:AK$93,$D2440)/$E2440</f>
        <v/>
      </c>
      <c r="AL2440" s="35">
        <f>INDEX(AL$80:AL$93,$D2440)/$E2440</f>
        <v/>
      </c>
      <c r="AM2440" s="35">
        <f>INDEX(AM$80:AM$93,$D2440)/$E2440</f>
        <v/>
      </c>
      <c r="AN2440" s="35">
        <f>INDEX(AN$80:AN$93,$D2440)/$E2440</f>
        <v/>
      </c>
      <c r="AO2440" s="35">
        <f>INDEX(AO$80:AO$93,$D2440)/$E2440</f>
        <v/>
      </c>
      <c r="AP2440" s="35">
        <f>INDEX(AP$80:AP$93,$D2440)/$E2440</f>
        <v/>
      </c>
      <c r="AQ2440" s="35">
        <f>INDEX(AQ$80:AQ$93,$D2440)/$E2440</f>
        <v/>
      </c>
      <c r="AR2440" s="35">
        <f>INDEX(AR$80:AR$93,$D2440)/$E2440</f>
        <v/>
      </c>
      <c r="AS2440" s="35">
        <f>INDEX(AS$80:AS$93,$D2440)/$E2440</f>
        <v/>
      </c>
      <c r="AT2440" s="35">
        <f>INDEX(AT$80:AT$93,$D2440)/$E2440</f>
        <v/>
      </c>
      <c r="AU2440" s="35">
        <f>INDEX(AU$80:AU$93,$D2440)/$E2440</f>
        <v/>
      </c>
      <c r="AV2440" s="35">
        <f>INDEX(AV$80:AV$93,$D2440)/$E2440</f>
        <v/>
      </c>
      <c r="AW2440" s="35">
        <f>INDEX(AW$80:AW$93,$D2440)/$E2440</f>
        <v/>
      </c>
      <c r="AX2440" s="35">
        <f>INDEX(AX$80:AX$93,$D2440)/$E2440</f>
        <v/>
      </c>
      <c r="AY2440" s="35">
        <f>INDEX(AY$80:AY$93,$D2440)/$E2440</f>
        <v/>
      </c>
      <c r="AZ2440" s="35">
        <f>INDEX(AZ$80:AZ$93,$D2440)/$E2440</f>
        <v/>
      </c>
      <c r="BA2440" s="42">
        <f>NEWEXCISE(INDEX(BA$80:BA$93,$D2440),$E2440)</f>
        <v/>
      </c>
    </row>
    <row r="2441" hidden="1" outlineLevel="2">
      <c r="A2441" s="14" t="inlineStr">
        <is>
          <t>ntx</t>
        </is>
      </c>
      <c r="B2441" s="14" t="inlineStr">
        <is>
          <t>gso</t>
        </is>
      </c>
      <c r="C2441" s="14" t="inlineStr">
        <is>
          <t>cem</t>
        </is>
      </c>
      <c r="D2441" s="35">
        <f>INDEX(Inputs!$N$5:$N$132,MATCH($B2441&amp;"|"&amp;$C2441,Inputs!$A$5:$A$132,0))</f>
        <v/>
      </c>
      <c r="E2441" s="35">
        <f>INDEX(Inputs!$K$5:$K$132,MATCH($B2441&amp;"|"&amp;$C2441,Inputs!$A$5:$A$132,0))</f>
        <v/>
      </c>
      <c r="F2441" s="39" t="n"/>
      <c r="G2441" s="39" t="n"/>
      <c r="H2441" s="14">
        <f>INDEX(VarLab,MATCH($A2441,VarKey,0))&amp;INDEX(MemLab,MATCH($C2441&amp;"|"&amp;$B2441,MemKey,0))</f>
        <v/>
      </c>
      <c r="I2441" s="14">
        <f>INDEX(VarUnit,MATCH($A2441,VarKey,0))</f>
        <v/>
      </c>
      <c r="J2441" s="14">
        <f>INDEX(VarSrc,MATCH($A2441,VarKey,0))</f>
        <v/>
      </c>
      <c r="K2441" s="11">
        <f>CodePrefix&amp;$A2441&amp;IF($C2441="","","."&amp;$C2441&amp;"."&amp;$B2441)&amp;INDEX(VarEnd,MATCH($A2441,VarKey,0))&amp;K$5</f>
        <v/>
      </c>
      <c r="L2441" s="40">
        <f>INDEX(L$80:L$93,$D2441)/$E2441</f>
        <v/>
      </c>
      <c r="M2441" s="35">
        <f>INDEX(M$80:M$93,$D2441)/$E2441</f>
        <v/>
      </c>
      <c r="N2441" s="35">
        <f>INDEX(N$80:N$93,$D2441)/$E2441</f>
        <v/>
      </c>
      <c r="O2441" s="35">
        <f>INDEX(O$80:O$93,$D2441)/$E2441</f>
        <v/>
      </c>
      <c r="P2441" s="35">
        <f>INDEX(P$80:P$93,$D2441)/$E2441</f>
        <v/>
      </c>
      <c r="Q2441" s="35">
        <f>INDEX(Q$80:Q$93,$D2441)/$E2441</f>
        <v/>
      </c>
      <c r="R2441" s="35">
        <f>INDEX(R$80:R$93,$D2441)/$E2441</f>
        <v/>
      </c>
      <c r="S2441" s="35">
        <f>INDEX(S$80:S$93,$D2441)/$E2441</f>
        <v/>
      </c>
      <c r="T2441" s="35">
        <f>INDEX(T$80:T$93,$D2441)/$E2441</f>
        <v/>
      </c>
      <c r="U2441" s="35">
        <f>INDEX(U$80:U$93,$D2441)/$E2441</f>
        <v/>
      </c>
      <c r="V2441" s="35">
        <f>INDEX(V$80:V$93,$D2441)/$E2441</f>
        <v/>
      </c>
      <c r="W2441" s="35">
        <f>INDEX(W$80:W$93,$D2441)/$E2441</f>
        <v/>
      </c>
      <c r="X2441" s="35">
        <f>INDEX(X$80:X$93,$D2441)/$E2441</f>
        <v/>
      </c>
      <c r="Y2441" s="35">
        <f>INDEX(Y$80:Y$93,$D2441)/$E2441</f>
        <v/>
      </c>
      <c r="Z2441" s="35">
        <f>INDEX(Z$80:Z$93,$D2441)/$E2441</f>
        <v/>
      </c>
      <c r="AA2441" s="35">
        <f>INDEX(AA$80:AA$93,$D2441)/$E2441</f>
        <v/>
      </c>
      <c r="AB2441" s="35">
        <f>INDEX(AB$80:AB$93,$D2441)/$E2441</f>
        <v/>
      </c>
      <c r="AC2441" s="35">
        <f>INDEX(AC$80:AC$93,$D2441)/$E2441</f>
        <v/>
      </c>
      <c r="AD2441" s="35">
        <f>INDEX(AD$80:AD$93,$D2441)/$E2441</f>
        <v/>
      </c>
      <c r="AE2441" s="42">
        <f>NEWEXCISE(INDEX(AE$80:AE$93,$D2441),$E2441)</f>
        <v/>
      </c>
      <c r="AG2441" s="11">
        <f>CodePrefix&amp;$A2441&amp;IF($C2441="","","."&amp;$C2441&amp;"."&amp;$B2441)&amp;INDEX(VarEnd,MATCH($A2441,VarKey,0))&amp;AG$5</f>
        <v/>
      </c>
      <c r="AH2441" s="40">
        <f>INDEX(AH$80:AH$93,$D2441)/$E2441</f>
        <v/>
      </c>
      <c r="AI2441" s="35">
        <f>INDEX(AI$80:AI$93,$D2441)/$E2441</f>
        <v/>
      </c>
      <c r="AJ2441" s="35">
        <f>INDEX(AJ$80:AJ$93,$D2441)/$E2441</f>
        <v/>
      </c>
      <c r="AK2441" s="35">
        <f>INDEX(AK$80:AK$93,$D2441)/$E2441</f>
        <v/>
      </c>
      <c r="AL2441" s="35">
        <f>INDEX(AL$80:AL$93,$D2441)/$E2441</f>
        <v/>
      </c>
      <c r="AM2441" s="35">
        <f>INDEX(AM$80:AM$93,$D2441)/$E2441</f>
        <v/>
      </c>
      <c r="AN2441" s="35">
        <f>INDEX(AN$80:AN$93,$D2441)/$E2441</f>
        <v/>
      </c>
      <c r="AO2441" s="35">
        <f>INDEX(AO$80:AO$93,$D2441)/$E2441</f>
        <v/>
      </c>
      <c r="AP2441" s="35">
        <f>INDEX(AP$80:AP$93,$D2441)/$E2441</f>
        <v/>
      </c>
      <c r="AQ2441" s="35">
        <f>INDEX(AQ$80:AQ$93,$D2441)/$E2441</f>
        <v/>
      </c>
      <c r="AR2441" s="35">
        <f>INDEX(AR$80:AR$93,$D2441)/$E2441</f>
        <v/>
      </c>
      <c r="AS2441" s="35">
        <f>INDEX(AS$80:AS$93,$D2441)/$E2441</f>
        <v/>
      </c>
      <c r="AT2441" s="35">
        <f>INDEX(AT$80:AT$93,$D2441)/$E2441</f>
        <v/>
      </c>
      <c r="AU2441" s="35">
        <f>INDEX(AU$80:AU$93,$D2441)/$E2441</f>
        <v/>
      </c>
      <c r="AV2441" s="35">
        <f>INDEX(AV$80:AV$93,$D2441)/$E2441</f>
        <v/>
      </c>
      <c r="AW2441" s="35">
        <f>INDEX(AW$80:AW$93,$D2441)/$E2441</f>
        <v/>
      </c>
      <c r="AX2441" s="35">
        <f>INDEX(AX$80:AX$93,$D2441)/$E2441</f>
        <v/>
      </c>
      <c r="AY2441" s="35">
        <f>INDEX(AY$80:AY$93,$D2441)/$E2441</f>
        <v/>
      </c>
      <c r="AZ2441" s="35">
        <f>INDEX(AZ$80:AZ$93,$D2441)/$E2441</f>
        <v/>
      </c>
      <c r="BA2441" s="42">
        <f>NEWEXCISE(INDEX(BA$80:BA$93,$D2441),$E2441)</f>
        <v/>
      </c>
    </row>
    <row r="2442" hidden="1" outlineLevel="2">
      <c r="A2442" s="14" t="inlineStr">
        <is>
          <t>ntx</t>
        </is>
      </c>
      <c r="B2442" s="14" t="inlineStr">
        <is>
          <t>die</t>
        </is>
      </c>
      <c r="C2442" s="14" t="inlineStr">
        <is>
          <t>cem</t>
        </is>
      </c>
      <c r="D2442" s="35">
        <f>INDEX(Inputs!$N$5:$N$132,MATCH($B2442&amp;"|"&amp;$C2442,Inputs!$A$5:$A$132,0))</f>
        <v/>
      </c>
      <c r="E2442" s="35">
        <f>INDEX(Inputs!$K$5:$K$132,MATCH($B2442&amp;"|"&amp;$C2442,Inputs!$A$5:$A$132,0))</f>
        <v/>
      </c>
      <c r="F2442" s="39" t="n"/>
      <c r="G2442" s="39" t="n"/>
      <c r="H2442" s="14">
        <f>INDEX(VarLab,MATCH($A2442,VarKey,0))&amp;INDEX(MemLab,MATCH($C2442&amp;"|"&amp;$B2442,MemKey,0))</f>
        <v/>
      </c>
      <c r="I2442" s="14">
        <f>INDEX(VarUnit,MATCH($A2442,VarKey,0))</f>
        <v/>
      </c>
      <c r="J2442" s="14">
        <f>INDEX(VarSrc,MATCH($A2442,VarKey,0))</f>
        <v/>
      </c>
      <c r="K2442" s="11">
        <f>CodePrefix&amp;$A2442&amp;IF($C2442="","","."&amp;$C2442&amp;"."&amp;$B2442)&amp;INDEX(VarEnd,MATCH($A2442,VarKey,0))&amp;K$5</f>
        <v/>
      </c>
      <c r="L2442" s="40">
        <f>INDEX(L$80:L$93,$D2442)/$E2442</f>
        <v/>
      </c>
      <c r="M2442" s="35">
        <f>INDEX(M$80:M$93,$D2442)/$E2442</f>
        <v/>
      </c>
      <c r="N2442" s="35">
        <f>INDEX(N$80:N$93,$D2442)/$E2442</f>
        <v/>
      </c>
      <c r="O2442" s="35">
        <f>INDEX(O$80:O$93,$D2442)/$E2442</f>
        <v/>
      </c>
      <c r="P2442" s="35">
        <f>INDEX(P$80:P$93,$D2442)/$E2442</f>
        <v/>
      </c>
      <c r="Q2442" s="35">
        <f>INDEX(Q$80:Q$93,$D2442)/$E2442</f>
        <v/>
      </c>
      <c r="R2442" s="35">
        <f>INDEX(R$80:R$93,$D2442)/$E2442</f>
        <v/>
      </c>
      <c r="S2442" s="35">
        <f>INDEX(S$80:S$93,$D2442)/$E2442</f>
        <v/>
      </c>
      <c r="T2442" s="35">
        <f>INDEX(T$80:T$93,$D2442)/$E2442</f>
        <v/>
      </c>
      <c r="U2442" s="35">
        <f>INDEX(U$80:U$93,$D2442)/$E2442</f>
        <v/>
      </c>
      <c r="V2442" s="35">
        <f>INDEX(V$80:V$93,$D2442)/$E2442</f>
        <v/>
      </c>
      <c r="W2442" s="35">
        <f>INDEX(W$80:W$93,$D2442)/$E2442</f>
        <v/>
      </c>
      <c r="X2442" s="35">
        <f>INDEX(X$80:X$93,$D2442)/$E2442</f>
        <v/>
      </c>
      <c r="Y2442" s="35">
        <f>INDEX(Y$80:Y$93,$D2442)/$E2442</f>
        <v/>
      </c>
      <c r="Z2442" s="35">
        <f>INDEX(Z$80:Z$93,$D2442)/$E2442</f>
        <v/>
      </c>
      <c r="AA2442" s="35">
        <f>INDEX(AA$80:AA$93,$D2442)/$E2442</f>
        <v/>
      </c>
      <c r="AB2442" s="35">
        <f>INDEX(AB$80:AB$93,$D2442)/$E2442</f>
        <v/>
      </c>
      <c r="AC2442" s="35">
        <f>INDEX(AC$80:AC$93,$D2442)/$E2442</f>
        <v/>
      </c>
      <c r="AD2442" s="35">
        <f>INDEX(AD$80:AD$93,$D2442)/$E2442</f>
        <v/>
      </c>
      <c r="AE2442" s="42">
        <f>NEWEXCISE(INDEX(AE$80:AE$93,$D2442),$E2442)</f>
        <v/>
      </c>
      <c r="AG2442" s="11">
        <f>CodePrefix&amp;$A2442&amp;IF($C2442="","","."&amp;$C2442&amp;"."&amp;$B2442)&amp;INDEX(VarEnd,MATCH($A2442,VarKey,0))&amp;AG$5</f>
        <v/>
      </c>
      <c r="AH2442" s="40">
        <f>INDEX(AH$80:AH$93,$D2442)/$E2442</f>
        <v/>
      </c>
      <c r="AI2442" s="35">
        <f>INDEX(AI$80:AI$93,$D2442)/$E2442</f>
        <v/>
      </c>
      <c r="AJ2442" s="35">
        <f>INDEX(AJ$80:AJ$93,$D2442)/$E2442</f>
        <v/>
      </c>
      <c r="AK2442" s="35">
        <f>INDEX(AK$80:AK$93,$D2442)/$E2442</f>
        <v/>
      </c>
      <c r="AL2442" s="35">
        <f>INDEX(AL$80:AL$93,$D2442)/$E2442</f>
        <v/>
      </c>
      <c r="AM2442" s="35">
        <f>INDEX(AM$80:AM$93,$D2442)/$E2442</f>
        <v/>
      </c>
      <c r="AN2442" s="35">
        <f>INDEX(AN$80:AN$93,$D2442)/$E2442</f>
        <v/>
      </c>
      <c r="AO2442" s="35">
        <f>INDEX(AO$80:AO$93,$D2442)/$E2442</f>
        <v/>
      </c>
      <c r="AP2442" s="35">
        <f>INDEX(AP$80:AP$93,$D2442)/$E2442</f>
        <v/>
      </c>
      <c r="AQ2442" s="35">
        <f>INDEX(AQ$80:AQ$93,$D2442)/$E2442</f>
        <v/>
      </c>
      <c r="AR2442" s="35">
        <f>INDEX(AR$80:AR$93,$D2442)/$E2442</f>
        <v/>
      </c>
      <c r="AS2442" s="35">
        <f>INDEX(AS$80:AS$93,$D2442)/$E2442</f>
        <v/>
      </c>
      <c r="AT2442" s="35">
        <f>INDEX(AT$80:AT$93,$D2442)/$E2442</f>
        <v/>
      </c>
      <c r="AU2442" s="35">
        <f>INDEX(AU$80:AU$93,$D2442)/$E2442</f>
        <v/>
      </c>
      <c r="AV2442" s="35">
        <f>INDEX(AV$80:AV$93,$D2442)/$E2442</f>
        <v/>
      </c>
      <c r="AW2442" s="35">
        <f>INDEX(AW$80:AW$93,$D2442)/$E2442</f>
        <v/>
      </c>
      <c r="AX2442" s="35">
        <f>INDEX(AX$80:AX$93,$D2442)/$E2442</f>
        <v/>
      </c>
      <c r="AY2442" s="35">
        <f>INDEX(AY$80:AY$93,$D2442)/$E2442</f>
        <v/>
      </c>
      <c r="AZ2442" s="35">
        <f>INDEX(AZ$80:AZ$93,$D2442)/$E2442</f>
        <v/>
      </c>
      <c r="BA2442" s="42">
        <f>NEWEXCISE(INDEX(BA$80:BA$93,$D2442),$E2442)</f>
        <v/>
      </c>
    </row>
    <row r="2443" hidden="1" outlineLevel="2">
      <c r="A2443" s="14" t="inlineStr">
        <is>
          <t>ntx</t>
        </is>
      </c>
      <c r="B2443" s="14" t="inlineStr">
        <is>
          <t>lpg</t>
        </is>
      </c>
      <c r="C2443" s="14" t="inlineStr">
        <is>
          <t>cem</t>
        </is>
      </c>
      <c r="D2443" s="35">
        <f>INDEX(Inputs!$N$5:$N$132,MATCH($B2443&amp;"|"&amp;$C2443,Inputs!$A$5:$A$132,0))</f>
        <v/>
      </c>
      <c r="E2443" s="35">
        <f>INDEX(Inputs!$K$5:$K$132,MATCH($B2443&amp;"|"&amp;$C2443,Inputs!$A$5:$A$132,0))</f>
        <v/>
      </c>
      <c r="F2443" s="39" t="n"/>
      <c r="G2443" s="39" t="n"/>
      <c r="H2443" s="14">
        <f>INDEX(VarLab,MATCH($A2443,VarKey,0))&amp;INDEX(MemLab,MATCH($C2443&amp;"|"&amp;$B2443,MemKey,0))</f>
        <v/>
      </c>
      <c r="I2443" s="14">
        <f>INDEX(VarUnit,MATCH($A2443,VarKey,0))</f>
        <v/>
      </c>
      <c r="J2443" s="14">
        <f>INDEX(VarSrc,MATCH($A2443,VarKey,0))</f>
        <v/>
      </c>
      <c r="K2443" s="11">
        <f>CodePrefix&amp;$A2443&amp;IF($C2443="","","."&amp;$C2443&amp;"."&amp;$B2443)&amp;INDEX(VarEnd,MATCH($A2443,VarKey,0))&amp;K$5</f>
        <v/>
      </c>
      <c r="L2443" s="40">
        <f>INDEX(L$80:L$93,$D2443)/$E2443</f>
        <v/>
      </c>
      <c r="M2443" s="35">
        <f>INDEX(M$80:M$93,$D2443)/$E2443</f>
        <v/>
      </c>
      <c r="N2443" s="35">
        <f>INDEX(N$80:N$93,$D2443)/$E2443</f>
        <v/>
      </c>
      <c r="O2443" s="35">
        <f>INDEX(O$80:O$93,$D2443)/$E2443</f>
        <v/>
      </c>
      <c r="P2443" s="35">
        <f>INDEX(P$80:P$93,$D2443)/$E2443</f>
        <v/>
      </c>
      <c r="Q2443" s="35">
        <f>INDEX(Q$80:Q$93,$D2443)/$E2443</f>
        <v/>
      </c>
      <c r="R2443" s="35">
        <f>INDEX(R$80:R$93,$D2443)/$E2443</f>
        <v/>
      </c>
      <c r="S2443" s="35">
        <f>INDEX(S$80:S$93,$D2443)/$E2443</f>
        <v/>
      </c>
      <c r="T2443" s="35">
        <f>INDEX(T$80:T$93,$D2443)/$E2443</f>
        <v/>
      </c>
      <c r="U2443" s="35">
        <f>INDEX(U$80:U$93,$D2443)/$E2443</f>
        <v/>
      </c>
      <c r="V2443" s="35">
        <f>INDEX(V$80:V$93,$D2443)/$E2443</f>
        <v/>
      </c>
      <c r="W2443" s="35">
        <f>INDEX(W$80:W$93,$D2443)/$E2443</f>
        <v/>
      </c>
      <c r="X2443" s="35">
        <f>INDEX(X$80:X$93,$D2443)/$E2443</f>
        <v/>
      </c>
      <c r="Y2443" s="35">
        <f>INDEX(Y$80:Y$93,$D2443)/$E2443</f>
        <v/>
      </c>
      <c r="Z2443" s="35">
        <f>INDEX(Z$80:Z$93,$D2443)/$E2443</f>
        <v/>
      </c>
      <c r="AA2443" s="35">
        <f>INDEX(AA$80:AA$93,$D2443)/$E2443</f>
        <v/>
      </c>
      <c r="AB2443" s="35">
        <f>INDEX(AB$80:AB$93,$D2443)/$E2443</f>
        <v/>
      </c>
      <c r="AC2443" s="35">
        <f>INDEX(AC$80:AC$93,$D2443)/$E2443</f>
        <v/>
      </c>
      <c r="AD2443" s="35">
        <f>INDEX(AD$80:AD$93,$D2443)/$E2443</f>
        <v/>
      </c>
      <c r="AE2443" s="42">
        <f>NEWEXCISE(INDEX(AE$80:AE$93,$D2443),$E2443)</f>
        <v/>
      </c>
      <c r="AG2443" s="11">
        <f>CodePrefix&amp;$A2443&amp;IF($C2443="","","."&amp;$C2443&amp;"."&amp;$B2443)&amp;INDEX(VarEnd,MATCH($A2443,VarKey,0))&amp;AG$5</f>
        <v/>
      </c>
      <c r="AH2443" s="40">
        <f>INDEX(AH$80:AH$93,$D2443)/$E2443</f>
        <v/>
      </c>
      <c r="AI2443" s="35">
        <f>INDEX(AI$80:AI$93,$D2443)/$E2443</f>
        <v/>
      </c>
      <c r="AJ2443" s="35">
        <f>INDEX(AJ$80:AJ$93,$D2443)/$E2443</f>
        <v/>
      </c>
      <c r="AK2443" s="35">
        <f>INDEX(AK$80:AK$93,$D2443)/$E2443</f>
        <v/>
      </c>
      <c r="AL2443" s="35">
        <f>INDEX(AL$80:AL$93,$D2443)/$E2443</f>
        <v/>
      </c>
      <c r="AM2443" s="35">
        <f>INDEX(AM$80:AM$93,$D2443)/$E2443</f>
        <v/>
      </c>
      <c r="AN2443" s="35">
        <f>INDEX(AN$80:AN$93,$D2443)/$E2443</f>
        <v/>
      </c>
      <c r="AO2443" s="35">
        <f>INDEX(AO$80:AO$93,$D2443)/$E2443</f>
        <v/>
      </c>
      <c r="AP2443" s="35">
        <f>INDEX(AP$80:AP$93,$D2443)/$E2443</f>
        <v/>
      </c>
      <c r="AQ2443" s="35">
        <f>INDEX(AQ$80:AQ$93,$D2443)/$E2443</f>
        <v/>
      </c>
      <c r="AR2443" s="35">
        <f>INDEX(AR$80:AR$93,$D2443)/$E2443</f>
        <v/>
      </c>
      <c r="AS2443" s="35">
        <f>INDEX(AS$80:AS$93,$D2443)/$E2443</f>
        <v/>
      </c>
      <c r="AT2443" s="35">
        <f>INDEX(AT$80:AT$93,$D2443)/$E2443</f>
        <v/>
      </c>
      <c r="AU2443" s="35">
        <f>INDEX(AU$80:AU$93,$D2443)/$E2443</f>
        <v/>
      </c>
      <c r="AV2443" s="35">
        <f>INDEX(AV$80:AV$93,$D2443)/$E2443</f>
        <v/>
      </c>
      <c r="AW2443" s="35">
        <f>INDEX(AW$80:AW$93,$D2443)/$E2443</f>
        <v/>
      </c>
      <c r="AX2443" s="35">
        <f>INDEX(AX$80:AX$93,$D2443)/$E2443</f>
        <v/>
      </c>
      <c r="AY2443" s="35">
        <f>INDEX(AY$80:AY$93,$D2443)/$E2443</f>
        <v/>
      </c>
      <c r="AZ2443" s="35">
        <f>INDEX(AZ$80:AZ$93,$D2443)/$E2443</f>
        <v/>
      </c>
      <c r="BA2443" s="42">
        <f>NEWEXCISE(INDEX(BA$80:BA$93,$D2443),$E2443)</f>
        <v/>
      </c>
    </row>
    <row r="2444" hidden="1" outlineLevel="2">
      <c r="A2444" s="14" t="inlineStr">
        <is>
          <t>ntx</t>
        </is>
      </c>
      <c r="B2444" s="14" t="inlineStr">
        <is>
          <t>ker</t>
        </is>
      </c>
      <c r="C2444" s="14" t="inlineStr">
        <is>
          <t>cem</t>
        </is>
      </c>
      <c r="D2444" s="35">
        <f>INDEX(Inputs!$N$5:$N$132,MATCH($B2444&amp;"|"&amp;$C2444,Inputs!$A$5:$A$132,0))</f>
        <v/>
      </c>
      <c r="E2444" s="35">
        <f>INDEX(Inputs!$K$5:$K$132,MATCH($B2444&amp;"|"&amp;$C2444,Inputs!$A$5:$A$132,0))</f>
        <v/>
      </c>
      <c r="F2444" s="39" t="n"/>
      <c r="G2444" s="39" t="n"/>
      <c r="H2444" s="14">
        <f>INDEX(VarLab,MATCH($A2444,VarKey,0))&amp;INDEX(MemLab,MATCH($C2444&amp;"|"&amp;$B2444,MemKey,0))</f>
        <v/>
      </c>
      <c r="I2444" s="14">
        <f>INDEX(VarUnit,MATCH($A2444,VarKey,0))</f>
        <v/>
      </c>
      <c r="J2444" s="14">
        <f>INDEX(VarSrc,MATCH($A2444,VarKey,0))</f>
        <v/>
      </c>
      <c r="K2444" s="11">
        <f>CodePrefix&amp;$A2444&amp;IF($C2444="","","."&amp;$C2444&amp;"."&amp;$B2444)&amp;INDEX(VarEnd,MATCH($A2444,VarKey,0))&amp;K$5</f>
        <v/>
      </c>
      <c r="L2444" s="40">
        <f>INDEX(L$80:L$93,$D2444)/$E2444</f>
        <v/>
      </c>
      <c r="M2444" s="35">
        <f>INDEX(M$80:M$93,$D2444)/$E2444</f>
        <v/>
      </c>
      <c r="N2444" s="35">
        <f>INDEX(N$80:N$93,$D2444)/$E2444</f>
        <v/>
      </c>
      <c r="O2444" s="35">
        <f>INDEX(O$80:O$93,$D2444)/$E2444</f>
        <v/>
      </c>
      <c r="P2444" s="35">
        <f>INDEX(P$80:P$93,$D2444)/$E2444</f>
        <v/>
      </c>
      <c r="Q2444" s="35">
        <f>INDEX(Q$80:Q$93,$D2444)/$E2444</f>
        <v/>
      </c>
      <c r="R2444" s="35">
        <f>INDEX(R$80:R$93,$D2444)/$E2444</f>
        <v/>
      </c>
      <c r="S2444" s="35">
        <f>INDEX(S$80:S$93,$D2444)/$E2444</f>
        <v/>
      </c>
      <c r="T2444" s="35">
        <f>INDEX(T$80:T$93,$D2444)/$E2444</f>
        <v/>
      </c>
      <c r="U2444" s="35">
        <f>INDEX(U$80:U$93,$D2444)/$E2444</f>
        <v/>
      </c>
      <c r="V2444" s="35">
        <f>INDEX(V$80:V$93,$D2444)/$E2444</f>
        <v/>
      </c>
      <c r="W2444" s="35">
        <f>INDEX(W$80:W$93,$D2444)/$E2444</f>
        <v/>
      </c>
      <c r="X2444" s="35">
        <f>INDEX(X$80:X$93,$D2444)/$E2444</f>
        <v/>
      </c>
      <c r="Y2444" s="35">
        <f>INDEX(Y$80:Y$93,$D2444)/$E2444</f>
        <v/>
      </c>
      <c r="Z2444" s="35">
        <f>INDEX(Z$80:Z$93,$D2444)/$E2444</f>
        <v/>
      </c>
      <c r="AA2444" s="35">
        <f>INDEX(AA$80:AA$93,$D2444)/$E2444</f>
        <v/>
      </c>
      <c r="AB2444" s="35">
        <f>INDEX(AB$80:AB$93,$D2444)/$E2444</f>
        <v/>
      </c>
      <c r="AC2444" s="35">
        <f>INDEX(AC$80:AC$93,$D2444)/$E2444</f>
        <v/>
      </c>
      <c r="AD2444" s="35">
        <f>INDEX(AD$80:AD$93,$D2444)/$E2444</f>
        <v/>
      </c>
      <c r="AE2444" s="42">
        <f>NEWEXCISE(INDEX(AE$80:AE$93,$D2444),$E2444)</f>
        <v/>
      </c>
      <c r="AG2444" s="11">
        <f>CodePrefix&amp;$A2444&amp;IF($C2444="","","."&amp;$C2444&amp;"."&amp;$B2444)&amp;INDEX(VarEnd,MATCH($A2444,VarKey,0))&amp;AG$5</f>
        <v/>
      </c>
      <c r="AH2444" s="40">
        <f>INDEX(AH$80:AH$93,$D2444)/$E2444</f>
        <v/>
      </c>
      <c r="AI2444" s="35">
        <f>INDEX(AI$80:AI$93,$D2444)/$E2444</f>
        <v/>
      </c>
      <c r="AJ2444" s="35">
        <f>INDEX(AJ$80:AJ$93,$D2444)/$E2444</f>
        <v/>
      </c>
      <c r="AK2444" s="35">
        <f>INDEX(AK$80:AK$93,$D2444)/$E2444</f>
        <v/>
      </c>
      <c r="AL2444" s="35">
        <f>INDEX(AL$80:AL$93,$D2444)/$E2444</f>
        <v/>
      </c>
      <c r="AM2444" s="35">
        <f>INDEX(AM$80:AM$93,$D2444)/$E2444</f>
        <v/>
      </c>
      <c r="AN2444" s="35">
        <f>INDEX(AN$80:AN$93,$D2444)/$E2444</f>
        <v/>
      </c>
      <c r="AO2444" s="35">
        <f>INDEX(AO$80:AO$93,$D2444)/$E2444</f>
        <v/>
      </c>
      <c r="AP2444" s="35">
        <f>INDEX(AP$80:AP$93,$D2444)/$E2444</f>
        <v/>
      </c>
      <c r="AQ2444" s="35">
        <f>INDEX(AQ$80:AQ$93,$D2444)/$E2444</f>
        <v/>
      </c>
      <c r="AR2444" s="35">
        <f>INDEX(AR$80:AR$93,$D2444)/$E2444</f>
        <v/>
      </c>
      <c r="AS2444" s="35">
        <f>INDEX(AS$80:AS$93,$D2444)/$E2444</f>
        <v/>
      </c>
      <c r="AT2444" s="35">
        <f>INDEX(AT$80:AT$93,$D2444)/$E2444</f>
        <v/>
      </c>
      <c r="AU2444" s="35">
        <f>INDEX(AU$80:AU$93,$D2444)/$E2444</f>
        <v/>
      </c>
      <c r="AV2444" s="35">
        <f>INDEX(AV$80:AV$93,$D2444)/$E2444</f>
        <v/>
      </c>
      <c r="AW2444" s="35">
        <f>INDEX(AW$80:AW$93,$D2444)/$E2444</f>
        <v/>
      </c>
      <c r="AX2444" s="35">
        <f>INDEX(AX$80:AX$93,$D2444)/$E2444</f>
        <v/>
      </c>
      <c r="AY2444" s="35">
        <f>INDEX(AY$80:AY$93,$D2444)/$E2444</f>
        <v/>
      </c>
      <c r="AZ2444" s="35">
        <f>INDEX(AZ$80:AZ$93,$D2444)/$E2444</f>
        <v/>
      </c>
      <c r="BA2444" s="42">
        <f>NEWEXCISE(INDEX(BA$80:BA$93,$D2444),$E2444)</f>
        <v/>
      </c>
    </row>
    <row r="2445" hidden="1" outlineLevel="2">
      <c r="A2445" s="14" t="inlineStr">
        <is>
          <t>ntx</t>
        </is>
      </c>
      <c r="B2445" s="14" t="inlineStr">
        <is>
          <t>oop</t>
        </is>
      </c>
      <c r="C2445" s="14" t="inlineStr">
        <is>
          <t>cem</t>
        </is>
      </c>
      <c r="D2445" s="35">
        <f>INDEX(Inputs!$N$5:$N$132,MATCH($B2445&amp;"|"&amp;$C2445,Inputs!$A$5:$A$132,0))</f>
        <v/>
      </c>
      <c r="E2445" s="35">
        <f>INDEX(Inputs!$K$5:$K$132,MATCH($B2445&amp;"|"&amp;$C2445,Inputs!$A$5:$A$132,0))</f>
        <v/>
      </c>
      <c r="F2445" s="39" t="n"/>
      <c r="G2445" s="39" t="n"/>
      <c r="H2445" s="14">
        <f>INDEX(VarLab,MATCH($A2445,VarKey,0))&amp;INDEX(MemLab,MATCH($C2445&amp;"|"&amp;$B2445,MemKey,0))</f>
        <v/>
      </c>
      <c r="I2445" s="14">
        <f>INDEX(VarUnit,MATCH($A2445,VarKey,0))</f>
        <v/>
      </c>
      <c r="J2445" s="14">
        <f>INDEX(VarSrc,MATCH($A2445,VarKey,0))</f>
        <v/>
      </c>
      <c r="K2445" s="11">
        <f>CodePrefix&amp;$A2445&amp;IF($C2445="","","."&amp;$C2445&amp;"."&amp;$B2445)&amp;INDEX(VarEnd,MATCH($A2445,VarKey,0))&amp;K$5</f>
        <v/>
      </c>
      <c r="L2445" s="40">
        <f>INDEX(L$80:L$93,$D2445)/$E2445</f>
        <v/>
      </c>
      <c r="M2445" s="35">
        <f>INDEX(M$80:M$93,$D2445)/$E2445</f>
        <v/>
      </c>
      <c r="N2445" s="35">
        <f>INDEX(N$80:N$93,$D2445)/$E2445</f>
        <v/>
      </c>
      <c r="O2445" s="35">
        <f>INDEX(O$80:O$93,$D2445)/$E2445</f>
        <v/>
      </c>
      <c r="P2445" s="35">
        <f>INDEX(P$80:P$93,$D2445)/$E2445</f>
        <v/>
      </c>
      <c r="Q2445" s="35">
        <f>INDEX(Q$80:Q$93,$D2445)/$E2445</f>
        <v/>
      </c>
      <c r="R2445" s="35">
        <f>INDEX(R$80:R$93,$D2445)/$E2445</f>
        <v/>
      </c>
      <c r="S2445" s="35">
        <f>INDEX(S$80:S$93,$D2445)/$E2445</f>
        <v/>
      </c>
      <c r="T2445" s="35">
        <f>INDEX(T$80:T$93,$D2445)/$E2445</f>
        <v/>
      </c>
      <c r="U2445" s="35">
        <f>INDEX(U$80:U$93,$D2445)/$E2445</f>
        <v/>
      </c>
      <c r="V2445" s="35">
        <f>INDEX(V$80:V$93,$D2445)/$E2445</f>
        <v/>
      </c>
      <c r="W2445" s="35">
        <f>INDEX(W$80:W$93,$D2445)/$E2445</f>
        <v/>
      </c>
      <c r="X2445" s="35">
        <f>INDEX(X$80:X$93,$D2445)/$E2445</f>
        <v/>
      </c>
      <c r="Y2445" s="35">
        <f>INDEX(Y$80:Y$93,$D2445)/$E2445</f>
        <v/>
      </c>
      <c r="Z2445" s="35">
        <f>INDEX(Z$80:Z$93,$D2445)/$E2445</f>
        <v/>
      </c>
      <c r="AA2445" s="35">
        <f>INDEX(AA$80:AA$93,$D2445)/$E2445</f>
        <v/>
      </c>
      <c r="AB2445" s="35">
        <f>INDEX(AB$80:AB$93,$D2445)/$E2445</f>
        <v/>
      </c>
      <c r="AC2445" s="35">
        <f>INDEX(AC$80:AC$93,$D2445)/$E2445</f>
        <v/>
      </c>
      <c r="AD2445" s="35">
        <f>INDEX(AD$80:AD$93,$D2445)/$E2445</f>
        <v/>
      </c>
      <c r="AE2445" s="42">
        <f>NEWEXCISE(INDEX(AE$80:AE$93,$D2445),$E2445)</f>
        <v/>
      </c>
      <c r="AG2445" s="11">
        <f>CodePrefix&amp;$A2445&amp;IF($C2445="","","."&amp;$C2445&amp;"."&amp;$B2445)&amp;INDEX(VarEnd,MATCH($A2445,VarKey,0))&amp;AG$5</f>
        <v/>
      </c>
      <c r="AH2445" s="40">
        <f>INDEX(AH$80:AH$93,$D2445)/$E2445</f>
        <v/>
      </c>
      <c r="AI2445" s="35">
        <f>INDEX(AI$80:AI$93,$D2445)/$E2445</f>
        <v/>
      </c>
      <c r="AJ2445" s="35">
        <f>INDEX(AJ$80:AJ$93,$D2445)/$E2445</f>
        <v/>
      </c>
      <c r="AK2445" s="35">
        <f>INDEX(AK$80:AK$93,$D2445)/$E2445</f>
        <v/>
      </c>
      <c r="AL2445" s="35">
        <f>INDEX(AL$80:AL$93,$D2445)/$E2445</f>
        <v/>
      </c>
      <c r="AM2445" s="35">
        <f>INDEX(AM$80:AM$93,$D2445)/$E2445</f>
        <v/>
      </c>
      <c r="AN2445" s="35">
        <f>INDEX(AN$80:AN$93,$D2445)/$E2445</f>
        <v/>
      </c>
      <c r="AO2445" s="35">
        <f>INDEX(AO$80:AO$93,$D2445)/$E2445</f>
        <v/>
      </c>
      <c r="AP2445" s="35">
        <f>INDEX(AP$80:AP$93,$D2445)/$E2445</f>
        <v/>
      </c>
      <c r="AQ2445" s="35">
        <f>INDEX(AQ$80:AQ$93,$D2445)/$E2445</f>
        <v/>
      </c>
      <c r="AR2445" s="35">
        <f>INDEX(AR$80:AR$93,$D2445)/$E2445</f>
        <v/>
      </c>
      <c r="AS2445" s="35">
        <f>INDEX(AS$80:AS$93,$D2445)/$E2445</f>
        <v/>
      </c>
      <c r="AT2445" s="35">
        <f>INDEX(AT$80:AT$93,$D2445)/$E2445</f>
        <v/>
      </c>
      <c r="AU2445" s="35">
        <f>INDEX(AU$80:AU$93,$D2445)/$E2445</f>
        <v/>
      </c>
      <c r="AV2445" s="35">
        <f>INDEX(AV$80:AV$93,$D2445)/$E2445</f>
        <v/>
      </c>
      <c r="AW2445" s="35">
        <f>INDEX(AW$80:AW$93,$D2445)/$E2445</f>
        <v/>
      </c>
      <c r="AX2445" s="35">
        <f>INDEX(AX$80:AX$93,$D2445)/$E2445</f>
        <v/>
      </c>
      <c r="AY2445" s="35">
        <f>INDEX(AY$80:AY$93,$D2445)/$E2445</f>
        <v/>
      </c>
      <c r="AZ2445" s="35">
        <f>INDEX(AZ$80:AZ$93,$D2445)/$E2445</f>
        <v/>
      </c>
      <c r="BA2445" s="42">
        <f>NEWEXCISE(INDEX(BA$80:BA$93,$D2445),$E2445)</f>
        <v/>
      </c>
    </row>
    <row r="2446" hidden="1" outlineLevel="2">
      <c r="A2446" s="14" t="inlineStr">
        <is>
          <t>ntx</t>
        </is>
      </c>
      <c r="B2446" s="14" t="inlineStr">
        <is>
          <t>bio</t>
        </is>
      </c>
      <c r="C2446" s="14" t="inlineStr">
        <is>
          <t>cem</t>
        </is>
      </c>
      <c r="D2446" s="35">
        <f>INDEX(Inputs!$N$5:$N$132,MATCH($B2446&amp;"|"&amp;$C2446,Inputs!$A$5:$A$132,0))</f>
        <v/>
      </c>
      <c r="E2446" s="35">
        <f>INDEX(Inputs!$K$5:$K$132,MATCH($B2446&amp;"|"&amp;$C2446,Inputs!$A$5:$A$132,0))</f>
        <v/>
      </c>
      <c r="F2446" s="39" t="n"/>
      <c r="G2446" s="39" t="n"/>
      <c r="H2446" s="14">
        <f>INDEX(VarLab,MATCH($A2446,VarKey,0))&amp;INDEX(MemLab,MATCH($C2446&amp;"|"&amp;$B2446,MemKey,0))</f>
        <v/>
      </c>
      <c r="I2446" s="14">
        <f>INDEX(VarUnit,MATCH($A2446,VarKey,0))</f>
        <v/>
      </c>
      <c r="J2446" s="14">
        <f>INDEX(VarSrc,MATCH($A2446,VarKey,0))</f>
        <v/>
      </c>
      <c r="K2446" s="11">
        <f>CodePrefix&amp;$A2446&amp;IF($C2446="","","."&amp;$C2446&amp;"."&amp;$B2446)&amp;INDEX(VarEnd,MATCH($A2446,VarKey,0))&amp;K$5</f>
        <v/>
      </c>
      <c r="L2446" s="40">
        <f>INDEX(L$80:L$93,$D2446)/$E2446</f>
        <v/>
      </c>
      <c r="M2446" s="35">
        <f>INDEX(M$80:M$93,$D2446)/$E2446</f>
        <v/>
      </c>
      <c r="N2446" s="35">
        <f>INDEX(N$80:N$93,$D2446)/$E2446</f>
        <v/>
      </c>
      <c r="O2446" s="35">
        <f>INDEX(O$80:O$93,$D2446)/$E2446</f>
        <v/>
      </c>
      <c r="P2446" s="35">
        <f>INDEX(P$80:P$93,$D2446)/$E2446</f>
        <v/>
      </c>
      <c r="Q2446" s="35">
        <f>INDEX(Q$80:Q$93,$D2446)/$E2446</f>
        <v/>
      </c>
      <c r="R2446" s="35">
        <f>INDEX(R$80:R$93,$D2446)/$E2446</f>
        <v/>
      </c>
      <c r="S2446" s="35">
        <f>INDEX(S$80:S$93,$D2446)/$E2446</f>
        <v/>
      </c>
      <c r="T2446" s="35">
        <f>INDEX(T$80:T$93,$D2446)/$E2446</f>
        <v/>
      </c>
      <c r="U2446" s="35">
        <f>INDEX(U$80:U$93,$D2446)/$E2446</f>
        <v/>
      </c>
      <c r="V2446" s="35">
        <f>INDEX(V$80:V$93,$D2446)/$E2446</f>
        <v/>
      </c>
      <c r="W2446" s="35">
        <f>INDEX(W$80:W$93,$D2446)/$E2446</f>
        <v/>
      </c>
      <c r="X2446" s="35">
        <f>INDEX(X$80:X$93,$D2446)/$E2446</f>
        <v/>
      </c>
      <c r="Y2446" s="35">
        <f>INDEX(Y$80:Y$93,$D2446)/$E2446</f>
        <v/>
      </c>
      <c r="Z2446" s="35">
        <f>INDEX(Z$80:Z$93,$D2446)/$E2446</f>
        <v/>
      </c>
      <c r="AA2446" s="35">
        <f>INDEX(AA$80:AA$93,$D2446)/$E2446</f>
        <v/>
      </c>
      <c r="AB2446" s="35">
        <f>INDEX(AB$80:AB$93,$D2446)/$E2446</f>
        <v/>
      </c>
      <c r="AC2446" s="35">
        <f>INDEX(AC$80:AC$93,$D2446)/$E2446</f>
        <v/>
      </c>
      <c r="AD2446" s="35">
        <f>INDEX(AD$80:AD$93,$D2446)/$E2446</f>
        <v/>
      </c>
      <c r="AE2446" s="42">
        <f>NEWEXCISE(INDEX(AE$80:AE$93,$D2446),$E2446)</f>
        <v/>
      </c>
      <c r="AG2446" s="11">
        <f>CodePrefix&amp;$A2446&amp;IF($C2446="","","."&amp;$C2446&amp;"."&amp;$B2446)&amp;INDEX(VarEnd,MATCH($A2446,VarKey,0))&amp;AG$5</f>
        <v/>
      </c>
      <c r="AH2446" s="40">
        <f>INDEX(AH$80:AH$93,$D2446)/$E2446</f>
        <v/>
      </c>
      <c r="AI2446" s="35">
        <f>INDEX(AI$80:AI$93,$D2446)/$E2446</f>
        <v/>
      </c>
      <c r="AJ2446" s="35">
        <f>INDEX(AJ$80:AJ$93,$D2446)/$E2446</f>
        <v/>
      </c>
      <c r="AK2446" s="35">
        <f>INDEX(AK$80:AK$93,$D2446)/$E2446</f>
        <v/>
      </c>
      <c r="AL2446" s="35">
        <f>INDEX(AL$80:AL$93,$D2446)/$E2446</f>
        <v/>
      </c>
      <c r="AM2446" s="35">
        <f>INDEX(AM$80:AM$93,$D2446)/$E2446</f>
        <v/>
      </c>
      <c r="AN2446" s="35">
        <f>INDEX(AN$80:AN$93,$D2446)/$E2446</f>
        <v/>
      </c>
      <c r="AO2446" s="35">
        <f>INDEX(AO$80:AO$93,$D2446)/$E2446</f>
        <v/>
      </c>
      <c r="AP2446" s="35">
        <f>INDEX(AP$80:AP$93,$D2446)/$E2446</f>
        <v/>
      </c>
      <c r="AQ2446" s="35">
        <f>INDEX(AQ$80:AQ$93,$D2446)/$E2446</f>
        <v/>
      </c>
      <c r="AR2446" s="35">
        <f>INDEX(AR$80:AR$93,$D2446)/$E2446</f>
        <v/>
      </c>
      <c r="AS2446" s="35">
        <f>INDEX(AS$80:AS$93,$D2446)/$E2446</f>
        <v/>
      </c>
      <c r="AT2446" s="35">
        <f>INDEX(AT$80:AT$93,$D2446)/$E2446</f>
        <v/>
      </c>
      <c r="AU2446" s="35">
        <f>INDEX(AU$80:AU$93,$D2446)/$E2446</f>
        <v/>
      </c>
      <c r="AV2446" s="35">
        <f>INDEX(AV$80:AV$93,$D2446)/$E2446</f>
        <v/>
      </c>
      <c r="AW2446" s="35">
        <f>INDEX(AW$80:AW$93,$D2446)/$E2446</f>
        <v/>
      </c>
      <c r="AX2446" s="35">
        <f>INDEX(AX$80:AX$93,$D2446)/$E2446</f>
        <v/>
      </c>
      <c r="AY2446" s="35">
        <f>INDEX(AY$80:AY$93,$D2446)/$E2446</f>
        <v/>
      </c>
      <c r="AZ2446" s="35">
        <f>INDEX(AZ$80:AZ$93,$D2446)/$E2446</f>
        <v/>
      </c>
      <c r="BA2446" s="42">
        <f>NEWEXCISE(INDEX(BA$80:BA$93,$D2446),$E2446)</f>
        <v/>
      </c>
    </row>
    <row r="2447" hidden="1" outlineLevel="2"/>
    <row r="2448" hidden="1" outlineLevel="2">
      <c r="A2448" s="14" t="inlineStr">
        <is>
          <t>nce</t>
        </is>
      </c>
      <c r="B2448" s="14" t="inlineStr">
        <is>
          <t>coa</t>
        </is>
      </c>
      <c r="C2448" s="14" t="inlineStr">
        <is>
          <t>cem</t>
        </is>
      </c>
      <c r="D2448" s="39" t="n"/>
      <c r="E2448" s="39" t="n"/>
      <c r="F2448" s="39" t="n"/>
      <c r="G2448" s="39" t="n"/>
      <c r="H2448" s="14">
        <f>INDEX(VarLab,MATCH($A2448,VarKey,0))&amp;INDEX(MemLab,MATCH($C2448&amp;"|"&amp;$B2448,MemKey,0))</f>
        <v/>
      </c>
      <c r="I2448" s="14">
        <f>INDEX(VarUnit,MATCH($A2448,VarKey,0))</f>
        <v/>
      </c>
      <c r="J2448" s="14">
        <f>INDEX(VarSrc,MATCH($A2448,VarKey,0))</f>
        <v/>
      </c>
      <c r="K2448" s="11">
        <f>CodePrefix&amp;$A2448&amp;IF($C2448="","","."&amp;$C2448&amp;"."&amp;$B2448)&amp;INDEX(VarEnd,MATCH($A2448,VarKey,0))&amp;K$5</f>
        <v/>
      </c>
      <c r="L2448" s="40">
        <f>L2421+L2430+L2439</f>
        <v/>
      </c>
      <c r="M2448" s="35">
        <f>M2421+M2430+M2439</f>
        <v/>
      </c>
      <c r="N2448" s="35">
        <f>N2421+N2430+N2439</f>
        <v/>
      </c>
      <c r="O2448" s="35">
        <f>O2421+O2430+O2439</f>
        <v/>
      </c>
      <c r="P2448" s="35">
        <f>P2421+P2430+P2439</f>
        <v/>
      </c>
      <c r="Q2448" s="35">
        <f>Q2421+Q2430+Q2439</f>
        <v/>
      </c>
      <c r="R2448" s="35">
        <f>R2421+R2430+R2439</f>
        <v/>
      </c>
      <c r="S2448" s="35">
        <f>S2421+S2430+S2439</f>
        <v/>
      </c>
      <c r="T2448" s="35">
        <f>T2421+T2430+T2439</f>
        <v/>
      </c>
      <c r="U2448" s="35">
        <f>U2421+U2430+U2439</f>
        <v/>
      </c>
      <c r="V2448" s="35">
        <f>V2421+V2430+V2439</f>
        <v/>
      </c>
      <c r="W2448" s="35">
        <f>W2421+W2430+W2439</f>
        <v/>
      </c>
      <c r="X2448" s="35">
        <f>X2421+X2430+X2439</f>
        <v/>
      </c>
      <c r="Y2448" s="35">
        <f>Y2421+Y2430+Y2439</f>
        <v/>
      </c>
      <c r="Z2448" s="35">
        <f>Z2421+Z2430+Z2439</f>
        <v/>
      </c>
      <c r="AA2448" s="35">
        <f>AA2421+AA2430+AA2439</f>
        <v/>
      </c>
      <c r="AB2448" s="35">
        <f>AB2421+AB2430+AB2439</f>
        <v/>
      </c>
      <c r="AC2448" s="35">
        <f>AC2421+AC2430+AC2439</f>
        <v/>
      </c>
      <c r="AD2448" s="35">
        <f>AD2421+AD2430+AD2439</f>
        <v/>
      </c>
      <c r="AE2448" s="42">
        <f>NEWPOLICY(AE2421,AE2430,AE2439)</f>
        <v/>
      </c>
      <c r="AG2448" s="11">
        <f>CodePrefix&amp;$A2448&amp;IF($C2448="","","."&amp;$C2448&amp;"."&amp;$B2448)&amp;INDEX(VarEnd,MATCH($A2448,VarKey,0))&amp;AG$5</f>
        <v/>
      </c>
      <c r="AH2448" s="40">
        <f>AH2421+AH2430+AH2439</f>
        <v/>
      </c>
      <c r="AI2448" s="35">
        <f>AI2421+AI2430+AI2439</f>
        <v/>
      </c>
      <c r="AJ2448" s="35">
        <f>AJ2421+AJ2430+AJ2439</f>
        <v/>
      </c>
      <c r="AK2448" s="35">
        <f>AK2421+AK2430+AK2439</f>
        <v/>
      </c>
      <c r="AL2448" s="35">
        <f>AL2421+AL2430+AL2439</f>
        <v/>
      </c>
      <c r="AM2448" s="35">
        <f>AM2421+AM2430+AM2439</f>
        <v/>
      </c>
      <c r="AN2448" s="35">
        <f>AN2421+AN2430+AN2439</f>
        <v/>
      </c>
      <c r="AO2448" s="35">
        <f>AO2421+AO2430+AO2439</f>
        <v/>
      </c>
      <c r="AP2448" s="35">
        <f>AP2421+AP2430+AP2439</f>
        <v/>
      </c>
      <c r="AQ2448" s="35">
        <f>AQ2421+AQ2430+AQ2439</f>
        <v/>
      </c>
      <c r="AR2448" s="35">
        <f>AR2421+AR2430+AR2439</f>
        <v/>
      </c>
      <c r="AS2448" s="35">
        <f>AS2421+AS2430+AS2439</f>
        <v/>
      </c>
      <c r="AT2448" s="35">
        <f>AT2421+AT2430+AT2439</f>
        <v/>
      </c>
      <c r="AU2448" s="35">
        <f>AU2421+AU2430+AU2439</f>
        <v/>
      </c>
      <c r="AV2448" s="35">
        <f>AV2421+AV2430+AV2439</f>
        <v/>
      </c>
      <c r="AW2448" s="35">
        <f>AW2421+AW2430+AW2439</f>
        <v/>
      </c>
      <c r="AX2448" s="35">
        <f>AX2421+AX2430+AX2439</f>
        <v/>
      </c>
      <c r="AY2448" s="35">
        <f>AY2421+AY2430+AY2439</f>
        <v/>
      </c>
      <c r="AZ2448" s="35">
        <f>AZ2421+AZ2430+AZ2439</f>
        <v/>
      </c>
      <c r="BA2448" s="42">
        <f>NEWPOLICY(BA2421,BA2430,BA2439)</f>
        <v/>
      </c>
    </row>
    <row r="2449" hidden="1" outlineLevel="2">
      <c r="A2449" s="14" t="inlineStr">
        <is>
          <t>nce</t>
        </is>
      </c>
      <c r="B2449" s="14" t="inlineStr">
        <is>
          <t>nga</t>
        </is>
      </c>
      <c r="C2449" s="14" t="inlineStr">
        <is>
          <t>cem</t>
        </is>
      </c>
      <c r="D2449" s="39" t="n"/>
      <c r="E2449" s="39" t="n"/>
      <c r="F2449" s="39" t="n"/>
      <c r="G2449" s="39" t="n"/>
      <c r="H2449" s="14">
        <f>INDEX(VarLab,MATCH($A2449,VarKey,0))&amp;INDEX(MemLab,MATCH($C2449&amp;"|"&amp;$B2449,MemKey,0))</f>
        <v/>
      </c>
      <c r="I2449" s="14">
        <f>INDEX(VarUnit,MATCH($A2449,VarKey,0))</f>
        <v/>
      </c>
      <c r="J2449" s="14">
        <f>INDEX(VarSrc,MATCH($A2449,VarKey,0))</f>
        <v/>
      </c>
      <c r="K2449" s="11">
        <f>CodePrefix&amp;$A2449&amp;IF($C2449="","","."&amp;$C2449&amp;"."&amp;$B2449)&amp;INDEX(VarEnd,MATCH($A2449,VarKey,0))&amp;K$5</f>
        <v/>
      </c>
      <c r="L2449" s="40">
        <f>L2422+L2431+L2440</f>
        <v/>
      </c>
      <c r="M2449" s="35">
        <f>M2422+M2431+M2440</f>
        <v/>
      </c>
      <c r="N2449" s="35">
        <f>N2422+N2431+N2440</f>
        <v/>
      </c>
      <c r="O2449" s="35">
        <f>O2422+O2431+O2440</f>
        <v/>
      </c>
      <c r="P2449" s="35">
        <f>P2422+P2431+P2440</f>
        <v/>
      </c>
      <c r="Q2449" s="35">
        <f>Q2422+Q2431+Q2440</f>
        <v/>
      </c>
      <c r="R2449" s="35">
        <f>R2422+R2431+R2440</f>
        <v/>
      </c>
      <c r="S2449" s="35">
        <f>S2422+S2431+S2440</f>
        <v/>
      </c>
      <c r="T2449" s="35">
        <f>T2422+T2431+T2440</f>
        <v/>
      </c>
      <c r="U2449" s="35">
        <f>U2422+U2431+U2440</f>
        <v/>
      </c>
      <c r="V2449" s="35">
        <f>V2422+V2431+V2440</f>
        <v/>
      </c>
      <c r="W2449" s="35">
        <f>W2422+W2431+W2440</f>
        <v/>
      </c>
      <c r="X2449" s="35">
        <f>X2422+X2431+X2440</f>
        <v/>
      </c>
      <c r="Y2449" s="35">
        <f>Y2422+Y2431+Y2440</f>
        <v/>
      </c>
      <c r="Z2449" s="35">
        <f>Z2422+Z2431+Z2440</f>
        <v/>
      </c>
      <c r="AA2449" s="35">
        <f>AA2422+AA2431+AA2440</f>
        <v/>
      </c>
      <c r="AB2449" s="35">
        <f>AB2422+AB2431+AB2440</f>
        <v/>
      </c>
      <c r="AC2449" s="35">
        <f>AC2422+AC2431+AC2440</f>
        <v/>
      </c>
      <c r="AD2449" s="35">
        <f>AD2422+AD2431+AD2440</f>
        <v/>
      </c>
      <c r="AE2449" s="42">
        <f>NEWPOLICY(AE2422,AE2431,AE2440)</f>
        <v/>
      </c>
      <c r="AG2449" s="11">
        <f>CodePrefix&amp;$A2449&amp;IF($C2449="","","."&amp;$C2449&amp;"."&amp;$B2449)&amp;INDEX(VarEnd,MATCH($A2449,VarKey,0))&amp;AG$5</f>
        <v/>
      </c>
      <c r="AH2449" s="40">
        <f>AH2422+AH2431+AH2440</f>
        <v/>
      </c>
      <c r="AI2449" s="35">
        <f>AI2422+AI2431+AI2440</f>
        <v/>
      </c>
      <c r="AJ2449" s="35">
        <f>AJ2422+AJ2431+AJ2440</f>
        <v/>
      </c>
      <c r="AK2449" s="35">
        <f>AK2422+AK2431+AK2440</f>
        <v/>
      </c>
      <c r="AL2449" s="35">
        <f>AL2422+AL2431+AL2440</f>
        <v/>
      </c>
      <c r="AM2449" s="35">
        <f>AM2422+AM2431+AM2440</f>
        <v/>
      </c>
      <c r="AN2449" s="35">
        <f>AN2422+AN2431+AN2440</f>
        <v/>
      </c>
      <c r="AO2449" s="35">
        <f>AO2422+AO2431+AO2440</f>
        <v/>
      </c>
      <c r="AP2449" s="35">
        <f>AP2422+AP2431+AP2440</f>
        <v/>
      </c>
      <c r="AQ2449" s="35">
        <f>AQ2422+AQ2431+AQ2440</f>
        <v/>
      </c>
      <c r="AR2449" s="35">
        <f>AR2422+AR2431+AR2440</f>
        <v/>
      </c>
      <c r="AS2449" s="35">
        <f>AS2422+AS2431+AS2440</f>
        <v/>
      </c>
      <c r="AT2449" s="35">
        <f>AT2422+AT2431+AT2440</f>
        <v/>
      </c>
      <c r="AU2449" s="35">
        <f>AU2422+AU2431+AU2440</f>
        <v/>
      </c>
      <c r="AV2449" s="35">
        <f>AV2422+AV2431+AV2440</f>
        <v/>
      </c>
      <c r="AW2449" s="35">
        <f>AW2422+AW2431+AW2440</f>
        <v/>
      </c>
      <c r="AX2449" s="35">
        <f>AX2422+AX2431+AX2440</f>
        <v/>
      </c>
      <c r="AY2449" s="35">
        <f>AY2422+AY2431+AY2440</f>
        <v/>
      </c>
      <c r="AZ2449" s="35">
        <f>AZ2422+AZ2431+AZ2440</f>
        <v/>
      </c>
      <c r="BA2449" s="42">
        <f>NEWPOLICY(BA2422,BA2431,BA2440)</f>
        <v/>
      </c>
    </row>
    <row r="2450" hidden="1" outlineLevel="2">
      <c r="A2450" s="14" t="inlineStr">
        <is>
          <t>nce</t>
        </is>
      </c>
      <c r="B2450" s="14" t="inlineStr">
        <is>
          <t>gso</t>
        </is>
      </c>
      <c r="C2450" s="14" t="inlineStr">
        <is>
          <t>cem</t>
        </is>
      </c>
      <c r="D2450" s="39" t="n"/>
      <c r="E2450" s="39" t="n"/>
      <c r="F2450" s="39" t="n"/>
      <c r="G2450" s="39" t="n"/>
      <c r="H2450" s="14">
        <f>INDEX(VarLab,MATCH($A2450,VarKey,0))&amp;INDEX(MemLab,MATCH($C2450&amp;"|"&amp;$B2450,MemKey,0))</f>
        <v/>
      </c>
      <c r="I2450" s="14">
        <f>INDEX(VarUnit,MATCH($A2450,VarKey,0))</f>
        <v/>
      </c>
      <c r="J2450" s="14">
        <f>INDEX(VarSrc,MATCH($A2450,VarKey,0))</f>
        <v/>
      </c>
      <c r="K2450" s="11">
        <f>CodePrefix&amp;$A2450&amp;IF($C2450="","","."&amp;$C2450&amp;"."&amp;$B2450)&amp;INDEX(VarEnd,MATCH($A2450,VarKey,0))&amp;K$5</f>
        <v/>
      </c>
      <c r="L2450" s="40">
        <f>L2423+L2432+L2441</f>
        <v/>
      </c>
      <c r="M2450" s="35">
        <f>M2423+M2432+M2441</f>
        <v/>
      </c>
      <c r="N2450" s="35">
        <f>N2423+N2432+N2441</f>
        <v/>
      </c>
      <c r="O2450" s="35">
        <f>O2423+O2432+O2441</f>
        <v/>
      </c>
      <c r="P2450" s="35">
        <f>P2423+P2432+P2441</f>
        <v/>
      </c>
      <c r="Q2450" s="35">
        <f>Q2423+Q2432+Q2441</f>
        <v/>
      </c>
      <c r="R2450" s="35">
        <f>R2423+R2432+R2441</f>
        <v/>
      </c>
      <c r="S2450" s="35">
        <f>S2423+S2432+S2441</f>
        <v/>
      </c>
      <c r="T2450" s="35">
        <f>T2423+T2432+T2441</f>
        <v/>
      </c>
      <c r="U2450" s="35">
        <f>U2423+U2432+U2441</f>
        <v/>
      </c>
      <c r="V2450" s="35">
        <f>V2423+V2432+V2441</f>
        <v/>
      </c>
      <c r="W2450" s="35">
        <f>W2423+W2432+W2441</f>
        <v/>
      </c>
      <c r="X2450" s="35">
        <f>X2423+X2432+X2441</f>
        <v/>
      </c>
      <c r="Y2450" s="35">
        <f>Y2423+Y2432+Y2441</f>
        <v/>
      </c>
      <c r="Z2450" s="35">
        <f>Z2423+Z2432+Z2441</f>
        <v/>
      </c>
      <c r="AA2450" s="35">
        <f>AA2423+AA2432+AA2441</f>
        <v/>
      </c>
      <c r="AB2450" s="35">
        <f>AB2423+AB2432+AB2441</f>
        <v/>
      </c>
      <c r="AC2450" s="35">
        <f>AC2423+AC2432+AC2441</f>
        <v/>
      </c>
      <c r="AD2450" s="35">
        <f>AD2423+AD2432+AD2441</f>
        <v/>
      </c>
      <c r="AE2450" s="42">
        <f>NEWPOLICY(AE2423,AE2432,AE2441)</f>
        <v/>
      </c>
      <c r="AG2450" s="11">
        <f>CodePrefix&amp;$A2450&amp;IF($C2450="","","."&amp;$C2450&amp;"."&amp;$B2450)&amp;INDEX(VarEnd,MATCH($A2450,VarKey,0))&amp;AG$5</f>
        <v/>
      </c>
      <c r="AH2450" s="40">
        <f>AH2423+AH2432+AH2441</f>
        <v/>
      </c>
      <c r="AI2450" s="35">
        <f>AI2423+AI2432+AI2441</f>
        <v/>
      </c>
      <c r="AJ2450" s="35">
        <f>AJ2423+AJ2432+AJ2441</f>
        <v/>
      </c>
      <c r="AK2450" s="35">
        <f>AK2423+AK2432+AK2441</f>
        <v/>
      </c>
      <c r="AL2450" s="35">
        <f>AL2423+AL2432+AL2441</f>
        <v/>
      </c>
      <c r="AM2450" s="35">
        <f>AM2423+AM2432+AM2441</f>
        <v/>
      </c>
      <c r="AN2450" s="35">
        <f>AN2423+AN2432+AN2441</f>
        <v/>
      </c>
      <c r="AO2450" s="35">
        <f>AO2423+AO2432+AO2441</f>
        <v/>
      </c>
      <c r="AP2450" s="35">
        <f>AP2423+AP2432+AP2441</f>
        <v/>
      </c>
      <c r="AQ2450" s="35">
        <f>AQ2423+AQ2432+AQ2441</f>
        <v/>
      </c>
      <c r="AR2450" s="35">
        <f>AR2423+AR2432+AR2441</f>
        <v/>
      </c>
      <c r="AS2450" s="35">
        <f>AS2423+AS2432+AS2441</f>
        <v/>
      </c>
      <c r="AT2450" s="35">
        <f>AT2423+AT2432+AT2441</f>
        <v/>
      </c>
      <c r="AU2450" s="35">
        <f>AU2423+AU2432+AU2441</f>
        <v/>
      </c>
      <c r="AV2450" s="35">
        <f>AV2423+AV2432+AV2441</f>
        <v/>
      </c>
      <c r="AW2450" s="35">
        <f>AW2423+AW2432+AW2441</f>
        <v/>
      </c>
      <c r="AX2450" s="35">
        <f>AX2423+AX2432+AX2441</f>
        <v/>
      </c>
      <c r="AY2450" s="35">
        <f>AY2423+AY2432+AY2441</f>
        <v/>
      </c>
      <c r="AZ2450" s="35">
        <f>AZ2423+AZ2432+AZ2441</f>
        <v/>
      </c>
      <c r="BA2450" s="42">
        <f>NEWPOLICY(BA2423,BA2432,BA2441)</f>
        <v/>
      </c>
    </row>
    <row r="2451" hidden="1" outlineLevel="2">
      <c r="A2451" s="14" t="inlineStr">
        <is>
          <t>nce</t>
        </is>
      </c>
      <c r="B2451" s="14" t="inlineStr">
        <is>
          <t>die</t>
        </is>
      </c>
      <c r="C2451" s="14" t="inlineStr">
        <is>
          <t>cem</t>
        </is>
      </c>
      <c r="D2451" s="39" t="n"/>
      <c r="E2451" s="39" t="n"/>
      <c r="F2451" s="39" t="n"/>
      <c r="G2451" s="39" t="n"/>
      <c r="H2451" s="14">
        <f>INDEX(VarLab,MATCH($A2451,VarKey,0))&amp;INDEX(MemLab,MATCH($C2451&amp;"|"&amp;$B2451,MemKey,0))</f>
        <v/>
      </c>
      <c r="I2451" s="14">
        <f>INDEX(VarUnit,MATCH($A2451,VarKey,0))</f>
        <v/>
      </c>
      <c r="J2451" s="14">
        <f>INDEX(VarSrc,MATCH($A2451,VarKey,0))</f>
        <v/>
      </c>
      <c r="K2451" s="11">
        <f>CodePrefix&amp;$A2451&amp;IF($C2451="","","."&amp;$C2451&amp;"."&amp;$B2451)&amp;INDEX(VarEnd,MATCH($A2451,VarKey,0))&amp;K$5</f>
        <v/>
      </c>
      <c r="L2451" s="40">
        <f>L2424+L2433+L2442</f>
        <v/>
      </c>
      <c r="M2451" s="35">
        <f>M2424+M2433+M2442</f>
        <v/>
      </c>
      <c r="N2451" s="35">
        <f>N2424+N2433+N2442</f>
        <v/>
      </c>
      <c r="O2451" s="35">
        <f>O2424+O2433+O2442</f>
        <v/>
      </c>
      <c r="P2451" s="35">
        <f>P2424+P2433+P2442</f>
        <v/>
      </c>
      <c r="Q2451" s="35">
        <f>Q2424+Q2433+Q2442</f>
        <v/>
      </c>
      <c r="R2451" s="35">
        <f>R2424+R2433+R2442</f>
        <v/>
      </c>
      <c r="S2451" s="35">
        <f>S2424+S2433+S2442</f>
        <v/>
      </c>
      <c r="T2451" s="35">
        <f>T2424+T2433+T2442</f>
        <v/>
      </c>
      <c r="U2451" s="35">
        <f>U2424+U2433+U2442</f>
        <v/>
      </c>
      <c r="V2451" s="35">
        <f>V2424+V2433+V2442</f>
        <v/>
      </c>
      <c r="W2451" s="35">
        <f>W2424+W2433+W2442</f>
        <v/>
      </c>
      <c r="X2451" s="35">
        <f>X2424+X2433+X2442</f>
        <v/>
      </c>
      <c r="Y2451" s="35">
        <f>Y2424+Y2433+Y2442</f>
        <v/>
      </c>
      <c r="Z2451" s="35">
        <f>Z2424+Z2433+Z2442</f>
        <v/>
      </c>
      <c r="AA2451" s="35">
        <f>AA2424+AA2433+AA2442</f>
        <v/>
      </c>
      <c r="AB2451" s="35">
        <f>AB2424+AB2433+AB2442</f>
        <v/>
      </c>
      <c r="AC2451" s="35">
        <f>AC2424+AC2433+AC2442</f>
        <v/>
      </c>
      <c r="AD2451" s="35">
        <f>AD2424+AD2433+AD2442</f>
        <v/>
      </c>
      <c r="AE2451" s="42">
        <f>NEWPOLICY(AE2424,AE2433,AE2442)</f>
        <v/>
      </c>
      <c r="AG2451" s="11">
        <f>CodePrefix&amp;$A2451&amp;IF($C2451="","","."&amp;$C2451&amp;"."&amp;$B2451)&amp;INDEX(VarEnd,MATCH($A2451,VarKey,0))&amp;AG$5</f>
        <v/>
      </c>
      <c r="AH2451" s="40">
        <f>AH2424+AH2433+AH2442</f>
        <v/>
      </c>
      <c r="AI2451" s="35">
        <f>AI2424+AI2433+AI2442</f>
        <v/>
      </c>
      <c r="AJ2451" s="35">
        <f>AJ2424+AJ2433+AJ2442</f>
        <v/>
      </c>
      <c r="AK2451" s="35">
        <f>AK2424+AK2433+AK2442</f>
        <v/>
      </c>
      <c r="AL2451" s="35">
        <f>AL2424+AL2433+AL2442</f>
        <v/>
      </c>
      <c r="AM2451" s="35">
        <f>AM2424+AM2433+AM2442</f>
        <v/>
      </c>
      <c r="AN2451" s="35">
        <f>AN2424+AN2433+AN2442</f>
        <v/>
      </c>
      <c r="AO2451" s="35">
        <f>AO2424+AO2433+AO2442</f>
        <v/>
      </c>
      <c r="AP2451" s="35">
        <f>AP2424+AP2433+AP2442</f>
        <v/>
      </c>
      <c r="AQ2451" s="35">
        <f>AQ2424+AQ2433+AQ2442</f>
        <v/>
      </c>
      <c r="AR2451" s="35">
        <f>AR2424+AR2433+AR2442</f>
        <v/>
      </c>
      <c r="AS2451" s="35">
        <f>AS2424+AS2433+AS2442</f>
        <v/>
      </c>
      <c r="AT2451" s="35">
        <f>AT2424+AT2433+AT2442</f>
        <v/>
      </c>
      <c r="AU2451" s="35">
        <f>AU2424+AU2433+AU2442</f>
        <v/>
      </c>
      <c r="AV2451" s="35">
        <f>AV2424+AV2433+AV2442</f>
        <v/>
      </c>
      <c r="AW2451" s="35">
        <f>AW2424+AW2433+AW2442</f>
        <v/>
      </c>
      <c r="AX2451" s="35">
        <f>AX2424+AX2433+AX2442</f>
        <v/>
      </c>
      <c r="AY2451" s="35">
        <f>AY2424+AY2433+AY2442</f>
        <v/>
      </c>
      <c r="AZ2451" s="35">
        <f>AZ2424+AZ2433+AZ2442</f>
        <v/>
      </c>
      <c r="BA2451" s="42">
        <f>NEWPOLICY(BA2424,BA2433,BA2442)</f>
        <v/>
      </c>
    </row>
    <row r="2452" hidden="1" outlineLevel="2">
      <c r="A2452" s="14" t="inlineStr">
        <is>
          <t>nce</t>
        </is>
      </c>
      <c r="B2452" s="14" t="inlineStr">
        <is>
          <t>lpg</t>
        </is>
      </c>
      <c r="C2452" s="14" t="inlineStr">
        <is>
          <t>cem</t>
        </is>
      </c>
      <c r="D2452" s="39" t="n"/>
      <c r="E2452" s="39" t="n"/>
      <c r="F2452" s="39" t="n"/>
      <c r="G2452" s="39" t="n"/>
      <c r="H2452" s="14">
        <f>INDEX(VarLab,MATCH($A2452,VarKey,0))&amp;INDEX(MemLab,MATCH($C2452&amp;"|"&amp;$B2452,MemKey,0))</f>
        <v/>
      </c>
      <c r="I2452" s="14">
        <f>INDEX(VarUnit,MATCH($A2452,VarKey,0))</f>
        <v/>
      </c>
      <c r="J2452" s="14">
        <f>INDEX(VarSrc,MATCH($A2452,VarKey,0))</f>
        <v/>
      </c>
      <c r="K2452" s="11">
        <f>CodePrefix&amp;$A2452&amp;IF($C2452="","","."&amp;$C2452&amp;"."&amp;$B2452)&amp;INDEX(VarEnd,MATCH($A2452,VarKey,0))&amp;K$5</f>
        <v/>
      </c>
      <c r="L2452" s="40">
        <f>L2425+L2434+L2443</f>
        <v/>
      </c>
      <c r="M2452" s="35">
        <f>M2425+M2434+M2443</f>
        <v/>
      </c>
      <c r="N2452" s="35">
        <f>N2425+N2434+N2443</f>
        <v/>
      </c>
      <c r="O2452" s="35">
        <f>O2425+O2434+O2443</f>
        <v/>
      </c>
      <c r="P2452" s="35">
        <f>P2425+P2434+P2443</f>
        <v/>
      </c>
      <c r="Q2452" s="35">
        <f>Q2425+Q2434+Q2443</f>
        <v/>
      </c>
      <c r="R2452" s="35">
        <f>R2425+R2434+R2443</f>
        <v/>
      </c>
      <c r="S2452" s="35">
        <f>S2425+S2434+S2443</f>
        <v/>
      </c>
      <c r="T2452" s="35">
        <f>T2425+T2434+T2443</f>
        <v/>
      </c>
      <c r="U2452" s="35">
        <f>U2425+U2434+U2443</f>
        <v/>
      </c>
      <c r="V2452" s="35">
        <f>V2425+V2434+V2443</f>
        <v/>
      </c>
      <c r="W2452" s="35">
        <f>W2425+W2434+W2443</f>
        <v/>
      </c>
      <c r="X2452" s="35">
        <f>X2425+X2434+X2443</f>
        <v/>
      </c>
      <c r="Y2452" s="35">
        <f>Y2425+Y2434+Y2443</f>
        <v/>
      </c>
      <c r="Z2452" s="35">
        <f>Z2425+Z2434+Z2443</f>
        <v/>
      </c>
      <c r="AA2452" s="35">
        <f>AA2425+AA2434+AA2443</f>
        <v/>
      </c>
      <c r="AB2452" s="35">
        <f>AB2425+AB2434+AB2443</f>
        <v/>
      </c>
      <c r="AC2452" s="35">
        <f>AC2425+AC2434+AC2443</f>
        <v/>
      </c>
      <c r="AD2452" s="35">
        <f>AD2425+AD2434+AD2443</f>
        <v/>
      </c>
      <c r="AE2452" s="42">
        <f>NEWPOLICY(AE2425,AE2434,AE2443)</f>
        <v/>
      </c>
      <c r="AG2452" s="11">
        <f>CodePrefix&amp;$A2452&amp;IF($C2452="","","."&amp;$C2452&amp;"."&amp;$B2452)&amp;INDEX(VarEnd,MATCH($A2452,VarKey,0))&amp;AG$5</f>
        <v/>
      </c>
      <c r="AH2452" s="40">
        <f>AH2425+AH2434+AH2443</f>
        <v/>
      </c>
      <c r="AI2452" s="35">
        <f>AI2425+AI2434+AI2443</f>
        <v/>
      </c>
      <c r="AJ2452" s="35">
        <f>AJ2425+AJ2434+AJ2443</f>
        <v/>
      </c>
      <c r="AK2452" s="35">
        <f>AK2425+AK2434+AK2443</f>
        <v/>
      </c>
      <c r="AL2452" s="35">
        <f>AL2425+AL2434+AL2443</f>
        <v/>
      </c>
      <c r="AM2452" s="35">
        <f>AM2425+AM2434+AM2443</f>
        <v/>
      </c>
      <c r="AN2452" s="35">
        <f>AN2425+AN2434+AN2443</f>
        <v/>
      </c>
      <c r="AO2452" s="35">
        <f>AO2425+AO2434+AO2443</f>
        <v/>
      </c>
      <c r="AP2452" s="35">
        <f>AP2425+AP2434+AP2443</f>
        <v/>
      </c>
      <c r="AQ2452" s="35">
        <f>AQ2425+AQ2434+AQ2443</f>
        <v/>
      </c>
      <c r="AR2452" s="35">
        <f>AR2425+AR2434+AR2443</f>
        <v/>
      </c>
      <c r="AS2452" s="35">
        <f>AS2425+AS2434+AS2443</f>
        <v/>
      </c>
      <c r="AT2452" s="35">
        <f>AT2425+AT2434+AT2443</f>
        <v/>
      </c>
      <c r="AU2452" s="35">
        <f>AU2425+AU2434+AU2443</f>
        <v/>
      </c>
      <c r="AV2452" s="35">
        <f>AV2425+AV2434+AV2443</f>
        <v/>
      </c>
      <c r="AW2452" s="35">
        <f>AW2425+AW2434+AW2443</f>
        <v/>
      </c>
      <c r="AX2452" s="35">
        <f>AX2425+AX2434+AX2443</f>
        <v/>
      </c>
      <c r="AY2452" s="35">
        <f>AY2425+AY2434+AY2443</f>
        <v/>
      </c>
      <c r="AZ2452" s="35">
        <f>AZ2425+AZ2434+AZ2443</f>
        <v/>
      </c>
      <c r="BA2452" s="42">
        <f>NEWPOLICY(BA2425,BA2434,BA2443)</f>
        <v/>
      </c>
    </row>
    <row r="2453" hidden="1" outlineLevel="2">
      <c r="A2453" s="14" t="inlineStr">
        <is>
          <t>nce</t>
        </is>
      </c>
      <c r="B2453" s="14" t="inlineStr">
        <is>
          <t>ker</t>
        </is>
      </c>
      <c r="C2453" s="14" t="inlineStr">
        <is>
          <t>cem</t>
        </is>
      </c>
      <c r="D2453" s="39" t="n"/>
      <c r="E2453" s="39" t="n"/>
      <c r="F2453" s="39" t="n"/>
      <c r="G2453" s="39" t="n"/>
      <c r="H2453" s="14">
        <f>INDEX(VarLab,MATCH($A2453,VarKey,0))&amp;INDEX(MemLab,MATCH($C2453&amp;"|"&amp;$B2453,MemKey,0))</f>
        <v/>
      </c>
      <c r="I2453" s="14">
        <f>INDEX(VarUnit,MATCH($A2453,VarKey,0))</f>
        <v/>
      </c>
      <c r="J2453" s="14">
        <f>INDEX(VarSrc,MATCH($A2453,VarKey,0))</f>
        <v/>
      </c>
      <c r="K2453" s="11">
        <f>CodePrefix&amp;$A2453&amp;IF($C2453="","","."&amp;$C2453&amp;"."&amp;$B2453)&amp;INDEX(VarEnd,MATCH($A2453,VarKey,0))&amp;K$5</f>
        <v/>
      </c>
      <c r="L2453" s="40">
        <f>L2426+L2435+L2444</f>
        <v/>
      </c>
      <c r="M2453" s="35">
        <f>M2426+M2435+M2444</f>
        <v/>
      </c>
      <c r="N2453" s="35">
        <f>N2426+N2435+N2444</f>
        <v/>
      </c>
      <c r="O2453" s="35">
        <f>O2426+O2435+O2444</f>
        <v/>
      </c>
      <c r="P2453" s="35">
        <f>P2426+P2435+P2444</f>
        <v/>
      </c>
      <c r="Q2453" s="35">
        <f>Q2426+Q2435+Q2444</f>
        <v/>
      </c>
      <c r="R2453" s="35">
        <f>R2426+R2435+R2444</f>
        <v/>
      </c>
      <c r="S2453" s="35">
        <f>S2426+S2435+S2444</f>
        <v/>
      </c>
      <c r="T2453" s="35">
        <f>T2426+T2435+T2444</f>
        <v/>
      </c>
      <c r="U2453" s="35">
        <f>U2426+U2435+U2444</f>
        <v/>
      </c>
      <c r="V2453" s="35">
        <f>V2426+V2435+V2444</f>
        <v/>
      </c>
      <c r="W2453" s="35">
        <f>W2426+W2435+W2444</f>
        <v/>
      </c>
      <c r="X2453" s="35">
        <f>X2426+X2435+X2444</f>
        <v/>
      </c>
      <c r="Y2453" s="35">
        <f>Y2426+Y2435+Y2444</f>
        <v/>
      </c>
      <c r="Z2453" s="35">
        <f>Z2426+Z2435+Z2444</f>
        <v/>
      </c>
      <c r="AA2453" s="35">
        <f>AA2426+AA2435+AA2444</f>
        <v/>
      </c>
      <c r="AB2453" s="35">
        <f>AB2426+AB2435+AB2444</f>
        <v/>
      </c>
      <c r="AC2453" s="35">
        <f>AC2426+AC2435+AC2444</f>
        <v/>
      </c>
      <c r="AD2453" s="35">
        <f>AD2426+AD2435+AD2444</f>
        <v/>
      </c>
      <c r="AE2453" s="42">
        <f>NEWPOLICY(AE2426,AE2435,AE2444)</f>
        <v/>
      </c>
      <c r="AG2453" s="11">
        <f>CodePrefix&amp;$A2453&amp;IF($C2453="","","."&amp;$C2453&amp;"."&amp;$B2453)&amp;INDEX(VarEnd,MATCH($A2453,VarKey,0))&amp;AG$5</f>
        <v/>
      </c>
      <c r="AH2453" s="40">
        <f>AH2426+AH2435+AH2444</f>
        <v/>
      </c>
      <c r="AI2453" s="35">
        <f>AI2426+AI2435+AI2444</f>
        <v/>
      </c>
      <c r="AJ2453" s="35">
        <f>AJ2426+AJ2435+AJ2444</f>
        <v/>
      </c>
      <c r="AK2453" s="35">
        <f>AK2426+AK2435+AK2444</f>
        <v/>
      </c>
      <c r="AL2453" s="35">
        <f>AL2426+AL2435+AL2444</f>
        <v/>
      </c>
      <c r="AM2453" s="35">
        <f>AM2426+AM2435+AM2444</f>
        <v/>
      </c>
      <c r="AN2453" s="35">
        <f>AN2426+AN2435+AN2444</f>
        <v/>
      </c>
      <c r="AO2453" s="35">
        <f>AO2426+AO2435+AO2444</f>
        <v/>
      </c>
      <c r="AP2453" s="35">
        <f>AP2426+AP2435+AP2444</f>
        <v/>
      </c>
      <c r="AQ2453" s="35">
        <f>AQ2426+AQ2435+AQ2444</f>
        <v/>
      </c>
      <c r="AR2453" s="35">
        <f>AR2426+AR2435+AR2444</f>
        <v/>
      </c>
      <c r="AS2453" s="35">
        <f>AS2426+AS2435+AS2444</f>
        <v/>
      </c>
      <c r="AT2453" s="35">
        <f>AT2426+AT2435+AT2444</f>
        <v/>
      </c>
      <c r="AU2453" s="35">
        <f>AU2426+AU2435+AU2444</f>
        <v/>
      </c>
      <c r="AV2453" s="35">
        <f>AV2426+AV2435+AV2444</f>
        <v/>
      </c>
      <c r="AW2453" s="35">
        <f>AW2426+AW2435+AW2444</f>
        <v/>
      </c>
      <c r="AX2453" s="35">
        <f>AX2426+AX2435+AX2444</f>
        <v/>
      </c>
      <c r="AY2453" s="35">
        <f>AY2426+AY2435+AY2444</f>
        <v/>
      </c>
      <c r="AZ2453" s="35">
        <f>AZ2426+AZ2435+AZ2444</f>
        <v/>
      </c>
      <c r="BA2453" s="42">
        <f>NEWPOLICY(BA2426,BA2435,BA2444)</f>
        <v/>
      </c>
    </row>
    <row r="2454" hidden="1" outlineLevel="2">
      <c r="A2454" s="14" t="inlineStr">
        <is>
          <t>nce</t>
        </is>
      </c>
      <c r="B2454" s="14" t="inlineStr">
        <is>
          <t>oop</t>
        </is>
      </c>
      <c r="C2454" s="14" t="inlineStr">
        <is>
          <t>cem</t>
        </is>
      </c>
      <c r="D2454" s="39" t="n"/>
      <c r="E2454" s="39" t="n"/>
      <c r="F2454" s="39" t="n"/>
      <c r="G2454" s="39" t="n"/>
      <c r="H2454" s="14">
        <f>INDEX(VarLab,MATCH($A2454,VarKey,0))&amp;INDEX(MemLab,MATCH($C2454&amp;"|"&amp;$B2454,MemKey,0))</f>
        <v/>
      </c>
      <c r="I2454" s="14">
        <f>INDEX(VarUnit,MATCH($A2454,VarKey,0))</f>
        <v/>
      </c>
      <c r="J2454" s="14">
        <f>INDEX(VarSrc,MATCH($A2454,VarKey,0))</f>
        <v/>
      </c>
      <c r="K2454" s="11">
        <f>CodePrefix&amp;$A2454&amp;IF($C2454="","","."&amp;$C2454&amp;"."&amp;$B2454)&amp;INDEX(VarEnd,MATCH($A2454,VarKey,0))&amp;K$5</f>
        <v/>
      </c>
      <c r="L2454" s="40">
        <f>L2427+L2436+L2445</f>
        <v/>
      </c>
      <c r="M2454" s="35">
        <f>M2427+M2436+M2445</f>
        <v/>
      </c>
      <c r="N2454" s="35">
        <f>N2427+N2436+N2445</f>
        <v/>
      </c>
      <c r="O2454" s="35">
        <f>O2427+O2436+O2445</f>
        <v/>
      </c>
      <c r="P2454" s="35">
        <f>P2427+P2436+P2445</f>
        <v/>
      </c>
      <c r="Q2454" s="35">
        <f>Q2427+Q2436+Q2445</f>
        <v/>
      </c>
      <c r="R2454" s="35">
        <f>R2427+R2436+R2445</f>
        <v/>
      </c>
      <c r="S2454" s="35">
        <f>S2427+S2436+S2445</f>
        <v/>
      </c>
      <c r="T2454" s="35">
        <f>T2427+T2436+T2445</f>
        <v/>
      </c>
      <c r="U2454" s="35">
        <f>U2427+U2436+U2445</f>
        <v/>
      </c>
      <c r="V2454" s="35">
        <f>V2427+V2436+V2445</f>
        <v/>
      </c>
      <c r="W2454" s="35">
        <f>W2427+W2436+W2445</f>
        <v/>
      </c>
      <c r="X2454" s="35">
        <f>X2427+X2436+X2445</f>
        <v/>
      </c>
      <c r="Y2454" s="35">
        <f>Y2427+Y2436+Y2445</f>
        <v/>
      </c>
      <c r="Z2454" s="35">
        <f>Z2427+Z2436+Z2445</f>
        <v/>
      </c>
      <c r="AA2454" s="35">
        <f>AA2427+AA2436+AA2445</f>
        <v/>
      </c>
      <c r="AB2454" s="35">
        <f>AB2427+AB2436+AB2445</f>
        <v/>
      </c>
      <c r="AC2454" s="35">
        <f>AC2427+AC2436+AC2445</f>
        <v/>
      </c>
      <c r="AD2454" s="35">
        <f>AD2427+AD2436+AD2445</f>
        <v/>
      </c>
      <c r="AE2454" s="42">
        <f>NEWPOLICY(AE2427,AE2436,AE2445)</f>
        <v/>
      </c>
      <c r="AG2454" s="11">
        <f>CodePrefix&amp;$A2454&amp;IF($C2454="","","."&amp;$C2454&amp;"."&amp;$B2454)&amp;INDEX(VarEnd,MATCH($A2454,VarKey,0))&amp;AG$5</f>
        <v/>
      </c>
      <c r="AH2454" s="40">
        <f>AH2427+AH2436+AH2445</f>
        <v/>
      </c>
      <c r="AI2454" s="35">
        <f>AI2427+AI2436+AI2445</f>
        <v/>
      </c>
      <c r="AJ2454" s="35">
        <f>AJ2427+AJ2436+AJ2445</f>
        <v/>
      </c>
      <c r="AK2454" s="35">
        <f>AK2427+AK2436+AK2445</f>
        <v/>
      </c>
      <c r="AL2454" s="35">
        <f>AL2427+AL2436+AL2445</f>
        <v/>
      </c>
      <c r="AM2454" s="35">
        <f>AM2427+AM2436+AM2445</f>
        <v/>
      </c>
      <c r="AN2454" s="35">
        <f>AN2427+AN2436+AN2445</f>
        <v/>
      </c>
      <c r="AO2454" s="35">
        <f>AO2427+AO2436+AO2445</f>
        <v/>
      </c>
      <c r="AP2454" s="35">
        <f>AP2427+AP2436+AP2445</f>
        <v/>
      </c>
      <c r="AQ2454" s="35">
        <f>AQ2427+AQ2436+AQ2445</f>
        <v/>
      </c>
      <c r="AR2454" s="35">
        <f>AR2427+AR2436+AR2445</f>
        <v/>
      </c>
      <c r="AS2454" s="35">
        <f>AS2427+AS2436+AS2445</f>
        <v/>
      </c>
      <c r="AT2454" s="35">
        <f>AT2427+AT2436+AT2445</f>
        <v/>
      </c>
      <c r="AU2454" s="35">
        <f>AU2427+AU2436+AU2445</f>
        <v/>
      </c>
      <c r="AV2454" s="35">
        <f>AV2427+AV2436+AV2445</f>
        <v/>
      </c>
      <c r="AW2454" s="35">
        <f>AW2427+AW2436+AW2445</f>
        <v/>
      </c>
      <c r="AX2454" s="35">
        <f>AX2427+AX2436+AX2445</f>
        <v/>
      </c>
      <c r="AY2454" s="35">
        <f>AY2427+AY2436+AY2445</f>
        <v/>
      </c>
      <c r="AZ2454" s="35">
        <f>AZ2427+AZ2436+AZ2445</f>
        <v/>
      </c>
      <c r="BA2454" s="42">
        <f>NEWPOLICY(BA2427,BA2436,BA2445)</f>
        <v/>
      </c>
    </row>
    <row r="2455" hidden="1" outlineLevel="2">
      <c r="A2455" s="14" t="inlineStr">
        <is>
          <t>nce</t>
        </is>
      </c>
      <c r="B2455" s="14" t="inlineStr">
        <is>
          <t>bio</t>
        </is>
      </c>
      <c r="C2455" s="14" t="inlineStr">
        <is>
          <t>cem</t>
        </is>
      </c>
      <c r="D2455" s="39" t="n"/>
      <c r="E2455" s="39" t="n"/>
      <c r="F2455" s="39" t="n"/>
      <c r="G2455" s="39" t="n"/>
      <c r="H2455" s="14">
        <f>INDEX(VarLab,MATCH($A2455,VarKey,0))&amp;INDEX(MemLab,MATCH($C2455&amp;"|"&amp;$B2455,MemKey,0))</f>
        <v/>
      </c>
      <c r="I2455" s="14">
        <f>INDEX(VarUnit,MATCH($A2455,VarKey,0))</f>
        <v/>
      </c>
      <c r="J2455" s="14">
        <f>INDEX(VarSrc,MATCH($A2455,VarKey,0))</f>
        <v/>
      </c>
      <c r="K2455" s="11">
        <f>CodePrefix&amp;$A2455&amp;IF($C2455="","","."&amp;$C2455&amp;"."&amp;$B2455)&amp;INDEX(VarEnd,MATCH($A2455,VarKey,0))&amp;K$5</f>
        <v/>
      </c>
      <c r="L2455" s="40">
        <f>L2428+L2437+L2446</f>
        <v/>
      </c>
      <c r="M2455" s="35">
        <f>M2428+M2437+M2446</f>
        <v/>
      </c>
      <c r="N2455" s="35">
        <f>N2428+N2437+N2446</f>
        <v/>
      </c>
      <c r="O2455" s="35">
        <f>O2428+O2437+O2446</f>
        <v/>
      </c>
      <c r="P2455" s="35">
        <f>P2428+P2437+P2446</f>
        <v/>
      </c>
      <c r="Q2455" s="35">
        <f>Q2428+Q2437+Q2446</f>
        <v/>
      </c>
      <c r="R2455" s="35">
        <f>R2428+R2437+R2446</f>
        <v/>
      </c>
      <c r="S2455" s="35">
        <f>S2428+S2437+S2446</f>
        <v/>
      </c>
      <c r="T2455" s="35">
        <f>T2428+T2437+T2446</f>
        <v/>
      </c>
      <c r="U2455" s="35">
        <f>U2428+U2437+U2446</f>
        <v/>
      </c>
      <c r="V2455" s="35">
        <f>V2428+V2437+V2446</f>
        <v/>
      </c>
      <c r="W2455" s="35">
        <f>W2428+W2437+W2446</f>
        <v/>
      </c>
      <c r="X2455" s="35">
        <f>X2428+X2437+X2446</f>
        <v/>
      </c>
      <c r="Y2455" s="35">
        <f>Y2428+Y2437+Y2446</f>
        <v/>
      </c>
      <c r="Z2455" s="35">
        <f>Z2428+Z2437+Z2446</f>
        <v/>
      </c>
      <c r="AA2455" s="35">
        <f>AA2428+AA2437+AA2446</f>
        <v/>
      </c>
      <c r="AB2455" s="35">
        <f>AB2428+AB2437+AB2446</f>
        <v/>
      </c>
      <c r="AC2455" s="35">
        <f>AC2428+AC2437+AC2446</f>
        <v/>
      </c>
      <c r="AD2455" s="35">
        <f>AD2428+AD2437+AD2446</f>
        <v/>
      </c>
      <c r="AE2455" s="42">
        <f>NEWPOLICY(AE2428,AE2437,AE2446)</f>
        <v/>
      </c>
      <c r="AG2455" s="11">
        <f>CodePrefix&amp;$A2455&amp;IF($C2455="","","."&amp;$C2455&amp;"."&amp;$B2455)&amp;INDEX(VarEnd,MATCH($A2455,VarKey,0))&amp;AG$5</f>
        <v/>
      </c>
      <c r="AH2455" s="40">
        <f>AH2428+AH2437+AH2446</f>
        <v/>
      </c>
      <c r="AI2455" s="35">
        <f>AI2428+AI2437+AI2446</f>
        <v/>
      </c>
      <c r="AJ2455" s="35">
        <f>AJ2428+AJ2437+AJ2446</f>
        <v/>
      </c>
      <c r="AK2455" s="35">
        <f>AK2428+AK2437+AK2446</f>
        <v/>
      </c>
      <c r="AL2455" s="35">
        <f>AL2428+AL2437+AL2446</f>
        <v/>
      </c>
      <c r="AM2455" s="35">
        <f>AM2428+AM2437+AM2446</f>
        <v/>
      </c>
      <c r="AN2455" s="35">
        <f>AN2428+AN2437+AN2446</f>
        <v/>
      </c>
      <c r="AO2455" s="35">
        <f>AO2428+AO2437+AO2446</f>
        <v/>
      </c>
      <c r="AP2455" s="35">
        <f>AP2428+AP2437+AP2446</f>
        <v/>
      </c>
      <c r="AQ2455" s="35">
        <f>AQ2428+AQ2437+AQ2446</f>
        <v/>
      </c>
      <c r="AR2455" s="35">
        <f>AR2428+AR2437+AR2446</f>
        <v/>
      </c>
      <c r="AS2455" s="35">
        <f>AS2428+AS2437+AS2446</f>
        <v/>
      </c>
      <c r="AT2455" s="35">
        <f>AT2428+AT2437+AT2446</f>
        <v/>
      </c>
      <c r="AU2455" s="35">
        <f>AU2428+AU2437+AU2446</f>
        <v/>
      </c>
      <c r="AV2455" s="35">
        <f>AV2428+AV2437+AV2446</f>
        <v/>
      </c>
      <c r="AW2455" s="35">
        <f>AW2428+AW2437+AW2446</f>
        <v/>
      </c>
      <c r="AX2455" s="35">
        <f>AX2428+AX2437+AX2446</f>
        <v/>
      </c>
      <c r="AY2455" s="35">
        <f>AY2428+AY2437+AY2446</f>
        <v/>
      </c>
      <c r="AZ2455" s="35">
        <f>AZ2428+AZ2437+AZ2446</f>
        <v/>
      </c>
      <c r="BA2455" s="42">
        <f>NEWPOLICY(BA2428,BA2437,BA2446)</f>
        <v/>
      </c>
    </row>
    <row r="2456" hidden="1" outlineLevel="2"/>
    <row r="2457" hidden="1" outlineLevel="2">
      <c r="A2457" s="14" t="inlineStr">
        <is>
          <t>xcp</t>
        </is>
      </c>
      <c r="B2457" s="14" t="inlineStr">
        <is>
          <t>coa</t>
        </is>
      </c>
      <c r="C2457" s="14" t="inlineStr">
        <is>
          <t>cem</t>
        </is>
      </c>
      <c r="D2457" s="35">
        <f>INDEX(Inputs!$W$5:$W$132,MATCH($B2457&amp;"|"&amp;$C2457,Inputs!$A$5:$A$132,0))</f>
        <v/>
      </c>
      <c r="E2457" s="35">
        <f>INDEX(Inputs!$Z$5:$Z$132,MATCH($B2457&amp;"|"&amp;$C2457,Inputs!$A$5:$A$132,0))</f>
        <v/>
      </c>
      <c r="F2457" s="35">
        <f>INDEX(Inputs!$AA$5:$AA$132,MATCH($B2457&amp;"|"&amp;$C2457,Inputs!$A$5:$A$132,0))</f>
        <v/>
      </c>
      <c r="G2457" s="39" t="n"/>
      <c r="H2457" s="14">
        <f>INDEX(VarLab,MATCH($A2457,VarKey,0))&amp;INDEX(MemLab,MATCH($C2457&amp;"|"&amp;$B2457,MemKey,0))</f>
        <v/>
      </c>
      <c r="I2457" s="14">
        <f>INDEX(VarUnit,MATCH($A2457,VarKey,0))</f>
        <v/>
      </c>
      <c r="J2457" s="14">
        <f>INDEX(VarSrc,MATCH($A2457,VarKey,0))</f>
        <v/>
      </c>
      <c r="K2457" s="11">
        <f>CodePrefix&amp;$A2457&amp;IF($C2457="","","."&amp;$C2457&amp;"."&amp;$B2457)&amp;INDEX(VarEnd,MATCH($A2457,VarKey,0))&amp;K$5</f>
        <v/>
      </c>
      <c r="L2457" s="40">
        <f>$D2457*($E2457*L$321+$F2457*L$324)</f>
        <v/>
      </c>
      <c r="M2457" s="35">
        <f>$D2457*($E2457*M$321+$F2457*M$324)</f>
        <v/>
      </c>
      <c r="N2457" s="35">
        <f>$D2457*($E2457*N$321+$F2457*N$324)</f>
        <v/>
      </c>
      <c r="O2457" s="35">
        <f>$D2457*($E2457*O$321+$F2457*O$324)</f>
        <v/>
      </c>
      <c r="P2457" s="35">
        <f>$D2457*($E2457*P$321+$F2457*P$324)</f>
        <v/>
      </c>
      <c r="Q2457" s="35">
        <f>$D2457*($E2457*Q$321+$F2457*Q$324)</f>
        <v/>
      </c>
      <c r="R2457" s="35">
        <f>$D2457*($E2457*R$321+$F2457*R$324)</f>
        <v/>
      </c>
      <c r="S2457" s="35">
        <f>$D2457*($E2457*S$321+$F2457*S$324)</f>
        <v/>
      </c>
      <c r="T2457" s="35">
        <f>$D2457*($E2457*T$321+$F2457*T$324)</f>
        <v/>
      </c>
      <c r="U2457" s="35">
        <f>$D2457*($E2457*U$321+$F2457*U$324)</f>
        <v/>
      </c>
      <c r="V2457" s="35">
        <f>$D2457*($E2457*V$321+$F2457*V$324)</f>
        <v/>
      </c>
      <c r="W2457" s="35">
        <f>$D2457*($E2457*W$321+$F2457*W$324)</f>
        <v/>
      </c>
      <c r="X2457" s="35">
        <f>$D2457*($E2457*X$321+$F2457*X$324)</f>
        <v/>
      </c>
      <c r="Y2457" s="35">
        <f>$D2457*($E2457*Y$321+$F2457*Y$324)</f>
        <v/>
      </c>
      <c r="Z2457" s="35">
        <f>$D2457*($E2457*Z$321+$F2457*Z$324)</f>
        <v/>
      </c>
      <c r="AA2457" s="35">
        <f>$D2457*($E2457*AA$321+$F2457*AA$324)</f>
        <v/>
      </c>
      <c r="AB2457" s="35">
        <f>$D2457*($E2457*AB$321+$F2457*AB$324)</f>
        <v/>
      </c>
      <c r="AC2457" s="35">
        <f>$D2457*($E2457*AC$321+$F2457*AC$324)</f>
        <v/>
      </c>
      <c r="AD2457" s="35">
        <f>$D2457*($E2457*AD$321+$F2457*AD$324)</f>
        <v/>
      </c>
      <c r="AE2457" s="42">
        <f>XCARBON($D2457,$E2457,AE$321,$F2457,AE$324)</f>
        <v/>
      </c>
      <c r="AG2457" s="11">
        <f>CodePrefix&amp;$A2457&amp;IF($C2457="","","."&amp;$C2457&amp;"."&amp;$B2457)&amp;INDEX(VarEnd,MATCH($A2457,VarKey,0))&amp;AG$5</f>
        <v/>
      </c>
      <c r="AH2457" s="40">
        <f>$D2457*($E2457*AH$321+$F2457*AH$324)</f>
        <v/>
      </c>
      <c r="AI2457" s="35">
        <f>$D2457*($E2457*AI$321+$F2457*AI$324)</f>
        <v/>
      </c>
      <c r="AJ2457" s="35">
        <f>$D2457*($E2457*AJ$321+$F2457*AJ$324)</f>
        <v/>
      </c>
      <c r="AK2457" s="35">
        <f>$D2457*($E2457*AK$321+$F2457*AK$324)</f>
        <v/>
      </c>
      <c r="AL2457" s="35">
        <f>$D2457*($E2457*AL$321+$F2457*AL$324)</f>
        <v/>
      </c>
      <c r="AM2457" s="35">
        <f>$D2457*($E2457*AM$321+$F2457*AM$324)</f>
        <v/>
      </c>
      <c r="AN2457" s="35">
        <f>$D2457*($E2457*AN$321+$F2457*AN$324)</f>
        <v/>
      </c>
      <c r="AO2457" s="35">
        <f>$D2457*($E2457*AO$321+$F2457*AO$324)</f>
        <v/>
      </c>
      <c r="AP2457" s="35">
        <f>$D2457*($E2457*AP$321+$F2457*AP$324)</f>
        <v/>
      </c>
      <c r="AQ2457" s="35">
        <f>$D2457*($E2457*AQ$321+$F2457*AQ$324)</f>
        <v/>
      </c>
      <c r="AR2457" s="35">
        <f>$D2457*($E2457*AR$321+$F2457*AR$324)</f>
        <v/>
      </c>
      <c r="AS2457" s="35">
        <f>$D2457*($E2457*AS$321+$F2457*AS$324)</f>
        <v/>
      </c>
      <c r="AT2457" s="35">
        <f>$D2457*($E2457*AT$321+$F2457*AT$324)</f>
        <v/>
      </c>
      <c r="AU2457" s="35">
        <f>$D2457*($E2457*AU$321+$F2457*AU$324)</f>
        <v/>
      </c>
      <c r="AV2457" s="35">
        <f>$D2457*($E2457*AV$321+$F2457*AV$324)</f>
        <v/>
      </c>
      <c r="AW2457" s="35">
        <f>$D2457*($E2457*AW$321+$F2457*AW$324)</f>
        <v/>
      </c>
      <c r="AX2457" s="35">
        <f>$D2457*($E2457*AX$321+$F2457*AX$324)</f>
        <v/>
      </c>
      <c r="AY2457" s="35">
        <f>$D2457*($E2457*AY$321+$F2457*AY$324)</f>
        <v/>
      </c>
      <c r="AZ2457" s="35">
        <f>$D2457*($E2457*AZ$321+$F2457*AZ$324)</f>
        <v/>
      </c>
      <c r="BA2457" s="42">
        <f>XCARBON($D2457,$E2457,BA$321,$F2457,BA$324)</f>
        <v/>
      </c>
    </row>
    <row r="2458" hidden="1" outlineLevel="2">
      <c r="A2458" s="14" t="inlineStr">
        <is>
          <t>xcp</t>
        </is>
      </c>
      <c r="B2458" s="14" t="inlineStr">
        <is>
          <t>nga</t>
        </is>
      </c>
      <c r="C2458" s="14" t="inlineStr">
        <is>
          <t>cem</t>
        </is>
      </c>
      <c r="D2458" s="35">
        <f>INDEX(Inputs!$W$5:$W$132,MATCH($B2458&amp;"|"&amp;$C2458,Inputs!$A$5:$A$132,0))</f>
        <v/>
      </c>
      <c r="E2458" s="35">
        <f>INDEX(Inputs!$Z$5:$Z$132,MATCH($B2458&amp;"|"&amp;$C2458,Inputs!$A$5:$A$132,0))</f>
        <v/>
      </c>
      <c r="F2458" s="35">
        <f>INDEX(Inputs!$AA$5:$AA$132,MATCH($B2458&amp;"|"&amp;$C2458,Inputs!$A$5:$A$132,0))</f>
        <v/>
      </c>
      <c r="G2458" s="39" t="n"/>
      <c r="H2458" s="14">
        <f>INDEX(VarLab,MATCH($A2458,VarKey,0))&amp;INDEX(MemLab,MATCH($C2458&amp;"|"&amp;$B2458,MemKey,0))</f>
        <v/>
      </c>
      <c r="I2458" s="14">
        <f>INDEX(VarUnit,MATCH($A2458,VarKey,0))</f>
        <v/>
      </c>
      <c r="J2458" s="14">
        <f>INDEX(VarSrc,MATCH($A2458,VarKey,0))</f>
        <v/>
      </c>
      <c r="K2458" s="11">
        <f>CodePrefix&amp;$A2458&amp;IF($C2458="","","."&amp;$C2458&amp;"."&amp;$B2458)&amp;INDEX(VarEnd,MATCH($A2458,VarKey,0))&amp;K$5</f>
        <v/>
      </c>
      <c r="L2458" s="40">
        <f>$D2458*($E2458*L$321+$F2458*L$324)</f>
        <v/>
      </c>
      <c r="M2458" s="35">
        <f>$D2458*($E2458*M$321+$F2458*M$324)</f>
        <v/>
      </c>
      <c r="N2458" s="35">
        <f>$D2458*($E2458*N$321+$F2458*N$324)</f>
        <v/>
      </c>
      <c r="O2458" s="35">
        <f>$D2458*($E2458*O$321+$F2458*O$324)</f>
        <v/>
      </c>
      <c r="P2458" s="35">
        <f>$D2458*($E2458*P$321+$F2458*P$324)</f>
        <v/>
      </c>
      <c r="Q2458" s="35">
        <f>$D2458*($E2458*Q$321+$F2458*Q$324)</f>
        <v/>
      </c>
      <c r="R2458" s="35">
        <f>$D2458*($E2458*R$321+$F2458*R$324)</f>
        <v/>
      </c>
      <c r="S2458" s="35">
        <f>$D2458*($E2458*S$321+$F2458*S$324)</f>
        <v/>
      </c>
      <c r="T2458" s="35">
        <f>$D2458*($E2458*T$321+$F2458*T$324)</f>
        <v/>
      </c>
      <c r="U2458" s="35">
        <f>$D2458*($E2458*U$321+$F2458*U$324)</f>
        <v/>
      </c>
      <c r="V2458" s="35">
        <f>$D2458*($E2458*V$321+$F2458*V$324)</f>
        <v/>
      </c>
      <c r="W2458" s="35">
        <f>$D2458*($E2458*W$321+$F2458*W$324)</f>
        <v/>
      </c>
      <c r="X2458" s="35">
        <f>$D2458*($E2458*X$321+$F2458*X$324)</f>
        <v/>
      </c>
      <c r="Y2458" s="35">
        <f>$D2458*($E2458*Y$321+$F2458*Y$324)</f>
        <v/>
      </c>
      <c r="Z2458" s="35">
        <f>$D2458*($E2458*Z$321+$F2458*Z$324)</f>
        <v/>
      </c>
      <c r="AA2458" s="35">
        <f>$D2458*($E2458*AA$321+$F2458*AA$324)</f>
        <v/>
      </c>
      <c r="AB2458" s="35">
        <f>$D2458*($E2458*AB$321+$F2458*AB$324)</f>
        <v/>
      </c>
      <c r="AC2458" s="35">
        <f>$D2458*($E2458*AC$321+$F2458*AC$324)</f>
        <v/>
      </c>
      <c r="AD2458" s="35">
        <f>$D2458*($E2458*AD$321+$F2458*AD$324)</f>
        <v/>
      </c>
      <c r="AE2458" s="42">
        <f>XCARBON($D2458,$E2458,AE$321,$F2458,AE$324)</f>
        <v/>
      </c>
      <c r="AG2458" s="11">
        <f>CodePrefix&amp;$A2458&amp;IF($C2458="","","."&amp;$C2458&amp;"."&amp;$B2458)&amp;INDEX(VarEnd,MATCH($A2458,VarKey,0))&amp;AG$5</f>
        <v/>
      </c>
      <c r="AH2458" s="40">
        <f>$D2458*($E2458*AH$321+$F2458*AH$324)</f>
        <v/>
      </c>
      <c r="AI2458" s="35">
        <f>$D2458*($E2458*AI$321+$F2458*AI$324)</f>
        <v/>
      </c>
      <c r="AJ2458" s="35">
        <f>$D2458*($E2458*AJ$321+$F2458*AJ$324)</f>
        <v/>
      </c>
      <c r="AK2458" s="35">
        <f>$D2458*($E2458*AK$321+$F2458*AK$324)</f>
        <v/>
      </c>
      <c r="AL2458" s="35">
        <f>$D2458*($E2458*AL$321+$F2458*AL$324)</f>
        <v/>
      </c>
      <c r="AM2458" s="35">
        <f>$D2458*($E2458*AM$321+$F2458*AM$324)</f>
        <v/>
      </c>
      <c r="AN2458" s="35">
        <f>$D2458*($E2458*AN$321+$F2458*AN$324)</f>
        <v/>
      </c>
      <c r="AO2458" s="35">
        <f>$D2458*($E2458*AO$321+$F2458*AO$324)</f>
        <v/>
      </c>
      <c r="AP2458" s="35">
        <f>$D2458*($E2458*AP$321+$F2458*AP$324)</f>
        <v/>
      </c>
      <c r="AQ2458" s="35">
        <f>$D2458*($E2458*AQ$321+$F2458*AQ$324)</f>
        <v/>
      </c>
      <c r="AR2458" s="35">
        <f>$D2458*($E2458*AR$321+$F2458*AR$324)</f>
        <v/>
      </c>
      <c r="AS2458" s="35">
        <f>$D2458*($E2458*AS$321+$F2458*AS$324)</f>
        <v/>
      </c>
      <c r="AT2458" s="35">
        <f>$D2458*($E2458*AT$321+$F2458*AT$324)</f>
        <v/>
      </c>
      <c r="AU2458" s="35">
        <f>$D2458*($E2458*AU$321+$F2458*AU$324)</f>
        <v/>
      </c>
      <c r="AV2458" s="35">
        <f>$D2458*($E2458*AV$321+$F2458*AV$324)</f>
        <v/>
      </c>
      <c r="AW2458" s="35">
        <f>$D2458*($E2458*AW$321+$F2458*AW$324)</f>
        <v/>
      </c>
      <c r="AX2458" s="35">
        <f>$D2458*($E2458*AX$321+$F2458*AX$324)</f>
        <v/>
      </c>
      <c r="AY2458" s="35">
        <f>$D2458*($E2458*AY$321+$F2458*AY$324)</f>
        <v/>
      </c>
      <c r="AZ2458" s="35">
        <f>$D2458*($E2458*AZ$321+$F2458*AZ$324)</f>
        <v/>
      </c>
      <c r="BA2458" s="42">
        <f>XCARBON($D2458,$E2458,BA$321,$F2458,BA$324)</f>
        <v/>
      </c>
    </row>
    <row r="2459" hidden="1" outlineLevel="2">
      <c r="A2459" s="14" t="inlineStr">
        <is>
          <t>xcp</t>
        </is>
      </c>
      <c r="B2459" s="14" t="inlineStr">
        <is>
          <t>gso</t>
        </is>
      </c>
      <c r="C2459" s="14" t="inlineStr">
        <is>
          <t>cem</t>
        </is>
      </c>
      <c r="D2459" s="35">
        <f>INDEX(Inputs!$W$5:$W$132,MATCH($B2459&amp;"|"&amp;$C2459,Inputs!$A$5:$A$132,0))</f>
        <v/>
      </c>
      <c r="E2459" s="35">
        <f>INDEX(Inputs!$Z$5:$Z$132,MATCH($B2459&amp;"|"&amp;$C2459,Inputs!$A$5:$A$132,0))</f>
        <v/>
      </c>
      <c r="F2459" s="35">
        <f>INDEX(Inputs!$AA$5:$AA$132,MATCH($B2459&amp;"|"&amp;$C2459,Inputs!$A$5:$A$132,0))</f>
        <v/>
      </c>
      <c r="G2459" s="39" t="n"/>
      <c r="H2459" s="14">
        <f>INDEX(VarLab,MATCH($A2459,VarKey,0))&amp;INDEX(MemLab,MATCH($C2459&amp;"|"&amp;$B2459,MemKey,0))</f>
        <v/>
      </c>
      <c r="I2459" s="14">
        <f>INDEX(VarUnit,MATCH($A2459,VarKey,0))</f>
        <v/>
      </c>
      <c r="J2459" s="14">
        <f>INDEX(VarSrc,MATCH($A2459,VarKey,0))</f>
        <v/>
      </c>
      <c r="K2459" s="11">
        <f>CodePrefix&amp;$A2459&amp;IF($C2459="","","."&amp;$C2459&amp;"."&amp;$B2459)&amp;INDEX(VarEnd,MATCH($A2459,VarKey,0))&amp;K$5</f>
        <v/>
      </c>
      <c r="L2459" s="40">
        <f>$D2459*($E2459*L$321+$F2459*L$324)</f>
        <v/>
      </c>
      <c r="M2459" s="35">
        <f>$D2459*($E2459*M$321+$F2459*M$324)</f>
        <v/>
      </c>
      <c r="N2459" s="35">
        <f>$D2459*($E2459*N$321+$F2459*N$324)</f>
        <v/>
      </c>
      <c r="O2459" s="35">
        <f>$D2459*($E2459*O$321+$F2459*O$324)</f>
        <v/>
      </c>
      <c r="P2459" s="35">
        <f>$D2459*($E2459*P$321+$F2459*P$324)</f>
        <v/>
      </c>
      <c r="Q2459" s="35">
        <f>$D2459*($E2459*Q$321+$F2459*Q$324)</f>
        <v/>
      </c>
      <c r="R2459" s="35">
        <f>$D2459*($E2459*R$321+$F2459*R$324)</f>
        <v/>
      </c>
      <c r="S2459" s="35">
        <f>$D2459*($E2459*S$321+$F2459*S$324)</f>
        <v/>
      </c>
      <c r="T2459" s="35">
        <f>$D2459*($E2459*T$321+$F2459*T$324)</f>
        <v/>
      </c>
      <c r="U2459" s="35">
        <f>$D2459*($E2459*U$321+$F2459*U$324)</f>
        <v/>
      </c>
      <c r="V2459" s="35">
        <f>$D2459*($E2459*V$321+$F2459*V$324)</f>
        <v/>
      </c>
      <c r="W2459" s="35">
        <f>$D2459*($E2459*W$321+$F2459*W$324)</f>
        <v/>
      </c>
      <c r="X2459" s="35">
        <f>$D2459*($E2459*X$321+$F2459*X$324)</f>
        <v/>
      </c>
      <c r="Y2459" s="35">
        <f>$D2459*($E2459*Y$321+$F2459*Y$324)</f>
        <v/>
      </c>
      <c r="Z2459" s="35">
        <f>$D2459*($E2459*Z$321+$F2459*Z$324)</f>
        <v/>
      </c>
      <c r="AA2459" s="35">
        <f>$D2459*($E2459*AA$321+$F2459*AA$324)</f>
        <v/>
      </c>
      <c r="AB2459" s="35">
        <f>$D2459*($E2459*AB$321+$F2459*AB$324)</f>
        <v/>
      </c>
      <c r="AC2459" s="35">
        <f>$D2459*($E2459*AC$321+$F2459*AC$324)</f>
        <v/>
      </c>
      <c r="AD2459" s="35">
        <f>$D2459*($E2459*AD$321+$F2459*AD$324)</f>
        <v/>
      </c>
      <c r="AE2459" s="42">
        <f>XCARBON($D2459,$E2459,AE$321,$F2459,AE$324)</f>
        <v/>
      </c>
      <c r="AG2459" s="11">
        <f>CodePrefix&amp;$A2459&amp;IF($C2459="","","."&amp;$C2459&amp;"."&amp;$B2459)&amp;INDEX(VarEnd,MATCH($A2459,VarKey,0))&amp;AG$5</f>
        <v/>
      </c>
      <c r="AH2459" s="40">
        <f>$D2459*($E2459*AH$321+$F2459*AH$324)</f>
        <v/>
      </c>
      <c r="AI2459" s="35">
        <f>$D2459*($E2459*AI$321+$F2459*AI$324)</f>
        <v/>
      </c>
      <c r="AJ2459" s="35">
        <f>$D2459*($E2459*AJ$321+$F2459*AJ$324)</f>
        <v/>
      </c>
      <c r="AK2459" s="35">
        <f>$D2459*($E2459*AK$321+$F2459*AK$324)</f>
        <v/>
      </c>
      <c r="AL2459" s="35">
        <f>$D2459*($E2459*AL$321+$F2459*AL$324)</f>
        <v/>
      </c>
      <c r="AM2459" s="35">
        <f>$D2459*($E2459*AM$321+$F2459*AM$324)</f>
        <v/>
      </c>
      <c r="AN2459" s="35">
        <f>$D2459*($E2459*AN$321+$F2459*AN$324)</f>
        <v/>
      </c>
      <c r="AO2459" s="35">
        <f>$D2459*($E2459*AO$321+$F2459*AO$324)</f>
        <v/>
      </c>
      <c r="AP2459" s="35">
        <f>$D2459*($E2459*AP$321+$F2459*AP$324)</f>
        <v/>
      </c>
      <c r="AQ2459" s="35">
        <f>$D2459*($E2459*AQ$321+$F2459*AQ$324)</f>
        <v/>
      </c>
      <c r="AR2459" s="35">
        <f>$D2459*($E2459*AR$321+$F2459*AR$324)</f>
        <v/>
      </c>
      <c r="AS2459" s="35">
        <f>$D2459*($E2459*AS$321+$F2459*AS$324)</f>
        <v/>
      </c>
      <c r="AT2459" s="35">
        <f>$D2459*($E2459*AT$321+$F2459*AT$324)</f>
        <v/>
      </c>
      <c r="AU2459" s="35">
        <f>$D2459*($E2459*AU$321+$F2459*AU$324)</f>
        <v/>
      </c>
      <c r="AV2459" s="35">
        <f>$D2459*($E2459*AV$321+$F2459*AV$324)</f>
        <v/>
      </c>
      <c r="AW2459" s="35">
        <f>$D2459*($E2459*AW$321+$F2459*AW$324)</f>
        <v/>
      </c>
      <c r="AX2459" s="35">
        <f>$D2459*($E2459*AX$321+$F2459*AX$324)</f>
        <v/>
      </c>
      <c r="AY2459" s="35">
        <f>$D2459*($E2459*AY$321+$F2459*AY$324)</f>
        <v/>
      </c>
      <c r="AZ2459" s="35">
        <f>$D2459*($E2459*AZ$321+$F2459*AZ$324)</f>
        <v/>
      </c>
      <c r="BA2459" s="42">
        <f>XCARBON($D2459,$E2459,BA$321,$F2459,BA$324)</f>
        <v/>
      </c>
    </row>
    <row r="2460" hidden="1" outlineLevel="2">
      <c r="A2460" s="14" t="inlineStr">
        <is>
          <t>xcp</t>
        </is>
      </c>
      <c r="B2460" s="14" t="inlineStr">
        <is>
          <t>die</t>
        </is>
      </c>
      <c r="C2460" s="14" t="inlineStr">
        <is>
          <t>cem</t>
        </is>
      </c>
      <c r="D2460" s="35">
        <f>INDEX(Inputs!$W$5:$W$132,MATCH($B2460&amp;"|"&amp;$C2460,Inputs!$A$5:$A$132,0))</f>
        <v/>
      </c>
      <c r="E2460" s="35">
        <f>INDEX(Inputs!$Z$5:$Z$132,MATCH($B2460&amp;"|"&amp;$C2460,Inputs!$A$5:$A$132,0))</f>
        <v/>
      </c>
      <c r="F2460" s="35">
        <f>INDEX(Inputs!$AA$5:$AA$132,MATCH($B2460&amp;"|"&amp;$C2460,Inputs!$A$5:$A$132,0))</f>
        <v/>
      </c>
      <c r="G2460" s="39" t="n"/>
      <c r="H2460" s="14">
        <f>INDEX(VarLab,MATCH($A2460,VarKey,0))&amp;INDEX(MemLab,MATCH($C2460&amp;"|"&amp;$B2460,MemKey,0))</f>
        <v/>
      </c>
      <c r="I2460" s="14">
        <f>INDEX(VarUnit,MATCH($A2460,VarKey,0))</f>
        <v/>
      </c>
      <c r="J2460" s="14">
        <f>INDEX(VarSrc,MATCH($A2460,VarKey,0))</f>
        <v/>
      </c>
      <c r="K2460" s="11">
        <f>CodePrefix&amp;$A2460&amp;IF($C2460="","","."&amp;$C2460&amp;"."&amp;$B2460)&amp;INDEX(VarEnd,MATCH($A2460,VarKey,0))&amp;K$5</f>
        <v/>
      </c>
      <c r="L2460" s="40">
        <f>$D2460*($E2460*L$321+$F2460*L$324)</f>
        <v/>
      </c>
      <c r="M2460" s="35">
        <f>$D2460*($E2460*M$321+$F2460*M$324)</f>
        <v/>
      </c>
      <c r="N2460" s="35">
        <f>$D2460*($E2460*N$321+$F2460*N$324)</f>
        <v/>
      </c>
      <c r="O2460" s="35">
        <f>$D2460*($E2460*O$321+$F2460*O$324)</f>
        <v/>
      </c>
      <c r="P2460" s="35">
        <f>$D2460*($E2460*P$321+$F2460*P$324)</f>
        <v/>
      </c>
      <c r="Q2460" s="35">
        <f>$D2460*($E2460*Q$321+$F2460*Q$324)</f>
        <v/>
      </c>
      <c r="R2460" s="35">
        <f>$D2460*($E2460*R$321+$F2460*R$324)</f>
        <v/>
      </c>
      <c r="S2460" s="35">
        <f>$D2460*($E2460*S$321+$F2460*S$324)</f>
        <v/>
      </c>
      <c r="T2460" s="35">
        <f>$D2460*($E2460*T$321+$F2460*T$324)</f>
        <v/>
      </c>
      <c r="U2460" s="35">
        <f>$D2460*($E2460*U$321+$F2460*U$324)</f>
        <v/>
      </c>
      <c r="V2460" s="35">
        <f>$D2460*($E2460*V$321+$F2460*V$324)</f>
        <v/>
      </c>
      <c r="W2460" s="35">
        <f>$D2460*($E2460*W$321+$F2460*W$324)</f>
        <v/>
      </c>
      <c r="X2460" s="35">
        <f>$D2460*($E2460*X$321+$F2460*X$324)</f>
        <v/>
      </c>
      <c r="Y2460" s="35">
        <f>$D2460*($E2460*Y$321+$F2460*Y$324)</f>
        <v/>
      </c>
      <c r="Z2460" s="35">
        <f>$D2460*($E2460*Z$321+$F2460*Z$324)</f>
        <v/>
      </c>
      <c r="AA2460" s="35">
        <f>$D2460*($E2460*AA$321+$F2460*AA$324)</f>
        <v/>
      </c>
      <c r="AB2460" s="35">
        <f>$D2460*($E2460*AB$321+$F2460*AB$324)</f>
        <v/>
      </c>
      <c r="AC2460" s="35">
        <f>$D2460*($E2460*AC$321+$F2460*AC$324)</f>
        <v/>
      </c>
      <c r="AD2460" s="35">
        <f>$D2460*($E2460*AD$321+$F2460*AD$324)</f>
        <v/>
      </c>
      <c r="AE2460" s="42">
        <f>XCARBON($D2460,$E2460,AE$321,$F2460,AE$324)</f>
        <v/>
      </c>
      <c r="AG2460" s="11">
        <f>CodePrefix&amp;$A2460&amp;IF($C2460="","","."&amp;$C2460&amp;"."&amp;$B2460)&amp;INDEX(VarEnd,MATCH($A2460,VarKey,0))&amp;AG$5</f>
        <v/>
      </c>
      <c r="AH2460" s="40">
        <f>$D2460*($E2460*AH$321+$F2460*AH$324)</f>
        <v/>
      </c>
      <c r="AI2460" s="35">
        <f>$D2460*($E2460*AI$321+$F2460*AI$324)</f>
        <v/>
      </c>
      <c r="AJ2460" s="35">
        <f>$D2460*($E2460*AJ$321+$F2460*AJ$324)</f>
        <v/>
      </c>
      <c r="AK2460" s="35">
        <f>$D2460*($E2460*AK$321+$F2460*AK$324)</f>
        <v/>
      </c>
      <c r="AL2460" s="35">
        <f>$D2460*($E2460*AL$321+$F2460*AL$324)</f>
        <v/>
      </c>
      <c r="AM2460" s="35">
        <f>$D2460*($E2460*AM$321+$F2460*AM$324)</f>
        <v/>
      </c>
      <c r="AN2460" s="35">
        <f>$D2460*($E2460*AN$321+$F2460*AN$324)</f>
        <v/>
      </c>
      <c r="AO2460" s="35">
        <f>$D2460*($E2460*AO$321+$F2460*AO$324)</f>
        <v/>
      </c>
      <c r="AP2460" s="35">
        <f>$D2460*($E2460*AP$321+$F2460*AP$324)</f>
        <v/>
      </c>
      <c r="AQ2460" s="35">
        <f>$D2460*($E2460*AQ$321+$F2460*AQ$324)</f>
        <v/>
      </c>
      <c r="AR2460" s="35">
        <f>$D2460*($E2460*AR$321+$F2460*AR$324)</f>
        <v/>
      </c>
      <c r="AS2460" s="35">
        <f>$D2460*($E2460*AS$321+$F2460*AS$324)</f>
        <v/>
      </c>
      <c r="AT2460" s="35">
        <f>$D2460*($E2460*AT$321+$F2460*AT$324)</f>
        <v/>
      </c>
      <c r="AU2460" s="35">
        <f>$D2460*($E2460*AU$321+$F2460*AU$324)</f>
        <v/>
      </c>
      <c r="AV2460" s="35">
        <f>$D2460*($E2460*AV$321+$F2460*AV$324)</f>
        <v/>
      </c>
      <c r="AW2460" s="35">
        <f>$D2460*($E2460*AW$321+$F2460*AW$324)</f>
        <v/>
      </c>
      <c r="AX2460" s="35">
        <f>$D2460*($E2460*AX$321+$F2460*AX$324)</f>
        <v/>
      </c>
      <c r="AY2460" s="35">
        <f>$D2460*($E2460*AY$321+$F2460*AY$324)</f>
        <v/>
      </c>
      <c r="AZ2460" s="35">
        <f>$D2460*($E2460*AZ$321+$F2460*AZ$324)</f>
        <v/>
      </c>
      <c r="BA2460" s="42">
        <f>XCARBON($D2460,$E2460,BA$321,$F2460,BA$324)</f>
        <v/>
      </c>
    </row>
    <row r="2461" hidden="1" outlineLevel="2">
      <c r="A2461" s="14" t="inlineStr">
        <is>
          <t>xcp</t>
        </is>
      </c>
      <c r="B2461" s="14" t="inlineStr">
        <is>
          <t>lpg</t>
        </is>
      </c>
      <c r="C2461" s="14" t="inlineStr">
        <is>
          <t>cem</t>
        </is>
      </c>
      <c r="D2461" s="35">
        <f>INDEX(Inputs!$W$5:$W$132,MATCH($B2461&amp;"|"&amp;$C2461,Inputs!$A$5:$A$132,0))</f>
        <v/>
      </c>
      <c r="E2461" s="35">
        <f>INDEX(Inputs!$Z$5:$Z$132,MATCH($B2461&amp;"|"&amp;$C2461,Inputs!$A$5:$A$132,0))</f>
        <v/>
      </c>
      <c r="F2461" s="35">
        <f>INDEX(Inputs!$AA$5:$AA$132,MATCH($B2461&amp;"|"&amp;$C2461,Inputs!$A$5:$A$132,0))</f>
        <v/>
      </c>
      <c r="G2461" s="39" t="n"/>
      <c r="H2461" s="14">
        <f>INDEX(VarLab,MATCH($A2461,VarKey,0))&amp;INDEX(MemLab,MATCH($C2461&amp;"|"&amp;$B2461,MemKey,0))</f>
        <v/>
      </c>
      <c r="I2461" s="14">
        <f>INDEX(VarUnit,MATCH($A2461,VarKey,0))</f>
        <v/>
      </c>
      <c r="J2461" s="14">
        <f>INDEX(VarSrc,MATCH($A2461,VarKey,0))</f>
        <v/>
      </c>
      <c r="K2461" s="11">
        <f>CodePrefix&amp;$A2461&amp;IF($C2461="","","."&amp;$C2461&amp;"."&amp;$B2461)&amp;INDEX(VarEnd,MATCH($A2461,VarKey,0))&amp;K$5</f>
        <v/>
      </c>
      <c r="L2461" s="40">
        <f>$D2461*($E2461*L$321+$F2461*L$324)</f>
        <v/>
      </c>
      <c r="M2461" s="35">
        <f>$D2461*($E2461*M$321+$F2461*M$324)</f>
        <v/>
      </c>
      <c r="N2461" s="35">
        <f>$D2461*($E2461*N$321+$F2461*N$324)</f>
        <v/>
      </c>
      <c r="O2461" s="35">
        <f>$D2461*($E2461*O$321+$F2461*O$324)</f>
        <v/>
      </c>
      <c r="P2461" s="35">
        <f>$D2461*($E2461*P$321+$F2461*P$324)</f>
        <v/>
      </c>
      <c r="Q2461" s="35">
        <f>$D2461*($E2461*Q$321+$F2461*Q$324)</f>
        <v/>
      </c>
      <c r="R2461" s="35">
        <f>$D2461*($E2461*R$321+$F2461*R$324)</f>
        <v/>
      </c>
      <c r="S2461" s="35">
        <f>$D2461*($E2461*S$321+$F2461*S$324)</f>
        <v/>
      </c>
      <c r="T2461" s="35">
        <f>$D2461*($E2461*T$321+$F2461*T$324)</f>
        <v/>
      </c>
      <c r="U2461" s="35">
        <f>$D2461*($E2461*U$321+$F2461*U$324)</f>
        <v/>
      </c>
      <c r="V2461" s="35">
        <f>$D2461*($E2461*V$321+$F2461*V$324)</f>
        <v/>
      </c>
      <c r="W2461" s="35">
        <f>$D2461*($E2461*W$321+$F2461*W$324)</f>
        <v/>
      </c>
      <c r="X2461" s="35">
        <f>$D2461*($E2461*X$321+$F2461*X$324)</f>
        <v/>
      </c>
      <c r="Y2461" s="35">
        <f>$D2461*($E2461*Y$321+$F2461*Y$324)</f>
        <v/>
      </c>
      <c r="Z2461" s="35">
        <f>$D2461*($E2461*Z$321+$F2461*Z$324)</f>
        <v/>
      </c>
      <c r="AA2461" s="35">
        <f>$D2461*($E2461*AA$321+$F2461*AA$324)</f>
        <v/>
      </c>
      <c r="AB2461" s="35">
        <f>$D2461*($E2461*AB$321+$F2461*AB$324)</f>
        <v/>
      </c>
      <c r="AC2461" s="35">
        <f>$D2461*($E2461*AC$321+$F2461*AC$324)</f>
        <v/>
      </c>
      <c r="AD2461" s="35">
        <f>$D2461*($E2461*AD$321+$F2461*AD$324)</f>
        <v/>
      </c>
      <c r="AE2461" s="42">
        <f>XCARBON($D2461,$E2461,AE$321,$F2461,AE$324)</f>
        <v/>
      </c>
      <c r="AG2461" s="11">
        <f>CodePrefix&amp;$A2461&amp;IF($C2461="","","."&amp;$C2461&amp;"."&amp;$B2461)&amp;INDEX(VarEnd,MATCH($A2461,VarKey,0))&amp;AG$5</f>
        <v/>
      </c>
      <c r="AH2461" s="40">
        <f>$D2461*($E2461*AH$321+$F2461*AH$324)</f>
        <v/>
      </c>
      <c r="AI2461" s="35">
        <f>$D2461*($E2461*AI$321+$F2461*AI$324)</f>
        <v/>
      </c>
      <c r="AJ2461" s="35">
        <f>$D2461*($E2461*AJ$321+$F2461*AJ$324)</f>
        <v/>
      </c>
      <c r="AK2461" s="35">
        <f>$D2461*($E2461*AK$321+$F2461*AK$324)</f>
        <v/>
      </c>
      <c r="AL2461" s="35">
        <f>$D2461*($E2461*AL$321+$F2461*AL$324)</f>
        <v/>
      </c>
      <c r="AM2461" s="35">
        <f>$D2461*($E2461*AM$321+$F2461*AM$324)</f>
        <v/>
      </c>
      <c r="AN2461" s="35">
        <f>$D2461*($E2461*AN$321+$F2461*AN$324)</f>
        <v/>
      </c>
      <c r="AO2461" s="35">
        <f>$D2461*($E2461*AO$321+$F2461*AO$324)</f>
        <v/>
      </c>
      <c r="AP2461" s="35">
        <f>$D2461*($E2461*AP$321+$F2461*AP$324)</f>
        <v/>
      </c>
      <c r="AQ2461" s="35">
        <f>$D2461*($E2461*AQ$321+$F2461*AQ$324)</f>
        <v/>
      </c>
      <c r="AR2461" s="35">
        <f>$D2461*($E2461*AR$321+$F2461*AR$324)</f>
        <v/>
      </c>
      <c r="AS2461" s="35">
        <f>$D2461*($E2461*AS$321+$F2461*AS$324)</f>
        <v/>
      </c>
      <c r="AT2461" s="35">
        <f>$D2461*($E2461*AT$321+$F2461*AT$324)</f>
        <v/>
      </c>
      <c r="AU2461" s="35">
        <f>$D2461*($E2461*AU$321+$F2461*AU$324)</f>
        <v/>
      </c>
      <c r="AV2461" s="35">
        <f>$D2461*($E2461*AV$321+$F2461*AV$324)</f>
        <v/>
      </c>
      <c r="AW2461" s="35">
        <f>$D2461*($E2461*AW$321+$F2461*AW$324)</f>
        <v/>
      </c>
      <c r="AX2461" s="35">
        <f>$D2461*($E2461*AX$321+$F2461*AX$324)</f>
        <v/>
      </c>
      <c r="AY2461" s="35">
        <f>$D2461*($E2461*AY$321+$F2461*AY$324)</f>
        <v/>
      </c>
      <c r="AZ2461" s="35">
        <f>$D2461*($E2461*AZ$321+$F2461*AZ$324)</f>
        <v/>
      </c>
      <c r="BA2461" s="42">
        <f>XCARBON($D2461,$E2461,BA$321,$F2461,BA$324)</f>
        <v/>
      </c>
    </row>
    <row r="2462" hidden="1" outlineLevel="2">
      <c r="A2462" s="14" t="inlineStr">
        <is>
          <t>xcp</t>
        </is>
      </c>
      <c r="B2462" s="14" t="inlineStr">
        <is>
          <t>ker</t>
        </is>
      </c>
      <c r="C2462" s="14" t="inlineStr">
        <is>
          <t>cem</t>
        </is>
      </c>
      <c r="D2462" s="35">
        <f>INDEX(Inputs!$W$5:$W$132,MATCH($B2462&amp;"|"&amp;$C2462,Inputs!$A$5:$A$132,0))</f>
        <v/>
      </c>
      <c r="E2462" s="35">
        <f>INDEX(Inputs!$Z$5:$Z$132,MATCH($B2462&amp;"|"&amp;$C2462,Inputs!$A$5:$A$132,0))</f>
        <v/>
      </c>
      <c r="F2462" s="35">
        <f>INDEX(Inputs!$AA$5:$AA$132,MATCH($B2462&amp;"|"&amp;$C2462,Inputs!$A$5:$A$132,0))</f>
        <v/>
      </c>
      <c r="G2462" s="39" t="n"/>
      <c r="H2462" s="14">
        <f>INDEX(VarLab,MATCH($A2462,VarKey,0))&amp;INDEX(MemLab,MATCH($C2462&amp;"|"&amp;$B2462,MemKey,0))</f>
        <v/>
      </c>
      <c r="I2462" s="14">
        <f>INDEX(VarUnit,MATCH($A2462,VarKey,0))</f>
        <v/>
      </c>
      <c r="J2462" s="14">
        <f>INDEX(VarSrc,MATCH($A2462,VarKey,0))</f>
        <v/>
      </c>
      <c r="K2462" s="11">
        <f>CodePrefix&amp;$A2462&amp;IF($C2462="","","."&amp;$C2462&amp;"."&amp;$B2462)&amp;INDEX(VarEnd,MATCH($A2462,VarKey,0))&amp;K$5</f>
        <v/>
      </c>
      <c r="L2462" s="40">
        <f>$D2462*($E2462*L$321+$F2462*L$324)</f>
        <v/>
      </c>
      <c r="M2462" s="35">
        <f>$D2462*($E2462*M$321+$F2462*M$324)</f>
        <v/>
      </c>
      <c r="N2462" s="35">
        <f>$D2462*($E2462*N$321+$F2462*N$324)</f>
        <v/>
      </c>
      <c r="O2462" s="35">
        <f>$D2462*($E2462*O$321+$F2462*O$324)</f>
        <v/>
      </c>
      <c r="P2462" s="35">
        <f>$D2462*($E2462*P$321+$F2462*P$324)</f>
        <v/>
      </c>
      <c r="Q2462" s="35">
        <f>$D2462*($E2462*Q$321+$F2462*Q$324)</f>
        <v/>
      </c>
      <c r="R2462" s="35">
        <f>$D2462*($E2462*R$321+$F2462*R$324)</f>
        <v/>
      </c>
      <c r="S2462" s="35">
        <f>$D2462*($E2462*S$321+$F2462*S$324)</f>
        <v/>
      </c>
      <c r="T2462" s="35">
        <f>$D2462*($E2462*T$321+$F2462*T$324)</f>
        <v/>
      </c>
      <c r="U2462" s="35">
        <f>$D2462*($E2462*U$321+$F2462*U$324)</f>
        <v/>
      </c>
      <c r="V2462" s="35">
        <f>$D2462*($E2462*V$321+$F2462*V$324)</f>
        <v/>
      </c>
      <c r="W2462" s="35">
        <f>$D2462*($E2462*W$321+$F2462*W$324)</f>
        <v/>
      </c>
      <c r="X2462" s="35">
        <f>$D2462*($E2462*X$321+$F2462*X$324)</f>
        <v/>
      </c>
      <c r="Y2462" s="35">
        <f>$D2462*($E2462*Y$321+$F2462*Y$324)</f>
        <v/>
      </c>
      <c r="Z2462" s="35">
        <f>$D2462*($E2462*Z$321+$F2462*Z$324)</f>
        <v/>
      </c>
      <c r="AA2462" s="35">
        <f>$D2462*($E2462*AA$321+$F2462*AA$324)</f>
        <v/>
      </c>
      <c r="AB2462" s="35">
        <f>$D2462*($E2462*AB$321+$F2462*AB$324)</f>
        <v/>
      </c>
      <c r="AC2462" s="35">
        <f>$D2462*($E2462*AC$321+$F2462*AC$324)</f>
        <v/>
      </c>
      <c r="AD2462" s="35">
        <f>$D2462*($E2462*AD$321+$F2462*AD$324)</f>
        <v/>
      </c>
      <c r="AE2462" s="42">
        <f>XCARBON($D2462,$E2462,AE$321,$F2462,AE$324)</f>
        <v/>
      </c>
      <c r="AG2462" s="11">
        <f>CodePrefix&amp;$A2462&amp;IF($C2462="","","."&amp;$C2462&amp;"."&amp;$B2462)&amp;INDEX(VarEnd,MATCH($A2462,VarKey,0))&amp;AG$5</f>
        <v/>
      </c>
      <c r="AH2462" s="40">
        <f>$D2462*($E2462*AH$321+$F2462*AH$324)</f>
        <v/>
      </c>
      <c r="AI2462" s="35">
        <f>$D2462*($E2462*AI$321+$F2462*AI$324)</f>
        <v/>
      </c>
      <c r="AJ2462" s="35">
        <f>$D2462*($E2462*AJ$321+$F2462*AJ$324)</f>
        <v/>
      </c>
      <c r="AK2462" s="35">
        <f>$D2462*($E2462*AK$321+$F2462*AK$324)</f>
        <v/>
      </c>
      <c r="AL2462" s="35">
        <f>$D2462*($E2462*AL$321+$F2462*AL$324)</f>
        <v/>
      </c>
      <c r="AM2462" s="35">
        <f>$D2462*($E2462*AM$321+$F2462*AM$324)</f>
        <v/>
      </c>
      <c r="AN2462" s="35">
        <f>$D2462*($E2462*AN$321+$F2462*AN$324)</f>
        <v/>
      </c>
      <c r="AO2462" s="35">
        <f>$D2462*($E2462*AO$321+$F2462*AO$324)</f>
        <v/>
      </c>
      <c r="AP2462" s="35">
        <f>$D2462*($E2462*AP$321+$F2462*AP$324)</f>
        <v/>
      </c>
      <c r="AQ2462" s="35">
        <f>$D2462*($E2462*AQ$321+$F2462*AQ$324)</f>
        <v/>
      </c>
      <c r="AR2462" s="35">
        <f>$D2462*($E2462*AR$321+$F2462*AR$324)</f>
        <v/>
      </c>
      <c r="AS2462" s="35">
        <f>$D2462*($E2462*AS$321+$F2462*AS$324)</f>
        <v/>
      </c>
      <c r="AT2462" s="35">
        <f>$D2462*($E2462*AT$321+$F2462*AT$324)</f>
        <v/>
      </c>
      <c r="AU2462" s="35">
        <f>$D2462*($E2462*AU$321+$F2462*AU$324)</f>
        <v/>
      </c>
      <c r="AV2462" s="35">
        <f>$D2462*($E2462*AV$321+$F2462*AV$324)</f>
        <v/>
      </c>
      <c r="AW2462" s="35">
        <f>$D2462*($E2462*AW$321+$F2462*AW$324)</f>
        <v/>
      </c>
      <c r="AX2462" s="35">
        <f>$D2462*($E2462*AX$321+$F2462*AX$324)</f>
        <v/>
      </c>
      <c r="AY2462" s="35">
        <f>$D2462*($E2462*AY$321+$F2462*AY$324)</f>
        <v/>
      </c>
      <c r="AZ2462" s="35">
        <f>$D2462*($E2462*AZ$321+$F2462*AZ$324)</f>
        <v/>
      </c>
      <c r="BA2462" s="42">
        <f>XCARBON($D2462,$E2462,BA$321,$F2462,BA$324)</f>
        <v/>
      </c>
    </row>
    <row r="2463" hidden="1" outlineLevel="2">
      <c r="A2463" s="14" t="inlineStr">
        <is>
          <t>xcp</t>
        </is>
      </c>
      <c r="B2463" s="14" t="inlineStr">
        <is>
          <t>oop</t>
        </is>
      </c>
      <c r="C2463" s="14" t="inlineStr">
        <is>
          <t>cem</t>
        </is>
      </c>
      <c r="D2463" s="35">
        <f>INDEX(Inputs!$W$5:$W$132,MATCH($B2463&amp;"|"&amp;$C2463,Inputs!$A$5:$A$132,0))</f>
        <v/>
      </c>
      <c r="E2463" s="35">
        <f>INDEX(Inputs!$Z$5:$Z$132,MATCH($B2463&amp;"|"&amp;$C2463,Inputs!$A$5:$A$132,0))</f>
        <v/>
      </c>
      <c r="F2463" s="35">
        <f>INDEX(Inputs!$AA$5:$AA$132,MATCH($B2463&amp;"|"&amp;$C2463,Inputs!$A$5:$A$132,0))</f>
        <v/>
      </c>
      <c r="G2463" s="39" t="n"/>
      <c r="H2463" s="14">
        <f>INDEX(VarLab,MATCH($A2463,VarKey,0))&amp;INDEX(MemLab,MATCH($C2463&amp;"|"&amp;$B2463,MemKey,0))</f>
        <v/>
      </c>
      <c r="I2463" s="14">
        <f>INDEX(VarUnit,MATCH($A2463,VarKey,0))</f>
        <v/>
      </c>
      <c r="J2463" s="14">
        <f>INDEX(VarSrc,MATCH($A2463,VarKey,0))</f>
        <v/>
      </c>
      <c r="K2463" s="11">
        <f>CodePrefix&amp;$A2463&amp;IF($C2463="","","."&amp;$C2463&amp;"."&amp;$B2463)&amp;INDEX(VarEnd,MATCH($A2463,VarKey,0))&amp;K$5</f>
        <v/>
      </c>
      <c r="L2463" s="40">
        <f>$D2463*($E2463*L$321+$F2463*L$324)</f>
        <v/>
      </c>
      <c r="M2463" s="35">
        <f>$D2463*($E2463*M$321+$F2463*M$324)</f>
        <v/>
      </c>
      <c r="N2463" s="35">
        <f>$D2463*($E2463*N$321+$F2463*N$324)</f>
        <v/>
      </c>
      <c r="O2463" s="35">
        <f>$D2463*($E2463*O$321+$F2463*O$324)</f>
        <v/>
      </c>
      <c r="P2463" s="35">
        <f>$D2463*($E2463*P$321+$F2463*P$324)</f>
        <v/>
      </c>
      <c r="Q2463" s="35">
        <f>$D2463*($E2463*Q$321+$F2463*Q$324)</f>
        <v/>
      </c>
      <c r="R2463" s="35">
        <f>$D2463*($E2463*R$321+$F2463*R$324)</f>
        <v/>
      </c>
      <c r="S2463" s="35">
        <f>$D2463*($E2463*S$321+$F2463*S$324)</f>
        <v/>
      </c>
      <c r="T2463" s="35">
        <f>$D2463*($E2463*T$321+$F2463*T$324)</f>
        <v/>
      </c>
      <c r="U2463" s="35">
        <f>$D2463*($E2463*U$321+$F2463*U$324)</f>
        <v/>
      </c>
      <c r="V2463" s="35">
        <f>$D2463*($E2463*V$321+$F2463*V$324)</f>
        <v/>
      </c>
      <c r="W2463" s="35">
        <f>$D2463*($E2463*W$321+$F2463*W$324)</f>
        <v/>
      </c>
      <c r="X2463" s="35">
        <f>$D2463*($E2463*X$321+$F2463*X$324)</f>
        <v/>
      </c>
      <c r="Y2463" s="35">
        <f>$D2463*($E2463*Y$321+$F2463*Y$324)</f>
        <v/>
      </c>
      <c r="Z2463" s="35">
        <f>$D2463*($E2463*Z$321+$F2463*Z$324)</f>
        <v/>
      </c>
      <c r="AA2463" s="35">
        <f>$D2463*($E2463*AA$321+$F2463*AA$324)</f>
        <v/>
      </c>
      <c r="AB2463" s="35">
        <f>$D2463*($E2463*AB$321+$F2463*AB$324)</f>
        <v/>
      </c>
      <c r="AC2463" s="35">
        <f>$D2463*($E2463*AC$321+$F2463*AC$324)</f>
        <v/>
      </c>
      <c r="AD2463" s="35">
        <f>$D2463*($E2463*AD$321+$F2463*AD$324)</f>
        <v/>
      </c>
      <c r="AE2463" s="42">
        <f>XCARBON($D2463,$E2463,AE$321,$F2463,AE$324)</f>
        <v/>
      </c>
      <c r="AG2463" s="11">
        <f>CodePrefix&amp;$A2463&amp;IF($C2463="","","."&amp;$C2463&amp;"."&amp;$B2463)&amp;INDEX(VarEnd,MATCH($A2463,VarKey,0))&amp;AG$5</f>
        <v/>
      </c>
      <c r="AH2463" s="40">
        <f>$D2463*($E2463*AH$321+$F2463*AH$324)</f>
        <v/>
      </c>
      <c r="AI2463" s="35">
        <f>$D2463*($E2463*AI$321+$F2463*AI$324)</f>
        <v/>
      </c>
      <c r="AJ2463" s="35">
        <f>$D2463*($E2463*AJ$321+$F2463*AJ$324)</f>
        <v/>
      </c>
      <c r="AK2463" s="35">
        <f>$D2463*($E2463*AK$321+$F2463*AK$324)</f>
        <v/>
      </c>
      <c r="AL2463" s="35">
        <f>$D2463*($E2463*AL$321+$F2463*AL$324)</f>
        <v/>
      </c>
      <c r="AM2463" s="35">
        <f>$D2463*($E2463*AM$321+$F2463*AM$324)</f>
        <v/>
      </c>
      <c r="AN2463" s="35">
        <f>$D2463*($E2463*AN$321+$F2463*AN$324)</f>
        <v/>
      </c>
      <c r="AO2463" s="35">
        <f>$D2463*($E2463*AO$321+$F2463*AO$324)</f>
        <v/>
      </c>
      <c r="AP2463" s="35">
        <f>$D2463*($E2463*AP$321+$F2463*AP$324)</f>
        <v/>
      </c>
      <c r="AQ2463" s="35">
        <f>$D2463*($E2463*AQ$321+$F2463*AQ$324)</f>
        <v/>
      </c>
      <c r="AR2463" s="35">
        <f>$D2463*($E2463*AR$321+$F2463*AR$324)</f>
        <v/>
      </c>
      <c r="AS2463" s="35">
        <f>$D2463*($E2463*AS$321+$F2463*AS$324)</f>
        <v/>
      </c>
      <c r="AT2463" s="35">
        <f>$D2463*($E2463*AT$321+$F2463*AT$324)</f>
        <v/>
      </c>
      <c r="AU2463" s="35">
        <f>$D2463*($E2463*AU$321+$F2463*AU$324)</f>
        <v/>
      </c>
      <c r="AV2463" s="35">
        <f>$D2463*($E2463*AV$321+$F2463*AV$324)</f>
        <v/>
      </c>
      <c r="AW2463" s="35">
        <f>$D2463*($E2463*AW$321+$F2463*AW$324)</f>
        <v/>
      </c>
      <c r="AX2463" s="35">
        <f>$D2463*($E2463*AX$321+$F2463*AX$324)</f>
        <v/>
      </c>
      <c r="AY2463" s="35">
        <f>$D2463*($E2463*AY$321+$F2463*AY$324)</f>
        <v/>
      </c>
      <c r="AZ2463" s="35">
        <f>$D2463*($E2463*AZ$321+$F2463*AZ$324)</f>
        <v/>
      </c>
      <c r="BA2463" s="42">
        <f>XCARBON($D2463,$E2463,BA$321,$F2463,BA$324)</f>
        <v/>
      </c>
    </row>
    <row r="2464" hidden="1" outlineLevel="2">
      <c r="A2464" s="14" t="inlineStr">
        <is>
          <t>xcp</t>
        </is>
      </c>
      <c r="B2464" s="14" t="inlineStr">
        <is>
          <t>bio</t>
        </is>
      </c>
      <c r="C2464" s="14" t="inlineStr">
        <is>
          <t>cem</t>
        </is>
      </c>
      <c r="D2464" s="35">
        <f>INDEX(Inputs!$W$5:$W$132,MATCH($B2464&amp;"|"&amp;$C2464,Inputs!$A$5:$A$132,0))</f>
        <v/>
      </c>
      <c r="E2464" s="35">
        <f>INDEX(Inputs!$Z$5:$Z$132,MATCH($B2464&amp;"|"&amp;$C2464,Inputs!$A$5:$A$132,0))</f>
        <v/>
      </c>
      <c r="F2464" s="35">
        <f>INDEX(Inputs!$AA$5:$AA$132,MATCH($B2464&amp;"|"&amp;$C2464,Inputs!$A$5:$A$132,0))</f>
        <v/>
      </c>
      <c r="G2464" s="39" t="n"/>
      <c r="H2464" s="14">
        <f>INDEX(VarLab,MATCH($A2464,VarKey,0))&amp;INDEX(MemLab,MATCH($C2464&amp;"|"&amp;$B2464,MemKey,0))</f>
        <v/>
      </c>
      <c r="I2464" s="14">
        <f>INDEX(VarUnit,MATCH($A2464,VarKey,0))</f>
        <v/>
      </c>
      <c r="J2464" s="14">
        <f>INDEX(VarSrc,MATCH($A2464,VarKey,0))</f>
        <v/>
      </c>
      <c r="K2464" s="11">
        <f>CodePrefix&amp;$A2464&amp;IF($C2464="","","."&amp;$C2464&amp;"."&amp;$B2464)&amp;INDEX(VarEnd,MATCH($A2464,VarKey,0))&amp;K$5</f>
        <v/>
      </c>
      <c r="L2464" s="40">
        <f>$D2464*($E2464*L$321+$F2464*L$324)</f>
        <v/>
      </c>
      <c r="M2464" s="35">
        <f>$D2464*($E2464*M$321+$F2464*M$324)</f>
        <v/>
      </c>
      <c r="N2464" s="35">
        <f>$D2464*($E2464*N$321+$F2464*N$324)</f>
        <v/>
      </c>
      <c r="O2464" s="35">
        <f>$D2464*($E2464*O$321+$F2464*O$324)</f>
        <v/>
      </c>
      <c r="P2464" s="35">
        <f>$D2464*($E2464*P$321+$F2464*P$324)</f>
        <v/>
      </c>
      <c r="Q2464" s="35">
        <f>$D2464*($E2464*Q$321+$F2464*Q$324)</f>
        <v/>
      </c>
      <c r="R2464" s="35">
        <f>$D2464*($E2464*R$321+$F2464*R$324)</f>
        <v/>
      </c>
      <c r="S2464" s="35">
        <f>$D2464*($E2464*S$321+$F2464*S$324)</f>
        <v/>
      </c>
      <c r="T2464" s="35">
        <f>$D2464*($E2464*T$321+$F2464*T$324)</f>
        <v/>
      </c>
      <c r="U2464" s="35">
        <f>$D2464*($E2464*U$321+$F2464*U$324)</f>
        <v/>
      </c>
      <c r="V2464" s="35">
        <f>$D2464*($E2464*V$321+$F2464*V$324)</f>
        <v/>
      </c>
      <c r="W2464" s="35">
        <f>$D2464*($E2464*W$321+$F2464*W$324)</f>
        <v/>
      </c>
      <c r="X2464" s="35">
        <f>$D2464*($E2464*X$321+$F2464*X$324)</f>
        <v/>
      </c>
      <c r="Y2464" s="35">
        <f>$D2464*($E2464*Y$321+$F2464*Y$324)</f>
        <v/>
      </c>
      <c r="Z2464" s="35">
        <f>$D2464*($E2464*Z$321+$F2464*Z$324)</f>
        <v/>
      </c>
      <c r="AA2464" s="35">
        <f>$D2464*($E2464*AA$321+$F2464*AA$324)</f>
        <v/>
      </c>
      <c r="AB2464" s="35">
        <f>$D2464*($E2464*AB$321+$F2464*AB$324)</f>
        <v/>
      </c>
      <c r="AC2464" s="35">
        <f>$D2464*($E2464*AC$321+$F2464*AC$324)</f>
        <v/>
      </c>
      <c r="AD2464" s="35">
        <f>$D2464*($E2464*AD$321+$F2464*AD$324)</f>
        <v/>
      </c>
      <c r="AE2464" s="42">
        <f>XCARBON($D2464,$E2464,AE$321,$F2464,AE$324)</f>
        <v/>
      </c>
      <c r="AG2464" s="11">
        <f>CodePrefix&amp;$A2464&amp;IF($C2464="","","."&amp;$C2464&amp;"."&amp;$B2464)&amp;INDEX(VarEnd,MATCH($A2464,VarKey,0))&amp;AG$5</f>
        <v/>
      </c>
      <c r="AH2464" s="40">
        <f>$D2464*($E2464*AH$321+$F2464*AH$324)</f>
        <v/>
      </c>
      <c r="AI2464" s="35">
        <f>$D2464*($E2464*AI$321+$F2464*AI$324)</f>
        <v/>
      </c>
      <c r="AJ2464" s="35">
        <f>$D2464*($E2464*AJ$321+$F2464*AJ$324)</f>
        <v/>
      </c>
      <c r="AK2464" s="35">
        <f>$D2464*($E2464*AK$321+$F2464*AK$324)</f>
        <v/>
      </c>
      <c r="AL2464" s="35">
        <f>$D2464*($E2464*AL$321+$F2464*AL$324)</f>
        <v/>
      </c>
      <c r="AM2464" s="35">
        <f>$D2464*($E2464*AM$321+$F2464*AM$324)</f>
        <v/>
      </c>
      <c r="AN2464" s="35">
        <f>$D2464*($E2464*AN$321+$F2464*AN$324)</f>
        <v/>
      </c>
      <c r="AO2464" s="35">
        <f>$D2464*($E2464*AO$321+$F2464*AO$324)</f>
        <v/>
      </c>
      <c r="AP2464" s="35">
        <f>$D2464*($E2464*AP$321+$F2464*AP$324)</f>
        <v/>
      </c>
      <c r="AQ2464" s="35">
        <f>$D2464*($E2464*AQ$321+$F2464*AQ$324)</f>
        <v/>
      </c>
      <c r="AR2464" s="35">
        <f>$D2464*($E2464*AR$321+$F2464*AR$324)</f>
        <v/>
      </c>
      <c r="AS2464" s="35">
        <f>$D2464*($E2464*AS$321+$F2464*AS$324)</f>
        <v/>
      </c>
      <c r="AT2464" s="35">
        <f>$D2464*($E2464*AT$321+$F2464*AT$324)</f>
        <v/>
      </c>
      <c r="AU2464" s="35">
        <f>$D2464*($E2464*AU$321+$F2464*AU$324)</f>
        <v/>
      </c>
      <c r="AV2464" s="35">
        <f>$D2464*($E2464*AV$321+$F2464*AV$324)</f>
        <v/>
      </c>
      <c r="AW2464" s="35">
        <f>$D2464*($E2464*AW$321+$F2464*AW$324)</f>
        <v/>
      </c>
      <c r="AX2464" s="35">
        <f>$D2464*($E2464*AX$321+$F2464*AX$324)</f>
        <v/>
      </c>
      <c r="AY2464" s="35">
        <f>$D2464*($E2464*AY$321+$F2464*AY$324)</f>
        <v/>
      </c>
      <c r="AZ2464" s="35">
        <f>$D2464*($E2464*AZ$321+$F2464*AZ$324)</f>
        <v/>
      </c>
      <c r="BA2464" s="42">
        <f>XCARBON($D2464,$E2464,BA$321,$F2464,BA$324)</f>
        <v/>
      </c>
    </row>
    <row r="2465" hidden="1" outlineLevel="2"/>
    <row r="2466" hidden="1" outlineLevel="2">
      <c r="A2466" s="14" t="inlineStr">
        <is>
          <t>xcpd</t>
        </is>
      </c>
      <c r="B2466" s="14" t="inlineStr">
        <is>
          <t>coa</t>
        </is>
      </c>
      <c r="C2466" s="14" t="inlineStr">
        <is>
          <t>cem</t>
        </is>
      </c>
      <c r="D2466" s="35">
        <f>INDEX(Inputs!$W$5:$W$132,MATCH($B2466&amp;"|"&amp;$C2466,Inputs!$A$5:$A$132,0))</f>
        <v/>
      </c>
      <c r="E2466" s="35">
        <f>INDEX(Inputs!$Z$5:$Z$132,MATCH($B2466&amp;"|"&amp;$C2466,Inputs!$A$5:$A$132,0))</f>
        <v/>
      </c>
      <c r="F2466" s="35">
        <f>INDEX(Inputs!$AA$5:$AA$132,MATCH($B2466&amp;"|"&amp;$C2466,Inputs!$A$5:$A$132,0))</f>
        <v/>
      </c>
      <c r="G2466" s="39" t="n"/>
      <c r="H2466" s="14">
        <f>INDEX(VarLab,MATCH($A2466,VarKey,0))&amp;INDEX(MemLab,MATCH($C2466&amp;"|"&amp;$B2466,MemKey,0))</f>
        <v/>
      </c>
      <c r="I2466" s="14">
        <f>INDEX(VarUnit,MATCH($A2466,VarKey,0))</f>
        <v/>
      </c>
      <c r="J2466" s="14">
        <f>INDEX(VarSrc,MATCH($A2466,VarKey,0))</f>
        <v/>
      </c>
      <c r="K2466" s="11">
        <f>CodePrefix&amp;$A2466&amp;IF($C2466="","","."&amp;$C2466&amp;"."&amp;$B2466)&amp;INDEX(VarEnd,MATCH($A2466,VarKey,0))&amp;K$5</f>
        <v/>
      </c>
      <c r="L2466" s="40">
        <f>$D2466*($E2466*(L$321-L$322)+$F2466*(L$324-L$325))</f>
        <v/>
      </c>
      <c r="M2466" s="35">
        <f>$D2466*($E2466*(M$321-M$322)+$F2466*(M$324-M$325))</f>
        <v/>
      </c>
      <c r="N2466" s="35">
        <f>$D2466*($E2466*(N$321-N$322)+$F2466*(N$324-N$325))</f>
        <v/>
      </c>
      <c r="O2466" s="35">
        <f>$D2466*($E2466*(O$321-O$322)+$F2466*(O$324-O$325))</f>
        <v/>
      </c>
      <c r="P2466" s="35">
        <f>$D2466*($E2466*(P$321-P$322)+$F2466*(P$324-P$325))</f>
        <v/>
      </c>
      <c r="Q2466" s="35">
        <f>$D2466*($E2466*(Q$321-Q$322)+$F2466*(Q$324-Q$325))</f>
        <v/>
      </c>
      <c r="R2466" s="35">
        <f>$D2466*($E2466*(R$321-R$322)+$F2466*(R$324-R$325))</f>
        <v/>
      </c>
      <c r="S2466" s="35">
        <f>$D2466*($E2466*(S$321-S$322)+$F2466*(S$324-S$325))</f>
        <v/>
      </c>
      <c r="T2466" s="35">
        <f>$D2466*($E2466*(T$321-T$322)+$F2466*(T$324-T$325))</f>
        <v/>
      </c>
      <c r="U2466" s="35">
        <f>$D2466*($E2466*(U$321-U$322)+$F2466*(U$324-U$325))</f>
        <v/>
      </c>
      <c r="V2466" s="35">
        <f>$D2466*($E2466*(V$321-V$322)+$F2466*(V$324-V$325))</f>
        <v/>
      </c>
      <c r="W2466" s="35">
        <f>$D2466*($E2466*(W$321-W$322)+$F2466*(W$324-W$325))</f>
        <v/>
      </c>
      <c r="X2466" s="35">
        <f>$D2466*($E2466*(X$321-X$322)+$F2466*(X$324-X$325))</f>
        <v/>
      </c>
      <c r="Y2466" s="35">
        <f>$D2466*($E2466*(Y$321-Y$322)+$F2466*(Y$324-Y$325))</f>
        <v/>
      </c>
      <c r="Z2466" s="35">
        <f>$D2466*($E2466*(Z$321-Z$322)+$F2466*(Z$324-Z$325))</f>
        <v/>
      </c>
      <c r="AA2466" s="35">
        <f>$D2466*($E2466*(AA$321-AA$322)+$F2466*(AA$324-AA$325))</f>
        <v/>
      </c>
      <c r="AB2466" s="35">
        <f>$D2466*($E2466*(AB$321-AB$322)+$F2466*(AB$324-AB$325))</f>
        <v/>
      </c>
      <c r="AC2466" s="35">
        <f>$D2466*($E2466*(AC$321-AC$322)+$F2466*(AC$324-AC$325))</f>
        <v/>
      </c>
      <c r="AD2466" s="35">
        <f>$D2466*($E2466*(AD$321-AD$322)+$F2466*(AD$324-AD$325))</f>
        <v/>
      </c>
      <c r="AE2466" s="42">
        <f>XCARBON($D2466,$E2466,(AE$321-AE$322),$F2466,(AE$324-AE$325))</f>
        <v/>
      </c>
      <c r="AG2466" s="11">
        <f>CodePrefix&amp;$A2466&amp;IF($C2466="","","."&amp;$C2466&amp;"."&amp;$B2466)&amp;INDEX(VarEnd,MATCH($A2466,VarKey,0))&amp;AG$5</f>
        <v/>
      </c>
      <c r="AH2466" s="40">
        <f>$D2466*($E2466*(AH$321-AH$322)+$F2466*(AH$324-AH$325))</f>
        <v/>
      </c>
      <c r="AI2466" s="35">
        <f>$D2466*($E2466*(AI$321-AI$322)+$F2466*(AI$324-AI$325))</f>
        <v/>
      </c>
      <c r="AJ2466" s="35">
        <f>$D2466*($E2466*(AJ$321-AJ$322)+$F2466*(AJ$324-AJ$325))</f>
        <v/>
      </c>
      <c r="AK2466" s="35">
        <f>$D2466*($E2466*(AK$321-AK$322)+$F2466*(AK$324-AK$325))</f>
        <v/>
      </c>
      <c r="AL2466" s="35">
        <f>$D2466*($E2466*(AL$321-AL$322)+$F2466*(AL$324-AL$325))</f>
        <v/>
      </c>
      <c r="AM2466" s="35">
        <f>$D2466*($E2466*(AM$321-AM$322)+$F2466*(AM$324-AM$325))</f>
        <v/>
      </c>
      <c r="AN2466" s="35">
        <f>$D2466*($E2466*(AN$321-AN$322)+$F2466*(AN$324-AN$325))</f>
        <v/>
      </c>
      <c r="AO2466" s="35">
        <f>$D2466*($E2466*(AO$321-AO$322)+$F2466*(AO$324-AO$325))</f>
        <v/>
      </c>
      <c r="AP2466" s="35">
        <f>$D2466*($E2466*(AP$321-AP$322)+$F2466*(AP$324-AP$325))</f>
        <v/>
      </c>
      <c r="AQ2466" s="35">
        <f>$D2466*($E2466*(AQ$321-AQ$322)+$F2466*(AQ$324-AQ$325))</f>
        <v/>
      </c>
      <c r="AR2466" s="35">
        <f>$D2466*($E2466*(AR$321-AR$322)+$F2466*(AR$324-AR$325))</f>
        <v/>
      </c>
      <c r="AS2466" s="35">
        <f>$D2466*($E2466*(AS$321-AS$322)+$F2466*(AS$324-AS$325))</f>
        <v/>
      </c>
      <c r="AT2466" s="35">
        <f>$D2466*($E2466*(AT$321-AT$322)+$F2466*(AT$324-AT$325))</f>
        <v/>
      </c>
      <c r="AU2466" s="35">
        <f>$D2466*($E2466*(AU$321-AU$322)+$F2466*(AU$324-AU$325))</f>
        <v/>
      </c>
      <c r="AV2466" s="35">
        <f>$D2466*($E2466*(AV$321-AV$322)+$F2466*(AV$324-AV$325))</f>
        <v/>
      </c>
      <c r="AW2466" s="35">
        <f>$D2466*($E2466*(AW$321-AW$322)+$F2466*(AW$324-AW$325))</f>
        <v/>
      </c>
      <c r="AX2466" s="35">
        <f>$D2466*($E2466*(AX$321-AX$322)+$F2466*(AX$324-AX$325))</f>
        <v/>
      </c>
      <c r="AY2466" s="35">
        <f>$D2466*($E2466*(AY$321-AY$322)+$F2466*(AY$324-AY$325))</f>
        <v/>
      </c>
      <c r="AZ2466" s="35">
        <f>$D2466*($E2466*(AZ$321-AZ$322)+$F2466*(AZ$324-AZ$325))</f>
        <v/>
      </c>
      <c r="BA2466" s="42">
        <f>XCARBON($D2466,$E2466,(BA$321-BA$322),$F2466,(BA$324-BA$325))</f>
        <v/>
      </c>
    </row>
    <row r="2467" hidden="1" outlineLevel="2">
      <c r="A2467" s="14" t="inlineStr">
        <is>
          <t>xcpd</t>
        </is>
      </c>
      <c r="B2467" s="14" t="inlineStr">
        <is>
          <t>nga</t>
        </is>
      </c>
      <c r="C2467" s="14" t="inlineStr">
        <is>
          <t>cem</t>
        </is>
      </c>
      <c r="D2467" s="35">
        <f>INDEX(Inputs!$W$5:$W$132,MATCH($B2467&amp;"|"&amp;$C2467,Inputs!$A$5:$A$132,0))</f>
        <v/>
      </c>
      <c r="E2467" s="35">
        <f>INDEX(Inputs!$Z$5:$Z$132,MATCH($B2467&amp;"|"&amp;$C2467,Inputs!$A$5:$A$132,0))</f>
        <v/>
      </c>
      <c r="F2467" s="35">
        <f>INDEX(Inputs!$AA$5:$AA$132,MATCH($B2467&amp;"|"&amp;$C2467,Inputs!$A$5:$A$132,0))</f>
        <v/>
      </c>
      <c r="G2467" s="39" t="n"/>
      <c r="H2467" s="14">
        <f>INDEX(VarLab,MATCH($A2467,VarKey,0))&amp;INDEX(MemLab,MATCH($C2467&amp;"|"&amp;$B2467,MemKey,0))</f>
        <v/>
      </c>
      <c r="I2467" s="14">
        <f>INDEX(VarUnit,MATCH($A2467,VarKey,0))</f>
        <v/>
      </c>
      <c r="J2467" s="14">
        <f>INDEX(VarSrc,MATCH($A2467,VarKey,0))</f>
        <v/>
      </c>
      <c r="K2467" s="11">
        <f>CodePrefix&amp;$A2467&amp;IF($C2467="","","."&amp;$C2467&amp;"."&amp;$B2467)&amp;INDEX(VarEnd,MATCH($A2467,VarKey,0))&amp;K$5</f>
        <v/>
      </c>
      <c r="L2467" s="40">
        <f>$D2467*($E2467*(L$321-L$322)+$F2467*(L$324-L$325))</f>
        <v/>
      </c>
      <c r="M2467" s="35">
        <f>$D2467*($E2467*(M$321-M$322)+$F2467*(M$324-M$325))</f>
        <v/>
      </c>
      <c r="N2467" s="35">
        <f>$D2467*($E2467*(N$321-N$322)+$F2467*(N$324-N$325))</f>
        <v/>
      </c>
      <c r="O2467" s="35">
        <f>$D2467*($E2467*(O$321-O$322)+$F2467*(O$324-O$325))</f>
        <v/>
      </c>
      <c r="P2467" s="35">
        <f>$D2467*($E2467*(P$321-P$322)+$F2467*(P$324-P$325))</f>
        <v/>
      </c>
      <c r="Q2467" s="35">
        <f>$D2467*($E2467*(Q$321-Q$322)+$F2467*(Q$324-Q$325))</f>
        <v/>
      </c>
      <c r="R2467" s="35">
        <f>$D2467*($E2467*(R$321-R$322)+$F2467*(R$324-R$325))</f>
        <v/>
      </c>
      <c r="S2467" s="35">
        <f>$D2467*($E2467*(S$321-S$322)+$F2467*(S$324-S$325))</f>
        <v/>
      </c>
      <c r="T2467" s="35">
        <f>$D2467*($E2467*(T$321-T$322)+$F2467*(T$324-T$325))</f>
        <v/>
      </c>
      <c r="U2467" s="35">
        <f>$D2467*($E2467*(U$321-U$322)+$F2467*(U$324-U$325))</f>
        <v/>
      </c>
      <c r="V2467" s="35">
        <f>$D2467*($E2467*(V$321-V$322)+$F2467*(V$324-V$325))</f>
        <v/>
      </c>
      <c r="W2467" s="35">
        <f>$D2467*($E2467*(W$321-W$322)+$F2467*(W$324-W$325))</f>
        <v/>
      </c>
      <c r="X2467" s="35">
        <f>$D2467*($E2467*(X$321-X$322)+$F2467*(X$324-X$325))</f>
        <v/>
      </c>
      <c r="Y2467" s="35">
        <f>$D2467*($E2467*(Y$321-Y$322)+$F2467*(Y$324-Y$325))</f>
        <v/>
      </c>
      <c r="Z2467" s="35">
        <f>$D2467*($E2467*(Z$321-Z$322)+$F2467*(Z$324-Z$325))</f>
        <v/>
      </c>
      <c r="AA2467" s="35">
        <f>$D2467*($E2467*(AA$321-AA$322)+$F2467*(AA$324-AA$325))</f>
        <v/>
      </c>
      <c r="AB2467" s="35">
        <f>$D2467*($E2467*(AB$321-AB$322)+$F2467*(AB$324-AB$325))</f>
        <v/>
      </c>
      <c r="AC2467" s="35">
        <f>$D2467*($E2467*(AC$321-AC$322)+$F2467*(AC$324-AC$325))</f>
        <v/>
      </c>
      <c r="AD2467" s="35">
        <f>$D2467*($E2467*(AD$321-AD$322)+$F2467*(AD$324-AD$325))</f>
        <v/>
      </c>
      <c r="AE2467" s="42">
        <f>XCARBON($D2467,$E2467,(AE$321-AE$322),$F2467,(AE$324-AE$325))</f>
        <v/>
      </c>
      <c r="AG2467" s="11">
        <f>CodePrefix&amp;$A2467&amp;IF($C2467="","","."&amp;$C2467&amp;"."&amp;$B2467)&amp;INDEX(VarEnd,MATCH($A2467,VarKey,0))&amp;AG$5</f>
        <v/>
      </c>
      <c r="AH2467" s="40">
        <f>$D2467*($E2467*(AH$321-AH$322)+$F2467*(AH$324-AH$325))</f>
        <v/>
      </c>
      <c r="AI2467" s="35">
        <f>$D2467*($E2467*(AI$321-AI$322)+$F2467*(AI$324-AI$325))</f>
        <v/>
      </c>
      <c r="AJ2467" s="35">
        <f>$D2467*($E2467*(AJ$321-AJ$322)+$F2467*(AJ$324-AJ$325))</f>
        <v/>
      </c>
      <c r="AK2467" s="35">
        <f>$D2467*($E2467*(AK$321-AK$322)+$F2467*(AK$324-AK$325))</f>
        <v/>
      </c>
      <c r="AL2467" s="35">
        <f>$D2467*($E2467*(AL$321-AL$322)+$F2467*(AL$324-AL$325))</f>
        <v/>
      </c>
      <c r="AM2467" s="35">
        <f>$D2467*($E2467*(AM$321-AM$322)+$F2467*(AM$324-AM$325))</f>
        <v/>
      </c>
      <c r="AN2467" s="35">
        <f>$D2467*($E2467*(AN$321-AN$322)+$F2467*(AN$324-AN$325))</f>
        <v/>
      </c>
      <c r="AO2467" s="35">
        <f>$D2467*($E2467*(AO$321-AO$322)+$F2467*(AO$324-AO$325))</f>
        <v/>
      </c>
      <c r="AP2467" s="35">
        <f>$D2467*($E2467*(AP$321-AP$322)+$F2467*(AP$324-AP$325))</f>
        <v/>
      </c>
      <c r="AQ2467" s="35">
        <f>$D2467*($E2467*(AQ$321-AQ$322)+$F2467*(AQ$324-AQ$325))</f>
        <v/>
      </c>
      <c r="AR2467" s="35">
        <f>$D2467*($E2467*(AR$321-AR$322)+$F2467*(AR$324-AR$325))</f>
        <v/>
      </c>
      <c r="AS2467" s="35">
        <f>$D2467*($E2467*(AS$321-AS$322)+$F2467*(AS$324-AS$325))</f>
        <v/>
      </c>
      <c r="AT2467" s="35">
        <f>$D2467*($E2467*(AT$321-AT$322)+$F2467*(AT$324-AT$325))</f>
        <v/>
      </c>
      <c r="AU2467" s="35">
        <f>$D2467*($E2467*(AU$321-AU$322)+$F2467*(AU$324-AU$325))</f>
        <v/>
      </c>
      <c r="AV2467" s="35">
        <f>$D2467*($E2467*(AV$321-AV$322)+$F2467*(AV$324-AV$325))</f>
        <v/>
      </c>
      <c r="AW2467" s="35">
        <f>$D2467*($E2467*(AW$321-AW$322)+$F2467*(AW$324-AW$325))</f>
        <v/>
      </c>
      <c r="AX2467" s="35">
        <f>$D2467*($E2467*(AX$321-AX$322)+$F2467*(AX$324-AX$325))</f>
        <v/>
      </c>
      <c r="AY2467" s="35">
        <f>$D2467*($E2467*(AY$321-AY$322)+$F2467*(AY$324-AY$325))</f>
        <v/>
      </c>
      <c r="AZ2467" s="35">
        <f>$D2467*($E2467*(AZ$321-AZ$322)+$F2467*(AZ$324-AZ$325))</f>
        <v/>
      </c>
      <c r="BA2467" s="42">
        <f>XCARBON($D2467,$E2467,(BA$321-BA$322),$F2467,(BA$324-BA$325))</f>
        <v/>
      </c>
    </row>
    <row r="2468" hidden="1" outlineLevel="2">
      <c r="A2468" s="14" t="inlineStr">
        <is>
          <t>xcpd</t>
        </is>
      </c>
      <c r="B2468" s="14" t="inlineStr">
        <is>
          <t>gso</t>
        </is>
      </c>
      <c r="C2468" s="14" t="inlineStr">
        <is>
          <t>cem</t>
        </is>
      </c>
      <c r="D2468" s="35">
        <f>INDEX(Inputs!$W$5:$W$132,MATCH($B2468&amp;"|"&amp;$C2468,Inputs!$A$5:$A$132,0))</f>
        <v/>
      </c>
      <c r="E2468" s="35">
        <f>INDEX(Inputs!$Z$5:$Z$132,MATCH($B2468&amp;"|"&amp;$C2468,Inputs!$A$5:$A$132,0))</f>
        <v/>
      </c>
      <c r="F2468" s="35">
        <f>INDEX(Inputs!$AA$5:$AA$132,MATCH($B2468&amp;"|"&amp;$C2468,Inputs!$A$5:$A$132,0))</f>
        <v/>
      </c>
      <c r="G2468" s="39" t="n"/>
      <c r="H2468" s="14">
        <f>INDEX(VarLab,MATCH($A2468,VarKey,0))&amp;INDEX(MemLab,MATCH($C2468&amp;"|"&amp;$B2468,MemKey,0))</f>
        <v/>
      </c>
      <c r="I2468" s="14">
        <f>INDEX(VarUnit,MATCH($A2468,VarKey,0))</f>
        <v/>
      </c>
      <c r="J2468" s="14">
        <f>INDEX(VarSrc,MATCH($A2468,VarKey,0))</f>
        <v/>
      </c>
      <c r="K2468" s="11">
        <f>CodePrefix&amp;$A2468&amp;IF($C2468="","","."&amp;$C2468&amp;"."&amp;$B2468)&amp;INDEX(VarEnd,MATCH($A2468,VarKey,0))&amp;K$5</f>
        <v/>
      </c>
      <c r="L2468" s="40">
        <f>$D2468*($E2468*(L$321-L$322)+$F2468*(L$324-L$325))</f>
        <v/>
      </c>
      <c r="M2468" s="35">
        <f>$D2468*($E2468*(M$321-M$322)+$F2468*(M$324-M$325))</f>
        <v/>
      </c>
      <c r="N2468" s="35">
        <f>$D2468*($E2468*(N$321-N$322)+$F2468*(N$324-N$325))</f>
        <v/>
      </c>
      <c r="O2468" s="35">
        <f>$D2468*($E2468*(O$321-O$322)+$F2468*(O$324-O$325))</f>
        <v/>
      </c>
      <c r="P2468" s="35">
        <f>$D2468*($E2468*(P$321-P$322)+$F2468*(P$324-P$325))</f>
        <v/>
      </c>
      <c r="Q2468" s="35">
        <f>$D2468*($E2468*(Q$321-Q$322)+$F2468*(Q$324-Q$325))</f>
        <v/>
      </c>
      <c r="R2468" s="35">
        <f>$D2468*($E2468*(R$321-R$322)+$F2468*(R$324-R$325))</f>
        <v/>
      </c>
      <c r="S2468" s="35">
        <f>$D2468*($E2468*(S$321-S$322)+$F2468*(S$324-S$325))</f>
        <v/>
      </c>
      <c r="T2468" s="35">
        <f>$D2468*($E2468*(T$321-T$322)+$F2468*(T$324-T$325))</f>
        <v/>
      </c>
      <c r="U2468" s="35">
        <f>$D2468*($E2468*(U$321-U$322)+$F2468*(U$324-U$325))</f>
        <v/>
      </c>
      <c r="V2468" s="35">
        <f>$D2468*($E2468*(V$321-V$322)+$F2468*(V$324-V$325))</f>
        <v/>
      </c>
      <c r="W2468" s="35">
        <f>$D2468*($E2468*(W$321-W$322)+$F2468*(W$324-W$325))</f>
        <v/>
      </c>
      <c r="X2468" s="35">
        <f>$D2468*($E2468*(X$321-X$322)+$F2468*(X$324-X$325))</f>
        <v/>
      </c>
      <c r="Y2468" s="35">
        <f>$D2468*($E2468*(Y$321-Y$322)+$F2468*(Y$324-Y$325))</f>
        <v/>
      </c>
      <c r="Z2468" s="35">
        <f>$D2468*($E2468*(Z$321-Z$322)+$F2468*(Z$324-Z$325))</f>
        <v/>
      </c>
      <c r="AA2468" s="35">
        <f>$D2468*($E2468*(AA$321-AA$322)+$F2468*(AA$324-AA$325))</f>
        <v/>
      </c>
      <c r="AB2468" s="35">
        <f>$D2468*($E2468*(AB$321-AB$322)+$F2468*(AB$324-AB$325))</f>
        <v/>
      </c>
      <c r="AC2468" s="35">
        <f>$D2468*($E2468*(AC$321-AC$322)+$F2468*(AC$324-AC$325))</f>
        <v/>
      </c>
      <c r="AD2468" s="35">
        <f>$D2468*($E2468*(AD$321-AD$322)+$F2468*(AD$324-AD$325))</f>
        <v/>
      </c>
      <c r="AE2468" s="42">
        <f>XCARBON($D2468,$E2468,(AE$321-AE$322),$F2468,(AE$324-AE$325))</f>
        <v/>
      </c>
      <c r="AG2468" s="11">
        <f>CodePrefix&amp;$A2468&amp;IF($C2468="","","."&amp;$C2468&amp;"."&amp;$B2468)&amp;INDEX(VarEnd,MATCH($A2468,VarKey,0))&amp;AG$5</f>
        <v/>
      </c>
      <c r="AH2468" s="40">
        <f>$D2468*($E2468*(AH$321-AH$322)+$F2468*(AH$324-AH$325))</f>
        <v/>
      </c>
      <c r="AI2468" s="35">
        <f>$D2468*($E2468*(AI$321-AI$322)+$F2468*(AI$324-AI$325))</f>
        <v/>
      </c>
      <c r="AJ2468" s="35">
        <f>$D2468*($E2468*(AJ$321-AJ$322)+$F2468*(AJ$324-AJ$325))</f>
        <v/>
      </c>
      <c r="AK2468" s="35">
        <f>$D2468*($E2468*(AK$321-AK$322)+$F2468*(AK$324-AK$325))</f>
        <v/>
      </c>
      <c r="AL2468" s="35">
        <f>$D2468*($E2468*(AL$321-AL$322)+$F2468*(AL$324-AL$325))</f>
        <v/>
      </c>
      <c r="AM2468" s="35">
        <f>$D2468*($E2468*(AM$321-AM$322)+$F2468*(AM$324-AM$325))</f>
        <v/>
      </c>
      <c r="AN2468" s="35">
        <f>$D2468*($E2468*(AN$321-AN$322)+$F2468*(AN$324-AN$325))</f>
        <v/>
      </c>
      <c r="AO2468" s="35">
        <f>$D2468*($E2468*(AO$321-AO$322)+$F2468*(AO$324-AO$325))</f>
        <v/>
      </c>
      <c r="AP2468" s="35">
        <f>$D2468*($E2468*(AP$321-AP$322)+$F2468*(AP$324-AP$325))</f>
        <v/>
      </c>
      <c r="AQ2468" s="35">
        <f>$D2468*($E2468*(AQ$321-AQ$322)+$F2468*(AQ$324-AQ$325))</f>
        <v/>
      </c>
      <c r="AR2468" s="35">
        <f>$D2468*($E2468*(AR$321-AR$322)+$F2468*(AR$324-AR$325))</f>
        <v/>
      </c>
      <c r="AS2468" s="35">
        <f>$D2468*($E2468*(AS$321-AS$322)+$F2468*(AS$324-AS$325))</f>
        <v/>
      </c>
      <c r="AT2468" s="35">
        <f>$D2468*($E2468*(AT$321-AT$322)+$F2468*(AT$324-AT$325))</f>
        <v/>
      </c>
      <c r="AU2468" s="35">
        <f>$D2468*($E2468*(AU$321-AU$322)+$F2468*(AU$324-AU$325))</f>
        <v/>
      </c>
      <c r="AV2468" s="35">
        <f>$D2468*($E2468*(AV$321-AV$322)+$F2468*(AV$324-AV$325))</f>
        <v/>
      </c>
      <c r="AW2468" s="35">
        <f>$D2468*($E2468*(AW$321-AW$322)+$F2468*(AW$324-AW$325))</f>
        <v/>
      </c>
      <c r="AX2468" s="35">
        <f>$D2468*($E2468*(AX$321-AX$322)+$F2468*(AX$324-AX$325))</f>
        <v/>
      </c>
      <c r="AY2468" s="35">
        <f>$D2468*($E2468*(AY$321-AY$322)+$F2468*(AY$324-AY$325))</f>
        <v/>
      </c>
      <c r="AZ2468" s="35">
        <f>$D2468*($E2468*(AZ$321-AZ$322)+$F2468*(AZ$324-AZ$325))</f>
        <v/>
      </c>
      <c r="BA2468" s="42">
        <f>XCARBON($D2468,$E2468,(BA$321-BA$322),$F2468,(BA$324-BA$325))</f>
        <v/>
      </c>
    </row>
    <row r="2469" hidden="1" outlineLevel="2">
      <c r="A2469" s="14" t="inlineStr">
        <is>
          <t>xcpd</t>
        </is>
      </c>
      <c r="B2469" s="14" t="inlineStr">
        <is>
          <t>die</t>
        </is>
      </c>
      <c r="C2469" s="14" t="inlineStr">
        <is>
          <t>cem</t>
        </is>
      </c>
      <c r="D2469" s="35">
        <f>INDEX(Inputs!$W$5:$W$132,MATCH($B2469&amp;"|"&amp;$C2469,Inputs!$A$5:$A$132,0))</f>
        <v/>
      </c>
      <c r="E2469" s="35">
        <f>INDEX(Inputs!$Z$5:$Z$132,MATCH($B2469&amp;"|"&amp;$C2469,Inputs!$A$5:$A$132,0))</f>
        <v/>
      </c>
      <c r="F2469" s="35">
        <f>INDEX(Inputs!$AA$5:$AA$132,MATCH($B2469&amp;"|"&amp;$C2469,Inputs!$A$5:$A$132,0))</f>
        <v/>
      </c>
      <c r="G2469" s="39" t="n"/>
      <c r="H2469" s="14">
        <f>INDEX(VarLab,MATCH($A2469,VarKey,0))&amp;INDEX(MemLab,MATCH($C2469&amp;"|"&amp;$B2469,MemKey,0))</f>
        <v/>
      </c>
      <c r="I2469" s="14">
        <f>INDEX(VarUnit,MATCH($A2469,VarKey,0))</f>
        <v/>
      </c>
      <c r="J2469" s="14">
        <f>INDEX(VarSrc,MATCH($A2469,VarKey,0))</f>
        <v/>
      </c>
      <c r="K2469" s="11">
        <f>CodePrefix&amp;$A2469&amp;IF($C2469="","","."&amp;$C2469&amp;"."&amp;$B2469)&amp;INDEX(VarEnd,MATCH($A2469,VarKey,0))&amp;K$5</f>
        <v/>
      </c>
      <c r="L2469" s="40">
        <f>$D2469*($E2469*(L$321-L$322)+$F2469*(L$324-L$325))</f>
        <v/>
      </c>
      <c r="M2469" s="35">
        <f>$D2469*($E2469*(M$321-M$322)+$F2469*(M$324-M$325))</f>
        <v/>
      </c>
      <c r="N2469" s="35">
        <f>$D2469*($E2469*(N$321-N$322)+$F2469*(N$324-N$325))</f>
        <v/>
      </c>
      <c r="O2469" s="35">
        <f>$D2469*($E2469*(O$321-O$322)+$F2469*(O$324-O$325))</f>
        <v/>
      </c>
      <c r="P2469" s="35">
        <f>$D2469*($E2469*(P$321-P$322)+$F2469*(P$324-P$325))</f>
        <v/>
      </c>
      <c r="Q2469" s="35">
        <f>$D2469*($E2469*(Q$321-Q$322)+$F2469*(Q$324-Q$325))</f>
        <v/>
      </c>
      <c r="R2469" s="35">
        <f>$D2469*($E2469*(R$321-R$322)+$F2469*(R$324-R$325))</f>
        <v/>
      </c>
      <c r="S2469" s="35">
        <f>$D2469*($E2469*(S$321-S$322)+$F2469*(S$324-S$325))</f>
        <v/>
      </c>
      <c r="T2469" s="35">
        <f>$D2469*($E2469*(T$321-T$322)+$F2469*(T$324-T$325))</f>
        <v/>
      </c>
      <c r="U2469" s="35">
        <f>$D2469*($E2469*(U$321-U$322)+$F2469*(U$324-U$325))</f>
        <v/>
      </c>
      <c r="V2469" s="35">
        <f>$D2469*($E2469*(V$321-V$322)+$F2469*(V$324-V$325))</f>
        <v/>
      </c>
      <c r="W2469" s="35">
        <f>$D2469*($E2469*(W$321-W$322)+$F2469*(W$324-W$325))</f>
        <v/>
      </c>
      <c r="X2469" s="35">
        <f>$D2469*($E2469*(X$321-X$322)+$F2469*(X$324-X$325))</f>
        <v/>
      </c>
      <c r="Y2469" s="35">
        <f>$D2469*($E2469*(Y$321-Y$322)+$F2469*(Y$324-Y$325))</f>
        <v/>
      </c>
      <c r="Z2469" s="35">
        <f>$D2469*($E2469*(Z$321-Z$322)+$F2469*(Z$324-Z$325))</f>
        <v/>
      </c>
      <c r="AA2469" s="35">
        <f>$D2469*($E2469*(AA$321-AA$322)+$F2469*(AA$324-AA$325))</f>
        <v/>
      </c>
      <c r="AB2469" s="35">
        <f>$D2469*($E2469*(AB$321-AB$322)+$F2469*(AB$324-AB$325))</f>
        <v/>
      </c>
      <c r="AC2469" s="35">
        <f>$D2469*($E2469*(AC$321-AC$322)+$F2469*(AC$324-AC$325))</f>
        <v/>
      </c>
      <c r="AD2469" s="35">
        <f>$D2469*($E2469*(AD$321-AD$322)+$F2469*(AD$324-AD$325))</f>
        <v/>
      </c>
      <c r="AE2469" s="42">
        <f>XCARBON($D2469,$E2469,(AE$321-AE$322),$F2469,(AE$324-AE$325))</f>
        <v/>
      </c>
      <c r="AG2469" s="11">
        <f>CodePrefix&amp;$A2469&amp;IF($C2469="","","."&amp;$C2469&amp;"."&amp;$B2469)&amp;INDEX(VarEnd,MATCH($A2469,VarKey,0))&amp;AG$5</f>
        <v/>
      </c>
      <c r="AH2469" s="40">
        <f>$D2469*($E2469*(AH$321-AH$322)+$F2469*(AH$324-AH$325))</f>
        <v/>
      </c>
      <c r="AI2469" s="35">
        <f>$D2469*($E2469*(AI$321-AI$322)+$F2469*(AI$324-AI$325))</f>
        <v/>
      </c>
      <c r="AJ2469" s="35">
        <f>$D2469*($E2469*(AJ$321-AJ$322)+$F2469*(AJ$324-AJ$325))</f>
        <v/>
      </c>
      <c r="AK2469" s="35">
        <f>$D2469*($E2469*(AK$321-AK$322)+$F2469*(AK$324-AK$325))</f>
        <v/>
      </c>
      <c r="AL2469" s="35">
        <f>$D2469*($E2469*(AL$321-AL$322)+$F2469*(AL$324-AL$325))</f>
        <v/>
      </c>
      <c r="AM2469" s="35">
        <f>$D2469*($E2469*(AM$321-AM$322)+$F2469*(AM$324-AM$325))</f>
        <v/>
      </c>
      <c r="AN2469" s="35">
        <f>$D2469*($E2469*(AN$321-AN$322)+$F2469*(AN$324-AN$325))</f>
        <v/>
      </c>
      <c r="AO2469" s="35">
        <f>$D2469*($E2469*(AO$321-AO$322)+$F2469*(AO$324-AO$325))</f>
        <v/>
      </c>
      <c r="AP2469" s="35">
        <f>$D2469*($E2469*(AP$321-AP$322)+$F2469*(AP$324-AP$325))</f>
        <v/>
      </c>
      <c r="AQ2469" s="35">
        <f>$D2469*($E2469*(AQ$321-AQ$322)+$F2469*(AQ$324-AQ$325))</f>
        <v/>
      </c>
      <c r="AR2469" s="35">
        <f>$D2469*($E2469*(AR$321-AR$322)+$F2469*(AR$324-AR$325))</f>
        <v/>
      </c>
      <c r="AS2469" s="35">
        <f>$D2469*($E2469*(AS$321-AS$322)+$F2469*(AS$324-AS$325))</f>
        <v/>
      </c>
      <c r="AT2469" s="35">
        <f>$D2469*($E2469*(AT$321-AT$322)+$F2469*(AT$324-AT$325))</f>
        <v/>
      </c>
      <c r="AU2469" s="35">
        <f>$D2469*($E2469*(AU$321-AU$322)+$F2469*(AU$324-AU$325))</f>
        <v/>
      </c>
      <c r="AV2469" s="35">
        <f>$D2469*($E2469*(AV$321-AV$322)+$F2469*(AV$324-AV$325))</f>
        <v/>
      </c>
      <c r="AW2469" s="35">
        <f>$D2469*($E2469*(AW$321-AW$322)+$F2469*(AW$324-AW$325))</f>
        <v/>
      </c>
      <c r="AX2469" s="35">
        <f>$D2469*($E2469*(AX$321-AX$322)+$F2469*(AX$324-AX$325))</f>
        <v/>
      </c>
      <c r="AY2469" s="35">
        <f>$D2469*($E2469*(AY$321-AY$322)+$F2469*(AY$324-AY$325))</f>
        <v/>
      </c>
      <c r="AZ2469" s="35">
        <f>$D2469*($E2469*(AZ$321-AZ$322)+$F2469*(AZ$324-AZ$325))</f>
        <v/>
      </c>
      <c r="BA2469" s="42">
        <f>XCARBON($D2469,$E2469,(BA$321-BA$322),$F2469,(BA$324-BA$325))</f>
        <v/>
      </c>
    </row>
    <row r="2470" hidden="1" outlineLevel="2">
      <c r="A2470" s="14" t="inlineStr">
        <is>
          <t>xcpd</t>
        </is>
      </c>
      <c r="B2470" s="14" t="inlineStr">
        <is>
          <t>lpg</t>
        </is>
      </c>
      <c r="C2470" s="14" t="inlineStr">
        <is>
          <t>cem</t>
        </is>
      </c>
      <c r="D2470" s="35">
        <f>INDEX(Inputs!$W$5:$W$132,MATCH($B2470&amp;"|"&amp;$C2470,Inputs!$A$5:$A$132,0))</f>
        <v/>
      </c>
      <c r="E2470" s="35">
        <f>INDEX(Inputs!$Z$5:$Z$132,MATCH($B2470&amp;"|"&amp;$C2470,Inputs!$A$5:$A$132,0))</f>
        <v/>
      </c>
      <c r="F2470" s="35">
        <f>INDEX(Inputs!$AA$5:$AA$132,MATCH($B2470&amp;"|"&amp;$C2470,Inputs!$A$5:$A$132,0))</f>
        <v/>
      </c>
      <c r="G2470" s="39" t="n"/>
      <c r="H2470" s="14">
        <f>INDEX(VarLab,MATCH($A2470,VarKey,0))&amp;INDEX(MemLab,MATCH($C2470&amp;"|"&amp;$B2470,MemKey,0))</f>
        <v/>
      </c>
      <c r="I2470" s="14">
        <f>INDEX(VarUnit,MATCH($A2470,VarKey,0))</f>
        <v/>
      </c>
      <c r="J2470" s="14">
        <f>INDEX(VarSrc,MATCH($A2470,VarKey,0))</f>
        <v/>
      </c>
      <c r="K2470" s="11">
        <f>CodePrefix&amp;$A2470&amp;IF($C2470="","","."&amp;$C2470&amp;"."&amp;$B2470)&amp;INDEX(VarEnd,MATCH($A2470,VarKey,0))&amp;K$5</f>
        <v/>
      </c>
      <c r="L2470" s="40">
        <f>$D2470*($E2470*(L$321-L$322)+$F2470*(L$324-L$325))</f>
        <v/>
      </c>
      <c r="M2470" s="35">
        <f>$D2470*($E2470*(M$321-M$322)+$F2470*(M$324-M$325))</f>
        <v/>
      </c>
      <c r="N2470" s="35">
        <f>$D2470*($E2470*(N$321-N$322)+$F2470*(N$324-N$325))</f>
        <v/>
      </c>
      <c r="O2470" s="35">
        <f>$D2470*($E2470*(O$321-O$322)+$F2470*(O$324-O$325))</f>
        <v/>
      </c>
      <c r="P2470" s="35">
        <f>$D2470*($E2470*(P$321-P$322)+$F2470*(P$324-P$325))</f>
        <v/>
      </c>
      <c r="Q2470" s="35">
        <f>$D2470*($E2470*(Q$321-Q$322)+$F2470*(Q$324-Q$325))</f>
        <v/>
      </c>
      <c r="R2470" s="35">
        <f>$D2470*($E2470*(R$321-R$322)+$F2470*(R$324-R$325))</f>
        <v/>
      </c>
      <c r="S2470" s="35">
        <f>$D2470*($E2470*(S$321-S$322)+$F2470*(S$324-S$325))</f>
        <v/>
      </c>
      <c r="T2470" s="35">
        <f>$D2470*($E2470*(T$321-T$322)+$F2470*(T$324-T$325))</f>
        <v/>
      </c>
      <c r="U2470" s="35">
        <f>$D2470*($E2470*(U$321-U$322)+$F2470*(U$324-U$325))</f>
        <v/>
      </c>
      <c r="V2470" s="35">
        <f>$D2470*($E2470*(V$321-V$322)+$F2470*(V$324-V$325))</f>
        <v/>
      </c>
      <c r="W2470" s="35">
        <f>$D2470*($E2470*(W$321-W$322)+$F2470*(W$324-W$325))</f>
        <v/>
      </c>
      <c r="X2470" s="35">
        <f>$D2470*($E2470*(X$321-X$322)+$F2470*(X$324-X$325))</f>
        <v/>
      </c>
      <c r="Y2470" s="35">
        <f>$D2470*($E2470*(Y$321-Y$322)+$F2470*(Y$324-Y$325))</f>
        <v/>
      </c>
      <c r="Z2470" s="35">
        <f>$D2470*($E2470*(Z$321-Z$322)+$F2470*(Z$324-Z$325))</f>
        <v/>
      </c>
      <c r="AA2470" s="35">
        <f>$D2470*($E2470*(AA$321-AA$322)+$F2470*(AA$324-AA$325))</f>
        <v/>
      </c>
      <c r="AB2470" s="35">
        <f>$D2470*($E2470*(AB$321-AB$322)+$F2470*(AB$324-AB$325))</f>
        <v/>
      </c>
      <c r="AC2470" s="35">
        <f>$D2470*($E2470*(AC$321-AC$322)+$F2470*(AC$324-AC$325))</f>
        <v/>
      </c>
      <c r="AD2470" s="35">
        <f>$D2470*($E2470*(AD$321-AD$322)+$F2470*(AD$324-AD$325))</f>
        <v/>
      </c>
      <c r="AE2470" s="42">
        <f>XCARBON($D2470,$E2470,(AE$321-AE$322),$F2470,(AE$324-AE$325))</f>
        <v/>
      </c>
      <c r="AG2470" s="11">
        <f>CodePrefix&amp;$A2470&amp;IF($C2470="","","."&amp;$C2470&amp;"."&amp;$B2470)&amp;INDEX(VarEnd,MATCH($A2470,VarKey,0))&amp;AG$5</f>
        <v/>
      </c>
      <c r="AH2470" s="40">
        <f>$D2470*($E2470*(AH$321-AH$322)+$F2470*(AH$324-AH$325))</f>
        <v/>
      </c>
      <c r="AI2470" s="35">
        <f>$D2470*($E2470*(AI$321-AI$322)+$F2470*(AI$324-AI$325))</f>
        <v/>
      </c>
      <c r="AJ2470" s="35">
        <f>$D2470*($E2470*(AJ$321-AJ$322)+$F2470*(AJ$324-AJ$325))</f>
        <v/>
      </c>
      <c r="AK2470" s="35">
        <f>$D2470*($E2470*(AK$321-AK$322)+$F2470*(AK$324-AK$325))</f>
        <v/>
      </c>
      <c r="AL2470" s="35">
        <f>$D2470*($E2470*(AL$321-AL$322)+$F2470*(AL$324-AL$325))</f>
        <v/>
      </c>
      <c r="AM2470" s="35">
        <f>$D2470*($E2470*(AM$321-AM$322)+$F2470*(AM$324-AM$325))</f>
        <v/>
      </c>
      <c r="AN2470" s="35">
        <f>$D2470*($E2470*(AN$321-AN$322)+$F2470*(AN$324-AN$325))</f>
        <v/>
      </c>
      <c r="AO2470" s="35">
        <f>$D2470*($E2470*(AO$321-AO$322)+$F2470*(AO$324-AO$325))</f>
        <v/>
      </c>
      <c r="AP2470" s="35">
        <f>$D2470*($E2470*(AP$321-AP$322)+$F2470*(AP$324-AP$325))</f>
        <v/>
      </c>
      <c r="AQ2470" s="35">
        <f>$D2470*($E2470*(AQ$321-AQ$322)+$F2470*(AQ$324-AQ$325))</f>
        <v/>
      </c>
      <c r="AR2470" s="35">
        <f>$D2470*($E2470*(AR$321-AR$322)+$F2470*(AR$324-AR$325))</f>
        <v/>
      </c>
      <c r="AS2470" s="35">
        <f>$D2470*($E2470*(AS$321-AS$322)+$F2470*(AS$324-AS$325))</f>
        <v/>
      </c>
      <c r="AT2470" s="35">
        <f>$D2470*($E2470*(AT$321-AT$322)+$F2470*(AT$324-AT$325))</f>
        <v/>
      </c>
      <c r="AU2470" s="35">
        <f>$D2470*($E2470*(AU$321-AU$322)+$F2470*(AU$324-AU$325))</f>
        <v/>
      </c>
      <c r="AV2470" s="35">
        <f>$D2470*($E2470*(AV$321-AV$322)+$F2470*(AV$324-AV$325))</f>
        <v/>
      </c>
      <c r="AW2470" s="35">
        <f>$D2470*($E2470*(AW$321-AW$322)+$F2470*(AW$324-AW$325))</f>
        <v/>
      </c>
      <c r="AX2470" s="35">
        <f>$D2470*($E2470*(AX$321-AX$322)+$F2470*(AX$324-AX$325))</f>
        <v/>
      </c>
      <c r="AY2470" s="35">
        <f>$D2470*($E2470*(AY$321-AY$322)+$F2470*(AY$324-AY$325))</f>
        <v/>
      </c>
      <c r="AZ2470" s="35">
        <f>$D2470*($E2470*(AZ$321-AZ$322)+$F2470*(AZ$324-AZ$325))</f>
        <v/>
      </c>
      <c r="BA2470" s="42">
        <f>XCARBON($D2470,$E2470,(BA$321-BA$322),$F2470,(BA$324-BA$325))</f>
        <v/>
      </c>
    </row>
    <row r="2471" hidden="1" outlineLevel="2">
      <c r="A2471" s="14" t="inlineStr">
        <is>
          <t>xcpd</t>
        </is>
      </c>
      <c r="B2471" s="14" t="inlineStr">
        <is>
          <t>ker</t>
        </is>
      </c>
      <c r="C2471" s="14" t="inlineStr">
        <is>
          <t>cem</t>
        </is>
      </c>
      <c r="D2471" s="35">
        <f>INDEX(Inputs!$W$5:$W$132,MATCH($B2471&amp;"|"&amp;$C2471,Inputs!$A$5:$A$132,0))</f>
        <v/>
      </c>
      <c r="E2471" s="35">
        <f>INDEX(Inputs!$Z$5:$Z$132,MATCH($B2471&amp;"|"&amp;$C2471,Inputs!$A$5:$A$132,0))</f>
        <v/>
      </c>
      <c r="F2471" s="35">
        <f>INDEX(Inputs!$AA$5:$AA$132,MATCH($B2471&amp;"|"&amp;$C2471,Inputs!$A$5:$A$132,0))</f>
        <v/>
      </c>
      <c r="G2471" s="39" t="n"/>
      <c r="H2471" s="14">
        <f>INDEX(VarLab,MATCH($A2471,VarKey,0))&amp;INDEX(MemLab,MATCH($C2471&amp;"|"&amp;$B2471,MemKey,0))</f>
        <v/>
      </c>
      <c r="I2471" s="14">
        <f>INDEX(VarUnit,MATCH($A2471,VarKey,0))</f>
        <v/>
      </c>
      <c r="J2471" s="14">
        <f>INDEX(VarSrc,MATCH($A2471,VarKey,0))</f>
        <v/>
      </c>
      <c r="K2471" s="11">
        <f>CodePrefix&amp;$A2471&amp;IF($C2471="","","."&amp;$C2471&amp;"."&amp;$B2471)&amp;INDEX(VarEnd,MATCH($A2471,VarKey,0))&amp;K$5</f>
        <v/>
      </c>
      <c r="L2471" s="40">
        <f>$D2471*($E2471*(L$321-L$322)+$F2471*(L$324-L$325))</f>
        <v/>
      </c>
      <c r="M2471" s="35">
        <f>$D2471*($E2471*(M$321-M$322)+$F2471*(M$324-M$325))</f>
        <v/>
      </c>
      <c r="N2471" s="35">
        <f>$D2471*($E2471*(N$321-N$322)+$F2471*(N$324-N$325))</f>
        <v/>
      </c>
      <c r="O2471" s="35">
        <f>$D2471*($E2471*(O$321-O$322)+$F2471*(O$324-O$325))</f>
        <v/>
      </c>
      <c r="P2471" s="35">
        <f>$D2471*($E2471*(P$321-P$322)+$F2471*(P$324-P$325))</f>
        <v/>
      </c>
      <c r="Q2471" s="35">
        <f>$D2471*($E2471*(Q$321-Q$322)+$F2471*(Q$324-Q$325))</f>
        <v/>
      </c>
      <c r="R2471" s="35">
        <f>$D2471*($E2471*(R$321-R$322)+$F2471*(R$324-R$325))</f>
        <v/>
      </c>
      <c r="S2471" s="35">
        <f>$D2471*($E2471*(S$321-S$322)+$F2471*(S$324-S$325))</f>
        <v/>
      </c>
      <c r="T2471" s="35">
        <f>$D2471*($E2471*(T$321-T$322)+$F2471*(T$324-T$325))</f>
        <v/>
      </c>
      <c r="U2471" s="35">
        <f>$D2471*($E2471*(U$321-U$322)+$F2471*(U$324-U$325))</f>
        <v/>
      </c>
      <c r="V2471" s="35">
        <f>$D2471*($E2471*(V$321-V$322)+$F2471*(V$324-V$325))</f>
        <v/>
      </c>
      <c r="W2471" s="35">
        <f>$D2471*($E2471*(W$321-W$322)+$F2471*(W$324-W$325))</f>
        <v/>
      </c>
      <c r="X2471" s="35">
        <f>$D2471*($E2471*(X$321-X$322)+$F2471*(X$324-X$325))</f>
        <v/>
      </c>
      <c r="Y2471" s="35">
        <f>$D2471*($E2471*(Y$321-Y$322)+$F2471*(Y$324-Y$325))</f>
        <v/>
      </c>
      <c r="Z2471" s="35">
        <f>$D2471*($E2471*(Z$321-Z$322)+$F2471*(Z$324-Z$325))</f>
        <v/>
      </c>
      <c r="AA2471" s="35">
        <f>$D2471*($E2471*(AA$321-AA$322)+$F2471*(AA$324-AA$325))</f>
        <v/>
      </c>
      <c r="AB2471" s="35">
        <f>$D2471*($E2471*(AB$321-AB$322)+$F2471*(AB$324-AB$325))</f>
        <v/>
      </c>
      <c r="AC2471" s="35">
        <f>$D2471*($E2471*(AC$321-AC$322)+$F2471*(AC$324-AC$325))</f>
        <v/>
      </c>
      <c r="AD2471" s="35">
        <f>$D2471*($E2471*(AD$321-AD$322)+$F2471*(AD$324-AD$325))</f>
        <v/>
      </c>
      <c r="AE2471" s="42">
        <f>XCARBON($D2471,$E2471,(AE$321-AE$322),$F2471,(AE$324-AE$325))</f>
        <v/>
      </c>
      <c r="AG2471" s="11">
        <f>CodePrefix&amp;$A2471&amp;IF($C2471="","","."&amp;$C2471&amp;"."&amp;$B2471)&amp;INDEX(VarEnd,MATCH($A2471,VarKey,0))&amp;AG$5</f>
        <v/>
      </c>
      <c r="AH2471" s="40">
        <f>$D2471*($E2471*(AH$321-AH$322)+$F2471*(AH$324-AH$325))</f>
        <v/>
      </c>
      <c r="AI2471" s="35">
        <f>$D2471*($E2471*(AI$321-AI$322)+$F2471*(AI$324-AI$325))</f>
        <v/>
      </c>
      <c r="AJ2471" s="35">
        <f>$D2471*($E2471*(AJ$321-AJ$322)+$F2471*(AJ$324-AJ$325))</f>
        <v/>
      </c>
      <c r="AK2471" s="35">
        <f>$D2471*($E2471*(AK$321-AK$322)+$F2471*(AK$324-AK$325))</f>
        <v/>
      </c>
      <c r="AL2471" s="35">
        <f>$D2471*($E2471*(AL$321-AL$322)+$F2471*(AL$324-AL$325))</f>
        <v/>
      </c>
      <c r="AM2471" s="35">
        <f>$D2471*($E2471*(AM$321-AM$322)+$F2471*(AM$324-AM$325))</f>
        <v/>
      </c>
      <c r="AN2471" s="35">
        <f>$D2471*($E2471*(AN$321-AN$322)+$F2471*(AN$324-AN$325))</f>
        <v/>
      </c>
      <c r="AO2471" s="35">
        <f>$D2471*($E2471*(AO$321-AO$322)+$F2471*(AO$324-AO$325))</f>
        <v/>
      </c>
      <c r="AP2471" s="35">
        <f>$D2471*($E2471*(AP$321-AP$322)+$F2471*(AP$324-AP$325))</f>
        <v/>
      </c>
      <c r="AQ2471" s="35">
        <f>$D2471*($E2471*(AQ$321-AQ$322)+$F2471*(AQ$324-AQ$325))</f>
        <v/>
      </c>
      <c r="AR2471" s="35">
        <f>$D2471*($E2471*(AR$321-AR$322)+$F2471*(AR$324-AR$325))</f>
        <v/>
      </c>
      <c r="AS2471" s="35">
        <f>$D2471*($E2471*(AS$321-AS$322)+$F2471*(AS$324-AS$325))</f>
        <v/>
      </c>
      <c r="AT2471" s="35">
        <f>$D2471*($E2471*(AT$321-AT$322)+$F2471*(AT$324-AT$325))</f>
        <v/>
      </c>
      <c r="AU2471" s="35">
        <f>$D2471*($E2471*(AU$321-AU$322)+$F2471*(AU$324-AU$325))</f>
        <v/>
      </c>
      <c r="AV2471" s="35">
        <f>$D2471*($E2471*(AV$321-AV$322)+$F2471*(AV$324-AV$325))</f>
        <v/>
      </c>
      <c r="AW2471" s="35">
        <f>$D2471*($E2471*(AW$321-AW$322)+$F2471*(AW$324-AW$325))</f>
        <v/>
      </c>
      <c r="AX2471" s="35">
        <f>$D2471*($E2471*(AX$321-AX$322)+$F2471*(AX$324-AX$325))</f>
        <v/>
      </c>
      <c r="AY2471" s="35">
        <f>$D2471*($E2471*(AY$321-AY$322)+$F2471*(AY$324-AY$325))</f>
        <v/>
      </c>
      <c r="AZ2471" s="35">
        <f>$D2471*($E2471*(AZ$321-AZ$322)+$F2471*(AZ$324-AZ$325))</f>
        <v/>
      </c>
      <c r="BA2471" s="42">
        <f>XCARBON($D2471,$E2471,(BA$321-BA$322),$F2471,(BA$324-BA$325))</f>
        <v/>
      </c>
    </row>
    <row r="2472" hidden="1" outlineLevel="2">
      <c r="A2472" s="14" t="inlineStr">
        <is>
          <t>xcpd</t>
        </is>
      </c>
      <c r="B2472" s="14" t="inlineStr">
        <is>
          <t>oop</t>
        </is>
      </c>
      <c r="C2472" s="14" t="inlineStr">
        <is>
          <t>cem</t>
        </is>
      </c>
      <c r="D2472" s="35">
        <f>INDEX(Inputs!$W$5:$W$132,MATCH($B2472&amp;"|"&amp;$C2472,Inputs!$A$5:$A$132,0))</f>
        <v/>
      </c>
      <c r="E2472" s="35">
        <f>INDEX(Inputs!$Z$5:$Z$132,MATCH($B2472&amp;"|"&amp;$C2472,Inputs!$A$5:$A$132,0))</f>
        <v/>
      </c>
      <c r="F2472" s="35">
        <f>INDEX(Inputs!$AA$5:$AA$132,MATCH($B2472&amp;"|"&amp;$C2472,Inputs!$A$5:$A$132,0))</f>
        <v/>
      </c>
      <c r="G2472" s="39" t="n"/>
      <c r="H2472" s="14">
        <f>INDEX(VarLab,MATCH($A2472,VarKey,0))&amp;INDEX(MemLab,MATCH($C2472&amp;"|"&amp;$B2472,MemKey,0))</f>
        <v/>
      </c>
      <c r="I2472" s="14">
        <f>INDEX(VarUnit,MATCH($A2472,VarKey,0))</f>
        <v/>
      </c>
      <c r="J2472" s="14">
        <f>INDEX(VarSrc,MATCH($A2472,VarKey,0))</f>
        <v/>
      </c>
      <c r="K2472" s="11">
        <f>CodePrefix&amp;$A2472&amp;IF($C2472="","","."&amp;$C2472&amp;"."&amp;$B2472)&amp;INDEX(VarEnd,MATCH($A2472,VarKey,0))&amp;K$5</f>
        <v/>
      </c>
      <c r="L2472" s="40">
        <f>$D2472*($E2472*(L$321-L$322)+$F2472*(L$324-L$325))</f>
        <v/>
      </c>
      <c r="M2472" s="35">
        <f>$D2472*($E2472*(M$321-M$322)+$F2472*(M$324-M$325))</f>
        <v/>
      </c>
      <c r="N2472" s="35">
        <f>$D2472*($E2472*(N$321-N$322)+$F2472*(N$324-N$325))</f>
        <v/>
      </c>
      <c r="O2472" s="35">
        <f>$D2472*($E2472*(O$321-O$322)+$F2472*(O$324-O$325))</f>
        <v/>
      </c>
      <c r="P2472" s="35">
        <f>$D2472*($E2472*(P$321-P$322)+$F2472*(P$324-P$325))</f>
        <v/>
      </c>
      <c r="Q2472" s="35">
        <f>$D2472*($E2472*(Q$321-Q$322)+$F2472*(Q$324-Q$325))</f>
        <v/>
      </c>
      <c r="R2472" s="35">
        <f>$D2472*($E2472*(R$321-R$322)+$F2472*(R$324-R$325))</f>
        <v/>
      </c>
      <c r="S2472" s="35">
        <f>$D2472*($E2472*(S$321-S$322)+$F2472*(S$324-S$325))</f>
        <v/>
      </c>
      <c r="T2472" s="35">
        <f>$D2472*($E2472*(T$321-T$322)+$F2472*(T$324-T$325))</f>
        <v/>
      </c>
      <c r="U2472" s="35">
        <f>$D2472*($E2472*(U$321-U$322)+$F2472*(U$324-U$325))</f>
        <v/>
      </c>
      <c r="V2472" s="35">
        <f>$D2472*($E2472*(V$321-V$322)+$F2472*(V$324-V$325))</f>
        <v/>
      </c>
      <c r="W2472" s="35">
        <f>$D2472*($E2472*(W$321-W$322)+$F2472*(W$324-W$325))</f>
        <v/>
      </c>
      <c r="X2472" s="35">
        <f>$D2472*($E2472*(X$321-X$322)+$F2472*(X$324-X$325))</f>
        <v/>
      </c>
      <c r="Y2472" s="35">
        <f>$D2472*($E2472*(Y$321-Y$322)+$F2472*(Y$324-Y$325))</f>
        <v/>
      </c>
      <c r="Z2472" s="35">
        <f>$D2472*($E2472*(Z$321-Z$322)+$F2472*(Z$324-Z$325))</f>
        <v/>
      </c>
      <c r="AA2472" s="35">
        <f>$D2472*($E2472*(AA$321-AA$322)+$F2472*(AA$324-AA$325))</f>
        <v/>
      </c>
      <c r="AB2472" s="35">
        <f>$D2472*($E2472*(AB$321-AB$322)+$F2472*(AB$324-AB$325))</f>
        <v/>
      </c>
      <c r="AC2472" s="35">
        <f>$D2472*($E2472*(AC$321-AC$322)+$F2472*(AC$324-AC$325))</f>
        <v/>
      </c>
      <c r="AD2472" s="35">
        <f>$D2472*($E2472*(AD$321-AD$322)+$F2472*(AD$324-AD$325))</f>
        <v/>
      </c>
      <c r="AE2472" s="42">
        <f>XCARBON($D2472,$E2472,(AE$321-AE$322),$F2472,(AE$324-AE$325))</f>
        <v/>
      </c>
      <c r="AG2472" s="11">
        <f>CodePrefix&amp;$A2472&amp;IF($C2472="","","."&amp;$C2472&amp;"."&amp;$B2472)&amp;INDEX(VarEnd,MATCH($A2472,VarKey,0))&amp;AG$5</f>
        <v/>
      </c>
      <c r="AH2472" s="40">
        <f>$D2472*($E2472*(AH$321-AH$322)+$F2472*(AH$324-AH$325))</f>
        <v/>
      </c>
      <c r="AI2472" s="35">
        <f>$D2472*($E2472*(AI$321-AI$322)+$F2472*(AI$324-AI$325))</f>
        <v/>
      </c>
      <c r="AJ2472" s="35">
        <f>$D2472*($E2472*(AJ$321-AJ$322)+$F2472*(AJ$324-AJ$325))</f>
        <v/>
      </c>
      <c r="AK2472" s="35">
        <f>$D2472*($E2472*(AK$321-AK$322)+$F2472*(AK$324-AK$325))</f>
        <v/>
      </c>
      <c r="AL2472" s="35">
        <f>$D2472*($E2472*(AL$321-AL$322)+$F2472*(AL$324-AL$325))</f>
        <v/>
      </c>
      <c r="AM2472" s="35">
        <f>$D2472*($E2472*(AM$321-AM$322)+$F2472*(AM$324-AM$325))</f>
        <v/>
      </c>
      <c r="AN2472" s="35">
        <f>$D2472*($E2472*(AN$321-AN$322)+$F2472*(AN$324-AN$325))</f>
        <v/>
      </c>
      <c r="AO2472" s="35">
        <f>$D2472*($E2472*(AO$321-AO$322)+$F2472*(AO$324-AO$325))</f>
        <v/>
      </c>
      <c r="AP2472" s="35">
        <f>$D2472*($E2472*(AP$321-AP$322)+$F2472*(AP$324-AP$325))</f>
        <v/>
      </c>
      <c r="AQ2472" s="35">
        <f>$D2472*($E2472*(AQ$321-AQ$322)+$F2472*(AQ$324-AQ$325))</f>
        <v/>
      </c>
      <c r="AR2472" s="35">
        <f>$D2472*($E2472*(AR$321-AR$322)+$F2472*(AR$324-AR$325))</f>
        <v/>
      </c>
      <c r="AS2472" s="35">
        <f>$D2472*($E2472*(AS$321-AS$322)+$F2472*(AS$324-AS$325))</f>
        <v/>
      </c>
      <c r="AT2472" s="35">
        <f>$D2472*($E2472*(AT$321-AT$322)+$F2472*(AT$324-AT$325))</f>
        <v/>
      </c>
      <c r="AU2472" s="35">
        <f>$D2472*($E2472*(AU$321-AU$322)+$F2472*(AU$324-AU$325))</f>
        <v/>
      </c>
      <c r="AV2472" s="35">
        <f>$D2472*($E2472*(AV$321-AV$322)+$F2472*(AV$324-AV$325))</f>
        <v/>
      </c>
      <c r="AW2472" s="35">
        <f>$D2472*($E2472*(AW$321-AW$322)+$F2472*(AW$324-AW$325))</f>
        <v/>
      </c>
      <c r="AX2472" s="35">
        <f>$D2472*($E2472*(AX$321-AX$322)+$F2472*(AX$324-AX$325))</f>
        <v/>
      </c>
      <c r="AY2472" s="35">
        <f>$D2472*($E2472*(AY$321-AY$322)+$F2472*(AY$324-AY$325))</f>
        <v/>
      </c>
      <c r="AZ2472" s="35">
        <f>$D2472*($E2472*(AZ$321-AZ$322)+$F2472*(AZ$324-AZ$325))</f>
        <v/>
      </c>
      <c r="BA2472" s="42">
        <f>XCARBON($D2472,$E2472,(BA$321-BA$322),$F2472,(BA$324-BA$325))</f>
        <v/>
      </c>
    </row>
    <row r="2473" hidden="1" outlineLevel="2">
      <c r="A2473" s="14" t="inlineStr">
        <is>
          <t>xcpd</t>
        </is>
      </c>
      <c r="B2473" s="14" t="inlineStr">
        <is>
          <t>bio</t>
        </is>
      </c>
      <c r="C2473" s="14" t="inlineStr">
        <is>
          <t>cem</t>
        </is>
      </c>
      <c r="D2473" s="35">
        <f>INDEX(Inputs!$W$5:$W$132,MATCH($B2473&amp;"|"&amp;$C2473,Inputs!$A$5:$A$132,0))</f>
        <v/>
      </c>
      <c r="E2473" s="35">
        <f>INDEX(Inputs!$Z$5:$Z$132,MATCH($B2473&amp;"|"&amp;$C2473,Inputs!$A$5:$A$132,0))</f>
        <v/>
      </c>
      <c r="F2473" s="35">
        <f>INDEX(Inputs!$AA$5:$AA$132,MATCH($B2473&amp;"|"&amp;$C2473,Inputs!$A$5:$A$132,0))</f>
        <v/>
      </c>
      <c r="G2473" s="39" t="n"/>
      <c r="H2473" s="14">
        <f>INDEX(VarLab,MATCH($A2473,VarKey,0))&amp;INDEX(MemLab,MATCH($C2473&amp;"|"&amp;$B2473,MemKey,0))</f>
        <v/>
      </c>
      <c r="I2473" s="14">
        <f>INDEX(VarUnit,MATCH($A2473,VarKey,0))</f>
        <v/>
      </c>
      <c r="J2473" s="14">
        <f>INDEX(VarSrc,MATCH($A2473,VarKey,0))</f>
        <v/>
      </c>
      <c r="K2473" s="11">
        <f>CodePrefix&amp;$A2473&amp;IF($C2473="","","."&amp;$C2473&amp;"."&amp;$B2473)&amp;INDEX(VarEnd,MATCH($A2473,VarKey,0))&amp;K$5</f>
        <v/>
      </c>
      <c r="L2473" s="40">
        <f>$D2473*($E2473*(L$321-L$322)+$F2473*(L$324-L$325))</f>
        <v/>
      </c>
      <c r="M2473" s="35">
        <f>$D2473*($E2473*(M$321-M$322)+$F2473*(M$324-M$325))</f>
        <v/>
      </c>
      <c r="N2473" s="35">
        <f>$D2473*($E2473*(N$321-N$322)+$F2473*(N$324-N$325))</f>
        <v/>
      </c>
      <c r="O2473" s="35">
        <f>$D2473*($E2473*(O$321-O$322)+$F2473*(O$324-O$325))</f>
        <v/>
      </c>
      <c r="P2473" s="35">
        <f>$D2473*($E2473*(P$321-P$322)+$F2473*(P$324-P$325))</f>
        <v/>
      </c>
      <c r="Q2473" s="35">
        <f>$D2473*($E2473*(Q$321-Q$322)+$F2473*(Q$324-Q$325))</f>
        <v/>
      </c>
      <c r="R2473" s="35">
        <f>$D2473*($E2473*(R$321-R$322)+$F2473*(R$324-R$325))</f>
        <v/>
      </c>
      <c r="S2473" s="35">
        <f>$D2473*($E2473*(S$321-S$322)+$F2473*(S$324-S$325))</f>
        <v/>
      </c>
      <c r="T2473" s="35">
        <f>$D2473*($E2473*(T$321-T$322)+$F2473*(T$324-T$325))</f>
        <v/>
      </c>
      <c r="U2473" s="35">
        <f>$D2473*($E2473*(U$321-U$322)+$F2473*(U$324-U$325))</f>
        <v/>
      </c>
      <c r="V2473" s="35">
        <f>$D2473*($E2473*(V$321-V$322)+$F2473*(V$324-V$325))</f>
        <v/>
      </c>
      <c r="W2473" s="35">
        <f>$D2473*($E2473*(W$321-W$322)+$F2473*(W$324-W$325))</f>
        <v/>
      </c>
      <c r="X2473" s="35">
        <f>$D2473*($E2473*(X$321-X$322)+$F2473*(X$324-X$325))</f>
        <v/>
      </c>
      <c r="Y2473" s="35">
        <f>$D2473*($E2473*(Y$321-Y$322)+$F2473*(Y$324-Y$325))</f>
        <v/>
      </c>
      <c r="Z2473" s="35">
        <f>$D2473*($E2473*(Z$321-Z$322)+$F2473*(Z$324-Z$325))</f>
        <v/>
      </c>
      <c r="AA2473" s="35">
        <f>$D2473*($E2473*(AA$321-AA$322)+$F2473*(AA$324-AA$325))</f>
        <v/>
      </c>
      <c r="AB2473" s="35">
        <f>$D2473*($E2473*(AB$321-AB$322)+$F2473*(AB$324-AB$325))</f>
        <v/>
      </c>
      <c r="AC2473" s="35">
        <f>$D2473*($E2473*(AC$321-AC$322)+$F2473*(AC$324-AC$325))</f>
        <v/>
      </c>
      <c r="AD2473" s="35">
        <f>$D2473*($E2473*(AD$321-AD$322)+$F2473*(AD$324-AD$325))</f>
        <v/>
      </c>
      <c r="AE2473" s="42">
        <f>XCARBON($D2473,$E2473,(AE$321-AE$322),$F2473,(AE$324-AE$325))</f>
        <v/>
      </c>
      <c r="AG2473" s="11">
        <f>CodePrefix&amp;$A2473&amp;IF($C2473="","","."&amp;$C2473&amp;"."&amp;$B2473)&amp;INDEX(VarEnd,MATCH($A2473,VarKey,0))&amp;AG$5</f>
        <v/>
      </c>
      <c r="AH2473" s="40">
        <f>$D2473*($E2473*(AH$321-AH$322)+$F2473*(AH$324-AH$325))</f>
        <v/>
      </c>
      <c r="AI2473" s="35">
        <f>$D2473*($E2473*(AI$321-AI$322)+$F2473*(AI$324-AI$325))</f>
        <v/>
      </c>
      <c r="AJ2473" s="35">
        <f>$D2473*($E2473*(AJ$321-AJ$322)+$F2473*(AJ$324-AJ$325))</f>
        <v/>
      </c>
      <c r="AK2473" s="35">
        <f>$D2473*($E2473*(AK$321-AK$322)+$F2473*(AK$324-AK$325))</f>
        <v/>
      </c>
      <c r="AL2473" s="35">
        <f>$D2473*($E2473*(AL$321-AL$322)+$F2473*(AL$324-AL$325))</f>
        <v/>
      </c>
      <c r="AM2473" s="35">
        <f>$D2473*($E2473*(AM$321-AM$322)+$F2473*(AM$324-AM$325))</f>
        <v/>
      </c>
      <c r="AN2473" s="35">
        <f>$D2473*($E2473*(AN$321-AN$322)+$F2473*(AN$324-AN$325))</f>
        <v/>
      </c>
      <c r="AO2473" s="35">
        <f>$D2473*($E2473*(AO$321-AO$322)+$F2473*(AO$324-AO$325))</f>
        <v/>
      </c>
      <c r="AP2473" s="35">
        <f>$D2473*($E2473*(AP$321-AP$322)+$F2473*(AP$324-AP$325))</f>
        <v/>
      </c>
      <c r="AQ2473" s="35">
        <f>$D2473*($E2473*(AQ$321-AQ$322)+$F2473*(AQ$324-AQ$325))</f>
        <v/>
      </c>
      <c r="AR2473" s="35">
        <f>$D2473*($E2473*(AR$321-AR$322)+$F2473*(AR$324-AR$325))</f>
        <v/>
      </c>
      <c r="AS2473" s="35">
        <f>$D2473*($E2473*(AS$321-AS$322)+$F2473*(AS$324-AS$325))</f>
        <v/>
      </c>
      <c r="AT2473" s="35">
        <f>$D2473*($E2473*(AT$321-AT$322)+$F2473*(AT$324-AT$325))</f>
        <v/>
      </c>
      <c r="AU2473" s="35">
        <f>$D2473*($E2473*(AU$321-AU$322)+$F2473*(AU$324-AU$325))</f>
        <v/>
      </c>
      <c r="AV2473" s="35">
        <f>$D2473*($E2473*(AV$321-AV$322)+$F2473*(AV$324-AV$325))</f>
        <v/>
      </c>
      <c r="AW2473" s="35">
        <f>$D2473*($E2473*(AW$321-AW$322)+$F2473*(AW$324-AW$325))</f>
        <v/>
      </c>
      <c r="AX2473" s="35">
        <f>$D2473*($E2473*(AX$321-AX$322)+$F2473*(AX$324-AX$325))</f>
        <v/>
      </c>
      <c r="AY2473" s="35">
        <f>$D2473*($E2473*(AY$321-AY$322)+$F2473*(AY$324-AY$325))</f>
        <v/>
      </c>
      <c r="AZ2473" s="35">
        <f>$D2473*($E2473*(AZ$321-AZ$322)+$F2473*(AZ$324-AZ$325))</f>
        <v/>
      </c>
      <c r="BA2473" s="42">
        <f>XCARBON($D2473,$E2473,(BA$321-BA$322),$F2473,(BA$324-BA$325))</f>
        <v/>
      </c>
    </row>
    <row r="2474" hidden="1" outlineLevel="2"/>
    <row r="2475" hidden="1" outlineLevel="2">
      <c r="A2475" s="14" t="inlineStr">
        <is>
          <t>atp</t>
        </is>
      </c>
      <c r="B2475" s="14" t="inlineStr">
        <is>
          <t>coa</t>
        </is>
      </c>
      <c r="C2475" s="14" t="inlineStr">
        <is>
          <t>cem</t>
        </is>
      </c>
      <c r="D2475" s="35">
        <f>INDEX(Inputs!$U$5:$U$132,MATCH($B2475&amp;"|"&amp;$C2475,Inputs!$A$5:$A$132,0))</f>
        <v/>
      </c>
      <c r="E2475" s="35">
        <f>INDEX(Inputs!$V$5:$V$132,MATCH($B2475&amp;"|"&amp;$C2475,Inputs!$A$5:$A$132,0))</f>
        <v/>
      </c>
      <c r="F2475" s="39" t="n"/>
      <c r="G2475" s="39" t="n"/>
      <c r="H2475" s="14">
        <f>INDEX(VarLab,MATCH($A2475,VarKey,0))&amp;INDEX(MemLab,MATCH($C2475&amp;"|"&amp;$B2475,MemKey,0))</f>
        <v/>
      </c>
      <c r="I2475" s="14">
        <f>INDEX(VarUnit,MATCH($A2475,VarKey,0))</f>
        <v/>
      </c>
      <c r="J2475" s="14">
        <f>INDEX(VarSrc,MATCH($A2475,VarKey,0))</f>
        <v/>
      </c>
      <c r="K2475" s="11">
        <f>CodePrefix&amp;$A2475&amp;IF($C2475="","","."&amp;$C2475&amp;"."&amp;$B2475)&amp;INDEX(VarEnd,MATCH($A2475,VarKey,0))&amp;K$5</f>
        <v/>
      </c>
      <c r="L2475" s="40">
        <f>MAX(INDEX(L$381:L$392,$D2475)+(L2448+L2466)*(1+$E2475),0.01)</f>
        <v/>
      </c>
      <c r="M2475" s="35">
        <f>MAX(INDEX(M$381:M$392,$D2475)+(M2448+M2466)*(1+$E2475),0.01)</f>
        <v/>
      </c>
      <c r="N2475" s="35">
        <f>MAX(INDEX(N$381:N$392,$D2475)+(N2448+N2466)*(1+$E2475),0.01)</f>
        <v/>
      </c>
      <c r="O2475" s="35">
        <f>MAX(INDEX(O$381:O$392,$D2475)+(O2448+O2466)*(1+$E2475),0.01)</f>
        <v/>
      </c>
      <c r="P2475" s="35">
        <f>MAX(INDEX(P$381:P$392,$D2475)+(P2448+P2466)*(1+$E2475),0.01)</f>
        <v/>
      </c>
      <c r="Q2475" s="35">
        <f>MAX(INDEX(Q$381:Q$392,$D2475)+(Q2448+Q2466)*(1+$E2475),0.01)</f>
        <v/>
      </c>
      <c r="R2475" s="35">
        <f>MAX(INDEX(R$381:R$392,$D2475)+(R2448+R2466)*(1+$E2475),0.01)</f>
        <v/>
      </c>
      <c r="S2475" s="35">
        <f>MAX(INDEX(S$381:S$392,$D2475)+(S2448+S2466)*(1+$E2475),0.01)</f>
        <v/>
      </c>
      <c r="T2475" s="35">
        <f>MAX(INDEX(T$381:T$392,$D2475)+(T2448+T2466)*(1+$E2475),0.01)</f>
        <v/>
      </c>
      <c r="U2475" s="35">
        <f>MAX(INDEX(U$381:U$392,$D2475)+(U2448+U2466)*(1+$E2475),0.01)</f>
        <v/>
      </c>
      <c r="V2475" s="35">
        <f>MAX(INDEX(V$381:V$392,$D2475)+(V2448+V2466)*(1+$E2475),0.01)</f>
        <v/>
      </c>
      <c r="W2475" s="35">
        <f>MAX(INDEX(W$381:W$392,$D2475)+(W2448+W2466)*(1+$E2475),0.01)</f>
        <v/>
      </c>
      <c r="X2475" s="35">
        <f>MAX(INDEX(X$381:X$392,$D2475)+(X2448+X2466)*(1+$E2475),0.01)</f>
        <v/>
      </c>
      <c r="Y2475" s="35">
        <f>MAX(INDEX(Y$381:Y$392,$D2475)+(Y2448+Y2466)*(1+$E2475),0.01)</f>
        <v/>
      </c>
      <c r="Z2475" s="35">
        <f>MAX(INDEX(Z$381:Z$392,$D2475)+(Z2448+Z2466)*(1+$E2475),0.01)</f>
        <v/>
      </c>
      <c r="AA2475" s="35">
        <f>MAX(INDEX(AA$381:AA$392,$D2475)+(AA2448+AA2466)*(1+$E2475),0.01)</f>
        <v/>
      </c>
      <c r="AB2475" s="35">
        <f>MAX(INDEX(AB$381:AB$392,$D2475)+(AB2448+AB2466)*(1+$E2475),0.01)</f>
        <v/>
      </c>
      <c r="AC2475" s="35">
        <f>MAX(INDEX(AC$381:AC$392,$D2475)+(AC2448+AC2466)*(1+$E2475),0.01)</f>
        <v/>
      </c>
      <c r="AD2475" s="35">
        <f>MAX(INDEX(AD$381:AD$392,$D2475)+(AD2448+AD2466)*(1+$E2475),0.01)</f>
        <v/>
      </c>
      <c r="AE2475" s="42">
        <f>POSTTAX(INDEX(AE$381:AE$392,$D2475),AE2448+AE2466,$E2475)</f>
        <v/>
      </c>
      <c r="AG2475" s="11">
        <f>CodePrefix&amp;$A2475&amp;IF($C2475="","","."&amp;$C2475&amp;"."&amp;$B2475)&amp;INDEX(VarEnd,MATCH($A2475,VarKey,0))&amp;AG$5</f>
        <v/>
      </c>
      <c r="AH2475" s="40">
        <f>MAX(INDEX(AH$381:AH$392,$D2475)+(AH2448+AH2466)*(1+$E2475),0.01)</f>
        <v/>
      </c>
      <c r="AI2475" s="35">
        <f>MAX(INDEX(AI$381:AI$392,$D2475)+(AI2448+AI2466)*(1+$E2475),0.01)</f>
        <v/>
      </c>
      <c r="AJ2475" s="35">
        <f>MAX(INDEX(AJ$381:AJ$392,$D2475)+(AJ2448+AJ2466)*(1+$E2475),0.01)</f>
        <v/>
      </c>
      <c r="AK2475" s="35">
        <f>MAX(INDEX(AK$381:AK$392,$D2475)+(AK2448+AK2466)*(1+$E2475),0.01)</f>
        <v/>
      </c>
      <c r="AL2475" s="35">
        <f>MAX(INDEX(AL$381:AL$392,$D2475)+(AL2448+AL2466)*(1+$E2475),0.01)</f>
        <v/>
      </c>
      <c r="AM2475" s="35">
        <f>MAX(INDEX(AM$381:AM$392,$D2475)+(AM2448+AM2466)*(1+$E2475),0.01)</f>
        <v/>
      </c>
      <c r="AN2475" s="35">
        <f>MAX(INDEX(AN$381:AN$392,$D2475)+(AN2448+AN2466)*(1+$E2475),0.01)</f>
        <v/>
      </c>
      <c r="AO2475" s="35">
        <f>MAX(INDEX(AO$381:AO$392,$D2475)+(AO2448+AO2466)*(1+$E2475),0.01)</f>
        <v/>
      </c>
      <c r="AP2475" s="35">
        <f>MAX(INDEX(AP$381:AP$392,$D2475)+(AP2448+AP2466)*(1+$E2475),0.01)</f>
        <v/>
      </c>
      <c r="AQ2475" s="35">
        <f>MAX(INDEX(AQ$381:AQ$392,$D2475)+(AQ2448+AQ2466)*(1+$E2475),0.01)</f>
        <v/>
      </c>
      <c r="AR2475" s="35">
        <f>MAX(INDEX(AR$381:AR$392,$D2475)+(AR2448+AR2466)*(1+$E2475),0.01)</f>
        <v/>
      </c>
      <c r="AS2475" s="35">
        <f>MAX(INDEX(AS$381:AS$392,$D2475)+(AS2448+AS2466)*(1+$E2475),0.01)</f>
        <v/>
      </c>
      <c r="AT2475" s="35">
        <f>MAX(INDEX(AT$381:AT$392,$D2475)+(AT2448+AT2466)*(1+$E2475),0.01)</f>
        <v/>
      </c>
      <c r="AU2475" s="35">
        <f>MAX(INDEX(AU$381:AU$392,$D2475)+(AU2448+AU2466)*(1+$E2475),0.01)</f>
        <v/>
      </c>
      <c r="AV2475" s="35">
        <f>MAX(INDEX(AV$381:AV$392,$D2475)+(AV2448+AV2466)*(1+$E2475),0.01)</f>
        <v/>
      </c>
      <c r="AW2475" s="35">
        <f>MAX(INDEX(AW$381:AW$392,$D2475)+(AW2448+AW2466)*(1+$E2475),0.01)</f>
        <v/>
      </c>
      <c r="AX2475" s="35">
        <f>MAX(INDEX(AX$381:AX$392,$D2475)+(AX2448+AX2466)*(1+$E2475),0.01)</f>
        <v/>
      </c>
      <c r="AY2475" s="35">
        <f>MAX(INDEX(AY$381:AY$392,$D2475)+(AY2448+AY2466)*(1+$E2475),0.01)</f>
        <v/>
      </c>
      <c r="AZ2475" s="35">
        <f>MAX(INDEX(AZ$381:AZ$392,$D2475)+(AZ2448+AZ2466)*(1+$E2475),0.01)</f>
        <v/>
      </c>
      <c r="BA2475" s="42">
        <f>POSTTAX(INDEX(BA$381:BA$392,$D2475),BA2448+BA2466,$E2475)</f>
        <v/>
      </c>
    </row>
    <row r="2476" hidden="1" outlineLevel="2">
      <c r="A2476" s="14" t="inlineStr">
        <is>
          <t>atp</t>
        </is>
      </c>
      <c r="B2476" s="14" t="inlineStr">
        <is>
          <t>nga</t>
        </is>
      </c>
      <c r="C2476" s="14" t="inlineStr">
        <is>
          <t>cem</t>
        </is>
      </c>
      <c r="D2476" s="35">
        <f>INDEX(Inputs!$U$5:$U$132,MATCH($B2476&amp;"|"&amp;$C2476,Inputs!$A$5:$A$132,0))</f>
        <v/>
      </c>
      <c r="E2476" s="35">
        <f>INDEX(Inputs!$V$5:$V$132,MATCH($B2476&amp;"|"&amp;$C2476,Inputs!$A$5:$A$132,0))</f>
        <v/>
      </c>
      <c r="F2476" s="39" t="n"/>
      <c r="G2476" s="39" t="n"/>
      <c r="H2476" s="14">
        <f>INDEX(VarLab,MATCH($A2476,VarKey,0))&amp;INDEX(MemLab,MATCH($C2476&amp;"|"&amp;$B2476,MemKey,0))</f>
        <v/>
      </c>
      <c r="I2476" s="14">
        <f>INDEX(VarUnit,MATCH($A2476,VarKey,0))</f>
        <v/>
      </c>
      <c r="J2476" s="14">
        <f>INDEX(VarSrc,MATCH($A2476,VarKey,0))</f>
        <v/>
      </c>
      <c r="K2476" s="11">
        <f>CodePrefix&amp;$A2476&amp;IF($C2476="","","."&amp;$C2476&amp;"."&amp;$B2476)&amp;INDEX(VarEnd,MATCH($A2476,VarKey,0))&amp;K$5</f>
        <v/>
      </c>
      <c r="L2476" s="40">
        <f>MAX(INDEX(L$381:L$392,$D2476)+(L2449+L2467)*(1+$E2476),0.01)</f>
        <v/>
      </c>
      <c r="M2476" s="35">
        <f>MAX(INDEX(M$381:M$392,$D2476)+(M2449+M2467)*(1+$E2476),0.01)</f>
        <v/>
      </c>
      <c r="N2476" s="35">
        <f>MAX(INDEX(N$381:N$392,$D2476)+(N2449+N2467)*(1+$E2476),0.01)</f>
        <v/>
      </c>
      <c r="O2476" s="35">
        <f>MAX(INDEX(O$381:O$392,$D2476)+(O2449+O2467)*(1+$E2476),0.01)</f>
        <v/>
      </c>
      <c r="P2476" s="35">
        <f>MAX(INDEX(P$381:P$392,$D2476)+(P2449+P2467)*(1+$E2476),0.01)</f>
        <v/>
      </c>
      <c r="Q2476" s="35">
        <f>MAX(INDEX(Q$381:Q$392,$D2476)+(Q2449+Q2467)*(1+$E2476),0.01)</f>
        <v/>
      </c>
      <c r="R2476" s="35">
        <f>MAX(INDEX(R$381:R$392,$D2476)+(R2449+R2467)*(1+$E2476),0.01)</f>
        <v/>
      </c>
      <c r="S2476" s="35">
        <f>MAX(INDEX(S$381:S$392,$D2476)+(S2449+S2467)*(1+$E2476),0.01)</f>
        <v/>
      </c>
      <c r="T2476" s="35">
        <f>MAX(INDEX(T$381:T$392,$D2476)+(T2449+T2467)*(1+$E2476),0.01)</f>
        <v/>
      </c>
      <c r="U2476" s="35">
        <f>MAX(INDEX(U$381:U$392,$D2476)+(U2449+U2467)*(1+$E2476),0.01)</f>
        <v/>
      </c>
      <c r="V2476" s="35">
        <f>MAX(INDEX(V$381:V$392,$D2476)+(V2449+V2467)*(1+$E2476),0.01)</f>
        <v/>
      </c>
      <c r="W2476" s="35">
        <f>MAX(INDEX(W$381:W$392,$D2476)+(W2449+W2467)*(1+$E2476),0.01)</f>
        <v/>
      </c>
      <c r="X2476" s="35">
        <f>MAX(INDEX(X$381:X$392,$D2476)+(X2449+X2467)*(1+$E2476),0.01)</f>
        <v/>
      </c>
      <c r="Y2476" s="35">
        <f>MAX(INDEX(Y$381:Y$392,$D2476)+(Y2449+Y2467)*(1+$E2476),0.01)</f>
        <v/>
      </c>
      <c r="Z2476" s="35">
        <f>MAX(INDEX(Z$381:Z$392,$D2476)+(Z2449+Z2467)*(1+$E2476),0.01)</f>
        <v/>
      </c>
      <c r="AA2476" s="35">
        <f>MAX(INDEX(AA$381:AA$392,$D2476)+(AA2449+AA2467)*(1+$E2476),0.01)</f>
        <v/>
      </c>
      <c r="AB2476" s="35">
        <f>MAX(INDEX(AB$381:AB$392,$D2476)+(AB2449+AB2467)*(1+$E2476),0.01)</f>
        <v/>
      </c>
      <c r="AC2476" s="35">
        <f>MAX(INDEX(AC$381:AC$392,$D2476)+(AC2449+AC2467)*(1+$E2476),0.01)</f>
        <v/>
      </c>
      <c r="AD2476" s="35">
        <f>MAX(INDEX(AD$381:AD$392,$D2476)+(AD2449+AD2467)*(1+$E2476),0.01)</f>
        <v/>
      </c>
      <c r="AE2476" s="42">
        <f>POSTTAX(INDEX(AE$381:AE$392,$D2476),AE2449+AE2467,$E2476)</f>
        <v/>
      </c>
      <c r="AG2476" s="11">
        <f>CodePrefix&amp;$A2476&amp;IF($C2476="","","."&amp;$C2476&amp;"."&amp;$B2476)&amp;INDEX(VarEnd,MATCH($A2476,VarKey,0))&amp;AG$5</f>
        <v/>
      </c>
      <c r="AH2476" s="40">
        <f>MAX(INDEX(AH$381:AH$392,$D2476)+(AH2449+AH2467)*(1+$E2476),0.01)</f>
        <v/>
      </c>
      <c r="AI2476" s="35">
        <f>MAX(INDEX(AI$381:AI$392,$D2476)+(AI2449+AI2467)*(1+$E2476),0.01)</f>
        <v/>
      </c>
      <c r="AJ2476" s="35">
        <f>MAX(INDEX(AJ$381:AJ$392,$D2476)+(AJ2449+AJ2467)*(1+$E2476),0.01)</f>
        <v/>
      </c>
      <c r="AK2476" s="35">
        <f>MAX(INDEX(AK$381:AK$392,$D2476)+(AK2449+AK2467)*(1+$E2476),0.01)</f>
        <v/>
      </c>
      <c r="AL2476" s="35">
        <f>MAX(INDEX(AL$381:AL$392,$D2476)+(AL2449+AL2467)*(1+$E2476),0.01)</f>
        <v/>
      </c>
      <c r="AM2476" s="35">
        <f>MAX(INDEX(AM$381:AM$392,$D2476)+(AM2449+AM2467)*(1+$E2476),0.01)</f>
        <v/>
      </c>
      <c r="AN2476" s="35">
        <f>MAX(INDEX(AN$381:AN$392,$D2476)+(AN2449+AN2467)*(1+$E2476),0.01)</f>
        <v/>
      </c>
      <c r="AO2476" s="35">
        <f>MAX(INDEX(AO$381:AO$392,$D2476)+(AO2449+AO2467)*(1+$E2476),0.01)</f>
        <v/>
      </c>
      <c r="AP2476" s="35">
        <f>MAX(INDEX(AP$381:AP$392,$D2476)+(AP2449+AP2467)*(1+$E2476),0.01)</f>
        <v/>
      </c>
      <c r="AQ2476" s="35">
        <f>MAX(INDEX(AQ$381:AQ$392,$D2476)+(AQ2449+AQ2467)*(1+$E2476),0.01)</f>
        <v/>
      </c>
      <c r="AR2476" s="35">
        <f>MAX(INDEX(AR$381:AR$392,$D2476)+(AR2449+AR2467)*(1+$E2476),0.01)</f>
        <v/>
      </c>
      <c r="AS2476" s="35">
        <f>MAX(INDEX(AS$381:AS$392,$D2476)+(AS2449+AS2467)*(1+$E2476),0.01)</f>
        <v/>
      </c>
      <c r="AT2476" s="35">
        <f>MAX(INDEX(AT$381:AT$392,$D2476)+(AT2449+AT2467)*(1+$E2476),0.01)</f>
        <v/>
      </c>
      <c r="AU2476" s="35">
        <f>MAX(INDEX(AU$381:AU$392,$D2476)+(AU2449+AU2467)*(1+$E2476),0.01)</f>
        <v/>
      </c>
      <c r="AV2476" s="35">
        <f>MAX(INDEX(AV$381:AV$392,$D2476)+(AV2449+AV2467)*(1+$E2476),0.01)</f>
        <v/>
      </c>
      <c r="AW2476" s="35">
        <f>MAX(INDEX(AW$381:AW$392,$D2476)+(AW2449+AW2467)*(1+$E2476),0.01)</f>
        <v/>
      </c>
      <c r="AX2476" s="35">
        <f>MAX(INDEX(AX$381:AX$392,$D2476)+(AX2449+AX2467)*(1+$E2476),0.01)</f>
        <v/>
      </c>
      <c r="AY2476" s="35">
        <f>MAX(INDEX(AY$381:AY$392,$D2476)+(AY2449+AY2467)*(1+$E2476),0.01)</f>
        <v/>
      </c>
      <c r="AZ2476" s="35">
        <f>MAX(INDEX(AZ$381:AZ$392,$D2476)+(AZ2449+AZ2467)*(1+$E2476),0.01)</f>
        <v/>
      </c>
      <c r="BA2476" s="42">
        <f>POSTTAX(INDEX(BA$381:BA$392,$D2476),BA2449+BA2467,$E2476)</f>
        <v/>
      </c>
    </row>
    <row r="2477" hidden="1" outlineLevel="2">
      <c r="A2477" s="14" t="inlineStr">
        <is>
          <t>atp</t>
        </is>
      </c>
      <c r="B2477" s="14" t="inlineStr">
        <is>
          <t>gso</t>
        </is>
      </c>
      <c r="C2477" s="14" t="inlineStr">
        <is>
          <t>cem</t>
        </is>
      </c>
      <c r="D2477" s="35">
        <f>INDEX(Inputs!$U$5:$U$132,MATCH($B2477&amp;"|"&amp;$C2477,Inputs!$A$5:$A$132,0))</f>
        <v/>
      </c>
      <c r="E2477" s="35">
        <f>INDEX(Inputs!$V$5:$V$132,MATCH($B2477&amp;"|"&amp;$C2477,Inputs!$A$5:$A$132,0))</f>
        <v/>
      </c>
      <c r="F2477" s="39" t="n"/>
      <c r="G2477" s="39" t="n"/>
      <c r="H2477" s="14">
        <f>INDEX(VarLab,MATCH($A2477,VarKey,0))&amp;INDEX(MemLab,MATCH($C2477&amp;"|"&amp;$B2477,MemKey,0))</f>
        <v/>
      </c>
      <c r="I2477" s="14">
        <f>INDEX(VarUnit,MATCH($A2477,VarKey,0))</f>
        <v/>
      </c>
      <c r="J2477" s="14">
        <f>INDEX(VarSrc,MATCH($A2477,VarKey,0))</f>
        <v/>
      </c>
      <c r="K2477" s="11">
        <f>CodePrefix&amp;$A2477&amp;IF($C2477="","","."&amp;$C2477&amp;"."&amp;$B2477)&amp;INDEX(VarEnd,MATCH($A2477,VarKey,0))&amp;K$5</f>
        <v/>
      </c>
      <c r="L2477" s="40">
        <f>MAX(INDEX(L$381:L$392,$D2477)+(L2450+L2468)*(1+$E2477),0.01)</f>
        <v/>
      </c>
      <c r="M2477" s="35">
        <f>MAX(INDEX(M$381:M$392,$D2477)+(M2450+M2468)*(1+$E2477),0.01)</f>
        <v/>
      </c>
      <c r="N2477" s="35">
        <f>MAX(INDEX(N$381:N$392,$D2477)+(N2450+N2468)*(1+$E2477),0.01)</f>
        <v/>
      </c>
      <c r="O2477" s="35">
        <f>MAX(INDEX(O$381:O$392,$D2477)+(O2450+O2468)*(1+$E2477),0.01)</f>
        <v/>
      </c>
      <c r="P2477" s="35">
        <f>MAX(INDEX(P$381:P$392,$D2477)+(P2450+P2468)*(1+$E2477),0.01)</f>
        <v/>
      </c>
      <c r="Q2477" s="35">
        <f>MAX(INDEX(Q$381:Q$392,$D2477)+(Q2450+Q2468)*(1+$E2477),0.01)</f>
        <v/>
      </c>
      <c r="R2477" s="35">
        <f>MAX(INDEX(R$381:R$392,$D2477)+(R2450+R2468)*(1+$E2477),0.01)</f>
        <v/>
      </c>
      <c r="S2477" s="35">
        <f>MAX(INDEX(S$381:S$392,$D2477)+(S2450+S2468)*(1+$E2477),0.01)</f>
        <v/>
      </c>
      <c r="T2477" s="35">
        <f>MAX(INDEX(T$381:T$392,$D2477)+(T2450+T2468)*(1+$E2477),0.01)</f>
        <v/>
      </c>
      <c r="U2477" s="35">
        <f>MAX(INDEX(U$381:U$392,$D2477)+(U2450+U2468)*(1+$E2477),0.01)</f>
        <v/>
      </c>
      <c r="V2477" s="35">
        <f>MAX(INDEX(V$381:V$392,$D2477)+(V2450+V2468)*(1+$E2477),0.01)</f>
        <v/>
      </c>
      <c r="W2477" s="35">
        <f>MAX(INDEX(W$381:W$392,$D2477)+(W2450+W2468)*(1+$E2477),0.01)</f>
        <v/>
      </c>
      <c r="X2477" s="35">
        <f>MAX(INDEX(X$381:X$392,$D2477)+(X2450+X2468)*(1+$E2477),0.01)</f>
        <v/>
      </c>
      <c r="Y2477" s="35">
        <f>MAX(INDEX(Y$381:Y$392,$D2477)+(Y2450+Y2468)*(1+$E2477),0.01)</f>
        <v/>
      </c>
      <c r="Z2477" s="35">
        <f>MAX(INDEX(Z$381:Z$392,$D2477)+(Z2450+Z2468)*(1+$E2477),0.01)</f>
        <v/>
      </c>
      <c r="AA2477" s="35">
        <f>MAX(INDEX(AA$381:AA$392,$D2477)+(AA2450+AA2468)*(1+$E2477),0.01)</f>
        <v/>
      </c>
      <c r="AB2477" s="35">
        <f>MAX(INDEX(AB$381:AB$392,$D2477)+(AB2450+AB2468)*(1+$E2477),0.01)</f>
        <v/>
      </c>
      <c r="AC2477" s="35">
        <f>MAX(INDEX(AC$381:AC$392,$D2477)+(AC2450+AC2468)*(1+$E2477),0.01)</f>
        <v/>
      </c>
      <c r="AD2477" s="35">
        <f>MAX(INDEX(AD$381:AD$392,$D2477)+(AD2450+AD2468)*(1+$E2477),0.01)</f>
        <v/>
      </c>
      <c r="AE2477" s="42">
        <f>POSTTAX(INDEX(AE$381:AE$392,$D2477),AE2450+AE2468,$E2477)</f>
        <v/>
      </c>
      <c r="AG2477" s="11">
        <f>CodePrefix&amp;$A2477&amp;IF($C2477="","","."&amp;$C2477&amp;"."&amp;$B2477)&amp;INDEX(VarEnd,MATCH($A2477,VarKey,0))&amp;AG$5</f>
        <v/>
      </c>
      <c r="AH2477" s="40">
        <f>MAX(INDEX(AH$381:AH$392,$D2477)+(AH2450+AH2468)*(1+$E2477),0.01)</f>
        <v/>
      </c>
      <c r="AI2477" s="35">
        <f>MAX(INDEX(AI$381:AI$392,$D2477)+(AI2450+AI2468)*(1+$E2477),0.01)</f>
        <v/>
      </c>
      <c r="AJ2477" s="35">
        <f>MAX(INDEX(AJ$381:AJ$392,$D2477)+(AJ2450+AJ2468)*(1+$E2477),0.01)</f>
        <v/>
      </c>
      <c r="AK2477" s="35">
        <f>MAX(INDEX(AK$381:AK$392,$D2477)+(AK2450+AK2468)*(1+$E2477),0.01)</f>
        <v/>
      </c>
      <c r="AL2477" s="35">
        <f>MAX(INDEX(AL$381:AL$392,$D2477)+(AL2450+AL2468)*(1+$E2477),0.01)</f>
        <v/>
      </c>
      <c r="AM2477" s="35">
        <f>MAX(INDEX(AM$381:AM$392,$D2477)+(AM2450+AM2468)*(1+$E2477),0.01)</f>
        <v/>
      </c>
      <c r="AN2477" s="35">
        <f>MAX(INDEX(AN$381:AN$392,$D2477)+(AN2450+AN2468)*(1+$E2477),0.01)</f>
        <v/>
      </c>
      <c r="AO2477" s="35">
        <f>MAX(INDEX(AO$381:AO$392,$D2477)+(AO2450+AO2468)*(1+$E2477),0.01)</f>
        <v/>
      </c>
      <c r="AP2477" s="35">
        <f>MAX(INDEX(AP$381:AP$392,$D2477)+(AP2450+AP2468)*(1+$E2477),0.01)</f>
        <v/>
      </c>
      <c r="AQ2477" s="35">
        <f>MAX(INDEX(AQ$381:AQ$392,$D2477)+(AQ2450+AQ2468)*(1+$E2477),0.01)</f>
        <v/>
      </c>
      <c r="AR2477" s="35">
        <f>MAX(INDEX(AR$381:AR$392,$D2477)+(AR2450+AR2468)*(1+$E2477),0.01)</f>
        <v/>
      </c>
      <c r="AS2477" s="35">
        <f>MAX(INDEX(AS$381:AS$392,$D2477)+(AS2450+AS2468)*(1+$E2477),0.01)</f>
        <v/>
      </c>
      <c r="AT2477" s="35">
        <f>MAX(INDEX(AT$381:AT$392,$D2477)+(AT2450+AT2468)*(1+$E2477),0.01)</f>
        <v/>
      </c>
      <c r="AU2477" s="35">
        <f>MAX(INDEX(AU$381:AU$392,$D2477)+(AU2450+AU2468)*(1+$E2477),0.01)</f>
        <v/>
      </c>
      <c r="AV2477" s="35">
        <f>MAX(INDEX(AV$381:AV$392,$D2477)+(AV2450+AV2468)*(1+$E2477),0.01)</f>
        <v/>
      </c>
      <c r="AW2477" s="35">
        <f>MAX(INDEX(AW$381:AW$392,$D2477)+(AW2450+AW2468)*(1+$E2477),0.01)</f>
        <v/>
      </c>
      <c r="AX2477" s="35">
        <f>MAX(INDEX(AX$381:AX$392,$D2477)+(AX2450+AX2468)*(1+$E2477),0.01)</f>
        <v/>
      </c>
      <c r="AY2477" s="35">
        <f>MAX(INDEX(AY$381:AY$392,$D2477)+(AY2450+AY2468)*(1+$E2477),0.01)</f>
        <v/>
      </c>
      <c r="AZ2477" s="35">
        <f>MAX(INDEX(AZ$381:AZ$392,$D2477)+(AZ2450+AZ2468)*(1+$E2477),0.01)</f>
        <v/>
      </c>
      <c r="BA2477" s="42">
        <f>POSTTAX(INDEX(BA$381:BA$392,$D2477),BA2450+BA2468,$E2477)</f>
        <v/>
      </c>
    </row>
    <row r="2478" hidden="1" outlineLevel="2">
      <c r="A2478" s="14" t="inlineStr">
        <is>
          <t>atp</t>
        </is>
      </c>
      <c r="B2478" s="14" t="inlineStr">
        <is>
          <t>die</t>
        </is>
      </c>
      <c r="C2478" s="14" t="inlineStr">
        <is>
          <t>cem</t>
        </is>
      </c>
      <c r="D2478" s="35">
        <f>INDEX(Inputs!$U$5:$U$132,MATCH($B2478&amp;"|"&amp;$C2478,Inputs!$A$5:$A$132,0))</f>
        <v/>
      </c>
      <c r="E2478" s="35">
        <f>INDEX(Inputs!$V$5:$V$132,MATCH($B2478&amp;"|"&amp;$C2478,Inputs!$A$5:$A$132,0))</f>
        <v/>
      </c>
      <c r="F2478" s="39" t="n"/>
      <c r="G2478" s="39" t="n"/>
      <c r="H2478" s="14">
        <f>INDEX(VarLab,MATCH($A2478,VarKey,0))&amp;INDEX(MemLab,MATCH($C2478&amp;"|"&amp;$B2478,MemKey,0))</f>
        <v/>
      </c>
      <c r="I2478" s="14">
        <f>INDEX(VarUnit,MATCH($A2478,VarKey,0))</f>
        <v/>
      </c>
      <c r="J2478" s="14">
        <f>INDEX(VarSrc,MATCH($A2478,VarKey,0))</f>
        <v/>
      </c>
      <c r="K2478" s="11">
        <f>CodePrefix&amp;$A2478&amp;IF($C2478="","","."&amp;$C2478&amp;"."&amp;$B2478)&amp;INDEX(VarEnd,MATCH($A2478,VarKey,0))&amp;K$5</f>
        <v/>
      </c>
      <c r="L2478" s="40">
        <f>MAX(INDEX(L$381:L$392,$D2478)+(L2451+L2469)*(1+$E2478),0.01)</f>
        <v/>
      </c>
      <c r="M2478" s="35">
        <f>MAX(INDEX(M$381:M$392,$D2478)+(M2451+M2469)*(1+$E2478),0.01)</f>
        <v/>
      </c>
      <c r="N2478" s="35">
        <f>MAX(INDEX(N$381:N$392,$D2478)+(N2451+N2469)*(1+$E2478),0.01)</f>
        <v/>
      </c>
      <c r="O2478" s="35">
        <f>MAX(INDEX(O$381:O$392,$D2478)+(O2451+O2469)*(1+$E2478),0.01)</f>
        <v/>
      </c>
      <c r="P2478" s="35">
        <f>MAX(INDEX(P$381:P$392,$D2478)+(P2451+P2469)*(1+$E2478),0.01)</f>
        <v/>
      </c>
      <c r="Q2478" s="35">
        <f>MAX(INDEX(Q$381:Q$392,$D2478)+(Q2451+Q2469)*(1+$E2478),0.01)</f>
        <v/>
      </c>
      <c r="R2478" s="35">
        <f>MAX(INDEX(R$381:R$392,$D2478)+(R2451+R2469)*(1+$E2478),0.01)</f>
        <v/>
      </c>
      <c r="S2478" s="35">
        <f>MAX(INDEX(S$381:S$392,$D2478)+(S2451+S2469)*(1+$E2478),0.01)</f>
        <v/>
      </c>
      <c r="T2478" s="35">
        <f>MAX(INDEX(T$381:T$392,$D2478)+(T2451+T2469)*(1+$E2478),0.01)</f>
        <v/>
      </c>
      <c r="U2478" s="35">
        <f>MAX(INDEX(U$381:U$392,$D2478)+(U2451+U2469)*(1+$E2478),0.01)</f>
        <v/>
      </c>
      <c r="V2478" s="35">
        <f>MAX(INDEX(V$381:V$392,$D2478)+(V2451+V2469)*(1+$E2478),0.01)</f>
        <v/>
      </c>
      <c r="W2478" s="35">
        <f>MAX(INDEX(W$381:W$392,$D2478)+(W2451+W2469)*(1+$E2478),0.01)</f>
        <v/>
      </c>
      <c r="X2478" s="35">
        <f>MAX(INDEX(X$381:X$392,$D2478)+(X2451+X2469)*(1+$E2478),0.01)</f>
        <v/>
      </c>
      <c r="Y2478" s="35">
        <f>MAX(INDEX(Y$381:Y$392,$D2478)+(Y2451+Y2469)*(1+$E2478),0.01)</f>
        <v/>
      </c>
      <c r="Z2478" s="35">
        <f>MAX(INDEX(Z$381:Z$392,$D2478)+(Z2451+Z2469)*(1+$E2478),0.01)</f>
        <v/>
      </c>
      <c r="AA2478" s="35">
        <f>MAX(INDEX(AA$381:AA$392,$D2478)+(AA2451+AA2469)*(1+$E2478),0.01)</f>
        <v/>
      </c>
      <c r="AB2478" s="35">
        <f>MAX(INDEX(AB$381:AB$392,$D2478)+(AB2451+AB2469)*(1+$E2478),0.01)</f>
        <v/>
      </c>
      <c r="AC2478" s="35">
        <f>MAX(INDEX(AC$381:AC$392,$D2478)+(AC2451+AC2469)*(1+$E2478),0.01)</f>
        <v/>
      </c>
      <c r="AD2478" s="35">
        <f>MAX(INDEX(AD$381:AD$392,$D2478)+(AD2451+AD2469)*(1+$E2478),0.01)</f>
        <v/>
      </c>
      <c r="AE2478" s="42">
        <f>POSTTAX(INDEX(AE$381:AE$392,$D2478),AE2451+AE2469,$E2478)</f>
        <v/>
      </c>
      <c r="AG2478" s="11">
        <f>CodePrefix&amp;$A2478&amp;IF($C2478="","","."&amp;$C2478&amp;"."&amp;$B2478)&amp;INDEX(VarEnd,MATCH($A2478,VarKey,0))&amp;AG$5</f>
        <v/>
      </c>
      <c r="AH2478" s="40">
        <f>MAX(INDEX(AH$381:AH$392,$D2478)+(AH2451+AH2469)*(1+$E2478),0.01)</f>
        <v/>
      </c>
      <c r="AI2478" s="35">
        <f>MAX(INDEX(AI$381:AI$392,$D2478)+(AI2451+AI2469)*(1+$E2478),0.01)</f>
        <v/>
      </c>
      <c r="AJ2478" s="35">
        <f>MAX(INDEX(AJ$381:AJ$392,$D2478)+(AJ2451+AJ2469)*(1+$E2478),0.01)</f>
        <v/>
      </c>
      <c r="AK2478" s="35">
        <f>MAX(INDEX(AK$381:AK$392,$D2478)+(AK2451+AK2469)*(1+$E2478),0.01)</f>
        <v/>
      </c>
      <c r="AL2478" s="35">
        <f>MAX(INDEX(AL$381:AL$392,$D2478)+(AL2451+AL2469)*(1+$E2478),0.01)</f>
        <v/>
      </c>
      <c r="AM2478" s="35">
        <f>MAX(INDEX(AM$381:AM$392,$D2478)+(AM2451+AM2469)*(1+$E2478),0.01)</f>
        <v/>
      </c>
      <c r="AN2478" s="35">
        <f>MAX(INDEX(AN$381:AN$392,$D2478)+(AN2451+AN2469)*(1+$E2478),0.01)</f>
        <v/>
      </c>
      <c r="AO2478" s="35">
        <f>MAX(INDEX(AO$381:AO$392,$D2478)+(AO2451+AO2469)*(1+$E2478),0.01)</f>
        <v/>
      </c>
      <c r="AP2478" s="35">
        <f>MAX(INDEX(AP$381:AP$392,$D2478)+(AP2451+AP2469)*(1+$E2478),0.01)</f>
        <v/>
      </c>
      <c r="AQ2478" s="35">
        <f>MAX(INDEX(AQ$381:AQ$392,$D2478)+(AQ2451+AQ2469)*(1+$E2478),0.01)</f>
        <v/>
      </c>
      <c r="AR2478" s="35">
        <f>MAX(INDEX(AR$381:AR$392,$D2478)+(AR2451+AR2469)*(1+$E2478),0.01)</f>
        <v/>
      </c>
      <c r="AS2478" s="35">
        <f>MAX(INDEX(AS$381:AS$392,$D2478)+(AS2451+AS2469)*(1+$E2478),0.01)</f>
        <v/>
      </c>
      <c r="AT2478" s="35">
        <f>MAX(INDEX(AT$381:AT$392,$D2478)+(AT2451+AT2469)*(1+$E2478),0.01)</f>
        <v/>
      </c>
      <c r="AU2478" s="35">
        <f>MAX(INDEX(AU$381:AU$392,$D2478)+(AU2451+AU2469)*(1+$E2478),0.01)</f>
        <v/>
      </c>
      <c r="AV2478" s="35">
        <f>MAX(INDEX(AV$381:AV$392,$D2478)+(AV2451+AV2469)*(1+$E2478),0.01)</f>
        <v/>
      </c>
      <c r="AW2478" s="35">
        <f>MAX(INDEX(AW$381:AW$392,$D2478)+(AW2451+AW2469)*(1+$E2478),0.01)</f>
        <v/>
      </c>
      <c r="AX2478" s="35">
        <f>MAX(INDEX(AX$381:AX$392,$D2478)+(AX2451+AX2469)*(1+$E2478),0.01)</f>
        <v/>
      </c>
      <c r="AY2478" s="35">
        <f>MAX(INDEX(AY$381:AY$392,$D2478)+(AY2451+AY2469)*(1+$E2478),0.01)</f>
        <v/>
      </c>
      <c r="AZ2478" s="35">
        <f>MAX(INDEX(AZ$381:AZ$392,$D2478)+(AZ2451+AZ2469)*(1+$E2478),0.01)</f>
        <v/>
      </c>
      <c r="BA2478" s="42">
        <f>POSTTAX(INDEX(BA$381:BA$392,$D2478),BA2451+BA2469,$E2478)</f>
        <v/>
      </c>
    </row>
    <row r="2479" hidden="1" outlineLevel="2">
      <c r="A2479" s="14" t="inlineStr">
        <is>
          <t>atp</t>
        </is>
      </c>
      <c r="B2479" s="14" t="inlineStr">
        <is>
          <t>lpg</t>
        </is>
      </c>
      <c r="C2479" s="14" t="inlineStr">
        <is>
          <t>cem</t>
        </is>
      </c>
      <c r="D2479" s="35">
        <f>INDEX(Inputs!$U$5:$U$132,MATCH($B2479&amp;"|"&amp;$C2479,Inputs!$A$5:$A$132,0))</f>
        <v/>
      </c>
      <c r="E2479" s="35">
        <f>INDEX(Inputs!$V$5:$V$132,MATCH($B2479&amp;"|"&amp;$C2479,Inputs!$A$5:$A$132,0))</f>
        <v/>
      </c>
      <c r="F2479" s="39" t="n"/>
      <c r="G2479" s="39" t="n"/>
      <c r="H2479" s="14">
        <f>INDEX(VarLab,MATCH($A2479,VarKey,0))&amp;INDEX(MemLab,MATCH($C2479&amp;"|"&amp;$B2479,MemKey,0))</f>
        <v/>
      </c>
      <c r="I2479" s="14">
        <f>INDEX(VarUnit,MATCH($A2479,VarKey,0))</f>
        <v/>
      </c>
      <c r="J2479" s="14">
        <f>INDEX(VarSrc,MATCH($A2479,VarKey,0))</f>
        <v/>
      </c>
      <c r="K2479" s="11">
        <f>CodePrefix&amp;$A2479&amp;IF($C2479="","","."&amp;$C2479&amp;"."&amp;$B2479)&amp;INDEX(VarEnd,MATCH($A2479,VarKey,0))&amp;K$5</f>
        <v/>
      </c>
      <c r="L2479" s="40">
        <f>MAX(INDEX(L$381:L$392,$D2479)+(L2452+L2470)*(1+$E2479),0.01)</f>
        <v/>
      </c>
      <c r="M2479" s="35">
        <f>MAX(INDEX(M$381:M$392,$D2479)+(M2452+M2470)*(1+$E2479),0.01)</f>
        <v/>
      </c>
      <c r="N2479" s="35">
        <f>MAX(INDEX(N$381:N$392,$D2479)+(N2452+N2470)*(1+$E2479),0.01)</f>
        <v/>
      </c>
      <c r="O2479" s="35">
        <f>MAX(INDEX(O$381:O$392,$D2479)+(O2452+O2470)*(1+$E2479),0.01)</f>
        <v/>
      </c>
      <c r="P2479" s="35">
        <f>MAX(INDEX(P$381:P$392,$D2479)+(P2452+P2470)*(1+$E2479),0.01)</f>
        <v/>
      </c>
      <c r="Q2479" s="35">
        <f>MAX(INDEX(Q$381:Q$392,$D2479)+(Q2452+Q2470)*(1+$E2479),0.01)</f>
        <v/>
      </c>
      <c r="R2479" s="35">
        <f>MAX(INDEX(R$381:R$392,$D2479)+(R2452+R2470)*(1+$E2479),0.01)</f>
        <v/>
      </c>
      <c r="S2479" s="35">
        <f>MAX(INDEX(S$381:S$392,$D2479)+(S2452+S2470)*(1+$E2479),0.01)</f>
        <v/>
      </c>
      <c r="T2479" s="35">
        <f>MAX(INDEX(T$381:T$392,$D2479)+(T2452+T2470)*(1+$E2479),0.01)</f>
        <v/>
      </c>
      <c r="U2479" s="35">
        <f>MAX(INDEX(U$381:U$392,$D2479)+(U2452+U2470)*(1+$E2479),0.01)</f>
        <v/>
      </c>
      <c r="V2479" s="35">
        <f>MAX(INDEX(V$381:V$392,$D2479)+(V2452+V2470)*(1+$E2479),0.01)</f>
        <v/>
      </c>
      <c r="W2479" s="35">
        <f>MAX(INDEX(W$381:W$392,$D2479)+(W2452+W2470)*(1+$E2479),0.01)</f>
        <v/>
      </c>
      <c r="X2479" s="35">
        <f>MAX(INDEX(X$381:X$392,$D2479)+(X2452+X2470)*(1+$E2479),0.01)</f>
        <v/>
      </c>
      <c r="Y2479" s="35">
        <f>MAX(INDEX(Y$381:Y$392,$D2479)+(Y2452+Y2470)*(1+$E2479),0.01)</f>
        <v/>
      </c>
      <c r="Z2479" s="35">
        <f>MAX(INDEX(Z$381:Z$392,$D2479)+(Z2452+Z2470)*(1+$E2479),0.01)</f>
        <v/>
      </c>
      <c r="AA2479" s="35">
        <f>MAX(INDEX(AA$381:AA$392,$D2479)+(AA2452+AA2470)*(1+$E2479),0.01)</f>
        <v/>
      </c>
      <c r="AB2479" s="35">
        <f>MAX(INDEX(AB$381:AB$392,$D2479)+(AB2452+AB2470)*(1+$E2479),0.01)</f>
        <v/>
      </c>
      <c r="AC2479" s="35">
        <f>MAX(INDEX(AC$381:AC$392,$D2479)+(AC2452+AC2470)*(1+$E2479),0.01)</f>
        <v/>
      </c>
      <c r="AD2479" s="35">
        <f>MAX(INDEX(AD$381:AD$392,$D2479)+(AD2452+AD2470)*(1+$E2479),0.01)</f>
        <v/>
      </c>
      <c r="AE2479" s="42">
        <f>POSTTAX(INDEX(AE$381:AE$392,$D2479),AE2452+AE2470,$E2479)</f>
        <v/>
      </c>
      <c r="AG2479" s="11">
        <f>CodePrefix&amp;$A2479&amp;IF($C2479="","","."&amp;$C2479&amp;"."&amp;$B2479)&amp;INDEX(VarEnd,MATCH($A2479,VarKey,0))&amp;AG$5</f>
        <v/>
      </c>
      <c r="AH2479" s="40">
        <f>MAX(INDEX(AH$381:AH$392,$D2479)+(AH2452+AH2470)*(1+$E2479),0.01)</f>
        <v/>
      </c>
      <c r="AI2479" s="35">
        <f>MAX(INDEX(AI$381:AI$392,$D2479)+(AI2452+AI2470)*(1+$E2479),0.01)</f>
        <v/>
      </c>
      <c r="AJ2479" s="35">
        <f>MAX(INDEX(AJ$381:AJ$392,$D2479)+(AJ2452+AJ2470)*(1+$E2479),0.01)</f>
        <v/>
      </c>
      <c r="AK2479" s="35">
        <f>MAX(INDEX(AK$381:AK$392,$D2479)+(AK2452+AK2470)*(1+$E2479),0.01)</f>
        <v/>
      </c>
      <c r="AL2479" s="35">
        <f>MAX(INDEX(AL$381:AL$392,$D2479)+(AL2452+AL2470)*(1+$E2479),0.01)</f>
        <v/>
      </c>
      <c r="AM2479" s="35">
        <f>MAX(INDEX(AM$381:AM$392,$D2479)+(AM2452+AM2470)*(1+$E2479),0.01)</f>
        <v/>
      </c>
      <c r="AN2479" s="35">
        <f>MAX(INDEX(AN$381:AN$392,$D2479)+(AN2452+AN2470)*(1+$E2479),0.01)</f>
        <v/>
      </c>
      <c r="AO2479" s="35">
        <f>MAX(INDEX(AO$381:AO$392,$D2479)+(AO2452+AO2470)*(1+$E2479),0.01)</f>
        <v/>
      </c>
      <c r="AP2479" s="35">
        <f>MAX(INDEX(AP$381:AP$392,$D2479)+(AP2452+AP2470)*(1+$E2479),0.01)</f>
        <v/>
      </c>
      <c r="AQ2479" s="35">
        <f>MAX(INDEX(AQ$381:AQ$392,$D2479)+(AQ2452+AQ2470)*(1+$E2479),0.01)</f>
        <v/>
      </c>
      <c r="AR2479" s="35">
        <f>MAX(INDEX(AR$381:AR$392,$D2479)+(AR2452+AR2470)*(1+$E2479),0.01)</f>
        <v/>
      </c>
      <c r="AS2479" s="35">
        <f>MAX(INDEX(AS$381:AS$392,$D2479)+(AS2452+AS2470)*(1+$E2479),0.01)</f>
        <v/>
      </c>
      <c r="AT2479" s="35">
        <f>MAX(INDEX(AT$381:AT$392,$D2479)+(AT2452+AT2470)*(1+$E2479),0.01)</f>
        <v/>
      </c>
      <c r="AU2479" s="35">
        <f>MAX(INDEX(AU$381:AU$392,$D2479)+(AU2452+AU2470)*(1+$E2479),0.01)</f>
        <v/>
      </c>
      <c r="AV2479" s="35">
        <f>MAX(INDEX(AV$381:AV$392,$D2479)+(AV2452+AV2470)*(1+$E2479),0.01)</f>
        <v/>
      </c>
      <c r="AW2479" s="35">
        <f>MAX(INDEX(AW$381:AW$392,$D2479)+(AW2452+AW2470)*(1+$E2479),0.01)</f>
        <v/>
      </c>
      <c r="AX2479" s="35">
        <f>MAX(INDEX(AX$381:AX$392,$D2479)+(AX2452+AX2470)*(1+$E2479),0.01)</f>
        <v/>
      </c>
      <c r="AY2479" s="35">
        <f>MAX(INDEX(AY$381:AY$392,$D2479)+(AY2452+AY2470)*(1+$E2479),0.01)</f>
        <v/>
      </c>
      <c r="AZ2479" s="35">
        <f>MAX(INDEX(AZ$381:AZ$392,$D2479)+(AZ2452+AZ2470)*(1+$E2479),0.01)</f>
        <v/>
      </c>
      <c r="BA2479" s="42">
        <f>POSTTAX(INDEX(BA$381:BA$392,$D2479),BA2452+BA2470,$E2479)</f>
        <v/>
      </c>
    </row>
    <row r="2480" hidden="1" outlineLevel="2">
      <c r="A2480" s="14" t="inlineStr">
        <is>
          <t>atp</t>
        </is>
      </c>
      <c r="B2480" s="14" t="inlineStr">
        <is>
          <t>ker</t>
        </is>
      </c>
      <c r="C2480" s="14" t="inlineStr">
        <is>
          <t>cem</t>
        </is>
      </c>
      <c r="D2480" s="35">
        <f>INDEX(Inputs!$U$5:$U$132,MATCH($B2480&amp;"|"&amp;$C2480,Inputs!$A$5:$A$132,0))</f>
        <v/>
      </c>
      <c r="E2480" s="35">
        <f>INDEX(Inputs!$V$5:$V$132,MATCH($B2480&amp;"|"&amp;$C2480,Inputs!$A$5:$A$132,0))</f>
        <v/>
      </c>
      <c r="F2480" s="39" t="n"/>
      <c r="G2480" s="39" t="n"/>
      <c r="H2480" s="14">
        <f>INDEX(VarLab,MATCH($A2480,VarKey,0))&amp;INDEX(MemLab,MATCH($C2480&amp;"|"&amp;$B2480,MemKey,0))</f>
        <v/>
      </c>
      <c r="I2480" s="14">
        <f>INDEX(VarUnit,MATCH($A2480,VarKey,0))</f>
        <v/>
      </c>
      <c r="J2480" s="14">
        <f>INDEX(VarSrc,MATCH($A2480,VarKey,0))</f>
        <v/>
      </c>
      <c r="K2480" s="11">
        <f>CodePrefix&amp;$A2480&amp;IF($C2480="","","."&amp;$C2480&amp;"."&amp;$B2480)&amp;INDEX(VarEnd,MATCH($A2480,VarKey,0))&amp;K$5</f>
        <v/>
      </c>
      <c r="L2480" s="40">
        <f>MAX(INDEX(L$381:L$392,$D2480)+(L2453+L2471)*(1+$E2480),0.01)</f>
        <v/>
      </c>
      <c r="M2480" s="35">
        <f>MAX(INDEX(M$381:M$392,$D2480)+(M2453+M2471)*(1+$E2480),0.01)</f>
        <v/>
      </c>
      <c r="N2480" s="35">
        <f>MAX(INDEX(N$381:N$392,$D2480)+(N2453+N2471)*(1+$E2480),0.01)</f>
        <v/>
      </c>
      <c r="O2480" s="35">
        <f>MAX(INDEX(O$381:O$392,$D2480)+(O2453+O2471)*(1+$E2480),0.01)</f>
        <v/>
      </c>
      <c r="P2480" s="35">
        <f>MAX(INDEX(P$381:P$392,$D2480)+(P2453+P2471)*(1+$E2480),0.01)</f>
        <v/>
      </c>
      <c r="Q2480" s="35">
        <f>MAX(INDEX(Q$381:Q$392,$D2480)+(Q2453+Q2471)*(1+$E2480),0.01)</f>
        <v/>
      </c>
      <c r="R2480" s="35">
        <f>MAX(INDEX(R$381:R$392,$D2480)+(R2453+R2471)*(1+$E2480),0.01)</f>
        <v/>
      </c>
      <c r="S2480" s="35">
        <f>MAX(INDEX(S$381:S$392,$D2480)+(S2453+S2471)*(1+$E2480),0.01)</f>
        <v/>
      </c>
      <c r="T2480" s="35">
        <f>MAX(INDEX(T$381:T$392,$D2480)+(T2453+T2471)*(1+$E2480),0.01)</f>
        <v/>
      </c>
      <c r="U2480" s="35">
        <f>MAX(INDEX(U$381:U$392,$D2480)+(U2453+U2471)*(1+$E2480),0.01)</f>
        <v/>
      </c>
      <c r="V2480" s="35">
        <f>MAX(INDEX(V$381:V$392,$D2480)+(V2453+V2471)*(1+$E2480),0.01)</f>
        <v/>
      </c>
      <c r="W2480" s="35">
        <f>MAX(INDEX(W$381:W$392,$D2480)+(W2453+W2471)*(1+$E2480),0.01)</f>
        <v/>
      </c>
      <c r="X2480" s="35">
        <f>MAX(INDEX(X$381:X$392,$D2480)+(X2453+X2471)*(1+$E2480),0.01)</f>
        <v/>
      </c>
      <c r="Y2480" s="35">
        <f>MAX(INDEX(Y$381:Y$392,$D2480)+(Y2453+Y2471)*(1+$E2480),0.01)</f>
        <v/>
      </c>
      <c r="Z2480" s="35">
        <f>MAX(INDEX(Z$381:Z$392,$D2480)+(Z2453+Z2471)*(1+$E2480),0.01)</f>
        <v/>
      </c>
      <c r="AA2480" s="35">
        <f>MAX(INDEX(AA$381:AA$392,$D2480)+(AA2453+AA2471)*(1+$E2480),0.01)</f>
        <v/>
      </c>
      <c r="AB2480" s="35">
        <f>MAX(INDEX(AB$381:AB$392,$D2480)+(AB2453+AB2471)*(1+$E2480),0.01)</f>
        <v/>
      </c>
      <c r="AC2480" s="35">
        <f>MAX(INDEX(AC$381:AC$392,$D2480)+(AC2453+AC2471)*(1+$E2480),0.01)</f>
        <v/>
      </c>
      <c r="AD2480" s="35">
        <f>MAX(INDEX(AD$381:AD$392,$D2480)+(AD2453+AD2471)*(1+$E2480),0.01)</f>
        <v/>
      </c>
      <c r="AE2480" s="42">
        <f>POSTTAX(INDEX(AE$381:AE$392,$D2480),AE2453+AE2471,$E2480)</f>
        <v/>
      </c>
      <c r="AG2480" s="11">
        <f>CodePrefix&amp;$A2480&amp;IF($C2480="","","."&amp;$C2480&amp;"."&amp;$B2480)&amp;INDEX(VarEnd,MATCH($A2480,VarKey,0))&amp;AG$5</f>
        <v/>
      </c>
      <c r="AH2480" s="40">
        <f>MAX(INDEX(AH$381:AH$392,$D2480)+(AH2453+AH2471)*(1+$E2480),0.01)</f>
        <v/>
      </c>
      <c r="AI2480" s="35">
        <f>MAX(INDEX(AI$381:AI$392,$D2480)+(AI2453+AI2471)*(1+$E2480),0.01)</f>
        <v/>
      </c>
      <c r="AJ2480" s="35">
        <f>MAX(INDEX(AJ$381:AJ$392,$D2480)+(AJ2453+AJ2471)*(1+$E2480),0.01)</f>
        <v/>
      </c>
      <c r="AK2480" s="35">
        <f>MAX(INDEX(AK$381:AK$392,$D2480)+(AK2453+AK2471)*(1+$E2480),0.01)</f>
        <v/>
      </c>
      <c r="AL2480" s="35">
        <f>MAX(INDEX(AL$381:AL$392,$D2480)+(AL2453+AL2471)*(1+$E2480),0.01)</f>
        <v/>
      </c>
      <c r="AM2480" s="35">
        <f>MAX(INDEX(AM$381:AM$392,$D2480)+(AM2453+AM2471)*(1+$E2480),0.01)</f>
        <v/>
      </c>
      <c r="AN2480" s="35">
        <f>MAX(INDEX(AN$381:AN$392,$D2480)+(AN2453+AN2471)*(1+$E2480),0.01)</f>
        <v/>
      </c>
      <c r="AO2480" s="35">
        <f>MAX(INDEX(AO$381:AO$392,$D2480)+(AO2453+AO2471)*(1+$E2480),0.01)</f>
        <v/>
      </c>
      <c r="AP2480" s="35">
        <f>MAX(INDEX(AP$381:AP$392,$D2480)+(AP2453+AP2471)*(1+$E2480),0.01)</f>
        <v/>
      </c>
      <c r="AQ2480" s="35">
        <f>MAX(INDEX(AQ$381:AQ$392,$D2480)+(AQ2453+AQ2471)*(1+$E2480),0.01)</f>
        <v/>
      </c>
      <c r="AR2480" s="35">
        <f>MAX(INDEX(AR$381:AR$392,$D2480)+(AR2453+AR2471)*(1+$E2480),0.01)</f>
        <v/>
      </c>
      <c r="AS2480" s="35">
        <f>MAX(INDEX(AS$381:AS$392,$D2480)+(AS2453+AS2471)*(1+$E2480),0.01)</f>
        <v/>
      </c>
      <c r="AT2480" s="35">
        <f>MAX(INDEX(AT$381:AT$392,$D2480)+(AT2453+AT2471)*(1+$E2480),0.01)</f>
        <v/>
      </c>
      <c r="AU2480" s="35">
        <f>MAX(INDEX(AU$381:AU$392,$D2480)+(AU2453+AU2471)*(1+$E2480),0.01)</f>
        <v/>
      </c>
      <c r="AV2480" s="35">
        <f>MAX(INDEX(AV$381:AV$392,$D2480)+(AV2453+AV2471)*(1+$E2480),0.01)</f>
        <v/>
      </c>
      <c r="AW2480" s="35">
        <f>MAX(INDEX(AW$381:AW$392,$D2480)+(AW2453+AW2471)*(1+$E2480),0.01)</f>
        <v/>
      </c>
      <c r="AX2480" s="35">
        <f>MAX(INDEX(AX$381:AX$392,$D2480)+(AX2453+AX2471)*(1+$E2480),0.01)</f>
        <v/>
      </c>
      <c r="AY2480" s="35">
        <f>MAX(INDEX(AY$381:AY$392,$D2480)+(AY2453+AY2471)*(1+$E2480),0.01)</f>
        <v/>
      </c>
      <c r="AZ2480" s="35">
        <f>MAX(INDEX(AZ$381:AZ$392,$D2480)+(AZ2453+AZ2471)*(1+$E2480),0.01)</f>
        <v/>
      </c>
      <c r="BA2480" s="42">
        <f>POSTTAX(INDEX(BA$381:BA$392,$D2480),BA2453+BA2471,$E2480)</f>
        <v/>
      </c>
    </row>
    <row r="2481" hidden="1" outlineLevel="2">
      <c r="A2481" s="14" t="inlineStr">
        <is>
          <t>atp</t>
        </is>
      </c>
      <c r="B2481" s="14" t="inlineStr">
        <is>
          <t>oop</t>
        </is>
      </c>
      <c r="C2481" s="14" t="inlineStr">
        <is>
          <t>cem</t>
        </is>
      </c>
      <c r="D2481" s="35">
        <f>INDEX(Inputs!$U$5:$U$132,MATCH($B2481&amp;"|"&amp;$C2481,Inputs!$A$5:$A$132,0))</f>
        <v/>
      </c>
      <c r="E2481" s="35">
        <f>INDEX(Inputs!$V$5:$V$132,MATCH($B2481&amp;"|"&amp;$C2481,Inputs!$A$5:$A$132,0))</f>
        <v/>
      </c>
      <c r="F2481" s="39" t="n"/>
      <c r="G2481" s="39" t="n"/>
      <c r="H2481" s="14">
        <f>INDEX(VarLab,MATCH($A2481,VarKey,0))&amp;INDEX(MemLab,MATCH($C2481&amp;"|"&amp;$B2481,MemKey,0))</f>
        <v/>
      </c>
      <c r="I2481" s="14">
        <f>INDEX(VarUnit,MATCH($A2481,VarKey,0))</f>
        <v/>
      </c>
      <c r="J2481" s="14">
        <f>INDEX(VarSrc,MATCH($A2481,VarKey,0))</f>
        <v/>
      </c>
      <c r="K2481" s="11">
        <f>CodePrefix&amp;$A2481&amp;IF($C2481="","","."&amp;$C2481&amp;"."&amp;$B2481)&amp;INDEX(VarEnd,MATCH($A2481,VarKey,0))&amp;K$5</f>
        <v/>
      </c>
      <c r="L2481" s="40">
        <f>MAX(INDEX(L$381:L$392,$D2481)+(L2454+L2472)*(1+$E2481),0.01)</f>
        <v/>
      </c>
      <c r="M2481" s="35">
        <f>MAX(INDEX(M$381:M$392,$D2481)+(M2454+M2472)*(1+$E2481),0.01)</f>
        <v/>
      </c>
      <c r="N2481" s="35">
        <f>MAX(INDEX(N$381:N$392,$D2481)+(N2454+N2472)*(1+$E2481),0.01)</f>
        <v/>
      </c>
      <c r="O2481" s="35">
        <f>MAX(INDEX(O$381:O$392,$D2481)+(O2454+O2472)*(1+$E2481),0.01)</f>
        <v/>
      </c>
      <c r="P2481" s="35">
        <f>MAX(INDEX(P$381:P$392,$D2481)+(P2454+P2472)*(1+$E2481),0.01)</f>
        <v/>
      </c>
      <c r="Q2481" s="35">
        <f>MAX(INDEX(Q$381:Q$392,$D2481)+(Q2454+Q2472)*(1+$E2481),0.01)</f>
        <v/>
      </c>
      <c r="R2481" s="35">
        <f>MAX(INDEX(R$381:R$392,$D2481)+(R2454+R2472)*(1+$E2481),0.01)</f>
        <v/>
      </c>
      <c r="S2481" s="35">
        <f>MAX(INDEX(S$381:S$392,$D2481)+(S2454+S2472)*(1+$E2481),0.01)</f>
        <v/>
      </c>
      <c r="T2481" s="35">
        <f>MAX(INDEX(T$381:T$392,$D2481)+(T2454+T2472)*(1+$E2481),0.01)</f>
        <v/>
      </c>
      <c r="U2481" s="35">
        <f>MAX(INDEX(U$381:U$392,$D2481)+(U2454+U2472)*(1+$E2481),0.01)</f>
        <v/>
      </c>
      <c r="V2481" s="35">
        <f>MAX(INDEX(V$381:V$392,$D2481)+(V2454+V2472)*(1+$E2481),0.01)</f>
        <v/>
      </c>
      <c r="W2481" s="35">
        <f>MAX(INDEX(W$381:W$392,$D2481)+(W2454+W2472)*(1+$E2481),0.01)</f>
        <v/>
      </c>
      <c r="X2481" s="35">
        <f>MAX(INDEX(X$381:X$392,$D2481)+(X2454+X2472)*(1+$E2481),0.01)</f>
        <v/>
      </c>
      <c r="Y2481" s="35">
        <f>MAX(INDEX(Y$381:Y$392,$D2481)+(Y2454+Y2472)*(1+$E2481),0.01)</f>
        <v/>
      </c>
      <c r="Z2481" s="35">
        <f>MAX(INDEX(Z$381:Z$392,$D2481)+(Z2454+Z2472)*(1+$E2481),0.01)</f>
        <v/>
      </c>
      <c r="AA2481" s="35">
        <f>MAX(INDEX(AA$381:AA$392,$D2481)+(AA2454+AA2472)*(1+$E2481),0.01)</f>
        <v/>
      </c>
      <c r="AB2481" s="35">
        <f>MAX(INDEX(AB$381:AB$392,$D2481)+(AB2454+AB2472)*(1+$E2481),0.01)</f>
        <v/>
      </c>
      <c r="AC2481" s="35">
        <f>MAX(INDEX(AC$381:AC$392,$D2481)+(AC2454+AC2472)*(1+$E2481),0.01)</f>
        <v/>
      </c>
      <c r="AD2481" s="35">
        <f>MAX(INDEX(AD$381:AD$392,$D2481)+(AD2454+AD2472)*(1+$E2481),0.01)</f>
        <v/>
      </c>
      <c r="AE2481" s="42">
        <f>POSTTAX(INDEX(AE$381:AE$392,$D2481),AE2454+AE2472,$E2481)</f>
        <v/>
      </c>
      <c r="AG2481" s="11">
        <f>CodePrefix&amp;$A2481&amp;IF($C2481="","","."&amp;$C2481&amp;"."&amp;$B2481)&amp;INDEX(VarEnd,MATCH($A2481,VarKey,0))&amp;AG$5</f>
        <v/>
      </c>
      <c r="AH2481" s="40">
        <f>MAX(INDEX(AH$381:AH$392,$D2481)+(AH2454+AH2472)*(1+$E2481),0.01)</f>
        <v/>
      </c>
      <c r="AI2481" s="35">
        <f>MAX(INDEX(AI$381:AI$392,$D2481)+(AI2454+AI2472)*(1+$E2481),0.01)</f>
        <v/>
      </c>
      <c r="AJ2481" s="35">
        <f>MAX(INDEX(AJ$381:AJ$392,$D2481)+(AJ2454+AJ2472)*(1+$E2481),0.01)</f>
        <v/>
      </c>
      <c r="AK2481" s="35">
        <f>MAX(INDEX(AK$381:AK$392,$D2481)+(AK2454+AK2472)*(1+$E2481),0.01)</f>
        <v/>
      </c>
      <c r="AL2481" s="35">
        <f>MAX(INDEX(AL$381:AL$392,$D2481)+(AL2454+AL2472)*(1+$E2481),0.01)</f>
        <v/>
      </c>
      <c r="AM2481" s="35">
        <f>MAX(INDEX(AM$381:AM$392,$D2481)+(AM2454+AM2472)*(1+$E2481),0.01)</f>
        <v/>
      </c>
      <c r="AN2481" s="35">
        <f>MAX(INDEX(AN$381:AN$392,$D2481)+(AN2454+AN2472)*(1+$E2481),0.01)</f>
        <v/>
      </c>
      <c r="AO2481" s="35">
        <f>MAX(INDEX(AO$381:AO$392,$D2481)+(AO2454+AO2472)*(1+$E2481),0.01)</f>
        <v/>
      </c>
      <c r="AP2481" s="35">
        <f>MAX(INDEX(AP$381:AP$392,$D2481)+(AP2454+AP2472)*(1+$E2481),0.01)</f>
        <v/>
      </c>
      <c r="AQ2481" s="35">
        <f>MAX(INDEX(AQ$381:AQ$392,$D2481)+(AQ2454+AQ2472)*(1+$E2481),0.01)</f>
        <v/>
      </c>
      <c r="AR2481" s="35">
        <f>MAX(INDEX(AR$381:AR$392,$D2481)+(AR2454+AR2472)*(1+$E2481),0.01)</f>
        <v/>
      </c>
      <c r="AS2481" s="35">
        <f>MAX(INDEX(AS$381:AS$392,$D2481)+(AS2454+AS2472)*(1+$E2481),0.01)</f>
        <v/>
      </c>
      <c r="AT2481" s="35">
        <f>MAX(INDEX(AT$381:AT$392,$D2481)+(AT2454+AT2472)*(1+$E2481),0.01)</f>
        <v/>
      </c>
      <c r="AU2481" s="35">
        <f>MAX(INDEX(AU$381:AU$392,$D2481)+(AU2454+AU2472)*(1+$E2481),0.01)</f>
        <v/>
      </c>
      <c r="AV2481" s="35">
        <f>MAX(INDEX(AV$381:AV$392,$D2481)+(AV2454+AV2472)*(1+$E2481),0.01)</f>
        <v/>
      </c>
      <c r="AW2481" s="35">
        <f>MAX(INDEX(AW$381:AW$392,$D2481)+(AW2454+AW2472)*(1+$E2481),0.01)</f>
        <v/>
      </c>
      <c r="AX2481" s="35">
        <f>MAX(INDEX(AX$381:AX$392,$D2481)+(AX2454+AX2472)*(1+$E2481),0.01)</f>
        <v/>
      </c>
      <c r="AY2481" s="35">
        <f>MAX(INDEX(AY$381:AY$392,$D2481)+(AY2454+AY2472)*(1+$E2481),0.01)</f>
        <v/>
      </c>
      <c r="AZ2481" s="35">
        <f>MAX(INDEX(AZ$381:AZ$392,$D2481)+(AZ2454+AZ2472)*(1+$E2481),0.01)</f>
        <v/>
      </c>
      <c r="BA2481" s="42">
        <f>POSTTAX(INDEX(BA$381:BA$392,$D2481),BA2454+BA2472,$E2481)</f>
        <v/>
      </c>
    </row>
    <row r="2482" hidden="1" outlineLevel="2">
      <c r="A2482" s="14" t="inlineStr">
        <is>
          <t>atp</t>
        </is>
      </c>
      <c r="B2482" s="14" t="inlineStr">
        <is>
          <t>bio</t>
        </is>
      </c>
      <c r="C2482" s="14" t="inlineStr">
        <is>
          <t>cem</t>
        </is>
      </c>
      <c r="D2482" s="35">
        <f>INDEX(Inputs!$U$5:$U$132,MATCH($B2482&amp;"|"&amp;$C2482,Inputs!$A$5:$A$132,0))</f>
        <v/>
      </c>
      <c r="E2482" s="35">
        <f>INDEX(Inputs!$V$5:$V$132,MATCH($B2482&amp;"|"&amp;$C2482,Inputs!$A$5:$A$132,0))</f>
        <v/>
      </c>
      <c r="F2482" s="39" t="n"/>
      <c r="G2482" s="39" t="n"/>
      <c r="H2482" s="14">
        <f>INDEX(VarLab,MATCH($A2482,VarKey,0))&amp;INDEX(MemLab,MATCH($C2482&amp;"|"&amp;$B2482,MemKey,0))</f>
        <v/>
      </c>
      <c r="I2482" s="14">
        <f>INDEX(VarUnit,MATCH($A2482,VarKey,0))</f>
        <v/>
      </c>
      <c r="J2482" s="14">
        <f>INDEX(VarSrc,MATCH($A2482,VarKey,0))</f>
        <v/>
      </c>
      <c r="K2482" s="11">
        <f>CodePrefix&amp;$A2482&amp;IF($C2482="","","."&amp;$C2482&amp;"."&amp;$B2482)&amp;INDEX(VarEnd,MATCH($A2482,VarKey,0))&amp;K$5</f>
        <v/>
      </c>
      <c r="L2482" s="40">
        <f>MAX(INDEX(L$381:L$392,$D2482)+(L2455+L2473)*(1+$E2482),0.01)</f>
        <v/>
      </c>
      <c r="M2482" s="35">
        <f>MAX(INDEX(M$381:M$392,$D2482)+(M2455+M2473)*(1+$E2482),0.01)</f>
        <v/>
      </c>
      <c r="N2482" s="35">
        <f>MAX(INDEX(N$381:N$392,$D2482)+(N2455+N2473)*(1+$E2482),0.01)</f>
        <v/>
      </c>
      <c r="O2482" s="35">
        <f>MAX(INDEX(O$381:O$392,$D2482)+(O2455+O2473)*(1+$E2482),0.01)</f>
        <v/>
      </c>
      <c r="P2482" s="35">
        <f>MAX(INDEX(P$381:P$392,$D2482)+(P2455+P2473)*(1+$E2482),0.01)</f>
        <v/>
      </c>
      <c r="Q2482" s="35">
        <f>MAX(INDEX(Q$381:Q$392,$D2482)+(Q2455+Q2473)*(1+$E2482),0.01)</f>
        <v/>
      </c>
      <c r="R2482" s="35">
        <f>MAX(INDEX(R$381:R$392,$D2482)+(R2455+R2473)*(1+$E2482),0.01)</f>
        <v/>
      </c>
      <c r="S2482" s="35">
        <f>MAX(INDEX(S$381:S$392,$D2482)+(S2455+S2473)*(1+$E2482),0.01)</f>
        <v/>
      </c>
      <c r="T2482" s="35">
        <f>MAX(INDEX(T$381:T$392,$D2482)+(T2455+T2473)*(1+$E2482),0.01)</f>
        <v/>
      </c>
      <c r="U2482" s="35">
        <f>MAX(INDEX(U$381:U$392,$D2482)+(U2455+U2473)*(1+$E2482),0.01)</f>
        <v/>
      </c>
      <c r="V2482" s="35">
        <f>MAX(INDEX(V$381:V$392,$D2482)+(V2455+V2473)*(1+$E2482),0.01)</f>
        <v/>
      </c>
      <c r="W2482" s="35">
        <f>MAX(INDEX(W$381:W$392,$D2482)+(W2455+W2473)*(1+$E2482),0.01)</f>
        <v/>
      </c>
      <c r="X2482" s="35">
        <f>MAX(INDEX(X$381:X$392,$D2482)+(X2455+X2473)*(1+$E2482),0.01)</f>
        <v/>
      </c>
      <c r="Y2482" s="35">
        <f>MAX(INDEX(Y$381:Y$392,$D2482)+(Y2455+Y2473)*(1+$E2482),0.01)</f>
        <v/>
      </c>
      <c r="Z2482" s="35">
        <f>MAX(INDEX(Z$381:Z$392,$D2482)+(Z2455+Z2473)*(1+$E2482),0.01)</f>
        <v/>
      </c>
      <c r="AA2482" s="35">
        <f>MAX(INDEX(AA$381:AA$392,$D2482)+(AA2455+AA2473)*(1+$E2482),0.01)</f>
        <v/>
      </c>
      <c r="AB2482" s="35">
        <f>MAX(INDEX(AB$381:AB$392,$D2482)+(AB2455+AB2473)*(1+$E2482),0.01)</f>
        <v/>
      </c>
      <c r="AC2482" s="35">
        <f>MAX(INDEX(AC$381:AC$392,$D2482)+(AC2455+AC2473)*(1+$E2482),0.01)</f>
        <v/>
      </c>
      <c r="AD2482" s="35">
        <f>MAX(INDEX(AD$381:AD$392,$D2482)+(AD2455+AD2473)*(1+$E2482),0.01)</f>
        <v/>
      </c>
      <c r="AE2482" s="42">
        <f>POSTTAX(INDEX(AE$381:AE$392,$D2482),AE2455+AE2473,$E2482)</f>
        <v/>
      </c>
      <c r="AG2482" s="11">
        <f>CodePrefix&amp;$A2482&amp;IF($C2482="","","."&amp;$C2482&amp;"."&amp;$B2482)&amp;INDEX(VarEnd,MATCH($A2482,VarKey,0))&amp;AG$5</f>
        <v/>
      </c>
      <c r="AH2482" s="40">
        <f>MAX(INDEX(AH$381:AH$392,$D2482)+(AH2455+AH2473)*(1+$E2482),0.01)</f>
        <v/>
      </c>
      <c r="AI2482" s="35">
        <f>MAX(INDEX(AI$381:AI$392,$D2482)+(AI2455+AI2473)*(1+$E2482),0.01)</f>
        <v/>
      </c>
      <c r="AJ2482" s="35">
        <f>MAX(INDEX(AJ$381:AJ$392,$D2482)+(AJ2455+AJ2473)*(1+$E2482),0.01)</f>
        <v/>
      </c>
      <c r="AK2482" s="35">
        <f>MAX(INDEX(AK$381:AK$392,$D2482)+(AK2455+AK2473)*(1+$E2482),0.01)</f>
        <v/>
      </c>
      <c r="AL2482" s="35">
        <f>MAX(INDEX(AL$381:AL$392,$D2482)+(AL2455+AL2473)*(1+$E2482),0.01)</f>
        <v/>
      </c>
      <c r="AM2482" s="35">
        <f>MAX(INDEX(AM$381:AM$392,$D2482)+(AM2455+AM2473)*(1+$E2482),0.01)</f>
        <v/>
      </c>
      <c r="AN2482" s="35">
        <f>MAX(INDEX(AN$381:AN$392,$D2482)+(AN2455+AN2473)*(1+$E2482),0.01)</f>
        <v/>
      </c>
      <c r="AO2482" s="35">
        <f>MAX(INDEX(AO$381:AO$392,$D2482)+(AO2455+AO2473)*(1+$E2482),0.01)</f>
        <v/>
      </c>
      <c r="AP2482" s="35">
        <f>MAX(INDEX(AP$381:AP$392,$D2482)+(AP2455+AP2473)*(1+$E2482),0.01)</f>
        <v/>
      </c>
      <c r="AQ2482" s="35">
        <f>MAX(INDEX(AQ$381:AQ$392,$D2482)+(AQ2455+AQ2473)*(1+$E2482),0.01)</f>
        <v/>
      </c>
      <c r="AR2482" s="35">
        <f>MAX(INDEX(AR$381:AR$392,$D2482)+(AR2455+AR2473)*(1+$E2482),0.01)</f>
        <v/>
      </c>
      <c r="AS2482" s="35">
        <f>MAX(INDEX(AS$381:AS$392,$D2482)+(AS2455+AS2473)*(1+$E2482),0.01)</f>
        <v/>
      </c>
      <c r="AT2482" s="35">
        <f>MAX(INDEX(AT$381:AT$392,$D2482)+(AT2455+AT2473)*(1+$E2482),0.01)</f>
        <v/>
      </c>
      <c r="AU2482" s="35">
        <f>MAX(INDEX(AU$381:AU$392,$D2482)+(AU2455+AU2473)*(1+$E2482),0.01)</f>
        <v/>
      </c>
      <c r="AV2482" s="35">
        <f>MAX(INDEX(AV$381:AV$392,$D2482)+(AV2455+AV2473)*(1+$E2482),0.01)</f>
        <v/>
      </c>
      <c r="AW2482" s="35">
        <f>MAX(INDEX(AW$381:AW$392,$D2482)+(AW2455+AW2473)*(1+$E2482),0.01)</f>
        <v/>
      </c>
      <c r="AX2482" s="35">
        <f>MAX(INDEX(AX$381:AX$392,$D2482)+(AX2455+AX2473)*(1+$E2482),0.01)</f>
        <v/>
      </c>
      <c r="AY2482" s="35">
        <f>MAX(INDEX(AY$381:AY$392,$D2482)+(AY2455+AY2473)*(1+$E2482),0.01)</f>
        <v/>
      </c>
      <c r="AZ2482" s="35">
        <f>MAX(INDEX(AZ$381:AZ$392,$D2482)+(AZ2455+AZ2473)*(1+$E2482),0.01)</f>
        <v/>
      </c>
      <c r="BA2482" s="42">
        <f>POSTTAX(INDEX(BA$381:BA$392,$D2482),BA2455+BA2473,$E2482)</f>
        <v/>
      </c>
    </row>
    <row r="2483" hidden="1" outlineLevel="2"/>
    <row r="2484" hidden="1" outlineLevel="2">
      <c r="A2484" s="14" t="inlineStr">
        <is>
          <t>shp</t>
        </is>
      </c>
      <c r="B2484" s="14" t="inlineStr">
        <is>
          <t>coa</t>
        </is>
      </c>
      <c r="C2484" s="14" t="inlineStr">
        <is>
          <t>cem</t>
        </is>
      </c>
      <c r="D2484" s="35">
        <f>INDEX(Inputs!$W$5:$W$132,MATCH($B2484&amp;"|"&amp;$C2484,Inputs!$A$5:$A$132,0))</f>
        <v/>
      </c>
      <c r="E2484" s="35">
        <f>INDEX(Inputs!$M$5:$M$132,MATCH($B2484&amp;"|"&amp;$C2484,Inputs!$A$5:$A$132,0))</f>
        <v/>
      </c>
      <c r="F2484" s="39" t="n"/>
      <c r="G2484" s="39" t="n"/>
      <c r="H2484" s="14">
        <f>INDEX(VarLab,MATCH($A2484,VarKey,0))&amp;INDEX(MemLab,MATCH($C2484&amp;"|"&amp;$B2484,MemKey,0))</f>
        <v/>
      </c>
      <c r="I2484" s="14">
        <f>INDEX(VarUnit,MATCH($A2484,VarKey,0))</f>
        <v/>
      </c>
      <c r="J2484" s="14">
        <f>INDEX(VarSrc,MATCH($A2484,VarKey,0))</f>
        <v/>
      </c>
      <c r="K2484" s="11">
        <f>CodePrefix&amp;$A2484&amp;IF($C2484="","","."&amp;$C2484&amp;"."&amp;$B2484)&amp;INDEX(VarEnd,MATCH($A2484,VarKey,0))&amp;K$5</f>
        <v/>
      </c>
      <c r="L2484" s="40">
        <f>INDEX(L$297:L$313,$E2484)*$D2484</f>
        <v/>
      </c>
      <c r="M2484" s="35">
        <f>INDEX(M$297:M$313,$E2484)*$D2484</f>
        <v/>
      </c>
      <c r="N2484" s="35">
        <f>INDEX(N$297:N$313,$E2484)*$D2484</f>
        <v/>
      </c>
      <c r="O2484" s="35">
        <f>INDEX(O$297:O$313,$E2484)*$D2484</f>
        <v/>
      </c>
      <c r="P2484" s="35">
        <f>INDEX(P$297:P$313,$E2484)*$D2484</f>
        <v/>
      </c>
      <c r="Q2484" s="35">
        <f>INDEX(Q$297:Q$313,$E2484)*$D2484</f>
        <v/>
      </c>
      <c r="R2484" s="35">
        <f>INDEX(R$297:R$313,$E2484)*$D2484</f>
        <v/>
      </c>
      <c r="S2484" s="35">
        <f>INDEX(S$297:S$313,$E2484)*$D2484</f>
        <v/>
      </c>
      <c r="T2484" s="35">
        <f>INDEX(T$297:T$313,$E2484)*$D2484</f>
        <v/>
      </c>
      <c r="U2484" s="35">
        <f>INDEX(U$297:U$313,$E2484)*$D2484</f>
        <v/>
      </c>
      <c r="V2484" s="35">
        <f>INDEX(V$297:V$313,$E2484)*$D2484</f>
        <v/>
      </c>
      <c r="W2484" s="35">
        <f>INDEX(W$297:W$313,$E2484)*$D2484</f>
        <v/>
      </c>
      <c r="X2484" s="35">
        <f>INDEX(X$297:X$313,$E2484)*$D2484</f>
        <v/>
      </c>
      <c r="Y2484" s="35">
        <f>INDEX(Y$297:Y$313,$E2484)*$D2484</f>
        <v/>
      </c>
      <c r="Z2484" s="35">
        <f>INDEX(Z$297:Z$313,$E2484)*$D2484</f>
        <v/>
      </c>
      <c r="AA2484" s="35">
        <f>INDEX(AA$297:AA$313,$E2484)*$D2484</f>
        <v/>
      </c>
      <c r="AB2484" s="35">
        <f>INDEX(AB$297:AB$313,$E2484)*$D2484</f>
        <v/>
      </c>
      <c r="AC2484" s="35">
        <f>INDEX(AC$297:AC$313,$E2484)*$D2484</f>
        <v/>
      </c>
      <c r="AD2484" s="35">
        <f>INDEX(AD$297:AD$313,$E2484)*$D2484</f>
        <v/>
      </c>
      <c r="AE2484" s="42">
        <f>SHADOWGJ(INDEX(AE$297:AE$313,$E2484),$D2484)</f>
        <v/>
      </c>
      <c r="AG2484" s="11">
        <f>CodePrefix&amp;$A2484&amp;IF($C2484="","","."&amp;$C2484&amp;"."&amp;$B2484)&amp;INDEX(VarEnd,MATCH($A2484,VarKey,0))&amp;AG$5</f>
        <v/>
      </c>
      <c r="AH2484" s="40">
        <f>INDEX(AH$297:AH$313,$E2484)*$D2484</f>
        <v/>
      </c>
      <c r="AI2484" s="35">
        <f>INDEX(AI$297:AI$313,$E2484)*$D2484</f>
        <v/>
      </c>
      <c r="AJ2484" s="35">
        <f>INDEX(AJ$297:AJ$313,$E2484)*$D2484</f>
        <v/>
      </c>
      <c r="AK2484" s="35">
        <f>INDEX(AK$297:AK$313,$E2484)*$D2484</f>
        <v/>
      </c>
      <c r="AL2484" s="35">
        <f>INDEX(AL$297:AL$313,$E2484)*$D2484</f>
        <v/>
      </c>
      <c r="AM2484" s="35">
        <f>INDEX(AM$297:AM$313,$E2484)*$D2484</f>
        <v/>
      </c>
      <c r="AN2484" s="35">
        <f>INDEX(AN$297:AN$313,$E2484)*$D2484</f>
        <v/>
      </c>
      <c r="AO2484" s="35">
        <f>INDEX(AO$297:AO$313,$E2484)*$D2484</f>
        <v/>
      </c>
      <c r="AP2484" s="35">
        <f>INDEX(AP$297:AP$313,$E2484)*$D2484</f>
        <v/>
      </c>
      <c r="AQ2484" s="35">
        <f>INDEX(AQ$297:AQ$313,$E2484)*$D2484</f>
        <v/>
      </c>
      <c r="AR2484" s="35">
        <f>INDEX(AR$297:AR$313,$E2484)*$D2484</f>
        <v/>
      </c>
      <c r="AS2484" s="35">
        <f>INDEX(AS$297:AS$313,$E2484)*$D2484</f>
        <v/>
      </c>
      <c r="AT2484" s="35">
        <f>INDEX(AT$297:AT$313,$E2484)*$D2484</f>
        <v/>
      </c>
      <c r="AU2484" s="35">
        <f>INDEX(AU$297:AU$313,$E2484)*$D2484</f>
        <v/>
      </c>
      <c r="AV2484" s="35">
        <f>INDEX(AV$297:AV$313,$E2484)*$D2484</f>
        <v/>
      </c>
      <c r="AW2484" s="35">
        <f>INDEX(AW$297:AW$313,$E2484)*$D2484</f>
        <v/>
      </c>
      <c r="AX2484" s="35">
        <f>INDEX(AX$297:AX$313,$E2484)*$D2484</f>
        <v/>
      </c>
      <c r="AY2484" s="35">
        <f>INDEX(AY$297:AY$313,$E2484)*$D2484</f>
        <v/>
      </c>
      <c r="AZ2484" s="35">
        <f>INDEX(AZ$297:AZ$313,$E2484)*$D2484</f>
        <v/>
      </c>
      <c r="BA2484" s="42">
        <f>SHADOWGJ(INDEX(BA$297:BA$313,$E2484),$D2484)</f>
        <v/>
      </c>
    </row>
    <row r="2485" hidden="1" outlineLevel="2">
      <c r="A2485" s="14" t="inlineStr">
        <is>
          <t>shp</t>
        </is>
      </c>
      <c r="B2485" s="14" t="inlineStr">
        <is>
          <t>nga</t>
        </is>
      </c>
      <c r="C2485" s="14" t="inlineStr">
        <is>
          <t>cem</t>
        </is>
      </c>
      <c r="D2485" s="35">
        <f>INDEX(Inputs!$W$5:$W$132,MATCH($B2485&amp;"|"&amp;$C2485,Inputs!$A$5:$A$132,0))</f>
        <v/>
      </c>
      <c r="E2485" s="35">
        <f>INDEX(Inputs!$M$5:$M$132,MATCH($B2485&amp;"|"&amp;$C2485,Inputs!$A$5:$A$132,0))</f>
        <v/>
      </c>
      <c r="F2485" s="39" t="n"/>
      <c r="G2485" s="39" t="n"/>
      <c r="H2485" s="14">
        <f>INDEX(VarLab,MATCH($A2485,VarKey,0))&amp;INDEX(MemLab,MATCH($C2485&amp;"|"&amp;$B2485,MemKey,0))</f>
        <v/>
      </c>
      <c r="I2485" s="14">
        <f>INDEX(VarUnit,MATCH($A2485,VarKey,0))</f>
        <v/>
      </c>
      <c r="J2485" s="14">
        <f>INDEX(VarSrc,MATCH($A2485,VarKey,0))</f>
        <v/>
      </c>
      <c r="K2485" s="11">
        <f>CodePrefix&amp;$A2485&amp;IF($C2485="","","."&amp;$C2485&amp;"."&amp;$B2485)&amp;INDEX(VarEnd,MATCH($A2485,VarKey,0))&amp;K$5</f>
        <v/>
      </c>
      <c r="L2485" s="40">
        <f>INDEX(L$297:L$313,$E2485)*$D2485</f>
        <v/>
      </c>
      <c r="M2485" s="35">
        <f>INDEX(M$297:M$313,$E2485)*$D2485</f>
        <v/>
      </c>
      <c r="N2485" s="35">
        <f>INDEX(N$297:N$313,$E2485)*$D2485</f>
        <v/>
      </c>
      <c r="O2485" s="35">
        <f>INDEX(O$297:O$313,$E2485)*$D2485</f>
        <v/>
      </c>
      <c r="P2485" s="35">
        <f>INDEX(P$297:P$313,$E2485)*$D2485</f>
        <v/>
      </c>
      <c r="Q2485" s="35">
        <f>INDEX(Q$297:Q$313,$E2485)*$D2485</f>
        <v/>
      </c>
      <c r="R2485" s="35">
        <f>INDEX(R$297:R$313,$E2485)*$D2485</f>
        <v/>
      </c>
      <c r="S2485" s="35">
        <f>INDEX(S$297:S$313,$E2485)*$D2485</f>
        <v/>
      </c>
      <c r="T2485" s="35">
        <f>INDEX(T$297:T$313,$E2485)*$D2485</f>
        <v/>
      </c>
      <c r="U2485" s="35">
        <f>INDEX(U$297:U$313,$E2485)*$D2485</f>
        <v/>
      </c>
      <c r="V2485" s="35">
        <f>INDEX(V$297:V$313,$E2485)*$D2485</f>
        <v/>
      </c>
      <c r="W2485" s="35">
        <f>INDEX(W$297:W$313,$E2485)*$D2485</f>
        <v/>
      </c>
      <c r="X2485" s="35">
        <f>INDEX(X$297:X$313,$E2485)*$D2485</f>
        <v/>
      </c>
      <c r="Y2485" s="35">
        <f>INDEX(Y$297:Y$313,$E2485)*$D2485</f>
        <v/>
      </c>
      <c r="Z2485" s="35">
        <f>INDEX(Z$297:Z$313,$E2485)*$D2485</f>
        <v/>
      </c>
      <c r="AA2485" s="35">
        <f>INDEX(AA$297:AA$313,$E2485)*$D2485</f>
        <v/>
      </c>
      <c r="AB2485" s="35">
        <f>INDEX(AB$297:AB$313,$E2485)*$D2485</f>
        <v/>
      </c>
      <c r="AC2485" s="35">
        <f>INDEX(AC$297:AC$313,$E2485)*$D2485</f>
        <v/>
      </c>
      <c r="AD2485" s="35">
        <f>INDEX(AD$297:AD$313,$E2485)*$D2485</f>
        <v/>
      </c>
      <c r="AE2485" s="42">
        <f>SHADOWGJ(INDEX(AE$297:AE$313,$E2485),$D2485)</f>
        <v/>
      </c>
      <c r="AG2485" s="11">
        <f>CodePrefix&amp;$A2485&amp;IF($C2485="","","."&amp;$C2485&amp;"."&amp;$B2485)&amp;INDEX(VarEnd,MATCH($A2485,VarKey,0))&amp;AG$5</f>
        <v/>
      </c>
      <c r="AH2485" s="40">
        <f>INDEX(AH$297:AH$313,$E2485)*$D2485</f>
        <v/>
      </c>
      <c r="AI2485" s="35">
        <f>INDEX(AI$297:AI$313,$E2485)*$D2485</f>
        <v/>
      </c>
      <c r="AJ2485" s="35">
        <f>INDEX(AJ$297:AJ$313,$E2485)*$D2485</f>
        <v/>
      </c>
      <c r="AK2485" s="35">
        <f>INDEX(AK$297:AK$313,$E2485)*$D2485</f>
        <v/>
      </c>
      <c r="AL2485" s="35">
        <f>INDEX(AL$297:AL$313,$E2485)*$D2485</f>
        <v/>
      </c>
      <c r="AM2485" s="35">
        <f>INDEX(AM$297:AM$313,$E2485)*$D2485</f>
        <v/>
      </c>
      <c r="AN2485" s="35">
        <f>INDEX(AN$297:AN$313,$E2485)*$D2485</f>
        <v/>
      </c>
      <c r="AO2485" s="35">
        <f>INDEX(AO$297:AO$313,$E2485)*$D2485</f>
        <v/>
      </c>
      <c r="AP2485" s="35">
        <f>INDEX(AP$297:AP$313,$E2485)*$D2485</f>
        <v/>
      </c>
      <c r="AQ2485" s="35">
        <f>INDEX(AQ$297:AQ$313,$E2485)*$D2485</f>
        <v/>
      </c>
      <c r="AR2485" s="35">
        <f>INDEX(AR$297:AR$313,$E2485)*$D2485</f>
        <v/>
      </c>
      <c r="AS2485" s="35">
        <f>INDEX(AS$297:AS$313,$E2485)*$D2485</f>
        <v/>
      </c>
      <c r="AT2485" s="35">
        <f>INDEX(AT$297:AT$313,$E2485)*$D2485</f>
        <v/>
      </c>
      <c r="AU2485" s="35">
        <f>INDEX(AU$297:AU$313,$E2485)*$D2485</f>
        <v/>
      </c>
      <c r="AV2485" s="35">
        <f>INDEX(AV$297:AV$313,$E2485)*$D2485</f>
        <v/>
      </c>
      <c r="AW2485" s="35">
        <f>INDEX(AW$297:AW$313,$E2485)*$D2485</f>
        <v/>
      </c>
      <c r="AX2485" s="35">
        <f>INDEX(AX$297:AX$313,$E2485)*$D2485</f>
        <v/>
      </c>
      <c r="AY2485" s="35">
        <f>INDEX(AY$297:AY$313,$E2485)*$D2485</f>
        <v/>
      </c>
      <c r="AZ2485" s="35">
        <f>INDEX(AZ$297:AZ$313,$E2485)*$D2485</f>
        <v/>
      </c>
      <c r="BA2485" s="42">
        <f>SHADOWGJ(INDEX(BA$297:BA$313,$E2485),$D2485)</f>
        <v/>
      </c>
    </row>
    <row r="2486" hidden="1" outlineLevel="2">
      <c r="A2486" s="14" t="inlineStr">
        <is>
          <t>shp</t>
        </is>
      </c>
      <c r="B2486" s="14" t="inlineStr">
        <is>
          <t>gso</t>
        </is>
      </c>
      <c r="C2486" s="14" t="inlineStr">
        <is>
          <t>cem</t>
        </is>
      </c>
      <c r="D2486" s="35">
        <f>INDEX(Inputs!$W$5:$W$132,MATCH($B2486&amp;"|"&amp;$C2486,Inputs!$A$5:$A$132,0))</f>
        <v/>
      </c>
      <c r="E2486" s="35">
        <f>INDEX(Inputs!$M$5:$M$132,MATCH($B2486&amp;"|"&amp;$C2486,Inputs!$A$5:$A$132,0))</f>
        <v/>
      </c>
      <c r="F2486" s="39" t="n"/>
      <c r="G2486" s="39" t="n"/>
      <c r="H2486" s="14">
        <f>INDEX(VarLab,MATCH($A2486,VarKey,0))&amp;INDEX(MemLab,MATCH($C2486&amp;"|"&amp;$B2486,MemKey,0))</f>
        <v/>
      </c>
      <c r="I2486" s="14">
        <f>INDEX(VarUnit,MATCH($A2486,VarKey,0))</f>
        <v/>
      </c>
      <c r="J2486" s="14">
        <f>INDEX(VarSrc,MATCH($A2486,VarKey,0))</f>
        <v/>
      </c>
      <c r="K2486" s="11">
        <f>CodePrefix&amp;$A2486&amp;IF($C2486="","","."&amp;$C2486&amp;"."&amp;$B2486)&amp;INDEX(VarEnd,MATCH($A2486,VarKey,0))&amp;K$5</f>
        <v/>
      </c>
      <c r="L2486" s="40">
        <f>INDEX(L$297:L$313,$E2486)*$D2486</f>
        <v/>
      </c>
      <c r="M2486" s="35">
        <f>INDEX(M$297:M$313,$E2486)*$D2486</f>
        <v/>
      </c>
      <c r="N2486" s="35">
        <f>INDEX(N$297:N$313,$E2486)*$D2486</f>
        <v/>
      </c>
      <c r="O2486" s="35">
        <f>INDEX(O$297:O$313,$E2486)*$D2486</f>
        <v/>
      </c>
      <c r="P2486" s="35">
        <f>INDEX(P$297:P$313,$E2486)*$D2486</f>
        <v/>
      </c>
      <c r="Q2486" s="35">
        <f>INDEX(Q$297:Q$313,$E2486)*$D2486</f>
        <v/>
      </c>
      <c r="R2486" s="35">
        <f>INDEX(R$297:R$313,$E2486)*$D2486</f>
        <v/>
      </c>
      <c r="S2486" s="35">
        <f>INDEX(S$297:S$313,$E2486)*$D2486</f>
        <v/>
      </c>
      <c r="T2486" s="35">
        <f>INDEX(T$297:T$313,$E2486)*$D2486</f>
        <v/>
      </c>
      <c r="U2486" s="35">
        <f>INDEX(U$297:U$313,$E2486)*$D2486</f>
        <v/>
      </c>
      <c r="V2486" s="35">
        <f>INDEX(V$297:V$313,$E2486)*$D2486</f>
        <v/>
      </c>
      <c r="W2486" s="35">
        <f>INDEX(W$297:W$313,$E2486)*$D2486</f>
        <v/>
      </c>
      <c r="X2486" s="35">
        <f>INDEX(X$297:X$313,$E2486)*$D2486</f>
        <v/>
      </c>
      <c r="Y2486" s="35">
        <f>INDEX(Y$297:Y$313,$E2486)*$D2486</f>
        <v/>
      </c>
      <c r="Z2486" s="35">
        <f>INDEX(Z$297:Z$313,$E2486)*$D2486</f>
        <v/>
      </c>
      <c r="AA2486" s="35">
        <f>INDEX(AA$297:AA$313,$E2486)*$D2486</f>
        <v/>
      </c>
      <c r="AB2486" s="35">
        <f>INDEX(AB$297:AB$313,$E2486)*$D2486</f>
        <v/>
      </c>
      <c r="AC2486" s="35">
        <f>INDEX(AC$297:AC$313,$E2486)*$D2486</f>
        <v/>
      </c>
      <c r="AD2486" s="35">
        <f>INDEX(AD$297:AD$313,$E2486)*$D2486</f>
        <v/>
      </c>
      <c r="AE2486" s="42">
        <f>SHADOWGJ(INDEX(AE$297:AE$313,$E2486),$D2486)</f>
        <v/>
      </c>
      <c r="AG2486" s="11">
        <f>CodePrefix&amp;$A2486&amp;IF($C2486="","","."&amp;$C2486&amp;"."&amp;$B2486)&amp;INDEX(VarEnd,MATCH($A2486,VarKey,0))&amp;AG$5</f>
        <v/>
      </c>
      <c r="AH2486" s="40">
        <f>INDEX(AH$297:AH$313,$E2486)*$D2486</f>
        <v/>
      </c>
      <c r="AI2486" s="35">
        <f>INDEX(AI$297:AI$313,$E2486)*$D2486</f>
        <v/>
      </c>
      <c r="AJ2486" s="35">
        <f>INDEX(AJ$297:AJ$313,$E2486)*$D2486</f>
        <v/>
      </c>
      <c r="AK2486" s="35">
        <f>INDEX(AK$297:AK$313,$E2486)*$D2486</f>
        <v/>
      </c>
      <c r="AL2486" s="35">
        <f>INDEX(AL$297:AL$313,$E2486)*$D2486</f>
        <v/>
      </c>
      <c r="AM2486" s="35">
        <f>INDEX(AM$297:AM$313,$E2486)*$D2486</f>
        <v/>
      </c>
      <c r="AN2486" s="35">
        <f>INDEX(AN$297:AN$313,$E2486)*$D2486</f>
        <v/>
      </c>
      <c r="AO2486" s="35">
        <f>INDEX(AO$297:AO$313,$E2486)*$D2486</f>
        <v/>
      </c>
      <c r="AP2486" s="35">
        <f>INDEX(AP$297:AP$313,$E2486)*$D2486</f>
        <v/>
      </c>
      <c r="AQ2486" s="35">
        <f>INDEX(AQ$297:AQ$313,$E2486)*$D2486</f>
        <v/>
      </c>
      <c r="AR2486" s="35">
        <f>INDEX(AR$297:AR$313,$E2486)*$D2486</f>
        <v/>
      </c>
      <c r="AS2486" s="35">
        <f>INDEX(AS$297:AS$313,$E2486)*$D2486</f>
        <v/>
      </c>
      <c r="AT2486" s="35">
        <f>INDEX(AT$297:AT$313,$E2486)*$D2486</f>
        <v/>
      </c>
      <c r="AU2486" s="35">
        <f>INDEX(AU$297:AU$313,$E2486)*$D2486</f>
        <v/>
      </c>
      <c r="AV2486" s="35">
        <f>INDEX(AV$297:AV$313,$E2486)*$D2486</f>
        <v/>
      </c>
      <c r="AW2486" s="35">
        <f>INDEX(AW$297:AW$313,$E2486)*$D2486</f>
        <v/>
      </c>
      <c r="AX2486" s="35">
        <f>INDEX(AX$297:AX$313,$E2486)*$D2486</f>
        <v/>
      </c>
      <c r="AY2486" s="35">
        <f>INDEX(AY$297:AY$313,$E2486)*$D2486</f>
        <v/>
      </c>
      <c r="AZ2486" s="35">
        <f>INDEX(AZ$297:AZ$313,$E2486)*$D2486</f>
        <v/>
      </c>
      <c r="BA2486" s="42">
        <f>SHADOWGJ(INDEX(BA$297:BA$313,$E2486),$D2486)</f>
        <v/>
      </c>
    </row>
    <row r="2487" hidden="1" outlineLevel="2">
      <c r="A2487" s="14" t="inlineStr">
        <is>
          <t>shp</t>
        </is>
      </c>
      <c r="B2487" s="14" t="inlineStr">
        <is>
          <t>die</t>
        </is>
      </c>
      <c r="C2487" s="14" t="inlineStr">
        <is>
          <t>cem</t>
        </is>
      </c>
      <c r="D2487" s="35">
        <f>INDEX(Inputs!$W$5:$W$132,MATCH($B2487&amp;"|"&amp;$C2487,Inputs!$A$5:$A$132,0))</f>
        <v/>
      </c>
      <c r="E2487" s="35">
        <f>INDEX(Inputs!$M$5:$M$132,MATCH($B2487&amp;"|"&amp;$C2487,Inputs!$A$5:$A$132,0))</f>
        <v/>
      </c>
      <c r="F2487" s="39" t="n"/>
      <c r="G2487" s="39" t="n"/>
      <c r="H2487" s="14">
        <f>INDEX(VarLab,MATCH($A2487,VarKey,0))&amp;INDEX(MemLab,MATCH($C2487&amp;"|"&amp;$B2487,MemKey,0))</f>
        <v/>
      </c>
      <c r="I2487" s="14">
        <f>INDEX(VarUnit,MATCH($A2487,VarKey,0))</f>
        <v/>
      </c>
      <c r="J2487" s="14">
        <f>INDEX(VarSrc,MATCH($A2487,VarKey,0))</f>
        <v/>
      </c>
      <c r="K2487" s="11">
        <f>CodePrefix&amp;$A2487&amp;IF($C2487="","","."&amp;$C2487&amp;"."&amp;$B2487)&amp;INDEX(VarEnd,MATCH($A2487,VarKey,0))&amp;K$5</f>
        <v/>
      </c>
      <c r="L2487" s="40">
        <f>INDEX(L$297:L$313,$E2487)*$D2487</f>
        <v/>
      </c>
      <c r="M2487" s="35">
        <f>INDEX(M$297:M$313,$E2487)*$D2487</f>
        <v/>
      </c>
      <c r="N2487" s="35">
        <f>INDEX(N$297:N$313,$E2487)*$D2487</f>
        <v/>
      </c>
      <c r="O2487" s="35">
        <f>INDEX(O$297:O$313,$E2487)*$D2487</f>
        <v/>
      </c>
      <c r="P2487" s="35">
        <f>INDEX(P$297:P$313,$E2487)*$D2487</f>
        <v/>
      </c>
      <c r="Q2487" s="35">
        <f>INDEX(Q$297:Q$313,$E2487)*$D2487</f>
        <v/>
      </c>
      <c r="R2487" s="35">
        <f>INDEX(R$297:R$313,$E2487)*$D2487</f>
        <v/>
      </c>
      <c r="S2487" s="35">
        <f>INDEX(S$297:S$313,$E2487)*$D2487</f>
        <v/>
      </c>
      <c r="T2487" s="35">
        <f>INDEX(T$297:T$313,$E2487)*$D2487</f>
        <v/>
      </c>
      <c r="U2487" s="35">
        <f>INDEX(U$297:U$313,$E2487)*$D2487</f>
        <v/>
      </c>
      <c r="V2487" s="35">
        <f>INDEX(V$297:V$313,$E2487)*$D2487</f>
        <v/>
      </c>
      <c r="W2487" s="35">
        <f>INDEX(W$297:W$313,$E2487)*$D2487</f>
        <v/>
      </c>
      <c r="X2487" s="35">
        <f>INDEX(X$297:X$313,$E2487)*$D2487</f>
        <v/>
      </c>
      <c r="Y2487" s="35">
        <f>INDEX(Y$297:Y$313,$E2487)*$D2487</f>
        <v/>
      </c>
      <c r="Z2487" s="35">
        <f>INDEX(Z$297:Z$313,$E2487)*$D2487</f>
        <v/>
      </c>
      <c r="AA2487" s="35">
        <f>INDEX(AA$297:AA$313,$E2487)*$D2487</f>
        <v/>
      </c>
      <c r="AB2487" s="35">
        <f>INDEX(AB$297:AB$313,$E2487)*$D2487</f>
        <v/>
      </c>
      <c r="AC2487" s="35">
        <f>INDEX(AC$297:AC$313,$E2487)*$D2487</f>
        <v/>
      </c>
      <c r="AD2487" s="35">
        <f>INDEX(AD$297:AD$313,$E2487)*$D2487</f>
        <v/>
      </c>
      <c r="AE2487" s="42">
        <f>SHADOWGJ(INDEX(AE$297:AE$313,$E2487),$D2487)</f>
        <v/>
      </c>
      <c r="AG2487" s="11">
        <f>CodePrefix&amp;$A2487&amp;IF($C2487="","","."&amp;$C2487&amp;"."&amp;$B2487)&amp;INDEX(VarEnd,MATCH($A2487,VarKey,0))&amp;AG$5</f>
        <v/>
      </c>
      <c r="AH2487" s="40">
        <f>INDEX(AH$297:AH$313,$E2487)*$D2487</f>
        <v/>
      </c>
      <c r="AI2487" s="35">
        <f>INDEX(AI$297:AI$313,$E2487)*$D2487</f>
        <v/>
      </c>
      <c r="AJ2487" s="35">
        <f>INDEX(AJ$297:AJ$313,$E2487)*$D2487</f>
        <v/>
      </c>
      <c r="AK2487" s="35">
        <f>INDEX(AK$297:AK$313,$E2487)*$D2487</f>
        <v/>
      </c>
      <c r="AL2487" s="35">
        <f>INDEX(AL$297:AL$313,$E2487)*$D2487</f>
        <v/>
      </c>
      <c r="AM2487" s="35">
        <f>INDEX(AM$297:AM$313,$E2487)*$D2487</f>
        <v/>
      </c>
      <c r="AN2487" s="35">
        <f>INDEX(AN$297:AN$313,$E2487)*$D2487</f>
        <v/>
      </c>
      <c r="AO2487" s="35">
        <f>INDEX(AO$297:AO$313,$E2487)*$D2487</f>
        <v/>
      </c>
      <c r="AP2487" s="35">
        <f>INDEX(AP$297:AP$313,$E2487)*$D2487</f>
        <v/>
      </c>
      <c r="AQ2487" s="35">
        <f>INDEX(AQ$297:AQ$313,$E2487)*$D2487</f>
        <v/>
      </c>
      <c r="AR2487" s="35">
        <f>INDEX(AR$297:AR$313,$E2487)*$D2487</f>
        <v/>
      </c>
      <c r="AS2487" s="35">
        <f>INDEX(AS$297:AS$313,$E2487)*$D2487</f>
        <v/>
      </c>
      <c r="AT2487" s="35">
        <f>INDEX(AT$297:AT$313,$E2487)*$D2487</f>
        <v/>
      </c>
      <c r="AU2487" s="35">
        <f>INDEX(AU$297:AU$313,$E2487)*$D2487</f>
        <v/>
      </c>
      <c r="AV2487" s="35">
        <f>INDEX(AV$297:AV$313,$E2487)*$D2487</f>
        <v/>
      </c>
      <c r="AW2487" s="35">
        <f>INDEX(AW$297:AW$313,$E2487)*$D2487</f>
        <v/>
      </c>
      <c r="AX2487" s="35">
        <f>INDEX(AX$297:AX$313,$E2487)*$D2487</f>
        <v/>
      </c>
      <c r="AY2487" s="35">
        <f>INDEX(AY$297:AY$313,$E2487)*$D2487</f>
        <v/>
      </c>
      <c r="AZ2487" s="35">
        <f>INDEX(AZ$297:AZ$313,$E2487)*$D2487</f>
        <v/>
      </c>
      <c r="BA2487" s="42">
        <f>SHADOWGJ(INDEX(BA$297:BA$313,$E2487),$D2487)</f>
        <v/>
      </c>
    </row>
    <row r="2488" hidden="1" outlineLevel="2">
      <c r="A2488" s="14" t="inlineStr">
        <is>
          <t>shp</t>
        </is>
      </c>
      <c r="B2488" s="14" t="inlineStr">
        <is>
          <t>lpg</t>
        </is>
      </c>
      <c r="C2488" s="14" t="inlineStr">
        <is>
          <t>cem</t>
        </is>
      </c>
      <c r="D2488" s="35">
        <f>INDEX(Inputs!$W$5:$W$132,MATCH($B2488&amp;"|"&amp;$C2488,Inputs!$A$5:$A$132,0))</f>
        <v/>
      </c>
      <c r="E2488" s="35">
        <f>INDEX(Inputs!$M$5:$M$132,MATCH($B2488&amp;"|"&amp;$C2488,Inputs!$A$5:$A$132,0))</f>
        <v/>
      </c>
      <c r="F2488" s="39" t="n"/>
      <c r="G2488" s="39" t="n"/>
      <c r="H2488" s="14">
        <f>INDEX(VarLab,MATCH($A2488,VarKey,0))&amp;INDEX(MemLab,MATCH($C2488&amp;"|"&amp;$B2488,MemKey,0))</f>
        <v/>
      </c>
      <c r="I2488" s="14">
        <f>INDEX(VarUnit,MATCH($A2488,VarKey,0))</f>
        <v/>
      </c>
      <c r="J2488" s="14">
        <f>INDEX(VarSrc,MATCH($A2488,VarKey,0))</f>
        <v/>
      </c>
      <c r="K2488" s="11">
        <f>CodePrefix&amp;$A2488&amp;IF($C2488="","","."&amp;$C2488&amp;"."&amp;$B2488)&amp;INDEX(VarEnd,MATCH($A2488,VarKey,0))&amp;K$5</f>
        <v/>
      </c>
      <c r="L2488" s="40">
        <f>INDEX(L$297:L$313,$E2488)*$D2488</f>
        <v/>
      </c>
      <c r="M2488" s="35">
        <f>INDEX(M$297:M$313,$E2488)*$D2488</f>
        <v/>
      </c>
      <c r="N2488" s="35">
        <f>INDEX(N$297:N$313,$E2488)*$D2488</f>
        <v/>
      </c>
      <c r="O2488" s="35">
        <f>INDEX(O$297:O$313,$E2488)*$D2488</f>
        <v/>
      </c>
      <c r="P2488" s="35">
        <f>INDEX(P$297:P$313,$E2488)*$D2488</f>
        <v/>
      </c>
      <c r="Q2488" s="35">
        <f>INDEX(Q$297:Q$313,$E2488)*$D2488</f>
        <v/>
      </c>
      <c r="R2488" s="35">
        <f>INDEX(R$297:R$313,$E2488)*$D2488</f>
        <v/>
      </c>
      <c r="S2488" s="35">
        <f>INDEX(S$297:S$313,$E2488)*$D2488</f>
        <v/>
      </c>
      <c r="T2488" s="35">
        <f>INDEX(T$297:T$313,$E2488)*$D2488</f>
        <v/>
      </c>
      <c r="U2488" s="35">
        <f>INDEX(U$297:U$313,$E2488)*$D2488</f>
        <v/>
      </c>
      <c r="V2488" s="35">
        <f>INDEX(V$297:V$313,$E2488)*$D2488</f>
        <v/>
      </c>
      <c r="W2488" s="35">
        <f>INDEX(W$297:W$313,$E2488)*$D2488</f>
        <v/>
      </c>
      <c r="X2488" s="35">
        <f>INDEX(X$297:X$313,$E2488)*$D2488</f>
        <v/>
      </c>
      <c r="Y2488" s="35">
        <f>INDEX(Y$297:Y$313,$E2488)*$D2488</f>
        <v/>
      </c>
      <c r="Z2488" s="35">
        <f>INDEX(Z$297:Z$313,$E2488)*$D2488</f>
        <v/>
      </c>
      <c r="AA2488" s="35">
        <f>INDEX(AA$297:AA$313,$E2488)*$D2488</f>
        <v/>
      </c>
      <c r="AB2488" s="35">
        <f>INDEX(AB$297:AB$313,$E2488)*$D2488</f>
        <v/>
      </c>
      <c r="AC2488" s="35">
        <f>INDEX(AC$297:AC$313,$E2488)*$D2488</f>
        <v/>
      </c>
      <c r="AD2488" s="35">
        <f>INDEX(AD$297:AD$313,$E2488)*$D2488</f>
        <v/>
      </c>
      <c r="AE2488" s="42">
        <f>SHADOWGJ(INDEX(AE$297:AE$313,$E2488),$D2488)</f>
        <v/>
      </c>
      <c r="AG2488" s="11">
        <f>CodePrefix&amp;$A2488&amp;IF($C2488="","","."&amp;$C2488&amp;"."&amp;$B2488)&amp;INDEX(VarEnd,MATCH($A2488,VarKey,0))&amp;AG$5</f>
        <v/>
      </c>
      <c r="AH2488" s="40">
        <f>INDEX(AH$297:AH$313,$E2488)*$D2488</f>
        <v/>
      </c>
      <c r="AI2488" s="35">
        <f>INDEX(AI$297:AI$313,$E2488)*$D2488</f>
        <v/>
      </c>
      <c r="AJ2488" s="35">
        <f>INDEX(AJ$297:AJ$313,$E2488)*$D2488</f>
        <v/>
      </c>
      <c r="AK2488" s="35">
        <f>INDEX(AK$297:AK$313,$E2488)*$D2488</f>
        <v/>
      </c>
      <c r="AL2488" s="35">
        <f>INDEX(AL$297:AL$313,$E2488)*$D2488</f>
        <v/>
      </c>
      <c r="AM2488" s="35">
        <f>INDEX(AM$297:AM$313,$E2488)*$D2488</f>
        <v/>
      </c>
      <c r="AN2488" s="35">
        <f>INDEX(AN$297:AN$313,$E2488)*$D2488</f>
        <v/>
      </c>
      <c r="AO2488" s="35">
        <f>INDEX(AO$297:AO$313,$E2488)*$D2488</f>
        <v/>
      </c>
      <c r="AP2488" s="35">
        <f>INDEX(AP$297:AP$313,$E2488)*$D2488</f>
        <v/>
      </c>
      <c r="AQ2488" s="35">
        <f>INDEX(AQ$297:AQ$313,$E2488)*$D2488</f>
        <v/>
      </c>
      <c r="AR2488" s="35">
        <f>INDEX(AR$297:AR$313,$E2488)*$D2488</f>
        <v/>
      </c>
      <c r="AS2488" s="35">
        <f>INDEX(AS$297:AS$313,$E2488)*$D2488</f>
        <v/>
      </c>
      <c r="AT2488" s="35">
        <f>INDEX(AT$297:AT$313,$E2488)*$D2488</f>
        <v/>
      </c>
      <c r="AU2488" s="35">
        <f>INDEX(AU$297:AU$313,$E2488)*$D2488</f>
        <v/>
      </c>
      <c r="AV2488" s="35">
        <f>INDEX(AV$297:AV$313,$E2488)*$D2488</f>
        <v/>
      </c>
      <c r="AW2488" s="35">
        <f>INDEX(AW$297:AW$313,$E2488)*$D2488</f>
        <v/>
      </c>
      <c r="AX2488" s="35">
        <f>INDEX(AX$297:AX$313,$E2488)*$D2488</f>
        <v/>
      </c>
      <c r="AY2488" s="35">
        <f>INDEX(AY$297:AY$313,$E2488)*$D2488</f>
        <v/>
      </c>
      <c r="AZ2488" s="35">
        <f>INDEX(AZ$297:AZ$313,$E2488)*$D2488</f>
        <v/>
      </c>
      <c r="BA2488" s="42">
        <f>SHADOWGJ(INDEX(BA$297:BA$313,$E2488),$D2488)</f>
        <v/>
      </c>
    </row>
    <row r="2489" hidden="1" outlineLevel="2">
      <c r="A2489" s="14" t="inlineStr">
        <is>
          <t>shp</t>
        </is>
      </c>
      <c r="B2489" s="14" t="inlineStr">
        <is>
          <t>ker</t>
        </is>
      </c>
      <c r="C2489" s="14" t="inlineStr">
        <is>
          <t>cem</t>
        </is>
      </c>
      <c r="D2489" s="35">
        <f>INDEX(Inputs!$W$5:$W$132,MATCH($B2489&amp;"|"&amp;$C2489,Inputs!$A$5:$A$132,0))</f>
        <v/>
      </c>
      <c r="E2489" s="35">
        <f>INDEX(Inputs!$M$5:$M$132,MATCH($B2489&amp;"|"&amp;$C2489,Inputs!$A$5:$A$132,0))</f>
        <v/>
      </c>
      <c r="F2489" s="39" t="n"/>
      <c r="G2489" s="39" t="n"/>
      <c r="H2489" s="14">
        <f>INDEX(VarLab,MATCH($A2489,VarKey,0))&amp;INDEX(MemLab,MATCH($C2489&amp;"|"&amp;$B2489,MemKey,0))</f>
        <v/>
      </c>
      <c r="I2489" s="14">
        <f>INDEX(VarUnit,MATCH($A2489,VarKey,0))</f>
        <v/>
      </c>
      <c r="J2489" s="14">
        <f>INDEX(VarSrc,MATCH($A2489,VarKey,0))</f>
        <v/>
      </c>
      <c r="K2489" s="11">
        <f>CodePrefix&amp;$A2489&amp;IF($C2489="","","."&amp;$C2489&amp;"."&amp;$B2489)&amp;INDEX(VarEnd,MATCH($A2489,VarKey,0))&amp;K$5</f>
        <v/>
      </c>
      <c r="L2489" s="40">
        <f>INDEX(L$297:L$313,$E2489)*$D2489</f>
        <v/>
      </c>
      <c r="M2489" s="35">
        <f>INDEX(M$297:M$313,$E2489)*$D2489</f>
        <v/>
      </c>
      <c r="N2489" s="35">
        <f>INDEX(N$297:N$313,$E2489)*$D2489</f>
        <v/>
      </c>
      <c r="O2489" s="35">
        <f>INDEX(O$297:O$313,$E2489)*$D2489</f>
        <v/>
      </c>
      <c r="P2489" s="35">
        <f>INDEX(P$297:P$313,$E2489)*$D2489</f>
        <v/>
      </c>
      <c r="Q2489" s="35">
        <f>INDEX(Q$297:Q$313,$E2489)*$D2489</f>
        <v/>
      </c>
      <c r="R2489" s="35">
        <f>INDEX(R$297:R$313,$E2489)*$D2489</f>
        <v/>
      </c>
      <c r="S2489" s="35">
        <f>INDEX(S$297:S$313,$E2489)*$D2489</f>
        <v/>
      </c>
      <c r="T2489" s="35">
        <f>INDEX(T$297:T$313,$E2489)*$D2489</f>
        <v/>
      </c>
      <c r="U2489" s="35">
        <f>INDEX(U$297:U$313,$E2489)*$D2489</f>
        <v/>
      </c>
      <c r="V2489" s="35">
        <f>INDEX(V$297:V$313,$E2489)*$D2489</f>
        <v/>
      </c>
      <c r="W2489" s="35">
        <f>INDEX(W$297:W$313,$E2489)*$D2489</f>
        <v/>
      </c>
      <c r="X2489" s="35">
        <f>INDEX(X$297:X$313,$E2489)*$D2489</f>
        <v/>
      </c>
      <c r="Y2489" s="35">
        <f>INDEX(Y$297:Y$313,$E2489)*$D2489</f>
        <v/>
      </c>
      <c r="Z2489" s="35">
        <f>INDEX(Z$297:Z$313,$E2489)*$D2489</f>
        <v/>
      </c>
      <c r="AA2489" s="35">
        <f>INDEX(AA$297:AA$313,$E2489)*$D2489</f>
        <v/>
      </c>
      <c r="AB2489" s="35">
        <f>INDEX(AB$297:AB$313,$E2489)*$D2489</f>
        <v/>
      </c>
      <c r="AC2489" s="35">
        <f>INDEX(AC$297:AC$313,$E2489)*$D2489</f>
        <v/>
      </c>
      <c r="AD2489" s="35">
        <f>INDEX(AD$297:AD$313,$E2489)*$D2489</f>
        <v/>
      </c>
      <c r="AE2489" s="42">
        <f>SHADOWGJ(INDEX(AE$297:AE$313,$E2489),$D2489)</f>
        <v/>
      </c>
      <c r="AG2489" s="11">
        <f>CodePrefix&amp;$A2489&amp;IF($C2489="","","."&amp;$C2489&amp;"."&amp;$B2489)&amp;INDEX(VarEnd,MATCH($A2489,VarKey,0))&amp;AG$5</f>
        <v/>
      </c>
      <c r="AH2489" s="40">
        <f>INDEX(AH$297:AH$313,$E2489)*$D2489</f>
        <v/>
      </c>
      <c r="AI2489" s="35">
        <f>INDEX(AI$297:AI$313,$E2489)*$D2489</f>
        <v/>
      </c>
      <c r="AJ2489" s="35">
        <f>INDEX(AJ$297:AJ$313,$E2489)*$D2489</f>
        <v/>
      </c>
      <c r="AK2489" s="35">
        <f>INDEX(AK$297:AK$313,$E2489)*$D2489</f>
        <v/>
      </c>
      <c r="AL2489" s="35">
        <f>INDEX(AL$297:AL$313,$E2489)*$D2489</f>
        <v/>
      </c>
      <c r="AM2489" s="35">
        <f>INDEX(AM$297:AM$313,$E2489)*$D2489</f>
        <v/>
      </c>
      <c r="AN2489" s="35">
        <f>INDEX(AN$297:AN$313,$E2489)*$D2489</f>
        <v/>
      </c>
      <c r="AO2489" s="35">
        <f>INDEX(AO$297:AO$313,$E2489)*$D2489</f>
        <v/>
      </c>
      <c r="AP2489" s="35">
        <f>INDEX(AP$297:AP$313,$E2489)*$D2489</f>
        <v/>
      </c>
      <c r="AQ2489" s="35">
        <f>INDEX(AQ$297:AQ$313,$E2489)*$D2489</f>
        <v/>
      </c>
      <c r="AR2489" s="35">
        <f>INDEX(AR$297:AR$313,$E2489)*$D2489</f>
        <v/>
      </c>
      <c r="AS2489" s="35">
        <f>INDEX(AS$297:AS$313,$E2489)*$D2489</f>
        <v/>
      </c>
      <c r="AT2489" s="35">
        <f>INDEX(AT$297:AT$313,$E2489)*$D2489</f>
        <v/>
      </c>
      <c r="AU2489" s="35">
        <f>INDEX(AU$297:AU$313,$E2489)*$D2489</f>
        <v/>
      </c>
      <c r="AV2489" s="35">
        <f>INDEX(AV$297:AV$313,$E2489)*$D2489</f>
        <v/>
      </c>
      <c r="AW2489" s="35">
        <f>INDEX(AW$297:AW$313,$E2489)*$D2489</f>
        <v/>
      </c>
      <c r="AX2489" s="35">
        <f>INDEX(AX$297:AX$313,$E2489)*$D2489</f>
        <v/>
      </c>
      <c r="AY2489" s="35">
        <f>INDEX(AY$297:AY$313,$E2489)*$D2489</f>
        <v/>
      </c>
      <c r="AZ2489" s="35">
        <f>INDEX(AZ$297:AZ$313,$E2489)*$D2489</f>
        <v/>
      </c>
      <c r="BA2489" s="42">
        <f>SHADOWGJ(INDEX(BA$297:BA$313,$E2489),$D2489)</f>
        <v/>
      </c>
    </row>
    <row r="2490" hidden="1" outlineLevel="2">
      <c r="A2490" s="14" t="inlineStr">
        <is>
          <t>shp</t>
        </is>
      </c>
      <c r="B2490" s="14" t="inlineStr">
        <is>
          <t>oop</t>
        </is>
      </c>
      <c r="C2490" s="14" t="inlineStr">
        <is>
          <t>cem</t>
        </is>
      </c>
      <c r="D2490" s="35">
        <f>INDEX(Inputs!$W$5:$W$132,MATCH($B2490&amp;"|"&amp;$C2490,Inputs!$A$5:$A$132,0))</f>
        <v/>
      </c>
      <c r="E2490" s="35">
        <f>INDEX(Inputs!$M$5:$M$132,MATCH($B2490&amp;"|"&amp;$C2490,Inputs!$A$5:$A$132,0))</f>
        <v/>
      </c>
      <c r="F2490" s="39" t="n"/>
      <c r="G2490" s="39" t="n"/>
      <c r="H2490" s="14">
        <f>INDEX(VarLab,MATCH($A2490,VarKey,0))&amp;INDEX(MemLab,MATCH($C2490&amp;"|"&amp;$B2490,MemKey,0))</f>
        <v/>
      </c>
      <c r="I2490" s="14">
        <f>INDEX(VarUnit,MATCH($A2490,VarKey,0))</f>
        <v/>
      </c>
      <c r="J2490" s="14">
        <f>INDEX(VarSrc,MATCH($A2490,VarKey,0))</f>
        <v/>
      </c>
      <c r="K2490" s="11">
        <f>CodePrefix&amp;$A2490&amp;IF($C2490="","","."&amp;$C2490&amp;"."&amp;$B2490)&amp;INDEX(VarEnd,MATCH($A2490,VarKey,0))&amp;K$5</f>
        <v/>
      </c>
      <c r="L2490" s="40">
        <f>INDEX(L$297:L$313,$E2490)*$D2490</f>
        <v/>
      </c>
      <c r="M2490" s="35">
        <f>INDEX(M$297:M$313,$E2490)*$D2490</f>
        <v/>
      </c>
      <c r="N2490" s="35">
        <f>INDEX(N$297:N$313,$E2490)*$D2490</f>
        <v/>
      </c>
      <c r="O2490" s="35">
        <f>INDEX(O$297:O$313,$E2490)*$D2490</f>
        <v/>
      </c>
      <c r="P2490" s="35">
        <f>INDEX(P$297:P$313,$E2490)*$D2490</f>
        <v/>
      </c>
      <c r="Q2490" s="35">
        <f>INDEX(Q$297:Q$313,$E2490)*$D2490</f>
        <v/>
      </c>
      <c r="R2490" s="35">
        <f>INDEX(R$297:R$313,$E2490)*$D2490</f>
        <v/>
      </c>
      <c r="S2490" s="35">
        <f>INDEX(S$297:S$313,$E2490)*$D2490</f>
        <v/>
      </c>
      <c r="T2490" s="35">
        <f>INDEX(T$297:T$313,$E2490)*$D2490</f>
        <v/>
      </c>
      <c r="U2490" s="35">
        <f>INDEX(U$297:U$313,$E2490)*$D2490</f>
        <v/>
      </c>
      <c r="V2490" s="35">
        <f>INDEX(V$297:V$313,$E2490)*$D2490</f>
        <v/>
      </c>
      <c r="W2490" s="35">
        <f>INDEX(W$297:W$313,$E2490)*$D2490</f>
        <v/>
      </c>
      <c r="X2490" s="35">
        <f>INDEX(X$297:X$313,$E2490)*$D2490</f>
        <v/>
      </c>
      <c r="Y2490" s="35">
        <f>INDEX(Y$297:Y$313,$E2490)*$D2490</f>
        <v/>
      </c>
      <c r="Z2490" s="35">
        <f>INDEX(Z$297:Z$313,$E2490)*$D2490</f>
        <v/>
      </c>
      <c r="AA2490" s="35">
        <f>INDEX(AA$297:AA$313,$E2490)*$D2490</f>
        <v/>
      </c>
      <c r="AB2490" s="35">
        <f>INDEX(AB$297:AB$313,$E2490)*$D2490</f>
        <v/>
      </c>
      <c r="AC2490" s="35">
        <f>INDEX(AC$297:AC$313,$E2490)*$D2490</f>
        <v/>
      </c>
      <c r="AD2490" s="35">
        <f>INDEX(AD$297:AD$313,$E2490)*$D2490</f>
        <v/>
      </c>
      <c r="AE2490" s="42">
        <f>SHADOWGJ(INDEX(AE$297:AE$313,$E2490),$D2490)</f>
        <v/>
      </c>
      <c r="AG2490" s="11">
        <f>CodePrefix&amp;$A2490&amp;IF($C2490="","","."&amp;$C2490&amp;"."&amp;$B2490)&amp;INDEX(VarEnd,MATCH($A2490,VarKey,0))&amp;AG$5</f>
        <v/>
      </c>
      <c r="AH2490" s="40">
        <f>INDEX(AH$297:AH$313,$E2490)*$D2490</f>
        <v/>
      </c>
      <c r="AI2490" s="35">
        <f>INDEX(AI$297:AI$313,$E2490)*$D2490</f>
        <v/>
      </c>
      <c r="AJ2490" s="35">
        <f>INDEX(AJ$297:AJ$313,$E2490)*$D2490</f>
        <v/>
      </c>
      <c r="AK2490" s="35">
        <f>INDEX(AK$297:AK$313,$E2490)*$D2490</f>
        <v/>
      </c>
      <c r="AL2490" s="35">
        <f>INDEX(AL$297:AL$313,$E2490)*$D2490</f>
        <v/>
      </c>
      <c r="AM2490" s="35">
        <f>INDEX(AM$297:AM$313,$E2490)*$D2490</f>
        <v/>
      </c>
      <c r="AN2490" s="35">
        <f>INDEX(AN$297:AN$313,$E2490)*$D2490</f>
        <v/>
      </c>
      <c r="AO2490" s="35">
        <f>INDEX(AO$297:AO$313,$E2490)*$D2490</f>
        <v/>
      </c>
      <c r="AP2490" s="35">
        <f>INDEX(AP$297:AP$313,$E2490)*$D2490</f>
        <v/>
      </c>
      <c r="AQ2490" s="35">
        <f>INDEX(AQ$297:AQ$313,$E2490)*$D2490</f>
        <v/>
      </c>
      <c r="AR2490" s="35">
        <f>INDEX(AR$297:AR$313,$E2490)*$D2490</f>
        <v/>
      </c>
      <c r="AS2490" s="35">
        <f>INDEX(AS$297:AS$313,$E2490)*$D2490</f>
        <v/>
      </c>
      <c r="AT2490" s="35">
        <f>INDEX(AT$297:AT$313,$E2490)*$D2490</f>
        <v/>
      </c>
      <c r="AU2490" s="35">
        <f>INDEX(AU$297:AU$313,$E2490)*$D2490</f>
        <v/>
      </c>
      <c r="AV2490" s="35">
        <f>INDEX(AV$297:AV$313,$E2490)*$D2490</f>
        <v/>
      </c>
      <c r="AW2490" s="35">
        <f>INDEX(AW$297:AW$313,$E2490)*$D2490</f>
        <v/>
      </c>
      <c r="AX2490" s="35">
        <f>INDEX(AX$297:AX$313,$E2490)*$D2490</f>
        <v/>
      </c>
      <c r="AY2490" s="35">
        <f>INDEX(AY$297:AY$313,$E2490)*$D2490</f>
        <v/>
      </c>
      <c r="AZ2490" s="35">
        <f>INDEX(AZ$297:AZ$313,$E2490)*$D2490</f>
        <v/>
      </c>
      <c r="BA2490" s="42">
        <f>SHADOWGJ(INDEX(BA$297:BA$313,$E2490),$D2490)</f>
        <v/>
      </c>
    </row>
    <row r="2491" hidden="1" outlineLevel="2">
      <c r="A2491" s="14" t="inlineStr">
        <is>
          <t>shp</t>
        </is>
      </c>
      <c r="B2491" s="14" t="inlineStr">
        <is>
          <t>bio</t>
        </is>
      </c>
      <c r="C2491" s="14" t="inlineStr">
        <is>
          <t>cem</t>
        </is>
      </c>
      <c r="D2491" s="35">
        <f>INDEX(Inputs!$W$5:$W$132,MATCH($B2491&amp;"|"&amp;$C2491,Inputs!$A$5:$A$132,0))</f>
        <v/>
      </c>
      <c r="E2491" s="35">
        <f>INDEX(Inputs!$M$5:$M$132,MATCH($B2491&amp;"|"&amp;$C2491,Inputs!$A$5:$A$132,0))</f>
        <v/>
      </c>
      <c r="F2491" s="39" t="n"/>
      <c r="G2491" s="39" t="n"/>
      <c r="H2491" s="14">
        <f>INDEX(VarLab,MATCH($A2491,VarKey,0))&amp;INDEX(MemLab,MATCH($C2491&amp;"|"&amp;$B2491,MemKey,0))</f>
        <v/>
      </c>
      <c r="I2491" s="14">
        <f>INDEX(VarUnit,MATCH($A2491,VarKey,0))</f>
        <v/>
      </c>
      <c r="J2491" s="14">
        <f>INDEX(VarSrc,MATCH($A2491,VarKey,0))</f>
        <v/>
      </c>
      <c r="K2491" s="11">
        <f>CodePrefix&amp;$A2491&amp;IF($C2491="","","."&amp;$C2491&amp;"."&amp;$B2491)&amp;INDEX(VarEnd,MATCH($A2491,VarKey,0))&amp;K$5</f>
        <v/>
      </c>
      <c r="L2491" s="40">
        <f>INDEX(L$297:L$313,$E2491)*$D2491</f>
        <v/>
      </c>
      <c r="M2491" s="35">
        <f>INDEX(M$297:M$313,$E2491)*$D2491</f>
        <v/>
      </c>
      <c r="N2491" s="35">
        <f>INDEX(N$297:N$313,$E2491)*$D2491</f>
        <v/>
      </c>
      <c r="O2491" s="35">
        <f>INDEX(O$297:O$313,$E2491)*$D2491</f>
        <v/>
      </c>
      <c r="P2491" s="35">
        <f>INDEX(P$297:P$313,$E2491)*$D2491</f>
        <v/>
      </c>
      <c r="Q2491" s="35">
        <f>INDEX(Q$297:Q$313,$E2491)*$D2491</f>
        <v/>
      </c>
      <c r="R2491" s="35">
        <f>INDEX(R$297:R$313,$E2491)*$D2491</f>
        <v/>
      </c>
      <c r="S2491" s="35">
        <f>INDEX(S$297:S$313,$E2491)*$D2491</f>
        <v/>
      </c>
      <c r="T2491" s="35">
        <f>INDEX(T$297:T$313,$E2491)*$D2491</f>
        <v/>
      </c>
      <c r="U2491" s="35">
        <f>INDEX(U$297:U$313,$E2491)*$D2491</f>
        <v/>
      </c>
      <c r="V2491" s="35">
        <f>INDEX(V$297:V$313,$E2491)*$D2491</f>
        <v/>
      </c>
      <c r="W2491" s="35">
        <f>INDEX(W$297:W$313,$E2491)*$D2491</f>
        <v/>
      </c>
      <c r="X2491" s="35">
        <f>INDEX(X$297:X$313,$E2491)*$D2491</f>
        <v/>
      </c>
      <c r="Y2491" s="35">
        <f>INDEX(Y$297:Y$313,$E2491)*$D2491</f>
        <v/>
      </c>
      <c r="Z2491" s="35">
        <f>INDEX(Z$297:Z$313,$E2491)*$D2491</f>
        <v/>
      </c>
      <c r="AA2491" s="35">
        <f>INDEX(AA$297:AA$313,$E2491)*$D2491</f>
        <v/>
      </c>
      <c r="AB2491" s="35">
        <f>INDEX(AB$297:AB$313,$E2491)*$D2491</f>
        <v/>
      </c>
      <c r="AC2491" s="35">
        <f>INDEX(AC$297:AC$313,$E2491)*$D2491</f>
        <v/>
      </c>
      <c r="AD2491" s="35">
        <f>INDEX(AD$297:AD$313,$E2491)*$D2491</f>
        <v/>
      </c>
      <c r="AE2491" s="42">
        <f>SHADOWGJ(INDEX(AE$297:AE$313,$E2491),$D2491)</f>
        <v/>
      </c>
      <c r="AG2491" s="11">
        <f>CodePrefix&amp;$A2491&amp;IF($C2491="","","."&amp;$C2491&amp;"."&amp;$B2491)&amp;INDEX(VarEnd,MATCH($A2491,VarKey,0))&amp;AG$5</f>
        <v/>
      </c>
      <c r="AH2491" s="40">
        <f>INDEX(AH$297:AH$313,$E2491)*$D2491</f>
        <v/>
      </c>
      <c r="AI2491" s="35">
        <f>INDEX(AI$297:AI$313,$E2491)*$D2491</f>
        <v/>
      </c>
      <c r="AJ2491" s="35">
        <f>INDEX(AJ$297:AJ$313,$E2491)*$D2491</f>
        <v/>
      </c>
      <c r="AK2491" s="35">
        <f>INDEX(AK$297:AK$313,$E2491)*$D2491</f>
        <v/>
      </c>
      <c r="AL2491" s="35">
        <f>INDEX(AL$297:AL$313,$E2491)*$D2491</f>
        <v/>
      </c>
      <c r="AM2491" s="35">
        <f>INDEX(AM$297:AM$313,$E2491)*$D2491</f>
        <v/>
      </c>
      <c r="AN2491" s="35">
        <f>INDEX(AN$297:AN$313,$E2491)*$D2491</f>
        <v/>
      </c>
      <c r="AO2491" s="35">
        <f>INDEX(AO$297:AO$313,$E2491)*$D2491</f>
        <v/>
      </c>
      <c r="AP2491" s="35">
        <f>INDEX(AP$297:AP$313,$E2491)*$D2491</f>
        <v/>
      </c>
      <c r="AQ2491" s="35">
        <f>INDEX(AQ$297:AQ$313,$E2491)*$D2491</f>
        <v/>
      </c>
      <c r="AR2491" s="35">
        <f>INDEX(AR$297:AR$313,$E2491)*$D2491</f>
        <v/>
      </c>
      <c r="AS2491" s="35">
        <f>INDEX(AS$297:AS$313,$E2491)*$D2491</f>
        <v/>
      </c>
      <c r="AT2491" s="35">
        <f>INDEX(AT$297:AT$313,$E2491)*$D2491</f>
        <v/>
      </c>
      <c r="AU2491" s="35">
        <f>INDEX(AU$297:AU$313,$E2491)*$D2491</f>
        <v/>
      </c>
      <c r="AV2491" s="35">
        <f>INDEX(AV$297:AV$313,$E2491)*$D2491</f>
        <v/>
      </c>
      <c r="AW2491" s="35">
        <f>INDEX(AW$297:AW$313,$E2491)*$D2491</f>
        <v/>
      </c>
      <c r="AX2491" s="35">
        <f>INDEX(AX$297:AX$313,$E2491)*$D2491</f>
        <v/>
      </c>
      <c r="AY2491" s="35">
        <f>INDEX(AY$297:AY$313,$E2491)*$D2491</f>
        <v/>
      </c>
      <c r="AZ2491" s="35">
        <f>INDEX(AZ$297:AZ$313,$E2491)*$D2491</f>
        <v/>
      </c>
      <c r="BA2491" s="42">
        <f>SHADOWGJ(INDEX(BA$297:BA$313,$E2491),$D2491)</f>
        <v/>
      </c>
    </row>
    <row r="2492" hidden="1" outlineLevel="2"/>
    <row r="2493" hidden="1" outlineLevel="2">
      <c r="A2493" s="14" t="inlineStr">
        <is>
          <t>ener</t>
        </is>
      </c>
      <c r="B2493" s="14" t="inlineStr">
        <is>
          <t>coa</t>
        </is>
      </c>
      <c r="C2493" s="14" t="inlineStr">
        <is>
          <t>cem</t>
        </is>
      </c>
      <c r="D2493" s="35">
        <f>INDEX(Inputs!$O$5:$O$132,MATCH($B2493&amp;"|"&amp;$C2493,Inputs!$A$5:$A$132,0))</f>
        <v/>
      </c>
      <c r="E2493" s="35">
        <f>INDEX(Inputs!$P$5:$P$132,MATCH($B2493&amp;"|"&amp;$C2493,Inputs!$A$5:$A$132,0))</f>
        <v/>
      </c>
      <c r="F2493" s="35">
        <f>INDEX(Inputs!$T$5:$T$132,MATCH($B2493&amp;"|"&amp;$C2493,Inputs!$A$5:$A$132,0))</f>
        <v/>
      </c>
      <c r="G2493" s="35">
        <f>INDEX(Inputs!$S$5:$S$132,MATCH($B2493&amp;"|"&amp;$C2493,Inputs!$A$5:$A$132,0))</f>
        <v/>
      </c>
      <c r="H2493" s="14">
        <f>INDEX(VarLab,MATCH($A2493,VarKey,0))&amp;INDEX(MemLab,MATCH($C2493&amp;"|"&amp;$B2493,MemKey,0))</f>
        <v/>
      </c>
      <c r="I2493" s="14">
        <f>INDEX(VarUnit,MATCH($A2493,VarKey,0))</f>
        <v/>
      </c>
      <c r="J2493" s="14">
        <f>INDEX(VarSrc,MATCH($A2493,VarKey,0))</f>
        <v/>
      </c>
      <c r="K2493" s="11">
        <f>CodePrefix&amp;$A2493&amp;IF($C2493="","","."&amp;$C2493&amp;"."&amp;$B2493)&amp;INDEX(VarEnd,MATCH($A2493,VarKey,0))&amp;K$5</f>
        <v/>
      </c>
      <c r="L2493" s="43">
        <f>INDEX(Inputs!$X$5:$X$132,MATCH($B2493&amp;"|"&amp;$C2493,Inputs!$A$5:$A$132,0))</f>
        <v/>
      </c>
      <c r="M2493" s="44">
        <f>L2493*$G2493*(1+M$7)^$D2493*(M2475/L2475)^$E2493*((M2475+M2484)/(L2475+L2484))^$F2493</f>
        <v/>
      </c>
      <c r="N2493" s="44">
        <f>M2493*$G2493*(1+N$7)^$D2493*(N2475/M2475)^$E2493*((N2475+N2484)/(M2475+M2484))^$F2493</f>
        <v/>
      </c>
      <c r="O2493" s="44">
        <f>N2493*$G2493*(1+O$7)^$D2493*(O2475/N2475)^$E2493*((O2475+O2484)/(N2475+N2484))^$F2493</f>
        <v/>
      </c>
      <c r="P2493" s="44">
        <f>O2493*$G2493*(1+P$7)^$D2493*(P2475/O2475)^$E2493*((P2475+P2484)/(O2475+O2484))^$F2493</f>
        <v/>
      </c>
      <c r="Q2493" s="44">
        <f>P2493*$G2493*(1+Q$7)^$D2493*(Q2475/P2475)^$E2493*((Q2475+Q2484)/(P2475+P2484))^$F2493</f>
        <v/>
      </c>
      <c r="R2493" s="44">
        <f>Q2493*$G2493*(1+R$7)^$D2493*(R2475/Q2475)^$E2493*((R2475+R2484)/(Q2475+Q2484))^$F2493</f>
        <v/>
      </c>
      <c r="S2493" s="44">
        <f>R2493*$G2493*(1+S$7)^$D2493*(S2475/R2475)^$E2493*((S2475+S2484)/(R2475+R2484))^$F2493</f>
        <v/>
      </c>
      <c r="T2493" s="44">
        <f>S2493*$G2493*(1+T$7)^$D2493*(T2475/S2475)^$E2493*((T2475+T2484)/(S2475+S2484))^$F2493</f>
        <v/>
      </c>
      <c r="U2493" s="44">
        <f>T2493*$G2493*(1+U$7)^$D2493*(U2475/T2475)^$E2493*((U2475+U2484)/(T2475+T2484))^$F2493</f>
        <v/>
      </c>
      <c r="V2493" s="44">
        <f>U2493*$G2493*(1+V$7)^$D2493*(V2475/U2475)^$E2493*((V2475+V2484)/(U2475+U2484))^$F2493</f>
        <v/>
      </c>
      <c r="W2493" s="44">
        <f>V2493*$G2493*(1+W$7)^$D2493*(W2475/V2475)^$E2493*((W2475+W2484)/(V2475+V2484))^$F2493</f>
        <v/>
      </c>
      <c r="X2493" s="44">
        <f>W2493*$G2493*(1+X$7)^$D2493*(X2475/W2475)^$E2493*((X2475+X2484)/(W2475+W2484))^$F2493</f>
        <v/>
      </c>
      <c r="Y2493" s="44">
        <f>X2493*$G2493*(1+Y$7)^$D2493*(Y2475/X2475)^$E2493*((Y2475+Y2484)/(X2475+X2484))^$F2493</f>
        <v/>
      </c>
      <c r="Z2493" s="44">
        <f>Y2493*$G2493*(1+Z$7)^$D2493*(Z2475/Y2475)^$E2493*((Z2475+Z2484)/(Y2475+Y2484))^$F2493</f>
        <v/>
      </c>
      <c r="AA2493" s="44">
        <f>Z2493*$G2493*(1+AA$7)^$D2493*(AA2475/Z2475)^$E2493*((AA2475+AA2484)/(Z2475+Z2484))^$F2493</f>
        <v/>
      </c>
      <c r="AB2493" s="44">
        <f>AA2493*$G2493*(1+AB$7)^$D2493*(AB2475/AA2475)^$E2493*((AB2475+AB2484)/(AA2475+AA2484))^$F2493</f>
        <v/>
      </c>
      <c r="AC2493" s="44">
        <f>AB2493*$G2493*(1+AC$7)^$D2493*(AC2475/AB2475)^$E2493*((AC2475+AC2484)/(AB2475+AB2484))^$F2493</f>
        <v/>
      </c>
      <c r="AD2493" s="44">
        <f>AC2493*$G2493*(1+AD$7)^$D2493*(AD2475/AC2475)^$E2493*((AD2475+AD2484)/(AC2475+AC2484))^$F2493</f>
        <v/>
      </c>
      <c r="AE2493" s="57">
        <f>FUELUSE(AD2493,AE2475,AD2475,AE2484,AD2484,AE$7,$D2493,$E2493,$F2493,$G2493)</f>
        <v/>
      </c>
      <c r="AG2493" s="11">
        <f>CodePrefix&amp;$A2493&amp;IF($C2493="","","."&amp;$C2493&amp;"."&amp;$B2493)&amp;INDEX(VarEnd,MATCH($A2493,VarKey,0))&amp;AG$5</f>
        <v/>
      </c>
      <c r="AH2493" s="43">
        <f>INDEX(Inputs!$X$5:$X$132,MATCH($B2493&amp;"|"&amp;$C2493,Inputs!$A$5:$A$132,0))</f>
        <v/>
      </c>
      <c r="AI2493" s="44">
        <f>AH2493*$G2493*(1+AI$7)^$D2493*(AI2475/AH2475)^$E2493*((AI2475+AI2484)/(AH2475+AH2484))^$F2493</f>
        <v/>
      </c>
      <c r="AJ2493" s="44">
        <f>AI2493*$G2493*(1+AJ$7)^$D2493*(AJ2475/AI2475)^$E2493*((AJ2475+AJ2484)/(AI2475+AI2484))^$F2493</f>
        <v/>
      </c>
      <c r="AK2493" s="44">
        <f>AJ2493*$G2493*(1+AK$7)^$D2493*(AK2475/AJ2475)^$E2493*((AK2475+AK2484)/(AJ2475+AJ2484))^$F2493</f>
        <v/>
      </c>
      <c r="AL2493" s="44">
        <f>AK2493*$G2493*(1+AL$7)^$D2493*(AL2475/AK2475)^$E2493*((AL2475+AL2484)/(AK2475+AK2484))^$F2493</f>
        <v/>
      </c>
      <c r="AM2493" s="44">
        <f>AL2493*$G2493*(1+AM$7)^$D2493*(AM2475/AL2475)^$E2493*((AM2475+AM2484)/(AL2475+AL2484))^$F2493</f>
        <v/>
      </c>
      <c r="AN2493" s="44">
        <f>AM2493*$G2493*(1+AN$7)^$D2493*(AN2475/AM2475)^$E2493*((AN2475+AN2484)/(AM2475+AM2484))^$F2493</f>
        <v/>
      </c>
      <c r="AO2493" s="44">
        <f>AN2493*$G2493*(1+AO$7)^$D2493*(AO2475/AN2475)^$E2493*((AO2475+AO2484)/(AN2475+AN2484))^$F2493</f>
        <v/>
      </c>
      <c r="AP2493" s="44">
        <f>AO2493*$G2493*(1+AP$7)^$D2493*(AP2475/AO2475)^$E2493*((AP2475+AP2484)/(AO2475+AO2484))^$F2493</f>
        <v/>
      </c>
      <c r="AQ2493" s="44">
        <f>AP2493*$G2493*(1+AQ$7)^$D2493*(AQ2475/AP2475)^$E2493*((AQ2475+AQ2484)/(AP2475+AP2484))^$F2493</f>
        <v/>
      </c>
      <c r="AR2493" s="44">
        <f>AQ2493*$G2493*(1+AR$7)^$D2493*(AR2475/AQ2475)^$E2493*((AR2475+AR2484)/(AQ2475+AQ2484))^$F2493</f>
        <v/>
      </c>
      <c r="AS2493" s="44">
        <f>AR2493*$G2493*(1+AS$7)^$D2493*(AS2475/AR2475)^$E2493*((AS2475+AS2484)/(AR2475+AR2484))^$F2493</f>
        <v/>
      </c>
      <c r="AT2493" s="44">
        <f>AS2493*$G2493*(1+AT$7)^$D2493*(AT2475/AS2475)^$E2493*((AT2475+AT2484)/(AS2475+AS2484))^$F2493</f>
        <v/>
      </c>
      <c r="AU2493" s="44">
        <f>AT2493*$G2493*(1+AU$7)^$D2493*(AU2475/AT2475)^$E2493*((AU2475+AU2484)/(AT2475+AT2484))^$F2493</f>
        <v/>
      </c>
      <c r="AV2493" s="44">
        <f>AU2493*$G2493*(1+AV$7)^$D2493*(AV2475/AU2475)^$E2493*((AV2475+AV2484)/(AU2475+AU2484))^$F2493</f>
        <v/>
      </c>
      <c r="AW2493" s="44">
        <f>AV2493*$G2493*(1+AW$7)^$D2493*(AW2475/AV2475)^$E2493*((AW2475+AW2484)/(AV2475+AV2484))^$F2493</f>
        <v/>
      </c>
      <c r="AX2493" s="44">
        <f>AW2493*$G2493*(1+AX$7)^$D2493*(AX2475/AW2475)^$E2493*((AX2475+AX2484)/(AW2475+AW2484))^$F2493</f>
        <v/>
      </c>
      <c r="AY2493" s="44">
        <f>AX2493*$G2493*(1+AY$7)^$D2493*(AY2475/AX2475)^$E2493*((AY2475+AY2484)/(AX2475+AX2484))^$F2493</f>
        <v/>
      </c>
      <c r="AZ2493" s="44">
        <f>AY2493*$G2493*(1+AZ$7)^$D2493*(AZ2475/AY2475)^$E2493*((AZ2475+AZ2484)/(AY2475+AY2484))^$F2493</f>
        <v/>
      </c>
      <c r="BA2493" s="57">
        <f>FUELUSE(AZ2493,BA2475,AZ2475,BA2484,AZ2484,BA$7,$D2493,$E2493,$F2493,$G2493)</f>
        <v/>
      </c>
    </row>
    <row r="2494" hidden="1" outlineLevel="2">
      <c r="A2494" s="14" t="inlineStr">
        <is>
          <t>ener</t>
        </is>
      </c>
      <c r="B2494" s="14" t="inlineStr">
        <is>
          <t>nga</t>
        </is>
      </c>
      <c r="C2494" s="14" t="inlineStr">
        <is>
          <t>cem</t>
        </is>
      </c>
      <c r="D2494" s="35">
        <f>INDEX(Inputs!$O$5:$O$132,MATCH($B2494&amp;"|"&amp;$C2494,Inputs!$A$5:$A$132,0))</f>
        <v/>
      </c>
      <c r="E2494" s="35">
        <f>INDEX(Inputs!$P$5:$P$132,MATCH($B2494&amp;"|"&amp;$C2494,Inputs!$A$5:$A$132,0))</f>
        <v/>
      </c>
      <c r="F2494" s="35">
        <f>INDEX(Inputs!$T$5:$T$132,MATCH($B2494&amp;"|"&amp;$C2494,Inputs!$A$5:$A$132,0))</f>
        <v/>
      </c>
      <c r="G2494" s="35">
        <f>INDEX(Inputs!$S$5:$S$132,MATCH($B2494&amp;"|"&amp;$C2494,Inputs!$A$5:$A$132,0))</f>
        <v/>
      </c>
      <c r="H2494" s="14">
        <f>INDEX(VarLab,MATCH($A2494,VarKey,0))&amp;INDEX(MemLab,MATCH($C2494&amp;"|"&amp;$B2494,MemKey,0))</f>
        <v/>
      </c>
      <c r="I2494" s="14">
        <f>INDEX(VarUnit,MATCH($A2494,VarKey,0))</f>
        <v/>
      </c>
      <c r="J2494" s="14">
        <f>INDEX(VarSrc,MATCH($A2494,VarKey,0))</f>
        <v/>
      </c>
      <c r="K2494" s="11">
        <f>CodePrefix&amp;$A2494&amp;IF($C2494="","","."&amp;$C2494&amp;"."&amp;$B2494)&amp;INDEX(VarEnd,MATCH($A2494,VarKey,0))&amp;K$5</f>
        <v/>
      </c>
      <c r="L2494" s="43">
        <f>INDEX(Inputs!$X$5:$X$132,MATCH($B2494&amp;"|"&amp;$C2494,Inputs!$A$5:$A$132,0))</f>
        <v/>
      </c>
      <c r="M2494" s="44">
        <f>L2494*$G2494*(1+M$7)^$D2494*(M2476/L2476)^$E2494*((M2476+M2485)/(L2476+L2485))^$F2494</f>
        <v/>
      </c>
      <c r="N2494" s="44">
        <f>M2494*$G2494*(1+N$7)^$D2494*(N2476/M2476)^$E2494*((N2476+N2485)/(M2476+M2485))^$F2494</f>
        <v/>
      </c>
      <c r="O2494" s="44">
        <f>N2494*$G2494*(1+O$7)^$D2494*(O2476/N2476)^$E2494*((O2476+O2485)/(N2476+N2485))^$F2494</f>
        <v/>
      </c>
      <c r="P2494" s="44">
        <f>O2494*$G2494*(1+P$7)^$D2494*(P2476/O2476)^$E2494*((P2476+P2485)/(O2476+O2485))^$F2494</f>
        <v/>
      </c>
      <c r="Q2494" s="44">
        <f>P2494*$G2494*(1+Q$7)^$D2494*(Q2476/P2476)^$E2494*((Q2476+Q2485)/(P2476+P2485))^$F2494</f>
        <v/>
      </c>
      <c r="R2494" s="44">
        <f>Q2494*$G2494*(1+R$7)^$D2494*(R2476/Q2476)^$E2494*((R2476+R2485)/(Q2476+Q2485))^$F2494</f>
        <v/>
      </c>
      <c r="S2494" s="44">
        <f>R2494*$G2494*(1+S$7)^$D2494*(S2476/R2476)^$E2494*((S2476+S2485)/(R2476+R2485))^$F2494</f>
        <v/>
      </c>
      <c r="T2494" s="44">
        <f>S2494*$G2494*(1+T$7)^$D2494*(T2476/S2476)^$E2494*((T2476+T2485)/(S2476+S2485))^$F2494</f>
        <v/>
      </c>
      <c r="U2494" s="44">
        <f>T2494*$G2494*(1+U$7)^$D2494*(U2476/T2476)^$E2494*((U2476+U2485)/(T2476+T2485))^$F2494</f>
        <v/>
      </c>
      <c r="V2494" s="44">
        <f>U2494*$G2494*(1+V$7)^$D2494*(V2476/U2476)^$E2494*((V2476+V2485)/(U2476+U2485))^$F2494</f>
        <v/>
      </c>
      <c r="W2494" s="44">
        <f>V2494*$G2494*(1+W$7)^$D2494*(W2476/V2476)^$E2494*((W2476+W2485)/(V2476+V2485))^$F2494</f>
        <v/>
      </c>
      <c r="X2494" s="44">
        <f>W2494*$G2494*(1+X$7)^$D2494*(X2476/W2476)^$E2494*((X2476+X2485)/(W2476+W2485))^$F2494</f>
        <v/>
      </c>
      <c r="Y2494" s="44">
        <f>X2494*$G2494*(1+Y$7)^$D2494*(Y2476/X2476)^$E2494*((Y2476+Y2485)/(X2476+X2485))^$F2494</f>
        <v/>
      </c>
      <c r="Z2494" s="44">
        <f>Y2494*$G2494*(1+Z$7)^$D2494*(Z2476/Y2476)^$E2494*((Z2476+Z2485)/(Y2476+Y2485))^$F2494</f>
        <v/>
      </c>
      <c r="AA2494" s="44">
        <f>Z2494*$G2494*(1+AA$7)^$D2494*(AA2476/Z2476)^$E2494*((AA2476+AA2485)/(Z2476+Z2485))^$F2494</f>
        <v/>
      </c>
      <c r="AB2494" s="44">
        <f>AA2494*$G2494*(1+AB$7)^$D2494*(AB2476/AA2476)^$E2494*((AB2476+AB2485)/(AA2476+AA2485))^$F2494</f>
        <v/>
      </c>
      <c r="AC2494" s="44">
        <f>AB2494*$G2494*(1+AC$7)^$D2494*(AC2476/AB2476)^$E2494*((AC2476+AC2485)/(AB2476+AB2485))^$F2494</f>
        <v/>
      </c>
      <c r="AD2494" s="44">
        <f>AC2494*$G2494*(1+AD$7)^$D2494*(AD2476/AC2476)^$E2494*((AD2476+AD2485)/(AC2476+AC2485))^$F2494</f>
        <v/>
      </c>
      <c r="AE2494" s="57">
        <f>FUELUSE(AD2494,AE2476,AD2476,AE2485,AD2485,AE$7,$D2494,$E2494,$F2494,$G2494)</f>
        <v/>
      </c>
      <c r="AG2494" s="11">
        <f>CodePrefix&amp;$A2494&amp;IF($C2494="","","."&amp;$C2494&amp;"."&amp;$B2494)&amp;INDEX(VarEnd,MATCH($A2494,VarKey,0))&amp;AG$5</f>
        <v/>
      </c>
      <c r="AH2494" s="43">
        <f>INDEX(Inputs!$X$5:$X$132,MATCH($B2494&amp;"|"&amp;$C2494,Inputs!$A$5:$A$132,0))</f>
        <v/>
      </c>
      <c r="AI2494" s="44">
        <f>AH2494*$G2494*(1+AI$7)^$D2494*(AI2476/AH2476)^$E2494*((AI2476+AI2485)/(AH2476+AH2485))^$F2494</f>
        <v/>
      </c>
      <c r="AJ2494" s="44">
        <f>AI2494*$G2494*(1+AJ$7)^$D2494*(AJ2476/AI2476)^$E2494*((AJ2476+AJ2485)/(AI2476+AI2485))^$F2494</f>
        <v/>
      </c>
      <c r="AK2494" s="44">
        <f>AJ2494*$G2494*(1+AK$7)^$D2494*(AK2476/AJ2476)^$E2494*((AK2476+AK2485)/(AJ2476+AJ2485))^$F2494</f>
        <v/>
      </c>
      <c r="AL2494" s="44">
        <f>AK2494*$G2494*(1+AL$7)^$D2494*(AL2476/AK2476)^$E2494*((AL2476+AL2485)/(AK2476+AK2485))^$F2494</f>
        <v/>
      </c>
      <c r="AM2494" s="44">
        <f>AL2494*$G2494*(1+AM$7)^$D2494*(AM2476/AL2476)^$E2494*((AM2476+AM2485)/(AL2476+AL2485))^$F2494</f>
        <v/>
      </c>
      <c r="AN2494" s="44">
        <f>AM2494*$G2494*(1+AN$7)^$D2494*(AN2476/AM2476)^$E2494*((AN2476+AN2485)/(AM2476+AM2485))^$F2494</f>
        <v/>
      </c>
      <c r="AO2494" s="44">
        <f>AN2494*$G2494*(1+AO$7)^$D2494*(AO2476/AN2476)^$E2494*((AO2476+AO2485)/(AN2476+AN2485))^$F2494</f>
        <v/>
      </c>
      <c r="AP2494" s="44">
        <f>AO2494*$G2494*(1+AP$7)^$D2494*(AP2476/AO2476)^$E2494*((AP2476+AP2485)/(AO2476+AO2485))^$F2494</f>
        <v/>
      </c>
      <c r="AQ2494" s="44">
        <f>AP2494*$G2494*(1+AQ$7)^$D2494*(AQ2476/AP2476)^$E2494*((AQ2476+AQ2485)/(AP2476+AP2485))^$F2494</f>
        <v/>
      </c>
      <c r="AR2494" s="44">
        <f>AQ2494*$G2494*(1+AR$7)^$D2494*(AR2476/AQ2476)^$E2494*((AR2476+AR2485)/(AQ2476+AQ2485))^$F2494</f>
        <v/>
      </c>
      <c r="AS2494" s="44">
        <f>AR2494*$G2494*(1+AS$7)^$D2494*(AS2476/AR2476)^$E2494*((AS2476+AS2485)/(AR2476+AR2485))^$F2494</f>
        <v/>
      </c>
      <c r="AT2494" s="44">
        <f>AS2494*$G2494*(1+AT$7)^$D2494*(AT2476/AS2476)^$E2494*((AT2476+AT2485)/(AS2476+AS2485))^$F2494</f>
        <v/>
      </c>
      <c r="AU2494" s="44">
        <f>AT2494*$G2494*(1+AU$7)^$D2494*(AU2476/AT2476)^$E2494*((AU2476+AU2485)/(AT2476+AT2485))^$F2494</f>
        <v/>
      </c>
      <c r="AV2494" s="44">
        <f>AU2494*$G2494*(1+AV$7)^$D2494*(AV2476/AU2476)^$E2494*((AV2476+AV2485)/(AU2476+AU2485))^$F2494</f>
        <v/>
      </c>
      <c r="AW2494" s="44">
        <f>AV2494*$G2494*(1+AW$7)^$D2494*(AW2476/AV2476)^$E2494*((AW2476+AW2485)/(AV2476+AV2485))^$F2494</f>
        <v/>
      </c>
      <c r="AX2494" s="44">
        <f>AW2494*$G2494*(1+AX$7)^$D2494*(AX2476/AW2476)^$E2494*((AX2476+AX2485)/(AW2476+AW2485))^$F2494</f>
        <v/>
      </c>
      <c r="AY2494" s="44">
        <f>AX2494*$G2494*(1+AY$7)^$D2494*(AY2476/AX2476)^$E2494*((AY2476+AY2485)/(AX2476+AX2485))^$F2494</f>
        <v/>
      </c>
      <c r="AZ2494" s="44">
        <f>AY2494*$G2494*(1+AZ$7)^$D2494*(AZ2476/AY2476)^$E2494*((AZ2476+AZ2485)/(AY2476+AY2485))^$F2494</f>
        <v/>
      </c>
      <c r="BA2494" s="57">
        <f>FUELUSE(AZ2494,BA2476,AZ2476,BA2485,AZ2485,BA$7,$D2494,$E2494,$F2494,$G2494)</f>
        <v/>
      </c>
    </row>
    <row r="2495" hidden="1" outlineLevel="2">
      <c r="A2495" s="14" t="inlineStr">
        <is>
          <t>ener</t>
        </is>
      </c>
      <c r="B2495" s="14" t="inlineStr">
        <is>
          <t>gso</t>
        </is>
      </c>
      <c r="C2495" s="14" t="inlineStr">
        <is>
          <t>cem</t>
        </is>
      </c>
      <c r="D2495" s="35">
        <f>INDEX(Inputs!$O$5:$O$132,MATCH($B2495&amp;"|"&amp;$C2495,Inputs!$A$5:$A$132,0))</f>
        <v/>
      </c>
      <c r="E2495" s="35">
        <f>INDEX(Inputs!$P$5:$P$132,MATCH($B2495&amp;"|"&amp;$C2495,Inputs!$A$5:$A$132,0))</f>
        <v/>
      </c>
      <c r="F2495" s="35">
        <f>INDEX(Inputs!$T$5:$T$132,MATCH($B2495&amp;"|"&amp;$C2495,Inputs!$A$5:$A$132,0))</f>
        <v/>
      </c>
      <c r="G2495" s="35">
        <f>INDEX(Inputs!$S$5:$S$132,MATCH($B2495&amp;"|"&amp;$C2495,Inputs!$A$5:$A$132,0))</f>
        <v/>
      </c>
      <c r="H2495" s="14">
        <f>INDEX(VarLab,MATCH($A2495,VarKey,0))&amp;INDEX(MemLab,MATCH($C2495&amp;"|"&amp;$B2495,MemKey,0))</f>
        <v/>
      </c>
      <c r="I2495" s="14">
        <f>INDEX(VarUnit,MATCH($A2495,VarKey,0))</f>
        <v/>
      </c>
      <c r="J2495" s="14">
        <f>INDEX(VarSrc,MATCH($A2495,VarKey,0))</f>
        <v/>
      </c>
      <c r="K2495" s="11">
        <f>CodePrefix&amp;$A2495&amp;IF($C2495="","","."&amp;$C2495&amp;"."&amp;$B2495)&amp;INDEX(VarEnd,MATCH($A2495,VarKey,0))&amp;K$5</f>
        <v/>
      </c>
      <c r="L2495" s="43">
        <f>INDEX(Inputs!$X$5:$X$132,MATCH($B2495&amp;"|"&amp;$C2495,Inputs!$A$5:$A$132,0))</f>
        <v/>
      </c>
      <c r="M2495" s="44">
        <f>L2495*$G2495*(1+M$7)^$D2495*(M2477/L2477)^$E2495*((M2477+M2486)/(L2477+L2486))^$F2495</f>
        <v/>
      </c>
      <c r="N2495" s="44">
        <f>M2495*$G2495*(1+N$7)^$D2495*(N2477/M2477)^$E2495*((N2477+N2486)/(M2477+M2486))^$F2495</f>
        <v/>
      </c>
      <c r="O2495" s="44">
        <f>N2495*$G2495*(1+O$7)^$D2495*(O2477/N2477)^$E2495*((O2477+O2486)/(N2477+N2486))^$F2495</f>
        <v/>
      </c>
      <c r="P2495" s="44">
        <f>O2495*$G2495*(1+P$7)^$D2495*(P2477/O2477)^$E2495*((P2477+P2486)/(O2477+O2486))^$F2495</f>
        <v/>
      </c>
      <c r="Q2495" s="44">
        <f>P2495*$G2495*(1+Q$7)^$D2495*(Q2477/P2477)^$E2495*((Q2477+Q2486)/(P2477+P2486))^$F2495</f>
        <v/>
      </c>
      <c r="R2495" s="44">
        <f>Q2495*$G2495*(1+R$7)^$D2495*(R2477/Q2477)^$E2495*((R2477+R2486)/(Q2477+Q2486))^$F2495</f>
        <v/>
      </c>
      <c r="S2495" s="44">
        <f>R2495*$G2495*(1+S$7)^$D2495*(S2477/R2477)^$E2495*((S2477+S2486)/(R2477+R2486))^$F2495</f>
        <v/>
      </c>
      <c r="T2495" s="44">
        <f>S2495*$G2495*(1+T$7)^$D2495*(T2477/S2477)^$E2495*((T2477+T2486)/(S2477+S2486))^$F2495</f>
        <v/>
      </c>
      <c r="U2495" s="44">
        <f>T2495*$G2495*(1+U$7)^$D2495*(U2477/T2477)^$E2495*((U2477+U2486)/(T2477+T2486))^$F2495</f>
        <v/>
      </c>
      <c r="V2495" s="44">
        <f>U2495*$G2495*(1+V$7)^$D2495*(V2477/U2477)^$E2495*((V2477+V2486)/(U2477+U2486))^$F2495</f>
        <v/>
      </c>
      <c r="W2495" s="44">
        <f>V2495*$G2495*(1+W$7)^$D2495*(W2477/V2477)^$E2495*((W2477+W2486)/(V2477+V2486))^$F2495</f>
        <v/>
      </c>
      <c r="X2495" s="44">
        <f>W2495*$G2495*(1+X$7)^$D2495*(X2477/W2477)^$E2495*((X2477+X2486)/(W2477+W2486))^$F2495</f>
        <v/>
      </c>
      <c r="Y2495" s="44">
        <f>X2495*$G2495*(1+Y$7)^$D2495*(Y2477/X2477)^$E2495*((Y2477+Y2486)/(X2477+X2486))^$F2495</f>
        <v/>
      </c>
      <c r="Z2495" s="44">
        <f>Y2495*$G2495*(1+Z$7)^$D2495*(Z2477/Y2477)^$E2495*((Z2477+Z2486)/(Y2477+Y2486))^$F2495</f>
        <v/>
      </c>
      <c r="AA2495" s="44">
        <f>Z2495*$G2495*(1+AA$7)^$D2495*(AA2477/Z2477)^$E2495*((AA2477+AA2486)/(Z2477+Z2486))^$F2495</f>
        <v/>
      </c>
      <c r="AB2495" s="44">
        <f>AA2495*$G2495*(1+AB$7)^$D2495*(AB2477/AA2477)^$E2495*((AB2477+AB2486)/(AA2477+AA2486))^$F2495</f>
        <v/>
      </c>
      <c r="AC2495" s="44">
        <f>AB2495*$G2495*(1+AC$7)^$D2495*(AC2477/AB2477)^$E2495*((AC2477+AC2486)/(AB2477+AB2486))^$F2495</f>
        <v/>
      </c>
      <c r="AD2495" s="44">
        <f>AC2495*$G2495*(1+AD$7)^$D2495*(AD2477/AC2477)^$E2495*((AD2477+AD2486)/(AC2477+AC2486))^$F2495</f>
        <v/>
      </c>
      <c r="AE2495" s="57">
        <f>FUELUSE(AD2495,AE2477,AD2477,AE2486,AD2486,AE$7,$D2495,$E2495,$F2495,$G2495)</f>
        <v/>
      </c>
      <c r="AG2495" s="11">
        <f>CodePrefix&amp;$A2495&amp;IF($C2495="","","."&amp;$C2495&amp;"."&amp;$B2495)&amp;INDEX(VarEnd,MATCH($A2495,VarKey,0))&amp;AG$5</f>
        <v/>
      </c>
      <c r="AH2495" s="43">
        <f>INDEX(Inputs!$X$5:$X$132,MATCH($B2495&amp;"|"&amp;$C2495,Inputs!$A$5:$A$132,0))</f>
        <v/>
      </c>
      <c r="AI2495" s="44">
        <f>AH2495*$G2495*(1+AI$7)^$D2495*(AI2477/AH2477)^$E2495*((AI2477+AI2486)/(AH2477+AH2486))^$F2495</f>
        <v/>
      </c>
      <c r="AJ2495" s="44">
        <f>AI2495*$G2495*(1+AJ$7)^$D2495*(AJ2477/AI2477)^$E2495*((AJ2477+AJ2486)/(AI2477+AI2486))^$F2495</f>
        <v/>
      </c>
      <c r="AK2495" s="44">
        <f>AJ2495*$G2495*(1+AK$7)^$D2495*(AK2477/AJ2477)^$E2495*((AK2477+AK2486)/(AJ2477+AJ2486))^$F2495</f>
        <v/>
      </c>
      <c r="AL2495" s="44">
        <f>AK2495*$G2495*(1+AL$7)^$D2495*(AL2477/AK2477)^$E2495*((AL2477+AL2486)/(AK2477+AK2486))^$F2495</f>
        <v/>
      </c>
      <c r="AM2495" s="44">
        <f>AL2495*$G2495*(1+AM$7)^$D2495*(AM2477/AL2477)^$E2495*((AM2477+AM2486)/(AL2477+AL2486))^$F2495</f>
        <v/>
      </c>
      <c r="AN2495" s="44">
        <f>AM2495*$G2495*(1+AN$7)^$D2495*(AN2477/AM2477)^$E2495*((AN2477+AN2486)/(AM2477+AM2486))^$F2495</f>
        <v/>
      </c>
      <c r="AO2495" s="44">
        <f>AN2495*$G2495*(1+AO$7)^$D2495*(AO2477/AN2477)^$E2495*((AO2477+AO2486)/(AN2477+AN2486))^$F2495</f>
        <v/>
      </c>
      <c r="AP2495" s="44">
        <f>AO2495*$G2495*(1+AP$7)^$D2495*(AP2477/AO2477)^$E2495*((AP2477+AP2486)/(AO2477+AO2486))^$F2495</f>
        <v/>
      </c>
      <c r="AQ2495" s="44">
        <f>AP2495*$G2495*(1+AQ$7)^$D2495*(AQ2477/AP2477)^$E2495*((AQ2477+AQ2486)/(AP2477+AP2486))^$F2495</f>
        <v/>
      </c>
      <c r="AR2495" s="44">
        <f>AQ2495*$G2495*(1+AR$7)^$D2495*(AR2477/AQ2477)^$E2495*((AR2477+AR2486)/(AQ2477+AQ2486))^$F2495</f>
        <v/>
      </c>
      <c r="AS2495" s="44">
        <f>AR2495*$G2495*(1+AS$7)^$D2495*(AS2477/AR2477)^$E2495*((AS2477+AS2486)/(AR2477+AR2486))^$F2495</f>
        <v/>
      </c>
      <c r="AT2495" s="44">
        <f>AS2495*$G2495*(1+AT$7)^$D2495*(AT2477/AS2477)^$E2495*((AT2477+AT2486)/(AS2477+AS2486))^$F2495</f>
        <v/>
      </c>
      <c r="AU2495" s="44">
        <f>AT2495*$G2495*(1+AU$7)^$D2495*(AU2477/AT2477)^$E2495*((AU2477+AU2486)/(AT2477+AT2486))^$F2495</f>
        <v/>
      </c>
      <c r="AV2495" s="44">
        <f>AU2495*$G2495*(1+AV$7)^$D2495*(AV2477/AU2477)^$E2495*((AV2477+AV2486)/(AU2477+AU2486))^$F2495</f>
        <v/>
      </c>
      <c r="AW2495" s="44">
        <f>AV2495*$G2495*(1+AW$7)^$D2495*(AW2477/AV2477)^$E2495*((AW2477+AW2486)/(AV2477+AV2486))^$F2495</f>
        <v/>
      </c>
      <c r="AX2495" s="44">
        <f>AW2495*$G2495*(1+AX$7)^$D2495*(AX2477/AW2477)^$E2495*((AX2477+AX2486)/(AW2477+AW2486))^$F2495</f>
        <v/>
      </c>
      <c r="AY2495" s="44">
        <f>AX2495*$G2495*(1+AY$7)^$D2495*(AY2477/AX2477)^$E2495*((AY2477+AY2486)/(AX2477+AX2486))^$F2495</f>
        <v/>
      </c>
      <c r="AZ2495" s="44">
        <f>AY2495*$G2495*(1+AZ$7)^$D2495*(AZ2477/AY2477)^$E2495*((AZ2477+AZ2486)/(AY2477+AY2486))^$F2495</f>
        <v/>
      </c>
      <c r="BA2495" s="57">
        <f>FUELUSE(AZ2495,BA2477,AZ2477,BA2486,AZ2486,BA$7,$D2495,$E2495,$F2495,$G2495)</f>
        <v/>
      </c>
    </row>
    <row r="2496" hidden="1" outlineLevel="2">
      <c r="A2496" s="14" t="inlineStr">
        <is>
          <t>ener</t>
        </is>
      </c>
      <c r="B2496" s="14" t="inlineStr">
        <is>
          <t>die</t>
        </is>
      </c>
      <c r="C2496" s="14" t="inlineStr">
        <is>
          <t>cem</t>
        </is>
      </c>
      <c r="D2496" s="35">
        <f>INDEX(Inputs!$O$5:$O$132,MATCH($B2496&amp;"|"&amp;$C2496,Inputs!$A$5:$A$132,0))</f>
        <v/>
      </c>
      <c r="E2496" s="35">
        <f>INDEX(Inputs!$P$5:$P$132,MATCH($B2496&amp;"|"&amp;$C2496,Inputs!$A$5:$A$132,0))</f>
        <v/>
      </c>
      <c r="F2496" s="35">
        <f>INDEX(Inputs!$T$5:$T$132,MATCH($B2496&amp;"|"&amp;$C2496,Inputs!$A$5:$A$132,0))</f>
        <v/>
      </c>
      <c r="G2496" s="35">
        <f>INDEX(Inputs!$S$5:$S$132,MATCH($B2496&amp;"|"&amp;$C2496,Inputs!$A$5:$A$132,0))</f>
        <v/>
      </c>
      <c r="H2496" s="14">
        <f>INDEX(VarLab,MATCH($A2496,VarKey,0))&amp;INDEX(MemLab,MATCH($C2496&amp;"|"&amp;$B2496,MemKey,0))</f>
        <v/>
      </c>
      <c r="I2496" s="14">
        <f>INDEX(VarUnit,MATCH($A2496,VarKey,0))</f>
        <v/>
      </c>
      <c r="J2496" s="14">
        <f>INDEX(VarSrc,MATCH($A2496,VarKey,0))</f>
        <v/>
      </c>
      <c r="K2496" s="11">
        <f>CodePrefix&amp;$A2496&amp;IF($C2496="","","."&amp;$C2496&amp;"."&amp;$B2496)&amp;INDEX(VarEnd,MATCH($A2496,VarKey,0))&amp;K$5</f>
        <v/>
      </c>
      <c r="L2496" s="43">
        <f>INDEX(Inputs!$X$5:$X$132,MATCH($B2496&amp;"|"&amp;$C2496,Inputs!$A$5:$A$132,0))</f>
        <v/>
      </c>
      <c r="M2496" s="44">
        <f>L2496*$G2496*(1+M$7)^$D2496*(M2478/L2478)^$E2496*((M2478+M2487)/(L2478+L2487))^$F2496</f>
        <v/>
      </c>
      <c r="N2496" s="44">
        <f>M2496*$G2496*(1+N$7)^$D2496*(N2478/M2478)^$E2496*((N2478+N2487)/(M2478+M2487))^$F2496</f>
        <v/>
      </c>
      <c r="O2496" s="44">
        <f>N2496*$G2496*(1+O$7)^$D2496*(O2478/N2478)^$E2496*((O2478+O2487)/(N2478+N2487))^$F2496</f>
        <v/>
      </c>
      <c r="P2496" s="44">
        <f>O2496*$G2496*(1+P$7)^$D2496*(P2478/O2478)^$E2496*((P2478+P2487)/(O2478+O2487))^$F2496</f>
        <v/>
      </c>
      <c r="Q2496" s="44">
        <f>P2496*$G2496*(1+Q$7)^$D2496*(Q2478/P2478)^$E2496*((Q2478+Q2487)/(P2478+P2487))^$F2496</f>
        <v/>
      </c>
      <c r="R2496" s="44">
        <f>Q2496*$G2496*(1+R$7)^$D2496*(R2478/Q2478)^$E2496*((R2478+R2487)/(Q2478+Q2487))^$F2496</f>
        <v/>
      </c>
      <c r="S2496" s="44">
        <f>R2496*$G2496*(1+S$7)^$D2496*(S2478/R2478)^$E2496*((S2478+S2487)/(R2478+R2487))^$F2496</f>
        <v/>
      </c>
      <c r="T2496" s="44">
        <f>S2496*$G2496*(1+T$7)^$D2496*(T2478/S2478)^$E2496*((T2478+T2487)/(S2478+S2487))^$F2496</f>
        <v/>
      </c>
      <c r="U2496" s="44">
        <f>T2496*$G2496*(1+U$7)^$D2496*(U2478/T2478)^$E2496*((U2478+U2487)/(T2478+T2487))^$F2496</f>
        <v/>
      </c>
      <c r="V2496" s="44">
        <f>U2496*$G2496*(1+V$7)^$D2496*(V2478/U2478)^$E2496*((V2478+V2487)/(U2478+U2487))^$F2496</f>
        <v/>
      </c>
      <c r="W2496" s="44">
        <f>V2496*$G2496*(1+W$7)^$D2496*(W2478/V2478)^$E2496*((W2478+W2487)/(V2478+V2487))^$F2496</f>
        <v/>
      </c>
      <c r="X2496" s="44">
        <f>W2496*$G2496*(1+X$7)^$D2496*(X2478/W2478)^$E2496*((X2478+X2487)/(W2478+W2487))^$F2496</f>
        <v/>
      </c>
      <c r="Y2496" s="44">
        <f>X2496*$G2496*(1+Y$7)^$D2496*(Y2478/X2478)^$E2496*((Y2478+Y2487)/(X2478+X2487))^$F2496</f>
        <v/>
      </c>
      <c r="Z2496" s="44">
        <f>Y2496*$G2496*(1+Z$7)^$D2496*(Z2478/Y2478)^$E2496*((Z2478+Z2487)/(Y2478+Y2487))^$F2496</f>
        <v/>
      </c>
      <c r="AA2496" s="44">
        <f>Z2496*$G2496*(1+AA$7)^$D2496*(AA2478/Z2478)^$E2496*((AA2478+AA2487)/(Z2478+Z2487))^$F2496</f>
        <v/>
      </c>
      <c r="AB2496" s="44">
        <f>AA2496*$G2496*(1+AB$7)^$D2496*(AB2478/AA2478)^$E2496*((AB2478+AB2487)/(AA2478+AA2487))^$F2496</f>
        <v/>
      </c>
      <c r="AC2496" s="44">
        <f>AB2496*$G2496*(1+AC$7)^$D2496*(AC2478/AB2478)^$E2496*((AC2478+AC2487)/(AB2478+AB2487))^$F2496</f>
        <v/>
      </c>
      <c r="AD2496" s="44">
        <f>AC2496*$G2496*(1+AD$7)^$D2496*(AD2478/AC2478)^$E2496*((AD2478+AD2487)/(AC2478+AC2487))^$F2496</f>
        <v/>
      </c>
      <c r="AE2496" s="57">
        <f>FUELUSE(AD2496,AE2478,AD2478,AE2487,AD2487,AE$7,$D2496,$E2496,$F2496,$G2496)</f>
        <v/>
      </c>
      <c r="AG2496" s="11">
        <f>CodePrefix&amp;$A2496&amp;IF($C2496="","","."&amp;$C2496&amp;"."&amp;$B2496)&amp;INDEX(VarEnd,MATCH($A2496,VarKey,0))&amp;AG$5</f>
        <v/>
      </c>
      <c r="AH2496" s="43">
        <f>INDEX(Inputs!$X$5:$X$132,MATCH($B2496&amp;"|"&amp;$C2496,Inputs!$A$5:$A$132,0))</f>
        <v/>
      </c>
      <c r="AI2496" s="44">
        <f>AH2496*$G2496*(1+AI$7)^$D2496*(AI2478/AH2478)^$E2496*((AI2478+AI2487)/(AH2478+AH2487))^$F2496</f>
        <v/>
      </c>
      <c r="AJ2496" s="44">
        <f>AI2496*$G2496*(1+AJ$7)^$D2496*(AJ2478/AI2478)^$E2496*((AJ2478+AJ2487)/(AI2478+AI2487))^$F2496</f>
        <v/>
      </c>
      <c r="AK2496" s="44">
        <f>AJ2496*$G2496*(1+AK$7)^$D2496*(AK2478/AJ2478)^$E2496*((AK2478+AK2487)/(AJ2478+AJ2487))^$F2496</f>
        <v/>
      </c>
      <c r="AL2496" s="44">
        <f>AK2496*$G2496*(1+AL$7)^$D2496*(AL2478/AK2478)^$E2496*((AL2478+AL2487)/(AK2478+AK2487))^$F2496</f>
        <v/>
      </c>
      <c r="AM2496" s="44">
        <f>AL2496*$G2496*(1+AM$7)^$D2496*(AM2478/AL2478)^$E2496*((AM2478+AM2487)/(AL2478+AL2487))^$F2496</f>
        <v/>
      </c>
      <c r="AN2496" s="44">
        <f>AM2496*$G2496*(1+AN$7)^$D2496*(AN2478/AM2478)^$E2496*((AN2478+AN2487)/(AM2478+AM2487))^$F2496</f>
        <v/>
      </c>
      <c r="AO2496" s="44">
        <f>AN2496*$G2496*(1+AO$7)^$D2496*(AO2478/AN2478)^$E2496*((AO2478+AO2487)/(AN2478+AN2487))^$F2496</f>
        <v/>
      </c>
      <c r="AP2496" s="44">
        <f>AO2496*$G2496*(1+AP$7)^$D2496*(AP2478/AO2478)^$E2496*((AP2478+AP2487)/(AO2478+AO2487))^$F2496</f>
        <v/>
      </c>
      <c r="AQ2496" s="44">
        <f>AP2496*$G2496*(1+AQ$7)^$D2496*(AQ2478/AP2478)^$E2496*((AQ2478+AQ2487)/(AP2478+AP2487))^$F2496</f>
        <v/>
      </c>
      <c r="AR2496" s="44">
        <f>AQ2496*$G2496*(1+AR$7)^$D2496*(AR2478/AQ2478)^$E2496*((AR2478+AR2487)/(AQ2478+AQ2487))^$F2496</f>
        <v/>
      </c>
      <c r="AS2496" s="44">
        <f>AR2496*$G2496*(1+AS$7)^$D2496*(AS2478/AR2478)^$E2496*((AS2478+AS2487)/(AR2478+AR2487))^$F2496</f>
        <v/>
      </c>
      <c r="AT2496" s="44">
        <f>AS2496*$G2496*(1+AT$7)^$D2496*(AT2478/AS2478)^$E2496*((AT2478+AT2487)/(AS2478+AS2487))^$F2496</f>
        <v/>
      </c>
      <c r="AU2496" s="44">
        <f>AT2496*$G2496*(1+AU$7)^$D2496*(AU2478/AT2478)^$E2496*((AU2478+AU2487)/(AT2478+AT2487))^$F2496</f>
        <v/>
      </c>
      <c r="AV2496" s="44">
        <f>AU2496*$G2496*(1+AV$7)^$D2496*(AV2478/AU2478)^$E2496*((AV2478+AV2487)/(AU2478+AU2487))^$F2496</f>
        <v/>
      </c>
      <c r="AW2496" s="44">
        <f>AV2496*$G2496*(1+AW$7)^$D2496*(AW2478/AV2478)^$E2496*((AW2478+AW2487)/(AV2478+AV2487))^$F2496</f>
        <v/>
      </c>
      <c r="AX2496" s="44">
        <f>AW2496*$G2496*(1+AX$7)^$D2496*(AX2478/AW2478)^$E2496*((AX2478+AX2487)/(AW2478+AW2487))^$F2496</f>
        <v/>
      </c>
      <c r="AY2496" s="44">
        <f>AX2496*$G2496*(1+AY$7)^$D2496*(AY2478/AX2478)^$E2496*((AY2478+AY2487)/(AX2478+AX2487))^$F2496</f>
        <v/>
      </c>
      <c r="AZ2496" s="44">
        <f>AY2496*$G2496*(1+AZ$7)^$D2496*(AZ2478/AY2478)^$E2496*((AZ2478+AZ2487)/(AY2478+AY2487))^$F2496</f>
        <v/>
      </c>
      <c r="BA2496" s="57">
        <f>FUELUSE(AZ2496,BA2478,AZ2478,BA2487,AZ2487,BA$7,$D2496,$E2496,$F2496,$G2496)</f>
        <v/>
      </c>
    </row>
    <row r="2497" hidden="1" outlineLevel="2">
      <c r="A2497" s="14" t="inlineStr">
        <is>
          <t>ener</t>
        </is>
      </c>
      <c r="B2497" s="14" t="inlineStr">
        <is>
          <t>lpg</t>
        </is>
      </c>
      <c r="C2497" s="14" t="inlineStr">
        <is>
          <t>cem</t>
        </is>
      </c>
      <c r="D2497" s="35">
        <f>INDEX(Inputs!$O$5:$O$132,MATCH($B2497&amp;"|"&amp;$C2497,Inputs!$A$5:$A$132,0))</f>
        <v/>
      </c>
      <c r="E2497" s="35">
        <f>INDEX(Inputs!$P$5:$P$132,MATCH($B2497&amp;"|"&amp;$C2497,Inputs!$A$5:$A$132,0))</f>
        <v/>
      </c>
      <c r="F2497" s="35">
        <f>INDEX(Inputs!$T$5:$T$132,MATCH($B2497&amp;"|"&amp;$C2497,Inputs!$A$5:$A$132,0))</f>
        <v/>
      </c>
      <c r="G2497" s="35">
        <f>INDEX(Inputs!$S$5:$S$132,MATCH($B2497&amp;"|"&amp;$C2497,Inputs!$A$5:$A$132,0))</f>
        <v/>
      </c>
      <c r="H2497" s="14">
        <f>INDEX(VarLab,MATCH($A2497,VarKey,0))&amp;INDEX(MemLab,MATCH($C2497&amp;"|"&amp;$B2497,MemKey,0))</f>
        <v/>
      </c>
      <c r="I2497" s="14">
        <f>INDEX(VarUnit,MATCH($A2497,VarKey,0))</f>
        <v/>
      </c>
      <c r="J2497" s="14">
        <f>INDEX(VarSrc,MATCH($A2497,VarKey,0))</f>
        <v/>
      </c>
      <c r="K2497" s="11">
        <f>CodePrefix&amp;$A2497&amp;IF($C2497="","","."&amp;$C2497&amp;"."&amp;$B2497)&amp;INDEX(VarEnd,MATCH($A2497,VarKey,0))&amp;K$5</f>
        <v/>
      </c>
      <c r="L2497" s="43">
        <f>INDEX(Inputs!$X$5:$X$132,MATCH($B2497&amp;"|"&amp;$C2497,Inputs!$A$5:$A$132,0))</f>
        <v/>
      </c>
      <c r="M2497" s="44">
        <f>L2497*$G2497*(1+M$7)^$D2497*(M2479/L2479)^$E2497*((M2479+M2488)/(L2479+L2488))^$F2497</f>
        <v/>
      </c>
      <c r="N2497" s="44">
        <f>M2497*$G2497*(1+N$7)^$D2497*(N2479/M2479)^$E2497*((N2479+N2488)/(M2479+M2488))^$F2497</f>
        <v/>
      </c>
      <c r="O2497" s="44">
        <f>N2497*$G2497*(1+O$7)^$D2497*(O2479/N2479)^$E2497*((O2479+O2488)/(N2479+N2488))^$F2497</f>
        <v/>
      </c>
      <c r="P2497" s="44">
        <f>O2497*$G2497*(1+P$7)^$D2497*(P2479/O2479)^$E2497*((P2479+P2488)/(O2479+O2488))^$F2497</f>
        <v/>
      </c>
      <c r="Q2497" s="44">
        <f>P2497*$G2497*(1+Q$7)^$D2497*(Q2479/P2479)^$E2497*((Q2479+Q2488)/(P2479+P2488))^$F2497</f>
        <v/>
      </c>
      <c r="R2497" s="44">
        <f>Q2497*$G2497*(1+R$7)^$D2497*(R2479/Q2479)^$E2497*((R2479+R2488)/(Q2479+Q2488))^$F2497</f>
        <v/>
      </c>
      <c r="S2497" s="44">
        <f>R2497*$G2497*(1+S$7)^$D2497*(S2479/R2479)^$E2497*((S2479+S2488)/(R2479+R2488))^$F2497</f>
        <v/>
      </c>
      <c r="T2497" s="44">
        <f>S2497*$G2497*(1+T$7)^$D2497*(T2479/S2479)^$E2497*((T2479+T2488)/(S2479+S2488))^$F2497</f>
        <v/>
      </c>
      <c r="U2497" s="44">
        <f>T2497*$G2497*(1+U$7)^$D2497*(U2479/T2479)^$E2497*((U2479+U2488)/(T2479+T2488))^$F2497</f>
        <v/>
      </c>
      <c r="V2497" s="44">
        <f>U2497*$G2497*(1+V$7)^$D2497*(V2479/U2479)^$E2497*((V2479+V2488)/(U2479+U2488))^$F2497</f>
        <v/>
      </c>
      <c r="W2497" s="44">
        <f>V2497*$G2497*(1+W$7)^$D2497*(W2479/V2479)^$E2497*((W2479+W2488)/(V2479+V2488))^$F2497</f>
        <v/>
      </c>
      <c r="X2497" s="44">
        <f>W2497*$G2497*(1+X$7)^$D2497*(X2479/W2479)^$E2497*((X2479+X2488)/(W2479+W2488))^$F2497</f>
        <v/>
      </c>
      <c r="Y2497" s="44">
        <f>X2497*$G2497*(1+Y$7)^$D2497*(Y2479/X2479)^$E2497*((Y2479+Y2488)/(X2479+X2488))^$F2497</f>
        <v/>
      </c>
      <c r="Z2497" s="44">
        <f>Y2497*$G2497*(1+Z$7)^$D2497*(Z2479/Y2479)^$E2497*((Z2479+Z2488)/(Y2479+Y2488))^$F2497</f>
        <v/>
      </c>
      <c r="AA2497" s="44">
        <f>Z2497*$G2497*(1+AA$7)^$D2497*(AA2479/Z2479)^$E2497*((AA2479+AA2488)/(Z2479+Z2488))^$F2497</f>
        <v/>
      </c>
      <c r="AB2497" s="44">
        <f>AA2497*$G2497*(1+AB$7)^$D2497*(AB2479/AA2479)^$E2497*((AB2479+AB2488)/(AA2479+AA2488))^$F2497</f>
        <v/>
      </c>
      <c r="AC2497" s="44">
        <f>AB2497*$G2497*(1+AC$7)^$D2497*(AC2479/AB2479)^$E2497*((AC2479+AC2488)/(AB2479+AB2488))^$F2497</f>
        <v/>
      </c>
      <c r="AD2497" s="44">
        <f>AC2497*$G2497*(1+AD$7)^$D2497*(AD2479/AC2479)^$E2497*((AD2479+AD2488)/(AC2479+AC2488))^$F2497</f>
        <v/>
      </c>
      <c r="AE2497" s="57">
        <f>FUELUSE(AD2497,AE2479,AD2479,AE2488,AD2488,AE$7,$D2497,$E2497,$F2497,$G2497)</f>
        <v/>
      </c>
      <c r="AG2497" s="11">
        <f>CodePrefix&amp;$A2497&amp;IF($C2497="","","."&amp;$C2497&amp;"."&amp;$B2497)&amp;INDEX(VarEnd,MATCH($A2497,VarKey,0))&amp;AG$5</f>
        <v/>
      </c>
      <c r="AH2497" s="43">
        <f>INDEX(Inputs!$X$5:$X$132,MATCH($B2497&amp;"|"&amp;$C2497,Inputs!$A$5:$A$132,0))</f>
        <v/>
      </c>
      <c r="AI2497" s="44">
        <f>AH2497*$G2497*(1+AI$7)^$D2497*(AI2479/AH2479)^$E2497*((AI2479+AI2488)/(AH2479+AH2488))^$F2497</f>
        <v/>
      </c>
      <c r="AJ2497" s="44">
        <f>AI2497*$G2497*(1+AJ$7)^$D2497*(AJ2479/AI2479)^$E2497*((AJ2479+AJ2488)/(AI2479+AI2488))^$F2497</f>
        <v/>
      </c>
      <c r="AK2497" s="44">
        <f>AJ2497*$G2497*(1+AK$7)^$D2497*(AK2479/AJ2479)^$E2497*((AK2479+AK2488)/(AJ2479+AJ2488))^$F2497</f>
        <v/>
      </c>
      <c r="AL2497" s="44">
        <f>AK2497*$G2497*(1+AL$7)^$D2497*(AL2479/AK2479)^$E2497*((AL2479+AL2488)/(AK2479+AK2488))^$F2497</f>
        <v/>
      </c>
      <c r="AM2497" s="44">
        <f>AL2497*$G2497*(1+AM$7)^$D2497*(AM2479/AL2479)^$E2497*((AM2479+AM2488)/(AL2479+AL2488))^$F2497</f>
        <v/>
      </c>
      <c r="AN2497" s="44">
        <f>AM2497*$G2497*(1+AN$7)^$D2497*(AN2479/AM2479)^$E2497*((AN2479+AN2488)/(AM2479+AM2488))^$F2497</f>
        <v/>
      </c>
      <c r="AO2497" s="44">
        <f>AN2497*$G2497*(1+AO$7)^$D2497*(AO2479/AN2479)^$E2497*((AO2479+AO2488)/(AN2479+AN2488))^$F2497</f>
        <v/>
      </c>
      <c r="AP2497" s="44">
        <f>AO2497*$G2497*(1+AP$7)^$D2497*(AP2479/AO2479)^$E2497*((AP2479+AP2488)/(AO2479+AO2488))^$F2497</f>
        <v/>
      </c>
      <c r="AQ2497" s="44">
        <f>AP2497*$G2497*(1+AQ$7)^$D2497*(AQ2479/AP2479)^$E2497*((AQ2479+AQ2488)/(AP2479+AP2488))^$F2497</f>
        <v/>
      </c>
      <c r="AR2497" s="44">
        <f>AQ2497*$G2497*(1+AR$7)^$D2497*(AR2479/AQ2479)^$E2497*((AR2479+AR2488)/(AQ2479+AQ2488))^$F2497</f>
        <v/>
      </c>
      <c r="AS2497" s="44">
        <f>AR2497*$G2497*(1+AS$7)^$D2497*(AS2479/AR2479)^$E2497*((AS2479+AS2488)/(AR2479+AR2488))^$F2497</f>
        <v/>
      </c>
      <c r="AT2497" s="44">
        <f>AS2497*$G2497*(1+AT$7)^$D2497*(AT2479/AS2479)^$E2497*((AT2479+AT2488)/(AS2479+AS2488))^$F2497</f>
        <v/>
      </c>
      <c r="AU2497" s="44">
        <f>AT2497*$G2497*(1+AU$7)^$D2497*(AU2479/AT2479)^$E2497*((AU2479+AU2488)/(AT2479+AT2488))^$F2497</f>
        <v/>
      </c>
      <c r="AV2497" s="44">
        <f>AU2497*$G2497*(1+AV$7)^$D2497*(AV2479/AU2479)^$E2497*((AV2479+AV2488)/(AU2479+AU2488))^$F2497</f>
        <v/>
      </c>
      <c r="AW2497" s="44">
        <f>AV2497*$G2497*(1+AW$7)^$D2497*(AW2479/AV2479)^$E2497*((AW2479+AW2488)/(AV2479+AV2488))^$F2497</f>
        <v/>
      </c>
      <c r="AX2497" s="44">
        <f>AW2497*$G2497*(1+AX$7)^$D2497*(AX2479/AW2479)^$E2497*((AX2479+AX2488)/(AW2479+AW2488))^$F2497</f>
        <v/>
      </c>
      <c r="AY2497" s="44">
        <f>AX2497*$G2497*(1+AY$7)^$D2497*(AY2479/AX2479)^$E2497*((AY2479+AY2488)/(AX2479+AX2488))^$F2497</f>
        <v/>
      </c>
      <c r="AZ2497" s="44">
        <f>AY2497*$G2497*(1+AZ$7)^$D2497*(AZ2479/AY2479)^$E2497*((AZ2479+AZ2488)/(AY2479+AY2488))^$F2497</f>
        <v/>
      </c>
      <c r="BA2497" s="57">
        <f>FUELUSE(AZ2497,BA2479,AZ2479,BA2488,AZ2488,BA$7,$D2497,$E2497,$F2497,$G2497)</f>
        <v/>
      </c>
    </row>
    <row r="2498" hidden="1" outlineLevel="2">
      <c r="A2498" s="14" t="inlineStr">
        <is>
          <t>ener</t>
        </is>
      </c>
      <c r="B2498" s="14" t="inlineStr">
        <is>
          <t>ker</t>
        </is>
      </c>
      <c r="C2498" s="14" t="inlineStr">
        <is>
          <t>cem</t>
        </is>
      </c>
      <c r="D2498" s="35">
        <f>INDEX(Inputs!$O$5:$O$132,MATCH($B2498&amp;"|"&amp;$C2498,Inputs!$A$5:$A$132,0))</f>
        <v/>
      </c>
      <c r="E2498" s="35">
        <f>INDEX(Inputs!$P$5:$P$132,MATCH($B2498&amp;"|"&amp;$C2498,Inputs!$A$5:$A$132,0))</f>
        <v/>
      </c>
      <c r="F2498" s="35">
        <f>INDEX(Inputs!$T$5:$T$132,MATCH($B2498&amp;"|"&amp;$C2498,Inputs!$A$5:$A$132,0))</f>
        <v/>
      </c>
      <c r="G2498" s="35">
        <f>INDEX(Inputs!$S$5:$S$132,MATCH($B2498&amp;"|"&amp;$C2498,Inputs!$A$5:$A$132,0))</f>
        <v/>
      </c>
      <c r="H2498" s="14">
        <f>INDEX(VarLab,MATCH($A2498,VarKey,0))&amp;INDEX(MemLab,MATCH($C2498&amp;"|"&amp;$B2498,MemKey,0))</f>
        <v/>
      </c>
      <c r="I2498" s="14">
        <f>INDEX(VarUnit,MATCH($A2498,VarKey,0))</f>
        <v/>
      </c>
      <c r="J2498" s="14">
        <f>INDEX(VarSrc,MATCH($A2498,VarKey,0))</f>
        <v/>
      </c>
      <c r="K2498" s="11">
        <f>CodePrefix&amp;$A2498&amp;IF($C2498="","","."&amp;$C2498&amp;"."&amp;$B2498)&amp;INDEX(VarEnd,MATCH($A2498,VarKey,0))&amp;K$5</f>
        <v/>
      </c>
      <c r="L2498" s="43">
        <f>INDEX(Inputs!$X$5:$X$132,MATCH($B2498&amp;"|"&amp;$C2498,Inputs!$A$5:$A$132,0))</f>
        <v/>
      </c>
      <c r="M2498" s="44">
        <f>L2498*$G2498*(1+M$7)^$D2498*(M2480/L2480)^$E2498*((M2480+M2489)/(L2480+L2489))^$F2498</f>
        <v/>
      </c>
      <c r="N2498" s="44">
        <f>M2498*$G2498*(1+N$7)^$D2498*(N2480/M2480)^$E2498*((N2480+N2489)/(M2480+M2489))^$F2498</f>
        <v/>
      </c>
      <c r="O2498" s="44">
        <f>N2498*$G2498*(1+O$7)^$D2498*(O2480/N2480)^$E2498*((O2480+O2489)/(N2480+N2489))^$F2498</f>
        <v/>
      </c>
      <c r="P2498" s="44">
        <f>O2498*$G2498*(1+P$7)^$D2498*(P2480/O2480)^$E2498*((P2480+P2489)/(O2480+O2489))^$F2498</f>
        <v/>
      </c>
      <c r="Q2498" s="44">
        <f>P2498*$G2498*(1+Q$7)^$D2498*(Q2480/P2480)^$E2498*((Q2480+Q2489)/(P2480+P2489))^$F2498</f>
        <v/>
      </c>
      <c r="R2498" s="44">
        <f>Q2498*$G2498*(1+R$7)^$D2498*(R2480/Q2480)^$E2498*((R2480+R2489)/(Q2480+Q2489))^$F2498</f>
        <v/>
      </c>
      <c r="S2498" s="44">
        <f>R2498*$G2498*(1+S$7)^$D2498*(S2480/R2480)^$E2498*((S2480+S2489)/(R2480+R2489))^$F2498</f>
        <v/>
      </c>
      <c r="T2498" s="44">
        <f>S2498*$G2498*(1+T$7)^$D2498*(T2480/S2480)^$E2498*((T2480+T2489)/(S2480+S2489))^$F2498</f>
        <v/>
      </c>
      <c r="U2498" s="44">
        <f>T2498*$G2498*(1+U$7)^$D2498*(U2480/T2480)^$E2498*((U2480+U2489)/(T2480+T2489))^$F2498</f>
        <v/>
      </c>
      <c r="V2498" s="44">
        <f>U2498*$G2498*(1+V$7)^$D2498*(V2480/U2480)^$E2498*((V2480+V2489)/(U2480+U2489))^$F2498</f>
        <v/>
      </c>
      <c r="W2498" s="44">
        <f>V2498*$G2498*(1+W$7)^$D2498*(W2480/V2480)^$E2498*((W2480+W2489)/(V2480+V2489))^$F2498</f>
        <v/>
      </c>
      <c r="X2498" s="44">
        <f>W2498*$G2498*(1+X$7)^$D2498*(X2480/W2480)^$E2498*((X2480+X2489)/(W2480+W2489))^$F2498</f>
        <v/>
      </c>
      <c r="Y2498" s="44">
        <f>X2498*$G2498*(1+Y$7)^$D2498*(Y2480/X2480)^$E2498*((Y2480+Y2489)/(X2480+X2489))^$F2498</f>
        <v/>
      </c>
      <c r="Z2498" s="44">
        <f>Y2498*$G2498*(1+Z$7)^$D2498*(Z2480/Y2480)^$E2498*((Z2480+Z2489)/(Y2480+Y2489))^$F2498</f>
        <v/>
      </c>
      <c r="AA2498" s="44">
        <f>Z2498*$G2498*(1+AA$7)^$D2498*(AA2480/Z2480)^$E2498*((AA2480+AA2489)/(Z2480+Z2489))^$F2498</f>
        <v/>
      </c>
      <c r="AB2498" s="44">
        <f>AA2498*$G2498*(1+AB$7)^$D2498*(AB2480/AA2480)^$E2498*((AB2480+AB2489)/(AA2480+AA2489))^$F2498</f>
        <v/>
      </c>
      <c r="AC2498" s="44">
        <f>AB2498*$G2498*(1+AC$7)^$D2498*(AC2480/AB2480)^$E2498*((AC2480+AC2489)/(AB2480+AB2489))^$F2498</f>
        <v/>
      </c>
      <c r="AD2498" s="44">
        <f>AC2498*$G2498*(1+AD$7)^$D2498*(AD2480/AC2480)^$E2498*((AD2480+AD2489)/(AC2480+AC2489))^$F2498</f>
        <v/>
      </c>
      <c r="AE2498" s="57">
        <f>FUELUSE(AD2498,AE2480,AD2480,AE2489,AD2489,AE$7,$D2498,$E2498,$F2498,$G2498)</f>
        <v/>
      </c>
      <c r="AG2498" s="11">
        <f>CodePrefix&amp;$A2498&amp;IF($C2498="","","."&amp;$C2498&amp;"."&amp;$B2498)&amp;INDEX(VarEnd,MATCH($A2498,VarKey,0))&amp;AG$5</f>
        <v/>
      </c>
      <c r="AH2498" s="43">
        <f>INDEX(Inputs!$X$5:$X$132,MATCH($B2498&amp;"|"&amp;$C2498,Inputs!$A$5:$A$132,0))</f>
        <v/>
      </c>
      <c r="AI2498" s="44">
        <f>AH2498*$G2498*(1+AI$7)^$D2498*(AI2480/AH2480)^$E2498*((AI2480+AI2489)/(AH2480+AH2489))^$F2498</f>
        <v/>
      </c>
      <c r="AJ2498" s="44">
        <f>AI2498*$G2498*(1+AJ$7)^$D2498*(AJ2480/AI2480)^$E2498*((AJ2480+AJ2489)/(AI2480+AI2489))^$F2498</f>
        <v/>
      </c>
      <c r="AK2498" s="44">
        <f>AJ2498*$G2498*(1+AK$7)^$D2498*(AK2480/AJ2480)^$E2498*((AK2480+AK2489)/(AJ2480+AJ2489))^$F2498</f>
        <v/>
      </c>
      <c r="AL2498" s="44">
        <f>AK2498*$G2498*(1+AL$7)^$D2498*(AL2480/AK2480)^$E2498*((AL2480+AL2489)/(AK2480+AK2489))^$F2498</f>
        <v/>
      </c>
      <c r="AM2498" s="44">
        <f>AL2498*$G2498*(1+AM$7)^$D2498*(AM2480/AL2480)^$E2498*((AM2480+AM2489)/(AL2480+AL2489))^$F2498</f>
        <v/>
      </c>
      <c r="AN2498" s="44">
        <f>AM2498*$G2498*(1+AN$7)^$D2498*(AN2480/AM2480)^$E2498*((AN2480+AN2489)/(AM2480+AM2489))^$F2498</f>
        <v/>
      </c>
      <c r="AO2498" s="44">
        <f>AN2498*$G2498*(1+AO$7)^$D2498*(AO2480/AN2480)^$E2498*((AO2480+AO2489)/(AN2480+AN2489))^$F2498</f>
        <v/>
      </c>
      <c r="AP2498" s="44">
        <f>AO2498*$G2498*(1+AP$7)^$D2498*(AP2480/AO2480)^$E2498*((AP2480+AP2489)/(AO2480+AO2489))^$F2498</f>
        <v/>
      </c>
      <c r="AQ2498" s="44">
        <f>AP2498*$G2498*(1+AQ$7)^$D2498*(AQ2480/AP2480)^$E2498*((AQ2480+AQ2489)/(AP2480+AP2489))^$F2498</f>
        <v/>
      </c>
      <c r="AR2498" s="44">
        <f>AQ2498*$G2498*(1+AR$7)^$D2498*(AR2480/AQ2480)^$E2498*((AR2480+AR2489)/(AQ2480+AQ2489))^$F2498</f>
        <v/>
      </c>
      <c r="AS2498" s="44">
        <f>AR2498*$G2498*(1+AS$7)^$D2498*(AS2480/AR2480)^$E2498*((AS2480+AS2489)/(AR2480+AR2489))^$F2498</f>
        <v/>
      </c>
      <c r="AT2498" s="44">
        <f>AS2498*$G2498*(1+AT$7)^$D2498*(AT2480/AS2480)^$E2498*((AT2480+AT2489)/(AS2480+AS2489))^$F2498</f>
        <v/>
      </c>
      <c r="AU2498" s="44">
        <f>AT2498*$G2498*(1+AU$7)^$D2498*(AU2480/AT2480)^$E2498*((AU2480+AU2489)/(AT2480+AT2489))^$F2498</f>
        <v/>
      </c>
      <c r="AV2498" s="44">
        <f>AU2498*$G2498*(1+AV$7)^$D2498*(AV2480/AU2480)^$E2498*((AV2480+AV2489)/(AU2480+AU2489))^$F2498</f>
        <v/>
      </c>
      <c r="AW2498" s="44">
        <f>AV2498*$G2498*(1+AW$7)^$D2498*(AW2480/AV2480)^$E2498*((AW2480+AW2489)/(AV2480+AV2489))^$F2498</f>
        <v/>
      </c>
      <c r="AX2498" s="44">
        <f>AW2498*$G2498*(1+AX$7)^$D2498*(AX2480/AW2480)^$E2498*((AX2480+AX2489)/(AW2480+AW2489))^$F2498</f>
        <v/>
      </c>
      <c r="AY2498" s="44">
        <f>AX2498*$G2498*(1+AY$7)^$D2498*(AY2480/AX2480)^$E2498*((AY2480+AY2489)/(AX2480+AX2489))^$F2498</f>
        <v/>
      </c>
      <c r="AZ2498" s="44">
        <f>AY2498*$G2498*(1+AZ$7)^$D2498*(AZ2480/AY2480)^$E2498*((AZ2480+AZ2489)/(AY2480+AY2489))^$F2498</f>
        <v/>
      </c>
      <c r="BA2498" s="57">
        <f>FUELUSE(AZ2498,BA2480,AZ2480,BA2489,AZ2489,BA$7,$D2498,$E2498,$F2498,$G2498)</f>
        <v/>
      </c>
    </row>
    <row r="2499" hidden="1" outlineLevel="2">
      <c r="A2499" s="14" t="inlineStr">
        <is>
          <t>ener</t>
        </is>
      </c>
      <c r="B2499" s="14" t="inlineStr">
        <is>
          <t>oop</t>
        </is>
      </c>
      <c r="C2499" s="14" t="inlineStr">
        <is>
          <t>cem</t>
        </is>
      </c>
      <c r="D2499" s="35">
        <f>INDEX(Inputs!$O$5:$O$132,MATCH($B2499&amp;"|"&amp;$C2499,Inputs!$A$5:$A$132,0))</f>
        <v/>
      </c>
      <c r="E2499" s="35">
        <f>INDEX(Inputs!$P$5:$P$132,MATCH($B2499&amp;"|"&amp;$C2499,Inputs!$A$5:$A$132,0))</f>
        <v/>
      </c>
      <c r="F2499" s="35">
        <f>INDEX(Inputs!$T$5:$T$132,MATCH($B2499&amp;"|"&amp;$C2499,Inputs!$A$5:$A$132,0))</f>
        <v/>
      </c>
      <c r="G2499" s="35">
        <f>INDEX(Inputs!$S$5:$S$132,MATCH($B2499&amp;"|"&amp;$C2499,Inputs!$A$5:$A$132,0))</f>
        <v/>
      </c>
      <c r="H2499" s="14">
        <f>INDEX(VarLab,MATCH($A2499,VarKey,0))&amp;INDEX(MemLab,MATCH($C2499&amp;"|"&amp;$B2499,MemKey,0))</f>
        <v/>
      </c>
      <c r="I2499" s="14">
        <f>INDEX(VarUnit,MATCH($A2499,VarKey,0))</f>
        <v/>
      </c>
      <c r="J2499" s="14">
        <f>INDEX(VarSrc,MATCH($A2499,VarKey,0))</f>
        <v/>
      </c>
      <c r="K2499" s="11">
        <f>CodePrefix&amp;$A2499&amp;IF($C2499="","","."&amp;$C2499&amp;"."&amp;$B2499)&amp;INDEX(VarEnd,MATCH($A2499,VarKey,0))&amp;K$5</f>
        <v/>
      </c>
      <c r="L2499" s="43">
        <f>INDEX(Inputs!$X$5:$X$132,MATCH($B2499&amp;"|"&amp;$C2499,Inputs!$A$5:$A$132,0))</f>
        <v/>
      </c>
      <c r="M2499" s="44">
        <f>L2499*$G2499*(1+M$7)^$D2499*(M2481/L2481)^$E2499*((M2481+M2490)/(L2481+L2490))^$F2499</f>
        <v/>
      </c>
      <c r="N2499" s="44">
        <f>M2499*$G2499*(1+N$7)^$D2499*(N2481/M2481)^$E2499*((N2481+N2490)/(M2481+M2490))^$F2499</f>
        <v/>
      </c>
      <c r="O2499" s="44">
        <f>N2499*$G2499*(1+O$7)^$D2499*(O2481/N2481)^$E2499*((O2481+O2490)/(N2481+N2490))^$F2499</f>
        <v/>
      </c>
      <c r="P2499" s="44">
        <f>O2499*$G2499*(1+P$7)^$D2499*(P2481/O2481)^$E2499*((P2481+P2490)/(O2481+O2490))^$F2499</f>
        <v/>
      </c>
      <c r="Q2499" s="44">
        <f>P2499*$G2499*(1+Q$7)^$D2499*(Q2481/P2481)^$E2499*((Q2481+Q2490)/(P2481+P2490))^$F2499</f>
        <v/>
      </c>
      <c r="R2499" s="44">
        <f>Q2499*$G2499*(1+R$7)^$D2499*(R2481/Q2481)^$E2499*((R2481+R2490)/(Q2481+Q2490))^$F2499</f>
        <v/>
      </c>
      <c r="S2499" s="44">
        <f>R2499*$G2499*(1+S$7)^$D2499*(S2481/R2481)^$E2499*((S2481+S2490)/(R2481+R2490))^$F2499</f>
        <v/>
      </c>
      <c r="T2499" s="44">
        <f>S2499*$G2499*(1+T$7)^$D2499*(T2481/S2481)^$E2499*((T2481+T2490)/(S2481+S2490))^$F2499</f>
        <v/>
      </c>
      <c r="U2499" s="44">
        <f>T2499*$G2499*(1+U$7)^$D2499*(U2481/T2481)^$E2499*((U2481+U2490)/(T2481+T2490))^$F2499</f>
        <v/>
      </c>
      <c r="V2499" s="44">
        <f>U2499*$G2499*(1+V$7)^$D2499*(V2481/U2481)^$E2499*((V2481+V2490)/(U2481+U2490))^$F2499</f>
        <v/>
      </c>
      <c r="W2499" s="44">
        <f>V2499*$G2499*(1+W$7)^$D2499*(W2481/V2481)^$E2499*((W2481+W2490)/(V2481+V2490))^$F2499</f>
        <v/>
      </c>
      <c r="X2499" s="44">
        <f>W2499*$G2499*(1+X$7)^$D2499*(X2481/W2481)^$E2499*((X2481+X2490)/(W2481+W2490))^$F2499</f>
        <v/>
      </c>
      <c r="Y2499" s="44">
        <f>X2499*$G2499*(1+Y$7)^$D2499*(Y2481/X2481)^$E2499*((Y2481+Y2490)/(X2481+X2490))^$F2499</f>
        <v/>
      </c>
      <c r="Z2499" s="44">
        <f>Y2499*$G2499*(1+Z$7)^$D2499*(Z2481/Y2481)^$E2499*((Z2481+Z2490)/(Y2481+Y2490))^$F2499</f>
        <v/>
      </c>
      <c r="AA2499" s="44">
        <f>Z2499*$G2499*(1+AA$7)^$D2499*(AA2481/Z2481)^$E2499*((AA2481+AA2490)/(Z2481+Z2490))^$F2499</f>
        <v/>
      </c>
      <c r="AB2499" s="44">
        <f>AA2499*$G2499*(1+AB$7)^$D2499*(AB2481/AA2481)^$E2499*((AB2481+AB2490)/(AA2481+AA2490))^$F2499</f>
        <v/>
      </c>
      <c r="AC2499" s="44">
        <f>AB2499*$G2499*(1+AC$7)^$D2499*(AC2481/AB2481)^$E2499*((AC2481+AC2490)/(AB2481+AB2490))^$F2499</f>
        <v/>
      </c>
      <c r="AD2499" s="44">
        <f>AC2499*$G2499*(1+AD$7)^$D2499*(AD2481/AC2481)^$E2499*((AD2481+AD2490)/(AC2481+AC2490))^$F2499</f>
        <v/>
      </c>
      <c r="AE2499" s="57">
        <f>FUELUSE(AD2499,AE2481,AD2481,AE2490,AD2490,AE$7,$D2499,$E2499,$F2499,$G2499)</f>
        <v/>
      </c>
      <c r="AG2499" s="11">
        <f>CodePrefix&amp;$A2499&amp;IF($C2499="","","."&amp;$C2499&amp;"."&amp;$B2499)&amp;INDEX(VarEnd,MATCH($A2499,VarKey,0))&amp;AG$5</f>
        <v/>
      </c>
      <c r="AH2499" s="43">
        <f>INDEX(Inputs!$X$5:$X$132,MATCH($B2499&amp;"|"&amp;$C2499,Inputs!$A$5:$A$132,0))</f>
        <v/>
      </c>
      <c r="AI2499" s="44">
        <f>AH2499*$G2499*(1+AI$7)^$D2499*(AI2481/AH2481)^$E2499*((AI2481+AI2490)/(AH2481+AH2490))^$F2499</f>
        <v/>
      </c>
      <c r="AJ2499" s="44">
        <f>AI2499*$G2499*(1+AJ$7)^$D2499*(AJ2481/AI2481)^$E2499*((AJ2481+AJ2490)/(AI2481+AI2490))^$F2499</f>
        <v/>
      </c>
      <c r="AK2499" s="44">
        <f>AJ2499*$G2499*(1+AK$7)^$D2499*(AK2481/AJ2481)^$E2499*((AK2481+AK2490)/(AJ2481+AJ2490))^$F2499</f>
        <v/>
      </c>
      <c r="AL2499" s="44">
        <f>AK2499*$G2499*(1+AL$7)^$D2499*(AL2481/AK2481)^$E2499*((AL2481+AL2490)/(AK2481+AK2490))^$F2499</f>
        <v/>
      </c>
      <c r="AM2499" s="44">
        <f>AL2499*$G2499*(1+AM$7)^$D2499*(AM2481/AL2481)^$E2499*((AM2481+AM2490)/(AL2481+AL2490))^$F2499</f>
        <v/>
      </c>
      <c r="AN2499" s="44">
        <f>AM2499*$G2499*(1+AN$7)^$D2499*(AN2481/AM2481)^$E2499*((AN2481+AN2490)/(AM2481+AM2490))^$F2499</f>
        <v/>
      </c>
      <c r="AO2499" s="44">
        <f>AN2499*$G2499*(1+AO$7)^$D2499*(AO2481/AN2481)^$E2499*((AO2481+AO2490)/(AN2481+AN2490))^$F2499</f>
        <v/>
      </c>
      <c r="AP2499" s="44">
        <f>AO2499*$G2499*(1+AP$7)^$D2499*(AP2481/AO2481)^$E2499*((AP2481+AP2490)/(AO2481+AO2490))^$F2499</f>
        <v/>
      </c>
      <c r="AQ2499" s="44">
        <f>AP2499*$G2499*(1+AQ$7)^$D2499*(AQ2481/AP2481)^$E2499*((AQ2481+AQ2490)/(AP2481+AP2490))^$F2499</f>
        <v/>
      </c>
      <c r="AR2499" s="44">
        <f>AQ2499*$G2499*(1+AR$7)^$D2499*(AR2481/AQ2481)^$E2499*((AR2481+AR2490)/(AQ2481+AQ2490))^$F2499</f>
        <v/>
      </c>
      <c r="AS2499" s="44">
        <f>AR2499*$G2499*(1+AS$7)^$D2499*(AS2481/AR2481)^$E2499*((AS2481+AS2490)/(AR2481+AR2490))^$F2499</f>
        <v/>
      </c>
      <c r="AT2499" s="44">
        <f>AS2499*$G2499*(1+AT$7)^$D2499*(AT2481/AS2481)^$E2499*((AT2481+AT2490)/(AS2481+AS2490))^$F2499</f>
        <v/>
      </c>
      <c r="AU2499" s="44">
        <f>AT2499*$G2499*(1+AU$7)^$D2499*(AU2481/AT2481)^$E2499*((AU2481+AU2490)/(AT2481+AT2490))^$F2499</f>
        <v/>
      </c>
      <c r="AV2499" s="44">
        <f>AU2499*$G2499*(1+AV$7)^$D2499*(AV2481/AU2481)^$E2499*((AV2481+AV2490)/(AU2481+AU2490))^$F2499</f>
        <v/>
      </c>
      <c r="AW2499" s="44">
        <f>AV2499*$G2499*(1+AW$7)^$D2499*(AW2481/AV2481)^$E2499*((AW2481+AW2490)/(AV2481+AV2490))^$F2499</f>
        <v/>
      </c>
      <c r="AX2499" s="44">
        <f>AW2499*$G2499*(1+AX$7)^$D2499*(AX2481/AW2481)^$E2499*((AX2481+AX2490)/(AW2481+AW2490))^$F2499</f>
        <v/>
      </c>
      <c r="AY2499" s="44">
        <f>AX2499*$G2499*(1+AY$7)^$D2499*(AY2481/AX2481)^$E2499*((AY2481+AY2490)/(AX2481+AX2490))^$F2499</f>
        <v/>
      </c>
      <c r="AZ2499" s="44">
        <f>AY2499*$G2499*(1+AZ$7)^$D2499*(AZ2481/AY2481)^$E2499*((AZ2481+AZ2490)/(AY2481+AY2490))^$F2499</f>
        <v/>
      </c>
      <c r="BA2499" s="57">
        <f>FUELUSE(AZ2499,BA2481,AZ2481,BA2490,AZ2490,BA$7,$D2499,$E2499,$F2499,$G2499)</f>
        <v/>
      </c>
    </row>
    <row r="2500" hidden="1" outlineLevel="2">
      <c r="A2500" s="14" t="inlineStr">
        <is>
          <t>ener</t>
        </is>
      </c>
      <c r="B2500" s="14" t="inlineStr">
        <is>
          <t>bio</t>
        </is>
      </c>
      <c r="C2500" s="14" t="inlineStr">
        <is>
          <t>cem</t>
        </is>
      </c>
      <c r="D2500" s="35">
        <f>INDEX(Inputs!$O$5:$O$132,MATCH($B2500&amp;"|"&amp;$C2500,Inputs!$A$5:$A$132,0))</f>
        <v/>
      </c>
      <c r="E2500" s="35">
        <f>INDEX(Inputs!$P$5:$P$132,MATCH($B2500&amp;"|"&amp;$C2500,Inputs!$A$5:$A$132,0))</f>
        <v/>
      </c>
      <c r="F2500" s="35">
        <f>INDEX(Inputs!$T$5:$T$132,MATCH($B2500&amp;"|"&amp;$C2500,Inputs!$A$5:$A$132,0))</f>
        <v/>
      </c>
      <c r="G2500" s="35">
        <f>INDEX(Inputs!$S$5:$S$132,MATCH($B2500&amp;"|"&amp;$C2500,Inputs!$A$5:$A$132,0))</f>
        <v/>
      </c>
      <c r="H2500" s="14">
        <f>INDEX(VarLab,MATCH($A2500,VarKey,0))&amp;INDEX(MemLab,MATCH($C2500&amp;"|"&amp;$B2500,MemKey,0))</f>
        <v/>
      </c>
      <c r="I2500" s="14">
        <f>INDEX(VarUnit,MATCH($A2500,VarKey,0))</f>
        <v/>
      </c>
      <c r="J2500" s="14">
        <f>INDEX(VarSrc,MATCH($A2500,VarKey,0))</f>
        <v/>
      </c>
      <c r="K2500" s="11">
        <f>CodePrefix&amp;$A2500&amp;IF($C2500="","","."&amp;$C2500&amp;"."&amp;$B2500)&amp;INDEX(VarEnd,MATCH($A2500,VarKey,0))&amp;K$5</f>
        <v/>
      </c>
      <c r="L2500" s="43">
        <f>INDEX(Inputs!$X$5:$X$132,MATCH($B2500&amp;"|"&amp;$C2500,Inputs!$A$5:$A$132,0))</f>
        <v/>
      </c>
      <c r="M2500" s="44">
        <f>L2500*$G2500*(1+M$7)^$D2500*(M2482/L2482)^$E2500*((M2482+M2491)/(L2482+L2491))^$F2500</f>
        <v/>
      </c>
      <c r="N2500" s="44">
        <f>M2500*$G2500*(1+N$7)^$D2500*(N2482/M2482)^$E2500*((N2482+N2491)/(M2482+M2491))^$F2500</f>
        <v/>
      </c>
      <c r="O2500" s="44">
        <f>N2500*$G2500*(1+O$7)^$D2500*(O2482/N2482)^$E2500*((O2482+O2491)/(N2482+N2491))^$F2500</f>
        <v/>
      </c>
      <c r="P2500" s="44">
        <f>O2500*$G2500*(1+P$7)^$D2500*(P2482/O2482)^$E2500*((P2482+P2491)/(O2482+O2491))^$F2500</f>
        <v/>
      </c>
      <c r="Q2500" s="44">
        <f>P2500*$G2500*(1+Q$7)^$D2500*(Q2482/P2482)^$E2500*((Q2482+Q2491)/(P2482+P2491))^$F2500</f>
        <v/>
      </c>
      <c r="R2500" s="44">
        <f>Q2500*$G2500*(1+R$7)^$D2500*(R2482/Q2482)^$E2500*((R2482+R2491)/(Q2482+Q2491))^$F2500</f>
        <v/>
      </c>
      <c r="S2500" s="44">
        <f>R2500*$G2500*(1+S$7)^$D2500*(S2482/R2482)^$E2500*((S2482+S2491)/(R2482+R2491))^$F2500</f>
        <v/>
      </c>
      <c r="T2500" s="44">
        <f>S2500*$G2500*(1+T$7)^$D2500*(T2482/S2482)^$E2500*((T2482+T2491)/(S2482+S2491))^$F2500</f>
        <v/>
      </c>
      <c r="U2500" s="44">
        <f>T2500*$G2500*(1+U$7)^$D2500*(U2482/T2482)^$E2500*((U2482+U2491)/(T2482+T2491))^$F2500</f>
        <v/>
      </c>
      <c r="V2500" s="44">
        <f>U2500*$G2500*(1+V$7)^$D2500*(V2482/U2482)^$E2500*((V2482+V2491)/(U2482+U2491))^$F2500</f>
        <v/>
      </c>
      <c r="W2500" s="44">
        <f>V2500*$G2500*(1+W$7)^$D2500*(W2482/V2482)^$E2500*((W2482+W2491)/(V2482+V2491))^$F2500</f>
        <v/>
      </c>
      <c r="X2500" s="44">
        <f>W2500*$G2500*(1+X$7)^$D2500*(X2482/W2482)^$E2500*((X2482+X2491)/(W2482+W2491))^$F2500</f>
        <v/>
      </c>
      <c r="Y2500" s="44">
        <f>X2500*$G2500*(1+Y$7)^$D2500*(Y2482/X2482)^$E2500*((Y2482+Y2491)/(X2482+X2491))^$F2500</f>
        <v/>
      </c>
      <c r="Z2500" s="44">
        <f>Y2500*$G2500*(1+Z$7)^$D2500*(Z2482/Y2482)^$E2500*((Z2482+Z2491)/(Y2482+Y2491))^$F2500</f>
        <v/>
      </c>
      <c r="AA2500" s="44">
        <f>Z2500*$G2500*(1+AA$7)^$D2500*(AA2482/Z2482)^$E2500*((AA2482+AA2491)/(Z2482+Z2491))^$F2500</f>
        <v/>
      </c>
      <c r="AB2500" s="44">
        <f>AA2500*$G2500*(1+AB$7)^$D2500*(AB2482/AA2482)^$E2500*((AB2482+AB2491)/(AA2482+AA2491))^$F2500</f>
        <v/>
      </c>
      <c r="AC2500" s="44">
        <f>AB2500*$G2500*(1+AC$7)^$D2500*(AC2482/AB2482)^$E2500*((AC2482+AC2491)/(AB2482+AB2491))^$F2500</f>
        <v/>
      </c>
      <c r="AD2500" s="44">
        <f>AC2500*$G2500*(1+AD$7)^$D2500*(AD2482/AC2482)^$E2500*((AD2482+AD2491)/(AC2482+AC2491))^$F2500</f>
        <v/>
      </c>
      <c r="AE2500" s="57">
        <f>FUELUSE(AD2500,AE2482,AD2482,AE2491,AD2491,AE$7,$D2500,$E2500,$F2500,$G2500)</f>
        <v/>
      </c>
      <c r="AG2500" s="11">
        <f>CodePrefix&amp;$A2500&amp;IF($C2500="","","."&amp;$C2500&amp;"."&amp;$B2500)&amp;INDEX(VarEnd,MATCH($A2500,VarKey,0))&amp;AG$5</f>
        <v/>
      </c>
      <c r="AH2500" s="43">
        <f>INDEX(Inputs!$X$5:$X$132,MATCH($B2500&amp;"|"&amp;$C2500,Inputs!$A$5:$A$132,0))</f>
        <v/>
      </c>
      <c r="AI2500" s="44">
        <f>AH2500*$G2500*(1+AI$7)^$D2500*(AI2482/AH2482)^$E2500*((AI2482+AI2491)/(AH2482+AH2491))^$F2500</f>
        <v/>
      </c>
      <c r="AJ2500" s="44">
        <f>AI2500*$G2500*(1+AJ$7)^$D2500*(AJ2482/AI2482)^$E2500*((AJ2482+AJ2491)/(AI2482+AI2491))^$F2500</f>
        <v/>
      </c>
      <c r="AK2500" s="44">
        <f>AJ2500*$G2500*(1+AK$7)^$D2500*(AK2482/AJ2482)^$E2500*((AK2482+AK2491)/(AJ2482+AJ2491))^$F2500</f>
        <v/>
      </c>
      <c r="AL2500" s="44">
        <f>AK2500*$G2500*(1+AL$7)^$D2500*(AL2482/AK2482)^$E2500*((AL2482+AL2491)/(AK2482+AK2491))^$F2500</f>
        <v/>
      </c>
      <c r="AM2500" s="44">
        <f>AL2500*$G2500*(1+AM$7)^$D2500*(AM2482/AL2482)^$E2500*((AM2482+AM2491)/(AL2482+AL2491))^$F2500</f>
        <v/>
      </c>
      <c r="AN2500" s="44">
        <f>AM2500*$G2500*(1+AN$7)^$D2500*(AN2482/AM2482)^$E2500*((AN2482+AN2491)/(AM2482+AM2491))^$F2500</f>
        <v/>
      </c>
      <c r="AO2500" s="44">
        <f>AN2500*$G2500*(1+AO$7)^$D2500*(AO2482/AN2482)^$E2500*((AO2482+AO2491)/(AN2482+AN2491))^$F2500</f>
        <v/>
      </c>
      <c r="AP2500" s="44">
        <f>AO2500*$G2500*(1+AP$7)^$D2500*(AP2482/AO2482)^$E2500*((AP2482+AP2491)/(AO2482+AO2491))^$F2500</f>
        <v/>
      </c>
      <c r="AQ2500" s="44">
        <f>AP2500*$G2500*(1+AQ$7)^$D2500*(AQ2482/AP2482)^$E2500*((AQ2482+AQ2491)/(AP2482+AP2491))^$F2500</f>
        <v/>
      </c>
      <c r="AR2500" s="44">
        <f>AQ2500*$G2500*(1+AR$7)^$D2500*(AR2482/AQ2482)^$E2500*((AR2482+AR2491)/(AQ2482+AQ2491))^$F2500</f>
        <v/>
      </c>
      <c r="AS2500" s="44">
        <f>AR2500*$G2500*(1+AS$7)^$D2500*(AS2482/AR2482)^$E2500*((AS2482+AS2491)/(AR2482+AR2491))^$F2500</f>
        <v/>
      </c>
      <c r="AT2500" s="44">
        <f>AS2500*$G2500*(1+AT$7)^$D2500*(AT2482/AS2482)^$E2500*((AT2482+AT2491)/(AS2482+AS2491))^$F2500</f>
        <v/>
      </c>
      <c r="AU2500" s="44">
        <f>AT2500*$G2500*(1+AU$7)^$D2500*(AU2482/AT2482)^$E2500*((AU2482+AU2491)/(AT2482+AT2491))^$F2500</f>
        <v/>
      </c>
      <c r="AV2500" s="44">
        <f>AU2500*$G2500*(1+AV$7)^$D2500*(AV2482/AU2482)^$E2500*((AV2482+AV2491)/(AU2482+AU2491))^$F2500</f>
        <v/>
      </c>
      <c r="AW2500" s="44">
        <f>AV2500*$G2500*(1+AW$7)^$D2500*(AW2482/AV2482)^$E2500*((AW2482+AW2491)/(AV2482+AV2491))^$F2500</f>
        <v/>
      </c>
      <c r="AX2500" s="44">
        <f>AW2500*$G2500*(1+AX$7)^$D2500*(AX2482/AW2482)^$E2500*((AX2482+AX2491)/(AW2482+AW2491))^$F2500</f>
        <v/>
      </c>
      <c r="AY2500" s="44">
        <f>AX2500*$G2500*(1+AY$7)^$D2500*(AY2482/AX2482)^$E2500*((AY2482+AY2491)/(AX2482+AX2491))^$F2500</f>
        <v/>
      </c>
      <c r="AZ2500" s="44">
        <f>AY2500*$G2500*(1+AZ$7)^$D2500*(AZ2482/AY2482)^$E2500*((AZ2482+AZ2491)/(AY2482+AY2491))^$F2500</f>
        <v/>
      </c>
      <c r="BA2500" s="57">
        <f>FUELUSE(AZ2500,BA2482,AZ2482,BA2491,AZ2491,BA$7,$D2500,$E2500,$F2500,$G2500)</f>
        <v/>
      </c>
    </row>
    <row r="2501" hidden="1" outlineLevel="2"/>
    <row r="2502" hidden="1" outlineLevel="2">
      <c r="A2502" s="14" t="inlineStr">
        <is>
          <t>co2</t>
        </is>
      </c>
      <c r="B2502" s="14" t="inlineStr">
        <is>
          <t>coa</t>
        </is>
      </c>
      <c r="C2502" s="14" t="inlineStr">
        <is>
          <t>cem</t>
        </is>
      </c>
      <c r="D2502" s="35">
        <f>INDEX(Inputs!$W$5:$W$132,MATCH($B2502&amp;"|"&amp;$C2502,Inputs!$A$5:$A$132,0))</f>
        <v/>
      </c>
      <c r="E2502" s="39" t="n"/>
      <c r="F2502" s="39" t="n"/>
      <c r="G2502" s="39" t="n"/>
      <c r="H2502" s="14">
        <f>INDEX(VarLab,MATCH($A2502,VarKey,0))&amp;INDEX(MemLab,MATCH($C2502&amp;"|"&amp;$B2502,MemKey,0))</f>
        <v/>
      </c>
      <c r="I2502" s="14">
        <f>INDEX(VarUnit,MATCH($A2502,VarKey,0))</f>
        <v/>
      </c>
      <c r="J2502" s="14">
        <f>INDEX(VarSrc,MATCH($A2502,VarKey,0))</f>
        <v/>
      </c>
      <c r="K2502" s="11">
        <f>CodePrefix&amp;$A2502&amp;IF($C2502="","","."&amp;$C2502&amp;"."&amp;$B2502)&amp;INDEX(VarEnd,MATCH($A2502,VarKey,0))&amp;K$5</f>
        <v/>
      </c>
      <c r="L2502" s="15">
        <f>L2493*Settings!$C$13*$D2502</f>
        <v/>
      </c>
      <c r="M2502" s="16">
        <f>M2493*Settings!$C$13*$D2502</f>
        <v/>
      </c>
      <c r="N2502" s="16">
        <f>N2493*Settings!$C$13*$D2502</f>
        <v/>
      </c>
      <c r="O2502" s="16">
        <f>O2493*Settings!$C$13*$D2502</f>
        <v/>
      </c>
      <c r="P2502" s="16">
        <f>P2493*Settings!$C$13*$D2502</f>
        <v/>
      </c>
      <c r="Q2502" s="16">
        <f>Q2493*Settings!$C$13*$D2502</f>
        <v/>
      </c>
      <c r="R2502" s="16">
        <f>R2493*Settings!$C$13*$D2502</f>
        <v/>
      </c>
      <c r="S2502" s="16">
        <f>S2493*Settings!$C$13*$D2502</f>
        <v/>
      </c>
      <c r="T2502" s="16">
        <f>T2493*Settings!$C$13*$D2502</f>
        <v/>
      </c>
      <c r="U2502" s="16">
        <f>U2493*Settings!$C$13*$D2502</f>
        <v/>
      </c>
      <c r="V2502" s="16">
        <f>V2493*Settings!$C$13*$D2502</f>
        <v/>
      </c>
      <c r="W2502" s="16">
        <f>W2493*Settings!$C$13*$D2502</f>
        <v/>
      </c>
      <c r="X2502" s="16">
        <f>X2493*Settings!$C$13*$D2502</f>
        <v/>
      </c>
      <c r="Y2502" s="16">
        <f>Y2493*Settings!$C$13*$D2502</f>
        <v/>
      </c>
      <c r="Z2502" s="16">
        <f>Z2493*Settings!$C$13*$D2502</f>
        <v/>
      </c>
      <c r="AA2502" s="16">
        <f>AA2493*Settings!$C$13*$D2502</f>
        <v/>
      </c>
      <c r="AB2502" s="16">
        <f>AB2493*Settings!$C$13*$D2502</f>
        <v/>
      </c>
      <c r="AC2502" s="16">
        <f>AC2493*Settings!$C$13*$D2502</f>
        <v/>
      </c>
      <c r="AD2502" s="16">
        <f>AD2493*Settings!$C$13*$D2502</f>
        <v/>
      </c>
      <c r="AE2502" s="49">
        <f>EMISSIONS(AE2493,Settings!$C$13,$D2502)</f>
        <v/>
      </c>
      <c r="AG2502" s="11">
        <f>CodePrefix&amp;$A2502&amp;IF($C2502="","","."&amp;$C2502&amp;"."&amp;$B2502)&amp;INDEX(VarEnd,MATCH($A2502,VarKey,0))&amp;AG$5</f>
        <v/>
      </c>
      <c r="AH2502" s="15">
        <f>AH2493*Settings!$C$13*$D2502</f>
        <v/>
      </c>
      <c r="AI2502" s="16">
        <f>AI2493*Settings!$C$13*$D2502</f>
        <v/>
      </c>
      <c r="AJ2502" s="16">
        <f>AJ2493*Settings!$C$13*$D2502</f>
        <v/>
      </c>
      <c r="AK2502" s="16">
        <f>AK2493*Settings!$C$13*$D2502</f>
        <v/>
      </c>
      <c r="AL2502" s="16">
        <f>AL2493*Settings!$C$13*$D2502</f>
        <v/>
      </c>
      <c r="AM2502" s="16">
        <f>AM2493*Settings!$C$13*$D2502</f>
        <v/>
      </c>
      <c r="AN2502" s="16">
        <f>AN2493*Settings!$C$13*$D2502</f>
        <v/>
      </c>
      <c r="AO2502" s="16">
        <f>AO2493*Settings!$C$13*$D2502</f>
        <v/>
      </c>
      <c r="AP2502" s="16">
        <f>AP2493*Settings!$C$13*$D2502</f>
        <v/>
      </c>
      <c r="AQ2502" s="16">
        <f>AQ2493*Settings!$C$13*$D2502</f>
        <v/>
      </c>
      <c r="AR2502" s="16">
        <f>AR2493*Settings!$C$13*$D2502</f>
        <v/>
      </c>
      <c r="AS2502" s="16">
        <f>AS2493*Settings!$C$13*$D2502</f>
        <v/>
      </c>
      <c r="AT2502" s="16">
        <f>AT2493*Settings!$C$13*$D2502</f>
        <v/>
      </c>
      <c r="AU2502" s="16">
        <f>AU2493*Settings!$C$13*$D2502</f>
        <v/>
      </c>
      <c r="AV2502" s="16">
        <f>AV2493*Settings!$C$13*$D2502</f>
        <v/>
      </c>
      <c r="AW2502" s="16">
        <f>AW2493*Settings!$C$13*$D2502</f>
        <v/>
      </c>
      <c r="AX2502" s="16">
        <f>AX2493*Settings!$C$13*$D2502</f>
        <v/>
      </c>
      <c r="AY2502" s="16">
        <f>AY2493*Settings!$C$13*$D2502</f>
        <v/>
      </c>
      <c r="AZ2502" s="16">
        <f>AZ2493*Settings!$C$13*$D2502</f>
        <v/>
      </c>
      <c r="BA2502" s="49">
        <f>EMISSIONS(BA2493,Settings!$C$13,$D2502)</f>
        <v/>
      </c>
    </row>
    <row r="2503" hidden="1" outlineLevel="2">
      <c r="A2503" s="14" t="inlineStr">
        <is>
          <t>co2</t>
        </is>
      </c>
      <c r="B2503" s="14" t="inlineStr">
        <is>
          <t>nga</t>
        </is>
      </c>
      <c r="C2503" s="14" t="inlineStr">
        <is>
          <t>cem</t>
        </is>
      </c>
      <c r="D2503" s="35">
        <f>INDEX(Inputs!$W$5:$W$132,MATCH($B2503&amp;"|"&amp;$C2503,Inputs!$A$5:$A$132,0))</f>
        <v/>
      </c>
      <c r="E2503" s="39" t="n"/>
      <c r="F2503" s="39" t="n"/>
      <c r="G2503" s="39" t="n"/>
      <c r="H2503" s="14">
        <f>INDEX(VarLab,MATCH($A2503,VarKey,0))&amp;INDEX(MemLab,MATCH($C2503&amp;"|"&amp;$B2503,MemKey,0))</f>
        <v/>
      </c>
      <c r="I2503" s="14">
        <f>INDEX(VarUnit,MATCH($A2503,VarKey,0))</f>
        <v/>
      </c>
      <c r="J2503" s="14">
        <f>INDEX(VarSrc,MATCH($A2503,VarKey,0))</f>
        <v/>
      </c>
      <c r="K2503" s="11">
        <f>CodePrefix&amp;$A2503&amp;IF($C2503="","","."&amp;$C2503&amp;"."&amp;$B2503)&amp;INDEX(VarEnd,MATCH($A2503,VarKey,0))&amp;K$5</f>
        <v/>
      </c>
      <c r="L2503" s="15">
        <f>L2494*Settings!$C$13*$D2503</f>
        <v/>
      </c>
      <c r="M2503" s="16">
        <f>M2494*Settings!$C$13*$D2503</f>
        <v/>
      </c>
      <c r="N2503" s="16">
        <f>N2494*Settings!$C$13*$D2503</f>
        <v/>
      </c>
      <c r="O2503" s="16">
        <f>O2494*Settings!$C$13*$D2503</f>
        <v/>
      </c>
      <c r="P2503" s="16">
        <f>P2494*Settings!$C$13*$D2503</f>
        <v/>
      </c>
      <c r="Q2503" s="16">
        <f>Q2494*Settings!$C$13*$D2503</f>
        <v/>
      </c>
      <c r="R2503" s="16">
        <f>R2494*Settings!$C$13*$D2503</f>
        <v/>
      </c>
      <c r="S2503" s="16">
        <f>S2494*Settings!$C$13*$D2503</f>
        <v/>
      </c>
      <c r="T2503" s="16">
        <f>T2494*Settings!$C$13*$D2503</f>
        <v/>
      </c>
      <c r="U2503" s="16">
        <f>U2494*Settings!$C$13*$D2503</f>
        <v/>
      </c>
      <c r="V2503" s="16">
        <f>V2494*Settings!$C$13*$D2503</f>
        <v/>
      </c>
      <c r="W2503" s="16">
        <f>W2494*Settings!$C$13*$D2503</f>
        <v/>
      </c>
      <c r="X2503" s="16">
        <f>X2494*Settings!$C$13*$D2503</f>
        <v/>
      </c>
      <c r="Y2503" s="16">
        <f>Y2494*Settings!$C$13*$D2503</f>
        <v/>
      </c>
      <c r="Z2503" s="16">
        <f>Z2494*Settings!$C$13*$D2503</f>
        <v/>
      </c>
      <c r="AA2503" s="16">
        <f>AA2494*Settings!$C$13*$D2503</f>
        <v/>
      </c>
      <c r="AB2503" s="16">
        <f>AB2494*Settings!$C$13*$D2503</f>
        <v/>
      </c>
      <c r="AC2503" s="16">
        <f>AC2494*Settings!$C$13*$D2503</f>
        <v/>
      </c>
      <c r="AD2503" s="16">
        <f>AD2494*Settings!$C$13*$D2503</f>
        <v/>
      </c>
      <c r="AE2503" s="49">
        <f>EMISSIONS(AE2494,Settings!$C$13,$D2503)</f>
        <v/>
      </c>
      <c r="AG2503" s="11">
        <f>CodePrefix&amp;$A2503&amp;IF($C2503="","","."&amp;$C2503&amp;"."&amp;$B2503)&amp;INDEX(VarEnd,MATCH($A2503,VarKey,0))&amp;AG$5</f>
        <v/>
      </c>
      <c r="AH2503" s="15">
        <f>AH2494*Settings!$C$13*$D2503</f>
        <v/>
      </c>
      <c r="AI2503" s="16">
        <f>AI2494*Settings!$C$13*$D2503</f>
        <v/>
      </c>
      <c r="AJ2503" s="16">
        <f>AJ2494*Settings!$C$13*$D2503</f>
        <v/>
      </c>
      <c r="AK2503" s="16">
        <f>AK2494*Settings!$C$13*$D2503</f>
        <v/>
      </c>
      <c r="AL2503" s="16">
        <f>AL2494*Settings!$C$13*$D2503</f>
        <v/>
      </c>
      <c r="AM2503" s="16">
        <f>AM2494*Settings!$C$13*$D2503</f>
        <v/>
      </c>
      <c r="AN2503" s="16">
        <f>AN2494*Settings!$C$13*$D2503</f>
        <v/>
      </c>
      <c r="AO2503" s="16">
        <f>AO2494*Settings!$C$13*$D2503</f>
        <v/>
      </c>
      <c r="AP2503" s="16">
        <f>AP2494*Settings!$C$13*$D2503</f>
        <v/>
      </c>
      <c r="AQ2503" s="16">
        <f>AQ2494*Settings!$C$13*$D2503</f>
        <v/>
      </c>
      <c r="AR2503" s="16">
        <f>AR2494*Settings!$C$13*$D2503</f>
        <v/>
      </c>
      <c r="AS2503" s="16">
        <f>AS2494*Settings!$C$13*$D2503</f>
        <v/>
      </c>
      <c r="AT2503" s="16">
        <f>AT2494*Settings!$C$13*$D2503</f>
        <v/>
      </c>
      <c r="AU2503" s="16">
        <f>AU2494*Settings!$C$13*$D2503</f>
        <v/>
      </c>
      <c r="AV2503" s="16">
        <f>AV2494*Settings!$C$13*$D2503</f>
        <v/>
      </c>
      <c r="AW2503" s="16">
        <f>AW2494*Settings!$C$13*$D2503</f>
        <v/>
      </c>
      <c r="AX2503" s="16">
        <f>AX2494*Settings!$C$13*$D2503</f>
        <v/>
      </c>
      <c r="AY2503" s="16">
        <f>AY2494*Settings!$C$13*$D2503</f>
        <v/>
      </c>
      <c r="AZ2503" s="16">
        <f>AZ2494*Settings!$C$13*$D2503</f>
        <v/>
      </c>
      <c r="BA2503" s="49">
        <f>EMISSIONS(BA2494,Settings!$C$13,$D2503)</f>
        <v/>
      </c>
    </row>
    <row r="2504" hidden="1" outlineLevel="2">
      <c r="A2504" s="14" t="inlineStr">
        <is>
          <t>co2</t>
        </is>
      </c>
      <c r="B2504" s="14" t="inlineStr">
        <is>
          <t>gso</t>
        </is>
      </c>
      <c r="C2504" s="14" t="inlineStr">
        <is>
          <t>cem</t>
        </is>
      </c>
      <c r="D2504" s="35">
        <f>INDEX(Inputs!$W$5:$W$132,MATCH($B2504&amp;"|"&amp;$C2504,Inputs!$A$5:$A$132,0))</f>
        <v/>
      </c>
      <c r="E2504" s="39" t="n"/>
      <c r="F2504" s="39" t="n"/>
      <c r="G2504" s="39" t="n"/>
      <c r="H2504" s="14">
        <f>INDEX(VarLab,MATCH($A2504,VarKey,0))&amp;INDEX(MemLab,MATCH($C2504&amp;"|"&amp;$B2504,MemKey,0))</f>
        <v/>
      </c>
      <c r="I2504" s="14">
        <f>INDEX(VarUnit,MATCH($A2504,VarKey,0))</f>
        <v/>
      </c>
      <c r="J2504" s="14">
        <f>INDEX(VarSrc,MATCH($A2504,VarKey,0))</f>
        <v/>
      </c>
      <c r="K2504" s="11">
        <f>CodePrefix&amp;$A2504&amp;IF($C2504="","","."&amp;$C2504&amp;"."&amp;$B2504)&amp;INDEX(VarEnd,MATCH($A2504,VarKey,0))&amp;K$5</f>
        <v/>
      </c>
      <c r="L2504" s="15">
        <f>L2495*Settings!$C$13*$D2504</f>
        <v/>
      </c>
      <c r="M2504" s="16">
        <f>M2495*Settings!$C$13*$D2504</f>
        <v/>
      </c>
      <c r="N2504" s="16">
        <f>N2495*Settings!$C$13*$D2504</f>
        <v/>
      </c>
      <c r="O2504" s="16">
        <f>O2495*Settings!$C$13*$D2504</f>
        <v/>
      </c>
      <c r="P2504" s="16">
        <f>P2495*Settings!$C$13*$D2504</f>
        <v/>
      </c>
      <c r="Q2504" s="16">
        <f>Q2495*Settings!$C$13*$D2504</f>
        <v/>
      </c>
      <c r="R2504" s="16">
        <f>R2495*Settings!$C$13*$D2504</f>
        <v/>
      </c>
      <c r="S2504" s="16">
        <f>S2495*Settings!$C$13*$D2504</f>
        <v/>
      </c>
      <c r="T2504" s="16">
        <f>T2495*Settings!$C$13*$D2504</f>
        <v/>
      </c>
      <c r="U2504" s="16">
        <f>U2495*Settings!$C$13*$D2504</f>
        <v/>
      </c>
      <c r="V2504" s="16">
        <f>V2495*Settings!$C$13*$D2504</f>
        <v/>
      </c>
      <c r="W2504" s="16">
        <f>W2495*Settings!$C$13*$D2504</f>
        <v/>
      </c>
      <c r="X2504" s="16">
        <f>X2495*Settings!$C$13*$D2504</f>
        <v/>
      </c>
      <c r="Y2504" s="16">
        <f>Y2495*Settings!$C$13*$D2504</f>
        <v/>
      </c>
      <c r="Z2504" s="16">
        <f>Z2495*Settings!$C$13*$D2504</f>
        <v/>
      </c>
      <c r="AA2504" s="16">
        <f>AA2495*Settings!$C$13*$D2504</f>
        <v/>
      </c>
      <c r="AB2504" s="16">
        <f>AB2495*Settings!$C$13*$D2504</f>
        <v/>
      </c>
      <c r="AC2504" s="16">
        <f>AC2495*Settings!$C$13*$D2504</f>
        <v/>
      </c>
      <c r="AD2504" s="16">
        <f>AD2495*Settings!$C$13*$D2504</f>
        <v/>
      </c>
      <c r="AE2504" s="49">
        <f>EMISSIONS(AE2495,Settings!$C$13,$D2504)</f>
        <v/>
      </c>
      <c r="AG2504" s="11">
        <f>CodePrefix&amp;$A2504&amp;IF($C2504="","","."&amp;$C2504&amp;"."&amp;$B2504)&amp;INDEX(VarEnd,MATCH($A2504,VarKey,0))&amp;AG$5</f>
        <v/>
      </c>
      <c r="AH2504" s="15">
        <f>AH2495*Settings!$C$13*$D2504</f>
        <v/>
      </c>
      <c r="AI2504" s="16">
        <f>AI2495*Settings!$C$13*$D2504</f>
        <v/>
      </c>
      <c r="AJ2504" s="16">
        <f>AJ2495*Settings!$C$13*$D2504</f>
        <v/>
      </c>
      <c r="AK2504" s="16">
        <f>AK2495*Settings!$C$13*$D2504</f>
        <v/>
      </c>
      <c r="AL2504" s="16">
        <f>AL2495*Settings!$C$13*$D2504</f>
        <v/>
      </c>
      <c r="AM2504" s="16">
        <f>AM2495*Settings!$C$13*$D2504</f>
        <v/>
      </c>
      <c r="AN2504" s="16">
        <f>AN2495*Settings!$C$13*$D2504</f>
        <v/>
      </c>
      <c r="AO2504" s="16">
        <f>AO2495*Settings!$C$13*$D2504</f>
        <v/>
      </c>
      <c r="AP2504" s="16">
        <f>AP2495*Settings!$C$13*$D2504</f>
        <v/>
      </c>
      <c r="AQ2504" s="16">
        <f>AQ2495*Settings!$C$13*$D2504</f>
        <v/>
      </c>
      <c r="AR2504" s="16">
        <f>AR2495*Settings!$C$13*$D2504</f>
        <v/>
      </c>
      <c r="AS2504" s="16">
        <f>AS2495*Settings!$C$13*$D2504</f>
        <v/>
      </c>
      <c r="AT2504" s="16">
        <f>AT2495*Settings!$C$13*$D2504</f>
        <v/>
      </c>
      <c r="AU2504" s="16">
        <f>AU2495*Settings!$C$13*$D2504</f>
        <v/>
      </c>
      <c r="AV2504" s="16">
        <f>AV2495*Settings!$C$13*$D2504</f>
        <v/>
      </c>
      <c r="AW2504" s="16">
        <f>AW2495*Settings!$C$13*$D2504</f>
        <v/>
      </c>
      <c r="AX2504" s="16">
        <f>AX2495*Settings!$C$13*$D2504</f>
        <v/>
      </c>
      <c r="AY2504" s="16">
        <f>AY2495*Settings!$C$13*$D2504</f>
        <v/>
      </c>
      <c r="AZ2504" s="16">
        <f>AZ2495*Settings!$C$13*$D2504</f>
        <v/>
      </c>
      <c r="BA2504" s="49">
        <f>EMISSIONS(BA2495,Settings!$C$13,$D2504)</f>
        <v/>
      </c>
    </row>
    <row r="2505" hidden="1" outlineLevel="2">
      <c r="A2505" s="14" t="inlineStr">
        <is>
          <t>co2</t>
        </is>
      </c>
      <c r="B2505" s="14" t="inlineStr">
        <is>
          <t>die</t>
        </is>
      </c>
      <c r="C2505" s="14" t="inlineStr">
        <is>
          <t>cem</t>
        </is>
      </c>
      <c r="D2505" s="35">
        <f>INDEX(Inputs!$W$5:$W$132,MATCH($B2505&amp;"|"&amp;$C2505,Inputs!$A$5:$A$132,0))</f>
        <v/>
      </c>
      <c r="E2505" s="39" t="n"/>
      <c r="F2505" s="39" t="n"/>
      <c r="G2505" s="39" t="n"/>
      <c r="H2505" s="14">
        <f>INDEX(VarLab,MATCH($A2505,VarKey,0))&amp;INDEX(MemLab,MATCH($C2505&amp;"|"&amp;$B2505,MemKey,0))</f>
        <v/>
      </c>
      <c r="I2505" s="14">
        <f>INDEX(VarUnit,MATCH($A2505,VarKey,0))</f>
        <v/>
      </c>
      <c r="J2505" s="14">
        <f>INDEX(VarSrc,MATCH($A2505,VarKey,0))</f>
        <v/>
      </c>
      <c r="K2505" s="11">
        <f>CodePrefix&amp;$A2505&amp;IF($C2505="","","."&amp;$C2505&amp;"."&amp;$B2505)&amp;INDEX(VarEnd,MATCH($A2505,VarKey,0))&amp;K$5</f>
        <v/>
      </c>
      <c r="L2505" s="15">
        <f>L2496*Settings!$C$13*$D2505</f>
        <v/>
      </c>
      <c r="M2505" s="16">
        <f>M2496*Settings!$C$13*$D2505</f>
        <v/>
      </c>
      <c r="N2505" s="16">
        <f>N2496*Settings!$C$13*$D2505</f>
        <v/>
      </c>
      <c r="O2505" s="16">
        <f>O2496*Settings!$C$13*$D2505</f>
        <v/>
      </c>
      <c r="P2505" s="16">
        <f>P2496*Settings!$C$13*$D2505</f>
        <v/>
      </c>
      <c r="Q2505" s="16">
        <f>Q2496*Settings!$C$13*$D2505</f>
        <v/>
      </c>
      <c r="R2505" s="16">
        <f>R2496*Settings!$C$13*$D2505</f>
        <v/>
      </c>
      <c r="S2505" s="16">
        <f>S2496*Settings!$C$13*$D2505</f>
        <v/>
      </c>
      <c r="T2505" s="16">
        <f>T2496*Settings!$C$13*$D2505</f>
        <v/>
      </c>
      <c r="U2505" s="16">
        <f>U2496*Settings!$C$13*$D2505</f>
        <v/>
      </c>
      <c r="V2505" s="16">
        <f>V2496*Settings!$C$13*$D2505</f>
        <v/>
      </c>
      <c r="W2505" s="16">
        <f>W2496*Settings!$C$13*$D2505</f>
        <v/>
      </c>
      <c r="X2505" s="16">
        <f>X2496*Settings!$C$13*$D2505</f>
        <v/>
      </c>
      <c r="Y2505" s="16">
        <f>Y2496*Settings!$C$13*$D2505</f>
        <v/>
      </c>
      <c r="Z2505" s="16">
        <f>Z2496*Settings!$C$13*$D2505</f>
        <v/>
      </c>
      <c r="AA2505" s="16">
        <f>AA2496*Settings!$C$13*$D2505</f>
        <v/>
      </c>
      <c r="AB2505" s="16">
        <f>AB2496*Settings!$C$13*$D2505</f>
        <v/>
      </c>
      <c r="AC2505" s="16">
        <f>AC2496*Settings!$C$13*$D2505</f>
        <v/>
      </c>
      <c r="AD2505" s="16">
        <f>AD2496*Settings!$C$13*$D2505</f>
        <v/>
      </c>
      <c r="AE2505" s="49">
        <f>EMISSIONS(AE2496,Settings!$C$13,$D2505)</f>
        <v/>
      </c>
      <c r="AG2505" s="11">
        <f>CodePrefix&amp;$A2505&amp;IF($C2505="","","."&amp;$C2505&amp;"."&amp;$B2505)&amp;INDEX(VarEnd,MATCH($A2505,VarKey,0))&amp;AG$5</f>
        <v/>
      </c>
      <c r="AH2505" s="15">
        <f>AH2496*Settings!$C$13*$D2505</f>
        <v/>
      </c>
      <c r="AI2505" s="16">
        <f>AI2496*Settings!$C$13*$D2505</f>
        <v/>
      </c>
      <c r="AJ2505" s="16">
        <f>AJ2496*Settings!$C$13*$D2505</f>
        <v/>
      </c>
      <c r="AK2505" s="16">
        <f>AK2496*Settings!$C$13*$D2505</f>
        <v/>
      </c>
      <c r="AL2505" s="16">
        <f>AL2496*Settings!$C$13*$D2505</f>
        <v/>
      </c>
      <c r="AM2505" s="16">
        <f>AM2496*Settings!$C$13*$D2505</f>
        <v/>
      </c>
      <c r="AN2505" s="16">
        <f>AN2496*Settings!$C$13*$D2505</f>
        <v/>
      </c>
      <c r="AO2505" s="16">
        <f>AO2496*Settings!$C$13*$D2505</f>
        <v/>
      </c>
      <c r="AP2505" s="16">
        <f>AP2496*Settings!$C$13*$D2505</f>
        <v/>
      </c>
      <c r="AQ2505" s="16">
        <f>AQ2496*Settings!$C$13*$D2505</f>
        <v/>
      </c>
      <c r="AR2505" s="16">
        <f>AR2496*Settings!$C$13*$D2505</f>
        <v/>
      </c>
      <c r="AS2505" s="16">
        <f>AS2496*Settings!$C$13*$D2505</f>
        <v/>
      </c>
      <c r="AT2505" s="16">
        <f>AT2496*Settings!$C$13*$D2505</f>
        <v/>
      </c>
      <c r="AU2505" s="16">
        <f>AU2496*Settings!$C$13*$D2505</f>
        <v/>
      </c>
      <c r="AV2505" s="16">
        <f>AV2496*Settings!$C$13*$D2505</f>
        <v/>
      </c>
      <c r="AW2505" s="16">
        <f>AW2496*Settings!$C$13*$D2505</f>
        <v/>
      </c>
      <c r="AX2505" s="16">
        <f>AX2496*Settings!$C$13*$D2505</f>
        <v/>
      </c>
      <c r="AY2505" s="16">
        <f>AY2496*Settings!$C$13*$D2505</f>
        <v/>
      </c>
      <c r="AZ2505" s="16">
        <f>AZ2496*Settings!$C$13*$D2505</f>
        <v/>
      </c>
      <c r="BA2505" s="49">
        <f>EMISSIONS(BA2496,Settings!$C$13,$D2505)</f>
        <v/>
      </c>
    </row>
    <row r="2506" hidden="1" outlineLevel="2">
      <c r="A2506" s="14" t="inlineStr">
        <is>
          <t>co2</t>
        </is>
      </c>
      <c r="B2506" s="14" t="inlineStr">
        <is>
          <t>lpg</t>
        </is>
      </c>
      <c r="C2506" s="14" t="inlineStr">
        <is>
          <t>cem</t>
        </is>
      </c>
      <c r="D2506" s="35">
        <f>INDEX(Inputs!$W$5:$W$132,MATCH($B2506&amp;"|"&amp;$C2506,Inputs!$A$5:$A$132,0))</f>
        <v/>
      </c>
      <c r="E2506" s="39" t="n"/>
      <c r="F2506" s="39" t="n"/>
      <c r="G2506" s="39" t="n"/>
      <c r="H2506" s="14">
        <f>INDEX(VarLab,MATCH($A2506,VarKey,0))&amp;INDEX(MemLab,MATCH($C2506&amp;"|"&amp;$B2506,MemKey,0))</f>
        <v/>
      </c>
      <c r="I2506" s="14">
        <f>INDEX(VarUnit,MATCH($A2506,VarKey,0))</f>
        <v/>
      </c>
      <c r="J2506" s="14">
        <f>INDEX(VarSrc,MATCH($A2506,VarKey,0))</f>
        <v/>
      </c>
      <c r="K2506" s="11">
        <f>CodePrefix&amp;$A2506&amp;IF($C2506="","","."&amp;$C2506&amp;"."&amp;$B2506)&amp;INDEX(VarEnd,MATCH($A2506,VarKey,0))&amp;K$5</f>
        <v/>
      </c>
      <c r="L2506" s="15">
        <f>L2497*Settings!$C$13*$D2506</f>
        <v/>
      </c>
      <c r="M2506" s="16">
        <f>M2497*Settings!$C$13*$D2506</f>
        <v/>
      </c>
      <c r="N2506" s="16">
        <f>N2497*Settings!$C$13*$D2506</f>
        <v/>
      </c>
      <c r="O2506" s="16">
        <f>O2497*Settings!$C$13*$D2506</f>
        <v/>
      </c>
      <c r="P2506" s="16">
        <f>P2497*Settings!$C$13*$D2506</f>
        <v/>
      </c>
      <c r="Q2506" s="16">
        <f>Q2497*Settings!$C$13*$D2506</f>
        <v/>
      </c>
      <c r="R2506" s="16">
        <f>R2497*Settings!$C$13*$D2506</f>
        <v/>
      </c>
      <c r="S2506" s="16">
        <f>S2497*Settings!$C$13*$D2506</f>
        <v/>
      </c>
      <c r="T2506" s="16">
        <f>T2497*Settings!$C$13*$D2506</f>
        <v/>
      </c>
      <c r="U2506" s="16">
        <f>U2497*Settings!$C$13*$D2506</f>
        <v/>
      </c>
      <c r="V2506" s="16">
        <f>V2497*Settings!$C$13*$D2506</f>
        <v/>
      </c>
      <c r="W2506" s="16">
        <f>W2497*Settings!$C$13*$D2506</f>
        <v/>
      </c>
      <c r="X2506" s="16">
        <f>X2497*Settings!$C$13*$D2506</f>
        <v/>
      </c>
      <c r="Y2506" s="16">
        <f>Y2497*Settings!$C$13*$D2506</f>
        <v/>
      </c>
      <c r="Z2506" s="16">
        <f>Z2497*Settings!$C$13*$D2506</f>
        <v/>
      </c>
      <c r="AA2506" s="16">
        <f>AA2497*Settings!$C$13*$D2506</f>
        <v/>
      </c>
      <c r="AB2506" s="16">
        <f>AB2497*Settings!$C$13*$D2506</f>
        <v/>
      </c>
      <c r="AC2506" s="16">
        <f>AC2497*Settings!$C$13*$D2506</f>
        <v/>
      </c>
      <c r="AD2506" s="16">
        <f>AD2497*Settings!$C$13*$D2506</f>
        <v/>
      </c>
      <c r="AE2506" s="49">
        <f>EMISSIONS(AE2497,Settings!$C$13,$D2506)</f>
        <v/>
      </c>
      <c r="AG2506" s="11">
        <f>CodePrefix&amp;$A2506&amp;IF($C2506="","","."&amp;$C2506&amp;"."&amp;$B2506)&amp;INDEX(VarEnd,MATCH($A2506,VarKey,0))&amp;AG$5</f>
        <v/>
      </c>
      <c r="AH2506" s="15">
        <f>AH2497*Settings!$C$13*$D2506</f>
        <v/>
      </c>
      <c r="AI2506" s="16">
        <f>AI2497*Settings!$C$13*$D2506</f>
        <v/>
      </c>
      <c r="AJ2506" s="16">
        <f>AJ2497*Settings!$C$13*$D2506</f>
        <v/>
      </c>
      <c r="AK2506" s="16">
        <f>AK2497*Settings!$C$13*$D2506</f>
        <v/>
      </c>
      <c r="AL2506" s="16">
        <f>AL2497*Settings!$C$13*$D2506</f>
        <v/>
      </c>
      <c r="AM2506" s="16">
        <f>AM2497*Settings!$C$13*$D2506</f>
        <v/>
      </c>
      <c r="AN2506" s="16">
        <f>AN2497*Settings!$C$13*$D2506</f>
        <v/>
      </c>
      <c r="AO2506" s="16">
        <f>AO2497*Settings!$C$13*$D2506</f>
        <v/>
      </c>
      <c r="AP2506" s="16">
        <f>AP2497*Settings!$C$13*$D2506</f>
        <v/>
      </c>
      <c r="AQ2506" s="16">
        <f>AQ2497*Settings!$C$13*$D2506</f>
        <v/>
      </c>
      <c r="AR2506" s="16">
        <f>AR2497*Settings!$C$13*$D2506</f>
        <v/>
      </c>
      <c r="AS2506" s="16">
        <f>AS2497*Settings!$C$13*$D2506</f>
        <v/>
      </c>
      <c r="AT2506" s="16">
        <f>AT2497*Settings!$C$13*$D2506</f>
        <v/>
      </c>
      <c r="AU2506" s="16">
        <f>AU2497*Settings!$C$13*$D2506</f>
        <v/>
      </c>
      <c r="AV2506" s="16">
        <f>AV2497*Settings!$C$13*$D2506</f>
        <v/>
      </c>
      <c r="AW2506" s="16">
        <f>AW2497*Settings!$C$13*$D2506</f>
        <v/>
      </c>
      <c r="AX2506" s="16">
        <f>AX2497*Settings!$C$13*$D2506</f>
        <v/>
      </c>
      <c r="AY2506" s="16">
        <f>AY2497*Settings!$C$13*$D2506</f>
        <v/>
      </c>
      <c r="AZ2506" s="16">
        <f>AZ2497*Settings!$C$13*$D2506</f>
        <v/>
      </c>
      <c r="BA2506" s="49">
        <f>EMISSIONS(BA2497,Settings!$C$13,$D2506)</f>
        <v/>
      </c>
    </row>
    <row r="2507" hidden="1" outlineLevel="2">
      <c r="A2507" s="14" t="inlineStr">
        <is>
          <t>co2</t>
        </is>
      </c>
      <c r="B2507" s="14" t="inlineStr">
        <is>
          <t>ker</t>
        </is>
      </c>
      <c r="C2507" s="14" t="inlineStr">
        <is>
          <t>cem</t>
        </is>
      </c>
      <c r="D2507" s="35">
        <f>INDEX(Inputs!$W$5:$W$132,MATCH($B2507&amp;"|"&amp;$C2507,Inputs!$A$5:$A$132,0))</f>
        <v/>
      </c>
      <c r="E2507" s="39" t="n"/>
      <c r="F2507" s="39" t="n"/>
      <c r="G2507" s="39" t="n"/>
      <c r="H2507" s="14">
        <f>INDEX(VarLab,MATCH($A2507,VarKey,0))&amp;INDEX(MemLab,MATCH($C2507&amp;"|"&amp;$B2507,MemKey,0))</f>
        <v/>
      </c>
      <c r="I2507" s="14">
        <f>INDEX(VarUnit,MATCH($A2507,VarKey,0))</f>
        <v/>
      </c>
      <c r="J2507" s="14">
        <f>INDEX(VarSrc,MATCH($A2507,VarKey,0))</f>
        <v/>
      </c>
      <c r="K2507" s="11">
        <f>CodePrefix&amp;$A2507&amp;IF($C2507="","","."&amp;$C2507&amp;"."&amp;$B2507)&amp;INDEX(VarEnd,MATCH($A2507,VarKey,0))&amp;K$5</f>
        <v/>
      </c>
      <c r="L2507" s="15">
        <f>L2498*Settings!$C$13*$D2507</f>
        <v/>
      </c>
      <c r="M2507" s="16">
        <f>M2498*Settings!$C$13*$D2507</f>
        <v/>
      </c>
      <c r="N2507" s="16">
        <f>N2498*Settings!$C$13*$D2507</f>
        <v/>
      </c>
      <c r="O2507" s="16">
        <f>O2498*Settings!$C$13*$D2507</f>
        <v/>
      </c>
      <c r="P2507" s="16">
        <f>P2498*Settings!$C$13*$D2507</f>
        <v/>
      </c>
      <c r="Q2507" s="16">
        <f>Q2498*Settings!$C$13*$D2507</f>
        <v/>
      </c>
      <c r="R2507" s="16">
        <f>R2498*Settings!$C$13*$D2507</f>
        <v/>
      </c>
      <c r="S2507" s="16">
        <f>S2498*Settings!$C$13*$D2507</f>
        <v/>
      </c>
      <c r="T2507" s="16">
        <f>T2498*Settings!$C$13*$D2507</f>
        <v/>
      </c>
      <c r="U2507" s="16">
        <f>U2498*Settings!$C$13*$D2507</f>
        <v/>
      </c>
      <c r="V2507" s="16">
        <f>V2498*Settings!$C$13*$D2507</f>
        <v/>
      </c>
      <c r="W2507" s="16">
        <f>W2498*Settings!$C$13*$D2507</f>
        <v/>
      </c>
      <c r="X2507" s="16">
        <f>X2498*Settings!$C$13*$D2507</f>
        <v/>
      </c>
      <c r="Y2507" s="16">
        <f>Y2498*Settings!$C$13*$D2507</f>
        <v/>
      </c>
      <c r="Z2507" s="16">
        <f>Z2498*Settings!$C$13*$D2507</f>
        <v/>
      </c>
      <c r="AA2507" s="16">
        <f>AA2498*Settings!$C$13*$D2507</f>
        <v/>
      </c>
      <c r="AB2507" s="16">
        <f>AB2498*Settings!$C$13*$D2507</f>
        <v/>
      </c>
      <c r="AC2507" s="16">
        <f>AC2498*Settings!$C$13*$D2507</f>
        <v/>
      </c>
      <c r="AD2507" s="16">
        <f>AD2498*Settings!$C$13*$D2507</f>
        <v/>
      </c>
      <c r="AE2507" s="49">
        <f>EMISSIONS(AE2498,Settings!$C$13,$D2507)</f>
        <v/>
      </c>
      <c r="AG2507" s="11">
        <f>CodePrefix&amp;$A2507&amp;IF($C2507="","","."&amp;$C2507&amp;"."&amp;$B2507)&amp;INDEX(VarEnd,MATCH($A2507,VarKey,0))&amp;AG$5</f>
        <v/>
      </c>
      <c r="AH2507" s="15">
        <f>AH2498*Settings!$C$13*$D2507</f>
        <v/>
      </c>
      <c r="AI2507" s="16">
        <f>AI2498*Settings!$C$13*$D2507</f>
        <v/>
      </c>
      <c r="AJ2507" s="16">
        <f>AJ2498*Settings!$C$13*$D2507</f>
        <v/>
      </c>
      <c r="AK2507" s="16">
        <f>AK2498*Settings!$C$13*$D2507</f>
        <v/>
      </c>
      <c r="AL2507" s="16">
        <f>AL2498*Settings!$C$13*$D2507</f>
        <v/>
      </c>
      <c r="AM2507" s="16">
        <f>AM2498*Settings!$C$13*$D2507</f>
        <v/>
      </c>
      <c r="AN2507" s="16">
        <f>AN2498*Settings!$C$13*$D2507</f>
        <v/>
      </c>
      <c r="AO2507" s="16">
        <f>AO2498*Settings!$C$13*$D2507</f>
        <v/>
      </c>
      <c r="AP2507" s="16">
        <f>AP2498*Settings!$C$13*$D2507</f>
        <v/>
      </c>
      <c r="AQ2507" s="16">
        <f>AQ2498*Settings!$C$13*$D2507</f>
        <v/>
      </c>
      <c r="AR2507" s="16">
        <f>AR2498*Settings!$C$13*$D2507</f>
        <v/>
      </c>
      <c r="AS2507" s="16">
        <f>AS2498*Settings!$C$13*$D2507</f>
        <v/>
      </c>
      <c r="AT2507" s="16">
        <f>AT2498*Settings!$C$13*$D2507</f>
        <v/>
      </c>
      <c r="AU2507" s="16">
        <f>AU2498*Settings!$C$13*$D2507</f>
        <v/>
      </c>
      <c r="AV2507" s="16">
        <f>AV2498*Settings!$C$13*$D2507</f>
        <v/>
      </c>
      <c r="AW2507" s="16">
        <f>AW2498*Settings!$C$13*$D2507</f>
        <v/>
      </c>
      <c r="AX2507" s="16">
        <f>AX2498*Settings!$C$13*$D2507</f>
        <v/>
      </c>
      <c r="AY2507" s="16">
        <f>AY2498*Settings!$C$13*$D2507</f>
        <v/>
      </c>
      <c r="AZ2507" s="16">
        <f>AZ2498*Settings!$C$13*$D2507</f>
        <v/>
      </c>
      <c r="BA2507" s="49">
        <f>EMISSIONS(BA2498,Settings!$C$13,$D2507)</f>
        <v/>
      </c>
    </row>
    <row r="2508" hidden="1" outlineLevel="2">
      <c r="A2508" s="14" t="inlineStr">
        <is>
          <t>co2</t>
        </is>
      </c>
      <c r="B2508" s="14" t="inlineStr">
        <is>
          <t>oop</t>
        </is>
      </c>
      <c r="C2508" s="14" t="inlineStr">
        <is>
          <t>cem</t>
        </is>
      </c>
      <c r="D2508" s="35">
        <f>INDEX(Inputs!$W$5:$W$132,MATCH($B2508&amp;"|"&amp;$C2508,Inputs!$A$5:$A$132,0))</f>
        <v/>
      </c>
      <c r="E2508" s="39" t="n"/>
      <c r="F2508" s="39" t="n"/>
      <c r="G2508" s="39" t="n"/>
      <c r="H2508" s="14">
        <f>INDEX(VarLab,MATCH($A2508,VarKey,0))&amp;INDEX(MemLab,MATCH($C2508&amp;"|"&amp;$B2508,MemKey,0))</f>
        <v/>
      </c>
      <c r="I2508" s="14">
        <f>INDEX(VarUnit,MATCH($A2508,VarKey,0))</f>
        <v/>
      </c>
      <c r="J2508" s="14">
        <f>INDEX(VarSrc,MATCH($A2508,VarKey,0))</f>
        <v/>
      </c>
      <c r="K2508" s="11">
        <f>CodePrefix&amp;$A2508&amp;IF($C2508="","","."&amp;$C2508&amp;"."&amp;$B2508)&amp;INDEX(VarEnd,MATCH($A2508,VarKey,0))&amp;K$5</f>
        <v/>
      </c>
      <c r="L2508" s="15">
        <f>L2499*Settings!$C$13*$D2508</f>
        <v/>
      </c>
      <c r="M2508" s="16">
        <f>M2499*Settings!$C$13*$D2508</f>
        <v/>
      </c>
      <c r="N2508" s="16">
        <f>N2499*Settings!$C$13*$D2508</f>
        <v/>
      </c>
      <c r="O2508" s="16">
        <f>O2499*Settings!$C$13*$D2508</f>
        <v/>
      </c>
      <c r="P2508" s="16">
        <f>P2499*Settings!$C$13*$D2508</f>
        <v/>
      </c>
      <c r="Q2508" s="16">
        <f>Q2499*Settings!$C$13*$D2508</f>
        <v/>
      </c>
      <c r="R2508" s="16">
        <f>R2499*Settings!$C$13*$D2508</f>
        <v/>
      </c>
      <c r="S2508" s="16">
        <f>S2499*Settings!$C$13*$D2508</f>
        <v/>
      </c>
      <c r="T2508" s="16">
        <f>T2499*Settings!$C$13*$D2508</f>
        <v/>
      </c>
      <c r="U2508" s="16">
        <f>U2499*Settings!$C$13*$D2508</f>
        <v/>
      </c>
      <c r="V2508" s="16">
        <f>V2499*Settings!$C$13*$D2508</f>
        <v/>
      </c>
      <c r="W2508" s="16">
        <f>W2499*Settings!$C$13*$D2508</f>
        <v/>
      </c>
      <c r="X2508" s="16">
        <f>X2499*Settings!$C$13*$D2508</f>
        <v/>
      </c>
      <c r="Y2508" s="16">
        <f>Y2499*Settings!$C$13*$D2508</f>
        <v/>
      </c>
      <c r="Z2508" s="16">
        <f>Z2499*Settings!$C$13*$D2508</f>
        <v/>
      </c>
      <c r="AA2508" s="16">
        <f>AA2499*Settings!$C$13*$D2508</f>
        <v/>
      </c>
      <c r="AB2508" s="16">
        <f>AB2499*Settings!$C$13*$D2508</f>
        <v/>
      </c>
      <c r="AC2508" s="16">
        <f>AC2499*Settings!$C$13*$D2508</f>
        <v/>
      </c>
      <c r="AD2508" s="16">
        <f>AD2499*Settings!$C$13*$D2508</f>
        <v/>
      </c>
      <c r="AE2508" s="49">
        <f>EMISSIONS(AE2499,Settings!$C$13,$D2508)</f>
        <v/>
      </c>
      <c r="AG2508" s="11">
        <f>CodePrefix&amp;$A2508&amp;IF($C2508="","","."&amp;$C2508&amp;"."&amp;$B2508)&amp;INDEX(VarEnd,MATCH($A2508,VarKey,0))&amp;AG$5</f>
        <v/>
      </c>
      <c r="AH2508" s="15">
        <f>AH2499*Settings!$C$13*$D2508</f>
        <v/>
      </c>
      <c r="AI2508" s="16">
        <f>AI2499*Settings!$C$13*$D2508</f>
        <v/>
      </c>
      <c r="AJ2508" s="16">
        <f>AJ2499*Settings!$C$13*$D2508</f>
        <v/>
      </c>
      <c r="AK2508" s="16">
        <f>AK2499*Settings!$C$13*$D2508</f>
        <v/>
      </c>
      <c r="AL2508" s="16">
        <f>AL2499*Settings!$C$13*$D2508</f>
        <v/>
      </c>
      <c r="AM2508" s="16">
        <f>AM2499*Settings!$C$13*$D2508</f>
        <v/>
      </c>
      <c r="AN2508" s="16">
        <f>AN2499*Settings!$C$13*$D2508</f>
        <v/>
      </c>
      <c r="AO2508" s="16">
        <f>AO2499*Settings!$C$13*$D2508</f>
        <v/>
      </c>
      <c r="AP2508" s="16">
        <f>AP2499*Settings!$C$13*$D2508</f>
        <v/>
      </c>
      <c r="AQ2508" s="16">
        <f>AQ2499*Settings!$C$13*$D2508</f>
        <v/>
      </c>
      <c r="AR2508" s="16">
        <f>AR2499*Settings!$C$13*$D2508</f>
        <v/>
      </c>
      <c r="AS2508" s="16">
        <f>AS2499*Settings!$C$13*$D2508</f>
        <v/>
      </c>
      <c r="AT2508" s="16">
        <f>AT2499*Settings!$C$13*$D2508</f>
        <v/>
      </c>
      <c r="AU2508" s="16">
        <f>AU2499*Settings!$C$13*$D2508</f>
        <v/>
      </c>
      <c r="AV2508" s="16">
        <f>AV2499*Settings!$C$13*$D2508</f>
        <v/>
      </c>
      <c r="AW2508" s="16">
        <f>AW2499*Settings!$C$13*$D2508</f>
        <v/>
      </c>
      <c r="AX2508" s="16">
        <f>AX2499*Settings!$C$13*$D2508</f>
        <v/>
      </c>
      <c r="AY2508" s="16">
        <f>AY2499*Settings!$C$13*$D2508</f>
        <v/>
      </c>
      <c r="AZ2508" s="16">
        <f>AZ2499*Settings!$C$13*$D2508</f>
        <v/>
      </c>
      <c r="BA2508" s="49">
        <f>EMISSIONS(BA2499,Settings!$C$13,$D2508)</f>
        <v/>
      </c>
    </row>
    <row r="2509" hidden="1" outlineLevel="2">
      <c r="A2509" s="14" t="inlineStr">
        <is>
          <t>co2</t>
        </is>
      </c>
      <c r="B2509" s="14" t="inlineStr">
        <is>
          <t>bio</t>
        </is>
      </c>
      <c r="C2509" s="14" t="inlineStr">
        <is>
          <t>cem</t>
        </is>
      </c>
      <c r="D2509" s="35">
        <f>INDEX(Inputs!$W$5:$W$132,MATCH($B2509&amp;"|"&amp;$C2509,Inputs!$A$5:$A$132,0))</f>
        <v/>
      </c>
      <c r="E2509" s="39" t="n"/>
      <c r="F2509" s="39" t="n"/>
      <c r="G2509" s="39" t="n"/>
      <c r="H2509" s="14">
        <f>INDEX(VarLab,MATCH($A2509,VarKey,0))&amp;INDEX(MemLab,MATCH($C2509&amp;"|"&amp;$B2509,MemKey,0))</f>
        <v/>
      </c>
      <c r="I2509" s="14">
        <f>INDEX(VarUnit,MATCH($A2509,VarKey,0))</f>
        <v/>
      </c>
      <c r="J2509" s="14">
        <f>INDEX(VarSrc,MATCH($A2509,VarKey,0))</f>
        <v/>
      </c>
      <c r="K2509" s="11">
        <f>CodePrefix&amp;$A2509&amp;IF($C2509="","","."&amp;$C2509&amp;"."&amp;$B2509)&amp;INDEX(VarEnd,MATCH($A2509,VarKey,0))&amp;K$5</f>
        <v/>
      </c>
      <c r="L2509" s="15">
        <f>L2500*Settings!$C$13*$D2509</f>
        <v/>
      </c>
      <c r="M2509" s="16">
        <f>M2500*Settings!$C$13*$D2509</f>
        <v/>
      </c>
      <c r="N2509" s="16">
        <f>N2500*Settings!$C$13*$D2509</f>
        <v/>
      </c>
      <c r="O2509" s="16">
        <f>O2500*Settings!$C$13*$D2509</f>
        <v/>
      </c>
      <c r="P2509" s="16">
        <f>P2500*Settings!$C$13*$D2509</f>
        <v/>
      </c>
      <c r="Q2509" s="16">
        <f>Q2500*Settings!$C$13*$D2509</f>
        <v/>
      </c>
      <c r="R2509" s="16">
        <f>R2500*Settings!$C$13*$D2509</f>
        <v/>
      </c>
      <c r="S2509" s="16">
        <f>S2500*Settings!$C$13*$D2509</f>
        <v/>
      </c>
      <c r="T2509" s="16">
        <f>T2500*Settings!$C$13*$D2509</f>
        <v/>
      </c>
      <c r="U2509" s="16">
        <f>U2500*Settings!$C$13*$D2509</f>
        <v/>
      </c>
      <c r="V2509" s="16">
        <f>V2500*Settings!$C$13*$D2509</f>
        <v/>
      </c>
      <c r="W2509" s="16">
        <f>W2500*Settings!$C$13*$D2509</f>
        <v/>
      </c>
      <c r="X2509" s="16">
        <f>X2500*Settings!$C$13*$D2509</f>
        <v/>
      </c>
      <c r="Y2509" s="16">
        <f>Y2500*Settings!$C$13*$D2509</f>
        <v/>
      </c>
      <c r="Z2509" s="16">
        <f>Z2500*Settings!$C$13*$D2509</f>
        <v/>
      </c>
      <c r="AA2509" s="16">
        <f>AA2500*Settings!$C$13*$D2509</f>
        <v/>
      </c>
      <c r="AB2509" s="16">
        <f>AB2500*Settings!$C$13*$D2509</f>
        <v/>
      </c>
      <c r="AC2509" s="16">
        <f>AC2500*Settings!$C$13*$D2509</f>
        <v/>
      </c>
      <c r="AD2509" s="16">
        <f>AD2500*Settings!$C$13*$D2509</f>
        <v/>
      </c>
      <c r="AE2509" s="49">
        <f>EMISSIONS(AE2500,Settings!$C$13,$D2509)</f>
        <v/>
      </c>
      <c r="AG2509" s="11">
        <f>CodePrefix&amp;$A2509&amp;IF($C2509="","","."&amp;$C2509&amp;"."&amp;$B2509)&amp;INDEX(VarEnd,MATCH($A2509,VarKey,0))&amp;AG$5</f>
        <v/>
      </c>
      <c r="AH2509" s="15">
        <f>AH2500*Settings!$C$13*$D2509</f>
        <v/>
      </c>
      <c r="AI2509" s="16">
        <f>AI2500*Settings!$C$13*$D2509</f>
        <v/>
      </c>
      <c r="AJ2509" s="16">
        <f>AJ2500*Settings!$C$13*$D2509</f>
        <v/>
      </c>
      <c r="AK2509" s="16">
        <f>AK2500*Settings!$C$13*$D2509</f>
        <v/>
      </c>
      <c r="AL2509" s="16">
        <f>AL2500*Settings!$C$13*$D2509</f>
        <v/>
      </c>
      <c r="AM2509" s="16">
        <f>AM2500*Settings!$C$13*$D2509</f>
        <v/>
      </c>
      <c r="AN2509" s="16">
        <f>AN2500*Settings!$C$13*$D2509</f>
        <v/>
      </c>
      <c r="AO2509" s="16">
        <f>AO2500*Settings!$C$13*$D2509</f>
        <v/>
      </c>
      <c r="AP2509" s="16">
        <f>AP2500*Settings!$C$13*$D2509</f>
        <v/>
      </c>
      <c r="AQ2509" s="16">
        <f>AQ2500*Settings!$C$13*$D2509</f>
        <v/>
      </c>
      <c r="AR2509" s="16">
        <f>AR2500*Settings!$C$13*$D2509</f>
        <v/>
      </c>
      <c r="AS2509" s="16">
        <f>AS2500*Settings!$C$13*$D2509</f>
        <v/>
      </c>
      <c r="AT2509" s="16">
        <f>AT2500*Settings!$C$13*$D2509</f>
        <v/>
      </c>
      <c r="AU2509" s="16">
        <f>AU2500*Settings!$C$13*$D2509</f>
        <v/>
      </c>
      <c r="AV2509" s="16">
        <f>AV2500*Settings!$C$13*$D2509</f>
        <v/>
      </c>
      <c r="AW2509" s="16">
        <f>AW2500*Settings!$C$13*$D2509</f>
        <v/>
      </c>
      <c r="AX2509" s="16">
        <f>AX2500*Settings!$C$13*$D2509</f>
        <v/>
      </c>
      <c r="AY2509" s="16">
        <f>AY2500*Settings!$C$13*$D2509</f>
        <v/>
      </c>
      <c r="AZ2509" s="16">
        <f>AZ2500*Settings!$C$13*$D2509</f>
        <v/>
      </c>
      <c r="BA2509" s="49">
        <f>EMISSIONS(BA2500,Settings!$C$13,$D2509)</f>
        <v/>
      </c>
    </row>
    <row r="2510" hidden="1" outlineLevel="2"/>
    <row r="2511" hidden="1" outlineLevel="2">
      <c r="A2511" s="14" t="inlineStr">
        <is>
          <t>rtx</t>
        </is>
      </c>
      <c r="B2511" s="14" t="inlineStr">
        <is>
          <t>coa</t>
        </is>
      </c>
      <c r="C2511" s="14" t="inlineStr">
        <is>
          <t>cem</t>
        </is>
      </c>
      <c r="D2511" s="35">
        <f>INDEX(Inputs!$U$5:$U$132,MATCH($B2511&amp;"|"&amp;$C2511,Inputs!$A$5:$A$132,0))</f>
        <v/>
      </c>
      <c r="E2511" s="35">
        <f>INDEX(Inputs!$V$5:$V$132,MATCH($B2511&amp;"|"&amp;$C2511,Inputs!$A$5:$A$132,0))</f>
        <v/>
      </c>
      <c r="F2511" s="39" t="n"/>
      <c r="G2511" s="39" t="n"/>
      <c r="H2511" s="14">
        <f>INDEX(VarLab,MATCH($A2511,VarKey,0))&amp;INDEX(MemLab,MATCH($C2511&amp;"|"&amp;$B2511,MemKey,0))</f>
        <v/>
      </c>
      <c r="I2511" s="14">
        <f>INDEX(VarUnit,MATCH($A2511,VarKey,0))</f>
        <v/>
      </c>
      <c r="J2511" s="14">
        <f>INDEX(VarSrc,MATCH($A2511,VarKey,0))</f>
        <v/>
      </c>
      <c r="K2511" s="11">
        <f>CodePrefix&amp;$A2511&amp;IF($C2511="","","."&amp;$C2511&amp;"."&amp;$B2511)&amp;INDEX(VarEnd,MATCH($A2511,VarKey,0))&amp;K$5</f>
        <v/>
      </c>
      <c r="L2511" s="43">
        <f>L2493*Settings!$C$13*(INDEX(L$407:L$418,$D2511)+INDEX(L$394:L$405,$D2511)+L2466*(1+$E2511))</f>
        <v/>
      </c>
      <c r="M2511" s="44">
        <f>M2493*Settings!$C$13*(INDEX(M$407:M$418,$D2511)+INDEX(M$394:M$405,$D2511)+M2466*(1+$E2511))</f>
        <v/>
      </c>
      <c r="N2511" s="44">
        <f>N2493*Settings!$C$13*(INDEX(N$407:N$418,$D2511)+INDEX(N$394:N$405,$D2511)+N2466*(1+$E2511))</f>
        <v/>
      </c>
      <c r="O2511" s="44">
        <f>O2493*Settings!$C$13*(INDEX(O$407:O$418,$D2511)+INDEX(O$394:O$405,$D2511)+O2466*(1+$E2511))</f>
        <v/>
      </c>
      <c r="P2511" s="44">
        <f>P2493*Settings!$C$13*(INDEX(P$407:P$418,$D2511)+INDEX(P$394:P$405,$D2511)+P2466*(1+$E2511))</f>
        <v/>
      </c>
      <c r="Q2511" s="44">
        <f>Q2493*Settings!$C$13*(INDEX(Q$407:Q$418,$D2511)+INDEX(Q$394:Q$405,$D2511)+Q2466*(1+$E2511))</f>
        <v/>
      </c>
      <c r="R2511" s="44">
        <f>R2493*Settings!$C$13*(INDEX(R$407:R$418,$D2511)+INDEX(R$394:R$405,$D2511)+R2466*(1+$E2511))</f>
        <v/>
      </c>
      <c r="S2511" s="44">
        <f>S2493*Settings!$C$13*(INDEX(S$407:S$418,$D2511)+INDEX(S$394:S$405,$D2511)+S2466*(1+$E2511))</f>
        <v/>
      </c>
      <c r="T2511" s="44">
        <f>T2493*Settings!$C$13*(INDEX(T$407:T$418,$D2511)+INDEX(T$394:T$405,$D2511)+T2466*(1+$E2511))</f>
        <v/>
      </c>
      <c r="U2511" s="44">
        <f>U2493*Settings!$C$13*(INDEX(U$407:U$418,$D2511)+INDEX(U$394:U$405,$D2511)+U2466*(1+$E2511))</f>
        <v/>
      </c>
      <c r="V2511" s="44">
        <f>V2493*Settings!$C$13*(INDEX(V$407:V$418,$D2511)+INDEX(V$394:V$405,$D2511)+V2466*(1+$E2511))</f>
        <v/>
      </c>
      <c r="W2511" s="44">
        <f>W2493*Settings!$C$13*(INDEX(W$407:W$418,$D2511)+INDEX(W$394:W$405,$D2511)+W2466*(1+$E2511))</f>
        <v/>
      </c>
      <c r="X2511" s="44">
        <f>X2493*Settings!$C$13*(INDEX(X$407:X$418,$D2511)+INDEX(X$394:X$405,$D2511)+X2466*(1+$E2511))</f>
        <v/>
      </c>
      <c r="Y2511" s="44">
        <f>Y2493*Settings!$C$13*(INDEX(Y$407:Y$418,$D2511)+INDEX(Y$394:Y$405,$D2511)+Y2466*(1+$E2511))</f>
        <v/>
      </c>
      <c r="Z2511" s="44">
        <f>Z2493*Settings!$C$13*(INDEX(Z$407:Z$418,$D2511)+INDEX(Z$394:Z$405,$D2511)+Z2466*(1+$E2511))</f>
        <v/>
      </c>
      <c r="AA2511" s="44">
        <f>AA2493*Settings!$C$13*(INDEX(AA$407:AA$418,$D2511)+INDEX(AA$394:AA$405,$D2511)+AA2466*(1+$E2511))</f>
        <v/>
      </c>
      <c r="AB2511" s="44">
        <f>AB2493*Settings!$C$13*(INDEX(AB$407:AB$418,$D2511)+INDEX(AB$394:AB$405,$D2511)+AB2466*(1+$E2511))</f>
        <v/>
      </c>
      <c r="AC2511" s="44">
        <f>AC2493*Settings!$C$13*(INDEX(AC$407:AC$418,$D2511)+INDEX(AC$394:AC$405,$D2511)+AC2466*(1+$E2511))</f>
        <v/>
      </c>
      <c r="AD2511" s="44">
        <f>AD2493*Settings!$C$13*(INDEX(AD$407:AD$418,$D2511)+INDEX(AD$394:AD$405,$D2511)+AD2466*(1+$E2511))</f>
        <v/>
      </c>
      <c r="AE2511" s="57">
        <f>REVENUE(AE2493,Settings!$C$13,INDEX(AE$407:AE$418,$D2511)+INDEX(AE$394:AE$405,$D2511)+AE2466*(1+$E2511))</f>
        <v/>
      </c>
      <c r="AG2511" s="11">
        <f>CodePrefix&amp;$A2511&amp;IF($C2511="","","."&amp;$C2511&amp;"."&amp;$B2511)&amp;INDEX(VarEnd,MATCH($A2511,VarKey,0))&amp;AG$5</f>
        <v/>
      </c>
      <c r="AH2511" s="43">
        <f>AH2493*Settings!$C$13*(INDEX(AH$407:AH$418,$D2511)+INDEX(AH$394:AH$405,$D2511)+AH2466*(1+$E2511))</f>
        <v/>
      </c>
      <c r="AI2511" s="44">
        <f>AI2493*Settings!$C$13*(INDEX(AI$407:AI$418,$D2511)+INDEX(AI$394:AI$405,$D2511)+AI2466*(1+$E2511))</f>
        <v/>
      </c>
      <c r="AJ2511" s="44">
        <f>AJ2493*Settings!$C$13*(INDEX(AJ$407:AJ$418,$D2511)+INDEX(AJ$394:AJ$405,$D2511)+AJ2466*(1+$E2511))</f>
        <v/>
      </c>
      <c r="AK2511" s="44">
        <f>AK2493*Settings!$C$13*(INDEX(AK$407:AK$418,$D2511)+INDEX(AK$394:AK$405,$D2511)+AK2466*(1+$E2511))</f>
        <v/>
      </c>
      <c r="AL2511" s="44">
        <f>AL2493*Settings!$C$13*(INDEX(AL$407:AL$418,$D2511)+INDEX(AL$394:AL$405,$D2511)+AL2466*(1+$E2511))</f>
        <v/>
      </c>
      <c r="AM2511" s="44">
        <f>AM2493*Settings!$C$13*(INDEX(AM$407:AM$418,$D2511)+INDEX(AM$394:AM$405,$D2511)+AM2466*(1+$E2511))</f>
        <v/>
      </c>
      <c r="AN2511" s="44">
        <f>AN2493*Settings!$C$13*(INDEX(AN$407:AN$418,$D2511)+INDEX(AN$394:AN$405,$D2511)+AN2466*(1+$E2511))</f>
        <v/>
      </c>
      <c r="AO2511" s="44">
        <f>AO2493*Settings!$C$13*(INDEX(AO$407:AO$418,$D2511)+INDEX(AO$394:AO$405,$D2511)+AO2466*(1+$E2511))</f>
        <v/>
      </c>
      <c r="AP2511" s="44">
        <f>AP2493*Settings!$C$13*(INDEX(AP$407:AP$418,$D2511)+INDEX(AP$394:AP$405,$D2511)+AP2466*(1+$E2511))</f>
        <v/>
      </c>
      <c r="AQ2511" s="44">
        <f>AQ2493*Settings!$C$13*(INDEX(AQ$407:AQ$418,$D2511)+INDEX(AQ$394:AQ$405,$D2511)+AQ2466*(1+$E2511))</f>
        <v/>
      </c>
      <c r="AR2511" s="44">
        <f>AR2493*Settings!$C$13*(INDEX(AR$407:AR$418,$D2511)+INDEX(AR$394:AR$405,$D2511)+AR2466*(1+$E2511))</f>
        <v/>
      </c>
      <c r="AS2511" s="44">
        <f>AS2493*Settings!$C$13*(INDEX(AS$407:AS$418,$D2511)+INDEX(AS$394:AS$405,$D2511)+AS2466*(1+$E2511))</f>
        <v/>
      </c>
      <c r="AT2511" s="44">
        <f>AT2493*Settings!$C$13*(INDEX(AT$407:AT$418,$D2511)+INDEX(AT$394:AT$405,$D2511)+AT2466*(1+$E2511))</f>
        <v/>
      </c>
      <c r="AU2511" s="44">
        <f>AU2493*Settings!$C$13*(INDEX(AU$407:AU$418,$D2511)+INDEX(AU$394:AU$405,$D2511)+AU2466*(1+$E2511))</f>
        <v/>
      </c>
      <c r="AV2511" s="44">
        <f>AV2493*Settings!$C$13*(INDEX(AV$407:AV$418,$D2511)+INDEX(AV$394:AV$405,$D2511)+AV2466*(1+$E2511))</f>
        <v/>
      </c>
      <c r="AW2511" s="44">
        <f>AW2493*Settings!$C$13*(INDEX(AW$407:AW$418,$D2511)+INDEX(AW$394:AW$405,$D2511)+AW2466*(1+$E2511))</f>
        <v/>
      </c>
      <c r="AX2511" s="44">
        <f>AX2493*Settings!$C$13*(INDEX(AX$407:AX$418,$D2511)+INDEX(AX$394:AX$405,$D2511)+AX2466*(1+$E2511))</f>
        <v/>
      </c>
      <c r="AY2511" s="44">
        <f>AY2493*Settings!$C$13*(INDEX(AY$407:AY$418,$D2511)+INDEX(AY$394:AY$405,$D2511)+AY2466*(1+$E2511))</f>
        <v/>
      </c>
      <c r="AZ2511" s="44">
        <f>AZ2493*Settings!$C$13*(INDEX(AZ$407:AZ$418,$D2511)+INDEX(AZ$394:AZ$405,$D2511)+AZ2466*(1+$E2511))</f>
        <v/>
      </c>
      <c r="BA2511" s="57">
        <f>REVENUE(BA2493,Settings!$C$13,INDEX(BA$407:BA$418,$D2511)+INDEX(BA$394:BA$405,$D2511)+BA2466*(1+$E2511))</f>
        <v/>
      </c>
    </row>
    <row r="2512" hidden="1" outlineLevel="2">
      <c r="A2512" s="14" t="inlineStr">
        <is>
          <t>rtx</t>
        </is>
      </c>
      <c r="B2512" s="14" t="inlineStr">
        <is>
          <t>nga</t>
        </is>
      </c>
      <c r="C2512" s="14" t="inlineStr">
        <is>
          <t>cem</t>
        </is>
      </c>
      <c r="D2512" s="35">
        <f>INDEX(Inputs!$U$5:$U$132,MATCH($B2512&amp;"|"&amp;$C2512,Inputs!$A$5:$A$132,0))</f>
        <v/>
      </c>
      <c r="E2512" s="35">
        <f>INDEX(Inputs!$V$5:$V$132,MATCH($B2512&amp;"|"&amp;$C2512,Inputs!$A$5:$A$132,0))</f>
        <v/>
      </c>
      <c r="F2512" s="39" t="n"/>
      <c r="G2512" s="39" t="n"/>
      <c r="H2512" s="14">
        <f>INDEX(VarLab,MATCH($A2512,VarKey,0))&amp;INDEX(MemLab,MATCH($C2512&amp;"|"&amp;$B2512,MemKey,0))</f>
        <v/>
      </c>
      <c r="I2512" s="14">
        <f>INDEX(VarUnit,MATCH($A2512,VarKey,0))</f>
        <v/>
      </c>
      <c r="J2512" s="14">
        <f>INDEX(VarSrc,MATCH($A2512,VarKey,0))</f>
        <v/>
      </c>
      <c r="K2512" s="11">
        <f>CodePrefix&amp;$A2512&amp;IF($C2512="","","."&amp;$C2512&amp;"."&amp;$B2512)&amp;INDEX(VarEnd,MATCH($A2512,VarKey,0))&amp;K$5</f>
        <v/>
      </c>
      <c r="L2512" s="43">
        <f>L2494*Settings!$C$13*(INDEX(L$407:L$418,$D2512)+INDEX(L$394:L$405,$D2512)+L2467*(1+$E2512))</f>
        <v/>
      </c>
      <c r="M2512" s="44">
        <f>M2494*Settings!$C$13*(INDEX(M$407:M$418,$D2512)+INDEX(M$394:M$405,$D2512)+M2467*(1+$E2512))</f>
        <v/>
      </c>
      <c r="N2512" s="44">
        <f>N2494*Settings!$C$13*(INDEX(N$407:N$418,$D2512)+INDEX(N$394:N$405,$D2512)+N2467*(1+$E2512))</f>
        <v/>
      </c>
      <c r="O2512" s="44">
        <f>O2494*Settings!$C$13*(INDEX(O$407:O$418,$D2512)+INDEX(O$394:O$405,$D2512)+O2467*(1+$E2512))</f>
        <v/>
      </c>
      <c r="P2512" s="44">
        <f>P2494*Settings!$C$13*(INDEX(P$407:P$418,$D2512)+INDEX(P$394:P$405,$D2512)+P2467*(1+$E2512))</f>
        <v/>
      </c>
      <c r="Q2512" s="44">
        <f>Q2494*Settings!$C$13*(INDEX(Q$407:Q$418,$D2512)+INDEX(Q$394:Q$405,$D2512)+Q2467*(1+$E2512))</f>
        <v/>
      </c>
      <c r="R2512" s="44">
        <f>R2494*Settings!$C$13*(INDEX(R$407:R$418,$D2512)+INDEX(R$394:R$405,$D2512)+R2467*(1+$E2512))</f>
        <v/>
      </c>
      <c r="S2512" s="44">
        <f>S2494*Settings!$C$13*(INDEX(S$407:S$418,$D2512)+INDEX(S$394:S$405,$D2512)+S2467*(1+$E2512))</f>
        <v/>
      </c>
      <c r="T2512" s="44">
        <f>T2494*Settings!$C$13*(INDEX(T$407:T$418,$D2512)+INDEX(T$394:T$405,$D2512)+T2467*(1+$E2512))</f>
        <v/>
      </c>
      <c r="U2512" s="44">
        <f>U2494*Settings!$C$13*(INDEX(U$407:U$418,$D2512)+INDEX(U$394:U$405,$D2512)+U2467*(1+$E2512))</f>
        <v/>
      </c>
      <c r="V2512" s="44">
        <f>V2494*Settings!$C$13*(INDEX(V$407:V$418,$D2512)+INDEX(V$394:V$405,$D2512)+V2467*(1+$E2512))</f>
        <v/>
      </c>
      <c r="W2512" s="44">
        <f>W2494*Settings!$C$13*(INDEX(W$407:W$418,$D2512)+INDEX(W$394:W$405,$D2512)+W2467*(1+$E2512))</f>
        <v/>
      </c>
      <c r="X2512" s="44">
        <f>X2494*Settings!$C$13*(INDEX(X$407:X$418,$D2512)+INDEX(X$394:X$405,$D2512)+X2467*(1+$E2512))</f>
        <v/>
      </c>
      <c r="Y2512" s="44">
        <f>Y2494*Settings!$C$13*(INDEX(Y$407:Y$418,$D2512)+INDEX(Y$394:Y$405,$D2512)+Y2467*(1+$E2512))</f>
        <v/>
      </c>
      <c r="Z2512" s="44">
        <f>Z2494*Settings!$C$13*(INDEX(Z$407:Z$418,$D2512)+INDEX(Z$394:Z$405,$D2512)+Z2467*(1+$E2512))</f>
        <v/>
      </c>
      <c r="AA2512" s="44">
        <f>AA2494*Settings!$C$13*(INDEX(AA$407:AA$418,$D2512)+INDEX(AA$394:AA$405,$D2512)+AA2467*(1+$E2512))</f>
        <v/>
      </c>
      <c r="AB2512" s="44">
        <f>AB2494*Settings!$C$13*(INDEX(AB$407:AB$418,$D2512)+INDEX(AB$394:AB$405,$D2512)+AB2467*(1+$E2512))</f>
        <v/>
      </c>
      <c r="AC2512" s="44">
        <f>AC2494*Settings!$C$13*(INDEX(AC$407:AC$418,$D2512)+INDEX(AC$394:AC$405,$D2512)+AC2467*(1+$E2512))</f>
        <v/>
      </c>
      <c r="AD2512" s="44">
        <f>AD2494*Settings!$C$13*(INDEX(AD$407:AD$418,$D2512)+INDEX(AD$394:AD$405,$D2512)+AD2467*(1+$E2512))</f>
        <v/>
      </c>
      <c r="AE2512" s="57">
        <f>REVENUE(AE2494,Settings!$C$13,INDEX(AE$407:AE$418,$D2512)+INDEX(AE$394:AE$405,$D2512)+AE2467*(1+$E2512))</f>
        <v/>
      </c>
      <c r="AG2512" s="11">
        <f>CodePrefix&amp;$A2512&amp;IF($C2512="","","."&amp;$C2512&amp;"."&amp;$B2512)&amp;INDEX(VarEnd,MATCH($A2512,VarKey,0))&amp;AG$5</f>
        <v/>
      </c>
      <c r="AH2512" s="43">
        <f>AH2494*Settings!$C$13*(INDEX(AH$407:AH$418,$D2512)+INDEX(AH$394:AH$405,$D2512)+AH2467*(1+$E2512))</f>
        <v/>
      </c>
      <c r="AI2512" s="44">
        <f>AI2494*Settings!$C$13*(INDEX(AI$407:AI$418,$D2512)+INDEX(AI$394:AI$405,$D2512)+AI2467*(1+$E2512))</f>
        <v/>
      </c>
      <c r="AJ2512" s="44">
        <f>AJ2494*Settings!$C$13*(INDEX(AJ$407:AJ$418,$D2512)+INDEX(AJ$394:AJ$405,$D2512)+AJ2467*(1+$E2512))</f>
        <v/>
      </c>
      <c r="AK2512" s="44">
        <f>AK2494*Settings!$C$13*(INDEX(AK$407:AK$418,$D2512)+INDEX(AK$394:AK$405,$D2512)+AK2467*(1+$E2512))</f>
        <v/>
      </c>
      <c r="AL2512" s="44">
        <f>AL2494*Settings!$C$13*(INDEX(AL$407:AL$418,$D2512)+INDEX(AL$394:AL$405,$D2512)+AL2467*(1+$E2512))</f>
        <v/>
      </c>
      <c r="AM2512" s="44">
        <f>AM2494*Settings!$C$13*(INDEX(AM$407:AM$418,$D2512)+INDEX(AM$394:AM$405,$D2512)+AM2467*(1+$E2512))</f>
        <v/>
      </c>
      <c r="AN2512" s="44">
        <f>AN2494*Settings!$C$13*(INDEX(AN$407:AN$418,$D2512)+INDEX(AN$394:AN$405,$D2512)+AN2467*(1+$E2512))</f>
        <v/>
      </c>
      <c r="AO2512" s="44">
        <f>AO2494*Settings!$C$13*(INDEX(AO$407:AO$418,$D2512)+INDEX(AO$394:AO$405,$D2512)+AO2467*(1+$E2512))</f>
        <v/>
      </c>
      <c r="AP2512" s="44">
        <f>AP2494*Settings!$C$13*(INDEX(AP$407:AP$418,$D2512)+INDEX(AP$394:AP$405,$D2512)+AP2467*(1+$E2512))</f>
        <v/>
      </c>
      <c r="AQ2512" s="44">
        <f>AQ2494*Settings!$C$13*(INDEX(AQ$407:AQ$418,$D2512)+INDEX(AQ$394:AQ$405,$D2512)+AQ2467*(1+$E2512))</f>
        <v/>
      </c>
      <c r="AR2512" s="44">
        <f>AR2494*Settings!$C$13*(INDEX(AR$407:AR$418,$D2512)+INDEX(AR$394:AR$405,$D2512)+AR2467*(1+$E2512))</f>
        <v/>
      </c>
      <c r="AS2512" s="44">
        <f>AS2494*Settings!$C$13*(INDEX(AS$407:AS$418,$D2512)+INDEX(AS$394:AS$405,$D2512)+AS2467*(1+$E2512))</f>
        <v/>
      </c>
      <c r="AT2512" s="44">
        <f>AT2494*Settings!$C$13*(INDEX(AT$407:AT$418,$D2512)+INDEX(AT$394:AT$405,$D2512)+AT2467*(1+$E2512))</f>
        <v/>
      </c>
      <c r="AU2512" s="44">
        <f>AU2494*Settings!$C$13*(INDEX(AU$407:AU$418,$D2512)+INDEX(AU$394:AU$405,$D2512)+AU2467*(1+$E2512))</f>
        <v/>
      </c>
      <c r="AV2512" s="44">
        <f>AV2494*Settings!$C$13*(INDEX(AV$407:AV$418,$D2512)+INDEX(AV$394:AV$405,$D2512)+AV2467*(1+$E2512))</f>
        <v/>
      </c>
      <c r="AW2512" s="44">
        <f>AW2494*Settings!$C$13*(INDEX(AW$407:AW$418,$D2512)+INDEX(AW$394:AW$405,$D2512)+AW2467*(1+$E2512))</f>
        <v/>
      </c>
      <c r="AX2512" s="44">
        <f>AX2494*Settings!$C$13*(INDEX(AX$407:AX$418,$D2512)+INDEX(AX$394:AX$405,$D2512)+AX2467*(1+$E2512))</f>
        <v/>
      </c>
      <c r="AY2512" s="44">
        <f>AY2494*Settings!$C$13*(INDEX(AY$407:AY$418,$D2512)+INDEX(AY$394:AY$405,$D2512)+AY2467*(1+$E2512))</f>
        <v/>
      </c>
      <c r="AZ2512" s="44">
        <f>AZ2494*Settings!$C$13*(INDEX(AZ$407:AZ$418,$D2512)+INDEX(AZ$394:AZ$405,$D2512)+AZ2467*(1+$E2512))</f>
        <v/>
      </c>
      <c r="BA2512" s="57">
        <f>REVENUE(BA2494,Settings!$C$13,INDEX(BA$407:BA$418,$D2512)+INDEX(BA$394:BA$405,$D2512)+BA2467*(1+$E2512))</f>
        <v/>
      </c>
    </row>
    <row r="2513" hidden="1" outlineLevel="2">
      <c r="A2513" s="14" t="inlineStr">
        <is>
          <t>rtx</t>
        </is>
      </c>
      <c r="B2513" s="14" t="inlineStr">
        <is>
          <t>gso</t>
        </is>
      </c>
      <c r="C2513" s="14" t="inlineStr">
        <is>
          <t>cem</t>
        </is>
      </c>
      <c r="D2513" s="35">
        <f>INDEX(Inputs!$U$5:$U$132,MATCH($B2513&amp;"|"&amp;$C2513,Inputs!$A$5:$A$132,0))</f>
        <v/>
      </c>
      <c r="E2513" s="35">
        <f>INDEX(Inputs!$V$5:$V$132,MATCH($B2513&amp;"|"&amp;$C2513,Inputs!$A$5:$A$132,0))</f>
        <v/>
      </c>
      <c r="F2513" s="39" t="n"/>
      <c r="G2513" s="39" t="n"/>
      <c r="H2513" s="14">
        <f>INDEX(VarLab,MATCH($A2513,VarKey,0))&amp;INDEX(MemLab,MATCH($C2513&amp;"|"&amp;$B2513,MemKey,0))</f>
        <v/>
      </c>
      <c r="I2513" s="14">
        <f>INDEX(VarUnit,MATCH($A2513,VarKey,0))</f>
        <v/>
      </c>
      <c r="J2513" s="14">
        <f>INDEX(VarSrc,MATCH($A2513,VarKey,0))</f>
        <v/>
      </c>
      <c r="K2513" s="11">
        <f>CodePrefix&amp;$A2513&amp;IF($C2513="","","."&amp;$C2513&amp;"."&amp;$B2513)&amp;INDEX(VarEnd,MATCH($A2513,VarKey,0))&amp;K$5</f>
        <v/>
      </c>
      <c r="L2513" s="43">
        <f>L2495*Settings!$C$13*(INDEX(L$407:L$418,$D2513)+INDEX(L$394:L$405,$D2513)+L2468*(1+$E2513))</f>
        <v/>
      </c>
      <c r="M2513" s="44">
        <f>M2495*Settings!$C$13*(INDEX(M$407:M$418,$D2513)+INDEX(M$394:M$405,$D2513)+M2468*(1+$E2513))</f>
        <v/>
      </c>
      <c r="N2513" s="44">
        <f>N2495*Settings!$C$13*(INDEX(N$407:N$418,$D2513)+INDEX(N$394:N$405,$D2513)+N2468*(1+$E2513))</f>
        <v/>
      </c>
      <c r="O2513" s="44">
        <f>O2495*Settings!$C$13*(INDEX(O$407:O$418,$D2513)+INDEX(O$394:O$405,$D2513)+O2468*(1+$E2513))</f>
        <v/>
      </c>
      <c r="P2513" s="44">
        <f>P2495*Settings!$C$13*(INDEX(P$407:P$418,$D2513)+INDEX(P$394:P$405,$D2513)+P2468*(1+$E2513))</f>
        <v/>
      </c>
      <c r="Q2513" s="44">
        <f>Q2495*Settings!$C$13*(INDEX(Q$407:Q$418,$D2513)+INDEX(Q$394:Q$405,$D2513)+Q2468*(1+$E2513))</f>
        <v/>
      </c>
      <c r="R2513" s="44">
        <f>R2495*Settings!$C$13*(INDEX(R$407:R$418,$D2513)+INDEX(R$394:R$405,$D2513)+R2468*(1+$E2513))</f>
        <v/>
      </c>
      <c r="S2513" s="44">
        <f>S2495*Settings!$C$13*(INDEX(S$407:S$418,$D2513)+INDEX(S$394:S$405,$D2513)+S2468*(1+$E2513))</f>
        <v/>
      </c>
      <c r="T2513" s="44">
        <f>T2495*Settings!$C$13*(INDEX(T$407:T$418,$D2513)+INDEX(T$394:T$405,$D2513)+T2468*(1+$E2513))</f>
        <v/>
      </c>
      <c r="U2513" s="44">
        <f>U2495*Settings!$C$13*(INDEX(U$407:U$418,$D2513)+INDEX(U$394:U$405,$D2513)+U2468*(1+$E2513))</f>
        <v/>
      </c>
      <c r="V2513" s="44">
        <f>V2495*Settings!$C$13*(INDEX(V$407:V$418,$D2513)+INDEX(V$394:V$405,$D2513)+V2468*(1+$E2513))</f>
        <v/>
      </c>
      <c r="W2513" s="44">
        <f>W2495*Settings!$C$13*(INDEX(W$407:W$418,$D2513)+INDEX(W$394:W$405,$D2513)+W2468*(1+$E2513))</f>
        <v/>
      </c>
      <c r="X2513" s="44">
        <f>X2495*Settings!$C$13*(INDEX(X$407:X$418,$D2513)+INDEX(X$394:X$405,$D2513)+X2468*(1+$E2513))</f>
        <v/>
      </c>
      <c r="Y2513" s="44">
        <f>Y2495*Settings!$C$13*(INDEX(Y$407:Y$418,$D2513)+INDEX(Y$394:Y$405,$D2513)+Y2468*(1+$E2513))</f>
        <v/>
      </c>
      <c r="Z2513" s="44">
        <f>Z2495*Settings!$C$13*(INDEX(Z$407:Z$418,$D2513)+INDEX(Z$394:Z$405,$D2513)+Z2468*(1+$E2513))</f>
        <v/>
      </c>
      <c r="AA2513" s="44">
        <f>AA2495*Settings!$C$13*(INDEX(AA$407:AA$418,$D2513)+INDEX(AA$394:AA$405,$D2513)+AA2468*(1+$E2513))</f>
        <v/>
      </c>
      <c r="AB2513" s="44">
        <f>AB2495*Settings!$C$13*(INDEX(AB$407:AB$418,$D2513)+INDEX(AB$394:AB$405,$D2513)+AB2468*(1+$E2513))</f>
        <v/>
      </c>
      <c r="AC2513" s="44">
        <f>AC2495*Settings!$C$13*(INDEX(AC$407:AC$418,$D2513)+INDEX(AC$394:AC$405,$D2513)+AC2468*(1+$E2513))</f>
        <v/>
      </c>
      <c r="AD2513" s="44">
        <f>AD2495*Settings!$C$13*(INDEX(AD$407:AD$418,$D2513)+INDEX(AD$394:AD$405,$D2513)+AD2468*(1+$E2513))</f>
        <v/>
      </c>
      <c r="AE2513" s="57">
        <f>REVENUE(AE2495,Settings!$C$13,INDEX(AE$407:AE$418,$D2513)+INDEX(AE$394:AE$405,$D2513)+AE2468*(1+$E2513))</f>
        <v/>
      </c>
      <c r="AG2513" s="11">
        <f>CodePrefix&amp;$A2513&amp;IF($C2513="","","."&amp;$C2513&amp;"."&amp;$B2513)&amp;INDEX(VarEnd,MATCH($A2513,VarKey,0))&amp;AG$5</f>
        <v/>
      </c>
      <c r="AH2513" s="43">
        <f>AH2495*Settings!$C$13*(INDEX(AH$407:AH$418,$D2513)+INDEX(AH$394:AH$405,$D2513)+AH2468*(1+$E2513))</f>
        <v/>
      </c>
      <c r="AI2513" s="44">
        <f>AI2495*Settings!$C$13*(INDEX(AI$407:AI$418,$D2513)+INDEX(AI$394:AI$405,$D2513)+AI2468*(1+$E2513))</f>
        <v/>
      </c>
      <c r="AJ2513" s="44">
        <f>AJ2495*Settings!$C$13*(INDEX(AJ$407:AJ$418,$D2513)+INDEX(AJ$394:AJ$405,$D2513)+AJ2468*(1+$E2513))</f>
        <v/>
      </c>
      <c r="AK2513" s="44">
        <f>AK2495*Settings!$C$13*(INDEX(AK$407:AK$418,$D2513)+INDEX(AK$394:AK$405,$D2513)+AK2468*(1+$E2513))</f>
        <v/>
      </c>
      <c r="AL2513" s="44">
        <f>AL2495*Settings!$C$13*(INDEX(AL$407:AL$418,$D2513)+INDEX(AL$394:AL$405,$D2513)+AL2468*(1+$E2513))</f>
        <v/>
      </c>
      <c r="AM2513" s="44">
        <f>AM2495*Settings!$C$13*(INDEX(AM$407:AM$418,$D2513)+INDEX(AM$394:AM$405,$D2513)+AM2468*(1+$E2513))</f>
        <v/>
      </c>
      <c r="AN2513" s="44">
        <f>AN2495*Settings!$C$13*(INDEX(AN$407:AN$418,$D2513)+INDEX(AN$394:AN$405,$D2513)+AN2468*(1+$E2513))</f>
        <v/>
      </c>
      <c r="AO2513" s="44">
        <f>AO2495*Settings!$C$13*(INDEX(AO$407:AO$418,$D2513)+INDEX(AO$394:AO$405,$D2513)+AO2468*(1+$E2513))</f>
        <v/>
      </c>
      <c r="AP2513" s="44">
        <f>AP2495*Settings!$C$13*(INDEX(AP$407:AP$418,$D2513)+INDEX(AP$394:AP$405,$D2513)+AP2468*(1+$E2513))</f>
        <v/>
      </c>
      <c r="AQ2513" s="44">
        <f>AQ2495*Settings!$C$13*(INDEX(AQ$407:AQ$418,$D2513)+INDEX(AQ$394:AQ$405,$D2513)+AQ2468*(1+$E2513))</f>
        <v/>
      </c>
      <c r="AR2513" s="44">
        <f>AR2495*Settings!$C$13*(INDEX(AR$407:AR$418,$D2513)+INDEX(AR$394:AR$405,$D2513)+AR2468*(1+$E2513))</f>
        <v/>
      </c>
      <c r="AS2513" s="44">
        <f>AS2495*Settings!$C$13*(INDEX(AS$407:AS$418,$D2513)+INDEX(AS$394:AS$405,$D2513)+AS2468*(1+$E2513))</f>
        <v/>
      </c>
      <c r="AT2513" s="44">
        <f>AT2495*Settings!$C$13*(INDEX(AT$407:AT$418,$D2513)+INDEX(AT$394:AT$405,$D2513)+AT2468*(1+$E2513))</f>
        <v/>
      </c>
      <c r="AU2513" s="44">
        <f>AU2495*Settings!$C$13*(INDEX(AU$407:AU$418,$D2513)+INDEX(AU$394:AU$405,$D2513)+AU2468*(1+$E2513))</f>
        <v/>
      </c>
      <c r="AV2513" s="44">
        <f>AV2495*Settings!$C$13*(INDEX(AV$407:AV$418,$D2513)+INDEX(AV$394:AV$405,$D2513)+AV2468*(1+$E2513))</f>
        <v/>
      </c>
      <c r="AW2513" s="44">
        <f>AW2495*Settings!$C$13*(INDEX(AW$407:AW$418,$D2513)+INDEX(AW$394:AW$405,$D2513)+AW2468*(1+$E2513))</f>
        <v/>
      </c>
      <c r="AX2513" s="44">
        <f>AX2495*Settings!$C$13*(INDEX(AX$407:AX$418,$D2513)+INDEX(AX$394:AX$405,$D2513)+AX2468*(1+$E2513))</f>
        <v/>
      </c>
      <c r="AY2513" s="44">
        <f>AY2495*Settings!$C$13*(INDEX(AY$407:AY$418,$D2513)+INDEX(AY$394:AY$405,$D2513)+AY2468*(1+$E2513))</f>
        <v/>
      </c>
      <c r="AZ2513" s="44">
        <f>AZ2495*Settings!$C$13*(INDEX(AZ$407:AZ$418,$D2513)+INDEX(AZ$394:AZ$405,$D2513)+AZ2468*(1+$E2513))</f>
        <v/>
      </c>
      <c r="BA2513" s="57">
        <f>REVENUE(BA2495,Settings!$C$13,INDEX(BA$407:BA$418,$D2513)+INDEX(BA$394:BA$405,$D2513)+BA2468*(1+$E2513))</f>
        <v/>
      </c>
    </row>
    <row r="2514" hidden="1" outlineLevel="2">
      <c r="A2514" s="14" t="inlineStr">
        <is>
          <t>rtx</t>
        </is>
      </c>
      <c r="B2514" s="14" t="inlineStr">
        <is>
          <t>die</t>
        </is>
      </c>
      <c r="C2514" s="14" t="inlineStr">
        <is>
          <t>cem</t>
        </is>
      </c>
      <c r="D2514" s="35">
        <f>INDEX(Inputs!$U$5:$U$132,MATCH($B2514&amp;"|"&amp;$C2514,Inputs!$A$5:$A$132,0))</f>
        <v/>
      </c>
      <c r="E2514" s="35">
        <f>INDEX(Inputs!$V$5:$V$132,MATCH($B2514&amp;"|"&amp;$C2514,Inputs!$A$5:$A$132,0))</f>
        <v/>
      </c>
      <c r="F2514" s="39" t="n"/>
      <c r="G2514" s="39" t="n"/>
      <c r="H2514" s="14">
        <f>INDEX(VarLab,MATCH($A2514,VarKey,0))&amp;INDEX(MemLab,MATCH($C2514&amp;"|"&amp;$B2514,MemKey,0))</f>
        <v/>
      </c>
      <c r="I2514" s="14">
        <f>INDEX(VarUnit,MATCH($A2514,VarKey,0))</f>
        <v/>
      </c>
      <c r="J2514" s="14">
        <f>INDEX(VarSrc,MATCH($A2514,VarKey,0))</f>
        <v/>
      </c>
      <c r="K2514" s="11">
        <f>CodePrefix&amp;$A2514&amp;IF($C2514="","","."&amp;$C2514&amp;"."&amp;$B2514)&amp;INDEX(VarEnd,MATCH($A2514,VarKey,0))&amp;K$5</f>
        <v/>
      </c>
      <c r="L2514" s="43">
        <f>L2496*Settings!$C$13*(INDEX(L$407:L$418,$D2514)+INDEX(L$394:L$405,$D2514)+L2469*(1+$E2514))</f>
        <v/>
      </c>
      <c r="M2514" s="44">
        <f>M2496*Settings!$C$13*(INDEX(M$407:M$418,$D2514)+INDEX(M$394:M$405,$D2514)+M2469*(1+$E2514))</f>
        <v/>
      </c>
      <c r="N2514" s="44">
        <f>N2496*Settings!$C$13*(INDEX(N$407:N$418,$D2514)+INDEX(N$394:N$405,$D2514)+N2469*(1+$E2514))</f>
        <v/>
      </c>
      <c r="O2514" s="44">
        <f>O2496*Settings!$C$13*(INDEX(O$407:O$418,$D2514)+INDEX(O$394:O$405,$D2514)+O2469*(1+$E2514))</f>
        <v/>
      </c>
      <c r="P2514" s="44">
        <f>P2496*Settings!$C$13*(INDEX(P$407:P$418,$D2514)+INDEX(P$394:P$405,$D2514)+P2469*(1+$E2514))</f>
        <v/>
      </c>
      <c r="Q2514" s="44">
        <f>Q2496*Settings!$C$13*(INDEX(Q$407:Q$418,$D2514)+INDEX(Q$394:Q$405,$D2514)+Q2469*(1+$E2514))</f>
        <v/>
      </c>
      <c r="R2514" s="44">
        <f>R2496*Settings!$C$13*(INDEX(R$407:R$418,$D2514)+INDEX(R$394:R$405,$D2514)+R2469*(1+$E2514))</f>
        <v/>
      </c>
      <c r="S2514" s="44">
        <f>S2496*Settings!$C$13*(INDEX(S$407:S$418,$D2514)+INDEX(S$394:S$405,$D2514)+S2469*(1+$E2514))</f>
        <v/>
      </c>
      <c r="T2514" s="44">
        <f>T2496*Settings!$C$13*(INDEX(T$407:T$418,$D2514)+INDEX(T$394:T$405,$D2514)+T2469*(1+$E2514))</f>
        <v/>
      </c>
      <c r="U2514" s="44">
        <f>U2496*Settings!$C$13*(INDEX(U$407:U$418,$D2514)+INDEX(U$394:U$405,$D2514)+U2469*(1+$E2514))</f>
        <v/>
      </c>
      <c r="V2514" s="44">
        <f>V2496*Settings!$C$13*(INDEX(V$407:V$418,$D2514)+INDEX(V$394:V$405,$D2514)+V2469*(1+$E2514))</f>
        <v/>
      </c>
      <c r="W2514" s="44">
        <f>W2496*Settings!$C$13*(INDEX(W$407:W$418,$D2514)+INDEX(W$394:W$405,$D2514)+W2469*(1+$E2514))</f>
        <v/>
      </c>
      <c r="X2514" s="44">
        <f>X2496*Settings!$C$13*(INDEX(X$407:X$418,$D2514)+INDEX(X$394:X$405,$D2514)+X2469*(1+$E2514))</f>
        <v/>
      </c>
      <c r="Y2514" s="44">
        <f>Y2496*Settings!$C$13*(INDEX(Y$407:Y$418,$D2514)+INDEX(Y$394:Y$405,$D2514)+Y2469*(1+$E2514))</f>
        <v/>
      </c>
      <c r="Z2514" s="44">
        <f>Z2496*Settings!$C$13*(INDEX(Z$407:Z$418,$D2514)+INDEX(Z$394:Z$405,$D2514)+Z2469*(1+$E2514))</f>
        <v/>
      </c>
      <c r="AA2514" s="44">
        <f>AA2496*Settings!$C$13*(INDEX(AA$407:AA$418,$D2514)+INDEX(AA$394:AA$405,$D2514)+AA2469*(1+$E2514))</f>
        <v/>
      </c>
      <c r="AB2514" s="44">
        <f>AB2496*Settings!$C$13*(INDEX(AB$407:AB$418,$D2514)+INDEX(AB$394:AB$405,$D2514)+AB2469*(1+$E2514))</f>
        <v/>
      </c>
      <c r="AC2514" s="44">
        <f>AC2496*Settings!$C$13*(INDEX(AC$407:AC$418,$D2514)+INDEX(AC$394:AC$405,$D2514)+AC2469*(1+$E2514))</f>
        <v/>
      </c>
      <c r="AD2514" s="44">
        <f>AD2496*Settings!$C$13*(INDEX(AD$407:AD$418,$D2514)+INDEX(AD$394:AD$405,$D2514)+AD2469*(1+$E2514))</f>
        <v/>
      </c>
      <c r="AE2514" s="57">
        <f>REVENUE(AE2496,Settings!$C$13,INDEX(AE$407:AE$418,$D2514)+INDEX(AE$394:AE$405,$D2514)+AE2469*(1+$E2514))</f>
        <v/>
      </c>
      <c r="AG2514" s="11">
        <f>CodePrefix&amp;$A2514&amp;IF($C2514="","","."&amp;$C2514&amp;"."&amp;$B2514)&amp;INDEX(VarEnd,MATCH($A2514,VarKey,0))&amp;AG$5</f>
        <v/>
      </c>
      <c r="AH2514" s="43">
        <f>AH2496*Settings!$C$13*(INDEX(AH$407:AH$418,$D2514)+INDEX(AH$394:AH$405,$D2514)+AH2469*(1+$E2514))</f>
        <v/>
      </c>
      <c r="AI2514" s="44">
        <f>AI2496*Settings!$C$13*(INDEX(AI$407:AI$418,$D2514)+INDEX(AI$394:AI$405,$D2514)+AI2469*(1+$E2514))</f>
        <v/>
      </c>
      <c r="AJ2514" s="44">
        <f>AJ2496*Settings!$C$13*(INDEX(AJ$407:AJ$418,$D2514)+INDEX(AJ$394:AJ$405,$D2514)+AJ2469*(1+$E2514))</f>
        <v/>
      </c>
      <c r="AK2514" s="44">
        <f>AK2496*Settings!$C$13*(INDEX(AK$407:AK$418,$D2514)+INDEX(AK$394:AK$405,$D2514)+AK2469*(1+$E2514))</f>
        <v/>
      </c>
      <c r="AL2514" s="44">
        <f>AL2496*Settings!$C$13*(INDEX(AL$407:AL$418,$D2514)+INDEX(AL$394:AL$405,$D2514)+AL2469*(1+$E2514))</f>
        <v/>
      </c>
      <c r="AM2514" s="44">
        <f>AM2496*Settings!$C$13*(INDEX(AM$407:AM$418,$D2514)+INDEX(AM$394:AM$405,$D2514)+AM2469*(1+$E2514))</f>
        <v/>
      </c>
      <c r="AN2514" s="44">
        <f>AN2496*Settings!$C$13*(INDEX(AN$407:AN$418,$D2514)+INDEX(AN$394:AN$405,$D2514)+AN2469*(1+$E2514))</f>
        <v/>
      </c>
      <c r="AO2514" s="44">
        <f>AO2496*Settings!$C$13*(INDEX(AO$407:AO$418,$D2514)+INDEX(AO$394:AO$405,$D2514)+AO2469*(1+$E2514))</f>
        <v/>
      </c>
      <c r="AP2514" s="44">
        <f>AP2496*Settings!$C$13*(INDEX(AP$407:AP$418,$D2514)+INDEX(AP$394:AP$405,$D2514)+AP2469*(1+$E2514))</f>
        <v/>
      </c>
      <c r="AQ2514" s="44">
        <f>AQ2496*Settings!$C$13*(INDEX(AQ$407:AQ$418,$D2514)+INDEX(AQ$394:AQ$405,$D2514)+AQ2469*(1+$E2514))</f>
        <v/>
      </c>
      <c r="AR2514" s="44">
        <f>AR2496*Settings!$C$13*(INDEX(AR$407:AR$418,$D2514)+INDEX(AR$394:AR$405,$D2514)+AR2469*(1+$E2514))</f>
        <v/>
      </c>
      <c r="AS2514" s="44">
        <f>AS2496*Settings!$C$13*(INDEX(AS$407:AS$418,$D2514)+INDEX(AS$394:AS$405,$D2514)+AS2469*(1+$E2514))</f>
        <v/>
      </c>
      <c r="AT2514" s="44">
        <f>AT2496*Settings!$C$13*(INDEX(AT$407:AT$418,$D2514)+INDEX(AT$394:AT$405,$D2514)+AT2469*(1+$E2514))</f>
        <v/>
      </c>
      <c r="AU2514" s="44">
        <f>AU2496*Settings!$C$13*(INDEX(AU$407:AU$418,$D2514)+INDEX(AU$394:AU$405,$D2514)+AU2469*(1+$E2514))</f>
        <v/>
      </c>
      <c r="AV2514" s="44">
        <f>AV2496*Settings!$C$13*(INDEX(AV$407:AV$418,$D2514)+INDEX(AV$394:AV$405,$D2514)+AV2469*(1+$E2514))</f>
        <v/>
      </c>
      <c r="AW2514" s="44">
        <f>AW2496*Settings!$C$13*(INDEX(AW$407:AW$418,$D2514)+INDEX(AW$394:AW$405,$D2514)+AW2469*(1+$E2514))</f>
        <v/>
      </c>
      <c r="AX2514" s="44">
        <f>AX2496*Settings!$C$13*(INDEX(AX$407:AX$418,$D2514)+INDEX(AX$394:AX$405,$D2514)+AX2469*(1+$E2514))</f>
        <v/>
      </c>
      <c r="AY2514" s="44">
        <f>AY2496*Settings!$C$13*(INDEX(AY$407:AY$418,$D2514)+INDEX(AY$394:AY$405,$D2514)+AY2469*(1+$E2514))</f>
        <v/>
      </c>
      <c r="AZ2514" s="44">
        <f>AZ2496*Settings!$C$13*(INDEX(AZ$407:AZ$418,$D2514)+INDEX(AZ$394:AZ$405,$D2514)+AZ2469*(1+$E2514))</f>
        <v/>
      </c>
      <c r="BA2514" s="57">
        <f>REVENUE(BA2496,Settings!$C$13,INDEX(BA$407:BA$418,$D2514)+INDEX(BA$394:BA$405,$D2514)+BA2469*(1+$E2514))</f>
        <v/>
      </c>
    </row>
    <row r="2515" hidden="1" outlineLevel="2">
      <c r="A2515" s="14" t="inlineStr">
        <is>
          <t>rtx</t>
        </is>
      </c>
      <c r="B2515" s="14" t="inlineStr">
        <is>
          <t>lpg</t>
        </is>
      </c>
      <c r="C2515" s="14" t="inlineStr">
        <is>
          <t>cem</t>
        </is>
      </c>
      <c r="D2515" s="35">
        <f>INDEX(Inputs!$U$5:$U$132,MATCH($B2515&amp;"|"&amp;$C2515,Inputs!$A$5:$A$132,0))</f>
        <v/>
      </c>
      <c r="E2515" s="35">
        <f>INDEX(Inputs!$V$5:$V$132,MATCH($B2515&amp;"|"&amp;$C2515,Inputs!$A$5:$A$132,0))</f>
        <v/>
      </c>
      <c r="F2515" s="39" t="n"/>
      <c r="G2515" s="39" t="n"/>
      <c r="H2515" s="14">
        <f>INDEX(VarLab,MATCH($A2515,VarKey,0))&amp;INDEX(MemLab,MATCH($C2515&amp;"|"&amp;$B2515,MemKey,0))</f>
        <v/>
      </c>
      <c r="I2515" s="14">
        <f>INDEX(VarUnit,MATCH($A2515,VarKey,0))</f>
        <v/>
      </c>
      <c r="J2515" s="14">
        <f>INDEX(VarSrc,MATCH($A2515,VarKey,0))</f>
        <v/>
      </c>
      <c r="K2515" s="11">
        <f>CodePrefix&amp;$A2515&amp;IF($C2515="","","."&amp;$C2515&amp;"."&amp;$B2515)&amp;INDEX(VarEnd,MATCH($A2515,VarKey,0))&amp;K$5</f>
        <v/>
      </c>
      <c r="L2515" s="43">
        <f>L2497*Settings!$C$13*(INDEX(L$407:L$418,$D2515)+INDEX(L$394:L$405,$D2515)+L2470*(1+$E2515))</f>
        <v/>
      </c>
      <c r="M2515" s="44">
        <f>M2497*Settings!$C$13*(INDEX(M$407:M$418,$D2515)+INDEX(M$394:M$405,$D2515)+M2470*(1+$E2515))</f>
        <v/>
      </c>
      <c r="N2515" s="44">
        <f>N2497*Settings!$C$13*(INDEX(N$407:N$418,$D2515)+INDEX(N$394:N$405,$D2515)+N2470*(1+$E2515))</f>
        <v/>
      </c>
      <c r="O2515" s="44">
        <f>O2497*Settings!$C$13*(INDEX(O$407:O$418,$D2515)+INDEX(O$394:O$405,$D2515)+O2470*(1+$E2515))</f>
        <v/>
      </c>
      <c r="P2515" s="44">
        <f>P2497*Settings!$C$13*(INDEX(P$407:P$418,$D2515)+INDEX(P$394:P$405,$D2515)+P2470*(1+$E2515))</f>
        <v/>
      </c>
      <c r="Q2515" s="44">
        <f>Q2497*Settings!$C$13*(INDEX(Q$407:Q$418,$D2515)+INDEX(Q$394:Q$405,$D2515)+Q2470*(1+$E2515))</f>
        <v/>
      </c>
      <c r="R2515" s="44">
        <f>R2497*Settings!$C$13*(INDEX(R$407:R$418,$D2515)+INDEX(R$394:R$405,$D2515)+R2470*(1+$E2515))</f>
        <v/>
      </c>
      <c r="S2515" s="44">
        <f>S2497*Settings!$C$13*(INDEX(S$407:S$418,$D2515)+INDEX(S$394:S$405,$D2515)+S2470*(1+$E2515))</f>
        <v/>
      </c>
      <c r="T2515" s="44">
        <f>T2497*Settings!$C$13*(INDEX(T$407:T$418,$D2515)+INDEX(T$394:T$405,$D2515)+T2470*(1+$E2515))</f>
        <v/>
      </c>
      <c r="U2515" s="44">
        <f>U2497*Settings!$C$13*(INDEX(U$407:U$418,$D2515)+INDEX(U$394:U$405,$D2515)+U2470*(1+$E2515))</f>
        <v/>
      </c>
      <c r="V2515" s="44">
        <f>V2497*Settings!$C$13*(INDEX(V$407:V$418,$D2515)+INDEX(V$394:V$405,$D2515)+V2470*(1+$E2515))</f>
        <v/>
      </c>
      <c r="W2515" s="44">
        <f>W2497*Settings!$C$13*(INDEX(W$407:W$418,$D2515)+INDEX(W$394:W$405,$D2515)+W2470*(1+$E2515))</f>
        <v/>
      </c>
      <c r="X2515" s="44">
        <f>X2497*Settings!$C$13*(INDEX(X$407:X$418,$D2515)+INDEX(X$394:X$405,$D2515)+X2470*(1+$E2515))</f>
        <v/>
      </c>
      <c r="Y2515" s="44">
        <f>Y2497*Settings!$C$13*(INDEX(Y$407:Y$418,$D2515)+INDEX(Y$394:Y$405,$D2515)+Y2470*(1+$E2515))</f>
        <v/>
      </c>
      <c r="Z2515" s="44">
        <f>Z2497*Settings!$C$13*(INDEX(Z$407:Z$418,$D2515)+INDEX(Z$394:Z$405,$D2515)+Z2470*(1+$E2515))</f>
        <v/>
      </c>
      <c r="AA2515" s="44">
        <f>AA2497*Settings!$C$13*(INDEX(AA$407:AA$418,$D2515)+INDEX(AA$394:AA$405,$D2515)+AA2470*(1+$E2515))</f>
        <v/>
      </c>
      <c r="AB2515" s="44">
        <f>AB2497*Settings!$C$13*(INDEX(AB$407:AB$418,$D2515)+INDEX(AB$394:AB$405,$D2515)+AB2470*(1+$E2515))</f>
        <v/>
      </c>
      <c r="AC2515" s="44">
        <f>AC2497*Settings!$C$13*(INDEX(AC$407:AC$418,$D2515)+INDEX(AC$394:AC$405,$D2515)+AC2470*(1+$E2515))</f>
        <v/>
      </c>
      <c r="AD2515" s="44">
        <f>AD2497*Settings!$C$13*(INDEX(AD$407:AD$418,$D2515)+INDEX(AD$394:AD$405,$D2515)+AD2470*(1+$E2515))</f>
        <v/>
      </c>
      <c r="AE2515" s="57">
        <f>REVENUE(AE2497,Settings!$C$13,INDEX(AE$407:AE$418,$D2515)+INDEX(AE$394:AE$405,$D2515)+AE2470*(1+$E2515))</f>
        <v/>
      </c>
      <c r="AG2515" s="11">
        <f>CodePrefix&amp;$A2515&amp;IF($C2515="","","."&amp;$C2515&amp;"."&amp;$B2515)&amp;INDEX(VarEnd,MATCH($A2515,VarKey,0))&amp;AG$5</f>
        <v/>
      </c>
      <c r="AH2515" s="43">
        <f>AH2497*Settings!$C$13*(INDEX(AH$407:AH$418,$D2515)+INDEX(AH$394:AH$405,$D2515)+AH2470*(1+$E2515))</f>
        <v/>
      </c>
      <c r="AI2515" s="44">
        <f>AI2497*Settings!$C$13*(INDEX(AI$407:AI$418,$D2515)+INDEX(AI$394:AI$405,$D2515)+AI2470*(1+$E2515))</f>
        <v/>
      </c>
      <c r="AJ2515" s="44">
        <f>AJ2497*Settings!$C$13*(INDEX(AJ$407:AJ$418,$D2515)+INDEX(AJ$394:AJ$405,$D2515)+AJ2470*(1+$E2515))</f>
        <v/>
      </c>
      <c r="AK2515" s="44">
        <f>AK2497*Settings!$C$13*(INDEX(AK$407:AK$418,$D2515)+INDEX(AK$394:AK$405,$D2515)+AK2470*(1+$E2515))</f>
        <v/>
      </c>
      <c r="AL2515" s="44">
        <f>AL2497*Settings!$C$13*(INDEX(AL$407:AL$418,$D2515)+INDEX(AL$394:AL$405,$D2515)+AL2470*(1+$E2515))</f>
        <v/>
      </c>
      <c r="AM2515" s="44">
        <f>AM2497*Settings!$C$13*(INDEX(AM$407:AM$418,$D2515)+INDEX(AM$394:AM$405,$D2515)+AM2470*(1+$E2515))</f>
        <v/>
      </c>
      <c r="AN2515" s="44">
        <f>AN2497*Settings!$C$13*(INDEX(AN$407:AN$418,$D2515)+INDEX(AN$394:AN$405,$D2515)+AN2470*(1+$E2515))</f>
        <v/>
      </c>
      <c r="AO2515" s="44">
        <f>AO2497*Settings!$C$13*(INDEX(AO$407:AO$418,$D2515)+INDEX(AO$394:AO$405,$D2515)+AO2470*(1+$E2515))</f>
        <v/>
      </c>
      <c r="AP2515" s="44">
        <f>AP2497*Settings!$C$13*(INDEX(AP$407:AP$418,$D2515)+INDEX(AP$394:AP$405,$D2515)+AP2470*(1+$E2515))</f>
        <v/>
      </c>
      <c r="AQ2515" s="44">
        <f>AQ2497*Settings!$C$13*(INDEX(AQ$407:AQ$418,$D2515)+INDEX(AQ$394:AQ$405,$D2515)+AQ2470*(1+$E2515))</f>
        <v/>
      </c>
      <c r="AR2515" s="44">
        <f>AR2497*Settings!$C$13*(INDEX(AR$407:AR$418,$D2515)+INDEX(AR$394:AR$405,$D2515)+AR2470*(1+$E2515))</f>
        <v/>
      </c>
      <c r="AS2515" s="44">
        <f>AS2497*Settings!$C$13*(INDEX(AS$407:AS$418,$D2515)+INDEX(AS$394:AS$405,$D2515)+AS2470*(1+$E2515))</f>
        <v/>
      </c>
      <c r="AT2515" s="44">
        <f>AT2497*Settings!$C$13*(INDEX(AT$407:AT$418,$D2515)+INDEX(AT$394:AT$405,$D2515)+AT2470*(1+$E2515))</f>
        <v/>
      </c>
      <c r="AU2515" s="44">
        <f>AU2497*Settings!$C$13*(INDEX(AU$407:AU$418,$D2515)+INDEX(AU$394:AU$405,$D2515)+AU2470*(1+$E2515))</f>
        <v/>
      </c>
      <c r="AV2515" s="44">
        <f>AV2497*Settings!$C$13*(INDEX(AV$407:AV$418,$D2515)+INDEX(AV$394:AV$405,$D2515)+AV2470*(1+$E2515))</f>
        <v/>
      </c>
      <c r="AW2515" s="44">
        <f>AW2497*Settings!$C$13*(INDEX(AW$407:AW$418,$D2515)+INDEX(AW$394:AW$405,$D2515)+AW2470*(1+$E2515))</f>
        <v/>
      </c>
      <c r="AX2515" s="44">
        <f>AX2497*Settings!$C$13*(INDEX(AX$407:AX$418,$D2515)+INDEX(AX$394:AX$405,$D2515)+AX2470*(1+$E2515))</f>
        <v/>
      </c>
      <c r="AY2515" s="44">
        <f>AY2497*Settings!$C$13*(INDEX(AY$407:AY$418,$D2515)+INDEX(AY$394:AY$405,$D2515)+AY2470*(1+$E2515))</f>
        <v/>
      </c>
      <c r="AZ2515" s="44">
        <f>AZ2497*Settings!$C$13*(INDEX(AZ$407:AZ$418,$D2515)+INDEX(AZ$394:AZ$405,$D2515)+AZ2470*(1+$E2515))</f>
        <v/>
      </c>
      <c r="BA2515" s="57">
        <f>REVENUE(BA2497,Settings!$C$13,INDEX(BA$407:BA$418,$D2515)+INDEX(BA$394:BA$405,$D2515)+BA2470*(1+$E2515))</f>
        <v/>
      </c>
    </row>
    <row r="2516" hidden="1" outlineLevel="2">
      <c r="A2516" s="14" t="inlineStr">
        <is>
          <t>rtx</t>
        </is>
      </c>
      <c r="B2516" s="14" t="inlineStr">
        <is>
          <t>ker</t>
        </is>
      </c>
      <c r="C2516" s="14" t="inlineStr">
        <is>
          <t>cem</t>
        </is>
      </c>
      <c r="D2516" s="35">
        <f>INDEX(Inputs!$U$5:$U$132,MATCH($B2516&amp;"|"&amp;$C2516,Inputs!$A$5:$A$132,0))</f>
        <v/>
      </c>
      <c r="E2516" s="35">
        <f>INDEX(Inputs!$V$5:$V$132,MATCH($B2516&amp;"|"&amp;$C2516,Inputs!$A$5:$A$132,0))</f>
        <v/>
      </c>
      <c r="F2516" s="39" t="n"/>
      <c r="G2516" s="39" t="n"/>
      <c r="H2516" s="14">
        <f>INDEX(VarLab,MATCH($A2516,VarKey,0))&amp;INDEX(MemLab,MATCH($C2516&amp;"|"&amp;$B2516,MemKey,0))</f>
        <v/>
      </c>
      <c r="I2516" s="14">
        <f>INDEX(VarUnit,MATCH($A2516,VarKey,0))</f>
        <v/>
      </c>
      <c r="J2516" s="14">
        <f>INDEX(VarSrc,MATCH($A2516,VarKey,0))</f>
        <v/>
      </c>
      <c r="K2516" s="11">
        <f>CodePrefix&amp;$A2516&amp;IF($C2516="","","."&amp;$C2516&amp;"."&amp;$B2516)&amp;INDEX(VarEnd,MATCH($A2516,VarKey,0))&amp;K$5</f>
        <v/>
      </c>
      <c r="L2516" s="43">
        <f>L2498*Settings!$C$13*(INDEX(L$407:L$418,$D2516)+INDEX(L$394:L$405,$D2516)+L2471*(1+$E2516))</f>
        <v/>
      </c>
      <c r="M2516" s="44">
        <f>M2498*Settings!$C$13*(INDEX(M$407:M$418,$D2516)+INDEX(M$394:M$405,$D2516)+M2471*(1+$E2516))</f>
        <v/>
      </c>
      <c r="N2516" s="44">
        <f>N2498*Settings!$C$13*(INDEX(N$407:N$418,$D2516)+INDEX(N$394:N$405,$D2516)+N2471*(1+$E2516))</f>
        <v/>
      </c>
      <c r="O2516" s="44">
        <f>O2498*Settings!$C$13*(INDEX(O$407:O$418,$D2516)+INDEX(O$394:O$405,$D2516)+O2471*(1+$E2516))</f>
        <v/>
      </c>
      <c r="P2516" s="44">
        <f>P2498*Settings!$C$13*(INDEX(P$407:P$418,$D2516)+INDEX(P$394:P$405,$D2516)+P2471*(1+$E2516))</f>
        <v/>
      </c>
      <c r="Q2516" s="44">
        <f>Q2498*Settings!$C$13*(INDEX(Q$407:Q$418,$D2516)+INDEX(Q$394:Q$405,$D2516)+Q2471*(1+$E2516))</f>
        <v/>
      </c>
      <c r="R2516" s="44">
        <f>R2498*Settings!$C$13*(INDEX(R$407:R$418,$D2516)+INDEX(R$394:R$405,$D2516)+R2471*(1+$E2516))</f>
        <v/>
      </c>
      <c r="S2516" s="44">
        <f>S2498*Settings!$C$13*(INDEX(S$407:S$418,$D2516)+INDEX(S$394:S$405,$D2516)+S2471*(1+$E2516))</f>
        <v/>
      </c>
      <c r="T2516" s="44">
        <f>T2498*Settings!$C$13*(INDEX(T$407:T$418,$D2516)+INDEX(T$394:T$405,$D2516)+T2471*(1+$E2516))</f>
        <v/>
      </c>
      <c r="U2516" s="44">
        <f>U2498*Settings!$C$13*(INDEX(U$407:U$418,$D2516)+INDEX(U$394:U$405,$D2516)+U2471*(1+$E2516))</f>
        <v/>
      </c>
      <c r="V2516" s="44">
        <f>V2498*Settings!$C$13*(INDEX(V$407:V$418,$D2516)+INDEX(V$394:V$405,$D2516)+V2471*(1+$E2516))</f>
        <v/>
      </c>
      <c r="W2516" s="44">
        <f>W2498*Settings!$C$13*(INDEX(W$407:W$418,$D2516)+INDEX(W$394:W$405,$D2516)+W2471*(1+$E2516))</f>
        <v/>
      </c>
      <c r="X2516" s="44">
        <f>X2498*Settings!$C$13*(INDEX(X$407:X$418,$D2516)+INDEX(X$394:X$405,$D2516)+X2471*(1+$E2516))</f>
        <v/>
      </c>
      <c r="Y2516" s="44">
        <f>Y2498*Settings!$C$13*(INDEX(Y$407:Y$418,$D2516)+INDEX(Y$394:Y$405,$D2516)+Y2471*(1+$E2516))</f>
        <v/>
      </c>
      <c r="Z2516" s="44">
        <f>Z2498*Settings!$C$13*(INDEX(Z$407:Z$418,$D2516)+INDEX(Z$394:Z$405,$D2516)+Z2471*(1+$E2516))</f>
        <v/>
      </c>
      <c r="AA2516" s="44">
        <f>AA2498*Settings!$C$13*(INDEX(AA$407:AA$418,$D2516)+INDEX(AA$394:AA$405,$D2516)+AA2471*(1+$E2516))</f>
        <v/>
      </c>
      <c r="AB2516" s="44">
        <f>AB2498*Settings!$C$13*(INDEX(AB$407:AB$418,$D2516)+INDEX(AB$394:AB$405,$D2516)+AB2471*(1+$E2516))</f>
        <v/>
      </c>
      <c r="AC2516" s="44">
        <f>AC2498*Settings!$C$13*(INDEX(AC$407:AC$418,$D2516)+INDEX(AC$394:AC$405,$D2516)+AC2471*(1+$E2516))</f>
        <v/>
      </c>
      <c r="AD2516" s="44">
        <f>AD2498*Settings!$C$13*(INDEX(AD$407:AD$418,$D2516)+INDEX(AD$394:AD$405,$D2516)+AD2471*(1+$E2516))</f>
        <v/>
      </c>
      <c r="AE2516" s="57">
        <f>REVENUE(AE2498,Settings!$C$13,INDEX(AE$407:AE$418,$D2516)+INDEX(AE$394:AE$405,$D2516)+AE2471*(1+$E2516))</f>
        <v/>
      </c>
      <c r="AG2516" s="11">
        <f>CodePrefix&amp;$A2516&amp;IF($C2516="","","."&amp;$C2516&amp;"."&amp;$B2516)&amp;INDEX(VarEnd,MATCH($A2516,VarKey,0))&amp;AG$5</f>
        <v/>
      </c>
      <c r="AH2516" s="43">
        <f>AH2498*Settings!$C$13*(INDEX(AH$407:AH$418,$D2516)+INDEX(AH$394:AH$405,$D2516)+AH2471*(1+$E2516))</f>
        <v/>
      </c>
      <c r="AI2516" s="44">
        <f>AI2498*Settings!$C$13*(INDEX(AI$407:AI$418,$D2516)+INDEX(AI$394:AI$405,$D2516)+AI2471*(1+$E2516))</f>
        <v/>
      </c>
      <c r="AJ2516" s="44">
        <f>AJ2498*Settings!$C$13*(INDEX(AJ$407:AJ$418,$D2516)+INDEX(AJ$394:AJ$405,$D2516)+AJ2471*(1+$E2516))</f>
        <v/>
      </c>
      <c r="AK2516" s="44">
        <f>AK2498*Settings!$C$13*(INDEX(AK$407:AK$418,$D2516)+INDEX(AK$394:AK$405,$D2516)+AK2471*(1+$E2516))</f>
        <v/>
      </c>
      <c r="AL2516" s="44">
        <f>AL2498*Settings!$C$13*(INDEX(AL$407:AL$418,$D2516)+INDEX(AL$394:AL$405,$D2516)+AL2471*(1+$E2516))</f>
        <v/>
      </c>
      <c r="AM2516" s="44">
        <f>AM2498*Settings!$C$13*(INDEX(AM$407:AM$418,$D2516)+INDEX(AM$394:AM$405,$D2516)+AM2471*(1+$E2516))</f>
        <v/>
      </c>
      <c r="AN2516" s="44">
        <f>AN2498*Settings!$C$13*(INDEX(AN$407:AN$418,$D2516)+INDEX(AN$394:AN$405,$D2516)+AN2471*(1+$E2516))</f>
        <v/>
      </c>
      <c r="AO2516" s="44">
        <f>AO2498*Settings!$C$13*(INDEX(AO$407:AO$418,$D2516)+INDEX(AO$394:AO$405,$D2516)+AO2471*(1+$E2516))</f>
        <v/>
      </c>
      <c r="AP2516" s="44">
        <f>AP2498*Settings!$C$13*(INDEX(AP$407:AP$418,$D2516)+INDEX(AP$394:AP$405,$D2516)+AP2471*(1+$E2516))</f>
        <v/>
      </c>
      <c r="AQ2516" s="44">
        <f>AQ2498*Settings!$C$13*(INDEX(AQ$407:AQ$418,$D2516)+INDEX(AQ$394:AQ$405,$D2516)+AQ2471*(1+$E2516))</f>
        <v/>
      </c>
      <c r="AR2516" s="44">
        <f>AR2498*Settings!$C$13*(INDEX(AR$407:AR$418,$D2516)+INDEX(AR$394:AR$405,$D2516)+AR2471*(1+$E2516))</f>
        <v/>
      </c>
      <c r="AS2516" s="44">
        <f>AS2498*Settings!$C$13*(INDEX(AS$407:AS$418,$D2516)+INDEX(AS$394:AS$405,$D2516)+AS2471*(1+$E2516))</f>
        <v/>
      </c>
      <c r="AT2516" s="44">
        <f>AT2498*Settings!$C$13*(INDEX(AT$407:AT$418,$D2516)+INDEX(AT$394:AT$405,$D2516)+AT2471*(1+$E2516))</f>
        <v/>
      </c>
      <c r="AU2516" s="44">
        <f>AU2498*Settings!$C$13*(INDEX(AU$407:AU$418,$D2516)+INDEX(AU$394:AU$405,$D2516)+AU2471*(1+$E2516))</f>
        <v/>
      </c>
      <c r="AV2516" s="44">
        <f>AV2498*Settings!$C$13*(INDEX(AV$407:AV$418,$D2516)+INDEX(AV$394:AV$405,$D2516)+AV2471*(1+$E2516))</f>
        <v/>
      </c>
      <c r="AW2516" s="44">
        <f>AW2498*Settings!$C$13*(INDEX(AW$407:AW$418,$D2516)+INDEX(AW$394:AW$405,$D2516)+AW2471*(1+$E2516))</f>
        <v/>
      </c>
      <c r="AX2516" s="44">
        <f>AX2498*Settings!$C$13*(INDEX(AX$407:AX$418,$D2516)+INDEX(AX$394:AX$405,$D2516)+AX2471*(1+$E2516))</f>
        <v/>
      </c>
      <c r="AY2516" s="44">
        <f>AY2498*Settings!$C$13*(INDEX(AY$407:AY$418,$D2516)+INDEX(AY$394:AY$405,$D2516)+AY2471*(1+$E2516))</f>
        <v/>
      </c>
      <c r="AZ2516" s="44">
        <f>AZ2498*Settings!$C$13*(INDEX(AZ$407:AZ$418,$D2516)+INDEX(AZ$394:AZ$405,$D2516)+AZ2471*(1+$E2516))</f>
        <v/>
      </c>
      <c r="BA2516" s="57">
        <f>REVENUE(BA2498,Settings!$C$13,INDEX(BA$407:BA$418,$D2516)+INDEX(BA$394:BA$405,$D2516)+BA2471*(1+$E2516))</f>
        <v/>
      </c>
    </row>
    <row r="2517" hidden="1" outlineLevel="2">
      <c r="A2517" s="14" t="inlineStr">
        <is>
          <t>rtx</t>
        </is>
      </c>
      <c r="B2517" s="14" t="inlineStr">
        <is>
          <t>oop</t>
        </is>
      </c>
      <c r="C2517" s="14" t="inlineStr">
        <is>
          <t>cem</t>
        </is>
      </c>
      <c r="D2517" s="35">
        <f>INDEX(Inputs!$U$5:$U$132,MATCH($B2517&amp;"|"&amp;$C2517,Inputs!$A$5:$A$132,0))</f>
        <v/>
      </c>
      <c r="E2517" s="35">
        <f>INDEX(Inputs!$V$5:$V$132,MATCH($B2517&amp;"|"&amp;$C2517,Inputs!$A$5:$A$132,0))</f>
        <v/>
      </c>
      <c r="F2517" s="39" t="n"/>
      <c r="G2517" s="39" t="n"/>
      <c r="H2517" s="14">
        <f>INDEX(VarLab,MATCH($A2517,VarKey,0))&amp;INDEX(MemLab,MATCH($C2517&amp;"|"&amp;$B2517,MemKey,0))</f>
        <v/>
      </c>
      <c r="I2517" s="14">
        <f>INDEX(VarUnit,MATCH($A2517,VarKey,0))</f>
        <v/>
      </c>
      <c r="J2517" s="14">
        <f>INDEX(VarSrc,MATCH($A2517,VarKey,0))</f>
        <v/>
      </c>
      <c r="K2517" s="11">
        <f>CodePrefix&amp;$A2517&amp;IF($C2517="","","."&amp;$C2517&amp;"."&amp;$B2517)&amp;INDEX(VarEnd,MATCH($A2517,VarKey,0))&amp;K$5</f>
        <v/>
      </c>
      <c r="L2517" s="43">
        <f>L2499*Settings!$C$13*(INDEX(L$407:L$418,$D2517)+INDEX(L$394:L$405,$D2517)+L2472*(1+$E2517))</f>
        <v/>
      </c>
      <c r="M2517" s="44">
        <f>M2499*Settings!$C$13*(INDEX(M$407:M$418,$D2517)+INDEX(M$394:M$405,$D2517)+M2472*(1+$E2517))</f>
        <v/>
      </c>
      <c r="N2517" s="44">
        <f>N2499*Settings!$C$13*(INDEX(N$407:N$418,$D2517)+INDEX(N$394:N$405,$D2517)+N2472*(1+$E2517))</f>
        <v/>
      </c>
      <c r="O2517" s="44">
        <f>O2499*Settings!$C$13*(INDEX(O$407:O$418,$D2517)+INDEX(O$394:O$405,$D2517)+O2472*(1+$E2517))</f>
        <v/>
      </c>
      <c r="P2517" s="44">
        <f>P2499*Settings!$C$13*(INDEX(P$407:P$418,$D2517)+INDEX(P$394:P$405,$D2517)+P2472*(1+$E2517))</f>
        <v/>
      </c>
      <c r="Q2517" s="44">
        <f>Q2499*Settings!$C$13*(INDEX(Q$407:Q$418,$D2517)+INDEX(Q$394:Q$405,$D2517)+Q2472*(1+$E2517))</f>
        <v/>
      </c>
      <c r="R2517" s="44">
        <f>R2499*Settings!$C$13*(INDEX(R$407:R$418,$D2517)+INDEX(R$394:R$405,$D2517)+R2472*(1+$E2517))</f>
        <v/>
      </c>
      <c r="S2517" s="44">
        <f>S2499*Settings!$C$13*(INDEX(S$407:S$418,$D2517)+INDEX(S$394:S$405,$D2517)+S2472*(1+$E2517))</f>
        <v/>
      </c>
      <c r="T2517" s="44">
        <f>T2499*Settings!$C$13*(INDEX(T$407:T$418,$D2517)+INDEX(T$394:T$405,$D2517)+T2472*(1+$E2517))</f>
        <v/>
      </c>
      <c r="U2517" s="44">
        <f>U2499*Settings!$C$13*(INDEX(U$407:U$418,$D2517)+INDEX(U$394:U$405,$D2517)+U2472*(1+$E2517))</f>
        <v/>
      </c>
      <c r="V2517" s="44">
        <f>V2499*Settings!$C$13*(INDEX(V$407:V$418,$D2517)+INDEX(V$394:V$405,$D2517)+V2472*(1+$E2517))</f>
        <v/>
      </c>
      <c r="W2517" s="44">
        <f>W2499*Settings!$C$13*(INDEX(W$407:W$418,$D2517)+INDEX(W$394:W$405,$D2517)+W2472*(1+$E2517))</f>
        <v/>
      </c>
      <c r="X2517" s="44">
        <f>X2499*Settings!$C$13*(INDEX(X$407:X$418,$D2517)+INDEX(X$394:X$405,$D2517)+X2472*(1+$E2517))</f>
        <v/>
      </c>
      <c r="Y2517" s="44">
        <f>Y2499*Settings!$C$13*(INDEX(Y$407:Y$418,$D2517)+INDEX(Y$394:Y$405,$D2517)+Y2472*(1+$E2517))</f>
        <v/>
      </c>
      <c r="Z2517" s="44">
        <f>Z2499*Settings!$C$13*(INDEX(Z$407:Z$418,$D2517)+INDEX(Z$394:Z$405,$D2517)+Z2472*(1+$E2517))</f>
        <v/>
      </c>
      <c r="AA2517" s="44">
        <f>AA2499*Settings!$C$13*(INDEX(AA$407:AA$418,$D2517)+INDEX(AA$394:AA$405,$D2517)+AA2472*(1+$E2517))</f>
        <v/>
      </c>
      <c r="AB2517" s="44">
        <f>AB2499*Settings!$C$13*(INDEX(AB$407:AB$418,$D2517)+INDEX(AB$394:AB$405,$D2517)+AB2472*(1+$E2517))</f>
        <v/>
      </c>
      <c r="AC2517" s="44">
        <f>AC2499*Settings!$C$13*(INDEX(AC$407:AC$418,$D2517)+INDEX(AC$394:AC$405,$D2517)+AC2472*(1+$E2517))</f>
        <v/>
      </c>
      <c r="AD2517" s="44">
        <f>AD2499*Settings!$C$13*(INDEX(AD$407:AD$418,$D2517)+INDEX(AD$394:AD$405,$D2517)+AD2472*(1+$E2517))</f>
        <v/>
      </c>
      <c r="AE2517" s="57">
        <f>REVENUE(AE2499,Settings!$C$13,INDEX(AE$407:AE$418,$D2517)+INDEX(AE$394:AE$405,$D2517)+AE2472*(1+$E2517))</f>
        <v/>
      </c>
      <c r="AG2517" s="11">
        <f>CodePrefix&amp;$A2517&amp;IF($C2517="","","."&amp;$C2517&amp;"."&amp;$B2517)&amp;INDEX(VarEnd,MATCH($A2517,VarKey,0))&amp;AG$5</f>
        <v/>
      </c>
      <c r="AH2517" s="43">
        <f>AH2499*Settings!$C$13*(INDEX(AH$407:AH$418,$D2517)+INDEX(AH$394:AH$405,$D2517)+AH2472*(1+$E2517))</f>
        <v/>
      </c>
      <c r="AI2517" s="44">
        <f>AI2499*Settings!$C$13*(INDEX(AI$407:AI$418,$D2517)+INDEX(AI$394:AI$405,$D2517)+AI2472*(1+$E2517))</f>
        <v/>
      </c>
      <c r="AJ2517" s="44">
        <f>AJ2499*Settings!$C$13*(INDEX(AJ$407:AJ$418,$D2517)+INDEX(AJ$394:AJ$405,$D2517)+AJ2472*(1+$E2517))</f>
        <v/>
      </c>
      <c r="AK2517" s="44">
        <f>AK2499*Settings!$C$13*(INDEX(AK$407:AK$418,$D2517)+INDEX(AK$394:AK$405,$D2517)+AK2472*(1+$E2517))</f>
        <v/>
      </c>
      <c r="AL2517" s="44">
        <f>AL2499*Settings!$C$13*(INDEX(AL$407:AL$418,$D2517)+INDEX(AL$394:AL$405,$D2517)+AL2472*(1+$E2517))</f>
        <v/>
      </c>
      <c r="AM2517" s="44">
        <f>AM2499*Settings!$C$13*(INDEX(AM$407:AM$418,$D2517)+INDEX(AM$394:AM$405,$D2517)+AM2472*(1+$E2517))</f>
        <v/>
      </c>
      <c r="AN2517" s="44">
        <f>AN2499*Settings!$C$13*(INDEX(AN$407:AN$418,$D2517)+INDEX(AN$394:AN$405,$D2517)+AN2472*(1+$E2517))</f>
        <v/>
      </c>
      <c r="AO2517" s="44">
        <f>AO2499*Settings!$C$13*(INDEX(AO$407:AO$418,$D2517)+INDEX(AO$394:AO$405,$D2517)+AO2472*(1+$E2517))</f>
        <v/>
      </c>
      <c r="AP2517" s="44">
        <f>AP2499*Settings!$C$13*(INDEX(AP$407:AP$418,$D2517)+INDEX(AP$394:AP$405,$D2517)+AP2472*(1+$E2517))</f>
        <v/>
      </c>
      <c r="AQ2517" s="44">
        <f>AQ2499*Settings!$C$13*(INDEX(AQ$407:AQ$418,$D2517)+INDEX(AQ$394:AQ$405,$D2517)+AQ2472*(1+$E2517))</f>
        <v/>
      </c>
      <c r="AR2517" s="44">
        <f>AR2499*Settings!$C$13*(INDEX(AR$407:AR$418,$D2517)+INDEX(AR$394:AR$405,$D2517)+AR2472*(1+$E2517))</f>
        <v/>
      </c>
      <c r="AS2517" s="44">
        <f>AS2499*Settings!$C$13*(INDEX(AS$407:AS$418,$D2517)+INDEX(AS$394:AS$405,$D2517)+AS2472*(1+$E2517))</f>
        <v/>
      </c>
      <c r="AT2517" s="44">
        <f>AT2499*Settings!$C$13*(INDEX(AT$407:AT$418,$D2517)+INDEX(AT$394:AT$405,$D2517)+AT2472*(1+$E2517))</f>
        <v/>
      </c>
      <c r="AU2517" s="44">
        <f>AU2499*Settings!$C$13*(INDEX(AU$407:AU$418,$D2517)+INDEX(AU$394:AU$405,$D2517)+AU2472*(1+$E2517))</f>
        <v/>
      </c>
      <c r="AV2517" s="44">
        <f>AV2499*Settings!$C$13*(INDEX(AV$407:AV$418,$D2517)+INDEX(AV$394:AV$405,$D2517)+AV2472*(1+$E2517))</f>
        <v/>
      </c>
      <c r="AW2517" s="44">
        <f>AW2499*Settings!$C$13*(INDEX(AW$407:AW$418,$D2517)+INDEX(AW$394:AW$405,$D2517)+AW2472*(1+$E2517))</f>
        <v/>
      </c>
      <c r="AX2517" s="44">
        <f>AX2499*Settings!$C$13*(INDEX(AX$407:AX$418,$D2517)+INDEX(AX$394:AX$405,$D2517)+AX2472*(1+$E2517))</f>
        <v/>
      </c>
      <c r="AY2517" s="44">
        <f>AY2499*Settings!$C$13*(INDEX(AY$407:AY$418,$D2517)+INDEX(AY$394:AY$405,$D2517)+AY2472*(1+$E2517))</f>
        <v/>
      </c>
      <c r="AZ2517" s="44">
        <f>AZ2499*Settings!$C$13*(INDEX(AZ$407:AZ$418,$D2517)+INDEX(AZ$394:AZ$405,$D2517)+AZ2472*(1+$E2517))</f>
        <v/>
      </c>
      <c r="BA2517" s="57">
        <f>REVENUE(BA2499,Settings!$C$13,INDEX(BA$407:BA$418,$D2517)+INDEX(BA$394:BA$405,$D2517)+BA2472*(1+$E2517))</f>
        <v/>
      </c>
    </row>
    <row r="2518" hidden="1" outlineLevel="2">
      <c r="A2518" s="14" t="inlineStr">
        <is>
          <t>rtx</t>
        </is>
      </c>
      <c r="B2518" s="14" t="inlineStr">
        <is>
          <t>bio</t>
        </is>
      </c>
      <c r="C2518" s="14" t="inlineStr">
        <is>
          <t>cem</t>
        </is>
      </c>
      <c r="D2518" s="35">
        <f>INDEX(Inputs!$U$5:$U$132,MATCH($B2518&amp;"|"&amp;$C2518,Inputs!$A$5:$A$132,0))</f>
        <v/>
      </c>
      <c r="E2518" s="35">
        <f>INDEX(Inputs!$V$5:$V$132,MATCH($B2518&amp;"|"&amp;$C2518,Inputs!$A$5:$A$132,0))</f>
        <v/>
      </c>
      <c r="F2518" s="39" t="n"/>
      <c r="G2518" s="39" t="n"/>
      <c r="H2518" s="14">
        <f>INDEX(VarLab,MATCH($A2518,VarKey,0))&amp;INDEX(MemLab,MATCH($C2518&amp;"|"&amp;$B2518,MemKey,0))</f>
        <v/>
      </c>
      <c r="I2518" s="14">
        <f>INDEX(VarUnit,MATCH($A2518,VarKey,0))</f>
        <v/>
      </c>
      <c r="J2518" s="14">
        <f>INDEX(VarSrc,MATCH($A2518,VarKey,0))</f>
        <v/>
      </c>
      <c r="K2518" s="11">
        <f>CodePrefix&amp;$A2518&amp;IF($C2518="","","."&amp;$C2518&amp;"."&amp;$B2518)&amp;INDEX(VarEnd,MATCH($A2518,VarKey,0))&amp;K$5</f>
        <v/>
      </c>
      <c r="L2518" s="43">
        <f>L2500*Settings!$C$13*(INDEX(L$407:L$418,$D2518)+INDEX(L$394:L$405,$D2518)+L2473*(1+$E2518))</f>
        <v/>
      </c>
      <c r="M2518" s="44">
        <f>M2500*Settings!$C$13*(INDEX(M$407:M$418,$D2518)+INDEX(M$394:M$405,$D2518)+M2473*(1+$E2518))</f>
        <v/>
      </c>
      <c r="N2518" s="44">
        <f>N2500*Settings!$C$13*(INDEX(N$407:N$418,$D2518)+INDEX(N$394:N$405,$D2518)+N2473*(1+$E2518))</f>
        <v/>
      </c>
      <c r="O2518" s="44">
        <f>O2500*Settings!$C$13*(INDEX(O$407:O$418,$D2518)+INDEX(O$394:O$405,$D2518)+O2473*(1+$E2518))</f>
        <v/>
      </c>
      <c r="P2518" s="44">
        <f>P2500*Settings!$C$13*(INDEX(P$407:P$418,$D2518)+INDEX(P$394:P$405,$D2518)+P2473*(1+$E2518))</f>
        <v/>
      </c>
      <c r="Q2518" s="44">
        <f>Q2500*Settings!$C$13*(INDEX(Q$407:Q$418,$D2518)+INDEX(Q$394:Q$405,$D2518)+Q2473*(1+$E2518))</f>
        <v/>
      </c>
      <c r="R2518" s="44">
        <f>R2500*Settings!$C$13*(INDEX(R$407:R$418,$D2518)+INDEX(R$394:R$405,$D2518)+R2473*(1+$E2518))</f>
        <v/>
      </c>
      <c r="S2518" s="44">
        <f>S2500*Settings!$C$13*(INDEX(S$407:S$418,$D2518)+INDEX(S$394:S$405,$D2518)+S2473*(1+$E2518))</f>
        <v/>
      </c>
      <c r="T2518" s="44">
        <f>T2500*Settings!$C$13*(INDEX(T$407:T$418,$D2518)+INDEX(T$394:T$405,$D2518)+T2473*(1+$E2518))</f>
        <v/>
      </c>
      <c r="U2518" s="44">
        <f>U2500*Settings!$C$13*(INDEX(U$407:U$418,$D2518)+INDEX(U$394:U$405,$D2518)+U2473*(1+$E2518))</f>
        <v/>
      </c>
      <c r="V2518" s="44">
        <f>V2500*Settings!$C$13*(INDEX(V$407:V$418,$D2518)+INDEX(V$394:V$405,$D2518)+V2473*(1+$E2518))</f>
        <v/>
      </c>
      <c r="W2518" s="44">
        <f>W2500*Settings!$C$13*(INDEX(W$407:W$418,$D2518)+INDEX(W$394:W$405,$D2518)+W2473*(1+$E2518))</f>
        <v/>
      </c>
      <c r="X2518" s="44">
        <f>X2500*Settings!$C$13*(INDEX(X$407:X$418,$D2518)+INDEX(X$394:X$405,$D2518)+X2473*(1+$E2518))</f>
        <v/>
      </c>
      <c r="Y2518" s="44">
        <f>Y2500*Settings!$C$13*(INDEX(Y$407:Y$418,$D2518)+INDEX(Y$394:Y$405,$D2518)+Y2473*(1+$E2518))</f>
        <v/>
      </c>
      <c r="Z2518" s="44">
        <f>Z2500*Settings!$C$13*(INDEX(Z$407:Z$418,$D2518)+INDEX(Z$394:Z$405,$D2518)+Z2473*(1+$E2518))</f>
        <v/>
      </c>
      <c r="AA2518" s="44">
        <f>AA2500*Settings!$C$13*(INDEX(AA$407:AA$418,$D2518)+INDEX(AA$394:AA$405,$D2518)+AA2473*(1+$E2518))</f>
        <v/>
      </c>
      <c r="AB2518" s="44">
        <f>AB2500*Settings!$C$13*(INDEX(AB$407:AB$418,$D2518)+INDEX(AB$394:AB$405,$D2518)+AB2473*(1+$E2518))</f>
        <v/>
      </c>
      <c r="AC2518" s="44">
        <f>AC2500*Settings!$C$13*(INDEX(AC$407:AC$418,$D2518)+INDEX(AC$394:AC$405,$D2518)+AC2473*(1+$E2518))</f>
        <v/>
      </c>
      <c r="AD2518" s="44">
        <f>AD2500*Settings!$C$13*(INDEX(AD$407:AD$418,$D2518)+INDEX(AD$394:AD$405,$D2518)+AD2473*(1+$E2518))</f>
        <v/>
      </c>
      <c r="AE2518" s="57">
        <f>REVENUE(AE2500,Settings!$C$13,INDEX(AE$407:AE$418,$D2518)+INDEX(AE$394:AE$405,$D2518)+AE2473*(1+$E2518))</f>
        <v/>
      </c>
      <c r="AG2518" s="11">
        <f>CodePrefix&amp;$A2518&amp;IF($C2518="","","."&amp;$C2518&amp;"."&amp;$B2518)&amp;INDEX(VarEnd,MATCH($A2518,VarKey,0))&amp;AG$5</f>
        <v/>
      </c>
      <c r="AH2518" s="43">
        <f>AH2500*Settings!$C$13*(INDEX(AH$407:AH$418,$D2518)+INDEX(AH$394:AH$405,$D2518)+AH2473*(1+$E2518))</f>
        <v/>
      </c>
      <c r="AI2518" s="44">
        <f>AI2500*Settings!$C$13*(INDEX(AI$407:AI$418,$D2518)+INDEX(AI$394:AI$405,$D2518)+AI2473*(1+$E2518))</f>
        <v/>
      </c>
      <c r="AJ2518" s="44">
        <f>AJ2500*Settings!$C$13*(INDEX(AJ$407:AJ$418,$D2518)+INDEX(AJ$394:AJ$405,$D2518)+AJ2473*(1+$E2518))</f>
        <v/>
      </c>
      <c r="AK2518" s="44">
        <f>AK2500*Settings!$C$13*(INDEX(AK$407:AK$418,$D2518)+INDEX(AK$394:AK$405,$D2518)+AK2473*(1+$E2518))</f>
        <v/>
      </c>
      <c r="AL2518" s="44">
        <f>AL2500*Settings!$C$13*(INDEX(AL$407:AL$418,$D2518)+INDEX(AL$394:AL$405,$D2518)+AL2473*(1+$E2518))</f>
        <v/>
      </c>
      <c r="AM2518" s="44">
        <f>AM2500*Settings!$C$13*(INDEX(AM$407:AM$418,$D2518)+INDEX(AM$394:AM$405,$D2518)+AM2473*(1+$E2518))</f>
        <v/>
      </c>
      <c r="AN2518" s="44">
        <f>AN2500*Settings!$C$13*(INDEX(AN$407:AN$418,$D2518)+INDEX(AN$394:AN$405,$D2518)+AN2473*(1+$E2518))</f>
        <v/>
      </c>
      <c r="AO2518" s="44">
        <f>AO2500*Settings!$C$13*(INDEX(AO$407:AO$418,$D2518)+INDEX(AO$394:AO$405,$D2518)+AO2473*(1+$E2518))</f>
        <v/>
      </c>
      <c r="AP2518" s="44">
        <f>AP2500*Settings!$C$13*(INDEX(AP$407:AP$418,$D2518)+INDEX(AP$394:AP$405,$D2518)+AP2473*(1+$E2518))</f>
        <v/>
      </c>
      <c r="AQ2518" s="44">
        <f>AQ2500*Settings!$C$13*(INDEX(AQ$407:AQ$418,$D2518)+INDEX(AQ$394:AQ$405,$D2518)+AQ2473*(1+$E2518))</f>
        <v/>
      </c>
      <c r="AR2518" s="44">
        <f>AR2500*Settings!$C$13*(INDEX(AR$407:AR$418,$D2518)+INDEX(AR$394:AR$405,$D2518)+AR2473*(1+$E2518))</f>
        <v/>
      </c>
      <c r="AS2518" s="44">
        <f>AS2500*Settings!$C$13*(INDEX(AS$407:AS$418,$D2518)+INDEX(AS$394:AS$405,$D2518)+AS2473*(1+$E2518))</f>
        <v/>
      </c>
      <c r="AT2518" s="44">
        <f>AT2500*Settings!$C$13*(INDEX(AT$407:AT$418,$D2518)+INDEX(AT$394:AT$405,$D2518)+AT2473*(1+$E2518))</f>
        <v/>
      </c>
      <c r="AU2518" s="44">
        <f>AU2500*Settings!$C$13*(INDEX(AU$407:AU$418,$D2518)+INDEX(AU$394:AU$405,$D2518)+AU2473*(1+$E2518))</f>
        <v/>
      </c>
      <c r="AV2518" s="44">
        <f>AV2500*Settings!$C$13*(INDEX(AV$407:AV$418,$D2518)+INDEX(AV$394:AV$405,$D2518)+AV2473*(1+$E2518))</f>
        <v/>
      </c>
      <c r="AW2518" s="44">
        <f>AW2500*Settings!$C$13*(INDEX(AW$407:AW$418,$D2518)+INDEX(AW$394:AW$405,$D2518)+AW2473*(1+$E2518))</f>
        <v/>
      </c>
      <c r="AX2518" s="44">
        <f>AX2500*Settings!$C$13*(INDEX(AX$407:AX$418,$D2518)+INDEX(AX$394:AX$405,$D2518)+AX2473*(1+$E2518))</f>
        <v/>
      </c>
      <c r="AY2518" s="44">
        <f>AY2500*Settings!$C$13*(INDEX(AY$407:AY$418,$D2518)+INDEX(AY$394:AY$405,$D2518)+AY2473*(1+$E2518))</f>
        <v/>
      </c>
      <c r="AZ2518" s="44">
        <f>AZ2500*Settings!$C$13*(INDEX(AZ$407:AZ$418,$D2518)+INDEX(AZ$394:AZ$405,$D2518)+AZ2473*(1+$E2518))</f>
        <v/>
      </c>
      <c r="BA2518" s="57">
        <f>REVENUE(BA2500,Settings!$C$13,INDEX(BA$407:BA$418,$D2518)+INDEX(BA$394:BA$405,$D2518)+BA2473*(1+$E2518))</f>
        <v/>
      </c>
    </row>
    <row r="2519" hidden="1" outlineLevel="2"/>
    <row r="2520" hidden="1" outlineLevel="2">
      <c r="A2520" s="14" t="inlineStr">
        <is>
          <t>rsub</t>
        </is>
      </c>
      <c r="B2520" s="14" t="inlineStr">
        <is>
          <t>coa</t>
        </is>
      </c>
      <c r="C2520" s="14" t="inlineStr">
        <is>
          <t>cem</t>
        </is>
      </c>
      <c r="D2520" s="35">
        <f>INDEX(Inputs!$U$5:$U$132,MATCH($B2520&amp;"|"&amp;$C2520,Inputs!$A$5:$A$132,0))</f>
        <v/>
      </c>
      <c r="E2520" s="39" t="n"/>
      <c r="F2520" s="39" t="n"/>
      <c r="G2520" s="39" t="n"/>
      <c r="H2520" s="14">
        <f>INDEX(VarLab,MATCH($A2520,VarKey,0))&amp;INDEX(MemLab,MATCH($C2520&amp;"|"&amp;$B2520,MemKey,0))</f>
        <v/>
      </c>
      <c r="I2520" s="14">
        <f>INDEX(VarUnit,MATCH($A2520,VarKey,0))</f>
        <v/>
      </c>
      <c r="J2520" s="14">
        <f>INDEX(VarSrc,MATCH($A2520,VarKey,0))</f>
        <v/>
      </c>
      <c r="K2520" s="11">
        <f>CodePrefix&amp;$A2520&amp;IF($C2520="","","."&amp;$C2520&amp;"."&amp;$B2520)&amp;INDEX(VarEnd,MATCH($A2520,VarKey,0))&amp;K$5</f>
        <v/>
      </c>
      <c r="L2520" s="43">
        <f>L2493*Settings!$C$13*(INDEX(L$420:L$431,$D2520))</f>
        <v/>
      </c>
      <c r="M2520" s="44">
        <f>M2493*Settings!$C$13*(INDEX(M$420:M$431,$D2520))</f>
        <v/>
      </c>
      <c r="N2520" s="44">
        <f>N2493*Settings!$C$13*(INDEX(N$420:N$431,$D2520))</f>
        <v/>
      </c>
      <c r="O2520" s="44">
        <f>O2493*Settings!$C$13*(INDEX(O$420:O$431,$D2520))</f>
        <v/>
      </c>
      <c r="P2520" s="44">
        <f>P2493*Settings!$C$13*(INDEX(P$420:P$431,$D2520))</f>
        <v/>
      </c>
      <c r="Q2520" s="44">
        <f>Q2493*Settings!$C$13*(INDEX(Q$420:Q$431,$D2520))</f>
        <v/>
      </c>
      <c r="R2520" s="44">
        <f>R2493*Settings!$C$13*(INDEX(R$420:R$431,$D2520))</f>
        <v/>
      </c>
      <c r="S2520" s="44">
        <f>S2493*Settings!$C$13*(INDEX(S$420:S$431,$D2520))</f>
        <v/>
      </c>
      <c r="T2520" s="44">
        <f>T2493*Settings!$C$13*(INDEX(T$420:T$431,$D2520))</f>
        <v/>
      </c>
      <c r="U2520" s="44">
        <f>U2493*Settings!$C$13*(INDEX(U$420:U$431,$D2520))</f>
        <v/>
      </c>
      <c r="V2520" s="44">
        <f>V2493*Settings!$C$13*(INDEX(V$420:V$431,$D2520))</f>
        <v/>
      </c>
      <c r="W2520" s="44">
        <f>W2493*Settings!$C$13*(INDEX(W$420:W$431,$D2520))</f>
        <v/>
      </c>
      <c r="X2520" s="44">
        <f>X2493*Settings!$C$13*(INDEX(X$420:X$431,$D2520))</f>
        <v/>
      </c>
      <c r="Y2520" s="44">
        <f>Y2493*Settings!$C$13*(INDEX(Y$420:Y$431,$D2520))</f>
        <v/>
      </c>
      <c r="Z2520" s="44">
        <f>Z2493*Settings!$C$13*(INDEX(Z$420:Z$431,$D2520))</f>
        <v/>
      </c>
      <c r="AA2520" s="44">
        <f>AA2493*Settings!$C$13*(INDEX(AA$420:AA$431,$D2520))</f>
        <v/>
      </c>
      <c r="AB2520" s="44">
        <f>AB2493*Settings!$C$13*(INDEX(AB$420:AB$431,$D2520))</f>
        <v/>
      </c>
      <c r="AC2520" s="44">
        <f>AC2493*Settings!$C$13*(INDEX(AC$420:AC$431,$D2520))</f>
        <v/>
      </c>
      <c r="AD2520" s="44">
        <f>AD2493*Settings!$C$13*(INDEX(AD$420:AD$431,$D2520))</f>
        <v/>
      </c>
      <c r="AE2520" s="57">
        <f>REVENUE(AE2493,Settings!$C$13,INDEX(AE$420:AE$431,$D2520))</f>
        <v/>
      </c>
      <c r="AG2520" s="11">
        <f>CodePrefix&amp;$A2520&amp;IF($C2520="","","."&amp;$C2520&amp;"."&amp;$B2520)&amp;INDEX(VarEnd,MATCH($A2520,VarKey,0))&amp;AG$5</f>
        <v/>
      </c>
      <c r="AH2520" s="43">
        <f>AH2493*Settings!$C$13*(INDEX(AH$420:AH$431,$D2520))</f>
        <v/>
      </c>
      <c r="AI2520" s="44">
        <f>AI2493*Settings!$C$13*(INDEX(AI$420:AI$431,$D2520))</f>
        <v/>
      </c>
      <c r="AJ2520" s="44">
        <f>AJ2493*Settings!$C$13*(INDEX(AJ$420:AJ$431,$D2520))</f>
        <v/>
      </c>
      <c r="AK2520" s="44">
        <f>AK2493*Settings!$C$13*(INDEX(AK$420:AK$431,$D2520))</f>
        <v/>
      </c>
      <c r="AL2520" s="44">
        <f>AL2493*Settings!$C$13*(INDEX(AL$420:AL$431,$D2520))</f>
        <v/>
      </c>
      <c r="AM2520" s="44">
        <f>AM2493*Settings!$C$13*(INDEX(AM$420:AM$431,$D2520))</f>
        <v/>
      </c>
      <c r="AN2520" s="44">
        <f>AN2493*Settings!$C$13*(INDEX(AN$420:AN$431,$D2520))</f>
        <v/>
      </c>
      <c r="AO2520" s="44">
        <f>AO2493*Settings!$C$13*(INDEX(AO$420:AO$431,$D2520))</f>
        <v/>
      </c>
      <c r="AP2520" s="44">
        <f>AP2493*Settings!$C$13*(INDEX(AP$420:AP$431,$D2520))</f>
        <v/>
      </c>
      <c r="AQ2520" s="44">
        <f>AQ2493*Settings!$C$13*(INDEX(AQ$420:AQ$431,$D2520))</f>
        <v/>
      </c>
      <c r="AR2520" s="44">
        <f>AR2493*Settings!$C$13*(INDEX(AR$420:AR$431,$D2520))</f>
        <v/>
      </c>
      <c r="AS2520" s="44">
        <f>AS2493*Settings!$C$13*(INDEX(AS$420:AS$431,$D2520))</f>
        <v/>
      </c>
      <c r="AT2520" s="44">
        <f>AT2493*Settings!$C$13*(INDEX(AT$420:AT$431,$D2520))</f>
        <v/>
      </c>
      <c r="AU2520" s="44">
        <f>AU2493*Settings!$C$13*(INDEX(AU$420:AU$431,$D2520))</f>
        <v/>
      </c>
      <c r="AV2520" s="44">
        <f>AV2493*Settings!$C$13*(INDEX(AV$420:AV$431,$D2520))</f>
        <v/>
      </c>
      <c r="AW2520" s="44">
        <f>AW2493*Settings!$C$13*(INDEX(AW$420:AW$431,$D2520))</f>
        <v/>
      </c>
      <c r="AX2520" s="44">
        <f>AX2493*Settings!$C$13*(INDEX(AX$420:AX$431,$D2520))</f>
        <v/>
      </c>
      <c r="AY2520" s="44">
        <f>AY2493*Settings!$C$13*(INDEX(AY$420:AY$431,$D2520))</f>
        <v/>
      </c>
      <c r="AZ2520" s="44">
        <f>AZ2493*Settings!$C$13*(INDEX(AZ$420:AZ$431,$D2520))</f>
        <v/>
      </c>
      <c r="BA2520" s="57">
        <f>REVENUE(BA2493,Settings!$C$13,INDEX(BA$420:BA$431,$D2520))</f>
        <v/>
      </c>
    </row>
    <row r="2521" hidden="1" outlineLevel="2">
      <c r="A2521" s="14" t="inlineStr">
        <is>
          <t>rsub</t>
        </is>
      </c>
      <c r="B2521" s="14" t="inlineStr">
        <is>
          <t>nga</t>
        </is>
      </c>
      <c r="C2521" s="14" t="inlineStr">
        <is>
          <t>cem</t>
        </is>
      </c>
      <c r="D2521" s="35">
        <f>INDEX(Inputs!$U$5:$U$132,MATCH($B2521&amp;"|"&amp;$C2521,Inputs!$A$5:$A$132,0))</f>
        <v/>
      </c>
      <c r="E2521" s="39" t="n"/>
      <c r="F2521" s="39" t="n"/>
      <c r="G2521" s="39" t="n"/>
      <c r="H2521" s="14">
        <f>INDEX(VarLab,MATCH($A2521,VarKey,0))&amp;INDEX(MemLab,MATCH($C2521&amp;"|"&amp;$B2521,MemKey,0))</f>
        <v/>
      </c>
      <c r="I2521" s="14">
        <f>INDEX(VarUnit,MATCH($A2521,VarKey,0))</f>
        <v/>
      </c>
      <c r="J2521" s="14">
        <f>INDEX(VarSrc,MATCH($A2521,VarKey,0))</f>
        <v/>
      </c>
      <c r="K2521" s="11">
        <f>CodePrefix&amp;$A2521&amp;IF($C2521="","","."&amp;$C2521&amp;"."&amp;$B2521)&amp;INDEX(VarEnd,MATCH($A2521,VarKey,0))&amp;K$5</f>
        <v/>
      </c>
      <c r="L2521" s="43">
        <f>L2494*Settings!$C$13*(INDEX(L$420:L$431,$D2521))</f>
        <v/>
      </c>
      <c r="M2521" s="44">
        <f>M2494*Settings!$C$13*(INDEX(M$420:M$431,$D2521))</f>
        <v/>
      </c>
      <c r="N2521" s="44">
        <f>N2494*Settings!$C$13*(INDEX(N$420:N$431,$D2521))</f>
        <v/>
      </c>
      <c r="O2521" s="44">
        <f>O2494*Settings!$C$13*(INDEX(O$420:O$431,$D2521))</f>
        <v/>
      </c>
      <c r="P2521" s="44">
        <f>P2494*Settings!$C$13*(INDEX(P$420:P$431,$D2521))</f>
        <v/>
      </c>
      <c r="Q2521" s="44">
        <f>Q2494*Settings!$C$13*(INDEX(Q$420:Q$431,$D2521))</f>
        <v/>
      </c>
      <c r="R2521" s="44">
        <f>R2494*Settings!$C$13*(INDEX(R$420:R$431,$D2521))</f>
        <v/>
      </c>
      <c r="S2521" s="44">
        <f>S2494*Settings!$C$13*(INDEX(S$420:S$431,$D2521))</f>
        <v/>
      </c>
      <c r="T2521" s="44">
        <f>T2494*Settings!$C$13*(INDEX(T$420:T$431,$D2521))</f>
        <v/>
      </c>
      <c r="U2521" s="44">
        <f>U2494*Settings!$C$13*(INDEX(U$420:U$431,$D2521))</f>
        <v/>
      </c>
      <c r="V2521" s="44">
        <f>V2494*Settings!$C$13*(INDEX(V$420:V$431,$D2521))</f>
        <v/>
      </c>
      <c r="W2521" s="44">
        <f>W2494*Settings!$C$13*(INDEX(W$420:W$431,$D2521))</f>
        <v/>
      </c>
      <c r="X2521" s="44">
        <f>X2494*Settings!$C$13*(INDEX(X$420:X$431,$D2521))</f>
        <v/>
      </c>
      <c r="Y2521" s="44">
        <f>Y2494*Settings!$C$13*(INDEX(Y$420:Y$431,$D2521))</f>
        <v/>
      </c>
      <c r="Z2521" s="44">
        <f>Z2494*Settings!$C$13*(INDEX(Z$420:Z$431,$D2521))</f>
        <v/>
      </c>
      <c r="AA2521" s="44">
        <f>AA2494*Settings!$C$13*(INDEX(AA$420:AA$431,$D2521))</f>
        <v/>
      </c>
      <c r="AB2521" s="44">
        <f>AB2494*Settings!$C$13*(INDEX(AB$420:AB$431,$D2521))</f>
        <v/>
      </c>
      <c r="AC2521" s="44">
        <f>AC2494*Settings!$C$13*(INDEX(AC$420:AC$431,$D2521))</f>
        <v/>
      </c>
      <c r="AD2521" s="44">
        <f>AD2494*Settings!$C$13*(INDEX(AD$420:AD$431,$D2521))</f>
        <v/>
      </c>
      <c r="AE2521" s="57">
        <f>REVENUE(AE2494,Settings!$C$13,INDEX(AE$420:AE$431,$D2521))</f>
        <v/>
      </c>
      <c r="AG2521" s="11">
        <f>CodePrefix&amp;$A2521&amp;IF($C2521="","","."&amp;$C2521&amp;"."&amp;$B2521)&amp;INDEX(VarEnd,MATCH($A2521,VarKey,0))&amp;AG$5</f>
        <v/>
      </c>
      <c r="AH2521" s="43">
        <f>AH2494*Settings!$C$13*(INDEX(AH$420:AH$431,$D2521))</f>
        <v/>
      </c>
      <c r="AI2521" s="44">
        <f>AI2494*Settings!$C$13*(INDEX(AI$420:AI$431,$D2521))</f>
        <v/>
      </c>
      <c r="AJ2521" s="44">
        <f>AJ2494*Settings!$C$13*(INDEX(AJ$420:AJ$431,$D2521))</f>
        <v/>
      </c>
      <c r="AK2521" s="44">
        <f>AK2494*Settings!$C$13*(INDEX(AK$420:AK$431,$D2521))</f>
        <v/>
      </c>
      <c r="AL2521" s="44">
        <f>AL2494*Settings!$C$13*(INDEX(AL$420:AL$431,$D2521))</f>
        <v/>
      </c>
      <c r="AM2521" s="44">
        <f>AM2494*Settings!$C$13*(INDEX(AM$420:AM$431,$D2521))</f>
        <v/>
      </c>
      <c r="AN2521" s="44">
        <f>AN2494*Settings!$C$13*(INDEX(AN$420:AN$431,$D2521))</f>
        <v/>
      </c>
      <c r="AO2521" s="44">
        <f>AO2494*Settings!$C$13*(INDEX(AO$420:AO$431,$D2521))</f>
        <v/>
      </c>
      <c r="AP2521" s="44">
        <f>AP2494*Settings!$C$13*(INDEX(AP$420:AP$431,$D2521))</f>
        <v/>
      </c>
      <c r="AQ2521" s="44">
        <f>AQ2494*Settings!$C$13*(INDEX(AQ$420:AQ$431,$D2521))</f>
        <v/>
      </c>
      <c r="AR2521" s="44">
        <f>AR2494*Settings!$C$13*(INDEX(AR$420:AR$431,$D2521))</f>
        <v/>
      </c>
      <c r="AS2521" s="44">
        <f>AS2494*Settings!$C$13*(INDEX(AS$420:AS$431,$D2521))</f>
        <v/>
      </c>
      <c r="AT2521" s="44">
        <f>AT2494*Settings!$C$13*(INDEX(AT$420:AT$431,$D2521))</f>
        <v/>
      </c>
      <c r="AU2521" s="44">
        <f>AU2494*Settings!$C$13*(INDEX(AU$420:AU$431,$D2521))</f>
        <v/>
      </c>
      <c r="AV2521" s="44">
        <f>AV2494*Settings!$C$13*(INDEX(AV$420:AV$431,$D2521))</f>
        <v/>
      </c>
      <c r="AW2521" s="44">
        <f>AW2494*Settings!$C$13*(INDEX(AW$420:AW$431,$D2521))</f>
        <v/>
      </c>
      <c r="AX2521" s="44">
        <f>AX2494*Settings!$C$13*(INDEX(AX$420:AX$431,$D2521))</f>
        <v/>
      </c>
      <c r="AY2521" s="44">
        <f>AY2494*Settings!$C$13*(INDEX(AY$420:AY$431,$D2521))</f>
        <v/>
      </c>
      <c r="AZ2521" s="44">
        <f>AZ2494*Settings!$C$13*(INDEX(AZ$420:AZ$431,$D2521))</f>
        <v/>
      </c>
      <c r="BA2521" s="57">
        <f>REVENUE(BA2494,Settings!$C$13,INDEX(BA$420:BA$431,$D2521))</f>
        <v/>
      </c>
    </row>
    <row r="2522" hidden="1" outlineLevel="2">
      <c r="A2522" s="14" t="inlineStr">
        <is>
          <t>rsub</t>
        </is>
      </c>
      <c r="B2522" s="14" t="inlineStr">
        <is>
          <t>gso</t>
        </is>
      </c>
      <c r="C2522" s="14" t="inlineStr">
        <is>
          <t>cem</t>
        </is>
      </c>
      <c r="D2522" s="35">
        <f>INDEX(Inputs!$U$5:$U$132,MATCH($B2522&amp;"|"&amp;$C2522,Inputs!$A$5:$A$132,0))</f>
        <v/>
      </c>
      <c r="E2522" s="39" t="n"/>
      <c r="F2522" s="39" t="n"/>
      <c r="G2522" s="39" t="n"/>
      <c r="H2522" s="14">
        <f>INDEX(VarLab,MATCH($A2522,VarKey,0))&amp;INDEX(MemLab,MATCH($C2522&amp;"|"&amp;$B2522,MemKey,0))</f>
        <v/>
      </c>
      <c r="I2522" s="14">
        <f>INDEX(VarUnit,MATCH($A2522,VarKey,0))</f>
        <v/>
      </c>
      <c r="J2522" s="14">
        <f>INDEX(VarSrc,MATCH($A2522,VarKey,0))</f>
        <v/>
      </c>
      <c r="K2522" s="11">
        <f>CodePrefix&amp;$A2522&amp;IF($C2522="","","."&amp;$C2522&amp;"."&amp;$B2522)&amp;INDEX(VarEnd,MATCH($A2522,VarKey,0))&amp;K$5</f>
        <v/>
      </c>
      <c r="L2522" s="43">
        <f>L2495*Settings!$C$13*(INDEX(L$420:L$431,$D2522))</f>
        <v/>
      </c>
      <c r="M2522" s="44">
        <f>M2495*Settings!$C$13*(INDEX(M$420:M$431,$D2522))</f>
        <v/>
      </c>
      <c r="N2522" s="44">
        <f>N2495*Settings!$C$13*(INDEX(N$420:N$431,$D2522))</f>
        <v/>
      </c>
      <c r="O2522" s="44">
        <f>O2495*Settings!$C$13*(INDEX(O$420:O$431,$D2522))</f>
        <v/>
      </c>
      <c r="P2522" s="44">
        <f>P2495*Settings!$C$13*(INDEX(P$420:P$431,$D2522))</f>
        <v/>
      </c>
      <c r="Q2522" s="44">
        <f>Q2495*Settings!$C$13*(INDEX(Q$420:Q$431,$D2522))</f>
        <v/>
      </c>
      <c r="R2522" s="44">
        <f>R2495*Settings!$C$13*(INDEX(R$420:R$431,$D2522))</f>
        <v/>
      </c>
      <c r="S2522" s="44">
        <f>S2495*Settings!$C$13*(INDEX(S$420:S$431,$D2522))</f>
        <v/>
      </c>
      <c r="T2522" s="44">
        <f>T2495*Settings!$C$13*(INDEX(T$420:T$431,$D2522))</f>
        <v/>
      </c>
      <c r="U2522" s="44">
        <f>U2495*Settings!$C$13*(INDEX(U$420:U$431,$D2522))</f>
        <v/>
      </c>
      <c r="V2522" s="44">
        <f>V2495*Settings!$C$13*(INDEX(V$420:V$431,$D2522))</f>
        <v/>
      </c>
      <c r="W2522" s="44">
        <f>W2495*Settings!$C$13*(INDEX(W$420:W$431,$D2522))</f>
        <v/>
      </c>
      <c r="X2522" s="44">
        <f>X2495*Settings!$C$13*(INDEX(X$420:X$431,$D2522))</f>
        <v/>
      </c>
      <c r="Y2522" s="44">
        <f>Y2495*Settings!$C$13*(INDEX(Y$420:Y$431,$D2522))</f>
        <v/>
      </c>
      <c r="Z2522" s="44">
        <f>Z2495*Settings!$C$13*(INDEX(Z$420:Z$431,$D2522))</f>
        <v/>
      </c>
      <c r="AA2522" s="44">
        <f>AA2495*Settings!$C$13*(INDEX(AA$420:AA$431,$D2522))</f>
        <v/>
      </c>
      <c r="AB2522" s="44">
        <f>AB2495*Settings!$C$13*(INDEX(AB$420:AB$431,$D2522))</f>
        <v/>
      </c>
      <c r="AC2522" s="44">
        <f>AC2495*Settings!$C$13*(INDEX(AC$420:AC$431,$D2522))</f>
        <v/>
      </c>
      <c r="AD2522" s="44">
        <f>AD2495*Settings!$C$13*(INDEX(AD$420:AD$431,$D2522))</f>
        <v/>
      </c>
      <c r="AE2522" s="57">
        <f>REVENUE(AE2495,Settings!$C$13,INDEX(AE$420:AE$431,$D2522))</f>
        <v/>
      </c>
      <c r="AG2522" s="11">
        <f>CodePrefix&amp;$A2522&amp;IF($C2522="","","."&amp;$C2522&amp;"."&amp;$B2522)&amp;INDEX(VarEnd,MATCH($A2522,VarKey,0))&amp;AG$5</f>
        <v/>
      </c>
      <c r="AH2522" s="43">
        <f>AH2495*Settings!$C$13*(INDEX(AH$420:AH$431,$D2522))</f>
        <v/>
      </c>
      <c r="AI2522" s="44">
        <f>AI2495*Settings!$C$13*(INDEX(AI$420:AI$431,$D2522))</f>
        <v/>
      </c>
      <c r="AJ2522" s="44">
        <f>AJ2495*Settings!$C$13*(INDEX(AJ$420:AJ$431,$D2522))</f>
        <v/>
      </c>
      <c r="AK2522" s="44">
        <f>AK2495*Settings!$C$13*(INDEX(AK$420:AK$431,$D2522))</f>
        <v/>
      </c>
      <c r="AL2522" s="44">
        <f>AL2495*Settings!$C$13*(INDEX(AL$420:AL$431,$D2522))</f>
        <v/>
      </c>
      <c r="AM2522" s="44">
        <f>AM2495*Settings!$C$13*(INDEX(AM$420:AM$431,$D2522))</f>
        <v/>
      </c>
      <c r="AN2522" s="44">
        <f>AN2495*Settings!$C$13*(INDEX(AN$420:AN$431,$D2522))</f>
        <v/>
      </c>
      <c r="AO2522" s="44">
        <f>AO2495*Settings!$C$13*(INDEX(AO$420:AO$431,$D2522))</f>
        <v/>
      </c>
      <c r="AP2522" s="44">
        <f>AP2495*Settings!$C$13*(INDEX(AP$420:AP$431,$D2522))</f>
        <v/>
      </c>
      <c r="AQ2522" s="44">
        <f>AQ2495*Settings!$C$13*(INDEX(AQ$420:AQ$431,$D2522))</f>
        <v/>
      </c>
      <c r="AR2522" s="44">
        <f>AR2495*Settings!$C$13*(INDEX(AR$420:AR$431,$D2522))</f>
        <v/>
      </c>
      <c r="AS2522" s="44">
        <f>AS2495*Settings!$C$13*(INDEX(AS$420:AS$431,$D2522))</f>
        <v/>
      </c>
      <c r="AT2522" s="44">
        <f>AT2495*Settings!$C$13*(INDEX(AT$420:AT$431,$D2522))</f>
        <v/>
      </c>
      <c r="AU2522" s="44">
        <f>AU2495*Settings!$C$13*(INDEX(AU$420:AU$431,$D2522))</f>
        <v/>
      </c>
      <c r="AV2522" s="44">
        <f>AV2495*Settings!$C$13*(INDEX(AV$420:AV$431,$D2522))</f>
        <v/>
      </c>
      <c r="AW2522" s="44">
        <f>AW2495*Settings!$C$13*(INDEX(AW$420:AW$431,$D2522))</f>
        <v/>
      </c>
      <c r="AX2522" s="44">
        <f>AX2495*Settings!$C$13*(INDEX(AX$420:AX$431,$D2522))</f>
        <v/>
      </c>
      <c r="AY2522" s="44">
        <f>AY2495*Settings!$C$13*(INDEX(AY$420:AY$431,$D2522))</f>
        <v/>
      </c>
      <c r="AZ2522" s="44">
        <f>AZ2495*Settings!$C$13*(INDEX(AZ$420:AZ$431,$D2522))</f>
        <v/>
      </c>
      <c r="BA2522" s="57">
        <f>REVENUE(BA2495,Settings!$C$13,INDEX(BA$420:BA$431,$D2522))</f>
        <v/>
      </c>
    </row>
    <row r="2523" hidden="1" outlineLevel="2">
      <c r="A2523" s="14" t="inlineStr">
        <is>
          <t>rsub</t>
        </is>
      </c>
      <c r="B2523" s="14" t="inlineStr">
        <is>
          <t>die</t>
        </is>
      </c>
      <c r="C2523" s="14" t="inlineStr">
        <is>
          <t>cem</t>
        </is>
      </c>
      <c r="D2523" s="35">
        <f>INDEX(Inputs!$U$5:$U$132,MATCH($B2523&amp;"|"&amp;$C2523,Inputs!$A$5:$A$132,0))</f>
        <v/>
      </c>
      <c r="E2523" s="39" t="n"/>
      <c r="F2523" s="39" t="n"/>
      <c r="G2523" s="39" t="n"/>
      <c r="H2523" s="14">
        <f>INDEX(VarLab,MATCH($A2523,VarKey,0))&amp;INDEX(MemLab,MATCH($C2523&amp;"|"&amp;$B2523,MemKey,0))</f>
        <v/>
      </c>
      <c r="I2523" s="14">
        <f>INDEX(VarUnit,MATCH($A2523,VarKey,0))</f>
        <v/>
      </c>
      <c r="J2523" s="14">
        <f>INDEX(VarSrc,MATCH($A2523,VarKey,0))</f>
        <v/>
      </c>
      <c r="K2523" s="11">
        <f>CodePrefix&amp;$A2523&amp;IF($C2523="","","."&amp;$C2523&amp;"."&amp;$B2523)&amp;INDEX(VarEnd,MATCH($A2523,VarKey,0))&amp;K$5</f>
        <v/>
      </c>
      <c r="L2523" s="43">
        <f>L2496*Settings!$C$13*(INDEX(L$420:L$431,$D2523))</f>
        <v/>
      </c>
      <c r="M2523" s="44">
        <f>M2496*Settings!$C$13*(INDEX(M$420:M$431,$D2523))</f>
        <v/>
      </c>
      <c r="N2523" s="44">
        <f>N2496*Settings!$C$13*(INDEX(N$420:N$431,$D2523))</f>
        <v/>
      </c>
      <c r="O2523" s="44">
        <f>O2496*Settings!$C$13*(INDEX(O$420:O$431,$D2523))</f>
        <v/>
      </c>
      <c r="P2523" s="44">
        <f>P2496*Settings!$C$13*(INDEX(P$420:P$431,$D2523))</f>
        <v/>
      </c>
      <c r="Q2523" s="44">
        <f>Q2496*Settings!$C$13*(INDEX(Q$420:Q$431,$D2523))</f>
        <v/>
      </c>
      <c r="R2523" s="44">
        <f>R2496*Settings!$C$13*(INDEX(R$420:R$431,$D2523))</f>
        <v/>
      </c>
      <c r="S2523" s="44">
        <f>S2496*Settings!$C$13*(INDEX(S$420:S$431,$D2523))</f>
        <v/>
      </c>
      <c r="T2523" s="44">
        <f>T2496*Settings!$C$13*(INDEX(T$420:T$431,$D2523))</f>
        <v/>
      </c>
      <c r="U2523" s="44">
        <f>U2496*Settings!$C$13*(INDEX(U$420:U$431,$D2523))</f>
        <v/>
      </c>
      <c r="V2523" s="44">
        <f>V2496*Settings!$C$13*(INDEX(V$420:V$431,$D2523))</f>
        <v/>
      </c>
      <c r="W2523" s="44">
        <f>W2496*Settings!$C$13*(INDEX(W$420:W$431,$D2523))</f>
        <v/>
      </c>
      <c r="X2523" s="44">
        <f>X2496*Settings!$C$13*(INDEX(X$420:X$431,$D2523))</f>
        <v/>
      </c>
      <c r="Y2523" s="44">
        <f>Y2496*Settings!$C$13*(INDEX(Y$420:Y$431,$D2523))</f>
        <v/>
      </c>
      <c r="Z2523" s="44">
        <f>Z2496*Settings!$C$13*(INDEX(Z$420:Z$431,$D2523))</f>
        <v/>
      </c>
      <c r="AA2523" s="44">
        <f>AA2496*Settings!$C$13*(INDEX(AA$420:AA$431,$D2523))</f>
        <v/>
      </c>
      <c r="AB2523" s="44">
        <f>AB2496*Settings!$C$13*(INDEX(AB$420:AB$431,$D2523))</f>
        <v/>
      </c>
      <c r="AC2523" s="44">
        <f>AC2496*Settings!$C$13*(INDEX(AC$420:AC$431,$D2523))</f>
        <v/>
      </c>
      <c r="AD2523" s="44">
        <f>AD2496*Settings!$C$13*(INDEX(AD$420:AD$431,$D2523))</f>
        <v/>
      </c>
      <c r="AE2523" s="57">
        <f>REVENUE(AE2496,Settings!$C$13,INDEX(AE$420:AE$431,$D2523))</f>
        <v/>
      </c>
      <c r="AG2523" s="11">
        <f>CodePrefix&amp;$A2523&amp;IF($C2523="","","."&amp;$C2523&amp;"."&amp;$B2523)&amp;INDEX(VarEnd,MATCH($A2523,VarKey,0))&amp;AG$5</f>
        <v/>
      </c>
      <c r="AH2523" s="43">
        <f>AH2496*Settings!$C$13*(INDEX(AH$420:AH$431,$D2523))</f>
        <v/>
      </c>
      <c r="AI2523" s="44">
        <f>AI2496*Settings!$C$13*(INDEX(AI$420:AI$431,$D2523))</f>
        <v/>
      </c>
      <c r="AJ2523" s="44">
        <f>AJ2496*Settings!$C$13*(INDEX(AJ$420:AJ$431,$D2523))</f>
        <v/>
      </c>
      <c r="AK2523" s="44">
        <f>AK2496*Settings!$C$13*(INDEX(AK$420:AK$431,$D2523))</f>
        <v/>
      </c>
      <c r="AL2523" s="44">
        <f>AL2496*Settings!$C$13*(INDEX(AL$420:AL$431,$D2523))</f>
        <v/>
      </c>
      <c r="AM2523" s="44">
        <f>AM2496*Settings!$C$13*(INDEX(AM$420:AM$431,$D2523))</f>
        <v/>
      </c>
      <c r="AN2523" s="44">
        <f>AN2496*Settings!$C$13*(INDEX(AN$420:AN$431,$D2523))</f>
        <v/>
      </c>
      <c r="AO2523" s="44">
        <f>AO2496*Settings!$C$13*(INDEX(AO$420:AO$431,$D2523))</f>
        <v/>
      </c>
      <c r="AP2523" s="44">
        <f>AP2496*Settings!$C$13*(INDEX(AP$420:AP$431,$D2523))</f>
        <v/>
      </c>
      <c r="AQ2523" s="44">
        <f>AQ2496*Settings!$C$13*(INDEX(AQ$420:AQ$431,$D2523))</f>
        <v/>
      </c>
      <c r="AR2523" s="44">
        <f>AR2496*Settings!$C$13*(INDEX(AR$420:AR$431,$D2523))</f>
        <v/>
      </c>
      <c r="AS2523" s="44">
        <f>AS2496*Settings!$C$13*(INDEX(AS$420:AS$431,$D2523))</f>
        <v/>
      </c>
      <c r="AT2523" s="44">
        <f>AT2496*Settings!$C$13*(INDEX(AT$420:AT$431,$D2523))</f>
        <v/>
      </c>
      <c r="AU2523" s="44">
        <f>AU2496*Settings!$C$13*(INDEX(AU$420:AU$431,$D2523))</f>
        <v/>
      </c>
      <c r="AV2523" s="44">
        <f>AV2496*Settings!$C$13*(INDEX(AV$420:AV$431,$D2523))</f>
        <v/>
      </c>
      <c r="AW2523" s="44">
        <f>AW2496*Settings!$C$13*(INDEX(AW$420:AW$431,$D2523))</f>
        <v/>
      </c>
      <c r="AX2523" s="44">
        <f>AX2496*Settings!$C$13*(INDEX(AX$420:AX$431,$D2523))</f>
        <v/>
      </c>
      <c r="AY2523" s="44">
        <f>AY2496*Settings!$C$13*(INDEX(AY$420:AY$431,$D2523))</f>
        <v/>
      </c>
      <c r="AZ2523" s="44">
        <f>AZ2496*Settings!$C$13*(INDEX(AZ$420:AZ$431,$D2523))</f>
        <v/>
      </c>
      <c r="BA2523" s="57">
        <f>REVENUE(BA2496,Settings!$C$13,INDEX(BA$420:BA$431,$D2523))</f>
        <v/>
      </c>
    </row>
    <row r="2524" hidden="1" outlineLevel="2">
      <c r="A2524" s="14" t="inlineStr">
        <is>
          <t>rsub</t>
        </is>
      </c>
      <c r="B2524" s="14" t="inlineStr">
        <is>
          <t>lpg</t>
        </is>
      </c>
      <c r="C2524" s="14" t="inlineStr">
        <is>
          <t>cem</t>
        </is>
      </c>
      <c r="D2524" s="35">
        <f>INDEX(Inputs!$U$5:$U$132,MATCH($B2524&amp;"|"&amp;$C2524,Inputs!$A$5:$A$132,0))</f>
        <v/>
      </c>
      <c r="E2524" s="39" t="n"/>
      <c r="F2524" s="39" t="n"/>
      <c r="G2524" s="39" t="n"/>
      <c r="H2524" s="14">
        <f>INDEX(VarLab,MATCH($A2524,VarKey,0))&amp;INDEX(MemLab,MATCH($C2524&amp;"|"&amp;$B2524,MemKey,0))</f>
        <v/>
      </c>
      <c r="I2524" s="14">
        <f>INDEX(VarUnit,MATCH($A2524,VarKey,0))</f>
        <v/>
      </c>
      <c r="J2524" s="14">
        <f>INDEX(VarSrc,MATCH($A2524,VarKey,0))</f>
        <v/>
      </c>
      <c r="K2524" s="11">
        <f>CodePrefix&amp;$A2524&amp;IF($C2524="","","."&amp;$C2524&amp;"."&amp;$B2524)&amp;INDEX(VarEnd,MATCH($A2524,VarKey,0))&amp;K$5</f>
        <v/>
      </c>
      <c r="L2524" s="43">
        <f>L2497*Settings!$C$13*(INDEX(L$420:L$431,$D2524))</f>
        <v/>
      </c>
      <c r="M2524" s="44">
        <f>M2497*Settings!$C$13*(INDEX(M$420:M$431,$D2524))</f>
        <v/>
      </c>
      <c r="N2524" s="44">
        <f>N2497*Settings!$C$13*(INDEX(N$420:N$431,$D2524))</f>
        <v/>
      </c>
      <c r="O2524" s="44">
        <f>O2497*Settings!$C$13*(INDEX(O$420:O$431,$D2524))</f>
        <v/>
      </c>
      <c r="P2524" s="44">
        <f>P2497*Settings!$C$13*(INDEX(P$420:P$431,$D2524))</f>
        <v/>
      </c>
      <c r="Q2524" s="44">
        <f>Q2497*Settings!$C$13*(INDEX(Q$420:Q$431,$D2524))</f>
        <v/>
      </c>
      <c r="R2524" s="44">
        <f>R2497*Settings!$C$13*(INDEX(R$420:R$431,$D2524))</f>
        <v/>
      </c>
      <c r="S2524" s="44">
        <f>S2497*Settings!$C$13*(INDEX(S$420:S$431,$D2524))</f>
        <v/>
      </c>
      <c r="T2524" s="44">
        <f>T2497*Settings!$C$13*(INDEX(T$420:T$431,$D2524))</f>
        <v/>
      </c>
      <c r="U2524" s="44">
        <f>U2497*Settings!$C$13*(INDEX(U$420:U$431,$D2524))</f>
        <v/>
      </c>
      <c r="V2524" s="44">
        <f>V2497*Settings!$C$13*(INDEX(V$420:V$431,$D2524))</f>
        <v/>
      </c>
      <c r="W2524" s="44">
        <f>W2497*Settings!$C$13*(INDEX(W$420:W$431,$D2524))</f>
        <v/>
      </c>
      <c r="X2524" s="44">
        <f>X2497*Settings!$C$13*(INDEX(X$420:X$431,$D2524))</f>
        <v/>
      </c>
      <c r="Y2524" s="44">
        <f>Y2497*Settings!$C$13*(INDEX(Y$420:Y$431,$D2524))</f>
        <v/>
      </c>
      <c r="Z2524" s="44">
        <f>Z2497*Settings!$C$13*(INDEX(Z$420:Z$431,$D2524))</f>
        <v/>
      </c>
      <c r="AA2524" s="44">
        <f>AA2497*Settings!$C$13*(INDEX(AA$420:AA$431,$D2524))</f>
        <v/>
      </c>
      <c r="AB2524" s="44">
        <f>AB2497*Settings!$C$13*(INDEX(AB$420:AB$431,$D2524))</f>
        <v/>
      </c>
      <c r="AC2524" s="44">
        <f>AC2497*Settings!$C$13*(INDEX(AC$420:AC$431,$D2524))</f>
        <v/>
      </c>
      <c r="AD2524" s="44">
        <f>AD2497*Settings!$C$13*(INDEX(AD$420:AD$431,$D2524))</f>
        <v/>
      </c>
      <c r="AE2524" s="57">
        <f>REVENUE(AE2497,Settings!$C$13,INDEX(AE$420:AE$431,$D2524))</f>
        <v/>
      </c>
      <c r="AG2524" s="11">
        <f>CodePrefix&amp;$A2524&amp;IF($C2524="","","."&amp;$C2524&amp;"."&amp;$B2524)&amp;INDEX(VarEnd,MATCH($A2524,VarKey,0))&amp;AG$5</f>
        <v/>
      </c>
      <c r="AH2524" s="43">
        <f>AH2497*Settings!$C$13*(INDEX(AH$420:AH$431,$D2524))</f>
        <v/>
      </c>
      <c r="AI2524" s="44">
        <f>AI2497*Settings!$C$13*(INDEX(AI$420:AI$431,$D2524))</f>
        <v/>
      </c>
      <c r="AJ2524" s="44">
        <f>AJ2497*Settings!$C$13*(INDEX(AJ$420:AJ$431,$D2524))</f>
        <v/>
      </c>
      <c r="AK2524" s="44">
        <f>AK2497*Settings!$C$13*(INDEX(AK$420:AK$431,$D2524))</f>
        <v/>
      </c>
      <c r="AL2524" s="44">
        <f>AL2497*Settings!$C$13*(INDEX(AL$420:AL$431,$D2524))</f>
        <v/>
      </c>
      <c r="AM2524" s="44">
        <f>AM2497*Settings!$C$13*(INDEX(AM$420:AM$431,$D2524))</f>
        <v/>
      </c>
      <c r="AN2524" s="44">
        <f>AN2497*Settings!$C$13*(INDEX(AN$420:AN$431,$D2524))</f>
        <v/>
      </c>
      <c r="AO2524" s="44">
        <f>AO2497*Settings!$C$13*(INDEX(AO$420:AO$431,$D2524))</f>
        <v/>
      </c>
      <c r="AP2524" s="44">
        <f>AP2497*Settings!$C$13*(INDEX(AP$420:AP$431,$D2524))</f>
        <v/>
      </c>
      <c r="AQ2524" s="44">
        <f>AQ2497*Settings!$C$13*(INDEX(AQ$420:AQ$431,$D2524))</f>
        <v/>
      </c>
      <c r="AR2524" s="44">
        <f>AR2497*Settings!$C$13*(INDEX(AR$420:AR$431,$D2524))</f>
        <v/>
      </c>
      <c r="AS2524" s="44">
        <f>AS2497*Settings!$C$13*(INDEX(AS$420:AS$431,$D2524))</f>
        <v/>
      </c>
      <c r="AT2524" s="44">
        <f>AT2497*Settings!$C$13*(INDEX(AT$420:AT$431,$D2524))</f>
        <v/>
      </c>
      <c r="AU2524" s="44">
        <f>AU2497*Settings!$C$13*(INDEX(AU$420:AU$431,$D2524))</f>
        <v/>
      </c>
      <c r="AV2524" s="44">
        <f>AV2497*Settings!$C$13*(INDEX(AV$420:AV$431,$D2524))</f>
        <v/>
      </c>
      <c r="AW2524" s="44">
        <f>AW2497*Settings!$C$13*(INDEX(AW$420:AW$431,$D2524))</f>
        <v/>
      </c>
      <c r="AX2524" s="44">
        <f>AX2497*Settings!$C$13*(INDEX(AX$420:AX$431,$D2524))</f>
        <v/>
      </c>
      <c r="AY2524" s="44">
        <f>AY2497*Settings!$C$13*(INDEX(AY$420:AY$431,$D2524))</f>
        <v/>
      </c>
      <c r="AZ2524" s="44">
        <f>AZ2497*Settings!$C$13*(INDEX(AZ$420:AZ$431,$D2524))</f>
        <v/>
      </c>
      <c r="BA2524" s="57">
        <f>REVENUE(BA2497,Settings!$C$13,INDEX(BA$420:BA$431,$D2524))</f>
        <v/>
      </c>
    </row>
    <row r="2525" hidden="1" outlineLevel="2">
      <c r="A2525" s="14" t="inlineStr">
        <is>
          <t>rsub</t>
        </is>
      </c>
      <c r="B2525" s="14" t="inlineStr">
        <is>
          <t>ker</t>
        </is>
      </c>
      <c r="C2525" s="14" t="inlineStr">
        <is>
          <t>cem</t>
        </is>
      </c>
      <c r="D2525" s="35">
        <f>INDEX(Inputs!$U$5:$U$132,MATCH($B2525&amp;"|"&amp;$C2525,Inputs!$A$5:$A$132,0))</f>
        <v/>
      </c>
      <c r="E2525" s="39" t="n"/>
      <c r="F2525" s="39" t="n"/>
      <c r="G2525" s="39" t="n"/>
      <c r="H2525" s="14">
        <f>INDEX(VarLab,MATCH($A2525,VarKey,0))&amp;INDEX(MemLab,MATCH($C2525&amp;"|"&amp;$B2525,MemKey,0))</f>
        <v/>
      </c>
      <c r="I2525" s="14">
        <f>INDEX(VarUnit,MATCH($A2525,VarKey,0))</f>
        <v/>
      </c>
      <c r="J2525" s="14">
        <f>INDEX(VarSrc,MATCH($A2525,VarKey,0))</f>
        <v/>
      </c>
      <c r="K2525" s="11">
        <f>CodePrefix&amp;$A2525&amp;IF($C2525="","","."&amp;$C2525&amp;"."&amp;$B2525)&amp;INDEX(VarEnd,MATCH($A2525,VarKey,0))&amp;K$5</f>
        <v/>
      </c>
      <c r="L2525" s="43">
        <f>L2498*Settings!$C$13*(INDEX(L$420:L$431,$D2525))</f>
        <v/>
      </c>
      <c r="M2525" s="44">
        <f>M2498*Settings!$C$13*(INDEX(M$420:M$431,$D2525))</f>
        <v/>
      </c>
      <c r="N2525" s="44">
        <f>N2498*Settings!$C$13*(INDEX(N$420:N$431,$D2525))</f>
        <v/>
      </c>
      <c r="O2525" s="44">
        <f>O2498*Settings!$C$13*(INDEX(O$420:O$431,$D2525))</f>
        <v/>
      </c>
      <c r="P2525" s="44">
        <f>P2498*Settings!$C$13*(INDEX(P$420:P$431,$D2525))</f>
        <v/>
      </c>
      <c r="Q2525" s="44">
        <f>Q2498*Settings!$C$13*(INDEX(Q$420:Q$431,$D2525))</f>
        <v/>
      </c>
      <c r="R2525" s="44">
        <f>R2498*Settings!$C$13*(INDEX(R$420:R$431,$D2525))</f>
        <v/>
      </c>
      <c r="S2525" s="44">
        <f>S2498*Settings!$C$13*(INDEX(S$420:S$431,$D2525))</f>
        <v/>
      </c>
      <c r="T2525" s="44">
        <f>T2498*Settings!$C$13*(INDEX(T$420:T$431,$D2525))</f>
        <v/>
      </c>
      <c r="U2525" s="44">
        <f>U2498*Settings!$C$13*(INDEX(U$420:U$431,$D2525))</f>
        <v/>
      </c>
      <c r="V2525" s="44">
        <f>V2498*Settings!$C$13*(INDEX(V$420:V$431,$D2525))</f>
        <v/>
      </c>
      <c r="W2525" s="44">
        <f>W2498*Settings!$C$13*(INDEX(W$420:W$431,$D2525))</f>
        <v/>
      </c>
      <c r="X2525" s="44">
        <f>X2498*Settings!$C$13*(INDEX(X$420:X$431,$D2525))</f>
        <v/>
      </c>
      <c r="Y2525" s="44">
        <f>Y2498*Settings!$C$13*(INDEX(Y$420:Y$431,$D2525))</f>
        <v/>
      </c>
      <c r="Z2525" s="44">
        <f>Z2498*Settings!$C$13*(INDEX(Z$420:Z$431,$D2525))</f>
        <v/>
      </c>
      <c r="AA2525" s="44">
        <f>AA2498*Settings!$C$13*(INDEX(AA$420:AA$431,$D2525))</f>
        <v/>
      </c>
      <c r="AB2525" s="44">
        <f>AB2498*Settings!$C$13*(INDEX(AB$420:AB$431,$D2525))</f>
        <v/>
      </c>
      <c r="AC2525" s="44">
        <f>AC2498*Settings!$C$13*(INDEX(AC$420:AC$431,$D2525))</f>
        <v/>
      </c>
      <c r="AD2525" s="44">
        <f>AD2498*Settings!$C$13*(INDEX(AD$420:AD$431,$D2525))</f>
        <v/>
      </c>
      <c r="AE2525" s="57">
        <f>REVENUE(AE2498,Settings!$C$13,INDEX(AE$420:AE$431,$D2525))</f>
        <v/>
      </c>
      <c r="AG2525" s="11">
        <f>CodePrefix&amp;$A2525&amp;IF($C2525="","","."&amp;$C2525&amp;"."&amp;$B2525)&amp;INDEX(VarEnd,MATCH($A2525,VarKey,0))&amp;AG$5</f>
        <v/>
      </c>
      <c r="AH2525" s="43">
        <f>AH2498*Settings!$C$13*(INDEX(AH$420:AH$431,$D2525))</f>
        <v/>
      </c>
      <c r="AI2525" s="44">
        <f>AI2498*Settings!$C$13*(INDEX(AI$420:AI$431,$D2525))</f>
        <v/>
      </c>
      <c r="AJ2525" s="44">
        <f>AJ2498*Settings!$C$13*(INDEX(AJ$420:AJ$431,$D2525))</f>
        <v/>
      </c>
      <c r="AK2525" s="44">
        <f>AK2498*Settings!$C$13*(INDEX(AK$420:AK$431,$D2525))</f>
        <v/>
      </c>
      <c r="AL2525" s="44">
        <f>AL2498*Settings!$C$13*(INDEX(AL$420:AL$431,$D2525))</f>
        <v/>
      </c>
      <c r="AM2525" s="44">
        <f>AM2498*Settings!$C$13*(INDEX(AM$420:AM$431,$D2525))</f>
        <v/>
      </c>
      <c r="AN2525" s="44">
        <f>AN2498*Settings!$C$13*(INDEX(AN$420:AN$431,$D2525))</f>
        <v/>
      </c>
      <c r="AO2525" s="44">
        <f>AO2498*Settings!$C$13*(INDEX(AO$420:AO$431,$D2525))</f>
        <v/>
      </c>
      <c r="AP2525" s="44">
        <f>AP2498*Settings!$C$13*(INDEX(AP$420:AP$431,$D2525))</f>
        <v/>
      </c>
      <c r="AQ2525" s="44">
        <f>AQ2498*Settings!$C$13*(INDEX(AQ$420:AQ$431,$D2525))</f>
        <v/>
      </c>
      <c r="AR2525" s="44">
        <f>AR2498*Settings!$C$13*(INDEX(AR$420:AR$431,$D2525))</f>
        <v/>
      </c>
      <c r="AS2525" s="44">
        <f>AS2498*Settings!$C$13*(INDEX(AS$420:AS$431,$D2525))</f>
        <v/>
      </c>
      <c r="AT2525" s="44">
        <f>AT2498*Settings!$C$13*(INDEX(AT$420:AT$431,$D2525))</f>
        <v/>
      </c>
      <c r="AU2525" s="44">
        <f>AU2498*Settings!$C$13*(INDEX(AU$420:AU$431,$D2525))</f>
        <v/>
      </c>
      <c r="AV2525" s="44">
        <f>AV2498*Settings!$C$13*(INDEX(AV$420:AV$431,$D2525))</f>
        <v/>
      </c>
      <c r="AW2525" s="44">
        <f>AW2498*Settings!$C$13*(INDEX(AW$420:AW$431,$D2525))</f>
        <v/>
      </c>
      <c r="AX2525" s="44">
        <f>AX2498*Settings!$C$13*(INDEX(AX$420:AX$431,$D2525))</f>
        <v/>
      </c>
      <c r="AY2525" s="44">
        <f>AY2498*Settings!$C$13*(INDEX(AY$420:AY$431,$D2525))</f>
        <v/>
      </c>
      <c r="AZ2525" s="44">
        <f>AZ2498*Settings!$C$13*(INDEX(AZ$420:AZ$431,$D2525))</f>
        <v/>
      </c>
      <c r="BA2525" s="57">
        <f>REVENUE(BA2498,Settings!$C$13,INDEX(BA$420:BA$431,$D2525))</f>
        <v/>
      </c>
    </row>
    <row r="2526" hidden="1" outlineLevel="2">
      <c r="A2526" s="14" t="inlineStr">
        <is>
          <t>rsub</t>
        </is>
      </c>
      <c r="B2526" s="14" t="inlineStr">
        <is>
          <t>oop</t>
        </is>
      </c>
      <c r="C2526" s="14" t="inlineStr">
        <is>
          <t>cem</t>
        </is>
      </c>
      <c r="D2526" s="35">
        <f>INDEX(Inputs!$U$5:$U$132,MATCH($B2526&amp;"|"&amp;$C2526,Inputs!$A$5:$A$132,0))</f>
        <v/>
      </c>
      <c r="E2526" s="39" t="n"/>
      <c r="F2526" s="39" t="n"/>
      <c r="G2526" s="39" t="n"/>
      <c r="H2526" s="14">
        <f>INDEX(VarLab,MATCH($A2526,VarKey,0))&amp;INDEX(MemLab,MATCH($C2526&amp;"|"&amp;$B2526,MemKey,0))</f>
        <v/>
      </c>
      <c r="I2526" s="14">
        <f>INDEX(VarUnit,MATCH($A2526,VarKey,0))</f>
        <v/>
      </c>
      <c r="J2526" s="14">
        <f>INDEX(VarSrc,MATCH($A2526,VarKey,0))</f>
        <v/>
      </c>
      <c r="K2526" s="11">
        <f>CodePrefix&amp;$A2526&amp;IF($C2526="","","."&amp;$C2526&amp;"."&amp;$B2526)&amp;INDEX(VarEnd,MATCH($A2526,VarKey,0))&amp;K$5</f>
        <v/>
      </c>
      <c r="L2526" s="43">
        <f>L2499*Settings!$C$13*(INDEX(L$420:L$431,$D2526))</f>
        <v/>
      </c>
      <c r="M2526" s="44">
        <f>M2499*Settings!$C$13*(INDEX(M$420:M$431,$D2526))</f>
        <v/>
      </c>
      <c r="N2526" s="44">
        <f>N2499*Settings!$C$13*(INDEX(N$420:N$431,$D2526))</f>
        <v/>
      </c>
      <c r="O2526" s="44">
        <f>O2499*Settings!$C$13*(INDEX(O$420:O$431,$D2526))</f>
        <v/>
      </c>
      <c r="P2526" s="44">
        <f>P2499*Settings!$C$13*(INDEX(P$420:P$431,$D2526))</f>
        <v/>
      </c>
      <c r="Q2526" s="44">
        <f>Q2499*Settings!$C$13*(INDEX(Q$420:Q$431,$D2526))</f>
        <v/>
      </c>
      <c r="R2526" s="44">
        <f>R2499*Settings!$C$13*(INDEX(R$420:R$431,$D2526))</f>
        <v/>
      </c>
      <c r="S2526" s="44">
        <f>S2499*Settings!$C$13*(INDEX(S$420:S$431,$D2526))</f>
        <v/>
      </c>
      <c r="T2526" s="44">
        <f>T2499*Settings!$C$13*(INDEX(T$420:T$431,$D2526))</f>
        <v/>
      </c>
      <c r="U2526" s="44">
        <f>U2499*Settings!$C$13*(INDEX(U$420:U$431,$D2526))</f>
        <v/>
      </c>
      <c r="V2526" s="44">
        <f>V2499*Settings!$C$13*(INDEX(V$420:V$431,$D2526))</f>
        <v/>
      </c>
      <c r="W2526" s="44">
        <f>W2499*Settings!$C$13*(INDEX(W$420:W$431,$D2526))</f>
        <v/>
      </c>
      <c r="X2526" s="44">
        <f>X2499*Settings!$C$13*(INDEX(X$420:X$431,$D2526))</f>
        <v/>
      </c>
      <c r="Y2526" s="44">
        <f>Y2499*Settings!$C$13*(INDEX(Y$420:Y$431,$D2526))</f>
        <v/>
      </c>
      <c r="Z2526" s="44">
        <f>Z2499*Settings!$C$13*(INDEX(Z$420:Z$431,$D2526))</f>
        <v/>
      </c>
      <c r="AA2526" s="44">
        <f>AA2499*Settings!$C$13*(INDEX(AA$420:AA$431,$D2526))</f>
        <v/>
      </c>
      <c r="AB2526" s="44">
        <f>AB2499*Settings!$C$13*(INDEX(AB$420:AB$431,$D2526))</f>
        <v/>
      </c>
      <c r="AC2526" s="44">
        <f>AC2499*Settings!$C$13*(INDEX(AC$420:AC$431,$D2526))</f>
        <v/>
      </c>
      <c r="AD2526" s="44">
        <f>AD2499*Settings!$C$13*(INDEX(AD$420:AD$431,$D2526))</f>
        <v/>
      </c>
      <c r="AE2526" s="57">
        <f>REVENUE(AE2499,Settings!$C$13,INDEX(AE$420:AE$431,$D2526))</f>
        <v/>
      </c>
      <c r="AG2526" s="11">
        <f>CodePrefix&amp;$A2526&amp;IF($C2526="","","."&amp;$C2526&amp;"."&amp;$B2526)&amp;INDEX(VarEnd,MATCH($A2526,VarKey,0))&amp;AG$5</f>
        <v/>
      </c>
      <c r="AH2526" s="43">
        <f>AH2499*Settings!$C$13*(INDEX(AH$420:AH$431,$D2526))</f>
        <v/>
      </c>
      <c r="AI2526" s="44">
        <f>AI2499*Settings!$C$13*(INDEX(AI$420:AI$431,$D2526))</f>
        <v/>
      </c>
      <c r="AJ2526" s="44">
        <f>AJ2499*Settings!$C$13*(INDEX(AJ$420:AJ$431,$D2526))</f>
        <v/>
      </c>
      <c r="AK2526" s="44">
        <f>AK2499*Settings!$C$13*(INDEX(AK$420:AK$431,$D2526))</f>
        <v/>
      </c>
      <c r="AL2526" s="44">
        <f>AL2499*Settings!$C$13*(INDEX(AL$420:AL$431,$D2526))</f>
        <v/>
      </c>
      <c r="AM2526" s="44">
        <f>AM2499*Settings!$C$13*(INDEX(AM$420:AM$431,$D2526))</f>
        <v/>
      </c>
      <c r="AN2526" s="44">
        <f>AN2499*Settings!$C$13*(INDEX(AN$420:AN$431,$D2526))</f>
        <v/>
      </c>
      <c r="AO2526" s="44">
        <f>AO2499*Settings!$C$13*(INDEX(AO$420:AO$431,$D2526))</f>
        <v/>
      </c>
      <c r="AP2526" s="44">
        <f>AP2499*Settings!$C$13*(INDEX(AP$420:AP$431,$D2526))</f>
        <v/>
      </c>
      <c r="AQ2526" s="44">
        <f>AQ2499*Settings!$C$13*(INDEX(AQ$420:AQ$431,$D2526))</f>
        <v/>
      </c>
      <c r="AR2526" s="44">
        <f>AR2499*Settings!$C$13*(INDEX(AR$420:AR$431,$D2526))</f>
        <v/>
      </c>
      <c r="AS2526" s="44">
        <f>AS2499*Settings!$C$13*(INDEX(AS$420:AS$431,$D2526))</f>
        <v/>
      </c>
      <c r="AT2526" s="44">
        <f>AT2499*Settings!$C$13*(INDEX(AT$420:AT$431,$D2526))</f>
        <v/>
      </c>
      <c r="AU2526" s="44">
        <f>AU2499*Settings!$C$13*(INDEX(AU$420:AU$431,$D2526))</f>
        <v/>
      </c>
      <c r="AV2526" s="44">
        <f>AV2499*Settings!$C$13*(INDEX(AV$420:AV$431,$D2526))</f>
        <v/>
      </c>
      <c r="AW2526" s="44">
        <f>AW2499*Settings!$C$13*(INDEX(AW$420:AW$431,$D2526))</f>
        <v/>
      </c>
      <c r="AX2526" s="44">
        <f>AX2499*Settings!$C$13*(INDEX(AX$420:AX$431,$D2526))</f>
        <v/>
      </c>
      <c r="AY2526" s="44">
        <f>AY2499*Settings!$C$13*(INDEX(AY$420:AY$431,$D2526))</f>
        <v/>
      </c>
      <c r="AZ2526" s="44">
        <f>AZ2499*Settings!$C$13*(INDEX(AZ$420:AZ$431,$D2526))</f>
        <v/>
      </c>
      <c r="BA2526" s="57">
        <f>REVENUE(BA2499,Settings!$C$13,INDEX(BA$420:BA$431,$D2526))</f>
        <v/>
      </c>
    </row>
    <row r="2527" hidden="1" outlineLevel="2">
      <c r="A2527" s="14" t="inlineStr">
        <is>
          <t>rsub</t>
        </is>
      </c>
      <c r="B2527" s="14" t="inlineStr">
        <is>
          <t>bio</t>
        </is>
      </c>
      <c r="C2527" s="14" t="inlineStr">
        <is>
          <t>cem</t>
        </is>
      </c>
      <c r="D2527" s="35">
        <f>INDEX(Inputs!$U$5:$U$132,MATCH($B2527&amp;"|"&amp;$C2527,Inputs!$A$5:$A$132,0))</f>
        <v/>
      </c>
      <c r="E2527" s="39" t="n"/>
      <c r="F2527" s="39" t="n"/>
      <c r="G2527" s="39" t="n"/>
      <c r="H2527" s="14">
        <f>INDEX(VarLab,MATCH($A2527,VarKey,0))&amp;INDEX(MemLab,MATCH($C2527&amp;"|"&amp;$B2527,MemKey,0))</f>
        <v/>
      </c>
      <c r="I2527" s="14">
        <f>INDEX(VarUnit,MATCH($A2527,VarKey,0))</f>
        <v/>
      </c>
      <c r="J2527" s="14">
        <f>INDEX(VarSrc,MATCH($A2527,VarKey,0))</f>
        <v/>
      </c>
      <c r="K2527" s="11">
        <f>CodePrefix&amp;$A2527&amp;IF($C2527="","","."&amp;$C2527&amp;"."&amp;$B2527)&amp;INDEX(VarEnd,MATCH($A2527,VarKey,0))&amp;K$5</f>
        <v/>
      </c>
      <c r="L2527" s="43">
        <f>L2500*Settings!$C$13*(INDEX(L$420:L$431,$D2527))</f>
        <v/>
      </c>
      <c r="M2527" s="44">
        <f>M2500*Settings!$C$13*(INDEX(M$420:M$431,$D2527))</f>
        <v/>
      </c>
      <c r="N2527" s="44">
        <f>N2500*Settings!$C$13*(INDEX(N$420:N$431,$D2527))</f>
        <v/>
      </c>
      <c r="O2527" s="44">
        <f>O2500*Settings!$C$13*(INDEX(O$420:O$431,$D2527))</f>
        <v/>
      </c>
      <c r="P2527" s="44">
        <f>P2500*Settings!$C$13*(INDEX(P$420:P$431,$D2527))</f>
        <v/>
      </c>
      <c r="Q2527" s="44">
        <f>Q2500*Settings!$C$13*(INDEX(Q$420:Q$431,$D2527))</f>
        <v/>
      </c>
      <c r="R2527" s="44">
        <f>R2500*Settings!$C$13*(INDEX(R$420:R$431,$D2527))</f>
        <v/>
      </c>
      <c r="S2527" s="44">
        <f>S2500*Settings!$C$13*(INDEX(S$420:S$431,$D2527))</f>
        <v/>
      </c>
      <c r="T2527" s="44">
        <f>T2500*Settings!$C$13*(INDEX(T$420:T$431,$D2527))</f>
        <v/>
      </c>
      <c r="U2527" s="44">
        <f>U2500*Settings!$C$13*(INDEX(U$420:U$431,$D2527))</f>
        <v/>
      </c>
      <c r="V2527" s="44">
        <f>V2500*Settings!$C$13*(INDEX(V$420:V$431,$D2527))</f>
        <v/>
      </c>
      <c r="W2527" s="44">
        <f>W2500*Settings!$C$13*(INDEX(W$420:W$431,$D2527))</f>
        <v/>
      </c>
      <c r="X2527" s="44">
        <f>X2500*Settings!$C$13*(INDEX(X$420:X$431,$D2527))</f>
        <v/>
      </c>
      <c r="Y2527" s="44">
        <f>Y2500*Settings!$C$13*(INDEX(Y$420:Y$431,$D2527))</f>
        <v/>
      </c>
      <c r="Z2527" s="44">
        <f>Z2500*Settings!$C$13*(INDEX(Z$420:Z$431,$D2527))</f>
        <v/>
      </c>
      <c r="AA2527" s="44">
        <f>AA2500*Settings!$C$13*(INDEX(AA$420:AA$431,$D2527))</f>
        <v/>
      </c>
      <c r="AB2527" s="44">
        <f>AB2500*Settings!$C$13*(INDEX(AB$420:AB$431,$D2527))</f>
        <v/>
      </c>
      <c r="AC2527" s="44">
        <f>AC2500*Settings!$C$13*(INDEX(AC$420:AC$431,$D2527))</f>
        <v/>
      </c>
      <c r="AD2527" s="44">
        <f>AD2500*Settings!$C$13*(INDEX(AD$420:AD$431,$D2527))</f>
        <v/>
      </c>
      <c r="AE2527" s="57">
        <f>REVENUE(AE2500,Settings!$C$13,INDEX(AE$420:AE$431,$D2527))</f>
        <v/>
      </c>
      <c r="AG2527" s="11">
        <f>CodePrefix&amp;$A2527&amp;IF($C2527="","","."&amp;$C2527&amp;"."&amp;$B2527)&amp;INDEX(VarEnd,MATCH($A2527,VarKey,0))&amp;AG$5</f>
        <v/>
      </c>
      <c r="AH2527" s="43">
        <f>AH2500*Settings!$C$13*(INDEX(AH$420:AH$431,$D2527))</f>
        <v/>
      </c>
      <c r="AI2527" s="44">
        <f>AI2500*Settings!$C$13*(INDEX(AI$420:AI$431,$D2527))</f>
        <v/>
      </c>
      <c r="AJ2527" s="44">
        <f>AJ2500*Settings!$C$13*(INDEX(AJ$420:AJ$431,$D2527))</f>
        <v/>
      </c>
      <c r="AK2527" s="44">
        <f>AK2500*Settings!$C$13*(INDEX(AK$420:AK$431,$D2527))</f>
        <v/>
      </c>
      <c r="AL2527" s="44">
        <f>AL2500*Settings!$C$13*(INDEX(AL$420:AL$431,$D2527))</f>
        <v/>
      </c>
      <c r="AM2527" s="44">
        <f>AM2500*Settings!$C$13*(INDEX(AM$420:AM$431,$D2527))</f>
        <v/>
      </c>
      <c r="AN2527" s="44">
        <f>AN2500*Settings!$C$13*(INDEX(AN$420:AN$431,$D2527))</f>
        <v/>
      </c>
      <c r="AO2527" s="44">
        <f>AO2500*Settings!$C$13*(INDEX(AO$420:AO$431,$D2527))</f>
        <v/>
      </c>
      <c r="AP2527" s="44">
        <f>AP2500*Settings!$C$13*(INDEX(AP$420:AP$431,$D2527))</f>
        <v/>
      </c>
      <c r="AQ2527" s="44">
        <f>AQ2500*Settings!$C$13*(INDEX(AQ$420:AQ$431,$D2527))</f>
        <v/>
      </c>
      <c r="AR2527" s="44">
        <f>AR2500*Settings!$C$13*(INDEX(AR$420:AR$431,$D2527))</f>
        <v/>
      </c>
      <c r="AS2527" s="44">
        <f>AS2500*Settings!$C$13*(INDEX(AS$420:AS$431,$D2527))</f>
        <v/>
      </c>
      <c r="AT2527" s="44">
        <f>AT2500*Settings!$C$13*(INDEX(AT$420:AT$431,$D2527))</f>
        <v/>
      </c>
      <c r="AU2527" s="44">
        <f>AU2500*Settings!$C$13*(INDEX(AU$420:AU$431,$D2527))</f>
        <v/>
      </c>
      <c r="AV2527" s="44">
        <f>AV2500*Settings!$C$13*(INDEX(AV$420:AV$431,$D2527))</f>
        <v/>
      </c>
      <c r="AW2527" s="44">
        <f>AW2500*Settings!$C$13*(INDEX(AW$420:AW$431,$D2527))</f>
        <v/>
      </c>
      <c r="AX2527" s="44">
        <f>AX2500*Settings!$C$13*(INDEX(AX$420:AX$431,$D2527))</f>
        <v/>
      </c>
      <c r="AY2527" s="44">
        <f>AY2500*Settings!$C$13*(INDEX(AY$420:AY$431,$D2527))</f>
        <v/>
      </c>
      <c r="AZ2527" s="44">
        <f>AZ2500*Settings!$C$13*(INDEX(AZ$420:AZ$431,$D2527))</f>
        <v/>
      </c>
      <c r="BA2527" s="57">
        <f>REVENUE(BA2500,Settings!$C$13,INDEX(BA$420:BA$431,$D2527))</f>
        <v/>
      </c>
    </row>
    <row r="2528" hidden="1" outlineLevel="2"/>
    <row r="2529" hidden="1" outlineLevel="2">
      <c r="A2529" s="14" t="inlineStr">
        <is>
          <t>rnew</t>
        </is>
      </c>
      <c r="B2529" s="14" t="inlineStr">
        <is>
          <t>coa</t>
        </is>
      </c>
      <c r="C2529" s="14" t="inlineStr">
        <is>
          <t>cem</t>
        </is>
      </c>
      <c r="D2529" s="35">
        <f>INDEX(Inputs!$V$5:$V$132,MATCH($B2529&amp;"|"&amp;$C2529,Inputs!$A$5:$A$132,0))</f>
        <v/>
      </c>
      <c r="E2529" s="39" t="n"/>
      <c r="F2529" s="39" t="n"/>
      <c r="G2529" s="39" t="n"/>
      <c r="H2529" s="14">
        <f>INDEX(VarLab,MATCH($A2529,VarKey,0))&amp;INDEX(MemLab,MATCH($C2529&amp;"|"&amp;$B2529,MemKey,0))</f>
        <v/>
      </c>
      <c r="I2529" s="14">
        <f>INDEX(VarUnit,MATCH($A2529,VarKey,0))</f>
        <v/>
      </c>
      <c r="J2529" s="14">
        <f>INDEX(VarSrc,MATCH($A2529,VarKey,0))</f>
        <v/>
      </c>
      <c r="K2529" s="11">
        <f>CodePrefix&amp;$A2529&amp;IF($C2529="","","."&amp;$C2529&amp;"."&amp;$B2529)&amp;INDEX(VarEnd,MATCH($A2529,VarKey,0))&amp;K$5</f>
        <v/>
      </c>
      <c r="L2529" s="43">
        <f>L2493*Settings!$C$13*(L2421+L2439+L2430*L$201+L2448*$D2529)</f>
        <v/>
      </c>
      <c r="M2529" s="44">
        <f>M2493*Settings!$C$13*(M2421+M2439+M2430*M$201+M2448*$D2529)</f>
        <v/>
      </c>
      <c r="N2529" s="44">
        <f>N2493*Settings!$C$13*(N2421+N2439+N2430*N$201+N2448*$D2529)</f>
        <v/>
      </c>
      <c r="O2529" s="44">
        <f>O2493*Settings!$C$13*(O2421+O2439+O2430*O$201+O2448*$D2529)</f>
        <v/>
      </c>
      <c r="P2529" s="44">
        <f>P2493*Settings!$C$13*(P2421+P2439+P2430*P$201+P2448*$D2529)</f>
        <v/>
      </c>
      <c r="Q2529" s="44">
        <f>Q2493*Settings!$C$13*(Q2421+Q2439+Q2430*Q$201+Q2448*$D2529)</f>
        <v/>
      </c>
      <c r="R2529" s="44">
        <f>R2493*Settings!$C$13*(R2421+R2439+R2430*R$201+R2448*$D2529)</f>
        <v/>
      </c>
      <c r="S2529" s="44">
        <f>S2493*Settings!$C$13*(S2421+S2439+S2430*S$201+S2448*$D2529)</f>
        <v/>
      </c>
      <c r="T2529" s="44">
        <f>T2493*Settings!$C$13*(T2421+T2439+T2430*T$201+T2448*$D2529)</f>
        <v/>
      </c>
      <c r="U2529" s="44">
        <f>U2493*Settings!$C$13*(U2421+U2439+U2430*U$201+U2448*$D2529)</f>
        <v/>
      </c>
      <c r="V2529" s="44">
        <f>V2493*Settings!$C$13*(V2421+V2439+V2430*V$201+V2448*$D2529)</f>
        <v/>
      </c>
      <c r="W2529" s="44">
        <f>W2493*Settings!$C$13*(W2421+W2439+W2430*W$201+W2448*$D2529)</f>
        <v/>
      </c>
      <c r="X2529" s="44">
        <f>X2493*Settings!$C$13*(X2421+X2439+X2430*X$201+X2448*$D2529)</f>
        <v/>
      </c>
      <c r="Y2529" s="44">
        <f>Y2493*Settings!$C$13*(Y2421+Y2439+Y2430*Y$201+Y2448*$D2529)</f>
        <v/>
      </c>
      <c r="Z2529" s="44">
        <f>Z2493*Settings!$C$13*(Z2421+Z2439+Z2430*Z$201+Z2448*$D2529)</f>
        <v/>
      </c>
      <c r="AA2529" s="44">
        <f>AA2493*Settings!$C$13*(AA2421+AA2439+AA2430*AA$201+AA2448*$D2529)</f>
        <v/>
      </c>
      <c r="AB2529" s="44">
        <f>AB2493*Settings!$C$13*(AB2421+AB2439+AB2430*AB$201+AB2448*$D2529)</f>
        <v/>
      </c>
      <c r="AC2529" s="44">
        <f>AC2493*Settings!$C$13*(AC2421+AC2439+AC2430*AC$201+AC2448*$D2529)</f>
        <v/>
      </c>
      <c r="AD2529" s="44">
        <f>AD2493*Settings!$C$13*(AD2421+AD2439+AD2430*AD$201+AD2448*$D2529)</f>
        <v/>
      </c>
      <c r="AE2529" s="57">
        <f>REVENUE(AE2493,Settings!$C$13,NEWREVRATE(AE2421,AE2439,AE2430,AE$201,AE2448,$D2529))</f>
        <v/>
      </c>
      <c r="AG2529" s="11">
        <f>CodePrefix&amp;$A2529&amp;IF($C2529="","","."&amp;$C2529&amp;"."&amp;$B2529)&amp;INDEX(VarEnd,MATCH($A2529,VarKey,0))&amp;AG$5</f>
        <v/>
      </c>
      <c r="AH2529" s="43">
        <f>AH2493*Settings!$C$13*(AH2421+AH2439+AH2430*AH$201+AH2448*$D2529)</f>
        <v/>
      </c>
      <c r="AI2529" s="44">
        <f>AI2493*Settings!$C$13*(AI2421+AI2439+AI2430*AI$201+AI2448*$D2529)</f>
        <v/>
      </c>
      <c r="AJ2529" s="44">
        <f>AJ2493*Settings!$C$13*(AJ2421+AJ2439+AJ2430*AJ$201+AJ2448*$D2529)</f>
        <v/>
      </c>
      <c r="AK2529" s="44">
        <f>AK2493*Settings!$C$13*(AK2421+AK2439+AK2430*AK$201+AK2448*$D2529)</f>
        <v/>
      </c>
      <c r="AL2529" s="44">
        <f>AL2493*Settings!$C$13*(AL2421+AL2439+AL2430*AL$201+AL2448*$D2529)</f>
        <v/>
      </c>
      <c r="AM2529" s="44">
        <f>AM2493*Settings!$C$13*(AM2421+AM2439+AM2430*AM$201+AM2448*$D2529)</f>
        <v/>
      </c>
      <c r="AN2529" s="44">
        <f>AN2493*Settings!$C$13*(AN2421+AN2439+AN2430*AN$201+AN2448*$D2529)</f>
        <v/>
      </c>
      <c r="AO2529" s="44">
        <f>AO2493*Settings!$C$13*(AO2421+AO2439+AO2430*AO$201+AO2448*$D2529)</f>
        <v/>
      </c>
      <c r="AP2529" s="44">
        <f>AP2493*Settings!$C$13*(AP2421+AP2439+AP2430*AP$201+AP2448*$D2529)</f>
        <v/>
      </c>
      <c r="AQ2529" s="44">
        <f>AQ2493*Settings!$C$13*(AQ2421+AQ2439+AQ2430*AQ$201+AQ2448*$D2529)</f>
        <v/>
      </c>
      <c r="AR2529" s="44">
        <f>AR2493*Settings!$C$13*(AR2421+AR2439+AR2430*AR$201+AR2448*$D2529)</f>
        <v/>
      </c>
      <c r="AS2529" s="44">
        <f>AS2493*Settings!$C$13*(AS2421+AS2439+AS2430*AS$201+AS2448*$D2529)</f>
        <v/>
      </c>
      <c r="AT2529" s="44">
        <f>AT2493*Settings!$C$13*(AT2421+AT2439+AT2430*AT$201+AT2448*$D2529)</f>
        <v/>
      </c>
      <c r="AU2529" s="44">
        <f>AU2493*Settings!$C$13*(AU2421+AU2439+AU2430*AU$201+AU2448*$D2529)</f>
        <v/>
      </c>
      <c r="AV2529" s="44">
        <f>AV2493*Settings!$C$13*(AV2421+AV2439+AV2430*AV$201+AV2448*$D2529)</f>
        <v/>
      </c>
      <c r="AW2529" s="44">
        <f>AW2493*Settings!$C$13*(AW2421+AW2439+AW2430*AW$201+AW2448*$D2529)</f>
        <v/>
      </c>
      <c r="AX2529" s="44">
        <f>AX2493*Settings!$C$13*(AX2421+AX2439+AX2430*AX$201+AX2448*$D2529)</f>
        <v/>
      </c>
      <c r="AY2529" s="44">
        <f>AY2493*Settings!$C$13*(AY2421+AY2439+AY2430*AY$201+AY2448*$D2529)</f>
        <v/>
      </c>
      <c r="AZ2529" s="44">
        <f>AZ2493*Settings!$C$13*(AZ2421+AZ2439+AZ2430*AZ$201+AZ2448*$D2529)</f>
        <v/>
      </c>
      <c r="BA2529" s="57">
        <f>REVENUE(BA2493,Settings!$C$13,NEWREVRATE(BA2421,BA2439,BA2430,BA$201,BA2448,$D2529))</f>
        <v/>
      </c>
    </row>
    <row r="2530" hidden="1" outlineLevel="2">
      <c r="A2530" s="14" t="inlineStr">
        <is>
          <t>rnew</t>
        </is>
      </c>
      <c r="B2530" s="14" t="inlineStr">
        <is>
          <t>nga</t>
        </is>
      </c>
      <c r="C2530" s="14" t="inlineStr">
        <is>
          <t>cem</t>
        </is>
      </c>
      <c r="D2530" s="35">
        <f>INDEX(Inputs!$V$5:$V$132,MATCH($B2530&amp;"|"&amp;$C2530,Inputs!$A$5:$A$132,0))</f>
        <v/>
      </c>
      <c r="E2530" s="39" t="n"/>
      <c r="F2530" s="39" t="n"/>
      <c r="G2530" s="39" t="n"/>
      <c r="H2530" s="14">
        <f>INDEX(VarLab,MATCH($A2530,VarKey,0))&amp;INDEX(MemLab,MATCH($C2530&amp;"|"&amp;$B2530,MemKey,0))</f>
        <v/>
      </c>
      <c r="I2530" s="14">
        <f>INDEX(VarUnit,MATCH($A2530,VarKey,0))</f>
        <v/>
      </c>
      <c r="J2530" s="14">
        <f>INDEX(VarSrc,MATCH($A2530,VarKey,0))</f>
        <v/>
      </c>
      <c r="K2530" s="11">
        <f>CodePrefix&amp;$A2530&amp;IF($C2530="","","."&amp;$C2530&amp;"."&amp;$B2530)&amp;INDEX(VarEnd,MATCH($A2530,VarKey,0))&amp;K$5</f>
        <v/>
      </c>
      <c r="L2530" s="43">
        <f>L2494*Settings!$C$13*(L2422+L2440+L2431*L$201+L2449*$D2530)</f>
        <v/>
      </c>
      <c r="M2530" s="44">
        <f>M2494*Settings!$C$13*(M2422+M2440+M2431*M$201+M2449*$D2530)</f>
        <v/>
      </c>
      <c r="N2530" s="44">
        <f>N2494*Settings!$C$13*(N2422+N2440+N2431*N$201+N2449*$D2530)</f>
        <v/>
      </c>
      <c r="O2530" s="44">
        <f>O2494*Settings!$C$13*(O2422+O2440+O2431*O$201+O2449*$D2530)</f>
        <v/>
      </c>
      <c r="P2530" s="44">
        <f>P2494*Settings!$C$13*(P2422+P2440+P2431*P$201+P2449*$D2530)</f>
        <v/>
      </c>
      <c r="Q2530" s="44">
        <f>Q2494*Settings!$C$13*(Q2422+Q2440+Q2431*Q$201+Q2449*$D2530)</f>
        <v/>
      </c>
      <c r="R2530" s="44">
        <f>R2494*Settings!$C$13*(R2422+R2440+R2431*R$201+R2449*$D2530)</f>
        <v/>
      </c>
      <c r="S2530" s="44">
        <f>S2494*Settings!$C$13*(S2422+S2440+S2431*S$201+S2449*$D2530)</f>
        <v/>
      </c>
      <c r="T2530" s="44">
        <f>T2494*Settings!$C$13*(T2422+T2440+T2431*T$201+T2449*$D2530)</f>
        <v/>
      </c>
      <c r="U2530" s="44">
        <f>U2494*Settings!$C$13*(U2422+U2440+U2431*U$201+U2449*$D2530)</f>
        <v/>
      </c>
      <c r="V2530" s="44">
        <f>V2494*Settings!$C$13*(V2422+V2440+V2431*V$201+V2449*$D2530)</f>
        <v/>
      </c>
      <c r="W2530" s="44">
        <f>W2494*Settings!$C$13*(W2422+W2440+W2431*W$201+W2449*$D2530)</f>
        <v/>
      </c>
      <c r="X2530" s="44">
        <f>X2494*Settings!$C$13*(X2422+X2440+X2431*X$201+X2449*$D2530)</f>
        <v/>
      </c>
      <c r="Y2530" s="44">
        <f>Y2494*Settings!$C$13*(Y2422+Y2440+Y2431*Y$201+Y2449*$D2530)</f>
        <v/>
      </c>
      <c r="Z2530" s="44">
        <f>Z2494*Settings!$C$13*(Z2422+Z2440+Z2431*Z$201+Z2449*$D2530)</f>
        <v/>
      </c>
      <c r="AA2530" s="44">
        <f>AA2494*Settings!$C$13*(AA2422+AA2440+AA2431*AA$201+AA2449*$D2530)</f>
        <v/>
      </c>
      <c r="AB2530" s="44">
        <f>AB2494*Settings!$C$13*(AB2422+AB2440+AB2431*AB$201+AB2449*$D2530)</f>
        <v/>
      </c>
      <c r="AC2530" s="44">
        <f>AC2494*Settings!$C$13*(AC2422+AC2440+AC2431*AC$201+AC2449*$D2530)</f>
        <v/>
      </c>
      <c r="AD2530" s="44">
        <f>AD2494*Settings!$C$13*(AD2422+AD2440+AD2431*AD$201+AD2449*$D2530)</f>
        <v/>
      </c>
      <c r="AE2530" s="57">
        <f>REVENUE(AE2494,Settings!$C$13,NEWREVRATE(AE2422,AE2440,AE2431,AE$201,AE2449,$D2530))</f>
        <v/>
      </c>
      <c r="AG2530" s="11">
        <f>CodePrefix&amp;$A2530&amp;IF($C2530="","","."&amp;$C2530&amp;"."&amp;$B2530)&amp;INDEX(VarEnd,MATCH($A2530,VarKey,0))&amp;AG$5</f>
        <v/>
      </c>
      <c r="AH2530" s="43">
        <f>AH2494*Settings!$C$13*(AH2422+AH2440+AH2431*AH$201+AH2449*$D2530)</f>
        <v/>
      </c>
      <c r="AI2530" s="44">
        <f>AI2494*Settings!$C$13*(AI2422+AI2440+AI2431*AI$201+AI2449*$D2530)</f>
        <v/>
      </c>
      <c r="AJ2530" s="44">
        <f>AJ2494*Settings!$C$13*(AJ2422+AJ2440+AJ2431*AJ$201+AJ2449*$D2530)</f>
        <v/>
      </c>
      <c r="AK2530" s="44">
        <f>AK2494*Settings!$C$13*(AK2422+AK2440+AK2431*AK$201+AK2449*$D2530)</f>
        <v/>
      </c>
      <c r="AL2530" s="44">
        <f>AL2494*Settings!$C$13*(AL2422+AL2440+AL2431*AL$201+AL2449*$D2530)</f>
        <v/>
      </c>
      <c r="AM2530" s="44">
        <f>AM2494*Settings!$C$13*(AM2422+AM2440+AM2431*AM$201+AM2449*$D2530)</f>
        <v/>
      </c>
      <c r="AN2530" s="44">
        <f>AN2494*Settings!$C$13*(AN2422+AN2440+AN2431*AN$201+AN2449*$D2530)</f>
        <v/>
      </c>
      <c r="AO2530" s="44">
        <f>AO2494*Settings!$C$13*(AO2422+AO2440+AO2431*AO$201+AO2449*$D2530)</f>
        <v/>
      </c>
      <c r="AP2530" s="44">
        <f>AP2494*Settings!$C$13*(AP2422+AP2440+AP2431*AP$201+AP2449*$D2530)</f>
        <v/>
      </c>
      <c r="AQ2530" s="44">
        <f>AQ2494*Settings!$C$13*(AQ2422+AQ2440+AQ2431*AQ$201+AQ2449*$D2530)</f>
        <v/>
      </c>
      <c r="AR2530" s="44">
        <f>AR2494*Settings!$C$13*(AR2422+AR2440+AR2431*AR$201+AR2449*$D2530)</f>
        <v/>
      </c>
      <c r="AS2530" s="44">
        <f>AS2494*Settings!$C$13*(AS2422+AS2440+AS2431*AS$201+AS2449*$D2530)</f>
        <v/>
      </c>
      <c r="AT2530" s="44">
        <f>AT2494*Settings!$C$13*(AT2422+AT2440+AT2431*AT$201+AT2449*$D2530)</f>
        <v/>
      </c>
      <c r="AU2530" s="44">
        <f>AU2494*Settings!$C$13*(AU2422+AU2440+AU2431*AU$201+AU2449*$D2530)</f>
        <v/>
      </c>
      <c r="AV2530" s="44">
        <f>AV2494*Settings!$C$13*(AV2422+AV2440+AV2431*AV$201+AV2449*$D2530)</f>
        <v/>
      </c>
      <c r="AW2530" s="44">
        <f>AW2494*Settings!$C$13*(AW2422+AW2440+AW2431*AW$201+AW2449*$D2530)</f>
        <v/>
      </c>
      <c r="AX2530" s="44">
        <f>AX2494*Settings!$C$13*(AX2422+AX2440+AX2431*AX$201+AX2449*$D2530)</f>
        <v/>
      </c>
      <c r="AY2530" s="44">
        <f>AY2494*Settings!$C$13*(AY2422+AY2440+AY2431*AY$201+AY2449*$D2530)</f>
        <v/>
      </c>
      <c r="AZ2530" s="44">
        <f>AZ2494*Settings!$C$13*(AZ2422+AZ2440+AZ2431*AZ$201+AZ2449*$D2530)</f>
        <v/>
      </c>
      <c r="BA2530" s="57">
        <f>REVENUE(BA2494,Settings!$C$13,NEWREVRATE(BA2422,BA2440,BA2431,BA$201,BA2449,$D2530))</f>
        <v/>
      </c>
    </row>
    <row r="2531" hidden="1" outlineLevel="2">
      <c r="A2531" s="14" t="inlineStr">
        <is>
          <t>rnew</t>
        </is>
      </c>
      <c r="B2531" s="14" t="inlineStr">
        <is>
          <t>gso</t>
        </is>
      </c>
      <c r="C2531" s="14" t="inlineStr">
        <is>
          <t>cem</t>
        </is>
      </c>
      <c r="D2531" s="35">
        <f>INDEX(Inputs!$V$5:$V$132,MATCH($B2531&amp;"|"&amp;$C2531,Inputs!$A$5:$A$132,0))</f>
        <v/>
      </c>
      <c r="E2531" s="39" t="n"/>
      <c r="F2531" s="39" t="n"/>
      <c r="G2531" s="39" t="n"/>
      <c r="H2531" s="14">
        <f>INDEX(VarLab,MATCH($A2531,VarKey,0))&amp;INDEX(MemLab,MATCH($C2531&amp;"|"&amp;$B2531,MemKey,0))</f>
        <v/>
      </c>
      <c r="I2531" s="14">
        <f>INDEX(VarUnit,MATCH($A2531,VarKey,0))</f>
        <v/>
      </c>
      <c r="J2531" s="14">
        <f>INDEX(VarSrc,MATCH($A2531,VarKey,0))</f>
        <v/>
      </c>
      <c r="K2531" s="11">
        <f>CodePrefix&amp;$A2531&amp;IF($C2531="","","."&amp;$C2531&amp;"."&amp;$B2531)&amp;INDEX(VarEnd,MATCH($A2531,VarKey,0))&amp;K$5</f>
        <v/>
      </c>
      <c r="L2531" s="43">
        <f>L2495*Settings!$C$13*(L2423+L2441+L2432*L$201+L2450*$D2531)</f>
        <v/>
      </c>
      <c r="M2531" s="44">
        <f>M2495*Settings!$C$13*(M2423+M2441+M2432*M$201+M2450*$D2531)</f>
        <v/>
      </c>
      <c r="N2531" s="44">
        <f>N2495*Settings!$C$13*(N2423+N2441+N2432*N$201+N2450*$D2531)</f>
        <v/>
      </c>
      <c r="O2531" s="44">
        <f>O2495*Settings!$C$13*(O2423+O2441+O2432*O$201+O2450*$D2531)</f>
        <v/>
      </c>
      <c r="P2531" s="44">
        <f>P2495*Settings!$C$13*(P2423+P2441+P2432*P$201+P2450*$D2531)</f>
        <v/>
      </c>
      <c r="Q2531" s="44">
        <f>Q2495*Settings!$C$13*(Q2423+Q2441+Q2432*Q$201+Q2450*$D2531)</f>
        <v/>
      </c>
      <c r="R2531" s="44">
        <f>R2495*Settings!$C$13*(R2423+R2441+R2432*R$201+R2450*$D2531)</f>
        <v/>
      </c>
      <c r="S2531" s="44">
        <f>S2495*Settings!$C$13*(S2423+S2441+S2432*S$201+S2450*$D2531)</f>
        <v/>
      </c>
      <c r="T2531" s="44">
        <f>T2495*Settings!$C$13*(T2423+T2441+T2432*T$201+T2450*$D2531)</f>
        <v/>
      </c>
      <c r="U2531" s="44">
        <f>U2495*Settings!$C$13*(U2423+U2441+U2432*U$201+U2450*$D2531)</f>
        <v/>
      </c>
      <c r="V2531" s="44">
        <f>V2495*Settings!$C$13*(V2423+V2441+V2432*V$201+V2450*$D2531)</f>
        <v/>
      </c>
      <c r="W2531" s="44">
        <f>W2495*Settings!$C$13*(W2423+W2441+W2432*W$201+W2450*$D2531)</f>
        <v/>
      </c>
      <c r="X2531" s="44">
        <f>X2495*Settings!$C$13*(X2423+X2441+X2432*X$201+X2450*$D2531)</f>
        <v/>
      </c>
      <c r="Y2531" s="44">
        <f>Y2495*Settings!$C$13*(Y2423+Y2441+Y2432*Y$201+Y2450*$D2531)</f>
        <v/>
      </c>
      <c r="Z2531" s="44">
        <f>Z2495*Settings!$C$13*(Z2423+Z2441+Z2432*Z$201+Z2450*$D2531)</f>
        <v/>
      </c>
      <c r="AA2531" s="44">
        <f>AA2495*Settings!$C$13*(AA2423+AA2441+AA2432*AA$201+AA2450*$D2531)</f>
        <v/>
      </c>
      <c r="AB2531" s="44">
        <f>AB2495*Settings!$C$13*(AB2423+AB2441+AB2432*AB$201+AB2450*$D2531)</f>
        <v/>
      </c>
      <c r="AC2531" s="44">
        <f>AC2495*Settings!$C$13*(AC2423+AC2441+AC2432*AC$201+AC2450*$D2531)</f>
        <v/>
      </c>
      <c r="AD2531" s="44">
        <f>AD2495*Settings!$C$13*(AD2423+AD2441+AD2432*AD$201+AD2450*$D2531)</f>
        <v/>
      </c>
      <c r="AE2531" s="57">
        <f>REVENUE(AE2495,Settings!$C$13,NEWREVRATE(AE2423,AE2441,AE2432,AE$201,AE2450,$D2531))</f>
        <v/>
      </c>
      <c r="AG2531" s="11">
        <f>CodePrefix&amp;$A2531&amp;IF($C2531="","","."&amp;$C2531&amp;"."&amp;$B2531)&amp;INDEX(VarEnd,MATCH($A2531,VarKey,0))&amp;AG$5</f>
        <v/>
      </c>
      <c r="AH2531" s="43">
        <f>AH2495*Settings!$C$13*(AH2423+AH2441+AH2432*AH$201+AH2450*$D2531)</f>
        <v/>
      </c>
      <c r="AI2531" s="44">
        <f>AI2495*Settings!$C$13*(AI2423+AI2441+AI2432*AI$201+AI2450*$D2531)</f>
        <v/>
      </c>
      <c r="AJ2531" s="44">
        <f>AJ2495*Settings!$C$13*(AJ2423+AJ2441+AJ2432*AJ$201+AJ2450*$D2531)</f>
        <v/>
      </c>
      <c r="AK2531" s="44">
        <f>AK2495*Settings!$C$13*(AK2423+AK2441+AK2432*AK$201+AK2450*$D2531)</f>
        <v/>
      </c>
      <c r="AL2531" s="44">
        <f>AL2495*Settings!$C$13*(AL2423+AL2441+AL2432*AL$201+AL2450*$D2531)</f>
        <v/>
      </c>
      <c r="AM2531" s="44">
        <f>AM2495*Settings!$C$13*(AM2423+AM2441+AM2432*AM$201+AM2450*$D2531)</f>
        <v/>
      </c>
      <c r="AN2531" s="44">
        <f>AN2495*Settings!$C$13*(AN2423+AN2441+AN2432*AN$201+AN2450*$D2531)</f>
        <v/>
      </c>
      <c r="AO2531" s="44">
        <f>AO2495*Settings!$C$13*(AO2423+AO2441+AO2432*AO$201+AO2450*$D2531)</f>
        <v/>
      </c>
      <c r="AP2531" s="44">
        <f>AP2495*Settings!$C$13*(AP2423+AP2441+AP2432*AP$201+AP2450*$D2531)</f>
        <v/>
      </c>
      <c r="AQ2531" s="44">
        <f>AQ2495*Settings!$C$13*(AQ2423+AQ2441+AQ2432*AQ$201+AQ2450*$D2531)</f>
        <v/>
      </c>
      <c r="AR2531" s="44">
        <f>AR2495*Settings!$C$13*(AR2423+AR2441+AR2432*AR$201+AR2450*$D2531)</f>
        <v/>
      </c>
      <c r="AS2531" s="44">
        <f>AS2495*Settings!$C$13*(AS2423+AS2441+AS2432*AS$201+AS2450*$D2531)</f>
        <v/>
      </c>
      <c r="AT2531" s="44">
        <f>AT2495*Settings!$C$13*(AT2423+AT2441+AT2432*AT$201+AT2450*$D2531)</f>
        <v/>
      </c>
      <c r="AU2531" s="44">
        <f>AU2495*Settings!$C$13*(AU2423+AU2441+AU2432*AU$201+AU2450*$D2531)</f>
        <v/>
      </c>
      <c r="AV2531" s="44">
        <f>AV2495*Settings!$C$13*(AV2423+AV2441+AV2432*AV$201+AV2450*$D2531)</f>
        <v/>
      </c>
      <c r="AW2531" s="44">
        <f>AW2495*Settings!$C$13*(AW2423+AW2441+AW2432*AW$201+AW2450*$D2531)</f>
        <v/>
      </c>
      <c r="AX2531" s="44">
        <f>AX2495*Settings!$C$13*(AX2423+AX2441+AX2432*AX$201+AX2450*$D2531)</f>
        <v/>
      </c>
      <c r="AY2531" s="44">
        <f>AY2495*Settings!$C$13*(AY2423+AY2441+AY2432*AY$201+AY2450*$D2531)</f>
        <v/>
      </c>
      <c r="AZ2531" s="44">
        <f>AZ2495*Settings!$C$13*(AZ2423+AZ2441+AZ2432*AZ$201+AZ2450*$D2531)</f>
        <v/>
      </c>
      <c r="BA2531" s="57">
        <f>REVENUE(BA2495,Settings!$C$13,NEWREVRATE(BA2423,BA2441,BA2432,BA$201,BA2450,$D2531))</f>
        <v/>
      </c>
    </row>
    <row r="2532" hidden="1" outlineLevel="2">
      <c r="A2532" s="14" t="inlineStr">
        <is>
          <t>rnew</t>
        </is>
      </c>
      <c r="B2532" s="14" t="inlineStr">
        <is>
          <t>die</t>
        </is>
      </c>
      <c r="C2532" s="14" t="inlineStr">
        <is>
          <t>cem</t>
        </is>
      </c>
      <c r="D2532" s="35">
        <f>INDEX(Inputs!$V$5:$V$132,MATCH($B2532&amp;"|"&amp;$C2532,Inputs!$A$5:$A$132,0))</f>
        <v/>
      </c>
      <c r="E2532" s="39" t="n"/>
      <c r="F2532" s="39" t="n"/>
      <c r="G2532" s="39" t="n"/>
      <c r="H2532" s="14">
        <f>INDEX(VarLab,MATCH($A2532,VarKey,0))&amp;INDEX(MemLab,MATCH($C2532&amp;"|"&amp;$B2532,MemKey,0))</f>
        <v/>
      </c>
      <c r="I2532" s="14">
        <f>INDEX(VarUnit,MATCH($A2532,VarKey,0))</f>
        <v/>
      </c>
      <c r="J2532" s="14">
        <f>INDEX(VarSrc,MATCH($A2532,VarKey,0))</f>
        <v/>
      </c>
      <c r="K2532" s="11">
        <f>CodePrefix&amp;$A2532&amp;IF($C2532="","","."&amp;$C2532&amp;"."&amp;$B2532)&amp;INDEX(VarEnd,MATCH($A2532,VarKey,0))&amp;K$5</f>
        <v/>
      </c>
      <c r="L2532" s="43">
        <f>L2496*Settings!$C$13*(L2424+L2442+L2433*L$201+L2451*$D2532)</f>
        <v/>
      </c>
      <c r="M2532" s="44">
        <f>M2496*Settings!$C$13*(M2424+M2442+M2433*M$201+M2451*$D2532)</f>
        <v/>
      </c>
      <c r="N2532" s="44">
        <f>N2496*Settings!$C$13*(N2424+N2442+N2433*N$201+N2451*$D2532)</f>
        <v/>
      </c>
      <c r="O2532" s="44">
        <f>O2496*Settings!$C$13*(O2424+O2442+O2433*O$201+O2451*$D2532)</f>
        <v/>
      </c>
      <c r="P2532" s="44">
        <f>P2496*Settings!$C$13*(P2424+P2442+P2433*P$201+P2451*$D2532)</f>
        <v/>
      </c>
      <c r="Q2532" s="44">
        <f>Q2496*Settings!$C$13*(Q2424+Q2442+Q2433*Q$201+Q2451*$D2532)</f>
        <v/>
      </c>
      <c r="R2532" s="44">
        <f>R2496*Settings!$C$13*(R2424+R2442+R2433*R$201+R2451*$D2532)</f>
        <v/>
      </c>
      <c r="S2532" s="44">
        <f>S2496*Settings!$C$13*(S2424+S2442+S2433*S$201+S2451*$D2532)</f>
        <v/>
      </c>
      <c r="T2532" s="44">
        <f>T2496*Settings!$C$13*(T2424+T2442+T2433*T$201+T2451*$D2532)</f>
        <v/>
      </c>
      <c r="U2532" s="44">
        <f>U2496*Settings!$C$13*(U2424+U2442+U2433*U$201+U2451*$D2532)</f>
        <v/>
      </c>
      <c r="V2532" s="44">
        <f>V2496*Settings!$C$13*(V2424+V2442+V2433*V$201+V2451*$D2532)</f>
        <v/>
      </c>
      <c r="W2532" s="44">
        <f>W2496*Settings!$C$13*(W2424+W2442+W2433*W$201+W2451*$D2532)</f>
        <v/>
      </c>
      <c r="X2532" s="44">
        <f>X2496*Settings!$C$13*(X2424+X2442+X2433*X$201+X2451*$D2532)</f>
        <v/>
      </c>
      <c r="Y2532" s="44">
        <f>Y2496*Settings!$C$13*(Y2424+Y2442+Y2433*Y$201+Y2451*$D2532)</f>
        <v/>
      </c>
      <c r="Z2532" s="44">
        <f>Z2496*Settings!$C$13*(Z2424+Z2442+Z2433*Z$201+Z2451*$D2532)</f>
        <v/>
      </c>
      <c r="AA2532" s="44">
        <f>AA2496*Settings!$C$13*(AA2424+AA2442+AA2433*AA$201+AA2451*$D2532)</f>
        <v/>
      </c>
      <c r="AB2532" s="44">
        <f>AB2496*Settings!$C$13*(AB2424+AB2442+AB2433*AB$201+AB2451*$D2532)</f>
        <v/>
      </c>
      <c r="AC2532" s="44">
        <f>AC2496*Settings!$C$13*(AC2424+AC2442+AC2433*AC$201+AC2451*$D2532)</f>
        <v/>
      </c>
      <c r="AD2532" s="44">
        <f>AD2496*Settings!$C$13*(AD2424+AD2442+AD2433*AD$201+AD2451*$D2532)</f>
        <v/>
      </c>
      <c r="AE2532" s="57">
        <f>REVENUE(AE2496,Settings!$C$13,NEWREVRATE(AE2424,AE2442,AE2433,AE$201,AE2451,$D2532))</f>
        <v/>
      </c>
      <c r="AG2532" s="11">
        <f>CodePrefix&amp;$A2532&amp;IF($C2532="","","."&amp;$C2532&amp;"."&amp;$B2532)&amp;INDEX(VarEnd,MATCH($A2532,VarKey,0))&amp;AG$5</f>
        <v/>
      </c>
      <c r="AH2532" s="43">
        <f>AH2496*Settings!$C$13*(AH2424+AH2442+AH2433*AH$201+AH2451*$D2532)</f>
        <v/>
      </c>
      <c r="AI2532" s="44">
        <f>AI2496*Settings!$C$13*(AI2424+AI2442+AI2433*AI$201+AI2451*$D2532)</f>
        <v/>
      </c>
      <c r="AJ2532" s="44">
        <f>AJ2496*Settings!$C$13*(AJ2424+AJ2442+AJ2433*AJ$201+AJ2451*$D2532)</f>
        <v/>
      </c>
      <c r="AK2532" s="44">
        <f>AK2496*Settings!$C$13*(AK2424+AK2442+AK2433*AK$201+AK2451*$D2532)</f>
        <v/>
      </c>
      <c r="AL2532" s="44">
        <f>AL2496*Settings!$C$13*(AL2424+AL2442+AL2433*AL$201+AL2451*$D2532)</f>
        <v/>
      </c>
      <c r="AM2532" s="44">
        <f>AM2496*Settings!$C$13*(AM2424+AM2442+AM2433*AM$201+AM2451*$D2532)</f>
        <v/>
      </c>
      <c r="AN2532" s="44">
        <f>AN2496*Settings!$C$13*(AN2424+AN2442+AN2433*AN$201+AN2451*$D2532)</f>
        <v/>
      </c>
      <c r="AO2532" s="44">
        <f>AO2496*Settings!$C$13*(AO2424+AO2442+AO2433*AO$201+AO2451*$D2532)</f>
        <v/>
      </c>
      <c r="AP2532" s="44">
        <f>AP2496*Settings!$C$13*(AP2424+AP2442+AP2433*AP$201+AP2451*$D2532)</f>
        <v/>
      </c>
      <c r="AQ2532" s="44">
        <f>AQ2496*Settings!$C$13*(AQ2424+AQ2442+AQ2433*AQ$201+AQ2451*$D2532)</f>
        <v/>
      </c>
      <c r="AR2532" s="44">
        <f>AR2496*Settings!$C$13*(AR2424+AR2442+AR2433*AR$201+AR2451*$D2532)</f>
        <v/>
      </c>
      <c r="AS2532" s="44">
        <f>AS2496*Settings!$C$13*(AS2424+AS2442+AS2433*AS$201+AS2451*$D2532)</f>
        <v/>
      </c>
      <c r="AT2532" s="44">
        <f>AT2496*Settings!$C$13*(AT2424+AT2442+AT2433*AT$201+AT2451*$D2532)</f>
        <v/>
      </c>
      <c r="AU2532" s="44">
        <f>AU2496*Settings!$C$13*(AU2424+AU2442+AU2433*AU$201+AU2451*$D2532)</f>
        <v/>
      </c>
      <c r="AV2532" s="44">
        <f>AV2496*Settings!$C$13*(AV2424+AV2442+AV2433*AV$201+AV2451*$D2532)</f>
        <v/>
      </c>
      <c r="AW2532" s="44">
        <f>AW2496*Settings!$C$13*(AW2424+AW2442+AW2433*AW$201+AW2451*$D2532)</f>
        <v/>
      </c>
      <c r="AX2532" s="44">
        <f>AX2496*Settings!$C$13*(AX2424+AX2442+AX2433*AX$201+AX2451*$D2532)</f>
        <v/>
      </c>
      <c r="AY2532" s="44">
        <f>AY2496*Settings!$C$13*(AY2424+AY2442+AY2433*AY$201+AY2451*$D2532)</f>
        <v/>
      </c>
      <c r="AZ2532" s="44">
        <f>AZ2496*Settings!$C$13*(AZ2424+AZ2442+AZ2433*AZ$201+AZ2451*$D2532)</f>
        <v/>
      </c>
      <c r="BA2532" s="57">
        <f>REVENUE(BA2496,Settings!$C$13,NEWREVRATE(BA2424,BA2442,BA2433,BA$201,BA2451,$D2532))</f>
        <v/>
      </c>
    </row>
    <row r="2533" hidden="1" outlineLevel="2">
      <c r="A2533" s="14" t="inlineStr">
        <is>
          <t>rnew</t>
        </is>
      </c>
      <c r="B2533" s="14" t="inlineStr">
        <is>
          <t>lpg</t>
        </is>
      </c>
      <c r="C2533" s="14" t="inlineStr">
        <is>
          <t>cem</t>
        </is>
      </c>
      <c r="D2533" s="35">
        <f>INDEX(Inputs!$V$5:$V$132,MATCH($B2533&amp;"|"&amp;$C2533,Inputs!$A$5:$A$132,0))</f>
        <v/>
      </c>
      <c r="E2533" s="39" t="n"/>
      <c r="F2533" s="39" t="n"/>
      <c r="G2533" s="39" t="n"/>
      <c r="H2533" s="14">
        <f>INDEX(VarLab,MATCH($A2533,VarKey,0))&amp;INDEX(MemLab,MATCH($C2533&amp;"|"&amp;$B2533,MemKey,0))</f>
        <v/>
      </c>
      <c r="I2533" s="14">
        <f>INDEX(VarUnit,MATCH($A2533,VarKey,0))</f>
        <v/>
      </c>
      <c r="J2533" s="14">
        <f>INDEX(VarSrc,MATCH($A2533,VarKey,0))</f>
        <v/>
      </c>
      <c r="K2533" s="11">
        <f>CodePrefix&amp;$A2533&amp;IF($C2533="","","."&amp;$C2533&amp;"."&amp;$B2533)&amp;INDEX(VarEnd,MATCH($A2533,VarKey,0))&amp;K$5</f>
        <v/>
      </c>
      <c r="L2533" s="43">
        <f>L2497*Settings!$C$13*(L2425+L2443+L2434*L$201+L2452*$D2533)</f>
        <v/>
      </c>
      <c r="M2533" s="44">
        <f>M2497*Settings!$C$13*(M2425+M2443+M2434*M$201+M2452*$D2533)</f>
        <v/>
      </c>
      <c r="N2533" s="44">
        <f>N2497*Settings!$C$13*(N2425+N2443+N2434*N$201+N2452*$D2533)</f>
        <v/>
      </c>
      <c r="O2533" s="44">
        <f>O2497*Settings!$C$13*(O2425+O2443+O2434*O$201+O2452*$D2533)</f>
        <v/>
      </c>
      <c r="P2533" s="44">
        <f>P2497*Settings!$C$13*(P2425+P2443+P2434*P$201+P2452*$D2533)</f>
        <v/>
      </c>
      <c r="Q2533" s="44">
        <f>Q2497*Settings!$C$13*(Q2425+Q2443+Q2434*Q$201+Q2452*$D2533)</f>
        <v/>
      </c>
      <c r="R2533" s="44">
        <f>R2497*Settings!$C$13*(R2425+R2443+R2434*R$201+R2452*$D2533)</f>
        <v/>
      </c>
      <c r="S2533" s="44">
        <f>S2497*Settings!$C$13*(S2425+S2443+S2434*S$201+S2452*$D2533)</f>
        <v/>
      </c>
      <c r="T2533" s="44">
        <f>T2497*Settings!$C$13*(T2425+T2443+T2434*T$201+T2452*$D2533)</f>
        <v/>
      </c>
      <c r="U2533" s="44">
        <f>U2497*Settings!$C$13*(U2425+U2443+U2434*U$201+U2452*$D2533)</f>
        <v/>
      </c>
      <c r="V2533" s="44">
        <f>V2497*Settings!$C$13*(V2425+V2443+V2434*V$201+V2452*$D2533)</f>
        <v/>
      </c>
      <c r="W2533" s="44">
        <f>W2497*Settings!$C$13*(W2425+W2443+W2434*W$201+W2452*$D2533)</f>
        <v/>
      </c>
      <c r="X2533" s="44">
        <f>X2497*Settings!$C$13*(X2425+X2443+X2434*X$201+X2452*$D2533)</f>
        <v/>
      </c>
      <c r="Y2533" s="44">
        <f>Y2497*Settings!$C$13*(Y2425+Y2443+Y2434*Y$201+Y2452*$D2533)</f>
        <v/>
      </c>
      <c r="Z2533" s="44">
        <f>Z2497*Settings!$C$13*(Z2425+Z2443+Z2434*Z$201+Z2452*$D2533)</f>
        <v/>
      </c>
      <c r="AA2533" s="44">
        <f>AA2497*Settings!$C$13*(AA2425+AA2443+AA2434*AA$201+AA2452*$D2533)</f>
        <v/>
      </c>
      <c r="AB2533" s="44">
        <f>AB2497*Settings!$C$13*(AB2425+AB2443+AB2434*AB$201+AB2452*$D2533)</f>
        <v/>
      </c>
      <c r="AC2533" s="44">
        <f>AC2497*Settings!$C$13*(AC2425+AC2443+AC2434*AC$201+AC2452*$D2533)</f>
        <v/>
      </c>
      <c r="AD2533" s="44">
        <f>AD2497*Settings!$C$13*(AD2425+AD2443+AD2434*AD$201+AD2452*$D2533)</f>
        <v/>
      </c>
      <c r="AE2533" s="57">
        <f>REVENUE(AE2497,Settings!$C$13,NEWREVRATE(AE2425,AE2443,AE2434,AE$201,AE2452,$D2533))</f>
        <v/>
      </c>
      <c r="AG2533" s="11">
        <f>CodePrefix&amp;$A2533&amp;IF($C2533="","","."&amp;$C2533&amp;"."&amp;$B2533)&amp;INDEX(VarEnd,MATCH($A2533,VarKey,0))&amp;AG$5</f>
        <v/>
      </c>
      <c r="AH2533" s="43">
        <f>AH2497*Settings!$C$13*(AH2425+AH2443+AH2434*AH$201+AH2452*$D2533)</f>
        <v/>
      </c>
      <c r="AI2533" s="44">
        <f>AI2497*Settings!$C$13*(AI2425+AI2443+AI2434*AI$201+AI2452*$D2533)</f>
        <v/>
      </c>
      <c r="AJ2533" s="44">
        <f>AJ2497*Settings!$C$13*(AJ2425+AJ2443+AJ2434*AJ$201+AJ2452*$D2533)</f>
        <v/>
      </c>
      <c r="AK2533" s="44">
        <f>AK2497*Settings!$C$13*(AK2425+AK2443+AK2434*AK$201+AK2452*$D2533)</f>
        <v/>
      </c>
      <c r="AL2533" s="44">
        <f>AL2497*Settings!$C$13*(AL2425+AL2443+AL2434*AL$201+AL2452*$D2533)</f>
        <v/>
      </c>
      <c r="AM2533" s="44">
        <f>AM2497*Settings!$C$13*(AM2425+AM2443+AM2434*AM$201+AM2452*$D2533)</f>
        <v/>
      </c>
      <c r="AN2533" s="44">
        <f>AN2497*Settings!$C$13*(AN2425+AN2443+AN2434*AN$201+AN2452*$D2533)</f>
        <v/>
      </c>
      <c r="AO2533" s="44">
        <f>AO2497*Settings!$C$13*(AO2425+AO2443+AO2434*AO$201+AO2452*$D2533)</f>
        <v/>
      </c>
      <c r="AP2533" s="44">
        <f>AP2497*Settings!$C$13*(AP2425+AP2443+AP2434*AP$201+AP2452*$D2533)</f>
        <v/>
      </c>
      <c r="AQ2533" s="44">
        <f>AQ2497*Settings!$C$13*(AQ2425+AQ2443+AQ2434*AQ$201+AQ2452*$D2533)</f>
        <v/>
      </c>
      <c r="AR2533" s="44">
        <f>AR2497*Settings!$C$13*(AR2425+AR2443+AR2434*AR$201+AR2452*$D2533)</f>
        <v/>
      </c>
      <c r="AS2533" s="44">
        <f>AS2497*Settings!$C$13*(AS2425+AS2443+AS2434*AS$201+AS2452*$D2533)</f>
        <v/>
      </c>
      <c r="AT2533" s="44">
        <f>AT2497*Settings!$C$13*(AT2425+AT2443+AT2434*AT$201+AT2452*$D2533)</f>
        <v/>
      </c>
      <c r="AU2533" s="44">
        <f>AU2497*Settings!$C$13*(AU2425+AU2443+AU2434*AU$201+AU2452*$D2533)</f>
        <v/>
      </c>
      <c r="AV2533" s="44">
        <f>AV2497*Settings!$C$13*(AV2425+AV2443+AV2434*AV$201+AV2452*$D2533)</f>
        <v/>
      </c>
      <c r="AW2533" s="44">
        <f>AW2497*Settings!$C$13*(AW2425+AW2443+AW2434*AW$201+AW2452*$D2533)</f>
        <v/>
      </c>
      <c r="AX2533" s="44">
        <f>AX2497*Settings!$C$13*(AX2425+AX2443+AX2434*AX$201+AX2452*$D2533)</f>
        <v/>
      </c>
      <c r="AY2533" s="44">
        <f>AY2497*Settings!$C$13*(AY2425+AY2443+AY2434*AY$201+AY2452*$D2533)</f>
        <v/>
      </c>
      <c r="AZ2533" s="44">
        <f>AZ2497*Settings!$C$13*(AZ2425+AZ2443+AZ2434*AZ$201+AZ2452*$D2533)</f>
        <v/>
      </c>
      <c r="BA2533" s="57">
        <f>REVENUE(BA2497,Settings!$C$13,NEWREVRATE(BA2425,BA2443,BA2434,BA$201,BA2452,$D2533))</f>
        <v/>
      </c>
    </row>
    <row r="2534" hidden="1" outlineLevel="2">
      <c r="A2534" s="14" t="inlineStr">
        <is>
          <t>rnew</t>
        </is>
      </c>
      <c r="B2534" s="14" t="inlineStr">
        <is>
          <t>ker</t>
        </is>
      </c>
      <c r="C2534" s="14" t="inlineStr">
        <is>
          <t>cem</t>
        </is>
      </c>
      <c r="D2534" s="35">
        <f>INDEX(Inputs!$V$5:$V$132,MATCH($B2534&amp;"|"&amp;$C2534,Inputs!$A$5:$A$132,0))</f>
        <v/>
      </c>
      <c r="E2534" s="39" t="n"/>
      <c r="F2534" s="39" t="n"/>
      <c r="G2534" s="39" t="n"/>
      <c r="H2534" s="14">
        <f>INDEX(VarLab,MATCH($A2534,VarKey,0))&amp;INDEX(MemLab,MATCH($C2534&amp;"|"&amp;$B2534,MemKey,0))</f>
        <v/>
      </c>
      <c r="I2534" s="14">
        <f>INDEX(VarUnit,MATCH($A2534,VarKey,0))</f>
        <v/>
      </c>
      <c r="J2534" s="14">
        <f>INDEX(VarSrc,MATCH($A2534,VarKey,0))</f>
        <v/>
      </c>
      <c r="K2534" s="11">
        <f>CodePrefix&amp;$A2534&amp;IF($C2534="","","."&amp;$C2534&amp;"."&amp;$B2534)&amp;INDEX(VarEnd,MATCH($A2534,VarKey,0))&amp;K$5</f>
        <v/>
      </c>
      <c r="L2534" s="43">
        <f>L2498*Settings!$C$13*(L2426+L2444+L2435*L$201+L2453*$D2534)</f>
        <v/>
      </c>
      <c r="M2534" s="44">
        <f>M2498*Settings!$C$13*(M2426+M2444+M2435*M$201+M2453*$D2534)</f>
        <v/>
      </c>
      <c r="N2534" s="44">
        <f>N2498*Settings!$C$13*(N2426+N2444+N2435*N$201+N2453*$D2534)</f>
        <v/>
      </c>
      <c r="O2534" s="44">
        <f>O2498*Settings!$C$13*(O2426+O2444+O2435*O$201+O2453*$D2534)</f>
        <v/>
      </c>
      <c r="P2534" s="44">
        <f>P2498*Settings!$C$13*(P2426+P2444+P2435*P$201+P2453*$D2534)</f>
        <v/>
      </c>
      <c r="Q2534" s="44">
        <f>Q2498*Settings!$C$13*(Q2426+Q2444+Q2435*Q$201+Q2453*$D2534)</f>
        <v/>
      </c>
      <c r="R2534" s="44">
        <f>R2498*Settings!$C$13*(R2426+R2444+R2435*R$201+R2453*$D2534)</f>
        <v/>
      </c>
      <c r="S2534" s="44">
        <f>S2498*Settings!$C$13*(S2426+S2444+S2435*S$201+S2453*$D2534)</f>
        <v/>
      </c>
      <c r="T2534" s="44">
        <f>T2498*Settings!$C$13*(T2426+T2444+T2435*T$201+T2453*$D2534)</f>
        <v/>
      </c>
      <c r="U2534" s="44">
        <f>U2498*Settings!$C$13*(U2426+U2444+U2435*U$201+U2453*$D2534)</f>
        <v/>
      </c>
      <c r="V2534" s="44">
        <f>V2498*Settings!$C$13*(V2426+V2444+V2435*V$201+V2453*$D2534)</f>
        <v/>
      </c>
      <c r="W2534" s="44">
        <f>W2498*Settings!$C$13*(W2426+W2444+W2435*W$201+W2453*$D2534)</f>
        <v/>
      </c>
      <c r="X2534" s="44">
        <f>X2498*Settings!$C$13*(X2426+X2444+X2435*X$201+X2453*$D2534)</f>
        <v/>
      </c>
      <c r="Y2534" s="44">
        <f>Y2498*Settings!$C$13*(Y2426+Y2444+Y2435*Y$201+Y2453*$D2534)</f>
        <v/>
      </c>
      <c r="Z2534" s="44">
        <f>Z2498*Settings!$C$13*(Z2426+Z2444+Z2435*Z$201+Z2453*$D2534)</f>
        <v/>
      </c>
      <c r="AA2534" s="44">
        <f>AA2498*Settings!$C$13*(AA2426+AA2444+AA2435*AA$201+AA2453*$D2534)</f>
        <v/>
      </c>
      <c r="AB2534" s="44">
        <f>AB2498*Settings!$C$13*(AB2426+AB2444+AB2435*AB$201+AB2453*$D2534)</f>
        <v/>
      </c>
      <c r="AC2534" s="44">
        <f>AC2498*Settings!$C$13*(AC2426+AC2444+AC2435*AC$201+AC2453*$D2534)</f>
        <v/>
      </c>
      <c r="AD2534" s="44">
        <f>AD2498*Settings!$C$13*(AD2426+AD2444+AD2435*AD$201+AD2453*$D2534)</f>
        <v/>
      </c>
      <c r="AE2534" s="57">
        <f>REVENUE(AE2498,Settings!$C$13,NEWREVRATE(AE2426,AE2444,AE2435,AE$201,AE2453,$D2534))</f>
        <v/>
      </c>
      <c r="AG2534" s="11">
        <f>CodePrefix&amp;$A2534&amp;IF($C2534="","","."&amp;$C2534&amp;"."&amp;$B2534)&amp;INDEX(VarEnd,MATCH($A2534,VarKey,0))&amp;AG$5</f>
        <v/>
      </c>
      <c r="AH2534" s="43">
        <f>AH2498*Settings!$C$13*(AH2426+AH2444+AH2435*AH$201+AH2453*$D2534)</f>
        <v/>
      </c>
      <c r="AI2534" s="44">
        <f>AI2498*Settings!$C$13*(AI2426+AI2444+AI2435*AI$201+AI2453*$D2534)</f>
        <v/>
      </c>
      <c r="AJ2534" s="44">
        <f>AJ2498*Settings!$C$13*(AJ2426+AJ2444+AJ2435*AJ$201+AJ2453*$D2534)</f>
        <v/>
      </c>
      <c r="AK2534" s="44">
        <f>AK2498*Settings!$C$13*(AK2426+AK2444+AK2435*AK$201+AK2453*$D2534)</f>
        <v/>
      </c>
      <c r="AL2534" s="44">
        <f>AL2498*Settings!$C$13*(AL2426+AL2444+AL2435*AL$201+AL2453*$D2534)</f>
        <v/>
      </c>
      <c r="AM2534" s="44">
        <f>AM2498*Settings!$C$13*(AM2426+AM2444+AM2435*AM$201+AM2453*$D2534)</f>
        <v/>
      </c>
      <c r="AN2534" s="44">
        <f>AN2498*Settings!$C$13*(AN2426+AN2444+AN2435*AN$201+AN2453*$D2534)</f>
        <v/>
      </c>
      <c r="AO2534" s="44">
        <f>AO2498*Settings!$C$13*(AO2426+AO2444+AO2435*AO$201+AO2453*$D2534)</f>
        <v/>
      </c>
      <c r="AP2534" s="44">
        <f>AP2498*Settings!$C$13*(AP2426+AP2444+AP2435*AP$201+AP2453*$D2534)</f>
        <v/>
      </c>
      <c r="AQ2534" s="44">
        <f>AQ2498*Settings!$C$13*(AQ2426+AQ2444+AQ2435*AQ$201+AQ2453*$D2534)</f>
        <v/>
      </c>
      <c r="AR2534" s="44">
        <f>AR2498*Settings!$C$13*(AR2426+AR2444+AR2435*AR$201+AR2453*$D2534)</f>
        <v/>
      </c>
      <c r="AS2534" s="44">
        <f>AS2498*Settings!$C$13*(AS2426+AS2444+AS2435*AS$201+AS2453*$D2534)</f>
        <v/>
      </c>
      <c r="AT2534" s="44">
        <f>AT2498*Settings!$C$13*(AT2426+AT2444+AT2435*AT$201+AT2453*$D2534)</f>
        <v/>
      </c>
      <c r="AU2534" s="44">
        <f>AU2498*Settings!$C$13*(AU2426+AU2444+AU2435*AU$201+AU2453*$D2534)</f>
        <v/>
      </c>
      <c r="AV2534" s="44">
        <f>AV2498*Settings!$C$13*(AV2426+AV2444+AV2435*AV$201+AV2453*$D2534)</f>
        <v/>
      </c>
      <c r="AW2534" s="44">
        <f>AW2498*Settings!$C$13*(AW2426+AW2444+AW2435*AW$201+AW2453*$D2534)</f>
        <v/>
      </c>
      <c r="AX2534" s="44">
        <f>AX2498*Settings!$C$13*(AX2426+AX2444+AX2435*AX$201+AX2453*$D2534)</f>
        <v/>
      </c>
      <c r="AY2534" s="44">
        <f>AY2498*Settings!$C$13*(AY2426+AY2444+AY2435*AY$201+AY2453*$D2534)</f>
        <v/>
      </c>
      <c r="AZ2534" s="44">
        <f>AZ2498*Settings!$C$13*(AZ2426+AZ2444+AZ2435*AZ$201+AZ2453*$D2534)</f>
        <v/>
      </c>
      <c r="BA2534" s="57">
        <f>REVENUE(BA2498,Settings!$C$13,NEWREVRATE(BA2426,BA2444,BA2435,BA$201,BA2453,$D2534))</f>
        <v/>
      </c>
    </row>
    <row r="2535" hidden="1" outlineLevel="2">
      <c r="A2535" s="14" t="inlineStr">
        <is>
          <t>rnew</t>
        </is>
      </c>
      <c r="B2535" s="14" t="inlineStr">
        <is>
          <t>oop</t>
        </is>
      </c>
      <c r="C2535" s="14" t="inlineStr">
        <is>
          <t>cem</t>
        </is>
      </c>
      <c r="D2535" s="35">
        <f>INDEX(Inputs!$V$5:$V$132,MATCH($B2535&amp;"|"&amp;$C2535,Inputs!$A$5:$A$132,0))</f>
        <v/>
      </c>
      <c r="E2535" s="39" t="n"/>
      <c r="F2535" s="39" t="n"/>
      <c r="G2535" s="39" t="n"/>
      <c r="H2535" s="14">
        <f>INDEX(VarLab,MATCH($A2535,VarKey,0))&amp;INDEX(MemLab,MATCH($C2535&amp;"|"&amp;$B2535,MemKey,0))</f>
        <v/>
      </c>
      <c r="I2535" s="14">
        <f>INDEX(VarUnit,MATCH($A2535,VarKey,0))</f>
        <v/>
      </c>
      <c r="J2535" s="14">
        <f>INDEX(VarSrc,MATCH($A2535,VarKey,0))</f>
        <v/>
      </c>
      <c r="K2535" s="11">
        <f>CodePrefix&amp;$A2535&amp;IF($C2535="","","."&amp;$C2535&amp;"."&amp;$B2535)&amp;INDEX(VarEnd,MATCH($A2535,VarKey,0))&amp;K$5</f>
        <v/>
      </c>
      <c r="L2535" s="43">
        <f>L2499*Settings!$C$13*(L2427+L2445+L2436*L$201+L2454*$D2535)</f>
        <v/>
      </c>
      <c r="M2535" s="44">
        <f>M2499*Settings!$C$13*(M2427+M2445+M2436*M$201+M2454*$D2535)</f>
        <v/>
      </c>
      <c r="N2535" s="44">
        <f>N2499*Settings!$C$13*(N2427+N2445+N2436*N$201+N2454*$D2535)</f>
        <v/>
      </c>
      <c r="O2535" s="44">
        <f>O2499*Settings!$C$13*(O2427+O2445+O2436*O$201+O2454*$D2535)</f>
        <v/>
      </c>
      <c r="P2535" s="44">
        <f>P2499*Settings!$C$13*(P2427+P2445+P2436*P$201+P2454*$D2535)</f>
        <v/>
      </c>
      <c r="Q2535" s="44">
        <f>Q2499*Settings!$C$13*(Q2427+Q2445+Q2436*Q$201+Q2454*$D2535)</f>
        <v/>
      </c>
      <c r="R2535" s="44">
        <f>R2499*Settings!$C$13*(R2427+R2445+R2436*R$201+R2454*$D2535)</f>
        <v/>
      </c>
      <c r="S2535" s="44">
        <f>S2499*Settings!$C$13*(S2427+S2445+S2436*S$201+S2454*$D2535)</f>
        <v/>
      </c>
      <c r="T2535" s="44">
        <f>T2499*Settings!$C$13*(T2427+T2445+T2436*T$201+T2454*$D2535)</f>
        <v/>
      </c>
      <c r="U2535" s="44">
        <f>U2499*Settings!$C$13*(U2427+U2445+U2436*U$201+U2454*$D2535)</f>
        <v/>
      </c>
      <c r="V2535" s="44">
        <f>V2499*Settings!$C$13*(V2427+V2445+V2436*V$201+V2454*$D2535)</f>
        <v/>
      </c>
      <c r="W2535" s="44">
        <f>W2499*Settings!$C$13*(W2427+W2445+W2436*W$201+W2454*$D2535)</f>
        <v/>
      </c>
      <c r="X2535" s="44">
        <f>X2499*Settings!$C$13*(X2427+X2445+X2436*X$201+X2454*$D2535)</f>
        <v/>
      </c>
      <c r="Y2535" s="44">
        <f>Y2499*Settings!$C$13*(Y2427+Y2445+Y2436*Y$201+Y2454*$D2535)</f>
        <v/>
      </c>
      <c r="Z2535" s="44">
        <f>Z2499*Settings!$C$13*(Z2427+Z2445+Z2436*Z$201+Z2454*$D2535)</f>
        <v/>
      </c>
      <c r="AA2535" s="44">
        <f>AA2499*Settings!$C$13*(AA2427+AA2445+AA2436*AA$201+AA2454*$D2535)</f>
        <v/>
      </c>
      <c r="AB2535" s="44">
        <f>AB2499*Settings!$C$13*(AB2427+AB2445+AB2436*AB$201+AB2454*$D2535)</f>
        <v/>
      </c>
      <c r="AC2535" s="44">
        <f>AC2499*Settings!$C$13*(AC2427+AC2445+AC2436*AC$201+AC2454*$D2535)</f>
        <v/>
      </c>
      <c r="AD2535" s="44">
        <f>AD2499*Settings!$C$13*(AD2427+AD2445+AD2436*AD$201+AD2454*$D2535)</f>
        <v/>
      </c>
      <c r="AE2535" s="57">
        <f>REVENUE(AE2499,Settings!$C$13,NEWREVRATE(AE2427,AE2445,AE2436,AE$201,AE2454,$D2535))</f>
        <v/>
      </c>
      <c r="AG2535" s="11">
        <f>CodePrefix&amp;$A2535&amp;IF($C2535="","","."&amp;$C2535&amp;"."&amp;$B2535)&amp;INDEX(VarEnd,MATCH($A2535,VarKey,0))&amp;AG$5</f>
        <v/>
      </c>
      <c r="AH2535" s="43">
        <f>AH2499*Settings!$C$13*(AH2427+AH2445+AH2436*AH$201+AH2454*$D2535)</f>
        <v/>
      </c>
      <c r="AI2535" s="44">
        <f>AI2499*Settings!$C$13*(AI2427+AI2445+AI2436*AI$201+AI2454*$D2535)</f>
        <v/>
      </c>
      <c r="AJ2535" s="44">
        <f>AJ2499*Settings!$C$13*(AJ2427+AJ2445+AJ2436*AJ$201+AJ2454*$D2535)</f>
        <v/>
      </c>
      <c r="AK2535" s="44">
        <f>AK2499*Settings!$C$13*(AK2427+AK2445+AK2436*AK$201+AK2454*$D2535)</f>
        <v/>
      </c>
      <c r="AL2535" s="44">
        <f>AL2499*Settings!$C$13*(AL2427+AL2445+AL2436*AL$201+AL2454*$D2535)</f>
        <v/>
      </c>
      <c r="AM2535" s="44">
        <f>AM2499*Settings!$C$13*(AM2427+AM2445+AM2436*AM$201+AM2454*$D2535)</f>
        <v/>
      </c>
      <c r="AN2535" s="44">
        <f>AN2499*Settings!$C$13*(AN2427+AN2445+AN2436*AN$201+AN2454*$D2535)</f>
        <v/>
      </c>
      <c r="AO2535" s="44">
        <f>AO2499*Settings!$C$13*(AO2427+AO2445+AO2436*AO$201+AO2454*$D2535)</f>
        <v/>
      </c>
      <c r="AP2535" s="44">
        <f>AP2499*Settings!$C$13*(AP2427+AP2445+AP2436*AP$201+AP2454*$D2535)</f>
        <v/>
      </c>
      <c r="AQ2535" s="44">
        <f>AQ2499*Settings!$C$13*(AQ2427+AQ2445+AQ2436*AQ$201+AQ2454*$D2535)</f>
        <v/>
      </c>
      <c r="AR2535" s="44">
        <f>AR2499*Settings!$C$13*(AR2427+AR2445+AR2436*AR$201+AR2454*$D2535)</f>
        <v/>
      </c>
      <c r="AS2535" s="44">
        <f>AS2499*Settings!$C$13*(AS2427+AS2445+AS2436*AS$201+AS2454*$D2535)</f>
        <v/>
      </c>
      <c r="AT2535" s="44">
        <f>AT2499*Settings!$C$13*(AT2427+AT2445+AT2436*AT$201+AT2454*$D2535)</f>
        <v/>
      </c>
      <c r="AU2535" s="44">
        <f>AU2499*Settings!$C$13*(AU2427+AU2445+AU2436*AU$201+AU2454*$D2535)</f>
        <v/>
      </c>
      <c r="AV2535" s="44">
        <f>AV2499*Settings!$C$13*(AV2427+AV2445+AV2436*AV$201+AV2454*$D2535)</f>
        <v/>
      </c>
      <c r="AW2535" s="44">
        <f>AW2499*Settings!$C$13*(AW2427+AW2445+AW2436*AW$201+AW2454*$D2535)</f>
        <v/>
      </c>
      <c r="AX2535" s="44">
        <f>AX2499*Settings!$C$13*(AX2427+AX2445+AX2436*AX$201+AX2454*$D2535)</f>
        <v/>
      </c>
      <c r="AY2535" s="44">
        <f>AY2499*Settings!$C$13*(AY2427+AY2445+AY2436*AY$201+AY2454*$D2535)</f>
        <v/>
      </c>
      <c r="AZ2535" s="44">
        <f>AZ2499*Settings!$C$13*(AZ2427+AZ2445+AZ2436*AZ$201+AZ2454*$D2535)</f>
        <v/>
      </c>
      <c r="BA2535" s="57">
        <f>REVENUE(BA2499,Settings!$C$13,NEWREVRATE(BA2427,BA2445,BA2436,BA$201,BA2454,$D2535))</f>
        <v/>
      </c>
    </row>
    <row r="2536" hidden="1" outlineLevel="2">
      <c r="A2536" s="14" t="inlineStr">
        <is>
          <t>rnew</t>
        </is>
      </c>
      <c r="B2536" s="14" t="inlineStr">
        <is>
          <t>bio</t>
        </is>
      </c>
      <c r="C2536" s="14" t="inlineStr">
        <is>
          <t>cem</t>
        </is>
      </c>
      <c r="D2536" s="35">
        <f>INDEX(Inputs!$V$5:$V$132,MATCH($B2536&amp;"|"&amp;$C2536,Inputs!$A$5:$A$132,0))</f>
        <v/>
      </c>
      <c r="E2536" s="39" t="n"/>
      <c r="F2536" s="39" t="n"/>
      <c r="G2536" s="39" t="n"/>
      <c r="H2536" s="14">
        <f>INDEX(VarLab,MATCH($A2536,VarKey,0))&amp;INDEX(MemLab,MATCH($C2536&amp;"|"&amp;$B2536,MemKey,0))</f>
        <v/>
      </c>
      <c r="I2536" s="14">
        <f>INDEX(VarUnit,MATCH($A2536,VarKey,0))</f>
        <v/>
      </c>
      <c r="J2536" s="14">
        <f>INDEX(VarSrc,MATCH($A2536,VarKey,0))</f>
        <v/>
      </c>
      <c r="K2536" s="11">
        <f>CodePrefix&amp;$A2536&amp;IF($C2536="","","."&amp;$C2536&amp;"."&amp;$B2536)&amp;INDEX(VarEnd,MATCH($A2536,VarKey,0))&amp;K$5</f>
        <v/>
      </c>
      <c r="L2536" s="43">
        <f>L2500*Settings!$C$13*(L2428+L2446+L2437*L$201+L2455*$D2536)</f>
        <v/>
      </c>
      <c r="M2536" s="44">
        <f>M2500*Settings!$C$13*(M2428+M2446+M2437*M$201+M2455*$D2536)</f>
        <v/>
      </c>
      <c r="N2536" s="44">
        <f>N2500*Settings!$C$13*(N2428+N2446+N2437*N$201+N2455*$D2536)</f>
        <v/>
      </c>
      <c r="O2536" s="44">
        <f>O2500*Settings!$C$13*(O2428+O2446+O2437*O$201+O2455*$D2536)</f>
        <v/>
      </c>
      <c r="P2536" s="44">
        <f>P2500*Settings!$C$13*(P2428+P2446+P2437*P$201+P2455*$D2536)</f>
        <v/>
      </c>
      <c r="Q2536" s="44">
        <f>Q2500*Settings!$C$13*(Q2428+Q2446+Q2437*Q$201+Q2455*$D2536)</f>
        <v/>
      </c>
      <c r="R2536" s="44">
        <f>R2500*Settings!$C$13*(R2428+R2446+R2437*R$201+R2455*$D2536)</f>
        <v/>
      </c>
      <c r="S2536" s="44">
        <f>S2500*Settings!$C$13*(S2428+S2446+S2437*S$201+S2455*$D2536)</f>
        <v/>
      </c>
      <c r="T2536" s="44">
        <f>T2500*Settings!$C$13*(T2428+T2446+T2437*T$201+T2455*$D2536)</f>
        <v/>
      </c>
      <c r="U2536" s="44">
        <f>U2500*Settings!$C$13*(U2428+U2446+U2437*U$201+U2455*$D2536)</f>
        <v/>
      </c>
      <c r="V2536" s="44">
        <f>V2500*Settings!$C$13*(V2428+V2446+V2437*V$201+V2455*$D2536)</f>
        <v/>
      </c>
      <c r="W2536" s="44">
        <f>W2500*Settings!$C$13*(W2428+W2446+W2437*W$201+W2455*$D2536)</f>
        <v/>
      </c>
      <c r="X2536" s="44">
        <f>X2500*Settings!$C$13*(X2428+X2446+X2437*X$201+X2455*$D2536)</f>
        <v/>
      </c>
      <c r="Y2536" s="44">
        <f>Y2500*Settings!$C$13*(Y2428+Y2446+Y2437*Y$201+Y2455*$D2536)</f>
        <v/>
      </c>
      <c r="Z2536" s="44">
        <f>Z2500*Settings!$C$13*(Z2428+Z2446+Z2437*Z$201+Z2455*$D2536)</f>
        <v/>
      </c>
      <c r="AA2536" s="44">
        <f>AA2500*Settings!$C$13*(AA2428+AA2446+AA2437*AA$201+AA2455*$D2536)</f>
        <v/>
      </c>
      <c r="AB2536" s="44">
        <f>AB2500*Settings!$C$13*(AB2428+AB2446+AB2437*AB$201+AB2455*$D2536)</f>
        <v/>
      </c>
      <c r="AC2536" s="44">
        <f>AC2500*Settings!$C$13*(AC2428+AC2446+AC2437*AC$201+AC2455*$D2536)</f>
        <v/>
      </c>
      <c r="AD2536" s="44">
        <f>AD2500*Settings!$C$13*(AD2428+AD2446+AD2437*AD$201+AD2455*$D2536)</f>
        <v/>
      </c>
      <c r="AE2536" s="57">
        <f>REVENUE(AE2500,Settings!$C$13,NEWREVRATE(AE2428,AE2446,AE2437,AE$201,AE2455,$D2536))</f>
        <v/>
      </c>
      <c r="AG2536" s="11">
        <f>CodePrefix&amp;$A2536&amp;IF($C2536="","","."&amp;$C2536&amp;"."&amp;$B2536)&amp;INDEX(VarEnd,MATCH($A2536,VarKey,0))&amp;AG$5</f>
        <v/>
      </c>
      <c r="AH2536" s="43">
        <f>AH2500*Settings!$C$13*(AH2428+AH2446+AH2437*AH$201+AH2455*$D2536)</f>
        <v/>
      </c>
      <c r="AI2536" s="44">
        <f>AI2500*Settings!$C$13*(AI2428+AI2446+AI2437*AI$201+AI2455*$D2536)</f>
        <v/>
      </c>
      <c r="AJ2536" s="44">
        <f>AJ2500*Settings!$C$13*(AJ2428+AJ2446+AJ2437*AJ$201+AJ2455*$D2536)</f>
        <v/>
      </c>
      <c r="AK2536" s="44">
        <f>AK2500*Settings!$C$13*(AK2428+AK2446+AK2437*AK$201+AK2455*$D2536)</f>
        <v/>
      </c>
      <c r="AL2536" s="44">
        <f>AL2500*Settings!$C$13*(AL2428+AL2446+AL2437*AL$201+AL2455*$D2536)</f>
        <v/>
      </c>
      <c r="AM2536" s="44">
        <f>AM2500*Settings!$C$13*(AM2428+AM2446+AM2437*AM$201+AM2455*$D2536)</f>
        <v/>
      </c>
      <c r="AN2536" s="44">
        <f>AN2500*Settings!$C$13*(AN2428+AN2446+AN2437*AN$201+AN2455*$D2536)</f>
        <v/>
      </c>
      <c r="AO2536" s="44">
        <f>AO2500*Settings!$C$13*(AO2428+AO2446+AO2437*AO$201+AO2455*$D2536)</f>
        <v/>
      </c>
      <c r="AP2536" s="44">
        <f>AP2500*Settings!$C$13*(AP2428+AP2446+AP2437*AP$201+AP2455*$D2536)</f>
        <v/>
      </c>
      <c r="AQ2536" s="44">
        <f>AQ2500*Settings!$C$13*(AQ2428+AQ2446+AQ2437*AQ$201+AQ2455*$D2536)</f>
        <v/>
      </c>
      <c r="AR2536" s="44">
        <f>AR2500*Settings!$C$13*(AR2428+AR2446+AR2437*AR$201+AR2455*$D2536)</f>
        <v/>
      </c>
      <c r="AS2536" s="44">
        <f>AS2500*Settings!$C$13*(AS2428+AS2446+AS2437*AS$201+AS2455*$D2536)</f>
        <v/>
      </c>
      <c r="AT2536" s="44">
        <f>AT2500*Settings!$C$13*(AT2428+AT2446+AT2437*AT$201+AT2455*$D2536)</f>
        <v/>
      </c>
      <c r="AU2536" s="44">
        <f>AU2500*Settings!$C$13*(AU2428+AU2446+AU2437*AU$201+AU2455*$D2536)</f>
        <v/>
      </c>
      <c r="AV2536" s="44">
        <f>AV2500*Settings!$C$13*(AV2428+AV2446+AV2437*AV$201+AV2455*$D2536)</f>
        <v/>
      </c>
      <c r="AW2536" s="44">
        <f>AW2500*Settings!$C$13*(AW2428+AW2446+AW2437*AW$201+AW2455*$D2536)</f>
        <v/>
      </c>
      <c r="AX2536" s="44">
        <f>AX2500*Settings!$C$13*(AX2428+AX2446+AX2437*AX$201+AX2455*$D2536)</f>
        <v/>
      </c>
      <c r="AY2536" s="44">
        <f>AY2500*Settings!$C$13*(AY2428+AY2446+AY2437*AY$201+AY2455*$D2536)</f>
        <v/>
      </c>
      <c r="AZ2536" s="44">
        <f>AZ2500*Settings!$C$13*(AZ2428+AZ2446+AZ2437*AZ$201+AZ2455*$D2536)</f>
        <v/>
      </c>
      <c r="BA2536" s="57">
        <f>REVENUE(BA2500,Settings!$C$13,NEWREVRATE(BA2428,BA2446,BA2437,BA$201,BA2455,$D2536))</f>
        <v/>
      </c>
    </row>
    <row r="2537" hidden="1" outlineLevel="2"/>
    <row r="2538" hidden="1" outlineLevel="2">
      <c r="A2538" s="14" t="inlineStr">
        <is>
          <t>rxcp</t>
        </is>
      </c>
      <c r="B2538" s="14" t="inlineStr">
        <is>
          <t>coa</t>
        </is>
      </c>
      <c r="C2538" s="14" t="inlineStr">
        <is>
          <t>cem</t>
        </is>
      </c>
      <c r="D2538" s="39" t="n"/>
      <c r="E2538" s="39" t="n"/>
      <c r="F2538" s="39" t="n"/>
      <c r="G2538" s="39" t="n"/>
      <c r="H2538" s="14">
        <f>INDEX(VarLab,MATCH($A2538,VarKey,0))&amp;INDEX(MemLab,MATCH($C2538&amp;"|"&amp;$B2538,MemKey,0))</f>
        <v/>
      </c>
      <c r="I2538" s="14">
        <f>INDEX(VarUnit,MATCH($A2538,VarKey,0))</f>
        <v/>
      </c>
      <c r="J2538" s="14">
        <f>INDEX(VarSrc,MATCH($A2538,VarKey,0))</f>
        <v/>
      </c>
      <c r="K2538" s="11">
        <f>CodePrefix&amp;$A2538&amp;IF($C2538="","","."&amp;$C2538&amp;"."&amp;$B2538)&amp;INDEX(VarEnd,MATCH($A2538,VarKey,0))&amp;K$5</f>
        <v/>
      </c>
      <c r="L2538" s="43">
        <f>L2493*Settings!$C$13*(L2457)</f>
        <v/>
      </c>
      <c r="M2538" s="44">
        <f>M2493*Settings!$C$13*(M2457)</f>
        <v/>
      </c>
      <c r="N2538" s="44">
        <f>N2493*Settings!$C$13*(N2457)</f>
        <v/>
      </c>
      <c r="O2538" s="44">
        <f>O2493*Settings!$C$13*(O2457)</f>
        <v/>
      </c>
      <c r="P2538" s="44">
        <f>P2493*Settings!$C$13*(P2457)</f>
        <v/>
      </c>
      <c r="Q2538" s="44">
        <f>Q2493*Settings!$C$13*(Q2457)</f>
        <v/>
      </c>
      <c r="R2538" s="44">
        <f>R2493*Settings!$C$13*(R2457)</f>
        <v/>
      </c>
      <c r="S2538" s="44">
        <f>S2493*Settings!$C$13*(S2457)</f>
        <v/>
      </c>
      <c r="T2538" s="44">
        <f>T2493*Settings!$C$13*(T2457)</f>
        <v/>
      </c>
      <c r="U2538" s="44">
        <f>U2493*Settings!$C$13*(U2457)</f>
        <v/>
      </c>
      <c r="V2538" s="44">
        <f>V2493*Settings!$C$13*(V2457)</f>
        <v/>
      </c>
      <c r="W2538" s="44">
        <f>W2493*Settings!$C$13*(W2457)</f>
        <v/>
      </c>
      <c r="X2538" s="44">
        <f>X2493*Settings!$C$13*(X2457)</f>
        <v/>
      </c>
      <c r="Y2538" s="44">
        <f>Y2493*Settings!$C$13*(Y2457)</f>
        <v/>
      </c>
      <c r="Z2538" s="44">
        <f>Z2493*Settings!$C$13*(Z2457)</f>
        <v/>
      </c>
      <c r="AA2538" s="44">
        <f>AA2493*Settings!$C$13*(AA2457)</f>
        <v/>
      </c>
      <c r="AB2538" s="44">
        <f>AB2493*Settings!$C$13*(AB2457)</f>
        <v/>
      </c>
      <c r="AC2538" s="44">
        <f>AC2493*Settings!$C$13*(AC2457)</f>
        <v/>
      </c>
      <c r="AD2538" s="44">
        <f>AD2493*Settings!$C$13*(AD2457)</f>
        <v/>
      </c>
      <c r="AE2538" s="57">
        <f>REVENUE(AE2493,Settings!$C$13,AE2457)</f>
        <v/>
      </c>
      <c r="AG2538" s="11">
        <f>CodePrefix&amp;$A2538&amp;IF($C2538="","","."&amp;$C2538&amp;"."&amp;$B2538)&amp;INDEX(VarEnd,MATCH($A2538,VarKey,0))&amp;AG$5</f>
        <v/>
      </c>
      <c r="AH2538" s="43">
        <f>AH2493*Settings!$C$13*(AH2457)</f>
        <v/>
      </c>
      <c r="AI2538" s="44">
        <f>AI2493*Settings!$C$13*(AI2457)</f>
        <v/>
      </c>
      <c r="AJ2538" s="44">
        <f>AJ2493*Settings!$C$13*(AJ2457)</f>
        <v/>
      </c>
      <c r="AK2538" s="44">
        <f>AK2493*Settings!$C$13*(AK2457)</f>
        <v/>
      </c>
      <c r="AL2538" s="44">
        <f>AL2493*Settings!$C$13*(AL2457)</f>
        <v/>
      </c>
      <c r="AM2538" s="44">
        <f>AM2493*Settings!$C$13*(AM2457)</f>
        <v/>
      </c>
      <c r="AN2538" s="44">
        <f>AN2493*Settings!$C$13*(AN2457)</f>
        <v/>
      </c>
      <c r="AO2538" s="44">
        <f>AO2493*Settings!$C$13*(AO2457)</f>
        <v/>
      </c>
      <c r="AP2538" s="44">
        <f>AP2493*Settings!$C$13*(AP2457)</f>
        <v/>
      </c>
      <c r="AQ2538" s="44">
        <f>AQ2493*Settings!$C$13*(AQ2457)</f>
        <v/>
      </c>
      <c r="AR2538" s="44">
        <f>AR2493*Settings!$C$13*(AR2457)</f>
        <v/>
      </c>
      <c r="AS2538" s="44">
        <f>AS2493*Settings!$C$13*(AS2457)</f>
        <v/>
      </c>
      <c r="AT2538" s="44">
        <f>AT2493*Settings!$C$13*(AT2457)</f>
        <v/>
      </c>
      <c r="AU2538" s="44">
        <f>AU2493*Settings!$C$13*(AU2457)</f>
        <v/>
      </c>
      <c r="AV2538" s="44">
        <f>AV2493*Settings!$C$13*(AV2457)</f>
        <v/>
      </c>
      <c r="AW2538" s="44">
        <f>AW2493*Settings!$C$13*(AW2457)</f>
        <v/>
      </c>
      <c r="AX2538" s="44">
        <f>AX2493*Settings!$C$13*(AX2457)</f>
        <v/>
      </c>
      <c r="AY2538" s="44">
        <f>AY2493*Settings!$C$13*(AY2457)</f>
        <v/>
      </c>
      <c r="AZ2538" s="44">
        <f>AZ2493*Settings!$C$13*(AZ2457)</f>
        <v/>
      </c>
      <c r="BA2538" s="57">
        <f>REVENUE(BA2493,Settings!$C$13,BA2457)</f>
        <v/>
      </c>
    </row>
    <row r="2539" hidden="1" outlineLevel="2">
      <c r="A2539" s="14" t="inlineStr">
        <is>
          <t>rxcp</t>
        </is>
      </c>
      <c r="B2539" s="14" t="inlineStr">
        <is>
          <t>nga</t>
        </is>
      </c>
      <c r="C2539" s="14" t="inlineStr">
        <is>
          <t>cem</t>
        </is>
      </c>
      <c r="D2539" s="39" t="n"/>
      <c r="E2539" s="39" t="n"/>
      <c r="F2539" s="39" t="n"/>
      <c r="G2539" s="39" t="n"/>
      <c r="H2539" s="14">
        <f>INDEX(VarLab,MATCH($A2539,VarKey,0))&amp;INDEX(MemLab,MATCH($C2539&amp;"|"&amp;$B2539,MemKey,0))</f>
        <v/>
      </c>
      <c r="I2539" s="14">
        <f>INDEX(VarUnit,MATCH($A2539,VarKey,0))</f>
        <v/>
      </c>
      <c r="J2539" s="14">
        <f>INDEX(VarSrc,MATCH($A2539,VarKey,0))</f>
        <v/>
      </c>
      <c r="K2539" s="11">
        <f>CodePrefix&amp;$A2539&amp;IF($C2539="","","."&amp;$C2539&amp;"."&amp;$B2539)&amp;INDEX(VarEnd,MATCH($A2539,VarKey,0))&amp;K$5</f>
        <v/>
      </c>
      <c r="L2539" s="43">
        <f>L2494*Settings!$C$13*(L2458)</f>
        <v/>
      </c>
      <c r="M2539" s="44">
        <f>M2494*Settings!$C$13*(M2458)</f>
        <v/>
      </c>
      <c r="N2539" s="44">
        <f>N2494*Settings!$C$13*(N2458)</f>
        <v/>
      </c>
      <c r="O2539" s="44">
        <f>O2494*Settings!$C$13*(O2458)</f>
        <v/>
      </c>
      <c r="P2539" s="44">
        <f>P2494*Settings!$C$13*(P2458)</f>
        <v/>
      </c>
      <c r="Q2539" s="44">
        <f>Q2494*Settings!$C$13*(Q2458)</f>
        <v/>
      </c>
      <c r="R2539" s="44">
        <f>R2494*Settings!$C$13*(R2458)</f>
        <v/>
      </c>
      <c r="S2539" s="44">
        <f>S2494*Settings!$C$13*(S2458)</f>
        <v/>
      </c>
      <c r="T2539" s="44">
        <f>T2494*Settings!$C$13*(T2458)</f>
        <v/>
      </c>
      <c r="U2539" s="44">
        <f>U2494*Settings!$C$13*(U2458)</f>
        <v/>
      </c>
      <c r="V2539" s="44">
        <f>V2494*Settings!$C$13*(V2458)</f>
        <v/>
      </c>
      <c r="W2539" s="44">
        <f>W2494*Settings!$C$13*(W2458)</f>
        <v/>
      </c>
      <c r="X2539" s="44">
        <f>X2494*Settings!$C$13*(X2458)</f>
        <v/>
      </c>
      <c r="Y2539" s="44">
        <f>Y2494*Settings!$C$13*(Y2458)</f>
        <v/>
      </c>
      <c r="Z2539" s="44">
        <f>Z2494*Settings!$C$13*(Z2458)</f>
        <v/>
      </c>
      <c r="AA2539" s="44">
        <f>AA2494*Settings!$C$13*(AA2458)</f>
        <v/>
      </c>
      <c r="AB2539" s="44">
        <f>AB2494*Settings!$C$13*(AB2458)</f>
        <v/>
      </c>
      <c r="AC2539" s="44">
        <f>AC2494*Settings!$C$13*(AC2458)</f>
        <v/>
      </c>
      <c r="AD2539" s="44">
        <f>AD2494*Settings!$C$13*(AD2458)</f>
        <v/>
      </c>
      <c r="AE2539" s="57">
        <f>REVENUE(AE2494,Settings!$C$13,AE2458)</f>
        <v/>
      </c>
      <c r="AG2539" s="11">
        <f>CodePrefix&amp;$A2539&amp;IF($C2539="","","."&amp;$C2539&amp;"."&amp;$B2539)&amp;INDEX(VarEnd,MATCH($A2539,VarKey,0))&amp;AG$5</f>
        <v/>
      </c>
      <c r="AH2539" s="43">
        <f>AH2494*Settings!$C$13*(AH2458)</f>
        <v/>
      </c>
      <c r="AI2539" s="44">
        <f>AI2494*Settings!$C$13*(AI2458)</f>
        <v/>
      </c>
      <c r="AJ2539" s="44">
        <f>AJ2494*Settings!$C$13*(AJ2458)</f>
        <v/>
      </c>
      <c r="AK2539" s="44">
        <f>AK2494*Settings!$C$13*(AK2458)</f>
        <v/>
      </c>
      <c r="AL2539" s="44">
        <f>AL2494*Settings!$C$13*(AL2458)</f>
        <v/>
      </c>
      <c r="AM2539" s="44">
        <f>AM2494*Settings!$C$13*(AM2458)</f>
        <v/>
      </c>
      <c r="AN2539" s="44">
        <f>AN2494*Settings!$C$13*(AN2458)</f>
        <v/>
      </c>
      <c r="AO2539" s="44">
        <f>AO2494*Settings!$C$13*(AO2458)</f>
        <v/>
      </c>
      <c r="AP2539" s="44">
        <f>AP2494*Settings!$C$13*(AP2458)</f>
        <v/>
      </c>
      <c r="AQ2539" s="44">
        <f>AQ2494*Settings!$C$13*(AQ2458)</f>
        <v/>
      </c>
      <c r="AR2539" s="44">
        <f>AR2494*Settings!$C$13*(AR2458)</f>
        <v/>
      </c>
      <c r="AS2539" s="44">
        <f>AS2494*Settings!$C$13*(AS2458)</f>
        <v/>
      </c>
      <c r="AT2539" s="44">
        <f>AT2494*Settings!$C$13*(AT2458)</f>
        <v/>
      </c>
      <c r="AU2539" s="44">
        <f>AU2494*Settings!$C$13*(AU2458)</f>
        <v/>
      </c>
      <c r="AV2539" s="44">
        <f>AV2494*Settings!$C$13*(AV2458)</f>
        <v/>
      </c>
      <c r="AW2539" s="44">
        <f>AW2494*Settings!$C$13*(AW2458)</f>
        <v/>
      </c>
      <c r="AX2539" s="44">
        <f>AX2494*Settings!$C$13*(AX2458)</f>
        <v/>
      </c>
      <c r="AY2539" s="44">
        <f>AY2494*Settings!$C$13*(AY2458)</f>
        <v/>
      </c>
      <c r="AZ2539" s="44">
        <f>AZ2494*Settings!$C$13*(AZ2458)</f>
        <v/>
      </c>
      <c r="BA2539" s="57">
        <f>REVENUE(BA2494,Settings!$C$13,BA2458)</f>
        <v/>
      </c>
    </row>
    <row r="2540" hidden="1" outlineLevel="2">
      <c r="A2540" s="14" t="inlineStr">
        <is>
          <t>rxcp</t>
        </is>
      </c>
      <c r="B2540" s="14" t="inlineStr">
        <is>
          <t>gso</t>
        </is>
      </c>
      <c r="C2540" s="14" t="inlineStr">
        <is>
          <t>cem</t>
        </is>
      </c>
      <c r="D2540" s="39" t="n"/>
      <c r="E2540" s="39" t="n"/>
      <c r="F2540" s="39" t="n"/>
      <c r="G2540" s="39" t="n"/>
      <c r="H2540" s="14">
        <f>INDEX(VarLab,MATCH($A2540,VarKey,0))&amp;INDEX(MemLab,MATCH($C2540&amp;"|"&amp;$B2540,MemKey,0))</f>
        <v/>
      </c>
      <c r="I2540" s="14">
        <f>INDEX(VarUnit,MATCH($A2540,VarKey,0))</f>
        <v/>
      </c>
      <c r="J2540" s="14">
        <f>INDEX(VarSrc,MATCH($A2540,VarKey,0))</f>
        <v/>
      </c>
      <c r="K2540" s="11">
        <f>CodePrefix&amp;$A2540&amp;IF($C2540="","","."&amp;$C2540&amp;"."&amp;$B2540)&amp;INDEX(VarEnd,MATCH($A2540,VarKey,0))&amp;K$5</f>
        <v/>
      </c>
      <c r="L2540" s="43">
        <f>L2495*Settings!$C$13*(L2459)</f>
        <v/>
      </c>
      <c r="M2540" s="44">
        <f>M2495*Settings!$C$13*(M2459)</f>
        <v/>
      </c>
      <c r="N2540" s="44">
        <f>N2495*Settings!$C$13*(N2459)</f>
        <v/>
      </c>
      <c r="O2540" s="44">
        <f>O2495*Settings!$C$13*(O2459)</f>
        <v/>
      </c>
      <c r="P2540" s="44">
        <f>P2495*Settings!$C$13*(P2459)</f>
        <v/>
      </c>
      <c r="Q2540" s="44">
        <f>Q2495*Settings!$C$13*(Q2459)</f>
        <v/>
      </c>
      <c r="R2540" s="44">
        <f>R2495*Settings!$C$13*(R2459)</f>
        <v/>
      </c>
      <c r="S2540" s="44">
        <f>S2495*Settings!$C$13*(S2459)</f>
        <v/>
      </c>
      <c r="T2540" s="44">
        <f>T2495*Settings!$C$13*(T2459)</f>
        <v/>
      </c>
      <c r="U2540" s="44">
        <f>U2495*Settings!$C$13*(U2459)</f>
        <v/>
      </c>
      <c r="V2540" s="44">
        <f>V2495*Settings!$C$13*(V2459)</f>
        <v/>
      </c>
      <c r="W2540" s="44">
        <f>W2495*Settings!$C$13*(W2459)</f>
        <v/>
      </c>
      <c r="X2540" s="44">
        <f>X2495*Settings!$C$13*(X2459)</f>
        <v/>
      </c>
      <c r="Y2540" s="44">
        <f>Y2495*Settings!$C$13*(Y2459)</f>
        <v/>
      </c>
      <c r="Z2540" s="44">
        <f>Z2495*Settings!$C$13*(Z2459)</f>
        <v/>
      </c>
      <c r="AA2540" s="44">
        <f>AA2495*Settings!$C$13*(AA2459)</f>
        <v/>
      </c>
      <c r="AB2540" s="44">
        <f>AB2495*Settings!$C$13*(AB2459)</f>
        <v/>
      </c>
      <c r="AC2540" s="44">
        <f>AC2495*Settings!$C$13*(AC2459)</f>
        <v/>
      </c>
      <c r="AD2540" s="44">
        <f>AD2495*Settings!$C$13*(AD2459)</f>
        <v/>
      </c>
      <c r="AE2540" s="57">
        <f>REVENUE(AE2495,Settings!$C$13,AE2459)</f>
        <v/>
      </c>
      <c r="AG2540" s="11">
        <f>CodePrefix&amp;$A2540&amp;IF($C2540="","","."&amp;$C2540&amp;"."&amp;$B2540)&amp;INDEX(VarEnd,MATCH($A2540,VarKey,0))&amp;AG$5</f>
        <v/>
      </c>
      <c r="AH2540" s="43">
        <f>AH2495*Settings!$C$13*(AH2459)</f>
        <v/>
      </c>
      <c r="AI2540" s="44">
        <f>AI2495*Settings!$C$13*(AI2459)</f>
        <v/>
      </c>
      <c r="AJ2540" s="44">
        <f>AJ2495*Settings!$C$13*(AJ2459)</f>
        <v/>
      </c>
      <c r="AK2540" s="44">
        <f>AK2495*Settings!$C$13*(AK2459)</f>
        <v/>
      </c>
      <c r="AL2540" s="44">
        <f>AL2495*Settings!$C$13*(AL2459)</f>
        <v/>
      </c>
      <c r="AM2540" s="44">
        <f>AM2495*Settings!$C$13*(AM2459)</f>
        <v/>
      </c>
      <c r="AN2540" s="44">
        <f>AN2495*Settings!$C$13*(AN2459)</f>
        <v/>
      </c>
      <c r="AO2540" s="44">
        <f>AO2495*Settings!$C$13*(AO2459)</f>
        <v/>
      </c>
      <c r="AP2540" s="44">
        <f>AP2495*Settings!$C$13*(AP2459)</f>
        <v/>
      </c>
      <c r="AQ2540" s="44">
        <f>AQ2495*Settings!$C$13*(AQ2459)</f>
        <v/>
      </c>
      <c r="AR2540" s="44">
        <f>AR2495*Settings!$C$13*(AR2459)</f>
        <v/>
      </c>
      <c r="AS2540" s="44">
        <f>AS2495*Settings!$C$13*(AS2459)</f>
        <v/>
      </c>
      <c r="AT2540" s="44">
        <f>AT2495*Settings!$C$13*(AT2459)</f>
        <v/>
      </c>
      <c r="AU2540" s="44">
        <f>AU2495*Settings!$C$13*(AU2459)</f>
        <v/>
      </c>
      <c r="AV2540" s="44">
        <f>AV2495*Settings!$C$13*(AV2459)</f>
        <v/>
      </c>
      <c r="AW2540" s="44">
        <f>AW2495*Settings!$C$13*(AW2459)</f>
        <v/>
      </c>
      <c r="AX2540" s="44">
        <f>AX2495*Settings!$C$13*(AX2459)</f>
        <v/>
      </c>
      <c r="AY2540" s="44">
        <f>AY2495*Settings!$C$13*(AY2459)</f>
        <v/>
      </c>
      <c r="AZ2540" s="44">
        <f>AZ2495*Settings!$C$13*(AZ2459)</f>
        <v/>
      </c>
      <c r="BA2540" s="57">
        <f>REVENUE(BA2495,Settings!$C$13,BA2459)</f>
        <v/>
      </c>
    </row>
    <row r="2541" hidden="1" outlineLevel="2">
      <c r="A2541" s="14" t="inlineStr">
        <is>
          <t>rxcp</t>
        </is>
      </c>
      <c r="B2541" s="14" t="inlineStr">
        <is>
          <t>die</t>
        </is>
      </c>
      <c r="C2541" s="14" t="inlineStr">
        <is>
          <t>cem</t>
        </is>
      </c>
      <c r="D2541" s="39" t="n"/>
      <c r="E2541" s="39" t="n"/>
      <c r="F2541" s="39" t="n"/>
      <c r="G2541" s="39" t="n"/>
      <c r="H2541" s="14">
        <f>INDEX(VarLab,MATCH($A2541,VarKey,0))&amp;INDEX(MemLab,MATCH($C2541&amp;"|"&amp;$B2541,MemKey,0))</f>
        <v/>
      </c>
      <c r="I2541" s="14">
        <f>INDEX(VarUnit,MATCH($A2541,VarKey,0))</f>
        <v/>
      </c>
      <c r="J2541" s="14">
        <f>INDEX(VarSrc,MATCH($A2541,VarKey,0))</f>
        <v/>
      </c>
      <c r="K2541" s="11">
        <f>CodePrefix&amp;$A2541&amp;IF($C2541="","","."&amp;$C2541&amp;"."&amp;$B2541)&amp;INDEX(VarEnd,MATCH($A2541,VarKey,0))&amp;K$5</f>
        <v/>
      </c>
      <c r="L2541" s="43">
        <f>L2496*Settings!$C$13*(L2460)</f>
        <v/>
      </c>
      <c r="M2541" s="44">
        <f>M2496*Settings!$C$13*(M2460)</f>
        <v/>
      </c>
      <c r="N2541" s="44">
        <f>N2496*Settings!$C$13*(N2460)</f>
        <v/>
      </c>
      <c r="O2541" s="44">
        <f>O2496*Settings!$C$13*(O2460)</f>
        <v/>
      </c>
      <c r="P2541" s="44">
        <f>P2496*Settings!$C$13*(P2460)</f>
        <v/>
      </c>
      <c r="Q2541" s="44">
        <f>Q2496*Settings!$C$13*(Q2460)</f>
        <v/>
      </c>
      <c r="R2541" s="44">
        <f>R2496*Settings!$C$13*(R2460)</f>
        <v/>
      </c>
      <c r="S2541" s="44">
        <f>S2496*Settings!$C$13*(S2460)</f>
        <v/>
      </c>
      <c r="T2541" s="44">
        <f>T2496*Settings!$C$13*(T2460)</f>
        <v/>
      </c>
      <c r="U2541" s="44">
        <f>U2496*Settings!$C$13*(U2460)</f>
        <v/>
      </c>
      <c r="V2541" s="44">
        <f>V2496*Settings!$C$13*(V2460)</f>
        <v/>
      </c>
      <c r="W2541" s="44">
        <f>W2496*Settings!$C$13*(W2460)</f>
        <v/>
      </c>
      <c r="X2541" s="44">
        <f>X2496*Settings!$C$13*(X2460)</f>
        <v/>
      </c>
      <c r="Y2541" s="44">
        <f>Y2496*Settings!$C$13*(Y2460)</f>
        <v/>
      </c>
      <c r="Z2541" s="44">
        <f>Z2496*Settings!$C$13*(Z2460)</f>
        <v/>
      </c>
      <c r="AA2541" s="44">
        <f>AA2496*Settings!$C$13*(AA2460)</f>
        <v/>
      </c>
      <c r="AB2541" s="44">
        <f>AB2496*Settings!$C$13*(AB2460)</f>
        <v/>
      </c>
      <c r="AC2541" s="44">
        <f>AC2496*Settings!$C$13*(AC2460)</f>
        <v/>
      </c>
      <c r="AD2541" s="44">
        <f>AD2496*Settings!$C$13*(AD2460)</f>
        <v/>
      </c>
      <c r="AE2541" s="57">
        <f>REVENUE(AE2496,Settings!$C$13,AE2460)</f>
        <v/>
      </c>
      <c r="AG2541" s="11">
        <f>CodePrefix&amp;$A2541&amp;IF($C2541="","","."&amp;$C2541&amp;"."&amp;$B2541)&amp;INDEX(VarEnd,MATCH($A2541,VarKey,0))&amp;AG$5</f>
        <v/>
      </c>
      <c r="AH2541" s="43">
        <f>AH2496*Settings!$C$13*(AH2460)</f>
        <v/>
      </c>
      <c r="AI2541" s="44">
        <f>AI2496*Settings!$C$13*(AI2460)</f>
        <v/>
      </c>
      <c r="AJ2541" s="44">
        <f>AJ2496*Settings!$C$13*(AJ2460)</f>
        <v/>
      </c>
      <c r="AK2541" s="44">
        <f>AK2496*Settings!$C$13*(AK2460)</f>
        <v/>
      </c>
      <c r="AL2541" s="44">
        <f>AL2496*Settings!$C$13*(AL2460)</f>
        <v/>
      </c>
      <c r="AM2541" s="44">
        <f>AM2496*Settings!$C$13*(AM2460)</f>
        <v/>
      </c>
      <c r="AN2541" s="44">
        <f>AN2496*Settings!$C$13*(AN2460)</f>
        <v/>
      </c>
      <c r="AO2541" s="44">
        <f>AO2496*Settings!$C$13*(AO2460)</f>
        <v/>
      </c>
      <c r="AP2541" s="44">
        <f>AP2496*Settings!$C$13*(AP2460)</f>
        <v/>
      </c>
      <c r="AQ2541" s="44">
        <f>AQ2496*Settings!$C$13*(AQ2460)</f>
        <v/>
      </c>
      <c r="AR2541" s="44">
        <f>AR2496*Settings!$C$13*(AR2460)</f>
        <v/>
      </c>
      <c r="AS2541" s="44">
        <f>AS2496*Settings!$C$13*(AS2460)</f>
        <v/>
      </c>
      <c r="AT2541" s="44">
        <f>AT2496*Settings!$C$13*(AT2460)</f>
        <v/>
      </c>
      <c r="AU2541" s="44">
        <f>AU2496*Settings!$C$13*(AU2460)</f>
        <v/>
      </c>
      <c r="AV2541" s="44">
        <f>AV2496*Settings!$C$13*(AV2460)</f>
        <v/>
      </c>
      <c r="AW2541" s="44">
        <f>AW2496*Settings!$C$13*(AW2460)</f>
        <v/>
      </c>
      <c r="AX2541" s="44">
        <f>AX2496*Settings!$C$13*(AX2460)</f>
        <v/>
      </c>
      <c r="AY2541" s="44">
        <f>AY2496*Settings!$C$13*(AY2460)</f>
        <v/>
      </c>
      <c r="AZ2541" s="44">
        <f>AZ2496*Settings!$C$13*(AZ2460)</f>
        <v/>
      </c>
      <c r="BA2541" s="57">
        <f>REVENUE(BA2496,Settings!$C$13,BA2460)</f>
        <v/>
      </c>
    </row>
    <row r="2542" hidden="1" outlineLevel="2">
      <c r="A2542" s="14" t="inlineStr">
        <is>
          <t>rxcp</t>
        </is>
      </c>
      <c r="B2542" s="14" t="inlineStr">
        <is>
          <t>lpg</t>
        </is>
      </c>
      <c r="C2542" s="14" t="inlineStr">
        <is>
          <t>cem</t>
        </is>
      </c>
      <c r="D2542" s="39" t="n"/>
      <c r="E2542" s="39" t="n"/>
      <c r="F2542" s="39" t="n"/>
      <c r="G2542" s="39" t="n"/>
      <c r="H2542" s="14">
        <f>INDEX(VarLab,MATCH($A2542,VarKey,0))&amp;INDEX(MemLab,MATCH($C2542&amp;"|"&amp;$B2542,MemKey,0))</f>
        <v/>
      </c>
      <c r="I2542" s="14">
        <f>INDEX(VarUnit,MATCH($A2542,VarKey,0))</f>
        <v/>
      </c>
      <c r="J2542" s="14">
        <f>INDEX(VarSrc,MATCH($A2542,VarKey,0))</f>
        <v/>
      </c>
      <c r="K2542" s="11">
        <f>CodePrefix&amp;$A2542&amp;IF($C2542="","","."&amp;$C2542&amp;"."&amp;$B2542)&amp;INDEX(VarEnd,MATCH($A2542,VarKey,0))&amp;K$5</f>
        <v/>
      </c>
      <c r="L2542" s="43">
        <f>L2497*Settings!$C$13*(L2461)</f>
        <v/>
      </c>
      <c r="M2542" s="44">
        <f>M2497*Settings!$C$13*(M2461)</f>
        <v/>
      </c>
      <c r="N2542" s="44">
        <f>N2497*Settings!$C$13*(N2461)</f>
        <v/>
      </c>
      <c r="O2542" s="44">
        <f>O2497*Settings!$C$13*(O2461)</f>
        <v/>
      </c>
      <c r="P2542" s="44">
        <f>P2497*Settings!$C$13*(P2461)</f>
        <v/>
      </c>
      <c r="Q2542" s="44">
        <f>Q2497*Settings!$C$13*(Q2461)</f>
        <v/>
      </c>
      <c r="R2542" s="44">
        <f>R2497*Settings!$C$13*(R2461)</f>
        <v/>
      </c>
      <c r="S2542" s="44">
        <f>S2497*Settings!$C$13*(S2461)</f>
        <v/>
      </c>
      <c r="T2542" s="44">
        <f>T2497*Settings!$C$13*(T2461)</f>
        <v/>
      </c>
      <c r="U2542" s="44">
        <f>U2497*Settings!$C$13*(U2461)</f>
        <v/>
      </c>
      <c r="V2542" s="44">
        <f>V2497*Settings!$C$13*(V2461)</f>
        <v/>
      </c>
      <c r="W2542" s="44">
        <f>W2497*Settings!$C$13*(W2461)</f>
        <v/>
      </c>
      <c r="X2542" s="44">
        <f>X2497*Settings!$C$13*(X2461)</f>
        <v/>
      </c>
      <c r="Y2542" s="44">
        <f>Y2497*Settings!$C$13*(Y2461)</f>
        <v/>
      </c>
      <c r="Z2542" s="44">
        <f>Z2497*Settings!$C$13*(Z2461)</f>
        <v/>
      </c>
      <c r="AA2542" s="44">
        <f>AA2497*Settings!$C$13*(AA2461)</f>
        <v/>
      </c>
      <c r="AB2542" s="44">
        <f>AB2497*Settings!$C$13*(AB2461)</f>
        <v/>
      </c>
      <c r="AC2542" s="44">
        <f>AC2497*Settings!$C$13*(AC2461)</f>
        <v/>
      </c>
      <c r="AD2542" s="44">
        <f>AD2497*Settings!$C$13*(AD2461)</f>
        <v/>
      </c>
      <c r="AE2542" s="57">
        <f>REVENUE(AE2497,Settings!$C$13,AE2461)</f>
        <v/>
      </c>
      <c r="AG2542" s="11">
        <f>CodePrefix&amp;$A2542&amp;IF($C2542="","","."&amp;$C2542&amp;"."&amp;$B2542)&amp;INDEX(VarEnd,MATCH($A2542,VarKey,0))&amp;AG$5</f>
        <v/>
      </c>
      <c r="AH2542" s="43">
        <f>AH2497*Settings!$C$13*(AH2461)</f>
        <v/>
      </c>
      <c r="AI2542" s="44">
        <f>AI2497*Settings!$C$13*(AI2461)</f>
        <v/>
      </c>
      <c r="AJ2542" s="44">
        <f>AJ2497*Settings!$C$13*(AJ2461)</f>
        <v/>
      </c>
      <c r="AK2542" s="44">
        <f>AK2497*Settings!$C$13*(AK2461)</f>
        <v/>
      </c>
      <c r="AL2542" s="44">
        <f>AL2497*Settings!$C$13*(AL2461)</f>
        <v/>
      </c>
      <c r="AM2542" s="44">
        <f>AM2497*Settings!$C$13*(AM2461)</f>
        <v/>
      </c>
      <c r="AN2542" s="44">
        <f>AN2497*Settings!$C$13*(AN2461)</f>
        <v/>
      </c>
      <c r="AO2542" s="44">
        <f>AO2497*Settings!$C$13*(AO2461)</f>
        <v/>
      </c>
      <c r="AP2542" s="44">
        <f>AP2497*Settings!$C$13*(AP2461)</f>
        <v/>
      </c>
      <c r="AQ2542" s="44">
        <f>AQ2497*Settings!$C$13*(AQ2461)</f>
        <v/>
      </c>
      <c r="AR2542" s="44">
        <f>AR2497*Settings!$C$13*(AR2461)</f>
        <v/>
      </c>
      <c r="AS2542" s="44">
        <f>AS2497*Settings!$C$13*(AS2461)</f>
        <v/>
      </c>
      <c r="AT2542" s="44">
        <f>AT2497*Settings!$C$13*(AT2461)</f>
        <v/>
      </c>
      <c r="AU2542" s="44">
        <f>AU2497*Settings!$C$13*(AU2461)</f>
        <v/>
      </c>
      <c r="AV2542" s="44">
        <f>AV2497*Settings!$C$13*(AV2461)</f>
        <v/>
      </c>
      <c r="AW2542" s="44">
        <f>AW2497*Settings!$C$13*(AW2461)</f>
        <v/>
      </c>
      <c r="AX2542" s="44">
        <f>AX2497*Settings!$C$13*(AX2461)</f>
        <v/>
      </c>
      <c r="AY2542" s="44">
        <f>AY2497*Settings!$C$13*(AY2461)</f>
        <v/>
      </c>
      <c r="AZ2542" s="44">
        <f>AZ2497*Settings!$C$13*(AZ2461)</f>
        <v/>
      </c>
      <c r="BA2542" s="57">
        <f>REVENUE(BA2497,Settings!$C$13,BA2461)</f>
        <v/>
      </c>
    </row>
    <row r="2543" hidden="1" outlineLevel="2">
      <c r="A2543" s="14" t="inlineStr">
        <is>
          <t>rxcp</t>
        </is>
      </c>
      <c r="B2543" s="14" t="inlineStr">
        <is>
          <t>ker</t>
        </is>
      </c>
      <c r="C2543" s="14" t="inlineStr">
        <is>
          <t>cem</t>
        </is>
      </c>
      <c r="D2543" s="39" t="n"/>
      <c r="E2543" s="39" t="n"/>
      <c r="F2543" s="39" t="n"/>
      <c r="G2543" s="39" t="n"/>
      <c r="H2543" s="14">
        <f>INDEX(VarLab,MATCH($A2543,VarKey,0))&amp;INDEX(MemLab,MATCH($C2543&amp;"|"&amp;$B2543,MemKey,0))</f>
        <v/>
      </c>
      <c r="I2543" s="14">
        <f>INDEX(VarUnit,MATCH($A2543,VarKey,0))</f>
        <v/>
      </c>
      <c r="J2543" s="14">
        <f>INDEX(VarSrc,MATCH($A2543,VarKey,0))</f>
        <v/>
      </c>
      <c r="K2543" s="11">
        <f>CodePrefix&amp;$A2543&amp;IF($C2543="","","."&amp;$C2543&amp;"."&amp;$B2543)&amp;INDEX(VarEnd,MATCH($A2543,VarKey,0))&amp;K$5</f>
        <v/>
      </c>
      <c r="L2543" s="43">
        <f>L2498*Settings!$C$13*(L2462)</f>
        <v/>
      </c>
      <c r="M2543" s="44">
        <f>M2498*Settings!$C$13*(M2462)</f>
        <v/>
      </c>
      <c r="N2543" s="44">
        <f>N2498*Settings!$C$13*(N2462)</f>
        <v/>
      </c>
      <c r="O2543" s="44">
        <f>O2498*Settings!$C$13*(O2462)</f>
        <v/>
      </c>
      <c r="P2543" s="44">
        <f>P2498*Settings!$C$13*(P2462)</f>
        <v/>
      </c>
      <c r="Q2543" s="44">
        <f>Q2498*Settings!$C$13*(Q2462)</f>
        <v/>
      </c>
      <c r="R2543" s="44">
        <f>R2498*Settings!$C$13*(R2462)</f>
        <v/>
      </c>
      <c r="S2543" s="44">
        <f>S2498*Settings!$C$13*(S2462)</f>
        <v/>
      </c>
      <c r="T2543" s="44">
        <f>T2498*Settings!$C$13*(T2462)</f>
        <v/>
      </c>
      <c r="U2543" s="44">
        <f>U2498*Settings!$C$13*(U2462)</f>
        <v/>
      </c>
      <c r="V2543" s="44">
        <f>V2498*Settings!$C$13*(V2462)</f>
        <v/>
      </c>
      <c r="W2543" s="44">
        <f>W2498*Settings!$C$13*(W2462)</f>
        <v/>
      </c>
      <c r="X2543" s="44">
        <f>X2498*Settings!$C$13*(X2462)</f>
        <v/>
      </c>
      <c r="Y2543" s="44">
        <f>Y2498*Settings!$C$13*(Y2462)</f>
        <v/>
      </c>
      <c r="Z2543" s="44">
        <f>Z2498*Settings!$C$13*(Z2462)</f>
        <v/>
      </c>
      <c r="AA2543" s="44">
        <f>AA2498*Settings!$C$13*(AA2462)</f>
        <v/>
      </c>
      <c r="AB2543" s="44">
        <f>AB2498*Settings!$C$13*(AB2462)</f>
        <v/>
      </c>
      <c r="AC2543" s="44">
        <f>AC2498*Settings!$C$13*(AC2462)</f>
        <v/>
      </c>
      <c r="AD2543" s="44">
        <f>AD2498*Settings!$C$13*(AD2462)</f>
        <v/>
      </c>
      <c r="AE2543" s="57">
        <f>REVENUE(AE2498,Settings!$C$13,AE2462)</f>
        <v/>
      </c>
      <c r="AG2543" s="11">
        <f>CodePrefix&amp;$A2543&amp;IF($C2543="","","."&amp;$C2543&amp;"."&amp;$B2543)&amp;INDEX(VarEnd,MATCH($A2543,VarKey,0))&amp;AG$5</f>
        <v/>
      </c>
      <c r="AH2543" s="43">
        <f>AH2498*Settings!$C$13*(AH2462)</f>
        <v/>
      </c>
      <c r="AI2543" s="44">
        <f>AI2498*Settings!$C$13*(AI2462)</f>
        <v/>
      </c>
      <c r="AJ2543" s="44">
        <f>AJ2498*Settings!$C$13*(AJ2462)</f>
        <v/>
      </c>
      <c r="AK2543" s="44">
        <f>AK2498*Settings!$C$13*(AK2462)</f>
        <v/>
      </c>
      <c r="AL2543" s="44">
        <f>AL2498*Settings!$C$13*(AL2462)</f>
        <v/>
      </c>
      <c r="AM2543" s="44">
        <f>AM2498*Settings!$C$13*(AM2462)</f>
        <v/>
      </c>
      <c r="AN2543" s="44">
        <f>AN2498*Settings!$C$13*(AN2462)</f>
        <v/>
      </c>
      <c r="AO2543" s="44">
        <f>AO2498*Settings!$C$13*(AO2462)</f>
        <v/>
      </c>
      <c r="AP2543" s="44">
        <f>AP2498*Settings!$C$13*(AP2462)</f>
        <v/>
      </c>
      <c r="AQ2543" s="44">
        <f>AQ2498*Settings!$C$13*(AQ2462)</f>
        <v/>
      </c>
      <c r="AR2543" s="44">
        <f>AR2498*Settings!$C$13*(AR2462)</f>
        <v/>
      </c>
      <c r="AS2543" s="44">
        <f>AS2498*Settings!$C$13*(AS2462)</f>
        <v/>
      </c>
      <c r="AT2543" s="44">
        <f>AT2498*Settings!$C$13*(AT2462)</f>
        <v/>
      </c>
      <c r="AU2543" s="44">
        <f>AU2498*Settings!$C$13*(AU2462)</f>
        <v/>
      </c>
      <c r="AV2543" s="44">
        <f>AV2498*Settings!$C$13*(AV2462)</f>
        <v/>
      </c>
      <c r="AW2543" s="44">
        <f>AW2498*Settings!$C$13*(AW2462)</f>
        <v/>
      </c>
      <c r="AX2543" s="44">
        <f>AX2498*Settings!$C$13*(AX2462)</f>
        <v/>
      </c>
      <c r="AY2543" s="44">
        <f>AY2498*Settings!$C$13*(AY2462)</f>
        <v/>
      </c>
      <c r="AZ2543" s="44">
        <f>AZ2498*Settings!$C$13*(AZ2462)</f>
        <v/>
      </c>
      <c r="BA2543" s="57">
        <f>REVENUE(BA2498,Settings!$C$13,BA2462)</f>
        <v/>
      </c>
    </row>
    <row r="2544" hidden="1" outlineLevel="2">
      <c r="A2544" s="14" t="inlineStr">
        <is>
          <t>rxcp</t>
        </is>
      </c>
      <c r="B2544" s="14" t="inlineStr">
        <is>
          <t>oop</t>
        </is>
      </c>
      <c r="C2544" s="14" t="inlineStr">
        <is>
          <t>cem</t>
        </is>
      </c>
      <c r="D2544" s="39" t="n"/>
      <c r="E2544" s="39" t="n"/>
      <c r="F2544" s="39" t="n"/>
      <c r="G2544" s="39" t="n"/>
      <c r="H2544" s="14">
        <f>INDEX(VarLab,MATCH($A2544,VarKey,0))&amp;INDEX(MemLab,MATCH($C2544&amp;"|"&amp;$B2544,MemKey,0))</f>
        <v/>
      </c>
      <c r="I2544" s="14">
        <f>INDEX(VarUnit,MATCH($A2544,VarKey,0))</f>
        <v/>
      </c>
      <c r="J2544" s="14">
        <f>INDEX(VarSrc,MATCH($A2544,VarKey,0))</f>
        <v/>
      </c>
      <c r="K2544" s="11">
        <f>CodePrefix&amp;$A2544&amp;IF($C2544="","","."&amp;$C2544&amp;"."&amp;$B2544)&amp;INDEX(VarEnd,MATCH($A2544,VarKey,0))&amp;K$5</f>
        <v/>
      </c>
      <c r="L2544" s="43">
        <f>L2499*Settings!$C$13*(L2463)</f>
        <v/>
      </c>
      <c r="M2544" s="44">
        <f>M2499*Settings!$C$13*(M2463)</f>
        <v/>
      </c>
      <c r="N2544" s="44">
        <f>N2499*Settings!$C$13*(N2463)</f>
        <v/>
      </c>
      <c r="O2544" s="44">
        <f>O2499*Settings!$C$13*(O2463)</f>
        <v/>
      </c>
      <c r="P2544" s="44">
        <f>P2499*Settings!$C$13*(P2463)</f>
        <v/>
      </c>
      <c r="Q2544" s="44">
        <f>Q2499*Settings!$C$13*(Q2463)</f>
        <v/>
      </c>
      <c r="R2544" s="44">
        <f>R2499*Settings!$C$13*(R2463)</f>
        <v/>
      </c>
      <c r="S2544" s="44">
        <f>S2499*Settings!$C$13*(S2463)</f>
        <v/>
      </c>
      <c r="T2544" s="44">
        <f>T2499*Settings!$C$13*(T2463)</f>
        <v/>
      </c>
      <c r="U2544" s="44">
        <f>U2499*Settings!$C$13*(U2463)</f>
        <v/>
      </c>
      <c r="V2544" s="44">
        <f>V2499*Settings!$C$13*(V2463)</f>
        <v/>
      </c>
      <c r="W2544" s="44">
        <f>W2499*Settings!$C$13*(W2463)</f>
        <v/>
      </c>
      <c r="X2544" s="44">
        <f>X2499*Settings!$C$13*(X2463)</f>
        <v/>
      </c>
      <c r="Y2544" s="44">
        <f>Y2499*Settings!$C$13*(Y2463)</f>
        <v/>
      </c>
      <c r="Z2544" s="44">
        <f>Z2499*Settings!$C$13*(Z2463)</f>
        <v/>
      </c>
      <c r="AA2544" s="44">
        <f>AA2499*Settings!$C$13*(AA2463)</f>
        <v/>
      </c>
      <c r="AB2544" s="44">
        <f>AB2499*Settings!$C$13*(AB2463)</f>
        <v/>
      </c>
      <c r="AC2544" s="44">
        <f>AC2499*Settings!$C$13*(AC2463)</f>
        <v/>
      </c>
      <c r="AD2544" s="44">
        <f>AD2499*Settings!$C$13*(AD2463)</f>
        <v/>
      </c>
      <c r="AE2544" s="57">
        <f>REVENUE(AE2499,Settings!$C$13,AE2463)</f>
        <v/>
      </c>
      <c r="AG2544" s="11">
        <f>CodePrefix&amp;$A2544&amp;IF($C2544="","","."&amp;$C2544&amp;"."&amp;$B2544)&amp;INDEX(VarEnd,MATCH($A2544,VarKey,0))&amp;AG$5</f>
        <v/>
      </c>
      <c r="AH2544" s="43">
        <f>AH2499*Settings!$C$13*(AH2463)</f>
        <v/>
      </c>
      <c r="AI2544" s="44">
        <f>AI2499*Settings!$C$13*(AI2463)</f>
        <v/>
      </c>
      <c r="AJ2544" s="44">
        <f>AJ2499*Settings!$C$13*(AJ2463)</f>
        <v/>
      </c>
      <c r="AK2544" s="44">
        <f>AK2499*Settings!$C$13*(AK2463)</f>
        <v/>
      </c>
      <c r="AL2544" s="44">
        <f>AL2499*Settings!$C$13*(AL2463)</f>
        <v/>
      </c>
      <c r="AM2544" s="44">
        <f>AM2499*Settings!$C$13*(AM2463)</f>
        <v/>
      </c>
      <c r="AN2544" s="44">
        <f>AN2499*Settings!$C$13*(AN2463)</f>
        <v/>
      </c>
      <c r="AO2544" s="44">
        <f>AO2499*Settings!$C$13*(AO2463)</f>
        <v/>
      </c>
      <c r="AP2544" s="44">
        <f>AP2499*Settings!$C$13*(AP2463)</f>
        <v/>
      </c>
      <c r="AQ2544" s="44">
        <f>AQ2499*Settings!$C$13*(AQ2463)</f>
        <v/>
      </c>
      <c r="AR2544" s="44">
        <f>AR2499*Settings!$C$13*(AR2463)</f>
        <v/>
      </c>
      <c r="AS2544" s="44">
        <f>AS2499*Settings!$C$13*(AS2463)</f>
        <v/>
      </c>
      <c r="AT2544" s="44">
        <f>AT2499*Settings!$C$13*(AT2463)</f>
        <v/>
      </c>
      <c r="AU2544" s="44">
        <f>AU2499*Settings!$C$13*(AU2463)</f>
        <v/>
      </c>
      <c r="AV2544" s="44">
        <f>AV2499*Settings!$C$13*(AV2463)</f>
        <v/>
      </c>
      <c r="AW2544" s="44">
        <f>AW2499*Settings!$C$13*(AW2463)</f>
        <v/>
      </c>
      <c r="AX2544" s="44">
        <f>AX2499*Settings!$C$13*(AX2463)</f>
        <v/>
      </c>
      <c r="AY2544" s="44">
        <f>AY2499*Settings!$C$13*(AY2463)</f>
        <v/>
      </c>
      <c r="AZ2544" s="44">
        <f>AZ2499*Settings!$C$13*(AZ2463)</f>
        <v/>
      </c>
      <c r="BA2544" s="57">
        <f>REVENUE(BA2499,Settings!$C$13,BA2463)</f>
        <v/>
      </c>
    </row>
    <row r="2545" hidden="1" outlineLevel="2">
      <c r="A2545" s="14" t="inlineStr">
        <is>
          <t>rxcp</t>
        </is>
      </c>
      <c r="B2545" s="14" t="inlineStr">
        <is>
          <t>bio</t>
        </is>
      </c>
      <c r="C2545" s="14" t="inlineStr">
        <is>
          <t>cem</t>
        </is>
      </c>
      <c r="D2545" s="39" t="n"/>
      <c r="E2545" s="39" t="n"/>
      <c r="F2545" s="39" t="n"/>
      <c r="G2545" s="39" t="n"/>
      <c r="H2545" s="14">
        <f>INDEX(VarLab,MATCH($A2545,VarKey,0))&amp;INDEX(MemLab,MATCH($C2545&amp;"|"&amp;$B2545,MemKey,0))</f>
        <v/>
      </c>
      <c r="I2545" s="14">
        <f>INDEX(VarUnit,MATCH($A2545,VarKey,0))</f>
        <v/>
      </c>
      <c r="J2545" s="14">
        <f>INDEX(VarSrc,MATCH($A2545,VarKey,0))</f>
        <v/>
      </c>
      <c r="K2545" s="11">
        <f>CodePrefix&amp;$A2545&amp;IF($C2545="","","."&amp;$C2545&amp;"."&amp;$B2545)&amp;INDEX(VarEnd,MATCH($A2545,VarKey,0))&amp;K$5</f>
        <v/>
      </c>
      <c r="L2545" s="43">
        <f>L2500*Settings!$C$13*(L2464)</f>
        <v/>
      </c>
      <c r="M2545" s="44">
        <f>M2500*Settings!$C$13*(M2464)</f>
        <v/>
      </c>
      <c r="N2545" s="44">
        <f>N2500*Settings!$C$13*(N2464)</f>
        <v/>
      </c>
      <c r="O2545" s="44">
        <f>O2500*Settings!$C$13*(O2464)</f>
        <v/>
      </c>
      <c r="P2545" s="44">
        <f>P2500*Settings!$C$13*(P2464)</f>
        <v/>
      </c>
      <c r="Q2545" s="44">
        <f>Q2500*Settings!$C$13*(Q2464)</f>
        <v/>
      </c>
      <c r="R2545" s="44">
        <f>R2500*Settings!$C$13*(R2464)</f>
        <v/>
      </c>
      <c r="S2545" s="44">
        <f>S2500*Settings!$C$13*(S2464)</f>
        <v/>
      </c>
      <c r="T2545" s="44">
        <f>T2500*Settings!$C$13*(T2464)</f>
        <v/>
      </c>
      <c r="U2545" s="44">
        <f>U2500*Settings!$C$13*(U2464)</f>
        <v/>
      </c>
      <c r="V2545" s="44">
        <f>V2500*Settings!$C$13*(V2464)</f>
        <v/>
      </c>
      <c r="W2545" s="44">
        <f>W2500*Settings!$C$13*(W2464)</f>
        <v/>
      </c>
      <c r="X2545" s="44">
        <f>X2500*Settings!$C$13*(X2464)</f>
        <v/>
      </c>
      <c r="Y2545" s="44">
        <f>Y2500*Settings!$C$13*(Y2464)</f>
        <v/>
      </c>
      <c r="Z2545" s="44">
        <f>Z2500*Settings!$C$13*(Z2464)</f>
        <v/>
      </c>
      <c r="AA2545" s="44">
        <f>AA2500*Settings!$C$13*(AA2464)</f>
        <v/>
      </c>
      <c r="AB2545" s="44">
        <f>AB2500*Settings!$C$13*(AB2464)</f>
        <v/>
      </c>
      <c r="AC2545" s="44">
        <f>AC2500*Settings!$C$13*(AC2464)</f>
        <v/>
      </c>
      <c r="AD2545" s="44">
        <f>AD2500*Settings!$C$13*(AD2464)</f>
        <v/>
      </c>
      <c r="AE2545" s="57">
        <f>REVENUE(AE2500,Settings!$C$13,AE2464)</f>
        <v/>
      </c>
      <c r="AG2545" s="11">
        <f>CodePrefix&amp;$A2545&amp;IF($C2545="","","."&amp;$C2545&amp;"."&amp;$B2545)&amp;INDEX(VarEnd,MATCH($A2545,VarKey,0))&amp;AG$5</f>
        <v/>
      </c>
      <c r="AH2545" s="43">
        <f>AH2500*Settings!$C$13*(AH2464)</f>
        <v/>
      </c>
      <c r="AI2545" s="44">
        <f>AI2500*Settings!$C$13*(AI2464)</f>
        <v/>
      </c>
      <c r="AJ2545" s="44">
        <f>AJ2500*Settings!$C$13*(AJ2464)</f>
        <v/>
      </c>
      <c r="AK2545" s="44">
        <f>AK2500*Settings!$C$13*(AK2464)</f>
        <v/>
      </c>
      <c r="AL2545" s="44">
        <f>AL2500*Settings!$C$13*(AL2464)</f>
        <v/>
      </c>
      <c r="AM2545" s="44">
        <f>AM2500*Settings!$C$13*(AM2464)</f>
        <v/>
      </c>
      <c r="AN2545" s="44">
        <f>AN2500*Settings!$C$13*(AN2464)</f>
        <v/>
      </c>
      <c r="AO2545" s="44">
        <f>AO2500*Settings!$C$13*(AO2464)</f>
        <v/>
      </c>
      <c r="AP2545" s="44">
        <f>AP2500*Settings!$C$13*(AP2464)</f>
        <v/>
      </c>
      <c r="AQ2545" s="44">
        <f>AQ2500*Settings!$C$13*(AQ2464)</f>
        <v/>
      </c>
      <c r="AR2545" s="44">
        <f>AR2500*Settings!$C$13*(AR2464)</f>
        <v/>
      </c>
      <c r="AS2545" s="44">
        <f>AS2500*Settings!$C$13*(AS2464)</f>
        <v/>
      </c>
      <c r="AT2545" s="44">
        <f>AT2500*Settings!$C$13*(AT2464)</f>
        <v/>
      </c>
      <c r="AU2545" s="44">
        <f>AU2500*Settings!$C$13*(AU2464)</f>
        <v/>
      </c>
      <c r="AV2545" s="44">
        <f>AV2500*Settings!$C$13*(AV2464)</f>
        <v/>
      </c>
      <c r="AW2545" s="44">
        <f>AW2500*Settings!$C$13*(AW2464)</f>
        <v/>
      </c>
      <c r="AX2545" s="44">
        <f>AX2500*Settings!$C$13*(AX2464)</f>
        <v/>
      </c>
      <c r="AY2545" s="44">
        <f>AY2500*Settings!$C$13*(AY2464)</f>
        <v/>
      </c>
      <c r="AZ2545" s="44">
        <f>AZ2500*Settings!$C$13*(AZ2464)</f>
        <v/>
      </c>
      <c r="BA2545" s="57">
        <f>REVENUE(BA2500,Settings!$C$13,BA2464)</f>
        <v/>
      </c>
    </row>
    <row r="2546" hidden="1" outlineLevel="2"/>
    <row r="2547" hidden="1" outlineLevel="1" collapsed="1">
      <c r="A2547" s="1" t="inlineStr">
        <is>
          <t>ener</t>
        </is>
      </c>
      <c r="B2547" s="1" t="inlineStr">
        <is>
          <t>all</t>
        </is>
      </c>
      <c r="C2547" s="1" t="inlineStr">
        <is>
          <t>omn</t>
        </is>
      </c>
      <c r="H2547" s="1">
        <f>INDEX(VarLab,MATCH($A2547,VarKey,0))&amp;INDEX(MemLab,MATCH($C2547&amp;"|"&amp;$B2547,MemKey,0))</f>
        <v/>
      </c>
      <c r="I2547" s="1">
        <f>INDEX(VarUnit,MATCH($A2547,VarKey,0))</f>
        <v/>
      </c>
      <c r="J2547" s="1">
        <f>INDEX(VarSrc,MATCH($A2547,VarKey,0))</f>
        <v/>
      </c>
      <c r="K2547" s="17">
        <f>CodePrefix&amp;$A2547&amp;IF($C2547="","","."&amp;$C2547&amp;"."&amp;$B2547)&amp;INDEX(VarEnd,MATCH($A2547,VarKey,0))&amp;K$5</f>
        <v/>
      </c>
      <c r="L2547" s="68">
        <f>SUM(L2621:L2628)</f>
        <v/>
      </c>
      <c r="M2547" s="69">
        <f>SUM(M2621:M2628)</f>
        <v/>
      </c>
      <c r="N2547" s="69">
        <f>SUM(N2621:N2628)</f>
        <v/>
      </c>
      <c r="O2547" s="69">
        <f>SUM(O2621:O2628)</f>
        <v/>
      </c>
      <c r="P2547" s="69">
        <f>SUM(P2621:P2628)</f>
        <v/>
      </c>
      <c r="Q2547" s="69">
        <f>SUM(Q2621:Q2628)</f>
        <v/>
      </c>
      <c r="R2547" s="69">
        <f>SUM(R2621:R2628)</f>
        <v/>
      </c>
      <c r="S2547" s="69">
        <f>SUM(S2621:S2628)</f>
        <v/>
      </c>
      <c r="T2547" s="69">
        <f>SUM(T2621:T2628)</f>
        <v/>
      </c>
      <c r="U2547" s="69">
        <f>SUM(U2621:U2628)</f>
        <v/>
      </c>
      <c r="V2547" s="69">
        <f>SUM(V2621:V2628)</f>
        <v/>
      </c>
      <c r="W2547" s="69">
        <f>SUM(W2621:W2628)</f>
        <v/>
      </c>
      <c r="X2547" s="69">
        <f>SUM(X2621:X2628)</f>
        <v/>
      </c>
      <c r="Y2547" s="69">
        <f>SUM(Y2621:Y2628)</f>
        <v/>
      </c>
      <c r="Z2547" s="69">
        <f>SUM(Z2621:Z2628)</f>
        <v/>
      </c>
      <c r="AA2547" s="69">
        <f>SUM(AA2621:AA2628)</f>
        <v/>
      </c>
      <c r="AB2547" s="69">
        <f>SUM(AB2621:AB2628)</f>
        <v/>
      </c>
      <c r="AC2547" s="69">
        <f>SUM(AC2621:AC2628)</f>
        <v/>
      </c>
      <c r="AD2547" s="69">
        <f>SUM(AD2621:AD2628)</f>
        <v/>
      </c>
      <c r="AE2547" s="69">
        <f>SUM(AE2621:AE2628)</f>
        <v/>
      </c>
      <c r="AG2547" s="17">
        <f>CodePrefix&amp;$A2547&amp;IF($C2547="","","."&amp;$C2547&amp;"."&amp;$B2547)&amp;INDEX(VarEnd,MATCH($A2547,VarKey,0))&amp;AG$5</f>
        <v/>
      </c>
      <c r="AH2547" s="68">
        <f>SUM(AH2621:AH2628)</f>
        <v/>
      </c>
      <c r="AI2547" s="69">
        <f>SUM(AI2621:AI2628)</f>
        <v/>
      </c>
      <c r="AJ2547" s="69">
        <f>SUM(AJ2621:AJ2628)</f>
        <v/>
      </c>
      <c r="AK2547" s="69">
        <f>SUM(AK2621:AK2628)</f>
        <v/>
      </c>
      <c r="AL2547" s="69">
        <f>SUM(AL2621:AL2628)</f>
        <v/>
      </c>
      <c r="AM2547" s="69">
        <f>SUM(AM2621:AM2628)</f>
        <v/>
      </c>
      <c r="AN2547" s="69">
        <f>SUM(AN2621:AN2628)</f>
        <v/>
      </c>
      <c r="AO2547" s="69">
        <f>SUM(AO2621:AO2628)</f>
        <v/>
      </c>
      <c r="AP2547" s="69">
        <f>SUM(AP2621:AP2628)</f>
        <v/>
      </c>
      <c r="AQ2547" s="69">
        <f>SUM(AQ2621:AQ2628)</f>
        <v/>
      </c>
      <c r="AR2547" s="69">
        <f>SUM(AR2621:AR2628)</f>
        <v/>
      </c>
      <c r="AS2547" s="69">
        <f>SUM(AS2621:AS2628)</f>
        <v/>
      </c>
      <c r="AT2547" s="69">
        <f>SUM(AT2621:AT2628)</f>
        <v/>
      </c>
      <c r="AU2547" s="69">
        <f>SUM(AU2621:AU2628)</f>
        <v/>
      </c>
      <c r="AV2547" s="69">
        <f>SUM(AV2621:AV2628)</f>
        <v/>
      </c>
      <c r="AW2547" s="69">
        <f>SUM(AW2621:AW2628)</f>
        <v/>
      </c>
      <c r="AX2547" s="69">
        <f>SUM(AX2621:AX2628)</f>
        <v/>
      </c>
      <c r="AY2547" s="69">
        <f>SUM(AY2621:AY2628)</f>
        <v/>
      </c>
      <c r="AZ2547" s="69">
        <f>SUM(AZ2621:AZ2628)</f>
        <v/>
      </c>
      <c r="BA2547" s="69">
        <f>SUM(BA2621:BA2628)</f>
        <v/>
      </c>
    </row>
    <row r="2548" hidden="1" outlineLevel="1">
      <c r="A2548" s="67" t="inlineStr">
        <is>
          <t>eldem</t>
        </is>
      </c>
      <c r="B2548" s="67" t="inlineStr">
        <is>
          <t>ecy</t>
        </is>
      </c>
      <c r="C2548" s="67" t="inlineStr">
        <is>
          <t>omn</t>
        </is>
      </c>
      <c r="H2548" s="67">
        <f>INDEX(VarLab,MATCH($A2548,VarKey,0))&amp;INDEX(MemLab,MATCH($C2548&amp;"|"&amp;$B2548,MemKey,0))</f>
        <v/>
      </c>
      <c r="I2548" s="67">
        <f>INDEX(VarUnit,MATCH($A2548,VarKey,0))</f>
        <v/>
      </c>
      <c r="J2548" s="67">
        <f>INDEX(VarSrc,MATCH($A2548,VarKey,0))</f>
        <v/>
      </c>
      <c r="K2548" s="70">
        <f>CodePrefix&amp;$A2548&amp;IF($C2548="","","."&amp;$C2548&amp;"."&amp;$B2548)&amp;INDEX(VarEnd,MATCH($A2548,VarKey,0))&amp;K$5</f>
        <v/>
      </c>
      <c r="L2548" s="71">
        <f>SUMIF($C$674:$C$688,$C2548,L$674:L$688)</f>
        <v/>
      </c>
      <c r="M2548" s="72">
        <f>SUMIF($C$674:$C$688,$C2548,M$674:M$688)</f>
        <v/>
      </c>
      <c r="N2548" s="72">
        <f>SUMIF($C$674:$C$688,$C2548,N$674:N$688)</f>
        <v/>
      </c>
      <c r="O2548" s="72">
        <f>SUMIF($C$674:$C$688,$C2548,O$674:O$688)</f>
        <v/>
      </c>
      <c r="P2548" s="72">
        <f>SUMIF($C$674:$C$688,$C2548,P$674:P$688)</f>
        <v/>
      </c>
      <c r="Q2548" s="72">
        <f>SUMIF($C$674:$C$688,$C2548,Q$674:Q$688)</f>
        <v/>
      </c>
      <c r="R2548" s="72">
        <f>SUMIF($C$674:$C$688,$C2548,R$674:R$688)</f>
        <v/>
      </c>
      <c r="S2548" s="72">
        <f>SUMIF($C$674:$C$688,$C2548,S$674:S$688)</f>
        <v/>
      </c>
      <c r="T2548" s="72">
        <f>SUMIF($C$674:$C$688,$C2548,T$674:T$688)</f>
        <v/>
      </c>
      <c r="U2548" s="72">
        <f>SUMIF($C$674:$C$688,$C2548,U$674:U$688)</f>
        <v/>
      </c>
      <c r="V2548" s="72">
        <f>SUMIF($C$674:$C$688,$C2548,V$674:V$688)</f>
        <v/>
      </c>
      <c r="W2548" s="72">
        <f>SUMIF($C$674:$C$688,$C2548,W$674:W$688)</f>
        <v/>
      </c>
      <c r="X2548" s="72">
        <f>SUMIF($C$674:$C$688,$C2548,X$674:X$688)</f>
        <v/>
      </c>
      <c r="Y2548" s="72">
        <f>SUMIF($C$674:$C$688,$C2548,Y$674:Y$688)</f>
        <v/>
      </c>
      <c r="Z2548" s="72">
        <f>SUMIF($C$674:$C$688,$C2548,Z$674:Z$688)</f>
        <v/>
      </c>
      <c r="AA2548" s="72">
        <f>SUMIF($C$674:$C$688,$C2548,AA$674:AA$688)</f>
        <v/>
      </c>
      <c r="AB2548" s="72">
        <f>SUMIF($C$674:$C$688,$C2548,AB$674:AB$688)</f>
        <v/>
      </c>
      <c r="AC2548" s="72">
        <f>SUMIF($C$674:$C$688,$C2548,AC$674:AC$688)</f>
        <v/>
      </c>
      <c r="AD2548" s="72">
        <f>SUMIF($C$674:$C$688,$C2548,AD$674:AD$688)</f>
        <v/>
      </c>
      <c r="AE2548" s="72">
        <f>SUMIF($C$674:$C$688,$C2548,AE$674:AE$688)</f>
        <v/>
      </c>
      <c r="AG2548" s="70">
        <f>CodePrefix&amp;$A2548&amp;IF($C2548="","","."&amp;$C2548&amp;"."&amp;$B2548)&amp;INDEX(VarEnd,MATCH($A2548,VarKey,0))&amp;AG$5</f>
        <v/>
      </c>
      <c r="AH2548" s="71">
        <f>SUMIF($C$674:$C$688,$C2548,AH$674:AH$688)</f>
        <v/>
      </c>
      <c r="AI2548" s="72">
        <f>SUMIF($C$674:$C$688,$C2548,AI$674:AI$688)</f>
        <v/>
      </c>
      <c r="AJ2548" s="72">
        <f>SUMIF($C$674:$C$688,$C2548,AJ$674:AJ$688)</f>
        <v/>
      </c>
      <c r="AK2548" s="72">
        <f>SUMIF($C$674:$C$688,$C2548,AK$674:AK$688)</f>
        <v/>
      </c>
      <c r="AL2548" s="72">
        <f>SUMIF($C$674:$C$688,$C2548,AL$674:AL$688)</f>
        <v/>
      </c>
      <c r="AM2548" s="72">
        <f>SUMIF($C$674:$C$688,$C2548,AM$674:AM$688)</f>
        <v/>
      </c>
      <c r="AN2548" s="72">
        <f>SUMIF($C$674:$C$688,$C2548,AN$674:AN$688)</f>
        <v/>
      </c>
      <c r="AO2548" s="72">
        <f>SUMIF($C$674:$C$688,$C2548,AO$674:AO$688)</f>
        <v/>
      </c>
      <c r="AP2548" s="72">
        <f>SUMIF($C$674:$C$688,$C2548,AP$674:AP$688)</f>
        <v/>
      </c>
      <c r="AQ2548" s="72">
        <f>SUMIF($C$674:$C$688,$C2548,AQ$674:AQ$688)</f>
        <v/>
      </c>
      <c r="AR2548" s="72">
        <f>SUMIF($C$674:$C$688,$C2548,AR$674:AR$688)</f>
        <v/>
      </c>
      <c r="AS2548" s="72">
        <f>SUMIF($C$674:$C$688,$C2548,AS$674:AS$688)</f>
        <v/>
      </c>
      <c r="AT2548" s="72">
        <f>SUMIF($C$674:$C$688,$C2548,AT$674:AT$688)</f>
        <v/>
      </c>
      <c r="AU2548" s="72">
        <f>SUMIF($C$674:$C$688,$C2548,AU$674:AU$688)</f>
        <v/>
      </c>
      <c r="AV2548" s="72">
        <f>SUMIF($C$674:$C$688,$C2548,AV$674:AV$688)</f>
        <v/>
      </c>
      <c r="AW2548" s="72">
        <f>SUMIF($C$674:$C$688,$C2548,AW$674:AW$688)</f>
        <v/>
      </c>
      <c r="AX2548" s="72">
        <f>SUMIF($C$674:$C$688,$C2548,AX$674:AX$688)</f>
        <v/>
      </c>
      <c r="AY2548" s="72">
        <f>SUMIF($C$674:$C$688,$C2548,AY$674:AY$688)</f>
        <v/>
      </c>
      <c r="AZ2548" s="72">
        <f>SUMIF($C$674:$C$688,$C2548,AZ$674:AZ$688)</f>
        <v/>
      </c>
      <c r="BA2548" s="72">
        <f>SUMIF($C$674:$C$688,$C2548,BA$674:BA$688)</f>
        <v/>
      </c>
    </row>
    <row r="2549" hidden="1" outlineLevel="2">
      <c r="A2549" s="14" t="inlineStr">
        <is>
          <t>ctxnew</t>
        </is>
      </c>
      <c r="B2549" s="14" t="inlineStr">
        <is>
          <t>coa</t>
        </is>
      </c>
      <c r="C2549" s="14" t="inlineStr">
        <is>
          <t>omn</t>
        </is>
      </c>
      <c r="D2549" s="35">
        <f>INDEX(Inputs!$W$5:$W$132,MATCH($B2549&amp;"|"&amp;$C2549,Inputs!$A$5:$A$132,0))</f>
        <v/>
      </c>
      <c r="E2549" s="35">
        <f>INDEX(Inputs!$L$5:$L$132,MATCH($B2549&amp;"|"&amp;$C2549,Inputs!$A$5:$A$132,0))</f>
        <v/>
      </c>
      <c r="F2549" s="35">
        <f>INDEX(Inputs!$M$5:$M$132,MATCH($B2549&amp;"|"&amp;$C2549,Inputs!$A$5:$A$132,0))</f>
        <v/>
      </c>
      <c r="G2549" s="39" t="n"/>
      <c r="H2549" s="14">
        <f>INDEX(VarLab,MATCH($A2549,VarKey,0))&amp;INDEX(MemLab,MATCH($C2549&amp;"|"&amp;$B2549,MemKey,0))</f>
        <v/>
      </c>
      <c r="I2549" s="14">
        <f>INDEX(VarUnit,MATCH($A2549,VarKey,0))</f>
        <v/>
      </c>
      <c r="J2549" s="14">
        <f>INDEX(VarSrc,MATCH($A2549,VarKey,0))</f>
        <v/>
      </c>
      <c r="K2549" s="11">
        <f>CodePrefix&amp;$A2549&amp;IF($C2549="","","."&amp;$C2549&amp;"."&amp;$B2549)&amp;INDEX(VarEnd,MATCH($A2549,VarKey,0))&amp;K$5</f>
        <v/>
      </c>
      <c r="L2549" s="40">
        <f>INDEX(L$263:L$279,$F2549)*$D2549*INDEX(L$23:L$30,$E2549)</f>
        <v/>
      </c>
      <c r="M2549" s="35">
        <f>INDEX(M$263:M$279,$F2549)*$D2549*INDEX(M$23:M$30,$E2549)</f>
        <v/>
      </c>
      <c r="N2549" s="35">
        <f>INDEX(N$263:N$279,$F2549)*$D2549*INDEX(N$23:N$30,$E2549)</f>
        <v/>
      </c>
      <c r="O2549" s="35">
        <f>INDEX(O$263:O$279,$F2549)*$D2549*INDEX(O$23:O$30,$E2549)</f>
        <v/>
      </c>
      <c r="P2549" s="35">
        <f>INDEX(P$263:P$279,$F2549)*$D2549*INDEX(P$23:P$30,$E2549)</f>
        <v/>
      </c>
      <c r="Q2549" s="35">
        <f>INDEX(Q$263:Q$279,$F2549)*$D2549*INDEX(Q$23:Q$30,$E2549)</f>
        <v/>
      </c>
      <c r="R2549" s="35">
        <f>INDEX(R$263:R$279,$F2549)*$D2549*INDEX(R$23:R$30,$E2549)</f>
        <v/>
      </c>
      <c r="S2549" s="35">
        <f>INDEX(S$263:S$279,$F2549)*$D2549*INDEX(S$23:S$30,$E2549)</f>
        <v/>
      </c>
      <c r="T2549" s="35">
        <f>INDEX(T$263:T$279,$F2549)*$D2549*INDEX(T$23:T$30,$E2549)</f>
        <v/>
      </c>
      <c r="U2549" s="35">
        <f>INDEX(U$263:U$279,$F2549)*$D2549*INDEX(U$23:U$30,$E2549)</f>
        <v/>
      </c>
      <c r="V2549" s="35">
        <f>INDEX(V$263:V$279,$F2549)*$D2549*INDEX(V$23:V$30,$E2549)</f>
        <v/>
      </c>
      <c r="W2549" s="35">
        <f>INDEX(W$263:W$279,$F2549)*$D2549*INDEX(W$23:W$30,$E2549)</f>
        <v/>
      </c>
      <c r="X2549" s="35">
        <f>INDEX(X$263:X$279,$F2549)*$D2549*INDEX(X$23:X$30,$E2549)</f>
        <v/>
      </c>
      <c r="Y2549" s="35">
        <f>INDEX(Y$263:Y$279,$F2549)*$D2549*INDEX(Y$23:Y$30,$E2549)</f>
        <v/>
      </c>
      <c r="Z2549" s="35">
        <f>INDEX(Z$263:Z$279,$F2549)*$D2549*INDEX(Z$23:Z$30,$E2549)</f>
        <v/>
      </c>
      <c r="AA2549" s="35">
        <f>INDEX(AA$263:AA$279,$F2549)*$D2549*INDEX(AA$23:AA$30,$E2549)</f>
        <v/>
      </c>
      <c r="AB2549" s="35">
        <f>INDEX(AB$263:AB$279,$F2549)*$D2549*INDEX(AB$23:AB$30,$E2549)</f>
        <v/>
      </c>
      <c r="AC2549" s="35">
        <f>INDEX(AC$263:AC$279,$F2549)*$D2549*INDEX(AC$23:AC$30,$E2549)</f>
        <v/>
      </c>
      <c r="AD2549" s="35">
        <f>INDEX(AD$263:AD$279,$F2549)*$D2549*INDEX(AD$23:AD$30,$E2549)</f>
        <v/>
      </c>
      <c r="AE2549" s="42">
        <f>CARBONTAX(INDEX(AE$263:AE$279,$F2549),$D2549,INDEX(AE$23:AE$30,$E2549))</f>
        <v/>
      </c>
      <c r="AG2549" s="11">
        <f>CodePrefix&amp;$A2549&amp;IF($C2549="","","."&amp;$C2549&amp;"."&amp;$B2549)&amp;INDEX(VarEnd,MATCH($A2549,VarKey,0))&amp;AG$5</f>
        <v/>
      </c>
      <c r="AH2549" s="40">
        <f>INDEX(AH$263:AH$279,$F2549)*$D2549*INDEX(AH$23:AH$30,$E2549)</f>
        <v/>
      </c>
      <c r="AI2549" s="35">
        <f>INDEX(AI$263:AI$279,$F2549)*$D2549*INDEX(AI$23:AI$30,$E2549)</f>
        <v/>
      </c>
      <c r="AJ2549" s="35">
        <f>INDEX(AJ$263:AJ$279,$F2549)*$D2549*INDEX(AJ$23:AJ$30,$E2549)</f>
        <v/>
      </c>
      <c r="AK2549" s="35">
        <f>INDEX(AK$263:AK$279,$F2549)*$D2549*INDEX(AK$23:AK$30,$E2549)</f>
        <v/>
      </c>
      <c r="AL2549" s="35">
        <f>INDEX(AL$263:AL$279,$F2549)*$D2549*INDEX(AL$23:AL$30,$E2549)</f>
        <v/>
      </c>
      <c r="AM2549" s="35">
        <f>INDEX(AM$263:AM$279,$F2549)*$D2549*INDEX(AM$23:AM$30,$E2549)</f>
        <v/>
      </c>
      <c r="AN2549" s="35">
        <f>INDEX(AN$263:AN$279,$F2549)*$D2549*INDEX(AN$23:AN$30,$E2549)</f>
        <v/>
      </c>
      <c r="AO2549" s="35">
        <f>INDEX(AO$263:AO$279,$F2549)*$D2549*INDEX(AO$23:AO$30,$E2549)</f>
        <v/>
      </c>
      <c r="AP2549" s="35">
        <f>INDEX(AP$263:AP$279,$F2549)*$D2549*INDEX(AP$23:AP$30,$E2549)</f>
        <v/>
      </c>
      <c r="AQ2549" s="35">
        <f>INDEX(AQ$263:AQ$279,$F2549)*$D2549*INDEX(AQ$23:AQ$30,$E2549)</f>
        <v/>
      </c>
      <c r="AR2549" s="35">
        <f>INDEX(AR$263:AR$279,$F2549)*$D2549*INDEX(AR$23:AR$30,$E2549)</f>
        <v/>
      </c>
      <c r="AS2549" s="35">
        <f>INDEX(AS$263:AS$279,$F2549)*$D2549*INDEX(AS$23:AS$30,$E2549)</f>
        <v/>
      </c>
      <c r="AT2549" s="35">
        <f>INDEX(AT$263:AT$279,$F2549)*$D2549*INDEX(AT$23:AT$30,$E2549)</f>
        <v/>
      </c>
      <c r="AU2549" s="35">
        <f>INDEX(AU$263:AU$279,$F2549)*$D2549*INDEX(AU$23:AU$30,$E2549)</f>
        <v/>
      </c>
      <c r="AV2549" s="35">
        <f>INDEX(AV$263:AV$279,$F2549)*$D2549*INDEX(AV$23:AV$30,$E2549)</f>
        <v/>
      </c>
      <c r="AW2549" s="35">
        <f>INDEX(AW$263:AW$279,$F2549)*$D2549*INDEX(AW$23:AW$30,$E2549)</f>
        <v/>
      </c>
      <c r="AX2549" s="35">
        <f>INDEX(AX$263:AX$279,$F2549)*$D2549*INDEX(AX$23:AX$30,$E2549)</f>
        <v/>
      </c>
      <c r="AY2549" s="35">
        <f>INDEX(AY$263:AY$279,$F2549)*$D2549*INDEX(AY$23:AY$30,$E2549)</f>
        <v/>
      </c>
      <c r="AZ2549" s="35">
        <f>INDEX(AZ$263:AZ$279,$F2549)*$D2549*INDEX(AZ$23:AZ$30,$E2549)</f>
        <v/>
      </c>
      <c r="BA2549" s="42">
        <f>CARBONTAX(INDEX(BA$263:BA$279,$F2549),$D2549,INDEX(BA$23:BA$30,$E2549))</f>
        <v/>
      </c>
    </row>
    <row r="2550" hidden="1" outlineLevel="2">
      <c r="A2550" s="14" t="inlineStr">
        <is>
          <t>ctxnew</t>
        </is>
      </c>
      <c r="B2550" s="14" t="inlineStr">
        <is>
          <t>nga</t>
        </is>
      </c>
      <c r="C2550" s="14" t="inlineStr">
        <is>
          <t>omn</t>
        </is>
      </c>
      <c r="D2550" s="35">
        <f>INDEX(Inputs!$W$5:$W$132,MATCH($B2550&amp;"|"&amp;$C2550,Inputs!$A$5:$A$132,0))</f>
        <v/>
      </c>
      <c r="E2550" s="35">
        <f>INDEX(Inputs!$L$5:$L$132,MATCH($B2550&amp;"|"&amp;$C2550,Inputs!$A$5:$A$132,0))</f>
        <v/>
      </c>
      <c r="F2550" s="35">
        <f>INDEX(Inputs!$M$5:$M$132,MATCH($B2550&amp;"|"&amp;$C2550,Inputs!$A$5:$A$132,0))</f>
        <v/>
      </c>
      <c r="G2550" s="39" t="n"/>
      <c r="H2550" s="14">
        <f>INDEX(VarLab,MATCH($A2550,VarKey,0))&amp;INDEX(MemLab,MATCH($C2550&amp;"|"&amp;$B2550,MemKey,0))</f>
        <v/>
      </c>
      <c r="I2550" s="14">
        <f>INDEX(VarUnit,MATCH($A2550,VarKey,0))</f>
        <v/>
      </c>
      <c r="J2550" s="14">
        <f>INDEX(VarSrc,MATCH($A2550,VarKey,0))</f>
        <v/>
      </c>
      <c r="K2550" s="11">
        <f>CodePrefix&amp;$A2550&amp;IF($C2550="","","."&amp;$C2550&amp;"."&amp;$B2550)&amp;INDEX(VarEnd,MATCH($A2550,VarKey,0))&amp;K$5</f>
        <v/>
      </c>
      <c r="L2550" s="40">
        <f>INDEX(L$263:L$279,$F2550)*$D2550*INDEX(L$23:L$30,$E2550)</f>
        <v/>
      </c>
      <c r="M2550" s="35">
        <f>INDEX(M$263:M$279,$F2550)*$D2550*INDEX(M$23:M$30,$E2550)</f>
        <v/>
      </c>
      <c r="N2550" s="35">
        <f>INDEX(N$263:N$279,$F2550)*$D2550*INDEX(N$23:N$30,$E2550)</f>
        <v/>
      </c>
      <c r="O2550" s="35">
        <f>INDEX(O$263:O$279,$F2550)*$D2550*INDEX(O$23:O$30,$E2550)</f>
        <v/>
      </c>
      <c r="P2550" s="35">
        <f>INDEX(P$263:P$279,$F2550)*$D2550*INDEX(P$23:P$30,$E2550)</f>
        <v/>
      </c>
      <c r="Q2550" s="35">
        <f>INDEX(Q$263:Q$279,$F2550)*$D2550*INDEX(Q$23:Q$30,$E2550)</f>
        <v/>
      </c>
      <c r="R2550" s="35">
        <f>INDEX(R$263:R$279,$F2550)*$D2550*INDEX(R$23:R$30,$E2550)</f>
        <v/>
      </c>
      <c r="S2550" s="35">
        <f>INDEX(S$263:S$279,$F2550)*$D2550*INDEX(S$23:S$30,$E2550)</f>
        <v/>
      </c>
      <c r="T2550" s="35">
        <f>INDEX(T$263:T$279,$F2550)*$D2550*INDEX(T$23:T$30,$E2550)</f>
        <v/>
      </c>
      <c r="U2550" s="35">
        <f>INDEX(U$263:U$279,$F2550)*$D2550*INDEX(U$23:U$30,$E2550)</f>
        <v/>
      </c>
      <c r="V2550" s="35">
        <f>INDEX(V$263:V$279,$F2550)*$D2550*INDEX(V$23:V$30,$E2550)</f>
        <v/>
      </c>
      <c r="W2550" s="35">
        <f>INDEX(W$263:W$279,$F2550)*$D2550*INDEX(W$23:W$30,$E2550)</f>
        <v/>
      </c>
      <c r="X2550" s="35">
        <f>INDEX(X$263:X$279,$F2550)*$D2550*INDEX(X$23:X$30,$E2550)</f>
        <v/>
      </c>
      <c r="Y2550" s="35">
        <f>INDEX(Y$263:Y$279,$F2550)*$D2550*INDEX(Y$23:Y$30,$E2550)</f>
        <v/>
      </c>
      <c r="Z2550" s="35">
        <f>INDEX(Z$263:Z$279,$F2550)*$D2550*INDEX(Z$23:Z$30,$E2550)</f>
        <v/>
      </c>
      <c r="AA2550" s="35">
        <f>INDEX(AA$263:AA$279,$F2550)*$D2550*INDEX(AA$23:AA$30,$E2550)</f>
        <v/>
      </c>
      <c r="AB2550" s="35">
        <f>INDEX(AB$263:AB$279,$F2550)*$D2550*INDEX(AB$23:AB$30,$E2550)</f>
        <v/>
      </c>
      <c r="AC2550" s="35">
        <f>INDEX(AC$263:AC$279,$F2550)*$D2550*INDEX(AC$23:AC$30,$E2550)</f>
        <v/>
      </c>
      <c r="AD2550" s="35">
        <f>INDEX(AD$263:AD$279,$F2550)*$D2550*INDEX(AD$23:AD$30,$E2550)</f>
        <v/>
      </c>
      <c r="AE2550" s="42">
        <f>CARBONTAX(INDEX(AE$263:AE$279,$F2550),$D2550,INDEX(AE$23:AE$30,$E2550))</f>
        <v/>
      </c>
      <c r="AG2550" s="11">
        <f>CodePrefix&amp;$A2550&amp;IF($C2550="","","."&amp;$C2550&amp;"."&amp;$B2550)&amp;INDEX(VarEnd,MATCH($A2550,VarKey,0))&amp;AG$5</f>
        <v/>
      </c>
      <c r="AH2550" s="40">
        <f>INDEX(AH$263:AH$279,$F2550)*$D2550*INDEX(AH$23:AH$30,$E2550)</f>
        <v/>
      </c>
      <c r="AI2550" s="35">
        <f>INDEX(AI$263:AI$279,$F2550)*$D2550*INDEX(AI$23:AI$30,$E2550)</f>
        <v/>
      </c>
      <c r="AJ2550" s="35">
        <f>INDEX(AJ$263:AJ$279,$F2550)*$D2550*INDEX(AJ$23:AJ$30,$E2550)</f>
        <v/>
      </c>
      <c r="AK2550" s="35">
        <f>INDEX(AK$263:AK$279,$F2550)*$D2550*INDEX(AK$23:AK$30,$E2550)</f>
        <v/>
      </c>
      <c r="AL2550" s="35">
        <f>INDEX(AL$263:AL$279,$F2550)*$D2550*INDEX(AL$23:AL$30,$E2550)</f>
        <v/>
      </c>
      <c r="AM2550" s="35">
        <f>INDEX(AM$263:AM$279,$F2550)*$D2550*INDEX(AM$23:AM$30,$E2550)</f>
        <v/>
      </c>
      <c r="AN2550" s="35">
        <f>INDEX(AN$263:AN$279,$F2550)*$D2550*INDEX(AN$23:AN$30,$E2550)</f>
        <v/>
      </c>
      <c r="AO2550" s="35">
        <f>INDEX(AO$263:AO$279,$F2550)*$D2550*INDEX(AO$23:AO$30,$E2550)</f>
        <v/>
      </c>
      <c r="AP2550" s="35">
        <f>INDEX(AP$263:AP$279,$F2550)*$D2550*INDEX(AP$23:AP$30,$E2550)</f>
        <v/>
      </c>
      <c r="AQ2550" s="35">
        <f>INDEX(AQ$263:AQ$279,$F2550)*$D2550*INDEX(AQ$23:AQ$30,$E2550)</f>
        <v/>
      </c>
      <c r="AR2550" s="35">
        <f>INDEX(AR$263:AR$279,$F2550)*$D2550*INDEX(AR$23:AR$30,$E2550)</f>
        <v/>
      </c>
      <c r="AS2550" s="35">
        <f>INDEX(AS$263:AS$279,$F2550)*$D2550*INDEX(AS$23:AS$30,$E2550)</f>
        <v/>
      </c>
      <c r="AT2550" s="35">
        <f>INDEX(AT$263:AT$279,$F2550)*$D2550*INDEX(AT$23:AT$30,$E2550)</f>
        <v/>
      </c>
      <c r="AU2550" s="35">
        <f>INDEX(AU$263:AU$279,$F2550)*$D2550*INDEX(AU$23:AU$30,$E2550)</f>
        <v/>
      </c>
      <c r="AV2550" s="35">
        <f>INDEX(AV$263:AV$279,$F2550)*$D2550*INDEX(AV$23:AV$30,$E2550)</f>
        <v/>
      </c>
      <c r="AW2550" s="35">
        <f>INDEX(AW$263:AW$279,$F2550)*$D2550*INDEX(AW$23:AW$30,$E2550)</f>
        <v/>
      </c>
      <c r="AX2550" s="35">
        <f>INDEX(AX$263:AX$279,$F2550)*$D2550*INDEX(AX$23:AX$30,$E2550)</f>
        <v/>
      </c>
      <c r="AY2550" s="35">
        <f>INDEX(AY$263:AY$279,$F2550)*$D2550*INDEX(AY$23:AY$30,$E2550)</f>
        <v/>
      </c>
      <c r="AZ2550" s="35">
        <f>INDEX(AZ$263:AZ$279,$F2550)*$D2550*INDEX(AZ$23:AZ$30,$E2550)</f>
        <v/>
      </c>
      <c r="BA2550" s="42">
        <f>CARBONTAX(INDEX(BA$263:BA$279,$F2550),$D2550,INDEX(BA$23:BA$30,$E2550))</f>
        <v/>
      </c>
    </row>
    <row r="2551" hidden="1" outlineLevel="2">
      <c r="A2551" s="14" t="inlineStr">
        <is>
          <t>ctxnew</t>
        </is>
      </c>
      <c r="B2551" s="14" t="inlineStr">
        <is>
          <t>gso</t>
        </is>
      </c>
      <c r="C2551" s="14" t="inlineStr">
        <is>
          <t>omn</t>
        </is>
      </c>
      <c r="D2551" s="35">
        <f>INDEX(Inputs!$W$5:$W$132,MATCH($B2551&amp;"|"&amp;$C2551,Inputs!$A$5:$A$132,0))</f>
        <v/>
      </c>
      <c r="E2551" s="35">
        <f>INDEX(Inputs!$L$5:$L$132,MATCH($B2551&amp;"|"&amp;$C2551,Inputs!$A$5:$A$132,0))</f>
        <v/>
      </c>
      <c r="F2551" s="35">
        <f>INDEX(Inputs!$M$5:$M$132,MATCH($B2551&amp;"|"&amp;$C2551,Inputs!$A$5:$A$132,0))</f>
        <v/>
      </c>
      <c r="G2551" s="39" t="n"/>
      <c r="H2551" s="14">
        <f>INDEX(VarLab,MATCH($A2551,VarKey,0))&amp;INDEX(MemLab,MATCH($C2551&amp;"|"&amp;$B2551,MemKey,0))</f>
        <v/>
      </c>
      <c r="I2551" s="14">
        <f>INDEX(VarUnit,MATCH($A2551,VarKey,0))</f>
        <v/>
      </c>
      <c r="J2551" s="14">
        <f>INDEX(VarSrc,MATCH($A2551,VarKey,0))</f>
        <v/>
      </c>
      <c r="K2551" s="11">
        <f>CodePrefix&amp;$A2551&amp;IF($C2551="","","."&amp;$C2551&amp;"."&amp;$B2551)&amp;INDEX(VarEnd,MATCH($A2551,VarKey,0))&amp;K$5</f>
        <v/>
      </c>
      <c r="L2551" s="40">
        <f>INDEX(L$263:L$279,$F2551)*$D2551*INDEX(L$23:L$30,$E2551)</f>
        <v/>
      </c>
      <c r="M2551" s="35">
        <f>INDEX(M$263:M$279,$F2551)*$D2551*INDEX(M$23:M$30,$E2551)</f>
        <v/>
      </c>
      <c r="N2551" s="35">
        <f>INDEX(N$263:N$279,$F2551)*$D2551*INDEX(N$23:N$30,$E2551)</f>
        <v/>
      </c>
      <c r="O2551" s="35">
        <f>INDEX(O$263:O$279,$F2551)*$D2551*INDEX(O$23:O$30,$E2551)</f>
        <v/>
      </c>
      <c r="P2551" s="35">
        <f>INDEX(P$263:P$279,$F2551)*$D2551*INDEX(P$23:P$30,$E2551)</f>
        <v/>
      </c>
      <c r="Q2551" s="35">
        <f>INDEX(Q$263:Q$279,$F2551)*$D2551*INDEX(Q$23:Q$30,$E2551)</f>
        <v/>
      </c>
      <c r="R2551" s="35">
        <f>INDEX(R$263:R$279,$F2551)*$D2551*INDEX(R$23:R$30,$E2551)</f>
        <v/>
      </c>
      <c r="S2551" s="35">
        <f>INDEX(S$263:S$279,$F2551)*$D2551*INDEX(S$23:S$30,$E2551)</f>
        <v/>
      </c>
      <c r="T2551" s="35">
        <f>INDEX(T$263:T$279,$F2551)*$D2551*INDEX(T$23:T$30,$E2551)</f>
        <v/>
      </c>
      <c r="U2551" s="35">
        <f>INDEX(U$263:U$279,$F2551)*$D2551*INDEX(U$23:U$30,$E2551)</f>
        <v/>
      </c>
      <c r="V2551" s="35">
        <f>INDEX(V$263:V$279,$F2551)*$D2551*INDEX(V$23:V$30,$E2551)</f>
        <v/>
      </c>
      <c r="W2551" s="35">
        <f>INDEX(W$263:W$279,$F2551)*$D2551*INDEX(W$23:W$30,$E2551)</f>
        <v/>
      </c>
      <c r="X2551" s="35">
        <f>INDEX(X$263:X$279,$F2551)*$D2551*INDEX(X$23:X$30,$E2551)</f>
        <v/>
      </c>
      <c r="Y2551" s="35">
        <f>INDEX(Y$263:Y$279,$F2551)*$D2551*INDEX(Y$23:Y$30,$E2551)</f>
        <v/>
      </c>
      <c r="Z2551" s="35">
        <f>INDEX(Z$263:Z$279,$F2551)*$D2551*INDEX(Z$23:Z$30,$E2551)</f>
        <v/>
      </c>
      <c r="AA2551" s="35">
        <f>INDEX(AA$263:AA$279,$F2551)*$D2551*INDEX(AA$23:AA$30,$E2551)</f>
        <v/>
      </c>
      <c r="AB2551" s="35">
        <f>INDEX(AB$263:AB$279,$F2551)*$D2551*INDEX(AB$23:AB$30,$E2551)</f>
        <v/>
      </c>
      <c r="AC2551" s="35">
        <f>INDEX(AC$263:AC$279,$F2551)*$D2551*INDEX(AC$23:AC$30,$E2551)</f>
        <v/>
      </c>
      <c r="AD2551" s="35">
        <f>INDEX(AD$263:AD$279,$F2551)*$D2551*INDEX(AD$23:AD$30,$E2551)</f>
        <v/>
      </c>
      <c r="AE2551" s="42">
        <f>CARBONTAX(INDEX(AE$263:AE$279,$F2551),$D2551,INDEX(AE$23:AE$30,$E2551))</f>
        <v/>
      </c>
      <c r="AG2551" s="11">
        <f>CodePrefix&amp;$A2551&amp;IF($C2551="","","."&amp;$C2551&amp;"."&amp;$B2551)&amp;INDEX(VarEnd,MATCH($A2551,VarKey,0))&amp;AG$5</f>
        <v/>
      </c>
      <c r="AH2551" s="40">
        <f>INDEX(AH$263:AH$279,$F2551)*$D2551*INDEX(AH$23:AH$30,$E2551)</f>
        <v/>
      </c>
      <c r="AI2551" s="35">
        <f>INDEX(AI$263:AI$279,$F2551)*$D2551*INDEX(AI$23:AI$30,$E2551)</f>
        <v/>
      </c>
      <c r="AJ2551" s="35">
        <f>INDEX(AJ$263:AJ$279,$F2551)*$D2551*INDEX(AJ$23:AJ$30,$E2551)</f>
        <v/>
      </c>
      <c r="AK2551" s="35">
        <f>INDEX(AK$263:AK$279,$F2551)*$D2551*INDEX(AK$23:AK$30,$E2551)</f>
        <v/>
      </c>
      <c r="AL2551" s="35">
        <f>INDEX(AL$263:AL$279,$F2551)*$D2551*INDEX(AL$23:AL$30,$E2551)</f>
        <v/>
      </c>
      <c r="AM2551" s="35">
        <f>INDEX(AM$263:AM$279,$F2551)*$D2551*INDEX(AM$23:AM$30,$E2551)</f>
        <v/>
      </c>
      <c r="AN2551" s="35">
        <f>INDEX(AN$263:AN$279,$F2551)*$D2551*INDEX(AN$23:AN$30,$E2551)</f>
        <v/>
      </c>
      <c r="AO2551" s="35">
        <f>INDEX(AO$263:AO$279,$F2551)*$D2551*INDEX(AO$23:AO$30,$E2551)</f>
        <v/>
      </c>
      <c r="AP2551" s="35">
        <f>INDEX(AP$263:AP$279,$F2551)*$D2551*INDEX(AP$23:AP$30,$E2551)</f>
        <v/>
      </c>
      <c r="AQ2551" s="35">
        <f>INDEX(AQ$263:AQ$279,$F2551)*$D2551*INDEX(AQ$23:AQ$30,$E2551)</f>
        <v/>
      </c>
      <c r="AR2551" s="35">
        <f>INDEX(AR$263:AR$279,$F2551)*$D2551*INDEX(AR$23:AR$30,$E2551)</f>
        <v/>
      </c>
      <c r="AS2551" s="35">
        <f>INDEX(AS$263:AS$279,$F2551)*$D2551*INDEX(AS$23:AS$30,$E2551)</f>
        <v/>
      </c>
      <c r="AT2551" s="35">
        <f>INDEX(AT$263:AT$279,$F2551)*$D2551*INDEX(AT$23:AT$30,$E2551)</f>
        <v/>
      </c>
      <c r="AU2551" s="35">
        <f>INDEX(AU$263:AU$279,$F2551)*$D2551*INDEX(AU$23:AU$30,$E2551)</f>
        <v/>
      </c>
      <c r="AV2551" s="35">
        <f>INDEX(AV$263:AV$279,$F2551)*$D2551*INDEX(AV$23:AV$30,$E2551)</f>
        <v/>
      </c>
      <c r="AW2551" s="35">
        <f>INDEX(AW$263:AW$279,$F2551)*$D2551*INDEX(AW$23:AW$30,$E2551)</f>
        <v/>
      </c>
      <c r="AX2551" s="35">
        <f>INDEX(AX$263:AX$279,$F2551)*$D2551*INDEX(AX$23:AX$30,$E2551)</f>
        <v/>
      </c>
      <c r="AY2551" s="35">
        <f>INDEX(AY$263:AY$279,$F2551)*$D2551*INDEX(AY$23:AY$30,$E2551)</f>
        <v/>
      </c>
      <c r="AZ2551" s="35">
        <f>INDEX(AZ$263:AZ$279,$F2551)*$D2551*INDEX(AZ$23:AZ$30,$E2551)</f>
        <v/>
      </c>
      <c r="BA2551" s="42">
        <f>CARBONTAX(INDEX(BA$263:BA$279,$F2551),$D2551,INDEX(BA$23:BA$30,$E2551))</f>
        <v/>
      </c>
    </row>
    <row r="2552" hidden="1" outlineLevel="2">
      <c r="A2552" s="14" t="inlineStr">
        <is>
          <t>ctxnew</t>
        </is>
      </c>
      <c r="B2552" s="14" t="inlineStr">
        <is>
          <t>die</t>
        </is>
      </c>
      <c r="C2552" s="14" t="inlineStr">
        <is>
          <t>omn</t>
        </is>
      </c>
      <c r="D2552" s="35">
        <f>INDEX(Inputs!$W$5:$W$132,MATCH($B2552&amp;"|"&amp;$C2552,Inputs!$A$5:$A$132,0))</f>
        <v/>
      </c>
      <c r="E2552" s="35">
        <f>INDEX(Inputs!$L$5:$L$132,MATCH($B2552&amp;"|"&amp;$C2552,Inputs!$A$5:$A$132,0))</f>
        <v/>
      </c>
      <c r="F2552" s="35">
        <f>INDEX(Inputs!$M$5:$M$132,MATCH($B2552&amp;"|"&amp;$C2552,Inputs!$A$5:$A$132,0))</f>
        <v/>
      </c>
      <c r="G2552" s="39" t="n"/>
      <c r="H2552" s="14">
        <f>INDEX(VarLab,MATCH($A2552,VarKey,0))&amp;INDEX(MemLab,MATCH($C2552&amp;"|"&amp;$B2552,MemKey,0))</f>
        <v/>
      </c>
      <c r="I2552" s="14">
        <f>INDEX(VarUnit,MATCH($A2552,VarKey,0))</f>
        <v/>
      </c>
      <c r="J2552" s="14">
        <f>INDEX(VarSrc,MATCH($A2552,VarKey,0))</f>
        <v/>
      </c>
      <c r="K2552" s="11">
        <f>CodePrefix&amp;$A2552&amp;IF($C2552="","","."&amp;$C2552&amp;"."&amp;$B2552)&amp;INDEX(VarEnd,MATCH($A2552,VarKey,0))&amp;K$5</f>
        <v/>
      </c>
      <c r="L2552" s="40">
        <f>INDEX(L$263:L$279,$F2552)*$D2552*INDEX(L$23:L$30,$E2552)</f>
        <v/>
      </c>
      <c r="M2552" s="35">
        <f>INDEX(M$263:M$279,$F2552)*$D2552*INDEX(M$23:M$30,$E2552)</f>
        <v/>
      </c>
      <c r="N2552" s="35">
        <f>INDEX(N$263:N$279,$F2552)*$D2552*INDEX(N$23:N$30,$E2552)</f>
        <v/>
      </c>
      <c r="O2552" s="35">
        <f>INDEX(O$263:O$279,$F2552)*$D2552*INDEX(O$23:O$30,$E2552)</f>
        <v/>
      </c>
      <c r="P2552" s="35">
        <f>INDEX(P$263:P$279,$F2552)*$D2552*INDEX(P$23:P$30,$E2552)</f>
        <v/>
      </c>
      <c r="Q2552" s="35">
        <f>INDEX(Q$263:Q$279,$F2552)*$D2552*INDEX(Q$23:Q$30,$E2552)</f>
        <v/>
      </c>
      <c r="R2552" s="35">
        <f>INDEX(R$263:R$279,$F2552)*$D2552*INDEX(R$23:R$30,$E2552)</f>
        <v/>
      </c>
      <c r="S2552" s="35">
        <f>INDEX(S$263:S$279,$F2552)*$D2552*INDEX(S$23:S$30,$E2552)</f>
        <v/>
      </c>
      <c r="T2552" s="35">
        <f>INDEX(T$263:T$279,$F2552)*$D2552*INDEX(T$23:T$30,$E2552)</f>
        <v/>
      </c>
      <c r="U2552" s="35">
        <f>INDEX(U$263:U$279,$F2552)*$D2552*INDEX(U$23:U$30,$E2552)</f>
        <v/>
      </c>
      <c r="V2552" s="35">
        <f>INDEX(V$263:V$279,$F2552)*$D2552*INDEX(V$23:V$30,$E2552)</f>
        <v/>
      </c>
      <c r="W2552" s="35">
        <f>INDEX(W$263:W$279,$F2552)*$D2552*INDEX(W$23:W$30,$E2552)</f>
        <v/>
      </c>
      <c r="X2552" s="35">
        <f>INDEX(X$263:X$279,$F2552)*$D2552*INDEX(X$23:X$30,$E2552)</f>
        <v/>
      </c>
      <c r="Y2552" s="35">
        <f>INDEX(Y$263:Y$279,$F2552)*$D2552*INDEX(Y$23:Y$30,$E2552)</f>
        <v/>
      </c>
      <c r="Z2552" s="35">
        <f>INDEX(Z$263:Z$279,$F2552)*$D2552*INDEX(Z$23:Z$30,$E2552)</f>
        <v/>
      </c>
      <c r="AA2552" s="35">
        <f>INDEX(AA$263:AA$279,$F2552)*$D2552*INDEX(AA$23:AA$30,$E2552)</f>
        <v/>
      </c>
      <c r="AB2552" s="35">
        <f>INDEX(AB$263:AB$279,$F2552)*$D2552*INDEX(AB$23:AB$30,$E2552)</f>
        <v/>
      </c>
      <c r="AC2552" s="35">
        <f>INDEX(AC$263:AC$279,$F2552)*$D2552*INDEX(AC$23:AC$30,$E2552)</f>
        <v/>
      </c>
      <c r="AD2552" s="35">
        <f>INDEX(AD$263:AD$279,$F2552)*$D2552*INDEX(AD$23:AD$30,$E2552)</f>
        <v/>
      </c>
      <c r="AE2552" s="42">
        <f>CARBONTAX(INDEX(AE$263:AE$279,$F2552),$D2552,INDEX(AE$23:AE$30,$E2552))</f>
        <v/>
      </c>
      <c r="AG2552" s="11">
        <f>CodePrefix&amp;$A2552&amp;IF($C2552="","","."&amp;$C2552&amp;"."&amp;$B2552)&amp;INDEX(VarEnd,MATCH($A2552,VarKey,0))&amp;AG$5</f>
        <v/>
      </c>
      <c r="AH2552" s="40">
        <f>INDEX(AH$263:AH$279,$F2552)*$D2552*INDEX(AH$23:AH$30,$E2552)</f>
        <v/>
      </c>
      <c r="AI2552" s="35">
        <f>INDEX(AI$263:AI$279,$F2552)*$D2552*INDEX(AI$23:AI$30,$E2552)</f>
        <v/>
      </c>
      <c r="AJ2552" s="35">
        <f>INDEX(AJ$263:AJ$279,$F2552)*$D2552*INDEX(AJ$23:AJ$30,$E2552)</f>
        <v/>
      </c>
      <c r="AK2552" s="35">
        <f>INDEX(AK$263:AK$279,$F2552)*$D2552*INDEX(AK$23:AK$30,$E2552)</f>
        <v/>
      </c>
      <c r="AL2552" s="35">
        <f>INDEX(AL$263:AL$279,$F2552)*$D2552*INDEX(AL$23:AL$30,$E2552)</f>
        <v/>
      </c>
      <c r="AM2552" s="35">
        <f>INDEX(AM$263:AM$279,$F2552)*$D2552*INDEX(AM$23:AM$30,$E2552)</f>
        <v/>
      </c>
      <c r="AN2552" s="35">
        <f>INDEX(AN$263:AN$279,$F2552)*$D2552*INDEX(AN$23:AN$30,$E2552)</f>
        <v/>
      </c>
      <c r="AO2552" s="35">
        <f>INDEX(AO$263:AO$279,$F2552)*$D2552*INDEX(AO$23:AO$30,$E2552)</f>
        <v/>
      </c>
      <c r="AP2552" s="35">
        <f>INDEX(AP$263:AP$279,$F2552)*$D2552*INDEX(AP$23:AP$30,$E2552)</f>
        <v/>
      </c>
      <c r="AQ2552" s="35">
        <f>INDEX(AQ$263:AQ$279,$F2552)*$D2552*INDEX(AQ$23:AQ$30,$E2552)</f>
        <v/>
      </c>
      <c r="AR2552" s="35">
        <f>INDEX(AR$263:AR$279,$F2552)*$D2552*INDEX(AR$23:AR$30,$E2552)</f>
        <v/>
      </c>
      <c r="AS2552" s="35">
        <f>INDEX(AS$263:AS$279,$F2552)*$D2552*INDEX(AS$23:AS$30,$E2552)</f>
        <v/>
      </c>
      <c r="AT2552" s="35">
        <f>INDEX(AT$263:AT$279,$F2552)*$D2552*INDEX(AT$23:AT$30,$E2552)</f>
        <v/>
      </c>
      <c r="AU2552" s="35">
        <f>INDEX(AU$263:AU$279,$F2552)*$D2552*INDEX(AU$23:AU$30,$E2552)</f>
        <v/>
      </c>
      <c r="AV2552" s="35">
        <f>INDEX(AV$263:AV$279,$F2552)*$D2552*INDEX(AV$23:AV$30,$E2552)</f>
        <v/>
      </c>
      <c r="AW2552" s="35">
        <f>INDEX(AW$263:AW$279,$F2552)*$D2552*INDEX(AW$23:AW$30,$E2552)</f>
        <v/>
      </c>
      <c r="AX2552" s="35">
        <f>INDEX(AX$263:AX$279,$F2552)*$D2552*INDEX(AX$23:AX$30,$E2552)</f>
        <v/>
      </c>
      <c r="AY2552" s="35">
        <f>INDEX(AY$263:AY$279,$F2552)*$D2552*INDEX(AY$23:AY$30,$E2552)</f>
        <v/>
      </c>
      <c r="AZ2552" s="35">
        <f>INDEX(AZ$263:AZ$279,$F2552)*$D2552*INDEX(AZ$23:AZ$30,$E2552)</f>
        <v/>
      </c>
      <c r="BA2552" s="42">
        <f>CARBONTAX(INDEX(BA$263:BA$279,$F2552),$D2552,INDEX(BA$23:BA$30,$E2552))</f>
        <v/>
      </c>
    </row>
    <row r="2553" hidden="1" outlineLevel="2">
      <c r="A2553" s="14" t="inlineStr">
        <is>
          <t>ctxnew</t>
        </is>
      </c>
      <c r="B2553" s="14" t="inlineStr">
        <is>
          <t>lpg</t>
        </is>
      </c>
      <c r="C2553" s="14" t="inlineStr">
        <is>
          <t>omn</t>
        </is>
      </c>
      <c r="D2553" s="35">
        <f>INDEX(Inputs!$W$5:$W$132,MATCH($B2553&amp;"|"&amp;$C2553,Inputs!$A$5:$A$132,0))</f>
        <v/>
      </c>
      <c r="E2553" s="35">
        <f>INDEX(Inputs!$L$5:$L$132,MATCH($B2553&amp;"|"&amp;$C2553,Inputs!$A$5:$A$132,0))</f>
        <v/>
      </c>
      <c r="F2553" s="35">
        <f>INDEX(Inputs!$M$5:$M$132,MATCH($B2553&amp;"|"&amp;$C2553,Inputs!$A$5:$A$132,0))</f>
        <v/>
      </c>
      <c r="G2553" s="39" t="n"/>
      <c r="H2553" s="14">
        <f>INDEX(VarLab,MATCH($A2553,VarKey,0))&amp;INDEX(MemLab,MATCH($C2553&amp;"|"&amp;$B2553,MemKey,0))</f>
        <v/>
      </c>
      <c r="I2553" s="14">
        <f>INDEX(VarUnit,MATCH($A2553,VarKey,0))</f>
        <v/>
      </c>
      <c r="J2553" s="14">
        <f>INDEX(VarSrc,MATCH($A2553,VarKey,0))</f>
        <v/>
      </c>
      <c r="K2553" s="11">
        <f>CodePrefix&amp;$A2553&amp;IF($C2553="","","."&amp;$C2553&amp;"."&amp;$B2553)&amp;INDEX(VarEnd,MATCH($A2553,VarKey,0))&amp;K$5</f>
        <v/>
      </c>
      <c r="L2553" s="40">
        <f>INDEX(L$263:L$279,$F2553)*$D2553*INDEX(L$23:L$30,$E2553)</f>
        <v/>
      </c>
      <c r="M2553" s="35">
        <f>INDEX(M$263:M$279,$F2553)*$D2553*INDEX(M$23:M$30,$E2553)</f>
        <v/>
      </c>
      <c r="N2553" s="35">
        <f>INDEX(N$263:N$279,$F2553)*$D2553*INDEX(N$23:N$30,$E2553)</f>
        <v/>
      </c>
      <c r="O2553" s="35">
        <f>INDEX(O$263:O$279,$F2553)*$D2553*INDEX(O$23:O$30,$E2553)</f>
        <v/>
      </c>
      <c r="P2553" s="35">
        <f>INDEX(P$263:P$279,$F2553)*$D2553*INDEX(P$23:P$30,$E2553)</f>
        <v/>
      </c>
      <c r="Q2553" s="35">
        <f>INDEX(Q$263:Q$279,$F2553)*$D2553*INDEX(Q$23:Q$30,$E2553)</f>
        <v/>
      </c>
      <c r="R2553" s="35">
        <f>INDEX(R$263:R$279,$F2553)*$D2553*INDEX(R$23:R$30,$E2553)</f>
        <v/>
      </c>
      <c r="S2553" s="35">
        <f>INDEX(S$263:S$279,$F2553)*$D2553*INDEX(S$23:S$30,$E2553)</f>
        <v/>
      </c>
      <c r="T2553" s="35">
        <f>INDEX(T$263:T$279,$F2553)*$D2553*INDEX(T$23:T$30,$E2553)</f>
        <v/>
      </c>
      <c r="U2553" s="35">
        <f>INDEX(U$263:U$279,$F2553)*$D2553*INDEX(U$23:U$30,$E2553)</f>
        <v/>
      </c>
      <c r="V2553" s="35">
        <f>INDEX(V$263:V$279,$F2553)*$D2553*INDEX(V$23:V$30,$E2553)</f>
        <v/>
      </c>
      <c r="W2553" s="35">
        <f>INDEX(W$263:W$279,$F2553)*$D2553*INDEX(W$23:W$30,$E2553)</f>
        <v/>
      </c>
      <c r="X2553" s="35">
        <f>INDEX(X$263:X$279,$F2553)*$D2553*INDEX(X$23:X$30,$E2553)</f>
        <v/>
      </c>
      <c r="Y2553" s="35">
        <f>INDEX(Y$263:Y$279,$F2553)*$D2553*INDEX(Y$23:Y$30,$E2553)</f>
        <v/>
      </c>
      <c r="Z2553" s="35">
        <f>INDEX(Z$263:Z$279,$F2553)*$D2553*INDEX(Z$23:Z$30,$E2553)</f>
        <v/>
      </c>
      <c r="AA2553" s="35">
        <f>INDEX(AA$263:AA$279,$F2553)*$D2553*INDEX(AA$23:AA$30,$E2553)</f>
        <v/>
      </c>
      <c r="AB2553" s="35">
        <f>INDEX(AB$263:AB$279,$F2553)*$D2553*INDEX(AB$23:AB$30,$E2553)</f>
        <v/>
      </c>
      <c r="AC2553" s="35">
        <f>INDEX(AC$263:AC$279,$F2553)*$D2553*INDEX(AC$23:AC$30,$E2553)</f>
        <v/>
      </c>
      <c r="AD2553" s="35">
        <f>INDEX(AD$263:AD$279,$F2553)*$D2553*INDEX(AD$23:AD$30,$E2553)</f>
        <v/>
      </c>
      <c r="AE2553" s="42">
        <f>CARBONTAX(INDEX(AE$263:AE$279,$F2553),$D2553,INDEX(AE$23:AE$30,$E2553))</f>
        <v/>
      </c>
      <c r="AG2553" s="11">
        <f>CodePrefix&amp;$A2553&amp;IF($C2553="","","."&amp;$C2553&amp;"."&amp;$B2553)&amp;INDEX(VarEnd,MATCH($A2553,VarKey,0))&amp;AG$5</f>
        <v/>
      </c>
      <c r="AH2553" s="40">
        <f>INDEX(AH$263:AH$279,$F2553)*$D2553*INDEX(AH$23:AH$30,$E2553)</f>
        <v/>
      </c>
      <c r="AI2553" s="35">
        <f>INDEX(AI$263:AI$279,$F2553)*$D2553*INDEX(AI$23:AI$30,$E2553)</f>
        <v/>
      </c>
      <c r="AJ2553" s="35">
        <f>INDEX(AJ$263:AJ$279,$F2553)*$D2553*INDEX(AJ$23:AJ$30,$E2553)</f>
        <v/>
      </c>
      <c r="AK2553" s="35">
        <f>INDEX(AK$263:AK$279,$F2553)*$D2553*INDEX(AK$23:AK$30,$E2553)</f>
        <v/>
      </c>
      <c r="AL2553" s="35">
        <f>INDEX(AL$263:AL$279,$F2553)*$D2553*INDEX(AL$23:AL$30,$E2553)</f>
        <v/>
      </c>
      <c r="AM2553" s="35">
        <f>INDEX(AM$263:AM$279,$F2553)*$D2553*INDEX(AM$23:AM$30,$E2553)</f>
        <v/>
      </c>
      <c r="AN2553" s="35">
        <f>INDEX(AN$263:AN$279,$F2553)*$D2553*INDEX(AN$23:AN$30,$E2553)</f>
        <v/>
      </c>
      <c r="AO2553" s="35">
        <f>INDEX(AO$263:AO$279,$F2553)*$D2553*INDEX(AO$23:AO$30,$E2553)</f>
        <v/>
      </c>
      <c r="AP2553" s="35">
        <f>INDEX(AP$263:AP$279,$F2553)*$D2553*INDEX(AP$23:AP$30,$E2553)</f>
        <v/>
      </c>
      <c r="AQ2553" s="35">
        <f>INDEX(AQ$263:AQ$279,$F2553)*$D2553*INDEX(AQ$23:AQ$30,$E2553)</f>
        <v/>
      </c>
      <c r="AR2553" s="35">
        <f>INDEX(AR$263:AR$279,$F2553)*$D2553*INDEX(AR$23:AR$30,$E2553)</f>
        <v/>
      </c>
      <c r="AS2553" s="35">
        <f>INDEX(AS$263:AS$279,$F2553)*$D2553*INDEX(AS$23:AS$30,$E2553)</f>
        <v/>
      </c>
      <c r="AT2553" s="35">
        <f>INDEX(AT$263:AT$279,$F2553)*$D2553*INDEX(AT$23:AT$30,$E2553)</f>
        <v/>
      </c>
      <c r="AU2553" s="35">
        <f>INDEX(AU$263:AU$279,$F2553)*$D2553*INDEX(AU$23:AU$30,$E2553)</f>
        <v/>
      </c>
      <c r="AV2553" s="35">
        <f>INDEX(AV$263:AV$279,$F2553)*$D2553*INDEX(AV$23:AV$30,$E2553)</f>
        <v/>
      </c>
      <c r="AW2553" s="35">
        <f>INDEX(AW$263:AW$279,$F2553)*$D2553*INDEX(AW$23:AW$30,$E2553)</f>
        <v/>
      </c>
      <c r="AX2553" s="35">
        <f>INDEX(AX$263:AX$279,$F2553)*$D2553*INDEX(AX$23:AX$30,$E2553)</f>
        <v/>
      </c>
      <c r="AY2553" s="35">
        <f>INDEX(AY$263:AY$279,$F2553)*$D2553*INDEX(AY$23:AY$30,$E2553)</f>
        <v/>
      </c>
      <c r="AZ2553" s="35">
        <f>INDEX(AZ$263:AZ$279,$F2553)*$D2553*INDEX(AZ$23:AZ$30,$E2553)</f>
        <v/>
      </c>
      <c r="BA2553" s="42">
        <f>CARBONTAX(INDEX(BA$263:BA$279,$F2553),$D2553,INDEX(BA$23:BA$30,$E2553))</f>
        <v/>
      </c>
    </row>
    <row r="2554" hidden="1" outlineLevel="2">
      <c r="A2554" s="14" t="inlineStr">
        <is>
          <t>ctxnew</t>
        </is>
      </c>
      <c r="B2554" s="14" t="inlineStr">
        <is>
          <t>ker</t>
        </is>
      </c>
      <c r="C2554" s="14" t="inlineStr">
        <is>
          <t>omn</t>
        </is>
      </c>
      <c r="D2554" s="35">
        <f>INDEX(Inputs!$W$5:$W$132,MATCH($B2554&amp;"|"&amp;$C2554,Inputs!$A$5:$A$132,0))</f>
        <v/>
      </c>
      <c r="E2554" s="35">
        <f>INDEX(Inputs!$L$5:$L$132,MATCH($B2554&amp;"|"&amp;$C2554,Inputs!$A$5:$A$132,0))</f>
        <v/>
      </c>
      <c r="F2554" s="35">
        <f>INDEX(Inputs!$M$5:$M$132,MATCH($B2554&amp;"|"&amp;$C2554,Inputs!$A$5:$A$132,0))</f>
        <v/>
      </c>
      <c r="G2554" s="39" t="n"/>
      <c r="H2554" s="14">
        <f>INDEX(VarLab,MATCH($A2554,VarKey,0))&amp;INDEX(MemLab,MATCH($C2554&amp;"|"&amp;$B2554,MemKey,0))</f>
        <v/>
      </c>
      <c r="I2554" s="14">
        <f>INDEX(VarUnit,MATCH($A2554,VarKey,0))</f>
        <v/>
      </c>
      <c r="J2554" s="14">
        <f>INDEX(VarSrc,MATCH($A2554,VarKey,0))</f>
        <v/>
      </c>
      <c r="K2554" s="11">
        <f>CodePrefix&amp;$A2554&amp;IF($C2554="","","."&amp;$C2554&amp;"."&amp;$B2554)&amp;INDEX(VarEnd,MATCH($A2554,VarKey,0))&amp;K$5</f>
        <v/>
      </c>
      <c r="L2554" s="40">
        <f>INDEX(L$263:L$279,$F2554)*$D2554*INDEX(L$23:L$30,$E2554)</f>
        <v/>
      </c>
      <c r="M2554" s="35">
        <f>INDEX(M$263:M$279,$F2554)*$D2554*INDEX(M$23:M$30,$E2554)</f>
        <v/>
      </c>
      <c r="N2554" s="35">
        <f>INDEX(N$263:N$279,$F2554)*$D2554*INDEX(N$23:N$30,$E2554)</f>
        <v/>
      </c>
      <c r="O2554" s="35">
        <f>INDEX(O$263:O$279,$F2554)*$D2554*INDEX(O$23:O$30,$E2554)</f>
        <v/>
      </c>
      <c r="P2554" s="35">
        <f>INDEX(P$263:P$279,$F2554)*$D2554*INDEX(P$23:P$30,$E2554)</f>
        <v/>
      </c>
      <c r="Q2554" s="35">
        <f>INDEX(Q$263:Q$279,$F2554)*$D2554*INDEX(Q$23:Q$30,$E2554)</f>
        <v/>
      </c>
      <c r="R2554" s="35">
        <f>INDEX(R$263:R$279,$F2554)*$D2554*INDEX(R$23:R$30,$E2554)</f>
        <v/>
      </c>
      <c r="S2554" s="35">
        <f>INDEX(S$263:S$279,$F2554)*$D2554*INDEX(S$23:S$30,$E2554)</f>
        <v/>
      </c>
      <c r="T2554" s="35">
        <f>INDEX(T$263:T$279,$F2554)*$D2554*INDEX(T$23:T$30,$E2554)</f>
        <v/>
      </c>
      <c r="U2554" s="35">
        <f>INDEX(U$263:U$279,$F2554)*$D2554*INDEX(U$23:U$30,$E2554)</f>
        <v/>
      </c>
      <c r="V2554" s="35">
        <f>INDEX(V$263:V$279,$F2554)*$D2554*INDEX(V$23:V$30,$E2554)</f>
        <v/>
      </c>
      <c r="W2554" s="35">
        <f>INDEX(W$263:W$279,$F2554)*$D2554*INDEX(W$23:W$30,$E2554)</f>
        <v/>
      </c>
      <c r="X2554" s="35">
        <f>INDEX(X$263:X$279,$F2554)*$D2554*INDEX(X$23:X$30,$E2554)</f>
        <v/>
      </c>
      <c r="Y2554" s="35">
        <f>INDEX(Y$263:Y$279,$F2554)*$D2554*INDEX(Y$23:Y$30,$E2554)</f>
        <v/>
      </c>
      <c r="Z2554" s="35">
        <f>INDEX(Z$263:Z$279,$F2554)*$D2554*INDEX(Z$23:Z$30,$E2554)</f>
        <v/>
      </c>
      <c r="AA2554" s="35">
        <f>INDEX(AA$263:AA$279,$F2554)*$D2554*INDEX(AA$23:AA$30,$E2554)</f>
        <v/>
      </c>
      <c r="AB2554" s="35">
        <f>INDEX(AB$263:AB$279,$F2554)*$D2554*INDEX(AB$23:AB$30,$E2554)</f>
        <v/>
      </c>
      <c r="AC2554" s="35">
        <f>INDEX(AC$263:AC$279,$F2554)*$D2554*INDEX(AC$23:AC$30,$E2554)</f>
        <v/>
      </c>
      <c r="AD2554" s="35">
        <f>INDEX(AD$263:AD$279,$F2554)*$D2554*INDEX(AD$23:AD$30,$E2554)</f>
        <v/>
      </c>
      <c r="AE2554" s="42">
        <f>CARBONTAX(INDEX(AE$263:AE$279,$F2554),$D2554,INDEX(AE$23:AE$30,$E2554))</f>
        <v/>
      </c>
      <c r="AG2554" s="11">
        <f>CodePrefix&amp;$A2554&amp;IF($C2554="","","."&amp;$C2554&amp;"."&amp;$B2554)&amp;INDEX(VarEnd,MATCH($A2554,VarKey,0))&amp;AG$5</f>
        <v/>
      </c>
      <c r="AH2554" s="40">
        <f>INDEX(AH$263:AH$279,$F2554)*$D2554*INDEX(AH$23:AH$30,$E2554)</f>
        <v/>
      </c>
      <c r="AI2554" s="35">
        <f>INDEX(AI$263:AI$279,$F2554)*$D2554*INDEX(AI$23:AI$30,$E2554)</f>
        <v/>
      </c>
      <c r="AJ2554" s="35">
        <f>INDEX(AJ$263:AJ$279,$F2554)*$D2554*INDEX(AJ$23:AJ$30,$E2554)</f>
        <v/>
      </c>
      <c r="AK2554" s="35">
        <f>INDEX(AK$263:AK$279,$F2554)*$D2554*INDEX(AK$23:AK$30,$E2554)</f>
        <v/>
      </c>
      <c r="AL2554" s="35">
        <f>INDEX(AL$263:AL$279,$F2554)*$D2554*INDEX(AL$23:AL$30,$E2554)</f>
        <v/>
      </c>
      <c r="AM2554" s="35">
        <f>INDEX(AM$263:AM$279,$F2554)*$D2554*INDEX(AM$23:AM$30,$E2554)</f>
        <v/>
      </c>
      <c r="AN2554" s="35">
        <f>INDEX(AN$263:AN$279,$F2554)*$D2554*INDEX(AN$23:AN$30,$E2554)</f>
        <v/>
      </c>
      <c r="AO2554" s="35">
        <f>INDEX(AO$263:AO$279,$F2554)*$D2554*INDEX(AO$23:AO$30,$E2554)</f>
        <v/>
      </c>
      <c r="AP2554" s="35">
        <f>INDEX(AP$263:AP$279,$F2554)*$D2554*INDEX(AP$23:AP$30,$E2554)</f>
        <v/>
      </c>
      <c r="AQ2554" s="35">
        <f>INDEX(AQ$263:AQ$279,$F2554)*$D2554*INDEX(AQ$23:AQ$30,$E2554)</f>
        <v/>
      </c>
      <c r="AR2554" s="35">
        <f>INDEX(AR$263:AR$279,$F2554)*$D2554*INDEX(AR$23:AR$30,$E2554)</f>
        <v/>
      </c>
      <c r="AS2554" s="35">
        <f>INDEX(AS$263:AS$279,$F2554)*$D2554*INDEX(AS$23:AS$30,$E2554)</f>
        <v/>
      </c>
      <c r="AT2554" s="35">
        <f>INDEX(AT$263:AT$279,$F2554)*$D2554*INDEX(AT$23:AT$30,$E2554)</f>
        <v/>
      </c>
      <c r="AU2554" s="35">
        <f>INDEX(AU$263:AU$279,$F2554)*$D2554*INDEX(AU$23:AU$30,$E2554)</f>
        <v/>
      </c>
      <c r="AV2554" s="35">
        <f>INDEX(AV$263:AV$279,$F2554)*$D2554*INDEX(AV$23:AV$30,$E2554)</f>
        <v/>
      </c>
      <c r="AW2554" s="35">
        <f>INDEX(AW$263:AW$279,$F2554)*$D2554*INDEX(AW$23:AW$30,$E2554)</f>
        <v/>
      </c>
      <c r="AX2554" s="35">
        <f>INDEX(AX$263:AX$279,$F2554)*$D2554*INDEX(AX$23:AX$30,$E2554)</f>
        <v/>
      </c>
      <c r="AY2554" s="35">
        <f>INDEX(AY$263:AY$279,$F2554)*$D2554*INDEX(AY$23:AY$30,$E2554)</f>
        <v/>
      </c>
      <c r="AZ2554" s="35">
        <f>INDEX(AZ$263:AZ$279,$F2554)*$D2554*INDEX(AZ$23:AZ$30,$E2554)</f>
        <v/>
      </c>
      <c r="BA2554" s="42">
        <f>CARBONTAX(INDEX(BA$263:BA$279,$F2554),$D2554,INDEX(BA$23:BA$30,$E2554))</f>
        <v/>
      </c>
    </row>
    <row r="2555" hidden="1" outlineLevel="2">
      <c r="A2555" s="14" t="inlineStr">
        <is>
          <t>ctxnew</t>
        </is>
      </c>
      <c r="B2555" s="14" t="inlineStr">
        <is>
          <t>oop</t>
        </is>
      </c>
      <c r="C2555" s="14" t="inlineStr">
        <is>
          <t>omn</t>
        </is>
      </c>
      <c r="D2555" s="35">
        <f>INDEX(Inputs!$W$5:$W$132,MATCH($B2555&amp;"|"&amp;$C2555,Inputs!$A$5:$A$132,0))</f>
        <v/>
      </c>
      <c r="E2555" s="35">
        <f>INDEX(Inputs!$L$5:$L$132,MATCH($B2555&amp;"|"&amp;$C2555,Inputs!$A$5:$A$132,0))</f>
        <v/>
      </c>
      <c r="F2555" s="35">
        <f>INDEX(Inputs!$M$5:$M$132,MATCH($B2555&amp;"|"&amp;$C2555,Inputs!$A$5:$A$132,0))</f>
        <v/>
      </c>
      <c r="G2555" s="39" t="n"/>
      <c r="H2555" s="14">
        <f>INDEX(VarLab,MATCH($A2555,VarKey,0))&amp;INDEX(MemLab,MATCH($C2555&amp;"|"&amp;$B2555,MemKey,0))</f>
        <v/>
      </c>
      <c r="I2555" s="14">
        <f>INDEX(VarUnit,MATCH($A2555,VarKey,0))</f>
        <v/>
      </c>
      <c r="J2555" s="14">
        <f>INDEX(VarSrc,MATCH($A2555,VarKey,0))</f>
        <v/>
      </c>
      <c r="K2555" s="11">
        <f>CodePrefix&amp;$A2555&amp;IF($C2555="","","."&amp;$C2555&amp;"."&amp;$B2555)&amp;INDEX(VarEnd,MATCH($A2555,VarKey,0))&amp;K$5</f>
        <v/>
      </c>
      <c r="L2555" s="40">
        <f>INDEX(L$263:L$279,$F2555)*$D2555*INDEX(L$23:L$30,$E2555)</f>
        <v/>
      </c>
      <c r="M2555" s="35">
        <f>INDEX(M$263:M$279,$F2555)*$D2555*INDEX(M$23:M$30,$E2555)</f>
        <v/>
      </c>
      <c r="N2555" s="35">
        <f>INDEX(N$263:N$279,$F2555)*$D2555*INDEX(N$23:N$30,$E2555)</f>
        <v/>
      </c>
      <c r="O2555" s="35">
        <f>INDEX(O$263:O$279,$F2555)*$D2555*INDEX(O$23:O$30,$E2555)</f>
        <v/>
      </c>
      <c r="P2555" s="35">
        <f>INDEX(P$263:P$279,$F2555)*$D2555*INDEX(P$23:P$30,$E2555)</f>
        <v/>
      </c>
      <c r="Q2555" s="35">
        <f>INDEX(Q$263:Q$279,$F2555)*$D2555*INDEX(Q$23:Q$30,$E2555)</f>
        <v/>
      </c>
      <c r="R2555" s="35">
        <f>INDEX(R$263:R$279,$F2555)*$D2555*INDEX(R$23:R$30,$E2555)</f>
        <v/>
      </c>
      <c r="S2555" s="35">
        <f>INDEX(S$263:S$279,$F2555)*$D2555*INDEX(S$23:S$30,$E2555)</f>
        <v/>
      </c>
      <c r="T2555" s="35">
        <f>INDEX(T$263:T$279,$F2555)*$D2555*INDEX(T$23:T$30,$E2555)</f>
        <v/>
      </c>
      <c r="U2555" s="35">
        <f>INDEX(U$263:U$279,$F2555)*$D2555*INDEX(U$23:U$30,$E2555)</f>
        <v/>
      </c>
      <c r="V2555" s="35">
        <f>INDEX(V$263:V$279,$F2555)*$D2555*INDEX(V$23:V$30,$E2555)</f>
        <v/>
      </c>
      <c r="W2555" s="35">
        <f>INDEX(W$263:W$279,$F2555)*$D2555*INDEX(W$23:W$30,$E2555)</f>
        <v/>
      </c>
      <c r="X2555" s="35">
        <f>INDEX(X$263:X$279,$F2555)*$D2555*INDEX(X$23:X$30,$E2555)</f>
        <v/>
      </c>
      <c r="Y2555" s="35">
        <f>INDEX(Y$263:Y$279,$F2555)*$D2555*INDEX(Y$23:Y$30,$E2555)</f>
        <v/>
      </c>
      <c r="Z2555" s="35">
        <f>INDEX(Z$263:Z$279,$F2555)*$D2555*INDEX(Z$23:Z$30,$E2555)</f>
        <v/>
      </c>
      <c r="AA2555" s="35">
        <f>INDEX(AA$263:AA$279,$F2555)*$D2555*INDEX(AA$23:AA$30,$E2555)</f>
        <v/>
      </c>
      <c r="AB2555" s="35">
        <f>INDEX(AB$263:AB$279,$F2555)*$D2555*INDEX(AB$23:AB$30,$E2555)</f>
        <v/>
      </c>
      <c r="AC2555" s="35">
        <f>INDEX(AC$263:AC$279,$F2555)*$D2555*INDEX(AC$23:AC$30,$E2555)</f>
        <v/>
      </c>
      <c r="AD2555" s="35">
        <f>INDEX(AD$263:AD$279,$F2555)*$D2555*INDEX(AD$23:AD$30,$E2555)</f>
        <v/>
      </c>
      <c r="AE2555" s="42">
        <f>CARBONTAX(INDEX(AE$263:AE$279,$F2555),$D2555,INDEX(AE$23:AE$30,$E2555))</f>
        <v/>
      </c>
      <c r="AG2555" s="11">
        <f>CodePrefix&amp;$A2555&amp;IF($C2555="","","."&amp;$C2555&amp;"."&amp;$B2555)&amp;INDEX(VarEnd,MATCH($A2555,VarKey,0))&amp;AG$5</f>
        <v/>
      </c>
      <c r="AH2555" s="40">
        <f>INDEX(AH$263:AH$279,$F2555)*$D2555*INDEX(AH$23:AH$30,$E2555)</f>
        <v/>
      </c>
      <c r="AI2555" s="35">
        <f>INDEX(AI$263:AI$279,$F2555)*$D2555*INDEX(AI$23:AI$30,$E2555)</f>
        <v/>
      </c>
      <c r="AJ2555" s="35">
        <f>INDEX(AJ$263:AJ$279,$F2555)*$D2555*INDEX(AJ$23:AJ$30,$E2555)</f>
        <v/>
      </c>
      <c r="AK2555" s="35">
        <f>INDEX(AK$263:AK$279,$F2555)*$D2555*INDEX(AK$23:AK$30,$E2555)</f>
        <v/>
      </c>
      <c r="AL2555" s="35">
        <f>INDEX(AL$263:AL$279,$F2555)*$D2555*INDEX(AL$23:AL$30,$E2555)</f>
        <v/>
      </c>
      <c r="AM2555" s="35">
        <f>INDEX(AM$263:AM$279,$F2555)*$D2555*INDEX(AM$23:AM$30,$E2555)</f>
        <v/>
      </c>
      <c r="AN2555" s="35">
        <f>INDEX(AN$263:AN$279,$F2555)*$D2555*INDEX(AN$23:AN$30,$E2555)</f>
        <v/>
      </c>
      <c r="AO2555" s="35">
        <f>INDEX(AO$263:AO$279,$F2555)*$D2555*INDEX(AO$23:AO$30,$E2555)</f>
        <v/>
      </c>
      <c r="AP2555" s="35">
        <f>INDEX(AP$263:AP$279,$F2555)*$D2555*INDEX(AP$23:AP$30,$E2555)</f>
        <v/>
      </c>
      <c r="AQ2555" s="35">
        <f>INDEX(AQ$263:AQ$279,$F2555)*$D2555*INDEX(AQ$23:AQ$30,$E2555)</f>
        <v/>
      </c>
      <c r="AR2555" s="35">
        <f>INDEX(AR$263:AR$279,$F2555)*$D2555*INDEX(AR$23:AR$30,$E2555)</f>
        <v/>
      </c>
      <c r="AS2555" s="35">
        <f>INDEX(AS$263:AS$279,$F2555)*$D2555*INDEX(AS$23:AS$30,$E2555)</f>
        <v/>
      </c>
      <c r="AT2555" s="35">
        <f>INDEX(AT$263:AT$279,$F2555)*$D2555*INDEX(AT$23:AT$30,$E2555)</f>
        <v/>
      </c>
      <c r="AU2555" s="35">
        <f>INDEX(AU$263:AU$279,$F2555)*$D2555*INDEX(AU$23:AU$30,$E2555)</f>
        <v/>
      </c>
      <c r="AV2555" s="35">
        <f>INDEX(AV$263:AV$279,$F2555)*$D2555*INDEX(AV$23:AV$30,$E2555)</f>
        <v/>
      </c>
      <c r="AW2555" s="35">
        <f>INDEX(AW$263:AW$279,$F2555)*$D2555*INDEX(AW$23:AW$30,$E2555)</f>
        <v/>
      </c>
      <c r="AX2555" s="35">
        <f>INDEX(AX$263:AX$279,$F2555)*$D2555*INDEX(AX$23:AX$30,$E2555)</f>
        <v/>
      </c>
      <c r="AY2555" s="35">
        <f>INDEX(AY$263:AY$279,$F2555)*$D2555*INDEX(AY$23:AY$30,$E2555)</f>
        <v/>
      </c>
      <c r="AZ2555" s="35">
        <f>INDEX(AZ$263:AZ$279,$F2555)*$D2555*INDEX(AZ$23:AZ$30,$E2555)</f>
        <v/>
      </c>
      <c r="BA2555" s="42">
        <f>CARBONTAX(INDEX(BA$263:BA$279,$F2555),$D2555,INDEX(BA$23:BA$30,$E2555))</f>
        <v/>
      </c>
    </row>
    <row r="2556" hidden="1" outlineLevel="2">
      <c r="A2556" s="14" t="inlineStr">
        <is>
          <t>ctxnew</t>
        </is>
      </c>
      <c r="B2556" s="14" t="inlineStr">
        <is>
          <t>bio</t>
        </is>
      </c>
      <c r="C2556" s="14" t="inlineStr">
        <is>
          <t>omn</t>
        </is>
      </c>
      <c r="D2556" s="35">
        <f>INDEX(Inputs!$W$5:$W$132,MATCH($B2556&amp;"|"&amp;$C2556,Inputs!$A$5:$A$132,0))</f>
        <v/>
      </c>
      <c r="E2556" s="35">
        <f>INDEX(Inputs!$L$5:$L$132,MATCH($B2556&amp;"|"&amp;$C2556,Inputs!$A$5:$A$132,0))</f>
        <v/>
      </c>
      <c r="F2556" s="35">
        <f>INDEX(Inputs!$M$5:$M$132,MATCH($B2556&amp;"|"&amp;$C2556,Inputs!$A$5:$A$132,0))</f>
        <v/>
      </c>
      <c r="G2556" s="39" t="n"/>
      <c r="H2556" s="14">
        <f>INDEX(VarLab,MATCH($A2556,VarKey,0))&amp;INDEX(MemLab,MATCH($C2556&amp;"|"&amp;$B2556,MemKey,0))</f>
        <v/>
      </c>
      <c r="I2556" s="14">
        <f>INDEX(VarUnit,MATCH($A2556,VarKey,0))</f>
        <v/>
      </c>
      <c r="J2556" s="14">
        <f>INDEX(VarSrc,MATCH($A2556,VarKey,0))</f>
        <v/>
      </c>
      <c r="K2556" s="11">
        <f>CodePrefix&amp;$A2556&amp;IF($C2556="","","."&amp;$C2556&amp;"."&amp;$B2556)&amp;INDEX(VarEnd,MATCH($A2556,VarKey,0))&amp;K$5</f>
        <v/>
      </c>
      <c r="L2556" s="40">
        <f>INDEX(L$263:L$279,$F2556)*$D2556*INDEX(L$23:L$30,$E2556)</f>
        <v/>
      </c>
      <c r="M2556" s="35">
        <f>INDEX(M$263:M$279,$F2556)*$D2556*INDEX(M$23:M$30,$E2556)</f>
        <v/>
      </c>
      <c r="N2556" s="35">
        <f>INDEX(N$263:N$279,$F2556)*$D2556*INDEX(N$23:N$30,$E2556)</f>
        <v/>
      </c>
      <c r="O2556" s="35">
        <f>INDEX(O$263:O$279,$F2556)*$D2556*INDEX(O$23:O$30,$E2556)</f>
        <v/>
      </c>
      <c r="P2556" s="35">
        <f>INDEX(P$263:P$279,$F2556)*$D2556*INDEX(P$23:P$30,$E2556)</f>
        <v/>
      </c>
      <c r="Q2556" s="35">
        <f>INDEX(Q$263:Q$279,$F2556)*$D2556*INDEX(Q$23:Q$30,$E2556)</f>
        <v/>
      </c>
      <c r="R2556" s="35">
        <f>INDEX(R$263:R$279,$F2556)*$D2556*INDEX(R$23:R$30,$E2556)</f>
        <v/>
      </c>
      <c r="S2556" s="35">
        <f>INDEX(S$263:S$279,$F2556)*$D2556*INDEX(S$23:S$30,$E2556)</f>
        <v/>
      </c>
      <c r="T2556" s="35">
        <f>INDEX(T$263:T$279,$F2556)*$D2556*INDEX(T$23:T$30,$E2556)</f>
        <v/>
      </c>
      <c r="U2556" s="35">
        <f>INDEX(U$263:U$279,$F2556)*$D2556*INDEX(U$23:U$30,$E2556)</f>
        <v/>
      </c>
      <c r="V2556" s="35">
        <f>INDEX(V$263:V$279,$F2556)*$D2556*INDEX(V$23:V$30,$E2556)</f>
        <v/>
      </c>
      <c r="W2556" s="35">
        <f>INDEX(W$263:W$279,$F2556)*$D2556*INDEX(W$23:W$30,$E2556)</f>
        <v/>
      </c>
      <c r="X2556" s="35">
        <f>INDEX(X$263:X$279,$F2556)*$D2556*INDEX(X$23:X$30,$E2556)</f>
        <v/>
      </c>
      <c r="Y2556" s="35">
        <f>INDEX(Y$263:Y$279,$F2556)*$D2556*INDEX(Y$23:Y$30,$E2556)</f>
        <v/>
      </c>
      <c r="Z2556" s="35">
        <f>INDEX(Z$263:Z$279,$F2556)*$D2556*INDEX(Z$23:Z$30,$E2556)</f>
        <v/>
      </c>
      <c r="AA2556" s="35">
        <f>INDEX(AA$263:AA$279,$F2556)*$D2556*INDEX(AA$23:AA$30,$E2556)</f>
        <v/>
      </c>
      <c r="AB2556" s="35">
        <f>INDEX(AB$263:AB$279,$F2556)*$D2556*INDEX(AB$23:AB$30,$E2556)</f>
        <v/>
      </c>
      <c r="AC2556" s="35">
        <f>INDEX(AC$263:AC$279,$F2556)*$D2556*INDEX(AC$23:AC$30,$E2556)</f>
        <v/>
      </c>
      <c r="AD2556" s="35">
        <f>INDEX(AD$263:AD$279,$F2556)*$D2556*INDEX(AD$23:AD$30,$E2556)</f>
        <v/>
      </c>
      <c r="AE2556" s="42">
        <f>CARBONTAX(INDEX(AE$263:AE$279,$F2556),$D2556,INDEX(AE$23:AE$30,$E2556))</f>
        <v/>
      </c>
      <c r="AG2556" s="11">
        <f>CodePrefix&amp;$A2556&amp;IF($C2556="","","."&amp;$C2556&amp;"."&amp;$B2556)&amp;INDEX(VarEnd,MATCH($A2556,VarKey,0))&amp;AG$5</f>
        <v/>
      </c>
      <c r="AH2556" s="40">
        <f>INDEX(AH$263:AH$279,$F2556)*$D2556*INDEX(AH$23:AH$30,$E2556)</f>
        <v/>
      </c>
      <c r="AI2556" s="35">
        <f>INDEX(AI$263:AI$279,$F2556)*$D2556*INDEX(AI$23:AI$30,$E2556)</f>
        <v/>
      </c>
      <c r="AJ2556" s="35">
        <f>INDEX(AJ$263:AJ$279,$F2556)*$D2556*INDEX(AJ$23:AJ$30,$E2556)</f>
        <v/>
      </c>
      <c r="AK2556" s="35">
        <f>INDEX(AK$263:AK$279,$F2556)*$D2556*INDEX(AK$23:AK$30,$E2556)</f>
        <v/>
      </c>
      <c r="AL2556" s="35">
        <f>INDEX(AL$263:AL$279,$F2556)*$D2556*INDEX(AL$23:AL$30,$E2556)</f>
        <v/>
      </c>
      <c r="AM2556" s="35">
        <f>INDEX(AM$263:AM$279,$F2556)*$D2556*INDEX(AM$23:AM$30,$E2556)</f>
        <v/>
      </c>
      <c r="AN2556" s="35">
        <f>INDEX(AN$263:AN$279,$F2556)*$D2556*INDEX(AN$23:AN$30,$E2556)</f>
        <v/>
      </c>
      <c r="AO2556" s="35">
        <f>INDEX(AO$263:AO$279,$F2556)*$D2556*INDEX(AO$23:AO$30,$E2556)</f>
        <v/>
      </c>
      <c r="AP2556" s="35">
        <f>INDEX(AP$263:AP$279,$F2556)*$D2556*INDEX(AP$23:AP$30,$E2556)</f>
        <v/>
      </c>
      <c r="AQ2556" s="35">
        <f>INDEX(AQ$263:AQ$279,$F2556)*$D2556*INDEX(AQ$23:AQ$30,$E2556)</f>
        <v/>
      </c>
      <c r="AR2556" s="35">
        <f>INDEX(AR$263:AR$279,$F2556)*$D2556*INDEX(AR$23:AR$30,$E2556)</f>
        <v/>
      </c>
      <c r="AS2556" s="35">
        <f>INDEX(AS$263:AS$279,$F2556)*$D2556*INDEX(AS$23:AS$30,$E2556)</f>
        <v/>
      </c>
      <c r="AT2556" s="35">
        <f>INDEX(AT$263:AT$279,$F2556)*$D2556*INDEX(AT$23:AT$30,$E2556)</f>
        <v/>
      </c>
      <c r="AU2556" s="35">
        <f>INDEX(AU$263:AU$279,$F2556)*$D2556*INDEX(AU$23:AU$30,$E2556)</f>
        <v/>
      </c>
      <c r="AV2556" s="35">
        <f>INDEX(AV$263:AV$279,$F2556)*$D2556*INDEX(AV$23:AV$30,$E2556)</f>
        <v/>
      </c>
      <c r="AW2556" s="35">
        <f>INDEX(AW$263:AW$279,$F2556)*$D2556*INDEX(AW$23:AW$30,$E2556)</f>
        <v/>
      </c>
      <c r="AX2556" s="35">
        <f>INDEX(AX$263:AX$279,$F2556)*$D2556*INDEX(AX$23:AX$30,$E2556)</f>
        <v/>
      </c>
      <c r="AY2556" s="35">
        <f>INDEX(AY$263:AY$279,$F2556)*$D2556*INDEX(AY$23:AY$30,$E2556)</f>
        <v/>
      </c>
      <c r="AZ2556" s="35">
        <f>INDEX(AZ$263:AZ$279,$F2556)*$D2556*INDEX(AZ$23:AZ$30,$E2556)</f>
        <v/>
      </c>
      <c r="BA2556" s="42">
        <f>CARBONTAX(INDEX(BA$263:BA$279,$F2556),$D2556,INDEX(BA$23:BA$30,$E2556))</f>
        <v/>
      </c>
    </row>
    <row r="2557" hidden="1" outlineLevel="2"/>
    <row r="2558" hidden="1" outlineLevel="2">
      <c r="A2558" s="14" t="inlineStr">
        <is>
          <t>ets</t>
        </is>
      </c>
      <c r="B2558" s="14" t="inlineStr">
        <is>
          <t>coa</t>
        </is>
      </c>
      <c r="C2558" s="14" t="inlineStr">
        <is>
          <t>omn</t>
        </is>
      </c>
      <c r="D2558" s="35">
        <f>INDEX(Inputs!$W$5:$W$132,MATCH($B2558&amp;"|"&amp;$C2558,Inputs!$A$5:$A$132,0))</f>
        <v/>
      </c>
      <c r="E2558" s="35">
        <f>INDEX(Inputs!$M$5:$M$132,MATCH($B2558&amp;"|"&amp;$C2558,Inputs!$A$5:$A$132,0))</f>
        <v/>
      </c>
      <c r="F2558" s="39" t="n"/>
      <c r="G2558" s="39" t="n"/>
      <c r="H2558" s="14">
        <f>INDEX(VarLab,MATCH($A2558,VarKey,0))&amp;INDEX(MemLab,MATCH($C2558&amp;"|"&amp;$B2558,MemKey,0))</f>
        <v/>
      </c>
      <c r="I2558" s="14">
        <f>INDEX(VarUnit,MATCH($A2558,VarKey,0))</f>
        <v/>
      </c>
      <c r="J2558" s="14">
        <f>INDEX(VarSrc,MATCH($A2558,VarKey,0))</f>
        <v/>
      </c>
      <c r="K2558" s="11">
        <f>CodePrefix&amp;$A2558&amp;IF($C2558="","","."&amp;$C2558&amp;"."&amp;$B2558)&amp;INDEX(VarEnd,MATCH($A2558,VarKey,0))&amp;K$5</f>
        <v/>
      </c>
      <c r="L2558" s="40">
        <f>INDEX(L$280:L$296,$E2558)*$D2558</f>
        <v/>
      </c>
      <c r="M2558" s="35">
        <f>INDEX(M$280:M$296,$E2558)*$D2558</f>
        <v/>
      </c>
      <c r="N2558" s="35">
        <f>INDEX(N$280:N$296,$E2558)*$D2558</f>
        <v/>
      </c>
      <c r="O2558" s="35">
        <f>INDEX(O$280:O$296,$E2558)*$D2558</f>
        <v/>
      </c>
      <c r="P2558" s="35">
        <f>INDEX(P$280:P$296,$E2558)*$D2558</f>
        <v/>
      </c>
      <c r="Q2558" s="35">
        <f>INDEX(Q$280:Q$296,$E2558)*$D2558</f>
        <v/>
      </c>
      <c r="R2558" s="35">
        <f>INDEX(R$280:R$296,$E2558)*$D2558</f>
        <v/>
      </c>
      <c r="S2558" s="35">
        <f>INDEX(S$280:S$296,$E2558)*$D2558</f>
        <v/>
      </c>
      <c r="T2558" s="35">
        <f>INDEX(T$280:T$296,$E2558)*$D2558</f>
        <v/>
      </c>
      <c r="U2558" s="35">
        <f>INDEX(U$280:U$296,$E2558)*$D2558</f>
        <v/>
      </c>
      <c r="V2558" s="35">
        <f>INDEX(V$280:V$296,$E2558)*$D2558</f>
        <v/>
      </c>
      <c r="W2558" s="35">
        <f>INDEX(W$280:W$296,$E2558)*$D2558</f>
        <v/>
      </c>
      <c r="X2558" s="35">
        <f>INDEX(X$280:X$296,$E2558)*$D2558</f>
        <v/>
      </c>
      <c r="Y2558" s="35">
        <f>INDEX(Y$280:Y$296,$E2558)*$D2558</f>
        <v/>
      </c>
      <c r="Z2558" s="35">
        <f>INDEX(Z$280:Z$296,$E2558)*$D2558</f>
        <v/>
      </c>
      <c r="AA2558" s="35">
        <f>INDEX(AA$280:AA$296,$E2558)*$D2558</f>
        <v/>
      </c>
      <c r="AB2558" s="35">
        <f>INDEX(AB$280:AB$296,$E2558)*$D2558</f>
        <v/>
      </c>
      <c r="AC2558" s="35">
        <f>INDEX(AC$280:AC$296,$E2558)*$D2558</f>
        <v/>
      </c>
      <c r="AD2558" s="35">
        <f>INDEX(AD$280:AD$296,$E2558)*$D2558</f>
        <v/>
      </c>
      <c r="AE2558" s="42">
        <f>ETSCOST(INDEX(AE$280:AE$296,$E2558),$D2558)</f>
        <v/>
      </c>
      <c r="AG2558" s="11">
        <f>CodePrefix&amp;$A2558&amp;IF($C2558="","","."&amp;$C2558&amp;"."&amp;$B2558)&amp;INDEX(VarEnd,MATCH($A2558,VarKey,0))&amp;AG$5</f>
        <v/>
      </c>
      <c r="AH2558" s="40">
        <f>INDEX(AH$280:AH$296,$E2558)*$D2558</f>
        <v/>
      </c>
      <c r="AI2558" s="35">
        <f>INDEX(AI$280:AI$296,$E2558)*$D2558</f>
        <v/>
      </c>
      <c r="AJ2558" s="35">
        <f>INDEX(AJ$280:AJ$296,$E2558)*$D2558</f>
        <v/>
      </c>
      <c r="AK2558" s="35">
        <f>INDEX(AK$280:AK$296,$E2558)*$D2558</f>
        <v/>
      </c>
      <c r="AL2558" s="35">
        <f>INDEX(AL$280:AL$296,$E2558)*$D2558</f>
        <v/>
      </c>
      <c r="AM2558" s="35">
        <f>INDEX(AM$280:AM$296,$E2558)*$D2558</f>
        <v/>
      </c>
      <c r="AN2558" s="35">
        <f>INDEX(AN$280:AN$296,$E2558)*$D2558</f>
        <v/>
      </c>
      <c r="AO2558" s="35">
        <f>INDEX(AO$280:AO$296,$E2558)*$D2558</f>
        <v/>
      </c>
      <c r="AP2558" s="35">
        <f>INDEX(AP$280:AP$296,$E2558)*$D2558</f>
        <v/>
      </c>
      <c r="AQ2558" s="35">
        <f>INDEX(AQ$280:AQ$296,$E2558)*$D2558</f>
        <v/>
      </c>
      <c r="AR2558" s="35">
        <f>INDEX(AR$280:AR$296,$E2558)*$D2558</f>
        <v/>
      </c>
      <c r="AS2558" s="35">
        <f>INDEX(AS$280:AS$296,$E2558)*$D2558</f>
        <v/>
      </c>
      <c r="AT2558" s="35">
        <f>INDEX(AT$280:AT$296,$E2558)*$D2558</f>
        <v/>
      </c>
      <c r="AU2558" s="35">
        <f>INDEX(AU$280:AU$296,$E2558)*$D2558</f>
        <v/>
      </c>
      <c r="AV2558" s="35">
        <f>INDEX(AV$280:AV$296,$E2558)*$D2558</f>
        <v/>
      </c>
      <c r="AW2558" s="35">
        <f>INDEX(AW$280:AW$296,$E2558)*$D2558</f>
        <v/>
      </c>
      <c r="AX2558" s="35">
        <f>INDEX(AX$280:AX$296,$E2558)*$D2558</f>
        <v/>
      </c>
      <c r="AY2558" s="35">
        <f>INDEX(AY$280:AY$296,$E2558)*$D2558</f>
        <v/>
      </c>
      <c r="AZ2558" s="35">
        <f>INDEX(AZ$280:AZ$296,$E2558)*$D2558</f>
        <v/>
      </c>
      <c r="BA2558" s="42">
        <f>ETSCOST(INDEX(BA$280:BA$296,$E2558),$D2558)</f>
        <v/>
      </c>
    </row>
    <row r="2559" hidden="1" outlineLevel="2">
      <c r="A2559" s="14" t="inlineStr">
        <is>
          <t>ets</t>
        </is>
      </c>
      <c r="B2559" s="14" t="inlineStr">
        <is>
          <t>nga</t>
        </is>
      </c>
      <c r="C2559" s="14" t="inlineStr">
        <is>
          <t>omn</t>
        </is>
      </c>
      <c r="D2559" s="35">
        <f>INDEX(Inputs!$W$5:$W$132,MATCH($B2559&amp;"|"&amp;$C2559,Inputs!$A$5:$A$132,0))</f>
        <v/>
      </c>
      <c r="E2559" s="35">
        <f>INDEX(Inputs!$M$5:$M$132,MATCH($B2559&amp;"|"&amp;$C2559,Inputs!$A$5:$A$132,0))</f>
        <v/>
      </c>
      <c r="F2559" s="39" t="n"/>
      <c r="G2559" s="39" t="n"/>
      <c r="H2559" s="14">
        <f>INDEX(VarLab,MATCH($A2559,VarKey,0))&amp;INDEX(MemLab,MATCH($C2559&amp;"|"&amp;$B2559,MemKey,0))</f>
        <v/>
      </c>
      <c r="I2559" s="14">
        <f>INDEX(VarUnit,MATCH($A2559,VarKey,0))</f>
        <v/>
      </c>
      <c r="J2559" s="14">
        <f>INDEX(VarSrc,MATCH($A2559,VarKey,0))</f>
        <v/>
      </c>
      <c r="K2559" s="11">
        <f>CodePrefix&amp;$A2559&amp;IF($C2559="","","."&amp;$C2559&amp;"."&amp;$B2559)&amp;INDEX(VarEnd,MATCH($A2559,VarKey,0))&amp;K$5</f>
        <v/>
      </c>
      <c r="L2559" s="40">
        <f>INDEX(L$280:L$296,$E2559)*$D2559</f>
        <v/>
      </c>
      <c r="M2559" s="35">
        <f>INDEX(M$280:M$296,$E2559)*$D2559</f>
        <v/>
      </c>
      <c r="N2559" s="35">
        <f>INDEX(N$280:N$296,$E2559)*$D2559</f>
        <v/>
      </c>
      <c r="O2559" s="35">
        <f>INDEX(O$280:O$296,$E2559)*$D2559</f>
        <v/>
      </c>
      <c r="P2559" s="35">
        <f>INDEX(P$280:P$296,$E2559)*$D2559</f>
        <v/>
      </c>
      <c r="Q2559" s="35">
        <f>INDEX(Q$280:Q$296,$E2559)*$D2559</f>
        <v/>
      </c>
      <c r="R2559" s="35">
        <f>INDEX(R$280:R$296,$E2559)*$D2559</f>
        <v/>
      </c>
      <c r="S2559" s="35">
        <f>INDEX(S$280:S$296,$E2559)*$D2559</f>
        <v/>
      </c>
      <c r="T2559" s="35">
        <f>INDEX(T$280:T$296,$E2559)*$D2559</f>
        <v/>
      </c>
      <c r="U2559" s="35">
        <f>INDEX(U$280:U$296,$E2559)*$D2559</f>
        <v/>
      </c>
      <c r="V2559" s="35">
        <f>INDEX(V$280:V$296,$E2559)*$D2559</f>
        <v/>
      </c>
      <c r="W2559" s="35">
        <f>INDEX(W$280:W$296,$E2559)*$D2559</f>
        <v/>
      </c>
      <c r="X2559" s="35">
        <f>INDEX(X$280:X$296,$E2559)*$D2559</f>
        <v/>
      </c>
      <c r="Y2559" s="35">
        <f>INDEX(Y$280:Y$296,$E2559)*$D2559</f>
        <v/>
      </c>
      <c r="Z2559" s="35">
        <f>INDEX(Z$280:Z$296,$E2559)*$D2559</f>
        <v/>
      </c>
      <c r="AA2559" s="35">
        <f>INDEX(AA$280:AA$296,$E2559)*$D2559</f>
        <v/>
      </c>
      <c r="AB2559" s="35">
        <f>INDEX(AB$280:AB$296,$E2559)*$D2559</f>
        <v/>
      </c>
      <c r="AC2559" s="35">
        <f>INDEX(AC$280:AC$296,$E2559)*$D2559</f>
        <v/>
      </c>
      <c r="AD2559" s="35">
        <f>INDEX(AD$280:AD$296,$E2559)*$D2559</f>
        <v/>
      </c>
      <c r="AE2559" s="42">
        <f>ETSCOST(INDEX(AE$280:AE$296,$E2559),$D2559)</f>
        <v/>
      </c>
      <c r="AG2559" s="11">
        <f>CodePrefix&amp;$A2559&amp;IF($C2559="","","."&amp;$C2559&amp;"."&amp;$B2559)&amp;INDEX(VarEnd,MATCH($A2559,VarKey,0))&amp;AG$5</f>
        <v/>
      </c>
      <c r="AH2559" s="40">
        <f>INDEX(AH$280:AH$296,$E2559)*$D2559</f>
        <v/>
      </c>
      <c r="AI2559" s="35">
        <f>INDEX(AI$280:AI$296,$E2559)*$D2559</f>
        <v/>
      </c>
      <c r="AJ2559" s="35">
        <f>INDEX(AJ$280:AJ$296,$E2559)*$D2559</f>
        <v/>
      </c>
      <c r="AK2559" s="35">
        <f>INDEX(AK$280:AK$296,$E2559)*$D2559</f>
        <v/>
      </c>
      <c r="AL2559" s="35">
        <f>INDEX(AL$280:AL$296,$E2559)*$D2559</f>
        <v/>
      </c>
      <c r="AM2559" s="35">
        <f>INDEX(AM$280:AM$296,$E2559)*$D2559</f>
        <v/>
      </c>
      <c r="AN2559" s="35">
        <f>INDEX(AN$280:AN$296,$E2559)*$D2559</f>
        <v/>
      </c>
      <c r="AO2559" s="35">
        <f>INDEX(AO$280:AO$296,$E2559)*$D2559</f>
        <v/>
      </c>
      <c r="AP2559" s="35">
        <f>INDEX(AP$280:AP$296,$E2559)*$D2559</f>
        <v/>
      </c>
      <c r="AQ2559" s="35">
        <f>INDEX(AQ$280:AQ$296,$E2559)*$D2559</f>
        <v/>
      </c>
      <c r="AR2559" s="35">
        <f>INDEX(AR$280:AR$296,$E2559)*$D2559</f>
        <v/>
      </c>
      <c r="AS2559" s="35">
        <f>INDEX(AS$280:AS$296,$E2559)*$D2559</f>
        <v/>
      </c>
      <c r="AT2559" s="35">
        <f>INDEX(AT$280:AT$296,$E2559)*$D2559</f>
        <v/>
      </c>
      <c r="AU2559" s="35">
        <f>INDEX(AU$280:AU$296,$E2559)*$D2559</f>
        <v/>
      </c>
      <c r="AV2559" s="35">
        <f>INDEX(AV$280:AV$296,$E2559)*$D2559</f>
        <v/>
      </c>
      <c r="AW2559" s="35">
        <f>INDEX(AW$280:AW$296,$E2559)*$D2559</f>
        <v/>
      </c>
      <c r="AX2559" s="35">
        <f>INDEX(AX$280:AX$296,$E2559)*$D2559</f>
        <v/>
      </c>
      <c r="AY2559" s="35">
        <f>INDEX(AY$280:AY$296,$E2559)*$D2559</f>
        <v/>
      </c>
      <c r="AZ2559" s="35">
        <f>INDEX(AZ$280:AZ$296,$E2559)*$D2559</f>
        <v/>
      </c>
      <c r="BA2559" s="42">
        <f>ETSCOST(INDEX(BA$280:BA$296,$E2559),$D2559)</f>
        <v/>
      </c>
    </row>
    <row r="2560" hidden="1" outlineLevel="2">
      <c r="A2560" s="14" t="inlineStr">
        <is>
          <t>ets</t>
        </is>
      </c>
      <c r="B2560" s="14" t="inlineStr">
        <is>
          <t>gso</t>
        </is>
      </c>
      <c r="C2560" s="14" t="inlineStr">
        <is>
          <t>omn</t>
        </is>
      </c>
      <c r="D2560" s="35">
        <f>INDEX(Inputs!$W$5:$W$132,MATCH($B2560&amp;"|"&amp;$C2560,Inputs!$A$5:$A$132,0))</f>
        <v/>
      </c>
      <c r="E2560" s="35">
        <f>INDEX(Inputs!$M$5:$M$132,MATCH($B2560&amp;"|"&amp;$C2560,Inputs!$A$5:$A$132,0))</f>
        <v/>
      </c>
      <c r="F2560" s="39" t="n"/>
      <c r="G2560" s="39" t="n"/>
      <c r="H2560" s="14">
        <f>INDEX(VarLab,MATCH($A2560,VarKey,0))&amp;INDEX(MemLab,MATCH($C2560&amp;"|"&amp;$B2560,MemKey,0))</f>
        <v/>
      </c>
      <c r="I2560" s="14">
        <f>INDEX(VarUnit,MATCH($A2560,VarKey,0))</f>
        <v/>
      </c>
      <c r="J2560" s="14">
        <f>INDEX(VarSrc,MATCH($A2560,VarKey,0))</f>
        <v/>
      </c>
      <c r="K2560" s="11">
        <f>CodePrefix&amp;$A2560&amp;IF($C2560="","","."&amp;$C2560&amp;"."&amp;$B2560)&amp;INDEX(VarEnd,MATCH($A2560,VarKey,0))&amp;K$5</f>
        <v/>
      </c>
      <c r="L2560" s="40">
        <f>INDEX(L$280:L$296,$E2560)*$D2560</f>
        <v/>
      </c>
      <c r="M2560" s="35">
        <f>INDEX(M$280:M$296,$E2560)*$D2560</f>
        <v/>
      </c>
      <c r="N2560" s="35">
        <f>INDEX(N$280:N$296,$E2560)*$D2560</f>
        <v/>
      </c>
      <c r="O2560" s="35">
        <f>INDEX(O$280:O$296,$E2560)*$D2560</f>
        <v/>
      </c>
      <c r="P2560" s="35">
        <f>INDEX(P$280:P$296,$E2560)*$D2560</f>
        <v/>
      </c>
      <c r="Q2560" s="35">
        <f>INDEX(Q$280:Q$296,$E2560)*$D2560</f>
        <v/>
      </c>
      <c r="R2560" s="35">
        <f>INDEX(R$280:R$296,$E2560)*$D2560</f>
        <v/>
      </c>
      <c r="S2560" s="35">
        <f>INDEX(S$280:S$296,$E2560)*$D2560</f>
        <v/>
      </c>
      <c r="T2560" s="35">
        <f>INDEX(T$280:T$296,$E2560)*$D2560</f>
        <v/>
      </c>
      <c r="U2560" s="35">
        <f>INDEX(U$280:U$296,$E2560)*$D2560</f>
        <v/>
      </c>
      <c r="V2560" s="35">
        <f>INDEX(V$280:V$296,$E2560)*$D2560</f>
        <v/>
      </c>
      <c r="W2560" s="35">
        <f>INDEX(W$280:W$296,$E2560)*$D2560</f>
        <v/>
      </c>
      <c r="X2560" s="35">
        <f>INDEX(X$280:X$296,$E2560)*$D2560</f>
        <v/>
      </c>
      <c r="Y2560" s="35">
        <f>INDEX(Y$280:Y$296,$E2560)*$D2560</f>
        <v/>
      </c>
      <c r="Z2560" s="35">
        <f>INDEX(Z$280:Z$296,$E2560)*$D2560</f>
        <v/>
      </c>
      <c r="AA2560" s="35">
        <f>INDEX(AA$280:AA$296,$E2560)*$D2560</f>
        <v/>
      </c>
      <c r="AB2560" s="35">
        <f>INDEX(AB$280:AB$296,$E2560)*$D2560</f>
        <v/>
      </c>
      <c r="AC2560" s="35">
        <f>INDEX(AC$280:AC$296,$E2560)*$D2560</f>
        <v/>
      </c>
      <c r="AD2560" s="35">
        <f>INDEX(AD$280:AD$296,$E2560)*$D2560</f>
        <v/>
      </c>
      <c r="AE2560" s="42">
        <f>ETSCOST(INDEX(AE$280:AE$296,$E2560),$D2560)</f>
        <v/>
      </c>
      <c r="AG2560" s="11">
        <f>CodePrefix&amp;$A2560&amp;IF($C2560="","","."&amp;$C2560&amp;"."&amp;$B2560)&amp;INDEX(VarEnd,MATCH($A2560,VarKey,0))&amp;AG$5</f>
        <v/>
      </c>
      <c r="AH2560" s="40">
        <f>INDEX(AH$280:AH$296,$E2560)*$D2560</f>
        <v/>
      </c>
      <c r="AI2560" s="35">
        <f>INDEX(AI$280:AI$296,$E2560)*$D2560</f>
        <v/>
      </c>
      <c r="AJ2560" s="35">
        <f>INDEX(AJ$280:AJ$296,$E2560)*$D2560</f>
        <v/>
      </c>
      <c r="AK2560" s="35">
        <f>INDEX(AK$280:AK$296,$E2560)*$D2560</f>
        <v/>
      </c>
      <c r="AL2560" s="35">
        <f>INDEX(AL$280:AL$296,$E2560)*$D2560</f>
        <v/>
      </c>
      <c r="AM2560" s="35">
        <f>INDEX(AM$280:AM$296,$E2560)*$D2560</f>
        <v/>
      </c>
      <c r="AN2560" s="35">
        <f>INDEX(AN$280:AN$296,$E2560)*$D2560</f>
        <v/>
      </c>
      <c r="AO2560" s="35">
        <f>INDEX(AO$280:AO$296,$E2560)*$D2560</f>
        <v/>
      </c>
      <c r="AP2560" s="35">
        <f>INDEX(AP$280:AP$296,$E2560)*$D2560</f>
        <v/>
      </c>
      <c r="AQ2560" s="35">
        <f>INDEX(AQ$280:AQ$296,$E2560)*$D2560</f>
        <v/>
      </c>
      <c r="AR2560" s="35">
        <f>INDEX(AR$280:AR$296,$E2560)*$D2560</f>
        <v/>
      </c>
      <c r="AS2560" s="35">
        <f>INDEX(AS$280:AS$296,$E2560)*$D2560</f>
        <v/>
      </c>
      <c r="AT2560" s="35">
        <f>INDEX(AT$280:AT$296,$E2560)*$D2560</f>
        <v/>
      </c>
      <c r="AU2560" s="35">
        <f>INDEX(AU$280:AU$296,$E2560)*$D2560</f>
        <v/>
      </c>
      <c r="AV2560" s="35">
        <f>INDEX(AV$280:AV$296,$E2560)*$D2560</f>
        <v/>
      </c>
      <c r="AW2560" s="35">
        <f>INDEX(AW$280:AW$296,$E2560)*$D2560</f>
        <v/>
      </c>
      <c r="AX2560" s="35">
        <f>INDEX(AX$280:AX$296,$E2560)*$D2560</f>
        <v/>
      </c>
      <c r="AY2560" s="35">
        <f>INDEX(AY$280:AY$296,$E2560)*$D2560</f>
        <v/>
      </c>
      <c r="AZ2560" s="35">
        <f>INDEX(AZ$280:AZ$296,$E2560)*$D2560</f>
        <v/>
      </c>
      <c r="BA2560" s="42">
        <f>ETSCOST(INDEX(BA$280:BA$296,$E2560),$D2560)</f>
        <v/>
      </c>
    </row>
    <row r="2561" hidden="1" outlineLevel="2">
      <c r="A2561" s="14" t="inlineStr">
        <is>
          <t>ets</t>
        </is>
      </c>
      <c r="B2561" s="14" t="inlineStr">
        <is>
          <t>die</t>
        </is>
      </c>
      <c r="C2561" s="14" t="inlineStr">
        <is>
          <t>omn</t>
        </is>
      </c>
      <c r="D2561" s="35">
        <f>INDEX(Inputs!$W$5:$W$132,MATCH($B2561&amp;"|"&amp;$C2561,Inputs!$A$5:$A$132,0))</f>
        <v/>
      </c>
      <c r="E2561" s="35">
        <f>INDEX(Inputs!$M$5:$M$132,MATCH($B2561&amp;"|"&amp;$C2561,Inputs!$A$5:$A$132,0))</f>
        <v/>
      </c>
      <c r="F2561" s="39" t="n"/>
      <c r="G2561" s="39" t="n"/>
      <c r="H2561" s="14">
        <f>INDEX(VarLab,MATCH($A2561,VarKey,0))&amp;INDEX(MemLab,MATCH($C2561&amp;"|"&amp;$B2561,MemKey,0))</f>
        <v/>
      </c>
      <c r="I2561" s="14">
        <f>INDEX(VarUnit,MATCH($A2561,VarKey,0))</f>
        <v/>
      </c>
      <c r="J2561" s="14">
        <f>INDEX(VarSrc,MATCH($A2561,VarKey,0))</f>
        <v/>
      </c>
      <c r="K2561" s="11">
        <f>CodePrefix&amp;$A2561&amp;IF($C2561="","","."&amp;$C2561&amp;"."&amp;$B2561)&amp;INDEX(VarEnd,MATCH($A2561,VarKey,0))&amp;K$5</f>
        <v/>
      </c>
      <c r="L2561" s="40">
        <f>INDEX(L$280:L$296,$E2561)*$D2561</f>
        <v/>
      </c>
      <c r="M2561" s="35">
        <f>INDEX(M$280:M$296,$E2561)*$D2561</f>
        <v/>
      </c>
      <c r="N2561" s="35">
        <f>INDEX(N$280:N$296,$E2561)*$D2561</f>
        <v/>
      </c>
      <c r="O2561" s="35">
        <f>INDEX(O$280:O$296,$E2561)*$D2561</f>
        <v/>
      </c>
      <c r="P2561" s="35">
        <f>INDEX(P$280:P$296,$E2561)*$D2561</f>
        <v/>
      </c>
      <c r="Q2561" s="35">
        <f>INDEX(Q$280:Q$296,$E2561)*$D2561</f>
        <v/>
      </c>
      <c r="R2561" s="35">
        <f>INDEX(R$280:R$296,$E2561)*$D2561</f>
        <v/>
      </c>
      <c r="S2561" s="35">
        <f>INDEX(S$280:S$296,$E2561)*$D2561</f>
        <v/>
      </c>
      <c r="T2561" s="35">
        <f>INDEX(T$280:T$296,$E2561)*$D2561</f>
        <v/>
      </c>
      <c r="U2561" s="35">
        <f>INDEX(U$280:U$296,$E2561)*$D2561</f>
        <v/>
      </c>
      <c r="V2561" s="35">
        <f>INDEX(V$280:V$296,$E2561)*$D2561</f>
        <v/>
      </c>
      <c r="W2561" s="35">
        <f>INDEX(W$280:W$296,$E2561)*$D2561</f>
        <v/>
      </c>
      <c r="X2561" s="35">
        <f>INDEX(X$280:X$296,$E2561)*$D2561</f>
        <v/>
      </c>
      <c r="Y2561" s="35">
        <f>INDEX(Y$280:Y$296,$E2561)*$D2561</f>
        <v/>
      </c>
      <c r="Z2561" s="35">
        <f>INDEX(Z$280:Z$296,$E2561)*$D2561</f>
        <v/>
      </c>
      <c r="AA2561" s="35">
        <f>INDEX(AA$280:AA$296,$E2561)*$D2561</f>
        <v/>
      </c>
      <c r="AB2561" s="35">
        <f>INDEX(AB$280:AB$296,$E2561)*$D2561</f>
        <v/>
      </c>
      <c r="AC2561" s="35">
        <f>INDEX(AC$280:AC$296,$E2561)*$D2561</f>
        <v/>
      </c>
      <c r="AD2561" s="35">
        <f>INDEX(AD$280:AD$296,$E2561)*$D2561</f>
        <v/>
      </c>
      <c r="AE2561" s="42">
        <f>ETSCOST(INDEX(AE$280:AE$296,$E2561),$D2561)</f>
        <v/>
      </c>
      <c r="AG2561" s="11">
        <f>CodePrefix&amp;$A2561&amp;IF($C2561="","","."&amp;$C2561&amp;"."&amp;$B2561)&amp;INDEX(VarEnd,MATCH($A2561,VarKey,0))&amp;AG$5</f>
        <v/>
      </c>
      <c r="AH2561" s="40">
        <f>INDEX(AH$280:AH$296,$E2561)*$D2561</f>
        <v/>
      </c>
      <c r="AI2561" s="35">
        <f>INDEX(AI$280:AI$296,$E2561)*$D2561</f>
        <v/>
      </c>
      <c r="AJ2561" s="35">
        <f>INDEX(AJ$280:AJ$296,$E2561)*$D2561</f>
        <v/>
      </c>
      <c r="AK2561" s="35">
        <f>INDEX(AK$280:AK$296,$E2561)*$D2561</f>
        <v/>
      </c>
      <c r="AL2561" s="35">
        <f>INDEX(AL$280:AL$296,$E2561)*$D2561</f>
        <v/>
      </c>
      <c r="AM2561" s="35">
        <f>INDEX(AM$280:AM$296,$E2561)*$D2561</f>
        <v/>
      </c>
      <c r="AN2561" s="35">
        <f>INDEX(AN$280:AN$296,$E2561)*$D2561</f>
        <v/>
      </c>
      <c r="AO2561" s="35">
        <f>INDEX(AO$280:AO$296,$E2561)*$D2561</f>
        <v/>
      </c>
      <c r="AP2561" s="35">
        <f>INDEX(AP$280:AP$296,$E2561)*$D2561</f>
        <v/>
      </c>
      <c r="AQ2561" s="35">
        <f>INDEX(AQ$280:AQ$296,$E2561)*$D2561</f>
        <v/>
      </c>
      <c r="AR2561" s="35">
        <f>INDEX(AR$280:AR$296,$E2561)*$D2561</f>
        <v/>
      </c>
      <c r="AS2561" s="35">
        <f>INDEX(AS$280:AS$296,$E2561)*$D2561</f>
        <v/>
      </c>
      <c r="AT2561" s="35">
        <f>INDEX(AT$280:AT$296,$E2561)*$D2561</f>
        <v/>
      </c>
      <c r="AU2561" s="35">
        <f>INDEX(AU$280:AU$296,$E2561)*$D2561</f>
        <v/>
      </c>
      <c r="AV2561" s="35">
        <f>INDEX(AV$280:AV$296,$E2561)*$D2561</f>
        <v/>
      </c>
      <c r="AW2561" s="35">
        <f>INDEX(AW$280:AW$296,$E2561)*$D2561</f>
        <v/>
      </c>
      <c r="AX2561" s="35">
        <f>INDEX(AX$280:AX$296,$E2561)*$D2561</f>
        <v/>
      </c>
      <c r="AY2561" s="35">
        <f>INDEX(AY$280:AY$296,$E2561)*$D2561</f>
        <v/>
      </c>
      <c r="AZ2561" s="35">
        <f>INDEX(AZ$280:AZ$296,$E2561)*$D2561</f>
        <v/>
      </c>
      <c r="BA2561" s="42">
        <f>ETSCOST(INDEX(BA$280:BA$296,$E2561),$D2561)</f>
        <v/>
      </c>
    </row>
    <row r="2562" hidden="1" outlineLevel="2">
      <c r="A2562" s="14" t="inlineStr">
        <is>
          <t>ets</t>
        </is>
      </c>
      <c r="B2562" s="14" t="inlineStr">
        <is>
          <t>lpg</t>
        </is>
      </c>
      <c r="C2562" s="14" t="inlineStr">
        <is>
          <t>omn</t>
        </is>
      </c>
      <c r="D2562" s="35">
        <f>INDEX(Inputs!$W$5:$W$132,MATCH($B2562&amp;"|"&amp;$C2562,Inputs!$A$5:$A$132,0))</f>
        <v/>
      </c>
      <c r="E2562" s="35">
        <f>INDEX(Inputs!$M$5:$M$132,MATCH($B2562&amp;"|"&amp;$C2562,Inputs!$A$5:$A$132,0))</f>
        <v/>
      </c>
      <c r="F2562" s="39" t="n"/>
      <c r="G2562" s="39" t="n"/>
      <c r="H2562" s="14">
        <f>INDEX(VarLab,MATCH($A2562,VarKey,0))&amp;INDEX(MemLab,MATCH($C2562&amp;"|"&amp;$B2562,MemKey,0))</f>
        <v/>
      </c>
      <c r="I2562" s="14">
        <f>INDEX(VarUnit,MATCH($A2562,VarKey,0))</f>
        <v/>
      </c>
      <c r="J2562" s="14">
        <f>INDEX(VarSrc,MATCH($A2562,VarKey,0))</f>
        <v/>
      </c>
      <c r="K2562" s="11">
        <f>CodePrefix&amp;$A2562&amp;IF($C2562="","","."&amp;$C2562&amp;"."&amp;$B2562)&amp;INDEX(VarEnd,MATCH($A2562,VarKey,0))&amp;K$5</f>
        <v/>
      </c>
      <c r="L2562" s="40">
        <f>INDEX(L$280:L$296,$E2562)*$D2562</f>
        <v/>
      </c>
      <c r="M2562" s="35">
        <f>INDEX(M$280:M$296,$E2562)*$D2562</f>
        <v/>
      </c>
      <c r="N2562" s="35">
        <f>INDEX(N$280:N$296,$E2562)*$D2562</f>
        <v/>
      </c>
      <c r="O2562" s="35">
        <f>INDEX(O$280:O$296,$E2562)*$D2562</f>
        <v/>
      </c>
      <c r="P2562" s="35">
        <f>INDEX(P$280:P$296,$E2562)*$D2562</f>
        <v/>
      </c>
      <c r="Q2562" s="35">
        <f>INDEX(Q$280:Q$296,$E2562)*$D2562</f>
        <v/>
      </c>
      <c r="R2562" s="35">
        <f>INDEX(R$280:R$296,$E2562)*$D2562</f>
        <v/>
      </c>
      <c r="S2562" s="35">
        <f>INDEX(S$280:S$296,$E2562)*$D2562</f>
        <v/>
      </c>
      <c r="T2562" s="35">
        <f>INDEX(T$280:T$296,$E2562)*$D2562</f>
        <v/>
      </c>
      <c r="U2562" s="35">
        <f>INDEX(U$280:U$296,$E2562)*$D2562</f>
        <v/>
      </c>
      <c r="V2562" s="35">
        <f>INDEX(V$280:V$296,$E2562)*$D2562</f>
        <v/>
      </c>
      <c r="W2562" s="35">
        <f>INDEX(W$280:W$296,$E2562)*$D2562</f>
        <v/>
      </c>
      <c r="X2562" s="35">
        <f>INDEX(X$280:X$296,$E2562)*$D2562</f>
        <v/>
      </c>
      <c r="Y2562" s="35">
        <f>INDEX(Y$280:Y$296,$E2562)*$D2562</f>
        <v/>
      </c>
      <c r="Z2562" s="35">
        <f>INDEX(Z$280:Z$296,$E2562)*$D2562</f>
        <v/>
      </c>
      <c r="AA2562" s="35">
        <f>INDEX(AA$280:AA$296,$E2562)*$D2562</f>
        <v/>
      </c>
      <c r="AB2562" s="35">
        <f>INDEX(AB$280:AB$296,$E2562)*$D2562</f>
        <v/>
      </c>
      <c r="AC2562" s="35">
        <f>INDEX(AC$280:AC$296,$E2562)*$D2562</f>
        <v/>
      </c>
      <c r="AD2562" s="35">
        <f>INDEX(AD$280:AD$296,$E2562)*$D2562</f>
        <v/>
      </c>
      <c r="AE2562" s="42">
        <f>ETSCOST(INDEX(AE$280:AE$296,$E2562),$D2562)</f>
        <v/>
      </c>
      <c r="AG2562" s="11">
        <f>CodePrefix&amp;$A2562&amp;IF($C2562="","","."&amp;$C2562&amp;"."&amp;$B2562)&amp;INDEX(VarEnd,MATCH($A2562,VarKey,0))&amp;AG$5</f>
        <v/>
      </c>
      <c r="AH2562" s="40">
        <f>INDEX(AH$280:AH$296,$E2562)*$D2562</f>
        <v/>
      </c>
      <c r="AI2562" s="35">
        <f>INDEX(AI$280:AI$296,$E2562)*$D2562</f>
        <v/>
      </c>
      <c r="AJ2562" s="35">
        <f>INDEX(AJ$280:AJ$296,$E2562)*$D2562</f>
        <v/>
      </c>
      <c r="AK2562" s="35">
        <f>INDEX(AK$280:AK$296,$E2562)*$D2562</f>
        <v/>
      </c>
      <c r="AL2562" s="35">
        <f>INDEX(AL$280:AL$296,$E2562)*$D2562</f>
        <v/>
      </c>
      <c r="AM2562" s="35">
        <f>INDEX(AM$280:AM$296,$E2562)*$D2562</f>
        <v/>
      </c>
      <c r="AN2562" s="35">
        <f>INDEX(AN$280:AN$296,$E2562)*$D2562</f>
        <v/>
      </c>
      <c r="AO2562" s="35">
        <f>INDEX(AO$280:AO$296,$E2562)*$D2562</f>
        <v/>
      </c>
      <c r="AP2562" s="35">
        <f>INDEX(AP$280:AP$296,$E2562)*$D2562</f>
        <v/>
      </c>
      <c r="AQ2562" s="35">
        <f>INDEX(AQ$280:AQ$296,$E2562)*$D2562</f>
        <v/>
      </c>
      <c r="AR2562" s="35">
        <f>INDEX(AR$280:AR$296,$E2562)*$D2562</f>
        <v/>
      </c>
      <c r="AS2562" s="35">
        <f>INDEX(AS$280:AS$296,$E2562)*$D2562</f>
        <v/>
      </c>
      <c r="AT2562" s="35">
        <f>INDEX(AT$280:AT$296,$E2562)*$D2562</f>
        <v/>
      </c>
      <c r="AU2562" s="35">
        <f>INDEX(AU$280:AU$296,$E2562)*$D2562</f>
        <v/>
      </c>
      <c r="AV2562" s="35">
        <f>INDEX(AV$280:AV$296,$E2562)*$D2562</f>
        <v/>
      </c>
      <c r="AW2562" s="35">
        <f>INDEX(AW$280:AW$296,$E2562)*$D2562</f>
        <v/>
      </c>
      <c r="AX2562" s="35">
        <f>INDEX(AX$280:AX$296,$E2562)*$D2562</f>
        <v/>
      </c>
      <c r="AY2562" s="35">
        <f>INDEX(AY$280:AY$296,$E2562)*$D2562</f>
        <v/>
      </c>
      <c r="AZ2562" s="35">
        <f>INDEX(AZ$280:AZ$296,$E2562)*$D2562</f>
        <v/>
      </c>
      <c r="BA2562" s="42">
        <f>ETSCOST(INDEX(BA$280:BA$296,$E2562),$D2562)</f>
        <v/>
      </c>
    </row>
    <row r="2563" hidden="1" outlineLevel="2">
      <c r="A2563" s="14" t="inlineStr">
        <is>
          <t>ets</t>
        </is>
      </c>
      <c r="B2563" s="14" t="inlineStr">
        <is>
          <t>ker</t>
        </is>
      </c>
      <c r="C2563" s="14" t="inlineStr">
        <is>
          <t>omn</t>
        </is>
      </c>
      <c r="D2563" s="35">
        <f>INDEX(Inputs!$W$5:$W$132,MATCH($B2563&amp;"|"&amp;$C2563,Inputs!$A$5:$A$132,0))</f>
        <v/>
      </c>
      <c r="E2563" s="35">
        <f>INDEX(Inputs!$M$5:$M$132,MATCH($B2563&amp;"|"&amp;$C2563,Inputs!$A$5:$A$132,0))</f>
        <v/>
      </c>
      <c r="F2563" s="39" t="n"/>
      <c r="G2563" s="39" t="n"/>
      <c r="H2563" s="14">
        <f>INDEX(VarLab,MATCH($A2563,VarKey,0))&amp;INDEX(MemLab,MATCH($C2563&amp;"|"&amp;$B2563,MemKey,0))</f>
        <v/>
      </c>
      <c r="I2563" s="14">
        <f>INDEX(VarUnit,MATCH($A2563,VarKey,0))</f>
        <v/>
      </c>
      <c r="J2563" s="14">
        <f>INDEX(VarSrc,MATCH($A2563,VarKey,0))</f>
        <v/>
      </c>
      <c r="K2563" s="11">
        <f>CodePrefix&amp;$A2563&amp;IF($C2563="","","."&amp;$C2563&amp;"."&amp;$B2563)&amp;INDEX(VarEnd,MATCH($A2563,VarKey,0))&amp;K$5</f>
        <v/>
      </c>
      <c r="L2563" s="40">
        <f>INDEX(L$280:L$296,$E2563)*$D2563</f>
        <v/>
      </c>
      <c r="M2563" s="35">
        <f>INDEX(M$280:M$296,$E2563)*$D2563</f>
        <v/>
      </c>
      <c r="N2563" s="35">
        <f>INDEX(N$280:N$296,$E2563)*$D2563</f>
        <v/>
      </c>
      <c r="O2563" s="35">
        <f>INDEX(O$280:O$296,$E2563)*$D2563</f>
        <v/>
      </c>
      <c r="P2563" s="35">
        <f>INDEX(P$280:P$296,$E2563)*$D2563</f>
        <v/>
      </c>
      <c r="Q2563" s="35">
        <f>INDEX(Q$280:Q$296,$E2563)*$D2563</f>
        <v/>
      </c>
      <c r="R2563" s="35">
        <f>INDEX(R$280:R$296,$E2563)*$D2563</f>
        <v/>
      </c>
      <c r="S2563" s="35">
        <f>INDEX(S$280:S$296,$E2563)*$D2563</f>
        <v/>
      </c>
      <c r="T2563" s="35">
        <f>INDEX(T$280:T$296,$E2563)*$D2563</f>
        <v/>
      </c>
      <c r="U2563" s="35">
        <f>INDEX(U$280:U$296,$E2563)*$D2563</f>
        <v/>
      </c>
      <c r="V2563" s="35">
        <f>INDEX(V$280:V$296,$E2563)*$D2563</f>
        <v/>
      </c>
      <c r="W2563" s="35">
        <f>INDEX(W$280:W$296,$E2563)*$D2563</f>
        <v/>
      </c>
      <c r="X2563" s="35">
        <f>INDEX(X$280:X$296,$E2563)*$D2563</f>
        <v/>
      </c>
      <c r="Y2563" s="35">
        <f>INDEX(Y$280:Y$296,$E2563)*$D2563</f>
        <v/>
      </c>
      <c r="Z2563" s="35">
        <f>INDEX(Z$280:Z$296,$E2563)*$D2563</f>
        <v/>
      </c>
      <c r="AA2563" s="35">
        <f>INDEX(AA$280:AA$296,$E2563)*$D2563</f>
        <v/>
      </c>
      <c r="AB2563" s="35">
        <f>INDEX(AB$280:AB$296,$E2563)*$D2563</f>
        <v/>
      </c>
      <c r="AC2563" s="35">
        <f>INDEX(AC$280:AC$296,$E2563)*$D2563</f>
        <v/>
      </c>
      <c r="AD2563" s="35">
        <f>INDEX(AD$280:AD$296,$E2563)*$D2563</f>
        <v/>
      </c>
      <c r="AE2563" s="42">
        <f>ETSCOST(INDEX(AE$280:AE$296,$E2563),$D2563)</f>
        <v/>
      </c>
      <c r="AG2563" s="11">
        <f>CodePrefix&amp;$A2563&amp;IF($C2563="","","."&amp;$C2563&amp;"."&amp;$B2563)&amp;INDEX(VarEnd,MATCH($A2563,VarKey,0))&amp;AG$5</f>
        <v/>
      </c>
      <c r="AH2563" s="40">
        <f>INDEX(AH$280:AH$296,$E2563)*$D2563</f>
        <v/>
      </c>
      <c r="AI2563" s="35">
        <f>INDEX(AI$280:AI$296,$E2563)*$D2563</f>
        <v/>
      </c>
      <c r="AJ2563" s="35">
        <f>INDEX(AJ$280:AJ$296,$E2563)*$D2563</f>
        <v/>
      </c>
      <c r="AK2563" s="35">
        <f>INDEX(AK$280:AK$296,$E2563)*$D2563</f>
        <v/>
      </c>
      <c r="AL2563" s="35">
        <f>INDEX(AL$280:AL$296,$E2563)*$D2563</f>
        <v/>
      </c>
      <c r="AM2563" s="35">
        <f>INDEX(AM$280:AM$296,$E2563)*$D2563</f>
        <v/>
      </c>
      <c r="AN2563" s="35">
        <f>INDEX(AN$280:AN$296,$E2563)*$D2563</f>
        <v/>
      </c>
      <c r="AO2563" s="35">
        <f>INDEX(AO$280:AO$296,$E2563)*$D2563</f>
        <v/>
      </c>
      <c r="AP2563" s="35">
        <f>INDEX(AP$280:AP$296,$E2563)*$D2563</f>
        <v/>
      </c>
      <c r="AQ2563" s="35">
        <f>INDEX(AQ$280:AQ$296,$E2563)*$D2563</f>
        <v/>
      </c>
      <c r="AR2563" s="35">
        <f>INDEX(AR$280:AR$296,$E2563)*$D2563</f>
        <v/>
      </c>
      <c r="AS2563" s="35">
        <f>INDEX(AS$280:AS$296,$E2563)*$D2563</f>
        <v/>
      </c>
      <c r="AT2563" s="35">
        <f>INDEX(AT$280:AT$296,$E2563)*$D2563</f>
        <v/>
      </c>
      <c r="AU2563" s="35">
        <f>INDEX(AU$280:AU$296,$E2563)*$D2563</f>
        <v/>
      </c>
      <c r="AV2563" s="35">
        <f>INDEX(AV$280:AV$296,$E2563)*$D2563</f>
        <v/>
      </c>
      <c r="AW2563" s="35">
        <f>INDEX(AW$280:AW$296,$E2563)*$D2563</f>
        <v/>
      </c>
      <c r="AX2563" s="35">
        <f>INDEX(AX$280:AX$296,$E2563)*$D2563</f>
        <v/>
      </c>
      <c r="AY2563" s="35">
        <f>INDEX(AY$280:AY$296,$E2563)*$D2563</f>
        <v/>
      </c>
      <c r="AZ2563" s="35">
        <f>INDEX(AZ$280:AZ$296,$E2563)*$D2563</f>
        <v/>
      </c>
      <c r="BA2563" s="42">
        <f>ETSCOST(INDEX(BA$280:BA$296,$E2563),$D2563)</f>
        <v/>
      </c>
    </row>
    <row r="2564" hidden="1" outlineLevel="2">
      <c r="A2564" s="14" t="inlineStr">
        <is>
          <t>ets</t>
        </is>
      </c>
      <c r="B2564" s="14" t="inlineStr">
        <is>
          <t>oop</t>
        </is>
      </c>
      <c r="C2564" s="14" t="inlineStr">
        <is>
          <t>omn</t>
        </is>
      </c>
      <c r="D2564" s="35">
        <f>INDEX(Inputs!$W$5:$W$132,MATCH($B2564&amp;"|"&amp;$C2564,Inputs!$A$5:$A$132,0))</f>
        <v/>
      </c>
      <c r="E2564" s="35">
        <f>INDEX(Inputs!$M$5:$M$132,MATCH($B2564&amp;"|"&amp;$C2564,Inputs!$A$5:$A$132,0))</f>
        <v/>
      </c>
      <c r="F2564" s="39" t="n"/>
      <c r="G2564" s="39" t="n"/>
      <c r="H2564" s="14">
        <f>INDEX(VarLab,MATCH($A2564,VarKey,0))&amp;INDEX(MemLab,MATCH($C2564&amp;"|"&amp;$B2564,MemKey,0))</f>
        <v/>
      </c>
      <c r="I2564" s="14">
        <f>INDEX(VarUnit,MATCH($A2564,VarKey,0))</f>
        <v/>
      </c>
      <c r="J2564" s="14">
        <f>INDEX(VarSrc,MATCH($A2564,VarKey,0))</f>
        <v/>
      </c>
      <c r="K2564" s="11">
        <f>CodePrefix&amp;$A2564&amp;IF($C2564="","","."&amp;$C2564&amp;"."&amp;$B2564)&amp;INDEX(VarEnd,MATCH($A2564,VarKey,0))&amp;K$5</f>
        <v/>
      </c>
      <c r="L2564" s="40">
        <f>INDEX(L$280:L$296,$E2564)*$D2564</f>
        <v/>
      </c>
      <c r="M2564" s="35">
        <f>INDEX(M$280:M$296,$E2564)*$D2564</f>
        <v/>
      </c>
      <c r="N2564" s="35">
        <f>INDEX(N$280:N$296,$E2564)*$D2564</f>
        <v/>
      </c>
      <c r="O2564" s="35">
        <f>INDEX(O$280:O$296,$E2564)*$D2564</f>
        <v/>
      </c>
      <c r="P2564" s="35">
        <f>INDEX(P$280:P$296,$E2564)*$D2564</f>
        <v/>
      </c>
      <c r="Q2564" s="35">
        <f>INDEX(Q$280:Q$296,$E2564)*$D2564</f>
        <v/>
      </c>
      <c r="R2564" s="35">
        <f>INDEX(R$280:R$296,$E2564)*$D2564</f>
        <v/>
      </c>
      <c r="S2564" s="35">
        <f>INDEX(S$280:S$296,$E2564)*$D2564</f>
        <v/>
      </c>
      <c r="T2564" s="35">
        <f>INDEX(T$280:T$296,$E2564)*$D2564</f>
        <v/>
      </c>
      <c r="U2564" s="35">
        <f>INDEX(U$280:U$296,$E2564)*$D2564</f>
        <v/>
      </c>
      <c r="V2564" s="35">
        <f>INDEX(V$280:V$296,$E2564)*$D2564</f>
        <v/>
      </c>
      <c r="W2564" s="35">
        <f>INDEX(W$280:W$296,$E2564)*$D2564</f>
        <v/>
      </c>
      <c r="X2564" s="35">
        <f>INDEX(X$280:X$296,$E2564)*$D2564</f>
        <v/>
      </c>
      <c r="Y2564" s="35">
        <f>INDEX(Y$280:Y$296,$E2564)*$D2564</f>
        <v/>
      </c>
      <c r="Z2564" s="35">
        <f>INDEX(Z$280:Z$296,$E2564)*$D2564</f>
        <v/>
      </c>
      <c r="AA2564" s="35">
        <f>INDEX(AA$280:AA$296,$E2564)*$D2564</f>
        <v/>
      </c>
      <c r="AB2564" s="35">
        <f>INDEX(AB$280:AB$296,$E2564)*$D2564</f>
        <v/>
      </c>
      <c r="AC2564" s="35">
        <f>INDEX(AC$280:AC$296,$E2564)*$D2564</f>
        <v/>
      </c>
      <c r="AD2564" s="35">
        <f>INDEX(AD$280:AD$296,$E2564)*$D2564</f>
        <v/>
      </c>
      <c r="AE2564" s="42">
        <f>ETSCOST(INDEX(AE$280:AE$296,$E2564),$D2564)</f>
        <v/>
      </c>
      <c r="AG2564" s="11">
        <f>CodePrefix&amp;$A2564&amp;IF($C2564="","","."&amp;$C2564&amp;"."&amp;$B2564)&amp;INDEX(VarEnd,MATCH($A2564,VarKey,0))&amp;AG$5</f>
        <v/>
      </c>
      <c r="AH2564" s="40">
        <f>INDEX(AH$280:AH$296,$E2564)*$D2564</f>
        <v/>
      </c>
      <c r="AI2564" s="35">
        <f>INDEX(AI$280:AI$296,$E2564)*$D2564</f>
        <v/>
      </c>
      <c r="AJ2564" s="35">
        <f>INDEX(AJ$280:AJ$296,$E2564)*$D2564</f>
        <v/>
      </c>
      <c r="AK2564" s="35">
        <f>INDEX(AK$280:AK$296,$E2564)*$D2564</f>
        <v/>
      </c>
      <c r="AL2564" s="35">
        <f>INDEX(AL$280:AL$296,$E2564)*$D2564</f>
        <v/>
      </c>
      <c r="AM2564" s="35">
        <f>INDEX(AM$280:AM$296,$E2564)*$D2564</f>
        <v/>
      </c>
      <c r="AN2564" s="35">
        <f>INDEX(AN$280:AN$296,$E2564)*$D2564</f>
        <v/>
      </c>
      <c r="AO2564" s="35">
        <f>INDEX(AO$280:AO$296,$E2564)*$D2564</f>
        <v/>
      </c>
      <c r="AP2564" s="35">
        <f>INDEX(AP$280:AP$296,$E2564)*$D2564</f>
        <v/>
      </c>
      <c r="AQ2564" s="35">
        <f>INDEX(AQ$280:AQ$296,$E2564)*$D2564</f>
        <v/>
      </c>
      <c r="AR2564" s="35">
        <f>INDEX(AR$280:AR$296,$E2564)*$D2564</f>
        <v/>
      </c>
      <c r="AS2564" s="35">
        <f>INDEX(AS$280:AS$296,$E2564)*$D2564</f>
        <v/>
      </c>
      <c r="AT2564" s="35">
        <f>INDEX(AT$280:AT$296,$E2564)*$D2564</f>
        <v/>
      </c>
      <c r="AU2564" s="35">
        <f>INDEX(AU$280:AU$296,$E2564)*$D2564</f>
        <v/>
      </c>
      <c r="AV2564" s="35">
        <f>INDEX(AV$280:AV$296,$E2564)*$D2564</f>
        <v/>
      </c>
      <c r="AW2564" s="35">
        <f>INDEX(AW$280:AW$296,$E2564)*$D2564</f>
        <v/>
      </c>
      <c r="AX2564" s="35">
        <f>INDEX(AX$280:AX$296,$E2564)*$D2564</f>
        <v/>
      </c>
      <c r="AY2564" s="35">
        <f>INDEX(AY$280:AY$296,$E2564)*$D2564</f>
        <v/>
      </c>
      <c r="AZ2564" s="35">
        <f>INDEX(AZ$280:AZ$296,$E2564)*$D2564</f>
        <v/>
      </c>
      <c r="BA2564" s="42">
        <f>ETSCOST(INDEX(BA$280:BA$296,$E2564),$D2564)</f>
        <v/>
      </c>
    </row>
    <row r="2565" hidden="1" outlineLevel="2">
      <c r="A2565" s="14" t="inlineStr">
        <is>
          <t>ets</t>
        </is>
      </c>
      <c r="B2565" s="14" t="inlineStr">
        <is>
          <t>bio</t>
        </is>
      </c>
      <c r="C2565" s="14" t="inlineStr">
        <is>
          <t>omn</t>
        </is>
      </c>
      <c r="D2565" s="35">
        <f>INDEX(Inputs!$W$5:$W$132,MATCH($B2565&amp;"|"&amp;$C2565,Inputs!$A$5:$A$132,0))</f>
        <v/>
      </c>
      <c r="E2565" s="35">
        <f>INDEX(Inputs!$M$5:$M$132,MATCH($B2565&amp;"|"&amp;$C2565,Inputs!$A$5:$A$132,0))</f>
        <v/>
      </c>
      <c r="F2565" s="39" t="n"/>
      <c r="G2565" s="39" t="n"/>
      <c r="H2565" s="14">
        <f>INDEX(VarLab,MATCH($A2565,VarKey,0))&amp;INDEX(MemLab,MATCH($C2565&amp;"|"&amp;$B2565,MemKey,0))</f>
        <v/>
      </c>
      <c r="I2565" s="14">
        <f>INDEX(VarUnit,MATCH($A2565,VarKey,0))</f>
        <v/>
      </c>
      <c r="J2565" s="14">
        <f>INDEX(VarSrc,MATCH($A2565,VarKey,0))</f>
        <v/>
      </c>
      <c r="K2565" s="11">
        <f>CodePrefix&amp;$A2565&amp;IF($C2565="","","."&amp;$C2565&amp;"."&amp;$B2565)&amp;INDEX(VarEnd,MATCH($A2565,VarKey,0))&amp;K$5</f>
        <v/>
      </c>
      <c r="L2565" s="40">
        <f>INDEX(L$280:L$296,$E2565)*$D2565</f>
        <v/>
      </c>
      <c r="M2565" s="35">
        <f>INDEX(M$280:M$296,$E2565)*$D2565</f>
        <v/>
      </c>
      <c r="N2565" s="35">
        <f>INDEX(N$280:N$296,$E2565)*$D2565</f>
        <v/>
      </c>
      <c r="O2565" s="35">
        <f>INDEX(O$280:O$296,$E2565)*$D2565</f>
        <v/>
      </c>
      <c r="P2565" s="35">
        <f>INDEX(P$280:P$296,$E2565)*$D2565</f>
        <v/>
      </c>
      <c r="Q2565" s="35">
        <f>INDEX(Q$280:Q$296,$E2565)*$D2565</f>
        <v/>
      </c>
      <c r="R2565" s="35">
        <f>INDEX(R$280:R$296,$E2565)*$D2565</f>
        <v/>
      </c>
      <c r="S2565" s="35">
        <f>INDEX(S$280:S$296,$E2565)*$D2565</f>
        <v/>
      </c>
      <c r="T2565" s="35">
        <f>INDEX(T$280:T$296,$E2565)*$D2565</f>
        <v/>
      </c>
      <c r="U2565" s="35">
        <f>INDEX(U$280:U$296,$E2565)*$D2565</f>
        <v/>
      </c>
      <c r="V2565" s="35">
        <f>INDEX(V$280:V$296,$E2565)*$D2565</f>
        <v/>
      </c>
      <c r="W2565" s="35">
        <f>INDEX(W$280:W$296,$E2565)*$D2565</f>
        <v/>
      </c>
      <c r="X2565" s="35">
        <f>INDEX(X$280:X$296,$E2565)*$D2565</f>
        <v/>
      </c>
      <c r="Y2565" s="35">
        <f>INDEX(Y$280:Y$296,$E2565)*$D2565</f>
        <v/>
      </c>
      <c r="Z2565" s="35">
        <f>INDEX(Z$280:Z$296,$E2565)*$D2565</f>
        <v/>
      </c>
      <c r="AA2565" s="35">
        <f>INDEX(AA$280:AA$296,$E2565)*$D2565</f>
        <v/>
      </c>
      <c r="AB2565" s="35">
        <f>INDEX(AB$280:AB$296,$E2565)*$D2565</f>
        <v/>
      </c>
      <c r="AC2565" s="35">
        <f>INDEX(AC$280:AC$296,$E2565)*$D2565</f>
        <v/>
      </c>
      <c r="AD2565" s="35">
        <f>INDEX(AD$280:AD$296,$E2565)*$D2565</f>
        <v/>
      </c>
      <c r="AE2565" s="42">
        <f>ETSCOST(INDEX(AE$280:AE$296,$E2565),$D2565)</f>
        <v/>
      </c>
      <c r="AG2565" s="11">
        <f>CodePrefix&amp;$A2565&amp;IF($C2565="","","."&amp;$C2565&amp;"."&amp;$B2565)&amp;INDEX(VarEnd,MATCH($A2565,VarKey,0))&amp;AG$5</f>
        <v/>
      </c>
      <c r="AH2565" s="40">
        <f>INDEX(AH$280:AH$296,$E2565)*$D2565</f>
        <v/>
      </c>
      <c r="AI2565" s="35">
        <f>INDEX(AI$280:AI$296,$E2565)*$D2565</f>
        <v/>
      </c>
      <c r="AJ2565" s="35">
        <f>INDEX(AJ$280:AJ$296,$E2565)*$D2565</f>
        <v/>
      </c>
      <c r="AK2565" s="35">
        <f>INDEX(AK$280:AK$296,$E2565)*$D2565</f>
        <v/>
      </c>
      <c r="AL2565" s="35">
        <f>INDEX(AL$280:AL$296,$E2565)*$D2565</f>
        <v/>
      </c>
      <c r="AM2565" s="35">
        <f>INDEX(AM$280:AM$296,$E2565)*$D2565</f>
        <v/>
      </c>
      <c r="AN2565" s="35">
        <f>INDEX(AN$280:AN$296,$E2565)*$D2565</f>
        <v/>
      </c>
      <c r="AO2565" s="35">
        <f>INDEX(AO$280:AO$296,$E2565)*$D2565</f>
        <v/>
      </c>
      <c r="AP2565" s="35">
        <f>INDEX(AP$280:AP$296,$E2565)*$D2565</f>
        <v/>
      </c>
      <c r="AQ2565" s="35">
        <f>INDEX(AQ$280:AQ$296,$E2565)*$D2565</f>
        <v/>
      </c>
      <c r="AR2565" s="35">
        <f>INDEX(AR$280:AR$296,$E2565)*$D2565</f>
        <v/>
      </c>
      <c r="AS2565" s="35">
        <f>INDEX(AS$280:AS$296,$E2565)*$D2565</f>
        <v/>
      </c>
      <c r="AT2565" s="35">
        <f>INDEX(AT$280:AT$296,$E2565)*$D2565</f>
        <v/>
      </c>
      <c r="AU2565" s="35">
        <f>INDEX(AU$280:AU$296,$E2565)*$D2565</f>
        <v/>
      </c>
      <c r="AV2565" s="35">
        <f>INDEX(AV$280:AV$296,$E2565)*$D2565</f>
        <v/>
      </c>
      <c r="AW2565" s="35">
        <f>INDEX(AW$280:AW$296,$E2565)*$D2565</f>
        <v/>
      </c>
      <c r="AX2565" s="35">
        <f>INDEX(AX$280:AX$296,$E2565)*$D2565</f>
        <v/>
      </c>
      <c r="AY2565" s="35">
        <f>INDEX(AY$280:AY$296,$E2565)*$D2565</f>
        <v/>
      </c>
      <c r="AZ2565" s="35">
        <f>INDEX(AZ$280:AZ$296,$E2565)*$D2565</f>
        <v/>
      </c>
      <c r="BA2565" s="42">
        <f>ETSCOST(INDEX(BA$280:BA$296,$E2565),$D2565)</f>
        <v/>
      </c>
    </row>
    <row r="2566" hidden="1" outlineLevel="2"/>
    <row r="2567" hidden="1" outlineLevel="2">
      <c r="A2567" s="14" t="inlineStr">
        <is>
          <t>ntx</t>
        </is>
      </c>
      <c r="B2567" s="14" t="inlineStr">
        <is>
          <t>coa</t>
        </is>
      </c>
      <c r="C2567" s="14" t="inlineStr">
        <is>
          <t>omn</t>
        </is>
      </c>
      <c r="D2567" s="35">
        <f>INDEX(Inputs!$N$5:$N$132,MATCH($B2567&amp;"|"&amp;$C2567,Inputs!$A$5:$A$132,0))</f>
        <v/>
      </c>
      <c r="E2567" s="35">
        <f>INDEX(Inputs!$K$5:$K$132,MATCH($B2567&amp;"|"&amp;$C2567,Inputs!$A$5:$A$132,0))</f>
        <v/>
      </c>
      <c r="F2567" s="39" t="n"/>
      <c r="G2567" s="39" t="n"/>
      <c r="H2567" s="14">
        <f>INDEX(VarLab,MATCH($A2567,VarKey,0))&amp;INDEX(MemLab,MATCH($C2567&amp;"|"&amp;$B2567,MemKey,0))</f>
        <v/>
      </c>
      <c r="I2567" s="14">
        <f>INDEX(VarUnit,MATCH($A2567,VarKey,0))</f>
        <v/>
      </c>
      <c r="J2567" s="14">
        <f>INDEX(VarSrc,MATCH($A2567,VarKey,0))</f>
        <v/>
      </c>
      <c r="K2567" s="11">
        <f>CodePrefix&amp;$A2567&amp;IF($C2567="","","."&amp;$C2567&amp;"."&amp;$B2567)&amp;INDEX(VarEnd,MATCH($A2567,VarKey,0))&amp;K$5</f>
        <v/>
      </c>
      <c r="L2567" s="40">
        <f>INDEX(L$80:L$93,$D2567)/$E2567</f>
        <v/>
      </c>
      <c r="M2567" s="35">
        <f>INDEX(M$80:M$93,$D2567)/$E2567</f>
        <v/>
      </c>
      <c r="N2567" s="35">
        <f>INDEX(N$80:N$93,$D2567)/$E2567</f>
        <v/>
      </c>
      <c r="O2567" s="35">
        <f>INDEX(O$80:O$93,$D2567)/$E2567</f>
        <v/>
      </c>
      <c r="P2567" s="35">
        <f>INDEX(P$80:P$93,$D2567)/$E2567</f>
        <v/>
      </c>
      <c r="Q2567" s="35">
        <f>INDEX(Q$80:Q$93,$D2567)/$E2567</f>
        <v/>
      </c>
      <c r="R2567" s="35">
        <f>INDEX(R$80:R$93,$D2567)/$E2567</f>
        <v/>
      </c>
      <c r="S2567" s="35">
        <f>INDEX(S$80:S$93,$D2567)/$E2567</f>
        <v/>
      </c>
      <c r="T2567" s="35">
        <f>INDEX(T$80:T$93,$D2567)/$E2567</f>
        <v/>
      </c>
      <c r="U2567" s="35">
        <f>INDEX(U$80:U$93,$D2567)/$E2567</f>
        <v/>
      </c>
      <c r="V2567" s="35">
        <f>INDEX(V$80:V$93,$D2567)/$E2567</f>
        <v/>
      </c>
      <c r="W2567" s="35">
        <f>INDEX(W$80:W$93,$D2567)/$E2567</f>
        <v/>
      </c>
      <c r="X2567" s="35">
        <f>INDEX(X$80:X$93,$D2567)/$E2567</f>
        <v/>
      </c>
      <c r="Y2567" s="35">
        <f>INDEX(Y$80:Y$93,$D2567)/$E2567</f>
        <v/>
      </c>
      <c r="Z2567" s="35">
        <f>INDEX(Z$80:Z$93,$D2567)/$E2567</f>
        <v/>
      </c>
      <c r="AA2567" s="35">
        <f>INDEX(AA$80:AA$93,$D2567)/$E2567</f>
        <v/>
      </c>
      <c r="AB2567" s="35">
        <f>INDEX(AB$80:AB$93,$D2567)/$E2567</f>
        <v/>
      </c>
      <c r="AC2567" s="35">
        <f>INDEX(AC$80:AC$93,$D2567)/$E2567</f>
        <v/>
      </c>
      <c r="AD2567" s="35">
        <f>INDEX(AD$80:AD$93,$D2567)/$E2567</f>
        <v/>
      </c>
      <c r="AE2567" s="42">
        <f>NEWEXCISE(INDEX(AE$80:AE$93,$D2567),$E2567)</f>
        <v/>
      </c>
      <c r="AG2567" s="11">
        <f>CodePrefix&amp;$A2567&amp;IF($C2567="","","."&amp;$C2567&amp;"."&amp;$B2567)&amp;INDEX(VarEnd,MATCH($A2567,VarKey,0))&amp;AG$5</f>
        <v/>
      </c>
      <c r="AH2567" s="40">
        <f>INDEX(AH$80:AH$93,$D2567)/$E2567</f>
        <v/>
      </c>
      <c r="AI2567" s="35">
        <f>INDEX(AI$80:AI$93,$D2567)/$E2567</f>
        <v/>
      </c>
      <c r="AJ2567" s="35">
        <f>INDEX(AJ$80:AJ$93,$D2567)/$E2567</f>
        <v/>
      </c>
      <c r="AK2567" s="35">
        <f>INDEX(AK$80:AK$93,$D2567)/$E2567</f>
        <v/>
      </c>
      <c r="AL2567" s="35">
        <f>INDEX(AL$80:AL$93,$D2567)/$E2567</f>
        <v/>
      </c>
      <c r="AM2567" s="35">
        <f>INDEX(AM$80:AM$93,$D2567)/$E2567</f>
        <v/>
      </c>
      <c r="AN2567" s="35">
        <f>INDEX(AN$80:AN$93,$D2567)/$E2567</f>
        <v/>
      </c>
      <c r="AO2567" s="35">
        <f>INDEX(AO$80:AO$93,$D2567)/$E2567</f>
        <v/>
      </c>
      <c r="AP2567" s="35">
        <f>INDEX(AP$80:AP$93,$D2567)/$E2567</f>
        <v/>
      </c>
      <c r="AQ2567" s="35">
        <f>INDEX(AQ$80:AQ$93,$D2567)/$E2567</f>
        <v/>
      </c>
      <c r="AR2567" s="35">
        <f>INDEX(AR$80:AR$93,$D2567)/$E2567</f>
        <v/>
      </c>
      <c r="AS2567" s="35">
        <f>INDEX(AS$80:AS$93,$D2567)/$E2567</f>
        <v/>
      </c>
      <c r="AT2567" s="35">
        <f>INDEX(AT$80:AT$93,$D2567)/$E2567</f>
        <v/>
      </c>
      <c r="AU2567" s="35">
        <f>INDEX(AU$80:AU$93,$D2567)/$E2567</f>
        <v/>
      </c>
      <c r="AV2567" s="35">
        <f>INDEX(AV$80:AV$93,$D2567)/$E2567</f>
        <v/>
      </c>
      <c r="AW2567" s="35">
        <f>INDEX(AW$80:AW$93,$D2567)/$E2567</f>
        <v/>
      </c>
      <c r="AX2567" s="35">
        <f>INDEX(AX$80:AX$93,$D2567)/$E2567</f>
        <v/>
      </c>
      <c r="AY2567" s="35">
        <f>INDEX(AY$80:AY$93,$D2567)/$E2567</f>
        <v/>
      </c>
      <c r="AZ2567" s="35">
        <f>INDEX(AZ$80:AZ$93,$D2567)/$E2567</f>
        <v/>
      </c>
      <c r="BA2567" s="42">
        <f>NEWEXCISE(INDEX(BA$80:BA$93,$D2567),$E2567)</f>
        <v/>
      </c>
    </row>
    <row r="2568" hidden="1" outlineLevel="2">
      <c r="A2568" s="14" t="inlineStr">
        <is>
          <t>ntx</t>
        </is>
      </c>
      <c r="B2568" s="14" t="inlineStr">
        <is>
          <t>nga</t>
        </is>
      </c>
      <c r="C2568" s="14" t="inlineStr">
        <is>
          <t>omn</t>
        </is>
      </c>
      <c r="D2568" s="35">
        <f>INDEX(Inputs!$N$5:$N$132,MATCH($B2568&amp;"|"&amp;$C2568,Inputs!$A$5:$A$132,0))</f>
        <v/>
      </c>
      <c r="E2568" s="35">
        <f>INDEX(Inputs!$K$5:$K$132,MATCH($B2568&amp;"|"&amp;$C2568,Inputs!$A$5:$A$132,0))</f>
        <v/>
      </c>
      <c r="F2568" s="39" t="n"/>
      <c r="G2568" s="39" t="n"/>
      <c r="H2568" s="14">
        <f>INDEX(VarLab,MATCH($A2568,VarKey,0))&amp;INDEX(MemLab,MATCH($C2568&amp;"|"&amp;$B2568,MemKey,0))</f>
        <v/>
      </c>
      <c r="I2568" s="14">
        <f>INDEX(VarUnit,MATCH($A2568,VarKey,0))</f>
        <v/>
      </c>
      <c r="J2568" s="14">
        <f>INDEX(VarSrc,MATCH($A2568,VarKey,0))</f>
        <v/>
      </c>
      <c r="K2568" s="11">
        <f>CodePrefix&amp;$A2568&amp;IF($C2568="","","."&amp;$C2568&amp;"."&amp;$B2568)&amp;INDEX(VarEnd,MATCH($A2568,VarKey,0))&amp;K$5</f>
        <v/>
      </c>
      <c r="L2568" s="40">
        <f>INDEX(L$80:L$93,$D2568)/$E2568</f>
        <v/>
      </c>
      <c r="M2568" s="35">
        <f>INDEX(M$80:M$93,$D2568)/$E2568</f>
        <v/>
      </c>
      <c r="N2568" s="35">
        <f>INDEX(N$80:N$93,$D2568)/$E2568</f>
        <v/>
      </c>
      <c r="O2568" s="35">
        <f>INDEX(O$80:O$93,$D2568)/$E2568</f>
        <v/>
      </c>
      <c r="P2568" s="35">
        <f>INDEX(P$80:P$93,$D2568)/$E2568</f>
        <v/>
      </c>
      <c r="Q2568" s="35">
        <f>INDEX(Q$80:Q$93,$D2568)/$E2568</f>
        <v/>
      </c>
      <c r="R2568" s="35">
        <f>INDEX(R$80:R$93,$D2568)/$E2568</f>
        <v/>
      </c>
      <c r="S2568" s="35">
        <f>INDEX(S$80:S$93,$D2568)/$E2568</f>
        <v/>
      </c>
      <c r="T2568" s="35">
        <f>INDEX(T$80:T$93,$D2568)/$E2568</f>
        <v/>
      </c>
      <c r="U2568" s="35">
        <f>INDEX(U$80:U$93,$D2568)/$E2568</f>
        <v/>
      </c>
      <c r="V2568" s="35">
        <f>INDEX(V$80:V$93,$D2568)/$E2568</f>
        <v/>
      </c>
      <c r="W2568" s="35">
        <f>INDEX(W$80:W$93,$D2568)/$E2568</f>
        <v/>
      </c>
      <c r="X2568" s="35">
        <f>INDEX(X$80:X$93,$D2568)/$E2568</f>
        <v/>
      </c>
      <c r="Y2568" s="35">
        <f>INDEX(Y$80:Y$93,$D2568)/$E2568</f>
        <v/>
      </c>
      <c r="Z2568" s="35">
        <f>INDEX(Z$80:Z$93,$D2568)/$E2568</f>
        <v/>
      </c>
      <c r="AA2568" s="35">
        <f>INDEX(AA$80:AA$93,$D2568)/$E2568</f>
        <v/>
      </c>
      <c r="AB2568" s="35">
        <f>INDEX(AB$80:AB$93,$D2568)/$E2568</f>
        <v/>
      </c>
      <c r="AC2568" s="35">
        <f>INDEX(AC$80:AC$93,$D2568)/$E2568</f>
        <v/>
      </c>
      <c r="AD2568" s="35">
        <f>INDEX(AD$80:AD$93,$D2568)/$E2568</f>
        <v/>
      </c>
      <c r="AE2568" s="42">
        <f>NEWEXCISE(INDEX(AE$80:AE$93,$D2568),$E2568)</f>
        <v/>
      </c>
      <c r="AG2568" s="11">
        <f>CodePrefix&amp;$A2568&amp;IF($C2568="","","."&amp;$C2568&amp;"."&amp;$B2568)&amp;INDEX(VarEnd,MATCH($A2568,VarKey,0))&amp;AG$5</f>
        <v/>
      </c>
      <c r="AH2568" s="40">
        <f>INDEX(AH$80:AH$93,$D2568)/$E2568</f>
        <v/>
      </c>
      <c r="AI2568" s="35">
        <f>INDEX(AI$80:AI$93,$D2568)/$E2568</f>
        <v/>
      </c>
      <c r="AJ2568" s="35">
        <f>INDEX(AJ$80:AJ$93,$D2568)/$E2568</f>
        <v/>
      </c>
      <c r="AK2568" s="35">
        <f>INDEX(AK$80:AK$93,$D2568)/$E2568</f>
        <v/>
      </c>
      <c r="AL2568" s="35">
        <f>INDEX(AL$80:AL$93,$D2568)/$E2568</f>
        <v/>
      </c>
      <c r="AM2568" s="35">
        <f>INDEX(AM$80:AM$93,$D2568)/$E2568</f>
        <v/>
      </c>
      <c r="AN2568" s="35">
        <f>INDEX(AN$80:AN$93,$D2568)/$E2568</f>
        <v/>
      </c>
      <c r="AO2568" s="35">
        <f>INDEX(AO$80:AO$93,$D2568)/$E2568</f>
        <v/>
      </c>
      <c r="AP2568" s="35">
        <f>INDEX(AP$80:AP$93,$D2568)/$E2568</f>
        <v/>
      </c>
      <c r="AQ2568" s="35">
        <f>INDEX(AQ$80:AQ$93,$D2568)/$E2568</f>
        <v/>
      </c>
      <c r="AR2568" s="35">
        <f>INDEX(AR$80:AR$93,$D2568)/$E2568</f>
        <v/>
      </c>
      <c r="AS2568" s="35">
        <f>INDEX(AS$80:AS$93,$D2568)/$E2568</f>
        <v/>
      </c>
      <c r="AT2568" s="35">
        <f>INDEX(AT$80:AT$93,$D2568)/$E2568</f>
        <v/>
      </c>
      <c r="AU2568" s="35">
        <f>INDEX(AU$80:AU$93,$D2568)/$E2568</f>
        <v/>
      </c>
      <c r="AV2568" s="35">
        <f>INDEX(AV$80:AV$93,$D2568)/$E2568</f>
        <v/>
      </c>
      <c r="AW2568" s="35">
        <f>INDEX(AW$80:AW$93,$D2568)/$E2568</f>
        <v/>
      </c>
      <c r="AX2568" s="35">
        <f>INDEX(AX$80:AX$93,$D2568)/$E2568</f>
        <v/>
      </c>
      <c r="AY2568" s="35">
        <f>INDEX(AY$80:AY$93,$D2568)/$E2568</f>
        <v/>
      </c>
      <c r="AZ2568" s="35">
        <f>INDEX(AZ$80:AZ$93,$D2568)/$E2568</f>
        <v/>
      </c>
      <c r="BA2568" s="42">
        <f>NEWEXCISE(INDEX(BA$80:BA$93,$D2568),$E2568)</f>
        <v/>
      </c>
    </row>
    <row r="2569" hidden="1" outlineLevel="2">
      <c r="A2569" s="14" t="inlineStr">
        <is>
          <t>ntx</t>
        </is>
      </c>
      <c r="B2569" s="14" t="inlineStr">
        <is>
          <t>gso</t>
        </is>
      </c>
      <c r="C2569" s="14" t="inlineStr">
        <is>
          <t>omn</t>
        </is>
      </c>
      <c r="D2569" s="35">
        <f>INDEX(Inputs!$N$5:$N$132,MATCH($B2569&amp;"|"&amp;$C2569,Inputs!$A$5:$A$132,0))</f>
        <v/>
      </c>
      <c r="E2569" s="35">
        <f>INDEX(Inputs!$K$5:$K$132,MATCH($B2569&amp;"|"&amp;$C2569,Inputs!$A$5:$A$132,0))</f>
        <v/>
      </c>
      <c r="F2569" s="39" t="n"/>
      <c r="G2569" s="39" t="n"/>
      <c r="H2569" s="14">
        <f>INDEX(VarLab,MATCH($A2569,VarKey,0))&amp;INDEX(MemLab,MATCH($C2569&amp;"|"&amp;$B2569,MemKey,0))</f>
        <v/>
      </c>
      <c r="I2569" s="14">
        <f>INDEX(VarUnit,MATCH($A2569,VarKey,0))</f>
        <v/>
      </c>
      <c r="J2569" s="14">
        <f>INDEX(VarSrc,MATCH($A2569,VarKey,0))</f>
        <v/>
      </c>
      <c r="K2569" s="11">
        <f>CodePrefix&amp;$A2569&amp;IF($C2569="","","."&amp;$C2569&amp;"."&amp;$B2569)&amp;INDEX(VarEnd,MATCH($A2569,VarKey,0))&amp;K$5</f>
        <v/>
      </c>
      <c r="L2569" s="40">
        <f>INDEX(L$80:L$93,$D2569)/$E2569</f>
        <v/>
      </c>
      <c r="M2569" s="35">
        <f>INDEX(M$80:M$93,$D2569)/$E2569</f>
        <v/>
      </c>
      <c r="N2569" s="35">
        <f>INDEX(N$80:N$93,$D2569)/$E2569</f>
        <v/>
      </c>
      <c r="O2569" s="35">
        <f>INDEX(O$80:O$93,$D2569)/$E2569</f>
        <v/>
      </c>
      <c r="P2569" s="35">
        <f>INDEX(P$80:P$93,$D2569)/$E2569</f>
        <v/>
      </c>
      <c r="Q2569" s="35">
        <f>INDEX(Q$80:Q$93,$D2569)/$E2569</f>
        <v/>
      </c>
      <c r="R2569" s="35">
        <f>INDEX(R$80:R$93,$D2569)/$E2569</f>
        <v/>
      </c>
      <c r="S2569" s="35">
        <f>INDEX(S$80:S$93,$D2569)/$E2569</f>
        <v/>
      </c>
      <c r="T2569" s="35">
        <f>INDEX(T$80:T$93,$D2569)/$E2569</f>
        <v/>
      </c>
      <c r="U2569" s="35">
        <f>INDEX(U$80:U$93,$D2569)/$E2569</f>
        <v/>
      </c>
      <c r="V2569" s="35">
        <f>INDEX(V$80:V$93,$D2569)/$E2569</f>
        <v/>
      </c>
      <c r="W2569" s="35">
        <f>INDEX(W$80:W$93,$D2569)/$E2569</f>
        <v/>
      </c>
      <c r="X2569" s="35">
        <f>INDEX(X$80:X$93,$D2569)/$E2569</f>
        <v/>
      </c>
      <c r="Y2569" s="35">
        <f>INDEX(Y$80:Y$93,$D2569)/$E2569</f>
        <v/>
      </c>
      <c r="Z2569" s="35">
        <f>INDEX(Z$80:Z$93,$D2569)/$E2569</f>
        <v/>
      </c>
      <c r="AA2569" s="35">
        <f>INDEX(AA$80:AA$93,$D2569)/$E2569</f>
        <v/>
      </c>
      <c r="AB2569" s="35">
        <f>INDEX(AB$80:AB$93,$D2569)/$E2569</f>
        <v/>
      </c>
      <c r="AC2569" s="35">
        <f>INDEX(AC$80:AC$93,$D2569)/$E2569</f>
        <v/>
      </c>
      <c r="AD2569" s="35">
        <f>INDEX(AD$80:AD$93,$D2569)/$E2569</f>
        <v/>
      </c>
      <c r="AE2569" s="42">
        <f>NEWEXCISE(INDEX(AE$80:AE$93,$D2569),$E2569)</f>
        <v/>
      </c>
      <c r="AG2569" s="11">
        <f>CodePrefix&amp;$A2569&amp;IF($C2569="","","."&amp;$C2569&amp;"."&amp;$B2569)&amp;INDEX(VarEnd,MATCH($A2569,VarKey,0))&amp;AG$5</f>
        <v/>
      </c>
      <c r="AH2569" s="40">
        <f>INDEX(AH$80:AH$93,$D2569)/$E2569</f>
        <v/>
      </c>
      <c r="AI2569" s="35">
        <f>INDEX(AI$80:AI$93,$D2569)/$E2569</f>
        <v/>
      </c>
      <c r="AJ2569" s="35">
        <f>INDEX(AJ$80:AJ$93,$D2569)/$E2569</f>
        <v/>
      </c>
      <c r="AK2569" s="35">
        <f>INDEX(AK$80:AK$93,$D2569)/$E2569</f>
        <v/>
      </c>
      <c r="AL2569" s="35">
        <f>INDEX(AL$80:AL$93,$D2569)/$E2569</f>
        <v/>
      </c>
      <c r="AM2569" s="35">
        <f>INDEX(AM$80:AM$93,$D2569)/$E2569</f>
        <v/>
      </c>
      <c r="AN2569" s="35">
        <f>INDEX(AN$80:AN$93,$D2569)/$E2569</f>
        <v/>
      </c>
      <c r="AO2569" s="35">
        <f>INDEX(AO$80:AO$93,$D2569)/$E2569</f>
        <v/>
      </c>
      <c r="AP2569" s="35">
        <f>INDEX(AP$80:AP$93,$D2569)/$E2569</f>
        <v/>
      </c>
      <c r="AQ2569" s="35">
        <f>INDEX(AQ$80:AQ$93,$D2569)/$E2569</f>
        <v/>
      </c>
      <c r="AR2569" s="35">
        <f>INDEX(AR$80:AR$93,$D2569)/$E2569</f>
        <v/>
      </c>
      <c r="AS2569" s="35">
        <f>INDEX(AS$80:AS$93,$D2569)/$E2569</f>
        <v/>
      </c>
      <c r="AT2569" s="35">
        <f>INDEX(AT$80:AT$93,$D2569)/$E2569</f>
        <v/>
      </c>
      <c r="AU2569" s="35">
        <f>INDEX(AU$80:AU$93,$D2569)/$E2569</f>
        <v/>
      </c>
      <c r="AV2569" s="35">
        <f>INDEX(AV$80:AV$93,$D2569)/$E2569</f>
        <v/>
      </c>
      <c r="AW2569" s="35">
        <f>INDEX(AW$80:AW$93,$D2569)/$E2569</f>
        <v/>
      </c>
      <c r="AX2569" s="35">
        <f>INDEX(AX$80:AX$93,$D2569)/$E2569</f>
        <v/>
      </c>
      <c r="AY2569" s="35">
        <f>INDEX(AY$80:AY$93,$D2569)/$E2569</f>
        <v/>
      </c>
      <c r="AZ2569" s="35">
        <f>INDEX(AZ$80:AZ$93,$D2569)/$E2569</f>
        <v/>
      </c>
      <c r="BA2569" s="42">
        <f>NEWEXCISE(INDEX(BA$80:BA$93,$D2569),$E2569)</f>
        <v/>
      </c>
    </row>
    <row r="2570" hidden="1" outlineLevel="2">
      <c r="A2570" s="14" t="inlineStr">
        <is>
          <t>ntx</t>
        </is>
      </c>
      <c r="B2570" s="14" t="inlineStr">
        <is>
          <t>die</t>
        </is>
      </c>
      <c r="C2570" s="14" t="inlineStr">
        <is>
          <t>omn</t>
        </is>
      </c>
      <c r="D2570" s="35">
        <f>INDEX(Inputs!$N$5:$N$132,MATCH($B2570&amp;"|"&amp;$C2570,Inputs!$A$5:$A$132,0))</f>
        <v/>
      </c>
      <c r="E2570" s="35">
        <f>INDEX(Inputs!$K$5:$K$132,MATCH($B2570&amp;"|"&amp;$C2570,Inputs!$A$5:$A$132,0))</f>
        <v/>
      </c>
      <c r="F2570" s="39" t="n"/>
      <c r="G2570" s="39" t="n"/>
      <c r="H2570" s="14">
        <f>INDEX(VarLab,MATCH($A2570,VarKey,0))&amp;INDEX(MemLab,MATCH($C2570&amp;"|"&amp;$B2570,MemKey,0))</f>
        <v/>
      </c>
      <c r="I2570" s="14">
        <f>INDEX(VarUnit,MATCH($A2570,VarKey,0))</f>
        <v/>
      </c>
      <c r="J2570" s="14">
        <f>INDEX(VarSrc,MATCH($A2570,VarKey,0))</f>
        <v/>
      </c>
      <c r="K2570" s="11">
        <f>CodePrefix&amp;$A2570&amp;IF($C2570="","","."&amp;$C2570&amp;"."&amp;$B2570)&amp;INDEX(VarEnd,MATCH($A2570,VarKey,0))&amp;K$5</f>
        <v/>
      </c>
      <c r="L2570" s="40">
        <f>INDEX(L$80:L$93,$D2570)/$E2570</f>
        <v/>
      </c>
      <c r="M2570" s="35">
        <f>INDEX(M$80:M$93,$D2570)/$E2570</f>
        <v/>
      </c>
      <c r="N2570" s="35">
        <f>INDEX(N$80:N$93,$D2570)/$E2570</f>
        <v/>
      </c>
      <c r="O2570" s="35">
        <f>INDEX(O$80:O$93,$D2570)/$E2570</f>
        <v/>
      </c>
      <c r="P2570" s="35">
        <f>INDEX(P$80:P$93,$D2570)/$E2570</f>
        <v/>
      </c>
      <c r="Q2570" s="35">
        <f>INDEX(Q$80:Q$93,$D2570)/$E2570</f>
        <v/>
      </c>
      <c r="R2570" s="35">
        <f>INDEX(R$80:R$93,$D2570)/$E2570</f>
        <v/>
      </c>
      <c r="S2570" s="35">
        <f>INDEX(S$80:S$93,$D2570)/$E2570</f>
        <v/>
      </c>
      <c r="T2570" s="35">
        <f>INDEX(T$80:T$93,$D2570)/$E2570</f>
        <v/>
      </c>
      <c r="U2570" s="35">
        <f>INDEX(U$80:U$93,$D2570)/$E2570</f>
        <v/>
      </c>
      <c r="V2570" s="35">
        <f>INDEX(V$80:V$93,$D2570)/$E2570</f>
        <v/>
      </c>
      <c r="W2570" s="35">
        <f>INDEX(W$80:W$93,$D2570)/$E2570</f>
        <v/>
      </c>
      <c r="X2570" s="35">
        <f>INDEX(X$80:X$93,$D2570)/$E2570</f>
        <v/>
      </c>
      <c r="Y2570" s="35">
        <f>INDEX(Y$80:Y$93,$D2570)/$E2570</f>
        <v/>
      </c>
      <c r="Z2570" s="35">
        <f>INDEX(Z$80:Z$93,$D2570)/$E2570</f>
        <v/>
      </c>
      <c r="AA2570" s="35">
        <f>INDEX(AA$80:AA$93,$D2570)/$E2570</f>
        <v/>
      </c>
      <c r="AB2570" s="35">
        <f>INDEX(AB$80:AB$93,$D2570)/$E2570</f>
        <v/>
      </c>
      <c r="AC2570" s="35">
        <f>INDEX(AC$80:AC$93,$D2570)/$E2570</f>
        <v/>
      </c>
      <c r="AD2570" s="35">
        <f>INDEX(AD$80:AD$93,$D2570)/$E2570</f>
        <v/>
      </c>
      <c r="AE2570" s="42">
        <f>NEWEXCISE(INDEX(AE$80:AE$93,$D2570),$E2570)</f>
        <v/>
      </c>
      <c r="AG2570" s="11">
        <f>CodePrefix&amp;$A2570&amp;IF($C2570="","","."&amp;$C2570&amp;"."&amp;$B2570)&amp;INDEX(VarEnd,MATCH($A2570,VarKey,0))&amp;AG$5</f>
        <v/>
      </c>
      <c r="AH2570" s="40">
        <f>INDEX(AH$80:AH$93,$D2570)/$E2570</f>
        <v/>
      </c>
      <c r="AI2570" s="35">
        <f>INDEX(AI$80:AI$93,$D2570)/$E2570</f>
        <v/>
      </c>
      <c r="AJ2570" s="35">
        <f>INDEX(AJ$80:AJ$93,$D2570)/$E2570</f>
        <v/>
      </c>
      <c r="AK2570" s="35">
        <f>INDEX(AK$80:AK$93,$D2570)/$E2570</f>
        <v/>
      </c>
      <c r="AL2570" s="35">
        <f>INDEX(AL$80:AL$93,$D2570)/$E2570</f>
        <v/>
      </c>
      <c r="AM2570" s="35">
        <f>INDEX(AM$80:AM$93,$D2570)/$E2570</f>
        <v/>
      </c>
      <c r="AN2570" s="35">
        <f>INDEX(AN$80:AN$93,$D2570)/$E2570</f>
        <v/>
      </c>
      <c r="AO2570" s="35">
        <f>INDEX(AO$80:AO$93,$D2570)/$E2570</f>
        <v/>
      </c>
      <c r="AP2570" s="35">
        <f>INDEX(AP$80:AP$93,$D2570)/$E2570</f>
        <v/>
      </c>
      <c r="AQ2570" s="35">
        <f>INDEX(AQ$80:AQ$93,$D2570)/$E2570</f>
        <v/>
      </c>
      <c r="AR2570" s="35">
        <f>INDEX(AR$80:AR$93,$D2570)/$E2570</f>
        <v/>
      </c>
      <c r="AS2570" s="35">
        <f>INDEX(AS$80:AS$93,$D2570)/$E2570</f>
        <v/>
      </c>
      <c r="AT2570" s="35">
        <f>INDEX(AT$80:AT$93,$D2570)/$E2570</f>
        <v/>
      </c>
      <c r="AU2570" s="35">
        <f>INDEX(AU$80:AU$93,$D2570)/$E2570</f>
        <v/>
      </c>
      <c r="AV2570" s="35">
        <f>INDEX(AV$80:AV$93,$D2570)/$E2570</f>
        <v/>
      </c>
      <c r="AW2570" s="35">
        <f>INDEX(AW$80:AW$93,$D2570)/$E2570</f>
        <v/>
      </c>
      <c r="AX2570" s="35">
        <f>INDEX(AX$80:AX$93,$D2570)/$E2570</f>
        <v/>
      </c>
      <c r="AY2570" s="35">
        <f>INDEX(AY$80:AY$93,$D2570)/$E2570</f>
        <v/>
      </c>
      <c r="AZ2570" s="35">
        <f>INDEX(AZ$80:AZ$93,$D2570)/$E2570</f>
        <v/>
      </c>
      <c r="BA2570" s="42">
        <f>NEWEXCISE(INDEX(BA$80:BA$93,$D2570),$E2570)</f>
        <v/>
      </c>
    </row>
    <row r="2571" hidden="1" outlineLevel="2">
      <c r="A2571" s="14" t="inlineStr">
        <is>
          <t>ntx</t>
        </is>
      </c>
      <c r="B2571" s="14" t="inlineStr">
        <is>
          <t>lpg</t>
        </is>
      </c>
      <c r="C2571" s="14" t="inlineStr">
        <is>
          <t>omn</t>
        </is>
      </c>
      <c r="D2571" s="35">
        <f>INDEX(Inputs!$N$5:$N$132,MATCH($B2571&amp;"|"&amp;$C2571,Inputs!$A$5:$A$132,0))</f>
        <v/>
      </c>
      <c r="E2571" s="35">
        <f>INDEX(Inputs!$K$5:$K$132,MATCH($B2571&amp;"|"&amp;$C2571,Inputs!$A$5:$A$132,0))</f>
        <v/>
      </c>
      <c r="F2571" s="39" t="n"/>
      <c r="G2571" s="39" t="n"/>
      <c r="H2571" s="14">
        <f>INDEX(VarLab,MATCH($A2571,VarKey,0))&amp;INDEX(MemLab,MATCH($C2571&amp;"|"&amp;$B2571,MemKey,0))</f>
        <v/>
      </c>
      <c r="I2571" s="14">
        <f>INDEX(VarUnit,MATCH($A2571,VarKey,0))</f>
        <v/>
      </c>
      <c r="J2571" s="14">
        <f>INDEX(VarSrc,MATCH($A2571,VarKey,0))</f>
        <v/>
      </c>
      <c r="K2571" s="11">
        <f>CodePrefix&amp;$A2571&amp;IF($C2571="","","."&amp;$C2571&amp;"."&amp;$B2571)&amp;INDEX(VarEnd,MATCH($A2571,VarKey,0))&amp;K$5</f>
        <v/>
      </c>
      <c r="L2571" s="40">
        <f>INDEX(L$80:L$93,$D2571)/$E2571</f>
        <v/>
      </c>
      <c r="M2571" s="35">
        <f>INDEX(M$80:M$93,$D2571)/$E2571</f>
        <v/>
      </c>
      <c r="N2571" s="35">
        <f>INDEX(N$80:N$93,$D2571)/$E2571</f>
        <v/>
      </c>
      <c r="O2571" s="35">
        <f>INDEX(O$80:O$93,$D2571)/$E2571</f>
        <v/>
      </c>
      <c r="P2571" s="35">
        <f>INDEX(P$80:P$93,$D2571)/$E2571</f>
        <v/>
      </c>
      <c r="Q2571" s="35">
        <f>INDEX(Q$80:Q$93,$D2571)/$E2571</f>
        <v/>
      </c>
      <c r="R2571" s="35">
        <f>INDEX(R$80:R$93,$D2571)/$E2571</f>
        <v/>
      </c>
      <c r="S2571" s="35">
        <f>INDEX(S$80:S$93,$D2571)/$E2571</f>
        <v/>
      </c>
      <c r="T2571" s="35">
        <f>INDEX(T$80:T$93,$D2571)/$E2571</f>
        <v/>
      </c>
      <c r="U2571" s="35">
        <f>INDEX(U$80:U$93,$D2571)/$E2571</f>
        <v/>
      </c>
      <c r="V2571" s="35">
        <f>INDEX(V$80:V$93,$D2571)/$E2571</f>
        <v/>
      </c>
      <c r="W2571" s="35">
        <f>INDEX(W$80:W$93,$D2571)/$E2571</f>
        <v/>
      </c>
      <c r="X2571" s="35">
        <f>INDEX(X$80:X$93,$D2571)/$E2571</f>
        <v/>
      </c>
      <c r="Y2571" s="35">
        <f>INDEX(Y$80:Y$93,$D2571)/$E2571</f>
        <v/>
      </c>
      <c r="Z2571" s="35">
        <f>INDEX(Z$80:Z$93,$D2571)/$E2571</f>
        <v/>
      </c>
      <c r="AA2571" s="35">
        <f>INDEX(AA$80:AA$93,$D2571)/$E2571</f>
        <v/>
      </c>
      <c r="AB2571" s="35">
        <f>INDEX(AB$80:AB$93,$D2571)/$E2571</f>
        <v/>
      </c>
      <c r="AC2571" s="35">
        <f>INDEX(AC$80:AC$93,$D2571)/$E2571</f>
        <v/>
      </c>
      <c r="AD2571" s="35">
        <f>INDEX(AD$80:AD$93,$D2571)/$E2571</f>
        <v/>
      </c>
      <c r="AE2571" s="42">
        <f>NEWEXCISE(INDEX(AE$80:AE$93,$D2571),$E2571)</f>
        <v/>
      </c>
      <c r="AG2571" s="11">
        <f>CodePrefix&amp;$A2571&amp;IF($C2571="","","."&amp;$C2571&amp;"."&amp;$B2571)&amp;INDEX(VarEnd,MATCH($A2571,VarKey,0))&amp;AG$5</f>
        <v/>
      </c>
      <c r="AH2571" s="40">
        <f>INDEX(AH$80:AH$93,$D2571)/$E2571</f>
        <v/>
      </c>
      <c r="AI2571" s="35">
        <f>INDEX(AI$80:AI$93,$D2571)/$E2571</f>
        <v/>
      </c>
      <c r="AJ2571" s="35">
        <f>INDEX(AJ$80:AJ$93,$D2571)/$E2571</f>
        <v/>
      </c>
      <c r="AK2571" s="35">
        <f>INDEX(AK$80:AK$93,$D2571)/$E2571</f>
        <v/>
      </c>
      <c r="AL2571" s="35">
        <f>INDEX(AL$80:AL$93,$D2571)/$E2571</f>
        <v/>
      </c>
      <c r="AM2571" s="35">
        <f>INDEX(AM$80:AM$93,$D2571)/$E2571</f>
        <v/>
      </c>
      <c r="AN2571" s="35">
        <f>INDEX(AN$80:AN$93,$D2571)/$E2571</f>
        <v/>
      </c>
      <c r="AO2571" s="35">
        <f>INDEX(AO$80:AO$93,$D2571)/$E2571</f>
        <v/>
      </c>
      <c r="AP2571" s="35">
        <f>INDEX(AP$80:AP$93,$D2571)/$E2571</f>
        <v/>
      </c>
      <c r="AQ2571" s="35">
        <f>INDEX(AQ$80:AQ$93,$D2571)/$E2571</f>
        <v/>
      </c>
      <c r="AR2571" s="35">
        <f>INDEX(AR$80:AR$93,$D2571)/$E2571</f>
        <v/>
      </c>
      <c r="AS2571" s="35">
        <f>INDEX(AS$80:AS$93,$D2571)/$E2571</f>
        <v/>
      </c>
      <c r="AT2571" s="35">
        <f>INDEX(AT$80:AT$93,$D2571)/$E2571</f>
        <v/>
      </c>
      <c r="AU2571" s="35">
        <f>INDEX(AU$80:AU$93,$D2571)/$E2571</f>
        <v/>
      </c>
      <c r="AV2571" s="35">
        <f>INDEX(AV$80:AV$93,$D2571)/$E2571</f>
        <v/>
      </c>
      <c r="AW2571" s="35">
        <f>INDEX(AW$80:AW$93,$D2571)/$E2571</f>
        <v/>
      </c>
      <c r="AX2571" s="35">
        <f>INDEX(AX$80:AX$93,$D2571)/$E2571</f>
        <v/>
      </c>
      <c r="AY2571" s="35">
        <f>INDEX(AY$80:AY$93,$D2571)/$E2571</f>
        <v/>
      </c>
      <c r="AZ2571" s="35">
        <f>INDEX(AZ$80:AZ$93,$D2571)/$E2571</f>
        <v/>
      </c>
      <c r="BA2571" s="42">
        <f>NEWEXCISE(INDEX(BA$80:BA$93,$D2571),$E2571)</f>
        <v/>
      </c>
    </row>
    <row r="2572" hidden="1" outlineLevel="2">
      <c r="A2572" s="14" t="inlineStr">
        <is>
          <t>ntx</t>
        </is>
      </c>
      <c r="B2572" s="14" t="inlineStr">
        <is>
          <t>ker</t>
        </is>
      </c>
      <c r="C2572" s="14" t="inlineStr">
        <is>
          <t>omn</t>
        </is>
      </c>
      <c r="D2572" s="35">
        <f>INDEX(Inputs!$N$5:$N$132,MATCH($B2572&amp;"|"&amp;$C2572,Inputs!$A$5:$A$132,0))</f>
        <v/>
      </c>
      <c r="E2572" s="35">
        <f>INDEX(Inputs!$K$5:$K$132,MATCH($B2572&amp;"|"&amp;$C2572,Inputs!$A$5:$A$132,0))</f>
        <v/>
      </c>
      <c r="F2572" s="39" t="n"/>
      <c r="G2572" s="39" t="n"/>
      <c r="H2572" s="14">
        <f>INDEX(VarLab,MATCH($A2572,VarKey,0))&amp;INDEX(MemLab,MATCH($C2572&amp;"|"&amp;$B2572,MemKey,0))</f>
        <v/>
      </c>
      <c r="I2572" s="14">
        <f>INDEX(VarUnit,MATCH($A2572,VarKey,0))</f>
        <v/>
      </c>
      <c r="J2572" s="14">
        <f>INDEX(VarSrc,MATCH($A2572,VarKey,0))</f>
        <v/>
      </c>
      <c r="K2572" s="11">
        <f>CodePrefix&amp;$A2572&amp;IF($C2572="","","."&amp;$C2572&amp;"."&amp;$B2572)&amp;INDEX(VarEnd,MATCH($A2572,VarKey,0))&amp;K$5</f>
        <v/>
      </c>
      <c r="L2572" s="40">
        <f>INDEX(L$80:L$93,$D2572)/$E2572</f>
        <v/>
      </c>
      <c r="M2572" s="35">
        <f>INDEX(M$80:M$93,$D2572)/$E2572</f>
        <v/>
      </c>
      <c r="N2572" s="35">
        <f>INDEX(N$80:N$93,$D2572)/$E2572</f>
        <v/>
      </c>
      <c r="O2572" s="35">
        <f>INDEX(O$80:O$93,$D2572)/$E2572</f>
        <v/>
      </c>
      <c r="P2572" s="35">
        <f>INDEX(P$80:P$93,$D2572)/$E2572</f>
        <v/>
      </c>
      <c r="Q2572" s="35">
        <f>INDEX(Q$80:Q$93,$D2572)/$E2572</f>
        <v/>
      </c>
      <c r="R2572" s="35">
        <f>INDEX(R$80:R$93,$D2572)/$E2572</f>
        <v/>
      </c>
      <c r="S2572" s="35">
        <f>INDEX(S$80:S$93,$D2572)/$E2572</f>
        <v/>
      </c>
      <c r="T2572" s="35">
        <f>INDEX(T$80:T$93,$D2572)/$E2572</f>
        <v/>
      </c>
      <c r="U2572" s="35">
        <f>INDEX(U$80:U$93,$D2572)/$E2572</f>
        <v/>
      </c>
      <c r="V2572" s="35">
        <f>INDEX(V$80:V$93,$D2572)/$E2572</f>
        <v/>
      </c>
      <c r="W2572" s="35">
        <f>INDEX(W$80:W$93,$D2572)/$E2572</f>
        <v/>
      </c>
      <c r="X2572" s="35">
        <f>INDEX(X$80:X$93,$D2572)/$E2572</f>
        <v/>
      </c>
      <c r="Y2572" s="35">
        <f>INDEX(Y$80:Y$93,$D2572)/$E2572</f>
        <v/>
      </c>
      <c r="Z2572" s="35">
        <f>INDEX(Z$80:Z$93,$D2572)/$E2572</f>
        <v/>
      </c>
      <c r="AA2572" s="35">
        <f>INDEX(AA$80:AA$93,$D2572)/$E2572</f>
        <v/>
      </c>
      <c r="AB2572" s="35">
        <f>INDEX(AB$80:AB$93,$D2572)/$E2572</f>
        <v/>
      </c>
      <c r="AC2572" s="35">
        <f>INDEX(AC$80:AC$93,$D2572)/$E2572</f>
        <v/>
      </c>
      <c r="AD2572" s="35">
        <f>INDEX(AD$80:AD$93,$D2572)/$E2572</f>
        <v/>
      </c>
      <c r="AE2572" s="42">
        <f>NEWEXCISE(INDEX(AE$80:AE$93,$D2572),$E2572)</f>
        <v/>
      </c>
      <c r="AG2572" s="11">
        <f>CodePrefix&amp;$A2572&amp;IF($C2572="","","."&amp;$C2572&amp;"."&amp;$B2572)&amp;INDEX(VarEnd,MATCH($A2572,VarKey,0))&amp;AG$5</f>
        <v/>
      </c>
      <c r="AH2572" s="40">
        <f>INDEX(AH$80:AH$93,$D2572)/$E2572</f>
        <v/>
      </c>
      <c r="AI2572" s="35">
        <f>INDEX(AI$80:AI$93,$D2572)/$E2572</f>
        <v/>
      </c>
      <c r="AJ2572" s="35">
        <f>INDEX(AJ$80:AJ$93,$D2572)/$E2572</f>
        <v/>
      </c>
      <c r="AK2572" s="35">
        <f>INDEX(AK$80:AK$93,$D2572)/$E2572</f>
        <v/>
      </c>
      <c r="AL2572" s="35">
        <f>INDEX(AL$80:AL$93,$D2572)/$E2572</f>
        <v/>
      </c>
      <c r="AM2572" s="35">
        <f>INDEX(AM$80:AM$93,$D2572)/$E2572</f>
        <v/>
      </c>
      <c r="AN2572" s="35">
        <f>INDEX(AN$80:AN$93,$D2572)/$E2572</f>
        <v/>
      </c>
      <c r="AO2572" s="35">
        <f>INDEX(AO$80:AO$93,$D2572)/$E2572</f>
        <v/>
      </c>
      <c r="AP2572" s="35">
        <f>INDEX(AP$80:AP$93,$D2572)/$E2572</f>
        <v/>
      </c>
      <c r="AQ2572" s="35">
        <f>INDEX(AQ$80:AQ$93,$D2572)/$E2572</f>
        <v/>
      </c>
      <c r="AR2572" s="35">
        <f>INDEX(AR$80:AR$93,$D2572)/$E2572</f>
        <v/>
      </c>
      <c r="AS2572" s="35">
        <f>INDEX(AS$80:AS$93,$D2572)/$E2572</f>
        <v/>
      </c>
      <c r="AT2572" s="35">
        <f>INDEX(AT$80:AT$93,$D2572)/$E2572</f>
        <v/>
      </c>
      <c r="AU2572" s="35">
        <f>INDEX(AU$80:AU$93,$D2572)/$E2572</f>
        <v/>
      </c>
      <c r="AV2572" s="35">
        <f>INDEX(AV$80:AV$93,$D2572)/$E2572</f>
        <v/>
      </c>
      <c r="AW2572" s="35">
        <f>INDEX(AW$80:AW$93,$D2572)/$E2572</f>
        <v/>
      </c>
      <c r="AX2572" s="35">
        <f>INDEX(AX$80:AX$93,$D2572)/$E2572</f>
        <v/>
      </c>
      <c r="AY2572" s="35">
        <f>INDEX(AY$80:AY$93,$D2572)/$E2572</f>
        <v/>
      </c>
      <c r="AZ2572" s="35">
        <f>INDEX(AZ$80:AZ$93,$D2572)/$E2572</f>
        <v/>
      </c>
      <c r="BA2572" s="42">
        <f>NEWEXCISE(INDEX(BA$80:BA$93,$D2572),$E2572)</f>
        <v/>
      </c>
    </row>
    <row r="2573" hidden="1" outlineLevel="2">
      <c r="A2573" s="14" t="inlineStr">
        <is>
          <t>ntx</t>
        </is>
      </c>
      <c r="B2573" s="14" t="inlineStr">
        <is>
          <t>oop</t>
        </is>
      </c>
      <c r="C2573" s="14" t="inlineStr">
        <is>
          <t>omn</t>
        </is>
      </c>
      <c r="D2573" s="35">
        <f>INDEX(Inputs!$N$5:$N$132,MATCH($B2573&amp;"|"&amp;$C2573,Inputs!$A$5:$A$132,0))</f>
        <v/>
      </c>
      <c r="E2573" s="35">
        <f>INDEX(Inputs!$K$5:$K$132,MATCH($B2573&amp;"|"&amp;$C2573,Inputs!$A$5:$A$132,0))</f>
        <v/>
      </c>
      <c r="F2573" s="39" t="n"/>
      <c r="G2573" s="39" t="n"/>
      <c r="H2573" s="14">
        <f>INDEX(VarLab,MATCH($A2573,VarKey,0))&amp;INDEX(MemLab,MATCH($C2573&amp;"|"&amp;$B2573,MemKey,0))</f>
        <v/>
      </c>
      <c r="I2573" s="14">
        <f>INDEX(VarUnit,MATCH($A2573,VarKey,0))</f>
        <v/>
      </c>
      <c r="J2573" s="14">
        <f>INDEX(VarSrc,MATCH($A2573,VarKey,0))</f>
        <v/>
      </c>
      <c r="K2573" s="11">
        <f>CodePrefix&amp;$A2573&amp;IF($C2573="","","."&amp;$C2573&amp;"."&amp;$B2573)&amp;INDEX(VarEnd,MATCH($A2573,VarKey,0))&amp;K$5</f>
        <v/>
      </c>
      <c r="L2573" s="40">
        <f>INDEX(L$80:L$93,$D2573)/$E2573</f>
        <v/>
      </c>
      <c r="M2573" s="35">
        <f>INDEX(M$80:M$93,$D2573)/$E2573</f>
        <v/>
      </c>
      <c r="N2573" s="35">
        <f>INDEX(N$80:N$93,$D2573)/$E2573</f>
        <v/>
      </c>
      <c r="O2573" s="35">
        <f>INDEX(O$80:O$93,$D2573)/$E2573</f>
        <v/>
      </c>
      <c r="P2573" s="35">
        <f>INDEX(P$80:P$93,$D2573)/$E2573</f>
        <v/>
      </c>
      <c r="Q2573" s="35">
        <f>INDEX(Q$80:Q$93,$D2573)/$E2573</f>
        <v/>
      </c>
      <c r="R2573" s="35">
        <f>INDEX(R$80:R$93,$D2573)/$E2573</f>
        <v/>
      </c>
      <c r="S2573" s="35">
        <f>INDEX(S$80:S$93,$D2573)/$E2573</f>
        <v/>
      </c>
      <c r="T2573" s="35">
        <f>INDEX(T$80:T$93,$D2573)/$E2573</f>
        <v/>
      </c>
      <c r="U2573" s="35">
        <f>INDEX(U$80:U$93,$D2573)/$E2573</f>
        <v/>
      </c>
      <c r="V2573" s="35">
        <f>INDEX(V$80:V$93,$D2573)/$E2573</f>
        <v/>
      </c>
      <c r="W2573" s="35">
        <f>INDEX(W$80:W$93,$D2573)/$E2573</f>
        <v/>
      </c>
      <c r="X2573" s="35">
        <f>INDEX(X$80:X$93,$D2573)/$E2573</f>
        <v/>
      </c>
      <c r="Y2573" s="35">
        <f>INDEX(Y$80:Y$93,$D2573)/$E2573</f>
        <v/>
      </c>
      <c r="Z2573" s="35">
        <f>INDEX(Z$80:Z$93,$D2573)/$E2573</f>
        <v/>
      </c>
      <c r="AA2573" s="35">
        <f>INDEX(AA$80:AA$93,$D2573)/$E2573</f>
        <v/>
      </c>
      <c r="AB2573" s="35">
        <f>INDEX(AB$80:AB$93,$D2573)/$E2573</f>
        <v/>
      </c>
      <c r="AC2573" s="35">
        <f>INDEX(AC$80:AC$93,$D2573)/$E2573</f>
        <v/>
      </c>
      <c r="AD2573" s="35">
        <f>INDEX(AD$80:AD$93,$D2573)/$E2573</f>
        <v/>
      </c>
      <c r="AE2573" s="42">
        <f>NEWEXCISE(INDEX(AE$80:AE$93,$D2573),$E2573)</f>
        <v/>
      </c>
      <c r="AG2573" s="11">
        <f>CodePrefix&amp;$A2573&amp;IF($C2573="","","."&amp;$C2573&amp;"."&amp;$B2573)&amp;INDEX(VarEnd,MATCH($A2573,VarKey,0))&amp;AG$5</f>
        <v/>
      </c>
      <c r="AH2573" s="40">
        <f>INDEX(AH$80:AH$93,$D2573)/$E2573</f>
        <v/>
      </c>
      <c r="AI2573" s="35">
        <f>INDEX(AI$80:AI$93,$D2573)/$E2573</f>
        <v/>
      </c>
      <c r="AJ2573" s="35">
        <f>INDEX(AJ$80:AJ$93,$D2573)/$E2573</f>
        <v/>
      </c>
      <c r="AK2573" s="35">
        <f>INDEX(AK$80:AK$93,$D2573)/$E2573</f>
        <v/>
      </c>
      <c r="AL2573" s="35">
        <f>INDEX(AL$80:AL$93,$D2573)/$E2573</f>
        <v/>
      </c>
      <c r="AM2573" s="35">
        <f>INDEX(AM$80:AM$93,$D2573)/$E2573</f>
        <v/>
      </c>
      <c r="AN2573" s="35">
        <f>INDEX(AN$80:AN$93,$D2573)/$E2573</f>
        <v/>
      </c>
      <c r="AO2573" s="35">
        <f>INDEX(AO$80:AO$93,$D2573)/$E2573</f>
        <v/>
      </c>
      <c r="AP2573" s="35">
        <f>INDEX(AP$80:AP$93,$D2573)/$E2573</f>
        <v/>
      </c>
      <c r="AQ2573" s="35">
        <f>INDEX(AQ$80:AQ$93,$D2573)/$E2573</f>
        <v/>
      </c>
      <c r="AR2573" s="35">
        <f>INDEX(AR$80:AR$93,$D2573)/$E2573</f>
        <v/>
      </c>
      <c r="AS2573" s="35">
        <f>INDEX(AS$80:AS$93,$D2573)/$E2573</f>
        <v/>
      </c>
      <c r="AT2573" s="35">
        <f>INDEX(AT$80:AT$93,$D2573)/$E2573</f>
        <v/>
      </c>
      <c r="AU2573" s="35">
        <f>INDEX(AU$80:AU$93,$D2573)/$E2573</f>
        <v/>
      </c>
      <c r="AV2573" s="35">
        <f>INDEX(AV$80:AV$93,$D2573)/$E2573</f>
        <v/>
      </c>
      <c r="AW2573" s="35">
        <f>INDEX(AW$80:AW$93,$D2573)/$E2573</f>
        <v/>
      </c>
      <c r="AX2573" s="35">
        <f>INDEX(AX$80:AX$93,$D2573)/$E2573</f>
        <v/>
      </c>
      <c r="AY2573" s="35">
        <f>INDEX(AY$80:AY$93,$D2573)/$E2573</f>
        <v/>
      </c>
      <c r="AZ2573" s="35">
        <f>INDEX(AZ$80:AZ$93,$D2573)/$E2573</f>
        <v/>
      </c>
      <c r="BA2573" s="42">
        <f>NEWEXCISE(INDEX(BA$80:BA$93,$D2573),$E2573)</f>
        <v/>
      </c>
    </row>
    <row r="2574" hidden="1" outlineLevel="2">
      <c r="A2574" s="14" t="inlineStr">
        <is>
          <t>ntx</t>
        </is>
      </c>
      <c r="B2574" s="14" t="inlineStr">
        <is>
          <t>bio</t>
        </is>
      </c>
      <c r="C2574" s="14" t="inlineStr">
        <is>
          <t>omn</t>
        </is>
      </c>
      <c r="D2574" s="35">
        <f>INDEX(Inputs!$N$5:$N$132,MATCH($B2574&amp;"|"&amp;$C2574,Inputs!$A$5:$A$132,0))</f>
        <v/>
      </c>
      <c r="E2574" s="35">
        <f>INDEX(Inputs!$K$5:$K$132,MATCH($B2574&amp;"|"&amp;$C2574,Inputs!$A$5:$A$132,0))</f>
        <v/>
      </c>
      <c r="F2574" s="39" t="n"/>
      <c r="G2574" s="39" t="n"/>
      <c r="H2574" s="14">
        <f>INDEX(VarLab,MATCH($A2574,VarKey,0))&amp;INDEX(MemLab,MATCH($C2574&amp;"|"&amp;$B2574,MemKey,0))</f>
        <v/>
      </c>
      <c r="I2574" s="14">
        <f>INDEX(VarUnit,MATCH($A2574,VarKey,0))</f>
        <v/>
      </c>
      <c r="J2574" s="14">
        <f>INDEX(VarSrc,MATCH($A2574,VarKey,0))</f>
        <v/>
      </c>
      <c r="K2574" s="11">
        <f>CodePrefix&amp;$A2574&amp;IF($C2574="","","."&amp;$C2574&amp;"."&amp;$B2574)&amp;INDEX(VarEnd,MATCH($A2574,VarKey,0))&amp;K$5</f>
        <v/>
      </c>
      <c r="L2574" s="40">
        <f>INDEX(L$80:L$93,$D2574)/$E2574</f>
        <v/>
      </c>
      <c r="M2574" s="35">
        <f>INDEX(M$80:M$93,$D2574)/$E2574</f>
        <v/>
      </c>
      <c r="N2574" s="35">
        <f>INDEX(N$80:N$93,$D2574)/$E2574</f>
        <v/>
      </c>
      <c r="O2574" s="35">
        <f>INDEX(O$80:O$93,$D2574)/$E2574</f>
        <v/>
      </c>
      <c r="P2574" s="35">
        <f>INDEX(P$80:P$93,$D2574)/$E2574</f>
        <v/>
      </c>
      <c r="Q2574" s="35">
        <f>INDEX(Q$80:Q$93,$D2574)/$E2574</f>
        <v/>
      </c>
      <c r="R2574" s="35">
        <f>INDEX(R$80:R$93,$D2574)/$E2574</f>
        <v/>
      </c>
      <c r="S2574" s="35">
        <f>INDEX(S$80:S$93,$D2574)/$E2574</f>
        <v/>
      </c>
      <c r="T2574" s="35">
        <f>INDEX(T$80:T$93,$D2574)/$E2574</f>
        <v/>
      </c>
      <c r="U2574" s="35">
        <f>INDEX(U$80:U$93,$D2574)/$E2574</f>
        <v/>
      </c>
      <c r="V2574" s="35">
        <f>INDEX(V$80:V$93,$D2574)/$E2574</f>
        <v/>
      </c>
      <c r="W2574" s="35">
        <f>INDEX(W$80:W$93,$D2574)/$E2574</f>
        <v/>
      </c>
      <c r="X2574" s="35">
        <f>INDEX(X$80:X$93,$D2574)/$E2574</f>
        <v/>
      </c>
      <c r="Y2574" s="35">
        <f>INDEX(Y$80:Y$93,$D2574)/$E2574</f>
        <v/>
      </c>
      <c r="Z2574" s="35">
        <f>INDEX(Z$80:Z$93,$D2574)/$E2574</f>
        <v/>
      </c>
      <c r="AA2574" s="35">
        <f>INDEX(AA$80:AA$93,$D2574)/$E2574</f>
        <v/>
      </c>
      <c r="AB2574" s="35">
        <f>INDEX(AB$80:AB$93,$D2574)/$E2574</f>
        <v/>
      </c>
      <c r="AC2574" s="35">
        <f>INDEX(AC$80:AC$93,$D2574)/$E2574</f>
        <v/>
      </c>
      <c r="AD2574" s="35">
        <f>INDEX(AD$80:AD$93,$D2574)/$E2574</f>
        <v/>
      </c>
      <c r="AE2574" s="42">
        <f>NEWEXCISE(INDEX(AE$80:AE$93,$D2574),$E2574)</f>
        <v/>
      </c>
      <c r="AG2574" s="11">
        <f>CodePrefix&amp;$A2574&amp;IF($C2574="","","."&amp;$C2574&amp;"."&amp;$B2574)&amp;INDEX(VarEnd,MATCH($A2574,VarKey,0))&amp;AG$5</f>
        <v/>
      </c>
      <c r="AH2574" s="40">
        <f>INDEX(AH$80:AH$93,$D2574)/$E2574</f>
        <v/>
      </c>
      <c r="AI2574" s="35">
        <f>INDEX(AI$80:AI$93,$D2574)/$E2574</f>
        <v/>
      </c>
      <c r="AJ2574" s="35">
        <f>INDEX(AJ$80:AJ$93,$D2574)/$E2574</f>
        <v/>
      </c>
      <c r="AK2574" s="35">
        <f>INDEX(AK$80:AK$93,$D2574)/$E2574</f>
        <v/>
      </c>
      <c r="AL2574" s="35">
        <f>INDEX(AL$80:AL$93,$D2574)/$E2574</f>
        <v/>
      </c>
      <c r="AM2574" s="35">
        <f>INDEX(AM$80:AM$93,$D2574)/$E2574</f>
        <v/>
      </c>
      <c r="AN2574" s="35">
        <f>INDEX(AN$80:AN$93,$D2574)/$E2574</f>
        <v/>
      </c>
      <c r="AO2574" s="35">
        <f>INDEX(AO$80:AO$93,$D2574)/$E2574</f>
        <v/>
      </c>
      <c r="AP2574" s="35">
        <f>INDEX(AP$80:AP$93,$D2574)/$E2574</f>
        <v/>
      </c>
      <c r="AQ2574" s="35">
        <f>INDEX(AQ$80:AQ$93,$D2574)/$E2574</f>
        <v/>
      </c>
      <c r="AR2574" s="35">
        <f>INDEX(AR$80:AR$93,$D2574)/$E2574</f>
        <v/>
      </c>
      <c r="AS2574" s="35">
        <f>INDEX(AS$80:AS$93,$D2574)/$E2574</f>
        <v/>
      </c>
      <c r="AT2574" s="35">
        <f>INDEX(AT$80:AT$93,$D2574)/$E2574</f>
        <v/>
      </c>
      <c r="AU2574" s="35">
        <f>INDEX(AU$80:AU$93,$D2574)/$E2574</f>
        <v/>
      </c>
      <c r="AV2574" s="35">
        <f>INDEX(AV$80:AV$93,$D2574)/$E2574</f>
        <v/>
      </c>
      <c r="AW2574" s="35">
        <f>INDEX(AW$80:AW$93,$D2574)/$E2574</f>
        <v/>
      </c>
      <c r="AX2574" s="35">
        <f>INDEX(AX$80:AX$93,$D2574)/$E2574</f>
        <v/>
      </c>
      <c r="AY2574" s="35">
        <f>INDEX(AY$80:AY$93,$D2574)/$E2574</f>
        <v/>
      </c>
      <c r="AZ2574" s="35">
        <f>INDEX(AZ$80:AZ$93,$D2574)/$E2574</f>
        <v/>
      </c>
      <c r="BA2574" s="42">
        <f>NEWEXCISE(INDEX(BA$80:BA$93,$D2574),$E2574)</f>
        <v/>
      </c>
    </row>
    <row r="2575" hidden="1" outlineLevel="2"/>
    <row r="2576" hidden="1" outlineLevel="2">
      <c r="A2576" s="14" t="inlineStr">
        <is>
          <t>nce</t>
        </is>
      </c>
      <c r="B2576" s="14" t="inlineStr">
        <is>
          <t>coa</t>
        </is>
      </c>
      <c r="C2576" s="14" t="inlineStr">
        <is>
          <t>omn</t>
        </is>
      </c>
      <c r="D2576" s="39" t="n"/>
      <c r="E2576" s="39" t="n"/>
      <c r="F2576" s="39" t="n"/>
      <c r="G2576" s="39" t="n"/>
      <c r="H2576" s="14">
        <f>INDEX(VarLab,MATCH($A2576,VarKey,0))&amp;INDEX(MemLab,MATCH($C2576&amp;"|"&amp;$B2576,MemKey,0))</f>
        <v/>
      </c>
      <c r="I2576" s="14">
        <f>INDEX(VarUnit,MATCH($A2576,VarKey,0))</f>
        <v/>
      </c>
      <c r="J2576" s="14">
        <f>INDEX(VarSrc,MATCH($A2576,VarKey,0))</f>
        <v/>
      </c>
      <c r="K2576" s="11">
        <f>CodePrefix&amp;$A2576&amp;IF($C2576="","","."&amp;$C2576&amp;"."&amp;$B2576)&amp;INDEX(VarEnd,MATCH($A2576,VarKey,0))&amp;K$5</f>
        <v/>
      </c>
      <c r="L2576" s="40">
        <f>L2549+L2558+L2567</f>
        <v/>
      </c>
      <c r="M2576" s="35">
        <f>M2549+M2558+M2567</f>
        <v/>
      </c>
      <c r="N2576" s="35">
        <f>N2549+N2558+N2567</f>
        <v/>
      </c>
      <c r="O2576" s="35">
        <f>O2549+O2558+O2567</f>
        <v/>
      </c>
      <c r="P2576" s="35">
        <f>P2549+P2558+P2567</f>
        <v/>
      </c>
      <c r="Q2576" s="35">
        <f>Q2549+Q2558+Q2567</f>
        <v/>
      </c>
      <c r="R2576" s="35">
        <f>R2549+R2558+R2567</f>
        <v/>
      </c>
      <c r="S2576" s="35">
        <f>S2549+S2558+S2567</f>
        <v/>
      </c>
      <c r="T2576" s="35">
        <f>T2549+T2558+T2567</f>
        <v/>
      </c>
      <c r="U2576" s="35">
        <f>U2549+U2558+U2567</f>
        <v/>
      </c>
      <c r="V2576" s="35">
        <f>V2549+V2558+V2567</f>
        <v/>
      </c>
      <c r="W2576" s="35">
        <f>W2549+W2558+W2567</f>
        <v/>
      </c>
      <c r="X2576" s="35">
        <f>X2549+X2558+X2567</f>
        <v/>
      </c>
      <c r="Y2576" s="35">
        <f>Y2549+Y2558+Y2567</f>
        <v/>
      </c>
      <c r="Z2576" s="35">
        <f>Z2549+Z2558+Z2567</f>
        <v/>
      </c>
      <c r="AA2576" s="35">
        <f>AA2549+AA2558+AA2567</f>
        <v/>
      </c>
      <c r="AB2576" s="35">
        <f>AB2549+AB2558+AB2567</f>
        <v/>
      </c>
      <c r="AC2576" s="35">
        <f>AC2549+AC2558+AC2567</f>
        <v/>
      </c>
      <c r="AD2576" s="35">
        <f>AD2549+AD2558+AD2567</f>
        <v/>
      </c>
      <c r="AE2576" s="42">
        <f>NEWPOLICY(AE2549,AE2558,AE2567)</f>
        <v/>
      </c>
      <c r="AG2576" s="11">
        <f>CodePrefix&amp;$A2576&amp;IF($C2576="","","."&amp;$C2576&amp;"."&amp;$B2576)&amp;INDEX(VarEnd,MATCH($A2576,VarKey,0))&amp;AG$5</f>
        <v/>
      </c>
      <c r="AH2576" s="40">
        <f>AH2549+AH2558+AH2567</f>
        <v/>
      </c>
      <c r="AI2576" s="35">
        <f>AI2549+AI2558+AI2567</f>
        <v/>
      </c>
      <c r="AJ2576" s="35">
        <f>AJ2549+AJ2558+AJ2567</f>
        <v/>
      </c>
      <c r="AK2576" s="35">
        <f>AK2549+AK2558+AK2567</f>
        <v/>
      </c>
      <c r="AL2576" s="35">
        <f>AL2549+AL2558+AL2567</f>
        <v/>
      </c>
      <c r="AM2576" s="35">
        <f>AM2549+AM2558+AM2567</f>
        <v/>
      </c>
      <c r="AN2576" s="35">
        <f>AN2549+AN2558+AN2567</f>
        <v/>
      </c>
      <c r="AO2576" s="35">
        <f>AO2549+AO2558+AO2567</f>
        <v/>
      </c>
      <c r="AP2576" s="35">
        <f>AP2549+AP2558+AP2567</f>
        <v/>
      </c>
      <c r="AQ2576" s="35">
        <f>AQ2549+AQ2558+AQ2567</f>
        <v/>
      </c>
      <c r="AR2576" s="35">
        <f>AR2549+AR2558+AR2567</f>
        <v/>
      </c>
      <c r="AS2576" s="35">
        <f>AS2549+AS2558+AS2567</f>
        <v/>
      </c>
      <c r="AT2576" s="35">
        <f>AT2549+AT2558+AT2567</f>
        <v/>
      </c>
      <c r="AU2576" s="35">
        <f>AU2549+AU2558+AU2567</f>
        <v/>
      </c>
      <c r="AV2576" s="35">
        <f>AV2549+AV2558+AV2567</f>
        <v/>
      </c>
      <c r="AW2576" s="35">
        <f>AW2549+AW2558+AW2567</f>
        <v/>
      </c>
      <c r="AX2576" s="35">
        <f>AX2549+AX2558+AX2567</f>
        <v/>
      </c>
      <c r="AY2576" s="35">
        <f>AY2549+AY2558+AY2567</f>
        <v/>
      </c>
      <c r="AZ2576" s="35">
        <f>AZ2549+AZ2558+AZ2567</f>
        <v/>
      </c>
      <c r="BA2576" s="42">
        <f>NEWPOLICY(BA2549,BA2558,BA2567)</f>
        <v/>
      </c>
    </row>
    <row r="2577" hidden="1" outlineLevel="2">
      <c r="A2577" s="14" t="inlineStr">
        <is>
          <t>nce</t>
        </is>
      </c>
      <c r="B2577" s="14" t="inlineStr">
        <is>
          <t>nga</t>
        </is>
      </c>
      <c r="C2577" s="14" t="inlineStr">
        <is>
          <t>omn</t>
        </is>
      </c>
      <c r="D2577" s="39" t="n"/>
      <c r="E2577" s="39" t="n"/>
      <c r="F2577" s="39" t="n"/>
      <c r="G2577" s="39" t="n"/>
      <c r="H2577" s="14">
        <f>INDEX(VarLab,MATCH($A2577,VarKey,0))&amp;INDEX(MemLab,MATCH($C2577&amp;"|"&amp;$B2577,MemKey,0))</f>
        <v/>
      </c>
      <c r="I2577" s="14">
        <f>INDEX(VarUnit,MATCH($A2577,VarKey,0))</f>
        <v/>
      </c>
      <c r="J2577" s="14">
        <f>INDEX(VarSrc,MATCH($A2577,VarKey,0))</f>
        <v/>
      </c>
      <c r="K2577" s="11">
        <f>CodePrefix&amp;$A2577&amp;IF($C2577="","","."&amp;$C2577&amp;"."&amp;$B2577)&amp;INDEX(VarEnd,MATCH($A2577,VarKey,0))&amp;K$5</f>
        <v/>
      </c>
      <c r="L2577" s="40">
        <f>L2550+L2559+L2568</f>
        <v/>
      </c>
      <c r="M2577" s="35">
        <f>M2550+M2559+M2568</f>
        <v/>
      </c>
      <c r="N2577" s="35">
        <f>N2550+N2559+N2568</f>
        <v/>
      </c>
      <c r="O2577" s="35">
        <f>O2550+O2559+O2568</f>
        <v/>
      </c>
      <c r="P2577" s="35">
        <f>P2550+P2559+P2568</f>
        <v/>
      </c>
      <c r="Q2577" s="35">
        <f>Q2550+Q2559+Q2568</f>
        <v/>
      </c>
      <c r="R2577" s="35">
        <f>R2550+R2559+R2568</f>
        <v/>
      </c>
      <c r="S2577" s="35">
        <f>S2550+S2559+S2568</f>
        <v/>
      </c>
      <c r="T2577" s="35">
        <f>T2550+T2559+T2568</f>
        <v/>
      </c>
      <c r="U2577" s="35">
        <f>U2550+U2559+U2568</f>
        <v/>
      </c>
      <c r="V2577" s="35">
        <f>V2550+V2559+V2568</f>
        <v/>
      </c>
      <c r="W2577" s="35">
        <f>W2550+W2559+W2568</f>
        <v/>
      </c>
      <c r="X2577" s="35">
        <f>X2550+X2559+X2568</f>
        <v/>
      </c>
      <c r="Y2577" s="35">
        <f>Y2550+Y2559+Y2568</f>
        <v/>
      </c>
      <c r="Z2577" s="35">
        <f>Z2550+Z2559+Z2568</f>
        <v/>
      </c>
      <c r="AA2577" s="35">
        <f>AA2550+AA2559+AA2568</f>
        <v/>
      </c>
      <c r="AB2577" s="35">
        <f>AB2550+AB2559+AB2568</f>
        <v/>
      </c>
      <c r="AC2577" s="35">
        <f>AC2550+AC2559+AC2568</f>
        <v/>
      </c>
      <c r="AD2577" s="35">
        <f>AD2550+AD2559+AD2568</f>
        <v/>
      </c>
      <c r="AE2577" s="42">
        <f>NEWPOLICY(AE2550,AE2559,AE2568)</f>
        <v/>
      </c>
      <c r="AG2577" s="11">
        <f>CodePrefix&amp;$A2577&amp;IF($C2577="","","."&amp;$C2577&amp;"."&amp;$B2577)&amp;INDEX(VarEnd,MATCH($A2577,VarKey,0))&amp;AG$5</f>
        <v/>
      </c>
      <c r="AH2577" s="40">
        <f>AH2550+AH2559+AH2568</f>
        <v/>
      </c>
      <c r="AI2577" s="35">
        <f>AI2550+AI2559+AI2568</f>
        <v/>
      </c>
      <c r="AJ2577" s="35">
        <f>AJ2550+AJ2559+AJ2568</f>
        <v/>
      </c>
      <c r="AK2577" s="35">
        <f>AK2550+AK2559+AK2568</f>
        <v/>
      </c>
      <c r="AL2577" s="35">
        <f>AL2550+AL2559+AL2568</f>
        <v/>
      </c>
      <c r="AM2577" s="35">
        <f>AM2550+AM2559+AM2568</f>
        <v/>
      </c>
      <c r="AN2577" s="35">
        <f>AN2550+AN2559+AN2568</f>
        <v/>
      </c>
      <c r="AO2577" s="35">
        <f>AO2550+AO2559+AO2568</f>
        <v/>
      </c>
      <c r="AP2577" s="35">
        <f>AP2550+AP2559+AP2568</f>
        <v/>
      </c>
      <c r="AQ2577" s="35">
        <f>AQ2550+AQ2559+AQ2568</f>
        <v/>
      </c>
      <c r="AR2577" s="35">
        <f>AR2550+AR2559+AR2568</f>
        <v/>
      </c>
      <c r="AS2577" s="35">
        <f>AS2550+AS2559+AS2568</f>
        <v/>
      </c>
      <c r="AT2577" s="35">
        <f>AT2550+AT2559+AT2568</f>
        <v/>
      </c>
      <c r="AU2577" s="35">
        <f>AU2550+AU2559+AU2568</f>
        <v/>
      </c>
      <c r="AV2577" s="35">
        <f>AV2550+AV2559+AV2568</f>
        <v/>
      </c>
      <c r="AW2577" s="35">
        <f>AW2550+AW2559+AW2568</f>
        <v/>
      </c>
      <c r="AX2577" s="35">
        <f>AX2550+AX2559+AX2568</f>
        <v/>
      </c>
      <c r="AY2577" s="35">
        <f>AY2550+AY2559+AY2568</f>
        <v/>
      </c>
      <c r="AZ2577" s="35">
        <f>AZ2550+AZ2559+AZ2568</f>
        <v/>
      </c>
      <c r="BA2577" s="42">
        <f>NEWPOLICY(BA2550,BA2559,BA2568)</f>
        <v/>
      </c>
    </row>
    <row r="2578" hidden="1" outlineLevel="2">
      <c r="A2578" s="14" t="inlineStr">
        <is>
          <t>nce</t>
        </is>
      </c>
      <c r="B2578" s="14" t="inlineStr">
        <is>
          <t>gso</t>
        </is>
      </c>
      <c r="C2578" s="14" t="inlineStr">
        <is>
          <t>omn</t>
        </is>
      </c>
      <c r="D2578" s="39" t="n"/>
      <c r="E2578" s="39" t="n"/>
      <c r="F2578" s="39" t="n"/>
      <c r="G2578" s="39" t="n"/>
      <c r="H2578" s="14">
        <f>INDEX(VarLab,MATCH($A2578,VarKey,0))&amp;INDEX(MemLab,MATCH($C2578&amp;"|"&amp;$B2578,MemKey,0))</f>
        <v/>
      </c>
      <c r="I2578" s="14">
        <f>INDEX(VarUnit,MATCH($A2578,VarKey,0))</f>
        <v/>
      </c>
      <c r="J2578" s="14">
        <f>INDEX(VarSrc,MATCH($A2578,VarKey,0))</f>
        <v/>
      </c>
      <c r="K2578" s="11">
        <f>CodePrefix&amp;$A2578&amp;IF($C2578="","","."&amp;$C2578&amp;"."&amp;$B2578)&amp;INDEX(VarEnd,MATCH($A2578,VarKey,0))&amp;K$5</f>
        <v/>
      </c>
      <c r="L2578" s="40">
        <f>L2551+L2560+L2569</f>
        <v/>
      </c>
      <c r="M2578" s="35">
        <f>M2551+M2560+M2569</f>
        <v/>
      </c>
      <c r="N2578" s="35">
        <f>N2551+N2560+N2569</f>
        <v/>
      </c>
      <c r="O2578" s="35">
        <f>O2551+O2560+O2569</f>
        <v/>
      </c>
      <c r="P2578" s="35">
        <f>P2551+P2560+P2569</f>
        <v/>
      </c>
      <c r="Q2578" s="35">
        <f>Q2551+Q2560+Q2569</f>
        <v/>
      </c>
      <c r="R2578" s="35">
        <f>R2551+R2560+R2569</f>
        <v/>
      </c>
      <c r="S2578" s="35">
        <f>S2551+S2560+S2569</f>
        <v/>
      </c>
      <c r="T2578" s="35">
        <f>T2551+T2560+T2569</f>
        <v/>
      </c>
      <c r="U2578" s="35">
        <f>U2551+U2560+U2569</f>
        <v/>
      </c>
      <c r="V2578" s="35">
        <f>V2551+V2560+V2569</f>
        <v/>
      </c>
      <c r="W2578" s="35">
        <f>W2551+W2560+W2569</f>
        <v/>
      </c>
      <c r="X2578" s="35">
        <f>X2551+X2560+X2569</f>
        <v/>
      </c>
      <c r="Y2578" s="35">
        <f>Y2551+Y2560+Y2569</f>
        <v/>
      </c>
      <c r="Z2578" s="35">
        <f>Z2551+Z2560+Z2569</f>
        <v/>
      </c>
      <c r="AA2578" s="35">
        <f>AA2551+AA2560+AA2569</f>
        <v/>
      </c>
      <c r="AB2578" s="35">
        <f>AB2551+AB2560+AB2569</f>
        <v/>
      </c>
      <c r="AC2578" s="35">
        <f>AC2551+AC2560+AC2569</f>
        <v/>
      </c>
      <c r="AD2578" s="35">
        <f>AD2551+AD2560+AD2569</f>
        <v/>
      </c>
      <c r="AE2578" s="42">
        <f>NEWPOLICY(AE2551,AE2560,AE2569)</f>
        <v/>
      </c>
      <c r="AG2578" s="11">
        <f>CodePrefix&amp;$A2578&amp;IF($C2578="","","."&amp;$C2578&amp;"."&amp;$B2578)&amp;INDEX(VarEnd,MATCH($A2578,VarKey,0))&amp;AG$5</f>
        <v/>
      </c>
      <c r="AH2578" s="40">
        <f>AH2551+AH2560+AH2569</f>
        <v/>
      </c>
      <c r="AI2578" s="35">
        <f>AI2551+AI2560+AI2569</f>
        <v/>
      </c>
      <c r="AJ2578" s="35">
        <f>AJ2551+AJ2560+AJ2569</f>
        <v/>
      </c>
      <c r="AK2578" s="35">
        <f>AK2551+AK2560+AK2569</f>
        <v/>
      </c>
      <c r="AL2578" s="35">
        <f>AL2551+AL2560+AL2569</f>
        <v/>
      </c>
      <c r="AM2578" s="35">
        <f>AM2551+AM2560+AM2569</f>
        <v/>
      </c>
      <c r="AN2578" s="35">
        <f>AN2551+AN2560+AN2569</f>
        <v/>
      </c>
      <c r="AO2578" s="35">
        <f>AO2551+AO2560+AO2569</f>
        <v/>
      </c>
      <c r="AP2578" s="35">
        <f>AP2551+AP2560+AP2569</f>
        <v/>
      </c>
      <c r="AQ2578" s="35">
        <f>AQ2551+AQ2560+AQ2569</f>
        <v/>
      </c>
      <c r="AR2578" s="35">
        <f>AR2551+AR2560+AR2569</f>
        <v/>
      </c>
      <c r="AS2578" s="35">
        <f>AS2551+AS2560+AS2569</f>
        <v/>
      </c>
      <c r="AT2578" s="35">
        <f>AT2551+AT2560+AT2569</f>
        <v/>
      </c>
      <c r="AU2578" s="35">
        <f>AU2551+AU2560+AU2569</f>
        <v/>
      </c>
      <c r="AV2578" s="35">
        <f>AV2551+AV2560+AV2569</f>
        <v/>
      </c>
      <c r="AW2578" s="35">
        <f>AW2551+AW2560+AW2569</f>
        <v/>
      </c>
      <c r="AX2578" s="35">
        <f>AX2551+AX2560+AX2569</f>
        <v/>
      </c>
      <c r="AY2578" s="35">
        <f>AY2551+AY2560+AY2569</f>
        <v/>
      </c>
      <c r="AZ2578" s="35">
        <f>AZ2551+AZ2560+AZ2569</f>
        <v/>
      </c>
      <c r="BA2578" s="42">
        <f>NEWPOLICY(BA2551,BA2560,BA2569)</f>
        <v/>
      </c>
    </row>
    <row r="2579" hidden="1" outlineLevel="2">
      <c r="A2579" s="14" t="inlineStr">
        <is>
          <t>nce</t>
        </is>
      </c>
      <c r="B2579" s="14" t="inlineStr">
        <is>
          <t>die</t>
        </is>
      </c>
      <c r="C2579" s="14" t="inlineStr">
        <is>
          <t>omn</t>
        </is>
      </c>
      <c r="D2579" s="39" t="n"/>
      <c r="E2579" s="39" t="n"/>
      <c r="F2579" s="39" t="n"/>
      <c r="G2579" s="39" t="n"/>
      <c r="H2579" s="14">
        <f>INDEX(VarLab,MATCH($A2579,VarKey,0))&amp;INDEX(MemLab,MATCH($C2579&amp;"|"&amp;$B2579,MemKey,0))</f>
        <v/>
      </c>
      <c r="I2579" s="14">
        <f>INDEX(VarUnit,MATCH($A2579,VarKey,0))</f>
        <v/>
      </c>
      <c r="J2579" s="14">
        <f>INDEX(VarSrc,MATCH($A2579,VarKey,0))</f>
        <v/>
      </c>
      <c r="K2579" s="11">
        <f>CodePrefix&amp;$A2579&amp;IF($C2579="","","."&amp;$C2579&amp;"."&amp;$B2579)&amp;INDEX(VarEnd,MATCH($A2579,VarKey,0))&amp;K$5</f>
        <v/>
      </c>
      <c r="L2579" s="40">
        <f>L2552+L2561+L2570</f>
        <v/>
      </c>
      <c r="M2579" s="35">
        <f>M2552+M2561+M2570</f>
        <v/>
      </c>
      <c r="N2579" s="35">
        <f>N2552+N2561+N2570</f>
        <v/>
      </c>
      <c r="O2579" s="35">
        <f>O2552+O2561+O2570</f>
        <v/>
      </c>
      <c r="P2579" s="35">
        <f>P2552+P2561+P2570</f>
        <v/>
      </c>
      <c r="Q2579" s="35">
        <f>Q2552+Q2561+Q2570</f>
        <v/>
      </c>
      <c r="R2579" s="35">
        <f>R2552+R2561+R2570</f>
        <v/>
      </c>
      <c r="S2579" s="35">
        <f>S2552+S2561+S2570</f>
        <v/>
      </c>
      <c r="T2579" s="35">
        <f>T2552+T2561+T2570</f>
        <v/>
      </c>
      <c r="U2579" s="35">
        <f>U2552+U2561+U2570</f>
        <v/>
      </c>
      <c r="V2579" s="35">
        <f>V2552+V2561+V2570</f>
        <v/>
      </c>
      <c r="W2579" s="35">
        <f>W2552+W2561+W2570</f>
        <v/>
      </c>
      <c r="X2579" s="35">
        <f>X2552+X2561+X2570</f>
        <v/>
      </c>
      <c r="Y2579" s="35">
        <f>Y2552+Y2561+Y2570</f>
        <v/>
      </c>
      <c r="Z2579" s="35">
        <f>Z2552+Z2561+Z2570</f>
        <v/>
      </c>
      <c r="AA2579" s="35">
        <f>AA2552+AA2561+AA2570</f>
        <v/>
      </c>
      <c r="AB2579" s="35">
        <f>AB2552+AB2561+AB2570</f>
        <v/>
      </c>
      <c r="AC2579" s="35">
        <f>AC2552+AC2561+AC2570</f>
        <v/>
      </c>
      <c r="AD2579" s="35">
        <f>AD2552+AD2561+AD2570</f>
        <v/>
      </c>
      <c r="AE2579" s="42">
        <f>NEWPOLICY(AE2552,AE2561,AE2570)</f>
        <v/>
      </c>
      <c r="AG2579" s="11">
        <f>CodePrefix&amp;$A2579&amp;IF($C2579="","","."&amp;$C2579&amp;"."&amp;$B2579)&amp;INDEX(VarEnd,MATCH($A2579,VarKey,0))&amp;AG$5</f>
        <v/>
      </c>
      <c r="AH2579" s="40">
        <f>AH2552+AH2561+AH2570</f>
        <v/>
      </c>
      <c r="AI2579" s="35">
        <f>AI2552+AI2561+AI2570</f>
        <v/>
      </c>
      <c r="AJ2579" s="35">
        <f>AJ2552+AJ2561+AJ2570</f>
        <v/>
      </c>
      <c r="AK2579" s="35">
        <f>AK2552+AK2561+AK2570</f>
        <v/>
      </c>
      <c r="AL2579" s="35">
        <f>AL2552+AL2561+AL2570</f>
        <v/>
      </c>
      <c r="AM2579" s="35">
        <f>AM2552+AM2561+AM2570</f>
        <v/>
      </c>
      <c r="AN2579" s="35">
        <f>AN2552+AN2561+AN2570</f>
        <v/>
      </c>
      <c r="AO2579" s="35">
        <f>AO2552+AO2561+AO2570</f>
        <v/>
      </c>
      <c r="AP2579" s="35">
        <f>AP2552+AP2561+AP2570</f>
        <v/>
      </c>
      <c r="AQ2579" s="35">
        <f>AQ2552+AQ2561+AQ2570</f>
        <v/>
      </c>
      <c r="AR2579" s="35">
        <f>AR2552+AR2561+AR2570</f>
        <v/>
      </c>
      <c r="AS2579" s="35">
        <f>AS2552+AS2561+AS2570</f>
        <v/>
      </c>
      <c r="AT2579" s="35">
        <f>AT2552+AT2561+AT2570</f>
        <v/>
      </c>
      <c r="AU2579" s="35">
        <f>AU2552+AU2561+AU2570</f>
        <v/>
      </c>
      <c r="AV2579" s="35">
        <f>AV2552+AV2561+AV2570</f>
        <v/>
      </c>
      <c r="AW2579" s="35">
        <f>AW2552+AW2561+AW2570</f>
        <v/>
      </c>
      <c r="AX2579" s="35">
        <f>AX2552+AX2561+AX2570</f>
        <v/>
      </c>
      <c r="AY2579" s="35">
        <f>AY2552+AY2561+AY2570</f>
        <v/>
      </c>
      <c r="AZ2579" s="35">
        <f>AZ2552+AZ2561+AZ2570</f>
        <v/>
      </c>
      <c r="BA2579" s="42">
        <f>NEWPOLICY(BA2552,BA2561,BA2570)</f>
        <v/>
      </c>
    </row>
    <row r="2580" hidden="1" outlineLevel="2">
      <c r="A2580" s="14" t="inlineStr">
        <is>
          <t>nce</t>
        </is>
      </c>
      <c r="B2580" s="14" t="inlineStr">
        <is>
          <t>lpg</t>
        </is>
      </c>
      <c r="C2580" s="14" t="inlineStr">
        <is>
          <t>omn</t>
        </is>
      </c>
      <c r="D2580" s="39" t="n"/>
      <c r="E2580" s="39" t="n"/>
      <c r="F2580" s="39" t="n"/>
      <c r="G2580" s="39" t="n"/>
      <c r="H2580" s="14">
        <f>INDEX(VarLab,MATCH($A2580,VarKey,0))&amp;INDEX(MemLab,MATCH($C2580&amp;"|"&amp;$B2580,MemKey,0))</f>
        <v/>
      </c>
      <c r="I2580" s="14">
        <f>INDEX(VarUnit,MATCH($A2580,VarKey,0))</f>
        <v/>
      </c>
      <c r="J2580" s="14">
        <f>INDEX(VarSrc,MATCH($A2580,VarKey,0))</f>
        <v/>
      </c>
      <c r="K2580" s="11">
        <f>CodePrefix&amp;$A2580&amp;IF($C2580="","","."&amp;$C2580&amp;"."&amp;$B2580)&amp;INDEX(VarEnd,MATCH($A2580,VarKey,0))&amp;K$5</f>
        <v/>
      </c>
      <c r="L2580" s="40">
        <f>L2553+L2562+L2571</f>
        <v/>
      </c>
      <c r="M2580" s="35">
        <f>M2553+M2562+M2571</f>
        <v/>
      </c>
      <c r="N2580" s="35">
        <f>N2553+N2562+N2571</f>
        <v/>
      </c>
      <c r="O2580" s="35">
        <f>O2553+O2562+O2571</f>
        <v/>
      </c>
      <c r="P2580" s="35">
        <f>P2553+P2562+P2571</f>
        <v/>
      </c>
      <c r="Q2580" s="35">
        <f>Q2553+Q2562+Q2571</f>
        <v/>
      </c>
      <c r="R2580" s="35">
        <f>R2553+R2562+R2571</f>
        <v/>
      </c>
      <c r="S2580" s="35">
        <f>S2553+S2562+S2571</f>
        <v/>
      </c>
      <c r="T2580" s="35">
        <f>T2553+T2562+T2571</f>
        <v/>
      </c>
      <c r="U2580" s="35">
        <f>U2553+U2562+U2571</f>
        <v/>
      </c>
      <c r="V2580" s="35">
        <f>V2553+V2562+V2571</f>
        <v/>
      </c>
      <c r="W2580" s="35">
        <f>W2553+W2562+W2571</f>
        <v/>
      </c>
      <c r="X2580" s="35">
        <f>X2553+X2562+X2571</f>
        <v/>
      </c>
      <c r="Y2580" s="35">
        <f>Y2553+Y2562+Y2571</f>
        <v/>
      </c>
      <c r="Z2580" s="35">
        <f>Z2553+Z2562+Z2571</f>
        <v/>
      </c>
      <c r="AA2580" s="35">
        <f>AA2553+AA2562+AA2571</f>
        <v/>
      </c>
      <c r="AB2580" s="35">
        <f>AB2553+AB2562+AB2571</f>
        <v/>
      </c>
      <c r="AC2580" s="35">
        <f>AC2553+AC2562+AC2571</f>
        <v/>
      </c>
      <c r="AD2580" s="35">
        <f>AD2553+AD2562+AD2571</f>
        <v/>
      </c>
      <c r="AE2580" s="42">
        <f>NEWPOLICY(AE2553,AE2562,AE2571)</f>
        <v/>
      </c>
      <c r="AG2580" s="11">
        <f>CodePrefix&amp;$A2580&amp;IF($C2580="","","."&amp;$C2580&amp;"."&amp;$B2580)&amp;INDEX(VarEnd,MATCH($A2580,VarKey,0))&amp;AG$5</f>
        <v/>
      </c>
      <c r="AH2580" s="40">
        <f>AH2553+AH2562+AH2571</f>
        <v/>
      </c>
      <c r="AI2580" s="35">
        <f>AI2553+AI2562+AI2571</f>
        <v/>
      </c>
      <c r="AJ2580" s="35">
        <f>AJ2553+AJ2562+AJ2571</f>
        <v/>
      </c>
      <c r="AK2580" s="35">
        <f>AK2553+AK2562+AK2571</f>
        <v/>
      </c>
      <c r="AL2580" s="35">
        <f>AL2553+AL2562+AL2571</f>
        <v/>
      </c>
      <c r="AM2580" s="35">
        <f>AM2553+AM2562+AM2571</f>
        <v/>
      </c>
      <c r="AN2580" s="35">
        <f>AN2553+AN2562+AN2571</f>
        <v/>
      </c>
      <c r="AO2580" s="35">
        <f>AO2553+AO2562+AO2571</f>
        <v/>
      </c>
      <c r="AP2580" s="35">
        <f>AP2553+AP2562+AP2571</f>
        <v/>
      </c>
      <c r="AQ2580" s="35">
        <f>AQ2553+AQ2562+AQ2571</f>
        <v/>
      </c>
      <c r="AR2580" s="35">
        <f>AR2553+AR2562+AR2571</f>
        <v/>
      </c>
      <c r="AS2580" s="35">
        <f>AS2553+AS2562+AS2571</f>
        <v/>
      </c>
      <c r="AT2580" s="35">
        <f>AT2553+AT2562+AT2571</f>
        <v/>
      </c>
      <c r="AU2580" s="35">
        <f>AU2553+AU2562+AU2571</f>
        <v/>
      </c>
      <c r="AV2580" s="35">
        <f>AV2553+AV2562+AV2571</f>
        <v/>
      </c>
      <c r="AW2580" s="35">
        <f>AW2553+AW2562+AW2571</f>
        <v/>
      </c>
      <c r="AX2580" s="35">
        <f>AX2553+AX2562+AX2571</f>
        <v/>
      </c>
      <c r="AY2580" s="35">
        <f>AY2553+AY2562+AY2571</f>
        <v/>
      </c>
      <c r="AZ2580" s="35">
        <f>AZ2553+AZ2562+AZ2571</f>
        <v/>
      </c>
      <c r="BA2580" s="42">
        <f>NEWPOLICY(BA2553,BA2562,BA2571)</f>
        <v/>
      </c>
    </row>
    <row r="2581" hidden="1" outlineLevel="2">
      <c r="A2581" s="14" t="inlineStr">
        <is>
          <t>nce</t>
        </is>
      </c>
      <c r="B2581" s="14" t="inlineStr">
        <is>
          <t>ker</t>
        </is>
      </c>
      <c r="C2581" s="14" t="inlineStr">
        <is>
          <t>omn</t>
        </is>
      </c>
      <c r="D2581" s="39" t="n"/>
      <c r="E2581" s="39" t="n"/>
      <c r="F2581" s="39" t="n"/>
      <c r="G2581" s="39" t="n"/>
      <c r="H2581" s="14">
        <f>INDEX(VarLab,MATCH($A2581,VarKey,0))&amp;INDEX(MemLab,MATCH($C2581&amp;"|"&amp;$B2581,MemKey,0))</f>
        <v/>
      </c>
      <c r="I2581" s="14">
        <f>INDEX(VarUnit,MATCH($A2581,VarKey,0))</f>
        <v/>
      </c>
      <c r="J2581" s="14">
        <f>INDEX(VarSrc,MATCH($A2581,VarKey,0))</f>
        <v/>
      </c>
      <c r="K2581" s="11">
        <f>CodePrefix&amp;$A2581&amp;IF($C2581="","","."&amp;$C2581&amp;"."&amp;$B2581)&amp;INDEX(VarEnd,MATCH($A2581,VarKey,0))&amp;K$5</f>
        <v/>
      </c>
      <c r="L2581" s="40">
        <f>L2554+L2563+L2572</f>
        <v/>
      </c>
      <c r="M2581" s="35">
        <f>M2554+M2563+M2572</f>
        <v/>
      </c>
      <c r="N2581" s="35">
        <f>N2554+N2563+N2572</f>
        <v/>
      </c>
      <c r="O2581" s="35">
        <f>O2554+O2563+O2572</f>
        <v/>
      </c>
      <c r="P2581" s="35">
        <f>P2554+P2563+P2572</f>
        <v/>
      </c>
      <c r="Q2581" s="35">
        <f>Q2554+Q2563+Q2572</f>
        <v/>
      </c>
      <c r="R2581" s="35">
        <f>R2554+R2563+R2572</f>
        <v/>
      </c>
      <c r="S2581" s="35">
        <f>S2554+S2563+S2572</f>
        <v/>
      </c>
      <c r="T2581" s="35">
        <f>T2554+T2563+T2572</f>
        <v/>
      </c>
      <c r="U2581" s="35">
        <f>U2554+U2563+U2572</f>
        <v/>
      </c>
      <c r="V2581" s="35">
        <f>V2554+V2563+V2572</f>
        <v/>
      </c>
      <c r="W2581" s="35">
        <f>W2554+W2563+W2572</f>
        <v/>
      </c>
      <c r="X2581" s="35">
        <f>X2554+X2563+X2572</f>
        <v/>
      </c>
      <c r="Y2581" s="35">
        <f>Y2554+Y2563+Y2572</f>
        <v/>
      </c>
      <c r="Z2581" s="35">
        <f>Z2554+Z2563+Z2572</f>
        <v/>
      </c>
      <c r="AA2581" s="35">
        <f>AA2554+AA2563+AA2572</f>
        <v/>
      </c>
      <c r="AB2581" s="35">
        <f>AB2554+AB2563+AB2572</f>
        <v/>
      </c>
      <c r="AC2581" s="35">
        <f>AC2554+AC2563+AC2572</f>
        <v/>
      </c>
      <c r="AD2581" s="35">
        <f>AD2554+AD2563+AD2572</f>
        <v/>
      </c>
      <c r="AE2581" s="42">
        <f>NEWPOLICY(AE2554,AE2563,AE2572)</f>
        <v/>
      </c>
      <c r="AG2581" s="11">
        <f>CodePrefix&amp;$A2581&amp;IF($C2581="","","."&amp;$C2581&amp;"."&amp;$B2581)&amp;INDEX(VarEnd,MATCH($A2581,VarKey,0))&amp;AG$5</f>
        <v/>
      </c>
      <c r="AH2581" s="40">
        <f>AH2554+AH2563+AH2572</f>
        <v/>
      </c>
      <c r="AI2581" s="35">
        <f>AI2554+AI2563+AI2572</f>
        <v/>
      </c>
      <c r="AJ2581" s="35">
        <f>AJ2554+AJ2563+AJ2572</f>
        <v/>
      </c>
      <c r="AK2581" s="35">
        <f>AK2554+AK2563+AK2572</f>
        <v/>
      </c>
      <c r="AL2581" s="35">
        <f>AL2554+AL2563+AL2572</f>
        <v/>
      </c>
      <c r="AM2581" s="35">
        <f>AM2554+AM2563+AM2572</f>
        <v/>
      </c>
      <c r="AN2581" s="35">
        <f>AN2554+AN2563+AN2572</f>
        <v/>
      </c>
      <c r="AO2581" s="35">
        <f>AO2554+AO2563+AO2572</f>
        <v/>
      </c>
      <c r="AP2581" s="35">
        <f>AP2554+AP2563+AP2572</f>
        <v/>
      </c>
      <c r="AQ2581" s="35">
        <f>AQ2554+AQ2563+AQ2572</f>
        <v/>
      </c>
      <c r="AR2581" s="35">
        <f>AR2554+AR2563+AR2572</f>
        <v/>
      </c>
      <c r="AS2581" s="35">
        <f>AS2554+AS2563+AS2572</f>
        <v/>
      </c>
      <c r="AT2581" s="35">
        <f>AT2554+AT2563+AT2572</f>
        <v/>
      </c>
      <c r="AU2581" s="35">
        <f>AU2554+AU2563+AU2572</f>
        <v/>
      </c>
      <c r="AV2581" s="35">
        <f>AV2554+AV2563+AV2572</f>
        <v/>
      </c>
      <c r="AW2581" s="35">
        <f>AW2554+AW2563+AW2572</f>
        <v/>
      </c>
      <c r="AX2581" s="35">
        <f>AX2554+AX2563+AX2572</f>
        <v/>
      </c>
      <c r="AY2581" s="35">
        <f>AY2554+AY2563+AY2572</f>
        <v/>
      </c>
      <c r="AZ2581" s="35">
        <f>AZ2554+AZ2563+AZ2572</f>
        <v/>
      </c>
      <c r="BA2581" s="42">
        <f>NEWPOLICY(BA2554,BA2563,BA2572)</f>
        <v/>
      </c>
    </row>
    <row r="2582" hidden="1" outlineLevel="2">
      <c r="A2582" s="14" t="inlineStr">
        <is>
          <t>nce</t>
        </is>
      </c>
      <c r="B2582" s="14" t="inlineStr">
        <is>
          <t>oop</t>
        </is>
      </c>
      <c r="C2582" s="14" t="inlineStr">
        <is>
          <t>omn</t>
        </is>
      </c>
      <c r="D2582" s="39" t="n"/>
      <c r="E2582" s="39" t="n"/>
      <c r="F2582" s="39" t="n"/>
      <c r="G2582" s="39" t="n"/>
      <c r="H2582" s="14">
        <f>INDEX(VarLab,MATCH($A2582,VarKey,0))&amp;INDEX(MemLab,MATCH($C2582&amp;"|"&amp;$B2582,MemKey,0))</f>
        <v/>
      </c>
      <c r="I2582" s="14">
        <f>INDEX(VarUnit,MATCH($A2582,VarKey,0))</f>
        <v/>
      </c>
      <c r="J2582" s="14">
        <f>INDEX(VarSrc,MATCH($A2582,VarKey,0))</f>
        <v/>
      </c>
      <c r="K2582" s="11">
        <f>CodePrefix&amp;$A2582&amp;IF($C2582="","","."&amp;$C2582&amp;"."&amp;$B2582)&amp;INDEX(VarEnd,MATCH($A2582,VarKey,0))&amp;K$5</f>
        <v/>
      </c>
      <c r="L2582" s="40">
        <f>L2555+L2564+L2573</f>
        <v/>
      </c>
      <c r="M2582" s="35">
        <f>M2555+M2564+M2573</f>
        <v/>
      </c>
      <c r="N2582" s="35">
        <f>N2555+N2564+N2573</f>
        <v/>
      </c>
      <c r="O2582" s="35">
        <f>O2555+O2564+O2573</f>
        <v/>
      </c>
      <c r="P2582" s="35">
        <f>P2555+P2564+P2573</f>
        <v/>
      </c>
      <c r="Q2582" s="35">
        <f>Q2555+Q2564+Q2573</f>
        <v/>
      </c>
      <c r="R2582" s="35">
        <f>R2555+R2564+R2573</f>
        <v/>
      </c>
      <c r="S2582" s="35">
        <f>S2555+S2564+S2573</f>
        <v/>
      </c>
      <c r="T2582" s="35">
        <f>T2555+T2564+T2573</f>
        <v/>
      </c>
      <c r="U2582" s="35">
        <f>U2555+U2564+U2573</f>
        <v/>
      </c>
      <c r="V2582" s="35">
        <f>V2555+V2564+V2573</f>
        <v/>
      </c>
      <c r="W2582" s="35">
        <f>W2555+W2564+W2573</f>
        <v/>
      </c>
      <c r="X2582" s="35">
        <f>X2555+X2564+X2573</f>
        <v/>
      </c>
      <c r="Y2582" s="35">
        <f>Y2555+Y2564+Y2573</f>
        <v/>
      </c>
      <c r="Z2582" s="35">
        <f>Z2555+Z2564+Z2573</f>
        <v/>
      </c>
      <c r="AA2582" s="35">
        <f>AA2555+AA2564+AA2573</f>
        <v/>
      </c>
      <c r="AB2582" s="35">
        <f>AB2555+AB2564+AB2573</f>
        <v/>
      </c>
      <c r="AC2582" s="35">
        <f>AC2555+AC2564+AC2573</f>
        <v/>
      </c>
      <c r="AD2582" s="35">
        <f>AD2555+AD2564+AD2573</f>
        <v/>
      </c>
      <c r="AE2582" s="42">
        <f>NEWPOLICY(AE2555,AE2564,AE2573)</f>
        <v/>
      </c>
      <c r="AG2582" s="11">
        <f>CodePrefix&amp;$A2582&amp;IF($C2582="","","."&amp;$C2582&amp;"."&amp;$B2582)&amp;INDEX(VarEnd,MATCH($A2582,VarKey,0))&amp;AG$5</f>
        <v/>
      </c>
      <c r="AH2582" s="40">
        <f>AH2555+AH2564+AH2573</f>
        <v/>
      </c>
      <c r="AI2582" s="35">
        <f>AI2555+AI2564+AI2573</f>
        <v/>
      </c>
      <c r="AJ2582" s="35">
        <f>AJ2555+AJ2564+AJ2573</f>
        <v/>
      </c>
      <c r="AK2582" s="35">
        <f>AK2555+AK2564+AK2573</f>
        <v/>
      </c>
      <c r="AL2582" s="35">
        <f>AL2555+AL2564+AL2573</f>
        <v/>
      </c>
      <c r="AM2582" s="35">
        <f>AM2555+AM2564+AM2573</f>
        <v/>
      </c>
      <c r="AN2582" s="35">
        <f>AN2555+AN2564+AN2573</f>
        <v/>
      </c>
      <c r="AO2582" s="35">
        <f>AO2555+AO2564+AO2573</f>
        <v/>
      </c>
      <c r="AP2582" s="35">
        <f>AP2555+AP2564+AP2573</f>
        <v/>
      </c>
      <c r="AQ2582" s="35">
        <f>AQ2555+AQ2564+AQ2573</f>
        <v/>
      </c>
      <c r="AR2582" s="35">
        <f>AR2555+AR2564+AR2573</f>
        <v/>
      </c>
      <c r="AS2582" s="35">
        <f>AS2555+AS2564+AS2573</f>
        <v/>
      </c>
      <c r="AT2582" s="35">
        <f>AT2555+AT2564+AT2573</f>
        <v/>
      </c>
      <c r="AU2582" s="35">
        <f>AU2555+AU2564+AU2573</f>
        <v/>
      </c>
      <c r="AV2582" s="35">
        <f>AV2555+AV2564+AV2573</f>
        <v/>
      </c>
      <c r="AW2582" s="35">
        <f>AW2555+AW2564+AW2573</f>
        <v/>
      </c>
      <c r="AX2582" s="35">
        <f>AX2555+AX2564+AX2573</f>
        <v/>
      </c>
      <c r="AY2582" s="35">
        <f>AY2555+AY2564+AY2573</f>
        <v/>
      </c>
      <c r="AZ2582" s="35">
        <f>AZ2555+AZ2564+AZ2573</f>
        <v/>
      </c>
      <c r="BA2582" s="42">
        <f>NEWPOLICY(BA2555,BA2564,BA2573)</f>
        <v/>
      </c>
    </row>
    <row r="2583" hidden="1" outlineLevel="2">
      <c r="A2583" s="14" t="inlineStr">
        <is>
          <t>nce</t>
        </is>
      </c>
      <c r="B2583" s="14" t="inlineStr">
        <is>
          <t>bio</t>
        </is>
      </c>
      <c r="C2583" s="14" t="inlineStr">
        <is>
          <t>omn</t>
        </is>
      </c>
      <c r="D2583" s="39" t="n"/>
      <c r="E2583" s="39" t="n"/>
      <c r="F2583" s="39" t="n"/>
      <c r="G2583" s="39" t="n"/>
      <c r="H2583" s="14">
        <f>INDEX(VarLab,MATCH($A2583,VarKey,0))&amp;INDEX(MemLab,MATCH($C2583&amp;"|"&amp;$B2583,MemKey,0))</f>
        <v/>
      </c>
      <c r="I2583" s="14">
        <f>INDEX(VarUnit,MATCH($A2583,VarKey,0))</f>
        <v/>
      </c>
      <c r="J2583" s="14">
        <f>INDEX(VarSrc,MATCH($A2583,VarKey,0))</f>
        <v/>
      </c>
      <c r="K2583" s="11">
        <f>CodePrefix&amp;$A2583&amp;IF($C2583="","","."&amp;$C2583&amp;"."&amp;$B2583)&amp;INDEX(VarEnd,MATCH($A2583,VarKey,0))&amp;K$5</f>
        <v/>
      </c>
      <c r="L2583" s="40">
        <f>L2556+L2565+L2574</f>
        <v/>
      </c>
      <c r="M2583" s="35">
        <f>M2556+M2565+M2574</f>
        <v/>
      </c>
      <c r="N2583" s="35">
        <f>N2556+N2565+N2574</f>
        <v/>
      </c>
      <c r="O2583" s="35">
        <f>O2556+O2565+O2574</f>
        <v/>
      </c>
      <c r="P2583" s="35">
        <f>P2556+P2565+P2574</f>
        <v/>
      </c>
      <c r="Q2583" s="35">
        <f>Q2556+Q2565+Q2574</f>
        <v/>
      </c>
      <c r="R2583" s="35">
        <f>R2556+R2565+R2574</f>
        <v/>
      </c>
      <c r="S2583" s="35">
        <f>S2556+S2565+S2574</f>
        <v/>
      </c>
      <c r="T2583" s="35">
        <f>T2556+T2565+T2574</f>
        <v/>
      </c>
      <c r="U2583" s="35">
        <f>U2556+U2565+U2574</f>
        <v/>
      </c>
      <c r="V2583" s="35">
        <f>V2556+V2565+V2574</f>
        <v/>
      </c>
      <c r="W2583" s="35">
        <f>W2556+W2565+W2574</f>
        <v/>
      </c>
      <c r="X2583" s="35">
        <f>X2556+X2565+X2574</f>
        <v/>
      </c>
      <c r="Y2583" s="35">
        <f>Y2556+Y2565+Y2574</f>
        <v/>
      </c>
      <c r="Z2583" s="35">
        <f>Z2556+Z2565+Z2574</f>
        <v/>
      </c>
      <c r="AA2583" s="35">
        <f>AA2556+AA2565+AA2574</f>
        <v/>
      </c>
      <c r="AB2583" s="35">
        <f>AB2556+AB2565+AB2574</f>
        <v/>
      </c>
      <c r="AC2583" s="35">
        <f>AC2556+AC2565+AC2574</f>
        <v/>
      </c>
      <c r="AD2583" s="35">
        <f>AD2556+AD2565+AD2574</f>
        <v/>
      </c>
      <c r="AE2583" s="42">
        <f>NEWPOLICY(AE2556,AE2565,AE2574)</f>
        <v/>
      </c>
      <c r="AG2583" s="11">
        <f>CodePrefix&amp;$A2583&amp;IF($C2583="","","."&amp;$C2583&amp;"."&amp;$B2583)&amp;INDEX(VarEnd,MATCH($A2583,VarKey,0))&amp;AG$5</f>
        <v/>
      </c>
      <c r="AH2583" s="40">
        <f>AH2556+AH2565+AH2574</f>
        <v/>
      </c>
      <c r="AI2583" s="35">
        <f>AI2556+AI2565+AI2574</f>
        <v/>
      </c>
      <c r="AJ2583" s="35">
        <f>AJ2556+AJ2565+AJ2574</f>
        <v/>
      </c>
      <c r="AK2583" s="35">
        <f>AK2556+AK2565+AK2574</f>
        <v/>
      </c>
      <c r="AL2583" s="35">
        <f>AL2556+AL2565+AL2574</f>
        <v/>
      </c>
      <c r="AM2583" s="35">
        <f>AM2556+AM2565+AM2574</f>
        <v/>
      </c>
      <c r="AN2583" s="35">
        <f>AN2556+AN2565+AN2574</f>
        <v/>
      </c>
      <c r="AO2583" s="35">
        <f>AO2556+AO2565+AO2574</f>
        <v/>
      </c>
      <c r="AP2583" s="35">
        <f>AP2556+AP2565+AP2574</f>
        <v/>
      </c>
      <c r="AQ2583" s="35">
        <f>AQ2556+AQ2565+AQ2574</f>
        <v/>
      </c>
      <c r="AR2583" s="35">
        <f>AR2556+AR2565+AR2574</f>
        <v/>
      </c>
      <c r="AS2583" s="35">
        <f>AS2556+AS2565+AS2574</f>
        <v/>
      </c>
      <c r="AT2583" s="35">
        <f>AT2556+AT2565+AT2574</f>
        <v/>
      </c>
      <c r="AU2583" s="35">
        <f>AU2556+AU2565+AU2574</f>
        <v/>
      </c>
      <c r="AV2583" s="35">
        <f>AV2556+AV2565+AV2574</f>
        <v/>
      </c>
      <c r="AW2583" s="35">
        <f>AW2556+AW2565+AW2574</f>
        <v/>
      </c>
      <c r="AX2583" s="35">
        <f>AX2556+AX2565+AX2574</f>
        <v/>
      </c>
      <c r="AY2583" s="35">
        <f>AY2556+AY2565+AY2574</f>
        <v/>
      </c>
      <c r="AZ2583" s="35">
        <f>AZ2556+AZ2565+AZ2574</f>
        <v/>
      </c>
      <c r="BA2583" s="42">
        <f>NEWPOLICY(BA2556,BA2565,BA2574)</f>
        <v/>
      </c>
    </row>
    <row r="2584" hidden="1" outlineLevel="2"/>
    <row r="2585" hidden="1" outlineLevel="2">
      <c r="A2585" s="14" t="inlineStr">
        <is>
          <t>xcp</t>
        </is>
      </c>
      <c r="B2585" s="14" t="inlineStr">
        <is>
          <t>coa</t>
        </is>
      </c>
      <c r="C2585" s="14" t="inlineStr">
        <is>
          <t>omn</t>
        </is>
      </c>
      <c r="D2585" s="35">
        <f>INDEX(Inputs!$W$5:$W$132,MATCH($B2585&amp;"|"&amp;$C2585,Inputs!$A$5:$A$132,0))</f>
        <v/>
      </c>
      <c r="E2585" s="35">
        <f>INDEX(Inputs!$Z$5:$Z$132,MATCH($B2585&amp;"|"&amp;$C2585,Inputs!$A$5:$A$132,0))</f>
        <v/>
      </c>
      <c r="F2585" s="35">
        <f>INDEX(Inputs!$AA$5:$AA$132,MATCH($B2585&amp;"|"&amp;$C2585,Inputs!$A$5:$A$132,0))</f>
        <v/>
      </c>
      <c r="G2585" s="39" t="n"/>
      <c r="H2585" s="14">
        <f>INDEX(VarLab,MATCH($A2585,VarKey,0))&amp;INDEX(MemLab,MATCH($C2585&amp;"|"&amp;$B2585,MemKey,0))</f>
        <v/>
      </c>
      <c r="I2585" s="14">
        <f>INDEX(VarUnit,MATCH($A2585,VarKey,0))</f>
        <v/>
      </c>
      <c r="J2585" s="14">
        <f>INDEX(VarSrc,MATCH($A2585,VarKey,0))</f>
        <v/>
      </c>
      <c r="K2585" s="11">
        <f>CodePrefix&amp;$A2585&amp;IF($C2585="","","."&amp;$C2585&amp;"."&amp;$B2585)&amp;INDEX(VarEnd,MATCH($A2585,VarKey,0))&amp;K$5</f>
        <v/>
      </c>
      <c r="L2585" s="40">
        <f>$D2585*($E2585*L$321+$F2585*L$324)</f>
        <v/>
      </c>
      <c r="M2585" s="35">
        <f>$D2585*($E2585*M$321+$F2585*M$324)</f>
        <v/>
      </c>
      <c r="N2585" s="35">
        <f>$D2585*($E2585*N$321+$F2585*N$324)</f>
        <v/>
      </c>
      <c r="O2585" s="35">
        <f>$D2585*($E2585*O$321+$F2585*O$324)</f>
        <v/>
      </c>
      <c r="P2585" s="35">
        <f>$D2585*($E2585*P$321+$F2585*P$324)</f>
        <v/>
      </c>
      <c r="Q2585" s="35">
        <f>$D2585*($E2585*Q$321+$F2585*Q$324)</f>
        <v/>
      </c>
      <c r="R2585" s="35">
        <f>$D2585*($E2585*R$321+$F2585*R$324)</f>
        <v/>
      </c>
      <c r="S2585" s="35">
        <f>$D2585*($E2585*S$321+$F2585*S$324)</f>
        <v/>
      </c>
      <c r="T2585" s="35">
        <f>$D2585*($E2585*T$321+$F2585*T$324)</f>
        <v/>
      </c>
      <c r="U2585" s="35">
        <f>$D2585*($E2585*U$321+$F2585*U$324)</f>
        <v/>
      </c>
      <c r="V2585" s="35">
        <f>$D2585*($E2585*V$321+$F2585*V$324)</f>
        <v/>
      </c>
      <c r="W2585" s="35">
        <f>$D2585*($E2585*W$321+$F2585*W$324)</f>
        <v/>
      </c>
      <c r="X2585" s="35">
        <f>$D2585*($E2585*X$321+$F2585*X$324)</f>
        <v/>
      </c>
      <c r="Y2585" s="35">
        <f>$D2585*($E2585*Y$321+$F2585*Y$324)</f>
        <v/>
      </c>
      <c r="Z2585" s="35">
        <f>$D2585*($E2585*Z$321+$F2585*Z$324)</f>
        <v/>
      </c>
      <c r="AA2585" s="35">
        <f>$D2585*($E2585*AA$321+$F2585*AA$324)</f>
        <v/>
      </c>
      <c r="AB2585" s="35">
        <f>$D2585*($E2585*AB$321+$F2585*AB$324)</f>
        <v/>
      </c>
      <c r="AC2585" s="35">
        <f>$D2585*($E2585*AC$321+$F2585*AC$324)</f>
        <v/>
      </c>
      <c r="AD2585" s="35">
        <f>$D2585*($E2585*AD$321+$F2585*AD$324)</f>
        <v/>
      </c>
      <c r="AE2585" s="42">
        <f>XCARBON($D2585,$E2585,AE$321,$F2585,AE$324)</f>
        <v/>
      </c>
      <c r="AG2585" s="11">
        <f>CodePrefix&amp;$A2585&amp;IF($C2585="","","."&amp;$C2585&amp;"."&amp;$B2585)&amp;INDEX(VarEnd,MATCH($A2585,VarKey,0))&amp;AG$5</f>
        <v/>
      </c>
      <c r="AH2585" s="40">
        <f>$D2585*($E2585*AH$321+$F2585*AH$324)</f>
        <v/>
      </c>
      <c r="AI2585" s="35">
        <f>$D2585*($E2585*AI$321+$F2585*AI$324)</f>
        <v/>
      </c>
      <c r="AJ2585" s="35">
        <f>$D2585*($E2585*AJ$321+$F2585*AJ$324)</f>
        <v/>
      </c>
      <c r="AK2585" s="35">
        <f>$D2585*($E2585*AK$321+$F2585*AK$324)</f>
        <v/>
      </c>
      <c r="AL2585" s="35">
        <f>$D2585*($E2585*AL$321+$F2585*AL$324)</f>
        <v/>
      </c>
      <c r="AM2585" s="35">
        <f>$D2585*($E2585*AM$321+$F2585*AM$324)</f>
        <v/>
      </c>
      <c r="AN2585" s="35">
        <f>$D2585*($E2585*AN$321+$F2585*AN$324)</f>
        <v/>
      </c>
      <c r="AO2585" s="35">
        <f>$D2585*($E2585*AO$321+$F2585*AO$324)</f>
        <v/>
      </c>
      <c r="AP2585" s="35">
        <f>$D2585*($E2585*AP$321+$F2585*AP$324)</f>
        <v/>
      </c>
      <c r="AQ2585" s="35">
        <f>$D2585*($E2585*AQ$321+$F2585*AQ$324)</f>
        <v/>
      </c>
      <c r="AR2585" s="35">
        <f>$D2585*($E2585*AR$321+$F2585*AR$324)</f>
        <v/>
      </c>
      <c r="AS2585" s="35">
        <f>$D2585*($E2585*AS$321+$F2585*AS$324)</f>
        <v/>
      </c>
      <c r="AT2585" s="35">
        <f>$D2585*($E2585*AT$321+$F2585*AT$324)</f>
        <v/>
      </c>
      <c r="AU2585" s="35">
        <f>$D2585*($E2585*AU$321+$F2585*AU$324)</f>
        <v/>
      </c>
      <c r="AV2585" s="35">
        <f>$D2585*($E2585*AV$321+$F2585*AV$324)</f>
        <v/>
      </c>
      <c r="AW2585" s="35">
        <f>$D2585*($E2585*AW$321+$F2585*AW$324)</f>
        <v/>
      </c>
      <c r="AX2585" s="35">
        <f>$D2585*($E2585*AX$321+$F2585*AX$324)</f>
        <v/>
      </c>
      <c r="AY2585" s="35">
        <f>$D2585*($E2585*AY$321+$F2585*AY$324)</f>
        <v/>
      </c>
      <c r="AZ2585" s="35">
        <f>$D2585*($E2585*AZ$321+$F2585*AZ$324)</f>
        <v/>
      </c>
      <c r="BA2585" s="42">
        <f>XCARBON($D2585,$E2585,BA$321,$F2585,BA$324)</f>
        <v/>
      </c>
    </row>
    <row r="2586" hidden="1" outlineLevel="2">
      <c r="A2586" s="14" t="inlineStr">
        <is>
          <t>xcp</t>
        </is>
      </c>
      <c r="B2586" s="14" t="inlineStr">
        <is>
          <t>nga</t>
        </is>
      </c>
      <c r="C2586" s="14" t="inlineStr">
        <is>
          <t>omn</t>
        </is>
      </c>
      <c r="D2586" s="35">
        <f>INDEX(Inputs!$W$5:$W$132,MATCH($B2586&amp;"|"&amp;$C2586,Inputs!$A$5:$A$132,0))</f>
        <v/>
      </c>
      <c r="E2586" s="35">
        <f>INDEX(Inputs!$Z$5:$Z$132,MATCH($B2586&amp;"|"&amp;$C2586,Inputs!$A$5:$A$132,0))</f>
        <v/>
      </c>
      <c r="F2586" s="35">
        <f>INDEX(Inputs!$AA$5:$AA$132,MATCH($B2586&amp;"|"&amp;$C2586,Inputs!$A$5:$A$132,0))</f>
        <v/>
      </c>
      <c r="G2586" s="39" t="n"/>
      <c r="H2586" s="14">
        <f>INDEX(VarLab,MATCH($A2586,VarKey,0))&amp;INDEX(MemLab,MATCH($C2586&amp;"|"&amp;$B2586,MemKey,0))</f>
        <v/>
      </c>
      <c r="I2586" s="14">
        <f>INDEX(VarUnit,MATCH($A2586,VarKey,0))</f>
        <v/>
      </c>
      <c r="J2586" s="14">
        <f>INDEX(VarSrc,MATCH($A2586,VarKey,0))</f>
        <v/>
      </c>
      <c r="K2586" s="11">
        <f>CodePrefix&amp;$A2586&amp;IF($C2586="","","."&amp;$C2586&amp;"."&amp;$B2586)&amp;INDEX(VarEnd,MATCH($A2586,VarKey,0))&amp;K$5</f>
        <v/>
      </c>
      <c r="L2586" s="40">
        <f>$D2586*($E2586*L$321+$F2586*L$324)</f>
        <v/>
      </c>
      <c r="M2586" s="35">
        <f>$D2586*($E2586*M$321+$F2586*M$324)</f>
        <v/>
      </c>
      <c r="N2586" s="35">
        <f>$D2586*($E2586*N$321+$F2586*N$324)</f>
        <v/>
      </c>
      <c r="O2586" s="35">
        <f>$D2586*($E2586*O$321+$F2586*O$324)</f>
        <v/>
      </c>
      <c r="P2586" s="35">
        <f>$D2586*($E2586*P$321+$F2586*P$324)</f>
        <v/>
      </c>
      <c r="Q2586" s="35">
        <f>$D2586*($E2586*Q$321+$F2586*Q$324)</f>
        <v/>
      </c>
      <c r="R2586" s="35">
        <f>$D2586*($E2586*R$321+$F2586*R$324)</f>
        <v/>
      </c>
      <c r="S2586" s="35">
        <f>$D2586*($E2586*S$321+$F2586*S$324)</f>
        <v/>
      </c>
      <c r="T2586" s="35">
        <f>$D2586*($E2586*T$321+$F2586*T$324)</f>
        <v/>
      </c>
      <c r="U2586" s="35">
        <f>$D2586*($E2586*U$321+$F2586*U$324)</f>
        <v/>
      </c>
      <c r="V2586" s="35">
        <f>$D2586*($E2586*V$321+$F2586*V$324)</f>
        <v/>
      </c>
      <c r="W2586" s="35">
        <f>$D2586*($E2586*W$321+$F2586*W$324)</f>
        <v/>
      </c>
      <c r="X2586" s="35">
        <f>$D2586*($E2586*X$321+$F2586*X$324)</f>
        <v/>
      </c>
      <c r="Y2586" s="35">
        <f>$D2586*($E2586*Y$321+$F2586*Y$324)</f>
        <v/>
      </c>
      <c r="Z2586" s="35">
        <f>$D2586*($E2586*Z$321+$F2586*Z$324)</f>
        <v/>
      </c>
      <c r="AA2586" s="35">
        <f>$D2586*($E2586*AA$321+$F2586*AA$324)</f>
        <v/>
      </c>
      <c r="AB2586" s="35">
        <f>$D2586*($E2586*AB$321+$F2586*AB$324)</f>
        <v/>
      </c>
      <c r="AC2586" s="35">
        <f>$D2586*($E2586*AC$321+$F2586*AC$324)</f>
        <v/>
      </c>
      <c r="AD2586" s="35">
        <f>$D2586*($E2586*AD$321+$F2586*AD$324)</f>
        <v/>
      </c>
      <c r="AE2586" s="42">
        <f>XCARBON($D2586,$E2586,AE$321,$F2586,AE$324)</f>
        <v/>
      </c>
      <c r="AG2586" s="11">
        <f>CodePrefix&amp;$A2586&amp;IF($C2586="","","."&amp;$C2586&amp;"."&amp;$B2586)&amp;INDEX(VarEnd,MATCH($A2586,VarKey,0))&amp;AG$5</f>
        <v/>
      </c>
      <c r="AH2586" s="40">
        <f>$D2586*($E2586*AH$321+$F2586*AH$324)</f>
        <v/>
      </c>
      <c r="AI2586" s="35">
        <f>$D2586*($E2586*AI$321+$F2586*AI$324)</f>
        <v/>
      </c>
      <c r="AJ2586" s="35">
        <f>$D2586*($E2586*AJ$321+$F2586*AJ$324)</f>
        <v/>
      </c>
      <c r="AK2586" s="35">
        <f>$D2586*($E2586*AK$321+$F2586*AK$324)</f>
        <v/>
      </c>
      <c r="AL2586" s="35">
        <f>$D2586*($E2586*AL$321+$F2586*AL$324)</f>
        <v/>
      </c>
      <c r="AM2586" s="35">
        <f>$D2586*($E2586*AM$321+$F2586*AM$324)</f>
        <v/>
      </c>
      <c r="AN2586" s="35">
        <f>$D2586*($E2586*AN$321+$F2586*AN$324)</f>
        <v/>
      </c>
      <c r="AO2586" s="35">
        <f>$D2586*($E2586*AO$321+$F2586*AO$324)</f>
        <v/>
      </c>
      <c r="AP2586" s="35">
        <f>$D2586*($E2586*AP$321+$F2586*AP$324)</f>
        <v/>
      </c>
      <c r="AQ2586" s="35">
        <f>$D2586*($E2586*AQ$321+$F2586*AQ$324)</f>
        <v/>
      </c>
      <c r="AR2586" s="35">
        <f>$D2586*($E2586*AR$321+$F2586*AR$324)</f>
        <v/>
      </c>
      <c r="AS2586" s="35">
        <f>$D2586*($E2586*AS$321+$F2586*AS$324)</f>
        <v/>
      </c>
      <c r="AT2586" s="35">
        <f>$D2586*($E2586*AT$321+$F2586*AT$324)</f>
        <v/>
      </c>
      <c r="AU2586" s="35">
        <f>$D2586*($E2586*AU$321+$F2586*AU$324)</f>
        <v/>
      </c>
      <c r="AV2586" s="35">
        <f>$D2586*($E2586*AV$321+$F2586*AV$324)</f>
        <v/>
      </c>
      <c r="AW2586" s="35">
        <f>$D2586*($E2586*AW$321+$F2586*AW$324)</f>
        <v/>
      </c>
      <c r="AX2586" s="35">
        <f>$D2586*($E2586*AX$321+$F2586*AX$324)</f>
        <v/>
      </c>
      <c r="AY2586" s="35">
        <f>$D2586*($E2586*AY$321+$F2586*AY$324)</f>
        <v/>
      </c>
      <c r="AZ2586" s="35">
        <f>$D2586*($E2586*AZ$321+$F2586*AZ$324)</f>
        <v/>
      </c>
      <c r="BA2586" s="42">
        <f>XCARBON($D2586,$E2586,BA$321,$F2586,BA$324)</f>
        <v/>
      </c>
    </row>
    <row r="2587" hidden="1" outlineLevel="2">
      <c r="A2587" s="14" t="inlineStr">
        <is>
          <t>xcp</t>
        </is>
      </c>
      <c r="B2587" s="14" t="inlineStr">
        <is>
          <t>gso</t>
        </is>
      </c>
      <c r="C2587" s="14" t="inlineStr">
        <is>
          <t>omn</t>
        </is>
      </c>
      <c r="D2587" s="35">
        <f>INDEX(Inputs!$W$5:$W$132,MATCH($B2587&amp;"|"&amp;$C2587,Inputs!$A$5:$A$132,0))</f>
        <v/>
      </c>
      <c r="E2587" s="35">
        <f>INDEX(Inputs!$Z$5:$Z$132,MATCH($B2587&amp;"|"&amp;$C2587,Inputs!$A$5:$A$132,0))</f>
        <v/>
      </c>
      <c r="F2587" s="35">
        <f>INDEX(Inputs!$AA$5:$AA$132,MATCH($B2587&amp;"|"&amp;$C2587,Inputs!$A$5:$A$132,0))</f>
        <v/>
      </c>
      <c r="G2587" s="39" t="n"/>
      <c r="H2587" s="14">
        <f>INDEX(VarLab,MATCH($A2587,VarKey,0))&amp;INDEX(MemLab,MATCH($C2587&amp;"|"&amp;$B2587,MemKey,0))</f>
        <v/>
      </c>
      <c r="I2587" s="14">
        <f>INDEX(VarUnit,MATCH($A2587,VarKey,0))</f>
        <v/>
      </c>
      <c r="J2587" s="14">
        <f>INDEX(VarSrc,MATCH($A2587,VarKey,0))</f>
        <v/>
      </c>
      <c r="K2587" s="11">
        <f>CodePrefix&amp;$A2587&amp;IF($C2587="","","."&amp;$C2587&amp;"."&amp;$B2587)&amp;INDEX(VarEnd,MATCH($A2587,VarKey,0))&amp;K$5</f>
        <v/>
      </c>
      <c r="L2587" s="40">
        <f>$D2587*($E2587*L$321+$F2587*L$324)</f>
        <v/>
      </c>
      <c r="M2587" s="35">
        <f>$D2587*($E2587*M$321+$F2587*M$324)</f>
        <v/>
      </c>
      <c r="N2587" s="35">
        <f>$D2587*($E2587*N$321+$F2587*N$324)</f>
        <v/>
      </c>
      <c r="O2587" s="35">
        <f>$D2587*($E2587*O$321+$F2587*O$324)</f>
        <v/>
      </c>
      <c r="P2587" s="35">
        <f>$D2587*($E2587*P$321+$F2587*P$324)</f>
        <v/>
      </c>
      <c r="Q2587" s="35">
        <f>$D2587*($E2587*Q$321+$F2587*Q$324)</f>
        <v/>
      </c>
      <c r="R2587" s="35">
        <f>$D2587*($E2587*R$321+$F2587*R$324)</f>
        <v/>
      </c>
      <c r="S2587" s="35">
        <f>$D2587*($E2587*S$321+$F2587*S$324)</f>
        <v/>
      </c>
      <c r="T2587" s="35">
        <f>$D2587*($E2587*T$321+$F2587*T$324)</f>
        <v/>
      </c>
      <c r="U2587" s="35">
        <f>$D2587*($E2587*U$321+$F2587*U$324)</f>
        <v/>
      </c>
      <c r="V2587" s="35">
        <f>$D2587*($E2587*V$321+$F2587*V$324)</f>
        <v/>
      </c>
      <c r="W2587" s="35">
        <f>$D2587*($E2587*W$321+$F2587*W$324)</f>
        <v/>
      </c>
      <c r="X2587" s="35">
        <f>$D2587*($E2587*X$321+$F2587*X$324)</f>
        <v/>
      </c>
      <c r="Y2587" s="35">
        <f>$D2587*($E2587*Y$321+$F2587*Y$324)</f>
        <v/>
      </c>
      <c r="Z2587" s="35">
        <f>$D2587*($E2587*Z$321+$F2587*Z$324)</f>
        <v/>
      </c>
      <c r="AA2587" s="35">
        <f>$D2587*($E2587*AA$321+$F2587*AA$324)</f>
        <v/>
      </c>
      <c r="AB2587" s="35">
        <f>$D2587*($E2587*AB$321+$F2587*AB$324)</f>
        <v/>
      </c>
      <c r="AC2587" s="35">
        <f>$D2587*($E2587*AC$321+$F2587*AC$324)</f>
        <v/>
      </c>
      <c r="AD2587" s="35">
        <f>$D2587*($E2587*AD$321+$F2587*AD$324)</f>
        <v/>
      </c>
      <c r="AE2587" s="42">
        <f>XCARBON($D2587,$E2587,AE$321,$F2587,AE$324)</f>
        <v/>
      </c>
      <c r="AG2587" s="11">
        <f>CodePrefix&amp;$A2587&amp;IF($C2587="","","."&amp;$C2587&amp;"."&amp;$B2587)&amp;INDEX(VarEnd,MATCH($A2587,VarKey,0))&amp;AG$5</f>
        <v/>
      </c>
      <c r="AH2587" s="40">
        <f>$D2587*($E2587*AH$321+$F2587*AH$324)</f>
        <v/>
      </c>
      <c r="AI2587" s="35">
        <f>$D2587*($E2587*AI$321+$F2587*AI$324)</f>
        <v/>
      </c>
      <c r="AJ2587" s="35">
        <f>$D2587*($E2587*AJ$321+$F2587*AJ$324)</f>
        <v/>
      </c>
      <c r="AK2587" s="35">
        <f>$D2587*($E2587*AK$321+$F2587*AK$324)</f>
        <v/>
      </c>
      <c r="AL2587" s="35">
        <f>$D2587*($E2587*AL$321+$F2587*AL$324)</f>
        <v/>
      </c>
      <c r="AM2587" s="35">
        <f>$D2587*($E2587*AM$321+$F2587*AM$324)</f>
        <v/>
      </c>
      <c r="AN2587" s="35">
        <f>$D2587*($E2587*AN$321+$F2587*AN$324)</f>
        <v/>
      </c>
      <c r="AO2587" s="35">
        <f>$D2587*($E2587*AO$321+$F2587*AO$324)</f>
        <v/>
      </c>
      <c r="AP2587" s="35">
        <f>$D2587*($E2587*AP$321+$F2587*AP$324)</f>
        <v/>
      </c>
      <c r="AQ2587" s="35">
        <f>$D2587*($E2587*AQ$321+$F2587*AQ$324)</f>
        <v/>
      </c>
      <c r="AR2587" s="35">
        <f>$D2587*($E2587*AR$321+$F2587*AR$324)</f>
        <v/>
      </c>
      <c r="AS2587" s="35">
        <f>$D2587*($E2587*AS$321+$F2587*AS$324)</f>
        <v/>
      </c>
      <c r="AT2587" s="35">
        <f>$D2587*($E2587*AT$321+$F2587*AT$324)</f>
        <v/>
      </c>
      <c r="AU2587" s="35">
        <f>$D2587*($E2587*AU$321+$F2587*AU$324)</f>
        <v/>
      </c>
      <c r="AV2587" s="35">
        <f>$D2587*($E2587*AV$321+$F2587*AV$324)</f>
        <v/>
      </c>
      <c r="AW2587" s="35">
        <f>$D2587*($E2587*AW$321+$F2587*AW$324)</f>
        <v/>
      </c>
      <c r="AX2587" s="35">
        <f>$D2587*($E2587*AX$321+$F2587*AX$324)</f>
        <v/>
      </c>
      <c r="AY2587" s="35">
        <f>$D2587*($E2587*AY$321+$F2587*AY$324)</f>
        <v/>
      </c>
      <c r="AZ2587" s="35">
        <f>$D2587*($E2587*AZ$321+$F2587*AZ$324)</f>
        <v/>
      </c>
      <c r="BA2587" s="42">
        <f>XCARBON($D2587,$E2587,BA$321,$F2587,BA$324)</f>
        <v/>
      </c>
    </row>
    <row r="2588" hidden="1" outlineLevel="2">
      <c r="A2588" s="14" t="inlineStr">
        <is>
          <t>xcp</t>
        </is>
      </c>
      <c r="B2588" s="14" t="inlineStr">
        <is>
          <t>die</t>
        </is>
      </c>
      <c r="C2588" s="14" t="inlineStr">
        <is>
          <t>omn</t>
        </is>
      </c>
      <c r="D2588" s="35">
        <f>INDEX(Inputs!$W$5:$W$132,MATCH($B2588&amp;"|"&amp;$C2588,Inputs!$A$5:$A$132,0))</f>
        <v/>
      </c>
      <c r="E2588" s="35">
        <f>INDEX(Inputs!$Z$5:$Z$132,MATCH($B2588&amp;"|"&amp;$C2588,Inputs!$A$5:$A$132,0))</f>
        <v/>
      </c>
      <c r="F2588" s="35">
        <f>INDEX(Inputs!$AA$5:$AA$132,MATCH($B2588&amp;"|"&amp;$C2588,Inputs!$A$5:$A$132,0))</f>
        <v/>
      </c>
      <c r="G2588" s="39" t="n"/>
      <c r="H2588" s="14">
        <f>INDEX(VarLab,MATCH($A2588,VarKey,0))&amp;INDEX(MemLab,MATCH($C2588&amp;"|"&amp;$B2588,MemKey,0))</f>
        <v/>
      </c>
      <c r="I2588" s="14">
        <f>INDEX(VarUnit,MATCH($A2588,VarKey,0))</f>
        <v/>
      </c>
      <c r="J2588" s="14">
        <f>INDEX(VarSrc,MATCH($A2588,VarKey,0))</f>
        <v/>
      </c>
      <c r="K2588" s="11">
        <f>CodePrefix&amp;$A2588&amp;IF($C2588="","","."&amp;$C2588&amp;"."&amp;$B2588)&amp;INDEX(VarEnd,MATCH($A2588,VarKey,0))&amp;K$5</f>
        <v/>
      </c>
      <c r="L2588" s="40">
        <f>$D2588*($E2588*L$321+$F2588*L$324)</f>
        <v/>
      </c>
      <c r="M2588" s="35">
        <f>$D2588*($E2588*M$321+$F2588*M$324)</f>
        <v/>
      </c>
      <c r="N2588" s="35">
        <f>$D2588*($E2588*N$321+$F2588*N$324)</f>
        <v/>
      </c>
      <c r="O2588" s="35">
        <f>$D2588*($E2588*O$321+$F2588*O$324)</f>
        <v/>
      </c>
      <c r="P2588" s="35">
        <f>$D2588*($E2588*P$321+$F2588*P$324)</f>
        <v/>
      </c>
      <c r="Q2588" s="35">
        <f>$D2588*($E2588*Q$321+$F2588*Q$324)</f>
        <v/>
      </c>
      <c r="R2588" s="35">
        <f>$D2588*($E2588*R$321+$F2588*R$324)</f>
        <v/>
      </c>
      <c r="S2588" s="35">
        <f>$D2588*($E2588*S$321+$F2588*S$324)</f>
        <v/>
      </c>
      <c r="T2588" s="35">
        <f>$D2588*($E2588*T$321+$F2588*T$324)</f>
        <v/>
      </c>
      <c r="U2588" s="35">
        <f>$D2588*($E2588*U$321+$F2588*U$324)</f>
        <v/>
      </c>
      <c r="V2588" s="35">
        <f>$D2588*($E2588*V$321+$F2588*V$324)</f>
        <v/>
      </c>
      <c r="W2588" s="35">
        <f>$D2588*($E2588*W$321+$F2588*W$324)</f>
        <v/>
      </c>
      <c r="X2588" s="35">
        <f>$D2588*($E2588*X$321+$F2588*X$324)</f>
        <v/>
      </c>
      <c r="Y2588" s="35">
        <f>$D2588*($E2588*Y$321+$F2588*Y$324)</f>
        <v/>
      </c>
      <c r="Z2588" s="35">
        <f>$D2588*($E2588*Z$321+$F2588*Z$324)</f>
        <v/>
      </c>
      <c r="AA2588" s="35">
        <f>$D2588*($E2588*AA$321+$F2588*AA$324)</f>
        <v/>
      </c>
      <c r="AB2588" s="35">
        <f>$D2588*($E2588*AB$321+$F2588*AB$324)</f>
        <v/>
      </c>
      <c r="AC2588" s="35">
        <f>$D2588*($E2588*AC$321+$F2588*AC$324)</f>
        <v/>
      </c>
      <c r="AD2588" s="35">
        <f>$D2588*($E2588*AD$321+$F2588*AD$324)</f>
        <v/>
      </c>
      <c r="AE2588" s="42">
        <f>XCARBON($D2588,$E2588,AE$321,$F2588,AE$324)</f>
        <v/>
      </c>
      <c r="AG2588" s="11">
        <f>CodePrefix&amp;$A2588&amp;IF($C2588="","","."&amp;$C2588&amp;"."&amp;$B2588)&amp;INDEX(VarEnd,MATCH($A2588,VarKey,0))&amp;AG$5</f>
        <v/>
      </c>
      <c r="AH2588" s="40">
        <f>$D2588*($E2588*AH$321+$F2588*AH$324)</f>
        <v/>
      </c>
      <c r="AI2588" s="35">
        <f>$D2588*($E2588*AI$321+$F2588*AI$324)</f>
        <v/>
      </c>
      <c r="AJ2588" s="35">
        <f>$D2588*($E2588*AJ$321+$F2588*AJ$324)</f>
        <v/>
      </c>
      <c r="AK2588" s="35">
        <f>$D2588*($E2588*AK$321+$F2588*AK$324)</f>
        <v/>
      </c>
      <c r="AL2588" s="35">
        <f>$D2588*($E2588*AL$321+$F2588*AL$324)</f>
        <v/>
      </c>
      <c r="AM2588" s="35">
        <f>$D2588*($E2588*AM$321+$F2588*AM$324)</f>
        <v/>
      </c>
      <c r="AN2588" s="35">
        <f>$D2588*($E2588*AN$321+$F2588*AN$324)</f>
        <v/>
      </c>
      <c r="AO2588" s="35">
        <f>$D2588*($E2588*AO$321+$F2588*AO$324)</f>
        <v/>
      </c>
      <c r="AP2588" s="35">
        <f>$D2588*($E2588*AP$321+$F2588*AP$324)</f>
        <v/>
      </c>
      <c r="AQ2588" s="35">
        <f>$D2588*($E2588*AQ$321+$F2588*AQ$324)</f>
        <v/>
      </c>
      <c r="AR2588" s="35">
        <f>$D2588*($E2588*AR$321+$F2588*AR$324)</f>
        <v/>
      </c>
      <c r="AS2588" s="35">
        <f>$D2588*($E2588*AS$321+$F2588*AS$324)</f>
        <v/>
      </c>
      <c r="AT2588" s="35">
        <f>$D2588*($E2588*AT$321+$F2588*AT$324)</f>
        <v/>
      </c>
      <c r="AU2588" s="35">
        <f>$D2588*($E2588*AU$321+$F2588*AU$324)</f>
        <v/>
      </c>
      <c r="AV2588" s="35">
        <f>$D2588*($E2588*AV$321+$F2588*AV$324)</f>
        <v/>
      </c>
      <c r="AW2588" s="35">
        <f>$D2588*($E2588*AW$321+$F2588*AW$324)</f>
        <v/>
      </c>
      <c r="AX2588" s="35">
        <f>$D2588*($E2588*AX$321+$F2588*AX$324)</f>
        <v/>
      </c>
      <c r="AY2588" s="35">
        <f>$D2588*($E2588*AY$321+$F2588*AY$324)</f>
        <v/>
      </c>
      <c r="AZ2588" s="35">
        <f>$D2588*($E2588*AZ$321+$F2588*AZ$324)</f>
        <v/>
      </c>
      <c r="BA2588" s="42">
        <f>XCARBON($D2588,$E2588,BA$321,$F2588,BA$324)</f>
        <v/>
      </c>
    </row>
    <row r="2589" hidden="1" outlineLevel="2">
      <c r="A2589" s="14" t="inlineStr">
        <is>
          <t>xcp</t>
        </is>
      </c>
      <c r="B2589" s="14" t="inlineStr">
        <is>
          <t>lpg</t>
        </is>
      </c>
      <c r="C2589" s="14" t="inlineStr">
        <is>
          <t>omn</t>
        </is>
      </c>
      <c r="D2589" s="35">
        <f>INDEX(Inputs!$W$5:$W$132,MATCH($B2589&amp;"|"&amp;$C2589,Inputs!$A$5:$A$132,0))</f>
        <v/>
      </c>
      <c r="E2589" s="35">
        <f>INDEX(Inputs!$Z$5:$Z$132,MATCH($B2589&amp;"|"&amp;$C2589,Inputs!$A$5:$A$132,0))</f>
        <v/>
      </c>
      <c r="F2589" s="35">
        <f>INDEX(Inputs!$AA$5:$AA$132,MATCH($B2589&amp;"|"&amp;$C2589,Inputs!$A$5:$A$132,0))</f>
        <v/>
      </c>
      <c r="G2589" s="39" t="n"/>
      <c r="H2589" s="14">
        <f>INDEX(VarLab,MATCH($A2589,VarKey,0))&amp;INDEX(MemLab,MATCH($C2589&amp;"|"&amp;$B2589,MemKey,0))</f>
        <v/>
      </c>
      <c r="I2589" s="14">
        <f>INDEX(VarUnit,MATCH($A2589,VarKey,0))</f>
        <v/>
      </c>
      <c r="J2589" s="14">
        <f>INDEX(VarSrc,MATCH($A2589,VarKey,0))</f>
        <v/>
      </c>
      <c r="K2589" s="11">
        <f>CodePrefix&amp;$A2589&amp;IF($C2589="","","."&amp;$C2589&amp;"."&amp;$B2589)&amp;INDEX(VarEnd,MATCH($A2589,VarKey,0))&amp;K$5</f>
        <v/>
      </c>
      <c r="L2589" s="40">
        <f>$D2589*($E2589*L$321+$F2589*L$324)</f>
        <v/>
      </c>
      <c r="M2589" s="35">
        <f>$D2589*($E2589*M$321+$F2589*M$324)</f>
        <v/>
      </c>
      <c r="N2589" s="35">
        <f>$D2589*($E2589*N$321+$F2589*N$324)</f>
        <v/>
      </c>
      <c r="O2589" s="35">
        <f>$D2589*($E2589*O$321+$F2589*O$324)</f>
        <v/>
      </c>
      <c r="P2589" s="35">
        <f>$D2589*($E2589*P$321+$F2589*P$324)</f>
        <v/>
      </c>
      <c r="Q2589" s="35">
        <f>$D2589*($E2589*Q$321+$F2589*Q$324)</f>
        <v/>
      </c>
      <c r="R2589" s="35">
        <f>$D2589*($E2589*R$321+$F2589*R$324)</f>
        <v/>
      </c>
      <c r="S2589" s="35">
        <f>$D2589*($E2589*S$321+$F2589*S$324)</f>
        <v/>
      </c>
      <c r="T2589" s="35">
        <f>$D2589*($E2589*T$321+$F2589*T$324)</f>
        <v/>
      </c>
      <c r="U2589" s="35">
        <f>$D2589*($E2589*U$321+$F2589*U$324)</f>
        <v/>
      </c>
      <c r="V2589" s="35">
        <f>$D2589*($E2589*V$321+$F2589*V$324)</f>
        <v/>
      </c>
      <c r="W2589" s="35">
        <f>$D2589*($E2589*W$321+$F2589*W$324)</f>
        <v/>
      </c>
      <c r="X2589" s="35">
        <f>$D2589*($E2589*X$321+$F2589*X$324)</f>
        <v/>
      </c>
      <c r="Y2589" s="35">
        <f>$D2589*($E2589*Y$321+$F2589*Y$324)</f>
        <v/>
      </c>
      <c r="Z2589" s="35">
        <f>$D2589*($E2589*Z$321+$F2589*Z$324)</f>
        <v/>
      </c>
      <c r="AA2589" s="35">
        <f>$D2589*($E2589*AA$321+$F2589*AA$324)</f>
        <v/>
      </c>
      <c r="AB2589" s="35">
        <f>$D2589*($E2589*AB$321+$F2589*AB$324)</f>
        <v/>
      </c>
      <c r="AC2589" s="35">
        <f>$D2589*($E2589*AC$321+$F2589*AC$324)</f>
        <v/>
      </c>
      <c r="AD2589" s="35">
        <f>$D2589*($E2589*AD$321+$F2589*AD$324)</f>
        <v/>
      </c>
      <c r="AE2589" s="42">
        <f>XCARBON($D2589,$E2589,AE$321,$F2589,AE$324)</f>
        <v/>
      </c>
      <c r="AG2589" s="11">
        <f>CodePrefix&amp;$A2589&amp;IF($C2589="","","."&amp;$C2589&amp;"."&amp;$B2589)&amp;INDEX(VarEnd,MATCH($A2589,VarKey,0))&amp;AG$5</f>
        <v/>
      </c>
      <c r="AH2589" s="40">
        <f>$D2589*($E2589*AH$321+$F2589*AH$324)</f>
        <v/>
      </c>
      <c r="AI2589" s="35">
        <f>$D2589*($E2589*AI$321+$F2589*AI$324)</f>
        <v/>
      </c>
      <c r="AJ2589" s="35">
        <f>$D2589*($E2589*AJ$321+$F2589*AJ$324)</f>
        <v/>
      </c>
      <c r="AK2589" s="35">
        <f>$D2589*($E2589*AK$321+$F2589*AK$324)</f>
        <v/>
      </c>
      <c r="AL2589" s="35">
        <f>$D2589*($E2589*AL$321+$F2589*AL$324)</f>
        <v/>
      </c>
      <c r="AM2589" s="35">
        <f>$D2589*($E2589*AM$321+$F2589*AM$324)</f>
        <v/>
      </c>
      <c r="AN2589" s="35">
        <f>$D2589*($E2589*AN$321+$F2589*AN$324)</f>
        <v/>
      </c>
      <c r="AO2589" s="35">
        <f>$D2589*($E2589*AO$321+$F2589*AO$324)</f>
        <v/>
      </c>
      <c r="AP2589" s="35">
        <f>$D2589*($E2589*AP$321+$F2589*AP$324)</f>
        <v/>
      </c>
      <c r="AQ2589" s="35">
        <f>$D2589*($E2589*AQ$321+$F2589*AQ$324)</f>
        <v/>
      </c>
      <c r="AR2589" s="35">
        <f>$D2589*($E2589*AR$321+$F2589*AR$324)</f>
        <v/>
      </c>
      <c r="AS2589" s="35">
        <f>$D2589*($E2589*AS$321+$F2589*AS$324)</f>
        <v/>
      </c>
      <c r="AT2589" s="35">
        <f>$D2589*($E2589*AT$321+$F2589*AT$324)</f>
        <v/>
      </c>
      <c r="AU2589" s="35">
        <f>$D2589*($E2589*AU$321+$F2589*AU$324)</f>
        <v/>
      </c>
      <c r="AV2589" s="35">
        <f>$D2589*($E2589*AV$321+$F2589*AV$324)</f>
        <v/>
      </c>
      <c r="AW2589" s="35">
        <f>$D2589*($E2589*AW$321+$F2589*AW$324)</f>
        <v/>
      </c>
      <c r="AX2589" s="35">
        <f>$D2589*($E2589*AX$321+$F2589*AX$324)</f>
        <v/>
      </c>
      <c r="AY2589" s="35">
        <f>$D2589*($E2589*AY$321+$F2589*AY$324)</f>
        <v/>
      </c>
      <c r="AZ2589" s="35">
        <f>$D2589*($E2589*AZ$321+$F2589*AZ$324)</f>
        <v/>
      </c>
      <c r="BA2589" s="42">
        <f>XCARBON($D2589,$E2589,BA$321,$F2589,BA$324)</f>
        <v/>
      </c>
    </row>
    <row r="2590" hidden="1" outlineLevel="2">
      <c r="A2590" s="14" t="inlineStr">
        <is>
          <t>xcp</t>
        </is>
      </c>
      <c r="B2590" s="14" t="inlineStr">
        <is>
          <t>ker</t>
        </is>
      </c>
      <c r="C2590" s="14" t="inlineStr">
        <is>
          <t>omn</t>
        </is>
      </c>
      <c r="D2590" s="35">
        <f>INDEX(Inputs!$W$5:$W$132,MATCH($B2590&amp;"|"&amp;$C2590,Inputs!$A$5:$A$132,0))</f>
        <v/>
      </c>
      <c r="E2590" s="35">
        <f>INDEX(Inputs!$Z$5:$Z$132,MATCH($B2590&amp;"|"&amp;$C2590,Inputs!$A$5:$A$132,0))</f>
        <v/>
      </c>
      <c r="F2590" s="35">
        <f>INDEX(Inputs!$AA$5:$AA$132,MATCH($B2590&amp;"|"&amp;$C2590,Inputs!$A$5:$A$132,0))</f>
        <v/>
      </c>
      <c r="G2590" s="39" t="n"/>
      <c r="H2590" s="14">
        <f>INDEX(VarLab,MATCH($A2590,VarKey,0))&amp;INDEX(MemLab,MATCH($C2590&amp;"|"&amp;$B2590,MemKey,0))</f>
        <v/>
      </c>
      <c r="I2590" s="14">
        <f>INDEX(VarUnit,MATCH($A2590,VarKey,0))</f>
        <v/>
      </c>
      <c r="J2590" s="14">
        <f>INDEX(VarSrc,MATCH($A2590,VarKey,0))</f>
        <v/>
      </c>
      <c r="K2590" s="11">
        <f>CodePrefix&amp;$A2590&amp;IF($C2590="","","."&amp;$C2590&amp;"."&amp;$B2590)&amp;INDEX(VarEnd,MATCH($A2590,VarKey,0))&amp;K$5</f>
        <v/>
      </c>
      <c r="L2590" s="40">
        <f>$D2590*($E2590*L$321+$F2590*L$324)</f>
        <v/>
      </c>
      <c r="M2590" s="35">
        <f>$D2590*($E2590*M$321+$F2590*M$324)</f>
        <v/>
      </c>
      <c r="N2590" s="35">
        <f>$D2590*($E2590*N$321+$F2590*N$324)</f>
        <v/>
      </c>
      <c r="O2590" s="35">
        <f>$D2590*($E2590*O$321+$F2590*O$324)</f>
        <v/>
      </c>
      <c r="P2590" s="35">
        <f>$D2590*($E2590*P$321+$F2590*P$324)</f>
        <v/>
      </c>
      <c r="Q2590" s="35">
        <f>$D2590*($E2590*Q$321+$F2590*Q$324)</f>
        <v/>
      </c>
      <c r="R2590" s="35">
        <f>$D2590*($E2590*R$321+$F2590*R$324)</f>
        <v/>
      </c>
      <c r="S2590" s="35">
        <f>$D2590*($E2590*S$321+$F2590*S$324)</f>
        <v/>
      </c>
      <c r="T2590" s="35">
        <f>$D2590*($E2590*T$321+$F2590*T$324)</f>
        <v/>
      </c>
      <c r="U2590" s="35">
        <f>$D2590*($E2590*U$321+$F2590*U$324)</f>
        <v/>
      </c>
      <c r="V2590" s="35">
        <f>$D2590*($E2590*V$321+$F2590*V$324)</f>
        <v/>
      </c>
      <c r="W2590" s="35">
        <f>$D2590*($E2590*W$321+$F2590*W$324)</f>
        <v/>
      </c>
      <c r="X2590" s="35">
        <f>$D2590*($E2590*X$321+$F2590*X$324)</f>
        <v/>
      </c>
      <c r="Y2590" s="35">
        <f>$D2590*($E2590*Y$321+$F2590*Y$324)</f>
        <v/>
      </c>
      <c r="Z2590" s="35">
        <f>$D2590*($E2590*Z$321+$F2590*Z$324)</f>
        <v/>
      </c>
      <c r="AA2590" s="35">
        <f>$D2590*($E2590*AA$321+$F2590*AA$324)</f>
        <v/>
      </c>
      <c r="AB2590" s="35">
        <f>$D2590*($E2590*AB$321+$F2590*AB$324)</f>
        <v/>
      </c>
      <c r="AC2590" s="35">
        <f>$D2590*($E2590*AC$321+$F2590*AC$324)</f>
        <v/>
      </c>
      <c r="AD2590" s="35">
        <f>$D2590*($E2590*AD$321+$F2590*AD$324)</f>
        <v/>
      </c>
      <c r="AE2590" s="42">
        <f>XCARBON($D2590,$E2590,AE$321,$F2590,AE$324)</f>
        <v/>
      </c>
      <c r="AG2590" s="11">
        <f>CodePrefix&amp;$A2590&amp;IF($C2590="","","."&amp;$C2590&amp;"."&amp;$B2590)&amp;INDEX(VarEnd,MATCH($A2590,VarKey,0))&amp;AG$5</f>
        <v/>
      </c>
      <c r="AH2590" s="40">
        <f>$D2590*($E2590*AH$321+$F2590*AH$324)</f>
        <v/>
      </c>
      <c r="AI2590" s="35">
        <f>$D2590*($E2590*AI$321+$F2590*AI$324)</f>
        <v/>
      </c>
      <c r="AJ2590" s="35">
        <f>$D2590*($E2590*AJ$321+$F2590*AJ$324)</f>
        <v/>
      </c>
      <c r="AK2590" s="35">
        <f>$D2590*($E2590*AK$321+$F2590*AK$324)</f>
        <v/>
      </c>
      <c r="AL2590" s="35">
        <f>$D2590*($E2590*AL$321+$F2590*AL$324)</f>
        <v/>
      </c>
      <c r="AM2590" s="35">
        <f>$D2590*($E2590*AM$321+$F2590*AM$324)</f>
        <v/>
      </c>
      <c r="AN2590" s="35">
        <f>$D2590*($E2590*AN$321+$F2590*AN$324)</f>
        <v/>
      </c>
      <c r="AO2590" s="35">
        <f>$D2590*($E2590*AO$321+$F2590*AO$324)</f>
        <v/>
      </c>
      <c r="AP2590" s="35">
        <f>$D2590*($E2590*AP$321+$F2590*AP$324)</f>
        <v/>
      </c>
      <c r="AQ2590" s="35">
        <f>$D2590*($E2590*AQ$321+$F2590*AQ$324)</f>
        <v/>
      </c>
      <c r="AR2590" s="35">
        <f>$D2590*($E2590*AR$321+$F2590*AR$324)</f>
        <v/>
      </c>
      <c r="AS2590" s="35">
        <f>$D2590*($E2590*AS$321+$F2590*AS$324)</f>
        <v/>
      </c>
      <c r="AT2590" s="35">
        <f>$D2590*($E2590*AT$321+$F2590*AT$324)</f>
        <v/>
      </c>
      <c r="AU2590" s="35">
        <f>$D2590*($E2590*AU$321+$F2590*AU$324)</f>
        <v/>
      </c>
      <c r="AV2590" s="35">
        <f>$D2590*($E2590*AV$321+$F2590*AV$324)</f>
        <v/>
      </c>
      <c r="AW2590" s="35">
        <f>$D2590*($E2590*AW$321+$F2590*AW$324)</f>
        <v/>
      </c>
      <c r="AX2590" s="35">
        <f>$D2590*($E2590*AX$321+$F2590*AX$324)</f>
        <v/>
      </c>
      <c r="AY2590" s="35">
        <f>$D2590*($E2590*AY$321+$F2590*AY$324)</f>
        <v/>
      </c>
      <c r="AZ2590" s="35">
        <f>$D2590*($E2590*AZ$321+$F2590*AZ$324)</f>
        <v/>
      </c>
      <c r="BA2590" s="42">
        <f>XCARBON($D2590,$E2590,BA$321,$F2590,BA$324)</f>
        <v/>
      </c>
    </row>
    <row r="2591" hidden="1" outlineLevel="2">
      <c r="A2591" s="14" t="inlineStr">
        <is>
          <t>xcp</t>
        </is>
      </c>
      <c r="B2591" s="14" t="inlineStr">
        <is>
          <t>oop</t>
        </is>
      </c>
      <c r="C2591" s="14" t="inlineStr">
        <is>
          <t>omn</t>
        </is>
      </c>
      <c r="D2591" s="35">
        <f>INDEX(Inputs!$W$5:$W$132,MATCH($B2591&amp;"|"&amp;$C2591,Inputs!$A$5:$A$132,0))</f>
        <v/>
      </c>
      <c r="E2591" s="35">
        <f>INDEX(Inputs!$Z$5:$Z$132,MATCH($B2591&amp;"|"&amp;$C2591,Inputs!$A$5:$A$132,0))</f>
        <v/>
      </c>
      <c r="F2591" s="35">
        <f>INDEX(Inputs!$AA$5:$AA$132,MATCH($B2591&amp;"|"&amp;$C2591,Inputs!$A$5:$A$132,0))</f>
        <v/>
      </c>
      <c r="G2591" s="39" t="n"/>
      <c r="H2591" s="14">
        <f>INDEX(VarLab,MATCH($A2591,VarKey,0))&amp;INDEX(MemLab,MATCH($C2591&amp;"|"&amp;$B2591,MemKey,0))</f>
        <v/>
      </c>
      <c r="I2591" s="14">
        <f>INDEX(VarUnit,MATCH($A2591,VarKey,0))</f>
        <v/>
      </c>
      <c r="J2591" s="14">
        <f>INDEX(VarSrc,MATCH($A2591,VarKey,0))</f>
        <v/>
      </c>
      <c r="K2591" s="11">
        <f>CodePrefix&amp;$A2591&amp;IF($C2591="","","."&amp;$C2591&amp;"."&amp;$B2591)&amp;INDEX(VarEnd,MATCH($A2591,VarKey,0))&amp;K$5</f>
        <v/>
      </c>
      <c r="L2591" s="40">
        <f>$D2591*($E2591*L$321+$F2591*L$324)</f>
        <v/>
      </c>
      <c r="M2591" s="35">
        <f>$D2591*($E2591*M$321+$F2591*M$324)</f>
        <v/>
      </c>
      <c r="N2591" s="35">
        <f>$D2591*($E2591*N$321+$F2591*N$324)</f>
        <v/>
      </c>
      <c r="O2591" s="35">
        <f>$D2591*($E2591*O$321+$F2591*O$324)</f>
        <v/>
      </c>
      <c r="P2591" s="35">
        <f>$D2591*($E2591*P$321+$F2591*P$324)</f>
        <v/>
      </c>
      <c r="Q2591" s="35">
        <f>$D2591*($E2591*Q$321+$F2591*Q$324)</f>
        <v/>
      </c>
      <c r="R2591" s="35">
        <f>$D2591*($E2591*R$321+$F2591*R$324)</f>
        <v/>
      </c>
      <c r="S2591" s="35">
        <f>$D2591*($E2591*S$321+$F2591*S$324)</f>
        <v/>
      </c>
      <c r="T2591" s="35">
        <f>$D2591*($E2591*T$321+$F2591*T$324)</f>
        <v/>
      </c>
      <c r="U2591" s="35">
        <f>$D2591*($E2591*U$321+$F2591*U$324)</f>
        <v/>
      </c>
      <c r="V2591" s="35">
        <f>$D2591*($E2591*V$321+$F2591*V$324)</f>
        <v/>
      </c>
      <c r="W2591" s="35">
        <f>$D2591*($E2591*W$321+$F2591*W$324)</f>
        <v/>
      </c>
      <c r="X2591" s="35">
        <f>$D2591*($E2591*X$321+$F2591*X$324)</f>
        <v/>
      </c>
      <c r="Y2591" s="35">
        <f>$D2591*($E2591*Y$321+$F2591*Y$324)</f>
        <v/>
      </c>
      <c r="Z2591" s="35">
        <f>$D2591*($E2591*Z$321+$F2591*Z$324)</f>
        <v/>
      </c>
      <c r="AA2591" s="35">
        <f>$D2591*($E2591*AA$321+$F2591*AA$324)</f>
        <v/>
      </c>
      <c r="AB2591" s="35">
        <f>$D2591*($E2591*AB$321+$F2591*AB$324)</f>
        <v/>
      </c>
      <c r="AC2591" s="35">
        <f>$D2591*($E2591*AC$321+$F2591*AC$324)</f>
        <v/>
      </c>
      <c r="AD2591" s="35">
        <f>$D2591*($E2591*AD$321+$F2591*AD$324)</f>
        <v/>
      </c>
      <c r="AE2591" s="42">
        <f>XCARBON($D2591,$E2591,AE$321,$F2591,AE$324)</f>
        <v/>
      </c>
      <c r="AG2591" s="11">
        <f>CodePrefix&amp;$A2591&amp;IF($C2591="","","."&amp;$C2591&amp;"."&amp;$B2591)&amp;INDEX(VarEnd,MATCH($A2591,VarKey,0))&amp;AG$5</f>
        <v/>
      </c>
      <c r="AH2591" s="40">
        <f>$D2591*($E2591*AH$321+$F2591*AH$324)</f>
        <v/>
      </c>
      <c r="AI2591" s="35">
        <f>$D2591*($E2591*AI$321+$F2591*AI$324)</f>
        <v/>
      </c>
      <c r="AJ2591" s="35">
        <f>$D2591*($E2591*AJ$321+$F2591*AJ$324)</f>
        <v/>
      </c>
      <c r="AK2591" s="35">
        <f>$D2591*($E2591*AK$321+$F2591*AK$324)</f>
        <v/>
      </c>
      <c r="AL2591" s="35">
        <f>$D2591*($E2591*AL$321+$F2591*AL$324)</f>
        <v/>
      </c>
      <c r="AM2591" s="35">
        <f>$D2591*($E2591*AM$321+$F2591*AM$324)</f>
        <v/>
      </c>
      <c r="AN2591" s="35">
        <f>$D2591*($E2591*AN$321+$F2591*AN$324)</f>
        <v/>
      </c>
      <c r="AO2591" s="35">
        <f>$D2591*($E2591*AO$321+$F2591*AO$324)</f>
        <v/>
      </c>
      <c r="AP2591" s="35">
        <f>$D2591*($E2591*AP$321+$F2591*AP$324)</f>
        <v/>
      </c>
      <c r="AQ2591" s="35">
        <f>$D2591*($E2591*AQ$321+$F2591*AQ$324)</f>
        <v/>
      </c>
      <c r="AR2591" s="35">
        <f>$D2591*($E2591*AR$321+$F2591*AR$324)</f>
        <v/>
      </c>
      <c r="AS2591" s="35">
        <f>$D2591*($E2591*AS$321+$F2591*AS$324)</f>
        <v/>
      </c>
      <c r="AT2591" s="35">
        <f>$D2591*($E2591*AT$321+$F2591*AT$324)</f>
        <v/>
      </c>
      <c r="AU2591" s="35">
        <f>$D2591*($E2591*AU$321+$F2591*AU$324)</f>
        <v/>
      </c>
      <c r="AV2591" s="35">
        <f>$D2591*($E2591*AV$321+$F2591*AV$324)</f>
        <v/>
      </c>
      <c r="AW2591" s="35">
        <f>$D2591*($E2591*AW$321+$F2591*AW$324)</f>
        <v/>
      </c>
      <c r="AX2591" s="35">
        <f>$D2591*($E2591*AX$321+$F2591*AX$324)</f>
        <v/>
      </c>
      <c r="AY2591" s="35">
        <f>$D2591*($E2591*AY$321+$F2591*AY$324)</f>
        <v/>
      </c>
      <c r="AZ2591" s="35">
        <f>$D2591*($E2591*AZ$321+$F2591*AZ$324)</f>
        <v/>
      </c>
      <c r="BA2591" s="42">
        <f>XCARBON($D2591,$E2591,BA$321,$F2591,BA$324)</f>
        <v/>
      </c>
    </row>
    <row r="2592" hidden="1" outlineLevel="2">
      <c r="A2592" s="14" t="inlineStr">
        <is>
          <t>xcp</t>
        </is>
      </c>
      <c r="B2592" s="14" t="inlineStr">
        <is>
          <t>bio</t>
        </is>
      </c>
      <c r="C2592" s="14" t="inlineStr">
        <is>
          <t>omn</t>
        </is>
      </c>
      <c r="D2592" s="35">
        <f>INDEX(Inputs!$W$5:$W$132,MATCH($B2592&amp;"|"&amp;$C2592,Inputs!$A$5:$A$132,0))</f>
        <v/>
      </c>
      <c r="E2592" s="35">
        <f>INDEX(Inputs!$Z$5:$Z$132,MATCH($B2592&amp;"|"&amp;$C2592,Inputs!$A$5:$A$132,0))</f>
        <v/>
      </c>
      <c r="F2592" s="35">
        <f>INDEX(Inputs!$AA$5:$AA$132,MATCH($B2592&amp;"|"&amp;$C2592,Inputs!$A$5:$A$132,0))</f>
        <v/>
      </c>
      <c r="G2592" s="39" t="n"/>
      <c r="H2592" s="14">
        <f>INDEX(VarLab,MATCH($A2592,VarKey,0))&amp;INDEX(MemLab,MATCH($C2592&amp;"|"&amp;$B2592,MemKey,0))</f>
        <v/>
      </c>
      <c r="I2592" s="14">
        <f>INDEX(VarUnit,MATCH($A2592,VarKey,0))</f>
        <v/>
      </c>
      <c r="J2592" s="14">
        <f>INDEX(VarSrc,MATCH($A2592,VarKey,0))</f>
        <v/>
      </c>
      <c r="K2592" s="11">
        <f>CodePrefix&amp;$A2592&amp;IF($C2592="","","."&amp;$C2592&amp;"."&amp;$B2592)&amp;INDEX(VarEnd,MATCH($A2592,VarKey,0))&amp;K$5</f>
        <v/>
      </c>
      <c r="L2592" s="40">
        <f>$D2592*($E2592*L$321+$F2592*L$324)</f>
        <v/>
      </c>
      <c r="M2592" s="35">
        <f>$D2592*($E2592*M$321+$F2592*M$324)</f>
        <v/>
      </c>
      <c r="N2592" s="35">
        <f>$D2592*($E2592*N$321+$F2592*N$324)</f>
        <v/>
      </c>
      <c r="O2592" s="35">
        <f>$D2592*($E2592*O$321+$F2592*O$324)</f>
        <v/>
      </c>
      <c r="P2592" s="35">
        <f>$D2592*($E2592*P$321+$F2592*P$324)</f>
        <v/>
      </c>
      <c r="Q2592" s="35">
        <f>$D2592*($E2592*Q$321+$F2592*Q$324)</f>
        <v/>
      </c>
      <c r="R2592" s="35">
        <f>$D2592*($E2592*R$321+$F2592*R$324)</f>
        <v/>
      </c>
      <c r="S2592" s="35">
        <f>$D2592*($E2592*S$321+$F2592*S$324)</f>
        <v/>
      </c>
      <c r="T2592" s="35">
        <f>$D2592*($E2592*T$321+$F2592*T$324)</f>
        <v/>
      </c>
      <c r="U2592" s="35">
        <f>$D2592*($E2592*U$321+$F2592*U$324)</f>
        <v/>
      </c>
      <c r="V2592" s="35">
        <f>$D2592*($E2592*V$321+$F2592*V$324)</f>
        <v/>
      </c>
      <c r="W2592" s="35">
        <f>$D2592*($E2592*W$321+$F2592*W$324)</f>
        <v/>
      </c>
      <c r="X2592" s="35">
        <f>$D2592*($E2592*X$321+$F2592*X$324)</f>
        <v/>
      </c>
      <c r="Y2592" s="35">
        <f>$D2592*($E2592*Y$321+$F2592*Y$324)</f>
        <v/>
      </c>
      <c r="Z2592" s="35">
        <f>$D2592*($E2592*Z$321+$F2592*Z$324)</f>
        <v/>
      </c>
      <c r="AA2592" s="35">
        <f>$D2592*($E2592*AA$321+$F2592*AA$324)</f>
        <v/>
      </c>
      <c r="AB2592" s="35">
        <f>$D2592*($E2592*AB$321+$F2592*AB$324)</f>
        <v/>
      </c>
      <c r="AC2592" s="35">
        <f>$D2592*($E2592*AC$321+$F2592*AC$324)</f>
        <v/>
      </c>
      <c r="AD2592" s="35">
        <f>$D2592*($E2592*AD$321+$F2592*AD$324)</f>
        <v/>
      </c>
      <c r="AE2592" s="42">
        <f>XCARBON($D2592,$E2592,AE$321,$F2592,AE$324)</f>
        <v/>
      </c>
      <c r="AG2592" s="11">
        <f>CodePrefix&amp;$A2592&amp;IF($C2592="","","."&amp;$C2592&amp;"."&amp;$B2592)&amp;INDEX(VarEnd,MATCH($A2592,VarKey,0))&amp;AG$5</f>
        <v/>
      </c>
      <c r="AH2592" s="40">
        <f>$D2592*($E2592*AH$321+$F2592*AH$324)</f>
        <v/>
      </c>
      <c r="AI2592" s="35">
        <f>$D2592*($E2592*AI$321+$F2592*AI$324)</f>
        <v/>
      </c>
      <c r="AJ2592" s="35">
        <f>$D2592*($E2592*AJ$321+$F2592*AJ$324)</f>
        <v/>
      </c>
      <c r="AK2592" s="35">
        <f>$D2592*($E2592*AK$321+$F2592*AK$324)</f>
        <v/>
      </c>
      <c r="AL2592" s="35">
        <f>$D2592*($E2592*AL$321+$F2592*AL$324)</f>
        <v/>
      </c>
      <c r="AM2592" s="35">
        <f>$D2592*($E2592*AM$321+$F2592*AM$324)</f>
        <v/>
      </c>
      <c r="AN2592" s="35">
        <f>$D2592*($E2592*AN$321+$F2592*AN$324)</f>
        <v/>
      </c>
      <c r="AO2592" s="35">
        <f>$D2592*($E2592*AO$321+$F2592*AO$324)</f>
        <v/>
      </c>
      <c r="AP2592" s="35">
        <f>$D2592*($E2592*AP$321+$F2592*AP$324)</f>
        <v/>
      </c>
      <c r="AQ2592" s="35">
        <f>$D2592*($E2592*AQ$321+$F2592*AQ$324)</f>
        <v/>
      </c>
      <c r="AR2592" s="35">
        <f>$D2592*($E2592*AR$321+$F2592*AR$324)</f>
        <v/>
      </c>
      <c r="AS2592" s="35">
        <f>$D2592*($E2592*AS$321+$F2592*AS$324)</f>
        <v/>
      </c>
      <c r="AT2592" s="35">
        <f>$D2592*($E2592*AT$321+$F2592*AT$324)</f>
        <v/>
      </c>
      <c r="AU2592" s="35">
        <f>$D2592*($E2592*AU$321+$F2592*AU$324)</f>
        <v/>
      </c>
      <c r="AV2592" s="35">
        <f>$D2592*($E2592*AV$321+$F2592*AV$324)</f>
        <v/>
      </c>
      <c r="AW2592" s="35">
        <f>$D2592*($E2592*AW$321+$F2592*AW$324)</f>
        <v/>
      </c>
      <c r="AX2592" s="35">
        <f>$D2592*($E2592*AX$321+$F2592*AX$324)</f>
        <v/>
      </c>
      <c r="AY2592" s="35">
        <f>$D2592*($E2592*AY$321+$F2592*AY$324)</f>
        <v/>
      </c>
      <c r="AZ2592" s="35">
        <f>$D2592*($E2592*AZ$321+$F2592*AZ$324)</f>
        <v/>
      </c>
      <c r="BA2592" s="42">
        <f>XCARBON($D2592,$E2592,BA$321,$F2592,BA$324)</f>
        <v/>
      </c>
    </row>
    <row r="2593" hidden="1" outlineLevel="2"/>
    <row r="2594" hidden="1" outlineLevel="2">
      <c r="A2594" s="14" t="inlineStr">
        <is>
          <t>xcpd</t>
        </is>
      </c>
      <c r="B2594" s="14" t="inlineStr">
        <is>
          <t>coa</t>
        </is>
      </c>
      <c r="C2594" s="14" t="inlineStr">
        <is>
          <t>omn</t>
        </is>
      </c>
      <c r="D2594" s="35">
        <f>INDEX(Inputs!$W$5:$W$132,MATCH($B2594&amp;"|"&amp;$C2594,Inputs!$A$5:$A$132,0))</f>
        <v/>
      </c>
      <c r="E2594" s="35">
        <f>INDEX(Inputs!$Z$5:$Z$132,MATCH($B2594&amp;"|"&amp;$C2594,Inputs!$A$5:$A$132,0))</f>
        <v/>
      </c>
      <c r="F2594" s="35">
        <f>INDEX(Inputs!$AA$5:$AA$132,MATCH($B2594&amp;"|"&amp;$C2594,Inputs!$A$5:$A$132,0))</f>
        <v/>
      </c>
      <c r="G2594" s="39" t="n"/>
      <c r="H2594" s="14">
        <f>INDEX(VarLab,MATCH($A2594,VarKey,0))&amp;INDEX(MemLab,MATCH($C2594&amp;"|"&amp;$B2594,MemKey,0))</f>
        <v/>
      </c>
      <c r="I2594" s="14">
        <f>INDEX(VarUnit,MATCH($A2594,VarKey,0))</f>
        <v/>
      </c>
      <c r="J2594" s="14">
        <f>INDEX(VarSrc,MATCH($A2594,VarKey,0))</f>
        <v/>
      </c>
      <c r="K2594" s="11">
        <f>CodePrefix&amp;$A2594&amp;IF($C2594="","","."&amp;$C2594&amp;"."&amp;$B2594)&amp;INDEX(VarEnd,MATCH($A2594,VarKey,0))&amp;K$5</f>
        <v/>
      </c>
      <c r="L2594" s="40">
        <f>$D2594*($E2594*(L$321-L$322)+$F2594*(L$324-L$325))</f>
        <v/>
      </c>
      <c r="M2594" s="35">
        <f>$D2594*($E2594*(M$321-M$322)+$F2594*(M$324-M$325))</f>
        <v/>
      </c>
      <c r="N2594" s="35">
        <f>$D2594*($E2594*(N$321-N$322)+$F2594*(N$324-N$325))</f>
        <v/>
      </c>
      <c r="O2594" s="35">
        <f>$D2594*($E2594*(O$321-O$322)+$F2594*(O$324-O$325))</f>
        <v/>
      </c>
      <c r="P2594" s="35">
        <f>$D2594*($E2594*(P$321-P$322)+$F2594*(P$324-P$325))</f>
        <v/>
      </c>
      <c r="Q2594" s="35">
        <f>$D2594*($E2594*(Q$321-Q$322)+$F2594*(Q$324-Q$325))</f>
        <v/>
      </c>
      <c r="R2594" s="35">
        <f>$D2594*($E2594*(R$321-R$322)+$F2594*(R$324-R$325))</f>
        <v/>
      </c>
      <c r="S2594" s="35">
        <f>$D2594*($E2594*(S$321-S$322)+$F2594*(S$324-S$325))</f>
        <v/>
      </c>
      <c r="T2594" s="35">
        <f>$D2594*($E2594*(T$321-T$322)+$F2594*(T$324-T$325))</f>
        <v/>
      </c>
      <c r="U2594" s="35">
        <f>$D2594*($E2594*(U$321-U$322)+$F2594*(U$324-U$325))</f>
        <v/>
      </c>
      <c r="V2594" s="35">
        <f>$D2594*($E2594*(V$321-V$322)+$F2594*(V$324-V$325))</f>
        <v/>
      </c>
      <c r="W2594" s="35">
        <f>$D2594*($E2594*(W$321-W$322)+$F2594*(W$324-W$325))</f>
        <v/>
      </c>
      <c r="X2594" s="35">
        <f>$D2594*($E2594*(X$321-X$322)+$F2594*(X$324-X$325))</f>
        <v/>
      </c>
      <c r="Y2594" s="35">
        <f>$D2594*($E2594*(Y$321-Y$322)+$F2594*(Y$324-Y$325))</f>
        <v/>
      </c>
      <c r="Z2594" s="35">
        <f>$D2594*($E2594*(Z$321-Z$322)+$F2594*(Z$324-Z$325))</f>
        <v/>
      </c>
      <c r="AA2594" s="35">
        <f>$D2594*($E2594*(AA$321-AA$322)+$F2594*(AA$324-AA$325))</f>
        <v/>
      </c>
      <c r="AB2594" s="35">
        <f>$D2594*($E2594*(AB$321-AB$322)+$F2594*(AB$324-AB$325))</f>
        <v/>
      </c>
      <c r="AC2594" s="35">
        <f>$D2594*($E2594*(AC$321-AC$322)+$F2594*(AC$324-AC$325))</f>
        <v/>
      </c>
      <c r="AD2594" s="35">
        <f>$D2594*($E2594*(AD$321-AD$322)+$F2594*(AD$324-AD$325))</f>
        <v/>
      </c>
      <c r="AE2594" s="42">
        <f>XCARBON($D2594,$E2594,(AE$321-AE$322),$F2594,(AE$324-AE$325))</f>
        <v/>
      </c>
      <c r="AG2594" s="11">
        <f>CodePrefix&amp;$A2594&amp;IF($C2594="","","."&amp;$C2594&amp;"."&amp;$B2594)&amp;INDEX(VarEnd,MATCH($A2594,VarKey,0))&amp;AG$5</f>
        <v/>
      </c>
      <c r="AH2594" s="40">
        <f>$D2594*($E2594*(AH$321-AH$322)+$F2594*(AH$324-AH$325))</f>
        <v/>
      </c>
      <c r="AI2594" s="35">
        <f>$D2594*($E2594*(AI$321-AI$322)+$F2594*(AI$324-AI$325))</f>
        <v/>
      </c>
      <c r="AJ2594" s="35">
        <f>$D2594*($E2594*(AJ$321-AJ$322)+$F2594*(AJ$324-AJ$325))</f>
        <v/>
      </c>
      <c r="AK2594" s="35">
        <f>$D2594*($E2594*(AK$321-AK$322)+$F2594*(AK$324-AK$325))</f>
        <v/>
      </c>
      <c r="AL2594" s="35">
        <f>$D2594*($E2594*(AL$321-AL$322)+$F2594*(AL$324-AL$325))</f>
        <v/>
      </c>
      <c r="AM2594" s="35">
        <f>$D2594*($E2594*(AM$321-AM$322)+$F2594*(AM$324-AM$325))</f>
        <v/>
      </c>
      <c r="AN2594" s="35">
        <f>$D2594*($E2594*(AN$321-AN$322)+$F2594*(AN$324-AN$325))</f>
        <v/>
      </c>
      <c r="AO2594" s="35">
        <f>$D2594*($E2594*(AO$321-AO$322)+$F2594*(AO$324-AO$325))</f>
        <v/>
      </c>
      <c r="AP2594" s="35">
        <f>$D2594*($E2594*(AP$321-AP$322)+$F2594*(AP$324-AP$325))</f>
        <v/>
      </c>
      <c r="AQ2594" s="35">
        <f>$D2594*($E2594*(AQ$321-AQ$322)+$F2594*(AQ$324-AQ$325))</f>
        <v/>
      </c>
      <c r="AR2594" s="35">
        <f>$D2594*($E2594*(AR$321-AR$322)+$F2594*(AR$324-AR$325))</f>
        <v/>
      </c>
      <c r="AS2594" s="35">
        <f>$D2594*($E2594*(AS$321-AS$322)+$F2594*(AS$324-AS$325))</f>
        <v/>
      </c>
      <c r="AT2594" s="35">
        <f>$D2594*($E2594*(AT$321-AT$322)+$F2594*(AT$324-AT$325))</f>
        <v/>
      </c>
      <c r="AU2594" s="35">
        <f>$D2594*($E2594*(AU$321-AU$322)+$F2594*(AU$324-AU$325))</f>
        <v/>
      </c>
      <c r="AV2594" s="35">
        <f>$D2594*($E2594*(AV$321-AV$322)+$F2594*(AV$324-AV$325))</f>
        <v/>
      </c>
      <c r="AW2594" s="35">
        <f>$D2594*($E2594*(AW$321-AW$322)+$F2594*(AW$324-AW$325))</f>
        <v/>
      </c>
      <c r="AX2594" s="35">
        <f>$D2594*($E2594*(AX$321-AX$322)+$F2594*(AX$324-AX$325))</f>
        <v/>
      </c>
      <c r="AY2594" s="35">
        <f>$D2594*($E2594*(AY$321-AY$322)+$F2594*(AY$324-AY$325))</f>
        <v/>
      </c>
      <c r="AZ2594" s="35">
        <f>$D2594*($E2594*(AZ$321-AZ$322)+$F2594*(AZ$324-AZ$325))</f>
        <v/>
      </c>
      <c r="BA2594" s="42">
        <f>XCARBON($D2594,$E2594,(BA$321-BA$322),$F2594,(BA$324-BA$325))</f>
        <v/>
      </c>
    </row>
    <row r="2595" hidden="1" outlineLevel="2">
      <c r="A2595" s="14" t="inlineStr">
        <is>
          <t>xcpd</t>
        </is>
      </c>
      <c r="B2595" s="14" t="inlineStr">
        <is>
          <t>nga</t>
        </is>
      </c>
      <c r="C2595" s="14" t="inlineStr">
        <is>
          <t>omn</t>
        </is>
      </c>
      <c r="D2595" s="35">
        <f>INDEX(Inputs!$W$5:$W$132,MATCH($B2595&amp;"|"&amp;$C2595,Inputs!$A$5:$A$132,0))</f>
        <v/>
      </c>
      <c r="E2595" s="35">
        <f>INDEX(Inputs!$Z$5:$Z$132,MATCH($B2595&amp;"|"&amp;$C2595,Inputs!$A$5:$A$132,0))</f>
        <v/>
      </c>
      <c r="F2595" s="35">
        <f>INDEX(Inputs!$AA$5:$AA$132,MATCH($B2595&amp;"|"&amp;$C2595,Inputs!$A$5:$A$132,0))</f>
        <v/>
      </c>
      <c r="G2595" s="39" t="n"/>
      <c r="H2595" s="14">
        <f>INDEX(VarLab,MATCH($A2595,VarKey,0))&amp;INDEX(MemLab,MATCH($C2595&amp;"|"&amp;$B2595,MemKey,0))</f>
        <v/>
      </c>
      <c r="I2595" s="14">
        <f>INDEX(VarUnit,MATCH($A2595,VarKey,0))</f>
        <v/>
      </c>
      <c r="J2595" s="14">
        <f>INDEX(VarSrc,MATCH($A2595,VarKey,0))</f>
        <v/>
      </c>
      <c r="K2595" s="11">
        <f>CodePrefix&amp;$A2595&amp;IF($C2595="","","."&amp;$C2595&amp;"."&amp;$B2595)&amp;INDEX(VarEnd,MATCH($A2595,VarKey,0))&amp;K$5</f>
        <v/>
      </c>
      <c r="L2595" s="40">
        <f>$D2595*($E2595*(L$321-L$322)+$F2595*(L$324-L$325))</f>
        <v/>
      </c>
      <c r="M2595" s="35">
        <f>$D2595*($E2595*(M$321-M$322)+$F2595*(M$324-M$325))</f>
        <v/>
      </c>
      <c r="N2595" s="35">
        <f>$D2595*($E2595*(N$321-N$322)+$F2595*(N$324-N$325))</f>
        <v/>
      </c>
      <c r="O2595" s="35">
        <f>$D2595*($E2595*(O$321-O$322)+$F2595*(O$324-O$325))</f>
        <v/>
      </c>
      <c r="P2595" s="35">
        <f>$D2595*($E2595*(P$321-P$322)+$F2595*(P$324-P$325))</f>
        <v/>
      </c>
      <c r="Q2595" s="35">
        <f>$D2595*($E2595*(Q$321-Q$322)+$F2595*(Q$324-Q$325))</f>
        <v/>
      </c>
      <c r="R2595" s="35">
        <f>$D2595*($E2595*(R$321-R$322)+$F2595*(R$324-R$325))</f>
        <v/>
      </c>
      <c r="S2595" s="35">
        <f>$D2595*($E2595*(S$321-S$322)+$F2595*(S$324-S$325))</f>
        <v/>
      </c>
      <c r="T2595" s="35">
        <f>$D2595*($E2595*(T$321-T$322)+$F2595*(T$324-T$325))</f>
        <v/>
      </c>
      <c r="U2595" s="35">
        <f>$D2595*($E2595*(U$321-U$322)+$F2595*(U$324-U$325))</f>
        <v/>
      </c>
      <c r="V2595" s="35">
        <f>$D2595*($E2595*(V$321-V$322)+$F2595*(V$324-V$325))</f>
        <v/>
      </c>
      <c r="W2595" s="35">
        <f>$D2595*($E2595*(W$321-W$322)+$F2595*(W$324-W$325))</f>
        <v/>
      </c>
      <c r="X2595" s="35">
        <f>$D2595*($E2595*(X$321-X$322)+$F2595*(X$324-X$325))</f>
        <v/>
      </c>
      <c r="Y2595" s="35">
        <f>$D2595*($E2595*(Y$321-Y$322)+$F2595*(Y$324-Y$325))</f>
        <v/>
      </c>
      <c r="Z2595" s="35">
        <f>$D2595*($E2595*(Z$321-Z$322)+$F2595*(Z$324-Z$325))</f>
        <v/>
      </c>
      <c r="AA2595" s="35">
        <f>$D2595*($E2595*(AA$321-AA$322)+$F2595*(AA$324-AA$325))</f>
        <v/>
      </c>
      <c r="AB2595" s="35">
        <f>$D2595*($E2595*(AB$321-AB$322)+$F2595*(AB$324-AB$325))</f>
        <v/>
      </c>
      <c r="AC2595" s="35">
        <f>$D2595*($E2595*(AC$321-AC$322)+$F2595*(AC$324-AC$325))</f>
        <v/>
      </c>
      <c r="AD2595" s="35">
        <f>$D2595*($E2595*(AD$321-AD$322)+$F2595*(AD$324-AD$325))</f>
        <v/>
      </c>
      <c r="AE2595" s="42">
        <f>XCARBON($D2595,$E2595,(AE$321-AE$322),$F2595,(AE$324-AE$325))</f>
        <v/>
      </c>
      <c r="AG2595" s="11">
        <f>CodePrefix&amp;$A2595&amp;IF($C2595="","","."&amp;$C2595&amp;"."&amp;$B2595)&amp;INDEX(VarEnd,MATCH($A2595,VarKey,0))&amp;AG$5</f>
        <v/>
      </c>
      <c r="AH2595" s="40">
        <f>$D2595*($E2595*(AH$321-AH$322)+$F2595*(AH$324-AH$325))</f>
        <v/>
      </c>
      <c r="AI2595" s="35">
        <f>$D2595*($E2595*(AI$321-AI$322)+$F2595*(AI$324-AI$325))</f>
        <v/>
      </c>
      <c r="AJ2595" s="35">
        <f>$D2595*($E2595*(AJ$321-AJ$322)+$F2595*(AJ$324-AJ$325))</f>
        <v/>
      </c>
      <c r="AK2595" s="35">
        <f>$D2595*($E2595*(AK$321-AK$322)+$F2595*(AK$324-AK$325))</f>
        <v/>
      </c>
      <c r="AL2595" s="35">
        <f>$D2595*($E2595*(AL$321-AL$322)+$F2595*(AL$324-AL$325))</f>
        <v/>
      </c>
      <c r="AM2595" s="35">
        <f>$D2595*($E2595*(AM$321-AM$322)+$F2595*(AM$324-AM$325))</f>
        <v/>
      </c>
      <c r="AN2595" s="35">
        <f>$D2595*($E2595*(AN$321-AN$322)+$F2595*(AN$324-AN$325))</f>
        <v/>
      </c>
      <c r="AO2595" s="35">
        <f>$D2595*($E2595*(AO$321-AO$322)+$F2595*(AO$324-AO$325))</f>
        <v/>
      </c>
      <c r="AP2595" s="35">
        <f>$D2595*($E2595*(AP$321-AP$322)+$F2595*(AP$324-AP$325))</f>
        <v/>
      </c>
      <c r="AQ2595" s="35">
        <f>$D2595*($E2595*(AQ$321-AQ$322)+$F2595*(AQ$324-AQ$325))</f>
        <v/>
      </c>
      <c r="AR2595" s="35">
        <f>$D2595*($E2595*(AR$321-AR$322)+$F2595*(AR$324-AR$325))</f>
        <v/>
      </c>
      <c r="AS2595" s="35">
        <f>$D2595*($E2595*(AS$321-AS$322)+$F2595*(AS$324-AS$325))</f>
        <v/>
      </c>
      <c r="AT2595" s="35">
        <f>$D2595*($E2595*(AT$321-AT$322)+$F2595*(AT$324-AT$325))</f>
        <v/>
      </c>
      <c r="AU2595" s="35">
        <f>$D2595*($E2595*(AU$321-AU$322)+$F2595*(AU$324-AU$325))</f>
        <v/>
      </c>
      <c r="AV2595" s="35">
        <f>$D2595*($E2595*(AV$321-AV$322)+$F2595*(AV$324-AV$325))</f>
        <v/>
      </c>
      <c r="AW2595" s="35">
        <f>$D2595*($E2595*(AW$321-AW$322)+$F2595*(AW$324-AW$325))</f>
        <v/>
      </c>
      <c r="AX2595" s="35">
        <f>$D2595*($E2595*(AX$321-AX$322)+$F2595*(AX$324-AX$325))</f>
        <v/>
      </c>
      <c r="AY2595" s="35">
        <f>$D2595*($E2595*(AY$321-AY$322)+$F2595*(AY$324-AY$325))</f>
        <v/>
      </c>
      <c r="AZ2595" s="35">
        <f>$D2595*($E2595*(AZ$321-AZ$322)+$F2595*(AZ$324-AZ$325))</f>
        <v/>
      </c>
      <c r="BA2595" s="42">
        <f>XCARBON($D2595,$E2595,(BA$321-BA$322),$F2595,(BA$324-BA$325))</f>
        <v/>
      </c>
    </row>
    <row r="2596" hidden="1" outlineLevel="2">
      <c r="A2596" s="14" t="inlineStr">
        <is>
          <t>xcpd</t>
        </is>
      </c>
      <c r="B2596" s="14" t="inlineStr">
        <is>
          <t>gso</t>
        </is>
      </c>
      <c r="C2596" s="14" t="inlineStr">
        <is>
          <t>omn</t>
        </is>
      </c>
      <c r="D2596" s="35">
        <f>INDEX(Inputs!$W$5:$W$132,MATCH($B2596&amp;"|"&amp;$C2596,Inputs!$A$5:$A$132,0))</f>
        <v/>
      </c>
      <c r="E2596" s="35">
        <f>INDEX(Inputs!$Z$5:$Z$132,MATCH($B2596&amp;"|"&amp;$C2596,Inputs!$A$5:$A$132,0))</f>
        <v/>
      </c>
      <c r="F2596" s="35">
        <f>INDEX(Inputs!$AA$5:$AA$132,MATCH($B2596&amp;"|"&amp;$C2596,Inputs!$A$5:$A$132,0))</f>
        <v/>
      </c>
      <c r="G2596" s="39" t="n"/>
      <c r="H2596" s="14">
        <f>INDEX(VarLab,MATCH($A2596,VarKey,0))&amp;INDEX(MemLab,MATCH($C2596&amp;"|"&amp;$B2596,MemKey,0))</f>
        <v/>
      </c>
      <c r="I2596" s="14">
        <f>INDEX(VarUnit,MATCH($A2596,VarKey,0))</f>
        <v/>
      </c>
      <c r="J2596" s="14">
        <f>INDEX(VarSrc,MATCH($A2596,VarKey,0))</f>
        <v/>
      </c>
      <c r="K2596" s="11">
        <f>CodePrefix&amp;$A2596&amp;IF($C2596="","","."&amp;$C2596&amp;"."&amp;$B2596)&amp;INDEX(VarEnd,MATCH($A2596,VarKey,0))&amp;K$5</f>
        <v/>
      </c>
      <c r="L2596" s="40">
        <f>$D2596*($E2596*(L$321-L$322)+$F2596*(L$324-L$325))</f>
        <v/>
      </c>
      <c r="M2596" s="35">
        <f>$D2596*($E2596*(M$321-M$322)+$F2596*(M$324-M$325))</f>
        <v/>
      </c>
      <c r="N2596" s="35">
        <f>$D2596*($E2596*(N$321-N$322)+$F2596*(N$324-N$325))</f>
        <v/>
      </c>
      <c r="O2596" s="35">
        <f>$D2596*($E2596*(O$321-O$322)+$F2596*(O$324-O$325))</f>
        <v/>
      </c>
      <c r="P2596" s="35">
        <f>$D2596*($E2596*(P$321-P$322)+$F2596*(P$324-P$325))</f>
        <v/>
      </c>
      <c r="Q2596" s="35">
        <f>$D2596*($E2596*(Q$321-Q$322)+$F2596*(Q$324-Q$325))</f>
        <v/>
      </c>
      <c r="R2596" s="35">
        <f>$D2596*($E2596*(R$321-R$322)+$F2596*(R$324-R$325))</f>
        <v/>
      </c>
      <c r="S2596" s="35">
        <f>$D2596*($E2596*(S$321-S$322)+$F2596*(S$324-S$325))</f>
        <v/>
      </c>
      <c r="T2596" s="35">
        <f>$D2596*($E2596*(T$321-T$322)+$F2596*(T$324-T$325))</f>
        <v/>
      </c>
      <c r="U2596" s="35">
        <f>$D2596*($E2596*(U$321-U$322)+$F2596*(U$324-U$325))</f>
        <v/>
      </c>
      <c r="V2596" s="35">
        <f>$D2596*($E2596*(V$321-V$322)+$F2596*(V$324-V$325))</f>
        <v/>
      </c>
      <c r="W2596" s="35">
        <f>$D2596*($E2596*(W$321-W$322)+$F2596*(W$324-W$325))</f>
        <v/>
      </c>
      <c r="X2596" s="35">
        <f>$D2596*($E2596*(X$321-X$322)+$F2596*(X$324-X$325))</f>
        <v/>
      </c>
      <c r="Y2596" s="35">
        <f>$D2596*($E2596*(Y$321-Y$322)+$F2596*(Y$324-Y$325))</f>
        <v/>
      </c>
      <c r="Z2596" s="35">
        <f>$D2596*($E2596*(Z$321-Z$322)+$F2596*(Z$324-Z$325))</f>
        <v/>
      </c>
      <c r="AA2596" s="35">
        <f>$D2596*($E2596*(AA$321-AA$322)+$F2596*(AA$324-AA$325))</f>
        <v/>
      </c>
      <c r="AB2596" s="35">
        <f>$D2596*($E2596*(AB$321-AB$322)+$F2596*(AB$324-AB$325))</f>
        <v/>
      </c>
      <c r="AC2596" s="35">
        <f>$D2596*($E2596*(AC$321-AC$322)+$F2596*(AC$324-AC$325))</f>
        <v/>
      </c>
      <c r="AD2596" s="35">
        <f>$D2596*($E2596*(AD$321-AD$322)+$F2596*(AD$324-AD$325))</f>
        <v/>
      </c>
      <c r="AE2596" s="42">
        <f>XCARBON($D2596,$E2596,(AE$321-AE$322),$F2596,(AE$324-AE$325))</f>
        <v/>
      </c>
      <c r="AG2596" s="11">
        <f>CodePrefix&amp;$A2596&amp;IF($C2596="","","."&amp;$C2596&amp;"."&amp;$B2596)&amp;INDEX(VarEnd,MATCH($A2596,VarKey,0))&amp;AG$5</f>
        <v/>
      </c>
      <c r="AH2596" s="40">
        <f>$D2596*($E2596*(AH$321-AH$322)+$F2596*(AH$324-AH$325))</f>
        <v/>
      </c>
      <c r="AI2596" s="35">
        <f>$D2596*($E2596*(AI$321-AI$322)+$F2596*(AI$324-AI$325))</f>
        <v/>
      </c>
      <c r="AJ2596" s="35">
        <f>$D2596*($E2596*(AJ$321-AJ$322)+$F2596*(AJ$324-AJ$325))</f>
        <v/>
      </c>
      <c r="AK2596" s="35">
        <f>$D2596*($E2596*(AK$321-AK$322)+$F2596*(AK$324-AK$325))</f>
        <v/>
      </c>
      <c r="AL2596" s="35">
        <f>$D2596*($E2596*(AL$321-AL$322)+$F2596*(AL$324-AL$325))</f>
        <v/>
      </c>
      <c r="AM2596" s="35">
        <f>$D2596*($E2596*(AM$321-AM$322)+$F2596*(AM$324-AM$325))</f>
        <v/>
      </c>
      <c r="AN2596" s="35">
        <f>$D2596*($E2596*(AN$321-AN$322)+$F2596*(AN$324-AN$325))</f>
        <v/>
      </c>
      <c r="AO2596" s="35">
        <f>$D2596*($E2596*(AO$321-AO$322)+$F2596*(AO$324-AO$325))</f>
        <v/>
      </c>
      <c r="AP2596" s="35">
        <f>$D2596*($E2596*(AP$321-AP$322)+$F2596*(AP$324-AP$325))</f>
        <v/>
      </c>
      <c r="AQ2596" s="35">
        <f>$D2596*($E2596*(AQ$321-AQ$322)+$F2596*(AQ$324-AQ$325))</f>
        <v/>
      </c>
      <c r="AR2596" s="35">
        <f>$D2596*($E2596*(AR$321-AR$322)+$F2596*(AR$324-AR$325))</f>
        <v/>
      </c>
      <c r="AS2596" s="35">
        <f>$D2596*($E2596*(AS$321-AS$322)+$F2596*(AS$324-AS$325))</f>
        <v/>
      </c>
      <c r="AT2596" s="35">
        <f>$D2596*($E2596*(AT$321-AT$322)+$F2596*(AT$324-AT$325))</f>
        <v/>
      </c>
      <c r="AU2596" s="35">
        <f>$D2596*($E2596*(AU$321-AU$322)+$F2596*(AU$324-AU$325))</f>
        <v/>
      </c>
      <c r="AV2596" s="35">
        <f>$D2596*($E2596*(AV$321-AV$322)+$F2596*(AV$324-AV$325))</f>
        <v/>
      </c>
      <c r="AW2596" s="35">
        <f>$D2596*($E2596*(AW$321-AW$322)+$F2596*(AW$324-AW$325))</f>
        <v/>
      </c>
      <c r="AX2596" s="35">
        <f>$D2596*($E2596*(AX$321-AX$322)+$F2596*(AX$324-AX$325))</f>
        <v/>
      </c>
      <c r="AY2596" s="35">
        <f>$D2596*($E2596*(AY$321-AY$322)+$F2596*(AY$324-AY$325))</f>
        <v/>
      </c>
      <c r="AZ2596" s="35">
        <f>$D2596*($E2596*(AZ$321-AZ$322)+$F2596*(AZ$324-AZ$325))</f>
        <v/>
      </c>
      <c r="BA2596" s="42">
        <f>XCARBON($D2596,$E2596,(BA$321-BA$322),$F2596,(BA$324-BA$325))</f>
        <v/>
      </c>
    </row>
    <row r="2597" hidden="1" outlineLevel="2">
      <c r="A2597" s="14" t="inlineStr">
        <is>
          <t>xcpd</t>
        </is>
      </c>
      <c r="B2597" s="14" t="inlineStr">
        <is>
          <t>die</t>
        </is>
      </c>
      <c r="C2597" s="14" t="inlineStr">
        <is>
          <t>omn</t>
        </is>
      </c>
      <c r="D2597" s="35">
        <f>INDEX(Inputs!$W$5:$W$132,MATCH($B2597&amp;"|"&amp;$C2597,Inputs!$A$5:$A$132,0))</f>
        <v/>
      </c>
      <c r="E2597" s="35">
        <f>INDEX(Inputs!$Z$5:$Z$132,MATCH($B2597&amp;"|"&amp;$C2597,Inputs!$A$5:$A$132,0))</f>
        <v/>
      </c>
      <c r="F2597" s="35">
        <f>INDEX(Inputs!$AA$5:$AA$132,MATCH($B2597&amp;"|"&amp;$C2597,Inputs!$A$5:$A$132,0))</f>
        <v/>
      </c>
      <c r="G2597" s="39" t="n"/>
      <c r="H2597" s="14">
        <f>INDEX(VarLab,MATCH($A2597,VarKey,0))&amp;INDEX(MemLab,MATCH($C2597&amp;"|"&amp;$B2597,MemKey,0))</f>
        <v/>
      </c>
      <c r="I2597" s="14">
        <f>INDEX(VarUnit,MATCH($A2597,VarKey,0))</f>
        <v/>
      </c>
      <c r="J2597" s="14">
        <f>INDEX(VarSrc,MATCH($A2597,VarKey,0))</f>
        <v/>
      </c>
      <c r="K2597" s="11">
        <f>CodePrefix&amp;$A2597&amp;IF($C2597="","","."&amp;$C2597&amp;"."&amp;$B2597)&amp;INDEX(VarEnd,MATCH($A2597,VarKey,0))&amp;K$5</f>
        <v/>
      </c>
      <c r="L2597" s="40">
        <f>$D2597*($E2597*(L$321-L$322)+$F2597*(L$324-L$325))</f>
        <v/>
      </c>
      <c r="M2597" s="35">
        <f>$D2597*($E2597*(M$321-M$322)+$F2597*(M$324-M$325))</f>
        <v/>
      </c>
      <c r="N2597" s="35">
        <f>$D2597*($E2597*(N$321-N$322)+$F2597*(N$324-N$325))</f>
        <v/>
      </c>
      <c r="O2597" s="35">
        <f>$D2597*($E2597*(O$321-O$322)+$F2597*(O$324-O$325))</f>
        <v/>
      </c>
      <c r="P2597" s="35">
        <f>$D2597*($E2597*(P$321-P$322)+$F2597*(P$324-P$325))</f>
        <v/>
      </c>
      <c r="Q2597" s="35">
        <f>$D2597*($E2597*(Q$321-Q$322)+$F2597*(Q$324-Q$325))</f>
        <v/>
      </c>
      <c r="R2597" s="35">
        <f>$D2597*($E2597*(R$321-R$322)+$F2597*(R$324-R$325))</f>
        <v/>
      </c>
      <c r="S2597" s="35">
        <f>$D2597*($E2597*(S$321-S$322)+$F2597*(S$324-S$325))</f>
        <v/>
      </c>
      <c r="T2597" s="35">
        <f>$D2597*($E2597*(T$321-T$322)+$F2597*(T$324-T$325))</f>
        <v/>
      </c>
      <c r="U2597" s="35">
        <f>$D2597*($E2597*(U$321-U$322)+$F2597*(U$324-U$325))</f>
        <v/>
      </c>
      <c r="V2597" s="35">
        <f>$D2597*($E2597*(V$321-V$322)+$F2597*(V$324-V$325))</f>
        <v/>
      </c>
      <c r="W2597" s="35">
        <f>$D2597*($E2597*(W$321-W$322)+$F2597*(W$324-W$325))</f>
        <v/>
      </c>
      <c r="X2597" s="35">
        <f>$D2597*($E2597*(X$321-X$322)+$F2597*(X$324-X$325))</f>
        <v/>
      </c>
      <c r="Y2597" s="35">
        <f>$D2597*($E2597*(Y$321-Y$322)+$F2597*(Y$324-Y$325))</f>
        <v/>
      </c>
      <c r="Z2597" s="35">
        <f>$D2597*($E2597*(Z$321-Z$322)+$F2597*(Z$324-Z$325))</f>
        <v/>
      </c>
      <c r="AA2597" s="35">
        <f>$D2597*($E2597*(AA$321-AA$322)+$F2597*(AA$324-AA$325))</f>
        <v/>
      </c>
      <c r="AB2597" s="35">
        <f>$D2597*($E2597*(AB$321-AB$322)+$F2597*(AB$324-AB$325))</f>
        <v/>
      </c>
      <c r="AC2597" s="35">
        <f>$D2597*($E2597*(AC$321-AC$322)+$F2597*(AC$324-AC$325))</f>
        <v/>
      </c>
      <c r="AD2597" s="35">
        <f>$D2597*($E2597*(AD$321-AD$322)+$F2597*(AD$324-AD$325))</f>
        <v/>
      </c>
      <c r="AE2597" s="42">
        <f>XCARBON($D2597,$E2597,(AE$321-AE$322),$F2597,(AE$324-AE$325))</f>
        <v/>
      </c>
      <c r="AG2597" s="11">
        <f>CodePrefix&amp;$A2597&amp;IF($C2597="","","."&amp;$C2597&amp;"."&amp;$B2597)&amp;INDEX(VarEnd,MATCH($A2597,VarKey,0))&amp;AG$5</f>
        <v/>
      </c>
      <c r="AH2597" s="40">
        <f>$D2597*($E2597*(AH$321-AH$322)+$F2597*(AH$324-AH$325))</f>
        <v/>
      </c>
      <c r="AI2597" s="35">
        <f>$D2597*($E2597*(AI$321-AI$322)+$F2597*(AI$324-AI$325))</f>
        <v/>
      </c>
      <c r="AJ2597" s="35">
        <f>$D2597*($E2597*(AJ$321-AJ$322)+$F2597*(AJ$324-AJ$325))</f>
        <v/>
      </c>
      <c r="AK2597" s="35">
        <f>$D2597*($E2597*(AK$321-AK$322)+$F2597*(AK$324-AK$325))</f>
        <v/>
      </c>
      <c r="AL2597" s="35">
        <f>$D2597*($E2597*(AL$321-AL$322)+$F2597*(AL$324-AL$325))</f>
        <v/>
      </c>
      <c r="AM2597" s="35">
        <f>$D2597*($E2597*(AM$321-AM$322)+$F2597*(AM$324-AM$325))</f>
        <v/>
      </c>
      <c r="AN2597" s="35">
        <f>$D2597*($E2597*(AN$321-AN$322)+$F2597*(AN$324-AN$325))</f>
        <v/>
      </c>
      <c r="AO2597" s="35">
        <f>$D2597*($E2597*(AO$321-AO$322)+$F2597*(AO$324-AO$325))</f>
        <v/>
      </c>
      <c r="AP2597" s="35">
        <f>$D2597*($E2597*(AP$321-AP$322)+$F2597*(AP$324-AP$325))</f>
        <v/>
      </c>
      <c r="AQ2597" s="35">
        <f>$D2597*($E2597*(AQ$321-AQ$322)+$F2597*(AQ$324-AQ$325))</f>
        <v/>
      </c>
      <c r="AR2597" s="35">
        <f>$D2597*($E2597*(AR$321-AR$322)+$F2597*(AR$324-AR$325))</f>
        <v/>
      </c>
      <c r="AS2597" s="35">
        <f>$D2597*($E2597*(AS$321-AS$322)+$F2597*(AS$324-AS$325))</f>
        <v/>
      </c>
      <c r="AT2597" s="35">
        <f>$D2597*($E2597*(AT$321-AT$322)+$F2597*(AT$324-AT$325))</f>
        <v/>
      </c>
      <c r="AU2597" s="35">
        <f>$D2597*($E2597*(AU$321-AU$322)+$F2597*(AU$324-AU$325))</f>
        <v/>
      </c>
      <c r="AV2597" s="35">
        <f>$D2597*($E2597*(AV$321-AV$322)+$F2597*(AV$324-AV$325))</f>
        <v/>
      </c>
      <c r="AW2597" s="35">
        <f>$D2597*($E2597*(AW$321-AW$322)+$F2597*(AW$324-AW$325))</f>
        <v/>
      </c>
      <c r="AX2597" s="35">
        <f>$D2597*($E2597*(AX$321-AX$322)+$F2597*(AX$324-AX$325))</f>
        <v/>
      </c>
      <c r="AY2597" s="35">
        <f>$D2597*($E2597*(AY$321-AY$322)+$F2597*(AY$324-AY$325))</f>
        <v/>
      </c>
      <c r="AZ2597" s="35">
        <f>$D2597*($E2597*(AZ$321-AZ$322)+$F2597*(AZ$324-AZ$325))</f>
        <v/>
      </c>
      <c r="BA2597" s="42">
        <f>XCARBON($D2597,$E2597,(BA$321-BA$322),$F2597,(BA$324-BA$325))</f>
        <v/>
      </c>
    </row>
    <row r="2598" hidden="1" outlineLevel="2">
      <c r="A2598" s="14" t="inlineStr">
        <is>
          <t>xcpd</t>
        </is>
      </c>
      <c r="B2598" s="14" t="inlineStr">
        <is>
          <t>lpg</t>
        </is>
      </c>
      <c r="C2598" s="14" t="inlineStr">
        <is>
          <t>omn</t>
        </is>
      </c>
      <c r="D2598" s="35">
        <f>INDEX(Inputs!$W$5:$W$132,MATCH($B2598&amp;"|"&amp;$C2598,Inputs!$A$5:$A$132,0))</f>
        <v/>
      </c>
      <c r="E2598" s="35">
        <f>INDEX(Inputs!$Z$5:$Z$132,MATCH($B2598&amp;"|"&amp;$C2598,Inputs!$A$5:$A$132,0))</f>
        <v/>
      </c>
      <c r="F2598" s="35">
        <f>INDEX(Inputs!$AA$5:$AA$132,MATCH($B2598&amp;"|"&amp;$C2598,Inputs!$A$5:$A$132,0))</f>
        <v/>
      </c>
      <c r="G2598" s="39" t="n"/>
      <c r="H2598" s="14">
        <f>INDEX(VarLab,MATCH($A2598,VarKey,0))&amp;INDEX(MemLab,MATCH($C2598&amp;"|"&amp;$B2598,MemKey,0))</f>
        <v/>
      </c>
      <c r="I2598" s="14">
        <f>INDEX(VarUnit,MATCH($A2598,VarKey,0))</f>
        <v/>
      </c>
      <c r="J2598" s="14">
        <f>INDEX(VarSrc,MATCH($A2598,VarKey,0))</f>
        <v/>
      </c>
      <c r="K2598" s="11">
        <f>CodePrefix&amp;$A2598&amp;IF($C2598="","","."&amp;$C2598&amp;"."&amp;$B2598)&amp;INDEX(VarEnd,MATCH($A2598,VarKey,0))&amp;K$5</f>
        <v/>
      </c>
      <c r="L2598" s="40">
        <f>$D2598*($E2598*(L$321-L$322)+$F2598*(L$324-L$325))</f>
        <v/>
      </c>
      <c r="M2598" s="35">
        <f>$D2598*($E2598*(M$321-M$322)+$F2598*(M$324-M$325))</f>
        <v/>
      </c>
      <c r="N2598" s="35">
        <f>$D2598*($E2598*(N$321-N$322)+$F2598*(N$324-N$325))</f>
        <v/>
      </c>
      <c r="O2598" s="35">
        <f>$D2598*($E2598*(O$321-O$322)+$F2598*(O$324-O$325))</f>
        <v/>
      </c>
      <c r="P2598" s="35">
        <f>$D2598*($E2598*(P$321-P$322)+$F2598*(P$324-P$325))</f>
        <v/>
      </c>
      <c r="Q2598" s="35">
        <f>$D2598*($E2598*(Q$321-Q$322)+$F2598*(Q$324-Q$325))</f>
        <v/>
      </c>
      <c r="R2598" s="35">
        <f>$D2598*($E2598*(R$321-R$322)+$F2598*(R$324-R$325))</f>
        <v/>
      </c>
      <c r="S2598" s="35">
        <f>$D2598*($E2598*(S$321-S$322)+$F2598*(S$324-S$325))</f>
        <v/>
      </c>
      <c r="T2598" s="35">
        <f>$D2598*($E2598*(T$321-T$322)+$F2598*(T$324-T$325))</f>
        <v/>
      </c>
      <c r="U2598" s="35">
        <f>$D2598*($E2598*(U$321-U$322)+$F2598*(U$324-U$325))</f>
        <v/>
      </c>
      <c r="V2598" s="35">
        <f>$D2598*($E2598*(V$321-V$322)+$F2598*(V$324-V$325))</f>
        <v/>
      </c>
      <c r="W2598" s="35">
        <f>$D2598*($E2598*(W$321-W$322)+$F2598*(W$324-W$325))</f>
        <v/>
      </c>
      <c r="X2598" s="35">
        <f>$D2598*($E2598*(X$321-X$322)+$F2598*(X$324-X$325))</f>
        <v/>
      </c>
      <c r="Y2598" s="35">
        <f>$D2598*($E2598*(Y$321-Y$322)+$F2598*(Y$324-Y$325))</f>
        <v/>
      </c>
      <c r="Z2598" s="35">
        <f>$D2598*($E2598*(Z$321-Z$322)+$F2598*(Z$324-Z$325))</f>
        <v/>
      </c>
      <c r="AA2598" s="35">
        <f>$D2598*($E2598*(AA$321-AA$322)+$F2598*(AA$324-AA$325))</f>
        <v/>
      </c>
      <c r="AB2598" s="35">
        <f>$D2598*($E2598*(AB$321-AB$322)+$F2598*(AB$324-AB$325))</f>
        <v/>
      </c>
      <c r="AC2598" s="35">
        <f>$D2598*($E2598*(AC$321-AC$322)+$F2598*(AC$324-AC$325))</f>
        <v/>
      </c>
      <c r="AD2598" s="35">
        <f>$D2598*($E2598*(AD$321-AD$322)+$F2598*(AD$324-AD$325))</f>
        <v/>
      </c>
      <c r="AE2598" s="42">
        <f>XCARBON($D2598,$E2598,(AE$321-AE$322),$F2598,(AE$324-AE$325))</f>
        <v/>
      </c>
      <c r="AG2598" s="11">
        <f>CodePrefix&amp;$A2598&amp;IF($C2598="","","."&amp;$C2598&amp;"."&amp;$B2598)&amp;INDEX(VarEnd,MATCH($A2598,VarKey,0))&amp;AG$5</f>
        <v/>
      </c>
      <c r="AH2598" s="40">
        <f>$D2598*($E2598*(AH$321-AH$322)+$F2598*(AH$324-AH$325))</f>
        <v/>
      </c>
      <c r="AI2598" s="35">
        <f>$D2598*($E2598*(AI$321-AI$322)+$F2598*(AI$324-AI$325))</f>
        <v/>
      </c>
      <c r="AJ2598" s="35">
        <f>$D2598*($E2598*(AJ$321-AJ$322)+$F2598*(AJ$324-AJ$325))</f>
        <v/>
      </c>
      <c r="AK2598" s="35">
        <f>$D2598*($E2598*(AK$321-AK$322)+$F2598*(AK$324-AK$325))</f>
        <v/>
      </c>
      <c r="AL2598" s="35">
        <f>$D2598*($E2598*(AL$321-AL$322)+$F2598*(AL$324-AL$325))</f>
        <v/>
      </c>
      <c r="AM2598" s="35">
        <f>$D2598*($E2598*(AM$321-AM$322)+$F2598*(AM$324-AM$325))</f>
        <v/>
      </c>
      <c r="AN2598" s="35">
        <f>$D2598*($E2598*(AN$321-AN$322)+$F2598*(AN$324-AN$325))</f>
        <v/>
      </c>
      <c r="AO2598" s="35">
        <f>$D2598*($E2598*(AO$321-AO$322)+$F2598*(AO$324-AO$325))</f>
        <v/>
      </c>
      <c r="AP2598" s="35">
        <f>$D2598*($E2598*(AP$321-AP$322)+$F2598*(AP$324-AP$325))</f>
        <v/>
      </c>
      <c r="AQ2598" s="35">
        <f>$D2598*($E2598*(AQ$321-AQ$322)+$F2598*(AQ$324-AQ$325))</f>
        <v/>
      </c>
      <c r="AR2598" s="35">
        <f>$D2598*($E2598*(AR$321-AR$322)+$F2598*(AR$324-AR$325))</f>
        <v/>
      </c>
      <c r="AS2598" s="35">
        <f>$D2598*($E2598*(AS$321-AS$322)+$F2598*(AS$324-AS$325))</f>
        <v/>
      </c>
      <c r="AT2598" s="35">
        <f>$D2598*($E2598*(AT$321-AT$322)+$F2598*(AT$324-AT$325))</f>
        <v/>
      </c>
      <c r="AU2598" s="35">
        <f>$D2598*($E2598*(AU$321-AU$322)+$F2598*(AU$324-AU$325))</f>
        <v/>
      </c>
      <c r="AV2598" s="35">
        <f>$D2598*($E2598*(AV$321-AV$322)+$F2598*(AV$324-AV$325))</f>
        <v/>
      </c>
      <c r="AW2598" s="35">
        <f>$D2598*($E2598*(AW$321-AW$322)+$F2598*(AW$324-AW$325))</f>
        <v/>
      </c>
      <c r="AX2598" s="35">
        <f>$D2598*($E2598*(AX$321-AX$322)+$F2598*(AX$324-AX$325))</f>
        <v/>
      </c>
      <c r="AY2598" s="35">
        <f>$D2598*($E2598*(AY$321-AY$322)+$F2598*(AY$324-AY$325))</f>
        <v/>
      </c>
      <c r="AZ2598" s="35">
        <f>$D2598*($E2598*(AZ$321-AZ$322)+$F2598*(AZ$324-AZ$325))</f>
        <v/>
      </c>
      <c r="BA2598" s="42">
        <f>XCARBON($D2598,$E2598,(BA$321-BA$322),$F2598,(BA$324-BA$325))</f>
        <v/>
      </c>
    </row>
    <row r="2599" hidden="1" outlineLevel="2">
      <c r="A2599" s="14" t="inlineStr">
        <is>
          <t>xcpd</t>
        </is>
      </c>
      <c r="B2599" s="14" t="inlineStr">
        <is>
          <t>ker</t>
        </is>
      </c>
      <c r="C2599" s="14" t="inlineStr">
        <is>
          <t>omn</t>
        </is>
      </c>
      <c r="D2599" s="35">
        <f>INDEX(Inputs!$W$5:$W$132,MATCH($B2599&amp;"|"&amp;$C2599,Inputs!$A$5:$A$132,0))</f>
        <v/>
      </c>
      <c r="E2599" s="35">
        <f>INDEX(Inputs!$Z$5:$Z$132,MATCH($B2599&amp;"|"&amp;$C2599,Inputs!$A$5:$A$132,0))</f>
        <v/>
      </c>
      <c r="F2599" s="35">
        <f>INDEX(Inputs!$AA$5:$AA$132,MATCH($B2599&amp;"|"&amp;$C2599,Inputs!$A$5:$A$132,0))</f>
        <v/>
      </c>
      <c r="G2599" s="39" t="n"/>
      <c r="H2599" s="14">
        <f>INDEX(VarLab,MATCH($A2599,VarKey,0))&amp;INDEX(MemLab,MATCH($C2599&amp;"|"&amp;$B2599,MemKey,0))</f>
        <v/>
      </c>
      <c r="I2599" s="14">
        <f>INDEX(VarUnit,MATCH($A2599,VarKey,0))</f>
        <v/>
      </c>
      <c r="J2599" s="14">
        <f>INDEX(VarSrc,MATCH($A2599,VarKey,0))</f>
        <v/>
      </c>
      <c r="K2599" s="11">
        <f>CodePrefix&amp;$A2599&amp;IF($C2599="","","."&amp;$C2599&amp;"."&amp;$B2599)&amp;INDEX(VarEnd,MATCH($A2599,VarKey,0))&amp;K$5</f>
        <v/>
      </c>
      <c r="L2599" s="40">
        <f>$D2599*($E2599*(L$321-L$322)+$F2599*(L$324-L$325))</f>
        <v/>
      </c>
      <c r="M2599" s="35">
        <f>$D2599*($E2599*(M$321-M$322)+$F2599*(M$324-M$325))</f>
        <v/>
      </c>
      <c r="N2599" s="35">
        <f>$D2599*($E2599*(N$321-N$322)+$F2599*(N$324-N$325))</f>
        <v/>
      </c>
      <c r="O2599" s="35">
        <f>$D2599*($E2599*(O$321-O$322)+$F2599*(O$324-O$325))</f>
        <v/>
      </c>
      <c r="P2599" s="35">
        <f>$D2599*($E2599*(P$321-P$322)+$F2599*(P$324-P$325))</f>
        <v/>
      </c>
      <c r="Q2599" s="35">
        <f>$D2599*($E2599*(Q$321-Q$322)+$F2599*(Q$324-Q$325))</f>
        <v/>
      </c>
      <c r="R2599" s="35">
        <f>$D2599*($E2599*(R$321-R$322)+$F2599*(R$324-R$325))</f>
        <v/>
      </c>
      <c r="S2599" s="35">
        <f>$D2599*($E2599*(S$321-S$322)+$F2599*(S$324-S$325))</f>
        <v/>
      </c>
      <c r="T2599" s="35">
        <f>$D2599*($E2599*(T$321-T$322)+$F2599*(T$324-T$325))</f>
        <v/>
      </c>
      <c r="U2599" s="35">
        <f>$D2599*($E2599*(U$321-U$322)+$F2599*(U$324-U$325))</f>
        <v/>
      </c>
      <c r="V2599" s="35">
        <f>$D2599*($E2599*(V$321-V$322)+$F2599*(V$324-V$325))</f>
        <v/>
      </c>
      <c r="W2599" s="35">
        <f>$D2599*($E2599*(W$321-W$322)+$F2599*(W$324-W$325))</f>
        <v/>
      </c>
      <c r="X2599" s="35">
        <f>$D2599*($E2599*(X$321-X$322)+$F2599*(X$324-X$325))</f>
        <v/>
      </c>
      <c r="Y2599" s="35">
        <f>$D2599*($E2599*(Y$321-Y$322)+$F2599*(Y$324-Y$325))</f>
        <v/>
      </c>
      <c r="Z2599" s="35">
        <f>$D2599*($E2599*(Z$321-Z$322)+$F2599*(Z$324-Z$325))</f>
        <v/>
      </c>
      <c r="AA2599" s="35">
        <f>$D2599*($E2599*(AA$321-AA$322)+$F2599*(AA$324-AA$325))</f>
        <v/>
      </c>
      <c r="AB2599" s="35">
        <f>$D2599*($E2599*(AB$321-AB$322)+$F2599*(AB$324-AB$325))</f>
        <v/>
      </c>
      <c r="AC2599" s="35">
        <f>$D2599*($E2599*(AC$321-AC$322)+$F2599*(AC$324-AC$325))</f>
        <v/>
      </c>
      <c r="AD2599" s="35">
        <f>$D2599*($E2599*(AD$321-AD$322)+$F2599*(AD$324-AD$325))</f>
        <v/>
      </c>
      <c r="AE2599" s="42">
        <f>XCARBON($D2599,$E2599,(AE$321-AE$322),$F2599,(AE$324-AE$325))</f>
        <v/>
      </c>
      <c r="AG2599" s="11">
        <f>CodePrefix&amp;$A2599&amp;IF($C2599="","","."&amp;$C2599&amp;"."&amp;$B2599)&amp;INDEX(VarEnd,MATCH($A2599,VarKey,0))&amp;AG$5</f>
        <v/>
      </c>
      <c r="AH2599" s="40">
        <f>$D2599*($E2599*(AH$321-AH$322)+$F2599*(AH$324-AH$325))</f>
        <v/>
      </c>
      <c r="AI2599" s="35">
        <f>$D2599*($E2599*(AI$321-AI$322)+$F2599*(AI$324-AI$325))</f>
        <v/>
      </c>
      <c r="AJ2599" s="35">
        <f>$D2599*($E2599*(AJ$321-AJ$322)+$F2599*(AJ$324-AJ$325))</f>
        <v/>
      </c>
      <c r="AK2599" s="35">
        <f>$D2599*($E2599*(AK$321-AK$322)+$F2599*(AK$324-AK$325))</f>
        <v/>
      </c>
      <c r="AL2599" s="35">
        <f>$D2599*($E2599*(AL$321-AL$322)+$F2599*(AL$324-AL$325))</f>
        <v/>
      </c>
      <c r="AM2599" s="35">
        <f>$D2599*($E2599*(AM$321-AM$322)+$F2599*(AM$324-AM$325))</f>
        <v/>
      </c>
      <c r="AN2599" s="35">
        <f>$D2599*($E2599*(AN$321-AN$322)+$F2599*(AN$324-AN$325))</f>
        <v/>
      </c>
      <c r="AO2599" s="35">
        <f>$D2599*($E2599*(AO$321-AO$322)+$F2599*(AO$324-AO$325))</f>
        <v/>
      </c>
      <c r="AP2599" s="35">
        <f>$D2599*($E2599*(AP$321-AP$322)+$F2599*(AP$324-AP$325))</f>
        <v/>
      </c>
      <c r="AQ2599" s="35">
        <f>$D2599*($E2599*(AQ$321-AQ$322)+$F2599*(AQ$324-AQ$325))</f>
        <v/>
      </c>
      <c r="AR2599" s="35">
        <f>$D2599*($E2599*(AR$321-AR$322)+$F2599*(AR$324-AR$325))</f>
        <v/>
      </c>
      <c r="AS2599" s="35">
        <f>$D2599*($E2599*(AS$321-AS$322)+$F2599*(AS$324-AS$325))</f>
        <v/>
      </c>
      <c r="AT2599" s="35">
        <f>$D2599*($E2599*(AT$321-AT$322)+$F2599*(AT$324-AT$325))</f>
        <v/>
      </c>
      <c r="AU2599" s="35">
        <f>$D2599*($E2599*(AU$321-AU$322)+$F2599*(AU$324-AU$325))</f>
        <v/>
      </c>
      <c r="AV2599" s="35">
        <f>$D2599*($E2599*(AV$321-AV$322)+$F2599*(AV$324-AV$325))</f>
        <v/>
      </c>
      <c r="AW2599" s="35">
        <f>$D2599*($E2599*(AW$321-AW$322)+$F2599*(AW$324-AW$325))</f>
        <v/>
      </c>
      <c r="AX2599" s="35">
        <f>$D2599*($E2599*(AX$321-AX$322)+$F2599*(AX$324-AX$325))</f>
        <v/>
      </c>
      <c r="AY2599" s="35">
        <f>$D2599*($E2599*(AY$321-AY$322)+$F2599*(AY$324-AY$325))</f>
        <v/>
      </c>
      <c r="AZ2599" s="35">
        <f>$D2599*($E2599*(AZ$321-AZ$322)+$F2599*(AZ$324-AZ$325))</f>
        <v/>
      </c>
      <c r="BA2599" s="42">
        <f>XCARBON($D2599,$E2599,(BA$321-BA$322),$F2599,(BA$324-BA$325))</f>
        <v/>
      </c>
    </row>
    <row r="2600" hidden="1" outlineLevel="2">
      <c r="A2600" s="14" t="inlineStr">
        <is>
          <t>xcpd</t>
        </is>
      </c>
      <c r="B2600" s="14" t="inlineStr">
        <is>
          <t>oop</t>
        </is>
      </c>
      <c r="C2600" s="14" t="inlineStr">
        <is>
          <t>omn</t>
        </is>
      </c>
      <c r="D2600" s="35">
        <f>INDEX(Inputs!$W$5:$W$132,MATCH($B2600&amp;"|"&amp;$C2600,Inputs!$A$5:$A$132,0))</f>
        <v/>
      </c>
      <c r="E2600" s="35">
        <f>INDEX(Inputs!$Z$5:$Z$132,MATCH($B2600&amp;"|"&amp;$C2600,Inputs!$A$5:$A$132,0))</f>
        <v/>
      </c>
      <c r="F2600" s="35">
        <f>INDEX(Inputs!$AA$5:$AA$132,MATCH($B2600&amp;"|"&amp;$C2600,Inputs!$A$5:$A$132,0))</f>
        <v/>
      </c>
      <c r="G2600" s="39" t="n"/>
      <c r="H2600" s="14">
        <f>INDEX(VarLab,MATCH($A2600,VarKey,0))&amp;INDEX(MemLab,MATCH($C2600&amp;"|"&amp;$B2600,MemKey,0))</f>
        <v/>
      </c>
      <c r="I2600" s="14">
        <f>INDEX(VarUnit,MATCH($A2600,VarKey,0))</f>
        <v/>
      </c>
      <c r="J2600" s="14">
        <f>INDEX(VarSrc,MATCH($A2600,VarKey,0))</f>
        <v/>
      </c>
      <c r="K2600" s="11">
        <f>CodePrefix&amp;$A2600&amp;IF($C2600="","","."&amp;$C2600&amp;"."&amp;$B2600)&amp;INDEX(VarEnd,MATCH($A2600,VarKey,0))&amp;K$5</f>
        <v/>
      </c>
      <c r="L2600" s="40">
        <f>$D2600*($E2600*(L$321-L$322)+$F2600*(L$324-L$325))</f>
        <v/>
      </c>
      <c r="M2600" s="35">
        <f>$D2600*($E2600*(M$321-M$322)+$F2600*(M$324-M$325))</f>
        <v/>
      </c>
      <c r="N2600" s="35">
        <f>$D2600*($E2600*(N$321-N$322)+$F2600*(N$324-N$325))</f>
        <v/>
      </c>
      <c r="O2600" s="35">
        <f>$D2600*($E2600*(O$321-O$322)+$F2600*(O$324-O$325))</f>
        <v/>
      </c>
      <c r="P2600" s="35">
        <f>$D2600*($E2600*(P$321-P$322)+$F2600*(P$324-P$325))</f>
        <v/>
      </c>
      <c r="Q2600" s="35">
        <f>$D2600*($E2600*(Q$321-Q$322)+$F2600*(Q$324-Q$325))</f>
        <v/>
      </c>
      <c r="R2600" s="35">
        <f>$D2600*($E2600*(R$321-R$322)+$F2600*(R$324-R$325))</f>
        <v/>
      </c>
      <c r="S2600" s="35">
        <f>$D2600*($E2600*(S$321-S$322)+$F2600*(S$324-S$325))</f>
        <v/>
      </c>
      <c r="T2600" s="35">
        <f>$D2600*($E2600*(T$321-T$322)+$F2600*(T$324-T$325))</f>
        <v/>
      </c>
      <c r="U2600" s="35">
        <f>$D2600*($E2600*(U$321-U$322)+$F2600*(U$324-U$325))</f>
        <v/>
      </c>
      <c r="V2600" s="35">
        <f>$D2600*($E2600*(V$321-V$322)+$F2600*(V$324-V$325))</f>
        <v/>
      </c>
      <c r="W2600" s="35">
        <f>$D2600*($E2600*(W$321-W$322)+$F2600*(W$324-W$325))</f>
        <v/>
      </c>
      <c r="X2600" s="35">
        <f>$D2600*($E2600*(X$321-X$322)+$F2600*(X$324-X$325))</f>
        <v/>
      </c>
      <c r="Y2600" s="35">
        <f>$D2600*($E2600*(Y$321-Y$322)+$F2600*(Y$324-Y$325))</f>
        <v/>
      </c>
      <c r="Z2600" s="35">
        <f>$D2600*($E2600*(Z$321-Z$322)+$F2600*(Z$324-Z$325))</f>
        <v/>
      </c>
      <c r="AA2600" s="35">
        <f>$D2600*($E2600*(AA$321-AA$322)+$F2600*(AA$324-AA$325))</f>
        <v/>
      </c>
      <c r="AB2600" s="35">
        <f>$D2600*($E2600*(AB$321-AB$322)+$F2600*(AB$324-AB$325))</f>
        <v/>
      </c>
      <c r="AC2600" s="35">
        <f>$D2600*($E2600*(AC$321-AC$322)+$F2600*(AC$324-AC$325))</f>
        <v/>
      </c>
      <c r="AD2600" s="35">
        <f>$D2600*($E2600*(AD$321-AD$322)+$F2600*(AD$324-AD$325))</f>
        <v/>
      </c>
      <c r="AE2600" s="42">
        <f>XCARBON($D2600,$E2600,(AE$321-AE$322),$F2600,(AE$324-AE$325))</f>
        <v/>
      </c>
      <c r="AG2600" s="11">
        <f>CodePrefix&amp;$A2600&amp;IF($C2600="","","."&amp;$C2600&amp;"."&amp;$B2600)&amp;INDEX(VarEnd,MATCH($A2600,VarKey,0))&amp;AG$5</f>
        <v/>
      </c>
      <c r="AH2600" s="40">
        <f>$D2600*($E2600*(AH$321-AH$322)+$F2600*(AH$324-AH$325))</f>
        <v/>
      </c>
      <c r="AI2600" s="35">
        <f>$D2600*($E2600*(AI$321-AI$322)+$F2600*(AI$324-AI$325))</f>
        <v/>
      </c>
      <c r="AJ2600" s="35">
        <f>$D2600*($E2600*(AJ$321-AJ$322)+$F2600*(AJ$324-AJ$325))</f>
        <v/>
      </c>
      <c r="AK2600" s="35">
        <f>$D2600*($E2600*(AK$321-AK$322)+$F2600*(AK$324-AK$325))</f>
        <v/>
      </c>
      <c r="AL2600" s="35">
        <f>$D2600*($E2600*(AL$321-AL$322)+$F2600*(AL$324-AL$325))</f>
        <v/>
      </c>
      <c r="AM2600" s="35">
        <f>$D2600*($E2600*(AM$321-AM$322)+$F2600*(AM$324-AM$325))</f>
        <v/>
      </c>
      <c r="AN2600" s="35">
        <f>$D2600*($E2600*(AN$321-AN$322)+$F2600*(AN$324-AN$325))</f>
        <v/>
      </c>
      <c r="AO2600" s="35">
        <f>$D2600*($E2600*(AO$321-AO$322)+$F2600*(AO$324-AO$325))</f>
        <v/>
      </c>
      <c r="AP2600" s="35">
        <f>$D2600*($E2600*(AP$321-AP$322)+$F2600*(AP$324-AP$325))</f>
        <v/>
      </c>
      <c r="AQ2600" s="35">
        <f>$D2600*($E2600*(AQ$321-AQ$322)+$F2600*(AQ$324-AQ$325))</f>
        <v/>
      </c>
      <c r="AR2600" s="35">
        <f>$D2600*($E2600*(AR$321-AR$322)+$F2600*(AR$324-AR$325))</f>
        <v/>
      </c>
      <c r="AS2600" s="35">
        <f>$D2600*($E2600*(AS$321-AS$322)+$F2600*(AS$324-AS$325))</f>
        <v/>
      </c>
      <c r="AT2600" s="35">
        <f>$D2600*($E2600*(AT$321-AT$322)+$F2600*(AT$324-AT$325))</f>
        <v/>
      </c>
      <c r="AU2600" s="35">
        <f>$D2600*($E2600*(AU$321-AU$322)+$F2600*(AU$324-AU$325))</f>
        <v/>
      </c>
      <c r="AV2600" s="35">
        <f>$D2600*($E2600*(AV$321-AV$322)+$F2600*(AV$324-AV$325))</f>
        <v/>
      </c>
      <c r="AW2600" s="35">
        <f>$D2600*($E2600*(AW$321-AW$322)+$F2600*(AW$324-AW$325))</f>
        <v/>
      </c>
      <c r="AX2600" s="35">
        <f>$D2600*($E2600*(AX$321-AX$322)+$F2600*(AX$324-AX$325))</f>
        <v/>
      </c>
      <c r="AY2600" s="35">
        <f>$D2600*($E2600*(AY$321-AY$322)+$F2600*(AY$324-AY$325))</f>
        <v/>
      </c>
      <c r="AZ2600" s="35">
        <f>$D2600*($E2600*(AZ$321-AZ$322)+$F2600*(AZ$324-AZ$325))</f>
        <v/>
      </c>
      <c r="BA2600" s="42">
        <f>XCARBON($D2600,$E2600,(BA$321-BA$322),$F2600,(BA$324-BA$325))</f>
        <v/>
      </c>
    </row>
    <row r="2601" hidden="1" outlineLevel="2">
      <c r="A2601" s="14" t="inlineStr">
        <is>
          <t>xcpd</t>
        </is>
      </c>
      <c r="B2601" s="14" t="inlineStr">
        <is>
          <t>bio</t>
        </is>
      </c>
      <c r="C2601" s="14" t="inlineStr">
        <is>
          <t>omn</t>
        </is>
      </c>
      <c r="D2601" s="35">
        <f>INDEX(Inputs!$W$5:$W$132,MATCH($B2601&amp;"|"&amp;$C2601,Inputs!$A$5:$A$132,0))</f>
        <v/>
      </c>
      <c r="E2601" s="35">
        <f>INDEX(Inputs!$Z$5:$Z$132,MATCH($B2601&amp;"|"&amp;$C2601,Inputs!$A$5:$A$132,0))</f>
        <v/>
      </c>
      <c r="F2601" s="35">
        <f>INDEX(Inputs!$AA$5:$AA$132,MATCH($B2601&amp;"|"&amp;$C2601,Inputs!$A$5:$A$132,0))</f>
        <v/>
      </c>
      <c r="G2601" s="39" t="n"/>
      <c r="H2601" s="14">
        <f>INDEX(VarLab,MATCH($A2601,VarKey,0))&amp;INDEX(MemLab,MATCH($C2601&amp;"|"&amp;$B2601,MemKey,0))</f>
        <v/>
      </c>
      <c r="I2601" s="14">
        <f>INDEX(VarUnit,MATCH($A2601,VarKey,0))</f>
        <v/>
      </c>
      <c r="J2601" s="14">
        <f>INDEX(VarSrc,MATCH($A2601,VarKey,0))</f>
        <v/>
      </c>
      <c r="K2601" s="11">
        <f>CodePrefix&amp;$A2601&amp;IF($C2601="","","."&amp;$C2601&amp;"."&amp;$B2601)&amp;INDEX(VarEnd,MATCH($A2601,VarKey,0))&amp;K$5</f>
        <v/>
      </c>
      <c r="L2601" s="40">
        <f>$D2601*($E2601*(L$321-L$322)+$F2601*(L$324-L$325))</f>
        <v/>
      </c>
      <c r="M2601" s="35">
        <f>$D2601*($E2601*(M$321-M$322)+$F2601*(M$324-M$325))</f>
        <v/>
      </c>
      <c r="N2601" s="35">
        <f>$D2601*($E2601*(N$321-N$322)+$F2601*(N$324-N$325))</f>
        <v/>
      </c>
      <c r="O2601" s="35">
        <f>$D2601*($E2601*(O$321-O$322)+$F2601*(O$324-O$325))</f>
        <v/>
      </c>
      <c r="P2601" s="35">
        <f>$D2601*($E2601*(P$321-P$322)+$F2601*(P$324-P$325))</f>
        <v/>
      </c>
      <c r="Q2601" s="35">
        <f>$D2601*($E2601*(Q$321-Q$322)+$F2601*(Q$324-Q$325))</f>
        <v/>
      </c>
      <c r="R2601" s="35">
        <f>$D2601*($E2601*(R$321-R$322)+$F2601*(R$324-R$325))</f>
        <v/>
      </c>
      <c r="S2601" s="35">
        <f>$D2601*($E2601*(S$321-S$322)+$F2601*(S$324-S$325))</f>
        <v/>
      </c>
      <c r="T2601" s="35">
        <f>$D2601*($E2601*(T$321-T$322)+$F2601*(T$324-T$325))</f>
        <v/>
      </c>
      <c r="U2601" s="35">
        <f>$D2601*($E2601*(U$321-U$322)+$F2601*(U$324-U$325))</f>
        <v/>
      </c>
      <c r="V2601" s="35">
        <f>$D2601*($E2601*(V$321-V$322)+$F2601*(V$324-V$325))</f>
        <v/>
      </c>
      <c r="W2601" s="35">
        <f>$D2601*($E2601*(W$321-W$322)+$F2601*(W$324-W$325))</f>
        <v/>
      </c>
      <c r="X2601" s="35">
        <f>$D2601*($E2601*(X$321-X$322)+$F2601*(X$324-X$325))</f>
        <v/>
      </c>
      <c r="Y2601" s="35">
        <f>$D2601*($E2601*(Y$321-Y$322)+$F2601*(Y$324-Y$325))</f>
        <v/>
      </c>
      <c r="Z2601" s="35">
        <f>$D2601*($E2601*(Z$321-Z$322)+$F2601*(Z$324-Z$325))</f>
        <v/>
      </c>
      <c r="AA2601" s="35">
        <f>$D2601*($E2601*(AA$321-AA$322)+$F2601*(AA$324-AA$325))</f>
        <v/>
      </c>
      <c r="AB2601" s="35">
        <f>$D2601*($E2601*(AB$321-AB$322)+$F2601*(AB$324-AB$325))</f>
        <v/>
      </c>
      <c r="AC2601" s="35">
        <f>$D2601*($E2601*(AC$321-AC$322)+$F2601*(AC$324-AC$325))</f>
        <v/>
      </c>
      <c r="AD2601" s="35">
        <f>$D2601*($E2601*(AD$321-AD$322)+$F2601*(AD$324-AD$325))</f>
        <v/>
      </c>
      <c r="AE2601" s="42">
        <f>XCARBON($D2601,$E2601,(AE$321-AE$322),$F2601,(AE$324-AE$325))</f>
        <v/>
      </c>
      <c r="AG2601" s="11">
        <f>CodePrefix&amp;$A2601&amp;IF($C2601="","","."&amp;$C2601&amp;"."&amp;$B2601)&amp;INDEX(VarEnd,MATCH($A2601,VarKey,0))&amp;AG$5</f>
        <v/>
      </c>
      <c r="AH2601" s="40">
        <f>$D2601*($E2601*(AH$321-AH$322)+$F2601*(AH$324-AH$325))</f>
        <v/>
      </c>
      <c r="AI2601" s="35">
        <f>$D2601*($E2601*(AI$321-AI$322)+$F2601*(AI$324-AI$325))</f>
        <v/>
      </c>
      <c r="AJ2601" s="35">
        <f>$D2601*($E2601*(AJ$321-AJ$322)+$F2601*(AJ$324-AJ$325))</f>
        <v/>
      </c>
      <c r="AK2601" s="35">
        <f>$D2601*($E2601*(AK$321-AK$322)+$F2601*(AK$324-AK$325))</f>
        <v/>
      </c>
      <c r="AL2601" s="35">
        <f>$D2601*($E2601*(AL$321-AL$322)+$F2601*(AL$324-AL$325))</f>
        <v/>
      </c>
      <c r="AM2601" s="35">
        <f>$D2601*($E2601*(AM$321-AM$322)+$F2601*(AM$324-AM$325))</f>
        <v/>
      </c>
      <c r="AN2601" s="35">
        <f>$D2601*($E2601*(AN$321-AN$322)+$F2601*(AN$324-AN$325))</f>
        <v/>
      </c>
      <c r="AO2601" s="35">
        <f>$D2601*($E2601*(AO$321-AO$322)+$F2601*(AO$324-AO$325))</f>
        <v/>
      </c>
      <c r="AP2601" s="35">
        <f>$D2601*($E2601*(AP$321-AP$322)+$F2601*(AP$324-AP$325))</f>
        <v/>
      </c>
      <c r="AQ2601" s="35">
        <f>$D2601*($E2601*(AQ$321-AQ$322)+$F2601*(AQ$324-AQ$325))</f>
        <v/>
      </c>
      <c r="AR2601" s="35">
        <f>$D2601*($E2601*(AR$321-AR$322)+$F2601*(AR$324-AR$325))</f>
        <v/>
      </c>
      <c r="AS2601" s="35">
        <f>$D2601*($E2601*(AS$321-AS$322)+$F2601*(AS$324-AS$325))</f>
        <v/>
      </c>
      <c r="AT2601" s="35">
        <f>$D2601*($E2601*(AT$321-AT$322)+$F2601*(AT$324-AT$325))</f>
        <v/>
      </c>
      <c r="AU2601" s="35">
        <f>$D2601*($E2601*(AU$321-AU$322)+$F2601*(AU$324-AU$325))</f>
        <v/>
      </c>
      <c r="AV2601" s="35">
        <f>$D2601*($E2601*(AV$321-AV$322)+$F2601*(AV$324-AV$325))</f>
        <v/>
      </c>
      <c r="AW2601" s="35">
        <f>$D2601*($E2601*(AW$321-AW$322)+$F2601*(AW$324-AW$325))</f>
        <v/>
      </c>
      <c r="AX2601" s="35">
        <f>$D2601*($E2601*(AX$321-AX$322)+$F2601*(AX$324-AX$325))</f>
        <v/>
      </c>
      <c r="AY2601" s="35">
        <f>$D2601*($E2601*(AY$321-AY$322)+$F2601*(AY$324-AY$325))</f>
        <v/>
      </c>
      <c r="AZ2601" s="35">
        <f>$D2601*($E2601*(AZ$321-AZ$322)+$F2601*(AZ$324-AZ$325))</f>
        <v/>
      </c>
      <c r="BA2601" s="42">
        <f>XCARBON($D2601,$E2601,(BA$321-BA$322),$F2601,(BA$324-BA$325))</f>
        <v/>
      </c>
    </row>
    <row r="2602" hidden="1" outlineLevel="2"/>
    <row r="2603" hidden="1" outlineLevel="2">
      <c r="A2603" s="14" t="inlineStr">
        <is>
          <t>atp</t>
        </is>
      </c>
      <c r="B2603" s="14" t="inlineStr">
        <is>
          <t>coa</t>
        </is>
      </c>
      <c r="C2603" s="14" t="inlineStr">
        <is>
          <t>omn</t>
        </is>
      </c>
      <c r="D2603" s="35">
        <f>INDEX(Inputs!$U$5:$U$132,MATCH($B2603&amp;"|"&amp;$C2603,Inputs!$A$5:$A$132,0))</f>
        <v/>
      </c>
      <c r="E2603" s="35">
        <f>INDEX(Inputs!$V$5:$V$132,MATCH($B2603&amp;"|"&amp;$C2603,Inputs!$A$5:$A$132,0))</f>
        <v/>
      </c>
      <c r="F2603" s="39" t="n"/>
      <c r="G2603" s="39" t="n"/>
      <c r="H2603" s="14">
        <f>INDEX(VarLab,MATCH($A2603,VarKey,0))&amp;INDEX(MemLab,MATCH($C2603&amp;"|"&amp;$B2603,MemKey,0))</f>
        <v/>
      </c>
      <c r="I2603" s="14">
        <f>INDEX(VarUnit,MATCH($A2603,VarKey,0))</f>
        <v/>
      </c>
      <c r="J2603" s="14">
        <f>INDEX(VarSrc,MATCH($A2603,VarKey,0))</f>
        <v/>
      </c>
      <c r="K2603" s="11">
        <f>CodePrefix&amp;$A2603&amp;IF($C2603="","","."&amp;$C2603&amp;"."&amp;$B2603)&amp;INDEX(VarEnd,MATCH($A2603,VarKey,0))&amp;K$5</f>
        <v/>
      </c>
      <c r="L2603" s="40">
        <f>MAX(INDEX(L$381:L$392,$D2603)+(L2576+L2594)*(1+$E2603),0.01)</f>
        <v/>
      </c>
      <c r="M2603" s="35">
        <f>MAX(INDEX(M$381:M$392,$D2603)+(M2576+M2594)*(1+$E2603),0.01)</f>
        <v/>
      </c>
      <c r="N2603" s="35">
        <f>MAX(INDEX(N$381:N$392,$D2603)+(N2576+N2594)*(1+$E2603),0.01)</f>
        <v/>
      </c>
      <c r="O2603" s="35">
        <f>MAX(INDEX(O$381:O$392,$D2603)+(O2576+O2594)*(1+$E2603),0.01)</f>
        <v/>
      </c>
      <c r="P2603" s="35">
        <f>MAX(INDEX(P$381:P$392,$D2603)+(P2576+P2594)*(1+$E2603),0.01)</f>
        <v/>
      </c>
      <c r="Q2603" s="35">
        <f>MAX(INDEX(Q$381:Q$392,$D2603)+(Q2576+Q2594)*(1+$E2603),0.01)</f>
        <v/>
      </c>
      <c r="R2603" s="35">
        <f>MAX(INDEX(R$381:R$392,$D2603)+(R2576+R2594)*(1+$E2603),0.01)</f>
        <v/>
      </c>
      <c r="S2603" s="35">
        <f>MAX(INDEX(S$381:S$392,$D2603)+(S2576+S2594)*(1+$E2603),0.01)</f>
        <v/>
      </c>
      <c r="T2603" s="35">
        <f>MAX(INDEX(T$381:T$392,$D2603)+(T2576+T2594)*(1+$E2603),0.01)</f>
        <v/>
      </c>
      <c r="U2603" s="35">
        <f>MAX(INDEX(U$381:U$392,$D2603)+(U2576+U2594)*(1+$E2603),0.01)</f>
        <v/>
      </c>
      <c r="V2603" s="35">
        <f>MAX(INDEX(V$381:V$392,$D2603)+(V2576+V2594)*(1+$E2603),0.01)</f>
        <v/>
      </c>
      <c r="W2603" s="35">
        <f>MAX(INDEX(W$381:W$392,$D2603)+(W2576+W2594)*(1+$E2603),0.01)</f>
        <v/>
      </c>
      <c r="X2603" s="35">
        <f>MAX(INDEX(X$381:X$392,$D2603)+(X2576+X2594)*(1+$E2603),0.01)</f>
        <v/>
      </c>
      <c r="Y2603" s="35">
        <f>MAX(INDEX(Y$381:Y$392,$D2603)+(Y2576+Y2594)*(1+$E2603),0.01)</f>
        <v/>
      </c>
      <c r="Z2603" s="35">
        <f>MAX(INDEX(Z$381:Z$392,$D2603)+(Z2576+Z2594)*(1+$E2603),0.01)</f>
        <v/>
      </c>
      <c r="AA2603" s="35">
        <f>MAX(INDEX(AA$381:AA$392,$D2603)+(AA2576+AA2594)*(1+$E2603),0.01)</f>
        <v/>
      </c>
      <c r="AB2603" s="35">
        <f>MAX(INDEX(AB$381:AB$392,$D2603)+(AB2576+AB2594)*(1+$E2603),0.01)</f>
        <v/>
      </c>
      <c r="AC2603" s="35">
        <f>MAX(INDEX(AC$381:AC$392,$D2603)+(AC2576+AC2594)*(1+$E2603),0.01)</f>
        <v/>
      </c>
      <c r="AD2603" s="35">
        <f>MAX(INDEX(AD$381:AD$392,$D2603)+(AD2576+AD2594)*(1+$E2603),0.01)</f>
        <v/>
      </c>
      <c r="AE2603" s="42">
        <f>POSTTAX(INDEX(AE$381:AE$392,$D2603),AE2576+AE2594,$E2603)</f>
        <v/>
      </c>
      <c r="AG2603" s="11">
        <f>CodePrefix&amp;$A2603&amp;IF($C2603="","","."&amp;$C2603&amp;"."&amp;$B2603)&amp;INDEX(VarEnd,MATCH($A2603,VarKey,0))&amp;AG$5</f>
        <v/>
      </c>
      <c r="AH2603" s="40">
        <f>MAX(INDEX(AH$381:AH$392,$D2603)+(AH2576+AH2594)*(1+$E2603),0.01)</f>
        <v/>
      </c>
      <c r="AI2603" s="35">
        <f>MAX(INDEX(AI$381:AI$392,$D2603)+(AI2576+AI2594)*(1+$E2603),0.01)</f>
        <v/>
      </c>
      <c r="AJ2603" s="35">
        <f>MAX(INDEX(AJ$381:AJ$392,$D2603)+(AJ2576+AJ2594)*(1+$E2603),0.01)</f>
        <v/>
      </c>
      <c r="AK2603" s="35">
        <f>MAX(INDEX(AK$381:AK$392,$D2603)+(AK2576+AK2594)*(1+$E2603),0.01)</f>
        <v/>
      </c>
      <c r="AL2603" s="35">
        <f>MAX(INDEX(AL$381:AL$392,$D2603)+(AL2576+AL2594)*(1+$E2603),0.01)</f>
        <v/>
      </c>
      <c r="AM2603" s="35">
        <f>MAX(INDEX(AM$381:AM$392,$D2603)+(AM2576+AM2594)*(1+$E2603),0.01)</f>
        <v/>
      </c>
      <c r="AN2603" s="35">
        <f>MAX(INDEX(AN$381:AN$392,$D2603)+(AN2576+AN2594)*(1+$E2603),0.01)</f>
        <v/>
      </c>
      <c r="AO2603" s="35">
        <f>MAX(INDEX(AO$381:AO$392,$D2603)+(AO2576+AO2594)*(1+$E2603),0.01)</f>
        <v/>
      </c>
      <c r="AP2603" s="35">
        <f>MAX(INDEX(AP$381:AP$392,$D2603)+(AP2576+AP2594)*(1+$E2603),0.01)</f>
        <v/>
      </c>
      <c r="AQ2603" s="35">
        <f>MAX(INDEX(AQ$381:AQ$392,$D2603)+(AQ2576+AQ2594)*(1+$E2603),0.01)</f>
        <v/>
      </c>
      <c r="AR2603" s="35">
        <f>MAX(INDEX(AR$381:AR$392,$D2603)+(AR2576+AR2594)*(1+$E2603),0.01)</f>
        <v/>
      </c>
      <c r="AS2603" s="35">
        <f>MAX(INDEX(AS$381:AS$392,$D2603)+(AS2576+AS2594)*(1+$E2603),0.01)</f>
        <v/>
      </c>
      <c r="AT2603" s="35">
        <f>MAX(INDEX(AT$381:AT$392,$D2603)+(AT2576+AT2594)*(1+$E2603),0.01)</f>
        <v/>
      </c>
      <c r="AU2603" s="35">
        <f>MAX(INDEX(AU$381:AU$392,$D2603)+(AU2576+AU2594)*(1+$E2603),0.01)</f>
        <v/>
      </c>
      <c r="AV2603" s="35">
        <f>MAX(INDEX(AV$381:AV$392,$D2603)+(AV2576+AV2594)*(1+$E2603),0.01)</f>
        <v/>
      </c>
      <c r="AW2603" s="35">
        <f>MAX(INDEX(AW$381:AW$392,$D2603)+(AW2576+AW2594)*(1+$E2603),0.01)</f>
        <v/>
      </c>
      <c r="AX2603" s="35">
        <f>MAX(INDEX(AX$381:AX$392,$D2603)+(AX2576+AX2594)*(1+$E2603),0.01)</f>
        <v/>
      </c>
      <c r="AY2603" s="35">
        <f>MAX(INDEX(AY$381:AY$392,$D2603)+(AY2576+AY2594)*(1+$E2603),0.01)</f>
        <v/>
      </c>
      <c r="AZ2603" s="35">
        <f>MAX(INDEX(AZ$381:AZ$392,$D2603)+(AZ2576+AZ2594)*(1+$E2603),0.01)</f>
        <v/>
      </c>
      <c r="BA2603" s="42">
        <f>POSTTAX(INDEX(BA$381:BA$392,$D2603),BA2576+BA2594,$E2603)</f>
        <v/>
      </c>
    </row>
    <row r="2604" hidden="1" outlineLevel="2">
      <c r="A2604" s="14" t="inlineStr">
        <is>
          <t>atp</t>
        </is>
      </c>
      <c r="B2604" s="14" t="inlineStr">
        <is>
          <t>nga</t>
        </is>
      </c>
      <c r="C2604" s="14" t="inlineStr">
        <is>
          <t>omn</t>
        </is>
      </c>
      <c r="D2604" s="35">
        <f>INDEX(Inputs!$U$5:$U$132,MATCH($B2604&amp;"|"&amp;$C2604,Inputs!$A$5:$A$132,0))</f>
        <v/>
      </c>
      <c r="E2604" s="35">
        <f>INDEX(Inputs!$V$5:$V$132,MATCH($B2604&amp;"|"&amp;$C2604,Inputs!$A$5:$A$132,0))</f>
        <v/>
      </c>
      <c r="F2604" s="39" t="n"/>
      <c r="G2604" s="39" t="n"/>
      <c r="H2604" s="14">
        <f>INDEX(VarLab,MATCH($A2604,VarKey,0))&amp;INDEX(MemLab,MATCH($C2604&amp;"|"&amp;$B2604,MemKey,0))</f>
        <v/>
      </c>
      <c r="I2604" s="14">
        <f>INDEX(VarUnit,MATCH($A2604,VarKey,0))</f>
        <v/>
      </c>
      <c r="J2604" s="14">
        <f>INDEX(VarSrc,MATCH($A2604,VarKey,0))</f>
        <v/>
      </c>
      <c r="K2604" s="11">
        <f>CodePrefix&amp;$A2604&amp;IF($C2604="","","."&amp;$C2604&amp;"."&amp;$B2604)&amp;INDEX(VarEnd,MATCH($A2604,VarKey,0))&amp;K$5</f>
        <v/>
      </c>
      <c r="L2604" s="40">
        <f>MAX(INDEX(L$381:L$392,$D2604)+(L2577+L2595)*(1+$E2604),0.01)</f>
        <v/>
      </c>
      <c r="M2604" s="35">
        <f>MAX(INDEX(M$381:M$392,$D2604)+(M2577+M2595)*(1+$E2604),0.01)</f>
        <v/>
      </c>
      <c r="N2604" s="35">
        <f>MAX(INDEX(N$381:N$392,$D2604)+(N2577+N2595)*(1+$E2604),0.01)</f>
        <v/>
      </c>
      <c r="O2604" s="35">
        <f>MAX(INDEX(O$381:O$392,$D2604)+(O2577+O2595)*(1+$E2604),0.01)</f>
        <v/>
      </c>
      <c r="P2604" s="35">
        <f>MAX(INDEX(P$381:P$392,$D2604)+(P2577+P2595)*(1+$E2604),0.01)</f>
        <v/>
      </c>
      <c r="Q2604" s="35">
        <f>MAX(INDEX(Q$381:Q$392,$D2604)+(Q2577+Q2595)*(1+$E2604),0.01)</f>
        <v/>
      </c>
      <c r="R2604" s="35">
        <f>MAX(INDEX(R$381:R$392,$D2604)+(R2577+R2595)*(1+$E2604),0.01)</f>
        <v/>
      </c>
      <c r="S2604" s="35">
        <f>MAX(INDEX(S$381:S$392,$D2604)+(S2577+S2595)*(1+$E2604),0.01)</f>
        <v/>
      </c>
      <c r="T2604" s="35">
        <f>MAX(INDEX(T$381:T$392,$D2604)+(T2577+T2595)*(1+$E2604),0.01)</f>
        <v/>
      </c>
      <c r="U2604" s="35">
        <f>MAX(INDEX(U$381:U$392,$D2604)+(U2577+U2595)*(1+$E2604),0.01)</f>
        <v/>
      </c>
      <c r="V2604" s="35">
        <f>MAX(INDEX(V$381:V$392,$D2604)+(V2577+V2595)*(1+$E2604),0.01)</f>
        <v/>
      </c>
      <c r="W2604" s="35">
        <f>MAX(INDEX(W$381:W$392,$D2604)+(W2577+W2595)*(1+$E2604),0.01)</f>
        <v/>
      </c>
      <c r="X2604" s="35">
        <f>MAX(INDEX(X$381:X$392,$D2604)+(X2577+X2595)*(1+$E2604),0.01)</f>
        <v/>
      </c>
      <c r="Y2604" s="35">
        <f>MAX(INDEX(Y$381:Y$392,$D2604)+(Y2577+Y2595)*(1+$E2604),0.01)</f>
        <v/>
      </c>
      <c r="Z2604" s="35">
        <f>MAX(INDEX(Z$381:Z$392,$D2604)+(Z2577+Z2595)*(1+$E2604),0.01)</f>
        <v/>
      </c>
      <c r="AA2604" s="35">
        <f>MAX(INDEX(AA$381:AA$392,$D2604)+(AA2577+AA2595)*(1+$E2604),0.01)</f>
        <v/>
      </c>
      <c r="AB2604" s="35">
        <f>MAX(INDEX(AB$381:AB$392,$D2604)+(AB2577+AB2595)*(1+$E2604),0.01)</f>
        <v/>
      </c>
      <c r="AC2604" s="35">
        <f>MAX(INDEX(AC$381:AC$392,$D2604)+(AC2577+AC2595)*(1+$E2604),0.01)</f>
        <v/>
      </c>
      <c r="AD2604" s="35">
        <f>MAX(INDEX(AD$381:AD$392,$D2604)+(AD2577+AD2595)*(1+$E2604),0.01)</f>
        <v/>
      </c>
      <c r="AE2604" s="42">
        <f>POSTTAX(INDEX(AE$381:AE$392,$D2604),AE2577+AE2595,$E2604)</f>
        <v/>
      </c>
      <c r="AG2604" s="11">
        <f>CodePrefix&amp;$A2604&amp;IF($C2604="","","."&amp;$C2604&amp;"."&amp;$B2604)&amp;INDEX(VarEnd,MATCH($A2604,VarKey,0))&amp;AG$5</f>
        <v/>
      </c>
      <c r="AH2604" s="40">
        <f>MAX(INDEX(AH$381:AH$392,$D2604)+(AH2577+AH2595)*(1+$E2604),0.01)</f>
        <v/>
      </c>
      <c r="AI2604" s="35">
        <f>MAX(INDEX(AI$381:AI$392,$D2604)+(AI2577+AI2595)*(1+$E2604),0.01)</f>
        <v/>
      </c>
      <c r="AJ2604" s="35">
        <f>MAX(INDEX(AJ$381:AJ$392,$D2604)+(AJ2577+AJ2595)*(1+$E2604),0.01)</f>
        <v/>
      </c>
      <c r="AK2604" s="35">
        <f>MAX(INDEX(AK$381:AK$392,$D2604)+(AK2577+AK2595)*(1+$E2604),0.01)</f>
        <v/>
      </c>
      <c r="AL2604" s="35">
        <f>MAX(INDEX(AL$381:AL$392,$D2604)+(AL2577+AL2595)*(1+$E2604),0.01)</f>
        <v/>
      </c>
      <c r="AM2604" s="35">
        <f>MAX(INDEX(AM$381:AM$392,$D2604)+(AM2577+AM2595)*(1+$E2604),0.01)</f>
        <v/>
      </c>
      <c r="AN2604" s="35">
        <f>MAX(INDEX(AN$381:AN$392,$D2604)+(AN2577+AN2595)*(1+$E2604),0.01)</f>
        <v/>
      </c>
      <c r="AO2604" s="35">
        <f>MAX(INDEX(AO$381:AO$392,$D2604)+(AO2577+AO2595)*(1+$E2604),0.01)</f>
        <v/>
      </c>
      <c r="AP2604" s="35">
        <f>MAX(INDEX(AP$381:AP$392,$D2604)+(AP2577+AP2595)*(1+$E2604),0.01)</f>
        <v/>
      </c>
      <c r="AQ2604" s="35">
        <f>MAX(INDEX(AQ$381:AQ$392,$D2604)+(AQ2577+AQ2595)*(1+$E2604),0.01)</f>
        <v/>
      </c>
      <c r="AR2604" s="35">
        <f>MAX(INDEX(AR$381:AR$392,$D2604)+(AR2577+AR2595)*(1+$E2604),0.01)</f>
        <v/>
      </c>
      <c r="AS2604" s="35">
        <f>MAX(INDEX(AS$381:AS$392,$D2604)+(AS2577+AS2595)*(1+$E2604),0.01)</f>
        <v/>
      </c>
      <c r="AT2604" s="35">
        <f>MAX(INDEX(AT$381:AT$392,$D2604)+(AT2577+AT2595)*(1+$E2604),0.01)</f>
        <v/>
      </c>
      <c r="AU2604" s="35">
        <f>MAX(INDEX(AU$381:AU$392,$D2604)+(AU2577+AU2595)*(1+$E2604),0.01)</f>
        <v/>
      </c>
      <c r="AV2604" s="35">
        <f>MAX(INDEX(AV$381:AV$392,$D2604)+(AV2577+AV2595)*(1+$E2604),0.01)</f>
        <v/>
      </c>
      <c r="AW2604" s="35">
        <f>MAX(INDEX(AW$381:AW$392,$D2604)+(AW2577+AW2595)*(1+$E2604),0.01)</f>
        <v/>
      </c>
      <c r="AX2604" s="35">
        <f>MAX(INDEX(AX$381:AX$392,$D2604)+(AX2577+AX2595)*(1+$E2604),0.01)</f>
        <v/>
      </c>
      <c r="AY2604" s="35">
        <f>MAX(INDEX(AY$381:AY$392,$D2604)+(AY2577+AY2595)*(1+$E2604),0.01)</f>
        <v/>
      </c>
      <c r="AZ2604" s="35">
        <f>MAX(INDEX(AZ$381:AZ$392,$D2604)+(AZ2577+AZ2595)*(1+$E2604),0.01)</f>
        <v/>
      </c>
      <c r="BA2604" s="42">
        <f>POSTTAX(INDEX(BA$381:BA$392,$D2604),BA2577+BA2595,$E2604)</f>
        <v/>
      </c>
    </row>
    <row r="2605" hidden="1" outlineLevel="2">
      <c r="A2605" s="14" t="inlineStr">
        <is>
          <t>atp</t>
        </is>
      </c>
      <c r="B2605" s="14" t="inlineStr">
        <is>
          <t>gso</t>
        </is>
      </c>
      <c r="C2605" s="14" t="inlineStr">
        <is>
          <t>omn</t>
        </is>
      </c>
      <c r="D2605" s="35">
        <f>INDEX(Inputs!$U$5:$U$132,MATCH($B2605&amp;"|"&amp;$C2605,Inputs!$A$5:$A$132,0))</f>
        <v/>
      </c>
      <c r="E2605" s="35">
        <f>INDEX(Inputs!$V$5:$V$132,MATCH($B2605&amp;"|"&amp;$C2605,Inputs!$A$5:$A$132,0))</f>
        <v/>
      </c>
      <c r="F2605" s="39" t="n"/>
      <c r="G2605" s="39" t="n"/>
      <c r="H2605" s="14">
        <f>INDEX(VarLab,MATCH($A2605,VarKey,0))&amp;INDEX(MemLab,MATCH($C2605&amp;"|"&amp;$B2605,MemKey,0))</f>
        <v/>
      </c>
      <c r="I2605" s="14">
        <f>INDEX(VarUnit,MATCH($A2605,VarKey,0))</f>
        <v/>
      </c>
      <c r="J2605" s="14">
        <f>INDEX(VarSrc,MATCH($A2605,VarKey,0))</f>
        <v/>
      </c>
      <c r="K2605" s="11">
        <f>CodePrefix&amp;$A2605&amp;IF($C2605="","","."&amp;$C2605&amp;"."&amp;$B2605)&amp;INDEX(VarEnd,MATCH($A2605,VarKey,0))&amp;K$5</f>
        <v/>
      </c>
      <c r="L2605" s="40">
        <f>MAX(INDEX(L$381:L$392,$D2605)+(L2578+L2596)*(1+$E2605),0.01)</f>
        <v/>
      </c>
      <c r="M2605" s="35">
        <f>MAX(INDEX(M$381:M$392,$D2605)+(M2578+M2596)*(1+$E2605),0.01)</f>
        <v/>
      </c>
      <c r="N2605" s="35">
        <f>MAX(INDEX(N$381:N$392,$D2605)+(N2578+N2596)*(1+$E2605),0.01)</f>
        <v/>
      </c>
      <c r="O2605" s="35">
        <f>MAX(INDEX(O$381:O$392,$D2605)+(O2578+O2596)*(1+$E2605),0.01)</f>
        <v/>
      </c>
      <c r="P2605" s="35">
        <f>MAX(INDEX(P$381:P$392,$D2605)+(P2578+P2596)*(1+$E2605),0.01)</f>
        <v/>
      </c>
      <c r="Q2605" s="35">
        <f>MAX(INDEX(Q$381:Q$392,$D2605)+(Q2578+Q2596)*(1+$E2605),0.01)</f>
        <v/>
      </c>
      <c r="R2605" s="35">
        <f>MAX(INDEX(R$381:R$392,$D2605)+(R2578+R2596)*(1+$E2605),0.01)</f>
        <v/>
      </c>
      <c r="S2605" s="35">
        <f>MAX(INDEX(S$381:S$392,$D2605)+(S2578+S2596)*(1+$E2605),0.01)</f>
        <v/>
      </c>
      <c r="T2605" s="35">
        <f>MAX(INDEX(T$381:T$392,$D2605)+(T2578+T2596)*(1+$E2605),0.01)</f>
        <v/>
      </c>
      <c r="U2605" s="35">
        <f>MAX(INDEX(U$381:U$392,$D2605)+(U2578+U2596)*(1+$E2605),0.01)</f>
        <v/>
      </c>
      <c r="V2605" s="35">
        <f>MAX(INDEX(V$381:V$392,$D2605)+(V2578+V2596)*(1+$E2605),0.01)</f>
        <v/>
      </c>
      <c r="W2605" s="35">
        <f>MAX(INDEX(W$381:W$392,$D2605)+(W2578+W2596)*(1+$E2605),0.01)</f>
        <v/>
      </c>
      <c r="X2605" s="35">
        <f>MAX(INDEX(X$381:X$392,$D2605)+(X2578+X2596)*(1+$E2605),0.01)</f>
        <v/>
      </c>
      <c r="Y2605" s="35">
        <f>MAX(INDEX(Y$381:Y$392,$D2605)+(Y2578+Y2596)*(1+$E2605),0.01)</f>
        <v/>
      </c>
      <c r="Z2605" s="35">
        <f>MAX(INDEX(Z$381:Z$392,$D2605)+(Z2578+Z2596)*(1+$E2605),0.01)</f>
        <v/>
      </c>
      <c r="AA2605" s="35">
        <f>MAX(INDEX(AA$381:AA$392,$D2605)+(AA2578+AA2596)*(1+$E2605),0.01)</f>
        <v/>
      </c>
      <c r="AB2605" s="35">
        <f>MAX(INDEX(AB$381:AB$392,$D2605)+(AB2578+AB2596)*(1+$E2605),0.01)</f>
        <v/>
      </c>
      <c r="AC2605" s="35">
        <f>MAX(INDEX(AC$381:AC$392,$D2605)+(AC2578+AC2596)*(1+$E2605),0.01)</f>
        <v/>
      </c>
      <c r="AD2605" s="35">
        <f>MAX(INDEX(AD$381:AD$392,$D2605)+(AD2578+AD2596)*(1+$E2605),0.01)</f>
        <v/>
      </c>
      <c r="AE2605" s="42">
        <f>POSTTAX(INDEX(AE$381:AE$392,$D2605),AE2578+AE2596,$E2605)</f>
        <v/>
      </c>
      <c r="AG2605" s="11">
        <f>CodePrefix&amp;$A2605&amp;IF($C2605="","","."&amp;$C2605&amp;"."&amp;$B2605)&amp;INDEX(VarEnd,MATCH($A2605,VarKey,0))&amp;AG$5</f>
        <v/>
      </c>
      <c r="AH2605" s="40">
        <f>MAX(INDEX(AH$381:AH$392,$D2605)+(AH2578+AH2596)*(1+$E2605),0.01)</f>
        <v/>
      </c>
      <c r="AI2605" s="35">
        <f>MAX(INDEX(AI$381:AI$392,$D2605)+(AI2578+AI2596)*(1+$E2605),0.01)</f>
        <v/>
      </c>
      <c r="AJ2605" s="35">
        <f>MAX(INDEX(AJ$381:AJ$392,$D2605)+(AJ2578+AJ2596)*(1+$E2605),0.01)</f>
        <v/>
      </c>
      <c r="AK2605" s="35">
        <f>MAX(INDEX(AK$381:AK$392,$D2605)+(AK2578+AK2596)*(1+$E2605),0.01)</f>
        <v/>
      </c>
      <c r="AL2605" s="35">
        <f>MAX(INDEX(AL$381:AL$392,$D2605)+(AL2578+AL2596)*(1+$E2605),0.01)</f>
        <v/>
      </c>
      <c r="AM2605" s="35">
        <f>MAX(INDEX(AM$381:AM$392,$D2605)+(AM2578+AM2596)*(1+$E2605),0.01)</f>
        <v/>
      </c>
      <c r="AN2605" s="35">
        <f>MAX(INDEX(AN$381:AN$392,$D2605)+(AN2578+AN2596)*(1+$E2605),0.01)</f>
        <v/>
      </c>
      <c r="AO2605" s="35">
        <f>MAX(INDEX(AO$381:AO$392,$D2605)+(AO2578+AO2596)*(1+$E2605),0.01)</f>
        <v/>
      </c>
      <c r="AP2605" s="35">
        <f>MAX(INDEX(AP$381:AP$392,$D2605)+(AP2578+AP2596)*(1+$E2605),0.01)</f>
        <v/>
      </c>
      <c r="AQ2605" s="35">
        <f>MAX(INDEX(AQ$381:AQ$392,$D2605)+(AQ2578+AQ2596)*(1+$E2605),0.01)</f>
        <v/>
      </c>
      <c r="AR2605" s="35">
        <f>MAX(INDEX(AR$381:AR$392,$D2605)+(AR2578+AR2596)*(1+$E2605),0.01)</f>
        <v/>
      </c>
      <c r="AS2605" s="35">
        <f>MAX(INDEX(AS$381:AS$392,$D2605)+(AS2578+AS2596)*(1+$E2605),0.01)</f>
        <v/>
      </c>
      <c r="AT2605" s="35">
        <f>MAX(INDEX(AT$381:AT$392,$D2605)+(AT2578+AT2596)*(1+$E2605),0.01)</f>
        <v/>
      </c>
      <c r="AU2605" s="35">
        <f>MAX(INDEX(AU$381:AU$392,$D2605)+(AU2578+AU2596)*(1+$E2605),0.01)</f>
        <v/>
      </c>
      <c r="AV2605" s="35">
        <f>MAX(INDEX(AV$381:AV$392,$D2605)+(AV2578+AV2596)*(1+$E2605),0.01)</f>
        <v/>
      </c>
      <c r="AW2605" s="35">
        <f>MAX(INDEX(AW$381:AW$392,$D2605)+(AW2578+AW2596)*(1+$E2605),0.01)</f>
        <v/>
      </c>
      <c r="AX2605" s="35">
        <f>MAX(INDEX(AX$381:AX$392,$D2605)+(AX2578+AX2596)*(1+$E2605),0.01)</f>
        <v/>
      </c>
      <c r="AY2605" s="35">
        <f>MAX(INDEX(AY$381:AY$392,$D2605)+(AY2578+AY2596)*(1+$E2605),0.01)</f>
        <v/>
      </c>
      <c r="AZ2605" s="35">
        <f>MAX(INDEX(AZ$381:AZ$392,$D2605)+(AZ2578+AZ2596)*(1+$E2605),0.01)</f>
        <v/>
      </c>
      <c r="BA2605" s="42">
        <f>POSTTAX(INDEX(BA$381:BA$392,$D2605),BA2578+BA2596,$E2605)</f>
        <v/>
      </c>
    </row>
    <row r="2606" hidden="1" outlineLevel="2">
      <c r="A2606" s="14" t="inlineStr">
        <is>
          <t>atp</t>
        </is>
      </c>
      <c r="B2606" s="14" t="inlineStr">
        <is>
          <t>die</t>
        </is>
      </c>
      <c r="C2606" s="14" t="inlineStr">
        <is>
          <t>omn</t>
        </is>
      </c>
      <c r="D2606" s="35">
        <f>INDEX(Inputs!$U$5:$U$132,MATCH($B2606&amp;"|"&amp;$C2606,Inputs!$A$5:$A$132,0))</f>
        <v/>
      </c>
      <c r="E2606" s="35">
        <f>INDEX(Inputs!$V$5:$V$132,MATCH($B2606&amp;"|"&amp;$C2606,Inputs!$A$5:$A$132,0))</f>
        <v/>
      </c>
      <c r="F2606" s="39" t="n"/>
      <c r="G2606" s="39" t="n"/>
      <c r="H2606" s="14">
        <f>INDEX(VarLab,MATCH($A2606,VarKey,0))&amp;INDEX(MemLab,MATCH($C2606&amp;"|"&amp;$B2606,MemKey,0))</f>
        <v/>
      </c>
      <c r="I2606" s="14">
        <f>INDEX(VarUnit,MATCH($A2606,VarKey,0))</f>
        <v/>
      </c>
      <c r="J2606" s="14">
        <f>INDEX(VarSrc,MATCH($A2606,VarKey,0))</f>
        <v/>
      </c>
      <c r="K2606" s="11">
        <f>CodePrefix&amp;$A2606&amp;IF($C2606="","","."&amp;$C2606&amp;"."&amp;$B2606)&amp;INDEX(VarEnd,MATCH($A2606,VarKey,0))&amp;K$5</f>
        <v/>
      </c>
      <c r="L2606" s="40">
        <f>MAX(INDEX(L$381:L$392,$D2606)+(L2579+L2597)*(1+$E2606),0.01)</f>
        <v/>
      </c>
      <c r="M2606" s="35">
        <f>MAX(INDEX(M$381:M$392,$D2606)+(M2579+M2597)*(1+$E2606),0.01)</f>
        <v/>
      </c>
      <c r="N2606" s="35">
        <f>MAX(INDEX(N$381:N$392,$D2606)+(N2579+N2597)*(1+$E2606),0.01)</f>
        <v/>
      </c>
      <c r="O2606" s="35">
        <f>MAX(INDEX(O$381:O$392,$D2606)+(O2579+O2597)*(1+$E2606),0.01)</f>
        <v/>
      </c>
      <c r="P2606" s="35">
        <f>MAX(INDEX(P$381:P$392,$D2606)+(P2579+P2597)*(1+$E2606),0.01)</f>
        <v/>
      </c>
      <c r="Q2606" s="35">
        <f>MAX(INDEX(Q$381:Q$392,$D2606)+(Q2579+Q2597)*(1+$E2606),0.01)</f>
        <v/>
      </c>
      <c r="R2606" s="35">
        <f>MAX(INDEX(R$381:R$392,$D2606)+(R2579+R2597)*(1+$E2606),0.01)</f>
        <v/>
      </c>
      <c r="S2606" s="35">
        <f>MAX(INDEX(S$381:S$392,$D2606)+(S2579+S2597)*(1+$E2606),0.01)</f>
        <v/>
      </c>
      <c r="T2606" s="35">
        <f>MAX(INDEX(T$381:T$392,$D2606)+(T2579+T2597)*(1+$E2606),0.01)</f>
        <v/>
      </c>
      <c r="U2606" s="35">
        <f>MAX(INDEX(U$381:U$392,$D2606)+(U2579+U2597)*(1+$E2606),0.01)</f>
        <v/>
      </c>
      <c r="V2606" s="35">
        <f>MAX(INDEX(V$381:V$392,$D2606)+(V2579+V2597)*(1+$E2606),0.01)</f>
        <v/>
      </c>
      <c r="W2606" s="35">
        <f>MAX(INDEX(W$381:W$392,$D2606)+(W2579+W2597)*(1+$E2606),0.01)</f>
        <v/>
      </c>
      <c r="X2606" s="35">
        <f>MAX(INDEX(X$381:X$392,$D2606)+(X2579+X2597)*(1+$E2606),0.01)</f>
        <v/>
      </c>
      <c r="Y2606" s="35">
        <f>MAX(INDEX(Y$381:Y$392,$D2606)+(Y2579+Y2597)*(1+$E2606),0.01)</f>
        <v/>
      </c>
      <c r="Z2606" s="35">
        <f>MAX(INDEX(Z$381:Z$392,$D2606)+(Z2579+Z2597)*(1+$E2606),0.01)</f>
        <v/>
      </c>
      <c r="AA2606" s="35">
        <f>MAX(INDEX(AA$381:AA$392,$D2606)+(AA2579+AA2597)*(1+$E2606),0.01)</f>
        <v/>
      </c>
      <c r="AB2606" s="35">
        <f>MAX(INDEX(AB$381:AB$392,$D2606)+(AB2579+AB2597)*(1+$E2606),0.01)</f>
        <v/>
      </c>
      <c r="AC2606" s="35">
        <f>MAX(INDEX(AC$381:AC$392,$D2606)+(AC2579+AC2597)*(1+$E2606),0.01)</f>
        <v/>
      </c>
      <c r="AD2606" s="35">
        <f>MAX(INDEX(AD$381:AD$392,$D2606)+(AD2579+AD2597)*(1+$E2606),0.01)</f>
        <v/>
      </c>
      <c r="AE2606" s="42">
        <f>POSTTAX(INDEX(AE$381:AE$392,$D2606),AE2579+AE2597,$E2606)</f>
        <v/>
      </c>
      <c r="AG2606" s="11">
        <f>CodePrefix&amp;$A2606&amp;IF($C2606="","","."&amp;$C2606&amp;"."&amp;$B2606)&amp;INDEX(VarEnd,MATCH($A2606,VarKey,0))&amp;AG$5</f>
        <v/>
      </c>
      <c r="AH2606" s="40">
        <f>MAX(INDEX(AH$381:AH$392,$D2606)+(AH2579+AH2597)*(1+$E2606),0.01)</f>
        <v/>
      </c>
      <c r="AI2606" s="35">
        <f>MAX(INDEX(AI$381:AI$392,$D2606)+(AI2579+AI2597)*(1+$E2606),0.01)</f>
        <v/>
      </c>
      <c r="AJ2606" s="35">
        <f>MAX(INDEX(AJ$381:AJ$392,$D2606)+(AJ2579+AJ2597)*(1+$E2606),0.01)</f>
        <v/>
      </c>
      <c r="AK2606" s="35">
        <f>MAX(INDEX(AK$381:AK$392,$D2606)+(AK2579+AK2597)*(1+$E2606),0.01)</f>
        <v/>
      </c>
      <c r="AL2606" s="35">
        <f>MAX(INDEX(AL$381:AL$392,$D2606)+(AL2579+AL2597)*(1+$E2606),0.01)</f>
        <v/>
      </c>
      <c r="AM2606" s="35">
        <f>MAX(INDEX(AM$381:AM$392,$D2606)+(AM2579+AM2597)*(1+$E2606),0.01)</f>
        <v/>
      </c>
      <c r="AN2606" s="35">
        <f>MAX(INDEX(AN$381:AN$392,$D2606)+(AN2579+AN2597)*(1+$E2606),0.01)</f>
        <v/>
      </c>
      <c r="AO2606" s="35">
        <f>MAX(INDEX(AO$381:AO$392,$D2606)+(AO2579+AO2597)*(1+$E2606),0.01)</f>
        <v/>
      </c>
      <c r="AP2606" s="35">
        <f>MAX(INDEX(AP$381:AP$392,$D2606)+(AP2579+AP2597)*(1+$E2606),0.01)</f>
        <v/>
      </c>
      <c r="AQ2606" s="35">
        <f>MAX(INDEX(AQ$381:AQ$392,$D2606)+(AQ2579+AQ2597)*(1+$E2606),0.01)</f>
        <v/>
      </c>
      <c r="AR2606" s="35">
        <f>MAX(INDEX(AR$381:AR$392,$D2606)+(AR2579+AR2597)*(1+$E2606),0.01)</f>
        <v/>
      </c>
      <c r="AS2606" s="35">
        <f>MAX(INDEX(AS$381:AS$392,$D2606)+(AS2579+AS2597)*(1+$E2606),0.01)</f>
        <v/>
      </c>
      <c r="AT2606" s="35">
        <f>MAX(INDEX(AT$381:AT$392,$D2606)+(AT2579+AT2597)*(1+$E2606),0.01)</f>
        <v/>
      </c>
      <c r="AU2606" s="35">
        <f>MAX(INDEX(AU$381:AU$392,$D2606)+(AU2579+AU2597)*(1+$E2606),0.01)</f>
        <v/>
      </c>
      <c r="AV2606" s="35">
        <f>MAX(INDEX(AV$381:AV$392,$D2606)+(AV2579+AV2597)*(1+$E2606),0.01)</f>
        <v/>
      </c>
      <c r="AW2606" s="35">
        <f>MAX(INDEX(AW$381:AW$392,$D2606)+(AW2579+AW2597)*(1+$E2606),0.01)</f>
        <v/>
      </c>
      <c r="AX2606" s="35">
        <f>MAX(INDEX(AX$381:AX$392,$D2606)+(AX2579+AX2597)*(1+$E2606),0.01)</f>
        <v/>
      </c>
      <c r="AY2606" s="35">
        <f>MAX(INDEX(AY$381:AY$392,$D2606)+(AY2579+AY2597)*(1+$E2606),0.01)</f>
        <v/>
      </c>
      <c r="AZ2606" s="35">
        <f>MAX(INDEX(AZ$381:AZ$392,$D2606)+(AZ2579+AZ2597)*(1+$E2606),0.01)</f>
        <v/>
      </c>
      <c r="BA2606" s="42">
        <f>POSTTAX(INDEX(BA$381:BA$392,$D2606),BA2579+BA2597,$E2606)</f>
        <v/>
      </c>
    </row>
    <row r="2607" hidden="1" outlineLevel="2">
      <c r="A2607" s="14" t="inlineStr">
        <is>
          <t>atp</t>
        </is>
      </c>
      <c r="B2607" s="14" t="inlineStr">
        <is>
          <t>lpg</t>
        </is>
      </c>
      <c r="C2607" s="14" t="inlineStr">
        <is>
          <t>omn</t>
        </is>
      </c>
      <c r="D2607" s="35">
        <f>INDEX(Inputs!$U$5:$U$132,MATCH($B2607&amp;"|"&amp;$C2607,Inputs!$A$5:$A$132,0))</f>
        <v/>
      </c>
      <c r="E2607" s="35">
        <f>INDEX(Inputs!$V$5:$V$132,MATCH($B2607&amp;"|"&amp;$C2607,Inputs!$A$5:$A$132,0))</f>
        <v/>
      </c>
      <c r="F2607" s="39" t="n"/>
      <c r="G2607" s="39" t="n"/>
      <c r="H2607" s="14">
        <f>INDEX(VarLab,MATCH($A2607,VarKey,0))&amp;INDEX(MemLab,MATCH($C2607&amp;"|"&amp;$B2607,MemKey,0))</f>
        <v/>
      </c>
      <c r="I2607" s="14">
        <f>INDEX(VarUnit,MATCH($A2607,VarKey,0))</f>
        <v/>
      </c>
      <c r="J2607" s="14">
        <f>INDEX(VarSrc,MATCH($A2607,VarKey,0))</f>
        <v/>
      </c>
      <c r="K2607" s="11">
        <f>CodePrefix&amp;$A2607&amp;IF($C2607="","","."&amp;$C2607&amp;"."&amp;$B2607)&amp;INDEX(VarEnd,MATCH($A2607,VarKey,0))&amp;K$5</f>
        <v/>
      </c>
      <c r="L2607" s="40">
        <f>MAX(INDEX(L$381:L$392,$D2607)+(L2580+L2598)*(1+$E2607),0.01)</f>
        <v/>
      </c>
      <c r="M2607" s="35">
        <f>MAX(INDEX(M$381:M$392,$D2607)+(M2580+M2598)*(1+$E2607),0.01)</f>
        <v/>
      </c>
      <c r="N2607" s="35">
        <f>MAX(INDEX(N$381:N$392,$D2607)+(N2580+N2598)*(1+$E2607),0.01)</f>
        <v/>
      </c>
      <c r="O2607" s="35">
        <f>MAX(INDEX(O$381:O$392,$D2607)+(O2580+O2598)*(1+$E2607),0.01)</f>
        <v/>
      </c>
      <c r="P2607" s="35">
        <f>MAX(INDEX(P$381:P$392,$D2607)+(P2580+P2598)*(1+$E2607),0.01)</f>
        <v/>
      </c>
      <c r="Q2607" s="35">
        <f>MAX(INDEX(Q$381:Q$392,$D2607)+(Q2580+Q2598)*(1+$E2607),0.01)</f>
        <v/>
      </c>
      <c r="R2607" s="35">
        <f>MAX(INDEX(R$381:R$392,$D2607)+(R2580+R2598)*(1+$E2607),0.01)</f>
        <v/>
      </c>
      <c r="S2607" s="35">
        <f>MAX(INDEX(S$381:S$392,$D2607)+(S2580+S2598)*(1+$E2607),0.01)</f>
        <v/>
      </c>
      <c r="T2607" s="35">
        <f>MAX(INDEX(T$381:T$392,$D2607)+(T2580+T2598)*(1+$E2607),0.01)</f>
        <v/>
      </c>
      <c r="U2607" s="35">
        <f>MAX(INDEX(U$381:U$392,$D2607)+(U2580+U2598)*(1+$E2607),0.01)</f>
        <v/>
      </c>
      <c r="V2607" s="35">
        <f>MAX(INDEX(V$381:V$392,$D2607)+(V2580+V2598)*(1+$E2607),0.01)</f>
        <v/>
      </c>
      <c r="W2607" s="35">
        <f>MAX(INDEX(W$381:W$392,$D2607)+(W2580+W2598)*(1+$E2607),0.01)</f>
        <v/>
      </c>
      <c r="X2607" s="35">
        <f>MAX(INDEX(X$381:X$392,$D2607)+(X2580+X2598)*(1+$E2607),0.01)</f>
        <v/>
      </c>
      <c r="Y2607" s="35">
        <f>MAX(INDEX(Y$381:Y$392,$D2607)+(Y2580+Y2598)*(1+$E2607),0.01)</f>
        <v/>
      </c>
      <c r="Z2607" s="35">
        <f>MAX(INDEX(Z$381:Z$392,$D2607)+(Z2580+Z2598)*(1+$E2607),0.01)</f>
        <v/>
      </c>
      <c r="AA2607" s="35">
        <f>MAX(INDEX(AA$381:AA$392,$D2607)+(AA2580+AA2598)*(1+$E2607),0.01)</f>
        <v/>
      </c>
      <c r="AB2607" s="35">
        <f>MAX(INDEX(AB$381:AB$392,$D2607)+(AB2580+AB2598)*(1+$E2607),0.01)</f>
        <v/>
      </c>
      <c r="AC2607" s="35">
        <f>MAX(INDEX(AC$381:AC$392,$D2607)+(AC2580+AC2598)*(1+$E2607),0.01)</f>
        <v/>
      </c>
      <c r="AD2607" s="35">
        <f>MAX(INDEX(AD$381:AD$392,$D2607)+(AD2580+AD2598)*(1+$E2607),0.01)</f>
        <v/>
      </c>
      <c r="AE2607" s="42">
        <f>POSTTAX(INDEX(AE$381:AE$392,$D2607),AE2580+AE2598,$E2607)</f>
        <v/>
      </c>
      <c r="AG2607" s="11">
        <f>CodePrefix&amp;$A2607&amp;IF($C2607="","","."&amp;$C2607&amp;"."&amp;$B2607)&amp;INDEX(VarEnd,MATCH($A2607,VarKey,0))&amp;AG$5</f>
        <v/>
      </c>
      <c r="AH2607" s="40">
        <f>MAX(INDEX(AH$381:AH$392,$D2607)+(AH2580+AH2598)*(1+$E2607),0.01)</f>
        <v/>
      </c>
      <c r="AI2607" s="35">
        <f>MAX(INDEX(AI$381:AI$392,$D2607)+(AI2580+AI2598)*(1+$E2607),0.01)</f>
        <v/>
      </c>
      <c r="AJ2607" s="35">
        <f>MAX(INDEX(AJ$381:AJ$392,$D2607)+(AJ2580+AJ2598)*(1+$E2607),0.01)</f>
        <v/>
      </c>
      <c r="AK2607" s="35">
        <f>MAX(INDEX(AK$381:AK$392,$D2607)+(AK2580+AK2598)*(1+$E2607),0.01)</f>
        <v/>
      </c>
      <c r="AL2607" s="35">
        <f>MAX(INDEX(AL$381:AL$392,$D2607)+(AL2580+AL2598)*(1+$E2607),0.01)</f>
        <v/>
      </c>
      <c r="AM2607" s="35">
        <f>MAX(INDEX(AM$381:AM$392,$D2607)+(AM2580+AM2598)*(1+$E2607),0.01)</f>
        <v/>
      </c>
      <c r="AN2607" s="35">
        <f>MAX(INDEX(AN$381:AN$392,$D2607)+(AN2580+AN2598)*(1+$E2607),0.01)</f>
        <v/>
      </c>
      <c r="AO2607" s="35">
        <f>MAX(INDEX(AO$381:AO$392,$D2607)+(AO2580+AO2598)*(1+$E2607),0.01)</f>
        <v/>
      </c>
      <c r="AP2607" s="35">
        <f>MAX(INDEX(AP$381:AP$392,$D2607)+(AP2580+AP2598)*(1+$E2607),0.01)</f>
        <v/>
      </c>
      <c r="AQ2607" s="35">
        <f>MAX(INDEX(AQ$381:AQ$392,$D2607)+(AQ2580+AQ2598)*(1+$E2607),0.01)</f>
        <v/>
      </c>
      <c r="AR2607" s="35">
        <f>MAX(INDEX(AR$381:AR$392,$D2607)+(AR2580+AR2598)*(1+$E2607),0.01)</f>
        <v/>
      </c>
      <c r="AS2607" s="35">
        <f>MAX(INDEX(AS$381:AS$392,$D2607)+(AS2580+AS2598)*(1+$E2607),0.01)</f>
        <v/>
      </c>
      <c r="AT2607" s="35">
        <f>MAX(INDEX(AT$381:AT$392,$D2607)+(AT2580+AT2598)*(1+$E2607),0.01)</f>
        <v/>
      </c>
      <c r="AU2607" s="35">
        <f>MAX(INDEX(AU$381:AU$392,$D2607)+(AU2580+AU2598)*(1+$E2607),0.01)</f>
        <v/>
      </c>
      <c r="AV2607" s="35">
        <f>MAX(INDEX(AV$381:AV$392,$D2607)+(AV2580+AV2598)*(1+$E2607),0.01)</f>
        <v/>
      </c>
      <c r="AW2607" s="35">
        <f>MAX(INDEX(AW$381:AW$392,$D2607)+(AW2580+AW2598)*(1+$E2607),0.01)</f>
        <v/>
      </c>
      <c r="AX2607" s="35">
        <f>MAX(INDEX(AX$381:AX$392,$D2607)+(AX2580+AX2598)*(1+$E2607),0.01)</f>
        <v/>
      </c>
      <c r="AY2607" s="35">
        <f>MAX(INDEX(AY$381:AY$392,$D2607)+(AY2580+AY2598)*(1+$E2607),0.01)</f>
        <v/>
      </c>
      <c r="AZ2607" s="35">
        <f>MAX(INDEX(AZ$381:AZ$392,$D2607)+(AZ2580+AZ2598)*(1+$E2607),0.01)</f>
        <v/>
      </c>
      <c r="BA2607" s="42">
        <f>POSTTAX(INDEX(BA$381:BA$392,$D2607),BA2580+BA2598,$E2607)</f>
        <v/>
      </c>
    </row>
    <row r="2608" hidden="1" outlineLevel="2">
      <c r="A2608" s="14" t="inlineStr">
        <is>
          <t>atp</t>
        </is>
      </c>
      <c r="B2608" s="14" t="inlineStr">
        <is>
          <t>ker</t>
        </is>
      </c>
      <c r="C2608" s="14" t="inlineStr">
        <is>
          <t>omn</t>
        </is>
      </c>
      <c r="D2608" s="35">
        <f>INDEX(Inputs!$U$5:$U$132,MATCH($B2608&amp;"|"&amp;$C2608,Inputs!$A$5:$A$132,0))</f>
        <v/>
      </c>
      <c r="E2608" s="35">
        <f>INDEX(Inputs!$V$5:$V$132,MATCH($B2608&amp;"|"&amp;$C2608,Inputs!$A$5:$A$132,0))</f>
        <v/>
      </c>
      <c r="F2608" s="39" t="n"/>
      <c r="G2608" s="39" t="n"/>
      <c r="H2608" s="14">
        <f>INDEX(VarLab,MATCH($A2608,VarKey,0))&amp;INDEX(MemLab,MATCH($C2608&amp;"|"&amp;$B2608,MemKey,0))</f>
        <v/>
      </c>
      <c r="I2608" s="14">
        <f>INDEX(VarUnit,MATCH($A2608,VarKey,0))</f>
        <v/>
      </c>
      <c r="J2608" s="14">
        <f>INDEX(VarSrc,MATCH($A2608,VarKey,0))</f>
        <v/>
      </c>
      <c r="K2608" s="11">
        <f>CodePrefix&amp;$A2608&amp;IF($C2608="","","."&amp;$C2608&amp;"."&amp;$B2608)&amp;INDEX(VarEnd,MATCH($A2608,VarKey,0))&amp;K$5</f>
        <v/>
      </c>
      <c r="L2608" s="40">
        <f>MAX(INDEX(L$381:L$392,$D2608)+(L2581+L2599)*(1+$E2608),0.01)</f>
        <v/>
      </c>
      <c r="M2608" s="35">
        <f>MAX(INDEX(M$381:M$392,$D2608)+(M2581+M2599)*(1+$E2608),0.01)</f>
        <v/>
      </c>
      <c r="N2608" s="35">
        <f>MAX(INDEX(N$381:N$392,$D2608)+(N2581+N2599)*(1+$E2608),0.01)</f>
        <v/>
      </c>
      <c r="O2608" s="35">
        <f>MAX(INDEX(O$381:O$392,$D2608)+(O2581+O2599)*(1+$E2608),0.01)</f>
        <v/>
      </c>
      <c r="P2608" s="35">
        <f>MAX(INDEX(P$381:P$392,$D2608)+(P2581+P2599)*(1+$E2608),0.01)</f>
        <v/>
      </c>
      <c r="Q2608" s="35">
        <f>MAX(INDEX(Q$381:Q$392,$D2608)+(Q2581+Q2599)*(1+$E2608),0.01)</f>
        <v/>
      </c>
      <c r="R2608" s="35">
        <f>MAX(INDEX(R$381:R$392,$D2608)+(R2581+R2599)*(1+$E2608),0.01)</f>
        <v/>
      </c>
      <c r="S2608" s="35">
        <f>MAX(INDEX(S$381:S$392,$D2608)+(S2581+S2599)*(1+$E2608),0.01)</f>
        <v/>
      </c>
      <c r="T2608" s="35">
        <f>MAX(INDEX(T$381:T$392,$D2608)+(T2581+T2599)*(1+$E2608),0.01)</f>
        <v/>
      </c>
      <c r="U2608" s="35">
        <f>MAX(INDEX(U$381:U$392,$D2608)+(U2581+U2599)*(1+$E2608),0.01)</f>
        <v/>
      </c>
      <c r="V2608" s="35">
        <f>MAX(INDEX(V$381:V$392,$D2608)+(V2581+V2599)*(1+$E2608),0.01)</f>
        <v/>
      </c>
      <c r="W2608" s="35">
        <f>MAX(INDEX(W$381:W$392,$D2608)+(W2581+W2599)*(1+$E2608),0.01)</f>
        <v/>
      </c>
      <c r="X2608" s="35">
        <f>MAX(INDEX(X$381:X$392,$D2608)+(X2581+X2599)*(1+$E2608),0.01)</f>
        <v/>
      </c>
      <c r="Y2608" s="35">
        <f>MAX(INDEX(Y$381:Y$392,$D2608)+(Y2581+Y2599)*(1+$E2608),0.01)</f>
        <v/>
      </c>
      <c r="Z2608" s="35">
        <f>MAX(INDEX(Z$381:Z$392,$D2608)+(Z2581+Z2599)*(1+$E2608),0.01)</f>
        <v/>
      </c>
      <c r="AA2608" s="35">
        <f>MAX(INDEX(AA$381:AA$392,$D2608)+(AA2581+AA2599)*(1+$E2608),0.01)</f>
        <v/>
      </c>
      <c r="AB2608" s="35">
        <f>MAX(INDEX(AB$381:AB$392,$D2608)+(AB2581+AB2599)*(1+$E2608),0.01)</f>
        <v/>
      </c>
      <c r="AC2608" s="35">
        <f>MAX(INDEX(AC$381:AC$392,$D2608)+(AC2581+AC2599)*(1+$E2608),0.01)</f>
        <v/>
      </c>
      <c r="AD2608" s="35">
        <f>MAX(INDEX(AD$381:AD$392,$D2608)+(AD2581+AD2599)*(1+$E2608),0.01)</f>
        <v/>
      </c>
      <c r="AE2608" s="42">
        <f>POSTTAX(INDEX(AE$381:AE$392,$D2608),AE2581+AE2599,$E2608)</f>
        <v/>
      </c>
      <c r="AG2608" s="11">
        <f>CodePrefix&amp;$A2608&amp;IF($C2608="","","."&amp;$C2608&amp;"."&amp;$B2608)&amp;INDEX(VarEnd,MATCH($A2608,VarKey,0))&amp;AG$5</f>
        <v/>
      </c>
      <c r="AH2608" s="40">
        <f>MAX(INDEX(AH$381:AH$392,$D2608)+(AH2581+AH2599)*(1+$E2608),0.01)</f>
        <v/>
      </c>
      <c r="AI2608" s="35">
        <f>MAX(INDEX(AI$381:AI$392,$D2608)+(AI2581+AI2599)*(1+$E2608),0.01)</f>
        <v/>
      </c>
      <c r="AJ2608" s="35">
        <f>MAX(INDEX(AJ$381:AJ$392,$D2608)+(AJ2581+AJ2599)*(1+$E2608),0.01)</f>
        <v/>
      </c>
      <c r="AK2608" s="35">
        <f>MAX(INDEX(AK$381:AK$392,$D2608)+(AK2581+AK2599)*(1+$E2608),0.01)</f>
        <v/>
      </c>
      <c r="AL2608" s="35">
        <f>MAX(INDEX(AL$381:AL$392,$D2608)+(AL2581+AL2599)*(1+$E2608),0.01)</f>
        <v/>
      </c>
      <c r="AM2608" s="35">
        <f>MAX(INDEX(AM$381:AM$392,$D2608)+(AM2581+AM2599)*(1+$E2608),0.01)</f>
        <v/>
      </c>
      <c r="AN2608" s="35">
        <f>MAX(INDEX(AN$381:AN$392,$D2608)+(AN2581+AN2599)*(1+$E2608),0.01)</f>
        <v/>
      </c>
      <c r="AO2608" s="35">
        <f>MAX(INDEX(AO$381:AO$392,$D2608)+(AO2581+AO2599)*(1+$E2608),0.01)</f>
        <v/>
      </c>
      <c r="AP2608" s="35">
        <f>MAX(INDEX(AP$381:AP$392,$D2608)+(AP2581+AP2599)*(1+$E2608),0.01)</f>
        <v/>
      </c>
      <c r="AQ2608" s="35">
        <f>MAX(INDEX(AQ$381:AQ$392,$D2608)+(AQ2581+AQ2599)*(1+$E2608),0.01)</f>
        <v/>
      </c>
      <c r="AR2608" s="35">
        <f>MAX(INDEX(AR$381:AR$392,$D2608)+(AR2581+AR2599)*(1+$E2608),0.01)</f>
        <v/>
      </c>
      <c r="AS2608" s="35">
        <f>MAX(INDEX(AS$381:AS$392,$D2608)+(AS2581+AS2599)*(1+$E2608),0.01)</f>
        <v/>
      </c>
      <c r="AT2608" s="35">
        <f>MAX(INDEX(AT$381:AT$392,$D2608)+(AT2581+AT2599)*(1+$E2608),0.01)</f>
        <v/>
      </c>
      <c r="AU2608" s="35">
        <f>MAX(INDEX(AU$381:AU$392,$D2608)+(AU2581+AU2599)*(1+$E2608),0.01)</f>
        <v/>
      </c>
      <c r="AV2608" s="35">
        <f>MAX(INDEX(AV$381:AV$392,$D2608)+(AV2581+AV2599)*(1+$E2608),0.01)</f>
        <v/>
      </c>
      <c r="AW2608" s="35">
        <f>MAX(INDEX(AW$381:AW$392,$D2608)+(AW2581+AW2599)*(1+$E2608),0.01)</f>
        <v/>
      </c>
      <c r="AX2608" s="35">
        <f>MAX(INDEX(AX$381:AX$392,$D2608)+(AX2581+AX2599)*(1+$E2608),0.01)</f>
        <v/>
      </c>
      <c r="AY2608" s="35">
        <f>MAX(INDEX(AY$381:AY$392,$D2608)+(AY2581+AY2599)*(1+$E2608),0.01)</f>
        <v/>
      </c>
      <c r="AZ2608" s="35">
        <f>MAX(INDEX(AZ$381:AZ$392,$D2608)+(AZ2581+AZ2599)*(1+$E2608),0.01)</f>
        <v/>
      </c>
      <c r="BA2608" s="42">
        <f>POSTTAX(INDEX(BA$381:BA$392,$D2608),BA2581+BA2599,$E2608)</f>
        <v/>
      </c>
    </row>
    <row r="2609" hidden="1" outlineLevel="2">
      <c r="A2609" s="14" t="inlineStr">
        <is>
          <t>atp</t>
        </is>
      </c>
      <c r="B2609" s="14" t="inlineStr">
        <is>
          <t>oop</t>
        </is>
      </c>
      <c r="C2609" s="14" t="inlineStr">
        <is>
          <t>omn</t>
        </is>
      </c>
      <c r="D2609" s="35">
        <f>INDEX(Inputs!$U$5:$U$132,MATCH($B2609&amp;"|"&amp;$C2609,Inputs!$A$5:$A$132,0))</f>
        <v/>
      </c>
      <c r="E2609" s="35">
        <f>INDEX(Inputs!$V$5:$V$132,MATCH($B2609&amp;"|"&amp;$C2609,Inputs!$A$5:$A$132,0))</f>
        <v/>
      </c>
      <c r="F2609" s="39" t="n"/>
      <c r="G2609" s="39" t="n"/>
      <c r="H2609" s="14">
        <f>INDEX(VarLab,MATCH($A2609,VarKey,0))&amp;INDEX(MemLab,MATCH($C2609&amp;"|"&amp;$B2609,MemKey,0))</f>
        <v/>
      </c>
      <c r="I2609" s="14">
        <f>INDEX(VarUnit,MATCH($A2609,VarKey,0))</f>
        <v/>
      </c>
      <c r="J2609" s="14">
        <f>INDEX(VarSrc,MATCH($A2609,VarKey,0))</f>
        <v/>
      </c>
      <c r="K2609" s="11">
        <f>CodePrefix&amp;$A2609&amp;IF($C2609="","","."&amp;$C2609&amp;"."&amp;$B2609)&amp;INDEX(VarEnd,MATCH($A2609,VarKey,0))&amp;K$5</f>
        <v/>
      </c>
      <c r="L2609" s="40">
        <f>MAX(INDEX(L$381:L$392,$D2609)+(L2582+L2600)*(1+$E2609),0.01)</f>
        <v/>
      </c>
      <c r="M2609" s="35">
        <f>MAX(INDEX(M$381:M$392,$D2609)+(M2582+M2600)*(1+$E2609),0.01)</f>
        <v/>
      </c>
      <c r="N2609" s="35">
        <f>MAX(INDEX(N$381:N$392,$D2609)+(N2582+N2600)*(1+$E2609),0.01)</f>
        <v/>
      </c>
      <c r="O2609" s="35">
        <f>MAX(INDEX(O$381:O$392,$D2609)+(O2582+O2600)*(1+$E2609),0.01)</f>
        <v/>
      </c>
      <c r="P2609" s="35">
        <f>MAX(INDEX(P$381:P$392,$D2609)+(P2582+P2600)*(1+$E2609),0.01)</f>
        <v/>
      </c>
      <c r="Q2609" s="35">
        <f>MAX(INDEX(Q$381:Q$392,$D2609)+(Q2582+Q2600)*(1+$E2609),0.01)</f>
        <v/>
      </c>
      <c r="R2609" s="35">
        <f>MAX(INDEX(R$381:R$392,$D2609)+(R2582+R2600)*(1+$E2609),0.01)</f>
        <v/>
      </c>
      <c r="S2609" s="35">
        <f>MAX(INDEX(S$381:S$392,$D2609)+(S2582+S2600)*(1+$E2609),0.01)</f>
        <v/>
      </c>
      <c r="T2609" s="35">
        <f>MAX(INDEX(T$381:T$392,$D2609)+(T2582+T2600)*(1+$E2609),0.01)</f>
        <v/>
      </c>
      <c r="U2609" s="35">
        <f>MAX(INDEX(U$381:U$392,$D2609)+(U2582+U2600)*(1+$E2609),0.01)</f>
        <v/>
      </c>
      <c r="V2609" s="35">
        <f>MAX(INDEX(V$381:V$392,$D2609)+(V2582+V2600)*(1+$E2609),0.01)</f>
        <v/>
      </c>
      <c r="W2609" s="35">
        <f>MAX(INDEX(W$381:W$392,$D2609)+(W2582+W2600)*(1+$E2609),0.01)</f>
        <v/>
      </c>
      <c r="X2609" s="35">
        <f>MAX(INDEX(X$381:X$392,$D2609)+(X2582+X2600)*(1+$E2609),0.01)</f>
        <v/>
      </c>
      <c r="Y2609" s="35">
        <f>MAX(INDEX(Y$381:Y$392,$D2609)+(Y2582+Y2600)*(1+$E2609),0.01)</f>
        <v/>
      </c>
      <c r="Z2609" s="35">
        <f>MAX(INDEX(Z$381:Z$392,$D2609)+(Z2582+Z2600)*(1+$E2609),0.01)</f>
        <v/>
      </c>
      <c r="AA2609" s="35">
        <f>MAX(INDEX(AA$381:AA$392,$D2609)+(AA2582+AA2600)*(1+$E2609),0.01)</f>
        <v/>
      </c>
      <c r="AB2609" s="35">
        <f>MAX(INDEX(AB$381:AB$392,$D2609)+(AB2582+AB2600)*(1+$E2609),0.01)</f>
        <v/>
      </c>
      <c r="AC2609" s="35">
        <f>MAX(INDEX(AC$381:AC$392,$D2609)+(AC2582+AC2600)*(1+$E2609),0.01)</f>
        <v/>
      </c>
      <c r="AD2609" s="35">
        <f>MAX(INDEX(AD$381:AD$392,$D2609)+(AD2582+AD2600)*(1+$E2609),0.01)</f>
        <v/>
      </c>
      <c r="AE2609" s="42">
        <f>POSTTAX(INDEX(AE$381:AE$392,$D2609),AE2582+AE2600,$E2609)</f>
        <v/>
      </c>
      <c r="AG2609" s="11">
        <f>CodePrefix&amp;$A2609&amp;IF($C2609="","","."&amp;$C2609&amp;"."&amp;$B2609)&amp;INDEX(VarEnd,MATCH($A2609,VarKey,0))&amp;AG$5</f>
        <v/>
      </c>
      <c r="AH2609" s="40">
        <f>MAX(INDEX(AH$381:AH$392,$D2609)+(AH2582+AH2600)*(1+$E2609),0.01)</f>
        <v/>
      </c>
      <c r="AI2609" s="35">
        <f>MAX(INDEX(AI$381:AI$392,$D2609)+(AI2582+AI2600)*(1+$E2609),0.01)</f>
        <v/>
      </c>
      <c r="AJ2609" s="35">
        <f>MAX(INDEX(AJ$381:AJ$392,$D2609)+(AJ2582+AJ2600)*(1+$E2609),0.01)</f>
        <v/>
      </c>
      <c r="AK2609" s="35">
        <f>MAX(INDEX(AK$381:AK$392,$D2609)+(AK2582+AK2600)*(1+$E2609),0.01)</f>
        <v/>
      </c>
      <c r="AL2609" s="35">
        <f>MAX(INDEX(AL$381:AL$392,$D2609)+(AL2582+AL2600)*(1+$E2609),0.01)</f>
        <v/>
      </c>
      <c r="AM2609" s="35">
        <f>MAX(INDEX(AM$381:AM$392,$D2609)+(AM2582+AM2600)*(1+$E2609),0.01)</f>
        <v/>
      </c>
      <c r="AN2609" s="35">
        <f>MAX(INDEX(AN$381:AN$392,$D2609)+(AN2582+AN2600)*(1+$E2609),0.01)</f>
        <v/>
      </c>
      <c r="AO2609" s="35">
        <f>MAX(INDEX(AO$381:AO$392,$D2609)+(AO2582+AO2600)*(1+$E2609),0.01)</f>
        <v/>
      </c>
      <c r="AP2609" s="35">
        <f>MAX(INDEX(AP$381:AP$392,$D2609)+(AP2582+AP2600)*(1+$E2609),0.01)</f>
        <v/>
      </c>
      <c r="AQ2609" s="35">
        <f>MAX(INDEX(AQ$381:AQ$392,$D2609)+(AQ2582+AQ2600)*(1+$E2609),0.01)</f>
        <v/>
      </c>
      <c r="AR2609" s="35">
        <f>MAX(INDEX(AR$381:AR$392,$D2609)+(AR2582+AR2600)*(1+$E2609),0.01)</f>
        <v/>
      </c>
      <c r="AS2609" s="35">
        <f>MAX(INDEX(AS$381:AS$392,$D2609)+(AS2582+AS2600)*(1+$E2609),0.01)</f>
        <v/>
      </c>
      <c r="AT2609" s="35">
        <f>MAX(INDEX(AT$381:AT$392,$D2609)+(AT2582+AT2600)*(1+$E2609),0.01)</f>
        <v/>
      </c>
      <c r="AU2609" s="35">
        <f>MAX(INDEX(AU$381:AU$392,$D2609)+(AU2582+AU2600)*(1+$E2609),0.01)</f>
        <v/>
      </c>
      <c r="AV2609" s="35">
        <f>MAX(INDEX(AV$381:AV$392,$D2609)+(AV2582+AV2600)*(1+$E2609),0.01)</f>
        <v/>
      </c>
      <c r="AW2609" s="35">
        <f>MAX(INDEX(AW$381:AW$392,$D2609)+(AW2582+AW2600)*(1+$E2609),0.01)</f>
        <v/>
      </c>
      <c r="AX2609" s="35">
        <f>MAX(INDEX(AX$381:AX$392,$D2609)+(AX2582+AX2600)*(1+$E2609),0.01)</f>
        <v/>
      </c>
      <c r="AY2609" s="35">
        <f>MAX(INDEX(AY$381:AY$392,$D2609)+(AY2582+AY2600)*(1+$E2609),0.01)</f>
        <v/>
      </c>
      <c r="AZ2609" s="35">
        <f>MAX(INDEX(AZ$381:AZ$392,$D2609)+(AZ2582+AZ2600)*(1+$E2609),0.01)</f>
        <v/>
      </c>
      <c r="BA2609" s="42">
        <f>POSTTAX(INDEX(BA$381:BA$392,$D2609),BA2582+BA2600,$E2609)</f>
        <v/>
      </c>
    </row>
    <row r="2610" hidden="1" outlineLevel="2">
      <c r="A2610" s="14" t="inlineStr">
        <is>
          <t>atp</t>
        </is>
      </c>
      <c r="B2610" s="14" t="inlineStr">
        <is>
          <t>bio</t>
        </is>
      </c>
      <c r="C2610" s="14" t="inlineStr">
        <is>
          <t>omn</t>
        </is>
      </c>
      <c r="D2610" s="35">
        <f>INDEX(Inputs!$U$5:$U$132,MATCH($B2610&amp;"|"&amp;$C2610,Inputs!$A$5:$A$132,0))</f>
        <v/>
      </c>
      <c r="E2610" s="35">
        <f>INDEX(Inputs!$V$5:$V$132,MATCH($B2610&amp;"|"&amp;$C2610,Inputs!$A$5:$A$132,0))</f>
        <v/>
      </c>
      <c r="F2610" s="39" t="n"/>
      <c r="G2610" s="39" t="n"/>
      <c r="H2610" s="14">
        <f>INDEX(VarLab,MATCH($A2610,VarKey,0))&amp;INDEX(MemLab,MATCH($C2610&amp;"|"&amp;$B2610,MemKey,0))</f>
        <v/>
      </c>
      <c r="I2610" s="14">
        <f>INDEX(VarUnit,MATCH($A2610,VarKey,0))</f>
        <v/>
      </c>
      <c r="J2610" s="14">
        <f>INDEX(VarSrc,MATCH($A2610,VarKey,0))</f>
        <v/>
      </c>
      <c r="K2610" s="11">
        <f>CodePrefix&amp;$A2610&amp;IF($C2610="","","."&amp;$C2610&amp;"."&amp;$B2610)&amp;INDEX(VarEnd,MATCH($A2610,VarKey,0))&amp;K$5</f>
        <v/>
      </c>
      <c r="L2610" s="40">
        <f>MAX(INDEX(L$381:L$392,$D2610)+(L2583+L2601)*(1+$E2610),0.01)</f>
        <v/>
      </c>
      <c r="M2610" s="35">
        <f>MAX(INDEX(M$381:M$392,$D2610)+(M2583+M2601)*(1+$E2610),0.01)</f>
        <v/>
      </c>
      <c r="N2610" s="35">
        <f>MAX(INDEX(N$381:N$392,$D2610)+(N2583+N2601)*(1+$E2610),0.01)</f>
        <v/>
      </c>
      <c r="O2610" s="35">
        <f>MAX(INDEX(O$381:O$392,$D2610)+(O2583+O2601)*(1+$E2610),0.01)</f>
        <v/>
      </c>
      <c r="P2610" s="35">
        <f>MAX(INDEX(P$381:P$392,$D2610)+(P2583+P2601)*(1+$E2610),0.01)</f>
        <v/>
      </c>
      <c r="Q2610" s="35">
        <f>MAX(INDEX(Q$381:Q$392,$D2610)+(Q2583+Q2601)*(1+$E2610),0.01)</f>
        <v/>
      </c>
      <c r="R2610" s="35">
        <f>MAX(INDEX(R$381:R$392,$D2610)+(R2583+R2601)*(1+$E2610),0.01)</f>
        <v/>
      </c>
      <c r="S2610" s="35">
        <f>MAX(INDEX(S$381:S$392,$D2610)+(S2583+S2601)*(1+$E2610),0.01)</f>
        <v/>
      </c>
      <c r="T2610" s="35">
        <f>MAX(INDEX(T$381:T$392,$D2610)+(T2583+T2601)*(1+$E2610),0.01)</f>
        <v/>
      </c>
      <c r="U2610" s="35">
        <f>MAX(INDEX(U$381:U$392,$D2610)+(U2583+U2601)*(1+$E2610),0.01)</f>
        <v/>
      </c>
      <c r="V2610" s="35">
        <f>MAX(INDEX(V$381:V$392,$D2610)+(V2583+V2601)*(1+$E2610),0.01)</f>
        <v/>
      </c>
      <c r="W2610" s="35">
        <f>MAX(INDEX(W$381:W$392,$D2610)+(W2583+W2601)*(1+$E2610),0.01)</f>
        <v/>
      </c>
      <c r="X2610" s="35">
        <f>MAX(INDEX(X$381:X$392,$D2610)+(X2583+X2601)*(1+$E2610),0.01)</f>
        <v/>
      </c>
      <c r="Y2610" s="35">
        <f>MAX(INDEX(Y$381:Y$392,$D2610)+(Y2583+Y2601)*(1+$E2610),0.01)</f>
        <v/>
      </c>
      <c r="Z2610" s="35">
        <f>MAX(INDEX(Z$381:Z$392,$D2610)+(Z2583+Z2601)*(1+$E2610),0.01)</f>
        <v/>
      </c>
      <c r="AA2610" s="35">
        <f>MAX(INDEX(AA$381:AA$392,$D2610)+(AA2583+AA2601)*(1+$E2610),0.01)</f>
        <v/>
      </c>
      <c r="AB2610" s="35">
        <f>MAX(INDEX(AB$381:AB$392,$D2610)+(AB2583+AB2601)*(1+$E2610),0.01)</f>
        <v/>
      </c>
      <c r="AC2610" s="35">
        <f>MAX(INDEX(AC$381:AC$392,$D2610)+(AC2583+AC2601)*(1+$E2610),0.01)</f>
        <v/>
      </c>
      <c r="AD2610" s="35">
        <f>MAX(INDEX(AD$381:AD$392,$D2610)+(AD2583+AD2601)*(1+$E2610),0.01)</f>
        <v/>
      </c>
      <c r="AE2610" s="42">
        <f>POSTTAX(INDEX(AE$381:AE$392,$D2610),AE2583+AE2601,$E2610)</f>
        <v/>
      </c>
      <c r="AG2610" s="11">
        <f>CodePrefix&amp;$A2610&amp;IF($C2610="","","."&amp;$C2610&amp;"."&amp;$B2610)&amp;INDEX(VarEnd,MATCH($A2610,VarKey,0))&amp;AG$5</f>
        <v/>
      </c>
      <c r="AH2610" s="40">
        <f>MAX(INDEX(AH$381:AH$392,$D2610)+(AH2583+AH2601)*(1+$E2610),0.01)</f>
        <v/>
      </c>
      <c r="AI2610" s="35">
        <f>MAX(INDEX(AI$381:AI$392,$D2610)+(AI2583+AI2601)*(1+$E2610),0.01)</f>
        <v/>
      </c>
      <c r="AJ2610" s="35">
        <f>MAX(INDEX(AJ$381:AJ$392,$D2610)+(AJ2583+AJ2601)*(1+$E2610),0.01)</f>
        <v/>
      </c>
      <c r="AK2610" s="35">
        <f>MAX(INDEX(AK$381:AK$392,$D2610)+(AK2583+AK2601)*(1+$E2610),0.01)</f>
        <v/>
      </c>
      <c r="AL2610" s="35">
        <f>MAX(INDEX(AL$381:AL$392,$D2610)+(AL2583+AL2601)*(1+$E2610),0.01)</f>
        <v/>
      </c>
      <c r="AM2610" s="35">
        <f>MAX(INDEX(AM$381:AM$392,$D2610)+(AM2583+AM2601)*(1+$E2610),0.01)</f>
        <v/>
      </c>
      <c r="AN2610" s="35">
        <f>MAX(INDEX(AN$381:AN$392,$D2610)+(AN2583+AN2601)*(1+$E2610),0.01)</f>
        <v/>
      </c>
      <c r="AO2610" s="35">
        <f>MAX(INDEX(AO$381:AO$392,$D2610)+(AO2583+AO2601)*(1+$E2610),0.01)</f>
        <v/>
      </c>
      <c r="AP2610" s="35">
        <f>MAX(INDEX(AP$381:AP$392,$D2610)+(AP2583+AP2601)*(1+$E2610),0.01)</f>
        <v/>
      </c>
      <c r="AQ2610" s="35">
        <f>MAX(INDEX(AQ$381:AQ$392,$D2610)+(AQ2583+AQ2601)*(1+$E2610),0.01)</f>
        <v/>
      </c>
      <c r="AR2610" s="35">
        <f>MAX(INDEX(AR$381:AR$392,$D2610)+(AR2583+AR2601)*(1+$E2610),0.01)</f>
        <v/>
      </c>
      <c r="AS2610" s="35">
        <f>MAX(INDEX(AS$381:AS$392,$D2610)+(AS2583+AS2601)*(1+$E2610),0.01)</f>
        <v/>
      </c>
      <c r="AT2610" s="35">
        <f>MAX(INDEX(AT$381:AT$392,$D2610)+(AT2583+AT2601)*(1+$E2610),0.01)</f>
        <v/>
      </c>
      <c r="AU2610" s="35">
        <f>MAX(INDEX(AU$381:AU$392,$D2610)+(AU2583+AU2601)*(1+$E2610),0.01)</f>
        <v/>
      </c>
      <c r="AV2610" s="35">
        <f>MAX(INDEX(AV$381:AV$392,$D2610)+(AV2583+AV2601)*(1+$E2610),0.01)</f>
        <v/>
      </c>
      <c r="AW2610" s="35">
        <f>MAX(INDEX(AW$381:AW$392,$D2610)+(AW2583+AW2601)*(1+$E2610),0.01)</f>
        <v/>
      </c>
      <c r="AX2610" s="35">
        <f>MAX(INDEX(AX$381:AX$392,$D2610)+(AX2583+AX2601)*(1+$E2610),0.01)</f>
        <v/>
      </c>
      <c r="AY2610" s="35">
        <f>MAX(INDEX(AY$381:AY$392,$D2610)+(AY2583+AY2601)*(1+$E2610),0.01)</f>
        <v/>
      </c>
      <c r="AZ2610" s="35">
        <f>MAX(INDEX(AZ$381:AZ$392,$D2610)+(AZ2583+AZ2601)*(1+$E2610),0.01)</f>
        <v/>
      </c>
      <c r="BA2610" s="42">
        <f>POSTTAX(INDEX(BA$381:BA$392,$D2610),BA2583+BA2601,$E2610)</f>
        <v/>
      </c>
    </row>
    <row r="2611" hidden="1" outlineLevel="2"/>
    <row r="2612" hidden="1" outlineLevel="2">
      <c r="A2612" s="14" t="inlineStr">
        <is>
          <t>shp</t>
        </is>
      </c>
      <c r="B2612" s="14" t="inlineStr">
        <is>
          <t>coa</t>
        </is>
      </c>
      <c r="C2612" s="14" t="inlineStr">
        <is>
          <t>omn</t>
        </is>
      </c>
      <c r="D2612" s="35">
        <f>INDEX(Inputs!$W$5:$W$132,MATCH($B2612&amp;"|"&amp;$C2612,Inputs!$A$5:$A$132,0))</f>
        <v/>
      </c>
      <c r="E2612" s="35">
        <f>INDEX(Inputs!$M$5:$M$132,MATCH($B2612&amp;"|"&amp;$C2612,Inputs!$A$5:$A$132,0))</f>
        <v/>
      </c>
      <c r="F2612" s="39" t="n"/>
      <c r="G2612" s="39" t="n"/>
      <c r="H2612" s="14">
        <f>INDEX(VarLab,MATCH($A2612,VarKey,0))&amp;INDEX(MemLab,MATCH($C2612&amp;"|"&amp;$B2612,MemKey,0))</f>
        <v/>
      </c>
      <c r="I2612" s="14">
        <f>INDEX(VarUnit,MATCH($A2612,VarKey,0))</f>
        <v/>
      </c>
      <c r="J2612" s="14">
        <f>INDEX(VarSrc,MATCH($A2612,VarKey,0))</f>
        <v/>
      </c>
      <c r="K2612" s="11">
        <f>CodePrefix&amp;$A2612&amp;IF($C2612="","","."&amp;$C2612&amp;"."&amp;$B2612)&amp;INDEX(VarEnd,MATCH($A2612,VarKey,0))&amp;K$5</f>
        <v/>
      </c>
      <c r="L2612" s="40">
        <f>INDEX(L$297:L$313,$E2612)*$D2612</f>
        <v/>
      </c>
      <c r="M2612" s="35">
        <f>INDEX(M$297:M$313,$E2612)*$D2612</f>
        <v/>
      </c>
      <c r="N2612" s="35">
        <f>INDEX(N$297:N$313,$E2612)*$D2612</f>
        <v/>
      </c>
      <c r="O2612" s="35">
        <f>INDEX(O$297:O$313,$E2612)*$D2612</f>
        <v/>
      </c>
      <c r="P2612" s="35">
        <f>INDEX(P$297:P$313,$E2612)*$D2612</f>
        <v/>
      </c>
      <c r="Q2612" s="35">
        <f>INDEX(Q$297:Q$313,$E2612)*$D2612</f>
        <v/>
      </c>
      <c r="R2612" s="35">
        <f>INDEX(R$297:R$313,$E2612)*$D2612</f>
        <v/>
      </c>
      <c r="S2612" s="35">
        <f>INDEX(S$297:S$313,$E2612)*$D2612</f>
        <v/>
      </c>
      <c r="T2612" s="35">
        <f>INDEX(T$297:T$313,$E2612)*$D2612</f>
        <v/>
      </c>
      <c r="U2612" s="35">
        <f>INDEX(U$297:U$313,$E2612)*$D2612</f>
        <v/>
      </c>
      <c r="V2612" s="35">
        <f>INDEX(V$297:V$313,$E2612)*$D2612</f>
        <v/>
      </c>
      <c r="W2612" s="35">
        <f>INDEX(W$297:W$313,$E2612)*$D2612</f>
        <v/>
      </c>
      <c r="X2612" s="35">
        <f>INDEX(X$297:X$313,$E2612)*$D2612</f>
        <v/>
      </c>
      <c r="Y2612" s="35">
        <f>INDEX(Y$297:Y$313,$E2612)*$D2612</f>
        <v/>
      </c>
      <c r="Z2612" s="35">
        <f>INDEX(Z$297:Z$313,$E2612)*$D2612</f>
        <v/>
      </c>
      <c r="AA2612" s="35">
        <f>INDEX(AA$297:AA$313,$E2612)*$D2612</f>
        <v/>
      </c>
      <c r="AB2612" s="35">
        <f>INDEX(AB$297:AB$313,$E2612)*$D2612</f>
        <v/>
      </c>
      <c r="AC2612" s="35">
        <f>INDEX(AC$297:AC$313,$E2612)*$D2612</f>
        <v/>
      </c>
      <c r="AD2612" s="35">
        <f>INDEX(AD$297:AD$313,$E2612)*$D2612</f>
        <v/>
      </c>
      <c r="AE2612" s="42">
        <f>SHADOWGJ(INDEX(AE$297:AE$313,$E2612),$D2612)</f>
        <v/>
      </c>
      <c r="AG2612" s="11">
        <f>CodePrefix&amp;$A2612&amp;IF($C2612="","","."&amp;$C2612&amp;"."&amp;$B2612)&amp;INDEX(VarEnd,MATCH($A2612,VarKey,0))&amp;AG$5</f>
        <v/>
      </c>
      <c r="AH2612" s="40">
        <f>INDEX(AH$297:AH$313,$E2612)*$D2612</f>
        <v/>
      </c>
      <c r="AI2612" s="35">
        <f>INDEX(AI$297:AI$313,$E2612)*$D2612</f>
        <v/>
      </c>
      <c r="AJ2612" s="35">
        <f>INDEX(AJ$297:AJ$313,$E2612)*$D2612</f>
        <v/>
      </c>
      <c r="AK2612" s="35">
        <f>INDEX(AK$297:AK$313,$E2612)*$D2612</f>
        <v/>
      </c>
      <c r="AL2612" s="35">
        <f>INDEX(AL$297:AL$313,$E2612)*$D2612</f>
        <v/>
      </c>
      <c r="AM2612" s="35">
        <f>INDEX(AM$297:AM$313,$E2612)*$D2612</f>
        <v/>
      </c>
      <c r="AN2612" s="35">
        <f>INDEX(AN$297:AN$313,$E2612)*$D2612</f>
        <v/>
      </c>
      <c r="AO2612" s="35">
        <f>INDEX(AO$297:AO$313,$E2612)*$D2612</f>
        <v/>
      </c>
      <c r="AP2612" s="35">
        <f>INDEX(AP$297:AP$313,$E2612)*$D2612</f>
        <v/>
      </c>
      <c r="AQ2612" s="35">
        <f>INDEX(AQ$297:AQ$313,$E2612)*$D2612</f>
        <v/>
      </c>
      <c r="AR2612" s="35">
        <f>INDEX(AR$297:AR$313,$E2612)*$D2612</f>
        <v/>
      </c>
      <c r="AS2612" s="35">
        <f>INDEX(AS$297:AS$313,$E2612)*$D2612</f>
        <v/>
      </c>
      <c r="AT2612" s="35">
        <f>INDEX(AT$297:AT$313,$E2612)*$D2612</f>
        <v/>
      </c>
      <c r="AU2612" s="35">
        <f>INDEX(AU$297:AU$313,$E2612)*$D2612</f>
        <v/>
      </c>
      <c r="AV2612" s="35">
        <f>INDEX(AV$297:AV$313,$E2612)*$D2612</f>
        <v/>
      </c>
      <c r="AW2612" s="35">
        <f>INDEX(AW$297:AW$313,$E2612)*$D2612</f>
        <v/>
      </c>
      <c r="AX2612" s="35">
        <f>INDEX(AX$297:AX$313,$E2612)*$D2612</f>
        <v/>
      </c>
      <c r="AY2612" s="35">
        <f>INDEX(AY$297:AY$313,$E2612)*$D2612</f>
        <v/>
      </c>
      <c r="AZ2612" s="35">
        <f>INDEX(AZ$297:AZ$313,$E2612)*$D2612</f>
        <v/>
      </c>
      <c r="BA2612" s="42">
        <f>SHADOWGJ(INDEX(BA$297:BA$313,$E2612),$D2612)</f>
        <v/>
      </c>
    </row>
    <row r="2613" hidden="1" outlineLevel="2">
      <c r="A2613" s="14" t="inlineStr">
        <is>
          <t>shp</t>
        </is>
      </c>
      <c r="B2613" s="14" t="inlineStr">
        <is>
          <t>nga</t>
        </is>
      </c>
      <c r="C2613" s="14" t="inlineStr">
        <is>
          <t>omn</t>
        </is>
      </c>
      <c r="D2613" s="35">
        <f>INDEX(Inputs!$W$5:$W$132,MATCH($B2613&amp;"|"&amp;$C2613,Inputs!$A$5:$A$132,0))</f>
        <v/>
      </c>
      <c r="E2613" s="35">
        <f>INDEX(Inputs!$M$5:$M$132,MATCH($B2613&amp;"|"&amp;$C2613,Inputs!$A$5:$A$132,0))</f>
        <v/>
      </c>
      <c r="F2613" s="39" t="n"/>
      <c r="G2613" s="39" t="n"/>
      <c r="H2613" s="14">
        <f>INDEX(VarLab,MATCH($A2613,VarKey,0))&amp;INDEX(MemLab,MATCH($C2613&amp;"|"&amp;$B2613,MemKey,0))</f>
        <v/>
      </c>
      <c r="I2613" s="14">
        <f>INDEX(VarUnit,MATCH($A2613,VarKey,0))</f>
        <v/>
      </c>
      <c r="J2613" s="14">
        <f>INDEX(VarSrc,MATCH($A2613,VarKey,0))</f>
        <v/>
      </c>
      <c r="K2613" s="11">
        <f>CodePrefix&amp;$A2613&amp;IF($C2613="","","."&amp;$C2613&amp;"."&amp;$B2613)&amp;INDEX(VarEnd,MATCH($A2613,VarKey,0))&amp;K$5</f>
        <v/>
      </c>
      <c r="L2613" s="40">
        <f>INDEX(L$297:L$313,$E2613)*$D2613</f>
        <v/>
      </c>
      <c r="M2613" s="35">
        <f>INDEX(M$297:M$313,$E2613)*$D2613</f>
        <v/>
      </c>
      <c r="N2613" s="35">
        <f>INDEX(N$297:N$313,$E2613)*$D2613</f>
        <v/>
      </c>
      <c r="O2613" s="35">
        <f>INDEX(O$297:O$313,$E2613)*$D2613</f>
        <v/>
      </c>
      <c r="P2613" s="35">
        <f>INDEX(P$297:P$313,$E2613)*$D2613</f>
        <v/>
      </c>
      <c r="Q2613" s="35">
        <f>INDEX(Q$297:Q$313,$E2613)*$D2613</f>
        <v/>
      </c>
      <c r="R2613" s="35">
        <f>INDEX(R$297:R$313,$E2613)*$D2613</f>
        <v/>
      </c>
      <c r="S2613" s="35">
        <f>INDEX(S$297:S$313,$E2613)*$D2613</f>
        <v/>
      </c>
      <c r="T2613" s="35">
        <f>INDEX(T$297:T$313,$E2613)*$D2613</f>
        <v/>
      </c>
      <c r="U2613" s="35">
        <f>INDEX(U$297:U$313,$E2613)*$D2613</f>
        <v/>
      </c>
      <c r="V2613" s="35">
        <f>INDEX(V$297:V$313,$E2613)*$D2613</f>
        <v/>
      </c>
      <c r="W2613" s="35">
        <f>INDEX(W$297:W$313,$E2613)*$D2613</f>
        <v/>
      </c>
      <c r="X2613" s="35">
        <f>INDEX(X$297:X$313,$E2613)*$D2613</f>
        <v/>
      </c>
      <c r="Y2613" s="35">
        <f>INDEX(Y$297:Y$313,$E2613)*$D2613</f>
        <v/>
      </c>
      <c r="Z2613" s="35">
        <f>INDEX(Z$297:Z$313,$E2613)*$D2613</f>
        <v/>
      </c>
      <c r="AA2613" s="35">
        <f>INDEX(AA$297:AA$313,$E2613)*$D2613</f>
        <v/>
      </c>
      <c r="AB2613" s="35">
        <f>INDEX(AB$297:AB$313,$E2613)*$D2613</f>
        <v/>
      </c>
      <c r="AC2613" s="35">
        <f>INDEX(AC$297:AC$313,$E2613)*$D2613</f>
        <v/>
      </c>
      <c r="AD2613" s="35">
        <f>INDEX(AD$297:AD$313,$E2613)*$D2613</f>
        <v/>
      </c>
      <c r="AE2613" s="42">
        <f>SHADOWGJ(INDEX(AE$297:AE$313,$E2613),$D2613)</f>
        <v/>
      </c>
      <c r="AG2613" s="11">
        <f>CodePrefix&amp;$A2613&amp;IF($C2613="","","."&amp;$C2613&amp;"."&amp;$B2613)&amp;INDEX(VarEnd,MATCH($A2613,VarKey,0))&amp;AG$5</f>
        <v/>
      </c>
      <c r="AH2613" s="40">
        <f>INDEX(AH$297:AH$313,$E2613)*$D2613</f>
        <v/>
      </c>
      <c r="AI2613" s="35">
        <f>INDEX(AI$297:AI$313,$E2613)*$D2613</f>
        <v/>
      </c>
      <c r="AJ2613" s="35">
        <f>INDEX(AJ$297:AJ$313,$E2613)*$D2613</f>
        <v/>
      </c>
      <c r="AK2613" s="35">
        <f>INDEX(AK$297:AK$313,$E2613)*$D2613</f>
        <v/>
      </c>
      <c r="AL2613" s="35">
        <f>INDEX(AL$297:AL$313,$E2613)*$D2613</f>
        <v/>
      </c>
      <c r="AM2613" s="35">
        <f>INDEX(AM$297:AM$313,$E2613)*$D2613</f>
        <v/>
      </c>
      <c r="AN2613" s="35">
        <f>INDEX(AN$297:AN$313,$E2613)*$D2613</f>
        <v/>
      </c>
      <c r="AO2613" s="35">
        <f>INDEX(AO$297:AO$313,$E2613)*$D2613</f>
        <v/>
      </c>
      <c r="AP2613" s="35">
        <f>INDEX(AP$297:AP$313,$E2613)*$D2613</f>
        <v/>
      </c>
      <c r="AQ2613" s="35">
        <f>INDEX(AQ$297:AQ$313,$E2613)*$D2613</f>
        <v/>
      </c>
      <c r="AR2613" s="35">
        <f>INDEX(AR$297:AR$313,$E2613)*$D2613</f>
        <v/>
      </c>
      <c r="AS2613" s="35">
        <f>INDEX(AS$297:AS$313,$E2613)*$D2613</f>
        <v/>
      </c>
      <c r="AT2613" s="35">
        <f>INDEX(AT$297:AT$313,$E2613)*$D2613</f>
        <v/>
      </c>
      <c r="AU2613" s="35">
        <f>INDEX(AU$297:AU$313,$E2613)*$D2613</f>
        <v/>
      </c>
      <c r="AV2613" s="35">
        <f>INDEX(AV$297:AV$313,$E2613)*$D2613</f>
        <v/>
      </c>
      <c r="AW2613" s="35">
        <f>INDEX(AW$297:AW$313,$E2613)*$D2613</f>
        <v/>
      </c>
      <c r="AX2613" s="35">
        <f>INDEX(AX$297:AX$313,$E2613)*$D2613</f>
        <v/>
      </c>
      <c r="AY2613" s="35">
        <f>INDEX(AY$297:AY$313,$E2613)*$D2613</f>
        <v/>
      </c>
      <c r="AZ2613" s="35">
        <f>INDEX(AZ$297:AZ$313,$E2613)*$D2613</f>
        <v/>
      </c>
      <c r="BA2613" s="42">
        <f>SHADOWGJ(INDEX(BA$297:BA$313,$E2613),$D2613)</f>
        <v/>
      </c>
    </row>
    <row r="2614" hidden="1" outlineLevel="2">
      <c r="A2614" s="14" t="inlineStr">
        <is>
          <t>shp</t>
        </is>
      </c>
      <c r="B2614" s="14" t="inlineStr">
        <is>
          <t>gso</t>
        </is>
      </c>
      <c r="C2614" s="14" t="inlineStr">
        <is>
          <t>omn</t>
        </is>
      </c>
      <c r="D2614" s="35">
        <f>INDEX(Inputs!$W$5:$W$132,MATCH($B2614&amp;"|"&amp;$C2614,Inputs!$A$5:$A$132,0))</f>
        <v/>
      </c>
      <c r="E2614" s="35">
        <f>INDEX(Inputs!$M$5:$M$132,MATCH($B2614&amp;"|"&amp;$C2614,Inputs!$A$5:$A$132,0))</f>
        <v/>
      </c>
      <c r="F2614" s="39" t="n"/>
      <c r="G2614" s="39" t="n"/>
      <c r="H2614" s="14">
        <f>INDEX(VarLab,MATCH($A2614,VarKey,0))&amp;INDEX(MemLab,MATCH($C2614&amp;"|"&amp;$B2614,MemKey,0))</f>
        <v/>
      </c>
      <c r="I2614" s="14">
        <f>INDEX(VarUnit,MATCH($A2614,VarKey,0))</f>
        <v/>
      </c>
      <c r="J2614" s="14">
        <f>INDEX(VarSrc,MATCH($A2614,VarKey,0))</f>
        <v/>
      </c>
      <c r="K2614" s="11">
        <f>CodePrefix&amp;$A2614&amp;IF($C2614="","","."&amp;$C2614&amp;"."&amp;$B2614)&amp;INDEX(VarEnd,MATCH($A2614,VarKey,0))&amp;K$5</f>
        <v/>
      </c>
      <c r="L2614" s="40">
        <f>INDEX(L$297:L$313,$E2614)*$D2614</f>
        <v/>
      </c>
      <c r="M2614" s="35">
        <f>INDEX(M$297:M$313,$E2614)*$D2614</f>
        <v/>
      </c>
      <c r="N2614" s="35">
        <f>INDEX(N$297:N$313,$E2614)*$D2614</f>
        <v/>
      </c>
      <c r="O2614" s="35">
        <f>INDEX(O$297:O$313,$E2614)*$D2614</f>
        <v/>
      </c>
      <c r="P2614" s="35">
        <f>INDEX(P$297:P$313,$E2614)*$D2614</f>
        <v/>
      </c>
      <c r="Q2614" s="35">
        <f>INDEX(Q$297:Q$313,$E2614)*$D2614</f>
        <v/>
      </c>
      <c r="R2614" s="35">
        <f>INDEX(R$297:R$313,$E2614)*$D2614</f>
        <v/>
      </c>
      <c r="S2614" s="35">
        <f>INDEX(S$297:S$313,$E2614)*$D2614</f>
        <v/>
      </c>
      <c r="T2614" s="35">
        <f>INDEX(T$297:T$313,$E2614)*$D2614</f>
        <v/>
      </c>
      <c r="U2614" s="35">
        <f>INDEX(U$297:U$313,$E2614)*$D2614</f>
        <v/>
      </c>
      <c r="V2614" s="35">
        <f>INDEX(V$297:V$313,$E2614)*$D2614</f>
        <v/>
      </c>
      <c r="W2614" s="35">
        <f>INDEX(W$297:W$313,$E2614)*$D2614</f>
        <v/>
      </c>
      <c r="X2614" s="35">
        <f>INDEX(X$297:X$313,$E2614)*$D2614</f>
        <v/>
      </c>
      <c r="Y2614" s="35">
        <f>INDEX(Y$297:Y$313,$E2614)*$D2614</f>
        <v/>
      </c>
      <c r="Z2614" s="35">
        <f>INDEX(Z$297:Z$313,$E2614)*$D2614</f>
        <v/>
      </c>
      <c r="AA2614" s="35">
        <f>INDEX(AA$297:AA$313,$E2614)*$D2614</f>
        <v/>
      </c>
      <c r="AB2614" s="35">
        <f>INDEX(AB$297:AB$313,$E2614)*$D2614</f>
        <v/>
      </c>
      <c r="AC2614" s="35">
        <f>INDEX(AC$297:AC$313,$E2614)*$D2614</f>
        <v/>
      </c>
      <c r="AD2614" s="35">
        <f>INDEX(AD$297:AD$313,$E2614)*$D2614</f>
        <v/>
      </c>
      <c r="AE2614" s="42">
        <f>SHADOWGJ(INDEX(AE$297:AE$313,$E2614),$D2614)</f>
        <v/>
      </c>
      <c r="AG2614" s="11">
        <f>CodePrefix&amp;$A2614&amp;IF($C2614="","","."&amp;$C2614&amp;"."&amp;$B2614)&amp;INDEX(VarEnd,MATCH($A2614,VarKey,0))&amp;AG$5</f>
        <v/>
      </c>
      <c r="AH2614" s="40">
        <f>INDEX(AH$297:AH$313,$E2614)*$D2614</f>
        <v/>
      </c>
      <c r="AI2614" s="35">
        <f>INDEX(AI$297:AI$313,$E2614)*$D2614</f>
        <v/>
      </c>
      <c r="AJ2614" s="35">
        <f>INDEX(AJ$297:AJ$313,$E2614)*$D2614</f>
        <v/>
      </c>
      <c r="AK2614" s="35">
        <f>INDEX(AK$297:AK$313,$E2614)*$D2614</f>
        <v/>
      </c>
      <c r="AL2614" s="35">
        <f>INDEX(AL$297:AL$313,$E2614)*$D2614</f>
        <v/>
      </c>
      <c r="AM2614" s="35">
        <f>INDEX(AM$297:AM$313,$E2614)*$D2614</f>
        <v/>
      </c>
      <c r="AN2614" s="35">
        <f>INDEX(AN$297:AN$313,$E2614)*$D2614</f>
        <v/>
      </c>
      <c r="AO2614" s="35">
        <f>INDEX(AO$297:AO$313,$E2614)*$D2614</f>
        <v/>
      </c>
      <c r="AP2614" s="35">
        <f>INDEX(AP$297:AP$313,$E2614)*$D2614</f>
        <v/>
      </c>
      <c r="AQ2614" s="35">
        <f>INDEX(AQ$297:AQ$313,$E2614)*$D2614</f>
        <v/>
      </c>
      <c r="AR2614" s="35">
        <f>INDEX(AR$297:AR$313,$E2614)*$D2614</f>
        <v/>
      </c>
      <c r="AS2614" s="35">
        <f>INDEX(AS$297:AS$313,$E2614)*$D2614</f>
        <v/>
      </c>
      <c r="AT2614" s="35">
        <f>INDEX(AT$297:AT$313,$E2614)*$D2614</f>
        <v/>
      </c>
      <c r="AU2614" s="35">
        <f>INDEX(AU$297:AU$313,$E2614)*$D2614</f>
        <v/>
      </c>
      <c r="AV2614" s="35">
        <f>INDEX(AV$297:AV$313,$E2614)*$D2614</f>
        <v/>
      </c>
      <c r="AW2614" s="35">
        <f>INDEX(AW$297:AW$313,$E2614)*$D2614</f>
        <v/>
      </c>
      <c r="AX2614" s="35">
        <f>INDEX(AX$297:AX$313,$E2614)*$D2614</f>
        <v/>
      </c>
      <c r="AY2614" s="35">
        <f>INDEX(AY$297:AY$313,$E2614)*$D2614</f>
        <v/>
      </c>
      <c r="AZ2614" s="35">
        <f>INDEX(AZ$297:AZ$313,$E2614)*$D2614</f>
        <v/>
      </c>
      <c r="BA2614" s="42">
        <f>SHADOWGJ(INDEX(BA$297:BA$313,$E2614),$D2614)</f>
        <v/>
      </c>
    </row>
    <row r="2615" hidden="1" outlineLevel="2">
      <c r="A2615" s="14" t="inlineStr">
        <is>
          <t>shp</t>
        </is>
      </c>
      <c r="B2615" s="14" t="inlineStr">
        <is>
          <t>die</t>
        </is>
      </c>
      <c r="C2615" s="14" t="inlineStr">
        <is>
          <t>omn</t>
        </is>
      </c>
      <c r="D2615" s="35">
        <f>INDEX(Inputs!$W$5:$W$132,MATCH($B2615&amp;"|"&amp;$C2615,Inputs!$A$5:$A$132,0))</f>
        <v/>
      </c>
      <c r="E2615" s="35">
        <f>INDEX(Inputs!$M$5:$M$132,MATCH($B2615&amp;"|"&amp;$C2615,Inputs!$A$5:$A$132,0))</f>
        <v/>
      </c>
      <c r="F2615" s="39" t="n"/>
      <c r="G2615" s="39" t="n"/>
      <c r="H2615" s="14">
        <f>INDEX(VarLab,MATCH($A2615,VarKey,0))&amp;INDEX(MemLab,MATCH($C2615&amp;"|"&amp;$B2615,MemKey,0))</f>
        <v/>
      </c>
      <c r="I2615" s="14">
        <f>INDEX(VarUnit,MATCH($A2615,VarKey,0))</f>
        <v/>
      </c>
      <c r="J2615" s="14">
        <f>INDEX(VarSrc,MATCH($A2615,VarKey,0))</f>
        <v/>
      </c>
      <c r="K2615" s="11">
        <f>CodePrefix&amp;$A2615&amp;IF($C2615="","","."&amp;$C2615&amp;"."&amp;$B2615)&amp;INDEX(VarEnd,MATCH($A2615,VarKey,0))&amp;K$5</f>
        <v/>
      </c>
      <c r="L2615" s="40">
        <f>INDEX(L$297:L$313,$E2615)*$D2615</f>
        <v/>
      </c>
      <c r="M2615" s="35">
        <f>INDEX(M$297:M$313,$E2615)*$D2615</f>
        <v/>
      </c>
      <c r="N2615" s="35">
        <f>INDEX(N$297:N$313,$E2615)*$D2615</f>
        <v/>
      </c>
      <c r="O2615" s="35">
        <f>INDEX(O$297:O$313,$E2615)*$D2615</f>
        <v/>
      </c>
      <c r="P2615" s="35">
        <f>INDEX(P$297:P$313,$E2615)*$D2615</f>
        <v/>
      </c>
      <c r="Q2615" s="35">
        <f>INDEX(Q$297:Q$313,$E2615)*$D2615</f>
        <v/>
      </c>
      <c r="R2615" s="35">
        <f>INDEX(R$297:R$313,$E2615)*$D2615</f>
        <v/>
      </c>
      <c r="S2615" s="35">
        <f>INDEX(S$297:S$313,$E2615)*$D2615</f>
        <v/>
      </c>
      <c r="T2615" s="35">
        <f>INDEX(T$297:T$313,$E2615)*$D2615</f>
        <v/>
      </c>
      <c r="U2615" s="35">
        <f>INDEX(U$297:U$313,$E2615)*$D2615</f>
        <v/>
      </c>
      <c r="V2615" s="35">
        <f>INDEX(V$297:V$313,$E2615)*$D2615</f>
        <v/>
      </c>
      <c r="W2615" s="35">
        <f>INDEX(W$297:W$313,$E2615)*$D2615</f>
        <v/>
      </c>
      <c r="X2615" s="35">
        <f>INDEX(X$297:X$313,$E2615)*$D2615</f>
        <v/>
      </c>
      <c r="Y2615" s="35">
        <f>INDEX(Y$297:Y$313,$E2615)*$D2615</f>
        <v/>
      </c>
      <c r="Z2615" s="35">
        <f>INDEX(Z$297:Z$313,$E2615)*$D2615</f>
        <v/>
      </c>
      <c r="AA2615" s="35">
        <f>INDEX(AA$297:AA$313,$E2615)*$D2615</f>
        <v/>
      </c>
      <c r="AB2615" s="35">
        <f>INDEX(AB$297:AB$313,$E2615)*$D2615</f>
        <v/>
      </c>
      <c r="AC2615" s="35">
        <f>INDEX(AC$297:AC$313,$E2615)*$D2615</f>
        <v/>
      </c>
      <c r="AD2615" s="35">
        <f>INDEX(AD$297:AD$313,$E2615)*$D2615</f>
        <v/>
      </c>
      <c r="AE2615" s="42">
        <f>SHADOWGJ(INDEX(AE$297:AE$313,$E2615),$D2615)</f>
        <v/>
      </c>
      <c r="AG2615" s="11">
        <f>CodePrefix&amp;$A2615&amp;IF($C2615="","","."&amp;$C2615&amp;"."&amp;$B2615)&amp;INDEX(VarEnd,MATCH($A2615,VarKey,0))&amp;AG$5</f>
        <v/>
      </c>
      <c r="AH2615" s="40">
        <f>INDEX(AH$297:AH$313,$E2615)*$D2615</f>
        <v/>
      </c>
      <c r="AI2615" s="35">
        <f>INDEX(AI$297:AI$313,$E2615)*$D2615</f>
        <v/>
      </c>
      <c r="AJ2615" s="35">
        <f>INDEX(AJ$297:AJ$313,$E2615)*$D2615</f>
        <v/>
      </c>
      <c r="AK2615" s="35">
        <f>INDEX(AK$297:AK$313,$E2615)*$D2615</f>
        <v/>
      </c>
      <c r="AL2615" s="35">
        <f>INDEX(AL$297:AL$313,$E2615)*$D2615</f>
        <v/>
      </c>
      <c r="AM2615" s="35">
        <f>INDEX(AM$297:AM$313,$E2615)*$D2615</f>
        <v/>
      </c>
      <c r="AN2615" s="35">
        <f>INDEX(AN$297:AN$313,$E2615)*$D2615</f>
        <v/>
      </c>
      <c r="AO2615" s="35">
        <f>INDEX(AO$297:AO$313,$E2615)*$D2615</f>
        <v/>
      </c>
      <c r="AP2615" s="35">
        <f>INDEX(AP$297:AP$313,$E2615)*$D2615</f>
        <v/>
      </c>
      <c r="AQ2615" s="35">
        <f>INDEX(AQ$297:AQ$313,$E2615)*$D2615</f>
        <v/>
      </c>
      <c r="AR2615" s="35">
        <f>INDEX(AR$297:AR$313,$E2615)*$D2615</f>
        <v/>
      </c>
      <c r="AS2615" s="35">
        <f>INDEX(AS$297:AS$313,$E2615)*$D2615</f>
        <v/>
      </c>
      <c r="AT2615" s="35">
        <f>INDEX(AT$297:AT$313,$E2615)*$D2615</f>
        <v/>
      </c>
      <c r="AU2615" s="35">
        <f>INDEX(AU$297:AU$313,$E2615)*$D2615</f>
        <v/>
      </c>
      <c r="AV2615" s="35">
        <f>INDEX(AV$297:AV$313,$E2615)*$D2615</f>
        <v/>
      </c>
      <c r="AW2615" s="35">
        <f>INDEX(AW$297:AW$313,$E2615)*$D2615</f>
        <v/>
      </c>
      <c r="AX2615" s="35">
        <f>INDEX(AX$297:AX$313,$E2615)*$D2615</f>
        <v/>
      </c>
      <c r="AY2615" s="35">
        <f>INDEX(AY$297:AY$313,$E2615)*$D2615</f>
        <v/>
      </c>
      <c r="AZ2615" s="35">
        <f>INDEX(AZ$297:AZ$313,$E2615)*$D2615</f>
        <v/>
      </c>
      <c r="BA2615" s="42">
        <f>SHADOWGJ(INDEX(BA$297:BA$313,$E2615),$D2615)</f>
        <v/>
      </c>
    </row>
    <row r="2616" hidden="1" outlineLevel="2">
      <c r="A2616" s="14" t="inlineStr">
        <is>
          <t>shp</t>
        </is>
      </c>
      <c r="B2616" s="14" t="inlineStr">
        <is>
          <t>lpg</t>
        </is>
      </c>
      <c r="C2616" s="14" t="inlineStr">
        <is>
          <t>omn</t>
        </is>
      </c>
      <c r="D2616" s="35">
        <f>INDEX(Inputs!$W$5:$W$132,MATCH($B2616&amp;"|"&amp;$C2616,Inputs!$A$5:$A$132,0))</f>
        <v/>
      </c>
      <c r="E2616" s="35">
        <f>INDEX(Inputs!$M$5:$M$132,MATCH($B2616&amp;"|"&amp;$C2616,Inputs!$A$5:$A$132,0))</f>
        <v/>
      </c>
      <c r="F2616" s="39" t="n"/>
      <c r="G2616" s="39" t="n"/>
      <c r="H2616" s="14">
        <f>INDEX(VarLab,MATCH($A2616,VarKey,0))&amp;INDEX(MemLab,MATCH($C2616&amp;"|"&amp;$B2616,MemKey,0))</f>
        <v/>
      </c>
      <c r="I2616" s="14">
        <f>INDEX(VarUnit,MATCH($A2616,VarKey,0))</f>
        <v/>
      </c>
      <c r="J2616" s="14">
        <f>INDEX(VarSrc,MATCH($A2616,VarKey,0))</f>
        <v/>
      </c>
      <c r="K2616" s="11">
        <f>CodePrefix&amp;$A2616&amp;IF($C2616="","","."&amp;$C2616&amp;"."&amp;$B2616)&amp;INDEX(VarEnd,MATCH($A2616,VarKey,0))&amp;K$5</f>
        <v/>
      </c>
      <c r="L2616" s="40">
        <f>INDEX(L$297:L$313,$E2616)*$D2616</f>
        <v/>
      </c>
      <c r="M2616" s="35">
        <f>INDEX(M$297:M$313,$E2616)*$D2616</f>
        <v/>
      </c>
      <c r="N2616" s="35">
        <f>INDEX(N$297:N$313,$E2616)*$D2616</f>
        <v/>
      </c>
      <c r="O2616" s="35">
        <f>INDEX(O$297:O$313,$E2616)*$D2616</f>
        <v/>
      </c>
      <c r="P2616" s="35">
        <f>INDEX(P$297:P$313,$E2616)*$D2616</f>
        <v/>
      </c>
      <c r="Q2616" s="35">
        <f>INDEX(Q$297:Q$313,$E2616)*$D2616</f>
        <v/>
      </c>
      <c r="R2616" s="35">
        <f>INDEX(R$297:R$313,$E2616)*$D2616</f>
        <v/>
      </c>
      <c r="S2616" s="35">
        <f>INDEX(S$297:S$313,$E2616)*$D2616</f>
        <v/>
      </c>
      <c r="T2616" s="35">
        <f>INDEX(T$297:T$313,$E2616)*$D2616</f>
        <v/>
      </c>
      <c r="U2616" s="35">
        <f>INDEX(U$297:U$313,$E2616)*$D2616</f>
        <v/>
      </c>
      <c r="V2616" s="35">
        <f>INDEX(V$297:V$313,$E2616)*$D2616</f>
        <v/>
      </c>
      <c r="W2616" s="35">
        <f>INDEX(W$297:W$313,$E2616)*$D2616</f>
        <v/>
      </c>
      <c r="X2616" s="35">
        <f>INDEX(X$297:X$313,$E2616)*$D2616</f>
        <v/>
      </c>
      <c r="Y2616" s="35">
        <f>INDEX(Y$297:Y$313,$E2616)*$D2616</f>
        <v/>
      </c>
      <c r="Z2616" s="35">
        <f>INDEX(Z$297:Z$313,$E2616)*$D2616</f>
        <v/>
      </c>
      <c r="AA2616" s="35">
        <f>INDEX(AA$297:AA$313,$E2616)*$D2616</f>
        <v/>
      </c>
      <c r="AB2616" s="35">
        <f>INDEX(AB$297:AB$313,$E2616)*$D2616</f>
        <v/>
      </c>
      <c r="AC2616" s="35">
        <f>INDEX(AC$297:AC$313,$E2616)*$D2616</f>
        <v/>
      </c>
      <c r="AD2616" s="35">
        <f>INDEX(AD$297:AD$313,$E2616)*$D2616</f>
        <v/>
      </c>
      <c r="AE2616" s="42">
        <f>SHADOWGJ(INDEX(AE$297:AE$313,$E2616),$D2616)</f>
        <v/>
      </c>
      <c r="AG2616" s="11">
        <f>CodePrefix&amp;$A2616&amp;IF($C2616="","","."&amp;$C2616&amp;"."&amp;$B2616)&amp;INDEX(VarEnd,MATCH($A2616,VarKey,0))&amp;AG$5</f>
        <v/>
      </c>
      <c r="AH2616" s="40">
        <f>INDEX(AH$297:AH$313,$E2616)*$D2616</f>
        <v/>
      </c>
      <c r="AI2616" s="35">
        <f>INDEX(AI$297:AI$313,$E2616)*$D2616</f>
        <v/>
      </c>
      <c r="AJ2616" s="35">
        <f>INDEX(AJ$297:AJ$313,$E2616)*$D2616</f>
        <v/>
      </c>
      <c r="AK2616" s="35">
        <f>INDEX(AK$297:AK$313,$E2616)*$D2616</f>
        <v/>
      </c>
      <c r="AL2616" s="35">
        <f>INDEX(AL$297:AL$313,$E2616)*$D2616</f>
        <v/>
      </c>
      <c r="AM2616" s="35">
        <f>INDEX(AM$297:AM$313,$E2616)*$D2616</f>
        <v/>
      </c>
      <c r="AN2616" s="35">
        <f>INDEX(AN$297:AN$313,$E2616)*$D2616</f>
        <v/>
      </c>
      <c r="AO2616" s="35">
        <f>INDEX(AO$297:AO$313,$E2616)*$D2616</f>
        <v/>
      </c>
      <c r="AP2616" s="35">
        <f>INDEX(AP$297:AP$313,$E2616)*$D2616</f>
        <v/>
      </c>
      <c r="AQ2616" s="35">
        <f>INDEX(AQ$297:AQ$313,$E2616)*$D2616</f>
        <v/>
      </c>
      <c r="AR2616" s="35">
        <f>INDEX(AR$297:AR$313,$E2616)*$D2616</f>
        <v/>
      </c>
      <c r="AS2616" s="35">
        <f>INDEX(AS$297:AS$313,$E2616)*$D2616</f>
        <v/>
      </c>
      <c r="AT2616" s="35">
        <f>INDEX(AT$297:AT$313,$E2616)*$D2616</f>
        <v/>
      </c>
      <c r="AU2616" s="35">
        <f>INDEX(AU$297:AU$313,$E2616)*$D2616</f>
        <v/>
      </c>
      <c r="AV2616" s="35">
        <f>INDEX(AV$297:AV$313,$E2616)*$D2616</f>
        <v/>
      </c>
      <c r="AW2616" s="35">
        <f>INDEX(AW$297:AW$313,$E2616)*$D2616</f>
        <v/>
      </c>
      <c r="AX2616" s="35">
        <f>INDEX(AX$297:AX$313,$E2616)*$D2616</f>
        <v/>
      </c>
      <c r="AY2616" s="35">
        <f>INDEX(AY$297:AY$313,$E2616)*$D2616</f>
        <v/>
      </c>
      <c r="AZ2616" s="35">
        <f>INDEX(AZ$297:AZ$313,$E2616)*$D2616</f>
        <v/>
      </c>
      <c r="BA2616" s="42">
        <f>SHADOWGJ(INDEX(BA$297:BA$313,$E2616),$D2616)</f>
        <v/>
      </c>
    </row>
    <row r="2617" hidden="1" outlineLevel="2">
      <c r="A2617" s="14" t="inlineStr">
        <is>
          <t>shp</t>
        </is>
      </c>
      <c r="B2617" s="14" t="inlineStr">
        <is>
          <t>ker</t>
        </is>
      </c>
      <c r="C2617" s="14" t="inlineStr">
        <is>
          <t>omn</t>
        </is>
      </c>
      <c r="D2617" s="35">
        <f>INDEX(Inputs!$W$5:$W$132,MATCH($B2617&amp;"|"&amp;$C2617,Inputs!$A$5:$A$132,0))</f>
        <v/>
      </c>
      <c r="E2617" s="35">
        <f>INDEX(Inputs!$M$5:$M$132,MATCH($B2617&amp;"|"&amp;$C2617,Inputs!$A$5:$A$132,0))</f>
        <v/>
      </c>
      <c r="F2617" s="39" t="n"/>
      <c r="G2617" s="39" t="n"/>
      <c r="H2617" s="14">
        <f>INDEX(VarLab,MATCH($A2617,VarKey,0))&amp;INDEX(MemLab,MATCH($C2617&amp;"|"&amp;$B2617,MemKey,0))</f>
        <v/>
      </c>
      <c r="I2617" s="14">
        <f>INDEX(VarUnit,MATCH($A2617,VarKey,0))</f>
        <v/>
      </c>
      <c r="J2617" s="14">
        <f>INDEX(VarSrc,MATCH($A2617,VarKey,0))</f>
        <v/>
      </c>
      <c r="K2617" s="11">
        <f>CodePrefix&amp;$A2617&amp;IF($C2617="","","."&amp;$C2617&amp;"."&amp;$B2617)&amp;INDEX(VarEnd,MATCH($A2617,VarKey,0))&amp;K$5</f>
        <v/>
      </c>
      <c r="L2617" s="40">
        <f>INDEX(L$297:L$313,$E2617)*$D2617</f>
        <v/>
      </c>
      <c r="M2617" s="35">
        <f>INDEX(M$297:M$313,$E2617)*$D2617</f>
        <v/>
      </c>
      <c r="N2617" s="35">
        <f>INDEX(N$297:N$313,$E2617)*$D2617</f>
        <v/>
      </c>
      <c r="O2617" s="35">
        <f>INDEX(O$297:O$313,$E2617)*$D2617</f>
        <v/>
      </c>
      <c r="P2617" s="35">
        <f>INDEX(P$297:P$313,$E2617)*$D2617</f>
        <v/>
      </c>
      <c r="Q2617" s="35">
        <f>INDEX(Q$297:Q$313,$E2617)*$D2617</f>
        <v/>
      </c>
      <c r="R2617" s="35">
        <f>INDEX(R$297:R$313,$E2617)*$D2617</f>
        <v/>
      </c>
      <c r="S2617" s="35">
        <f>INDEX(S$297:S$313,$E2617)*$D2617</f>
        <v/>
      </c>
      <c r="T2617" s="35">
        <f>INDEX(T$297:T$313,$E2617)*$D2617</f>
        <v/>
      </c>
      <c r="U2617" s="35">
        <f>INDEX(U$297:U$313,$E2617)*$D2617</f>
        <v/>
      </c>
      <c r="V2617" s="35">
        <f>INDEX(V$297:V$313,$E2617)*$D2617</f>
        <v/>
      </c>
      <c r="W2617" s="35">
        <f>INDEX(W$297:W$313,$E2617)*$D2617</f>
        <v/>
      </c>
      <c r="X2617" s="35">
        <f>INDEX(X$297:X$313,$E2617)*$D2617</f>
        <v/>
      </c>
      <c r="Y2617" s="35">
        <f>INDEX(Y$297:Y$313,$E2617)*$D2617</f>
        <v/>
      </c>
      <c r="Z2617" s="35">
        <f>INDEX(Z$297:Z$313,$E2617)*$D2617</f>
        <v/>
      </c>
      <c r="AA2617" s="35">
        <f>INDEX(AA$297:AA$313,$E2617)*$D2617</f>
        <v/>
      </c>
      <c r="AB2617" s="35">
        <f>INDEX(AB$297:AB$313,$E2617)*$D2617</f>
        <v/>
      </c>
      <c r="AC2617" s="35">
        <f>INDEX(AC$297:AC$313,$E2617)*$D2617</f>
        <v/>
      </c>
      <c r="AD2617" s="35">
        <f>INDEX(AD$297:AD$313,$E2617)*$D2617</f>
        <v/>
      </c>
      <c r="AE2617" s="42">
        <f>SHADOWGJ(INDEX(AE$297:AE$313,$E2617),$D2617)</f>
        <v/>
      </c>
      <c r="AG2617" s="11">
        <f>CodePrefix&amp;$A2617&amp;IF($C2617="","","."&amp;$C2617&amp;"."&amp;$B2617)&amp;INDEX(VarEnd,MATCH($A2617,VarKey,0))&amp;AG$5</f>
        <v/>
      </c>
      <c r="AH2617" s="40">
        <f>INDEX(AH$297:AH$313,$E2617)*$D2617</f>
        <v/>
      </c>
      <c r="AI2617" s="35">
        <f>INDEX(AI$297:AI$313,$E2617)*$D2617</f>
        <v/>
      </c>
      <c r="AJ2617" s="35">
        <f>INDEX(AJ$297:AJ$313,$E2617)*$D2617</f>
        <v/>
      </c>
      <c r="AK2617" s="35">
        <f>INDEX(AK$297:AK$313,$E2617)*$D2617</f>
        <v/>
      </c>
      <c r="AL2617" s="35">
        <f>INDEX(AL$297:AL$313,$E2617)*$D2617</f>
        <v/>
      </c>
      <c r="AM2617" s="35">
        <f>INDEX(AM$297:AM$313,$E2617)*$D2617</f>
        <v/>
      </c>
      <c r="AN2617" s="35">
        <f>INDEX(AN$297:AN$313,$E2617)*$D2617</f>
        <v/>
      </c>
      <c r="AO2617" s="35">
        <f>INDEX(AO$297:AO$313,$E2617)*$D2617</f>
        <v/>
      </c>
      <c r="AP2617" s="35">
        <f>INDEX(AP$297:AP$313,$E2617)*$D2617</f>
        <v/>
      </c>
      <c r="AQ2617" s="35">
        <f>INDEX(AQ$297:AQ$313,$E2617)*$D2617</f>
        <v/>
      </c>
      <c r="AR2617" s="35">
        <f>INDEX(AR$297:AR$313,$E2617)*$D2617</f>
        <v/>
      </c>
      <c r="AS2617" s="35">
        <f>INDEX(AS$297:AS$313,$E2617)*$D2617</f>
        <v/>
      </c>
      <c r="AT2617" s="35">
        <f>INDEX(AT$297:AT$313,$E2617)*$D2617</f>
        <v/>
      </c>
      <c r="AU2617" s="35">
        <f>INDEX(AU$297:AU$313,$E2617)*$D2617</f>
        <v/>
      </c>
      <c r="AV2617" s="35">
        <f>INDEX(AV$297:AV$313,$E2617)*$D2617</f>
        <v/>
      </c>
      <c r="AW2617" s="35">
        <f>INDEX(AW$297:AW$313,$E2617)*$D2617</f>
        <v/>
      </c>
      <c r="AX2617" s="35">
        <f>INDEX(AX$297:AX$313,$E2617)*$D2617</f>
        <v/>
      </c>
      <c r="AY2617" s="35">
        <f>INDEX(AY$297:AY$313,$E2617)*$D2617</f>
        <v/>
      </c>
      <c r="AZ2617" s="35">
        <f>INDEX(AZ$297:AZ$313,$E2617)*$D2617</f>
        <v/>
      </c>
      <c r="BA2617" s="42">
        <f>SHADOWGJ(INDEX(BA$297:BA$313,$E2617),$D2617)</f>
        <v/>
      </c>
    </row>
    <row r="2618" hidden="1" outlineLevel="2">
      <c r="A2618" s="14" t="inlineStr">
        <is>
          <t>shp</t>
        </is>
      </c>
      <c r="B2618" s="14" t="inlineStr">
        <is>
          <t>oop</t>
        </is>
      </c>
      <c r="C2618" s="14" t="inlineStr">
        <is>
          <t>omn</t>
        </is>
      </c>
      <c r="D2618" s="35">
        <f>INDEX(Inputs!$W$5:$W$132,MATCH($B2618&amp;"|"&amp;$C2618,Inputs!$A$5:$A$132,0))</f>
        <v/>
      </c>
      <c r="E2618" s="35">
        <f>INDEX(Inputs!$M$5:$M$132,MATCH($B2618&amp;"|"&amp;$C2618,Inputs!$A$5:$A$132,0))</f>
        <v/>
      </c>
      <c r="F2618" s="39" t="n"/>
      <c r="G2618" s="39" t="n"/>
      <c r="H2618" s="14">
        <f>INDEX(VarLab,MATCH($A2618,VarKey,0))&amp;INDEX(MemLab,MATCH($C2618&amp;"|"&amp;$B2618,MemKey,0))</f>
        <v/>
      </c>
      <c r="I2618" s="14">
        <f>INDEX(VarUnit,MATCH($A2618,VarKey,0))</f>
        <v/>
      </c>
      <c r="J2618" s="14">
        <f>INDEX(VarSrc,MATCH($A2618,VarKey,0))</f>
        <v/>
      </c>
      <c r="K2618" s="11">
        <f>CodePrefix&amp;$A2618&amp;IF($C2618="","","."&amp;$C2618&amp;"."&amp;$B2618)&amp;INDEX(VarEnd,MATCH($A2618,VarKey,0))&amp;K$5</f>
        <v/>
      </c>
      <c r="L2618" s="40">
        <f>INDEX(L$297:L$313,$E2618)*$D2618</f>
        <v/>
      </c>
      <c r="M2618" s="35">
        <f>INDEX(M$297:M$313,$E2618)*$D2618</f>
        <v/>
      </c>
      <c r="N2618" s="35">
        <f>INDEX(N$297:N$313,$E2618)*$D2618</f>
        <v/>
      </c>
      <c r="O2618" s="35">
        <f>INDEX(O$297:O$313,$E2618)*$D2618</f>
        <v/>
      </c>
      <c r="P2618" s="35">
        <f>INDEX(P$297:P$313,$E2618)*$D2618</f>
        <v/>
      </c>
      <c r="Q2618" s="35">
        <f>INDEX(Q$297:Q$313,$E2618)*$D2618</f>
        <v/>
      </c>
      <c r="R2618" s="35">
        <f>INDEX(R$297:R$313,$E2618)*$D2618</f>
        <v/>
      </c>
      <c r="S2618" s="35">
        <f>INDEX(S$297:S$313,$E2618)*$D2618</f>
        <v/>
      </c>
      <c r="T2618" s="35">
        <f>INDEX(T$297:T$313,$E2618)*$D2618</f>
        <v/>
      </c>
      <c r="U2618" s="35">
        <f>INDEX(U$297:U$313,$E2618)*$D2618</f>
        <v/>
      </c>
      <c r="V2618" s="35">
        <f>INDEX(V$297:V$313,$E2618)*$D2618</f>
        <v/>
      </c>
      <c r="W2618" s="35">
        <f>INDEX(W$297:W$313,$E2618)*$D2618</f>
        <v/>
      </c>
      <c r="X2618" s="35">
        <f>INDEX(X$297:X$313,$E2618)*$D2618</f>
        <v/>
      </c>
      <c r="Y2618" s="35">
        <f>INDEX(Y$297:Y$313,$E2618)*$D2618</f>
        <v/>
      </c>
      <c r="Z2618" s="35">
        <f>INDEX(Z$297:Z$313,$E2618)*$D2618</f>
        <v/>
      </c>
      <c r="AA2618" s="35">
        <f>INDEX(AA$297:AA$313,$E2618)*$D2618</f>
        <v/>
      </c>
      <c r="AB2618" s="35">
        <f>INDEX(AB$297:AB$313,$E2618)*$D2618</f>
        <v/>
      </c>
      <c r="AC2618" s="35">
        <f>INDEX(AC$297:AC$313,$E2618)*$D2618</f>
        <v/>
      </c>
      <c r="AD2618" s="35">
        <f>INDEX(AD$297:AD$313,$E2618)*$D2618</f>
        <v/>
      </c>
      <c r="AE2618" s="42">
        <f>SHADOWGJ(INDEX(AE$297:AE$313,$E2618),$D2618)</f>
        <v/>
      </c>
      <c r="AG2618" s="11">
        <f>CodePrefix&amp;$A2618&amp;IF($C2618="","","."&amp;$C2618&amp;"."&amp;$B2618)&amp;INDEX(VarEnd,MATCH($A2618,VarKey,0))&amp;AG$5</f>
        <v/>
      </c>
      <c r="AH2618" s="40">
        <f>INDEX(AH$297:AH$313,$E2618)*$D2618</f>
        <v/>
      </c>
      <c r="AI2618" s="35">
        <f>INDEX(AI$297:AI$313,$E2618)*$D2618</f>
        <v/>
      </c>
      <c r="AJ2618" s="35">
        <f>INDEX(AJ$297:AJ$313,$E2618)*$D2618</f>
        <v/>
      </c>
      <c r="AK2618" s="35">
        <f>INDEX(AK$297:AK$313,$E2618)*$D2618</f>
        <v/>
      </c>
      <c r="AL2618" s="35">
        <f>INDEX(AL$297:AL$313,$E2618)*$D2618</f>
        <v/>
      </c>
      <c r="AM2618" s="35">
        <f>INDEX(AM$297:AM$313,$E2618)*$D2618</f>
        <v/>
      </c>
      <c r="AN2618" s="35">
        <f>INDEX(AN$297:AN$313,$E2618)*$D2618</f>
        <v/>
      </c>
      <c r="AO2618" s="35">
        <f>INDEX(AO$297:AO$313,$E2618)*$D2618</f>
        <v/>
      </c>
      <c r="AP2618" s="35">
        <f>INDEX(AP$297:AP$313,$E2618)*$D2618</f>
        <v/>
      </c>
      <c r="AQ2618" s="35">
        <f>INDEX(AQ$297:AQ$313,$E2618)*$D2618</f>
        <v/>
      </c>
      <c r="AR2618" s="35">
        <f>INDEX(AR$297:AR$313,$E2618)*$D2618</f>
        <v/>
      </c>
      <c r="AS2618" s="35">
        <f>INDEX(AS$297:AS$313,$E2618)*$D2618</f>
        <v/>
      </c>
      <c r="AT2618" s="35">
        <f>INDEX(AT$297:AT$313,$E2618)*$D2618</f>
        <v/>
      </c>
      <c r="AU2618" s="35">
        <f>INDEX(AU$297:AU$313,$E2618)*$D2618</f>
        <v/>
      </c>
      <c r="AV2618" s="35">
        <f>INDEX(AV$297:AV$313,$E2618)*$D2618</f>
        <v/>
      </c>
      <c r="AW2618" s="35">
        <f>INDEX(AW$297:AW$313,$E2618)*$D2618</f>
        <v/>
      </c>
      <c r="AX2618" s="35">
        <f>INDEX(AX$297:AX$313,$E2618)*$D2618</f>
        <v/>
      </c>
      <c r="AY2618" s="35">
        <f>INDEX(AY$297:AY$313,$E2618)*$D2618</f>
        <v/>
      </c>
      <c r="AZ2618" s="35">
        <f>INDEX(AZ$297:AZ$313,$E2618)*$D2618</f>
        <v/>
      </c>
      <c r="BA2618" s="42">
        <f>SHADOWGJ(INDEX(BA$297:BA$313,$E2618),$D2618)</f>
        <v/>
      </c>
    </row>
    <row r="2619" hidden="1" outlineLevel="2">
      <c r="A2619" s="14" t="inlineStr">
        <is>
          <t>shp</t>
        </is>
      </c>
      <c r="B2619" s="14" t="inlineStr">
        <is>
          <t>bio</t>
        </is>
      </c>
      <c r="C2619" s="14" t="inlineStr">
        <is>
          <t>omn</t>
        </is>
      </c>
      <c r="D2619" s="35">
        <f>INDEX(Inputs!$W$5:$W$132,MATCH($B2619&amp;"|"&amp;$C2619,Inputs!$A$5:$A$132,0))</f>
        <v/>
      </c>
      <c r="E2619" s="35">
        <f>INDEX(Inputs!$M$5:$M$132,MATCH($B2619&amp;"|"&amp;$C2619,Inputs!$A$5:$A$132,0))</f>
        <v/>
      </c>
      <c r="F2619" s="39" t="n"/>
      <c r="G2619" s="39" t="n"/>
      <c r="H2619" s="14">
        <f>INDEX(VarLab,MATCH($A2619,VarKey,0))&amp;INDEX(MemLab,MATCH($C2619&amp;"|"&amp;$B2619,MemKey,0))</f>
        <v/>
      </c>
      <c r="I2619" s="14">
        <f>INDEX(VarUnit,MATCH($A2619,VarKey,0))</f>
        <v/>
      </c>
      <c r="J2619" s="14">
        <f>INDEX(VarSrc,MATCH($A2619,VarKey,0))</f>
        <v/>
      </c>
      <c r="K2619" s="11">
        <f>CodePrefix&amp;$A2619&amp;IF($C2619="","","."&amp;$C2619&amp;"."&amp;$B2619)&amp;INDEX(VarEnd,MATCH($A2619,VarKey,0))&amp;K$5</f>
        <v/>
      </c>
      <c r="L2619" s="40">
        <f>INDEX(L$297:L$313,$E2619)*$D2619</f>
        <v/>
      </c>
      <c r="M2619" s="35">
        <f>INDEX(M$297:M$313,$E2619)*$D2619</f>
        <v/>
      </c>
      <c r="N2619" s="35">
        <f>INDEX(N$297:N$313,$E2619)*$D2619</f>
        <v/>
      </c>
      <c r="O2619" s="35">
        <f>INDEX(O$297:O$313,$E2619)*$D2619</f>
        <v/>
      </c>
      <c r="P2619" s="35">
        <f>INDEX(P$297:P$313,$E2619)*$D2619</f>
        <v/>
      </c>
      <c r="Q2619" s="35">
        <f>INDEX(Q$297:Q$313,$E2619)*$D2619</f>
        <v/>
      </c>
      <c r="R2619" s="35">
        <f>INDEX(R$297:R$313,$E2619)*$D2619</f>
        <v/>
      </c>
      <c r="S2619" s="35">
        <f>INDEX(S$297:S$313,$E2619)*$D2619</f>
        <v/>
      </c>
      <c r="T2619" s="35">
        <f>INDEX(T$297:T$313,$E2619)*$D2619</f>
        <v/>
      </c>
      <c r="U2619" s="35">
        <f>INDEX(U$297:U$313,$E2619)*$D2619</f>
        <v/>
      </c>
      <c r="V2619" s="35">
        <f>INDEX(V$297:V$313,$E2619)*$D2619</f>
        <v/>
      </c>
      <c r="W2619" s="35">
        <f>INDEX(W$297:W$313,$E2619)*$D2619</f>
        <v/>
      </c>
      <c r="X2619" s="35">
        <f>INDEX(X$297:X$313,$E2619)*$D2619</f>
        <v/>
      </c>
      <c r="Y2619" s="35">
        <f>INDEX(Y$297:Y$313,$E2619)*$D2619</f>
        <v/>
      </c>
      <c r="Z2619" s="35">
        <f>INDEX(Z$297:Z$313,$E2619)*$D2619</f>
        <v/>
      </c>
      <c r="AA2619" s="35">
        <f>INDEX(AA$297:AA$313,$E2619)*$D2619</f>
        <v/>
      </c>
      <c r="AB2619" s="35">
        <f>INDEX(AB$297:AB$313,$E2619)*$D2619</f>
        <v/>
      </c>
      <c r="AC2619" s="35">
        <f>INDEX(AC$297:AC$313,$E2619)*$D2619</f>
        <v/>
      </c>
      <c r="AD2619" s="35">
        <f>INDEX(AD$297:AD$313,$E2619)*$D2619</f>
        <v/>
      </c>
      <c r="AE2619" s="42">
        <f>SHADOWGJ(INDEX(AE$297:AE$313,$E2619),$D2619)</f>
        <v/>
      </c>
      <c r="AG2619" s="11">
        <f>CodePrefix&amp;$A2619&amp;IF($C2619="","","."&amp;$C2619&amp;"."&amp;$B2619)&amp;INDEX(VarEnd,MATCH($A2619,VarKey,0))&amp;AG$5</f>
        <v/>
      </c>
      <c r="AH2619" s="40">
        <f>INDEX(AH$297:AH$313,$E2619)*$D2619</f>
        <v/>
      </c>
      <c r="AI2619" s="35">
        <f>INDEX(AI$297:AI$313,$E2619)*$D2619</f>
        <v/>
      </c>
      <c r="AJ2619" s="35">
        <f>INDEX(AJ$297:AJ$313,$E2619)*$D2619</f>
        <v/>
      </c>
      <c r="AK2619" s="35">
        <f>INDEX(AK$297:AK$313,$E2619)*$D2619</f>
        <v/>
      </c>
      <c r="AL2619" s="35">
        <f>INDEX(AL$297:AL$313,$E2619)*$D2619</f>
        <v/>
      </c>
      <c r="AM2619" s="35">
        <f>INDEX(AM$297:AM$313,$E2619)*$D2619</f>
        <v/>
      </c>
      <c r="AN2619" s="35">
        <f>INDEX(AN$297:AN$313,$E2619)*$D2619</f>
        <v/>
      </c>
      <c r="AO2619" s="35">
        <f>INDEX(AO$297:AO$313,$E2619)*$D2619</f>
        <v/>
      </c>
      <c r="AP2619" s="35">
        <f>INDEX(AP$297:AP$313,$E2619)*$D2619</f>
        <v/>
      </c>
      <c r="AQ2619" s="35">
        <f>INDEX(AQ$297:AQ$313,$E2619)*$D2619</f>
        <v/>
      </c>
      <c r="AR2619" s="35">
        <f>INDEX(AR$297:AR$313,$E2619)*$D2619</f>
        <v/>
      </c>
      <c r="AS2619" s="35">
        <f>INDEX(AS$297:AS$313,$E2619)*$D2619</f>
        <v/>
      </c>
      <c r="AT2619" s="35">
        <f>INDEX(AT$297:AT$313,$E2619)*$D2619</f>
        <v/>
      </c>
      <c r="AU2619" s="35">
        <f>INDEX(AU$297:AU$313,$E2619)*$D2619</f>
        <v/>
      </c>
      <c r="AV2619" s="35">
        <f>INDEX(AV$297:AV$313,$E2619)*$D2619</f>
        <v/>
      </c>
      <c r="AW2619" s="35">
        <f>INDEX(AW$297:AW$313,$E2619)*$D2619</f>
        <v/>
      </c>
      <c r="AX2619" s="35">
        <f>INDEX(AX$297:AX$313,$E2619)*$D2619</f>
        <v/>
      </c>
      <c r="AY2619" s="35">
        <f>INDEX(AY$297:AY$313,$E2619)*$D2619</f>
        <v/>
      </c>
      <c r="AZ2619" s="35">
        <f>INDEX(AZ$297:AZ$313,$E2619)*$D2619</f>
        <v/>
      </c>
      <c r="BA2619" s="42">
        <f>SHADOWGJ(INDEX(BA$297:BA$313,$E2619),$D2619)</f>
        <v/>
      </c>
    </row>
    <row r="2620" hidden="1" outlineLevel="2"/>
    <row r="2621" hidden="1" outlineLevel="2">
      <c r="A2621" s="14" t="inlineStr">
        <is>
          <t>ener</t>
        </is>
      </c>
      <c r="B2621" s="14" t="inlineStr">
        <is>
          <t>coa</t>
        </is>
      </c>
      <c r="C2621" s="14" t="inlineStr">
        <is>
          <t>omn</t>
        </is>
      </c>
      <c r="D2621" s="35">
        <f>INDEX(Inputs!$O$5:$O$132,MATCH($B2621&amp;"|"&amp;$C2621,Inputs!$A$5:$A$132,0))</f>
        <v/>
      </c>
      <c r="E2621" s="35">
        <f>INDEX(Inputs!$P$5:$P$132,MATCH($B2621&amp;"|"&amp;$C2621,Inputs!$A$5:$A$132,0))</f>
        <v/>
      </c>
      <c r="F2621" s="35">
        <f>INDEX(Inputs!$T$5:$T$132,MATCH($B2621&amp;"|"&amp;$C2621,Inputs!$A$5:$A$132,0))</f>
        <v/>
      </c>
      <c r="G2621" s="35">
        <f>INDEX(Inputs!$S$5:$S$132,MATCH($B2621&amp;"|"&amp;$C2621,Inputs!$A$5:$A$132,0))</f>
        <v/>
      </c>
      <c r="H2621" s="14">
        <f>INDEX(VarLab,MATCH($A2621,VarKey,0))&amp;INDEX(MemLab,MATCH($C2621&amp;"|"&amp;$B2621,MemKey,0))</f>
        <v/>
      </c>
      <c r="I2621" s="14">
        <f>INDEX(VarUnit,MATCH($A2621,VarKey,0))</f>
        <v/>
      </c>
      <c r="J2621" s="14">
        <f>INDEX(VarSrc,MATCH($A2621,VarKey,0))</f>
        <v/>
      </c>
      <c r="K2621" s="11">
        <f>CodePrefix&amp;$A2621&amp;IF($C2621="","","."&amp;$C2621&amp;"."&amp;$B2621)&amp;INDEX(VarEnd,MATCH($A2621,VarKey,0))&amp;K$5</f>
        <v/>
      </c>
      <c r="L2621" s="43">
        <f>INDEX(Inputs!$X$5:$X$132,MATCH($B2621&amp;"|"&amp;$C2621,Inputs!$A$5:$A$132,0))</f>
        <v/>
      </c>
      <c r="M2621" s="44">
        <f>L2621*$G2621*(1+M$7)^$D2621*(M2603/L2603)^$E2621*((M2603+M2612)/(L2603+L2612))^$F2621</f>
        <v/>
      </c>
      <c r="N2621" s="44">
        <f>M2621*$G2621*(1+N$7)^$D2621*(N2603/M2603)^$E2621*((N2603+N2612)/(M2603+M2612))^$F2621</f>
        <v/>
      </c>
      <c r="O2621" s="44">
        <f>N2621*$G2621*(1+O$7)^$D2621*(O2603/N2603)^$E2621*((O2603+O2612)/(N2603+N2612))^$F2621</f>
        <v/>
      </c>
      <c r="P2621" s="44">
        <f>O2621*$G2621*(1+P$7)^$D2621*(P2603/O2603)^$E2621*((P2603+P2612)/(O2603+O2612))^$F2621</f>
        <v/>
      </c>
      <c r="Q2621" s="44">
        <f>P2621*$G2621*(1+Q$7)^$D2621*(Q2603/P2603)^$E2621*((Q2603+Q2612)/(P2603+P2612))^$F2621</f>
        <v/>
      </c>
      <c r="R2621" s="44">
        <f>Q2621*$G2621*(1+R$7)^$D2621*(R2603/Q2603)^$E2621*((R2603+R2612)/(Q2603+Q2612))^$F2621</f>
        <v/>
      </c>
      <c r="S2621" s="44">
        <f>R2621*$G2621*(1+S$7)^$D2621*(S2603/R2603)^$E2621*((S2603+S2612)/(R2603+R2612))^$F2621</f>
        <v/>
      </c>
      <c r="T2621" s="44">
        <f>S2621*$G2621*(1+T$7)^$D2621*(T2603/S2603)^$E2621*((T2603+T2612)/(S2603+S2612))^$F2621</f>
        <v/>
      </c>
      <c r="U2621" s="44">
        <f>T2621*$G2621*(1+U$7)^$D2621*(U2603/T2603)^$E2621*((U2603+U2612)/(T2603+T2612))^$F2621</f>
        <v/>
      </c>
      <c r="V2621" s="44">
        <f>U2621*$G2621*(1+V$7)^$D2621*(V2603/U2603)^$E2621*((V2603+V2612)/(U2603+U2612))^$F2621</f>
        <v/>
      </c>
      <c r="W2621" s="44">
        <f>V2621*$G2621*(1+W$7)^$D2621*(W2603/V2603)^$E2621*((W2603+W2612)/(V2603+V2612))^$F2621</f>
        <v/>
      </c>
      <c r="X2621" s="44">
        <f>W2621*$G2621*(1+X$7)^$D2621*(X2603/W2603)^$E2621*((X2603+X2612)/(W2603+W2612))^$F2621</f>
        <v/>
      </c>
      <c r="Y2621" s="44">
        <f>X2621*$G2621*(1+Y$7)^$D2621*(Y2603/X2603)^$E2621*((Y2603+Y2612)/(X2603+X2612))^$F2621</f>
        <v/>
      </c>
      <c r="Z2621" s="44">
        <f>Y2621*$G2621*(1+Z$7)^$D2621*(Z2603/Y2603)^$E2621*((Z2603+Z2612)/(Y2603+Y2612))^$F2621</f>
        <v/>
      </c>
      <c r="AA2621" s="44">
        <f>Z2621*$G2621*(1+AA$7)^$D2621*(AA2603/Z2603)^$E2621*((AA2603+AA2612)/(Z2603+Z2612))^$F2621</f>
        <v/>
      </c>
      <c r="AB2621" s="44">
        <f>AA2621*$G2621*(1+AB$7)^$D2621*(AB2603/AA2603)^$E2621*((AB2603+AB2612)/(AA2603+AA2612))^$F2621</f>
        <v/>
      </c>
      <c r="AC2621" s="44">
        <f>AB2621*$G2621*(1+AC$7)^$D2621*(AC2603/AB2603)^$E2621*((AC2603+AC2612)/(AB2603+AB2612))^$F2621</f>
        <v/>
      </c>
      <c r="AD2621" s="44">
        <f>AC2621*$G2621*(1+AD$7)^$D2621*(AD2603/AC2603)^$E2621*((AD2603+AD2612)/(AC2603+AC2612))^$F2621</f>
        <v/>
      </c>
      <c r="AE2621" s="57">
        <f>FUELUSE(AD2621,AE2603,AD2603,AE2612,AD2612,AE$7,$D2621,$E2621,$F2621,$G2621)</f>
        <v/>
      </c>
      <c r="AG2621" s="11">
        <f>CodePrefix&amp;$A2621&amp;IF($C2621="","","."&amp;$C2621&amp;"."&amp;$B2621)&amp;INDEX(VarEnd,MATCH($A2621,VarKey,0))&amp;AG$5</f>
        <v/>
      </c>
      <c r="AH2621" s="43">
        <f>INDEX(Inputs!$X$5:$X$132,MATCH($B2621&amp;"|"&amp;$C2621,Inputs!$A$5:$A$132,0))</f>
        <v/>
      </c>
      <c r="AI2621" s="44">
        <f>AH2621*$G2621*(1+AI$7)^$D2621*(AI2603/AH2603)^$E2621*((AI2603+AI2612)/(AH2603+AH2612))^$F2621</f>
        <v/>
      </c>
      <c r="AJ2621" s="44">
        <f>AI2621*$G2621*(1+AJ$7)^$D2621*(AJ2603/AI2603)^$E2621*((AJ2603+AJ2612)/(AI2603+AI2612))^$F2621</f>
        <v/>
      </c>
      <c r="AK2621" s="44">
        <f>AJ2621*$G2621*(1+AK$7)^$D2621*(AK2603/AJ2603)^$E2621*((AK2603+AK2612)/(AJ2603+AJ2612))^$F2621</f>
        <v/>
      </c>
      <c r="AL2621" s="44">
        <f>AK2621*$G2621*(1+AL$7)^$D2621*(AL2603/AK2603)^$E2621*((AL2603+AL2612)/(AK2603+AK2612))^$F2621</f>
        <v/>
      </c>
      <c r="AM2621" s="44">
        <f>AL2621*$G2621*(1+AM$7)^$D2621*(AM2603/AL2603)^$E2621*((AM2603+AM2612)/(AL2603+AL2612))^$F2621</f>
        <v/>
      </c>
      <c r="AN2621" s="44">
        <f>AM2621*$G2621*(1+AN$7)^$D2621*(AN2603/AM2603)^$E2621*((AN2603+AN2612)/(AM2603+AM2612))^$F2621</f>
        <v/>
      </c>
      <c r="AO2621" s="44">
        <f>AN2621*$G2621*(1+AO$7)^$D2621*(AO2603/AN2603)^$E2621*((AO2603+AO2612)/(AN2603+AN2612))^$F2621</f>
        <v/>
      </c>
      <c r="AP2621" s="44">
        <f>AO2621*$G2621*(1+AP$7)^$D2621*(AP2603/AO2603)^$E2621*((AP2603+AP2612)/(AO2603+AO2612))^$F2621</f>
        <v/>
      </c>
      <c r="AQ2621" s="44">
        <f>AP2621*$G2621*(1+AQ$7)^$D2621*(AQ2603/AP2603)^$E2621*((AQ2603+AQ2612)/(AP2603+AP2612))^$F2621</f>
        <v/>
      </c>
      <c r="AR2621" s="44">
        <f>AQ2621*$G2621*(1+AR$7)^$D2621*(AR2603/AQ2603)^$E2621*((AR2603+AR2612)/(AQ2603+AQ2612))^$F2621</f>
        <v/>
      </c>
      <c r="AS2621" s="44">
        <f>AR2621*$G2621*(1+AS$7)^$D2621*(AS2603/AR2603)^$E2621*((AS2603+AS2612)/(AR2603+AR2612))^$F2621</f>
        <v/>
      </c>
      <c r="AT2621" s="44">
        <f>AS2621*$G2621*(1+AT$7)^$D2621*(AT2603/AS2603)^$E2621*((AT2603+AT2612)/(AS2603+AS2612))^$F2621</f>
        <v/>
      </c>
      <c r="AU2621" s="44">
        <f>AT2621*$G2621*(1+AU$7)^$D2621*(AU2603/AT2603)^$E2621*((AU2603+AU2612)/(AT2603+AT2612))^$F2621</f>
        <v/>
      </c>
      <c r="AV2621" s="44">
        <f>AU2621*$G2621*(1+AV$7)^$D2621*(AV2603/AU2603)^$E2621*((AV2603+AV2612)/(AU2603+AU2612))^$F2621</f>
        <v/>
      </c>
      <c r="AW2621" s="44">
        <f>AV2621*$G2621*(1+AW$7)^$D2621*(AW2603/AV2603)^$E2621*((AW2603+AW2612)/(AV2603+AV2612))^$F2621</f>
        <v/>
      </c>
      <c r="AX2621" s="44">
        <f>AW2621*$G2621*(1+AX$7)^$D2621*(AX2603/AW2603)^$E2621*((AX2603+AX2612)/(AW2603+AW2612))^$F2621</f>
        <v/>
      </c>
      <c r="AY2621" s="44">
        <f>AX2621*$G2621*(1+AY$7)^$D2621*(AY2603/AX2603)^$E2621*((AY2603+AY2612)/(AX2603+AX2612))^$F2621</f>
        <v/>
      </c>
      <c r="AZ2621" s="44">
        <f>AY2621*$G2621*(1+AZ$7)^$D2621*(AZ2603/AY2603)^$E2621*((AZ2603+AZ2612)/(AY2603+AY2612))^$F2621</f>
        <v/>
      </c>
      <c r="BA2621" s="57">
        <f>FUELUSE(AZ2621,BA2603,AZ2603,BA2612,AZ2612,BA$7,$D2621,$E2621,$F2621,$G2621)</f>
        <v/>
      </c>
    </row>
    <row r="2622" hidden="1" outlineLevel="2">
      <c r="A2622" s="14" t="inlineStr">
        <is>
          <t>ener</t>
        </is>
      </c>
      <c r="B2622" s="14" t="inlineStr">
        <is>
          <t>nga</t>
        </is>
      </c>
      <c r="C2622" s="14" t="inlineStr">
        <is>
          <t>omn</t>
        </is>
      </c>
      <c r="D2622" s="35">
        <f>INDEX(Inputs!$O$5:$O$132,MATCH($B2622&amp;"|"&amp;$C2622,Inputs!$A$5:$A$132,0))</f>
        <v/>
      </c>
      <c r="E2622" s="35">
        <f>INDEX(Inputs!$P$5:$P$132,MATCH($B2622&amp;"|"&amp;$C2622,Inputs!$A$5:$A$132,0))</f>
        <v/>
      </c>
      <c r="F2622" s="35">
        <f>INDEX(Inputs!$T$5:$T$132,MATCH($B2622&amp;"|"&amp;$C2622,Inputs!$A$5:$A$132,0))</f>
        <v/>
      </c>
      <c r="G2622" s="35">
        <f>INDEX(Inputs!$S$5:$S$132,MATCH($B2622&amp;"|"&amp;$C2622,Inputs!$A$5:$A$132,0))</f>
        <v/>
      </c>
      <c r="H2622" s="14">
        <f>INDEX(VarLab,MATCH($A2622,VarKey,0))&amp;INDEX(MemLab,MATCH($C2622&amp;"|"&amp;$B2622,MemKey,0))</f>
        <v/>
      </c>
      <c r="I2622" s="14">
        <f>INDEX(VarUnit,MATCH($A2622,VarKey,0))</f>
        <v/>
      </c>
      <c r="J2622" s="14">
        <f>INDEX(VarSrc,MATCH($A2622,VarKey,0))</f>
        <v/>
      </c>
      <c r="K2622" s="11">
        <f>CodePrefix&amp;$A2622&amp;IF($C2622="","","."&amp;$C2622&amp;"."&amp;$B2622)&amp;INDEX(VarEnd,MATCH($A2622,VarKey,0))&amp;K$5</f>
        <v/>
      </c>
      <c r="L2622" s="43">
        <f>INDEX(Inputs!$X$5:$X$132,MATCH($B2622&amp;"|"&amp;$C2622,Inputs!$A$5:$A$132,0))</f>
        <v/>
      </c>
      <c r="M2622" s="44">
        <f>L2622*$G2622*(1+M$7)^$D2622*(M2604/L2604)^$E2622*((M2604+M2613)/(L2604+L2613))^$F2622</f>
        <v/>
      </c>
      <c r="N2622" s="44">
        <f>M2622*$G2622*(1+N$7)^$D2622*(N2604/M2604)^$E2622*((N2604+N2613)/(M2604+M2613))^$F2622</f>
        <v/>
      </c>
      <c r="O2622" s="44">
        <f>N2622*$G2622*(1+O$7)^$D2622*(O2604/N2604)^$E2622*((O2604+O2613)/(N2604+N2613))^$F2622</f>
        <v/>
      </c>
      <c r="P2622" s="44">
        <f>O2622*$G2622*(1+P$7)^$D2622*(P2604/O2604)^$E2622*((P2604+P2613)/(O2604+O2613))^$F2622</f>
        <v/>
      </c>
      <c r="Q2622" s="44">
        <f>P2622*$G2622*(1+Q$7)^$D2622*(Q2604/P2604)^$E2622*((Q2604+Q2613)/(P2604+P2613))^$F2622</f>
        <v/>
      </c>
      <c r="R2622" s="44">
        <f>Q2622*$G2622*(1+R$7)^$D2622*(R2604/Q2604)^$E2622*((R2604+R2613)/(Q2604+Q2613))^$F2622</f>
        <v/>
      </c>
      <c r="S2622" s="44">
        <f>R2622*$G2622*(1+S$7)^$D2622*(S2604/R2604)^$E2622*((S2604+S2613)/(R2604+R2613))^$F2622</f>
        <v/>
      </c>
      <c r="T2622" s="44">
        <f>S2622*$G2622*(1+T$7)^$D2622*(T2604/S2604)^$E2622*((T2604+T2613)/(S2604+S2613))^$F2622</f>
        <v/>
      </c>
      <c r="U2622" s="44">
        <f>T2622*$G2622*(1+U$7)^$D2622*(U2604/T2604)^$E2622*((U2604+U2613)/(T2604+T2613))^$F2622</f>
        <v/>
      </c>
      <c r="V2622" s="44">
        <f>U2622*$G2622*(1+V$7)^$D2622*(V2604/U2604)^$E2622*((V2604+V2613)/(U2604+U2613))^$F2622</f>
        <v/>
      </c>
      <c r="W2622" s="44">
        <f>V2622*$G2622*(1+W$7)^$D2622*(W2604/V2604)^$E2622*((W2604+W2613)/(V2604+V2613))^$F2622</f>
        <v/>
      </c>
      <c r="X2622" s="44">
        <f>W2622*$G2622*(1+X$7)^$D2622*(X2604/W2604)^$E2622*((X2604+X2613)/(W2604+W2613))^$F2622</f>
        <v/>
      </c>
      <c r="Y2622" s="44">
        <f>X2622*$G2622*(1+Y$7)^$D2622*(Y2604/X2604)^$E2622*((Y2604+Y2613)/(X2604+X2613))^$F2622</f>
        <v/>
      </c>
      <c r="Z2622" s="44">
        <f>Y2622*$G2622*(1+Z$7)^$D2622*(Z2604/Y2604)^$E2622*((Z2604+Z2613)/(Y2604+Y2613))^$F2622</f>
        <v/>
      </c>
      <c r="AA2622" s="44">
        <f>Z2622*$G2622*(1+AA$7)^$D2622*(AA2604/Z2604)^$E2622*((AA2604+AA2613)/(Z2604+Z2613))^$F2622</f>
        <v/>
      </c>
      <c r="AB2622" s="44">
        <f>AA2622*$G2622*(1+AB$7)^$D2622*(AB2604/AA2604)^$E2622*((AB2604+AB2613)/(AA2604+AA2613))^$F2622</f>
        <v/>
      </c>
      <c r="AC2622" s="44">
        <f>AB2622*$G2622*(1+AC$7)^$D2622*(AC2604/AB2604)^$E2622*((AC2604+AC2613)/(AB2604+AB2613))^$F2622</f>
        <v/>
      </c>
      <c r="AD2622" s="44">
        <f>AC2622*$G2622*(1+AD$7)^$D2622*(AD2604/AC2604)^$E2622*((AD2604+AD2613)/(AC2604+AC2613))^$F2622</f>
        <v/>
      </c>
      <c r="AE2622" s="57">
        <f>FUELUSE(AD2622,AE2604,AD2604,AE2613,AD2613,AE$7,$D2622,$E2622,$F2622,$G2622)</f>
        <v/>
      </c>
      <c r="AG2622" s="11">
        <f>CodePrefix&amp;$A2622&amp;IF($C2622="","","."&amp;$C2622&amp;"."&amp;$B2622)&amp;INDEX(VarEnd,MATCH($A2622,VarKey,0))&amp;AG$5</f>
        <v/>
      </c>
      <c r="AH2622" s="43">
        <f>INDEX(Inputs!$X$5:$X$132,MATCH($B2622&amp;"|"&amp;$C2622,Inputs!$A$5:$A$132,0))</f>
        <v/>
      </c>
      <c r="AI2622" s="44">
        <f>AH2622*$G2622*(1+AI$7)^$D2622*(AI2604/AH2604)^$E2622*((AI2604+AI2613)/(AH2604+AH2613))^$F2622</f>
        <v/>
      </c>
      <c r="AJ2622" s="44">
        <f>AI2622*$G2622*(1+AJ$7)^$D2622*(AJ2604/AI2604)^$E2622*((AJ2604+AJ2613)/(AI2604+AI2613))^$F2622</f>
        <v/>
      </c>
      <c r="AK2622" s="44">
        <f>AJ2622*$G2622*(1+AK$7)^$D2622*(AK2604/AJ2604)^$E2622*((AK2604+AK2613)/(AJ2604+AJ2613))^$F2622</f>
        <v/>
      </c>
      <c r="AL2622" s="44">
        <f>AK2622*$G2622*(1+AL$7)^$D2622*(AL2604/AK2604)^$E2622*((AL2604+AL2613)/(AK2604+AK2613))^$F2622</f>
        <v/>
      </c>
      <c r="AM2622" s="44">
        <f>AL2622*$G2622*(1+AM$7)^$D2622*(AM2604/AL2604)^$E2622*((AM2604+AM2613)/(AL2604+AL2613))^$F2622</f>
        <v/>
      </c>
      <c r="AN2622" s="44">
        <f>AM2622*$G2622*(1+AN$7)^$D2622*(AN2604/AM2604)^$E2622*((AN2604+AN2613)/(AM2604+AM2613))^$F2622</f>
        <v/>
      </c>
      <c r="AO2622" s="44">
        <f>AN2622*$G2622*(1+AO$7)^$D2622*(AO2604/AN2604)^$E2622*((AO2604+AO2613)/(AN2604+AN2613))^$F2622</f>
        <v/>
      </c>
      <c r="AP2622" s="44">
        <f>AO2622*$G2622*(1+AP$7)^$D2622*(AP2604/AO2604)^$E2622*((AP2604+AP2613)/(AO2604+AO2613))^$F2622</f>
        <v/>
      </c>
      <c r="AQ2622" s="44">
        <f>AP2622*$G2622*(1+AQ$7)^$D2622*(AQ2604/AP2604)^$E2622*((AQ2604+AQ2613)/(AP2604+AP2613))^$F2622</f>
        <v/>
      </c>
      <c r="AR2622" s="44">
        <f>AQ2622*$G2622*(1+AR$7)^$D2622*(AR2604/AQ2604)^$E2622*((AR2604+AR2613)/(AQ2604+AQ2613))^$F2622</f>
        <v/>
      </c>
      <c r="AS2622" s="44">
        <f>AR2622*$G2622*(1+AS$7)^$D2622*(AS2604/AR2604)^$E2622*((AS2604+AS2613)/(AR2604+AR2613))^$F2622</f>
        <v/>
      </c>
      <c r="AT2622" s="44">
        <f>AS2622*$G2622*(1+AT$7)^$D2622*(AT2604/AS2604)^$E2622*((AT2604+AT2613)/(AS2604+AS2613))^$F2622</f>
        <v/>
      </c>
      <c r="AU2622" s="44">
        <f>AT2622*$G2622*(1+AU$7)^$D2622*(AU2604/AT2604)^$E2622*((AU2604+AU2613)/(AT2604+AT2613))^$F2622</f>
        <v/>
      </c>
      <c r="AV2622" s="44">
        <f>AU2622*$G2622*(1+AV$7)^$D2622*(AV2604/AU2604)^$E2622*((AV2604+AV2613)/(AU2604+AU2613))^$F2622</f>
        <v/>
      </c>
      <c r="AW2622" s="44">
        <f>AV2622*$G2622*(1+AW$7)^$D2622*(AW2604/AV2604)^$E2622*((AW2604+AW2613)/(AV2604+AV2613))^$F2622</f>
        <v/>
      </c>
      <c r="AX2622" s="44">
        <f>AW2622*$G2622*(1+AX$7)^$D2622*(AX2604/AW2604)^$E2622*((AX2604+AX2613)/(AW2604+AW2613))^$F2622</f>
        <v/>
      </c>
      <c r="AY2622" s="44">
        <f>AX2622*$G2622*(1+AY$7)^$D2622*(AY2604/AX2604)^$E2622*((AY2604+AY2613)/(AX2604+AX2613))^$F2622</f>
        <v/>
      </c>
      <c r="AZ2622" s="44">
        <f>AY2622*$G2622*(1+AZ$7)^$D2622*(AZ2604/AY2604)^$E2622*((AZ2604+AZ2613)/(AY2604+AY2613))^$F2622</f>
        <v/>
      </c>
      <c r="BA2622" s="57">
        <f>FUELUSE(AZ2622,BA2604,AZ2604,BA2613,AZ2613,BA$7,$D2622,$E2622,$F2622,$G2622)</f>
        <v/>
      </c>
    </row>
    <row r="2623" hidden="1" outlineLevel="2">
      <c r="A2623" s="14" t="inlineStr">
        <is>
          <t>ener</t>
        </is>
      </c>
      <c r="B2623" s="14" t="inlineStr">
        <is>
          <t>gso</t>
        </is>
      </c>
      <c r="C2623" s="14" t="inlineStr">
        <is>
          <t>omn</t>
        </is>
      </c>
      <c r="D2623" s="35">
        <f>INDEX(Inputs!$O$5:$O$132,MATCH($B2623&amp;"|"&amp;$C2623,Inputs!$A$5:$A$132,0))</f>
        <v/>
      </c>
      <c r="E2623" s="35">
        <f>INDEX(Inputs!$P$5:$P$132,MATCH($B2623&amp;"|"&amp;$C2623,Inputs!$A$5:$A$132,0))</f>
        <v/>
      </c>
      <c r="F2623" s="35">
        <f>INDEX(Inputs!$T$5:$T$132,MATCH($B2623&amp;"|"&amp;$C2623,Inputs!$A$5:$A$132,0))</f>
        <v/>
      </c>
      <c r="G2623" s="35">
        <f>INDEX(Inputs!$S$5:$S$132,MATCH($B2623&amp;"|"&amp;$C2623,Inputs!$A$5:$A$132,0))</f>
        <v/>
      </c>
      <c r="H2623" s="14">
        <f>INDEX(VarLab,MATCH($A2623,VarKey,0))&amp;INDEX(MemLab,MATCH($C2623&amp;"|"&amp;$B2623,MemKey,0))</f>
        <v/>
      </c>
      <c r="I2623" s="14">
        <f>INDEX(VarUnit,MATCH($A2623,VarKey,0))</f>
        <v/>
      </c>
      <c r="J2623" s="14">
        <f>INDEX(VarSrc,MATCH($A2623,VarKey,0))</f>
        <v/>
      </c>
      <c r="K2623" s="11">
        <f>CodePrefix&amp;$A2623&amp;IF($C2623="","","."&amp;$C2623&amp;"."&amp;$B2623)&amp;INDEX(VarEnd,MATCH($A2623,VarKey,0))&amp;K$5</f>
        <v/>
      </c>
      <c r="L2623" s="43">
        <f>INDEX(Inputs!$X$5:$X$132,MATCH($B2623&amp;"|"&amp;$C2623,Inputs!$A$5:$A$132,0))</f>
        <v/>
      </c>
      <c r="M2623" s="44">
        <f>L2623*$G2623*(1+M$7)^$D2623*(M2605/L2605)^$E2623*((M2605+M2614)/(L2605+L2614))^$F2623</f>
        <v/>
      </c>
      <c r="N2623" s="44">
        <f>M2623*$G2623*(1+N$7)^$D2623*(N2605/M2605)^$E2623*((N2605+N2614)/(M2605+M2614))^$F2623</f>
        <v/>
      </c>
      <c r="O2623" s="44">
        <f>N2623*$G2623*(1+O$7)^$D2623*(O2605/N2605)^$E2623*((O2605+O2614)/(N2605+N2614))^$F2623</f>
        <v/>
      </c>
      <c r="P2623" s="44">
        <f>O2623*$G2623*(1+P$7)^$D2623*(P2605/O2605)^$E2623*((P2605+P2614)/(O2605+O2614))^$F2623</f>
        <v/>
      </c>
      <c r="Q2623" s="44">
        <f>P2623*$G2623*(1+Q$7)^$D2623*(Q2605/P2605)^$E2623*((Q2605+Q2614)/(P2605+P2614))^$F2623</f>
        <v/>
      </c>
      <c r="R2623" s="44">
        <f>Q2623*$G2623*(1+R$7)^$D2623*(R2605/Q2605)^$E2623*((R2605+R2614)/(Q2605+Q2614))^$F2623</f>
        <v/>
      </c>
      <c r="S2623" s="44">
        <f>R2623*$G2623*(1+S$7)^$D2623*(S2605/R2605)^$E2623*((S2605+S2614)/(R2605+R2614))^$F2623</f>
        <v/>
      </c>
      <c r="T2623" s="44">
        <f>S2623*$G2623*(1+T$7)^$D2623*(T2605/S2605)^$E2623*((T2605+T2614)/(S2605+S2614))^$F2623</f>
        <v/>
      </c>
      <c r="U2623" s="44">
        <f>T2623*$G2623*(1+U$7)^$D2623*(U2605/T2605)^$E2623*((U2605+U2614)/(T2605+T2614))^$F2623</f>
        <v/>
      </c>
      <c r="V2623" s="44">
        <f>U2623*$G2623*(1+V$7)^$D2623*(V2605/U2605)^$E2623*((V2605+V2614)/(U2605+U2614))^$F2623</f>
        <v/>
      </c>
      <c r="W2623" s="44">
        <f>V2623*$G2623*(1+W$7)^$D2623*(W2605/V2605)^$E2623*((W2605+W2614)/(V2605+V2614))^$F2623</f>
        <v/>
      </c>
      <c r="X2623" s="44">
        <f>W2623*$G2623*(1+X$7)^$D2623*(X2605/W2605)^$E2623*((X2605+X2614)/(W2605+W2614))^$F2623</f>
        <v/>
      </c>
      <c r="Y2623" s="44">
        <f>X2623*$G2623*(1+Y$7)^$D2623*(Y2605/X2605)^$E2623*((Y2605+Y2614)/(X2605+X2614))^$F2623</f>
        <v/>
      </c>
      <c r="Z2623" s="44">
        <f>Y2623*$G2623*(1+Z$7)^$D2623*(Z2605/Y2605)^$E2623*((Z2605+Z2614)/(Y2605+Y2614))^$F2623</f>
        <v/>
      </c>
      <c r="AA2623" s="44">
        <f>Z2623*$G2623*(1+AA$7)^$D2623*(AA2605/Z2605)^$E2623*((AA2605+AA2614)/(Z2605+Z2614))^$F2623</f>
        <v/>
      </c>
      <c r="AB2623" s="44">
        <f>AA2623*$G2623*(1+AB$7)^$D2623*(AB2605/AA2605)^$E2623*((AB2605+AB2614)/(AA2605+AA2614))^$F2623</f>
        <v/>
      </c>
      <c r="AC2623" s="44">
        <f>AB2623*$G2623*(1+AC$7)^$D2623*(AC2605/AB2605)^$E2623*((AC2605+AC2614)/(AB2605+AB2614))^$F2623</f>
        <v/>
      </c>
      <c r="AD2623" s="44">
        <f>AC2623*$G2623*(1+AD$7)^$D2623*(AD2605/AC2605)^$E2623*((AD2605+AD2614)/(AC2605+AC2614))^$F2623</f>
        <v/>
      </c>
      <c r="AE2623" s="57">
        <f>FUELUSE(AD2623,AE2605,AD2605,AE2614,AD2614,AE$7,$D2623,$E2623,$F2623,$G2623)</f>
        <v/>
      </c>
      <c r="AG2623" s="11">
        <f>CodePrefix&amp;$A2623&amp;IF($C2623="","","."&amp;$C2623&amp;"."&amp;$B2623)&amp;INDEX(VarEnd,MATCH($A2623,VarKey,0))&amp;AG$5</f>
        <v/>
      </c>
      <c r="AH2623" s="43">
        <f>INDEX(Inputs!$X$5:$X$132,MATCH($B2623&amp;"|"&amp;$C2623,Inputs!$A$5:$A$132,0))</f>
        <v/>
      </c>
      <c r="AI2623" s="44">
        <f>AH2623*$G2623*(1+AI$7)^$D2623*(AI2605/AH2605)^$E2623*((AI2605+AI2614)/(AH2605+AH2614))^$F2623</f>
        <v/>
      </c>
      <c r="AJ2623" s="44">
        <f>AI2623*$G2623*(1+AJ$7)^$D2623*(AJ2605/AI2605)^$E2623*((AJ2605+AJ2614)/(AI2605+AI2614))^$F2623</f>
        <v/>
      </c>
      <c r="AK2623" s="44">
        <f>AJ2623*$G2623*(1+AK$7)^$D2623*(AK2605/AJ2605)^$E2623*((AK2605+AK2614)/(AJ2605+AJ2614))^$F2623</f>
        <v/>
      </c>
      <c r="AL2623" s="44">
        <f>AK2623*$G2623*(1+AL$7)^$D2623*(AL2605/AK2605)^$E2623*((AL2605+AL2614)/(AK2605+AK2614))^$F2623</f>
        <v/>
      </c>
      <c r="AM2623" s="44">
        <f>AL2623*$G2623*(1+AM$7)^$D2623*(AM2605/AL2605)^$E2623*((AM2605+AM2614)/(AL2605+AL2614))^$F2623</f>
        <v/>
      </c>
      <c r="AN2623" s="44">
        <f>AM2623*$G2623*(1+AN$7)^$D2623*(AN2605/AM2605)^$E2623*((AN2605+AN2614)/(AM2605+AM2614))^$F2623</f>
        <v/>
      </c>
      <c r="AO2623" s="44">
        <f>AN2623*$G2623*(1+AO$7)^$D2623*(AO2605/AN2605)^$E2623*((AO2605+AO2614)/(AN2605+AN2614))^$F2623</f>
        <v/>
      </c>
      <c r="AP2623" s="44">
        <f>AO2623*$G2623*(1+AP$7)^$D2623*(AP2605/AO2605)^$E2623*((AP2605+AP2614)/(AO2605+AO2614))^$F2623</f>
        <v/>
      </c>
      <c r="AQ2623" s="44">
        <f>AP2623*$G2623*(1+AQ$7)^$D2623*(AQ2605/AP2605)^$E2623*((AQ2605+AQ2614)/(AP2605+AP2614))^$F2623</f>
        <v/>
      </c>
      <c r="AR2623" s="44">
        <f>AQ2623*$G2623*(1+AR$7)^$D2623*(AR2605/AQ2605)^$E2623*((AR2605+AR2614)/(AQ2605+AQ2614))^$F2623</f>
        <v/>
      </c>
      <c r="AS2623" s="44">
        <f>AR2623*$G2623*(1+AS$7)^$D2623*(AS2605/AR2605)^$E2623*((AS2605+AS2614)/(AR2605+AR2614))^$F2623</f>
        <v/>
      </c>
      <c r="AT2623" s="44">
        <f>AS2623*$G2623*(1+AT$7)^$D2623*(AT2605/AS2605)^$E2623*((AT2605+AT2614)/(AS2605+AS2614))^$F2623</f>
        <v/>
      </c>
      <c r="AU2623" s="44">
        <f>AT2623*$G2623*(1+AU$7)^$D2623*(AU2605/AT2605)^$E2623*((AU2605+AU2614)/(AT2605+AT2614))^$F2623</f>
        <v/>
      </c>
      <c r="AV2623" s="44">
        <f>AU2623*$G2623*(1+AV$7)^$D2623*(AV2605/AU2605)^$E2623*((AV2605+AV2614)/(AU2605+AU2614))^$F2623</f>
        <v/>
      </c>
      <c r="AW2623" s="44">
        <f>AV2623*$G2623*(1+AW$7)^$D2623*(AW2605/AV2605)^$E2623*((AW2605+AW2614)/(AV2605+AV2614))^$F2623</f>
        <v/>
      </c>
      <c r="AX2623" s="44">
        <f>AW2623*$G2623*(1+AX$7)^$D2623*(AX2605/AW2605)^$E2623*((AX2605+AX2614)/(AW2605+AW2614))^$F2623</f>
        <v/>
      </c>
      <c r="AY2623" s="44">
        <f>AX2623*$G2623*(1+AY$7)^$D2623*(AY2605/AX2605)^$E2623*((AY2605+AY2614)/(AX2605+AX2614))^$F2623</f>
        <v/>
      </c>
      <c r="AZ2623" s="44">
        <f>AY2623*$G2623*(1+AZ$7)^$D2623*(AZ2605/AY2605)^$E2623*((AZ2605+AZ2614)/(AY2605+AY2614))^$F2623</f>
        <v/>
      </c>
      <c r="BA2623" s="57">
        <f>FUELUSE(AZ2623,BA2605,AZ2605,BA2614,AZ2614,BA$7,$D2623,$E2623,$F2623,$G2623)</f>
        <v/>
      </c>
    </row>
    <row r="2624" hidden="1" outlineLevel="2">
      <c r="A2624" s="14" t="inlineStr">
        <is>
          <t>ener</t>
        </is>
      </c>
      <c r="B2624" s="14" t="inlineStr">
        <is>
          <t>die</t>
        </is>
      </c>
      <c r="C2624" s="14" t="inlineStr">
        <is>
          <t>omn</t>
        </is>
      </c>
      <c r="D2624" s="35">
        <f>INDEX(Inputs!$O$5:$O$132,MATCH($B2624&amp;"|"&amp;$C2624,Inputs!$A$5:$A$132,0))</f>
        <v/>
      </c>
      <c r="E2624" s="35">
        <f>INDEX(Inputs!$P$5:$P$132,MATCH($B2624&amp;"|"&amp;$C2624,Inputs!$A$5:$A$132,0))</f>
        <v/>
      </c>
      <c r="F2624" s="35">
        <f>INDEX(Inputs!$T$5:$T$132,MATCH($B2624&amp;"|"&amp;$C2624,Inputs!$A$5:$A$132,0))</f>
        <v/>
      </c>
      <c r="G2624" s="35">
        <f>INDEX(Inputs!$S$5:$S$132,MATCH($B2624&amp;"|"&amp;$C2624,Inputs!$A$5:$A$132,0))</f>
        <v/>
      </c>
      <c r="H2624" s="14">
        <f>INDEX(VarLab,MATCH($A2624,VarKey,0))&amp;INDEX(MemLab,MATCH($C2624&amp;"|"&amp;$B2624,MemKey,0))</f>
        <v/>
      </c>
      <c r="I2624" s="14">
        <f>INDEX(VarUnit,MATCH($A2624,VarKey,0))</f>
        <v/>
      </c>
      <c r="J2624" s="14">
        <f>INDEX(VarSrc,MATCH($A2624,VarKey,0))</f>
        <v/>
      </c>
      <c r="K2624" s="11">
        <f>CodePrefix&amp;$A2624&amp;IF($C2624="","","."&amp;$C2624&amp;"."&amp;$B2624)&amp;INDEX(VarEnd,MATCH($A2624,VarKey,0))&amp;K$5</f>
        <v/>
      </c>
      <c r="L2624" s="43">
        <f>INDEX(Inputs!$X$5:$X$132,MATCH($B2624&amp;"|"&amp;$C2624,Inputs!$A$5:$A$132,0))</f>
        <v/>
      </c>
      <c r="M2624" s="44">
        <f>L2624*$G2624*(1+M$7)^$D2624*(M2606/L2606)^$E2624*((M2606+M2615)/(L2606+L2615))^$F2624</f>
        <v/>
      </c>
      <c r="N2624" s="44">
        <f>M2624*$G2624*(1+N$7)^$D2624*(N2606/M2606)^$E2624*((N2606+N2615)/(M2606+M2615))^$F2624</f>
        <v/>
      </c>
      <c r="O2624" s="44">
        <f>N2624*$G2624*(1+O$7)^$D2624*(O2606/N2606)^$E2624*((O2606+O2615)/(N2606+N2615))^$F2624</f>
        <v/>
      </c>
      <c r="P2624" s="44">
        <f>O2624*$G2624*(1+P$7)^$D2624*(P2606/O2606)^$E2624*((P2606+P2615)/(O2606+O2615))^$F2624</f>
        <v/>
      </c>
      <c r="Q2624" s="44">
        <f>P2624*$G2624*(1+Q$7)^$D2624*(Q2606/P2606)^$E2624*((Q2606+Q2615)/(P2606+P2615))^$F2624</f>
        <v/>
      </c>
      <c r="R2624" s="44">
        <f>Q2624*$G2624*(1+R$7)^$D2624*(R2606/Q2606)^$E2624*((R2606+R2615)/(Q2606+Q2615))^$F2624</f>
        <v/>
      </c>
      <c r="S2624" s="44">
        <f>R2624*$G2624*(1+S$7)^$D2624*(S2606/R2606)^$E2624*((S2606+S2615)/(R2606+R2615))^$F2624</f>
        <v/>
      </c>
      <c r="T2624" s="44">
        <f>S2624*$G2624*(1+T$7)^$D2624*(T2606/S2606)^$E2624*((T2606+T2615)/(S2606+S2615))^$F2624</f>
        <v/>
      </c>
      <c r="U2624" s="44">
        <f>T2624*$G2624*(1+U$7)^$D2624*(U2606/T2606)^$E2624*((U2606+U2615)/(T2606+T2615))^$F2624</f>
        <v/>
      </c>
      <c r="V2624" s="44">
        <f>U2624*$G2624*(1+V$7)^$D2624*(V2606/U2606)^$E2624*((V2606+V2615)/(U2606+U2615))^$F2624</f>
        <v/>
      </c>
      <c r="W2624" s="44">
        <f>V2624*$G2624*(1+W$7)^$D2624*(W2606/V2606)^$E2624*((W2606+W2615)/(V2606+V2615))^$F2624</f>
        <v/>
      </c>
      <c r="X2624" s="44">
        <f>W2624*$G2624*(1+X$7)^$D2624*(X2606/W2606)^$E2624*((X2606+X2615)/(W2606+W2615))^$F2624</f>
        <v/>
      </c>
      <c r="Y2624" s="44">
        <f>X2624*$G2624*(1+Y$7)^$D2624*(Y2606/X2606)^$E2624*((Y2606+Y2615)/(X2606+X2615))^$F2624</f>
        <v/>
      </c>
      <c r="Z2624" s="44">
        <f>Y2624*$G2624*(1+Z$7)^$D2624*(Z2606/Y2606)^$E2624*((Z2606+Z2615)/(Y2606+Y2615))^$F2624</f>
        <v/>
      </c>
      <c r="AA2624" s="44">
        <f>Z2624*$G2624*(1+AA$7)^$D2624*(AA2606/Z2606)^$E2624*((AA2606+AA2615)/(Z2606+Z2615))^$F2624</f>
        <v/>
      </c>
      <c r="AB2624" s="44">
        <f>AA2624*$G2624*(1+AB$7)^$D2624*(AB2606/AA2606)^$E2624*((AB2606+AB2615)/(AA2606+AA2615))^$F2624</f>
        <v/>
      </c>
      <c r="AC2624" s="44">
        <f>AB2624*$G2624*(1+AC$7)^$D2624*(AC2606/AB2606)^$E2624*((AC2606+AC2615)/(AB2606+AB2615))^$F2624</f>
        <v/>
      </c>
      <c r="AD2624" s="44">
        <f>AC2624*$G2624*(1+AD$7)^$D2624*(AD2606/AC2606)^$E2624*((AD2606+AD2615)/(AC2606+AC2615))^$F2624</f>
        <v/>
      </c>
      <c r="AE2624" s="57">
        <f>FUELUSE(AD2624,AE2606,AD2606,AE2615,AD2615,AE$7,$D2624,$E2624,$F2624,$G2624)</f>
        <v/>
      </c>
      <c r="AG2624" s="11">
        <f>CodePrefix&amp;$A2624&amp;IF($C2624="","","."&amp;$C2624&amp;"."&amp;$B2624)&amp;INDEX(VarEnd,MATCH($A2624,VarKey,0))&amp;AG$5</f>
        <v/>
      </c>
      <c r="AH2624" s="43">
        <f>INDEX(Inputs!$X$5:$X$132,MATCH($B2624&amp;"|"&amp;$C2624,Inputs!$A$5:$A$132,0))</f>
        <v/>
      </c>
      <c r="AI2624" s="44">
        <f>AH2624*$G2624*(1+AI$7)^$D2624*(AI2606/AH2606)^$E2624*((AI2606+AI2615)/(AH2606+AH2615))^$F2624</f>
        <v/>
      </c>
      <c r="AJ2624" s="44">
        <f>AI2624*$G2624*(1+AJ$7)^$D2624*(AJ2606/AI2606)^$E2624*((AJ2606+AJ2615)/(AI2606+AI2615))^$F2624</f>
        <v/>
      </c>
      <c r="AK2624" s="44">
        <f>AJ2624*$G2624*(1+AK$7)^$D2624*(AK2606/AJ2606)^$E2624*((AK2606+AK2615)/(AJ2606+AJ2615))^$F2624</f>
        <v/>
      </c>
      <c r="AL2624" s="44">
        <f>AK2624*$G2624*(1+AL$7)^$D2624*(AL2606/AK2606)^$E2624*((AL2606+AL2615)/(AK2606+AK2615))^$F2624</f>
        <v/>
      </c>
      <c r="AM2624" s="44">
        <f>AL2624*$G2624*(1+AM$7)^$D2624*(AM2606/AL2606)^$E2624*((AM2606+AM2615)/(AL2606+AL2615))^$F2624</f>
        <v/>
      </c>
      <c r="AN2624" s="44">
        <f>AM2624*$G2624*(1+AN$7)^$D2624*(AN2606/AM2606)^$E2624*((AN2606+AN2615)/(AM2606+AM2615))^$F2624</f>
        <v/>
      </c>
      <c r="AO2624" s="44">
        <f>AN2624*$G2624*(1+AO$7)^$D2624*(AO2606/AN2606)^$E2624*((AO2606+AO2615)/(AN2606+AN2615))^$F2624</f>
        <v/>
      </c>
      <c r="AP2624" s="44">
        <f>AO2624*$G2624*(1+AP$7)^$D2624*(AP2606/AO2606)^$E2624*((AP2606+AP2615)/(AO2606+AO2615))^$F2624</f>
        <v/>
      </c>
      <c r="AQ2624" s="44">
        <f>AP2624*$G2624*(1+AQ$7)^$D2624*(AQ2606/AP2606)^$E2624*((AQ2606+AQ2615)/(AP2606+AP2615))^$F2624</f>
        <v/>
      </c>
      <c r="AR2624" s="44">
        <f>AQ2624*$G2624*(1+AR$7)^$D2624*(AR2606/AQ2606)^$E2624*((AR2606+AR2615)/(AQ2606+AQ2615))^$F2624</f>
        <v/>
      </c>
      <c r="AS2624" s="44">
        <f>AR2624*$G2624*(1+AS$7)^$D2624*(AS2606/AR2606)^$E2624*((AS2606+AS2615)/(AR2606+AR2615))^$F2624</f>
        <v/>
      </c>
      <c r="AT2624" s="44">
        <f>AS2624*$G2624*(1+AT$7)^$D2624*(AT2606/AS2606)^$E2624*((AT2606+AT2615)/(AS2606+AS2615))^$F2624</f>
        <v/>
      </c>
      <c r="AU2624" s="44">
        <f>AT2624*$G2624*(1+AU$7)^$D2624*(AU2606/AT2606)^$E2624*((AU2606+AU2615)/(AT2606+AT2615))^$F2624</f>
        <v/>
      </c>
      <c r="AV2624" s="44">
        <f>AU2624*$G2624*(1+AV$7)^$D2624*(AV2606/AU2606)^$E2624*((AV2606+AV2615)/(AU2606+AU2615))^$F2624</f>
        <v/>
      </c>
      <c r="AW2624" s="44">
        <f>AV2624*$G2624*(1+AW$7)^$D2624*(AW2606/AV2606)^$E2624*((AW2606+AW2615)/(AV2606+AV2615))^$F2624</f>
        <v/>
      </c>
      <c r="AX2624" s="44">
        <f>AW2624*$G2624*(1+AX$7)^$D2624*(AX2606/AW2606)^$E2624*((AX2606+AX2615)/(AW2606+AW2615))^$F2624</f>
        <v/>
      </c>
      <c r="AY2624" s="44">
        <f>AX2624*$G2624*(1+AY$7)^$D2624*(AY2606/AX2606)^$E2624*((AY2606+AY2615)/(AX2606+AX2615))^$F2624</f>
        <v/>
      </c>
      <c r="AZ2624" s="44">
        <f>AY2624*$G2624*(1+AZ$7)^$D2624*(AZ2606/AY2606)^$E2624*((AZ2606+AZ2615)/(AY2606+AY2615))^$F2624</f>
        <v/>
      </c>
      <c r="BA2624" s="57">
        <f>FUELUSE(AZ2624,BA2606,AZ2606,BA2615,AZ2615,BA$7,$D2624,$E2624,$F2624,$G2624)</f>
        <v/>
      </c>
    </row>
    <row r="2625" hidden="1" outlineLevel="2">
      <c r="A2625" s="14" t="inlineStr">
        <is>
          <t>ener</t>
        </is>
      </c>
      <c r="B2625" s="14" t="inlineStr">
        <is>
          <t>lpg</t>
        </is>
      </c>
      <c r="C2625" s="14" t="inlineStr">
        <is>
          <t>omn</t>
        </is>
      </c>
      <c r="D2625" s="35">
        <f>INDEX(Inputs!$O$5:$O$132,MATCH($B2625&amp;"|"&amp;$C2625,Inputs!$A$5:$A$132,0))</f>
        <v/>
      </c>
      <c r="E2625" s="35">
        <f>INDEX(Inputs!$P$5:$P$132,MATCH($B2625&amp;"|"&amp;$C2625,Inputs!$A$5:$A$132,0))</f>
        <v/>
      </c>
      <c r="F2625" s="35">
        <f>INDEX(Inputs!$T$5:$T$132,MATCH($B2625&amp;"|"&amp;$C2625,Inputs!$A$5:$A$132,0))</f>
        <v/>
      </c>
      <c r="G2625" s="35">
        <f>INDEX(Inputs!$S$5:$S$132,MATCH($B2625&amp;"|"&amp;$C2625,Inputs!$A$5:$A$132,0))</f>
        <v/>
      </c>
      <c r="H2625" s="14">
        <f>INDEX(VarLab,MATCH($A2625,VarKey,0))&amp;INDEX(MemLab,MATCH($C2625&amp;"|"&amp;$B2625,MemKey,0))</f>
        <v/>
      </c>
      <c r="I2625" s="14">
        <f>INDEX(VarUnit,MATCH($A2625,VarKey,0))</f>
        <v/>
      </c>
      <c r="J2625" s="14">
        <f>INDEX(VarSrc,MATCH($A2625,VarKey,0))</f>
        <v/>
      </c>
      <c r="K2625" s="11">
        <f>CodePrefix&amp;$A2625&amp;IF($C2625="","","."&amp;$C2625&amp;"."&amp;$B2625)&amp;INDEX(VarEnd,MATCH($A2625,VarKey,0))&amp;K$5</f>
        <v/>
      </c>
      <c r="L2625" s="43">
        <f>INDEX(Inputs!$X$5:$X$132,MATCH($B2625&amp;"|"&amp;$C2625,Inputs!$A$5:$A$132,0))</f>
        <v/>
      </c>
      <c r="M2625" s="44">
        <f>L2625*$G2625*(1+M$7)^$D2625*(M2607/L2607)^$E2625*((M2607+M2616)/(L2607+L2616))^$F2625</f>
        <v/>
      </c>
      <c r="N2625" s="44">
        <f>M2625*$G2625*(1+N$7)^$D2625*(N2607/M2607)^$E2625*((N2607+N2616)/(M2607+M2616))^$F2625</f>
        <v/>
      </c>
      <c r="O2625" s="44">
        <f>N2625*$G2625*(1+O$7)^$D2625*(O2607/N2607)^$E2625*((O2607+O2616)/(N2607+N2616))^$F2625</f>
        <v/>
      </c>
      <c r="P2625" s="44">
        <f>O2625*$G2625*(1+P$7)^$D2625*(P2607/O2607)^$E2625*((P2607+P2616)/(O2607+O2616))^$F2625</f>
        <v/>
      </c>
      <c r="Q2625" s="44">
        <f>P2625*$G2625*(1+Q$7)^$D2625*(Q2607/P2607)^$E2625*((Q2607+Q2616)/(P2607+P2616))^$F2625</f>
        <v/>
      </c>
      <c r="R2625" s="44">
        <f>Q2625*$G2625*(1+R$7)^$D2625*(R2607/Q2607)^$E2625*((R2607+R2616)/(Q2607+Q2616))^$F2625</f>
        <v/>
      </c>
      <c r="S2625" s="44">
        <f>R2625*$G2625*(1+S$7)^$D2625*(S2607/R2607)^$E2625*((S2607+S2616)/(R2607+R2616))^$F2625</f>
        <v/>
      </c>
      <c r="T2625" s="44">
        <f>S2625*$G2625*(1+T$7)^$D2625*(T2607/S2607)^$E2625*((T2607+T2616)/(S2607+S2616))^$F2625</f>
        <v/>
      </c>
      <c r="U2625" s="44">
        <f>T2625*$G2625*(1+U$7)^$D2625*(U2607/T2607)^$E2625*((U2607+U2616)/(T2607+T2616))^$F2625</f>
        <v/>
      </c>
      <c r="V2625" s="44">
        <f>U2625*$G2625*(1+V$7)^$D2625*(V2607/U2607)^$E2625*((V2607+V2616)/(U2607+U2616))^$F2625</f>
        <v/>
      </c>
      <c r="W2625" s="44">
        <f>V2625*$G2625*(1+W$7)^$D2625*(W2607/V2607)^$E2625*((W2607+W2616)/(V2607+V2616))^$F2625</f>
        <v/>
      </c>
      <c r="X2625" s="44">
        <f>W2625*$G2625*(1+X$7)^$D2625*(X2607/W2607)^$E2625*((X2607+X2616)/(W2607+W2616))^$F2625</f>
        <v/>
      </c>
      <c r="Y2625" s="44">
        <f>X2625*$G2625*(1+Y$7)^$D2625*(Y2607/X2607)^$E2625*((Y2607+Y2616)/(X2607+X2616))^$F2625</f>
        <v/>
      </c>
      <c r="Z2625" s="44">
        <f>Y2625*$G2625*(1+Z$7)^$D2625*(Z2607/Y2607)^$E2625*((Z2607+Z2616)/(Y2607+Y2616))^$F2625</f>
        <v/>
      </c>
      <c r="AA2625" s="44">
        <f>Z2625*$G2625*(1+AA$7)^$D2625*(AA2607/Z2607)^$E2625*((AA2607+AA2616)/(Z2607+Z2616))^$F2625</f>
        <v/>
      </c>
      <c r="AB2625" s="44">
        <f>AA2625*$G2625*(1+AB$7)^$D2625*(AB2607/AA2607)^$E2625*((AB2607+AB2616)/(AA2607+AA2616))^$F2625</f>
        <v/>
      </c>
      <c r="AC2625" s="44">
        <f>AB2625*$G2625*(1+AC$7)^$D2625*(AC2607/AB2607)^$E2625*((AC2607+AC2616)/(AB2607+AB2616))^$F2625</f>
        <v/>
      </c>
      <c r="AD2625" s="44">
        <f>AC2625*$G2625*(1+AD$7)^$D2625*(AD2607/AC2607)^$E2625*((AD2607+AD2616)/(AC2607+AC2616))^$F2625</f>
        <v/>
      </c>
      <c r="AE2625" s="57">
        <f>FUELUSE(AD2625,AE2607,AD2607,AE2616,AD2616,AE$7,$D2625,$E2625,$F2625,$G2625)</f>
        <v/>
      </c>
      <c r="AG2625" s="11">
        <f>CodePrefix&amp;$A2625&amp;IF($C2625="","","."&amp;$C2625&amp;"."&amp;$B2625)&amp;INDEX(VarEnd,MATCH($A2625,VarKey,0))&amp;AG$5</f>
        <v/>
      </c>
      <c r="AH2625" s="43">
        <f>INDEX(Inputs!$X$5:$X$132,MATCH($B2625&amp;"|"&amp;$C2625,Inputs!$A$5:$A$132,0))</f>
        <v/>
      </c>
      <c r="AI2625" s="44">
        <f>AH2625*$G2625*(1+AI$7)^$D2625*(AI2607/AH2607)^$E2625*((AI2607+AI2616)/(AH2607+AH2616))^$F2625</f>
        <v/>
      </c>
      <c r="AJ2625" s="44">
        <f>AI2625*$G2625*(1+AJ$7)^$D2625*(AJ2607/AI2607)^$E2625*((AJ2607+AJ2616)/(AI2607+AI2616))^$F2625</f>
        <v/>
      </c>
      <c r="AK2625" s="44">
        <f>AJ2625*$G2625*(1+AK$7)^$D2625*(AK2607/AJ2607)^$E2625*((AK2607+AK2616)/(AJ2607+AJ2616))^$F2625</f>
        <v/>
      </c>
      <c r="AL2625" s="44">
        <f>AK2625*$G2625*(1+AL$7)^$D2625*(AL2607/AK2607)^$E2625*((AL2607+AL2616)/(AK2607+AK2616))^$F2625</f>
        <v/>
      </c>
      <c r="AM2625" s="44">
        <f>AL2625*$G2625*(1+AM$7)^$D2625*(AM2607/AL2607)^$E2625*((AM2607+AM2616)/(AL2607+AL2616))^$F2625</f>
        <v/>
      </c>
      <c r="AN2625" s="44">
        <f>AM2625*$G2625*(1+AN$7)^$D2625*(AN2607/AM2607)^$E2625*((AN2607+AN2616)/(AM2607+AM2616))^$F2625</f>
        <v/>
      </c>
      <c r="AO2625" s="44">
        <f>AN2625*$G2625*(1+AO$7)^$D2625*(AO2607/AN2607)^$E2625*((AO2607+AO2616)/(AN2607+AN2616))^$F2625</f>
        <v/>
      </c>
      <c r="AP2625" s="44">
        <f>AO2625*$G2625*(1+AP$7)^$D2625*(AP2607/AO2607)^$E2625*((AP2607+AP2616)/(AO2607+AO2616))^$F2625</f>
        <v/>
      </c>
      <c r="AQ2625" s="44">
        <f>AP2625*$G2625*(1+AQ$7)^$D2625*(AQ2607/AP2607)^$E2625*((AQ2607+AQ2616)/(AP2607+AP2616))^$F2625</f>
        <v/>
      </c>
      <c r="AR2625" s="44">
        <f>AQ2625*$G2625*(1+AR$7)^$D2625*(AR2607/AQ2607)^$E2625*((AR2607+AR2616)/(AQ2607+AQ2616))^$F2625</f>
        <v/>
      </c>
      <c r="AS2625" s="44">
        <f>AR2625*$G2625*(1+AS$7)^$D2625*(AS2607/AR2607)^$E2625*((AS2607+AS2616)/(AR2607+AR2616))^$F2625</f>
        <v/>
      </c>
      <c r="AT2625" s="44">
        <f>AS2625*$G2625*(1+AT$7)^$D2625*(AT2607/AS2607)^$E2625*((AT2607+AT2616)/(AS2607+AS2616))^$F2625</f>
        <v/>
      </c>
      <c r="AU2625" s="44">
        <f>AT2625*$G2625*(1+AU$7)^$D2625*(AU2607/AT2607)^$E2625*((AU2607+AU2616)/(AT2607+AT2616))^$F2625</f>
        <v/>
      </c>
      <c r="AV2625" s="44">
        <f>AU2625*$G2625*(1+AV$7)^$D2625*(AV2607/AU2607)^$E2625*((AV2607+AV2616)/(AU2607+AU2616))^$F2625</f>
        <v/>
      </c>
      <c r="AW2625" s="44">
        <f>AV2625*$G2625*(1+AW$7)^$D2625*(AW2607/AV2607)^$E2625*((AW2607+AW2616)/(AV2607+AV2616))^$F2625</f>
        <v/>
      </c>
      <c r="AX2625" s="44">
        <f>AW2625*$G2625*(1+AX$7)^$D2625*(AX2607/AW2607)^$E2625*((AX2607+AX2616)/(AW2607+AW2616))^$F2625</f>
        <v/>
      </c>
      <c r="AY2625" s="44">
        <f>AX2625*$G2625*(1+AY$7)^$D2625*(AY2607/AX2607)^$E2625*((AY2607+AY2616)/(AX2607+AX2616))^$F2625</f>
        <v/>
      </c>
      <c r="AZ2625" s="44">
        <f>AY2625*$G2625*(1+AZ$7)^$D2625*(AZ2607/AY2607)^$E2625*((AZ2607+AZ2616)/(AY2607+AY2616))^$F2625</f>
        <v/>
      </c>
      <c r="BA2625" s="57">
        <f>FUELUSE(AZ2625,BA2607,AZ2607,BA2616,AZ2616,BA$7,$D2625,$E2625,$F2625,$G2625)</f>
        <v/>
      </c>
    </row>
    <row r="2626" hidden="1" outlineLevel="2">
      <c r="A2626" s="14" t="inlineStr">
        <is>
          <t>ener</t>
        </is>
      </c>
      <c r="B2626" s="14" t="inlineStr">
        <is>
          <t>ker</t>
        </is>
      </c>
      <c r="C2626" s="14" t="inlineStr">
        <is>
          <t>omn</t>
        </is>
      </c>
      <c r="D2626" s="35">
        <f>INDEX(Inputs!$O$5:$O$132,MATCH($B2626&amp;"|"&amp;$C2626,Inputs!$A$5:$A$132,0))</f>
        <v/>
      </c>
      <c r="E2626" s="35">
        <f>INDEX(Inputs!$P$5:$P$132,MATCH($B2626&amp;"|"&amp;$C2626,Inputs!$A$5:$A$132,0))</f>
        <v/>
      </c>
      <c r="F2626" s="35">
        <f>INDEX(Inputs!$T$5:$T$132,MATCH($B2626&amp;"|"&amp;$C2626,Inputs!$A$5:$A$132,0))</f>
        <v/>
      </c>
      <c r="G2626" s="35">
        <f>INDEX(Inputs!$S$5:$S$132,MATCH($B2626&amp;"|"&amp;$C2626,Inputs!$A$5:$A$132,0))</f>
        <v/>
      </c>
      <c r="H2626" s="14">
        <f>INDEX(VarLab,MATCH($A2626,VarKey,0))&amp;INDEX(MemLab,MATCH($C2626&amp;"|"&amp;$B2626,MemKey,0))</f>
        <v/>
      </c>
      <c r="I2626" s="14">
        <f>INDEX(VarUnit,MATCH($A2626,VarKey,0))</f>
        <v/>
      </c>
      <c r="J2626" s="14">
        <f>INDEX(VarSrc,MATCH($A2626,VarKey,0))</f>
        <v/>
      </c>
      <c r="K2626" s="11">
        <f>CodePrefix&amp;$A2626&amp;IF($C2626="","","."&amp;$C2626&amp;"."&amp;$B2626)&amp;INDEX(VarEnd,MATCH($A2626,VarKey,0))&amp;K$5</f>
        <v/>
      </c>
      <c r="L2626" s="43">
        <f>INDEX(Inputs!$X$5:$X$132,MATCH($B2626&amp;"|"&amp;$C2626,Inputs!$A$5:$A$132,0))</f>
        <v/>
      </c>
      <c r="M2626" s="44">
        <f>L2626*$G2626*(1+M$7)^$D2626*(M2608/L2608)^$E2626*((M2608+M2617)/(L2608+L2617))^$F2626</f>
        <v/>
      </c>
      <c r="N2626" s="44">
        <f>M2626*$G2626*(1+N$7)^$D2626*(N2608/M2608)^$E2626*((N2608+N2617)/(M2608+M2617))^$F2626</f>
        <v/>
      </c>
      <c r="O2626" s="44">
        <f>N2626*$G2626*(1+O$7)^$D2626*(O2608/N2608)^$E2626*((O2608+O2617)/(N2608+N2617))^$F2626</f>
        <v/>
      </c>
      <c r="P2626" s="44">
        <f>O2626*$G2626*(1+P$7)^$D2626*(P2608/O2608)^$E2626*((P2608+P2617)/(O2608+O2617))^$F2626</f>
        <v/>
      </c>
      <c r="Q2626" s="44">
        <f>P2626*$G2626*(1+Q$7)^$D2626*(Q2608/P2608)^$E2626*((Q2608+Q2617)/(P2608+P2617))^$F2626</f>
        <v/>
      </c>
      <c r="R2626" s="44">
        <f>Q2626*$G2626*(1+R$7)^$D2626*(R2608/Q2608)^$E2626*((R2608+R2617)/(Q2608+Q2617))^$F2626</f>
        <v/>
      </c>
      <c r="S2626" s="44">
        <f>R2626*$G2626*(1+S$7)^$D2626*(S2608/R2608)^$E2626*((S2608+S2617)/(R2608+R2617))^$F2626</f>
        <v/>
      </c>
      <c r="T2626" s="44">
        <f>S2626*$G2626*(1+T$7)^$D2626*(T2608/S2608)^$E2626*((T2608+T2617)/(S2608+S2617))^$F2626</f>
        <v/>
      </c>
      <c r="U2626" s="44">
        <f>T2626*$G2626*(1+U$7)^$D2626*(U2608/T2608)^$E2626*((U2608+U2617)/(T2608+T2617))^$F2626</f>
        <v/>
      </c>
      <c r="V2626" s="44">
        <f>U2626*$G2626*(1+V$7)^$D2626*(V2608/U2608)^$E2626*((V2608+V2617)/(U2608+U2617))^$F2626</f>
        <v/>
      </c>
      <c r="W2626" s="44">
        <f>V2626*$G2626*(1+W$7)^$D2626*(W2608/V2608)^$E2626*((W2608+W2617)/(V2608+V2617))^$F2626</f>
        <v/>
      </c>
      <c r="X2626" s="44">
        <f>W2626*$G2626*(1+X$7)^$D2626*(X2608/W2608)^$E2626*((X2608+X2617)/(W2608+W2617))^$F2626</f>
        <v/>
      </c>
      <c r="Y2626" s="44">
        <f>X2626*$G2626*(1+Y$7)^$D2626*(Y2608/X2608)^$E2626*((Y2608+Y2617)/(X2608+X2617))^$F2626</f>
        <v/>
      </c>
      <c r="Z2626" s="44">
        <f>Y2626*$G2626*(1+Z$7)^$D2626*(Z2608/Y2608)^$E2626*((Z2608+Z2617)/(Y2608+Y2617))^$F2626</f>
        <v/>
      </c>
      <c r="AA2626" s="44">
        <f>Z2626*$G2626*(1+AA$7)^$D2626*(AA2608/Z2608)^$E2626*((AA2608+AA2617)/(Z2608+Z2617))^$F2626</f>
        <v/>
      </c>
      <c r="AB2626" s="44">
        <f>AA2626*$G2626*(1+AB$7)^$D2626*(AB2608/AA2608)^$E2626*((AB2608+AB2617)/(AA2608+AA2617))^$F2626</f>
        <v/>
      </c>
      <c r="AC2626" s="44">
        <f>AB2626*$G2626*(1+AC$7)^$D2626*(AC2608/AB2608)^$E2626*((AC2608+AC2617)/(AB2608+AB2617))^$F2626</f>
        <v/>
      </c>
      <c r="AD2626" s="44">
        <f>AC2626*$G2626*(1+AD$7)^$D2626*(AD2608/AC2608)^$E2626*((AD2608+AD2617)/(AC2608+AC2617))^$F2626</f>
        <v/>
      </c>
      <c r="AE2626" s="57">
        <f>FUELUSE(AD2626,AE2608,AD2608,AE2617,AD2617,AE$7,$D2626,$E2626,$F2626,$G2626)</f>
        <v/>
      </c>
      <c r="AG2626" s="11">
        <f>CodePrefix&amp;$A2626&amp;IF($C2626="","","."&amp;$C2626&amp;"."&amp;$B2626)&amp;INDEX(VarEnd,MATCH($A2626,VarKey,0))&amp;AG$5</f>
        <v/>
      </c>
      <c r="AH2626" s="43">
        <f>INDEX(Inputs!$X$5:$X$132,MATCH($B2626&amp;"|"&amp;$C2626,Inputs!$A$5:$A$132,0))</f>
        <v/>
      </c>
      <c r="AI2626" s="44">
        <f>AH2626*$G2626*(1+AI$7)^$D2626*(AI2608/AH2608)^$E2626*((AI2608+AI2617)/(AH2608+AH2617))^$F2626</f>
        <v/>
      </c>
      <c r="AJ2626" s="44">
        <f>AI2626*$G2626*(1+AJ$7)^$D2626*(AJ2608/AI2608)^$E2626*((AJ2608+AJ2617)/(AI2608+AI2617))^$F2626</f>
        <v/>
      </c>
      <c r="AK2626" s="44">
        <f>AJ2626*$G2626*(1+AK$7)^$D2626*(AK2608/AJ2608)^$E2626*((AK2608+AK2617)/(AJ2608+AJ2617))^$F2626</f>
        <v/>
      </c>
      <c r="AL2626" s="44">
        <f>AK2626*$G2626*(1+AL$7)^$D2626*(AL2608/AK2608)^$E2626*((AL2608+AL2617)/(AK2608+AK2617))^$F2626</f>
        <v/>
      </c>
      <c r="AM2626" s="44">
        <f>AL2626*$G2626*(1+AM$7)^$D2626*(AM2608/AL2608)^$E2626*((AM2608+AM2617)/(AL2608+AL2617))^$F2626</f>
        <v/>
      </c>
      <c r="AN2626" s="44">
        <f>AM2626*$G2626*(1+AN$7)^$D2626*(AN2608/AM2608)^$E2626*((AN2608+AN2617)/(AM2608+AM2617))^$F2626</f>
        <v/>
      </c>
      <c r="AO2626" s="44">
        <f>AN2626*$G2626*(1+AO$7)^$D2626*(AO2608/AN2608)^$E2626*((AO2608+AO2617)/(AN2608+AN2617))^$F2626</f>
        <v/>
      </c>
      <c r="AP2626" s="44">
        <f>AO2626*$G2626*(1+AP$7)^$D2626*(AP2608/AO2608)^$E2626*((AP2608+AP2617)/(AO2608+AO2617))^$F2626</f>
        <v/>
      </c>
      <c r="AQ2626" s="44">
        <f>AP2626*$G2626*(1+AQ$7)^$D2626*(AQ2608/AP2608)^$E2626*((AQ2608+AQ2617)/(AP2608+AP2617))^$F2626</f>
        <v/>
      </c>
      <c r="AR2626" s="44">
        <f>AQ2626*$G2626*(1+AR$7)^$D2626*(AR2608/AQ2608)^$E2626*((AR2608+AR2617)/(AQ2608+AQ2617))^$F2626</f>
        <v/>
      </c>
      <c r="AS2626" s="44">
        <f>AR2626*$G2626*(1+AS$7)^$D2626*(AS2608/AR2608)^$E2626*((AS2608+AS2617)/(AR2608+AR2617))^$F2626</f>
        <v/>
      </c>
      <c r="AT2626" s="44">
        <f>AS2626*$G2626*(1+AT$7)^$D2626*(AT2608/AS2608)^$E2626*((AT2608+AT2617)/(AS2608+AS2617))^$F2626</f>
        <v/>
      </c>
      <c r="AU2626" s="44">
        <f>AT2626*$G2626*(1+AU$7)^$D2626*(AU2608/AT2608)^$E2626*((AU2608+AU2617)/(AT2608+AT2617))^$F2626</f>
        <v/>
      </c>
      <c r="AV2626" s="44">
        <f>AU2626*$G2626*(1+AV$7)^$D2626*(AV2608/AU2608)^$E2626*((AV2608+AV2617)/(AU2608+AU2617))^$F2626</f>
        <v/>
      </c>
      <c r="AW2626" s="44">
        <f>AV2626*$G2626*(1+AW$7)^$D2626*(AW2608/AV2608)^$E2626*((AW2608+AW2617)/(AV2608+AV2617))^$F2626</f>
        <v/>
      </c>
      <c r="AX2626" s="44">
        <f>AW2626*$G2626*(1+AX$7)^$D2626*(AX2608/AW2608)^$E2626*((AX2608+AX2617)/(AW2608+AW2617))^$F2626</f>
        <v/>
      </c>
      <c r="AY2626" s="44">
        <f>AX2626*$G2626*(1+AY$7)^$D2626*(AY2608/AX2608)^$E2626*((AY2608+AY2617)/(AX2608+AX2617))^$F2626</f>
        <v/>
      </c>
      <c r="AZ2626" s="44">
        <f>AY2626*$G2626*(1+AZ$7)^$D2626*(AZ2608/AY2608)^$E2626*((AZ2608+AZ2617)/(AY2608+AY2617))^$F2626</f>
        <v/>
      </c>
      <c r="BA2626" s="57">
        <f>FUELUSE(AZ2626,BA2608,AZ2608,BA2617,AZ2617,BA$7,$D2626,$E2626,$F2626,$G2626)</f>
        <v/>
      </c>
    </row>
    <row r="2627" hidden="1" outlineLevel="2">
      <c r="A2627" s="14" t="inlineStr">
        <is>
          <t>ener</t>
        </is>
      </c>
      <c r="B2627" s="14" t="inlineStr">
        <is>
          <t>oop</t>
        </is>
      </c>
      <c r="C2627" s="14" t="inlineStr">
        <is>
          <t>omn</t>
        </is>
      </c>
      <c r="D2627" s="35">
        <f>INDEX(Inputs!$O$5:$O$132,MATCH($B2627&amp;"|"&amp;$C2627,Inputs!$A$5:$A$132,0))</f>
        <v/>
      </c>
      <c r="E2627" s="35">
        <f>INDEX(Inputs!$P$5:$P$132,MATCH($B2627&amp;"|"&amp;$C2627,Inputs!$A$5:$A$132,0))</f>
        <v/>
      </c>
      <c r="F2627" s="35">
        <f>INDEX(Inputs!$T$5:$T$132,MATCH($B2627&amp;"|"&amp;$C2627,Inputs!$A$5:$A$132,0))</f>
        <v/>
      </c>
      <c r="G2627" s="35">
        <f>INDEX(Inputs!$S$5:$S$132,MATCH($B2627&amp;"|"&amp;$C2627,Inputs!$A$5:$A$132,0))</f>
        <v/>
      </c>
      <c r="H2627" s="14">
        <f>INDEX(VarLab,MATCH($A2627,VarKey,0))&amp;INDEX(MemLab,MATCH($C2627&amp;"|"&amp;$B2627,MemKey,0))</f>
        <v/>
      </c>
      <c r="I2627" s="14">
        <f>INDEX(VarUnit,MATCH($A2627,VarKey,0))</f>
        <v/>
      </c>
      <c r="J2627" s="14">
        <f>INDEX(VarSrc,MATCH($A2627,VarKey,0))</f>
        <v/>
      </c>
      <c r="K2627" s="11">
        <f>CodePrefix&amp;$A2627&amp;IF($C2627="","","."&amp;$C2627&amp;"."&amp;$B2627)&amp;INDEX(VarEnd,MATCH($A2627,VarKey,0))&amp;K$5</f>
        <v/>
      </c>
      <c r="L2627" s="43">
        <f>INDEX(Inputs!$X$5:$X$132,MATCH($B2627&amp;"|"&amp;$C2627,Inputs!$A$5:$A$132,0))</f>
        <v/>
      </c>
      <c r="M2627" s="44">
        <f>L2627*$G2627*(1+M$7)^$D2627*(M2609/L2609)^$E2627*((M2609+M2618)/(L2609+L2618))^$F2627</f>
        <v/>
      </c>
      <c r="N2627" s="44">
        <f>M2627*$G2627*(1+N$7)^$D2627*(N2609/M2609)^$E2627*((N2609+N2618)/(M2609+M2618))^$F2627</f>
        <v/>
      </c>
      <c r="O2627" s="44">
        <f>N2627*$G2627*(1+O$7)^$D2627*(O2609/N2609)^$E2627*((O2609+O2618)/(N2609+N2618))^$F2627</f>
        <v/>
      </c>
      <c r="P2627" s="44">
        <f>O2627*$G2627*(1+P$7)^$D2627*(P2609/O2609)^$E2627*((P2609+P2618)/(O2609+O2618))^$F2627</f>
        <v/>
      </c>
      <c r="Q2627" s="44">
        <f>P2627*$G2627*(1+Q$7)^$D2627*(Q2609/P2609)^$E2627*((Q2609+Q2618)/(P2609+P2618))^$F2627</f>
        <v/>
      </c>
      <c r="R2627" s="44">
        <f>Q2627*$G2627*(1+R$7)^$D2627*(R2609/Q2609)^$E2627*((R2609+R2618)/(Q2609+Q2618))^$F2627</f>
        <v/>
      </c>
      <c r="S2627" s="44">
        <f>R2627*$G2627*(1+S$7)^$D2627*(S2609/R2609)^$E2627*((S2609+S2618)/(R2609+R2618))^$F2627</f>
        <v/>
      </c>
      <c r="T2627" s="44">
        <f>S2627*$G2627*(1+T$7)^$D2627*(T2609/S2609)^$E2627*((T2609+T2618)/(S2609+S2618))^$F2627</f>
        <v/>
      </c>
      <c r="U2627" s="44">
        <f>T2627*$G2627*(1+U$7)^$D2627*(U2609/T2609)^$E2627*((U2609+U2618)/(T2609+T2618))^$F2627</f>
        <v/>
      </c>
      <c r="V2627" s="44">
        <f>U2627*$G2627*(1+V$7)^$D2627*(V2609/U2609)^$E2627*((V2609+V2618)/(U2609+U2618))^$F2627</f>
        <v/>
      </c>
      <c r="W2627" s="44">
        <f>V2627*$G2627*(1+W$7)^$D2627*(W2609/V2609)^$E2627*((W2609+W2618)/(V2609+V2618))^$F2627</f>
        <v/>
      </c>
      <c r="X2627" s="44">
        <f>W2627*$G2627*(1+X$7)^$D2627*(X2609/W2609)^$E2627*((X2609+X2618)/(W2609+W2618))^$F2627</f>
        <v/>
      </c>
      <c r="Y2627" s="44">
        <f>X2627*$G2627*(1+Y$7)^$D2627*(Y2609/X2609)^$E2627*((Y2609+Y2618)/(X2609+X2618))^$F2627</f>
        <v/>
      </c>
      <c r="Z2627" s="44">
        <f>Y2627*$G2627*(1+Z$7)^$D2627*(Z2609/Y2609)^$E2627*((Z2609+Z2618)/(Y2609+Y2618))^$F2627</f>
        <v/>
      </c>
      <c r="AA2627" s="44">
        <f>Z2627*$G2627*(1+AA$7)^$D2627*(AA2609/Z2609)^$E2627*((AA2609+AA2618)/(Z2609+Z2618))^$F2627</f>
        <v/>
      </c>
      <c r="AB2627" s="44">
        <f>AA2627*$G2627*(1+AB$7)^$D2627*(AB2609/AA2609)^$E2627*((AB2609+AB2618)/(AA2609+AA2618))^$F2627</f>
        <v/>
      </c>
      <c r="AC2627" s="44">
        <f>AB2627*$G2627*(1+AC$7)^$D2627*(AC2609/AB2609)^$E2627*((AC2609+AC2618)/(AB2609+AB2618))^$F2627</f>
        <v/>
      </c>
      <c r="AD2627" s="44">
        <f>AC2627*$G2627*(1+AD$7)^$D2627*(AD2609/AC2609)^$E2627*((AD2609+AD2618)/(AC2609+AC2618))^$F2627</f>
        <v/>
      </c>
      <c r="AE2627" s="57">
        <f>FUELUSE(AD2627,AE2609,AD2609,AE2618,AD2618,AE$7,$D2627,$E2627,$F2627,$G2627)</f>
        <v/>
      </c>
      <c r="AG2627" s="11">
        <f>CodePrefix&amp;$A2627&amp;IF($C2627="","","."&amp;$C2627&amp;"."&amp;$B2627)&amp;INDEX(VarEnd,MATCH($A2627,VarKey,0))&amp;AG$5</f>
        <v/>
      </c>
      <c r="AH2627" s="43">
        <f>INDEX(Inputs!$X$5:$X$132,MATCH($B2627&amp;"|"&amp;$C2627,Inputs!$A$5:$A$132,0))</f>
        <v/>
      </c>
      <c r="AI2627" s="44">
        <f>AH2627*$G2627*(1+AI$7)^$D2627*(AI2609/AH2609)^$E2627*((AI2609+AI2618)/(AH2609+AH2618))^$F2627</f>
        <v/>
      </c>
      <c r="AJ2627" s="44">
        <f>AI2627*$G2627*(1+AJ$7)^$D2627*(AJ2609/AI2609)^$E2627*((AJ2609+AJ2618)/(AI2609+AI2618))^$F2627</f>
        <v/>
      </c>
      <c r="AK2627" s="44">
        <f>AJ2627*$G2627*(1+AK$7)^$D2627*(AK2609/AJ2609)^$E2627*((AK2609+AK2618)/(AJ2609+AJ2618))^$F2627</f>
        <v/>
      </c>
      <c r="AL2627" s="44">
        <f>AK2627*$G2627*(1+AL$7)^$D2627*(AL2609/AK2609)^$E2627*((AL2609+AL2618)/(AK2609+AK2618))^$F2627</f>
        <v/>
      </c>
      <c r="AM2627" s="44">
        <f>AL2627*$G2627*(1+AM$7)^$D2627*(AM2609/AL2609)^$E2627*((AM2609+AM2618)/(AL2609+AL2618))^$F2627</f>
        <v/>
      </c>
      <c r="AN2627" s="44">
        <f>AM2627*$G2627*(1+AN$7)^$D2627*(AN2609/AM2609)^$E2627*((AN2609+AN2618)/(AM2609+AM2618))^$F2627</f>
        <v/>
      </c>
      <c r="AO2627" s="44">
        <f>AN2627*$G2627*(1+AO$7)^$D2627*(AO2609/AN2609)^$E2627*((AO2609+AO2618)/(AN2609+AN2618))^$F2627</f>
        <v/>
      </c>
      <c r="AP2627" s="44">
        <f>AO2627*$G2627*(1+AP$7)^$D2627*(AP2609/AO2609)^$E2627*((AP2609+AP2618)/(AO2609+AO2618))^$F2627</f>
        <v/>
      </c>
      <c r="AQ2627" s="44">
        <f>AP2627*$G2627*(1+AQ$7)^$D2627*(AQ2609/AP2609)^$E2627*((AQ2609+AQ2618)/(AP2609+AP2618))^$F2627</f>
        <v/>
      </c>
      <c r="AR2627" s="44">
        <f>AQ2627*$G2627*(1+AR$7)^$D2627*(AR2609/AQ2609)^$E2627*((AR2609+AR2618)/(AQ2609+AQ2618))^$F2627</f>
        <v/>
      </c>
      <c r="AS2627" s="44">
        <f>AR2627*$G2627*(1+AS$7)^$D2627*(AS2609/AR2609)^$E2627*((AS2609+AS2618)/(AR2609+AR2618))^$F2627</f>
        <v/>
      </c>
      <c r="AT2627" s="44">
        <f>AS2627*$G2627*(1+AT$7)^$D2627*(AT2609/AS2609)^$E2627*((AT2609+AT2618)/(AS2609+AS2618))^$F2627</f>
        <v/>
      </c>
      <c r="AU2627" s="44">
        <f>AT2627*$G2627*(1+AU$7)^$D2627*(AU2609/AT2609)^$E2627*((AU2609+AU2618)/(AT2609+AT2618))^$F2627</f>
        <v/>
      </c>
      <c r="AV2627" s="44">
        <f>AU2627*$G2627*(1+AV$7)^$D2627*(AV2609/AU2609)^$E2627*((AV2609+AV2618)/(AU2609+AU2618))^$F2627</f>
        <v/>
      </c>
      <c r="AW2627" s="44">
        <f>AV2627*$G2627*(1+AW$7)^$D2627*(AW2609/AV2609)^$E2627*((AW2609+AW2618)/(AV2609+AV2618))^$F2627</f>
        <v/>
      </c>
      <c r="AX2627" s="44">
        <f>AW2627*$G2627*(1+AX$7)^$D2627*(AX2609/AW2609)^$E2627*((AX2609+AX2618)/(AW2609+AW2618))^$F2627</f>
        <v/>
      </c>
      <c r="AY2627" s="44">
        <f>AX2627*$G2627*(1+AY$7)^$D2627*(AY2609/AX2609)^$E2627*((AY2609+AY2618)/(AX2609+AX2618))^$F2627</f>
        <v/>
      </c>
      <c r="AZ2627" s="44">
        <f>AY2627*$G2627*(1+AZ$7)^$D2627*(AZ2609/AY2609)^$E2627*((AZ2609+AZ2618)/(AY2609+AY2618))^$F2627</f>
        <v/>
      </c>
      <c r="BA2627" s="57">
        <f>FUELUSE(AZ2627,BA2609,AZ2609,BA2618,AZ2618,BA$7,$D2627,$E2627,$F2627,$G2627)</f>
        <v/>
      </c>
    </row>
    <row r="2628" hidden="1" outlineLevel="2">
      <c r="A2628" s="14" t="inlineStr">
        <is>
          <t>ener</t>
        </is>
      </c>
      <c r="B2628" s="14" t="inlineStr">
        <is>
          <t>bio</t>
        </is>
      </c>
      <c r="C2628" s="14" t="inlineStr">
        <is>
          <t>omn</t>
        </is>
      </c>
      <c r="D2628" s="35">
        <f>INDEX(Inputs!$O$5:$O$132,MATCH($B2628&amp;"|"&amp;$C2628,Inputs!$A$5:$A$132,0))</f>
        <v/>
      </c>
      <c r="E2628" s="35">
        <f>INDEX(Inputs!$P$5:$P$132,MATCH($B2628&amp;"|"&amp;$C2628,Inputs!$A$5:$A$132,0))</f>
        <v/>
      </c>
      <c r="F2628" s="35">
        <f>INDEX(Inputs!$T$5:$T$132,MATCH($B2628&amp;"|"&amp;$C2628,Inputs!$A$5:$A$132,0))</f>
        <v/>
      </c>
      <c r="G2628" s="35">
        <f>INDEX(Inputs!$S$5:$S$132,MATCH($B2628&amp;"|"&amp;$C2628,Inputs!$A$5:$A$132,0))</f>
        <v/>
      </c>
      <c r="H2628" s="14">
        <f>INDEX(VarLab,MATCH($A2628,VarKey,0))&amp;INDEX(MemLab,MATCH($C2628&amp;"|"&amp;$B2628,MemKey,0))</f>
        <v/>
      </c>
      <c r="I2628" s="14">
        <f>INDEX(VarUnit,MATCH($A2628,VarKey,0))</f>
        <v/>
      </c>
      <c r="J2628" s="14">
        <f>INDEX(VarSrc,MATCH($A2628,VarKey,0))</f>
        <v/>
      </c>
      <c r="K2628" s="11">
        <f>CodePrefix&amp;$A2628&amp;IF($C2628="","","."&amp;$C2628&amp;"."&amp;$B2628)&amp;INDEX(VarEnd,MATCH($A2628,VarKey,0))&amp;K$5</f>
        <v/>
      </c>
      <c r="L2628" s="43">
        <f>INDEX(Inputs!$X$5:$X$132,MATCH($B2628&amp;"|"&amp;$C2628,Inputs!$A$5:$A$132,0))</f>
        <v/>
      </c>
      <c r="M2628" s="44">
        <f>L2628*$G2628*(1+M$7)^$D2628*(M2610/L2610)^$E2628*((M2610+M2619)/(L2610+L2619))^$F2628</f>
        <v/>
      </c>
      <c r="N2628" s="44">
        <f>M2628*$G2628*(1+N$7)^$D2628*(N2610/M2610)^$E2628*((N2610+N2619)/(M2610+M2619))^$F2628</f>
        <v/>
      </c>
      <c r="O2628" s="44">
        <f>N2628*$G2628*(1+O$7)^$D2628*(O2610/N2610)^$E2628*((O2610+O2619)/(N2610+N2619))^$F2628</f>
        <v/>
      </c>
      <c r="P2628" s="44">
        <f>O2628*$G2628*(1+P$7)^$D2628*(P2610/O2610)^$E2628*((P2610+P2619)/(O2610+O2619))^$F2628</f>
        <v/>
      </c>
      <c r="Q2628" s="44">
        <f>P2628*$G2628*(1+Q$7)^$D2628*(Q2610/P2610)^$E2628*((Q2610+Q2619)/(P2610+P2619))^$F2628</f>
        <v/>
      </c>
      <c r="R2628" s="44">
        <f>Q2628*$G2628*(1+R$7)^$D2628*(R2610/Q2610)^$E2628*((R2610+R2619)/(Q2610+Q2619))^$F2628</f>
        <v/>
      </c>
      <c r="S2628" s="44">
        <f>R2628*$G2628*(1+S$7)^$D2628*(S2610/R2610)^$E2628*((S2610+S2619)/(R2610+R2619))^$F2628</f>
        <v/>
      </c>
      <c r="T2628" s="44">
        <f>S2628*$G2628*(1+T$7)^$D2628*(T2610/S2610)^$E2628*((T2610+T2619)/(S2610+S2619))^$F2628</f>
        <v/>
      </c>
      <c r="U2628" s="44">
        <f>T2628*$G2628*(1+U$7)^$D2628*(U2610/T2610)^$E2628*((U2610+U2619)/(T2610+T2619))^$F2628</f>
        <v/>
      </c>
      <c r="V2628" s="44">
        <f>U2628*$G2628*(1+V$7)^$D2628*(V2610/U2610)^$E2628*((V2610+V2619)/(U2610+U2619))^$F2628</f>
        <v/>
      </c>
      <c r="W2628" s="44">
        <f>V2628*$G2628*(1+W$7)^$D2628*(W2610/V2610)^$E2628*((W2610+W2619)/(V2610+V2619))^$F2628</f>
        <v/>
      </c>
      <c r="X2628" s="44">
        <f>W2628*$G2628*(1+X$7)^$D2628*(X2610/W2610)^$E2628*((X2610+X2619)/(W2610+W2619))^$F2628</f>
        <v/>
      </c>
      <c r="Y2628" s="44">
        <f>X2628*$G2628*(1+Y$7)^$D2628*(Y2610/X2610)^$E2628*((Y2610+Y2619)/(X2610+X2619))^$F2628</f>
        <v/>
      </c>
      <c r="Z2628" s="44">
        <f>Y2628*$G2628*(1+Z$7)^$D2628*(Z2610/Y2610)^$E2628*((Z2610+Z2619)/(Y2610+Y2619))^$F2628</f>
        <v/>
      </c>
      <c r="AA2628" s="44">
        <f>Z2628*$G2628*(1+AA$7)^$D2628*(AA2610/Z2610)^$E2628*((AA2610+AA2619)/(Z2610+Z2619))^$F2628</f>
        <v/>
      </c>
      <c r="AB2628" s="44">
        <f>AA2628*$G2628*(1+AB$7)^$D2628*(AB2610/AA2610)^$E2628*((AB2610+AB2619)/(AA2610+AA2619))^$F2628</f>
        <v/>
      </c>
      <c r="AC2628" s="44">
        <f>AB2628*$G2628*(1+AC$7)^$D2628*(AC2610/AB2610)^$E2628*((AC2610+AC2619)/(AB2610+AB2619))^$F2628</f>
        <v/>
      </c>
      <c r="AD2628" s="44">
        <f>AC2628*$G2628*(1+AD$7)^$D2628*(AD2610/AC2610)^$E2628*((AD2610+AD2619)/(AC2610+AC2619))^$F2628</f>
        <v/>
      </c>
      <c r="AE2628" s="57">
        <f>FUELUSE(AD2628,AE2610,AD2610,AE2619,AD2619,AE$7,$D2628,$E2628,$F2628,$G2628)</f>
        <v/>
      </c>
      <c r="AG2628" s="11">
        <f>CodePrefix&amp;$A2628&amp;IF($C2628="","","."&amp;$C2628&amp;"."&amp;$B2628)&amp;INDEX(VarEnd,MATCH($A2628,VarKey,0))&amp;AG$5</f>
        <v/>
      </c>
      <c r="AH2628" s="43">
        <f>INDEX(Inputs!$X$5:$X$132,MATCH($B2628&amp;"|"&amp;$C2628,Inputs!$A$5:$A$132,0))</f>
        <v/>
      </c>
      <c r="AI2628" s="44">
        <f>AH2628*$G2628*(1+AI$7)^$D2628*(AI2610/AH2610)^$E2628*((AI2610+AI2619)/(AH2610+AH2619))^$F2628</f>
        <v/>
      </c>
      <c r="AJ2628" s="44">
        <f>AI2628*$G2628*(1+AJ$7)^$D2628*(AJ2610/AI2610)^$E2628*((AJ2610+AJ2619)/(AI2610+AI2619))^$F2628</f>
        <v/>
      </c>
      <c r="AK2628" s="44">
        <f>AJ2628*$G2628*(1+AK$7)^$D2628*(AK2610/AJ2610)^$E2628*((AK2610+AK2619)/(AJ2610+AJ2619))^$F2628</f>
        <v/>
      </c>
      <c r="AL2628" s="44">
        <f>AK2628*$G2628*(1+AL$7)^$D2628*(AL2610/AK2610)^$E2628*((AL2610+AL2619)/(AK2610+AK2619))^$F2628</f>
        <v/>
      </c>
      <c r="AM2628" s="44">
        <f>AL2628*$G2628*(1+AM$7)^$D2628*(AM2610/AL2610)^$E2628*((AM2610+AM2619)/(AL2610+AL2619))^$F2628</f>
        <v/>
      </c>
      <c r="AN2628" s="44">
        <f>AM2628*$G2628*(1+AN$7)^$D2628*(AN2610/AM2610)^$E2628*((AN2610+AN2619)/(AM2610+AM2619))^$F2628</f>
        <v/>
      </c>
      <c r="AO2628" s="44">
        <f>AN2628*$G2628*(1+AO$7)^$D2628*(AO2610/AN2610)^$E2628*((AO2610+AO2619)/(AN2610+AN2619))^$F2628</f>
        <v/>
      </c>
      <c r="AP2628" s="44">
        <f>AO2628*$G2628*(1+AP$7)^$D2628*(AP2610/AO2610)^$E2628*((AP2610+AP2619)/(AO2610+AO2619))^$F2628</f>
        <v/>
      </c>
      <c r="AQ2628" s="44">
        <f>AP2628*$G2628*(1+AQ$7)^$D2628*(AQ2610/AP2610)^$E2628*((AQ2610+AQ2619)/(AP2610+AP2619))^$F2628</f>
        <v/>
      </c>
      <c r="AR2628" s="44">
        <f>AQ2628*$G2628*(1+AR$7)^$D2628*(AR2610/AQ2610)^$E2628*((AR2610+AR2619)/(AQ2610+AQ2619))^$F2628</f>
        <v/>
      </c>
      <c r="AS2628" s="44">
        <f>AR2628*$G2628*(1+AS$7)^$D2628*(AS2610/AR2610)^$E2628*((AS2610+AS2619)/(AR2610+AR2619))^$F2628</f>
        <v/>
      </c>
      <c r="AT2628" s="44">
        <f>AS2628*$G2628*(1+AT$7)^$D2628*(AT2610/AS2610)^$E2628*((AT2610+AT2619)/(AS2610+AS2619))^$F2628</f>
        <v/>
      </c>
      <c r="AU2628" s="44">
        <f>AT2628*$G2628*(1+AU$7)^$D2628*(AU2610/AT2610)^$E2628*((AU2610+AU2619)/(AT2610+AT2619))^$F2628</f>
        <v/>
      </c>
      <c r="AV2628" s="44">
        <f>AU2628*$G2628*(1+AV$7)^$D2628*(AV2610/AU2610)^$E2628*((AV2610+AV2619)/(AU2610+AU2619))^$F2628</f>
        <v/>
      </c>
      <c r="AW2628" s="44">
        <f>AV2628*$G2628*(1+AW$7)^$D2628*(AW2610/AV2610)^$E2628*((AW2610+AW2619)/(AV2610+AV2619))^$F2628</f>
        <v/>
      </c>
      <c r="AX2628" s="44">
        <f>AW2628*$G2628*(1+AX$7)^$D2628*(AX2610/AW2610)^$E2628*((AX2610+AX2619)/(AW2610+AW2619))^$F2628</f>
        <v/>
      </c>
      <c r="AY2628" s="44">
        <f>AX2628*$G2628*(1+AY$7)^$D2628*(AY2610/AX2610)^$E2628*((AY2610+AY2619)/(AX2610+AX2619))^$F2628</f>
        <v/>
      </c>
      <c r="AZ2628" s="44">
        <f>AY2628*$G2628*(1+AZ$7)^$D2628*(AZ2610/AY2610)^$E2628*((AZ2610+AZ2619)/(AY2610+AY2619))^$F2628</f>
        <v/>
      </c>
      <c r="BA2628" s="57">
        <f>FUELUSE(AZ2628,BA2610,AZ2610,BA2619,AZ2619,BA$7,$D2628,$E2628,$F2628,$G2628)</f>
        <v/>
      </c>
    </row>
    <row r="2629" hidden="1" outlineLevel="2"/>
    <row r="2630" hidden="1" outlineLevel="2">
      <c r="A2630" s="14" t="inlineStr">
        <is>
          <t>co2</t>
        </is>
      </c>
      <c r="B2630" s="14" t="inlineStr">
        <is>
          <t>coa</t>
        </is>
      </c>
      <c r="C2630" s="14" t="inlineStr">
        <is>
          <t>omn</t>
        </is>
      </c>
      <c r="D2630" s="35">
        <f>INDEX(Inputs!$W$5:$W$132,MATCH($B2630&amp;"|"&amp;$C2630,Inputs!$A$5:$A$132,0))</f>
        <v/>
      </c>
      <c r="E2630" s="39" t="n"/>
      <c r="F2630" s="39" t="n"/>
      <c r="G2630" s="39" t="n"/>
      <c r="H2630" s="14">
        <f>INDEX(VarLab,MATCH($A2630,VarKey,0))&amp;INDEX(MemLab,MATCH($C2630&amp;"|"&amp;$B2630,MemKey,0))</f>
        <v/>
      </c>
      <c r="I2630" s="14">
        <f>INDEX(VarUnit,MATCH($A2630,VarKey,0))</f>
        <v/>
      </c>
      <c r="J2630" s="14">
        <f>INDEX(VarSrc,MATCH($A2630,VarKey,0))</f>
        <v/>
      </c>
      <c r="K2630" s="11">
        <f>CodePrefix&amp;$A2630&amp;IF($C2630="","","."&amp;$C2630&amp;"."&amp;$B2630)&amp;INDEX(VarEnd,MATCH($A2630,VarKey,0))&amp;K$5</f>
        <v/>
      </c>
      <c r="L2630" s="15">
        <f>L2621*Settings!$C$13*$D2630</f>
        <v/>
      </c>
      <c r="M2630" s="16">
        <f>M2621*Settings!$C$13*$D2630</f>
        <v/>
      </c>
      <c r="N2630" s="16">
        <f>N2621*Settings!$C$13*$D2630</f>
        <v/>
      </c>
      <c r="O2630" s="16">
        <f>O2621*Settings!$C$13*$D2630</f>
        <v/>
      </c>
      <c r="P2630" s="16">
        <f>P2621*Settings!$C$13*$D2630</f>
        <v/>
      </c>
      <c r="Q2630" s="16">
        <f>Q2621*Settings!$C$13*$D2630</f>
        <v/>
      </c>
      <c r="R2630" s="16">
        <f>R2621*Settings!$C$13*$D2630</f>
        <v/>
      </c>
      <c r="S2630" s="16">
        <f>S2621*Settings!$C$13*$D2630</f>
        <v/>
      </c>
      <c r="T2630" s="16">
        <f>T2621*Settings!$C$13*$D2630</f>
        <v/>
      </c>
      <c r="U2630" s="16">
        <f>U2621*Settings!$C$13*$D2630</f>
        <v/>
      </c>
      <c r="V2630" s="16">
        <f>V2621*Settings!$C$13*$D2630</f>
        <v/>
      </c>
      <c r="W2630" s="16">
        <f>W2621*Settings!$C$13*$D2630</f>
        <v/>
      </c>
      <c r="X2630" s="16">
        <f>X2621*Settings!$C$13*$D2630</f>
        <v/>
      </c>
      <c r="Y2630" s="16">
        <f>Y2621*Settings!$C$13*$D2630</f>
        <v/>
      </c>
      <c r="Z2630" s="16">
        <f>Z2621*Settings!$C$13*$D2630</f>
        <v/>
      </c>
      <c r="AA2630" s="16">
        <f>AA2621*Settings!$C$13*$D2630</f>
        <v/>
      </c>
      <c r="AB2630" s="16">
        <f>AB2621*Settings!$C$13*$D2630</f>
        <v/>
      </c>
      <c r="AC2630" s="16">
        <f>AC2621*Settings!$C$13*$D2630</f>
        <v/>
      </c>
      <c r="AD2630" s="16">
        <f>AD2621*Settings!$C$13*$D2630</f>
        <v/>
      </c>
      <c r="AE2630" s="49">
        <f>EMISSIONS(AE2621,Settings!$C$13,$D2630)</f>
        <v/>
      </c>
      <c r="AG2630" s="11">
        <f>CodePrefix&amp;$A2630&amp;IF($C2630="","","."&amp;$C2630&amp;"."&amp;$B2630)&amp;INDEX(VarEnd,MATCH($A2630,VarKey,0))&amp;AG$5</f>
        <v/>
      </c>
      <c r="AH2630" s="15">
        <f>AH2621*Settings!$C$13*$D2630</f>
        <v/>
      </c>
      <c r="AI2630" s="16">
        <f>AI2621*Settings!$C$13*$D2630</f>
        <v/>
      </c>
      <c r="AJ2630" s="16">
        <f>AJ2621*Settings!$C$13*$D2630</f>
        <v/>
      </c>
      <c r="AK2630" s="16">
        <f>AK2621*Settings!$C$13*$D2630</f>
        <v/>
      </c>
      <c r="AL2630" s="16">
        <f>AL2621*Settings!$C$13*$D2630</f>
        <v/>
      </c>
      <c r="AM2630" s="16">
        <f>AM2621*Settings!$C$13*$D2630</f>
        <v/>
      </c>
      <c r="AN2630" s="16">
        <f>AN2621*Settings!$C$13*$D2630</f>
        <v/>
      </c>
      <c r="AO2630" s="16">
        <f>AO2621*Settings!$C$13*$D2630</f>
        <v/>
      </c>
      <c r="AP2630" s="16">
        <f>AP2621*Settings!$C$13*$D2630</f>
        <v/>
      </c>
      <c r="AQ2630" s="16">
        <f>AQ2621*Settings!$C$13*$D2630</f>
        <v/>
      </c>
      <c r="AR2630" s="16">
        <f>AR2621*Settings!$C$13*$D2630</f>
        <v/>
      </c>
      <c r="AS2630" s="16">
        <f>AS2621*Settings!$C$13*$D2630</f>
        <v/>
      </c>
      <c r="AT2630" s="16">
        <f>AT2621*Settings!$C$13*$D2630</f>
        <v/>
      </c>
      <c r="AU2630" s="16">
        <f>AU2621*Settings!$C$13*$D2630</f>
        <v/>
      </c>
      <c r="AV2630" s="16">
        <f>AV2621*Settings!$C$13*$D2630</f>
        <v/>
      </c>
      <c r="AW2630" s="16">
        <f>AW2621*Settings!$C$13*$D2630</f>
        <v/>
      </c>
      <c r="AX2630" s="16">
        <f>AX2621*Settings!$C$13*$D2630</f>
        <v/>
      </c>
      <c r="AY2630" s="16">
        <f>AY2621*Settings!$C$13*$D2630</f>
        <v/>
      </c>
      <c r="AZ2630" s="16">
        <f>AZ2621*Settings!$C$13*$D2630</f>
        <v/>
      </c>
      <c r="BA2630" s="49">
        <f>EMISSIONS(BA2621,Settings!$C$13,$D2630)</f>
        <v/>
      </c>
    </row>
    <row r="2631" hidden="1" outlineLevel="2">
      <c r="A2631" s="14" t="inlineStr">
        <is>
          <t>co2</t>
        </is>
      </c>
      <c r="B2631" s="14" t="inlineStr">
        <is>
          <t>nga</t>
        </is>
      </c>
      <c r="C2631" s="14" t="inlineStr">
        <is>
          <t>omn</t>
        </is>
      </c>
      <c r="D2631" s="35">
        <f>INDEX(Inputs!$W$5:$W$132,MATCH($B2631&amp;"|"&amp;$C2631,Inputs!$A$5:$A$132,0))</f>
        <v/>
      </c>
      <c r="E2631" s="39" t="n"/>
      <c r="F2631" s="39" t="n"/>
      <c r="G2631" s="39" t="n"/>
      <c r="H2631" s="14">
        <f>INDEX(VarLab,MATCH($A2631,VarKey,0))&amp;INDEX(MemLab,MATCH($C2631&amp;"|"&amp;$B2631,MemKey,0))</f>
        <v/>
      </c>
      <c r="I2631" s="14">
        <f>INDEX(VarUnit,MATCH($A2631,VarKey,0))</f>
        <v/>
      </c>
      <c r="J2631" s="14">
        <f>INDEX(VarSrc,MATCH($A2631,VarKey,0))</f>
        <v/>
      </c>
      <c r="K2631" s="11">
        <f>CodePrefix&amp;$A2631&amp;IF($C2631="","","."&amp;$C2631&amp;"."&amp;$B2631)&amp;INDEX(VarEnd,MATCH($A2631,VarKey,0))&amp;K$5</f>
        <v/>
      </c>
      <c r="L2631" s="15">
        <f>L2622*Settings!$C$13*$D2631</f>
        <v/>
      </c>
      <c r="M2631" s="16">
        <f>M2622*Settings!$C$13*$D2631</f>
        <v/>
      </c>
      <c r="N2631" s="16">
        <f>N2622*Settings!$C$13*$D2631</f>
        <v/>
      </c>
      <c r="O2631" s="16">
        <f>O2622*Settings!$C$13*$D2631</f>
        <v/>
      </c>
      <c r="P2631" s="16">
        <f>P2622*Settings!$C$13*$D2631</f>
        <v/>
      </c>
      <c r="Q2631" s="16">
        <f>Q2622*Settings!$C$13*$D2631</f>
        <v/>
      </c>
      <c r="R2631" s="16">
        <f>R2622*Settings!$C$13*$D2631</f>
        <v/>
      </c>
      <c r="S2631" s="16">
        <f>S2622*Settings!$C$13*$D2631</f>
        <v/>
      </c>
      <c r="T2631" s="16">
        <f>T2622*Settings!$C$13*$D2631</f>
        <v/>
      </c>
      <c r="U2631" s="16">
        <f>U2622*Settings!$C$13*$D2631</f>
        <v/>
      </c>
      <c r="V2631" s="16">
        <f>V2622*Settings!$C$13*$D2631</f>
        <v/>
      </c>
      <c r="W2631" s="16">
        <f>W2622*Settings!$C$13*$D2631</f>
        <v/>
      </c>
      <c r="X2631" s="16">
        <f>X2622*Settings!$C$13*$D2631</f>
        <v/>
      </c>
      <c r="Y2631" s="16">
        <f>Y2622*Settings!$C$13*$D2631</f>
        <v/>
      </c>
      <c r="Z2631" s="16">
        <f>Z2622*Settings!$C$13*$D2631</f>
        <v/>
      </c>
      <c r="AA2631" s="16">
        <f>AA2622*Settings!$C$13*$D2631</f>
        <v/>
      </c>
      <c r="AB2631" s="16">
        <f>AB2622*Settings!$C$13*$D2631</f>
        <v/>
      </c>
      <c r="AC2631" s="16">
        <f>AC2622*Settings!$C$13*$D2631</f>
        <v/>
      </c>
      <c r="AD2631" s="16">
        <f>AD2622*Settings!$C$13*$D2631</f>
        <v/>
      </c>
      <c r="AE2631" s="49">
        <f>EMISSIONS(AE2622,Settings!$C$13,$D2631)</f>
        <v/>
      </c>
      <c r="AG2631" s="11">
        <f>CodePrefix&amp;$A2631&amp;IF($C2631="","","."&amp;$C2631&amp;"."&amp;$B2631)&amp;INDEX(VarEnd,MATCH($A2631,VarKey,0))&amp;AG$5</f>
        <v/>
      </c>
      <c r="AH2631" s="15">
        <f>AH2622*Settings!$C$13*$D2631</f>
        <v/>
      </c>
      <c r="AI2631" s="16">
        <f>AI2622*Settings!$C$13*$D2631</f>
        <v/>
      </c>
      <c r="AJ2631" s="16">
        <f>AJ2622*Settings!$C$13*$D2631</f>
        <v/>
      </c>
      <c r="AK2631" s="16">
        <f>AK2622*Settings!$C$13*$D2631</f>
        <v/>
      </c>
      <c r="AL2631" s="16">
        <f>AL2622*Settings!$C$13*$D2631</f>
        <v/>
      </c>
      <c r="AM2631" s="16">
        <f>AM2622*Settings!$C$13*$D2631</f>
        <v/>
      </c>
      <c r="AN2631" s="16">
        <f>AN2622*Settings!$C$13*$D2631</f>
        <v/>
      </c>
      <c r="AO2631" s="16">
        <f>AO2622*Settings!$C$13*$D2631</f>
        <v/>
      </c>
      <c r="AP2631" s="16">
        <f>AP2622*Settings!$C$13*$D2631</f>
        <v/>
      </c>
      <c r="AQ2631" s="16">
        <f>AQ2622*Settings!$C$13*$D2631</f>
        <v/>
      </c>
      <c r="AR2631" s="16">
        <f>AR2622*Settings!$C$13*$D2631</f>
        <v/>
      </c>
      <c r="AS2631" s="16">
        <f>AS2622*Settings!$C$13*$D2631</f>
        <v/>
      </c>
      <c r="AT2631" s="16">
        <f>AT2622*Settings!$C$13*$D2631</f>
        <v/>
      </c>
      <c r="AU2631" s="16">
        <f>AU2622*Settings!$C$13*$D2631</f>
        <v/>
      </c>
      <c r="AV2631" s="16">
        <f>AV2622*Settings!$C$13*$D2631</f>
        <v/>
      </c>
      <c r="AW2631" s="16">
        <f>AW2622*Settings!$C$13*$D2631</f>
        <v/>
      </c>
      <c r="AX2631" s="16">
        <f>AX2622*Settings!$C$13*$D2631</f>
        <v/>
      </c>
      <c r="AY2631" s="16">
        <f>AY2622*Settings!$C$13*$D2631</f>
        <v/>
      </c>
      <c r="AZ2631" s="16">
        <f>AZ2622*Settings!$C$13*$D2631</f>
        <v/>
      </c>
      <c r="BA2631" s="49">
        <f>EMISSIONS(BA2622,Settings!$C$13,$D2631)</f>
        <v/>
      </c>
    </row>
    <row r="2632" hidden="1" outlineLevel="2">
      <c r="A2632" s="14" t="inlineStr">
        <is>
          <t>co2</t>
        </is>
      </c>
      <c r="B2632" s="14" t="inlineStr">
        <is>
          <t>gso</t>
        </is>
      </c>
      <c r="C2632" s="14" t="inlineStr">
        <is>
          <t>omn</t>
        </is>
      </c>
      <c r="D2632" s="35">
        <f>INDEX(Inputs!$W$5:$W$132,MATCH($B2632&amp;"|"&amp;$C2632,Inputs!$A$5:$A$132,0))</f>
        <v/>
      </c>
      <c r="E2632" s="39" t="n"/>
      <c r="F2632" s="39" t="n"/>
      <c r="G2632" s="39" t="n"/>
      <c r="H2632" s="14">
        <f>INDEX(VarLab,MATCH($A2632,VarKey,0))&amp;INDEX(MemLab,MATCH($C2632&amp;"|"&amp;$B2632,MemKey,0))</f>
        <v/>
      </c>
      <c r="I2632" s="14">
        <f>INDEX(VarUnit,MATCH($A2632,VarKey,0))</f>
        <v/>
      </c>
      <c r="J2632" s="14">
        <f>INDEX(VarSrc,MATCH($A2632,VarKey,0))</f>
        <v/>
      </c>
      <c r="K2632" s="11">
        <f>CodePrefix&amp;$A2632&amp;IF($C2632="","","."&amp;$C2632&amp;"."&amp;$B2632)&amp;INDEX(VarEnd,MATCH($A2632,VarKey,0))&amp;K$5</f>
        <v/>
      </c>
      <c r="L2632" s="15">
        <f>L2623*Settings!$C$13*$D2632</f>
        <v/>
      </c>
      <c r="M2632" s="16">
        <f>M2623*Settings!$C$13*$D2632</f>
        <v/>
      </c>
      <c r="N2632" s="16">
        <f>N2623*Settings!$C$13*$D2632</f>
        <v/>
      </c>
      <c r="O2632" s="16">
        <f>O2623*Settings!$C$13*$D2632</f>
        <v/>
      </c>
      <c r="P2632" s="16">
        <f>P2623*Settings!$C$13*$D2632</f>
        <v/>
      </c>
      <c r="Q2632" s="16">
        <f>Q2623*Settings!$C$13*$D2632</f>
        <v/>
      </c>
      <c r="R2632" s="16">
        <f>R2623*Settings!$C$13*$D2632</f>
        <v/>
      </c>
      <c r="S2632" s="16">
        <f>S2623*Settings!$C$13*$D2632</f>
        <v/>
      </c>
      <c r="T2632" s="16">
        <f>T2623*Settings!$C$13*$D2632</f>
        <v/>
      </c>
      <c r="U2632" s="16">
        <f>U2623*Settings!$C$13*$D2632</f>
        <v/>
      </c>
      <c r="V2632" s="16">
        <f>V2623*Settings!$C$13*$D2632</f>
        <v/>
      </c>
      <c r="W2632" s="16">
        <f>W2623*Settings!$C$13*$D2632</f>
        <v/>
      </c>
      <c r="X2632" s="16">
        <f>X2623*Settings!$C$13*$D2632</f>
        <v/>
      </c>
      <c r="Y2632" s="16">
        <f>Y2623*Settings!$C$13*$D2632</f>
        <v/>
      </c>
      <c r="Z2632" s="16">
        <f>Z2623*Settings!$C$13*$D2632</f>
        <v/>
      </c>
      <c r="AA2632" s="16">
        <f>AA2623*Settings!$C$13*$D2632</f>
        <v/>
      </c>
      <c r="AB2632" s="16">
        <f>AB2623*Settings!$C$13*$D2632</f>
        <v/>
      </c>
      <c r="AC2632" s="16">
        <f>AC2623*Settings!$C$13*$D2632</f>
        <v/>
      </c>
      <c r="AD2632" s="16">
        <f>AD2623*Settings!$C$13*$D2632</f>
        <v/>
      </c>
      <c r="AE2632" s="49">
        <f>EMISSIONS(AE2623,Settings!$C$13,$D2632)</f>
        <v/>
      </c>
      <c r="AG2632" s="11">
        <f>CodePrefix&amp;$A2632&amp;IF($C2632="","","."&amp;$C2632&amp;"."&amp;$B2632)&amp;INDEX(VarEnd,MATCH($A2632,VarKey,0))&amp;AG$5</f>
        <v/>
      </c>
      <c r="AH2632" s="15">
        <f>AH2623*Settings!$C$13*$D2632</f>
        <v/>
      </c>
      <c r="AI2632" s="16">
        <f>AI2623*Settings!$C$13*$D2632</f>
        <v/>
      </c>
      <c r="AJ2632" s="16">
        <f>AJ2623*Settings!$C$13*$D2632</f>
        <v/>
      </c>
      <c r="AK2632" s="16">
        <f>AK2623*Settings!$C$13*$D2632</f>
        <v/>
      </c>
      <c r="AL2632" s="16">
        <f>AL2623*Settings!$C$13*$D2632</f>
        <v/>
      </c>
      <c r="AM2632" s="16">
        <f>AM2623*Settings!$C$13*$D2632</f>
        <v/>
      </c>
      <c r="AN2632" s="16">
        <f>AN2623*Settings!$C$13*$D2632</f>
        <v/>
      </c>
      <c r="AO2632" s="16">
        <f>AO2623*Settings!$C$13*$D2632</f>
        <v/>
      </c>
      <c r="AP2632" s="16">
        <f>AP2623*Settings!$C$13*$D2632</f>
        <v/>
      </c>
      <c r="AQ2632" s="16">
        <f>AQ2623*Settings!$C$13*$D2632</f>
        <v/>
      </c>
      <c r="AR2632" s="16">
        <f>AR2623*Settings!$C$13*$D2632</f>
        <v/>
      </c>
      <c r="AS2632" s="16">
        <f>AS2623*Settings!$C$13*$D2632</f>
        <v/>
      </c>
      <c r="AT2632" s="16">
        <f>AT2623*Settings!$C$13*$D2632</f>
        <v/>
      </c>
      <c r="AU2632" s="16">
        <f>AU2623*Settings!$C$13*$D2632</f>
        <v/>
      </c>
      <c r="AV2632" s="16">
        <f>AV2623*Settings!$C$13*$D2632</f>
        <v/>
      </c>
      <c r="AW2632" s="16">
        <f>AW2623*Settings!$C$13*$D2632</f>
        <v/>
      </c>
      <c r="AX2632" s="16">
        <f>AX2623*Settings!$C$13*$D2632</f>
        <v/>
      </c>
      <c r="AY2632" s="16">
        <f>AY2623*Settings!$C$13*$D2632</f>
        <v/>
      </c>
      <c r="AZ2632" s="16">
        <f>AZ2623*Settings!$C$13*$D2632</f>
        <v/>
      </c>
      <c r="BA2632" s="49">
        <f>EMISSIONS(BA2623,Settings!$C$13,$D2632)</f>
        <v/>
      </c>
    </row>
    <row r="2633" hidden="1" outlineLevel="2">
      <c r="A2633" s="14" t="inlineStr">
        <is>
          <t>co2</t>
        </is>
      </c>
      <c r="B2633" s="14" t="inlineStr">
        <is>
          <t>die</t>
        </is>
      </c>
      <c r="C2633" s="14" t="inlineStr">
        <is>
          <t>omn</t>
        </is>
      </c>
      <c r="D2633" s="35">
        <f>INDEX(Inputs!$W$5:$W$132,MATCH($B2633&amp;"|"&amp;$C2633,Inputs!$A$5:$A$132,0))</f>
        <v/>
      </c>
      <c r="E2633" s="39" t="n"/>
      <c r="F2633" s="39" t="n"/>
      <c r="G2633" s="39" t="n"/>
      <c r="H2633" s="14">
        <f>INDEX(VarLab,MATCH($A2633,VarKey,0))&amp;INDEX(MemLab,MATCH($C2633&amp;"|"&amp;$B2633,MemKey,0))</f>
        <v/>
      </c>
      <c r="I2633" s="14">
        <f>INDEX(VarUnit,MATCH($A2633,VarKey,0))</f>
        <v/>
      </c>
      <c r="J2633" s="14">
        <f>INDEX(VarSrc,MATCH($A2633,VarKey,0))</f>
        <v/>
      </c>
      <c r="K2633" s="11">
        <f>CodePrefix&amp;$A2633&amp;IF($C2633="","","."&amp;$C2633&amp;"."&amp;$B2633)&amp;INDEX(VarEnd,MATCH($A2633,VarKey,0))&amp;K$5</f>
        <v/>
      </c>
      <c r="L2633" s="15">
        <f>L2624*Settings!$C$13*$D2633</f>
        <v/>
      </c>
      <c r="M2633" s="16">
        <f>M2624*Settings!$C$13*$D2633</f>
        <v/>
      </c>
      <c r="N2633" s="16">
        <f>N2624*Settings!$C$13*$D2633</f>
        <v/>
      </c>
      <c r="O2633" s="16">
        <f>O2624*Settings!$C$13*$D2633</f>
        <v/>
      </c>
      <c r="P2633" s="16">
        <f>P2624*Settings!$C$13*$D2633</f>
        <v/>
      </c>
      <c r="Q2633" s="16">
        <f>Q2624*Settings!$C$13*$D2633</f>
        <v/>
      </c>
      <c r="R2633" s="16">
        <f>R2624*Settings!$C$13*$D2633</f>
        <v/>
      </c>
      <c r="S2633" s="16">
        <f>S2624*Settings!$C$13*$D2633</f>
        <v/>
      </c>
      <c r="T2633" s="16">
        <f>T2624*Settings!$C$13*$D2633</f>
        <v/>
      </c>
      <c r="U2633" s="16">
        <f>U2624*Settings!$C$13*$D2633</f>
        <v/>
      </c>
      <c r="V2633" s="16">
        <f>V2624*Settings!$C$13*$D2633</f>
        <v/>
      </c>
      <c r="W2633" s="16">
        <f>W2624*Settings!$C$13*$D2633</f>
        <v/>
      </c>
      <c r="X2633" s="16">
        <f>X2624*Settings!$C$13*$D2633</f>
        <v/>
      </c>
      <c r="Y2633" s="16">
        <f>Y2624*Settings!$C$13*$D2633</f>
        <v/>
      </c>
      <c r="Z2633" s="16">
        <f>Z2624*Settings!$C$13*$D2633</f>
        <v/>
      </c>
      <c r="AA2633" s="16">
        <f>AA2624*Settings!$C$13*$D2633</f>
        <v/>
      </c>
      <c r="AB2633" s="16">
        <f>AB2624*Settings!$C$13*$D2633</f>
        <v/>
      </c>
      <c r="AC2633" s="16">
        <f>AC2624*Settings!$C$13*$D2633</f>
        <v/>
      </c>
      <c r="AD2633" s="16">
        <f>AD2624*Settings!$C$13*$D2633</f>
        <v/>
      </c>
      <c r="AE2633" s="49">
        <f>EMISSIONS(AE2624,Settings!$C$13,$D2633)</f>
        <v/>
      </c>
      <c r="AG2633" s="11">
        <f>CodePrefix&amp;$A2633&amp;IF($C2633="","","."&amp;$C2633&amp;"."&amp;$B2633)&amp;INDEX(VarEnd,MATCH($A2633,VarKey,0))&amp;AG$5</f>
        <v/>
      </c>
      <c r="AH2633" s="15">
        <f>AH2624*Settings!$C$13*$D2633</f>
        <v/>
      </c>
      <c r="AI2633" s="16">
        <f>AI2624*Settings!$C$13*$D2633</f>
        <v/>
      </c>
      <c r="AJ2633" s="16">
        <f>AJ2624*Settings!$C$13*$D2633</f>
        <v/>
      </c>
      <c r="AK2633" s="16">
        <f>AK2624*Settings!$C$13*$D2633</f>
        <v/>
      </c>
      <c r="AL2633" s="16">
        <f>AL2624*Settings!$C$13*$D2633</f>
        <v/>
      </c>
      <c r="AM2633" s="16">
        <f>AM2624*Settings!$C$13*$D2633</f>
        <v/>
      </c>
      <c r="AN2633" s="16">
        <f>AN2624*Settings!$C$13*$D2633</f>
        <v/>
      </c>
      <c r="AO2633" s="16">
        <f>AO2624*Settings!$C$13*$D2633</f>
        <v/>
      </c>
      <c r="AP2633" s="16">
        <f>AP2624*Settings!$C$13*$D2633</f>
        <v/>
      </c>
      <c r="AQ2633" s="16">
        <f>AQ2624*Settings!$C$13*$D2633</f>
        <v/>
      </c>
      <c r="AR2633" s="16">
        <f>AR2624*Settings!$C$13*$D2633</f>
        <v/>
      </c>
      <c r="AS2633" s="16">
        <f>AS2624*Settings!$C$13*$D2633</f>
        <v/>
      </c>
      <c r="AT2633" s="16">
        <f>AT2624*Settings!$C$13*$D2633</f>
        <v/>
      </c>
      <c r="AU2633" s="16">
        <f>AU2624*Settings!$C$13*$D2633</f>
        <v/>
      </c>
      <c r="AV2633" s="16">
        <f>AV2624*Settings!$C$13*$D2633</f>
        <v/>
      </c>
      <c r="AW2633" s="16">
        <f>AW2624*Settings!$C$13*$D2633</f>
        <v/>
      </c>
      <c r="AX2633" s="16">
        <f>AX2624*Settings!$C$13*$D2633</f>
        <v/>
      </c>
      <c r="AY2633" s="16">
        <f>AY2624*Settings!$C$13*$D2633</f>
        <v/>
      </c>
      <c r="AZ2633" s="16">
        <f>AZ2624*Settings!$C$13*$D2633</f>
        <v/>
      </c>
      <c r="BA2633" s="49">
        <f>EMISSIONS(BA2624,Settings!$C$13,$D2633)</f>
        <v/>
      </c>
    </row>
    <row r="2634" hidden="1" outlineLevel="2">
      <c r="A2634" s="14" t="inlineStr">
        <is>
          <t>co2</t>
        </is>
      </c>
      <c r="B2634" s="14" t="inlineStr">
        <is>
          <t>lpg</t>
        </is>
      </c>
      <c r="C2634" s="14" t="inlineStr">
        <is>
          <t>omn</t>
        </is>
      </c>
      <c r="D2634" s="35">
        <f>INDEX(Inputs!$W$5:$W$132,MATCH($B2634&amp;"|"&amp;$C2634,Inputs!$A$5:$A$132,0))</f>
        <v/>
      </c>
      <c r="E2634" s="39" t="n"/>
      <c r="F2634" s="39" t="n"/>
      <c r="G2634" s="39" t="n"/>
      <c r="H2634" s="14">
        <f>INDEX(VarLab,MATCH($A2634,VarKey,0))&amp;INDEX(MemLab,MATCH($C2634&amp;"|"&amp;$B2634,MemKey,0))</f>
        <v/>
      </c>
      <c r="I2634" s="14">
        <f>INDEX(VarUnit,MATCH($A2634,VarKey,0))</f>
        <v/>
      </c>
      <c r="J2634" s="14">
        <f>INDEX(VarSrc,MATCH($A2634,VarKey,0))</f>
        <v/>
      </c>
      <c r="K2634" s="11">
        <f>CodePrefix&amp;$A2634&amp;IF($C2634="","","."&amp;$C2634&amp;"."&amp;$B2634)&amp;INDEX(VarEnd,MATCH($A2634,VarKey,0))&amp;K$5</f>
        <v/>
      </c>
      <c r="L2634" s="15">
        <f>L2625*Settings!$C$13*$D2634</f>
        <v/>
      </c>
      <c r="M2634" s="16">
        <f>M2625*Settings!$C$13*$D2634</f>
        <v/>
      </c>
      <c r="N2634" s="16">
        <f>N2625*Settings!$C$13*$D2634</f>
        <v/>
      </c>
      <c r="O2634" s="16">
        <f>O2625*Settings!$C$13*$D2634</f>
        <v/>
      </c>
      <c r="P2634" s="16">
        <f>P2625*Settings!$C$13*$D2634</f>
        <v/>
      </c>
      <c r="Q2634" s="16">
        <f>Q2625*Settings!$C$13*$D2634</f>
        <v/>
      </c>
      <c r="R2634" s="16">
        <f>R2625*Settings!$C$13*$D2634</f>
        <v/>
      </c>
      <c r="S2634" s="16">
        <f>S2625*Settings!$C$13*$D2634</f>
        <v/>
      </c>
      <c r="T2634" s="16">
        <f>T2625*Settings!$C$13*$D2634</f>
        <v/>
      </c>
      <c r="U2634" s="16">
        <f>U2625*Settings!$C$13*$D2634</f>
        <v/>
      </c>
      <c r="V2634" s="16">
        <f>V2625*Settings!$C$13*$D2634</f>
        <v/>
      </c>
      <c r="W2634" s="16">
        <f>W2625*Settings!$C$13*$D2634</f>
        <v/>
      </c>
      <c r="X2634" s="16">
        <f>X2625*Settings!$C$13*$D2634</f>
        <v/>
      </c>
      <c r="Y2634" s="16">
        <f>Y2625*Settings!$C$13*$D2634</f>
        <v/>
      </c>
      <c r="Z2634" s="16">
        <f>Z2625*Settings!$C$13*$D2634</f>
        <v/>
      </c>
      <c r="AA2634" s="16">
        <f>AA2625*Settings!$C$13*$D2634</f>
        <v/>
      </c>
      <c r="AB2634" s="16">
        <f>AB2625*Settings!$C$13*$D2634</f>
        <v/>
      </c>
      <c r="AC2634" s="16">
        <f>AC2625*Settings!$C$13*$D2634</f>
        <v/>
      </c>
      <c r="AD2634" s="16">
        <f>AD2625*Settings!$C$13*$D2634</f>
        <v/>
      </c>
      <c r="AE2634" s="49">
        <f>EMISSIONS(AE2625,Settings!$C$13,$D2634)</f>
        <v/>
      </c>
      <c r="AG2634" s="11">
        <f>CodePrefix&amp;$A2634&amp;IF($C2634="","","."&amp;$C2634&amp;"."&amp;$B2634)&amp;INDEX(VarEnd,MATCH($A2634,VarKey,0))&amp;AG$5</f>
        <v/>
      </c>
      <c r="AH2634" s="15">
        <f>AH2625*Settings!$C$13*$D2634</f>
        <v/>
      </c>
      <c r="AI2634" s="16">
        <f>AI2625*Settings!$C$13*$D2634</f>
        <v/>
      </c>
      <c r="AJ2634" s="16">
        <f>AJ2625*Settings!$C$13*$D2634</f>
        <v/>
      </c>
      <c r="AK2634" s="16">
        <f>AK2625*Settings!$C$13*$D2634</f>
        <v/>
      </c>
      <c r="AL2634" s="16">
        <f>AL2625*Settings!$C$13*$D2634</f>
        <v/>
      </c>
      <c r="AM2634" s="16">
        <f>AM2625*Settings!$C$13*$D2634</f>
        <v/>
      </c>
      <c r="AN2634" s="16">
        <f>AN2625*Settings!$C$13*$D2634</f>
        <v/>
      </c>
      <c r="AO2634" s="16">
        <f>AO2625*Settings!$C$13*$D2634</f>
        <v/>
      </c>
      <c r="AP2634" s="16">
        <f>AP2625*Settings!$C$13*$D2634</f>
        <v/>
      </c>
      <c r="AQ2634" s="16">
        <f>AQ2625*Settings!$C$13*$D2634</f>
        <v/>
      </c>
      <c r="AR2634" s="16">
        <f>AR2625*Settings!$C$13*$D2634</f>
        <v/>
      </c>
      <c r="AS2634" s="16">
        <f>AS2625*Settings!$C$13*$D2634</f>
        <v/>
      </c>
      <c r="AT2634" s="16">
        <f>AT2625*Settings!$C$13*$D2634</f>
        <v/>
      </c>
      <c r="AU2634" s="16">
        <f>AU2625*Settings!$C$13*$D2634</f>
        <v/>
      </c>
      <c r="AV2634" s="16">
        <f>AV2625*Settings!$C$13*$D2634</f>
        <v/>
      </c>
      <c r="AW2634" s="16">
        <f>AW2625*Settings!$C$13*$D2634</f>
        <v/>
      </c>
      <c r="AX2634" s="16">
        <f>AX2625*Settings!$C$13*$D2634</f>
        <v/>
      </c>
      <c r="AY2634" s="16">
        <f>AY2625*Settings!$C$13*$D2634</f>
        <v/>
      </c>
      <c r="AZ2634" s="16">
        <f>AZ2625*Settings!$C$13*$D2634</f>
        <v/>
      </c>
      <c r="BA2634" s="49">
        <f>EMISSIONS(BA2625,Settings!$C$13,$D2634)</f>
        <v/>
      </c>
    </row>
    <row r="2635" hidden="1" outlineLevel="2">
      <c r="A2635" s="14" t="inlineStr">
        <is>
          <t>co2</t>
        </is>
      </c>
      <c r="B2635" s="14" t="inlineStr">
        <is>
          <t>ker</t>
        </is>
      </c>
      <c r="C2635" s="14" t="inlineStr">
        <is>
          <t>omn</t>
        </is>
      </c>
      <c r="D2635" s="35">
        <f>INDEX(Inputs!$W$5:$W$132,MATCH($B2635&amp;"|"&amp;$C2635,Inputs!$A$5:$A$132,0))</f>
        <v/>
      </c>
      <c r="E2635" s="39" t="n"/>
      <c r="F2635" s="39" t="n"/>
      <c r="G2635" s="39" t="n"/>
      <c r="H2635" s="14">
        <f>INDEX(VarLab,MATCH($A2635,VarKey,0))&amp;INDEX(MemLab,MATCH($C2635&amp;"|"&amp;$B2635,MemKey,0))</f>
        <v/>
      </c>
      <c r="I2635" s="14">
        <f>INDEX(VarUnit,MATCH($A2635,VarKey,0))</f>
        <v/>
      </c>
      <c r="J2635" s="14">
        <f>INDEX(VarSrc,MATCH($A2635,VarKey,0))</f>
        <v/>
      </c>
      <c r="K2635" s="11">
        <f>CodePrefix&amp;$A2635&amp;IF($C2635="","","."&amp;$C2635&amp;"."&amp;$B2635)&amp;INDEX(VarEnd,MATCH($A2635,VarKey,0))&amp;K$5</f>
        <v/>
      </c>
      <c r="L2635" s="15">
        <f>L2626*Settings!$C$13*$D2635</f>
        <v/>
      </c>
      <c r="M2635" s="16">
        <f>M2626*Settings!$C$13*$D2635</f>
        <v/>
      </c>
      <c r="N2635" s="16">
        <f>N2626*Settings!$C$13*$D2635</f>
        <v/>
      </c>
      <c r="O2635" s="16">
        <f>O2626*Settings!$C$13*$D2635</f>
        <v/>
      </c>
      <c r="P2635" s="16">
        <f>P2626*Settings!$C$13*$D2635</f>
        <v/>
      </c>
      <c r="Q2635" s="16">
        <f>Q2626*Settings!$C$13*$D2635</f>
        <v/>
      </c>
      <c r="R2635" s="16">
        <f>R2626*Settings!$C$13*$D2635</f>
        <v/>
      </c>
      <c r="S2635" s="16">
        <f>S2626*Settings!$C$13*$D2635</f>
        <v/>
      </c>
      <c r="T2635" s="16">
        <f>T2626*Settings!$C$13*$D2635</f>
        <v/>
      </c>
      <c r="U2635" s="16">
        <f>U2626*Settings!$C$13*$D2635</f>
        <v/>
      </c>
      <c r="V2635" s="16">
        <f>V2626*Settings!$C$13*$D2635</f>
        <v/>
      </c>
      <c r="W2635" s="16">
        <f>W2626*Settings!$C$13*$D2635</f>
        <v/>
      </c>
      <c r="X2635" s="16">
        <f>X2626*Settings!$C$13*$D2635</f>
        <v/>
      </c>
      <c r="Y2635" s="16">
        <f>Y2626*Settings!$C$13*$D2635</f>
        <v/>
      </c>
      <c r="Z2635" s="16">
        <f>Z2626*Settings!$C$13*$D2635</f>
        <v/>
      </c>
      <c r="AA2635" s="16">
        <f>AA2626*Settings!$C$13*$D2635</f>
        <v/>
      </c>
      <c r="AB2635" s="16">
        <f>AB2626*Settings!$C$13*$D2635</f>
        <v/>
      </c>
      <c r="AC2635" s="16">
        <f>AC2626*Settings!$C$13*$D2635</f>
        <v/>
      </c>
      <c r="AD2635" s="16">
        <f>AD2626*Settings!$C$13*$D2635</f>
        <v/>
      </c>
      <c r="AE2635" s="49">
        <f>EMISSIONS(AE2626,Settings!$C$13,$D2635)</f>
        <v/>
      </c>
      <c r="AG2635" s="11">
        <f>CodePrefix&amp;$A2635&amp;IF($C2635="","","."&amp;$C2635&amp;"."&amp;$B2635)&amp;INDEX(VarEnd,MATCH($A2635,VarKey,0))&amp;AG$5</f>
        <v/>
      </c>
      <c r="AH2635" s="15">
        <f>AH2626*Settings!$C$13*$D2635</f>
        <v/>
      </c>
      <c r="AI2635" s="16">
        <f>AI2626*Settings!$C$13*$D2635</f>
        <v/>
      </c>
      <c r="AJ2635" s="16">
        <f>AJ2626*Settings!$C$13*$D2635</f>
        <v/>
      </c>
      <c r="AK2635" s="16">
        <f>AK2626*Settings!$C$13*$D2635</f>
        <v/>
      </c>
      <c r="AL2635" s="16">
        <f>AL2626*Settings!$C$13*$D2635</f>
        <v/>
      </c>
      <c r="AM2635" s="16">
        <f>AM2626*Settings!$C$13*$D2635</f>
        <v/>
      </c>
      <c r="AN2635" s="16">
        <f>AN2626*Settings!$C$13*$D2635</f>
        <v/>
      </c>
      <c r="AO2635" s="16">
        <f>AO2626*Settings!$C$13*$D2635</f>
        <v/>
      </c>
      <c r="AP2635" s="16">
        <f>AP2626*Settings!$C$13*$D2635</f>
        <v/>
      </c>
      <c r="AQ2635" s="16">
        <f>AQ2626*Settings!$C$13*$D2635</f>
        <v/>
      </c>
      <c r="AR2635" s="16">
        <f>AR2626*Settings!$C$13*$D2635</f>
        <v/>
      </c>
      <c r="AS2635" s="16">
        <f>AS2626*Settings!$C$13*$D2635</f>
        <v/>
      </c>
      <c r="AT2635" s="16">
        <f>AT2626*Settings!$C$13*$D2635</f>
        <v/>
      </c>
      <c r="AU2635" s="16">
        <f>AU2626*Settings!$C$13*$D2635</f>
        <v/>
      </c>
      <c r="AV2635" s="16">
        <f>AV2626*Settings!$C$13*$D2635</f>
        <v/>
      </c>
      <c r="AW2635" s="16">
        <f>AW2626*Settings!$C$13*$D2635</f>
        <v/>
      </c>
      <c r="AX2635" s="16">
        <f>AX2626*Settings!$C$13*$D2635</f>
        <v/>
      </c>
      <c r="AY2635" s="16">
        <f>AY2626*Settings!$C$13*$D2635</f>
        <v/>
      </c>
      <c r="AZ2635" s="16">
        <f>AZ2626*Settings!$C$13*$D2635</f>
        <v/>
      </c>
      <c r="BA2635" s="49">
        <f>EMISSIONS(BA2626,Settings!$C$13,$D2635)</f>
        <v/>
      </c>
    </row>
    <row r="2636" hidden="1" outlineLevel="2">
      <c r="A2636" s="14" t="inlineStr">
        <is>
          <t>co2</t>
        </is>
      </c>
      <c r="B2636" s="14" t="inlineStr">
        <is>
          <t>oop</t>
        </is>
      </c>
      <c r="C2636" s="14" t="inlineStr">
        <is>
          <t>omn</t>
        </is>
      </c>
      <c r="D2636" s="35">
        <f>INDEX(Inputs!$W$5:$W$132,MATCH($B2636&amp;"|"&amp;$C2636,Inputs!$A$5:$A$132,0))</f>
        <v/>
      </c>
      <c r="E2636" s="39" t="n"/>
      <c r="F2636" s="39" t="n"/>
      <c r="G2636" s="39" t="n"/>
      <c r="H2636" s="14">
        <f>INDEX(VarLab,MATCH($A2636,VarKey,0))&amp;INDEX(MemLab,MATCH($C2636&amp;"|"&amp;$B2636,MemKey,0))</f>
        <v/>
      </c>
      <c r="I2636" s="14">
        <f>INDEX(VarUnit,MATCH($A2636,VarKey,0))</f>
        <v/>
      </c>
      <c r="J2636" s="14">
        <f>INDEX(VarSrc,MATCH($A2636,VarKey,0))</f>
        <v/>
      </c>
      <c r="K2636" s="11">
        <f>CodePrefix&amp;$A2636&amp;IF($C2636="","","."&amp;$C2636&amp;"."&amp;$B2636)&amp;INDEX(VarEnd,MATCH($A2636,VarKey,0))&amp;K$5</f>
        <v/>
      </c>
      <c r="L2636" s="15">
        <f>L2627*Settings!$C$13*$D2636</f>
        <v/>
      </c>
      <c r="M2636" s="16">
        <f>M2627*Settings!$C$13*$D2636</f>
        <v/>
      </c>
      <c r="N2636" s="16">
        <f>N2627*Settings!$C$13*$D2636</f>
        <v/>
      </c>
      <c r="O2636" s="16">
        <f>O2627*Settings!$C$13*$D2636</f>
        <v/>
      </c>
      <c r="P2636" s="16">
        <f>P2627*Settings!$C$13*$D2636</f>
        <v/>
      </c>
      <c r="Q2636" s="16">
        <f>Q2627*Settings!$C$13*$D2636</f>
        <v/>
      </c>
      <c r="R2636" s="16">
        <f>R2627*Settings!$C$13*$D2636</f>
        <v/>
      </c>
      <c r="S2636" s="16">
        <f>S2627*Settings!$C$13*$D2636</f>
        <v/>
      </c>
      <c r="T2636" s="16">
        <f>T2627*Settings!$C$13*$D2636</f>
        <v/>
      </c>
      <c r="U2636" s="16">
        <f>U2627*Settings!$C$13*$D2636</f>
        <v/>
      </c>
      <c r="V2636" s="16">
        <f>V2627*Settings!$C$13*$D2636</f>
        <v/>
      </c>
      <c r="W2636" s="16">
        <f>W2627*Settings!$C$13*$D2636</f>
        <v/>
      </c>
      <c r="X2636" s="16">
        <f>X2627*Settings!$C$13*$D2636</f>
        <v/>
      </c>
      <c r="Y2636" s="16">
        <f>Y2627*Settings!$C$13*$D2636</f>
        <v/>
      </c>
      <c r="Z2636" s="16">
        <f>Z2627*Settings!$C$13*$D2636</f>
        <v/>
      </c>
      <c r="AA2636" s="16">
        <f>AA2627*Settings!$C$13*$D2636</f>
        <v/>
      </c>
      <c r="AB2636" s="16">
        <f>AB2627*Settings!$C$13*$D2636</f>
        <v/>
      </c>
      <c r="AC2636" s="16">
        <f>AC2627*Settings!$C$13*$D2636</f>
        <v/>
      </c>
      <c r="AD2636" s="16">
        <f>AD2627*Settings!$C$13*$D2636</f>
        <v/>
      </c>
      <c r="AE2636" s="49">
        <f>EMISSIONS(AE2627,Settings!$C$13,$D2636)</f>
        <v/>
      </c>
      <c r="AG2636" s="11">
        <f>CodePrefix&amp;$A2636&amp;IF($C2636="","","."&amp;$C2636&amp;"."&amp;$B2636)&amp;INDEX(VarEnd,MATCH($A2636,VarKey,0))&amp;AG$5</f>
        <v/>
      </c>
      <c r="AH2636" s="15">
        <f>AH2627*Settings!$C$13*$D2636</f>
        <v/>
      </c>
      <c r="AI2636" s="16">
        <f>AI2627*Settings!$C$13*$D2636</f>
        <v/>
      </c>
      <c r="AJ2636" s="16">
        <f>AJ2627*Settings!$C$13*$D2636</f>
        <v/>
      </c>
      <c r="AK2636" s="16">
        <f>AK2627*Settings!$C$13*$D2636</f>
        <v/>
      </c>
      <c r="AL2636" s="16">
        <f>AL2627*Settings!$C$13*$D2636</f>
        <v/>
      </c>
      <c r="AM2636" s="16">
        <f>AM2627*Settings!$C$13*$D2636</f>
        <v/>
      </c>
      <c r="AN2636" s="16">
        <f>AN2627*Settings!$C$13*$D2636</f>
        <v/>
      </c>
      <c r="AO2636" s="16">
        <f>AO2627*Settings!$C$13*$D2636</f>
        <v/>
      </c>
      <c r="AP2636" s="16">
        <f>AP2627*Settings!$C$13*$D2636</f>
        <v/>
      </c>
      <c r="AQ2636" s="16">
        <f>AQ2627*Settings!$C$13*$D2636</f>
        <v/>
      </c>
      <c r="AR2636" s="16">
        <f>AR2627*Settings!$C$13*$D2636</f>
        <v/>
      </c>
      <c r="AS2636" s="16">
        <f>AS2627*Settings!$C$13*$D2636</f>
        <v/>
      </c>
      <c r="AT2636" s="16">
        <f>AT2627*Settings!$C$13*$D2636</f>
        <v/>
      </c>
      <c r="AU2636" s="16">
        <f>AU2627*Settings!$C$13*$D2636</f>
        <v/>
      </c>
      <c r="AV2636" s="16">
        <f>AV2627*Settings!$C$13*$D2636</f>
        <v/>
      </c>
      <c r="AW2636" s="16">
        <f>AW2627*Settings!$C$13*$D2636</f>
        <v/>
      </c>
      <c r="AX2636" s="16">
        <f>AX2627*Settings!$C$13*$D2636</f>
        <v/>
      </c>
      <c r="AY2636" s="16">
        <f>AY2627*Settings!$C$13*$D2636</f>
        <v/>
      </c>
      <c r="AZ2636" s="16">
        <f>AZ2627*Settings!$C$13*$D2636</f>
        <v/>
      </c>
      <c r="BA2636" s="49">
        <f>EMISSIONS(BA2627,Settings!$C$13,$D2636)</f>
        <v/>
      </c>
    </row>
    <row r="2637" hidden="1" outlineLevel="2">
      <c r="A2637" s="14" t="inlineStr">
        <is>
          <t>co2</t>
        </is>
      </c>
      <c r="B2637" s="14" t="inlineStr">
        <is>
          <t>bio</t>
        </is>
      </c>
      <c r="C2637" s="14" t="inlineStr">
        <is>
          <t>omn</t>
        </is>
      </c>
      <c r="D2637" s="35">
        <f>INDEX(Inputs!$W$5:$W$132,MATCH($B2637&amp;"|"&amp;$C2637,Inputs!$A$5:$A$132,0))</f>
        <v/>
      </c>
      <c r="E2637" s="39" t="n"/>
      <c r="F2637" s="39" t="n"/>
      <c r="G2637" s="39" t="n"/>
      <c r="H2637" s="14">
        <f>INDEX(VarLab,MATCH($A2637,VarKey,0))&amp;INDEX(MemLab,MATCH($C2637&amp;"|"&amp;$B2637,MemKey,0))</f>
        <v/>
      </c>
      <c r="I2637" s="14">
        <f>INDEX(VarUnit,MATCH($A2637,VarKey,0))</f>
        <v/>
      </c>
      <c r="J2637" s="14">
        <f>INDEX(VarSrc,MATCH($A2637,VarKey,0))</f>
        <v/>
      </c>
      <c r="K2637" s="11">
        <f>CodePrefix&amp;$A2637&amp;IF($C2637="","","."&amp;$C2637&amp;"."&amp;$B2637)&amp;INDEX(VarEnd,MATCH($A2637,VarKey,0))&amp;K$5</f>
        <v/>
      </c>
      <c r="L2637" s="15">
        <f>L2628*Settings!$C$13*$D2637</f>
        <v/>
      </c>
      <c r="M2637" s="16">
        <f>M2628*Settings!$C$13*$D2637</f>
        <v/>
      </c>
      <c r="N2637" s="16">
        <f>N2628*Settings!$C$13*$D2637</f>
        <v/>
      </c>
      <c r="O2637" s="16">
        <f>O2628*Settings!$C$13*$D2637</f>
        <v/>
      </c>
      <c r="P2637" s="16">
        <f>P2628*Settings!$C$13*$D2637</f>
        <v/>
      </c>
      <c r="Q2637" s="16">
        <f>Q2628*Settings!$C$13*$D2637</f>
        <v/>
      </c>
      <c r="R2637" s="16">
        <f>R2628*Settings!$C$13*$D2637</f>
        <v/>
      </c>
      <c r="S2637" s="16">
        <f>S2628*Settings!$C$13*$D2637</f>
        <v/>
      </c>
      <c r="T2637" s="16">
        <f>T2628*Settings!$C$13*$D2637</f>
        <v/>
      </c>
      <c r="U2637" s="16">
        <f>U2628*Settings!$C$13*$D2637</f>
        <v/>
      </c>
      <c r="V2637" s="16">
        <f>V2628*Settings!$C$13*$D2637</f>
        <v/>
      </c>
      <c r="W2637" s="16">
        <f>W2628*Settings!$C$13*$D2637</f>
        <v/>
      </c>
      <c r="X2637" s="16">
        <f>X2628*Settings!$C$13*$D2637</f>
        <v/>
      </c>
      <c r="Y2637" s="16">
        <f>Y2628*Settings!$C$13*$D2637</f>
        <v/>
      </c>
      <c r="Z2637" s="16">
        <f>Z2628*Settings!$C$13*$D2637</f>
        <v/>
      </c>
      <c r="AA2637" s="16">
        <f>AA2628*Settings!$C$13*$D2637</f>
        <v/>
      </c>
      <c r="AB2637" s="16">
        <f>AB2628*Settings!$C$13*$D2637</f>
        <v/>
      </c>
      <c r="AC2637" s="16">
        <f>AC2628*Settings!$C$13*$D2637</f>
        <v/>
      </c>
      <c r="AD2637" s="16">
        <f>AD2628*Settings!$C$13*$D2637</f>
        <v/>
      </c>
      <c r="AE2637" s="49">
        <f>EMISSIONS(AE2628,Settings!$C$13,$D2637)</f>
        <v/>
      </c>
      <c r="AG2637" s="11">
        <f>CodePrefix&amp;$A2637&amp;IF($C2637="","","."&amp;$C2637&amp;"."&amp;$B2637)&amp;INDEX(VarEnd,MATCH($A2637,VarKey,0))&amp;AG$5</f>
        <v/>
      </c>
      <c r="AH2637" s="15">
        <f>AH2628*Settings!$C$13*$D2637</f>
        <v/>
      </c>
      <c r="AI2637" s="16">
        <f>AI2628*Settings!$C$13*$D2637</f>
        <v/>
      </c>
      <c r="AJ2637" s="16">
        <f>AJ2628*Settings!$C$13*$D2637</f>
        <v/>
      </c>
      <c r="AK2637" s="16">
        <f>AK2628*Settings!$C$13*$D2637</f>
        <v/>
      </c>
      <c r="AL2637" s="16">
        <f>AL2628*Settings!$C$13*$D2637</f>
        <v/>
      </c>
      <c r="AM2637" s="16">
        <f>AM2628*Settings!$C$13*$D2637</f>
        <v/>
      </c>
      <c r="AN2637" s="16">
        <f>AN2628*Settings!$C$13*$D2637</f>
        <v/>
      </c>
      <c r="AO2637" s="16">
        <f>AO2628*Settings!$C$13*$D2637</f>
        <v/>
      </c>
      <c r="AP2637" s="16">
        <f>AP2628*Settings!$C$13*$D2637</f>
        <v/>
      </c>
      <c r="AQ2637" s="16">
        <f>AQ2628*Settings!$C$13*$D2637</f>
        <v/>
      </c>
      <c r="AR2637" s="16">
        <f>AR2628*Settings!$C$13*$D2637</f>
        <v/>
      </c>
      <c r="AS2637" s="16">
        <f>AS2628*Settings!$C$13*$D2637</f>
        <v/>
      </c>
      <c r="AT2637" s="16">
        <f>AT2628*Settings!$C$13*$D2637</f>
        <v/>
      </c>
      <c r="AU2637" s="16">
        <f>AU2628*Settings!$C$13*$D2637</f>
        <v/>
      </c>
      <c r="AV2637" s="16">
        <f>AV2628*Settings!$C$13*$D2637</f>
        <v/>
      </c>
      <c r="AW2637" s="16">
        <f>AW2628*Settings!$C$13*$D2637</f>
        <v/>
      </c>
      <c r="AX2637" s="16">
        <f>AX2628*Settings!$C$13*$D2637</f>
        <v/>
      </c>
      <c r="AY2637" s="16">
        <f>AY2628*Settings!$C$13*$D2637</f>
        <v/>
      </c>
      <c r="AZ2637" s="16">
        <f>AZ2628*Settings!$C$13*$D2637</f>
        <v/>
      </c>
      <c r="BA2637" s="49">
        <f>EMISSIONS(BA2628,Settings!$C$13,$D2637)</f>
        <v/>
      </c>
    </row>
    <row r="2638" hidden="1" outlineLevel="2"/>
    <row r="2639" hidden="1" outlineLevel="2">
      <c r="A2639" s="14" t="inlineStr">
        <is>
          <t>rtx</t>
        </is>
      </c>
      <c r="B2639" s="14" t="inlineStr">
        <is>
          <t>coa</t>
        </is>
      </c>
      <c r="C2639" s="14" t="inlineStr">
        <is>
          <t>omn</t>
        </is>
      </c>
      <c r="D2639" s="35">
        <f>INDEX(Inputs!$U$5:$U$132,MATCH($B2639&amp;"|"&amp;$C2639,Inputs!$A$5:$A$132,0))</f>
        <v/>
      </c>
      <c r="E2639" s="35">
        <f>INDEX(Inputs!$V$5:$V$132,MATCH($B2639&amp;"|"&amp;$C2639,Inputs!$A$5:$A$132,0))</f>
        <v/>
      </c>
      <c r="F2639" s="39" t="n"/>
      <c r="G2639" s="39" t="n"/>
      <c r="H2639" s="14">
        <f>INDEX(VarLab,MATCH($A2639,VarKey,0))&amp;INDEX(MemLab,MATCH($C2639&amp;"|"&amp;$B2639,MemKey,0))</f>
        <v/>
      </c>
      <c r="I2639" s="14">
        <f>INDEX(VarUnit,MATCH($A2639,VarKey,0))</f>
        <v/>
      </c>
      <c r="J2639" s="14">
        <f>INDEX(VarSrc,MATCH($A2639,VarKey,0))</f>
        <v/>
      </c>
      <c r="K2639" s="11">
        <f>CodePrefix&amp;$A2639&amp;IF($C2639="","","."&amp;$C2639&amp;"."&amp;$B2639)&amp;INDEX(VarEnd,MATCH($A2639,VarKey,0))&amp;K$5</f>
        <v/>
      </c>
      <c r="L2639" s="43">
        <f>L2621*Settings!$C$13*(INDEX(L$407:L$418,$D2639)+INDEX(L$394:L$405,$D2639)+L2594*(1+$E2639))</f>
        <v/>
      </c>
      <c r="M2639" s="44">
        <f>M2621*Settings!$C$13*(INDEX(M$407:M$418,$D2639)+INDEX(M$394:M$405,$D2639)+M2594*(1+$E2639))</f>
        <v/>
      </c>
      <c r="N2639" s="44">
        <f>N2621*Settings!$C$13*(INDEX(N$407:N$418,$D2639)+INDEX(N$394:N$405,$D2639)+N2594*(1+$E2639))</f>
        <v/>
      </c>
      <c r="O2639" s="44">
        <f>O2621*Settings!$C$13*(INDEX(O$407:O$418,$D2639)+INDEX(O$394:O$405,$D2639)+O2594*(1+$E2639))</f>
        <v/>
      </c>
      <c r="P2639" s="44">
        <f>P2621*Settings!$C$13*(INDEX(P$407:P$418,$D2639)+INDEX(P$394:P$405,$D2639)+P2594*(1+$E2639))</f>
        <v/>
      </c>
      <c r="Q2639" s="44">
        <f>Q2621*Settings!$C$13*(INDEX(Q$407:Q$418,$D2639)+INDEX(Q$394:Q$405,$D2639)+Q2594*(1+$E2639))</f>
        <v/>
      </c>
      <c r="R2639" s="44">
        <f>R2621*Settings!$C$13*(INDEX(R$407:R$418,$D2639)+INDEX(R$394:R$405,$D2639)+R2594*(1+$E2639))</f>
        <v/>
      </c>
      <c r="S2639" s="44">
        <f>S2621*Settings!$C$13*(INDEX(S$407:S$418,$D2639)+INDEX(S$394:S$405,$D2639)+S2594*(1+$E2639))</f>
        <v/>
      </c>
      <c r="T2639" s="44">
        <f>T2621*Settings!$C$13*(INDEX(T$407:T$418,$D2639)+INDEX(T$394:T$405,$D2639)+T2594*(1+$E2639))</f>
        <v/>
      </c>
      <c r="U2639" s="44">
        <f>U2621*Settings!$C$13*(INDEX(U$407:U$418,$D2639)+INDEX(U$394:U$405,$D2639)+U2594*(1+$E2639))</f>
        <v/>
      </c>
      <c r="V2639" s="44">
        <f>V2621*Settings!$C$13*(INDEX(V$407:V$418,$D2639)+INDEX(V$394:V$405,$D2639)+V2594*(1+$E2639))</f>
        <v/>
      </c>
      <c r="W2639" s="44">
        <f>W2621*Settings!$C$13*(INDEX(W$407:W$418,$D2639)+INDEX(W$394:W$405,$D2639)+W2594*(1+$E2639))</f>
        <v/>
      </c>
      <c r="X2639" s="44">
        <f>X2621*Settings!$C$13*(INDEX(X$407:X$418,$D2639)+INDEX(X$394:X$405,$D2639)+X2594*(1+$E2639))</f>
        <v/>
      </c>
      <c r="Y2639" s="44">
        <f>Y2621*Settings!$C$13*(INDEX(Y$407:Y$418,$D2639)+INDEX(Y$394:Y$405,$D2639)+Y2594*(1+$E2639))</f>
        <v/>
      </c>
      <c r="Z2639" s="44">
        <f>Z2621*Settings!$C$13*(INDEX(Z$407:Z$418,$D2639)+INDEX(Z$394:Z$405,$D2639)+Z2594*(1+$E2639))</f>
        <v/>
      </c>
      <c r="AA2639" s="44">
        <f>AA2621*Settings!$C$13*(INDEX(AA$407:AA$418,$D2639)+INDEX(AA$394:AA$405,$D2639)+AA2594*(1+$E2639))</f>
        <v/>
      </c>
      <c r="AB2639" s="44">
        <f>AB2621*Settings!$C$13*(INDEX(AB$407:AB$418,$D2639)+INDEX(AB$394:AB$405,$D2639)+AB2594*(1+$E2639))</f>
        <v/>
      </c>
      <c r="AC2639" s="44">
        <f>AC2621*Settings!$C$13*(INDEX(AC$407:AC$418,$D2639)+INDEX(AC$394:AC$405,$D2639)+AC2594*(1+$E2639))</f>
        <v/>
      </c>
      <c r="AD2639" s="44">
        <f>AD2621*Settings!$C$13*(INDEX(AD$407:AD$418,$D2639)+INDEX(AD$394:AD$405,$D2639)+AD2594*(1+$E2639))</f>
        <v/>
      </c>
      <c r="AE2639" s="57">
        <f>REVENUE(AE2621,Settings!$C$13,INDEX(AE$407:AE$418,$D2639)+INDEX(AE$394:AE$405,$D2639)+AE2594*(1+$E2639))</f>
        <v/>
      </c>
      <c r="AG2639" s="11">
        <f>CodePrefix&amp;$A2639&amp;IF($C2639="","","."&amp;$C2639&amp;"."&amp;$B2639)&amp;INDEX(VarEnd,MATCH($A2639,VarKey,0))&amp;AG$5</f>
        <v/>
      </c>
      <c r="AH2639" s="43">
        <f>AH2621*Settings!$C$13*(INDEX(AH$407:AH$418,$D2639)+INDEX(AH$394:AH$405,$D2639)+AH2594*(1+$E2639))</f>
        <v/>
      </c>
      <c r="AI2639" s="44">
        <f>AI2621*Settings!$C$13*(INDEX(AI$407:AI$418,$D2639)+INDEX(AI$394:AI$405,$D2639)+AI2594*(1+$E2639))</f>
        <v/>
      </c>
      <c r="AJ2639" s="44">
        <f>AJ2621*Settings!$C$13*(INDEX(AJ$407:AJ$418,$D2639)+INDEX(AJ$394:AJ$405,$D2639)+AJ2594*(1+$E2639))</f>
        <v/>
      </c>
      <c r="AK2639" s="44">
        <f>AK2621*Settings!$C$13*(INDEX(AK$407:AK$418,$D2639)+INDEX(AK$394:AK$405,$D2639)+AK2594*(1+$E2639))</f>
        <v/>
      </c>
      <c r="AL2639" s="44">
        <f>AL2621*Settings!$C$13*(INDEX(AL$407:AL$418,$D2639)+INDEX(AL$394:AL$405,$D2639)+AL2594*(1+$E2639))</f>
        <v/>
      </c>
      <c r="AM2639" s="44">
        <f>AM2621*Settings!$C$13*(INDEX(AM$407:AM$418,$D2639)+INDEX(AM$394:AM$405,$D2639)+AM2594*(1+$E2639))</f>
        <v/>
      </c>
      <c r="AN2639" s="44">
        <f>AN2621*Settings!$C$13*(INDEX(AN$407:AN$418,$D2639)+INDEX(AN$394:AN$405,$D2639)+AN2594*(1+$E2639))</f>
        <v/>
      </c>
      <c r="AO2639" s="44">
        <f>AO2621*Settings!$C$13*(INDEX(AO$407:AO$418,$D2639)+INDEX(AO$394:AO$405,$D2639)+AO2594*(1+$E2639))</f>
        <v/>
      </c>
      <c r="AP2639" s="44">
        <f>AP2621*Settings!$C$13*(INDEX(AP$407:AP$418,$D2639)+INDEX(AP$394:AP$405,$D2639)+AP2594*(1+$E2639))</f>
        <v/>
      </c>
      <c r="AQ2639" s="44">
        <f>AQ2621*Settings!$C$13*(INDEX(AQ$407:AQ$418,$D2639)+INDEX(AQ$394:AQ$405,$D2639)+AQ2594*(1+$E2639))</f>
        <v/>
      </c>
      <c r="AR2639" s="44">
        <f>AR2621*Settings!$C$13*(INDEX(AR$407:AR$418,$D2639)+INDEX(AR$394:AR$405,$D2639)+AR2594*(1+$E2639))</f>
        <v/>
      </c>
      <c r="AS2639" s="44">
        <f>AS2621*Settings!$C$13*(INDEX(AS$407:AS$418,$D2639)+INDEX(AS$394:AS$405,$D2639)+AS2594*(1+$E2639))</f>
        <v/>
      </c>
      <c r="AT2639" s="44">
        <f>AT2621*Settings!$C$13*(INDEX(AT$407:AT$418,$D2639)+INDEX(AT$394:AT$405,$D2639)+AT2594*(1+$E2639))</f>
        <v/>
      </c>
      <c r="AU2639" s="44">
        <f>AU2621*Settings!$C$13*(INDEX(AU$407:AU$418,$D2639)+INDEX(AU$394:AU$405,$D2639)+AU2594*(1+$E2639))</f>
        <v/>
      </c>
      <c r="AV2639" s="44">
        <f>AV2621*Settings!$C$13*(INDEX(AV$407:AV$418,$D2639)+INDEX(AV$394:AV$405,$D2639)+AV2594*(1+$E2639))</f>
        <v/>
      </c>
      <c r="AW2639" s="44">
        <f>AW2621*Settings!$C$13*(INDEX(AW$407:AW$418,$D2639)+INDEX(AW$394:AW$405,$D2639)+AW2594*(1+$E2639))</f>
        <v/>
      </c>
      <c r="AX2639" s="44">
        <f>AX2621*Settings!$C$13*(INDEX(AX$407:AX$418,$D2639)+INDEX(AX$394:AX$405,$D2639)+AX2594*(1+$E2639))</f>
        <v/>
      </c>
      <c r="AY2639" s="44">
        <f>AY2621*Settings!$C$13*(INDEX(AY$407:AY$418,$D2639)+INDEX(AY$394:AY$405,$D2639)+AY2594*(1+$E2639))</f>
        <v/>
      </c>
      <c r="AZ2639" s="44">
        <f>AZ2621*Settings!$C$13*(INDEX(AZ$407:AZ$418,$D2639)+INDEX(AZ$394:AZ$405,$D2639)+AZ2594*(1+$E2639))</f>
        <v/>
      </c>
      <c r="BA2639" s="57">
        <f>REVENUE(BA2621,Settings!$C$13,INDEX(BA$407:BA$418,$D2639)+INDEX(BA$394:BA$405,$D2639)+BA2594*(1+$E2639))</f>
        <v/>
      </c>
    </row>
    <row r="2640" hidden="1" outlineLevel="2">
      <c r="A2640" s="14" t="inlineStr">
        <is>
          <t>rtx</t>
        </is>
      </c>
      <c r="B2640" s="14" t="inlineStr">
        <is>
          <t>nga</t>
        </is>
      </c>
      <c r="C2640" s="14" t="inlineStr">
        <is>
          <t>omn</t>
        </is>
      </c>
      <c r="D2640" s="35">
        <f>INDEX(Inputs!$U$5:$U$132,MATCH($B2640&amp;"|"&amp;$C2640,Inputs!$A$5:$A$132,0))</f>
        <v/>
      </c>
      <c r="E2640" s="35">
        <f>INDEX(Inputs!$V$5:$V$132,MATCH($B2640&amp;"|"&amp;$C2640,Inputs!$A$5:$A$132,0))</f>
        <v/>
      </c>
      <c r="F2640" s="39" t="n"/>
      <c r="G2640" s="39" t="n"/>
      <c r="H2640" s="14">
        <f>INDEX(VarLab,MATCH($A2640,VarKey,0))&amp;INDEX(MemLab,MATCH($C2640&amp;"|"&amp;$B2640,MemKey,0))</f>
        <v/>
      </c>
      <c r="I2640" s="14">
        <f>INDEX(VarUnit,MATCH($A2640,VarKey,0))</f>
        <v/>
      </c>
      <c r="J2640" s="14">
        <f>INDEX(VarSrc,MATCH($A2640,VarKey,0))</f>
        <v/>
      </c>
      <c r="K2640" s="11">
        <f>CodePrefix&amp;$A2640&amp;IF($C2640="","","."&amp;$C2640&amp;"."&amp;$B2640)&amp;INDEX(VarEnd,MATCH($A2640,VarKey,0))&amp;K$5</f>
        <v/>
      </c>
      <c r="L2640" s="43">
        <f>L2622*Settings!$C$13*(INDEX(L$407:L$418,$D2640)+INDEX(L$394:L$405,$D2640)+L2595*(1+$E2640))</f>
        <v/>
      </c>
      <c r="M2640" s="44">
        <f>M2622*Settings!$C$13*(INDEX(M$407:M$418,$D2640)+INDEX(M$394:M$405,$D2640)+M2595*(1+$E2640))</f>
        <v/>
      </c>
      <c r="N2640" s="44">
        <f>N2622*Settings!$C$13*(INDEX(N$407:N$418,$D2640)+INDEX(N$394:N$405,$D2640)+N2595*(1+$E2640))</f>
        <v/>
      </c>
      <c r="O2640" s="44">
        <f>O2622*Settings!$C$13*(INDEX(O$407:O$418,$D2640)+INDEX(O$394:O$405,$D2640)+O2595*(1+$E2640))</f>
        <v/>
      </c>
      <c r="P2640" s="44">
        <f>P2622*Settings!$C$13*(INDEX(P$407:P$418,$D2640)+INDEX(P$394:P$405,$D2640)+P2595*(1+$E2640))</f>
        <v/>
      </c>
      <c r="Q2640" s="44">
        <f>Q2622*Settings!$C$13*(INDEX(Q$407:Q$418,$D2640)+INDEX(Q$394:Q$405,$D2640)+Q2595*(1+$E2640))</f>
        <v/>
      </c>
      <c r="R2640" s="44">
        <f>R2622*Settings!$C$13*(INDEX(R$407:R$418,$D2640)+INDEX(R$394:R$405,$D2640)+R2595*(1+$E2640))</f>
        <v/>
      </c>
      <c r="S2640" s="44">
        <f>S2622*Settings!$C$13*(INDEX(S$407:S$418,$D2640)+INDEX(S$394:S$405,$D2640)+S2595*(1+$E2640))</f>
        <v/>
      </c>
      <c r="T2640" s="44">
        <f>T2622*Settings!$C$13*(INDEX(T$407:T$418,$D2640)+INDEX(T$394:T$405,$D2640)+T2595*(1+$E2640))</f>
        <v/>
      </c>
      <c r="U2640" s="44">
        <f>U2622*Settings!$C$13*(INDEX(U$407:U$418,$D2640)+INDEX(U$394:U$405,$D2640)+U2595*(1+$E2640))</f>
        <v/>
      </c>
      <c r="V2640" s="44">
        <f>V2622*Settings!$C$13*(INDEX(V$407:V$418,$D2640)+INDEX(V$394:V$405,$D2640)+V2595*(1+$E2640))</f>
        <v/>
      </c>
      <c r="W2640" s="44">
        <f>W2622*Settings!$C$13*(INDEX(W$407:W$418,$D2640)+INDEX(W$394:W$405,$D2640)+W2595*(1+$E2640))</f>
        <v/>
      </c>
      <c r="X2640" s="44">
        <f>X2622*Settings!$C$13*(INDEX(X$407:X$418,$D2640)+INDEX(X$394:X$405,$D2640)+X2595*(1+$E2640))</f>
        <v/>
      </c>
      <c r="Y2640" s="44">
        <f>Y2622*Settings!$C$13*(INDEX(Y$407:Y$418,$D2640)+INDEX(Y$394:Y$405,$D2640)+Y2595*(1+$E2640))</f>
        <v/>
      </c>
      <c r="Z2640" s="44">
        <f>Z2622*Settings!$C$13*(INDEX(Z$407:Z$418,$D2640)+INDEX(Z$394:Z$405,$D2640)+Z2595*(1+$E2640))</f>
        <v/>
      </c>
      <c r="AA2640" s="44">
        <f>AA2622*Settings!$C$13*(INDEX(AA$407:AA$418,$D2640)+INDEX(AA$394:AA$405,$D2640)+AA2595*(1+$E2640))</f>
        <v/>
      </c>
      <c r="AB2640" s="44">
        <f>AB2622*Settings!$C$13*(INDEX(AB$407:AB$418,$D2640)+INDEX(AB$394:AB$405,$D2640)+AB2595*(1+$E2640))</f>
        <v/>
      </c>
      <c r="AC2640" s="44">
        <f>AC2622*Settings!$C$13*(INDEX(AC$407:AC$418,$D2640)+INDEX(AC$394:AC$405,$D2640)+AC2595*(1+$E2640))</f>
        <v/>
      </c>
      <c r="AD2640" s="44">
        <f>AD2622*Settings!$C$13*(INDEX(AD$407:AD$418,$D2640)+INDEX(AD$394:AD$405,$D2640)+AD2595*(1+$E2640))</f>
        <v/>
      </c>
      <c r="AE2640" s="57">
        <f>REVENUE(AE2622,Settings!$C$13,INDEX(AE$407:AE$418,$D2640)+INDEX(AE$394:AE$405,$D2640)+AE2595*(1+$E2640))</f>
        <v/>
      </c>
      <c r="AG2640" s="11">
        <f>CodePrefix&amp;$A2640&amp;IF($C2640="","","."&amp;$C2640&amp;"."&amp;$B2640)&amp;INDEX(VarEnd,MATCH($A2640,VarKey,0))&amp;AG$5</f>
        <v/>
      </c>
      <c r="AH2640" s="43">
        <f>AH2622*Settings!$C$13*(INDEX(AH$407:AH$418,$D2640)+INDEX(AH$394:AH$405,$D2640)+AH2595*(1+$E2640))</f>
        <v/>
      </c>
      <c r="AI2640" s="44">
        <f>AI2622*Settings!$C$13*(INDEX(AI$407:AI$418,$D2640)+INDEX(AI$394:AI$405,$D2640)+AI2595*(1+$E2640))</f>
        <v/>
      </c>
      <c r="AJ2640" s="44">
        <f>AJ2622*Settings!$C$13*(INDEX(AJ$407:AJ$418,$D2640)+INDEX(AJ$394:AJ$405,$D2640)+AJ2595*(1+$E2640))</f>
        <v/>
      </c>
      <c r="AK2640" s="44">
        <f>AK2622*Settings!$C$13*(INDEX(AK$407:AK$418,$D2640)+INDEX(AK$394:AK$405,$D2640)+AK2595*(1+$E2640))</f>
        <v/>
      </c>
      <c r="AL2640" s="44">
        <f>AL2622*Settings!$C$13*(INDEX(AL$407:AL$418,$D2640)+INDEX(AL$394:AL$405,$D2640)+AL2595*(1+$E2640))</f>
        <v/>
      </c>
      <c r="AM2640" s="44">
        <f>AM2622*Settings!$C$13*(INDEX(AM$407:AM$418,$D2640)+INDEX(AM$394:AM$405,$D2640)+AM2595*(1+$E2640))</f>
        <v/>
      </c>
      <c r="AN2640" s="44">
        <f>AN2622*Settings!$C$13*(INDEX(AN$407:AN$418,$D2640)+INDEX(AN$394:AN$405,$D2640)+AN2595*(1+$E2640))</f>
        <v/>
      </c>
      <c r="AO2640" s="44">
        <f>AO2622*Settings!$C$13*(INDEX(AO$407:AO$418,$D2640)+INDEX(AO$394:AO$405,$D2640)+AO2595*(1+$E2640))</f>
        <v/>
      </c>
      <c r="AP2640" s="44">
        <f>AP2622*Settings!$C$13*(INDEX(AP$407:AP$418,$D2640)+INDEX(AP$394:AP$405,$D2640)+AP2595*(1+$E2640))</f>
        <v/>
      </c>
      <c r="AQ2640" s="44">
        <f>AQ2622*Settings!$C$13*(INDEX(AQ$407:AQ$418,$D2640)+INDEX(AQ$394:AQ$405,$D2640)+AQ2595*(1+$E2640))</f>
        <v/>
      </c>
      <c r="AR2640" s="44">
        <f>AR2622*Settings!$C$13*(INDEX(AR$407:AR$418,$D2640)+INDEX(AR$394:AR$405,$D2640)+AR2595*(1+$E2640))</f>
        <v/>
      </c>
      <c r="AS2640" s="44">
        <f>AS2622*Settings!$C$13*(INDEX(AS$407:AS$418,$D2640)+INDEX(AS$394:AS$405,$D2640)+AS2595*(1+$E2640))</f>
        <v/>
      </c>
      <c r="AT2640" s="44">
        <f>AT2622*Settings!$C$13*(INDEX(AT$407:AT$418,$D2640)+INDEX(AT$394:AT$405,$D2640)+AT2595*(1+$E2640))</f>
        <v/>
      </c>
      <c r="AU2640" s="44">
        <f>AU2622*Settings!$C$13*(INDEX(AU$407:AU$418,$D2640)+INDEX(AU$394:AU$405,$D2640)+AU2595*(1+$E2640))</f>
        <v/>
      </c>
      <c r="AV2640" s="44">
        <f>AV2622*Settings!$C$13*(INDEX(AV$407:AV$418,$D2640)+INDEX(AV$394:AV$405,$D2640)+AV2595*(1+$E2640))</f>
        <v/>
      </c>
      <c r="AW2640" s="44">
        <f>AW2622*Settings!$C$13*(INDEX(AW$407:AW$418,$D2640)+INDEX(AW$394:AW$405,$D2640)+AW2595*(1+$E2640))</f>
        <v/>
      </c>
      <c r="AX2640" s="44">
        <f>AX2622*Settings!$C$13*(INDEX(AX$407:AX$418,$D2640)+INDEX(AX$394:AX$405,$D2640)+AX2595*(1+$E2640))</f>
        <v/>
      </c>
      <c r="AY2640" s="44">
        <f>AY2622*Settings!$C$13*(INDEX(AY$407:AY$418,$D2640)+INDEX(AY$394:AY$405,$D2640)+AY2595*(1+$E2640))</f>
        <v/>
      </c>
      <c r="AZ2640" s="44">
        <f>AZ2622*Settings!$C$13*(INDEX(AZ$407:AZ$418,$D2640)+INDEX(AZ$394:AZ$405,$D2640)+AZ2595*(1+$E2640))</f>
        <v/>
      </c>
      <c r="BA2640" s="57">
        <f>REVENUE(BA2622,Settings!$C$13,INDEX(BA$407:BA$418,$D2640)+INDEX(BA$394:BA$405,$D2640)+BA2595*(1+$E2640))</f>
        <v/>
      </c>
    </row>
    <row r="2641" hidden="1" outlineLevel="2">
      <c r="A2641" s="14" t="inlineStr">
        <is>
          <t>rtx</t>
        </is>
      </c>
      <c r="B2641" s="14" t="inlineStr">
        <is>
          <t>gso</t>
        </is>
      </c>
      <c r="C2641" s="14" t="inlineStr">
        <is>
          <t>omn</t>
        </is>
      </c>
      <c r="D2641" s="35">
        <f>INDEX(Inputs!$U$5:$U$132,MATCH($B2641&amp;"|"&amp;$C2641,Inputs!$A$5:$A$132,0))</f>
        <v/>
      </c>
      <c r="E2641" s="35">
        <f>INDEX(Inputs!$V$5:$V$132,MATCH($B2641&amp;"|"&amp;$C2641,Inputs!$A$5:$A$132,0))</f>
        <v/>
      </c>
      <c r="F2641" s="39" t="n"/>
      <c r="G2641" s="39" t="n"/>
      <c r="H2641" s="14">
        <f>INDEX(VarLab,MATCH($A2641,VarKey,0))&amp;INDEX(MemLab,MATCH($C2641&amp;"|"&amp;$B2641,MemKey,0))</f>
        <v/>
      </c>
      <c r="I2641" s="14">
        <f>INDEX(VarUnit,MATCH($A2641,VarKey,0))</f>
        <v/>
      </c>
      <c r="J2641" s="14">
        <f>INDEX(VarSrc,MATCH($A2641,VarKey,0))</f>
        <v/>
      </c>
      <c r="K2641" s="11">
        <f>CodePrefix&amp;$A2641&amp;IF($C2641="","","."&amp;$C2641&amp;"."&amp;$B2641)&amp;INDEX(VarEnd,MATCH($A2641,VarKey,0))&amp;K$5</f>
        <v/>
      </c>
      <c r="L2641" s="43">
        <f>L2623*Settings!$C$13*(INDEX(L$407:L$418,$D2641)+INDEX(L$394:L$405,$D2641)+L2596*(1+$E2641))</f>
        <v/>
      </c>
      <c r="M2641" s="44">
        <f>M2623*Settings!$C$13*(INDEX(M$407:M$418,$D2641)+INDEX(M$394:M$405,$D2641)+M2596*(1+$E2641))</f>
        <v/>
      </c>
      <c r="N2641" s="44">
        <f>N2623*Settings!$C$13*(INDEX(N$407:N$418,$D2641)+INDEX(N$394:N$405,$D2641)+N2596*(1+$E2641))</f>
        <v/>
      </c>
      <c r="O2641" s="44">
        <f>O2623*Settings!$C$13*(INDEX(O$407:O$418,$D2641)+INDEX(O$394:O$405,$D2641)+O2596*(1+$E2641))</f>
        <v/>
      </c>
      <c r="P2641" s="44">
        <f>P2623*Settings!$C$13*(INDEX(P$407:P$418,$D2641)+INDEX(P$394:P$405,$D2641)+P2596*(1+$E2641))</f>
        <v/>
      </c>
      <c r="Q2641" s="44">
        <f>Q2623*Settings!$C$13*(INDEX(Q$407:Q$418,$D2641)+INDEX(Q$394:Q$405,$D2641)+Q2596*(1+$E2641))</f>
        <v/>
      </c>
      <c r="R2641" s="44">
        <f>R2623*Settings!$C$13*(INDEX(R$407:R$418,$D2641)+INDEX(R$394:R$405,$D2641)+R2596*(1+$E2641))</f>
        <v/>
      </c>
      <c r="S2641" s="44">
        <f>S2623*Settings!$C$13*(INDEX(S$407:S$418,$D2641)+INDEX(S$394:S$405,$D2641)+S2596*(1+$E2641))</f>
        <v/>
      </c>
      <c r="T2641" s="44">
        <f>T2623*Settings!$C$13*(INDEX(T$407:T$418,$D2641)+INDEX(T$394:T$405,$D2641)+T2596*(1+$E2641))</f>
        <v/>
      </c>
      <c r="U2641" s="44">
        <f>U2623*Settings!$C$13*(INDEX(U$407:U$418,$D2641)+INDEX(U$394:U$405,$D2641)+U2596*(1+$E2641))</f>
        <v/>
      </c>
      <c r="V2641" s="44">
        <f>V2623*Settings!$C$13*(INDEX(V$407:V$418,$D2641)+INDEX(V$394:V$405,$D2641)+V2596*(1+$E2641))</f>
        <v/>
      </c>
      <c r="W2641" s="44">
        <f>W2623*Settings!$C$13*(INDEX(W$407:W$418,$D2641)+INDEX(W$394:W$405,$D2641)+W2596*(1+$E2641))</f>
        <v/>
      </c>
      <c r="X2641" s="44">
        <f>X2623*Settings!$C$13*(INDEX(X$407:X$418,$D2641)+INDEX(X$394:X$405,$D2641)+X2596*(1+$E2641))</f>
        <v/>
      </c>
      <c r="Y2641" s="44">
        <f>Y2623*Settings!$C$13*(INDEX(Y$407:Y$418,$D2641)+INDEX(Y$394:Y$405,$D2641)+Y2596*(1+$E2641))</f>
        <v/>
      </c>
      <c r="Z2641" s="44">
        <f>Z2623*Settings!$C$13*(INDEX(Z$407:Z$418,$D2641)+INDEX(Z$394:Z$405,$D2641)+Z2596*(1+$E2641))</f>
        <v/>
      </c>
      <c r="AA2641" s="44">
        <f>AA2623*Settings!$C$13*(INDEX(AA$407:AA$418,$D2641)+INDEX(AA$394:AA$405,$D2641)+AA2596*(1+$E2641))</f>
        <v/>
      </c>
      <c r="AB2641" s="44">
        <f>AB2623*Settings!$C$13*(INDEX(AB$407:AB$418,$D2641)+INDEX(AB$394:AB$405,$D2641)+AB2596*(1+$E2641))</f>
        <v/>
      </c>
      <c r="AC2641" s="44">
        <f>AC2623*Settings!$C$13*(INDEX(AC$407:AC$418,$D2641)+INDEX(AC$394:AC$405,$D2641)+AC2596*(1+$E2641))</f>
        <v/>
      </c>
      <c r="AD2641" s="44">
        <f>AD2623*Settings!$C$13*(INDEX(AD$407:AD$418,$D2641)+INDEX(AD$394:AD$405,$D2641)+AD2596*(1+$E2641))</f>
        <v/>
      </c>
      <c r="AE2641" s="57">
        <f>REVENUE(AE2623,Settings!$C$13,INDEX(AE$407:AE$418,$D2641)+INDEX(AE$394:AE$405,$D2641)+AE2596*(1+$E2641))</f>
        <v/>
      </c>
      <c r="AG2641" s="11">
        <f>CodePrefix&amp;$A2641&amp;IF($C2641="","","."&amp;$C2641&amp;"."&amp;$B2641)&amp;INDEX(VarEnd,MATCH($A2641,VarKey,0))&amp;AG$5</f>
        <v/>
      </c>
      <c r="AH2641" s="43">
        <f>AH2623*Settings!$C$13*(INDEX(AH$407:AH$418,$D2641)+INDEX(AH$394:AH$405,$D2641)+AH2596*(1+$E2641))</f>
        <v/>
      </c>
      <c r="AI2641" s="44">
        <f>AI2623*Settings!$C$13*(INDEX(AI$407:AI$418,$D2641)+INDEX(AI$394:AI$405,$D2641)+AI2596*(1+$E2641))</f>
        <v/>
      </c>
      <c r="AJ2641" s="44">
        <f>AJ2623*Settings!$C$13*(INDEX(AJ$407:AJ$418,$D2641)+INDEX(AJ$394:AJ$405,$D2641)+AJ2596*(1+$E2641))</f>
        <v/>
      </c>
      <c r="AK2641" s="44">
        <f>AK2623*Settings!$C$13*(INDEX(AK$407:AK$418,$D2641)+INDEX(AK$394:AK$405,$D2641)+AK2596*(1+$E2641))</f>
        <v/>
      </c>
      <c r="AL2641" s="44">
        <f>AL2623*Settings!$C$13*(INDEX(AL$407:AL$418,$D2641)+INDEX(AL$394:AL$405,$D2641)+AL2596*(1+$E2641))</f>
        <v/>
      </c>
      <c r="AM2641" s="44">
        <f>AM2623*Settings!$C$13*(INDEX(AM$407:AM$418,$D2641)+INDEX(AM$394:AM$405,$D2641)+AM2596*(1+$E2641))</f>
        <v/>
      </c>
      <c r="AN2641" s="44">
        <f>AN2623*Settings!$C$13*(INDEX(AN$407:AN$418,$D2641)+INDEX(AN$394:AN$405,$D2641)+AN2596*(1+$E2641))</f>
        <v/>
      </c>
      <c r="AO2641" s="44">
        <f>AO2623*Settings!$C$13*(INDEX(AO$407:AO$418,$D2641)+INDEX(AO$394:AO$405,$D2641)+AO2596*(1+$E2641))</f>
        <v/>
      </c>
      <c r="AP2641" s="44">
        <f>AP2623*Settings!$C$13*(INDEX(AP$407:AP$418,$D2641)+INDEX(AP$394:AP$405,$D2641)+AP2596*(1+$E2641))</f>
        <v/>
      </c>
      <c r="AQ2641" s="44">
        <f>AQ2623*Settings!$C$13*(INDEX(AQ$407:AQ$418,$D2641)+INDEX(AQ$394:AQ$405,$D2641)+AQ2596*(1+$E2641))</f>
        <v/>
      </c>
      <c r="AR2641" s="44">
        <f>AR2623*Settings!$C$13*(INDEX(AR$407:AR$418,$D2641)+INDEX(AR$394:AR$405,$D2641)+AR2596*(1+$E2641))</f>
        <v/>
      </c>
      <c r="AS2641" s="44">
        <f>AS2623*Settings!$C$13*(INDEX(AS$407:AS$418,$D2641)+INDEX(AS$394:AS$405,$D2641)+AS2596*(1+$E2641))</f>
        <v/>
      </c>
      <c r="AT2641" s="44">
        <f>AT2623*Settings!$C$13*(INDEX(AT$407:AT$418,$D2641)+INDEX(AT$394:AT$405,$D2641)+AT2596*(1+$E2641))</f>
        <v/>
      </c>
      <c r="AU2641" s="44">
        <f>AU2623*Settings!$C$13*(INDEX(AU$407:AU$418,$D2641)+INDEX(AU$394:AU$405,$D2641)+AU2596*(1+$E2641))</f>
        <v/>
      </c>
      <c r="AV2641" s="44">
        <f>AV2623*Settings!$C$13*(INDEX(AV$407:AV$418,$D2641)+INDEX(AV$394:AV$405,$D2641)+AV2596*(1+$E2641))</f>
        <v/>
      </c>
      <c r="AW2641" s="44">
        <f>AW2623*Settings!$C$13*(INDEX(AW$407:AW$418,$D2641)+INDEX(AW$394:AW$405,$D2641)+AW2596*(1+$E2641))</f>
        <v/>
      </c>
      <c r="AX2641" s="44">
        <f>AX2623*Settings!$C$13*(INDEX(AX$407:AX$418,$D2641)+INDEX(AX$394:AX$405,$D2641)+AX2596*(1+$E2641))</f>
        <v/>
      </c>
      <c r="AY2641" s="44">
        <f>AY2623*Settings!$C$13*(INDEX(AY$407:AY$418,$D2641)+INDEX(AY$394:AY$405,$D2641)+AY2596*(1+$E2641))</f>
        <v/>
      </c>
      <c r="AZ2641" s="44">
        <f>AZ2623*Settings!$C$13*(INDEX(AZ$407:AZ$418,$D2641)+INDEX(AZ$394:AZ$405,$D2641)+AZ2596*(1+$E2641))</f>
        <v/>
      </c>
      <c r="BA2641" s="57">
        <f>REVENUE(BA2623,Settings!$C$13,INDEX(BA$407:BA$418,$D2641)+INDEX(BA$394:BA$405,$D2641)+BA2596*(1+$E2641))</f>
        <v/>
      </c>
    </row>
    <row r="2642" hidden="1" outlineLevel="2">
      <c r="A2642" s="14" t="inlineStr">
        <is>
          <t>rtx</t>
        </is>
      </c>
      <c r="B2642" s="14" t="inlineStr">
        <is>
          <t>die</t>
        </is>
      </c>
      <c r="C2642" s="14" t="inlineStr">
        <is>
          <t>omn</t>
        </is>
      </c>
      <c r="D2642" s="35">
        <f>INDEX(Inputs!$U$5:$U$132,MATCH($B2642&amp;"|"&amp;$C2642,Inputs!$A$5:$A$132,0))</f>
        <v/>
      </c>
      <c r="E2642" s="35">
        <f>INDEX(Inputs!$V$5:$V$132,MATCH($B2642&amp;"|"&amp;$C2642,Inputs!$A$5:$A$132,0))</f>
        <v/>
      </c>
      <c r="F2642" s="39" t="n"/>
      <c r="G2642" s="39" t="n"/>
      <c r="H2642" s="14">
        <f>INDEX(VarLab,MATCH($A2642,VarKey,0))&amp;INDEX(MemLab,MATCH($C2642&amp;"|"&amp;$B2642,MemKey,0))</f>
        <v/>
      </c>
      <c r="I2642" s="14">
        <f>INDEX(VarUnit,MATCH($A2642,VarKey,0))</f>
        <v/>
      </c>
      <c r="J2642" s="14">
        <f>INDEX(VarSrc,MATCH($A2642,VarKey,0))</f>
        <v/>
      </c>
      <c r="K2642" s="11">
        <f>CodePrefix&amp;$A2642&amp;IF($C2642="","","."&amp;$C2642&amp;"."&amp;$B2642)&amp;INDEX(VarEnd,MATCH($A2642,VarKey,0))&amp;K$5</f>
        <v/>
      </c>
      <c r="L2642" s="43">
        <f>L2624*Settings!$C$13*(INDEX(L$407:L$418,$D2642)+INDEX(L$394:L$405,$D2642)+L2597*(1+$E2642))</f>
        <v/>
      </c>
      <c r="M2642" s="44">
        <f>M2624*Settings!$C$13*(INDEX(M$407:M$418,$D2642)+INDEX(M$394:M$405,$D2642)+M2597*(1+$E2642))</f>
        <v/>
      </c>
      <c r="N2642" s="44">
        <f>N2624*Settings!$C$13*(INDEX(N$407:N$418,$D2642)+INDEX(N$394:N$405,$D2642)+N2597*(1+$E2642))</f>
        <v/>
      </c>
      <c r="O2642" s="44">
        <f>O2624*Settings!$C$13*(INDEX(O$407:O$418,$D2642)+INDEX(O$394:O$405,$D2642)+O2597*(1+$E2642))</f>
        <v/>
      </c>
      <c r="P2642" s="44">
        <f>P2624*Settings!$C$13*(INDEX(P$407:P$418,$D2642)+INDEX(P$394:P$405,$D2642)+P2597*(1+$E2642))</f>
        <v/>
      </c>
      <c r="Q2642" s="44">
        <f>Q2624*Settings!$C$13*(INDEX(Q$407:Q$418,$D2642)+INDEX(Q$394:Q$405,$D2642)+Q2597*(1+$E2642))</f>
        <v/>
      </c>
      <c r="R2642" s="44">
        <f>R2624*Settings!$C$13*(INDEX(R$407:R$418,$D2642)+INDEX(R$394:R$405,$D2642)+R2597*(1+$E2642))</f>
        <v/>
      </c>
      <c r="S2642" s="44">
        <f>S2624*Settings!$C$13*(INDEX(S$407:S$418,$D2642)+INDEX(S$394:S$405,$D2642)+S2597*(1+$E2642))</f>
        <v/>
      </c>
      <c r="T2642" s="44">
        <f>T2624*Settings!$C$13*(INDEX(T$407:T$418,$D2642)+INDEX(T$394:T$405,$D2642)+T2597*(1+$E2642))</f>
        <v/>
      </c>
      <c r="U2642" s="44">
        <f>U2624*Settings!$C$13*(INDEX(U$407:U$418,$D2642)+INDEX(U$394:U$405,$D2642)+U2597*(1+$E2642))</f>
        <v/>
      </c>
      <c r="V2642" s="44">
        <f>V2624*Settings!$C$13*(INDEX(V$407:V$418,$D2642)+INDEX(V$394:V$405,$D2642)+V2597*(1+$E2642))</f>
        <v/>
      </c>
      <c r="W2642" s="44">
        <f>W2624*Settings!$C$13*(INDEX(W$407:W$418,$D2642)+INDEX(W$394:W$405,$D2642)+W2597*(1+$E2642))</f>
        <v/>
      </c>
      <c r="X2642" s="44">
        <f>X2624*Settings!$C$13*(INDEX(X$407:X$418,$D2642)+INDEX(X$394:X$405,$D2642)+X2597*(1+$E2642))</f>
        <v/>
      </c>
      <c r="Y2642" s="44">
        <f>Y2624*Settings!$C$13*(INDEX(Y$407:Y$418,$D2642)+INDEX(Y$394:Y$405,$D2642)+Y2597*(1+$E2642))</f>
        <v/>
      </c>
      <c r="Z2642" s="44">
        <f>Z2624*Settings!$C$13*(INDEX(Z$407:Z$418,$D2642)+INDEX(Z$394:Z$405,$D2642)+Z2597*(1+$E2642))</f>
        <v/>
      </c>
      <c r="AA2642" s="44">
        <f>AA2624*Settings!$C$13*(INDEX(AA$407:AA$418,$D2642)+INDEX(AA$394:AA$405,$D2642)+AA2597*(1+$E2642))</f>
        <v/>
      </c>
      <c r="AB2642" s="44">
        <f>AB2624*Settings!$C$13*(INDEX(AB$407:AB$418,$D2642)+INDEX(AB$394:AB$405,$D2642)+AB2597*(1+$E2642))</f>
        <v/>
      </c>
      <c r="AC2642" s="44">
        <f>AC2624*Settings!$C$13*(INDEX(AC$407:AC$418,$D2642)+INDEX(AC$394:AC$405,$D2642)+AC2597*(1+$E2642))</f>
        <v/>
      </c>
      <c r="AD2642" s="44">
        <f>AD2624*Settings!$C$13*(INDEX(AD$407:AD$418,$D2642)+INDEX(AD$394:AD$405,$D2642)+AD2597*(1+$E2642))</f>
        <v/>
      </c>
      <c r="AE2642" s="57">
        <f>REVENUE(AE2624,Settings!$C$13,INDEX(AE$407:AE$418,$D2642)+INDEX(AE$394:AE$405,$D2642)+AE2597*(1+$E2642))</f>
        <v/>
      </c>
      <c r="AG2642" s="11">
        <f>CodePrefix&amp;$A2642&amp;IF($C2642="","","."&amp;$C2642&amp;"."&amp;$B2642)&amp;INDEX(VarEnd,MATCH($A2642,VarKey,0))&amp;AG$5</f>
        <v/>
      </c>
      <c r="AH2642" s="43">
        <f>AH2624*Settings!$C$13*(INDEX(AH$407:AH$418,$D2642)+INDEX(AH$394:AH$405,$D2642)+AH2597*(1+$E2642))</f>
        <v/>
      </c>
      <c r="AI2642" s="44">
        <f>AI2624*Settings!$C$13*(INDEX(AI$407:AI$418,$D2642)+INDEX(AI$394:AI$405,$D2642)+AI2597*(1+$E2642))</f>
        <v/>
      </c>
      <c r="AJ2642" s="44">
        <f>AJ2624*Settings!$C$13*(INDEX(AJ$407:AJ$418,$D2642)+INDEX(AJ$394:AJ$405,$D2642)+AJ2597*(1+$E2642))</f>
        <v/>
      </c>
      <c r="AK2642" s="44">
        <f>AK2624*Settings!$C$13*(INDEX(AK$407:AK$418,$D2642)+INDEX(AK$394:AK$405,$D2642)+AK2597*(1+$E2642))</f>
        <v/>
      </c>
      <c r="AL2642" s="44">
        <f>AL2624*Settings!$C$13*(INDEX(AL$407:AL$418,$D2642)+INDEX(AL$394:AL$405,$D2642)+AL2597*(1+$E2642))</f>
        <v/>
      </c>
      <c r="AM2642" s="44">
        <f>AM2624*Settings!$C$13*(INDEX(AM$407:AM$418,$D2642)+INDEX(AM$394:AM$405,$D2642)+AM2597*(1+$E2642))</f>
        <v/>
      </c>
      <c r="AN2642" s="44">
        <f>AN2624*Settings!$C$13*(INDEX(AN$407:AN$418,$D2642)+INDEX(AN$394:AN$405,$D2642)+AN2597*(1+$E2642))</f>
        <v/>
      </c>
      <c r="AO2642" s="44">
        <f>AO2624*Settings!$C$13*(INDEX(AO$407:AO$418,$D2642)+INDEX(AO$394:AO$405,$D2642)+AO2597*(1+$E2642))</f>
        <v/>
      </c>
      <c r="AP2642" s="44">
        <f>AP2624*Settings!$C$13*(INDEX(AP$407:AP$418,$D2642)+INDEX(AP$394:AP$405,$D2642)+AP2597*(1+$E2642))</f>
        <v/>
      </c>
      <c r="AQ2642" s="44">
        <f>AQ2624*Settings!$C$13*(INDEX(AQ$407:AQ$418,$D2642)+INDEX(AQ$394:AQ$405,$D2642)+AQ2597*(1+$E2642))</f>
        <v/>
      </c>
      <c r="AR2642" s="44">
        <f>AR2624*Settings!$C$13*(INDEX(AR$407:AR$418,$D2642)+INDEX(AR$394:AR$405,$D2642)+AR2597*(1+$E2642))</f>
        <v/>
      </c>
      <c r="AS2642" s="44">
        <f>AS2624*Settings!$C$13*(INDEX(AS$407:AS$418,$D2642)+INDEX(AS$394:AS$405,$D2642)+AS2597*(1+$E2642))</f>
        <v/>
      </c>
      <c r="AT2642" s="44">
        <f>AT2624*Settings!$C$13*(INDEX(AT$407:AT$418,$D2642)+INDEX(AT$394:AT$405,$D2642)+AT2597*(1+$E2642))</f>
        <v/>
      </c>
      <c r="AU2642" s="44">
        <f>AU2624*Settings!$C$13*(INDEX(AU$407:AU$418,$D2642)+INDEX(AU$394:AU$405,$D2642)+AU2597*(1+$E2642))</f>
        <v/>
      </c>
      <c r="AV2642" s="44">
        <f>AV2624*Settings!$C$13*(INDEX(AV$407:AV$418,$D2642)+INDEX(AV$394:AV$405,$D2642)+AV2597*(1+$E2642))</f>
        <v/>
      </c>
      <c r="AW2642" s="44">
        <f>AW2624*Settings!$C$13*(INDEX(AW$407:AW$418,$D2642)+INDEX(AW$394:AW$405,$D2642)+AW2597*(1+$E2642))</f>
        <v/>
      </c>
      <c r="AX2642" s="44">
        <f>AX2624*Settings!$C$13*(INDEX(AX$407:AX$418,$D2642)+INDEX(AX$394:AX$405,$D2642)+AX2597*(1+$E2642))</f>
        <v/>
      </c>
      <c r="AY2642" s="44">
        <f>AY2624*Settings!$C$13*(INDEX(AY$407:AY$418,$D2642)+INDEX(AY$394:AY$405,$D2642)+AY2597*(1+$E2642))</f>
        <v/>
      </c>
      <c r="AZ2642" s="44">
        <f>AZ2624*Settings!$C$13*(INDEX(AZ$407:AZ$418,$D2642)+INDEX(AZ$394:AZ$405,$D2642)+AZ2597*(1+$E2642))</f>
        <v/>
      </c>
      <c r="BA2642" s="57">
        <f>REVENUE(BA2624,Settings!$C$13,INDEX(BA$407:BA$418,$D2642)+INDEX(BA$394:BA$405,$D2642)+BA2597*(1+$E2642))</f>
        <v/>
      </c>
    </row>
    <row r="2643" hidden="1" outlineLevel="2">
      <c r="A2643" s="14" t="inlineStr">
        <is>
          <t>rtx</t>
        </is>
      </c>
      <c r="B2643" s="14" t="inlineStr">
        <is>
          <t>lpg</t>
        </is>
      </c>
      <c r="C2643" s="14" t="inlineStr">
        <is>
          <t>omn</t>
        </is>
      </c>
      <c r="D2643" s="35">
        <f>INDEX(Inputs!$U$5:$U$132,MATCH($B2643&amp;"|"&amp;$C2643,Inputs!$A$5:$A$132,0))</f>
        <v/>
      </c>
      <c r="E2643" s="35">
        <f>INDEX(Inputs!$V$5:$V$132,MATCH($B2643&amp;"|"&amp;$C2643,Inputs!$A$5:$A$132,0))</f>
        <v/>
      </c>
      <c r="F2643" s="39" t="n"/>
      <c r="G2643" s="39" t="n"/>
      <c r="H2643" s="14">
        <f>INDEX(VarLab,MATCH($A2643,VarKey,0))&amp;INDEX(MemLab,MATCH($C2643&amp;"|"&amp;$B2643,MemKey,0))</f>
        <v/>
      </c>
      <c r="I2643" s="14">
        <f>INDEX(VarUnit,MATCH($A2643,VarKey,0))</f>
        <v/>
      </c>
      <c r="J2643" s="14">
        <f>INDEX(VarSrc,MATCH($A2643,VarKey,0))</f>
        <v/>
      </c>
      <c r="K2643" s="11">
        <f>CodePrefix&amp;$A2643&amp;IF($C2643="","","."&amp;$C2643&amp;"."&amp;$B2643)&amp;INDEX(VarEnd,MATCH($A2643,VarKey,0))&amp;K$5</f>
        <v/>
      </c>
      <c r="L2643" s="43">
        <f>L2625*Settings!$C$13*(INDEX(L$407:L$418,$D2643)+INDEX(L$394:L$405,$D2643)+L2598*(1+$E2643))</f>
        <v/>
      </c>
      <c r="M2643" s="44">
        <f>M2625*Settings!$C$13*(INDEX(M$407:M$418,$D2643)+INDEX(M$394:M$405,$D2643)+M2598*(1+$E2643))</f>
        <v/>
      </c>
      <c r="N2643" s="44">
        <f>N2625*Settings!$C$13*(INDEX(N$407:N$418,$D2643)+INDEX(N$394:N$405,$D2643)+N2598*(1+$E2643))</f>
        <v/>
      </c>
      <c r="O2643" s="44">
        <f>O2625*Settings!$C$13*(INDEX(O$407:O$418,$D2643)+INDEX(O$394:O$405,$D2643)+O2598*(1+$E2643))</f>
        <v/>
      </c>
      <c r="P2643" s="44">
        <f>P2625*Settings!$C$13*(INDEX(P$407:P$418,$D2643)+INDEX(P$394:P$405,$D2643)+P2598*(1+$E2643))</f>
        <v/>
      </c>
      <c r="Q2643" s="44">
        <f>Q2625*Settings!$C$13*(INDEX(Q$407:Q$418,$D2643)+INDEX(Q$394:Q$405,$D2643)+Q2598*(1+$E2643))</f>
        <v/>
      </c>
      <c r="R2643" s="44">
        <f>R2625*Settings!$C$13*(INDEX(R$407:R$418,$D2643)+INDEX(R$394:R$405,$D2643)+R2598*(1+$E2643))</f>
        <v/>
      </c>
      <c r="S2643" s="44">
        <f>S2625*Settings!$C$13*(INDEX(S$407:S$418,$D2643)+INDEX(S$394:S$405,$D2643)+S2598*(1+$E2643))</f>
        <v/>
      </c>
      <c r="T2643" s="44">
        <f>T2625*Settings!$C$13*(INDEX(T$407:T$418,$D2643)+INDEX(T$394:T$405,$D2643)+T2598*(1+$E2643))</f>
        <v/>
      </c>
      <c r="U2643" s="44">
        <f>U2625*Settings!$C$13*(INDEX(U$407:U$418,$D2643)+INDEX(U$394:U$405,$D2643)+U2598*(1+$E2643))</f>
        <v/>
      </c>
      <c r="V2643" s="44">
        <f>V2625*Settings!$C$13*(INDEX(V$407:V$418,$D2643)+INDEX(V$394:V$405,$D2643)+V2598*(1+$E2643))</f>
        <v/>
      </c>
      <c r="W2643" s="44">
        <f>W2625*Settings!$C$13*(INDEX(W$407:W$418,$D2643)+INDEX(W$394:W$405,$D2643)+W2598*(1+$E2643))</f>
        <v/>
      </c>
      <c r="X2643" s="44">
        <f>X2625*Settings!$C$13*(INDEX(X$407:X$418,$D2643)+INDEX(X$394:X$405,$D2643)+X2598*(1+$E2643))</f>
        <v/>
      </c>
      <c r="Y2643" s="44">
        <f>Y2625*Settings!$C$13*(INDEX(Y$407:Y$418,$D2643)+INDEX(Y$394:Y$405,$D2643)+Y2598*(1+$E2643))</f>
        <v/>
      </c>
      <c r="Z2643" s="44">
        <f>Z2625*Settings!$C$13*(INDEX(Z$407:Z$418,$D2643)+INDEX(Z$394:Z$405,$D2643)+Z2598*(1+$E2643))</f>
        <v/>
      </c>
      <c r="AA2643" s="44">
        <f>AA2625*Settings!$C$13*(INDEX(AA$407:AA$418,$D2643)+INDEX(AA$394:AA$405,$D2643)+AA2598*(1+$E2643))</f>
        <v/>
      </c>
      <c r="AB2643" s="44">
        <f>AB2625*Settings!$C$13*(INDEX(AB$407:AB$418,$D2643)+INDEX(AB$394:AB$405,$D2643)+AB2598*(1+$E2643))</f>
        <v/>
      </c>
      <c r="AC2643" s="44">
        <f>AC2625*Settings!$C$13*(INDEX(AC$407:AC$418,$D2643)+INDEX(AC$394:AC$405,$D2643)+AC2598*(1+$E2643))</f>
        <v/>
      </c>
      <c r="AD2643" s="44">
        <f>AD2625*Settings!$C$13*(INDEX(AD$407:AD$418,$D2643)+INDEX(AD$394:AD$405,$D2643)+AD2598*(1+$E2643))</f>
        <v/>
      </c>
      <c r="AE2643" s="57">
        <f>REVENUE(AE2625,Settings!$C$13,INDEX(AE$407:AE$418,$D2643)+INDEX(AE$394:AE$405,$D2643)+AE2598*(1+$E2643))</f>
        <v/>
      </c>
      <c r="AG2643" s="11">
        <f>CodePrefix&amp;$A2643&amp;IF($C2643="","","."&amp;$C2643&amp;"."&amp;$B2643)&amp;INDEX(VarEnd,MATCH($A2643,VarKey,0))&amp;AG$5</f>
        <v/>
      </c>
      <c r="AH2643" s="43">
        <f>AH2625*Settings!$C$13*(INDEX(AH$407:AH$418,$D2643)+INDEX(AH$394:AH$405,$D2643)+AH2598*(1+$E2643))</f>
        <v/>
      </c>
      <c r="AI2643" s="44">
        <f>AI2625*Settings!$C$13*(INDEX(AI$407:AI$418,$D2643)+INDEX(AI$394:AI$405,$D2643)+AI2598*(1+$E2643))</f>
        <v/>
      </c>
      <c r="AJ2643" s="44">
        <f>AJ2625*Settings!$C$13*(INDEX(AJ$407:AJ$418,$D2643)+INDEX(AJ$394:AJ$405,$D2643)+AJ2598*(1+$E2643))</f>
        <v/>
      </c>
      <c r="AK2643" s="44">
        <f>AK2625*Settings!$C$13*(INDEX(AK$407:AK$418,$D2643)+INDEX(AK$394:AK$405,$D2643)+AK2598*(1+$E2643))</f>
        <v/>
      </c>
      <c r="AL2643" s="44">
        <f>AL2625*Settings!$C$13*(INDEX(AL$407:AL$418,$D2643)+INDEX(AL$394:AL$405,$D2643)+AL2598*(1+$E2643))</f>
        <v/>
      </c>
      <c r="AM2643" s="44">
        <f>AM2625*Settings!$C$13*(INDEX(AM$407:AM$418,$D2643)+INDEX(AM$394:AM$405,$D2643)+AM2598*(1+$E2643))</f>
        <v/>
      </c>
      <c r="AN2643" s="44">
        <f>AN2625*Settings!$C$13*(INDEX(AN$407:AN$418,$D2643)+INDEX(AN$394:AN$405,$D2643)+AN2598*(1+$E2643))</f>
        <v/>
      </c>
      <c r="AO2643" s="44">
        <f>AO2625*Settings!$C$13*(INDEX(AO$407:AO$418,$D2643)+INDEX(AO$394:AO$405,$D2643)+AO2598*(1+$E2643))</f>
        <v/>
      </c>
      <c r="AP2643" s="44">
        <f>AP2625*Settings!$C$13*(INDEX(AP$407:AP$418,$D2643)+INDEX(AP$394:AP$405,$D2643)+AP2598*(1+$E2643))</f>
        <v/>
      </c>
      <c r="AQ2643" s="44">
        <f>AQ2625*Settings!$C$13*(INDEX(AQ$407:AQ$418,$D2643)+INDEX(AQ$394:AQ$405,$D2643)+AQ2598*(1+$E2643))</f>
        <v/>
      </c>
      <c r="AR2643" s="44">
        <f>AR2625*Settings!$C$13*(INDEX(AR$407:AR$418,$D2643)+INDEX(AR$394:AR$405,$D2643)+AR2598*(1+$E2643))</f>
        <v/>
      </c>
      <c r="AS2643" s="44">
        <f>AS2625*Settings!$C$13*(INDEX(AS$407:AS$418,$D2643)+INDEX(AS$394:AS$405,$D2643)+AS2598*(1+$E2643))</f>
        <v/>
      </c>
      <c r="AT2643" s="44">
        <f>AT2625*Settings!$C$13*(INDEX(AT$407:AT$418,$D2643)+INDEX(AT$394:AT$405,$D2643)+AT2598*(1+$E2643))</f>
        <v/>
      </c>
      <c r="AU2643" s="44">
        <f>AU2625*Settings!$C$13*(INDEX(AU$407:AU$418,$D2643)+INDEX(AU$394:AU$405,$D2643)+AU2598*(1+$E2643))</f>
        <v/>
      </c>
      <c r="AV2643" s="44">
        <f>AV2625*Settings!$C$13*(INDEX(AV$407:AV$418,$D2643)+INDEX(AV$394:AV$405,$D2643)+AV2598*(1+$E2643))</f>
        <v/>
      </c>
      <c r="AW2643" s="44">
        <f>AW2625*Settings!$C$13*(INDEX(AW$407:AW$418,$D2643)+INDEX(AW$394:AW$405,$D2643)+AW2598*(1+$E2643))</f>
        <v/>
      </c>
      <c r="AX2643" s="44">
        <f>AX2625*Settings!$C$13*(INDEX(AX$407:AX$418,$D2643)+INDEX(AX$394:AX$405,$D2643)+AX2598*(1+$E2643))</f>
        <v/>
      </c>
      <c r="AY2643" s="44">
        <f>AY2625*Settings!$C$13*(INDEX(AY$407:AY$418,$D2643)+INDEX(AY$394:AY$405,$D2643)+AY2598*(1+$E2643))</f>
        <v/>
      </c>
      <c r="AZ2643" s="44">
        <f>AZ2625*Settings!$C$13*(INDEX(AZ$407:AZ$418,$D2643)+INDEX(AZ$394:AZ$405,$D2643)+AZ2598*(1+$E2643))</f>
        <v/>
      </c>
      <c r="BA2643" s="57">
        <f>REVENUE(BA2625,Settings!$C$13,INDEX(BA$407:BA$418,$D2643)+INDEX(BA$394:BA$405,$D2643)+BA2598*(1+$E2643))</f>
        <v/>
      </c>
    </row>
    <row r="2644" hidden="1" outlineLevel="2">
      <c r="A2644" s="14" t="inlineStr">
        <is>
          <t>rtx</t>
        </is>
      </c>
      <c r="B2644" s="14" t="inlineStr">
        <is>
          <t>ker</t>
        </is>
      </c>
      <c r="C2644" s="14" t="inlineStr">
        <is>
          <t>omn</t>
        </is>
      </c>
      <c r="D2644" s="35">
        <f>INDEX(Inputs!$U$5:$U$132,MATCH($B2644&amp;"|"&amp;$C2644,Inputs!$A$5:$A$132,0))</f>
        <v/>
      </c>
      <c r="E2644" s="35">
        <f>INDEX(Inputs!$V$5:$V$132,MATCH($B2644&amp;"|"&amp;$C2644,Inputs!$A$5:$A$132,0))</f>
        <v/>
      </c>
      <c r="F2644" s="39" t="n"/>
      <c r="G2644" s="39" t="n"/>
      <c r="H2644" s="14">
        <f>INDEX(VarLab,MATCH($A2644,VarKey,0))&amp;INDEX(MemLab,MATCH($C2644&amp;"|"&amp;$B2644,MemKey,0))</f>
        <v/>
      </c>
      <c r="I2644" s="14">
        <f>INDEX(VarUnit,MATCH($A2644,VarKey,0))</f>
        <v/>
      </c>
      <c r="J2644" s="14">
        <f>INDEX(VarSrc,MATCH($A2644,VarKey,0))</f>
        <v/>
      </c>
      <c r="K2644" s="11">
        <f>CodePrefix&amp;$A2644&amp;IF($C2644="","","."&amp;$C2644&amp;"."&amp;$B2644)&amp;INDEX(VarEnd,MATCH($A2644,VarKey,0))&amp;K$5</f>
        <v/>
      </c>
      <c r="L2644" s="43">
        <f>L2626*Settings!$C$13*(INDEX(L$407:L$418,$D2644)+INDEX(L$394:L$405,$D2644)+L2599*(1+$E2644))</f>
        <v/>
      </c>
      <c r="M2644" s="44">
        <f>M2626*Settings!$C$13*(INDEX(M$407:M$418,$D2644)+INDEX(M$394:M$405,$D2644)+M2599*(1+$E2644))</f>
        <v/>
      </c>
      <c r="N2644" s="44">
        <f>N2626*Settings!$C$13*(INDEX(N$407:N$418,$D2644)+INDEX(N$394:N$405,$D2644)+N2599*(1+$E2644))</f>
        <v/>
      </c>
      <c r="O2644" s="44">
        <f>O2626*Settings!$C$13*(INDEX(O$407:O$418,$D2644)+INDEX(O$394:O$405,$D2644)+O2599*(1+$E2644))</f>
        <v/>
      </c>
      <c r="P2644" s="44">
        <f>P2626*Settings!$C$13*(INDEX(P$407:P$418,$D2644)+INDEX(P$394:P$405,$D2644)+P2599*(1+$E2644))</f>
        <v/>
      </c>
      <c r="Q2644" s="44">
        <f>Q2626*Settings!$C$13*(INDEX(Q$407:Q$418,$D2644)+INDEX(Q$394:Q$405,$D2644)+Q2599*(1+$E2644))</f>
        <v/>
      </c>
      <c r="R2644" s="44">
        <f>R2626*Settings!$C$13*(INDEX(R$407:R$418,$D2644)+INDEX(R$394:R$405,$D2644)+R2599*(1+$E2644))</f>
        <v/>
      </c>
      <c r="S2644" s="44">
        <f>S2626*Settings!$C$13*(INDEX(S$407:S$418,$D2644)+INDEX(S$394:S$405,$D2644)+S2599*(1+$E2644))</f>
        <v/>
      </c>
      <c r="T2644" s="44">
        <f>T2626*Settings!$C$13*(INDEX(T$407:T$418,$D2644)+INDEX(T$394:T$405,$D2644)+T2599*(1+$E2644))</f>
        <v/>
      </c>
      <c r="U2644" s="44">
        <f>U2626*Settings!$C$13*(INDEX(U$407:U$418,$D2644)+INDEX(U$394:U$405,$D2644)+U2599*(1+$E2644))</f>
        <v/>
      </c>
      <c r="V2644" s="44">
        <f>V2626*Settings!$C$13*(INDEX(V$407:V$418,$D2644)+INDEX(V$394:V$405,$D2644)+V2599*(1+$E2644))</f>
        <v/>
      </c>
      <c r="W2644" s="44">
        <f>W2626*Settings!$C$13*(INDEX(W$407:W$418,$D2644)+INDEX(W$394:W$405,$D2644)+W2599*(1+$E2644))</f>
        <v/>
      </c>
      <c r="X2644" s="44">
        <f>X2626*Settings!$C$13*(INDEX(X$407:X$418,$D2644)+INDEX(X$394:X$405,$D2644)+X2599*(1+$E2644))</f>
        <v/>
      </c>
      <c r="Y2644" s="44">
        <f>Y2626*Settings!$C$13*(INDEX(Y$407:Y$418,$D2644)+INDEX(Y$394:Y$405,$D2644)+Y2599*(1+$E2644))</f>
        <v/>
      </c>
      <c r="Z2644" s="44">
        <f>Z2626*Settings!$C$13*(INDEX(Z$407:Z$418,$D2644)+INDEX(Z$394:Z$405,$D2644)+Z2599*(1+$E2644))</f>
        <v/>
      </c>
      <c r="AA2644" s="44">
        <f>AA2626*Settings!$C$13*(INDEX(AA$407:AA$418,$D2644)+INDEX(AA$394:AA$405,$D2644)+AA2599*(1+$E2644))</f>
        <v/>
      </c>
      <c r="AB2644" s="44">
        <f>AB2626*Settings!$C$13*(INDEX(AB$407:AB$418,$D2644)+INDEX(AB$394:AB$405,$D2644)+AB2599*(1+$E2644))</f>
        <v/>
      </c>
      <c r="AC2644" s="44">
        <f>AC2626*Settings!$C$13*(INDEX(AC$407:AC$418,$D2644)+INDEX(AC$394:AC$405,$D2644)+AC2599*(1+$E2644))</f>
        <v/>
      </c>
      <c r="AD2644" s="44">
        <f>AD2626*Settings!$C$13*(INDEX(AD$407:AD$418,$D2644)+INDEX(AD$394:AD$405,$D2644)+AD2599*(1+$E2644))</f>
        <v/>
      </c>
      <c r="AE2644" s="57">
        <f>REVENUE(AE2626,Settings!$C$13,INDEX(AE$407:AE$418,$D2644)+INDEX(AE$394:AE$405,$D2644)+AE2599*(1+$E2644))</f>
        <v/>
      </c>
      <c r="AG2644" s="11">
        <f>CodePrefix&amp;$A2644&amp;IF($C2644="","","."&amp;$C2644&amp;"."&amp;$B2644)&amp;INDEX(VarEnd,MATCH($A2644,VarKey,0))&amp;AG$5</f>
        <v/>
      </c>
      <c r="AH2644" s="43">
        <f>AH2626*Settings!$C$13*(INDEX(AH$407:AH$418,$D2644)+INDEX(AH$394:AH$405,$D2644)+AH2599*(1+$E2644))</f>
        <v/>
      </c>
      <c r="AI2644" s="44">
        <f>AI2626*Settings!$C$13*(INDEX(AI$407:AI$418,$D2644)+INDEX(AI$394:AI$405,$D2644)+AI2599*(1+$E2644))</f>
        <v/>
      </c>
      <c r="AJ2644" s="44">
        <f>AJ2626*Settings!$C$13*(INDEX(AJ$407:AJ$418,$D2644)+INDEX(AJ$394:AJ$405,$D2644)+AJ2599*(1+$E2644))</f>
        <v/>
      </c>
      <c r="AK2644" s="44">
        <f>AK2626*Settings!$C$13*(INDEX(AK$407:AK$418,$D2644)+INDEX(AK$394:AK$405,$D2644)+AK2599*(1+$E2644))</f>
        <v/>
      </c>
      <c r="AL2644" s="44">
        <f>AL2626*Settings!$C$13*(INDEX(AL$407:AL$418,$D2644)+INDEX(AL$394:AL$405,$D2644)+AL2599*(1+$E2644))</f>
        <v/>
      </c>
      <c r="AM2644" s="44">
        <f>AM2626*Settings!$C$13*(INDEX(AM$407:AM$418,$D2644)+INDEX(AM$394:AM$405,$D2644)+AM2599*(1+$E2644))</f>
        <v/>
      </c>
      <c r="AN2644" s="44">
        <f>AN2626*Settings!$C$13*(INDEX(AN$407:AN$418,$D2644)+INDEX(AN$394:AN$405,$D2644)+AN2599*(1+$E2644))</f>
        <v/>
      </c>
      <c r="AO2644" s="44">
        <f>AO2626*Settings!$C$13*(INDEX(AO$407:AO$418,$D2644)+INDEX(AO$394:AO$405,$D2644)+AO2599*(1+$E2644))</f>
        <v/>
      </c>
      <c r="AP2644" s="44">
        <f>AP2626*Settings!$C$13*(INDEX(AP$407:AP$418,$D2644)+INDEX(AP$394:AP$405,$D2644)+AP2599*(1+$E2644))</f>
        <v/>
      </c>
      <c r="AQ2644" s="44">
        <f>AQ2626*Settings!$C$13*(INDEX(AQ$407:AQ$418,$D2644)+INDEX(AQ$394:AQ$405,$D2644)+AQ2599*(1+$E2644))</f>
        <v/>
      </c>
      <c r="AR2644" s="44">
        <f>AR2626*Settings!$C$13*(INDEX(AR$407:AR$418,$D2644)+INDEX(AR$394:AR$405,$D2644)+AR2599*(1+$E2644))</f>
        <v/>
      </c>
      <c r="AS2644" s="44">
        <f>AS2626*Settings!$C$13*(INDEX(AS$407:AS$418,$D2644)+INDEX(AS$394:AS$405,$D2644)+AS2599*(1+$E2644))</f>
        <v/>
      </c>
      <c r="AT2644" s="44">
        <f>AT2626*Settings!$C$13*(INDEX(AT$407:AT$418,$D2644)+INDEX(AT$394:AT$405,$D2644)+AT2599*(1+$E2644))</f>
        <v/>
      </c>
      <c r="AU2644" s="44">
        <f>AU2626*Settings!$C$13*(INDEX(AU$407:AU$418,$D2644)+INDEX(AU$394:AU$405,$D2644)+AU2599*(1+$E2644))</f>
        <v/>
      </c>
      <c r="AV2644" s="44">
        <f>AV2626*Settings!$C$13*(INDEX(AV$407:AV$418,$D2644)+INDEX(AV$394:AV$405,$D2644)+AV2599*(1+$E2644))</f>
        <v/>
      </c>
      <c r="AW2644" s="44">
        <f>AW2626*Settings!$C$13*(INDEX(AW$407:AW$418,$D2644)+INDEX(AW$394:AW$405,$D2644)+AW2599*(1+$E2644))</f>
        <v/>
      </c>
      <c r="AX2644" s="44">
        <f>AX2626*Settings!$C$13*(INDEX(AX$407:AX$418,$D2644)+INDEX(AX$394:AX$405,$D2644)+AX2599*(1+$E2644))</f>
        <v/>
      </c>
      <c r="AY2644" s="44">
        <f>AY2626*Settings!$C$13*(INDEX(AY$407:AY$418,$D2644)+INDEX(AY$394:AY$405,$D2644)+AY2599*(1+$E2644))</f>
        <v/>
      </c>
      <c r="AZ2644" s="44">
        <f>AZ2626*Settings!$C$13*(INDEX(AZ$407:AZ$418,$D2644)+INDEX(AZ$394:AZ$405,$D2644)+AZ2599*(1+$E2644))</f>
        <v/>
      </c>
      <c r="BA2644" s="57">
        <f>REVENUE(BA2626,Settings!$C$13,INDEX(BA$407:BA$418,$D2644)+INDEX(BA$394:BA$405,$D2644)+BA2599*(1+$E2644))</f>
        <v/>
      </c>
    </row>
    <row r="2645" hidden="1" outlineLevel="2">
      <c r="A2645" s="14" t="inlineStr">
        <is>
          <t>rtx</t>
        </is>
      </c>
      <c r="B2645" s="14" t="inlineStr">
        <is>
          <t>oop</t>
        </is>
      </c>
      <c r="C2645" s="14" t="inlineStr">
        <is>
          <t>omn</t>
        </is>
      </c>
      <c r="D2645" s="35">
        <f>INDEX(Inputs!$U$5:$U$132,MATCH($B2645&amp;"|"&amp;$C2645,Inputs!$A$5:$A$132,0))</f>
        <v/>
      </c>
      <c r="E2645" s="35">
        <f>INDEX(Inputs!$V$5:$V$132,MATCH($B2645&amp;"|"&amp;$C2645,Inputs!$A$5:$A$132,0))</f>
        <v/>
      </c>
      <c r="F2645" s="39" t="n"/>
      <c r="G2645" s="39" t="n"/>
      <c r="H2645" s="14">
        <f>INDEX(VarLab,MATCH($A2645,VarKey,0))&amp;INDEX(MemLab,MATCH($C2645&amp;"|"&amp;$B2645,MemKey,0))</f>
        <v/>
      </c>
      <c r="I2645" s="14">
        <f>INDEX(VarUnit,MATCH($A2645,VarKey,0))</f>
        <v/>
      </c>
      <c r="J2645" s="14">
        <f>INDEX(VarSrc,MATCH($A2645,VarKey,0))</f>
        <v/>
      </c>
      <c r="K2645" s="11">
        <f>CodePrefix&amp;$A2645&amp;IF($C2645="","","."&amp;$C2645&amp;"."&amp;$B2645)&amp;INDEX(VarEnd,MATCH($A2645,VarKey,0))&amp;K$5</f>
        <v/>
      </c>
      <c r="L2645" s="43">
        <f>L2627*Settings!$C$13*(INDEX(L$407:L$418,$D2645)+INDEX(L$394:L$405,$D2645)+L2600*(1+$E2645))</f>
        <v/>
      </c>
      <c r="M2645" s="44">
        <f>M2627*Settings!$C$13*(INDEX(M$407:M$418,$D2645)+INDEX(M$394:M$405,$D2645)+M2600*(1+$E2645))</f>
        <v/>
      </c>
      <c r="N2645" s="44">
        <f>N2627*Settings!$C$13*(INDEX(N$407:N$418,$D2645)+INDEX(N$394:N$405,$D2645)+N2600*(1+$E2645))</f>
        <v/>
      </c>
      <c r="O2645" s="44">
        <f>O2627*Settings!$C$13*(INDEX(O$407:O$418,$D2645)+INDEX(O$394:O$405,$D2645)+O2600*(1+$E2645))</f>
        <v/>
      </c>
      <c r="P2645" s="44">
        <f>P2627*Settings!$C$13*(INDEX(P$407:P$418,$D2645)+INDEX(P$394:P$405,$D2645)+P2600*(1+$E2645))</f>
        <v/>
      </c>
      <c r="Q2645" s="44">
        <f>Q2627*Settings!$C$13*(INDEX(Q$407:Q$418,$D2645)+INDEX(Q$394:Q$405,$D2645)+Q2600*(1+$E2645))</f>
        <v/>
      </c>
      <c r="R2645" s="44">
        <f>R2627*Settings!$C$13*(INDEX(R$407:R$418,$D2645)+INDEX(R$394:R$405,$D2645)+R2600*(1+$E2645))</f>
        <v/>
      </c>
      <c r="S2645" s="44">
        <f>S2627*Settings!$C$13*(INDEX(S$407:S$418,$D2645)+INDEX(S$394:S$405,$D2645)+S2600*(1+$E2645))</f>
        <v/>
      </c>
      <c r="T2645" s="44">
        <f>T2627*Settings!$C$13*(INDEX(T$407:T$418,$D2645)+INDEX(T$394:T$405,$D2645)+T2600*(1+$E2645))</f>
        <v/>
      </c>
      <c r="U2645" s="44">
        <f>U2627*Settings!$C$13*(INDEX(U$407:U$418,$D2645)+INDEX(U$394:U$405,$D2645)+U2600*(1+$E2645))</f>
        <v/>
      </c>
      <c r="V2645" s="44">
        <f>V2627*Settings!$C$13*(INDEX(V$407:V$418,$D2645)+INDEX(V$394:V$405,$D2645)+V2600*(1+$E2645))</f>
        <v/>
      </c>
      <c r="W2645" s="44">
        <f>W2627*Settings!$C$13*(INDEX(W$407:W$418,$D2645)+INDEX(W$394:W$405,$D2645)+W2600*(1+$E2645))</f>
        <v/>
      </c>
      <c r="X2645" s="44">
        <f>X2627*Settings!$C$13*(INDEX(X$407:X$418,$D2645)+INDEX(X$394:X$405,$D2645)+X2600*(1+$E2645))</f>
        <v/>
      </c>
      <c r="Y2645" s="44">
        <f>Y2627*Settings!$C$13*(INDEX(Y$407:Y$418,$D2645)+INDEX(Y$394:Y$405,$D2645)+Y2600*(1+$E2645))</f>
        <v/>
      </c>
      <c r="Z2645" s="44">
        <f>Z2627*Settings!$C$13*(INDEX(Z$407:Z$418,$D2645)+INDEX(Z$394:Z$405,$D2645)+Z2600*(1+$E2645))</f>
        <v/>
      </c>
      <c r="AA2645" s="44">
        <f>AA2627*Settings!$C$13*(INDEX(AA$407:AA$418,$D2645)+INDEX(AA$394:AA$405,$D2645)+AA2600*(1+$E2645))</f>
        <v/>
      </c>
      <c r="AB2645" s="44">
        <f>AB2627*Settings!$C$13*(INDEX(AB$407:AB$418,$D2645)+INDEX(AB$394:AB$405,$D2645)+AB2600*(1+$E2645))</f>
        <v/>
      </c>
      <c r="AC2645" s="44">
        <f>AC2627*Settings!$C$13*(INDEX(AC$407:AC$418,$D2645)+INDEX(AC$394:AC$405,$D2645)+AC2600*(1+$E2645))</f>
        <v/>
      </c>
      <c r="AD2645" s="44">
        <f>AD2627*Settings!$C$13*(INDEX(AD$407:AD$418,$D2645)+INDEX(AD$394:AD$405,$D2645)+AD2600*(1+$E2645))</f>
        <v/>
      </c>
      <c r="AE2645" s="57">
        <f>REVENUE(AE2627,Settings!$C$13,INDEX(AE$407:AE$418,$D2645)+INDEX(AE$394:AE$405,$D2645)+AE2600*(1+$E2645))</f>
        <v/>
      </c>
      <c r="AG2645" s="11">
        <f>CodePrefix&amp;$A2645&amp;IF($C2645="","","."&amp;$C2645&amp;"."&amp;$B2645)&amp;INDEX(VarEnd,MATCH($A2645,VarKey,0))&amp;AG$5</f>
        <v/>
      </c>
      <c r="AH2645" s="43">
        <f>AH2627*Settings!$C$13*(INDEX(AH$407:AH$418,$D2645)+INDEX(AH$394:AH$405,$D2645)+AH2600*(1+$E2645))</f>
        <v/>
      </c>
      <c r="AI2645" s="44">
        <f>AI2627*Settings!$C$13*(INDEX(AI$407:AI$418,$D2645)+INDEX(AI$394:AI$405,$D2645)+AI2600*(1+$E2645))</f>
        <v/>
      </c>
      <c r="AJ2645" s="44">
        <f>AJ2627*Settings!$C$13*(INDEX(AJ$407:AJ$418,$D2645)+INDEX(AJ$394:AJ$405,$D2645)+AJ2600*(1+$E2645))</f>
        <v/>
      </c>
      <c r="AK2645" s="44">
        <f>AK2627*Settings!$C$13*(INDEX(AK$407:AK$418,$D2645)+INDEX(AK$394:AK$405,$D2645)+AK2600*(1+$E2645))</f>
        <v/>
      </c>
      <c r="AL2645" s="44">
        <f>AL2627*Settings!$C$13*(INDEX(AL$407:AL$418,$D2645)+INDEX(AL$394:AL$405,$D2645)+AL2600*(1+$E2645))</f>
        <v/>
      </c>
      <c r="AM2645" s="44">
        <f>AM2627*Settings!$C$13*(INDEX(AM$407:AM$418,$D2645)+INDEX(AM$394:AM$405,$D2645)+AM2600*(1+$E2645))</f>
        <v/>
      </c>
      <c r="AN2645" s="44">
        <f>AN2627*Settings!$C$13*(INDEX(AN$407:AN$418,$D2645)+INDEX(AN$394:AN$405,$D2645)+AN2600*(1+$E2645))</f>
        <v/>
      </c>
      <c r="AO2645" s="44">
        <f>AO2627*Settings!$C$13*(INDEX(AO$407:AO$418,$D2645)+INDEX(AO$394:AO$405,$D2645)+AO2600*(1+$E2645))</f>
        <v/>
      </c>
      <c r="AP2645" s="44">
        <f>AP2627*Settings!$C$13*(INDEX(AP$407:AP$418,$D2645)+INDEX(AP$394:AP$405,$D2645)+AP2600*(1+$E2645))</f>
        <v/>
      </c>
      <c r="AQ2645" s="44">
        <f>AQ2627*Settings!$C$13*(INDEX(AQ$407:AQ$418,$D2645)+INDEX(AQ$394:AQ$405,$D2645)+AQ2600*(1+$E2645))</f>
        <v/>
      </c>
      <c r="AR2645" s="44">
        <f>AR2627*Settings!$C$13*(INDEX(AR$407:AR$418,$D2645)+INDEX(AR$394:AR$405,$D2645)+AR2600*(1+$E2645))</f>
        <v/>
      </c>
      <c r="AS2645" s="44">
        <f>AS2627*Settings!$C$13*(INDEX(AS$407:AS$418,$D2645)+INDEX(AS$394:AS$405,$D2645)+AS2600*(1+$E2645))</f>
        <v/>
      </c>
      <c r="AT2645" s="44">
        <f>AT2627*Settings!$C$13*(INDEX(AT$407:AT$418,$D2645)+INDEX(AT$394:AT$405,$D2645)+AT2600*(1+$E2645))</f>
        <v/>
      </c>
      <c r="AU2645" s="44">
        <f>AU2627*Settings!$C$13*(INDEX(AU$407:AU$418,$D2645)+INDEX(AU$394:AU$405,$D2645)+AU2600*(1+$E2645))</f>
        <v/>
      </c>
      <c r="AV2645" s="44">
        <f>AV2627*Settings!$C$13*(INDEX(AV$407:AV$418,$D2645)+INDEX(AV$394:AV$405,$D2645)+AV2600*(1+$E2645))</f>
        <v/>
      </c>
      <c r="AW2645" s="44">
        <f>AW2627*Settings!$C$13*(INDEX(AW$407:AW$418,$D2645)+INDEX(AW$394:AW$405,$D2645)+AW2600*(1+$E2645))</f>
        <v/>
      </c>
      <c r="AX2645" s="44">
        <f>AX2627*Settings!$C$13*(INDEX(AX$407:AX$418,$D2645)+INDEX(AX$394:AX$405,$D2645)+AX2600*(1+$E2645))</f>
        <v/>
      </c>
      <c r="AY2645" s="44">
        <f>AY2627*Settings!$C$13*(INDEX(AY$407:AY$418,$D2645)+INDEX(AY$394:AY$405,$D2645)+AY2600*(1+$E2645))</f>
        <v/>
      </c>
      <c r="AZ2645" s="44">
        <f>AZ2627*Settings!$C$13*(INDEX(AZ$407:AZ$418,$D2645)+INDEX(AZ$394:AZ$405,$D2645)+AZ2600*(1+$E2645))</f>
        <v/>
      </c>
      <c r="BA2645" s="57">
        <f>REVENUE(BA2627,Settings!$C$13,INDEX(BA$407:BA$418,$D2645)+INDEX(BA$394:BA$405,$D2645)+BA2600*(1+$E2645))</f>
        <v/>
      </c>
    </row>
    <row r="2646" hidden="1" outlineLevel="2">
      <c r="A2646" s="14" t="inlineStr">
        <is>
          <t>rtx</t>
        </is>
      </c>
      <c r="B2646" s="14" t="inlineStr">
        <is>
          <t>bio</t>
        </is>
      </c>
      <c r="C2646" s="14" t="inlineStr">
        <is>
          <t>omn</t>
        </is>
      </c>
      <c r="D2646" s="35">
        <f>INDEX(Inputs!$U$5:$U$132,MATCH($B2646&amp;"|"&amp;$C2646,Inputs!$A$5:$A$132,0))</f>
        <v/>
      </c>
      <c r="E2646" s="35">
        <f>INDEX(Inputs!$V$5:$V$132,MATCH($B2646&amp;"|"&amp;$C2646,Inputs!$A$5:$A$132,0))</f>
        <v/>
      </c>
      <c r="F2646" s="39" t="n"/>
      <c r="G2646" s="39" t="n"/>
      <c r="H2646" s="14">
        <f>INDEX(VarLab,MATCH($A2646,VarKey,0))&amp;INDEX(MemLab,MATCH($C2646&amp;"|"&amp;$B2646,MemKey,0))</f>
        <v/>
      </c>
      <c r="I2646" s="14">
        <f>INDEX(VarUnit,MATCH($A2646,VarKey,0))</f>
        <v/>
      </c>
      <c r="J2646" s="14">
        <f>INDEX(VarSrc,MATCH($A2646,VarKey,0))</f>
        <v/>
      </c>
      <c r="K2646" s="11">
        <f>CodePrefix&amp;$A2646&amp;IF($C2646="","","."&amp;$C2646&amp;"."&amp;$B2646)&amp;INDEX(VarEnd,MATCH($A2646,VarKey,0))&amp;K$5</f>
        <v/>
      </c>
      <c r="L2646" s="43">
        <f>L2628*Settings!$C$13*(INDEX(L$407:L$418,$D2646)+INDEX(L$394:L$405,$D2646)+L2601*(1+$E2646))</f>
        <v/>
      </c>
      <c r="M2646" s="44">
        <f>M2628*Settings!$C$13*(INDEX(M$407:M$418,$D2646)+INDEX(M$394:M$405,$D2646)+M2601*(1+$E2646))</f>
        <v/>
      </c>
      <c r="N2646" s="44">
        <f>N2628*Settings!$C$13*(INDEX(N$407:N$418,$D2646)+INDEX(N$394:N$405,$D2646)+N2601*(1+$E2646))</f>
        <v/>
      </c>
      <c r="O2646" s="44">
        <f>O2628*Settings!$C$13*(INDEX(O$407:O$418,$D2646)+INDEX(O$394:O$405,$D2646)+O2601*(1+$E2646))</f>
        <v/>
      </c>
      <c r="P2646" s="44">
        <f>P2628*Settings!$C$13*(INDEX(P$407:P$418,$D2646)+INDEX(P$394:P$405,$D2646)+P2601*(1+$E2646))</f>
        <v/>
      </c>
      <c r="Q2646" s="44">
        <f>Q2628*Settings!$C$13*(INDEX(Q$407:Q$418,$D2646)+INDEX(Q$394:Q$405,$D2646)+Q2601*(1+$E2646))</f>
        <v/>
      </c>
      <c r="R2646" s="44">
        <f>R2628*Settings!$C$13*(INDEX(R$407:R$418,$D2646)+INDEX(R$394:R$405,$D2646)+R2601*(1+$E2646))</f>
        <v/>
      </c>
      <c r="S2646" s="44">
        <f>S2628*Settings!$C$13*(INDEX(S$407:S$418,$D2646)+INDEX(S$394:S$405,$D2646)+S2601*(1+$E2646))</f>
        <v/>
      </c>
      <c r="T2646" s="44">
        <f>T2628*Settings!$C$13*(INDEX(T$407:T$418,$D2646)+INDEX(T$394:T$405,$D2646)+T2601*(1+$E2646))</f>
        <v/>
      </c>
      <c r="U2646" s="44">
        <f>U2628*Settings!$C$13*(INDEX(U$407:U$418,$D2646)+INDEX(U$394:U$405,$D2646)+U2601*(1+$E2646))</f>
        <v/>
      </c>
      <c r="V2646" s="44">
        <f>V2628*Settings!$C$13*(INDEX(V$407:V$418,$D2646)+INDEX(V$394:V$405,$D2646)+V2601*(1+$E2646))</f>
        <v/>
      </c>
      <c r="W2646" s="44">
        <f>W2628*Settings!$C$13*(INDEX(W$407:W$418,$D2646)+INDEX(W$394:W$405,$D2646)+W2601*(1+$E2646))</f>
        <v/>
      </c>
      <c r="X2646" s="44">
        <f>X2628*Settings!$C$13*(INDEX(X$407:X$418,$D2646)+INDEX(X$394:X$405,$D2646)+X2601*(1+$E2646))</f>
        <v/>
      </c>
      <c r="Y2646" s="44">
        <f>Y2628*Settings!$C$13*(INDEX(Y$407:Y$418,$D2646)+INDEX(Y$394:Y$405,$D2646)+Y2601*(1+$E2646))</f>
        <v/>
      </c>
      <c r="Z2646" s="44">
        <f>Z2628*Settings!$C$13*(INDEX(Z$407:Z$418,$D2646)+INDEX(Z$394:Z$405,$D2646)+Z2601*(1+$E2646))</f>
        <v/>
      </c>
      <c r="AA2646" s="44">
        <f>AA2628*Settings!$C$13*(INDEX(AA$407:AA$418,$D2646)+INDEX(AA$394:AA$405,$D2646)+AA2601*(1+$E2646))</f>
        <v/>
      </c>
      <c r="AB2646" s="44">
        <f>AB2628*Settings!$C$13*(INDEX(AB$407:AB$418,$D2646)+INDEX(AB$394:AB$405,$D2646)+AB2601*(1+$E2646))</f>
        <v/>
      </c>
      <c r="AC2646" s="44">
        <f>AC2628*Settings!$C$13*(INDEX(AC$407:AC$418,$D2646)+INDEX(AC$394:AC$405,$D2646)+AC2601*(1+$E2646))</f>
        <v/>
      </c>
      <c r="AD2646" s="44">
        <f>AD2628*Settings!$C$13*(INDEX(AD$407:AD$418,$D2646)+INDEX(AD$394:AD$405,$D2646)+AD2601*(1+$E2646))</f>
        <v/>
      </c>
      <c r="AE2646" s="57">
        <f>REVENUE(AE2628,Settings!$C$13,INDEX(AE$407:AE$418,$D2646)+INDEX(AE$394:AE$405,$D2646)+AE2601*(1+$E2646))</f>
        <v/>
      </c>
      <c r="AG2646" s="11">
        <f>CodePrefix&amp;$A2646&amp;IF($C2646="","","."&amp;$C2646&amp;"."&amp;$B2646)&amp;INDEX(VarEnd,MATCH($A2646,VarKey,0))&amp;AG$5</f>
        <v/>
      </c>
      <c r="AH2646" s="43">
        <f>AH2628*Settings!$C$13*(INDEX(AH$407:AH$418,$D2646)+INDEX(AH$394:AH$405,$D2646)+AH2601*(1+$E2646))</f>
        <v/>
      </c>
      <c r="AI2646" s="44">
        <f>AI2628*Settings!$C$13*(INDEX(AI$407:AI$418,$D2646)+INDEX(AI$394:AI$405,$D2646)+AI2601*(1+$E2646))</f>
        <v/>
      </c>
      <c r="AJ2646" s="44">
        <f>AJ2628*Settings!$C$13*(INDEX(AJ$407:AJ$418,$D2646)+INDEX(AJ$394:AJ$405,$D2646)+AJ2601*(1+$E2646))</f>
        <v/>
      </c>
      <c r="AK2646" s="44">
        <f>AK2628*Settings!$C$13*(INDEX(AK$407:AK$418,$D2646)+INDEX(AK$394:AK$405,$D2646)+AK2601*(1+$E2646))</f>
        <v/>
      </c>
      <c r="AL2646" s="44">
        <f>AL2628*Settings!$C$13*(INDEX(AL$407:AL$418,$D2646)+INDEX(AL$394:AL$405,$D2646)+AL2601*(1+$E2646))</f>
        <v/>
      </c>
      <c r="AM2646" s="44">
        <f>AM2628*Settings!$C$13*(INDEX(AM$407:AM$418,$D2646)+INDEX(AM$394:AM$405,$D2646)+AM2601*(1+$E2646))</f>
        <v/>
      </c>
      <c r="AN2646" s="44">
        <f>AN2628*Settings!$C$13*(INDEX(AN$407:AN$418,$D2646)+INDEX(AN$394:AN$405,$D2646)+AN2601*(1+$E2646))</f>
        <v/>
      </c>
      <c r="AO2646" s="44">
        <f>AO2628*Settings!$C$13*(INDEX(AO$407:AO$418,$D2646)+INDEX(AO$394:AO$405,$D2646)+AO2601*(1+$E2646))</f>
        <v/>
      </c>
      <c r="AP2646" s="44">
        <f>AP2628*Settings!$C$13*(INDEX(AP$407:AP$418,$D2646)+INDEX(AP$394:AP$405,$D2646)+AP2601*(1+$E2646))</f>
        <v/>
      </c>
      <c r="AQ2646" s="44">
        <f>AQ2628*Settings!$C$13*(INDEX(AQ$407:AQ$418,$D2646)+INDEX(AQ$394:AQ$405,$D2646)+AQ2601*(1+$E2646))</f>
        <v/>
      </c>
      <c r="AR2646" s="44">
        <f>AR2628*Settings!$C$13*(INDEX(AR$407:AR$418,$D2646)+INDEX(AR$394:AR$405,$D2646)+AR2601*(1+$E2646))</f>
        <v/>
      </c>
      <c r="AS2646" s="44">
        <f>AS2628*Settings!$C$13*(INDEX(AS$407:AS$418,$D2646)+INDEX(AS$394:AS$405,$D2646)+AS2601*(1+$E2646))</f>
        <v/>
      </c>
      <c r="AT2646" s="44">
        <f>AT2628*Settings!$C$13*(INDEX(AT$407:AT$418,$D2646)+INDEX(AT$394:AT$405,$D2646)+AT2601*(1+$E2646))</f>
        <v/>
      </c>
      <c r="AU2646" s="44">
        <f>AU2628*Settings!$C$13*(INDEX(AU$407:AU$418,$D2646)+INDEX(AU$394:AU$405,$D2646)+AU2601*(1+$E2646))</f>
        <v/>
      </c>
      <c r="AV2646" s="44">
        <f>AV2628*Settings!$C$13*(INDEX(AV$407:AV$418,$D2646)+INDEX(AV$394:AV$405,$D2646)+AV2601*(1+$E2646))</f>
        <v/>
      </c>
      <c r="AW2646" s="44">
        <f>AW2628*Settings!$C$13*(INDEX(AW$407:AW$418,$D2646)+INDEX(AW$394:AW$405,$D2646)+AW2601*(1+$E2646))</f>
        <v/>
      </c>
      <c r="AX2646" s="44">
        <f>AX2628*Settings!$C$13*(INDEX(AX$407:AX$418,$D2646)+INDEX(AX$394:AX$405,$D2646)+AX2601*(1+$E2646))</f>
        <v/>
      </c>
      <c r="AY2646" s="44">
        <f>AY2628*Settings!$C$13*(INDEX(AY$407:AY$418,$D2646)+INDEX(AY$394:AY$405,$D2646)+AY2601*(1+$E2646))</f>
        <v/>
      </c>
      <c r="AZ2646" s="44">
        <f>AZ2628*Settings!$C$13*(INDEX(AZ$407:AZ$418,$D2646)+INDEX(AZ$394:AZ$405,$D2646)+AZ2601*(1+$E2646))</f>
        <v/>
      </c>
      <c r="BA2646" s="57">
        <f>REVENUE(BA2628,Settings!$C$13,INDEX(BA$407:BA$418,$D2646)+INDEX(BA$394:BA$405,$D2646)+BA2601*(1+$E2646))</f>
        <v/>
      </c>
    </row>
    <row r="2647" hidden="1" outlineLevel="2"/>
    <row r="2648" hidden="1" outlineLevel="2">
      <c r="A2648" s="14" t="inlineStr">
        <is>
          <t>rsub</t>
        </is>
      </c>
      <c r="B2648" s="14" t="inlineStr">
        <is>
          <t>coa</t>
        </is>
      </c>
      <c r="C2648" s="14" t="inlineStr">
        <is>
          <t>omn</t>
        </is>
      </c>
      <c r="D2648" s="35">
        <f>INDEX(Inputs!$U$5:$U$132,MATCH($B2648&amp;"|"&amp;$C2648,Inputs!$A$5:$A$132,0))</f>
        <v/>
      </c>
      <c r="E2648" s="39" t="n"/>
      <c r="F2648" s="39" t="n"/>
      <c r="G2648" s="39" t="n"/>
      <c r="H2648" s="14">
        <f>INDEX(VarLab,MATCH($A2648,VarKey,0))&amp;INDEX(MemLab,MATCH($C2648&amp;"|"&amp;$B2648,MemKey,0))</f>
        <v/>
      </c>
      <c r="I2648" s="14">
        <f>INDEX(VarUnit,MATCH($A2648,VarKey,0))</f>
        <v/>
      </c>
      <c r="J2648" s="14">
        <f>INDEX(VarSrc,MATCH($A2648,VarKey,0))</f>
        <v/>
      </c>
      <c r="K2648" s="11">
        <f>CodePrefix&amp;$A2648&amp;IF($C2648="","","."&amp;$C2648&amp;"."&amp;$B2648)&amp;INDEX(VarEnd,MATCH($A2648,VarKey,0))&amp;K$5</f>
        <v/>
      </c>
      <c r="L2648" s="43">
        <f>L2621*Settings!$C$13*(INDEX(L$420:L$431,$D2648))</f>
        <v/>
      </c>
      <c r="M2648" s="44">
        <f>M2621*Settings!$C$13*(INDEX(M$420:M$431,$D2648))</f>
        <v/>
      </c>
      <c r="N2648" s="44">
        <f>N2621*Settings!$C$13*(INDEX(N$420:N$431,$D2648))</f>
        <v/>
      </c>
      <c r="O2648" s="44">
        <f>O2621*Settings!$C$13*(INDEX(O$420:O$431,$D2648))</f>
        <v/>
      </c>
      <c r="P2648" s="44">
        <f>P2621*Settings!$C$13*(INDEX(P$420:P$431,$D2648))</f>
        <v/>
      </c>
      <c r="Q2648" s="44">
        <f>Q2621*Settings!$C$13*(INDEX(Q$420:Q$431,$D2648))</f>
        <v/>
      </c>
      <c r="R2648" s="44">
        <f>R2621*Settings!$C$13*(INDEX(R$420:R$431,$D2648))</f>
        <v/>
      </c>
      <c r="S2648" s="44">
        <f>S2621*Settings!$C$13*(INDEX(S$420:S$431,$D2648))</f>
        <v/>
      </c>
      <c r="T2648" s="44">
        <f>T2621*Settings!$C$13*(INDEX(T$420:T$431,$D2648))</f>
        <v/>
      </c>
      <c r="U2648" s="44">
        <f>U2621*Settings!$C$13*(INDEX(U$420:U$431,$D2648))</f>
        <v/>
      </c>
      <c r="V2648" s="44">
        <f>V2621*Settings!$C$13*(INDEX(V$420:V$431,$D2648))</f>
        <v/>
      </c>
      <c r="W2648" s="44">
        <f>W2621*Settings!$C$13*(INDEX(W$420:W$431,$D2648))</f>
        <v/>
      </c>
      <c r="X2648" s="44">
        <f>X2621*Settings!$C$13*(INDEX(X$420:X$431,$D2648))</f>
        <v/>
      </c>
      <c r="Y2648" s="44">
        <f>Y2621*Settings!$C$13*(INDEX(Y$420:Y$431,$D2648))</f>
        <v/>
      </c>
      <c r="Z2648" s="44">
        <f>Z2621*Settings!$C$13*(INDEX(Z$420:Z$431,$D2648))</f>
        <v/>
      </c>
      <c r="AA2648" s="44">
        <f>AA2621*Settings!$C$13*(INDEX(AA$420:AA$431,$D2648))</f>
        <v/>
      </c>
      <c r="AB2648" s="44">
        <f>AB2621*Settings!$C$13*(INDEX(AB$420:AB$431,$D2648))</f>
        <v/>
      </c>
      <c r="AC2648" s="44">
        <f>AC2621*Settings!$C$13*(INDEX(AC$420:AC$431,$D2648))</f>
        <v/>
      </c>
      <c r="AD2648" s="44">
        <f>AD2621*Settings!$C$13*(INDEX(AD$420:AD$431,$D2648))</f>
        <v/>
      </c>
      <c r="AE2648" s="57">
        <f>REVENUE(AE2621,Settings!$C$13,INDEX(AE$420:AE$431,$D2648))</f>
        <v/>
      </c>
      <c r="AG2648" s="11">
        <f>CodePrefix&amp;$A2648&amp;IF($C2648="","","."&amp;$C2648&amp;"."&amp;$B2648)&amp;INDEX(VarEnd,MATCH($A2648,VarKey,0))&amp;AG$5</f>
        <v/>
      </c>
      <c r="AH2648" s="43">
        <f>AH2621*Settings!$C$13*(INDEX(AH$420:AH$431,$D2648))</f>
        <v/>
      </c>
      <c r="AI2648" s="44">
        <f>AI2621*Settings!$C$13*(INDEX(AI$420:AI$431,$D2648))</f>
        <v/>
      </c>
      <c r="AJ2648" s="44">
        <f>AJ2621*Settings!$C$13*(INDEX(AJ$420:AJ$431,$D2648))</f>
        <v/>
      </c>
      <c r="AK2648" s="44">
        <f>AK2621*Settings!$C$13*(INDEX(AK$420:AK$431,$D2648))</f>
        <v/>
      </c>
      <c r="AL2648" s="44">
        <f>AL2621*Settings!$C$13*(INDEX(AL$420:AL$431,$D2648))</f>
        <v/>
      </c>
      <c r="AM2648" s="44">
        <f>AM2621*Settings!$C$13*(INDEX(AM$420:AM$431,$D2648))</f>
        <v/>
      </c>
      <c r="AN2648" s="44">
        <f>AN2621*Settings!$C$13*(INDEX(AN$420:AN$431,$D2648))</f>
        <v/>
      </c>
      <c r="AO2648" s="44">
        <f>AO2621*Settings!$C$13*(INDEX(AO$420:AO$431,$D2648))</f>
        <v/>
      </c>
      <c r="AP2648" s="44">
        <f>AP2621*Settings!$C$13*(INDEX(AP$420:AP$431,$D2648))</f>
        <v/>
      </c>
      <c r="AQ2648" s="44">
        <f>AQ2621*Settings!$C$13*(INDEX(AQ$420:AQ$431,$D2648))</f>
        <v/>
      </c>
      <c r="AR2648" s="44">
        <f>AR2621*Settings!$C$13*(INDEX(AR$420:AR$431,$D2648))</f>
        <v/>
      </c>
      <c r="AS2648" s="44">
        <f>AS2621*Settings!$C$13*(INDEX(AS$420:AS$431,$D2648))</f>
        <v/>
      </c>
      <c r="AT2648" s="44">
        <f>AT2621*Settings!$C$13*(INDEX(AT$420:AT$431,$D2648))</f>
        <v/>
      </c>
      <c r="AU2648" s="44">
        <f>AU2621*Settings!$C$13*(INDEX(AU$420:AU$431,$D2648))</f>
        <v/>
      </c>
      <c r="AV2648" s="44">
        <f>AV2621*Settings!$C$13*(INDEX(AV$420:AV$431,$D2648))</f>
        <v/>
      </c>
      <c r="AW2648" s="44">
        <f>AW2621*Settings!$C$13*(INDEX(AW$420:AW$431,$D2648))</f>
        <v/>
      </c>
      <c r="AX2648" s="44">
        <f>AX2621*Settings!$C$13*(INDEX(AX$420:AX$431,$D2648))</f>
        <v/>
      </c>
      <c r="AY2648" s="44">
        <f>AY2621*Settings!$C$13*(INDEX(AY$420:AY$431,$D2648))</f>
        <v/>
      </c>
      <c r="AZ2648" s="44">
        <f>AZ2621*Settings!$C$13*(INDEX(AZ$420:AZ$431,$D2648))</f>
        <v/>
      </c>
      <c r="BA2648" s="57">
        <f>REVENUE(BA2621,Settings!$C$13,INDEX(BA$420:BA$431,$D2648))</f>
        <v/>
      </c>
    </row>
    <row r="2649" hidden="1" outlineLevel="2">
      <c r="A2649" s="14" t="inlineStr">
        <is>
          <t>rsub</t>
        </is>
      </c>
      <c r="B2649" s="14" t="inlineStr">
        <is>
          <t>nga</t>
        </is>
      </c>
      <c r="C2649" s="14" t="inlineStr">
        <is>
          <t>omn</t>
        </is>
      </c>
      <c r="D2649" s="35">
        <f>INDEX(Inputs!$U$5:$U$132,MATCH($B2649&amp;"|"&amp;$C2649,Inputs!$A$5:$A$132,0))</f>
        <v/>
      </c>
      <c r="E2649" s="39" t="n"/>
      <c r="F2649" s="39" t="n"/>
      <c r="G2649" s="39" t="n"/>
      <c r="H2649" s="14">
        <f>INDEX(VarLab,MATCH($A2649,VarKey,0))&amp;INDEX(MemLab,MATCH($C2649&amp;"|"&amp;$B2649,MemKey,0))</f>
        <v/>
      </c>
      <c r="I2649" s="14">
        <f>INDEX(VarUnit,MATCH($A2649,VarKey,0))</f>
        <v/>
      </c>
      <c r="J2649" s="14">
        <f>INDEX(VarSrc,MATCH($A2649,VarKey,0))</f>
        <v/>
      </c>
      <c r="K2649" s="11">
        <f>CodePrefix&amp;$A2649&amp;IF($C2649="","","."&amp;$C2649&amp;"."&amp;$B2649)&amp;INDEX(VarEnd,MATCH($A2649,VarKey,0))&amp;K$5</f>
        <v/>
      </c>
      <c r="L2649" s="43">
        <f>L2622*Settings!$C$13*(INDEX(L$420:L$431,$D2649))</f>
        <v/>
      </c>
      <c r="M2649" s="44">
        <f>M2622*Settings!$C$13*(INDEX(M$420:M$431,$D2649))</f>
        <v/>
      </c>
      <c r="N2649" s="44">
        <f>N2622*Settings!$C$13*(INDEX(N$420:N$431,$D2649))</f>
        <v/>
      </c>
      <c r="O2649" s="44">
        <f>O2622*Settings!$C$13*(INDEX(O$420:O$431,$D2649))</f>
        <v/>
      </c>
      <c r="P2649" s="44">
        <f>P2622*Settings!$C$13*(INDEX(P$420:P$431,$D2649))</f>
        <v/>
      </c>
      <c r="Q2649" s="44">
        <f>Q2622*Settings!$C$13*(INDEX(Q$420:Q$431,$D2649))</f>
        <v/>
      </c>
      <c r="R2649" s="44">
        <f>R2622*Settings!$C$13*(INDEX(R$420:R$431,$D2649))</f>
        <v/>
      </c>
      <c r="S2649" s="44">
        <f>S2622*Settings!$C$13*(INDEX(S$420:S$431,$D2649))</f>
        <v/>
      </c>
      <c r="T2649" s="44">
        <f>T2622*Settings!$C$13*(INDEX(T$420:T$431,$D2649))</f>
        <v/>
      </c>
      <c r="U2649" s="44">
        <f>U2622*Settings!$C$13*(INDEX(U$420:U$431,$D2649))</f>
        <v/>
      </c>
      <c r="V2649" s="44">
        <f>V2622*Settings!$C$13*(INDEX(V$420:V$431,$D2649))</f>
        <v/>
      </c>
      <c r="W2649" s="44">
        <f>W2622*Settings!$C$13*(INDEX(W$420:W$431,$D2649))</f>
        <v/>
      </c>
      <c r="X2649" s="44">
        <f>X2622*Settings!$C$13*(INDEX(X$420:X$431,$D2649))</f>
        <v/>
      </c>
      <c r="Y2649" s="44">
        <f>Y2622*Settings!$C$13*(INDEX(Y$420:Y$431,$D2649))</f>
        <v/>
      </c>
      <c r="Z2649" s="44">
        <f>Z2622*Settings!$C$13*(INDEX(Z$420:Z$431,$D2649))</f>
        <v/>
      </c>
      <c r="AA2649" s="44">
        <f>AA2622*Settings!$C$13*(INDEX(AA$420:AA$431,$D2649))</f>
        <v/>
      </c>
      <c r="AB2649" s="44">
        <f>AB2622*Settings!$C$13*(INDEX(AB$420:AB$431,$D2649))</f>
        <v/>
      </c>
      <c r="AC2649" s="44">
        <f>AC2622*Settings!$C$13*(INDEX(AC$420:AC$431,$D2649))</f>
        <v/>
      </c>
      <c r="AD2649" s="44">
        <f>AD2622*Settings!$C$13*(INDEX(AD$420:AD$431,$D2649))</f>
        <v/>
      </c>
      <c r="AE2649" s="57">
        <f>REVENUE(AE2622,Settings!$C$13,INDEX(AE$420:AE$431,$D2649))</f>
        <v/>
      </c>
      <c r="AG2649" s="11">
        <f>CodePrefix&amp;$A2649&amp;IF($C2649="","","."&amp;$C2649&amp;"."&amp;$B2649)&amp;INDEX(VarEnd,MATCH($A2649,VarKey,0))&amp;AG$5</f>
        <v/>
      </c>
      <c r="AH2649" s="43">
        <f>AH2622*Settings!$C$13*(INDEX(AH$420:AH$431,$D2649))</f>
        <v/>
      </c>
      <c r="AI2649" s="44">
        <f>AI2622*Settings!$C$13*(INDEX(AI$420:AI$431,$D2649))</f>
        <v/>
      </c>
      <c r="AJ2649" s="44">
        <f>AJ2622*Settings!$C$13*(INDEX(AJ$420:AJ$431,$D2649))</f>
        <v/>
      </c>
      <c r="AK2649" s="44">
        <f>AK2622*Settings!$C$13*(INDEX(AK$420:AK$431,$D2649))</f>
        <v/>
      </c>
      <c r="AL2649" s="44">
        <f>AL2622*Settings!$C$13*(INDEX(AL$420:AL$431,$D2649))</f>
        <v/>
      </c>
      <c r="AM2649" s="44">
        <f>AM2622*Settings!$C$13*(INDEX(AM$420:AM$431,$D2649))</f>
        <v/>
      </c>
      <c r="AN2649" s="44">
        <f>AN2622*Settings!$C$13*(INDEX(AN$420:AN$431,$D2649))</f>
        <v/>
      </c>
      <c r="AO2649" s="44">
        <f>AO2622*Settings!$C$13*(INDEX(AO$420:AO$431,$D2649))</f>
        <v/>
      </c>
      <c r="AP2649" s="44">
        <f>AP2622*Settings!$C$13*(INDEX(AP$420:AP$431,$D2649))</f>
        <v/>
      </c>
      <c r="AQ2649" s="44">
        <f>AQ2622*Settings!$C$13*(INDEX(AQ$420:AQ$431,$D2649))</f>
        <v/>
      </c>
      <c r="AR2649" s="44">
        <f>AR2622*Settings!$C$13*(INDEX(AR$420:AR$431,$D2649))</f>
        <v/>
      </c>
      <c r="AS2649" s="44">
        <f>AS2622*Settings!$C$13*(INDEX(AS$420:AS$431,$D2649))</f>
        <v/>
      </c>
      <c r="AT2649" s="44">
        <f>AT2622*Settings!$C$13*(INDEX(AT$420:AT$431,$D2649))</f>
        <v/>
      </c>
      <c r="AU2649" s="44">
        <f>AU2622*Settings!$C$13*(INDEX(AU$420:AU$431,$D2649))</f>
        <v/>
      </c>
      <c r="AV2649" s="44">
        <f>AV2622*Settings!$C$13*(INDEX(AV$420:AV$431,$D2649))</f>
        <v/>
      </c>
      <c r="AW2649" s="44">
        <f>AW2622*Settings!$C$13*(INDEX(AW$420:AW$431,$D2649))</f>
        <v/>
      </c>
      <c r="AX2649" s="44">
        <f>AX2622*Settings!$C$13*(INDEX(AX$420:AX$431,$D2649))</f>
        <v/>
      </c>
      <c r="AY2649" s="44">
        <f>AY2622*Settings!$C$13*(INDEX(AY$420:AY$431,$D2649))</f>
        <v/>
      </c>
      <c r="AZ2649" s="44">
        <f>AZ2622*Settings!$C$13*(INDEX(AZ$420:AZ$431,$D2649))</f>
        <v/>
      </c>
      <c r="BA2649" s="57">
        <f>REVENUE(BA2622,Settings!$C$13,INDEX(BA$420:BA$431,$D2649))</f>
        <v/>
      </c>
    </row>
    <row r="2650" hidden="1" outlineLevel="2">
      <c r="A2650" s="14" t="inlineStr">
        <is>
          <t>rsub</t>
        </is>
      </c>
      <c r="B2650" s="14" t="inlineStr">
        <is>
          <t>gso</t>
        </is>
      </c>
      <c r="C2650" s="14" t="inlineStr">
        <is>
          <t>omn</t>
        </is>
      </c>
      <c r="D2650" s="35">
        <f>INDEX(Inputs!$U$5:$U$132,MATCH($B2650&amp;"|"&amp;$C2650,Inputs!$A$5:$A$132,0))</f>
        <v/>
      </c>
      <c r="E2650" s="39" t="n"/>
      <c r="F2650" s="39" t="n"/>
      <c r="G2650" s="39" t="n"/>
      <c r="H2650" s="14">
        <f>INDEX(VarLab,MATCH($A2650,VarKey,0))&amp;INDEX(MemLab,MATCH($C2650&amp;"|"&amp;$B2650,MemKey,0))</f>
        <v/>
      </c>
      <c r="I2650" s="14">
        <f>INDEX(VarUnit,MATCH($A2650,VarKey,0))</f>
        <v/>
      </c>
      <c r="J2650" s="14">
        <f>INDEX(VarSrc,MATCH($A2650,VarKey,0))</f>
        <v/>
      </c>
      <c r="K2650" s="11">
        <f>CodePrefix&amp;$A2650&amp;IF($C2650="","","."&amp;$C2650&amp;"."&amp;$B2650)&amp;INDEX(VarEnd,MATCH($A2650,VarKey,0))&amp;K$5</f>
        <v/>
      </c>
      <c r="L2650" s="43">
        <f>L2623*Settings!$C$13*(INDEX(L$420:L$431,$D2650))</f>
        <v/>
      </c>
      <c r="M2650" s="44">
        <f>M2623*Settings!$C$13*(INDEX(M$420:M$431,$D2650))</f>
        <v/>
      </c>
      <c r="N2650" s="44">
        <f>N2623*Settings!$C$13*(INDEX(N$420:N$431,$D2650))</f>
        <v/>
      </c>
      <c r="O2650" s="44">
        <f>O2623*Settings!$C$13*(INDEX(O$420:O$431,$D2650))</f>
        <v/>
      </c>
      <c r="P2650" s="44">
        <f>P2623*Settings!$C$13*(INDEX(P$420:P$431,$D2650))</f>
        <v/>
      </c>
      <c r="Q2650" s="44">
        <f>Q2623*Settings!$C$13*(INDEX(Q$420:Q$431,$D2650))</f>
        <v/>
      </c>
      <c r="R2650" s="44">
        <f>R2623*Settings!$C$13*(INDEX(R$420:R$431,$D2650))</f>
        <v/>
      </c>
      <c r="S2650" s="44">
        <f>S2623*Settings!$C$13*(INDEX(S$420:S$431,$D2650))</f>
        <v/>
      </c>
      <c r="T2650" s="44">
        <f>T2623*Settings!$C$13*(INDEX(T$420:T$431,$D2650))</f>
        <v/>
      </c>
      <c r="U2650" s="44">
        <f>U2623*Settings!$C$13*(INDEX(U$420:U$431,$D2650))</f>
        <v/>
      </c>
      <c r="V2650" s="44">
        <f>V2623*Settings!$C$13*(INDEX(V$420:V$431,$D2650))</f>
        <v/>
      </c>
      <c r="W2650" s="44">
        <f>W2623*Settings!$C$13*(INDEX(W$420:W$431,$D2650))</f>
        <v/>
      </c>
      <c r="X2650" s="44">
        <f>X2623*Settings!$C$13*(INDEX(X$420:X$431,$D2650))</f>
        <v/>
      </c>
      <c r="Y2650" s="44">
        <f>Y2623*Settings!$C$13*(INDEX(Y$420:Y$431,$D2650))</f>
        <v/>
      </c>
      <c r="Z2650" s="44">
        <f>Z2623*Settings!$C$13*(INDEX(Z$420:Z$431,$D2650))</f>
        <v/>
      </c>
      <c r="AA2650" s="44">
        <f>AA2623*Settings!$C$13*(INDEX(AA$420:AA$431,$D2650))</f>
        <v/>
      </c>
      <c r="AB2650" s="44">
        <f>AB2623*Settings!$C$13*(INDEX(AB$420:AB$431,$D2650))</f>
        <v/>
      </c>
      <c r="AC2650" s="44">
        <f>AC2623*Settings!$C$13*(INDEX(AC$420:AC$431,$D2650))</f>
        <v/>
      </c>
      <c r="AD2650" s="44">
        <f>AD2623*Settings!$C$13*(INDEX(AD$420:AD$431,$D2650))</f>
        <v/>
      </c>
      <c r="AE2650" s="57">
        <f>REVENUE(AE2623,Settings!$C$13,INDEX(AE$420:AE$431,$D2650))</f>
        <v/>
      </c>
      <c r="AG2650" s="11">
        <f>CodePrefix&amp;$A2650&amp;IF($C2650="","","."&amp;$C2650&amp;"."&amp;$B2650)&amp;INDEX(VarEnd,MATCH($A2650,VarKey,0))&amp;AG$5</f>
        <v/>
      </c>
      <c r="AH2650" s="43">
        <f>AH2623*Settings!$C$13*(INDEX(AH$420:AH$431,$D2650))</f>
        <v/>
      </c>
      <c r="AI2650" s="44">
        <f>AI2623*Settings!$C$13*(INDEX(AI$420:AI$431,$D2650))</f>
        <v/>
      </c>
      <c r="AJ2650" s="44">
        <f>AJ2623*Settings!$C$13*(INDEX(AJ$420:AJ$431,$D2650))</f>
        <v/>
      </c>
      <c r="AK2650" s="44">
        <f>AK2623*Settings!$C$13*(INDEX(AK$420:AK$431,$D2650))</f>
        <v/>
      </c>
      <c r="AL2650" s="44">
        <f>AL2623*Settings!$C$13*(INDEX(AL$420:AL$431,$D2650))</f>
        <v/>
      </c>
      <c r="AM2650" s="44">
        <f>AM2623*Settings!$C$13*(INDEX(AM$420:AM$431,$D2650))</f>
        <v/>
      </c>
      <c r="AN2650" s="44">
        <f>AN2623*Settings!$C$13*(INDEX(AN$420:AN$431,$D2650))</f>
        <v/>
      </c>
      <c r="AO2650" s="44">
        <f>AO2623*Settings!$C$13*(INDEX(AO$420:AO$431,$D2650))</f>
        <v/>
      </c>
      <c r="AP2650" s="44">
        <f>AP2623*Settings!$C$13*(INDEX(AP$420:AP$431,$D2650))</f>
        <v/>
      </c>
      <c r="AQ2650" s="44">
        <f>AQ2623*Settings!$C$13*(INDEX(AQ$420:AQ$431,$D2650))</f>
        <v/>
      </c>
      <c r="AR2650" s="44">
        <f>AR2623*Settings!$C$13*(INDEX(AR$420:AR$431,$D2650))</f>
        <v/>
      </c>
      <c r="AS2650" s="44">
        <f>AS2623*Settings!$C$13*(INDEX(AS$420:AS$431,$D2650))</f>
        <v/>
      </c>
      <c r="AT2650" s="44">
        <f>AT2623*Settings!$C$13*(INDEX(AT$420:AT$431,$D2650))</f>
        <v/>
      </c>
      <c r="AU2650" s="44">
        <f>AU2623*Settings!$C$13*(INDEX(AU$420:AU$431,$D2650))</f>
        <v/>
      </c>
      <c r="AV2650" s="44">
        <f>AV2623*Settings!$C$13*(INDEX(AV$420:AV$431,$D2650))</f>
        <v/>
      </c>
      <c r="AW2650" s="44">
        <f>AW2623*Settings!$C$13*(INDEX(AW$420:AW$431,$D2650))</f>
        <v/>
      </c>
      <c r="AX2650" s="44">
        <f>AX2623*Settings!$C$13*(INDEX(AX$420:AX$431,$D2650))</f>
        <v/>
      </c>
      <c r="AY2650" s="44">
        <f>AY2623*Settings!$C$13*(INDEX(AY$420:AY$431,$D2650))</f>
        <v/>
      </c>
      <c r="AZ2650" s="44">
        <f>AZ2623*Settings!$C$13*(INDEX(AZ$420:AZ$431,$D2650))</f>
        <v/>
      </c>
      <c r="BA2650" s="57">
        <f>REVENUE(BA2623,Settings!$C$13,INDEX(BA$420:BA$431,$D2650))</f>
        <v/>
      </c>
    </row>
    <row r="2651" hidden="1" outlineLevel="2">
      <c r="A2651" s="14" t="inlineStr">
        <is>
          <t>rsub</t>
        </is>
      </c>
      <c r="B2651" s="14" t="inlineStr">
        <is>
          <t>die</t>
        </is>
      </c>
      <c r="C2651" s="14" t="inlineStr">
        <is>
          <t>omn</t>
        </is>
      </c>
      <c r="D2651" s="35">
        <f>INDEX(Inputs!$U$5:$U$132,MATCH($B2651&amp;"|"&amp;$C2651,Inputs!$A$5:$A$132,0))</f>
        <v/>
      </c>
      <c r="E2651" s="39" t="n"/>
      <c r="F2651" s="39" t="n"/>
      <c r="G2651" s="39" t="n"/>
      <c r="H2651" s="14">
        <f>INDEX(VarLab,MATCH($A2651,VarKey,0))&amp;INDEX(MemLab,MATCH($C2651&amp;"|"&amp;$B2651,MemKey,0))</f>
        <v/>
      </c>
      <c r="I2651" s="14">
        <f>INDEX(VarUnit,MATCH($A2651,VarKey,0))</f>
        <v/>
      </c>
      <c r="J2651" s="14">
        <f>INDEX(VarSrc,MATCH($A2651,VarKey,0))</f>
        <v/>
      </c>
      <c r="K2651" s="11">
        <f>CodePrefix&amp;$A2651&amp;IF($C2651="","","."&amp;$C2651&amp;"."&amp;$B2651)&amp;INDEX(VarEnd,MATCH($A2651,VarKey,0))&amp;K$5</f>
        <v/>
      </c>
      <c r="L2651" s="43">
        <f>L2624*Settings!$C$13*(INDEX(L$420:L$431,$D2651))</f>
        <v/>
      </c>
      <c r="M2651" s="44">
        <f>M2624*Settings!$C$13*(INDEX(M$420:M$431,$D2651))</f>
        <v/>
      </c>
      <c r="N2651" s="44">
        <f>N2624*Settings!$C$13*(INDEX(N$420:N$431,$D2651))</f>
        <v/>
      </c>
      <c r="O2651" s="44">
        <f>O2624*Settings!$C$13*(INDEX(O$420:O$431,$D2651))</f>
        <v/>
      </c>
      <c r="P2651" s="44">
        <f>P2624*Settings!$C$13*(INDEX(P$420:P$431,$D2651))</f>
        <v/>
      </c>
      <c r="Q2651" s="44">
        <f>Q2624*Settings!$C$13*(INDEX(Q$420:Q$431,$D2651))</f>
        <v/>
      </c>
      <c r="R2651" s="44">
        <f>R2624*Settings!$C$13*(INDEX(R$420:R$431,$D2651))</f>
        <v/>
      </c>
      <c r="S2651" s="44">
        <f>S2624*Settings!$C$13*(INDEX(S$420:S$431,$D2651))</f>
        <v/>
      </c>
      <c r="T2651" s="44">
        <f>T2624*Settings!$C$13*(INDEX(T$420:T$431,$D2651))</f>
        <v/>
      </c>
      <c r="U2651" s="44">
        <f>U2624*Settings!$C$13*(INDEX(U$420:U$431,$D2651))</f>
        <v/>
      </c>
      <c r="V2651" s="44">
        <f>V2624*Settings!$C$13*(INDEX(V$420:V$431,$D2651))</f>
        <v/>
      </c>
      <c r="W2651" s="44">
        <f>W2624*Settings!$C$13*(INDEX(W$420:W$431,$D2651))</f>
        <v/>
      </c>
      <c r="X2651" s="44">
        <f>X2624*Settings!$C$13*(INDEX(X$420:X$431,$D2651))</f>
        <v/>
      </c>
      <c r="Y2651" s="44">
        <f>Y2624*Settings!$C$13*(INDEX(Y$420:Y$431,$D2651))</f>
        <v/>
      </c>
      <c r="Z2651" s="44">
        <f>Z2624*Settings!$C$13*(INDEX(Z$420:Z$431,$D2651))</f>
        <v/>
      </c>
      <c r="AA2651" s="44">
        <f>AA2624*Settings!$C$13*(INDEX(AA$420:AA$431,$D2651))</f>
        <v/>
      </c>
      <c r="AB2651" s="44">
        <f>AB2624*Settings!$C$13*(INDEX(AB$420:AB$431,$D2651))</f>
        <v/>
      </c>
      <c r="AC2651" s="44">
        <f>AC2624*Settings!$C$13*(INDEX(AC$420:AC$431,$D2651))</f>
        <v/>
      </c>
      <c r="AD2651" s="44">
        <f>AD2624*Settings!$C$13*(INDEX(AD$420:AD$431,$D2651))</f>
        <v/>
      </c>
      <c r="AE2651" s="57">
        <f>REVENUE(AE2624,Settings!$C$13,INDEX(AE$420:AE$431,$D2651))</f>
        <v/>
      </c>
      <c r="AG2651" s="11">
        <f>CodePrefix&amp;$A2651&amp;IF($C2651="","","."&amp;$C2651&amp;"."&amp;$B2651)&amp;INDEX(VarEnd,MATCH($A2651,VarKey,0))&amp;AG$5</f>
        <v/>
      </c>
      <c r="AH2651" s="43">
        <f>AH2624*Settings!$C$13*(INDEX(AH$420:AH$431,$D2651))</f>
        <v/>
      </c>
      <c r="AI2651" s="44">
        <f>AI2624*Settings!$C$13*(INDEX(AI$420:AI$431,$D2651))</f>
        <v/>
      </c>
      <c r="AJ2651" s="44">
        <f>AJ2624*Settings!$C$13*(INDEX(AJ$420:AJ$431,$D2651))</f>
        <v/>
      </c>
      <c r="AK2651" s="44">
        <f>AK2624*Settings!$C$13*(INDEX(AK$420:AK$431,$D2651))</f>
        <v/>
      </c>
      <c r="AL2651" s="44">
        <f>AL2624*Settings!$C$13*(INDEX(AL$420:AL$431,$D2651))</f>
        <v/>
      </c>
      <c r="AM2651" s="44">
        <f>AM2624*Settings!$C$13*(INDEX(AM$420:AM$431,$D2651))</f>
        <v/>
      </c>
      <c r="AN2651" s="44">
        <f>AN2624*Settings!$C$13*(INDEX(AN$420:AN$431,$D2651))</f>
        <v/>
      </c>
      <c r="AO2651" s="44">
        <f>AO2624*Settings!$C$13*(INDEX(AO$420:AO$431,$D2651))</f>
        <v/>
      </c>
      <c r="AP2651" s="44">
        <f>AP2624*Settings!$C$13*(INDEX(AP$420:AP$431,$D2651))</f>
        <v/>
      </c>
      <c r="AQ2651" s="44">
        <f>AQ2624*Settings!$C$13*(INDEX(AQ$420:AQ$431,$D2651))</f>
        <v/>
      </c>
      <c r="AR2651" s="44">
        <f>AR2624*Settings!$C$13*(INDEX(AR$420:AR$431,$D2651))</f>
        <v/>
      </c>
      <c r="AS2651" s="44">
        <f>AS2624*Settings!$C$13*(INDEX(AS$420:AS$431,$D2651))</f>
        <v/>
      </c>
      <c r="AT2651" s="44">
        <f>AT2624*Settings!$C$13*(INDEX(AT$420:AT$431,$D2651))</f>
        <v/>
      </c>
      <c r="AU2651" s="44">
        <f>AU2624*Settings!$C$13*(INDEX(AU$420:AU$431,$D2651))</f>
        <v/>
      </c>
      <c r="AV2651" s="44">
        <f>AV2624*Settings!$C$13*(INDEX(AV$420:AV$431,$D2651))</f>
        <v/>
      </c>
      <c r="AW2651" s="44">
        <f>AW2624*Settings!$C$13*(INDEX(AW$420:AW$431,$D2651))</f>
        <v/>
      </c>
      <c r="AX2651" s="44">
        <f>AX2624*Settings!$C$13*(INDEX(AX$420:AX$431,$D2651))</f>
        <v/>
      </c>
      <c r="AY2651" s="44">
        <f>AY2624*Settings!$C$13*(INDEX(AY$420:AY$431,$D2651))</f>
        <v/>
      </c>
      <c r="AZ2651" s="44">
        <f>AZ2624*Settings!$C$13*(INDEX(AZ$420:AZ$431,$D2651))</f>
        <v/>
      </c>
      <c r="BA2651" s="57">
        <f>REVENUE(BA2624,Settings!$C$13,INDEX(BA$420:BA$431,$D2651))</f>
        <v/>
      </c>
    </row>
    <row r="2652" hidden="1" outlineLevel="2">
      <c r="A2652" s="14" t="inlineStr">
        <is>
          <t>rsub</t>
        </is>
      </c>
      <c r="B2652" s="14" t="inlineStr">
        <is>
          <t>lpg</t>
        </is>
      </c>
      <c r="C2652" s="14" t="inlineStr">
        <is>
          <t>omn</t>
        </is>
      </c>
      <c r="D2652" s="35">
        <f>INDEX(Inputs!$U$5:$U$132,MATCH($B2652&amp;"|"&amp;$C2652,Inputs!$A$5:$A$132,0))</f>
        <v/>
      </c>
      <c r="E2652" s="39" t="n"/>
      <c r="F2652" s="39" t="n"/>
      <c r="G2652" s="39" t="n"/>
      <c r="H2652" s="14">
        <f>INDEX(VarLab,MATCH($A2652,VarKey,0))&amp;INDEX(MemLab,MATCH($C2652&amp;"|"&amp;$B2652,MemKey,0))</f>
        <v/>
      </c>
      <c r="I2652" s="14">
        <f>INDEX(VarUnit,MATCH($A2652,VarKey,0))</f>
        <v/>
      </c>
      <c r="J2652" s="14">
        <f>INDEX(VarSrc,MATCH($A2652,VarKey,0))</f>
        <v/>
      </c>
      <c r="K2652" s="11">
        <f>CodePrefix&amp;$A2652&amp;IF($C2652="","","."&amp;$C2652&amp;"."&amp;$B2652)&amp;INDEX(VarEnd,MATCH($A2652,VarKey,0))&amp;K$5</f>
        <v/>
      </c>
      <c r="L2652" s="43">
        <f>L2625*Settings!$C$13*(INDEX(L$420:L$431,$D2652))</f>
        <v/>
      </c>
      <c r="M2652" s="44">
        <f>M2625*Settings!$C$13*(INDEX(M$420:M$431,$D2652))</f>
        <v/>
      </c>
      <c r="N2652" s="44">
        <f>N2625*Settings!$C$13*(INDEX(N$420:N$431,$D2652))</f>
        <v/>
      </c>
      <c r="O2652" s="44">
        <f>O2625*Settings!$C$13*(INDEX(O$420:O$431,$D2652))</f>
        <v/>
      </c>
      <c r="P2652" s="44">
        <f>P2625*Settings!$C$13*(INDEX(P$420:P$431,$D2652))</f>
        <v/>
      </c>
      <c r="Q2652" s="44">
        <f>Q2625*Settings!$C$13*(INDEX(Q$420:Q$431,$D2652))</f>
        <v/>
      </c>
      <c r="R2652" s="44">
        <f>R2625*Settings!$C$13*(INDEX(R$420:R$431,$D2652))</f>
        <v/>
      </c>
      <c r="S2652" s="44">
        <f>S2625*Settings!$C$13*(INDEX(S$420:S$431,$D2652))</f>
        <v/>
      </c>
      <c r="T2652" s="44">
        <f>T2625*Settings!$C$13*(INDEX(T$420:T$431,$D2652))</f>
        <v/>
      </c>
      <c r="U2652" s="44">
        <f>U2625*Settings!$C$13*(INDEX(U$420:U$431,$D2652))</f>
        <v/>
      </c>
      <c r="V2652" s="44">
        <f>V2625*Settings!$C$13*(INDEX(V$420:V$431,$D2652))</f>
        <v/>
      </c>
      <c r="W2652" s="44">
        <f>W2625*Settings!$C$13*(INDEX(W$420:W$431,$D2652))</f>
        <v/>
      </c>
      <c r="X2652" s="44">
        <f>X2625*Settings!$C$13*(INDEX(X$420:X$431,$D2652))</f>
        <v/>
      </c>
      <c r="Y2652" s="44">
        <f>Y2625*Settings!$C$13*(INDEX(Y$420:Y$431,$D2652))</f>
        <v/>
      </c>
      <c r="Z2652" s="44">
        <f>Z2625*Settings!$C$13*(INDEX(Z$420:Z$431,$D2652))</f>
        <v/>
      </c>
      <c r="AA2652" s="44">
        <f>AA2625*Settings!$C$13*(INDEX(AA$420:AA$431,$D2652))</f>
        <v/>
      </c>
      <c r="AB2652" s="44">
        <f>AB2625*Settings!$C$13*(INDEX(AB$420:AB$431,$D2652))</f>
        <v/>
      </c>
      <c r="AC2652" s="44">
        <f>AC2625*Settings!$C$13*(INDEX(AC$420:AC$431,$D2652))</f>
        <v/>
      </c>
      <c r="AD2652" s="44">
        <f>AD2625*Settings!$C$13*(INDEX(AD$420:AD$431,$D2652))</f>
        <v/>
      </c>
      <c r="AE2652" s="57">
        <f>REVENUE(AE2625,Settings!$C$13,INDEX(AE$420:AE$431,$D2652))</f>
        <v/>
      </c>
      <c r="AG2652" s="11">
        <f>CodePrefix&amp;$A2652&amp;IF($C2652="","","."&amp;$C2652&amp;"."&amp;$B2652)&amp;INDEX(VarEnd,MATCH($A2652,VarKey,0))&amp;AG$5</f>
        <v/>
      </c>
      <c r="AH2652" s="43">
        <f>AH2625*Settings!$C$13*(INDEX(AH$420:AH$431,$D2652))</f>
        <v/>
      </c>
      <c r="AI2652" s="44">
        <f>AI2625*Settings!$C$13*(INDEX(AI$420:AI$431,$D2652))</f>
        <v/>
      </c>
      <c r="AJ2652" s="44">
        <f>AJ2625*Settings!$C$13*(INDEX(AJ$420:AJ$431,$D2652))</f>
        <v/>
      </c>
      <c r="AK2652" s="44">
        <f>AK2625*Settings!$C$13*(INDEX(AK$420:AK$431,$D2652))</f>
        <v/>
      </c>
      <c r="AL2652" s="44">
        <f>AL2625*Settings!$C$13*(INDEX(AL$420:AL$431,$D2652))</f>
        <v/>
      </c>
      <c r="AM2652" s="44">
        <f>AM2625*Settings!$C$13*(INDEX(AM$420:AM$431,$D2652))</f>
        <v/>
      </c>
      <c r="AN2652" s="44">
        <f>AN2625*Settings!$C$13*(INDEX(AN$420:AN$431,$D2652))</f>
        <v/>
      </c>
      <c r="AO2652" s="44">
        <f>AO2625*Settings!$C$13*(INDEX(AO$420:AO$431,$D2652))</f>
        <v/>
      </c>
      <c r="AP2652" s="44">
        <f>AP2625*Settings!$C$13*(INDEX(AP$420:AP$431,$D2652))</f>
        <v/>
      </c>
      <c r="AQ2652" s="44">
        <f>AQ2625*Settings!$C$13*(INDEX(AQ$420:AQ$431,$D2652))</f>
        <v/>
      </c>
      <c r="AR2652" s="44">
        <f>AR2625*Settings!$C$13*(INDEX(AR$420:AR$431,$D2652))</f>
        <v/>
      </c>
      <c r="AS2652" s="44">
        <f>AS2625*Settings!$C$13*(INDEX(AS$420:AS$431,$D2652))</f>
        <v/>
      </c>
      <c r="AT2652" s="44">
        <f>AT2625*Settings!$C$13*(INDEX(AT$420:AT$431,$D2652))</f>
        <v/>
      </c>
      <c r="AU2652" s="44">
        <f>AU2625*Settings!$C$13*(INDEX(AU$420:AU$431,$D2652))</f>
        <v/>
      </c>
      <c r="AV2652" s="44">
        <f>AV2625*Settings!$C$13*(INDEX(AV$420:AV$431,$D2652))</f>
        <v/>
      </c>
      <c r="AW2652" s="44">
        <f>AW2625*Settings!$C$13*(INDEX(AW$420:AW$431,$D2652))</f>
        <v/>
      </c>
      <c r="AX2652" s="44">
        <f>AX2625*Settings!$C$13*(INDEX(AX$420:AX$431,$D2652))</f>
        <v/>
      </c>
      <c r="AY2652" s="44">
        <f>AY2625*Settings!$C$13*(INDEX(AY$420:AY$431,$D2652))</f>
        <v/>
      </c>
      <c r="AZ2652" s="44">
        <f>AZ2625*Settings!$C$13*(INDEX(AZ$420:AZ$431,$D2652))</f>
        <v/>
      </c>
      <c r="BA2652" s="57">
        <f>REVENUE(BA2625,Settings!$C$13,INDEX(BA$420:BA$431,$D2652))</f>
        <v/>
      </c>
    </row>
    <row r="2653" hidden="1" outlineLevel="2">
      <c r="A2653" s="14" t="inlineStr">
        <is>
          <t>rsub</t>
        </is>
      </c>
      <c r="B2653" s="14" t="inlineStr">
        <is>
          <t>ker</t>
        </is>
      </c>
      <c r="C2653" s="14" t="inlineStr">
        <is>
          <t>omn</t>
        </is>
      </c>
      <c r="D2653" s="35">
        <f>INDEX(Inputs!$U$5:$U$132,MATCH($B2653&amp;"|"&amp;$C2653,Inputs!$A$5:$A$132,0))</f>
        <v/>
      </c>
      <c r="E2653" s="39" t="n"/>
      <c r="F2653" s="39" t="n"/>
      <c r="G2653" s="39" t="n"/>
      <c r="H2653" s="14">
        <f>INDEX(VarLab,MATCH($A2653,VarKey,0))&amp;INDEX(MemLab,MATCH($C2653&amp;"|"&amp;$B2653,MemKey,0))</f>
        <v/>
      </c>
      <c r="I2653" s="14">
        <f>INDEX(VarUnit,MATCH($A2653,VarKey,0))</f>
        <v/>
      </c>
      <c r="J2653" s="14">
        <f>INDEX(VarSrc,MATCH($A2653,VarKey,0))</f>
        <v/>
      </c>
      <c r="K2653" s="11">
        <f>CodePrefix&amp;$A2653&amp;IF($C2653="","","."&amp;$C2653&amp;"."&amp;$B2653)&amp;INDEX(VarEnd,MATCH($A2653,VarKey,0))&amp;K$5</f>
        <v/>
      </c>
      <c r="L2653" s="43">
        <f>L2626*Settings!$C$13*(INDEX(L$420:L$431,$D2653))</f>
        <v/>
      </c>
      <c r="M2653" s="44">
        <f>M2626*Settings!$C$13*(INDEX(M$420:M$431,$D2653))</f>
        <v/>
      </c>
      <c r="N2653" s="44">
        <f>N2626*Settings!$C$13*(INDEX(N$420:N$431,$D2653))</f>
        <v/>
      </c>
      <c r="O2653" s="44">
        <f>O2626*Settings!$C$13*(INDEX(O$420:O$431,$D2653))</f>
        <v/>
      </c>
      <c r="P2653" s="44">
        <f>P2626*Settings!$C$13*(INDEX(P$420:P$431,$D2653))</f>
        <v/>
      </c>
      <c r="Q2653" s="44">
        <f>Q2626*Settings!$C$13*(INDEX(Q$420:Q$431,$D2653))</f>
        <v/>
      </c>
      <c r="R2653" s="44">
        <f>R2626*Settings!$C$13*(INDEX(R$420:R$431,$D2653))</f>
        <v/>
      </c>
      <c r="S2653" s="44">
        <f>S2626*Settings!$C$13*(INDEX(S$420:S$431,$D2653))</f>
        <v/>
      </c>
      <c r="T2653" s="44">
        <f>T2626*Settings!$C$13*(INDEX(T$420:T$431,$D2653))</f>
        <v/>
      </c>
      <c r="U2653" s="44">
        <f>U2626*Settings!$C$13*(INDEX(U$420:U$431,$D2653))</f>
        <v/>
      </c>
      <c r="V2653" s="44">
        <f>V2626*Settings!$C$13*(INDEX(V$420:V$431,$D2653))</f>
        <v/>
      </c>
      <c r="W2653" s="44">
        <f>W2626*Settings!$C$13*(INDEX(W$420:W$431,$D2653))</f>
        <v/>
      </c>
      <c r="X2653" s="44">
        <f>X2626*Settings!$C$13*(INDEX(X$420:X$431,$D2653))</f>
        <v/>
      </c>
      <c r="Y2653" s="44">
        <f>Y2626*Settings!$C$13*(INDEX(Y$420:Y$431,$D2653))</f>
        <v/>
      </c>
      <c r="Z2653" s="44">
        <f>Z2626*Settings!$C$13*(INDEX(Z$420:Z$431,$D2653))</f>
        <v/>
      </c>
      <c r="AA2653" s="44">
        <f>AA2626*Settings!$C$13*(INDEX(AA$420:AA$431,$D2653))</f>
        <v/>
      </c>
      <c r="AB2653" s="44">
        <f>AB2626*Settings!$C$13*(INDEX(AB$420:AB$431,$D2653))</f>
        <v/>
      </c>
      <c r="AC2653" s="44">
        <f>AC2626*Settings!$C$13*(INDEX(AC$420:AC$431,$D2653))</f>
        <v/>
      </c>
      <c r="AD2653" s="44">
        <f>AD2626*Settings!$C$13*(INDEX(AD$420:AD$431,$D2653))</f>
        <v/>
      </c>
      <c r="AE2653" s="57">
        <f>REVENUE(AE2626,Settings!$C$13,INDEX(AE$420:AE$431,$D2653))</f>
        <v/>
      </c>
      <c r="AG2653" s="11">
        <f>CodePrefix&amp;$A2653&amp;IF($C2653="","","."&amp;$C2653&amp;"."&amp;$B2653)&amp;INDEX(VarEnd,MATCH($A2653,VarKey,0))&amp;AG$5</f>
        <v/>
      </c>
      <c r="AH2653" s="43">
        <f>AH2626*Settings!$C$13*(INDEX(AH$420:AH$431,$D2653))</f>
        <v/>
      </c>
      <c r="AI2653" s="44">
        <f>AI2626*Settings!$C$13*(INDEX(AI$420:AI$431,$D2653))</f>
        <v/>
      </c>
      <c r="AJ2653" s="44">
        <f>AJ2626*Settings!$C$13*(INDEX(AJ$420:AJ$431,$D2653))</f>
        <v/>
      </c>
      <c r="AK2653" s="44">
        <f>AK2626*Settings!$C$13*(INDEX(AK$420:AK$431,$D2653))</f>
        <v/>
      </c>
      <c r="AL2653" s="44">
        <f>AL2626*Settings!$C$13*(INDEX(AL$420:AL$431,$D2653))</f>
        <v/>
      </c>
      <c r="AM2653" s="44">
        <f>AM2626*Settings!$C$13*(INDEX(AM$420:AM$431,$D2653))</f>
        <v/>
      </c>
      <c r="AN2653" s="44">
        <f>AN2626*Settings!$C$13*(INDEX(AN$420:AN$431,$D2653))</f>
        <v/>
      </c>
      <c r="AO2653" s="44">
        <f>AO2626*Settings!$C$13*(INDEX(AO$420:AO$431,$D2653))</f>
        <v/>
      </c>
      <c r="AP2653" s="44">
        <f>AP2626*Settings!$C$13*(INDEX(AP$420:AP$431,$D2653))</f>
        <v/>
      </c>
      <c r="AQ2653" s="44">
        <f>AQ2626*Settings!$C$13*(INDEX(AQ$420:AQ$431,$D2653))</f>
        <v/>
      </c>
      <c r="AR2653" s="44">
        <f>AR2626*Settings!$C$13*(INDEX(AR$420:AR$431,$D2653))</f>
        <v/>
      </c>
      <c r="AS2653" s="44">
        <f>AS2626*Settings!$C$13*(INDEX(AS$420:AS$431,$D2653))</f>
        <v/>
      </c>
      <c r="AT2653" s="44">
        <f>AT2626*Settings!$C$13*(INDEX(AT$420:AT$431,$D2653))</f>
        <v/>
      </c>
      <c r="AU2653" s="44">
        <f>AU2626*Settings!$C$13*(INDEX(AU$420:AU$431,$D2653))</f>
        <v/>
      </c>
      <c r="AV2653" s="44">
        <f>AV2626*Settings!$C$13*(INDEX(AV$420:AV$431,$D2653))</f>
        <v/>
      </c>
      <c r="AW2653" s="44">
        <f>AW2626*Settings!$C$13*(INDEX(AW$420:AW$431,$D2653))</f>
        <v/>
      </c>
      <c r="AX2653" s="44">
        <f>AX2626*Settings!$C$13*(INDEX(AX$420:AX$431,$D2653))</f>
        <v/>
      </c>
      <c r="AY2653" s="44">
        <f>AY2626*Settings!$C$13*(INDEX(AY$420:AY$431,$D2653))</f>
        <v/>
      </c>
      <c r="AZ2653" s="44">
        <f>AZ2626*Settings!$C$13*(INDEX(AZ$420:AZ$431,$D2653))</f>
        <v/>
      </c>
      <c r="BA2653" s="57">
        <f>REVENUE(BA2626,Settings!$C$13,INDEX(BA$420:BA$431,$D2653))</f>
        <v/>
      </c>
    </row>
    <row r="2654" hidden="1" outlineLevel="2">
      <c r="A2654" s="14" t="inlineStr">
        <is>
          <t>rsub</t>
        </is>
      </c>
      <c r="B2654" s="14" t="inlineStr">
        <is>
          <t>oop</t>
        </is>
      </c>
      <c r="C2654" s="14" t="inlineStr">
        <is>
          <t>omn</t>
        </is>
      </c>
      <c r="D2654" s="35">
        <f>INDEX(Inputs!$U$5:$U$132,MATCH($B2654&amp;"|"&amp;$C2654,Inputs!$A$5:$A$132,0))</f>
        <v/>
      </c>
      <c r="E2654" s="39" t="n"/>
      <c r="F2654" s="39" t="n"/>
      <c r="G2654" s="39" t="n"/>
      <c r="H2654" s="14">
        <f>INDEX(VarLab,MATCH($A2654,VarKey,0))&amp;INDEX(MemLab,MATCH($C2654&amp;"|"&amp;$B2654,MemKey,0))</f>
        <v/>
      </c>
      <c r="I2654" s="14">
        <f>INDEX(VarUnit,MATCH($A2654,VarKey,0))</f>
        <v/>
      </c>
      <c r="J2654" s="14">
        <f>INDEX(VarSrc,MATCH($A2654,VarKey,0))</f>
        <v/>
      </c>
      <c r="K2654" s="11">
        <f>CodePrefix&amp;$A2654&amp;IF($C2654="","","."&amp;$C2654&amp;"."&amp;$B2654)&amp;INDEX(VarEnd,MATCH($A2654,VarKey,0))&amp;K$5</f>
        <v/>
      </c>
      <c r="L2654" s="43">
        <f>L2627*Settings!$C$13*(INDEX(L$420:L$431,$D2654))</f>
        <v/>
      </c>
      <c r="M2654" s="44">
        <f>M2627*Settings!$C$13*(INDEX(M$420:M$431,$D2654))</f>
        <v/>
      </c>
      <c r="N2654" s="44">
        <f>N2627*Settings!$C$13*(INDEX(N$420:N$431,$D2654))</f>
        <v/>
      </c>
      <c r="O2654" s="44">
        <f>O2627*Settings!$C$13*(INDEX(O$420:O$431,$D2654))</f>
        <v/>
      </c>
      <c r="P2654" s="44">
        <f>P2627*Settings!$C$13*(INDEX(P$420:P$431,$D2654))</f>
        <v/>
      </c>
      <c r="Q2654" s="44">
        <f>Q2627*Settings!$C$13*(INDEX(Q$420:Q$431,$D2654))</f>
        <v/>
      </c>
      <c r="R2654" s="44">
        <f>R2627*Settings!$C$13*(INDEX(R$420:R$431,$D2654))</f>
        <v/>
      </c>
      <c r="S2654" s="44">
        <f>S2627*Settings!$C$13*(INDEX(S$420:S$431,$D2654))</f>
        <v/>
      </c>
      <c r="T2654" s="44">
        <f>T2627*Settings!$C$13*(INDEX(T$420:T$431,$D2654))</f>
        <v/>
      </c>
      <c r="U2654" s="44">
        <f>U2627*Settings!$C$13*(INDEX(U$420:U$431,$D2654))</f>
        <v/>
      </c>
      <c r="V2654" s="44">
        <f>V2627*Settings!$C$13*(INDEX(V$420:V$431,$D2654))</f>
        <v/>
      </c>
      <c r="W2654" s="44">
        <f>W2627*Settings!$C$13*(INDEX(W$420:W$431,$D2654))</f>
        <v/>
      </c>
      <c r="X2654" s="44">
        <f>X2627*Settings!$C$13*(INDEX(X$420:X$431,$D2654))</f>
        <v/>
      </c>
      <c r="Y2654" s="44">
        <f>Y2627*Settings!$C$13*(INDEX(Y$420:Y$431,$D2654))</f>
        <v/>
      </c>
      <c r="Z2654" s="44">
        <f>Z2627*Settings!$C$13*(INDEX(Z$420:Z$431,$D2654))</f>
        <v/>
      </c>
      <c r="AA2654" s="44">
        <f>AA2627*Settings!$C$13*(INDEX(AA$420:AA$431,$D2654))</f>
        <v/>
      </c>
      <c r="AB2654" s="44">
        <f>AB2627*Settings!$C$13*(INDEX(AB$420:AB$431,$D2654))</f>
        <v/>
      </c>
      <c r="AC2654" s="44">
        <f>AC2627*Settings!$C$13*(INDEX(AC$420:AC$431,$D2654))</f>
        <v/>
      </c>
      <c r="AD2654" s="44">
        <f>AD2627*Settings!$C$13*(INDEX(AD$420:AD$431,$D2654))</f>
        <v/>
      </c>
      <c r="AE2654" s="57">
        <f>REVENUE(AE2627,Settings!$C$13,INDEX(AE$420:AE$431,$D2654))</f>
        <v/>
      </c>
      <c r="AG2654" s="11">
        <f>CodePrefix&amp;$A2654&amp;IF($C2654="","","."&amp;$C2654&amp;"."&amp;$B2654)&amp;INDEX(VarEnd,MATCH($A2654,VarKey,0))&amp;AG$5</f>
        <v/>
      </c>
      <c r="AH2654" s="43">
        <f>AH2627*Settings!$C$13*(INDEX(AH$420:AH$431,$D2654))</f>
        <v/>
      </c>
      <c r="AI2654" s="44">
        <f>AI2627*Settings!$C$13*(INDEX(AI$420:AI$431,$D2654))</f>
        <v/>
      </c>
      <c r="AJ2654" s="44">
        <f>AJ2627*Settings!$C$13*(INDEX(AJ$420:AJ$431,$D2654))</f>
        <v/>
      </c>
      <c r="AK2654" s="44">
        <f>AK2627*Settings!$C$13*(INDEX(AK$420:AK$431,$D2654))</f>
        <v/>
      </c>
      <c r="AL2654" s="44">
        <f>AL2627*Settings!$C$13*(INDEX(AL$420:AL$431,$D2654))</f>
        <v/>
      </c>
      <c r="AM2654" s="44">
        <f>AM2627*Settings!$C$13*(INDEX(AM$420:AM$431,$D2654))</f>
        <v/>
      </c>
      <c r="AN2654" s="44">
        <f>AN2627*Settings!$C$13*(INDEX(AN$420:AN$431,$D2654))</f>
        <v/>
      </c>
      <c r="AO2654" s="44">
        <f>AO2627*Settings!$C$13*(INDEX(AO$420:AO$431,$D2654))</f>
        <v/>
      </c>
      <c r="AP2654" s="44">
        <f>AP2627*Settings!$C$13*(INDEX(AP$420:AP$431,$D2654))</f>
        <v/>
      </c>
      <c r="AQ2654" s="44">
        <f>AQ2627*Settings!$C$13*(INDEX(AQ$420:AQ$431,$D2654))</f>
        <v/>
      </c>
      <c r="AR2654" s="44">
        <f>AR2627*Settings!$C$13*(INDEX(AR$420:AR$431,$D2654))</f>
        <v/>
      </c>
      <c r="AS2654" s="44">
        <f>AS2627*Settings!$C$13*(INDEX(AS$420:AS$431,$D2654))</f>
        <v/>
      </c>
      <c r="AT2654" s="44">
        <f>AT2627*Settings!$C$13*(INDEX(AT$420:AT$431,$D2654))</f>
        <v/>
      </c>
      <c r="AU2654" s="44">
        <f>AU2627*Settings!$C$13*(INDEX(AU$420:AU$431,$D2654))</f>
        <v/>
      </c>
      <c r="AV2654" s="44">
        <f>AV2627*Settings!$C$13*(INDEX(AV$420:AV$431,$D2654))</f>
        <v/>
      </c>
      <c r="AW2654" s="44">
        <f>AW2627*Settings!$C$13*(INDEX(AW$420:AW$431,$D2654))</f>
        <v/>
      </c>
      <c r="AX2654" s="44">
        <f>AX2627*Settings!$C$13*(INDEX(AX$420:AX$431,$D2654))</f>
        <v/>
      </c>
      <c r="AY2654" s="44">
        <f>AY2627*Settings!$C$13*(INDEX(AY$420:AY$431,$D2654))</f>
        <v/>
      </c>
      <c r="AZ2654" s="44">
        <f>AZ2627*Settings!$C$13*(INDEX(AZ$420:AZ$431,$D2654))</f>
        <v/>
      </c>
      <c r="BA2654" s="57">
        <f>REVENUE(BA2627,Settings!$C$13,INDEX(BA$420:BA$431,$D2654))</f>
        <v/>
      </c>
    </row>
    <row r="2655" hidden="1" outlineLevel="2">
      <c r="A2655" s="14" t="inlineStr">
        <is>
          <t>rsub</t>
        </is>
      </c>
      <c r="B2655" s="14" t="inlineStr">
        <is>
          <t>bio</t>
        </is>
      </c>
      <c r="C2655" s="14" t="inlineStr">
        <is>
          <t>omn</t>
        </is>
      </c>
      <c r="D2655" s="35">
        <f>INDEX(Inputs!$U$5:$U$132,MATCH($B2655&amp;"|"&amp;$C2655,Inputs!$A$5:$A$132,0))</f>
        <v/>
      </c>
      <c r="E2655" s="39" t="n"/>
      <c r="F2655" s="39" t="n"/>
      <c r="G2655" s="39" t="n"/>
      <c r="H2655" s="14">
        <f>INDEX(VarLab,MATCH($A2655,VarKey,0))&amp;INDEX(MemLab,MATCH($C2655&amp;"|"&amp;$B2655,MemKey,0))</f>
        <v/>
      </c>
      <c r="I2655" s="14">
        <f>INDEX(VarUnit,MATCH($A2655,VarKey,0))</f>
        <v/>
      </c>
      <c r="J2655" s="14">
        <f>INDEX(VarSrc,MATCH($A2655,VarKey,0))</f>
        <v/>
      </c>
      <c r="K2655" s="11">
        <f>CodePrefix&amp;$A2655&amp;IF($C2655="","","."&amp;$C2655&amp;"."&amp;$B2655)&amp;INDEX(VarEnd,MATCH($A2655,VarKey,0))&amp;K$5</f>
        <v/>
      </c>
      <c r="L2655" s="43">
        <f>L2628*Settings!$C$13*(INDEX(L$420:L$431,$D2655))</f>
        <v/>
      </c>
      <c r="M2655" s="44">
        <f>M2628*Settings!$C$13*(INDEX(M$420:M$431,$D2655))</f>
        <v/>
      </c>
      <c r="N2655" s="44">
        <f>N2628*Settings!$C$13*(INDEX(N$420:N$431,$D2655))</f>
        <v/>
      </c>
      <c r="O2655" s="44">
        <f>O2628*Settings!$C$13*(INDEX(O$420:O$431,$D2655))</f>
        <v/>
      </c>
      <c r="P2655" s="44">
        <f>P2628*Settings!$C$13*(INDEX(P$420:P$431,$D2655))</f>
        <v/>
      </c>
      <c r="Q2655" s="44">
        <f>Q2628*Settings!$C$13*(INDEX(Q$420:Q$431,$D2655))</f>
        <v/>
      </c>
      <c r="R2655" s="44">
        <f>R2628*Settings!$C$13*(INDEX(R$420:R$431,$D2655))</f>
        <v/>
      </c>
      <c r="S2655" s="44">
        <f>S2628*Settings!$C$13*(INDEX(S$420:S$431,$D2655))</f>
        <v/>
      </c>
      <c r="T2655" s="44">
        <f>T2628*Settings!$C$13*(INDEX(T$420:T$431,$D2655))</f>
        <v/>
      </c>
      <c r="U2655" s="44">
        <f>U2628*Settings!$C$13*(INDEX(U$420:U$431,$D2655))</f>
        <v/>
      </c>
      <c r="V2655" s="44">
        <f>V2628*Settings!$C$13*(INDEX(V$420:V$431,$D2655))</f>
        <v/>
      </c>
      <c r="W2655" s="44">
        <f>W2628*Settings!$C$13*(INDEX(W$420:W$431,$D2655))</f>
        <v/>
      </c>
      <c r="X2655" s="44">
        <f>X2628*Settings!$C$13*(INDEX(X$420:X$431,$D2655))</f>
        <v/>
      </c>
      <c r="Y2655" s="44">
        <f>Y2628*Settings!$C$13*(INDEX(Y$420:Y$431,$D2655))</f>
        <v/>
      </c>
      <c r="Z2655" s="44">
        <f>Z2628*Settings!$C$13*(INDEX(Z$420:Z$431,$D2655))</f>
        <v/>
      </c>
      <c r="AA2655" s="44">
        <f>AA2628*Settings!$C$13*(INDEX(AA$420:AA$431,$D2655))</f>
        <v/>
      </c>
      <c r="AB2655" s="44">
        <f>AB2628*Settings!$C$13*(INDEX(AB$420:AB$431,$D2655))</f>
        <v/>
      </c>
      <c r="AC2655" s="44">
        <f>AC2628*Settings!$C$13*(INDEX(AC$420:AC$431,$D2655))</f>
        <v/>
      </c>
      <c r="AD2655" s="44">
        <f>AD2628*Settings!$C$13*(INDEX(AD$420:AD$431,$D2655))</f>
        <v/>
      </c>
      <c r="AE2655" s="57">
        <f>REVENUE(AE2628,Settings!$C$13,INDEX(AE$420:AE$431,$D2655))</f>
        <v/>
      </c>
      <c r="AG2655" s="11">
        <f>CodePrefix&amp;$A2655&amp;IF($C2655="","","."&amp;$C2655&amp;"."&amp;$B2655)&amp;INDEX(VarEnd,MATCH($A2655,VarKey,0))&amp;AG$5</f>
        <v/>
      </c>
      <c r="AH2655" s="43">
        <f>AH2628*Settings!$C$13*(INDEX(AH$420:AH$431,$D2655))</f>
        <v/>
      </c>
      <c r="AI2655" s="44">
        <f>AI2628*Settings!$C$13*(INDEX(AI$420:AI$431,$D2655))</f>
        <v/>
      </c>
      <c r="AJ2655" s="44">
        <f>AJ2628*Settings!$C$13*(INDEX(AJ$420:AJ$431,$D2655))</f>
        <v/>
      </c>
      <c r="AK2655" s="44">
        <f>AK2628*Settings!$C$13*(INDEX(AK$420:AK$431,$D2655))</f>
        <v/>
      </c>
      <c r="AL2655" s="44">
        <f>AL2628*Settings!$C$13*(INDEX(AL$420:AL$431,$D2655))</f>
        <v/>
      </c>
      <c r="AM2655" s="44">
        <f>AM2628*Settings!$C$13*(INDEX(AM$420:AM$431,$D2655))</f>
        <v/>
      </c>
      <c r="AN2655" s="44">
        <f>AN2628*Settings!$C$13*(INDEX(AN$420:AN$431,$D2655))</f>
        <v/>
      </c>
      <c r="AO2655" s="44">
        <f>AO2628*Settings!$C$13*(INDEX(AO$420:AO$431,$D2655))</f>
        <v/>
      </c>
      <c r="AP2655" s="44">
        <f>AP2628*Settings!$C$13*(INDEX(AP$420:AP$431,$D2655))</f>
        <v/>
      </c>
      <c r="AQ2655" s="44">
        <f>AQ2628*Settings!$C$13*(INDEX(AQ$420:AQ$431,$D2655))</f>
        <v/>
      </c>
      <c r="AR2655" s="44">
        <f>AR2628*Settings!$C$13*(INDEX(AR$420:AR$431,$D2655))</f>
        <v/>
      </c>
      <c r="AS2655" s="44">
        <f>AS2628*Settings!$C$13*(INDEX(AS$420:AS$431,$D2655))</f>
        <v/>
      </c>
      <c r="AT2655" s="44">
        <f>AT2628*Settings!$C$13*(INDEX(AT$420:AT$431,$D2655))</f>
        <v/>
      </c>
      <c r="AU2655" s="44">
        <f>AU2628*Settings!$C$13*(INDEX(AU$420:AU$431,$D2655))</f>
        <v/>
      </c>
      <c r="AV2655" s="44">
        <f>AV2628*Settings!$C$13*(INDEX(AV$420:AV$431,$D2655))</f>
        <v/>
      </c>
      <c r="AW2655" s="44">
        <f>AW2628*Settings!$C$13*(INDEX(AW$420:AW$431,$D2655))</f>
        <v/>
      </c>
      <c r="AX2655" s="44">
        <f>AX2628*Settings!$C$13*(INDEX(AX$420:AX$431,$D2655))</f>
        <v/>
      </c>
      <c r="AY2655" s="44">
        <f>AY2628*Settings!$C$13*(INDEX(AY$420:AY$431,$D2655))</f>
        <v/>
      </c>
      <c r="AZ2655" s="44">
        <f>AZ2628*Settings!$C$13*(INDEX(AZ$420:AZ$431,$D2655))</f>
        <v/>
      </c>
      <c r="BA2655" s="57">
        <f>REVENUE(BA2628,Settings!$C$13,INDEX(BA$420:BA$431,$D2655))</f>
        <v/>
      </c>
    </row>
    <row r="2656" hidden="1" outlineLevel="2"/>
    <row r="2657" hidden="1" outlineLevel="2">
      <c r="A2657" s="14" t="inlineStr">
        <is>
          <t>rnew</t>
        </is>
      </c>
      <c r="B2657" s="14" t="inlineStr">
        <is>
          <t>coa</t>
        </is>
      </c>
      <c r="C2657" s="14" t="inlineStr">
        <is>
          <t>omn</t>
        </is>
      </c>
      <c r="D2657" s="35">
        <f>INDEX(Inputs!$V$5:$V$132,MATCH($B2657&amp;"|"&amp;$C2657,Inputs!$A$5:$A$132,0))</f>
        <v/>
      </c>
      <c r="E2657" s="39" t="n"/>
      <c r="F2657" s="39" t="n"/>
      <c r="G2657" s="39" t="n"/>
      <c r="H2657" s="14">
        <f>INDEX(VarLab,MATCH($A2657,VarKey,0))&amp;INDEX(MemLab,MATCH($C2657&amp;"|"&amp;$B2657,MemKey,0))</f>
        <v/>
      </c>
      <c r="I2657" s="14">
        <f>INDEX(VarUnit,MATCH($A2657,VarKey,0))</f>
        <v/>
      </c>
      <c r="J2657" s="14">
        <f>INDEX(VarSrc,MATCH($A2657,VarKey,0))</f>
        <v/>
      </c>
      <c r="K2657" s="11">
        <f>CodePrefix&amp;$A2657&amp;IF($C2657="","","."&amp;$C2657&amp;"."&amp;$B2657)&amp;INDEX(VarEnd,MATCH($A2657,VarKey,0))&amp;K$5</f>
        <v/>
      </c>
      <c r="L2657" s="43">
        <f>L2621*Settings!$C$13*(L2549+L2567+L2558*L$201+L2576*$D2657)</f>
        <v/>
      </c>
      <c r="M2657" s="44">
        <f>M2621*Settings!$C$13*(M2549+M2567+M2558*M$201+M2576*$D2657)</f>
        <v/>
      </c>
      <c r="N2657" s="44">
        <f>N2621*Settings!$C$13*(N2549+N2567+N2558*N$201+N2576*$D2657)</f>
        <v/>
      </c>
      <c r="O2657" s="44">
        <f>O2621*Settings!$C$13*(O2549+O2567+O2558*O$201+O2576*$D2657)</f>
        <v/>
      </c>
      <c r="P2657" s="44">
        <f>P2621*Settings!$C$13*(P2549+P2567+P2558*P$201+P2576*$D2657)</f>
        <v/>
      </c>
      <c r="Q2657" s="44">
        <f>Q2621*Settings!$C$13*(Q2549+Q2567+Q2558*Q$201+Q2576*$D2657)</f>
        <v/>
      </c>
      <c r="R2657" s="44">
        <f>R2621*Settings!$C$13*(R2549+R2567+R2558*R$201+R2576*$D2657)</f>
        <v/>
      </c>
      <c r="S2657" s="44">
        <f>S2621*Settings!$C$13*(S2549+S2567+S2558*S$201+S2576*$D2657)</f>
        <v/>
      </c>
      <c r="T2657" s="44">
        <f>T2621*Settings!$C$13*(T2549+T2567+T2558*T$201+T2576*$D2657)</f>
        <v/>
      </c>
      <c r="U2657" s="44">
        <f>U2621*Settings!$C$13*(U2549+U2567+U2558*U$201+U2576*$D2657)</f>
        <v/>
      </c>
      <c r="V2657" s="44">
        <f>V2621*Settings!$C$13*(V2549+V2567+V2558*V$201+V2576*$D2657)</f>
        <v/>
      </c>
      <c r="W2657" s="44">
        <f>W2621*Settings!$C$13*(W2549+W2567+W2558*W$201+W2576*$D2657)</f>
        <v/>
      </c>
      <c r="X2657" s="44">
        <f>X2621*Settings!$C$13*(X2549+X2567+X2558*X$201+X2576*$D2657)</f>
        <v/>
      </c>
      <c r="Y2657" s="44">
        <f>Y2621*Settings!$C$13*(Y2549+Y2567+Y2558*Y$201+Y2576*$D2657)</f>
        <v/>
      </c>
      <c r="Z2657" s="44">
        <f>Z2621*Settings!$C$13*(Z2549+Z2567+Z2558*Z$201+Z2576*$D2657)</f>
        <v/>
      </c>
      <c r="AA2657" s="44">
        <f>AA2621*Settings!$C$13*(AA2549+AA2567+AA2558*AA$201+AA2576*$D2657)</f>
        <v/>
      </c>
      <c r="AB2657" s="44">
        <f>AB2621*Settings!$C$13*(AB2549+AB2567+AB2558*AB$201+AB2576*$D2657)</f>
        <v/>
      </c>
      <c r="AC2657" s="44">
        <f>AC2621*Settings!$C$13*(AC2549+AC2567+AC2558*AC$201+AC2576*$D2657)</f>
        <v/>
      </c>
      <c r="AD2657" s="44">
        <f>AD2621*Settings!$C$13*(AD2549+AD2567+AD2558*AD$201+AD2576*$D2657)</f>
        <v/>
      </c>
      <c r="AE2657" s="57">
        <f>REVENUE(AE2621,Settings!$C$13,NEWREVRATE(AE2549,AE2567,AE2558,AE$201,AE2576,$D2657))</f>
        <v/>
      </c>
      <c r="AG2657" s="11">
        <f>CodePrefix&amp;$A2657&amp;IF($C2657="","","."&amp;$C2657&amp;"."&amp;$B2657)&amp;INDEX(VarEnd,MATCH($A2657,VarKey,0))&amp;AG$5</f>
        <v/>
      </c>
      <c r="AH2657" s="43">
        <f>AH2621*Settings!$C$13*(AH2549+AH2567+AH2558*AH$201+AH2576*$D2657)</f>
        <v/>
      </c>
      <c r="AI2657" s="44">
        <f>AI2621*Settings!$C$13*(AI2549+AI2567+AI2558*AI$201+AI2576*$D2657)</f>
        <v/>
      </c>
      <c r="AJ2657" s="44">
        <f>AJ2621*Settings!$C$13*(AJ2549+AJ2567+AJ2558*AJ$201+AJ2576*$D2657)</f>
        <v/>
      </c>
      <c r="AK2657" s="44">
        <f>AK2621*Settings!$C$13*(AK2549+AK2567+AK2558*AK$201+AK2576*$D2657)</f>
        <v/>
      </c>
      <c r="AL2657" s="44">
        <f>AL2621*Settings!$C$13*(AL2549+AL2567+AL2558*AL$201+AL2576*$D2657)</f>
        <v/>
      </c>
      <c r="AM2657" s="44">
        <f>AM2621*Settings!$C$13*(AM2549+AM2567+AM2558*AM$201+AM2576*$D2657)</f>
        <v/>
      </c>
      <c r="AN2657" s="44">
        <f>AN2621*Settings!$C$13*(AN2549+AN2567+AN2558*AN$201+AN2576*$D2657)</f>
        <v/>
      </c>
      <c r="AO2657" s="44">
        <f>AO2621*Settings!$C$13*(AO2549+AO2567+AO2558*AO$201+AO2576*$D2657)</f>
        <v/>
      </c>
      <c r="AP2657" s="44">
        <f>AP2621*Settings!$C$13*(AP2549+AP2567+AP2558*AP$201+AP2576*$D2657)</f>
        <v/>
      </c>
      <c r="AQ2657" s="44">
        <f>AQ2621*Settings!$C$13*(AQ2549+AQ2567+AQ2558*AQ$201+AQ2576*$D2657)</f>
        <v/>
      </c>
      <c r="AR2657" s="44">
        <f>AR2621*Settings!$C$13*(AR2549+AR2567+AR2558*AR$201+AR2576*$D2657)</f>
        <v/>
      </c>
      <c r="AS2657" s="44">
        <f>AS2621*Settings!$C$13*(AS2549+AS2567+AS2558*AS$201+AS2576*$D2657)</f>
        <v/>
      </c>
      <c r="AT2657" s="44">
        <f>AT2621*Settings!$C$13*(AT2549+AT2567+AT2558*AT$201+AT2576*$D2657)</f>
        <v/>
      </c>
      <c r="AU2657" s="44">
        <f>AU2621*Settings!$C$13*(AU2549+AU2567+AU2558*AU$201+AU2576*$D2657)</f>
        <v/>
      </c>
      <c r="AV2657" s="44">
        <f>AV2621*Settings!$C$13*(AV2549+AV2567+AV2558*AV$201+AV2576*$D2657)</f>
        <v/>
      </c>
      <c r="AW2657" s="44">
        <f>AW2621*Settings!$C$13*(AW2549+AW2567+AW2558*AW$201+AW2576*$D2657)</f>
        <v/>
      </c>
      <c r="AX2657" s="44">
        <f>AX2621*Settings!$C$13*(AX2549+AX2567+AX2558*AX$201+AX2576*$D2657)</f>
        <v/>
      </c>
      <c r="AY2657" s="44">
        <f>AY2621*Settings!$C$13*(AY2549+AY2567+AY2558*AY$201+AY2576*$D2657)</f>
        <v/>
      </c>
      <c r="AZ2657" s="44">
        <f>AZ2621*Settings!$C$13*(AZ2549+AZ2567+AZ2558*AZ$201+AZ2576*$D2657)</f>
        <v/>
      </c>
      <c r="BA2657" s="57">
        <f>REVENUE(BA2621,Settings!$C$13,NEWREVRATE(BA2549,BA2567,BA2558,BA$201,BA2576,$D2657))</f>
        <v/>
      </c>
    </row>
    <row r="2658" hidden="1" outlineLevel="2">
      <c r="A2658" s="14" t="inlineStr">
        <is>
          <t>rnew</t>
        </is>
      </c>
      <c r="B2658" s="14" t="inlineStr">
        <is>
          <t>nga</t>
        </is>
      </c>
      <c r="C2658" s="14" t="inlineStr">
        <is>
          <t>omn</t>
        </is>
      </c>
      <c r="D2658" s="35">
        <f>INDEX(Inputs!$V$5:$V$132,MATCH($B2658&amp;"|"&amp;$C2658,Inputs!$A$5:$A$132,0))</f>
        <v/>
      </c>
      <c r="E2658" s="39" t="n"/>
      <c r="F2658" s="39" t="n"/>
      <c r="G2658" s="39" t="n"/>
      <c r="H2658" s="14">
        <f>INDEX(VarLab,MATCH($A2658,VarKey,0))&amp;INDEX(MemLab,MATCH($C2658&amp;"|"&amp;$B2658,MemKey,0))</f>
        <v/>
      </c>
      <c r="I2658" s="14">
        <f>INDEX(VarUnit,MATCH($A2658,VarKey,0))</f>
        <v/>
      </c>
      <c r="J2658" s="14">
        <f>INDEX(VarSrc,MATCH($A2658,VarKey,0))</f>
        <v/>
      </c>
      <c r="K2658" s="11">
        <f>CodePrefix&amp;$A2658&amp;IF($C2658="","","."&amp;$C2658&amp;"."&amp;$B2658)&amp;INDEX(VarEnd,MATCH($A2658,VarKey,0))&amp;K$5</f>
        <v/>
      </c>
      <c r="L2658" s="43">
        <f>L2622*Settings!$C$13*(L2550+L2568+L2559*L$201+L2577*$D2658)</f>
        <v/>
      </c>
      <c r="M2658" s="44">
        <f>M2622*Settings!$C$13*(M2550+M2568+M2559*M$201+M2577*$D2658)</f>
        <v/>
      </c>
      <c r="N2658" s="44">
        <f>N2622*Settings!$C$13*(N2550+N2568+N2559*N$201+N2577*$D2658)</f>
        <v/>
      </c>
      <c r="O2658" s="44">
        <f>O2622*Settings!$C$13*(O2550+O2568+O2559*O$201+O2577*$D2658)</f>
        <v/>
      </c>
      <c r="P2658" s="44">
        <f>P2622*Settings!$C$13*(P2550+P2568+P2559*P$201+P2577*$D2658)</f>
        <v/>
      </c>
      <c r="Q2658" s="44">
        <f>Q2622*Settings!$C$13*(Q2550+Q2568+Q2559*Q$201+Q2577*$D2658)</f>
        <v/>
      </c>
      <c r="R2658" s="44">
        <f>R2622*Settings!$C$13*(R2550+R2568+R2559*R$201+R2577*$D2658)</f>
        <v/>
      </c>
      <c r="S2658" s="44">
        <f>S2622*Settings!$C$13*(S2550+S2568+S2559*S$201+S2577*$D2658)</f>
        <v/>
      </c>
      <c r="T2658" s="44">
        <f>T2622*Settings!$C$13*(T2550+T2568+T2559*T$201+T2577*$D2658)</f>
        <v/>
      </c>
      <c r="U2658" s="44">
        <f>U2622*Settings!$C$13*(U2550+U2568+U2559*U$201+U2577*$D2658)</f>
        <v/>
      </c>
      <c r="V2658" s="44">
        <f>V2622*Settings!$C$13*(V2550+V2568+V2559*V$201+V2577*$D2658)</f>
        <v/>
      </c>
      <c r="W2658" s="44">
        <f>W2622*Settings!$C$13*(W2550+W2568+W2559*W$201+W2577*$D2658)</f>
        <v/>
      </c>
      <c r="X2658" s="44">
        <f>X2622*Settings!$C$13*(X2550+X2568+X2559*X$201+X2577*$D2658)</f>
        <v/>
      </c>
      <c r="Y2658" s="44">
        <f>Y2622*Settings!$C$13*(Y2550+Y2568+Y2559*Y$201+Y2577*$D2658)</f>
        <v/>
      </c>
      <c r="Z2658" s="44">
        <f>Z2622*Settings!$C$13*(Z2550+Z2568+Z2559*Z$201+Z2577*$D2658)</f>
        <v/>
      </c>
      <c r="AA2658" s="44">
        <f>AA2622*Settings!$C$13*(AA2550+AA2568+AA2559*AA$201+AA2577*$D2658)</f>
        <v/>
      </c>
      <c r="AB2658" s="44">
        <f>AB2622*Settings!$C$13*(AB2550+AB2568+AB2559*AB$201+AB2577*$D2658)</f>
        <v/>
      </c>
      <c r="AC2658" s="44">
        <f>AC2622*Settings!$C$13*(AC2550+AC2568+AC2559*AC$201+AC2577*$D2658)</f>
        <v/>
      </c>
      <c r="AD2658" s="44">
        <f>AD2622*Settings!$C$13*(AD2550+AD2568+AD2559*AD$201+AD2577*$D2658)</f>
        <v/>
      </c>
      <c r="AE2658" s="57">
        <f>REVENUE(AE2622,Settings!$C$13,NEWREVRATE(AE2550,AE2568,AE2559,AE$201,AE2577,$D2658))</f>
        <v/>
      </c>
      <c r="AG2658" s="11">
        <f>CodePrefix&amp;$A2658&amp;IF($C2658="","","."&amp;$C2658&amp;"."&amp;$B2658)&amp;INDEX(VarEnd,MATCH($A2658,VarKey,0))&amp;AG$5</f>
        <v/>
      </c>
      <c r="AH2658" s="43">
        <f>AH2622*Settings!$C$13*(AH2550+AH2568+AH2559*AH$201+AH2577*$D2658)</f>
        <v/>
      </c>
      <c r="AI2658" s="44">
        <f>AI2622*Settings!$C$13*(AI2550+AI2568+AI2559*AI$201+AI2577*$D2658)</f>
        <v/>
      </c>
      <c r="AJ2658" s="44">
        <f>AJ2622*Settings!$C$13*(AJ2550+AJ2568+AJ2559*AJ$201+AJ2577*$D2658)</f>
        <v/>
      </c>
      <c r="AK2658" s="44">
        <f>AK2622*Settings!$C$13*(AK2550+AK2568+AK2559*AK$201+AK2577*$D2658)</f>
        <v/>
      </c>
      <c r="AL2658" s="44">
        <f>AL2622*Settings!$C$13*(AL2550+AL2568+AL2559*AL$201+AL2577*$D2658)</f>
        <v/>
      </c>
      <c r="AM2658" s="44">
        <f>AM2622*Settings!$C$13*(AM2550+AM2568+AM2559*AM$201+AM2577*$D2658)</f>
        <v/>
      </c>
      <c r="AN2658" s="44">
        <f>AN2622*Settings!$C$13*(AN2550+AN2568+AN2559*AN$201+AN2577*$D2658)</f>
        <v/>
      </c>
      <c r="AO2658" s="44">
        <f>AO2622*Settings!$C$13*(AO2550+AO2568+AO2559*AO$201+AO2577*$D2658)</f>
        <v/>
      </c>
      <c r="AP2658" s="44">
        <f>AP2622*Settings!$C$13*(AP2550+AP2568+AP2559*AP$201+AP2577*$D2658)</f>
        <v/>
      </c>
      <c r="AQ2658" s="44">
        <f>AQ2622*Settings!$C$13*(AQ2550+AQ2568+AQ2559*AQ$201+AQ2577*$D2658)</f>
        <v/>
      </c>
      <c r="AR2658" s="44">
        <f>AR2622*Settings!$C$13*(AR2550+AR2568+AR2559*AR$201+AR2577*$D2658)</f>
        <v/>
      </c>
      <c r="AS2658" s="44">
        <f>AS2622*Settings!$C$13*(AS2550+AS2568+AS2559*AS$201+AS2577*$D2658)</f>
        <v/>
      </c>
      <c r="AT2658" s="44">
        <f>AT2622*Settings!$C$13*(AT2550+AT2568+AT2559*AT$201+AT2577*$D2658)</f>
        <v/>
      </c>
      <c r="AU2658" s="44">
        <f>AU2622*Settings!$C$13*(AU2550+AU2568+AU2559*AU$201+AU2577*$D2658)</f>
        <v/>
      </c>
      <c r="AV2658" s="44">
        <f>AV2622*Settings!$C$13*(AV2550+AV2568+AV2559*AV$201+AV2577*$D2658)</f>
        <v/>
      </c>
      <c r="AW2658" s="44">
        <f>AW2622*Settings!$C$13*(AW2550+AW2568+AW2559*AW$201+AW2577*$D2658)</f>
        <v/>
      </c>
      <c r="AX2658" s="44">
        <f>AX2622*Settings!$C$13*(AX2550+AX2568+AX2559*AX$201+AX2577*$D2658)</f>
        <v/>
      </c>
      <c r="AY2658" s="44">
        <f>AY2622*Settings!$C$13*(AY2550+AY2568+AY2559*AY$201+AY2577*$D2658)</f>
        <v/>
      </c>
      <c r="AZ2658" s="44">
        <f>AZ2622*Settings!$C$13*(AZ2550+AZ2568+AZ2559*AZ$201+AZ2577*$D2658)</f>
        <v/>
      </c>
      <c r="BA2658" s="57">
        <f>REVENUE(BA2622,Settings!$C$13,NEWREVRATE(BA2550,BA2568,BA2559,BA$201,BA2577,$D2658))</f>
        <v/>
      </c>
    </row>
    <row r="2659" hidden="1" outlineLevel="2">
      <c r="A2659" s="14" t="inlineStr">
        <is>
          <t>rnew</t>
        </is>
      </c>
      <c r="B2659" s="14" t="inlineStr">
        <is>
          <t>gso</t>
        </is>
      </c>
      <c r="C2659" s="14" t="inlineStr">
        <is>
          <t>omn</t>
        </is>
      </c>
      <c r="D2659" s="35">
        <f>INDEX(Inputs!$V$5:$V$132,MATCH($B2659&amp;"|"&amp;$C2659,Inputs!$A$5:$A$132,0))</f>
        <v/>
      </c>
      <c r="E2659" s="39" t="n"/>
      <c r="F2659" s="39" t="n"/>
      <c r="G2659" s="39" t="n"/>
      <c r="H2659" s="14">
        <f>INDEX(VarLab,MATCH($A2659,VarKey,0))&amp;INDEX(MemLab,MATCH($C2659&amp;"|"&amp;$B2659,MemKey,0))</f>
        <v/>
      </c>
      <c r="I2659" s="14">
        <f>INDEX(VarUnit,MATCH($A2659,VarKey,0))</f>
        <v/>
      </c>
      <c r="J2659" s="14">
        <f>INDEX(VarSrc,MATCH($A2659,VarKey,0))</f>
        <v/>
      </c>
      <c r="K2659" s="11">
        <f>CodePrefix&amp;$A2659&amp;IF($C2659="","","."&amp;$C2659&amp;"."&amp;$B2659)&amp;INDEX(VarEnd,MATCH($A2659,VarKey,0))&amp;K$5</f>
        <v/>
      </c>
      <c r="L2659" s="43">
        <f>L2623*Settings!$C$13*(L2551+L2569+L2560*L$201+L2578*$D2659)</f>
        <v/>
      </c>
      <c r="M2659" s="44">
        <f>M2623*Settings!$C$13*(M2551+M2569+M2560*M$201+M2578*$D2659)</f>
        <v/>
      </c>
      <c r="N2659" s="44">
        <f>N2623*Settings!$C$13*(N2551+N2569+N2560*N$201+N2578*$D2659)</f>
        <v/>
      </c>
      <c r="O2659" s="44">
        <f>O2623*Settings!$C$13*(O2551+O2569+O2560*O$201+O2578*$D2659)</f>
        <v/>
      </c>
      <c r="P2659" s="44">
        <f>P2623*Settings!$C$13*(P2551+P2569+P2560*P$201+P2578*$D2659)</f>
        <v/>
      </c>
      <c r="Q2659" s="44">
        <f>Q2623*Settings!$C$13*(Q2551+Q2569+Q2560*Q$201+Q2578*$D2659)</f>
        <v/>
      </c>
      <c r="R2659" s="44">
        <f>R2623*Settings!$C$13*(R2551+R2569+R2560*R$201+R2578*$D2659)</f>
        <v/>
      </c>
      <c r="S2659" s="44">
        <f>S2623*Settings!$C$13*(S2551+S2569+S2560*S$201+S2578*$D2659)</f>
        <v/>
      </c>
      <c r="T2659" s="44">
        <f>T2623*Settings!$C$13*(T2551+T2569+T2560*T$201+T2578*$D2659)</f>
        <v/>
      </c>
      <c r="U2659" s="44">
        <f>U2623*Settings!$C$13*(U2551+U2569+U2560*U$201+U2578*$D2659)</f>
        <v/>
      </c>
      <c r="V2659" s="44">
        <f>V2623*Settings!$C$13*(V2551+V2569+V2560*V$201+V2578*$D2659)</f>
        <v/>
      </c>
      <c r="W2659" s="44">
        <f>W2623*Settings!$C$13*(W2551+W2569+W2560*W$201+W2578*$D2659)</f>
        <v/>
      </c>
      <c r="X2659" s="44">
        <f>X2623*Settings!$C$13*(X2551+X2569+X2560*X$201+X2578*$D2659)</f>
        <v/>
      </c>
      <c r="Y2659" s="44">
        <f>Y2623*Settings!$C$13*(Y2551+Y2569+Y2560*Y$201+Y2578*$D2659)</f>
        <v/>
      </c>
      <c r="Z2659" s="44">
        <f>Z2623*Settings!$C$13*(Z2551+Z2569+Z2560*Z$201+Z2578*$D2659)</f>
        <v/>
      </c>
      <c r="AA2659" s="44">
        <f>AA2623*Settings!$C$13*(AA2551+AA2569+AA2560*AA$201+AA2578*$D2659)</f>
        <v/>
      </c>
      <c r="AB2659" s="44">
        <f>AB2623*Settings!$C$13*(AB2551+AB2569+AB2560*AB$201+AB2578*$D2659)</f>
        <v/>
      </c>
      <c r="AC2659" s="44">
        <f>AC2623*Settings!$C$13*(AC2551+AC2569+AC2560*AC$201+AC2578*$D2659)</f>
        <v/>
      </c>
      <c r="AD2659" s="44">
        <f>AD2623*Settings!$C$13*(AD2551+AD2569+AD2560*AD$201+AD2578*$D2659)</f>
        <v/>
      </c>
      <c r="AE2659" s="57">
        <f>REVENUE(AE2623,Settings!$C$13,NEWREVRATE(AE2551,AE2569,AE2560,AE$201,AE2578,$D2659))</f>
        <v/>
      </c>
      <c r="AG2659" s="11">
        <f>CodePrefix&amp;$A2659&amp;IF($C2659="","","."&amp;$C2659&amp;"."&amp;$B2659)&amp;INDEX(VarEnd,MATCH($A2659,VarKey,0))&amp;AG$5</f>
        <v/>
      </c>
      <c r="AH2659" s="43">
        <f>AH2623*Settings!$C$13*(AH2551+AH2569+AH2560*AH$201+AH2578*$D2659)</f>
        <v/>
      </c>
      <c r="AI2659" s="44">
        <f>AI2623*Settings!$C$13*(AI2551+AI2569+AI2560*AI$201+AI2578*$D2659)</f>
        <v/>
      </c>
      <c r="AJ2659" s="44">
        <f>AJ2623*Settings!$C$13*(AJ2551+AJ2569+AJ2560*AJ$201+AJ2578*$D2659)</f>
        <v/>
      </c>
      <c r="AK2659" s="44">
        <f>AK2623*Settings!$C$13*(AK2551+AK2569+AK2560*AK$201+AK2578*$D2659)</f>
        <v/>
      </c>
      <c r="AL2659" s="44">
        <f>AL2623*Settings!$C$13*(AL2551+AL2569+AL2560*AL$201+AL2578*$D2659)</f>
        <v/>
      </c>
      <c r="AM2659" s="44">
        <f>AM2623*Settings!$C$13*(AM2551+AM2569+AM2560*AM$201+AM2578*$D2659)</f>
        <v/>
      </c>
      <c r="AN2659" s="44">
        <f>AN2623*Settings!$C$13*(AN2551+AN2569+AN2560*AN$201+AN2578*$D2659)</f>
        <v/>
      </c>
      <c r="AO2659" s="44">
        <f>AO2623*Settings!$C$13*(AO2551+AO2569+AO2560*AO$201+AO2578*$D2659)</f>
        <v/>
      </c>
      <c r="AP2659" s="44">
        <f>AP2623*Settings!$C$13*(AP2551+AP2569+AP2560*AP$201+AP2578*$D2659)</f>
        <v/>
      </c>
      <c r="AQ2659" s="44">
        <f>AQ2623*Settings!$C$13*(AQ2551+AQ2569+AQ2560*AQ$201+AQ2578*$D2659)</f>
        <v/>
      </c>
      <c r="AR2659" s="44">
        <f>AR2623*Settings!$C$13*(AR2551+AR2569+AR2560*AR$201+AR2578*$D2659)</f>
        <v/>
      </c>
      <c r="AS2659" s="44">
        <f>AS2623*Settings!$C$13*(AS2551+AS2569+AS2560*AS$201+AS2578*$D2659)</f>
        <v/>
      </c>
      <c r="AT2659" s="44">
        <f>AT2623*Settings!$C$13*(AT2551+AT2569+AT2560*AT$201+AT2578*$D2659)</f>
        <v/>
      </c>
      <c r="AU2659" s="44">
        <f>AU2623*Settings!$C$13*(AU2551+AU2569+AU2560*AU$201+AU2578*$D2659)</f>
        <v/>
      </c>
      <c r="AV2659" s="44">
        <f>AV2623*Settings!$C$13*(AV2551+AV2569+AV2560*AV$201+AV2578*$D2659)</f>
        <v/>
      </c>
      <c r="AW2659" s="44">
        <f>AW2623*Settings!$C$13*(AW2551+AW2569+AW2560*AW$201+AW2578*$D2659)</f>
        <v/>
      </c>
      <c r="AX2659" s="44">
        <f>AX2623*Settings!$C$13*(AX2551+AX2569+AX2560*AX$201+AX2578*$D2659)</f>
        <v/>
      </c>
      <c r="AY2659" s="44">
        <f>AY2623*Settings!$C$13*(AY2551+AY2569+AY2560*AY$201+AY2578*$D2659)</f>
        <v/>
      </c>
      <c r="AZ2659" s="44">
        <f>AZ2623*Settings!$C$13*(AZ2551+AZ2569+AZ2560*AZ$201+AZ2578*$D2659)</f>
        <v/>
      </c>
      <c r="BA2659" s="57">
        <f>REVENUE(BA2623,Settings!$C$13,NEWREVRATE(BA2551,BA2569,BA2560,BA$201,BA2578,$D2659))</f>
        <v/>
      </c>
    </row>
    <row r="2660" hidden="1" outlineLevel="2">
      <c r="A2660" s="14" t="inlineStr">
        <is>
          <t>rnew</t>
        </is>
      </c>
      <c r="B2660" s="14" t="inlineStr">
        <is>
          <t>die</t>
        </is>
      </c>
      <c r="C2660" s="14" t="inlineStr">
        <is>
          <t>omn</t>
        </is>
      </c>
      <c r="D2660" s="35">
        <f>INDEX(Inputs!$V$5:$V$132,MATCH($B2660&amp;"|"&amp;$C2660,Inputs!$A$5:$A$132,0))</f>
        <v/>
      </c>
      <c r="E2660" s="39" t="n"/>
      <c r="F2660" s="39" t="n"/>
      <c r="G2660" s="39" t="n"/>
      <c r="H2660" s="14">
        <f>INDEX(VarLab,MATCH($A2660,VarKey,0))&amp;INDEX(MemLab,MATCH($C2660&amp;"|"&amp;$B2660,MemKey,0))</f>
        <v/>
      </c>
      <c r="I2660" s="14">
        <f>INDEX(VarUnit,MATCH($A2660,VarKey,0))</f>
        <v/>
      </c>
      <c r="J2660" s="14">
        <f>INDEX(VarSrc,MATCH($A2660,VarKey,0))</f>
        <v/>
      </c>
      <c r="K2660" s="11">
        <f>CodePrefix&amp;$A2660&amp;IF($C2660="","","."&amp;$C2660&amp;"."&amp;$B2660)&amp;INDEX(VarEnd,MATCH($A2660,VarKey,0))&amp;K$5</f>
        <v/>
      </c>
      <c r="L2660" s="43">
        <f>L2624*Settings!$C$13*(L2552+L2570+L2561*L$201+L2579*$D2660)</f>
        <v/>
      </c>
      <c r="M2660" s="44">
        <f>M2624*Settings!$C$13*(M2552+M2570+M2561*M$201+M2579*$D2660)</f>
        <v/>
      </c>
      <c r="N2660" s="44">
        <f>N2624*Settings!$C$13*(N2552+N2570+N2561*N$201+N2579*$D2660)</f>
        <v/>
      </c>
      <c r="O2660" s="44">
        <f>O2624*Settings!$C$13*(O2552+O2570+O2561*O$201+O2579*$D2660)</f>
        <v/>
      </c>
      <c r="P2660" s="44">
        <f>P2624*Settings!$C$13*(P2552+P2570+P2561*P$201+P2579*$D2660)</f>
        <v/>
      </c>
      <c r="Q2660" s="44">
        <f>Q2624*Settings!$C$13*(Q2552+Q2570+Q2561*Q$201+Q2579*$D2660)</f>
        <v/>
      </c>
      <c r="R2660" s="44">
        <f>R2624*Settings!$C$13*(R2552+R2570+R2561*R$201+R2579*$D2660)</f>
        <v/>
      </c>
      <c r="S2660" s="44">
        <f>S2624*Settings!$C$13*(S2552+S2570+S2561*S$201+S2579*$D2660)</f>
        <v/>
      </c>
      <c r="T2660" s="44">
        <f>T2624*Settings!$C$13*(T2552+T2570+T2561*T$201+T2579*$D2660)</f>
        <v/>
      </c>
      <c r="U2660" s="44">
        <f>U2624*Settings!$C$13*(U2552+U2570+U2561*U$201+U2579*$D2660)</f>
        <v/>
      </c>
      <c r="V2660" s="44">
        <f>V2624*Settings!$C$13*(V2552+V2570+V2561*V$201+V2579*$D2660)</f>
        <v/>
      </c>
      <c r="W2660" s="44">
        <f>W2624*Settings!$C$13*(W2552+W2570+W2561*W$201+W2579*$D2660)</f>
        <v/>
      </c>
      <c r="X2660" s="44">
        <f>X2624*Settings!$C$13*(X2552+X2570+X2561*X$201+X2579*$D2660)</f>
        <v/>
      </c>
      <c r="Y2660" s="44">
        <f>Y2624*Settings!$C$13*(Y2552+Y2570+Y2561*Y$201+Y2579*$D2660)</f>
        <v/>
      </c>
      <c r="Z2660" s="44">
        <f>Z2624*Settings!$C$13*(Z2552+Z2570+Z2561*Z$201+Z2579*$D2660)</f>
        <v/>
      </c>
      <c r="AA2660" s="44">
        <f>AA2624*Settings!$C$13*(AA2552+AA2570+AA2561*AA$201+AA2579*$D2660)</f>
        <v/>
      </c>
      <c r="AB2660" s="44">
        <f>AB2624*Settings!$C$13*(AB2552+AB2570+AB2561*AB$201+AB2579*$D2660)</f>
        <v/>
      </c>
      <c r="AC2660" s="44">
        <f>AC2624*Settings!$C$13*(AC2552+AC2570+AC2561*AC$201+AC2579*$D2660)</f>
        <v/>
      </c>
      <c r="AD2660" s="44">
        <f>AD2624*Settings!$C$13*(AD2552+AD2570+AD2561*AD$201+AD2579*$D2660)</f>
        <v/>
      </c>
      <c r="AE2660" s="57">
        <f>REVENUE(AE2624,Settings!$C$13,NEWREVRATE(AE2552,AE2570,AE2561,AE$201,AE2579,$D2660))</f>
        <v/>
      </c>
      <c r="AG2660" s="11">
        <f>CodePrefix&amp;$A2660&amp;IF($C2660="","","."&amp;$C2660&amp;"."&amp;$B2660)&amp;INDEX(VarEnd,MATCH($A2660,VarKey,0))&amp;AG$5</f>
        <v/>
      </c>
      <c r="AH2660" s="43">
        <f>AH2624*Settings!$C$13*(AH2552+AH2570+AH2561*AH$201+AH2579*$D2660)</f>
        <v/>
      </c>
      <c r="AI2660" s="44">
        <f>AI2624*Settings!$C$13*(AI2552+AI2570+AI2561*AI$201+AI2579*$D2660)</f>
        <v/>
      </c>
      <c r="AJ2660" s="44">
        <f>AJ2624*Settings!$C$13*(AJ2552+AJ2570+AJ2561*AJ$201+AJ2579*$D2660)</f>
        <v/>
      </c>
      <c r="AK2660" s="44">
        <f>AK2624*Settings!$C$13*(AK2552+AK2570+AK2561*AK$201+AK2579*$D2660)</f>
        <v/>
      </c>
      <c r="AL2660" s="44">
        <f>AL2624*Settings!$C$13*(AL2552+AL2570+AL2561*AL$201+AL2579*$D2660)</f>
        <v/>
      </c>
      <c r="AM2660" s="44">
        <f>AM2624*Settings!$C$13*(AM2552+AM2570+AM2561*AM$201+AM2579*$D2660)</f>
        <v/>
      </c>
      <c r="AN2660" s="44">
        <f>AN2624*Settings!$C$13*(AN2552+AN2570+AN2561*AN$201+AN2579*$D2660)</f>
        <v/>
      </c>
      <c r="AO2660" s="44">
        <f>AO2624*Settings!$C$13*(AO2552+AO2570+AO2561*AO$201+AO2579*$D2660)</f>
        <v/>
      </c>
      <c r="AP2660" s="44">
        <f>AP2624*Settings!$C$13*(AP2552+AP2570+AP2561*AP$201+AP2579*$D2660)</f>
        <v/>
      </c>
      <c r="AQ2660" s="44">
        <f>AQ2624*Settings!$C$13*(AQ2552+AQ2570+AQ2561*AQ$201+AQ2579*$D2660)</f>
        <v/>
      </c>
      <c r="AR2660" s="44">
        <f>AR2624*Settings!$C$13*(AR2552+AR2570+AR2561*AR$201+AR2579*$D2660)</f>
        <v/>
      </c>
      <c r="AS2660" s="44">
        <f>AS2624*Settings!$C$13*(AS2552+AS2570+AS2561*AS$201+AS2579*$D2660)</f>
        <v/>
      </c>
      <c r="AT2660" s="44">
        <f>AT2624*Settings!$C$13*(AT2552+AT2570+AT2561*AT$201+AT2579*$D2660)</f>
        <v/>
      </c>
      <c r="AU2660" s="44">
        <f>AU2624*Settings!$C$13*(AU2552+AU2570+AU2561*AU$201+AU2579*$D2660)</f>
        <v/>
      </c>
      <c r="AV2660" s="44">
        <f>AV2624*Settings!$C$13*(AV2552+AV2570+AV2561*AV$201+AV2579*$D2660)</f>
        <v/>
      </c>
      <c r="AW2660" s="44">
        <f>AW2624*Settings!$C$13*(AW2552+AW2570+AW2561*AW$201+AW2579*$D2660)</f>
        <v/>
      </c>
      <c r="AX2660" s="44">
        <f>AX2624*Settings!$C$13*(AX2552+AX2570+AX2561*AX$201+AX2579*$D2660)</f>
        <v/>
      </c>
      <c r="AY2660" s="44">
        <f>AY2624*Settings!$C$13*(AY2552+AY2570+AY2561*AY$201+AY2579*$D2660)</f>
        <v/>
      </c>
      <c r="AZ2660" s="44">
        <f>AZ2624*Settings!$C$13*(AZ2552+AZ2570+AZ2561*AZ$201+AZ2579*$D2660)</f>
        <v/>
      </c>
      <c r="BA2660" s="57">
        <f>REVENUE(BA2624,Settings!$C$13,NEWREVRATE(BA2552,BA2570,BA2561,BA$201,BA2579,$D2660))</f>
        <v/>
      </c>
    </row>
    <row r="2661" hidden="1" outlineLevel="2">
      <c r="A2661" s="14" t="inlineStr">
        <is>
          <t>rnew</t>
        </is>
      </c>
      <c r="B2661" s="14" t="inlineStr">
        <is>
          <t>lpg</t>
        </is>
      </c>
      <c r="C2661" s="14" t="inlineStr">
        <is>
          <t>omn</t>
        </is>
      </c>
      <c r="D2661" s="35">
        <f>INDEX(Inputs!$V$5:$V$132,MATCH($B2661&amp;"|"&amp;$C2661,Inputs!$A$5:$A$132,0))</f>
        <v/>
      </c>
      <c r="E2661" s="39" t="n"/>
      <c r="F2661" s="39" t="n"/>
      <c r="G2661" s="39" t="n"/>
      <c r="H2661" s="14">
        <f>INDEX(VarLab,MATCH($A2661,VarKey,0))&amp;INDEX(MemLab,MATCH($C2661&amp;"|"&amp;$B2661,MemKey,0))</f>
        <v/>
      </c>
      <c r="I2661" s="14">
        <f>INDEX(VarUnit,MATCH($A2661,VarKey,0))</f>
        <v/>
      </c>
      <c r="J2661" s="14">
        <f>INDEX(VarSrc,MATCH($A2661,VarKey,0))</f>
        <v/>
      </c>
      <c r="K2661" s="11">
        <f>CodePrefix&amp;$A2661&amp;IF($C2661="","","."&amp;$C2661&amp;"."&amp;$B2661)&amp;INDEX(VarEnd,MATCH($A2661,VarKey,0))&amp;K$5</f>
        <v/>
      </c>
      <c r="L2661" s="43">
        <f>L2625*Settings!$C$13*(L2553+L2571+L2562*L$201+L2580*$D2661)</f>
        <v/>
      </c>
      <c r="M2661" s="44">
        <f>M2625*Settings!$C$13*(M2553+M2571+M2562*M$201+M2580*$D2661)</f>
        <v/>
      </c>
      <c r="N2661" s="44">
        <f>N2625*Settings!$C$13*(N2553+N2571+N2562*N$201+N2580*$D2661)</f>
        <v/>
      </c>
      <c r="O2661" s="44">
        <f>O2625*Settings!$C$13*(O2553+O2571+O2562*O$201+O2580*$D2661)</f>
        <v/>
      </c>
      <c r="P2661" s="44">
        <f>P2625*Settings!$C$13*(P2553+P2571+P2562*P$201+P2580*$D2661)</f>
        <v/>
      </c>
      <c r="Q2661" s="44">
        <f>Q2625*Settings!$C$13*(Q2553+Q2571+Q2562*Q$201+Q2580*$D2661)</f>
        <v/>
      </c>
      <c r="R2661" s="44">
        <f>R2625*Settings!$C$13*(R2553+R2571+R2562*R$201+R2580*$D2661)</f>
        <v/>
      </c>
      <c r="S2661" s="44">
        <f>S2625*Settings!$C$13*(S2553+S2571+S2562*S$201+S2580*$D2661)</f>
        <v/>
      </c>
      <c r="T2661" s="44">
        <f>T2625*Settings!$C$13*(T2553+T2571+T2562*T$201+T2580*$D2661)</f>
        <v/>
      </c>
      <c r="U2661" s="44">
        <f>U2625*Settings!$C$13*(U2553+U2571+U2562*U$201+U2580*$D2661)</f>
        <v/>
      </c>
      <c r="V2661" s="44">
        <f>V2625*Settings!$C$13*(V2553+V2571+V2562*V$201+V2580*$D2661)</f>
        <v/>
      </c>
      <c r="W2661" s="44">
        <f>W2625*Settings!$C$13*(W2553+W2571+W2562*W$201+W2580*$D2661)</f>
        <v/>
      </c>
      <c r="X2661" s="44">
        <f>X2625*Settings!$C$13*(X2553+X2571+X2562*X$201+X2580*$D2661)</f>
        <v/>
      </c>
      <c r="Y2661" s="44">
        <f>Y2625*Settings!$C$13*(Y2553+Y2571+Y2562*Y$201+Y2580*$D2661)</f>
        <v/>
      </c>
      <c r="Z2661" s="44">
        <f>Z2625*Settings!$C$13*(Z2553+Z2571+Z2562*Z$201+Z2580*$D2661)</f>
        <v/>
      </c>
      <c r="AA2661" s="44">
        <f>AA2625*Settings!$C$13*(AA2553+AA2571+AA2562*AA$201+AA2580*$D2661)</f>
        <v/>
      </c>
      <c r="AB2661" s="44">
        <f>AB2625*Settings!$C$13*(AB2553+AB2571+AB2562*AB$201+AB2580*$D2661)</f>
        <v/>
      </c>
      <c r="AC2661" s="44">
        <f>AC2625*Settings!$C$13*(AC2553+AC2571+AC2562*AC$201+AC2580*$D2661)</f>
        <v/>
      </c>
      <c r="AD2661" s="44">
        <f>AD2625*Settings!$C$13*(AD2553+AD2571+AD2562*AD$201+AD2580*$D2661)</f>
        <v/>
      </c>
      <c r="AE2661" s="57">
        <f>REVENUE(AE2625,Settings!$C$13,NEWREVRATE(AE2553,AE2571,AE2562,AE$201,AE2580,$D2661))</f>
        <v/>
      </c>
      <c r="AG2661" s="11">
        <f>CodePrefix&amp;$A2661&amp;IF($C2661="","","."&amp;$C2661&amp;"."&amp;$B2661)&amp;INDEX(VarEnd,MATCH($A2661,VarKey,0))&amp;AG$5</f>
        <v/>
      </c>
      <c r="AH2661" s="43">
        <f>AH2625*Settings!$C$13*(AH2553+AH2571+AH2562*AH$201+AH2580*$D2661)</f>
        <v/>
      </c>
      <c r="AI2661" s="44">
        <f>AI2625*Settings!$C$13*(AI2553+AI2571+AI2562*AI$201+AI2580*$D2661)</f>
        <v/>
      </c>
      <c r="AJ2661" s="44">
        <f>AJ2625*Settings!$C$13*(AJ2553+AJ2571+AJ2562*AJ$201+AJ2580*$D2661)</f>
        <v/>
      </c>
      <c r="AK2661" s="44">
        <f>AK2625*Settings!$C$13*(AK2553+AK2571+AK2562*AK$201+AK2580*$D2661)</f>
        <v/>
      </c>
      <c r="AL2661" s="44">
        <f>AL2625*Settings!$C$13*(AL2553+AL2571+AL2562*AL$201+AL2580*$D2661)</f>
        <v/>
      </c>
      <c r="AM2661" s="44">
        <f>AM2625*Settings!$C$13*(AM2553+AM2571+AM2562*AM$201+AM2580*$D2661)</f>
        <v/>
      </c>
      <c r="AN2661" s="44">
        <f>AN2625*Settings!$C$13*(AN2553+AN2571+AN2562*AN$201+AN2580*$D2661)</f>
        <v/>
      </c>
      <c r="AO2661" s="44">
        <f>AO2625*Settings!$C$13*(AO2553+AO2571+AO2562*AO$201+AO2580*$D2661)</f>
        <v/>
      </c>
      <c r="AP2661" s="44">
        <f>AP2625*Settings!$C$13*(AP2553+AP2571+AP2562*AP$201+AP2580*$D2661)</f>
        <v/>
      </c>
      <c r="AQ2661" s="44">
        <f>AQ2625*Settings!$C$13*(AQ2553+AQ2571+AQ2562*AQ$201+AQ2580*$D2661)</f>
        <v/>
      </c>
      <c r="AR2661" s="44">
        <f>AR2625*Settings!$C$13*(AR2553+AR2571+AR2562*AR$201+AR2580*$D2661)</f>
        <v/>
      </c>
      <c r="AS2661" s="44">
        <f>AS2625*Settings!$C$13*(AS2553+AS2571+AS2562*AS$201+AS2580*$D2661)</f>
        <v/>
      </c>
      <c r="AT2661" s="44">
        <f>AT2625*Settings!$C$13*(AT2553+AT2571+AT2562*AT$201+AT2580*$D2661)</f>
        <v/>
      </c>
      <c r="AU2661" s="44">
        <f>AU2625*Settings!$C$13*(AU2553+AU2571+AU2562*AU$201+AU2580*$D2661)</f>
        <v/>
      </c>
      <c r="AV2661" s="44">
        <f>AV2625*Settings!$C$13*(AV2553+AV2571+AV2562*AV$201+AV2580*$D2661)</f>
        <v/>
      </c>
      <c r="AW2661" s="44">
        <f>AW2625*Settings!$C$13*(AW2553+AW2571+AW2562*AW$201+AW2580*$D2661)</f>
        <v/>
      </c>
      <c r="AX2661" s="44">
        <f>AX2625*Settings!$C$13*(AX2553+AX2571+AX2562*AX$201+AX2580*$D2661)</f>
        <v/>
      </c>
      <c r="AY2661" s="44">
        <f>AY2625*Settings!$C$13*(AY2553+AY2571+AY2562*AY$201+AY2580*$D2661)</f>
        <v/>
      </c>
      <c r="AZ2661" s="44">
        <f>AZ2625*Settings!$C$13*(AZ2553+AZ2571+AZ2562*AZ$201+AZ2580*$D2661)</f>
        <v/>
      </c>
      <c r="BA2661" s="57">
        <f>REVENUE(BA2625,Settings!$C$13,NEWREVRATE(BA2553,BA2571,BA2562,BA$201,BA2580,$D2661))</f>
        <v/>
      </c>
    </row>
    <row r="2662" hidden="1" outlineLevel="2">
      <c r="A2662" s="14" t="inlineStr">
        <is>
          <t>rnew</t>
        </is>
      </c>
      <c r="B2662" s="14" t="inlineStr">
        <is>
          <t>ker</t>
        </is>
      </c>
      <c r="C2662" s="14" t="inlineStr">
        <is>
          <t>omn</t>
        </is>
      </c>
      <c r="D2662" s="35">
        <f>INDEX(Inputs!$V$5:$V$132,MATCH($B2662&amp;"|"&amp;$C2662,Inputs!$A$5:$A$132,0))</f>
        <v/>
      </c>
      <c r="E2662" s="39" t="n"/>
      <c r="F2662" s="39" t="n"/>
      <c r="G2662" s="39" t="n"/>
      <c r="H2662" s="14">
        <f>INDEX(VarLab,MATCH($A2662,VarKey,0))&amp;INDEX(MemLab,MATCH($C2662&amp;"|"&amp;$B2662,MemKey,0))</f>
        <v/>
      </c>
      <c r="I2662" s="14">
        <f>INDEX(VarUnit,MATCH($A2662,VarKey,0))</f>
        <v/>
      </c>
      <c r="J2662" s="14">
        <f>INDEX(VarSrc,MATCH($A2662,VarKey,0))</f>
        <v/>
      </c>
      <c r="K2662" s="11">
        <f>CodePrefix&amp;$A2662&amp;IF($C2662="","","."&amp;$C2662&amp;"."&amp;$B2662)&amp;INDEX(VarEnd,MATCH($A2662,VarKey,0))&amp;K$5</f>
        <v/>
      </c>
      <c r="L2662" s="43">
        <f>L2626*Settings!$C$13*(L2554+L2572+L2563*L$201+L2581*$D2662)</f>
        <v/>
      </c>
      <c r="M2662" s="44">
        <f>M2626*Settings!$C$13*(M2554+M2572+M2563*M$201+M2581*$D2662)</f>
        <v/>
      </c>
      <c r="N2662" s="44">
        <f>N2626*Settings!$C$13*(N2554+N2572+N2563*N$201+N2581*$D2662)</f>
        <v/>
      </c>
      <c r="O2662" s="44">
        <f>O2626*Settings!$C$13*(O2554+O2572+O2563*O$201+O2581*$D2662)</f>
        <v/>
      </c>
      <c r="P2662" s="44">
        <f>P2626*Settings!$C$13*(P2554+P2572+P2563*P$201+P2581*$D2662)</f>
        <v/>
      </c>
      <c r="Q2662" s="44">
        <f>Q2626*Settings!$C$13*(Q2554+Q2572+Q2563*Q$201+Q2581*$D2662)</f>
        <v/>
      </c>
      <c r="R2662" s="44">
        <f>R2626*Settings!$C$13*(R2554+R2572+R2563*R$201+R2581*$D2662)</f>
        <v/>
      </c>
      <c r="S2662" s="44">
        <f>S2626*Settings!$C$13*(S2554+S2572+S2563*S$201+S2581*$D2662)</f>
        <v/>
      </c>
      <c r="T2662" s="44">
        <f>T2626*Settings!$C$13*(T2554+T2572+T2563*T$201+T2581*$D2662)</f>
        <v/>
      </c>
      <c r="U2662" s="44">
        <f>U2626*Settings!$C$13*(U2554+U2572+U2563*U$201+U2581*$D2662)</f>
        <v/>
      </c>
      <c r="V2662" s="44">
        <f>V2626*Settings!$C$13*(V2554+V2572+V2563*V$201+V2581*$D2662)</f>
        <v/>
      </c>
      <c r="W2662" s="44">
        <f>W2626*Settings!$C$13*(W2554+W2572+W2563*W$201+W2581*$D2662)</f>
        <v/>
      </c>
      <c r="X2662" s="44">
        <f>X2626*Settings!$C$13*(X2554+X2572+X2563*X$201+X2581*$D2662)</f>
        <v/>
      </c>
      <c r="Y2662" s="44">
        <f>Y2626*Settings!$C$13*(Y2554+Y2572+Y2563*Y$201+Y2581*$D2662)</f>
        <v/>
      </c>
      <c r="Z2662" s="44">
        <f>Z2626*Settings!$C$13*(Z2554+Z2572+Z2563*Z$201+Z2581*$D2662)</f>
        <v/>
      </c>
      <c r="AA2662" s="44">
        <f>AA2626*Settings!$C$13*(AA2554+AA2572+AA2563*AA$201+AA2581*$D2662)</f>
        <v/>
      </c>
      <c r="AB2662" s="44">
        <f>AB2626*Settings!$C$13*(AB2554+AB2572+AB2563*AB$201+AB2581*$D2662)</f>
        <v/>
      </c>
      <c r="AC2662" s="44">
        <f>AC2626*Settings!$C$13*(AC2554+AC2572+AC2563*AC$201+AC2581*$D2662)</f>
        <v/>
      </c>
      <c r="AD2662" s="44">
        <f>AD2626*Settings!$C$13*(AD2554+AD2572+AD2563*AD$201+AD2581*$D2662)</f>
        <v/>
      </c>
      <c r="AE2662" s="57">
        <f>REVENUE(AE2626,Settings!$C$13,NEWREVRATE(AE2554,AE2572,AE2563,AE$201,AE2581,$D2662))</f>
        <v/>
      </c>
      <c r="AG2662" s="11">
        <f>CodePrefix&amp;$A2662&amp;IF($C2662="","","."&amp;$C2662&amp;"."&amp;$B2662)&amp;INDEX(VarEnd,MATCH($A2662,VarKey,0))&amp;AG$5</f>
        <v/>
      </c>
      <c r="AH2662" s="43">
        <f>AH2626*Settings!$C$13*(AH2554+AH2572+AH2563*AH$201+AH2581*$D2662)</f>
        <v/>
      </c>
      <c r="AI2662" s="44">
        <f>AI2626*Settings!$C$13*(AI2554+AI2572+AI2563*AI$201+AI2581*$D2662)</f>
        <v/>
      </c>
      <c r="AJ2662" s="44">
        <f>AJ2626*Settings!$C$13*(AJ2554+AJ2572+AJ2563*AJ$201+AJ2581*$D2662)</f>
        <v/>
      </c>
      <c r="AK2662" s="44">
        <f>AK2626*Settings!$C$13*(AK2554+AK2572+AK2563*AK$201+AK2581*$D2662)</f>
        <v/>
      </c>
      <c r="AL2662" s="44">
        <f>AL2626*Settings!$C$13*(AL2554+AL2572+AL2563*AL$201+AL2581*$D2662)</f>
        <v/>
      </c>
      <c r="AM2662" s="44">
        <f>AM2626*Settings!$C$13*(AM2554+AM2572+AM2563*AM$201+AM2581*$D2662)</f>
        <v/>
      </c>
      <c r="AN2662" s="44">
        <f>AN2626*Settings!$C$13*(AN2554+AN2572+AN2563*AN$201+AN2581*$D2662)</f>
        <v/>
      </c>
      <c r="AO2662" s="44">
        <f>AO2626*Settings!$C$13*(AO2554+AO2572+AO2563*AO$201+AO2581*$D2662)</f>
        <v/>
      </c>
      <c r="AP2662" s="44">
        <f>AP2626*Settings!$C$13*(AP2554+AP2572+AP2563*AP$201+AP2581*$D2662)</f>
        <v/>
      </c>
      <c r="AQ2662" s="44">
        <f>AQ2626*Settings!$C$13*(AQ2554+AQ2572+AQ2563*AQ$201+AQ2581*$D2662)</f>
        <v/>
      </c>
      <c r="AR2662" s="44">
        <f>AR2626*Settings!$C$13*(AR2554+AR2572+AR2563*AR$201+AR2581*$D2662)</f>
        <v/>
      </c>
      <c r="AS2662" s="44">
        <f>AS2626*Settings!$C$13*(AS2554+AS2572+AS2563*AS$201+AS2581*$D2662)</f>
        <v/>
      </c>
      <c r="AT2662" s="44">
        <f>AT2626*Settings!$C$13*(AT2554+AT2572+AT2563*AT$201+AT2581*$D2662)</f>
        <v/>
      </c>
      <c r="AU2662" s="44">
        <f>AU2626*Settings!$C$13*(AU2554+AU2572+AU2563*AU$201+AU2581*$D2662)</f>
        <v/>
      </c>
      <c r="AV2662" s="44">
        <f>AV2626*Settings!$C$13*(AV2554+AV2572+AV2563*AV$201+AV2581*$D2662)</f>
        <v/>
      </c>
      <c r="AW2662" s="44">
        <f>AW2626*Settings!$C$13*(AW2554+AW2572+AW2563*AW$201+AW2581*$D2662)</f>
        <v/>
      </c>
      <c r="AX2662" s="44">
        <f>AX2626*Settings!$C$13*(AX2554+AX2572+AX2563*AX$201+AX2581*$D2662)</f>
        <v/>
      </c>
      <c r="AY2662" s="44">
        <f>AY2626*Settings!$C$13*(AY2554+AY2572+AY2563*AY$201+AY2581*$D2662)</f>
        <v/>
      </c>
      <c r="AZ2662" s="44">
        <f>AZ2626*Settings!$C$13*(AZ2554+AZ2572+AZ2563*AZ$201+AZ2581*$D2662)</f>
        <v/>
      </c>
      <c r="BA2662" s="57">
        <f>REVENUE(BA2626,Settings!$C$13,NEWREVRATE(BA2554,BA2572,BA2563,BA$201,BA2581,$D2662))</f>
        <v/>
      </c>
    </row>
    <row r="2663" hidden="1" outlineLevel="2">
      <c r="A2663" s="14" t="inlineStr">
        <is>
          <t>rnew</t>
        </is>
      </c>
      <c r="B2663" s="14" t="inlineStr">
        <is>
          <t>oop</t>
        </is>
      </c>
      <c r="C2663" s="14" t="inlineStr">
        <is>
          <t>omn</t>
        </is>
      </c>
      <c r="D2663" s="35">
        <f>INDEX(Inputs!$V$5:$V$132,MATCH($B2663&amp;"|"&amp;$C2663,Inputs!$A$5:$A$132,0))</f>
        <v/>
      </c>
      <c r="E2663" s="39" t="n"/>
      <c r="F2663" s="39" t="n"/>
      <c r="G2663" s="39" t="n"/>
      <c r="H2663" s="14">
        <f>INDEX(VarLab,MATCH($A2663,VarKey,0))&amp;INDEX(MemLab,MATCH($C2663&amp;"|"&amp;$B2663,MemKey,0))</f>
        <v/>
      </c>
      <c r="I2663" s="14">
        <f>INDEX(VarUnit,MATCH($A2663,VarKey,0))</f>
        <v/>
      </c>
      <c r="J2663" s="14">
        <f>INDEX(VarSrc,MATCH($A2663,VarKey,0))</f>
        <v/>
      </c>
      <c r="K2663" s="11">
        <f>CodePrefix&amp;$A2663&amp;IF($C2663="","","."&amp;$C2663&amp;"."&amp;$B2663)&amp;INDEX(VarEnd,MATCH($A2663,VarKey,0))&amp;K$5</f>
        <v/>
      </c>
      <c r="L2663" s="43">
        <f>L2627*Settings!$C$13*(L2555+L2573+L2564*L$201+L2582*$D2663)</f>
        <v/>
      </c>
      <c r="M2663" s="44">
        <f>M2627*Settings!$C$13*(M2555+M2573+M2564*M$201+M2582*$D2663)</f>
        <v/>
      </c>
      <c r="N2663" s="44">
        <f>N2627*Settings!$C$13*(N2555+N2573+N2564*N$201+N2582*$D2663)</f>
        <v/>
      </c>
      <c r="O2663" s="44">
        <f>O2627*Settings!$C$13*(O2555+O2573+O2564*O$201+O2582*$D2663)</f>
        <v/>
      </c>
      <c r="P2663" s="44">
        <f>P2627*Settings!$C$13*(P2555+P2573+P2564*P$201+P2582*$D2663)</f>
        <v/>
      </c>
      <c r="Q2663" s="44">
        <f>Q2627*Settings!$C$13*(Q2555+Q2573+Q2564*Q$201+Q2582*$D2663)</f>
        <v/>
      </c>
      <c r="R2663" s="44">
        <f>R2627*Settings!$C$13*(R2555+R2573+R2564*R$201+R2582*$D2663)</f>
        <v/>
      </c>
      <c r="S2663" s="44">
        <f>S2627*Settings!$C$13*(S2555+S2573+S2564*S$201+S2582*$D2663)</f>
        <v/>
      </c>
      <c r="T2663" s="44">
        <f>T2627*Settings!$C$13*(T2555+T2573+T2564*T$201+T2582*$D2663)</f>
        <v/>
      </c>
      <c r="U2663" s="44">
        <f>U2627*Settings!$C$13*(U2555+U2573+U2564*U$201+U2582*$D2663)</f>
        <v/>
      </c>
      <c r="V2663" s="44">
        <f>V2627*Settings!$C$13*(V2555+V2573+V2564*V$201+V2582*$D2663)</f>
        <v/>
      </c>
      <c r="W2663" s="44">
        <f>W2627*Settings!$C$13*(W2555+W2573+W2564*W$201+W2582*$D2663)</f>
        <v/>
      </c>
      <c r="X2663" s="44">
        <f>X2627*Settings!$C$13*(X2555+X2573+X2564*X$201+X2582*$D2663)</f>
        <v/>
      </c>
      <c r="Y2663" s="44">
        <f>Y2627*Settings!$C$13*(Y2555+Y2573+Y2564*Y$201+Y2582*$D2663)</f>
        <v/>
      </c>
      <c r="Z2663" s="44">
        <f>Z2627*Settings!$C$13*(Z2555+Z2573+Z2564*Z$201+Z2582*$D2663)</f>
        <v/>
      </c>
      <c r="AA2663" s="44">
        <f>AA2627*Settings!$C$13*(AA2555+AA2573+AA2564*AA$201+AA2582*$D2663)</f>
        <v/>
      </c>
      <c r="AB2663" s="44">
        <f>AB2627*Settings!$C$13*(AB2555+AB2573+AB2564*AB$201+AB2582*$D2663)</f>
        <v/>
      </c>
      <c r="AC2663" s="44">
        <f>AC2627*Settings!$C$13*(AC2555+AC2573+AC2564*AC$201+AC2582*$D2663)</f>
        <v/>
      </c>
      <c r="AD2663" s="44">
        <f>AD2627*Settings!$C$13*(AD2555+AD2573+AD2564*AD$201+AD2582*$D2663)</f>
        <v/>
      </c>
      <c r="AE2663" s="57">
        <f>REVENUE(AE2627,Settings!$C$13,NEWREVRATE(AE2555,AE2573,AE2564,AE$201,AE2582,$D2663))</f>
        <v/>
      </c>
      <c r="AG2663" s="11">
        <f>CodePrefix&amp;$A2663&amp;IF($C2663="","","."&amp;$C2663&amp;"."&amp;$B2663)&amp;INDEX(VarEnd,MATCH($A2663,VarKey,0))&amp;AG$5</f>
        <v/>
      </c>
      <c r="AH2663" s="43">
        <f>AH2627*Settings!$C$13*(AH2555+AH2573+AH2564*AH$201+AH2582*$D2663)</f>
        <v/>
      </c>
      <c r="AI2663" s="44">
        <f>AI2627*Settings!$C$13*(AI2555+AI2573+AI2564*AI$201+AI2582*$D2663)</f>
        <v/>
      </c>
      <c r="AJ2663" s="44">
        <f>AJ2627*Settings!$C$13*(AJ2555+AJ2573+AJ2564*AJ$201+AJ2582*$D2663)</f>
        <v/>
      </c>
      <c r="AK2663" s="44">
        <f>AK2627*Settings!$C$13*(AK2555+AK2573+AK2564*AK$201+AK2582*$D2663)</f>
        <v/>
      </c>
      <c r="AL2663" s="44">
        <f>AL2627*Settings!$C$13*(AL2555+AL2573+AL2564*AL$201+AL2582*$D2663)</f>
        <v/>
      </c>
      <c r="AM2663" s="44">
        <f>AM2627*Settings!$C$13*(AM2555+AM2573+AM2564*AM$201+AM2582*$D2663)</f>
        <v/>
      </c>
      <c r="AN2663" s="44">
        <f>AN2627*Settings!$C$13*(AN2555+AN2573+AN2564*AN$201+AN2582*$D2663)</f>
        <v/>
      </c>
      <c r="AO2663" s="44">
        <f>AO2627*Settings!$C$13*(AO2555+AO2573+AO2564*AO$201+AO2582*$D2663)</f>
        <v/>
      </c>
      <c r="AP2663" s="44">
        <f>AP2627*Settings!$C$13*(AP2555+AP2573+AP2564*AP$201+AP2582*$D2663)</f>
        <v/>
      </c>
      <c r="AQ2663" s="44">
        <f>AQ2627*Settings!$C$13*(AQ2555+AQ2573+AQ2564*AQ$201+AQ2582*$D2663)</f>
        <v/>
      </c>
      <c r="AR2663" s="44">
        <f>AR2627*Settings!$C$13*(AR2555+AR2573+AR2564*AR$201+AR2582*$D2663)</f>
        <v/>
      </c>
      <c r="AS2663" s="44">
        <f>AS2627*Settings!$C$13*(AS2555+AS2573+AS2564*AS$201+AS2582*$D2663)</f>
        <v/>
      </c>
      <c r="AT2663" s="44">
        <f>AT2627*Settings!$C$13*(AT2555+AT2573+AT2564*AT$201+AT2582*$D2663)</f>
        <v/>
      </c>
      <c r="AU2663" s="44">
        <f>AU2627*Settings!$C$13*(AU2555+AU2573+AU2564*AU$201+AU2582*$D2663)</f>
        <v/>
      </c>
      <c r="AV2663" s="44">
        <f>AV2627*Settings!$C$13*(AV2555+AV2573+AV2564*AV$201+AV2582*$D2663)</f>
        <v/>
      </c>
      <c r="AW2663" s="44">
        <f>AW2627*Settings!$C$13*(AW2555+AW2573+AW2564*AW$201+AW2582*$D2663)</f>
        <v/>
      </c>
      <c r="AX2663" s="44">
        <f>AX2627*Settings!$C$13*(AX2555+AX2573+AX2564*AX$201+AX2582*$D2663)</f>
        <v/>
      </c>
      <c r="AY2663" s="44">
        <f>AY2627*Settings!$C$13*(AY2555+AY2573+AY2564*AY$201+AY2582*$D2663)</f>
        <v/>
      </c>
      <c r="AZ2663" s="44">
        <f>AZ2627*Settings!$C$13*(AZ2555+AZ2573+AZ2564*AZ$201+AZ2582*$D2663)</f>
        <v/>
      </c>
      <c r="BA2663" s="57">
        <f>REVENUE(BA2627,Settings!$C$13,NEWREVRATE(BA2555,BA2573,BA2564,BA$201,BA2582,$D2663))</f>
        <v/>
      </c>
    </row>
    <row r="2664" hidden="1" outlineLevel="2">
      <c r="A2664" s="14" t="inlineStr">
        <is>
          <t>rnew</t>
        </is>
      </c>
      <c r="B2664" s="14" t="inlineStr">
        <is>
          <t>bio</t>
        </is>
      </c>
      <c r="C2664" s="14" t="inlineStr">
        <is>
          <t>omn</t>
        </is>
      </c>
      <c r="D2664" s="35">
        <f>INDEX(Inputs!$V$5:$V$132,MATCH($B2664&amp;"|"&amp;$C2664,Inputs!$A$5:$A$132,0))</f>
        <v/>
      </c>
      <c r="E2664" s="39" t="n"/>
      <c r="F2664" s="39" t="n"/>
      <c r="G2664" s="39" t="n"/>
      <c r="H2664" s="14">
        <f>INDEX(VarLab,MATCH($A2664,VarKey,0))&amp;INDEX(MemLab,MATCH($C2664&amp;"|"&amp;$B2664,MemKey,0))</f>
        <v/>
      </c>
      <c r="I2664" s="14">
        <f>INDEX(VarUnit,MATCH($A2664,VarKey,0))</f>
        <v/>
      </c>
      <c r="J2664" s="14">
        <f>INDEX(VarSrc,MATCH($A2664,VarKey,0))</f>
        <v/>
      </c>
      <c r="K2664" s="11">
        <f>CodePrefix&amp;$A2664&amp;IF($C2664="","","."&amp;$C2664&amp;"."&amp;$B2664)&amp;INDEX(VarEnd,MATCH($A2664,VarKey,0))&amp;K$5</f>
        <v/>
      </c>
      <c r="L2664" s="43">
        <f>L2628*Settings!$C$13*(L2556+L2574+L2565*L$201+L2583*$D2664)</f>
        <v/>
      </c>
      <c r="M2664" s="44">
        <f>M2628*Settings!$C$13*(M2556+M2574+M2565*M$201+M2583*$D2664)</f>
        <v/>
      </c>
      <c r="N2664" s="44">
        <f>N2628*Settings!$C$13*(N2556+N2574+N2565*N$201+N2583*$D2664)</f>
        <v/>
      </c>
      <c r="O2664" s="44">
        <f>O2628*Settings!$C$13*(O2556+O2574+O2565*O$201+O2583*$D2664)</f>
        <v/>
      </c>
      <c r="P2664" s="44">
        <f>P2628*Settings!$C$13*(P2556+P2574+P2565*P$201+P2583*$D2664)</f>
        <v/>
      </c>
      <c r="Q2664" s="44">
        <f>Q2628*Settings!$C$13*(Q2556+Q2574+Q2565*Q$201+Q2583*$D2664)</f>
        <v/>
      </c>
      <c r="R2664" s="44">
        <f>R2628*Settings!$C$13*(R2556+R2574+R2565*R$201+R2583*$D2664)</f>
        <v/>
      </c>
      <c r="S2664" s="44">
        <f>S2628*Settings!$C$13*(S2556+S2574+S2565*S$201+S2583*$D2664)</f>
        <v/>
      </c>
      <c r="T2664" s="44">
        <f>T2628*Settings!$C$13*(T2556+T2574+T2565*T$201+T2583*$D2664)</f>
        <v/>
      </c>
      <c r="U2664" s="44">
        <f>U2628*Settings!$C$13*(U2556+U2574+U2565*U$201+U2583*$D2664)</f>
        <v/>
      </c>
      <c r="V2664" s="44">
        <f>V2628*Settings!$C$13*(V2556+V2574+V2565*V$201+V2583*$D2664)</f>
        <v/>
      </c>
      <c r="W2664" s="44">
        <f>W2628*Settings!$C$13*(W2556+W2574+W2565*W$201+W2583*$D2664)</f>
        <v/>
      </c>
      <c r="X2664" s="44">
        <f>X2628*Settings!$C$13*(X2556+X2574+X2565*X$201+X2583*$D2664)</f>
        <v/>
      </c>
      <c r="Y2664" s="44">
        <f>Y2628*Settings!$C$13*(Y2556+Y2574+Y2565*Y$201+Y2583*$D2664)</f>
        <v/>
      </c>
      <c r="Z2664" s="44">
        <f>Z2628*Settings!$C$13*(Z2556+Z2574+Z2565*Z$201+Z2583*$D2664)</f>
        <v/>
      </c>
      <c r="AA2664" s="44">
        <f>AA2628*Settings!$C$13*(AA2556+AA2574+AA2565*AA$201+AA2583*$D2664)</f>
        <v/>
      </c>
      <c r="AB2664" s="44">
        <f>AB2628*Settings!$C$13*(AB2556+AB2574+AB2565*AB$201+AB2583*$D2664)</f>
        <v/>
      </c>
      <c r="AC2664" s="44">
        <f>AC2628*Settings!$C$13*(AC2556+AC2574+AC2565*AC$201+AC2583*$D2664)</f>
        <v/>
      </c>
      <c r="AD2664" s="44">
        <f>AD2628*Settings!$C$13*(AD2556+AD2574+AD2565*AD$201+AD2583*$D2664)</f>
        <v/>
      </c>
      <c r="AE2664" s="57">
        <f>REVENUE(AE2628,Settings!$C$13,NEWREVRATE(AE2556,AE2574,AE2565,AE$201,AE2583,$D2664))</f>
        <v/>
      </c>
      <c r="AG2664" s="11">
        <f>CodePrefix&amp;$A2664&amp;IF($C2664="","","."&amp;$C2664&amp;"."&amp;$B2664)&amp;INDEX(VarEnd,MATCH($A2664,VarKey,0))&amp;AG$5</f>
        <v/>
      </c>
      <c r="AH2664" s="43">
        <f>AH2628*Settings!$C$13*(AH2556+AH2574+AH2565*AH$201+AH2583*$D2664)</f>
        <v/>
      </c>
      <c r="AI2664" s="44">
        <f>AI2628*Settings!$C$13*(AI2556+AI2574+AI2565*AI$201+AI2583*$D2664)</f>
        <v/>
      </c>
      <c r="AJ2664" s="44">
        <f>AJ2628*Settings!$C$13*(AJ2556+AJ2574+AJ2565*AJ$201+AJ2583*$D2664)</f>
        <v/>
      </c>
      <c r="AK2664" s="44">
        <f>AK2628*Settings!$C$13*(AK2556+AK2574+AK2565*AK$201+AK2583*$D2664)</f>
        <v/>
      </c>
      <c r="AL2664" s="44">
        <f>AL2628*Settings!$C$13*(AL2556+AL2574+AL2565*AL$201+AL2583*$D2664)</f>
        <v/>
      </c>
      <c r="AM2664" s="44">
        <f>AM2628*Settings!$C$13*(AM2556+AM2574+AM2565*AM$201+AM2583*$D2664)</f>
        <v/>
      </c>
      <c r="AN2664" s="44">
        <f>AN2628*Settings!$C$13*(AN2556+AN2574+AN2565*AN$201+AN2583*$D2664)</f>
        <v/>
      </c>
      <c r="AO2664" s="44">
        <f>AO2628*Settings!$C$13*(AO2556+AO2574+AO2565*AO$201+AO2583*$D2664)</f>
        <v/>
      </c>
      <c r="AP2664" s="44">
        <f>AP2628*Settings!$C$13*(AP2556+AP2574+AP2565*AP$201+AP2583*$D2664)</f>
        <v/>
      </c>
      <c r="AQ2664" s="44">
        <f>AQ2628*Settings!$C$13*(AQ2556+AQ2574+AQ2565*AQ$201+AQ2583*$D2664)</f>
        <v/>
      </c>
      <c r="AR2664" s="44">
        <f>AR2628*Settings!$C$13*(AR2556+AR2574+AR2565*AR$201+AR2583*$D2664)</f>
        <v/>
      </c>
      <c r="AS2664" s="44">
        <f>AS2628*Settings!$C$13*(AS2556+AS2574+AS2565*AS$201+AS2583*$D2664)</f>
        <v/>
      </c>
      <c r="AT2664" s="44">
        <f>AT2628*Settings!$C$13*(AT2556+AT2574+AT2565*AT$201+AT2583*$D2664)</f>
        <v/>
      </c>
      <c r="AU2664" s="44">
        <f>AU2628*Settings!$C$13*(AU2556+AU2574+AU2565*AU$201+AU2583*$D2664)</f>
        <v/>
      </c>
      <c r="AV2664" s="44">
        <f>AV2628*Settings!$C$13*(AV2556+AV2574+AV2565*AV$201+AV2583*$D2664)</f>
        <v/>
      </c>
      <c r="AW2664" s="44">
        <f>AW2628*Settings!$C$13*(AW2556+AW2574+AW2565*AW$201+AW2583*$D2664)</f>
        <v/>
      </c>
      <c r="AX2664" s="44">
        <f>AX2628*Settings!$C$13*(AX2556+AX2574+AX2565*AX$201+AX2583*$D2664)</f>
        <v/>
      </c>
      <c r="AY2664" s="44">
        <f>AY2628*Settings!$C$13*(AY2556+AY2574+AY2565*AY$201+AY2583*$D2664)</f>
        <v/>
      </c>
      <c r="AZ2664" s="44">
        <f>AZ2628*Settings!$C$13*(AZ2556+AZ2574+AZ2565*AZ$201+AZ2583*$D2664)</f>
        <v/>
      </c>
      <c r="BA2664" s="57">
        <f>REVENUE(BA2628,Settings!$C$13,NEWREVRATE(BA2556,BA2574,BA2565,BA$201,BA2583,$D2664))</f>
        <v/>
      </c>
    </row>
    <row r="2665" hidden="1" outlineLevel="2"/>
    <row r="2666" hidden="1" outlineLevel="2">
      <c r="A2666" s="14" t="inlineStr">
        <is>
          <t>rxcp</t>
        </is>
      </c>
      <c r="B2666" s="14" t="inlineStr">
        <is>
          <t>coa</t>
        </is>
      </c>
      <c r="C2666" s="14" t="inlineStr">
        <is>
          <t>omn</t>
        </is>
      </c>
      <c r="D2666" s="39" t="n"/>
      <c r="E2666" s="39" t="n"/>
      <c r="F2666" s="39" t="n"/>
      <c r="G2666" s="39" t="n"/>
      <c r="H2666" s="14">
        <f>INDEX(VarLab,MATCH($A2666,VarKey,0))&amp;INDEX(MemLab,MATCH($C2666&amp;"|"&amp;$B2666,MemKey,0))</f>
        <v/>
      </c>
      <c r="I2666" s="14">
        <f>INDEX(VarUnit,MATCH($A2666,VarKey,0))</f>
        <v/>
      </c>
      <c r="J2666" s="14">
        <f>INDEX(VarSrc,MATCH($A2666,VarKey,0))</f>
        <v/>
      </c>
      <c r="K2666" s="11">
        <f>CodePrefix&amp;$A2666&amp;IF($C2666="","","."&amp;$C2666&amp;"."&amp;$B2666)&amp;INDEX(VarEnd,MATCH($A2666,VarKey,0))&amp;K$5</f>
        <v/>
      </c>
      <c r="L2666" s="43">
        <f>L2621*Settings!$C$13*(L2585)</f>
        <v/>
      </c>
      <c r="M2666" s="44">
        <f>M2621*Settings!$C$13*(M2585)</f>
        <v/>
      </c>
      <c r="N2666" s="44">
        <f>N2621*Settings!$C$13*(N2585)</f>
        <v/>
      </c>
      <c r="O2666" s="44">
        <f>O2621*Settings!$C$13*(O2585)</f>
        <v/>
      </c>
      <c r="P2666" s="44">
        <f>P2621*Settings!$C$13*(P2585)</f>
        <v/>
      </c>
      <c r="Q2666" s="44">
        <f>Q2621*Settings!$C$13*(Q2585)</f>
        <v/>
      </c>
      <c r="R2666" s="44">
        <f>R2621*Settings!$C$13*(R2585)</f>
        <v/>
      </c>
      <c r="S2666" s="44">
        <f>S2621*Settings!$C$13*(S2585)</f>
        <v/>
      </c>
      <c r="T2666" s="44">
        <f>T2621*Settings!$C$13*(T2585)</f>
        <v/>
      </c>
      <c r="U2666" s="44">
        <f>U2621*Settings!$C$13*(U2585)</f>
        <v/>
      </c>
      <c r="V2666" s="44">
        <f>V2621*Settings!$C$13*(V2585)</f>
        <v/>
      </c>
      <c r="W2666" s="44">
        <f>W2621*Settings!$C$13*(W2585)</f>
        <v/>
      </c>
      <c r="X2666" s="44">
        <f>X2621*Settings!$C$13*(X2585)</f>
        <v/>
      </c>
      <c r="Y2666" s="44">
        <f>Y2621*Settings!$C$13*(Y2585)</f>
        <v/>
      </c>
      <c r="Z2666" s="44">
        <f>Z2621*Settings!$C$13*(Z2585)</f>
        <v/>
      </c>
      <c r="AA2666" s="44">
        <f>AA2621*Settings!$C$13*(AA2585)</f>
        <v/>
      </c>
      <c r="AB2666" s="44">
        <f>AB2621*Settings!$C$13*(AB2585)</f>
        <v/>
      </c>
      <c r="AC2666" s="44">
        <f>AC2621*Settings!$C$13*(AC2585)</f>
        <v/>
      </c>
      <c r="AD2666" s="44">
        <f>AD2621*Settings!$C$13*(AD2585)</f>
        <v/>
      </c>
      <c r="AE2666" s="57">
        <f>REVENUE(AE2621,Settings!$C$13,AE2585)</f>
        <v/>
      </c>
      <c r="AG2666" s="11">
        <f>CodePrefix&amp;$A2666&amp;IF($C2666="","","."&amp;$C2666&amp;"."&amp;$B2666)&amp;INDEX(VarEnd,MATCH($A2666,VarKey,0))&amp;AG$5</f>
        <v/>
      </c>
      <c r="AH2666" s="43">
        <f>AH2621*Settings!$C$13*(AH2585)</f>
        <v/>
      </c>
      <c r="AI2666" s="44">
        <f>AI2621*Settings!$C$13*(AI2585)</f>
        <v/>
      </c>
      <c r="AJ2666" s="44">
        <f>AJ2621*Settings!$C$13*(AJ2585)</f>
        <v/>
      </c>
      <c r="AK2666" s="44">
        <f>AK2621*Settings!$C$13*(AK2585)</f>
        <v/>
      </c>
      <c r="AL2666" s="44">
        <f>AL2621*Settings!$C$13*(AL2585)</f>
        <v/>
      </c>
      <c r="AM2666" s="44">
        <f>AM2621*Settings!$C$13*(AM2585)</f>
        <v/>
      </c>
      <c r="AN2666" s="44">
        <f>AN2621*Settings!$C$13*(AN2585)</f>
        <v/>
      </c>
      <c r="AO2666" s="44">
        <f>AO2621*Settings!$C$13*(AO2585)</f>
        <v/>
      </c>
      <c r="AP2666" s="44">
        <f>AP2621*Settings!$C$13*(AP2585)</f>
        <v/>
      </c>
      <c r="AQ2666" s="44">
        <f>AQ2621*Settings!$C$13*(AQ2585)</f>
        <v/>
      </c>
      <c r="AR2666" s="44">
        <f>AR2621*Settings!$C$13*(AR2585)</f>
        <v/>
      </c>
      <c r="AS2666" s="44">
        <f>AS2621*Settings!$C$13*(AS2585)</f>
        <v/>
      </c>
      <c r="AT2666" s="44">
        <f>AT2621*Settings!$C$13*(AT2585)</f>
        <v/>
      </c>
      <c r="AU2666" s="44">
        <f>AU2621*Settings!$C$13*(AU2585)</f>
        <v/>
      </c>
      <c r="AV2666" s="44">
        <f>AV2621*Settings!$C$13*(AV2585)</f>
        <v/>
      </c>
      <c r="AW2666" s="44">
        <f>AW2621*Settings!$C$13*(AW2585)</f>
        <v/>
      </c>
      <c r="AX2666" s="44">
        <f>AX2621*Settings!$C$13*(AX2585)</f>
        <v/>
      </c>
      <c r="AY2666" s="44">
        <f>AY2621*Settings!$C$13*(AY2585)</f>
        <v/>
      </c>
      <c r="AZ2666" s="44">
        <f>AZ2621*Settings!$C$13*(AZ2585)</f>
        <v/>
      </c>
      <c r="BA2666" s="57">
        <f>REVENUE(BA2621,Settings!$C$13,BA2585)</f>
        <v/>
      </c>
    </row>
    <row r="2667" hidden="1" outlineLevel="2">
      <c r="A2667" s="14" t="inlineStr">
        <is>
          <t>rxcp</t>
        </is>
      </c>
      <c r="B2667" s="14" t="inlineStr">
        <is>
          <t>nga</t>
        </is>
      </c>
      <c r="C2667" s="14" t="inlineStr">
        <is>
          <t>omn</t>
        </is>
      </c>
      <c r="D2667" s="39" t="n"/>
      <c r="E2667" s="39" t="n"/>
      <c r="F2667" s="39" t="n"/>
      <c r="G2667" s="39" t="n"/>
      <c r="H2667" s="14">
        <f>INDEX(VarLab,MATCH($A2667,VarKey,0))&amp;INDEX(MemLab,MATCH($C2667&amp;"|"&amp;$B2667,MemKey,0))</f>
        <v/>
      </c>
      <c r="I2667" s="14">
        <f>INDEX(VarUnit,MATCH($A2667,VarKey,0))</f>
        <v/>
      </c>
      <c r="J2667" s="14">
        <f>INDEX(VarSrc,MATCH($A2667,VarKey,0))</f>
        <v/>
      </c>
      <c r="K2667" s="11">
        <f>CodePrefix&amp;$A2667&amp;IF($C2667="","","."&amp;$C2667&amp;"."&amp;$B2667)&amp;INDEX(VarEnd,MATCH($A2667,VarKey,0))&amp;K$5</f>
        <v/>
      </c>
      <c r="L2667" s="43">
        <f>L2622*Settings!$C$13*(L2586)</f>
        <v/>
      </c>
      <c r="M2667" s="44">
        <f>M2622*Settings!$C$13*(M2586)</f>
        <v/>
      </c>
      <c r="N2667" s="44">
        <f>N2622*Settings!$C$13*(N2586)</f>
        <v/>
      </c>
      <c r="O2667" s="44">
        <f>O2622*Settings!$C$13*(O2586)</f>
        <v/>
      </c>
      <c r="P2667" s="44">
        <f>P2622*Settings!$C$13*(P2586)</f>
        <v/>
      </c>
      <c r="Q2667" s="44">
        <f>Q2622*Settings!$C$13*(Q2586)</f>
        <v/>
      </c>
      <c r="R2667" s="44">
        <f>R2622*Settings!$C$13*(R2586)</f>
        <v/>
      </c>
      <c r="S2667" s="44">
        <f>S2622*Settings!$C$13*(S2586)</f>
        <v/>
      </c>
      <c r="T2667" s="44">
        <f>T2622*Settings!$C$13*(T2586)</f>
        <v/>
      </c>
      <c r="U2667" s="44">
        <f>U2622*Settings!$C$13*(U2586)</f>
        <v/>
      </c>
      <c r="V2667" s="44">
        <f>V2622*Settings!$C$13*(V2586)</f>
        <v/>
      </c>
      <c r="W2667" s="44">
        <f>W2622*Settings!$C$13*(W2586)</f>
        <v/>
      </c>
      <c r="X2667" s="44">
        <f>X2622*Settings!$C$13*(X2586)</f>
        <v/>
      </c>
      <c r="Y2667" s="44">
        <f>Y2622*Settings!$C$13*(Y2586)</f>
        <v/>
      </c>
      <c r="Z2667" s="44">
        <f>Z2622*Settings!$C$13*(Z2586)</f>
        <v/>
      </c>
      <c r="AA2667" s="44">
        <f>AA2622*Settings!$C$13*(AA2586)</f>
        <v/>
      </c>
      <c r="AB2667" s="44">
        <f>AB2622*Settings!$C$13*(AB2586)</f>
        <v/>
      </c>
      <c r="AC2667" s="44">
        <f>AC2622*Settings!$C$13*(AC2586)</f>
        <v/>
      </c>
      <c r="AD2667" s="44">
        <f>AD2622*Settings!$C$13*(AD2586)</f>
        <v/>
      </c>
      <c r="AE2667" s="57">
        <f>REVENUE(AE2622,Settings!$C$13,AE2586)</f>
        <v/>
      </c>
      <c r="AG2667" s="11">
        <f>CodePrefix&amp;$A2667&amp;IF($C2667="","","."&amp;$C2667&amp;"."&amp;$B2667)&amp;INDEX(VarEnd,MATCH($A2667,VarKey,0))&amp;AG$5</f>
        <v/>
      </c>
      <c r="AH2667" s="43">
        <f>AH2622*Settings!$C$13*(AH2586)</f>
        <v/>
      </c>
      <c r="AI2667" s="44">
        <f>AI2622*Settings!$C$13*(AI2586)</f>
        <v/>
      </c>
      <c r="AJ2667" s="44">
        <f>AJ2622*Settings!$C$13*(AJ2586)</f>
        <v/>
      </c>
      <c r="AK2667" s="44">
        <f>AK2622*Settings!$C$13*(AK2586)</f>
        <v/>
      </c>
      <c r="AL2667" s="44">
        <f>AL2622*Settings!$C$13*(AL2586)</f>
        <v/>
      </c>
      <c r="AM2667" s="44">
        <f>AM2622*Settings!$C$13*(AM2586)</f>
        <v/>
      </c>
      <c r="AN2667" s="44">
        <f>AN2622*Settings!$C$13*(AN2586)</f>
        <v/>
      </c>
      <c r="AO2667" s="44">
        <f>AO2622*Settings!$C$13*(AO2586)</f>
        <v/>
      </c>
      <c r="AP2667" s="44">
        <f>AP2622*Settings!$C$13*(AP2586)</f>
        <v/>
      </c>
      <c r="AQ2667" s="44">
        <f>AQ2622*Settings!$C$13*(AQ2586)</f>
        <v/>
      </c>
      <c r="AR2667" s="44">
        <f>AR2622*Settings!$C$13*(AR2586)</f>
        <v/>
      </c>
      <c r="AS2667" s="44">
        <f>AS2622*Settings!$C$13*(AS2586)</f>
        <v/>
      </c>
      <c r="AT2667" s="44">
        <f>AT2622*Settings!$C$13*(AT2586)</f>
        <v/>
      </c>
      <c r="AU2667" s="44">
        <f>AU2622*Settings!$C$13*(AU2586)</f>
        <v/>
      </c>
      <c r="AV2667" s="44">
        <f>AV2622*Settings!$C$13*(AV2586)</f>
        <v/>
      </c>
      <c r="AW2667" s="44">
        <f>AW2622*Settings!$C$13*(AW2586)</f>
        <v/>
      </c>
      <c r="AX2667" s="44">
        <f>AX2622*Settings!$C$13*(AX2586)</f>
        <v/>
      </c>
      <c r="AY2667" s="44">
        <f>AY2622*Settings!$C$13*(AY2586)</f>
        <v/>
      </c>
      <c r="AZ2667" s="44">
        <f>AZ2622*Settings!$C$13*(AZ2586)</f>
        <v/>
      </c>
      <c r="BA2667" s="57">
        <f>REVENUE(BA2622,Settings!$C$13,BA2586)</f>
        <v/>
      </c>
    </row>
    <row r="2668" hidden="1" outlineLevel="2">
      <c r="A2668" s="14" t="inlineStr">
        <is>
          <t>rxcp</t>
        </is>
      </c>
      <c r="B2668" s="14" t="inlineStr">
        <is>
          <t>gso</t>
        </is>
      </c>
      <c r="C2668" s="14" t="inlineStr">
        <is>
          <t>omn</t>
        </is>
      </c>
      <c r="D2668" s="39" t="n"/>
      <c r="E2668" s="39" t="n"/>
      <c r="F2668" s="39" t="n"/>
      <c r="G2668" s="39" t="n"/>
      <c r="H2668" s="14">
        <f>INDEX(VarLab,MATCH($A2668,VarKey,0))&amp;INDEX(MemLab,MATCH($C2668&amp;"|"&amp;$B2668,MemKey,0))</f>
        <v/>
      </c>
      <c r="I2668" s="14">
        <f>INDEX(VarUnit,MATCH($A2668,VarKey,0))</f>
        <v/>
      </c>
      <c r="J2668" s="14">
        <f>INDEX(VarSrc,MATCH($A2668,VarKey,0))</f>
        <v/>
      </c>
      <c r="K2668" s="11">
        <f>CodePrefix&amp;$A2668&amp;IF($C2668="","","."&amp;$C2668&amp;"."&amp;$B2668)&amp;INDEX(VarEnd,MATCH($A2668,VarKey,0))&amp;K$5</f>
        <v/>
      </c>
      <c r="L2668" s="43">
        <f>L2623*Settings!$C$13*(L2587)</f>
        <v/>
      </c>
      <c r="M2668" s="44">
        <f>M2623*Settings!$C$13*(M2587)</f>
        <v/>
      </c>
      <c r="N2668" s="44">
        <f>N2623*Settings!$C$13*(N2587)</f>
        <v/>
      </c>
      <c r="O2668" s="44">
        <f>O2623*Settings!$C$13*(O2587)</f>
        <v/>
      </c>
      <c r="P2668" s="44">
        <f>P2623*Settings!$C$13*(P2587)</f>
        <v/>
      </c>
      <c r="Q2668" s="44">
        <f>Q2623*Settings!$C$13*(Q2587)</f>
        <v/>
      </c>
      <c r="R2668" s="44">
        <f>R2623*Settings!$C$13*(R2587)</f>
        <v/>
      </c>
      <c r="S2668" s="44">
        <f>S2623*Settings!$C$13*(S2587)</f>
        <v/>
      </c>
      <c r="T2668" s="44">
        <f>T2623*Settings!$C$13*(T2587)</f>
        <v/>
      </c>
      <c r="U2668" s="44">
        <f>U2623*Settings!$C$13*(U2587)</f>
        <v/>
      </c>
      <c r="V2668" s="44">
        <f>V2623*Settings!$C$13*(V2587)</f>
        <v/>
      </c>
      <c r="W2668" s="44">
        <f>W2623*Settings!$C$13*(W2587)</f>
        <v/>
      </c>
      <c r="X2668" s="44">
        <f>X2623*Settings!$C$13*(X2587)</f>
        <v/>
      </c>
      <c r="Y2668" s="44">
        <f>Y2623*Settings!$C$13*(Y2587)</f>
        <v/>
      </c>
      <c r="Z2668" s="44">
        <f>Z2623*Settings!$C$13*(Z2587)</f>
        <v/>
      </c>
      <c r="AA2668" s="44">
        <f>AA2623*Settings!$C$13*(AA2587)</f>
        <v/>
      </c>
      <c r="AB2668" s="44">
        <f>AB2623*Settings!$C$13*(AB2587)</f>
        <v/>
      </c>
      <c r="AC2668" s="44">
        <f>AC2623*Settings!$C$13*(AC2587)</f>
        <v/>
      </c>
      <c r="AD2668" s="44">
        <f>AD2623*Settings!$C$13*(AD2587)</f>
        <v/>
      </c>
      <c r="AE2668" s="57">
        <f>REVENUE(AE2623,Settings!$C$13,AE2587)</f>
        <v/>
      </c>
      <c r="AG2668" s="11">
        <f>CodePrefix&amp;$A2668&amp;IF($C2668="","","."&amp;$C2668&amp;"."&amp;$B2668)&amp;INDEX(VarEnd,MATCH($A2668,VarKey,0))&amp;AG$5</f>
        <v/>
      </c>
      <c r="AH2668" s="43">
        <f>AH2623*Settings!$C$13*(AH2587)</f>
        <v/>
      </c>
      <c r="AI2668" s="44">
        <f>AI2623*Settings!$C$13*(AI2587)</f>
        <v/>
      </c>
      <c r="AJ2668" s="44">
        <f>AJ2623*Settings!$C$13*(AJ2587)</f>
        <v/>
      </c>
      <c r="AK2668" s="44">
        <f>AK2623*Settings!$C$13*(AK2587)</f>
        <v/>
      </c>
      <c r="AL2668" s="44">
        <f>AL2623*Settings!$C$13*(AL2587)</f>
        <v/>
      </c>
      <c r="AM2668" s="44">
        <f>AM2623*Settings!$C$13*(AM2587)</f>
        <v/>
      </c>
      <c r="AN2668" s="44">
        <f>AN2623*Settings!$C$13*(AN2587)</f>
        <v/>
      </c>
      <c r="AO2668" s="44">
        <f>AO2623*Settings!$C$13*(AO2587)</f>
        <v/>
      </c>
      <c r="AP2668" s="44">
        <f>AP2623*Settings!$C$13*(AP2587)</f>
        <v/>
      </c>
      <c r="AQ2668" s="44">
        <f>AQ2623*Settings!$C$13*(AQ2587)</f>
        <v/>
      </c>
      <c r="AR2668" s="44">
        <f>AR2623*Settings!$C$13*(AR2587)</f>
        <v/>
      </c>
      <c r="AS2668" s="44">
        <f>AS2623*Settings!$C$13*(AS2587)</f>
        <v/>
      </c>
      <c r="AT2668" s="44">
        <f>AT2623*Settings!$C$13*(AT2587)</f>
        <v/>
      </c>
      <c r="AU2668" s="44">
        <f>AU2623*Settings!$C$13*(AU2587)</f>
        <v/>
      </c>
      <c r="AV2668" s="44">
        <f>AV2623*Settings!$C$13*(AV2587)</f>
        <v/>
      </c>
      <c r="AW2668" s="44">
        <f>AW2623*Settings!$C$13*(AW2587)</f>
        <v/>
      </c>
      <c r="AX2668" s="44">
        <f>AX2623*Settings!$C$13*(AX2587)</f>
        <v/>
      </c>
      <c r="AY2668" s="44">
        <f>AY2623*Settings!$C$13*(AY2587)</f>
        <v/>
      </c>
      <c r="AZ2668" s="44">
        <f>AZ2623*Settings!$C$13*(AZ2587)</f>
        <v/>
      </c>
      <c r="BA2668" s="57">
        <f>REVENUE(BA2623,Settings!$C$13,BA2587)</f>
        <v/>
      </c>
    </row>
    <row r="2669" hidden="1" outlineLevel="2">
      <c r="A2669" s="14" t="inlineStr">
        <is>
          <t>rxcp</t>
        </is>
      </c>
      <c r="B2669" s="14" t="inlineStr">
        <is>
          <t>die</t>
        </is>
      </c>
      <c r="C2669" s="14" t="inlineStr">
        <is>
          <t>omn</t>
        </is>
      </c>
      <c r="D2669" s="39" t="n"/>
      <c r="E2669" s="39" t="n"/>
      <c r="F2669" s="39" t="n"/>
      <c r="G2669" s="39" t="n"/>
      <c r="H2669" s="14">
        <f>INDEX(VarLab,MATCH($A2669,VarKey,0))&amp;INDEX(MemLab,MATCH($C2669&amp;"|"&amp;$B2669,MemKey,0))</f>
        <v/>
      </c>
      <c r="I2669" s="14">
        <f>INDEX(VarUnit,MATCH($A2669,VarKey,0))</f>
        <v/>
      </c>
      <c r="J2669" s="14">
        <f>INDEX(VarSrc,MATCH($A2669,VarKey,0))</f>
        <v/>
      </c>
      <c r="K2669" s="11">
        <f>CodePrefix&amp;$A2669&amp;IF($C2669="","","."&amp;$C2669&amp;"."&amp;$B2669)&amp;INDEX(VarEnd,MATCH($A2669,VarKey,0))&amp;K$5</f>
        <v/>
      </c>
      <c r="L2669" s="43">
        <f>L2624*Settings!$C$13*(L2588)</f>
        <v/>
      </c>
      <c r="M2669" s="44">
        <f>M2624*Settings!$C$13*(M2588)</f>
        <v/>
      </c>
      <c r="N2669" s="44">
        <f>N2624*Settings!$C$13*(N2588)</f>
        <v/>
      </c>
      <c r="O2669" s="44">
        <f>O2624*Settings!$C$13*(O2588)</f>
        <v/>
      </c>
      <c r="P2669" s="44">
        <f>P2624*Settings!$C$13*(P2588)</f>
        <v/>
      </c>
      <c r="Q2669" s="44">
        <f>Q2624*Settings!$C$13*(Q2588)</f>
        <v/>
      </c>
      <c r="R2669" s="44">
        <f>R2624*Settings!$C$13*(R2588)</f>
        <v/>
      </c>
      <c r="S2669" s="44">
        <f>S2624*Settings!$C$13*(S2588)</f>
        <v/>
      </c>
      <c r="T2669" s="44">
        <f>T2624*Settings!$C$13*(T2588)</f>
        <v/>
      </c>
      <c r="U2669" s="44">
        <f>U2624*Settings!$C$13*(U2588)</f>
        <v/>
      </c>
      <c r="V2669" s="44">
        <f>V2624*Settings!$C$13*(V2588)</f>
        <v/>
      </c>
      <c r="W2669" s="44">
        <f>W2624*Settings!$C$13*(W2588)</f>
        <v/>
      </c>
      <c r="X2669" s="44">
        <f>X2624*Settings!$C$13*(X2588)</f>
        <v/>
      </c>
      <c r="Y2669" s="44">
        <f>Y2624*Settings!$C$13*(Y2588)</f>
        <v/>
      </c>
      <c r="Z2669" s="44">
        <f>Z2624*Settings!$C$13*(Z2588)</f>
        <v/>
      </c>
      <c r="AA2669" s="44">
        <f>AA2624*Settings!$C$13*(AA2588)</f>
        <v/>
      </c>
      <c r="AB2669" s="44">
        <f>AB2624*Settings!$C$13*(AB2588)</f>
        <v/>
      </c>
      <c r="AC2669" s="44">
        <f>AC2624*Settings!$C$13*(AC2588)</f>
        <v/>
      </c>
      <c r="AD2669" s="44">
        <f>AD2624*Settings!$C$13*(AD2588)</f>
        <v/>
      </c>
      <c r="AE2669" s="57">
        <f>REVENUE(AE2624,Settings!$C$13,AE2588)</f>
        <v/>
      </c>
      <c r="AG2669" s="11">
        <f>CodePrefix&amp;$A2669&amp;IF($C2669="","","."&amp;$C2669&amp;"."&amp;$B2669)&amp;INDEX(VarEnd,MATCH($A2669,VarKey,0))&amp;AG$5</f>
        <v/>
      </c>
      <c r="AH2669" s="43">
        <f>AH2624*Settings!$C$13*(AH2588)</f>
        <v/>
      </c>
      <c r="AI2669" s="44">
        <f>AI2624*Settings!$C$13*(AI2588)</f>
        <v/>
      </c>
      <c r="AJ2669" s="44">
        <f>AJ2624*Settings!$C$13*(AJ2588)</f>
        <v/>
      </c>
      <c r="AK2669" s="44">
        <f>AK2624*Settings!$C$13*(AK2588)</f>
        <v/>
      </c>
      <c r="AL2669" s="44">
        <f>AL2624*Settings!$C$13*(AL2588)</f>
        <v/>
      </c>
      <c r="AM2669" s="44">
        <f>AM2624*Settings!$C$13*(AM2588)</f>
        <v/>
      </c>
      <c r="AN2669" s="44">
        <f>AN2624*Settings!$C$13*(AN2588)</f>
        <v/>
      </c>
      <c r="AO2669" s="44">
        <f>AO2624*Settings!$C$13*(AO2588)</f>
        <v/>
      </c>
      <c r="AP2669" s="44">
        <f>AP2624*Settings!$C$13*(AP2588)</f>
        <v/>
      </c>
      <c r="AQ2669" s="44">
        <f>AQ2624*Settings!$C$13*(AQ2588)</f>
        <v/>
      </c>
      <c r="AR2669" s="44">
        <f>AR2624*Settings!$C$13*(AR2588)</f>
        <v/>
      </c>
      <c r="AS2669" s="44">
        <f>AS2624*Settings!$C$13*(AS2588)</f>
        <v/>
      </c>
      <c r="AT2669" s="44">
        <f>AT2624*Settings!$C$13*(AT2588)</f>
        <v/>
      </c>
      <c r="AU2669" s="44">
        <f>AU2624*Settings!$C$13*(AU2588)</f>
        <v/>
      </c>
      <c r="AV2669" s="44">
        <f>AV2624*Settings!$C$13*(AV2588)</f>
        <v/>
      </c>
      <c r="AW2669" s="44">
        <f>AW2624*Settings!$C$13*(AW2588)</f>
        <v/>
      </c>
      <c r="AX2669" s="44">
        <f>AX2624*Settings!$C$13*(AX2588)</f>
        <v/>
      </c>
      <c r="AY2669" s="44">
        <f>AY2624*Settings!$C$13*(AY2588)</f>
        <v/>
      </c>
      <c r="AZ2669" s="44">
        <f>AZ2624*Settings!$C$13*(AZ2588)</f>
        <v/>
      </c>
      <c r="BA2669" s="57">
        <f>REVENUE(BA2624,Settings!$C$13,BA2588)</f>
        <v/>
      </c>
    </row>
    <row r="2670" hidden="1" outlineLevel="2">
      <c r="A2670" s="14" t="inlineStr">
        <is>
          <t>rxcp</t>
        </is>
      </c>
      <c r="B2670" s="14" t="inlineStr">
        <is>
          <t>lpg</t>
        </is>
      </c>
      <c r="C2670" s="14" t="inlineStr">
        <is>
          <t>omn</t>
        </is>
      </c>
      <c r="D2670" s="39" t="n"/>
      <c r="E2670" s="39" t="n"/>
      <c r="F2670" s="39" t="n"/>
      <c r="G2670" s="39" t="n"/>
      <c r="H2670" s="14">
        <f>INDEX(VarLab,MATCH($A2670,VarKey,0))&amp;INDEX(MemLab,MATCH($C2670&amp;"|"&amp;$B2670,MemKey,0))</f>
        <v/>
      </c>
      <c r="I2670" s="14">
        <f>INDEX(VarUnit,MATCH($A2670,VarKey,0))</f>
        <v/>
      </c>
      <c r="J2670" s="14">
        <f>INDEX(VarSrc,MATCH($A2670,VarKey,0))</f>
        <v/>
      </c>
      <c r="K2670" s="11">
        <f>CodePrefix&amp;$A2670&amp;IF($C2670="","","."&amp;$C2670&amp;"."&amp;$B2670)&amp;INDEX(VarEnd,MATCH($A2670,VarKey,0))&amp;K$5</f>
        <v/>
      </c>
      <c r="L2670" s="43">
        <f>L2625*Settings!$C$13*(L2589)</f>
        <v/>
      </c>
      <c r="M2670" s="44">
        <f>M2625*Settings!$C$13*(M2589)</f>
        <v/>
      </c>
      <c r="N2670" s="44">
        <f>N2625*Settings!$C$13*(N2589)</f>
        <v/>
      </c>
      <c r="O2670" s="44">
        <f>O2625*Settings!$C$13*(O2589)</f>
        <v/>
      </c>
      <c r="P2670" s="44">
        <f>P2625*Settings!$C$13*(P2589)</f>
        <v/>
      </c>
      <c r="Q2670" s="44">
        <f>Q2625*Settings!$C$13*(Q2589)</f>
        <v/>
      </c>
      <c r="R2670" s="44">
        <f>R2625*Settings!$C$13*(R2589)</f>
        <v/>
      </c>
      <c r="S2670" s="44">
        <f>S2625*Settings!$C$13*(S2589)</f>
        <v/>
      </c>
      <c r="T2670" s="44">
        <f>T2625*Settings!$C$13*(T2589)</f>
        <v/>
      </c>
      <c r="U2670" s="44">
        <f>U2625*Settings!$C$13*(U2589)</f>
        <v/>
      </c>
      <c r="V2670" s="44">
        <f>V2625*Settings!$C$13*(V2589)</f>
        <v/>
      </c>
      <c r="W2670" s="44">
        <f>W2625*Settings!$C$13*(W2589)</f>
        <v/>
      </c>
      <c r="X2670" s="44">
        <f>X2625*Settings!$C$13*(X2589)</f>
        <v/>
      </c>
      <c r="Y2670" s="44">
        <f>Y2625*Settings!$C$13*(Y2589)</f>
        <v/>
      </c>
      <c r="Z2670" s="44">
        <f>Z2625*Settings!$C$13*(Z2589)</f>
        <v/>
      </c>
      <c r="AA2670" s="44">
        <f>AA2625*Settings!$C$13*(AA2589)</f>
        <v/>
      </c>
      <c r="AB2670" s="44">
        <f>AB2625*Settings!$C$13*(AB2589)</f>
        <v/>
      </c>
      <c r="AC2670" s="44">
        <f>AC2625*Settings!$C$13*(AC2589)</f>
        <v/>
      </c>
      <c r="AD2670" s="44">
        <f>AD2625*Settings!$C$13*(AD2589)</f>
        <v/>
      </c>
      <c r="AE2670" s="57">
        <f>REVENUE(AE2625,Settings!$C$13,AE2589)</f>
        <v/>
      </c>
      <c r="AG2670" s="11">
        <f>CodePrefix&amp;$A2670&amp;IF($C2670="","","."&amp;$C2670&amp;"."&amp;$B2670)&amp;INDEX(VarEnd,MATCH($A2670,VarKey,0))&amp;AG$5</f>
        <v/>
      </c>
      <c r="AH2670" s="43">
        <f>AH2625*Settings!$C$13*(AH2589)</f>
        <v/>
      </c>
      <c r="AI2670" s="44">
        <f>AI2625*Settings!$C$13*(AI2589)</f>
        <v/>
      </c>
      <c r="AJ2670" s="44">
        <f>AJ2625*Settings!$C$13*(AJ2589)</f>
        <v/>
      </c>
      <c r="AK2670" s="44">
        <f>AK2625*Settings!$C$13*(AK2589)</f>
        <v/>
      </c>
      <c r="AL2670" s="44">
        <f>AL2625*Settings!$C$13*(AL2589)</f>
        <v/>
      </c>
      <c r="AM2670" s="44">
        <f>AM2625*Settings!$C$13*(AM2589)</f>
        <v/>
      </c>
      <c r="AN2670" s="44">
        <f>AN2625*Settings!$C$13*(AN2589)</f>
        <v/>
      </c>
      <c r="AO2670" s="44">
        <f>AO2625*Settings!$C$13*(AO2589)</f>
        <v/>
      </c>
      <c r="AP2670" s="44">
        <f>AP2625*Settings!$C$13*(AP2589)</f>
        <v/>
      </c>
      <c r="AQ2670" s="44">
        <f>AQ2625*Settings!$C$13*(AQ2589)</f>
        <v/>
      </c>
      <c r="AR2670" s="44">
        <f>AR2625*Settings!$C$13*(AR2589)</f>
        <v/>
      </c>
      <c r="AS2670" s="44">
        <f>AS2625*Settings!$C$13*(AS2589)</f>
        <v/>
      </c>
      <c r="AT2670" s="44">
        <f>AT2625*Settings!$C$13*(AT2589)</f>
        <v/>
      </c>
      <c r="AU2670" s="44">
        <f>AU2625*Settings!$C$13*(AU2589)</f>
        <v/>
      </c>
      <c r="AV2670" s="44">
        <f>AV2625*Settings!$C$13*(AV2589)</f>
        <v/>
      </c>
      <c r="AW2670" s="44">
        <f>AW2625*Settings!$C$13*(AW2589)</f>
        <v/>
      </c>
      <c r="AX2670" s="44">
        <f>AX2625*Settings!$C$13*(AX2589)</f>
        <v/>
      </c>
      <c r="AY2670" s="44">
        <f>AY2625*Settings!$C$13*(AY2589)</f>
        <v/>
      </c>
      <c r="AZ2670" s="44">
        <f>AZ2625*Settings!$C$13*(AZ2589)</f>
        <v/>
      </c>
      <c r="BA2670" s="57">
        <f>REVENUE(BA2625,Settings!$C$13,BA2589)</f>
        <v/>
      </c>
    </row>
    <row r="2671" hidden="1" outlineLevel="2">
      <c r="A2671" s="14" t="inlineStr">
        <is>
          <t>rxcp</t>
        </is>
      </c>
      <c r="B2671" s="14" t="inlineStr">
        <is>
          <t>ker</t>
        </is>
      </c>
      <c r="C2671" s="14" t="inlineStr">
        <is>
          <t>omn</t>
        </is>
      </c>
      <c r="D2671" s="39" t="n"/>
      <c r="E2671" s="39" t="n"/>
      <c r="F2671" s="39" t="n"/>
      <c r="G2671" s="39" t="n"/>
      <c r="H2671" s="14">
        <f>INDEX(VarLab,MATCH($A2671,VarKey,0))&amp;INDEX(MemLab,MATCH($C2671&amp;"|"&amp;$B2671,MemKey,0))</f>
        <v/>
      </c>
      <c r="I2671" s="14">
        <f>INDEX(VarUnit,MATCH($A2671,VarKey,0))</f>
        <v/>
      </c>
      <c r="J2671" s="14">
        <f>INDEX(VarSrc,MATCH($A2671,VarKey,0))</f>
        <v/>
      </c>
      <c r="K2671" s="11">
        <f>CodePrefix&amp;$A2671&amp;IF($C2671="","","."&amp;$C2671&amp;"."&amp;$B2671)&amp;INDEX(VarEnd,MATCH($A2671,VarKey,0))&amp;K$5</f>
        <v/>
      </c>
      <c r="L2671" s="43">
        <f>L2626*Settings!$C$13*(L2590)</f>
        <v/>
      </c>
      <c r="M2671" s="44">
        <f>M2626*Settings!$C$13*(M2590)</f>
        <v/>
      </c>
      <c r="N2671" s="44">
        <f>N2626*Settings!$C$13*(N2590)</f>
        <v/>
      </c>
      <c r="O2671" s="44">
        <f>O2626*Settings!$C$13*(O2590)</f>
        <v/>
      </c>
      <c r="P2671" s="44">
        <f>P2626*Settings!$C$13*(P2590)</f>
        <v/>
      </c>
      <c r="Q2671" s="44">
        <f>Q2626*Settings!$C$13*(Q2590)</f>
        <v/>
      </c>
      <c r="R2671" s="44">
        <f>R2626*Settings!$C$13*(R2590)</f>
        <v/>
      </c>
      <c r="S2671" s="44">
        <f>S2626*Settings!$C$13*(S2590)</f>
        <v/>
      </c>
      <c r="T2671" s="44">
        <f>T2626*Settings!$C$13*(T2590)</f>
        <v/>
      </c>
      <c r="U2671" s="44">
        <f>U2626*Settings!$C$13*(U2590)</f>
        <v/>
      </c>
      <c r="V2671" s="44">
        <f>V2626*Settings!$C$13*(V2590)</f>
        <v/>
      </c>
      <c r="W2671" s="44">
        <f>W2626*Settings!$C$13*(W2590)</f>
        <v/>
      </c>
      <c r="X2671" s="44">
        <f>X2626*Settings!$C$13*(X2590)</f>
        <v/>
      </c>
      <c r="Y2671" s="44">
        <f>Y2626*Settings!$C$13*(Y2590)</f>
        <v/>
      </c>
      <c r="Z2671" s="44">
        <f>Z2626*Settings!$C$13*(Z2590)</f>
        <v/>
      </c>
      <c r="AA2671" s="44">
        <f>AA2626*Settings!$C$13*(AA2590)</f>
        <v/>
      </c>
      <c r="AB2671" s="44">
        <f>AB2626*Settings!$C$13*(AB2590)</f>
        <v/>
      </c>
      <c r="AC2671" s="44">
        <f>AC2626*Settings!$C$13*(AC2590)</f>
        <v/>
      </c>
      <c r="AD2671" s="44">
        <f>AD2626*Settings!$C$13*(AD2590)</f>
        <v/>
      </c>
      <c r="AE2671" s="57">
        <f>REVENUE(AE2626,Settings!$C$13,AE2590)</f>
        <v/>
      </c>
      <c r="AG2671" s="11">
        <f>CodePrefix&amp;$A2671&amp;IF($C2671="","","."&amp;$C2671&amp;"."&amp;$B2671)&amp;INDEX(VarEnd,MATCH($A2671,VarKey,0))&amp;AG$5</f>
        <v/>
      </c>
      <c r="AH2671" s="43">
        <f>AH2626*Settings!$C$13*(AH2590)</f>
        <v/>
      </c>
      <c r="AI2671" s="44">
        <f>AI2626*Settings!$C$13*(AI2590)</f>
        <v/>
      </c>
      <c r="AJ2671" s="44">
        <f>AJ2626*Settings!$C$13*(AJ2590)</f>
        <v/>
      </c>
      <c r="AK2671" s="44">
        <f>AK2626*Settings!$C$13*(AK2590)</f>
        <v/>
      </c>
      <c r="AL2671" s="44">
        <f>AL2626*Settings!$C$13*(AL2590)</f>
        <v/>
      </c>
      <c r="AM2671" s="44">
        <f>AM2626*Settings!$C$13*(AM2590)</f>
        <v/>
      </c>
      <c r="AN2671" s="44">
        <f>AN2626*Settings!$C$13*(AN2590)</f>
        <v/>
      </c>
      <c r="AO2671" s="44">
        <f>AO2626*Settings!$C$13*(AO2590)</f>
        <v/>
      </c>
      <c r="AP2671" s="44">
        <f>AP2626*Settings!$C$13*(AP2590)</f>
        <v/>
      </c>
      <c r="AQ2671" s="44">
        <f>AQ2626*Settings!$C$13*(AQ2590)</f>
        <v/>
      </c>
      <c r="AR2671" s="44">
        <f>AR2626*Settings!$C$13*(AR2590)</f>
        <v/>
      </c>
      <c r="AS2671" s="44">
        <f>AS2626*Settings!$C$13*(AS2590)</f>
        <v/>
      </c>
      <c r="AT2671" s="44">
        <f>AT2626*Settings!$C$13*(AT2590)</f>
        <v/>
      </c>
      <c r="AU2671" s="44">
        <f>AU2626*Settings!$C$13*(AU2590)</f>
        <v/>
      </c>
      <c r="AV2671" s="44">
        <f>AV2626*Settings!$C$13*(AV2590)</f>
        <v/>
      </c>
      <c r="AW2671" s="44">
        <f>AW2626*Settings!$C$13*(AW2590)</f>
        <v/>
      </c>
      <c r="AX2671" s="44">
        <f>AX2626*Settings!$C$13*(AX2590)</f>
        <v/>
      </c>
      <c r="AY2671" s="44">
        <f>AY2626*Settings!$C$13*(AY2590)</f>
        <v/>
      </c>
      <c r="AZ2671" s="44">
        <f>AZ2626*Settings!$C$13*(AZ2590)</f>
        <v/>
      </c>
      <c r="BA2671" s="57">
        <f>REVENUE(BA2626,Settings!$C$13,BA2590)</f>
        <v/>
      </c>
    </row>
    <row r="2672" hidden="1" outlineLevel="2">
      <c r="A2672" s="14" t="inlineStr">
        <is>
          <t>rxcp</t>
        </is>
      </c>
      <c r="B2672" s="14" t="inlineStr">
        <is>
          <t>oop</t>
        </is>
      </c>
      <c r="C2672" s="14" t="inlineStr">
        <is>
          <t>omn</t>
        </is>
      </c>
      <c r="D2672" s="39" t="n"/>
      <c r="E2672" s="39" t="n"/>
      <c r="F2672" s="39" t="n"/>
      <c r="G2672" s="39" t="n"/>
      <c r="H2672" s="14">
        <f>INDEX(VarLab,MATCH($A2672,VarKey,0))&amp;INDEX(MemLab,MATCH($C2672&amp;"|"&amp;$B2672,MemKey,0))</f>
        <v/>
      </c>
      <c r="I2672" s="14">
        <f>INDEX(VarUnit,MATCH($A2672,VarKey,0))</f>
        <v/>
      </c>
      <c r="J2672" s="14">
        <f>INDEX(VarSrc,MATCH($A2672,VarKey,0))</f>
        <v/>
      </c>
      <c r="K2672" s="11">
        <f>CodePrefix&amp;$A2672&amp;IF($C2672="","","."&amp;$C2672&amp;"."&amp;$B2672)&amp;INDEX(VarEnd,MATCH($A2672,VarKey,0))&amp;K$5</f>
        <v/>
      </c>
      <c r="L2672" s="43">
        <f>L2627*Settings!$C$13*(L2591)</f>
        <v/>
      </c>
      <c r="M2672" s="44">
        <f>M2627*Settings!$C$13*(M2591)</f>
        <v/>
      </c>
      <c r="N2672" s="44">
        <f>N2627*Settings!$C$13*(N2591)</f>
        <v/>
      </c>
      <c r="O2672" s="44">
        <f>O2627*Settings!$C$13*(O2591)</f>
        <v/>
      </c>
      <c r="P2672" s="44">
        <f>P2627*Settings!$C$13*(P2591)</f>
        <v/>
      </c>
      <c r="Q2672" s="44">
        <f>Q2627*Settings!$C$13*(Q2591)</f>
        <v/>
      </c>
      <c r="R2672" s="44">
        <f>R2627*Settings!$C$13*(R2591)</f>
        <v/>
      </c>
      <c r="S2672" s="44">
        <f>S2627*Settings!$C$13*(S2591)</f>
        <v/>
      </c>
      <c r="T2672" s="44">
        <f>T2627*Settings!$C$13*(T2591)</f>
        <v/>
      </c>
      <c r="U2672" s="44">
        <f>U2627*Settings!$C$13*(U2591)</f>
        <v/>
      </c>
      <c r="V2672" s="44">
        <f>V2627*Settings!$C$13*(V2591)</f>
        <v/>
      </c>
      <c r="W2672" s="44">
        <f>W2627*Settings!$C$13*(W2591)</f>
        <v/>
      </c>
      <c r="X2672" s="44">
        <f>X2627*Settings!$C$13*(X2591)</f>
        <v/>
      </c>
      <c r="Y2672" s="44">
        <f>Y2627*Settings!$C$13*(Y2591)</f>
        <v/>
      </c>
      <c r="Z2672" s="44">
        <f>Z2627*Settings!$C$13*(Z2591)</f>
        <v/>
      </c>
      <c r="AA2672" s="44">
        <f>AA2627*Settings!$C$13*(AA2591)</f>
        <v/>
      </c>
      <c r="AB2672" s="44">
        <f>AB2627*Settings!$C$13*(AB2591)</f>
        <v/>
      </c>
      <c r="AC2672" s="44">
        <f>AC2627*Settings!$C$13*(AC2591)</f>
        <v/>
      </c>
      <c r="AD2672" s="44">
        <f>AD2627*Settings!$C$13*(AD2591)</f>
        <v/>
      </c>
      <c r="AE2672" s="57">
        <f>REVENUE(AE2627,Settings!$C$13,AE2591)</f>
        <v/>
      </c>
      <c r="AG2672" s="11">
        <f>CodePrefix&amp;$A2672&amp;IF($C2672="","","."&amp;$C2672&amp;"."&amp;$B2672)&amp;INDEX(VarEnd,MATCH($A2672,VarKey,0))&amp;AG$5</f>
        <v/>
      </c>
      <c r="AH2672" s="43">
        <f>AH2627*Settings!$C$13*(AH2591)</f>
        <v/>
      </c>
      <c r="AI2672" s="44">
        <f>AI2627*Settings!$C$13*(AI2591)</f>
        <v/>
      </c>
      <c r="AJ2672" s="44">
        <f>AJ2627*Settings!$C$13*(AJ2591)</f>
        <v/>
      </c>
      <c r="AK2672" s="44">
        <f>AK2627*Settings!$C$13*(AK2591)</f>
        <v/>
      </c>
      <c r="AL2672" s="44">
        <f>AL2627*Settings!$C$13*(AL2591)</f>
        <v/>
      </c>
      <c r="AM2672" s="44">
        <f>AM2627*Settings!$C$13*(AM2591)</f>
        <v/>
      </c>
      <c r="AN2672" s="44">
        <f>AN2627*Settings!$C$13*(AN2591)</f>
        <v/>
      </c>
      <c r="AO2672" s="44">
        <f>AO2627*Settings!$C$13*(AO2591)</f>
        <v/>
      </c>
      <c r="AP2672" s="44">
        <f>AP2627*Settings!$C$13*(AP2591)</f>
        <v/>
      </c>
      <c r="AQ2672" s="44">
        <f>AQ2627*Settings!$C$13*(AQ2591)</f>
        <v/>
      </c>
      <c r="AR2672" s="44">
        <f>AR2627*Settings!$C$13*(AR2591)</f>
        <v/>
      </c>
      <c r="AS2672" s="44">
        <f>AS2627*Settings!$C$13*(AS2591)</f>
        <v/>
      </c>
      <c r="AT2672" s="44">
        <f>AT2627*Settings!$C$13*(AT2591)</f>
        <v/>
      </c>
      <c r="AU2672" s="44">
        <f>AU2627*Settings!$C$13*(AU2591)</f>
        <v/>
      </c>
      <c r="AV2672" s="44">
        <f>AV2627*Settings!$C$13*(AV2591)</f>
        <v/>
      </c>
      <c r="AW2672" s="44">
        <f>AW2627*Settings!$C$13*(AW2591)</f>
        <v/>
      </c>
      <c r="AX2672" s="44">
        <f>AX2627*Settings!$C$13*(AX2591)</f>
        <v/>
      </c>
      <c r="AY2672" s="44">
        <f>AY2627*Settings!$C$13*(AY2591)</f>
        <v/>
      </c>
      <c r="AZ2672" s="44">
        <f>AZ2627*Settings!$C$13*(AZ2591)</f>
        <v/>
      </c>
      <c r="BA2672" s="57">
        <f>REVENUE(BA2627,Settings!$C$13,BA2591)</f>
        <v/>
      </c>
    </row>
    <row r="2673" hidden="1" outlineLevel="2">
      <c r="A2673" s="14" t="inlineStr">
        <is>
          <t>rxcp</t>
        </is>
      </c>
      <c r="B2673" s="14" t="inlineStr">
        <is>
          <t>bio</t>
        </is>
      </c>
      <c r="C2673" s="14" t="inlineStr">
        <is>
          <t>omn</t>
        </is>
      </c>
      <c r="D2673" s="39" t="n"/>
      <c r="E2673" s="39" t="n"/>
      <c r="F2673" s="39" t="n"/>
      <c r="G2673" s="39" t="n"/>
      <c r="H2673" s="14">
        <f>INDEX(VarLab,MATCH($A2673,VarKey,0))&amp;INDEX(MemLab,MATCH($C2673&amp;"|"&amp;$B2673,MemKey,0))</f>
        <v/>
      </c>
      <c r="I2673" s="14">
        <f>INDEX(VarUnit,MATCH($A2673,VarKey,0))</f>
        <v/>
      </c>
      <c r="J2673" s="14">
        <f>INDEX(VarSrc,MATCH($A2673,VarKey,0))</f>
        <v/>
      </c>
      <c r="K2673" s="11">
        <f>CodePrefix&amp;$A2673&amp;IF($C2673="","","."&amp;$C2673&amp;"."&amp;$B2673)&amp;INDEX(VarEnd,MATCH($A2673,VarKey,0))&amp;K$5</f>
        <v/>
      </c>
      <c r="L2673" s="43">
        <f>L2628*Settings!$C$13*(L2592)</f>
        <v/>
      </c>
      <c r="M2673" s="44">
        <f>M2628*Settings!$C$13*(M2592)</f>
        <v/>
      </c>
      <c r="N2673" s="44">
        <f>N2628*Settings!$C$13*(N2592)</f>
        <v/>
      </c>
      <c r="O2673" s="44">
        <f>O2628*Settings!$C$13*(O2592)</f>
        <v/>
      </c>
      <c r="P2673" s="44">
        <f>P2628*Settings!$C$13*(P2592)</f>
        <v/>
      </c>
      <c r="Q2673" s="44">
        <f>Q2628*Settings!$C$13*(Q2592)</f>
        <v/>
      </c>
      <c r="R2673" s="44">
        <f>R2628*Settings!$C$13*(R2592)</f>
        <v/>
      </c>
      <c r="S2673" s="44">
        <f>S2628*Settings!$C$13*(S2592)</f>
        <v/>
      </c>
      <c r="T2673" s="44">
        <f>T2628*Settings!$C$13*(T2592)</f>
        <v/>
      </c>
      <c r="U2673" s="44">
        <f>U2628*Settings!$C$13*(U2592)</f>
        <v/>
      </c>
      <c r="V2673" s="44">
        <f>V2628*Settings!$C$13*(V2592)</f>
        <v/>
      </c>
      <c r="W2673" s="44">
        <f>W2628*Settings!$C$13*(W2592)</f>
        <v/>
      </c>
      <c r="X2673" s="44">
        <f>X2628*Settings!$C$13*(X2592)</f>
        <v/>
      </c>
      <c r="Y2673" s="44">
        <f>Y2628*Settings!$C$13*(Y2592)</f>
        <v/>
      </c>
      <c r="Z2673" s="44">
        <f>Z2628*Settings!$C$13*(Z2592)</f>
        <v/>
      </c>
      <c r="AA2673" s="44">
        <f>AA2628*Settings!$C$13*(AA2592)</f>
        <v/>
      </c>
      <c r="AB2673" s="44">
        <f>AB2628*Settings!$C$13*(AB2592)</f>
        <v/>
      </c>
      <c r="AC2673" s="44">
        <f>AC2628*Settings!$C$13*(AC2592)</f>
        <v/>
      </c>
      <c r="AD2673" s="44">
        <f>AD2628*Settings!$C$13*(AD2592)</f>
        <v/>
      </c>
      <c r="AE2673" s="57">
        <f>REVENUE(AE2628,Settings!$C$13,AE2592)</f>
        <v/>
      </c>
      <c r="AG2673" s="11">
        <f>CodePrefix&amp;$A2673&amp;IF($C2673="","","."&amp;$C2673&amp;"."&amp;$B2673)&amp;INDEX(VarEnd,MATCH($A2673,VarKey,0))&amp;AG$5</f>
        <v/>
      </c>
      <c r="AH2673" s="43">
        <f>AH2628*Settings!$C$13*(AH2592)</f>
        <v/>
      </c>
      <c r="AI2673" s="44">
        <f>AI2628*Settings!$C$13*(AI2592)</f>
        <v/>
      </c>
      <c r="AJ2673" s="44">
        <f>AJ2628*Settings!$C$13*(AJ2592)</f>
        <v/>
      </c>
      <c r="AK2673" s="44">
        <f>AK2628*Settings!$C$13*(AK2592)</f>
        <v/>
      </c>
      <c r="AL2673" s="44">
        <f>AL2628*Settings!$C$13*(AL2592)</f>
        <v/>
      </c>
      <c r="AM2673" s="44">
        <f>AM2628*Settings!$C$13*(AM2592)</f>
        <v/>
      </c>
      <c r="AN2673" s="44">
        <f>AN2628*Settings!$C$13*(AN2592)</f>
        <v/>
      </c>
      <c r="AO2673" s="44">
        <f>AO2628*Settings!$C$13*(AO2592)</f>
        <v/>
      </c>
      <c r="AP2673" s="44">
        <f>AP2628*Settings!$C$13*(AP2592)</f>
        <v/>
      </c>
      <c r="AQ2673" s="44">
        <f>AQ2628*Settings!$C$13*(AQ2592)</f>
        <v/>
      </c>
      <c r="AR2673" s="44">
        <f>AR2628*Settings!$C$13*(AR2592)</f>
        <v/>
      </c>
      <c r="AS2673" s="44">
        <f>AS2628*Settings!$C$13*(AS2592)</f>
        <v/>
      </c>
      <c r="AT2673" s="44">
        <f>AT2628*Settings!$C$13*(AT2592)</f>
        <v/>
      </c>
      <c r="AU2673" s="44">
        <f>AU2628*Settings!$C$13*(AU2592)</f>
        <v/>
      </c>
      <c r="AV2673" s="44">
        <f>AV2628*Settings!$C$13*(AV2592)</f>
        <v/>
      </c>
      <c r="AW2673" s="44">
        <f>AW2628*Settings!$C$13*(AW2592)</f>
        <v/>
      </c>
      <c r="AX2673" s="44">
        <f>AX2628*Settings!$C$13*(AX2592)</f>
        <v/>
      </c>
      <c r="AY2673" s="44">
        <f>AY2628*Settings!$C$13*(AY2592)</f>
        <v/>
      </c>
      <c r="AZ2673" s="44">
        <f>AZ2628*Settings!$C$13*(AZ2592)</f>
        <v/>
      </c>
      <c r="BA2673" s="57">
        <f>REVENUE(BA2628,Settings!$C$13,BA2592)</f>
        <v/>
      </c>
    </row>
    <row r="2674" hidden="1" outlineLevel="2"/>
    <row r="2675" hidden="1" outlineLevel="1" collapsed="1">
      <c r="A2675" s="1" t="inlineStr">
        <is>
          <t>ener</t>
        </is>
      </c>
      <c r="B2675" s="1" t="inlineStr">
        <is>
          <t>all</t>
        </is>
      </c>
      <c r="C2675" s="1" t="inlineStr">
        <is>
          <t>cst</t>
        </is>
      </c>
      <c r="H2675" s="1">
        <f>INDEX(VarLab,MATCH($A2675,VarKey,0))&amp;INDEX(MemLab,MATCH($C2675&amp;"|"&amp;$B2675,MemKey,0))</f>
        <v/>
      </c>
      <c r="I2675" s="1">
        <f>INDEX(VarUnit,MATCH($A2675,VarKey,0))</f>
        <v/>
      </c>
      <c r="J2675" s="1">
        <f>INDEX(VarSrc,MATCH($A2675,VarKey,0))</f>
        <v/>
      </c>
      <c r="K2675" s="17">
        <f>CodePrefix&amp;$A2675&amp;IF($C2675="","","."&amp;$C2675&amp;"."&amp;$B2675)&amp;INDEX(VarEnd,MATCH($A2675,VarKey,0))&amp;K$5</f>
        <v/>
      </c>
      <c r="L2675" s="68">
        <f>SUM(L2749:L2756)</f>
        <v/>
      </c>
      <c r="M2675" s="69">
        <f>SUM(M2749:M2756)</f>
        <v/>
      </c>
      <c r="N2675" s="69">
        <f>SUM(N2749:N2756)</f>
        <v/>
      </c>
      <c r="O2675" s="69">
        <f>SUM(O2749:O2756)</f>
        <v/>
      </c>
      <c r="P2675" s="69">
        <f>SUM(P2749:P2756)</f>
        <v/>
      </c>
      <c r="Q2675" s="69">
        <f>SUM(Q2749:Q2756)</f>
        <v/>
      </c>
      <c r="R2675" s="69">
        <f>SUM(R2749:R2756)</f>
        <v/>
      </c>
      <c r="S2675" s="69">
        <f>SUM(S2749:S2756)</f>
        <v/>
      </c>
      <c r="T2675" s="69">
        <f>SUM(T2749:T2756)</f>
        <v/>
      </c>
      <c r="U2675" s="69">
        <f>SUM(U2749:U2756)</f>
        <v/>
      </c>
      <c r="V2675" s="69">
        <f>SUM(V2749:V2756)</f>
        <v/>
      </c>
      <c r="W2675" s="69">
        <f>SUM(W2749:W2756)</f>
        <v/>
      </c>
      <c r="X2675" s="69">
        <f>SUM(X2749:X2756)</f>
        <v/>
      </c>
      <c r="Y2675" s="69">
        <f>SUM(Y2749:Y2756)</f>
        <v/>
      </c>
      <c r="Z2675" s="69">
        <f>SUM(Z2749:Z2756)</f>
        <v/>
      </c>
      <c r="AA2675" s="69">
        <f>SUM(AA2749:AA2756)</f>
        <v/>
      </c>
      <c r="AB2675" s="69">
        <f>SUM(AB2749:AB2756)</f>
        <v/>
      </c>
      <c r="AC2675" s="69">
        <f>SUM(AC2749:AC2756)</f>
        <v/>
      </c>
      <c r="AD2675" s="69">
        <f>SUM(AD2749:AD2756)</f>
        <v/>
      </c>
      <c r="AE2675" s="69">
        <f>SUM(AE2749:AE2756)</f>
        <v/>
      </c>
      <c r="AG2675" s="17">
        <f>CodePrefix&amp;$A2675&amp;IF($C2675="","","."&amp;$C2675&amp;"."&amp;$B2675)&amp;INDEX(VarEnd,MATCH($A2675,VarKey,0))&amp;AG$5</f>
        <v/>
      </c>
      <c r="AH2675" s="68">
        <f>SUM(AH2749:AH2756)</f>
        <v/>
      </c>
      <c r="AI2675" s="69">
        <f>SUM(AI2749:AI2756)</f>
        <v/>
      </c>
      <c r="AJ2675" s="69">
        <f>SUM(AJ2749:AJ2756)</f>
        <v/>
      </c>
      <c r="AK2675" s="69">
        <f>SUM(AK2749:AK2756)</f>
        <v/>
      </c>
      <c r="AL2675" s="69">
        <f>SUM(AL2749:AL2756)</f>
        <v/>
      </c>
      <c r="AM2675" s="69">
        <f>SUM(AM2749:AM2756)</f>
        <v/>
      </c>
      <c r="AN2675" s="69">
        <f>SUM(AN2749:AN2756)</f>
        <v/>
      </c>
      <c r="AO2675" s="69">
        <f>SUM(AO2749:AO2756)</f>
        <v/>
      </c>
      <c r="AP2675" s="69">
        <f>SUM(AP2749:AP2756)</f>
        <v/>
      </c>
      <c r="AQ2675" s="69">
        <f>SUM(AQ2749:AQ2756)</f>
        <v/>
      </c>
      <c r="AR2675" s="69">
        <f>SUM(AR2749:AR2756)</f>
        <v/>
      </c>
      <c r="AS2675" s="69">
        <f>SUM(AS2749:AS2756)</f>
        <v/>
      </c>
      <c r="AT2675" s="69">
        <f>SUM(AT2749:AT2756)</f>
        <v/>
      </c>
      <c r="AU2675" s="69">
        <f>SUM(AU2749:AU2756)</f>
        <v/>
      </c>
      <c r="AV2675" s="69">
        <f>SUM(AV2749:AV2756)</f>
        <v/>
      </c>
      <c r="AW2675" s="69">
        <f>SUM(AW2749:AW2756)</f>
        <v/>
      </c>
      <c r="AX2675" s="69">
        <f>SUM(AX2749:AX2756)</f>
        <v/>
      </c>
      <c r="AY2675" s="69">
        <f>SUM(AY2749:AY2756)</f>
        <v/>
      </c>
      <c r="AZ2675" s="69">
        <f>SUM(AZ2749:AZ2756)</f>
        <v/>
      </c>
      <c r="BA2675" s="69">
        <f>SUM(BA2749:BA2756)</f>
        <v/>
      </c>
    </row>
    <row r="2676" hidden="1" outlineLevel="1">
      <c r="A2676" s="67" t="inlineStr">
        <is>
          <t>eldem</t>
        </is>
      </c>
      <c r="B2676" s="67" t="inlineStr">
        <is>
          <t>ecy</t>
        </is>
      </c>
      <c r="C2676" s="67" t="inlineStr">
        <is>
          <t>cst</t>
        </is>
      </c>
      <c r="H2676" s="67">
        <f>INDEX(VarLab,MATCH($A2676,VarKey,0))&amp;INDEX(MemLab,MATCH($C2676&amp;"|"&amp;$B2676,MemKey,0))</f>
        <v/>
      </c>
      <c r="I2676" s="67">
        <f>INDEX(VarUnit,MATCH($A2676,VarKey,0))</f>
        <v/>
      </c>
      <c r="J2676" s="67">
        <f>INDEX(VarSrc,MATCH($A2676,VarKey,0))</f>
        <v/>
      </c>
      <c r="K2676" s="70">
        <f>CodePrefix&amp;$A2676&amp;IF($C2676="","","."&amp;$C2676&amp;"."&amp;$B2676)&amp;INDEX(VarEnd,MATCH($A2676,VarKey,0))&amp;K$5</f>
        <v/>
      </c>
      <c r="L2676" s="71">
        <f>SUMIF($C$674:$C$688,$C2676,L$674:L$688)</f>
        <v/>
      </c>
      <c r="M2676" s="72">
        <f>SUMIF($C$674:$C$688,$C2676,M$674:M$688)</f>
        <v/>
      </c>
      <c r="N2676" s="72">
        <f>SUMIF($C$674:$C$688,$C2676,N$674:N$688)</f>
        <v/>
      </c>
      <c r="O2676" s="72">
        <f>SUMIF($C$674:$C$688,$C2676,O$674:O$688)</f>
        <v/>
      </c>
      <c r="P2676" s="72">
        <f>SUMIF($C$674:$C$688,$C2676,P$674:P$688)</f>
        <v/>
      </c>
      <c r="Q2676" s="72">
        <f>SUMIF($C$674:$C$688,$C2676,Q$674:Q$688)</f>
        <v/>
      </c>
      <c r="R2676" s="72">
        <f>SUMIF($C$674:$C$688,$C2676,R$674:R$688)</f>
        <v/>
      </c>
      <c r="S2676" s="72">
        <f>SUMIF($C$674:$C$688,$C2676,S$674:S$688)</f>
        <v/>
      </c>
      <c r="T2676" s="72">
        <f>SUMIF($C$674:$C$688,$C2676,T$674:T$688)</f>
        <v/>
      </c>
      <c r="U2676" s="72">
        <f>SUMIF($C$674:$C$688,$C2676,U$674:U$688)</f>
        <v/>
      </c>
      <c r="V2676" s="72">
        <f>SUMIF($C$674:$C$688,$C2676,V$674:V$688)</f>
        <v/>
      </c>
      <c r="W2676" s="72">
        <f>SUMIF($C$674:$C$688,$C2676,W$674:W$688)</f>
        <v/>
      </c>
      <c r="X2676" s="72">
        <f>SUMIF($C$674:$C$688,$C2676,X$674:X$688)</f>
        <v/>
      </c>
      <c r="Y2676" s="72">
        <f>SUMIF($C$674:$C$688,$C2676,Y$674:Y$688)</f>
        <v/>
      </c>
      <c r="Z2676" s="72">
        <f>SUMIF($C$674:$C$688,$C2676,Z$674:Z$688)</f>
        <v/>
      </c>
      <c r="AA2676" s="72">
        <f>SUMIF($C$674:$C$688,$C2676,AA$674:AA$688)</f>
        <v/>
      </c>
      <c r="AB2676" s="72">
        <f>SUMIF($C$674:$C$688,$C2676,AB$674:AB$688)</f>
        <v/>
      </c>
      <c r="AC2676" s="72">
        <f>SUMIF($C$674:$C$688,$C2676,AC$674:AC$688)</f>
        <v/>
      </c>
      <c r="AD2676" s="72">
        <f>SUMIF($C$674:$C$688,$C2676,AD$674:AD$688)</f>
        <v/>
      </c>
      <c r="AE2676" s="72">
        <f>SUMIF($C$674:$C$688,$C2676,AE$674:AE$688)</f>
        <v/>
      </c>
      <c r="AG2676" s="70">
        <f>CodePrefix&amp;$A2676&amp;IF($C2676="","","."&amp;$C2676&amp;"."&amp;$B2676)&amp;INDEX(VarEnd,MATCH($A2676,VarKey,0))&amp;AG$5</f>
        <v/>
      </c>
      <c r="AH2676" s="71">
        <f>SUMIF($C$674:$C$688,$C2676,AH$674:AH$688)</f>
        <v/>
      </c>
      <c r="AI2676" s="72">
        <f>SUMIF($C$674:$C$688,$C2676,AI$674:AI$688)</f>
        <v/>
      </c>
      <c r="AJ2676" s="72">
        <f>SUMIF($C$674:$C$688,$C2676,AJ$674:AJ$688)</f>
        <v/>
      </c>
      <c r="AK2676" s="72">
        <f>SUMIF($C$674:$C$688,$C2676,AK$674:AK$688)</f>
        <v/>
      </c>
      <c r="AL2676" s="72">
        <f>SUMIF($C$674:$C$688,$C2676,AL$674:AL$688)</f>
        <v/>
      </c>
      <c r="AM2676" s="72">
        <f>SUMIF($C$674:$C$688,$C2676,AM$674:AM$688)</f>
        <v/>
      </c>
      <c r="AN2676" s="72">
        <f>SUMIF($C$674:$C$688,$C2676,AN$674:AN$688)</f>
        <v/>
      </c>
      <c r="AO2676" s="72">
        <f>SUMIF($C$674:$C$688,$C2676,AO$674:AO$688)</f>
        <v/>
      </c>
      <c r="AP2676" s="72">
        <f>SUMIF($C$674:$C$688,$C2676,AP$674:AP$688)</f>
        <v/>
      </c>
      <c r="AQ2676" s="72">
        <f>SUMIF($C$674:$C$688,$C2676,AQ$674:AQ$688)</f>
        <v/>
      </c>
      <c r="AR2676" s="72">
        <f>SUMIF($C$674:$C$688,$C2676,AR$674:AR$688)</f>
        <v/>
      </c>
      <c r="AS2676" s="72">
        <f>SUMIF($C$674:$C$688,$C2676,AS$674:AS$688)</f>
        <v/>
      </c>
      <c r="AT2676" s="72">
        <f>SUMIF($C$674:$C$688,$C2676,AT$674:AT$688)</f>
        <v/>
      </c>
      <c r="AU2676" s="72">
        <f>SUMIF($C$674:$C$688,$C2676,AU$674:AU$688)</f>
        <v/>
      </c>
      <c r="AV2676" s="72">
        <f>SUMIF($C$674:$C$688,$C2676,AV$674:AV$688)</f>
        <v/>
      </c>
      <c r="AW2676" s="72">
        <f>SUMIF($C$674:$C$688,$C2676,AW$674:AW$688)</f>
        <v/>
      </c>
      <c r="AX2676" s="72">
        <f>SUMIF($C$674:$C$688,$C2676,AX$674:AX$688)</f>
        <v/>
      </c>
      <c r="AY2676" s="72">
        <f>SUMIF($C$674:$C$688,$C2676,AY$674:AY$688)</f>
        <v/>
      </c>
      <c r="AZ2676" s="72">
        <f>SUMIF($C$674:$C$688,$C2676,AZ$674:AZ$688)</f>
        <v/>
      </c>
      <c r="BA2676" s="72">
        <f>SUMIF($C$674:$C$688,$C2676,BA$674:BA$688)</f>
        <v/>
      </c>
    </row>
    <row r="2677" hidden="1" outlineLevel="2">
      <c r="A2677" s="14" t="inlineStr">
        <is>
          <t>ctxnew</t>
        </is>
      </c>
      <c r="B2677" s="14" t="inlineStr">
        <is>
          <t>coa</t>
        </is>
      </c>
      <c r="C2677" s="14" t="inlineStr">
        <is>
          <t>cst</t>
        </is>
      </c>
      <c r="D2677" s="35">
        <f>INDEX(Inputs!$W$5:$W$132,MATCH($B2677&amp;"|"&amp;$C2677,Inputs!$A$5:$A$132,0))</f>
        <v/>
      </c>
      <c r="E2677" s="35">
        <f>INDEX(Inputs!$L$5:$L$132,MATCH($B2677&amp;"|"&amp;$C2677,Inputs!$A$5:$A$132,0))</f>
        <v/>
      </c>
      <c r="F2677" s="35">
        <f>INDEX(Inputs!$M$5:$M$132,MATCH($B2677&amp;"|"&amp;$C2677,Inputs!$A$5:$A$132,0))</f>
        <v/>
      </c>
      <c r="G2677" s="39" t="n"/>
      <c r="H2677" s="14">
        <f>INDEX(VarLab,MATCH($A2677,VarKey,0))&amp;INDEX(MemLab,MATCH($C2677&amp;"|"&amp;$B2677,MemKey,0))</f>
        <v/>
      </c>
      <c r="I2677" s="14">
        <f>INDEX(VarUnit,MATCH($A2677,VarKey,0))</f>
        <v/>
      </c>
      <c r="J2677" s="14">
        <f>INDEX(VarSrc,MATCH($A2677,VarKey,0))</f>
        <v/>
      </c>
      <c r="K2677" s="11">
        <f>CodePrefix&amp;$A2677&amp;IF($C2677="","","."&amp;$C2677&amp;"."&amp;$B2677)&amp;INDEX(VarEnd,MATCH($A2677,VarKey,0))&amp;K$5</f>
        <v/>
      </c>
      <c r="L2677" s="40">
        <f>INDEX(L$263:L$279,$F2677)*$D2677*INDEX(L$23:L$30,$E2677)</f>
        <v/>
      </c>
      <c r="M2677" s="35">
        <f>INDEX(M$263:M$279,$F2677)*$D2677*INDEX(M$23:M$30,$E2677)</f>
        <v/>
      </c>
      <c r="N2677" s="35">
        <f>INDEX(N$263:N$279,$F2677)*$D2677*INDEX(N$23:N$30,$E2677)</f>
        <v/>
      </c>
      <c r="O2677" s="35">
        <f>INDEX(O$263:O$279,$F2677)*$D2677*INDEX(O$23:O$30,$E2677)</f>
        <v/>
      </c>
      <c r="P2677" s="35">
        <f>INDEX(P$263:P$279,$F2677)*$D2677*INDEX(P$23:P$30,$E2677)</f>
        <v/>
      </c>
      <c r="Q2677" s="35">
        <f>INDEX(Q$263:Q$279,$F2677)*$D2677*INDEX(Q$23:Q$30,$E2677)</f>
        <v/>
      </c>
      <c r="R2677" s="35">
        <f>INDEX(R$263:R$279,$F2677)*$D2677*INDEX(R$23:R$30,$E2677)</f>
        <v/>
      </c>
      <c r="S2677" s="35">
        <f>INDEX(S$263:S$279,$F2677)*$D2677*INDEX(S$23:S$30,$E2677)</f>
        <v/>
      </c>
      <c r="T2677" s="35">
        <f>INDEX(T$263:T$279,$F2677)*$D2677*INDEX(T$23:T$30,$E2677)</f>
        <v/>
      </c>
      <c r="U2677" s="35">
        <f>INDEX(U$263:U$279,$F2677)*$D2677*INDEX(U$23:U$30,$E2677)</f>
        <v/>
      </c>
      <c r="V2677" s="35">
        <f>INDEX(V$263:V$279,$F2677)*$D2677*INDEX(V$23:V$30,$E2677)</f>
        <v/>
      </c>
      <c r="W2677" s="35">
        <f>INDEX(W$263:W$279,$F2677)*$D2677*INDEX(W$23:W$30,$E2677)</f>
        <v/>
      </c>
      <c r="X2677" s="35">
        <f>INDEX(X$263:X$279,$F2677)*$D2677*INDEX(X$23:X$30,$E2677)</f>
        <v/>
      </c>
      <c r="Y2677" s="35">
        <f>INDEX(Y$263:Y$279,$F2677)*$D2677*INDEX(Y$23:Y$30,$E2677)</f>
        <v/>
      </c>
      <c r="Z2677" s="35">
        <f>INDEX(Z$263:Z$279,$F2677)*$D2677*INDEX(Z$23:Z$30,$E2677)</f>
        <v/>
      </c>
      <c r="AA2677" s="35">
        <f>INDEX(AA$263:AA$279,$F2677)*$D2677*INDEX(AA$23:AA$30,$E2677)</f>
        <v/>
      </c>
      <c r="AB2677" s="35">
        <f>INDEX(AB$263:AB$279,$F2677)*$D2677*INDEX(AB$23:AB$30,$E2677)</f>
        <v/>
      </c>
      <c r="AC2677" s="35">
        <f>INDEX(AC$263:AC$279,$F2677)*$D2677*INDEX(AC$23:AC$30,$E2677)</f>
        <v/>
      </c>
      <c r="AD2677" s="35">
        <f>INDEX(AD$263:AD$279,$F2677)*$D2677*INDEX(AD$23:AD$30,$E2677)</f>
        <v/>
      </c>
      <c r="AE2677" s="42">
        <f>CARBONTAX(INDEX(AE$263:AE$279,$F2677),$D2677,INDEX(AE$23:AE$30,$E2677))</f>
        <v/>
      </c>
      <c r="AG2677" s="11">
        <f>CodePrefix&amp;$A2677&amp;IF($C2677="","","."&amp;$C2677&amp;"."&amp;$B2677)&amp;INDEX(VarEnd,MATCH($A2677,VarKey,0))&amp;AG$5</f>
        <v/>
      </c>
      <c r="AH2677" s="40">
        <f>INDEX(AH$263:AH$279,$F2677)*$D2677*INDEX(AH$23:AH$30,$E2677)</f>
        <v/>
      </c>
      <c r="AI2677" s="35">
        <f>INDEX(AI$263:AI$279,$F2677)*$D2677*INDEX(AI$23:AI$30,$E2677)</f>
        <v/>
      </c>
      <c r="AJ2677" s="35">
        <f>INDEX(AJ$263:AJ$279,$F2677)*$D2677*INDEX(AJ$23:AJ$30,$E2677)</f>
        <v/>
      </c>
      <c r="AK2677" s="35">
        <f>INDEX(AK$263:AK$279,$F2677)*$D2677*INDEX(AK$23:AK$30,$E2677)</f>
        <v/>
      </c>
      <c r="AL2677" s="35">
        <f>INDEX(AL$263:AL$279,$F2677)*$D2677*INDEX(AL$23:AL$30,$E2677)</f>
        <v/>
      </c>
      <c r="AM2677" s="35">
        <f>INDEX(AM$263:AM$279,$F2677)*$D2677*INDEX(AM$23:AM$30,$E2677)</f>
        <v/>
      </c>
      <c r="AN2677" s="35">
        <f>INDEX(AN$263:AN$279,$F2677)*$D2677*INDEX(AN$23:AN$30,$E2677)</f>
        <v/>
      </c>
      <c r="AO2677" s="35">
        <f>INDEX(AO$263:AO$279,$F2677)*$D2677*INDEX(AO$23:AO$30,$E2677)</f>
        <v/>
      </c>
      <c r="AP2677" s="35">
        <f>INDEX(AP$263:AP$279,$F2677)*$D2677*INDEX(AP$23:AP$30,$E2677)</f>
        <v/>
      </c>
      <c r="AQ2677" s="35">
        <f>INDEX(AQ$263:AQ$279,$F2677)*$D2677*INDEX(AQ$23:AQ$30,$E2677)</f>
        <v/>
      </c>
      <c r="AR2677" s="35">
        <f>INDEX(AR$263:AR$279,$F2677)*$D2677*INDEX(AR$23:AR$30,$E2677)</f>
        <v/>
      </c>
      <c r="AS2677" s="35">
        <f>INDEX(AS$263:AS$279,$F2677)*$D2677*INDEX(AS$23:AS$30,$E2677)</f>
        <v/>
      </c>
      <c r="AT2677" s="35">
        <f>INDEX(AT$263:AT$279,$F2677)*$D2677*INDEX(AT$23:AT$30,$E2677)</f>
        <v/>
      </c>
      <c r="AU2677" s="35">
        <f>INDEX(AU$263:AU$279,$F2677)*$D2677*INDEX(AU$23:AU$30,$E2677)</f>
        <v/>
      </c>
      <c r="AV2677" s="35">
        <f>INDEX(AV$263:AV$279,$F2677)*$D2677*INDEX(AV$23:AV$30,$E2677)</f>
        <v/>
      </c>
      <c r="AW2677" s="35">
        <f>INDEX(AW$263:AW$279,$F2677)*$D2677*INDEX(AW$23:AW$30,$E2677)</f>
        <v/>
      </c>
      <c r="AX2677" s="35">
        <f>INDEX(AX$263:AX$279,$F2677)*$D2677*INDEX(AX$23:AX$30,$E2677)</f>
        <v/>
      </c>
      <c r="AY2677" s="35">
        <f>INDEX(AY$263:AY$279,$F2677)*$D2677*INDEX(AY$23:AY$30,$E2677)</f>
        <v/>
      </c>
      <c r="AZ2677" s="35">
        <f>INDEX(AZ$263:AZ$279,$F2677)*$D2677*INDEX(AZ$23:AZ$30,$E2677)</f>
        <v/>
      </c>
      <c r="BA2677" s="42">
        <f>CARBONTAX(INDEX(BA$263:BA$279,$F2677),$D2677,INDEX(BA$23:BA$30,$E2677))</f>
        <v/>
      </c>
    </row>
    <row r="2678" hidden="1" outlineLevel="2">
      <c r="A2678" s="14" t="inlineStr">
        <is>
          <t>ctxnew</t>
        </is>
      </c>
      <c r="B2678" s="14" t="inlineStr">
        <is>
          <t>nga</t>
        </is>
      </c>
      <c r="C2678" s="14" t="inlineStr">
        <is>
          <t>cst</t>
        </is>
      </c>
      <c r="D2678" s="35">
        <f>INDEX(Inputs!$W$5:$W$132,MATCH($B2678&amp;"|"&amp;$C2678,Inputs!$A$5:$A$132,0))</f>
        <v/>
      </c>
      <c r="E2678" s="35">
        <f>INDEX(Inputs!$L$5:$L$132,MATCH($B2678&amp;"|"&amp;$C2678,Inputs!$A$5:$A$132,0))</f>
        <v/>
      </c>
      <c r="F2678" s="35">
        <f>INDEX(Inputs!$M$5:$M$132,MATCH($B2678&amp;"|"&amp;$C2678,Inputs!$A$5:$A$132,0))</f>
        <v/>
      </c>
      <c r="G2678" s="39" t="n"/>
      <c r="H2678" s="14">
        <f>INDEX(VarLab,MATCH($A2678,VarKey,0))&amp;INDEX(MemLab,MATCH($C2678&amp;"|"&amp;$B2678,MemKey,0))</f>
        <v/>
      </c>
      <c r="I2678" s="14">
        <f>INDEX(VarUnit,MATCH($A2678,VarKey,0))</f>
        <v/>
      </c>
      <c r="J2678" s="14">
        <f>INDEX(VarSrc,MATCH($A2678,VarKey,0))</f>
        <v/>
      </c>
      <c r="K2678" s="11">
        <f>CodePrefix&amp;$A2678&amp;IF($C2678="","","."&amp;$C2678&amp;"."&amp;$B2678)&amp;INDEX(VarEnd,MATCH($A2678,VarKey,0))&amp;K$5</f>
        <v/>
      </c>
      <c r="L2678" s="40">
        <f>INDEX(L$263:L$279,$F2678)*$D2678*INDEX(L$23:L$30,$E2678)</f>
        <v/>
      </c>
      <c r="M2678" s="35">
        <f>INDEX(M$263:M$279,$F2678)*$D2678*INDEX(M$23:M$30,$E2678)</f>
        <v/>
      </c>
      <c r="N2678" s="35">
        <f>INDEX(N$263:N$279,$F2678)*$D2678*INDEX(N$23:N$30,$E2678)</f>
        <v/>
      </c>
      <c r="O2678" s="35">
        <f>INDEX(O$263:O$279,$F2678)*$D2678*INDEX(O$23:O$30,$E2678)</f>
        <v/>
      </c>
      <c r="P2678" s="35">
        <f>INDEX(P$263:P$279,$F2678)*$D2678*INDEX(P$23:P$30,$E2678)</f>
        <v/>
      </c>
      <c r="Q2678" s="35">
        <f>INDEX(Q$263:Q$279,$F2678)*$D2678*INDEX(Q$23:Q$30,$E2678)</f>
        <v/>
      </c>
      <c r="R2678" s="35">
        <f>INDEX(R$263:R$279,$F2678)*$D2678*INDEX(R$23:R$30,$E2678)</f>
        <v/>
      </c>
      <c r="S2678" s="35">
        <f>INDEX(S$263:S$279,$F2678)*$D2678*INDEX(S$23:S$30,$E2678)</f>
        <v/>
      </c>
      <c r="T2678" s="35">
        <f>INDEX(T$263:T$279,$F2678)*$D2678*INDEX(T$23:T$30,$E2678)</f>
        <v/>
      </c>
      <c r="U2678" s="35">
        <f>INDEX(U$263:U$279,$F2678)*$D2678*INDEX(U$23:U$30,$E2678)</f>
        <v/>
      </c>
      <c r="V2678" s="35">
        <f>INDEX(V$263:V$279,$F2678)*$D2678*INDEX(V$23:V$30,$E2678)</f>
        <v/>
      </c>
      <c r="W2678" s="35">
        <f>INDEX(W$263:W$279,$F2678)*$D2678*INDEX(W$23:W$30,$E2678)</f>
        <v/>
      </c>
      <c r="X2678" s="35">
        <f>INDEX(X$263:X$279,$F2678)*$D2678*INDEX(X$23:X$30,$E2678)</f>
        <v/>
      </c>
      <c r="Y2678" s="35">
        <f>INDEX(Y$263:Y$279,$F2678)*$D2678*INDEX(Y$23:Y$30,$E2678)</f>
        <v/>
      </c>
      <c r="Z2678" s="35">
        <f>INDEX(Z$263:Z$279,$F2678)*$D2678*INDEX(Z$23:Z$30,$E2678)</f>
        <v/>
      </c>
      <c r="AA2678" s="35">
        <f>INDEX(AA$263:AA$279,$F2678)*$D2678*INDEX(AA$23:AA$30,$E2678)</f>
        <v/>
      </c>
      <c r="AB2678" s="35">
        <f>INDEX(AB$263:AB$279,$F2678)*$D2678*INDEX(AB$23:AB$30,$E2678)</f>
        <v/>
      </c>
      <c r="AC2678" s="35">
        <f>INDEX(AC$263:AC$279,$F2678)*$D2678*INDEX(AC$23:AC$30,$E2678)</f>
        <v/>
      </c>
      <c r="AD2678" s="35">
        <f>INDEX(AD$263:AD$279,$F2678)*$D2678*INDEX(AD$23:AD$30,$E2678)</f>
        <v/>
      </c>
      <c r="AE2678" s="42">
        <f>CARBONTAX(INDEX(AE$263:AE$279,$F2678),$D2678,INDEX(AE$23:AE$30,$E2678))</f>
        <v/>
      </c>
      <c r="AG2678" s="11">
        <f>CodePrefix&amp;$A2678&amp;IF($C2678="","","."&amp;$C2678&amp;"."&amp;$B2678)&amp;INDEX(VarEnd,MATCH($A2678,VarKey,0))&amp;AG$5</f>
        <v/>
      </c>
      <c r="AH2678" s="40">
        <f>INDEX(AH$263:AH$279,$F2678)*$D2678*INDEX(AH$23:AH$30,$E2678)</f>
        <v/>
      </c>
      <c r="AI2678" s="35">
        <f>INDEX(AI$263:AI$279,$F2678)*$D2678*INDEX(AI$23:AI$30,$E2678)</f>
        <v/>
      </c>
      <c r="AJ2678" s="35">
        <f>INDEX(AJ$263:AJ$279,$F2678)*$D2678*INDEX(AJ$23:AJ$30,$E2678)</f>
        <v/>
      </c>
      <c r="AK2678" s="35">
        <f>INDEX(AK$263:AK$279,$F2678)*$D2678*INDEX(AK$23:AK$30,$E2678)</f>
        <v/>
      </c>
      <c r="AL2678" s="35">
        <f>INDEX(AL$263:AL$279,$F2678)*$D2678*INDEX(AL$23:AL$30,$E2678)</f>
        <v/>
      </c>
      <c r="AM2678" s="35">
        <f>INDEX(AM$263:AM$279,$F2678)*$D2678*INDEX(AM$23:AM$30,$E2678)</f>
        <v/>
      </c>
      <c r="AN2678" s="35">
        <f>INDEX(AN$263:AN$279,$F2678)*$D2678*INDEX(AN$23:AN$30,$E2678)</f>
        <v/>
      </c>
      <c r="AO2678" s="35">
        <f>INDEX(AO$263:AO$279,$F2678)*$D2678*INDEX(AO$23:AO$30,$E2678)</f>
        <v/>
      </c>
      <c r="AP2678" s="35">
        <f>INDEX(AP$263:AP$279,$F2678)*$D2678*INDEX(AP$23:AP$30,$E2678)</f>
        <v/>
      </c>
      <c r="AQ2678" s="35">
        <f>INDEX(AQ$263:AQ$279,$F2678)*$D2678*INDEX(AQ$23:AQ$30,$E2678)</f>
        <v/>
      </c>
      <c r="AR2678" s="35">
        <f>INDEX(AR$263:AR$279,$F2678)*$D2678*INDEX(AR$23:AR$30,$E2678)</f>
        <v/>
      </c>
      <c r="AS2678" s="35">
        <f>INDEX(AS$263:AS$279,$F2678)*$D2678*INDEX(AS$23:AS$30,$E2678)</f>
        <v/>
      </c>
      <c r="AT2678" s="35">
        <f>INDEX(AT$263:AT$279,$F2678)*$D2678*INDEX(AT$23:AT$30,$E2678)</f>
        <v/>
      </c>
      <c r="AU2678" s="35">
        <f>INDEX(AU$263:AU$279,$F2678)*$D2678*INDEX(AU$23:AU$30,$E2678)</f>
        <v/>
      </c>
      <c r="AV2678" s="35">
        <f>INDEX(AV$263:AV$279,$F2678)*$D2678*INDEX(AV$23:AV$30,$E2678)</f>
        <v/>
      </c>
      <c r="AW2678" s="35">
        <f>INDEX(AW$263:AW$279,$F2678)*$D2678*INDEX(AW$23:AW$30,$E2678)</f>
        <v/>
      </c>
      <c r="AX2678" s="35">
        <f>INDEX(AX$263:AX$279,$F2678)*$D2678*INDEX(AX$23:AX$30,$E2678)</f>
        <v/>
      </c>
      <c r="AY2678" s="35">
        <f>INDEX(AY$263:AY$279,$F2678)*$D2678*INDEX(AY$23:AY$30,$E2678)</f>
        <v/>
      </c>
      <c r="AZ2678" s="35">
        <f>INDEX(AZ$263:AZ$279,$F2678)*$D2678*INDEX(AZ$23:AZ$30,$E2678)</f>
        <v/>
      </c>
      <c r="BA2678" s="42">
        <f>CARBONTAX(INDEX(BA$263:BA$279,$F2678),$D2678,INDEX(BA$23:BA$30,$E2678))</f>
        <v/>
      </c>
    </row>
    <row r="2679" hidden="1" outlineLevel="2">
      <c r="A2679" s="14" t="inlineStr">
        <is>
          <t>ctxnew</t>
        </is>
      </c>
      <c r="B2679" s="14" t="inlineStr">
        <is>
          <t>gso</t>
        </is>
      </c>
      <c r="C2679" s="14" t="inlineStr">
        <is>
          <t>cst</t>
        </is>
      </c>
      <c r="D2679" s="35">
        <f>INDEX(Inputs!$W$5:$W$132,MATCH($B2679&amp;"|"&amp;$C2679,Inputs!$A$5:$A$132,0))</f>
        <v/>
      </c>
      <c r="E2679" s="35">
        <f>INDEX(Inputs!$L$5:$L$132,MATCH($B2679&amp;"|"&amp;$C2679,Inputs!$A$5:$A$132,0))</f>
        <v/>
      </c>
      <c r="F2679" s="35">
        <f>INDEX(Inputs!$M$5:$M$132,MATCH($B2679&amp;"|"&amp;$C2679,Inputs!$A$5:$A$132,0))</f>
        <v/>
      </c>
      <c r="G2679" s="39" t="n"/>
      <c r="H2679" s="14">
        <f>INDEX(VarLab,MATCH($A2679,VarKey,0))&amp;INDEX(MemLab,MATCH($C2679&amp;"|"&amp;$B2679,MemKey,0))</f>
        <v/>
      </c>
      <c r="I2679" s="14">
        <f>INDEX(VarUnit,MATCH($A2679,VarKey,0))</f>
        <v/>
      </c>
      <c r="J2679" s="14">
        <f>INDEX(VarSrc,MATCH($A2679,VarKey,0))</f>
        <v/>
      </c>
      <c r="K2679" s="11">
        <f>CodePrefix&amp;$A2679&amp;IF($C2679="","","."&amp;$C2679&amp;"."&amp;$B2679)&amp;INDEX(VarEnd,MATCH($A2679,VarKey,0))&amp;K$5</f>
        <v/>
      </c>
      <c r="L2679" s="40">
        <f>INDEX(L$263:L$279,$F2679)*$D2679*INDEX(L$23:L$30,$E2679)</f>
        <v/>
      </c>
      <c r="M2679" s="35">
        <f>INDEX(M$263:M$279,$F2679)*$D2679*INDEX(M$23:M$30,$E2679)</f>
        <v/>
      </c>
      <c r="N2679" s="35">
        <f>INDEX(N$263:N$279,$F2679)*$D2679*INDEX(N$23:N$30,$E2679)</f>
        <v/>
      </c>
      <c r="O2679" s="35">
        <f>INDEX(O$263:O$279,$F2679)*$D2679*INDEX(O$23:O$30,$E2679)</f>
        <v/>
      </c>
      <c r="P2679" s="35">
        <f>INDEX(P$263:P$279,$F2679)*$D2679*INDEX(P$23:P$30,$E2679)</f>
        <v/>
      </c>
      <c r="Q2679" s="35">
        <f>INDEX(Q$263:Q$279,$F2679)*$D2679*INDEX(Q$23:Q$30,$E2679)</f>
        <v/>
      </c>
      <c r="R2679" s="35">
        <f>INDEX(R$263:R$279,$F2679)*$D2679*INDEX(R$23:R$30,$E2679)</f>
        <v/>
      </c>
      <c r="S2679" s="35">
        <f>INDEX(S$263:S$279,$F2679)*$D2679*INDEX(S$23:S$30,$E2679)</f>
        <v/>
      </c>
      <c r="T2679" s="35">
        <f>INDEX(T$263:T$279,$F2679)*$D2679*INDEX(T$23:T$30,$E2679)</f>
        <v/>
      </c>
      <c r="U2679" s="35">
        <f>INDEX(U$263:U$279,$F2679)*$D2679*INDEX(U$23:U$30,$E2679)</f>
        <v/>
      </c>
      <c r="V2679" s="35">
        <f>INDEX(V$263:V$279,$F2679)*$D2679*INDEX(V$23:V$30,$E2679)</f>
        <v/>
      </c>
      <c r="W2679" s="35">
        <f>INDEX(W$263:W$279,$F2679)*$D2679*INDEX(W$23:W$30,$E2679)</f>
        <v/>
      </c>
      <c r="X2679" s="35">
        <f>INDEX(X$263:X$279,$F2679)*$D2679*INDEX(X$23:X$30,$E2679)</f>
        <v/>
      </c>
      <c r="Y2679" s="35">
        <f>INDEX(Y$263:Y$279,$F2679)*$D2679*INDEX(Y$23:Y$30,$E2679)</f>
        <v/>
      </c>
      <c r="Z2679" s="35">
        <f>INDEX(Z$263:Z$279,$F2679)*$D2679*INDEX(Z$23:Z$30,$E2679)</f>
        <v/>
      </c>
      <c r="AA2679" s="35">
        <f>INDEX(AA$263:AA$279,$F2679)*$D2679*INDEX(AA$23:AA$30,$E2679)</f>
        <v/>
      </c>
      <c r="AB2679" s="35">
        <f>INDEX(AB$263:AB$279,$F2679)*$D2679*INDEX(AB$23:AB$30,$E2679)</f>
        <v/>
      </c>
      <c r="AC2679" s="35">
        <f>INDEX(AC$263:AC$279,$F2679)*$D2679*INDEX(AC$23:AC$30,$E2679)</f>
        <v/>
      </c>
      <c r="AD2679" s="35">
        <f>INDEX(AD$263:AD$279,$F2679)*$D2679*INDEX(AD$23:AD$30,$E2679)</f>
        <v/>
      </c>
      <c r="AE2679" s="42">
        <f>CARBONTAX(INDEX(AE$263:AE$279,$F2679),$D2679,INDEX(AE$23:AE$30,$E2679))</f>
        <v/>
      </c>
      <c r="AG2679" s="11">
        <f>CodePrefix&amp;$A2679&amp;IF($C2679="","","."&amp;$C2679&amp;"."&amp;$B2679)&amp;INDEX(VarEnd,MATCH($A2679,VarKey,0))&amp;AG$5</f>
        <v/>
      </c>
      <c r="AH2679" s="40">
        <f>INDEX(AH$263:AH$279,$F2679)*$D2679*INDEX(AH$23:AH$30,$E2679)</f>
        <v/>
      </c>
      <c r="AI2679" s="35">
        <f>INDEX(AI$263:AI$279,$F2679)*$D2679*INDEX(AI$23:AI$30,$E2679)</f>
        <v/>
      </c>
      <c r="AJ2679" s="35">
        <f>INDEX(AJ$263:AJ$279,$F2679)*$D2679*INDEX(AJ$23:AJ$30,$E2679)</f>
        <v/>
      </c>
      <c r="AK2679" s="35">
        <f>INDEX(AK$263:AK$279,$F2679)*$D2679*INDEX(AK$23:AK$30,$E2679)</f>
        <v/>
      </c>
      <c r="AL2679" s="35">
        <f>INDEX(AL$263:AL$279,$F2679)*$D2679*INDEX(AL$23:AL$30,$E2679)</f>
        <v/>
      </c>
      <c r="AM2679" s="35">
        <f>INDEX(AM$263:AM$279,$F2679)*$D2679*INDEX(AM$23:AM$30,$E2679)</f>
        <v/>
      </c>
      <c r="AN2679" s="35">
        <f>INDEX(AN$263:AN$279,$F2679)*$D2679*INDEX(AN$23:AN$30,$E2679)</f>
        <v/>
      </c>
      <c r="AO2679" s="35">
        <f>INDEX(AO$263:AO$279,$F2679)*$D2679*INDEX(AO$23:AO$30,$E2679)</f>
        <v/>
      </c>
      <c r="AP2679" s="35">
        <f>INDEX(AP$263:AP$279,$F2679)*$D2679*INDEX(AP$23:AP$30,$E2679)</f>
        <v/>
      </c>
      <c r="AQ2679" s="35">
        <f>INDEX(AQ$263:AQ$279,$F2679)*$D2679*INDEX(AQ$23:AQ$30,$E2679)</f>
        <v/>
      </c>
      <c r="AR2679" s="35">
        <f>INDEX(AR$263:AR$279,$F2679)*$D2679*INDEX(AR$23:AR$30,$E2679)</f>
        <v/>
      </c>
      <c r="AS2679" s="35">
        <f>INDEX(AS$263:AS$279,$F2679)*$D2679*INDEX(AS$23:AS$30,$E2679)</f>
        <v/>
      </c>
      <c r="AT2679" s="35">
        <f>INDEX(AT$263:AT$279,$F2679)*$D2679*INDEX(AT$23:AT$30,$E2679)</f>
        <v/>
      </c>
      <c r="AU2679" s="35">
        <f>INDEX(AU$263:AU$279,$F2679)*$D2679*INDEX(AU$23:AU$30,$E2679)</f>
        <v/>
      </c>
      <c r="AV2679" s="35">
        <f>INDEX(AV$263:AV$279,$F2679)*$D2679*INDEX(AV$23:AV$30,$E2679)</f>
        <v/>
      </c>
      <c r="AW2679" s="35">
        <f>INDEX(AW$263:AW$279,$F2679)*$D2679*INDEX(AW$23:AW$30,$E2679)</f>
        <v/>
      </c>
      <c r="AX2679" s="35">
        <f>INDEX(AX$263:AX$279,$F2679)*$D2679*INDEX(AX$23:AX$30,$E2679)</f>
        <v/>
      </c>
      <c r="AY2679" s="35">
        <f>INDEX(AY$263:AY$279,$F2679)*$D2679*INDEX(AY$23:AY$30,$E2679)</f>
        <v/>
      </c>
      <c r="AZ2679" s="35">
        <f>INDEX(AZ$263:AZ$279,$F2679)*$D2679*INDEX(AZ$23:AZ$30,$E2679)</f>
        <v/>
      </c>
      <c r="BA2679" s="42">
        <f>CARBONTAX(INDEX(BA$263:BA$279,$F2679),$D2679,INDEX(BA$23:BA$30,$E2679))</f>
        <v/>
      </c>
    </row>
    <row r="2680" hidden="1" outlineLevel="2">
      <c r="A2680" s="14" t="inlineStr">
        <is>
          <t>ctxnew</t>
        </is>
      </c>
      <c r="B2680" s="14" t="inlineStr">
        <is>
          <t>die</t>
        </is>
      </c>
      <c r="C2680" s="14" t="inlineStr">
        <is>
          <t>cst</t>
        </is>
      </c>
      <c r="D2680" s="35">
        <f>INDEX(Inputs!$W$5:$W$132,MATCH($B2680&amp;"|"&amp;$C2680,Inputs!$A$5:$A$132,0))</f>
        <v/>
      </c>
      <c r="E2680" s="35">
        <f>INDEX(Inputs!$L$5:$L$132,MATCH($B2680&amp;"|"&amp;$C2680,Inputs!$A$5:$A$132,0))</f>
        <v/>
      </c>
      <c r="F2680" s="35">
        <f>INDEX(Inputs!$M$5:$M$132,MATCH($B2680&amp;"|"&amp;$C2680,Inputs!$A$5:$A$132,0))</f>
        <v/>
      </c>
      <c r="G2680" s="39" t="n"/>
      <c r="H2680" s="14">
        <f>INDEX(VarLab,MATCH($A2680,VarKey,0))&amp;INDEX(MemLab,MATCH($C2680&amp;"|"&amp;$B2680,MemKey,0))</f>
        <v/>
      </c>
      <c r="I2680" s="14">
        <f>INDEX(VarUnit,MATCH($A2680,VarKey,0))</f>
        <v/>
      </c>
      <c r="J2680" s="14">
        <f>INDEX(VarSrc,MATCH($A2680,VarKey,0))</f>
        <v/>
      </c>
      <c r="K2680" s="11">
        <f>CodePrefix&amp;$A2680&amp;IF($C2680="","","."&amp;$C2680&amp;"."&amp;$B2680)&amp;INDEX(VarEnd,MATCH($A2680,VarKey,0))&amp;K$5</f>
        <v/>
      </c>
      <c r="L2680" s="40">
        <f>INDEX(L$263:L$279,$F2680)*$D2680*INDEX(L$23:L$30,$E2680)</f>
        <v/>
      </c>
      <c r="M2680" s="35">
        <f>INDEX(M$263:M$279,$F2680)*$D2680*INDEX(M$23:M$30,$E2680)</f>
        <v/>
      </c>
      <c r="N2680" s="35">
        <f>INDEX(N$263:N$279,$F2680)*$D2680*INDEX(N$23:N$30,$E2680)</f>
        <v/>
      </c>
      <c r="O2680" s="35">
        <f>INDEX(O$263:O$279,$F2680)*$D2680*INDEX(O$23:O$30,$E2680)</f>
        <v/>
      </c>
      <c r="P2680" s="35">
        <f>INDEX(P$263:P$279,$F2680)*$D2680*INDEX(P$23:P$30,$E2680)</f>
        <v/>
      </c>
      <c r="Q2680" s="35">
        <f>INDEX(Q$263:Q$279,$F2680)*$D2680*INDEX(Q$23:Q$30,$E2680)</f>
        <v/>
      </c>
      <c r="R2680" s="35">
        <f>INDEX(R$263:R$279,$F2680)*$D2680*INDEX(R$23:R$30,$E2680)</f>
        <v/>
      </c>
      <c r="S2680" s="35">
        <f>INDEX(S$263:S$279,$F2680)*$D2680*INDEX(S$23:S$30,$E2680)</f>
        <v/>
      </c>
      <c r="T2680" s="35">
        <f>INDEX(T$263:T$279,$F2680)*$D2680*INDEX(T$23:T$30,$E2680)</f>
        <v/>
      </c>
      <c r="U2680" s="35">
        <f>INDEX(U$263:U$279,$F2680)*$D2680*INDEX(U$23:U$30,$E2680)</f>
        <v/>
      </c>
      <c r="V2680" s="35">
        <f>INDEX(V$263:V$279,$F2680)*$D2680*INDEX(V$23:V$30,$E2680)</f>
        <v/>
      </c>
      <c r="W2680" s="35">
        <f>INDEX(W$263:W$279,$F2680)*$D2680*INDEX(W$23:W$30,$E2680)</f>
        <v/>
      </c>
      <c r="X2680" s="35">
        <f>INDEX(X$263:X$279,$F2680)*$D2680*INDEX(X$23:X$30,$E2680)</f>
        <v/>
      </c>
      <c r="Y2680" s="35">
        <f>INDEX(Y$263:Y$279,$F2680)*$D2680*INDEX(Y$23:Y$30,$E2680)</f>
        <v/>
      </c>
      <c r="Z2680" s="35">
        <f>INDEX(Z$263:Z$279,$F2680)*$D2680*INDEX(Z$23:Z$30,$E2680)</f>
        <v/>
      </c>
      <c r="AA2680" s="35">
        <f>INDEX(AA$263:AA$279,$F2680)*$D2680*INDEX(AA$23:AA$30,$E2680)</f>
        <v/>
      </c>
      <c r="AB2680" s="35">
        <f>INDEX(AB$263:AB$279,$F2680)*$D2680*INDEX(AB$23:AB$30,$E2680)</f>
        <v/>
      </c>
      <c r="AC2680" s="35">
        <f>INDEX(AC$263:AC$279,$F2680)*$D2680*INDEX(AC$23:AC$30,$E2680)</f>
        <v/>
      </c>
      <c r="AD2680" s="35">
        <f>INDEX(AD$263:AD$279,$F2680)*$D2680*INDEX(AD$23:AD$30,$E2680)</f>
        <v/>
      </c>
      <c r="AE2680" s="42">
        <f>CARBONTAX(INDEX(AE$263:AE$279,$F2680),$D2680,INDEX(AE$23:AE$30,$E2680))</f>
        <v/>
      </c>
      <c r="AG2680" s="11">
        <f>CodePrefix&amp;$A2680&amp;IF($C2680="","","."&amp;$C2680&amp;"."&amp;$B2680)&amp;INDEX(VarEnd,MATCH($A2680,VarKey,0))&amp;AG$5</f>
        <v/>
      </c>
      <c r="AH2680" s="40">
        <f>INDEX(AH$263:AH$279,$F2680)*$D2680*INDEX(AH$23:AH$30,$E2680)</f>
        <v/>
      </c>
      <c r="AI2680" s="35">
        <f>INDEX(AI$263:AI$279,$F2680)*$D2680*INDEX(AI$23:AI$30,$E2680)</f>
        <v/>
      </c>
      <c r="AJ2680" s="35">
        <f>INDEX(AJ$263:AJ$279,$F2680)*$D2680*INDEX(AJ$23:AJ$30,$E2680)</f>
        <v/>
      </c>
      <c r="AK2680" s="35">
        <f>INDEX(AK$263:AK$279,$F2680)*$D2680*INDEX(AK$23:AK$30,$E2680)</f>
        <v/>
      </c>
      <c r="AL2680" s="35">
        <f>INDEX(AL$263:AL$279,$F2680)*$D2680*INDEX(AL$23:AL$30,$E2680)</f>
        <v/>
      </c>
      <c r="AM2680" s="35">
        <f>INDEX(AM$263:AM$279,$F2680)*$D2680*INDEX(AM$23:AM$30,$E2680)</f>
        <v/>
      </c>
      <c r="AN2680" s="35">
        <f>INDEX(AN$263:AN$279,$F2680)*$D2680*INDEX(AN$23:AN$30,$E2680)</f>
        <v/>
      </c>
      <c r="AO2680" s="35">
        <f>INDEX(AO$263:AO$279,$F2680)*$D2680*INDEX(AO$23:AO$30,$E2680)</f>
        <v/>
      </c>
      <c r="AP2680" s="35">
        <f>INDEX(AP$263:AP$279,$F2680)*$D2680*INDEX(AP$23:AP$30,$E2680)</f>
        <v/>
      </c>
      <c r="AQ2680" s="35">
        <f>INDEX(AQ$263:AQ$279,$F2680)*$D2680*INDEX(AQ$23:AQ$30,$E2680)</f>
        <v/>
      </c>
      <c r="AR2680" s="35">
        <f>INDEX(AR$263:AR$279,$F2680)*$D2680*INDEX(AR$23:AR$30,$E2680)</f>
        <v/>
      </c>
      <c r="AS2680" s="35">
        <f>INDEX(AS$263:AS$279,$F2680)*$D2680*INDEX(AS$23:AS$30,$E2680)</f>
        <v/>
      </c>
      <c r="AT2680" s="35">
        <f>INDEX(AT$263:AT$279,$F2680)*$D2680*INDEX(AT$23:AT$30,$E2680)</f>
        <v/>
      </c>
      <c r="AU2680" s="35">
        <f>INDEX(AU$263:AU$279,$F2680)*$D2680*INDEX(AU$23:AU$30,$E2680)</f>
        <v/>
      </c>
      <c r="AV2680" s="35">
        <f>INDEX(AV$263:AV$279,$F2680)*$D2680*INDEX(AV$23:AV$30,$E2680)</f>
        <v/>
      </c>
      <c r="AW2680" s="35">
        <f>INDEX(AW$263:AW$279,$F2680)*$D2680*INDEX(AW$23:AW$30,$E2680)</f>
        <v/>
      </c>
      <c r="AX2680" s="35">
        <f>INDEX(AX$263:AX$279,$F2680)*$D2680*INDEX(AX$23:AX$30,$E2680)</f>
        <v/>
      </c>
      <c r="AY2680" s="35">
        <f>INDEX(AY$263:AY$279,$F2680)*$D2680*INDEX(AY$23:AY$30,$E2680)</f>
        <v/>
      </c>
      <c r="AZ2680" s="35">
        <f>INDEX(AZ$263:AZ$279,$F2680)*$D2680*INDEX(AZ$23:AZ$30,$E2680)</f>
        <v/>
      </c>
      <c r="BA2680" s="42">
        <f>CARBONTAX(INDEX(BA$263:BA$279,$F2680),$D2680,INDEX(BA$23:BA$30,$E2680))</f>
        <v/>
      </c>
    </row>
    <row r="2681" hidden="1" outlineLevel="2">
      <c r="A2681" s="14" t="inlineStr">
        <is>
          <t>ctxnew</t>
        </is>
      </c>
      <c r="B2681" s="14" t="inlineStr">
        <is>
          <t>lpg</t>
        </is>
      </c>
      <c r="C2681" s="14" t="inlineStr">
        <is>
          <t>cst</t>
        </is>
      </c>
      <c r="D2681" s="35">
        <f>INDEX(Inputs!$W$5:$W$132,MATCH($B2681&amp;"|"&amp;$C2681,Inputs!$A$5:$A$132,0))</f>
        <v/>
      </c>
      <c r="E2681" s="35">
        <f>INDEX(Inputs!$L$5:$L$132,MATCH($B2681&amp;"|"&amp;$C2681,Inputs!$A$5:$A$132,0))</f>
        <v/>
      </c>
      <c r="F2681" s="35">
        <f>INDEX(Inputs!$M$5:$M$132,MATCH($B2681&amp;"|"&amp;$C2681,Inputs!$A$5:$A$132,0))</f>
        <v/>
      </c>
      <c r="G2681" s="39" t="n"/>
      <c r="H2681" s="14">
        <f>INDEX(VarLab,MATCH($A2681,VarKey,0))&amp;INDEX(MemLab,MATCH($C2681&amp;"|"&amp;$B2681,MemKey,0))</f>
        <v/>
      </c>
      <c r="I2681" s="14">
        <f>INDEX(VarUnit,MATCH($A2681,VarKey,0))</f>
        <v/>
      </c>
      <c r="J2681" s="14">
        <f>INDEX(VarSrc,MATCH($A2681,VarKey,0))</f>
        <v/>
      </c>
      <c r="K2681" s="11">
        <f>CodePrefix&amp;$A2681&amp;IF($C2681="","","."&amp;$C2681&amp;"."&amp;$B2681)&amp;INDEX(VarEnd,MATCH($A2681,VarKey,0))&amp;K$5</f>
        <v/>
      </c>
      <c r="L2681" s="40">
        <f>INDEX(L$263:L$279,$F2681)*$D2681*INDEX(L$23:L$30,$E2681)</f>
        <v/>
      </c>
      <c r="M2681" s="35">
        <f>INDEX(M$263:M$279,$F2681)*$D2681*INDEX(M$23:M$30,$E2681)</f>
        <v/>
      </c>
      <c r="N2681" s="35">
        <f>INDEX(N$263:N$279,$F2681)*$D2681*INDEX(N$23:N$30,$E2681)</f>
        <v/>
      </c>
      <c r="O2681" s="35">
        <f>INDEX(O$263:O$279,$F2681)*$D2681*INDEX(O$23:O$30,$E2681)</f>
        <v/>
      </c>
      <c r="P2681" s="35">
        <f>INDEX(P$263:P$279,$F2681)*$D2681*INDEX(P$23:P$30,$E2681)</f>
        <v/>
      </c>
      <c r="Q2681" s="35">
        <f>INDEX(Q$263:Q$279,$F2681)*$D2681*INDEX(Q$23:Q$30,$E2681)</f>
        <v/>
      </c>
      <c r="R2681" s="35">
        <f>INDEX(R$263:R$279,$F2681)*$D2681*INDEX(R$23:R$30,$E2681)</f>
        <v/>
      </c>
      <c r="S2681" s="35">
        <f>INDEX(S$263:S$279,$F2681)*$D2681*INDEX(S$23:S$30,$E2681)</f>
        <v/>
      </c>
      <c r="T2681" s="35">
        <f>INDEX(T$263:T$279,$F2681)*$D2681*INDEX(T$23:T$30,$E2681)</f>
        <v/>
      </c>
      <c r="U2681" s="35">
        <f>INDEX(U$263:U$279,$F2681)*$D2681*INDEX(U$23:U$30,$E2681)</f>
        <v/>
      </c>
      <c r="V2681" s="35">
        <f>INDEX(V$263:V$279,$F2681)*$D2681*INDEX(V$23:V$30,$E2681)</f>
        <v/>
      </c>
      <c r="W2681" s="35">
        <f>INDEX(W$263:W$279,$F2681)*$D2681*INDEX(W$23:W$30,$E2681)</f>
        <v/>
      </c>
      <c r="X2681" s="35">
        <f>INDEX(X$263:X$279,$F2681)*$D2681*INDEX(X$23:X$30,$E2681)</f>
        <v/>
      </c>
      <c r="Y2681" s="35">
        <f>INDEX(Y$263:Y$279,$F2681)*$D2681*INDEX(Y$23:Y$30,$E2681)</f>
        <v/>
      </c>
      <c r="Z2681" s="35">
        <f>INDEX(Z$263:Z$279,$F2681)*$D2681*INDEX(Z$23:Z$30,$E2681)</f>
        <v/>
      </c>
      <c r="AA2681" s="35">
        <f>INDEX(AA$263:AA$279,$F2681)*$D2681*INDEX(AA$23:AA$30,$E2681)</f>
        <v/>
      </c>
      <c r="AB2681" s="35">
        <f>INDEX(AB$263:AB$279,$F2681)*$D2681*INDEX(AB$23:AB$30,$E2681)</f>
        <v/>
      </c>
      <c r="AC2681" s="35">
        <f>INDEX(AC$263:AC$279,$F2681)*$D2681*INDEX(AC$23:AC$30,$E2681)</f>
        <v/>
      </c>
      <c r="AD2681" s="35">
        <f>INDEX(AD$263:AD$279,$F2681)*$D2681*INDEX(AD$23:AD$30,$E2681)</f>
        <v/>
      </c>
      <c r="AE2681" s="42">
        <f>CARBONTAX(INDEX(AE$263:AE$279,$F2681),$D2681,INDEX(AE$23:AE$30,$E2681))</f>
        <v/>
      </c>
      <c r="AG2681" s="11">
        <f>CodePrefix&amp;$A2681&amp;IF($C2681="","","."&amp;$C2681&amp;"."&amp;$B2681)&amp;INDEX(VarEnd,MATCH($A2681,VarKey,0))&amp;AG$5</f>
        <v/>
      </c>
      <c r="AH2681" s="40">
        <f>INDEX(AH$263:AH$279,$F2681)*$D2681*INDEX(AH$23:AH$30,$E2681)</f>
        <v/>
      </c>
      <c r="AI2681" s="35">
        <f>INDEX(AI$263:AI$279,$F2681)*$D2681*INDEX(AI$23:AI$30,$E2681)</f>
        <v/>
      </c>
      <c r="AJ2681" s="35">
        <f>INDEX(AJ$263:AJ$279,$F2681)*$D2681*INDEX(AJ$23:AJ$30,$E2681)</f>
        <v/>
      </c>
      <c r="AK2681" s="35">
        <f>INDEX(AK$263:AK$279,$F2681)*$D2681*INDEX(AK$23:AK$30,$E2681)</f>
        <v/>
      </c>
      <c r="AL2681" s="35">
        <f>INDEX(AL$263:AL$279,$F2681)*$D2681*INDEX(AL$23:AL$30,$E2681)</f>
        <v/>
      </c>
      <c r="AM2681" s="35">
        <f>INDEX(AM$263:AM$279,$F2681)*$D2681*INDEX(AM$23:AM$30,$E2681)</f>
        <v/>
      </c>
      <c r="AN2681" s="35">
        <f>INDEX(AN$263:AN$279,$F2681)*$D2681*INDEX(AN$23:AN$30,$E2681)</f>
        <v/>
      </c>
      <c r="AO2681" s="35">
        <f>INDEX(AO$263:AO$279,$F2681)*$D2681*INDEX(AO$23:AO$30,$E2681)</f>
        <v/>
      </c>
      <c r="AP2681" s="35">
        <f>INDEX(AP$263:AP$279,$F2681)*$D2681*INDEX(AP$23:AP$30,$E2681)</f>
        <v/>
      </c>
      <c r="AQ2681" s="35">
        <f>INDEX(AQ$263:AQ$279,$F2681)*$D2681*INDEX(AQ$23:AQ$30,$E2681)</f>
        <v/>
      </c>
      <c r="AR2681" s="35">
        <f>INDEX(AR$263:AR$279,$F2681)*$D2681*INDEX(AR$23:AR$30,$E2681)</f>
        <v/>
      </c>
      <c r="AS2681" s="35">
        <f>INDEX(AS$263:AS$279,$F2681)*$D2681*INDEX(AS$23:AS$30,$E2681)</f>
        <v/>
      </c>
      <c r="AT2681" s="35">
        <f>INDEX(AT$263:AT$279,$F2681)*$D2681*INDEX(AT$23:AT$30,$E2681)</f>
        <v/>
      </c>
      <c r="AU2681" s="35">
        <f>INDEX(AU$263:AU$279,$F2681)*$D2681*INDEX(AU$23:AU$30,$E2681)</f>
        <v/>
      </c>
      <c r="AV2681" s="35">
        <f>INDEX(AV$263:AV$279,$F2681)*$D2681*INDEX(AV$23:AV$30,$E2681)</f>
        <v/>
      </c>
      <c r="AW2681" s="35">
        <f>INDEX(AW$263:AW$279,$F2681)*$D2681*INDEX(AW$23:AW$30,$E2681)</f>
        <v/>
      </c>
      <c r="AX2681" s="35">
        <f>INDEX(AX$263:AX$279,$F2681)*$D2681*INDEX(AX$23:AX$30,$E2681)</f>
        <v/>
      </c>
      <c r="AY2681" s="35">
        <f>INDEX(AY$263:AY$279,$F2681)*$D2681*INDEX(AY$23:AY$30,$E2681)</f>
        <v/>
      </c>
      <c r="AZ2681" s="35">
        <f>INDEX(AZ$263:AZ$279,$F2681)*$D2681*INDEX(AZ$23:AZ$30,$E2681)</f>
        <v/>
      </c>
      <c r="BA2681" s="42">
        <f>CARBONTAX(INDEX(BA$263:BA$279,$F2681),$D2681,INDEX(BA$23:BA$30,$E2681))</f>
        <v/>
      </c>
    </row>
    <row r="2682" hidden="1" outlineLevel="2">
      <c r="A2682" s="14" t="inlineStr">
        <is>
          <t>ctxnew</t>
        </is>
      </c>
      <c r="B2682" s="14" t="inlineStr">
        <is>
          <t>ker</t>
        </is>
      </c>
      <c r="C2682" s="14" t="inlineStr">
        <is>
          <t>cst</t>
        </is>
      </c>
      <c r="D2682" s="35">
        <f>INDEX(Inputs!$W$5:$W$132,MATCH($B2682&amp;"|"&amp;$C2682,Inputs!$A$5:$A$132,0))</f>
        <v/>
      </c>
      <c r="E2682" s="35">
        <f>INDEX(Inputs!$L$5:$L$132,MATCH($B2682&amp;"|"&amp;$C2682,Inputs!$A$5:$A$132,0))</f>
        <v/>
      </c>
      <c r="F2682" s="35">
        <f>INDEX(Inputs!$M$5:$M$132,MATCH($B2682&amp;"|"&amp;$C2682,Inputs!$A$5:$A$132,0))</f>
        <v/>
      </c>
      <c r="G2682" s="39" t="n"/>
      <c r="H2682" s="14">
        <f>INDEX(VarLab,MATCH($A2682,VarKey,0))&amp;INDEX(MemLab,MATCH($C2682&amp;"|"&amp;$B2682,MemKey,0))</f>
        <v/>
      </c>
      <c r="I2682" s="14">
        <f>INDEX(VarUnit,MATCH($A2682,VarKey,0))</f>
        <v/>
      </c>
      <c r="J2682" s="14">
        <f>INDEX(VarSrc,MATCH($A2682,VarKey,0))</f>
        <v/>
      </c>
      <c r="K2682" s="11">
        <f>CodePrefix&amp;$A2682&amp;IF($C2682="","","."&amp;$C2682&amp;"."&amp;$B2682)&amp;INDEX(VarEnd,MATCH($A2682,VarKey,0))&amp;K$5</f>
        <v/>
      </c>
      <c r="L2682" s="40">
        <f>INDEX(L$263:L$279,$F2682)*$D2682*INDEX(L$23:L$30,$E2682)</f>
        <v/>
      </c>
      <c r="M2682" s="35">
        <f>INDEX(M$263:M$279,$F2682)*$D2682*INDEX(M$23:M$30,$E2682)</f>
        <v/>
      </c>
      <c r="N2682" s="35">
        <f>INDEX(N$263:N$279,$F2682)*$D2682*INDEX(N$23:N$30,$E2682)</f>
        <v/>
      </c>
      <c r="O2682" s="35">
        <f>INDEX(O$263:O$279,$F2682)*$D2682*INDEX(O$23:O$30,$E2682)</f>
        <v/>
      </c>
      <c r="P2682" s="35">
        <f>INDEX(P$263:P$279,$F2682)*$D2682*INDEX(P$23:P$30,$E2682)</f>
        <v/>
      </c>
      <c r="Q2682" s="35">
        <f>INDEX(Q$263:Q$279,$F2682)*$D2682*INDEX(Q$23:Q$30,$E2682)</f>
        <v/>
      </c>
      <c r="R2682" s="35">
        <f>INDEX(R$263:R$279,$F2682)*$D2682*INDEX(R$23:R$30,$E2682)</f>
        <v/>
      </c>
      <c r="S2682" s="35">
        <f>INDEX(S$263:S$279,$F2682)*$D2682*INDEX(S$23:S$30,$E2682)</f>
        <v/>
      </c>
      <c r="T2682" s="35">
        <f>INDEX(T$263:T$279,$F2682)*$D2682*INDEX(T$23:T$30,$E2682)</f>
        <v/>
      </c>
      <c r="U2682" s="35">
        <f>INDEX(U$263:U$279,$F2682)*$D2682*INDEX(U$23:U$30,$E2682)</f>
        <v/>
      </c>
      <c r="V2682" s="35">
        <f>INDEX(V$263:V$279,$F2682)*$D2682*INDEX(V$23:V$30,$E2682)</f>
        <v/>
      </c>
      <c r="W2682" s="35">
        <f>INDEX(W$263:W$279,$F2682)*$D2682*INDEX(W$23:W$30,$E2682)</f>
        <v/>
      </c>
      <c r="X2682" s="35">
        <f>INDEX(X$263:X$279,$F2682)*$D2682*INDEX(X$23:X$30,$E2682)</f>
        <v/>
      </c>
      <c r="Y2682" s="35">
        <f>INDEX(Y$263:Y$279,$F2682)*$D2682*INDEX(Y$23:Y$30,$E2682)</f>
        <v/>
      </c>
      <c r="Z2682" s="35">
        <f>INDEX(Z$263:Z$279,$F2682)*$D2682*INDEX(Z$23:Z$30,$E2682)</f>
        <v/>
      </c>
      <c r="AA2682" s="35">
        <f>INDEX(AA$263:AA$279,$F2682)*$D2682*INDEX(AA$23:AA$30,$E2682)</f>
        <v/>
      </c>
      <c r="AB2682" s="35">
        <f>INDEX(AB$263:AB$279,$F2682)*$D2682*INDEX(AB$23:AB$30,$E2682)</f>
        <v/>
      </c>
      <c r="AC2682" s="35">
        <f>INDEX(AC$263:AC$279,$F2682)*$D2682*INDEX(AC$23:AC$30,$E2682)</f>
        <v/>
      </c>
      <c r="AD2682" s="35">
        <f>INDEX(AD$263:AD$279,$F2682)*$D2682*INDEX(AD$23:AD$30,$E2682)</f>
        <v/>
      </c>
      <c r="AE2682" s="42">
        <f>CARBONTAX(INDEX(AE$263:AE$279,$F2682),$D2682,INDEX(AE$23:AE$30,$E2682))</f>
        <v/>
      </c>
      <c r="AG2682" s="11">
        <f>CodePrefix&amp;$A2682&amp;IF($C2682="","","."&amp;$C2682&amp;"."&amp;$B2682)&amp;INDEX(VarEnd,MATCH($A2682,VarKey,0))&amp;AG$5</f>
        <v/>
      </c>
      <c r="AH2682" s="40">
        <f>INDEX(AH$263:AH$279,$F2682)*$D2682*INDEX(AH$23:AH$30,$E2682)</f>
        <v/>
      </c>
      <c r="AI2682" s="35">
        <f>INDEX(AI$263:AI$279,$F2682)*$D2682*INDEX(AI$23:AI$30,$E2682)</f>
        <v/>
      </c>
      <c r="AJ2682" s="35">
        <f>INDEX(AJ$263:AJ$279,$F2682)*$D2682*INDEX(AJ$23:AJ$30,$E2682)</f>
        <v/>
      </c>
      <c r="AK2682" s="35">
        <f>INDEX(AK$263:AK$279,$F2682)*$D2682*INDEX(AK$23:AK$30,$E2682)</f>
        <v/>
      </c>
      <c r="AL2682" s="35">
        <f>INDEX(AL$263:AL$279,$F2682)*$D2682*INDEX(AL$23:AL$30,$E2682)</f>
        <v/>
      </c>
      <c r="AM2682" s="35">
        <f>INDEX(AM$263:AM$279,$F2682)*$D2682*INDEX(AM$23:AM$30,$E2682)</f>
        <v/>
      </c>
      <c r="AN2682" s="35">
        <f>INDEX(AN$263:AN$279,$F2682)*$D2682*INDEX(AN$23:AN$30,$E2682)</f>
        <v/>
      </c>
      <c r="AO2682" s="35">
        <f>INDEX(AO$263:AO$279,$F2682)*$D2682*INDEX(AO$23:AO$30,$E2682)</f>
        <v/>
      </c>
      <c r="AP2682" s="35">
        <f>INDEX(AP$263:AP$279,$F2682)*$D2682*INDEX(AP$23:AP$30,$E2682)</f>
        <v/>
      </c>
      <c r="AQ2682" s="35">
        <f>INDEX(AQ$263:AQ$279,$F2682)*$D2682*INDEX(AQ$23:AQ$30,$E2682)</f>
        <v/>
      </c>
      <c r="AR2682" s="35">
        <f>INDEX(AR$263:AR$279,$F2682)*$D2682*INDEX(AR$23:AR$30,$E2682)</f>
        <v/>
      </c>
      <c r="AS2682" s="35">
        <f>INDEX(AS$263:AS$279,$F2682)*$D2682*INDEX(AS$23:AS$30,$E2682)</f>
        <v/>
      </c>
      <c r="AT2682" s="35">
        <f>INDEX(AT$263:AT$279,$F2682)*$D2682*INDEX(AT$23:AT$30,$E2682)</f>
        <v/>
      </c>
      <c r="AU2682" s="35">
        <f>INDEX(AU$263:AU$279,$F2682)*$D2682*INDEX(AU$23:AU$30,$E2682)</f>
        <v/>
      </c>
      <c r="AV2682" s="35">
        <f>INDEX(AV$263:AV$279,$F2682)*$D2682*INDEX(AV$23:AV$30,$E2682)</f>
        <v/>
      </c>
      <c r="AW2682" s="35">
        <f>INDEX(AW$263:AW$279,$F2682)*$D2682*INDEX(AW$23:AW$30,$E2682)</f>
        <v/>
      </c>
      <c r="AX2682" s="35">
        <f>INDEX(AX$263:AX$279,$F2682)*$D2682*INDEX(AX$23:AX$30,$E2682)</f>
        <v/>
      </c>
      <c r="AY2682" s="35">
        <f>INDEX(AY$263:AY$279,$F2682)*$D2682*INDEX(AY$23:AY$30,$E2682)</f>
        <v/>
      </c>
      <c r="AZ2682" s="35">
        <f>INDEX(AZ$263:AZ$279,$F2682)*$D2682*INDEX(AZ$23:AZ$30,$E2682)</f>
        <v/>
      </c>
      <c r="BA2682" s="42">
        <f>CARBONTAX(INDEX(BA$263:BA$279,$F2682),$D2682,INDEX(BA$23:BA$30,$E2682))</f>
        <v/>
      </c>
    </row>
    <row r="2683" hidden="1" outlineLevel="2">
      <c r="A2683" s="14" t="inlineStr">
        <is>
          <t>ctxnew</t>
        </is>
      </c>
      <c r="B2683" s="14" t="inlineStr">
        <is>
          <t>oop</t>
        </is>
      </c>
      <c r="C2683" s="14" t="inlineStr">
        <is>
          <t>cst</t>
        </is>
      </c>
      <c r="D2683" s="35">
        <f>INDEX(Inputs!$W$5:$W$132,MATCH($B2683&amp;"|"&amp;$C2683,Inputs!$A$5:$A$132,0))</f>
        <v/>
      </c>
      <c r="E2683" s="35">
        <f>INDEX(Inputs!$L$5:$L$132,MATCH($B2683&amp;"|"&amp;$C2683,Inputs!$A$5:$A$132,0))</f>
        <v/>
      </c>
      <c r="F2683" s="35">
        <f>INDEX(Inputs!$M$5:$M$132,MATCH($B2683&amp;"|"&amp;$C2683,Inputs!$A$5:$A$132,0))</f>
        <v/>
      </c>
      <c r="G2683" s="39" t="n"/>
      <c r="H2683" s="14">
        <f>INDEX(VarLab,MATCH($A2683,VarKey,0))&amp;INDEX(MemLab,MATCH($C2683&amp;"|"&amp;$B2683,MemKey,0))</f>
        <v/>
      </c>
      <c r="I2683" s="14">
        <f>INDEX(VarUnit,MATCH($A2683,VarKey,0))</f>
        <v/>
      </c>
      <c r="J2683" s="14">
        <f>INDEX(VarSrc,MATCH($A2683,VarKey,0))</f>
        <v/>
      </c>
      <c r="K2683" s="11">
        <f>CodePrefix&amp;$A2683&amp;IF($C2683="","","."&amp;$C2683&amp;"."&amp;$B2683)&amp;INDEX(VarEnd,MATCH($A2683,VarKey,0))&amp;K$5</f>
        <v/>
      </c>
      <c r="L2683" s="40">
        <f>INDEX(L$263:L$279,$F2683)*$D2683*INDEX(L$23:L$30,$E2683)</f>
        <v/>
      </c>
      <c r="M2683" s="35">
        <f>INDEX(M$263:M$279,$F2683)*$D2683*INDEX(M$23:M$30,$E2683)</f>
        <v/>
      </c>
      <c r="N2683" s="35">
        <f>INDEX(N$263:N$279,$F2683)*$D2683*INDEX(N$23:N$30,$E2683)</f>
        <v/>
      </c>
      <c r="O2683" s="35">
        <f>INDEX(O$263:O$279,$F2683)*$D2683*INDEX(O$23:O$30,$E2683)</f>
        <v/>
      </c>
      <c r="P2683" s="35">
        <f>INDEX(P$263:P$279,$F2683)*$D2683*INDEX(P$23:P$30,$E2683)</f>
        <v/>
      </c>
      <c r="Q2683" s="35">
        <f>INDEX(Q$263:Q$279,$F2683)*$D2683*INDEX(Q$23:Q$30,$E2683)</f>
        <v/>
      </c>
      <c r="R2683" s="35">
        <f>INDEX(R$263:R$279,$F2683)*$D2683*INDEX(R$23:R$30,$E2683)</f>
        <v/>
      </c>
      <c r="S2683" s="35">
        <f>INDEX(S$263:S$279,$F2683)*$D2683*INDEX(S$23:S$30,$E2683)</f>
        <v/>
      </c>
      <c r="T2683" s="35">
        <f>INDEX(T$263:T$279,$F2683)*$D2683*INDEX(T$23:T$30,$E2683)</f>
        <v/>
      </c>
      <c r="U2683" s="35">
        <f>INDEX(U$263:U$279,$F2683)*$D2683*INDEX(U$23:U$30,$E2683)</f>
        <v/>
      </c>
      <c r="V2683" s="35">
        <f>INDEX(V$263:V$279,$F2683)*$D2683*INDEX(V$23:V$30,$E2683)</f>
        <v/>
      </c>
      <c r="W2683" s="35">
        <f>INDEX(W$263:W$279,$F2683)*$D2683*INDEX(W$23:W$30,$E2683)</f>
        <v/>
      </c>
      <c r="X2683" s="35">
        <f>INDEX(X$263:X$279,$F2683)*$D2683*INDEX(X$23:X$30,$E2683)</f>
        <v/>
      </c>
      <c r="Y2683" s="35">
        <f>INDEX(Y$263:Y$279,$F2683)*$D2683*INDEX(Y$23:Y$30,$E2683)</f>
        <v/>
      </c>
      <c r="Z2683" s="35">
        <f>INDEX(Z$263:Z$279,$F2683)*$D2683*INDEX(Z$23:Z$30,$E2683)</f>
        <v/>
      </c>
      <c r="AA2683" s="35">
        <f>INDEX(AA$263:AA$279,$F2683)*$D2683*INDEX(AA$23:AA$30,$E2683)</f>
        <v/>
      </c>
      <c r="AB2683" s="35">
        <f>INDEX(AB$263:AB$279,$F2683)*$D2683*INDEX(AB$23:AB$30,$E2683)</f>
        <v/>
      </c>
      <c r="AC2683" s="35">
        <f>INDEX(AC$263:AC$279,$F2683)*$D2683*INDEX(AC$23:AC$30,$E2683)</f>
        <v/>
      </c>
      <c r="AD2683" s="35">
        <f>INDEX(AD$263:AD$279,$F2683)*$D2683*INDEX(AD$23:AD$30,$E2683)</f>
        <v/>
      </c>
      <c r="AE2683" s="42">
        <f>CARBONTAX(INDEX(AE$263:AE$279,$F2683),$D2683,INDEX(AE$23:AE$30,$E2683))</f>
        <v/>
      </c>
      <c r="AG2683" s="11">
        <f>CodePrefix&amp;$A2683&amp;IF($C2683="","","."&amp;$C2683&amp;"."&amp;$B2683)&amp;INDEX(VarEnd,MATCH($A2683,VarKey,0))&amp;AG$5</f>
        <v/>
      </c>
      <c r="AH2683" s="40">
        <f>INDEX(AH$263:AH$279,$F2683)*$D2683*INDEX(AH$23:AH$30,$E2683)</f>
        <v/>
      </c>
      <c r="AI2683" s="35">
        <f>INDEX(AI$263:AI$279,$F2683)*$D2683*INDEX(AI$23:AI$30,$E2683)</f>
        <v/>
      </c>
      <c r="AJ2683" s="35">
        <f>INDEX(AJ$263:AJ$279,$F2683)*$D2683*INDEX(AJ$23:AJ$30,$E2683)</f>
        <v/>
      </c>
      <c r="AK2683" s="35">
        <f>INDEX(AK$263:AK$279,$F2683)*$D2683*INDEX(AK$23:AK$30,$E2683)</f>
        <v/>
      </c>
      <c r="AL2683" s="35">
        <f>INDEX(AL$263:AL$279,$F2683)*$D2683*INDEX(AL$23:AL$30,$E2683)</f>
        <v/>
      </c>
      <c r="AM2683" s="35">
        <f>INDEX(AM$263:AM$279,$F2683)*$D2683*INDEX(AM$23:AM$30,$E2683)</f>
        <v/>
      </c>
      <c r="AN2683" s="35">
        <f>INDEX(AN$263:AN$279,$F2683)*$D2683*INDEX(AN$23:AN$30,$E2683)</f>
        <v/>
      </c>
      <c r="AO2683" s="35">
        <f>INDEX(AO$263:AO$279,$F2683)*$D2683*INDEX(AO$23:AO$30,$E2683)</f>
        <v/>
      </c>
      <c r="AP2683" s="35">
        <f>INDEX(AP$263:AP$279,$F2683)*$D2683*INDEX(AP$23:AP$30,$E2683)</f>
        <v/>
      </c>
      <c r="AQ2683" s="35">
        <f>INDEX(AQ$263:AQ$279,$F2683)*$D2683*INDEX(AQ$23:AQ$30,$E2683)</f>
        <v/>
      </c>
      <c r="AR2683" s="35">
        <f>INDEX(AR$263:AR$279,$F2683)*$D2683*INDEX(AR$23:AR$30,$E2683)</f>
        <v/>
      </c>
      <c r="AS2683" s="35">
        <f>INDEX(AS$263:AS$279,$F2683)*$D2683*INDEX(AS$23:AS$30,$E2683)</f>
        <v/>
      </c>
      <c r="AT2683" s="35">
        <f>INDEX(AT$263:AT$279,$F2683)*$D2683*INDEX(AT$23:AT$30,$E2683)</f>
        <v/>
      </c>
      <c r="AU2683" s="35">
        <f>INDEX(AU$263:AU$279,$F2683)*$D2683*INDEX(AU$23:AU$30,$E2683)</f>
        <v/>
      </c>
      <c r="AV2683" s="35">
        <f>INDEX(AV$263:AV$279,$F2683)*$D2683*INDEX(AV$23:AV$30,$E2683)</f>
        <v/>
      </c>
      <c r="AW2683" s="35">
        <f>INDEX(AW$263:AW$279,$F2683)*$D2683*INDEX(AW$23:AW$30,$E2683)</f>
        <v/>
      </c>
      <c r="AX2683" s="35">
        <f>INDEX(AX$263:AX$279,$F2683)*$D2683*INDEX(AX$23:AX$30,$E2683)</f>
        <v/>
      </c>
      <c r="AY2683" s="35">
        <f>INDEX(AY$263:AY$279,$F2683)*$D2683*INDEX(AY$23:AY$30,$E2683)</f>
        <v/>
      </c>
      <c r="AZ2683" s="35">
        <f>INDEX(AZ$263:AZ$279,$F2683)*$D2683*INDEX(AZ$23:AZ$30,$E2683)</f>
        <v/>
      </c>
      <c r="BA2683" s="42">
        <f>CARBONTAX(INDEX(BA$263:BA$279,$F2683),$D2683,INDEX(BA$23:BA$30,$E2683))</f>
        <v/>
      </c>
    </row>
    <row r="2684" hidden="1" outlineLevel="2">
      <c r="A2684" s="14" t="inlineStr">
        <is>
          <t>ctxnew</t>
        </is>
      </c>
      <c r="B2684" s="14" t="inlineStr">
        <is>
          <t>bio</t>
        </is>
      </c>
      <c r="C2684" s="14" t="inlineStr">
        <is>
          <t>cst</t>
        </is>
      </c>
      <c r="D2684" s="35">
        <f>INDEX(Inputs!$W$5:$W$132,MATCH($B2684&amp;"|"&amp;$C2684,Inputs!$A$5:$A$132,0))</f>
        <v/>
      </c>
      <c r="E2684" s="35">
        <f>INDEX(Inputs!$L$5:$L$132,MATCH($B2684&amp;"|"&amp;$C2684,Inputs!$A$5:$A$132,0))</f>
        <v/>
      </c>
      <c r="F2684" s="35">
        <f>INDEX(Inputs!$M$5:$M$132,MATCH($B2684&amp;"|"&amp;$C2684,Inputs!$A$5:$A$132,0))</f>
        <v/>
      </c>
      <c r="G2684" s="39" t="n"/>
      <c r="H2684" s="14">
        <f>INDEX(VarLab,MATCH($A2684,VarKey,0))&amp;INDEX(MemLab,MATCH($C2684&amp;"|"&amp;$B2684,MemKey,0))</f>
        <v/>
      </c>
      <c r="I2684" s="14">
        <f>INDEX(VarUnit,MATCH($A2684,VarKey,0))</f>
        <v/>
      </c>
      <c r="J2684" s="14">
        <f>INDEX(VarSrc,MATCH($A2684,VarKey,0))</f>
        <v/>
      </c>
      <c r="K2684" s="11">
        <f>CodePrefix&amp;$A2684&amp;IF($C2684="","","."&amp;$C2684&amp;"."&amp;$B2684)&amp;INDEX(VarEnd,MATCH($A2684,VarKey,0))&amp;K$5</f>
        <v/>
      </c>
      <c r="L2684" s="40">
        <f>INDEX(L$263:L$279,$F2684)*$D2684*INDEX(L$23:L$30,$E2684)</f>
        <v/>
      </c>
      <c r="M2684" s="35">
        <f>INDEX(M$263:M$279,$F2684)*$D2684*INDEX(M$23:M$30,$E2684)</f>
        <v/>
      </c>
      <c r="N2684" s="35">
        <f>INDEX(N$263:N$279,$F2684)*$D2684*INDEX(N$23:N$30,$E2684)</f>
        <v/>
      </c>
      <c r="O2684" s="35">
        <f>INDEX(O$263:O$279,$F2684)*$D2684*INDEX(O$23:O$30,$E2684)</f>
        <v/>
      </c>
      <c r="P2684" s="35">
        <f>INDEX(P$263:P$279,$F2684)*$D2684*INDEX(P$23:P$30,$E2684)</f>
        <v/>
      </c>
      <c r="Q2684" s="35">
        <f>INDEX(Q$263:Q$279,$F2684)*$D2684*INDEX(Q$23:Q$30,$E2684)</f>
        <v/>
      </c>
      <c r="R2684" s="35">
        <f>INDEX(R$263:R$279,$F2684)*$D2684*INDEX(R$23:R$30,$E2684)</f>
        <v/>
      </c>
      <c r="S2684" s="35">
        <f>INDEX(S$263:S$279,$F2684)*$D2684*INDEX(S$23:S$30,$E2684)</f>
        <v/>
      </c>
      <c r="T2684" s="35">
        <f>INDEX(T$263:T$279,$F2684)*$D2684*INDEX(T$23:T$30,$E2684)</f>
        <v/>
      </c>
      <c r="U2684" s="35">
        <f>INDEX(U$263:U$279,$F2684)*$D2684*INDEX(U$23:U$30,$E2684)</f>
        <v/>
      </c>
      <c r="V2684" s="35">
        <f>INDEX(V$263:V$279,$F2684)*$D2684*INDEX(V$23:V$30,$E2684)</f>
        <v/>
      </c>
      <c r="W2684" s="35">
        <f>INDEX(W$263:W$279,$F2684)*$D2684*INDEX(W$23:W$30,$E2684)</f>
        <v/>
      </c>
      <c r="X2684" s="35">
        <f>INDEX(X$263:X$279,$F2684)*$D2684*INDEX(X$23:X$30,$E2684)</f>
        <v/>
      </c>
      <c r="Y2684" s="35">
        <f>INDEX(Y$263:Y$279,$F2684)*$D2684*INDEX(Y$23:Y$30,$E2684)</f>
        <v/>
      </c>
      <c r="Z2684" s="35">
        <f>INDEX(Z$263:Z$279,$F2684)*$D2684*INDEX(Z$23:Z$30,$E2684)</f>
        <v/>
      </c>
      <c r="AA2684" s="35">
        <f>INDEX(AA$263:AA$279,$F2684)*$D2684*INDEX(AA$23:AA$30,$E2684)</f>
        <v/>
      </c>
      <c r="AB2684" s="35">
        <f>INDEX(AB$263:AB$279,$F2684)*$D2684*INDEX(AB$23:AB$30,$E2684)</f>
        <v/>
      </c>
      <c r="AC2684" s="35">
        <f>INDEX(AC$263:AC$279,$F2684)*$D2684*INDEX(AC$23:AC$30,$E2684)</f>
        <v/>
      </c>
      <c r="AD2684" s="35">
        <f>INDEX(AD$263:AD$279,$F2684)*$D2684*INDEX(AD$23:AD$30,$E2684)</f>
        <v/>
      </c>
      <c r="AE2684" s="42">
        <f>CARBONTAX(INDEX(AE$263:AE$279,$F2684),$D2684,INDEX(AE$23:AE$30,$E2684))</f>
        <v/>
      </c>
      <c r="AG2684" s="11">
        <f>CodePrefix&amp;$A2684&amp;IF($C2684="","","."&amp;$C2684&amp;"."&amp;$B2684)&amp;INDEX(VarEnd,MATCH($A2684,VarKey,0))&amp;AG$5</f>
        <v/>
      </c>
      <c r="AH2684" s="40">
        <f>INDEX(AH$263:AH$279,$F2684)*$D2684*INDEX(AH$23:AH$30,$E2684)</f>
        <v/>
      </c>
      <c r="AI2684" s="35">
        <f>INDEX(AI$263:AI$279,$F2684)*$D2684*INDEX(AI$23:AI$30,$E2684)</f>
        <v/>
      </c>
      <c r="AJ2684" s="35">
        <f>INDEX(AJ$263:AJ$279,$F2684)*$D2684*INDEX(AJ$23:AJ$30,$E2684)</f>
        <v/>
      </c>
      <c r="AK2684" s="35">
        <f>INDEX(AK$263:AK$279,$F2684)*$D2684*INDEX(AK$23:AK$30,$E2684)</f>
        <v/>
      </c>
      <c r="AL2684" s="35">
        <f>INDEX(AL$263:AL$279,$F2684)*$D2684*INDEX(AL$23:AL$30,$E2684)</f>
        <v/>
      </c>
      <c r="AM2684" s="35">
        <f>INDEX(AM$263:AM$279,$F2684)*$D2684*INDEX(AM$23:AM$30,$E2684)</f>
        <v/>
      </c>
      <c r="AN2684" s="35">
        <f>INDEX(AN$263:AN$279,$F2684)*$D2684*INDEX(AN$23:AN$30,$E2684)</f>
        <v/>
      </c>
      <c r="AO2684" s="35">
        <f>INDEX(AO$263:AO$279,$F2684)*$D2684*INDEX(AO$23:AO$30,$E2684)</f>
        <v/>
      </c>
      <c r="AP2684" s="35">
        <f>INDEX(AP$263:AP$279,$F2684)*$D2684*INDEX(AP$23:AP$30,$E2684)</f>
        <v/>
      </c>
      <c r="AQ2684" s="35">
        <f>INDEX(AQ$263:AQ$279,$F2684)*$D2684*INDEX(AQ$23:AQ$30,$E2684)</f>
        <v/>
      </c>
      <c r="AR2684" s="35">
        <f>INDEX(AR$263:AR$279,$F2684)*$D2684*INDEX(AR$23:AR$30,$E2684)</f>
        <v/>
      </c>
      <c r="AS2684" s="35">
        <f>INDEX(AS$263:AS$279,$F2684)*$D2684*INDEX(AS$23:AS$30,$E2684)</f>
        <v/>
      </c>
      <c r="AT2684" s="35">
        <f>INDEX(AT$263:AT$279,$F2684)*$D2684*INDEX(AT$23:AT$30,$E2684)</f>
        <v/>
      </c>
      <c r="AU2684" s="35">
        <f>INDEX(AU$263:AU$279,$F2684)*$D2684*INDEX(AU$23:AU$30,$E2684)</f>
        <v/>
      </c>
      <c r="AV2684" s="35">
        <f>INDEX(AV$263:AV$279,$F2684)*$D2684*INDEX(AV$23:AV$30,$E2684)</f>
        <v/>
      </c>
      <c r="AW2684" s="35">
        <f>INDEX(AW$263:AW$279,$F2684)*$D2684*INDEX(AW$23:AW$30,$E2684)</f>
        <v/>
      </c>
      <c r="AX2684" s="35">
        <f>INDEX(AX$263:AX$279,$F2684)*$D2684*INDEX(AX$23:AX$30,$E2684)</f>
        <v/>
      </c>
      <c r="AY2684" s="35">
        <f>INDEX(AY$263:AY$279,$F2684)*$D2684*INDEX(AY$23:AY$30,$E2684)</f>
        <v/>
      </c>
      <c r="AZ2684" s="35">
        <f>INDEX(AZ$263:AZ$279,$F2684)*$D2684*INDEX(AZ$23:AZ$30,$E2684)</f>
        <v/>
      </c>
      <c r="BA2684" s="42">
        <f>CARBONTAX(INDEX(BA$263:BA$279,$F2684),$D2684,INDEX(BA$23:BA$30,$E2684))</f>
        <v/>
      </c>
    </row>
    <row r="2685" hidden="1" outlineLevel="2"/>
    <row r="2686" hidden="1" outlineLevel="2">
      <c r="A2686" s="14" t="inlineStr">
        <is>
          <t>ets</t>
        </is>
      </c>
      <c r="B2686" s="14" t="inlineStr">
        <is>
          <t>coa</t>
        </is>
      </c>
      <c r="C2686" s="14" t="inlineStr">
        <is>
          <t>cst</t>
        </is>
      </c>
      <c r="D2686" s="35">
        <f>INDEX(Inputs!$W$5:$W$132,MATCH($B2686&amp;"|"&amp;$C2686,Inputs!$A$5:$A$132,0))</f>
        <v/>
      </c>
      <c r="E2686" s="35">
        <f>INDEX(Inputs!$M$5:$M$132,MATCH($B2686&amp;"|"&amp;$C2686,Inputs!$A$5:$A$132,0))</f>
        <v/>
      </c>
      <c r="F2686" s="39" t="n"/>
      <c r="G2686" s="39" t="n"/>
      <c r="H2686" s="14">
        <f>INDEX(VarLab,MATCH($A2686,VarKey,0))&amp;INDEX(MemLab,MATCH($C2686&amp;"|"&amp;$B2686,MemKey,0))</f>
        <v/>
      </c>
      <c r="I2686" s="14">
        <f>INDEX(VarUnit,MATCH($A2686,VarKey,0))</f>
        <v/>
      </c>
      <c r="J2686" s="14">
        <f>INDEX(VarSrc,MATCH($A2686,VarKey,0))</f>
        <v/>
      </c>
      <c r="K2686" s="11">
        <f>CodePrefix&amp;$A2686&amp;IF($C2686="","","."&amp;$C2686&amp;"."&amp;$B2686)&amp;INDEX(VarEnd,MATCH($A2686,VarKey,0))&amp;K$5</f>
        <v/>
      </c>
      <c r="L2686" s="40">
        <f>INDEX(L$280:L$296,$E2686)*$D2686</f>
        <v/>
      </c>
      <c r="M2686" s="35">
        <f>INDEX(M$280:M$296,$E2686)*$D2686</f>
        <v/>
      </c>
      <c r="N2686" s="35">
        <f>INDEX(N$280:N$296,$E2686)*$D2686</f>
        <v/>
      </c>
      <c r="O2686" s="35">
        <f>INDEX(O$280:O$296,$E2686)*$D2686</f>
        <v/>
      </c>
      <c r="P2686" s="35">
        <f>INDEX(P$280:P$296,$E2686)*$D2686</f>
        <v/>
      </c>
      <c r="Q2686" s="35">
        <f>INDEX(Q$280:Q$296,$E2686)*$D2686</f>
        <v/>
      </c>
      <c r="R2686" s="35">
        <f>INDEX(R$280:R$296,$E2686)*$D2686</f>
        <v/>
      </c>
      <c r="S2686" s="35">
        <f>INDEX(S$280:S$296,$E2686)*$D2686</f>
        <v/>
      </c>
      <c r="T2686" s="35">
        <f>INDEX(T$280:T$296,$E2686)*$D2686</f>
        <v/>
      </c>
      <c r="U2686" s="35">
        <f>INDEX(U$280:U$296,$E2686)*$D2686</f>
        <v/>
      </c>
      <c r="V2686" s="35">
        <f>INDEX(V$280:V$296,$E2686)*$D2686</f>
        <v/>
      </c>
      <c r="W2686" s="35">
        <f>INDEX(W$280:W$296,$E2686)*$D2686</f>
        <v/>
      </c>
      <c r="X2686" s="35">
        <f>INDEX(X$280:X$296,$E2686)*$D2686</f>
        <v/>
      </c>
      <c r="Y2686" s="35">
        <f>INDEX(Y$280:Y$296,$E2686)*$D2686</f>
        <v/>
      </c>
      <c r="Z2686" s="35">
        <f>INDEX(Z$280:Z$296,$E2686)*$D2686</f>
        <v/>
      </c>
      <c r="AA2686" s="35">
        <f>INDEX(AA$280:AA$296,$E2686)*$D2686</f>
        <v/>
      </c>
      <c r="AB2686" s="35">
        <f>INDEX(AB$280:AB$296,$E2686)*$D2686</f>
        <v/>
      </c>
      <c r="AC2686" s="35">
        <f>INDEX(AC$280:AC$296,$E2686)*$D2686</f>
        <v/>
      </c>
      <c r="AD2686" s="35">
        <f>INDEX(AD$280:AD$296,$E2686)*$D2686</f>
        <v/>
      </c>
      <c r="AE2686" s="42">
        <f>ETSCOST(INDEX(AE$280:AE$296,$E2686),$D2686)</f>
        <v/>
      </c>
      <c r="AG2686" s="11">
        <f>CodePrefix&amp;$A2686&amp;IF($C2686="","","."&amp;$C2686&amp;"."&amp;$B2686)&amp;INDEX(VarEnd,MATCH($A2686,VarKey,0))&amp;AG$5</f>
        <v/>
      </c>
      <c r="AH2686" s="40">
        <f>INDEX(AH$280:AH$296,$E2686)*$D2686</f>
        <v/>
      </c>
      <c r="AI2686" s="35">
        <f>INDEX(AI$280:AI$296,$E2686)*$D2686</f>
        <v/>
      </c>
      <c r="AJ2686" s="35">
        <f>INDEX(AJ$280:AJ$296,$E2686)*$D2686</f>
        <v/>
      </c>
      <c r="AK2686" s="35">
        <f>INDEX(AK$280:AK$296,$E2686)*$D2686</f>
        <v/>
      </c>
      <c r="AL2686" s="35">
        <f>INDEX(AL$280:AL$296,$E2686)*$D2686</f>
        <v/>
      </c>
      <c r="AM2686" s="35">
        <f>INDEX(AM$280:AM$296,$E2686)*$D2686</f>
        <v/>
      </c>
      <c r="AN2686" s="35">
        <f>INDEX(AN$280:AN$296,$E2686)*$D2686</f>
        <v/>
      </c>
      <c r="AO2686" s="35">
        <f>INDEX(AO$280:AO$296,$E2686)*$D2686</f>
        <v/>
      </c>
      <c r="AP2686" s="35">
        <f>INDEX(AP$280:AP$296,$E2686)*$D2686</f>
        <v/>
      </c>
      <c r="AQ2686" s="35">
        <f>INDEX(AQ$280:AQ$296,$E2686)*$D2686</f>
        <v/>
      </c>
      <c r="AR2686" s="35">
        <f>INDEX(AR$280:AR$296,$E2686)*$D2686</f>
        <v/>
      </c>
      <c r="AS2686" s="35">
        <f>INDEX(AS$280:AS$296,$E2686)*$D2686</f>
        <v/>
      </c>
      <c r="AT2686" s="35">
        <f>INDEX(AT$280:AT$296,$E2686)*$D2686</f>
        <v/>
      </c>
      <c r="AU2686" s="35">
        <f>INDEX(AU$280:AU$296,$E2686)*$D2686</f>
        <v/>
      </c>
      <c r="AV2686" s="35">
        <f>INDEX(AV$280:AV$296,$E2686)*$D2686</f>
        <v/>
      </c>
      <c r="AW2686" s="35">
        <f>INDEX(AW$280:AW$296,$E2686)*$D2686</f>
        <v/>
      </c>
      <c r="AX2686" s="35">
        <f>INDEX(AX$280:AX$296,$E2686)*$D2686</f>
        <v/>
      </c>
      <c r="AY2686" s="35">
        <f>INDEX(AY$280:AY$296,$E2686)*$D2686</f>
        <v/>
      </c>
      <c r="AZ2686" s="35">
        <f>INDEX(AZ$280:AZ$296,$E2686)*$D2686</f>
        <v/>
      </c>
      <c r="BA2686" s="42">
        <f>ETSCOST(INDEX(BA$280:BA$296,$E2686),$D2686)</f>
        <v/>
      </c>
    </row>
    <row r="2687" hidden="1" outlineLevel="2">
      <c r="A2687" s="14" t="inlineStr">
        <is>
          <t>ets</t>
        </is>
      </c>
      <c r="B2687" s="14" t="inlineStr">
        <is>
          <t>nga</t>
        </is>
      </c>
      <c r="C2687" s="14" t="inlineStr">
        <is>
          <t>cst</t>
        </is>
      </c>
      <c r="D2687" s="35">
        <f>INDEX(Inputs!$W$5:$W$132,MATCH($B2687&amp;"|"&amp;$C2687,Inputs!$A$5:$A$132,0))</f>
        <v/>
      </c>
      <c r="E2687" s="35">
        <f>INDEX(Inputs!$M$5:$M$132,MATCH($B2687&amp;"|"&amp;$C2687,Inputs!$A$5:$A$132,0))</f>
        <v/>
      </c>
      <c r="F2687" s="39" t="n"/>
      <c r="G2687" s="39" t="n"/>
      <c r="H2687" s="14">
        <f>INDEX(VarLab,MATCH($A2687,VarKey,0))&amp;INDEX(MemLab,MATCH($C2687&amp;"|"&amp;$B2687,MemKey,0))</f>
        <v/>
      </c>
      <c r="I2687" s="14">
        <f>INDEX(VarUnit,MATCH($A2687,VarKey,0))</f>
        <v/>
      </c>
      <c r="J2687" s="14">
        <f>INDEX(VarSrc,MATCH($A2687,VarKey,0))</f>
        <v/>
      </c>
      <c r="K2687" s="11">
        <f>CodePrefix&amp;$A2687&amp;IF($C2687="","","."&amp;$C2687&amp;"."&amp;$B2687)&amp;INDEX(VarEnd,MATCH($A2687,VarKey,0))&amp;K$5</f>
        <v/>
      </c>
      <c r="L2687" s="40">
        <f>INDEX(L$280:L$296,$E2687)*$D2687</f>
        <v/>
      </c>
      <c r="M2687" s="35">
        <f>INDEX(M$280:M$296,$E2687)*$D2687</f>
        <v/>
      </c>
      <c r="N2687" s="35">
        <f>INDEX(N$280:N$296,$E2687)*$D2687</f>
        <v/>
      </c>
      <c r="O2687" s="35">
        <f>INDEX(O$280:O$296,$E2687)*$D2687</f>
        <v/>
      </c>
      <c r="P2687" s="35">
        <f>INDEX(P$280:P$296,$E2687)*$D2687</f>
        <v/>
      </c>
      <c r="Q2687" s="35">
        <f>INDEX(Q$280:Q$296,$E2687)*$D2687</f>
        <v/>
      </c>
      <c r="R2687" s="35">
        <f>INDEX(R$280:R$296,$E2687)*$D2687</f>
        <v/>
      </c>
      <c r="S2687" s="35">
        <f>INDEX(S$280:S$296,$E2687)*$D2687</f>
        <v/>
      </c>
      <c r="T2687" s="35">
        <f>INDEX(T$280:T$296,$E2687)*$D2687</f>
        <v/>
      </c>
      <c r="U2687" s="35">
        <f>INDEX(U$280:U$296,$E2687)*$D2687</f>
        <v/>
      </c>
      <c r="V2687" s="35">
        <f>INDEX(V$280:V$296,$E2687)*$D2687</f>
        <v/>
      </c>
      <c r="W2687" s="35">
        <f>INDEX(W$280:W$296,$E2687)*$D2687</f>
        <v/>
      </c>
      <c r="X2687" s="35">
        <f>INDEX(X$280:X$296,$E2687)*$D2687</f>
        <v/>
      </c>
      <c r="Y2687" s="35">
        <f>INDEX(Y$280:Y$296,$E2687)*$D2687</f>
        <v/>
      </c>
      <c r="Z2687" s="35">
        <f>INDEX(Z$280:Z$296,$E2687)*$D2687</f>
        <v/>
      </c>
      <c r="AA2687" s="35">
        <f>INDEX(AA$280:AA$296,$E2687)*$D2687</f>
        <v/>
      </c>
      <c r="AB2687" s="35">
        <f>INDEX(AB$280:AB$296,$E2687)*$D2687</f>
        <v/>
      </c>
      <c r="AC2687" s="35">
        <f>INDEX(AC$280:AC$296,$E2687)*$D2687</f>
        <v/>
      </c>
      <c r="AD2687" s="35">
        <f>INDEX(AD$280:AD$296,$E2687)*$D2687</f>
        <v/>
      </c>
      <c r="AE2687" s="42">
        <f>ETSCOST(INDEX(AE$280:AE$296,$E2687),$D2687)</f>
        <v/>
      </c>
      <c r="AG2687" s="11">
        <f>CodePrefix&amp;$A2687&amp;IF($C2687="","","."&amp;$C2687&amp;"."&amp;$B2687)&amp;INDEX(VarEnd,MATCH($A2687,VarKey,0))&amp;AG$5</f>
        <v/>
      </c>
      <c r="AH2687" s="40">
        <f>INDEX(AH$280:AH$296,$E2687)*$D2687</f>
        <v/>
      </c>
      <c r="AI2687" s="35">
        <f>INDEX(AI$280:AI$296,$E2687)*$D2687</f>
        <v/>
      </c>
      <c r="AJ2687" s="35">
        <f>INDEX(AJ$280:AJ$296,$E2687)*$D2687</f>
        <v/>
      </c>
      <c r="AK2687" s="35">
        <f>INDEX(AK$280:AK$296,$E2687)*$D2687</f>
        <v/>
      </c>
      <c r="AL2687" s="35">
        <f>INDEX(AL$280:AL$296,$E2687)*$D2687</f>
        <v/>
      </c>
      <c r="AM2687" s="35">
        <f>INDEX(AM$280:AM$296,$E2687)*$D2687</f>
        <v/>
      </c>
      <c r="AN2687" s="35">
        <f>INDEX(AN$280:AN$296,$E2687)*$D2687</f>
        <v/>
      </c>
      <c r="AO2687" s="35">
        <f>INDEX(AO$280:AO$296,$E2687)*$D2687</f>
        <v/>
      </c>
      <c r="AP2687" s="35">
        <f>INDEX(AP$280:AP$296,$E2687)*$D2687</f>
        <v/>
      </c>
      <c r="AQ2687" s="35">
        <f>INDEX(AQ$280:AQ$296,$E2687)*$D2687</f>
        <v/>
      </c>
      <c r="AR2687" s="35">
        <f>INDEX(AR$280:AR$296,$E2687)*$D2687</f>
        <v/>
      </c>
      <c r="AS2687" s="35">
        <f>INDEX(AS$280:AS$296,$E2687)*$D2687</f>
        <v/>
      </c>
      <c r="AT2687" s="35">
        <f>INDEX(AT$280:AT$296,$E2687)*$D2687</f>
        <v/>
      </c>
      <c r="AU2687" s="35">
        <f>INDEX(AU$280:AU$296,$E2687)*$D2687</f>
        <v/>
      </c>
      <c r="AV2687" s="35">
        <f>INDEX(AV$280:AV$296,$E2687)*$D2687</f>
        <v/>
      </c>
      <c r="AW2687" s="35">
        <f>INDEX(AW$280:AW$296,$E2687)*$D2687</f>
        <v/>
      </c>
      <c r="AX2687" s="35">
        <f>INDEX(AX$280:AX$296,$E2687)*$D2687</f>
        <v/>
      </c>
      <c r="AY2687" s="35">
        <f>INDEX(AY$280:AY$296,$E2687)*$D2687</f>
        <v/>
      </c>
      <c r="AZ2687" s="35">
        <f>INDEX(AZ$280:AZ$296,$E2687)*$D2687</f>
        <v/>
      </c>
      <c r="BA2687" s="42">
        <f>ETSCOST(INDEX(BA$280:BA$296,$E2687),$D2687)</f>
        <v/>
      </c>
    </row>
    <row r="2688" hidden="1" outlineLevel="2">
      <c r="A2688" s="14" t="inlineStr">
        <is>
          <t>ets</t>
        </is>
      </c>
      <c r="B2688" s="14" t="inlineStr">
        <is>
          <t>gso</t>
        </is>
      </c>
      <c r="C2688" s="14" t="inlineStr">
        <is>
          <t>cst</t>
        </is>
      </c>
      <c r="D2688" s="35">
        <f>INDEX(Inputs!$W$5:$W$132,MATCH($B2688&amp;"|"&amp;$C2688,Inputs!$A$5:$A$132,0))</f>
        <v/>
      </c>
      <c r="E2688" s="35">
        <f>INDEX(Inputs!$M$5:$M$132,MATCH($B2688&amp;"|"&amp;$C2688,Inputs!$A$5:$A$132,0))</f>
        <v/>
      </c>
      <c r="F2688" s="39" t="n"/>
      <c r="G2688" s="39" t="n"/>
      <c r="H2688" s="14">
        <f>INDEX(VarLab,MATCH($A2688,VarKey,0))&amp;INDEX(MemLab,MATCH($C2688&amp;"|"&amp;$B2688,MemKey,0))</f>
        <v/>
      </c>
      <c r="I2688" s="14">
        <f>INDEX(VarUnit,MATCH($A2688,VarKey,0))</f>
        <v/>
      </c>
      <c r="J2688" s="14">
        <f>INDEX(VarSrc,MATCH($A2688,VarKey,0))</f>
        <v/>
      </c>
      <c r="K2688" s="11">
        <f>CodePrefix&amp;$A2688&amp;IF($C2688="","","."&amp;$C2688&amp;"."&amp;$B2688)&amp;INDEX(VarEnd,MATCH($A2688,VarKey,0))&amp;K$5</f>
        <v/>
      </c>
      <c r="L2688" s="40">
        <f>INDEX(L$280:L$296,$E2688)*$D2688</f>
        <v/>
      </c>
      <c r="M2688" s="35">
        <f>INDEX(M$280:M$296,$E2688)*$D2688</f>
        <v/>
      </c>
      <c r="N2688" s="35">
        <f>INDEX(N$280:N$296,$E2688)*$D2688</f>
        <v/>
      </c>
      <c r="O2688" s="35">
        <f>INDEX(O$280:O$296,$E2688)*$D2688</f>
        <v/>
      </c>
      <c r="P2688" s="35">
        <f>INDEX(P$280:P$296,$E2688)*$D2688</f>
        <v/>
      </c>
      <c r="Q2688" s="35">
        <f>INDEX(Q$280:Q$296,$E2688)*$D2688</f>
        <v/>
      </c>
      <c r="R2688" s="35">
        <f>INDEX(R$280:R$296,$E2688)*$D2688</f>
        <v/>
      </c>
      <c r="S2688" s="35">
        <f>INDEX(S$280:S$296,$E2688)*$D2688</f>
        <v/>
      </c>
      <c r="T2688" s="35">
        <f>INDEX(T$280:T$296,$E2688)*$D2688</f>
        <v/>
      </c>
      <c r="U2688" s="35">
        <f>INDEX(U$280:U$296,$E2688)*$D2688</f>
        <v/>
      </c>
      <c r="V2688" s="35">
        <f>INDEX(V$280:V$296,$E2688)*$D2688</f>
        <v/>
      </c>
      <c r="W2688" s="35">
        <f>INDEX(W$280:W$296,$E2688)*$D2688</f>
        <v/>
      </c>
      <c r="X2688" s="35">
        <f>INDEX(X$280:X$296,$E2688)*$D2688</f>
        <v/>
      </c>
      <c r="Y2688" s="35">
        <f>INDEX(Y$280:Y$296,$E2688)*$D2688</f>
        <v/>
      </c>
      <c r="Z2688" s="35">
        <f>INDEX(Z$280:Z$296,$E2688)*$D2688</f>
        <v/>
      </c>
      <c r="AA2688" s="35">
        <f>INDEX(AA$280:AA$296,$E2688)*$D2688</f>
        <v/>
      </c>
      <c r="AB2688" s="35">
        <f>INDEX(AB$280:AB$296,$E2688)*$D2688</f>
        <v/>
      </c>
      <c r="AC2688" s="35">
        <f>INDEX(AC$280:AC$296,$E2688)*$D2688</f>
        <v/>
      </c>
      <c r="AD2688" s="35">
        <f>INDEX(AD$280:AD$296,$E2688)*$D2688</f>
        <v/>
      </c>
      <c r="AE2688" s="42">
        <f>ETSCOST(INDEX(AE$280:AE$296,$E2688),$D2688)</f>
        <v/>
      </c>
      <c r="AG2688" s="11">
        <f>CodePrefix&amp;$A2688&amp;IF($C2688="","","."&amp;$C2688&amp;"."&amp;$B2688)&amp;INDEX(VarEnd,MATCH($A2688,VarKey,0))&amp;AG$5</f>
        <v/>
      </c>
      <c r="AH2688" s="40">
        <f>INDEX(AH$280:AH$296,$E2688)*$D2688</f>
        <v/>
      </c>
      <c r="AI2688" s="35">
        <f>INDEX(AI$280:AI$296,$E2688)*$D2688</f>
        <v/>
      </c>
      <c r="AJ2688" s="35">
        <f>INDEX(AJ$280:AJ$296,$E2688)*$D2688</f>
        <v/>
      </c>
      <c r="AK2688" s="35">
        <f>INDEX(AK$280:AK$296,$E2688)*$D2688</f>
        <v/>
      </c>
      <c r="AL2688" s="35">
        <f>INDEX(AL$280:AL$296,$E2688)*$D2688</f>
        <v/>
      </c>
      <c r="AM2688" s="35">
        <f>INDEX(AM$280:AM$296,$E2688)*$D2688</f>
        <v/>
      </c>
      <c r="AN2688" s="35">
        <f>INDEX(AN$280:AN$296,$E2688)*$D2688</f>
        <v/>
      </c>
      <c r="AO2688" s="35">
        <f>INDEX(AO$280:AO$296,$E2688)*$D2688</f>
        <v/>
      </c>
      <c r="AP2688" s="35">
        <f>INDEX(AP$280:AP$296,$E2688)*$D2688</f>
        <v/>
      </c>
      <c r="AQ2688" s="35">
        <f>INDEX(AQ$280:AQ$296,$E2688)*$D2688</f>
        <v/>
      </c>
      <c r="AR2688" s="35">
        <f>INDEX(AR$280:AR$296,$E2688)*$D2688</f>
        <v/>
      </c>
      <c r="AS2688" s="35">
        <f>INDEX(AS$280:AS$296,$E2688)*$D2688</f>
        <v/>
      </c>
      <c r="AT2688" s="35">
        <f>INDEX(AT$280:AT$296,$E2688)*$D2688</f>
        <v/>
      </c>
      <c r="AU2688" s="35">
        <f>INDEX(AU$280:AU$296,$E2688)*$D2688</f>
        <v/>
      </c>
      <c r="AV2688" s="35">
        <f>INDEX(AV$280:AV$296,$E2688)*$D2688</f>
        <v/>
      </c>
      <c r="AW2688" s="35">
        <f>INDEX(AW$280:AW$296,$E2688)*$D2688</f>
        <v/>
      </c>
      <c r="AX2688" s="35">
        <f>INDEX(AX$280:AX$296,$E2688)*$D2688</f>
        <v/>
      </c>
      <c r="AY2688" s="35">
        <f>INDEX(AY$280:AY$296,$E2688)*$D2688</f>
        <v/>
      </c>
      <c r="AZ2688" s="35">
        <f>INDEX(AZ$280:AZ$296,$E2688)*$D2688</f>
        <v/>
      </c>
      <c r="BA2688" s="42">
        <f>ETSCOST(INDEX(BA$280:BA$296,$E2688),$D2688)</f>
        <v/>
      </c>
    </row>
    <row r="2689" hidden="1" outlineLevel="2">
      <c r="A2689" s="14" t="inlineStr">
        <is>
          <t>ets</t>
        </is>
      </c>
      <c r="B2689" s="14" t="inlineStr">
        <is>
          <t>die</t>
        </is>
      </c>
      <c r="C2689" s="14" t="inlineStr">
        <is>
          <t>cst</t>
        </is>
      </c>
      <c r="D2689" s="35">
        <f>INDEX(Inputs!$W$5:$W$132,MATCH($B2689&amp;"|"&amp;$C2689,Inputs!$A$5:$A$132,0))</f>
        <v/>
      </c>
      <c r="E2689" s="35">
        <f>INDEX(Inputs!$M$5:$M$132,MATCH($B2689&amp;"|"&amp;$C2689,Inputs!$A$5:$A$132,0))</f>
        <v/>
      </c>
      <c r="F2689" s="39" t="n"/>
      <c r="G2689" s="39" t="n"/>
      <c r="H2689" s="14">
        <f>INDEX(VarLab,MATCH($A2689,VarKey,0))&amp;INDEX(MemLab,MATCH($C2689&amp;"|"&amp;$B2689,MemKey,0))</f>
        <v/>
      </c>
      <c r="I2689" s="14">
        <f>INDEX(VarUnit,MATCH($A2689,VarKey,0))</f>
        <v/>
      </c>
      <c r="J2689" s="14">
        <f>INDEX(VarSrc,MATCH($A2689,VarKey,0))</f>
        <v/>
      </c>
      <c r="K2689" s="11">
        <f>CodePrefix&amp;$A2689&amp;IF($C2689="","","."&amp;$C2689&amp;"."&amp;$B2689)&amp;INDEX(VarEnd,MATCH($A2689,VarKey,0))&amp;K$5</f>
        <v/>
      </c>
      <c r="L2689" s="40">
        <f>INDEX(L$280:L$296,$E2689)*$D2689</f>
        <v/>
      </c>
      <c r="M2689" s="35">
        <f>INDEX(M$280:M$296,$E2689)*$D2689</f>
        <v/>
      </c>
      <c r="N2689" s="35">
        <f>INDEX(N$280:N$296,$E2689)*$D2689</f>
        <v/>
      </c>
      <c r="O2689" s="35">
        <f>INDEX(O$280:O$296,$E2689)*$D2689</f>
        <v/>
      </c>
      <c r="P2689" s="35">
        <f>INDEX(P$280:P$296,$E2689)*$D2689</f>
        <v/>
      </c>
      <c r="Q2689" s="35">
        <f>INDEX(Q$280:Q$296,$E2689)*$D2689</f>
        <v/>
      </c>
      <c r="R2689" s="35">
        <f>INDEX(R$280:R$296,$E2689)*$D2689</f>
        <v/>
      </c>
      <c r="S2689" s="35">
        <f>INDEX(S$280:S$296,$E2689)*$D2689</f>
        <v/>
      </c>
      <c r="T2689" s="35">
        <f>INDEX(T$280:T$296,$E2689)*$D2689</f>
        <v/>
      </c>
      <c r="U2689" s="35">
        <f>INDEX(U$280:U$296,$E2689)*$D2689</f>
        <v/>
      </c>
      <c r="V2689" s="35">
        <f>INDEX(V$280:V$296,$E2689)*$D2689</f>
        <v/>
      </c>
      <c r="W2689" s="35">
        <f>INDEX(W$280:W$296,$E2689)*$D2689</f>
        <v/>
      </c>
      <c r="X2689" s="35">
        <f>INDEX(X$280:X$296,$E2689)*$D2689</f>
        <v/>
      </c>
      <c r="Y2689" s="35">
        <f>INDEX(Y$280:Y$296,$E2689)*$D2689</f>
        <v/>
      </c>
      <c r="Z2689" s="35">
        <f>INDEX(Z$280:Z$296,$E2689)*$D2689</f>
        <v/>
      </c>
      <c r="AA2689" s="35">
        <f>INDEX(AA$280:AA$296,$E2689)*$D2689</f>
        <v/>
      </c>
      <c r="AB2689" s="35">
        <f>INDEX(AB$280:AB$296,$E2689)*$D2689</f>
        <v/>
      </c>
      <c r="AC2689" s="35">
        <f>INDEX(AC$280:AC$296,$E2689)*$D2689</f>
        <v/>
      </c>
      <c r="AD2689" s="35">
        <f>INDEX(AD$280:AD$296,$E2689)*$D2689</f>
        <v/>
      </c>
      <c r="AE2689" s="42">
        <f>ETSCOST(INDEX(AE$280:AE$296,$E2689),$D2689)</f>
        <v/>
      </c>
      <c r="AG2689" s="11">
        <f>CodePrefix&amp;$A2689&amp;IF($C2689="","","."&amp;$C2689&amp;"."&amp;$B2689)&amp;INDEX(VarEnd,MATCH($A2689,VarKey,0))&amp;AG$5</f>
        <v/>
      </c>
      <c r="AH2689" s="40">
        <f>INDEX(AH$280:AH$296,$E2689)*$D2689</f>
        <v/>
      </c>
      <c r="AI2689" s="35">
        <f>INDEX(AI$280:AI$296,$E2689)*$D2689</f>
        <v/>
      </c>
      <c r="AJ2689" s="35">
        <f>INDEX(AJ$280:AJ$296,$E2689)*$D2689</f>
        <v/>
      </c>
      <c r="AK2689" s="35">
        <f>INDEX(AK$280:AK$296,$E2689)*$D2689</f>
        <v/>
      </c>
      <c r="AL2689" s="35">
        <f>INDEX(AL$280:AL$296,$E2689)*$D2689</f>
        <v/>
      </c>
      <c r="AM2689" s="35">
        <f>INDEX(AM$280:AM$296,$E2689)*$D2689</f>
        <v/>
      </c>
      <c r="AN2689" s="35">
        <f>INDEX(AN$280:AN$296,$E2689)*$D2689</f>
        <v/>
      </c>
      <c r="AO2689" s="35">
        <f>INDEX(AO$280:AO$296,$E2689)*$D2689</f>
        <v/>
      </c>
      <c r="AP2689" s="35">
        <f>INDEX(AP$280:AP$296,$E2689)*$D2689</f>
        <v/>
      </c>
      <c r="AQ2689" s="35">
        <f>INDEX(AQ$280:AQ$296,$E2689)*$D2689</f>
        <v/>
      </c>
      <c r="AR2689" s="35">
        <f>INDEX(AR$280:AR$296,$E2689)*$D2689</f>
        <v/>
      </c>
      <c r="AS2689" s="35">
        <f>INDEX(AS$280:AS$296,$E2689)*$D2689</f>
        <v/>
      </c>
      <c r="AT2689" s="35">
        <f>INDEX(AT$280:AT$296,$E2689)*$D2689</f>
        <v/>
      </c>
      <c r="AU2689" s="35">
        <f>INDEX(AU$280:AU$296,$E2689)*$D2689</f>
        <v/>
      </c>
      <c r="AV2689" s="35">
        <f>INDEX(AV$280:AV$296,$E2689)*$D2689</f>
        <v/>
      </c>
      <c r="AW2689" s="35">
        <f>INDEX(AW$280:AW$296,$E2689)*$D2689</f>
        <v/>
      </c>
      <c r="AX2689" s="35">
        <f>INDEX(AX$280:AX$296,$E2689)*$D2689</f>
        <v/>
      </c>
      <c r="AY2689" s="35">
        <f>INDEX(AY$280:AY$296,$E2689)*$D2689</f>
        <v/>
      </c>
      <c r="AZ2689" s="35">
        <f>INDEX(AZ$280:AZ$296,$E2689)*$D2689</f>
        <v/>
      </c>
      <c r="BA2689" s="42">
        <f>ETSCOST(INDEX(BA$280:BA$296,$E2689),$D2689)</f>
        <v/>
      </c>
    </row>
    <row r="2690" hidden="1" outlineLevel="2">
      <c r="A2690" s="14" t="inlineStr">
        <is>
          <t>ets</t>
        </is>
      </c>
      <c r="B2690" s="14" t="inlineStr">
        <is>
          <t>lpg</t>
        </is>
      </c>
      <c r="C2690" s="14" t="inlineStr">
        <is>
          <t>cst</t>
        </is>
      </c>
      <c r="D2690" s="35">
        <f>INDEX(Inputs!$W$5:$W$132,MATCH($B2690&amp;"|"&amp;$C2690,Inputs!$A$5:$A$132,0))</f>
        <v/>
      </c>
      <c r="E2690" s="35">
        <f>INDEX(Inputs!$M$5:$M$132,MATCH($B2690&amp;"|"&amp;$C2690,Inputs!$A$5:$A$132,0))</f>
        <v/>
      </c>
      <c r="F2690" s="39" t="n"/>
      <c r="G2690" s="39" t="n"/>
      <c r="H2690" s="14">
        <f>INDEX(VarLab,MATCH($A2690,VarKey,0))&amp;INDEX(MemLab,MATCH($C2690&amp;"|"&amp;$B2690,MemKey,0))</f>
        <v/>
      </c>
      <c r="I2690" s="14">
        <f>INDEX(VarUnit,MATCH($A2690,VarKey,0))</f>
        <v/>
      </c>
      <c r="J2690" s="14">
        <f>INDEX(VarSrc,MATCH($A2690,VarKey,0))</f>
        <v/>
      </c>
      <c r="K2690" s="11">
        <f>CodePrefix&amp;$A2690&amp;IF($C2690="","","."&amp;$C2690&amp;"."&amp;$B2690)&amp;INDEX(VarEnd,MATCH($A2690,VarKey,0))&amp;K$5</f>
        <v/>
      </c>
      <c r="L2690" s="40">
        <f>INDEX(L$280:L$296,$E2690)*$D2690</f>
        <v/>
      </c>
      <c r="M2690" s="35">
        <f>INDEX(M$280:M$296,$E2690)*$D2690</f>
        <v/>
      </c>
      <c r="N2690" s="35">
        <f>INDEX(N$280:N$296,$E2690)*$D2690</f>
        <v/>
      </c>
      <c r="O2690" s="35">
        <f>INDEX(O$280:O$296,$E2690)*$D2690</f>
        <v/>
      </c>
      <c r="P2690" s="35">
        <f>INDEX(P$280:P$296,$E2690)*$D2690</f>
        <v/>
      </c>
      <c r="Q2690" s="35">
        <f>INDEX(Q$280:Q$296,$E2690)*$D2690</f>
        <v/>
      </c>
      <c r="R2690" s="35">
        <f>INDEX(R$280:R$296,$E2690)*$D2690</f>
        <v/>
      </c>
      <c r="S2690" s="35">
        <f>INDEX(S$280:S$296,$E2690)*$D2690</f>
        <v/>
      </c>
      <c r="T2690" s="35">
        <f>INDEX(T$280:T$296,$E2690)*$D2690</f>
        <v/>
      </c>
      <c r="U2690" s="35">
        <f>INDEX(U$280:U$296,$E2690)*$D2690</f>
        <v/>
      </c>
      <c r="V2690" s="35">
        <f>INDEX(V$280:V$296,$E2690)*$D2690</f>
        <v/>
      </c>
      <c r="W2690" s="35">
        <f>INDEX(W$280:W$296,$E2690)*$D2690</f>
        <v/>
      </c>
      <c r="X2690" s="35">
        <f>INDEX(X$280:X$296,$E2690)*$D2690</f>
        <v/>
      </c>
      <c r="Y2690" s="35">
        <f>INDEX(Y$280:Y$296,$E2690)*$D2690</f>
        <v/>
      </c>
      <c r="Z2690" s="35">
        <f>INDEX(Z$280:Z$296,$E2690)*$D2690</f>
        <v/>
      </c>
      <c r="AA2690" s="35">
        <f>INDEX(AA$280:AA$296,$E2690)*$D2690</f>
        <v/>
      </c>
      <c r="AB2690" s="35">
        <f>INDEX(AB$280:AB$296,$E2690)*$D2690</f>
        <v/>
      </c>
      <c r="AC2690" s="35">
        <f>INDEX(AC$280:AC$296,$E2690)*$D2690</f>
        <v/>
      </c>
      <c r="AD2690" s="35">
        <f>INDEX(AD$280:AD$296,$E2690)*$D2690</f>
        <v/>
      </c>
      <c r="AE2690" s="42">
        <f>ETSCOST(INDEX(AE$280:AE$296,$E2690),$D2690)</f>
        <v/>
      </c>
      <c r="AG2690" s="11">
        <f>CodePrefix&amp;$A2690&amp;IF($C2690="","","."&amp;$C2690&amp;"."&amp;$B2690)&amp;INDEX(VarEnd,MATCH($A2690,VarKey,0))&amp;AG$5</f>
        <v/>
      </c>
      <c r="AH2690" s="40">
        <f>INDEX(AH$280:AH$296,$E2690)*$D2690</f>
        <v/>
      </c>
      <c r="AI2690" s="35">
        <f>INDEX(AI$280:AI$296,$E2690)*$D2690</f>
        <v/>
      </c>
      <c r="AJ2690" s="35">
        <f>INDEX(AJ$280:AJ$296,$E2690)*$D2690</f>
        <v/>
      </c>
      <c r="AK2690" s="35">
        <f>INDEX(AK$280:AK$296,$E2690)*$D2690</f>
        <v/>
      </c>
      <c r="AL2690" s="35">
        <f>INDEX(AL$280:AL$296,$E2690)*$D2690</f>
        <v/>
      </c>
      <c r="AM2690" s="35">
        <f>INDEX(AM$280:AM$296,$E2690)*$D2690</f>
        <v/>
      </c>
      <c r="AN2690" s="35">
        <f>INDEX(AN$280:AN$296,$E2690)*$D2690</f>
        <v/>
      </c>
      <c r="AO2690" s="35">
        <f>INDEX(AO$280:AO$296,$E2690)*$D2690</f>
        <v/>
      </c>
      <c r="AP2690" s="35">
        <f>INDEX(AP$280:AP$296,$E2690)*$D2690</f>
        <v/>
      </c>
      <c r="AQ2690" s="35">
        <f>INDEX(AQ$280:AQ$296,$E2690)*$D2690</f>
        <v/>
      </c>
      <c r="AR2690" s="35">
        <f>INDEX(AR$280:AR$296,$E2690)*$D2690</f>
        <v/>
      </c>
      <c r="AS2690" s="35">
        <f>INDEX(AS$280:AS$296,$E2690)*$D2690</f>
        <v/>
      </c>
      <c r="AT2690" s="35">
        <f>INDEX(AT$280:AT$296,$E2690)*$D2690</f>
        <v/>
      </c>
      <c r="AU2690" s="35">
        <f>INDEX(AU$280:AU$296,$E2690)*$D2690</f>
        <v/>
      </c>
      <c r="AV2690" s="35">
        <f>INDEX(AV$280:AV$296,$E2690)*$D2690</f>
        <v/>
      </c>
      <c r="AW2690" s="35">
        <f>INDEX(AW$280:AW$296,$E2690)*$D2690</f>
        <v/>
      </c>
      <c r="AX2690" s="35">
        <f>INDEX(AX$280:AX$296,$E2690)*$D2690</f>
        <v/>
      </c>
      <c r="AY2690" s="35">
        <f>INDEX(AY$280:AY$296,$E2690)*$D2690</f>
        <v/>
      </c>
      <c r="AZ2690" s="35">
        <f>INDEX(AZ$280:AZ$296,$E2690)*$D2690</f>
        <v/>
      </c>
      <c r="BA2690" s="42">
        <f>ETSCOST(INDEX(BA$280:BA$296,$E2690),$D2690)</f>
        <v/>
      </c>
    </row>
    <row r="2691" hidden="1" outlineLevel="2">
      <c r="A2691" s="14" t="inlineStr">
        <is>
          <t>ets</t>
        </is>
      </c>
      <c r="B2691" s="14" t="inlineStr">
        <is>
          <t>ker</t>
        </is>
      </c>
      <c r="C2691" s="14" t="inlineStr">
        <is>
          <t>cst</t>
        </is>
      </c>
      <c r="D2691" s="35">
        <f>INDEX(Inputs!$W$5:$W$132,MATCH($B2691&amp;"|"&amp;$C2691,Inputs!$A$5:$A$132,0))</f>
        <v/>
      </c>
      <c r="E2691" s="35">
        <f>INDEX(Inputs!$M$5:$M$132,MATCH($B2691&amp;"|"&amp;$C2691,Inputs!$A$5:$A$132,0))</f>
        <v/>
      </c>
      <c r="F2691" s="39" t="n"/>
      <c r="G2691" s="39" t="n"/>
      <c r="H2691" s="14">
        <f>INDEX(VarLab,MATCH($A2691,VarKey,0))&amp;INDEX(MemLab,MATCH($C2691&amp;"|"&amp;$B2691,MemKey,0))</f>
        <v/>
      </c>
      <c r="I2691" s="14">
        <f>INDEX(VarUnit,MATCH($A2691,VarKey,0))</f>
        <v/>
      </c>
      <c r="J2691" s="14">
        <f>INDEX(VarSrc,MATCH($A2691,VarKey,0))</f>
        <v/>
      </c>
      <c r="K2691" s="11">
        <f>CodePrefix&amp;$A2691&amp;IF($C2691="","","."&amp;$C2691&amp;"."&amp;$B2691)&amp;INDEX(VarEnd,MATCH($A2691,VarKey,0))&amp;K$5</f>
        <v/>
      </c>
      <c r="L2691" s="40">
        <f>INDEX(L$280:L$296,$E2691)*$D2691</f>
        <v/>
      </c>
      <c r="M2691" s="35">
        <f>INDEX(M$280:M$296,$E2691)*$D2691</f>
        <v/>
      </c>
      <c r="N2691" s="35">
        <f>INDEX(N$280:N$296,$E2691)*$D2691</f>
        <v/>
      </c>
      <c r="O2691" s="35">
        <f>INDEX(O$280:O$296,$E2691)*$D2691</f>
        <v/>
      </c>
      <c r="P2691" s="35">
        <f>INDEX(P$280:P$296,$E2691)*$D2691</f>
        <v/>
      </c>
      <c r="Q2691" s="35">
        <f>INDEX(Q$280:Q$296,$E2691)*$D2691</f>
        <v/>
      </c>
      <c r="R2691" s="35">
        <f>INDEX(R$280:R$296,$E2691)*$D2691</f>
        <v/>
      </c>
      <c r="S2691" s="35">
        <f>INDEX(S$280:S$296,$E2691)*$D2691</f>
        <v/>
      </c>
      <c r="T2691" s="35">
        <f>INDEX(T$280:T$296,$E2691)*$D2691</f>
        <v/>
      </c>
      <c r="U2691" s="35">
        <f>INDEX(U$280:U$296,$E2691)*$D2691</f>
        <v/>
      </c>
      <c r="V2691" s="35">
        <f>INDEX(V$280:V$296,$E2691)*$D2691</f>
        <v/>
      </c>
      <c r="W2691" s="35">
        <f>INDEX(W$280:W$296,$E2691)*$D2691</f>
        <v/>
      </c>
      <c r="X2691" s="35">
        <f>INDEX(X$280:X$296,$E2691)*$D2691</f>
        <v/>
      </c>
      <c r="Y2691" s="35">
        <f>INDEX(Y$280:Y$296,$E2691)*$D2691</f>
        <v/>
      </c>
      <c r="Z2691" s="35">
        <f>INDEX(Z$280:Z$296,$E2691)*$D2691</f>
        <v/>
      </c>
      <c r="AA2691" s="35">
        <f>INDEX(AA$280:AA$296,$E2691)*$D2691</f>
        <v/>
      </c>
      <c r="AB2691" s="35">
        <f>INDEX(AB$280:AB$296,$E2691)*$D2691</f>
        <v/>
      </c>
      <c r="AC2691" s="35">
        <f>INDEX(AC$280:AC$296,$E2691)*$D2691</f>
        <v/>
      </c>
      <c r="AD2691" s="35">
        <f>INDEX(AD$280:AD$296,$E2691)*$D2691</f>
        <v/>
      </c>
      <c r="AE2691" s="42">
        <f>ETSCOST(INDEX(AE$280:AE$296,$E2691),$D2691)</f>
        <v/>
      </c>
      <c r="AG2691" s="11">
        <f>CodePrefix&amp;$A2691&amp;IF($C2691="","","."&amp;$C2691&amp;"."&amp;$B2691)&amp;INDEX(VarEnd,MATCH($A2691,VarKey,0))&amp;AG$5</f>
        <v/>
      </c>
      <c r="AH2691" s="40">
        <f>INDEX(AH$280:AH$296,$E2691)*$D2691</f>
        <v/>
      </c>
      <c r="AI2691" s="35">
        <f>INDEX(AI$280:AI$296,$E2691)*$D2691</f>
        <v/>
      </c>
      <c r="AJ2691" s="35">
        <f>INDEX(AJ$280:AJ$296,$E2691)*$D2691</f>
        <v/>
      </c>
      <c r="AK2691" s="35">
        <f>INDEX(AK$280:AK$296,$E2691)*$D2691</f>
        <v/>
      </c>
      <c r="AL2691" s="35">
        <f>INDEX(AL$280:AL$296,$E2691)*$D2691</f>
        <v/>
      </c>
      <c r="AM2691" s="35">
        <f>INDEX(AM$280:AM$296,$E2691)*$D2691</f>
        <v/>
      </c>
      <c r="AN2691" s="35">
        <f>INDEX(AN$280:AN$296,$E2691)*$D2691</f>
        <v/>
      </c>
      <c r="AO2691" s="35">
        <f>INDEX(AO$280:AO$296,$E2691)*$D2691</f>
        <v/>
      </c>
      <c r="AP2691" s="35">
        <f>INDEX(AP$280:AP$296,$E2691)*$D2691</f>
        <v/>
      </c>
      <c r="AQ2691" s="35">
        <f>INDEX(AQ$280:AQ$296,$E2691)*$D2691</f>
        <v/>
      </c>
      <c r="AR2691" s="35">
        <f>INDEX(AR$280:AR$296,$E2691)*$D2691</f>
        <v/>
      </c>
      <c r="AS2691" s="35">
        <f>INDEX(AS$280:AS$296,$E2691)*$D2691</f>
        <v/>
      </c>
      <c r="AT2691" s="35">
        <f>INDEX(AT$280:AT$296,$E2691)*$D2691</f>
        <v/>
      </c>
      <c r="AU2691" s="35">
        <f>INDEX(AU$280:AU$296,$E2691)*$D2691</f>
        <v/>
      </c>
      <c r="AV2691" s="35">
        <f>INDEX(AV$280:AV$296,$E2691)*$D2691</f>
        <v/>
      </c>
      <c r="AW2691" s="35">
        <f>INDEX(AW$280:AW$296,$E2691)*$D2691</f>
        <v/>
      </c>
      <c r="AX2691" s="35">
        <f>INDEX(AX$280:AX$296,$E2691)*$D2691</f>
        <v/>
      </c>
      <c r="AY2691" s="35">
        <f>INDEX(AY$280:AY$296,$E2691)*$D2691</f>
        <v/>
      </c>
      <c r="AZ2691" s="35">
        <f>INDEX(AZ$280:AZ$296,$E2691)*$D2691</f>
        <v/>
      </c>
      <c r="BA2691" s="42">
        <f>ETSCOST(INDEX(BA$280:BA$296,$E2691),$D2691)</f>
        <v/>
      </c>
    </row>
    <row r="2692" hidden="1" outlineLevel="2">
      <c r="A2692" s="14" t="inlineStr">
        <is>
          <t>ets</t>
        </is>
      </c>
      <c r="B2692" s="14" t="inlineStr">
        <is>
          <t>oop</t>
        </is>
      </c>
      <c r="C2692" s="14" t="inlineStr">
        <is>
          <t>cst</t>
        </is>
      </c>
      <c r="D2692" s="35">
        <f>INDEX(Inputs!$W$5:$W$132,MATCH($B2692&amp;"|"&amp;$C2692,Inputs!$A$5:$A$132,0))</f>
        <v/>
      </c>
      <c r="E2692" s="35">
        <f>INDEX(Inputs!$M$5:$M$132,MATCH($B2692&amp;"|"&amp;$C2692,Inputs!$A$5:$A$132,0))</f>
        <v/>
      </c>
      <c r="F2692" s="39" t="n"/>
      <c r="G2692" s="39" t="n"/>
      <c r="H2692" s="14">
        <f>INDEX(VarLab,MATCH($A2692,VarKey,0))&amp;INDEX(MemLab,MATCH($C2692&amp;"|"&amp;$B2692,MemKey,0))</f>
        <v/>
      </c>
      <c r="I2692" s="14">
        <f>INDEX(VarUnit,MATCH($A2692,VarKey,0))</f>
        <v/>
      </c>
      <c r="J2692" s="14">
        <f>INDEX(VarSrc,MATCH($A2692,VarKey,0))</f>
        <v/>
      </c>
      <c r="K2692" s="11">
        <f>CodePrefix&amp;$A2692&amp;IF($C2692="","","."&amp;$C2692&amp;"."&amp;$B2692)&amp;INDEX(VarEnd,MATCH($A2692,VarKey,0))&amp;K$5</f>
        <v/>
      </c>
      <c r="L2692" s="40">
        <f>INDEX(L$280:L$296,$E2692)*$D2692</f>
        <v/>
      </c>
      <c r="M2692" s="35">
        <f>INDEX(M$280:M$296,$E2692)*$D2692</f>
        <v/>
      </c>
      <c r="N2692" s="35">
        <f>INDEX(N$280:N$296,$E2692)*$D2692</f>
        <v/>
      </c>
      <c r="O2692" s="35">
        <f>INDEX(O$280:O$296,$E2692)*$D2692</f>
        <v/>
      </c>
      <c r="P2692" s="35">
        <f>INDEX(P$280:P$296,$E2692)*$D2692</f>
        <v/>
      </c>
      <c r="Q2692" s="35">
        <f>INDEX(Q$280:Q$296,$E2692)*$D2692</f>
        <v/>
      </c>
      <c r="R2692" s="35">
        <f>INDEX(R$280:R$296,$E2692)*$D2692</f>
        <v/>
      </c>
      <c r="S2692" s="35">
        <f>INDEX(S$280:S$296,$E2692)*$D2692</f>
        <v/>
      </c>
      <c r="T2692" s="35">
        <f>INDEX(T$280:T$296,$E2692)*$D2692</f>
        <v/>
      </c>
      <c r="U2692" s="35">
        <f>INDEX(U$280:U$296,$E2692)*$D2692</f>
        <v/>
      </c>
      <c r="V2692" s="35">
        <f>INDEX(V$280:V$296,$E2692)*$D2692</f>
        <v/>
      </c>
      <c r="W2692" s="35">
        <f>INDEX(W$280:W$296,$E2692)*$D2692</f>
        <v/>
      </c>
      <c r="X2692" s="35">
        <f>INDEX(X$280:X$296,$E2692)*$D2692</f>
        <v/>
      </c>
      <c r="Y2692" s="35">
        <f>INDEX(Y$280:Y$296,$E2692)*$D2692</f>
        <v/>
      </c>
      <c r="Z2692" s="35">
        <f>INDEX(Z$280:Z$296,$E2692)*$D2692</f>
        <v/>
      </c>
      <c r="AA2692" s="35">
        <f>INDEX(AA$280:AA$296,$E2692)*$D2692</f>
        <v/>
      </c>
      <c r="AB2692" s="35">
        <f>INDEX(AB$280:AB$296,$E2692)*$D2692</f>
        <v/>
      </c>
      <c r="AC2692" s="35">
        <f>INDEX(AC$280:AC$296,$E2692)*$D2692</f>
        <v/>
      </c>
      <c r="AD2692" s="35">
        <f>INDEX(AD$280:AD$296,$E2692)*$D2692</f>
        <v/>
      </c>
      <c r="AE2692" s="42">
        <f>ETSCOST(INDEX(AE$280:AE$296,$E2692),$D2692)</f>
        <v/>
      </c>
      <c r="AG2692" s="11">
        <f>CodePrefix&amp;$A2692&amp;IF($C2692="","","."&amp;$C2692&amp;"."&amp;$B2692)&amp;INDEX(VarEnd,MATCH($A2692,VarKey,0))&amp;AG$5</f>
        <v/>
      </c>
      <c r="AH2692" s="40">
        <f>INDEX(AH$280:AH$296,$E2692)*$D2692</f>
        <v/>
      </c>
      <c r="AI2692" s="35">
        <f>INDEX(AI$280:AI$296,$E2692)*$D2692</f>
        <v/>
      </c>
      <c r="AJ2692" s="35">
        <f>INDEX(AJ$280:AJ$296,$E2692)*$D2692</f>
        <v/>
      </c>
      <c r="AK2692" s="35">
        <f>INDEX(AK$280:AK$296,$E2692)*$D2692</f>
        <v/>
      </c>
      <c r="AL2692" s="35">
        <f>INDEX(AL$280:AL$296,$E2692)*$D2692</f>
        <v/>
      </c>
      <c r="AM2692" s="35">
        <f>INDEX(AM$280:AM$296,$E2692)*$D2692</f>
        <v/>
      </c>
      <c r="AN2692" s="35">
        <f>INDEX(AN$280:AN$296,$E2692)*$D2692</f>
        <v/>
      </c>
      <c r="AO2692" s="35">
        <f>INDEX(AO$280:AO$296,$E2692)*$D2692</f>
        <v/>
      </c>
      <c r="AP2692" s="35">
        <f>INDEX(AP$280:AP$296,$E2692)*$D2692</f>
        <v/>
      </c>
      <c r="AQ2692" s="35">
        <f>INDEX(AQ$280:AQ$296,$E2692)*$D2692</f>
        <v/>
      </c>
      <c r="AR2692" s="35">
        <f>INDEX(AR$280:AR$296,$E2692)*$D2692</f>
        <v/>
      </c>
      <c r="AS2692" s="35">
        <f>INDEX(AS$280:AS$296,$E2692)*$D2692</f>
        <v/>
      </c>
      <c r="AT2692" s="35">
        <f>INDEX(AT$280:AT$296,$E2692)*$D2692</f>
        <v/>
      </c>
      <c r="AU2692" s="35">
        <f>INDEX(AU$280:AU$296,$E2692)*$D2692</f>
        <v/>
      </c>
      <c r="AV2692" s="35">
        <f>INDEX(AV$280:AV$296,$E2692)*$D2692</f>
        <v/>
      </c>
      <c r="AW2692" s="35">
        <f>INDEX(AW$280:AW$296,$E2692)*$D2692</f>
        <v/>
      </c>
      <c r="AX2692" s="35">
        <f>INDEX(AX$280:AX$296,$E2692)*$D2692</f>
        <v/>
      </c>
      <c r="AY2692" s="35">
        <f>INDEX(AY$280:AY$296,$E2692)*$D2692</f>
        <v/>
      </c>
      <c r="AZ2692" s="35">
        <f>INDEX(AZ$280:AZ$296,$E2692)*$D2692</f>
        <v/>
      </c>
      <c r="BA2692" s="42">
        <f>ETSCOST(INDEX(BA$280:BA$296,$E2692),$D2692)</f>
        <v/>
      </c>
    </row>
    <row r="2693" hidden="1" outlineLevel="2">
      <c r="A2693" s="14" t="inlineStr">
        <is>
          <t>ets</t>
        </is>
      </c>
      <c r="B2693" s="14" t="inlineStr">
        <is>
          <t>bio</t>
        </is>
      </c>
      <c r="C2693" s="14" t="inlineStr">
        <is>
          <t>cst</t>
        </is>
      </c>
      <c r="D2693" s="35">
        <f>INDEX(Inputs!$W$5:$W$132,MATCH($B2693&amp;"|"&amp;$C2693,Inputs!$A$5:$A$132,0))</f>
        <v/>
      </c>
      <c r="E2693" s="35">
        <f>INDEX(Inputs!$M$5:$M$132,MATCH($B2693&amp;"|"&amp;$C2693,Inputs!$A$5:$A$132,0))</f>
        <v/>
      </c>
      <c r="F2693" s="39" t="n"/>
      <c r="G2693" s="39" t="n"/>
      <c r="H2693" s="14">
        <f>INDEX(VarLab,MATCH($A2693,VarKey,0))&amp;INDEX(MemLab,MATCH($C2693&amp;"|"&amp;$B2693,MemKey,0))</f>
        <v/>
      </c>
      <c r="I2693" s="14">
        <f>INDEX(VarUnit,MATCH($A2693,VarKey,0))</f>
        <v/>
      </c>
      <c r="J2693" s="14">
        <f>INDEX(VarSrc,MATCH($A2693,VarKey,0))</f>
        <v/>
      </c>
      <c r="K2693" s="11">
        <f>CodePrefix&amp;$A2693&amp;IF($C2693="","","."&amp;$C2693&amp;"."&amp;$B2693)&amp;INDEX(VarEnd,MATCH($A2693,VarKey,0))&amp;K$5</f>
        <v/>
      </c>
      <c r="L2693" s="40">
        <f>INDEX(L$280:L$296,$E2693)*$D2693</f>
        <v/>
      </c>
      <c r="M2693" s="35">
        <f>INDEX(M$280:M$296,$E2693)*$D2693</f>
        <v/>
      </c>
      <c r="N2693" s="35">
        <f>INDEX(N$280:N$296,$E2693)*$D2693</f>
        <v/>
      </c>
      <c r="O2693" s="35">
        <f>INDEX(O$280:O$296,$E2693)*$D2693</f>
        <v/>
      </c>
      <c r="P2693" s="35">
        <f>INDEX(P$280:P$296,$E2693)*$D2693</f>
        <v/>
      </c>
      <c r="Q2693" s="35">
        <f>INDEX(Q$280:Q$296,$E2693)*$D2693</f>
        <v/>
      </c>
      <c r="R2693" s="35">
        <f>INDEX(R$280:R$296,$E2693)*$D2693</f>
        <v/>
      </c>
      <c r="S2693" s="35">
        <f>INDEX(S$280:S$296,$E2693)*$D2693</f>
        <v/>
      </c>
      <c r="T2693" s="35">
        <f>INDEX(T$280:T$296,$E2693)*$D2693</f>
        <v/>
      </c>
      <c r="U2693" s="35">
        <f>INDEX(U$280:U$296,$E2693)*$D2693</f>
        <v/>
      </c>
      <c r="V2693" s="35">
        <f>INDEX(V$280:V$296,$E2693)*$D2693</f>
        <v/>
      </c>
      <c r="W2693" s="35">
        <f>INDEX(W$280:W$296,$E2693)*$D2693</f>
        <v/>
      </c>
      <c r="X2693" s="35">
        <f>INDEX(X$280:X$296,$E2693)*$D2693</f>
        <v/>
      </c>
      <c r="Y2693" s="35">
        <f>INDEX(Y$280:Y$296,$E2693)*$D2693</f>
        <v/>
      </c>
      <c r="Z2693" s="35">
        <f>INDEX(Z$280:Z$296,$E2693)*$D2693</f>
        <v/>
      </c>
      <c r="AA2693" s="35">
        <f>INDEX(AA$280:AA$296,$E2693)*$D2693</f>
        <v/>
      </c>
      <c r="AB2693" s="35">
        <f>INDEX(AB$280:AB$296,$E2693)*$D2693</f>
        <v/>
      </c>
      <c r="AC2693" s="35">
        <f>INDEX(AC$280:AC$296,$E2693)*$D2693</f>
        <v/>
      </c>
      <c r="AD2693" s="35">
        <f>INDEX(AD$280:AD$296,$E2693)*$D2693</f>
        <v/>
      </c>
      <c r="AE2693" s="42">
        <f>ETSCOST(INDEX(AE$280:AE$296,$E2693),$D2693)</f>
        <v/>
      </c>
      <c r="AG2693" s="11">
        <f>CodePrefix&amp;$A2693&amp;IF($C2693="","","."&amp;$C2693&amp;"."&amp;$B2693)&amp;INDEX(VarEnd,MATCH($A2693,VarKey,0))&amp;AG$5</f>
        <v/>
      </c>
      <c r="AH2693" s="40">
        <f>INDEX(AH$280:AH$296,$E2693)*$D2693</f>
        <v/>
      </c>
      <c r="AI2693" s="35">
        <f>INDEX(AI$280:AI$296,$E2693)*$D2693</f>
        <v/>
      </c>
      <c r="AJ2693" s="35">
        <f>INDEX(AJ$280:AJ$296,$E2693)*$D2693</f>
        <v/>
      </c>
      <c r="AK2693" s="35">
        <f>INDEX(AK$280:AK$296,$E2693)*$D2693</f>
        <v/>
      </c>
      <c r="AL2693" s="35">
        <f>INDEX(AL$280:AL$296,$E2693)*$D2693</f>
        <v/>
      </c>
      <c r="AM2693" s="35">
        <f>INDEX(AM$280:AM$296,$E2693)*$D2693</f>
        <v/>
      </c>
      <c r="AN2693" s="35">
        <f>INDEX(AN$280:AN$296,$E2693)*$D2693</f>
        <v/>
      </c>
      <c r="AO2693" s="35">
        <f>INDEX(AO$280:AO$296,$E2693)*$D2693</f>
        <v/>
      </c>
      <c r="AP2693" s="35">
        <f>INDEX(AP$280:AP$296,$E2693)*$D2693</f>
        <v/>
      </c>
      <c r="AQ2693" s="35">
        <f>INDEX(AQ$280:AQ$296,$E2693)*$D2693</f>
        <v/>
      </c>
      <c r="AR2693" s="35">
        <f>INDEX(AR$280:AR$296,$E2693)*$D2693</f>
        <v/>
      </c>
      <c r="AS2693" s="35">
        <f>INDEX(AS$280:AS$296,$E2693)*$D2693</f>
        <v/>
      </c>
      <c r="AT2693" s="35">
        <f>INDEX(AT$280:AT$296,$E2693)*$D2693</f>
        <v/>
      </c>
      <c r="AU2693" s="35">
        <f>INDEX(AU$280:AU$296,$E2693)*$D2693</f>
        <v/>
      </c>
      <c r="AV2693" s="35">
        <f>INDEX(AV$280:AV$296,$E2693)*$D2693</f>
        <v/>
      </c>
      <c r="AW2693" s="35">
        <f>INDEX(AW$280:AW$296,$E2693)*$D2693</f>
        <v/>
      </c>
      <c r="AX2693" s="35">
        <f>INDEX(AX$280:AX$296,$E2693)*$D2693</f>
        <v/>
      </c>
      <c r="AY2693" s="35">
        <f>INDEX(AY$280:AY$296,$E2693)*$D2693</f>
        <v/>
      </c>
      <c r="AZ2693" s="35">
        <f>INDEX(AZ$280:AZ$296,$E2693)*$D2693</f>
        <v/>
      </c>
      <c r="BA2693" s="42">
        <f>ETSCOST(INDEX(BA$280:BA$296,$E2693),$D2693)</f>
        <v/>
      </c>
    </row>
    <row r="2694" hidden="1" outlineLevel="2"/>
    <row r="2695" hidden="1" outlineLevel="2">
      <c r="A2695" s="14" t="inlineStr">
        <is>
          <t>ntx</t>
        </is>
      </c>
      <c r="B2695" s="14" t="inlineStr">
        <is>
          <t>coa</t>
        </is>
      </c>
      <c r="C2695" s="14" t="inlineStr">
        <is>
          <t>cst</t>
        </is>
      </c>
      <c r="D2695" s="35">
        <f>INDEX(Inputs!$N$5:$N$132,MATCH($B2695&amp;"|"&amp;$C2695,Inputs!$A$5:$A$132,0))</f>
        <v/>
      </c>
      <c r="E2695" s="35">
        <f>INDEX(Inputs!$K$5:$K$132,MATCH($B2695&amp;"|"&amp;$C2695,Inputs!$A$5:$A$132,0))</f>
        <v/>
      </c>
      <c r="F2695" s="39" t="n"/>
      <c r="G2695" s="39" t="n"/>
      <c r="H2695" s="14">
        <f>INDEX(VarLab,MATCH($A2695,VarKey,0))&amp;INDEX(MemLab,MATCH($C2695&amp;"|"&amp;$B2695,MemKey,0))</f>
        <v/>
      </c>
      <c r="I2695" s="14">
        <f>INDEX(VarUnit,MATCH($A2695,VarKey,0))</f>
        <v/>
      </c>
      <c r="J2695" s="14">
        <f>INDEX(VarSrc,MATCH($A2695,VarKey,0))</f>
        <v/>
      </c>
      <c r="K2695" s="11">
        <f>CodePrefix&amp;$A2695&amp;IF($C2695="","","."&amp;$C2695&amp;"."&amp;$B2695)&amp;INDEX(VarEnd,MATCH($A2695,VarKey,0))&amp;K$5</f>
        <v/>
      </c>
      <c r="L2695" s="40">
        <f>INDEX(L$80:L$93,$D2695)/$E2695</f>
        <v/>
      </c>
      <c r="M2695" s="35">
        <f>INDEX(M$80:M$93,$D2695)/$E2695</f>
        <v/>
      </c>
      <c r="N2695" s="35">
        <f>INDEX(N$80:N$93,$D2695)/$E2695</f>
        <v/>
      </c>
      <c r="O2695" s="35">
        <f>INDEX(O$80:O$93,$D2695)/$E2695</f>
        <v/>
      </c>
      <c r="P2695" s="35">
        <f>INDEX(P$80:P$93,$D2695)/$E2695</f>
        <v/>
      </c>
      <c r="Q2695" s="35">
        <f>INDEX(Q$80:Q$93,$D2695)/$E2695</f>
        <v/>
      </c>
      <c r="R2695" s="35">
        <f>INDEX(R$80:R$93,$D2695)/$E2695</f>
        <v/>
      </c>
      <c r="S2695" s="35">
        <f>INDEX(S$80:S$93,$D2695)/$E2695</f>
        <v/>
      </c>
      <c r="T2695" s="35">
        <f>INDEX(T$80:T$93,$D2695)/$E2695</f>
        <v/>
      </c>
      <c r="U2695" s="35">
        <f>INDEX(U$80:U$93,$D2695)/$E2695</f>
        <v/>
      </c>
      <c r="V2695" s="35">
        <f>INDEX(V$80:V$93,$D2695)/$E2695</f>
        <v/>
      </c>
      <c r="W2695" s="35">
        <f>INDEX(W$80:W$93,$D2695)/$E2695</f>
        <v/>
      </c>
      <c r="X2695" s="35">
        <f>INDEX(X$80:X$93,$D2695)/$E2695</f>
        <v/>
      </c>
      <c r="Y2695" s="35">
        <f>INDEX(Y$80:Y$93,$D2695)/$E2695</f>
        <v/>
      </c>
      <c r="Z2695" s="35">
        <f>INDEX(Z$80:Z$93,$D2695)/$E2695</f>
        <v/>
      </c>
      <c r="AA2695" s="35">
        <f>INDEX(AA$80:AA$93,$D2695)/$E2695</f>
        <v/>
      </c>
      <c r="AB2695" s="35">
        <f>INDEX(AB$80:AB$93,$D2695)/$E2695</f>
        <v/>
      </c>
      <c r="AC2695" s="35">
        <f>INDEX(AC$80:AC$93,$D2695)/$E2695</f>
        <v/>
      </c>
      <c r="AD2695" s="35">
        <f>INDEX(AD$80:AD$93,$D2695)/$E2695</f>
        <v/>
      </c>
      <c r="AE2695" s="42">
        <f>NEWEXCISE(INDEX(AE$80:AE$93,$D2695),$E2695)</f>
        <v/>
      </c>
      <c r="AG2695" s="11">
        <f>CodePrefix&amp;$A2695&amp;IF($C2695="","","."&amp;$C2695&amp;"."&amp;$B2695)&amp;INDEX(VarEnd,MATCH($A2695,VarKey,0))&amp;AG$5</f>
        <v/>
      </c>
      <c r="AH2695" s="40">
        <f>INDEX(AH$80:AH$93,$D2695)/$E2695</f>
        <v/>
      </c>
      <c r="AI2695" s="35">
        <f>INDEX(AI$80:AI$93,$D2695)/$E2695</f>
        <v/>
      </c>
      <c r="AJ2695" s="35">
        <f>INDEX(AJ$80:AJ$93,$D2695)/$E2695</f>
        <v/>
      </c>
      <c r="AK2695" s="35">
        <f>INDEX(AK$80:AK$93,$D2695)/$E2695</f>
        <v/>
      </c>
      <c r="AL2695" s="35">
        <f>INDEX(AL$80:AL$93,$D2695)/$E2695</f>
        <v/>
      </c>
      <c r="AM2695" s="35">
        <f>INDEX(AM$80:AM$93,$D2695)/$E2695</f>
        <v/>
      </c>
      <c r="AN2695" s="35">
        <f>INDEX(AN$80:AN$93,$D2695)/$E2695</f>
        <v/>
      </c>
      <c r="AO2695" s="35">
        <f>INDEX(AO$80:AO$93,$D2695)/$E2695</f>
        <v/>
      </c>
      <c r="AP2695" s="35">
        <f>INDEX(AP$80:AP$93,$D2695)/$E2695</f>
        <v/>
      </c>
      <c r="AQ2695" s="35">
        <f>INDEX(AQ$80:AQ$93,$D2695)/$E2695</f>
        <v/>
      </c>
      <c r="AR2695" s="35">
        <f>INDEX(AR$80:AR$93,$D2695)/$E2695</f>
        <v/>
      </c>
      <c r="AS2695" s="35">
        <f>INDEX(AS$80:AS$93,$D2695)/$E2695</f>
        <v/>
      </c>
      <c r="AT2695" s="35">
        <f>INDEX(AT$80:AT$93,$D2695)/$E2695</f>
        <v/>
      </c>
      <c r="AU2695" s="35">
        <f>INDEX(AU$80:AU$93,$D2695)/$E2695</f>
        <v/>
      </c>
      <c r="AV2695" s="35">
        <f>INDEX(AV$80:AV$93,$D2695)/$E2695</f>
        <v/>
      </c>
      <c r="AW2695" s="35">
        <f>INDEX(AW$80:AW$93,$D2695)/$E2695</f>
        <v/>
      </c>
      <c r="AX2695" s="35">
        <f>INDEX(AX$80:AX$93,$D2695)/$E2695</f>
        <v/>
      </c>
      <c r="AY2695" s="35">
        <f>INDEX(AY$80:AY$93,$D2695)/$E2695</f>
        <v/>
      </c>
      <c r="AZ2695" s="35">
        <f>INDEX(AZ$80:AZ$93,$D2695)/$E2695</f>
        <v/>
      </c>
      <c r="BA2695" s="42">
        <f>NEWEXCISE(INDEX(BA$80:BA$93,$D2695),$E2695)</f>
        <v/>
      </c>
    </row>
    <row r="2696" hidden="1" outlineLevel="2">
      <c r="A2696" s="14" t="inlineStr">
        <is>
          <t>ntx</t>
        </is>
      </c>
      <c r="B2696" s="14" t="inlineStr">
        <is>
          <t>nga</t>
        </is>
      </c>
      <c r="C2696" s="14" t="inlineStr">
        <is>
          <t>cst</t>
        </is>
      </c>
      <c r="D2696" s="35">
        <f>INDEX(Inputs!$N$5:$N$132,MATCH($B2696&amp;"|"&amp;$C2696,Inputs!$A$5:$A$132,0))</f>
        <v/>
      </c>
      <c r="E2696" s="35">
        <f>INDEX(Inputs!$K$5:$K$132,MATCH($B2696&amp;"|"&amp;$C2696,Inputs!$A$5:$A$132,0))</f>
        <v/>
      </c>
      <c r="F2696" s="39" t="n"/>
      <c r="G2696" s="39" t="n"/>
      <c r="H2696" s="14">
        <f>INDEX(VarLab,MATCH($A2696,VarKey,0))&amp;INDEX(MemLab,MATCH($C2696&amp;"|"&amp;$B2696,MemKey,0))</f>
        <v/>
      </c>
      <c r="I2696" s="14">
        <f>INDEX(VarUnit,MATCH($A2696,VarKey,0))</f>
        <v/>
      </c>
      <c r="J2696" s="14">
        <f>INDEX(VarSrc,MATCH($A2696,VarKey,0))</f>
        <v/>
      </c>
      <c r="K2696" s="11">
        <f>CodePrefix&amp;$A2696&amp;IF($C2696="","","."&amp;$C2696&amp;"."&amp;$B2696)&amp;INDEX(VarEnd,MATCH($A2696,VarKey,0))&amp;K$5</f>
        <v/>
      </c>
      <c r="L2696" s="40">
        <f>INDEX(L$80:L$93,$D2696)/$E2696</f>
        <v/>
      </c>
      <c r="M2696" s="35">
        <f>INDEX(M$80:M$93,$D2696)/$E2696</f>
        <v/>
      </c>
      <c r="N2696" s="35">
        <f>INDEX(N$80:N$93,$D2696)/$E2696</f>
        <v/>
      </c>
      <c r="O2696" s="35">
        <f>INDEX(O$80:O$93,$D2696)/$E2696</f>
        <v/>
      </c>
      <c r="P2696" s="35">
        <f>INDEX(P$80:P$93,$D2696)/$E2696</f>
        <v/>
      </c>
      <c r="Q2696" s="35">
        <f>INDEX(Q$80:Q$93,$D2696)/$E2696</f>
        <v/>
      </c>
      <c r="R2696" s="35">
        <f>INDEX(R$80:R$93,$D2696)/$E2696</f>
        <v/>
      </c>
      <c r="S2696" s="35">
        <f>INDEX(S$80:S$93,$D2696)/$E2696</f>
        <v/>
      </c>
      <c r="T2696" s="35">
        <f>INDEX(T$80:T$93,$D2696)/$E2696</f>
        <v/>
      </c>
      <c r="U2696" s="35">
        <f>INDEX(U$80:U$93,$D2696)/$E2696</f>
        <v/>
      </c>
      <c r="V2696" s="35">
        <f>INDEX(V$80:V$93,$D2696)/$E2696</f>
        <v/>
      </c>
      <c r="W2696" s="35">
        <f>INDEX(W$80:W$93,$D2696)/$E2696</f>
        <v/>
      </c>
      <c r="X2696" s="35">
        <f>INDEX(X$80:X$93,$D2696)/$E2696</f>
        <v/>
      </c>
      <c r="Y2696" s="35">
        <f>INDEX(Y$80:Y$93,$D2696)/$E2696</f>
        <v/>
      </c>
      <c r="Z2696" s="35">
        <f>INDEX(Z$80:Z$93,$D2696)/$E2696</f>
        <v/>
      </c>
      <c r="AA2696" s="35">
        <f>INDEX(AA$80:AA$93,$D2696)/$E2696</f>
        <v/>
      </c>
      <c r="AB2696" s="35">
        <f>INDEX(AB$80:AB$93,$D2696)/$E2696</f>
        <v/>
      </c>
      <c r="AC2696" s="35">
        <f>INDEX(AC$80:AC$93,$D2696)/$E2696</f>
        <v/>
      </c>
      <c r="AD2696" s="35">
        <f>INDEX(AD$80:AD$93,$D2696)/$E2696</f>
        <v/>
      </c>
      <c r="AE2696" s="42">
        <f>NEWEXCISE(INDEX(AE$80:AE$93,$D2696),$E2696)</f>
        <v/>
      </c>
      <c r="AG2696" s="11">
        <f>CodePrefix&amp;$A2696&amp;IF($C2696="","","."&amp;$C2696&amp;"."&amp;$B2696)&amp;INDEX(VarEnd,MATCH($A2696,VarKey,0))&amp;AG$5</f>
        <v/>
      </c>
      <c r="AH2696" s="40">
        <f>INDEX(AH$80:AH$93,$D2696)/$E2696</f>
        <v/>
      </c>
      <c r="AI2696" s="35">
        <f>INDEX(AI$80:AI$93,$D2696)/$E2696</f>
        <v/>
      </c>
      <c r="AJ2696" s="35">
        <f>INDEX(AJ$80:AJ$93,$D2696)/$E2696</f>
        <v/>
      </c>
      <c r="AK2696" s="35">
        <f>INDEX(AK$80:AK$93,$D2696)/$E2696</f>
        <v/>
      </c>
      <c r="AL2696" s="35">
        <f>INDEX(AL$80:AL$93,$D2696)/$E2696</f>
        <v/>
      </c>
      <c r="AM2696" s="35">
        <f>INDEX(AM$80:AM$93,$D2696)/$E2696</f>
        <v/>
      </c>
      <c r="AN2696" s="35">
        <f>INDEX(AN$80:AN$93,$D2696)/$E2696</f>
        <v/>
      </c>
      <c r="AO2696" s="35">
        <f>INDEX(AO$80:AO$93,$D2696)/$E2696</f>
        <v/>
      </c>
      <c r="AP2696" s="35">
        <f>INDEX(AP$80:AP$93,$D2696)/$E2696</f>
        <v/>
      </c>
      <c r="AQ2696" s="35">
        <f>INDEX(AQ$80:AQ$93,$D2696)/$E2696</f>
        <v/>
      </c>
      <c r="AR2696" s="35">
        <f>INDEX(AR$80:AR$93,$D2696)/$E2696</f>
        <v/>
      </c>
      <c r="AS2696" s="35">
        <f>INDEX(AS$80:AS$93,$D2696)/$E2696</f>
        <v/>
      </c>
      <c r="AT2696" s="35">
        <f>INDEX(AT$80:AT$93,$D2696)/$E2696</f>
        <v/>
      </c>
      <c r="AU2696" s="35">
        <f>INDEX(AU$80:AU$93,$D2696)/$E2696</f>
        <v/>
      </c>
      <c r="AV2696" s="35">
        <f>INDEX(AV$80:AV$93,$D2696)/$E2696</f>
        <v/>
      </c>
      <c r="AW2696" s="35">
        <f>INDEX(AW$80:AW$93,$D2696)/$E2696</f>
        <v/>
      </c>
      <c r="AX2696" s="35">
        <f>INDEX(AX$80:AX$93,$D2696)/$E2696</f>
        <v/>
      </c>
      <c r="AY2696" s="35">
        <f>INDEX(AY$80:AY$93,$D2696)/$E2696</f>
        <v/>
      </c>
      <c r="AZ2696" s="35">
        <f>INDEX(AZ$80:AZ$93,$D2696)/$E2696</f>
        <v/>
      </c>
      <c r="BA2696" s="42">
        <f>NEWEXCISE(INDEX(BA$80:BA$93,$D2696),$E2696)</f>
        <v/>
      </c>
    </row>
    <row r="2697" hidden="1" outlineLevel="2">
      <c r="A2697" s="14" t="inlineStr">
        <is>
          <t>ntx</t>
        </is>
      </c>
      <c r="B2697" s="14" t="inlineStr">
        <is>
          <t>gso</t>
        </is>
      </c>
      <c r="C2697" s="14" t="inlineStr">
        <is>
          <t>cst</t>
        </is>
      </c>
      <c r="D2697" s="35">
        <f>INDEX(Inputs!$N$5:$N$132,MATCH($B2697&amp;"|"&amp;$C2697,Inputs!$A$5:$A$132,0))</f>
        <v/>
      </c>
      <c r="E2697" s="35">
        <f>INDEX(Inputs!$K$5:$K$132,MATCH($B2697&amp;"|"&amp;$C2697,Inputs!$A$5:$A$132,0))</f>
        <v/>
      </c>
      <c r="F2697" s="39" t="n"/>
      <c r="G2697" s="39" t="n"/>
      <c r="H2697" s="14">
        <f>INDEX(VarLab,MATCH($A2697,VarKey,0))&amp;INDEX(MemLab,MATCH($C2697&amp;"|"&amp;$B2697,MemKey,0))</f>
        <v/>
      </c>
      <c r="I2697" s="14">
        <f>INDEX(VarUnit,MATCH($A2697,VarKey,0))</f>
        <v/>
      </c>
      <c r="J2697" s="14">
        <f>INDEX(VarSrc,MATCH($A2697,VarKey,0))</f>
        <v/>
      </c>
      <c r="K2697" s="11">
        <f>CodePrefix&amp;$A2697&amp;IF($C2697="","","."&amp;$C2697&amp;"."&amp;$B2697)&amp;INDEX(VarEnd,MATCH($A2697,VarKey,0))&amp;K$5</f>
        <v/>
      </c>
      <c r="L2697" s="40">
        <f>INDEX(L$80:L$93,$D2697)/$E2697</f>
        <v/>
      </c>
      <c r="M2697" s="35">
        <f>INDEX(M$80:M$93,$D2697)/$E2697</f>
        <v/>
      </c>
      <c r="N2697" s="35">
        <f>INDEX(N$80:N$93,$D2697)/$E2697</f>
        <v/>
      </c>
      <c r="O2697" s="35">
        <f>INDEX(O$80:O$93,$D2697)/$E2697</f>
        <v/>
      </c>
      <c r="P2697" s="35">
        <f>INDEX(P$80:P$93,$D2697)/$E2697</f>
        <v/>
      </c>
      <c r="Q2697" s="35">
        <f>INDEX(Q$80:Q$93,$D2697)/$E2697</f>
        <v/>
      </c>
      <c r="R2697" s="35">
        <f>INDEX(R$80:R$93,$D2697)/$E2697</f>
        <v/>
      </c>
      <c r="S2697" s="35">
        <f>INDEX(S$80:S$93,$D2697)/$E2697</f>
        <v/>
      </c>
      <c r="T2697" s="35">
        <f>INDEX(T$80:T$93,$D2697)/$E2697</f>
        <v/>
      </c>
      <c r="U2697" s="35">
        <f>INDEX(U$80:U$93,$D2697)/$E2697</f>
        <v/>
      </c>
      <c r="V2697" s="35">
        <f>INDEX(V$80:V$93,$D2697)/$E2697</f>
        <v/>
      </c>
      <c r="W2697" s="35">
        <f>INDEX(W$80:W$93,$D2697)/$E2697</f>
        <v/>
      </c>
      <c r="X2697" s="35">
        <f>INDEX(X$80:X$93,$D2697)/$E2697</f>
        <v/>
      </c>
      <c r="Y2697" s="35">
        <f>INDEX(Y$80:Y$93,$D2697)/$E2697</f>
        <v/>
      </c>
      <c r="Z2697" s="35">
        <f>INDEX(Z$80:Z$93,$D2697)/$E2697</f>
        <v/>
      </c>
      <c r="AA2697" s="35">
        <f>INDEX(AA$80:AA$93,$D2697)/$E2697</f>
        <v/>
      </c>
      <c r="AB2697" s="35">
        <f>INDEX(AB$80:AB$93,$D2697)/$E2697</f>
        <v/>
      </c>
      <c r="AC2697" s="35">
        <f>INDEX(AC$80:AC$93,$D2697)/$E2697</f>
        <v/>
      </c>
      <c r="AD2697" s="35">
        <f>INDEX(AD$80:AD$93,$D2697)/$E2697</f>
        <v/>
      </c>
      <c r="AE2697" s="42">
        <f>NEWEXCISE(INDEX(AE$80:AE$93,$D2697),$E2697)</f>
        <v/>
      </c>
      <c r="AG2697" s="11">
        <f>CodePrefix&amp;$A2697&amp;IF($C2697="","","."&amp;$C2697&amp;"."&amp;$B2697)&amp;INDEX(VarEnd,MATCH($A2697,VarKey,0))&amp;AG$5</f>
        <v/>
      </c>
      <c r="AH2697" s="40">
        <f>INDEX(AH$80:AH$93,$D2697)/$E2697</f>
        <v/>
      </c>
      <c r="AI2697" s="35">
        <f>INDEX(AI$80:AI$93,$D2697)/$E2697</f>
        <v/>
      </c>
      <c r="AJ2697" s="35">
        <f>INDEX(AJ$80:AJ$93,$D2697)/$E2697</f>
        <v/>
      </c>
      <c r="AK2697" s="35">
        <f>INDEX(AK$80:AK$93,$D2697)/$E2697</f>
        <v/>
      </c>
      <c r="AL2697" s="35">
        <f>INDEX(AL$80:AL$93,$D2697)/$E2697</f>
        <v/>
      </c>
      <c r="AM2697" s="35">
        <f>INDEX(AM$80:AM$93,$D2697)/$E2697</f>
        <v/>
      </c>
      <c r="AN2697" s="35">
        <f>INDEX(AN$80:AN$93,$D2697)/$E2697</f>
        <v/>
      </c>
      <c r="AO2697" s="35">
        <f>INDEX(AO$80:AO$93,$D2697)/$E2697</f>
        <v/>
      </c>
      <c r="AP2697" s="35">
        <f>INDEX(AP$80:AP$93,$D2697)/$E2697</f>
        <v/>
      </c>
      <c r="AQ2697" s="35">
        <f>INDEX(AQ$80:AQ$93,$D2697)/$E2697</f>
        <v/>
      </c>
      <c r="AR2697" s="35">
        <f>INDEX(AR$80:AR$93,$D2697)/$E2697</f>
        <v/>
      </c>
      <c r="AS2697" s="35">
        <f>INDEX(AS$80:AS$93,$D2697)/$E2697</f>
        <v/>
      </c>
      <c r="AT2697" s="35">
        <f>INDEX(AT$80:AT$93,$D2697)/$E2697</f>
        <v/>
      </c>
      <c r="AU2697" s="35">
        <f>INDEX(AU$80:AU$93,$D2697)/$E2697</f>
        <v/>
      </c>
      <c r="AV2697" s="35">
        <f>INDEX(AV$80:AV$93,$D2697)/$E2697</f>
        <v/>
      </c>
      <c r="AW2697" s="35">
        <f>INDEX(AW$80:AW$93,$D2697)/$E2697</f>
        <v/>
      </c>
      <c r="AX2697" s="35">
        <f>INDEX(AX$80:AX$93,$D2697)/$E2697</f>
        <v/>
      </c>
      <c r="AY2697" s="35">
        <f>INDEX(AY$80:AY$93,$D2697)/$E2697</f>
        <v/>
      </c>
      <c r="AZ2697" s="35">
        <f>INDEX(AZ$80:AZ$93,$D2697)/$E2697</f>
        <v/>
      </c>
      <c r="BA2697" s="42">
        <f>NEWEXCISE(INDEX(BA$80:BA$93,$D2697),$E2697)</f>
        <v/>
      </c>
    </row>
    <row r="2698" hidden="1" outlineLevel="2">
      <c r="A2698" s="14" t="inlineStr">
        <is>
          <t>ntx</t>
        </is>
      </c>
      <c r="B2698" s="14" t="inlineStr">
        <is>
          <t>die</t>
        </is>
      </c>
      <c r="C2698" s="14" t="inlineStr">
        <is>
          <t>cst</t>
        </is>
      </c>
      <c r="D2698" s="35">
        <f>INDEX(Inputs!$N$5:$N$132,MATCH($B2698&amp;"|"&amp;$C2698,Inputs!$A$5:$A$132,0))</f>
        <v/>
      </c>
      <c r="E2698" s="35">
        <f>INDEX(Inputs!$K$5:$K$132,MATCH($B2698&amp;"|"&amp;$C2698,Inputs!$A$5:$A$132,0))</f>
        <v/>
      </c>
      <c r="F2698" s="39" t="n"/>
      <c r="G2698" s="39" t="n"/>
      <c r="H2698" s="14">
        <f>INDEX(VarLab,MATCH($A2698,VarKey,0))&amp;INDEX(MemLab,MATCH($C2698&amp;"|"&amp;$B2698,MemKey,0))</f>
        <v/>
      </c>
      <c r="I2698" s="14">
        <f>INDEX(VarUnit,MATCH($A2698,VarKey,0))</f>
        <v/>
      </c>
      <c r="J2698" s="14">
        <f>INDEX(VarSrc,MATCH($A2698,VarKey,0))</f>
        <v/>
      </c>
      <c r="K2698" s="11">
        <f>CodePrefix&amp;$A2698&amp;IF($C2698="","","."&amp;$C2698&amp;"."&amp;$B2698)&amp;INDEX(VarEnd,MATCH($A2698,VarKey,0))&amp;K$5</f>
        <v/>
      </c>
      <c r="L2698" s="40">
        <f>INDEX(L$80:L$93,$D2698)/$E2698</f>
        <v/>
      </c>
      <c r="M2698" s="35">
        <f>INDEX(M$80:M$93,$D2698)/$E2698</f>
        <v/>
      </c>
      <c r="N2698" s="35">
        <f>INDEX(N$80:N$93,$D2698)/$E2698</f>
        <v/>
      </c>
      <c r="O2698" s="35">
        <f>INDEX(O$80:O$93,$D2698)/$E2698</f>
        <v/>
      </c>
      <c r="P2698" s="35">
        <f>INDEX(P$80:P$93,$D2698)/$E2698</f>
        <v/>
      </c>
      <c r="Q2698" s="35">
        <f>INDEX(Q$80:Q$93,$D2698)/$E2698</f>
        <v/>
      </c>
      <c r="R2698" s="35">
        <f>INDEX(R$80:R$93,$D2698)/$E2698</f>
        <v/>
      </c>
      <c r="S2698" s="35">
        <f>INDEX(S$80:S$93,$D2698)/$E2698</f>
        <v/>
      </c>
      <c r="T2698" s="35">
        <f>INDEX(T$80:T$93,$D2698)/$E2698</f>
        <v/>
      </c>
      <c r="U2698" s="35">
        <f>INDEX(U$80:U$93,$D2698)/$E2698</f>
        <v/>
      </c>
      <c r="V2698" s="35">
        <f>INDEX(V$80:V$93,$D2698)/$E2698</f>
        <v/>
      </c>
      <c r="W2698" s="35">
        <f>INDEX(W$80:W$93,$D2698)/$E2698</f>
        <v/>
      </c>
      <c r="X2698" s="35">
        <f>INDEX(X$80:X$93,$D2698)/$E2698</f>
        <v/>
      </c>
      <c r="Y2698" s="35">
        <f>INDEX(Y$80:Y$93,$D2698)/$E2698</f>
        <v/>
      </c>
      <c r="Z2698" s="35">
        <f>INDEX(Z$80:Z$93,$D2698)/$E2698</f>
        <v/>
      </c>
      <c r="AA2698" s="35">
        <f>INDEX(AA$80:AA$93,$D2698)/$E2698</f>
        <v/>
      </c>
      <c r="AB2698" s="35">
        <f>INDEX(AB$80:AB$93,$D2698)/$E2698</f>
        <v/>
      </c>
      <c r="AC2698" s="35">
        <f>INDEX(AC$80:AC$93,$D2698)/$E2698</f>
        <v/>
      </c>
      <c r="AD2698" s="35">
        <f>INDEX(AD$80:AD$93,$D2698)/$E2698</f>
        <v/>
      </c>
      <c r="AE2698" s="42">
        <f>NEWEXCISE(INDEX(AE$80:AE$93,$D2698),$E2698)</f>
        <v/>
      </c>
      <c r="AG2698" s="11">
        <f>CodePrefix&amp;$A2698&amp;IF($C2698="","","."&amp;$C2698&amp;"."&amp;$B2698)&amp;INDEX(VarEnd,MATCH($A2698,VarKey,0))&amp;AG$5</f>
        <v/>
      </c>
      <c r="AH2698" s="40">
        <f>INDEX(AH$80:AH$93,$D2698)/$E2698</f>
        <v/>
      </c>
      <c r="AI2698" s="35">
        <f>INDEX(AI$80:AI$93,$D2698)/$E2698</f>
        <v/>
      </c>
      <c r="AJ2698" s="35">
        <f>INDEX(AJ$80:AJ$93,$D2698)/$E2698</f>
        <v/>
      </c>
      <c r="AK2698" s="35">
        <f>INDEX(AK$80:AK$93,$D2698)/$E2698</f>
        <v/>
      </c>
      <c r="AL2698" s="35">
        <f>INDEX(AL$80:AL$93,$D2698)/$E2698</f>
        <v/>
      </c>
      <c r="AM2698" s="35">
        <f>INDEX(AM$80:AM$93,$D2698)/$E2698</f>
        <v/>
      </c>
      <c r="AN2698" s="35">
        <f>INDEX(AN$80:AN$93,$D2698)/$E2698</f>
        <v/>
      </c>
      <c r="AO2698" s="35">
        <f>INDEX(AO$80:AO$93,$D2698)/$E2698</f>
        <v/>
      </c>
      <c r="AP2698" s="35">
        <f>INDEX(AP$80:AP$93,$D2698)/$E2698</f>
        <v/>
      </c>
      <c r="AQ2698" s="35">
        <f>INDEX(AQ$80:AQ$93,$D2698)/$E2698</f>
        <v/>
      </c>
      <c r="AR2698" s="35">
        <f>INDEX(AR$80:AR$93,$D2698)/$E2698</f>
        <v/>
      </c>
      <c r="AS2698" s="35">
        <f>INDEX(AS$80:AS$93,$D2698)/$E2698</f>
        <v/>
      </c>
      <c r="AT2698" s="35">
        <f>INDEX(AT$80:AT$93,$D2698)/$E2698</f>
        <v/>
      </c>
      <c r="AU2698" s="35">
        <f>INDEX(AU$80:AU$93,$D2698)/$E2698</f>
        <v/>
      </c>
      <c r="AV2698" s="35">
        <f>INDEX(AV$80:AV$93,$D2698)/$E2698</f>
        <v/>
      </c>
      <c r="AW2698" s="35">
        <f>INDEX(AW$80:AW$93,$D2698)/$E2698</f>
        <v/>
      </c>
      <c r="AX2698" s="35">
        <f>INDEX(AX$80:AX$93,$D2698)/$E2698</f>
        <v/>
      </c>
      <c r="AY2698" s="35">
        <f>INDEX(AY$80:AY$93,$D2698)/$E2698</f>
        <v/>
      </c>
      <c r="AZ2698" s="35">
        <f>INDEX(AZ$80:AZ$93,$D2698)/$E2698</f>
        <v/>
      </c>
      <c r="BA2698" s="42">
        <f>NEWEXCISE(INDEX(BA$80:BA$93,$D2698),$E2698)</f>
        <v/>
      </c>
    </row>
    <row r="2699" hidden="1" outlineLevel="2">
      <c r="A2699" s="14" t="inlineStr">
        <is>
          <t>ntx</t>
        </is>
      </c>
      <c r="B2699" s="14" t="inlineStr">
        <is>
          <t>lpg</t>
        </is>
      </c>
      <c r="C2699" s="14" t="inlineStr">
        <is>
          <t>cst</t>
        </is>
      </c>
      <c r="D2699" s="35">
        <f>INDEX(Inputs!$N$5:$N$132,MATCH($B2699&amp;"|"&amp;$C2699,Inputs!$A$5:$A$132,0))</f>
        <v/>
      </c>
      <c r="E2699" s="35">
        <f>INDEX(Inputs!$K$5:$K$132,MATCH($B2699&amp;"|"&amp;$C2699,Inputs!$A$5:$A$132,0))</f>
        <v/>
      </c>
      <c r="F2699" s="39" t="n"/>
      <c r="G2699" s="39" t="n"/>
      <c r="H2699" s="14">
        <f>INDEX(VarLab,MATCH($A2699,VarKey,0))&amp;INDEX(MemLab,MATCH($C2699&amp;"|"&amp;$B2699,MemKey,0))</f>
        <v/>
      </c>
      <c r="I2699" s="14">
        <f>INDEX(VarUnit,MATCH($A2699,VarKey,0))</f>
        <v/>
      </c>
      <c r="J2699" s="14">
        <f>INDEX(VarSrc,MATCH($A2699,VarKey,0))</f>
        <v/>
      </c>
      <c r="K2699" s="11">
        <f>CodePrefix&amp;$A2699&amp;IF($C2699="","","."&amp;$C2699&amp;"."&amp;$B2699)&amp;INDEX(VarEnd,MATCH($A2699,VarKey,0))&amp;K$5</f>
        <v/>
      </c>
      <c r="L2699" s="40">
        <f>INDEX(L$80:L$93,$D2699)/$E2699</f>
        <v/>
      </c>
      <c r="M2699" s="35">
        <f>INDEX(M$80:M$93,$D2699)/$E2699</f>
        <v/>
      </c>
      <c r="N2699" s="35">
        <f>INDEX(N$80:N$93,$D2699)/$E2699</f>
        <v/>
      </c>
      <c r="O2699" s="35">
        <f>INDEX(O$80:O$93,$D2699)/$E2699</f>
        <v/>
      </c>
      <c r="P2699" s="35">
        <f>INDEX(P$80:P$93,$D2699)/$E2699</f>
        <v/>
      </c>
      <c r="Q2699" s="35">
        <f>INDEX(Q$80:Q$93,$D2699)/$E2699</f>
        <v/>
      </c>
      <c r="R2699" s="35">
        <f>INDEX(R$80:R$93,$D2699)/$E2699</f>
        <v/>
      </c>
      <c r="S2699" s="35">
        <f>INDEX(S$80:S$93,$D2699)/$E2699</f>
        <v/>
      </c>
      <c r="T2699" s="35">
        <f>INDEX(T$80:T$93,$D2699)/$E2699</f>
        <v/>
      </c>
      <c r="U2699" s="35">
        <f>INDEX(U$80:U$93,$D2699)/$E2699</f>
        <v/>
      </c>
      <c r="V2699" s="35">
        <f>INDEX(V$80:V$93,$D2699)/$E2699</f>
        <v/>
      </c>
      <c r="W2699" s="35">
        <f>INDEX(W$80:W$93,$D2699)/$E2699</f>
        <v/>
      </c>
      <c r="X2699" s="35">
        <f>INDEX(X$80:X$93,$D2699)/$E2699</f>
        <v/>
      </c>
      <c r="Y2699" s="35">
        <f>INDEX(Y$80:Y$93,$D2699)/$E2699</f>
        <v/>
      </c>
      <c r="Z2699" s="35">
        <f>INDEX(Z$80:Z$93,$D2699)/$E2699</f>
        <v/>
      </c>
      <c r="AA2699" s="35">
        <f>INDEX(AA$80:AA$93,$D2699)/$E2699</f>
        <v/>
      </c>
      <c r="AB2699" s="35">
        <f>INDEX(AB$80:AB$93,$D2699)/$E2699</f>
        <v/>
      </c>
      <c r="AC2699" s="35">
        <f>INDEX(AC$80:AC$93,$D2699)/$E2699</f>
        <v/>
      </c>
      <c r="AD2699" s="35">
        <f>INDEX(AD$80:AD$93,$D2699)/$E2699</f>
        <v/>
      </c>
      <c r="AE2699" s="42">
        <f>NEWEXCISE(INDEX(AE$80:AE$93,$D2699),$E2699)</f>
        <v/>
      </c>
      <c r="AG2699" s="11">
        <f>CodePrefix&amp;$A2699&amp;IF($C2699="","","."&amp;$C2699&amp;"."&amp;$B2699)&amp;INDEX(VarEnd,MATCH($A2699,VarKey,0))&amp;AG$5</f>
        <v/>
      </c>
      <c r="AH2699" s="40">
        <f>INDEX(AH$80:AH$93,$D2699)/$E2699</f>
        <v/>
      </c>
      <c r="AI2699" s="35">
        <f>INDEX(AI$80:AI$93,$D2699)/$E2699</f>
        <v/>
      </c>
      <c r="AJ2699" s="35">
        <f>INDEX(AJ$80:AJ$93,$D2699)/$E2699</f>
        <v/>
      </c>
      <c r="AK2699" s="35">
        <f>INDEX(AK$80:AK$93,$D2699)/$E2699</f>
        <v/>
      </c>
      <c r="AL2699" s="35">
        <f>INDEX(AL$80:AL$93,$D2699)/$E2699</f>
        <v/>
      </c>
      <c r="AM2699" s="35">
        <f>INDEX(AM$80:AM$93,$D2699)/$E2699</f>
        <v/>
      </c>
      <c r="AN2699" s="35">
        <f>INDEX(AN$80:AN$93,$D2699)/$E2699</f>
        <v/>
      </c>
      <c r="AO2699" s="35">
        <f>INDEX(AO$80:AO$93,$D2699)/$E2699</f>
        <v/>
      </c>
      <c r="AP2699" s="35">
        <f>INDEX(AP$80:AP$93,$D2699)/$E2699</f>
        <v/>
      </c>
      <c r="AQ2699" s="35">
        <f>INDEX(AQ$80:AQ$93,$D2699)/$E2699</f>
        <v/>
      </c>
      <c r="AR2699" s="35">
        <f>INDEX(AR$80:AR$93,$D2699)/$E2699</f>
        <v/>
      </c>
      <c r="AS2699" s="35">
        <f>INDEX(AS$80:AS$93,$D2699)/$E2699</f>
        <v/>
      </c>
      <c r="AT2699" s="35">
        <f>INDEX(AT$80:AT$93,$D2699)/$E2699</f>
        <v/>
      </c>
      <c r="AU2699" s="35">
        <f>INDEX(AU$80:AU$93,$D2699)/$E2699</f>
        <v/>
      </c>
      <c r="AV2699" s="35">
        <f>INDEX(AV$80:AV$93,$D2699)/$E2699</f>
        <v/>
      </c>
      <c r="AW2699" s="35">
        <f>INDEX(AW$80:AW$93,$D2699)/$E2699</f>
        <v/>
      </c>
      <c r="AX2699" s="35">
        <f>INDEX(AX$80:AX$93,$D2699)/$E2699</f>
        <v/>
      </c>
      <c r="AY2699" s="35">
        <f>INDEX(AY$80:AY$93,$D2699)/$E2699</f>
        <v/>
      </c>
      <c r="AZ2699" s="35">
        <f>INDEX(AZ$80:AZ$93,$D2699)/$E2699</f>
        <v/>
      </c>
      <c r="BA2699" s="42">
        <f>NEWEXCISE(INDEX(BA$80:BA$93,$D2699),$E2699)</f>
        <v/>
      </c>
    </row>
    <row r="2700" hidden="1" outlineLevel="2">
      <c r="A2700" s="14" t="inlineStr">
        <is>
          <t>ntx</t>
        </is>
      </c>
      <c r="B2700" s="14" t="inlineStr">
        <is>
          <t>ker</t>
        </is>
      </c>
      <c r="C2700" s="14" t="inlineStr">
        <is>
          <t>cst</t>
        </is>
      </c>
      <c r="D2700" s="35">
        <f>INDEX(Inputs!$N$5:$N$132,MATCH($B2700&amp;"|"&amp;$C2700,Inputs!$A$5:$A$132,0))</f>
        <v/>
      </c>
      <c r="E2700" s="35">
        <f>INDEX(Inputs!$K$5:$K$132,MATCH($B2700&amp;"|"&amp;$C2700,Inputs!$A$5:$A$132,0))</f>
        <v/>
      </c>
      <c r="F2700" s="39" t="n"/>
      <c r="G2700" s="39" t="n"/>
      <c r="H2700" s="14">
        <f>INDEX(VarLab,MATCH($A2700,VarKey,0))&amp;INDEX(MemLab,MATCH($C2700&amp;"|"&amp;$B2700,MemKey,0))</f>
        <v/>
      </c>
      <c r="I2700" s="14">
        <f>INDEX(VarUnit,MATCH($A2700,VarKey,0))</f>
        <v/>
      </c>
      <c r="J2700" s="14">
        <f>INDEX(VarSrc,MATCH($A2700,VarKey,0))</f>
        <v/>
      </c>
      <c r="K2700" s="11">
        <f>CodePrefix&amp;$A2700&amp;IF($C2700="","","."&amp;$C2700&amp;"."&amp;$B2700)&amp;INDEX(VarEnd,MATCH($A2700,VarKey,0))&amp;K$5</f>
        <v/>
      </c>
      <c r="L2700" s="40">
        <f>INDEX(L$80:L$93,$D2700)/$E2700</f>
        <v/>
      </c>
      <c r="M2700" s="35">
        <f>INDEX(M$80:M$93,$D2700)/$E2700</f>
        <v/>
      </c>
      <c r="N2700" s="35">
        <f>INDEX(N$80:N$93,$D2700)/$E2700</f>
        <v/>
      </c>
      <c r="O2700" s="35">
        <f>INDEX(O$80:O$93,$D2700)/$E2700</f>
        <v/>
      </c>
      <c r="P2700" s="35">
        <f>INDEX(P$80:P$93,$D2700)/$E2700</f>
        <v/>
      </c>
      <c r="Q2700" s="35">
        <f>INDEX(Q$80:Q$93,$D2700)/$E2700</f>
        <v/>
      </c>
      <c r="R2700" s="35">
        <f>INDEX(R$80:R$93,$D2700)/$E2700</f>
        <v/>
      </c>
      <c r="S2700" s="35">
        <f>INDEX(S$80:S$93,$D2700)/$E2700</f>
        <v/>
      </c>
      <c r="T2700" s="35">
        <f>INDEX(T$80:T$93,$D2700)/$E2700</f>
        <v/>
      </c>
      <c r="U2700" s="35">
        <f>INDEX(U$80:U$93,$D2700)/$E2700</f>
        <v/>
      </c>
      <c r="V2700" s="35">
        <f>INDEX(V$80:V$93,$D2700)/$E2700</f>
        <v/>
      </c>
      <c r="W2700" s="35">
        <f>INDEX(W$80:W$93,$D2700)/$E2700</f>
        <v/>
      </c>
      <c r="X2700" s="35">
        <f>INDEX(X$80:X$93,$D2700)/$E2700</f>
        <v/>
      </c>
      <c r="Y2700" s="35">
        <f>INDEX(Y$80:Y$93,$D2700)/$E2700</f>
        <v/>
      </c>
      <c r="Z2700" s="35">
        <f>INDEX(Z$80:Z$93,$D2700)/$E2700</f>
        <v/>
      </c>
      <c r="AA2700" s="35">
        <f>INDEX(AA$80:AA$93,$D2700)/$E2700</f>
        <v/>
      </c>
      <c r="AB2700" s="35">
        <f>INDEX(AB$80:AB$93,$D2700)/$E2700</f>
        <v/>
      </c>
      <c r="AC2700" s="35">
        <f>INDEX(AC$80:AC$93,$D2700)/$E2700</f>
        <v/>
      </c>
      <c r="AD2700" s="35">
        <f>INDEX(AD$80:AD$93,$D2700)/$E2700</f>
        <v/>
      </c>
      <c r="AE2700" s="42">
        <f>NEWEXCISE(INDEX(AE$80:AE$93,$D2700),$E2700)</f>
        <v/>
      </c>
      <c r="AG2700" s="11">
        <f>CodePrefix&amp;$A2700&amp;IF($C2700="","","."&amp;$C2700&amp;"."&amp;$B2700)&amp;INDEX(VarEnd,MATCH($A2700,VarKey,0))&amp;AG$5</f>
        <v/>
      </c>
      <c r="AH2700" s="40">
        <f>INDEX(AH$80:AH$93,$D2700)/$E2700</f>
        <v/>
      </c>
      <c r="AI2700" s="35">
        <f>INDEX(AI$80:AI$93,$D2700)/$E2700</f>
        <v/>
      </c>
      <c r="AJ2700" s="35">
        <f>INDEX(AJ$80:AJ$93,$D2700)/$E2700</f>
        <v/>
      </c>
      <c r="AK2700" s="35">
        <f>INDEX(AK$80:AK$93,$D2700)/$E2700</f>
        <v/>
      </c>
      <c r="AL2700" s="35">
        <f>INDEX(AL$80:AL$93,$D2700)/$E2700</f>
        <v/>
      </c>
      <c r="AM2700" s="35">
        <f>INDEX(AM$80:AM$93,$D2700)/$E2700</f>
        <v/>
      </c>
      <c r="AN2700" s="35">
        <f>INDEX(AN$80:AN$93,$D2700)/$E2700</f>
        <v/>
      </c>
      <c r="AO2700" s="35">
        <f>INDEX(AO$80:AO$93,$D2700)/$E2700</f>
        <v/>
      </c>
      <c r="AP2700" s="35">
        <f>INDEX(AP$80:AP$93,$D2700)/$E2700</f>
        <v/>
      </c>
      <c r="AQ2700" s="35">
        <f>INDEX(AQ$80:AQ$93,$D2700)/$E2700</f>
        <v/>
      </c>
      <c r="AR2700" s="35">
        <f>INDEX(AR$80:AR$93,$D2700)/$E2700</f>
        <v/>
      </c>
      <c r="AS2700" s="35">
        <f>INDEX(AS$80:AS$93,$D2700)/$E2700</f>
        <v/>
      </c>
      <c r="AT2700" s="35">
        <f>INDEX(AT$80:AT$93,$D2700)/$E2700</f>
        <v/>
      </c>
      <c r="AU2700" s="35">
        <f>INDEX(AU$80:AU$93,$D2700)/$E2700</f>
        <v/>
      </c>
      <c r="AV2700" s="35">
        <f>INDEX(AV$80:AV$93,$D2700)/$E2700</f>
        <v/>
      </c>
      <c r="AW2700" s="35">
        <f>INDEX(AW$80:AW$93,$D2700)/$E2700</f>
        <v/>
      </c>
      <c r="AX2700" s="35">
        <f>INDEX(AX$80:AX$93,$D2700)/$E2700</f>
        <v/>
      </c>
      <c r="AY2700" s="35">
        <f>INDEX(AY$80:AY$93,$D2700)/$E2700</f>
        <v/>
      </c>
      <c r="AZ2700" s="35">
        <f>INDEX(AZ$80:AZ$93,$D2700)/$E2700</f>
        <v/>
      </c>
      <c r="BA2700" s="42">
        <f>NEWEXCISE(INDEX(BA$80:BA$93,$D2700),$E2700)</f>
        <v/>
      </c>
    </row>
    <row r="2701" hidden="1" outlineLevel="2">
      <c r="A2701" s="14" t="inlineStr">
        <is>
          <t>ntx</t>
        </is>
      </c>
      <c r="B2701" s="14" t="inlineStr">
        <is>
          <t>oop</t>
        </is>
      </c>
      <c r="C2701" s="14" t="inlineStr">
        <is>
          <t>cst</t>
        </is>
      </c>
      <c r="D2701" s="35">
        <f>INDEX(Inputs!$N$5:$N$132,MATCH($B2701&amp;"|"&amp;$C2701,Inputs!$A$5:$A$132,0))</f>
        <v/>
      </c>
      <c r="E2701" s="35">
        <f>INDEX(Inputs!$K$5:$K$132,MATCH($B2701&amp;"|"&amp;$C2701,Inputs!$A$5:$A$132,0))</f>
        <v/>
      </c>
      <c r="F2701" s="39" t="n"/>
      <c r="G2701" s="39" t="n"/>
      <c r="H2701" s="14">
        <f>INDEX(VarLab,MATCH($A2701,VarKey,0))&amp;INDEX(MemLab,MATCH($C2701&amp;"|"&amp;$B2701,MemKey,0))</f>
        <v/>
      </c>
      <c r="I2701" s="14">
        <f>INDEX(VarUnit,MATCH($A2701,VarKey,0))</f>
        <v/>
      </c>
      <c r="J2701" s="14">
        <f>INDEX(VarSrc,MATCH($A2701,VarKey,0))</f>
        <v/>
      </c>
      <c r="K2701" s="11">
        <f>CodePrefix&amp;$A2701&amp;IF($C2701="","","."&amp;$C2701&amp;"."&amp;$B2701)&amp;INDEX(VarEnd,MATCH($A2701,VarKey,0))&amp;K$5</f>
        <v/>
      </c>
      <c r="L2701" s="40">
        <f>INDEX(L$80:L$93,$D2701)/$E2701</f>
        <v/>
      </c>
      <c r="M2701" s="35">
        <f>INDEX(M$80:M$93,$D2701)/$E2701</f>
        <v/>
      </c>
      <c r="N2701" s="35">
        <f>INDEX(N$80:N$93,$D2701)/$E2701</f>
        <v/>
      </c>
      <c r="O2701" s="35">
        <f>INDEX(O$80:O$93,$D2701)/$E2701</f>
        <v/>
      </c>
      <c r="P2701" s="35">
        <f>INDEX(P$80:P$93,$D2701)/$E2701</f>
        <v/>
      </c>
      <c r="Q2701" s="35">
        <f>INDEX(Q$80:Q$93,$D2701)/$E2701</f>
        <v/>
      </c>
      <c r="R2701" s="35">
        <f>INDEX(R$80:R$93,$D2701)/$E2701</f>
        <v/>
      </c>
      <c r="S2701" s="35">
        <f>INDEX(S$80:S$93,$D2701)/$E2701</f>
        <v/>
      </c>
      <c r="T2701" s="35">
        <f>INDEX(T$80:T$93,$D2701)/$E2701</f>
        <v/>
      </c>
      <c r="U2701" s="35">
        <f>INDEX(U$80:U$93,$D2701)/$E2701</f>
        <v/>
      </c>
      <c r="V2701" s="35">
        <f>INDEX(V$80:V$93,$D2701)/$E2701</f>
        <v/>
      </c>
      <c r="W2701" s="35">
        <f>INDEX(W$80:W$93,$D2701)/$E2701</f>
        <v/>
      </c>
      <c r="X2701" s="35">
        <f>INDEX(X$80:X$93,$D2701)/$E2701</f>
        <v/>
      </c>
      <c r="Y2701" s="35">
        <f>INDEX(Y$80:Y$93,$D2701)/$E2701</f>
        <v/>
      </c>
      <c r="Z2701" s="35">
        <f>INDEX(Z$80:Z$93,$D2701)/$E2701</f>
        <v/>
      </c>
      <c r="AA2701" s="35">
        <f>INDEX(AA$80:AA$93,$D2701)/$E2701</f>
        <v/>
      </c>
      <c r="AB2701" s="35">
        <f>INDEX(AB$80:AB$93,$D2701)/$E2701</f>
        <v/>
      </c>
      <c r="AC2701" s="35">
        <f>INDEX(AC$80:AC$93,$D2701)/$E2701</f>
        <v/>
      </c>
      <c r="AD2701" s="35">
        <f>INDEX(AD$80:AD$93,$D2701)/$E2701</f>
        <v/>
      </c>
      <c r="AE2701" s="42">
        <f>NEWEXCISE(INDEX(AE$80:AE$93,$D2701),$E2701)</f>
        <v/>
      </c>
      <c r="AG2701" s="11">
        <f>CodePrefix&amp;$A2701&amp;IF($C2701="","","."&amp;$C2701&amp;"."&amp;$B2701)&amp;INDEX(VarEnd,MATCH($A2701,VarKey,0))&amp;AG$5</f>
        <v/>
      </c>
      <c r="AH2701" s="40">
        <f>INDEX(AH$80:AH$93,$D2701)/$E2701</f>
        <v/>
      </c>
      <c r="AI2701" s="35">
        <f>INDEX(AI$80:AI$93,$D2701)/$E2701</f>
        <v/>
      </c>
      <c r="AJ2701" s="35">
        <f>INDEX(AJ$80:AJ$93,$D2701)/$E2701</f>
        <v/>
      </c>
      <c r="AK2701" s="35">
        <f>INDEX(AK$80:AK$93,$D2701)/$E2701</f>
        <v/>
      </c>
      <c r="AL2701" s="35">
        <f>INDEX(AL$80:AL$93,$D2701)/$E2701</f>
        <v/>
      </c>
      <c r="AM2701" s="35">
        <f>INDEX(AM$80:AM$93,$D2701)/$E2701</f>
        <v/>
      </c>
      <c r="AN2701" s="35">
        <f>INDEX(AN$80:AN$93,$D2701)/$E2701</f>
        <v/>
      </c>
      <c r="AO2701" s="35">
        <f>INDEX(AO$80:AO$93,$D2701)/$E2701</f>
        <v/>
      </c>
      <c r="AP2701" s="35">
        <f>INDEX(AP$80:AP$93,$D2701)/$E2701</f>
        <v/>
      </c>
      <c r="AQ2701" s="35">
        <f>INDEX(AQ$80:AQ$93,$D2701)/$E2701</f>
        <v/>
      </c>
      <c r="AR2701" s="35">
        <f>INDEX(AR$80:AR$93,$D2701)/$E2701</f>
        <v/>
      </c>
      <c r="AS2701" s="35">
        <f>INDEX(AS$80:AS$93,$D2701)/$E2701</f>
        <v/>
      </c>
      <c r="AT2701" s="35">
        <f>INDEX(AT$80:AT$93,$D2701)/$E2701</f>
        <v/>
      </c>
      <c r="AU2701" s="35">
        <f>INDEX(AU$80:AU$93,$D2701)/$E2701</f>
        <v/>
      </c>
      <c r="AV2701" s="35">
        <f>INDEX(AV$80:AV$93,$D2701)/$E2701</f>
        <v/>
      </c>
      <c r="AW2701" s="35">
        <f>INDEX(AW$80:AW$93,$D2701)/$E2701</f>
        <v/>
      </c>
      <c r="AX2701" s="35">
        <f>INDEX(AX$80:AX$93,$D2701)/$E2701</f>
        <v/>
      </c>
      <c r="AY2701" s="35">
        <f>INDEX(AY$80:AY$93,$D2701)/$E2701</f>
        <v/>
      </c>
      <c r="AZ2701" s="35">
        <f>INDEX(AZ$80:AZ$93,$D2701)/$E2701</f>
        <v/>
      </c>
      <c r="BA2701" s="42">
        <f>NEWEXCISE(INDEX(BA$80:BA$93,$D2701),$E2701)</f>
        <v/>
      </c>
    </row>
    <row r="2702" hidden="1" outlineLevel="2">
      <c r="A2702" s="14" t="inlineStr">
        <is>
          <t>ntx</t>
        </is>
      </c>
      <c r="B2702" s="14" t="inlineStr">
        <is>
          <t>bio</t>
        </is>
      </c>
      <c r="C2702" s="14" t="inlineStr">
        <is>
          <t>cst</t>
        </is>
      </c>
      <c r="D2702" s="35">
        <f>INDEX(Inputs!$N$5:$N$132,MATCH($B2702&amp;"|"&amp;$C2702,Inputs!$A$5:$A$132,0))</f>
        <v/>
      </c>
      <c r="E2702" s="35">
        <f>INDEX(Inputs!$K$5:$K$132,MATCH($B2702&amp;"|"&amp;$C2702,Inputs!$A$5:$A$132,0))</f>
        <v/>
      </c>
      <c r="F2702" s="39" t="n"/>
      <c r="G2702" s="39" t="n"/>
      <c r="H2702" s="14">
        <f>INDEX(VarLab,MATCH($A2702,VarKey,0))&amp;INDEX(MemLab,MATCH($C2702&amp;"|"&amp;$B2702,MemKey,0))</f>
        <v/>
      </c>
      <c r="I2702" s="14">
        <f>INDEX(VarUnit,MATCH($A2702,VarKey,0))</f>
        <v/>
      </c>
      <c r="J2702" s="14">
        <f>INDEX(VarSrc,MATCH($A2702,VarKey,0))</f>
        <v/>
      </c>
      <c r="K2702" s="11">
        <f>CodePrefix&amp;$A2702&amp;IF($C2702="","","."&amp;$C2702&amp;"."&amp;$B2702)&amp;INDEX(VarEnd,MATCH($A2702,VarKey,0))&amp;K$5</f>
        <v/>
      </c>
      <c r="L2702" s="40">
        <f>INDEX(L$80:L$93,$D2702)/$E2702</f>
        <v/>
      </c>
      <c r="M2702" s="35">
        <f>INDEX(M$80:M$93,$D2702)/$E2702</f>
        <v/>
      </c>
      <c r="N2702" s="35">
        <f>INDEX(N$80:N$93,$D2702)/$E2702</f>
        <v/>
      </c>
      <c r="O2702" s="35">
        <f>INDEX(O$80:O$93,$D2702)/$E2702</f>
        <v/>
      </c>
      <c r="P2702" s="35">
        <f>INDEX(P$80:P$93,$D2702)/$E2702</f>
        <v/>
      </c>
      <c r="Q2702" s="35">
        <f>INDEX(Q$80:Q$93,$D2702)/$E2702</f>
        <v/>
      </c>
      <c r="R2702" s="35">
        <f>INDEX(R$80:R$93,$D2702)/$E2702</f>
        <v/>
      </c>
      <c r="S2702" s="35">
        <f>INDEX(S$80:S$93,$D2702)/$E2702</f>
        <v/>
      </c>
      <c r="T2702" s="35">
        <f>INDEX(T$80:T$93,$D2702)/$E2702</f>
        <v/>
      </c>
      <c r="U2702" s="35">
        <f>INDEX(U$80:U$93,$D2702)/$E2702</f>
        <v/>
      </c>
      <c r="V2702" s="35">
        <f>INDEX(V$80:V$93,$D2702)/$E2702</f>
        <v/>
      </c>
      <c r="W2702" s="35">
        <f>INDEX(W$80:W$93,$D2702)/$E2702</f>
        <v/>
      </c>
      <c r="X2702" s="35">
        <f>INDEX(X$80:X$93,$D2702)/$E2702</f>
        <v/>
      </c>
      <c r="Y2702" s="35">
        <f>INDEX(Y$80:Y$93,$D2702)/$E2702</f>
        <v/>
      </c>
      <c r="Z2702" s="35">
        <f>INDEX(Z$80:Z$93,$D2702)/$E2702</f>
        <v/>
      </c>
      <c r="AA2702" s="35">
        <f>INDEX(AA$80:AA$93,$D2702)/$E2702</f>
        <v/>
      </c>
      <c r="AB2702" s="35">
        <f>INDEX(AB$80:AB$93,$D2702)/$E2702</f>
        <v/>
      </c>
      <c r="AC2702" s="35">
        <f>INDEX(AC$80:AC$93,$D2702)/$E2702</f>
        <v/>
      </c>
      <c r="AD2702" s="35">
        <f>INDEX(AD$80:AD$93,$D2702)/$E2702</f>
        <v/>
      </c>
      <c r="AE2702" s="42">
        <f>NEWEXCISE(INDEX(AE$80:AE$93,$D2702),$E2702)</f>
        <v/>
      </c>
      <c r="AG2702" s="11">
        <f>CodePrefix&amp;$A2702&amp;IF($C2702="","","."&amp;$C2702&amp;"."&amp;$B2702)&amp;INDEX(VarEnd,MATCH($A2702,VarKey,0))&amp;AG$5</f>
        <v/>
      </c>
      <c r="AH2702" s="40">
        <f>INDEX(AH$80:AH$93,$D2702)/$E2702</f>
        <v/>
      </c>
      <c r="AI2702" s="35">
        <f>INDEX(AI$80:AI$93,$D2702)/$E2702</f>
        <v/>
      </c>
      <c r="AJ2702" s="35">
        <f>INDEX(AJ$80:AJ$93,$D2702)/$E2702</f>
        <v/>
      </c>
      <c r="AK2702" s="35">
        <f>INDEX(AK$80:AK$93,$D2702)/$E2702</f>
        <v/>
      </c>
      <c r="AL2702" s="35">
        <f>INDEX(AL$80:AL$93,$D2702)/$E2702</f>
        <v/>
      </c>
      <c r="AM2702" s="35">
        <f>INDEX(AM$80:AM$93,$D2702)/$E2702</f>
        <v/>
      </c>
      <c r="AN2702" s="35">
        <f>INDEX(AN$80:AN$93,$D2702)/$E2702</f>
        <v/>
      </c>
      <c r="AO2702" s="35">
        <f>INDEX(AO$80:AO$93,$D2702)/$E2702</f>
        <v/>
      </c>
      <c r="AP2702" s="35">
        <f>INDEX(AP$80:AP$93,$D2702)/$E2702</f>
        <v/>
      </c>
      <c r="AQ2702" s="35">
        <f>INDEX(AQ$80:AQ$93,$D2702)/$E2702</f>
        <v/>
      </c>
      <c r="AR2702" s="35">
        <f>INDEX(AR$80:AR$93,$D2702)/$E2702</f>
        <v/>
      </c>
      <c r="AS2702" s="35">
        <f>INDEX(AS$80:AS$93,$D2702)/$E2702</f>
        <v/>
      </c>
      <c r="AT2702" s="35">
        <f>INDEX(AT$80:AT$93,$D2702)/$E2702</f>
        <v/>
      </c>
      <c r="AU2702" s="35">
        <f>INDEX(AU$80:AU$93,$D2702)/$E2702</f>
        <v/>
      </c>
      <c r="AV2702" s="35">
        <f>INDEX(AV$80:AV$93,$D2702)/$E2702</f>
        <v/>
      </c>
      <c r="AW2702" s="35">
        <f>INDEX(AW$80:AW$93,$D2702)/$E2702</f>
        <v/>
      </c>
      <c r="AX2702" s="35">
        <f>INDEX(AX$80:AX$93,$D2702)/$E2702</f>
        <v/>
      </c>
      <c r="AY2702" s="35">
        <f>INDEX(AY$80:AY$93,$D2702)/$E2702</f>
        <v/>
      </c>
      <c r="AZ2702" s="35">
        <f>INDEX(AZ$80:AZ$93,$D2702)/$E2702</f>
        <v/>
      </c>
      <c r="BA2702" s="42">
        <f>NEWEXCISE(INDEX(BA$80:BA$93,$D2702),$E2702)</f>
        <v/>
      </c>
    </row>
    <row r="2703" hidden="1" outlineLevel="2"/>
    <row r="2704" hidden="1" outlineLevel="2">
      <c r="A2704" s="14" t="inlineStr">
        <is>
          <t>nce</t>
        </is>
      </c>
      <c r="B2704" s="14" t="inlineStr">
        <is>
          <t>coa</t>
        </is>
      </c>
      <c r="C2704" s="14" t="inlineStr">
        <is>
          <t>cst</t>
        </is>
      </c>
      <c r="D2704" s="39" t="n"/>
      <c r="E2704" s="39" t="n"/>
      <c r="F2704" s="39" t="n"/>
      <c r="G2704" s="39" t="n"/>
      <c r="H2704" s="14">
        <f>INDEX(VarLab,MATCH($A2704,VarKey,0))&amp;INDEX(MemLab,MATCH($C2704&amp;"|"&amp;$B2704,MemKey,0))</f>
        <v/>
      </c>
      <c r="I2704" s="14">
        <f>INDEX(VarUnit,MATCH($A2704,VarKey,0))</f>
        <v/>
      </c>
      <c r="J2704" s="14">
        <f>INDEX(VarSrc,MATCH($A2704,VarKey,0))</f>
        <v/>
      </c>
      <c r="K2704" s="11">
        <f>CodePrefix&amp;$A2704&amp;IF($C2704="","","."&amp;$C2704&amp;"."&amp;$B2704)&amp;INDEX(VarEnd,MATCH($A2704,VarKey,0))&amp;K$5</f>
        <v/>
      </c>
      <c r="L2704" s="40">
        <f>L2677+L2686+L2695</f>
        <v/>
      </c>
      <c r="M2704" s="35">
        <f>M2677+M2686+M2695</f>
        <v/>
      </c>
      <c r="N2704" s="35">
        <f>N2677+N2686+N2695</f>
        <v/>
      </c>
      <c r="O2704" s="35">
        <f>O2677+O2686+O2695</f>
        <v/>
      </c>
      <c r="P2704" s="35">
        <f>P2677+P2686+P2695</f>
        <v/>
      </c>
      <c r="Q2704" s="35">
        <f>Q2677+Q2686+Q2695</f>
        <v/>
      </c>
      <c r="R2704" s="35">
        <f>R2677+R2686+R2695</f>
        <v/>
      </c>
      <c r="S2704" s="35">
        <f>S2677+S2686+S2695</f>
        <v/>
      </c>
      <c r="T2704" s="35">
        <f>T2677+T2686+T2695</f>
        <v/>
      </c>
      <c r="U2704" s="35">
        <f>U2677+U2686+U2695</f>
        <v/>
      </c>
      <c r="V2704" s="35">
        <f>V2677+V2686+V2695</f>
        <v/>
      </c>
      <c r="W2704" s="35">
        <f>W2677+W2686+W2695</f>
        <v/>
      </c>
      <c r="X2704" s="35">
        <f>X2677+X2686+X2695</f>
        <v/>
      </c>
      <c r="Y2704" s="35">
        <f>Y2677+Y2686+Y2695</f>
        <v/>
      </c>
      <c r="Z2704" s="35">
        <f>Z2677+Z2686+Z2695</f>
        <v/>
      </c>
      <c r="AA2704" s="35">
        <f>AA2677+AA2686+AA2695</f>
        <v/>
      </c>
      <c r="AB2704" s="35">
        <f>AB2677+AB2686+AB2695</f>
        <v/>
      </c>
      <c r="AC2704" s="35">
        <f>AC2677+AC2686+AC2695</f>
        <v/>
      </c>
      <c r="AD2704" s="35">
        <f>AD2677+AD2686+AD2695</f>
        <v/>
      </c>
      <c r="AE2704" s="42">
        <f>NEWPOLICY(AE2677,AE2686,AE2695)</f>
        <v/>
      </c>
      <c r="AG2704" s="11">
        <f>CodePrefix&amp;$A2704&amp;IF($C2704="","","."&amp;$C2704&amp;"."&amp;$B2704)&amp;INDEX(VarEnd,MATCH($A2704,VarKey,0))&amp;AG$5</f>
        <v/>
      </c>
      <c r="AH2704" s="40">
        <f>AH2677+AH2686+AH2695</f>
        <v/>
      </c>
      <c r="AI2704" s="35">
        <f>AI2677+AI2686+AI2695</f>
        <v/>
      </c>
      <c r="AJ2704" s="35">
        <f>AJ2677+AJ2686+AJ2695</f>
        <v/>
      </c>
      <c r="AK2704" s="35">
        <f>AK2677+AK2686+AK2695</f>
        <v/>
      </c>
      <c r="AL2704" s="35">
        <f>AL2677+AL2686+AL2695</f>
        <v/>
      </c>
      <c r="AM2704" s="35">
        <f>AM2677+AM2686+AM2695</f>
        <v/>
      </c>
      <c r="AN2704" s="35">
        <f>AN2677+AN2686+AN2695</f>
        <v/>
      </c>
      <c r="AO2704" s="35">
        <f>AO2677+AO2686+AO2695</f>
        <v/>
      </c>
      <c r="AP2704" s="35">
        <f>AP2677+AP2686+AP2695</f>
        <v/>
      </c>
      <c r="AQ2704" s="35">
        <f>AQ2677+AQ2686+AQ2695</f>
        <v/>
      </c>
      <c r="AR2704" s="35">
        <f>AR2677+AR2686+AR2695</f>
        <v/>
      </c>
      <c r="AS2704" s="35">
        <f>AS2677+AS2686+AS2695</f>
        <v/>
      </c>
      <c r="AT2704" s="35">
        <f>AT2677+AT2686+AT2695</f>
        <v/>
      </c>
      <c r="AU2704" s="35">
        <f>AU2677+AU2686+AU2695</f>
        <v/>
      </c>
      <c r="AV2704" s="35">
        <f>AV2677+AV2686+AV2695</f>
        <v/>
      </c>
      <c r="AW2704" s="35">
        <f>AW2677+AW2686+AW2695</f>
        <v/>
      </c>
      <c r="AX2704" s="35">
        <f>AX2677+AX2686+AX2695</f>
        <v/>
      </c>
      <c r="AY2704" s="35">
        <f>AY2677+AY2686+AY2695</f>
        <v/>
      </c>
      <c r="AZ2704" s="35">
        <f>AZ2677+AZ2686+AZ2695</f>
        <v/>
      </c>
      <c r="BA2704" s="42">
        <f>NEWPOLICY(BA2677,BA2686,BA2695)</f>
        <v/>
      </c>
    </row>
    <row r="2705" hidden="1" outlineLevel="2">
      <c r="A2705" s="14" t="inlineStr">
        <is>
          <t>nce</t>
        </is>
      </c>
      <c r="B2705" s="14" t="inlineStr">
        <is>
          <t>nga</t>
        </is>
      </c>
      <c r="C2705" s="14" t="inlineStr">
        <is>
          <t>cst</t>
        </is>
      </c>
      <c r="D2705" s="39" t="n"/>
      <c r="E2705" s="39" t="n"/>
      <c r="F2705" s="39" t="n"/>
      <c r="G2705" s="39" t="n"/>
      <c r="H2705" s="14">
        <f>INDEX(VarLab,MATCH($A2705,VarKey,0))&amp;INDEX(MemLab,MATCH($C2705&amp;"|"&amp;$B2705,MemKey,0))</f>
        <v/>
      </c>
      <c r="I2705" s="14">
        <f>INDEX(VarUnit,MATCH($A2705,VarKey,0))</f>
        <v/>
      </c>
      <c r="J2705" s="14">
        <f>INDEX(VarSrc,MATCH($A2705,VarKey,0))</f>
        <v/>
      </c>
      <c r="K2705" s="11">
        <f>CodePrefix&amp;$A2705&amp;IF($C2705="","","."&amp;$C2705&amp;"."&amp;$B2705)&amp;INDEX(VarEnd,MATCH($A2705,VarKey,0))&amp;K$5</f>
        <v/>
      </c>
      <c r="L2705" s="40">
        <f>L2678+L2687+L2696</f>
        <v/>
      </c>
      <c r="M2705" s="35">
        <f>M2678+M2687+M2696</f>
        <v/>
      </c>
      <c r="N2705" s="35">
        <f>N2678+N2687+N2696</f>
        <v/>
      </c>
      <c r="O2705" s="35">
        <f>O2678+O2687+O2696</f>
        <v/>
      </c>
      <c r="P2705" s="35">
        <f>P2678+P2687+P2696</f>
        <v/>
      </c>
      <c r="Q2705" s="35">
        <f>Q2678+Q2687+Q2696</f>
        <v/>
      </c>
      <c r="R2705" s="35">
        <f>R2678+R2687+R2696</f>
        <v/>
      </c>
      <c r="S2705" s="35">
        <f>S2678+S2687+S2696</f>
        <v/>
      </c>
      <c r="T2705" s="35">
        <f>T2678+T2687+T2696</f>
        <v/>
      </c>
      <c r="U2705" s="35">
        <f>U2678+U2687+U2696</f>
        <v/>
      </c>
      <c r="V2705" s="35">
        <f>V2678+V2687+V2696</f>
        <v/>
      </c>
      <c r="W2705" s="35">
        <f>W2678+W2687+W2696</f>
        <v/>
      </c>
      <c r="X2705" s="35">
        <f>X2678+X2687+X2696</f>
        <v/>
      </c>
      <c r="Y2705" s="35">
        <f>Y2678+Y2687+Y2696</f>
        <v/>
      </c>
      <c r="Z2705" s="35">
        <f>Z2678+Z2687+Z2696</f>
        <v/>
      </c>
      <c r="AA2705" s="35">
        <f>AA2678+AA2687+AA2696</f>
        <v/>
      </c>
      <c r="AB2705" s="35">
        <f>AB2678+AB2687+AB2696</f>
        <v/>
      </c>
      <c r="AC2705" s="35">
        <f>AC2678+AC2687+AC2696</f>
        <v/>
      </c>
      <c r="AD2705" s="35">
        <f>AD2678+AD2687+AD2696</f>
        <v/>
      </c>
      <c r="AE2705" s="42">
        <f>NEWPOLICY(AE2678,AE2687,AE2696)</f>
        <v/>
      </c>
      <c r="AG2705" s="11">
        <f>CodePrefix&amp;$A2705&amp;IF($C2705="","","."&amp;$C2705&amp;"."&amp;$B2705)&amp;INDEX(VarEnd,MATCH($A2705,VarKey,0))&amp;AG$5</f>
        <v/>
      </c>
      <c r="AH2705" s="40">
        <f>AH2678+AH2687+AH2696</f>
        <v/>
      </c>
      <c r="AI2705" s="35">
        <f>AI2678+AI2687+AI2696</f>
        <v/>
      </c>
      <c r="AJ2705" s="35">
        <f>AJ2678+AJ2687+AJ2696</f>
        <v/>
      </c>
      <c r="AK2705" s="35">
        <f>AK2678+AK2687+AK2696</f>
        <v/>
      </c>
      <c r="AL2705" s="35">
        <f>AL2678+AL2687+AL2696</f>
        <v/>
      </c>
      <c r="AM2705" s="35">
        <f>AM2678+AM2687+AM2696</f>
        <v/>
      </c>
      <c r="AN2705" s="35">
        <f>AN2678+AN2687+AN2696</f>
        <v/>
      </c>
      <c r="AO2705" s="35">
        <f>AO2678+AO2687+AO2696</f>
        <v/>
      </c>
      <c r="AP2705" s="35">
        <f>AP2678+AP2687+AP2696</f>
        <v/>
      </c>
      <c r="AQ2705" s="35">
        <f>AQ2678+AQ2687+AQ2696</f>
        <v/>
      </c>
      <c r="AR2705" s="35">
        <f>AR2678+AR2687+AR2696</f>
        <v/>
      </c>
      <c r="AS2705" s="35">
        <f>AS2678+AS2687+AS2696</f>
        <v/>
      </c>
      <c r="AT2705" s="35">
        <f>AT2678+AT2687+AT2696</f>
        <v/>
      </c>
      <c r="AU2705" s="35">
        <f>AU2678+AU2687+AU2696</f>
        <v/>
      </c>
      <c r="AV2705" s="35">
        <f>AV2678+AV2687+AV2696</f>
        <v/>
      </c>
      <c r="AW2705" s="35">
        <f>AW2678+AW2687+AW2696</f>
        <v/>
      </c>
      <c r="AX2705" s="35">
        <f>AX2678+AX2687+AX2696</f>
        <v/>
      </c>
      <c r="AY2705" s="35">
        <f>AY2678+AY2687+AY2696</f>
        <v/>
      </c>
      <c r="AZ2705" s="35">
        <f>AZ2678+AZ2687+AZ2696</f>
        <v/>
      </c>
      <c r="BA2705" s="42">
        <f>NEWPOLICY(BA2678,BA2687,BA2696)</f>
        <v/>
      </c>
    </row>
    <row r="2706" hidden="1" outlineLevel="2">
      <c r="A2706" s="14" t="inlineStr">
        <is>
          <t>nce</t>
        </is>
      </c>
      <c r="B2706" s="14" t="inlineStr">
        <is>
          <t>gso</t>
        </is>
      </c>
      <c r="C2706" s="14" t="inlineStr">
        <is>
          <t>cst</t>
        </is>
      </c>
      <c r="D2706" s="39" t="n"/>
      <c r="E2706" s="39" t="n"/>
      <c r="F2706" s="39" t="n"/>
      <c r="G2706" s="39" t="n"/>
      <c r="H2706" s="14">
        <f>INDEX(VarLab,MATCH($A2706,VarKey,0))&amp;INDEX(MemLab,MATCH($C2706&amp;"|"&amp;$B2706,MemKey,0))</f>
        <v/>
      </c>
      <c r="I2706" s="14">
        <f>INDEX(VarUnit,MATCH($A2706,VarKey,0))</f>
        <v/>
      </c>
      <c r="J2706" s="14">
        <f>INDEX(VarSrc,MATCH($A2706,VarKey,0))</f>
        <v/>
      </c>
      <c r="K2706" s="11">
        <f>CodePrefix&amp;$A2706&amp;IF($C2706="","","."&amp;$C2706&amp;"."&amp;$B2706)&amp;INDEX(VarEnd,MATCH($A2706,VarKey,0))&amp;K$5</f>
        <v/>
      </c>
      <c r="L2706" s="40">
        <f>L2679+L2688+L2697</f>
        <v/>
      </c>
      <c r="M2706" s="35">
        <f>M2679+M2688+M2697</f>
        <v/>
      </c>
      <c r="N2706" s="35">
        <f>N2679+N2688+N2697</f>
        <v/>
      </c>
      <c r="O2706" s="35">
        <f>O2679+O2688+O2697</f>
        <v/>
      </c>
      <c r="P2706" s="35">
        <f>P2679+P2688+P2697</f>
        <v/>
      </c>
      <c r="Q2706" s="35">
        <f>Q2679+Q2688+Q2697</f>
        <v/>
      </c>
      <c r="R2706" s="35">
        <f>R2679+R2688+R2697</f>
        <v/>
      </c>
      <c r="S2706" s="35">
        <f>S2679+S2688+S2697</f>
        <v/>
      </c>
      <c r="T2706" s="35">
        <f>T2679+T2688+T2697</f>
        <v/>
      </c>
      <c r="U2706" s="35">
        <f>U2679+U2688+U2697</f>
        <v/>
      </c>
      <c r="V2706" s="35">
        <f>V2679+V2688+V2697</f>
        <v/>
      </c>
      <c r="W2706" s="35">
        <f>W2679+W2688+W2697</f>
        <v/>
      </c>
      <c r="X2706" s="35">
        <f>X2679+X2688+X2697</f>
        <v/>
      </c>
      <c r="Y2706" s="35">
        <f>Y2679+Y2688+Y2697</f>
        <v/>
      </c>
      <c r="Z2706" s="35">
        <f>Z2679+Z2688+Z2697</f>
        <v/>
      </c>
      <c r="AA2706" s="35">
        <f>AA2679+AA2688+AA2697</f>
        <v/>
      </c>
      <c r="AB2706" s="35">
        <f>AB2679+AB2688+AB2697</f>
        <v/>
      </c>
      <c r="AC2706" s="35">
        <f>AC2679+AC2688+AC2697</f>
        <v/>
      </c>
      <c r="AD2706" s="35">
        <f>AD2679+AD2688+AD2697</f>
        <v/>
      </c>
      <c r="AE2706" s="42">
        <f>NEWPOLICY(AE2679,AE2688,AE2697)</f>
        <v/>
      </c>
      <c r="AG2706" s="11">
        <f>CodePrefix&amp;$A2706&amp;IF($C2706="","","."&amp;$C2706&amp;"."&amp;$B2706)&amp;INDEX(VarEnd,MATCH($A2706,VarKey,0))&amp;AG$5</f>
        <v/>
      </c>
      <c r="AH2706" s="40">
        <f>AH2679+AH2688+AH2697</f>
        <v/>
      </c>
      <c r="AI2706" s="35">
        <f>AI2679+AI2688+AI2697</f>
        <v/>
      </c>
      <c r="AJ2706" s="35">
        <f>AJ2679+AJ2688+AJ2697</f>
        <v/>
      </c>
      <c r="AK2706" s="35">
        <f>AK2679+AK2688+AK2697</f>
        <v/>
      </c>
      <c r="AL2706" s="35">
        <f>AL2679+AL2688+AL2697</f>
        <v/>
      </c>
      <c r="AM2706" s="35">
        <f>AM2679+AM2688+AM2697</f>
        <v/>
      </c>
      <c r="AN2706" s="35">
        <f>AN2679+AN2688+AN2697</f>
        <v/>
      </c>
      <c r="AO2706" s="35">
        <f>AO2679+AO2688+AO2697</f>
        <v/>
      </c>
      <c r="AP2706" s="35">
        <f>AP2679+AP2688+AP2697</f>
        <v/>
      </c>
      <c r="AQ2706" s="35">
        <f>AQ2679+AQ2688+AQ2697</f>
        <v/>
      </c>
      <c r="AR2706" s="35">
        <f>AR2679+AR2688+AR2697</f>
        <v/>
      </c>
      <c r="AS2706" s="35">
        <f>AS2679+AS2688+AS2697</f>
        <v/>
      </c>
      <c r="AT2706" s="35">
        <f>AT2679+AT2688+AT2697</f>
        <v/>
      </c>
      <c r="AU2706" s="35">
        <f>AU2679+AU2688+AU2697</f>
        <v/>
      </c>
      <c r="AV2706" s="35">
        <f>AV2679+AV2688+AV2697</f>
        <v/>
      </c>
      <c r="AW2706" s="35">
        <f>AW2679+AW2688+AW2697</f>
        <v/>
      </c>
      <c r="AX2706" s="35">
        <f>AX2679+AX2688+AX2697</f>
        <v/>
      </c>
      <c r="AY2706" s="35">
        <f>AY2679+AY2688+AY2697</f>
        <v/>
      </c>
      <c r="AZ2706" s="35">
        <f>AZ2679+AZ2688+AZ2697</f>
        <v/>
      </c>
      <c r="BA2706" s="42">
        <f>NEWPOLICY(BA2679,BA2688,BA2697)</f>
        <v/>
      </c>
    </row>
    <row r="2707" hidden="1" outlineLevel="2">
      <c r="A2707" s="14" t="inlineStr">
        <is>
          <t>nce</t>
        </is>
      </c>
      <c r="B2707" s="14" t="inlineStr">
        <is>
          <t>die</t>
        </is>
      </c>
      <c r="C2707" s="14" t="inlineStr">
        <is>
          <t>cst</t>
        </is>
      </c>
      <c r="D2707" s="39" t="n"/>
      <c r="E2707" s="39" t="n"/>
      <c r="F2707" s="39" t="n"/>
      <c r="G2707" s="39" t="n"/>
      <c r="H2707" s="14">
        <f>INDEX(VarLab,MATCH($A2707,VarKey,0))&amp;INDEX(MemLab,MATCH($C2707&amp;"|"&amp;$B2707,MemKey,0))</f>
        <v/>
      </c>
      <c r="I2707" s="14">
        <f>INDEX(VarUnit,MATCH($A2707,VarKey,0))</f>
        <v/>
      </c>
      <c r="J2707" s="14">
        <f>INDEX(VarSrc,MATCH($A2707,VarKey,0))</f>
        <v/>
      </c>
      <c r="K2707" s="11">
        <f>CodePrefix&amp;$A2707&amp;IF($C2707="","","."&amp;$C2707&amp;"."&amp;$B2707)&amp;INDEX(VarEnd,MATCH($A2707,VarKey,0))&amp;K$5</f>
        <v/>
      </c>
      <c r="L2707" s="40">
        <f>L2680+L2689+L2698</f>
        <v/>
      </c>
      <c r="M2707" s="35">
        <f>M2680+M2689+M2698</f>
        <v/>
      </c>
      <c r="N2707" s="35">
        <f>N2680+N2689+N2698</f>
        <v/>
      </c>
      <c r="O2707" s="35">
        <f>O2680+O2689+O2698</f>
        <v/>
      </c>
      <c r="P2707" s="35">
        <f>P2680+P2689+P2698</f>
        <v/>
      </c>
      <c r="Q2707" s="35">
        <f>Q2680+Q2689+Q2698</f>
        <v/>
      </c>
      <c r="R2707" s="35">
        <f>R2680+R2689+R2698</f>
        <v/>
      </c>
      <c r="S2707" s="35">
        <f>S2680+S2689+S2698</f>
        <v/>
      </c>
      <c r="T2707" s="35">
        <f>T2680+T2689+T2698</f>
        <v/>
      </c>
      <c r="U2707" s="35">
        <f>U2680+U2689+U2698</f>
        <v/>
      </c>
      <c r="V2707" s="35">
        <f>V2680+V2689+V2698</f>
        <v/>
      </c>
      <c r="W2707" s="35">
        <f>W2680+W2689+W2698</f>
        <v/>
      </c>
      <c r="X2707" s="35">
        <f>X2680+X2689+X2698</f>
        <v/>
      </c>
      <c r="Y2707" s="35">
        <f>Y2680+Y2689+Y2698</f>
        <v/>
      </c>
      <c r="Z2707" s="35">
        <f>Z2680+Z2689+Z2698</f>
        <v/>
      </c>
      <c r="AA2707" s="35">
        <f>AA2680+AA2689+AA2698</f>
        <v/>
      </c>
      <c r="AB2707" s="35">
        <f>AB2680+AB2689+AB2698</f>
        <v/>
      </c>
      <c r="AC2707" s="35">
        <f>AC2680+AC2689+AC2698</f>
        <v/>
      </c>
      <c r="AD2707" s="35">
        <f>AD2680+AD2689+AD2698</f>
        <v/>
      </c>
      <c r="AE2707" s="42">
        <f>NEWPOLICY(AE2680,AE2689,AE2698)</f>
        <v/>
      </c>
      <c r="AG2707" s="11">
        <f>CodePrefix&amp;$A2707&amp;IF($C2707="","","."&amp;$C2707&amp;"."&amp;$B2707)&amp;INDEX(VarEnd,MATCH($A2707,VarKey,0))&amp;AG$5</f>
        <v/>
      </c>
      <c r="AH2707" s="40">
        <f>AH2680+AH2689+AH2698</f>
        <v/>
      </c>
      <c r="AI2707" s="35">
        <f>AI2680+AI2689+AI2698</f>
        <v/>
      </c>
      <c r="AJ2707" s="35">
        <f>AJ2680+AJ2689+AJ2698</f>
        <v/>
      </c>
      <c r="AK2707" s="35">
        <f>AK2680+AK2689+AK2698</f>
        <v/>
      </c>
      <c r="AL2707" s="35">
        <f>AL2680+AL2689+AL2698</f>
        <v/>
      </c>
      <c r="AM2707" s="35">
        <f>AM2680+AM2689+AM2698</f>
        <v/>
      </c>
      <c r="AN2707" s="35">
        <f>AN2680+AN2689+AN2698</f>
        <v/>
      </c>
      <c r="AO2707" s="35">
        <f>AO2680+AO2689+AO2698</f>
        <v/>
      </c>
      <c r="AP2707" s="35">
        <f>AP2680+AP2689+AP2698</f>
        <v/>
      </c>
      <c r="AQ2707" s="35">
        <f>AQ2680+AQ2689+AQ2698</f>
        <v/>
      </c>
      <c r="AR2707" s="35">
        <f>AR2680+AR2689+AR2698</f>
        <v/>
      </c>
      <c r="AS2707" s="35">
        <f>AS2680+AS2689+AS2698</f>
        <v/>
      </c>
      <c r="AT2707" s="35">
        <f>AT2680+AT2689+AT2698</f>
        <v/>
      </c>
      <c r="AU2707" s="35">
        <f>AU2680+AU2689+AU2698</f>
        <v/>
      </c>
      <c r="AV2707" s="35">
        <f>AV2680+AV2689+AV2698</f>
        <v/>
      </c>
      <c r="AW2707" s="35">
        <f>AW2680+AW2689+AW2698</f>
        <v/>
      </c>
      <c r="AX2707" s="35">
        <f>AX2680+AX2689+AX2698</f>
        <v/>
      </c>
      <c r="AY2707" s="35">
        <f>AY2680+AY2689+AY2698</f>
        <v/>
      </c>
      <c r="AZ2707" s="35">
        <f>AZ2680+AZ2689+AZ2698</f>
        <v/>
      </c>
      <c r="BA2707" s="42">
        <f>NEWPOLICY(BA2680,BA2689,BA2698)</f>
        <v/>
      </c>
    </row>
    <row r="2708" hidden="1" outlineLevel="2">
      <c r="A2708" s="14" t="inlineStr">
        <is>
          <t>nce</t>
        </is>
      </c>
      <c r="B2708" s="14" t="inlineStr">
        <is>
          <t>lpg</t>
        </is>
      </c>
      <c r="C2708" s="14" t="inlineStr">
        <is>
          <t>cst</t>
        </is>
      </c>
      <c r="D2708" s="39" t="n"/>
      <c r="E2708" s="39" t="n"/>
      <c r="F2708" s="39" t="n"/>
      <c r="G2708" s="39" t="n"/>
      <c r="H2708" s="14">
        <f>INDEX(VarLab,MATCH($A2708,VarKey,0))&amp;INDEX(MemLab,MATCH($C2708&amp;"|"&amp;$B2708,MemKey,0))</f>
        <v/>
      </c>
      <c r="I2708" s="14">
        <f>INDEX(VarUnit,MATCH($A2708,VarKey,0))</f>
        <v/>
      </c>
      <c r="J2708" s="14">
        <f>INDEX(VarSrc,MATCH($A2708,VarKey,0))</f>
        <v/>
      </c>
      <c r="K2708" s="11">
        <f>CodePrefix&amp;$A2708&amp;IF($C2708="","","."&amp;$C2708&amp;"."&amp;$B2708)&amp;INDEX(VarEnd,MATCH($A2708,VarKey,0))&amp;K$5</f>
        <v/>
      </c>
      <c r="L2708" s="40">
        <f>L2681+L2690+L2699</f>
        <v/>
      </c>
      <c r="M2708" s="35">
        <f>M2681+M2690+M2699</f>
        <v/>
      </c>
      <c r="N2708" s="35">
        <f>N2681+N2690+N2699</f>
        <v/>
      </c>
      <c r="O2708" s="35">
        <f>O2681+O2690+O2699</f>
        <v/>
      </c>
      <c r="P2708" s="35">
        <f>P2681+P2690+P2699</f>
        <v/>
      </c>
      <c r="Q2708" s="35">
        <f>Q2681+Q2690+Q2699</f>
        <v/>
      </c>
      <c r="R2708" s="35">
        <f>R2681+R2690+R2699</f>
        <v/>
      </c>
      <c r="S2708" s="35">
        <f>S2681+S2690+S2699</f>
        <v/>
      </c>
      <c r="T2708" s="35">
        <f>T2681+T2690+T2699</f>
        <v/>
      </c>
      <c r="U2708" s="35">
        <f>U2681+U2690+U2699</f>
        <v/>
      </c>
      <c r="V2708" s="35">
        <f>V2681+V2690+V2699</f>
        <v/>
      </c>
      <c r="W2708" s="35">
        <f>W2681+W2690+W2699</f>
        <v/>
      </c>
      <c r="X2708" s="35">
        <f>X2681+X2690+X2699</f>
        <v/>
      </c>
      <c r="Y2708" s="35">
        <f>Y2681+Y2690+Y2699</f>
        <v/>
      </c>
      <c r="Z2708" s="35">
        <f>Z2681+Z2690+Z2699</f>
        <v/>
      </c>
      <c r="AA2708" s="35">
        <f>AA2681+AA2690+AA2699</f>
        <v/>
      </c>
      <c r="AB2708" s="35">
        <f>AB2681+AB2690+AB2699</f>
        <v/>
      </c>
      <c r="AC2708" s="35">
        <f>AC2681+AC2690+AC2699</f>
        <v/>
      </c>
      <c r="AD2708" s="35">
        <f>AD2681+AD2690+AD2699</f>
        <v/>
      </c>
      <c r="AE2708" s="42">
        <f>NEWPOLICY(AE2681,AE2690,AE2699)</f>
        <v/>
      </c>
      <c r="AG2708" s="11">
        <f>CodePrefix&amp;$A2708&amp;IF($C2708="","","."&amp;$C2708&amp;"."&amp;$B2708)&amp;INDEX(VarEnd,MATCH($A2708,VarKey,0))&amp;AG$5</f>
        <v/>
      </c>
      <c r="AH2708" s="40">
        <f>AH2681+AH2690+AH2699</f>
        <v/>
      </c>
      <c r="AI2708" s="35">
        <f>AI2681+AI2690+AI2699</f>
        <v/>
      </c>
      <c r="AJ2708" s="35">
        <f>AJ2681+AJ2690+AJ2699</f>
        <v/>
      </c>
      <c r="AK2708" s="35">
        <f>AK2681+AK2690+AK2699</f>
        <v/>
      </c>
      <c r="AL2708" s="35">
        <f>AL2681+AL2690+AL2699</f>
        <v/>
      </c>
      <c r="AM2708" s="35">
        <f>AM2681+AM2690+AM2699</f>
        <v/>
      </c>
      <c r="AN2708" s="35">
        <f>AN2681+AN2690+AN2699</f>
        <v/>
      </c>
      <c r="AO2708" s="35">
        <f>AO2681+AO2690+AO2699</f>
        <v/>
      </c>
      <c r="AP2708" s="35">
        <f>AP2681+AP2690+AP2699</f>
        <v/>
      </c>
      <c r="AQ2708" s="35">
        <f>AQ2681+AQ2690+AQ2699</f>
        <v/>
      </c>
      <c r="AR2708" s="35">
        <f>AR2681+AR2690+AR2699</f>
        <v/>
      </c>
      <c r="AS2708" s="35">
        <f>AS2681+AS2690+AS2699</f>
        <v/>
      </c>
      <c r="AT2708" s="35">
        <f>AT2681+AT2690+AT2699</f>
        <v/>
      </c>
      <c r="AU2708" s="35">
        <f>AU2681+AU2690+AU2699</f>
        <v/>
      </c>
      <c r="AV2708" s="35">
        <f>AV2681+AV2690+AV2699</f>
        <v/>
      </c>
      <c r="AW2708" s="35">
        <f>AW2681+AW2690+AW2699</f>
        <v/>
      </c>
      <c r="AX2708" s="35">
        <f>AX2681+AX2690+AX2699</f>
        <v/>
      </c>
      <c r="AY2708" s="35">
        <f>AY2681+AY2690+AY2699</f>
        <v/>
      </c>
      <c r="AZ2708" s="35">
        <f>AZ2681+AZ2690+AZ2699</f>
        <v/>
      </c>
      <c r="BA2708" s="42">
        <f>NEWPOLICY(BA2681,BA2690,BA2699)</f>
        <v/>
      </c>
    </row>
    <row r="2709" hidden="1" outlineLevel="2">
      <c r="A2709" s="14" t="inlineStr">
        <is>
          <t>nce</t>
        </is>
      </c>
      <c r="B2709" s="14" t="inlineStr">
        <is>
          <t>ker</t>
        </is>
      </c>
      <c r="C2709" s="14" t="inlineStr">
        <is>
          <t>cst</t>
        </is>
      </c>
      <c r="D2709" s="39" t="n"/>
      <c r="E2709" s="39" t="n"/>
      <c r="F2709" s="39" t="n"/>
      <c r="G2709" s="39" t="n"/>
      <c r="H2709" s="14">
        <f>INDEX(VarLab,MATCH($A2709,VarKey,0))&amp;INDEX(MemLab,MATCH($C2709&amp;"|"&amp;$B2709,MemKey,0))</f>
        <v/>
      </c>
      <c r="I2709" s="14">
        <f>INDEX(VarUnit,MATCH($A2709,VarKey,0))</f>
        <v/>
      </c>
      <c r="J2709" s="14">
        <f>INDEX(VarSrc,MATCH($A2709,VarKey,0))</f>
        <v/>
      </c>
      <c r="K2709" s="11">
        <f>CodePrefix&amp;$A2709&amp;IF($C2709="","","."&amp;$C2709&amp;"."&amp;$B2709)&amp;INDEX(VarEnd,MATCH($A2709,VarKey,0))&amp;K$5</f>
        <v/>
      </c>
      <c r="L2709" s="40">
        <f>L2682+L2691+L2700</f>
        <v/>
      </c>
      <c r="M2709" s="35">
        <f>M2682+M2691+M2700</f>
        <v/>
      </c>
      <c r="N2709" s="35">
        <f>N2682+N2691+N2700</f>
        <v/>
      </c>
      <c r="O2709" s="35">
        <f>O2682+O2691+O2700</f>
        <v/>
      </c>
      <c r="P2709" s="35">
        <f>P2682+P2691+P2700</f>
        <v/>
      </c>
      <c r="Q2709" s="35">
        <f>Q2682+Q2691+Q2700</f>
        <v/>
      </c>
      <c r="R2709" s="35">
        <f>R2682+R2691+R2700</f>
        <v/>
      </c>
      <c r="S2709" s="35">
        <f>S2682+S2691+S2700</f>
        <v/>
      </c>
      <c r="T2709" s="35">
        <f>T2682+T2691+T2700</f>
        <v/>
      </c>
      <c r="U2709" s="35">
        <f>U2682+U2691+U2700</f>
        <v/>
      </c>
      <c r="V2709" s="35">
        <f>V2682+V2691+V2700</f>
        <v/>
      </c>
      <c r="W2709" s="35">
        <f>W2682+W2691+W2700</f>
        <v/>
      </c>
      <c r="X2709" s="35">
        <f>X2682+X2691+X2700</f>
        <v/>
      </c>
      <c r="Y2709" s="35">
        <f>Y2682+Y2691+Y2700</f>
        <v/>
      </c>
      <c r="Z2709" s="35">
        <f>Z2682+Z2691+Z2700</f>
        <v/>
      </c>
      <c r="AA2709" s="35">
        <f>AA2682+AA2691+AA2700</f>
        <v/>
      </c>
      <c r="AB2709" s="35">
        <f>AB2682+AB2691+AB2700</f>
        <v/>
      </c>
      <c r="AC2709" s="35">
        <f>AC2682+AC2691+AC2700</f>
        <v/>
      </c>
      <c r="AD2709" s="35">
        <f>AD2682+AD2691+AD2700</f>
        <v/>
      </c>
      <c r="AE2709" s="42">
        <f>NEWPOLICY(AE2682,AE2691,AE2700)</f>
        <v/>
      </c>
      <c r="AG2709" s="11">
        <f>CodePrefix&amp;$A2709&amp;IF($C2709="","","."&amp;$C2709&amp;"."&amp;$B2709)&amp;INDEX(VarEnd,MATCH($A2709,VarKey,0))&amp;AG$5</f>
        <v/>
      </c>
      <c r="AH2709" s="40">
        <f>AH2682+AH2691+AH2700</f>
        <v/>
      </c>
      <c r="AI2709" s="35">
        <f>AI2682+AI2691+AI2700</f>
        <v/>
      </c>
      <c r="AJ2709" s="35">
        <f>AJ2682+AJ2691+AJ2700</f>
        <v/>
      </c>
      <c r="AK2709" s="35">
        <f>AK2682+AK2691+AK2700</f>
        <v/>
      </c>
      <c r="AL2709" s="35">
        <f>AL2682+AL2691+AL2700</f>
        <v/>
      </c>
      <c r="AM2709" s="35">
        <f>AM2682+AM2691+AM2700</f>
        <v/>
      </c>
      <c r="AN2709" s="35">
        <f>AN2682+AN2691+AN2700</f>
        <v/>
      </c>
      <c r="AO2709" s="35">
        <f>AO2682+AO2691+AO2700</f>
        <v/>
      </c>
      <c r="AP2709" s="35">
        <f>AP2682+AP2691+AP2700</f>
        <v/>
      </c>
      <c r="AQ2709" s="35">
        <f>AQ2682+AQ2691+AQ2700</f>
        <v/>
      </c>
      <c r="AR2709" s="35">
        <f>AR2682+AR2691+AR2700</f>
        <v/>
      </c>
      <c r="AS2709" s="35">
        <f>AS2682+AS2691+AS2700</f>
        <v/>
      </c>
      <c r="AT2709" s="35">
        <f>AT2682+AT2691+AT2700</f>
        <v/>
      </c>
      <c r="AU2709" s="35">
        <f>AU2682+AU2691+AU2700</f>
        <v/>
      </c>
      <c r="AV2709" s="35">
        <f>AV2682+AV2691+AV2700</f>
        <v/>
      </c>
      <c r="AW2709" s="35">
        <f>AW2682+AW2691+AW2700</f>
        <v/>
      </c>
      <c r="AX2709" s="35">
        <f>AX2682+AX2691+AX2700</f>
        <v/>
      </c>
      <c r="AY2709" s="35">
        <f>AY2682+AY2691+AY2700</f>
        <v/>
      </c>
      <c r="AZ2709" s="35">
        <f>AZ2682+AZ2691+AZ2700</f>
        <v/>
      </c>
      <c r="BA2709" s="42">
        <f>NEWPOLICY(BA2682,BA2691,BA2700)</f>
        <v/>
      </c>
    </row>
    <row r="2710" hidden="1" outlineLevel="2">
      <c r="A2710" s="14" t="inlineStr">
        <is>
          <t>nce</t>
        </is>
      </c>
      <c r="B2710" s="14" t="inlineStr">
        <is>
          <t>oop</t>
        </is>
      </c>
      <c r="C2710" s="14" t="inlineStr">
        <is>
          <t>cst</t>
        </is>
      </c>
      <c r="D2710" s="39" t="n"/>
      <c r="E2710" s="39" t="n"/>
      <c r="F2710" s="39" t="n"/>
      <c r="G2710" s="39" t="n"/>
      <c r="H2710" s="14">
        <f>INDEX(VarLab,MATCH($A2710,VarKey,0))&amp;INDEX(MemLab,MATCH($C2710&amp;"|"&amp;$B2710,MemKey,0))</f>
        <v/>
      </c>
      <c r="I2710" s="14">
        <f>INDEX(VarUnit,MATCH($A2710,VarKey,0))</f>
        <v/>
      </c>
      <c r="J2710" s="14">
        <f>INDEX(VarSrc,MATCH($A2710,VarKey,0))</f>
        <v/>
      </c>
      <c r="K2710" s="11">
        <f>CodePrefix&amp;$A2710&amp;IF($C2710="","","."&amp;$C2710&amp;"."&amp;$B2710)&amp;INDEX(VarEnd,MATCH($A2710,VarKey,0))&amp;K$5</f>
        <v/>
      </c>
      <c r="L2710" s="40">
        <f>L2683+L2692+L2701</f>
        <v/>
      </c>
      <c r="M2710" s="35">
        <f>M2683+M2692+M2701</f>
        <v/>
      </c>
      <c r="N2710" s="35">
        <f>N2683+N2692+N2701</f>
        <v/>
      </c>
      <c r="O2710" s="35">
        <f>O2683+O2692+O2701</f>
        <v/>
      </c>
      <c r="P2710" s="35">
        <f>P2683+P2692+P2701</f>
        <v/>
      </c>
      <c r="Q2710" s="35">
        <f>Q2683+Q2692+Q2701</f>
        <v/>
      </c>
      <c r="R2710" s="35">
        <f>R2683+R2692+R2701</f>
        <v/>
      </c>
      <c r="S2710" s="35">
        <f>S2683+S2692+S2701</f>
        <v/>
      </c>
      <c r="T2710" s="35">
        <f>T2683+T2692+T2701</f>
        <v/>
      </c>
      <c r="U2710" s="35">
        <f>U2683+U2692+U2701</f>
        <v/>
      </c>
      <c r="V2710" s="35">
        <f>V2683+V2692+V2701</f>
        <v/>
      </c>
      <c r="W2710" s="35">
        <f>W2683+W2692+W2701</f>
        <v/>
      </c>
      <c r="X2710" s="35">
        <f>X2683+X2692+X2701</f>
        <v/>
      </c>
      <c r="Y2710" s="35">
        <f>Y2683+Y2692+Y2701</f>
        <v/>
      </c>
      <c r="Z2710" s="35">
        <f>Z2683+Z2692+Z2701</f>
        <v/>
      </c>
      <c r="AA2710" s="35">
        <f>AA2683+AA2692+AA2701</f>
        <v/>
      </c>
      <c r="AB2710" s="35">
        <f>AB2683+AB2692+AB2701</f>
        <v/>
      </c>
      <c r="AC2710" s="35">
        <f>AC2683+AC2692+AC2701</f>
        <v/>
      </c>
      <c r="AD2710" s="35">
        <f>AD2683+AD2692+AD2701</f>
        <v/>
      </c>
      <c r="AE2710" s="42">
        <f>NEWPOLICY(AE2683,AE2692,AE2701)</f>
        <v/>
      </c>
      <c r="AG2710" s="11">
        <f>CodePrefix&amp;$A2710&amp;IF($C2710="","","."&amp;$C2710&amp;"."&amp;$B2710)&amp;INDEX(VarEnd,MATCH($A2710,VarKey,0))&amp;AG$5</f>
        <v/>
      </c>
      <c r="AH2710" s="40">
        <f>AH2683+AH2692+AH2701</f>
        <v/>
      </c>
      <c r="AI2710" s="35">
        <f>AI2683+AI2692+AI2701</f>
        <v/>
      </c>
      <c r="AJ2710" s="35">
        <f>AJ2683+AJ2692+AJ2701</f>
        <v/>
      </c>
      <c r="AK2710" s="35">
        <f>AK2683+AK2692+AK2701</f>
        <v/>
      </c>
      <c r="AL2710" s="35">
        <f>AL2683+AL2692+AL2701</f>
        <v/>
      </c>
      <c r="AM2710" s="35">
        <f>AM2683+AM2692+AM2701</f>
        <v/>
      </c>
      <c r="AN2710" s="35">
        <f>AN2683+AN2692+AN2701</f>
        <v/>
      </c>
      <c r="AO2710" s="35">
        <f>AO2683+AO2692+AO2701</f>
        <v/>
      </c>
      <c r="AP2710" s="35">
        <f>AP2683+AP2692+AP2701</f>
        <v/>
      </c>
      <c r="AQ2710" s="35">
        <f>AQ2683+AQ2692+AQ2701</f>
        <v/>
      </c>
      <c r="AR2710" s="35">
        <f>AR2683+AR2692+AR2701</f>
        <v/>
      </c>
      <c r="AS2710" s="35">
        <f>AS2683+AS2692+AS2701</f>
        <v/>
      </c>
      <c r="AT2710" s="35">
        <f>AT2683+AT2692+AT2701</f>
        <v/>
      </c>
      <c r="AU2710" s="35">
        <f>AU2683+AU2692+AU2701</f>
        <v/>
      </c>
      <c r="AV2710" s="35">
        <f>AV2683+AV2692+AV2701</f>
        <v/>
      </c>
      <c r="AW2710" s="35">
        <f>AW2683+AW2692+AW2701</f>
        <v/>
      </c>
      <c r="AX2710" s="35">
        <f>AX2683+AX2692+AX2701</f>
        <v/>
      </c>
      <c r="AY2710" s="35">
        <f>AY2683+AY2692+AY2701</f>
        <v/>
      </c>
      <c r="AZ2710" s="35">
        <f>AZ2683+AZ2692+AZ2701</f>
        <v/>
      </c>
      <c r="BA2710" s="42">
        <f>NEWPOLICY(BA2683,BA2692,BA2701)</f>
        <v/>
      </c>
    </row>
    <row r="2711" hidden="1" outlineLevel="2">
      <c r="A2711" s="14" t="inlineStr">
        <is>
          <t>nce</t>
        </is>
      </c>
      <c r="B2711" s="14" t="inlineStr">
        <is>
          <t>bio</t>
        </is>
      </c>
      <c r="C2711" s="14" t="inlineStr">
        <is>
          <t>cst</t>
        </is>
      </c>
      <c r="D2711" s="39" t="n"/>
      <c r="E2711" s="39" t="n"/>
      <c r="F2711" s="39" t="n"/>
      <c r="G2711" s="39" t="n"/>
      <c r="H2711" s="14">
        <f>INDEX(VarLab,MATCH($A2711,VarKey,0))&amp;INDEX(MemLab,MATCH($C2711&amp;"|"&amp;$B2711,MemKey,0))</f>
        <v/>
      </c>
      <c r="I2711" s="14">
        <f>INDEX(VarUnit,MATCH($A2711,VarKey,0))</f>
        <v/>
      </c>
      <c r="J2711" s="14">
        <f>INDEX(VarSrc,MATCH($A2711,VarKey,0))</f>
        <v/>
      </c>
      <c r="K2711" s="11">
        <f>CodePrefix&amp;$A2711&amp;IF($C2711="","","."&amp;$C2711&amp;"."&amp;$B2711)&amp;INDEX(VarEnd,MATCH($A2711,VarKey,0))&amp;K$5</f>
        <v/>
      </c>
      <c r="L2711" s="40">
        <f>L2684+L2693+L2702</f>
        <v/>
      </c>
      <c r="M2711" s="35">
        <f>M2684+M2693+M2702</f>
        <v/>
      </c>
      <c r="N2711" s="35">
        <f>N2684+N2693+N2702</f>
        <v/>
      </c>
      <c r="O2711" s="35">
        <f>O2684+O2693+O2702</f>
        <v/>
      </c>
      <c r="P2711" s="35">
        <f>P2684+P2693+P2702</f>
        <v/>
      </c>
      <c r="Q2711" s="35">
        <f>Q2684+Q2693+Q2702</f>
        <v/>
      </c>
      <c r="R2711" s="35">
        <f>R2684+R2693+R2702</f>
        <v/>
      </c>
      <c r="S2711" s="35">
        <f>S2684+S2693+S2702</f>
        <v/>
      </c>
      <c r="T2711" s="35">
        <f>T2684+T2693+T2702</f>
        <v/>
      </c>
      <c r="U2711" s="35">
        <f>U2684+U2693+U2702</f>
        <v/>
      </c>
      <c r="V2711" s="35">
        <f>V2684+V2693+V2702</f>
        <v/>
      </c>
      <c r="W2711" s="35">
        <f>W2684+W2693+W2702</f>
        <v/>
      </c>
      <c r="X2711" s="35">
        <f>X2684+X2693+X2702</f>
        <v/>
      </c>
      <c r="Y2711" s="35">
        <f>Y2684+Y2693+Y2702</f>
        <v/>
      </c>
      <c r="Z2711" s="35">
        <f>Z2684+Z2693+Z2702</f>
        <v/>
      </c>
      <c r="AA2711" s="35">
        <f>AA2684+AA2693+AA2702</f>
        <v/>
      </c>
      <c r="AB2711" s="35">
        <f>AB2684+AB2693+AB2702</f>
        <v/>
      </c>
      <c r="AC2711" s="35">
        <f>AC2684+AC2693+AC2702</f>
        <v/>
      </c>
      <c r="AD2711" s="35">
        <f>AD2684+AD2693+AD2702</f>
        <v/>
      </c>
      <c r="AE2711" s="42">
        <f>NEWPOLICY(AE2684,AE2693,AE2702)</f>
        <v/>
      </c>
      <c r="AG2711" s="11">
        <f>CodePrefix&amp;$A2711&amp;IF($C2711="","","."&amp;$C2711&amp;"."&amp;$B2711)&amp;INDEX(VarEnd,MATCH($A2711,VarKey,0))&amp;AG$5</f>
        <v/>
      </c>
      <c r="AH2711" s="40">
        <f>AH2684+AH2693+AH2702</f>
        <v/>
      </c>
      <c r="AI2711" s="35">
        <f>AI2684+AI2693+AI2702</f>
        <v/>
      </c>
      <c r="AJ2711" s="35">
        <f>AJ2684+AJ2693+AJ2702</f>
        <v/>
      </c>
      <c r="AK2711" s="35">
        <f>AK2684+AK2693+AK2702</f>
        <v/>
      </c>
      <c r="AL2711" s="35">
        <f>AL2684+AL2693+AL2702</f>
        <v/>
      </c>
      <c r="AM2711" s="35">
        <f>AM2684+AM2693+AM2702</f>
        <v/>
      </c>
      <c r="AN2711" s="35">
        <f>AN2684+AN2693+AN2702</f>
        <v/>
      </c>
      <c r="AO2711" s="35">
        <f>AO2684+AO2693+AO2702</f>
        <v/>
      </c>
      <c r="AP2711" s="35">
        <f>AP2684+AP2693+AP2702</f>
        <v/>
      </c>
      <c r="AQ2711" s="35">
        <f>AQ2684+AQ2693+AQ2702</f>
        <v/>
      </c>
      <c r="AR2711" s="35">
        <f>AR2684+AR2693+AR2702</f>
        <v/>
      </c>
      <c r="AS2711" s="35">
        <f>AS2684+AS2693+AS2702</f>
        <v/>
      </c>
      <c r="AT2711" s="35">
        <f>AT2684+AT2693+AT2702</f>
        <v/>
      </c>
      <c r="AU2711" s="35">
        <f>AU2684+AU2693+AU2702</f>
        <v/>
      </c>
      <c r="AV2711" s="35">
        <f>AV2684+AV2693+AV2702</f>
        <v/>
      </c>
      <c r="AW2711" s="35">
        <f>AW2684+AW2693+AW2702</f>
        <v/>
      </c>
      <c r="AX2711" s="35">
        <f>AX2684+AX2693+AX2702</f>
        <v/>
      </c>
      <c r="AY2711" s="35">
        <f>AY2684+AY2693+AY2702</f>
        <v/>
      </c>
      <c r="AZ2711" s="35">
        <f>AZ2684+AZ2693+AZ2702</f>
        <v/>
      </c>
      <c r="BA2711" s="42">
        <f>NEWPOLICY(BA2684,BA2693,BA2702)</f>
        <v/>
      </c>
    </row>
    <row r="2712" hidden="1" outlineLevel="2"/>
    <row r="2713" hidden="1" outlineLevel="2">
      <c r="A2713" s="14" t="inlineStr">
        <is>
          <t>xcp</t>
        </is>
      </c>
      <c r="B2713" s="14" t="inlineStr">
        <is>
          <t>coa</t>
        </is>
      </c>
      <c r="C2713" s="14" t="inlineStr">
        <is>
          <t>cst</t>
        </is>
      </c>
      <c r="D2713" s="35">
        <f>INDEX(Inputs!$W$5:$W$132,MATCH($B2713&amp;"|"&amp;$C2713,Inputs!$A$5:$A$132,0))</f>
        <v/>
      </c>
      <c r="E2713" s="35">
        <f>INDEX(Inputs!$Z$5:$Z$132,MATCH($B2713&amp;"|"&amp;$C2713,Inputs!$A$5:$A$132,0))</f>
        <v/>
      </c>
      <c r="F2713" s="35">
        <f>INDEX(Inputs!$AA$5:$AA$132,MATCH($B2713&amp;"|"&amp;$C2713,Inputs!$A$5:$A$132,0))</f>
        <v/>
      </c>
      <c r="G2713" s="39" t="n"/>
      <c r="H2713" s="14">
        <f>INDEX(VarLab,MATCH($A2713,VarKey,0))&amp;INDEX(MemLab,MATCH($C2713&amp;"|"&amp;$B2713,MemKey,0))</f>
        <v/>
      </c>
      <c r="I2713" s="14">
        <f>INDEX(VarUnit,MATCH($A2713,VarKey,0))</f>
        <v/>
      </c>
      <c r="J2713" s="14">
        <f>INDEX(VarSrc,MATCH($A2713,VarKey,0))</f>
        <v/>
      </c>
      <c r="K2713" s="11">
        <f>CodePrefix&amp;$A2713&amp;IF($C2713="","","."&amp;$C2713&amp;"."&amp;$B2713)&amp;INDEX(VarEnd,MATCH($A2713,VarKey,0))&amp;K$5</f>
        <v/>
      </c>
      <c r="L2713" s="40">
        <f>$D2713*($E2713*L$321+$F2713*L$324)</f>
        <v/>
      </c>
      <c r="M2713" s="35">
        <f>$D2713*($E2713*M$321+$F2713*M$324)</f>
        <v/>
      </c>
      <c r="N2713" s="35">
        <f>$D2713*($E2713*N$321+$F2713*N$324)</f>
        <v/>
      </c>
      <c r="O2713" s="35">
        <f>$D2713*($E2713*O$321+$F2713*O$324)</f>
        <v/>
      </c>
      <c r="P2713" s="35">
        <f>$D2713*($E2713*P$321+$F2713*P$324)</f>
        <v/>
      </c>
      <c r="Q2713" s="35">
        <f>$D2713*($E2713*Q$321+$F2713*Q$324)</f>
        <v/>
      </c>
      <c r="R2713" s="35">
        <f>$D2713*($E2713*R$321+$F2713*R$324)</f>
        <v/>
      </c>
      <c r="S2713" s="35">
        <f>$D2713*($E2713*S$321+$F2713*S$324)</f>
        <v/>
      </c>
      <c r="T2713" s="35">
        <f>$D2713*($E2713*T$321+$F2713*T$324)</f>
        <v/>
      </c>
      <c r="U2713" s="35">
        <f>$D2713*($E2713*U$321+$F2713*U$324)</f>
        <v/>
      </c>
      <c r="V2713" s="35">
        <f>$D2713*($E2713*V$321+$F2713*V$324)</f>
        <v/>
      </c>
      <c r="W2713" s="35">
        <f>$D2713*($E2713*W$321+$F2713*W$324)</f>
        <v/>
      </c>
      <c r="X2713" s="35">
        <f>$D2713*($E2713*X$321+$F2713*X$324)</f>
        <v/>
      </c>
      <c r="Y2713" s="35">
        <f>$D2713*($E2713*Y$321+$F2713*Y$324)</f>
        <v/>
      </c>
      <c r="Z2713" s="35">
        <f>$D2713*($E2713*Z$321+$F2713*Z$324)</f>
        <v/>
      </c>
      <c r="AA2713" s="35">
        <f>$D2713*($E2713*AA$321+$F2713*AA$324)</f>
        <v/>
      </c>
      <c r="AB2713" s="35">
        <f>$D2713*($E2713*AB$321+$F2713*AB$324)</f>
        <v/>
      </c>
      <c r="AC2713" s="35">
        <f>$D2713*($E2713*AC$321+$F2713*AC$324)</f>
        <v/>
      </c>
      <c r="AD2713" s="35">
        <f>$D2713*($E2713*AD$321+$F2713*AD$324)</f>
        <v/>
      </c>
      <c r="AE2713" s="42">
        <f>XCARBON($D2713,$E2713,AE$321,$F2713,AE$324)</f>
        <v/>
      </c>
      <c r="AG2713" s="11">
        <f>CodePrefix&amp;$A2713&amp;IF($C2713="","","."&amp;$C2713&amp;"."&amp;$B2713)&amp;INDEX(VarEnd,MATCH($A2713,VarKey,0))&amp;AG$5</f>
        <v/>
      </c>
      <c r="AH2713" s="40">
        <f>$D2713*($E2713*AH$321+$F2713*AH$324)</f>
        <v/>
      </c>
      <c r="AI2713" s="35">
        <f>$D2713*($E2713*AI$321+$F2713*AI$324)</f>
        <v/>
      </c>
      <c r="AJ2713" s="35">
        <f>$D2713*($E2713*AJ$321+$F2713*AJ$324)</f>
        <v/>
      </c>
      <c r="AK2713" s="35">
        <f>$D2713*($E2713*AK$321+$F2713*AK$324)</f>
        <v/>
      </c>
      <c r="AL2713" s="35">
        <f>$D2713*($E2713*AL$321+$F2713*AL$324)</f>
        <v/>
      </c>
      <c r="AM2713" s="35">
        <f>$D2713*($E2713*AM$321+$F2713*AM$324)</f>
        <v/>
      </c>
      <c r="AN2713" s="35">
        <f>$D2713*($E2713*AN$321+$F2713*AN$324)</f>
        <v/>
      </c>
      <c r="AO2713" s="35">
        <f>$D2713*($E2713*AO$321+$F2713*AO$324)</f>
        <v/>
      </c>
      <c r="AP2713" s="35">
        <f>$D2713*($E2713*AP$321+$F2713*AP$324)</f>
        <v/>
      </c>
      <c r="AQ2713" s="35">
        <f>$D2713*($E2713*AQ$321+$F2713*AQ$324)</f>
        <v/>
      </c>
      <c r="AR2713" s="35">
        <f>$D2713*($E2713*AR$321+$F2713*AR$324)</f>
        <v/>
      </c>
      <c r="AS2713" s="35">
        <f>$D2713*($E2713*AS$321+$F2713*AS$324)</f>
        <v/>
      </c>
      <c r="AT2713" s="35">
        <f>$D2713*($E2713*AT$321+$F2713*AT$324)</f>
        <v/>
      </c>
      <c r="AU2713" s="35">
        <f>$D2713*($E2713*AU$321+$F2713*AU$324)</f>
        <v/>
      </c>
      <c r="AV2713" s="35">
        <f>$D2713*($E2713*AV$321+$F2713*AV$324)</f>
        <v/>
      </c>
      <c r="AW2713" s="35">
        <f>$D2713*($E2713*AW$321+$F2713*AW$324)</f>
        <v/>
      </c>
      <c r="AX2713" s="35">
        <f>$D2713*($E2713*AX$321+$F2713*AX$324)</f>
        <v/>
      </c>
      <c r="AY2713" s="35">
        <f>$D2713*($E2713*AY$321+$F2713*AY$324)</f>
        <v/>
      </c>
      <c r="AZ2713" s="35">
        <f>$D2713*($E2713*AZ$321+$F2713*AZ$324)</f>
        <v/>
      </c>
      <c r="BA2713" s="42">
        <f>XCARBON($D2713,$E2713,BA$321,$F2713,BA$324)</f>
        <v/>
      </c>
    </row>
    <row r="2714" hidden="1" outlineLevel="2">
      <c r="A2714" s="14" t="inlineStr">
        <is>
          <t>xcp</t>
        </is>
      </c>
      <c r="B2714" s="14" t="inlineStr">
        <is>
          <t>nga</t>
        </is>
      </c>
      <c r="C2714" s="14" t="inlineStr">
        <is>
          <t>cst</t>
        </is>
      </c>
      <c r="D2714" s="35">
        <f>INDEX(Inputs!$W$5:$W$132,MATCH($B2714&amp;"|"&amp;$C2714,Inputs!$A$5:$A$132,0))</f>
        <v/>
      </c>
      <c r="E2714" s="35">
        <f>INDEX(Inputs!$Z$5:$Z$132,MATCH($B2714&amp;"|"&amp;$C2714,Inputs!$A$5:$A$132,0))</f>
        <v/>
      </c>
      <c r="F2714" s="35">
        <f>INDEX(Inputs!$AA$5:$AA$132,MATCH($B2714&amp;"|"&amp;$C2714,Inputs!$A$5:$A$132,0))</f>
        <v/>
      </c>
      <c r="G2714" s="39" t="n"/>
      <c r="H2714" s="14">
        <f>INDEX(VarLab,MATCH($A2714,VarKey,0))&amp;INDEX(MemLab,MATCH($C2714&amp;"|"&amp;$B2714,MemKey,0))</f>
        <v/>
      </c>
      <c r="I2714" s="14">
        <f>INDEX(VarUnit,MATCH($A2714,VarKey,0))</f>
        <v/>
      </c>
      <c r="J2714" s="14">
        <f>INDEX(VarSrc,MATCH($A2714,VarKey,0))</f>
        <v/>
      </c>
      <c r="K2714" s="11">
        <f>CodePrefix&amp;$A2714&amp;IF($C2714="","","."&amp;$C2714&amp;"."&amp;$B2714)&amp;INDEX(VarEnd,MATCH($A2714,VarKey,0))&amp;K$5</f>
        <v/>
      </c>
      <c r="L2714" s="40">
        <f>$D2714*($E2714*L$321+$F2714*L$324)</f>
        <v/>
      </c>
      <c r="M2714" s="35">
        <f>$D2714*($E2714*M$321+$F2714*M$324)</f>
        <v/>
      </c>
      <c r="N2714" s="35">
        <f>$D2714*($E2714*N$321+$F2714*N$324)</f>
        <v/>
      </c>
      <c r="O2714" s="35">
        <f>$D2714*($E2714*O$321+$F2714*O$324)</f>
        <v/>
      </c>
      <c r="P2714" s="35">
        <f>$D2714*($E2714*P$321+$F2714*P$324)</f>
        <v/>
      </c>
      <c r="Q2714" s="35">
        <f>$D2714*($E2714*Q$321+$F2714*Q$324)</f>
        <v/>
      </c>
      <c r="R2714" s="35">
        <f>$D2714*($E2714*R$321+$F2714*R$324)</f>
        <v/>
      </c>
      <c r="S2714" s="35">
        <f>$D2714*($E2714*S$321+$F2714*S$324)</f>
        <v/>
      </c>
      <c r="T2714" s="35">
        <f>$D2714*($E2714*T$321+$F2714*T$324)</f>
        <v/>
      </c>
      <c r="U2714" s="35">
        <f>$D2714*($E2714*U$321+$F2714*U$324)</f>
        <v/>
      </c>
      <c r="V2714" s="35">
        <f>$D2714*($E2714*V$321+$F2714*V$324)</f>
        <v/>
      </c>
      <c r="W2714" s="35">
        <f>$D2714*($E2714*W$321+$F2714*W$324)</f>
        <v/>
      </c>
      <c r="X2714" s="35">
        <f>$D2714*($E2714*X$321+$F2714*X$324)</f>
        <v/>
      </c>
      <c r="Y2714" s="35">
        <f>$D2714*($E2714*Y$321+$F2714*Y$324)</f>
        <v/>
      </c>
      <c r="Z2714" s="35">
        <f>$D2714*($E2714*Z$321+$F2714*Z$324)</f>
        <v/>
      </c>
      <c r="AA2714" s="35">
        <f>$D2714*($E2714*AA$321+$F2714*AA$324)</f>
        <v/>
      </c>
      <c r="AB2714" s="35">
        <f>$D2714*($E2714*AB$321+$F2714*AB$324)</f>
        <v/>
      </c>
      <c r="AC2714" s="35">
        <f>$D2714*($E2714*AC$321+$F2714*AC$324)</f>
        <v/>
      </c>
      <c r="AD2714" s="35">
        <f>$D2714*($E2714*AD$321+$F2714*AD$324)</f>
        <v/>
      </c>
      <c r="AE2714" s="42">
        <f>XCARBON($D2714,$E2714,AE$321,$F2714,AE$324)</f>
        <v/>
      </c>
      <c r="AG2714" s="11">
        <f>CodePrefix&amp;$A2714&amp;IF($C2714="","","."&amp;$C2714&amp;"."&amp;$B2714)&amp;INDEX(VarEnd,MATCH($A2714,VarKey,0))&amp;AG$5</f>
        <v/>
      </c>
      <c r="AH2714" s="40">
        <f>$D2714*($E2714*AH$321+$F2714*AH$324)</f>
        <v/>
      </c>
      <c r="AI2714" s="35">
        <f>$D2714*($E2714*AI$321+$F2714*AI$324)</f>
        <v/>
      </c>
      <c r="AJ2714" s="35">
        <f>$D2714*($E2714*AJ$321+$F2714*AJ$324)</f>
        <v/>
      </c>
      <c r="AK2714" s="35">
        <f>$D2714*($E2714*AK$321+$F2714*AK$324)</f>
        <v/>
      </c>
      <c r="AL2714" s="35">
        <f>$D2714*($E2714*AL$321+$F2714*AL$324)</f>
        <v/>
      </c>
      <c r="AM2714" s="35">
        <f>$D2714*($E2714*AM$321+$F2714*AM$324)</f>
        <v/>
      </c>
      <c r="AN2714" s="35">
        <f>$D2714*($E2714*AN$321+$F2714*AN$324)</f>
        <v/>
      </c>
      <c r="AO2714" s="35">
        <f>$D2714*($E2714*AO$321+$F2714*AO$324)</f>
        <v/>
      </c>
      <c r="AP2714" s="35">
        <f>$D2714*($E2714*AP$321+$F2714*AP$324)</f>
        <v/>
      </c>
      <c r="AQ2714" s="35">
        <f>$D2714*($E2714*AQ$321+$F2714*AQ$324)</f>
        <v/>
      </c>
      <c r="AR2714" s="35">
        <f>$D2714*($E2714*AR$321+$F2714*AR$324)</f>
        <v/>
      </c>
      <c r="AS2714" s="35">
        <f>$D2714*($E2714*AS$321+$F2714*AS$324)</f>
        <v/>
      </c>
      <c r="AT2714" s="35">
        <f>$D2714*($E2714*AT$321+$F2714*AT$324)</f>
        <v/>
      </c>
      <c r="AU2714" s="35">
        <f>$D2714*($E2714*AU$321+$F2714*AU$324)</f>
        <v/>
      </c>
      <c r="AV2714" s="35">
        <f>$D2714*($E2714*AV$321+$F2714*AV$324)</f>
        <v/>
      </c>
      <c r="AW2714" s="35">
        <f>$D2714*($E2714*AW$321+$F2714*AW$324)</f>
        <v/>
      </c>
      <c r="AX2714" s="35">
        <f>$D2714*($E2714*AX$321+$F2714*AX$324)</f>
        <v/>
      </c>
      <c r="AY2714" s="35">
        <f>$D2714*($E2714*AY$321+$F2714*AY$324)</f>
        <v/>
      </c>
      <c r="AZ2714" s="35">
        <f>$D2714*($E2714*AZ$321+$F2714*AZ$324)</f>
        <v/>
      </c>
      <c r="BA2714" s="42">
        <f>XCARBON($D2714,$E2714,BA$321,$F2714,BA$324)</f>
        <v/>
      </c>
    </row>
    <row r="2715" hidden="1" outlineLevel="2">
      <c r="A2715" s="14" t="inlineStr">
        <is>
          <t>xcp</t>
        </is>
      </c>
      <c r="B2715" s="14" t="inlineStr">
        <is>
          <t>gso</t>
        </is>
      </c>
      <c r="C2715" s="14" t="inlineStr">
        <is>
          <t>cst</t>
        </is>
      </c>
      <c r="D2715" s="35">
        <f>INDEX(Inputs!$W$5:$W$132,MATCH($B2715&amp;"|"&amp;$C2715,Inputs!$A$5:$A$132,0))</f>
        <v/>
      </c>
      <c r="E2715" s="35">
        <f>INDEX(Inputs!$Z$5:$Z$132,MATCH($B2715&amp;"|"&amp;$C2715,Inputs!$A$5:$A$132,0))</f>
        <v/>
      </c>
      <c r="F2715" s="35">
        <f>INDEX(Inputs!$AA$5:$AA$132,MATCH($B2715&amp;"|"&amp;$C2715,Inputs!$A$5:$A$132,0))</f>
        <v/>
      </c>
      <c r="G2715" s="39" t="n"/>
      <c r="H2715" s="14">
        <f>INDEX(VarLab,MATCH($A2715,VarKey,0))&amp;INDEX(MemLab,MATCH($C2715&amp;"|"&amp;$B2715,MemKey,0))</f>
        <v/>
      </c>
      <c r="I2715" s="14">
        <f>INDEX(VarUnit,MATCH($A2715,VarKey,0))</f>
        <v/>
      </c>
      <c r="J2715" s="14">
        <f>INDEX(VarSrc,MATCH($A2715,VarKey,0))</f>
        <v/>
      </c>
      <c r="K2715" s="11">
        <f>CodePrefix&amp;$A2715&amp;IF($C2715="","","."&amp;$C2715&amp;"."&amp;$B2715)&amp;INDEX(VarEnd,MATCH($A2715,VarKey,0))&amp;K$5</f>
        <v/>
      </c>
      <c r="L2715" s="40">
        <f>$D2715*($E2715*L$321+$F2715*L$324)</f>
        <v/>
      </c>
      <c r="M2715" s="35">
        <f>$D2715*($E2715*M$321+$F2715*M$324)</f>
        <v/>
      </c>
      <c r="N2715" s="35">
        <f>$D2715*($E2715*N$321+$F2715*N$324)</f>
        <v/>
      </c>
      <c r="O2715" s="35">
        <f>$D2715*($E2715*O$321+$F2715*O$324)</f>
        <v/>
      </c>
      <c r="P2715" s="35">
        <f>$D2715*($E2715*P$321+$F2715*P$324)</f>
        <v/>
      </c>
      <c r="Q2715" s="35">
        <f>$D2715*($E2715*Q$321+$F2715*Q$324)</f>
        <v/>
      </c>
      <c r="R2715" s="35">
        <f>$D2715*($E2715*R$321+$F2715*R$324)</f>
        <v/>
      </c>
      <c r="S2715" s="35">
        <f>$D2715*($E2715*S$321+$F2715*S$324)</f>
        <v/>
      </c>
      <c r="T2715" s="35">
        <f>$D2715*($E2715*T$321+$F2715*T$324)</f>
        <v/>
      </c>
      <c r="U2715" s="35">
        <f>$D2715*($E2715*U$321+$F2715*U$324)</f>
        <v/>
      </c>
      <c r="V2715" s="35">
        <f>$D2715*($E2715*V$321+$F2715*V$324)</f>
        <v/>
      </c>
      <c r="W2715" s="35">
        <f>$D2715*($E2715*W$321+$F2715*W$324)</f>
        <v/>
      </c>
      <c r="X2715" s="35">
        <f>$D2715*($E2715*X$321+$F2715*X$324)</f>
        <v/>
      </c>
      <c r="Y2715" s="35">
        <f>$D2715*($E2715*Y$321+$F2715*Y$324)</f>
        <v/>
      </c>
      <c r="Z2715" s="35">
        <f>$D2715*($E2715*Z$321+$F2715*Z$324)</f>
        <v/>
      </c>
      <c r="AA2715" s="35">
        <f>$D2715*($E2715*AA$321+$F2715*AA$324)</f>
        <v/>
      </c>
      <c r="AB2715" s="35">
        <f>$D2715*($E2715*AB$321+$F2715*AB$324)</f>
        <v/>
      </c>
      <c r="AC2715" s="35">
        <f>$D2715*($E2715*AC$321+$F2715*AC$324)</f>
        <v/>
      </c>
      <c r="AD2715" s="35">
        <f>$D2715*($E2715*AD$321+$F2715*AD$324)</f>
        <v/>
      </c>
      <c r="AE2715" s="42">
        <f>XCARBON($D2715,$E2715,AE$321,$F2715,AE$324)</f>
        <v/>
      </c>
      <c r="AG2715" s="11">
        <f>CodePrefix&amp;$A2715&amp;IF($C2715="","","."&amp;$C2715&amp;"."&amp;$B2715)&amp;INDEX(VarEnd,MATCH($A2715,VarKey,0))&amp;AG$5</f>
        <v/>
      </c>
      <c r="AH2715" s="40">
        <f>$D2715*($E2715*AH$321+$F2715*AH$324)</f>
        <v/>
      </c>
      <c r="AI2715" s="35">
        <f>$D2715*($E2715*AI$321+$F2715*AI$324)</f>
        <v/>
      </c>
      <c r="AJ2715" s="35">
        <f>$D2715*($E2715*AJ$321+$F2715*AJ$324)</f>
        <v/>
      </c>
      <c r="AK2715" s="35">
        <f>$D2715*($E2715*AK$321+$F2715*AK$324)</f>
        <v/>
      </c>
      <c r="AL2715" s="35">
        <f>$D2715*($E2715*AL$321+$F2715*AL$324)</f>
        <v/>
      </c>
      <c r="AM2715" s="35">
        <f>$D2715*($E2715*AM$321+$F2715*AM$324)</f>
        <v/>
      </c>
      <c r="AN2715" s="35">
        <f>$D2715*($E2715*AN$321+$F2715*AN$324)</f>
        <v/>
      </c>
      <c r="AO2715" s="35">
        <f>$D2715*($E2715*AO$321+$F2715*AO$324)</f>
        <v/>
      </c>
      <c r="AP2715" s="35">
        <f>$D2715*($E2715*AP$321+$F2715*AP$324)</f>
        <v/>
      </c>
      <c r="AQ2715" s="35">
        <f>$D2715*($E2715*AQ$321+$F2715*AQ$324)</f>
        <v/>
      </c>
      <c r="AR2715" s="35">
        <f>$D2715*($E2715*AR$321+$F2715*AR$324)</f>
        <v/>
      </c>
      <c r="AS2715" s="35">
        <f>$D2715*($E2715*AS$321+$F2715*AS$324)</f>
        <v/>
      </c>
      <c r="AT2715" s="35">
        <f>$D2715*($E2715*AT$321+$F2715*AT$324)</f>
        <v/>
      </c>
      <c r="AU2715" s="35">
        <f>$D2715*($E2715*AU$321+$F2715*AU$324)</f>
        <v/>
      </c>
      <c r="AV2715" s="35">
        <f>$D2715*($E2715*AV$321+$F2715*AV$324)</f>
        <v/>
      </c>
      <c r="AW2715" s="35">
        <f>$D2715*($E2715*AW$321+$F2715*AW$324)</f>
        <v/>
      </c>
      <c r="AX2715" s="35">
        <f>$D2715*($E2715*AX$321+$F2715*AX$324)</f>
        <v/>
      </c>
      <c r="AY2715" s="35">
        <f>$D2715*($E2715*AY$321+$F2715*AY$324)</f>
        <v/>
      </c>
      <c r="AZ2715" s="35">
        <f>$D2715*($E2715*AZ$321+$F2715*AZ$324)</f>
        <v/>
      </c>
      <c r="BA2715" s="42">
        <f>XCARBON($D2715,$E2715,BA$321,$F2715,BA$324)</f>
        <v/>
      </c>
    </row>
    <row r="2716" hidden="1" outlineLevel="2">
      <c r="A2716" s="14" t="inlineStr">
        <is>
          <t>xcp</t>
        </is>
      </c>
      <c r="B2716" s="14" t="inlineStr">
        <is>
          <t>die</t>
        </is>
      </c>
      <c r="C2716" s="14" t="inlineStr">
        <is>
          <t>cst</t>
        </is>
      </c>
      <c r="D2716" s="35">
        <f>INDEX(Inputs!$W$5:$W$132,MATCH($B2716&amp;"|"&amp;$C2716,Inputs!$A$5:$A$132,0))</f>
        <v/>
      </c>
      <c r="E2716" s="35">
        <f>INDEX(Inputs!$Z$5:$Z$132,MATCH($B2716&amp;"|"&amp;$C2716,Inputs!$A$5:$A$132,0))</f>
        <v/>
      </c>
      <c r="F2716" s="35">
        <f>INDEX(Inputs!$AA$5:$AA$132,MATCH($B2716&amp;"|"&amp;$C2716,Inputs!$A$5:$A$132,0))</f>
        <v/>
      </c>
      <c r="G2716" s="39" t="n"/>
      <c r="H2716" s="14">
        <f>INDEX(VarLab,MATCH($A2716,VarKey,0))&amp;INDEX(MemLab,MATCH($C2716&amp;"|"&amp;$B2716,MemKey,0))</f>
        <v/>
      </c>
      <c r="I2716" s="14">
        <f>INDEX(VarUnit,MATCH($A2716,VarKey,0))</f>
        <v/>
      </c>
      <c r="J2716" s="14">
        <f>INDEX(VarSrc,MATCH($A2716,VarKey,0))</f>
        <v/>
      </c>
      <c r="K2716" s="11">
        <f>CodePrefix&amp;$A2716&amp;IF($C2716="","","."&amp;$C2716&amp;"."&amp;$B2716)&amp;INDEX(VarEnd,MATCH($A2716,VarKey,0))&amp;K$5</f>
        <v/>
      </c>
      <c r="L2716" s="40">
        <f>$D2716*($E2716*L$321+$F2716*L$324)</f>
        <v/>
      </c>
      <c r="M2716" s="35">
        <f>$D2716*($E2716*M$321+$F2716*M$324)</f>
        <v/>
      </c>
      <c r="N2716" s="35">
        <f>$D2716*($E2716*N$321+$F2716*N$324)</f>
        <v/>
      </c>
      <c r="O2716" s="35">
        <f>$D2716*($E2716*O$321+$F2716*O$324)</f>
        <v/>
      </c>
      <c r="P2716" s="35">
        <f>$D2716*($E2716*P$321+$F2716*P$324)</f>
        <v/>
      </c>
      <c r="Q2716" s="35">
        <f>$D2716*($E2716*Q$321+$F2716*Q$324)</f>
        <v/>
      </c>
      <c r="R2716" s="35">
        <f>$D2716*($E2716*R$321+$F2716*R$324)</f>
        <v/>
      </c>
      <c r="S2716" s="35">
        <f>$D2716*($E2716*S$321+$F2716*S$324)</f>
        <v/>
      </c>
      <c r="T2716" s="35">
        <f>$D2716*($E2716*T$321+$F2716*T$324)</f>
        <v/>
      </c>
      <c r="U2716" s="35">
        <f>$D2716*($E2716*U$321+$F2716*U$324)</f>
        <v/>
      </c>
      <c r="V2716" s="35">
        <f>$D2716*($E2716*V$321+$F2716*V$324)</f>
        <v/>
      </c>
      <c r="W2716" s="35">
        <f>$D2716*($E2716*W$321+$F2716*W$324)</f>
        <v/>
      </c>
      <c r="X2716" s="35">
        <f>$D2716*($E2716*X$321+$F2716*X$324)</f>
        <v/>
      </c>
      <c r="Y2716" s="35">
        <f>$D2716*($E2716*Y$321+$F2716*Y$324)</f>
        <v/>
      </c>
      <c r="Z2716" s="35">
        <f>$D2716*($E2716*Z$321+$F2716*Z$324)</f>
        <v/>
      </c>
      <c r="AA2716" s="35">
        <f>$D2716*($E2716*AA$321+$F2716*AA$324)</f>
        <v/>
      </c>
      <c r="AB2716" s="35">
        <f>$D2716*($E2716*AB$321+$F2716*AB$324)</f>
        <v/>
      </c>
      <c r="AC2716" s="35">
        <f>$D2716*($E2716*AC$321+$F2716*AC$324)</f>
        <v/>
      </c>
      <c r="AD2716" s="35">
        <f>$D2716*($E2716*AD$321+$F2716*AD$324)</f>
        <v/>
      </c>
      <c r="AE2716" s="42">
        <f>XCARBON($D2716,$E2716,AE$321,$F2716,AE$324)</f>
        <v/>
      </c>
      <c r="AG2716" s="11">
        <f>CodePrefix&amp;$A2716&amp;IF($C2716="","","."&amp;$C2716&amp;"."&amp;$B2716)&amp;INDEX(VarEnd,MATCH($A2716,VarKey,0))&amp;AG$5</f>
        <v/>
      </c>
      <c r="AH2716" s="40">
        <f>$D2716*($E2716*AH$321+$F2716*AH$324)</f>
        <v/>
      </c>
      <c r="AI2716" s="35">
        <f>$D2716*($E2716*AI$321+$F2716*AI$324)</f>
        <v/>
      </c>
      <c r="AJ2716" s="35">
        <f>$D2716*($E2716*AJ$321+$F2716*AJ$324)</f>
        <v/>
      </c>
      <c r="AK2716" s="35">
        <f>$D2716*($E2716*AK$321+$F2716*AK$324)</f>
        <v/>
      </c>
      <c r="AL2716" s="35">
        <f>$D2716*($E2716*AL$321+$F2716*AL$324)</f>
        <v/>
      </c>
      <c r="AM2716" s="35">
        <f>$D2716*($E2716*AM$321+$F2716*AM$324)</f>
        <v/>
      </c>
      <c r="AN2716" s="35">
        <f>$D2716*($E2716*AN$321+$F2716*AN$324)</f>
        <v/>
      </c>
      <c r="AO2716" s="35">
        <f>$D2716*($E2716*AO$321+$F2716*AO$324)</f>
        <v/>
      </c>
      <c r="AP2716" s="35">
        <f>$D2716*($E2716*AP$321+$F2716*AP$324)</f>
        <v/>
      </c>
      <c r="AQ2716" s="35">
        <f>$D2716*($E2716*AQ$321+$F2716*AQ$324)</f>
        <v/>
      </c>
      <c r="AR2716" s="35">
        <f>$D2716*($E2716*AR$321+$F2716*AR$324)</f>
        <v/>
      </c>
      <c r="AS2716" s="35">
        <f>$D2716*($E2716*AS$321+$F2716*AS$324)</f>
        <v/>
      </c>
      <c r="AT2716" s="35">
        <f>$D2716*($E2716*AT$321+$F2716*AT$324)</f>
        <v/>
      </c>
      <c r="AU2716" s="35">
        <f>$D2716*($E2716*AU$321+$F2716*AU$324)</f>
        <v/>
      </c>
      <c r="AV2716" s="35">
        <f>$D2716*($E2716*AV$321+$F2716*AV$324)</f>
        <v/>
      </c>
      <c r="AW2716" s="35">
        <f>$D2716*($E2716*AW$321+$F2716*AW$324)</f>
        <v/>
      </c>
      <c r="AX2716" s="35">
        <f>$D2716*($E2716*AX$321+$F2716*AX$324)</f>
        <v/>
      </c>
      <c r="AY2716" s="35">
        <f>$D2716*($E2716*AY$321+$F2716*AY$324)</f>
        <v/>
      </c>
      <c r="AZ2716" s="35">
        <f>$D2716*($E2716*AZ$321+$F2716*AZ$324)</f>
        <v/>
      </c>
      <c r="BA2716" s="42">
        <f>XCARBON($D2716,$E2716,BA$321,$F2716,BA$324)</f>
        <v/>
      </c>
    </row>
    <row r="2717" hidden="1" outlineLevel="2">
      <c r="A2717" s="14" t="inlineStr">
        <is>
          <t>xcp</t>
        </is>
      </c>
      <c r="B2717" s="14" t="inlineStr">
        <is>
          <t>lpg</t>
        </is>
      </c>
      <c r="C2717" s="14" t="inlineStr">
        <is>
          <t>cst</t>
        </is>
      </c>
      <c r="D2717" s="35">
        <f>INDEX(Inputs!$W$5:$W$132,MATCH($B2717&amp;"|"&amp;$C2717,Inputs!$A$5:$A$132,0))</f>
        <v/>
      </c>
      <c r="E2717" s="35">
        <f>INDEX(Inputs!$Z$5:$Z$132,MATCH($B2717&amp;"|"&amp;$C2717,Inputs!$A$5:$A$132,0))</f>
        <v/>
      </c>
      <c r="F2717" s="35">
        <f>INDEX(Inputs!$AA$5:$AA$132,MATCH($B2717&amp;"|"&amp;$C2717,Inputs!$A$5:$A$132,0))</f>
        <v/>
      </c>
      <c r="G2717" s="39" t="n"/>
      <c r="H2717" s="14">
        <f>INDEX(VarLab,MATCH($A2717,VarKey,0))&amp;INDEX(MemLab,MATCH($C2717&amp;"|"&amp;$B2717,MemKey,0))</f>
        <v/>
      </c>
      <c r="I2717" s="14">
        <f>INDEX(VarUnit,MATCH($A2717,VarKey,0))</f>
        <v/>
      </c>
      <c r="J2717" s="14">
        <f>INDEX(VarSrc,MATCH($A2717,VarKey,0))</f>
        <v/>
      </c>
      <c r="K2717" s="11">
        <f>CodePrefix&amp;$A2717&amp;IF($C2717="","","."&amp;$C2717&amp;"."&amp;$B2717)&amp;INDEX(VarEnd,MATCH($A2717,VarKey,0))&amp;K$5</f>
        <v/>
      </c>
      <c r="L2717" s="40">
        <f>$D2717*($E2717*L$321+$F2717*L$324)</f>
        <v/>
      </c>
      <c r="M2717" s="35">
        <f>$D2717*($E2717*M$321+$F2717*M$324)</f>
        <v/>
      </c>
      <c r="N2717" s="35">
        <f>$D2717*($E2717*N$321+$F2717*N$324)</f>
        <v/>
      </c>
      <c r="O2717" s="35">
        <f>$D2717*($E2717*O$321+$F2717*O$324)</f>
        <v/>
      </c>
      <c r="P2717" s="35">
        <f>$D2717*($E2717*P$321+$F2717*P$324)</f>
        <v/>
      </c>
      <c r="Q2717" s="35">
        <f>$D2717*($E2717*Q$321+$F2717*Q$324)</f>
        <v/>
      </c>
      <c r="R2717" s="35">
        <f>$D2717*($E2717*R$321+$F2717*R$324)</f>
        <v/>
      </c>
      <c r="S2717" s="35">
        <f>$D2717*($E2717*S$321+$F2717*S$324)</f>
        <v/>
      </c>
      <c r="T2717" s="35">
        <f>$D2717*($E2717*T$321+$F2717*T$324)</f>
        <v/>
      </c>
      <c r="U2717" s="35">
        <f>$D2717*($E2717*U$321+$F2717*U$324)</f>
        <v/>
      </c>
      <c r="V2717" s="35">
        <f>$D2717*($E2717*V$321+$F2717*V$324)</f>
        <v/>
      </c>
      <c r="W2717" s="35">
        <f>$D2717*($E2717*W$321+$F2717*W$324)</f>
        <v/>
      </c>
      <c r="X2717" s="35">
        <f>$D2717*($E2717*X$321+$F2717*X$324)</f>
        <v/>
      </c>
      <c r="Y2717" s="35">
        <f>$D2717*($E2717*Y$321+$F2717*Y$324)</f>
        <v/>
      </c>
      <c r="Z2717" s="35">
        <f>$D2717*($E2717*Z$321+$F2717*Z$324)</f>
        <v/>
      </c>
      <c r="AA2717" s="35">
        <f>$D2717*($E2717*AA$321+$F2717*AA$324)</f>
        <v/>
      </c>
      <c r="AB2717" s="35">
        <f>$D2717*($E2717*AB$321+$F2717*AB$324)</f>
        <v/>
      </c>
      <c r="AC2717" s="35">
        <f>$D2717*($E2717*AC$321+$F2717*AC$324)</f>
        <v/>
      </c>
      <c r="AD2717" s="35">
        <f>$D2717*($E2717*AD$321+$F2717*AD$324)</f>
        <v/>
      </c>
      <c r="AE2717" s="42">
        <f>XCARBON($D2717,$E2717,AE$321,$F2717,AE$324)</f>
        <v/>
      </c>
      <c r="AG2717" s="11">
        <f>CodePrefix&amp;$A2717&amp;IF($C2717="","","."&amp;$C2717&amp;"."&amp;$B2717)&amp;INDEX(VarEnd,MATCH($A2717,VarKey,0))&amp;AG$5</f>
        <v/>
      </c>
      <c r="AH2717" s="40">
        <f>$D2717*($E2717*AH$321+$F2717*AH$324)</f>
        <v/>
      </c>
      <c r="AI2717" s="35">
        <f>$D2717*($E2717*AI$321+$F2717*AI$324)</f>
        <v/>
      </c>
      <c r="AJ2717" s="35">
        <f>$D2717*($E2717*AJ$321+$F2717*AJ$324)</f>
        <v/>
      </c>
      <c r="AK2717" s="35">
        <f>$D2717*($E2717*AK$321+$F2717*AK$324)</f>
        <v/>
      </c>
      <c r="AL2717" s="35">
        <f>$D2717*($E2717*AL$321+$F2717*AL$324)</f>
        <v/>
      </c>
      <c r="AM2717" s="35">
        <f>$D2717*($E2717*AM$321+$F2717*AM$324)</f>
        <v/>
      </c>
      <c r="AN2717" s="35">
        <f>$D2717*($E2717*AN$321+$F2717*AN$324)</f>
        <v/>
      </c>
      <c r="AO2717" s="35">
        <f>$D2717*($E2717*AO$321+$F2717*AO$324)</f>
        <v/>
      </c>
      <c r="AP2717" s="35">
        <f>$D2717*($E2717*AP$321+$F2717*AP$324)</f>
        <v/>
      </c>
      <c r="AQ2717" s="35">
        <f>$D2717*($E2717*AQ$321+$F2717*AQ$324)</f>
        <v/>
      </c>
      <c r="AR2717" s="35">
        <f>$D2717*($E2717*AR$321+$F2717*AR$324)</f>
        <v/>
      </c>
      <c r="AS2717" s="35">
        <f>$D2717*($E2717*AS$321+$F2717*AS$324)</f>
        <v/>
      </c>
      <c r="AT2717" s="35">
        <f>$D2717*($E2717*AT$321+$F2717*AT$324)</f>
        <v/>
      </c>
      <c r="AU2717" s="35">
        <f>$D2717*($E2717*AU$321+$F2717*AU$324)</f>
        <v/>
      </c>
      <c r="AV2717" s="35">
        <f>$D2717*($E2717*AV$321+$F2717*AV$324)</f>
        <v/>
      </c>
      <c r="AW2717" s="35">
        <f>$D2717*($E2717*AW$321+$F2717*AW$324)</f>
        <v/>
      </c>
      <c r="AX2717" s="35">
        <f>$D2717*($E2717*AX$321+$F2717*AX$324)</f>
        <v/>
      </c>
      <c r="AY2717" s="35">
        <f>$D2717*($E2717*AY$321+$F2717*AY$324)</f>
        <v/>
      </c>
      <c r="AZ2717" s="35">
        <f>$D2717*($E2717*AZ$321+$F2717*AZ$324)</f>
        <v/>
      </c>
      <c r="BA2717" s="42">
        <f>XCARBON($D2717,$E2717,BA$321,$F2717,BA$324)</f>
        <v/>
      </c>
    </row>
    <row r="2718" hidden="1" outlineLevel="2">
      <c r="A2718" s="14" t="inlineStr">
        <is>
          <t>xcp</t>
        </is>
      </c>
      <c r="B2718" s="14" t="inlineStr">
        <is>
          <t>ker</t>
        </is>
      </c>
      <c r="C2718" s="14" t="inlineStr">
        <is>
          <t>cst</t>
        </is>
      </c>
      <c r="D2718" s="35">
        <f>INDEX(Inputs!$W$5:$W$132,MATCH($B2718&amp;"|"&amp;$C2718,Inputs!$A$5:$A$132,0))</f>
        <v/>
      </c>
      <c r="E2718" s="35">
        <f>INDEX(Inputs!$Z$5:$Z$132,MATCH($B2718&amp;"|"&amp;$C2718,Inputs!$A$5:$A$132,0))</f>
        <v/>
      </c>
      <c r="F2718" s="35">
        <f>INDEX(Inputs!$AA$5:$AA$132,MATCH($B2718&amp;"|"&amp;$C2718,Inputs!$A$5:$A$132,0))</f>
        <v/>
      </c>
      <c r="G2718" s="39" t="n"/>
      <c r="H2718" s="14">
        <f>INDEX(VarLab,MATCH($A2718,VarKey,0))&amp;INDEX(MemLab,MATCH($C2718&amp;"|"&amp;$B2718,MemKey,0))</f>
        <v/>
      </c>
      <c r="I2718" s="14">
        <f>INDEX(VarUnit,MATCH($A2718,VarKey,0))</f>
        <v/>
      </c>
      <c r="J2718" s="14">
        <f>INDEX(VarSrc,MATCH($A2718,VarKey,0))</f>
        <v/>
      </c>
      <c r="K2718" s="11">
        <f>CodePrefix&amp;$A2718&amp;IF($C2718="","","."&amp;$C2718&amp;"."&amp;$B2718)&amp;INDEX(VarEnd,MATCH($A2718,VarKey,0))&amp;K$5</f>
        <v/>
      </c>
      <c r="L2718" s="40">
        <f>$D2718*($E2718*L$321+$F2718*L$324)</f>
        <v/>
      </c>
      <c r="M2718" s="35">
        <f>$D2718*($E2718*M$321+$F2718*M$324)</f>
        <v/>
      </c>
      <c r="N2718" s="35">
        <f>$D2718*($E2718*N$321+$F2718*N$324)</f>
        <v/>
      </c>
      <c r="O2718" s="35">
        <f>$D2718*($E2718*O$321+$F2718*O$324)</f>
        <v/>
      </c>
      <c r="P2718" s="35">
        <f>$D2718*($E2718*P$321+$F2718*P$324)</f>
        <v/>
      </c>
      <c r="Q2718" s="35">
        <f>$D2718*($E2718*Q$321+$F2718*Q$324)</f>
        <v/>
      </c>
      <c r="R2718" s="35">
        <f>$D2718*($E2718*R$321+$F2718*R$324)</f>
        <v/>
      </c>
      <c r="S2718" s="35">
        <f>$D2718*($E2718*S$321+$F2718*S$324)</f>
        <v/>
      </c>
      <c r="T2718" s="35">
        <f>$D2718*($E2718*T$321+$F2718*T$324)</f>
        <v/>
      </c>
      <c r="U2718" s="35">
        <f>$D2718*($E2718*U$321+$F2718*U$324)</f>
        <v/>
      </c>
      <c r="V2718" s="35">
        <f>$D2718*($E2718*V$321+$F2718*V$324)</f>
        <v/>
      </c>
      <c r="W2718" s="35">
        <f>$D2718*($E2718*W$321+$F2718*W$324)</f>
        <v/>
      </c>
      <c r="X2718" s="35">
        <f>$D2718*($E2718*X$321+$F2718*X$324)</f>
        <v/>
      </c>
      <c r="Y2718" s="35">
        <f>$D2718*($E2718*Y$321+$F2718*Y$324)</f>
        <v/>
      </c>
      <c r="Z2718" s="35">
        <f>$D2718*($E2718*Z$321+$F2718*Z$324)</f>
        <v/>
      </c>
      <c r="AA2718" s="35">
        <f>$D2718*($E2718*AA$321+$F2718*AA$324)</f>
        <v/>
      </c>
      <c r="AB2718" s="35">
        <f>$D2718*($E2718*AB$321+$F2718*AB$324)</f>
        <v/>
      </c>
      <c r="AC2718" s="35">
        <f>$D2718*($E2718*AC$321+$F2718*AC$324)</f>
        <v/>
      </c>
      <c r="AD2718" s="35">
        <f>$D2718*($E2718*AD$321+$F2718*AD$324)</f>
        <v/>
      </c>
      <c r="AE2718" s="42">
        <f>XCARBON($D2718,$E2718,AE$321,$F2718,AE$324)</f>
        <v/>
      </c>
      <c r="AG2718" s="11">
        <f>CodePrefix&amp;$A2718&amp;IF($C2718="","","."&amp;$C2718&amp;"."&amp;$B2718)&amp;INDEX(VarEnd,MATCH($A2718,VarKey,0))&amp;AG$5</f>
        <v/>
      </c>
      <c r="AH2718" s="40">
        <f>$D2718*($E2718*AH$321+$F2718*AH$324)</f>
        <v/>
      </c>
      <c r="AI2718" s="35">
        <f>$D2718*($E2718*AI$321+$F2718*AI$324)</f>
        <v/>
      </c>
      <c r="AJ2718" s="35">
        <f>$D2718*($E2718*AJ$321+$F2718*AJ$324)</f>
        <v/>
      </c>
      <c r="AK2718" s="35">
        <f>$D2718*($E2718*AK$321+$F2718*AK$324)</f>
        <v/>
      </c>
      <c r="AL2718" s="35">
        <f>$D2718*($E2718*AL$321+$F2718*AL$324)</f>
        <v/>
      </c>
      <c r="AM2718" s="35">
        <f>$D2718*($E2718*AM$321+$F2718*AM$324)</f>
        <v/>
      </c>
      <c r="AN2718" s="35">
        <f>$D2718*($E2718*AN$321+$F2718*AN$324)</f>
        <v/>
      </c>
      <c r="AO2718" s="35">
        <f>$D2718*($E2718*AO$321+$F2718*AO$324)</f>
        <v/>
      </c>
      <c r="AP2718" s="35">
        <f>$D2718*($E2718*AP$321+$F2718*AP$324)</f>
        <v/>
      </c>
      <c r="AQ2718" s="35">
        <f>$D2718*($E2718*AQ$321+$F2718*AQ$324)</f>
        <v/>
      </c>
      <c r="AR2718" s="35">
        <f>$D2718*($E2718*AR$321+$F2718*AR$324)</f>
        <v/>
      </c>
      <c r="AS2718" s="35">
        <f>$D2718*($E2718*AS$321+$F2718*AS$324)</f>
        <v/>
      </c>
      <c r="AT2718" s="35">
        <f>$D2718*($E2718*AT$321+$F2718*AT$324)</f>
        <v/>
      </c>
      <c r="AU2718" s="35">
        <f>$D2718*($E2718*AU$321+$F2718*AU$324)</f>
        <v/>
      </c>
      <c r="AV2718" s="35">
        <f>$D2718*($E2718*AV$321+$F2718*AV$324)</f>
        <v/>
      </c>
      <c r="AW2718" s="35">
        <f>$D2718*($E2718*AW$321+$F2718*AW$324)</f>
        <v/>
      </c>
      <c r="AX2718" s="35">
        <f>$D2718*($E2718*AX$321+$F2718*AX$324)</f>
        <v/>
      </c>
      <c r="AY2718" s="35">
        <f>$D2718*($E2718*AY$321+$F2718*AY$324)</f>
        <v/>
      </c>
      <c r="AZ2718" s="35">
        <f>$D2718*($E2718*AZ$321+$F2718*AZ$324)</f>
        <v/>
      </c>
      <c r="BA2718" s="42">
        <f>XCARBON($D2718,$E2718,BA$321,$F2718,BA$324)</f>
        <v/>
      </c>
    </row>
    <row r="2719" hidden="1" outlineLevel="2">
      <c r="A2719" s="14" t="inlineStr">
        <is>
          <t>xcp</t>
        </is>
      </c>
      <c r="B2719" s="14" t="inlineStr">
        <is>
          <t>oop</t>
        </is>
      </c>
      <c r="C2719" s="14" t="inlineStr">
        <is>
          <t>cst</t>
        </is>
      </c>
      <c r="D2719" s="35">
        <f>INDEX(Inputs!$W$5:$W$132,MATCH($B2719&amp;"|"&amp;$C2719,Inputs!$A$5:$A$132,0))</f>
        <v/>
      </c>
      <c r="E2719" s="35">
        <f>INDEX(Inputs!$Z$5:$Z$132,MATCH($B2719&amp;"|"&amp;$C2719,Inputs!$A$5:$A$132,0))</f>
        <v/>
      </c>
      <c r="F2719" s="35">
        <f>INDEX(Inputs!$AA$5:$AA$132,MATCH($B2719&amp;"|"&amp;$C2719,Inputs!$A$5:$A$132,0))</f>
        <v/>
      </c>
      <c r="G2719" s="39" t="n"/>
      <c r="H2719" s="14">
        <f>INDEX(VarLab,MATCH($A2719,VarKey,0))&amp;INDEX(MemLab,MATCH($C2719&amp;"|"&amp;$B2719,MemKey,0))</f>
        <v/>
      </c>
      <c r="I2719" s="14">
        <f>INDEX(VarUnit,MATCH($A2719,VarKey,0))</f>
        <v/>
      </c>
      <c r="J2719" s="14">
        <f>INDEX(VarSrc,MATCH($A2719,VarKey,0))</f>
        <v/>
      </c>
      <c r="K2719" s="11">
        <f>CodePrefix&amp;$A2719&amp;IF($C2719="","","."&amp;$C2719&amp;"."&amp;$B2719)&amp;INDEX(VarEnd,MATCH($A2719,VarKey,0))&amp;K$5</f>
        <v/>
      </c>
      <c r="L2719" s="40">
        <f>$D2719*($E2719*L$321+$F2719*L$324)</f>
        <v/>
      </c>
      <c r="M2719" s="35">
        <f>$D2719*($E2719*M$321+$F2719*M$324)</f>
        <v/>
      </c>
      <c r="N2719" s="35">
        <f>$D2719*($E2719*N$321+$F2719*N$324)</f>
        <v/>
      </c>
      <c r="O2719" s="35">
        <f>$D2719*($E2719*O$321+$F2719*O$324)</f>
        <v/>
      </c>
      <c r="P2719" s="35">
        <f>$D2719*($E2719*P$321+$F2719*P$324)</f>
        <v/>
      </c>
      <c r="Q2719" s="35">
        <f>$D2719*($E2719*Q$321+$F2719*Q$324)</f>
        <v/>
      </c>
      <c r="R2719" s="35">
        <f>$D2719*($E2719*R$321+$F2719*R$324)</f>
        <v/>
      </c>
      <c r="S2719" s="35">
        <f>$D2719*($E2719*S$321+$F2719*S$324)</f>
        <v/>
      </c>
      <c r="T2719" s="35">
        <f>$D2719*($E2719*T$321+$F2719*T$324)</f>
        <v/>
      </c>
      <c r="U2719" s="35">
        <f>$D2719*($E2719*U$321+$F2719*U$324)</f>
        <v/>
      </c>
      <c r="V2719" s="35">
        <f>$D2719*($E2719*V$321+$F2719*V$324)</f>
        <v/>
      </c>
      <c r="W2719" s="35">
        <f>$D2719*($E2719*W$321+$F2719*W$324)</f>
        <v/>
      </c>
      <c r="X2719" s="35">
        <f>$D2719*($E2719*X$321+$F2719*X$324)</f>
        <v/>
      </c>
      <c r="Y2719" s="35">
        <f>$D2719*($E2719*Y$321+$F2719*Y$324)</f>
        <v/>
      </c>
      <c r="Z2719" s="35">
        <f>$D2719*($E2719*Z$321+$F2719*Z$324)</f>
        <v/>
      </c>
      <c r="AA2719" s="35">
        <f>$D2719*($E2719*AA$321+$F2719*AA$324)</f>
        <v/>
      </c>
      <c r="AB2719" s="35">
        <f>$D2719*($E2719*AB$321+$F2719*AB$324)</f>
        <v/>
      </c>
      <c r="AC2719" s="35">
        <f>$D2719*($E2719*AC$321+$F2719*AC$324)</f>
        <v/>
      </c>
      <c r="AD2719" s="35">
        <f>$D2719*($E2719*AD$321+$F2719*AD$324)</f>
        <v/>
      </c>
      <c r="AE2719" s="42">
        <f>XCARBON($D2719,$E2719,AE$321,$F2719,AE$324)</f>
        <v/>
      </c>
      <c r="AG2719" s="11">
        <f>CodePrefix&amp;$A2719&amp;IF($C2719="","","."&amp;$C2719&amp;"."&amp;$B2719)&amp;INDEX(VarEnd,MATCH($A2719,VarKey,0))&amp;AG$5</f>
        <v/>
      </c>
      <c r="AH2719" s="40">
        <f>$D2719*($E2719*AH$321+$F2719*AH$324)</f>
        <v/>
      </c>
      <c r="AI2719" s="35">
        <f>$D2719*($E2719*AI$321+$F2719*AI$324)</f>
        <v/>
      </c>
      <c r="AJ2719" s="35">
        <f>$D2719*($E2719*AJ$321+$F2719*AJ$324)</f>
        <v/>
      </c>
      <c r="AK2719" s="35">
        <f>$D2719*($E2719*AK$321+$F2719*AK$324)</f>
        <v/>
      </c>
      <c r="AL2719" s="35">
        <f>$D2719*($E2719*AL$321+$F2719*AL$324)</f>
        <v/>
      </c>
      <c r="AM2719" s="35">
        <f>$D2719*($E2719*AM$321+$F2719*AM$324)</f>
        <v/>
      </c>
      <c r="AN2719" s="35">
        <f>$D2719*($E2719*AN$321+$F2719*AN$324)</f>
        <v/>
      </c>
      <c r="AO2719" s="35">
        <f>$D2719*($E2719*AO$321+$F2719*AO$324)</f>
        <v/>
      </c>
      <c r="AP2719" s="35">
        <f>$D2719*($E2719*AP$321+$F2719*AP$324)</f>
        <v/>
      </c>
      <c r="AQ2719" s="35">
        <f>$D2719*($E2719*AQ$321+$F2719*AQ$324)</f>
        <v/>
      </c>
      <c r="AR2719" s="35">
        <f>$D2719*($E2719*AR$321+$F2719*AR$324)</f>
        <v/>
      </c>
      <c r="AS2719" s="35">
        <f>$D2719*($E2719*AS$321+$F2719*AS$324)</f>
        <v/>
      </c>
      <c r="AT2719" s="35">
        <f>$D2719*($E2719*AT$321+$F2719*AT$324)</f>
        <v/>
      </c>
      <c r="AU2719" s="35">
        <f>$D2719*($E2719*AU$321+$F2719*AU$324)</f>
        <v/>
      </c>
      <c r="AV2719" s="35">
        <f>$D2719*($E2719*AV$321+$F2719*AV$324)</f>
        <v/>
      </c>
      <c r="AW2719" s="35">
        <f>$D2719*($E2719*AW$321+$F2719*AW$324)</f>
        <v/>
      </c>
      <c r="AX2719" s="35">
        <f>$D2719*($E2719*AX$321+$F2719*AX$324)</f>
        <v/>
      </c>
      <c r="AY2719" s="35">
        <f>$D2719*($E2719*AY$321+$F2719*AY$324)</f>
        <v/>
      </c>
      <c r="AZ2719" s="35">
        <f>$D2719*($E2719*AZ$321+$F2719*AZ$324)</f>
        <v/>
      </c>
      <c r="BA2719" s="42">
        <f>XCARBON($D2719,$E2719,BA$321,$F2719,BA$324)</f>
        <v/>
      </c>
    </row>
    <row r="2720" hidden="1" outlineLevel="2">
      <c r="A2720" s="14" t="inlineStr">
        <is>
          <t>xcp</t>
        </is>
      </c>
      <c r="B2720" s="14" t="inlineStr">
        <is>
          <t>bio</t>
        </is>
      </c>
      <c r="C2720" s="14" t="inlineStr">
        <is>
          <t>cst</t>
        </is>
      </c>
      <c r="D2720" s="35">
        <f>INDEX(Inputs!$W$5:$W$132,MATCH($B2720&amp;"|"&amp;$C2720,Inputs!$A$5:$A$132,0))</f>
        <v/>
      </c>
      <c r="E2720" s="35">
        <f>INDEX(Inputs!$Z$5:$Z$132,MATCH($B2720&amp;"|"&amp;$C2720,Inputs!$A$5:$A$132,0))</f>
        <v/>
      </c>
      <c r="F2720" s="35">
        <f>INDEX(Inputs!$AA$5:$AA$132,MATCH($B2720&amp;"|"&amp;$C2720,Inputs!$A$5:$A$132,0))</f>
        <v/>
      </c>
      <c r="G2720" s="39" t="n"/>
      <c r="H2720" s="14">
        <f>INDEX(VarLab,MATCH($A2720,VarKey,0))&amp;INDEX(MemLab,MATCH($C2720&amp;"|"&amp;$B2720,MemKey,0))</f>
        <v/>
      </c>
      <c r="I2720" s="14">
        <f>INDEX(VarUnit,MATCH($A2720,VarKey,0))</f>
        <v/>
      </c>
      <c r="J2720" s="14">
        <f>INDEX(VarSrc,MATCH($A2720,VarKey,0))</f>
        <v/>
      </c>
      <c r="K2720" s="11">
        <f>CodePrefix&amp;$A2720&amp;IF($C2720="","","."&amp;$C2720&amp;"."&amp;$B2720)&amp;INDEX(VarEnd,MATCH($A2720,VarKey,0))&amp;K$5</f>
        <v/>
      </c>
      <c r="L2720" s="40">
        <f>$D2720*($E2720*L$321+$F2720*L$324)</f>
        <v/>
      </c>
      <c r="M2720" s="35">
        <f>$D2720*($E2720*M$321+$F2720*M$324)</f>
        <v/>
      </c>
      <c r="N2720" s="35">
        <f>$D2720*($E2720*N$321+$F2720*N$324)</f>
        <v/>
      </c>
      <c r="O2720" s="35">
        <f>$D2720*($E2720*O$321+$F2720*O$324)</f>
        <v/>
      </c>
      <c r="P2720" s="35">
        <f>$D2720*($E2720*P$321+$F2720*P$324)</f>
        <v/>
      </c>
      <c r="Q2720" s="35">
        <f>$D2720*($E2720*Q$321+$F2720*Q$324)</f>
        <v/>
      </c>
      <c r="R2720" s="35">
        <f>$D2720*($E2720*R$321+$F2720*R$324)</f>
        <v/>
      </c>
      <c r="S2720" s="35">
        <f>$D2720*($E2720*S$321+$F2720*S$324)</f>
        <v/>
      </c>
      <c r="T2720" s="35">
        <f>$D2720*($E2720*T$321+$F2720*T$324)</f>
        <v/>
      </c>
      <c r="U2720" s="35">
        <f>$D2720*($E2720*U$321+$F2720*U$324)</f>
        <v/>
      </c>
      <c r="V2720" s="35">
        <f>$D2720*($E2720*V$321+$F2720*V$324)</f>
        <v/>
      </c>
      <c r="W2720" s="35">
        <f>$D2720*($E2720*W$321+$F2720*W$324)</f>
        <v/>
      </c>
      <c r="X2720" s="35">
        <f>$D2720*($E2720*X$321+$F2720*X$324)</f>
        <v/>
      </c>
      <c r="Y2720" s="35">
        <f>$D2720*($E2720*Y$321+$F2720*Y$324)</f>
        <v/>
      </c>
      <c r="Z2720" s="35">
        <f>$D2720*($E2720*Z$321+$F2720*Z$324)</f>
        <v/>
      </c>
      <c r="AA2720" s="35">
        <f>$D2720*($E2720*AA$321+$F2720*AA$324)</f>
        <v/>
      </c>
      <c r="AB2720" s="35">
        <f>$D2720*($E2720*AB$321+$F2720*AB$324)</f>
        <v/>
      </c>
      <c r="AC2720" s="35">
        <f>$D2720*($E2720*AC$321+$F2720*AC$324)</f>
        <v/>
      </c>
      <c r="AD2720" s="35">
        <f>$D2720*($E2720*AD$321+$F2720*AD$324)</f>
        <v/>
      </c>
      <c r="AE2720" s="42">
        <f>XCARBON($D2720,$E2720,AE$321,$F2720,AE$324)</f>
        <v/>
      </c>
      <c r="AG2720" s="11">
        <f>CodePrefix&amp;$A2720&amp;IF($C2720="","","."&amp;$C2720&amp;"."&amp;$B2720)&amp;INDEX(VarEnd,MATCH($A2720,VarKey,0))&amp;AG$5</f>
        <v/>
      </c>
      <c r="AH2720" s="40">
        <f>$D2720*($E2720*AH$321+$F2720*AH$324)</f>
        <v/>
      </c>
      <c r="AI2720" s="35">
        <f>$D2720*($E2720*AI$321+$F2720*AI$324)</f>
        <v/>
      </c>
      <c r="AJ2720" s="35">
        <f>$D2720*($E2720*AJ$321+$F2720*AJ$324)</f>
        <v/>
      </c>
      <c r="AK2720" s="35">
        <f>$D2720*($E2720*AK$321+$F2720*AK$324)</f>
        <v/>
      </c>
      <c r="AL2720" s="35">
        <f>$D2720*($E2720*AL$321+$F2720*AL$324)</f>
        <v/>
      </c>
      <c r="AM2720" s="35">
        <f>$D2720*($E2720*AM$321+$F2720*AM$324)</f>
        <v/>
      </c>
      <c r="AN2720" s="35">
        <f>$D2720*($E2720*AN$321+$F2720*AN$324)</f>
        <v/>
      </c>
      <c r="AO2720" s="35">
        <f>$D2720*($E2720*AO$321+$F2720*AO$324)</f>
        <v/>
      </c>
      <c r="AP2720" s="35">
        <f>$D2720*($E2720*AP$321+$F2720*AP$324)</f>
        <v/>
      </c>
      <c r="AQ2720" s="35">
        <f>$D2720*($E2720*AQ$321+$F2720*AQ$324)</f>
        <v/>
      </c>
      <c r="AR2720" s="35">
        <f>$D2720*($E2720*AR$321+$F2720*AR$324)</f>
        <v/>
      </c>
      <c r="AS2720" s="35">
        <f>$D2720*($E2720*AS$321+$F2720*AS$324)</f>
        <v/>
      </c>
      <c r="AT2720" s="35">
        <f>$D2720*($E2720*AT$321+$F2720*AT$324)</f>
        <v/>
      </c>
      <c r="AU2720" s="35">
        <f>$D2720*($E2720*AU$321+$F2720*AU$324)</f>
        <v/>
      </c>
      <c r="AV2720" s="35">
        <f>$D2720*($E2720*AV$321+$F2720*AV$324)</f>
        <v/>
      </c>
      <c r="AW2720" s="35">
        <f>$D2720*($E2720*AW$321+$F2720*AW$324)</f>
        <v/>
      </c>
      <c r="AX2720" s="35">
        <f>$D2720*($E2720*AX$321+$F2720*AX$324)</f>
        <v/>
      </c>
      <c r="AY2720" s="35">
        <f>$D2720*($E2720*AY$321+$F2720*AY$324)</f>
        <v/>
      </c>
      <c r="AZ2720" s="35">
        <f>$D2720*($E2720*AZ$321+$F2720*AZ$324)</f>
        <v/>
      </c>
      <c r="BA2720" s="42">
        <f>XCARBON($D2720,$E2720,BA$321,$F2720,BA$324)</f>
        <v/>
      </c>
    </row>
    <row r="2721" hidden="1" outlineLevel="2"/>
    <row r="2722" hidden="1" outlineLevel="2">
      <c r="A2722" s="14" t="inlineStr">
        <is>
          <t>xcpd</t>
        </is>
      </c>
      <c r="B2722" s="14" t="inlineStr">
        <is>
          <t>coa</t>
        </is>
      </c>
      <c r="C2722" s="14" t="inlineStr">
        <is>
          <t>cst</t>
        </is>
      </c>
      <c r="D2722" s="35">
        <f>INDEX(Inputs!$W$5:$W$132,MATCH($B2722&amp;"|"&amp;$C2722,Inputs!$A$5:$A$132,0))</f>
        <v/>
      </c>
      <c r="E2722" s="35">
        <f>INDEX(Inputs!$Z$5:$Z$132,MATCH($B2722&amp;"|"&amp;$C2722,Inputs!$A$5:$A$132,0))</f>
        <v/>
      </c>
      <c r="F2722" s="35">
        <f>INDEX(Inputs!$AA$5:$AA$132,MATCH($B2722&amp;"|"&amp;$C2722,Inputs!$A$5:$A$132,0))</f>
        <v/>
      </c>
      <c r="G2722" s="39" t="n"/>
      <c r="H2722" s="14">
        <f>INDEX(VarLab,MATCH($A2722,VarKey,0))&amp;INDEX(MemLab,MATCH($C2722&amp;"|"&amp;$B2722,MemKey,0))</f>
        <v/>
      </c>
      <c r="I2722" s="14">
        <f>INDEX(VarUnit,MATCH($A2722,VarKey,0))</f>
        <v/>
      </c>
      <c r="J2722" s="14">
        <f>INDEX(VarSrc,MATCH($A2722,VarKey,0))</f>
        <v/>
      </c>
      <c r="K2722" s="11">
        <f>CodePrefix&amp;$A2722&amp;IF($C2722="","","."&amp;$C2722&amp;"."&amp;$B2722)&amp;INDEX(VarEnd,MATCH($A2722,VarKey,0))&amp;K$5</f>
        <v/>
      </c>
      <c r="L2722" s="40">
        <f>$D2722*($E2722*(L$321-L$322)+$F2722*(L$324-L$325))</f>
        <v/>
      </c>
      <c r="M2722" s="35">
        <f>$D2722*($E2722*(M$321-M$322)+$F2722*(M$324-M$325))</f>
        <v/>
      </c>
      <c r="N2722" s="35">
        <f>$D2722*($E2722*(N$321-N$322)+$F2722*(N$324-N$325))</f>
        <v/>
      </c>
      <c r="O2722" s="35">
        <f>$D2722*($E2722*(O$321-O$322)+$F2722*(O$324-O$325))</f>
        <v/>
      </c>
      <c r="P2722" s="35">
        <f>$D2722*($E2722*(P$321-P$322)+$F2722*(P$324-P$325))</f>
        <v/>
      </c>
      <c r="Q2722" s="35">
        <f>$D2722*($E2722*(Q$321-Q$322)+$F2722*(Q$324-Q$325))</f>
        <v/>
      </c>
      <c r="R2722" s="35">
        <f>$D2722*($E2722*(R$321-R$322)+$F2722*(R$324-R$325))</f>
        <v/>
      </c>
      <c r="S2722" s="35">
        <f>$D2722*($E2722*(S$321-S$322)+$F2722*(S$324-S$325))</f>
        <v/>
      </c>
      <c r="T2722" s="35">
        <f>$D2722*($E2722*(T$321-T$322)+$F2722*(T$324-T$325))</f>
        <v/>
      </c>
      <c r="U2722" s="35">
        <f>$D2722*($E2722*(U$321-U$322)+$F2722*(U$324-U$325))</f>
        <v/>
      </c>
      <c r="V2722" s="35">
        <f>$D2722*($E2722*(V$321-V$322)+$F2722*(V$324-V$325))</f>
        <v/>
      </c>
      <c r="W2722" s="35">
        <f>$D2722*($E2722*(W$321-W$322)+$F2722*(W$324-W$325))</f>
        <v/>
      </c>
      <c r="X2722" s="35">
        <f>$D2722*($E2722*(X$321-X$322)+$F2722*(X$324-X$325))</f>
        <v/>
      </c>
      <c r="Y2722" s="35">
        <f>$D2722*($E2722*(Y$321-Y$322)+$F2722*(Y$324-Y$325))</f>
        <v/>
      </c>
      <c r="Z2722" s="35">
        <f>$D2722*($E2722*(Z$321-Z$322)+$F2722*(Z$324-Z$325))</f>
        <v/>
      </c>
      <c r="AA2722" s="35">
        <f>$D2722*($E2722*(AA$321-AA$322)+$F2722*(AA$324-AA$325))</f>
        <v/>
      </c>
      <c r="AB2722" s="35">
        <f>$D2722*($E2722*(AB$321-AB$322)+$F2722*(AB$324-AB$325))</f>
        <v/>
      </c>
      <c r="AC2722" s="35">
        <f>$D2722*($E2722*(AC$321-AC$322)+$F2722*(AC$324-AC$325))</f>
        <v/>
      </c>
      <c r="AD2722" s="35">
        <f>$D2722*($E2722*(AD$321-AD$322)+$F2722*(AD$324-AD$325))</f>
        <v/>
      </c>
      <c r="AE2722" s="42">
        <f>XCARBON($D2722,$E2722,(AE$321-AE$322),$F2722,(AE$324-AE$325))</f>
        <v/>
      </c>
      <c r="AG2722" s="11">
        <f>CodePrefix&amp;$A2722&amp;IF($C2722="","","."&amp;$C2722&amp;"."&amp;$B2722)&amp;INDEX(VarEnd,MATCH($A2722,VarKey,0))&amp;AG$5</f>
        <v/>
      </c>
      <c r="AH2722" s="40">
        <f>$D2722*($E2722*(AH$321-AH$322)+$F2722*(AH$324-AH$325))</f>
        <v/>
      </c>
      <c r="AI2722" s="35">
        <f>$D2722*($E2722*(AI$321-AI$322)+$F2722*(AI$324-AI$325))</f>
        <v/>
      </c>
      <c r="AJ2722" s="35">
        <f>$D2722*($E2722*(AJ$321-AJ$322)+$F2722*(AJ$324-AJ$325))</f>
        <v/>
      </c>
      <c r="AK2722" s="35">
        <f>$D2722*($E2722*(AK$321-AK$322)+$F2722*(AK$324-AK$325))</f>
        <v/>
      </c>
      <c r="AL2722" s="35">
        <f>$D2722*($E2722*(AL$321-AL$322)+$F2722*(AL$324-AL$325))</f>
        <v/>
      </c>
      <c r="AM2722" s="35">
        <f>$D2722*($E2722*(AM$321-AM$322)+$F2722*(AM$324-AM$325))</f>
        <v/>
      </c>
      <c r="AN2722" s="35">
        <f>$D2722*($E2722*(AN$321-AN$322)+$F2722*(AN$324-AN$325))</f>
        <v/>
      </c>
      <c r="AO2722" s="35">
        <f>$D2722*($E2722*(AO$321-AO$322)+$F2722*(AO$324-AO$325))</f>
        <v/>
      </c>
      <c r="AP2722" s="35">
        <f>$D2722*($E2722*(AP$321-AP$322)+$F2722*(AP$324-AP$325))</f>
        <v/>
      </c>
      <c r="AQ2722" s="35">
        <f>$D2722*($E2722*(AQ$321-AQ$322)+$F2722*(AQ$324-AQ$325))</f>
        <v/>
      </c>
      <c r="AR2722" s="35">
        <f>$D2722*($E2722*(AR$321-AR$322)+$F2722*(AR$324-AR$325))</f>
        <v/>
      </c>
      <c r="AS2722" s="35">
        <f>$D2722*($E2722*(AS$321-AS$322)+$F2722*(AS$324-AS$325))</f>
        <v/>
      </c>
      <c r="AT2722" s="35">
        <f>$D2722*($E2722*(AT$321-AT$322)+$F2722*(AT$324-AT$325))</f>
        <v/>
      </c>
      <c r="AU2722" s="35">
        <f>$D2722*($E2722*(AU$321-AU$322)+$F2722*(AU$324-AU$325))</f>
        <v/>
      </c>
      <c r="AV2722" s="35">
        <f>$D2722*($E2722*(AV$321-AV$322)+$F2722*(AV$324-AV$325))</f>
        <v/>
      </c>
      <c r="AW2722" s="35">
        <f>$D2722*($E2722*(AW$321-AW$322)+$F2722*(AW$324-AW$325))</f>
        <v/>
      </c>
      <c r="AX2722" s="35">
        <f>$D2722*($E2722*(AX$321-AX$322)+$F2722*(AX$324-AX$325))</f>
        <v/>
      </c>
      <c r="AY2722" s="35">
        <f>$D2722*($E2722*(AY$321-AY$322)+$F2722*(AY$324-AY$325))</f>
        <v/>
      </c>
      <c r="AZ2722" s="35">
        <f>$D2722*($E2722*(AZ$321-AZ$322)+$F2722*(AZ$324-AZ$325))</f>
        <v/>
      </c>
      <c r="BA2722" s="42">
        <f>XCARBON($D2722,$E2722,(BA$321-BA$322),$F2722,(BA$324-BA$325))</f>
        <v/>
      </c>
    </row>
    <row r="2723" hidden="1" outlineLevel="2">
      <c r="A2723" s="14" t="inlineStr">
        <is>
          <t>xcpd</t>
        </is>
      </c>
      <c r="B2723" s="14" t="inlineStr">
        <is>
          <t>nga</t>
        </is>
      </c>
      <c r="C2723" s="14" t="inlineStr">
        <is>
          <t>cst</t>
        </is>
      </c>
      <c r="D2723" s="35">
        <f>INDEX(Inputs!$W$5:$W$132,MATCH($B2723&amp;"|"&amp;$C2723,Inputs!$A$5:$A$132,0))</f>
        <v/>
      </c>
      <c r="E2723" s="35">
        <f>INDEX(Inputs!$Z$5:$Z$132,MATCH($B2723&amp;"|"&amp;$C2723,Inputs!$A$5:$A$132,0))</f>
        <v/>
      </c>
      <c r="F2723" s="35">
        <f>INDEX(Inputs!$AA$5:$AA$132,MATCH($B2723&amp;"|"&amp;$C2723,Inputs!$A$5:$A$132,0))</f>
        <v/>
      </c>
      <c r="G2723" s="39" t="n"/>
      <c r="H2723" s="14">
        <f>INDEX(VarLab,MATCH($A2723,VarKey,0))&amp;INDEX(MemLab,MATCH($C2723&amp;"|"&amp;$B2723,MemKey,0))</f>
        <v/>
      </c>
      <c r="I2723" s="14">
        <f>INDEX(VarUnit,MATCH($A2723,VarKey,0))</f>
        <v/>
      </c>
      <c r="J2723" s="14">
        <f>INDEX(VarSrc,MATCH($A2723,VarKey,0))</f>
        <v/>
      </c>
      <c r="K2723" s="11">
        <f>CodePrefix&amp;$A2723&amp;IF($C2723="","","."&amp;$C2723&amp;"."&amp;$B2723)&amp;INDEX(VarEnd,MATCH($A2723,VarKey,0))&amp;K$5</f>
        <v/>
      </c>
      <c r="L2723" s="40">
        <f>$D2723*($E2723*(L$321-L$322)+$F2723*(L$324-L$325))</f>
        <v/>
      </c>
      <c r="M2723" s="35">
        <f>$D2723*($E2723*(M$321-M$322)+$F2723*(M$324-M$325))</f>
        <v/>
      </c>
      <c r="N2723" s="35">
        <f>$D2723*($E2723*(N$321-N$322)+$F2723*(N$324-N$325))</f>
        <v/>
      </c>
      <c r="O2723" s="35">
        <f>$D2723*($E2723*(O$321-O$322)+$F2723*(O$324-O$325))</f>
        <v/>
      </c>
      <c r="P2723" s="35">
        <f>$D2723*($E2723*(P$321-P$322)+$F2723*(P$324-P$325))</f>
        <v/>
      </c>
      <c r="Q2723" s="35">
        <f>$D2723*($E2723*(Q$321-Q$322)+$F2723*(Q$324-Q$325))</f>
        <v/>
      </c>
      <c r="R2723" s="35">
        <f>$D2723*($E2723*(R$321-R$322)+$F2723*(R$324-R$325))</f>
        <v/>
      </c>
      <c r="S2723" s="35">
        <f>$D2723*($E2723*(S$321-S$322)+$F2723*(S$324-S$325))</f>
        <v/>
      </c>
      <c r="T2723" s="35">
        <f>$D2723*($E2723*(T$321-T$322)+$F2723*(T$324-T$325))</f>
        <v/>
      </c>
      <c r="U2723" s="35">
        <f>$D2723*($E2723*(U$321-U$322)+$F2723*(U$324-U$325))</f>
        <v/>
      </c>
      <c r="V2723" s="35">
        <f>$D2723*($E2723*(V$321-V$322)+$F2723*(V$324-V$325))</f>
        <v/>
      </c>
      <c r="W2723" s="35">
        <f>$D2723*($E2723*(W$321-W$322)+$F2723*(W$324-W$325))</f>
        <v/>
      </c>
      <c r="X2723" s="35">
        <f>$D2723*($E2723*(X$321-X$322)+$F2723*(X$324-X$325))</f>
        <v/>
      </c>
      <c r="Y2723" s="35">
        <f>$D2723*($E2723*(Y$321-Y$322)+$F2723*(Y$324-Y$325))</f>
        <v/>
      </c>
      <c r="Z2723" s="35">
        <f>$D2723*($E2723*(Z$321-Z$322)+$F2723*(Z$324-Z$325))</f>
        <v/>
      </c>
      <c r="AA2723" s="35">
        <f>$D2723*($E2723*(AA$321-AA$322)+$F2723*(AA$324-AA$325))</f>
        <v/>
      </c>
      <c r="AB2723" s="35">
        <f>$D2723*($E2723*(AB$321-AB$322)+$F2723*(AB$324-AB$325))</f>
        <v/>
      </c>
      <c r="AC2723" s="35">
        <f>$D2723*($E2723*(AC$321-AC$322)+$F2723*(AC$324-AC$325))</f>
        <v/>
      </c>
      <c r="AD2723" s="35">
        <f>$D2723*($E2723*(AD$321-AD$322)+$F2723*(AD$324-AD$325))</f>
        <v/>
      </c>
      <c r="AE2723" s="42">
        <f>XCARBON($D2723,$E2723,(AE$321-AE$322),$F2723,(AE$324-AE$325))</f>
        <v/>
      </c>
      <c r="AG2723" s="11">
        <f>CodePrefix&amp;$A2723&amp;IF($C2723="","","."&amp;$C2723&amp;"."&amp;$B2723)&amp;INDEX(VarEnd,MATCH($A2723,VarKey,0))&amp;AG$5</f>
        <v/>
      </c>
      <c r="AH2723" s="40">
        <f>$D2723*($E2723*(AH$321-AH$322)+$F2723*(AH$324-AH$325))</f>
        <v/>
      </c>
      <c r="AI2723" s="35">
        <f>$D2723*($E2723*(AI$321-AI$322)+$F2723*(AI$324-AI$325))</f>
        <v/>
      </c>
      <c r="AJ2723" s="35">
        <f>$D2723*($E2723*(AJ$321-AJ$322)+$F2723*(AJ$324-AJ$325))</f>
        <v/>
      </c>
      <c r="AK2723" s="35">
        <f>$D2723*($E2723*(AK$321-AK$322)+$F2723*(AK$324-AK$325))</f>
        <v/>
      </c>
      <c r="AL2723" s="35">
        <f>$D2723*($E2723*(AL$321-AL$322)+$F2723*(AL$324-AL$325))</f>
        <v/>
      </c>
      <c r="AM2723" s="35">
        <f>$D2723*($E2723*(AM$321-AM$322)+$F2723*(AM$324-AM$325))</f>
        <v/>
      </c>
      <c r="AN2723" s="35">
        <f>$D2723*($E2723*(AN$321-AN$322)+$F2723*(AN$324-AN$325))</f>
        <v/>
      </c>
      <c r="AO2723" s="35">
        <f>$D2723*($E2723*(AO$321-AO$322)+$F2723*(AO$324-AO$325))</f>
        <v/>
      </c>
      <c r="AP2723" s="35">
        <f>$D2723*($E2723*(AP$321-AP$322)+$F2723*(AP$324-AP$325))</f>
        <v/>
      </c>
      <c r="AQ2723" s="35">
        <f>$D2723*($E2723*(AQ$321-AQ$322)+$F2723*(AQ$324-AQ$325))</f>
        <v/>
      </c>
      <c r="AR2723" s="35">
        <f>$D2723*($E2723*(AR$321-AR$322)+$F2723*(AR$324-AR$325))</f>
        <v/>
      </c>
      <c r="AS2723" s="35">
        <f>$D2723*($E2723*(AS$321-AS$322)+$F2723*(AS$324-AS$325))</f>
        <v/>
      </c>
      <c r="AT2723" s="35">
        <f>$D2723*($E2723*(AT$321-AT$322)+$F2723*(AT$324-AT$325))</f>
        <v/>
      </c>
      <c r="AU2723" s="35">
        <f>$D2723*($E2723*(AU$321-AU$322)+$F2723*(AU$324-AU$325))</f>
        <v/>
      </c>
      <c r="AV2723" s="35">
        <f>$D2723*($E2723*(AV$321-AV$322)+$F2723*(AV$324-AV$325))</f>
        <v/>
      </c>
      <c r="AW2723" s="35">
        <f>$D2723*($E2723*(AW$321-AW$322)+$F2723*(AW$324-AW$325))</f>
        <v/>
      </c>
      <c r="AX2723" s="35">
        <f>$D2723*($E2723*(AX$321-AX$322)+$F2723*(AX$324-AX$325))</f>
        <v/>
      </c>
      <c r="AY2723" s="35">
        <f>$D2723*($E2723*(AY$321-AY$322)+$F2723*(AY$324-AY$325))</f>
        <v/>
      </c>
      <c r="AZ2723" s="35">
        <f>$D2723*($E2723*(AZ$321-AZ$322)+$F2723*(AZ$324-AZ$325))</f>
        <v/>
      </c>
      <c r="BA2723" s="42">
        <f>XCARBON($D2723,$E2723,(BA$321-BA$322),$F2723,(BA$324-BA$325))</f>
        <v/>
      </c>
    </row>
    <row r="2724" hidden="1" outlineLevel="2">
      <c r="A2724" s="14" t="inlineStr">
        <is>
          <t>xcpd</t>
        </is>
      </c>
      <c r="B2724" s="14" t="inlineStr">
        <is>
          <t>gso</t>
        </is>
      </c>
      <c r="C2724" s="14" t="inlineStr">
        <is>
          <t>cst</t>
        </is>
      </c>
      <c r="D2724" s="35">
        <f>INDEX(Inputs!$W$5:$W$132,MATCH($B2724&amp;"|"&amp;$C2724,Inputs!$A$5:$A$132,0))</f>
        <v/>
      </c>
      <c r="E2724" s="35">
        <f>INDEX(Inputs!$Z$5:$Z$132,MATCH($B2724&amp;"|"&amp;$C2724,Inputs!$A$5:$A$132,0))</f>
        <v/>
      </c>
      <c r="F2724" s="35">
        <f>INDEX(Inputs!$AA$5:$AA$132,MATCH($B2724&amp;"|"&amp;$C2724,Inputs!$A$5:$A$132,0))</f>
        <v/>
      </c>
      <c r="G2724" s="39" t="n"/>
      <c r="H2724" s="14">
        <f>INDEX(VarLab,MATCH($A2724,VarKey,0))&amp;INDEX(MemLab,MATCH($C2724&amp;"|"&amp;$B2724,MemKey,0))</f>
        <v/>
      </c>
      <c r="I2724" s="14">
        <f>INDEX(VarUnit,MATCH($A2724,VarKey,0))</f>
        <v/>
      </c>
      <c r="J2724" s="14">
        <f>INDEX(VarSrc,MATCH($A2724,VarKey,0))</f>
        <v/>
      </c>
      <c r="K2724" s="11">
        <f>CodePrefix&amp;$A2724&amp;IF($C2724="","","."&amp;$C2724&amp;"."&amp;$B2724)&amp;INDEX(VarEnd,MATCH($A2724,VarKey,0))&amp;K$5</f>
        <v/>
      </c>
      <c r="L2724" s="40">
        <f>$D2724*($E2724*(L$321-L$322)+$F2724*(L$324-L$325))</f>
        <v/>
      </c>
      <c r="M2724" s="35">
        <f>$D2724*($E2724*(M$321-M$322)+$F2724*(M$324-M$325))</f>
        <v/>
      </c>
      <c r="N2724" s="35">
        <f>$D2724*($E2724*(N$321-N$322)+$F2724*(N$324-N$325))</f>
        <v/>
      </c>
      <c r="O2724" s="35">
        <f>$D2724*($E2724*(O$321-O$322)+$F2724*(O$324-O$325))</f>
        <v/>
      </c>
      <c r="P2724" s="35">
        <f>$D2724*($E2724*(P$321-P$322)+$F2724*(P$324-P$325))</f>
        <v/>
      </c>
      <c r="Q2724" s="35">
        <f>$D2724*($E2724*(Q$321-Q$322)+$F2724*(Q$324-Q$325))</f>
        <v/>
      </c>
      <c r="R2724" s="35">
        <f>$D2724*($E2724*(R$321-R$322)+$F2724*(R$324-R$325))</f>
        <v/>
      </c>
      <c r="S2724" s="35">
        <f>$D2724*($E2724*(S$321-S$322)+$F2724*(S$324-S$325))</f>
        <v/>
      </c>
      <c r="T2724" s="35">
        <f>$D2724*($E2724*(T$321-T$322)+$F2724*(T$324-T$325))</f>
        <v/>
      </c>
      <c r="U2724" s="35">
        <f>$D2724*($E2724*(U$321-U$322)+$F2724*(U$324-U$325))</f>
        <v/>
      </c>
      <c r="V2724" s="35">
        <f>$D2724*($E2724*(V$321-V$322)+$F2724*(V$324-V$325))</f>
        <v/>
      </c>
      <c r="W2724" s="35">
        <f>$D2724*($E2724*(W$321-W$322)+$F2724*(W$324-W$325))</f>
        <v/>
      </c>
      <c r="X2724" s="35">
        <f>$D2724*($E2724*(X$321-X$322)+$F2724*(X$324-X$325))</f>
        <v/>
      </c>
      <c r="Y2724" s="35">
        <f>$D2724*($E2724*(Y$321-Y$322)+$F2724*(Y$324-Y$325))</f>
        <v/>
      </c>
      <c r="Z2724" s="35">
        <f>$D2724*($E2724*(Z$321-Z$322)+$F2724*(Z$324-Z$325))</f>
        <v/>
      </c>
      <c r="AA2724" s="35">
        <f>$D2724*($E2724*(AA$321-AA$322)+$F2724*(AA$324-AA$325))</f>
        <v/>
      </c>
      <c r="AB2724" s="35">
        <f>$D2724*($E2724*(AB$321-AB$322)+$F2724*(AB$324-AB$325))</f>
        <v/>
      </c>
      <c r="AC2724" s="35">
        <f>$D2724*($E2724*(AC$321-AC$322)+$F2724*(AC$324-AC$325))</f>
        <v/>
      </c>
      <c r="AD2724" s="35">
        <f>$D2724*($E2724*(AD$321-AD$322)+$F2724*(AD$324-AD$325))</f>
        <v/>
      </c>
      <c r="AE2724" s="42">
        <f>XCARBON($D2724,$E2724,(AE$321-AE$322),$F2724,(AE$324-AE$325))</f>
        <v/>
      </c>
      <c r="AG2724" s="11">
        <f>CodePrefix&amp;$A2724&amp;IF($C2724="","","."&amp;$C2724&amp;"."&amp;$B2724)&amp;INDEX(VarEnd,MATCH($A2724,VarKey,0))&amp;AG$5</f>
        <v/>
      </c>
      <c r="AH2724" s="40">
        <f>$D2724*($E2724*(AH$321-AH$322)+$F2724*(AH$324-AH$325))</f>
        <v/>
      </c>
      <c r="AI2724" s="35">
        <f>$D2724*($E2724*(AI$321-AI$322)+$F2724*(AI$324-AI$325))</f>
        <v/>
      </c>
      <c r="AJ2724" s="35">
        <f>$D2724*($E2724*(AJ$321-AJ$322)+$F2724*(AJ$324-AJ$325))</f>
        <v/>
      </c>
      <c r="AK2724" s="35">
        <f>$D2724*($E2724*(AK$321-AK$322)+$F2724*(AK$324-AK$325))</f>
        <v/>
      </c>
      <c r="AL2724" s="35">
        <f>$D2724*($E2724*(AL$321-AL$322)+$F2724*(AL$324-AL$325))</f>
        <v/>
      </c>
      <c r="AM2724" s="35">
        <f>$D2724*($E2724*(AM$321-AM$322)+$F2724*(AM$324-AM$325))</f>
        <v/>
      </c>
      <c r="AN2724" s="35">
        <f>$D2724*($E2724*(AN$321-AN$322)+$F2724*(AN$324-AN$325))</f>
        <v/>
      </c>
      <c r="AO2724" s="35">
        <f>$D2724*($E2724*(AO$321-AO$322)+$F2724*(AO$324-AO$325))</f>
        <v/>
      </c>
      <c r="AP2724" s="35">
        <f>$D2724*($E2724*(AP$321-AP$322)+$F2724*(AP$324-AP$325))</f>
        <v/>
      </c>
      <c r="AQ2724" s="35">
        <f>$D2724*($E2724*(AQ$321-AQ$322)+$F2724*(AQ$324-AQ$325))</f>
        <v/>
      </c>
      <c r="AR2724" s="35">
        <f>$D2724*($E2724*(AR$321-AR$322)+$F2724*(AR$324-AR$325))</f>
        <v/>
      </c>
      <c r="AS2724" s="35">
        <f>$D2724*($E2724*(AS$321-AS$322)+$F2724*(AS$324-AS$325))</f>
        <v/>
      </c>
      <c r="AT2724" s="35">
        <f>$D2724*($E2724*(AT$321-AT$322)+$F2724*(AT$324-AT$325))</f>
        <v/>
      </c>
      <c r="AU2724" s="35">
        <f>$D2724*($E2724*(AU$321-AU$322)+$F2724*(AU$324-AU$325))</f>
        <v/>
      </c>
      <c r="AV2724" s="35">
        <f>$D2724*($E2724*(AV$321-AV$322)+$F2724*(AV$324-AV$325))</f>
        <v/>
      </c>
      <c r="AW2724" s="35">
        <f>$D2724*($E2724*(AW$321-AW$322)+$F2724*(AW$324-AW$325))</f>
        <v/>
      </c>
      <c r="AX2724" s="35">
        <f>$D2724*($E2724*(AX$321-AX$322)+$F2724*(AX$324-AX$325))</f>
        <v/>
      </c>
      <c r="AY2724" s="35">
        <f>$D2724*($E2724*(AY$321-AY$322)+$F2724*(AY$324-AY$325))</f>
        <v/>
      </c>
      <c r="AZ2724" s="35">
        <f>$D2724*($E2724*(AZ$321-AZ$322)+$F2724*(AZ$324-AZ$325))</f>
        <v/>
      </c>
      <c r="BA2724" s="42">
        <f>XCARBON($D2724,$E2724,(BA$321-BA$322),$F2724,(BA$324-BA$325))</f>
        <v/>
      </c>
    </row>
    <row r="2725" hidden="1" outlineLevel="2">
      <c r="A2725" s="14" t="inlineStr">
        <is>
          <t>xcpd</t>
        </is>
      </c>
      <c r="B2725" s="14" t="inlineStr">
        <is>
          <t>die</t>
        </is>
      </c>
      <c r="C2725" s="14" t="inlineStr">
        <is>
          <t>cst</t>
        </is>
      </c>
      <c r="D2725" s="35">
        <f>INDEX(Inputs!$W$5:$W$132,MATCH($B2725&amp;"|"&amp;$C2725,Inputs!$A$5:$A$132,0))</f>
        <v/>
      </c>
      <c r="E2725" s="35">
        <f>INDEX(Inputs!$Z$5:$Z$132,MATCH($B2725&amp;"|"&amp;$C2725,Inputs!$A$5:$A$132,0))</f>
        <v/>
      </c>
      <c r="F2725" s="35">
        <f>INDEX(Inputs!$AA$5:$AA$132,MATCH($B2725&amp;"|"&amp;$C2725,Inputs!$A$5:$A$132,0))</f>
        <v/>
      </c>
      <c r="G2725" s="39" t="n"/>
      <c r="H2725" s="14">
        <f>INDEX(VarLab,MATCH($A2725,VarKey,0))&amp;INDEX(MemLab,MATCH($C2725&amp;"|"&amp;$B2725,MemKey,0))</f>
        <v/>
      </c>
      <c r="I2725" s="14">
        <f>INDEX(VarUnit,MATCH($A2725,VarKey,0))</f>
        <v/>
      </c>
      <c r="J2725" s="14">
        <f>INDEX(VarSrc,MATCH($A2725,VarKey,0))</f>
        <v/>
      </c>
      <c r="K2725" s="11">
        <f>CodePrefix&amp;$A2725&amp;IF($C2725="","","."&amp;$C2725&amp;"."&amp;$B2725)&amp;INDEX(VarEnd,MATCH($A2725,VarKey,0))&amp;K$5</f>
        <v/>
      </c>
      <c r="L2725" s="40">
        <f>$D2725*($E2725*(L$321-L$322)+$F2725*(L$324-L$325))</f>
        <v/>
      </c>
      <c r="M2725" s="35">
        <f>$D2725*($E2725*(M$321-M$322)+$F2725*(M$324-M$325))</f>
        <v/>
      </c>
      <c r="N2725" s="35">
        <f>$D2725*($E2725*(N$321-N$322)+$F2725*(N$324-N$325))</f>
        <v/>
      </c>
      <c r="O2725" s="35">
        <f>$D2725*($E2725*(O$321-O$322)+$F2725*(O$324-O$325))</f>
        <v/>
      </c>
      <c r="P2725" s="35">
        <f>$D2725*($E2725*(P$321-P$322)+$F2725*(P$324-P$325))</f>
        <v/>
      </c>
      <c r="Q2725" s="35">
        <f>$D2725*($E2725*(Q$321-Q$322)+$F2725*(Q$324-Q$325))</f>
        <v/>
      </c>
      <c r="R2725" s="35">
        <f>$D2725*($E2725*(R$321-R$322)+$F2725*(R$324-R$325))</f>
        <v/>
      </c>
      <c r="S2725" s="35">
        <f>$D2725*($E2725*(S$321-S$322)+$F2725*(S$324-S$325))</f>
        <v/>
      </c>
      <c r="T2725" s="35">
        <f>$D2725*($E2725*(T$321-T$322)+$F2725*(T$324-T$325))</f>
        <v/>
      </c>
      <c r="U2725" s="35">
        <f>$D2725*($E2725*(U$321-U$322)+$F2725*(U$324-U$325))</f>
        <v/>
      </c>
      <c r="V2725" s="35">
        <f>$D2725*($E2725*(V$321-V$322)+$F2725*(V$324-V$325))</f>
        <v/>
      </c>
      <c r="W2725" s="35">
        <f>$D2725*($E2725*(W$321-W$322)+$F2725*(W$324-W$325))</f>
        <v/>
      </c>
      <c r="X2725" s="35">
        <f>$D2725*($E2725*(X$321-X$322)+$F2725*(X$324-X$325))</f>
        <v/>
      </c>
      <c r="Y2725" s="35">
        <f>$D2725*($E2725*(Y$321-Y$322)+$F2725*(Y$324-Y$325))</f>
        <v/>
      </c>
      <c r="Z2725" s="35">
        <f>$D2725*($E2725*(Z$321-Z$322)+$F2725*(Z$324-Z$325))</f>
        <v/>
      </c>
      <c r="AA2725" s="35">
        <f>$D2725*($E2725*(AA$321-AA$322)+$F2725*(AA$324-AA$325))</f>
        <v/>
      </c>
      <c r="AB2725" s="35">
        <f>$D2725*($E2725*(AB$321-AB$322)+$F2725*(AB$324-AB$325))</f>
        <v/>
      </c>
      <c r="AC2725" s="35">
        <f>$D2725*($E2725*(AC$321-AC$322)+$F2725*(AC$324-AC$325))</f>
        <v/>
      </c>
      <c r="AD2725" s="35">
        <f>$D2725*($E2725*(AD$321-AD$322)+$F2725*(AD$324-AD$325))</f>
        <v/>
      </c>
      <c r="AE2725" s="42">
        <f>XCARBON($D2725,$E2725,(AE$321-AE$322),$F2725,(AE$324-AE$325))</f>
        <v/>
      </c>
      <c r="AG2725" s="11">
        <f>CodePrefix&amp;$A2725&amp;IF($C2725="","","."&amp;$C2725&amp;"."&amp;$B2725)&amp;INDEX(VarEnd,MATCH($A2725,VarKey,0))&amp;AG$5</f>
        <v/>
      </c>
      <c r="AH2725" s="40">
        <f>$D2725*($E2725*(AH$321-AH$322)+$F2725*(AH$324-AH$325))</f>
        <v/>
      </c>
      <c r="AI2725" s="35">
        <f>$D2725*($E2725*(AI$321-AI$322)+$F2725*(AI$324-AI$325))</f>
        <v/>
      </c>
      <c r="AJ2725" s="35">
        <f>$D2725*($E2725*(AJ$321-AJ$322)+$F2725*(AJ$324-AJ$325))</f>
        <v/>
      </c>
      <c r="AK2725" s="35">
        <f>$D2725*($E2725*(AK$321-AK$322)+$F2725*(AK$324-AK$325))</f>
        <v/>
      </c>
      <c r="AL2725" s="35">
        <f>$D2725*($E2725*(AL$321-AL$322)+$F2725*(AL$324-AL$325))</f>
        <v/>
      </c>
      <c r="AM2725" s="35">
        <f>$D2725*($E2725*(AM$321-AM$322)+$F2725*(AM$324-AM$325))</f>
        <v/>
      </c>
      <c r="AN2725" s="35">
        <f>$D2725*($E2725*(AN$321-AN$322)+$F2725*(AN$324-AN$325))</f>
        <v/>
      </c>
      <c r="AO2725" s="35">
        <f>$D2725*($E2725*(AO$321-AO$322)+$F2725*(AO$324-AO$325))</f>
        <v/>
      </c>
      <c r="AP2725" s="35">
        <f>$D2725*($E2725*(AP$321-AP$322)+$F2725*(AP$324-AP$325))</f>
        <v/>
      </c>
      <c r="AQ2725" s="35">
        <f>$D2725*($E2725*(AQ$321-AQ$322)+$F2725*(AQ$324-AQ$325))</f>
        <v/>
      </c>
      <c r="AR2725" s="35">
        <f>$D2725*($E2725*(AR$321-AR$322)+$F2725*(AR$324-AR$325))</f>
        <v/>
      </c>
      <c r="AS2725" s="35">
        <f>$D2725*($E2725*(AS$321-AS$322)+$F2725*(AS$324-AS$325))</f>
        <v/>
      </c>
      <c r="AT2725" s="35">
        <f>$D2725*($E2725*(AT$321-AT$322)+$F2725*(AT$324-AT$325))</f>
        <v/>
      </c>
      <c r="AU2725" s="35">
        <f>$D2725*($E2725*(AU$321-AU$322)+$F2725*(AU$324-AU$325))</f>
        <v/>
      </c>
      <c r="AV2725" s="35">
        <f>$D2725*($E2725*(AV$321-AV$322)+$F2725*(AV$324-AV$325))</f>
        <v/>
      </c>
      <c r="AW2725" s="35">
        <f>$D2725*($E2725*(AW$321-AW$322)+$F2725*(AW$324-AW$325))</f>
        <v/>
      </c>
      <c r="AX2725" s="35">
        <f>$D2725*($E2725*(AX$321-AX$322)+$F2725*(AX$324-AX$325))</f>
        <v/>
      </c>
      <c r="AY2725" s="35">
        <f>$D2725*($E2725*(AY$321-AY$322)+$F2725*(AY$324-AY$325))</f>
        <v/>
      </c>
      <c r="AZ2725" s="35">
        <f>$D2725*($E2725*(AZ$321-AZ$322)+$F2725*(AZ$324-AZ$325))</f>
        <v/>
      </c>
      <c r="BA2725" s="42">
        <f>XCARBON($D2725,$E2725,(BA$321-BA$322),$F2725,(BA$324-BA$325))</f>
        <v/>
      </c>
    </row>
    <row r="2726" hidden="1" outlineLevel="2">
      <c r="A2726" s="14" t="inlineStr">
        <is>
          <t>xcpd</t>
        </is>
      </c>
      <c r="B2726" s="14" t="inlineStr">
        <is>
          <t>lpg</t>
        </is>
      </c>
      <c r="C2726" s="14" t="inlineStr">
        <is>
          <t>cst</t>
        </is>
      </c>
      <c r="D2726" s="35">
        <f>INDEX(Inputs!$W$5:$W$132,MATCH($B2726&amp;"|"&amp;$C2726,Inputs!$A$5:$A$132,0))</f>
        <v/>
      </c>
      <c r="E2726" s="35">
        <f>INDEX(Inputs!$Z$5:$Z$132,MATCH($B2726&amp;"|"&amp;$C2726,Inputs!$A$5:$A$132,0))</f>
        <v/>
      </c>
      <c r="F2726" s="35">
        <f>INDEX(Inputs!$AA$5:$AA$132,MATCH($B2726&amp;"|"&amp;$C2726,Inputs!$A$5:$A$132,0))</f>
        <v/>
      </c>
      <c r="G2726" s="39" t="n"/>
      <c r="H2726" s="14">
        <f>INDEX(VarLab,MATCH($A2726,VarKey,0))&amp;INDEX(MemLab,MATCH($C2726&amp;"|"&amp;$B2726,MemKey,0))</f>
        <v/>
      </c>
      <c r="I2726" s="14">
        <f>INDEX(VarUnit,MATCH($A2726,VarKey,0))</f>
        <v/>
      </c>
      <c r="J2726" s="14">
        <f>INDEX(VarSrc,MATCH($A2726,VarKey,0))</f>
        <v/>
      </c>
      <c r="K2726" s="11">
        <f>CodePrefix&amp;$A2726&amp;IF($C2726="","","."&amp;$C2726&amp;"."&amp;$B2726)&amp;INDEX(VarEnd,MATCH($A2726,VarKey,0))&amp;K$5</f>
        <v/>
      </c>
      <c r="L2726" s="40">
        <f>$D2726*($E2726*(L$321-L$322)+$F2726*(L$324-L$325))</f>
        <v/>
      </c>
      <c r="M2726" s="35">
        <f>$D2726*($E2726*(M$321-M$322)+$F2726*(M$324-M$325))</f>
        <v/>
      </c>
      <c r="N2726" s="35">
        <f>$D2726*($E2726*(N$321-N$322)+$F2726*(N$324-N$325))</f>
        <v/>
      </c>
      <c r="O2726" s="35">
        <f>$D2726*($E2726*(O$321-O$322)+$F2726*(O$324-O$325))</f>
        <v/>
      </c>
      <c r="P2726" s="35">
        <f>$D2726*($E2726*(P$321-P$322)+$F2726*(P$324-P$325))</f>
        <v/>
      </c>
      <c r="Q2726" s="35">
        <f>$D2726*($E2726*(Q$321-Q$322)+$F2726*(Q$324-Q$325))</f>
        <v/>
      </c>
      <c r="R2726" s="35">
        <f>$D2726*($E2726*(R$321-R$322)+$F2726*(R$324-R$325))</f>
        <v/>
      </c>
      <c r="S2726" s="35">
        <f>$D2726*($E2726*(S$321-S$322)+$F2726*(S$324-S$325))</f>
        <v/>
      </c>
      <c r="T2726" s="35">
        <f>$D2726*($E2726*(T$321-T$322)+$F2726*(T$324-T$325))</f>
        <v/>
      </c>
      <c r="U2726" s="35">
        <f>$D2726*($E2726*(U$321-U$322)+$F2726*(U$324-U$325))</f>
        <v/>
      </c>
      <c r="V2726" s="35">
        <f>$D2726*($E2726*(V$321-V$322)+$F2726*(V$324-V$325))</f>
        <v/>
      </c>
      <c r="W2726" s="35">
        <f>$D2726*($E2726*(W$321-W$322)+$F2726*(W$324-W$325))</f>
        <v/>
      </c>
      <c r="X2726" s="35">
        <f>$D2726*($E2726*(X$321-X$322)+$F2726*(X$324-X$325))</f>
        <v/>
      </c>
      <c r="Y2726" s="35">
        <f>$D2726*($E2726*(Y$321-Y$322)+$F2726*(Y$324-Y$325))</f>
        <v/>
      </c>
      <c r="Z2726" s="35">
        <f>$D2726*($E2726*(Z$321-Z$322)+$F2726*(Z$324-Z$325))</f>
        <v/>
      </c>
      <c r="AA2726" s="35">
        <f>$D2726*($E2726*(AA$321-AA$322)+$F2726*(AA$324-AA$325))</f>
        <v/>
      </c>
      <c r="AB2726" s="35">
        <f>$D2726*($E2726*(AB$321-AB$322)+$F2726*(AB$324-AB$325))</f>
        <v/>
      </c>
      <c r="AC2726" s="35">
        <f>$D2726*($E2726*(AC$321-AC$322)+$F2726*(AC$324-AC$325))</f>
        <v/>
      </c>
      <c r="AD2726" s="35">
        <f>$D2726*($E2726*(AD$321-AD$322)+$F2726*(AD$324-AD$325))</f>
        <v/>
      </c>
      <c r="AE2726" s="42">
        <f>XCARBON($D2726,$E2726,(AE$321-AE$322),$F2726,(AE$324-AE$325))</f>
        <v/>
      </c>
      <c r="AG2726" s="11">
        <f>CodePrefix&amp;$A2726&amp;IF($C2726="","","."&amp;$C2726&amp;"."&amp;$B2726)&amp;INDEX(VarEnd,MATCH($A2726,VarKey,0))&amp;AG$5</f>
        <v/>
      </c>
      <c r="AH2726" s="40">
        <f>$D2726*($E2726*(AH$321-AH$322)+$F2726*(AH$324-AH$325))</f>
        <v/>
      </c>
      <c r="AI2726" s="35">
        <f>$D2726*($E2726*(AI$321-AI$322)+$F2726*(AI$324-AI$325))</f>
        <v/>
      </c>
      <c r="AJ2726" s="35">
        <f>$D2726*($E2726*(AJ$321-AJ$322)+$F2726*(AJ$324-AJ$325))</f>
        <v/>
      </c>
      <c r="AK2726" s="35">
        <f>$D2726*($E2726*(AK$321-AK$322)+$F2726*(AK$324-AK$325))</f>
        <v/>
      </c>
      <c r="AL2726" s="35">
        <f>$D2726*($E2726*(AL$321-AL$322)+$F2726*(AL$324-AL$325))</f>
        <v/>
      </c>
      <c r="AM2726" s="35">
        <f>$D2726*($E2726*(AM$321-AM$322)+$F2726*(AM$324-AM$325))</f>
        <v/>
      </c>
      <c r="AN2726" s="35">
        <f>$D2726*($E2726*(AN$321-AN$322)+$F2726*(AN$324-AN$325))</f>
        <v/>
      </c>
      <c r="AO2726" s="35">
        <f>$D2726*($E2726*(AO$321-AO$322)+$F2726*(AO$324-AO$325))</f>
        <v/>
      </c>
      <c r="AP2726" s="35">
        <f>$D2726*($E2726*(AP$321-AP$322)+$F2726*(AP$324-AP$325))</f>
        <v/>
      </c>
      <c r="AQ2726" s="35">
        <f>$D2726*($E2726*(AQ$321-AQ$322)+$F2726*(AQ$324-AQ$325))</f>
        <v/>
      </c>
      <c r="AR2726" s="35">
        <f>$D2726*($E2726*(AR$321-AR$322)+$F2726*(AR$324-AR$325))</f>
        <v/>
      </c>
      <c r="AS2726" s="35">
        <f>$D2726*($E2726*(AS$321-AS$322)+$F2726*(AS$324-AS$325))</f>
        <v/>
      </c>
      <c r="AT2726" s="35">
        <f>$D2726*($E2726*(AT$321-AT$322)+$F2726*(AT$324-AT$325))</f>
        <v/>
      </c>
      <c r="AU2726" s="35">
        <f>$D2726*($E2726*(AU$321-AU$322)+$F2726*(AU$324-AU$325))</f>
        <v/>
      </c>
      <c r="AV2726" s="35">
        <f>$D2726*($E2726*(AV$321-AV$322)+$F2726*(AV$324-AV$325))</f>
        <v/>
      </c>
      <c r="AW2726" s="35">
        <f>$D2726*($E2726*(AW$321-AW$322)+$F2726*(AW$324-AW$325))</f>
        <v/>
      </c>
      <c r="AX2726" s="35">
        <f>$D2726*($E2726*(AX$321-AX$322)+$F2726*(AX$324-AX$325))</f>
        <v/>
      </c>
      <c r="AY2726" s="35">
        <f>$D2726*($E2726*(AY$321-AY$322)+$F2726*(AY$324-AY$325))</f>
        <v/>
      </c>
      <c r="AZ2726" s="35">
        <f>$D2726*($E2726*(AZ$321-AZ$322)+$F2726*(AZ$324-AZ$325))</f>
        <v/>
      </c>
      <c r="BA2726" s="42">
        <f>XCARBON($D2726,$E2726,(BA$321-BA$322),$F2726,(BA$324-BA$325))</f>
        <v/>
      </c>
    </row>
    <row r="2727" hidden="1" outlineLevel="2">
      <c r="A2727" s="14" t="inlineStr">
        <is>
          <t>xcpd</t>
        </is>
      </c>
      <c r="B2727" s="14" t="inlineStr">
        <is>
          <t>ker</t>
        </is>
      </c>
      <c r="C2727" s="14" t="inlineStr">
        <is>
          <t>cst</t>
        </is>
      </c>
      <c r="D2727" s="35">
        <f>INDEX(Inputs!$W$5:$W$132,MATCH($B2727&amp;"|"&amp;$C2727,Inputs!$A$5:$A$132,0))</f>
        <v/>
      </c>
      <c r="E2727" s="35">
        <f>INDEX(Inputs!$Z$5:$Z$132,MATCH($B2727&amp;"|"&amp;$C2727,Inputs!$A$5:$A$132,0))</f>
        <v/>
      </c>
      <c r="F2727" s="35">
        <f>INDEX(Inputs!$AA$5:$AA$132,MATCH($B2727&amp;"|"&amp;$C2727,Inputs!$A$5:$A$132,0))</f>
        <v/>
      </c>
      <c r="G2727" s="39" t="n"/>
      <c r="H2727" s="14">
        <f>INDEX(VarLab,MATCH($A2727,VarKey,0))&amp;INDEX(MemLab,MATCH($C2727&amp;"|"&amp;$B2727,MemKey,0))</f>
        <v/>
      </c>
      <c r="I2727" s="14">
        <f>INDEX(VarUnit,MATCH($A2727,VarKey,0))</f>
        <v/>
      </c>
      <c r="J2727" s="14">
        <f>INDEX(VarSrc,MATCH($A2727,VarKey,0))</f>
        <v/>
      </c>
      <c r="K2727" s="11">
        <f>CodePrefix&amp;$A2727&amp;IF($C2727="","","."&amp;$C2727&amp;"."&amp;$B2727)&amp;INDEX(VarEnd,MATCH($A2727,VarKey,0))&amp;K$5</f>
        <v/>
      </c>
      <c r="L2727" s="40">
        <f>$D2727*($E2727*(L$321-L$322)+$F2727*(L$324-L$325))</f>
        <v/>
      </c>
      <c r="M2727" s="35">
        <f>$D2727*($E2727*(M$321-M$322)+$F2727*(M$324-M$325))</f>
        <v/>
      </c>
      <c r="N2727" s="35">
        <f>$D2727*($E2727*(N$321-N$322)+$F2727*(N$324-N$325))</f>
        <v/>
      </c>
      <c r="O2727" s="35">
        <f>$D2727*($E2727*(O$321-O$322)+$F2727*(O$324-O$325))</f>
        <v/>
      </c>
      <c r="P2727" s="35">
        <f>$D2727*($E2727*(P$321-P$322)+$F2727*(P$324-P$325))</f>
        <v/>
      </c>
      <c r="Q2727" s="35">
        <f>$D2727*($E2727*(Q$321-Q$322)+$F2727*(Q$324-Q$325))</f>
        <v/>
      </c>
      <c r="R2727" s="35">
        <f>$D2727*($E2727*(R$321-R$322)+$F2727*(R$324-R$325))</f>
        <v/>
      </c>
      <c r="S2727" s="35">
        <f>$D2727*($E2727*(S$321-S$322)+$F2727*(S$324-S$325))</f>
        <v/>
      </c>
      <c r="T2727" s="35">
        <f>$D2727*($E2727*(T$321-T$322)+$F2727*(T$324-T$325))</f>
        <v/>
      </c>
      <c r="U2727" s="35">
        <f>$D2727*($E2727*(U$321-U$322)+$F2727*(U$324-U$325))</f>
        <v/>
      </c>
      <c r="V2727" s="35">
        <f>$D2727*($E2727*(V$321-V$322)+$F2727*(V$324-V$325))</f>
        <v/>
      </c>
      <c r="W2727" s="35">
        <f>$D2727*($E2727*(W$321-W$322)+$F2727*(W$324-W$325))</f>
        <v/>
      </c>
      <c r="X2727" s="35">
        <f>$D2727*($E2727*(X$321-X$322)+$F2727*(X$324-X$325))</f>
        <v/>
      </c>
      <c r="Y2727" s="35">
        <f>$D2727*($E2727*(Y$321-Y$322)+$F2727*(Y$324-Y$325))</f>
        <v/>
      </c>
      <c r="Z2727" s="35">
        <f>$D2727*($E2727*(Z$321-Z$322)+$F2727*(Z$324-Z$325))</f>
        <v/>
      </c>
      <c r="AA2727" s="35">
        <f>$D2727*($E2727*(AA$321-AA$322)+$F2727*(AA$324-AA$325))</f>
        <v/>
      </c>
      <c r="AB2727" s="35">
        <f>$D2727*($E2727*(AB$321-AB$322)+$F2727*(AB$324-AB$325))</f>
        <v/>
      </c>
      <c r="AC2727" s="35">
        <f>$D2727*($E2727*(AC$321-AC$322)+$F2727*(AC$324-AC$325))</f>
        <v/>
      </c>
      <c r="AD2727" s="35">
        <f>$D2727*($E2727*(AD$321-AD$322)+$F2727*(AD$324-AD$325))</f>
        <v/>
      </c>
      <c r="AE2727" s="42">
        <f>XCARBON($D2727,$E2727,(AE$321-AE$322),$F2727,(AE$324-AE$325))</f>
        <v/>
      </c>
      <c r="AG2727" s="11">
        <f>CodePrefix&amp;$A2727&amp;IF($C2727="","","."&amp;$C2727&amp;"."&amp;$B2727)&amp;INDEX(VarEnd,MATCH($A2727,VarKey,0))&amp;AG$5</f>
        <v/>
      </c>
      <c r="AH2727" s="40">
        <f>$D2727*($E2727*(AH$321-AH$322)+$F2727*(AH$324-AH$325))</f>
        <v/>
      </c>
      <c r="AI2727" s="35">
        <f>$D2727*($E2727*(AI$321-AI$322)+$F2727*(AI$324-AI$325))</f>
        <v/>
      </c>
      <c r="AJ2727" s="35">
        <f>$D2727*($E2727*(AJ$321-AJ$322)+$F2727*(AJ$324-AJ$325))</f>
        <v/>
      </c>
      <c r="AK2727" s="35">
        <f>$D2727*($E2727*(AK$321-AK$322)+$F2727*(AK$324-AK$325))</f>
        <v/>
      </c>
      <c r="AL2727" s="35">
        <f>$D2727*($E2727*(AL$321-AL$322)+$F2727*(AL$324-AL$325))</f>
        <v/>
      </c>
      <c r="AM2727" s="35">
        <f>$D2727*($E2727*(AM$321-AM$322)+$F2727*(AM$324-AM$325))</f>
        <v/>
      </c>
      <c r="AN2727" s="35">
        <f>$D2727*($E2727*(AN$321-AN$322)+$F2727*(AN$324-AN$325))</f>
        <v/>
      </c>
      <c r="AO2727" s="35">
        <f>$D2727*($E2727*(AO$321-AO$322)+$F2727*(AO$324-AO$325))</f>
        <v/>
      </c>
      <c r="AP2727" s="35">
        <f>$D2727*($E2727*(AP$321-AP$322)+$F2727*(AP$324-AP$325))</f>
        <v/>
      </c>
      <c r="AQ2727" s="35">
        <f>$D2727*($E2727*(AQ$321-AQ$322)+$F2727*(AQ$324-AQ$325))</f>
        <v/>
      </c>
      <c r="AR2727" s="35">
        <f>$D2727*($E2727*(AR$321-AR$322)+$F2727*(AR$324-AR$325))</f>
        <v/>
      </c>
      <c r="AS2727" s="35">
        <f>$D2727*($E2727*(AS$321-AS$322)+$F2727*(AS$324-AS$325))</f>
        <v/>
      </c>
      <c r="AT2727" s="35">
        <f>$D2727*($E2727*(AT$321-AT$322)+$F2727*(AT$324-AT$325))</f>
        <v/>
      </c>
      <c r="AU2727" s="35">
        <f>$D2727*($E2727*(AU$321-AU$322)+$F2727*(AU$324-AU$325))</f>
        <v/>
      </c>
      <c r="AV2727" s="35">
        <f>$D2727*($E2727*(AV$321-AV$322)+$F2727*(AV$324-AV$325))</f>
        <v/>
      </c>
      <c r="AW2727" s="35">
        <f>$D2727*($E2727*(AW$321-AW$322)+$F2727*(AW$324-AW$325))</f>
        <v/>
      </c>
      <c r="AX2727" s="35">
        <f>$D2727*($E2727*(AX$321-AX$322)+$F2727*(AX$324-AX$325))</f>
        <v/>
      </c>
      <c r="AY2727" s="35">
        <f>$D2727*($E2727*(AY$321-AY$322)+$F2727*(AY$324-AY$325))</f>
        <v/>
      </c>
      <c r="AZ2727" s="35">
        <f>$D2727*($E2727*(AZ$321-AZ$322)+$F2727*(AZ$324-AZ$325))</f>
        <v/>
      </c>
      <c r="BA2727" s="42">
        <f>XCARBON($D2727,$E2727,(BA$321-BA$322),$F2727,(BA$324-BA$325))</f>
        <v/>
      </c>
    </row>
    <row r="2728" hidden="1" outlineLevel="2">
      <c r="A2728" s="14" t="inlineStr">
        <is>
          <t>xcpd</t>
        </is>
      </c>
      <c r="B2728" s="14" t="inlineStr">
        <is>
          <t>oop</t>
        </is>
      </c>
      <c r="C2728" s="14" t="inlineStr">
        <is>
          <t>cst</t>
        </is>
      </c>
      <c r="D2728" s="35">
        <f>INDEX(Inputs!$W$5:$W$132,MATCH($B2728&amp;"|"&amp;$C2728,Inputs!$A$5:$A$132,0))</f>
        <v/>
      </c>
      <c r="E2728" s="35">
        <f>INDEX(Inputs!$Z$5:$Z$132,MATCH($B2728&amp;"|"&amp;$C2728,Inputs!$A$5:$A$132,0))</f>
        <v/>
      </c>
      <c r="F2728" s="35">
        <f>INDEX(Inputs!$AA$5:$AA$132,MATCH($B2728&amp;"|"&amp;$C2728,Inputs!$A$5:$A$132,0))</f>
        <v/>
      </c>
      <c r="G2728" s="39" t="n"/>
      <c r="H2728" s="14">
        <f>INDEX(VarLab,MATCH($A2728,VarKey,0))&amp;INDEX(MemLab,MATCH($C2728&amp;"|"&amp;$B2728,MemKey,0))</f>
        <v/>
      </c>
      <c r="I2728" s="14">
        <f>INDEX(VarUnit,MATCH($A2728,VarKey,0))</f>
        <v/>
      </c>
      <c r="J2728" s="14">
        <f>INDEX(VarSrc,MATCH($A2728,VarKey,0))</f>
        <v/>
      </c>
      <c r="K2728" s="11">
        <f>CodePrefix&amp;$A2728&amp;IF($C2728="","","."&amp;$C2728&amp;"."&amp;$B2728)&amp;INDEX(VarEnd,MATCH($A2728,VarKey,0))&amp;K$5</f>
        <v/>
      </c>
      <c r="L2728" s="40">
        <f>$D2728*($E2728*(L$321-L$322)+$F2728*(L$324-L$325))</f>
        <v/>
      </c>
      <c r="M2728" s="35">
        <f>$D2728*($E2728*(M$321-M$322)+$F2728*(M$324-M$325))</f>
        <v/>
      </c>
      <c r="N2728" s="35">
        <f>$D2728*($E2728*(N$321-N$322)+$F2728*(N$324-N$325))</f>
        <v/>
      </c>
      <c r="O2728" s="35">
        <f>$D2728*($E2728*(O$321-O$322)+$F2728*(O$324-O$325))</f>
        <v/>
      </c>
      <c r="P2728" s="35">
        <f>$D2728*($E2728*(P$321-P$322)+$F2728*(P$324-P$325))</f>
        <v/>
      </c>
      <c r="Q2728" s="35">
        <f>$D2728*($E2728*(Q$321-Q$322)+$F2728*(Q$324-Q$325))</f>
        <v/>
      </c>
      <c r="R2728" s="35">
        <f>$D2728*($E2728*(R$321-R$322)+$F2728*(R$324-R$325))</f>
        <v/>
      </c>
      <c r="S2728" s="35">
        <f>$D2728*($E2728*(S$321-S$322)+$F2728*(S$324-S$325))</f>
        <v/>
      </c>
      <c r="T2728" s="35">
        <f>$D2728*($E2728*(T$321-T$322)+$F2728*(T$324-T$325))</f>
        <v/>
      </c>
      <c r="U2728" s="35">
        <f>$D2728*($E2728*(U$321-U$322)+$F2728*(U$324-U$325))</f>
        <v/>
      </c>
      <c r="V2728" s="35">
        <f>$D2728*($E2728*(V$321-V$322)+$F2728*(V$324-V$325))</f>
        <v/>
      </c>
      <c r="W2728" s="35">
        <f>$D2728*($E2728*(W$321-W$322)+$F2728*(W$324-W$325))</f>
        <v/>
      </c>
      <c r="X2728" s="35">
        <f>$D2728*($E2728*(X$321-X$322)+$F2728*(X$324-X$325))</f>
        <v/>
      </c>
      <c r="Y2728" s="35">
        <f>$D2728*($E2728*(Y$321-Y$322)+$F2728*(Y$324-Y$325))</f>
        <v/>
      </c>
      <c r="Z2728" s="35">
        <f>$D2728*($E2728*(Z$321-Z$322)+$F2728*(Z$324-Z$325))</f>
        <v/>
      </c>
      <c r="AA2728" s="35">
        <f>$D2728*($E2728*(AA$321-AA$322)+$F2728*(AA$324-AA$325))</f>
        <v/>
      </c>
      <c r="AB2728" s="35">
        <f>$D2728*($E2728*(AB$321-AB$322)+$F2728*(AB$324-AB$325))</f>
        <v/>
      </c>
      <c r="AC2728" s="35">
        <f>$D2728*($E2728*(AC$321-AC$322)+$F2728*(AC$324-AC$325))</f>
        <v/>
      </c>
      <c r="AD2728" s="35">
        <f>$D2728*($E2728*(AD$321-AD$322)+$F2728*(AD$324-AD$325))</f>
        <v/>
      </c>
      <c r="AE2728" s="42">
        <f>XCARBON($D2728,$E2728,(AE$321-AE$322),$F2728,(AE$324-AE$325))</f>
        <v/>
      </c>
      <c r="AG2728" s="11">
        <f>CodePrefix&amp;$A2728&amp;IF($C2728="","","."&amp;$C2728&amp;"."&amp;$B2728)&amp;INDEX(VarEnd,MATCH($A2728,VarKey,0))&amp;AG$5</f>
        <v/>
      </c>
      <c r="AH2728" s="40">
        <f>$D2728*($E2728*(AH$321-AH$322)+$F2728*(AH$324-AH$325))</f>
        <v/>
      </c>
      <c r="AI2728" s="35">
        <f>$D2728*($E2728*(AI$321-AI$322)+$F2728*(AI$324-AI$325))</f>
        <v/>
      </c>
      <c r="AJ2728" s="35">
        <f>$D2728*($E2728*(AJ$321-AJ$322)+$F2728*(AJ$324-AJ$325))</f>
        <v/>
      </c>
      <c r="AK2728" s="35">
        <f>$D2728*($E2728*(AK$321-AK$322)+$F2728*(AK$324-AK$325))</f>
        <v/>
      </c>
      <c r="AL2728" s="35">
        <f>$D2728*($E2728*(AL$321-AL$322)+$F2728*(AL$324-AL$325))</f>
        <v/>
      </c>
      <c r="AM2728" s="35">
        <f>$D2728*($E2728*(AM$321-AM$322)+$F2728*(AM$324-AM$325))</f>
        <v/>
      </c>
      <c r="AN2728" s="35">
        <f>$D2728*($E2728*(AN$321-AN$322)+$F2728*(AN$324-AN$325))</f>
        <v/>
      </c>
      <c r="AO2728" s="35">
        <f>$D2728*($E2728*(AO$321-AO$322)+$F2728*(AO$324-AO$325))</f>
        <v/>
      </c>
      <c r="AP2728" s="35">
        <f>$D2728*($E2728*(AP$321-AP$322)+$F2728*(AP$324-AP$325))</f>
        <v/>
      </c>
      <c r="AQ2728" s="35">
        <f>$D2728*($E2728*(AQ$321-AQ$322)+$F2728*(AQ$324-AQ$325))</f>
        <v/>
      </c>
      <c r="AR2728" s="35">
        <f>$D2728*($E2728*(AR$321-AR$322)+$F2728*(AR$324-AR$325))</f>
        <v/>
      </c>
      <c r="AS2728" s="35">
        <f>$D2728*($E2728*(AS$321-AS$322)+$F2728*(AS$324-AS$325))</f>
        <v/>
      </c>
      <c r="AT2728" s="35">
        <f>$D2728*($E2728*(AT$321-AT$322)+$F2728*(AT$324-AT$325))</f>
        <v/>
      </c>
      <c r="AU2728" s="35">
        <f>$D2728*($E2728*(AU$321-AU$322)+$F2728*(AU$324-AU$325))</f>
        <v/>
      </c>
      <c r="AV2728" s="35">
        <f>$D2728*($E2728*(AV$321-AV$322)+$F2728*(AV$324-AV$325))</f>
        <v/>
      </c>
      <c r="AW2728" s="35">
        <f>$D2728*($E2728*(AW$321-AW$322)+$F2728*(AW$324-AW$325))</f>
        <v/>
      </c>
      <c r="AX2728" s="35">
        <f>$D2728*($E2728*(AX$321-AX$322)+$F2728*(AX$324-AX$325))</f>
        <v/>
      </c>
      <c r="AY2728" s="35">
        <f>$D2728*($E2728*(AY$321-AY$322)+$F2728*(AY$324-AY$325))</f>
        <v/>
      </c>
      <c r="AZ2728" s="35">
        <f>$D2728*($E2728*(AZ$321-AZ$322)+$F2728*(AZ$324-AZ$325))</f>
        <v/>
      </c>
      <c r="BA2728" s="42">
        <f>XCARBON($D2728,$E2728,(BA$321-BA$322),$F2728,(BA$324-BA$325))</f>
        <v/>
      </c>
    </row>
    <row r="2729" hidden="1" outlineLevel="2">
      <c r="A2729" s="14" t="inlineStr">
        <is>
          <t>xcpd</t>
        </is>
      </c>
      <c r="B2729" s="14" t="inlineStr">
        <is>
          <t>bio</t>
        </is>
      </c>
      <c r="C2729" s="14" t="inlineStr">
        <is>
          <t>cst</t>
        </is>
      </c>
      <c r="D2729" s="35">
        <f>INDEX(Inputs!$W$5:$W$132,MATCH($B2729&amp;"|"&amp;$C2729,Inputs!$A$5:$A$132,0))</f>
        <v/>
      </c>
      <c r="E2729" s="35">
        <f>INDEX(Inputs!$Z$5:$Z$132,MATCH($B2729&amp;"|"&amp;$C2729,Inputs!$A$5:$A$132,0))</f>
        <v/>
      </c>
      <c r="F2729" s="35">
        <f>INDEX(Inputs!$AA$5:$AA$132,MATCH($B2729&amp;"|"&amp;$C2729,Inputs!$A$5:$A$132,0))</f>
        <v/>
      </c>
      <c r="G2729" s="39" t="n"/>
      <c r="H2729" s="14">
        <f>INDEX(VarLab,MATCH($A2729,VarKey,0))&amp;INDEX(MemLab,MATCH($C2729&amp;"|"&amp;$B2729,MemKey,0))</f>
        <v/>
      </c>
      <c r="I2729" s="14">
        <f>INDEX(VarUnit,MATCH($A2729,VarKey,0))</f>
        <v/>
      </c>
      <c r="J2729" s="14">
        <f>INDEX(VarSrc,MATCH($A2729,VarKey,0))</f>
        <v/>
      </c>
      <c r="K2729" s="11">
        <f>CodePrefix&amp;$A2729&amp;IF($C2729="","","."&amp;$C2729&amp;"."&amp;$B2729)&amp;INDEX(VarEnd,MATCH($A2729,VarKey,0))&amp;K$5</f>
        <v/>
      </c>
      <c r="L2729" s="40">
        <f>$D2729*($E2729*(L$321-L$322)+$F2729*(L$324-L$325))</f>
        <v/>
      </c>
      <c r="M2729" s="35">
        <f>$D2729*($E2729*(M$321-M$322)+$F2729*(M$324-M$325))</f>
        <v/>
      </c>
      <c r="N2729" s="35">
        <f>$D2729*($E2729*(N$321-N$322)+$F2729*(N$324-N$325))</f>
        <v/>
      </c>
      <c r="O2729" s="35">
        <f>$D2729*($E2729*(O$321-O$322)+$F2729*(O$324-O$325))</f>
        <v/>
      </c>
      <c r="P2729" s="35">
        <f>$D2729*($E2729*(P$321-P$322)+$F2729*(P$324-P$325))</f>
        <v/>
      </c>
      <c r="Q2729" s="35">
        <f>$D2729*($E2729*(Q$321-Q$322)+$F2729*(Q$324-Q$325))</f>
        <v/>
      </c>
      <c r="R2729" s="35">
        <f>$D2729*($E2729*(R$321-R$322)+$F2729*(R$324-R$325))</f>
        <v/>
      </c>
      <c r="S2729" s="35">
        <f>$D2729*($E2729*(S$321-S$322)+$F2729*(S$324-S$325))</f>
        <v/>
      </c>
      <c r="T2729" s="35">
        <f>$D2729*($E2729*(T$321-T$322)+$F2729*(T$324-T$325))</f>
        <v/>
      </c>
      <c r="U2729" s="35">
        <f>$D2729*($E2729*(U$321-U$322)+$F2729*(U$324-U$325))</f>
        <v/>
      </c>
      <c r="V2729" s="35">
        <f>$D2729*($E2729*(V$321-V$322)+$F2729*(V$324-V$325))</f>
        <v/>
      </c>
      <c r="W2729" s="35">
        <f>$D2729*($E2729*(W$321-W$322)+$F2729*(W$324-W$325))</f>
        <v/>
      </c>
      <c r="X2729" s="35">
        <f>$D2729*($E2729*(X$321-X$322)+$F2729*(X$324-X$325))</f>
        <v/>
      </c>
      <c r="Y2729" s="35">
        <f>$D2729*($E2729*(Y$321-Y$322)+$F2729*(Y$324-Y$325))</f>
        <v/>
      </c>
      <c r="Z2729" s="35">
        <f>$D2729*($E2729*(Z$321-Z$322)+$F2729*(Z$324-Z$325))</f>
        <v/>
      </c>
      <c r="AA2729" s="35">
        <f>$D2729*($E2729*(AA$321-AA$322)+$F2729*(AA$324-AA$325))</f>
        <v/>
      </c>
      <c r="AB2729" s="35">
        <f>$D2729*($E2729*(AB$321-AB$322)+$F2729*(AB$324-AB$325))</f>
        <v/>
      </c>
      <c r="AC2729" s="35">
        <f>$D2729*($E2729*(AC$321-AC$322)+$F2729*(AC$324-AC$325))</f>
        <v/>
      </c>
      <c r="AD2729" s="35">
        <f>$D2729*($E2729*(AD$321-AD$322)+$F2729*(AD$324-AD$325))</f>
        <v/>
      </c>
      <c r="AE2729" s="42">
        <f>XCARBON($D2729,$E2729,(AE$321-AE$322),$F2729,(AE$324-AE$325))</f>
        <v/>
      </c>
      <c r="AG2729" s="11">
        <f>CodePrefix&amp;$A2729&amp;IF($C2729="","","."&amp;$C2729&amp;"."&amp;$B2729)&amp;INDEX(VarEnd,MATCH($A2729,VarKey,0))&amp;AG$5</f>
        <v/>
      </c>
      <c r="AH2729" s="40">
        <f>$D2729*($E2729*(AH$321-AH$322)+$F2729*(AH$324-AH$325))</f>
        <v/>
      </c>
      <c r="AI2729" s="35">
        <f>$D2729*($E2729*(AI$321-AI$322)+$F2729*(AI$324-AI$325))</f>
        <v/>
      </c>
      <c r="AJ2729" s="35">
        <f>$D2729*($E2729*(AJ$321-AJ$322)+$F2729*(AJ$324-AJ$325))</f>
        <v/>
      </c>
      <c r="AK2729" s="35">
        <f>$D2729*($E2729*(AK$321-AK$322)+$F2729*(AK$324-AK$325))</f>
        <v/>
      </c>
      <c r="AL2729" s="35">
        <f>$D2729*($E2729*(AL$321-AL$322)+$F2729*(AL$324-AL$325))</f>
        <v/>
      </c>
      <c r="AM2729" s="35">
        <f>$D2729*($E2729*(AM$321-AM$322)+$F2729*(AM$324-AM$325))</f>
        <v/>
      </c>
      <c r="AN2729" s="35">
        <f>$D2729*($E2729*(AN$321-AN$322)+$F2729*(AN$324-AN$325))</f>
        <v/>
      </c>
      <c r="AO2729" s="35">
        <f>$D2729*($E2729*(AO$321-AO$322)+$F2729*(AO$324-AO$325))</f>
        <v/>
      </c>
      <c r="AP2729" s="35">
        <f>$D2729*($E2729*(AP$321-AP$322)+$F2729*(AP$324-AP$325))</f>
        <v/>
      </c>
      <c r="AQ2729" s="35">
        <f>$D2729*($E2729*(AQ$321-AQ$322)+$F2729*(AQ$324-AQ$325))</f>
        <v/>
      </c>
      <c r="AR2729" s="35">
        <f>$D2729*($E2729*(AR$321-AR$322)+$F2729*(AR$324-AR$325))</f>
        <v/>
      </c>
      <c r="AS2729" s="35">
        <f>$D2729*($E2729*(AS$321-AS$322)+$F2729*(AS$324-AS$325))</f>
        <v/>
      </c>
      <c r="AT2729" s="35">
        <f>$D2729*($E2729*(AT$321-AT$322)+$F2729*(AT$324-AT$325))</f>
        <v/>
      </c>
      <c r="AU2729" s="35">
        <f>$D2729*($E2729*(AU$321-AU$322)+$F2729*(AU$324-AU$325))</f>
        <v/>
      </c>
      <c r="AV2729" s="35">
        <f>$D2729*($E2729*(AV$321-AV$322)+$F2729*(AV$324-AV$325))</f>
        <v/>
      </c>
      <c r="AW2729" s="35">
        <f>$D2729*($E2729*(AW$321-AW$322)+$F2729*(AW$324-AW$325))</f>
        <v/>
      </c>
      <c r="AX2729" s="35">
        <f>$D2729*($E2729*(AX$321-AX$322)+$F2729*(AX$324-AX$325))</f>
        <v/>
      </c>
      <c r="AY2729" s="35">
        <f>$D2729*($E2729*(AY$321-AY$322)+$F2729*(AY$324-AY$325))</f>
        <v/>
      </c>
      <c r="AZ2729" s="35">
        <f>$D2729*($E2729*(AZ$321-AZ$322)+$F2729*(AZ$324-AZ$325))</f>
        <v/>
      </c>
      <c r="BA2729" s="42">
        <f>XCARBON($D2729,$E2729,(BA$321-BA$322),$F2729,(BA$324-BA$325))</f>
        <v/>
      </c>
    </row>
    <row r="2730" hidden="1" outlineLevel="2"/>
    <row r="2731" hidden="1" outlineLevel="2">
      <c r="A2731" s="14" t="inlineStr">
        <is>
          <t>atp</t>
        </is>
      </c>
      <c r="B2731" s="14" t="inlineStr">
        <is>
          <t>coa</t>
        </is>
      </c>
      <c r="C2731" s="14" t="inlineStr">
        <is>
          <t>cst</t>
        </is>
      </c>
      <c r="D2731" s="35">
        <f>INDEX(Inputs!$U$5:$U$132,MATCH($B2731&amp;"|"&amp;$C2731,Inputs!$A$5:$A$132,0))</f>
        <v/>
      </c>
      <c r="E2731" s="35">
        <f>INDEX(Inputs!$V$5:$V$132,MATCH($B2731&amp;"|"&amp;$C2731,Inputs!$A$5:$A$132,0))</f>
        <v/>
      </c>
      <c r="F2731" s="39" t="n"/>
      <c r="G2731" s="39" t="n"/>
      <c r="H2731" s="14">
        <f>INDEX(VarLab,MATCH($A2731,VarKey,0))&amp;INDEX(MemLab,MATCH($C2731&amp;"|"&amp;$B2731,MemKey,0))</f>
        <v/>
      </c>
      <c r="I2731" s="14">
        <f>INDEX(VarUnit,MATCH($A2731,VarKey,0))</f>
        <v/>
      </c>
      <c r="J2731" s="14">
        <f>INDEX(VarSrc,MATCH($A2731,VarKey,0))</f>
        <v/>
      </c>
      <c r="K2731" s="11">
        <f>CodePrefix&amp;$A2731&amp;IF($C2731="","","."&amp;$C2731&amp;"."&amp;$B2731)&amp;INDEX(VarEnd,MATCH($A2731,VarKey,0))&amp;K$5</f>
        <v/>
      </c>
      <c r="L2731" s="40">
        <f>MAX(INDEX(L$381:L$392,$D2731)+(L2704+L2722)*(1+$E2731),0.01)</f>
        <v/>
      </c>
      <c r="M2731" s="35">
        <f>MAX(INDEX(M$381:M$392,$D2731)+(M2704+M2722)*(1+$E2731),0.01)</f>
        <v/>
      </c>
      <c r="N2731" s="35">
        <f>MAX(INDEX(N$381:N$392,$D2731)+(N2704+N2722)*(1+$E2731),0.01)</f>
        <v/>
      </c>
      <c r="O2731" s="35">
        <f>MAX(INDEX(O$381:O$392,$D2731)+(O2704+O2722)*(1+$E2731),0.01)</f>
        <v/>
      </c>
      <c r="P2731" s="35">
        <f>MAX(INDEX(P$381:P$392,$D2731)+(P2704+P2722)*(1+$E2731),0.01)</f>
        <v/>
      </c>
      <c r="Q2731" s="35">
        <f>MAX(INDEX(Q$381:Q$392,$D2731)+(Q2704+Q2722)*(1+$E2731),0.01)</f>
        <v/>
      </c>
      <c r="R2731" s="35">
        <f>MAX(INDEX(R$381:R$392,$D2731)+(R2704+R2722)*(1+$E2731),0.01)</f>
        <v/>
      </c>
      <c r="S2731" s="35">
        <f>MAX(INDEX(S$381:S$392,$D2731)+(S2704+S2722)*(1+$E2731),0.01)</f>
        <v/>
      </c>
      <c r="T2731" s="35">
        <f>MAX(INDEX(T$381:T$392,$D2731)+(T2704+T2722)*(1+$E2731),0.01)</f>
        <v/>
      </c>
      <c r="U2731" s="35">
        <f>MAX(INDEX(U$381:U$392,$D2731)+(U2704+U2722)*(1+$E2731),0.01)</f>
        <v/>
      </c>
      <c r="V2731" s="35">
        <f>MAX(INDEX(V$381:V$392,$D2731)+(V2704+V2722)*(1+$E2731),0.01)</f>
        <v/>
      </c>
      <c r="W2731" s="35">
        <f>MAX(INDEX(W$381:W$392,$D2731)+(W2704+W2722)*(1+$E2731),0.01)</f>
        <v/>
      </c>
      <c r="X2731" s="35">
        <f>MAX(INDEX(X$381:X$392,$D2731)+(X2704+X2722)*(1+$E2731),0.01)</f>
        <v/>
      </c>
      <c r="Y2731" s="35">
        <f>MAX(INDEX(Y$381:Y$392,$D2731)+(Y2704+Y2722)*(1+$E2731),0.01)</f>
        <v/>
      </c>
      <c r="Z2731" s="35">
        <f>MAX(INDEX(Z$381:Z$392,$D2731)+(Z2704+Z2722)*(1+$E2731),0.01)</f>
        <v/>
      </c>
      <c r="AA2731" s="35">
        <f>MAX(INDEX(AA$381:AA$392,$D2731)+(AA2704+AA2722)*(1+$E2731),0.01)</f>
        <v/>
      </c>
      <c r="AB2731" s="35">
        <f>MAX(INDEX(AB$381:AB$392,$D2731)+(AB2704+AB2722)*(1+$E2731),0.01)</f>
        <v/>
      </c>
      <c r="AC2731" s="35">
        <f>MAX(INDEX(AC$381:AC$392,$D2731)+(AC2704+AC2722)*(1+$E2731),0.01)</f>
        <v/>
      </c>
      <c r="AD2731" s="35">
        <f>MAX(INDEX(AD$381:AD$392,$D2731)+(AD2704+AD2722)*(1+$E2731),0.01)</f>
        <v/>
      </c>
      <c r="AE2731" s="42">
        <f>POSTTAX(INDEX(AE$381:AE$392,$D2731),AE2704+AE2722,$E2731)</f>
        <v/>
      </c>
      <c r="AG2731" s="11">
        <f>CodePrefix&amp;$A2731&amp;IF($C2731="","","."&amp;$C2731&amp;"."&amp;$B2731)&amp;INDEX(VarEnd,MATCH($A2731,VarKey,0))&amp;AG$5</f>
        <v/>
      </c>
      <c r="AH2731" s="40">
        <f>MAX(INDEX(AH$381:AH$392,$D2731)+(AH2704+AH2722)*(1+$E2731),0.01)</f>
        <v/>
      </c>
      <c r="AI2731" s="35">
        <f>MAX(INDEX(AI$381:AI$392,$D2731)+(AI2704+AI2722)*(1+$E2731),0.01)</f>
        <v/>
      </c>
      <c r="AJ2731" s="35">
        <f>MAX(INDEX(AJ$381:AJ$392,$D2731)+(AJ2704+AJ2722)*(1+$E2731),0.01)</f>
        <v/>
      </c>
      <c r="AK2731" s="35">
        <f>MAX(INDEX(AK$381:AK$392,$D2731)+(AK2704+AK2722)*(1+$E2731),0.01)</f>
        <v/>
      </c>
      <c r="AL2731" s="35">
        <f>MAX(INDEX(AL$381:AL$392,$D2731)+(AL2704+AL2722)*(1+$E2731),0.01)</f>
        <v/>
      </c>
      <c r="AM2731" s="35">
        <f>MAX(INDEX(AM$381:AM$392,$D2731)+(AM2704+AM2722)*(1+$E2731),0.01)</f>
        <v/>
      </c>
      <c r="AN2731" s="35">
        <f>MAX(INDEX(AN$381:AN$392,$D2731)+(AN2704+AN2722)*(1+$E2731),0.01)</f>
        <v/>
      </c>
      <c r="AO2731" s="35">
        <f>MAX(INDEX(AO$381:AO$392,$D2731)+(AO2704+AO2722)*(1+$E2731),0.01)</f>
        <v/>
      </c>
      <c r="AP2731" s="35">
        <f>MAX(INDEX(AP$381:AP$392,$D2731)+(AP2704+AP2722)*(1+$E2731),0.01)</f>
        <v/>
      </c>
      <c r="AQ2731" s="35">
        <f>MAX(INDEX(AQ$381:AQ$392,$D2731)+(AQ2704+AQ2722)*(1+$E2731),0.01)</f>
        <v/>
      </c>
      <c r="AR2731" s="35">
        <f>MAX(INDEX(AR$381:AR$392,$D2731)+(AR2704+AR2722)*(1+$E2731),0.01)</f>
        <v/>
      </c>
      <c r="AS2731" s="35">
        <f>MAX(INDEX(AS$381:AS$392,$D2731)+(AS2704+AS2722)*(1+$E2731),0.01)</f>
        <v/>
      </c>
      <c r="AT2731" s="35">
        <f>MAX(INDEX(AT$381:AT$392,$D2731)+(AT2704+AT2722)*(1+$E2731),0.01)</f>
        <v/>
      </c>
      <c r="AU2731" s="35">
        <f>MAX(INDEX(AU$381:AU$392,$D2731)+(AU2704+AU2722)*(1+$E2731),0.01)</f>
        <v/>
      </c>
      <c r="AV2731" s="35">
        <f>MAX(INDEX(AV$381:AV$392,$D2731)+(AV2704+AV2722)*(1+$E2731),0.01)</f>
        <v/>
      </c>
      <c r="AW2731" s="35">
        <f>MAX(INDEX(AW$381:AW$392,$D2731)+(AW2704+AW2722)*(1+$E2731),0.01)</f>
        <v/>
      </c>
      <c r="AX2731" s="35">
        <f>MAX(INDEX(AX$381:AX$392,$D2731)+(AX2704+AX2722)*(1+$E2731),0.01)</f>
        <v/>
      </c>
      <c r="AY2731" s="35">
        <f>MAX(INDEX(AY$381:AY$392,$D2731)+(AY2704+AY2722)*(1+$E2731),0.01)</f>
        <v/>
      </c>
      <c r="AZ2731" s="35">
        <f>MAX(INDEX(AZ$381:AZ$392,$D2731)+(AZ2704+AZ2722)*(1+$E2731),0.01)</f>
        <v/>
      </c>
      <c r="BA2731" s="42">
        <f>POSTTAX(INDEX(BA$381:BA$392,$D2731),BA2704+BA2722,$E2731)</f>
        <v/>
      </c>
    </row>
    <row r="2732" hidden="1" outlineLevel="2">
      <c r="A2732" s="14" t="inlineStr">
        <is>
          <t>atp</t>
        </is>
      </c>
      <c r="B2732" s="14" t="inlineStr">
        <is>
          <t>nga</t>
        </is>
      </c>
      <c r="C2732" s="14" t="inlineStr">
        <is>
          <t>cst</t>
        </is>
      </c>
      <c r="D2732" s="35">
        <f>INDEX(Inputs!$U$5:$U$132,MATCH($B2732&amp;"|"&amp;$C2732,Inputs!$A$5:$A$132,0))</f>
        <v/>
      </c>
      <c r="E2732" s="35">
        <f>INDEX(Inputs!$V$5:$V$132,MATCH($B2732&amp;"|"&amp;$C2732,Inputs!$A$5:$A$132,0))</f>
        <v/>
      </c>
      <c r="F2732" s="39" t="n"/>
      <c r="G2732" s="39" t="n"/>
      <c r="H2732" s="14">
        <f>INDEX(VarLab,MATCH($A2732,VarKey,0))&amp;INDEX(MemLab,MATCH($C2732&amp;"|"&amp;$B2732,MemKey,0))</f>
        <v/>
      </c>
      <c r="I2732" s="14">
        <f>INDEX(VarUnit,MATCH($A2732,VarKey,0))</f>
        <v/>
      </c>
      <c r="J2732" s="14">
        <f>INDEX(VarSrc,MATCH($A2732,VarKey,0))</f>
        <v/>
      </c>
      <c r="K2732" s="11">
        <f>CodePrefix&amp;$A2732&amp;IF($C2732="","","."&amp;$C2732&amp;"."&amp;$B2732)&amp;INDEX(VarEnd,MATCH($A2732,VarKey,0))&amp;K$5</f>
        <v/>
      </c>
      <c r="L2732" s="40">
        <f>MAX(INDEX(L$381:L$392,$D2732)+(L2705+L2723)*(1+$E2732),0.01)</f>
        <v/>
      </c>
      <c r="M2732" s="35">
        <f>MAX(INDEX(M$381:M$392,$D2732)+(M2705+M2723)*(1+$E2732),0.01)</f>
        <v/>
      </c>
      <c r="N2732" s="35">
        <f>MAX(INDEX(N$381:N$392,$D2732)+(N2705+N2723)*(1+$E2732),0.01)</f>
        <v/>
      </c>
      <c r="O2732" s="35">
        <f>MAX(INDEX(O$381:O$392,$D2732)+(O2705+O2723)*(1+$E2732),0.01)</f>
        <v/>
      </c>
      <c r="P2732" s="35">
        <f>MAX(INDEX(P$381:P$392,$D2732)+(P2705+P2723)*(1+$E2732),0.01)</f>
        <v/>
      </c>
      <c r="Q2732" s="35">
        <f>MAX(INDEX(Q$381:Q$392,$D2732)+(Q2705+Q2723)*(1+$E2732),0.01)</f>
        <v/>
      </c>
      <c r="R2732" s="35">
        <f>MAX(INDEX(R$381:R$392,$D2732)+(R2705+R2723)*(1+$E2732),0.01)</f>
        <v/>
      </c>
      <c r="S2732" s="35">
        <f>MAX(INDEX(S$381:S$392,$D2732)+(S2705+S2723)*(1+$E2732),0.01)</f>
        <v/>
      </c>
      <c r="T2732" s="35">
        <f>MAX(INDEX(T$381:T$392,$D2732)+(T2705+T2723)*(1+$E2732),0.01)</f>
        <v/>
      </c>
      <c r="U2732" s="35">
        <f>MAX(INDEX(U$381:U$392,$D2732)+(U2705+U2723)*(1+$E2732),0.01)</f>
        <v/>
      </c>
      <c r="V2732" s="35">
        <f>MAX(INDEX(V$381:V$392,$D2732)+(V2705+V2723)*(1+$E2732),0.01)</f>
        <v/>
      </c>
      <c r="W2732" s="35">
        <f>MAX(INDEX(W$381:W$392,$D2732)+(W2705+W2723)*(1+$E2732),0.01)</f>
        <v/>
      </c>
      <c r="X2732" s="35">
        <f>MAX(INDEX(X$381:X$392,$D2732)+(X2705+X2723)*(1+$E2732),0.01)</f>
        <v/>
      </c>
      <c r="Y2732" s="35">
        <f>MAX(INDEX(Y$381:Y$392,$D2732)+(Y2705+Y2723)*(1+$E2732),0.01)</f>
        <v/>
      </c>
      <c r="Z2732" s="35">
        <f>MAX(INDEX(Z$381:Z$392,$D2732)+(Z2705+Z2723)*(1+$E2732),0.01)</f>
        <v/>
      </c>
      <c r="AA2732" s="35">
        <f>MAX(INDEX(AA$381:AA$392,$D2732)+(AA2705+AA2723)*(1+$E2732),0.01)</f>
        <v/>
      </c>
      <c r="AB2732" s="35">
        <f>MAX(INDEX(AB$381:AB$392,$D2732)+(AB2705+AB2723)*(1+$E2732),0.01)</f>
        <v/>
      </c>
      <c r="AC2732" s="35">
        <f>MAX(INDEX(AC$381:AC$392,$D2732)+(AC2705+AC2723)*(1+$E2732),0.01)</f>
        <v/>
      </c>
      <c r="AD2732" s="35">
        <f>MAX(INDEX(AD$381:AD$392,$D2732)+(AD2705+AD2723)*(1+$E2732),0.01)</f>
        <v/>
      </c>
      <c r="AE2732" s="42">
        <f>POSTTAX(INDEX(AE$381:AE$392,$D2732),AE2705+AE2723,$E2732)</f>
        <v/>
      </c>
      <c r="AG2732" s="11">
        <f>CodePrefix&amp;$A2732&amp;IF($C2732="","","."&amp;$C2732&amp;"."&amp;$B2732)&amp;INDEX(VarEnd,MATCH($A2732,VarKey,0))&amp;AG$5</f>
        <v/>
      </c>
      <c r="AH2732" s="40">
        <f>MAX(INDEX(AH$381:AH$392,$D2732)+(AH2705+AH2723)*(1+$E2732),0.01)</f>
        <v/>
      </c>
      <c r="AI2732" s="35">
        <f>MAX(INDEX(AI$381:AI$392,$D2732)+(AI2705+AI2723)*(1+$E2732),0.01)</f>
        <v/>
      </c>
      <c r="AJ2732" s="35">
        <f>MAX(INDEX(AJ$381:AJ$392,$D2732)+(AJ2705+AJ2723)*(1+$E2732),0.01)</f>
        <v/>
      </c>
      <c r="AK2732" s="35">
        <f>MAX(INDEX(AK$381:AK$392,$D2732)+(AK2705+AK2723)*(1+$E2732),0.01)</f>
        <v/>
      </c>
      <c r="AL2732" s="35">
        <f>MAX(INDEX(AL$381:AL$392,$D2732)+(AL2705+AL2723)*(1+$E2732),0.01)</f>
        <v/>
      </c>
      <c r="AM2732" s="35">
        <f>MAX(INDEX(AM$381:AM$392,$D2732)+(AM2705+AM2723)*(1+$E2732),0.01)</f>
        <v/>
      </c>
      <c r="AN2732" s="35">
        <f>MAX(INDEX(AN$381:AN$392,$D2732)+(AN2705+AN2723)*(1+$E2732),0.01)</f>
        <v/>
      </c>
      <c r="AO2732" s="35">
        <f>MAX(INDEX(AO$381:AO$392,$D2732)+(AO2705+AO2723)*(1+$E2732),0.01)</f>
        <v/>
      </c>
      <c r="AP2732" s="35">
        <f>MAX(INDEX(AP$381:AP$392,$D2732)+(AP2705+AP2723)*(1+$E2732),0.01)</f>
        <v/>
      </c>
      <c r="AQ2732" s="35">
        <f>MAX(INDEX(AQ$381:AQ$392,$D2732)+(AQ2705+AQ2723)*(1+$E2732),0.01)</f>
        <v/>
      </c>
      <c r="AR2732" s="35">
        <f>MAX(INDEX(AR$381:AR$392,$D2732)+(AR2705+AR2723)*(1+$E2732),0.01)</f>
        <v/>
      </c>
      <c r="AS2732" s="35">
        <f>MAX(INDEX(AS$381:AS$392,$D2732)+(AS2705+AS2723)*(1+$E2732),0.01)</f>
        <v/>
      </c>
      <c r="AT2732" s="35">
        <f>MAX(INDEX(AT$381:AT$392,$D2732)+(AT2705+AT2723)*(1+$E2732),0.01)</f>
        <v/>
      </c>
      <c r="AU2732" s="35">
        <f>MAX(INDEX(AU$381:AU$392,$D2732)+(AU2705+AU2723)*(1+$E2732),0.01)</f>
        <v/>
      </c>
      <c r="AV2732" s="35">
        <f>MAX(INDEX(AV$381:AV$392,$D2732)+(AV2705+AV2723)*(1+$E2732),0.01)</f>
        <v/>
      </c>
      <c r="AW2732" s="35">
        <f>MAX(INDEX(AW$381:AW$392,$D2732)+(AW2705+AW2723)*(1+$E2732),0.01)</f>
        <v/>
      </c>
      <c r="AX2732" s="35">
        <f>MAX(INDEX(AX$381:AX$392,$D2732)+(AX2705+AX2723)*(1+$E2732),0.01)</f>
        <v/>
      </c>
      <c r="AY2732" s="35">
        <f>MAX(INDEX(AY$381:AY$392,$D2732)+(AY2705+AY2723)*(1+$E2732),0.01)</f>
        <v/>
      </c>
      <c r="AZ2732" s="35">
        <f>MAX(INDEX(AZ$381:AZ$392,$D2732)+(AZ2705+AZ2723)*(1+$E2732),0.01)</f>
        <v/>
      </c>
      <c r="BA2732" s="42">
        <f>POSTTAX(INDEX(BA$381:BA$392,$D2732),BA2705+BA2723,$E2732)</f>
        <v/>
      </c>
    </row>
    <row r="2733" hidden="1" outlineLevel="2">
      <c r="A2733" s="14" t="inlineStr">
        <is>
          <t>atp</t>
        </is>
      </c>
      <c r="B2733" s="14" t="inlineStr">
        <is>
          <t>gso</t>
        </is>
      </c>
      <c r="C2733" s="14" t="inlineStr">
        <is>
          <t>cst</t>
        </is>
      </c>
      <c r="D2733" s="35">
        <f>INDEX(Inputs!$U$5:$U$132,MATCH($B2733&amp;"|"&amp;$C2733,Inputs!$A$5:$A$132,0))</f>
        <v/>
      </c>
      <c r="E2733" s="35">
        <f>INDEX(Inputs!$V$5:$V$132,MATCH($B2733&amp;"|"&amp;$C2733,Inputs!$A$5:$A$132,0))</f>
        <v/>
      </c>
      <c r="F2733" s="39" t="n"/>
      <c r="G2733" s="39" t="n"/>
      <c r="H2733" s="14">
        <f>INDEX(VarLab,MATCH($A2733,VarKey,0))&amp;INDEX(MemLab,MATCH($C2733&amp;"|"&amp;$B2733,MemKey,0))</f>
        <v/>
      </c>
      <c r="I2733" s="14">
        <f>INDEX(VarUnit,MATCH($A2733,VarKey,0))</f>
        <v/>
      </c>
      <c r="J2733" s="14">
        <f>INDEX(VarSrc,MATCH($A2733,VarKey,0))</f>
        <v/>
      </c>
      <c r="K2733" s="11">
        <f>CodePrefix&amp;$A2733&amp;IF($C2733="","","."&amp;$C2733&amp;"."&amp;$B2733)&amp;INDEX(VarEnd,MATCH($A2733,VarKey,0))&amp;K$5</f>
        <v/>
      </c>
      <c r="L2733" s="40">
        <f>MAX(INDEX(L$381:L$392,$D2733)+(L2706+L2724)*(1+$E2733),0.01)</f>
        <v/>
      </c>
      <c r="M2733" s="35">
        <f>MAX(INDEX(M$381:M$392,$D2733)+(M2706+M2724)*(1+$E2733),0.01)</f>
        <v/>
      </c>
      <c r="N2733" s="35">
        <f>MAX(INDEX(N$381:N$392,$D2733)+(N2706+N2724)*(1+$E2733),0.01)</f>
        <v/>
      </c>
      <c r="O2733" s="35">
        <f>MAX(INDEX(O$381:O$392,$D2733)+(O2706+O2724)*(1+$E2733),0.01)</f>
        <v/>
      </c>
      <c r="P2733" s="35">
        <f>MAX(INDEX(P$381:P$392,$D2733)+(P2706+P2724)*(1+$E2733),0.01)</f>
        <v/>
      </c>
      <c r="Q2733" s="35">
        <f>MAX(INDEX(Q$381:Q$392,$D2733)+(Q2706+Q2724)*(1+$E2733),0.01)</f>
        <v/>
      </c>
      <c r="R2733" s="35">
        <f>MAX(INDEX(R$381:R$392,$D2733)+(R2706+R2724)*(1+$E2733),0.01)</f>
        <v/>
      </c>
      <c r="S2733" s="35">
        <f>MAX(INDEX(S$381:S$392,$D2733)+(S2706+S2724)*(1+$E2733),0.01)</f>
        <v/>
      </c>
      <c r="T2733" s="35">
        <f>MAX(INDEX(T$381:T$392,$D2733)+(T2706+T2724)*(1+$E2733),0.01)</f>
        <v/>
      </c>
      <c r="U2733" s="35">
        <f>MAX(INDEX(U$381:U$392,$D2733)+(U2706+U2724)*(1+$E2733),0.01)</f>
        <v/>
      </c>
      <c r="V2733" s="35">
        <f>MAX(INDEX(V$381:V$392,$D2733)+(V2706+V2724)*(1+$E2733),0.01)</f>
        <v/>
      </c>
      <c r="W2733" s="35">
        <f>MAX(INDEX(W$381:W$392,$D2733)+(W2706+W2724)*(1+$E2733),0.01)</f>
        <v/>
      </c>
      <c r="X2733" s="35">
        <f>MAX(INDEX(X$381:X$392,$D2733)+(X2706+X2724)*(1+$E2733),0.01)</f>
        <v/>
      </c>
      <c r="Y2733" s="35">
        <f>MAX(INDEX(Y$381:Y$392,$D2733)+(Y2706+Y2724)*(1+$E2733),0.01)</f>
        <v/>
      </c>
      <c r="Z2733" s="35">
        <f>MAX(INDEX(Z$381:Z$392,$D2733)+(Z2706+Z2724)*(1+$E2733),0.01)</f>
        <v/>
      </c>
      <c r="AA2733" s="35">
        <f>MAX(INDEX(AA$381:AA$392,$D2733)+(AA2706+AA2724)*(1+$E2733),0.01)</f>
        <v/>
      </c>
      <c r="AB2733" s="35">
        <f>MAX(INDEX(AB$381:AB$392,$D2733)+(AB2706+AB2724)*(1+$E2733),0.01)</f>
        <v/>
      </c>
      <c r="AC2733" s="35">
        <f>MAX(INDEX(AC$381:AC$392,$D2733)+(AC2706+AC2724)*(1+$E2733),0.01)</f>
        <v/>
      </c>
      <c r="AD2733" s="35">
        <f>MAX(INDEX(AD$381:AD$392,$D2733)+(AD2706+AD2724)*(1+$E2733),0.01)</f>
        <v/>
      </c>
      <c r="AE2733" s="42">
        <f>POSTTAX(INDEX(AE$381:AE$392,$D2733),AE2706+AE2724,$E2733)</f>
        <v/>
      </c>
      <c r="AG2733" s="11">
        <f>CodePrefix&amp;$A2733&amp;IF($C2733="","","."&amp;$C2733&amp;"."&amp;$B2733)&amp;INDEX(VarEnd,MATCH($A2733,VarKey,0))&amp;AG$5</f>
        <v/>
      </c>
      <c r="AH2733" s="40">
        <f>MAX(INDEX(AH$381:AH$392,$D2733)+(AH2706+AH2724)*(1+$E2733),0.01)</f>
        <v/>
      </c>
      <c r="AI2733" s="35">
        <f>MAX(INDEX(AI$381:AI$392,$D2733)+(AI2706+AI2724)*(1+$E2733),0.01)</f>
        <v/>
      </c>
      <c r="AJ2733" s="35">
        <f>MAX(INDEX(AJ$381:AJ$392,$D2733)+(AJ2706+AJ2724)*(1+$E2733),0.01)</f>
        <v/>
      </c>
      <c r="AK2733" s="35">
        <f>MAX(INDEX(AK$381:AK$392,$D2733)+(AK2706+AK2724)*(1+$E2733),0.01)</f>
        <v/>
      </c>
      <c r="AL2733" s="35">
        <f>MAX(INDEX(AL$381:AL$392,$D2733)+(AL2706+AL2724)*(1+$E2733),0.01)</f>
        <v/>
      </c>
      <c r="AM2733" s="35">
        <f>MAX(INDEX(AM$381:AM$392,$D2733)+(AM2706+AM2724)*(1+$E2733),0.01)</f>
        <v/>
      </c>
      <c r="AN2733" s="35">
        <f>MAX(INDEX(AN$381:AN$392,$D2733)+(AN2706+AN2724)*(1+$E2733),0.01)</f>
        <v/>
      </c>
      <c r="AO2733" s="35">
        <f>MAX(INDEX(AO$381:AO$392,$D2733)+(AO2706+AO2724)*(1+$E2733),0.01)</f>
        <v/>
      </c>
      <c r="AP2733" s="35">
        <f>MAX(INDEX(AP$381:AP$392,$D2733)+(AP2706+AP2724)*(1+$E2733),0.01)</f>
        <v/>
      </c>
      <c r="AQ2733" s="35">
        <f>MAX(INDEX(AQ$381:AQ$392,$D2733)+(AQ2706+AQ2724)*(1+$E2733),0.01)</f>
        <v/>
      </c>
      <c r="AR2733" s="35">
        <f>MAX(INDEX(AR$381:AR$392,$D2733)+(AR2706+AR2724)*(1+$E2733),0.01)</f>
        <v/>
      </c>
      <c r="AS2733" s="35">
        <f>MAX(INDEX(AS$381:AS$392,$D2733)+(AS2706+AS2724)*(1+$E2733),0.01)</f>
        <v/>
      </c>
      <c r="AT2733" s="35">
        <f>MAX(INDEX(AT$381:AT$392,$D2733)+(AT2706+AT2724)*(1+$E2733),0.01)</f>
        <v/>
      </c>
      <c r="AU2733" s="35">
        <f>MAX(INDEX(AU$381:AU$392,$D2733)+(AU2706+AU2724)*(1+$E2733),0.01)</f>
        <v/>
      </c>
      <c r="AV2733" s="35">
        <f>MAX(INDEX(AV$381:AV$392,$D2733)+(AV2706+AV2724)*(1+$E2733),0.01)</f>
        <v/>
      </c>
      <c r="AW2733" s="35">
        <f>MAX(INDEX(AW$381:AW$392,$D2733)+(AW2706+AW2724)*(1+$E2733),0.01)</f>
        <v/>
      </c>
      <c r="AX2733" s="35">
        <f>MAX(INDEX(AX$381:AX$392,$D2733)+(AX2706+AX2724)*(1+$E2733),0.01)</f>
        <v/>
      </c>
      <c r="AY2733" s="35">
        <f>MAX(INDEX(AY$381:AY$392,$D2733)+(AY2706+AY2724)*(1+$E2733),0.01)</f>
        <v/>
      </c>
      <c r="AZ2733" s="35">
        <f>MAX(INDEX(AZ$381:AZ$392,$D2733)+(AZ2706+AZ2724)*(1+$E2733),0.01)</f>
        <v/>
      </c>
      <c r="BA2733" s="42">
        <f>POSTTAX(INDEX(BA$381:BA$392,$D2733),BA2706+BA2724,$E2733)</f>
        <v/>
      </c>
    </row>
    <row r="2734" hidden="1" outlineLevel="2">
      <c r="A2734" s="14" t="inlineStr">
        <is>
          <t>atp</t>
        </is>
      </c>
      <c r="B2734" s="14" t="inlineStr">
        <is>
          <t>die</t>
        </is>
      </c>
      <c r="C2734" s="14" t="inlineStr">
        <is>
          <t>cst</t>
        </is>
      </c>
      <c r="D2734" s="35">
        <f>INDEX(Inputs!$U$5:$U$132,MATCH($B2734&amp;"|"&amp;$C2734,Inputs!$A$5:$A$132,0))</f>
        <v/>
      </c>
      <c r="E2734" s="35">
        <f>INDEX(Inputs!$V$5:$V$132,MATCH($B2734&amp;"|"&amp;$C2734,Inputs!$A$5:$A$132,0))</f>
        <v/>
      </c>
      <c r="F2734" s="39" t="n"/>
      <c r="G2734" s="39" t="n"/>
      <c r="H2734" s="14">
        <f>INDEX(VarLab,MATCH($A2734,VarKey,0))&amp;INDEX(MemLab,MATCH($C2734&amp;"|"&amp;$B2734,MemKey,0))</f>
        <v/>
      </c>
      <c r="I2734" s="14">
        <f>INDEX(VarUnit,MATCH($A2734,VarKey,0))</f>
        <v/>
      </c>
      <c r="J2734" s="14">
        <f>INDEX(VarSrc,MATCH($A2734,VarKey,0))</f>
        <v/>
      </c>
      <c r="K2734" s="11">
        <f>CodePrefix&amp;$A2734&amp;IF($C2734="","","."&amp;$C2734&amp;"."&amp;$B2734)&amp;INDEX(VarEnd,MATCH($A2734,VarKey,0))&amp;K$5</f>
        <v/>
      </c>
      <c r="L2734" s="40">
        <f>MAX(INDEX(L$381:L$392,$D2734)+(L2707+L2725)*(1+$E2734),0.01)</f>
        <v/>
      </c>
      <c r="M2734" s="35">
        <f>MAX(INDEX(M$381:M$392,$D2734)+(M2707+M2725)*(1+$E2734),0.01)</f>
        <v/>
      </c>
      <c r="N2734" s="35">
        <f>MAX(INDEX(N$381:N$392,$D2734)+(N2707+N2725)*(1+$E2734),0.01)</f>
        <v/>
      </c>
      <c r="O2734" s="35">
        <f>MAX(INDEX(O$381:O$392,$D2734)+(O2707+O2725)*(1+$E2734),0.01)</f>
        <v/>
      </c>
      <c r="P2734" s="35">
        <f>MAX(INDEX(P$381:P$392,$D2734)+(P2707+P2725)*(1+$E2734),0.01)</f>
        <v/>
      </c>
      <c r="Q2734" s="35">
        <f>MAX(INDEX(Q$381:Q$392,$D2734)+(Q2707+Q2725)*(1+$E2734),0.01)</f>
        <v/>
      </c>
      <c r="R2734" s="35">
        <f>MAX(INDEX(R$381:R$392,$D2734)+(R2707+R2725)*(1+$E2734),0.01)</f>
        <v/>
      </c>
      <c r="S2734" s="35">
        <f>MAX(INDEX(S$381:S$392,$D2734)+(S2707+S2725)*(1+$E2734),0.01)</f>
        <v/>
      </c>
      <c r="T2734" s="35">
        <f>MAX(INDEX(T$381:T$392,$D2734)+(T2707+T2725)*(1+$E2734),0.01)</f>
        <v/>
      </c>
      <c r="U2734" s="35">
        <f>MAX(INDEX(U$381:U$392,$D2734)+(U2707+U2725)*(1+$E2734),0.01)</f>
        <v/>
      </c>
      <c r="V2734" s="35">
        <f>MAX(INDEX(V$381:V$392,$D2734)+(V2707+V2725)*(1+$E2734),0.01)</f>
        <v/>
      </c>
      <c r="W2734" s="35">
        <f>MAX(INDEX(W$381:W$392,$D2734)+(W2707+W2725)*(1+$E2734),0.01)</f>
        <v/>
      </c>
      <c r="X2734" s="35">
        <f>MAX(INDEX(X$381:X$392,$D2734)+(X2707+X2725)*(1+$E2734),0.01)</f>
        <v/>
      </c>
      <c r="Y2734" s="35">
        <f>MAX(INDEX(Y$381:Y$392,$D2734)+(Y2707+Y2725)*(1+$E2734),0.01)</f>
        <v/>
      </c>
      <c r="Z2734" s="35">
        <f>MAX(INDEX(Z$381:Z$392,$D2734)+(Z2707+Z2725)*(1+$E2734),0.01)</f>
        <v/>
      </c>
      <c r="AA2734" s="35">
        <f>MAX(INDEX(AA$381:AA$392,$D2734)+(AA2707+AA2725)*(1+$E2734),0.01)</f>
        <v/>
      </c>
      <c r="AB2734" s="35">
        <f>MAX(INDEX(AB$381:AB$392,$D2734)+(AB2707+AB2725)*(1+$E2734),0.01)</f>
        <v/>
      </c>
      <c r="AC2734" s="35">
        <f>MAX(INDEX(AC$381:AC$392,$D2734)+(AC2707+AC2725)*(1+$E2734),0.01)</f>
        <v/>
      </c>
      <c r="AD2734" s="35">
        <f>MAX(INDEX(AD$381:AD$392,$D2734)+(AD2707+AD2725)*(1+$E2734),0.01)</f>
        <v/>
      </c>
      <c r="AE2734" s="42">
        <f>POSTTAX(INDEX(AE$381:AE$392,$D2734),AE2707+AE2725,$E2734)</f>
        <v/>
      </c>
      <c r="AG2734" s="11">
        <f>CodePrefix&amp;$A2734&amp;IF($C2734="","","."&amp;$C2734&amp;"."&amp;$B2734)&amp;INDEX(VarEnd,MATCH($A2734,VarKey,0))&amp;AG$5</f>
        <v/>
      </c>
      <c r="AH2734" s="40">
        <f>MAX(INDEX(AH$381:AH$392,$D2734)+(AH2707+AH2725)*(1+$E2734),0.01)</f>
        <v/>
      </c>
      <c r="AI2734" s="35">
        <f>MAX(INDEX(AI$381:AI$392,$D2734)+(AI2707+AI2725)*(1+$E2734),0.01)</f>
        <v/>
      </c>
      <c r="AJ2734" s="35">
        <f>MAX(INDEX(AJ$381:AJ$392,$D2734)+(AJ2707+AJ2725)*(1+$E2734),0.01)</f>
        <v/>
      </c>
      <c r="AK2734" s="35">
        <f>MAX(INDEX(AK$381:AK$392,$D2734)+(AK2707+AK2725)*(1+$E2734),0.01)</f>
        <v/>
      </c>
      <c r="AL2734" s="35">
        <f>MAX(INDEX(AL$381:AL$392,$D2734)+(AL2707+AL2725)*(1+$E2734),0.01)</f>
        <v/>
      </c>
      <c r="AM2734" s="35">
        <f>MAX(INDEX(AM$381:AM$392,$D2734)+(AM2707+AM2725)*(1+$E2734),0.01)</f>
        <v/>
      </c>
      <c r="AN2734" s="35">
        <f>MAX(INDEX(AN$381:AN$392,$D2734)+(AN2707+AN2725)*(1+$E2734),0.01)</f>
        <v/>
      </c>
      <c r="AO2734" s="35">
        <f>MAX(INDEX(AO$381:AO$392,$D2734)+(AO2707+AO2725)*(1+$E2734),0.01)</f>
        <v/>
      </c>
      <c r="AP2734" s="35">
        <f>MAX(INDEX(AP$381:AP$392,$D2734)+(AP2707+AP2725)*(1+$E2734),0.01)</f>
        <v/>
      </c>
      <c r="AQ2734" s="35">
        <f>MAX(INDEX(AQ$381:AQ$392,$D2734)+(AQ2707+AQ2725)*(1+$E2734),0.01)</f>
        <v/>
      </c>
      <c r="AR2734" s="35">
        <f>MAX(INDEX(AR$381:AR$392,$D2734)+(AR2707+AR2725)*(1+$E2734),0.01)</f>
        <v/>
      </c>
      <c r="AS2734" s="35">
        <f>MAX(INDEX(AS$381:AS$392,$D2734)+(AS2707+AS2725)*(1+$E2734),0.01)</f>
        <v/>
      </c>
      <c r="AT2734" s="35">
        <f>MAX(INDEX(AT$381:AT$392,$D2734)+(AT2707+AT2725)*(1+$E2734),0.01)</f>
        <v/>
      </c>
      <c r="AU2734" s="35">
        <f>MAX(INDEX(AU$381:AU$392,$D2734)+(AU2707+AU2725)*(1+$E2734),0.01)</f>
        <v/>
      </c>
      <c r="AV2734" s="35">
        <f>MAX(INDEX(AV$381:AV$392,$D2734)+(AV2707+AV2725)*(1+$E2734),0.01)</f>
        <v/>
      </c>
      <c r="AW2734" s="35">
        <f>MAX(INDEX(AW$381:AW$392,$D2734)+(AW2707+AW2725)*(1+$E2734),0.01)</f>
        <v/>
      </c>
      <c r="AX2734" s="35">
        <f>MAX(INDEX(AX$381:AX$392,$D2734)+(AX2707+AX2725)*(1+$E2734),0.01)</f>
        <v/>
      </c>
      <c r="AY2734" s="35">
        <f>MAX(INDEX(AY$381:AY$392,$D2734)+(AY2707+AY2725)*(1+$E2734),0.01)</f>
        <v/>
      </c>
      <c r="AZ2734" s="35">
        <f>MAX(INDEX(AZ$381:AZ$392,$D2734)+(AZ2707+AZ2725)*(1+$E2734),0.01)</f>
        <v/>
      </c>
      <c r="BA2734" s="42">
        <f>POSTTAX(INDEX(BA$381:BA$392,$D2734),BA2707+BA2725,$E2734)</f>
        <v/>
      </c>
    </row>
    <row r="2735" hidden="1" outlineLevel="2">
      <c r="A2735" s="14" t="inlineStr">
        <is>
          <t>atp</t>
        </is>
      </c>
      <c r="B2735" s="14" t="inlineStr">
        <is>
          <t>lpg</t>
        </is>
      </c>
      <c r="C2735" s="14" t="inlineStr">
        <is>
          <t>cst</t>
        </is>
      </c>
      <c r="D2735" s="35">
        <f>INDEX(Inputs!$U$5:$U$132,MATCH($B2735&amp;"|"&amp;$C2735,Inputs!$A$5:$A$132,0))</f>
        <v/>
      </c>
      <c r="E2735" s="35">
        <f>INDEX(Inputs!$V$5:$V$132,MATCH($B2735&amp;"|"&amp;$C2735,Inputs!$A$5:$A$132,0))</f>
        <v/>
      </c>
      <c r="F2735" s="39" t="n"/>
      <c r="G2735" s="39" t="n"/>
      <c r="H2735" s="14">
        <f>INDEX(VarLab,MATCH($A2735,VarKey,0))&amp;INDEX(MemLab,MATCH($C2735&amp;"|"&amp;$B2735,MemKey,0))</f>
        <v/>
      </c>
      <c r="I2735" s="14">
        <f>INDEX(VarUnit,MATCH($A2735,VarKey,0))</f>
        <v/>
      </c>
      <c r="J2735" s="14">
        <f>INDEX(VarSrc,MATCH($A2735,VarKey,0))</f>
        <v/>
      </c>
      <c r="K2735" s="11">
        <f>CodePrefix&amp;$A2735&amp;IF($C2735="","","."&amp;$C2735&amp;"."&amp;$B2735)&amp;INDEX(VarEnd,MATCH($A2735,VarKey,0))&amp;K$5</f>
        <v/>
      </c>
      <c r="L2735" s="40">
        <f>MAX(INDEX(L$381:L$392,$D2735)+(L2708+L2726)*(1+$E2735),0.01)</f>
        <v/>
      </c>
      <c r="M2735" s="35">
        <f>MAX(INDEX(M$381:M$392,$D2735)+(M2708+M2726)*(1+$E2735),0.01)</f>
        <v/>
      </c>
      <c r="N2735" s="35">
        <f>MAX(INDEX(N$381:N$392,$D2735)+(N2708+N2726)*(1+$E2735),0.01)</f>
        <v/>
      </c>
      <c r="O2735" s="35">
        <f>MAX(INDEX(O$381:O$392,$D2735)+(O2708+O2726)*(1+$E2735),0.01)</f>
        <v/>
      </c>
      <c r="P2735" s="35">
        <f>MAX(INDEX(P$381:P$392,$D2735)+(P2708+P2726)*(1+$E2735),0.01)</f>
        <v/>
      </c>
      <c r="Q2735" s="35">
        <f>MAX(INDEX(Q$381:Q$392,$D2735)+(Q2708+Q2726)*(1+$E2735),0.01)</f>
        <v/>
      </c>
      <c r="R2735" s="35">
        <f>MAX(INDEX(R$381:R$392,$D2735)+(R2708+R2726)*(1+$E2735),0.01)</f>
        <v/>
      </c>
      <c r="S2735" s="35">
        <f>MAX(INDEX(S$381:S$392,$D2735)+(S2708+S2726)*(1+$E2735),0.01)</f>
        <v/>
      </c>
      <c r="T2735" s="35">
        <f>MAX(INDEX(T$381:T$392,$D2735)+(T2708+T2726)*(1+$E2735),0.01)</f>
        <v/>
      </c>
      <c r="U2735" s="35">
        <f>MAX(INDEX(U$381:U$392,$D2735)+(U2708+U2726)*(1+$E2735),0.01)</f>
        <v/>
      </c>
      <c r="V2735" s="35">
        <f>MAX(INDEX(V$381:V$392,$D2735)+(V2708+V2726)*(1+$E2735),0.01)</f>
        <v/>
      </c>
      <c r="W2735" s="35">
        <f>MAX(INDEX(W$381:W$392,$D2735)+(W2708+W2726)*(1+$E2735),0.01)</f>
        <v/>
      </c>
      <c r="X2735" s="35">
        <f>MAX(INDEX(X$381:X$392,$D2735)+(X2708+X2726)*(1+$E2735),0.01)</f>
        <v/>
      </c>
      <c r="Y2735" s="35">
        <f>MAX(INDEX(Y$381:Y$392,$D2735)+(Y2708+Y2726)*(1+$E2735),0.01)</f>
        <v/>
      </c>
      <c r="Z2735" s="35">
        <f>MAX(INDEX(Z$381:Z$392,$D2735)+(Z2708+Z2726)*(1+$E2735),0.01)</f>
        <v/>
      </c>
      <c r="AA2735" s="35">
        <f>MAX(INDEX(AA$381:AA$392,$D2735)+(AA2708+AA2726)*(1+$E2735),0.01)</f>
        <v/>
      </c>
      <c r="AB2735" s="35">
        <f>MAX(INDEX(AB$381:AB$392,$D2735)+(AB2708+AB2726)*(1+$E2735),0.01)</f>
        <v/>
      </c>
      <c r="AC2735" s="35">
        <f>MAX(INDEX(AC$381:AC$392,$D2735)+(AC2708+AC2726)*(1+$E2735),0.01)</f>
        <v/>
      </c>
      <c r="AD2735" s="35">
        <f>MAX(INDEX(AD$381:AD$392,$D2735)+(AD2708+AD2726)*(1+$E2735),0.01)</f>
        <v/>
      </c>
      <c r="AE2735" s="42">
        <f>POSTTAX(INDEX(AE$381:AE$392,$D2735),AE2708+AE2726,$E2735)</f>
        <v/>
      </c>
      <c r="AG2735" s="11">
        <f>CodePrefix&amp;$A2735&amp;IF($C2735="","","."&amp;$C2735&amp;"."&amp;$B2735)&amp;INDEX(VarEnd,MATCH($A2735,VarKey,0))&amp;AG$5</f>
        <v/>
      </c>
      <c r="AH2735" s="40">
        <f>MAX(INDEX(AH$381:AH$392,$D2735)+(AH2708+AH2726)*(1+$E2735),0.01)</f>
        <v/>
      </c>
      <c r="AI2735" s="35">
        <f>MAX(INDEX(AI$381:AI$392,$D2735)+(AI2708+AI2726)*(1+$E2735),0.01)</f>
        <v/>
      </c>
      <c r="AJ2735" s="35">
        <f>MAX(INDEX(AJ$381:AJ$392,$D2735)+(AJ2708+AJ2726)*(1+$E2735),0.01)</f>
        <v/>
      </c>
      <c r="AK2735" s="35">
        <f>MAX(INDEX(AK$381:AK$392,$D2735)+(AK2708+AK2726)*(1+$E2735),0.01)</f>
        <v/>
      </c>
      <c r="AL2735" s="35">
        <f>MAX(INDEX(AL$381:AL$392,$D2735)+(AL2708+AL2726)*(1+$E2735),0.01)</f>
        <v/>
      </c>
      <c r="AM2735" s="35">
        <f>MAX(INDEX(AM$381:AM$392,$D2735)+(AM2708+AM2726)*(1+$E2735),0.01)</f>
        <v/>
      </c>
      <c r="AN2735" s="35">
        <f>MAX(INDEX(AN$381:AN$392,$D2735)+(AN2708+AN2726)*(1+$E2735),0.01)</f>
        <v/>
      </c>
      <c r="AO2735" s="35">
        <f>MAX(INDEX(AO$381:AO$392,$D2735)+(AO2708+AO2726)*(1+$E2735),0.01)</f>
        <v/>
      </c>
      <c r="AP2735" s="35">
        <f>MAX(INDEX(AP$381:AP$392,$D2735)+(AP2708+AP2726)*(1+$E2735),0.01)</f>
        <v/>
      </c>
      <c r="AQ2735" s="35">
        <f>MAX(INDEX(AQ$381:AQ$392,$D2735)+(AQ2708+AQ2726)*(1+$E2735),0.01)</f>
        <v/>
      </c>
      <c r="AR2735" s="35">
        <f>MAX(INDEX(AR$381:AR$392,$D2735)+(AR2708+AR2726)*(1+$E2735),0.01)</f>
        <v/>
      </c>
      <c r="AS2735" s="35">
        <f>MAX(INDEX(AS$381:AS$392,$D2735)+(AS2708+AS2726)*(1+$E2735),0.01)</f>
        <v/>
      </c>
      <c r="AT2735" s="35">
        <f>MAX(INDEX(AT$381:AT$392,$D2735)+(AT2708+AT2726)*(1+$E2735),0.01)</f>
        <v/>
      </c>
      <c r="AU2735" s="35">
        <f>MAX(INDEX(AU$381:AU$392,$D2735)+(AU2708+AU2726)*(1+$E2735),0.01)</f>
        <v/>
      </c>
      <c r="AV2735" s="35">
        <f>MAX(INDEX(AV$381:AV$392,$D2735)+(AV2708+AV2726)*(1+$E2735),0.01)</f>
        <v/>
      </c>
      <c r="AW2735" s="35">
        <f>MAX(INDEX(AW$381:AW$392,$D2735)+(AW2708+AW2726)*(1+$E2735),0.01)</f>
        <v/>
      </c>
      <c r="AX2735" s="35">
        <f>MAX(INDEX(AX$381:AX$392,$D2735)+(AX2708+AX2726)*(1+$E2735),0.01)</f>
        <v/>
      </c>
      <c r="AY2735" s="35">
        <f>MAX(INDEX(AY$381:AY$392,$D2735)+(AY2708+AY2726)*(1+$E2735),0.01)</f>
        <v/>
      </c>
      <c r="AZ2735" s="35">
        <f>MAX(INDEX(AZ$381:AZ$392,$D2735)+(AZ2708+AZ2726)*(1+$E2735),0.01)</f>
        <v/>
      </c>
      <c r="BA2735" s="42">
        <f>POSTTAX(INDEX(BA$381:BA$392,$D2735),BA2708+BA2726,$E2735)</f>
        <v/>
      </c>
    </row>
    <row r="2736" hidden="1" outlineLevel="2">
      <c r="A2736" s="14" t="inlineStr">
        <is>
          <t>atp</t>
        </is>
      </c>
      <c r="B2736" s="14" t="inlineStr">
        <is>
          <t>ker</t>
        </is>
      </c>
      <c r="C2736" s="14" t="inlineStr">
        <is>
          <t>cst</t>
        </is>
      </c>
      <c r="D2736" s="35">
        <f>INDEX(Inputs!$U$5:$U$132,MATCH($B2736&amp;"|"&amp;$C2736,Inputs!$A$5:$A$132,0))</f>
        <v/>
      </c>
      <c r="E2736" s="35">
        <f>INDEX(Inputs!$V$5:$V$132,MATCH($B2736&amp;"|"&amp;$C2736,Inputs!$A$5:$A$132,0))</f>
        <v/>
      </c>
      <c r="F2736" s="39" t="n"/>
      <c r="G2736" s="39" t="n"/>
      <c r="H2736" s="14">
        <f>INDEX(VarLab,MATCH($A2736,VarKey,0))&amp;INDEX(MemLab,MATCH($C2736&amp;"|"&amp;$B2736,MemKey,0))</f>
        <v/>
      </c>
      <c r="I2736" s="14">
        <f>INDEX(VarUnit,MATCH($A2736,VarKey,0))</f>
        <v/>
      </c>
      <c r="J2736" s="14">
        <f>INDEX(VarSrc,MATCH($A2736,VarKey,0))</f>
        <v/>
      </c>
      <c r="K2736" s="11">
        <f>CodePrefix&amp;$A2736&amp;IF($C2736="","","."&amp;$C2736&amp;"."&amp;$B2736)&amp;INDEX(VarEnd,MATCH($A2736,VarKey,0))&amp;K$5</f>
        <v/>
      </c>
      <c r="L2736" s="40">
        <f>MAX(INDEX(L$381:L$392,$D2736)+(L2709+L2727)*(1+$E2736),0.01)</f>
        <v/>
      </c>
      <c r="M2736" s="35">
        <f>MAX(INDEX(M$381:M$392,$D2736)+(M2709+M2727)*(1+$E2736),0.01)</f>
        <v/>
      </c>
      <c r="N2736" s="35">
        <f>MAX(INDEX(N$381:N$392,$D2736)+(N2709+N2727)*(1+$E2736),0.01)</f>
        <v/>
      </c>
      <c r="O2736" s="35">
        <f>MAX(INDEX(O$381:O$392,$D2736)+(O2709+O2727)*(1+$E2736),0.01)</f>
        <v/>
      </c>
      <c r="P2736" s="35">
        <f>MAX(INDEX(P$381:P$392,$D2736)+(P2709+P2727)*(1+$E2736),0.01)</f>
        <v/>
      </c>
      <c r="Q2736" s="35">
        <f>MAX(INDEX(Q$381:Q$392,$D2736)+(Q2709+Q2727)*(1+$E2736),0.01)</f>
        <v/>
      </c>
      <c r="R2736" s="35">
        <f>MAX(INDEX(R$381:R$392,$D2736)+(R2709+R2727)*(1+$E2736),0.01)</f>
        <v/>
      </c>
      <c r="S2736" s="35">
        <f>MAX(INDEX(S$381:S$392,$D2736)+(S2709+S2727)*(1+$E2736),0.01)</f>
        <v/>
      </c>
      <c r="T2736" s="35">
        <f>MAX(INDEX(T$381:T$392,$D2736)+(T2709+T2727)*(1+$E2736),0.01)</f>
        <v/>
      </c>
      <c r="U2736" s="35">
        <f>MAX(INDEX(U$381:U$392,$D2736)+(U2709+U2727)*(1+$E2736),0.01)</f>
        <v/>
      </c>
      <c r="V2736" s="35">
        <f>MAX(INDEX(V$381:V$392,$D2736)+(V2709+V2727)*(1+$E2736),0.01)</f>
        <v/>
      </c>
      <c r="W2736" s="35">
        <f>MAX(INDEX(W$381:W$392,$D2736)+(W2709+W2727)*(1+$E2736),0.01)</f>
        <v/>
      </c>
      <c r="X2736" s="35">
        <f>MAX(INDEX(X$381:X$392,$D2736)+(X2709+X2727)*(1+$E2736),0.01)</f>
        <v/>
      </c>
      <c r="Y2736" s="35">
        <f>MAX(INDEX(Y$381:Y$392,$D2736)+(Y2709+Y2727)*(1+$E2736),0.01)</f>
        <v/>
      </c>
      <c r="Z2736" s="35">
        <f>MAX(INDEX(Z$381:Z$392,$D2736)+(Z2709+Z2727)*(1+$E2736),0.01)</f>
        <v/>
      </c>
      <c r="AA2736" s="35">
        <f>MAX(INDEX(AA$381:AA$392,$D2736)+(AA2709+AA2727)*(1+$E2736),0.01)</f>
        <v/>
      </c>
      <c r="AB2736" s="35">
        <f>MAX(INDEX(AB$381:AB$392,$D2736)+(AB2709+AB2727)*(1+$E2736),0.01)</f>
        <v/>
      </c>
      <c r="AC2736" s="35">
        <f>MAX(INDEX(AC$381:AC$392,$D2736)+(AC2709+AC2727)*(1+$E2736),0.01)</f>
        <v/>
      </c>
      <c r="AD2736" s="35">
        <f>MAX(INDEX(AD$381:AD$392,$D2736)+(AD2709+AD2727)*(1+$E2736),0.01)</f>
        <v/>
      </c>
      <c r="AE2736" s="42">
        <f>POSTTAX(INDEX(AE$381:AE$392,$D2736),AE2709+AE2727,$E2736)</f>
        <v/>
      </c>
      <c r="AG2736" s="11">
        <f>CodePrefix&amp;$A2736&amp;IF($C2736="","","."&amp;$C2736&amp;"."&amp;$B2736)&amp;INDEX(VarEnd,MATCH($A2736,VarKey,0))&amp;AG$5</f>
        <v/>
      </c>
      <c r="AH2736" s="40">
        <f>MAX(INDEX(AH$381:AH$392,$D2736)+(AH2709+AH2727)*(1+$E2736),0.01)</f>
        <v/>
      </c>
      <c r="AI2736" s="35">
        <f>MAX(INDEX(AI$381:AI$392,$D2736)+(AI2709+AI2727)*(1+$E2736),0.01)</f>
        <v/>
      </c>
      <c r="AJ2736" s="35">
        <f>MAX(INDEX(AJ$381:AJ$392,$D2736)+(AJ2709+AJ2727)*(1+$E2736),0.01)</f>
        <v/>
      </c>
      <c r="AK2736" s="35">
        <f>MAX(INDEX(AK$381:AK$392,$D2736)+(AK2709+AK2727)*(1+$E2736),0.01)</f>
        <v/>
      </c>
      <c r="AL2736" s="35">
        <f>MAX(INDEX(AL$381:AL$392,$D2736)+(AL2709+AL2727)*(1+$E2736),0.01)</f>
        <v/>
      </c>
      <c r="AM2736" s="35">
        <f>MAX(INDEX(AM$381:AM$392,$D2736)+(AM2709+AM2727)*(1+$E2736),0.01)</f>
        <v/>
      </c>
      <c r="AN2736" s="35">
        <f>MAX(INDEX(AN$381:AN$392,$D2736)+(AN2709+AN2727)*(1+$E2736),0.01)</f>
        <v/>
      </c>
      <c r="AO2736" s="35">
        <f>MAX(INDEX(AO$381:AO$392,$D2736)+(AO2709+AO2727)*(1+$E2736),0.01)</f>
        <v/>
      </c>
      <c r="AP2736" s="35">
        <f>MAX(INDEX(AP$381:AP$392,$D2736)+(AP2709+AP2727)*(1+$E2736),0.01)</f>
        <v/>
      </c>
      <c r="AQ2736" s="35">
        <f>MAX(INDEX(AQ$381:AQ$392,$D2736)+(AQ2709+AQ2727)*(1+$E2736),0.01)</f>
        <v/>
      </c>
      <c r="AR2736" s="35">
        <f>MAX(INDEX(AR$381:AR$392,$D2736)+(AR2709+AR2727)*(1+$E2736),0.01)</f>
        <v/>
      </c>
      <c r="AS2736" s="35">
        <f>MAX(INDEX(AS$381:AS$392,$D2736)+(AS2709+AS2727)*(1+$E2736),0.01)</f>
        <v/>
      </c>
      <c r="AT2736" s="35">
        <f>MAX(INDEX(AT$381:AT$392,$D2736)+(AT2709+AT2727)*(1+$E2736),0.01)</f>
        <v/>
      </c>
      <c r="AU2736" s="35">
        <f>MAX(INDEX(AU$381:AU$392,$D2736)+(AU2709+AU2727)*(1+$E2736),0.01)</f>
        <v/>
      </c>
      <c r="AV2736" s="35">
        <f>MAX(INDEX(AV$381:AV$392,$D2736)+(AV2709+AV2727)*(1+$E2736),0.01)</f>
        <v/>
      </c>
      <c r="AW2736" s="35">
        <f>MAX(INDEX(AW$381:AW$392,$D2736)+(AW2709+AW2727)*(1+$E2736),0.01)</f>
        <v/>
      </c>
      <c r="AX2736" s="35">
        <f>MAX(INDEX(AX$381:AX$392,$D2736)+(AX2709+AX2727)*(1+$E2736),0.01)</f>
        <v/>
      </c>
      <c r="AY2736" s="35">
        <f>MAX(INDEX(AY$381:AY$392,$D2736)+(AY2709+AY2727)*(1+$E2736),0.01)</f>
        <v/>
      </c>
      <c r="AZ2736" s="35">
        <f>MAX(INDEX(AZ$381:AZ$392,$D2736)+(AZ2709+AZ2727)*(1+$E2736),0.01)</f>
        <v/>
      </c>
      <c r="BA2736" s="42">
        <f>POSTTAX(INDEX(BA$381:BA$392,$D2736),BA2709+BA2727,$E2736)</f>
        <v/>
      </c>
    </row>
    <row r="2737" hidden="1" outlineLevel="2">
      <c r="A2737" s="14" t="inlineStr">
        <is>
          <t>atp</t>
        </is>
      </c>
      <c r="B2737" s="14" t="inlineStr">
        <is>
          <t>oop</t>
        </is>
      </c>
      <c r="C2737" s="14" t="inlineStr">
        <is>
          <t>cst</t>
        </is>
      </c>
      <c r="D2737" s="35">
        <f>INDEX(Inputs!$U$5:$U$132,MATCH($B2737&amp;"|"&amp;$C2737,Inputs!$A$5:$A$132,0))</f>
        <v/>
      </c>
      <c r="E2737" s="35">
        <f>INDEX(Inputs!$V$5:$V$132,MATCH($B2737&amp;"|"&amp;$C2737,Inputs!$A$5:$A$132,0))</f>
        <v/>
      </c>
      <c r="F2737" s="39" t="n"/>
      <c r="G2737" s="39" t="n"/>
      <c r="H2737" s="14">
        <f>INDEX(VarLab,MATCH($A2737,VarKey,0))&amp;INDEX(MemLab,MATCH($C2737&amp;"|"&amp;$B2737,MemKey,0))</f>
        <v/>
      </c>
      <c r="I2737" s="14">
        <f>INDEX(VarUnit,MATCH($A2737,VarKey,0))</f>
        <v/>
      </c>
      <c r="J2737" s="14">
        <f>INDEX(VarSrc,MATCH($A2737,VarKey,0))</f>
        <v/>
      </c>
      <c r="K2737" s="11">
        <f>CodePrefix&amp;$A2737&amp;IF($C2737="","","."&amp;$C2737&amp;"."&amp;$B2737)&amp;INDEX(VarEnd,MATCH($A2737,VarKey,0))&amp;K$5</f>
        <v/>
      </c>
      <c r="L2737" s="40">
        <f>MAX(INDEX(L$381:L$392,$D2737)+(L2710+L2728)*(1+$E2737),0.01)</f>
        <v/>
      </c>
      <c r="M2737" s="35">
        <f>MAX(INDEX(M$381:M$392,$D2737)+(M2710+M2728)*(1+$E2737),0.01)</f>
        <v/>
      </c>
      <c r="N2737" s="35">
        <f>MAX(INDEX(N$381:N$392,$D2737)+(N2710+N2728)*(1+$E2737),0.01)</f>
        <v/>
      </c>
      <c r="O2737" s="35">
        <f>MAX(INDEX(O$381:O$392,$D2737)+(O2710+O2728)*(1+$E2737),0.01)</f>
        <v/>
      </c>
      <c r="P2737" s="35">
        <f>MAX(INDEX(P$381:P$392,$D2737)+(P2710+P2728)*(1+$E2737),0.01)</f>
        <v/>
      </c>
      <c r="Q2737" s="35">
        <f>MAX(INDEX(Q$381:Q$392,$D2737)+(Q2710+Q2728)*(1+$E2737),0.01)</f>
        <v/>
      </c>
      <c r="R2737" s="35">
        <f>MAX(INDEX(R$381:R$392,$D2737)+(R2710+R2728)*(1+$E2737),0.01)</f>
        <v/>
      </c>
      <c r="S2737" s="35">
        <f>MAX(INDEX(S$381:S$392,$D2737)+(S2710+S2728)*(1+$E2737),0.01)</f>
        <v/>
      </c>
      <c r="T2737" s="35">
        <f>MAX(INDEX(T$381:T$392,$D2737)+(T2710+T2728)*(1+$E2737),0.01)</f>
        <v/>
      </c>
      <c r="U2737" s="35">
        <f>MAX(INDEX(U$381:U$392,$D2737)+(U2710+U2728)*(1+$E2737),0.01)</f>
        <v/>
      </c>
      <c r="V2737" s="35">
        <f>MAX(INDEX(V$381:V$392,$D2737)+(V2710+V2728)*(1+$E2737),0.01)</f>
        <v/>
      </c>
      <c r="W2737" s="35">
        <f>MAX(INDEX(W$381:W$392,$D2737)+(W2710+W2728)*(1+$E2737),0.01)</f>
        <v/>
      </c>
      <c r="X2737" s="35">
        <f>MAX(INDEX(X$381:X$392,$D2737)+(X2710+X2728)*(1+$E2737),0.01)</f>
        <v/>
      </c>
      <c r="Y2737" s="35">
        <f>MAX(INDEX(Y$381:Y$392,$D2737)+(Y2710+Y2728)*(1+$E2737),0.01)</f>
        <v/>
      </c>
      <c r="Z2737" s="35">
        <f>MAX(INDEX(Z$381:Z$392,$D2737)+(Z2710+Z2728)*(1+$E2737),0.01)</f>
        <v/>
      </c>
      <c r="AA2737" s="35">
        <f>MAX(INDEX(AA$381:AA$392,$D2737)+(AA2710+AA2728)*(1+$E2737),0.01)</f>
        <v/>
      </c>
      <c r="AB2737" s="35">
        <f>MAX(INDEX(AB$381:AB$392,$D2737)+(AB2710+AB2728)*(1+$E2737),0.01)</f>
        <v/>
      </c>
      <c r="AC2737" s="35">
        <f>MAX(INDEX(AC$381:AC$392,$D2737)+(AC2710+AC2728)*(1+$E2737),0.01)</f>
        <v/>
      </c>
      <c r="AD2737" s="35">
        <f>MAX(INDEX(AD$381:AD$392,$D2737)+(AD2710+AD2728)*(1+$E2737),0.01)</f>
        <v/>
      </c>
      <c r="AE2737" s="42">
        <f>POSTTAX(INDEX(AE$381:AE$392,$D2737),AE2710+AE2728,$E2737)</f>
        <v/>
      </c>
      <c r="AG2737" s="11">
        <f>CodePrefix&amp;$A2737&amp;IF($C2737="","","."&amp;$C2737&amp;"."&amp;$B2737)&amp;INDEX(VarEnd,MATCH($A2737,VarKey,0))&amp;AG$5</f>
        <v/>
      </c>
      <c r="AH2737" s="40">
        <f>MAX(INDEX(AH$381:AH$392,$D2737)+(AH2710+AH2728)*(1+$E2737),0.01)</f>
        <v/>
      </c>
      <c r="AI2737" s="35">
        <f>MAX(INDEX(AI$381:AI$392,$D2737)+(AI2710+AI2728)*(1+$E2737),0.01)</f>
        <v/>
      </c>
      <c r="AJ2737" s="35">
        <f>MAX(INDEX(AJ$381:AJ$392,$D2737)+(AJ2710+AJ2728)*(1+$E2737),0.01)</f>
        <v/>
      </c>
      <c r="AK2737" s="35">
        <f>MAX(INDEX(AK$381:AK$392,$D2737)+(AK2710+AK2728)*(1+$E2737),0.01)</f>
        <v/>
      </c>
      <c r="AL2737" s="35">
        <f>MAX(INDEX(AL$381:AL$392,$D2737)+(AL2710+AL2728)*(1+$E2737),0.01)</f>
        <v/>
      </c>
      <c r="AM2737" s="35">
        <f>MAX(INDEX(AM$381:AM$392,$D2737)+(AM2710+AM2728)*(1+$E2737),0.01)</f>
        <v/>
      </c>
      <c r="AN2737" s="35">
        <f>MAX(INDEX(AN$381:AN$392,$D2737)+(AN2710+AN2728)*(1+$E2737),0.01)</f>
        <v/>
      </c>
      <c r="AO2737" s="35">
        <f>MAX(INDEX(AO$381:AO$392,$D2737)+(AO2710+AO2728)*(1+$E2737),0.01)</f>
        <v/>
      </c>
      <c r="AP2737" s="35">
        <f>MAX(INDEX(AP$381:AP$392,$D2737)+(AP2710+AP2728)*(1+$E2737),0.01)</f>
        <v/>
      </c>
      <c r="AQ2737" s="35">
        <f>MAX(INDEX(AQ$381:AQ$392,$D2737)+(AQ2710+AQ2728)*(1+$E2737),0.01)</f>
        <v/>
      </c>
      <c r="AR2737" s="35">
        <f>MAX(INDEX(AR$381:AR$392,$D2737)+(AR2710+AR2728)*(1+$E2737),0.01)</f>
        <v/>
      </c>
      <c r="AS2737" s="35">
        <f>MAX(INDEX(AS$381:AS$392,$D2737)+(AS2710+AS2728)*(1+$E2737),0.01)</f>
        <v/>
      </c>
      <c r="AT2737" s="35">
        <f>MAX(INDEX(AT$381:AT$392,$D2737)+(AT2710+AT2728)*(1+$E2737),0.01)</f>
        <v/>
      </c>
      <c r="AU2737" s="35">
        <f>MAX(INDEX(AU$381:AU$392,$D2737)+(AU2710+AU2728)*(1+$E2737),0.01)</f>
        <v/>
      </c>
      <c r="AV2737" s="35">
        <f>MAX(INDEX(AV$381:AV$392,$D2737)+(AV2710+AV2728)*(1+$E2737),0.01)</f>
        <v/>
      </c>
      <c r="AW2737" s="35">
        <f>MAX(INDEX(AW$381:AW$392,$D2737)+(AW2710+AW2728)*(1+$E2737),0.01)</f>
        <v/>
      </c>
      <c r="AX2737" s="35">
        <f>MAX(INDEX(AX$381:AX$392,$D2737)+(AX2710+AX2728)*(1+$E2737),0.01)</f>
        <v/>
      </c>
      <c r="AY2737" s="35">
        <f>MAX(INDEX(AY$381:AY$392,$D2737)+(AY2710+AY2728)*(1+$E2737),0.01)</f>
        <v/>
      </c>
      <c r="AZ2737" s="35">
        <f>MAX(INDEX(AZ$381:AZ$392,$D2737)+(AZ2710+AZ2728)*(1+$E2737),0.01)</f>
        <v/>
      </c>
      <c r="BA2737" s="42">
        <f>POSTTAX(INDEX(BA$381:BA$392,$D2737),BA2710+BA2728,$E2737)</f>
        <v/>
      </c>
    </row>
    <row r="2738" hidden="1" outlineLevel="2">
      <c r="A2738" s="14" t="inlineStr">
        <is>
          <t>atp</t>
        </is>
      </c>
      <c r="B2738" s="14" t="inlineStr">
        <is>
          <t>bio</t>
        </is>
      </c>
      <c r="C2738" s="14" t="inlineStr">
        <is>
          <t>cst</t>
        </is>
      </c>
      <c r="D2738" s="35">
        <f>INDEX(Inputs!$U$5:$U$132,MATCH($B2738&amp;"|"&amp;$C2738,Inputs!$A$5:$A$132,0))</f>
        <v/>
      </c>
      <c r="E2738" s="35">
        <f>INDEX(Inputs!$V$5:$V$132,MATCH($B2738&amp;"|"&amp;$C2738,Inputs!$A$5:$A$132,0))</f>
        <v/>
      </c>
      <c r="F2738" s="39" t="n"/>
      <c r="G2738" s="39" t="n"/>
      <c r="H2738" s="14">
        <f>INDEX(VarLab,MATCH($A2738,VarKey,0))&amp;INDEX(MemLab,MATCH($C2738&amp;"|"&amp;$B2738,MemKey,0))</f>
        <v/>
      </c>
      <c r="I2738" s="14">
        <f>INDEX(VarUnit,MATCH($A2738,VarKey,0))</f>
        <v/>
      </c>
      <c r="J2738" s="14">
        <f>INDEX(VarSrc,MATCH($A2738,VarKey,0))</f>
        <v/>
      </c>
      <c r="K2738" s="11">
        <f>CodePrefix&amp;$A2738&amp;IF($C2738="","","."&amp;$C2738&amp;"."&amp;$B2738)&amp;INDEX(VarEnd,MATCH($A2738,VarKey,0))&amp;K$5</f>
        <v/>
      </c>
      <c r="L2738" s="40">
        <f>MAX(INDEX(L$381:L$392,$D2738)+(L2711+L2729)*(1+$E2738),0.01)</f>
        <v/>
      </c>
      <c r="M2738" s="35">
        <f>MAX(INDEX(M$381:M$392,$D2738)+(M2711+M2729)*(1+$E2738),0.01)</f>
        <v/>
      </c>
      <c r="N2738" s="35">
        <f>MAX(INDEX(N$381:N$392,$D2738)+(N2711+N2729)*(1+$E2738),0.01)</f>
        <v/>
      </c>
      <c r="O2738" s="35">
        <f>MAX(INDEX(O$381:O$392,$D2738)+(O2711+O2729)*(1+$E2738),0.01)</f>
        <v/>
      </c>
      <c r="P2738" s="35">
        <f>MAX(INDEX(P$381:P$392,$D2738)+(P2711+P2729)*(1+$E2738),0.01)</f>
        <v/>
      </c>
      <c r="Q2738" s="35">
        <f>MAX(INDEX(Q$381:Q$392,$D2738)+(Q2711+Q2729)*(1+$E2738),0.01)</f>
        <v/>
      </c>
      <c r="R2738" s="35">
        <f>MAX(INDEX(R$381:R$392,$D2738)+(R2711+R2729)*(1+$E2738),0.01)</f>
        <v/>
      </c>
      <c r="S2738" s="35">
        <f>MAX(INDEX(S$381:S$392,$D2738)+(S2711+S2729)*(1+$E2738),0.01)</f>
        <v/>
      </c>
      <c r="T2738" s="35">
        <f>MAX(INDEX(T$381:T$392,$D2738)+(T2711+T2729)*(1+$E2738),0.01)</f>
        <v/>
      </c>
      <c r="U2738" s="35">
        <f>MAX(INDEX(U$381:U$392,$D2738)+(U2711+U2729)*(1+$E2738),0.01)</f>
        <v/>
      </c>
      <c r="V2738" s="35">
        <f>MAX(INDEX(V$381:V$392,$D2738)+(V2711+V2729)*(1+$E2738),0.01)</f>
        <v/>
      </c>
      <c r="W2738" s="35">
        <f>MAX(INDEX(W$381:W$392,$D2738)+(W2711+W2729)*(1+$E2738),0.01)</f>
        <v/>
      </c>
      <c r="X2738" s="35">
        <f>MAX(INDEX(X$381:X$392,$D2738)+(X2711+X2729)*(1+$E2738),0.01)</f>
        <v/>
      </c>
      <c r="Y2738" s="35">
        <f>MAX(INDEX(Y$381:Y$392,$D2738)+(Y2711+Y2729)*(1+$E2738),0.01)</f>
        <v/>
      </c>
      <c r="Z2738" s="35">
        <f>MAX(INDEX(Z$381:Z$392,$D2738)+(Z2711+Z2729)*(1+$E2738),0.01)</f>
        <v/>
      </c>
      <c r="AA2738" s="35">
        <f>MAX(INDEX(AA$381:AA$392,$D2738)+(AA2711+AA2729)*(1+$E2738),0.01)</f>
        <v/>
      </c>
      <c r="AB2738" s="35">
        <f>MAX(INDEX(AB$381:AB$392,$D2738)+(AB2711+AB2729)*(1+$E2738),0.01)</f>
        <v/>
      </c>
      <c r="AC2738" s="35">
        <f>MAX(INDEX(AC$381:AC$392,$D2738)+(AC2711+AC2729)*(1+$E2738),0.01)</f>
        <v/>
      </c>
      <c r="AD2738" s="35">
        <f>MAX(INDEX(AD$381:AD$392,$D2738)+(AD2711+AD2729)*(1+$E2738),0.01)</f>
        <v/>
      </c>
      <c r="AE2738" s="42">
        <f>POSTTAX(INDEX(AE$381:AE$392,$D2738),AE2711+AE2729,$E2738)</f>
        <v/>
      </c>
      <c r="AG2738" s="11">
        <f>CodePrefix&amp;$A2738&amp;IF($C2738="","","."&amp;$C2738&amp;"."&amp;$B2738)&amp;INDEX(VarEnd,MATCH($A2738,VarKey,0))&amp;AG$5</f>
        <v/>
      </c>
      <c r="AH2738" s="40">
        <f>MAX(INDEX(AH$381:AH$392,$D2738)+(AH2711+AH2729)*(1+$E2738),0.01)</f>
        <v/>
      </c>
      <c r="AI2738" s="35">
        <f>MAX(INDEX(AI$381:AI$392,$D2738)+(AI2711+AI2729)*(1+$E2738),0.01)</f>
        <v/>
      </c>
      <c r="AJ2738" s="35">
        <f>MAX(INDEX(AJ$381:AJ$392,$D2738)+(AJ2711+AJ2729)*(1+$E2738),0.01)</f>
        <v/>
      </c>
      <c r="AK2738" s="35">
        <f>MAX(INDEX(AK$381:AK$392,$D2738)+(AK2711+AK2729)*(1+$E2738),0.01)</f>
        <v/>
      </c>
      <c r="AL2738" s="35">
        <f>MAX(INDEX(AL$381:AL$392,$D2738)+(AL2711+AL2729)*(1+$E2738),0.01)</f>
        <v/>
      </c>
      <c r="AM2738" s="35">
        <f>MAX(INDEX(AM$381:AM$392,$D2738)+(AM2711+AM2729)*(1+$E2738),0.01)</f>
        <v/>
      </c>
      <c r="AN2738" s="35">
        <f>MAX(INDEX(AN$381:AN$392,$D2738)+(AN2711+AN2729)*(1+$E2738),0.01)</f>
        <v/>
      </c>
      <c r="AO2738" s="35">
        <f>MAX(INDEX(AO$381:AO$392,$D2738)+(AO2711+AO2729)*(1+$E2738),0.01)</f>
        <v/>
      </c>
      <c r="AP2738" s="35">
        <f>MAX(INDEX(AP$381:AP$392,$D2738)+(AP2711+AP2729)*(1+$E2738),0.01)</f>
        <v/>
      </c>
      <c r="AQ2738" s="35">
        <f>MAX(INDEX(AQ$381:AQ$392,$D2738)+(AQ2711+AQ2729)*(1+$E2738),0.01)</f>
        <v/>
      </c>
      <c r="AR2738" s="35">
        <f>MAX(INDEX(AR$381:AR$392,$D2738)+(AR2711+AR2729)*(1+$E2738),0.01)</f>
        <v/>
      </c>
      <c r="AS2738" s="35">
        <f>MAX(INDEX(AS$381:AS$392,$D2738)+(AS2711+AS2729)*(1+$E2738),0.01)</f>
        <v/>
      </c>
      <c r="AT2738" s="35">
        <f>MAX(INDEX(AT$381:AT$392,$D2738)+(AT2711+AT2729)*(1+$E2738),0.01)</f>
        <v/>
      </c>
      <c r="AU2738" s="35">
        <f>MAX(INDEX(AU$381:AU$392,$D2738)+(AU2711+AU2729)*(1+$E2738),0.01)</f>
        <v/>
      </c>
      <c r="AV2738" s="35">
        <f>MAX(INDEX(AV$381:AV$392,$D2738)+(AV2711+AV2729)*(1+$E2738),0.01)</f>
        <v/>
      </c>
      <c r="AW2738" s="35">
        <f>MAX(INDEX(AW$381:AW$392,$D2738)+(AW2711+AW2729)*(1+$E2738),0.01)</f>
        <v/>
      </c>
      <c r="AX2738" s="35">
        <f>MAX(INDEX(AX$381:AX$392,$D2738)+(AX2711+AX2729)*(1+$E2738),0.01)</f>
        <v/>
      </c>
      <c r="AY2738" s="35">
        <f>MAX(INDEX(AY$381:AY$392,$D2738)+(AY2711+AY2729)*(1+$E2738),0.01)</f>
        <v/>
      </c>
      <c r="AZ2738" s="35">
        <f>MAX(INDEX(AZ$381:AZ$392,$D2738)+(AZ2711+AZ2729)*(1+$E2738),0.01)</f>
        <v/>
      </c>
      <c r="BA2738" s="42">
        <f>POSTTAX(INDEX(BA$381:BA$392,$D2738),BA2711+BA2729,$E2738)</f>
        <v/>
      </c>
    </row>
    <row r="2739" hidden="1" outlineLevel="2"/>
    <row r="2740" hidden="1" outlineLevel="2">
      <c r="A2740" s="14" t="inlineStr">
        <is>
          <t>shp</t>
        </is>
      </c>
      <c r="B2740" s="14" t="inlineStr">
        <is>
          <t>coa</t>
        </is>
      </c>
      <c r="C2740" s="14" t="inlineStr">
        <is>
          <t>cst</t>
        </is>
      </c>
      <c r="D2740" s="35">
        <f>INDEX(Inputs!$W$5:$W$132,MATCH($B2740&amp;"|"&amp;$C2740,Inputs!$A$5:$A$132,0))</f>
        <v/>
      </c>
      <c r="E2740" s="35">
        <f>INDEX(Inputs!$M$5:$M$132,MATCH($B2740&amp;"|"&amp;$C2740,Inputs!$A$5:$A$132,0))</f>
        <v/>
      </c>
      <c r="F2740" s="39" t="n"/>
      <c r="G2740" s="39" t="n"/>
      <c r="H2740" s="14">
        <f>INDEX(VarLab,MATCH($A2740,VarKey,0))&amp;INDEX(MemLab,MATCH($C2740&amp;"|"&amp;$B2740,MemKey,0))</f>
        <v/>
      </c>
      <c r="I2740" s="14">
        <f>INDEX(VarUnit,MATCH($A2740,VarKey,0))</f>
        <v/>
      </c>
      <c r="J2740" s="14">
        <f>INDEX(VarSrc,MATCH($A2740,VarKey,0))</f>
        <v/>
      </c>
      <c r="K2740" s="11">
        <f>CodePrefix&amp;$A2740&amp;IF($C2740="","","."&amp;$C2740&amp;"."&amp;$B2740)&amp;INDEX(VarEnd,MATCH($A2740,VarKey,0))&amp;K$5</f>
        <v/>
      </c>
      <c r="L2740" s="40">
        <f>INDEX(L$297:L$313,$E2740)*$D2740</f>
        <v/>
      </c>
      <c r="M2740" s="35">
        <f>INDEX(M$297:M$313,$E2740)*$D2740</f>
        <v/>
      </c>
      <c r="N2740" s="35">
        <f>INDEX(N$297:N$313,$E2740)*$D2740</f>
        <v/>
      </c>
      <c r="O2740" s="35">
        <f>INDEX(O$297:O$313,$E2740)*$D2740</f>
        <v/>
      </c>
      <c r="P2740" s="35">
        <f>INDEX(P$297:P$313,$E2740)*$D2740</f>
        <v/>
      </c>
      <c r="Q2740" s="35">
        <f>INDEX(Q$297:Q$313,$E2740)*$D2740</f>
        <v/>
      </c>
      <c r="R2740" s="35">
        <f>INDEX(R$297:R$313,$E2740)*$D2740</f>
        <v/>
      </c>
      <c r="S2740" s="35">
        <f>INDEX(S$297:S$313,$E2740)*$D2740</f>
        <v/>
      </c>
      <c r="T2740" s="35">
        <f>INDEX(T$297:T$313,$E2740)*$D2740</f>
        <v/>
      </c>
      <c r="U2740" s="35">
        <f>INDEX(U$297:U$313,$E2740)*$D2740</f>
        <v/>
      </c>
      <c r="V2740" s="35">
        <f>INDEX(V$297:V$313,$E2740)*$D2740</f>
        <v/>
      </c>
      <c r="W2740" s="35">
        <f>INDEX(W$297:W$313,$E2740)*$D2740</f>
        <v/>
      </c>
      <c r="X2740" s="35">
        <f>INDEX(X$297:X$313,$E2740)*$D2740</f>
        <v/>
      </c>
      <c r="Y2740" s="35">
        <f>INDEX(Y$297:Y$313,$E2740)*$D2740</f>
        <v/>
      </c>
      <c r="Z2740" s="35">
        <f>INDEX(Z$297:Z$313,$E2740)*$D2740</f>
        <v/>
      </c>
      <c r="AA2740" s="35">
        <f>INDEX(AA$297:AA$313,$E2740)*$D2740</f>
        <v/>
      </c>
      <c r="AB2740" s="35">
        <f>INDEX(AB$297:AB$313,$E2740)*$D2740</f>
        <v/>
      </c>
      <c r="AC2740" s="35">
        <f>INDEX(AC$297:AC$313,$E2740)*$D2740</f>
        <v/>
      </c>
      <c r="AD2740" s="35">
        <f>INDEX(AD$297:AD$313,$E2740)*$D2740</f>
        <v/>
      </c>
      <c r="AE2740" s="42">
        <f>SHADOWGJ(INDEX(AE$297:AE$313,$E2740),$D2740)</f>
        <v/>
      </c>
      <c r="AG2740" s="11">
        <f>CodePrefix&amp;$A2740&amp;IF($C2740="","","."&amp;$C2740&amp;"."&amp;$B2740)&amp;INDEX(VarEnd,MATCH($A2740,VarKey,0))&amp;AG$5</f>
        <v/>
      </c>
      <c r="AH2740" s="40">
        <f>INDEX(AH$297:AH$313,$E2740)*$D2740</f>
        <v/>
      </c>
      <c r="AI2740" s="35">
        <f>INDEX(AI$297:AI$313,$E2740)*$D2740</f>
        <v/>
      </c>
      <c r="AJ2740" s="35">
        <f>INDEX(AJ$297:AJ$313,$E2740)*$D2740</f>
        <v/>
      </c>
      <c r="AK2740" s="35">
        <f>INDEX(AK$297:AK$313,$E2740)*$D2740</f>
        <v/>
      </c>
      <c r="AL2740" s="35">
        <f>INDEX(AL$297:AL$313,$E2740)*$D2740</f>
        <v/>
      </c>
      <c r="AM2740" s="35">
        <f>INDEX(AM$297:AM$313,$E2740)*$D2740</f>
        <v/>
      </c>
      <c r="AN2740" s="35">
        <f>INDEX(AN$297:AN$313,$E2740)*$D2740</f>
        <v/>
      </c>
      <c r="AO2740" s="35">
        <f>INDEX(AO$297:AO$313,$E2740)*$D2740</f>
        <v/>
      </c>
      <c r="AP2740" s="35">
        <f>INDEX(AP$297:AP$313,$E2740)*$D2740</f>
        <v/>
      </c>
      <c r="AQ2740" s="35">
        <f>INDEX(AQ$297:AQ$313,$E2740)*$D2740</f>
        <v/>
      </c>
      <c r="AR2740" s="35">
        <f>INDEX(AR$297:AR$313,$E2740)*$D2740</f>
        <v/>
      </c>
      <c r="AS2740" s="35">
        <f>INDEX(AS$297:AS$313,$E2740)*$D2740</f>
        <v/>
      </c>
      <c r="AT2740" s="35">
        <f>INDEX(AT$297:AT$313,$E2740)*$D2740</f>
        <v/>
      </c>
      <c r="AU2740" s="35">
        <f>INDEX(AU$297:AU$313,$E2740)*$D2740</f>
        <v/>
      </c>
      <c r="AV2740" s="35">
        <f>INDEX(AV$297:AV$313,$E2740)*$D2740</f>
        <v/>
      </c>
      <c r="AW2740" s="35">
        <f>INDEX(AW$297:AW$313,$E2740)*$D2740</f>
        <v/>
      </c>
      <c r="AX2740" s="35">
        <f>INDEX(AX$297:AX$313,$E2740)*$D2740</f>
        <v/>
      </c>
      <c r="AY2740" s="35">
        <f>INDEX(AY$297:AY$313,$E2740)*$D2740</f>
        <v/>
      </c>
      <c r="AZ2740" s="35">
        <f>INDEX(AZ$297:AZ$313,$E2740)*$D2740</f>
        <v/>
      </c>
      <c r="BA2740" s="42">
        <f>SHADOWGJ(INDEX(BA$297:BA$313,$E2740),$D2740)</f>
        <v/>
      </c>
    </row>
    <row r="2741" hidden="1" outlineLevel="2">
      <c r="A2741" s="14" t="inlineStr">
        <is>
          <t>shp</t>
        </is>
      </c>
      <c r="B2741" s="14" t="inlineStr">
        <is>
          <t>nga</t>
        </is>
      </c>
      <c r="C2741" s="14" t="inlineStr">
        <is>
          <t>cst</t>
        </is>
      </c>
      <c r="D2741" s="35">
        <f>INDEX(Inputs!$W$5:$W$132,MATCH($B2741&amp;"|"&amp;$C2741,Inputs!$A$5:$A$132,0))</f>
        <v/>
      </c>
      <c r="E2741" s="35">
        <f>INDEX(Inputs!$M$5:$M$132,MATCH($B2741&amp;"|"&amp;$C2741,Inputs!$A$5:$A$132,0))</f>
        <v/>
      </c>
      <c r="F2741" s="39" t="n"/>
      <c r="G2741" s="39" t="n"/>
      <c r="H2741" s="14">
        <f>INDEX(VarLab,MATCH($A2741,VarKey,0))&amp;INDEX(MemLab,MATCH($C2741&amp;"|"&amp;$B2741,MemKey,0))</f>
        <v/>
      </c>
      <c r="I2741" s="14">
        <f>INDEX(VarUnit,MATCH($A2741,VarKey,0))</f>
        <v/>
      </c>
      <c r="J2741" s="14">
        <f>INDEX(VarSrc,MATCH($A2741,VarKey,0))</f>
        <v/>
      </c>
      <c r="K2741" s="11">
        <f>CodePrefix&amp;$A2741&amp;IF($C2741="","","."&amp;$C2741&amp;"."&amp;$B2741)&amp;INDEX(VarEnd,MATCH($A2741,VarKey,0))&amp;K$5</f>
        <v/>
      </c>
      <c r="L2741" s="40">
        <f>INDEX(L$297:L$313,$E2741)*$D2741</f>
        <v/>
      </c>
      <c r="M2741" s="35">
        <f>INDEX(M$297:M$313,$E2741)*$D2741</f>
        <v/>
      </c>
      <c r="N2741" s="35">
        <f>INDEX(N$297:N$313,$E2741)*$D2741</f>
        <v/>
      </c>
      <c r="O2741" s="35">
        <f>INDEX(O$297:O$313,$E2741)*$D2741</f>
        <v/>
      </c>
      <c r="P2741" s="35">
        <f>INDEX(P$297:P$313,$E2741)*$D2741</f>
        <v/>
      </c>
      <c r="Q2741" s="35">
        <f>INDEX(Q$297:Q$313,$E2741)*$D2741</f>
        <v/>
      </c>
      <c r="R2741" s="35">
        <f>INDEX(R$297:R$313,$E2741)*$D2741</f>
        <v/>
      </c>
      <c r="S2741" s="35">
        <f>INDEX(S$297:S$313,$E2741)*$D2741</f>
        <v/>
      </c>
      <c r="T2741" s="35">
        <f>INDEX(T$297:T$313,$E2741)*$D2741</f>
        <v/>
      </c>
      <c r="U2741" s="35">
        <f>INDEX(U$297:U$313,$E2741)*$D2741</f>
        <v/>
      </c>
      <c r="V2741" s="35">
        <f>INDEX(V$297:V$313,$E2741)*$D2741</f>
        <v/>
      </c>
      <c r="W2741" s="35">
        <f>INDEX(W$297:W$313,$E2741)*$D2741</f>
        <v/>
      </c>
      <c r="X2741" s="35">
        <f>INDEX(X$297:X$313,$E2741)*$D2741</f>
        <v/>
      </c>
      <c r="Y2741" s="35">
        <f>INDEX(Y$297:Y$313,$E2741)*$D2741</f>
        <v/>
      </c>
      <c r="Z2741" s="35">
        <f>INDEX(Z$297:Z$313,$E2741)*$D2741</f>
        <v/>
      </c>
      <c r="AA2741" s="35">
        <f>INDEX(AA$297:AA$313,$E2741)*$D2741</f>
        <v/>
      </c>
      <c r="AB2741" s="35">
        <f>INDEX(AB$297:AB$313,$E2741)*$D2741</f>
        <v/>
      </c>
      <c r="AC2741" s="35">
        <f>INDEX(AC$297:AC$313,$E2741)*$D2741</f>
        <v/>
      </c>
      <c r="AD2741" s="35">
        <f>INDEX(AD$297:AD$313,$E2741)*$D2741</f>
        <v/>
      </c>
      <c r="AE2741" s="42">
        <f>SHADOWGJ(INDEX(AE$297:AE$313,$E2741),$D2741)</f>
        <v/>
      </c>
      <c r="AG2741" s="11">
        <f>CodePrefix&amp;$A2741&amp;IF($C2741="","","."&amp;$C2741&amp;"."&amp;$B2741)&amp;INDEX(VarEnd,MATCH($A2741,VarKey,0))&amp;AG$5</f>
        <v/>
      </c>
      <c r="AH2741" s="40">
        <f>INDEX(AH$297:AH$313,$E2741)*$D2741</f>
        <v/>
      </c>
      <c r="AI2741" s="35">
        <f>INDEX(AI$297:AI$313,$E2741)*$D2741</f>
        <v/>
      </c>
      <c r="AJ2741" s="35">
        <f>INDEX(AJ$297:AJ$313,$E2741)*$D2741</f>
        <v/>
      </c>
      <c r="AK2741" s="35">
        <f>INDEX(AK$297:AK$313,$E2741)*$D2741</f>
        <v/>
      </c>
      <c r="AL2741" s="35">
        <f>INDEX(AL$297:AL$313,$E2741)*$D2741</f>
        <v/>
      </c>
      <c r="AM2741" s="35">
        <f>INDEX(AM$297:AM$313,$E2741)*$D2741</f>
        <v/>
      </c>
      <c r="AN2741" s="35">
        <f>INDEX(AN$297:AN$313,$E2741)*$D2741</f>
        <v/>
      </c>
      <c r="AO2741" s="35">
        <f>INDEX(AO$297:AO$313,$E2741)*$D2741</f>
        <v/>
      </c>
      <c r="AP2741" s="35">
        <f>INDEX(AP$297:AP$313,$E2741)*$D2741</f>
        <v/>
      </c>
      <c r="AQ2741" s="35">
        <f>INDEX(AQ$297:AQ$313,$E2741)*$D2741</f>
        <v/>
      </c>
      <c r="AR2741" s="35">
        <f>INDEX(AR$297:AR$313,$E2741)*$D2741</f>
        <v/>
      </c>
      <c r="AS2741" s="35">
        <f>INDEX(AS$297:AS$313,$E2741)*$D2741</f>
        <v/>
      </c>
      <c r="AT2741" s="35">
        <f>INDEX(AT$297:AT$313,$E2741)*$D2741</f>
        <v/>
      </c>
      <c r="AU2741" s="35">
        <f>INDEX(AU$297:AU$313,$E2741)*$D2741</f>
        <v/>
      </c>
      <c r="AV2741" s="35">
        <f>INDEX(AV$297:AV$313,$E2741)*$D2741</f>
        <v/>
      </c>
      <c r="AW2741" s="35">
        <f>INDEX(AW$297:AW$313,$E2741)*$D2741</f>
        <v/>
      </c>
      <c r="AX2741" s="35">
        <f>INDEX(AX$297:AX$313,$E2741)*$D2741</f>
        <v/>
      </c>
      <c r="AY2741" s="35">
        <f>INDEX(AY$297:AY$313,$E2741)*$D2741</f>
        <v/>
      </c>
      <c r="AZ2741" s="35">
        <f>INDEX(AZ$297:AZ$313,$E2741)*$D2741</f>
        <v/>
      </c>
      <c r="BA2741" s="42">
        <f>SHADOWGJ(INDEX(BA$297:BA$313,$E2741),$D2741)</f>
        <v/>
      </c>
    </row>
    <row r="2742" hidden="1" outlineLevel="2">
      <c r="A2742" s="14" t="inlineStr">
        <is>
          <t>shp</t>
        </is>
      </c>
      <c r="B2742" s="14" t="inlineStr">
        <is>
          <t>gso</t>
        </is>
      </c>
      <c r="C2742" s="14" t="inlineStr">
        <is>
          <t>cst</t>
        </is>
      </c>
      <c r="D2742" s="35">
        <f>INDEX(Inputs!$W$5:$W$132,MATCH($B2742&amp;"|"&amp;$C2742,Inputs!$A$5:$A$132,0))</f>
        <v/>
      </c>
      <c r="E2742" s="35">
        <f>INDEX(Inputs!$M$5:$M$132,MATCH($B2742&amp;"|"&amp;$C2742,Inputs!$A$5:$A$132,0))</f>
        <v/>
      </c>
      <c r="F2742" s="39" t="n"/>
      <c r="G2742" s="39" t="n"/>
      <c r="H2742" s="14">
        <f>INDEX(VarLab,MATCH($A2742,VarKey,0))&amp;INDEX(MemLab,MATCH($C2742&amp;"|"&amp;$B2742,MemKey,0))</f>
        <v/>
      </c>
      <c r="I2742" s="14">
        <f>INDEX(VarUnit,MATCH($A2742,VarKey,0))</f>
        <v/>
      </c>
      <c r="J2742" s="14">
        <f>INDEX(VarSrc,MATCH($A2742,VarKey,0))</f>
        <v/>
      </c>
      <c r="K2742" s="11">
        <f>CodePrefix&amp;$A2742&amp;IF($C2742="","","."&amp;$C2742&amp;"."&amp;$B2742)&amp;INDEX(VarEnd,MATCH($A2742,VarKey,0))&amp;K$5</f>
        <v/>
      </c>
      <c r="L2742" s="40">
        <f>INDEX(L$297:L$313,$E2742)*$D2742</f>
        <v/>
      </c>
      <c r="M2742" s="35">
        <f>INDEX(M$297:M$313,$E2742)*$D2742</f>
        <v/>
      </c>
      <c r="N2742" s="35">
        <f>INDEX(N$297:N$313,$E2742)*$D2742</f>
        <v/>
      </c>
      <c r="O2742" s="35">
        <f>INDEX(O$297:O$313,$E2742)*$D2742</f>
        <v/>
      </c>
      <c r="P2742" s="35">
        <f>INDEX(P$297:P$313,$E2742)*$D2742</f>
        <v/>
      </c>
      <c r="Q2742" s="35">
        <f>INDEX(Q$297:Q$313,$E2742)*$D2742</f>
        <v/>
      </c>
      <c r="R2742" s="35">
        <f>INDEX(R$297:R$313,$E2742)*$D2742</f>
        <v/>
      </c>
      <c r="S2742" s="35">
        <f>INDEX(S$297:S$313,$E2742)*$D2742</f>
        <v/>
      </c>
      <c r="T2742" s="35">
        <f>INDEX(T$297:T$313,$E2742)*$D2742</f>
        <v/>
      </c>
      <c r="U2742" s="35">
        <f>INDEX(U$297:U$313,$E2742)*$D2742</f>
        <v/>
      </c>
      <c r="V2742" s="35">
        <f>INDEX(V$297:V$313,$E2742)*$D2742</f>
        <v/>
      </c>
      <c r="W2742" s="35">
        <f>INDEX(W$297:W$313,$E2742)*$D2742</f>
        <v/>
      </c>
      <c r="X2742" s="35">
        <f>INDEX(X$297:X$313,$E2742)*$D2742</f>
        <v/>
      </c>
      <c r="Y2742" s="35">
        <f>INDEX(Y$297:Y$313,$E2742)*$D2742</f>
        <v/>
      </c>
      <c r="Z2742" s="35">
        <f>INDEX(Z$297:Z$313,$E2742)*$D2742</f>
        <v/>
      </c>
      <c r="AA2742" s="35">
        <f>INDEX(AA$297:AA$313,$E2742)*$D2742</f>
        <v/>
      </c>
      <c r="AB2742" s="35">
        <f>INDEX(AB$297:AB$313,$E2742)*$D2742</f>
        <v/>
      </c>
      <c r="AC2742" s="35">
        <f>INDEX(AC$297:AC$313,$E2742)*$D2742</f>
        <v/>
      </c>
      <c r="AD2742" s="35">
        <f>INDEX(AD$297:AD$313,$E2742)*$D2742</f>
        <v/>
      </c>
      <c r="AE2742" s="42">
        <f>SHADOWGJ(INDEX(AE$297:AE$313,$E2742),$D2742)</f>
        <v/>
      </c>
      <c r="AG2742" s="11">
        <f>CodePrefix&amp;$A2742&amp;IF($C2742="","","."&amp;$C2742&amp;"."&amp;$B2742)&amp;INDEX(VarEnd,MATCH($A2742,VarKey,0))&amp;AG$5</f>
        <v/>
      </c>
      <c r="AH2742" s="40">
        <f>INDEX(AH$297:AH$313,$E2742)*$D2742</f>
        <v/>
      </c>
      <c r="AI2742" s="35">
        <f>INDEX(AI$297:AI$313,$E2742)*$D2742</f>
        <v/>
      </c>
      <c r="AJ2742" s="35">
        <f>INDEX(AJ$297:AJ$313,$E2742)*$D2742</f>
        <v/>
      </c>
      <c r="AK2742" s="35">
        <f>INDEX(AK$297:AK$313,$E2742)*$D2742</f>
        <v/>
      </c>
      <c r="AL2742" s="35">
        <f>INDEX(AL$297:AL$313,$E2742)*$D2742</f>
        <v/>
      </c>
      <c r="AM2742" s="35">
        <f>INDEX(AM$297:AM$313,$E2742)*$D2742</f>
        <v/>
      </c>
      <c r="AN2742" s="35">
        <f>INDEX(AN$297:AN$313,$E2742)*$D2742</f>
        <v/>
      </c>
      <c r="AO2742" s="35">
        <f>INDEX(AO$297:AO$313,$E2742)*$D2742</f>
        <v/>
      </c>
      <c r="AP2742" s="35">
        <f>INDEX(AP$297:AP$313,$E2742)*$D2742</f>
        <v/>
      </c>
      <c r="AQ2742" s="35">
        <f>INDEX(AQ$297:AQ$313,$E2742)*$D2742</f>
        <v/>
      </c>
      <c r="AR2742" s="35">
        <f>INDEX(AR$297:AR$313,$E2742)*$D2742</f>
        <v/>
      </c>
      <c r="AS2742" s="35">
        <f>INDEX(AS$297:AS$313,$E2742)*$D2742</f>
        <v/>
      </c>
      <c r="AT2742" s="35">
        <f>INDEX(AT$297:AT$313,$E2742)*$D2742</f>
        <v/>
      </c>
      <c r="AU2742" s="35">
        <f>INDEX(AU$297:AU$313,$E2742)*$D2742</f>
        <v/>
      </c>
      <c r="AV2742" s="35">
        <f>INDEX(AV$297:AV$313,$E2742)*$D2742</f>
        <v/>
      </c>
      <c r="AW2742" s="35">
        <f>INDEX(AW$297:AW$313,$E2742)*$D2742</f>
        <v/>
      </c>
      <c r="AX2742" s="35">
        <f>INDEX(AX$297:AX$313,$E2742)*$D2742</f>
        <v/>
      </c>
      <c r="AY2742" s="35">
        <f>INDEX(AY$297:AY$313,$E2742)*$D2742</f>
        <v/>
      </c>
      <c r="AZ2742" s="35">
        <f>INDEX(AZ$297:AZ$313,$E2742)*$D2742</f>
        <v/>
      </c>
      <c r="BA2742" s="42">
        <f>SHADOWGJ(INDEX(BA$297:BA$313,$E2742),$D2742)</f>
        <v/>
      </c>
    </row>
    <row r="2743" hidden="1" outlineLevel="2">
      <c r="A2743" s="14" t="inlineStr">
        <is>
          <t>shp</t>
        </is>
      </c>
      <c r="B2743" s="14" t="inlineStr">
        <is>
          <t>die</t>
        </is>
      </c>
      <c r="C2743" s="14" t="inlineStr">
        <is>
          <t>cst</t>
        </is>
      </c>
      <c r="D2743" s="35">
        <f>INDEX(Inputs!$W$5:$W$132,MATCH($B2743&amp;"|"&amp;$C2743,Inputs!$A$5:$A$132,0))</f>
        <v/>
      </c>
      <c r="E2743" s="35">
        <f>INDEX(Inputs!$M$5:$M$132,MATCH($B2743&amp;"|"&amp;$C2743,Inputs!$A$5:$A$132,0))</f>
        <v/>
      </c>
      <c r="F2743" s="39" t="n"/>
      <c r="G2743" s="39" t="n"/>
      <c r="H2743" s="14">
        <f>INDEX(VarLab,MATCH($A2743,VarKey,0))&amp;INDEX(MemLab,MATCH($C2743&amp;"|"&amp;$B2743,MemKey,0))</f>
        <v/>
      </c>
      <c r="I2743" s="14">
        <f>INDEX(VarUnit,MATCH($A2743,VarKey,0))</f>
        <v/>
      </c>
      <c r="J2743" s="14">
        <f>INDEX(VarSrc,MATCH($A2743,VarKey,0))</f>
        <v/>
      </c>
      <c r="K2743" s="11">
        <f>CodePrefix&amp;$A2743&amp;IF($C2743="","","."&amp;$C2743&amp;"."&amp;$B2743)&amp;INDEX(VarEnd,MATCH($A2743,VarKey,0))&amp;K$5</f>
        <v/>
      </c>
      <c r="L2743" s="40">
        <f>INDEX(L$297:L$313,$E2743)*$D2743</f>
        <v/>
      </c>
      <c r="M2743" s="35">
        <f>INDEX(M$297:M$313,$E2743)*$D2743</f>
        <v/>
      </c>
      <c r="N2743" s="35">
        <f>INDEX(N$297:N$313,$E2743)*$D2743</f>
        <v/>
      </c>
      <c r="O2743" s="35">
        <f>INDEX(O$297:O$313,$E2743)*$D2743</f>
        <v/>
      </c>
      <c r="P2743" s="35">
        <f>INDEX(P$297:P$313,$E2743)*$D2743</f>
        <v/>
      </c>
      <c r="Q2743" s="35">
        <f>INDEX(Q$297:Q$313,$E2743)*$D2743</f>
        <v/>
      </c>
      <c r="R2743" s="35">
        <f>INDEX(R$297:R$313,$E2743)*$D2743</f>
        <v/>
      </c>
      <c r="S2743" s="35">
        <f>INDEX(S$297:S$313,$E2743)*$D2743</f>
        <v/>
      </c>
      <c r="T2743" s="35">
        <f>INDEX(T$297:T$313,$E2743)*$D2743</f>
        <v/>
      </c>
      <c r="U2743" s="35">
        <f>INDEX(U$297:U$313,$E2743)*$D2743</f>
        <v/>
      </c>
      <c r="V2743" s="35">
        <f>INDEX(V$297:V$313,$E2743)*$D2743</f>
        <v/>
      </c>
      <c r="W2743" s="35">
        <f>INDEX(W$297:W$313,$E2743)*$D2743</f>
        <v/>
      </c>
      <c r="X2743" s="35">
        <f>INDEX(X$297:X$313,$E2743)*$D2743</f>
        <v/>
      </c>
      <c r="Y2743" s="35">
        <f>INDEX(Y$297:Y$313,$E2743)*$D2743</f>
        <v/>
      </c>
      <c r="Z2743" s="35">
        <f>INDEX(Z$297:Z$313,$E2743)*$D2743</f>
        <v/>
      </c>
      <c r="AA2743" s="35">
        <f>INDEX(AA$297:AA$313,$E2743)*$D2743</f>
        <v/>
      </c>
      <c r="AB2743" s="35">
        <f>INDEX(AB$297:AB$313,$E2743)*$D2743</f>
        <v/>
      </c>
      <c r="AC2743" s="35">
        <f>INDEX(AC$297:AC$313,$E2743)*$D2743</f>
        <v/>
      </c>
      <c r="AD2743" s="35">
        <f>INDEX(AD$297:AD$313,$E2743)*$D2743</f>
        <v/>
      </c>
      <c r="AE2743" s="42">
        <f>SHADOWGJ(INDEX(AE$297:AE$313,$E2743),$D2743)</f>
        <v/>
      </c>
      <c r="AG2743" s="11">
        <f>CodePrefix&amp;$A2743&amp;IF($C2743="","","."&amp;$C2743&amp;"."&amp;$B2743)&amp;INDEX(VarEnd,MATCH($A2743,VarKey,0))&amp;AG$5</f>
        <v/>
      </c>
      <c r="AH2743" s="40">
        <f>INDEX(AH$297:AH$313,$E2743)*$D2743</f>
        <v/>
      </c>
      <c r="AI2743" s="35">
        <f>INDEX(AI$297:AI$313,$E2743)*$D2743</f>
        <v/>
      </c>
      <c r="AJ2743" s="35">
        <f>INDEX(AJ$297:AJ$313,$E2743)*$D2743</f>
        <v/>
      </c>
      <c r="AK2743" s="35">
        <f>INDEX(AK$297:AK$313,$E2743)*$D2743</f>
        <v/>
      </c>
      <c r="AL2743" s="35">
        <f>INDEX(AL$297:AL$313,$E2743)*$D2743</f>
        <v/>
      </c>
      <c r="AM2743" s="35">
        <f>INDEX(AM$297:AM$313,$E2743)*$D2743</f>
        <v/>
      </c>
      <c r="AN2743" s="35">
        <f>INDEX(AN$297:AN$313,$E2743)*$D2743</f>
        <v/>
      </c>
      <c r="AO2743" s="35">
        <f>INDEX(AO$297:AO$313,$E2743)*$D2743</f>
        <v/>
      </c>
      <c r="AP2743" s="35">
        <f>INDEX(AP$297:AP$313,$E2743)*$D2743</f>
        <v/>
      </c>
      <c r="AQ2743" s="35">
        <f>INDEX(AQ$297:AQ$313,$E2743)*$D2743</f>
        <v/>
      </c>
      <c r="AR2743" s="35">
        <f>INDEX(AR$297:AR$313,$E2743)*$D2743</f>
        <v/>
      </c>
      <c r="AS2743" s="35">
        <f>INDEX(AS$297:AS$313,$E2743)*$D2743</f>
        <v/>
      </c>
      <c r="AT2743" s="35">
        <f>INDEX(AT$297:AT$313,$E2743)*$D2743</f>
        <v/>
      </c>
      <c r="AU2743" s="35">
        <f>INDEX(AU$297:AU$313,$E2743)*$D2743</f>
        <v/>
      </c>
      <c r="AV2743" s="35">
        <f>INDEX(AV$297:AV$313,$E2743)*$D2743</f>
        <v/>
      </c>
      <c r="AW2743" s="35">
        <f>INDEX(AW$297:AW$313,$E2743)*$D2743</f>
        <v/>
      </c>
      <c r="AX2743" s="35">
        <f>INDEX(AX$297:AX$313,$E2743)*$D2743</f>
        <v/>
      </c>
      <c r="AY2743" s="35">
        <f>INDEX(AY$297:AY$313,$E2743)*$D2743</f>
        <v/>
      </c>
      <c r="AZ2743" s="35">
        <f>INDEX(AZ$297:AZ$313,$E2743)*$D2743</f>
        <v/>
      </c>
      <c r="BA2743" s="42">
        <f>SHADOWGJ(INDEX(BA$297:BA$313,$E2743),$D2743)</f>
        <v/>
      </c>
    </row>
    <row r="2744" hidden="1" outlineLevel="2">
      <c r="A2744" s="14" t="inlineStr">
        <is>
          <t>shp</t>
        </is>
      </c>
      <c r="B2744" s="14" t="inlineStr">
        <is>
          <t>lpg</t>
        </is>
      </c>
      <c r="C2744" s="14" t="inlineStr">
        <is>
          <t>cst</t>
        </is>
      </c>
      <c r="D2744" s="35">
        <f>INDEX(Inputs!$W$5:$W$132,MATCH($B2744&amp;"|"&amp;$C2744,Inputs!$A$5:$A$132,0))</f>
        <v/>
      </c>
      <c r="E2744" s="35">
        <f>INDEX(Inputs!$M$5:$M$132,MATCH($B2744&amp;"|"&amp;$C2744,Inputs!$A$5:$A$132,0))</f>
        <v/>
      </c>
      <c r="F2744" s="39" t="n"/>
      <c r="G2744" s="39" t="n"/>
      <c r="H2744" s="14">
        <f>INDEX(VarLab,MATCH($A2744,VarKey,0))&amp;INDEX(MemLab,MATCH($C2744&amp;"|"&amp;$B2744,MemKey,0))</f>
        <v/>
      </c>
      <c r="I2744" s="14">
        <f>INDEX(VarUnit,MATCH($A2744,VarKey,0))</f>
        <v/>
      </c>
      <c r="J2744" s="14">
        <f>INDEX(VarSrc,MATCH($A2744,VarKey,0))</f>
        <v/>
      </c>
      <c r="K2744" s="11">
        <f>CodePrefix&amp;$A2744&amp;IF($C2744="","","."&amp;$C2744&amp;"."&amp;$B2744)&amp;INDEX(VarEnd,MATCH($A2744,VarKey,0))&amp;K$5</f>
        <v/>
      </c>
      <c r="L2744" s="40">
        <f>INDEX(L$297:L$313,$E2744)*$D2744</f>
        <v/>
      </c>
      <c r="M2744" s="35">
        <f>INDEX(M$297:M$313,$E2744)*$D2744</f>
        <v/>
      </c>
      <c r="N2744" s="35">
        <f>INDEX(N$297:N$313,$E2744)*$D2744</f>
        <v/>
      </c>
      <c r="O2744" s="35">
        <f>INDEX(O$297:O$313,$E2744)*$D2744</f>
        <v/>
      </c>
      <c r="P2744" s="35">
        <f>INDEX(P$297:P$313,$E2744)*$D2744</f>
        <v/>
      </c>
      <c r="Q2744" s="35">
        <f>INDEX(Q$297:Q$313,$E2744)*$D2744</f>
        <v/>
      </c>
      <c r="R2744" s="35">
        <f>INDEX(R$297:R$313,$E2744)*$D2744</f>
        <v/>
      </c>
      <c r="S2744" s="35">
        <f>INDEX(S$297:S$313,$E2744)*$D2744</f>
        <v/>
      </c>
      <c r="T2744" s="35">
        <f>INDEX(T$297:T$313,$E2744)*$D2744</f>
        <v/>
      </c>
      <c r="U2744" s="35">
        <f>INDEX(U$297:U$313,$E2744)*$D2744</f>
        <v/>
      </c>
      <c r="V2744" s="35">
        <f>INDEX(V$297:V$313,$E2744)*$D2744</f>
        <v/>
      </c>
      <c r="W2744" s="35">
        <f>INDEX(W$297:W$313,$E2744)*$D2744</f>
        <v/>
      </c>
      <c r="X2744" s="35">
        <f>INDEX(X$297:X$313,$E2744)*$D2744</f>
        <v/>
      </c>
      <c r="Y2744" s="35">
        <f>INDEX(Y$297:Y$313,$E2744)*$D2744</f>
        <v/>
      </c>
      <c r="Z2744" s="35">
        <f>INDEX(Z$297:Z$313,$E2744)*$D2744</f>
        <v/>
      </c>
      <c r="AA2744" s="35">
        <f>INDEX(AA$297:AA$313,$E2744)*$D2744</f>
        <v/>
      </c>
      <c r="AB2744" s="35">
        <f>INDEX(AB$297:AB$313,$E2744)*$D2744</f>
        <v/>
      </c>
      <c r="AC2744" s="35">
        <f>INDEX(AC$297:AC$313,$E2744)*$D2744</f>
        <v/>
      </c>
      <c r="AD2744" s="35">
        <f>INDEX(AD$297:AD$313,$E2744)*$D2744</f>
        <v/>
      </c>
      <c r="AE2744" s="42">
        <f>SHADOWGJ(INDEX(AE$297:AE$313,$E2744),$D2744)</f>
        <v/>
      </c>
      <c r="AG2744" s="11">
        <f>CodePrefix&amp;$A2744&amp;IF($C2744="","","."&amp;$C2744&amp;"."&amp;$B2744)&amp;INDEX(VarEnd,MATCH($A2744,VarKey,0))&amp;AG$5</f>
        <v/>
      </c>
      <c r="AH2744" s="40">
        <f>INDEX(AH$297:AH$313,$E2744)*$D2744</f>
        <v/>
      </c>
      <c r="AI2744" s="35">
        <f>INDEX(AI$297:AI$313,$E2744)*$D2744</f>
        <v/>
      </c>
      <c r="AJ2744" s="35">
        <f>INDEX(AJ$297:AJ$313,$E2744)*$D2744</f>
        <v/>
      </c>
      <c r="AK2744" s="35">
        <f>INDEX(AK$297:AK$313,$E2744)*$D2744</f>
        <v/>
      </c>
      <c r="AL2744" s="35">
        <f>INDEX(AL$297:AL$313,$E2744)*$D2744</f>
        <v/>
      </c>
      <c r="AM2744" s="35">
        <f>INDEX(AM$297:AM$313,$E2744)*$D2744</f>
        <v/>
      </c>
      <c r="AN2744" s="35">
        <f>INDEX(AN$297:AN$313,$E2744)*$D2744</f>
        <v/>
      </c>
      <c r="AO2744" s="35">
        <f>INDEX(AO$297:AO$313,$E2744)*$D2744</f>
        <v/>
      </c>
      <c r="AP2744" s="35">
        <f>INDEX(AP$297:AP$313,$E2744)*$D2744</f>
        <v/>
      </c>
      <c r="AQ2744" s="35">
        <f>INDEX(AQ$297:AQ$313,$E2744)*$D2744</f>
        <v/>
      </c>
      <c r="AR2744" s="35">
        <f>INDEX(AR$297:AR$313,$E2744)*$D2744</f>
        <v/>
      </c>
      <c r="AS2744" s="35">
        <f>INDEX(AS$297:AS$313,$E2744)*$D2744</f>
        <v/>
      </c>
      <c r="AT2744" s="35">
        <f>INDEX(AT$297:AT$313,$E2744)*$D2744</f>
        <v/>
      </c>
      <c r="AU2744" s="35">
        <f>INDEX(AU$297:AU$313,$E2744)*$D2744</f>
        <v/>
      </c>
      <c r="AV2744" s="35">
        <f>INDEX(AV$297:AV$313,$E2744)*$D2744</f>
        <v/>
      </c>
      <c r="AW2744" s="35">
        <f>INDEX(AW$297:AW$313,$E2744)*$D2744</f>
        <v/>
      </c>
      <c r="AX2744" s="35">
        <f>INDEX(AX$297:AX$313,$E2744)*$D2744</f>
        <v/>
      </c>
      <c r="AY2744" s="35">
        <f>INDEX(AY$297:AY$313,$E2744)*$D2744</f>
        <v/>
      </c>
      <c r="AZ2744" s="35">
        <f>INDEX(AZ$297:AZ$313,$E2744)*$D2744</f>
        <v/>
      </c>
      <c r="BA2744" s="42">
        <f>SHADOWGJ(INDEX(BA$297:BA$313,$E2744),$D2744)</f>
        <v/>
      </c>
    </row>
    <row r="2745" hidden="1" outlineLevel="2">
      <c r="A2745" s="14" t="inlineStr">
        <is>
          <t>shp</t>
        </is>
      </c>
      <c r="B2745" s="14" t="inlineStr">
        <is>
          <t>ker</t>
        </is>
      </c>
      <c r="C2745" s="14" t="inlineStr">
        <is>
          <t>cst</t>
        </is>
      </c>
      <c r="D2745" s="35">
        <f>INDEX(Inputs!$W$5:$W$132,MATCH($B2745&amp;"|"&amp;$C2745,Inputs!$A$5:$A$132,0))</f>
        <v/>
      </c>
      <c r="E2745" s="35">
        <f>INDEX(Inputs!$M$5:$M$132,MATCH($B2745&amp;"|"&amp;$C2745,Inputs!$A$5:$A$132,0))</f>
        <v/>
      </c>
      <c r="F2745" s="39" t="n"/>
      <c r="G2745" s="39" t="n"/>
      <c r="H2745" s="14">
        <f>INDEX(VarLab,MATCH($A2745,VarKey,0))&amp;INDEX(MemLab,MATCH($C2745&amp;"|"&amp;$B2745,MemKey,0))</f>
        <v/>
      </c>
      <c r="I2745" s="14">
        <f>INDEX(VarUnit,MATCH($A2745,VarKey,0))</f>
        <v/>
      </c>
      <c r="J2745" s="14">
        <f>INDEX(VarSrc,MATCH($A2745,VarKey,0))</f>
        <v/>
      </c>
      <c r="K2745" s="11">
        <f>CodePrefix&amp;$A2745&amp;IF($C2745="","","."&amp;$C2745&amp;"."&amp;$B2745)&amp;INDEX(VarEnd,MATCH($A2745,VarKey,0))&amp;K$5</f>
        <v/>
      </c>
      <c r="L2745" s="40">
        <f>INDEX(L$297:L$313,$E2745)*$D2745</f>
        <v/>
      </c>
      <c r="M2745" s="35">
        <f>INDEX(M$297:M$313,$E2745)*$D2745</f>
        <v/>
      </c>
      <c r="N2745" s="35">
        <f>INDEX(N$297:N$313,$E2745)*$D2745</f>
        <v/>
      </c>
      <c r="O2745" s="35">
        <f>INDEX(O$297:O$313,$E2745)*$D2745</f>
        <v/>
      </c>
      <c r="P2745" s="35">
        <f>INDEX(P$297:P$313,$E2745)*$D2745</f>
        <v/>
      </c>
      <c r="Q2745" s="35">
        <f>INDEX(Q$297:Q$313,$E2745)*$D2745</f>
        <v/>
      </c>
      <c r="R2745" s="35">
        <f>INDEX(R$297:R$313,$E2745)*$D2745</f>
        <v/>
      </c>
      <c r="S2745" s="35">
        <f>INDEX(S$297:S$313,$E2745)*$D2745</f>
        <v/>
      </c>
      <c r="T2745" s="35">
        <f>INDEX(T$297:T$313,$E2745)*$D2745</f>
        <v/>
      </c>
      <c r="U2745" s="35">
        <f>INDEX(U$297:U$313,$E2745)*$D2745</f>
        <v/>
      </c>
      <c r="V2745" s="35">
        <f>INDEX(V$297:V$313,$E2745)*$D2745</f>
        <v/>
      </c>
      <c r="W2745" s="35">
        <f>INDEX(W$297:W$313,$E2745)*$D2745</f>
        <v/>
      </c>
      <c r="X2745" s="35">
        <f>INDEX(X$297:X$313,$E2745)*$D2745</f>
        <v/>
      </c>
      <c r="Y2745" s="35">
        <f>INDEX(Y$297:Y$313,$E2745)*$D2745</f>
        <v/>
      </c>
      <c r="Z2745" s="35">
        <f>INDEX(Z$297:Z$313,$E2745)*$D2745</f>
        <v/>
      </c>
      <c r="AA2745" s="35">
        <f>INDEX(AA$297:AA$313,$E2745)*$D2745</f>
        <v/>
      </c>
      <c r="AB2745" s="35">
        <f>INDEX(AB$297:AB$313,$E2745)*$D2745</f>
        <v/>
      </c>
      <c r="AC2745" s="35">
        <f>INDEX(AC$297:AC$313,$E2745)*$D2745</f>
        <v/>
      </c>
      <c r="AD2745" s="35">
        <f>INDEX(AD$297:AD$313,$E2745)*$D2745</f>
        <v/>
      </c>
      <c r="AE2745" s="42">
        <f>SHADOWGJ(INDEX(AE$297:AE$313,$E2745),$D2745)</f>
        <v/>
      </c>
      <c r="AG2745" s="11">
        <f>CodePrefix&amp;$A2745&amp;IF($C2745="","","."&amp;$C2745&amp;"."&amp;$B2745)&amp;INDEX(VarEnd,MATCH($A2745,VarKey,0))&amp;AG$5</f>
        <v/>
      </c>
      <c r="AH2745" s="40">
        <f>INDEX(AH$297:AH$313,$E2745)*$D2745</f>
        <v/>
      </c>
      <c r="AI2745" s="35">
        <f>INDEX(AI$297:AI$313,$E2745)*$D2745</f>
        <v/>
      </c>
      <c r="AJ2745" s="35">
        <f>INDEX(AJ$297:AJ$313,$E2745)*$D2745</f>
        <v/>
      </c>
      <c r="AK2745" s="35">
        <f>INDEX(AK$297:AK$313,$E2745)*$D2745</f>
        <v/>
      </c>
      <c r="AL2745" s="35">
        <f>INDEX(AL$297:AL$313,$E2745)*$D2745</f>
        <v/>
      </c>
      <c r="AM2745" s="35">
        <f>INDEX(AM$297:AM$313,$E2745)*$D2745</f>
        <v/>
      </c>
      <c r="AN2745" s="35">
        <f>INDEX(AN$297:AN$313,$E2745)*$D2745</f>
        <v/>
      </c>
      <c r="AO2745" s="35">
        <f>INDEX(AO$297:AO$313,$E2745)*$D2745</f>
        <v/>
      </c>
      <c r="AP2745" s="35">
        <f>INDEX(AP$297:AP$313,$E2745)*$D2745</f>
        <v/>
      </c>
      <c r="AQ2745" s="35">
        <f>INDEX(AQ$297:AQ$313,$E2745)*$D2745</f>
        <v/>
      </c>
      <c r="AR2745" s="35">
        <f>INDEX(AR$297:AR$313,$E2745)*$D2745</f>
        <v/>
      </c>
      <c r="AS2745" s="35">
        <f>INDEX(AS$297:AS$313,$E2745)*$D2745</f>
        <v/>
      </c>
      <c r="AT2745" s="35">
        <f>INDEX(AT$297:AT$313,$E2745)*$D2745</f>
        <v/>
      </c>
      <c r="AU2745" s="35">
        <f>INDEX(AU$297:AU$313,$E2745)*$D2745</f>
        <v/>
      </c>
      <c r="AV2745" s="35">
        <f>INDEX(AV$297:AV$313,$E2745)*$D2745</f>
        <v/>
      </c>
      <c r="AW2745" s="35">
        <f>INDEX(AW$297:AW$313,$E2745)*$D2745</f>
        <v/>
      </c>
      <c r="AX2745" s="35">
        <f>INDEX(AX$297:AX$313,$E2745)*$D2745</f>
        <v/>
      </c>
      <c r="AY2745" s="35">
        <f>INDEX(AY$297:AY$313,$E2745)*$D2745</f>
        <v/>
      </c>
      <c r="AZ2745" s="35">
        <f>INDEX(AZ$297:AZ$313,$E2745)*$D2745</f>
        <v/>
      </c>
      <c r="BA2745" s="42">
        <f>SHADOWGJ(INDEX(BA$297:BA$313,$E2745),$D2745)</f>
        <v/>
      </c>
    </row>
    <row r="2746" hidden="1" outlineLevel="2">
      <c r="A2746" s="14" t="inlineStr">
        <is>
          <t>shp</t>
        </is>
      </c>
      <c r="B2746" s="14" t="inlineStr">
        <is>
          <t>oop</t>
        </is>
      </c>
      <c r="C2746" s="14" t="inlineStr">
        <is>
          <t>cst</t>
        </is>
      </c>
      <c r="D2746" s="35">
        <f>INDEX(Inputs!$W$5:$W$132,MATCH($B2746&amp;"|"&amp;$C2746,Inputs!$A$5:$A$132,0))</f>
        <v/>
      </c>
      <c r="E2746" s="35">
        <f>INDEX(Inputs!$M$5:$M$132,MATCH($B2746&amp;"|"&amp;$C2746,Inputs!$A$5:$A$132,0))</f>
        <v/>
      </c>
      <c r="F2746" s="39" t="n"/>
      <c r="G2746" s="39" t="n"/>
      <c r="H2746" s="14">
        <f>INDEX(VarLab,MATCH($A2746,VarKey,0))&amp;INDEX(MemLab,MATCH($C2746&amp;"|"&amp;$B2746,MemKey,0))</f>
        <v/>
      </c>
      <c r="I2746" s="14">
        <f>INDEX(VarUnit,MATCH($A2746,VarKey,0))</f>
        <v/>
      </c>
      <c r="J2746" s="14">
        <f>INDEX(VarSrc,MATCH($A2746,VarKey,0))</f>
        <v/>
      </c>
      <c r="K2746" s="11">
        <f>CodePrefix&amp;$A2746&amp;IF($C2746="","","."&amp;$C2746&amp;"."&amp;$B2746)&amp;INDEX(VarEnd,MATCH($A2746,VarKey,0))&amp;K$5</f>
        <v/>
      </c>
      <c r="L2746" s="40">
        <f>INDEX(L$297:L$313,$E2746)*$D2746</f>
        <v/>
      </c>
      <c r="M2746" s="35">
        <f>INDEX(M$297:M$313,$E2746)*$D2746</f>
        <v/>
      </c>
      <c r="N2746" s="35">
        <f>INDEX(N$297:N$313,$E2746)*$D2746</f>
        <v/>
      </c>
      <c r="O2746" s="35">
        <f>INDEX(O$297:O$313,$E2746)*$D2746</f>
        <v/>
      </c>
      <c r="P2746" s="35">
        <f>INDEX(P$297:P$313,$E2746)*$D2746</f>
        <v/>
      </c>
      <c r="Q2746" s="35">
        <f>INDEX(Q$297:Q$313,$E2746)*$D2746</f>
        <v/>
      </c>
      <c r="R2746" s="35">
        <f>INDEX(R$297:R$313,$E2746)*$D2746</f>
        <v/>
      </c>
      <c r="S2746" s="35">
        <f>INDEX(S$297:S$313,$E2746)*$D2746</f>
        <v/>
      </c>
      <c r="T2746" s="35">
        <f>INDEX(T$297:T$313,$E2746)*$D2746</f>
        <v/>
      </c>
      <c r="U2746" s="35">
        <f>INDEX(U$297:U$313,$E2746)*$D2746</f>
        <v/>
      </c>
      <c r="V2746" s="35">
        <f>INDEX(V$297:V$313,$E2746)*$D2746</f>
        <v/>
      </c>
      <c r="W2746" s="35">
        <f>INDEX(W$297:W$313,$E2746)*$D2746</f>
        <v/>
      </c>
      <c r="X2746" s="35">
        <f>INDEX(X$297:X$313,$E2746)*$D2746</f>
        <v/>
      </c>
      <c r="Y2746" s="35">
        <f>INDEX(Y$297:Y$313,$E2746)*$D2746</f>
        <v/>
      </c>
      <c r="Z2746" s="35">
        <f>INDEX(Z$297:Z$313,$E2746)*$D2746</f>
        <v/>
      </c>
      <c r="AA2746" s="35">
        <f>INDEX(AA$297:AA$313,$E2746)*$D2746</f>
        <v/>
      </c>
      <c r="AB2746" s="35">
        <f>INDEX(AB$297:AB$313,$E2746)*$D2746</f>
        <v/>
      </c>
      <c r="AC2746" s="35">
        <f>INDEX(AC$297:AC$313,$E2746)*$D2746</f>
        <v/>
      </c>
      <c r="AD2746" s="35">
        <f>INDEX(AD$297:AD$313,$E2746)*$D2746</f>
        <v/>
      </c>
      <c r="AE2746" s="42">
        <f>SHADOWGJ(INDEX(AE$297:AE$313,$E2746),$D2746)</f>
        <v/>
      </c>
      <c r="AG2746" s="11">
        <f>CodePrefix&amp;$A2746&amp;IF($C2746="","","."&amp;$C2746&amp;"."&amp;$B2746)&amp;INDEX(VarEnd,MATCH($A2746,VarKey,0))&amp;AG$5</f>
        <v/>
      </c>
      <c r="AH2746" s="40">
        <f>INDEX(AH$297:AH$313,$E2746)*$D2746</f>
        <v/>
      </c>
      <c r="AI2746" s="35">
        <f>INDEX(AI$297:AI$313,$E2746)*$D2746</f>
        <v/>
      </c>
      <c r="AJ2746" s="35">
        <f>INDEX(AJ$297:AJ$313,$E2746)*$D2746</f>
        <v/>
      </c>
      <c r="AK2746" s="35">
        <f>INDEX(AK$297:AK$313,$E2746)*$D2746</f>
        <v/>
      </c>
      <c r="AL2746" s="35">
        <f>INDEX(AL$297:AL$313,$E2746)*$D2746</f>
        <v/>
      </c>
      <c r="AM2746" s="35">
        <f>INDEX(AM$297:AM$313,$E2746)*$D2746</f>
        <v/>
      </c>
      <c r="AN2746" s="35">
        <f>INDEX(AN$297:AN$313,$E2746)*$D2746</f>
        <v/>
      </c>
      <c r="AO2746" s="35">
        <f>INDEX(AO$297:AO$313,$E2746)*$D2746</f>
        <v/>
      </c>
      <c r="AP2746" s="35">
        <f>INDEX(AP$297:AP$313,$E2746)*$D2746</f>
        <v/>
      </c>
      <c r="AQ2746" s="35">
        <f>INDEX(AQ$297:AQ$313,$E2746)*$D2746</f>
        <v/>
      </c>
      <c r="AR2746" s="35">
        <f>INDEX(AR$297:AR$313,$E2746)*$D2746</f>
        <v/>
      </c>
      <c r="AS2746" s="35">
        <f>INDEX(AS$297:AS$313,$E2746)*$D2746</f>
        <v/>
      </c>
      <c r="AT2746" s="35">
        <f>INDEX(AT$297:AT$313,$E2746)*$D2746</f>
        <v/>
      </c>
      <c r="AU2746" s="35">
        <f>INDEX(AU$297:AU$313,$E2746)*$D2746</f>
        <v/>
      </c>
      <c r="AV2746" s="35">
        <f>INDEX(AV$297:AV$313,$E2746)*$D2746</f>
        <v/>
      </c>
      <c r="AW2746" s="35">
        <f>INDEX(AW$297:AW$313,$E2746)*$D2746</f>
        <v/>
      </c>
      <c r="AX2746" s="35">
        <f>INDEX(AX$297:AX$313,$E2746)*$D2746</f>
        <v/>
      </c>
      <c r="AY2746" s="35">
        <f>INDEX(AY$297:AY$313,$E2746)*$D2746</f>
        <v/>
      </c>
      <c r="AZ2746" s="35">
        <f>INDEX(AZ$297:AZ$313,$E2746)*$D2746</f>
        <v/>
      </c>
      <c r="BA2746" s="42">
        <f>SHADOWGJ(INDEX(BA$297:BA$313,$E2746),$D2746)</f>
        <v/>
      </c>
    </row>
    <row r="2747" hidden="1" outlineLevel="2">
      <c r="A2747" s="14" t="inlineStr">
        <is>
          <t>shp</t>
        </is>
      </c>
      <c r="B2747" s="14" t="inlineStr">
        <is>
          <t>bio</t>
        </is>
      </c>
      <c r="C2747" s="14" t="inlineStr">
        <is>
          <t>cst</t>
        </is>
      </c>
      <c r="D2747" s="35">
        <f>INDEX(Inputs!$W$5:$W$132,MATCH($B2747&amp;"|"&amp;$C2747,Inputs!$A$5:$A$132,0))</f>
        <v/>
      </c>
      <c r="E2747" s="35">
        <f>INDEX(Inputs!$M$5:$M$132,MATCH($B2747&amp;"|"&amp;$C2747,Inputs!$A$5:$A$132,0))</f>
        <v/>
      </c>
      <c r="F2747" s="39" t="n"/>
      <c r="G2747" s="39" t="n"/>
      <c r="H2747" s="14">
        <f>INDEX(VarLab,MATCH($A2747,VarKey,0))&amp;INDEX(MemLab,MATCH($C2747&amp;"|"&amp;$B2747,MemKey,0))</f>
        <v/>
      </c>
      <c r="I2747" s="14">
        <f>INDEX(VarUnit,MATCH($A2747,VarKey,0))</f>
        <v/>
      </c>
      <c r="J2747" s="14">
        <f>INDEX(VarSrc,MATCH($A2747,VarKey,0))</f>
        <v/>
      </c>
      <c r="K2747" s="11">
        <f>CodePrefix&amp;$A2747&amp;IF($C2747="","","."&amp;$C2747&amp;"."&amp;$B2747)&amp;INDEX(VarEnd,MATCH($A2747,VarKey,0))&amp;K$5</f>
        <v/>
      </c>
      <c r="L2747" s="40">
        <f>INDEX(L$297:L$313,$E2747)*$D2747</f>
        <v/>
      </c>
      <c r="M2747" s="35">
        <f>INDEX(M$297:M$313,$E2747)*$D2747</f>
        <v/>
      </c>
      <c r="N2747" s="35">
        <f>INDEX(N$297:N$313,$E2747)*$D2747</f>
        <v/>
      </c>
      <c r="O2747" s="35">
        <f>INDEX(O$297:O$313,$E2747)*$D2747</f>
        <v/>
      </c>
      <c r="P2747" s="35">
        <f>INDEX(P$297:P$313,$E2747)*$D2747</f>
        <v/>
      </c>
      <c r="Q2747" s="35">
        <f>INDEX(Q$297:Q$313,$E2747)*$D2747</f>
        <v/>
      </c>
      <c r="R2747" s="35">
        <f>INDEX(R$297:R$313,$E2747)*$D2747</f>
        <v/>
      </c>
      <c r="S2747" s="35">
        <f>INDEX(S$297:S$313,$E2747)*$D2747</f>
        <v/>
      </c>
      <c r="T2747" s="35">
        <f>INDEX(T$297:T$313,$E2747)*$D2747</f>
        <v/>
      </c>
      <c r="U2747" s="35">
        <f>INDEX(U$297:U$313,$E2747)*$D2747</f>
        <v/>
      </c>
      <c r="V2747" s="35">
        <f>INDEX(V$297:V$313,$E2747)*$D2747</f>
        <v/>
      </c>
      <c r="W2747" s="35">
        <f>INDEX(W$297:W$313,$E2747)*$D2747</f>
        <v/>
      </c>
      <c r="X2747" s="35">
        <f>INDEX(X$297:X$313,$E2747)*$D2747</f>
        <v/>
      </c>
      <c r="Y2747" s="35">
        <f>INDEX(Y$297:Y$313,$E2747)*$D2747</f>
        <v/>
      </c>
      <c r="Z2747" s="35">
        <f>INDEX(Z$297:Z$313,$E2747)*$D2747</f>
        <v/>
      </c>
      <c r="AA2747" s="35">
        <f>INDEX(AA$297:AA$313,$E2747)*$D2747</f>
        <v/>
      </c>
      <c r="AB2747" s="35">
        <f>INDEX(AB$297:AB$313,$E2747)*$D2747</f>
        <v/>
      </c>
      <c r="AC2747" s="35">
        <f>INDEX(AC$297:AC$313,$E2747)*$D2747</f>
        <v/>
      </c>
      <c r="AD2747" s="35">
        <f>INDEX(AD$297:AD$313,$E2747)*$D2747</f>
        <v/>
      </c>
      <c r="AE2747" s="42">
        <f>SHADOWGJ(INDEX(AE$297:AE$313,$E2747),$D2747)</f>
        <v/>
      </c>
      <c r="AG2747" s="11">
        <f>CodePrefix&amp;$A2747&amp;IF($C2747="","","."&amp;$C2747&amp;"."&amp;$B2747)&amp;INDEX(VarEnd,MATCH($A2747,VarKey,0))&amp;AG$5</f>
        <v/>
      </c>
      <c r="AH2747" s="40">
        <f>INDEX(AH$297:AH$313,$E2747)*$D2747</f>
        <v/>
      </c>
      <c r="AI2747" s="35">
        <f>INDEX(AI$297:AI$313,$E2747)*$D2747</f>
        <v/>
      </c>
      <c r="AJ2747" s="35">
        <f>INDEX(AJ$297:AJ$313,$E2747)*$D2747</f>
        <v/>
      </c>
      <c r="AK2747" s="35">
        <f>INDEX(AK$297:AK$313,$E2747)*$D2747</f>
        <v/>
      </c>
      <c r="AL2747" s="35">
        <f>INDEX(AL$297:AL$313,$E2747)*$D2747</f>
        <v/>
      </c>
      <c r="AM2747" s="35">
        <f>INDEX(AM$297:AM$313,$E2747)*$D2747</f>
        <v/>
      </c>
      <c r="AN2747" s="35">
        <f>INDEX(AN$297:AN$313,$E2747)*$D2747</f>
        <v/>
      </c>
      <c r="AO2747" s="35">
        <f>INDEX(AO$297:AO$313,$E2747)*$D2747</f>
        <v/>
      </c>
      <c r="AP2747" s="35">
        <f>INDEX(AP$297:AP$313,$E2747)*$D2747</f>
        <v/>
      </c>
      <c r="AQ2747" s="35">
        <f>INDEX(AQ$297:AQ$313,$E2747)*$D2747</f>
        <v/>
      </c>
      <c r="AR2747" s="35">
        <f>INDEX(AR$297:AR$313,$E2747)*$D2747</f>
        <v/>
      </c>
      <c r="AS2747" s="35">
        <f>INDEX(AS$297:AS$313,$E2747)*$D2747</f>
        <v/>
      </c>
      <c r="AT2747" s="35">
        <f>INDEX(AT$297:AT$313,$E2747)*$D2747</f>
        <v/>
      </c>
      <c r="AU2747" s="35">
        <f>INDEX(AU$297:AU$313,$E2747)*$D2747</f>
        <v/>
      </c>
      <c r="AV2747" s="35">
        <f>INDEX(AV$297:AV$313,$E2747)*$D2747</f>
        <v/>
      </c>
      <c r="AW2747" s="35">
        <f>INDEX(AW$297:AW$313,$E2747)*$D2747</f>
        <v/>
      </c>
      <c r="AX2747" s="35">
        <f>INDEX(AX$297:AX$313,$E2747)*$D2747</f>
        <v/>
      </c>
      <c r="AY2747" s="35">
        <f>INDEX(AY$297:AY$313,$E2747)*$D2747</f>
        <v/>
      </c>
      <c r="AZ2747" s="35">
        <f>INDEX(AZ$297:AZ$313,$E2747)*$D2747</f>
        <v/>
      </c>
      <c r="BA2747" s="42">
        <f>SHADOWGJ(INDEX(BA$297:BA$313,$E2747),$D2747)</f>
        <v/>
      </c>
    </row>
    <row r="2748" hidden="1" outlineLevel="2"/>
    <row r="2749" hidden="1" outlineLevel="2">
      <c r="A2749" s="14" t="inlineStr">
        <is>
          <t>ener</t>
        </is>
      </c>
      <c r="B2749" s="14" t="inlineStr">
        <is>
          <t>coa</t>
        </is>
      </c>
      <c r="C2749" s="14" t="inlineStr">
        <is>
          <t>cst</t>
        </is>
      </c>
      <c r="D2749" s="35">
        <f>INDEX(Inputs!$O$5:$O$132,MATCH($B2749&amp;"|"&amp;$C2749,Inputs!$A$5:$A$132,0))</f>
        <v/>
      </c>
      <c r="E2749" s="35">
        <f>INDEX(Inputs!$P$5:$P$132,MATCH($B2749&amp;"|"&amp;$C2749,Inputs!$A$5:$A$132,0))</f>
        <v/>
      </c>
      <c r="F2749" s="35">
        <f>INDEX(Inputs!$T$5:$T$132,MATCH($B2749&amp;"|"&amp;$C2749,Inputs!$A$5:$A$132,0))</f>
        <v/>
      </c>
      <c r="G2749" s="35">
        <f>INDEX(Inputs!$S$5:$S$132,MATCH($B2749&amp;"|"&amp;$C2749,Inputs!$A$5:$A$132,0))</f>
        <v/>
      </c>
      <c r="H2749" s="14">
        <f>INDEX(VarLab,MATCH($A2749,VarKey,0))&amp;INDEX(MemLab,MATCH($C2749&amp;"|"&amp;$B2749,MemKey,0))</f>
        <v/>
      </c>
      <c r="I2749" s="14">
        <f>INDEX(VarUnit,MATCH($A2749,VarKey,0))</f>
        <v/>
      </c>
      <c r="J2749" s="14">
        <f>INDEX(VarSrc,MATCH($A2749,VarKey,0))</f>
        <v/>
      </c>
      <c r="K2749" s="11">
        <f>CodePrefix&amp;$A2749&amp;IF($C2749="","","."&amp;$C2749&amp;"."&amp;$B2749)&amp;INDEX(VarEnd,MATCH($A2749,VarKey,0))&amp;K$5</f>
        <v/>
      </c>
      <c r="L2749" s="43">
        <f>INDEX(Inputs!$X$5:$X$132,MATCH($B2749&amp;"|"&amp;$C2749,Inputs!$A$5:$A$132,0))</f>
        <v/>
      </c>
      <c r="M2749" s="44">
        <f>L2749*$G2749*(1+M$7)^$D2749*(M2731/L2731)^$E2749*((M2731+M2740)/(L2731+L2740))^$F2749</f>
        <v/>
      </c>
      <c r="N2749" s="44">
        <f>M2749*$G2749*(1+N$7)^$D2749*(N2731/M2731)^$E2749*((N2731+N2740)/(M2731+M2740))^$F2749</f>
        <v/>
      </c>
      <c r="O2749" s="44">
        <f>N2749*$G2749*(1+O$7)^$D2749*(O2731/N2731)^$E2749*((O2731+O2740)/(N2731+N2740))^$F2749</f>
        <v/>
      </c>
      <c r="P2749" s="44">
        <f>O2749*$G2749*(1+P$7)^$D2749*(P2731/O2731)^$E2749*((P2731+P2740)/(O2731+O2740))^$F2749</f>
        <v/>
      </c>
      <c r="Q2749" s="44">
        <f>P2749*$G2749*(1+Q$7)^$D2749*(Q2731/P2731)^$E2749*((Q2731+Q2740)/(P2731+P2740))^$F2749</f>
        <v/>
      </c>
      <c r="R2749" s="44">
        <f>Q2749*$G2749*(1+R$7)^$D2749*(R2731/Q2731)^$E2749*((R2731+R2740)/(Q2731+Q2740))^$F2749</f>
        <v/>
      </c>
      <c r="S2749" s="44">
        <f>R2749*$G2749*(1+S$7)^$D2749*(S2731/R2731)^$E2749*((S2731+S2740)/(R2731+R2740))^$F2749</f>
        <v/>
      </c>
      <c r="T2749" s="44">
        <f>S2749*$G2749*(1+T$7)^$D2749*(T2731/S2731)^$E2749*((T2731+T2740)/(S2731+S2740))^$F2749</f>
        <v/>
      </c>
      <c r="U2749" s="44">
        <f>T2749*$G2749*(1+U$7)^$D2749*(U2731/T2731)^$E2749*((U2731+U2740)/(T2731+T2740))^$F2749</f>
        <v/>
      </c>
      <c r="V2749" s="44">
        <f>U2749*$G2749*(1+V$7)^$D2749*(V2731/U2731)^$E2749*((V2731+V2740)/(U2731+U2740))^$F2749</f>
        <v/>
      </c>
      <c r="W2749" s="44">
        <f>V2749*$G2749*(1+W$7)^$D2749*(W2731/V2731)^$E2749*((W2731+W2740)/(V2731+V2740))^$F2749</f>
        <v/>
      </c>
      <c r="X2749" s="44">
        <f>W2749*$G2749*(1+X$7)^$D2749*(X2731/W2731)^$E2749*((X2731+X2740)/(W2731+W2740))^$F2749</f>
        <v/>
      </c>
      <c r="Y2749" s="44">
        <f>X2749*$G2749*(1+Y$7)^$D2749*(Y2731/X2731)^$E2749*((Y2731+Y2740)/(X2731+X2740))^$F2749</f>
        <v/>
      </c>
      <c r="Z2749" s="44">
        <f>Y2749*$G2749*(1+Z$7)^$D2749*(Z2731/Y2731)^$E2749*((Z2731+Z2740)/(Y2731+Y2740))^$F2749</f>
        <v/>
      </c>
      <c r="AA2749" s="44">
        <f>Z2749*$G2749*(1+AA$7)^$D2749*(AA2731/Z2731)^$E2749*((AA2731+AA2740)/(Z2731+Z2740))^$F2749</f>
        <v/>
      </c>
      <c r="AB2749" s="44">
        <f>AA2749*$G2749*(1+AB$7)^$D2749*(AB2731/AA2731)^$E2749*((AB2731+AB2740)/(AA2731+AA2740))^$F2749</f>
        <v/>
      </c>
      <c r="AC2749" s="44">
        <f>AB2749*$G2749*(1+AC$7)^$D2749*(AC2731/AB2731)^$E2749*((AC2731+AC2740)/(AB2731+AB2740))^$F2749</f>
        <v/>
      </c>
      <c r="AD2749" s="44">
        <f>AC2749*$G2749*(1+AD$7)^$D2749*(AD2731/AC2731)^$E2749*((AD2731+AD2740)/(AC2731+AC2740))^$F2749</f>
        <v/>
      </c>
      <c r="AE2749" s="57">
        <f>FUELUSE(AD2749,AE2731,AD2731,AE2740,AD2740,AE$7,$D2749,$E2749,$F2749,$G2749)</f>
        <v/>
      </c>
      <c r="AG2749" s="11">
        <f>CodePrefix&amp;$A2749&amp;IF($C2749="","","."&amp;$C2749&amp;"."&amp;$B2749)&amp;INDEX(VarEnd,MATCH($A2749,VarKey,0))&amp;AG$5</f>
        <v/>
      </c>
      <c r="AH2749" s="43">
        <f>INDEX(Inputs!$X$5:$X$132,MATCH($B2749&amp;"|"&amp;$C2749,Inputs!$A$5:$A$132,0))</f>
        <v/>
      </c>
      <c r="AI2749" s="44">
        <f>AH2749*$G2749*(1+AI$7)^$D2749*(AI2731/AH2731)^$E2749*((AI2731+AI2740)/(AH2731+AH2740))^$F2749</f>
        <v/>
      </c>
      <c r="AJ2749" s="44">
        <f>AI2749*$G2749*(1+AJ$7)^$D2749*(AJ2731/AI2731)^$E2749*((AJ2731+AJ2740)/(AI2731+AI2740))^$F2749</f>
        <v/>
      </c>
      <c r="AK2749" s="44">
        <f>AJ2749*$G2749*(1+AK$7)^$D2749*(AK2731/AJ2731)^$E2749*((AK2731+AK2740)/(AJ2731+AJ2740))^$F2749</f>
        <v/>
      </c>
      <c r="AL2749" s="44">
        <f>AK2749*$G2749*(1+AL$7)^$D2749*(AL2731/AK2731)^$E2749*((AL2731+AL2740)/(AK2731+AK2740))^$F2749</f>
        <v/>
      </c>
      <c r="AM2749" s="44">
        <f>AL2749*$G2749*(1+AM$7)^$D2749*(AM2731/AL2731)^$E2749*((AM2731+AM2740)/(AL2731+AL2740))^$F2749</f>
        <v/>
      </c>
      <c r="AN2749" s="44">
        <f>AM2749*$G2749*(1+AN$7)^$D2749*(AN2731/AM2731)^$E2749*((AN2731+AN2740)/(AM2731+AM2740))^$F2749</f>
        <v/>
      </c>
      <c r="AO2749" s="44">
        <f>AN2749*$G2749*(1+AO$7)^$D2749*(AO2731/AN2731)^$E2749*((AO2731+AO2740)/(AN2731+AN2740))^$F2749</f>
        <v/>
      </c>
      <c r="AP2749" s="44">
        <f>AO2749*$G2749*(1+AP$7)^$D2749*(AP2731/AO2731)^$E2749*((AP2731+AP2740)/(AO2731+AO2740))^$F2749</f>
        <v/>
      </c>
      <c r="AQ2749" s="44">
        <f>AP2749*$G2749*(1+AQ$7)^$D2749*(AQ2731/AP2731)^$E2749*((AQ2731+AQ2740)/(AP2731+AP2740))^$F2749</f>
        <v/>
      </c>
      <c r="AR2749" s="44">
        <f>AQ2749*$G2749*(1+AR$7)^$D2749*(AR2731/AQ2731)^$E2749*((AR2731+AR2740)/(AQ2731+AQ2740))^$F2749</f>
        <v/>
      </c>
      <c r="AS2749" s="44">
        <f>AR2749*$G2749*(1+AS$7)^$D2749*(AS2731/AR2731)^$E2749*((AS2731+AS2740)/(AR2731+AR2740))^$F2749</f>
        <v/>
      </c>
      <c r="AT2749" s="44">
        <f>AS2749*$G2749*(1+AT$7)^$D2749*(AT2731/AS2731)^$E2749*((AT2731+AT2740)/(AS2731+AS2740))^$F2749</f>
        <v/>
      </c>
      <c r="AU2749" s="44">
        <f>AT2749*$G2749*(1+AU$7)^$D2749*(AU2731/AT2731)^$E2749*((AU2731+AU2740)/(AT2731+AT2740))^$F2749</f>
        <v/>
      </c>
      <c r="AV2749" s="44">
        <f>AU2749*$G2749*(1+AV$7)^$D2749*(AV2731/AU2731)^$E2749*((AV2731+AV2740)/(AU2731+AU2740))^$F2749</f>
        <v/>
      </c>
      <c r="AW2749" s="44">
        <f>AV2749*$G2749*(1+AW$7)^$D2749*(AW2731/AV2731)^$E2749*((AW2731+AW2740)/(AV2731+AV2740))^$F2749</f>
        <v/>
      </c>
      <c r="AX2749" s="44">
        <f>AW2749*$G2749*(1+AX$7)^$D2749*(AX2731/AW2731)^$E2749*((AX2731+AX2740)/(AW2731+AW2740))^$F2749</f>
        <v/>
      </c>
      <c r="AY2749" s="44">
        <f>AX2749*$G2749*(1+AY$7)^$D2749*(AY2731/AX2731)^$E2749*((AY2731+AY2740)/(AX2731+AX2740))^$F2749</f>
        <v/>
      </c>
      <c r="AZ2749" s="44">
        <f>AY2749*$G2749*(1+AZ$7)^$D2749*(AZ2731/AY2731)^$E2749*((AZ2731+AZ2740)/(AY2731+AY2740))^$F2749</f>
        <v/>
      </c>
      <c r="BA2749" s="57">
        <f>FUELUSE(AZ2749,BA2731,AZ2731,BA2740,AZ2740,BA$7,$D2749,$E2749,$F2749,$G2749)</f>
        <v/>
      </c>
    </row>
    <row r="2750" hidden="1" outlineLevel="2">
      <c r="A2750" s="14" t="inlineStr">
        <is>
          <t>ener</t>
        </is>
      </c>
      <c r="B2750" s="14" t="inlineStr">
        <is>
          <t>nga</t>
        </is>
      </c>
      <c r="C2750" s="14" t="inlineStr">
        <is>
          <t>cst</t>
        </is>
      </c>
      <c r="D2750" s="35">
        <f>INDEX(Inputs!$O$5:$O$132,MATCH($B2750&amp;"|"&amp;$C2750,Inputs!$A$5:$A$132,0))</f>
        <v/>
      </c>
      <c r="E2750" s="35">
        <f>INDEX(Inputs!$P$5:$P$132,MATCH($B2750&amp;"|"&amp;$C2750,Inputs!$A$5:$A$132,0))</f>
        <v/>
      </c>
      <c r="F2750" s="35">
        <f>INDEX(Inputs!$T$5:$T$132,MATCH($B2750&amp;"|"&amp;$C2750,Inputs!$A$5:$A$132,0))</f>
        <v/>
      </c>
      <c r="G2750" s="35">
        <f>INDEX(Inputs!$S$5:$S$132,MATCH($B2750&amp;"|"&amp;$C2750,Inputs!$A$5:$A$132,0))</f>
        <v/>
      </c>
      <c r="H2750" s="14">
        <f>INDEX(VarLab,MATCH($A2750,VarKey,0))&amp;INDEX(MemLab,MATCH($C2750&amp;"|"&amp;$B2750,MemKey,0))</f>
        <v/>
      </c>
      <c r="I2750" s="14">
        <f>INDEX(VarUnit,MATCH($A2750,VarKey,0))</f>
        <v/>
      </c>
      <c r="J2750" s="14">
        <f>INDEX(VarSrc,MATCH($A2750,VarKey,0))</f>
        <v/>
      </c>
      <c r="K2750" s="11">
        <f>CodePrefix&amp;$A2750&amp;IF($C2750="","","."&amp;$C2750&amp;"."&amp;$B2750)&amp;INDEX(VarEnd,MATCH($A2750,VarKey,0))&amp;K$5</f>
        <v/>
      </c>
      <c r="L2750" s="43">
        <f>INDEX(Inputs!$X$5:$X$132,MATCH($B2750&amp;"|"&amp;$C2750,Inputs!$A$5:$A$132,0))</f>
        <v/>
      </c>
      <c r="M2750" s="44">
        <f>L2750*$G2750*(1+M$7)^$D2750*(M2732/L2732)^$E2750*((M2732+M2741)/(L2732+L2741))^$F2750</f>
        <v/>
      </c>
      <c r="N2750" s="44">
        <f>M2750*$G2750*(1+N$7)^$D2750*(N2732/M2732)^$E2750*((N2732+N2741)/(M2732+M2741))^$F2750</f>
        <v/>
      </c>
      <c r="O2750" s="44">
        <f>N2750*$G2750*(1+O$7)^$D2750*(O2732/N2732)^$E2750*((O2732+O2741)/(N2732+N2741))^$F2750</f>
        <v/>
      </c>
      <c r="P2750" s="44">
        <f>O2750*$G2750*(1+P$7)^$D2750*(P2732/O2732)^$E2750*((P2732+P2741)/(O2732+O2741))^$F2750</f>
        <v/>
      </c>
      <c r="Q2750" s="44">
        <f>P2750*$G2750*(1+Q$7)^$D2750*(Q2732/P2732)^$E2750*((Q2732+Q2741)/(P2732+P2741))^$F2750</f>
        <v/>
      </c>
      <c r="R2750" s="44">
        <f>Q2750*$G2750*(1+R$7)^$D2750*(R2732/Q2732)^$E2750*((R2732+R2741)/(Q2732+Q2741))^$F2750</f>
        <v/>
      </c>
      <c r="S2750" s="44">
        <f>R2750*$G2750*(1+S$7)^$D2750*(S2732/R2732)^$E2750*((S2732+S2741)/(R2732+R2741))^$F2750</f>
        <v/>
      </c>
      <c r="T2750" s="44">
        <f>S2750*$G2750*(1+T$7)^$D2750*(T2732/S2732)^$E2750*((T2732+T2741)/(S2732+S2741))^$F2750</f>
        <v/>
      </c>
      <c r="U2750" s="44">
        <f>T2750*$G2750*(1+U$7)^$D2750*(U2732/T2732)^$E2750*((U2732+U2741)/(T2732+T2741))^$F2750</f>
        <v/>
      </c>
      <c r="V2750" s="44">
        <f>U2750*$G2750*(1+V$7)^$D2750*(V2732/U2732)^$E2750*((V2732+V2741)/(U2732+U2741))^$F2750</f>
        <v/>
      </c>
      <c r="W2750" s="44">
        <f>V2750*$G2750*(1+W$7)^$D2750*(W2732/V2732)^$E2750*((W2732+W2741)/(V2732+V2741))^$F2750</f>
        <v/>
      </c>
      <c r="X2750" s="44">
        <f>W2750*$G2750*(1+X$7)^$D2750*(X2732/W2732)^$E2750*((X2732+X2741)/(W2732+W2741))^$F2750</f>
        <v/>
      </c>
      <c r="Y2750" s="44">
        <f>X2750*$G2750*(1+Y$7)^$D2750*(Y2732/X2732)^$E2750*((Y2732+Y2741)/(X2732+X2741))^$F2750</f>
        <v/>
      </c>
      <c r="Z2750" s="44">
        <f>Y2750*$G2750*(1+Z$7)^$D2750*(Z2732/Y2732)^$E2750*((Z2732+Z2741)/(Y2732+Y2741))^$F2750</f>
        <v/>
      </c>
      <c r="AA2750" s="44">
        <f>Z2750*$G2750*(1+AA$7)^$D2750*(AA2732/Z2732)^$E2750*((AA2732+AA2741)/(Z2732+Z2741))^$F2750</f>
        <v/>
      </c>
      <c r="AB2750" s="44">
        <f>AA2750*$G2750*(1+AB$7)^$D2750*(AB2732/AA2732)^$E2750*((AB2732+AB2741)/(AA2732+AA2741))^$F2750</f>
        <v/>
      </c>
      <c r="AC2750" s="44">
        <f>AB2750*$G2750*(1+AC$7)^$D2750*(AC2732/AB2732)^$E2750*((AC2732+AC2741)/(AB2732+AB2741))^$F2750</f>
        <v/>
      </c>
      <c r="AD2750" s="44">
        <f>AC2750*$G2750*(1+AD$7)^$D2750*(AD2732/AC2732)^$E2750*((AD2732+AD2741)/(AC2732+AC2741))^$F2750</f>
        <v/>
      </c>
      <c r="AE2750" s="57">
        <f>FUELUSE(AD2750,AE2732,AD2732,AE2741,AD2741,AE$7,$D2750,$E2750,$F2750,$G2750)</f>
        <v/>
      </c>
      <c r="AG2750" s="11">
        <f>CodePrefix&amp;$A2750&amp;IF($C2750="","","."&amp;$C2750&amp;"."&amp;$B2750)&amp;INDEX(VarEnd,MATCH($A2750,VarKey,0))&amp;AG$5</f>
        <v/>
      </c>
      <c r="AH2750" s="43">
        <f>INDEX(Inputs!$X$5:$X$132,MATCH($B2750&amp;"|"&amp;$C2750,Inputs!$A$5:$A$132,0))</f>
        <v/>
      </c>
      <c r="AI2750" s="44">
        <f>AH2750*$G2750*(1+AI$7)^$D2750*(AI2732/AH2732)^$E2750*((AI2732+AI2741)/(AH2732+AH2741))^$F2750</f>
        <v/>
      </c>
      <c r="AJ2750" s="44">
        <f>AI2750*$G2750*(1+AJ$7)^$D2750*(AJ2732/AI2732)^$E2750*((AJ2732+AJ2741)/(AI2732+AI2741))^$F2750</f>
        <v/>
      </c>
      <c r="AK2750" s="44">
        <f>AJ2750*$G2750*(1+AK$7)^$D2750*(AK2732/AJ2732)^$E2750*((AK2732+AK2741)/(AJ2732+AJ2741))^$F2750</f>
        <v/>
      </c>
      <c r="AL2750" s="44">
        <f>AK2750*$G2750*(1+AL$7)^$D2750*(AL2732/AK2732)^$E2750*((AL2732+AL2741)/(AK2732+AK2741))^$F2750</f>
        <v/>
      </c>
      <c r="AM2750" s="44">
        <f>AL2750*$G2750*(1+AM$7)^$D2750*(AM2732/AL2732)^$E2750*((AM2732+AM2741)/(AL2732+AL2741))^$F2750</f>
        <v/>
      </c>
      <c r="AN2750" s="44">
        <f>AM2750*$G2750*(1+AN$7)^$D2750*(AN2732/AM2732)^$E2750*((AN2732+AN2741)/(AM2732+AM2741))^$F2750</f>
        <v/>
      </c>
      <c r="AO2750" s="44">
        <f>AN2750*$G2750*(1+AO$7)^$D2750*(AO2732/AN2732)^$E2750*((AO2732+AO2741)/(AN2732+AN2741))^$F2750</f>
        <v/>
      </c>
      <c r="AP2750" s="44">
        <f>AO2750*$G2750*(1+AP$7)^$D2750*(AP2732/AO2732)^$E2750*((AP2732+AP2741)/(AO2732+AO2741))^$F2750</f>
        <v/>
      </c>
      <c r="AQ2750" s="44">
        <f>AP2750*$G2750*(1+AQ$7)^$D2750*(AQ2732/AP2732)^$E2750*((AQ2732+AQ2741)/(AP2732+AP2741))^$F2750</f>
        <v/>
      </c>
      <c r="AR2750" s="44">
        <f>AQ2750*$G2750*(1+AR$7)^$D2750*(AR2732/AQ2732)^$E2750*((AR2732+AR2741)/(AQ2732+AQ2741))^$F2750</f>
        <v/>
      </c>
      <c r="AS2750" s="44">
        <f>AR2750*$G2750*(1+AS$7)^$D2750*(AS2732/AR2732)^$E2750*((AS2732+AS2741)/(AR2732+AR2741))^$F2750</f>
        <v/>
      </c>
      <c r="AT2750" s="44">
        <f>AS2750*$G2750*(1+AT$7)^$D2750*(AT2732/AS2732)^$E2750*((AT2732+AT2741)/(AS2732+AS2741))^$F2750</f>
        <v/>
      </c>
      <c r="AU2750" s="44">
        <f>AT2750*$G2750*(1+AU$7)^$D2750*(AU2732/AT2732)^$E2750*((AU2732+AU2741)/(AT2732+AT2741))^$F2750</f>
        <v/>
      </c>
      <c r="AV2750" s="44">
        <f>AU2750*$G2750*(1+AV$7)^$D2750*(AV2732/AU2732)^$E2750*((AV2732+AV2741)/(AU2732+AU2741))^$F2750</f>
        <v/>
      </c>
      <c r="AW2750" s="44">
        <f>AV2750*$G2750*(1+AW$7)^$D2750*(AW2732/AV2732)^$E2750*((AW2732+AW2741)/(AV2732+AV2741))^$F2750</f>
        <v/>
      </c>
      <c r="AX2750" s="44">
        <f>AW2750*$G2750*(1+AX$7)^$D2750*(AX2732/AW2732)^$E2750*((AX2732+AX2741)/(AW2732+AW2741))^$F2750</f>
        <v/>
      </c>
      <c r="AY2750" s="44">
        <f>AX2750*$G2750*(1+AY$7)^$D2750*(AY2732/AX2732)^$E2750*((AY2732+AY2741)/(AX2732+AX2741))^$F2750</f>
        <v/>
      </c>
      <c r="AZ2750" s="44">
        <f>AY2750*$G2750*(1+AZ$7)^$D2750*(AZ2732/AY2732)^$E2750*((AZ2732+AZ2741)/(AY2732+AY2741))^$F2750</f>
        <v/>
      </c>
      <c r="BA2750" s="57">
        <f>FUELUSE(AZ2750,BA2732,AZ2732,BA2741,AZ2741,BA$7,$D2750,$E2750,$F2750,$G2750)</f>
        <v/>
      </c>
    </row>
    <row r="2751" hidden="1" outlineLevel="2">
      <c r="A2751" s="14" t="inlineStr">
        <is>
          <t>ener</t>
        </is>
      </c>
      <c r="B2751" s="14" t="inlineStr">
        <is>
          <t>gso</t>
        </is>
      </c>
      <c r="C2751" s="14" t="inlineStr">
        <is>
          <t>cst</t>
        </is>
      </c>
      <c r="D2751" s="35">
        <f>INDEX(Inputs!$O$5:$O$132,MATCH($B2751&amp;"|"&amp;$C2751,Inputs!$A$5:$A$132,0))</f>
        <v/>
      </c>
      <c r="E2751" s="35">
        <f>INDEX(Inputs!$P$5:$P$132,MATCH($B2751&amp;"|"&amp;$C2751,Inputs!$A$5:$A$132,0))</f>
        <v/>
      </c>
      <c r="F2751" s="35">
        <f>INDEX(Inputs!$T$5:$T$132,MATCH($B2751&amp;"|"&amp;$C2751,Inputs!$A$5:$A$132,0))</f>
        <v/>
      </c>
      <c r="G2751" s="35">
        <f>INDEX(Inputs!$S$5:$S$132,MATCH($B2751&amp;"|"&amp;$C2751,Inputs!$A$5:$A$132,0))</f>
        <v/>
      </c>
      <c r="H2751" s="14">
        <f>INDEX(VarLab,MATCH($A2751,VarKey,0))&amp;INDEX(MemLab,MATCH($C2751&amp;"|"&amp;$B2751,MemKey,0))</f>
        <v/>
      </c>
      <c r="I2751" s="14">
        <f>INDEX(VarUnit,MATCH($A2751,VarKey,0))</f>
        <v/>
      </c>
      <c r="J2751" s="14">
        <f>INDEX(VarSrc,MATCH($A2751,VarKey,0))</f>
        <v/>
      </c>
      <c r="K2751" s="11">
        <f>CodePrefix&amp;$A2751&amp;IF($C2751="","","."&amp;$C2751&amp;"."&amp;$B2751)&amp;INDEX(VarEnd,MATCH($A2751,VarKey,0))&amp;K$5</f>
        <v/>
      </c>
      <c r="L2751" s="43">
        <f>INDEX(Inputs!$X$5:$X$132,MATCH($B2751&amp;"|"&amp;$C2751,Inputs!$A$5:$A$132,0))</f>
        <v/>
      </c>
      <c r="M2751" s="44">
        <f>L2751*$G2751*(1+M$7)^$D2751*(M2733/L2733)^$E2751*((M2733+M2742)/(L2733+L2742))^$F2751</f>
        <v/>
      </c>
      <c r="N2751" s="44">
        <f>M2751*$G2751*(1+N$7)^$D2751*(N2733/M2733)^$E2751*((N2733+N2742)/(M2733+M2742))^$F2751</f>
        <v/>
      </c>
      <c r="O2751" s="44">
        <f>N2751*$G2751*(1+O$7)^$D2751*(O2733/N2733)^$E2751*((O2733+O2742)/(N2733+N2742))^$F2751</f>
        <v/>
      </c>
      <c r="P2751" s="44">
        <f>O2751*$G2751*(1+P$7)^$D2751*(P2733/O2733)^$E2751*((P2733+P2742)/(O2733+O2742))^$F2751</f>
        <v/>
      </c>
      <c r="Q2751" s="44">
        <f>P2751*$G2751*(1+Q$7)^$D2751*(Q2733/P2733)^$E2751*((Q2733+Q2742)/(P2733+P2742))^$F2751</f>
        <v/>
      </c>
      <c r="R2751" s="44">
        <f>Q2751*$G2751*(1+R$7)^$D2751*(R2733/Q2733)^$E2751*((R2733+R2742)/(Q2733+Q2742))^$F2751</f>
        <v/>
      </c>
      <c r="S2751" s="44">
        <f>R2751*$G2751*(1+S$7)^$D2751*(S2733/R2733)^$E2751*((S2733+S2742)/(R2733+R2742))^$F2751</f>
        <v/>
      </c>
      <c r="T2751" s="44">
        <f>S2751*$G2751*(1+T$7)^$D2751*(T2733/S2733)^$E2751*((T2733+T2742)/(S2733+S2742))^$F2751</f>
        <v/>
      </c>
      <c r="U2751" s="44">
        <f>T2751*$G2751*(1+U$7)^$D2751*(U2733/T2733)^$E2751*((U2733+U2742)/(T2733+T2742))^$F2751</f>
        <v/>
      </c>
      <c r="V2751" s="44">
        <f>U2751*$G2751*(1+V$7)^$D2751*(V2733/U2733)^$E2751*((V2733+V2742)/(U2733+U2742))^$F2751</f>
        <v/>
      </c>
      <c r="W2751" s="44">
        <f>V2751*$G2751*(1+W$7)^$D2751*(W2733/V2733)^$E2751*((W2733+W2742)/(V2733+V2742))^$F2751</f>
        <v/>
      </c>
      <c r="X2751" s="44">
        <f>W2751*$G2751*(1+X$7)^$D2751*(X2733/W2733)^$E2751*((X2733+X2742)/(W2733+W2742))^$F2751</f>
        <v/>
      </c>
      <c r="Y2751" s="44">
        <f>X2751*$G2751*(1+Y$7)^$D2751*(Y2733/X2733)^$E2751*((Y2733+Y2742)/(X2733+X2742))^$F2751</f>
        <v/>
      </c>
      <c r="Z2751" s="44">
        <f>Y2751*$G2751*(1+Z$7)^$D2751*(Z2733/Y2733)^$E2751*((Z2733+Z2742)/(Y2733+Y2742))^$F2751</f>
        <v/>
      </c>
      <c r="AA2751" s="44">
        <f>Z2751*$G2751*(1+AA$7)^$D2751*(AA2733/Z2733)^$E2751*((AA2733+AA2742)/(Z2733+Z2742))^$F2751</f>
        <v/>
      </c>
      <c r="AB2751" s="44">
        <f>AA2751*$G2751*(1+AB$7)^$D2751*(AB2733/AA2733)^$E2751*((AB2733+AB2742)/(AA2733+AA2742))^$F2751</f>
        <v/>
      </c>
      <c r="AC2751" s="44">
        <f>AB2751*$G2751*(1+AC$7)^$D2751*(AC2733/AB2733)^$E2751*((AC2733+AC2742)/(AB2733+AB2742))^$F2751</f>
        <v/>
      </c>
      <c r="AD2751" s="44">
        <f>AC2751*$G2751*(1+AD$7)^$D2751*(AD2733/AC2733)^$E2751*((AD2733+AD2742)/(AC2733+AC2742))^$F2751</f>
        <v/>
      </c>
      <c r="AE2751" s="57">
        <f>FUELUSE(AD2751,AE2733,AD2733,AE2742,AD2742,AE$7,$D2751,$E2751,$F2751,$G2751)</f>
        <v/>
      </c>
      <c r="AG2751" s="11">
        <f>CodePrefix&amp;$A2751&amp;IF($C2751="","","."&amp;$C2751&amp;"."&amp;$B2751)&amp;INDEX(VarEnd,MATCH($A2751,VarKey,0))&amp;AG$5</f>
        <v/>
      </c>
      <c r="AH2751" s="43">
        <f>INDEX(Inputs!$X$5:$X$132,MATCH($B2751&amp;"|"&amp;$C2751,Inputs!$A$5:$A$132,0))</f>
        <v/>
      </c>
      <c r="AI2751" s="44">
        <f>AH2751*$G2751*(1+AI$7)^$D2751*(AI2733/AH2733)^$E2751*((AI2733+AI2742)/(AH2733+AH2742))^$F2751</f>
        <v/>
      </c>
      <c r="AJ2751" s="44">
        <f>AI2751*$G2751*(1+AJ$7)^$D2751*(AJ2733/AI2733)^$E2751*((AJ2733+AJ2742)/(AI2733+AI2742))^$F2751</f>
        <v/>
      </c>
      <c r="AK2751" s="44">
        <f>AJ2751*$G2751*(1+AK$7)^$D2751*(AK2733/AJ2733)^$E2751*((AK2733+AK2742)/(AJ2733+AJ2742))^$F2751</f>
        <v/>
      </c>
      <c r="AL2751" s="44">
        <f>AK2751*$G2751*(1+AL$7)^$D2751*(AL2733/AK2733)^$E2751*((AL2733+AL2742)/(AK2733+AK2742))^$F2751</f>
        <v/>
      </c>
      <c r="AM2751" s="44">
        <f>AL2751*$G2751*(1+AM$7)^$D2751*(AM2733/AL2733)^$E2751*((AM2733+AM2742)/(AL2733+AL2742))^$F2751</f>
        <v/>
      </c>
      <c r="AN2751" s="44">
        <f>AM2751*$G2751*(1+AN$7)^$D2751*(AN2733/AM2733)^$E2751*((AN2733+AN2742)/(AM2733+AM2742))^$F2751</f>
        <v/>
      </c>
      <c r="AO2751" s="44">
        <f>AN2751*$G2751*(1+AO$7)^$D2751*(AO2733/AN2733)^$E2751*((AO2733+AO2742)/(AN2733+AN2742))^$F2751</f>
        <v/>
      </c>
      <c r="AP2751" s="44">
        <f>AO2751*$G2751*(1+AP$7)^$D2751*(AP2733/AO2733)^$E2751*((AP2733+AP2742)/(AO2733+AO2742))^$F2751</f>
        <v/>
      </c>
      <c r="AQ2751" s="44">
        <f>AP2751*$G2751*(1+AQ$7)^$D2751*(AQ2733/AP2733)^$E2751*((AQ2733+AQ2742)/(AP2733+AP2742))^$F2751</f>
        <v/>
      </c>
      <c r="AR2751" s="44">
        <f>AQ2751*$G2751*(1+AR$7)^$D2751*(AR2733/AQ2733)^$E2751*((AR2733+AR2742)/(AQ2733+AQ2742))^$F2751</f>
        <v/>
      </c>
      <c r="AS2751" s="44">
        <f>AR2751*$G2751*(1+AS$7)^$D2751*(AS2733/AR2733)^$E2751*((AS2733+AS2742)/(AR2733+AR2742))^$F2751</f>
        <v/>
      </c>
      <c r="AT2751" s="44">
        <f>AS2751*$G2751*(1+AT$7)^$D2751*(AT2733/AS2733)^$E2751*((AT2733+AT2742)/(AS2733+AS2742))^$F2751</f>
        <v/>
      </c>
      <c r="AU2751" s="44">
        <f>AT2751*$G2751*(1+AU$7)^$D2751*(AU2733/AT2733)^$E2751*((AU2733+AU2742)/(AT2733+AT2742))^$F2751</f>
        <v/>
      </c>
      <c r="AV2751" s="44">
        <f>AU2751*$G2751*(1+AV$7)^$D2751*(AV2733/AU2733)^$E2751*((AV2733+AV2742)/(AU2733+AU2742))^$F2751</f>
        <v/>
      </c>
      <c r="AW2751" s="44">
        <f>AV2751*$G2751*(1+AW$7)^$D2751*(AW2733/AV2733)^$E2751*((AW2733+AW2742)/(AV2733+AV2742))^$F2751</f>
        <v/>
      </c>
      <c r="AX2751" s="44">
        <f>AW2751*$G2751*(1+AX$7)^$D2751*(AX2733/AW2733)^$E2751*((AX2733+AX2742)/(AW2733+AW2742))^$F2751</f>
        <v/>
      </c>
      <c r="AY2751" s="44">
        <f>AX2751*$G2751*(1+AY$7)^$D2751*(AY2733/AX2733)^$E2751*((AY2733+AY2742)/(AX2733+AX2742))^$F2751</f>
        <v/>
      </c>
      <c r="AZ2751" s="44">
        <f>AY2751*$G2751*(1+AZ$7)^$D2751*(AZ2733/AY2733)^$E2751*((AZ2733+AZ2742)/(AY2733+AY2742))^$F2751</f>
        <v/>
      </c>
      <c r="BA2751" s="57">
        <f>FUELUSE(AZ2751,BA2733,AZ2733,BA2742,AZ2742,BA$7,$D2751,$E2751,$F2751,$G2751)</f>
        <v/>
      </c>
    </row>
    <row r="2752" hidden="1" outlineLevel="2">
      <c r="A2752" s="14" t="inlineStr">
        <is>
          <t>ener</t>
        </is>
      </c>
      <c r="B2752" s="14" t="inlineStr">
        <is>
          <t>die</t>
        </is>
      </c>
      <c r="C2752" s="14" t="inlineStr">
        <is>
          <t>cst</t>
        </is>
      </c>
      <c r="D2752" s="35">
        <f>INDEX(Inputs!$O$5:$O$132,MATCH($B2752&amp;"|"&amp;$C2752,Inputs!$A$5:$A$132,0))</f>
        <v/>
      </c>
      <c r="E2752" s="35">
        <f>INDEX(Inputs!$P$5:$P$132,MATCH($B2752&amp;"|"&amp;$C2752,Inputs!$A$5:$A$132,0))</f>
        <v/>
      </c>
      <c r="F2752" s="35">
        <f>INDEX(Inputs!$T$5:$T$132,MATCH($B2752&amp;"|"&amp;$C2752,Inputs!$A$5:$A$132,0))</f>
        <v/>
      </c>
      <c r="G2752" s="35">
        <f>INDEX(Inputs!$S$5:$S$132,MATCH($B2752&amp;"|"&amp;$C2752,Inputs!$A$5:$A$132,0))</f>
        <v/>
      </c>
      <c r="H2752" s="14">
        <f>INDEX(VarLab,MATCH($A2752,VarKey,0))&amp;INDEX(MemLab,MATCH($C2752&amp;"|"&amp;$B2752,MemKey,0))</f>
        <v/>
      </c>
      <c r="I2752" s="14">
        <f>INDEX(VarUnit,MATCH($A2752,VarKey,0))</f>
        <v/>
      </c>
      <c r="J2752" s="14">
        <f>INDEX(VarSrc,MATCH($A2752,VarKey,0))</f>
        <v/>
      </c>
      <c r="K2752" s="11">
        <f>CodePrefix&amp;$A2752&amp;IF($C2752="","","."&amp;$C2752&amp;"."&amp;$B2752)&amp;INDEX(VarEnd,MATCH($A2752,VarKey,0))&amp;K$5</f>
        <v/>
      </c>
      <c r="L2752" s="43">
        <f>INDEX(Inputs!$X$5:$X$132,MATCH($B2752&amp;"|"&amp;$C2752,Inputs!$A$5:$A$132,0))</f>
        <v/>
      </c>
      <c r="M2752" s="44">
        <f>L2752*$G2752*(1+M$7)^$D2752*(M2734/L2734)^$E2752*((M2734+M2743)/(L2734+L2743))^$F2752</f>
        <v/>
      </c>
      <c r="N2752" s="44">
        <f>M2752*$G2752*(1+N$7)^$D2752*(N2734/M2734)^$E2752*((N2734+N2743)/(M2734+M2743))^$F2752</f>
        <v/>
      </c>
      <c r="O2752" s="44">
        <f>N2752*$G2752*(1+O$7)^$D2752*(O2734/N2734)^$E2752*((O2734+O2743)/(N2734+N2743))^$F2752</f>
        <v/>
      </c>
      <c r="P2752" s="44">
        <f>O2752*$G2752*(1+P$7)^$D2752*(P2734/O2734)^$E2752*((P2734+P2743)/(O2734+O2743))^$F2752</f>
        <v/>
      </c>
      <c r="Q2752" s="44">
        <f>P2752*$G2752*(1+Q$7)^$D2752*(Q2734/P2734)^$E2752*((Q2734+Q2743)/(P2734+P2743))^$F2752</f>
        <v/>
      </c>
      <c r="R2752" s="44">
        <f>Q2752*$G2752*(1+R$7)^$D2752*(R2734/Q2734)^$E2752*((R2734+R2743)/(Q2734+Q2743))^$F2752</f>
        <v/>
      </c>
      <c r="S2752" s="44">
        <f>R2752*$G2752*(1+S$7)^$D2752*(S2734/R2734)^$E2752*((S2734+S2743)/(R2734+R2743))^$F2752</f>
        <v/>
      </c>
      <c r="T2752" s="44">
        <f>S2752*$G2752*(1+T$7)^$D2752*(T2734/S2734)^$E2752*((T2734+T2743)/(S2734+S2743))^$F2752</f>
        <v/>
      </c>
      <c r="U2752" s="44">
        <f>T2752*$G2752*(1+U$7)^$D2752*(U2734/T2734)^$E2752*((U2734+U2743)/(T2734+T2743))^$F2752</f>
        <v/>
      </c>
      <c r="V2752" s="44">
        <f>U2752*$G2752*(1+V$7)^$D2752*(V2734/U2734)^$E2752*((V2734+V2743)/(U2734+U2743))^$F2752</f>
        <v/>
      </c>
      <c r="W2752" s="44">
        <f>V2752*$G2752*(1+W$7)^$D2752*(W2734/V2734)^$E2752*((W2734+W2743)/(V2734+V2743))^$F2752</f>
        <v/>
      </c>
      <c r="X2752" s="44">
        <f>W2752*$G2752*(1+X$7)^$D2752*(X2734/W2734)^$E2752*((X2734+X2743)/(W2734+W2743))^$F2752</f>
        <v/>
      </c>
      <c r="Y2752" s="44">
        <f>X2752*$G2752*(1+Y$7)^$D2752*(Y2734/X2734)^$E2752*((Y2734+Y2743)/(X2734+X2743))^$F2752</f>
        <v/>
      </c>
      <c r="Z2752" s="44">
        <f>Y2752*$G2752*(1+Z$7)^$D2752*(Z2734/Y2734)^$E2752*((Z2734+Z2743)/(Y2734+Y2743))^$F2752</f>
        <v/>
      </c>
      <c r="AA2752" s="44">
        <f>Z2752*$G2752*(1+AA$7)^$D2752*(AA2734/Z2734)^$E2752*((AA2734+AA2743)/(Z2734+Z2743))^$F2752</f>
        <v/>
      </c>
      <c r="AB2752" s="44">
        <f>AA2752*$G2752*(1+AB$7)^$D2752*(AB2734/AA2734)^$E2752*((AB2734+AB2743)/(AA2734+AA2743))^$F2752</f>
        <v/>
      </c>
      <c r="AC2752" s="44">
        <f>AB2752*$G2752*(1+AC$7)^$D2752*(AC2734/AB2734)^$E2752*((AC2734+AC2743)/(AB2734+AB2743))^$F2752</f>
        <v/>
      </c>
      <c r="AD2752" s="44">
        <f>AC2752*$G2752*(1+AD$7)^$D2752*(AD2734/AC2734)^$E2752*((AD2734+AD2743)/(AC2734+AC2743))^$F2752</f>
        <v/>
      </c>
      <c r="AE2752" s="57">
        <f>FUELUSE(AD2752,AE2734,AD2734,AE2743,AD2743,AE$7,$D2752,$E2752,$F2752,$G2752)</f>
        <v/>
      </c>
      <c r="AG2752" s="11">
        <f>CodePrefix&amp;$A2752&amp;IF($C2752="","","."&amp;$C2752&amp;"."&amp;$B2752)&amp;INDEX(VarEnd,MATCH($A2752,VarKey,0))&amp;AG$5</f>
        <v/>
      </c>
      <c r="AH2752" s="43">
        <f>INDEX(Inputs!$X$5:$X$132,MATCH($B2752&amp;"|"&amp;$C2752,Inputs!$A$5:$A$132,0))</f>
        <v/>
      </c>
      <c r="AI2752" s="44">
        <f>AH2752*$G2752*(1+AI$7)^$D2752*(AI2734/AH2734)^$E2752*((AI2734+AI2743)/(AH2734+AH2743))^$F2752</f>
        <v/>
      </c>
      <c r="AJ2752" s="44">
        <f>AI2752*$G2752*(1+AJ$7)^$D2752*(AJ2734/AI2734)^$E2752*((AJ2734+AJ2743)/(AI2734+AI2743))^$F2752</f>
        <v/>
      </c>
      <c r="AK2752" s="44">
        <f>AJ2752*$G2752*(1+AK$7)^$D2752*(AK2734/AJ2734)^$E2752*((AK2734+AK2743)/(AJ2734+AJ2743))^$F2752</f>
        <v/>
      </c>
      <c r="AL2752" s="44">
        <f>AK2752*$G2752*(1+AL$7)^$D2752*(AL2734/AK2734)^$E2752*((AL2734+AL2743)/(AK2734+AK2743))^$F2752</f>
        <v/>
      </c>
      <c r="AM2752" s="44">
        <f>AL2752*$G2752*(1+AM$7)^$D2752*(AM2734/AL2734)^$E2752*((AM2734+AM2743)/(AL2734+AL2743))^$F2752</f>
        <v/>
      </c>
      <c r="AN2752" s="44">
        <f>AM2752*$G2752*(1+AN$7)^$D2752*(AN2734/AM2734)^$E2752*((AN2734+AN2743)/(AM2734+AM2743))^$F2752</f>
        <v/>
      </c>
      <c r="AO2752" s="44">
        <f>AN2752*$G2752*(1+AO$7)^$D2752*(AO2734/AN2734)^$E2752*((AO2734+AO2743)/(AN2734+AN2743))^$F2752</f>
        <v/>
      </c>
      <c r="AP2752" s="44">
        <f>AO2752*$G2752*(1+AP$7)^$D2752*(AP2734/AO2734)^$E2752*((AP2734+AP2743)/(AO2734+AO2743))^$F2752</f>
        <v/>
      </c>
      <c r="AQ2752" s="44">
        <f>AP2752*$G2752*(1+AQ$7)^$D2752*(AQ2734/AP2734)^$E2752*((AQ2734+AQ2743)/(AP2734+AP2743))^$F2752</f>
        <v/>
      </c>
      <c r="AR2752" s="44">
        <f>AQ2752*$G2752*(1+AR$7)^$D2752*(AR2734/AQ2734)^$E2752*((AR2734+AR2743)/(AQ2734+AQ2743))^$F2752</f>
        <v/>
      </c>
      <c r="AS2752" s="44">
        <f>AR2752*$G2752*(1+AS$7)^$D2752*(AS2734/AR2734)^$E2752*((AS2734+AS2743)/(AR2734+AR2743))^$F2752</f>
        <v/>
      </c>
      <c r="AT2752" s="44">
        <f>AS2752*$G2752*(1+AT$7)^$D2752*(AT2734/AS2734)^$E2752*((AT2734+AT2743)/(AS2734+AS2743))^$F2752</f>
        <v/>
      </c>
      <c r="AU2752" s="44">
        <f>AT2752*$G2752*(1+AU$7)^$D2752*(AU2734/AT2734)^$E2752*((AU2734+AU2743)/(AT2734+AT2743))^$F2752</f>
        <v/>
      </c>
      <c r="AV2752" s="44">
        <f>AU2752*$G2752*(1+AV$7)^$D2752*(AV2734/AU2734)^$E2752*((AV2734+AV2743)/(AU2734+AU2743))^$F2752</f>
        <v/>
      </c>
      <c r="AW2752" s="44">
        <f>AV2752*$G2752*(1+AW$7)^$D2752*(AW2734/AV2734)^$E2752*((AW2734+AW2743)/(AV2734+AV2743))^$F2752</f>
        <v/>
      </c>
      <c r="AX2752" s="44">
        <f>AW2752*$G2752*(1+AX$7)^$D2752*(AX2734/AW2734)^$E2752*((AX2734+AX2743)/(AW2734+AW2743))^$F2752</f>
        <v/>
      </c>
      <c r="AY2752" s="44">
        <f>AX2752*$G2752*(1+AY$7)^$D2752*(AY2734/AX2734)^$E2752*((AY2734+AY2743)/(AX2734+AX2743))^$F2752</f>
        <v/>
      </c>
      <c r="AZ2752" s="44">
        <f>AY2752*$G2752*(1+AZ$7)^$D2752*(AZ2734/AY2734)^$E2752*((AZ2734+AZ2743)/(AY2734+AY2743))^$F2752</f>
        <v/>
      </c>
      <c r="BA2752" s="57">
        <f>FUELUSE(AZ2752,BA2734,AZ2734,BA2743,AZ2743,BA$7,$D2752,$E2752,$F2752,$G2752)</f>
        <v/>
      </c>
    </row>
    <row r="2753" hidden="1" outlineLevel="2">
      <c r="A2753" s="14" t="inlineStr">
        <is>
          <t>ener</t>
        </is>
      </c>
      <c r="B2753" s="14" t="inlineStr">
        <is>
          <t>lpg</t>
        </is>
      </c>
      <c r="C2753" s="14" t="inlineStr">
        <is>
          <t>cst</t>
        </is>
      </c>
      <c r="D2753" s="35">
        <f>INDEX(Inputs!$O$5:$O$132,MATCH($B2753&amp;"|"&amp;$C2753,Inputs!$A$5:$A$132,0))</f>
        <v/>
      </c>
      <c r="E2753" s="35">
        <f>INDEX(Inputs!$P$5:$P$132,MATCH($B2753&amp;"|"&amp;$C2753,Inputs!$A$5:$A$132,0))</f>
        <v/>
      </c>
      <c r="F2753" s="35">
        <f>INDEX(Inputs!$T$5:$T$132,MATCH($B2753&amp;"|"&amp;$C2753,Inputs!$A$5:$A$132,0))</f>
        <v/>
      </c>
      <c r="G2753" s="35">
        <f>INDEX(Inputs!$S$5:$S$132,MATCH($B2753&amp;"|"&amp;$C2753,Inputs!$A$5:$A$132,0))</f>
        <v/>
      </c>
      <c r="H2753" s="14">
        <f>INDEX(VarLab,MATCH($A2753,VarKey,0))&amp;INDEX(MemLab,MATCH($C2753&amp;"|"&amp;$B2753,MemKey,0))</f>
        <v/>
      </c>
      <c r="I2753" s="14">
        <f>INDEX(VarUnit,MATCH($A2753,VarKey,0))</f>
        <v/>
      </c>
      <c r="J2753" s="14">
        <f>INDEX(VarSrc,MATCH($A2753,VarKey,0))</f>
        <v/>
      </c>
      <c r="K2753" s="11">
        <f>CodePrefix&amp;$A2753&amp;IF($C2753="","","."&amp;$C2753&amp;"."&amp;$B2753)&amp;INDEX(VarEnd,MATCH($A2753,VarKey,0))&amp;K$5</f>
        <v/>
      </c>
      <c r="L2753" s="43">
        <f>INDEX(Inputs!$X$5:$X$132,MATCH($B2753&amp;"|"&amp;$C2753,Inputs!$A$5:$A$132,0))</f>
        <v/>
      </c>
      <c r="M2753" s="44">
        <f>L2753*$G2753*(1+M$7)^$D2753*(M2735/L2735)^$E2753*((M2735+M2744)/(L2735+L2744))^$F2753</f>
        <v/>
      </c>
      <c r="N2753" s="44">
        <f>M2753*$G2753*(1+N$7)^$D2753*(N2735/M2735)^$E2753*((N2735+N2744)/(M2735+M2744))^$F2753</f>
        <v/>
      </c>
      <c r="O2753" s="44">
        <f>N2753*$G2753*(1+O$7)^$D2753*(O2735/N2735)^$E2753*((O2735+O2744)/(N2735+N2744))^$F2753</f>
        <v/>
      </c>
      <c r="P2753" s="44">
        <f>O2753*$G2753*(1+P$7)^$D2753*(P2735/O2735)^$E2753*((P2735+P2744)/(O2735+O2744))^$F2753</f>
        <v/>
      </c>
      <c r="Q2753" s="44">
        <f>P2753*$G2753*(1+Q$7)^$D2753*(Q2735/P2735)^$E2753*((Q2735+Q2744)/(P2735+P2744))^$F2753</f>
        <v/>
      </c>
      <c r="R2753" s="44">
        <f>Q2753*$G2753*(1+R$7)^$D2753*(R2735/Q2735)^$E2753*((R2735+R2744)/(Q2735+Q2744))^$F2753</f>
        <v/>
      </c>
      <c r="S2753" s="44">
        <f>R2753*$G2753*(1+S$7)^$D2753*(S2735/R2735)^$E2753*((S2735+S2744)/(R2735+R2744))^$F2753</f>
        <v/>
      </c>
      <c r="T2753" s="44">
        <f>S2753*$G2753*(1+T$7)^$D2753*(T2735/S2735)^$E2753*((T2735+T2744)/(S2735+S2744))^$F2753</f>
        <v/>
      </c>
      <c r="U2753" s="44">
        <f>T2753*$G2753*(1+U$7)^$D2753*(U2735/T2735)^$E2753*((U2735+U2744)/(T2735+T2744))^$F2753</f>
        <v/>
      </c>
      <c r="V2753" s="44">
        <f>U2753*$G2753*(1+V$7)^$D2753*(V2735/U2735)^$E2753*((V2735+V2744)/(U2735+U2744))^$F2753</f>
        <v/>
      </c>
      <c r="W2753" s="44">
        <f>V2753*$G2753*(1+W$7)^$D2753*(W2735/V2735)^$E2753*((W2735+W2744)/(V2735+V2744))^$F2753</f>
        <v/>
      </c>
      <c r="X2753" s="44">
        <f>W2753*$G2753*(1+X$7)^$D2753*(X2735/W2735)^$E2753*((X2735+X2744)/(W2735+W2744))^$F2753</f>
        <v/>
      </c>
      <c r="Y2753" s="44">
        <f>X2753*$G2753*(1+Y$7)^$D2753*(Y2735/X2735)^$E2753*((Y2735+Y2744)/(X2735+X2744))^$F2753</f>
        <v/>
      </c>
      <c r="Z2753" s="44">
        <f>Y2753*$G2753*(1+Z$7)^$D2753*(Z2735/Y2735)^$E2753*((Z2735+Z2744)/(Y2735+Y2744))^$F2753</f>
        <v/>
      </c>
      <c r="AA2753" s="44">
        <f>Z2753*$G2753*(1+AA$7)^$D2753*(AA2735/Z2735)^$E2753*((AA2735+AA2744)/(Z2735+Z2744))^$F2753</f>
        <v/>
      </c>
      <c r="AB2753" s="44">
        <f>AA2753*$G2753*(1+AB$7)^$D2753*(AB2735/AA2735)^$E2753*((AB2735+AB2744)/(AA2735+AA2744))^$F2753</f>
        <v/>
      </c>
      <c r="AC2753" s="44">
        <f>AB2753*$G2753*(1+AC$7)^$D2753*(AC2735/AB2735)^$E2753*((AC2735+AC2744)/(AB2735+AB2744))^$F2753</f>
        <v/>
      </c>
      <c r="AD2753" s="44">
        <f>AC2753*$G2753*(1+AD$7)^$D2753*(AD2735/AC2735)^$E2753*((AD2735+AD2744)/(AC2735+AC2744))^$F2753</f>
        <v/>
      </c>
      <c r="AE2753" s="57">
        <f>FUELUSE(AD2753,AE2735,AD2735,AE2744,AD2744,AE$7,$D2753,$E2753,$F2753,$G2753)</f>
        <v/>
      </c>
      <c r="AG2753" s="11">
        <f>CodePrefix&amp;$A2753&amp;IF($C2753="","","."&amp;$C2753&amp;"."&amp;$B2753)&amp;INDEX(VarEnd,MATCH($A2753,VarKey,0))&amp;AG$5</f>
        <v/>
      </c>
      <c r="AH2753" s="43">
        <f>INDEX(Inputs!$X$5:$X$132,MATCH($B2753&amp;"|"&amp;$C2753,Inputs!$A$5:$A$132,0))</f>
        <v/>
      </c>
      <c r="AI2753" s="44">
        <f>AH2753*$G2753*(1+AI$7)^$D2753*(AI2735/AH2735)^$E2753*((AI2735+AI2744)/(AH2735+AH2744))^$F2753</f>
        <v/>
      </c>
      <c r="AJ2753" s="44">
        <f>AI2753*$G2753*(1+AJ$7)^$D2753*(AJ2735/AI2735)^$E2753*((AJ2735+AJ2744)/(AI2735+AI2744))^$F2753</f>
        <v/>
      </c>
      <c r="AK2753" s="44">
        <f>AJ2753*$G2753*(1+AK$7)^$D2753*(AK2735/AJ2735)^$E2753*((AK2735+AK2744)/(AJ2735+AJ2744))^$F2753</f>
        <v/>
      </c>
      <c r="AL2753" s="44">
        <f>AK2753*$G2753*(1+AL$7)^$D2753*(AL2735/AK2735)^$E2753*((AL2735+AL2744)/(AK2735+AK2744))^$F2753</f>
        <v/>
      </c>
      <c r="AM2753" s="44">
        <f>AL2753*$G2753*(1+AM$7)^$D2753*(AM2735/AL2735)^$E2753*((AM2735+AM2744)/(AL2735+AL2744))^$F2753</f>
        <v/>
      </c>
      <c r="AN2753" s="44">
        <f>AM2753*$G2753*(1+AN$7)^$D2753*(AN2735/AM2735)^$E2753*((AN2735+AN2744)/(AM2735+AM2744))^$F2753</f>
        <v/>
      </c>
      <c r="AO2753" s="44">
        <f>AN2753*$G2753*(1+AO$7)^$D2753*(AO2735/AN2735)^$E2753*((AO2735+AO2744)/(AN2735+AN2744))^$F2753</f>
        <v/>
      </c>
      <c r="AP2753" s="44">
        <f>AO2753*$G2753*(1+AP$7)^$D2753*(AP2735/AO2735)^$E2753*((AP2735+AP2744)/(AO2735+AO2744))^$F2753</f>
        <v/>
      </c>
      <c r="AQ2753" s="44">
        <f>AP2753*$G2753*(1+AQ$7)^$D2753*(AQ2735/AP2735)^$E2753*((AQ2735+AQ2744)/(AP2735+AP2744))^$F2753</f>
        <v/>
      </c>
      <c r="AR2753" s="44">
        <f>AQ2753*$G2753*(1+AR$7)^$D2753*(AR2735/AQ2735)^$E2753*((AR2735+AR2744)/(AQ2735+AQ2744))^$F2753</f>
        <v/>
      </c>
      <c r="AS2753" s="44">
        <f>AR2753*$G2753*(1+AS$7)^$D2753*(AS2735/AR2735)^$E2753*((AS2735+AS2744)/(AR2735+AR2744))^$F2753</f>
        <v/>
      </c>
      <c r="AT2753" s="44">
        <f>AS2753*$G2753*(1+AT$7)^$D2753*(AT2735/AS2735)^$E2753*((AT2735+AT2744)/(AS2735+AS2744))^$F2753</f>
        <v/>
      </c>
      <c r="AU2753" s="44">
        <f>AT2753*$G2753*(1+AU$7)^$D2753*(AU2735/AT2735)^$E2753*((AU2735+AU2744)/(AT2735+AT2744))^$F2753</f>
        <v/>
      </c>
      <c r="AV2753" s="44">
        <f>AU2753*$G2753*(1+AV$7)^$D2753*(AV2735/AU2735)^$E2753*((AV2735+AV2744)/(AU2735+AU2744))^$F2753</f>
        <v/>
      </c>
      <c r="AW2753" s="44">
        <f>AV2753*$G2753*(1+AW$7)^$D2753*(AW2735/AV2735)^$E2753*((AW2735+AW2744)/(AV2735+AV2744))^$F2753</f>
        <v/>
      </c>
      <c r="AX2753" s="44">
        <f>AW2753*$G2753*(1+AX$7)^$D2753*(AX2735/AW2735)^$E2753*((AX2735+AX2744)/(AW2735+AW2744))^$F2753</f>
        <v/>
      </c>
      <c r="AY2753" s="44">
        <f>AX2753*$G2753*(1+AY$7)^$D2753*(AY2735/AX2735)^$E2753*((AY2735+AY2744)/(AX2735+AX2744))^$F2753</f>
        <v/>
      </c>
      <c r="AZ2753" s="44">
        <f>AY2753*$G2753*(1+AZ$7)^$D2753*(AZ2735/AY2735)^$E2753*((AZ2735+AZ2744)/(AY2735+AY2744))^$F2753</f>
        <v/>
      </c>
      <c r="BA2753" s="57">
        <f>FUELUSE(AZ2753,BA2735,AZ2735,BA2744,AZ2744,BA$7,$D2753,$E2753,$F2753,$G2753)</f>
        <v/>
      </c>
    </row>
    <row r="2754" hidden="1" outlineLevel="2">
      <c r="A2754" s="14" t="inlineStr">
        <is>
          <t>ener</t>
        </is>
      </c>
      <c r="B2754" s="14" t="inlineStr">
        <is>
          <t>ker</t>
        </is>
      </c>
      <c r="C2754" s="14" t="inlineStr">
        <is>
          <t>cst</t>
        </is>
      </c>
      <c r="D2754" s="35">
        <f>INDEX(Inputs!$O$5:$O$132,MATCH($B2754&amp;"|"&amp;$C2754,Inputs!$A$5:$A$132,0))</f>
        <v/>
      </c>
      <c r="E2754" s="35">
        <f>INDEX(Inputs!$P$5:$P$132,MATCH($B2754&amp;"|"&amp;$C2754,Inputs!$A$5:$A$132,0))</f>
        <v/>
      </c>
      <c r="F2754" s="35">
        <f>INDEX(Inputs!$T$5:$T$132,MATCH($B2754&amp;"|"&amp;$C2754,Inputs!$A$5:$A$132,0))</f>
        <v/>
      </c>
      <c r="G2754" s="35">
        <f>INDEX(Inputs!$S$5:$S$132,MATCH($B2754&amp;"|"&amp;$C2754,Inputs!$A$5:$A$132,0))</f>
        <v/>
      </c>
      <c r="H2754" s="14">
        <f>INDEX(VarLab,MATCH($A2754,VarKey,0))&amp;INDEX(MemLab,MATCH($C2754&amp;"|"&amp;$B2754,MemKey,0))</f>
        <v/>
      </c>
      <c r="I2754" s="14">
        <f>INDEX(VarUnit,MATCH($A2754,VarKey,0))</f>
        <v/>
      </c>
      <c r="J2754" s="14">
        <f>INDEX(VarSrc,MATCH($A2754,VarKey,0))</f>
        <v/>
      </c>
      <c r="K2754" s="11">
        <f>CodePrefix&amp;$A2754&amp;IF($C2754="","","."&amp;$C2754&amp;"."&amp;$B2754)&amp;INDEX(VarEnd,MATCH($A2754,VarKey,0))&amp;K$5</f>
        <v/>
      </c>
      <c r="L2754" s="43">
        <f>INDEX(Inputs!$X$5:$X$132,MATCH($B2754&amp;"|"&amp;$C2754,Inputs!$A$5:$A$132,0))</f>
        <v/>
      </c>
      <c r="M2754" s="44">
        <f>L2754*$G2754*(1+M$7)^$D2754*(M2736/L2736)^$E2754*((M2736+M2745)/(L2736+L2745))^$F2754</f>
        <v/>
      </c>
      <c r="N2754" s="44">
        <f>M2754*$G2754*(1+N$7)^$D2754*(N2736/M2736)^$E2754*((N2736+N2745)/(M2736+M2745))^$F2754</f>
        <v/>
      </c>
      <c r="O2754" s="44">
        <f>N2754*$G2754*(1+O$7)^$D2754*(O2736/N2736)^$E2754*((O2736+O2745)/(N2736+N2745))^$F2754</f>
        <v/>
      </c>
      <c r="P2754" s="44">
        <f>O2754*$G2754*(1+P$7)^$D2754*(P2736/O2736)^$E2754*((P2736+P2745)/(O2736+O2745))^$F2754</f>
        <v/>
      </c>
      <c r="Q2754" s="44">
        <f>P2754*$G2754*(1+Q$7)^$D2754*(Q2736/P2736)^$E2754*((Q2736+Q2745)/(P2736+P2745))^$F2754</f>
        <v/>
      </c>
      <c r="R2754" s="44">
        <f>Q2754*$G2754*(1+R$7)^$D2754*(R2736/Q2736)^$E2754*((R2736+R2745)/(Q2736+Q2745))^$F2754</f>
        <v/>
      </c>
      <c r="S2754" s="44">
        <f>R2754*$G2754*(1+S$7)^$D2754*(S2736/R2736)^$E2754*((S2736+S2745)/(R2736+R2745))^$F2754</f>
        <v/>
      </c>
      <c r="T2754" s="44">
        <f>S2754*$G2754*(1+T$7)^$D2754*(T2736/S2736)^$E2754*((T2736+T2745)/(S2736+S2745))^$F2754</f>
        <v/>
      </c>
      <c r="U2754" s="44">
        <f>T2754*$G2754*(1+U$7)^$D2754*(U2736/T2736)^$E2754*((U2736+U2745)/(T2736+T2745))^$F2754</f>
        <v/>
      </c>
      <c r="V2754" s="44">
        <f>U2754*$G2754*(1+V$7)^$D2754*(V2736/U2736)^$E2754*((V2736+V2745)/(U2736+U2745))^$F2754</f>
        <v/>
      </c>
      <c r="W2754" s="44">
        <f>V2754*$G2754*(1+W$7)^$D2754*(W2736/V2736)^$E2754*((W2736+W2745)/(V2736+V2745))^$F2754</f>
        <v/>
      </c>
      <c r="X2754" s="44">
        <f>W2754*$G2754*(1+X$7)^$D2754*(X2736/W2736)^$E2754*((X2736+X2745)/(W2736+W2745))^$F2754</f>
        <v/>
      </c>
      <c r="Y2754" s="44">
        <f>X2754*$G2754*(1+Y$7)^$D2754*(Y2736/X2736)^$E2754*((Y2736+Y2745)/(X2736+X2745))^$F2754</f>
        <v/>
      </c>
      <c r="Z2754" s="44">
        <f>Y2754*$G2754*(1+Z$7)^$D2754*(Z2736/Y2736)^$E2754*((Z2736+Z2745)/(Y2736+Y2745))^$F2754</f>
        <v/>
      </c>
      <c r="AA2754" s="44">
        <f>Z2754*$G2754*(1+AA$7)^$D2754*(AA2736/Z2736)^$E2754*((AA2736+AA2745)/(Z2736+Z2745))^$F2754</f>
        <v/>
      </c>
      <c r="AB2754" s="44">
        <f>AA2754*$G2754*(1+AB$7)^$D2754*(AB2736/AA2736)^$E2754*((AB2736+AB2745)/(AA2736+AA2745))^$F2754</f>
        <v/>
      </c>
      <c r="AC2754" s="44">
        <f>AB2754*$G2754*(1+AC$7)^$D2754*(AC2736/AB2736)^$E2754*((AC2736+AC2745)/(AB2736+AB2745))^$F2754</f>
        <v/>
      </c>
      <c r="AD2754" s="44">
        <f>AC2754*$G2754*(1+AD$7)^$D2754*(AD2736/AC2736)^$E2754*((AD2736+AD2745)/(AC2736+AC2745))^$F2754</f>
        <v/>
      </c>
      <c r="AE2754" s="57">
        <f>FUELUSE(AD2754,AE2736,AD2736,AE2745,AD2745,AE$7,$D2754,$E2754,$F2754,$G2754)</f>
        <v/>
      </c>
      <c r="AG2754" s="11">
        <f>CodePrefix&amp;$A2754&amp;IF($C2754="","","."&amp;$C2754&amp;"."&amp;$B2754)&amp;INDEX(VarEnd,MATCH($A2754,VarKey,0))&amp;AG$5</f>
        <v/>
      </c>
      <c r="AH2754" s="43">
        <f>INDEX(Inputs!$X$5:$X$132,MATCH($B2754&amp;"|"&amp;$C2754,Inputs!$A$5:$A$132,0))</f>
        <v/>
      </c>
      <c r="AI2754" s="44">
        <f>AH2754*$G2754*(1+AI$7)^$D2754*(AI2736/AH2736)^$E2754*((AI2736+AI2745)/(AH2736+AH2745))^$F2754</f>
        <v/>
      </c>
      <c r="AJ2754" s="44">
        <f>AI2754*$G2754*(1+AJ$7)^$D2754*(AJ2736/AI2736)^$E2754*((AJ2736+AJ2745)/(AI2736+AI2745))^$F2754</f>
        <v/>
      </c>
      <c r="AK2754" s="44">
        <f>AJ2754*$G2754*(1+AK$7)^$D2754*(AK2736/AJ2736)^$E2754*((AK2736+AK2745)/(AJ2736+AJ2745))^$F2754</f>
        <v/>
      </c>
      <c r="AL2754" s="44">
        <f>AK2754*$G2754*(1+AL$7)^$D2754*(AL2736/AK2736)^$E2754*((AL2736+AL2745)/(AK2736+AK2745))^$F2754</f>
        <v/>
      </c>
      <c r="AM2754" s="44">
        <f>AL2754*$G2754*(1+AM$7)^$D2754*(AM2736/AL2736)^$E2754*((AM2736+AM2745)/(AL2736+AL2745))^$F2754</f>
        <v/>
      </c>
      <c r="AN2754" s="44">
        <f>AM2754*$G2754*(1+AN$7)^$D2754*(AN2736/AM2736)^$E2754*((AN2736+AN2745)/(AM2736+AM2745))^$F2754</f>
        <v/>
      </c>
      <c r="AO2754" s="44">
        <f>AN2754*$G2754*(1+AO$7)^$D2754*(AO2736/AN2736)^$E2754*((AO2736+AO2745)/(AN2736+AN2745))^$F2754</f>
        <v/>
      </c>
      <c r="AP2754" s="44">
        <f>AO2754*$G2754*(1+AP$7)^$D2754*(AP2736/AO2736)^$E2754*((AP2736+AP2745)/(AO2736+AO2745))^$F2754</f>
        <v/>
      </c>
      <c r="AQ2754" s="44">
        <f>AP2754*$G2754*(1+AQ$7)^$D2754*(AQ2736/AP2736)^$E2754*((AQ2736+AQ2745)/(AP2736+AP2745))^$F2754</f>
        <v/>
      </c>
      <c r="AR2754" s="44">
        <f>AQ2754*$G2754*(1+AR$7)^$D2754*(AR2736/AQ2736)^$E2754*((AR2736+AR2745)/(AQ2736+AQ2745))^$F2754</f>
        <v/>
      </c>
      <c r="AS2754" s="44">
        <f>AR2754*$G2754*(1+AS$7)^$D2754*(AS2736/AR2736)^$E2754*((AS2736+AS2745)/(AR2736+AR2745))^$F2754</f>
        <v/>
      </c>
      <c r="AT2754" s="44">
        <f>AS2754*$G2754*(1+AT$7)^$D2754*(AT2736/AS2736)^$E2754*((AT2736+AT2745)/(AS2736+AS2745))^$F2754</f>
        <v/>
      </c>
      <c r="AU2754" s="44">
        <f>AT2754*$G2754*(1+AU$7)^$D2754*(AU2736/AT2736)^$E2754*((AU2736+AU2745)/(AT2736+AT2745))^$F2754</f>
        <v/>
      </c>
      <c r="AV2754" s="44">
        <f>AU2754*$G2754*(1+AV$7)^$D2754*(AV2736/AU2736)^$E2754*((AV2736+AV2745)/(AU2736+AU2745))^$F2754</f>
        <v/>
      </c>
      <c r="AW2754" s="44">
        <f>AV2754*$G2754*(1+AW$7)^$D2754*(AW2736/AV2736)^$E2754*((AW2736+AW2745)/(AV2736+AV2745))^$F2754</f>
        <v/>
      </c>
      <c r="AX2754" s="44">
        <f>AW2754*$G2754*(1+AX$7)^$D2754*(AX2736/AW2736)^$E2754*((AX2736+AX2745)/(AW2736+AW2745))^$F2754</f>
        <v/>
      </c>
      <c r="AY2754" s="44">
        <f>AX2754*$G2754*(1+AY$7)^$D2754*(AY2736/AX2736)^$E2754*((AY2736+AY2745)/(AX2736+AX2745))^$F2754</f>
        <v/>
      </c>
      <c r="AZ2754" s="44">
        <f>AY2754*$G2754*(1+AZ$7)^$D2754*(AZ2736/AY2736)^$E2754*((AZ2736+AZ2745)/(AY2736+AY2745))^$F2754</f>
        <v/>
      </c>
      <c r="BA2754" s="57">
        <f>FUELUSE(AZ2754,BA2736,AZ2736,BA2745,AZ2745,BA$7,$D2754,$E2754,$F2754,$G2754)</f>
        <v/>
      </c>
    </row>
    <row r="2755" hidden="1" outlineLevel="2">
      <c r="A2755" s="14" t="inlineStr">
        <is>
          <t>ener</t>
        </is>
      </c>
      <c r="B2755" s="14" t="inlineStr">
        <is>
          <t>oop</t>
        </is>
      </c>
      <c r="C2755" s="14" t="inlineStr">
        <is>
          <t>cst</t>
        </is>
      </c>
      <c r="D2755" s="35">
        <f>INDEX(Inputs!$O$5:$O$132,MATCH($B2755&amp;"|"&amp;$C2755,Inputs!$A$5:$A$132,0))</f>
        <v/>
      </c>
      <c r="E2755" s="35">
        <f>INDEX(Inputs!$P$5:$P$132,MATCH($B2755&amp;"|"&amp;$C2755,Inputs!$A$5:$A$132,0))</f>
        <v/>
      </c>
      <c r="F2755" s="35">
        <f>INDEX(Inputs!$T$5:$T$132,MATCH($B2755&amp;"|"&amp;$C2755,Inputs!$A$5:$A$132,0))</f>
        <v/>
      </c>
      <c r="G2755" s="35">
        <f>INDEX(Inputs!$S$5:$S$132,MATCH($B2755&amp;"|"&amp;$C2755,Inputs!$A$5:$A$132,0))</f>
        <v/>
      </c>
      <c r="H2755" s="14">
        <f>INDEX(VarLab,MATCH($A2755,VarKey,0))&amp;INDEX(MemLab,MATCH($C2755&amp;"|"&amp;$B2755,MemKey,0))</f>
        <v/>
      </c>
      <c r="I2755" s="14">
        <f>INDEX(VarUnit,MATCH($A2755,VarKey,0))</f>
        <v/>
      </c>
      <c r="J2755" s="14">
        <f>INDEX(VarSrc,MATCH($A2755,VarKey,0))</f>
        <v/>
      </c>
      <c r="K2755" s="11">
        <f>CodePrefix&amp;$A2755&amp;IF($C2755="","","."&amp;$C2755&amp;"."&amp;$B2755)&amp;INDEX(VarEnd,MATCH($A2755,VarKey,0))&amp;K$5</f>
        <v/>
      </c>
      <c r="L2755" s="43">
        <f>INDEX(Inputs!$X$5:$X$132,MATCH($B2755&amp;"|"&amp;$C2755,Inputs!$A$5:$A$132,0))</f>
        <v/>
      </c>
      <c r="M2755" s="44">
        <f>L2755*$G2755*(1+M$7)^$D2755*(M2737/L2737)^$E2755*((M2737+M2746)/(L2737+L2746))^$F2755</f>
        <v/>
      </c>
      <c r="N2755" s="44">
        <f>M2755*$G2755*(1+N$7)^$D2755*(N2737/M2737)^$E2755*((N2737+N2746)/(M2737+M2746))^$F2755</f>
        <v/>
      </c>
      <c r="O2755" s="44">
        <f>N2755*$G2755*(1+O$7)^$D2755*(O2737/N2737)^$E2755*((O2737+O2746)/(N2737+N2746))^$F2755</f>
        <v/>
      </c>
      <c r="P2755" s="44">
        <f>O2755*$G2755*(1+P$7)^$D2755*(P2737/O2737)^$E2755*((P2737+P2746)/(O2737+O2746))^$F2755</f>
        <v/>
      </c>
      <c r="Q2755" s="44">
        <f>P2755*$G2755*(1+Q$7)^$D2755*(Q2737/P2737)^$E2755*((Q2737+Q2746)/(P2737+P2746))^$F2755</f>
        <v/>
      </c>
      <c r="R2755" s="44">
        <f>Q2755*$G2755*(1+R$7)^$D2755*(R2737/Q2737)^$E2755*((R2737+R2746)/(Q2737+Q2746))^$F2755</f>
        <v/>
      </c>
      <c r="S2755" s="44">
        <f>R2755*$G2755*(1+S$7)^$D2755*(S2737/R2737)^$E2755*((S2737+S2746)/(R2737+R2746))^$F2755</f>
        <v/>
      </c>
      <c r="T2755" s="44">
        <f>S2755*$G2755*(1+T$7)^$D2755*(T2737/S2737)^$E2755*((T2737+T2746)/(S2737+S2746))^$F2755</f>
        <v/>
      </c>
      <c r="U2755" s="44">
        <f>T2755*$G2755*(1+U$7)^$D2755*(U2737/T2737)^$E2755*((U2737+U2746)/(T2737+T2746))^$F2755</f>
        <v/>
      </c>
      <c r="V2755" s="44">
        <f>U2755*$G2755*(1+V$7)^$D2755*(V2737/U2737)^$E2755*((V2737+V2746)/(U2737+U2746))^$F2755</f>
        <v/>
      </c>
      <c r="W2755" s="44">
        <f>V2755*$G2755*(1+W$7)^$D2755*(W2737/V2737)^$E2755*((W2737+W2746)/(V2737+V2746))^$F2755</f>
        <v/>
      </c>
      <c r="X2755" s="44">
        <f>W2755*$G2755*(1+X$7)^$D2755*(X2737/W2737)^$E2755*((X2737+X2746)/(W2737+W2746))^$F2755</f>
        <v/>
      </c>
      <c r="Y2755" s="44">
        <f>X2755*$G2755*(1+Y$7)^$D2755*(Y2737/X2737)^$E2755*((Y2737+Y2746)/(X2737+X2746))^$F2755</f>
        <v/>
      </c>
      <c r="Z2755" s="44">
        <f>Y2755*$G2755*(1+Z$7)^$D2755*(Z2737/Y2737)^$E2755*((Z2737+Z2746)/(Y2737+Y2746))^$F2755</f>
        <v/>
      </c>
      <c r="AA2755" s="44">
        <f>Z2755*$G2755*(1+AA$7)^$D2755*(AA2737/Z2737)^$E2755*((AA2737+AA2746)/(Z2737+Z2746))^$F2755</f>
        <v/>
      </c>
      <c r="AB2755" s="44">
        <f>AA2755*$G2755*(1+AB$7)^$D2755*(AB2737/AA2737)^$E2755*((AB2737+AB2746)/(AA2737+AA2746))^$F2755</f>
        <v/>
      </c>
      <c r="AC2755" s="44">
        <f>AB2755*$G2755*(1+AC$7)^$D2755*(AC2737/AB2737)^$E2755*((AC2737+AC2746)/(AB2737+AB2746))^$F2755</f>
        <v/>
      </c>
      <c r="AD2755" s="44">
        <f>AC2755*$G2755*(1+AD$7)^$D2755*(AD2737/AC2737)^$E2755*((AD2737+AD2746)/(AC2737+AC2746))^$F2755</f>
        <v/>
      </c>
      <c r="AE2755" s="57">
        <f>FUELUSE(AD2755,AE2737,AD2737,AE2746,AD2746,AE$7,$D2755,$E2755,$F2755,$G2755)</f>
        <v/>
      </c>
      <c r="AG2755" s="11">
        <f>CodePrefix&amp;$A2755&amp;IF($C2755="","","."&amp;$C2755&amp;"."&amp;$B2755)&amp;INDEX(VarEnd,MATCH($A2755,VarKey,0))&amp;AG$5</f>
        <v/>
      </c>
      <c r="AH2755" s="43">
        <f>INDEX(Inputs!$X$5:$X$132,MATCH($B2755&amp;"|"&amp;$C2755,Inputs!$A$5:$A$132,0))</f>
        <v/>
      </c>
      <c r="AI2755" s="44">
        <f>AH2755*$G2755*(1+AI$7)^$D2755*(AI2737/AH2737)^$E2755*((AI2737+AI2746)/(AH2737+AH2746))^$F2755</f>
        <v/>
      </c>
      <c r="AJ2755" s="44">
        <f>AI2755*$G2755*(1+AJ$7)^$D2755*(AJ2737/AI2737)^$E2755*((AJ2737+AJ2746)/(AI2737+AI2746))^$F2755</f>
        <v/>
      </c>
      <c r="AK2755" s="44">
        <f>AJ2755*$G2755*(1+AK$7)^$D2755*(AK2737/AJ2737)^$E2755*((AK2737+AK2746)/(AJ2737+AJ2746))^$F2755</f>
        <v/>
      </c>
      <c r="AL2755" s="44">
        <f>AK2755*$G2755*(1+AL$7)^$D2755*(AL2737/AK2737)^$E2755*((AL2737+AL2746)/(AK2737+AK2746))^$F2755</f>
        <v/>
      </c>
      <c r="AM2755" s="44">
        <f>AL2755*$G2755*(1+AM$7)^$D2755*(AM2737/AL2737)^$E2755*((AM2737+AM2746)/(AL2737+AL2746))^$F2755</f>
        <v/>
      </c>
      <c r="AN2755" s="44">
        <f>AM2755*$G2755*(1+AN$7)^$D2755*(AN2737/AM2737)^$E2755*((AN2737+AN2746)/(AM2737+AM2746))^$F2755</f>
        <v/>
      </c>
      <c r="AO2755" s="44">
        <f>AN2755*$G2755*(1+AO$7)^$D2755*(AO2737/AN2737)^$E2755*((AO2737+AO2746)/(AN2737+AN2746))^$F2755</f>
        <v/>
      </c>
      <c r="AP2755" s="44">
        <f>AO2755*$G2755*(1+AP$7)^$D2755*(AP2737/AO2737)^$E2755*((AP2737+AP2746)/(AO2737+AO2746))^$F2755</f>
        <v/>
      </c>
      <c r="AQ2755" s="44">
        <f>AP2755*$G2755*(1+AQ$7)^$D2755*(AQ2737/AP2737)^$E2755*((AQ2737+AQ2746)/(AP2737+AP2746))^$F2755</f>
        <v/>
      </c>
      <c r="AR2755" s="44">
        <f>AQ2755*$G2755*(1+AR$7)^$D2755*(AR2737/AQ2737)^$E2755*((AR2737+AR2746)/(AQ2737+AQ2746))^$F2755</f>
        <v/>
      </c>
      <c r="AS2755" s="44">
        <f>AR2755*$G2755*(1+AS$7)^$D2755*(AS2737/AR2737)^$E2755*((AS2737+AS2746)/(AR2737+AR2746))^$F2755</f>
        <v/>
      </c>
      <c r="AT2755" s="44">
        <f>AS2755*$G2755*(1+AT$7)^$D2755*(AT2737/AS2737)^$E2755*((AT2737+AT2746)/(AS2737+AS2746))^$F2755</f>
        <v/>
      </c>
      <c r="AU2755" s="44">
        <f>AT2755*$G2755*(1+AU$7)^$D2755*(AU2737/AT2737)^$E2755*((AU2737+AU2746)/(AT2737+AT2746))^$F2755</f>
        <v/>
      </c>
      <c r="AV2755" s="44">
        <f>AU2755*$G2755*(1+AV$7)^$D2755*(AV2737/AU2737)^$E2755*((AV2737+AV2746)/(AU2737+AU2746))^$F2755</f>
        <v/>
      </c>
      <c r="AW2755" s="44">
        <f>AV2755*$G2755*(1+AW$7)^$D2755*(AW2737/AV2737)^$E2755*((AW2737+AW2746)/(AV2737+AV2746))^$F2755</f>
        <v/>
      </c>
      <c r="AX2755" s="44">
        <f>AW2755*$G2755*(1+AX$7)^$D2755*(AX2737/AW2737)^$E2755*((AX2737+AX2746)/(AW2737+AW2746))^$F2755</f>
        <v/>
      </c>
      <c r="AY2755" s="44">
        <f>AX2755*$G2755*(1+AY$7)^$D2755*(AY2737/AX2737)^$E2755*((AY2737+AY2746)/(AX2737+AX2746))^$F2755</f>
        <v/>
      </c>
      <c r="AZ2755" s="44">
        <f>AY2755*$G2755*(1+AZ$7)^$D2755*(AZ2737/AY2737)^$E2755*((AZ2737+AZ2746)/(AY2737+AY2746))^$F2755</f>
        <v/>
      </c>
      <c r="BA2755" s="57">
        <f>FUELUSE(AZ2755,BA2737,AZ2737,BA2746,AZ2746,BA$7,$D2755,$E2755,$F2755,$G2755)</f>
        <v/>
      </c>
    </row>
    <row r="2756" hidden="1" outlineLevel="2">
      <c r="A2756" s="14" t="inlineStr">
        <is>
          <t>ener</t>
        </is>
      </c>
      <c r="B2756" s="14" t="inlineStr">
        <is>
          <t>bio</t>
        </is>
      </c>
      <c r="C2756" s="14" t="inlineStr">
        <is>
          <t>cst</t>
        </is>
      </c>
      <c r="D2756" s="35">
        <f>INDEX(Inputs!$O$5:$O$132,MATCH($B2756&amp;"|"&amp;$C2756,Inputs!$A$5:$A$132,0))</f>
        <v/>
      </c>
      <c r="E2756" s="35">
        <f>INDEX(Inputs!$P$5:$P$132,MATCH($B2756&amp;"|"&amp;$C2756,Inputs!$A$5:$A$132,0))</f>
        <v/>
      </c>
      <c r="F2756" s="35">
        <f>INDEX(Inputs!$T$5:$T$132,MATCH($B2756&amp;"|"&amp;$C2756,Inputs!$A$5:$A$132,0))</f>
        <v/>
      </c>
      <c r="G2756" s="35">
        <f>INDEX(Inputs!$S$5:$S$132,MATCH($B2756&amp;"|"&amp;$C2756,Inputs!$A$5:$A$132,0))</f>
        <v/>
      </c>
      <c r="H2756" s="14">
        <f>INDEX(VarLab,MATCH($A2756,VarKey,0))&amp;INDEX(MemLab,MATCH($C2756&amp;"|"&amp;$B2756,MemKey,0))</f>
        <v/>
      </c>
      <c r="I2756" s="14">
        <f>INDEX(VarUnit,MATCH($A2756,VarKey,0))</f>
        <v/>
      </c>
      <c r="J2756" s="14">
        <f>INDEX(VarSrc,MATCH($A2756,VarKey,0))</f>
        <v/>
      </c>
      <c r="K2756" s="11">
        <f>CodePrefix&amp;$A2756&amp;IF($C2756="","","."&amp;$C2756&amp;"."&amp;$B2756)&amp;INDEX(VarEnd,MATCH($A2756,VarKey,0))&amp;K$5</f>
        <v/>
      </c>
      <c r="L2756" s="43">
        <f>INDEX(Inputs!$X$5:$X$132,MATCH($B2756&amp;"|"&amp;$C2756,Inputs!$A$5:$A$132,0))</f>
        <v/>
      </c>
      <c r="M2756" s="44">
        <f>L2756*$G2756*(1+M$7)^$D2756*(M2738/L2738)^$E2756*((M2738+M2747)/(L2738+L2747))^$F2756</f>
        <v/>
      </c>
      <c r="N2756" s="44">
        <f>M2756*$G2756*(1+N$7)^$D2756*(N2738/M2738)^$E2756*((N2738+N2747)/(M2738+M2747))^$F2756</f>
        <v/>
      </c>
      <c r="O2756" s="44">
        <f>N2756*$G2756*(1+O$7)^$D2756*(O2738/N2738)^$E2756*((O2738+O2747)/(N2738+N2747))^$F2756</f>
        <v/>
      </c>
      <c r="P2756" s="44">
        <f>O2756*$G2756*(1+P$7)^$D2756*(P2738/O2738)^$E2756*((P2738+P2747)/(O2738+O2747))^$F2756</f>
        <v/>
      </c>
      <c r="Q2756" s="44">
        <f>P2756*$G2756*(1+Q$7)^$D2756*(Q2738/P2738)^$E2756*((Q2738+Q2747)/(P2738+P2747))^$F2756</f>
        <v/>
      </c>
      <c r="R2756" s="44">
        <f>Q2756*$G2756*(1+R$7)^$D2756*(R2738/Q2738)^$E2756*((R2738+R2747)/(Q2738+Q2747))^$F2756</f>
        <v/>
      </c>
      <c r="S2756" s="44">
        <f>R2756*$G2756*(1+S$7)^$D2756*(S2738/R2738)^$E2756*((S2738+S2747)/(R2738+R2747))^$F2756</f>
        <v/>
      </c>
      <c r="T2756" s="44">
        <f>S2756*$G2756*(1+T$7)^$D2756*(T2738/S2738)^$E2756*((T2738+T2747)/(S2738+S2747))^$F2756</f>
        <v/>
      </c>
      <c r="U2756" s="44">
        <f>T2756*$G2756*(1+U$7)^$D2756*(U2738/T2738)^$E2756*((U2738+U2747)/(T2738+T2747))^$F2756</f>
        <v/>
      </c>
      <c r="V2756" s="44">
        <f>U2756*$G2756*(1+V$7)^$D2756*(V2738/U2738)^$E2756*((V2738+V2747)/(U2738+U2747))^$F2756</f>
        <v/>
      </c>
      <c r="W2756" s="44">
        <f>V2756*$G2756*(1+W$7)^$D2756*(W2738/V2738)^$E2756*((W2738+W2747)/(V2738+V2747))^$F2756</f>
        <v/>
      </c>
      <c r="X2756" s="44">
        <f>W2756*$G2756*(1+X$7)^$D2756*(X2738/W2738)^$E2756*((X2738+X2747)/(W2738+W2747))^$F2756</f>
        <v/>
      </c>
      <c r="Y2756" s="44">
        <f>X2756*$G2756*(1+Y$7)^$D2756*(Y2738/X2738)^$E2756*((Y2738+Y2747)/(X2738+X2747))^$F2756</f>
        <v/>
      </c>
      <c r="Z2756" s="44">
        <f>Y2756*$G2756*(1+Z$7)^$D2756*(Z2738/Y2738)^$E2756*((Z2738+Z2747)/(Y2738+Y2747))^$F2756</f>
        <v/>
      </c>
      <c r="AA2756" s="44">
        <f>Z2756*$G2756*(1+AA$7)^$D2756*(AA2738/Z2738)^$E2756*((AA2738+AA2747)/(Z2738+Z2747))^$F2756</f>
        <v/>
      </c>
      <c r="AB2756" s="44">
        <f>AA2756*$G2756*(1+AB$7)^$D2756*(AB2738/AA2738)^$E2756*((AB2738+AB2747)/(AA2738+AA2747))^$F2756</f>
        <v/>
      </c>
      <c r="AC2756" s="44">
        <f>AB2756*$G2756*(1+AC$7)^$D2756*(AC2738/AB2738)^$E2756*((AC2738+AC2747)/(AB2738+AB2747))^$F2756</f>
        <v/>
      </c>
      <c r="AD2756" s="44">
        <f>AC2756*$G2756*(1+AD$7)^$D2756*(AD2738/AC2738)^$E2756*((AD2738+AD2747)/(AC2738+AC2747))^$F2756</f>
        <v/>
      </c>
      <c r="AE2756" s="57">
        <f>FUELUSE(AD2756,AE2738,AD2738,AE2747,AD2747,AE$7,$D2756,$E2756,$F2756,$G2756)</f>
        <v/>
      </c>
      <c r="AG2756" s="11">
        <f>CodePrefix&amp;$A2756&amp;IF($C2756="","","."&amp;$C2756&amp;"."&amp;$B2756)&amp;INDEX(VarEnd,MATCH($A2756,VarKey,0))&amp;AG$5</f>
        <v/>
      </c>
      <c r="AH2756" s="43">
        <f>INDEX(Inputs!$X$5:$X$132,MATCH($B2756&amp;"|"&amp;$C2756,Inputs!$A$5:$A$132,0))</f>
        <v/>
      </c>
      <c r="AI2756" s="44">
        <f>AH2756*$G2756*(1+AI$7)^$D2756*(AI2738/AH2738)^$E2756*((AI2738+AI2747)/(AH2738+AH2747))^$F2756</f>
        <v/>
      </c>
      <c r="AJ2756" s="44">
        <f>AI2756*$G2756*(1+AJ$7)^$D2756*(AJ2738/AI2738)^$E2756*((AJ2738+AJ2747)/(AI2738+AI2747))^$F2756</f>
        <v/>
      </c>
      <c r="AK2756" s="44">
        <f>AJ2756*$G2756*(1+AK$7)^$D2756*(AK2738/AJ2738)^$E2756*((AK2738+AK2747)/(AJ2738+AJ2747))^$F2756</f>
        <v/>
      </c>
      <c r="AL2756" s="44">
        <f>AK2756*$G2756*(1+AL$7)^$D2756*(AL2738/AK2738)^$E2756*((AL2738+AL2747)/(AK2738+AK2747))^$F2756</f>
        <v/>
      </c>
      <c r="AM2756" s="44">
        <f>AL2756*$G2756*(1+AM$7)^$D2756*(AM2738/AL2738)^$E2756*((AM2738+AM2747)/(AL2738+AL2747))^$F2756</f>
        <v/>
      </c>
      <c r="AN2756" s="44">
        <f>AM2756*$G2756*(1+AN$7)^$D2756*(AN2738/AM2738)^$E2756*((AN2738+AN2747)/(AM2738+AM2747))^$F2756</f>
        <v/>
      </c>
      <c r="AO2756" s="44">
        <f>AN2756*$G2756*(1+AO$7)^$D2756*(AO2738/AN2738)^$E2756*((AO2738+AO2747)/(AN2738+AN2747))^$F2756</f>
        <v/>
      </c>
      <c r="AP2756" s="44">
        <f>AO2756*$G2756*(1+AP$7)^$D2756*(AP2738/AO2738)^$E2756*((AP2738+AP2747)/(AO2738+AO2747))^$F2756</f>
        <v/>
      </c>
      <c r="AQ2756" s="44">
        <f>AP2756*$G2756*(1+AQ$7)^$D2756*(AQ2738/AP2738)^$E2756*((AQ2738+AQ2747)/(AP2738+AP2747))^$F2756</f>
        <v/>
      </c>
      <c r="AR2756" s="44">
        <f>AQ2756*$G2756*(1+AR$7)^$D2756*(AR2738/AQ2738)^$E2756*((AR2738+AR2747)/(AQ2738+AQ2747))^$F2756</f>
        <v/>
      </c>
      <c r="AS2756" s="44">
        <f>AR2756*$G2756*(1+AS$7)^$D2756*(AS2738/AR2738)^$E2756*((AS2738+AS2747)/(AR2738+AR2747))^$F2756</f>
        <v/>
      </c>
      <c r="AT2756" s="44">
        <f>AS2756*$G2756*(1+AT$7)^$D2756*(AT2738/AS2738)^$E2756*((AT2738+AT2747)/(AS2738+AS2747))^$F2756</f>
        <v/>
      </c>
      <c r="AU2756" s="44">
        <f>AT2756*$G2756*(1+AU$7)^$D2756*(AU2738/AT2738)^$E2756*((AU2738+AU2747)/(AT2738+AT2747))^$F2756</f>
        <v/>
      </c>
      <c r="AV2756" s="44">
        <f>AU2756*$G2756*(1+AV$7)^$D2756*(AV2738/AU2738)^$E2756*((AV2738+AV2747)/(AU2738+AU2747))^$F2756</f>
        <v/>
      </c>
      <c r="AW2756" s="44">
        <f>AV2756*$G2756*(1+AW$7)^$D2756*(AW2738/AV2738)^$E2756*((AW2738+AW2747)/(AV2738+AV2747))^$F2756</f>
        <v/>
      </c>
      <c r="AX2756" s="44">
        <f>AW2756*$G2756*(1+AX$7)^$D2756*(AX2738/AW2738)^$E2756*((AX2738+AX2747)/(AW2738+AW2747))^$F2756</f>
        <v/>
      </c>
      <c r="AY2756" s="44">
        <f>AX2756*$G2756*(1+AY$7)^$D2756*(AY2738/AX2738)^$E2756*((AY2738+AY2747)/(AX2738+AX2747))^$F2756</f>
        <v/>
      </c>
      <c r="AZ2756" s="44">
        <f>AY2756*$G2756*(1+AZ$7)^$D2756*(AZ2738/AY2738)^$E2756*((AZ2738+AZ2747)/(AY2738+AY2747))^$F2756</f>
        <v/>
      </c>
      <c r="BA2756" s="57">
        <f>FUELUSE(AZ2756,BA2738,AZ2738,BA2747,AZ2747,BA$7,$D2756,$E2756,$F2756,$G2756)</f>
        <v/>
      </c>
    </row>
    <row r="2757" hidden="1" outlineLevel="2"/>
    <row r="2758" hidden="1" outlineLevel="2">
      <c r="A2758" s="14" t="inlineStr">
        <is>
          <t>co2</t>
        </is>
      </c>
      <c r="B2758" s="14" t="inlineStr">
        <is>
          <t>coa</t>
        </is>
      </c>
      <c r="C2758" s="14" t="inlineStr">
        <is>
          <t>cst</t>
        </is>
      </c>
      <c r="D2758" s="35">
        <f>INDEX(Inputs!$W$5:$W$132,MATCH($B2758&amp;"|"&amp;$C2758,Inputs!$A$5:$A$132,0))</f>
        <v/>
      </c>
      <c r="E2758" s="39" t="n"/>
      <c r="F2758" s="39" t="n"/>
      <c r="G2758" s="39" t="n"/>
      <c r="H2758" s="14">
        <f>INDEX(VarLab,MATCH($A2758,VarKey,0))&amp;INDEX(MemLab,MATCH($C2758&amp;"|"&amp;$B2758,MemKey,0))</f>
        <v/>
      </c>
      <c r="I2758" s="14">
        <f>INDEX(VarUnit,MATCH($A2758,VarKey,0))</f>
        <v/>
      </c>
      <c r="J2758" s="14">
        <f>INDEX(VarSrc,MATCH($A2758,VarKey,0))</f>
        <v/>
      </c>
      <c r="K2758" s="11">
        <f>CodePrefix&amp;$A2758&amp;IF($C2758="","","."&amp;$C2758&amp;"."&amp;$B2758)&amp;INDEX(VarEnd,MATCH($A2758,VarKey,0))&amp;K$5</f>
        <v/>
      </c>
      <c r="L2758" s="15">
        <f>L2749*Settings!$C$13*$D2758</f>
        <v/>
      </c>
      <c r="M2758" s="16">
        <f>M2749*Settings!$C$13*$D2758</f>
        <v/>
      </c>
      <c r="N2758" s="16">
        <f>N2749*Settings!$C$13*$D2758</f>
        <v/>
      </c>
      <c r="O2758" s="16">
        <f>O2749*Settings!$C$13*$D2758</f>
        <v/>
      </c>
      <c r="P2758" s="16">
        <f>P2749*Settings!$C$13*$D2758</f>
        <v/>
      </c>
      <c r="Q2758" s="16">
        <f>Q2749*Settings!$C$13*$D2758</f>
        <v/>
      </c>
      <c r="R2758" s="16">
        <f>R2749*Settings!$C$13*$D2758</f>
        <v/>
      </c>
      <c r="S2758" s="16">
        <f>S2749*Settings!$C$13*$D2758</f>
        <v/>
      </c>
      <c r="T2758" s="16">
        <f>T2749*Settings!$C$13*$D2758</f>
        <v/>
      </c>
      <c r="U2758" s="16">
        <f>U2749*Settings!$C$13*$D2758</f>
        <v/>
      </c>
      <c r="V2758" s="16">
        <f>V2749*Settings!$C$13*$D2758</f>
        <v/>
      </c>
      <c r="W2758" s="16">
        <f>W2749*Settings!$C$13*$D2758</f>
        <v/>
      </c>
      <c r="X2758" s="16">
        <f>X2749*Settings!$C$13*$D2758</f>
        <v/>
      </c>
      <c r="Y2758" s="16">
        <f>Y2749*Settings!$C$13*$D2758</f>
        <v/>
      </c>
      <c r="Z2758" s="16">
        <f>Z2749*Settings!$C$13*$D2758</f>
        <v/>
      </c>
      <c r="AA2758" s="16">
        <f>AA2749*Settings!$C$13*$D2758</f>
        <v/>
      </c>
      <c r="AB2758" s="16">
        <f>AB2749*Settings!$C$13*$D2758</f>
        <v/>
      </c>
      <c r="AC2758" s="16">
        <f>AC2749*Settings!$C$13*$D2758</f>
        <v/>
      </c>
      <c r="AD2758" s="16">
        <f>AD2749*Settings!$C$13*$D2758</f>
        <v/>
      </c>
      <c r="AE2758" s="49">
        <f>EMISSIONS(AE2749,Settings!$C$13,$D2758)</f>
        <v/>
      </c>
      <c r="AG2758" s="11">
        <f>CodePrefix&amp;$A2758&amp;IF($C2758="","","."&amp;$C2758&amp;"."&amp;$B2758)&amp;INDEX(VarEnd,MATCH($A2758,VarKey,0))&amp;AG$5</f>
        <v/>
      </c>
      <c r="AH2758" s="15">
        <f>AH2749*Settings!$C$13*$D2758</f>
        <v/>
      </c>
      <c r="AI2758" s="16">
        <f>AI2749*Settings!$C$13*$D2758</f>
        <v/>
      </c>
      <c r="AJ2758" s="16">
        <f>AJ2749*Settings!$C$13*$D2758</f>
        <v/>
      </c>
      <c r="AK2758" s="16">
        <f>AK2749*Settings!$C$13*$D2758</f>
        <v/>
      </c>
      <c r="AL2758" s="16">
        <f>AL2749*Settings!$C$13*$D2758</f>
        <v/>
      </c>
      <c r="AM2758" s="16">
        <f>AM2749*Settings!$C$13*$D2758</f>
        <v/>
      </c>
      <c r="AN2758" s="16">
        <f>AN2749*Settings!$C$13*$D2758</f>
        <v/>
      </c>
      <c r="AO2758" s="16">
        <f>AO2749*Settings!$C$13*$D2758</f>
        <v/>
      </c>
      <c r="AP2758" s="16">
        <f>AP2749*Settings!$C$13*$D2758</f>
        <v/>
      </c>
      <c r="AQ2758" s="16">
        <f>AQ2749*Settings!$C$13*$D2758</f>
        <v/>
      </c>
      <c r="AR2758" s="16">
        <f>AR2749*Settings!$C$13*$D2758</f>
        <v/>
      </c>
      <c r="AS2758" s="16">
        <f>AS2749*Settings!$C$13*$D2758</f>
        <v/>
      </c>
      <c r="AT2758" s="16">
        <f>AT2749*Settings!$C$13*$D2758</f>
        <v/>
      </c>
      <c r="AU2758" s="16">
        <f>AU2749*Settings!$C$13*$D2758</f>
        <v/>
      </c>
      <c r="AV2758" s="16">
        <f>AV2749*Settings!$C$13*$D2758</f>
        <v/>
      </c>
      <c r="AW2758" s="16">
        <f>AW2749*Settings!$C$13*$D2758</f>
        <v/>
      </c>
      <c r="AX2758" s="16">
        <f>AX2749*Settings!$C$13*$D2758</f>
        <v/>
      </c>
      <c r="AY2758" s="16">
        <f>AY2749*Settings!$C$13*$D2758</f>
        <v/>
      </c>
      <c r="AZ2758" s="16">
        <f>AZ2749*Settings!$C$13*$D2758</f>
        <v/>
      </c>
      <c r="BA2758" s="49">
        <f>EMISSIONS(BA2749,Settings!$C$13,$D2758)</f>
        <v/>
      </c>
    </row>
    <row r="2759" hidden="1" outlineLevel="2">
      <c r="A2759" s="14" t="inlineStr">
        <is>
          <t>co2</t>
        </is>
      </c>
      <c r="B2759" s="14" t="inlineStr">
        <is>
          <t>nga</t>
        </is>
      </c>
      <c r="C2759" s="14" t="inlineStr">
        <is>
          <t>cst</t>
        </is>
      </c>
      <c r="D2759" s="35">
        <f>INDEX(Inputs!$W$5:$W$132,MATCH($B2759&amp;"|"&amp;$C2759,Inputs!$A$5:$A$132,0))</f>
        <v/>
      </c>
      <c r="E2759" s="39" t="n"/>
      <c r="F2759" s="39" t="n"/>
      <c r="G2759" s="39" t="n"/>
      <c r="H2759" s="14">
        <f>INDEX(VarLab,MATCH($A2759,VarKey,0))&amp;INDEX(MemLab,MATCH($C2759&amp;"|"&amp;$B2759,MemKey,0))</f>
        <v/>
      </c>
      <c r="I2759" s="14">
        <f>INDEX(VarUnit,MATCH($A2759,VarKey,0))</f>
        <v/>
      </c>
      <c r="J2759" s="14">
        <f>INDEX(VarSrc,MATCH($A2759,VarKey,0))</f>
        <v/>
      </c>
      <c r="K2759" s="11">
        <f>CodePrefix&amp;$A2759&amp;IF($C2759="","","."&amp;$C2759&amp;"."&amp;$B2759)&amp;INDEX(VarEnd,MATCH($A2759,VarKey,0))&amp;K$5</f>
        <v/>
      </c>
      <c r="L2759" s="15">
        <f>L2750*Settings!$C$13*$D2759</f>
        <v/>
      </c>
      <c r="M2759" s="16">
        <f>M2750*Settings!$C$13*$D2759</f>
        <v/>
      </c>
      <c r="N2759" s="16">
        <f>N2750*Settings!$C$13*$D2759</f>
        <v/>
      </c>
      <c r="O2759" s="16">
        <f>O2750*Settings!$C$13*$D2759</f>
        <v/>
      </c>
      <c r="P2759" s="16">
        <f>P2750*Settings!$C$13*$D2759</f>
        <v/>
      </c>
      <c r="Q2759" s="16">
        <f>Q2750*Settings!$C$13*$D2759</f>
        <v/>
      </c>
      <c r="R2759" s="16">
        <f>R2750*Settings!$C$13*$D2759</f>
        <v/>
      </c>
      <c r="S2759" s="16">
        <f>S2750*Settings!$C$13*$D2759</f>
        <v/>
      </c>
      <c r="T2759" s="16">
        <f>T2750*Settings!$C$13*$D2759</f>
        <v/>
      </c>
      <c r="U2759" s="16">
        <f>U2750*Settings!$C$13*$D2759</f>
        <v/>
      </c>
      <c r="V2759" s="16">
        <f>V2750*Settings!$C$13*$D2759</f>
        <v/>
      </c>
      <c r="W2759" s="16">
        <f>W2750*Settings!$C$13*$D2759</f>
        <v/>
      </c>
      <c r="X2759" s="16">
        <f>X2750*Settings!$C$13*$D2759</f>
        <v/>
      </c>
      <c r="Y2759" s="16">
        <f>Y2750*Settings!$C$13*$D2759</f>
        <v/>
      </c>
      <c r="Z2759" s="16">
        <f>Z2750*Settings!$C$13*$D2759</f>
        <v/>
      </c>
      <c r="AA2759" s="16">
        <f>AA2750*Settings!$C$13*$D2759</f>
        <v/>
      </c>
      <c r="AB2759" s="16">
        <f>AB2750*Settings!$C$13*$D2759</f>
        <v/>
      </c>
      <c r="AC2759" s="16">
        <f>AC2750*Settings!$C$13*$D2759</f>
        <v/>
      </c>
      <c r="AD2759" s="16">
        <f>AD2750*Settings!$C$13*$D2759</f>
        <v/>
      </c>
      <c r="AE2759" s="49">
        <f>EMISSIONS(AE2750,Settings!$C$13,$D2759)</f>
        <v/>
      </c>
      <c r="AG2759" s="11">
        <f>CodePrefix&amp;$A2759&amp;IF($C2759="","","."&amp;$C2759&amp;"."&amp;$B2759)&amp;INDEX(VarEnd,MATCH($A2759,VarKey,0))&amp;AG$5</f>
        <v/>
      </c>
      <c r="AH2759" s="15">
        <f>AH2750*Settings!$C$13*$D2759</f>
        <v/>
      </c>
      <c r="AI2759" s="16">
        <f>AI2750*Settings!$C$13*$D2759</f>
        <v/>
      </c>
      <c r="AJ2759" s="16">
        <f>AJ2750*Settings!$C$13*$D2759</f>
        <v/>
      </c>
      <c r="AK2759" s="16">
        <f>AK2750*Settings!$C$13*$D2759</f>
        <v/>
      </c>
      <c r="AL2759" s="16">
        <f>AL2750*Settings!$C$13*$D2759</f>
        <v/>
      </c>
      <c r="AM2759" s="16">
        <f>AM2750*Settings!$C$13*$D2759</f>
        <v/>
      </c>
      <c r="AN2759" s="16">
        <f>AN2750*Settings!$C$13*$D2759</f>
        <v/>
      </c>
      <c r="AO2759" s="16">
        <f>AO2750*Settings!$C$13*$D2759</f>
        <v/>
      </c>
      <c r="AP2759" s="16">
        <f>AP2750*Settings!$C$13*$D2759</f>
        <v/>
      </c>
      <c r="AQ2759" s="16">
        <f>AQ2750*Settings!$C$13*$D2759</f>
        <v/>
      </c>
      <c r="AR2759" s="16">
        <f>AR2750*Settings!$C$13*$D2759</f>
        <v/>
      </c>
      <c r="AS2759" s="16">
        <f>AS2750*Settings!$C$13*$D2759</f>
        <v/>
      </c>
      <c r="AT2759" s="16">
        <f>AT2750*Settings!$C$13*$D2759</f>
        <v/>
      </c>
      <c r="AU2759" s="16">
        <f>AU2750*Settings!$C$13*$D2759</f>
        <v/>
      </c>
      <c r="AV2759" s="16">
        <f>AV2750*Settings!$C$13*$D2759</f>
        <v/>
      </c>
      <c r="AW2759" s="16">
        <f>AW2750*Settings!$C$13*$D2759</f>
        <v/>
      </c>
      <c r="AX2759" s="16">
        <f>AX2750*Settings!$C$13*$D2759</f>
        <v/>
      </c>
      <c r="AY2759" s="16">
        <f>AY2750*Settings!$C$13*$D2759</f>
        <v/>
      </c>
      <c r="AZ2759" s="16">
        <f>AZ2750*Settings!$C$13*$D2759</f>
        <v/>
      </c>
      <c r="BA2759" s="49">
        <f>EMISSIONS(BA2750,Settings!$C$13,$D2759)</f>
        <v/>
      </c>
    </row>
    <row r="2760" hidden="1" outlineLevel="2">
      <c r="A2760" s="14" t="inlineStr">
        <is>
          <t>co2</t>
        </is>
      </c>
      <c r="B2760" s="14" t="inlineStr">
        <is>
          <t>gso</t>
        </is>
      </c>
      <c r="C2760" s="14" t="inlineStr">
        <is>
          <t>cst</t>
        </is>
      </c>
      <c r="D2760" s="35">
        <f>INDEX(Inputs!$W$5:$W$132,MATCH($B2760&amp;"|"&amp;$C2760,Inputs!$A$5:$A$132,0))</f>
        <v/>
      </c>
      <c r="E2760" s="39" t="n"/>
      <c r="F2760" s="39" t="n"/>
      <c r="G2760" s="39" t="n"/>
      <c r="H2760" s="14">
        <f>INDEX(VarLab,MATCH($A2760,VarKey,0))&amp;INDEX(MemLab,MATCH($C2760&amp;"|"&amp;$B2760,MemKey,0))</f>
        <v/>
      </c>
      <c r="I2760" s="14">
        <f>INDEX(VarUnit,MATCH($A2760,VarKey,0))</f>
        <v/>
      </c>
      <c r="J2760" s="14">
        <f>INDEX(VarSrc,MATCH($A2760,VarKey,0))</f>
        <v/>
      </c>
      <c r="K2760" s="11">
        <f>CodePrefix&amp;$A2760&amp;IF($C2760="","","."&amp;$C2760&amp;"."&amp;$B2760)&amp;INDEX(VarEnd,MATCH($A2760,VarKey,0))&amp;K$5</f>
        <v/>
      </c>
      <c r="L2760" s="15">
        <f>L2751*Settings!$C$13*$D2760</f>
        <v/>
      </c>
      <c r="M2760" s="16">
        <f>M2751*Settings!$C$13*$D2760</f>
        <v/>
      </c>
      <c r="N2760" s="16">
        <f>N2751*Settings!$C$13*$D2760</f>
        <v/>
      </c>
      <c r="O2760" s="16">
        <f>O2751*Settings!$C$13*$D2760</f>
        <v/>
      </c>
      <c r="P2760" s="16">
        <f>P2751*Settings!$C$13*$D2760</f>
        <v/>
      </c>
      <c r="Q2760" s="16">
        <f>Q2751*Settings!$C$13*$D2760</f>
        <v/>
      </c>
      <c r="R2760" s="16">
        <f>R2751*Settings!$C$13*$D2760</f>
        <v/>
      </c>
      <c r="S2760" s="16">
        <f>S2751*Settings!$C$13*$D2760</f>
        <v/>
      </c>
      <c r="T2760" s="16">
        <f>T2751*Settings!$C$13*$D2760</f>
        <v/>
      </c>
      <c r="U2760" s="16">
        <f>U2751*Settings!$C$13*$D2760</f>
        <v/>
      </c>
      <c r="V2760" s="16">
        <f>V2751*Settings!$C$13*$D2760</f>
        <v/>
      </c>
      <c r="W2760" s="16">
        <f>W2751*Settings!$C$13*$D2760</f>
        <v/>
      </c>
      <c r="X2760" s="16">
        <f>X2751*Settings!$C$13*$D2760</f>
        <v/>
      </c>
      <c r="Y2760" s="16">
        <f>Y2751*Settings!$C$13*$D2760</f>
        <v/>
      </c>
      <c r="Z2760" s="16">
        <f>Z2751*Settings!$C$13*$D2760</f>
        <v/>
      </c>
      <c r="AA2760" s="16">
        <f>AA2751*Settings!$C$13*$D2760</f>
        <v/>
      </c>
      <c r="AB2760" s="16">
        <f>AB2751*Settings!$C$13*$D2760</f>
        <v/>
      </c>
      <c r="AC2760" s="16">
        <f>AC2751*Settings!$C$13*$D2760</f>
        <v/>
      </c>
      <c r="AD2760" s="16">
        <f>AD2751*Settings!$C$13*$D2760</f>
        <v/>
      </c>
      <c r="AE2760" s="49">
        <f>EMISSIONS(AE2751,Settings!$C$13,$D2760)</f>
        <v/>
      </c>
      <c r="AG2760" s="11">
        <f>CodePrefix&amp;$A2760&amp;IF($C2760="","","."&amp;$C2760&amp;"."&amp;$B2760)&amp;INDEX(VarEnd,MATCH($A2760,VarKey,0))&amp;AG$5</f>
        <v/>
      </c>
      <c r="AH2760" s="15">
        <f>AH2751*Settings!$C$13*$D2760</f>
        <v/>
      </c>
      <c r="AI2760" s="16">
        <f>AI2751*Settings!$C$13*$D2760</f>
        <v/>
      </c>
      <c r="AJ2760" s="16">
        <f>AJ2751*Settings!$C$13*$D2760</f>
        <v/>
      </c>
      <c r="AK2760" s="16">
        <f>AK2751*Settings!$C$13*$D2760</f>
        <v/>
      </c>
      <c r="AL2760" s="16">
        <f>AL2751*Settings!$C$13*$D2760</f>
        <v/>
      </c>
      <c r="AM2760" s="16">
        <f>AM2751*Settings!$C$13*$D2760</f>
        <v/>
      </c>
      <c r="AN2760" s="16">
        <f>AN2751*Settings!$C$13*$D2760</f>
        <v/>
      </c>
      <c r="AO2760" s="16">
        <f>AO2751*Settings!$C$13*$D2760</f>
        <v/>
      </c>
      <c r="AP2760" s="16">
        <f>AP2751*Settings!$C$13*$D2760</f>
        <v/>
      </c>
      <c r="AQ2760" s="16">
        <f>AQ2751*Settings!$C$13*$D2760</f>
        <v/>
      </c>
      <c r="AR2760" s="16">
        <f>AR2751*Settings!$C$13*$D2760</f>
        <v/>
      </c>
      <c r="AS2760" s="16">
        <f>AS2751*Settings!$C$13*$D2760</f>
        <v/>
      </c>
      <c r="AT2760" s="16">
        <f>AT2751*Settings!$C$13*$D2760</f>
        <v/>
      </c>
      <c r="AU2760" s="16">
        <f>AU2751*Settings!$C$13*$D2760</f>
        <v/>
      </c>
      <c r="AV2760" s="16">
        <f>AV2751*Settings!$C$13*$D2760</f>
        <v/>
      </c>
      <c r="AW2760" s="16">
        <f>AW2751*Settings!$C$13*$D2760</f>
        <v/>
      </c>
      <c r="AX2760" s="16">
        <f>AX2751*Settings!$C$13*$D2760</f>
        <v/>
      </c>
      <c r="AY2760" s="16">
        <f>AY2751*Settings!$C$13*$D2760</f>
        <v/>
      </c>
      <c r="AZ2760" s="16">
        <f>AZ2751*Settings!$C$13*$D2760</f>
        <v/>
      </c>
      <c r="BA2760" s="49">
        <f>EMISSIONS(BA2751,Settings!$C$13,$D2760)</f>
        <v/>
      </c>
    </row>
    <row r="2761" hidden="1" outlineLevel="2">
      <c r="A2761" s="14" t="inlineStr">
        <is>
          <t>co2</t>
        </is>
      </c>
      <c r="B2761" s="14" t="inlineStr">
        <is>
          <t>die</t>
        </is>
      </c>
      <c r="C2761" s="14" t="inlineStr">
        <is>
          <t>cst</t>
        </is>
      </c>
      <c r="D2761" s="35">
        <f>INDEX(Inputs!$W$5:$W$132,MATCH($B2761&amp;"|"&amp;$C2761,Inputs!$A$5:$A$132,0))</f>
        <v/>
      </c>
      <c r="E2761" s="39" t="n"/>
      <c r="F2761" s="39" t="n"/>
      <c r="G2761" s="39" t="n"/>
      <c r="H2761" s="14">
        <f>INDEX(VarLab,MATCH($A2761,VarKey,0))&amp;INDEX(MemLab,MATCH($C2761&amp;"|"&amp;$B2761,MemKey,0))</f>
        <v/>
      </c>
      <c r="I2761" s="14">
        <f>INDEX(VarUnit,MATCH($A2761,VarKey,0))</f>
        <v/>
      </c>
      <c r="J2761" s="14">
        <f>INDEX(VarSrc,MATCH($A2761,VarKey,0))</f>
        <v/>
      </c>
      <c r="K2761" s="11">
        <f>CodePrefix&amp;$A2761&amp;IF($C2761="","","."&amp;$C2761&amp;"."&amp;$B2761)&amp;INDEX(VarEnd,MATCH($A2761,VarKey,0))&amp;K$5</f>
        <v/>
      </c>
      <c r="L2761" s="15">
        <f>L2752*Settings!$C$13*$D2761</f>
        <v/>
      </c>
      <c r="M2761" s="16">
        <f>M2752*Settings!$C$13*$D2761</f>
        <v/>
      </c>
      <c r="N2761" s="16">
        <f>N2752*Settings!$C$13*$D2761</f>
        <v/>
      </c>
      <c r="O2761" s="16">
        <f>O2752*Settings!$C$13*$D2761</f>
        <v/>
      </c>
      <c r="P2761" s="16">
        <f>P2752*Settings!$C$13*$D2761</f>
        <v/>
      </c>
      <c r="Q2761" s="16">
        <f>Q2752*Settings!$C$13*$D2761</f>
        <v/>
      </c>
      <c r="R2761" s="16">
        <f>R2752*Settings!$C$13*$D2761</f>
        <v/>
      </c>
      <c r="S2761" s="16">
        <f>S2752*Settings!$C$13*$D2761</f>
        <v/>
      </c>
      <c r="T2761" s="16">
        <f>T2752*Settings!$C$13*$D2761</f>
        <v/>
      </c>
      <c r="U2761" s="16">
        <f>U2752*Settings!$C$13*$D2761</f>
        <v/>
      </c>
      <c r="V2761" s="16">
        <f>V2752*Settings!$C$13*$D2761</f>
        <v/>
      </c>
      <c r="W2761" s="16">
        <f>W2752*Settings!$C$13*$D2761</f>
        <v/>
      </c>
      <c r="X2761" s="16">
        <f>X2752*Settings!$C$13*$D2761</f>
        <v/>
      </c>
      <c r="Y2761" s="16">
        <f>Y2752*Settings!$C$13*$D2761</f>
        <v/>
      </c>
      <c r="Z2761" s="16">
        <f>Z2752*Settings!$C$13*$D2761</f>
        <v/>
      </c>
      <c r="AA2761" s="16">
        <f>AA2752*Settings!$C$13*$D2761</f>
        <v/>
      </c>
      <c r="AB2761" s="16">
        <f>AB2752*Settings!$C$13*$D2761</f>
        <v/>
      </c>
      <c r="AC2761" s="16">
        <f>AC2752*Settings!$C$13*$D2761</f>
        <v/>
      </c>
      <c r="AD2761" s="16">
        <f>AD2752*Settings!$C$13*$D2761</f>
        <v/>
      </c>
      <c r="AE2761" s="49">
        <f>EMISSIONS(AE2752,Settings!$C$13,$D2761)</f>
        <v/>
      </c>
      <c r="AG2761" s="11">
        <f>CodePrefix&amp;$A2761&amp;IF($C2761="","","."&amp;$C2761&amp;"."&amp;$B2761)&amp;INDEX(VarEnd,MATCH($A2761,VarKey,0))&amp;AG$5</f>
        <v/>
      </c>
      <c r="AH2761" s="15">
        <f>AH2752*Settings!$C$13*$D2761</f>
        <v/>
      </c>
      <c r="AI2761" s="16">
        <f>AI2752*Settings!$C$13*$D2761</f>
        <v/>
      </c>
      <c r="AJ2761" s="16">
        <f>AJ2752*Settings!$C$13*$D2761</f>
        <v/>
      </c>
      <c r="AK2761" s="16">
        <f>AK2752*Settings!$C$13*$D2761</f>
        <v/>
      </c>
      <c r="AL2761" s="16">
        <f>AL2752*Settings!$C$13*$D2761</f>
        <v/>
      </c>
      <c r="AM2761" s="16">
        <f>AM2752*Settings!$C$13*$D2761</f>
        <v/>
      </c>
      <c r="AN2761" s="16">
        <f>AN2752*Settings!$C$13*$D2761</f>
        <v/>
      </c>
      <c r="AO2761" s="16">
        <f>AO2752*Settings!$C$13*$D2761</f>
        <v/>
      </c>
      <c r="AP2761" s="16">
        <f>AP2752*Settings!$C$13*$D2761</f>
        <v/>
      </c>
      <c r="AQ2761" s="16">
        <f>AQ2752*Settings!$C$13*$D2761</f>
        <v/>
      </c>
      <c r="AR2761" s="16">
        <f>AR2752*Settings!$C$13*$D2761</f>
        <v/>
      </c>
      <c r="AS2761" s="16">
        <f>AS2752*Settings!$C$13*$D2761</f>
        <v/>
      </c>
      <c r="AT2761" s="16">
        <f>AT2752*Settings!$C$13*$D2761</f>
        <v/>
      </c>
      <c r="AU2761" s="16">
        <f>AU2752*Settings!$C$13*$D2761</f>
        <v/>
      </c>
      <c r="AV2761" s="16">
        <f>AV2752*Settings!$C$13*$D2761</f>
        <v/>
      </c>
      <c r="AW2761" s="16">
        <f>AW2752*Settings!$C$13*$D2761</f>
        <v/>
      </c>
      <c r="AX2761" s="16">
        <f>AX2752*Settings!$C$13*$D2761</f>
        <v/>
      </c>
      <c r="AY2761" s="16">
        <f>AY2752*Settings!$C$13*$D2761</f>
        <v/>
      </c>
      <c r="AZ2761" s="16">
        <f>AZ2752*Settings!$C$13*$D2761</f>
        <v/>
      </c>
      <c r="BA2761" s="49">
        <f>EMISSIONS(BA2752,Settings!$C$13,$D2761)</f>
        <v/>
      </c>
    </row>
    <row r="2762" hidden="1" outlineLevel="2">
      <c r="A2762" s="14" t="inlineStr">
        <is>
          <t>co2</t>
        </is>
      </c>
      <c r="B2762" s="14" t="inlineStr">
        <is>
          <t>lpg</t>
        </is>
      </c>
      <c r="C2762" s="14" t="inlineStr">
        <is>
          <t>cst</t>
        </is>
      </c>
      <c r="D2762" s="35">
        <f>INDEX(Inputs!$W$5:$W$132,MATCH($B2762&amp;"|"&amp;$C2762,Inputs!$A$5:$A$132,0))</f>
        <v/>
      </c>
      <c r="E2762" s="39" t="n"/>
      <c r="F2762" s="39" t="n"/>
      <c r="G2762" s="39" t="n"/>
      <c r="H2762" s="14">
        <f>INDEX(VarLab,MATCH($A2762,VarKey,0))&amp;INDEX(MemLab,MATCH($C2762&amp;"|"&amp;$B2762,MemKey,0))</f>
        <v/>
      </c>
      <c r="I2762" s="14">
        <f>INDEX(VarUnit,MATCH($A2762,VarKey,0))</f>
        <v/>
      </c>
      <c r="J2762" s="14">
        <f>INDEX(VarSrc,MATCH($A2762,VarKey,0))</f>
        <v/>
      </c>
      <c r="K2762" s="11">
        <f>CodePrefix&amp;$A2762&amp;IF($C2762="","","."&amp;$C2762&amp;"."&amp;$B2762)&amp;INDEX(VarEnd,MATCH($A2762,VarKey,0))&amp;K$5</f>
        <v/>
      </c>
      <c r="L2762" s="15">
        <f>L2753*Settings!$C$13*$D2762</f>
        <v/>
      </c>
      <c r="M2762" s="16">
        <f>M2753*Settings!$C$13*$D2762</f>
        <v/>
      </c>
      <c r="N2762" s="16">
        <f>N2753*Settings!$C$13*$D2762</f>
        <v/>
      </c>
      <c r="O2762" s="16">
        <f>O2753*Settings!$C$13*$D2762</f>
        <v/>
      </c>
      <c r="P2762" s="16">
        <f>P2753*Settings!$C$13*$D2762</f>
        <v/>
      </c>
      <c r="Q2762" s="16">
        <f>Q2753*Settings!$C$13*$D2762</f>
        <v/>
      </c>
      <c r="R2762" s="16">
        <f>R2753*Settings!$C$13*$D2762</f>
        <v/>
      </c>
      <c r="S2762" s="16">
        <f>S2753*Settings!$C$13*$D2762</f>
        <v/>
      </c>
      <c r="T2762" s="16">
        <f>T2753*Settings!$C$13*$D2762</f>
        <v/>
      </c>
      <c r="U2762" s="16">
        <f>U2753*Settings!$C$13*$D2762</f>
        <v/>
      </c>
      <c r="V2762" s="16">
        <f>V2753*Settings!$C$13*$D2762</f>
        <v/>
      </c>
      <c r="W2762" s="16">
        <f>W2753*Settings!$C$13*$D2762</f>
        <v/>
      </c>
      <c r="X2762" s="16">
        <f>X2753*Settings!$C$13*$D2762</f>
        <v/>
      </c>
      <c r="Y2762" s="16">
        <f>Y2753*Settings!$C$13*$D2762</f>
        <v/>
      </c>
      <c r="Z2762" s="16">
        <f>Z2753*Settings!$C$13*$D2762</f>
        <v/>
      </c>
      <c r="AA2762" s="16">
        <f>AA2753*Settings!$C$13*$D2762</f>
        <v/>
      </c>
      <c r="AB2762" s="16">
        <f>AB2753*Settings!$C$13*$D2762</f>
        <v/>
      </c>
      <c r="AC2762" s="16">
        <f>AC2753*Settings!$C$13*$D2762</f>
        <v/>
      </c>
      <c r="AD2762" s="16">
        <f>AD2753*Settings!$C$13*$D2762</f>
        <v/>
      </c>
      <c r="AE2762" s="49">
        <f>EMISSIONS(AE2753,Settings!$C$13,$D2762)</f>
        <v/>
      </c>
      <c r="AG2762" s="11">
        <f>CodePrefix&amp;$A2762&amp;IF($C2762="","","."&amp;$C2762&amp;"."&amp;$B2762)&amp;INDEX(VarEnd,MATCH($A2762,VarKey,0))&amp;AG$5</f>
        <v/>
      </c>
      <c r="AH2762" s="15">
        <f>AH2753*Settings!$C$13*$D2762</f>
        <v/>
      </c>
      <c r="AI2762" s="16">
        <f>AI2753*Settings!$C$13*$D2762</f>
        <v/>
      </c>
      <c r="AJ2762" s="16">
        <f>AJ2753*Settings!$C$13*$D2762</f>
        <v/>
      </c>
      <c r="AK2762" s="16">
        <f>AK2753*Settings!$C$13*$D2762</f>
        <v/>
      </c>
      <c r="AL2762" s="16">
        <f>AL2753*Settings!$C$13*$D2762</f>
        <v/>
      </c>
      <c r="AM2762" s="16">
        <f>AM2753*Settings!$C$13*$D2762</f>
        <v/>
      </c>
      <c r="AN2762" s="16">
        <f>AN2753*Settings!$C$13*$D2762</f>
        <v/>
      </c>
      <c r="AO2762" s="16">
        <f>AO2753*Settings!$C$13*$D2762</f>
        <v/>
      </c>
      <c r="AP2762" s="16">
        <f>AP2753*Settings!$C$13*$D2762</f>
        <v/>
      </c>
      <c r="AQ2762" s="16">
        <f>AQ2753*Settings!$C$13*$D2762</f>
        <v/>
      </c>
      <c r="AR2762" s="16">
        <f>AR2753*Settings!$C$13*$D2762</f>
        <v/>
      </c>
      <c r="AS2762" s="16">
        <f>AS2753*Settings!$C$13*$D2762</f>
        <v/>
      </c>
      <c r="AT2762" s="16">
        <f>AT2753*Settings!$C$13*$D2762</f>
        <v/>
      </c>
      <c r="AU2762" s="16">
        <f>AU2753*Settings!$C$13*$D2762</f>
        <v/>
      </c>
      <c r="AV2762" s="16">
        <f>AV2753*Settings!$C$13*$D2762</f>
        <v/>
      </c>
      <c r="AW2762" s="16">
        <f>AW2753*Settings!$C$13*$D2762</f>
        <v/>
      </c>
      <c r="AX2762" s="16">
        <f>AX2753*Settings!$C$13*$D2762</f>
        <v/>
      </c>
      <c r="AY2762" s="16">
        <f>AY2753*Settings!$C$13*$D2762</f>
        <v/>
      </c>
      <c r="AZ2762" s="16">
        <f>AZ2753*Settings!$C$13*$D2762</f>
        <v/>
      </c>
      <c r="BA2762" s="49">
        <f>EMISSIONS(BA2753,Settings!$C$13,$D2762)</f>
        <v/>
      </c>
    </row>
    <row r="2763" hidden="1" outlineLevel="2">
      <c r="A2763" s="14" t="inlineStr">
        <is>
          <t>co2</t>
        </is>
      </c>
      <c r="B2763" s="14" t="inlineStr">
        <is>
          <t>ker</t>
        </is>
      </c>
      <c r="C2763" s="14" t="inlineStr">
        <is>
          <t>cst</t>
        </is>
      </c>
      <c r="D2763" s="35">
        <f>INDEX(Inputs!$W$5:$W$132,MATCH($B2763&amp;"|"&amp;$C2763,Inputs!$A$5:$A$132,0))</f>
        <v/>
      </c>
      <c r="E2763" s="39" t="n"/>
      <c r="F2763" s="39" t="n"/>
      <c r="G2763" s="39" t="n"/>
      <c r="H2763" s="14">
        <f>INDEX(VarLab,MATCH($A2763,VarKey,0))&amp;INDEX(MemLab,MATCH($C2763&amp;"|"&amp;$B2763,MemKey,0))</f>
        <v/>
      </c>
      <c r="I2763" s="14">
        <f>INDEX(VarUnit,MATCH($A2763,VarKey,0))</f>
        <v/>
      </c>
      <c r="J2763" s="14">
        <f>INDEX(VarSrc,MATCH($A2763,VarKey,0))</f>
        <v/>
      </c>
      <c r="K2763" s="11">
        <f>CodePrefix&amp;$A2763&amp;IF($C2763="","","."&amp;$C2763&amp;"."&amp;$B2763)&amp;INDEX(VarEnd,MATCH($A2763,VarKey,0))&amp;K$5</f>
        <v/>
      </c>
      <c r="L2763" s="15">
        <f>L2754*Settings!$C$13*$D2763</f>
        <v/>
      </c>
      <c r="M2763" s="16">
        <f>M2754*Settings!$C$13*$D2763</f>
        <v/>
      </c>
      <c r="N2763" s="16">
        <f>N2754*Settings!$C$13*$D2763</f>
        <v/>
      </c>
      <c r="O2763" s="16">
        <f>O2754*Settings!$C$13*$D2763</f>
        <v/>
      </c>
      <c r="P2763" s="16">
        <f>P2754*Settings!$C$13*$D2763</f>
        <v/>
      </c>
      <c r="Q2763" s="16">
        <f>Q2754*Settings!$C$13*$D2763</f>
        <v/>
      </c>
      <c r="R2763" s="16">
        <f>R2754*Settings!$C$13*$D2763</f>
        <v/>
      </c>
      <c r="S2763" s="16">
        <f>S2754*Settings!$C$13*$D2763</f>
        <v/>
      </c>
      <c r="T2763" s="16">
        <f>T2754*Settings!$C$13*$D2763</f>
        <v/>
      </c>
      <c r="U2763" s="16">
        <f>U2754*Settings!$C$13*$D2763</f>
        <v/>
      </c>
      <c r="V2763" s="16">
        <f>V2754*Settings!$C$13*$D2763</f>
        <v/>
      </c>
      <c r="W2763" s="16">
        <f>W2754*Settings!$C$13*$D2763</f>
        <v/>
      </c>
      <c r="X2763" s="16">
        <f>X2754*Settings!$C$13*$D2763</f>
        <v/>
      </c>
      <c r="Y2763" s="16">
        <f>Y2754*Settings!$C$13*$D2763</f>
        <v/>
      </c>
      <c r="Z2763" s="16">
        <f>Z2754*Settings!$C$13*$D2763</f>
        <v/>
      </c>
      <c r="AA2763" s="16">
        <f>AA2754*Settings!$C$13*$D2763</f>
        <v/>
      </c>
      <c r="AB2763" s="16">
        <f>AB2754*Settings!$C$13*$D2763</f>
        <v/>
      </c>
      <c r="AC2763" s="16">
        <f>AC2754*Settings!$C$13*$D2763</f>
        <v/>
      </c>
      <c r="AD2763" s="16">
        <f>AD2754*Settings!$C$13*$D2763</f>
        <v/>
      </c>
      <c r="AE2763" s="49">
        <f>EMISSIONS(AE2754,Settings!$C$13,$D2763)</f>
        <v/>
      </c>
      <c r="AG2763" s="11">
        <f>CodePrefix&amp;$A2763&amp;IF($C2763="","","."&amp;$C2763&amp;"."&amp;$B2763)&amp;INDEX(VarEnd,MATCH($A2763,VarKey,0))&amp;AG$5</f>
        <v/>
      </c>
      <c r="AH2763" s="15">
        <f>AH2754*Settings!$C$13*$D2763</f>
        <v/>
      </c>
      <c r="AI2763" s="16">
        <f>AI2754*Settings!$C$13*$D2763</f>
        <v/>
      </c>
      <c r="AJ2763" s="16">
        <f>AJ2754*Settings!$C$13*$D2763</f>
        <v/>
      </c>
      <c r="AK2763" s="16">
        <f>AK2754*Settings!$C$13*$D2763</f>
        <v/>
      </c>
      <c r="AL2763" s="16">
        <f>AL2754*Settings!$C$13*$D2763</f>
        <v/>
      </c>
      <c r="AM2763" s="16">
        <f>AM2754*Settings!$C$13*$D2763</f>
        <v/>
      </c>
      <c r="AN2763" s="16">
        <f>AN2754*Settings!$C$13*$D2763</f>
        <v/>
      </c>
      <c r="AO2763" s="16">
        <f>AO2754*Settings!$C$13*$D2763</f>
        <v/>
      </c>
      <c r="AP2763" s="16">
        <f>AP2754*Settings!$C$13*$D2763</f>
        <v/>
      </c>
      <c r="AQ2763" s="16">
        <f>AQ2754*Settings!$C$13*$D2763</f>
        <v/>
      </c>
      <c r="AR2763" s="16">
        <f>AR2754*Settings!$C$13*$D2763</f>
        <v/>
      </c>
      <c r="AS2763" s="16">
        <f>AS2754*Settings!$C$13*$D2763</f>
        <v/>
      </c>
      <c r="AT2763" s="16">
        <f>AT2754*Settings!$C$13*$D2763</f>
        <v/>
      </c>
      <c r="AU2763" s="16">
        <f>AU2754*Settings!$C$13*$D2763</f>
        <v/>
      </c>
      <c r="AV2763" s="16">
        <f>AV2754*Settings!$C$13*$D2763</f>
        <v/>
      </c>
      <c r="AW2763" s="16">
        <f>AW2754*Settings!$C$13*$D2763</f>
        <v/>
      </c>
      <c r="AX2763" s="16">
        <f>AX2754*Settings!$C$13*$D2763</f>
        <v/>
      </c>
      <c r="AY2763" s="16">
        <f>AY2754*Settings!$C$13*$D2763</f>
        <v/>
      </c>
      <c r="AZ2763" s="16">
        <f>AZ2754*Settings!$C$13*$D2763</f>
        <v/>
      </c>
      <c r="BA2763" s="49">
        <f>EMISSIONS(BA2754,Settings!$C$13,$D2763)</f>
        <v/>
      </c>
    </row>
    <row r="2764" hidden="1" outlineLevel="2">
      <c r="A2764" s="14" t="inlineStr">
        <is>
          <t>co2</t>
        </is>
      </c>
      <c r="B2764" s="14" t="inlineStr">
        <is>
          <t>oop</t>
        </is>
      </c>
      <c r="C2764" s="14" t="inlineStr">
        <is>
          <t>cst</t>
        </is>
      </c>
      <c r="D2764" s="35">
        <f>INDEX(Inputs!$W$5:$W$132,MATCH($B2764&amp;"|"&amp;$C2764,Inputs!$A$5:$A$132,0))</f>
        <v/>
      </c>
      <c r="E2764" s="39" t="n"/>
      <c r="F2764" s="39" t="n"/>
      <c r="G2764" s="39" t="n"/>
      <c r="H2764" s="14">
        <f>INDEX(VarLab,MATCH($A2764,VarKey,0))&amp;INDEX(MemLab,MATCH($C2764&amp;"|"&amp;$B2764,MemKey,0))</f>
        <v/>
      </c>
      <c r="I2764" s="14">
        <f>INDEX(VarUnit,MATCH($A2764,VarKey,0))</f>
        <v/>
      </c>
      <c r="J2764" s="14">
        <f>INDEX(VarSrc,MATCH($A2764,VarKey,0))</f>
        <v/>
      </c>
      <c r="K2764" s="11">
        <f>CodePrefix&amp;$A2764&amp;IF($C2764="","","."&amp;$C2764&amp;"."&amp;$B2764)&amp;INDEX(VarEnd,MATCH($A2764,VarKey,0))&amp;K$5</f>
        <v/>
      </c>
      <c r="L2764" s="15">
        <f>L2755*Settings!$C$13*$D2764</f>
        <v/>
      </c>
      <c r="M2764" s="16">
        <f>M2755*Settings!$C$13*$D2764</f>
        <v/>
      </c>
      <c r="N2764" s="16">
        <f>N2755*Settings!$C$13*$D2764</f>
        <v/>
      </c>
      <c r="O2764" s="16">
        <f>O2755*Settings!$C$13*$D2764</f>
        <v/>
      </c>
      <c r="P2764" s="16">
        <f>P2755*Settings!$C$13*$D2764</f>
        <v/>
      </c>
      <c r="Q2764" s="16">
        <f>Q2755*Settings!$C$13*$D2764</f>
        <v/>
      </c>
      <c r="R2764" s="16">
        <f>R2755*Settings!$C$13*$D2764</f>
        <v/>
      </c>
      <c r="S2764" s="16">
        <f>S2755*Settings!$C$13*$D2764</f>
        <v/>
      </c>
      <c r="T2764" s="16">
        <f>T2755*Settings!$C$13*$D2764</f>
        <v/>
      </c>
      <c r="U2764" s="16">
        <f>U2755*Settings!$C$13*$D2764</f>
        <v/>
      </c>
      <c r="V2764" s="16">
        <f>V2755*Settings!$C$13*$D2764</f>
        <v/>
      </c>
      <c r="W2764" s="16">
        <f>W2755*Settings!$C$13*$D2764</f>
        <v/>
      </c>
      <c r="X2764" s="16">
        <f>X2755*Settings!$C$13*$D2764</f>
        <v/>
      </c>
      <c r="Y2764" s="16">
        <f>Y2755*Settings!$C$13*$D2764</f>
        <v/>
      </c>
      <c r="Z2764" s="16">
        <f>Z2755*Settings!$C$13*$D2764</f>
        <v/>
      </c>
      <c r="AA2764" s="16">
        <f>AA2755*Settings!$C$13*$D2764</f>
        <v/>
      </c>
      <c r="AB2764" s="16">
        <f>AB2755*Settings!$C$13*$D2764</f>
        <v/>
      </c>
      <c r="AC2764" s="16">
        <f>AC2755*Settings!$C$13*$D2764</f>
        <v/>
      </c>
      <c r="AD2764" s="16">
        <f>AD2755*Settings!$C$13*$D2764</f>
        <v/>
      </c>
      <c r="AE2764" s="49">
        <f>EMISSIONS(AE2755,Settings!$C$13,$D2764)</f>
        <v/>
      </c>
      <c r="AG2764" s="11">
        <f>CodePrefix&amp;$A2764&amp;IF($C2764="","","."&amp;$C2764&amp;"."&amp;$B2764)&amp;INDEX(VarEnd,MATCH($A2764,VarKey,0))&amp;AG$5</f>
        <v/>
      </c>
      <c r="AH2764" s="15">
        <f>AH2755*Settings!$C$13*$D2764</f>
        <v/>
      </c>
      <c r="AI2764" s="16">
        <f>AI2755*Settings!$C$13*$D2764</f>
        <v/>
      </c>
      <c r="AJ2764" s="16">
        <f>AJ2755*Settings!$C$13*$D2764</f>
        <v/>
      </c>
      <c r="AK2764" s="16">
        <f>AK2755*Settings!$C$13*$D2764</f>
        <v/>
      </c>
      <c r="AL2764" s="16">
        <f>AL2755*Settings!$C$13*$D2764</f>
        <v/>
      </c>
      <c r="AM2764" s="16">
        <f>AM2755*Settings!$C$13*$D2764</f>
        <v/>
      </c>
      <c r="AN2764" s="16">
        <f>AN2755*Settings!$C$13*$D2764</f>
        <v/>
      </c>
      <c r="AO2764" s="16">
        <f>AO2755*Settings!$C$13*$D2764</f>
        <v/>
      </c>
      <c r="AP2764" s="16">
        <f>AP2755*Settings!$C$13*$D2764</f>
        <v/>
      </c>
      <c r="AQ2764" s="16">
        <f>AQ2755*Settings!$C$13*$D2764</f>
        <v/>
      </c>
      <c r="AR2764" s="16">
        <f>AR2755*Settings!$C$13*$D2764</f>
        <v/>
      </c>
      <c r="AS2764" s="16">
        <f>AS2755*Settings!$C$13*$D2764</f>
        <v/>
      </c>
      <c r="AT2764" s="16">
        <f>AT2755*Settings!$C$13*$D2764</f>
        <v/>
      </c>
      <c r="AU2764" s="16">
        <f>AU2755*Settings!$C$13*$D2764</f>
        <v/>
      </c>
      <c r="AV2764" s="16">
        <f>AV2755*Settings!$C$13*$D2764</f>
        <v/>
      </c>
      <c r="AW2764" s="16">
        <f>AW2755*Settings!$C$13*$D2764</f>
        <v/>
      </c>
      <c r="AX2764" s="16">
        <f>AX2755*Settings!$C$13*$D2764</f>
        <v/>
      </c>
      <c r="AY2764" s="16">
        <f>AY2755*Settings!$C$13*$D2764</f>
        <v/>
      </c>
      <c r="AZ2764" s="16">
        <f>AZ2755*Settings!$C$13*$D2764</f>
        <v/>
      </c>
      <c r="BA2764" s="49">
        <f>EMISSIONS(BA2755,Settings!$C$13,$D2764)</f>
        <v/>
      </c>
    </row>
    <row r="2765" hidden="1" outlineLevel="2">
      <c r="A2765" s="14" t="inlineStr">
        <is>
          <t>co2</t>
        </is>
      </c>
      <c r="B2765" s="14" t="inlineStr">
        <is>
          <t>bio</t>
        </is>
      </c>
      <c r="C2765" s="14" t="inlineStr">
        <is>
          <t>cst</t>
        </is>
      </c>
      <c r="D2765" s="35">
        <f>INDEX(Inputs!$W$5:$W$132,MATCH($B2765&amp;"|"&amp;$C2765,Inputs!$A$5:$A$132,0))</f>
        <v/>
      </c>
      <c r="E2765" s="39" t="n"/>
      <c r="F2765" s="39" t="n"/>
      <c r="G2765" s="39" t="n"/>
      <c r="H2765" s="14">
        <f>INDEX(VarLab,MATCH($A2765,VarKey,0))&amp;INDEX(MemLab,MATCH($C2765&amp;"|"&amp;$B2765,MemKey,0))</f>
        <v/>
      </c>
      <c r="I2765" s="14">
        <f>INDEX(VarUnit,MATCH($A2765,VarKey,0))</f>
        <v/>
      </c>
      <c r="J2765" s="14">
        <f>INDEX(VarSrc,MATCH($A2765,VarKey,0))</f>
        <v/>
      </c>
      <c r="K2765" s="11">
        <f>CodePrefix&amp;$A2765&amp;IF($C2765="","","."&amp;$C2765&amp;"."&amp;$B2765)&amp;INDEX(VarEnd,MATCH($A2765,VarKey,0))&amp;K$5</f>
        <v/>
      </c>
      <c r="L2765" s="15">
        <f>L2756*Settings!$C$13*$D2765</f>
        <v/>
      </c>
      <c r="M2765" s="16">
        <f>M2756*Settings!$C$13*$D2765</f>
        <v/>
      </c>
      <c r="N2765" s="16">
        <f>N2756*Settings!$C$13*$D2765</f>
        <v/>
      </c>
      <c r="O2765" s="16">
        <f>O2756*Settings!$C$13*$D2765</f>
        <v/>
      </c>
      <c r="P2765" s="16">
        <f>P2756*Settings!$C$13*$D2765</f>
        <v/>
      </c>
      <c r="Q2765" s="16">
        <f>Q2756*Settings!$C$13*$D2765</f>
        <v/>
      </c>
      <c r="R2765" s="16">
        <f>R2756*Settings!$C$13*$D2765</f>
        <v/>
      </c>
      <c r="S2765" s="16">
        <f>S2756*Settings!$C$13*$D2765</f>
        <v/>
      </c>
      <c r="T2765" s="16">
        <f>T2756*Settings!$C$13*$D2765</f>
        <v/>
      </c>
      <c r="U2765" s="16">
        <f>U2756*Settings!$C$13*$D2765</f>
        <v/>
      </c>
      <c r="V2765" s="16">
        <f>V2756*Settings!$C$13*$D2765</f>
        <v/>
      </c>
      <c r="W2765" s="16">
        <f>W2756*Settings!$C$13*$D2765</f>
        <v/>
      </c>
      <c r="X2765" s="16">
        <f>X2756*Settings!$C$13*$D2765</f>
        <v/>
      </c>
      <c r="Y2765" s="16">
        <f>Y2756*Settings!$C$13*$D2765</f>
        <v/>
      </c>
      <c r="Z2765" s="16">
        <f>Z2756*Settings!$C$13*$D2765</f>
        <v/>
      </c>
      <c r="AA2765" s="16">
        <f>AA2756*Settings!$C$13*$D2765</f>
        <v/>
      </c>
      <c r="AB2765" s="16">
        <f>AB2756*Settings!$C$13*$D2765</f>
        <v/>
      </c>
      <c r="AC2765" s="16">
        <f>AC2756*Settings!$C$13*$D2765</f>
        <v/>
      </c>
      <c r="AD2765" s="16">
        <f>AD2756*Settings!$C$13*$D2765</f>
        <v/>
      </c>
      <c r="AE2765" s="49">
        <f>EMISSIONS(AE2756,Settings!$C$13,$D2765)</f>
        <v/>
      </c>
      <c r="AG2765" s="11">
        <f>CodePrefix&amp;$A2765&amp;IF($C2765="","","."&amp;$C2765&amp;"."&amp;$B2765)&amp;INDEX(VarEnd,MATCH($A2765,VarKey,0))&amp;AG$5</f>
        <v/>
      </c>
      <c r="AH2765" s="15">
        <f>AH2756*Settings!$C$13*$D2765</f>
        <v/>
      </c>
      <c r="AI2765" s="16">
        <f>AI2756*Settings!$C$13*$D2765</f>
        <v/>
      </c>
      <c r="AJ2765" s="16">
        <f>AJ2756*Settings!$C$13*$D2765</f>
        <v/>
      </c>
      <c r="AK2765" s="16">
        <f>AK2756*Settings!$C$13*$D2765</f>
        <v/>
      </c>
      <c r="AL2765" s="16">
        <f>AL2756*Settings!$C$13*$D2765</f>
        <v/>
      </c>
      <c r="AM2765" s="16">
        <f>AM2756*Settings!$C$13*$D2765</f>
        <v/>
      </c>
      <c r="AN2765" s="16">
        <f>AN2756*Settings!$C$13*$D2765</f>
        <v/>
      </c>
      <c r="AO2765" s="16">
        <f>AO2756*Settings!$C$13*$D2765</f>
        <v/>
      </c>
      <c r="AP2765" s="16">
        <f>AP2756*Settings!$C$13*$D2765</f>
        <v/>
      </c>
      <c r="AQ2765" s="16">
        <f>AQ2756*Settings!$C$13*$D2765</f>
        <v/>
      </c>
      <c r="AR2765" s="16">
        <f>AR2756*Settings!$C$13*$D2765</f>
        <v/>
      </c>
      <c r="AS2765" s="16">
        <f>AS2756*Settings!$C$13*$D2765</f>
        <v/>
      </c>
      <c r="AT2765" s="16">
        <f>AT2756*Settings!$C$13*$D2765</f>
        <v/>
      </c>
      <c r="AU2765" s="16">
        <f>AU2756*Settings!$C$13*$D2765</f>
        <v/>
      </c>
      <c r="AV2765" s="16">
        <f>AV2756*Settings!$C$13*$D2765</f>
        <v/>
      </c>
      <c r="AW2765" s="16">
        <f>AW2756*Settings!$C$13*$D2765</f>
        <v/>
      </c>
      <c r="AX2765" s="16">
        <f>AX2756*Settings!$C$13*$D2765</f>
        <v/>
      </c>
      <c r="AY2765" s="16">
        <f>AY2756*Settings!$C$13*$D2765</f>
        <v/>
      </c>
      <c r="AZ2765" s="16">
        <f>AZ2756*Settings!$C$13*$D2765</f>
        <v/>
      </c>
      <c r="BA2765" s="49">
        <f>EMISSIONS(BA2756,Settings!$C$13,$D2765)</f>
        <v/>
      </c>
    </row>
    <row r="2766" hidden="1" outlineLevel="2"/>
    <row r="2767" hidden="1" outlineLevel="2">
      <c r="A2767" s="14" t="inlineStr">
        <is>
          <t>rtx</t>
        </is>
      </c>
      <c r="B2767" s="14" t="inlineStr">
        <is>
          <t>coa</t>
        </is>
      </c>
      <c r="C2767" s="14" t="inlineStr">
        <is>
          <t>cst</t>
        </is>
      </c>
      <c r="D2767" s="35">
        <f>INDEX(Inputs!$U$5:$U$132,MATCH($B2767&amp;"|"&amp;$C2767,Inputs!$A$5:$A$132,0))</f>
        <v/>
      </c>
      <c r="E2767" s="35">
        <f>INDEX(Inputs!$V$5:$V$132,MATCH($B2767&amp;"|"&amp;$C2767,Inputs!$A$5:$A$132,0))</f>
        <v/>
      </c>
      <c r="F2767" s="39" t="n"/>
      <c r="G2767" s="39" t="n"/>
      <c r="H2767" s="14">
        <f>INDEX(VarLab,MATCH($A2767,VarKey,0))&amp;INDEX(MemLab,MATCH($C2767&amp;"|"&amp;$B2767,MemKey,0))</f>
        <v/>
      </c>
      <c r="I2767" s="14">
        <f>INDEX(VarUnit,MATCH($A2767,VarKey,0))</f>
        <v/>
      </c>
      <c r="J2767" s="14">
        <f>INDEX(VarSrc,MATCH($A2767,VarKey,0))</f>
        <v/>
      </c>
      <c r="K2767" s="11">
        <f>CodePrefix&amp;$A2767&amp;IF($C2767="","","."&amp;$C2767&amp;"."&amp;$B2767)&amp;INDEX(VarEnd,MATCH($A2767,VarKey,0))&amp;K$5</f>
        <v/>
      </c>
      <c r="L2767" s="43">
        <f>L2749*Settings!$C$13*(INDEX(L$407:L$418,$D2767)+INDEX(L$394:L$405,$D2767)+L2722*(1+$E2767))</f>
        <v/>
      </c>
      <c r="M2767" s="44">
        <f>M2749*Settings!$C$13*(INDEX(M$407:M$418,$D2767)+INDEX(M$394:M$405,$D2767)+M2722*(1+$E2767))</f>
        <v/>
      </c>
      <c r="N2767" s="44">
        <f>N2749*Settings!$C$13*(INDEX(N$407:N$418,$D2767)+INDEX(N$394:N$405,$D2767)+N2722*(1+$E2767))</f>
        <v/>
      </c>
      <c r="O2767" s="44">
        <f>O2749*Settings!$C$13*(INDEX(O$407:O$418,$D2767)+INDEX(O$394:O$405,$D2767)+O2722*(1+$E2767))</f>
        <v/>
      </c>
      <c r="P2767" s="44">
        <f>P2749*Settings!$C$13*(INDEX(P$407:P$418,$D2767)+INDEX(P$394:P$405,$D2767)+P2722*(1+$E2767))</f>
        <v/>
      </c>
      <c r="Q2767" s="44">
        <f>Q2749*Settings!$C$13*(INDEX(Q$407:Q$418,$D2767)+INDEX(Q$394:Q$405,$D2767)+Q2722*(1+$E2767))</f>
        <v/>
      </c>
      <c r="R2767" s="44">
        <f>R2749*Settings!$C$13*(INDEX(R$407:R$418,$D2767)+INDEX(R$394:R$405,$D2767)+R2722*(1+$E2767))</f>
        <v/>
      </c>
      <c r="S2767" s="44">
        <f>S2749*Settings!$C$13*(INDEX(S$407:S$418,$D2767)+INDEX(S$394:S$405,$D2767)+S2722*(1+$E2767))</f>
        <v/>
      </c>
      <c r="T2767" s="44">
        <f>T2749*Settings!$C$13*(INDEX(T$407:T$418,$D2767)+INDEX(T$394:T$405,$D2767)+T2722*(1+$E2767))</f>
        <v/>
      </c>
      <c r="U2767" s="44">
        <f>U2749*Settings!$C$13*(INDEX(U$407:U$418,$D2767)+INDEX(U$394:U$405,$D2767)+U2722*(1+$E2767))</f>
        <v/>
      </c>
      <c r="V2767" s="44">
        <f>V2749*Settings!$C$13*(INDEX(V$407:V$418,$D2767)+INDEX(V$394:V$405,$D2767)+V2722*(1+$E2767))</f>
        <v/>
      </c>
      <c r="W2767" s="44">
        <f>W2749*Settings!$C$13*(INDEX(W$407:W$418,$D2767)+INDEX(W$394:W$405,$D2767)+W2722*(1+$E2767))</f>
        <v/>
      </c>
      <c r="X2767" s="44">
        <f>X2749*Settings!$C$13*(INDEX(X$407:X$418,$D2767)+INDEX(X$394:X$405,$D2767)+X2722*(1+$E2767))</f>
        <v/>
      </c>
      <c r="Y2767" s="44">
        <f>Y2749*Settings!$C$13*(INDEX(Y$407:Y$418,$D2767)+INDEX(Y$394:Y$405,$D2767)+Y2722*(1+$E2767))</f>
        <v/>
      </c>
      <c r="Z2767" s="44">
        <f>Z2749*Settings!$C$13*(INDEX(Z$407:Z$418,$D2767)+INDEX(Z$394:Z$405,$D2767)+Z2722*(1+$E2767))</f>
        <v/>
      </c>
      <c r="AA2767" s="44">
        <f>AA2749*Settings!$C$13*(INDEX(AA$407:AA$418,$D2767)+INDEX(AA$394:AA$405,$D2767)+AA2722*(1+$E2767))</f>
        <v/>
      </c>
      <c r="AB2767" s="44">
        <f>AB2749*Settings!$C$13*(INDEX(AB$407:AB$418,$D2767)+INDEX(AB$394:AB$405,$D2767)+AB2722*(1+$E2767))</f>
        <v/>
      </c>
      <c r="AC2767" s="44">
        <f>AC2749*Settings!$C$13*(INDEX(AC$407:AC$418,$D2767)+INDEX(AC$394:AC$405,$D2767)+AC2722*(1+$E2767))</f>
        <v/>
      </c>
      <c r="AD2767" s="44">
        <f>AD2749*Settings!$C$13*(INDEX(AD$407:AD$418,$D2767)+INDEX(AD$394:AD$405,$D2767)+AD2722*(1+$E2767))</f>
        <v/>
      </c>
      <c r="AE2767" s="57">
        <f>REVENUE(AE2749,Settings!$C$13,INDEX(AE$407:AE$418,$D2767)+INDEX(AE$394:AE$405,$D2767)+AE2722*(1+$E2767))</f>
        <v/>
      </c>
      <c r="AG2767" s="11">
        <f>CodePrefix&amp;$A2767&amp;IF($C2767="","","."&amp;$C2767&amp;"."&amp;$B2767)&amp;INDEX(VarEnd,MATCH($A2767,VarKey,0))&amp;AG$5</f>
        <v/>
      </c>
      <c r="AH2767" s="43">
        <f>AH2749*Settings!$C$13*(INDEX(AH$407:AH$418,$D2767)+INDEX(AH$394:AH$405,$D2767)+AH2722*(1+$E2767))</f>
        <v/>
      </c>
      <c r="AI2767" s="44">
        <f>AI2749*Settings!$C$13*(INDEX(AI$407:AI$418,$D2767)+INDEX(AI$394:AI$405,$D2767)+AI2722*(1+$E2767))</f>
        <v/>
      </c>
      <c r="AJ2767" s="44">
        <f>AJ2749*Settings!$C$13*(INDEX(AJ$407:AJ$418,$D2767)+INDEX(AJ$394:AJ$405,$D2767)+AJ2722*(1+$E2767))</f>
        <v/>
      </c>
      <c r="AK2767" s="44">
        <f>AK2749*Settings!$C$13*(INDEX(AK$407:AK$418,$D2767)+INDEX(AK$394:AK$405,$D2767)+AK2722*(1+$E2767))</f>
        <v/>
      </c>
      <c r="AL2767" s="44">
        <f>AL2749*Settings!$C$13*(INDEX(AL$407:AL$418,$D2767)+INDEX(AL$394:AL$405,$D2767)+AL2722*(1+$E2767))</f>
        <v/>
      </c>
      <c r="AM2767" s="44">
        <f>AM2749*Settings!$C$13*(INDEX(AM$407:AM$418,$D2767)+INDEX(AM$394:AM$405,$D2767)+AM2722*(1+$E2767))</f>
        <v/>
      </c>
      <c r="AN2767" s="44">
        <f>AN2749*Settings!$C$13*(INDEX(AN$407:AN$418,$D2767)+INDEX(AN$394:AN$405,$D2767)+AN2722*(1+$E2767))</f>
        <v/>
      </c>
      <c r="AO2767" s="44">
        <f>AO2749*Settings!$C$13*(INDEX(AO$407:AO$418,$D2767)+INDEX(AO$394:AO$405,$D2767)+AO2722*(1+$E2767))</f>
        <v/>
      </c>
      <c r="AP2767" s="44">
        <f>AP2749*Settings!$C$13*(INDEX(AP$407:AP$418,$D2767)+INDEX(AP$394:AP$405,$D2767)+AP2722*(1+$E2767))</f>
        <v/>
      </c>
      <c r="AQ2767" s="44">
        <f>AQ2749*Settings!$C$13*(INDEX(AQ$407:AQ$418,$D2767)+INDEX(AQ$394:AQ$405,$D2767)+AQ2722*(1+$E2767))</f>
        <v/>
      </c>
      <c r="AR2767" s="44">
        <f>AR2749*Settings!$C$13*(INDEX(AR$407:AR$418,$D2767)+INDEX(AR$394:AR$405,$D2767)+AR2722*(1+$E2767))</f>
        <v/>
      </c>
      <c r="AS2767" s="44">
        <f>AS2749*Settings!$C$13*(INDEX(AS$407:AS$418,$D2767)+INDEX(AS$394:AS$405,$D2767)+AS2722*(1+$E2767))</f>
        <v/>
      </c>
      <c r="AT2767" s="44">
        <f>AT2749*Settings!$C$13*(INDEX(AT$407:AT$418,$D2767)+INDEX(AT$394:AT$405,$D2767)+AT2722*(1+$E2767))</f>
        <v/>
      </c>
      <c r="AU2767" s="44">
        <f>AU2749*Settings!$C$13*(INDEX(AU$407:AU$418,$D2767)+INDEX(AU$394:AU$405,$D2767)+AU2722*(1+$E2767))</f>
        <v/>
      </c>
      <c r="AV2767" s="44">
        <f>AV2749*Settings!$C$13*(INDEX(AV$407:AV$418,$D2767)+INDEX(AV$394:AV$405,$D2767)+AV2722*(1+$E2767))</f>
        <v/>
      </c>
      <c r="AW2767" s="44">
        <f>AW2749*Settings!$C$13*(INDEX(AW$407:AW$418,$D2767)+INDEX(AW$394:AW$405,$D2767)+AW2722*(1+$E2767))</f>
        <v/>
      </c>
      <c r="AX2767" s="44">
        <f>AX2749*Settings!$C$13*(INDEX(AX$407:AX$418,$D2767)+INDEX(AX$394:AX$405,$D2767)+AX2722*(1+$E2767))</f>
        <v/>
      </c>
      <c r="AY2767" s="44">
        <f>AY2749*Settings!$C$13*(INDEX(AY$407:AY$418,$D2767)+INDEX(AY$394:AY$405,$D2767)+AY2722*(1+$E2767))</f>
        <v/>
      </c>
      <c r="AZ2767" s="44">
        <f>AZ2749*Settings!$C$13*(INDEX(AZ$407:AZ$418,$D2767)+INDEX(AZ$394:AZ$405,$D2767)+AZ2722*(1+$E2767))</f>
        <v/>
      </c>
      <c r="BA2767" s="57">
        <f>REVENUE(BA2749,Settings!$C$13,INDEX(BA$407:BA$418,$D2767)+INDEX(BA$394:BA$405,$D2767)+BA2722*(1+$E2767))</f>
        <v/>
      </c>
    </row>
    <row r="2768" hidden="1" outlineLevel="2">
      <c r="A2768" s="14" t="inlineStr">
        <is>
          <t>rtx</t>
        </is>
      </c>
      <c r="B2768" s="14" t="inlineStr">
        <is>
          <t>nga</t>
        </is>
      </c>
      <c r="C2768" s="14" t="inlineStr">
        <is>
          <t>cst</t>
        </is>
      </c>
      <c r="D2768" s="35">
        <f>INDEX(Inputs!$U$5:$U$132,MATCH($B2768&amp;"|"&amp;$C2768,Inputs!$A$5:$A$132,0))</f>
        <v/>
      </c>
      <c r="E2768" s="35">
        <f>INDEX(Inputs!$V$5:$V$132,MATCH($B2768&amp;"|"&amp;$C2768,Inputs!$A$5:$A$132,0))</f>
        <v/>
      </c>
      <c r="F2768" s="39" t="n"/>
      <c r="G2768" s="39" t="n"/>
      <c r="H2768" s="14">
        <f>INDEX(VarLab,MATCH($A2768,VarKey,0))&amp;INDEX(MemLab,MATCH($C2768&amp;"|"&amp;$B2768,MemKey,0))</f>
        <v/>
      </c>
      <c r="I2768" s="14">
        <f>INDEX(VarUnit,MATCH($A2768,VarKey,0))</f>
        <v/>
      </c>
      <c r="J2768" s="14">
        <f>INDEX(VarSrc,MATCH($A2768,VarKey,0))</f>
        <v/>
      </c>
      <c r="K2768" s="11">
        <f>CodePrefix&amp;$A2768&amp;IF($C2768="","","."&amp;$C2768&amp;"."&amp;$B2768)&amp;INDEX(VarEnd,MATCH($A2768,VarKey,0))&amp;K$5</f>
        <v/>
      </c>
      <c r="L2768" s="43">
        <f>L2750*Settings!$C$13*(INDEX(L$407:L$418,$D2768)+INDEX(L$394:L$405,$D2768)+L2723*(1+$E2768))</f>
        <v/>
      </c>
      <c r="M2768" s="44">
        <f>M2750*Settings!$C$13*(INDEX(M$407:M$418,$D2768)+INDEX(M$394:M$405,$D2768)+M2723*(1+$E2768))</f>
        <v/>
      </c>
      <c r="N2768" s="44">
        <f>N2750*Settings!$C$13*(INDEX(N$407:N$418,$D2768)+INDEX(N$394:N$405,$D2768)+N2723*(1+$E2768))</f>
        <v/>
      </c>
      <c r="O2768" s="44">
        <f>O2750*Settings!$C$13*(INDEX(O$407:O$418,$D2768)+INDEX(O$394:O$405,$D2768)+O2723*(1+$E2768))</f>
        <v/>
      </c>
      <c r="P2768" s="44">
        <f>P2750*Settings!$C$13*(INDEX(P$407:P$418,$D2768)+INDEX(P$394:P$405,$D2768)+P2723*(1+$E2768))</f>
        <v/>
      </c>
      <c r="Q2768" s="44">
        <f>Q2750*Settings!$C$13*(INDEX(Q$407:Q$418,$D2768)+INDEX(Q$394:Q$405,$D2768)+Q2723*(1+$E2768))</f>
        <v/>
      </c>
      <c r="R2768" s="44">
        <f>R2750*Settings!$C$13*(INDEX(R$407:R$418,$D2768)+INDEX(R$394:R$405,$D2768)+R2723*(1+$E2768))</f>
        <v/>
      </c>
      <c r="S2768" s="44">
        <f>S2750*Settings!$C$13*(INDEX(S$407:S$418,$D2768)+INDEX(S$394:S$405,$D2768)+S2723*(1+$E2768))</f>
        <v/>
      </c>
      <c r="T2768" s="44">
        <f>T2750*Settings!$C$13*(INDEX(T$407:T$418,$D2768)+INDEX(T$394:T$405,$D2768)+T2723*(1+$E2768))</f>
        <v/>
      </c>
      <c r="U2768" s="44">
        <f>U2750*Settings!$C$13*(INDEX(U$407:U$418,$D2768)+INDEX(U$394:U$405,$D2768)+U2723*(1+$E2768))</f>
        <v/>
      </c>
      <c r="V2768" s="44">
        <f>V2750*Settings!$C$13*(INDEX(V$407:V$418,$D2768)+INDEX(V$394:V$405,$D2768)+V2723*(1+$E2768))</f>
        <v/>
      </c>
      <c r="W2768" s="44">
        <f>W2750*Settings!$C$13*(INDEX(W$407:W$418,$D2768)+INDEX(W$394:W$405,$D2768)+W2723*(1+$E2768))</f>
        <v/>
      </c>
      <c r="X2768" s="44">
        <f>X2750*Settings!$C$13*(INDEX(X$407:X$418,$D2768)+INDEX(X$394:X$405,$D2768)+X2723*(1+$E2768))</f>
        <v/>
      </c>
      <c r="Y2768" s="44">
        <f>Y2750*Settings!$C$13*(INDEX(Y$407:Y$418,$D2768)+INDEX(Y$394:Y$405,$D2768)+Y2723*(1+$E2768))</f>
        <v/>
      </c>
      <c r="Z2768" s="44">
        <f>Z2750*Settings!$C$13*(INDEX(Z$407:Z$418,$D2768)+INDEX(Z$394:Z$405,$D2768)+Z2723*(1+$E2768))</f>
        <v/>
      </c>
      <c r="AA2768" s="44">
        <f>AA2750*Settings!$C$13*(INDEX(AA$407:AA$418,$D2768)+INDEX(AA$394:AA$405,$D2768)+AA2723*(1+$E2768))</f>
        <v/>
      </c>
      <c r="AB2768" s="44">
        <f>AB2750*Settings!$C$13*(INDEX(AB$407:AB$418,$D2768)+INDEX(AB$394:AB$405,$D2768)+AB2723*(1+$E2768))</f>
        <v/>
      </c>
      <c r="AC2768" s="44">
        <f>AC2750*Settings!$C$13*(INDEX(AC$407:AC$418,$D2768)+INDEX(AC$394:AC$405,$D2768)+AC2723*(1+$E2768))</f>
        <v/>
      </c>
      <c r="AD2768" s="44">
        <f>AD2750*Settings!$C$13*(INDEX(AD$407:AD$418,$D2768)+INDEX(AD$394:AD$405,$D2768)+AD2723*(1+$E2768))</f>
        <v/>
      </c>
      <c r="AE2768" s="57">
        <f>REVENUE(AE2750,Settings!$C$13,INDEX(AE$407:AE$418,$D2768)+INDEX(AE$394:AE$405,$D2768)+AE2723*(1+$E2768))</f>
        <v/>
      </c>
      <c r="AG2768" s="11">
        <f>CodePrefix&amp;$A2768&amp;IF($C2768="","","."&amp;$C2768&amp;"."&amp;$B2768)&amp;INDEX(VarEnd,MATCH($A2768,VarKey,0))&amp;AG$5</f>
        <v/>
      </c>
      <c r="AH2768" s="43">
        <f>AH2750*Settings!$C$13*(INDEX(AH$407:AH$418,$D2768)+INDEX(AH$394:AH$405,$D2768)+AH2723*(1+$E2768))</f>
        <v/>
      </c>
      <c r="AI2768" s="44">
        <f>AI2750*Settings!$C$13*(INDEX(AI$407:AI$418,$D2768)+INDEX(AI$394:AI$405,$D2768)+AI2723*(1+$E2768))</f>
        <v/>
      </c>
      <c r="AJ2768" s="44">
        <f>AJ2750*Settings!$C$13*(INDEX(AJ$407:AJ$418,$D2768)+INDEX(AJ$394:AJ$405,$D2768)+AJ2723*(1+$E2768))</f>
        <v/>
      </c>
      <c r="AK2768" s="44">
        <f>AK2750*Settings!$C$13*(INDEX(AK$407:AK$418,$D2768)+INDEX(AK$394:AK$405,$D2768)+AK2723*(1+$E2768))</f>
        <v/>
      </c>
      <c r="AL2768" s="44">
        <f>AL2750*Settings!$C$13*(INDEX(AL$407:AL$418,$D2768)+INDEX(AL$394:AL$405,$D2768)+AL2723*(1+$E2768))</f>
        <v/>
      </c>
      <c r="AM2768" s="44">
        <f>AM2750*Settings!$C$13*(INDEX(AM$407:AM$418,$D2768)+INDEX(AM$394:AM$405,$D2768)+AM2723*(1+$E2768))</f>
        <v/>
      </c>
      <c r="AN2768" s="44">
        <f>AN2750*Settings!$C$13*(INDEX(AN$407:AN$418,$D2768)+INDEX(AN$394:AN$405,$D2768)+AN2723*(1+$E2768))</f>
        <v/>
      </c>
      <c r="AO2768" s="44">
        <f>AO2750*Settings!$C$13*(INDEX(AO$407:AO$418,$D2768)+INDEX(AO$394:AO$405,$D2768)+AO2723*(1+$E2768))</f>
        <v/>
      </c>
      <c r="AP2768" s="44">
        <f>AP2750*Settings!$C$13*(INDEX(AP$407:AP$418,$D2768)+INDEX(AP$394:AP$405,$D2768)+AP2723*(1+$E2768))</f>
        <v/>
      </c>
      <c r="AQ2768" s="44">
        <f>AQ2750*Settings!$C$13*(INDEX(AQ$407:AQ$418,$D2768)+INDEX(AQ$394:AQ$405,$D2768)+AQ2723*(1+$E2768))</f>
        <v/>
      </c>
      <c r="AR2768" s="44">
        <f>AR2750*Settings!$C$13*(INDEX(AR$407:AR$418,$D2768)+INDEX(AR$394:AR$405,$D2768)+AR2723*(1+$E2768))</f>
        <v/>
      </c>
      <c r="AS2768" s="44">
        <f>AS2750*Settings!$C$13*(INDEX(AS$407:AS$418,$D2768)+INDEX(AS$394:AS$405,$D2768)+AS2723*(1+$E2768))</f>
        <v/>
      </c>
      <c r="AT2768" s="44">
        <f>AT2750*Settings!$C$13*(INDEX(AT$407:AT$418,$D2768)+INDEX(AT$394:AT$405,$D2768)+AT2723*(1+$E2768))</f>
        <v/>
      </c>
      <c r="AU2768" s="44">
        <f>AU2750*Settings!$C$13*(INDEX(AU$407:AU$418,$D2768)+INDEX(AU$394:AU$405,$D2768)+AU2723*(1+$E2768))</f>
        <v/>
      </c>
      <c r="AV2768" s="44">
        <f>AV2750*Settings!$C$13*(INDEX(AV$407:AV$418,$D2768)+INDEX(AV$394:AV$405,$D2768)+AV2723*(1+$E2768))</f>
        <v/>
      </c>
      <c r="AW2768" s="44">
        <f>AW2750*Settings!$C$13*(INDEX(AW$407:AW$418,$D2768)+INDEX(AW$394:AW$405,$D2768)+AW2723*(1+$E2768))</f>
        <v/>
      </c>
      <c r="AX2768" s="44">
        <f>AX2750*Settings!$C$13*(INDEX(AX$407:AX$418,$D2768)+INDEX(AX$394:AX$405,$D2768)+AX2723*(1+$E2768))</f>
        <v/>
      </c>
      <c r="AY2768" s="44">
        <f>AY2750*Settings!$C$13*(INDEX(AY$407:AY$418,$D2768)+INDEX(AY$394:AY$405,$D2768)+AY2723*(1+$E2768))</f>
        <v/>
      </c>
      <c r="AZ2768" s="44">
        <f>AZ2750*Settings!$C$13*(INDEX(AZ$407:AZ$418,$D2768)+INDEX(AZ$394:AZ$405,$D2768)+AZ2723*(1+$E2768))</f>
        <v/>
      </c>
      <c r="BA2768" s="57">
        <f>REVENUE(BA2750,Settings!$C$13,INDEX(BA$407:BA$418,$D2768)+INDEX(BA$394:BA$405,$D2768)+BA2723*(1+$E2768))</f>
        <v/>
      </c>
    </row>
    <row r="2769" hidden="1" outlineLevel="2">
      <c r="A2769" s="14" t="inlineStr">
        <is>
          <t>rtx</t>
        </is>
      </c>
      <c r="B2769" s="14" t="inlineStr">
        <is>
          <t>gso</t>
        </is>
      </c>
      <c r="C2769" s="14" t="inlineStr">
        <is>
          <t>cst</t>
        </is>
      </c>
      <c r="D2769" s="35">
        <f>INDEX(Inputs!$U$5:$U$132,MATCH($B2769&amp;"|"&amp;$C2769,Inputs!$A$5:$A$132,0))</f>
        <v/>
      </c>
      <c r="E2769" s="35">
        <f>INDEX(Inputs!$V$5:$V$132,MATCH($B2769&amp;"|"&amp;$C2769,Inputs!$A$5:$A$132,0))</f>
        <v/>
      </c>
      <c r="F2769" s="39" t="n"/>
      <c r="G2769" s="39" t="n"/>
      <c r="H2769" s="14">
        <f>INDEX(VarLab,MATCH($A2769,VarKey,0))&amp;INDEX(MemLab,MATCH($C2769&amp;"|"&amp;$B2769,MemKey,0))</f>
        <v/>
      </c>
      <c r="I2769" s="14">
        <f>INDEX(VarUnit,MATCH($A2769,VarKey,0))</f>
        <v/>
      </c>
      <c r="J2769" s="14">
        <f>INDEX(VarSrc,MATCH($A2769,VarKey,0))</f>
        <v/>
      </c>
      <c r="K2769" s="11">
        <f>CodePrefix&amp;$A2769&amp;IF($C2769="","","."&amp;$C2769&amp;"."&amp;$B2769)&amp;INDEX(VarEnd,MATCH($A2769,VarKey,0))&amp;K$5</f>
        <v/>
      </c>
      <c r="L2769" s="43">
        <f>L2751*Settings!$C$13*(INDEX(L$407:L$418,$D2769)+INDEX(L$394:L$405,$D2769)+L2724*(1+$E2769))</f>
        <v/>
      </c>
      <c r="M2769" s="44">
        <f>M2751*Settings!$C$13*(INDEX(M$407:M$418,$D2769)+INDEX(M$394:M$405,$D2769)+M2724*(1+$E2769))</f>
        <v/>
      </c>
      <c r="N2769" s="44">
        <f>N2751*Settings!$C$13*(INDEX(N$407:N$418,$D2769)+INDEX(N$394:N$405,$D2769)+N2724*(1+$E2769))</f>
        <v/>
      </c>
      <c r="O2769" s="44">
        <f>O2751*Settings!$C$13*(INDEX(O$407:O$418,$D2769)+INDEX(O$394:O$405,$D2769)+O2724*(1+$E2769))</f>
        <v/>
      </c>
      <c r="P2769" s="44">
        <f>P2751*Settings!$C$13*(INDEX(P$407:P$418,$D2769)+INDEX(P$394:P$405,$D2769)+P2724*(1+$E2769))</f>
        <v/>
      </c>
      <c r="Q2769" s="44">
        <f>Q2751*Settings!$C$13*(INDEX(Q$407:Q$418,$D2769)+INDEX(Q$394:Q$405,$D2769)+Q2724*(1+$E2769))</f>
        <v/>
      </c>
      <c r="R2769" s="44">
        <f>R2751*Settings!$C$13*(INDEX(R$407:R$418,$D2769)+INDEX(R$394:R$405,$D2769)+R2724*(1+$E2769))</f>
        <v/>
      </c>
      <c r="S2769" s="44">
        <f>S2751*Settings!$C$13*(INDEX(S$407:S$418,$D2769)+INDEX(S$394:S$405,$D2769)+S2724*(1+$E2769))</f>
        <v/>
      </c>
      <c r="T2769" s="44">
        <f>T2751*Settings!$C$13*(INDEX(T$407:T$418,$D2769)+INDEX(T$394:T$405,$D2769)+T2724*(1+$E2769))</f>
        <v/>
      </c>
      <c r="U2769" s="44">
        <f>U2751*Settings!$C$13*(INDEX(U$407:U$418,$D2769)+INDEX(U$394:U$405,$D2769)+U2724*(1+$E2769))</f>
        <v/>
      </c>
      <c r="V2769" s="44">
        <f>V2751*Settings!$C$13*(INDEX(V$407:V$418,$D2769)+INDEX(V$394:V$405,$D2769)+V2724*(1+$E2769))</f>
        <v/>
      </c>
      <c r="W2769" s="44">
        <f>W2751*Settings!$C$13*(INDEX(W$407:W$418,$D2769)+INDEX(W$394:W$405,$D2769)+W2724*(1+$E2769))</f>
        <v/>
      </c>
      <c r="X2769" s="44">
        <f>X2751*Settings!$C$13*(INDEX(X$407:X$418,$D2769)+INDEX(X$394:X$405,$D2769)+X2724*(1+$E2769))</f>
        <v/>
      </c>
      <c r="Y2769" s="44">
        <f>Y2751*Settings!$C$13*(INDEX(Y$407:Y$418,$D2769)+INDEX(Y$394:Y$405,$D2769)+Y2724*(1+$E2769))</f>
        <v/>
      </c>
      <c r="Z2769" s="44">
        <f>Z2751*Settings!$C$13*(INDEX(Z$407:Z$418,$D2769)+INDEX(Z$394:Z$405,$D2769)+Z2724*(1+$E2769))</f>
        <v/>
      </c>
      <c r="AA2769" s="44">
        <f>AA2751*Settings!$C$13*(INDEX(AA$407:AA$418,$D2769)+INDEX(AA$394:AA$405,$D2769)+AA2724*(1+$E2769))</f>
        <v/>
      </c>
      <c r="AB2769" s="44">
        <f>AB2751*Settings!$C$13*(INDEX(AB$407:AB$418,$D2769)+INDEX(AB$394:AB$405,$D2769)+AB2724*(1+$E2769))</f>
        <v/>
      </c>
      <c r="AC2769" s="44">
        <f>AC2751*Settings!$C$13*(INDEX(AC$407:AC$418,$D2769)+INDEX(AC$394:AC$405,$D2769)+AC2724*(1+$E2769))</f>
        <v/>
      </c>
      <c r="AD2769" s="44">
        <f>AD2751*Settings!$C$13*(INDEX(AD$407:AD$418,$D2769)+INDEX(AD$394:AD$405,$D2769)+AD2724*(1+$E2769))</f>
        <v/>
      </c>
      <c r="AE2769" s="57">
        <f>REVENUE(AE2751,Settings!$C$13,INDEX(AE$407:AE$418,$D2769)+INDEX(AE$394:AE$405,$D2769)+AE2724*(1+$E2769))</f>
        <v/>
      </c>
      <c r="AG2769" s="11">
        <f>CodePrefix&amp;$A2769&amp;IF($C2769="","","."&amp;$C2769&amp;"."&amp;$B2769)&amp;INDEX(VarEnd,MATCH($A2769,VarKey,0))&amp;AG$5</f>
        <v/>
      </c>
      <c r="AH2769" s="43">
        <f>AH2751*Settings!$C$13*(INDEX(AH$407:AH$418,$D2769)+INDEX(AH$394:AH$405,$D2769)+AH2724*(1+$E2769))</f>
        <v/>
      </c>
      <c r="AI2769" s="44">
        <f>AI2751*Settings!$C$13*(INDEX(AI$407:AI$418,$D2769)+INDEX(AI$394:AI$405,$D2769)+AI2724*(1+$E2769))</f>
        <v/>
      </c>
      <c r="AJ2769" s="44">
        <f>AJ2751*Settings!$C$13*(INDEX(AJ$407:AJ$418,$D2769)+INDEX(AJ$394:AJ$405,$D2769)+AJ2724*(1+$E2769))</f>
        <v/>
      </c>
      <c r="AK2769" s="44">
        <f>AK2751*Settings!$C$13*(INDEX(AK$407:AK$418,$D2769)+INDEX(AK$394:AK$405,$D2769)+AK2724*(1+$E2769))</f>
        <v/>
      </c>
      <c r="AL2769" s="44">
        <f>AL2751*Settings!$C$13*(INDEX(AL$407:AL$418,$D2769)+INDEX(AL$394:AL$405,$D2769)+AL2724*(1+$E2769))</f>
        <v/>
      </c>
      <c r="AM2769" s="44">
        <f>AM2751*Settings!$C$13*(INDEX(AM$407:AM$418,$D2769)+INDEX(AM$394:AM$405,$D2769)+AM2724*(1+$E2769))</f>
        <v/>
      </c>
      <c r="AN2769" s="44">
        <f>AN2751*Settings!$C$13*(INDEX(AN$407:AN$418,$D2769)+INDEX(AN$394:AN$405,$D2769)+AN2724*(1+$E2769))</f>
        <v/>
      </c>
      <c r="AO2769" s="44">
        <f>AO2751*Settings!$C$13*(INDEX(AO$407:AO$418,$D2769)+INDEX(AO$394:AO$405,$D2769)+AO2724*(1+$E2769))</f>
        <v/>
      </c>
      <c r="AP2769" s="44">
        <f>AP2751*Settings!$C$13*(INDEX(AP$407:AP$418,$D2769)+INDEX(AP$394:AP$405,$D2769)+AP2724*(1+$E2769))</f>
        <v/>
      </c>
      <c r="AQ2769" s="44">
        <f>AQ2751*Settings!$C$13*(INDEX(AQ$407:AQ$418,$D2769)+INDEX(AQ$394:AQ$405,$D2769)+AQ2724*(1+$E2769))</f>
        <v/>
      </c>
      <c r="AR2769" s="44">
        <f>AR2751*Settings!$C$13*(INDEX(AR$407:AR$418,$D2769)+INDEX(AR$394:AR$405,$D2769)+AR2724*(1+$E2769))</f>
        <v/>
      </c>
      <c r="AS2769" s="44">
        <f>AS2751*Settings!$C$13*(INDEX(AS$407:AS$418,$D2769)+INDEX(AS$394:AS$405,$D2769)+AS2724*(1+$E2769))</f>
        <v/>
      </c>
      <c r="AT2769" s="44">
        <f>AT2751*Settings!$C$13*(INDEX(AT$407:AT$418,$D2769)+INDEX(AT$394:AT$405,$D2769)+AT2724*(1+$E2769))</f>
        <v/>
      </c>
      <c r="AU2769" s="44">
        <f>AU2751*Settings!$C$13*(INDEX(AU$407:AU$418,$D2769)+INDEX(AU$394:AU$405,$D2769)+AU2724*(1+$E2769))</f>
        <v/>
      </c>
      <c r="AV2769" s="44">
        <f>AV2751*Settings!$C$13*(INDEX(AV$407:AV$418,$D2769)+INDEX(AV$394:AV$405,$D2769)+AV2724*(1+$E2769))</f>
        <v/>
      </c>
      <c r="AW2769" s="44">
        <f>AW2751*Settings!$C$13*(INDEX(AW$407:AW$418,$D2769)+INDEX(AW$394:AW$405,$D2769)+AW2724*(1+$E2769))</f>
        <v/>
      </c>
      <c r="AX2769" s="44">
        <f>AX2751*Settings!$C$13*(INDEX(AX$407:AX$418,$D2769)+INDEX(AX$394:AX$405,$D2769)+AX2724*(1+$E2769))</f>
        <v/>
      </c>
      <c r="AY2769" s="44">
        <f>AY2751*Settings!$C$13*(INDEX(AY$407:AY$418,$D2769)+INDEX(AY$394:AY$405,$D2769)+AY2724*(1+$E2769))</f>
        <v/>
      </c>
      <c r="AZ2769" s="44">
        <f>AZ2751*Settings!$C$13*(INDEX(AZ$407:AZ$418,$D2769)+INDEX(AZ$394:AZ$405,$D2769)+AZ2724*(1+$E2769))</f>
        <v/>
      </c>
      <c r="BA2769" s="57">
        <f>REVENUE(BA2751,Settings!$C$13,INDEX(BA$407:BA$418,$D2769)+INDEX(BA$394:BA$405,$D2769)+BA2724*(1+$E2769))</f>
        <v/>
      </c>
    </row>
    <row r="2770" hidden="1" outlineLevel="2">
      <c r="A2770" s="14" t="inlineStr">
        <is>
          <t>rtx</t>
        </is>
      </c>
      <c r="B2770" s="14" t="inlineStr">
        <is>
          <t>die</t>
        </is>
      </c>
      <c r="C2770" s="14" t="inlineStr">
        <is>
          <t>cst</t>
        </is>
      </c>
      <c r="D2770" s="35">
        <f>INDEX(Inputs!$U$5:$U$132,MATCH($B2770&amp;"|"&amp;$C2770,Inputs!$A$5:$A$132,0))</f>
        <v/>
      </c>
      <c r="E2770" s="35">
        <f>INDEX(Inputs!$V$5:$V$132,MATCH($B2770&amp;"|"&amp;$C2770,Inputs!$A$5:$A$132,0))</f>
        <v/>
      </c>
      <c r="F2770" s="39" t="n"/>
      <c r="G2770" s="39" t="n"/>
      <c r="H2770" s="14">
        <f>INDEX(VarLab,MATCH($A2770,VarKey,0))&amp;INDEX(MemLab,MATCH($C2770&amp;"|"&amp;$B2770,MemKey,0))</f>
        <v/>
      </c>
      <c r="I2770" s="14">
        <f>INDEX(VarUnit,MATCH($A2770,VarKey,0))</f>
        <v/>
      </c>
      <c r="J2770" s="14">
        <f>INDEX(VarSrc,MATCH($A2770,VarKey,0))</f>
        <v/>
      </c>
      <c r="K2770" s="11">
        <f>CodePrefix&amp;$A2770&amp;IF($C2770="","","."&amp;$C2770&amp;"."&amp;$B2770)&amp;INDEX(VarEnd,MATCH($A2770,VarKey,0))&amp;K$5</f>
        <v/>
      </c>
      <c r="L2770" s="43">
        <f>L2752*Settings!$C$13*(INDEX(L$407:L$418,$D2770)+INDEX(L$394:L$405,$D2770)+L2725*(1+$E2770))</f>
        <v/>
      </c>
      <c r="M2770" s="44">
        <f>M2752*Settings!$C$13*(INDEX(M$407:M$418,$D2770)+INDEX(M$394:M$405,$D2770)+M2725*(1+$E2770))</f>
        <v/>
      </c>
      <c r="N2770" s="44">
        <f>N2752*Settings!$C$13*(INDEX(N$407:N$418,$D2770)+INDEX(N$394:N$405,$D2770)+N2725*(1+$E2770))</f>
        <v/>
      </c>
      <c r="O2770" s="44">
        <f>O2752*Settings!$C$13*(INDEX(O$407:O$418,$D2770)+INDEX(O$394:O$405,$D2770)+O2725*(1+$E2770))</f>
        <v/>
      </c>
      <c r="P2770" s="44">
        <f>P2752*Settings!$C$13*(INDEX(P$407:P$418,$D2770)+INDEX(P$394:P$405,$D2770)+P2725*(1+$E2770))</f>
        <v/>
      </c>
      <c r="Q2770" s="44">
        <f>Q2752*Settings!$C$13*(INDEX(Q$407:Q$418,$D2770)+INDEX(Q$394:Q$405,$D2770)+Q2725*(1+$E2770))</f>
        <v/>
      </c>
      <c r="R2770" s="44">
        <f>R2752*Settings!$C$13*(INDEX(R$407:R$418,$D2770)+INDEX(R$394:R$405,$D2770)+R2725*(1+$E2770))</f>
        <v/>
      </c>
      <c r="S2770" s="44">
        <f>S2752*Settings!$C$13*(INDEX(S$407:S$418,$D2770)+INDEX(S$394:S$405,$D2770)+S2725*(1+$E2770))</f>
        <v/>
      </c>
      <c r="T2770" s="44">
        <f>T2752*Settings!$C$13*(INDEX(T$407:T$418,$D2770)+INDEX(T$394:T$405,$D2770)+T2725*(1+$E2770))</f>
        <v/>
      </c>
      <c r="U2770" s="44">
        <f>U2752*Settings!$C$13*(INDEX(U$407:U$418,$D2770)+INDEX(U$394:U$405,$D2770)+U2725*(1+$E2770))</f>
        <v/>
      </c>
      <c r="V2770" s="44">
        <f>V2752*Settings!$C$13*(INDEX(V$407:V$418,$D2770)+INDEX(V$394:V$405,$D2770)+V2725*(1+$E2770))</f>
        <v/>
      </c>
      <c r="W2770" s="44">
        <f>W2752*Settings!$C$13*(INDEX(W$407:W$418,$D2770)+INDEX(W$394:W$405,$D2770)+W2725*(1+$E2770))</f>
        <v/>
      </c>
      <c r="X2770" s="44">
        <f>X2752*Settings!$C$13*(INDEX(X$407:X$418,$D2770)+INDEX(X$394:X$405,$D2770)+X2725*(1+$E2770))</f>
        <v/>
      </c>
      <c r="Y2770" s="44">
        <f>Y2752*Settings!$C$13*(INDEX(Y$407:Y$418,$D2770)+INDEX(Y$394:Y$405,$D2770)+Y2725*(1+$E2770))</f>
        <v/>
      </c>
      <c r="Z2770" s="44">
        <f>Z2752*Settings!$C$13*(INDEX(Z$407:Z$418,$D2770)+INDEX(Z$394:Z$405,$D2770)+Z2725*(1+$E2770))</f>
        <v/>
      </c>
      <c r="AA2770" s="44">
        <f>AA2752*Settings!$C$13*(INDEX(AA$407:AA$418,$D2770)+INDEX(AA$394:AA$405,$D2770)+AA2725*(1+$E2770))</f>
        <v/>
      </c>
      <c r="AB2770" s="44">
        <f>AB2752*Settings!$C$13*(INDEX(AB$407:AB$418,$D2770)+INDEX(AB$394:AB$405,$D2770)+AB2725*(1+$E2770))</f>
        <v/>
      </c>
      <c r="AC2770" s="44">
        <f>AC2752*Settings!$C$13*(INDEX(AC$407:AC$418,$D2770)+INDEX(AC$394:AC$405,$D2770)+AC2725*(1+$E2770))</f>
        <v/>
      </c>
      <c r="AD2770" s="44">
        <f>AD2752*Settings!$C$13*(INDEX(AD$407:AD$418,$D2770)+INDEX(AD$394:AD$405,$D2770)+AD2725*(1+$E2770))</f>
        <v/>
      </c>
      <c r="AE2770" s="57">
        <f>REVENUE(AE2752,Settings!$C$13,INDEX(AE$407:AE$418,$D2770)+INDEX(AE$394:AE$405,$D2770)+AE2725*(1+$E2770))</f>
        <v/>
      </c>
      <c r="AG2770" s="11">
        <f>CodePrefix&amp;$A2770&amp;IF($C2770="","","."&amp;$C2770&amp;"."&amp;$B2770)&amp;INDEX(VarEnd,MATCH($A2770,VarKey,0))&amp;AG$5</f>
        <v/>
      </c>
      <c r="AH2770" s="43">
        <f>AH2752*Settings!$C$13*(INDEX(AH$407:AH$418,$D2770)+INDEX(AH$394:AH$405,$D2770)+AH2725*(1+$E2770))</f>
        <v/>
      </c>
      <c r="AI2770" s="44">
        <f>AI2752*Settings!$C$13*(INDEX(AI$407:AI$418,$D2770)+INDEX(AI$394:AI$405,$D2770)+AI2725*(1+$E2770))</f>
        <v/>
      </c>
      <c r="AJ2770" s="44">
        <f>AJ2752*Settings!$C$13*(INDEX(AJ$407:AJ$418,$D2770)+INDEX(AJ$394:AJ$405,$D2770)+AJ2725*(1+$E2770))</f>
        <v/>
      </c>
      <c r="AK2770" s="44">
        <f>AK2752*Settings!$C$13*(INDEX(AK$407:AK$418,$D2770)+INDEX(AK$394:AK$405,$D2770)+AK2725*(1+$E2770))</f>
        <v/>
      </c>
      <c r="AL2770" s="44">
        <f>AL2752*Settings!$C$13*(INDEX(AL$407:AL$418,$D2770)+INDEX(AL$394:AL$405,$D2770)+AL2725*(1+$E2770))</f>
        <v/>
      </c>
      <c r="AM2770" s="44">
        <f>AM2752*Settings!$C$13*(INDEX(AM$407:AM$418,$D2770)+INDEX(AM$394:AM$405,$D2770)+AM2725*(1+$E2770))</f>
        <v/>
      </c>
      <c r="AN2770" s="44">
        <f>AN2752*Settings!$C$13*(INDEX(AN$407:AN$418,$D2770)+INDEX(AN$394:AN$405,$D2770)+AN2725*(1+$E2770))</f>
        <v/>
      </c>
      <c r="AO2770" s="44">
        <f>AO2752*Settings!$C$13*(INDEX(AO$407:AO$418,$D2770)+INDEX(AO$394:AO$405,$D2770)+AO2725*(1+$E2770))</f>
        <v/>
      </c>
      <c r="AP2770" s="44">
        <f>AP2752*Settings!$C$13*(INDEX(AP$407:AP$418,$D2770)+INDEX(AP$394:AP$405,$D2770)+AP2725*(1+$E2770))</f>
        <v/>
      </c>
      <c r="AQ2770" s="44">
        <f>AQ2752*Settings!$C$13*(INDEX(AQ$407:AQ$418,$D2770)+INDEX(AQ$394:AQ$405,$D2770)+AQ2725*(1+$E2770))</f>
        <v/>
      </c>
      <c r="AR2770" s="44">
        <f>AR2752*Settings!$C$13*(INDEX(AR$407:AR$418,$D2770)+INDEX(AR$394:AR$405,$D2770)+AR2725*(1+$E2770))</f>
        <v/>
      </c>
      <c r="AS2770" s="44">
        <f>AS2752*Settings!$C$13*(INDEX(AS$407:AS$418,$D2770)+INDEX(AS$394:AS$405,$D2770)+AS2725*(1+$E2770))</f>
        <v/>
      </c>
      <c r="AT2770" s="44">
        <f>AT2752*Settings!$C$13*(INDEX(AT$407:AT$418,$D2770)+INDEX(AT$394:AT$405,$D2770)+AT2725*(1+$E2770))</f>
        <v/>
      </c>
      <c r="AU2770" s="44">
        <f>AU2752*Settings!$C$13*(INDEX(AU$407:AU$418,$D2770)+INDEX(AU$394:AU$405,$D2770)+AU2725*(1+$E2770))</f>
        <v/>
      </c>
      <c r="AV2770" s="44">
        <f>AV2752*Settings!$C$13*(INDEX(AV$407:AV$418,$D2770)+INDEX(AV$394:AV$405,$D2770)+AV2725*(1+$E2770))</f>
        <v/>
      </c>
      <c r="AW2770" s="44">
        <f>AW2752*Settings!$C$13*(INDEX(AW$407:AW$418,$D2770)+INDEX(AW$394:AW$405,$D2770)+AW2725*(1+$E2770))</f>
        <v/>
      </c>
      <c r="AX2770" s="44">
        <f>AX2752*Settings!$C$13*(INDEX(AX$407:AX$418,$D2770)+INDEX(AX$394:AX$405,$D2770)+AX2725*(1+$E2770))</f>
        <v/>
      </c>
      <c r="AY2770" s="44">
        <f>AY2752*Settings!$C$13*(INDEX(AY$407:AY$418,$D2770)+INDEX(AY$394:AY$405,$D2770)+AY2725*(1+$E2770))</f>
        <v/>
      </c>
      <c r="AZ2770" s="44">
        <f>AZ2752*Settings!$C$13*(INDEX(AZ$407:AZ$418,$D2770)+INDEX(AZ$394:AZ$405,$D2770)+AZ2725*(1+$E2770))</f>
        <v/>
      </c>
      <c r="BA2770" s="57">
        <f>REVENUE(BA2752,Settings!$C$13,INDEX(BA$407:BA$418,$D2770)+INDEX(BA$394:BA$405,$D2770)+BA2725*(1+$E2770))</f>
        <v/>
      </c>
    </row>
    <row r="2771" hidden="1" outlineLevel="2">
      <c r="A2771" s="14" t="inlineStr">
        <is>
          <t>rtx</t>
        </is>
      </c>
      <c r="B2771" s="14" t="inlineStr">
        <is>
          <t>lpg</t>
        </is>
      </c>
      <c r="C2771" s="14" t="inlineStr">
        <is>
          <t>cst</t>
        </is>
      </c>
      <c r="D2771" s="35">
        <f>INDEX(Inputs!$U$5:$U$132,MATCH($B2771&amp;"|"&amp;$C2771,Inputs!$A$5:$A$132,0))</f>
        <v/>
      </c>
      <c r="E2771" s="35">
        <f>INDEX(Inputs!$V$5:$V$132,MATCH($B2771&amp;"|"&amp;$C2771,Inputs!$A$5:$A$132,0))</f>
        <v/>
      </c>
      <c r="F2771" s="39" t="n"/>
      <c r="G2771" s="39" t="n"/>
      <c r="H2771" s="14">
        <f>INDEX(VarLab,MATCH($A2771,VarKey,0))&amp;INDEX(MemLab,MATCH($C2771&amp;"|"&amp;$B2771,MemKey,0))</f>
        <v/>
      </c>
      <c r="I2771" s="14">
        <f>INDEX(VarUnit,MATCH($A2771,VarKey,0))</f>
        <v/>
      </c>
      <c r="J2771" s="14">
        <f>INDEX(VarSrc,MATCH($A2771,VarKey,0))</f>
        <v/>
      </c>
      <c r="K2771" s="11">
        <f>CodePrefix&amp;$A2771&amp;IF($C2771="","","."&amp;$C2771&amp;"."&amp;$B2771)&amp;INDEX(VarEnd,MATCH($A2771,VarKey,0))&amp;K$5</f>
        <v/>
      </c>
      <c r="L2771" s="43">
        <f>L2753*Settings!$C$13*(INDEX(L$407:L$418,$D2771)+INDEX(L$394:L$405,$D2771)+L2726*(1+$E2771))</f>
        <v/>
      </c>
      <c r="M2771" s="44">
        <f>M2753*Settings!$C$13*(INDEX(M$407:M$418,$D2771)+INDEX(M$394:M$405,$D2771)+M2726*(1+$E2771))</f>
        <v/>
      </c>
      <c r="N2771" s="44">
        <f>N2753*Settings!$C$13*(INDEX(N$407:N$418,$D2771)+INDEX(N$394:N$405,$D2771)+N2726*(1+$E2771))</f>
        <v/>
      </c>
      <c r="O2771" s="44">
        <f>O2753*Settings!$C$13*(INDEX(O$407:O$418,$D2771)+INDEX(O$394:O$405,$D2771)+O2726*(1+$E2771))</f>
        <v/>
      </c>
      <c r="P2771" s="44">
        <f>P2753*Settings!$C$13*(INDEX(P$407:P$418,$D2771)+INDEX(P$394:P$405,$D2771)+P2726*(1+$E2771))</f>
        <v/>
      </c>
      <c r="Q2771" s="44">
        <f>Q2753*Settings!$C$13*(INDEX(Q$407:Q$418,$D2771)+INDEX(Q$394:Q$405,$D2771)+Q2726*(1+$E2771))</f>
        <v/>
      </c>
      <c r="R2771" s="44">
        <f>R2753*Settings!$C$13*(INDEX(R$407:R$418,$D2771)+INDEX(R$394:R$405,$D2771)+R2726*(1+$E2771))</f>
        <v/>
      </c>
      <c r="S2771" s="44">
        <f>S2753*Settings!$C$13*(INDEX(S$407:S$418,$D2771)+INDEX(S$394:S$405,$D2771)+S2726*(1+$E2771))</f>
        <v/>
      </c>
      <c r="T2771" s="44">
        <f>T2753*Settings!$C$13*(INDEX(T$407:T$418,$D2771)+INDEX(T$394:T$405,$D2771)+T2726*(1+$E2771))</f>
        <v/>
      </c>
      <c r="U2771" s="44">
        <f>U2753*Settings!$C$13*(INDEX(U$407:U$418,$D2771)+INDEX(U$394:U$405,$D2771)+U2726*(1+$E2771))</f>
        <v/>
      </c>
      <c r="V2771" s="44">
        <f>V2753*Settings!$C$13*(INDEX(V$407:V$418,$D2771)+INDEX(V$394:V$405,$D2771)+V2726*(1+$E2771))</f>
        <v/>
      </c>
      <c r="W2771" s="44">
        <f>W2753*Settings!$C$13*(INDEX(W$407:W$418,$D2771)+INDEX(W$394:W$405,$D2771)+W2726*(1+$E2771))</f>
        <v/>
      </c>
      <c r="X2771" s="44">
        <f>X2753*Settings!$C$13*(INDEX(X$407:X$418,$D2771)+INDEX(X$394:X$405,$D2771)+X2726*(1+$E2771))</f>
        <v/>
      </c>
      <c r="Y2771" s="44">
        <f>Y2753*Settings!$C$13*(INDEX(Y$407:Y$418,$D2771)+INDEX(Y$394:Y$405,$D2771)+Y2726*(1+$E2771))</f>
        <v/>
      </c>
      <c r="Z2771" s="44">
        <f>Z2753*Settings!$C$13*(INDEX(Z$407:Z$418,$D2771)+INDEX(Z$394:Z$405,$D2771)+Z2726*(1+$E2771))</f>
        <v/>
      </c>
      <c r="AA2771" s="44">
        <f>AA2753*Settings!$C$13*(INDEX(AA$407:AA$418,$D2771)+INDEX(AA$394:AA$405,$D2771)+AA2726*(1+$E2771))</f>
        <v/>
      </c>
      <c r="AB2771" s="44">
        <f>AB2753*Settings!$C$13*(INDEX(AB$407:AB$418,$D2771)+INDEX(AB$394:AB$405,$D2771)+AB2726*(1+$E2771))</f>
        <v/>
      </c>
      <c r="AC2771" s="44">
        <f>AC2753*Settings!$C$13*(INDEX(AC$407:AC$418,$D2771)+INDEX(AC$394:AC$405,$D2771)+AC2726*(1+$E2771))</f>
        <v/>
      </c>
      <c r="AD2771" s="44">
        <f>AD2753*Settings!$C$13*(INDEX(AD$407:AD$418,$D2771)+INDEX(AD$394:AD$405,$D2771)+AD2726*(1+$E2771))</f>
        <v/>
      </c>
      <c r="AE2771" s="57">
        <f>REVENUE(AE2753,Settings!$C$13,INDEX(AE$407:AE$418,$D2771)+INDEX(AE$394:AE$405,$D2771)+AE2726*(1+$E2771))</f>
        <v/>
      </c>
      <c r="AG2771" s="11">
        <f>CodePrefix&amp;$A2771&amp;IF($C2771="","","."&amp;$C2771&amp;"."&amp;$B2771)&amp;INDEX(VarEnd,MATCH($A2771,VarKey,0))&amp;AG$5</f>
        <v/>
      </c>
      <c r="AH2771" s="43">
        <f>AH2753*Settings!$C$13*(INDEX(AH$407:AH$418,$D2771)+INDEX(AH$394:AH$405,$D2771)+AH2726*(1+$E2771))</f>
        <v/>
      </c>
      <c r="AI2771" s="44">
        <f>AI2753*Settings!$C$13*(INDEX(AI$407:AI$418,$D2771)+INDEX(AI$394:AI$405,$D2771)+AI2726*(1+$E2771))</f>
        <v/>
      </c>
      <c r="AJ2771" s="44">
        <f>AJ2753*Settings!$C$13*(INDEX(AJ$407:AJ$418,$D2771)+INDEX(AJ$394:AJ$405,$D2771)+AJ2726*(1+$E2771))</f>
        <v/>
      </c>
      <c r="AK2771" s="44">
        <f>AK2753*Settings!$C$13*(INDEX(AK$407:AK$418,$D2771)+INDEX(AK$394:AK$405,$D2771)+AK2726*(1+$E2771))</f>
        <v/>
      </c>
      <c r="AL2771" s="44">
        <f>AL2753*Settings!$C$13*(INDEX(AL$407:AL$418,$D2771)+INDEX(AL$394:AL$405,$D2771)+AL2726*(1+$E2771))</f>
        <v/>
      </c>
      <c r="AM2771" s="44">
        <f>AM2753*Settings!$C$13*(INDEX(AM$407:AM$418,$D2771)+INDEX(AM$394:AM$405,$D2771)+AM2726*(1+$E2771))</f>
        <v/>
      </c>
      <c r="AN2771" s="44">
        <f>AN2753*Settings!$C$13*(INDEX(AN$407:AN$418,$D2771)+INDEX(AN$394:AN$405,$D2771)+AN2726*(1+$E2771))</f>
        <v/>
      </c>
      <c r="AO2771" s="44">
        <f>AO2753*Settings!$C$13*(INDEX(AO$407:AO$418,$D2771)+INDEX(AO$394:AO$405,$D2771)+AO2726*(1+$E2771))</f>
        <v/>
      </c>
      <c r="AP2771" s="44">
        <f>AP2753*Settings!$C$13*(INDEX(AP$407:AP$418,$D2771)+INDEX(AP$394:AP$405,$D2771)+AP2726*(1+$E2771))</f>
        <v/>
      </c>
      <c r="AQ2771" s="44">
        <f>AQ2753*Settings!$C$13*(INDEX(AQ$407:AQ$418,$D2771)+INDEX(AQ$394:AQ$405,$D2771)+AQ2726*(1+$E2771))</f>
        <v/>
      </c>
      <c r="AR2771" s="44">
        <f>AR2753*Settings!$C$13*(INDEX(AR$407:AR$418,$D2771)+INDEX(AR$394:AR$405,$D2771)+AR2726*(1+$E2771))</f>
        <v/>
      </c>
      <c r="AS2771" s="44">
        <f>AS2753*Settings!$C$13*(INDEX(AS$407:AS$418,$D2771)+INDEX(AS$394:AS$405,$D2771)+AS2726*(1+$E2771))</f>
        <v/>
      </c>
      <c r="AT2771" s="44">
        <f>AT2753*Settings!$C$13*(INDEX(AT$407:AT$418,$D2771)+INDEX(AT$394:AT$405,$D2771)+AT2726*(1+$E2771))</f>
        <v/>
      </c>
      <c r="AU2771" s="44">
        <f>AU2753*Settings!$C$13*(INDEX(AU$407:AU$418,$D2771)+INDEX(AU$394:AU$405,$D2771)+AU2726*(1+$E2771))</f>
        <v/>
      </c>
      <c r="AV2771" s="44">
        <f>AV2753*Settings!$C$13*(INDEX(AV$407:AV$418,$D2771)+INDEX(AV$394:AV$405,$D2771)+AV2726*(1+$E2771))</f>
        <v/>
      </c>
      <c r="AW2771" s="44">
        <f>AW2753*Settings!$C$13*(INDEX(AW$407:AW$418,$D2771)+INDEX(AW$394:AW$405,$D2771)+AW2726*(1+$E2771))</f>
        <v/>
      </c>
      <c r="AX2771" s="44">
        <f>AX2753*Settings!$C$13*(INDEX(AX$407:AX$418,$D2771)+INDEX(AX$394:AX$405,$D2771)+AX2726*(1+$E2771))</f>
        <v/>
      </c>
      <c r="AY2771" s="44">
        <f>AY2753*Settings!$C$13*(INDEX(AY$407:AY$418,$D2771)+INDEX(AY$394:AY$405,$D2771)+AY2726*(1+$E2771))</f>
        <v/>
      </c>
      <c r="AZ2771" s="44">
        <f>AZ2753*Settings!$C$13*(INDEX(AZ$407:AZ$418,$D2771)+INDEX(AZ$394:AZ$405,$D2771)+AZ2726*(1+$E2771))</f>
        <v/>
      </c>
      <c r="BA2771" s="57">
        <f>REVENUE(BA2753,Settings!$C$13,INDEX(BA$407:BA$418,$D2771)+INDEX(BA$394:BA$405,$D2771)+BA2726*(1+$E2771))</f>
        <v/>
      </c>
    </row>
    <row r="2772" hidden="1" outlineLevel="2">
      <c r="A2772" s="14" t="inlineStr">
        <is>
          <t>rtx</t>
        </is>
      </c>
      <c r="B2772" s="14" t="inlineStr">
        <is>
          <t>ker</t>
        </is>
      </c>
      <c r="C2772" s="14" t="inlineStr">
        <is>
          <t>cst</t>
        </is>
      </c>
      <c r="D2772" s="35">
        <f>INDEX(Inputs!$U$5:$U$132,MATCH($B2772&amp;"|"&amp;$C2772,Inputs!$A$5:$A$132,0))</f>
        <v/>
      </c>
      <c r="E2772" s="35">
        <f>INDEX(Inputs!$V$5:$V$132,MATCH($B2772&amp;"|"&amp;$C2772,Inputs!$A$5:$A$132,0))</f>
        <v/>
      </c>
      <c r="F2772" s="39" t="n"/>
      <c r="G2772" s="39" t="n"/>
      <c r="H2772" s="14">
        <f>INDEX(VarLab,MATCH($A2772,VarKey,0))&amp;INDEX(MemLab,MATCH($C2772&amp;"|"&amp;$B2772,MemKey,0))</f>
        <v/>
      </c>
      <c r="I2772" s="14">
        <f>INDEX(VarUnit,MATCH($A2772,VarKey,0))</f>
        <v/>
      </c>
      <c r="J2772" s="14">
        <f>INDEX(VarSrc,MATCH($A2772,VarKey,0))</f>
        <v/>
      </c>
      <c r="K2772" s="11">
        <f>CodePrefix&amp;$A2772&amp;IF($C2772="","","."&amp;$C2772&amp;"."&amp;$B2772)&amp;INDEX(VarEnd,MATCH($A2772,VarKey,0))&amp;K$5</f>
        <v/>
      </c>
      <c r="L2772" s="43">
        <f>L2754*Settings!$C$13*(INDEX(L$407:L$418,$D2772)+INDEX(L$394:L$405,$D2772)+L2727*(1+$E2772))</f>
        <v/>
      </c>
      <c r="M2772" s="44">
        <f>M2754*Settings!$C$13*(INDEX(M$407:M$418,$D2772)+INDEX(M$394:M$405,$D2772)+M2727*(1+$E2772))</f>
        <v/>
      </c>
      <c r="N2772" s="44">
        <f>N2754*Settings!$C$13*(INDEX(N$407:N$418,$D2772)+INDEX(N$394:N$405,$D2772)+N2727*(1+$E2772))</f>
        <v/>
      </c>
      <c r="O2772" s="44">
        <f>O2754*Settings!$C$13*(INDEX(O$407:O$418,$D2772)+INDEX(O$394:O$405,$D2772)+O2727*(1+$E2772))</f>
        <v/>
      </c>
      <c r="P2772" s="44">
        <f>P2754*Settings!$C$13*(INDEX(P$407:P$418,$D2772)+INDEX(P$394:P$405,$D2772)+P2727*(1+$E2772))</f>
        <v/>
      </c>
      <c r="Q2772" s="44">
        <f>Q2754*Settings!$C$13*(INDEX(Q$407:Q$418,$D2772)+INDEX(Q$394:Q$405,$D2772)+Q2727*(1+$E2772))</f>
        <v/>
      </c>
      <c r="R2772" s="44">
        <f>R2754*Settings!$C$13*(INDEX(R$407:R$418,$D2772)+INDEX(R$394:R$405,$D2772)+R2727*(1+$E2772))</f>
        <v/>
      </c>
      <c r="S2772" s="44">
        <f>S2754*Settings!$C$13*(INDEX(S$407:S$418,$D2772)+INDEX(S$394:S$405,$D2772)+S2727*(1+$E2772))</f>
        <v/>
      </c>
      <c r="T2772" s="44">
        <f>T2754*Settings!$C$13*(INDEX(T$407:T$418,$D2772)+INDEX(T$394:T$405,$D2772)+T2727*(1+$E2772))</f>
        <v/>
      </c>
      <c r="U2772" s="44">
        <f>U2754*Settings!$C$13*(INDEX(U$407:U$418,$D2772)+INDEX(U$394:U$405,$D2772)+U2727*(1+$E2772))</f>
        <v/>
      </c>
      <c r="V2772" s="44">
        <f>V2754*Settings!$C$13*(INDEX(V$407:V$418,$D2772)+INDEX(V$394:V$405,$D2772)+V2727*(1+$E2772))</f>
        <v/>
      </c>
      <c r="W2772" s="44">
        <f>W2754*Settings!$C$13*(INDEX(W$407:W$418,$D2772)+INDEX(W$394:W$405,$D2772)+W2727*(1+$E2772))</f>
        <v/>
      </c>
      <c r="X2772" s="44">
        <f>X2754*Settings!$C$13*(INDEX(X$407:X$418,$D2772)+INDEX(X$394:X$405,$D2772)+X2727*(1+$E2772))</f>
        <v/>
      </c>
      <c r="Y2772" s="44">
        <f>Y2754*Settings!$C$13*(INDEX(Y$407:Y$418,$D2772)+INDEX(Y$394:Y$405,$D2772)+Y2727*(1+$E2772))</f>
        <v/>
      </c>
      <c r="Z2772" s="44">
        <f>Z2754*Settings!$C$13*(INDEX(Z$407:Z$418,$D2772)+INDEX(Z$394:Z$405,$D2772)+Z2727*(1+$E2772))</f>
        <v/>
      </c>
      <c r="AA2772" s="44">
        <f>AA2754*Settings!$C$13*(INDEX(AA$407:AA$418,$D2772)+INDEX(AA$394:AA$405,$D2772)+AA2727*(1+$E2772))</f>
        <v/>
      </c>
      <c r="AB2772" s="44">
        <f>AB2754*Settings!$C$13*(INDEX(AB$407:AB$418,$D2772)+INDEX(AB$394:AB$405,$D2772)+AB2727*(1+$E2772))</f>
        <v/>
      </c>
      <c r="AC2772" s="44">
        <f>AC2754*Settings!$C$13*(INDEX(AC$407:AC$418,$D2772)+INDEX(AC$394:AC$405,$D2772)+AC2727*(1+$E2772))</f>
        <v/>
      </c>
      <c r="AD2772" s="44">
        <f>AD2754*Settings!$C$13*(INDEX(AD$407:AD$418,$D2772)+INDEX(AD$394:AD$405,$D2772)+AD2727*(1+$E2772))</f>
        <v/>
      </c>
      <c r="AE2772" s="57">
        <f>REVENUE(AE2754,Settings!$C$13,INDEX(AE$407:AE$418,$D2772)+INDEX(AE$394:AE$405,$D2772)+AE2727*(1+$E2772))</f>
        <v/>
      </c>
      <c r="AG2772" s="11">
        <f>CodePrefix&amp;$A2772&amp;IF($C2772="","","."&amp;$C2772&amp;"."&amp;$B2772)&amp;INDEX(VarEnd,MATCH($A2772,VarKey,0))&amp;AG$5</f>
        <v/>
      </c>
      <c r="AH2772" s="43">
        <f>AH2754*Settings!$C$13*(INDEX(AH$407:AH$418,$D2772)+INDEX(AH$394:AH$405,$D2772)+AH2727*(1+$E2772))</f>
        <v/>
      </c>
      <c r="AI2772" s="44">
        <f>AI2754*Settings!$C$13*(INDEX(AI$407:AI$418,$D2772)+INDEX(AI$394:AI$405,$D2772)+AI2727*(1+$E2772))</f>
        <v/>
      </c>
      <c r="AJ2772" s="44">
        <f>AJ2754*Settings!$C$13*(INDEX(AJ$407:AJ$418,$D2772)+INDEX(AJ$394:AJ$405,$D2772)+AJ2727*(1+$E2772))</f>
        <v/>
      </c>
      <c r="AK2772" s="44">
        <f>AK2754*Settings!$C$13*(INDEX(AK$407:AK$418,$D2772)+INDEX(AK$394:AK$405,$D2772)+AK2727*(1+$E2772))</f>
        <v/>
      </c>
      <c r="AL2772" s="44">
        <f>AL2754*Settings!$C$13*(INDEX(AL$407:AL$418,$D2772)+INDEX(AL$394:AL$405,$D2772)+AL2727*(1+$E2772))</f>
        <v/>
      </c>
      <c r="AM2772" s="44">
        <f>AM2754*Settings!$C$13*(INDEX(AM$407:AM$418,$D2772)+INDEX(AM$394:AM$405,$D2772)+AM2727*(1+$E2772))</f>
        <v/>
      </c>
      <c r="AN2772" s="44">
        <f>AN2754*Settings!$C$13*(INDEX(AN$407:AN$418,$D2772)+INDEX(AN$394:AN$405,$D2772)+AN2727*(1+$E2772))</f>
        <v/>
      </c>
      <c r="AO2772" s="44">
        <f>AO2754*Settings!$C$13*(INDEX(AO$407:AO$418,$D2772)+INDEX(AO$394:AO$405,$D2772)+AO2727*(1+$E2772))</f>
        <v/>
      </c>
      <c r="AP2772" s="44">
        <f>AP2754*Settings!$C$13*(INDEX(AP$407:AP$418,$D2772)+INDEX(AP$394:AP$405,$D2772)+AP2727*(1+$E2772))</f>
        <v/>
      </c>
      <c r="AQ2772" s="44">
        <f>AQ2754*Settings!$C$13*(INDEX(AQ$407:AQ$418,$D2772)+INDEX(AQ$394:AQ$405,$D2772)+AQ2727*(1+$E2772))</f>
        <v/>
      </c>
      <c r="AR2772" s="44">
        <f>AR2754*Settings!$C$13*(INDEX(AR$407:AR$418,$D2772)+INDEX(AR$394:AR$405,$D2772)+AR2727*(1+$E2772))</f>
        <v/>
      </c>
      <c r="AS2772" s="44">
        <f>AS2754*Settings!$C$13*(INDEX(AS$407:AS$418,$D2772)+INDEX(AS$394:AS$405,$D2772)+AS2727*(1+$E2772))</f>
        <v/>
      </c>
      <c r="AT2772" s="44">
        <f>AT2754*Settings!$C$13*(INDEX(AT$407:AT$418,$D2772)+INDEX(AT$394:AT$405,$D2772)+AT2727*(1+$E2772))</f>
        <v/>
      </c>
      <c r="AU2772" s="44">
        <f>AU2754*Settings!$C$13*(INDEX(AU$407:AU$418,$D2772)+INDEX(AU$394:AU$405,$D2772)+AU2727*(1+$E2772))</f>
        <v/>
      </c>
      <c r="AV2772" s="44">
        <f>AV2754*Settings!$C$13*(INDEX(AV$407:AV$418,$D2772)+INDEX(AV$394:AV$405,$D2772)+AV2727*(1+$E2772))</f>
        <v/>
      </c>
      <c r="AW2772" s="44">
        <f>AW2754*Settings!$C$13*(INDEX(AW$407:AW$418,$D2772)+INDEX(AW$394:AW$405,$D2772)+AW2727*(1+$E2772))</f>
        <v/>
      </c>
      <c r="AX2772" s="44">
        <f>AX2754*Settings!$C$13*(INDEX(AX$407:AX$418,$D2772)+INDEX(AX$394:AX$405,$D2772)+AX2727*(1+$E2772))</f>
        <v/>
      </c>
      <c r="AY2772" s="44">
        <f>AY2754*Settings!$C$13*(INDEX(AY$407:AY$418,$D2772)+INDEX(AY$394:AY$405,$D2772)+AY2727*(1+$E2772))</f>
        <v/>
      </c>
      <c r="AZ2772" s="44">
        <f>AZ2754*Settings!$C$13*(INDEX(AZ$407:AZ$418,$D2772)+INDEX(AZ$394:AZ$405,$D2772)+AZ2727*(1+$E2772))</f>
        <v/>
      </c>
      <c r="BA2772" s="57">
        <f>REVENUE(BA2754,Settings!$C$13,INDEX(BA$407:BA$418,$D2772)+INDEX(BA$394:BA$405,$D2772)+BA2727*(1+$E2772))</f>
        <v/>
      </c>
    </row>
    <row r="2773" hidden="1" outlineLevel="2">
      <c r="A2773" s="14" t="inlineStr">
        <is>
          <t>rtx</t>
        </is>
      </c>
      <c r="B2773" s="14" t="inlineStr">
        <is>
          <t>oop</t>
        </is>
      </c>
      <c r="C2773" s="14" t="inlineStr">
        <is>
          <t>cst</t>
        </is>
      </c>
      <c r="D2773" s="35">
        <f>INDEX(Inputs!$U$5:$U$132,MATCH($B2773&amp;"|"&amp;$C2773,Inputs!$A$5:$A$132,0))</f>
        <v/>
      </c>
      <c r="E2773" s="35">
        <f>INDEX(Inputs!$V$5:$V$132,MATCH($B2773&amp;"|"&amp;$C2773,Inputs!$A$5:$A$132,0))</f>
        <v/>
      </c>
      <c r="F2773" s="39" t="n"/>
      <c r="G2773" s="39" t="n"/>
      <c r="H2773" s="14">
        <f>INDEX(VarLab,MATCH($A2773,VarKey,0))&amp;INDEX(MemLab,MATCH($C2773&amp;"|"&amp;$B2773,MemKey,0))</f>
        <v/>
      </c>
      <c r="I2773" s="14">
        <f>INDEX(VarUnit,MATCH($A2773,VarKey,0))</f>
        <v/>
      </c>
      <c r="J2773" s="14">
        <f>INDEX(VarSrc,MATCH($A2773,VarKey,0))</f>
        <v/>
      </c>
      <c r="K2773" s="11">
        <f>CodePrefix&amp;$A2773&amp;IF($C2773="","","."&amp;$C2773&amp;"."&amp;$B2773)&amp;INDEX(VarEnd,MATCH($A2773,VarKey,0))&amp;K$5</f>
        <v/>
      </c>
      <c r="L2773" s="43">
        <f>L2755*Settings!$C$13*(INDEX(L$407:L$418,$D2773)+INDEX(L$394:L$405,$D2773)+L2728*(1+$E2773))</f>
        <v/>
      </c>
      <c r="M2773" s="44">
        <f>M2755*Settings!$C$13*(INDEX(M$407:M$418,$D2773)+INDEX(M$394:M$405,$D2773)+M2728*(1+$E2773))</f>
        <v/>
      </c>
      <c r="N2773" s="44">
        <f>N2755*Settings!$C$13*(INDEX(N$407:N$418,$D2773)+INDEX(N$394:N$405,$D2773)+N2728*(1+$E2773))</f>
        <v/>
      </c>
      <c r="O2773" s="44">
        <f>O2755*Settings!$C$13*(INDEX(O$407:O$418,$D2773)+INDEX(O$394:O$405,$D2773)+O2728*(1+$E2773))</f>
        <v/>
      </c>
      <c r="P2773" s="44">
        <f>P2755*Settings!$C$13*(INDEX(P$407:P$418,$D2773)+INDEX(P$394:P$405,$D2773)+P2728*(1+$E2773))</f>
        <v/>
      </c>
      <c r="Q2773" s="44">
        <f>Q2755*Settings!$C$13*(INDEX(Q$407:Q$418,$D2773)+INDEX(Q$394:Q$405,$D2773)+Q2728*(1+$E2773))</f>
        <v/>
      </c>
      <c r="R2773" s="44">
        <f>R2755*Settings!$C$13*(INDEX(R$407:R$418,$D2773)+INDEX(R$394:R$405,$D2773)+R2728*(1+$E2773))</f>
        <v/>
      </c>
      <c r="S2773" s="44">
        <f>S2755*Settings!$C$13*(INDEX(S$407:S$418,$D2773)+INDEX(S$394:S$405,$D2773)+S2728*(1+$E2773))</f>
        <v/>
      </c>
      <c r="T2773" s="44">
        <f>T2755*Settings!$C$13*(INDEX(T$407:T$418,$D2773)+INDEX(T$394:T$405,$D2773)+T2728*(1+$E2773))</f>
        <v/>
      </c>
      <c r="U2773" s="44">
        <f>U2755*Settings!$C$13*(INDEX(U$407:U$418,$D2773)+INDEX(U$394:U$405,$D2773)+U2728*(1+$E2773))</f>
        <v/>
      </c>
      <c r="V2773" s="44">
        <f>V2755*Settings!$C$13*(INDEX(V$407:V$418,$D2773)+INDEX(V$394:V$405,$D2773)+V2728*(1+$E2773))</f>
        <v/>
      </c>
      <c r="W2773" s="44">
        <f>W2755*Settings!$C$13*(INDEX(W$407:W$418,$D2773)+INDEX(W$394:W$405,$D2773)+W2728*(1+$E2773))</f>
        <v/>
      </c>
      <c r="X2773" s="44">
        <f>X2755*Settings!$C$13*(INDEX(X$407:X$418,$D2773)+INDEX(X$394:X$405,$D2773)+X2728*(1+$E2773))</f>
        <v/>
      </c>
      <c r="Y2773" s="44">
        <f>Y2755*Settings!$C$13*(INDEX(Y$407:Y$418,$D2773)+INDEX(Y$394:Y$405,$D2773)+Y2728*(1+$E2773))</f>
        <v/>
      </c>
      <c r="Z2773" s="44">
        <f>Z2755*Settings!$C$13*(INDEX(Z$407:Z$418,$D2773)+INDEX(Z$394:Z$405,$D2773)+Z2728*(1+$E2773))</f>
        <v/>
      </c>
      <c r="AA2773" s="44">
        <f>AA2755*Settings!$C$13*(INDEX(AA$407:AA$418,$D2773)+INDEX(AA$394:AA$405,$D2773)+AA2728*(1+$E2773))</f>
        <v/>
      </c>
      <c r="AB2773" s="44">
        <f>AB2755*Settings!$C$13*(INDEX(AB$407:AB$418,$D2773)+INDEX(AB$394:AB$405,$D2773)+AB2728*(1+$E2773))</f>
        <v/>
      </c>
      <c r="AC2773" s="44">
        <f>AC2755*Settings!$C$13*(INDEX(AC$407:AC$418,$D2773)+INDEX(AC$394:AC$405,$D2773)+AC2728*(1+$E2773))</f>
        <v/>
      </c>
      <c r="AD2773" s="44">
        <f>AD2755*Settings!$C$13*(INDEX(AD$407:AD$418,$D2773)+INDEX(AD$394:AD$405,$D2773)+AD2728*(1+$E2773))</f>
        <v/>
      </c>
      <c r="AE2773" s="57">
        <f>REVENUE(AE2755,Settings!$C$13,INDEX(AE$407:AE$418,$D2773)+INDEX(AE$394:AE$405,$D2773)+AE2728*(1+$E2773))</f>
        <v/>
      </c>
      <c r="AG2773" s="11">
        <f>CodePrefix&amp;$A2773&amp;IF($C2773="","","."&amp;$C2773&amp;"."&amp;$B2773)&amp;INDEX(VarEnd,MATCH($A2773,VarKey,0))&amp;AG$5</f>
        <v/>
      </c>
      <c r="AH2773" s="43">
        <f>AH2755*Settings!$C$13*(INDEX(AH$407:AH$418,$D2773)+INDEX(AH$394:AH$405,$D2773)+AH2728*(1+$E2773))</f>
        <v/>
      </c>
      <c r="AI2773" s="44">
        <f>AI2755*Settings!$C$13*(INDEX(AI$407:AI$418,$D2773)+INDEX(AI$394:AI$405,$D2773)+AI2728*(1+$E2773))</f>
        <v/>
      </c>
      <c r="AJ2773" s="44">
        <f>AJ2755*Settings!$C$13*(INDEX(AJ$407:AJ$418,$D2773)+INDEX(AJ$394:AJ$405,$D2773)+AJ2728*(1+$E2773))</f>
        <v/>
      </c>
      <c r="AK2773" s="44">
        <f>AK2755*Settings!$C$13*(INDEX(AK$407:AK$418,$D2773)+INDEX(AK$394:AK$405,$D2773)+AK2728*(1+$E2773))</f>
        <v/>
      </c>
      <c r="AL2773" s="44">
        <f>AL2755*Settings!$C$13*(INDEX(AL$407:AL$418,$D2773)+INDEX(AL$394:AL$405,$D2773)+AL2728*(1+$E2773))</f>
        <v/>
      </c>
      <c r="AM2773" s="44">
        <f>AM2755*Settings!$C$13*(INDEX(AM$407:AM$418,$D2773)+INDEX(AM$394:AM$405,$D2773)+AM2728*(1+$E2773))</f>
        <v/>
      </c>
      <c r="AN2773" s="44">
        <f>AN2755*Settings!$C$13*(INDEX(AN$407:AN$418,$D2773)+INDEX(AN$394:AN$405,$D2773)+AN2728*(1+$E2773))</f>
        <v/>
      </c>
      <c r="AO2773" s="44">
        <f>AO2755*Settings!$C$13*(INDEX(AO$407:AO$418,$D2773)+INDEX(AO$394:AO$405,$D2773)+AO2728*(1+$E2773))</f>
        <v/>
      </c>
      <c r="AP2773" s="44">
        <f>AP2755*Settings!$C$13*(INDEX(AP$407:AP$418,$D2773)+INDEX(AP$394:AP$405,$D2773)+AP2728*(1+$E2773))</f>
        <v/>
      </c>
      <c r="AQ2773" s="44">
        <f>AQ2755*Settings!$C$13*(INDEX(AQ$407:AQ$418,$D2773)+INDEX(AQ$394:AQ$405,$D2773)+AQ2728*(1+$E2773))</f>
        <v/>
      </c>
      <c r="AR2773" s="44">
        <f>AR2755*Settings!$C$13*(INDEX(AR$407:AR$418,$D2773)+INDEX(AR$394:AR$405,$D2773)+AR2728*(1+$E2773))</f>
        <v/>
      </c>
      <c r="AS2773" s="44">
        <f>AS2755*Settings!$C$13*(INDEX(AS$407:AS$418,$D2773)+INDEX(AS$394:AS$405,$D2773)+AS2728*(1+$E2773))</f>
        <v/>
      </c>
      <c r="AT2773" s="44">
        <f>AT2755*Settings!$C$13*(INDEX(AT$407:AT$418,$D2773)+INDEX(AT$394:AT$405,$D2773)+AT2728*(1+$E2773))</f>
        <v/>
      </c>
      <c r="AU2773" s="44">
        <f>AU2755*Settings!$C$13*(INDEX(AU$407:AU$418,$D2773)+INDEX(AU$394:AU$405,$D2773)+AU2728*(1+$E2773))</f>
        <v/>
      </c>
      <c r="AV2773" s="44">
        <f>AV2755*Settings!$C$13*(INDEX(AV$407:AV$418,$D2773)+INDEX(AV$394:AV$405,$D2773)+AV2728*(1+$E2773))</f>
        <v/>
      </c>
      <c r="AW2773" s="44">
        <f>AW2755*Settings!$C$13*(INDEX(AW$407:AW$418,$D2773)+INDEX(AW$394:AW$405,$D2773)+AW2728*(1+$E2773))</f>
        <v/>
      </c>
      <c r="AX2773" s="44">
        <f>AX2755*Settings!$C$13*(INDEX(AX$407:AX$418,$D2773)+INDEX(AX$394:AX$405,$D2773)+AX2728*(1+$E2773))</f>
        <v/>
      </c>
      <c r="AY2773" s="44">
        <f>AY2755*Settings!$C$13*(INDEX(AY$407:AY$418,$D2773)+INDEX(AY$394:AY$405,$D2773)+AY2728*(1+$E2773))</f>
        <v/>
      </c>
      <c r="AZ2773" s="44">
        <f>AZ2755*Settings!$C$13*(INDEX(AZ$407:AZ$418,$D2773)+INDEX(AZ$394:AZ$405,$D2773)+AZ2728*(1+$E2773))</f>
        <v/>
      </c>
      <c r="BA2773" s="57">
        <f>REVENUE(BA2755,Settings!$C$13,INDEX(BA$407:BA$418,$D2773)+INDEX(BA$394:BA$405,$D2773)+BA2728*(1+$E2773))</f>
        <v/>
      </c>
    </row>
    <row r="2774" hidden="1" outlineLevel="2">
      <c r="A2774" s="14" t="inlineStr">
        <is>
          <t>rtx</t>
        </is>
      </c>
      <c r="B2774" s="14" t="inlineStr">
        <is>
          <t>bio</t>
        </is>
      </c>
      <c r="C2774" s="14" t="inlineStr">
        <is>
          <t>cst</t>
        </is>
      </c>
      <c r="D2774" s="35">
        <f>INDEX(Inputs!$U$5:$U$132,MATCH($B2774&amp;"|"&amp;$C2774,Inputs!$A$5:$A$132,0))</f>
        <v/>
      </c>
      <c r="E2774" s="35">
        <f>INDEX(Inputs!$V$5:$V$132,MATCH($B2774&amp;"|"&amp;$C2774,Inputs!$A$5:$A$132,0))</f>
        <v/>
      </c>
      <c r="F2774" s="39" t="n"/>
      <c r="G2774" s="39" t="n"/>
      <c r="H2774" s="14">
        <f>INDEX(VarLab,MATCH($A2774,VarKey,0))&amp;INDEX(MemLab,MATCH($C2774&amp;"|"&amp;$B2774,MemKey,0))</f>
        <v/>
      </c>
      <c r="I2774" s="14">
        <f>INDEX(VarUnit,MATCH($A2774,VarKey,0))</f>
        <v/>
      </c>
      <c r="J2774" s="14">
        <f>INDEX(VarSrc,MATCH($A2774,VarKey,0))</f>
        <v/>
      </c>
      <c r="K2774" s="11">
        <f>CodePrefix&amp;$A2774&amp;IF($C2774="","","."&amp;$C2774&amp;"."&amp;$B2774)&amp;INDEX(VarEnd,MATCH($A2774,VarKey,0))&amp;K$5</f>
        <v/>
      </c>
      <c r="L2774" s="43">
        <f>L2756*Settings!$C$13*(INDEX(L$407:L$418,$D2774)+INDEX(L$394:L$405,$D2774)+L2729*(1+$E2774))</f>
        <v/>
      </c>
      <c r="M2774" s="44">
        <f>M2756*Settings!$C$13*(INDEX(M$407:M$418,$D2774)+INDEX(M$394:M$405,$D2774)+M2729*(1+$E2774))</f>
        <v/>
      </c>
      <c r="N2774" s="44">
        <f>N2756*Settings!$C$13*(INDEX(N$407:N$418,$D2774)+INDEX(N$394:N$405,$D2774)+N2729*(1+$E2774))</f>
        <v/>
      </c>
      <c r="O2774" s="44">
        <f>O2756*Settings!$C$13*(INDEX(O$407:O$418,$D2774)+INDEX(O$394:O$405,$D2774)+O2729*(1+$E2774))</f>
        <v/>
      </c>
      <c r="P2774" s="44">
        <f>P2756*Settings!$C$13*(INDEX(P$407:P$418,$D2774)+INDEX(P$394:P$405,$D2774)+P2729*(1+$E2774))</f>
        <v/>
      </c>
      <c r="Q2774" s="44">
        <f>Q2756*Settings!$C$13*(INDEX(Q$407:Q$418,$D2774)+INDEX(Q$394:Q$405,$D2774)+Q2729*(1+$E2774))</f>
        <v/>
      </c>
      <c r="R2774" s="44">
        <f>R2756*Settings!$C$13*(INDEX(R$407:R$418,$D2774)+INDEX(R$394:R$405,$D2774)+R2729*(1+$E2774))</f>
        <v/>
      </c>
      <c r="S2774" s="44">
        <f>S2756*Settings!$C$13*(INDEX(S$407:S$418,$D2774)+INDEX(S$394:S$405,$D2774)+S2729*(1+$E2774))</f>
        <v/>
      </c>
      <c r="T2774" s="44">
        <f>T2756*Settings!$C$13*(INDEX(T$407:T$418,$D2774)+INDEX(T$394:T$405,$D2774)+T2729*(1+$E2774))</f>
        <v/>
      </c>
      <c r="U2774" s="44">
        <f>U2756*Settings!$C$13*(INDEX(U$407:U$418,$D2774)+INDEX(U$394:U$405,$D2774)+U2729*(1+$E2774))</f>
        <v/>
      </c>
      <c r="V2774" s="44">
        <f>V2756*Settings!$C$13*(INDEX(V$407:V$418,$D2774)+INDEX(V$394:V$405,$D2774)+V2729*(1+$E2774))</f>
        <v/>
      </c>
      <c r="W2774" s="44">
        <f>W2756*Settings!$C$13*(INDEX(W$407:W$418,$D2774)+INDEX(W$394:W$405,$D2774)+W2729*(1+$E2774))</f>
        <v/>
      </c>
      <c r="X2774" s="44">
        <f>X2756*Settings!$C$13*(INDEX(X$407:X$418,$D2774)+INDEX(X$394:X$405,$D2774)+X2729*(1+$E2774))</f>
        <v/>
      </c>
      <c r="Y2774" s="44">
        <f>Y2756*Settings!$C$13*(INDEX(Y$407:Y$418,$D2774)+INDEX(Y$394:Y$405,$D2774)+Y2729*(1+$E2774))</f>
        <v/>
      </c>
      <c r="Z2774" s="44">
        <f>Z2756*Settings!$C$13*(INDEX(Z$407:Z$418,$D2774)+INDEX(Z$394:Z$405,$D2774)+Z2729*(1+$E2774))</f>
        <v/>
      </c>
      <c r="AA2774" s="44">
        <f>AA2756*Settings!$C$13*(INDEX(AA$407:AA$418,$D2774)+INDEX(AA$394:AA$405,$D2774)+AA2729*(1+$E2774))</f>
        <v/>
      </c>
      <c r="AB2774" s="44">
        <f>AB2756*Settings!$C$13*(INDEX(AB$407:AB$418,$D2774)+INDEX(AB$394:AB$405,$D2774)+AB2729*(1+$E2774))</f>
        <v/>
      </c>
      <c r="AC2774" s="44">
        <f>AC2756*Settings!$C$13*(INDEX(AC$407:AC$418,$D2774)+INDEX(AC$394:AC$405,$D2774)+AC2729*(1+$E2774))</f>
        <v/>
      </c>
      <c r="AD2774" s="44">
        <f>AD2756*Settings!$C$13*(INDEX(AD$407:AD$418,$D2774)+INDEX(AD$394:AD$405,$D2774)+AD2729*(1+$E2774))</f>
        <v/>
      </c>
      <c r="AE2774" s="57">
        <f>REVENUE(AE2756,Settings!$C$13,INDEX(AE$407:AE$418,$D2774)+INDEX(AE$394:AE$405,$D2774)+AE2729*(1+$E2774))</f>
        <v/>
      </c>
      <c r="AG2774" s="11">
        <f>CodePrefix&amp;$A2774&amp;IF($C2774="","","."&amp;$C2774&amp;"."&amp;$B2774)&amp;INDEX(VarEnd,MATCH($A2774,VarKey,0))&amp;AG$5</f>
        <v/>
      </c>
      <c r="AH2774" s="43">
        <f>AH2756*Settings!$C$13*(INDEX(AH$407:AH$418,$D2774)+INDEX(AH$394:AH$405,$D2774)+AH2729*(1+$E2774))</f>
        <v/>
      </c>
      <c r="AI2774" s="44">
        <f>AI2756*Settings!$C$13*(INDEX(AI$407:AI$418,$D2774)+INDEX(AI$394:AI$405,$D2774)+AI2729*(1+$E2774))</f>
        <v/>
      </c>
      <c r="AJ2774" s="44">
        <f>AJ2756*Settings!$C$13*(INDEX(AJ$407:AJ$418,$D2774)+INDEX(AJ$394:AJ$405,$D2774)+AJ2729*(1+$E2774))</f>
        <v/>
      </c>
      <c r="AK2774" s="44">
        <f>AK2756*Settings!$C$13*(INDEX(AK$407:AK$418,$D2774)+INDEX(AK$394:AK$405,$D2774)+AK2729*(1+$E2774))</f>
        <v/>
      </c>
      <c r="AL2774" s="44">
        <f>AL2756*Settings!$C$13*(INDEX(AL$407:AL$418,$D2774)+INDEX(AL$394:AL$405,$D2774)+AL2729*(1+$E2774))</f>
        <v/>
      </c>
      <c r="AM2774" s="44">
        <f>AM2756*Settings!$C$13*(INDEX(AM$407:AM$418,$D2774)+INDEX(AM$394:AM$405,$D2774)+AM2729*(1+$E2774))</f>
        <v/>
      </c>
      <c r="AN2774" s="44">
        <f>AN2756*Settings!$C$13*(INDEX(AN$407:AN$418,$D2774)+INDEX(AN$394:AN$405,$D2774)+AN2729*(1+$E2774))</f>
        <v/>
      </c>
      <c r="AO2774" s="44">
        <f>AO2756*Settings!$C$13*(INDEX(AO$407:AO$418,$D2774)+INDEX(AO$394:AO$405,$D2774)+AO2729*(1+$E2774))</f>
        <v/>
      </c>
      <c r="AP2774" s="44">
        <f>AP2756*Settings!$C$13*(INDEX(AP$407:AP$418,$D2774)+INDEX(AP$394:AP$405,$D2774)+AP2729*(1+$E2774))</f>
        <v/>
      </c>
      <c r="AQ2774" s="44">
        <f>AQ2756*Settings!$C$13*(INDEX(AQ$407:AQ$418,$D2774)+INDEX(AQ$394:AQ$405,$D2774)+AQ2729*(1+$E2774))</f>
        <v/>
      </c>
      <c r="AR2774" s="44">
        <f>AR2756*Settings!$C$13*(INDEX(AR$407:AR$418,$D2774)+INDEX(AR$394:AR$405,$D2774)+AR2729*(1+$E2774))</f>
        <v/>
      </c>
      <c r="AS2774" s="44">
        <f>AS2756*Settings!$C$13*(INDEX(AS$407:AS$418,$D2774)+INDEX(AS$394:AS$405,$D2774)+AS2729*(1+$E2774))</f>
        <v/>
      </c>
      <c r="AT2774" s="44">
        <f>AT2756*Settings!$C$13*(INDEX(AT$407:AT$418,$D2774)+INDEX(AT$394:AT$405,$D2774)+AT2729*(1+$E2774))</f>
        <v/>
      </c>
      <c r="AU2774" s="44">
        <f>AU2756*Settings!$C$13*(INDEX(AU$407:AU$418,$D2774)+INDEX(AU$394:AU$405,$D2774)+AU2729*(1+$E2774))</f>
        <v/>
      </c>
      <c r="AV2774" s="44">
        <f>AV2756*Settings!$C$13*(INDEX(AV$407:AV$418,$D2774)+INDEX(AV$394:AV$405,$D2774)+AV2729*(1+$E2774))</f>
        <v/>
      </c>
      <c r="AW2774" s="44">
        <f>AW2756*Settings!$C$13*(INDEX(AW$407:AW$418,$D2774)+INDEX(AW$394:AW$405,$D2774)+AW2729*(1+$E2774))</f>
        <v/>
      </c>
      <c r="AX2774" s="44">
        <f>AX2756*Settings!$C$13*(INDEX(AX$407:AX$418,$D2774)+INDEX(AX$394:AX$405,$D2774)+AX2729*(1+$E2774))</f>
        <v/>
      </c>
      <c r="AY2774" s="44">
        <f>AY2756*Settings!$C$13*(INDEX(AY$407:AY$418,$D2774)+INDEX(AY$394:AY$405,$D2774)+AY2729*(1+$E2774))</f>
        <v/>
      </c>
      <c r="AZ2774" s="44">
        <f>AZ2756*Settings!$C$13*(INDEX(AZ$407:AZ$418,$D2774)+INDEX(AZ$394:AZ$405,$D2774)+AZ2729*(1+$E2774))</f>
        <v/>
      </c>
      <c r="BA2774" s="57">
        <f>REVENUE(BA2756,Settings!$C$13,INDEX(BA$407:BA$418,$D2774)+INDEX(BA$394:BA$405,$D2774)+BA2729*(1+$E2774))</f>
        <v/>
      </c>
    </row>
    <row r="2775" hidden="1" outlineLevel="2"/>
    <row r="2776" hidden="1" outlineLevel="2">
      <c r="A2776" s="14" t="inlineStr">
        <is>
          <t>rsub</t>
        </is>
      </c>
      <c r="B2776" s="14" t="inlineStr">
        <is>
          <t>coa</t>
        </is>
      </c>
      <c r="C2776" s="14" t="inlineStr">
        <is>
          <t>cst</t>
        </is>
      </c>
      <c r="D2776" s="35">
        <f>INDEX(Inputs!$U$5:$U$132,MATCH($B2776&amp;"|"&amp;$C2776,Inputs!$A$5:$A$132,0))</f>
        <v/>
      </c>
      <c r="E2776" s="39" t="n"/>
      <c r="F2776" s="39" t="n"/>
      <c r="G2776" s="39" t="n"/>
      <c r="H2776" s="14">
        <f>INDEX(VarLab,MATCH($A2776,VarKey,0))&amp;INDEX(MemLab,MATCH($C2776&amp;"|"&amp;$B2776,MemKey,0))</f>
        <v/>
      </c>
      <c r="I2776" s="14">
        <f>INDEX(VarUnit,MATCH($A2776,VarKey,0))</f>
        <v/>
      </c>
      <c r="J2776" s="14">
        <f>INDEX(VarSrc,MATCH($A2776,VarKey,0))</f>
        <v/>
      </c>
      <c r="K2776" s="11">
        <f>CodePrefix&amp;$A2776&amp;IF($C2776="","","."&amp;$C2776&amp;"."&amp;$B2776)&amp;INDEX(VarEnd,MATCH($A2776,VarKey,0))&amp;K$5</f>
        <v/>
      </c>
      <c r="L2776" s="43">
        <f>L2749*Settings!$C$13*(INDEX(L$420:L$431,$D2776))</f>
        <v/>
      </c>
      <c r="M2776" s="44">
        <f>M2749*Settings!$C$13*(INDEX(M$420:M$431,$D2776))</f>
        <v/>
      </c>
      <c r="N2776" s="44">
        <f>N2749*Settings!$C$13*(INDEX(N$420:N$431,$D2776))</f>
        <v/>
      </c>
      <c r="O2776" s="44">
        <f>O2749*Settings!$C$13*(INDEX(O$420:O$431,$D2776))</f>
        <v/>
      </c>
      <c r="P2776" s="44">
        <f>P2749*Settings!$C$13*(INDEX(P$420:P$431,$D2776))</f>
        <v/>
      </c>
      <c r="Q2776" s="44">
        <f>Q2749*Settings!$C$13*(INDEX(Q$420:Q$431,$D2776))</f>
        <v/>
      </c>
      <c r="R2776" s="44">
        <f>R2749*Settings!$C$13*(INDEX(R$420:R$431,$D2776))</f>
        <v/>
      </c>
      <c r="S2776" s="44">
        <f>S2749*Settings!$C$13*(INDEX(S$420:S$431,$D2776))</f>
        <v/>
      </c>
      <c r="T2776" s="44">
        <f>T2749*Settings!$C$13*(INDEX(T$420:T$431,$D2776))</f>
        <v/>
      </c>
      <c r="U2776" s="44">
        <f>U2749*Settings!$C$13*(INDEX(U$420:U$431,$D2776))</f>
        <v/>
      </c>
      <c r="V2776" s="44">
        <f>V2749*Settings!$C$13*(INDEX(V$420:V$431,$D2776))</f>
        <v/>
      </c>
      <c r="W2776" s="44">
        <f>W2749*Settings!$C$13*(INDEX(W$420:W$431,$D2776))</f>
        <v/>
      </c>
      <c r="X2776" s="44">
        <f>X2749*Settings!$C$13*(INDEX(X$420:X$431,$D2776))</f>
        <v/>
      </c>
      <c r="Y2776" s="44">
        <f>Y2749*Settings!$C$13*(INDEX(Y$420:Y$431,$D2776))</f>
        <v/>
      </c>
      <c r="Z2776" s="44">
        <f>Z2749*Settings!$C$13*(INDEX(Z$420:Z$431,$D2776))</f>
        <v/>
      </c>
      <c r="AA2776" s="44">
        <f>AA2749*Settings!$C$13*(INDEX(AA$420:AA$431,$D2776))</f>
        <v/>
      </c>
      <c r="AB2776" s="44">
        <f>AB2749*Settings!$C$13*(INDEX(AB$420:AB$431,$D2776))</f>
        <v/>
      </c>
      <c r="AC2776" s="44">
        <f>AC2749*Settings!$C$13*(INDEX(AC$420:AC$431,$D2776))</f>
        <v/>
      </c>
      <c r="AD2776" s="44">
        <f>AD2749*Settings!$C$13*(INDEX(AD$420:AD$431,$D2776))</f>
        <v/>
      </c>
      <c r="AE2776" s="57">
        <f>REVENUE(AE2749,Settings!$C$13,INDEX(AE$420:AE$431,$D2776))</f>
        <v/>
      </c>
      <c r="AG2776" s="11">
        <f>CodePrefix&amp;$A2776&amp;IF($C2776="","","."&amp;$C2776&amp;"."&amp;$B2776)&amp;INDEX(VarEnd,MATCH($A2776,VarKey,0))&amp;AG$5</f>
        <v/>
      </c>
      <c r="AH2776" s="43">
        <f>AH2749*Settings!$C$13*(INDEX(AH$420:AH$431,$D2776))</f>
        <v/>
      </c>
      <c r="AI2776" s="44">
        <f>AI2749*Settings!$C$13*(INDEX(AI$420:AI$431,$D2776))</f>
        <v/>
      </c>
      <c r="AJ2776" s="44">
        <f>AJ2749*Settings!$C$13*(INDEX(AJ$420:AJ$431,$D2776))</f>
        <v/>
      </c>
      <c r="AK2776" s="44">
        <f>AK2749*Settings!$C$13*(INDEX(AK$420:AK$431,$D2776))</f>
        <v/>
      </c>
      <c r="AL2776" s="44">
        <f>AL2749*Settings!$C$13*(INDEX(AL$420:AL$431,$D2776))</f>
        <v/>
      </c>
      <c r="AM2776" s="44">
        <f>AM2749*Settings!$C$13*(INDEX(AM$420:AM$431,$D2776))</f>
        <v/>
      </c>
      <c r="AN2776" s="44">
        <f>AN2749*Settings!$C$13*(INDEX(AN$420:AN$431,$D2776))</f>
        <v/>
      </c>
      <c r="AO2776" s="44">
        <f>AO2749*Settings!$C$13*(INDEX(AO$420:AO$431,$D2776))</f>
        <v/>
      </c>
      <c r="AP2776" s="44">
        <f>AP2749*Settings!$C$13*(INDEX(AP$420:AP$431,$D2776))</f>
        <v/>
      </c>
      <c r="AQ2776" s="44">
        <f>AQ2749*Settings!$C$13*(INDEX(AQ$420:AQ$431,$D2776))</f>
        <v/>
      </c>
      <c r="AR2776" s="44">
        <f>AR2749*Settings!$C$13*(INDEX(AR$420:AR$431,$D2776))</f>
        <v/>
      </c>
      <c r="AS2776" s="44">
        <f>AS2749*Settings!$C$13*(INDEX(AS$420:AS$431,$D2776))</f>
        <v/>
      </c>
      <c r="AT2776" s="44">
        <f>AT2749*Settings!$C$13*(INDEX(AT$420:AT$431,$D2776))</f>
        <v/>
      </c>
      <c r="AU2776" s="44">
        <f>AU2749*Settings!$C$13*(INDEX(AU$420:AU$431,$D2776))</f>
        <v/>
      </c>
      <c r="AV2776" s="44">
        <f>AV2749*Settings!$C$13*(INDEX(AV$420:AV$431,$D2776))</f>
        <v/>
      </c>
      <c r="AW2776" s="44">
        <f>AW2749*Settings!$C$13*(INDEX(AW$420:AW$431,$D2776))</f>
        <v/>
      </c>
      <c r="AX2776" s="44">
        <f>AX2749*Settings!$C$13*(INDEX(AX$420:AX$431,$D2776))</f>
        <v/>
      </c>
      <c r="AY2776" s="44">
        <f>AY2749*Settings!$C$13*(INDEX(AY$420:AY$431,$D2776))</f>
        <v/>
      </c>
      <c r="AZ2776" s="44">
        <f>AZ2749*Settings!$C$13*(INDEX(AZ$420:AZ$431,$D2776))</f>
        <v/>
      </c>
      <c r="BA2776" s="57">
        <f>REVENUE(BA2749,Settings!$C$13,INDEX(BA$420:BA$431,$D2776))</f>
        <v/>
      </c>
    </row>
    <row r="2777" hidden="1" outlineLevel="2">
      <c r="A2777" s="14" t="inlineStr">
        <is>
          <t>rsub</t>
        </is>
      </c>
      <c r="B2777" s="14" t="inlineStr">
        <is>
          <t>nga</t>
        </is>
      </c>
      <c r="C2777" s="14" t="inlineStr">
        <is>
          <t>cst</t>
        </is>
      </c>
      <c r="D2777" s="35">
        <f>INDEX(Inputs!$U$5:$U$132,MATCH($B2777&amp;"|"&amp;$C2777,Inputs!$A$5:$A$132,0))</f>
        <v/>
      </c>
      <c r="E2777" s="39" t="n"/>
      <c r="F2777" s="39" t="n"/>
      <c r="G2777" s="39" t="n"/>
      <c r="H2777" s="14">
        <f>INDEX(VarLab,MATCH($A2777,VarKey,0))&amp;INDEX(MemLab,MATCH($C2777&amp;"|"&amp;$B2777,MemKey,0))</f>
        <v/>
      </c>
      <c r="I2777" s="14">
        <f>INDEX(VarUnit,MATCH($A2777,VarKey,0))</f>
        <v/>
      </c>
      <c r="J2777" s="14">
        <f>INDEX(VarSrc,MATCH($A2777,VarKey,0))</f>
        <v/>
      </c>
      <c r="K2777" s="11">
        <f>CodePrefix&amp;$A2777&amp;IF($C2777="","","."&amp;$C2777&amp;"."&amp;$B2777)&amp;INDEX(VarEnd,MATCH($A2777,VarKey,0))&amp;K$5</f>
        <v/>
      </c>
      <c r="L2777" s="43">
        <f>L2750*Settings!$C$13*(INDEX(L$420:L$431,$D2777))</f>
        <v/>
      </c>
      <c r="M2777" s="44">
        <f>M2750*Settings!$C$13*(INDEX(M$420:M$431,$D2777))</f>
        <v/>
      </c>
      <c r="N2777" s="44">
        <f>N2750*Settings!$C$13*(INDEX(N$420:N$431,$D2777))</f>
        <v/>
      </c>
      <c r="O2777" s="44">
        <f>O2750*Settings!$C$13*(INDEX(O$420:O$431,$D2777))</f>
        <v/>
      </c>
      <c r="P2777" s="44">
        <f>P2750*Settings!$C$13*(INDEX(P$420:P$431,$D2777))</f>
        <v/>
      </c>
      <c r="Q2777" s="44">
        <f>Q2750*Settings!$C$13*(INDEX(Q$420:Q$431,$D2777))</f>
        <v/>
      </c>
      <c r="R2777" s="44">
        <f>R2750*Settings!$C$13*(INDEX(R$420:R$431,$D2777))</f>
        <v/>
      </c>
      <c r="S2777" s="44">
        <f>S2750*Settings!$C$13*(INDEX(S$420:S$431,$D2777))</f>
        <v/>
      </c>
      <c r="T2777" s="44">
        <f>T2750*Settings!$C$13*(INDEX(T$420:T$431,$D2777))</f>
        <v/>
      </c>
      <c r="U2777" s="44">
        <f>U2750*Settings!$C$13*(INDEX(U$420:U$431,$D2777))</f>
        <v/>
      </c>
      <c r="V2777" s="44">
        <f>V2750*Settings!$C$13*(INDEX(V$420:V$431,$D2777))</f>
        <v/>
      </c>
      <c r="W2777" s="44">
        <f>W2750*Settings!$C$13*(INDEX(W$420:W$431,$D2777))</f>
        <v/>
      </c>
      <c r="X2777" s="44">
        <f>X2750*Settings!$C$13*(INDEX(X$420:X$431,$D2777))</f>
        <v/>
      </c>
      <c r="Y2777" s="44">
        <f>Y2750*Settings!$C$13*(INDEX(Y$420:Y$431,$D2777))</f>
        <v/>
      </c>
      <c r="Z2777" s="44">
        <f>Z2750*Settings!$C$13*(INDEX(Z$420:Z$431,$D2777))</f>
        <v/>
      </c>
      <c r="AA2777" s="44">
        <f>AA2750*Settings!$C$13*(INDEX(AA$420:AA$431,$D2777))</f>
        <v/>
      </c>
      <c r="AB2777" s="44">
        <f>AB2750*Settings!$C$13*(INDEX(AB$420:AB$431,$D2777))</f>
        <v/>
      </c>
      <c r="AC2777" s="44">
        <f>AC2750*Settings!$C$13*(INDEX(AC$420:AC$431,$D2777))</f>
        <v/>
      </c>
      <c r="AD2777" s="44">
        <f>AD2750*Settings!$C$13*(INDEX(AD$420:AD$431,$D2777))</f>
        <v/>
      </c>
      <c r="AE2777" s="57">
        <f>REVENUE(AE2750,Settings!$C$13,INDEX(AE$420:AE$431,$D2777))</f>
        <v/>
      </c>
      <c r="AG2777" s="11">
        <f>CodePrefix&amp;$A2777&amp;IF($C2777="","","."&amp;$C2777&amp;"."&amp;$B2777)&amp;INDEX(VarEnd,MATCH($A2777,VarKey,0))&amp;AG$5</f>
        <v/>
      </c>
      <c r="AH2777" s="43">
        <f>AH2750*Settings!$C$13*(INDEX(AH$420:AH$431,$D2777))</f>
        <v/>
      </c>
      <c r="AI2777" s="44">
        <f>AI2750*Settings!$C$13*(INDEX(AI$420:AI$431,$D2777))</f>
        <v/>
      </c>
      <c r="AJ2777" s="44">
        <f>AJ2750*Settings!$C$13*(INDEX(AJ$420:AJ$431,$D2777))</f>
        <v/>
      </c>
      <c r="AK2777" s="44">
        <f>AK2750*Settings!$C$13*(INDEX(AK$420:AK$431,$D2777))</f>
        <v/>
      </c>
      <c r="AL2777" s="44">
        <f>AL2750*Settings!$C$13*(INDEX(AL$420:AL$431,$D2777))</f>
        <v/>
      </c>
      <c r="AM2777" s="44">
        <f>AM2750*Settings!$C$13*(INDEX(AM$420:AM$431,$D2777))</f>
        <v/>
      </c>
      <c r="AN2777" s="44">
        <f>AN2750*Settings!$C$13*(INDEX(AN$420:AN$431,$D2777))</f>
        <v/>
      </c>
      <c r="AO2777" s="44">
        <f>AO2750*Settings!$C$13*(INDEX(AO$420:AO$431,$D2777))</f>
        <v/>
      </c>
      <c r="AP2777" s="44">
        <f>AP2750*Settings!$C$13*(INDEX(AP$420:AP$431,$D2777))</f>
        <v/>
      </c>
      <c r="AQ2777" s="44">
        <f>AQ2750*Settings!$C$13*(INDEX(AQ$420:AQ$431,$D2777))</f>
        <v/>
      </c>
      <c r="AR2777" s="44">
        <f>AR2750*Settings!$C$13*(INDEX(AR$420:AR$431,$D2777))</f>
        <v/>
      </c>
      <c r="AS2777" s="44">
        <f>AS2750*Settings!$C$13*(INDEX(AS$420:AS$431,$D2777))</f>
        <v/>
      </c>
      <c r="AT2777" s="44">
        <f>AT2750*Settings!$C$13*(INDEX(AT$420:AT$431,$D2777))</f>
        <v/>
      </c>
      <c r="AU2777" s="44">
        <f>AU2750*Settings!$C$13*(INDEX(AU$420:AU$431,$D2777))</f>
        <v/>
      </c>
      <c r="AV2777" s="44">
        <f>AV2750*Settings!$C$13*(INDEX(AV$420:AV$431,$D2777))</f>
        <v/>
      </c>
      <c r="AW2777" s="44">
        <f>AW2750*Settings!$C$13*(INDEX(AW$420:AW$431,$D2777))</f>
        <v/>
      </c>
      <c r="AX2777" s="44">
        <f>AX2750*Settings!$C$13*(INDEX(AX$420:AX$431,$D2777))</f>
        <v/>
      </c>
      <c r="AY2777" s="44">
        <f>AY2750*Settings!$C$13*(INDEX(AY$420:AY$431,$D2777))</f>
        <v/>
      </c>
      <c r="AZ2777" s="44">
        <f>AZ2750*Settings!$C$13*(INDEX(AZ$420:AZ$431,$D2777))</f>
        <v/>
      </c>
      <c r="BA2777" s="57">
        <f>REVENUE(BA2750,Settings!$C$13,INDEX(BA$420:BA$431,$D2777))</f>
        <v/>
      </c>
    </row>
    <row r="2778" hidden="1" outlineLevel="2">
      <c r="A2778" s="14" t="inlineStr">
        <is>
          <t>rsub</t>
        </is>
      </c>
      <c r="B2778" s="14" t="inlineStr">
        <is>
          <t>gso</t>
        </is>
      </c>
      <c r="C2778" s="14" t="inlineStr">
        <is>
          <t>cst</t>
        </is>
      </c>
      <c r="D2778" s="35">
        <f>INDEX(Inputs!$U$5:$U$132,MATCH($B2778&amp;"|"&amp;$C2778,Inputs!$A$5:$A$132,0))</f>
        <v/>
      </c>
      <c r="E2778" s="39" t="n"/>
      <c r="F2778" s="39" t="n"/>
      <c r="G2778" s="39" t="n"/>
      <c r="H2778" s="14">
        <f>INDEX(VarLab,MATCH($A2778,VarKey,0))&amp;INDEX(MemLab,MATCH($C2778&amp;"|"&amp;$B2778,MemKey,0))</f>
        <v/>
      </c>
      <c r="I2778" s="14">
        <f>INDEX(VarUnit,MATCH($A2778,VarKey,0))</f>
        <v/>
      </c>
      <c r="J2778" s="14">
        <f>INDEX(VarSrc,MATCH($A2778,VarKey,0))</f>
        <v/>
      </c>
      <c r="K2778" s="11">
        <f>CodePrefix&amp;$A2778&amp;IF($C2778="","","."&amp;$C2778&amp;"."&amp;$B2778)&amp;INDEX(VarEnd,MATCH($A2778,VarKey,0))&amp;K$5</f>
        <v/>
      </c>
      <c r="L2778" s="43">
        <f>L2751*Settings!$C$13*(INDEX(L$420:L$431,$D2778))</f>
        <v/>
      </c>
      <c r="M2778" s="44">
        <f>M2751*Settings!$C$13*(INDEX(M$420:M$431,$D2778))</f>
        <v/>
      </c>
      <c r="N2778" s="44">
        <f>N2751*Settings!$C$13*(INDEX(N$420:N$431,$D2778))</f>
        <v/>
      </c>
      <c r="O2778" s="44">
        <f>O2751*Settings!$C$13*(INDEX(O$420:O$431,$D2778))</f>
        <v/>
      </c>
      <c r="P2778" s="44">
        <f>P2751*Settings!$C$13*(INDEX(P$420:P$431,$D2778))</f>
        <v/>
      </c>
      <c r="Q2778" s="44">
        <f>Q2751*Settings!$C$13*(INDEX(Q$420:Q$431,$D2778))</f>
        <v/>
      </c>
      <c r="R2778" s="44">
        <f>R2751*Settings!$C$13*(INDEX(R$420:R$431,$D2778))</f>
        <v/>
      </c>
      <c r="S2778" s="44">
        <f>S2751*Settings!$C$13*(INDEX(S$420:S$431,$D2778))</f>
        <v/>
      </c>
      <c r="T2778" s="44">
        <f>T2751*Settings!$C$13*(INDEX(T$420:T$431,$D2778))</f>
        <v/>
      </c>
      <c r="U2778" s="44">
        <f>U2751*Settings!$C$13*(INDEX(U$420:U$431,$D2778))</f>
        <v/>
      </c>
      <c r="V2778" s="44">
        <f>V2751*Settings!$C$13*(INDEX(V$420:V$431,$D2778))</f>
        <v/>
      </c>
      <c r="W2778" s="44">
        <f>W2751*Settings!$C$13*(INDEX(W$420:W$431,$D2778))</f>
        <v/>
      </c>
      <c r="X2778" s="44">
        <f>X2751*Settings!$C$13*(INDEX(X$420:X$431,$D2778))</f>
        <v/>
      </c>
      <c r="Y2778" s="44">
        <f>Y2751*Settings!$C$13*(INDEX(Y$420:Y$431,$D2778))</f>
        <v/>
      </c>
      <c r="Z2778" s="44">
        <f>Z2751*Settings!$C$13*(INDEX(Z$420:Z$431,$D2778))</f>
        <v/>
      </c>
      <c r="AA2778" s="44">
        <f>AA2751*Settings!$C$13*(INDEX(AA$420:AA$431,$D2778))</f>
        <v/>
      </c>
      <c r="AB2778" s="44">
        <f>AB2751*Settings!$C$13*(INDEX(AB$420:AB$431,$D2778))</f>
        <v/>
      </c>
      <c r="AC2778" s="44">
        <f>AC2751*Settings!$C$13*(INDEX(AC$420:AC$431,$D2778))</f>
        <v/>
      </c>
      <c r="AD2778" s="44">
        <f>AD2751*Settings!$C$13*(INDEX(AD$420:AD$431,$D2778))</f>
        <v/>
      </c>
      <c r="AE2778" s="57">
        <f>REVENUE(AE2751,Settings!$C$13,INDEX(AE$420:AE$431,$D2778))</f>
        <v/>
      </c>
      <c r="AG2778" s="11">
        <f>CodePrefix&amp;$A2778&amp;IF($C2778="","","."&amp;$C2778&amp;"."&amp;$B2778)&amp;INDEX(VarEnd,MATCH($A2778,VarKey,0))&amp;AG$5</f>
        <v/>
      </c>
      <c r="AH2778" s="43">
        <f>AH2751*Settings!$C$13*(INDEX(AH$420:AH$431,$D2778))</f>
        <v/>
      </c>
      <c r="AI2778" s="44">
        <f>AI2751*Settings!$C$13*(INDEX(AI$420:AI$431,$D2778))</f>
        <v/>
      </c>
      <c r="AJ2778" s="44">
        <f>AJ2751*Settings!$C$13*(INDEX(AJ$420:AJ$431,$D2778))</f>
        <v/>
      </c>
      <c r="AK2778" s="44">
        <f>AK2751*Settings!$C$13*(INDEX(AK$420:AK$431,$D2778))</f>
        <v/>
      </c>
      <c r="AL2778" s="44">
        <f>AL2751*Settings!$C$13*(INDEX(AL$420:AL$431,$D2778))</f>
        <v/>
      </c>
      <c r="AM2778" s="44">
        <f>AM2751*Settings!$C$13*(INDEX(AM$420:AM$431,$D2778))</f>
        <v/>
      </c>
      <c r="AN2778" s="44">
        <f>AN2751*Settings!$C$13*(INDEX(AN$420:AN$431,$D2778))</f>
        <v/>
      </c>
      <c r="AO2778" s="44">
        <f>AO2751*Settings!$C$13*(INDEX(AO$420:AO$431,$D2778))</f>
        <v/>
      </c>
      <c r="AP2778" s="44">
        <f>AP2751*Settings!$C$13*(INDEX(AP$420:AP$431,$D2778))</f>
        <v/>
      </c>
      <c r="AQ2778" s="44">
        <f>AQ2751*Settings!$C$13*(INDEX(AQ$420:AQ$431,$D2778))</f>
        <v/>
      </c>
      <c r="AR2778" s="44">
        <f>AR2751*Settings!$C$13*(INDEX(AR$420:AR$431,$D2778))</f>
        <v/>
      </c>
      <c r="AS2778" s="44">
        <f>AS2751*Settings!$C$13*(INDEX(AS$420:AS$431,$D2778))</f>
        <v/>
      </c>
      <c r="AT2778" s="44">
        <f>AT2751*Settings!$C$13*(INDEX(AT$420:AT$431,$D2778))</f>
        <v/>
      </c>
      <c r="AU2778" s="44">
        <f>AU2751*Settings!$C$13*(INDEX(AU$420:AU$431,$D2778))</f>
        <v/>
      </c>
      <c r="AV2778" s="44">
        <f>AV2751*Settings!$C$13*(INDEX(AV$420:AV$431,$D2778))</f>
        <v/>
      </c>
      <c r="AW2778" s="44">
        <f>AW2751*Settings!$C$13*(INDEX(AW$420:AW$431,$D2778))</f>
        <v/>
      </c>
      <c r="AX2778" s="44">
        <f>AX2751*Settings!$C$13*(INDEX(AX$420:AX$431,$D2778))</f>
        <v/>
      </c>
      <c r="AY2778" s="44">
        <f>AY2751*Settings!$C$13*(INDEX(AY$420:AY$431,$D2778))</f>
        <v/>
      </c>
      <c r="AZ2778" s="44">
        <f>AZ2751*Settings!$C$13*(INDEX(AZ$420:AZ$431,$D2778))</f>
        <v/>
      </c>
      <c r="BA2778" s="57">
        <f>REVENUE(BA2751,Settings!$C$13,INDEX(BA$420:BA$431,$D2778))</f>
        <v/>
      </c>
    </row>
    <row r="2779" hidden="1" outlineLevel="2">
      <c r="A2779" s="14" t="inlineStr">
        <is>
          <t>rsub</t>
        </is>
      </c>
      <c r="B2779" s="14" t="inlineStr">
        <is>
          <t>die</t>
        </is>
      </c>
      <c r="C2779" s="14" t="inlineStr">
        <is>
          <t>cst</t>
        </is>
      </c>
      <c r="D2779" s="35">
        <f>INDEX(Inputs!$U$5:$U$132,MATCH($B2779&amp;"|"&amp;$C2779,Inputs!$A$5:$A$132,0))</f>
        <v/>
      </c>
      <c r="E2779" s="39" t="n"/>
      <c r="F2779" s="39" t="n"/>
      <c r="G2779" s="39" t="n"/>
      <c r="H2779" s="14">
        <f>INDEX(VarLab,MATCH($A2779,VarKey,0))&amp;INDEX(MemLab,MATCH($C2779&amp;"|"&amp;$B2779,MemKey,0))</f>
        <v/>
      </c>
      <c r="I2779" s="14">
        <f>INDEX(VarUnit,MATCH($A2779,VarKey,0))</f>
        <v/>
      </c>
      <c r="J2779" s="14">
        <f>INDEX(VarSrc,MATCH($A2779,VarKey,0))</f>
        <v/>
      </c>
      <c r="K2779" s="11">
        <f>CodePrefix&amp;$A2779&amp;IF($C2779="","","."&amp;$C2779&amp;"."&amp;$B2779)&amp;INDEX(VarEnd,MATCH($A2779,VarKey,0))&amp;K$5</f>
        <v/>
      </c>
      <c r="L2779" s="43">
        <f>L2752*Settings!$C$13*(INDEX(L$420:L$431,$D2779))</f>
        <v/>
      </c>
      <c r="M2779" s="44">
        <f>M2752*Settings!$C$13*(INDEX(M$420:M$431,$D2779))</f>
        <v/>
      </c>
      <c r="N2779" s="44">
        <f>N2752*Settings!$C$13*(INDEX(N$420:N$431,$D2779))</f>
        <v/>
      </c>
      <c r="O2779" s="44">
        <f>O2752*Settings!$C$13*(INDEX(O$420:O$431,$D2779))</f>
        <v/>
      </c>
      <c r="P2779" s="44">
        <f>P2752*Settings!$C$13*(INDEX(P$420:P$431,$D2779))</f>
        <v/>
      </c>
      <c r="Q2779" s="44">
        <f>Q2752*Settings!$C$13*(INDEX(Q$420:Q$431,$D2779))</f>
        <v/>
      </c>
      <c r="R2779" s="44">
        <f>R2752*Settings!$C$13*(INDEX(R$420:R$431,$D2779))</f>
        <v/>
      </c>
      <c r="S2779" s="44">
        <f>S2752*Settings!$C$13*(INDEX(S$420:S$431,$D2779))</f>
        <v/>
      </c>
      <c r="T2779" s="44">
        <f>T2752*Settings!$C$13*(INDEX(T$420:T$431,$D2779))</f>
        <v/>
      </c>
      <c r="U2779" s="44">
        <f>U2752*Settings!$C$13*(INDEX(U$420:U$431,$D2779))</f>
        <v/>
      </c>
      <c r="V2779" s="44">
        <f>V2752*Settings!$C$13*(INDEX(V$420:V$431,$D2779))</f>
        <v/>
      </c>
      <c r="W2779" s="44">
        <f>W2752*Settings!$C$13*(INDEX(W$420:W$431,$D2779))</f>
        <v/>
      </c>
      <c r="X2779" s="44">
        <f>X2752*Settings!$C$13*(INDEX(X$420:X$431,$D2779))</f>
        <v/>
      </c>
      <c r="Y2779" s="44">
        <f>Y2752*Settings!$C$13*(INDEX(Y$420:Y$431,$D2779))</f>
        <v/>
      </c>
      <c r="Z2779" s="44">
        <f>Z2752*Settings!$C$13*(INDEX(Z$420:Z$431,$D2779))</f>
        <v/>
      </c>
      <c r="AA2779" s="44">
        <f>AA2752*Settings!$C$13*(INDEX(AA$420:AA$431,$D2779))</f>
        <v/>
      </c>
      <c r="AB2779" s="44">
        <f>AB2752*Settings!$C$13*(INDEX(AB$420:AB$431,$D2779))</f>
        <v/>
      </c>
      <c r="AC2779" s="44">
        <f>AC2752*Settings!$C$13*(INDEX(AC$420:AC$431,$D2779))</f>
        <v/>
      </c>
      <c r="AD2779" s="44">
        <f>AD2752*Settings!$C$13*(INDEX(AD$420:AD$431,$D2779))</f>
        <v/>
      </c>
      <c r="AE2779" s="57">
        <f>REVENUE(AE2752,Settings!$C$13,INDEX(AE$420:AE$431,$D2779))</f>
        <v/>
      </c>
      <c r="AG2779" s="11">
        <f>CodePrefix&amp;$A2779&amp;IF($C2779="","","."&amp;$C2779&amp;"."&amp;$B2779)&amp;INDEX(VarEnd,MATCH($A2779,VarKey,0))&amp;AG$5</f>
        <v/>
      </c>
      <c r="AH2779" s="43">
        <f>AH2752*Settings!$C$13*(INDEX(AH$420:AH$431,$D2779))</f>
        <v/>
      </c>
      <c r="AI2779" s="44">
        <f>AI2752*Settings!$C$13*(INDEX(AI$420:AI$431,$D2779))</f>
        <v/>
      </c>
      <c r="AJ2779" s="44">
        <f>AJ2752*Settings!$C$13*(INDEX(AJ$420:AJ$431,$D2779))</f>
        <v/>
      </c>
      <c r="AK2779" s="44">
        <f>AK2752*Settings!$C$13*(INDEX(AK$420:AK$431,$D2779))</f>
        <v/>
      </c>
      <c r="AL2779" s="44">
        <f>AL2752*Settings!$C$13*(INDEX(AL$420:AL$431,$D2779))</f>
        <v/>
      </c>
      <c r="AM2779" s="44">
        <f>AM2752*Settings!$C$13*(INDEX(AM$420:AM$431,$D2779))</f>
        <v/>
      </c>
      <c r="AN2779" s="44">
        <f>AN2752*Settings!$C$13*(INDEX(AN$420:AN$431,$D2779))</f>
        <v/>
      </c>
      <c r="AO2779" s="44">
        <f>AO2752*Settings!$C$13*(INDEX(AO$420:AO$431,$D2779))</f>
        <v/>
      </c>
      <c r="AP2779" s="44">
        <f>AP2752*Settings!$C$13*(INDEX(AP$420:AP$431,$D2779))</f>
        <v/>
      </c>
      <c r="AQ2779" s="44">
        <f>AQ2752*Settings!$C$13*(INDEX(AQ$420:AQ$431,$D2779))</f>
        <v/>
      </c>
      <c r="AR2779" s="44">
        <f>AR2752*Settings!$C$13*(INDEX(AR$420:AR$431,$D2779))</f>
        <v/>
      </c>
      <c r="AS2779" s="44">
        <f>AS2752*Settings!$C$13*(INDEX(AS$420:AS$431,$D2779))</f>
        <v/>
      </c>
      <c r="AT2779" s="44">
        <f>AT2752*Settings!$C$13*(INDEX(AT$420:AT$431,$D2779))</f>
        <v/>
      </c>
      <c r="AU2779" s="44">
        <f>AU2752*Settings!$C$13*(INDEX(AU$420:AU$431,$D2779))</f>
        <v/>
      </c>
      <c r="AV2779" s="44">
        <f>AV2752*Settings!$C$13*(INDEX(AV$420:AV$431,$D2779))</f>
        <v/>
      </c>
      <c r="AW2779" s="44">
        <f>AW2752*Settings!$C$13*(INDEX(AW$420:AW$431,$D2779))</f>
        <v/>
      </c>
      <c r="AX2779" s="44">
        <f>AX2752*Settings!$C$13*(INDEX(AX$420:AX$431,$D2779))</f>
        <v/>
      </c>
      <c r="AY2779" s="44">
        <f>AY2752*Settings!$C$13*(INDEX(AY$420:AY$431,$D2779))</f>
        <v/>
      </c>
      <c r="AZ2779" s="44">
        <f>AZ2752*Settings!$C$13*(INDEX(AZ$420:AZ$431,$D2779))</f>
        <v/>
      </c>
      <c r="BA2779" s="57">
        <f>REVENUE(BA2752,Settings!$C$13,INDEX(BA$420:BA$431,$D2779))</f>
        <v/>
      </c>
    </row>
    <row r="2780" hidden="1" outlineLevel="2">
      <c r="A2780" s="14" t="inlineStr">
        <is>
          <t>rsub</t>
        </is>
      </c>
      <c r="B2780" s="14" t="inlineStr">
        <is>
          <t>lpg</t>
        </is>
      </c>
      <c r="C2780" s="14" t="inlineStr">
        <is>
          <t>cst</t>
        </is>
      </c>
      <c r="D2780" s="35">
        <f>INDEX(Inputs!$U$5:$U$132,MATCH($B2780&amp;"|"&amp;$C2780,Inputs!$A$5:$A$132,0))</f>
        <v/>
      </c>
      <c r="E2780" s="39" t="n"/>
      <c r="F2780" s="39" t="n"/>
      <c r="G2780" s="39" t="n"/>
      <c r="H2780" s="14">
        <f>INDEX(VarLab,MATCH($A2780,VarKey,0))&amp;INDEX(MemLab,MATCH($C2780&amp;"|"&amp;$B2780,MemKey,0))</f>
        <v/>
      </c>
      <c r="I2780" s="14">
        <f>INDEX(VarUnit,MATCH($A2780,VarKey,0))</f>
        <v/>
      </c>
      <c r="J2780" s="14">
        <f>INDEX(VarSrc,MATCH($A2780,VarKey,0))</f>
        <v/>
      </c>
      <c r="K2780" s="11">
        <f>CodePrefix&amp;$A2780&amp;IF($C2780="","","."&amp;$C2780&amp;"."&amp;$B2780)&amp;INDEX(VarEnd,MATCH($A2780,VarKey,0))&amp;K$5</f>
        <v/>
      </c>
      <c r="L2780" s="43">
        <f>L2753*Settings!$C$13*(INDEX(L$420:L$431,$D2780))</f>
        <v/>
      </c>
      <c r="M2780" s="44">
        <f>M2753*Settings!$C$13*(INDEX(M$420:M$431,$D2780))</f>
        <v/>
      </c>
      <c r="N2780" s="44">
        <f>N2753*Settings!$C$13*(INDEX(N$420:N$431,$D2780))</f>
        <v/>
      </c>
      <c r="O2780" s="44">
        <f>O2753*Settings!$C$13*(INDEX(O$420:O$431,$D2780))</f>
        <v/>
      </c>
      <c r="P2780" s="44">
        <f>P2753*Settings!$C$13*(INDEX(P$420:P$431,$D2780))</f>
        <v/>
      </c>
      <c r="Q2780" s="44">
        <f>Q2753*Settings!$C$13*(INDEX(Q$420:Q$431,$D2780))</f>
        <v/>
      </c>
      <c r="R2780" s="44">
        <f>R2753*Settings!$C$13*(INDEX(R$420:R$431,$D2780))</f>
        <v/>
      </c>
      <c r="S2780" s="44">
        <f>S2753*Settings!$C$13*(INDEX(S$420:S$431,$D2780))</f>
        <v/>
      </c>
      <c r="T2780" s="44">
        <f>T2753*Settings!$C$13*(INDEX(T$420:T$431,$D2780))</f>
        <v/>
      </c>
      <c r="U2780" s="44">
        <f>U2753*Settings!$C$13*(INDEX(U$420:U$431,$D2780))</f>
        <v/>
      </c>
      <c r="V2780" s="44">
        <f>V2753*Settings!$C$13*(INDEX(V$420:V$431,$D2780))</f>
        <v/>
      </c>
      <c r="W2780" s="44">
        <f>W2753*Settings!$C$13*(INDEX(W$420:W$431,$D2780))</f>
        <v/>
      </c>
      <c r="X2780" s="44">
        <f>X2753*Settings!$C$13*(INDEX(X$420:X$431,$D2780))</f>
        <v/>
      </c>
      <c r="Y2780" s="44">
        <f>Y2753*Settings!$C$13*(INDEX(Y$420:Y$431,$D2780))</f>
        <v/>
      </c>
      <c r="Z2780" s="44">
        <f>Z2753*Settings!$C$13*(INDEX(Z$420:Z$431,$D2780))</f>
        <v/>
      </c>
      <c r="AA2780" s="44">
        <f>AA2753*Settings!$C$13*(INDEX(AA$420:AA$431,$D2780))</f>
        <v/>
      </c>
      <c r="AB2780" s="44">
        <f>AB2753*Settings!$C$13*(INDEX(AB$420:AB$431,$D2780))</f>
        <v/>
      </c>
      <c r="AC2780" s="44">
        <f>AC2753*Settings!$C$13*(INDEX(AC$420:AC$431,$D2780))</f>
        <v/>
      </c>
      <c r="AD2780" s="44">
        <f>AD2753*Settings!$C$13*(INDEX(AD$420:AD$431,$D2780))</f>
        <v/>
      </c>
      <c r="AE2780" s="57">
        <f>REVENUE(AE2753,Settings!$C$13,INDEX(AE$420:AE$431,$D2780))</f>
        <v/>
      </c>
      <c r="AG2780" s="11">
        <f>CodePrefix&amp;$A2780&amp;IF($C2780="","","."&amp;$C2780&amp;"."&amp;$B2780)&amp;INDEX(VarEnd,MATCH($A2780,VarKey,0))&amp;AG$5</f>
        <v/>
      </c>
      <c r="AH2780" s="43">
        <f>AH2753*Settings!$C$13*(INDEX(AH$420:AH$431,$D2780))</f>
        <v/>
      </c>
      <c r="AI2780" s="44">
        <f>AI2753*Settings!$C$13*(INDEX(AI$420:AI$431,$D2780))</f>
        <v/>
      </c>
      <c r="AJ2780" s="44">
        <f>AJ2753*Settings!$C$13*(INDEX(AJ$420:AJ$431,$D2780))</f>
        <v/>
      </c>
      <c r="AK2780" s="44">
        <f>AK2753*Settings!$C$13*(INDEX(AK$420:AK$431,$D2780))</f>
        <v/>
      </c>
      <c r="AL2780" s="44">
        <f>AL2753*Settings!$C$13*(INDEX(AL$420:AL$431,$D2780))</f>
        <v/>
      </c>
      <c r="AM2780" s="44">
        <f>AM2753*Settings!$C$13*(INDEX(AM$420:AM$431,$D2780))</f>
        <v/>
      </c>
      <c r="AN2780" s="44">
        <f>AN2753*Settings!$C$13*(INDEX(AN$420:AN$431,$D2780))</f>
        <v/>
      </c>
      <c r="AO2780" s="44">
        <f>AO2753*Settings!$C$13*(INDEX(AO$420:AO$431,$D2780))</f>
        <v/>
      </c>
      <c r="AP2780" s="44">
        <f>AP2753*Settings!$C$13*(INDEX(AP$420:AP$431,$D2780))</f>
        <v/>
      </c>
      <c r="AQ2780" s="44">
        <f>AQ2753*Settings!$C$13*(INDEX(AQ$420:AQ$431,$D2780))</f>
        <v/>
      </c>
      <c r="AR2780" s="44">
        <f>AR2753*Settings!$C$13*(INDEX(AR$420:AR$431,$D2780))</f>
        <v/>
      </c>
      <c r="AS2780" s="44">
        <f>AS2753*Settings!$C$13*(INDEX(AS$420:AS$431,$D2780))</f>
        <v/>
      </c>
      <c r="AT2780" s="44">
        <f>AT2753*Settings!$C$13*(INDEX(AT$420:AT$431,$D2780))</f>
        <v/>
      </c>
      <c r="AU2780" s="44">
        <f>AU2753*Settings!$C$13*(INDEX(AU$420:AU$431,$D2780))</f>
        <v/>
      </c>
      <c r="AV2780" s="44">
        <f>AV2753*Settings!$C$13*(INDEX(AV$420:AV$431,$D2780))</f>
        <v/>
      </c>
      <c r="AW2780" s="44">
        <f>AW2753*Settings!$C$13*(INDEX(AW$420:AW$431,$D2780))</f>
        <v/>
      </c>
      <c r="AX2780" s="44">
        <f>AX2753*Settings!$C$13*(INDEX(AX$420:AX$431,$D2780))</f>
        <v/>
      </c>
      <c r="AY2780" s="44">
        <f>AY2753*Settings!$C$13*(INDEX(AY$420:AY$431,$D2780))</f>
        <v/>
      </c>
      <c r="AZ2780" s="44">
        <f>AZ2753*Settings!$C$13*(INDEX(AZ$420:AZ$431,$D2780))</f>
        <v/>
      </c>
      <c r="BA2780" s="57">
        <f>REVENUE(BA2753,Settings!$C$13,INDEX(BA$420:BA$431,$D2780))</f>
        <v/>
      </c>
    </row>
    <row r="2781" hidden="1" outlineLevel="2">
      <c r="A2781" s="14" t="inlineStr">
        <is>
          <t>rsub</t>
        </is>
      </c>
      <c r="B2781" s="14" t="inlineStr">
        <is>
          <t>ker</t>
        </is>
      </c>
      <c r="C2781" s="14" t="inlineStr">
        <is>
          <t>cst</t>
        </is>
      </c>
      <c r="D2781" s="35">
        <f>INDEX(Inputs!$U$5:$U$132,MATCH($B2781&amp;"|"&amp;$C2781,Inputs!$A$5:$A$132,0))</f>
        <v/>
      </c>
      <c r="E2781" s="39" t="n"/>
      <c r="F2781" s="39" t="n"/>
      <c r="G2781" s="39" t="n"/>
      <c r="H2781" s="14">
        <f>INDEX(VarLab,MATCH($A2781,VarKey,0))&amp;INDEX(MemLab,MATCH($C2781&amp;"|"&amp;$B2781,MemKey,0))</f>
        <v/>
      </c>
      <c r="I2781" s="14">
        <f>INDEX(VarUnit,MATCH($A2781,VarKey,0))</f>
        <v/>
      </c>
      <c r="J2781" s="14">
        <f>INDEX(VarSrc,MATCH($A2781,VarKey,0))</f>
        <v/>
      </c>
      <c r="K2781" s="11">
        <f>CodePrefix&amp;$A2781&amp;IF($C2781="","","."&amp;$C2781&amp;"."&amp;$B2781)&amp;INDEX(VarEnd,MATCH($A2781,VarKey,0))&amp;K$5</f>
        <v/>
      </c>
      <c r="L2781" s="43">
        <f>L2754*Settings!$C$13*(INDEX(L$420:L$431,$D2781))</f>
        <v/>
      </c>
      <c r="M2781" s="44">
        <f>M2754*Settings!$C$13*(INDEX(M$420:M$431,$D2781))</f>
        <v/>
      </c>
      <c r="N2781" s="44">
        <f>N2754*Settings!$C$13*(INDEX(N$420:N$431,$D2781))</f>
        <v/>
      </c>
      <c r="O2781" s="44">
        <f>O2754*Settings!$C$13*(INDEX(O$420:O$431,$D2781))</f>
        <v/>
      </c>
      <c r="P2781" s="44">
        <f>P2754*Settings!$C$13*(INDEX(P$420:P$431,$D2781))</f>
        <v/>
      </c>
      <c r="Q2781" s="44">
        <f>Q2754*Settings!$C$13*(INDEX(Q$420:Q$431,$D2781))</f>
        <v/>
      </c>
      <c r="R2781" s="44">
        <f>R2754*Settings!$C$13*(INDEX(R$420:R$431,$D2781))</f>
        <v/>
      </c>
      <c r="S2781" s="44">
        <f>S2754*Settings!$C$13*(INDEX(S$420:S$431,$D2781))</f>
        <v/>
      </c>
      <c r="T2781" s="44">
        <f>T2754*Settings!$C$13*(INDEX(T$420:T$431,$D2781))</f>
        <v/>
      </c>
      <c r="U2781" s="44">
        <f>U2754*Settings!$C$13*(INDEX(U$420:U$431,$D2781))</f>
        <v/>
      </c>
      <c r="V2781" s="44">
        <f>V2754*Settings!$C$13*(INDEX(V$420:V$431,$D2781))</f>
        <v/>
      </c>
      <c r="W2781" s="44">
        <f>W2754*Settings!$C$13*(INDEX(W$420:W$431,$D2781))</f>
        <v/>
      </c>
      <c r="X2781" s="44">
        <f>X2754*Settings!$C$13*(INDEX(X$420:X$431,$D2781))</f>
        <v/>
      </c>
      <c r="Y2781" s="44">
        <f>Y2754*Settings!$C$13*(INDEX(Y$420:Y$431,$D2781))</f>
        <v/>
      </c>
      <c r="Z2781" s="44">
        <f>Z2754*Settings!$C$13*(INDEX(Z$420:Z$431,$D2781))</f>
        <v/>
      </c>
      <c r="AA2781" s="44">
        <f>AA2754*Settings!$C$13*(INDEX(AA$420:AA$431,$D2781))</f>
        <v/>
      </c>
      <c r="AB2781" s="44">
        <f>AB2754*Settings!$C$13*(INDEX(AB$420:AB$431,$D2781))</f>
        <v/>
      </c>
      <c r="AC2781" s="44">
        <f>AC2754*Settings!$C$13*(INDEX(AC$420:AC$431,$D2781))</f>
        <v/>
      </c>
      <c r="AD2781" s="44">
        <f>AD2754*Settings!$C$13*(INDEX(AD$420:AD$431,$D2781))</f>
        <v/>
      </c>
      <c r="AE2781" s="57">
        <f>REVENUE(AE2754,Settings!$C$13,INDEX(AE$420:AE$431,$D2781))</f>
        <v/>
      </c>
      <c r="AG2781" s="11">
        <f>CodePrefix&amp;$A2781&amp;IF($C2781="","","."&amp;$C2781&amp;"."&amp;$B2781)&amp;INDEX(VarEnd,MATCH($A2781,VarKey,0))&amp;AG$5</f>
        <v/>
      </c>
      <c r="AH2781" s="43">
        <f>AH2754*Settings!$C$13*(INDEX(AH$420:AH$431,$D2781))</f>
        <v/>
      </c>
      <c r="AI2781" s="44">
        <f>AI2754*Settings!$C$13*(INDEX(AI$420:AI$431,$D2781))</f>
        <v/>
      </c>
      <c r="AJ2781" s="44">
        <f>AJ2754*Settings!$C$13*(INDEX(AJ$420:AJ$431,$D2781))</f>
        <v/>
      </c>
      <c r="AK2781" s="44">
        <f>AK2754*Settings!$C$13*(INDEX(AK$420:AK$431,$D2781))</f>
        <v/>
      </c>
      <c r="AL2781" s="44">
        <f>AL2754*Settings!$C$13*(INDEX(AL$420:AL$431,$D2781))</f>
        <v/>
      </c>
      <c r="AM2781" s="44">
        <f>AM2754*Settings!$C$13*(INDEX(AM$420:AM$431,$D2781))</f>
        <v/>
      </c>
      <c r="AN2781" s="44">
        <f>AN2754*Settings!$C$13*(INDEX(AN$420:AN$431,$D2781))</f>
        <v/>
      </c>
      <c r="AO2781" s="44">
        <f>AO2754*Settings!$C$13*(INDEX(AO$420:AO$431,$D2781))</f>
        <v/>
      </c>
      <c r="AP2781" s="44">
        <f>AP2754*Settings!$C$13*(INDEX(AP$420:AP$431,$D2781))</f>
        <v/>
      </c>
      <c r="AQ2781" s="44">
        <f>AQ2754*Settings!$C$13*(INDEX(AQ$420:AQ$431,$D2781))</f>
        <v/>
      </c>
      <c r="AR2781" s="44">
        <f>AR2754*Settings!$C$13*(INDEX(AR$420:AR$431,$D2781))</f>
        <v/>
      </c>
      <c r="AS2781" s="44">
        <f>AS2754*Settings!$C$13*(INDEX(AS$420:AS$431,$D2781))</f>
        <v/>
      </c>
      <c r="AT2781" s="44">
        <f>AT2754*Settings!$C$13*(INDEX(AT$420:AT$431,$D2781))</f>
        <v/>
      </c>
      <c r="AU2781" s="44">
        <f>AU2754*Settings!$C$13*(INDEX(AU$420:AU$431,$D2781))</f>
        <v/>
      </c>
      <c r="AV2781" s="44">
        <f>AV2754*Settings!$C$13*(INDEX(AV$420:AV$431,$D2781))</f>
        <v/>
      </c>
      <c r="AW2781" s="44">
        <f>AW2754*Settings!$C$13*(INDEX(AW$420:AW$431,$D2781))</f>
        <v/>
      </c>
      <c r="AX2781" s="44">
        <f>AX2754*Settings!$C$13*(INDEX(AX$420:AX$431,$D2781))</f>
        <v/>
      </c>
      <c r="AY2781" s="44">
        <f>AY2754*Settings!$C$13*(INDEX(AY$420:AY$431,$D2781))</f>
        <v/>
      </c>
      <c r="AZ2781" s="44">
        <f>AZ2754*Settings!$C$13*(INDEX(AZ$420:AZ$431,$D2781))</f>
        <v/>
      </c>
      <c r="BA2781" s="57">
        <f>REVENUE(BA2754,Settings!$C$13,INDEX(BA$420:BA$431,$D2781))</f>
        <v/>
      </c>
    </row>
    <row r="2782" hidden="1" outlineLevel="2">
      <c r="A2782" s="14" t="inlineStr">
        <is>
          <t>rsub</t>
        </is>
      </c>
      <c r="B2782" s="14" t="inlineStr">
        <is>
          <t>oop</t>
        </is>
      </c>
      <c r="C2782" s="14" t="inlineStr">
        <is>
          <t>cst</t>
        </is>
      </c>
      <c r="D2782" s="35">
        <f>INDEX(Inputs!$U$5:$U$132,MATCH($B2782&amp;"|"&amp;$C2782,Inputs!$A$5:$A$132,0))</f>
        <v/>
      </c>
      <c r="E2782" s="39" t="n"/>
      <c r="F2782" s="39" t="n"/>
      <c r="G2782" s="39" t="n"/>
      <c r="H2782" s="14">
        <f>INDEX(VarLab,MATCH($A2782,VarKey,0))&amp;INDEX(MemLab,MATCH($C2782&amp;"|"&amp;$B2782,MemKey,0))</f>
        <v/>
      </c>
      <c r="I2782" s="14">
        <f>INDEX(VarUnit,MATCH($A2782,VarKey,0))</f>
        <v/>
      </c>
      <c r="J2782" s="14">
        <f>INDEX(VarSrc,MATCH($A2782,VarKey,0))</f>
        <v/>
      </c>
      <c r="K2782" s="11">
        <f>CodePrefix&amp;$A2782&amp;IF($C2782="","","."&amp;$C2782&amp;"."&amp;$B2782)&amp;INDEX(VarEnd,MATCH($A2782,VarKey,0))&amp;K$5</f>
        <v/>
      </c>
      <c r="L2782" s="43">
        <f>L2755*Settings!$C$13*(INDEX(L$420:L$431,$D2782))</f>
        <v/>
      </c>
      <c r="M2782" s="44">
        <f>M2755*Settings!$C$13*(INDEX(M$420:M$431,$D2782))</f>
        <v/>
      </c>
      <c r="N2782" s="44">
        <f>N2755*Settings!$C$13*(INDEX(N$420:N$431,$D2782))</f>
        <v/>
      </c>
      <c r="O2782" s="44">
        <f>O2755*Settings!$C$13*(INDEX(O$420:O$431,$D2782))</f>
        <v/>
      </c>
      <c r="P2782" s="44">
        <f>P2755*Settings!$C$13*(INDEX(P$420:P$431,$D2782))</f>
        <v/>
      </c>
      <c r="Q2782" s="44">
        <f>Q2755*Settings!$C$13*(INDEX(Q$420:Q$431,$D2782))</f>
        <v/>
      </c>
      <c r="R2782" s="44">
        <f>R2755*Settings!$C$13*(INDEX(R$420:R$431,$D2782))</f>
        <v/>
      </c>
      <c r="S2782" s="44">
        <f>S2755*Settings!$C$13*(INDEX(S$420:S$431,$D2782))</f>
        <v/>
      </c>
      <c r="T2782" s="44">
        <f>T2755*Settings!$C$13*(INDEX(T$420:T$431,$D2782))</f>
        <v/>
      </c>
      <c r="U2782" s="44">
        <f>U2755*Settings!$C$13*(INDEX(U$420:U$431,$D2782))</f>
        <v/>
      </c>
      <c r="V2782" s="44">
        <f>V2755*Settings!$C$13*(INDEX(V$420:V$431,$D2782))</f>
        <v/>
      </c>
      <c r="W2782" s="44">
        <f>W2755*Settings!$C$13*(INDEX(W$420:W$431,$D2782))</f>
        <v/>
      </c>
      <c r="X2782" s="44">
        <f>X2755*Settings!$C$13*(INDEX(X$420:X$431,$D2782))</f>
        <v/>
      </c>
      <c r="Y2782" s="44">
        <f>Y2755*Settings!$C$13*(INDEX(Y$420:Y$431,$D2782))</f>
        <v/>
      </c>
      <c r="Z2782" s="44">
        <f>Z2755*Settings!$C$13*(INDEX(Z$420:Z$431,$D2782))</f>
        <v/>
      </c>
      <c r="AA2782" s="44">
        <f>AA2755*Settings!$C$13*(INDEX(AA$420:AA$431,$D2782))</f>
        <v/>
      </c>
      <c r="AB2782" s="44">
        <f>AB2755*Settings!$C$13*(INDEX(AB$420:AB$431,$D2782))</f>
        <v/>
      </c>
      <c r="AC2782" s="44">
        <f>AC2755*Settings!$C$13*(INDEX(AC$420:AC$431,$D2782))</f>
        <v/>
      </c>
      <c r="AD2782" s="44">
        <f>AD2755*Settings!$C$13*(INDEX(AD$420:AD$431,$D2782))</f>
        <v/>
      </c>
      <c r="AE2782" s="57">
        <f>REVENUE(AE2755,Settings!$C$13,INDEX(AE$420:AE$431,$D2782))</f>
        <v/>
      </c>
      <c r="AG2782" s="11">
        <f>CodePrefix&amp;$A2782&amp;IF($C2782="","","."&amp;$C2782&amp;"."&amp;$B2782)&amp;INDEX(VarEnd,MATCH($A2782,VarKey,0))&amp;AG$5</f>
        <v/>
      </c>
      <c r="AH2782" s="43">
        <f>AH2755*Settings!$C$13*(INDEX(AH$420:AH$431,$D2782))</f>
        <v/>
      </c>
      <c r="AI2782" s="44">
        <f>AI2755*Settings!$C$13*(INDEX(AI$420:AI$431,$D2782))</f>
        <v/>
      </c>
      <c r="AJ2782" s="44">
        <f>AJ2755*Settings!$C$13*(INDEX(AJ$420:AJ$431,$D2782))</f>
        <v/>
      </c>
      <c r="AK2782" s="44">
        <f>AK2755*Settings!$C$13*(INDEX(AK$420:AK$431,$D2782))</f>
        <v/>
      </c>
      <c r="AL2782" s="44">
        <f>AL2755*Settings!$C$13*(INDEX(AL$420:AL$431,$D2782))</f>
        <v/>
      </c>
      <c r="AM2782" s="44">
        <f>AM2755*Settings!$C$13*(INDEX(AM$420:AM$431,$D2782))</f>
        <v/>
      </c>
      <c r="AN2782" s="44">
        <f>AN2755*Settings!$C$13*(INDEX(AN$420:AN$431,$D2782))</f>
        <v/>
      </c>
      <c r="AO2782" s="44">
        <f>AO2755*Settings!$C$13*(INDEX(AO$420:AO$431,$D2782))</f>
        <v/>
      </c>
      <c r="AP2782" s="44">
        <f>AP2755*Settings!$C$13*(INDEX(AP$420:AP$431,$D2782))</f>
        <v/>
      </c>
      <c r="AQ2782" s="44">
        <f>AQ2755*Settings!$C$13*(INDEX(AQ$420:AQ$431,$D2782))</f>
        <v/>
      </c>
      <c r="AR2782" s="44">
        <f>AR2755*Settings!$C$13*(INDEX(AR$420:AR$431,$D2782))</f>
        <v/>
      </c>
      <c r="AS2782" s="44">
        <f>AS2755*Settings!$C$13*(INDEX(AS$420:AS$431,$D2782))</f>
        <v/>
      </c>
      <c r="AT2782" s="44">
        <f>AT2755*Settings!$C$13*(INDEX(AT$420:AT$431,$D2782))</f>
        <v/>
      </c>
      <c r="AU2782" s="44">
        <f>AU2755*Settings!$C$13*(INDEX(AU$420:AU$431,$D2782))</f>
        <v/>
      </c>
      <c r="AV2782" s="44">
        <f>AV2755*Settings!$C$13*(INDEX(AV$420:AV$431,$D2782))</f>
        <v/>
      </c>
      <c r="AW2782" s="44">
        <f>AW2755*Settings!$C$13*(INDEX(AW$420:AW$431,$D2782))</f>
        <v/>
      </c>
      <c r="AX2782" s="44">
        <f>AX2755*Settings!$C$13*(INDEX(AX$420:AX$431,$D2782))</f>
        <v/>
      </c>
      <c r="AY2782" s="44">
        <f>AY2755*Settings!$C$13*(INDEX(AY$420:AY$431,$D2782))</f>
        <v/>
      </c>
      <c r="AZ2782" s="44">
        <f>AZ2755*Settings!$C$13*(INDEX(AZ$420:AZ$431,$D2782))</f>
        <v/>
      </c>
      <c r="BA2782" s="57">
        <f>REVENUE(BA2755,Settings!$C$13,INDEX(BA$420:BA$431,$D2782))</f>
        <v/>
      </c>
    </row>
    <row r="2783" hidden="1" outlineLevel="2">
      <c r="A2783" s="14" t="inlineStr">
        <is>
          <t>rsub</t>
        </is>
      </c>
      <c r="B2783" s="14" t="inlineStr">
        <is>
          <t>bio</t>
        </is>
      </c>
      <c r="C2783" s="14" t="inlineStr">
        <is>
          <t>cst</t>
        </is>
      </c>
      <c r="D2783" s="35">
        <f>INDEX(Inputs!$U$5:$U$132,MATCH($B2783&amp;"|"&amp;$C2783,Inputs!$A$5:$A$132,0))</f>
        <v/>
      </c>
      <c r="E2783" s="39" t="n"/>
      <c r="F2783" s="39" t="n"/>
      <c r="G2783" s="39" t="n"/>
      <c r="H2783" s="14">
        <f>INDEX(VarLab,MATCH($A2783,VarKey,0))&amp;INDEX(MemLab,MATCH($C2783&amp;"|"&amp;$B2783,MemKey,0))</f>
        <v/>
      </c>
      <c r="I2783" s="14">
        <f>INDEX(VarUnit,MATCH($A2783,VarKey,0))</f>
        <v/>
      </c>
      <c r="J2783" s="14">
        <f>INDEX(VarSrc,MATCH($A2783,VarKey,0))</f>
        <v/>
      </c>
      <c r="K2783" s="11">
        <f>CodePrefix&amp;$A2783&amp;IF($C2783="","","."&amp;$C2783&amp;"."&amp;$B2783)&amp;INDEX(VarEnd,MATCH($A2783,VarKey,0))&amp;K$5</f>
        <v/>
      </c>
      <c r="L2783" s="43">
        <f>L2756*Settings!$C$13*(INDEX(L$420:L$431,$D2783))</f>
        <v/>
      </c>
      <c r="M2783" s="44">
        <f>M2756*Settings!$C$13*(INDEX(M$420:M$431,$D2783))</f>
        <v/>
      </c>
      <c r="N2783" s="44">
        <f>N2756*Settings!$C$13*(INDEX(N$420:N$431,$D2783))</f>
        <v/>
      </c>
      <c r="O2783" s="44">
        <f>O2756*Settings!$C$13*(INDEX(O$420:O$431,$D2783))</f>
        <v/>
      </c>
      <c r="P2783" s="44">
        <f>P2756*Settings!$C$13*(INDEX(P$420:P$431,$D2783))</f>
        <v/>
      </c>
      <c r="Q2783" s="44">
        <f>Q2756*Settings!$C$13*(INDEX(Q$420:Q$431,$D2783))</f>
        <v/>
      </c>
      <c r="R2783" s="44">
        <f>R2756*Settings!$C$13*(INDEX(R$420:R$431,$D2783))</f>
        <v/>
      </c>
      <c r="S2783" s="44">
        <f>S2756*Settings!$C$13*(INDEX(S$420:S$431,$D2783))</f>
        <v/>
      </c>
      <c r="T2783" s="44">
        <f>T2756*Settings!$C$13*(INDEX(T$420:T$431,$D2783))</f>
        <v/>
      </c>
      <c r="U2783" s="44">
        <f>U2756*Settings!$C$13*(INDEX(U$420:U$431,$D2783))</f>
        <v/>
      </c>
      <c r="V2783" s="44">
        <f>V2756*Settings!$C$13*(INDEX(V$420:V$431,$D2783))</f>
        <v/>
      </c>
      <c r="W2783" s="44">
        <f>W2756*Settings!$C$13*(INDEX(W$420:W$431,$D2783))</f>
        <v/>
      </c>
      <c r="X2783" s="44">
        <f>X2756*Settings!$C$13*(INDEX(X$420:X$431,$D2783))</f>
        <v/>
      </c>
      <c r="Y2783" s="44">
        <f>Y2756*Settings!$C$13*(INDEX(Y$420:Y$431,$D2783))</f>
        <v/>
      </c>
      <c r="Z2783" s="44">
        <f>Z2756*Settings!$C$13*(INDEX(Z$420:Z$431,$D2783))</f>
        <v/>
      </c>
      <c r="AA2783" s="44">
        <f>AA2756*Settings!$C$13*(INDEX(AA$420:AA$431,$D2783))</f>
        <v/>
      </c>
      <c r="AB2783" s="44">
        <f>AB2756*Settings!$C$13*(INDEX(AB$420:AB$431,$D2783))</f>
        <v/>
      </c>
      <c r="AC2783" s="44">
        <f>AC2756*Settings!$C$13*(INDEX(AC$420:AC$431,$D2783))</f>
        <v/>
      </c>
      <c r="AD2783" s="44">
        <f>AD2756*Settings!$C$13*(INDEX(AD$420:AD$431,$D2783))</f>
        <v/>
      </c>
      <c r="AE2783" s="57">
        <f>REVENUE(AE2756,Settings!$C$13,INDEX(AE$420:AE$431,$D2783))</f>
        <v/>
      </c>
      <c r="AG2783" s="11">
        <f>CodePrefix&amp;$A2783&amp;IF($C2783="","","."&amp;$C2783&amp;"."&amp;$B2783)&amp;INDEX(VarEnd,MATCH($A2783,VarKey,0))&amp;AG$5</f>
        <v/>
      </c>
      <c r="AH2783" s="43">
        <f>AH2756*Settings!$C$13*(INDEX(AH$420:AH$431,$D2783))</f>
        <v/>
      </c>
      <c r="AI2783" s="44">
        <f>AI2756*Settings!$C$13*(INDEX(AI$420:AI$431,$D2783))</f>
        <v/>
      </c>
      <c r="AJ2783" s="44">
        <f>AJ2756*Settings!$C$13*(INDEX(AJ$420:AJ$431,$D2783))</f>
        <v/>
      </c>
      <c r="AK2783" s="44">
        <f>AK2756*Settings!$C$13*(INDEX(AK$420:AK$431,$D2783))</f>
        <v/>
      </c>
      <c r="AL2783" s="44">
        <f>AL2756*Settings!$C$13*(INDEX(AL$420:AL$431,$D2783))</f>
        <v/>
      </c>
      <c r="AM2783" s="44">
        <f>AM2756*Settings!$C$13*(INDEX(AM$420:AM$431,$D2783))</f>
        <v/>
      </c>
      <c r="AN2783" s="44">
        <f>AN2756*Settings!$C$13*(INDEX(AN$420:AN$431,$D2783))</f>
        <v/>
      </c>
      <c r="AO2783" s="44">
        <f>AO2756*Settings!$C$13*(INDEX(AO$420:AO$431,$D2783))</f>
        <v/>
      </c>
      <c r="AP2783" s="44">
        <f>AP2756*Settings!$C$13*(INDEX(AP$420:AP$431,$D2783))</f>
        <v/>
      </c>
      <c r="AQ2783" s="44">
        <f>AQ2756*Settings!$C$13*(INDEX(AQ$420:AQ$431,$D2783))</f>
        <v/>
      </c>
      <c r="AR2783" s="44">
        <f>AR2756*Settings!$C$13*(INDEX(AR$420:AR$431,$D2783))</f>
        <v/>
      </c>
      <c r="AS2783" s="44">
        <f>AS2756*Settings!$C$13*(INDEX(AS$420:AS$431,$D2783))</f>
        <v/>
      </c>
      <c r="AT2783" s="44">
        <f>AT2756*Settings!$C$13*(INDEX(AT$420:AT$431,$D2783))</f>
        <v/>
      </c>
      <c r="AU2783" s="44">
        <f>AU2756*Settings!$C$13*(INDEX(AU$420:AU$431,$D2783))</f>
        <v/>
      </c>
      <c r="AV2783" s="44">
        <f>AV2756*Settings!$C$13*(INDEX(AV$420:AV$431,$D2783))</f>
        <v/>
      </c>
      <c r="AW2783" s="44">
        <f>AW2756*Settings!$C$13*(INDEX(AW$420:AW$431,$D2783))</f>
        <v/>
      </c>
      <c r="AX2783" s="44">
        <f>AX2756*Settings!$C$13*(INDEX(AX$420:AX$431,$D2783))</f>
        <v/>
      </c>
      <c r="AY2783" s="44">
        <f>AY2756*Settings!$C$13*(INDEX(AY$420:AY$431,$D2783))</f>
        <v/>
      </c>
      <c r="AZ2783" s="44">
        <f>AZ2756*Settings!$C$13*(INDEX(AZ$420:AZ$431,$D2783))</f>
        <v/>
      </c>
      <c r="BA2783" s="57">
        <f>REVENUE(BA2756,Settings!$C$13,INDEX(BA$420:BA$431,$D2783))</f>
        <v/>
      </c>
    </row>
    <row r="2784" hidden="1" outlineLevel="2"/>
    <row r="2785" hidden="1" outlineLevel="2">
      <c r="A2785" s="14" t="inlineStr">
        <is>
          <t>rnew</t>
        </is>
      </c>
      <c r="B2785" s="14" t="inlineStr">
        <is>
          <t>coa</t>
        </is>
      </c>
      <c r="C2785" s="14" t="inlineStr">
        <is>
          <t>cst</t>
        </is>
      </c>
      <c r="D2785" s="35">
        <f>INDEX(Inputs!$V$5:$V$132,MATCH($B2785&amp;"|"&amp;$C2785,Inputs!$A$5:$A$132,0))</f>
        <v/>
      </c>
      <c r="E2785" s="39" t="n"/>
      <c r="F2785" s="39" t="n"/>
      <c r="G2785" s="39" t="n"/>
      <c r="H2785" s="14">
        <f>INDEX(VarLab,MATCH($A2785,VarKey,0))&amp;INDEX(MemLab,MATCH($C2785&amp;"|"&amp;$B2785,MemKey,0))</f>
        <v/>
      </c>
      <c r="I2785" s="14">
        <f>INDEX(VarUnit,MATCH($A2785,VarKey,0))</f>
        <v/>
      </c>
      <c r="J2785" s="14">
        <f>INDEX(VarSrc,MATCH($A2785,VarKey,0))</f>
        <v/>
      </c>
      <c r="K2785" s="11">
        <f>CodePrefix&amp;$A2785&amp;IF($C2785="","","."&amp;$C2785&amp;"."&amp;$B2785)&amp;INDEX(VarEnd,MATCH($A2785,VarKey,0))&amp;K$5</f>
        <v/>
      </c>
      <c r="L2785" s="43">
        <f>L2749*Settings!$C$13*(L2677+L2695+L2686*L$201+L2704*$D2785)</f>
        <v/>
      </c>
      <c r="M2785" s="44">
        <f>M2749*Settings!$C$13*(M2677+M2695+M2686*M$201+M2704*$D2785)</f>
        <v/>
      </c>
      <c r="N2785" s="44">
        <f>N2749*Settings!$C$13*(N2677+N2695+N2686*N$201+N2704*$D2785)</f>
        <v/>
      </c>
      <c r="O2785" s="44">
        <f>O2749*Settings!$C$13*(O2677+O2695+O2686*O$201+O2704*$D2785)</f>
        <v/>
      </c>
      <c r="P2785" s="44">
        <f>P2749*Settings!$C$13*(P2677+P2695+P2686*P$201+P2704*$D2785)</f>
        <v/>
      </c>
      <c r="Q2785" s="44">
        <f>Q2749*Settings!$C$13*(Q2677+Q2695+Q2686*Q$201+Q2704*$D2785)</f>
        <v/>
      </c>
      <c r="R2785" s="44">
        <f>R2749*Settings!$C$13*(R2677+R2695+R2686*R$201+R2704*$D2785)</f>
        <v/>
      </c>
      <c r="S2785" s="44">
        <f>S2749*Settings!$C$13*(S2677+S2695+S2686*S$201+S2704*$D2785)</f>
        <v/>
      </c>
      <c r="T2785" s="44">
        <f>T2749*Settings!$C$13*(T2677+T2695+T2686*T$201+T2704*$D2785)</f>
        <v/>
      </c>
      <c r="U2785" s="44">
        <f>U2749*Settings!$C$13*(U2677+U2695+U2686*U$201+U2704*$D2785)</f>
        <v/>
      </c>
      <c r="V2785" s="44">
        <f>V2749*Settings!$C$13*(V2677+V2695+V2686*V$201+V2704*$D2785)</f>
        <v/>
      </c>
      <c r="W2785" s="44">
        <f>W2749*Settings!$C$13*(W2677+W2695+W2686*W$201+W2704*$D2785)</f>
        <v/>
      </c>
      <c r="X2785" s="44">
        <f>X2749*Settings!$C$13*(X2677+X2695+X2686*X$201+X2704*$D2785)</f>
        <v/>
      </c>
      <c r="Y2785" s="44">
        <f>Y2749*Settings!$C$13*(Y2677+Y2695+Y2686*Y$201+Y2704*$D2785)</f>
        <v/>
      </c>
      <c r="Z2785" s="44">
        <f>Z2749*Settings!$C$13*(Z2677+Z2695+Z2686*Z$201+Z2704*$D2785)</f>
        <v/>
      </c>
      <c r="AA2785" s="44">
        <f>AA2749*Settings!$C$13*(AA2677+AA2695+AA2686*AA$201+AA2704*$D2785)</f>
        <v/>
      </c>
      <c r="AB2785" s="44">
        <f>AB2749*Settings!$C$13*(AB2677+AB2695+AB2686*AB$201+AB2704*$D2785)</f>
        <v/>
      </c>
      <c r="AC2785" s="44">
        <f>AC2749*Settings!$C$13*(AC2677+AC2695+AC2686*AC$201+AC2704*$D2785)</f>
        <v/>
      </c>
      <c r="AD2785" s="44">
        <f>AD2749*Settings!$C$13*(AD2677+AD2695+AD2686*AD$201+AD2704*$D2785)</f>
        <v/>
      </c>
      <c r="AE2785" s="57">
        <f>REVENUE(AE2749,Settings!$C$13,NEWREVRATE(AE2677,AE2695,AE2686,AE$201,AE2704,$D2785))</f>
        <v/>
      </c>
      <c r="AG2785" s="11">
        <f>CodePrefix&amp;$A2785&amp;IF($C2785="","","."&amp;$C2785&amp;"."&amp;$B2785)&amp;INDEX(VarEnd,MATCH($A2785,VarKey,0))&amp;AG$5</f>
        <v/>
      </c>
      <c r="AH2785" s="43">
        <f>AH2749*Settings!$C$13*(AH2677+AH2695+AH2686*AH$201+AH2704*$D2785)</f>
        <v/>
      </c>
      <c r="AI2785" s="44">
        <f>AI2749*Settings!$C$13*(AI2677+AI2695+AI2686*AI$201+AI2704*$D2785)</f>
        <v/>
      </c>
      <c r="AJ2785" s="44">
        <f>AJ2749*Settings!$C$13*(AJ2677+AJ2695+AJ2686*AJ$201+AJ2704*$D2785)</f>
        <v/>
      </c>
      <c r="AK2785" s="44">
        <f>AK2749*Settings!$C$13*(AK2677+AK2695+AK2686*AK$201+AK2704*$D2785)</f>
        <v/>
      </c>
      <c r="AL2785" s="44">
        <f>AL2749*Settings!$C$13*(AL2677+AL2695+AL2686*AL$201+AL2704*$D2785)</f>
        <v/>
      </c>
      <c r="AM2785" s="44">
        <f>AM2749*Settings!$C$13*(AM2677+AM2695+AM2686*AM$201+AM2704*$D2785)</f>
        <v/>
      </c>
      <c r="AN2785" s="44">
        <f>AN2749*Settings!$C$13*(AN2677+AN2695+AN2686*AN$201+AN2704*$D2785)</f>
        <v/>
      </c>
      <c r="AO2785" s="44">
        <f>AO2749*Settings!$C$13*(AO2677+AO2695+AO2686*AO$201+AO2704*$D2785)</f>
        <v/>
      </c>
      <c r="AP2785" s="44">
        <f>AP2749*Settings!$C$13*(AP2677+AP2695+AP2686*AP$201+AP2704*$D2785)</f>
        <v/>
      </c>
      <c r="AQ2785" s="44">
        <f>AQ2749*Settings!$C$13*(AQ2677+AQ2695+AQ2686*AQ$201+AQ2704*$D2785)</f>
        <v/>
      </c>
      <c r="AR2785" s="44">
        <f>AR2749*Settings!$C$13*(AR2677+AR2695+AR2686*AR$201+AR2704*$D2785)</f>
        <v/>
      </c>
      <c r="AS2785" s="44">
        <f>AS2749*Settings!$C$13*(AS2677+AS2695+AS2686*AS$201+AS2704*$D2785)</f>
        <v/>
      </c>
      <c r="AT2785" s="44">
        <f>AT2749*Settings!$C$13*(AT2677+AT2695+AT2686*AT$201+AT2704*$D2785)</f>
        <v/>
      </c>
      <c r="AU2785" s="44">
        <f>AU2749*Settings!$C$13*(AU2677+AU2695+AU2686*AU$201+AU2704*$D2785)</f>
        <v/>
      </c>
      <c r="AV2785" s="44">
        <f>AV2749*Settings!$C$13*(AV2677+AV2695+AV2686*AV$201+AV2704*$D2785)</f>
        <v/>
      </c>
      <c r="AW2785" s="44">
        <f>AW2749*Settings!$C$13*(AW2677+AW2695+AW2686*AW$201+AW2704*$D2785)</f>
        <v/>
      </c>
      <c r="AX2785" s="44">
        <f>AX2749*Settings!$C$13*(AX2677+AX2695+AX2686*AX$201+AX2704*$D2785)</f>
        <v/>
      </c>
      <c r="AY2785" s="44">
        <f>AY2749*Settings!$C$13*(AY2677+AY2695+AY2686*AY$201+AY2704*$D2785)</f>
        <v/>
      </c>
      <c r="AZ2785" s="44">
        <f>AZ2749*Settings!$C$13*(AZ2677+AZ2695+AZ2686*AZ$201+AZ2704*$D2785)</f>
        <v/>
      </c>
      <c r="BA2785" s="57">
        <f>REVENUE(BA2749,Settings!$C$13,NEWREVRATE(BA2677,BA2695,BA2686,BA$201,BA2704,$D2785))</f>
        <v/>
      </c>
    </row>
    <row r="2786" hidden="1" outlineLevel="2">
      <c r="A2786" s="14" t="inlineStr">
        <is>
          <t>rnew</t>
        </is>
      </c>
      <c r="B2786" s="14" t="inlineStr">
        <is>
          <t>nga</t>
        </is>
      </c>
      <c r="C2786" s="14" t="inlineStr">
        <is>
          <t>cst</t>
        </is>
      </c>
      <c r="D2786" s="35">
        <f>INDEX(Inputs!$V$5:$V$132,MATCH($B2786&amp;"|"&amp;$C2786,Inputs!$A$5:$A$132,0))</f>
        <v/>
      </c>
      <c r="E2786" s="39" t="n"/>
      <c r="F2786" s="39" t="n"/>
      <c r="G2786" s="39" t="n"/>
      <c r="H2786" s="14">
        <f>INDEX(VarLab,MATCH($A2786,VarKey,0))&amp;INDEX(MemLab,MATCH($C2786&amp;"|"&amp;$B2786,MemKey,0))</f>
        <v/>
      </c>
      <c r="I2786" s="14">
        <f>INDEX(VarUnit,MATCH($A2786,VarKey,0))</f>
        <v/>
      </c>
      <c r="J2786" s="14">
        <f>INDEX(VarSrc,MATCH($A2786,VarKey,0))</f>
        <v/>
      </c>
      <c r="K2786" s="11">
        <f>CodePrefix&amp;$A2786&amp;IF($C2786="","","."&amp;$C2786&amp;"."&amp;$B2786)&amp;INDEX(VarEnd,MATCH($A2786,VarKey,0))&amp;K$5</f>
        <v/>
      </c>
      <c r="L2786" s="43">
        <f>L2750*Settings!$C$13*(L2678+L2696+L2687*L$201+L2705*$D2786)</f>
        <v/>
      </c>
      <c r="M2786" s="44">
        <f>M2750*Settings!$C$13*(M2678+M2696+M2687*M$201+M2705*$D2786)</f>
        <v/>
      </c>
      <c r="N2786" s="44">
        <f>N2750*Settings!$C$13*(N2678+N2696+N2687*N$201+N2705*$D2786)</f>
        <v/>
      </c>
      <c r="O2786" s="44">
        <f>O2750*Settings!$C$13*(O2678+O2696+O2687*O$201+O2705*$D2786)</f>
        <v/>
      </c>
      <c r="P2786" s="44">
        <f>P2750*Settings!$C$13*(P2678+P2696+P2687*P$201+P2705*$D2786)</f>
        <v/>
      </c>
      <c r="Q2786" s="44">
        <f>Q2750*Settings!$C$13*(Q2678+Q2696+Q2687*Q$201+Q2705*$D2786)</f>
        <v/>
      </c>
      <c r="R2786" s="44">
        <f>R2750*Settings!$C$13*(R2678+R2696+R2687*R$201+R2705*$D2786)</f>
        <v/>
      </c>
      <c r="S2786" s="44">
        <f>S2750*Settings!$C$13*(S2678+S2696+S2687*S$201+S2705*$D2786)</f>
        <v/>
      </c>
      <c r="T2786" s="44">
        <f>T2750*Settings!$C$13*(T2678+T2696+T2687*T$201+T2705*$D2786)</f>
        <v/>
      </c>
      <c r="U2786" s="44">
        <f>U2750*Settings!$C$13*(U2678+U2696+U2687*U$201+U2705*$D2786)</f>
        <v/>
      </c>
      <c r="V2786" s="44">
        <f>V2750*Settings!$C$13*(V2678+V2696+V2687*V$201+V2705*$D2786)</f>
        <v/>
      </c>
      <c r="W2786" s="44">
        <f>W2750*Settings!$C$13*(W2678+W2696+W2687*W$201+W2705*$D2786)</f>
        <v/>
      </c>
      <c r="X2786" s="44">
        <f>X2750*Settings!$C$13*(X2678+X2696+X2687*X$201+X2705*$D2786)</f>
        <v/>
      </c>
      <c r="Y2786" s="44">
        <f>Y2750*Settings!$C$13*(Y2678+Y2696+Y2687*Y$201+Y2705*$D2786)</f>
        <v/>
      </c>
      <c r="Z2786" s="44">
        <f>Z2750*Settings!$C$13*(Z2678+Z2696+Z2687*Z$201+Z2705*$D2786)</f>
        <v/>
      </c>
      <c r="AA2786" s="44">
        <f>AA2750*Settings!$C$13*(AA2678+AA2696+AA2687*AA$201+AA2705*$D2786)</f>
        <v/>
      </c>
      <c r="AB2786" s="44">
        <f>AB2750*Settings!$C$13*(AB2678+AB2696+AB2687*AB$201+AB2705*$D2786)</f>
        <v/>
      </c>
      <c r="AC2786" s="44">
        <f>AC2750*Settings!$C$13*(AC2678+AC2696+AC2687*AC$201+AC2705*$D2786)</f>
        <v/>
      </c>
      <c r="AD2786" s="44">
        <f>AD2750*Settings!$C$13*(AD2678+AD2696+AD2687*AD$201+AD2705*$D2786)</f>
        <v/>
      </c>
      <c r="AE2786" s="57">
        <f>REVENUE(AE2750,Settings!$C$13,NEWREVRATE(AE2678,AE2696,AE2687,AE$201,AE2705,$D2786))</f>
        <v/>
      </c>
      <c r="AG2786" s="11">
        <f>CodePrefix&amp;$A2786&amp;IF($C2786="","","."&amp;$C2786&amp;"."&amp;$B2786)&amp;INDEX(VarEnd,MATCH($A2786,VarKey,0))&amp;AG$5</f>
        <v/>
      </c>
      <c r="AH2786" s="43">
        <f>AH2750*Settings!$C$13*(AH2678+AH2696+AH2687*AH$201+AH2705*$D2786)</f>
        <v/>
      </c>
      <c r="AI2786" s="44">
        <f>AI2750*Settings!$C$13*(AI2678+AI2696+AI2687*AI$201+AI2705*$D2786)</f>
        <v/>
      </c>
      <c r="AJ2786" s="44">
        <f>AJ2750*Settings!$C$13*(AJ2678+AJ2696+AJ2687*AJ$201+AJ2705*$D2786)</f>
        <v/>
      </c>
      <c r="AK2786" s="44">
        <f>AK2750*Settings!$C$13*(AK2678+AK2696+AK2687*AK$201+AK2705*$D2786)</f>
        <v/>
      </c>
      <c r="AL2786" s="44">
        <f>AL2750*Settings!$C$13*(AL2678+AL2696+AL2687*AL$201+AL2705*$D2786)</f>
        <v/>
      </c>
      <c r="AM2786" s="44">
        <f>AM2750*Settings!$C$13*(AM2678+AM2696+AM2687*AM$201+AM2705*$D2786)</f>
        <v/>
      </c>
      <c r="AN2786" s="44">
        <f>AN2750*Settings!$C$13*(AN2678+AN2696+AN2687*AN$201+AN2705*$D2786)</f>
        <v/>
      </c>
      <c r="AO2786" s="44">
        <f>AO2750*Settings!$C$13*(AO2678+AO2696+AO2687*AO$201+AO2705*$D2786)</f>
        <v/>
      </c>
      <c r="AP2786" s="44">
        <f>AP2750*Settings!$C$13*(AP2678+AP2696+AP2687*AP$201+AP2705*$D2786)</f>
        <v/>
      </c>
      <c r="AQ2786" s="44">
        <f>AQ2750*Settings!$C$13*(AQ2678+AQ2696+AQ2687*AQ$201+AQ2705*$D2786)</f>
        <v/>
      </c>
      <c r="AR2786" s="44">
        <f>AR2750*Settings!$C$13*(AR2678+AR2696+AR2687*AR$201+AR2705*$D2786)</f>
        <v/>
      </c>
      <c r="AS2786" s="44">
        <f>AS2750*Settings!$C$13*(AS2678+AS2696+AS2687*AS$201+AS2705*$D2786)</f>
        <v/>
      </c>
      <c r="AT2786" s="44">
        <f>AT2750*Settings!$C$13*(AT2678+AT2696+AT2687*AT$201+AT2705*$D2786)</f>
        <v/>
      </c>
      <c r="AU2786" s="44">
        <f>AU2750*Settings!$C$13*(AU2678+AU2696+AU2687*AU$201+AU2705*$D2786)</f>
        <v/>
      </c>
      <c r="AV2786" s="44">
        <f>AV2750*Settings!$C$13*(AV2678+AV2696+AV2687*AV$201+AV2705*$D2786)</f>
        <v/>
      </c>
      <c r="AW2786" s="44">
        <f>AW2750*Settings!$C$13*(AW2678+AW2696+AW2687*AW$201+AW2705*$D2786)</f>
        <v/>
      </c>
      <c r="AX2786" s="44">
        <f>AX2750*Settings!$C$13*(AX2678+AX2696+AX2687*AX$201+AX2705*$D2786)</f>
        <v/>
      </c>
      <c r="AY2786" s="44">
        <f>AY2750*Settings!$C$13*(AY2678+AY2696+AY2687*AY$201+AY2705*$D2786)</f>
        <v/>
      </c>
      <c r="AZ2786" s="44">
        <f>AZ2750*Settings!$C$13*(AZ2678+AZ2696+AZ2687*AZ$201+AZ2705*$D2786)</f>
        <v/>
      </c>
      <c r="BA2786" s="57">
        <f>REVENUE(BA2750,Settings!$C$13,NEWREVRATE(BA2678,BA2696,BA2687,BA$201,BA2705,$D2786))</f>
        <v/>
      </c>
    </row>
    <row r="2787" hidden="1" outlineLevel="2">
      <c r="A2787" s="14" t="inlineStr">
        <is>
          <t>rnew</t>
        </is>
      </c>
      <c r="B2787" s="14" t="inlineStr">
        <is>
          <t>gso</t>
        </is>
      </c>
      <c r="C2787" s="14" t="inlineStr">
        <is>
          <t>cst</t>
        </is>
      </c>
      <c r="D2787" s="35">
        <f>INDEX(Inputs!$V$5:$V$132,MATCH($B2787&amp;"|"&amp;$C2787,Inputs!$A$5:$A$132,0))</f>
        <v/>
      </c>
      <c r="E2787" s="39" t="n"/>
      <c r="F2787" s="39" t="n"/>
      <c r="G2787" s="39" t="n"/>
      <c r="H2787" s="14">
        <f>INDEX(VarLab,MATCH($A2787,VarKey,0))&amp;INDEX(MemLab,MATCH($C2787&amp;"|"&amp;$B2787,MemKey,0))</f>
        <v/>
      </c>
      <c r="I2787" s="14">
        <f>INDEX(VarUnit,MATCH($A2787,VarKey,0))</f>
        <v/>
      </c>
      <c r="J2787" s="14">
        <f>INDEX(VarSrc,MATCH($A2787,VarKey,0))</f>
        <v/>
      </c>
      <c r="K2787" s="11">
        <f>CodePrefix&amp;$A2787&amp;IF($C2787="","","."&amp;$C2787&amp;"."&amp;$B2787)&amp;INDEX(VarEnd,MATCH($A2787,VarKey,0))&amp;K$5</f>
        <v/>
      </c>
      <c r="L2787" s="43">
        <f>L2751*Settings!$C$13*(L2679+L2697+L2688*L$201+L2706*$D2787)</f>
        <v/>
      </c>
      <c r="M2787" s="44">
        <f>M2751*Settings!$C$13*(M2679+M2697+M2688*M$201+M2706*$D2787)</f>
        <v/>
      </c>
      <c r="N2787" s="44">
        <f>N2751*Settings!$C$13*(N2679+N2697+N2688*N$201+N2706*$D2787)</f>
        <v/>
      </c>
      <c r="O2787" s="44">
        <f>O2751*Settings!$C$13*(O2679+O2697+O2688*O$201+O2706*$D2787)</f>
        <v/>
      </c>
      <c r="P2787" s="44">
        <f>P2751*Settings!$C$13*(P2679+P2697+P2688*P$201+P2706*$D2787)</f>
        <v/>
      </c>
      <c r="Q2787" s="44">
        <f>Q2751*Settings!$C$13*(Q2679+Q2697+Q2688*Q$201+Q2706*$D2787)</f>
        <v/>
      </c>
      <c r="R2787" s="44">
        <f>R2751*Settings!$C$13*(R2679+R2697+R2688*R$201+R2706*$D2787)</f>
        <v/>
      </c>
      <c r="S2787" s="44">
        <f>S2751*Settings!$C$13*(S2679+S2697+S2688*S$201+S2706*$D2787)</f>
        <v/>
      </c>
      <c r="T2787" s="44">
        <f>T2751*Settings!$C$13*(T2679+T2697+T2688*T$201+T2706*$D2787)</f>
        <v/>
      </c>
      <c r="U2787" s="44">
        <f>U2751*Settings!$C$13*(U2679+U2697+U2688*U$201+U2706*$D2787)</f>
        <v/>
      </c>
      <c r="V2787" s="44">
        <f>V2751*Settings!$C$13*(V2679+V2697+V2688*V$201+V2706*$D2787)</f>
        <v/>
      </c>
      <c r="W2787" s="44">
        <f>W2751*Settings!$C$13*(W2679+W2697+W2688*W$201+W2706*$D2787)</f>
        <v/>
      </c>
      <c r="X2787" s="44">
        <f>X2751*Settings!$C$13*(X2679+X2697+X2688*X$201+X2706*$D2787)</f>
        <v/>
      </c>
      <c r="Y2787" s="44">
        <f>Y2751*Settings!$C$13*(Y2679+Y2697+Y2688*Y$201+Y2706*$D2787)</f>
        <v/>
      </c>
      <c r="Z2787" s="44">
        <f>Z2751*Settings!$C$13*(Z2679+Z2697+Z2688*Z$201+Z2706*$D2787)</f>
        <v/>
      </c>
      <c r="AA2787" s="44">
        <f>AA2751*Settings!$C$13*(AA2679+AA2697+AA2688*AA$201+AA2706*$D2787)</f>
        <v/>
      </c>
      <c r="AB2787" s="44">
        <f>AB2751*Settings!$C$13*(AB2679+AB2697+AB2688*AB$201+AB2706*$D2787)</f>
        <v/>
      </c>
      <c r="AC2787" s="44">
        <f>AC2751*Settings!$C$13*(AC2679+AC2697+AC2688*AC$201+AC2706*$D2787)</f>
        <v/>
      </c>
      <c r="AD2787" s="44">
        <f>AD2751*Settings!$C$13*(AD2679+AD2697+AD2688*AD$201+AD2706*$D2787)</f>
        <v/>
      </c>
      <c r="AE2787" s="57">
        <f>REVENUE(AE2751,Settings!$C$13,NEWREVRATE(AE2679,AE2697,AE2688,AE$201,AE2706,$D2787))</f>
        <v/>
      </c>
      <c r="AG2787" s="11">
        <f>CodePrefix&amp;$A2787&amp;IF($C2787="","","."&amp;$C2787&amp;"."&amp;$B2787)&amp;INDEX(VarEnd,MATCH($A2787,VarKey,0))&amp;AG$5</f>
        <v/>
      </c>
      <c r="AH2787" s="43">
        <f>AH2751*Settings!$C$13*(AH2679+AH2697+AH2688*AH$201+AH2706*$D2787)</f>
        <v/>
      </c>
      <c r="AI2787" s="44">
        <f>AI2751*Settings!$C$13*(AI2679+AI2697+AI2688*AI$201+AI2706*$D2787)</f>
        <v/>
      </c>
      <c r="AJ2787" s="44">
        <f>AJ2751*Settings!$C$13*(AJ2679+AJ2697+AJ2688*AJ$201+AJ2706*$D2787)</f>
        <v/>
      </c>
      <c r="AK2787" s="44">
        <f>AK2751*Settings!$C$13*(AK2679+AK2697+AK2688*AK$201+AK2706*$D2787)</f>
        <v/>
      </c>
      <c r="AL2787" s="44">
        <f>AL2751*Settings!$C$13*(AL2679+AL2697+AL2688*AL$201+AL2706*$D2787)</f>
        <v/>
      </c>
      <c r="AM2787" s="44">
        <f>AM2751*Settings!$C$13*(AM2679+AM2697+AM2688*AM$201+AM2706*$D2787)</f>
        <v/>
      </c>
      <c r="AN2787" s="44">
        <f>AN2751*Settings!$C$13*(AN2679+AN2697+AN2688*AN$201+AN2706*$D2787)</f>
        <v/>
      </c>
      <c r="AO2787" s="44">
        <f>AO2751*Settings!$C$13*(AO2679+AO2697+AO2688*AO$201+AO2706*$D2787)</f>
        <v/>
      </c>
      <c r="AP2787" s="44">
        <f>AP2751*Settings!$C$13*(AP2679+AP2697+AP2688*AP$201+AP2706*$D2787)</f>
        <v/>
      </c>
      <c r="AQ2787" s="44">
        <f>AQ2751*Settings!$C$13*(AQ2679+AQ2697+AQ2688*AQ$201+AQ2706*$D2787)</f>
        <v/>
      </c>
      <c r="AR2787" s="44">
        <f>AR2751*Settings!$C$13*(AR2679+AR2697+AR2688*AR$201+AR2706*$D2787)</f>
        <v/>
      </c>
      <c r="AS2787" s="44">
        <f>AS2751*Settings!$C$13*(AS2679+AS2697+AS2688*AS$201+AS2706*$D2787)</f>
        <v/>
      </c>
      <c r="AT2787" s="44">
        <f>AT2751*Settings!$C$13*(AT2679+AT2697+AT2688*AT$201+AT2706*$D2787)</f>
        <v/>
      </c>
      <c r="AU2787" s="44">
        <f>AU2751*Settings!$C$13*(AU2679+AU2697+AU2688*AU$201+AU2706*$D2787)</f>
        <v/>
      </c>
      <c r="AV2787" s="44">
        <f>AV2751*Settings!$C$13*(AV2679+AV2697+AV2688*AV$201+AV2706*$D2787)</f>
        <v/>
      </c>
      <c r="AW2787" s="44">
        <f>AW2751*Settings!$C$13*(AW2679+AW2697+AW2688*AW$201+AW2706*$D2787)</f>
        <v/>
      </c>
      <c r="AX2787" s="44">
        <f>AX2751*Settings!$C$13*(AX2679+AX2697+AX2688*AX$201+AX2706*$D2787)</f>
        <v/>
      </c>
      <c r="AY2787" s="44">
        <f>AY2751*Settings!$C$13*(AY2679+AY2697+AY2688*AY$201+AY2706*$D2787)</f>
        <v/>
      </c>
      <c r="AZ2787" s="44">
        <f>AZ2751*Settings!$C$13*(AZ2679+AZ2697+AZ2688*AZ$201+AZ2706*$D2787)</f>
        <v/>
      </c>
      <c r="BA2787" s="57">
        <f>REVENUE(BA2751,Settings!$C$13,NEWREVRATE(BA2679,BA2697,BA2688,BA$201,BA2706,$D2787))</f>
        <v/>
      </c>
    </row>
    <row r="2788" hidden="1" outlineLevel="2">
      <c r="A2788" s="14" t="inlineStr">
        <is>
          <t>rnew</t>
        </is>
      </c>
      <c r="B2788" s="14" t="inlineStr">
        <is>
          <t>die</t>
        </is>
      </c>
      <c r="C2788" s="14" t="inlineStr">
        <is>
          <t>cst</t>
        </is>
      </c>
      <c r="D2788" s="35">
        <f>INDEX(Inputs!$V$5:$V$132,MATCH($B2788&amp;"|"&amp;$C2788,Inputs!$A$5:$A$132,0))</f>
        <v/>
      </c>
      <c r="E2788" s="39" t="n"/>
      <c r="F2788" s="39" t="n"/>
      <c r="G2788" s="39" t="n"/>
      <c r="H2788" s="14">
        <f>INDEX(VarLab,MATCH($A2788,VarKey,0))&amp;INDEX(MemLab,MATCH($C2788&amp;"|"&amp;$B2788,MemKey,0))</f>
        <v/>
      </c>
      <c r="I2788" s="14">
        <f>INDEX(VarUnit,MATCH($A2788,VarKey,0))</f>
        <v/>
      </c>
      <c r="J2788" s="14">
        <f>INDEX(VarSrc,MATCH($A2788,VarKey,0))</f>
        <v/>
      </c>
      <c r="K2788" s="11">
        <f>CodePrefix&amp;$A2788&amp;IF($C2788="","","."&amp;$C2788&amp;"."&amp;$B2788)&amp;INDEX(VarEnd,MATCH($A2788,VarKey,0))&amp;K$5</f>
        <v/>
      </c>
      <c r="L2788" s="43">
        <f>L2752*Settings!$C$13*(L2680+L2698+L2689*L$201+L2707*$D2788)</f>
        <v/>
      </c>
      <c r="M2788" s="44">
        <f>M2752*Settings!$C$13*(M2680+M2698+M2689*M$201+M2707*$D2788)</f>
        <v/>
      </c>
      <c r="N2788" s="44">
        <f>N2752*Settings!$C$13*(N2680+N2698+N2689*N$201+N2707*$D2788)</f>
        <v/>
      </c>
      <c r="O2788" s="44">
        <f>O2752*Settings!$C$13*(O2680+O2698+O2689*O$201+O2707*$D2788)</f>
        <v/>
      </c>
      <c r="P2788" s="44">
        <f>P2752*Settings!$C$13*(P2680+P2698+P2689*P$201+P2707*$D2788)</f>
        <v/>
      </c>
      <c r="Q2788" s="44">
        <f>Q2752*Settings!$C$13*(Q2680+Q2698+Q2689*Q$201+Q2707*$D2788)</f>
        <v/>
      </c>
      <c r="R2788" s="44">
        <f>R2752*Settings!$C$13*(R2680+R2698+R2689*R$201+R2707*$D2788)</f>
        <v/>
      </c>
      <c r="S2788" s="44">
        <f>S2752*Settings!$C$13*(S2680+S2698+S2689*S$201+S2707*$D2788)</f>
        <v/>
      </c>
      <c r="T2788" s="44">
        <f>T2752*Settings!$C$13*(T2680+T2698+T2689*T$201+T2707*$D2788)</f>
        <v/>
      </c>
      <c r="U2788" s="44">
        <f>U2752*Settings!$C$13*(U2680+U2698+U2689*U$201+U2707*$D2788)</f>
        <v/>
      </c>
      <c r="V2788" s="44">
        <f>V2752*Settings!$C$13*(V2680+V2698+V2689*V$201+V2707*$D2788)</f>
        <v/>
      </c>
      <c r="W2788" s="44">
        <f>W2752*Settings!$C$13*(W2680+W2698+W2689*W$201+W2707*$D2788)</f>
        <v/>
      </c>
      <c r="X2788" s="44">
        <f>X2752*Settings!$C$13*(X2680+X2698+X2689*X$201+X2707*$D2788)</f>
        <v/>
      </c>
      <c r="Y2788" s="44">
        <f>Y2752*Settings!$C$13*(Y2680+Y2698+Y2689*Y$201+Y2707*$D2788)</f>
        <v/>
      </c>
      <c r="Z2788" s="44">
        <f>Z2752*Settings!$C$13*(Z2680+Z2698+Z2689*Z$201+Z2707*$D2788)</f>
        <v/>
      </c>
      <c r="AA2788" s="44">
        <f>AA2752*Settings!$C$13*(AA2680+AA2698+AA2689*AA$201+AA2707*$D2788)</f>
        <v/>
      </c>
      <c r="AB2788" s="44">
        <f>AB2752*Settings!$C$13*(AB2680+AB2698+AB2689*AB$201+AB2707*$D2788)</f>
        <v/>
      </c>
      <c r="AC2788" s="44">
        <f>AC2752*Settings!$C$13*(AC2680+AC2698+AC2689*AC$201+AC2707*$D2788)</f>
        <v/>
      </c>
      <c r="AD2788" s="44">
        <f>AD2752*Settings!$C$13*(AD2680+AD2698+AD2689*AD$201+AD2707*$D2788)</f>
        <v/>
      </c>
      <c r="AE2788" s="57">
        <f>REVENUE(AE2752,Settings!$C$13,NEWREVRATE(AE2680,AE2698,AE2689,AE$201,AE2707,$D2788))</f>
        <v/>
      </c>
      <c r="AG2788" s="11">
        <f>CodePrefix&amp;$A2788&amp;IF($C2788="","","."&amp;$C2788&amp;"."&amp;$B2788)&amp;INDEX(VarEnd,MATCH($A2788,VarKey,0))&amp;AG$5</f>
        <v/>
      </c>
      <c r="AH2788" s="43">
        <f>AH2752*Settings!$C$13*(AH2680+AH2698+AH2689*AH$201+AH2707*$D2788)</f>
        <v/>
      </c>
      <c r="AI2788" s="44">
        <f>AI2752*Settings!$C$13*(AI2680+AI2698+AI2689*AI$201+AI2707*$D2788)</f>
        <v/>
      </c>
      <c r="AJ2788" s="44">
        <f>AJ2752*Settings!$C$13*(AJ2680+AJ2698+AJ2689*AJ$201+AJ2707*$D2788)</f>
        <v/>
      </c>
      <c r="AK2788" s="44">
        <f>AK2752*Settings!$C$13*(AK2680+AK2698+AK2689*AK$201+AK2707*$D2788)</f>
        <v/>
      </c>
      <c r="AL2788" s="44">
        <f>AL2752*Settings!$C$13*(AL2680+AL2698+AL2689*AL$201+AL2707*$D2788)</f>
        <v/>
      </c>
      <c r="AM2788" s="44">
        <f>AM2752*Settings!$C$13*(AM2680+AM2698+AM2689*AM$201+AM2707*$D2788)</f>
        <v/>
      </c>
      <c r="AN2788" s="44">
        <f>AN2752*Settings!$C$13*(AN2680+AN2698+AN2689*AN$201+AN2707*$D2788)</f>
        <v/>
      </c>
      <c r="AO2788" s="44">
        <f>AO2752*Settings!$C$13*(AO2680+AO2698+AO2689*AO$201+AO2707*$D2788)</f>
        <v/>
      </c>
      <c r="AP2788" s="44">
        <f>AP2752*Settings!$C$13*(AP2680+AP2698+AP2689*AP$201+AP2707*$D2788)</f>
        <v/>
      </c>
      <c r="AQ2788" s="44">
        <f>AQ2752*Settings!$C$13*(AQ2680+AQ2698+AQ2689*AQ$201+AQ2707*$D2788)</f>
        <v/>
      </c>
      <c r="AR2788" s="44">
        <f>AR2752*Settings!$C$13*(AR2680+AR2698+AR2689*AR$201+AR2707*$D2788)</f>
        <v/>
      </c>
      <c r="AS2788" s="44">
        <f>AS2752*Settings!$C$13*(AS2680+AS2698+AS2689*AS$201+AS2707*$D2788)</f>
        <v/>
      </c>
      <c r="AT2788" s="44">
        <f>AT2752*Settings!$C$13*(AT2680+AT2698+AT2689*AT$201+AT2707*$D2788)</f>
        <v/>
      </c>
      <c r="AU2788" s="44">
        <f>AU2752*Settings!$C$13*(AU2680+AU2698+AU2689*AU$201+AU2707*$D2788)</f>
        <v/>
      </c>
      <c r="AV2788" s="44">
        <f>AV2752*Settings!$C$13*(AV2680+AV2698+AV2689*AV$201+AV2707*$D2788)</f>
        <v/>
      </c>
      <c r="AW2788" s="44">
        <f>AW2752*Settings!$C$13*(AW2680+AW2698+AW2689*AW$201+AW2707*$D2788)</f>
        <v/>
      </c>
      <c r="AX2788" s="44">
        <f>AX2752*Settings!$C$13*(AX2680+AX2698+AX2689*AX$201+AX2707*$D2788)</f>
        <v/>
      </c>
      <c r="AY2788" s="44">
        <f>AY2752*Settings!$C$13*(AY2680+AY2698+AY2689*AY$201+AY2707*$D2788)</f>
        <v/>
      </c>
      <c r="AZ2788" s="44">
        <f>AZ2752*Settings!$C$13*(AZ2680+AZ2698+AZ2689*AZ$201+AZ2707*$D2788)</f>
        <v/>
      </c>
      <c r="BA2788" s="57">
        <f>REVENUE(BA2752,Settings!$C$13,NEWREVRATE(BA2680,BA2698,BA2689,BA$201,BA2707,$D2788))</f>
        <v/>
      </c>
    </row>
    <row r="2789" hidden="1" outlineLevel="2">
      <c r="A2789" s="14" t="inlineStr">
        <is>
          <t>rnew</t>
        </is>
      </c>
      <c r="B2789" s="14" t="inlineStr">
        <is>
          <t>lpg</t>
        </is>
      </c>
      <c r="C2789" s="14" t="inlineStr">
        <is>
          <t>cst</t>
        </is>
      </c>
      <c r="D2789" s="35">
        <f>INDEX(Inputs!$V$5:$V$132,MATCH($B2789&amp;"|"&amp;$C2789,Inputs!$A$5:$A$132,0))</f>
        <v/>
      </c>
      <c r="E2789" s="39" t="n"/>
      <c r="F2789" s="39" t="n"/>
      <c r="G2789" s="39" t="n"/>
      <c r="H2789" s="14">
        <f>INDEX(VarLab,MATCH($A2789,VarKey,0))&amp;INDEX(MemLab,MATCH($C2789&amp;"|"&amp;$B2789,MemKey,0))</f>
        <v/>
      </c>
      <c r="I2789" s="14">
        <f>INDEX(VarUnit,MATCH($A2789,VarKey,0))</f>
        <v/>
      </c>
      <c r="J2789" s="14">
        <f>INDEX(VarSrc,MATCH($A2789,VarKey,0))</f>
        <v/>
      </c>
      <c r="K2789" s="11">
        <f>CodePrefix&amp;$A2789&amp;IF($C2789="","","."&amp;$C2789&amp;"."&amp;$B2789)&amp;INDEX(VarEnd,MATCH($A2789,VarKey,0))&amp;K$5</f>
        <v/>
      </c>
      <c r="L2789" s="43">
        <f>L2753*Settings!$C$13*(L2681+L2699+L2690*L$201+L2708*$D2789)</f>
        <v/>
      </c>
      <c r="M2789" s="44">
        <f>M2753*Settings!$C$13*(M2681+M2699+M2690*M$201+M2708*$D2789)</f>
        <v/>
      </c>
      <c r="N2789" s="44">
        <f>N2753*Settings!$C$13*(N2681+N2699+N2690*N$201+N2708*$D2789)</f>
        <v/>
      </c>
      <c r="O2789" s="44">
        <f>O2753*Settings!$C$13*(O2681+O2699+O2690*O$201+O2708*$D2789)</f>
        <v/>
      </c>
      <c r="P2789" s="44">
        <f>P2753*Settings!$C$13*(P2681+P2699+P2690*P$201+P2708*$D2789)</f>
        <v/>
      </c>
      <c r="Q2789" s="44">
        <f>Q2753*Settings!$C$13*(Q2681+Q2699+Q2690*Q$201+Q2708*$D2789)</f>
        <v/>
      </c>
      <c r="R2789" s="44">
        <f>R2753*Settings!$C$13*(R2681+R2699+R2690*R$201+R2708*$D2789)</f>
        <v/>
      </c>
      <c r="S2789" s="44">
        <f>S2753*Settings!$C$13*(S2681+S2699+S2690*S$201+S2708*$D2789)</f>
        <v/>
      </c>
      <c r="T2789" s="44">
        <f>T2753*Settings!$C$13*(T2681+T2699+T2690*T$201+T2708*$D2789)</f>
        <v/>
      </c>
      <c r="U2789" s="44">
        <f>U2753*Settings!$C$13*(U2681+U2699+U2690*U$201+U2708*$D2789)</f>
        <v/>
      </c>
      <c r="V2789" s="44">
        <f>V2753*Settings!$C$13*(V2681+V2699+V2690*V$201+V2708*$D2789)</f>
        <v/>
      </c>
      <c r="W2789" s="44">
        <f>W2753*Settings!$C$13*(W2681+W2699+W2690*W$201+W2708*$D2789)</f>
        <v/>
      </c>
      <c r="X2789" s="44">
        <f>X2753*Settings!$C$13*(X2681+X2699+X2690*X$201+X2708*$D2789)</f>
        <v/>
      </c>
      <c r="Y2789" s="44">
        <f>Y2753*Settings!$C$13*(Y2681+Y2699+Y2690*Y$201+Y2708*$D2789)</f>
        <v/>
      </c>
      <c r="Z2789" s="44">
        <f>Z2753*Settings!$C$13*(Z2681+Z2699+Z2690*Z$201+Z2708*$D2789)</f>
        <v/>
      </c>
      <c r="AA2789" s="44">
        <f>AA2753*Settings!$C$13*(AA2681+AA2699+AA2690*AA$201+AA2708*$D2789)</f>
        <v/>
      </c>
      <c r="AB2789" s="44">
        <f>AB2753*Settings!$C$13*(AB2681+AB2699+AB2690*AB$201+AB2708*$D2789)</f>
        <v/>
      </c>
      <c r="AC2789" s="44">
        <f>AC2753*Settings!$C$13*(AC2681+AC2699+AC2690*AC$201+AC2708*$D2789)</f>
        <v/>
      </c>
      <c r="AD2789" s="44">
        <f>AD2753*Settings!$C$13*(AD2681+AD2699+AD2690*AD$201+AD2708*$D2789)</f>
        <v/>
      </c>
      <c r="AE2789" s="57">
        <f>REVENUE(AE2753,Settings!$C$13,NEWREVRATE(AE2681,AE2699,AE2690,AE$201,AE2708,$D2789))</f>
        <v/>
      </c>
      <c r="AG2789" s="11">
        <f>CodePrefix&amp;$A2789&amp;IF($C2789="","","."&amp;$C2789&amp;"."&amp;$B2789)&amp;INDEX(VarEnd,MATCH($A2789,VarKey,0))&amp;AG$5</f>
        <v/>
      </c>
      <c r="AH2789" s="43">
        <f>AH2753*Settings!$C$13*(AH2681+AH2699+AH2690*AH$201+AH2708*$D2789)</f>
        <v/>
      </c>
      <c r="AI2789" s="44">
        <f>AI2753*Settings!$C$13*(AI2681+AI2699+AI2690*AI$201+AI2708*$D2789)</f>
        <v/>
      </c>
      <c r="AJ2789" s="44">
        <f>AJ2753*Settings!$C$13*(AJ2681+AJ2699+AJ2690*AJ$201+AJ2708*$D2789)</f>
        <v/>
      </c>
      <c r="AK2789" s="44">
        <f>AK2753*Settings!$C$13*(AK2681+AK2699+AK2690*AK$201+AK2708*$D2789)</f>
        <v/>
      </c>
      <c r="AL2789" s="44">
        <f>AL2753*Settings!$C$13*(AL2681+AL2699+AL2690*AL$201+AL2708*$D2789)</f>
        <v/>
      </c>
      <c r="AM2789" s="44">
        <f>AM2753*Settings!$C$13*(AM2681+AM2699+AM2690*AM$201+AM2708*$D2789)</f>
        <v/>
      </c>
      <c r="AN2789" s="44">
        <f>AN2753*Settings!$C$13*(AN2681+AN2699+AN2690*AN$201+AN2708*$D2789)</f>
        <v/>
      </c>
      <c r="AO2789" s="44">
        <f>AO2753*Settings!$C$13*(AO2681+AO2699+AO2690*AO$201+AO2708*$D2789)</f>
        <v/>
      </c>
      <c r="AP2789" s="44">
        <f>AP2753*Settings!$C$13*(AP2681+AP2699+AP2690*AP$201+AP2708*$D2789)</f>
        <v/>
      </c>
      <c r="AQ2789" s="44">
        <f>AQ2753*Settings!$C$13*(AQ2681+AQ2699+AQ2690*AQ$201+AQ2708*$D2789)</f>
        <v/>
      </c>
      <c r="AR2789" s="44">
        <f>AR2753*Settings!$C$13*(AR2681+AR2699+AR2690*AR$201+AR2708*$D2789)</f>
        <v/>
      </c>
      <c r="AS2789" s="44">
        <f>AS2753*Settings!$C$13*(AS2681+AS2699+AS2690*AS$201+AS2708*$D2789)</f>
        <v/>
      </c>
      <c r="AT2789" s="44">
        <f>AT2753*Settings!$C$13*(AT2681+AT2699+AT2690*AT$201+AT2708*$D2789)</f>
        <v/>
      </c>
      <c r="AU2789" s="44">
        <f>AU2753*Settings!$C$13*(AU2681+AU2699+AU2690*AU$201+AU2708*$D2789)</f>
        <v/>
      </c>
      <c r="AV2789" s="44">
        <f>AV2753*Settings!$C$13*(AV2681+AV2699+AV2690*AV$201+AV2708*$D2789)</f>
        <v/>
      </c>
      <c r="AW2789" s="44">
        <f>AW2753*Settings!$C$13*(AW2681+AW2699+AW2690*AW$201+AW2708*$D2789)</f>
        <v/>
      </c>
      <c r="AX2789" s="44">
        <f>AX2753*Settings!$C$13*(AX2681+AX2699+AX2690*AX$201+AX2708*$D2789)</f>
        <v/>
      </c>
      <c r="AY2789" s="44">
        <f>AY2753*Settings!$C$13*(AY2681+AY2699+AY2690*AY$201+AY2708*$D2789)</f>
        <v/>
      </c>
      <c r="AZ2789" s="44">
        <f>AZ2753*Settings!$C$13*(AZ2681+AZ2699+AZ2690*AZ$201+AZ2708*$D2789)</f>
        <v/>
      </c>
      <c r="BA2789" s="57">
        <f>REVENUE(BA2753,Settings!$C$13,NEWREVRATE(BA2681,BA2699,BA2690,BA$201,BA2708,$D2789))</f>
        <v/>
      </c>
    </row>
    <row r="2790" hidden="1" outlineLevel="2">
      <c r="A2790" s="14" t="inlineStr">
        <is>
          <t>rnew</t>
        </is>
      </c>
      <c r="B2790" s="14" t="inlineStr">
        <is>
          <t>ker</t>
        </is>
      </c>
      <c r="C2790" s="14" t="inlineStr">
        <is>
          <t>cst</t>
        </is>
      </c>
      <c r="D2790" s="35">
        <f>INDEX(Inputs!$V$5:$V$132,MATCH($B2790&amp;"|"&amp;$C2790,Inputs!$A$5:$A$132,0))</f>
        <v/>
      </c>
      <c r="E2790" s="39" t="n"/>
      <c r="F2790" s="39" t="n"/>
      <c r="G2790" s="39" t="n"/>
      <c r="H2790" s="14">
        <f>INDEX(VarLab,MATCH($A2790,VarKey,0))&amp;INDEX(MemLab,MATCH($C2790&amp;"|"&amp;$B2790,MemKey,0))</f>
        <v/>
      </c>
      <c r="I2790" s="14">
        <f>INDEX(VarUnit,MATCH($A2790,VarKey,0))</f>
        <v/>
      </c>
      <c r="J2790" s="14">
        <f>INDEX(VarSrc,MATCH($A2790,VarKey,0))</f>
        <v/>
      </c>
      <c r="K2790" s="11">
        <f>CodePrefix&amp;$A2790&amp;IF($C2790="","","."&amp;$C2790&amp;"."&amp;$B2790)&amp;INDEX(VarEnd,MATCH($A2790,VarKey,0))&amp;K$5</f>
        <v/>
      </c>
      <c r="L2790" s="43">
        <f>L2754*Settings!$C$13*(L2682+L2700+L2691*L$201+L2709*$D2790)</f>
        <v/>
      </c>
      <c r="M2790" s="44">
        <f>M2754*Settings!$C$13*(M2682+M2700+M2691*M$201+M2709*$D2790)</f>
        <v/>
      </c>
      <c r="N2790" s="44">
        <f>N2754*Settings!$C$13*(N2682+N2700+N2691*N$201+N2709*$D2790)</f>
        <v/>
      </c>
      <c r="O2790" s="44">
        <f>O2754*Settings!$C$13*(O2682+O2700+O2691*O$201+O2709*$D2790)</f>
        <v/>
      </c>
      <c r="P2790" s="44">
        <f>P2754*Settings!$C$13*(P2682+P2700+P2691*P$201+P2709*$D2790)</f>
        <v/>
      </c>
      <c r="Q2790" s="44">
        <f>Q2754*Settings!$C$13*(Q2682+Q2700+Q2691*Q$201+Q2709*$D2790)</f>
        <v/>
      </c>
      <c r="R2790" s="44">
        <f>R2754*Settings!$C$13*(R2682+R2700+R2691*R$201+R2709*$D2790)</f>
        <v/>
      </c>
      <c r="S2790" s="44">
        <f>S2754*Settings!$C$13*(S2682+S2700+S2691*S$201+S2709*$D2790)</f>
        <v/>
      </c>
      <c r="T2790" s="44">
        <f>T2754*Settings!$C$13*(T2682+T2700+T2691*T$201+T2709*$D2790)</f>
        <v/>
      </c>
      <c r="U2790" s="44">
        <f>U2754*Settings!$C$13*(U2682+U2700+U2691*U$201+U2709*$D2790)</f>
        <v/>
      </c>
      <c r="V2790" s="44">
        <f>V2754*Settings!$C$13*(V2682+V2700+V2691*V$201+V2709*$D2790)</f>
        <v/>
      </c>
      <c r="W2790" s="44">
        <f>W2754*Settings!$C$13*(W2682+W2700+W2691*W$201+W2709*$D2790)</f>
        <v/>
      </c>
      <c r="X2790" s="44">
        <f>X2754*Settings!$C$13*(X2682+X2700+X2691*X$201+X2709*$D2790)</f>
        <v/>
      </c>
      <c r="Y2790" s="44">
        <f>Y2754*Settings!$C$13*(Y2682+Y2700+Y2691*Y$201+Y2709*$D2790)</f>
        <v/>
      </c>
      <c r="Z2790" s="44">
        <f>Z2754*Settings!$C$13*(Z2682+Z2700+Z2691*Z$201+Z2709*$D2790)</f>
        <v/>
      </c>
      <c r="AA2790" s="44">
        <f>AA2754*Settings!$C$13*(AA2682+AA2700+AA2691*AA$201+AA2709*$D2790)</f>
        <v/>
      </c>
      <c r="AB2790" s="44">
        <f>AB2754*Settings!$C$13*(AB2682+AB2700+AB2691*AB$201+AB2709*$D2790)</f>
        <v/>
      </c>
      <c r="AC2790" s="44">
        <f>AC2754*Settings!$C$13*(AC2682+AC2700+AC2691*AC$201+AC2709*$D2790)</f>
        <v/>
      </c>
      <c r="AD2790" s="44">
        <f>AD2754*Settings!$C$13*(AD2682+AD2700+AD2691*AD$201+AD2709*$D2790)</f>
        <v/>
      </c>
      <c r="AE2790" s="57">
        <f>REVENUE(AE2754,Settings!$C$13,NEWREVRATE(AE2682,AE2700,AE2691,AE$201,AE2709,$D2790))</f>
        <v/>
      </c>
      <c r="AG2790" s="11">
        <f>CodePrefix&amp;$A2790&amp;IF($C2790="","","."&amp;$C2790&amp;"."&amp;$B2790)&amp;INDEX(VarEnd,MATCH($A2790,VarKey,0))&amp;AG$5</f>
        <v/>
      </c>
      <c r="AH2790" s="43">
        <f>AH2754*Settings!$C$13*(AH2682+AH2700+AH2691*AH$201+AH2709*$D2790)</f>
        <v/>
      </c>
      <c r="AI2790" s="44">
        <f>AI2754*Settings!$C$13*(AI2682+AI2700+AI2691*AI$201+AI2709*$D2790)</f>
        <v/>
      </c>
      <c r="AJ2790" s="44">
        <f>AJ2754*Settings!$C$13*(AJ2682+AJ2700+AJ2691*AJ$201+AJ2709*$D2790)</f>
        <v/>
      </c>
      <c r="AK2790" s="44">
        <f>AK2754*Settings!$C$13*(AK2682+AK2700+AK2691*AK$201+AK2709*$D2790)</f>
        <v/>
      </c>
      <c r="AL2790" s="44">
        <f>AL2754*Settings!$C$13*(AL2682+AL2700+AL2691*AL$201+AL2709*$D2790)</f>
        <v/>
      </c>
      <c r="AM2790" s="44">
        <f>AM2754*Settings!$C$13*(AM2682+AM2700+AM2691*AM$201+AM2709*$D2790)</f>
        <v/>
      </c>
      <c r="AN2790" s="44">
        <f>AN2754*Settings!$C$13*(AN2682+AN2700+AN2691*AN$201+AN2709*$D2790)</f>
        <v/>
      </c>
      <c r="AO2790" s="44">
        <f>AO2754*Settings!$C$13*(AO2682+AO2700+AO2691*AO$201+AO2709*$D2790)</f>
        <v/>
      </c>
      <c r="AP2790" s="44">
        <f>AP2754*Settings!$C$13*(AP2682+AP2700+AP2691*AP$201+AP2709*$D2790)</f>
        <v/>
      </c>
      <c r="AQ2790" s="44">
        <f>AQ2754*Settings!$C$13*(AQ2682+AQ2700+AQ2691*AQ$201+AQ2709*$D2790)</f>
        <v/>
      </c>
      <c r="AR2790" s="44">
        <f>AR2754*Settings!$C$13*(AR2682+AR2700+AR2691*AR$201+AR2709*$D2790)</f>
        <v/>
      </c>
      <c r="AS2790" s="44">
        <f>AS2754*Settings!$C$13*(AS2682+AS2700+AS2691*AS$201+AS2709*$D2790)</f>
        <v/>
      </c>
      <c r="AT2790" s="44">
        <f>AT2754*Settings!$C$13*(AT2682+AT2700+AT2691*AT$201+AT2709*$D2790)</f>
        <v/>
      </c>
      <c r="AU2790" s="44">
        <f>AU2754*Settings!$C$13*(AU2682+AU2700+AU2691*AU$201+AU2709*$D2790)</f>
        <v/>
      </c>
      <c r="AV2790" s="44">
        <f>AV2754*Settings!$C$13*(AV2682+AV2700+AV2691*AV$201+AV2709*$D2790)</f>
        <v/>
      </c>
      <c r="AW2790" s="44">
        <f>AW2754*Settings!$C$13*(AW2682+AW2700+AW2691*AW$201+AW2709*$D2790)</f>
        <v/>
      </c>
      <c r="AX2790" s="44">
        <f>AX2754*Settings!$C$13*(AX2682+AX2700+AX2691*AX$201+AX2709*$D2790)</f>
        <v/>
      </c>
      <c r="AY2790" s="44">
        <f>AY2754*Settings!$C$13*(AY2682+AY2700+AY2691*AY$201+AY2709*$D2790)</f>
        <v/>
      </c>
      <c r="AZ2790" s="44">
        <f>AZ2754*Settings!$C$13*(AZ2682+AZ2700+AZ2691*AZ$201+AZ2709*$D2790)</f>
        <v/>
      </c>
      <c r="BA2790" s="57">
        <f>REVENUE(BA2754,Settings!$C$13,NEWREVRATE(BA2682,BA2700,BA2691,BA$201,BA2709,$D2790))</f>
        <v/>
      </c>
    </row>
    <row r="2791" hidden="1" outlineLevel="2">
      <c r="A2791" s="14" t="inlineStr">
        <is>
          <t>rnew</t>
        </is>
      </c>
      <c r="B2791" s="14" t="inlineStr">
        <is>
          <t>oop</t>
        </is>
      </c>
      <c r="C2791" s="14" t="inlineStr">
        <is>
          <t>cst</t>
        </is>
      </c>
      <c r="D2791" s="35">
        <f>INDEX(Inputs!$V$5:$V$132,MATCH($B2791&amp;"|"&amp;$C2791,Inputs!$A$5:$A$132,0))</f>
        <v/>
      </c>
      <c r="E2791" s="39" t="n"/>
      <c r="F2791" s="39" t="n"/>
      <c r="G2791" s="39" t="n"/>
      <c r="H2791" s="14">
        <f>INDEX(VarLab,MATCH($A2791,VarKey,0))&amp;INDEX(MemLab,MATCH($C2791&amp;"|"&amp;$B2791,MemKey,0))</f>
        <v/>
      </c>
      <c r="I2791" s="14">
        <f>INDEX(VarUnit,MATCH($A2791,VarKey,0))</f>
        <v/>
      </c>
      <c r="J2791" s="14">
        <f>INDEX(VarSrc,MATCH($A2791,VarKey,0))</f>
        <v/>
      </c>
      <c r="K2791" s="11">
        <f>CodePrefix&amp;$A2791&amp;IF($C2791="","","."&amp;$C2791&amp;"."&amp;$B2791)&amp;INDEX(VarEnd,MATCH($A2791,VarKey,0))&amp;K$5</f>
        <v/>
      </c>
      <c r="L2791" s="43">
        <f>L2755*Settings!$C$13*(L2683+L2701+L2692*L$201+L2710*$D2791)</f>
        <v/>
      </c>
      <c r="M2791" s="44">
        <f>M2755*Settings!$C$13*(M2683+M2701+M2692*M$201+M2710*$D2791)</f>
        <v/>
      </c>
      <c r="N2791" s="44">
        <f>N2755*Settings!$C$13*(N2683+N2701+N2692*N$201+N2710*$D2791)</f>
        <v/>
      </c>
      <c r="O2791" s="44">
        <f>O2755*Settings!$C$13*(O2683+O2701+O2692*O$201+O2710*$D2791)</f>
        <v/>
      </c>
      <c r="P2791" s="44">
        <f>P2755*Settings!$C$13*(P2683+P2701+P2692*P$201+P2710*$D2791)</f>
        <v/>
      </c>
      <c r="Q2791" s="44">
        <f>Q2755*Settings!$C$13*(Q2683+Q2701+Q2692*Q$201+Q2710*$D2791)</f>
        <v/>
      </c>
      <c r="R2791" s="44">
        <f>R2755*Settings!$C$13*(R2683+R2701+R2692*R$201+R2710*$D2791)</f>
        <v/>
      </c>
      <c r="S2791" s="44">
        <f>S2755*Settings!$C$13*(S2683+S2701+S2692*S$201+S2710*$D2791)</f>
        <v/>
      </c>
      <c r="T2791" s="44">
        <f>T2755*Settings!$C$13*(T2683+T2701+T2692*T$201+T2710*$D2791)</f>
        <v/>
      </c>
      <c r="U2791" s="44">
        <f>U2755*Settings!$C$13*(U2683+U2701+U2692*U$201+U2710*$D2791)</f>
        <v/>
      </c>
      <c r="V2791" s="44">
        <f>V2755*Settings!$C$13*(V2683+V2701+V2692*V$201+V2710*$D2791)</f>
        <v/>
      </c>
      <c r="W2791" s="44">
        <f>W2755*Settings!$C$13*(W2683+W2701+W2692*W$201+W2710*$D2791)</f>
        <v/>
      </c>
      <c r="X2791" s="44">
        <f>X2755*Settings!$C$13*(X2683+X2701+X2692*X$201+X2710*$D2791)</f>
        <v/>
      </c>
      <c r="Y2791" s="44">
        <f>Y2755*Settings!$C$13*(Y2683+Y2701+Y2692*Y$201+Y2710*$D2791)</f>
        <v/>
      </c>
      <c r="Z2791" s="44">
        <f>Z2755*Settings!$C$13*(Z2683+Z2701+Z2692*Z$201+Z2710*$D2791)</f>
        <v/>
      </c>
      <c r="AA2791" s="44">
        <f>AA2755*Settings!$C$13*(AA2683+AA2701+AA2692*AA$201+AA2710*$D2791)</f>
        <v/>
      </c>
      <c r="AB2791" s="44">
        <f>AB2755*Settings!$C$13*(AB2683+AB2701+AB2692*AB$201+AB2710*$D2791)</f>
        <v/>
      </c>
      <c r="AC2791" s="44">
        <f>AC2755*Settings!$C$13*(AC2683+AC2701+AC2692*AC$201+AC2710*$D2791)</f>
        <v/>
      </c>
      <c r="AD2791" s="44">
        <f>AD2755*Settings!$C$13*(AD2683+AD2701+AD2692*AD$201+AD2710*$D2791)</f>
        <v/>
      </c>
      <c r="AE2791" s="57">
        <f>REVENUE(AE2755,Settings!$C$13,NEWREVRATE(AE2683,AE2701,AE2692,AE$201,AE2710,$D2791))</f>
        <v/>
      </c>
      <c r="AG2791" s="11">
        <f>CodePrefix&amp;$A2791&amp;IF($C2791="","","."&amp;$C2791&amp;"."&amp;$B2791)&amp;INDEX(VarEnd,MATCH($A2791,VarKey,0))&amp;AG$5</f>
        <v/>
      </c>
      <c r="AH2791" s="43">
        <f>AH2755*Settings!$C$13*(AH2683+AH2701+AH2692*AH$201+AH2710*$D2791)</f>
        <v/>
      </c>
      <c r="AI2791" s="44">
        <f>AI2755*Settings!$C$13*(AI2683+AI2701+AI2692*AI$201+AI2710*$D2791)</f>
        <v/>
      </c>
      <c r="AJ2791" s="44">
        <f>AJ2755*Settings!$C$13*(AJ2683+AJ2701+AJ2692*AJ$201+AJ2710*$D2791)</f>
        <v/>
      </c>
      <c r="AK2791" s="44">
        <f>AK2755*Settings!$C$13*(AK2683+AK2701+AK2692*AK$201+AK2710*$D2791)</f>
        <v/>
      </c>
      <c r="AL2791" s="44">
        <f>AL2755*Settings!$C$13*(AL2683+AL2701+AL2692*AL$201+AL2710*$D2791)</f>
        <v/>
      </c>
      <c r="AM2791" s="44">
        <f>AM2755*Settings!$C$13*(AM2683+AM2701+AM2692*AM$201+AM2710*$D2791)</f>
        <v/>
      </c>
      <c r="AN2791" s="44">
        <f>AN2755*Settings!$C$13*(AN2683+AN2701+AN2692*AN$201+AN2710*$D2791)</f>
        <v/>
      </c>
      <c r="AO2791" s="44">
        <f>AO2755*Settings!$C$13*(AO2683+AO2701+AO2692*AO$201+AO2710*$D2791)</f>
        <v/>
      </c>
      <c r="AP2791" s="44">
        <f>AP2755*Settings!$C$13*(AP2683+AP2701+AP2692*AP$201+AP2710*$D2791)</f>
        <v/>
      </c>
      <c r="AQ2791" s="44">
        <f>AQ2755*Settings!$C$13*(AQ2683+AQ2701+AQ2692*AQ$201+AQ2710*$D2791)</f>
        <v/>
      </c>
      <c r="AR2791" s="44">
        <f>AR2755*Settings!$C$13*(AR2683+AR2701+AR2692*AR$201+AR2710*$D2791)</f>
        <v/>
      </c>
      <c r="AS2791" s="44">
        <f>AS2755*Settings!$C$13*(AS2683+AS2701+AS2692*AS$201+AS2710*$D2791)</f>
        <v/>
      </c>
      <c r="AT2791" s="44">
        <f>AT2755*Settings!$C$13*(AT2683+AT2701+AT2692*AT$201+AT2710*$D2791)</f>
        <v/>
      </c>
      <c r="AU2791" s="44">
        <f>AU2755*Settings!$C$13*(AU2683+AU2701+AU2692*AU$201+AU2710*$D2791)</f>
        <v/>
      </c>
      <c r="AV2791" s="44">
        <f>AV2755*Settings!$C$13*(AV2683+AV2701+AV2692*AV$201+AV2710*$D2791)</f>
        <v/>
      </c>
      <c r="AW2791" s="44">
        <f>AW2755*Settings!$C$13*(AW2683+AW2701+AW2692*AW$201+AW2710*$D2791)</f>
        <v/>
      </c>
      <c r="AX2791" s="44">
        <f>AX2755*Settings!$C$13*(AX2683+AX2701+AX2692*AX$201+AX2710*$D2791)</f>
        <v/>
      </c>
      <c r="AY2791" s="44">
        <f>AY2755*Settings!$C$13*(AY2683+AY2701+AY2692*AY$201+AY2710*$D2791)</f>
        <v/>
      </c>
      <c r="AZ2791" s="44">
        <f>AZ2755*Settings!$C$13*(AZ2683+AZ2701+AZ2692*AZ$201+AZ2710*$D2791)</f>
        <v/>
      </c>
      <c r="BA2791" s="57">
        <f>REVENUE(BA2755,Settings!$C$13,NEWREVRATE(BA2683,BA2701,BA2692,BA$201,BA2710,$D2791))</f>
        <v/>
      </c>
    </row>
    <row r="2792" hidden="1" outlineLevel="2">
      <c r="A2792" s="14" t="inlineStr">
        <is>
          <t>rnew</t>
        </is>
      </c>
      <c r="B2792" s="14" t="inlineStr">
        <is>
          <t>bio</t>
        </is>
      </c>
      <c r="C2792" s="14" t="inlineStr">
        <is>
          <t>cst</t>
        </is>
      </c>
      <c r="D2792" s="35">
        <f>INDEX(Inputs!$V$5:$V$132,MATCH($B2792&amp;"|"&amp;$C2792,Inputs!$A$5:$A$132,0))</f>
        <v/>
      </c>
      <c r="E2792" s="39" t="n"/>
      <c r="F2792" s="39" t="n"/>
      <c r="G2792" s="39" t="n"/>
      <c r="H2792" s="14">
        <f>INDEX(VarLab,MATCH($A2792,VarKey,0))&amp;INDEX(MemLab,MATCH($C2792&amp;"|"&amp;$B2792,MemKey,0))</f>
        <v/>
      </c>
      <c r="I2792" s="14">
        <f>INDEX(VarUnit,MATCH($A2792,VarKey,0))</f>
        <v/>
      </c>
      <c r="J2792" s="14">
        <f>INDEX(VarSrc,MATCH($A2792,VarKey,0))</f>
        <v/>
      </c>
      <c r="K2792" s="11">
        <f>CodePrefix&amp;$A2792&amp;IF($C2792="","","."&amp;$C2792&amp;"."&amp;$B2792)&amp;INDEX(VarEnd,MATCH($A2792,VarKey,0))&amp;K$5</f>
        <v/>
      </c>
      <c r="L2792" s="43">
        <f>L2756*Settings!$C$13*(L2684+L2702+L2693*L$201+L2711*$D2792)</f>
        <v/>
      </c>
      <c r="M2792" s="44">
        <f>M2756*Settings!$C$13*(M2684+M2702+M2693*M$201+M2711*$D2792)</f>
        <v/>
      </c>
      <c r="N2792" s="44">
        <f>N2756*Settings!$C$13*(N2684+N2702+N2693*N$201+N2711*$D2792)</f>
        <v/>
      </c>
      <c r="O2792" s="44">
        <f>O2756*Settings!$C$13*(O2684+O2702+O2693*O$201+O2711*$D2792)</f>
        <v/>
      </c>
      <c r="P2792" s="44">
        <f>P2756*Settings!$C$13*(P2684+P2702+P2693*P$201+P2711*$D2792)</f>
        <v/>
      </c>
      <c r="Q2792" s="44">
        <f>Q2756*Settings!$C$13*(Q2684+Q2702+Q2693*Q$201+Q2711*$D2792)</f>
        <v/>
      </c>
      <c r="R2792" s="44">
        <f>R2756*Settings!$C$13*(R2684+R2702+R2693*R$201+R2711*$D2792)</f>
        <v/>
      </c>
      <c r="S2792" s="44">
        <f>S2756*Settings!$C$13*(S2684+S2702+S2693*S$201+S2711*$D2792)</f>
        <v/>
      </c>
      <c r="T2792" s="44">
        <f>T2756*Settings!$C$13*(T2684+T2702+T2693*T$201+T2711*$D2792)</f>
        <v/>
      </c>
      <c r="U2792" s="44">
        <f>U2756*Settings!$C$13*(U2684+U2702+U2693*U$201+U2711*$D2792)</f>
        <v/>
      </c>
      <c r="V2792" s="44">
        <f>V2756*Settings!$C$13*(V2684+V2702+V2693*V$201+V2711*$D2792)</f>
        <v/>
      </c>
      <c r="W2792" s="44">
        <f>W2756*Settings!$C$13*(W2684+W2702+W2693*W$201+W2711*$D2792)</f>
        <v/>
      </c>
      <c r="X2792" s="44">
        <f>X2756*Settings!$C$13*(X2684+X2702+X2693*X$201+X2711*$D2792)</f>
        <v/>
      </c>
      <c r="Y2792" s="44">
        <f>Y2756*Settings!$C$13*(Y2684+Y2702+Y2693*Y$201+Y2711*$D2792)</f>
        <v/>
      </c>
      <c r="Z2792" s="44">
        <f>Z2756*Settings!$C$13*(Z2684+Z2702+Z2693*Z$201+Z2711*$D2792)</f>
        <v/>
      </c>
      <c r="AA2792" s="44">
        <f>AA2756*Settings!$C$13*(AA2684+AA2702+AA2693*AA$201+AA2711*$D2792)</f>
        <v/>
      </c>
      <c r="AB2792" s="44">
        <f>AB2756*Settings!$C$13*(AB2684+AB2702+AB2693*AB$201+AB2711*$D2792)</f>
        <v/>
      </c>
      <c r="AC2792" s="44">
        <f>AC2756*Settings!$C$13*(AC2684+AC2702+AC2693*AC$201+AC2711*$D2792)</f>
        <v/>
      </c>
      <c r="AD2792" s="44">
        <f>AD2756*Settings!$C$13*(AD2684+AD2702+AD2693*AD$201+AD2711*$D2792)</f>
        <v/>
      </c>
      <c r="AE2792" s="57">
        <f>REVENUE(AE2756,Settings!$C$13,NEWREVRATE(AE2684,AE2702,AE2693,AE$201,AE2711,$D2792))</f>
        <v/>
      </c>
      <c r="AG2792" s="11">
        <f>CodePrefix&amp;$A2792&amp;IF($C2792="","","."&amp;$C2792&amp;"."&amp;$B2792)&amp;INDEX(VarEnd,MATCH($A2792,VarKey,0))&amp;AG$5</f>
        <v/>
      </c>
      <c r="AH2792" s="43">
        <f>AH2756*Settings!$C$13*(AH2684+AH2702+AH2693*AH$201+AH2711*$D2792)</f>
        <v/>
      </c>
      <c r="AI2792" s="44">
        <f>AI2756*Settings!$C$13*(AI2684+AI2702+AI2693*AI$201+AI2711*$D2792)</f>
        <v/>
      </c>
      <c r="AJ2792" s="44">
        <f>AJ2756*Settings!$C$13*(AJ2684+AJ2702+AJ2693*AJ$201+AJ2711*$D2792)</f>
        <v/>
      </c>
      <c r="AK2792" s="44">
        <f>AK2756*Settings!$C$13*(AK2684+AK2702+AK2693*AK$201+AK2711*$D2792)</f>
        <v/>
      </c>
      <c r="AL2792" s="44">
        <f>AL2756*Settings!$C$13*(AL2684+AL2702+AL2693*AL$201+AL2711*$D2792)</f>
        <v/>
      </c>
      <c r="AM2792" s="44">
        <f>AM2756*Settings!$C$13*(AM2684+AM2702+AM2693*AM$201+AM2711*$D2792)</f>
        <v/>
      </c>
      <c r="AN2792" s="44">
        <f>AN2756*Settings!$C$13*(AN2684+AN2702+AN2693*AN$201+AN2711*$D2792)</f>
        <v/>
      </c>
      <c r="AO2792" s="44">
        <f>AO2756*Settings!$C$13*(AO2684+AO2702+AO2693*AO$201+AO2711*$D2792)</f>
        <v/>
      </c>
      <c r="AP2792" s="44">
        <f>AP2756*Settings!$C$13*(AP2684+AP2702+AP2693*AP$201+AP2711*$D2792)</f>
        <v/>
      </c>
      <c r="AQ2792" s="44">
        <f>AQ2756*Settings!$C$13*(AQ2684+AQ2702+AQ2693*AQ$201+AQ2711*$D2792)</f>
        <v/>
      </c>
      <c r="AR2792" s="44">
        <f>AR2756*Settings!$C$13*(AR2684+AR2702+AR2693*AR$201+AR2711*$D2792)</f>
        <v/>
      </c>
      <c r="AS2792" s="44">
        <f>AS2756*Settings!$C$13*(AS2684+AS2702+AS2693*AS$201+AS2711*$D2792)</f>
        <v/>
      </c>
      <c r="AT2792" s="44">
        <f>AT2756*Settings!$C$13*(AT2684+AT2702+AT2693*AT$201+AT2711*$D2792)</f>
        <v/>
      </c>
      <c r="AU2792" s="44">
        <f>AU2756*Settings!$C$13*(AU2684+AU2702+AU2693*AU$201+AU2711*$D2792)</f>
        <v/>
      </c>
      <c r="AV2792" s="44">
        <f>AV2756*Settings!$C$13*(AV2684+AV2702+AV2693*AV$201+AV2711*$D2792)</f>
        <v/>
      </c>
      <c r="AW2792" s="44">
        <f>AW2756*Settings!$C$13*(AW2684+AW2702+AW2693*AW$201+AW2711*$D2792)</f>
        <v/>
      </c>
      <c r="AX2792" s="44">
        <f>AX2756*Settings!$C$13*(AX2684+AX2702+AX2693*AX$201+AX2711*$D2792)</f>
        <v/>
      </c>
      <c r="AY2792" s="44">
        <f>AY2756*Settings!$C$13*(AY2684+AY2702+AY2693*AY$201+AY2711*$D2792)</f>
        <v/>
      </c>
      <c r="AZ2792" s="44">
        <f>AZ2756*Settings!$C$13*(AZ2684+AZ2702+AZ2693*AZ$201+AZ2711*$D2792)</f>
        <v/>
      </c>
      <c r="BA2792" s="57">
        <f>REVENUE(BA2756,Settings!$C$13,NEWREVRATE(BA2684,BA2702,BA2693,BA$201,BA2711,$D2792))</f>
        <v/>
      </c>
    </row>
    <row r="2793" hidden="1" outlineLevel="2"/>
    <row r="2794" hidden="1" outlineLevel="2">
      <c r="A2794" s="14" t="inlineStr">
        <is>
          <t>rxcp</t>
        </is>
      </c>
      <c r="B2794" s="14" t="inlineStr">
        <is>
          <t>coa</t>
        </is>
      </c>
      <c r="C2794" s="14" t="inlineStr">
        <is>
          <t>cst</t>
        </is>
      </c>
      <c r="D2794" s="39" t="n"/>
      <c r="E2794" s="39" t="n"/>
      <c r="F2794" s="39" t="n"/>
      <c r="G2794" s="39" t="n"/>
      <c r="H2794" s="14">
        <f>INDEX(VarLab,MATCH($A2794,VarKey,0))&amp;INDEX(MemLab,MATCH($C2794&amp;"|"&amp;$B2794,MemKey,0))</f>
        <v/>
      </c>
      <c r="I2794" s="14">
        <f>INDEX(VarUnit,MATCH($A2794,VarKey,0))</f>
        <v/>
      </c>
      <c r="J2794" s="14">
        <f>INDEX(VarSrc,MATCH($A2794,VarKey,0))</f>
        <v/>
      </c>
      <c r="K2794" s="11">
        <f>CodePrefix&amp;$A2794&amp;IF($C2794="","","."&amp;$C2794&amp;"."&amp;$B2794)&amp;INDEX(VarEnd,MATCH($A2794,VarKey,0))&amp;K$5</f>
        <v/>
      </c>
      <c r="L2794" s="43">
        <f>L2749*Settings!$C$13*(L2713)</f>
        <v/>
      </c>
      <c r="M2794" s="44">
        <f>M2749*Settings!$C$13*(M2713)</f>
        <v/>
      </c>
      <c r="N2794" s="44">
        <f>N2749*Settings!$C$13*(N2713)</f>
        <v/>
      </c>
      <c r="O2794" s="44">
        <f>O2749*Settings!$C$13*(O2713)</f>
        <v/>
      </c>
      <c r="P2794" s="44">
        <f>P2749*Settings!$C$13*(P2713)</f>
        <v/>
      </c>
      <c r="Q2794" s="44">
        <f>Q2749*Settings!$C$13*(Q2713)</f>
        <v/>
      </c>
      <c r="R2794" s="44">
        <f>R2749*Settings!$C$13*(R2713)</f>
        <v/>
      </c>
      <c r="S2794" s="44">
        <f>S2749*Settings!$C$13*(S2713)</f>
        <v/>
      </c>
      <c r="T2794" s="44">
        <f>T2749*Settings!$C$13*(T2713)</f>
        <v/>
      </c>
      <c r="U2794" s="44">
        <f>U2749*Settings!$C$13*(U2713)</f>
        <v/>
      </c>
      <c r="V2794" s="44">
        <f>V2749*Settings!$C$13*(V2713)</f>
        <v/>
      </c>
      <c r="W2794" s="44">
        <f>W2749*Settings!$C$13*(W2713)</f>
        <v/>
      </c>
      <c r="X2794" s="44">
        <f>X2749*Settings!$C$13*(X2713)</f>
        <v/>
      </c>
      <c r="Y2794" s="44">
        <f>Y2749*Settings!$C$13*(Y2713)</f>
        <v/>
      </c>
      <c r="Z2794" s="44">
        <f>Z2749*Settings!$C$13*(Z2713)</f>
        <v/>
      </c>
      <c r="AA2794" s="44">
        <f>AA2749*Settings!$C$13*(AA2713)</f>
        <v/>
      </c>
      <c r="AB2794" s="44">
        <f>AB2749*Settings!$C$13*(AB2713)</f>
        <v/>
      </c>
      <c r="AC2794" s="44">
        <f>AC2749*Settings!$C$13*(AC2713)</f>
        <v/>
      </c>
      <c r="AD2794" s="44">
        <f>AD2749*Settings!$C$13*(AD2713)</f>
        <v/>
      </c>
      <c r="AE2794" s="57">
        <f>REVENUE(AE2749,Settings!$C$13,AE2713)</f>
        <v/>
      </c>
      <c r="AG2794" s="11">
        <f>CodePrefix&amp;$A2794&amp;IF($C2794="","","."&amp;$C2794&amp;"."&amp;$B2794)&amp;INDEX(VarEnd,MATCH($A2794,VarKey,0))&amp;AG$5</f>
        <v/>
      </c>
      <c r="AH2794" s="43">
        <f>AH2749*Settings!$C$13*(AH2713)</f>
        <v/>
      </c>
      <c r="AI2794" s="44">
        <f>AI2749*Settings!$C$13*(AI2713)</f>
        <v/>
      </c>
      <c r="AJ2794" s="44">
        <f>AJ2749*Settings!$C$13*(AJ2713)</f>
        <v/>
      </c>
      <c r="AK2794" s="44">
        <f>AK2749*Settings!$C$13*(AK2713)</f>
        <v/>
      </c>
      <c r="AL2794" s="44">
        <f>AL2749*Settings!$C$13*(AL2713)</f>
        <v/>
      </c>
      <c r="AM2794" s="44">
        <f>AM2749*Settings!$C$13*(AM2713)</f>
        <v/>
      </c>
      <c r="AN2794" s="44">
        <f>AN2749*Settings!$C$13*(AN2713)</f>
        <v/>
      </c>
      <c r="AO2794" s="44">
        <f>AO2749*Settings!$C$13*(AO2713)</f>
        <v/>
      </c>
      <c r="AP2794" s="44">
        <f>AP2749*Settings!$C$13*(AP2713)</f>
        <v/>
      </c>
      <c r="AQ2794" s="44">
        <f>AQ2749*Settings!$C$13*(AQ2713)</f>
        <v/>
      </c>
      <c r="AR2794" s="44">
        <f>AR2749*Settings!$C$13*(AR2713)</f>
        <v/>
      </c>
      <c r="AS2794" s="44">
        <f>AS2749*Settings!$C$13*(AS2713)</f>
        <v/>
      </c>
      <c r="AT2794" s="44">
        <f>AT2749*Settings!$C$13*(AT2713)</f>
        <v/>
      </c>
      <c r="AU2794" s="44">
        <f>AU2749*Settings!$C$13*(AU2713)</f>
        <v/>
      </c>
      <c r="AV2794" s="44">
        <f>AV2749*Settings!$C$13*(AV2713)</f>
        <v/>
      </c>
      <c r="AW2794" s="44">
        <f>AW2749*Settings!$C$13*(AW2713)</f>
        <v/>
      </c>
      <c r="AX2794" s="44">
        <f>AX2749*Settings!$C$13*(AX2713)</f>
        <v/>
      </c>
      <c r="AY2794" s="44">
        <f>AY2749*Settings!$C$13*(AY2713)</f>
        <v/>
      </c>
      <c r="AZ2794" s="44">
        <f>AZ2749*Settings!$C$13*(AZ2713)</f>
        <v/>
      </c>
      <c r="BA2794" s="57">
        <f>REVENUE(BA2749,Settings!$C$13,BA2713)</f>
        <v/>
      </c>
    </row>
    <row r="2795" hidden="1" outlineLevel="2">
      <c r="A2795" s="14" t="inlineStr">
        <is>
          <t>rxcp</t>
        </is>
      </c>
      <c r="B2795" s="14" t="inlineStr">
        <is>
          <t>nga</t>
        </is>
      </c>
      <c r="C2795" s="14" t="inlineStr">
        <is>
          <t>cst</t>
        </is>
      </c>
      <c r="D2795" s="39" t="n"/>
      <c r="E2795" s="39" t="n"/>
      <c r="F2795" s="39" t="n"/>
      <c r="G2795" s="39" t="n"/>
      <c r="H2795" s="14">
        <f>INDEX(VarLab,MATCH($A2795,VarKey,0))&amp;INDEX(MemLab,MATCH($C2795&amp;"|"&amp;$B2795,MemKey,0))</f>
        <v/>
      </c>
      <c r="I2795" s="14">
        <f>INDEX(VarUnit,MATCH($A2795,VarKey,0))</f>
        <v/>
      </c>
      <c r="J2795" s="14">
        <f>INDEX(VarSrc,MATCH($A2795,VarKey,0))</f>
        <v/>
      </c>
      <c r="K2795" s="11">
        <f>CodePrefix&amp;$A2795&amp;IF($C2795="","","."&amp;$C2795&amp;"."&amp;$B2795)&amp;INDEX(VarEnd,MATCH($A2795,VarKey,0))&amp;K$5</f>
        <v/>
      </c>
      <c r="L2795" s="43">
        <f>L2750*Settings!$C$13*(L2714)</f>
        <v/>
      </c>
      <c r="M2795" s="44">
        <f>M2750*Settings!$C$13*(M2714)</f>
        <v/>
      </c>
      <c r="N2795" s="44">
        <f>N2750*Settings!$C$13*(N2714)</f>
        <v/>
      </c>
      <c r="O2795" s="44">
        <f>O2750*Settings!$C$13*(O2714)</f>
        <v/>
      </c>
      <c r="P2795" s="44">
        <f>P2750*Settings!$C$13*(P2714)</f>
        <v/>
      </c>
      <c r="Q2795" s="44">
        <f>Q2750*Settings!$C$13*(Q2714)</f>
        <v/>
      </c>
      <c r="R2795" s="44">
        <f>R2750*Settings!$C$13*(R2714)</f>
        <v/>
      </c>
      <c r="S2795" s="44">
        <f>S2750*Settings!$C$13*(S2714)</f>
        <v/>
      </c>
      <c r="T2795" s="44">
        <f>T2750*Settings!$C$13*(T2714)</f>
        <v/>
      </c>
      <c r="U2795" s="44">
        <f>U2750*Settings!$C$13*(U2714)</f>
        <v/>
      </c>
      <c r="V2795" s="44">
        <f>V2750*Settings!$C$13*(V2714)</f>
        <v/>
      </c>
      <c r="W2795" s="44">
        <f>W2750*Settings!$C$13*(W2714)</f>
        <v/>
      </c>
      <c r="X2795" s="44">
        <f>X2750*Settings!$C$13*(X2714)</f>
        <v/>
      </c>
      <c r="Y2795" s="44">
        <f>Y2750*Settings!$C$13*(Y2714)</f>
        <v/>
      </c>
      <c r="Z2795" s="44">
        <f>Z2750*Settings!$C$13*(Z2714)</f>
        <v/>
      </c>
      <c r="AA2795" s="44">
        <f>AA2750*Settings!$C$13*(AA2714)</f>
        <v/>
      </c>
      <c r="AB2795" s="44">
        <f>AB2750*Settings!$C$13*(AB2714)</f>
        <v/>
      </c>
      <c r="AC2795" s="44">
        <f>AC2750*Settings!$C$13*(AC2714)</f>
        <v/>
      </c>
      <c r="AD2795" s="44">
        <f>AD2750*Settings!$C$13*(AD2714)</f>
        <v/>
      </c>
      <c r="AE2795" s="57">
        <f>REVENUE(AE2750,Settings!$C$13,AE2714)</f>
        <v/>
      </c>
      <c r="AG2795" s="11">
        <f>CodePrefix&amp;$A2795&amp;IF($C2795="","","."&amp;$C2795&amp;"."&amp;$B2795)&amp;INDEX(VarEnd,MATCH($A2795,VarKey,0))&amp;AG$5</f>
        <v/>
      </c>
      <c r="AH2795" s="43">
        <f>AH2750*Settings!$C$13*(AH2714)</f>
        <v/>
      </c>
      <c r="AI2795" s="44">
        <f>AI2750*Settings!$C$13*(AI2714)</f>
        <v/>
      </c>
      <c r="AJ2795" s="44">
        <f>AJ2750*Settings!$C$13*(AJ2714)</f>
        <v/>
      </c>
      <c r="AK2795" s="44">
        <f>AK2750*Settings!$C$13*(AK2714)</f>
        <v/>
      </c>
      <c r="AL2795" s="44">
        <f>AL2750*Settings!$C$13*(AL2714)</f>
        <v/>
      </c>
      <c r="AM2795" s="44">
        <f>AM2750*Settings!$C$13*(AM2714)</f>
        <v/>
      </c>
      <c r="AN2795" s="44">
        <f>AN2750*Settings!$C$13*(AN2714)</f>
        <v/>
      </c>
      <c r="AO2795" s="44">
        <f>AO2750*Settings!$C$13*(AO2714)</f>
        <v/>
      </c>
      <c r="AP2795" s="44">
        <f>AP2750*Settings!$C$13*(AP2714)</f>
        <v/>
      </c>
      <c r="AQ2795" s="44">
        <f>AQ2750*Settings!$C$13*(AQ2714)</f>
        <v/>
      </c>
      <c r="AR2795" s="44">
        <f>AR2750*Settings!$C$13*(AR2714)</f>
        <v/>
      </c>
      <c r="AS2795" s="44">
        <f>AS2750*Settings!$C$13*(AS2714)</f>
        <v/>
      </c>
      <c r="AT2795" s="44">
        <f>AT2750*Settings!$C$13*(AT2714)</f>
        <v/>
      </c>
      <c r="AU2795" s="44">
        <f>AU2750*Settings!$C$13*(AU2714)</f>
        <v/>
      </c>
      <c r="AV2795" s="44">
        <f>AV2750*Settings!$C$13*(AV2714)</f>
        <v/>
      </c>
      <c r="AW2795" s="44">
        <f>AW2750*Settings!$C$13*(AW2714)</f>
        <v/>
      </c>
      <c r="AX2795" s="44">
        <f>AX2750*Settings!$C$13*(AX2714)</f>
        <v/>
      </c>
      <c r="AY2795" s="44">
        <f>AY2750*Settings!$C$13*(AY2714)</f>
        <v/>
      </c>
      <c r="AZ2795" s="44">
        <f>AZ2750*Settings!$C$13*(AZ2714)</f>
        <v/>
      </c>
      <c r="BA2795" s="57">
        <f>REVENUE(BA2750,Settings!$C$13,BA2714)</f>
        <v/>
      </c>
    </row>
    <row r="2796" hidden="1" outlineLevel="2">
      <c r="A2796" s="14" t="inlineStr">
        <is>
          <t>rxcp</t>
        </is>
      </c>
      <c r="B2796" s="14" t="inlineStr">
        <is>
          <t>gso</t>
        </is>
      </c>
      <c r="C2796" s="14" t="inlineStr">
        <is>
          <t>cst</t>
        </is>
      </c>
      <c r="D2796" s="39" t="n"/>
      <c r="E2796" s="39" t="n"/>
      <c r="F2796" s="39" t="n"/>
      <c r="G2796" s="39" t="n"/>
      <c r="H2796" s="14">
        <f>INDEX(VarLab,MATCH($A2796,VarKey,0))&amp;INDEX(MemLab,MATCH($C2796&amp;"|"&amp;$B2796,MemKey,0))</f>
        <v/>
      </c>
      <c r="I2796" s="14">
        <f>INDEX(VarUnit,MATCH($A2796,VarKey,0))</f>
        <v/>
      </c>
      <c r="J2796" s="14">
        <f>INDEX(VarSrc,MATCH($A2796,VarKey,0))</f>
        <v/>
      </c>
      <c r="K2796" s="11">
        <f>CodePrefix&amp;$A2796&amp;IF($C2796="","","."&amp;$C2796&amp;"."&amp;$B2796)&amp;INDEX(VarEnd,MATCH($A2796,VarKey,0))&amp;K$5</f>
        <v/>
      </c>
      <c r="L2796" s="43">
        <f>L2751*Settings!$C$13*(L2715)</f>
        <v/>
      </c>
      <c r="M2796" s="44">
        <f>M2751*Settings!$C$13*(M2715)</f>
        <v/>
      </c>
      <c r="N2796" s="44">
        <f>N2751*Settings!$C$13*(N2715)</f>
        <v/>
      </c>
      <c r="O2796" s="44">
        <f>O2751*Settings!$C$13*(O2715)</f>
        <v/>
      </c>
      <c r="P2796" s="44">
        <f>P2751*Settings!$C$13*(P2715)</f>
        <v/>
      </c>
      <c r="Q2796" s="44">
        <f>Q2751*Settings!$C$13*(Q2715)</f>
        <v/>
      </c>
      <c r="R2796" s="44">
        <f>R2751*Settings!$C$13*(R2715)</f>
        <v/>
      </c>
      <c r="S2796" s="44">
        <f>S2751*Settings!$C$13*(S2715)</f>
        <v/>
      </c>
      <c r="T2796" s="44">
        <f>T2751*Settings!$C$13*(T2715)</f>
        <v/>
      </c>
      <c r="U2796" s="44">
        <f>U2751*Settings!$C$13*(U2715)</f>
        <v/>
      </c>
      <c r="V2796" s="44">
        <f>V2751*Settings!$C$13*(V2715)</f>
        <v/>
      </c>
      <c r="W2796" s="44">
        <f>W2751*Settings!$C$13*(W2715)</f>
        <v/>
      </c>
      <c r="X2796" s="44">
        <f>X2751*Settings!$C$13*(X2715)</f>
        <v/>
      </c>
      <c r="Y2796" s="44">
        <f>Y2751*Settings!$C$13*(Y2715)</f>
        <v/>
      </c>
      <c r="Z2796" s="44">
        <f>Z2751*Settings!$C$13*(Z2715)</f>
        <v/>
      </c>
      <c r="AA2796" s="44">
        <f>AA2751*Settings!$C$13*(AA2715)</f>
        <v/>
      </c>
      <c r="AB2796" s="44">
        <f>AB2751*Settings!$C$13*(AB2715)</f>
        <v/>
      </c>
      <c r="AC2796" s="44">
        <f>AC2751*Settings!$C$13*(AC2715)</f>
        <v/>
      </c>
      <c r="AD2796" s="44">
        <f>AD2751*Settings!$C$13*(AD2715)</f>
        <v/>
      </c>
      <c r="AE2796" s="57">
        <f>REVENUE(AE2751,Settings!$C$13,AE2715)</f>
        <v/>
      </c>
      <c r="AG2796" s="11">
        <f>CodePrefix&amp;$A2796&amp;IF($C2796="","","."&amp;$C2796&amp;"."&amp;$B2796)&amp;INDEX(VarEnd,MATCH($A2796,VarKey,0))&amp;AG$5</f>
        <v/>
      </c>
      <c r="AH2796" s="43">
        <f>AH2751*Settings!$C$13*(AH2715)</f>
        <v/>
      </c>
      <c r="AI2796" s="44">
        <f>AI2751*Settings!$C$13*(AI2715)</f>
        <v/>
      </c>
      <c r="AJ2796" s="44">
        <f>AJ2751*Settings!$C$13*(AJ2715)</f>
        <v/>
      </c>
      <c r="AK2796" s="44">
        <f>AK2751*Settings!$C$13*(AK2715)</f>
        <v/>
      </c>
      <c r="AL2796" s="44">
        <f>AL2751*Settings!$C$13*(AL2715)</f>
        <v/>
      </c>
      <c r="AM2796" s="44">
        <f>AM2751*Settings!$C$13*(AM2715)</f>
        <v/>
      </c>
      <c r="AN2796" s="44">
        <f>AN2751*Settings!$C$13*(AN2715)</f>
        <v/>
      </c>
      <c r="AO2796" s="44">
        <f>AO2751*Settings!$C$13*(AO2715)</f>
        <v/>
      </c>
      <c r="AP2796" s="44">
        <f>AP2751*Settings!$C$13*(AP2715)</f>
        <v/>
      </c>
      <c r="AQ2796" s="44">
        <f>AQ2751*Settings!$C$13*(AQ2715)</f>
        <v/>
      </c>
      <c r="AR2796" s="44">
        <f>AR2751*Settings!$C$13*(AR2715)</f>
        <v/>
      </c>
      <c r="AS2796" s="44">
        <f>AS2751*Settings!$C$13*(AS2715)</f>
        <v/>
      </c>
      <c r="AT2796" s="44">
        <f>AT2751*Settings!$C$13*(AT2715)</f>
        <v/>
      </c>
      <c r="AU2796" s="44">
        <f>AU2751*Settings!$C$13*(AU2715)</f>
        <v/>
      </c>
      <c r="AV2796" s="44">
        <f>AV2751*Settings!$C$13*(AV2715)</f>
        <v/>
      </c>
      <c r="AW2796" s="44">
        <f>AW2751*Settings!$C$13*(AW2715)</f>
        <v/>
      </c>
      <c r="AX2796" s="44">
        <f>AX2751*Settings!$C$13*(AX2715)</f>
        <v/>
      </c>
      <c r="AY2796" s="44">
        <f>AY2751*Settings!$C$13*(AY2715)</f>
        <v/>
      </c>
      <c r="AZ2796" s="44">
        <f>AZ2751*Settings!$C$13*(AZ2715)</f>
        <v/>
      </c>
      <c r="BA2796" s="57">
        <f>REVENUE(BA2751,Settings!$C$13,BA2715)</f>
        <v/>
      </c>
    </row>
    <row r="2797" hidden="1" outlineLevel="2">
      <c r="A2797" s="14" t="inlineStr">
        <is>
          <t>rxcp</t>
        </is>
      </c>
      <c r="B2797" s="14" t="inlineStr">
        <is>
          <t>die</t>
        </is>
      </c>
      <c r="C2797" s="14" t="inlineStr">
        <is>
          <t>cst</t>
        </is>
      </c>
      <c r="D2797" s="39" t="n"/>
      <c r="E2797" s="39" t="n"/>
      <c r="F2797" s="39" t="n"/>
      <c r="G2797" s="39" t="n"/>
      <c r="H2797" s="14">
        <f>INDEX(VarLab,MATCH($A2797,VarKey,0))&amp;INDEX(MemLab,MATCH($C2797&amp;"|"&amp;$B2797,MemKey,0))</f>
        <v/>
      </c>
      <c r="I2797" s="14">
        <f>INDEX(VarUnit,MATCH($A2797,VarKey,0))</f>
        <v/>
      </c>
      <c r="J2797" s="14">
        <f>INDEX(VarSrc,MATCH($A2797,VarKey,0))</f>
        <v/>
      </c>
      <c r="K2797" s="11">
        <f>CodePrefix&amp;$A2797&amp;IF($C2797="","","."&amp;$C2797&amp;"."&amp;$B2797)&amp;INDEX(VarEnd,MATCH($A2797,VarKey,0))&amp;K$5</f>
        <v/>
      </c>
      <c r="L2797" s="43">
        <f>L2752*Settings!$C$13*(L2716)</f>
        <v/>
      </c>
      <c r="M2797" s="44">
        <f>M2752*Settings!$C$13*(M2716)</f>
        <v/>
      </c>
      <c r="N2797" s="44">
        <f>N2752*Settings!$C$13*(N2716)</f>
        <v/>
      </c>
      <c r="O2797" s="44">
        <f>O2752*Settings!$C$13*(O2716)</f>
        <v/>
      </c>
      <c r="P2797" s="44">
        <f>P2752*Settings!$C$13*(P2716)</f>
        <v/>
      </c>
      <c r="Q2797" s="44">
        <f>Q2752*Settings!$C$13*(Q2716)</f>
        <v/>
      </c>
      <c r="R2797" s="44">
        <f>R2752*Settings!$C$13*(R2716)</f>
        <v/>
      </c>
      <c r="S2797" s="44">
        <f>S2752*Settings!$C$13*(S2716)</f>
        <v/>
      </c>
      <c r="T2797" s="44">
        <f>T2752*Settings!$C$13*(T2716)</f>
        <v/>
      </c>
      <c r="U2797" s="44">
        <f>U2752*Settings!$C$13*(U2716)</f>
        <v/>
      </c>
      <c r="V2797" s="44">
        <f>V2752*Settings!$C$13*(V2716)</f>
        <v/>
      </c>
      <c r="W2797" s="44">
        <f>W2752*Settings!$C$13*(W2716)</f>
        <v/>
      </c>
      <c r="X2797" s="44">
        <f>X2752*Settings!$C$13*(X2716)</f>
        <v/>
      </c>
      <c r="Y2797" s="44">
        <f>Y2752*Settings!$C$13*(Y2716)</f>
        <v/>
      </c>
      <c r="Z2797" s="44">
        <f>Z2752*Settings!$C$13*(Z2716)</f>
        <v/>
      </c>
      <c r="AA2797" s="44">
        <f>AA2752*Settings!$C$13*(AA2716)</f>
        <v/>
      </c>
      <c r="AB2797" s="44">
        <f>AB2752*Settings!$C$13*(AB2716)</f>
        <v/>
      </c>
      <c r="AC2797" s="44">
        <f>AC2752*Settings!$C$13*(AC2716)</f>
        <v/>
      </c>
      <c r="AD2797" s="44">
        <f>AD2752*Settings!$C$13*(AD2716)</f>
        <v/>
      </c>
      <c r="AE2797" s="57">
        <f>REVENUE(AE2752,Settings!$C$13,AE2716)</f>
        <v/>
      </c>
      <c r="AG2797" s="11">
        <f>CodePrefix&amp;$A2797&amp;IF($C2797="","","."&amp;$C2797&amp;"."&amp;$B2797)&amp;INDEX(VarEnd,MATCH($A2797,VarKey,0))&amp;AG$5</f>
        <v/>
      </c>
      <c r="AH2797" s="43">
        <f>AH2752*Settings!$C$13*(AH2716)</f>
        <v/>
      </c>
      <c r="AI2797" s="44">
        <f>AI2752*Settings!$C$13*(AI2716)</f>
        <v/>
      </c>
      <c r="AJ2797" s="44">
        <f>AJ2752*Settings!$C$13*(AJ2716)</f>
        <v/>
      </c>
      <c r="AK2797" s="44">
        <f>AK2752*Settings!$C$13*(AK2716)</f>
        <v/>
      </c>
      <c r="AL2797" s="44">
        <f>AL2752*Settings!$C$13*(AL2716)</f>
        <v/>
      </c>
      <c r="AM2797" s="44">
        <f>AM2752*Settings!$C$13*(AM2716)</f>
        <v/>
      </c>
      <c r="AN2797" s="44">
        <f>AN2752*Settings!$C$13*(AN2716)</f>
        <v/>
      </c>
      <c r="AO2797" s="44">
        <f>AO2752*Settings!$C$13*(AO2716)</f>
        <v/>
      </c>
      <c r="AP2797" s="44">
        <f>AP2752*Settings!$C$13*(AP2716)</f>
        <v/>
      </c>
      <c r="AQ2797" s="44">
        <f>AQ2752*Settings!$C$13*(AQ2716)</f>
        <v/>
      </c>
      <c r="AR2797" s="44">
        <f>AR2752*Settings!$C$13*(AR2716)</f>
        <v/>
      </c>
      <c r="AS2797" s="44">
        <f>AS2752*Settings!$C$13*(AS2716)</f>
        <v/>
      </c>
      <c r="AT2797" s="44">
        <f>AT2752*Settings!$C$13*(AT2716)</f>
        <v/>
      </c>
      <c r="AU2797" s="44">
        <f>AU2752*Settings!$C$13*(AU2716)</f>
        <v/>
      </c>
      <c r="AV2797" s="44">
        <f>AV2752*Settings!$C$13*(AV2716)</f>
        <v/>
      </c>
      <c r="AW2797" s="44">
        <f>AW2752*Settings!$C$13*(AW2716)</f>
        <v/>
      </c>
      <c r="AX2797" s="44">
        <f>AX2752*Settings!$C$13*(AX2716)</f>
        <v/>
      </c>
      <c r="AY2797" s="44">
        <f>AY2752*Settings!$C$13*(AY2716)</f>
        <v/>
      </c>
      <c r="AZ2797" s="44">
        <f>AZ2752*Settings!$C$13*(AZ2716)</f>
        <v/>
      </c>
      <c r="BA2797" s="57">
        <f>REVENUE(BA2752,Settings!$C$13,BA2716)</f>
        <v/>
      </c>
    </row>
    <row r="2798" hidden="1" outlineLevel="2">
      <c r="A2798" s="14" t="inlineStr">
        <is>
          <t>rxcp</t>
        </is>
      </c>
      <c r="B2798" s="14" t="inlineStr">
        <is>
          <t>lpg</t>
        </is>
      </c>
      <c r="C2798" s="14" t="inlineStr">
        <is>
          <t>cst</t>
        </is>
      </c>
      <c r="D2798" s="39" t="n"/>
      <c r="E2798" s="39" t="n"/>
      <c r="F2798" s="39" t="n"/>
      <c r="G2798" s="39" t="n"/>
      <c r="H2798" s="14">
        <f>INDEX(VarLab,MATCH($A2798,VarKey,0))&amp;INDEX(MemLab,MATCH($C2798&amp;"|"&amp;$B2798,MemKey,0))</f>
        <v/>
      </c>
      <c r="I2798" s="14">
        <f>INDEX(VarUnit,MATCH($A2798,VarKey,0))</f>
        <v/>
      </c>
      <c r="J2798" s="14">
        <f>INDEX(VarSrc,MATCH($A2798,VarKey,0))</f>
        <v/>
      </c>
      <c r="K2798" s="11">
        <f>CodePrefix&amp;$A2798&amp;IF($C2798="","","."&amp;$C2798&amp;"."&amp;$B2798)&amp;INDEX(VarEnd,MATCH($A2798,VarKey,0))&amp;K$5</f>
        <v/>
      </c>
      <c r="L2798" s="43">
        <f>L2753*Settings!$C$13*(L2717)</f>
        <v/>
      </c>
      <c r="M2798" s="44">
        <f>M2753*Settings!$C$13*(M2717)</f>
        <v/>
      </c>
      <c r="N2798" s="44">
        <f>N2753*Settings!$C$13*(N2717)</f>
        <v/>
      </c>
      <c r="O2798" s="44">
        <f>O2753*Settings!$C$13*(O2717)</f>
        <v/>
      </c>
      <c r="P2798" s="44">
        <f>P2753*Settings!$C$13*(P2717)</f>
        <v/>
      </c>
      <c r="Q2798" s="44">
        <f>Q2753*Settings!$C$13*(Q2717)</f>
        <v/>
      </c>
      <c r="R2798" s="44">
        <f>R2753*Settings!$C$13*(R2717)</f>
        <v/>
      </c>
      <c r="S2798" s="44">
        <f>S2753*Settings!$C$13*(S2717)</f>
        <v/>
      </c>
      <c r="T2798" s="44">
        <f>T2753*Settings!$C$13*(T2717)</f>
        <v/>
      </c>
      <c r="U2798" s="44">
        <f>U2753*Settings!$C$13*(U2717)</f>
        <v/>
      </c>
      <c r="V2798" s="44">
        <f>V2753*Settings!$C$13*(V2717)</f>
        <v/>
      </c>
      <c r="W2798" s="44">
        <f>W2753*Settings!$C$13*(W2717)</f>
        <v/>
      </c>
      <c r="X2798" s="44">
        <f>X2753*Settings!$C$13*(X2717)</f>
        <v/>
      </c>
      <c r="Y2798" s="44">
        <f>Y2753*Settings!$C$13*(Y2717)</f>
        <v/>
      </c>
      <c r="Z2798" s="44">
        <f>Z2753*Settings!$C$13*(Z2717)</f>
        <v/>
      </c>
      <c r="AA2798" s="44">
        <f>AA2753*Settings!$C$13*(AA2717)</f>
        <v/>
      </c>
      <c r="AB2798" s="44">
        <f>AB2753*Settings!$C$13*(AB2717)</f>
        <v/>
      </c>
      <c r="AC2798" s="44">
        <f>AC2753*Settings!$C$13*(AC2717)</f>
        <v/>
      </c>
      <c r="AD2798" s="44">
        <f>AD2753*Settings!$C$13*(AD2717)</f>
        <v/>
      </c>
      <c r="AE2798" s="57">
        <f>REVENUE(AE2753,Settings!$C$13,AE2717)</f>
        <v/>
      </c>
      <c r="AG2798" s="11">
        <f>CodePrefix&amp;$A2798&amp;IF($C2798="","","."&amp;$C2798&amp;"."&amp;$B2798)&amp;INDEX(VarEnd,MATCH($A2798,VarKey,0))&amp;AG$5</f>
        <v/>
      </c>
      <c r="AH2798" s="43">
        <f>AH2753*Settings!$C$13*(AH2717)</f>
        <v/>
      </c>
      <c r="AI2798" s="44">
        <f>AI2753*Settings!$C$13*(AI2717)</f>
        <v/>
      </c>
      <c r="AJ2798" s="44">
        <f>AJ2753*Settings!$C$13*(AJ2717)</f>
        <v/>
      </c>
      <c r="AK2798" s="44">
        <f>AK2753*Settings!$C$13*(AK2717)</f>
        <v/>
      </c>
      <c r="AL2798" s="44">
        <f>AL2753*Settings!$C$13*(AL2717)</f>
        <v/>
      </c>
      <c r="AM2798" s="44">
        <f>AM2753*Settings!$C$13*(AM2717)</f>
        <v/>
      </c>
      <c r="AN2798" s="44">
        <f>AN2753*Settings!$C$13*(AN2717)</f>
        <v/>
      </c>
      <c r="AO2798" s="44">
        <f>AO2753*Settings!$C$13*(AO2717)</f>
        <v/>
      </c>
      <c r="AP2798" s="44">
        <f>AP2753*Settings!$C$13*(AP2717)</f>
        <v/>
      </c>
      <c r="AQ2798" s="44">
        <f>AQ2753*Settings!$C$13*(AQ2717)</f>
        <v/>
      </c>
      <c r="AR2798" s="44">
        <f>AR2753*Settings!$C$13*(AR2717)</f>
        <v/>
      </c>
      <c r="AS2798" s="44">
        <f>AS2753*Settings!$C$13*(AS2717)</f>
        <v/>
      </c>
      <c r="AT2798" s="44">
        <f>AT2753*Settings!$C$13*(AT2717)</f>
        <v/>
      </c>
      <c r="AU2798" s="44">
        <f>AU2753*Settings!$C$13*(AU2717)</f>
        <v/>
      </c>
      <c r="AV2798" s="44">
        <f>AV2753*Settings!$C$13*(AV2717)</f>
        <v/>
      </c>
      <c r="AW2798" s="44">
        <f>AW2753*Settings!$C$13*(AW2717)</f>
        <v/>
      </c>
      <c r="AX2798" s="44">
        <f>AX2753*Settings!$C$13*(AX2717)</f>
        <v/>
      </c>
      <c r="AY2798" s="44">
        <f>AY2753*Settings!$C$13*(AY2717)</f>
        <v/>
      </c>
      <c r="AZ2798" s="44">
        <f>AZ2753*Settings!$C$13*(AZ2717)</f>
        <v/>
      </c>
      <c r="BA2798" s="57">
        <f>REVENUE(BA2753,Settings!$C$13,BA2717)</f>
        <v/>
      </c>
    </row>
    <row r="2799" hidden="1" outlineLevel="2">
      <c r="A2799" s="14" t="inlineStr">
        <is>
          <t>rxcp</t>
        </is>
      </c>
      <c r="B2799" s="14" t="inlineStr">
        <is>
          <t>ker</t>
        </is>
      </c>
      <c r="C2799" s="14" t="inlineStr">
        <is>
          <t>cst</t>
        </is>
      </c>
      <c r="D2799" s="39" t="n"/>
      <c r="E2799" s="39" t="n"/>
      <c r="F2799" s="39" t="n"/>
      <c r="G2799" s="39" t="n"/>
      <c r="H2799" s="14">
        <f>INDEX(VarLab,MATCH($A2799,VarKey,0))&amp;INDEX(MemLab,MATCH($C2799&amp;"|"&amp;$B2799,MemKey,0))</f>
        <v/>
      </c>
      <c r="I2799" s="14">
        <f>INDEX(VarUnit,MATCH($A2799,VarKey,0))</f>
        <v/>
      </c>
      <c r="J2799" s="14">
        <f>INDEX(VarSrc,MATCH($A2799,VarKey,0))</f>
        <v/>
      </c>
      <c r="K2799" s="11">
        <f>CodePrefix&amp;$A2799&amp;IF($C2799="","","."&amp;$C2799&amp;"."&amp;$B2799)&amp;INDEX(VarEnd,MATCH($A2799,VarKey,0))&amp;K$5</f>
        <v/>
      </c>
      <c r="L2799" s="43">
        <f>L2754*Settings!$C$13*(L2718)</f>
        <v/>
      </c>
      <c r="M2799" s="44">
        <f>M2754*Settings!$C$13*(M2718)</f>
        <v/>
      </c>
      <c r="N2799" s="44">
        <f>N2754*Settings!$C$13*(N2718)</f>
        <v/>
      </c>
      <c r="O2799" s="44">
        <f>O2754*Settings!$C$13*(O2718)</f>
        <v/>
      </c>
      <c r="P2799" s="44">
        <f>P2754*Settings!$C$13*(P2718)</f>
        <v/>
      </c>
      <c r="Q2799" s="44">
        <f>Q2754*Settings!$C$13*(Q2718)</f>
        <v/>
      </c>
      <c r="R2799" s="44">
        <f>R2754*Settings!$C$13*(R2718)</f>
        <v/>
      </c>
      <c r="S2799" s="44">
        <f>S2754*Settings!$C$13*(S2718)</f>
        <v/>
      </c>
      <c r="T2799" s="44">
        <f>T2754*Settings!$C$13*(T2718)</f>
        <v/>
      </c>
      <c r="U2799" s="44">
        <f>U2754*Settings!$C$13*(U2718)</f>
        <v/>
      </c>
      <c r="V2799" s="44">
        <f>V2754*Settings!$C$13*(V2718)</f>
        <v/>
      </c>
      <c r="W2799" s="44">
        <f>W2754*Settings!$C$13*(W2718)</f>
        <v/>
      </c>
      <c r="X2799" s="44">
        <f>X2754*Settings!$C$13*(X2718)</f>
        <v/>
      </c>
      <c r="Y2799" s="44">
        <f>Y2754*Settings!$C$13*(Y2718)</f>
        <v/>
      </c>
      <c r="Z2799" s="44">
        <f>Z2754*Settings!$C$13*(Z2718)</f>
        <v/>
      </c>
      <c r="AA2799" s="44">
        <f>AA2754*Settings!$C$13*(AA2718)</f>
        <v/>
      </c>
      <c r="AB2799" s="44">
        <f>AB2754*Settings!$C$13*(AB2718)</f>
        <v/>
      </c>
      <c r="AC2799" s="44">
        <f>AC2754*Settings!$C$13*(AC2718)</f>
        <v/>
      </c>
      <c r="AD2799" s="44">
        <f>AD2754*Settings!$C$13*(AD2718)</f>
        <v/>
      </c>
      <c r="AE2799" s="57">
        <f>REVENUE(AE2754,Settings!$C$13,AE2718)</f>
        <v/>
      </c>
      <c r="AG2799" s="11">
        <f>CodePrefix&amp;$A2799&amp;IF($C2799="","","."&amp;$C2799&amp;"."&amp;$B2799)&amp;INDEX(VarEnd,MATCH($A2799,VarKey,0))&amp;AG$5</f>
        <v/>
      </c>
      <c r="AH2799" s="43">
        <f>AH2754*Settings!$C$13*(AH2718)</f>
        <v/>
      </c>
      <c r="AI2799" s="44">
        <f>AI2754*Settings!$C$13*(AI2718)</f>
        <v/>
      </c>
      <c r="AJ2799" s="44">
        <f>AJ2754*Settings!$C$13*(AJ2718)</f>
        <v/>
      </c>
      <c r="AK2799" s="44">
        <f>AK2754*Settings!$C$13*(AK2718)</f>
        <v/>
      </c>
      <c r="AL2799" s="44">
        <f>AL2754*Settings!$C$13*(AL2718)</f>
        <v/>
      </c>
      <c r="AM2799" s="44">
        <f>AM2754*Settings!$C$13*(AM2718)</f>
        <v/>
      </c>
      <c r="AN2799" s="44">
        <f>AN2754*Settings!$C$13*(AN2718)</f>
        <v/>
      </c>
      <c r="AO2799" s="44">
        <f>AO2754*Settings!$C$13*(AO2718)</f>
        <v/>
      </c>
      <c r="AP2799" s="44">
        <f>AP2754*Settings!$C$13*(AP2718)</f>
        <v/>
      </c>
      <c r="AQ2799" s="44">
        <f>AQ2754*Settings!$C$13*(AQ2718)</f>
        <v/>
      </c>
      <c r="AR2799" s="44">
        <f>AR2754*Settings!$C$13*(AR2718)</f>
        <v/>
      </c>
      <c r="AS2799" s="44">
        <f>AS2754*Settings!$C$13*(AS2718)</f>
        <v/>
      </c>
      <c r="AT2799" s="44">
        <f>AT2754*Settings!$C$13*(AT2718)</f>
        <v/>
      </c>
      <c r="AU2799" s="44">
        <f>AU2754*Settings!$C$13*(AU2718)</f>
        <v/>
      </c>
      <c r="AV2799" s="44">
        <f>AV2754*Settings!$C$13*(AV2718)</f>
        <v/>
      </c>
      <c r="AW2799" s="44">
        <f>AW2754*Settings!$C$13*(AW2718)</f>
        <v/>
      </c>
      <c r="AX2799" s="44">
        <f>AX2754*Settings!$C$13*(AX2718)</f>
        <v/>
      </c>
      <c r="AY2799" s="44">
        <f>AY2754*Settings!$C$13*(AY2718)</f>
        <v/>
      </c>
      <c r="AZ2799" s="44">
        <f>AZ2754*Settings!$C$13*(AZ2718)</f>
        <v/>
      </c>
      <c r="BA2799" s="57">
        <f>REVENUE(BA2754,Settings!$C$13,BA2718)</f>
        <v/>
      </c>
    </row>
    <row r="2800" hidden="1" outlineLevel="2">
      <c r="A2800" s="14" t="inlineStr">
        <is>
          <t>rxcp</t>
        </is>
      </c>
      <c r="B2800" s="14" t="inlineStr">
        <is>
          <t>oop</t>
        </is>
      </c>
      <c r="C2800" s="14" t="inlineStr">
        <is>
          <t>cst</t>
        </is>
      </c>
      <c r="D2800" s="39" t="n"/>
      <c r="E2800" s="39" t="n"/>
      <c r="F2800" s="39" t="n"/>
      <c r="G2800" s="39" t="n"/>
      <c r="H2800" s="14">
        <f>INDEX(VarLab,MATCH($A2800,VarKey,0))&amp;INDEX(MemLab,MATCH($C2800&amp;"|"&amp;$B2800,MemKey,0))</f>
        <v/>
      </c>
      <c r="I2800" s="14">
        <f>INDEX(VarUnit,MATCH($A2800,VarKey,0))</f>
        <v/>
      </c>
      <c r="J2800" s="14">
        <f>INDEX(VarSrc,MATCH($A2800,VarKey,0))</f>
        <v/>
      </c>
      <c r="K2800" s="11">
        <f>CodePrefix&amp;$A2800&amp;IF($C2800="","","."&amp;$C2800&amp;"."&amp;$B2800)&amp;INDEX(VarEnd,MATCH($A2800,VarKey,0))&amp;K$5</f>
        <v/>
      </c>
      <c r="L2800" s="43">
        <f>L2755*Settings!$C$13*(L2719)</f>
        <v/>
      </c>
      <c r="M2800" s="44">
        <f>M2755*Settings!$C$13*(M2719)</f>
        <v/>
      </c>
      <c r="N2800" s="44">
        <f>N2755*Settings!$C$13*(N2719)</f>
        <v/>
      </c>
      <c r="O2800" s="44">
        <f>O2755*Settings!$C$13*(O2719)</f>
        <v/>
      </c>
      <c r="P2800" s="44">
        <f>P2755*Settings!$C$13*(P2719)</f>
        <v/>
      </c>
      <c r="Q2800" s="44">
        <f>Q2755*Settings!$C$13*(Q2719)</f>
        <v/>
      </c>
      <c r="R2800" s="44">
        <f>R2755*Settings!$C$13*(R2719)</f>
        <v/>
      </c>
      <c r="S2800" s="44">
        <f>S2755*Settings!$C$13*(S2719)</f>
        <v/>
      </c>
      <c r="T2800" s="44">
        <f>T2755*Settings!$C$13*(T2719)</f>
        <v/>
      </c>
      <c r="U2800" s="44">
        <f>U2755*Settings!$C$13*(U2719)</f>
        <v/>
      </c>
      <c r="V2800" s="44">
        <f>V2755*Settings!$C$13*(V2719)</f>
        <v/>
      </c>
      <c r="W2800" s="44">
        <f>W2755*Settings!$C$13*(W2719)</f>
        <v/>
      </c>
      <c r="X2800" s="44">
        <f>X2755*Settings!$C$13*(X2719)</f>
        <v/>
      </c>
      <c r="Y2800" s="44">
        <f>Y2755*Settings!$C$13*(Y2719)</f>
        <v/>
      </c>
      <c r="Z2800" s="44">
        <f>Z2755*Settings!$C$13*(Z2719)</f>
        <v/>
      </c>
      <c r="AA2800" s="44">
        <f>AA2755*Settings!$C$13*(AA2719)</f>
        <v/>
      </c>
      <c r="AB2800" s="44">
        <f>AB2755*Settings!$C$13*(AB2719)</f>
        <v/>
      </c>
      <c r="AC2800" s="44">
        <f>AC2755*Settings!$C$13*(AC2719)</f>
        <v/>
      </c>
      <c r="AD2800" s="44">
        <f>AD2755*Settings!$C$13*(AD2719)</f>
        <v/>
      </c>
      <c r="AE2800" s="57">
        <f>REVENUE(AE2755,Settings!$C$13,AE2719)</f>
        <v/>
      </c>
      <c r="AG2800" s="11">
        <f>CodePrefix&amp;$A2800&amp;IF($C2800="","","."&amp;$C2800&amp;"."&amp;$B2800)&amp;INDEX(VarEnd,MATCH($A2800,VarKey,0))&amp;AG$5</f>
        <v/>
      </c>
      <c r="AH2800" s="43">
        <f>AH2755*Settings!$C$13*(AH2719)</f>
        <v/>
      </c>
      <c r="AI2800" s="44">
        <f>AI2755*Settings!$C$13*(AI2719)</f>
        <v/>
      </c>
      <c r="AJ2800" s="44">
        <f>AJ2755*Settings!$C$13*(AJ2719)</f>
        <v/>
      </c>
      <c r="AK2800" s="44">
        <f>AK2755*Settings!$C$13*(AK2719)</f>
        <v/>
      </c>
      <c r="AL2800" s="44">
        <f>AL2755*Settings!$C$13*(AL2719)</f>
        <v/>
      </c>
      <c r="AM2800" s="44">
        <f>AM2755*Settings!$C$13*(AM2719)</f>
        <v/>
      </c>
      <c r="AN2800" s="44">
        <f>AN2755*Settings!$C$13*(AN2719)</f>
        <v/>
      </c>
      <c r="AO2800" s="44">
        <f>AO2755*Settings!$C$13*(AO2719)</f>
        <v/>
      </c>
      <c r="AP2800" s="44">
        <f>AP2755*Settings!$C$13*(AP2719)</f>
        <v/>
      </c>
      <c r="AQ2800" s="44">
        <f>AQ2755*Settings!$C$13*(AQ2719)</f>
        <v/>
      </c>
      <c r="AR2800" s="44">
        <f>AR2755*Settings!$C$13*(AR2719)</f>
        <v/>
      </c>
      <c r="AS2800" s="44">
        <f>AS2755*Settings!$C$13*(AS2719)</f>
        <v/>
      </c>
      <c r="AT2800" s="44">
        <f>AT2755*Settings!$C$13*(AT2719)</f>
        <v/>
      </c>
      <c r="AU2800" s="44">
        <f>AU2755*Settings!$C$13*(AU2719)</f>
        <v/>
      </c>
      <c r="AV2800" s="44">
        <f>AV2755*Settings!$C$13*(AV2719)</f>
        <v/>
      </c>
      <c r="AW2800" s="44">
        <f>AW2755*Settings!$C$13*(AW2719)</f>
        <v/>
      </c>
      <c r="AX2800" s="44">
        <f>AX2755*Settings!$C$13*(AX2719)</f>
        <v/>
      </c>
      <c r="AY2800" s="44">
        <f>AY2755*Settings!$C$13*(AY2719)</f>
        <v/>
      </c>
      <c r="AZ2800" s="44">
        <f>AZ2755*Settings!$C$13*(AZ2719)</f>
        <v/>
      </c>
      <c r="BA2800" s="57">
        <f>REVENUE(BA2755,Settings!$C$13,BA2719)</f>
        <v/>
      </c>
    </row>
    <row r="2801" hidden="1" outlineLevel="2">
      <c r="A2801" s="14" t="inlineStr">
        <is>
          <t>rxcp</t>
        </is>
      </c>
      <c r="B2801" s="14" t="inlineStr">
        <is>
          <t>bio</t>
        </is>
      </c>
      <c r="C2801" s="14" t="inlineStr">
        <is>
          <t>cst</t>
        </is>
      </c>
      <c r="D2801" s="39" t="n"/>
      <c r="E2801" s="39" t="n"/>
      <c r="F2801" s="39" t="n"/>
      <c r="G2801" s="39" t="n"/>
      <c r="H2801" s="14">
        <f>INDEX(VarLab,MATCH($A2801,VarKey,0))&amp;INDEX(MemLab,MATCH($C2801&amp;"|"&amp;$B2801,MemKey,0))</f>
        <v/>
      </c>
      <c r="I2801" s="14">
        <f>INDEX(VarUnit,MATCH($A2801,VarKey,0))</f>
        <v/>
      </c>
      <c r="J2801" s="14">
        <f>INDEX(VarSrc,MATCH($A2801,VarKey,0))</f>
        <v/>
      </c>
      <c r="K2801" s="11">
        <f>CodePrefix&amp;$A2801&amp;IF($C2801="","","."&amp;$C2801&amp;"."&amp;$B2801)&amp;INDEX(VarEnd,MATCH($A2801,VarKey,0))&amp;K$5</f>
        <v/>
      </c>
      <c r="L2801" s="43">
        <f>L2756*Settings!$C$13*(L2720)</f>
        <v/>
      </c>
      <c r="M2801" s="44">
        <f>M2756*Settings!$C$13*(M2720)</f>
        <v/>
      </c>
      <c r="N2801" s="44">
        <f>N2756*Settings!$C$13*(N2720)</f>
        <v/>
      </c>
      <c r="O2801" s="44">
        <f>O2756*Settings!$C$13*(O2720)</f>
        <v/>
      </c>
      <c r="P2801" s="44">
        <f>P2756*Settings!$C$13*(P2720)</f>
        <v/>
      </c>
      <c r="Q2801" s="44">
        <f>Q2756*Settings!$C$13*(Q2720)</f>
        <v/>
      </c>
      <c r="R2801" s="44">
        <f>R2756*Settings!$C$13*(R2720)</f>
        <v/>
      </c>
      <c r="S2801" s="44">
        <f>S2756*Settings!$C$13*(S2720)</f>
        <v/>
      </c>
      <c r="T2801" s="44">
        <f>T2756*Settings!$C$13*(T2720)</f>
        <v/>
      </c>
      <c r="U2801" s="44">
        <f>U2756*Settings!$C$13*(U2720)</f>
        <v/>
      </c>
      <c r="V2801" s="44">
        <f>V2756*Settings!$C$13*(V2720)</f>
        <v/>
      </c>
      <c r="W2801" s="44">
        <f>W2756*Settings!$C$13*(W2720)</f>
        <v/>
      </c>
      <c r="X2801" s="44">
        <f>X2756*Settings!$C$13*(X2720)</f>
        <v/>
      </c>
      <c r="Y2801" s="44">
        <f>Y2756*Settings!$C$13*(Y2720)</f>
        <v/>
      </c>
      <c r="Z2801" s="44">
        <f>Z2756*Settings!$C$13*(Z2720)</f>
        <v/>
      </c>
      <c r="AA2801" s="44">
        <f>AA2756*Settings!$C$13*(AA2720)</f>
        <v/>
      </c>
      <c r="AB2801" s="44">
        <f>AB2756*Settings!$C$13*(AB2720)</f>
        <v/>
      </c>
      <c r="AC2801" s="44">
        <f>AC2756*Settings!$C$13*(AC2720)</f>
        <v/>
      </c>
      <c r="AD2801" s="44">
        <f>AD2756*Settings!$C$13*(AD2720)</f>
        <v/>
      </c>
      <c r="AE2801" s="57">
        <f>REVENUE(AE2756,Settings!$C$13,AE2720)</f>
        <v/>
      </c>
      <c r="AG2801" s="11">
        <f>CodePrefix&amp;$A2801&amp;IF($C2801="","","."&amp;$C2801&amp;"."&amp;$B2801)&amp;INDEX(VarEnd,MATCH($A2801,VarKey,0))&amp;AG$5</f>
        <v/>
      </c>
      <c r="AH2801" s="43">
        <f>AH2756*Settings!$C$13*(AH2720)</f>
        <v/>
      </c>
      <c r="AI2801" s="44">
        <f>AI2756*Settings!$C$13*(AI2720)</f>
        <v/>
      </c>
      <c r="AJ2801" s="44">
        <f>AJ2756*Settings!$C$13*(AJ2720)</f>
        <v/>
      </c>
      <c r="AK2801" s="44">
        <f>AK2756*Settings!$C$13*(AK2720)</f>
        <v/>
      </c>
      <c r="AL2801" s="44">
        <f>AL2756*Settings!$C$13*(AL2720)</f>
        <v/>
      </c>
      <c r="AM2801" s="44">
        <f>AM2756*Settings!$C$13*(AM2720)</f>
        <v/>
      </c>
      <c r="AN2801" s="44">
        <f>AN2756*Settings!$C$13*(AN2720)</f>
        <v/>
      </c>
      <c r="AO2801" s="44">
        <f>AO2756*Settings!$C$13*(AO2720)</f>
        <v/>
      </c>
      <c r="AP2801" s="44">
        <f>AP2756*Settings!$C$13*(AP2720)</f>
        <v/>
      </c>
      <c r="AQ2801" s="44">
        <f>AQ2756*Settings!$C$13*(AQ2720)</f>
        <v/>
      </c>
      <c r="AR2801" s="44">
        <f>AR2756*Settings!$C$13*(AR2720)</f>
        <v/>
      </c>
      <c r="AS2801" s="44">
        <f>AS2756*Settings!$C$13*(AS2720)</f>
        <v/>
      </c>
      <c r="AT2801" s="44">
        <f>AT2756*Settings!$C$13*(AT2720)</f>
        <v/>
      </c>
      <c r="AU2801" s="44">
        <f>AU2756*Settings!$C$13*(AU2720)</f>
        <v/>
      </c>
      <c r="AV2801" s="44">
        <f>AV2756*Settings!$C$13*(AV2720)</f>
        <v/>
      </c>
      <c r="AW2801" s="44">
        <f>AW2756*Settings!$C$13*(AW2720)</f>
        <v/>
      </c>
      <c r="AX2801" s="44">
        <f>AX2756*Settings!$C$13*(AX2720)</f>
        <v/>
      </c>
      <c r="AY2801" s="44">
        <f>AY2756*Settings!$C$13*(AY2720)</f>
        <v/>
      </c>
      <c r="AZ2801" s="44">
        <f>AZ2756*Settings!$C$13*(AZ2720)</f>
        <v/>
      </c>
      <c r="BA2801" s="57">
        <f>REVENUE(BA2756,Settings!$C$13,BA2720)</f>
        <v/>
      </c>
    </row>
    <row r="2802" hidden="1" outlineLevel="2"/>
    <row r="2803" hidden="1" outlineLevel="1" collapsed="1">
      <c r="A2803" s="1" t="inlineStr">
        <is>
          <t>ener</t>
        </is>
      </c>
      <c r="B2803" s="1" t="inlineStr">
        <is>
          <t>all</t>
        </is>
      </c>
      <c r="C2803" s="1" t="inlineStr">
        <is>
          <t>ftr</t>
        </is>
      </c>
      <c r="H2803" s="1">
        <f>INDEX(VarLab,MATCH($A2803,VarKey,0))&amp;INDEX(MemLab,MATCH($C2803&amp;"|"&amp;$B2803,MemKey,0))</f>
        <v/>
      </c>
      <c r="I2803" s="1">
        <f>INDEX(VarUnit,MATCH($A2803,VarKey,0))</f>
        <v/>
      </c>
      <c r="J2803" s="1">
        <f>INDEX(VarSrc,MATCH($A2803,VarKey,0))</f>
        <v/>
      </c>
      <c r="K2803" s="17">
        <f>CodePrefix&amp;$A2803&amp;IF($C2803="","","."&amp;$C2803&amp;"."&amp;$B2803)&amp;INDEX(VarEnd,MATCH($A2803,VarKey,0))&amp;K$5</f>
        <v/>
      </c>
      <c r="L2803" s="68">
        <f>SUM(L2877:L2884)</f>
        <v/>
      </c>
      <c r="M2803" s="69">
        <f>SUM(M2877:M2884)</f>
        <v/>
      </c>
      <c r="N2803" s="69">
        <f>SUM(N2877:N2884)</f>
        <v/>
      </c>
      <c r="O2803" s="69">
        <f>SUM(O2877:O2884)</f>
        <v/>
      </c>
      <c r="P2803" s="69">
        <f>SUM(P2877:P2884)</f>
        <v/>
      </c>
      <c r="Q2803" s="69">
        <f>SUM(Q2877:Q2884)</f>
        <v/>
      </c>
      <c r="R2803" s="69">
        <f>SUM(R2877:R2884)</f>
        <v/>
      </c>
      <c r="S2803" s="69">
        <f>SUM(S2877:S2884)</f>
        <v/>
      </c>
      <c r="T2803" s="69">
        <f>SUM(T2877:T2884)</f>
        <v/>
      </c>
      <c r="U2803" s="69">
        <f>SUM(U2877:U2884)</f>
        <v/>
      </c>
      <c r="V2803" s="69">
        <f>SUM(V2877:V2884)</f>
        <v/>
      </c>
      <c r="W2803" s="69">
        <f>SUM(W2877:W2884)</f>
        <v/>
      </c>
      <c r="X2803" s="69">
        <f>SUM(X2877:X2884)</f>
        <v/>
      </c>
      <c r="Y2803" s="69">
        <f>SUM(Y2877:Y2884)</f>
        <v/>
      </c>
      <c r="Z2803" s="69">
        <f>SUM(Z2877:Z2884)</f>
        <v/>
      </c>
      <c r="AA2803" s="69">
        <f>SUM(AA2877:AA2884)</f>
        <v/>
      </c>
      <c r="AB2803" s="69">
        <f>SUM(AB2877:AB2884)</f>
        <v/>
      </c>
      <c r="AC2803" s="69">
        <f>SUM(AC2877:AC2884)</f>
        <v/>
      </c>
      <c r="AD2803" s="69">
        <f>SUM(AD2877:AD2884)</f>
        <v/>
      </c>
      <c r="AE2803" s="69">
        <f>SUM(AE2877:AE2884)</f>
        <v/>
      </c>
      <c r="AG2803" s="17">
        <f>CodePrefix&amp;$A2803&amp;IF($C2803="","","."&amp;$C2803&amp;"."&amp;$B2803)&amp;INDEX(VarEnd,MATCH($A2803,VarKey,0))&amp;AG$5</f>
        <v/>
      </c>
      <c r="AH2803" s="68">
        <f>SUM(AH2877:AH2884)</f>
        <v/>
      </c>
      <c r="AI2803" s="69">
        <f>SUM(AI2877:AI2884)</f>
        <v/>
      </c>
      <c r="AJ2803" s="69">
        <f>SUM(AJ2877:AJ2884)</f>
        <v/>
      </c>
      <c r="AK2803" s="69">
        <f>SUM(AK2877:AK2884)</f>
        <v/>
      </c>
      <c r="AL2803" s="69">
        <f>SUM(AL2877:AL2884)</f>
        <v/>
      </c>
      <c r="AM2803" s="69">
        <f>SUM(AM2877:AM2884)</f>
        <v/>
      </c>
      <c r="AN2803" s="69">
        <f>SUM(AN2877:AN2884)</f>
        <v/>
      </c>
      <c r="AO2803" s="69">
        <f>SUM(AO2877:AO2884)</f>
        <v/>
      </c>
      <c r="AP2803" s="69">
        <f>SUM(AP2877:AP2884)</f>
        <v/>
      </c>
      <c r="AQ2803" s="69">
        <f>SUM(AQ2877:AQ2884)</f>
        <v/>
      </c>
      <c r="AR2803" s="69">
        <f>SUM(AR2877:AR2884)</f>
        <v/>
      </c>
      <c r="AS2803" s="69">
        <f>SUM(AS2877:AS2884)</f>
        <v/>
      </c>
      <c r="AT2803" s="69">
        <f>SUM(AT2877:AT2884)</f>
        <v/>
      </c>
      <c r="AU2803" s="69">
        <f>SUM(AU2877:AU2884)</f>
        <v/>
      </c>
      <c r="AV2803" s="69">
        <f>SUM(AV2877:AV2884)</f>
        <v/>
      </c>
      <c r="AW2803" s="69">
        <f>SUM(AW2877:AW2884)</f>
        <v/>
      </c>
      <c r="AX2803" s="69">
        <f>SUM(AX2877:AX2884)</f>
        <v/>
      </c>
      <c r="AY2803" s="69">
        <f>SUM(AY2877:AY2884)</f>
        <v/>
      </c>
      <c r="AZ2803" s="69">
        <f>SUM(AZ2877:AZ2884)</f>
        <v/>
      </c>
      <c r="BA2803" s="69">
        <f>SUM(BA2877:BA2884)</f>
        <v/>
      </c>
    </row>
    <row r="2804" hidden="1" outlineLevel="1">
      <c r="A2804" s="67" t="inlineStr">
        <is>
          <t>eldem</t>
        </is>
      </c>
      <c r="B2804" s="67" t="inlineStr">
        <is>
          <t>ecy</t>
        </is>
      </c>
      <c r="C2804" s="67" t="inlineStr">
        <is>
          <t>ftr</t>
        </is>
      </c>
      <c r="H2804" s="67">
        <f>INDEX(VarLab,MATCH($A2804,VarKey,0))&amp;INDEX(MemLab,MATCH($C2804&amp;"|"&amp;$B2804,MemKey,0))</f>
        <v/>
      </c>
      <c r="I2804" s="67">
        <f>INDEX(VarUnit,MATCH($A2804,VarKey,0))</f>
        <v/>
      </c>
      <c r="J2804" s="67">
        <f>INDEX(VarSrc,MATCH($A2804,VarKey,0))</f>
        <v/>
      </c>
      <c r="K2804" s="70">
        <f>CodePrefix&amp;$A2804&amp;IF($C2804="","","."&amp;$C2804&amp;"."&amp;$B2804)&amp;INDEX(VarEnd,MATCH($A2804,VarKey,0))&amp;K$5</f>
        <v/>
      </c>
      <c r="L2804" s="71">
        <f>SUMIF($C$674:$C$688,$C2804,L$674:L$688)</f>
        <v/>
      </c>
      <c r="M2804" s="72">
        <f>SUMIF($C$674:$C$688,$C2804,M$674:M$688)</f>
        <v/>
      </c>
      <c r="N2804" s="72">
        <f>SUMIF($C$674:$C$688,$C2804,N$674:N$688)</f>
        <v/>
      </c>
      <c r="O2804" s="72">
        <f>SUMIF($C$674:$C$688,$C2804,O$674:O$688)</f>
        <v/>
      </c>
      <c r="P2804" s="72">
        <f>SUMIF($C$674:$C$688,$C2804,P$674:P$688)</f>
        <v/>
      </c>
      <c r="Q2804" s="72">
        <f>SUMIF($C$674:$C$688,$C2804,Q$674:Q$688)</f>
        <v/>
      </c>
      <c r="R2804" s="72">
        <f>SUMIF($C$674:$C$688,$C2804,R$674:R$688)</f>
        <v/>
      </c>
      <c r="S2804" s="72">
        <f>SUMIF($C$674:$C$688,$C2804,S$674:S$688)</f>
        <v/>
      </c>
      <c r="T2804" s="72">
        <f>SUMIF($C$674:$C$688,$C2804,T$674:T$688)</f>
        <v/>
      </c>
      <c r="U2804" s="72">
        <f>SUMIF($C$674:$C$688,$C2804,U$674:U$688)</f>
        <v/>
      </c>
      <c r="V2804" s="72">
        <f>SUMIF($C$674:$C$688,$C2804,V$674:V$688)</f>
        <v/>
      </c>
      <c r="W2804" s="72">
        <f>SUMIF($C$674:$C$688,$C2804,W$674:W$688)</f>
        <v/>
      </c>
      <c r="X2804" s="72">
        <f>SUMIF($C$674:$C$688,$C2804,X$674:X$688)</f>
        <v/>
      </c>
      <c r="Y2804" s="72">
        <f>SUMIF($C$674:$C$688,$C2804,Y$674:Y$688)</f>
        <v/>
      </c>
      <c r="Z2804" s="72">
        <f>SUMIF($C$674:$C$688,$C2804,Z$674:Z$688)</f>
        <v/>
      </c>
      <c r="AA2804" s="72">
        <f>SUMIF($C$674:$C$688,$C2804,AA$674:AA$688)</f>
        <v/>
      </c>
      <c r="AB2804" s="72">
        <f>SUMIF($C$674:$C$688,$C2804,AB$674:AB$688)</f>
        <v/>
      </c>
      <c r="AC2804" s="72">
        <f>SUMIF($C$674:$C$688,$C2804,AC$674:AC$688)</f>
        <v/>
      </c>
      <c r="AD2804" s="72">
        <f>SUMIF($C$674:$C$688,$C2804,AD$674:AD$688)</f>
        <v/>
      </c>
      <c r="AE2804" s="72">
        <f>SUMIF($C$674:$C$688,$C2804,AE$674:AE$688)</f>
        <v/>
      </c>
      <c r="AG2804" s="70">
        <f>CodePrefix&amp;$A2804&amp;IF($C2804="","","."&amp;$C2804&amp;"."&amp;$B2804)&amp;INDEX(VarEnd,MATCH($A2804,VarKey,0))&amp;AG$5</f>
        <v/>
      </c>
      <c r="AH2804" s="71">
        <f>SUMIF($C$674:$C$688,$C2804,AH$674:AH$688)</f>
        <v/>
      </c>
      <c r="AI2804" s="72">
        <f>SUMIF($C$674:$C$688,$C2804,AI$674:AI$688)</f>
        <v/>
      </c>
      <c r="AJ2804" s="72">
        <f>SUMIF($C$674:$C$688,$C2804,AJ$674:AJ$688)</f>
        <v/>
      </c>
      <c r="AK2804" s="72">
        <f>SUMIF($C$674:$C$688,$C2804,AK$674:AK$688)</f>
        <v/>
      </c>
      <c r="AL2804" s="72">
        <f>SUMIF($C$674:$C$688,$C2804,AL$674:AL$688)</f>
        <v/>
      </c>
      <c r="AM2804" s="72">
        <f>SUMIF($C$674:$C$688,$C2804,AM$674:AM$688)</f>
        <v/>
      </c>
      <c r="AN2804" s="72">
        <f>SUMIF($C$674:$C$688,$C2804,AN$674:AN$688)</f>
        <v/>
      </c>
      <c r="AO2804" s="72">
        <f>SUMIF($C$674:$C$688,$C2804,AO$674:AO$688)</f>
        <v/>
      </c>
      <c r="AP2804" s="72">
        <f>SUMIF($C$674:$C$688,$C2804,AP$674:AP$688)</f>
        <v/>
      </c>
      <c r="AQ2804" s="72">
        <f>SUMIF($C$674:$C$688,$C2804,AQ$674:AQ$688)</f>
        <v/>
      </c>
      <c r="AR2804" s="72">
        <f>SUMIF($C$674:$C$688,$C2804,AR$674:AR$688)</f>
        <v/>
      </c>
      <c r="AS2804" s="72">
        <f>SUMIF($C$674:$C$688,$C2804,AS$674:AS$688)</f>
        <v/>
      </c>
      <c r="AT2804" s="72">
        <f>SUMIF($C$674:$C$688,$C2804,AT$674:AT$688)</f>
        <v/>
      </c>
      <c r="AU2804" s="72">
        <f>SUMIF($C$674:$C$688,$C2804,AU$674:AU$688)</f>
        <v/>
      </c>
      <c r="AV2804" s="72">
        <f>SUMIF($C$674:$C$688,$C2804,AV$674:AV$688)</f>
        <v/>
      </c>
      <c r="AW2804" s="72">
        <f>SUMIF($C$674:$C$688,$C2804,AW$674:AW$688)</f>
        <v/>
      </c>
      <c r="AX2804" s="72">
        <f>SUMIF($C$674:$C$688,$C2804,AX$674:AX$688)</f>
        <v/>
      </c>
      <c r="AY2804" s="72">
        <f>SUMIF($C$674:$C$688,$C2804,AY$674:AY$688)</f>
        <v/>
      </c>
      <c r="AZ2804" s="72">
        <f>SUMIF($C$674:$C$688,$C2804,AZ$674:AZ$688)</f>
        <v/>
      </c>
      <c r="BA2804" s="72">
        <f>SUMIF($C$674:$C$688,$C2804,BA$674:BA$688)</f>
        <v/>
      </c>
    </row>
    <row r="2805" hidden="1" outlineLevel="2">
      <c r="A2805" s="14" t="inlineStr">
        <is>
          <t>ctxnew</t>
        </is>
      </c>
      <c r="B2805" s="14" t="inlineStr">
        <is>
          <t>coa</t>
        </is>
      </c>
      <c r="C2805" s="14" t="inlineStr">
        <is>
          <t>ftr</t>
        </is>
      </c>
      <c r="D2805" s="35">
        <f>INDEX(Inputs!$W$5:$W$132,MATCH($B2805&amp;"|"&amp;$C2805,Inputs!$A$5:$A$132,0))</f>
        <v/>
      </c>
      <c r="E2805" s="35">
        <f>INDEX(Inputs!$L$5:$L$132,MATCH($B2805&amp;"|"&amp;$C2805,Inputs!$A$5:$A$132,0))</f>
        <v/>
      </c>
      <c r="F2805" s="35">
        <f>INDEX(Inputs!$M$5:$M$132,MATCH($B2805&amp;"|"&amp;$C2805,Inputs!$A$5:$A$132,0))</f>
        <v/>
      </c>
      <c r="G2805" s="39" t="n"/>
      <c r="H2805" s="14">
        <f>INDEX(VarLab,MATCH($A2805,VarKey,0))&amp;INDEX(MemLab,MATCH($C2805&amp;"|"&amp;$B2805,MemKey,0))</f>
        <v/>
      </c>
      <c r="I2805" s="14">
        <f>INDEX(VarUnit,MATCH($A2805,VarKey,0))</f>
        <v/>
      </c>
      <c r="J2805" s="14">
        <f>INDEX(VarSrc,MATCH($A2805,VarKey,0))</f>
        <v/>
      </c>
      <c r="K2805" s="11">
        <f>CodePrefix&amp;$A2805&amp;IF($C2805="","","."&amp;$C2805&amp;"."&amp;$B2805)&amp;INDEX(VarEnd,MATCH($A2805,VarKey,0))&amp;K$5</f>
        <v/>
      </c>
      <c r="L2805" s="40">
        <f>INDEX(L$263:L$279,$F2805)*$D2805*INDEX(L$23:L$30,$E2805)</f>
        <v/>
      </c>
      <c r="M2805" s="35">
        <f>INDEX(M$263:M$279,$F2805)*$D2805*INDEX(M$23:M$30,$E2805)</f>
        <v/>
      </c>
      <c r="N2805" s="35">
        <f>INDEX(N$263:N$279,$F2805)*$D2805*INDEX(N$23:N$30,$E2805)</f>
        <v/>
      </c>
      <c r="O2805" s="35">
        <f>INDEX(O$263:O$279,$F2805)*$D2805*INDEX(O$23:O$30,$E2805)</f>
        <v/>
      </c>
      <c r="P2805" s="35">
        <f>INDEX(P$263:P$279,$F2805)*$D2805*INDEX(P$23:P$30,$E2805)</f>
        <v/>
      </c>
      <c r="Q2805" s="35">
        <f>INDEX(Q$263:Q$279,$F2805)*$D2805*INDEX(Q$23:Q$30,$E2805)</f>
        <v/>
      </c>
      <c r="R2805" s="35">
        <f>INDEX(R$263:R$279,$F2805)*$D2805*INDEX(R$23:R$30,$E2805)</f>
        <v/>
      </c>
      <c r="S2805" s="35">
        <f>INDEX(S$263:S$279,$F2805)*$D2805*INDEX(S$23:S$30,$E2805)</f>
        <v/>
      </c>
      <c r="T2805" s="35">
        <f>INDEX(T$263:T$279,$F2805)*$D2805*INDEX(T$23:T$30,$E2805)</f>
        <v/>
      </c>
      <c r="U2805" s="35">
        <f>INDEX(U$263:U$279,$F2805)*$D2805*INDEX(U$23:U$30,$E2805)</f>
        <v/>
      </c>
      <c r="V2805" s="35">
        <f>INDEX(V$263:V$279,$F2805)*$D2805*INDEX(V$23:V$30,$E2805)</f>
        <v/>
      </c>
      <c r="W2805" s="35">
        <f>INDEX(W$263:W$279,$F2805)*$D2805*INDEX(W$23:W$30,$E2805)</f>
        <v/>
      </c>
      <c r="X2805" s="35">
        <f>INDEX(X$263:X$279,$F2805)*$D2805*INDEX(X$23:X$30,$E2805)</f>
        <v/>
      </c>
      <c r="Y2805" s="35">
        <f>INDEX(Y$263:Y$279,$F2805)*$D2805*INDEX(Y$23:Y$30,$E2805)</f>
        <v/>
      </c>
      <c r="Z2805" s="35">
        <f>INDEX(Z$263:Z$279,$F2805)*$D2805*INDEX(Z$23:Z$30,$E2805)</f>
        <v/>
      </c>
      <c r="AA2805" s="35">
        <f>INDEX(AA$263:AA$279,$F2805)*$D2805*INDEX(AA$23:AA$30,$E2805)</f>
        <v/>
      </c>
      <c r="AB2805" s="35">
        <f>INDEX(AB$263:AB$279,$F2805)*$D2805*INDEX(AB$23:AB$30,$E2805)</f>
        <v/>
      </c>
      <c r="AC2805" s="35">
        <f>INDEX(AC$263:AC$279,$F2805)*$D2805*INDEX(AC$23:AC$30,$E2805)</f>
        <v/>
      </c>
      <c r="AD2805" s="35">
        <f>INDEX(AD$263:AD$279,$F2805)*$D2805*INDEX(AD$23:AD$30,$E2805)</f>
        <v/>
      </c>
      <c r="AE2805" s="42">
        <f>CARBONTAX(INDEX(AE$263:AE$279,$F2805),$D2805,INDEX(AE$23:AE$30,$E2805))</f>
        <v/>
      </c>
      <c r="AG2805" s="11">
        <f>CodePrefix&amp;$A2805&amp;IF($C2805="","","."&amp;$C2805&amp;"."&amp;$B2805)&amp;INDEX(VarEnd,MATCH($A2805,VarKey,0))&amp;AG$5</f>
        <v/>
      </c>
      <c r="AH2805" s="40">
        <f>INDEX(AH$263:AH$279,$F2805)*$D2805*INDEX(AH$23:AH$30,$E2805)</f>
        <v/>
      </c>
      <c r="AI2805" s="35">
        <f>INDEX(AI$263:AI$279,$F2805)*$D2805*INDEX(AI$23:AI$30,$E2805)</f>
        <v/>
      </c>
      <c r="AJ2805" s="35">
        <f>INDEX(AJ$263:AJ$279,$F2805)*$D2805*INDEX(AJ$23:AJ$30,$E2805)</f>
        <v/>
      </c>
      <c r="AK2805" s="35">
        <f>INDEX(AK$263:AK$279,$F2805)*$D2805*INDEX(AK$23:AK$30,$E2805)</f>
        <v/>
      </c>
      <c r="AL2805" s="35">
        <f>INDEX(AL$263:AL$279,$F2805)*$D2805*INDEX(AL$23:AL$30,$E2805)</f>
        <v/>
      </c>
      <c r="AM2805" s="35">
        <f>INDEX(AM$263:AM$279,$F2805)*$D2805*INDEX(AM$23:AM$30,$E2805)</f>
        <v/>
      </c>
      <c r="AN2805" s="35">
        <f>INDEX(AN$263:AN$279,$F2805)*$D2805*INDEX(AN$23:AN$30,$E2805)</f>
        <v/>
      </c>
      <c r="AO2805" s="35">
        <f>INDEX(AO$263:AO$279,$F2805)*$D2805*INDEX(AO$23:AO$30,$E2805)</f>
        <v/>
      </c>
      <c r="AP2805" s="35">
        <f>INDEX(AP$263:AP$279,$F2805)*$D2805*INDEX(AP$23:AP$30,$E2805)</f>
        <v/>
      </c>
      <c r="AQ2805" s="35">
        <f>INDEX(AQ$263:AQ$279,$F2805)*$D2805*INDEX(AQ$23:AQ$30,$E2805)</f>
        <v/>
      </c>
      <c r="AR2805" s="35">
        <f>INDEX(AR$263:AR$279,$F2805)*$D2805*INDEX(AR$23:AR$30,$E2805)</f>
        <v/>
      </c>
      <c r="AS2805" s="35">
        <f>INDEX(AS$263:AS$279,$F2805)*$D2805*INDEX(AS$23:AS$30,$E2805)</f>
        <v/>
      </c>
      <c r="AT2805" s="35">
        <f>INDEX(AT$263:AT$279,$F2805)*$D2805*INDEX(AT$23:AT$30,$E2805)</f>
        <v/>
      </c>
      <c r="AU2805" s="35">
        <f>INDEX(AU$263:AU$279,$F2805)*$D2805*INDEX(AU$23:AU$30,$E2805)</f>
        <v/>
      </c>
      <c r="AV2805" s="35">
        <f>INDEX(AV$263:AV$279,$F2805)*$D2805*INDEX(AV$23:AV$30,$E2805)</f>
        <v/>
      </c>
      <c r="AW2805" s="35">
        <f>INDEX(AW$263:AW$279,$F2805)*$D2805*INDEX(AW$23:AW$30,$E2805)</f>
        <v/>
      </c>
      <c r="AX2805" s="35">
        <f>INDEX(AX$263:AX$279,$F2805)*$D2805*INDEX(AX$23:AX$30,$E2805)</f>
        <v/>
      </c>
      <c r="AY2805" s="35">
        <f>INDEX(AY$263:AY$279,$F2805)*$D2805*INDEX(AY$23:AY$30,$E2805)</f>
        <v/>
      </c>
      <c r="AZ2805" s="35">
        <f>INDEX(AZ$263:AZ$279,$F2805)*$D2805*INDEX(AZ$23:AZ$30,$E2805)</f>
        <v/>
      </c>
      <c r="BA2805" s="42">
        <f>CARBONTAX(INDEX(BA$263:BA$279,$F2805),$D2805,INDEX(BA$23:BA$30,$E2805))</f>
        <v/>
      </c>
    </row>
    <row r="2806" hidden="1" outlineLevel="2">
      <c r="A2806" s="14" t="inlineStr">
        <is>
          <t>ctxnew</t>
        </is>
      </c>
      <c r="B2806" s="14" t="inlineStr">
        <is>
          <t>nga</t>
        </is>
      </c>
      <c r="C2806" s="14" t="inlineStr">
        <is>
          <t>ftr</t>
        </is>
      </c>
      <c r="D2806" s="35">
        <f>INDEX(Inputs!$W$5:$W$132,MATCH($B2806&amp;"|"&amp;$C2806,Inputs!$A$5:$A$132,0))</f>
        <v/>
      </c>
      <c r="E2806" s="35">
        <f>INDEX(Inputs!$L$5:$L$132,MATCH($B2806&amp;"|"&amp;$C2806,Inputs!$A$5:$A$132,0))</f>
        <v/>
      </c>
      <c r="F2806" s="35">
        <f>INDEX(Inputs!$M$5:$M$132,MATCH($B2806&amp;"|"&amp;$C2806,Inputs!$A$5:$A$132,0))</f>
        <v/>
      </c>
      <c r="G2806" s="39" t="n"/>
      <c r="H2806" s="14">
        <f>INDEX(VarLab,MATCH($A2806,VarKey,0))&amp;INDEX(MemLab,MATCH($C2806&amp;"|"&amp;$B2806,MemKey,0))</f>
        <v/>
      </c>
      <c r="I2806" s="14">
        <f>INDEX(VarUnit,MATCH($A2806,VarKey,0))</f>
        <v/>
      </c>
      <c r="J2806" s="14">
        <f>INDEX(VarSrc,MATCH($A2806,VarKey,0))</f>
        <v/>
      </c>
      <c r="K2806" s="11">
        <f>CodePrefix&amp;$A2806&amp;IF($C2806="","","."&amp;$C2806&amp;"."&amp;$B2806)&amp;INDEX(VarEnd,MATCH($A2806,VarKey,0))&amp;K$5</f>
        <v/>
      </c>
      <c r="L2806" s="40">
        <f>INDEX(L$263:L$279,$F2806)*$D2806*INDEX(L$23:L$30,$E2806)</f>
        <v/>
      </c>
      <c r="M2806" s="35">
        <f>INDEX(M$263:M$279,$F2806)*$D2806*INDEX(M$23:M$30,$E2806)</f>
        <v/>
      </c>
      <c r="N2806" s="35">
        <f>INDEX(N$263:N$279,$F2806)*$D2806*INDEX(N$23:N$30,$E2806)</f>
        <v/>
      </c>
      <c r="O2806" s="35">
        <f>INDEX(O$263:O$279,$F2806)*$D2806*INDEX(O$23:O$30,$E2806)</f>
        <v/>
      </c>
      <c r="P2806" s="35">
        <f>INDEX(P$263:P$279,$F2806)*$D2806*INDEX(P$23:P$30,$E2806)</f>
        <v/>
      </c>
      <c r="Q2806" s="35">
        <f>INDEX(Q$263:Q$279,$F2806)*$D2806*INDEX(Q$23:Q$30,$E2806)</f>
        <v/>
      </c>
      <c r="R2806" s="35">
        <f>INDEX(R$263:R$279,$F2806)*$D2806*INDEX(R$23:R$30,$E2806)</f>
        <v/>
      </c>
      <c r="S2806" s="35">
        <f>INDEX(S$263:S$279,$F2806)*$D2806*INDEX(S$23:S$30,$E2806)</f>
        <v/>
      </c>
      <c r="T2806" s="35">
        <f>INDEX(T$263:T$279,$F2806)*$D2806*INDEX(T$23:T$30,$E2806)</f>
        <v/>
      </c>
      <c r="U2806" s="35">
        <f>INDEX(U$263:U$279,$F2806)*$D2806*INDEX(U$23:U$30,$E2806)</f>
        <v/>
      </c>
      <c r="V2806" s="35">
        <f>INDEX(V$263:V$279,$F2806)*$D2806*INDEX(V$23:V$30,$E2806)</f>
        <v/>
      </c>
      <c r="W2806" s="35">
        <f>INDEX(W$263:W$279,$F2806)*$D2806*INDEX(W$23:W$30,$E2806)</f>
        <v/>
      </c>
      <c r="X2806" s="35">
        <f>INDEX(X$263:X$279,$F2806)*$D2806*INDEX(X$23:X$30,$E2806)</f>
        <v/>
      </c>
      <c r="Y2806" s="35">
        <f>INDEX(Y$263:Y$279,$F2806)*$D2806*INDEX(Y$23:Y$30,$E2806)</f>
        <v/>
      </c>
      <c r="Z2806" s="35">
        <f>INDEX(Z$263:Z$279,$F2806)*$D2806*INDEX(Z$23:Z$30,$E2806)</f>
        <v/>
      </c>
      <c r="AA2806" s="35">
        <f>INDEX(AA$263:AA$279,$F2806)*$D2806*INDEX(AA$23:AA$30,$E2806)</f>
        <v/>
      </c>
      <c r="AB2806" s="35">
        <f>INDEX(AB$263:AB$279,$F2806)*$D2806*INDEX(AB$23:AB$30,$E2806)</f>
        <v/>
      </c>
      <c r="AC2806" s="35">
        <f>INDEX(AC$263:AC$279,$F2806)*$D2806*INDEX(AC$23:AC$30,$E2806)</f>
        <v/>
      </c>
      <c r="AD2806" s="35">
        <f>INDEX(AD$263:AD$279,$F2806)*$D2806*INDEX(AD$23:AD$30,$E2806)</f>
        <v/>
      </c>
      <c r="AE2806" s="42">
        <f>CARBONTAX(INDEX(AE$263:AE$279,$F2806),$D2806,INDEX(AE$23:AE$30,$E2806))</f>
        <v/>
      </c>
      <c r="AG2806" s="11">
        <f>CodePrefix&amp;$A2806&amp;IF($C2806="","","."&amp;$C2806&amp;"."&amp;$B2806)&amp;INDEX(VarEnd,MATCH($A2806,VarKey,0))&amp;AG$5</f>
        <v/>
      </c>
      <c r="AH2806" s="40">
        <f>INDEX(AH$263:AH$279,$F2806)*$D2806*INDEX(AH$23:AH$30,$E2806)</f>
        <v/>
      </c>
      <c r="AI2806" s="35">
        <f>INDEX(AI$263:AI$279,$F2806)*$D2806*INDEX(AI$23:AI$30,$E2806)</f>
        <v/>
      </c>
      <c r="AJ2806" s="35">
        <f>INDEX(AJ$263:AJ$279,$F2806)*$D2806*INDEX(AJ$23:AJ$30,$E2806)</f>
        <v/>
      </c>
      <c r="AK2806" s="35">
        <f>INDEX(AK$263:AK$279,$F2806)*$D2806*INDEX(AK$23:AK$30,$E2806)</f>
        <v/>
      </c>
      <c r="AL2806" s="35">
        <f>INDEX(AL$263:AL$279,$F2806)*$D2806*INDEX(AL$23:AL$30,$E2806)</f>
        <v/>
      </c>
      <c r="AM2806" s="35">
        <f>INDEX(AM$263:AM$279,$F2806)*$D2806*INDEX(AM$23:AM$30,$E2806)</f>
        <v/>
      </c>
      <c r="AN2806" s="35">
        <f>INDEX(AN$263:AN$279,$F2806)*$D2806*INDEX(AN$23:AN$30,$E2806)</f>
        <v/>
      </c>
      <c r="AO2806" s="35">
        <f>INDEX(AO$263:AO$279,$F2806)*$D2806*INDEX(AO$23:AO$30,$E2806)</f>
        <v/>
      </c>
      <c r="AP2806" s="35">
        <f>INDEX(AP$263:AP$279,$F2806)*$D2806*INDEX(AP$23:AP$30,$E2806)</f>
        <v/>
      </c>
      <c r="AQ2806" s="35">
        <f>INDEX(AQ$263:AQ$279,$F2806)*$D2806*INDEX(AQ$23:AQ$30,$E2806)</f>
        <v/>
      </c>
      <c r="AR2806" s="35">
        <f>INDEX(AR$263:AR$279,$F2806)*$D2806*INDEX(AR$23:AR$30,$E2806)</f>
        <v/>
      </c>
      <c r="AS2806" s="35">
        <f>INDEX(AS$263:AS$279,$F2806)*$D2806*INDEX(AS$23:AS$30,$E2806)</f>
        <v/>
      </c>
      <c r="AT2806" s="35">
        <f>INDEX(AT$263:AT$279,$F2806)*$D2806*INDEX(AT$23:AT$30,$E2806)</f>
        <v/>
      </c>
      <c r="AU2806" s="35">
        <f>INDEX(AU$263:AU$279,$F2806)*$D2806*INDEX(AU$23:AU$30,$E2806)</f>
        <v/>
      </c>
      <c r="AV2806" s="35">
        <f>INDEX(AV$263:AV$279,$F2806)*$D2806*INDEX(AV$23:AV$30,$E2806)</f>
        <v/>
      </c>
      <c r="AW2806" s="35">
        <f>INDEX(AW$263:AW$279,$F2806)*$D2806*INDEX(AW$23:AW$30,$E2806)</f>
        <v/>
      </c>
      <c r="AX2806" s="35">
        <f>INDEX(AX$263:AX$279,$F2806)*$D2806*INDEX(AX$23:AX$30,$E2806)</f>
        <v/>
      </c>
      <c r="AY2806" s="35">
        <f>INDEX(AY$263:AY$279,$F2806)*$D2806*INDEX(AY$23:AY$30,$E2806)</f>
        <v/>
      </c>
      <c r="AZ2806" s="35">
        <f>INDEX(AZ$263:AZ$279,$F2806)*$D2806*INDEX(AZ$23:AZ$30,$E2806)</f>
        <v/>
      </c>
      <c r="BA2806" s="42">
        <f>CARBONTAX(INDEX(BA$263:BA$279,$F2806),$D2806,INDEX(BA$23:BA$30,$E2806))</f>
        <v/>
      </c>
    </row>
    <row r="2807" hidden="1" outlineLevel="2">
      <c r="A2807" s="14" t="inlineStr">
        <is>
          <t>ctxnew</t>
        </is>
      </c>
      <c r="B2807" s="14" t="inlineStr">
        <is>
          <t>gso</t>
        </is>
      </c>
      <c r="C2807" s="14" t="inlineStr">
        <is>
          <t>ftr</t>
        </is>
      </c>
      <c r="D2807" s="35">
        <f>INDEX(Inputs!$W$5:$W$132,MATCH($B2807&amp;"|"&amp;$C2807,Inputs!$A$5:$A$132,0))</f>
        <v/>
      </c>
      <c r="E2807" s="35">
        <f>INDEX(Inputs!$L$5:$L$132,MATCH($B2807&amp;"|"&amp;$C2807,Inputs!$A$5:$A$132,0))</f>
        <v/>
      </c>
      <c r="F2807" s="35">
        <f>INDEX(Inputs!$M$5:$M$132,MATCH($B2807&amp;"|"&amp;$C2807,Inputs!$A$5:$A$132,0))</f>
        <v/>
      </c>
      <c r="G2807" s="39" t="n"/>
      <c r="H2807" s="14">
        <f>INDEX(VarLab,MATCH($A2807,VarKey,0))&amp;INDEX(MemLab,MATCH($C2807&amp;"|"&amp;$B2807,MemKey,0))</f>
        <v/>
      </c>
      <c r="I2807" s="14">
        <f>INDEX(VarUnit,MATCH($A2807,VarKey,0))</f>
        <v/>
      </c>
      <c r="J2807" s="14">
        <f>INDEX(VarSrc,MATCH($A2807,VarKey,0))</f>
        <v/>
      </c>
      <c r="K2807" s="11">
        <f>CodePrefix&amp;$A2807&amp;IF($C2807="","","."&amp;$C2807&amp;"."&amp;$B2807)&amp;INDEX(VarEnd,MATCH($A2807,VarKey,0))&amp;K$5</f>
        <v/>
      </c>
      <c r="L2807" s="40">
        <f>INDEX(L$263:L$279,$F2807)*$D2807*INDEX(L$23:L$30,$E2807)</f>
        <v/>
      </c>
      <c r="M2807" s="35">
        <f>INDEX(M$263:M$279,$F2807)*$D2807*INDEX(M$23:M$30,$E2807)</f>
        <v/>
      </c>
      <c r="N2807" s="35">
        <f>INDEX(N$263:N$279,$F2807)*$D2807*INDEX(N$23:N$30,$E2807)</f>
        <v/>
      </c>
      <c r="O2807" s="35">
        <f>INDEX(O$263:O$279,$F2807)*$D2807*INDEX(O$23:O$30,$E2807)</f>
        <v/>
      </c>
      <c r="P2807" s="35">
        <f>INDEX(P$263:P$279,$F2807)*$D2807*INDEX(P$23:P$30,$E2807)</f>
        <v/>
      </c>
      <c r="Q2807" s="35">
        <f>INDEX(Q$263:Q$279,$F2807)*$D2807*INDEX(Q$23:Q$30,$E2807)</f>
        <v/>
      </c>
      <c r="R2807" s="35">
        <f>INDEX(R$263:R$279,$F2807)*$D2807*INDEX(R$23:R$30,$E2807)</f>
        <v/>
      </c>
      <c r="S2807" s="35">
        <f>INDEX(S$263:S$279,$F2807)*$D2807*INDEX(S$23:S$30,$E2807)</f>
        <v/>
      </c>
      <c r="T2807" s="35">
        <f>INDEX(T$263:T$279,$F2807)*$D2807*INDEX(T$23:T$30,$E2807)</f>
        <v/>
      </c>
      <c r="U2807" s="35">
        <f>INDEX(U$263:U$279,$F2807)*$D2807*INDEX(U$23:U$30,$E2807)</f>
        <v/>
      </c>
      <c r="V2807" s="35">
        <f>INDEX(V$263:V$279,$F2807)*$D2807*INDEX(V$23:V$30,$E2807)</f>
        <v/>
      </c>
      <c r="W2807" s="35">
        <f>INDEX(W$263:W$279,$F2807)*$D2807*INDEX(W$23:W$30,$E2807)</f>
        <v/>
      </c>
      <c r="X2807" s="35">
        <f>INDEX(X$263:X$279,$F2807)*$D2807*INDEX(X$23:X$30,$E2807)</f>
        <v/>
      </c>
      <c r="Y2807" s="35">
        <f>INDEX(Y$263:Y$279,$F2807)*$D2807*INDEX(Y$23:Y$30,$E2807)</f>
        <v/>
      </c>
      <c r="Z2807" s="35">
        <f>INDEX(Z$263:Z$279,$F2807)*$D2807*INDEX(Z$23:Z$30,$E2807)</f>
        <v/>
      </c>
      <c r="AA2807" s="35">
        <f>INDEX(AA$263:AA$279,$F2807)*$D2807*INDEX(AA$23:AA$30,$E2807)</f>
        <v/>
      </c>
      <c r="AB2807" s="35">
        <f>INDEX(AB$263:AB$279,$F2807)*$D2807*INDEX(AB$23:AB$30,$E2807)</f>
        <v/>
      </c>
      <c r="AC2807" s="35">
        <f>INDEX(AC$263:AC$279,$F2807)*$D2807*INDEX(AC$23:AC$30,$E2807)</f>
        <v/>
      </c>
      <c r="AD2807" s="35">
        <f>INDEX(AD$263:AD$279,$F2807)*$D2807*INDEX(AD$23:AD$30,$E2807)</f>
        <v/>
      </c>
      <c r="AE2807" s="42">
        <f>CARBONTAX(INDEX(AE$263:AE$279,$F2807),$D2807,INDEX(AE$23:AE$30,$E2807))</f>
        <v/>
      </c>
      <c r="AG2807" s="11">
        <f>CodePrefix&amp;$A2807&amp;IF($C2807="","","."&amp;$C2807&amp;"."&amp;$B2807)&amp;INDEX(VarEnd,MATCH($A2807,VarKey,0))&amp;AG$5</f>
        <v/>
      </c>
      <c r="AH2807" s="40">
        <f>INDEX(AH$263:AH$279,$F2807)*$D2807*INDEX(AH$23:AH$30,$E2807)</f>
        <v/>
      </c>
      <c r="AI2807" s="35">
        <f>INDEX(AI$263:AI$279,$F2807)*$D2807*INDEX(AI$23:AI$30,$E2807)</f>
        <v/>
      </c>
      <c r="AJ2807" s="35">
        <f>INDEX(AJ$263:AJ$279,$F2807)*$D2807*INDEX(AJ$23:AJ$30,$E2807)</f>
        <v/>
      </c>
      <c r="AK2807" s="35">
        <f>INDEX(AK$263:AK$279,$F2807)*$D2807*INDEX(AK$23:AK$30,$E2807)</f>
        <v/>
      </c>
      <c r="AL2807" s="35">
        <f>INDEX(AL$263:AL$279,$F2807)*$D2807*INDEX(AL$23:AL$30,$E2807)</f>
        <v/>
      </c>
      <c r="AM2807" s="35">
        <f>INDEX(AM$263:AM$279,$F2807)*$D2807*INDEX(AM$23:AM$30,$E2807)</f>
        <v/>
      </c>
      <c r="AN2807" s="35">
        <f>INDEX(AN$263:AN$279,$F2807)*$D2807*INDEX(AN$23:AN$30,$E2807)</f>
        <v/>
      </c>
      <c r="AO2807" s="35">
        <f>INDEX(AO$263:AO$279,$F2807)*$D2807*INDEX(AO$23:AO$30,$E2807)</f>
        <v/>
      </c>
      <c r="AP2807" s="35">
        <f>INDEX(AP$263:AP$279,$F2807)*$D2807*INDEX(AP$23:AP$30,$E2807)</f>
        <v/>
      </c>
      <c r="AQ2807" s="35">
        <f>INDEX(AQ$263:AQ$279,$F2807)*$D2807*INDEX(AQ$23:AQ$30,$E2807)</f>
        <v/>
      </c>
      <c r="AR2807" s="35">
        <f>INDEX(AR$263:AR$279,$F2807)*$D2807*INDEX(AR$23:AR$30,$E2807)</f>
        <v/>
      </c>
      <c r="AS2807" s="35">
        <f>INDEX(AS$263:AS$279,$F2807)*$D2807*INDEX(AS$23:AS$30,$E2807)</f>
        <v/>
      </c>
      <c r="AT2807" s="35">
        <f>INDEX(AT$263:AT$279,$F2807)*$D2807*INDEX(AT$23:AT$30,$E2807)</f>
        <v/>
      </c>
      <c r="AU2807" s="35">
        <f>INDEX(AU$263:AU$279,$F2807)*$D2807*INDEX(AU$23:AU$30,$E2807)</f>
        <v/>
      </c>
      <c r="AV2807" s="35">
        <f>INDEX(AV$263:AV$279,$F2807)*$D2807*INDEX(AV$23:AV$30,$E2807)</f>
        <v/>
      </c>
      <c r="AW2807" s="35">
        <f>INDEX(AW$263:AW$279,$F2807)*$D2807*INDEX(AW$23:AW$30,$E2807)</f>
        <v/>
      </c>
      <c r="AX2807" s="35">
        <f>INDEX(AX$263:AX$279,$F2807)*$D2807*INDEX(AX$23:AX$30,$E2807)</f>
        <v/>
      </c>
      <c r="AY2807" s="35">
        <f>INDEX(AY$263:AY$279,$F2807)*$D2807*INDEX(AY$23:AY$30,$E2807)</f>
        <v/>
      </c>
      <c r="AZ2807" s="35">
        <f>INDEX(AZ$263:AZ$279,$F2807)*$D2807*INDEX(AZ$23:AZ$30,$E2807)</f>
        <v/>
      </c>
      <c r="BA2807" s="42">
        <f>CARBONTAX(INDEX(BA$263:BA$279,$F2807),$D2807,INDEX(BA$23:BA$30,$E2807))</f>
        <v/>
      </c>
    </row>
    <row r="2808" hidden="1" outlineLevel="2">
      <c r="A2808" s="14" t="inlineStr">
        <is>
          <t>ctxnew</t>
        </is>
      </c>
      <c r="B2808" s="14" t="inlineStr">
        <is>
          <t>die</t>
        </is>
      </c>
      <c r="C2808" s="14" t="inlineStr">
        <is>
          <t>ftr</t>
        </is>
      </c>
      <c r="D2808" s="35">
        <f>INDEX(Inputs!$W$5:$W$132,MATCH($B2808&amp;"|"&amp;$C2808,Inputs!$A$5:$A$132,0))</f>
        <v/>
      </c>
      <c r="E2808" s="35">
        <f>INDEX(Inputs!$L$5:$L$132,MATCH($B2808&amp;"|"&amp;$C2808,Inputs!$A$5:$A$132,0))</f>
        <v/>
      </c>
      <c r="F2808" s="35">
        <f>INDEX(Inputs!$M$5:$M$132,MATCH($B2808&amp;"|"&amp;$C2808,Inputs!$A$5:$A$132,0))</f>
        <v/>
      </c>
      <c r="G2808" s="39" t="n"/>
      <c r="H2808" s="14">
        <f>INDEX(VarLab,MATCH($A2808,VarKey,0))&amp;INDEX(MemLab,MATCH($C2808&amp;"|"&amp;$B2808,MemKey,0))</f>
        <v/>
      </c>
      <c r="I2808" s="14">
        <f>INDEX(VarUnit,MATCH($A2808,VarKey,0))</f>
        <v/>
      </c>
      <c r="J2808" s="14">
        <f>INDEX(VarSrc,MATCH($A2808,VarKey,0))</f>
        <v/>
      </c>
      <c r="K2808" s="11">
        <f>CodePrefix&amp;$A2808&amp;IF($C2808="","","."&amp;$C2808&amp;"."&amp;$B2808)&amp;INDEX(VarEnd,MATCH($A2808,VarKey,0))&amp;K$5</f>
        <v/>
      </c>
      <c r="L2808" s="40">
        <f>INDEX(L$263:L$279,$F2808)*$D2808*INDEX(L$23:L$30,$E2808)</f>
        <v/>
      </c>
      <c r="M2808" s="35">
        <f>INDEX(M$263:M$279,$F2808)*$D2808*INDEX(M$23:M$30,$E2808)</f>
        <v/>
      </c>
      <c r="N2808" s="35">
        <f>INDEX(N$263:N$279,$F2808)*$D2808*INDEX(N$23:N$30,$E2808)</f>
        <v/>
      </c>
      <c r="O2808" s="35">
        <f>INDEX(O$263:O$279,$F2808)*$D2808*INDEX(O$23:O$30,$E2808)</f>
        <v/>
      </c>
      <c r="P2808" s="35">
        <f>INDEX(P$263:P$279,$F2808)*$D2808*INDEX(P$23:P$30,$E2808)</f>
        <v/>
      </c>
      <c r="Q2808" s="35">
        <f>INDEX(Q$263:Q$279,$F2808)*$D2808*INDEX(Q$23:Q$30,$E2808)</f>
        <v/>
      </c>
      <c r="R2808" s="35">
        <f>INDEX(R$263:R$279,$F2808)*$D2808*INDEX(R$23:R$30,$E2808)</f>
        <v/>
      </c>
      <c r="S2808" s="35">
        <f>INDEX(S$263:S$279,$F2808)*$D2808*INDEX(S$23:S$30,$E2808)</f>
        <v/>
      </c>
      <c r="T2808" s="35">
        <f>INDEX(T$263:T$279,$F2808)*$D2808*INDEX(T$23:T$30,$E2808)</f>
        <v/>
      </c>
      <c r="U2808" s="35">
        <f>INDEX(U$263:U$279,$F2808)*$D2808*INDEX(U$23:U$30,$E2808)</f>
        <v/>
      </c>
      <c r="V2808" s="35">
        <f>INDEX(V$263:V$279,$F2808)*$D2808*INDEX(V$23:V$30,$E2808)</f>
        <v/>
      </c>
      <c r="W2808" s="35">
        <f>INDEX(W$263:W$279,$F2808)*$D2808*INDEX(W$23:W$30,$E2808)</f>
        <v/>
      </c>
      <c r="X2808" s="35">
        <f>INDEX(X$263:X$279,$F2808)*$D2808*INDEX(X$23:X$30,$E2808)</f>
        <v/>
      </c>
      <c r="Y2808" s="35">
        <f>INDEX(Y$263:Y$279,$F2808)*$D2808*INDEX(Y$23:Y$30,$E2808)</f>
        <v/>
      </c>
      <c r="Z2808" s="35">
        <f>INDEX(Z$263:Z$279,$F2808)*$D2808*INDEX(Z$23:Z$30,$E2808)</f>
        <v/>
      </c>
      <c r="AA2808" s="35">
        <f>INDEX(AA$263:AA$279,$F2808)*$D2808*INDEX(AA$23:AA$30,$E2808)</f>
        <v/>
      </c>
      <c r="AB2808" s="35">
        <f>INDEX(AB$263:AB$279,$F2808)*$D2808*INDEX(AB$23:AB$30,$E2808)</f>
        <v/>
      </c>
      <c r="AC2808" s="35">
        <f>INDEX(AC$263:AC$279,$F2808)*$D2808*INDEX(AC$23:AC$30,$E2808)</f>
        <v/>
      </c>
      <c r="AD2808" s="35">
        <f>INDEX(AD$263:AD$279,$F2808)*$D2808*INDEX(AD$23:AD$30,$E2808)</f>
        <v/>
      </c>
      <c r="AE2808" s="42">
        <f>CARBONTAX(INDEX(AE$263:AE$279,$F2808),$D2808,INDEX(AE$23:AE$30,$E2808))</f>
        <v/>
      </c>
      <c r="AG2808" s="11">
        <f>CodePrefix&amp;$A2808&amp;IF($C2808="","","."&amp;$C2808&amp;"."&amp;$B2808)&amp;INDEX(VarEnd,MATCH($A2808,VarKey,0))&amp;AG$5</f>
        <v/>
      </c>
      <c r="AH2808" s="40">
        <f>INDEX(AH$263:AH$279,$F2808)*$D2808*INDEX(AH$23:AH$30,$E2808)</f>
        <v/>
      </c>
      <c r="AI2808" s="35">
        <f>INDEX(AI$263:AI$279,$F2808)*$D2808*INDEX(AI$23:AI$30,$E2808)</f>
        <v/>
      </c>
      <c r="AJ2808" s="35">
        <f>INDEX(AJ$263:AJ$279,$F2808)*$D2808*INDEX(AJ$23:AJ$30,$E2808)</f>
        <v/>
      </c>
      <c r="AK2808" s="35">
        <f>INDEX(AK$263:AK$279,$F2808)*$D2808*INDEX(AK$23:AK$30,$E2808)</f>
        <v/>
      </c>
      <c r="AL2808" s="35">
        <f>INDEX(AL$263:AL$279,$F2808)*$D2808*INDEX(AL$23:AL$30,$E2808)</f>
        <v/>
      </c>
      <c r="AM2808" s="35">
        <f>INDEX(AM$263:AM$279,$F2808)*$D2808*INDEX(AM$23:AM$30,$E2808)</f>
        <v/>
      </c>
      <c r="AN2808" s="35">
        <f>INDEX(AN$263:AN$279,$F2808)*$D2808*INDEX(AN$23:AN$30,$E2808)</f>
        <v/>
      </c>
      <c r="AO2808" s="35">
        <f>INDEX(AO$263:AO$279,$F2808)*$D2808*INDEX(AO$23:AO$30,$E2808)</f>
        <v/>
      </c>
      <c r="AP2808" s="35">
        <f>INDEX(AP$263:AP$279,$F2808)*$D2808*INDEX(AP$23:AP$30,$E2808)</f>
        <v/>
      </c>
      <c r="AQ2808" s="35">
        <f>INDEX(AQ$263:AQ$279,$F2808)*$D2808*INDEX(AQ$23:AQ$30,$E2808)</f>
        <v/>
      </c>
      <c r="AR2808" s="35">
        <f>INDEX(AR$263:AR$279,$F2808)*$D2808*INDEX(AR$23:AR$30,$E2808)</f>
        <v/>
      </c>
      <c r="AS2808" s="35">
        <f>INDEX(AS$263:AS$279,$F2808)*$D2808*INDEX(AS$23:AS$30,$E2808)</f>
        <v/>
      </c>
      <c r="AT2808" s="35">
        <f>INDEX(AT$263:AT$279,$F2808)*$D2808*INDEX(AT$23:AT$30,$E2808)</f>
        <v/>
      </c>
      <c r="AU2808" s="35">
        <f>INDEX(AU$263:AU$279,$F2808)*$D2808*INDEX(AU$23:AU$30,$E2808)</f>
        <v/>
      </c>
      <c r="AV2808" s="35">
        <f>INDEX(AV$263:AV$279,$F2808)*$D2808*INDEX(AV$23:AV$30,$E2808)</f>
        <v/>
      </c>
      <c r="AW2808" s="35">
        <f>INDEX(AW$263:AW$279,$F2808)*$D2808*INDEX(AW$23:AW$30,$E2808)</f>
        <v/>
      </c>
      <c r="AX2808" s="35">
        <f>INDEX(AX$263:AX$279,$F2808)*$D2808*INDEX(AX$23:AX$30,$E2808)</f>
        <v/>
      </c>
      <c r="AY2808" s="35">
        <f>INDEX(AY$263:AY$279,$F2808)*$D2808*INDEX(AY$23:AY$30,$E2808)</f>
        <v/>
      </c>
      <c r="AZ2808" s="35">
        <f>INDEX(AZ$263:AZ$279,$F2808)*$D2808*INDEX(AZ$23:AZ$30,$E2808)</f>
        <v/>
      </c>
      <c r="BA2808" s="42">
        <f>CARBONTAX(INDEX(BA$263:BA$279,$F2808),$D2808,INDEX(BA$23:BA$30,$E2808))</f>
        <v/>
      </c>
    </row>
    <row r="2809" hidden="1" outlineLevel="2">
      <c r="A2809" s="14" t="inlineStr">
        <is>
          <t>ctxnew</t>
        </is>
      </c>
      <c r="B2809" s="14" t="inlineStr">
        <is>
          <t>lpg</t>
        </is>
      </c>
      <c r="C2809" s="14" t="inlineStr">
        <is>
          <t>ftr</t>
        </is>
      </c>
      <c r="D2809" s="35">
        <f>INDEX(Inputs!$W$5:$W$132,MATCH($B2809&amp;"|"&amp;$C2809,Inputs!$A$5:$A$132,0))</f>
        <v/>
      </c>
      <c r="E2809" s="35">
        <f>INDEX(Inputs!$L$5:$L$132,MATCH($B2809&amp;"|"&amp;$C2809,Inputs!$A$5:$A$132,0))</f>
        <v/>
      </c>
      <c r="F2809" s="35">
        <f>INDEX(Inputs!$M$5:$M$132,MATCH($B2809&amp;"|"&amp;$C2809,Inputs!$A$5:$A$132,0))</f>
        <v/>
      </c>
      <c r="G2809" s="39" t="n"/>
      <c r="H2809" s="14">
        <f>INDEX(VarLab,MATCH($A2809,VarKey,0))&amp;INDEX(MemLab,MATCH($C2809&amp;"|"&amp;$B2809,MemKey,0))</f>
        <v/>
      </c>
      <c r="I2809" s="14">
        <f>INDEX(VarUnit,MATCH($A2809,VarKey,0))</f>
        <v/>
      </c>
      <c r="J2809" s="14">
        <f>INDEX(VarSrc,MATCH($A2809,VarKey,0))</f>
        <v/>
      </c>
      <c r="K2809" s="11">
        <f>CodePrefix&amp;$A2809&amp;IF($C2809="","","."&amp;$C2809&amp;"."&amp;$B2809)&amp;INDEX(VarEnd,MATCH($A2809,VarKey,0))&amp;K$5</f>
        <v/>
      </c>
      <c r="L2809" s="40">
        <f>INDEX(L$263:L$279,$F2809)*$D2809*INDEX(L$23:L$30,$E2809)</f>
        <v/>
      </c>
      <c r="M2809" s="35">
        <f>INDEX(M$263:M$279,$F2809)*$D2809*INDEX(M$23:M$30,$E2809)</f>
        <v/>
      </c>
      <c r="N2809" s="35">
        <f>INDEX(N$263:N$279,$F2809)*$D2809*INDEX(N$23:N$30,$E2809)</f>
        <v/>
      </c>
      <c r="O2809" s="35">
        <f>INDEX(O$263:O$279,$F2809)*$D2809*INDEX(O$23:O$30,$E2809)</f>
        <v/>
      </c>
      <c r="P2809" s="35">
        <f>INDEX(P$263:P$279,$F2809)*$D2809*INDEX(P$23:P$30,$E2809)</f>
        <v/>
      </c>
      <c r="Q2809" s="35">
        <f>INDEX(Q$263:Q$279,$F2809)*$D2809*INDEX(Q$23:Q$30,$E2809)</f>
        <v/>
      </c>
      <c r="R2809" s="35">
        <f>INDEX(R$263:R$279,$F2809)*$D2809*INDEX(R$23:R$30,$E2809)</f>
        <v/>
      </c>
      <c r="S2809" s="35">
        <f>INDEX(S$263:S$279,$F2809)*$D2809*INDEX(S$23:S$30,$E2809)</f>
        <v/>
      </c>
      <c r="T2809" s="35">
        <f>INDEX(T$263:T$279,$F2809)*$D2809*INDEX(T$23:T$30,$E2809)</f>
        <v/>
      </c>
      <c r="U2809" s="35">
        <f>INDEX(U$263:U$279,$F2809)*$D2809*INDEX(U$23:U$30,$E2809)</f>
        <v/>
      </c>
      <c r="V2809" s="35">
        <f>INDEX(V$263:V$279,$F2809)*$D2809*INDEX(V$23:V$30,$E2809)</f>
        <v/>
      </c>
      <c r="W2809" s="35">
        <f>INDEX(W$263:W$279,$F2809)*$D2809*INDEX(W$23:W$30,$E2809)</f>
        <v/>
      </c>
      <c r="X2809" s="35">
        <f>INDEX(X$263:X$279,$F2809)*$D2809*INDEX(X$23:X$30,$E2809)</f>
        <v/>
      </c>
      <c r="Y2809" s="35">
        <f>INDEX(Y$263:Y$279,$F2809)*$D2809*INDEX(Y$23:Y$30,$E2809)</f>
        <v/>
      </c>
      <c r="Z2809" s="35">
        <f>INDEX(Z$263:Z$279,$F2809)*$D2809*INDEX(Z$23:Z$30,$E2809)</f>
        <v/>
      </c>
      <c r="AA2809" s="35">
        <f>INDEX(AA$263:AA$279,$F2809)*$D2809*INDEX(AA$23:AA$30,$E2809)</f>
        <v/>
      </c>
      <c r="AB2809" s="35">
        <f>INDEX(AB$263:AB$279,$F2809)*$D2809*INDEX(AB$23:AB$30,$E2809)</f>
        <v/>
      </c>
      <c r="AC2809" s="35">
        <f>INDEX(AC$263:AC$279,$F2809)*$D2809*INDEX(AC$23:AC$30,$E2809)</f>
        <v/>
      </c>
      <c r="AD2809" s="35">
        <f>INDEX(AD$263:AD$279,$F2809)*$D2809*INDEX(AD$23:AD$30,$E2809)</f>
        <v/>
      </c>
      <c r="AE2809" s="42">
        <f>CARBONTAX(INDEX(AE$263:AE$279,$F2809),$D2809,INDEX(AE$23:AE$30,$E2809))</f>
        <v/>
      </c>
      <c r="AG2809" s="11">
        <f>CodePrefix&amp;$A2809&amp;IF($C2809="","","."&amp;$C2809&amp;"."&amp;$B2809)&amp;INDEX(VarEnd,MATCH($A2809,VarKey,0))&amp;AG$5</f>
        <v/>
      </c>
      <c r="AH2809" s="40">
        <f>INDEX(AH$263:AH$279,$F2809)*$D2809*INDEX(AH$23:AH$30,$E2809)</f>
        <v/>
      </c>
      <c r="AI2809" s="35">
        <f>INDEX(AI$263:AI$279,$F2809)*$D2809*INDEX(AI$23:AI$30,$E2809)</f>
        <v/>
      </c>
      <c r="AJ2809" s="35">
        <f>INDEX(AJ$263:AJ$279,$F2809)*$D2809*INDEX(AJ$23:AJ$30,$E2809)</f>
        <v/>
      </c>
      <c r="AK2809" s="35">
        <f>INDEX(AK$263:AK$279,$F2809)*$D2809*INDEX(AK$23:AK$30,$E2809)</f>
        <v/>
      </c>
      <c r="AL2809" s="35">
        <f>INDEX(AL$263:AL$279,$F2809)*$D2809*INDEX(AL$23:AL$30,$E2809)</f>
        <v/>
      </c>
      <c r="AM2809" s="35">
        <f>INDEX(AM$263:AM$279,$F2809)*$D2809*INDEX(AM$23:AM$30,$E2809)</f>
        <v/>
      </c>
      <c r="AN2809" s="35">
        <f>INDEX(AN$263:AN$279,$F2809)*$D2809*INDEX(AN$23:AN$30,$E2809)</f>
        <v/>
      </c>
      <c r="AO2809" s="35">
        <f>INDEX(AO$263:AO$279,$F2809)*$D2809*INDEX(AO$23:AO$30,$E2809)</f>
        <v/>
      </c>
      <c r="AP2809" s="35">
        <f>INDEX(AP$263:AP$279,$F2809)*$D2809*INDEX(AP$23:AP$30,$E2809)</f>
        <v/>
      </c>
      <c r="AQ2809" s="35">
        <f>INDEX(AQ$263:AQ$279,$F2809)*$D2809*INDEX(AQ$23:AQ$30,$E2809)</f>
        <v/>
      </c>
      <c r="AR2809" s="35">
        <f>INDEX(AR$263:AR$279,$F2809)*$D2809*INDEX(AR$23:AR$30,$E2809)</f>
        <v/>
      </c>
      <c r="AS2809" s="35">
        <f>INDEX(AS$263:AS$279,$F2809)*$D2809*INDEX(AS$23:AS$30,$E2809)</f>
        <v/>
      </c>
      <c r="AT2809" s="35">
        <f>INDEX(AT$263:AT$279,$F2809)*$D2809*INDEX(AT$23:AT$30,$E2809)</f>
        <v/>
      </c>
      <c r="AU2809" s="35">
        <f>INDEX(AU$263:AU$279,$F2809)*$D2809*INDEX(AU$23:AU$30,$E2809)</f>
        <v/>
      </c>
      <c r="AV2809" s="35">
        <f>INDEX(AV$263:AV$279,$F2809)*$D2809*INDEX(AV$23:AV$30,$E2809)</f>
        <v/>
      </c>
      <c r="AW2809" s="35">
        <f>INDEX(AW$263:AW$279,$F2809)*$D2809*INDEX(AW$23:AW$30,$E2809)</f>
        <v/>
      </c>
      <c r="AX2809" s="35">
        <f>INDEX(AX$263:AX$279,$F2809)*$D2809*INDEX(AX$23:AX$30,$E2809)</f>
        <v/>
      </c>
      <c r="AY2809" s="35">
        <f>INDEX(AY$263:AY$279,$F2809)*$D2809*INDEX(AY$23:AY$30,$E2809)</f>
        <v/>
      </c>
      <c r="AZ2809" s="35">
        <f>INDEX(AZ$263:AZ$279,$F2809)*$D2809*INDEX(AZ$23:AZ$30,$E2809)</f>
        <v/>
      </c>
      <c r="BA2809" s="42">
        <f>CARBONTAX(INDEX(BA$263:BA$279,$F2809),$D2809,INDEX(BA$23:BA$30,$E2809))</f>
        <v/>
      </c>
    </row>
    <row r="2810" hidden="1" outlineLevel="2">
      <c r="A2810" s="14" t="inlineStr">
        <is>
          <t>ctxnew</t>
        </is>
      </c>
      <c r="B2810" s="14" t="inlineStr">
        <is>
          <t>ker</t>
        </is>
      </c>
      <c r="C2810" s="14" t="inlineStr">
        <is>
          <t>ftr</t>
        </is>
      </c>
      <c r="D2810" s="35">
        <f>INDEX(Inputs!$W$5:$W$132,MATCH($B2810&amp;"|"&amp;$C2810,Inputs!$A$5:$A$132,0))</f>
        <v/>
      </c>
      <c r="E2810" s="35">
        <f>INDEX(Inputs!$L$5:$L$132,MATCH($B2810&amp;"|"&amp;$C2810,Inputs!$A$5:$A$132,0))</f>
        <v/>
      </c>
      <c r="F2810" s="35">
        <f>INDEX(Inputs!$M$5:$M$132,MATCH($B2810&amp;"|"&amp;$C2810,Inputs!$A$5:$A$132,0))</f>
        <v/>
      </c>
      <c r="G2810" s="39" t="n"/>
      <c r="H2810" s="14">
        <f>INDEX(VarLab,MATCH($A2810,VarKey,0))&amp;INDEX(MemLab,MATCH($C2810&amp;"|"&amp;$B2810,MemKey,0))</f>
        <v/>
      </c>
      <c r="I2810" s="14">
        <f>INDEX(VarUnit,MATCH($A2810,VarKey,0))</f>
        <v/>
      </c>
      <c r="J2810" s="14">
        <f>INDEX(VarSrc,MATCH($A2810,VarKey,0))</f>
        <v/>
      </c>
      <c r="K2810" s="11">
        <f>CodePrefix&amp;$A2810&amp;IF($C2810="","","."&amp;$C2810&amp;"."&amp;$B2810)&amp;INDEX(VarEnd,MATCH($A2810,VarKey,0))&amp;K$5</f>
        <v/>
      </c>
      <c r="L2810" s="40">
        <f>INDEX(L$263:L$279,$F2810)*$D2810*INDEX(L$23:L$30,$E2810)</f>
        <v/>
      </c>
      <c r="M2810" s="35">
        <f>INDEX(M$263:M$279,$F2810)*$D2810*INDEX(M$23:M$30,$E2810)</f>
        <v/>
      </c>
      <c r="N2810" s="35">
        <f>INDEX(N$263:N$279,$F2810)*$D2810*INDEX(N$23:N$30,$E2810)</f>
        <v/>
      </c>
      <c r="O2810" s="35">
        <f>INDEX(O$263:O$279,$F2810)*$D2810*INDEX(O$23:O$30,$E2810)</f>
        <v/>
      </c>
      <c r="P2810" s="35">
        <f>INDEX(P$263:P$279,$F2810)*$D2810*INDEX(P$23:P$30,$E2810)</f>
        <v/>
      </c>
      <c r="Q2810" s="35">
        <f>INDEX(Q$263:Q$279,$F2810)*$D2810*INDEX(Q$23:Q$30,$E2810)</f>
        <v/>
      </c>
      <c r="R2810" s="35">
        <f>INDEX(R$263:R$279,$F2810)*$D2810*INDEX(R$23:R$30,$E2810)</f>
        <v/>
      </c>
      <c r="S2810" s="35">
        <f>INDEX(S$263:S$279,$F2810)*$D2810*INDEX(S$23:S$30,$E2810)</f>
        <v/>
      </c>
      <c r="T2810" s="35">
        <f>INDEX(T$263:T$279,$F2810)*$D2810*INDEX(T$23:T$30,$E2810)</f>
        <v/>
      </c>
      <c r="U2810" s="35">
        <f>INDEX(U$263:U$279,$F2810)*$D2810*INDEX(U$23:U$30,$E2810)</f>
        <v/>
      </c>
      <c r="V2810" s="35">
        <f>INDEX(V$263:V$279,$F2810)*$D2810*INDEX(V$23:V$30,$E2810)</f>
        <v/>
      </c>
      <c r="W2810" s="35">
        <f>INDEX(W$263:W$279,$F2810)*$D2810*INDEX(W$23:W$30,$E2810)</f>
        <v/>
      </c>
      <c r="X2810" s="35">
        <f>INDEX(X$263:X$279,$F2810)*$D2810*INDEX(X$23:X$30,$E2810)</f>
        <v/>
      </c>
      <c r="Y2810" s="35">
        <f>INDEX(Y$263:Y$279,$F2810)*$D2810*INDEX(Y$23:Y$30,$E2810)</f>
        <v/>
      </c>
      <c r="Z2810" s="35">
        <f>INDEX(Z$263:Z$279,$F2810)*$D2810*INDEX(Z$23:Z$30,$E2810)</f>
        <v/>
      </c>
      <c r="AA2810" s="35">
        <f>INDEX(AA$263:AA$279,$F2810)*$D2810*INDEX(AA$23:AA$30,$E2810)</f>
        <v/>
      </c>
      <c r="AB2810" s="35">
        <f>INDEX(AB$263:AB$279,$F2810)*$D2810*INDEX(AB$23:AB$30,$E2810)</f>
        <v/>
      </c>
      <c r="AC2810" s="35">
        <f>INDEX(AC$263:AC$279,$F2810)*$D2810*INDEX(AC$23:AC$30,$E2810)</f>
        <v/>
      </c>
      <c r="AD2810" s="35">
        <f>INDEX(AD$263:AD$279,$F2810)*$D2810*INDEX(AD$23:AD$30,$E2810)</f>
        <v/>
      </c>
      <c r="AE2810" s="42">
        <f>CARBONTAX(INDEX(AE$263:AE$279,$F2810),$D2810,INDEX(AE$23:AE$30,$E2810))</f>
        <v/>
      </c>
      <c r="AG2810" s="11">
        <f>CodePrefix&amp;$A2810&amp;IF($C2810="","","."&amp;$C2810&amp;"."&amp;$B2810)&amp;INDEX(VarEnd,MATCH($A2810,VarKey,0))&amp;AG$5</f>
        <v/>
      </c>
      <c r="AH2810" s="40">
        <f>INDEX(AH$263:AH$279,$F2810)*$D2810*INDEX(AH$23:AH$30,$E2810)</f>
        <v/>
      </c>
      <c r="AI2810" s="35">
        <f>INDEX(AI$263:AI$279,$F2810)*$D2810*INDEX(AI$23:AI$30,$E2810)</f>
        <v/>
      </c>
      <c r="AJ2810" s="35">
        <f>INDEX(AJ$263:AJ$279,$F2810)*$D2810*INDEX(AJ$23:AJ$30,$E2810)</f>
        <v/>
      </c>
      <c r="AK2810" s="35">
        <f>INDEX(AK$263:AK$279,$F2810)*$D2810*INDEX(AK$23:AK$30,$E2810)</f>
        <v/>
      </c>
      <c r="AL2810" s="35">
        <f>INDEX(AL$263:AL$279,$F2810)*$D2810*INDEX(AL$23:AL$30,$E2810)</f>
        <v/>
      </c>
      <c r="AM2810" s="35">
        <f>INDEX(AM$263:AM$279,$F2810)*$D2810*INDEX(AM$23:AM$30,$E2810)</f>
        <v/>
      </c>
      <c r="AN2810" s="35">
        <f>INDEX(AN$263:AN$279,$F2810)*$D2810*INDEX(AN$23:AN$30,$E2810)</f>
        <v/>
      </c>
      <c r="AO2810" s="35">
        <f>INDEX(AO$263:AO$279,$F2810)*$D2810*INDEX(AO$23:AO$30,$E2810)</f>
        <v/>
      </c>
      <c r="AP2810" s="35">
        <f>INDEX(AP$263:AP$279,$F2810)*$D2810*INDEX(AP$23:AP$30,$E2810)</f>
        <v/>
      </c>
      <c r="AQ2810" s="35">
        <f>INDEX(AQ$263:AQ$279,$F2810)*$D2810*INDEX(AQ$23:AQ$30,$E2810)</f>
        <v/>
      </c>
      <c r="AR2810" s="35">
        <f>INDEX(AR$263:AR$279,$F2810)*$D2810*INDEX(AR$23:AR$30,$E2810)</f>
        <v/>
      </c>
      <c r="AS2810" s="35">
        <f>INDEX(AS$263:AS$279,$F2810)*$D2810*INDEX(AS$23:AS$30,$E2810)</f>
        <v/>
      </c>
      <c r="AT2810" s="35">
        <f>INDEX(AT$263:AT$279,$F2810)*$D2810*INDEX(AT$23:AT$30,$E2810)</f>
        <v/>
      </c>
      <c r="AU2810" s="35">
        <f>INDEX(AU$263:AU$279,$F2810)*$D2810*INDEX(AU$23:AU$30,$E2810)</f>
        <v/>
      </c>
      <c r="AV2810" s="35">
        <f>INDEX(AV$263:AV$279,$F2810)*$D2810*INDEX(AV$23:AV$30,$E2810)</f>
        <v/>
      </c>
      <c r="AW2810" s="35">
        <f>INDEX(AW$263:AW$279,$F2810)*$D2810*INDEX(AW$23:AW$30,$E2810)</f>
        <v/>
      </c>
      <c r="AX2810" s="35">
        <f>INDEX(AX$263:AX$279,$F2810)*$D2810*INDEX(AX$23:AX$30,$E2810)</f>
        <v/>
      </c>
      <c r="AY2810" s="35">
        <f>INDEX(AY$263:AY$279,$F2810)*$D2810*INDEX(AY$23:AY$30,$E2810)</f>
        <v/>
      </c>
      <c r="AZ2810" s="35">
        <f>INDEX(AZ$263:AZ$279,$F2810)*$D2810*INDEX(AZ$23:AZ$30,$E2810)</f>
        <v/>
      </c>
      <c r="BA2810" s="42">
        <f>CARBONTAX(INDEX(BA$263:BA$279,$F2810),$D2810,INDEX(BA$23:BA$30,$E2810))</f>
        <v/>
      </c>
    </row>
    <row r="2811" hidden="1" outlineLevel="2">
      <c r="A2811" s="14" t="inlineStr">
        <is>
          <t>ctxnew</t>
        </is>
      </c>
      <c r="B2811" s="14" t="inlineStr">
        <is>
          <t>oop</t>
        </is>
      </c>
      <c r="C2811" s="14" t="inlineStr">
        <is>
          <t>ftr</t>
        </is>
      </c>
      <c r="D2811" s="35">
        <f>INDEX(Inputs!$W$5:$W$132,MATCH($B2811&amp;"|"&amp;$C2811,Inputs!$A$5:$A$132,0))</f>
        <v/>
      </c>
      <c r="E2811" s="35">
        <f>INDEX(Inputs!$L$5:$L$132,MATCH($B2811&amp;"|"&amp;$C2811,Inputs!$A$5:$A$132,0))</f>
        <v/>
      </c>
      <c r="F2811" s="35">
        <f>INDEX(Inputs!$M$5:$M$132,MATCH($B2811&amp;"|"&amp;$C2811,Inputs!$A$5:$A$132,0))</f>
        <v/>
      </c>
      <c r="G2811" s="39" t="n"/>
      <c r="H2811" s="14">
        <f>INDEX(VarLab,MATCH($A2811,VarKey,0))&amp;INDEX(MemLab,MATCH($C2811&amp;"|"&amp;$B2811,MemKey,0))</f>
        <v/>
      </c>
      <c r="I2811" s="14">
        <f>INDEX(VarUnit,MATCH($A2811,VarKey,0))</f>
        <v/>
      </c>
      <c r="J2811" s="14">
        <f>INDEX(VarSrc,MATCH($A2811,VarKey,0))</f>
        <v/>
      </c>
      <c r="K2811" s="11">
        <f>CodePrefix&amp;$A2811&amp;IF($C2811="","","."&amp;$C2811&amp;"."&amp;$B2811)&amp;INDEX(VarEnd,MATCH($A2811,VarKey,0))&amp;K$5</f>
        <v/>
      </c>
      <c r="L2811" s="40">
        <f>INDEX(L$263:L$279,$F2811)*$D2811*INDEX(L$23:L$30,$E2811)</f>
        <v/>
      </c>
      <c r="M2811" s="35">
        <f>INDEX(M$263:M$279,$F2811)*$D2811*INDEX(M$23:M$30,$E2811)</f>
        <v/>
      </c>
      <c r="N2811" s="35">
        <f>INDEX(N$263:N$279,$F2811)*$D2811*INDEX(N$23:N$30,$E2811)</f>
        <v/>
      </c>
      <c r="O2811" s="35">
        <f>INDEX(O$263:O$279,$F2811)*$D2811*INDEX(O$23:O$30,$E2811)</f>
        <v/>
      </c>
      <c r="P2811" s="35">
        <f>INDEX(P$263:P$279,$F2811)*$D2811*INDEX(P$23:P$30,$E2811)</f>
        <v/>
      </c>
      <c r="Q2811" s="35">
        <f>INDEX(Q$263:Q$279,$F2811)*$D2811*INDEX(Q$23:Q$30,$E2811)</f>
        <v/>
      </c>
      <c r="R2811" s="35">
        <f>INDEX(R$263:R$279,$F2811)*$D2811*INDEX(R$23:R$30,$E2811)</f>
        <v/>
      </c>
      <c r="S2811" s="35">
        <f>INDEX(S$263:S$279,$F2811)*$D2811*INDEX(S$23:S$30,$E2811)</f>
        <v/>
      </c>
      <c r="T2811" s="35">
        <f>INDEX(T$263:T$279,$F2811)*$D2811*INDEX(T$23:T$30,$E2811)</f>
        <v/>
      </c>
      <c r="U2811" s="35">
        <f>INDEX(U$263:U$279,$F2811)*$D2811*INDEX(U$23:U$30,$E2811)</f>
        <v/>
      </c>
      <c r="V2811" s="35">
        <f>INDEX(V$263:V$279,$F2811)*$D2811*INDEX(V$23:V$30,$E2811)</f>
        <v/>
      </c>
      <c r="W2811" s="35">
        <f>INDEX(W$263:W$279,$F2811)*$D2811*INDEX(W$23:W$30,$E2811)</f>
        <v/>
      </c>
      <c r="X2811" s="35">
        <f>INDEX(X$263:X$279,$F2811)*$D2811*INDEX(X$23:X$30,$E2811)</f>
        <v/>
      </c>
      <c r="Y2811" s="35">
        <f>INDEX(Y$263:Y$279,$F2811)*$D2811*INDEX(Y$23:Y$30,$E2811)</f>
        <v/>
      </c>
      <c r="Z2811" s="35">
        <f>INDEX(Z$263:Z$279,$F2811)*$D2811*INDEX(Z$23:Z$30,$E2811)</f>
        <v/>
      </c>
      <c r="AA2811" s="35">
        <f>INDEX(AA$263:AA$279,$F2811)*$D2811*INDEX(AA$23:AA$30,$E2811)</f>
        <v/>
      </c>
      <c r="AB2811" s="35">
        <f>INDEX(AB$263:AB$279,$F2811)*$D2811*INDEX(AB$23:AB$30,$E2811)</f>
        <v/>
      </c>
      <c r="AC2811" s="35">
        <f>INDEX(AC$263:AC$279,$F2811)*$D2811*INDEX(AC$23:AC$30,$E2811)</f>
        <v/>
      </c>
      <c r="AD2811" s="35">
        <f>INDEX(AD$263:AD$279,$F2811)*$D2811*INDEX(AD$23:AD$30,$E2811)</f>
        <v/>
      </c>
      <c r="AE2811" s="42">
        <f>CARBONTAX(INDEX(AE$263:AE$279,$F2811),$D2811,INDEX(AE$23:AE$30,$E2811))</f>
        <v/>
      </c>
      <c r="AG2811" s="11">
        <f>CodePrefix&amp;$A2811&amp;IF($C2811="","","."&amp;$C2811&amp;"."&amp;$B2811)&amp;INDEX(VarEnd,MATCH($A2811,VarKey,0))&amp;AG$5</f>
        <v/>
      </c>
      <c r="AH2811" s="40">
        <f>INDEX(AH$263:AH$279,$F2811)*$D2811*INDEX(AH$23:AH$30,$E2811)</f>
        <v/>
      </c>
      <c r="AI2811" s="35">
        <f>INDEX(AI$263:AI$279,$F2811)*$D2811*INDEX(AI$23:AI$30,$E2811)</f>
        <v/>
      </c>
      <c r="AJ2811" s="35">
        <f>INDEX(AJ$263:AJ$279,$F2811)*$D2811*INDEX(AJ$23:AJ$30,$E2811)</f>
        <v/>
      </c>
      <c r="AK2811" s="35">
        <f>INDEX(AK$263:AK$279,$F2811)*$D2811*INDEX(AK$23:AK$30,$E2811)</f>
        <v/>
      </c>
      <c r="AL2811" s="35">
        <f>INDEX(AL$263:AL$279,$F2811)*$D2811*INDEX(AL$23:AL$30,$E2811)</f>
        <v/>
      </c>
      <c r="AM2811" s="35">
        <f>INDEX(AM$263:AM$279,$F2811)*$D2811*INDEX(AM$23:AM$30,$E2811)</f>
        <v/>
      </c>
      <c r="AN2811" s="35">
        <f>INDEX(AN$263:AN$279,$F2811)*$D2811*INDEX(AN$23:AN$30,$E2811)</f>
        <v/>
      </c>
      <c r="AO2811" s="35">
        <f>INDEX(AO$263:AO$279,$F2811)*$D2811*INDEX(AO$23:AO$30,$E2811)</f>
        <v/>
      </c>
      <c r="AP2811" s="35">
        <f>INDEX(AP$263:AP$279,$F2811)*$D2811*INDEX(AP$23:AP$30,$E2811)</f>
        <v/>
      </c>
      <c r="AQ2811" s="35">
        <f>INDEX(AQ$263:AQ$279,$F2811)*$D2811*INDEX(AQ$23:AQ$30,$E2811)</f>
        <v/>
      </c>
      <c r="AR2811" s="35">
        <f>INDEX(AR$263:AR$279,$F2811)*$D2811*INDEX(AR$23:AR$30,$E2811)</f>
        <v/>
      </c>
      <c r="AS2811" s="35">
        <f>INDEX(AS$263:AS$279,$F2811)*$D2811*INDEX(AS$23:AS$30,$E2811)</f>
        <v/>
      </c>
      <c r="AT2811" s="35">
        <f>INDEX(AT$263:AT$279,$F2811)*$D2811*INDEX(AT$23:AT$30,$E2811)</f>
        <v/>
      </c>
      <c r="AU2811" s="35">
        <f>INDEX(AU$263:AU$279,$F2811)*$D2811*INDEX(AU$23:AU$30,$E2811)</f>
        <v/>
      </c>
      <c r="AV2811" s="35">
        <f>INDEX(AV$263:AV$279,$F2811)*$D2811*INDEX(AV$23:AV$30,$E2811)</f>
        <v/>
      </c>
      <c r="AW2811" s="35">
        <f>INDEX(AW$263:AW$279,$F2811)*$D2811*INDEX(AW$23:AW$30,$E2811)</f>
        <v/>
      </c>
      <c r="AX2811" s="35">
        <f>INDEX(AX$263:AX$279,$F2811)*$D2811*INDEX(AX$23:AX$30,$E2811)</f>
        <v/>
      </c>
      <c r="AY2811" s="35">
        <f>INDEX(AY$263:AY$279,$F2811)*$D2811*INDEX(AY$23:AY$30,$E2811)</f>
        <v/>
      </c>
      <c r="AZ2811" s="35">
        <f>INDEX(AZ$263:AZ$279,$F2811)*$D2811*INDEX(AZ$23:AZ$30,$E2811)</f>
        <v/>
      </c>
      <c r="BA2811" s="42">
        <f>CARBONTAX(INDEX(BA$263:BA$279,$F2811),$D2811,INDEX(BA$23:BA$30,$E2811))</f>
        <v/>
      </c>
    </row>
    <row r="2812" hidden="1" outlineLevel="2">
      <c r="A2812" s="14" t="inlineStr">
        <is>
          <t>ctxnew</t>
        </is>
      </c>
      <c r="B2812" s="14" t="inlineStr">
        <is>
          <t>bio</t>
        </is>
      </c>
      <c r="C2812" s="14" t="inlineStr">
        <is>
          <t>ftr</t>
        </is>
      </c>
      <c r="D2812" s="35">
        <f>INDEX(Inputs!$W$5:$W$132,MATCH($B2812&amp;"|"&amp;$C2812,Inputs!$A$5:$A$132,0))</f>
        <v/>
      </c>
      <c r="E2812" s="35">
        <f>INDEX(Inputs!$L$5:$L$132,MATCH($B2812&amp;"|"&amp;$C2812,Inputs!$A$5:$A$132,0))</f>
        <v/>
      </c>
      <c r="F2812" s="35">
        <f>INDEX(Inputs!$M$5:$M$132,MATCH($B2812&amp;"|"&amp;$C2812,Inputs!$A$5:$A$132,0))</f>
        <v/>
      </c>
      <c r="G2812" s="39" t="n"/>
      <c r="H2812" s="14">
        <f>INDEX(VarLab,MATCH($A2812,VarKey,0))&amp;INDEX(MemLab,MATCH($C2812&amp;"|"&amp;$B2812,MemKey,0))</f>
        <v/>
      </c>
      <c r="I2812" s="14">
        <f>INDEX(VarUnit,MATCH($A2812,VarKey,0))</f>
        <v/>
      </c>
      <c r="J2812" s="14">
        <f>INDEX(VarSrc,MATCH($A2812,VarKey,0))</f>
        <v/>
      </c>
      <c r="K2812" s="11">
        <f>CodePrefix&amp;$A2812&amp;IF($C2812="","","."&amp;$C2812&amp;"."&amp;$B2812)&amp;INDEX(VarEnd,MATCH($A2812,VarKey,0))&amp;K$5</f>
        <v/>
      </c>
      <c r="L2812" s="40">
        <f>INDEX(L$263:L$279,$F2812)*$D2812*INDEX(L$23:L$30,$E2812)</f>
        <v/>
      </c>
      <c r="M2812" s="35">
        <f>INDEX(M$263:M$279,$F2812)*$D2812*INDEX(M$23:M$30,$E2812)</f>
        <v/>
      </c>
      <c r="N2812" s="35">
        <f>INDEX(N$263:N$279,$F2812)*$D2812*INDEX(N$23:N$30,$E2812)</f>
        <v/>
      </c>
      <c r="O2812" s="35">
        <f>INDEX(O$263:O$279,$F2812)*$D2812*INDEX(O$23:O$30,$E2812)</f>
        <v/>
      </c>
      <c r="P2812" s="35">
        <f>INDEX(P$263:P$279,$F2812)*$D2812*INDEX(P$23:P$30,$E2812)</f>
        <v/>
      </c>
      <c r="Q2812" s="35">
        <f>INDEX(Q$263:Q$279,$F2812)*$D2812*INDEX(Q$23:Q$30,$E2812)</f>
        <v/>
      </c>
      <c r="R2812" s="35">
        <f>INDEX(R$263:R$279,$F2812)*$D2812*INDEX(R$23:R$30,$E2812)</f>
        <v/>
      </c>
      <c r="S2812" s="35">
        <f>INDEX(S$263:S$279,$F2812)*$D2812*INDEX(S$23:S$30,$E2812)</f>
        <v/>
      </c>
      <c r="T2812" s="35">
        <f>INDEX(T$263:T$279,$F2812)*$D2812*INDEX(T$23:T$30,$E2812)</f>
        <v/>
      </c>
      <c r="U2812" s="35">
        <f>INDEX(U$263:U$279,$F2812)*$D2812*INDEX(U$23:U$30,$E2812)</f>
        <v/>
      </c>
      <c r="V2812" s="35">
        <f>INDEX(V$263:V$279,$F2812)*$D2812*INDEX(V$23:V$30,$E2812)</f>
        <v/>
      </c>
      <c r="W2812" s="35">
        <f>INDEX(W$263:W$279,$F2812)*$D2812*INDEX(W$23:W$30,$E2812)</f>
        <v/>
      </c>
      <c r="X2812" s="35">
        <f>INDEX(X$263:X$279,$F2812)*$D2812*INDEX(X$23:X$30,$E2812)</f>
        <v/>
      </c>
      <c r="Y2812" s="35">
        <f>INDEX(Y$263:Y$279,$F2812)*$D2812*INDEX(Y$23:Y$30,$E2812)</f>
        <v/>
      </c>
      <c r="Z2812" s="35">
        <f>INDEX(Z$263:Z$279,$F2812)*$D2812*INDEX(Z$23:Z$30,$E2812)</f>
        <v/>
      </c>
      <c r="AA2812" s="35">
        <f>INDEX(AA$263:AA$279,$F2812)*$D2812*INDEX(AA$23:AA$30,$E2812)</f>
        <v/>
      </c>
      <c r="AB2812" s="35">
        <f>INDEX(AB$263:AB$279,$F2812)*$D2812*INDEX(AB$23:AB$30,$E2812)</f>
        <v/>
      </c>
      <c r="AC2812" s="35">
        <f>INDEX(AC$263:AC$279,$F2812)*$D2812*INDEX(AC$23:AC$30,$E2812)</f>
        <v/>
      </c>
      <c r="AD2812" s="35">
        <f>INDEX(AD$263:AD$279,$F2812)*$D2812*INDEX(AD$23:AD$30,$E2812)</f>
        <v/>
      </c>
      <c r="AE2812" s="42">
        <f>CARBONTAX(INDEX(AE$263:AE$279,$F2812),$D2812,INDEX(AE$23:AE$30,$E2812))</f>
        <v/>
      </c>
      <c r="AG2812" s="11">
        <f>CodePrefix&amp;$A2812&amp;IF($C2812="","","."&amp;$C2812&amp;"."&amp;$B2812)&amp;INDEX(VarEnd,MATCH($A2812,VarKey,0))&amp;AG$5</f>
        <v/>
      </c>
      <c r="AH2812" s="40">
        <f>INDEX(AH$263:AH$279,$F2812)*$D2812*INDEX(AH$23:AH$30,$E2812)</f>
        <v/>
      </c>
      <c r="AI2812" s="35">
        <f>INDEX(AI$263:AI$279,$F2812)*$D2812*INDEX(AI$23:AI$30,$E2812)</f>
        <v/>
      </c>
      <c r="AJ2812" s="35">
        <f>INDEX(AJ$263:AJ$279,$F2812)*$D2812*INDEX(AJ$23:AJ$30,$E2812)</f>
        <v/>
      </c>
      <c r="AK2812" s="35">
        <f>INDEX(AK$263:AK$279,$F2812)*$D2812*INDEX(AK$23:AK$30,$E2812)</f>
        <v/>
      </c>
      <c r="AL2812" s="35">
        <f>INDEX(AL$263:AL$279,$F2812)*$D2812*INDEX(AL$23:AL$30,$E2812)</f>
        <v/>
      </c>
      <c r="AM2812" s="35">
        <f>INDEX(AM$263:AM$279,$F2812)*$D2812*INDEX(AM$23:AM$30,$E2812)</f>
        <v/>
      </c>
      <c r="AN2812" s="35">
        <f>INDEX(AN$263:AN$279,$F2812)*$D2812*INDEX(AN$23:AN$30,$E2812)</f>
        <v/>
      </c>
      <c r="AO2812" s="35">
        <f>INDEX(AO$263:AO$279,$F2812)*$D2812*INDEX(AO$23:AO$30,$E2812)</f>
        <v/>
      </c>
      <c r="AP2812" s="35">
        <f>INDEX(AP$263:AP$279,$F2812)*$D2812*INDEX(AP$23:AP$30,$E2812)</f>
        <v/>
      </c>
      <c r="AQ2812" s="35">
        <f>INDEX(AQ$263:AQ$279,$F2812)*$D2812*INDEX(AQ$23:AQ$30,$E2812)</f>
        <v/>
      </c>
      <c r="AR2812" s="35">
        <f>INDEX(AR$263:AR$279,$F2812)*$D2812*INDEX(AR$23:AR$30,$E2812)</f>
        <v/>
      </c>
      <c r="AS2812" s="35">
        <f>INDEX(AS$263:AS$279,$F2812)*$D2812*INDEX(AS$23:AS$30,$E2812)</f>
        <v/>
      </c>
      <c r="AT2812" s="35">
        <f>INDEX(AT$263:AT$279,$F2812)*$D2812*INDEX(AT$23:AT$30,$E2812)</f>
        <v/>
      </c>
      <c r="AU2812" s="35">
        <f>INDEX(AU$263:AU$279,$F2812)*$D2812*INDEX(AU$23:AU$30,$E2812)</f>
        <v/>
      </c>
      <c r="AV2812" s="35">
        <f>INDEX(AV$263:AV$279,$F2812)*$D2812*INDEX(AV$23:AV$30,$E2812)</f>
        <v/>
      </c>
      <c r="AW2812" s="35">
        <f>INDEX(AW$263:AW$279,$F2812)*$D2812*INDEX(AW$23:AW$30,$E2812)</f>
        <v/>
      </c>
      <c r="AX2812" s="35">
        <f>INDEX(AX$263:AX$279,$F2812)*$D2812*INDEX(AX$23:AX$30,$E2812)</f>
        <v/>
      </c>
      <c r="AY2812" s="35">
        <f>INDEX(AY$263:AY$279,$F2812)*$D2812*INDEX(AY$23:AY$30,$E2812)</f>
        <v/>
      </c>
      <c r="AZ2812" s="35">
        <f>INDEX(AZ$263:AZ$279,$F2812)*$D2812*INDEX(AZ$23:AZ$30,$E2812)</f>
        <v/>
      </c>
      <c r="BA2812" s="42">
        <f>CARBONTAX(INDEX(BA$263:BA$279,$F2812),$D2812,INDEX(BA$23:BA$30,$E2812))</f>
        <v/>
      </c>
    </row>
    <row r="2813" hidden="1" outlineLevel="2"/>
    <row r="2814" hidden="1" outlineLevel="2">
      <c r="A2814" s="14" t="inlineStr">
        <is>
          <t>ets</t>
        </is>
      </c>
      <c r="B2814" s="14" t="inlineStr">
        <is>
          <t>coa</t>
        </is>
      </c>
      <c r="C2814" s="14" t="inlineStr">
        <is>
          <t>ftr</t>
        </is>
      </c>
      <c r="D2814" s="35">
        <f>INDEX(Inputs!$W$5:$W$132,MATCH($B2814&amp;"|"&amp;$C2814,Inputs!$A$5:$A$132,0))</f>
        <v/>
      </c>
      <c r="E2814" s="35">
        <f>INDEX(Inputs!$M$5:$M$132,MATCH($B2814&amp;"|"&amp;$C2814,Inputs!$A$5:$A$132,0))</f>
        <v/>
      </c>
      <c r="F2814" s="39" t="n"/>
      <c r="G2814" s="39" t="n"/>
      <c r="H2814" s="14">
        <f>INDEX(VarLab,MATCH($A2814,VarKey,0))&amp;INDEX(MemLab,MATCH($C2814&amp;"|"&amp;$B2814,MemKey,0))</f>
        <v/>
      </c>
      <c r="I2814" s="14">
        <f>INDEX(VarUnit,MATCH($A2814,VarKey,0))</f>
        <v/>
      </c>
      <c r="J2814" s="14">
        <f>INDEX(VarSrc,MATCH($A2814,VarKey,0))</f>
        <v/>
      </c>
      <c r="K2814" s="11">
        <f>CodePrefix&amp;$A2814&amp;IF($C2814="","","."&amp;$C2814&amp;"."&amp;$B2814)&amp;INDEX(VarEnd,MATCH($A2814,VarKey,0))&amp;K$5</f>
        <v/>
      </c>
      <c r="L2814" s="40">
        <f>INDEX(L$280:L$296,$E2814)*$D2814</f>
        <v/>
      </c>
      <c r="M2814" s="35">
        <f>INDEX(M$280:M$296,$E2814)*$D2814</f>
        <v/>
      </c>
      <c r="N2814" s="35">
        <f>INDEX(N$280:N$296,$E2814)*$D2814</f>
        <v/>
      </c>
      <c r="O2814" s="35">
        <f>INDEX(O$280:O$296,$E2814)*$D2814</f>
        <v/>
      </c>
      <c r="P2814" s="35">
        <f>INDEX(P$280:P$296,$E2814)*$D2814</f>
        <v/>
      </c>
      <c r="Q2814" s="35">
        <f>INDEX(Q$280:Q$296,$E2814)*$D2814</f>
        <v/>
      </c>
      <c r="R2814" s="35">
        <f>INDEX(R$280:R$296,$E2814)*$D2814</f>
        <v/>
      </c>
      <c r="S2814" s="35">
        <f>INDEX(S$280:S$296,$E2814)*$D2814</f>
        <v/>
      </c>
      <c r="T2814" s="35">
        <f>INDEX(T$280:T$296,$E2814)*$D2814</f>
        <v/>
      </c>
      <c r="U2814" s="35">
        <f>INDEX(U$280:U$296,$E2814)*$D2814</f>
        <v/>
      </c>
      <c r="V2814" s="35">
        <f>INDEX(V$280:V$296,$E2814)*$D2814</f>
        <v/>
      </c>
      <c r="W2814" s="35">
        <f>INDEX(W$280:W$296,$E2814)*$D2814</f>
        <v/>
      </c>
      <c r="X2814" s="35">
        <f>INDEX(X$280:X$296,$E2814)*$D2814</f>
        <v/>
      </c>
      <c r="Y2814" s="35">
        <f>INDEX(Y$280:Y$296,$E2814)*$D2814</f>
        <v/>
      </c>
      <c r="Z2814" s="35">
        <f>INDEX(Z$280:Z$296,$E2814)*$D2814</f>
        <v/>
      </c>
      <c r="AA2814" s="35">
        <f>INDEX(AA$280:AA$296,$E2814)*$D2814</f>
        <v/>
      </c>
      <c r="AB2814" s="35">
        <f>INDEX(AB$280:AB$296,$E2814)*$D2814</f>
        <v/>
      </c>
      <c r="AC2814" s="35">
        <f>INDEX(AC$280:AC$296,$E2814)*$D2814</f>
        <v/>
      </c>
      <c r="AD2814" s="35">
        <f>INDEX(AD$280:AD$296,$E2814)*$D2814</f>
        <v/>
      </c>
      <c r="AE2814" s="42">
        <f>ETSCOST(INDEX(AE$280:AE$296,$E2814),$D2814)</f>
        <v/>
      </c>
      <c r="AG2814" s="11">
        <f>CodePrefix&amp;$A2814&amp;IF($C2814="","","."&amp;$C2814&amp;"."&amp;$B2814)&amp;INDEX(VarEnd,MATCH($A2814,VarKey,0))&amp;AG$5</f>
        <v/>
      </c>
      <c r="AH2814" s="40">
        <f>INDEX(AH$280:AH$296,$E2814)*$D2814</f>
        <v/>
      </c>
      <c r="AI2814" s="35">
        <f>INDEX(AI$280:AI$296,$E2814)*$D2814</f>
        <v/>
      </c>
      <c r="AJ2814" s="35">
        <f>INDEX(AJ$280:AJ$296,$E2814)*$D2814</f>
        <v/>
      </c>
      <c r="AK2814" s="35">
        <f>INDEX(AK$280:AK$296,$E2814)*$D2814</f>
        <v/>
      </c>
      <c r="AL2814" s="35">
        <f>INDEX(AL$280:AL$296,$E2814)*$D2814</f>
        <v/>
      </c>
      <c r="AM2814" s="35">
        <f>INDEX(AM$280:AM$296,$E2814)*$D2814</f>
        <v/>
      </c>
      <c r="AN2814" s="35">
        <f>INDEX(AN$280:AN$296,$E2814)*$D2814</f>
        <v/>
      </c>
      <c r="AO2814" s="35">
        <f>INDEX(AO$280:AO$296,$E2814)*$D2814</f>
        <v/>
      </c>
      <c r="AP2814" s="35">
        <f>INDEX(AP$280:AP$296,$E2814)*$D2814</f>
        <v/>
      </c>
      <c r="AQ2814" s="35">
        <f>INDEX(AQ$280:AQ$296,$E2814)*$D2814</f>
        <v/>
      </c>
      <c r="AR2814" s="35">
        <f>INDEX(AR$280:AR$296,$E2814)*$D2814</f>
        <v/>
      </c>
      <c r="AS2814" s="35">
        <f>INDEX(AS$280:AS$296,$E2814)*$D2814</f>
        <v/>
      </c>
      <c r="AT2814" s="35">
        <f>INDEX(AT$280:AT$296,$E2814)*$D2814</f>
        <v/>
      </c>
      <c r="AU2814" s="35">
        <f>INDEX(AU$280:AU$296,$E2814)*$D2814</f>
        <v/>
      </c>
      <c r="AV2814" s="35">
        <f>INDEX(AV$280:AV$296,$E2814)*$D2814</f>
        <v/>
      </c>
      <c r="AW2814" s="35">
        <f>INDEX(AW$280:AW$296,$E2814)*$D2814</f>
        <v/>
      </c>
      <c r="AX2814" s="35">
        <f>INDEX(AX$280:AX$296,$E2814)*$D2814</f>
        <v/>
      </c>
      <c r="AY2814" s="35">
        <f>INDEX(AY$280:AY$296,$E2814)*$D2814</f>
        <v/>
      </c>
      <c r="AZ2814" s="35">
        <f>INDEX(AZ$280:AZ$296,$E2814)*$D2814</f>
        <v/>
      </c>
      <c r="BA2814" s="42">
        <f>ETSCOST(INDEX(BA$280:BA$296,$E2814),$D2814)</f>
        <v/>
      </c>
    </row>
    <row r="2815" hidden="1" outlineLevel="2">
      <c r="A2815" s="14" t="inlineStr">
        <is>
          <t>ets</t>
        </is>
      </c>
      <c r="B2815" s="14" t="inlineStr">
        <is>
          <t>nga</t>
        </is>
      </c>
      <c r="C2815" s="14" t="inlineStr">
        <is>
          <t>ftr</t>
        </is>
      </c>
      <c r="D2815" s="35">
        <f>INDEX(Inputs!$W$5:$W$132,MATCH($B2815&amp;"|"&amp;$C2815,Inputs!$A$5:$A$132,0))</f>
        <v/>
      </c>
      <c r="E2815" s="35">
        <f>INDEX(Inputs!$M$5:$M$132,MATCH($B2815&amp;"|"&amp;$C2815,Inputs!$A$5:$A$132,0))</f>
        <v/>
      </c>
      <c r="F2815" s="39" t="n"/>
      <c r="G2815" s="39" t="n"/>
      <c r="H2815" s="14">
        <f>INDEX(VarLab,MATCH($A2815,VarKey,0))&amp;INDEX(MemLab,MATCH($C2815&amp;"|"&amp;$B2815,MemKey,0))</f>
        <v/>
      </c>
      <c r="I2815" s="14">
        <f>INDEX(VarUnit,MATCH($A2815,VarKey,0))</f>
        <v/>
      </c>
      <c r="J2815" s="14">
        <f>INDEX(VarSrc,MATCH($A2815,VarKey,0))</f>
        <v/>
      </c>
      <c r="K2815" s="11">
        <f>CodePrefix&amp;$A2815&amp;IF($C2815="","","."&amp;$C2815&amp;"."&amp;$B2815)&amp;INDEX(VarEnd,MATCH($A2815,VarKey,0))&amp;K$5</f>
        <v/>
      </c>
      <c r="L2815" s="40">
        <f>INDEX(L$280:L$296,$E2815)*$D2815</f>
        <v/>
      </c>
      <c r="M2815" s="35">
        <f>INDEX(M$280:M$296,$E2815)*$D2815</f>
        <v/>
      </c>
      <c r="N2815" s="35">
        <f>INDEX(N$280:N$296,$E2815)*$D2815</f>
        <v/>
      </c>
      <c r="O2815" s="35">
        <f>INDEX(O$280:O$296,$E2815)*$D2815</f>
        <v/>
      </c>
      <c r="P2815" s="35">
        <f>INDEX(P$280:P$296,$E2815)*$D2815</f>
        <v/>
      </c>
      <c r="Q2815" s="35">
        <f>INDEX(Q$280:Q$296,$E2815)*$D2815</f>
        <v/>
      </c>
      <c r="R2815" s="35">
        <f>INDEX(R$280:R$296,$E2815)*$D2815</f>
        <v/>
      </c>
      <c r="S2815" s="35">
        <f>INDEX(S$280:S$296,$E2815)*$D2815</f>
        <v/>
      </c>
      <c r="T2815" s="35">
        <f>INDEX(T$280:T$296,$E2815)*$D2815</f>
        <v/>
      </c>
      <c r="U2815" s="35">
        <f>INDEX(U$280:U$296,$E2815)*$D2815</f>
        <v/>
      </c>
      <c r="V2815" s="35">
        <f>INDEX(V$280:V$296,$E2815)*$D2815</f>
        <v/>
      </c>
      <c r="W2815" s="35">
        <f>INDEX(W$280:W$296,$E2815)*$D2815</f>
        <v/>
      </c>
      <c r="X2815" s="35">
        <f>INDEX(X$280:X$296,$E2815)*$D2815</f>
        <v/>
      </c>
      <c r="Y2815" s="35">
        <f>INDEX(Y$280:Y$296,$E2815)*$D2815</f>
        <v/>
      </c>
      <c r="Z2815" s="35">
        <f>INDEX(Z$280:Z$296,$E2815)*$D2815</f>
        <v/>
      </c>
      <c r="AA2815" s="35">
        <f>INDEX(AA$280:AA$296,$E2815)*$D2815</f>
        <v/>
      </c>
      <c r="AB2815" s="35">
        <f>INDEX(AB$280:AB$296,$E2815)*$D2815</f>
        <v/>
      </c>
      <c r="AC2815" s="35">
        <f>INDEX(AC$280:AC$296,$E2815)*$D2815</f>
        <v/>
      </c>
      <c r="AD2815" s="35">
        <f>INDEX(AD$280:AD$296,$E2815)*$D2815</f>
        <v/>
      </c>
      <c r="AE2815" s="42">
        <f>ETSCOST(INDEX(AE$280:AE$296,$E2815),$D2815)</f>
        <v/>
      </c>
      <c r="AG2815" s="11">
        <f>CodePrefix&amp;$A2815&amp;IF($C2815="","","."&amp;$C2815&amp;"."&amp;$B2815)&amp;INDEX(VarEnd,MATCH($A2815,VarKey,0))&amp;AG$5</f>
        <v/>
      </c>
      <c r="AH2815" s="40">
        <f>INDEX(AH$280:AH$296,$E2815)*$D2815</f>
        <v/>
      </c>
      <c r="AI2815" s="35">
        <f>INDEX(AI$280:AI$296,$E2815)*$D2815</f>
        <v/>
      </c>
      <c r="AJ2815" s="35">
        <f>INDEX(AJ$280:AJ$296,$E2815)*$D2815</f>
        <v/>
      </c>
      <c r="AK2815" s="35">
        <f>INDEX(AK$280:AK$296,$E2815)*$D2815</f>
        <v/>
      </c>
      <c r="AL2815" s="35">
        <f>INDEX(AL$280:AL$296,$E2815)*$D2815</f>
        <v/>
      </c>
      <c r="AM2815" s="35">
        <f>INDEX(AM$280:AM$296,$E2815)*$D2815</f>
        <v/>
      </c>
      <c r="AN2815" s="35">
        <f>INDEX(AN$280:AN$296,$E2815)*$D2815</f>
        <v/>
      </c>
      <c r="AO2815" s="35">
        <f>INDEX(AO$280:AO$296,$E2815)*$D2815</f>
        <v/>
      </c>
      <c r="AP2815" s="35">
        <f>INDEX(AP$280:AP$296,$E2815)*$D2815</f>
        <v/>
      </c>
      <c r="AQ2815" s="35">
        <f>INDEX(AQ$280:AQ$296,$E2815)*$D2815</f>
        <v/>
      </c>
      <c r="AR2815" s="35">
        <f>INDEX(AR$280:AR$296,$E2815)*$D2815</f>
        <v/>
      </c>
      <c r="AS2815" s="35">
        <f>INDEX(AS$280:AS$296,$E2815)*$D2815</f>
        <v/>
      </c>
      <c r="AT2815" s="35">
        <f>INDEX(AT$280:AT$296,$E2815)*$D2815</f>
        <v/>
      </c>
      <c r="AU2815" s="35">
        <f>INDEX(AU$280:AU$296,$E2815)*$D2815</f>
        <v/>
      </c>
      <c r="AV2815" s="35">
        <f>INDEX(AV$280:AV$296,$E2815)*$D2815</f>
        <v/>
      </c>
      <c r="AW2815" s="35">
        <f>INDEX(AW$280:AW$296,$E2815)*$D2815</f>
        <v/>
      </c>
      <c r="AX2815" s="35">
        <f>INDEX(AX$280:AX$296,$E2815)*$D2815</f>
        <v/>
      </c>
      <c r="AY2815" s="35">
        <f>INDEX(AY$280:AY$296,$E2815)*$D2815</f>
        <v/>
      </c>
      <c r="AZ2815" s="35">
        <f>INDEX(AZ$280:AZ$296,$E2815)*$D2815</f>
        <v/>
      </c>
      <c r="BA2815" s="42">
        <f>ETSCOST(INDEX(BA$280:BA$296,$E2815),$D2815)</f>
        <v/>
      </c>
    </row>
    <row r="2816" hidden="1" outlineLevel="2">
      <c r="A2816" s="14" t="inlineStr">
        <is>
          <t>ets</t>
        </is>
      </c>
      <c r="B2816" s="14" t="inlineStr">
        <is>
          <t>gso</t>
        </is>
      </c>
      <c r="C2816" s="14" t="inlineStr">
        <is>
          <t>ftr</t>
        </is>
      </c>
      <c r="D2816" s="35">
        <f>INDEX(Inputs!$W$5:$W$132,MATCH($B2816&amp;"|"&amp;$C2816,Inputs!$A$5:$A$132,0))</f>
        <v/>
      </c>
      <c r="E2816" s="35">
        <f>INDEX(Inputs!$M$5:$M$132,MATCH($B2816&amp;"|"&amp;$C2816,Inputs!$A$5:$A$132,0))</f>
        <v/>
      </c>
      <c r="F2816" s="39" t="n"/>
      <c r="G2816" s="39" t="n"/>
      <c r="H2816" s="14">
        <f>INDEX(VarLab,MATCH($A2816,VarKey,0))&amp;INDEX(MemLab,MATCH($C2816&amp;"|"&amp;$B2816,MemKey,0))</f>
        <v/>
      </c>
      <c r="I2816" s="14">
        <f>INDEX(VarUnit,MATCH($A2816,VarKey,0))</f>
        <v/>
      </c>
      <c r="J2816" s="14">
        <f>INDEX(VarSrc,MATCH($A2816,VarKey,0))</f>
        <v/>
      </c>
      <c r="K2816" s="11">
        <f>CodePrefix&amp;$A2816&amp;IF($C2816="","","."&amp;$C2816&amp;"."&amp;$B2816)&amp;INDEX(VarEnd,MATCH($A2816,VarKey,0))&amp;K$5</f>
        <v/>
      </c>
      <c r="L2816" s="40">
        <f>INDEX(L$280:L$296,$E2816)*$D2816</f>
        <v/>
      </c>
      <c r="M2816" s="35">
        <f>INDEX(M$280:M$296,$E2816)*$D2816</f>
        <v/>
      </c>
      <c r="N2816" s="35">
        <f>INDEX(N$280:N$296,$E2816)*$D2816</f>
        <v/>
      </c>
      <c r="O2816" s="35">
        <f>INDEX(O$280:O$296,$E2816)*$D2816</f>
        <v/>
      </c>
      <c r="P2816" s="35">
        <f>INDEX(P$280:P$296,$E2816)*$D2816</f>
        <v/>
      </c>
      <c r="Q2816" s="35">
        <f>INDEX(Q$280:Q$296,$E2816)*$D2816</f>
        <v/>
      </c>
      <c r="R2816" s="35">
        <f>INDEX(R$280:R$296,$E2816)*$D2816</f>
        <v/>
      </c>
      <c r="S2816" s="35">
        <f>INDEX(S$280:S$296,$E2816)*$D2816</f>
        <v/>
      </c>
      <c r="T2816" s="35">
        <f>INDEX(T$280:T$296,$E2816)*$D2816</f>
        <v/>
      </c>
      <c r="U2816" s="35">
        <f>INDEX(U$280:U$296,$E2816)*$D2816</f>
        <v/>
      </c>
      <c r="V2816" s="35">
        <f>INDEX(V$280:V$296,$E2816)*$D2816</f>
        <v/>
      </c>
      <c r="W2816" s="35">
        <f>INDEX(W$280:W$296,$E2816)*$D2816</f>
        <v/>
      </c>
      <c r="X2816" s="35">
        <f>INDEX(X$280:X$296,$E2816)*$D2816</f>
        <v/>
      </c>
      <c r="Y2816" s="35">
        <f>INDEX(Y$280:Y$296,$E2816)*$D2816</f>
        <v/>
      </c>
      <c r="Z2816" s="35">
        <f>INDEX(Z$280:Z$296,$E2816)*$D2816</f>
        <v/>
      </c>
      <c r="AA2816" s="35">
        <f>INDEX(AA$280:AA$296,$E2816)*$D2816</f>
        <v/>
      </c>
      <c r="AB2816" s="35">
        <f>INDEX(AB$280:AB$296,$E2816)*$D2816</f>
        <v/>
      </c>
      <c r="AC2816" s="35">
        <f>INDEX(AC$280:AC$296,$E2816)*$D2816</f>
        <v/>
      </c>
      <c r="AD2816" s="35">
        <f>INDEX(AD$280:AD$296,$E2816)*$D2816</f>
        <v/>
      </c>
      <c r="AE2816" s="42">
        <f>ETSCOST(INDEX(AE$280:AE$296,$E2816),$D2816)</f>
        <v/>
      </c>
      <c r="AG2816" s="11">
        <f>CodePrefix&amp;$A2816&amp;IF($C2816="","","."&amp;$C2816&amp;"."&amp;$B2816)&amp;INDEX(VarEnd,MATCH($A2816,VarKey,0))&amp;AG$5</f>
        <v/>
      </c>
      <c r="AH2816" s="40">
        <f>INDEX(AH$280:AH$296,$E2816)*$D2816</f>
        <v/>
      </c>
      <c r="AI2816" s="35">
        <f>INDEX(AI$280:AI$296,$E2816)*$D2816</f>
        <v/>
      </c>
      <c r="AJ2816" s="35">
        <f>INDEX(AJ$280:AJ$296,$E2816)*$D2816</f>
        <v/>
      </c>
      <c r="AK2816" s="35">
        <f>INDEX(AK$280:AK$296,$E2816)*$D2816</f>
        <v/>
      </c>
      <c r="AL2816" s="35">
        <f>INDEX(AL$280:AL$296,$E2816)*$D2816</f>
        <v/>
      </c>
      <c r="AM2816" s="35">
        <f>INDEX(AM$280:AM$296,$E2816)*$D2816</f>
        <v/>
      </c>
      <c r="AN2816" s="35">
        <f>INDEX(AN$280:AN$296,$E2816)*$D2816</f>
        <v/>
      </c>
      <c r="AO2816" s="35">
        <f>INDEX(AO$280:AO$296,$E2816)*$D2816</f>
        <v/>
      </c>
      <c r="AP2816" s="35">
        <f>INDEX(AP$280:AP$296,$E2816)*$D2816</f>
        <v/>
      </c>
      <c r="AQ2816" s="35">
        <f>INDEX(AQ$280:AQ$296,$E2816)*$D2816</f>
        <v/>
      </c>
      <c r="AR2816" s="35">
        <f>INDEX(AR$280:AR$296,$E2816)*$D2816</f>
        <v/>
      </c>
      <c r="AS2816" s="35">
        <f>INDEX(AS$280:AS$296,$E2816)*$D2816</f>
        <v/>
      </c>
      <c r="AT2816" s="35">
        <f>INDEX(AT$280:AT$296,$E2816)*$D2816</f>
        <v/>
      </c>
      <c r="AU2816" s="35">
        <f>INDEX(AU$280:AU$296,$E2816)*$D2816</f>
        <v/>
      </c>
      <c r="AV2816" s="35">
        <f>INDEX(AV$280:AV$296,$E2816)*$D2816</f>
        <v/>
      </c>
      <c r="AW2816" s="35">
        <f>INDEX(AW$280:AW$296,$E2816)*$D2816</f>
        <v/>
      </c>
      <c r="AX2816" s="35">
        <f>INDEX(AX$280:AX$296,$E2816)*$D2816</f>
        <v/>
      </c>
      <c r="AY2816" s="35">
        <f>INDEX(AY$280:AY$296,$E2816)*$D2816</f>
        <v/>
      </c>
      <c r="AZ2816" s="35">
        <f>INDEX(AZ$280:AZ$296,$E2816)*$D2816</f>
        <v/>
      </c>
      <c r="BA2816" s="42">
        <f>ETSCOST(INDEX(BA$280:BA$296,$E2816),$D2816)</f>
        <v/>
      </c>
    </row>
    <row r="2817" hidden="1" outlineLevel="2">
      <c r="A2817" s="14" t="inlineStr">
        <is>
          <t>ets</t>
        </is>
      </c>
      <c r="B2817" s="14" t="inlineStr">
        <is>
          <t>die</t>
        </is>
      </c>
      <c r="C2817" s="14" t="inlineStr">
        <is>
          <t>ftr</t>
        </is>
      </c>
      <c r="D2817" s="35">
        <f>INDEX(Inputs!$W$5:$W$132,MATCH($B2817&amp;"|"&amp;$C2817,Inputs!$A$5:$A$132,0))</f>
        <v/>
      </c>
      <c r="E2817" s="35">
        <f>INDEX(Inputs!$M$5:$M$132,MATCH($B2817&amp;"|"&amp;$C2817,Inputs!$A$5:$A$132,0))</f>
        <v/>
      </c>
      <c r="F2817" s="39" t="n"/>
      <c r="G2817" s="39" t="n"/>
      <c r="H2817" s="14">
        <f>INDEX(VarLab,MATCH($A2817,VarKey,0))&amp;INDEX(MemLab,MATCH($C2817&amp;"|"&amp;$B2817,MemKey,0))</f>
        <v/>
      </c>
      <c r="I2817" s="14">
        <f>INDEX(VarUnit,MATCH($A2817,VarKey,0))</f>
        <v/>
      </c>
      <c r="J2817" s="14">
        <f>INDEX(VarSrc,MATCH($A2817,VarKey,0))</f>
        <v/>
      </c>
      <c r="K2817" s="11">
        <f>CodePrefix&amp;$A2817&amp;IF($C2817="","","."&amp;$C2817&amp;"."&amp;$B2817)&amp;INDEX(VarEnd,MATCH($A2817,VarKey,0))&amp;K$5</f>
        <v/>
      </c>
      <c r="L2817" s="40">
        <f>INDEX(L$280:L$296,$E2817)*$D2817</f>
        <v/>
      </c>
      <c r="M2817" s="35">
        <f>INDEX(M$280:M$296,$E2817)*$D2817</f>
        <v/>
      </c>
      <c r="N2817" s="35">
        <f>INDEX(N$280:N$296,$E2817)*$D2817</f>
        <v/>
      </c>
      <c r="O2817" s="35">
        <f>INDEX(O$280:O$296,$E2817)*$D2817</f>
        <v/>
      </c>
      <c r="P2817" s="35">
        <f>INDEX(P$280:P$296,$E2817)*$D2817</f>
        <v/>
      </c>
      <c r="Q2817" s="35">
        <f>INDEX(Q$280:Q$296,$E2817)*$D2817</f>
        <v/>
      </c>
      <c r="R2817" s="35">
        <f>INDEX(R$280:R$296,$E2817)*$D2817</f>
        <v/>
      </c>
      <c r="S2817" s="35">
        <f>INDEX(S$280:S$296,$E2817)*$D2817</f>
        <v/>
      </c>
      <c r="T2817" s="35">
        <f>INDEX(T$280:T$296,$E2817)*$D2817</f>
        <v/>
      </c>
      <c r="U2817" s="35">
        <f>INDEX(U$280:U$296,$E2817)*$D2817</f>
        <v/>
      </c>
      <c r="V2817" s="35">
        <f>INDEX(V$280:V$296,$E2817)*$D2817</f>
        <v/>
      </c>
      <c r="W2817" s="35">
        <f>INDEX(W$280:W$296,$E2817)*$D2817</f>
        <v/>
      </c>
      <c r="X2817" s="35">
        <f>INDEX(X$280:X$296,$E2817)*$D2817</f>
        <v/>
      </c>
      <c r="Y2817" s="35">
        <f>INDEX(Y$280:Y$296,$E2817)*$D2817</f>
        <v/>
      </c>
      <c r="Z2817" s="35">
        <f>INDEX(Z$280:Z$296,$E2817)*$D2817</f>
        <v/>
      </c>
      <c r="AA2817" s="35">
        <f>INDEX(AA$280:AA$296,$E2817)*$D2817</f>
        <v/>
      </c>
      <c r="AB2817" s="35">
        <f>INDEX(AB$280:AB$296,$E2817)*$D2817</f>
        <v/>
      </c>
      <c r="AC2817" s="35">
        <f>INDEX(AC$280:AC$296,$E2817)*$D2817</f>
        <v/>
      </c>
      <c r="AD2817" s="35">
        <f>INDEX(AD$280:AD$296,$E2817)*$D2817</f>
        <v/>
      </c>
      <c r="AE2817" s="42">
        <f>ETSCOST(INDEX(AE$280:AE$296,$E2817),$D2817)</f>
        <v/>
      </c>
      <c r="AG2817" s="11">
        <f>CodePrefix&amp;$A2817&amp;IF($C2817="","","."&amp;$C2817&amp;"."&amp;$B2817)&amp;INDEX(VarEnd,MATCH($A2817,VarKey,0))&amp;AG$5</f>
        <v/>
      </c>
      <c r="AH2817" s="40">
        <f>INDEX(AH$280:AH$296,$E2817)*$D2817</f>
        <v/>
      </c>
      <c r="AI2817" s="35">
        <f>INDEX(AI$280:AI$296,$E2817)*$D2817</f>
        <v/>
      </c>
      <c r="AJ2817" s="35">
        <f>INDEX(AJ$280:AJ$296,$E2817)*$D2817</f>
        <v/>
      </c>
      <c r="AK2817" s="35">
        <f>INDEX(AK$280:AK$296,$E2817)*$D2817</f>
        <v/>
      </c>
      <c r="AL2817" s="35">
        <f>INDEX(AL$280:AL$296,$E2817)*$D2817</f>
        <v/>
      </c>
      <c r="AM2817" s="35">
        <f>INDEX(AM$280:AM$296,$E2817)*$D2817</f>
        <v/>
      </c>
      <c r="AN2817" s="35">
        <f>INDEX(AN$280:AN$296,$E2817)*$D2817</f>
        <v/>
      </c>
      <c r="AO2817" s="35">
        <f>INDEX(AO$280:AO$296,$E2817)*$D2817</f>
        <v/>
      </c>
      <c r="AP2817" s="35">
        <f>INDEX(AP$280:AP$296,$E2817)*$D2817</f>
        <v/>
      </c>
      <c r="AQ2817" s="35">
        <f>INDEX(AQ$280:AQ$296,$E2817)*$D2817</f>
        <v/>
      </c>
      <c r="AR2817" s="35">
        <f>INDEX(AR$280:AR$296,$E2817)*$D2817</f>
        <v/>
      </c>
      <c r="AS2817" s="35">
        <f>INDEX(AS$280:AS$296,$E2817)*$D2817</f>
        <v/>
      </c>
      <c r="AT2817" s="35">
        <f>INDEX(AT$280:AT$296,$E2817)*$D2817</f>
        <v/>
      </c>
      <c r="AU2817" s="35">
        <f>INDEX(AU$280:AU$296,$E2817)*$D2817</f>
        <v/>
      </c>
      <c r="AV2817" s="35">
        <f>INDEX(AV$280:AV$296,$E2817)*$D2817</f>
        <v/>
      </c>
      <c r="AW2817" s="35">
        <f>INDEX(AW$280:AW$296,$E2817)*$D2817</f>
        <v/>
      </c>
      <c r="AX2817" s="35">
        <f>INDEX(AX$280:AX$296,$E2817)*$D2817</f>
        <v/>
      </c>
      <c r="AY2817" s="35">
        <f>INDEX(AY$280:AY$296,$E2817)*$D2817</f>
        <v/>
      </c>
      <c r="AZ2817" s="35">
        <f>INDEX(AZ$280:AZ$296,$E2817)*$D2817</f>
        <v/>
      </c>
      <c r="BA2817" s="42">
        <f>ETSCOST(INDEX(BA$280:BA$296,$E2817),$D2817)</f>
        <v/>
      </c>
    </row>
    <row r="2818" hidden="1" outlineLevel="2">
      <c r="A2818" s="14" t="inlineStr">
        <is>
          <t>ets</t>
        </is>
      </c>
      <c r="B2818" s="14" t="inlineStr">
        <is>
          <t>lpg</t>
        </is>
      </c>
      <c r="C2818" s="14" t="inlineStr">
        <is>
          <t>ftr</t>
        </is>
      </c>
      <c r="D2818" s="35">
        <f>INDEX(Inputs!$W$5:$W$132,MATCH($B2818&amp;"|"&amp;$C2818,Inputs!$A$5:$A$132,0))</f>
        <v/>
      </c>
      <c r="E2818" s="35">
        <f>INDEX(Inputs!$M$5:$M$132,MATCH($B2818&amp;"|"&amp;$C2818,Inputs!$A$5:$A$132,0))</f>
        <v/>
      </c>
      <c r="F2818" s="39" t="n"/>
      <c r="G2818" s="39" t="n"/>
      <c r="H2818" s="14">
        <f>INDEX(VarLab,MATCH($A2818,VarKey,0))&amp;INDEX(MemLab,MATCH($C2818&amp;"|"&amp;$B2818,MemKey,0))</f>
        <v/>
      </c>
      <c r="I2818" s="14">
        <f>INDEX(VarUnit,MATCH($A2818,VarKey,0))</f>
        <v/>
      </c>
      <c r="J2818" s="14">
        <f>INDEX(VarSrc,MATCH($A2818,VarKey,0))</f>
        <v/>
      </c>
      <c r="K2818" s="11">
        <f>CodePrefix&amp;$A2818&amp;IF($C2818="","","."&amp;$C2818&amp;"."&amp;$B2818)&amp;INDEX(VarEnd,MATCH($A2818,VarKey,0))&amp;K$5</f>
        <v/>
      </c>
      <c r="L2818" s="40">
        <f>INDEX(L$280:L$296,$E2818)*$D2818</f>
        <v/>
      </c>
      <c r="M2818" s="35">
        <f>INDEX(M$280:M$296,$E2818)*$D2818</f>
        <v/>
      </c>
      <c r="N2818" s="35">
        <f>INDEX(N$280:N$296,$E2818)*$D2818</f>
        <v/>
      </c>
      <c r="O2818" s="35">
        <f>INDEX(O$280:O$296,$E2818)*$D2818</f>
        <v/>
      </c>
      <c r="P2818" s="35">
        <f>INDEX(P$280:P$296,$E2818)*$D2818</f>
        <v/>
      </c>
      <c r="Q2818" s="35">
        <f>INDEX(Q$280:Q$296,$E2818)*$D2818</f>
        <v/>
      </c>
      <c r="R2818" s="35">
        <f>INDEX(R$280:R$296,$E2818)*$D2818</f>
        <v/>
      </c>
      <c r="S2818" s="35">
        <f>INDEX(S$280:S$296,$E2818)*$D2818</f>
        <v/>
      </c>
      <c r="T2818" s="35">
        <f>INDEX(T$280:T$296,$E2818)*$D2818</f>
        <v/>
      </c>
      <c r="U2818" s="35">
        <f>INDEX(U$280:U$296,$E2818)*$D2818</f>
        <v/>
      </c>
      <c r="V2818" s="35">
        <f>INDEX(V$280:V$296,$E2818)*$D2818</f>
        <v/>
      </c>
      <c r="W2818" s="35">
        <f>INDEX(W$280:W$296,$E2818)*$D2818</f>
        <v/>
      </c>
      <c r="X2818" s="35">
        <f>INDEX(X$280:X$296,$E2818)*$D2818</f>
        <v/>
      </c>
      <c r="Y2818" s="35">
        <f>INDEX(Y$280:Y$296,$E2818)*$D2818</f>
        <v/>
      </c>
      <c r="Z2818" s="35">
        <f>INDEX(Z$280:Z$296,$E2818)*$D2818</f>
        <v/>
      </c>
      <c r="AA2818" s="35">
        <f>INDEX(AA$280:AA$296,$E2818)*$D2818</f>
        <v/>
      </c>
      <c r="AB2818" s="35">
        <f>INDEX(AB$280:AB$296,$E2818)*$D2818</f>
        <v/>
      </c>
      <c r="AC2818" s="35">
        <f>INDEX(AC$280:AC$296,$E2818)*$D2818</f>
        <v/>
      </c>
      <c r="AD2818" s="35">
        <f>INDEX(AD$280:AD$296,$E2818)*$D2818</f>
        <v/>
      </c>
      <c r="AE2818" s="42">
        <f>ETSCOST(INDEX(AE$280:AE$296,$E2818),$D2818)</f>
        <v/>
      </c>
      <c r="AG2818" s="11">
        <f>CodePrefix&amp;$A2818&amp;IF($C2818="","","."&amp;$C2818&amp;"."&amp;$B2818)&amp;INDEX(VarEnd,MATCH($A2818,VarKey,0))&amp;AG$5</f>
        <v/>
      </c>
      <c r="AH2818" s="40">
        <f>INDEX(AH$280:AH$296,$E2818)*$D2818</f>
        <v/>
      </c>
      <c r="AI2818" s="35">
        <f>INDEX(AI$280:AI$296,$E2818)*$D2818</f>
        <v/>
      </c>
      <c r="AJ2818" s="35">
        <f>INDEX(AJ$280:AJ$296,$E2818)*$D2818</f>
        <v/>
      </c>
      <c r="AK2818" s="35">
        <f>INDEX(AK$280:AK$296,$E2818)*$D2818</f>
        <v/>
      </c>
      <c r="AL2818" s="35">
        <f>INDEX(AL$280:AL$296,$E2818)*$D2818</f>
        <v/>
      </c>
      <c r="AM2818" s="35">
        <f>INDEX(AM$280:AM$296,$E2818)*$D2818</f>
        <v/>
      </c>
      <c r="AN2818" s="35">
        <f>INDEX(AN$280:AN$296,$E2818)*$D2818</f>
        <v/>
      </c>
      <c r="AO2818" s="35">
        <f>INDEX(AO$280:AO$296,$E2818)*$D2818</f>
        <v/>
      </c>
      <c r="AP2818" s="35">
        <f>INDEX(AP$280:AP$296,$E2818)*$D2818</f>
        <v/>
      </c>
      <c r="AQ2818" s="35">
        <f>INDEX(AQ$280:AQ$296,$E2818)*$D2818</f>
        <v/>
      </c>
      <c r="AR2818" s="35">
        <f>INDEX(AR$280:AR$296,$E2818)*$D2818</f>
        <v/>
      </c>
      <c r="AS2818" s="35">
        <f>INDEX(AS$280:AS$296,$E2818)*$D2818</f>
        <v/>
      </c>
      <c r="AT2818" s="35">
        <f>INDEX(AT$280:AT$296,$E2818)*$D2818</f>
        <v/>
      </c>
      <c r="AU2818" s="35">
        <f>INDEX(AU$280:AU$296,$E2818)*$D2818</f>
        <v/>
      </c>
      <c r="AV2818" s="35">
        <f>INDEX(AV$280:AV$296,$E2818)*$D2818</f>
        <v/>
      </c>
      <c r="AW2818" s="35">
        <f>INDEX(AW$280:AW$296,$E2818)*$D2818</f>
        <v/>
      </c>
      <c r="AX2818" s="35">
        <f>INDEX(AX$280:AX$296,$E2818)*$D2818</f>
        <v/>
      </c>
      <c r="AY2818" s="35">
        <f>INDEX(AY$280:AY$296,$E2818)*$D2818</f>
        <v/>
      </c>
      <c r="AZ2818" s="35">
        <f>INDEX(AZ$280:AZ$296,$E2818)*$D2818</f>
        <v/>
      </c>
      <c r="BA2818" s="42">
        <f>ETSCOST(INDEX(BA$280:BA$296,$E2818),$D2818)</f>
        <v/>
      </c>
    </row>
    <row r="2819" hidden="1" outlineLevel="2">
      <c r="A2819" s="14" t="inlineStr">
        <is>
          <t>ets</t>
        </is>
      </c>
      <c r="B2819" s="14" t="inlineStr">
        <is>
          <t>ker</t>
        </is>
      </c>
      <c r="C2819" s="14" t="inlineStr">
        <is>
          <t>ftr</t>
        </is>
      </c>
      <c r="D2819" s="35">
        <f>INDEX(Inputs!$W$5:$W$132,MATCH($B2819&amp;"|"&amp;$C2819,Inputs!$A$5:$A$132,0))</f>
        <v/>
      </c>
      <c r="E2819" s="35">
        <f>INDEX(Inputs!$M$5:$M$132,MATCH($B2819&amp;"|"&amp;$C2819,Inputs!$A$5:$A$132,0))</f>
        <v/>
      </c>
      <c r="F2819" s="39" t="n"/>
      <c r="G2819" s="39" t="n"/>
      <c r="H2819" s="14">
        <f>INDEX(VarLab,MATCH($A2819,VarKey,0))&amp;INDEX(MemLab,MATCH($C2819&amp;"|"&amp;$B2819,MemKey,0))</f>
        <v/>
      </c>
      <c r="I2819" s="14">
        <f>INDEX(VarUnit,MATCH($A2819,VarKey,0))</f>
        <v/>
      </c>
      <c r="J2819" s="14">
        <f>INDEX(VarSrc,MATCH($A2819,VarKey,0))</f>
        <v/>
      </c>
      <c r="K2819" s="11">
        <f>CodePrefix&amp;$A2819&amp;IF($C2819="","","."&amp;$C2819&amp;"."&amp;$B2819)&amp;INDEX(VarEnd,MATCH($A2819,VarKey,0))&amp;K$5</f>
        <v/>
      </c>
      <c r="L2819" s="40">
        <f>INDEX(L$280:L$296,$E2819)*$D2819</f>
        <v/>
      </c>
      <c r="M2819" s="35">
        <f>INDEX(M$280:M$296,$E2819)*$D2819</f>
        <v/>
      </c>
      <c r="N2819" s="35">
        <f>INDEX(N$280:N$296,$E2819)*$D2819</f>
        <v/>
      </c>
      <c r="O2819" s="35">
        <f>INDEX(O$280:O$296,$E2819)*$D2819</f>
        <v/>
      </c>
      <c r="P2819" s="35">
        <f>INDEX(P$280:P$296,$E2819)*$D2819</f>
        <v/>
      </c>
      <c r="Q2819" s="35">
        <f>INDEX(Q$280:Q$296,$E2819)*$D2819</f>
        <v/>
      </c>
      <c r="R2819" s="35">
        <f>INDEX(R$280:R$296,$E2819)*$D2819</f>
        <v/>
      </c>
      <c r="S2819" s="35">
        <f>INDEX(S$280:S$296,$E2819)*$D2819</f>
        <v/>
      </c>
      <c r="T2819" s="35">
        <f>INDEX(T$280:T$296,$E2819)*$D2819</f>
        <v/>
      </c>
      <c r="U2819" s="35">
        <f>INDEX(U$280:U$296,$E2819)*$D2819</f>
        <v/>
      </c>
      <c r="V2819" s="35">
        <f>INDEX(V$280:V$296,$E2819)*$D2819</f>
        <v/>
      </c>
      <c r="W2819" s="35">
        <f>INDEX(W$280:W$296,$E2819)*$D2819</f>
        <v/>
      </c>
      <c r="X2819" s="35">
        <f>INDEX(X$280:X$296,$E2819)*$D2819</f>
        <v/>
      </c>
      <c r="Y2819" s="35">
        <f>INDEX(Y$280:Y$296,$E2819)*$D2819</f>
        <v/>
      </c>
      <c r="Z2819" s="35">
        <f>INDEX(Z$280:Z$296,$E2819)*$D2819</f>
        <v/>
      </c>
      <c r="AA2819" s="35">
        <f>INDEX(AA$280:AA$296,$E2819)*$D2819</f>
        <v/>
      </c>
      <c r="AB2819" s="35">
        <f>INDEX(AB$280:AB$296,$E2819)*$D2819</f>
        <v/>
      </c>
      <c r="AC2819" s="35">
        <f>INDEX(AC$280:AC$296,$E2819)*$D2819</f>
        <v/>
      </c>
      <c r="AD2819" s="35">
        <f>INDEX(AD$280:AD$296,$E2819)*$D2819</f>
        <v/>
      </c>
      <c r="AE2819" s="42">
        <f>ETSCOST(INDEX(AE$280:AE$296,$E2819),$D2819)</f>
        <v/>
      </c>
      <c r="AG2819" s="11">
        <f>CodePrefix&amp;$A2819&amp;IF($C2819="","","."&amp;$C2819&amp;"."&amp;$B2819)&amp;INDEX(VarEnd,MATCH($A2819,VarKey,0))&amp;AG$5</f>
        <v/>
      </c>
      <c r="AH2819" s="40">
        <f>INDEX(AH$280:AH$296,$E2819)*$D2819</f>
        <v/>
      </c>
      <c r="AI2819" s="35">
        <f>INDEX(AI$280:AI$296,$E2819)*$D2819</f>
        <v/>
      </c>
      <c r="AJ2819" s="35">
        <f>INDEX(AJ$280:AJ$296,$E2819)*$D2819</f>
        <v/>
      </c>
      <c r="AK2819" s="35">
        <f>INDEX(AK$280:AK$296,$E2819)*$D2819</f>
        <v/>
      </c>
      <c r="AL2819" s="35">
        <f>INDEX(AL$280:AL$296,$E2819)*$D2819</f>
        <v/>
      </c>
      <c r="AM2819" s="35">
        <f>INDEX(AM$280:AM$296,$E2819)*$D2819</f>
        <v/>
      </c>
      <c r="AN2819" s="35">
        <f>INDEX(AN$280:AN$296,$E2819)*$D2819</f>
        <v/>
      </c>
      <c r="AO2819" s="35">
        <f>INDEX(AO$280:AO$296,$E2819)*$D2819</f>
        <v/>
      </c>
      <c r="AP2819" s="35">
        <f>INDEX(AP$280:AP$296,$E2819)*$D2819</f>
        <v/>
      </c>
      <c r="AQ2819" s="35">
        <f>INDEX(AQ$280:AQ$296,$E2819)*$D2819</f>
        <v/>
      </c>
      <c r="AR2819" s="35">
        <f>INDEX(AR$280:AR$296,$E2819)*$D2819</f>
        <v/>
      </c>
      <c r="AS2819" s="35">
        <f>INDEX(AS$280:AS$296,$E2819)*$D2819</f>
        <v/>
      </c>
      <c r="AT2819" s="35">
        <f>INDEX(AT$280:AT$296,$E2819)*$D2819</f>
        <v/>
      </c>
      <c r="AU2819" s="35">
        <f>INDEX(AU$280:AU$296,$E2819)*$D2819</f>
        <v/>
      </c>
      <c r="AV2819" s="35">
        <f>INDEX(AV$280:AV$296,$E2819)*$D2819</f>
        <v/>
      </c>
      <c r="AW2819" s="35">
        <f>INDEX(AW$280:AW$296,$E2819)*$D2819</f>
        <v/>
      </c>
      <c r="AX2819" s="35">
        <f>INDEX(AX$280:AX$296,$E2819)*$D2819</f>
        <v/>
      </c>
      <c r="AY2819" s="35">
        <f>INDEX(AY$280:AY$296,$E2819)*$D2819</f>
        <v/>
      </c>
      <c r="AZ2819" s="35">
        <f>INDEX(AZ$280:AZ$296,$E2819)*$D2819</f>
        <v/>
      </c>
      <c r="BA2819" s="42">
        <f>ETSCOST(INDEX(BA$280:BA$296,$E2819),$D2819)</f>
        <v/>
      </c>
    </row>
    <row r="2820" hidden="1" outlineLevel="2">
      <c r="A2820" s="14" t="inlineStr">
        <is>
          <t>ets</t>
        </is>
      </c>
      <c r="B2820" s="14" t="inlineStr">
        <is>
          <t>oop</t>
        </is>
      </c>
      <c r="C2820" s="14" t="inlineStr">
        <is>
          <t>ftr</t>
        </is>
      </c>
      <c r="D2820" s="35">
        <f>INDEX(Inputs!$W$5:$W$132,MATCH($B2820&amp;"|"&amp;$C2820,Inputs!$A$5:$A$132,0))</f>
        <v/>
      </c>
      <c r="E2820" s="35">
        <f>INDEX(Inputs!$M$5:$M$132,MATCH($B2820&amp;"|"&amp;$C2820,Inputs!$A$5:$A$132,0))</f>
        <v/>
      </c>
      <c r="F2820" s="39" t="n"/>
      <c r="G2820" s="39" t="n"/>
      <c r="H2820" s="14">
        <f>INDEX(VarLab,MATCH($A2820,VarKey,0))&amp;INDEX(MemLab,MATCH($C2820&amp;"|"&amp;$B2820,MemKey,0))</f>
        <v/>
      </c>
      <c r="I2820" s="14">
        <f>INDEX(VarUnit,MATCH($A2820,VarKey,0))</f>
        <v/>
      </c>
      <c r="J2820" s="14">
        <f>INDEX(VarSrc,MATCH($A2820,VarKey,0))</f>
        <v/>
      </c>
      <c r="K2820" s="11">
        <f>CodePrefix&amp;$A2820&amp;IF($C2820="","","."&amp;$C2820&amp;"."&amp;$B2820)&amp;INDEX(VarEnd,MATCH($A2820,VarKey,0))&amp;K$5</f>
        <v/>
      </c>
      <c r="L2820" s="40">
        <f>INDEX(L$280:L$296,$E2820)*$D2820</f>
        <v/>
      </c>
      <c r="M2820" s="35">
        <f>INDEX(M$280:M$296,$E2820)*$D2820</f>
        <v/>
      </c>
      <c r="N2820" s="35">
        <f>INDEX(N$280:N$296,$E2820)*$D2820</f>
        <v/>
      </c>
      <c r="O2820" s="35">
        <f>INDEX(O$280:O$296,$E2820)*$D2820</f>
        <v/>
      </c>
      <c r="P2820" s="35">
        <f>INDEX(P$280:P$296,$E2820)*$D2820</f>
        <v/>
      </c>
      <c r="Q2820" s="35">
        <f>INDEX(Q$280:Q$296,$E2820)*$D2820</f>
        <v/>
      </c>
      <c r="R2820" s="35">
        <f>INDEX(R$280:R$296,$E2820)*$D2820</f>
        <v/>
      </c>
      <c r="S2820" s="35">
        <f>INDEX(S$280:S$296,$E2820)*$D2820</f>
        <v/>
      </c>
      <c r="T2820" s="35">
        <f>INDEX(T$280:T$296,$E2820)*$D2820</f>
        <v/>
      </c>
      <c r="U2820" s="35">
        <f>INDEX(U$280:U$296,$E2820)*$D2820</f>
        <v/>
      </c>
      <c r="V2820" s="35">
        <f>INDEX(V$280:V$296,$E2820)*$D2820</f>
        <v/>
      </c>
      <c r="W2820" s="35">
        <f>INDEX(W$280:W$296,$E2820)*$D2820</f>
        <v/>
      </c>
      <c r="X2820" s="35">
        <f>INDEX(X$280:X$296,$E2820)*$D2820</f>
        <v/>
      </c>
      <c r="Y2820" s="35">
        <f>INDEX(Y$280:Y$296,$E2820)*$D2820</f>
        <v/>
      </c>
      <c r="Z2820" s="35">
        <f>INDEX(Z$280:Z$296,$E2820)*$D2820</f>
        <v/>
      </c>
      <c r="AA2820" s="35">
        <f>INDEX(AA$280:AA$296,$E2820)*$D2820</f>
        <v/>
      </c>
      <c r="AB2820" s="35">
        <f>INDEX(AB$280:AB$296,$E2820)*$D2820</f>
        <v/>
      </c>
      <c r="AC2820" s="35">
        <f>INDEX(AC$280:AC$296,$E2820)*$D2820</f>
        <v/>
      </c>
      <c r="AD2820" s="35">
        <f>INDEX(AD$280:AD$296,$E2820)*$D2820</f>
        <v/>
      </c>
      <c r="AE2820" s="42">
        <f>ETSCOST(INDEX(AE$280:AE$296,$E2820),$D2820)</f>
        <v/>
      </c>
      <c r="AG2820" s="11">
        <f>CodePrefix&amp;$A2820&amp;IF($C2820="","","."&amp;$C2820&amp;"."&amp;$B2820)&amp;INDEX(VarEnd,MATCH($A2820,VarKey,0))&amp;AG$5</f>
        <v/>
      </c>
      <c r="AH2820" s="40">
        <f>INDEX(AH$280:AH$296,$E2820)*$D2820</f>
        <v/>
      </c>
      <c r="AI2820" s="35">
        <f>INDEX(AI$280:AI$296,$E2820)*$D2820</f>
        <v/>
      </c>
      <c r="AJ2820" s="35">
        <f>INDEX(AJ$280:AJ$296,$E2820)*$D2820</f>
        <v/>
      </c>
      <c r="AK2820" s="35">
        <f>INDEX(AK$280:AK$296,$E2820)*$D2820</f>
        <v/>
      </c>
      <c r="AL2820" s="35">
        <f>INDEX(AL$280:AL$296,$E2820)*$D2820</f>
        <v/>
      </c>
      <c r="AM2820" s="35">
        <f>INDEX(AM$280:AM$296,$E2820)*$D2820</f>
        <v/>
      </c>
      <c r="AN2820" s="35">
        <f>INDEX(AN$280:AN$296,$E2820)*$D2820</f>
        <v/>
      </c>
      <c r="AO2820" s="35">
        <f>INDEX(AO$280:AO$296,$E2820)*$D2820</f>
        <v/>
      </c>
      <c r="AP2820" s="35">
        <f>INDEX(AP$280:AP$296,$E2820)*$D2820</f>
        <v/>
      </c>
      <c r="AQ2820" s="35">
        <f>INDEX(AQ$280:AQ$296,$E2820)*$D2820</f>
        <v/>
      </c>
      <c r="AR2820" s="35">
        <f>INDEX(AR$280:AR$296,$E2820)*$D2820</f>
        <v/>
      </c>
      <c r="AS2820" s="35">
        <f>INDEX(AS$280:AS$296,$E2820)*$D2820</f>
        <v/>
      </c>
      <c r="AT2820" s="35">
        <f>INDEX(AT$280:AT$296,$E2820)*$D2820</f>
        <v/>
      </c>
      <c r="AU2820" s="35">
        <f>INDEX(AU$280:AU$296,$E2820)*$D2820</f>
        <v/>
      </c>
      <c r="AV2820" s="35">
        <f>INDEX(AV$280:AV$296,$E2820)*$D2820</f>
        <v/>
      </c>
      <c r="AW2820" s="35">
        <f>INDEX(AW$280:AW$296,$E2820)*$D2820</f>
        <v/>
      </c>
      <c r="AX2820" s="35">
        <f>INDEX(AX$280:AX$296,$E2820)*$D2820</f>
        <v/>
      </c>
      <c r="AY2820" s="35">
        <f>INDEX(AY$280:AY$296,$E2820)*$D2820</f>
        <v/>
      </c>
      <c r="AZ2820" s="35">
        <f>INDEX(AZ$280:AZ$296,$E2820)*$D2820</f>
        <v/>
      </c>
      <c r="BA2820" s="42">
        <f>ETSCOST(INDEX(BA$280:BA$296,$E2820),$D2820)</f>
        <v/>
      </c>
    </row>
    <row r="2821" hidden="1" outlineLevel="2">
      <c r="A2821" s="14" t="inlineStr">
        <is>
          <t>ets</t>
        </is>
      </c>
      <c r="B2821" s="14" t="inlineStr">
        <is>
          <t>bio</t>
        </is>
      </c>
      <c r="C2821" s="14" t="inlineStr">
        <is>
          <t>ftr</t>
        </is>
      </c>
      <c r="D2821" s="35">
        <f>INDEX(Inputs!$W$5:$W$132,MATCH($B2821&amp;"|"&amp;$C2821,Inputs!$A$5:$A$132,0))</f>
        <v/>
      </c>
      <c r="E2821" s="35">
        <f>INDEX(Inputs!$M$5:$M$132,MATCH($B2821&amp;"|"&amp;$C2821,Inputs!$A$5:$A$132,0))</f>
        <v/>
      </c>
      <c r="F2821" s="39" t="n"/>
      <c r="G2821" s="39" t="n"/>
      <c r="H2821" s="14">
        <f>INDEX(VarLab,MATCH($A2821,VarKey,0))&amp;INDEX(MemLab,MATCH($C2821&amp;"|"&amp;$B2821,MemKey,0))</f>
        <v/>
      </c>
      <c r="I2821" s="14">
        <f>INDEX(VarUnit,MATCH($A2821,VarKey,0))</f>
        <v/>
      </c>
      <c r="J2821" s="14">
        <f>INDEX(VarSrc,MATCH($A2821,VarKey,0))</f>
        <v/>
      </c>
      <c r="K2821" s="11">
        <f>CodePrefix&amp;$A2821&amp;IF($C2821="","","."&amp;$C2821&amp;"."&amp;$B2821)&amp;INDEX(VarEnd,MATCH($A2821,VarKey,0))&amp;K$5</f>
        <v/>
      </c>
      <c r="L2821" s="40">
        <f>INDEX(L$280:L$296,$E2821)*$D2821</f>
        <v/>
      </c>
      <c r="M2821" s="35">
        <f>INDEX(M$280:M$296,$E2821)*$D2821</f>
        <v/>
      </c>
      <c r="N2821" s="35">
        <f>INDEX(N$280:N$296,$E2821)*$D2821</f>
        <v/>
      </c>
      <c r="O2821" s="35">
        <f>INDEX(O$280:O$296,$E2821)*$D2821</f>
        <v/>
      </c>
      <c r="P2821" s="35">
        <f>INDEX(P$280:P$296,$E2821)*$D2821</f>
        <v/>
      </c>
      <c r="Q2821" s="35">
        <f>INDEX(Q$280:Q$296,$E2821)*$D2821</f>
        <v/>
      </c>
      <c r="R2821" s="35">
        <f>INDEX(R$280:R$296,$E2821)*$D2821</f>
        <v/>
      </c>
      <c r="S2821" s="35">
        <f>INDEX(S$280:S$296,$E2821)*$D2821</f>
        <v/>
      </c>
      <c r="T2821" s="35">
        <f>INDEX(T$280:T$296,$E2821)*$D2821</f>
        <v/>
      </c>
      <c r="U2821" s="35">
        <f>INDEX(U$280:U$296,$E2821)*$D2821</f>
        <v/>
      </c>
      <c r="V2821" s="35">
        <f>INDEX(V$280:V$296,$E2821)*$D2821</f>
        <v/>
      </c>
      <c r="W2821" s="35">
        <f>INDEX(W$280:W$296,$E2821)*$D2821</f>
        <v/>
      </c>
      <c r="X2821" s="35">
        <f>INDEX(X$280:X$296,$E2821)*$D2821</f>
        <v/>
      </c>
      <c r="Y2821" s="35">
        <f>INDEX(Y$280:Y$296,$E2821)*$D2821</f>
        <v/>
      </c>
      <c r="Z2821" s="35">
        <f>INDEX(Z$280:Z$296,$E2821)*$D2821</f>
        <v/>
      </c>
      <c r="AA2821" s="35">
        <f>INDEX(AA$280:AA$296,$E2821)*$D2821</f>
        <v/>
      </c>
      <c r="AB2821" s="35">
        <f>INDEX(AB$280:AB$296,$E2821)*$D2821</f>
        <v/>
      </c>
      <c r="AC2821" s="35">
        <f>INDEX(AC$280:AC$296,$E2821)*$D2821</f>
        <v/>
      </c>
      <c r="AD2821" s="35">
        <f>INDEX(AD$280:AD$296,$E2821)*$D2821</f>
        <v/>
      </c>
      <c r="AE2821" s="42">
        <f>ETSCOST(INDEX(AE$280:AE$296,$E2821),$D2821)</f>
        <v/>
      </c>
      <c r="AG2821" s="11">
        <f>CodePrefix&amp;$A2821&amp;IF($C2821="","","."&amp;$C2821&amp;"."&amp;$B2821)&amp;INDEX(VarEnd,MATCH($A2821,VarKey,0))&amp;AG$5</f>
        <v/>
      </c>
      <c r="AH2821" s="40">
        <f>INDEX(AH$280:AH$296,$E2821)*$D2821</f>
        <v/>
      </c>
      <c r="AI2821" s="35">
        <f>INDEX(AI$280:AI$296,$E2821)*$D2821</f>
        <v/>
      </c>
      <c r="AJ2821" s="35">
        <f>INDEX(AJ$280:AJ$296,$E2821)*$D2821</f>
        <v/>
      </c>
      <c r="AK2821" s="35">
        <f>INDEX(AK$280:AK$296,$E2821)*$D2821</f>
        <v/>
      </c>
      <c r="AL2821" s="35">
        <f>INDEX(AL$280:AL$296,$E2821)*$D2821</f>
        <v/>
      </c>
      <c r="AM2821" s="35">
        <f>INDEX(AM$280:AM$296,$E2821)*$D2821</f>
        <v/>
      </c>
      <c r="AN2821" s="35">
        <f>INDEX(AN$280:AN$296,$E2821)*$D2821</f>
        <v/>
      </c>
      <c r="AO2821" s="35">
        <f>INDEX(AO$280:AO$296,$E2821)*$D2821</f>
        <v/>
      </c>
      <c r="AP2821" s="35">
        <f>INDEX(AP$280:AP$296,$E2821)*$D2821</f>
        <v/>
      </c>
      <c r="AQ2821" s="35">
        <f>INDEX(AQ$280:AQ$296,$E2821)*$D2821</f>
        <v/>
      </c>
      <c r="AR2821" s="35">
        <f>INDEX(AR$280:AR$296,$E2821)*$D2821</f>
        <v/>
      </c>
      <c r="AS2821" s="35">
        <f>INDEX(AS$280:AS$296,$E2821)*$D2821</f>
        <v/>
      </c>
      <c r="AT2821" s="35">
        <f>INDEX(AT$280:AT$296,$E2821)*$D2821</f>
        <v/>
      </c>
      <c r="AU2821" s="35">
        <f>INDEX(AU$280:AU$296,$E2821)*$D2821</f>
        <v/>
      </c>
      <c r="AV2821" s="35">
        <f>INDEX(AV$280:AV$296,$E2821)*$D2821</f>
        <v/>
      </c>
      <c r="AW2821" s="35">
        <f>INDEX(AW$280:AW$296,$E2821)*$D2821</f>
        <v/>
      </c>
      <c r="AX2821" s="35">
        <f>INDEX(AX$280:AX$296,$E2821)*$D2821</f>
        <v/>
      </c>
      <c r="AY2821" s="35">
        <f>INDEX(AY$280:AY$296,$E2821)*$D2821</f>
        <v/>
      </c>
      <c r="AZ2821" s="35">
        <f>INDEX(AZ$280:AZ$296,$E2821)*$D2821</f>
        <v/>
      </c>
      <c r="BA2821" s="42">
        <f>ETSCOST(INDEX(BA$280:BA$296,$E2821),$D2821)</f>
        <v/>
      </c>
    </row>
    <row r="2822" hidden="1" outlineLevel="2"/>
    <row r="2823" hidden="1" outlineLevel="2">
      <c r="A2823" s="14" t="inlineStr">
        <is>
          <t>ntx</t>
        </is>
      </c>
      <c r="B2823" s="14" t="inlineStr">
        <is>
          <t>coa</t>
        </is>
      </c>
      <c r="C2823" s="14" t="inlineStr">
        <is>
          <t>ftr</t>
        </is>
      </c>
      <c r="D2823" s="35">
        <f>INDEX(Inputs!$N$5:$N$132,MATCH($B2823&amp;"|"&amp;$C2823,Inputs!$A$5:$A$132,0))</f>
        <v/>
      </c>
      <c r="E2823" s="35">
        <f>INDEX(Inputs!$K$5:$K$132,MATCH($B2823&amp;"|"&amp;$C2823,Inputs!$A$5:$A$132,0))</f>
        <v/>
      </c>
      <c r="F2823" s="39" t="n"/>
      <c r="G2823" s="39" t="n"/>
      <c r="H2823" s="14">
        <f>INDEX(VarLab,MATCH($A2823,VarKey,0))&amp;INDEX(MemLab,MATCH($C2823&amp;"|"&amp;$B2823,MemKey,0))</f>
        <v/>
      </c>
      <c r="I2823" s="14">
        <f>INDEX(VarUnit,MATCH($A2823,VarKey,0))</f>
        <v/>
      </c>
      <c r="J2823" s="14">
        <f>INDEX(VarSrc,MATCH($A2823,VarKey,0))</f>
        <v/>
      </c>
      <c r="K2823" s="11">
        <f>CodePrefix&amp;$A2823&amp;IF($C2823="","","."&amp;$C2823&amp;"."&amp;$B2823)&amp;INDEX(VarEnd,MATCH($A2823,VarKey,0))&amp;K$5</f>
        <v/>
      </c>
      <c r="L2823" s="40">
        <f>INDEX(L$80:L$93,$D2823)/$E2823</f>
        <v/>
      </c>
      <c r="M2823" s="35">
        <f>INDEX(M$80:M$93,$D2823)/$E2823</f>
        <v/>
      </c>
      <c r="N2823" s="35">
        <f>INDEX(N$80:N$93,$D2823)/$E2823</f>
        <v/>
      </c>
      <c r="O2823" s="35">
        <f>INDEX(O$80:O$93,$D2823)/$E2823</f>
        <v/>
      </c>
      <c r="P2823" s="35">
        <f>INDEX(P$80:P$93,$D2823)/$E2823</f>
        <v/>
      </c>
      <c r="Q2823" s="35">
        <f>INDEX(Q$80:Q$93,$D2823)/$E2823</f>
        <v/>
      </c>
      <c r="R2823" s="35">
        <f>INDEX(R$80:R$93,$D2823)/$E2823</f>
        <v/>
      </c>
      <c r="S2823" s="35">
        <f>INDEX(S$80:S$93,$D2823)/$E2823</f>
        <v/>
      </c>
      <c r="T2823" s="35">
        <f>INDEX(T$80:T$93,$D2823)/$E2823</f>
        <v/>
      </c>
      <c r="U2823" s="35">
        <f>INDEX(U$80:U$93,$D2823)/$E2823</f>
        <v/>
      </c>
      <c r="V2823" s="35">
        <f>INDEX(V$80:V$93,$D2823)/$E2823</f>
        <v/>
      </c>
      <c r="W2823" s="35">
        <f>INDEX(W$80:W$93,$D2823)/$E2823</f>
        <v/>
      </c>
      <c r="X2823" s="35">
        <f>INDEX(X$80:X$93,$D2823)/$E2823</f>
        <v/>
      </c>
      <c r="Y2823" s="35">
        <f>INDEX(Y$80:Y$93,$D2823)/$E2823</f>
        <v/>
      </c>
      <c r="Z2823" s="35">
        <f>INDEX(Z$80:Z$93,$D2823)/$E2823</f>
        <v/>
      </c>
      <c r="AA2823" s="35">
        <f>INDEX(AA$80:AA$93,$D2823)/$E2823</f>
        <v/>
      </c>
      <c r="AB2823" s="35">
        <f>INDEX(AB$80:AB$93,$D2823)/$E2823</f>
        <v/>
      </c>
      <c r="AC2823" s="35">
        <f>INDEX(AC$80:AC$93,$D2823)/$E2823</f>
        <v/>
      </c>
      <c r="AD2823" s="35">
        <f>INDEX(AD$80:AD$93,$D2823)/$E2823</f>
        <v/>
      </c>
      <c r="AE2823" s="42">
        <f>NEWEXCISE(INDEX(AE$80:AE$93,$D2823),$E2823)</f>
        <v/>
      </c>
      <c r="AG2823" s="11">
        <f>CodePrefix&amp;$A2823&amp;IF($C2823="","","."&amp;$C2823&amp;"."&amp;$B2823)&amp;INDEX(VarEnd,MATCH($A2823,VarKey,0))&amp;AG$5</f>
        <v/>
      </c>
      <c r="AH2823" s="40">
        <f>INDEX(AH$80:AH$93,$D2823)/$E2823</f>
        <v/>
      </c>
      <c r="AI2823" s="35">
        <f>INDEX(AI$80:AI$93,$D2823)/$E2823</f>
        <v/>
      </c>
      <c r="AJ2823" s="35">
        <f>INDEX(AJ$80:AJ$93,$D2823)/$E2823</f>
        <v/>
      </c>
      <c r="AK2823" s="35">
        <f>INDEX(AK$80:AK$93,$D2823)/$E2823</f>
        <v/>
      </c>
      <c r="AL2823" s="35">
        <f>INDEX(AL$80:AL$93,$D2823)/$E2823</f>
        <v/>
      </c>
      <c r="AM2823" s="35">
        <f>INDEX(AM$80:AM$93,$D2823)/$E2823</f>
        <v/>
      </c>
      <c r="AN2823" s="35">
        <f>INDEX(AN$80:AN$93,$D2823)/$E2823</f>
        <v/>
      </c>
      <c r="AO2823" s="35">
        <f>INDEX(AO$80:AO$93,$D2823)/$E2823</f>
        <v/>
      </c>
      <c r="AP2823" s="35">
        <f>INDEX(AP$80:AP$93,$D2823)/$E2823</f>
        <v/>
      </c>
      <c r="AQ2823" s="35">
        <f>INDEX(AQ$80:AQ$93,$D2823)/$E2823</f>
        <v/>
      </c>
      <c r="AR2823" s="35">
        <f>INDEX(AR$80:AR$93,$D2823)/$E2823</f>
        <v/>
      </c>
      <c r="AS2823" s="35">
        <f>INDEX(AS$80:AS$93,$D2823)/$E2823</f>
        <v/>
      </c>
      <c r="AT2823" s="35">
        <f>INDEX(AT$80:AT$93,$D2823)/$E2823</f>
        <v/>
      </c>
      <c r="AU2823" s="35">
        <f>INDEX(AU$80:AU$93,$D2823)/$E2823</f>
        <v/>
      </c>
      <c r="AV2823" s="35">
        <f>INDEX(AV$80:AV$93,$D2823)/$E2823</f>
        <v/>
      </c>
      <c r="AW2823" s="35">
        <f>INDEX(AW$80:AW$93,$D2823)/$E2823</f>
        <v/>
      </c>
      <c r="AX2823" s="35">
        <f>INDEX(AX$80:AX$93,$D2823)/$E2823</f>
        <v/>
      </c>
      <c r="AY2823" s="35">
        <f>INDEX(AY$80:AY$93,$D2823)/$E2823</f>
        <v/>
      </c>
      <c r="AZ2823" s="35">
        <f>INDEX(AZ$80:AZ$93,$D2823)/$E2823</f>
        <v/>
      </c>
      <c r="BA2823" s="42">
        <f>NEWEXCISE(INDEX(BA$80:BA$93,$D2823),$E2823)</f>
        <v/>
      </c>
    </row>
    <row r="2824" hidden="1" outlineLevel="2">
      <c r="A2824" s="14" t="inlineStr">
        <is>
          <t>ntx</t>
        </is>
      </c>
      <c r="B2824" s="14" t="inlineStr">
        <is>
          <t>nga</t>
        </is>
      </c>
      <c r="C2824" s="14" t="inlineStr">
        <is>
          <t>ftr</t>
        </is>
      </c>
      <c r="D2824" s="35">
        <f>INDEX(Inputs!$N$5:$N$132,MATCH($B2824&amp;"|"&amp;$C2824,Inputs!$A$5:$A$132,0))</f>
        <v/>
      </c>
      <c r="E2824" s="35">
        <f>INDEX(Inputs!$K$5:$K$132,MATCH($B2824&amp;"|"&amp;$C2824,Inputs!$A$5:$A$132,0))</f>
        <v/>
      </c>
      <c r="F2824" s="39" t="n"/>
      <c r="G2824" s="39" t="n"/>
      <c r="H2824" s="14">
        <f>INDEX(VarLab,MATCH($A2824,VarKey,0))&amp;INDEX(MemLab,MATCH($C2824&amp;"|"&amp;$B2824,MemKey,0))</f>
        <v/>
      </c>
      <c r="I2824" s="14">
        <f>INDEX(VarUnit,MATCH($A2824,VarKey,0))</f>
        <v/>
      </c>
      <c r="J2824" s="14">
        <f>INDEX(VarSrc,MATCH($A2824,VarKey,0))</f>
        <v/>
      </c>
      <c r="K2824" s="11">
        <f>CodePrefix&amp;$A2824&amp;IF($C2824="","","."&amp;$C2824&amp;"."&amp;$B2824)&amp;INDEX(VarEnd,MATCH($A2824,VarKey,0))&amp;K$5</f>
        <v/>
      </c>
      <c r="L2824" s="40">
        <f>INDEX(L$80:L$93,$D2824)/$E2824</f>
        <v/>
      </c>
      <c r="M2824" s="35">
        <f>INDEX(M$80:M$93,$D2824)/$E2824</f>
        <v/>
      </c>
      <c r="N2824" s="35">
        <f>INDEX(N$80:N$93,$D2824)/$E2824</f>
        <v/>
      </c>
      <c r="O2824" s="35">
        <f>INDEX(O$80:O$93,$D2824)/$E2824</f>
        <v/>
      </c>
      <c r="P2824" s="35">
        <f>INDEX(P$80:P$93,$D2824)/$E2824</f>
        <v/>
      </c>
      <c r="Q2824" s="35">
        <f>INDEX(Q$80:Q$93,$D2824)/$E2824</f>
        <v/>
      </c>
      <c r="R2824" s="35">
        <f>INDEX(R$80:R$93,$D2824)/$E2824</f>
        <v/>
      </c>
      <c r="S2824" s="35">
        <f>INDEX(S$80:S$93,$D2824)/$E2824</f>
        <v/>
      </c>
      <c r="T2824" s="35">
        <f>INDEX(T$80:T$93,$D2824)/$E2824</f>
        <v/>
      </c>
      <c r="U2824" s="35">
        <f>INDEX(U$80:U$93,$D2824)/$E2824</f>
        <v/>
      </c>
      <c r="V2824" s="35">
        <f>INDEX(V$80:V$93,$D2824)/$E2824</f>
        <v/>
      </c>
      <c r="W2824" s="35">
        <f>INDEX(W$80:W$93,$D2824)/$E2824</f>
        <v/>
      </c>
      <c r="X2824" s="35">
        <f>INDEX(X$80:X$93,$D2824)/$E2824</f>
        <v/>
      </c>
      <c r="Y2824" s="35">
        <f>INDEX(Y$80:Y$93,$D2824)/$E2824</f>
        <v/>
      </c>
      <c r="Z2824" s="35">
        <f>INDEX(Z$80:Z$93,$D2824)/$E2824</f>
        <v/>
      </c>
      <c r="AA2824" s="35">
        <f>INDEX(AA$80:AA$93,$D2824)/$E2824</f>
        <v/>
      </c>
      <c r="AB2824" s="35">
        <f>INDEX(AB$80:AB$93,$D2824)/$E2824</f>
        <v/>
      </c>
      <c r="AC2824" s="35">
        <f>INDEX(AC$80:AC$93,$D2824)/$E2824</f>
        <v/>
      </c>
      <c r="AD2824" s="35">
        <f>INDEX(AD$80:AD$93,$D2824)/$E2824</f>
        <v/>
      </c>
      <c r="AE2824" s="42">
        <f>NEWEXCISE(INDEX(AE$80:AE$93,$D2824),$E2824)</f>
        <v/>
      </c>
      <c r="AG2824" s="11">
        <f>CodePrefix&amp;$A2824&amp;IF($C2824="","","."&amp;$C2824&amp;"."&amp;$B2824)&amp;INDEX(VarEnd,MATCH($A2824,VarKey,0))&amp;AG$5</f>
        <v/>
      </c>
      <c r="AH2824" s="40">
        <f>INDEX(AH$80:AH$93,$D2824)/$E2824</f>
        <v/>
      </c>
      <c r="AI2824" s="35">
        <f>INDEX(AI$80:AI$93,$D2824)/$E2824</f>
        <v/>
      </c>
      <c r="AJ2824" s="35">
        <f>INDEX(AJ$80:AJ$93,$D2824)/$E2824</f>
        <v/>
      </c>
      <c r="AK2824" s="35">
        <f>INDEX(AK$80:AK$93,$D2824)/$E2824</f>
        <v/>
      </c>
      <c r="AL2824" s="35">
        <f>INDEX(AL$80:AL$93,$D2824)/$E2824</f>
        <v/>
      </c>
      <c r="AM2824" s="35">
        <f>INDEX(AM$80:AM$93,$D2824)/$E2824</f>
        <v/>
      </c>
      <c r="AN2824" s="35">
        <f>INDEX(AN$80:AN$93,$D2824)/$E2824</f>
        <v/>
      </c>
      <c r="AO2824" s="35">
        <f>INDEX(AO$80:AO$93,$D2824)/$E2824</f>
        <v/>
      </c>
      <c r="AP2824" s="35">
        <f>INDEX(AP$80:AP$93,$D2824)/$E2824</f>
        <v/>
      </c>
      <c r="AQ2824" s="35">
        <f>INDEX(AQ$80:AQ$93,$D2824)/$E2824</f>
        <v/>
      </c>
      <c r="AR2824" s="35">
        <f>INDEX(AR$80:AR$93,$D2824)/$E2824</f>
        <v/>
      </c>
      <c r="AS2824" s="35">
        <f>INDEX(AS$80:AS$93,$D2824)/$E2824</f>
        <v/>
      </c>
      <c r="AT2824" s="35">
        <f>INDEX(AT$80:AT$93,$D2824)/$E2824</f>
        <v/>
      </c>
      <c r="AU2824" s="35">
        <f>INDEX(AU$80:AU$93,$D2824)/$E2824</f>
        <v/>
      </c>
      <c r="AV2824" s="35">
        <f>INDEX(AV$80:AV$93,$D2824)/$E2824</f>
        <v/>
      </c>
      <c r="AW2824" s="35">
        <f>INDEX(AW$80:AW$93,$D2824)/$E2824</f>
        <v/>
      </c>
      <c r="AX2824" s="35">
        <f>INDEX(AX$80:AX$93,$D2824)/$E2824</f>
        <v/>
      </c>
      <c r="AY2824" s="35">
        <f>INDEX(AY$80:AY$93,$D2824)/$E2824</f>
        <v/>
      </c>
      <c r="AZ2824" s="35">
        <f>INDEX(AZ$80:AZ$93,$D2824)/$E2824</f>
        <v/>
      </c>
      <c r="BA2824" s="42">
        <f>NEWEXCISE(INDEX(BA$80:BA$93,$D2824),$E2824)</f>
        <v/>
      </c>
    </row>
    <row r="2825" hidden="1" outlineLevel="2">
      <c r="A2825" s="14" t="inlineStr">
        <is>
          <t>ntx</t>
        </is>
      </c>
      <c r="B2825" s="14" t="inlineStr">
        <is>
          <t>gso</t>
        </is>
      </c>
      <c r="C2825" s="14" t="inlineStr">
        <is>
          <t>ftr</t>
        </is>
      </c>
      <c r="D2825" s="35">
        <f>INDEX(Inputs!$N$5:$N$132,MATCH($B2825&amp;"|"&amp;$C2825,Inputs!$A$5:$A$132,0))</f>
        <v/>
      </c>
      <c r="E2825" s="35">
        <f>INDEX(Inputs!$K$5:$K$132,MATCH($B2825&amp;"|"&amp;$C2825,Inputs!$A$5:$A$132,0))</f>
        <v/>
      </c>
      <c r="F2825" s="39" t="n"/>
      <c r="G2825" s="39" t="n"/>
      <c r="H2825" s="14">
        <f>INDEX(VarLab,MATCH($A2825,VarKey,0))&amp;INDEX(MemLab,MATCH($C2825&amp;"|"&amp;$B2825,MemKey,0))</f>
        <v/>
      </c>
      <c r="I2825" s="14">
        <f>INDEX(VarUnit,MATCH($A2825,VarKey,0))</f>
        <v/>
      </c>
      <c r="J2825" s="14">
        <f>INDEX(VarSrc,MATCH($A2825,VarKey,0))</f>
        <v/>
      </c>
      <c r="K2825" s="11">
        <f>CodePrefix&amp;$A2825&amp;IF($C2825="","","."&amp;$C2825&amp;"."&amp;$B2825)&amp;INDEX(VarEnd,MATCH($A2825,VarKey,0))&amp;K$5</f>
        <v/>
      </c>
      <c r="L2825" s="40">
        <f>INDEX(L$80:L$93,$D2825)/$E2825</f>
        <v/>
      </c>
      <c r="M2825" s="35">
        <f>INDEX(M$80:M$93,$D2825)/$E2825</f>
        <v/>
      </c>
      <c r="N2825" s="35">
        <f>INDEX(N$80:N$93,$D2825)/$E2825</f>
        <v/>
      </c>
      <c r="O2825" s="35">
        <f>INDEX(O$80:O$93,$D2825)/$E2825</f>
        <v/>
      </c>
      <c r="P2825" s="35">
        <f>INDEX(P$80:P$93,$D2825)/$E2825</f>
        <v/>
      </c>
      <c r="Q2825" s="35">
        <f>INDEX(Q$80:Q$93,$D2825)/$E2825</f>
        <v/>
      </c>
      <c r="R2825" s="35">
        <f>INDEX(R$80:R$93,$D2825)/$E2825</f>
        <v/>
      </c>
      <c r="S2825" s="35">
        <f>INDEX(S$80:S$93,$D2825)/$E2825</f>
        <v/>
      </c>
      <c r="T2825" s="35">
        <f>INDEX(T$80:T$93,$D2825)/$E2825</f>
        <v/>
      </c>
      <c r="U2825" s="35">
        <f>INDEX(U$80:U$93,$D2825)/$E2825</f>
        <v/>
      </c>
      <c r="V2825" s="35">
        <f>INDEX(V$80:V$93,$D2825)/$E2825</f>
        <v/>
      </c>
      <c r="W2825" s="35">
        <f>INDEX(W$80:W$93,$D2825)/$E2825</f>
        <v/>
      </c>
      <c r="X2825" s="35">
        <f>INDEX(X$80:X$93,$D2825)/$E2825</f>
        <v/>
      </c>
      <c r="Y2825" s="35">
        <f>INDEX(Y$80:Y$93,$D2825)/$E2825</f>
        <v/>
      </c>
      <c r="Z2825" s="35">
        <f>INDEX(Z$80:Z$93,$D2825)/$E2825</f>
        <v/>
      </c>
      <c r="AA2825" s="35">
        <f>INDEX(AA$80:AA$93,$D2825)/$E2825</f>
        <v/>
      </c>
      <c r="AB2825" s="35">
        <f>INDEX(AB$80:AB$93,$D2825)/$E2825</f>
        <v/>
      </c>
      <c r="AC2825" s="35">
        <f>INDEX(AC$80:AC$93,$D2825)/$E2825</f>
        <v/>
      </c>
      <c r="AD2825" s="35">
        <f>INDEX(AD$80:AD$93,$D2825)/$E2825</f>
        <v/>
      </c>
      <c r="AE2825" s="42">
        <f>NEWEXCISE(INDEX(AE$80:AE$93,$D2825),$E2825)</f>
        <v/>
      </c>
      <c r="AG2825" s="11">
        <f>CodePrefix&amp;$A2825&amp;IF($C2825="","","."&amp;$C2825&amp;"."&amp;$B2825)&amp;INDEX(VarEnd,MATCH($A2825,VarKey,0))&amp;AG$5</f>
        <v/>
      </c>
      <c r="AH2825" s="40">
        <f>INDEX(AH$80:AH$93,$D2825)/$E2825</f>
        <v/>
      </c>
      <c r="AI2825" s="35">
        <f>INDEX(AI$80:AI$93,$D2825)/$E2825</f>
        <v/>
      </c>
      <c r="AJ2825" s="35">
        <f>INDEX(AJ$80:AJ$93,$D2825)/$E2825</f>
        <v/>
      </c>
      <c r="AK2825" s="35">
        <f>INDEX(AK$80:AK$93,$D2825)/$E2825</f>
        <v/>
      </c>
      <c r="AL2825" s="35">
        <f>INDEX(AL$80:AL$93,$D2825)/$E2825</f>
        <v/>
      </c>
      <c r="AM2825" s="35">
        <f>INDEX(AM$80:AM$93,$D2825)/$E2825</f>
        <v/>
      </c>
      <c r="AN2825" s="35">
        <f>INDEX(AN$80:AN$93,$D2825)/$E2825</f>
        <v/>
      </c>
      <c r="AO2825" s="35">
        <f>INDEX(AO$80:AO$93,$D2825)/$E2825</f>
        <v/>
      </c>
      <c r="AP2825" s="35">
        <f>INDEX(AP$80:AP$93,$D2825)/$E2825</f>
        <v/>
      </c>
      <c r="AQ2825" s="35">
        <f>INDEX(AQ$80:AQ$93,$D2825)/$E2825</f>
        <v/>
      </c>
      <c r="AR2825" s="35">
        <f>INDEX(AR$80:AR$93,$D2825)/$E2825</f>
        <v/>
      </c>
      <c r="AS2825" s="35">
        <f>INDEX(AS$80:AS$93,$D2825)/$E2825</f>
        <v/>
      </c>
      <c r="AT2825" s="35">
        <f>INDEX(AT$80:AT$93,$D2825)/$E2825</f>
        <v/>
      </c>
      <c r="AU2825" s="35">
        <f>INDEX(AU$80:AU$93,$D2825)/$E2825</f>
        <v/>
      </c>
      <c r="AV2825" s="35">
        <f>INDEX(AV$80:AV$93,$D2825)/$E2825</f>
        <v/>
      </c>
      <c r="AW2825" s="35">
        <f>INDEX(AW$80:AW$93,$D2825)/$E2825</f>
        <v/>
      </c>
      <c r="AX2825" s="35">
        <f>INDEX(AX$80:AX$93,$D2825)/$E2825</f>
        <v/>
      </c>
      <c r="AY2825" s="35">
        <f>INDEX(AY$80:AY$93,$D2825)/$E2825</f>
        <v/>
      </c>
      <c r="AZ2825" s="35">
        <f>INDEX(AZ$80:AZ$93,$D2825)/$E2825</f>
        <v/>
      </c>
      <c r="BA2825" s="42">
        <f>NEWEXCISE(INDEX(BA$80:BA$93,$D2825),$E2825)</f>
        <v/>
      </c>
    </row>
    <row r="2826" hidden="1" outlineLevel="2">
      <c r="A2826" s="14" t="inlineStr">
        <is>
          <t>ntx</t>
        </is>
      </c>
      <c r="B2826" s="14" t="inlineStr">
        <is>
          <t>die</t>
        </is>
      </c>
      <c r="C2826" s="14" t="inlineStr">
        <is>
          <t>ftr</t>
        </is>
      </c>
      <c r="D2826" s="35">
        <f>INDEX(Inputs!$N$5:$N$132,MATCH($B2826&amp;"|"&amp;$C2826,Inputs!$A$5:$A$132,0))</f>
        <v/>
      </c>
      <c r="E2826" s="35">
        <f>INDEX(Inputs!$K$5:$K$132,MATCH($B2826&amp;"|"&amp;$C2826,Inputs!$A$5:$A$132,0))</f>
        <v/>
      </c>
      <c r="F2826" s="39" t="n"/>
      <c r="G2826" s="39" t="n"/>
      <c r="H2826" s="14">
        <f>INDEX(VarLab,MATCH($A2826,VarKey,0))&amp;INDEX(MemLab,MATCH($C2826&amp;"|"&amp;$B2826,MemKey,0))</f>
        <v/>
      </c>
      <c r="I2826" s="14">
        <f>INDEX(VarUnit,MATCH($A2826,VarKey,0))</f>
        <v/>
      </c>
      <c r="J2826" s="14">
        <f>INDEX(VarSrc,MATCH($A2826,VarKey,0))</f>
        <v/>
      </c>
      <c r="K2826" s="11">
        <f>CodePrefix&amp;$A2826&amp;IF($C2826="","","."&amp;$C2826&amp;"."&amp;$B2826)&amp;INDEX(VarEnd,MATCH($A2826,VarKey,0))&amp;K$5</f>
        <v/>
      </c>
      <c r="L2826" s="40">
        <f>INDEX(L$80:L$93,$D2826)/$E2826</f>
        <v/>
      </c>
      <c r="M2826" s="35">
        <f>INDEX(M$80:M$93,$D2826)/$E2826</f>
        <v/>
      </c>
      <c r="N2826" s="35">
        <f>INDEX(N$80:N$93,$D2826)/$E2826</f>
        <v/>
      </c>
      <c r="O2826" s="35">
        <f>INDEX(O$80:O$93,$D2826)/$E2826</f>
        <v/>
      </c>
      <c r="P2826" s="35">
        <f>INDEX(P$80:P$93,$D2826)/$E2826</f>
        <v/>
      </c>
      <c r="Q2826" s="35">
        <f>INDEX(Q$80:Q$93,$D2826)/$E2826</f>
        <v/>
      </c>
      <c r="R2826" s="35">
        <f>INDEX(R$80:R$93,$D2826)/$E2826</f>
        <v/>
      </c>
      <c r="S2826" s="35">
        <f>INDEX(S$80:S$93,$D2826)/$E2826</f>
        <v/>
      </c>
      <c r="T2826" s="35">
        <f>INDEX(T$80:T$93,$D2826)/$E2826</f>
        <v/>
      </c>
      <c r="U2826" s="35">
        <f>INDEX(U$80:U$93,$D2826)/$E2826</f>
        <v/>
      </c>
      <c r="V2826" s="35">
        <f>INDEX(V$80:V$93,$D2826)/$E2826</f>
        <v/>
      </c>
      <c r="W2826" s="35">
        <f>INDEX(W$80:W$93,$D2826)/$E2826</f>
        <v/>
      </c>
      <c r="X2826" s="35">
        <f>INDEX(X$80:X$93,$D2826)/$E2826</f>
        <v/>
      </c>
      <c r="Y2826" s="35">
        <f>INDEX(Y$80:Y$93,$D2826)/$E2826</f>
        <v/>
      </c>
      <c r="Z2826" s="35">
        <f>INDEX(Z$80:Z$93,$D2826)/$E2826</f>
        <v/>
      </c>
      <c r="AA2826" s="35">
        <f>INDEX(AA$80:AA$93,$D2826)/$E2826</f>
        <v/>
      </c>
      <c r="AB2826" s="35">
        <f>INDEX(AB$80:AB$93,$D2826)/$E2826</f>
        <v/>
      </c>
      <c r="AC2826" s="35">
        <f>INDEX(AC$80:AC$93,$D2826)/$E2826</f>
        <v/>
      </c>
      <c r="AD2826" s="35">
        <f>INDEX(AD$80:AD$93,$D2826)/$E2826</f>
        <v/>
      </c>
      <c r="AE2826" s="42">
        <f>NEWEXCISE(INDEX(AE$80:AE$93,$D2826),$E2826)</f>
        <v/>
      </c>
      <c r="AG2826" s="11">
        <f>CodePrefix&amp;$A2826&amp;IF($C2826="","","."&amp;$C2826&amp;"."&amp;$B2826)&amp;INDEX(VarEnd,MATCH($A2826,VarKey,0))&amp;AG$5</f>
        <v/>
      </c>
      <c r="AH2826" s="40">
        <f>INDEX(AH$80:AH$93,$D2826)/$E2826</f>
        <v/>
      </c>
      <c r="AI2826" s="35">
        <f>INDEX(AI$80:AI$93,$D2826)/$E2826</f>
        <v/>
      </c>
      <c r="AJ2826" s="35">
        <f>INDEX(AJ$80:AJ$93,$D2826)/$E2826</f>
        <v/>
      </c>
      <c r="AK2826" s="35">
        <f>INDEX(AK$80:AK$93,$D2826)/$E2826</f>
        <v/>
      </c>
      <c r="AL2826" s="35">
        <f>INDEX(AL$80:AL$93,$D2826)/$E2826</f>
        <v/>
      </c>
      <c r="AM2826" s="35">
        <f>INDEX(AM$80:AM$93,$D2826)/$E2826</f>
        <v/>
      </c>
      <c r="AN2826" s="35">
        <f>INDEX(AN$80:AN$93,$D2826)/$E2826</f>
        <v/>
      </c>
      <c r="AO2826" s="35">
        <f>INDEX(AO$80:AO$93,$D2826)/$E2826</f>
        <v/>
      </c>
      <c r="AP2826" s="35">
        <f>INDEX(AP$80:AP$93,$D2826)/$E2826</f>
        <v/>
      </c>
      <c r="AQ2826" s="35">
        <f>INDEX(AQ$80:AQ$93,$D2826)/$E2826</f>
        <v/>
      </c>
      <c r="AR2826" s="35">
        <f>INDEX(AR$80:AR$93,$D2826)/$E2826</f>
        <v/>
      </c>
      <c r="AS2826" s="35">
        <f>INDEX(AS$80:AS$93,$D2826)/$E2826</f>
        <v/>
      </c>
      <c r="AT2826" s="35">
        <f>INDEX(AT$80:AT$93,$D2826)/$E2826</f>
        <v/>
      </c>
      <c r="AU2826" s="35">
        <f>INDEX(AU$80:AU$93,$D2826)/$E2826</f>
        <v/>
      </c>
      <c r="AV2826" s="35">
        <f>INDEX(AV$80:AV$93,$D2826)/$E2826</f>
        <v/>
      </c>
      <c r="AW2826" s="35">
        <f>INDEX(AW$80:AW$93,$D2826)/$E2826</f>
        <v/>
      </c>
      <c r="AX2826" s="35">
        <f>INDEX(AX$80:AX$93,$D2826)/$E2826</f>
        <v/>
      </c>
      <c r="AY2826" s="35">
        <f>INDEX(AY$80:AY$93,$D2826)/$E2826</f>
        <v/>
      </c>
      <c r="AZ2826" s="35">
        <f>INDEX(AZ$80:AZ$93,$D2826)/$E2826</f>
        <v/>
      </c>
      <c r="BA2826" s="42">
        <f>NEWEXCISE(INDEX(BA$80:BA$93,$D2826),$E2826)</f>
        <v/>
      </c>
    </row>
    <row r="2827" hidden="1" outlineLevel="2">
      <c r="A2827" s="14" t="inlineStr">
        <is>
          <t>ntx</t>
        </is>
      </c>
      <c r="B2827" s="14" t="inlineStr">
        <is>
          <t>lpg</t>
        </is>
      </c>
      <c r="C2827" s="14" t="inlineStr">
        <is>
          <t>ftr</t>
        </is>
      </c>
      <c r="D2827" s="35">
        <f>INDEX(Inputs!$N$5:$N$132,MATCH($B2827&amp;"|"&amp;$C2827,Inputs!$A$5:$A$132,0))</f>
        <v/>
      </c>
      <c r="E2827" s="35">
        <f>INDEX(Inputs!$K$5:$K$132,MATCH($B2827&amp;"|"&amp;$C2827,Inputs!$A$5:$A$132,0))</f>
        <v/>
      </c>
      <c r="F2827" s="39" t="n"/>
      <c r="G2827" s="39" t="n"/>
      <c r="H2827" s="14">
        <f>INDEX(VarLab,MATCH($A2827,VarKey,0))&amp;INDEX(MemLab,MATCH($C2827&amp;"|"&amp;$B2827,MemKey,0))</f>
        <v/>
      </c>
      <c r="I2827" s="14">
        <f>INDEX(VarUnit,MATCH($A2827,VarKey,0))</f>
        <v/>
      </c>
      <c r="J2827" s="14">
        <f>INDEX(VarSrc,MATCH($A2827,VarKey,0))</f>
        <v/>
      </c>
      <c r="K2827" s="11">
        <f>CodePrefix&amp;$A2827&amp;IF($C2827="","","."&amp;$C2827&amp;"."&amp;$B2827)&amp;INDEX(VarEnd,MATCH($A2827,VarKey,0))&amp;K$5</f>
        <v/>
      </c>
      <c r="L2827" s="40">
        <f>INDEX(L$80:L$93,$D2827)/$E2827</f>
        <v/>
      </c>
      <c r="M2827" s="35">
        <f>INDEX(M$80:M$93,$D2827)/$E2827</f>
        <v/>
      </c>
      <c r="N2827" s="35">
        <f>INDEX(N$80:N$93,$D2827)/$E2827</f>
        <v/>
      </c>
      <c r="O2827" s="35">
        <f>INDEX(O$80:O$93,$D2827)/$E2827</f>
        <v/>
      </c>
      <c r="P2827" s="35">
        <f>INDEX(P$80:P$93,$D2827)/$E2827</f>
        <v/>
      </c>
      <c r="Q2827" s="35">
        <f>INDEX(Q$80:Q$93,$D2827)/$E2827</f>
        <v/>
      </c>
      <c r="R2827" s="35">
        <f>INDEX(R$80:R$93,$D2827)/$E2827</f>
        <v/>
      </c>
      <c r="S2827" s="35">
        <f>INDEX(S$80:S$93,$D2827)/$E2827</f>
        <v/>
      </c>
      <c r="T2827" s="35">
        <f>INDEX(T$80:T$93,$D2827)/$E2827</f>
        <v/>
      </c>
      <c r="U2827" s="35">
        <f>INDEX(U$80:U$93,$D2827)/$E2827</f>
        <v/>
      </c>
      <c r="V2827" s="35">
        <f>INDEX(V$80:V$93,$D2827)/$E2827</f>
        <v/>
      </c>
      <c r="W2827" s="35">
        <f>INDEX(W$80:W$93,$D2827)/$E2827</f>
        <v/>
      </c>
      <c r="X2827" s="35">
        <f>INDEX(X$80:X$93,$D2827)/$E2827</f>
        <v/>
      </c>
      <c r="Y2827" s="35">
        <f>INDEX(Y$80:Y$93,$D2827)/$E2827</f>
        <v/>
      </c>
      <c r="Z2827" s="35">
        <f>INDEX(Z$80:Z$93,$D2827)/$E2827</f>
        <v/>
      </c>
      <c r="AA2827" s="35">
        <f>INDEX(AA$80:AA$93,$D2827)/$E2827</f>
        <v/>
      </c>
      <c r="AB2827" s="35">
        <f>INDEX(AB$80:AB$93,$D2827)/$E2827</f>
        <v/>
      </c>
      <c r="AC2827" s="35">
        <f>INDEX(AC$80:AC$93,$D2827)/$E2827</f>
        <v/>
      </c>
      <c r="AD2827" s="35">
        <f>INDEX(AD$80:AD$93,$D2827)/$E2827</f>
        <v/>
      </c>
      <c r="AE2827" s="42">
        <f>NEWEXCISE(INDEX(AE$80:AE$93,$D2827),$E2827)</f>
        <v/>
      </c>
      <c r="AG2827" s="11">
        <f>CodePrefix&amp;$A2827&amp;IF($C2827="","","."&amp;$C2827&amp;"."&amp;$B2827)&amp;INDEX(VarEnd,MATCH($A2827,VarKey,0))&amp;AG$5</f>
        <v/>
      </c>
      <c r="AH2827" s="40">
        <f>INDEX(AH$80:AH$93,$D2827)/$E2827</f>
        <v/>
      </c>
      <c r="AI2827" s="35">
        <f>INDEX(AI$80:AI$93,$D2827)/$E2827</f>
        <v/>
      </c>
      <c r="AJ2827" s="35">
        <f>INDEX(AJ$80:AJ$93,$D2827)/$E2827</f>
        <v/>
      </c>
      <c r="AK2827" s="35">
        <f>INDEX(AK$80:AK$93,$D2827)/$E2827</f>
        <v/>
      </c>
      <c r="AL2827" s="35">
        <f>INDEX(AL$80:AL$93,$D2827)/$E2827</f>
        <v/>
      </c>
      <c r="AM2827" s="35">
        <f>INDEX(AM$80:AM$93,$D2827)/$E2827</f>
        <v/>
      </c>
      <c r="AN2827" s="35">
        <f>INDEX(AN$80:AN$93,$D2827)/$E2827</f>
        <v/>
      </c>
      <c r="AO2827" s="35">
        <f>INDEX(AO$80:AO$93,$D2827)/$E2827</f>
        <v/>
      </c>
      <c r="AP2827" s="35">
        <f>INDEX(AP$80:AP$93,$D2827)/$E2827</f>
        <v/>
      </c>
      <c r="AQ2827" s="35">
        <f>INDEX(AQ$80:AQ$93,$D2827)/$E2827</f>
        <v/>
      </c>
      <c r="AR2827" s="35">
        <f>INDEX(AR$80:AR$93,$D2827)/$E2827</f>
        <v/>
      </c>
      <c r="AS2827" s="35">
        <f>INDEX(AS$80:AS$93,$D2827)/$E2827</f>
        <v/>
      </c>
      <c r="AT2827" s="35">
        <f>INDEX(AT$80:AT$93,$D2827)/$E2827</f>
        <v/>
      </c>
      <c r="AU2827" s="35">
        <f>INDEX(AU$80:AU$93,$D2827)/$E2827</f>
        <v/>
      </c>
      <c r="AV2827" s="35">
        <f>INDEX(AV$80:AV$93,$D2827)/$E2827</f>
        <v/>
      </c>
      <c r="AW2827" s="35">
        <f>INDEX(AW$80:AW$93,$D2827)/$E2827</f>
        <v/>
      </c>
      <c r="AX2827" s="35">
        <f>INDEX(AX$80:AX$93,$D2827)/$E2827</f>
        <v/>
      </c>
      <c r="AY2827" s="35">
        <f>INDEX(AY$80:AY$93,$D2827)/$E2827</f>
        <v/>
      </c>
      <c r="AZ2827" s="35">
        <f>INDEX(AZ$80:AZ$93,$D2827)/$E2827</f>
        <v/>
      </c>
      <c r="BA2827" s="42">
        <f>NEWEXCISE(INDEX(BA$80:BA$93,$D2827),$E2827)</f>
        <v/>
      </c>
    </row>
    <row r="2828" hidden="1" outlineLevel="2">
      <c r="A2828" s="14" t="inlineStr">
        <is>
          <t>ntx</t>
        </is>
      </c>
      <c r="B2828" s="14" t="inlineStr">
        <is>
          <t>ker</t>
        </is>
      </c>
      <c r="C2828" s="14" t="inlineStr">
        <is>
          <t>ftr</t>
        </is>
      </c>
      <c r="D2828" s="35">
        <f>INDEX(Inputs!$N$5:$N$132,MATCH($B2828&amp;"|"&amp;$C2828,Inputs!$A$5:$A$132,0))</f>
        <v/>
      </c>
      <c r="E2828" s="35">
        <f>INDEX(Inputs!$K$5:$K$132,MATCH($B2828&amp;"|"&amp;$C2828,Inputs!$A$5:$A$132,0))</f>
        <v/>
      </c>
      <c r="F2828" s="39" t="n"/>
      <c r="G2828" s="39" t="n"/>
      <c r="H2828" s="14">
        <f>INDEX(VarLab,MATCH($A2828,VarKey,0))&amp;INDEX(MemLab,MATCH($C2828&amp;"|"&amp;$B2828,MemKey,0))</f>
        <v/>
      </c>
      <c r="I2828" s="14">
        <f>INDEX(VarUnit,MATCH($A2828,VarKey,0))</f>
        <v/>
      </c>
      <c r="J2828" s="14">
        <f>INDEX(VarSrc,MATCH($A2828,VarKey,0))</f>
        <v/>
      </c>
      <c r="K2828" s="11">
        <f>CodePrefix&amp;$A2828&amp;IF($C2828="","","."&amp;$C2828&amp;"."&amp;$B2828)&amp;INDEX(VarEnd,MATCH($A2828,VarKey,0))&amp;K$5</f>
        <v/>
      </c>
      <c r="L2828" s="40">
        <f>INDEX(L$80:L$93,$D2828)/$E2828</f>
        <v/>
      </c>
      <c r="M2828" s="35">
        <f>INDEX(M$80:M$93,$D2828)/$E2828</f>
        <v/>
      </c>
      <c r="N2828" s="35">
        <f>INDEX(N$80:N$93,$D2828)/$E2828</f>
        <v/>
      </c>
      <c r="O2828" s="35">
        <f>INDEX(O$80:O$93,$D2828)/$E2828</f>
        <v/>
      </c>
      <c r="P2828" s="35">
        <f>INDEX(P$80:P$93,$D2828)/$E2828</f>
        <v/>
      </c>
      <c r="Q2828" s="35">
        <f>INDEX(Q$80:Q$93,$D2828)/$E2828</f>
        <v/>
      </c>
      <c r="R2828" s="35">
        <f>INDEX(R$80:R$93,$D2828)/$E2828</f>
        <v/>
      </c>
      <c r="S2828" s="35">
        <f>INDEX(S$80:S$93,$D2828)/$E2828</f>
        <v/>
      </c>
      <c r="T2828" s="35">
        <f>INDEX(T$80:T$93,$D2828)/$E2828</f>
        <v/>
      </c>
      <c r="U2828" s="35">
        <f>INDEX(U$80:U$93,$D2828)/$E2828</f>
        <v/>
      </c>
      <c r="V2828" s="35">
        <f>INDEX(V$80:V$93,$D2828)/$E2828</f>
        <v/>
      </c>
      <c r="W2828" s="35">
        <f>INDEX(W$80:W$93,$D2828)/$E2828</f>
        <v/>
      </c>
      <c r="X2828" s="35">
        <f>INDEX(X$80:X$93,$D2828)/$E2828</f>
        <v/>
      </c>
      <c r="Y2828" s="35">
        <f>INDEX(Y$80:Y$93,$D2828)/$E2828</f>
        <v/>
      </c>
      <c r="Z2828" s="35">
        <f>INDEX(Z$80:Z$93,$D2828)/$E2828</f>
        <v/>
      </c>
      <c r="AA2828" s="35">
        <f>INDEX(AA$80:AA$93,$D2828)/$E2828</f>
        <v/>
      </c>
      <c r="AB2828" s="35">
        <f>INDEX(AB$80:AB$93,$D2828)/$E2828</f>
        <v/>
      </c>
      <c r="AC2828" s="35">
        <f>INDEX(AC$80:AC$93,$D2828)/$E2828</f>
        <v/>
      </c>
      <c r="AD2828" s="35">
        <f>INDEX(AD$80:AD$93,$D2828)/$E2828</f>
        <v/>
      </c>
      <c r="AE2828" s="42">
        <f>NEWEXCISE(INDEX(AE$80:AE$93,$D2828),$E2828)</f>
        <v/>
      </c>
      <c r="AG2828" s="11">
        <f>CodePrefix&amp;$A2828&amp;IF($C2828="","","."&amp;$C2828&amp;"."&amp;$B2828)&amp;INDEX(VarEnd,MATCH($A2828,VarKey,0))&amp;AG$5</f>
        <v/>
      </c>
      <c r="AH2828" s="40">
        <f>INDEX(AH$80:AH$93,$D2828)/$E2828</f>
        <v/>
      </c>
      <c r="AI2828" s="35">
        <f>INDEX(AI$80:AI$93,$D2828)/$E2828</f>
        <v/>
      </c>
      <c r="AJ2828" s="35">
        <f>INDEX(AJ$80:AJ$93,$D2828)/$E2828</f>
        <v/>
      </c>
      <c r="AK2828" s="35">
        <f>INDEX(AK$80:AK$93,$D2828)/$E2828</f>
        <v/>
      </c>
      <c r="AL2828" s="35">
        <f>INDEX(AL$80:AL$93,$D2828)/$E2828</f>
        <v/>
      </c>
      <c r="AM2828" s="35">
        <f>INDEX(AM$80:AM$93,$D2828)/$E2828</f>
        <v/>
      </c>
      <c r="AN2828" s="35">
        <f>INDEX(AN$80:AN$93,$D2828)/$E2828</f>
        <v/>
      </c>
      <c r="AO2828" s="35">
        <f>INDEX(AO$80:AO$93,$D2828)/$E2828</f>
        <v/>
      </c>
      <c r="AP2828" s="35">
        <f>INDEX(AP$80:AP$93,$D2828)/$E2828</f>
        <v/>
      </c>
      <c r="AQ2828" s="35">
        <f>INDEX(AQ$80:AQ$93,$D2828)/$E2828</f>
        <v/>
      </c>
      <c r="AR2828" s="35">
        <f>INDEX(AR$80:AR$93,$D2828)/$E2828</f>
        <v/>
      </c>
      <c r="AS2828" s="35">
        <f>INDEX(AS$80:AS$93,$D2828)/$E2828</f>
        <v/>
      </c>
      <c r="AT2828" s="35">
        <f>INDEX(AT$80:AT$93,$D2828)/$E2828</f>
        <v/>
      </c>
      <c r="AU2828" s="35">
        <f>INDEX(AU$80:AU$93,$D2828)/$E2828</f>
        <v/>
      </c>
      <c r="AV2828" s="35">
        <f>INDEX(AV$80:AV$93,$D2828)/$E2828</f>
        <v/>
      </c>
      <c r="AW2828" s="35">
        <f>INDEX(AW$80:AW$93,$D2828)/$E2828</f>
        <v/>
      </c>
      <c r="AX2828" s="35">
        <f>INDEX(AX$80:AX$93,$D2828)/$E2828</f>
        <v/>
      </c>
      <c r="AY2828" s="35">
        <f>INDEX(AY$80:AY$93,$D2828)/$E2828</f>
        <v/>
      </c>
      <c r="AZ2828" s="35">
        <f>INDEX(AZ$80:AZ$93,$D2828)/$E2828</f>
        <v/>
      </c>
      <c r="BA2828" s="42">
        <f>NEWEXCISE(INDEX(BA$80:BA$93,$D2828),$E2828)</f>
        <v/>
      </c>
    </row>
    <row r="2829" hidden="1" outlineLevel="2">
      <c r="A2829" s="14" t="inlineStr">
        <is>
          <t>ntx</t>
        </is>
      </c>
      <c r="B2829" s="14" t="inlineStr">
        <is>
          <t>oop</t>
        </is>
      </c>
      <c r="C2829" s="14" t="inlineStr">
        <is>
          <t>ftr</t>
        </is>
      </c>
      <c r="D2829" s="35">
        <f>INDEX(Inputs!$N$5:$N$132,MATCH($B2829&amp;"|"&amp;$C2829,Inputs!$A$5:$A$132,0))</f>
        <v/>
      </c>
      <c r="E2829" s="35">
        <f>INDEX(Inputs!$K$5:$K$132,MATCH($B2829&amp;"|"&amp;$C2829,Inputs!$A$5:$A$132,0))</f>
        <v/>
      </c>
      <c r="F2829" s="39" t="n"/>
      <c r="G2829" s="39" t="n"/>
      <c r="H2829" s="14">
        <f>INDEX(VarLab,MATCH($A2829,VarKey,0))&amp;INDEX(MemLab,MATCH($C2829&amp;"|"&amp;$B2829,MemKey,0))</f>
        <v/>
      </c>
      <c r="I2829" s="14">
        <f>INDEX(VarUnit,MATCH($A2829,VarKey,0))</f>
        <v/>
      </c>
      <c r="J2829" s="14">
        <f>INDEX(VarSrc,MATCH($A2829,VarKey,0))</f>
        <v/>
      </c>
      <c r="K2829" s="11">
        <f>CodePrefix&amp;$A2829&amp;IF($C2829="","","."&amp;$C2829&amp;"."&amp;$B2829)&amp;INDEX(VarEnd,MATCH($A2829,VarKey,0))&amp;K$5</f>
        <v/>
      </c>
      <c r="L2829" s="40">
        <f>INDEX(L$80:L$93,$D2829)/$E2829</f>
        <v/>
      </c>
      <c r="M2829" s="35">
        <f>INDEX(M$80:M$93,$D2829)/$E2829</f>
        <v/>
      </c>
      <c r="N2829" s="35">
        <f>INDEX(N$80:N$93,$D2829)/$E2829</f>
        <v/>
      </c>
      <c r="O2829" s="35">
        <f>INDEX(O$80:O$93,$D2829)/$E2829</f>
        <v/>
      </c>
      <c r="P2829" s="35">
        <f>INDEX(P$80:P$93,$D2829)/$E2829</f>
        <v/>
      </c>
      <c r="Q2829" s="35">
        <f>INDEX(Q$80:Q$93,$D2829)/$E2829</f>
        <v/>
      </c>
      <c r="R2829" s="35">
        <f>INDEX(R$80:R$93,$D2829)/$E2829</f>
        <v/>
      </c>
      <c r="S2829" s="35">
        <f>INDEX(S$80:S$93,$D2829)/$E2829</f>
        <v/>
      </c>
      <c r="T2829" s="35">
        <f>INDEX(T$80:T$93,$D2829)/$E2829</f>
        <v/>
      </c>
      <c r="U2829" s="35">
        <f>INDEX(U$80:U$93,$D2829)/$E2829</f>
        <v/>
      </c>
      <c r="V2829" s="35">
        <f>INDEX(V$80:V$93,$D2829)/$E2829</f>
        <v/>
      </c>
      <c r="W2829" s="35">
        <f>INDEX(W$80:W$93,$D2829)/$E2829</f>
        <v/>
      </c>
      <c r="X2829" s="35">
        <f>INDEX(X$80:X$93,$D2829)/$E2829</f>
        <v/>
      </c>
      <c r="Y2829" s="35">
        <f>INDEX(Y$80:Y$93,$D2829)/$E2829</f>
        <v/>
      </c>
      <c r="Z2829" s="35">
        <f>INDEX(Z$80:Z$93,$D2829)/$E2829</f>
        <v/>
      </c>
      <c r="AA2829" s="35">
        <f>INDEX(AA$80:AA$93,$D2829)/$E2829</f>
        <v/>
      </c>
      <c r="AB2829" s="35">
        <f>INDEX(AB$80:AB$93,$D2829)/$E2829</f>
        <v/>
      </c>
      <c r="AC2829" s="35">
        <f>INDEX(AC$80:AC$93,$D2829)/$E2829</f>
        <v/>
      </c>
      <c r="AD2829" s="35">
        <f>INDEX(AD$80:AD$93,$D2829)/$E2829</f>
        <v/>
      </c>
      <c r="AE2829" s="42">
        <f>NEWEXCISE(INDEX(AE$80:AE$93,$D2829),$E2829)</f>
        <v/>
      </c>
      <c r="AG2829" s="11">
        <f>CodePrefix&amp;$A2829&amp;IF($C2829="","","."&amp;$C2829&amp;"."&amp;$B2829)&amp;INDEX(VarEnd,MATCH($A2829,VarKey,0))&amp;AG$5</f>
        <v/>
      </c>
      <c r="AH2829" s="40">
        <f>INDEX(AH$80:AH$93,$D2829)/$E2829</f>
        <v/>
      </c>
      <c r="AI2829" s="35">
        <f>INDEX(AI$80:AI$93,$D2829)/$E2829</f>
        <v/>
      </c>
      <c r="AJ2829" s="35">
        <f>INDEX(AJ$80:AJ$93,$D2829)/$E2829</f>
        <v/>
      </c>
      <c r="AK2829" s="35">
        <f>INDEX(AK$80:AK$93,$D2829)/$E2829</f>
        <v/>
      </c>
      <c r="AL2829" s="35">
        <f>INDEX(AL$80:AL$93,$D2829)/$E2829</f>
        <v/>
      </c>
      <c r="AM2829" s="35">
        <f>INDEX(AM$80:AM$93,$D2829)/$E2829</f>
        <v/>
      </c>
      <c r="AN2829" s="35">
        <f>INDEX(AN$80:AN$93,$D2829)/$E2829</f>
        <v/>
      </c>
      <c r="AO2829" s="35">
        <f>INDEX(AO$80:AO$93,$D2829)/$E2829</f>
        <v/>
      </c>
      <c r="AP2829" s="35">
        <f>INDEX(AP$80:AP$93,$D2829)/$E2829</f>
        <v/>
      </c>
      <c r="AQ2829" s="35">
        <f>INDEX(AQ$80:AQ$93,$D2829)/$E2829</f>
        <v/>
      </c>
      <c r="AR2829" s="35">
        <f>INDEX(AR$80:AR$93,$D2829)/$E2829</f>
        <v/>
      </c>
      <c r="AS2829" s="35">
        <f>INDEX(AS$80:AS$93,$D2829)/$E2829</f>
        <v/>
      </c>
      <c r="AT2829" s="35">
        <f>INDEX(AT$80:AT$93,$D2829)/$E2829</f>
        <v/>
      </c>
      <c r="AU2829" s="35">
        <f>INDEX(AU$80:AU$93,$D2829)/$E2829</f>
        <v/>
      </c>
      <c r="AV2829" s="35">
        <f>INDEX(AV$80:AV$93,$D2829)/$E2829</f>
        <v/>
      </c>
      <c r="AW2829" s="35">
        <f>INDEX(AW$80:AW$93,$D2829)/$E2829</f>
        <v/>
      </c>
      <c r="AX2829" s="35">
        <f>INDEX(AX$80:AX$93,$D2829)/$E2829</f>
        <v/>
      </c>
      <c r="AY2829" s="35">
        <f>INDEX(AY$80:AY$93,$D2829)/$E2829</f>
        <v/>
      </c>
      <c r="AZ2829" s="35">
        <f>INDEX(AZ$80:AZ$93,$D2829)/$E2829</f>
        <v/>
      </c>
      <c r="BA2829" s="42">
        <f>NEWEXCISE(INDEX(BA$80:BA$93,$D2829),$E2829)</f>
        <v/>
      </c>
    </row>
    <row r="2830" hidden="1" outlineLevel="2">
      <c r="A2830" s="14" t="inlineStr">
        <is>
          <t>ntx</t>
        </is>
      </c>
      <c r="B2830" s="14" t="inlineStr">
        <is>
          <t>bio</t>
        </is>
      </c>
      <c r="C2830" s="14" t="inlineStr">
        <is>
          <t>ftr</t>
        </is>
      </c>
      <c r="D2830" s="35">
        <f>INDEX(Inputs!$N$5:$N$132,MATCH($B2830&amp;"|"&amp;$C2830,Inputs!$A$5:$A$132,0))</f>
        <v/>
      </c>
      <c r="E2830" s="35">
        <f>INDEX(Inputs!$K$5:$K$132,MATCH($B2830&amp;"|"&amp;$C2830,Inputs!$A$5:$A$132,0))</f>
        <v/>
      </c>
      <c r="F2830" s="39" t="n"/>
      <c r="G2830" s="39" t="n"/>
      <c r="H2830" s="14">
        <f>INDEX(VarLab,MATCH($A2830,VarKey,0))&amp;INDEX(MemLab,MATCH($C2830&amp;"|"&amp;$B2830,MemKey,0))</f>
        <v/>
      </c>
      <c r="I2830" s="14">
        <f>INDEX(VarUnit,MATCH($A2830,VarKey,0))</f>
        <v/>
      </c>
      <c r="J2830" s="14">
        <f>INDEX(VarSrc,MATCH($A2830,VarKey,0))</f>
        <v/>
      </c>
      <c r="K2830" s="11">
        <f>CodePrefix&amp;$A2830&amp;IF($C2830="","","."&amp;$C2830&amp;"."&amp;$B2830)&amp;INDEX(VarEnd,MATCH($A2830,VarKey,0))&amp;K$5</f>
        <v/>
      </c>
      <c r="L2830" s="40">
        <f>INDEX(L$80:L$93,$D2830)/$E2830</f>
        <v/>
      </c>
      <c r="M2830" s="35">
        <f>INDEX(M$80:M$93,$D2830)/$E2830</f>
        <v/>
      </c>
      <c r="N2830" s="35">
        <f>INDEX(N$80:N$93,$D2830)/$E2830</f>
        <v/>
      </c>
      <c r="O2830" s="35">
        <f>INDEX(O$80:O$93,$D2830)/$E2830</f>
        <v/>
      </c>
      <c r="P2830" s="35">
        <f>INDEX(P$80:P$93,$D2830)/$E2830</f>
        <v/>
      </c>
      <c r="Q2830" s="35">
        <f>INDEX(Q$80:Q$93,$D2830)/$E2830</f>
        <v/>
      </c>
      <c r="R2830" s="35">
        <f>INDEX(R$80:R$93,$D2830)/$E2830</f>
        <v/>
      </c>
      <c r="S2830" s="35">
        <f>INDEX(S$80:S$93,$D2830)/$E2830</f>
        <v/>
      </c>
      <c r="T2830" s="35">
        <f>INDEX(T$80:T$93,$D2830)/$E2830</f>
        <v/>
      </c>
      <c r="U2830" s="35">
        <f>INDEX(U$80:U$93,$D2830)/$E2830</f>
        <v/>
      </c>
      <c r="V2830" s="35">
        <f>INDEX(V$80:V$93,$D2830)/$E2830</f>
        <v/>
      </c>
      <c r="W2830" s="35">
        <f>INDEX(W$80:W$93,$D2830)/$E2830</f>
        <v/>
      </c>
      <c r="X2830" s="35">
        <f>INDEX(X$80:X$93,$D2830)/$E2830</f>
        <v/>
      </c>
      <c r="Y2830" s="35">
        <f>INDEX(Y$80:Y$93,$D2830)/$E2830</f>
        <v/>
      </c>
      <c r="Z2830" s="35">
        <f>INDEX(Z$80:Z$93,$D2830)/$E2830</f>
        <v/>
      </c>
      <c r="AA2830" s="35">
        <f>INDEX(AA$80:AA$93,$D2830)/$E2830</f>
        <v/>
      </c>
      <c r="AB2830" s="35">
        <f>INDEX(AB$80:AB$93,$D2830)/$E2830</f>
        <v/>
      </c>
      <c r="AC2830" s="35">
        <f>INDEX(AC$80:AC$93,$D2830)/$E2830</f>
        <v/>
      </c>
      <c r="AD2830" s="35">
        <f>INDEX(AD$80:AD$93,$D2830)/$E2830</f>
        <v/>
      </c>
      <c r="AE2830" s="42">
        <f>NEWEXCISE(INDEX(AE$80:AE$93,$D2830),$E2830)</f>
        <v/>
      </c>
      <c r="AG2830" s="11">
        <f>CodePrefix&amp;$A2830&amp;IF($C2830="","","."&amp;$C2830&amp;"."&amp;$B2830)&amp;INDEX(VarEnd,MATCH($A2830,VarKey,0))&amp;AG$5</f>
        <v/>
      </c>
      <c r="AH2830" s="40">
        <f>INDEX(AH$80:AH$93,$D2830)/$E2830</f>
        <v/>
      </c>
      <c r="AI2830" s="35">
        <f>INDEX(AI$80:AI$93,$D2830)/$E2830</f>
        <v/>
      </c>
      <c r="AJ2830" s="35">
        <f>INDEX(AJ$80:AJ$93,$D2830)/$E2830</f>
        <v/>
      </c>
      <c r="AK2830" s="35">
        <f>INDEX(AK$80:AK$93,$D2830)/$E2830</f>
        <v/>
      </c>
      <c r="AL2830" s="35">
        <f>INDEX(AL$80:AL$93,$D2830)/$E2830</f>
        <v/>
      </c>
      <c r="AM2830" s="35">
        <f>INDEX(AM$80:AM$93,$D2830)/$E2830</f>
        <v/>
      </c>
      <c r="AN2830" s="35">
        <f>INDEX(AN$80:AN$93,$D2830)/$E2830</f>
        <v/>
      </c>
      <c r="AO2830" s="35">
        <f>INDEX(AO$80:AO$93,$D2830)/$E2830</f>
        <v/>
      </c>
      <c r="AP2830" s="35">
        <f>INDEX(AP$80:AP$93,$D2830)/$E2830</f>
        <v/>
      </c>
      <c r="AQ2830" s="35">
        <f>INDEX(AQ$80:AQ$93,$D2830)/$E2830</f>
        <v/>
      </c>
      <c r="AR2830" s="35">
        <f>INDEX(AR$80:AR$93,$D2830)/$E2830</f>
        <v/>
      </c>
      <c r="AS2830" s="35">
        <f>INDEX(AS$80:AS$93,$D2830)/$E2830</f>
        <v/>
      </c>
      <c r="AT2830" s="35">
        <f>INDEX(AT$80:AT$93,$D2830)/$E2830</f>
        <v/>
      </c>
      <c r="AU2830" s="35">
        <f>INDEX(AU$80:AU$93,$D2830)/$E2830</f>
        <v/>
      </c>
      <c r="AV2830" s="35">
        <f>INDEX(AV$80:AV$93,$D2830)/$E2830</f>
        <v/>
      </c>
      <c r="AW2830" s="35">
        <f>INDEX(AW$80:AW$93,$D2830)/$E2830</f>
        <v/>
      </c>
      <c r="AX2830" s="35">
        <f>INDEX(AX$80:AX$93,$D2830)/$E2830</f>
        <v/>
      </c>
      <c r="AY2830" s="35">
        <f>INDEX(AY$80:AY$93,$D2830)/$E2830</f>
        <v/>
      </c>
      <c r="AZ2830" s="35">
        <f>INDEX(AZ$80:AZ$93,$D2830)/$E2830</f>
        <v/>
      </c>
      <c r="BA2830" s="42">
        <f>NEWEXCISE(INDEX(BA$80:BA$93,$D2830),$E2830)</f>
        <v/>
      </c>
    </row>
    <row r="2831" hidden="1" outlineLevel="2"/>
    <row r="2832" hidden="1" outlineLevel="2">
      <c r="A2832" s="14" t="inlineStr">
        <is>
          <t>nce</t>
        </is>
      </c>
      <c r="B2832" s="14" t="inlineStr">
        <is>
          <t>coa</t>
        </is>
      </c>
      <c r="C2832" s="14" t="inlineStr">
        <is>
          <t>ftr</t>
        </is>
      </c>
      <c r="D2832" s="39" t="n"/>
      <c r="E2832" s="39" t="n"/>
      <c r="F2832" s="39" t="n"/>
      <c r="G2832" s="39" t="n"/>
      <c r="H2832" s="14">
        <f>INDEX(VarLab,MATCH($A2832,VarKey,0))&amp;INDEX(MemLab,MATCH($C2832&amp;"|"&amp;$B2832,MemKey,0))</f>
        <v/>
      </c>
      <c r="I2832" s="14">
        <f>INDEX(VarUnit,MATCH($A2832,VarKey,0))</f>
        <v/>
      </c>
      <c r="J2832" s="14">
        <f>INDEX(VarSrc,MATCH($A2832,VarKey,0))</f>
        <v/>
      </c>
      <c r="K2832" s="11">
        <f>CodePrefix&amp;$A2832&amp;IF($C2832="","","."&amp;$C2832&amp;"."&amp;$B2832)&amp;INDEX(VarEnd,MATCH($A2832,VarKey,0))&amp;K$5</f>
        <v/>
      </c>
      <c r="L2832" s="40">
        <f>L2805+L2814+L2823</f>
        <v/>
      </c>
      <c r="M2832" s="35">
        <f>M2805+M2814+M2823</f>
        <v/>
      </c>
      <c r="N2832" s="35">
        <f>N2805+N2814+N2823</f>
        <v/>
      </c>
      <c r="O2832" s="35">
        <f>O2805+O2814+O2823</f>
        <v/>
      </c>
      <c r="P2832" s="35">
        <f>P2805+P2814+P2823</f>
        <v/>
      </c>
      <c r="Q2832" s="35">
        <f>Q2805+Q2814+Q2823</f>
        <v/>
      </c>
      <c r="R2832" s="35">
        <f>R2805+R2814+R2823</f>
        <v/>
      </c>
      <c r="S2832" s="35">
        <f>S2805+S2814+S2823</f>
        <v/>
      </c>
      <c r="T2832" s="35">
        <f>T2805+T2814+T2823</f>
        <v/>
      </c>
      <c r="U2832" s="35">
        <f>U2805+U2814+U2823</f>
        <v/>
      </c>
      <c r="V2832" s="35">
        <f>V2805+V2814+V2823</f>
        <v/>
      </c>
      <c r="W2832" s="35">
        <f>W2805+W2814+W2823</f>
        <v/>
      </c>
      <c r="X2832" s="35">
        <f>X2805+X2814+X2823</f>
        <v/>
      </c>
      <c r="Y2832" s="35">
        <f>Y2805+Y2814+Y2823</f>
        <v/>
      </c>
      <c r="Z2832" s="35">
        <f>Z2805+Z2814+Z2823</f>
        <v/>
      </c>
      <c r="AA2832" s="35">
        <f>AA2805+AA2814+AA2823</f>
        <v/>
      </c>
      <c r="AB2832" s="35">
        <f>AB2805+AB2814+AB2823</f>
        <v/>
      </c>
      <c r="AC2832" s="35">
        <f>AC2805+AC2814+AC2823</f>
        <v/>
      </c>
      <c r="AD2832" s="35">
        <f>AD2805+AD2814+AD2823</f>
        <v/>
      </c>
      <c r="AE2832" s="42">
        <f>NEWPOLICY(AE2805,AE2814,AE2823)</f>
        <v/>
      </c>
      <c r="AG2832" s="11">
        <f>CodePrefix&amp;$A2832&amp;IF($C2832="","","."&amp;$C2832&amp;"."&amp;$B2832)&amp;INDEX(VarEnd,MATCH($A2832,VarKey,0))&amp;AG$5</f>
        <v/>
      </c>
      <c r="AH2832" s="40">
        <f>AH2805+AH2814+AH2823</f>
        <v/>
      </c>
      <c r="AI2832" s="35">
        <f>AI2805+AI2814+AI2823</f>
        <v/>
      </c>
      <c r="AJ2832" s="35">
        <f>AJ2805+AJ2814+AJ2823</f>
        <v/>
      </c>
      <c r="AK2832" s="35">
        <f>AK2805+AK2814+AK2823</f>
        <v/>
      </c>
      <c r="AL2832" s="35">
        <f>AL2805+AL2814+AL2823</f>
        <v/>
      </c>
      <c r="AM2832" s="35">
        <f>AM2805+AM2814+AM2823</f>
        <v/>
      </c>
      <c r="AN2832" s="35">
        <f>AN2805+AN2814+AN2823</f>
        <v/>
      </c>
      <c r="AO2832" s="35">
        <f>AO2805+AO2814+AO2823</f>
        <v/>
      </c>
      <c r="AP2832" s="35">
        <f>AP2805+AP2814+AP2823</f>
        <v/>
      </c>
      <c r="AQ2832" s="35">
        <f>AQ2805+AQ2814+AQ2823</f>
        <v/>
      </c>
      <c r="AR2832" s="35">
        <f>AR2805+AR2814+AR2823</f>
        <v/>
      </c>
      <c r="AS2832" s="35">
        <f>AS2805+AS2814+AS2823</f>
        <v/>
      </c>
      <c r="AT2832" s="35">
        <f>AT2805+AT2814+AT2823</f>
        <v/>
      </c>
      <c r="AU2832" s="35">
        <f>AU2805+AU2814+AU2823</f>
        <v/>
      </c>
      <c r="AV2832" s="35">
        <f>AV2805+AV2814+AV2823</f>
        <v/>
      </c>
      <c r="AW2832" s="35">
        <f>AW2805+AW2814+AW2823</f>
        <v/>
      </c>
      <c r="AX2832" s="35">
        <f>AX2805+AX2814+AX2823</f>
        <v/>
      </c>
      <c r="AY2832" s="35">
        <f>AY2805+AY2814+AY2823</f>
        <v/>
      </c>
      <c r="AZ2832" s="35">
        <f>AZ2805+AZ2814+AZ2823</f>
        <v/>
      </c>
      <c r="BA2832" s="42">
        <f>NEWPOLICY(BA2805,BA2814,BA2823)</f>
        <v/>
      </c>
    </row>
    <row r="2833" hidden="1" outlineLevel="2">
      <c r="A2833" s="14" t="inlineStr">
        <is>
          <t>nce</t>
        </is>
      </c>
      <c r="B2833" s="14" t="inlineStr">
        <is>
          <t>nga</t>
        </is>
      </c>
      <c r="C2833" s="14" t="inlineStr">
        <is>
          <t>ftr</t>
        </is>
      </c>
      <c r="D2833" s="39" t="n"/>
      <c r="E2833" s="39" t="n"/>
      <c r="F2833" s="39" t="n"/>
      <c r="G2833" s="39" t="n"/>
      <c r="H2833" s="14">
        <f>INDEX(VarLab,MATCH($A2833,VarKey,0))&amp;INDEX(MemLab,MATCH($C2833&amp;"|"&amp;$B2833,MemKey,0))</f>
        <v/>
      </c>
      <c r="I2833" s="14">
        <f>INDEX(VarUnit,MATCH($A2833,VarKey,0))</f>
        <v/>
      </c>
      <c r="J2833" s="14">
        <f>INDEX(VarSrc,MATCH($A2833,VarKey,0))</f>
        <v/>
      </c>
      <c r="K2833" s="11">
        <f>CodePrefix&amp;$A2833&amp;IF($C2833="","","."&amp;$C2833&amp;"."&amp;$B2833)&amp;INDEX(VarEnd,MATCH($A2833,VarKey,0))&amp;K$5</f>
        <v/>
      </c>
      <c r="L2833" s="40">
        <f>L2806+L2815+L2824</f>
        <v/>
      </c>
      <c r="M2833" s="35">
        <f>M2806+M2815+M2824</f>
        <v/>
      </c>
      <c r="N2833" s="35">
        <f>N2806+N2815+N2824</f>
        <v/>
      </c>
      <c r="O2833" s="35">
        <f>O2806+O2815+O2824</f>
        <v/>
      </c>
      <c r="P2833" s="35">
        <f>P2806+P2815+P2824</f>
        <v/>
      </c>
      <c r="Q2833" s="35">
        <f>Q2806+Q2815+Q2824</f>
        <v/>
      </c>
      <c r="R2833" s="35">
        <f>R2806+R2815+R2824</f>
        <v/>
      </c>
      <c r="S2833" s="35">
        <f>S2806+S2815+S2824</f>
        <v/>
      </c>
      <c r="T2833" s="35">
        <f>T2806+T2815+T2824</f>
        <v/>
      </c>
      <c r="U2833" s="35">
        <f>U2806+U2815+U2824</f>
        <v/>
      </c>
      <c r="V2833" s="35">
        <f>V2806+V2815+V2824</f>
        <v/>
      </c>
      <c r="W2833" s="35">
        <f>W2806+W2815+W2824</f>
        <v/>
      </c>
      <c r="X2833" s="35">
        <f>X2806+X2815+X2824</f>
        <v/>
      </c>
      <c r="Y2833" s="35">
        <f>Y2806+Y2815+Y2824</f>
        <v/>
      </c>
      <c r="Z2833" s="35">
        <f>Z2806+Z2815+Z2824</f>
        <v/>
      </c>
      <c r="AA2833" s="35">
        <f>AA2806+AA2815+AA2824</f>
        <v/>
      </c>
      <c r="AB2833" s="35">
        <f>AB2806+AB2815+AB2824</f>
        <v/>
      </c>
      <c r="AC2833" s="35">
        <f>AC2806+AC2815+AC2824</f>
        <v/>
      </c>
      <c r="AD2833" s="35">
        <f>AD2806+AD2815+AD2824</f>
        <v/>
      </c>
      <c r="AE2833" s="42">
        <f>NEWPOLICY(AE2806,AE2815,AE2824)</f>
        <v/>
      </c>
      <c r="AG2833" s="11">
        <f>CodePrefix&amp;$A2833&amp;IF($C2833="","","."&amp;$C2833&amp;"."&amp;$B2833)&amp;INDEX(VarEnd,MATCH($A2833,VarKey,0))&amp;AG$5</f>
        <v/>
      </c>
      <c r="AH2833" s="40">
        <f>AH2806+AH2815+AH2824</f>
        <v/>
      </c>
      <c r="AI2833" s="35">
        <f>AI2806+AI2815+AI2824</f>
        <v/>
      </c>
      <c r="AJ2833" s="35">
        <f>AJ2806+AJ2815+AJ2824</f>
        <v/>
      </c>
      <c r="AK2833" s="35">
        <f>AK2806+AK2815+AK2824</f>
        <v/>
      </c>
      <c r="AL2833" s="35">
        <f>AL2806+AL2815+AL2824</f>
        <v/>
      </c>
      <c r="AM2833" s="35">
        <f>AM2806+AM2815+AM2824</f>
        <v/>
      </c>
      <c r="AN2833" s="35">
        <f>AN2806+AN2815+AN2824</f>
        <v/>
      </c>
      <c r="AO2833" s="35">
        <f>AO2806+AO2815+AO2824</f>
        <v/>
      </c>
      <c r="AP2833" s="35">
        <f>AP2806+AP2815+AP2824</f>
        <v/>
      </c>
      <c r="AQ2833" s="35">
        <f>AQ2806+AQ2815+AQ2824</f>
        <v/>
      </c>
      <c r="AR2833" s="35">
        <f>AR2806+AR2815+AR2824</f>
        <v/>
      </c>
      <c r="AS2833" s="35">
        <f>AS2806+AS2815+AS2824</f>
        <v/>
      </c>
      <c r="AT2833" s="35">
        <f>AT2806+AT2815+AT2824</f>
        <v/>
      </c>
      <c r="AU2833" s="35">
        <f>AU2806+AU2815+AU2824</f>
        <v/>
      </c>
      <c r="AV2833" s="35">
        <f>AV2806+AV2815+AV2824</f>
        <v/>
      </c>
      <c r="AW2833" s="35">
        <f>AW2806+AW2815+AW2824</f>
        <v/>
      </c>
      <c r="AX2833" s="35">
        <f>AX2806+AX2815+AX2824</f>
        <v/>
      </c>
      <c r="AY2833" s="35">
        <f>AY2806+AY2815+AY2824</f>
        <v/>
      </c>
      <c r="AZ2833" s="35">
        <f>AZ2806+AZ2815+AZ2824</f>
        <v/>
      </c>
      <c r="BA2833" s="42">
        <f>NEWPOLICY(BA2806,BA2815,BA2824)</f>
        <v/>
      </c>
    </row>
    <row r="2834" hidden="1" outlineLevel="2">
      <c r="A2834" s="14" t="inlineStr">
        <is>
          <t>nce</t>
        </is>
      </c>
      <c r="B2834" s="14" t="inlineStr">
        <is>
          <t>gso</t>
        </is>
      </c>
      <c r="C2834" s="14" t="inlineStr">
        <is>
          <t>ftr</t>
        </is>
      </c>
      <c r="D2834" s="39" t="n"/>
      <c r="E2834" s="39" t="n"/>
      <c r="F2834" s="39" t="n"/>
      <c r="G2834" s="39" t="n"/>
      <c r="H2834" s="14">
        <f>INDEX(VarLab,MATCH($A2834,VarKey,0))&amp;INDEX(MemLab,MATCH($C2834&amp;"|"&amp;$B2834,MemKey,0))</f>
        <v/>
      </c>
      <c r="I2834" s="14">
        <f>INDEX(VarUnit,MATCH($A2834,VarKey,0))</f>
        <v/>
      </c>
      <c r="J2834" s="14">
        <f>INDEX(VarSrc,MATCH($A2834,VarKey,0))</f>
        <v/>
      </c>
      <c r="K2834" s="11">
        <f>CodePrefix&amp;$A2834&amp;IF($C2834="","","."&amp;$C2834&amp;"."&amp;$B2834)&amp;INDEX(VarEnd,MATCH($A2834,VarKey,0))&amp;K$5</f>
        <v/>
      </c>
      <c r="L2834" s="40">
        <f>L2807+L2816+L2825</f>
        <v/>
      </c>
      <c r="M2834" s="35">
        <f>M2807+M2816+M2825</f>
        <v/>
      </c>
      <c r="N2834" s="35">
        <f>N2807+N2816+N2825</f>
        <v/>
      </c>
      <c r="O2834" s="35">
        <f>O2807+O2816+O2825</f>
        <v/>
      </c>
      <c r="P2834" s="35">
        <f>P2807+P2816+P2825</f>
        <v/>
      </c>
      <c r="Q2834" s="35">
        <f>Q2807+Q2816+Q2825</f>
        <v/>
      </c>
      <c r="R2834" s="35">
        <f>R2807+R2816+R2825</f>
        <v/>
      </c>
      <c r="S2834" s="35">
        <f>S2807+S2816+S2825</f>
        <v/>
      </c>
      <c r="T2834" s="35">
        <f>T2807+T2816+T2825</f>
        <v/>
      </c>
      <c r="U2834" s="35">
        <f>U2807+U2816+U2825</f>
        <v/>
      </c>
      <c r="V2834" s="35">
        <f>V2807+V2816+V2825</f>
        <v/>
      </c>
      <c r="W2834" s="35">
        <f>W2807+W2816+W2825</f>
        <v/>
      </c>
      <c r="X2834" s="35">
        <f>X2807+X2816+X2825</f>
        <v/>
      </c>
      <c r="Y2834" s="35">
        <f>Y2807+Y2816+Y2825</f>
        <v/>
      </c>
      <c r="Z2834" s="35">
        <f>Z2807+Z2816+Z2825</f>
        <v/>
      </c>
      <c r="AA2834" s="35">
        <f>AA2807+AA2816+AA2825</f>
        <v/>
      </c>
      <c r="AB2834" s="35">
        <f>AB2807+AB2816+AB2825</f>
        <v/>
      </c>
      <c r="AC2834" s="35">
        <f>AC2807+AC2816+AC2825</f>
        <v/>
      </c>
      <c r="AD2834" s="35">
        <f>AD2807+AD2816+AD2825</f>
        <v/>
      </c>
      <c r="AE2834" s="42">
        <f>NEWPOLICY(AE2807,AE2816,AE2825)</f>
        <v/>
      </c>
      <c r="AG2834" s="11">
        <f>CodePrefix&amp;$A2834&amp;IF($C2834="","","."&amp;$C2834&amp;"."&amp;$B2834)&amp;INDEX(VarEnd,MATCH($A2834,VarKey,0))&amp;AG$5</f>
        <v/>
      </c>
      <c r="AH2834" s="40">
        <f>AH2807+AH2816+AH2825</f>
        <v/>
      </c>
      <c r="AI2834" s="35">
        <f>AI2807+AI2816+AI2825</f>
        <v/>
      </c>
      <c r="AJ2834" s="35">
        <f>AJ2807+AJ2816+AJ2825</f>
        <v/>
      </c>
      <c r="AK2834" s="35">
        <f>AK2807+AK2816+AK2825</f>
        <v/>
      </c>
      <c r="AL2834" s="35">
        <f>AL2807+AL2816+AL2825</f>
        <v/>
      </c>
      <c r="AM2834" s="35">
        <f>AM2807+AM2816+AM2825</f>
        <v/>
      </c>
      <c r="AN2834" s="35">
        <f>AN2807+AN2816+AN2825</f>
        <v/>
      </c>
      <c r="AO2834" s="35">
        <f>AO2807+AO2816+AO2825</f>
        <v/>
      </c>
      <c r="AP2834" s="35">
        <f>AP2807+AP2816+AP2825</f>
        <v/>
      </c>
      <c r="AQ2834" s="35">
        <f>AQ2807+AQ2816+AQ2825</f>
        <v/>
      </c>
      <c r="AR2834" s="35">
        <f>AR2807+AR2816+AR2825</f>
        <v/>
      </c>
      <c r="AS2834" s="35">
        <f>AS2807+AS2816+AS2825</f>
        <v/>
      </c>
      <c r="AT2834" s="35">
        <f>AT2807+AT2816+AT2825</f>
        <v/>
      </c>
      <c r="AU2834" s="35">
        <f>AU2807+AU2816+AU2825</f>
        <v/>
      </c>
      <c r="AV2834" s="35">
        <f>AV2807+AV2816+AV2825</f>
        <v/>
      </c>
      <c r="AW2834" s="35">
        <f>AW2807+AW2816+AW2825</f>
        <v/>
      </c>
      <c r="AX2834" s="35">
        <f>AX2807+AX2816+AX2825</f>
        <v/>
      </c>
      <c r="AY2834" s="35">
        <f>AY2807+AY2816+AY2825</f>
        <v/>
      </c>
      <c r="AZ2834" s="35">
        <f>AZ2807+AZ2816+AZ2825</f>
        <v/>
      </c>
      <c r="BA2834" s="42">
        <f>NEWPOLICY(BA2807,BA2816,BA2825)</f>
        <v/>
      </c>
    </row>
    <row r="2835" hidden="1" outlineLevel="2">
      <c r="A2835" s="14" t="inlineStr">
        <is>
          <t>nce</t>
        </is>
      </c>
      <c r="B2835" s="14" t="inlineStr">
        <is>
          <t>die</t>
        </is>
      </c>
      <c r="C2835" s="14" t="inlineStr">
        <is>
          <t>ftr</t>
        </is>
      </c>
      <c r="D2835" s="39" t="n"/>
      <c r="E2835" s="39" t="n"/>
      <c r="F2835" s="39" t="n"/>
      <c r="G2835" s="39" t="n"/>
      <c r="H2835" s="14">
        <f>INDEX(VarLab,MATCH($A2835,VarKey,0))&amp;INDEX(MemLab,MATCH($C2835&amp;"|"&amp;$B2835,MemKey,0))</f>
        <v/>
      </c>
      <c r="I2835" s="14">
        <f>INDEX(VarUnit,MATCH($A2835,VarKey,0))</f>
        <v/>
      </c>
      <c r="J2835" s="14">
        <f>INDEX(VarSrc,MATCH($A2835,VarKey,0))</f>
        <v/>
      </c>
      <c r="K2835" s="11">
        <f>CodePrefix&amp;$A2835&amp;IF($C2835="","","."&amp;$C2835&amp;"."&amp;$B2835)&amp;INDEX(VarEnd,MATCH($A2835,VarKey,0))&amp;K$5</f>
        <v/>
      </c>
      <c r="L2835" s="40">
        <f>L2808+L2817+L2826</f>
        <v/>
      </c>
      <c r="M2835" s="35">
        <f>M2808+M2817+M2826</f>
        <v/>
      </c>
      <c r="N2835" s="35">
        <f>N2808+N2817+N2826</f>
        <v/>
      </c>
      <c r="O2835" s="35">
        <f>O2808+O2817+O2826</f>
        <v/>
      </c>
      <c r="P2835" s="35">
        <f>P2808+P2817+P2826</f>
        <v/>
      </c>
      <c r="Q2835" s="35">
        <f>Q2808+Q2817+Q2826</f>
        <v/>
      </c>
      <c r="R2835" s="35">
        <f>R2808+R2817+R2826</f>
        <v/>
      </c>
      <c r="S2835" s="35">
        <f>S2808+S2817+S2826</f>
        <v/>
      </c>
      <c r="T2835" s="35">
        <f>T2808+T2817+T2826</f>
        <v/>
      </c>
      <c r="U2835" s="35">
        <f>U2808+U2817+U2826</f>
        <v/>
      </c>
      <c r="V2835" s="35">
        <f>V2808+V2817+V2826</f>
        <v/>
      </c>
      <c r="W2835" s="35">
        <f>W2808+W2817+W2826</f>
        <v/>
      </c>
      <c r="X2835" s="35">
        <f>X2808+X2817+X2826</f>
        <v/>
      </c>
      <c r="Y2835" s="35">
        <f>Y2808+Y2817+Y2826</f>
        <v/>
      </c>
      <c r="Z2835" s="35">
        <f>Z2808+Z2817+Z2826</f>
        <v/>
      </c>
      <c r="AA2835" s="35">
        <f>AA2808+AA2817+AA2826</f>
        <v/>
      </c>
      <c r="AB2835" s="35">
        <f>AB2808+AB2817+AB2826</f>
        <v/>
      </c>
      <c r="AC2835" s="35">
        <f>AC2808+AC2817+AC2826</f>
        <v/>
      </c>
      <c r="AD2835" s="35">
        <f>AD2808+AD2817+AD2826</f>
        <v/>
      </c>
      <c r="AE2835" s="42">
        <f>NEWPOLICY(AE2808,AE2817,AE2826)</f>
        <v/>
      </c>
      <c r="AG2835" s="11">
        <f>CodePrefix&amp;$A2835&amp;IF($C2835="","","."&amp;$C2835&amp;"."&amp;$B2835)&amp;INDEX(VarEnd,MATCH($A2835,VarKey,0))&amp;AG$5</f>
        <v/>
      </c>
      <c r="AH2835" s="40">
        <f>AH2808+AH2817+AH2826</f>
        <v/>
      </c>
      <c r="AI2835" s="35">
        <f>AI2808+AI2817+AI2826</f>
        <v/>
      </c>
      <c r="AJ2835" s="35">
        <f>AJ2808+AJ2817+AJ2826</f>
        <v/>
      </c>
      <c r="AK2835" s="35">
        <f>AK2808+AK2817+AK2826</f>
        <v/>
      </c>
      <c r="AL2835" s="35">
        <f>AL2808+AL2817+AL2826</f>
        <v/>
      </c>
      <c r="AM2835" s="35">
        <f>AM2808+AM2817+AM2826</f>
        <v/>
      </c>
      <c r="AN2835" s="35">
        <f>AN2808+AN2817+AN2826</f>
        <v/>
      </c>
      <c r="AO2835" s="35">
        <f>AO2808+AO2817+AO2826</f>
        <v/>
      </c>
      <c r="AP2835" s="35">
        <f>AP2808+AP2817+AP2826</f>
        <v/>
      </c>
      <c r="AQ2835" s="35">
        <f>AQ2808+AQ2817+AQ2826</f>
        <v/>
      </c>
      <c r="AR2835" s="35">
        <f>AR2808+AR2817+AR2826</f>
        <v/>
      </c>
      <c r="AS2835" s="35">
        <f>AS2808+AS2817+AS2826</f>
        <v/>
      </c>
      <c r="AT2835" s="35">
        <f>AT2808+AT2817+AT2826</f>
        <v/>
      </c>
      <c r="AU2835" s="35">
        <f>AU2808+AU2817+AU2826</f>
        <v/>
      </c>
      <c r="AV2835" s="35">
        <f>AV2808+AV2817+AV2826</f>
        <v/>
      </c>
      <c r="AW2835" s="35">
        <f>AW2808+AW2817+AW2826</f>
        <v/>
      </c>
      <c r="AX2835" s="35">
        <f>AX2808+AX2817+AX2826</f>
        <v/>
      </c>
      <c r="AY2835" s="35">
        <f>AY2808+AY2817+AY2826</f>
        <v/>
      </c>
      <c r="AZ2835" s="35">
        <f>AZ2808+AZ2817+AZ2826</f>
        <v/>
      </c>
      <c r="BA2835" s="42">
        <f>NEWPOLICY(BA2808,BA2817,BA2826)</f>
        <v/>
      </c>
    </row>
    <row r="2836" hidden="1" outlineLevel="2">
      <c r="A2836" s="14" t="inlineStr">
        <is>
          <t>nce</t>
        </is>
      </c>
      <c r="B2836" s="14" t="inlineStr">
        <is>
          <t>lpg</t>
        </is>
      </c>
      <c r="C2836" s="14" t="inlineStr">
        <is>
          <t>ftr</t>
        </is>
      </c>
      <c r="D2836" s="39" t="n"/>
      <c r="E2836" s="39" t="n"/>
      <c r="F2836" s="39" t="n"/>
      <c r="G2836" s="39" t="n"/>
      <c r="H2836" s="14">
        <f>INDEX(VarLab,MATCH($A2836,VarKey,0))&amp;INDEX(MemLab,MATCH($C2836&amp;"|"&amp;$B2836,MemKey,0))</f>
        <v/>
      </c>
      <c r="I2836" s="14">
        <f>INDEX(VarUnit,MATCH($A2836,VarKey,0))</f>
        <v/>
      </c>
      <c r="J2836" s="14">
        <f>INDEX(VarSrc,MATCH($A2836,VarKey,0))</f>
        <v/>
      </c>
      <c r="K2836" s="11">
        <f>CodePrefix&amp;$A2836&amp;IF($C2836="","","."&amp;$C2836&amp;"."&amp;$B2836)&amp;INDEX(VarEnd,MATCH($A2836,VarKey,0))&amp;K$5</f>
        <v/>
      </c>
      <c r="L2836" s="40">
        <f>L2809+L2818+L2827</f>
        <v/>
      </c>
      <c r="M2836" s="35">
        <f>M2809+M2818+M2827</f>
        <v/>
      </c>
      <c r="N2836" s="35">
        <f>N2809+N2818+N2827</f>
        <v/>
      </c>
      <c r="O2836" s="35">
        <f>O2809+O2818+O2827</f>
        <v/>
      </c>
      <c r="P2836" s="35">
        <f>P2809+P2818+P2827</f>
        <v/>
      </c>
      <c r="Q2836" s="35">
        <f>Q2809+Q2818+Q2827</f>
        <v/>
      </c>
      <c r="R2836" s="35">
        <f>R2809+R2818+R2827</f>
        <v/>
      </c>
      <c r="S2836" s="35">
        <f>S2809+S2818+S2827</f>
        <v/>
      </c>
      <c r="T2836" s="35">
        <f>T2809+T2818+T2827</f>
        <v/>
      </c>
      <c r="U2836" s="35">
        <f>U2809+U2818+U2827</f>
        <v/>
      </c>
      <c r="V2836" s="35">
        <f>V2809+V2818+V2827</f>
        <v/>
      </c>
      <c r="W2836" s="35">
        <f>W2809+W2818+W2827</f>
        <v/>
      </c>
      <c r="X2836" s="35">
        <f>X2809+X2818+X2827</f>
        <v/>
      </c>
      <c r="Y2836" s="35">
        <f>Y2809+Y2818+Y2827</f>
        <v/>
      </c>
      <c r="Z2836" s="35">
        <f>Z2809+Z2818+Z2827</f>
        <v/>
      </c>
      <c r="AA2836" s="35">
        <f>AA2809+AA2818+AA2827</f>
        <v/>
      </c>
      <c r="AB2836" s="35">
        <f>AB2809+AB2818+AB2827</f>
        <v/>
      </c>
      <c r="AC2836" s="35">
        <f>AC2809+AC2818+AC2827</f>
        <v/>
      </c>
      <c r="AD2836" s="35">
        <f>AD2809+AD2818+AD2827</f>
        <v/>
      </c>
      <c r="AE2836" s="42">
        <f>NEWPOLICY(AE2809,AE2818,AE2827)</f>
        <v/>
      </c>
      <c r="AG2836" s="11">
        <f>CodePrefix&amp;$A2836&amp;IF($C2836="","","."&amp;$C2836&amp;"."&amp;$B2836)&amp;INDEX(VarEnd,MATCH($A2836,VarKey,0))&amp;AG$5</f>
        <v/>
      </c>
      <c r="AH2836" s="40">
        <f>AH2809+AH2818+AH2827</f>
        <v/>
      </c>
      <c r="AI2836" s="35">
        <f>AI2809+AI2818+AI2827</f>
        <v/>
      </c>
      <c r="AJ2836" s="35">
        <f>AJ2809+AJ2818+AJ2827</f>
        <v/>
      </c>
      <c r="AK2836" s="35">
        <f>AK2809+AK2818+AK2827</f>
        <v/>
      </c>
      <c r="AL2836" s="35">
        <f>AL2809+AL2818+AL2827</f>
        <v/>
      </c>
      <c r="AM2836" s="35">
        <f>AM2809+AM2818+AM2827</f>
        <v/>
      </c>
      <c r="AN2836" s="35">
        <f>AN2809+AN2818+AN2827</f>
        <v/>
      </c>
      <c r="AO2836" s="35">
        <f>AO2809+AO2818+AO2827</f>
        <v/>
      </c>
      <c r="AP2836" s="35">
        <f>AP2809+AP2818+AP2827</f>
        <v/>
      </c>
      <c r="AQ2836" s="35">
        <f>AQ2809+AQ2818+AQ2827</f>
        <v/>
      </c>
      <c r="AR2836" s="35">
        <f>AR2809+AR2818+AR2827</f>
        <v/>
      </c>
      <c r="AS2836" s="35">
        <f>AS2809+AS2818+AS2827</f>
        <v/>
      </c>
      <c r="AT2836" s="35">
        <f>AT2809+AT2818+AT2827</f>
        <v/>
      </c>
      <c r="AU2836" s="35">
        <f>AU2809+AU2818+AU2827</f>
        <v/>
      </c>
      <c r="AV2836" s="35">
        <f>AV2809+AV2818+AV2827</f>
        <v/>
      </c>
      <c r="AW2836" s="35">
        <f>AW2809+AW2818+AW2827</f>
        <v/>
      </c>
      <c r="AX2836" s="35">
        <f>AX2809+AX2818+AX2827</f>
        <v/>
      </c>
      <c r="AY2836" s="35">
        <f>AY2809+AY2818+AY2827</f>
        <v/>
      </c>
      <c r="AZ2836" s="35">
        <f>AZ2809+AZ2818+AZ2827</f>
        <v/>
      </c>
      <c r="BA2836" s="42">
        <f>NEWPOLICY(BA2809,BA2818,BA2827)</f>
        <v/>
      </c>
    </row>
    <row r="2837" hidden="1" outlineLevel="2">
      <c r="A2837" s="14" t="inlineStr">
        <is>
          <t>nce</t>
        </is>
      </c>
      <c r="B2837" s="14" t="inlineStr">
        <is>
          <t>ker</t>
        </is>
      </c>
      <c r="C2837" s="14" t="inlineStr">
        <is>
          <t>ftr</t>
        </is>
      </c>
      <c r="D2837" s="39" t="n"/>
      <c r="E2837" s="39" t="n"/>
      <c r="F2837" s="39" t="n"/>
      <c r="G2837" s="39" t="n"/>
      <c r="H2837" s="14">
        <f>INDEX(VarLab,MATCH($A2837,VarKey,0))&amp;INDEX(MemLab,MATCH($C2837&amp;"|"&amp;$B2837,MemKey,0))</f>
        <v/>
      </c>
      <c r="I2837" s="14">
        <f>INDEX(VarUnit,MATCH($A2837,VarKey,0))</f>
        <v/>
      </c>
      <c r="J2837" s="14">
        <f>INDEX(VarSrc,MATCH($A2837,VarKey,0))</f>
        <v/>
      </c>
      <c r="K2837" s="11">
        <f>CodePrefix&amp;$A2837&amp;IF($C2837="","","."&amp;$C2837&amp;"."&amp;$B2837)&amp;INDEX(VarEnd,MATCH($A2837,VarKey,0))&amp;K$5</f>
        <v/>
      </c>
      <c r="L2837" s="40">
        <f>L2810+L2819+L2828</f>
        <v/>
      </c>
      <c r="M2837" s="35">
        <f>M2810+M2819+M2828</f>
        <v/>
      </c>
      <c r="N2837" s="35">
        <f>N2810+N2819+N2828</f>
        <v/>
      </c>
      <c r="O2837" s="35">
        <f>O2810+O2819+O2828</f>
        <v/>
      </c>
      <c r="P2837" s="35">
        <f>P2810+P2819+P2828</f>
        <v/>
      </c>
      <c r="Q2837" s="35">
        <f>Q2810+Q2819+Q2828</f>
        <v/>
      </c>
      <c r="R2837" s="35">
        <f>R2810+R2819+R2828</f>
        <v/>
      </c>
      <c r="S2837" s="35">
        <f>S2810+S2819+S2828</f>
        <v/>
      </c>
      <c r="T2837" s="35">
        <f>T2810+T2819+T2828</f>
        <v/>
      </c>
      <c r="U2837" s="35">
        <f>U2810+U2819+U2828</f>
        <v/>
      </c>
      <c r="V2837" s="35">
        <f>V2810+V2819+V2828</f>
        <v/>
      </c>
      <c r="W2837" s="35">
        <f>W2810+W2819+W2828</f>
        <v/>
      </c>
      <c r="X2837" s="35">
        <f>X2810+X2819+X2828</f>
        <v/>
      </c>
      <c r="Y2837" s="35">
        <f>Y2810+Y2819+Y2828</f>
        <v/>
      </c>
      <c r="Z2837" s="35">
        <f>Z2810+Z2819+Z2828</f>
        <v/>
      </c>
      <c r="AA2837" s="35">
        <f>AA2810+AA2819+AA2828</f>
        <v/>
      </c>
      <c r="AB2837" s="35">
        <f>AB2810+AB2819+AB2828</f>
        <v/>
      </c>
      <c r="AC2837" s="35">
        <f>AC2810+AC2819+AC2828</f>
        <v/>
      </c>
      <c r="AD2837" s="35">
        <f>AD2810+AD2819+AD2828</f>
        <v/>
      </c>
      <c r="AE2837" s="42">
        <f>NEWPOLICY(AE2810,AE2819,AE2828)</f>
        <v/>
      </c>
      <c r="AG2837" s="11">
        <f>CodePrefix&amp;$A2837&amp;IF($C2837="","","."&amp;$C2837&amp;"."&amp;$B2837)&amp;INDEX(VarEnd,MATCH($A2837,VarKey,0))&amp;AG$5</f>
        <v/>
      </c>
      <c r="AH2837" s="40">
        <f>AH2810+AH2819+AH2828</f>
        <v/>
      </c>
      <c r="AI2837" s="35">
        <f>AI2810+AI2819+AI2828</f>
        <v/>
      </c>
      <c r="AJ2837" s="35">
        <f>AJ2810+AJ2819+AJ2828</f>
        <v/>
      </c>
      <c r="AK2837" s="35">
        <f>AK2810+AK2819+AK2828</f>
        <v/>
      </c>
      <c r="AL2837" s="35">
        <f>AL2810+AL2819+AL2828</f>
        <v/>
      </c>
      <c r="AM2837" s="35">
        <f>AM2810+AM2819+AM2828</f>
        <v/>
      </c>
      <c r="AN2837" s="35">
        <f>AN2810+AN2819+AN2828</f>
        <v/>
      </c>
      <c r="AO2837" s="35">
        <f>AO2810+AO2819+AO2828</f>
        <v/>
      </c>
      <c r="AP2837" s="35">
        <f>AP2810+AP2819+AP2828</f>
        <v/>
      </c>
      <c r="AQ2837" s="35">
        <f>AQ2810+AQ2819+AQ2828</f>
        <v/>
      </c>
      <c r="AR2837" s="35">
        <f>AR2810+AR2819+AR2828</f>
        <v/>
      </c>
      <c r="AS2837" s="35">
        <f>AS2810+AS2819+AS2828</f>
        <v/>
      </c>
      <c r="AT2837" s="35">
        <f>AT2810+AT2819+AT2828</f>
        <v/>
      </c>
      <c r="AU2837" s="35">
        <f>AU2810+AU2819+AU2828</f>
        <v/>
      </c>
      <c r="AV2837" s="35">
        <f>AV2810+AV2819+AV2828</f>
        <v/>
      </c>
      <c r="AW2837" s="35">
        <f>AW2810+AW2819+AW2828</f>
        <v/>
      </c>
      <c r="AX2837" s="35">
        <f>AX2810+AX2819+AX2828</f>
        <v/>
      </c>
      <c r="AY2837" s="35">
        <f>AY2810+AY2819+AY2828</f>
        <v/>
      </c>
      <c r="AZ2837" s="35">
        <f>AZ2810+AZ2819+AZ2828</f>
        <v/>
      </c>
      <c r="BA2837" s="42">
        <f>NEWPOLICY(BA2810,BA2819,BA2828)</f>
        <v/>
      </c>
    </row>
    <row r="2838" hidden="1" outlineLevel="2">
      <c r="A2838" s="14" t="inlineStr">
        <is>
          <t>nce</t>
        </is>
      </c>
      <c r="B2838" s="14" t="inlineStr">
        <is>
          <t>oop</t>
        </is>
      </c>
      <c r="C2838" s="14" t="inlineStr">
        <is>
          <t>ftr</t>
        </is>
      </c>
      <c r="D2838" s="39" t="n"/>
      <c r="E2838" s="39" t="n"/>
      <c r="F2838" s="39" t="n"/>
      <c r="G2838" s="39" t="n"/>
      <c r="H2838" s="14">
        <f>INDEX(VarLab,MATCH($A2838,VarKey,0))&amp;INDEX(MemLab,MATCH($C2838&amp;"|"&amp;$B2838,MemKey,0))</f>
        <v/>
      </c>
      <c r="I2838" s="14">
        <f>INDEX(VarUnit,MATCH($A2838,VarKey,0))</f>
        <v/>
      </c>
      <c r="J2838" s="14">
        <f>INDEX(VarSrc,MATCH($A2838,VarKey,0))</f>
        <v/>
      </c>
      <c r="K2838" s="11">
        <f>CodePrefix&amp;$A2838&amp;IF($C2838="","","."&amp;$C2838&amp;"."&amp;$B2838)&amp;INDEX(VarEnd,MATCH($A2838,VarKey,0))&amp;K$5</f>
        <v/>
      </c>
      <c r="L2838" s="40">
        <f>L2811+L2820+L2829</f>
        <v/>
      </c>
      <c r="M2838" s="35">
        <f>M2811+M2820+M2829</f>
        <v/>
      </c>
      <c r="N2838" s="35">
        <f>N2811+N2820+N2829</f>
        <v/>
      </c>
      <c r="O2838" s="35">
        <f>O2811+O2820+O2829</f>
        <v/>
      </c>
      <c r="P2838" s="35">
        <f>P2811+P2820+P2829</f>
        <v/>
      </c>
      <c r="Q2838" s="35">
        <f>Q2811+Q2820+Q2829</f>
        <v/>
      </c>
      <c r="R2838" s="35">
        <f>R2811+R2820+R2829</f>
        <v/>
      </c>
      <c r="S2838" s="35">
        <f>S2811+S2820+S2829</f>
        <v/>
      </c>
      <c r="T2838" s="35">
        <f>T2811+T2820+T2829</f>
        <v/>
      </c>
      <c r="U2838" s="35">
        <f>U2811+U2820+U2829</f>
        <v/>
      </c>
      <c r="V2838" s="35">
        <f>V2811+V2820+V2829</f>
        <v/>
      </c>
      <c r="W2838" s="35">
        <f>W2811+W2820+W2829</f>
        <v/>
      </c>
      <c r="X2838" s="35">
        <f>X2811+X2820+X2829</f>
        <v/>
      </c>
      <c r="Y2838" s="35">
        <f>Y2811+Y2820+Y2829</f>
        <v/>
      </c>
      <c r="Z2838" s="35">
        <f>Z2811+Z2820+Z2829</f>
        <v/>
      </c>
      <c r="AA2838" s="35">
        <f>AA2811+AA2820+AA2829</f>
        <v/>
      </c>
      <c r="AB2838" s="35">
        <f>AB2811+AB2820+AB2829</f>
        <v/>
      </c>
      <c r="AC2838" s="35">
        <f>AC2811+AC2820+AC2829</f>
        <v/>
      </c>
      <c r="AD2838" s="35">
        <f>AD2811+AD2820+AD2829</f>
        <v/>
      </c>
      <c r="AE2838" s="42">
        <f>NEWPOLICY(AE2811,AE2820,AE2829)</f>
        <v/>
      </c>
      <c r="AG2838" s="11">
        <f>CodePrefix&amp;$A2838&amp;IF($C2838="","","."&amp;$C2838&amp;"."&amp;$B2838)&amp;INDEX(VarEnd,MATCH($A2838,VarKey,0))&amp;AG$5</f>
        <v/>
      </c>
      <c r="AH2838" s="40">
        <f>AH2811+AH2820+AH2829</f>
        <v/>
      </c>
      <c r="AI2838" s="35">
        <f>AI2811+AI2820+AI2829</f>
        <v/>
      </c>
      <c r="AJ2838" s="35">
        <f>AJ2811+AJ2820+AJ2829</f>
        <v/>
      </c>
      <c r="AK2838" s="35">
        <f>AK2811+AK2820+AK2829</f>
        <v/>
      </c>
      <c r="AL2838" s="35">
        <f>AL2811+AL2820+AL2829</f>
        <v/>
      </c>
      <c r="AM2838" s="35">
        <f>AM2811+AM2820+AM2829</f>
        <v/>
      </c>
      <c r="AN2838" s="35">
        <f>AN2811+AN2820+AN2829</f>
        <v/>
      </c>
      <c r="AO2838" s="35">
        <f>AO2811+AO2820+AO2829</f>
        <v/>
      </c>
      <c r="AP2838" s="35">
        <f>AP2811+AP2820+AP2829</f>
        <v/>
      </c>
      <c r="AQ2838" s="35">
        <f>AQ2811+AQ2820+AQ2829</f>
        <v/>
      </c>
      <c r="AR2838" s="35">
        <f>AR2811+AR2820+AR2829</f>
        <v/>
      </c>
      <c r="AS2838" s="35">
        <f>AS2811+AS2820+AS2829</f>
        <v/>
      </c>
      <c r="AT2838" s="35">
        <f>AT2811+AT2820+AT2829</f>
        <v/>
      </c>
      <c r="AU2838" s="35">
        <f>AU2811+AU2820+AU2829</f>
        <v/>
      </c>
      <c r="AV2838" s="35">
        <f>AV2811+AV2820+AV2829</f>
        <v/>
      </c>
      <c r="AW2838" s="35">
        <f>AW2811+AW2820+AW2829</f>
        <v/>
      </c>
      <c r="AX2838" s="35">
        <f>AX2811+AX2820+AX2829</f>
        <v/>
      </c>
      <c r="AY2838" s="35">
        <f>AY2811+AY2820+AY2829</f>
        <v/>
      </c>
      <c r="AZ2838" s="35">
        <f>AZ2811+AZ2820+AZ2829</f>
        <v/>
      </c>
      <c r="BA2838" s="42">
        <f>NEWPOLICY(BA2811,BA2820,BA2829)</f>
        <v/>
      </c>
    </row>
    <row r="2839" hidden="1" outlineLevel="2">
      <c r="A2839" s="14" t="inlineStr">
        <is>
          <t>nce</t>
        </is>
      </c>
      <c r="B2839" s="14" t="inlineStr">
        <is>
          <t>bio</t>
        </is>
      </c>
      <c r="C2839" s="14" t="inlineStr">
        <is>
          <t>ftr</t>
        </is>
      </c>
      <c r="D2839" s="39" t="n"/>
      <c r="E2839" s="39" t="n"/>
      <c r="F2839" s="39" t="n"/>
      <c r="G2839" s="39" t="n"/>
      <c r="H2839" s="14">
        <f>INDEX(VarLab,MATCH($A2839,VarKey,0))&amp;INDEX(MemLab,MATCH($C2839&amp;"|"&amp;$B2839,MemKey,0))</f>
        <v/>
      </c>
      <c r="I2839" s="14">
        <f>INDEX(VarUnit,MATCH($A2839,VarKey,0))</f>
        <v/>
      </c>
      <c r="J2839" s="14">
        <f>INDEX(VarSrc,MATCH($A2839,VarKey,0))</f>
        <v/>
      </c>
      <c r="K2839" s="11">
        <f>CodePrefix&amp;$A2839&amp;IF($C2839="","","."&amp;$C2839&amp;"."&amp;$B2839)&amp;INDEX(VarEnd,MATCH($A2839,VarKey,0))&amp;K$5</f>
        <v/>
      </c>
      <c r="L2839" s="40">
        <f>L2812+L2821+L2830</f>
        <v/>
      </c>
      <c r="M2839" s="35">
        <f>M2812+M2821+M2830</f>
        <v/>
      </c>
      <c r="N2839" s="35">
        <f>N2812+N2821+N2830</f>
        <v/>
      </c>
      <c r="O2839" s="35">
        <f>O2812+O2821+O2830</f>
        <v/>
      </c>
      <c r="P2839" s="35">
        <f>P2812+P2821+P2830</f>
        <v/>
      </c>
      <c r="Q2839" s="35">
        <f>Q2812+Q2821+Q2830</f>
        <v/>
      </c>
      <c r="R2839" s="35">
        <f>R2812+R2821+R2830</f>
        <v/>
      </c>
      <c r="S2839" s="35">
        <f>S2812+S2821+S2830</f>
        <v/>
      </c>
      <c r="T2839" s="35">
        <f>T2812+T2821+T2830</f>
        <v/>
      </c>
      <c r="U2839" s="35">
        <f>U2812+U2821+U2830</f>
        <v/>
      </c>
      <c r="V2839" s="35">
        <f>V2812+V2821+V2830</f>
        <v/>
      </c>
      <c r="W2839" s="35">
        <f>W2812+W2821+W2830</f>
        <v/>
      </c>
      <c r="X2839" s="35">
        <f>X2812+X2821+X2830</f>
        <v/>
      </c>
      <c r="Y2839" s="35">
        <f>Y2812+Y2821+Y2830</f>
        <v/>
      </c>
      <c r="Z2839" s="35">
        <f>Z2812+Z2821+Z2830</f>
        <v/>
      </c>
      <c r="AA2839" s="35">
        <f>AA2812+AA2821+AA2830</f>
        <v/>
      </c>
      <c r="AB2839" s="35">
        <f>AB2812+AB2821+AB2830</f>
        <v/>
      </c>
      <c r="AC2839" s="35">
        <f>AC2812+AC2821+AC2830</f>
        <v/>
      </c>
      <c r="AD2839" s="35">
        <f>AD2812+AD2821+AD2830</f>
        <v/>
      </c>
      <c r="AE2839" s="42">
        <f>NEWPOLICY(AE2812,AE2821,AE2830)</f>
        <v/>
      </c>
      <c r="AG2839" s="11">
        <f>CodePrefix&amp;$A2839&amp;IF($C2839="","","."&amp;$C2839&amp;"."&amp;$B2839)&amp;INDEX(VarEnd,MATCH($A2839,VarKey,0))&amp;AG$5</f>
        <v/>
      </c>
      <c r="AH2839" s="40">
        <f>AH2812+AH2821+AH2830</f>
        <v/>
      </c>
      <c r="AI2839" s="35">
        <f>AI2812+AI2821+AI2830</f>
        <v/>
      </c>
      <c r="AJ2839" s="35">
        <f>AJ2812+AJ2821+AJ2830</f>
        <v/>
      </c>
      <c r="AK2839" s="35">
        <f>AK2812+AK2821+AK2830</f>
        <v/>
      </c>
      <c r="AL2839" s="35">
        <f>AL2812+AL2821+AL2830</f>
        <v/>
      </c>
      <c r="AM2839" s="35">
        <f>AM2812+AM2821+AM2830</f>
        <v/>
      </c>
      <c r="AN2839" s="35">
        <f>AN2812+AN2821+AN2830</f>
        <v/>
      </c>
      <c r="AO2839" s="35">
        <f>AO2812+AO2821+AO2830</f>
        <v/>
      </c>
      <c r="AP2839" s="35">
        <f>AP2812+AP2821+AP2830</f>
        <v/>
      </c>
      <c r="AQ2839" s="35">
        <f>AQ2812+AQ2821+AQ2830</f>
        <v/>
      </c>
      <c r="AR2839" s="35">
        <f>AR2812+AR2821+AR2830</f>
        <v/>
      </c>
      <c r="AS2839" s="35">
        <f>AS2812+AS2821+AS2830</f>
        <v/>
      </c>
      <c r="AT2839" s="35">
        <f>AT2812+AT2821+AT2830</f>
        <v/>
      </c>
      <c r="AU2839" s="35">
        <f>AU2812+AU2821+AU2830</f>
        <v/>
      </c>
      <c r="AV2839" s="35">
        <f>AV2812+AV2821+AV2830</f>
        <v/>
      </c>
      <c r="AW2839" s="35">
        <f>AW2812+AW2821+AW2830</f>
        <v/>
      </c>
      <c r="AX2839" s="35">
        <f>AX2812+AX2821+AX2830</f>
        <v/>
      </c>
      <c r="AY2839" s="35">
        <f>AY2812+AY2821+AY2830</f>
        <v/>
      </c>
      <c r="AZ2839" s="35">
        <f>AZ2812+AZ2821+AZ2830</f>
        <v/>
      </c>
      <c r="BA2839" s="42">
        <f>NEWPOLICY(BA2812,BA2821,BA2830)</f>
        <v/>
      </c>
    </row>
    <row r="2840" hidden="1" outlineLevel="2"/>
    <row r="2841" hidden="1" outlineLevel="2">
      <c r="A2841" s="14" t="inlineStr">
        <is>
          <t>xcp</t>
        </is>
      </c>
      <c r="B2841" s="14" t="inlineStr">
        <is>
          <t>coa</t>
        </is>
      </c>
      <c r="C2841" s="14" t="inlineStr">
        <is>
          <t>ftr</t>
        </is>
      </c>
      <c r="D2841" s="35">
        <f>INDEX(Inputs!$W$5:$W$132,MATCH($B2841&amp;"|"&amp;$C2841,Inputs!$A$5:$A$132,0))</f>
        <v/>
      </c>
      <c r="E2841" s="35">
        <f>INDEX(Inputs!$Z$5:$Z$132,MATCH($B2841&amp;"|"&amp;$C2841,Inputs!$A$5:$A$132,0))</f>
        <v/>
      </c>
      <c r="F2841" s="35">
        <f>INDEX(Inputs!$AA$5:$AA$132,MATCH($B2841&amp;"|"&amp;$C2841,Inputs!$A$5:$A$132,0))</f>
        <v/>
      </c>
      <c r="G2841" s="39" t="n"/>
      <c r="H2841" s="14">
        <f>INDEX(VarLab,MATCH($A2841,VarKey,0))&amp;INDEX(MemLab,MATCH($C2841&amp;"|"&amp;$B2841,MemKey,0))</f>
        <v/>
      </c>
      <c r="I2841" s="14">
        <f>INDEX(VarUnit,MATCH($A2841,VarKey,0))</f>
        <v/>
      </c>
      <c r="J2841" s="14">
        <f>INDEX(VarSrc,MATCH($A2841,VarKey,0))</f>
        <v/>
      </c>
      <c r="K2841" s="11">
        <f>CodePrefix&amp;$A2841&amp;IF($C2841="","","."&amp;$C2841&amp;"."&amp;$B2841)&amp;INDEX(VarEnd,MATCH($A2841,VarKey,0))&amp;K$5</f>
        <v/>
      </c>
      <c r="L2841" s="40">
        <f>$D2841*($E2841*L$321+$F2841*L$324)</f>
        <v/>
      </c>
      <c r="M2841" s="35">
        <f>$D2841*($E2841*M$321+$F2841*M$324)</f>
        <v/>
      </c>
      <c r="N2841" s="35">
        <f>$D2841*($E2841*N$321+$F2841*N$324)</f>
        <v/>
      </c>
      <c r="O2841" s="35">
        <f>$D2841*($E2841*O$321+$F2841*O$324)</f>
        <v/>
      </c>
      <c r="P2841" s="35">
        <f>$D2841*($E2841*P$321+$F2841*P$324)</f>
        <v/>
      </c>
      <c r="Q2841" s="35">
        <f>$D2841*($E2841*Q$321+$F2841*Q$324)</f>
        <v/>
      </c>
      <c r="R2841" s="35">
        <f>$D2841*($E2841*R$321+$F2841*R$324)</f>
        <v/>
      </c>
      <c r="S2841" s="35">
        <f>$D2841*($E2841*S$321+$F2841*S$324)</f>
        <v/>
      </c>
      <c r="T2841" s="35">
        <f>$D2841*($E2841*T$321+$F2841*T$324)</f>
        <v/>
      </c>
      <c r="U2841" s="35">
        <f>$D2841*($E2841*U$321+$F2841*U$324)</f>
        <v/>
      </c>
      <c r="V2841" s="35">
        <f>$D2841*($E2841*V$321+$F2841*V$324)</f>
        <v/>
      </c>
      <c r="W2841" s="35">
        <f>$D2841*($E2841*W$321+$F2841*W$324)</f>
        <v/>
      </c>
      <c r="X2841" s="35">
        <f>$D2841*($E2841*X$321+$F2841*X$324)</f>
        <v/>
      </c>
      <c r="Y2841" s="35">
        <f>$D2841*($E2841*Y$321+$F2841*Y$324)</f>
        <v/>
      </c>
      <c r="Z2841" s="35">
        <f>$D2841*($E2841*Z$321+$F2841*Z$324)</f>
        <v/>
      </c>
      <c r="AA2841" s="35">
        <f>$D2841*($E2841*AA$321+$F2841*AA$324)</f>
        <v/>
      </c>
      <c r="AB2841" s="35">
        <f>$D2841*($E2841*AB$321+$F2841*AB$324)</f>
        <v/>
      </c>
      <c r="AC2841" s="35">
        <f>$D2841*($E2841*AC$321+$F2841*AC$324)</f>
        <v/>
      </c>
      <c r="AD2841" s="35">
        <f>$D2841*($E2841*AD$321+$F2841*AD$324)</f>
        <v/>
      </c>
      <c r="AE2841" s="42">
        <f>XCARBON($D2841,$E2841,AE$321,$F2841,AE$324)</f>
        <v/>
      </c>
      <c r="AG2841" s="11">
        <f>CodePrefix&amp;$A2841&amp;IF($C2841="","","."&amp;$C2841&amp;"."&amp;$B2841)&amp;INDEX(VarEnd,MATCH($A2841,VarKey,0))&amp;AG$5</f>
        <v/>
      </c>
      <c r="AH2841" s="40">
        <f>$D2841*($E2841*AH$321+$F2841*AH$324)</f>
        <v/>
      </c>
      <c r="AI2841" s="35">
        <f>$D2841*($E2841*AI$321+$F2841*AI$324)</f>
        <v/>
      </c>
      <c r="AJ2841" s="35">
        <f>$D2841*($E2841*AJ$321+$F2841*AJ$324)</f>
        <v/>
      </c>
      <c r="AK2841" s="35">
        <f>$D2841*($E2841*AK$321+$F2841*AK$324)</f>
        <v/>
      </c>
      <c r="AL2841" s="35">
        <f>$D2841*($E2841*AL$321+$F2841*AL$324)</f>
        <v/>
      </c>
      <c r="AM2841" s="35">
        <f>$D2841*($E2841*AM$321+$F2841*AM$324)</f>
        <v/>
      </c>
      <c r="AN2841" s="35">
        <f>$D2841*($E2841*AN$321+$F2841*AN$324)</f>
        <v/>
      </c>
      <c r="AO2841" s="35">
        <f>$D2841*($E2841*AO$321+$F2841*AO$324)</f>
        <v/>
      </c>
      <c r="AP2841" s="35">
        <f>$D2841*($E2841*AP$321+$F2841*AP$324)</f>
        <v/>
      </c>
      <c r="AQ2841" s="35">
        <f>$D2841*($E2841*AQ$321+$F2841*AQ$324)</f>
        <v/>
      </c>
      <c r="AR2841" s="35">
        <f>$D2841*($E2841*AR$321+$F2841*AR$324)</f>
        <v/>
      </c>
      <c r="AS2841" s="35">
        <f>$D2841*($E2841*AS$321+$F2841*AS$324)</f>
        <v/>
      </c>
      <c r="AT2841" s="35">
        <f>$D2841*($E2841*AT$321+$F2841*AT$324)</f>
        <v/>
      </c>
      <c r="AU2841" s="35">
        <f>$D2841*($E2841*AU$321+$F2841*AU$324)</f>
        <v/>
      </c>
      <c r="AV2841" s="35">
        <f>$D2841*($E2841*AV$321+$F2841*AV$324)</f>
        <v/>
      </c>
      <c r="AW2841" s="35">
        <f>$D2841*($E2841*AW$321+$F2841*AW$324)</f>
        <v/>
      </c>
      <c r="AX2841" s="35">
        <f>$D2841*($E2841*AX$321+$F2841*AX$324)</f>
        <v/>
      </c>
      <c r="AY2841" s="35">
        <f>$D2841*($E2841*AY$321+$F2841*AY$324)</f>
        <v/>
      </c>
      <c r="AZ2841" s="35">
        <f>$D2841*($E2841*AZ$321+$F2841*AZ$324)</f>
        <v/>
      </c>
      <c r="BA2841" s="42">
        <f>XCARBON($D2841,$E2841,BA$321,$F2841,BA$324)</f>
        <v/>
      </c>
    </row>
    <row r="2842" hidden="1" outlineLevel="2">
      <c r="A2842" s="14" t="inlineStr">
        <is>
          <t>xcp</t>
        </is>
      </c>
      <c r="B2842" s="14" t="inlineStr">
        <is>
          <t>nga</t>
        </is>
      </c>
      <c r="C2842" s="14" t="inlineStr">
        <is>
          <t>ftr</t>
        </is>
      </c>
      <c r="D2842" s="35">
        <f>INDEX(Inputs!$W$5:$W$132,MATCH($B2842&amp;"|"&amp;$C2842,Inputs!$A$5:$A$132,0))</f>
        <v/>
      </c>
      <c r="E2842" s="35">
        <f>INDEX(Inputs!$Z$5:$Z$132,MATCH($B2842&amp;"|"&amp;$C2842,Inputs!$A$5:$A$132,0))</f>
        <v/>
      </c>
      <c r="F2842" s="35">
        <f>INDEX(Inputs!$AA$5:$AA$132,MATCH($B2842&amp;"|"&amp;$C2842,Inputs!$A$5:$A$132,0))</f>
        <v/>
      </c>
      <c r="G2842" s="39" t="n"/>
      <c r="H2842" s="14">
        <f>INDEX(VarLab,MATCH($A2842,VarKey,0))&amp;INDEX(MemLab,MATCH($C2842&amp;"|"&amp;$B2842,MemKey,0))</f>
        <v/>
      </c>
      <c r="I2842" s="14">
        <f>INDEX(VarUnit,MATCH($A2842,VarKey,0))</f>
        <v/>
      </c>
      <c r="J2842" s="14">
        <f>INDEX(VarSrc,MATCH($A2842,VarKey,0))</f>
        <v/>
      </c>
      <c r="K2842" s="11">
        <f>CodePrefix&amp;$A2842&amp;IF($C2842="","","."&amp;$C2842&amp;"."&amp;$B2842)&amp;INDEX(VarEnd,MATCH($A2842,VarKey,0))&amp;K$5</f>
        <v/>
      </c>
      <c r="L2842" s="40">
        <f>$D2842*($E2842*L$321+$F2842*L$324)</f>
        <v/>
      </c>
      <c r="M2842" s="35">
        <f>$D2842*($E2842*M$321+$F2842*M$324)</f>
        <v/>
      </c>
      <c r="N2842" s="35">
        <f>$D2842*($E2842*N$321+$F2842*N$324)</f>
        <v/>
      </c>
      <c r="O2842" s="35">
        <f>$D2842*($E2842*O$321+$F2842*O$324)</f>
        <v/>
      </c>
      <c r="P2842" s="35">
        <f>$D2842*($E2842*P$321+$F2842*P$324)</f>
        <v/>
      </c>
      <c r="Q2842" s="35">
        <f>$D2842*($E2842*Q$321+$F2842*Q$324)</f>
        <v/>
      </c>
      <c r="R2842" s="35">
        <f>$D2842*($E2842*R$321+$F2842*R$324)</f>
        <v/>
      </c>
      <c r="S2842" s="35">
        <f>$D2842*($E2842*S$321+$F2842*S$324)</f>
        <v/>
      </c>
      <c r="T2842" s="35">
        <f>$D2842*($E2842*T$321+$F2842*T$324)</f>
        <v/>
      </c>
      <c r="U2842" s="35">
        <f>$D2842*($E2842*U$321+$F2842*U$324)</f>
        <v/>
      </c>
      <c r="V2842" s="35">
        <f>$D2842*($E2842*V$321+$F2842*V$324)</f>
        <v/>
      </c>
      <c r="W2842" s="35">
        <f>$D2842*($E2842*W$321+$F2842*W$324)</f>
        <v/>
      </c>
      <c r="X2842" s="35">
        <f>$D2842*($E2842*X$321+$F2842*X$324)</f>
        <v/>
      </c>
      <c r="Y2842" s="35">
        <f>$D2842*($E2842*Y$321+$F2842*Y$324)</f>
        <v/>
      </c>
      <c r="Z2842" s="35">
        <f>$D2842*($E2842*Z$321+$F2842*Z$324)</f>
        <v/>
      </c>
      <c r="AA2842" s="35">
        <f>$D2842*($E2842*AA$321+$F2842*AA$324)</f>
        <v/>
      </c>
      <c r="AB2842" s="35">
        <f>$D2842*($E2842*AB$321+$F2842*AB$324)</f>
        <v/>
      </c>
      <c r="AC2842" s="35">
        <f>$D2842*($E2842*AC$321+$F2842*AC$324)</f>
        <v/>
      </c>
      <c r="AD2842" s="35">
        <f>$D2842*($E2842*AD$321+$F2842*AD$324)</f>
        <v/>
      </c>
      <c r="AE2842" s="42">
        <f>XCARBON($D2842,$E2842,AE$321,$F2842,AE$324)</f>
        <v/>
      </c>
      <c r="AG2842" s="11">
        <f>CodePrefix&amp;$A2842&amp;IF($C2842="","","."&amp;$C2842&amp;"."&amp;$B2842)&amp;INDEX(VarEnd,MATCH($A2842,VarKey,0))&amp;AG$5</f>
        <v/>
      </c>
      <c r="AH2842" s="40">
        <f>$D2842*($E2842*AH$321+$F2842*AH$324)</f>
        <v/>
      </c>
      <c r="AI2842" s="35">
        <f>$D2842*($E2842*AI$321+$F2842*AI$324)</f>
        <v/>
      </c>
      <c r="AJ2842" s="35">
        <f>$D2842*($E2842*AJ$321+$F2842*AJ$324)</f>
        <v/>
      </c>
      <c r="AK2842" s="35">
        <f>$D2842*($E2842*AK$321+$F2842*AK$324)</f>
        <v/>
      </c>
      <c r="AL2842" s="35">
        <f>$D2842*($E2842*AL$321+$F2842*AL$324)</f>
        <v/>
      </c>
      <c r="AM2842" s="35">
        <f>$D2842*($E2842*AM$321+$F2842*AM$324)</f>
        <v/>
      </c>
      <c r="AN2842" s="35">
        <f>$D2842*($E2842*AN$321+$F2842*AN$324)</f>
        <v/>
      </c>
      <c r="AO2842" s="35">
        <f>$D2842*($E2842*AO$321+$F2842*AO$324)</f>
        <v/>
      </c>
      <c r="AP2842" s="35">
        <f>$D2842*($E2842*AP$321+$F2842*AP$324)</f>
        <v/>
      </c>
      <c r="AQ2842" s="35">
        <f>$D2842*($E2842*AQ$321+$F2842*AQ$324)</f>
        <v/>
      </c>
      <c r="AR2842" s="35">
        <f>$D2842*($E2842*AR$321+$F2842*AR$324)</f>
        <v/>
      </c>
      <c r="AS2842" s="35">
        <f>$D2842*($E2842*AS$321+$F2842*AS$324)</f>
        <v/>
      </c>
      <c r="AT2842" s="35">
        <f>$D2842*($E2842*AT$321+$F2842*AT$324)</f>
        <v/>
      </c>
      <c r="AU2842" s="35">
        <f>$D2842*($E2842*AU$321+$F2842*AU$324)</f>
        <v/>
      </c>
      <c r="AV2842" s="35">
        <f>$D2842*($E2842*AV$321+$F2842*AV$324)</f>
        <v/>
      </c>
      <c r="AW2842" s="35">
        <f>$D2842*($E2842*AW$321+$F2842*AW$324)</f>
        <v/>
      </c>
      <c r="AX2842" s="35">
        <f>$D2842*($E2842*AX$321+$F2842*AX$324)</f>
        <v/>
      </c>
      <c r="AY2842" s="35">
        <f>$D2842*($E2842*AY$321+$F2842*AY$324)</f>
        <v/>
      </c>
      <c r="AZ2842" s="35">
        <f>$D2842*($E2842*AZ$321+$F2842*AZ$324)</f>
        <v/>
      </c>
      <c r="BA2842" s="42">
        <f>XCARBON($D2842,$E2842,BA$321,$F2842,BA$324)</f>
        <v/>
      </c>
    </row>
    <row r="2843" hidden="1" outlineLevel="2">
      <c r="A2843" s="14" t="inlineStr">
        <is>
          <t>xcp</t>
        </is>
      </c>
      <c r="B2843" s="14" t="inlineStr">
        <is>
          <t>gso</t>
        </is>
      </c>
      <c r="C2843" s="14" t="inlineStr">
        <is>
          <t>ftr</t>
        </is>
      </c>
      <c r="D2843" s="35">
        <f>INDEX(Inputs!$W$5:$W$132,MATCH($B2843&amp;"|"&amp;$C2843,Inputs!$A$5:$A$132,0))</f>
        <v/>
      </c>
      <c r="E2843" s="35">
        <f>INDEX(Inputs!$Z$5:$Z$132,MATCH($B2843&amp;"|"&amp;$C2843,Inputs!$A$5:$A$132,0))</f>
        <v/>
      </c>
      <c r="F2843" s="35">
        <f>INDEX(Inputs!$AA$5:$AA$132,MATCH($B2843&amp;"|"&amp;$C2843,Inputs!$A$5:$A$132,0))</f>
        <v/>
      </c>
      <c r="G2843" s="39" t="n"/>
      <c r="H2843" s="14">
        <f>INDEX(VarLab,MATCH($A2843,VarKey,0))&amp;INDEX(MemLab,MATCH($C2843&amp;"|"&amp;$B2843,MemKey,0))</f>
        <v/>
      </c>
      <c r="I2843" s="14">
        <f>INDEX(VarUnit,MATCH($A2843,VarKey,0))</f>
        <v/>
      </c>
      <c r="J2843" s="14">
        <f>INDEX(VarSrc,MATCH($A2843,VarKey,0))</f>
        <v/>
      </c>
      <c r="K2843" s="11">
        <f>CodePrefix&amp;$A2843&amp;IF($C2843="","","."&amp;$C2843&amp;"."&amp;$B2843)&amp;INDEX(VarEnd,MATCH($A2843,VarKey,0))&amp;K$5</f>
        <v/>
      </c>
      <c r="L2843" s="40">
        <f>$D2843*($E2843*L$321+$F2843*L$324)</f>
        <v/>
      </c>
      <c r="M2843" s="35">
        <f>$D2843*($E2843*M$321+$F2843*M$324)</f>
        <v/>
      </c>
      <c r="N2843" s="35">
        <f>$D2843*($E2843*N$321+$F2843*N$324)</f>
        <v/>
      </c>
      <c r="O2843" s="35">
        <f>$D2843*($E2843*O$321+$F2843*O$324)</f>
        <v/>
      </c>
      <c r="P2843" s="35">
        <f>$D2843*($E2843*P$321+$F2843*P$324)</f>
        <v/>
      </c>
      <c r="Q2843" s="35">
        <f>$D2843*($E2843*Q$321+$F2843*Q$324)</f>
        <v/>
      </c>
      <c r="R2843" s="35">
        <f>$D2843*($E2843*R$321+$F2843*R$324)</f>
        <v/>
      </c>
      <c r="S2843" s="35">
        <f>$D2843*($E2843*S$321+$F2843*S$324)</f>
        <v/>
      </c>
      <c r="T2843" s="35">
        <f>$D2843*($E2843*T$321+$F2843*T$324)</f>
        <v/>
      </c>
      <c r="U2843" s="35">
        <f>$D2843*($E2843*U$321+$F2843*U$324)</f>
        <v/>
      </c>
      <c r="V2843" s="35">
        <f>$D2843*($E2843*V$321+$F2843*V$324)</f>
        <v/>
      </c>
      <c r="W2843" s="35">
        <f>$D2843*($E2843*W$321+$F2843*W$324)</f>
        <v/>
      </c>
      <c r="X2843" s="35">
        <f>$D2843*($E2843*X$321+$F2843*X$324)</f>
        <v/>
      </c>
      <c r="Y2843" s="35">
        <f>$D2843*($E2843*Y$321+$F2843*Y$324)</f>
        <v/>
      </c>
      <c r="Z2843" s="35">
        <f>$D2843*($E2843*Z$321+$F2843*Z$324)</f>
        <v/>
      </c>
      <c r="AA2843" s="35">
        <f>$D2843*($E2843*AA$321+$F2843*AA$324)</f>
        <v/>
      </c>
      <c r="AB2843" s="35">
        <f>$D2843*($E2843*AB$321+$F2843*AB$324)</f>
        <v/>
      </c>
      <c r="AC2843" s="35">
        <f>$D2843*($E2843*AC$321+$F2843*AC$324)</f>
        <v/>
      </c>
      <c r="AD2843" s="35">
        <f>$D2843*($E2843*AD$321+$F2843*AD$324)</f>
        <v/>
      </c>
      <c r="AE2843" s="42">
        <f>XCARBON($D2843,$E2843,AE$321,$F2843,AE$324)</f>
        <v/>
      </c>
      <c r="AG2843" s="11">
        <f>CodePrefix&amp;$A2843&amp;IF($C2843="","","."&amp;$C2843&amp;"."&amp;$B2843)&amp;INDEX(VarEnd,MATCH($A2843,VarKey,0))&amp;AG$5</f>
        <v/>
      </c>
      <c r="AH2843" s="40">
        <f>$D2843*($E2843*AH$321+$F2843*AH$324)</f>
        <v/>
      </c>
      <c r="AI2843" s="35">
        <f>$D2843*($E2843*AI$321+$F2843*AI$324)</f>
        <v/>
      </c>
      <c r="AJ2843" s="35">
        <f>$D2843*($E2843*AJ$321+$F2843*AJ$324)</f>
        <v/>
      </c>
      <c r="AK2843" s="35">
        <f>$D2843*($E2843*AK$321+$F2843*AK$324)</f>
        <v/>
      </c>
      <c r="AL2843" s="35">
        <f>$D2843*($E2843*AL$321+$F2843*AL$324)</f>
        <v/>
      </c>
      <c r="AM2843" s="35">
        <f>$D2843*($E2843*AM$321+$F2843*AM$324)</f>
        <v/>
      </c>
      <c r="AN2843" s="35">
        <f>$D2843*($E2843*AN$321+$F2843*AN$324)</f>
        <v/>
      </c>
      <c r="AO2843" s="35">
        <f>$D2843*($E2843*AO$321+$F2843*AO$324)</f>
        <v/>
      </c>
      <c r="AP2843" s="35">
        <f>$D2843*($E2843*AP$321+$F2843*AP$324)</f>
        <v/>
      </c>
      <c r="AQ2843" s="35">
        <f>$D2843*($E2843*AQ$321+$F2843*AQ$324)</f>
        <v/>
      </c>
      <c r="AR2843" s="35">
        <f>$D2843*($E2843*AR$321+$F2843*AR$324)</f>
        <v/>
      </c>
      <c r="AS2843" s="35">
        <f>$D2843*($E2843*AS$321+$F2843*AS$324)</f>
        <v/>
      </c>
      <c r="AT2843" s="35">
        <f>$D2843*($E2843*AT$321+$F2843*AT$324)</f>
        <v/>
      </c>
      <c r="AU2843" s="35">
        <f>$D2843*($E2843*AU$321+$F2843*AU$324)</f>
        <v/>
      </c>
      <c r="AV2843" s="35">
        <f>$D2843*($E2843*AV$321+$F2843*AV$324)</f>
        <v/>
      </c>
      <c r="AW2843" s="35">
        <f>$D2843*($E2843*AW$321+$F2843*AW$324)</f>
        <v/>
      </c>
      <c r="AX2843" s="35">
        <f>$D2843*($E2843*AX$321+$F2843*AX$324)</f>
        <v/>
      </c>
      <c r="AY2843" s="35">
        <f>$D2843*($E2843*AY$321+$F2843*AY$324)</f>
        <v/>
      </c>
      <c r="AZ2843" s="35">
        <f>$D2843*($E2843*AZ$321+$F2843*AZ$324)</f>
        <v/>
      </c>
      <c r="BA2843" s="42">
        <f>XCARBON($D2843,$E2843,BA$321,$F2843,BA$324)</f>
        <v/>
      </c>
    </row>
    <row r="2844" hidden="1" outlineLevel="2">
      <c r="A2844" s="14" t="inlineStr">
        <is>
          <t>xcp</t>
        </is>
      </c>
      <c r="B2844" s="14" t="inlineStr">
        <is>
          <t>die</t>
        </is>
      </c>
      <c r="C2844" s="14" t="inlineStr">
        <is>
          <t>ftr</t>
        </is>
      </c>
      <c r="D2844" s="35">
        <f>INDEX(Inputs!$W$5:$W$132,MATCH($B2844&amp;"|"&amp;$C2844,Inputs!$A$5:$A$132,0))</f>
        <v/>
      </c>
      <c r="E2844" s="35">
        <f>INDEX(Inputs!$Z$5:$Z$132,MATCH($B2844&amp;"|"&amp;$C2844,Inputs!$A$5:$A$132,0))</f>
        <v/>
      </c>
      <c r="F2844" s="35">
        <f>INDEX(Inputs!$AA$5:$AA$132,MATCH($B2844&amp;"|"&amp;$C2844,Inputs!$A$5:$A$132,0))</f>
        <v/>
      </c>
      <c r="G2844" s="39" t="n"/>
      <c r="H2844" s="14">
        <f>INDEX(VarLab,MATCH($A2844,VarKey,0))&amp;INDEX(MemLab,MATCH($C2844&amp;"|"&amp;$B2844,MemKey,0))</f>
        <v/>
      </c>
      <c r="I2844" s="14">
        <f>INDEX(VarUnit,MATCH($A2844,VarKey,0))</f>
        <v/>
      </c>
      <c r="J2844" s="14">
        <f>INDEX(VarSrc,MATCH($A2844,VarKey,0))</f>
        <v/>
      </c>
      <c r="K2844" s="11">
        <f>CodePrefix&amp;$A2844&amp;IF($C2844="","","."&amp;$C2844&amp;"."&amp;$B2844)&amp;INDEX(VarEnd,MATCH($A2844,VarKey,0))&amp;K$5</f>
        <v/>
      </c>
      <c r="L2844" s="40">
        <f>$D2844*($E2844*L$321+$F2844*L$324)</f>
        <v/>
      </c>
      <c r="M2844" s="35">
        <f>$D2844*($E2844*M$321+$F2844*M$324)</f>
        <v/>
      </c>
      <c r="N2844" s="35">
        <f>$D2844*($E2844*N$321+$F2844*N$324)</f>
        <v/>
      </c>
      <c r="O2844" s="35">
        <f>$D2844*($E2844*O$321+$F2844*O$324)</f>
        <v/>
      </c>
      <c r="P2844" s="35">
        <f>$D2844*($E2844*P$321+$F2844*P$324)</f>
        <v/>
      </c>
      <c r="Q2844" s="35">
        <f>$D2844*($E2844*Q$321+$F2844*Q$324)</f>
        <v/>
      </c>
      <c r="R2844" s="35">
        <f>$D2844*($E2844*R$321+$F2844*R$324)</f>
        <v/>
      </c>
      <c r="S2844" s="35">
        <f>$D2844*($E2844*S$321+$F2844*S$324)</f>
        <v/>
      </c>
      <c r="T2844" s="35">
        <f>$D2844*($E2844*T$321+$F2844*T$324)</f>
        <v/>
      </c>
      <c r="U2844" s="35">
        <f>$D2844*($E2844*U$321+$F2844*U$324)</f>
        <v/>
      </c>
      <c r="V2844" s="35">
        <f>$D2844*($E2844*V$321+$F2844*V$324)</f>
        <v/>
      </c>
      <c r="W2844" s="35">
        <f>$D2844*($E2844*W$321+$F2844*W$324)</f>
        <v/>
      </c>
      <c r="X2844" s="35">
        <f>$D2844*($E2844*X$321+$F2844*X$324)</f>
        <v/>
      </c>
      <c r="Y2844" s="35">
        <f>$D2844*($E2844*Y$321+$F2844*Y$324)</f>
        <v/>
      </c>
      <c r="Z2844" s="35">
        <f>$D2844*($E2844*Z$321+$F2844*Z$324)</f>
        <v/>
      </c>
      <c r="AA2844" s="35">
        <f>$D2844*($E2844*AA$321+$F2844*AA$324)</f>
        <v/>
      </c>
      <c r="AB2844" s="35">
        <f>$D2844*($E2844*AB$321+$F2844*AB$324)</f>
        <v/>
      </c>
      <c r="AC2844" s="35">
        <f>$D2844*($E2844*AC$321+$F2844*AC$324)</f>
        <v/>
      </c>
      <c r="AD2844" s="35">
        <f>$D2844*($E2844*AD$321+$F2844*AD$324)</f>
        <v/>
      </c>
      <c r="AE2844" s="42">
        <f>XCARBON($D2844,$E2844,AE$321,$F2844,AE$324)</f>
        <v/>
      </c>
      <c r="AG2844" s="11">
        <f>CodePrefix&amp;$A2844&amp;IF($C2844="","","."&amp;$C2844&amp;"."&amp;$B2844)&amp;INDEX(VarEnd,MATCH($A2844,VarKey,0))&amp;AG$5</f>
        <v/>
      </c>
      <c r="AH2844" s="40">
        <f>$D2844*($E2844*AH$321+$F2844*AH$324)</f>
        <v/>
      </c>
      <c r="AI2844" s="35">
        <f>$D2844*($E2844*AI$321+$F2844*AI$324)</f>
        <v/>
      </c>
      <c r="AJ2844" s="35">
        <f>$D2844*($E2844*AJ$321+$F2844*AJ$324)</f>
        <v/>
      </c>
      <c r="AK2844" s="35">
        <f>$D2844*($E2844*AK$321+$F2844*AK$324)</f>
        <v/>
      </c>
      <c r="AL2844" s="35">
        <f>$D2844*($E2844*AL$321+$F2844*AL$324)</f>
        <v/>
      </c>
      <c r="AM2844" s="35">
        <f>$D2844*($E2844*AM$321+$F2844*AM$324)</f>
        <v/>
      </c>
      <c r="AN2844" s="35">
        <f>$D2844*($E2844*AN$321+$F2844*AN$324)</f>
        <v/>
      </c>
      <c r="AO2844" s="35">
        <f>$D2844*($E2844*AO$321+$F2844*AO$324)</f>
        <v/>
      </c>
      <c r="AP2844" s="35">
        <f>$D2844*($E2844*AP$321+$F2844*AP$324)</f>
        <v/>
      </c>
      <c r="AQ2844" s="35">
        <f>$D2844*($E2844*AQ$321+$F2844*AQ$324)</f>
        <v/>
      </c>
      <c r="AR2844" s="35">
        <f>$D2844*($E2844*AR$321+$F2844*AR$324)</f>
        <v/>
      </c>
      <c r="AS2844" s="35">
        <f>$D2844*($E2844*AS$321+$F2844*AS$324)</f>
        <v/>
      </c>
      <c r="AT2844" s="35">
        <f>$D2844*($E2844*AT$321+$F2844*AT$324)</f>
        <v/>
      </c>
      <c r="AU2844" s="35">
        <f>$D2844*($E2844*AU$321+$F2844*AU$324)</f>
        <v/>
      </c>
      <c r="AV2844" s="35">
        <f>$D2844*($E2844*AV$321+$F2844*AV$324)</f>
        <v/>
      </c>
      <c r="AW2844" s="35">
        <f>$D2844*($E2844*AW$321+$F2844*AW$324)</f>
        <v/>
      </c>
      <c r="AX2844" s="35">
        <f>$D2844*($E2844*AX$321+$F2844*AX$324)</f>
        <v/>
      </c>
      <c r="AY2844" s="35">
        <f>$D2844*($E2844*AY$321+$F2844*AY$324)</f>
        <v/>
      </c>
      <c r="AZ2844" s="35">
        <f>$D2844*($E2844*AZ$321+$F2844*AZ$324)</f>
        <v/>
      </c>
      <c r="BA2844" s="42">
        <f>XCARBON($D2844,$E2844,BA$321,$F2844,BA$324)</f>
        <v/>
      </c>
    </row>
    <row r="2845" hidden="1" outlineLevel="2">
      <c r="A2845" s="14" t="inlineStr">
        <is>
          <t>xcp</t>
        </is>
      </c>
      <c r="B2845" s="14" t="inlineStr">
        <is>
          <t>lpg</t>
        </is>
      </c>
      <c r="C2845" s="14" t="inlineStr">
        <is>
          <t>ftr</t>
        </is>
      </c>
      <c r="D2845" s="35">
        <f>INDEX(Inputs!$W$5:$W$132,MATCH($B2845&amp;"|"&amp;$C2845,Inputs!$A$5:$A$132,0))</f>
        <v/>
      </c>
      <c r="E2845" s="35">
        <f>INDEX(Inputs!$Z$5:$Z$132,MATCH($B2845&amp;"|"&amp;$C2845,Inputs!$A$5:$A$132,0))</f>
        <v/>
      </c>
      <c r="F2845" s="35">
        <f>INDEX(Inputs!$AA$5:$AA$132,MATCH($B2845&amp;"|"&amp;$C2845,Inputs!$A$5:$A$132,0))</f>
        <v/>
      </c>
      <c r="G2845" s="39" t="n"/>
      <c r="H2845" s="14">
        <f>INDEX(VarLab,MATCH($A2845,VarKey,0))&amp;INDEX(MemLab,MATCH($C2845&amp;"|"&amp;$B2845,MemKey,0))</f>
        <v/>
      </c>
      <c r="I2845" s="14">
        <f>INDEX(VarUnit,MATCH($A2845,VarKey,0))</f>
        <v/>
      </c>
      <c r="J2845" s="14">
        <f>INDEX(VarSrc,MATCH($A2845,VarKey,0))</f>
        <v/>
      </c>
      <c r="K2845" s="11">
        <f>CodePrefix&amp;$A2845&amp;IF($C2845="","","."&amp;$C2845&amp;"."&amp;$B2845)&amp;INDEX(VarEnd,MATCH($A2845,VarKey,0))&amp;K$5</f>
        <v/>
      </c>
      <c r="L2845" s="40">
        <f>$D2845*($E2845*L$321+$F2845*L$324)</f>
        <v/>
      </c>
      <c r="M2845" s="35">
        <f>$D2845*($E2845*M$321+$F2845*M$324)</f>
        <v/>
      </c>
      <c r="N2845" s="35">
        <f>$D2845*($E2845*N$321+$F2845*N$324)</f>
        <v/>
      </c>
      <c r="O2845" s="35">
        <f>$D2845*($E2845*O$321+$F2845*O$324)</f>
        <v/>
      </c>
      <c r="P2845" s="35">
        <f>$D2845*($E2845*P$321+$F2845*P$324)</f>
        <v/>
      </c>
      <c r="Q2845" s="35">
        <f>$D2845*($E2845*Q$321+$F2845*Q$324)</f>
        <v/>
      </c>
      <c r="R2845" s="35">
        <f>$D2845*($E2845*R$321+$F2845*R$324)</f>
        <v/>
      </c>
      <c r="S2845" s="35">
        <f>$D2845*($E2845*S$321+$F2845*S$324)</f>
        <v/>
      </c>
      <c r="T2845" s="35">
        <f>$D2845*($E2845*T$321+$F2845*T$324)</f>
        <v/>
      </c>
      <c r="U2845" s="35">
        <f>$D2845*($E2845*U$321+$F2845*U$324)</f>
        <v/>
      </c>
      <c r="V2845" s="35">
        <f>$D2845*($E2845*V$321+$F2845*V$324)</f>
        <v/>
      </c>
      <c r="W2845" s="35">
        <f>$D2845*($E2845*W$321+$F2845*W$324)</f>
        <v/>
      </c>
      <c r="X2845" s="35">
        <f>$D2845*($E2845*X$321+$F2845*X$324)</f>
        <v/>
      </c>
      <c r="Y2845" s="35">
        <f>$D2845*($E2845*Y$321+$F2845*Y$324)</f>
        <v/>
      </c>
      <c r="Z2845" s="35">
        <f>$D2845*($E2845*Z$321+$F2845*Z$324)</f>
        <v/>
      </c>
      <c r="AA2845" s="35">
        <f>$D2845*($E2845*AA$321+$F2845*AA$324)</f>
        <v/>
      </c>
      <c r="AB2845" s="35">
        <f>$D2845*($E2845*AB$321+$F2845*AB$324)</f>
        <v/>
      </c>
      <c r="AC2845" s="35">
        <f>$D2845*($E2845*AC$321+$F2845*AC$324)</f>
        <v/>
      </c>
      <c r="AD2845" s="35">
        <f>$D2845*($E2845*AD$321+$F2845*AD$324)</f>
        <v/>
      </c>
      <c r="AE2845" s="42">
        <f>XCARBON($D2845,$E2845,AE$321,$F2845,AE$324)</f>
        <v/>
      </c>
      <c r="AG2845" s="11">
        <f>CodePrefix&amp;$A2845&amp;IF($C2845="","","."&amp;$C2845&amp;"."&amp;$B2845)&amp;INDEX(VarEnd,MATCH($A2845,VarKey,0))&amp;AG$5</f>
        <v/>
      </c>
      <c r="AH2845" s="40">
        <f>$D2845*($E2845*AH$321+$F2845*AH$324)</f>
        <v/>
      </c>
      <c r="AI2845" s="35">
        <f>$D2845*($E2845*AI$321+$F2845*AI$324)</f>
        <v/>
      </c>
      <c r="AJ2845" s="35">
        <f>$D2845*($E2845*AJ$321+$F2845*AJ$324)</f>
        <v/>
      </c>
      <c r="AK2845" s="35">
        <f>$D2845*($E2845*AK$321+$F2845*AK$324)</f>
        <v/>
      </c>
      <c r="AL2845" s="35">
        <f>$D2845*($E2845*AL$321+$F2845*AL$324)</f>
        <v/>
      </c>
      <c r="AM2845" s="35">
        <f>$D2845*($E2845*AM$321+$F2845*AM$324)</f>
        <v/>
      </c>
      <c r="AN2845" s="35">
        <f>$D2845*($E2845*AN$321+$F2845*AN$324)</f>
        <v/>
      </c>
      <c r="AO2845" s="35">
        <f>$D2845*($E2845*AO$321+$F2845*AO$324)</f>
        <v/>
      </c>
      <c r="AP2845" s="35">
        <f>$D2845*($E2845*AP$321+$F2845*AP$324)</f>
        <v/>
      </c>
      <c r="AQ2845" s="35">
        <f>$D2845*($E2845*AQ$321+$F2845*AQ$324)</f>
        <v/>
      </c>
      <c r="AR2845" s="35">
        <f>$D2845*($E2845*AR$321+$F2845*AR$324)</f>
        <v/>
      </c>
      <c r="AS2845" s="35">
        <f>$D2845*($E2845*AS$321+$F2845*AS$324)</f>
        <v/>
      </c>
      <c r="AT2845" s="35">
        <f>$D2845*($E2845*AT$321+$F2845*AT$324)</f>
        <v/>
      </c>
      <c r="AU2845" s="35">
        <f>$D2845*($E2845*AU$321+$F2845*AU$324)</f>
        <v/>
      </c>
      <c r="AV2845" s="35">
        <f>$D2845*($E2845*AV$321+$F2845*AV$324)</f>
        <v/>
      </c>
      <c r="AW2845" s="35">
        <f>$D2845*($E2845*AW$321+$F2845*AW$324)</f>
        <v/>
      </c>
      <c r="AX2845" s="35">
        <f>$D2845*($E2845*AX$321+$F2845*AX$324)</f>
        <v/>
      </c>
      <c r="AY2845" s="35">
        <f>$D2845*($E2845*AY$321+$F2845*AY$324)</f>
        <v/>
      </c>
      <c r="AZ2845" s="35">
        <f>$D2845*($E2845*AZ$321+$F2845*AZ$324)</f>
        <v/>
      </c>
      <c r="BA2845" s="42">
        <f>XCARBON($D2845,$E2845,BA$321,$F2845,BA$324)</f>
        <v/>
      </c>
    </row>
    <row r="2846" hidden="1" outlineLevel="2">
      <c r="A2846" s="14" t="inlineStr">
        <is>
          <t>xcp</t>
        </is>
      </c>
      <c r="B2846" s="14" t="inlineStr">
        <is>
          <t>ker</t>
        </is>
      </c>
      <c r="C2846" s="14" t="inlineStr">
        <is>
          <t>ftr</t>
        </is>
      </c>
      <c r="D2846" s="35">
        <f>INDEX(Inputs!$W$5:$W$132,MATCH($B2846&amp;"|"&amp;$C2846,Inputs!$A$5:$A$132,0))</f>
        <v/>
      </c>
      <c r="E2846" s="35">
        <f>INDEX(Inputs!$Z$5:$Z$132,MATCH($B2846&amp;"|"&amp;$C2846,Inputs!$A$5:$A$132,0))</f>
        <v/>
      </c>
      <c r="F2846" s="35">
        <f>INDEX(Inputs!$AA$5:$AA$132,MATCH($B2846&amp;"|"&amp;$C2846,Inputs!$A$5:$A$132,0))</f>
        <v/>
      </c>
      <c r="G2846" s="39" t="n"/>
      <c r="H2846" s="14">
        <f>INDEX(VarLab,MATCH($A2846,VarKey,0))&amp;INDEX(MemLab,MATCH($C2846&amp;"|"&amp;$B2846,MemKey,0))</f>
        <v/>
      </c>
      <c r="I2846" s="14">
        <f>INDEX(VarUnit,MATCH($A2846,VarKey,0))</f>
        <v/>
      </c>
      <c r="J2846" s="14">
        <f>INDEX(VarSrc,MATCH($A2846,VarKey,0))</f>
        <v/>
      </c>
      <c r="K2846" s="11">
        <f>CodePrefix&amp;$A2846&amp;IF($C2846="","","."&amp;$C2846&amp;"."&amp;$B2846)&amp;INDEX(VarEnd,MATCH($A2846,VarKey,0))&amp;K$5</f>
        <v/>
      </c>
      <c r="L2846" s="40">
        <f>$D2846*($E2846*L$321+$F2846*L$324)</f>
        <v/>
      </c>
      <c r="M2846" s="35">
        <f>$D2846*($E2846*M$321+$F2846*M$324)</f>
        <v/>
      </c>
      <c r="N2846" s="35">
        <f>$D2846*($E2846*N$321+$F2846*N$324)</f>
        <v/>
      </c>
      <c r="O2846" s="35">
        <f>$D2846*($E2846*O$321+$F2846*O$324)</f>
        <v/>
      </c>
      <c r="P2846" s="35">
        <f>$D2846*($E2846*P$321+$F2846*P$324)</f>
        <v/>
      </c>
      <c r="Q2846" s="35">
        <f>$D2846*($E2846*Q$321+$F2846*Q$324)</f>
        <v/>
      </c>
      <c r="R2846" s="35">
        <f>$D2846*($E2846*R$321+$F2846*R$324)</f>
        <v/>
      </c>
      <c r="S2846" s="35">
        <f>$D2846*($E2846*S$321+$F2846*S$324)</f>
        <v/>
      </c>
      <c r="T2846" s="35">
        <f>$D2846*($E2846*T$321+$F2846*T$324)</f>
        <v/>
      </c>
      <c r="U2846" s="35">
        <f>$D2846*($E2846*U$321+$F2846*U$324)</f>
        <v/>
      </c>
      <c r="V2846" s="35">
        <f>$D2846*($E2846*V$321+$F2846*V$324)</f>
        <v/>
      </c>
      <c r="W2846" s="35">
        <f>$D2846*($E2846*W$321+$F2846*W$324)</f>
        <v/>
      </c>
      <c r="X2846" s="35">
        <f>$D2846*($E2846*X$321+$F2846*X$324)</f>
        <v/>
      </c>
      <c r="Y2846" s="35">
        <f>$D2846*($E2846*Y$321+$F2846*Y$324)</f>
        <v/>
      </c>
      <c r="Z2846" s="35">
        <f>$D2846*($E2846*Z$321+$F2846*Z$324)</f>
        <v/>
      </c>
      <c r="AA2846" s="35">
        <f>$D2846*($E2846*AA$321+$F2846*AA$324)</f>
        <v/>
      </c>
      <c r="AB2846" s="35">
        <f>$D2846*($E2846*AB$321+$F2846*AB$324)</f>
        <v/>
      </c>
      <c r="AC2846" s="35">
        <f>$D2846*($E2846*AC$321+$F2846*AC$324)</f>
        <v/>
      </c>
      <c r="AD2846" s="35">
        <f>$D2846*($E2846*AD$321+$F2846*AD$324)</f>
        <v/>
      </c>
      <c r="AE2846" s="42">
        <f>XCARBON($D2846,$E2846,AE$321,$F2846,AE$324)</f>
        <v/>
      </c>
      <c r="AG2846" s="11">
        <f>CodePrefix&amp;$A2846&amp;IF($C2846="","","."&amp;$C2846&amp;"."&amp;$B2846)&amp;INDEX(VarEnd,MATCH($A2846,VarKey,0))&amp;AG$5</f>
        <v/>
      </c>
      <c r="AH2846" s="40">
        <f>$D2846*($E2846*AH$321+$F2846*AH$324)</f>
        <v/>
      </c>
      <c r="AI2846" s="35">
        <f>$D2846*($E2846*AI$321+$F2846*AI$324)</f>
        <v/>
      </c>
      <c r="AJ2846" s="35">
        <f>$D2846*($E2846*AJ$321+$F2846*AJ$324)</f>
        <v/>
      </c>
      <c r="AK2846" s="35">
        <f>$D2846*($E2846*AK$321+$F2846*AK$324)</f>
        <v/>
      </c>
      <c r="AL2846" s="35">
        <f>$D2846*($E2846*AL$321+$F2846*AL$324)</f>
        <v/>
      </c>
      <c r="AM2846" s="35">
        <f>$D2846*($E2846*AM$321+$F2846*AM$324)</f>
        <v/>
      </c>
      <c r="AN2846" s="35">
        <f>$D2846*($E2846*AN$321+$F2846*AN$324)</f>
        <v/>
      </c>
      <c r="AO2846" s="35">
        <f>$D2846*($E2846*AO$321+$F2846*AO$324)</f>
        <v/>
      </c>
      <c r="AP2846" s="35">
        <f>$D2846*($E2846*AP$321+$F2846*AP$324)</f>
        <v/>
      </c>
      <c r="AQ2846" s="35">
        <f>$D2846*($E2846*AQ$321+$F2846*AQ$324)</f>
        <v/>
      </c>
      <c r="AR2846" s="35">
        <f>$D2846*($E2846*AR$321+$F2846*AR$324)</f>
        <v/>
      </c>
      <c r="AS2846" s="35">
        <f>$D2846*($E2846*AS$321+$F2846*AS$324)</f>
        <v/>
      </c>
      <c r="AT2846" s="35">
        <f>$D2846*($E2846*AT$321+$F2846*AT$324)</f>
        <v/>
      </c>
      <c r="AU2846" s="35">
        <f>$D2846*($E2846*AU$321+$F2846*AU$324)</f>
        <v/>
      </c>
      <c r="AV2846" s="35">
        <f>$D2846*($E2846*AV$321+$F2846*AV$324)</f>
        <v/>
      </c>
      <c r="AW2846" s="35">
        <f>$D2846*($E2846*AW$321+$F2846*AW$324)</f>
        <v/>
      </c>
      <c r="AX2846" s="35">
        <f>$D2846*($E2846*AX$321+$F2846*AX$324)</f>
        <v/>
      </c>
      <c r="AY2846" s="35">
        <f>$D2846*($E2846*AY$321+$F2846*AY$324)</f>
        <v/>
      </c>
      <c r="AZ2846" s="35">
        <f>$D2846*($E2846*AZ$321+$F2846*AZ$324)</f>
        <v/>
      </c>
      <c r="BA2846" s="42">
        <f>XCARBON($D2846,$E2846,BA$321,$F2846,BA$324)</f>
        <v/>
      </c>
    </row>
    <row r="2847" hidden="1" outlineLevel="2">
      <c r="A2847" s="14" t="inlineStr">
        <is>
          <t>xcp</t>
        </is>
      </c>
      <c r="B2847" s="14" t="inlineStr">
        <is>
          <t>oop</t>
        </is>
      </c>
      <c r="C2847" s="14" t="inlineStr">
        <is>
          <t>ftr</t>
        </is>
      </c>
      <c r="D2847" s="35">
        <f>INDEX(Inputs!$W$5:$W$132,MATCH($B2847&amp;"|"&amp;$C2847,Inputs!$A$5:$A$132,0))</f>
        <v/>
      </c>
      <c r="E2847" s="35">
        <f>INDEX(Inputs!$Z$5:$Z$132,MATCH($B2847&amp;"|"&amp;$C2847,Inputs!$A$5:$A$132,0))</f>
        <v/>
      </c>
      <c r="F2847" s="35">
        <f>INDEX(Inputs!$AA$5:$AA$132,MATCH($B2847&amp;"|"&amp;$C2847,Inputs!$A$5:$A$132,0))</f>
        <v/>
      </c>
      <c r="G2847" s="39" t="n"/>
      <c r="H2847" s="14">
        <f>INDEX(VarLab,MATCH($A2847,VarKey,0))&amp;INDEX(MemLab,MATCH($C2847&amp;"|"&amp;$B2847,MemKey,0))</f>
        <v/>
      </c>
      <c r="I2847" s="14">
        <f>INDEX(VarUnit,MATCH($A2847,VarKey,0))</f>
        <v/>
      </c>
      <c r="J2847" s="14">
        <f>INDEX(VarSrc,MATCH($A2847,VarKey,0))</f>
        <v/>
      </c>
      <c r="K2847" s="11">
        <f>CodePrefix&amp;$A2847&amp;IF($C2847="","","."&amp;$C2847&amp;"."&amp;$B2847)&amp;INDEX(VarEnd,MATCH($A2847,VarKey,0))&amp;K$5</f>
        <v/>
      </c>
      <c r="L2847" s="40">
        <f>$D2847*($E2847*L$321+$F2847*L$324)</f>
        <v/>
      </c>
      <c r="M2847" s="35">
        <f>$D2847*($E2847*M$321+$F2847*M$324)</f>
        <v/>
      </c>
      <c r="N2847" s="35">
        <f>$D2847*($E2847*N$321+$F2847*N$324)</f>
        <v/>
      </c>
      <c r="O2847" s="35">
        <f>$D2847*($E2847*O$321+$F2847*O$324)</f>
        <v/>
      </c>
      <c r="P2847" s="35">
        <f>$D2847*($E2847*P$321+$F2847*P$324)</f>
        <v/>
      </c>
      <c r="Q2847" s="35">
        <f>$D2847*($E2847*Q$321+$F2847*Q$324)</f>
        <v/>
      </c>
      <c r="R2847" s="35">
        <f>$D2847*($E2847*R$321+$F2847*R$324)</f>
        <v/>
      </c>
      <c r="S2847" s="35">
        <f>$D2847*($E2847*S$321+$F2847*S$324)</f>
        <v/>
      </c>
      <c r="T2847" s="35">
        <f>$D2847*($E2847*T$321+$F2847*T$324)</f>
        <v/>
      </c>
      <c r="U2847" s="35">
        <f>$D2847*($E2847*U$321+$F2847*U$324)</f>
        <v/>
      </c>
      <c r="V2847" s="35">
        <f>$D2847*($E2847*V$321+$F2847*V$324)</f>
        <v/>
      </c>
      <c r="W2847" s="35">
        <f>$D2847*($E2847*W$321+$F2847*W$324)</f>
        <v/>
      </c>
      <c r="X2847" s="35">
        <f>$D2847*($E2847*X$321+$F2847*X$324)</f>
        <v/>
      </c>
      <c r="Y2847" s="35">
        <f>$D2847*($E2847*Y$321+$F2847*Y$324)</f>
        <v/>
      </c>
      <c r="Z2847" s="35">
        <f>$D2847*($E2847*Z$321+$F2847*Z$324)</f>
        <v/>
      </c>
      <c r="AA2847" s="35">
        <f>$D2847*($E2847*AA$321+$F2847*AA$324)</f>
        <v/>
      </c>
      <c r="AB2847" s="35">
        <f>$D2847*($E2847*AB$321+$F2847*AB$324)</f>
        <v/>
      </c>
      <c r="AC2847" s="35">
        <f>$D2847*($E2847*AC$321+$F2847*AC$324)</f>
        <v/>
      </c>
      <c r="AD2847" s="35">
        <f>$D2847*($E2847*AD$321+$F2847*AD$324)</f>
        <v/>
      </c>
      <c r="AE2847" s="42">
        <f>XCARBON($D2847,$E2847,AE$321,$F2847,AE$324)</f>
        <v/>
      </c>
      <c r="AG2847" s="11">
        <f>CodePrefix&amp;$A2847&amp;IF($C2847="","","."&amp;$C2847&amp;"."&amp;$B2847)&amp;INDEX(VarEnd,MATCH($A2847,VarKey,0))&amp;AG$5</f>
        <v/>
      </c>
      <c r="AH2847" s="40">
        <f>$D2847*($E2847*AH$321+$F2847*AH$324)</f>
        <v/>
      </c>
      <c r="AI2847" s="35">
        <f>$D2847*($E2847*AI$321+$F2847*AI$324)</f>
        <v/>
      </c>
      <c r="AJ2847" s="35">
        <f>$D2847*($E2847*AJ$321+$F2847*AJ$324)</f>
        <v/>
      </c>
      <c r="AK2847" s="35">
        <f>$D2847*($E2847*AK$321+$F2847*AK$324)</f>
        <v/>
      </c>
      <c r="AL2847" s="35">
        <f>$D2847*($E2847*AL$321+$F2847*AL$324)</f>
        <v/>
      </c>
      <c r="AM2847" s="35">
        <f>$D2847*($E2847*AM$321+$F2847*AM$324)</f>
        <v/>
      </c>
      <c r="AN2847" s="35">
        <f>$D2847*($E2847*AN$321+$F2847*AN$324)</f>
        <v/>
      </c>
      <c r="AO2847" s="35">
        <f>$D2847*($E2847*AO$321+$F2847*AO$324)</f>
        <v/>
      </c>
      <c r="AP2847" s="35">
        <f>$D2847*($E2847*AP$321+$F2847*AP$324)</f>
        <v/>
      </c>
      <c r="AQ2847" s="35">
        <f>$D2847*($E2847*AQ$321+$F2847*AQ$324)</f>
        <v/>
      </c>
      <c r="AR2847" s="35">
        <f>$D2847*($E2847*AR$321+$F2847*AR$324)</f>
        <v/>
      </c>
      <c r="AS2847" s="35">
        <f>$D2847*($E2847*AS$321+$F2847*AS$324)</f>
        <v/>
      </c>
      <c r="AT2847" s="35">
        <f>$D2847*($E2847*AT$321+$F2847*AT$324)</f>
        <v/>
      </c>
      <c r="AU2847" s="35">
        <f>$D2847*($E2847*AU$321+$F2847*AU$324)</f>
        <v/>
      </c>
      <c r="AV2847" s="35">
        <f>$D2847*($E2847*AV$321+$F2847*AV$324)</f>
        <v/>
      </c>
      <c r="AW2847" s="35">
        <f>$D2847*($E2847*AW$321+$F2847*AW$324)</f>
        <v/>
      </c>
      <c r="AX2847" s="35">
        <f>$D2847*($E2847*AX$321+$F2847*AX$324)</f>
        <v/>
      </c>
      <c r="AY2847" s="35">
        <f>$D2847*($E2847*AY$321+$F2847*AY$324)</f>
        <v/>
      </c>
      <c r="AZ2847" s="35">
        <f>$D2847*($E2847*AZ$321+$F2847*AZ$324)</f>
        <v/>
      </c>
      <c r="BA2847" s="42">
        <f>XCARBON($D2847,$E2847,BA$321,$F2847,BA$324)</f>
        <v/>
      </c>
    </row>
    <row r="2848" hidden="1" outlineLevel="2">
      <c r="A2848" s="14" t="inlineStr">
        <is>
          <t>xcp</t>
        </is>
      </c>
      <c r="B2848" s="14" t="inlineStr">
        <is>
          <t>bio</t>
        </is>
      </c>
      <c r="C2848" s="14" t="inlineStr">
        <is>
          <t>ftr</t>
        </is>
      </c>
      <c r="D2848" s="35">
        <f>INDEX(Inputs!$W$5:$W$132,MATCH($B2848&amp;"|"&amp;$C2848,Inputs!$A$5:$A$132,0))</f>
        <v/>
      </c>
      <c r="E2848" s="35">
        <f>INDEX(Inputs!$Z$5:$Z$132,MATCH($B2848&amp;"|"&amp;$C2848,Inputs!$A$5:$A$132,0))</f>
        <v/>
      </c>
      <c r="F2848" s="35">
        <f>INDEX(Inputs!$AA$5:$AA$132,MATCH($B2848&amp;"|"&amp;$C2848,Inputs!$A$5:$A$132,0))</f>
        <v/>
      </c>
      <c r="G2848" s="39" t="n"/>
      <c r="H2848" s="14">
        <f>INDEX(VarLab,MATCH($A2848,VarKey,0))&amp;INDEX(MemLab,MATCH($C2848&amp;"|"&amp;$B2848,MemKey,0))</f>
        <v/>
      </c>
      <c r="I2848" s="14">
        <f>INDEX(VarUnit,MATCH($A2848,VarKey,0))</f>
        <v/>
      </c>
      <c r="J2848" s="14">
        <f>INDEX(VarSrc,MATCH($A2848,VarKey,0))</f>
        <v/>
      </c>
      <c r="K2848" s="11">
        <f>CodePrefix&amp;$A2848&amp;IF($C2848="","","."&amp;$C2848&amp;"."&amp;$B2848)&amp;INDEX(VarEnd,MATCH($A2848,VarKey,0))&amp;K$5</f>
        <v/>
      </c>
      <c r="L2848" s="40">
        <f>$D2848*($E2848*L$321+$F2848*L$324)</f>
        <v/>
      </c>
      <c r="M2848" s="35">
        <f>$D2848*($E2848*M$321+$F2848*M$324)</f>
        <v/>
      </c>
      <c r="N2848" s="35">
        <f>$D2848*($E2848*N$321+$F2848*N$324)</f>
        <v/>
      </c>
      <c r="O2848" s="35">
        <f>$D2848*($E2848*O$321+$F2848*O$324)</f>
        <v/>
      </c>
      <c r="P2848" s="35">
        <f>$D2848*($E2848*P$321+$F2848*P$324)</f>
        <v/>
      </c>
      <c r="Q2848" s="35">
        <f>$D2848*($E2848*Q$321+$F2848*Q$324)</f>
        <v/>
      </c>
      <c r="R2848" s="35">
        <f>$D2848*($E2848*R$321+$F2848*R$324)</f>
        <v/>
      </c>
      <c r="S2848" s="35">
        <f>$D2848*($E2848*S$321+$F2848*S$324)</f>
        <v/>
      </c>
      <c r="T2848" s="35">
        <f>$D2848*($E2848*T$321+$F2848*T$324)</f>
        <v/>
      </c>
      <c r="U2848" s="35">
        <f>$D2848*($E2848*U$321+$F2848*U$324)</f>
        <v/>
      </c>
      <c r="V2848" s="35">
        <f>$D2848*($E2848*V$321+$F2848*V$324)</f>
        <v/>
      </c>
      <c r="W2848" s="35">
        <f>$D2848*($E2848*W$321+$F2848*W$324)</f>
        <v/>
      </c>
      <c r="X2848" s="35">
        <f>$D2848*($E2848*X$321+$F2848*X$324)</f>
        <v/>
      </c>
      <c r="Y2848" s="35">
        <f>$D2848*($E2848*Y$321+$F2848*Y$324)</f>
        <v/>
      </c>
      <c r="Z2848" s="35">
        <f>$D2848*($E2848*Z$321+$F2848*Z$324)</f>
        <v/>
      </c>
      <c r="AA2848" s="35">
        <f>$D2848*($E2848*AA$321+$F2848*AA$324)</f>
        <v/>
      </c>
      <c r="AB2848" s="35">
        <f>$D2848*($E2848*AB$321+$F2848*AB$324)</f>
        <v/>
      </c>
      <c r="AC2848" s="35">
        <f>$D2848*($E2848*AC$321+$F2848*AC$324)</f>
        <v/>
      </c>
      <c r="AD2848" s="35">
        <f>$D2848*($E2848*AD$321+$F2848*AD$324)</f>
        <v/>
      </c>
      <c r="AE2848" s="42">
        <f>XCARBON($D2848,$E2848,AE$321,$F2848,AE$324)</f>
        <v/>
      </c>
      <c r="AG2848" s="11">
        <f>CodePrefix&amp;$A2848&amp;IF($C2848="","","."&amp;$C2848&amp;"."&amp;$B2848)&amp;INDEX(VarEnd,MATCH($A2848,VarKey,0))&amp;AG$5</f>
        <v/>
      </c>
      <c r="AH2848" s="40">
        <f>$D2848*($E2848*AH$321+$F2848*AH$324)</f>
        <v/>
      </c>
      <c r="AI2848" s="35">
        <f>$D2848*($E2848*AI$321+$F2848*AI$324)</f>
        <v/>
      </c>
      <c r="AJ2848" s="35">
        <f>$D2848*($E2848*AJ$321+$F2848*AJ$324)</f>
        <v/>
      </c>
      <c r="AK2848" s="35">
        <f>$D2848*($E2848*AK$321+$F2848*AK$324)</f>
        <v/>
      </c>
      <c r="AL2848" s="35">
        <f>$D2848*($E2848*AL$321+$F2848*AL$324)</f>
        <v/>
      </c>
      <c r="AM2848" s="35">
        <f>$D2848*($E2848*AM$321+$F2848*AM$324)</f>
        <v/>
      </c>
      <c r="AN2848" s="35">
        <f>$D2848*($E2848*AN$321+$F2848*AN$324)</f>
        <v/>
      </c>
      <c r="AO2848" s="35">
        <f>$D2848*($E2848*AO$321+$F2848*AO$324)</f>
        <v/>
      </c>
      <c r="AP2848" s="35">
        <f>$D2848*($E2848*AP$321+$F2848*AP$324)</f>
        <v/>
      </c>
      <c r="AQ2848" s="35">
        <f>$D2848*($E2848*AQ$321+$F2848*AQ$324)</f>
        <v/>
      </c>
      <c r="AR2848" s="35">
        <f>$D2848*($E2848*AR$321+$F2848*AR$324)</f>
        <v/>
      </c>
      <c r="AS2848" s="35">
        <f>$D2848*($E2848*AS$321+$F2848*AS$324)</f>
        <v/>
      </c>
      <c r="AT2848" s="35">
        <f>$D2848*($E2848*AT$321+$F2848*AT$324)</f>
        <v/>
      </c>
      <c r="AU2848" s="35">
        <f>$D2848*($E2848*AU$321+$F2848*AU$324)</f>
        <v/>
      </c>
      <c r="AV2848" s="35">
        <f>$D2848*($E2848*AV$321+$F2848*AV$324)</f>
        <v/>
      </c>
      <c r="AW2848" s="35">
        <f>$D2848*($E2848*AW$321+$F2848*AW$324)</f>
        <v/>
      </c>
      <c r="AX2848" s="35">
        <f>$D2848*($E2848*AX$321+$F2848*AX$324)</f>
        <v/>
      </c>
      <c r="AY2848" s="35">
        <f>$D2848*($E2848*AY$321+$F2848*AY$324)</f>
        <v/>
      </c>
      <c r="AZ2848" s="35">
        <f>$D2848*($E2848*AZ$321+$F2848*AZ$324)</f>
        <v/>
      </c>
      <c r="BA2848" s="42">
        <f>XCARBON($D2848,$E2848,BA$321,$F2848,BA$324)</f>
        <v/>
      </c>
    </row>
    <row r="2849" hidden="1" outlineLevel="2"/>
    <row r="2850" hidden="1" outlineLevel="2">
      <c r="A2850" s="14" t="inlineStr">
        <is>
          <t>xcpd</t>
        </is>
      </c>
      <c r="B2850" s="14" t="inlineStr">
        <is>
          <t>coa</t>
        </is>
      </c>
      <c r="C2850" s="14" t="inlineStr">
        <is>
          <t>ftr</t>
        </is>
      </c>
      <c r="D2850" s="35">
        <f>INDEX(Inputs!$W$5:$W$132,MATCH($B2850&amp;"|"&amp;$C2850,Inputs!$A$5:$A$132,0))</f>
        <v/>
      </c>
      <c r="E2850" s="35">
        <f>INDEX(Inputs!$Z$5:$Z$132,MATCH($B2850&amp;"|"&amp;$C2850,Inputs!$A$5:$A$132,0))</f>
        <v/>
      </c>
      <c r="F2850" s="35">
        <f>INDEX(Inputs!$AA$5:$AA$132,MATCH($B2850&amp;"|"&amp;$C2850,Inputs!$A$5:$A$132,0))</f>
        <v/>
      </c>
      <c r="G2850" s="39" t="n"/>
      <c r="H2850" s="14">
        <f>INDEX(VarLab,MATCH($A2850,VarKey,0))&amp;INDEX(MemLab,MATCH($C2850&amp;"|"&amp;$B2850,MemKey,0))</f>
        <v/>
      </c>
      <c r="I2850" s="14">
        <f>INDEX(VarUnit,MATCH($A2850,VarKey,0))</f>
        <v/>
      </c>
      <c r="J2850" s="14">
        <f>INDEX(VarSrc,MATCH($A2850,VarKey,0))</f>
        <v/>
      </c>
      <c r="K2850" s="11">
        <f>CodePrefix&amp;$A2850&amp;IF($C2850="","","."&amp;$C2850&amp;"."&amp;$B2850)&amp;INDEX(VarEnd,MATCH($A2850,VarKey,0))&amp;K$5</f>
        <v/>
      </c>
      <c r="L2850" s="40">
        <f>$D2850*($E2850*(L$321-L$322)+$F2850*(L$324-L$325))</f>
        <v/>
      </c>
      <c r="M2850" s="35">
        <f>$D2850*($E2850*(M$321-M$322)+$F2850*(M$324-M$325))</f>
        <v/>
      </c>
      <c r="N2850" s="35">
        <f>$D2850*($E2850*(N$321-N$322)+$F2850*(N$324-N$325))</f>
        <v/>
      </c>
      <c r="O2850" s="35">
        <f>$D2850*($E2850*(O$321-O$322)+$F2850*(O$324-O$325))</f>
        <v/>
      </c>
      <c r="P2850" s="35">
        <f>$D2850*($E2850*(P$321-P$322)+$F2850*(P$324-P$325))</f>
        <v/>
      </c>
      <c r="Q2850" s="35">
        <f>$D2850*($E2850*(Q$321-Q$322)+$F2850*(Q$324-Q$325))</f>
        <v/>
      </c>
      <c r="R2850" s="35">
        <f>$D2850*($E2850*(R$321-R$322)+$F2850*(R$324-R$325))</f>
        <v/>
      </c>
      <c r="S2850" s="35">
        <f>$D2850*($E2850*(S$321-S$322)+$F2850*(S$324-S$325))</f>
        <v/>
      </c>
      <c r="T2850" s="35">
        <f>$D2850*($E2850*(T$321-T$322)+$F2850*(T$324-T$325))</f>
        <v/>
      </c>
      <c r="U2850" s="35">
        <f>$D2850*($E2850*(U$321-U$322)+$F2850*(U$324-U$325))</f>
        <v/>
      </c>
      <c r="V2850" s="35">
        <f>$D2850*($E2850*(V$321-V$322)+$F2850*(V$324-V$325))</f>
        <v/>
      </c>
      <c r="W2850" s="35">
        <f>$D2850*($E2850*(W$321-W$322)+$F2850*(W$324-W$325))</f>
        <v/>
      </c>
      <c r="X2850" s="35">
        <f>$D2850*($E2850*(X$321-X$322)+$F2850*(X$324-X$325))</f>
        <v/>
      </c>
      <c r="Y2850" s="35">
        <f>$D2850*($E2850*(Y$321-Y$322)+$F2850*(Y$324-Y$325))</f>
        <v/>
      </c>
      <c r="Z2850" s="35">
        <f>$D2850*($E2850*(Z$321-Z$322)+$F2850*(Z$324-Z$325))</f>
        <v/>
      </c>
      <c r="AA2850" s="35">
        <f>$D2850*($E2850*(AA$321-AA$322)+$F2850*(AA$324-AA$325))</f>
        <v/>
      </c>
      <c r="AB2850" s="35">
        <f>$D2850*($E2850*(AB$321-AB$322)+$F2850*(AB$324-AB$325))</f>
        <v/>
      </c>
      <c r="AC2850" s="35">
        <f>$D2850*($E2850*(AC$321-AC$322)+$F2850*(AC$324-AC$325))</f>
        <v/>
      </c>
      <c r="AD2850" s="35">
        <f>$D2850*($E2850*(AD$321-AD$322)+$F2850*(AD$324-AD$325))</f>
        <v/>
      </c>
      <c r="AE2850" s="42">
        <f>XCARBON($D2850,$E2850,(AE$321-AE$322),$F2850,(AE$324-AE$325))</f>
        <v/>
      </c>
      <c r="AG2850" s="11">
        <f>CodePrefix&amp;$A2850&amp;IF($C2850="","","."&amp;$C2850&amp;"."&amp;$B2850)&amp;INDEX(VarEnd,MATCH($A2850,VarKey,0))&amp;AG$5</f>
        <v/>
      </c>
      <c r="AH2850" s="40">
        <f>$D2850*($E2850*(AH$321-AH$322)+$F2850*(AH$324-AH$325))</f>
        <v/>
      </c>
      <c r="AI2850" s="35">
        <f>$D2850*($E2850*(AI$321-AI$322)+$F2850*(AI$324-AI$325))</f>
        <v/>
      </c>
      <c r="AJ2850" s="35">
        <f>$D2850*($E2850*(AJ$321-AJ$322)+$F2850*(AJ$324-AJ$325))</f>
        <v/>
      </c>
      <c r="AK2850" s="35">
        <f>$D2850*($E2850*(AK$321-AK$322)+$F2850*(AK$324-AK$325))</f>
        <v/>
      </c>
      <c r="AL2850" s="35">
        <f>$D2850*($E2850*(AL$321-AL$322)+$F2850*(AL$324-AL$325))</f>
        <v/>
      </c>
      <c r="AM2850" s="35">
        <f>$D2850*($E2850*(AM$321-AM$322)+$F2850*(AM$324-AM$325))</f>
        <v/>
      </c>
      <c r="AN2850" s="35">
        <f>$D2850*($E2850*(AN$321-AN$322)+$F2850*(AN$324-AN$325))</f>
        <v/>
      </c>
      <c r="AO2850" s="35">
        <f>$D2850*($E2850*(AO$321-AO$322)+$F2850*(AO$324-AO$325))</f>
        <v/>
      </c>
      <c r="AP2850" s="35">
        <f>$D2850*($E2850*(AP$321-AP$322)+$F2850*(AP$324-AP$325))</f>
        <v/>
      </c>
      <c r="AQ2850" s="35">
        <f>$D2850*($E2850*(AQ$321-AQ$322)+$F2850*(AQ$324-AQ$325))</f>
        <v/>
      </c>
      <c r="AR2850" s="35">
        <f>$D2850*($E2850*(AR$321-AR$322)+$F2850*(AR$324-AR$325))</f>
        <v/>
      </c>
      <c r="AS2850" s="35">
        <f>$D2850*($E2850*(AS$321-AS$322)+$F2850*(AS$324-AS$325))</f>
        <v/>
      </c>
      <c r="AT2850" s="35">
        <f>$D2850*($E2850*(AT$321-AT$322)+$F2850*(AT$324-AT$325))</f>
        <v/>
      </c>
      <c r="AU2850" s="35">
        <f>$D2850*($E2850*(AU$321-AU$322)+$F2850*(AU$324-AU$325))</f>
        <v/>
      </c>
      <c r="AV2850" s="35">
        <f>$D2850*($E2850*(AV$321-AV$322)+$F2850*(AV$324-AV$325))</f>
        <v/>
      </c>
      <c r="AW2850" s="35">
        <f>$D2850*($E2850*(AW$321-AW$322)+$F2850*(AW$324-AW$325))</f>
        <v/>
      </c>
      <c r="AX2850" s="35">
        <f>$D2850*($E2850*(AX$321-AX$322)+$F2850*(AX$324-AX$325))</f>
        <v/>
      </c>
      <c r="AY2850" s="35">
        <f>$D2850*($E2850*(AY$321-AY$322)+$F2850*(AY$324-AY$325))</f>
        <v/>
      </c>
      <c r="AZ2850" s="35">
        <f>$D2850*($E2850*(AZ$321-AZ$322)+$F2850*(AZ$324-AZ$325))</f>
        <v/>
      </c>
      <c r="BA2850" s="42">
        <f>XCARBON($D2850,$E2850,(BA$321-BA$322),$F2850,(BA$324-BA$325))</f>
        <v/>
      </c>
    </row>
    <row r="2851" hidden="1" outlineLevel="2">
      <c r="A2851" s="14" t="inlineStr">
        <is>
          <t>xcpd</t>
        </is>
      </c>
      <c r="B2851" s="14" t="inlineStr">
        <is>
          <t>nga</t>
        </is>
      </c>
      <c r="C2851" s="14" t="inlineStr">
        <is>
          <t>ftr</t>
        </is>
      </c>
      <c r="D2851" s="35">
        <f>INDEX(Inputs!$W$5:$W$132,MATCH($B2851&amp;"|"&amp;$C2851,Inputs!$A$5:$A$132,0))</f>
        <v/>
      </c>
      <c r="E2851" s="35">
        <f>INDEX(Inputs!$Z$5:$Z$132,MATCH($B2851&amp;"|"&amp;$C2851,Inputs!$A$5:$A$132,0))</f>
        <v/>
      </c>
      <c r="F2851" s="35">
        <f>INDEX(Inputs!$AA$5:$AA$132,MATCH($B2851&amp;"|"&amp;$C2851,Inputs!$A$5:$A$132,0))</f>
        <v/>
      </c>
      <c r="G2851" s="39" t="n"/>
      <c r="H2851" s="14">
        <f>INDEX(VarLab,MATCH($A2851,VarKey,0))&amp;INDEX(MemLab,MATCH($C2851&amp;"|"&amp;$B2851,MemKey,0))</f>
        <v/>
      </c>
      <c r="I2851" s="14">
        <f>INDEX(VarUnit,MATCH($A2851,VarKey,0))</f>
        <v/>
      </c>
      <c r="J2851" s="14">
        <f>INDEX(VarSrc,MATCH($A2851,VarKey,0))</f>
        <v/>
      </c>
      <c r="K2851" s="11">
        <f>CodePrefix&amp;$A2851&amp;IF($C2851="","","."&amp;$C2851&amp;"."&amp;$B2851)&amp;INDEX(VarEnd,MATCH($A2851,VarKey,0))&amp;K$5</f>
        <v/>
      </c>
      <c r="L2851" s="40">
        <f>$D2851*($E2851*(L$321-L$322)+$F2851*(L$324-L$325))</f>
        <v/>
      </c>
      <c r="M2851" s="35">
        <f>$D2851*($E2851*(M$321-M$322)+$F2851*(M$324-M$325))</f>
        <v/>
      </c>
      <c r="N2851" s="35">
        <f>$D2851*($E2851*(N$321-N$322)+$F2851*(N$324-N$325))</f>
        <v/>
      </c>
      <c r="O2851" s="35">
        <f>$D2851*($E2851*(O$321-O$322)+$F2851*(O$324-O$325))</f>
        <v/>
      </c>
      <c r="P2851" s="35">
        <f>$D2851*($E2851*(P$321-P$322)+$F2851*(P$324-P$325))</f>
        <v/>
      </c>
      <c r="Q2851" s="35">
        <f>$D2851*($E2851*(Q$321-Q$322)+$F2851*(Q$324-Q$325))</f>
        <v/>
      </c>
      <c r="R2851" s="35">
        <f>$D2851*($E2851*(R$321-R$322)+$F2851*(R$324-R$325))</f>
        <v/>
      </c>
      <c r="S2851" s="35">
        <f>$D2851*($E2851*(S$321-S$322)+$F2851*(S$324-S$325))</f>
        <v/>
      </c>
      <c r="T2851" s="35">
        <f>$D2851*($E2851*(T$321-T$322)+$F2851*(T$324-T$325))</f>
        <v/>
      </c>
      <c r="U2851" s="35">
        <f>$D2851*($E2851*(U$321-U$322)+$F2851*(U$324-U$325))</f>
        <v/>
      </c>
      <c r="V2851" s="35">
        <f>$D2851*($E2851*(V$321-V$322)+$F2851*(V$324-V$325))</f>
        <v/>
      </c>
      <c r="W2851" s="35">
        <f>$D2851*($E2851*(W$321-W$322)+$F2851*(W$324-W$325))</f>
        <v/>
      </c>
      <c r="X2851" s="35">
        <f>$D2851*($E2851*(X$321-X$322)+$F2851*(X$324-X$325))</f>
        <v/>
      </c>
      <c r="Y2851" s="35">
        <f>$D2851*($E2851*(Y$321-Y$322)+$F2851*(Y$324-Y$325))</f>
        <v/>
      </c>
      <c r="Z2851" s="35">
        <f>$D2851*($E2851*(Z$321-Z$322)+$F2851*(Z$324-Z$325))</f>
        <v/>
      </c>
      <c r="AA2851" s="35">
        <f>$D2851*($E2851*(AA$321-AA$322)+$F2851*(AA$324-AA$325))</f>
        <v/>
      </c>
      <c r="AB2851" s="35">
        <f>$D2851*($E2851*(AB$321-AB$322)+$F2851*(AB$324-AB$325))</f>
        <v/>
      </c>
      <c r="AC2851" s="35">
        <f>$D2851*($E2851*(AC$321-AC$322)+$F2851*(AC$324-AC$325))</f>
        <v/>
      </c>
      <c r="AD2851" s="35">
        <f>$D2851*($E2851*(AD$321-AD$322)+$F2851*(AD$324-AD$325))</f>
        <v/>
      </c>
      <c r="AE2851" s="42">
        <f>XCARBON($D2851,$E2851,(AE$321-AE$322),$F2851,(AE$324-AE$325))</f>
        <v/>
      </c>
      <c r="AG2851" s="11">
        <f>CodePrefix&amp;$A2851&amp;IF($C2851="","","."&amp;$C2851&amp;"."&amp;$B2851)&amp;INDEX(VarEnd,MATCH($A2851,VarKey,0))&amp;AG$5</f>
        <v/>
      </c>
      <c r="AH2851" s="40">
        <f>$D2851*($E2851*(AH$321-AH$322)+$F2851*(AH$324-AH$325))</f>
        <v/>
      </c>
      <c r="AI2851" s="35">
        <f>$D2851*($E2851*(AI$321-AI$322)+$F2851*(AI$324-AI$325))</f>
        <v/>
      </c>
      <c r="AJ2851" s="35">
        <f>$D2851*($E2851*(AJ$321-AJ$322)+$F2851*(AJ$324-AJ$325))</f>
        <v/>
      </c>
      <c r="AK2851" s="35">
        <f>$D2851*($E2851*(AK$321-AK$322)+$F2851*(AK$324-AK$325))</f>
        <v/>
      </c>
      <c r="AL2851" s="35">
        <f>$D2851*($E2851*(AL$321-AL$322)+$F2851*(AL$324-AL$325))</f>
        <v/>
      </c>
      <c r="AM2851" s="35">
        <f>$D2851*($E2851*(AM$321-AM$322)+$F2851*(AM$324-AM$325))</f>
        <v/>
      </c>
      <c r="AN2851" s="35">
        <f>$D2851*($E2851*(AN$321-AN$322)+$F2851*(AN$324-AN$325))</f>
        <v/>
      </c>
      <c r="AO2851" s="35">
        <f>$D2851*($E2851*(AO$321-AO$322)+$F2851*(AO$324-AO$325))</f>
        <v/>
      </c>
      <c r="AP2851" s="35">
        <f>$D2851*($E2851*(AP$321-AP$322)+$F2851*(AP$324-AP$325))</f>
        <v/>
      </c>
      <c r="AQ2851" s="35">
        <f>$D2851*($E2851*(AQ$321-AQ$322)+$F2851*(AQ$324-AQ$325))</f>
        <v/>
      </c>
      <c r="AR2851" s="35">
        <f>$D2851*($E2851*(AR$321-AR$322)+$F2851*(AR$324-AR$325))</f>
        <v/>
      </c>
      <c r="AS2851" s="35">
        <f>$D2851*($E2851*(AS$321-AS$322)+$F2851*(AS$324-AS$325))</f>
        <v/>
      </c>
      <c r="AT2851" s="35">
        <f>$D2851*($E2851*(AT$321-AT$322)+$F2851*(AT$324-AT$325))</f>
        <v/>
      </c>
      <c r="AU2851" s="35">
        <f>$D2851*($E2851*(AU$321-AU$322)+$F2851*(AU$324-AU$325))</f>
        <v/>
      </c>
      <c r="AV2851" s="35">
        <f>$D2851*($E2851*(AV$321-AV$322)+$F2851*(AV$324-AV$325))</f>
        <v/>
      </c>
      <c r="AW2851" s="35">
        <f>$D2851*($E2851*(AW$321-AW$322)+$F2851*(AW$324-AW$325))</f>
        <v/>
      </c>
      <c r="AX2851" s="35">
        <f>$D2851*($E2851*(AX$321-AX$322)+$F2851*(AX$324-AX$325))</f>
        <v/>
      </c>
      <c r="AY2851" s="35">
        <f>$D2851*($E2851*(AY$321-AY$322)+$F2851*(AY$324-AY$325))</f>
        <v/>
      </c>
      <c r="AZ2851" s="35">
        <f>$D2851*($E2851*(AZ$321-AZ$322)+$F2851*(AZ$324-AZ$325))</f>
        <v/>
      </c>
      <c r="BA2851" s="42">
        <f>XCARBON($D2851,$E2851,(BA$321-BA$322),$F2851,(BA$324-BA$325))</f>
        <v/>
      </c>
    </row>
    <row r="2852" hidden="1" outlineLevel="2">
      <c r="A2852" s="14" t="inlineStr">
        <is>
          <t>xcpd</t>
        </is>
      </c>
      <c r="B2852" s="14" t="inlineStr">
        <is>
          <t>gso</t>
        </is>
      </c>
      <c r="C2852" s="14" t="inlineStr">
        <is>
          <t>ftr</t>
        </is>
      </c>
      <c r="D2852" s="35">
        <f>INDEX(Inputs!$W$5:$W$132,MATCH($B2852&amp;"|"&amp;$C2852,Inputs!$A$5:$A$132,0))</f>
        <v/>
      </c>
      <c r="E2852" s="35">
        <f>INDEX(Inputs!$Z$5:$Z$132,MATCH($B2852&amp;"|"&amp;$C2852,Inputs!$A$5:$A$132,0))</f>
        <v/>
      </c>
      <c r="F2852" s="35">
        <f>INDEX(Inputs!$AA$5:$AA$132,MATCH($B2852&amp;"|"&amp;$C2852,Inputs!$A$5:$A$132,0))</f>
        <v/>
      </c>
      <c r="G2852" s="39" t="n"/>
      <c r="H2852" s="14">
        <f>INDEX(VarLab,MATCH($A2852,VarKey,0))&amp;INDEX(MemLab,MATCH($C2852&amp;"|"&amp;$B2852,MemKey,0))</f>
        <v/>
      </c>
      <c r="I2852" s="14">
        <f>INDEX(VarUnit,MATCH($A2852,VarKey,0))</f>
        <v/>
      </c>
      <c r="J2852" s="14">
        <f>INDEX(VarSrc,MATCH($A2852,VarKey,0))</f>
        <v/>
      </c>
      <c r="K2852" s="11">
        <f>CodePrefix&amp;$A2852&amp;IF($C2852="","","."&amp;$C2852&amp;"."&amp;$B2852)&amp;INDEX(VarEnd,MATCH($A2852,VarKey,0))&amp;K$5</f>
        <v/>
      </c>
      <c r="L2852" s="40">
        <f>$D2852*($E2852*(L$321-L$322)+$F2852*(L$324-L$325))</f>
        <v/>
      </c>
      <c r="M2852" s="35">
        <f>$D2852*($E2852*(M$321-M$322)+$F2852*(M$324-M$325))</f>
        <v/>
      </c>
      <c r="N2852" s="35">
        <f>$D2852*($E2852*(N$321-N$322)+$F2852*(N$324-N$325))</f>
        <v/>
      </c>
      <c r="O2852" s="35">
        <f>$D2852*($E2852*(O$321-O$322)+$F2852*(O$324-O$325))</f>
        <v/>
      </c>
      <c r="P2852" s="35">
        <f>$D2852*($E2852*(P$321-P$322)+$F2852*(P$324-P$325))</f>
        <v/>
      </c>
      <c r="Q2852" s="35">
        <f>$D2852*($E2852*(Q$321-Q$322)+$F2852*(Q$324-Q$325))</f>
        <v/>
      </c>
      <c r="R2852" s="35">
        <f>$D2852*($E2852*(R$321-R$322)+$F2852*(R$324-R$325))</f>
        <v/>
      </c>
      <c r="S2852" s="35">
        <f>$D2852*($E2852*(S$321-S$322)+$F2852*(S$324-S$325))</f>
        <v/>
      </c>
      <c r="T2852" s="35">
        <f>$D2852*($E2852*(T$321-T$322)+$F2852*(T$324-T$325))</f>
        <v/>
      </c>
      <c r="U2852" s="35">
        <f>$D2852*($E2852*(U$321-U$322)+$F2852*(U$324-U$325))</f>
        <v/>
      </c>
      <c r="V2852" s="35">
        <f>$D2852*($E2852*(V$321-V$322)+$F2852*(V$324-V$325))</f>
        <v/>
      </c>
      <c r="W2852" s="35">
        <f>$D2852*($E2852*(W$321-W$322)+$F2852*(W$324-W$325))</f>
        <v/>
      </c>
      <c r="X2852" s="35">
        <f>$D2852*($E2852*(X$321-X$322)+$F2852*(X$324-X$325))</f>
        <v/>
      </c>
      <c r="Y2852" s="35">
        <f>$D2852*($E2852*(Y$321-Y$322)+$F2852*(Y$324-Y$325))</f>
        <v/>
      </c>
      <c r="Z2852" s="35">
        <f>$D2852*($E2852*(Z$321-Z$322)+$F2852*(Z$324-Z$325))</f>
        <v/>
      </c>
      <c r="AA2852" s="35">
        <f>$D2852*($E2852*(AA$321-AA$322)+$F2852*(AA$324-AA$325))</f>
        <v/>
      </c>
      <c r="AB2852" s="35">
        <f>$D2852*($E2852*(AB$321-AB$322)+$F2852*(AB$324-AB$325))</f>
        <v/>
      </c>
      <c r="AC2852" s="35">
        <f>$D2852*($E2852*(AC$321-AC$322)+$F2852*(AC$324-AC$325))</f>
        <v/>
      </c>
      <c r="AD2852" s="35">
        <f>$D2852*($E2852*(AD$321-AD$322)+$F2852*(AD$324-AD$325))</f>
        <v/>
      </c>
      <c r="AE2852" s="42">
        <f>XCARBON($D2852,$E2852,(AE$321-AE$322),$F2852,(AE$324-AE$325))</f>
        <v/>
      </c>
      <c r="AG2852" s="11">
        <f>CodePrefix&amp;$A2852&amp;IF($C2852="","","."&amp;$C2852&amp;"."&amp;$B2852)&amp;INDEX(VarEnd,MATCH($A2852,VarKey,0))&amp;AG$5</f>
        <v/>
      </c>
      <c r="AH2852" s="40">
        <f>$D2852*($E2852*(AH$321-AH$322)+$F2852*(AH$324-AH$325))</f>
        <v/>
      </c>
      <c r="AI2852" s="35">
        <f>$D2852*($E2852*(AI$321-AI$322)+$F2852*(AI$324-AI$325))</f>
        <v/>
      </c>
      <c r="AJ2852" s="35">
        <f>$D2852*($E2852*(AJ$321-AJ$322)+$F2852*(AJ$324-AJ$325))</f>
        <v/>
      </c>
      <c r="AK2852" s="35">
        <f>$D2852*($E2852*(AK$321-AK$322)+$F2852*(AK$324-AK$325))</f>
        <v/>
      </c>
      <c r="AL2852" s="35">
        <f>$D2852*($E2852*(AL$321-AL$322)+$F2852*(AL$324-AL$325))</f>
        <v/>
      </c>
      <c r="AM2852" s="35">
        <f>$D2852*($E2852*(AM$321-AM$322)+$F2852*(AM$324-AM$325))</f>
        <v/>
      </c>
      <c r="AN2852" s="35">
        <f>$D2852*($E2852*(AN$321-AN$322)+$F2852*(AN$324-AN$325))</f>
        <v/>
      </c>
      <c r="AO2852" s="35">
        <f>$D2852*($E2852*(AO$321-AO$322)+$F2852*(AO$324-AO$325))</f>
        <v/>
      </c>
      <c r="AP2852" s="35">
        <f>$D2852*($E2852*(AP$321-AP$322)+$F2852*(AP$324-AP$325))</f>
        <v/>
      </c>
      <c r="AQ2852" s="35">
        <f>$D2852*($E2852*(AQ$321-AQ$322)+$F2852*(AQ$324-AQ$325))</f>
        <v/>
      </c>
      <c r="AR2852" s="35">
        <f>$D2852*($E2852*(AR$321-AR$322)+$F2852*(AR$324-AR$325))</f>
        <v/>
      </c>
      <c r="AS2852" s="35">
        <f>$D2852*($E2852*(AS$321-AS$322)+$F2852*(AS$324-AS$325))</f>
        <v/>
      </c>
      <c r="AT2852" s="35">
        <f>$D2852*($E2852*(AT$321-AT$322)+$F2852*(AT$324-AT$325))</f>
        <v/>
      </c>
      <c r="AU2852" s="35">
        <f>$D2852*($E2852*(AU$321-AU$322)+$F2852*(AU$324-AU$325))</f>
        <v/>
      </c>
      <c r="AV2852" s="35">
        <f>$D2852*($E2852*(AV$321-AV$322)+$F2852*(AV$324-AV$325))</f>
        <v/>
      </c>
      <c r="AW2852" s="35">
        <f>$D2852*($E2852*(AW$321-AW$322)+$F2852*(AW$324-AW$325))</f>
        <v/>
      </c>
      <c r="AX2852" s="35">
        <f>$D2852*($E2852*(AX$321-AX$322)+$F2852*(AX$324-AX$325))</f>
        <v/>
      </c>
      <c r="AY2852" s="35">
        <f>$D2852*($E2852*(AY$321-AY$322)+$F2852*(AY$324-AY$325))</f>
        <v/>
      </c>
      <c r="AZ2852" s="35">
        <f>$D2852*($E2852*(AZ$321-AZ$322)+$F2852*(AZ$324-AZ$325))</f>
        <v/>
      </c>
      <c r="BA2852" s="42">
        <f>XCARBON($D2852,$E2852,(BA$321-BA$322),$F2852,(BA$324-BA$325))</f>
        <v/>
      </c>
    </row>
    <row r="2853" hidden="1" outlineLevel="2">
      <c r="A2853" s="14" t="inlineStr">
        <is>
          <t>xcpd</t>
        </is>
      </c>
      <c r="B2853" s="14" t="inlineStr">
        <is>
          <t>die</t>
        </is>
      </c>
      <c r="C2853" s="14" t="inlineStr">
        <is>
          <t>ftr</t>
        </is>
      </c>
      <c r="D2853" s="35">
        <f>INDEX(Inputs!$W$5:$W$132,MATCH($B2853&amp;"|"&amp;$C2853,Inputs!$A$5:$A$132,0))</f>
        <v/>
      </c>
      <c r="E2853" s="35">
        <f>INDEX(Inputs!$Z$5:$Z$132,MATCH($B2853&amp;"|"&amp;$C2853,Inputs!$A$5:$A$132,0))</f>
        <v/>
      </c>
      <c r="F2853" s="35">
        <f>INDEX(Inputs!$AA$5:$AA$132,MATCH($B2853&amp;"|"&amp;$C2853,Inputs!$A$5:$A$132,0))</f>
        <v/>
      </c>
      <c r="G2853" s="39" t="n"/>
      <c r="H2853" s="14">
        <f>INDEX(VarLab,MATCH($A2853,VarKey,0))&amp;INDEX(MemLab,MATCH($C2853&amp;"|"&amp;$B2853,MemKey,0))</f>
        <v/>
      </c>
      <c r="I2853" s="14">
        <f>INDEX(VarUnit,MATCH($A2853,VarKey,0))</f>
        <v/>
      </c>
      <c r="J2853" s="14">
        <f>INDEX(VarSrc,MATCH($A2853,VarKey,0))</f>
        <v/>
      </c>
      <c r="K2853" s="11">
        <f>CodePrefix&amp;$A2853&amp;IF($C2853="","","."&amp;$C2853&amp;"."&amp;$B2853)&amp;INDEX(VarEnd,MATCH($A2853,VarKey,0))&amp;K$5</f>
        <v/>
      </c>
      <c r="L2853" s="40">
        <f>$D2853*($E2853*(L$321-L$322)+$F2853*(L$324-L$325))</f>
        <v/>
      </c>
      <c r="M2853" s="35">
        <f>$D2853*($E2853*(M$321-M$322)+$F2853*(M$324-M$325))</f>
        <v/>
      </c>
      <c r="N2853" s="35">
        <f>$D2853*($E2853*(N$321-N$322)+$F2853*(N$324-N$325))</f>
        <v/>
      </c>
      <c r="O2853" s="35">
        <f>$D2853*($E2853*(O$321-O$322)+$F2853*(O$324-O$325))</f>
        <v/>
      </c>
      <c r="P2853" s="35">
        <f>$D2853*($E2853*(P$321-P$322)+$F2853*(P$324-P$325))</f>
        <v/>
      </c>
      <c r="Q2853" s="35">
        <f>$D2853*($E2853*(Q$321-Q$322)+$F2853*(Q$324-Q$325))</f>
        <v/>
      </c>
      <c r="R2853" s="35">
        <f>$D2853*($E2853*(R$321-R$322)+$F2853*(R$324-R$325))</f>
        <v/>
      </c>
      <c r="S2853" s="35">
        <f>$D2853*($E2853*(S$321-S$322)+$F2853*(S$324-S$325))</f>
        <v/>
      </c>
      <c r="T2853" s="35">
        <f>$D2853*($E2853*(T$321-T$322)+$F2853*(T$324-T$325))</f>
        <v/>
      </c>
      <c r="U2853" s="35">
        <f>$D2853*($E2853*(U$321-U$322)+$F2853*(U$324-U$325))</f>
        <v/>
      </c>
      <c r="V2853" s="35">
        <f>$D2853*($E2853*(V$321-V$322)+$F2853*(V$324-V$325))</f>
        <v/>
      </c>
      <c r="W2853" s="35">
        <f>$D2853*($E2853*(W$321-W$322)+$F2853*(W$324-W$325))</f>
        <v/>
      </c>
      <c r="X2853" s="35">
        <f>$D2853*($E2853*(X$321-X$322)+$F2853*(X$324-X$325))</f>
        <v/>
      </c>
      <c r="Y2853" s="35">
        <f>$D2853*($E2853*(Y$321-Y$322)+$F2853*(Y$324-Y$325))</f>
        <v/>
      </c>
      <c r="Z2853" s="35">
        <f>$D2853*($E2853*(Z$321-Z$322)+$F2853*(Z$324-Z$325))</f>
        <v/>
      </c>
      <c r="AA2853" s="35">
        <f>$D2853*($E2853*(AA$321-AA$322)+$F2853*(AA$324-AA$325))</f>
        <v/>
      </c>
      <c r="AB2853" s="35">
        <f>$D2853*($E2853*(AB$321-AB$322)+$F2853*(AB$324-AB$325))</f>
        <v/>
      </c>
      <c r="AC2853" s="35">
        <f>$D2853*($E2853*(AC$321-AC$322)+$F2853*(AC$324-AC$325))</f>
        <v/>
      </c>
      <c r="AD2853" s="35">
        <f>$D2853*($E2853*(AD$321-AD$322)+$F2853*(AD$324-AD$325))</f>
        <v/>
      </c>
      <c r="AE2853" s="42">
        <f>XCARBON($D2853,$E2853,(AE$321-AE$322),$F2853,(AE$324-AE$325))</f>
        <v/>
      </c>
      <c r="AG2853" s="11">
        <f>CodePrefix&amp;$A2853&amp;IF($C2853="","","."&amp;$C2853&amp;"."&amp;$B2853)&amp;INDEX(VarEnd,MATCH($A2853,VarKey,0))&amp;AG$5</f>
        <v/>
      </c>
      <c r="AH2853" s="40">
        <f>$D2853*($E2853*(AH$321-AH$322)+$F2853*(AH$324-AH$325))</f>
        <v/>
      </c>
      <c r="AI2853" s="35">
        <f>$D2853*($E2853*(AI$321-AI$322)+$F2853*(AI$324-AI$325))</f>
        <v/>
      </c>
      <c r="AJ2853" s="35">
        <f>$D2853*($E2853*(AJ$321-AJ$322)+$F2853*(AJ$324-AJ$325))</f>
        <v/>
      </c>
      <c r="AK2853" s="35">
        <f>$D2853*($E2853*(AK$321-AK$322)+$F2853*(AK$324-AK$325))</f>
        <v/>
      </c>
      <c r="AL2853" s="35">
        <f>$D2853*($E2853*(AL$321-AL$322)+$F2853*(AL$324-AL$325))</f>
        <v/>
      </c>
      <c r="AM2853" s="35">
        <f>$D2853*($E2853*(AM$321-AM$322)+$F2853*(AM$324-AM$325))</f>
        <v/>
      </c>
      <c r="AN2853" s="35">
        <f>$D2853*($E2853*(AN$321-AN$322)+$F2853*(AN$324-AN$325))</f>
        <v/>
      </c>
      <c r="AO2853" s="35">
        <f>$D2853*($E2853*(AO$321-AO$322)+$F2853*(AO$324-AO$325))</f>
        <v/>
      </c>
      <c r="AP2853" s="35">
        <f>$D2853*($E2853*(AP$321-AP$322)+$F2853*(AP$324-AP$325))</f>
        <v/>
      </c>
      <c r="AQ2853" s="35">
        <f>$D2853*($E2853*(AQ$321-AQ$322)+$F2853*(AQ$324-AQ$325))</f>
        <v/>
      </c>
      <c r="AR2853" s="35">
        <f>$D2853*($E2853*(AR$321-AR$322)+$F2853*(AR$324-AR$325))</f>
        <v/>
      </c>
      <c r="AS2853" s="35">
        <f>$D2853*($E2853*(AS$321-AS$322)+$F2853*(AS$324-AS$325))</f>
        <v/>
      </c>
      <c r="AT2853" s="35">
        <f>$D2853*($E2853*(AT$321-AT$322)+$F2853*(AT$324-AT$325))</f>
        <v/>
      </c>
      <c r="AU2853" s="35">
        <f>$D2853*($E2853*(AU$321-AU$322)+$F2853*(AU$324-AU$325))</f>
        <v/>
      </c>
      <c r="AV2853" s="35">
        <f>$D2853*($E2853*(AV$321-AV$322)+$F2853*(AV$324-AV$325))</f>
        <v/>
      </c>
      <c r="AW2853" s="35">
        <f>$D2853*($E2853*(AW$321-AW$322)+$F2853*(AW$324-AW$325))</f>
        <v/>
      </c>
      <c r="AX2853" s="35">
        <f>$D2853*($E2853*(AX$321-AX$322)+$F2853*(AX$324-AX$325))</f>
        <v/>
      </c>
      <c r="AY2853" s="35">
        <f>$D2853*($E2853*(AY$321-AY$322)+$F2853*(AY$324-AY$325))</f>
        <v/>
      </c>
      <c r="AZ2853" s="35">
        <f>$D2853*($E2853*(AZ$321-AZ$322)+$F2853*(AZ$324-AZ$325))</f>
        <v/>
      </c>
      <c r="BA2853" s="42">
        <f>XCARBON($D2853,$E2853,(BA$321-BA$322),$F2853,(BA$324-BA$325))</f>
        <v/>
      </c>
    </row>
    <row r="2854" hidden="1" outlineLevel="2">
      <c r="A2854" s="14" t="inlineStr">
        <is>
          <t>xcpd</t>
        </is>
      </c>
      <c r="B2854" s="14" t="inlineStr">
        <is>
          <t>lpg</t>
        </is>
      </c>
      <c r="C2854" s="14" t="inlineStr">
        <is>
          <t>ftr</t>
        </is>
      </c>
      <c r="D2854" s="35">
        <f>INDEX(Inputs!$W$5:$W$132,MATCH($B2854&amp;"|"&amp;$C2854,Inputs!$A$5:$A$132,0))</f>
        <v/>
      </c>
      <c r="E2854" s="35">
        <f>INDEX(Inputs!$Z$5:$Z$132,MATCH($B2854&amp;"|"&amp;$C2854,Inputs!$A$5:$A$132,0))</f>
        <v/>
      </c>
      <c r="F2854" s="35">
        <f>INDEX(Inputs!$AA$5:$AA$132,MATCH($B2854&amp;"|"&amp;$C2854,Inputs!$A$5:$A$132,0))</f>
        <v/>
      </c>
      <c r="G2854" s="39" t="n"/>
      <c r="H2854" s="14">
        <f>INDEX(VarLab,MATCH($A2854,VarKey,0))&amp;INDEX(MemLab,MATCH($C2854&amp;"|"&amp;$B2854,MemKey,0))</f>
        <v/>
      </c>
      <c r="I2854" s="14">
        <f>INDEX(VarUnit,MATCH($A2854,VarKey,0))</f>
        <v/>
      </c>
      <c r="J2854" s="14">
        <f>INDEX(VarSrc,MATCH($A2854,VarKey,0))</f>
        <v/>
      </c>
      <c r="K2854" s="11">
        <f>CodePrefix&amp;$A2854&amp;IF($C2854="","","."&amp;$C2854&amp;"."&amp;$B2854)&amp;INDEX(VarEnd,MATCH($A2854,VarKey,0))&amp;K$5</f>
        <v/>
      </c>
      <c r="L2854" s="40">
        <f>$D2854*($E2854*(L$321-L$322)+$F2854*(L$324-L$325))</f>
        <v/>
      </c>
      <c r="M2854" s="35">
        <f>$D2854*($E2854*(M$321-M$322)+$F2854*(M$324-M$325))</f>
        <v/>
      </c>
      <c r="N2854" s="35">
        <f>$D2854*($E2854*(N$321-N$322)+$F2854*(N$324-N$325))</f>
        <v/>
      </c>
      <c r="O2854" s="35">
        <f>$D2854*($E2854*(O$321-O$322)+$F2854*(O$324-O$325))</f>
        <v/>
      </c>
      <c r="P2854" s="35">
        <f>$D2854*($E2854*(P$321-P$322)+$F2854*(P$324-P$325))</f>
        <v/>
      </c>
      <c r="Q2854" s="35">
        <f>$D2854*($E2854*(Q$321-Q$322)+$F2854*(Q$324-Q$325))</f>
        <v/>
      </c>
      <c r="R2854" s="35">
        <f>$D2854*($E2854*(R$321-R$322)+$F2854*(R$324-R$325))</f>
        <v/>
      </c>
      <c r="S2854" s="35">
        <f>$D2854*($E2854*(S$321-S$322)+$F2854*(S$324-S$325))</f>
        <v/>
      </c>
      <c r="T2854" s="35">
        <f>$D2854*($E2854*(T$321-T$322)+$F2854*(T$324-T$325))</f>
        <v/>
      </c>
      <c r="U2854" s="35">
        <f>$D2854*($E2854*(U$321-U$322)+$F2854*(U$324-U$325))</f>
        <v/>
      </c>
      <c r="V2854" s="35">
        <f>$D2854*($E2854*(V$321-V$322)+$F2854*(V$324-V$325))</f>
        <v/>
      </c>
      <c r="W2854" s="35">
        <f>$D2854*($E2854*(W$321-W$322)+$F2854*(W$324-W$325))</f>
        <v/>
      </c>
      <c r="X2854" s="35">
        <f>$D2854*($E2854*(X$321-X$322)+$F2854*(X$324-X$325))</f>
        <v/>
      </c>
      <c r="Y2854" s="35">
        <f>$D2854*($E2854*(Y$321-Y$322)+$F2854*(Y$324-Y$325))</f>
        <v/>
      </c>
      <c r="Z2854" s="35">
        <f>$D2854*($E2854*(Z$321-Z$322)+$F2854*(Z$324-Z$325))</f>
        <v/>
      </c>
      <c r="AA2854" s="35">
        <f>$D2854*($E2854*(AA$321-AA$322)+$F2854*(AA$324-AA$325))</f>
        <v/>
      </c>
      <c r="AB2854" s="35">
        <f>$D2854*($E2854*(AB$321-AB$322)+$F2854*(AB$324-AB$325))</f>
        <v/>
      </c>
      <c r="AC2854" s="35">
        <f>$D2854*($E2854*(AC$321-AC$322)+$F2854*(AC$324-AC$325))</f>
        <v/>
      </c>
      <c r="AD2854" s="35">
        <f>$D2854*($E2854*(AD$321-AD$322)+$F2854*(AD$324-AD$325))</f>
        <v/>
      </c>
      <c r="AE2854" s="42">
        <f>XCARBON($D2854,$E2854,(AE$321-AE$322),$F2854,(AE$324-AE$325))</f>
        <v/>
      </c>
      <c r="AG2854" s="11">
        <f>CodePrefix&amp;$A2854&amp;IF($C2854="","","."&amp;$C2854&amp;"."&amp;$B2854)&amp;INDEX(VarEnd,MATCH($A2854,VarKey,0))&amp;AG$5</f>
        <v/>
      </c>
      <c r="AH2854" s="40">
        <f>$D2854*($E2854*(AH$321-AH$322)+$F2854*(AH$324-AH$325))</f>
        <v/>
      </c>
      <c r="AI2854" s="35">
        <f>$D2854*($E2854*(AI$321-AI$322)+$F2854*(AI$324-AI$325))</f>
        <v/>
      </c>
      <c r="AJ2854" s="35">
        <f>$D2854*($E2854*(AJ$321-AJ$322)+$F2854*(AJ$324-AJ$325))</f>
        <v/>
      </c>
      <c r="AK2854" s="35">
        <f>$D2854*($E2854*(AK$321-AK$322)+$F2854*(AK$324-AK$325))</f>
        <v/>
      </c>
      <c r="AL2854" s="35">
        <f>$D2854*($E2854*(AL$321-AL$322)+$F2854*(AL$324-AL$325))</f>
        <v/>
      </c>
      <c r="AM2854" s="35">
        <f>$D2854*($E2854*(AM$321-AM$322)+$F2854*(AM$324-AM$325))</f>
        <v/>
      </c>
      <c r="AN2854" s="35">
        <f>$D2854*($E2854*(AN$321-AN$322)+$F2854*(AN$324-AN$325))</f>
        <v/>
      </c>
      <c r="AO2854" s="35">
        <f>$D2854*($E2854*(AO$321-AO$322)+$F2854*(AO$324-AO$325))</f>
        <v/>
      </c>
      <c r="AP2854" s="35">
        <f>$D2854*($E2854*(AP$321-AP$322)+$F2854*(AP$324-AP$325))</f>
        <v/>
      </c>
      <c r="AQ2854" s="35">
        <f>$D2854*($E2854*(AQ$321-AQ$322)+$F2854*(AQ$324-AQ$325))</f>
        <v/>
      </c>
      <c r="AR2854" s="35">
        <f>$D2854*($E2854*(AR$321-AR$322)+$F2854*(AR$324-AR$325))</f>
        <v/>
      </c>
      <c r="AS2854" s="35">
        <f>$D2854*($E2854*(AS$321-AS$322)+$F2854*(AS$324-AS$325))</f>
        <v/>
      </c>
      <c r="AT2854" s="35">
        <f>$D2854*($E2854*(AT$321-AT$322)+$F2854*(AT$324-AT$325))</f>
        <v/>
      </c>
      <c r="AU2854" s="35">
        <f>$D2854*($E2854*(AU$321-AU$322)+$F2854*(AU$324-AU$325))</f>
        <v/>
      </c>
      <c r="AV2854" s="35">
        <f>$D2854*($E2854*(AV$321-AV$322)+$F2854*(AV$324-AV$325))</f>
        <v/>
      </c>
      <c r="AW2854" s="35">
        <f>$D2854*($E2854*(AW$321-AW$322)+$F2854*(AW$324-AW$325))</f>
        <v/>
      </c>
      <c r="AX2854" s="35">
        <f>$D2854*($E2854*(AX$321-AX$322)+$F2854*(AX$324-AX$325))</f>
        <v/>
      </c>
      <c r="AY2854" s="35">
        <f>$D2854*($E2854*(AY$321-AY$322)+$F2854*(AY$324-AY$325))</f>
        <v/>
      </c>
      <c r="AZ2854" s="35">
        <f>$D2854*($E2854*(AZ$321-AZ$322)+$F2854*(AZ$324-AZ$325))</f>
        <v/>
      </c>
      <c r="BA2854" s="42">
        <f>XCARBON($D2854,$E2854,(BA$321-BA$322),$F2854,(BA$324-BA$325))</f>
        <v/>
      </c>
    </row>
    <row r="2855" hidden="1" outlineLevel="2">
      <c r="A2855" s="14" t="inlineStr">
        <is>
          <t>xcpd</t>
        </is>
      </c>
      <c r="B2855" s="14" t="inlineStr">
        <is>
          <t>ker</t>
        </is>
      </c>
      <c r="C2855" s="14" t="inlineStr">
        <is>
          <t>ftr</t>
        </is>
      </c>
      <c r="D2855" s="35">
        <f>INDEX(Inputs!$W$5:$W$132,MATCH($B2855&amp;"|"&amp;$C2855,Inputs!$A$5:$A$132,0))</f>
        <v/>
      </c>
      <c r="E2855" s="35">
        <f>INDEX(Inputs!$Z$5:$Z$132,MATCH($B2855&amp;"|"&amp;$C2855,Inputs!$A$5:$A$132,0))</f>
        <v/>
      </c>
      <c r="F2855" s="35">
        <f>INDEX(Inputs!$AA$5:$AA$132,MATCH($B2855&amp;"|"&amp;$C2855,Inputs!$A$5:$A$132,0))</f>
        <v/>
      </c>
      <c r="G2855" s="39" t="n"/>
      <c r="H2855" s="14">
        <f>INDEX(VarLab,MATCH($A2855,VarKey,0))&amp;INDEX(MemLab,MATCH($C2855&amp;"|"&amp;$B2855,MemKey,0))</f>
        <v/>
      </c>
      <c r="I2855" s="14">
        <f>INDEX(VarUnit,MATCH($A2855,VarKey,0))</f>
        <v/>
      </c>
      <c r="J2855" s="14">
        <f>INDEX(VarSrc,MATCH($A2855,VarKey,0))</f>
        <v/>
      </c>
      <c r="K2855" s="11">
        <f>CodePrefix&amp;$A2855&amp;IF($C2855="","","."&amp;$C2855&amp;"."&amp;$B2855)&amp;INDEX(VarEnd,MATCH($A2855,VarKey,0))&amp;K$5</f>
        <v/>
      </c>
      <c r="L2855" s="40">
        <f>$D2855*($E2855*(L$321-L$322)+$F2855*(L$324-L$325))</f>
        <v/>
      </c>
      <c r="M2855" s="35">
        <f>$D2855*($E2855*(M$321-M$322)+$F2855*(M$324-M$325))</f>
        <v/>
      </c>
      <c r="N2855" s="35">
        <f>$D2855*($E2855*(N$321-N$322)+$F2855*(N$324-N$325))</f>
        <v/>
      </c>
      <c r="O2855" s="35">
        <f>$D2855*($E2855*(O$321-O$322)+$F2855*(O$324-O$325))</f>
        <v/>
      </c>
      <c r="P2855" s="35">
        <f>$D2855*($E2855*(P$321-P$322)+$F2855*(P$324-P$325))</f>
        <v/>
      </c>
      <c r="Q2855" s="35">
        <f>$D2855*($E2855*(Q$321-Q$322)+$F2855*(Q$324-Q$325))</f>
        <v/>
      </c>
      <c r="R2855" s="35">
        <f>$D2855*($E2855*(R$321-R$322)+$F2855*(R$324-R$325))</f>
        <v/>
      </c>
      <c r="S2855" s="35">
        <f>$D2855*($E2855*(S$321-S$322)+$F2855*(S$324-S$325))</f>
        <v/>
      </c>
      <c r="T2855" s="35">
        <f>$D2855*($E2855*(T$321-T$322)+$F2855*(T$324-T$325))</f>
        <v/>
      </c>
      <c r="U2855" s="35">
        <f>$D2855*($E2855*(U$321-U$322)+$F2855*(U$324-U$325))</f>
        <v/>
      </c>
      <c r="V2855" s="35">
        <f>$D2855*($E2855*(V$321-V$322)+$F2855*(V$324-V$325))</f>
        <v/>
      </c>
      <c r="W2855" s="35">
        <f>$D2855*($E2855*(W$321-W$322)+$F2855*(W$324-W$325))</f>
        <v/>
      </c>
      <c r="X2855" s="35">
        <f>$D2855*($E2855*(X$321-X$322)+$F2855*(X$324-X$325))</f>
        <v/>
      </c>
      <c r="Y2855" s="35">
        <f>$D2855*($E2855*(Y$321-Y$322)+$F2855*(Y$324-Y$325))</f>
        <v/>
      </c>
      <c r="Z2855" s="35">
        <f>$D2855*($E2855*(Z$321-Z$322)+$F2855*(Z$324-Z$325))</f>
        <v/>
      </c>
      <c r="AA2855" s="35">
        <f>$D2855*($E2855*(AA$321-AA$322)+$F2855*(AA$324-AA$325))</f>
        <v/>
      </c>
      <c r="AB2855" s="35">
        <f>$D2855*($E2855*(AB$321-AB$322)+$F2855*(AB$324-AB$325))</f>
        <v/>
      </c>
      <c r="AC2855" s="35">
        <f>$D2855*($E2855*(AC$321-AC$322)+$F2855*(AC$324-AC$325))</f>
        <v/>
      </c>
      <c r="AD2855" s="35">
        <f>$D2855*($E2855*(AD$321-AD$322)+$F2855*(AD$324-AD$325))</f>
        <v/>
      </c>
      <c r="AE2855" s="42">
        <f>XCARBON($D2855,$E2855,(AE$321-AE$322),$F2855,(AE$324-AE$325))</f>
        <v/>
      </c>
      <c r="AG2855" s="11">
        <f>CodePrefix&amp;$A2855&amp;IF($C2855="","","."&amp;$C2855&amp;"."&amp;$B2855)&amp;INDEX(VarEnd,MATCH($A2855,VarKey,0))&amp;AG$5</f>
        <v/>
      </c>
      <c r="AH2855" s="40">
        <f>$D2855*($E2855*(AH$321-AH$322)+$F2855*(AH$324-AH$325))</f>
        <v/>
      </c>
      <c r="AI2855" s="35">
        <f>$D2855*($E2855*(AI$321-AI$322)+$F2855*(AI$324-AI$325))</f>
        <v/>
      </c>
      <c r="AJ2855" s="35">
        <f>$D2855*($E2855*(AJ$321-AJ$322)+$F2855*(AJ$324-AJ$325))</f>
        <v/>
      </c>
      <c r="AK2855" s="35">
        <f>$D2855*($E2855*(AK$321-AK$322)+$F2855*(AK$324-AK$325))</f>
        <v/>
      </c>
      <c r="AL2855" s="35">
        <f>$D2855*($E2855*(AL$321-AL$322)+$F2855*(AL$324-AL$325))</f>
        <v/>
      </c>
      <c r="AM2855" s="35">
        <f>$D2855*($E2855*(AM$321-AM$322)+$F2855*(AM$324-AM$325))</f>
        <v/>
      </c>
      <c r="AN2855" s="35">
        <f>$D2855*($E2855*(AN$321-AN$322)+$F2855*(AN$324-AN$325))</f>
        <v/>
      </c>
      <c r="AO2855" s="35">
        <f>$D2855*($E2855*(AO$321-AO$322)+$F2855*(AO$324-AO$325))</f>
        <v/>
      </c>
      <c r="AP2855" s="35">
        <f>$D2855*($E2855*(AP$321-AP$322)+$F2855*(AP$324-AP$325))</f>
        <v/>
      </c>
      <c r="AQ2855" s="35">
        <f>$D2855*($E2855*(AQ$321-AQ$322)+$F2855*(AQ$324-AQ$325))</f>
        <v/>
      </c>
      <c r="AR2855" s="35">
        <f>$D2855*($E2855*(AR$321-AR$322)+$F2855*(AR$324-AR$325))</f>
        <v/>
      </c>
      <c r="AS2855" s="35">
        <f>$D2855*($E2855*(AS$321-AS$322)+$F2855*(AS$324-AS$325))</f>
        <v/>
      </c>
      <c r="AT2855" s="35">
        <f>$D2855*($E2855*(AT$321-AT$322)+$F2855*(AT$324-AT$325))</f>
        <v/>
      </c>
      <c r="AU2855" s="35">
        <f>$D2855*($E2855*(AU$321-AU$322)+$F2855*(AU$324-AU$325))</f>
        <v/>
      </c>
      <c r="AV2855" s="35">
        <f>$D2855*($E2855*(AV$321-AV$322)+$F2855*(AV$324-AV$325))</f>
        <v/>
      </c>
      <c r="AW2855" s="35">
        <f>$D2855*($E2855*(AW$321-AW$322)+$F2855*(AW$324-AW$325))</f>
        <v/>
      </c>
      <c r="AX2855" s="35">
        <f>$D2855*($E2855*(AX$321-AX$322)+$F2855*(AX$324-AX$325))</f>
        <v/>
      </c>
      <c r="AY2855" s="35">
        <f>$D2855*($E2855*(AY$321-AY$322)+$F2855*(AY$324-AY$325))</f>
        <v/>
      </c>
      <c r="AZ2855" s="35">
        <f>$D2855*($E2855*(AZ$321-AZ$322)+$F2855*(AZ$324-AZ$325))</f>
        <v/>
      </c>
      <c r="BA2855" s="42">
        <f>XCARBON($D2855,$E2855,(BA$321-BA$322),$F2855,(BA$324-BA$325))</f>
        <v/>
      </c>
    </row>
    <row r="2856" hidden="1" outlineLevel="2">
      <c r="A2856" s="14" t="inlineStr">
        <is>
          <t>xcpd</t>
        </is>
      </c>
      <c r="B2856" s="14" t="inlineStr">
        <is>
          <t>oop</t>
        </is>
      </c>
      <c r="C2856" s="14" t="inlineStr">
        <is>
          <t>ftr</t>
        </is>
      </c>
      <c r="D2856" s="35">
        <f>INDEX(Inputs!$W$5:$W$132,MATCH($B2856&amp;"|"&amp;$C2856,Inputs!$A$5:$A$132,0))</f>
        <v/>
      </c>
      <c r="E2856" s="35">
        <f>INDEX(Inputs!$Z$5:$Z$132,MATCH($B2856&amp;"|"&amp;$C2856,Inputs!$A$5:$A$132,0))</f>
        <v/>
      </c>
      <c r="F2856" s="35">
        <f>INDEX(Inputs!$AA$5:$AA$132,MATCH($B2856&amp;"|"&amp;$C2856,Inputs!$A$5:$A$132,0))</f>
        <v/>
      </c>
      <c r="G2856" s="39" t="n"/>
      <c r="H2856" s="14">
        <f>INDEX(VarLab,MATCH($A2856,VarKey,0))&amp;INDEX(MemLab,MATCH($C2856&amp;"|"&amp;$B2856,MemKey,0))</f>
        <v/>
      </c>
      <c r="I2856" s="14">
        <f>INDEX(VarUnit,MATCH($A2856,VarKey,0))</f>
        <v/>
      </c>
      <c r="J2856" s="14">
        <f>INDEX(VarSrc,MATCH($A2856,VarKey,0))</f>
        <v/>
      </c>
      <c r="K2856" s="11">
        <f>CodePrefix&amp;$A2856&amp;IF($C2856="","","."&amp;$C2856&amp;"."&amp;$B2856)&amp;INDEX(VarEnd,MATCH($A2856,VarKey,0))&amp;K$5</f>
        <v/>
      </c>
      <c r="L2856" s="40">
        <f>$D2856*($E2856*(L$321-L$322)+$F2856*(L$324-L$325))</f>
        <v/>
      </c>
      <c r="M2856" s="35">
        <f>$D2856*($E2856*(M$321-M$322)+$F2856*(M$324-M$325))</f>
        <v/>
      </c>
      <c r="N2856" s="35">
        <f>$D2856*($E2856*(N$321-N$322)+$F2856*(N$324-N$325))</f>
        <v/>
      </c>
      <c r="O2856" s="35">
        <f>$D2856*($E2856*(O$321-O$322)+$F2856*(O$324-O$325))</f>
        <v/>
      </c>
      <c r="P2856" s="35">
        <f>$D2856*($E2856*(P$321-P$322)+$F2856*(P$324-P$325))</f>
        <v/>
      </c>
      <c r="Q2856" s="35">
        <f>$D2856*($E2856*(Q$321-Q$322)+$F2856*(Q$324-Q$325))</f>
        <v/>
      </c>
      <c r="R2856" s="35">
        <f>$D2856*($E2856*(R$321-R$322)+$F2856*(R$324-R$325))</f>
        <v/>
      </c>
      <c r="S2856" s="35">
        <f>$D2856*($E2856*(S$321-S$322)+$F2856*(S$324-S$325))</f>
        <v/>
      </c>
      <c r="T2856" s="35">
        <f>$D2856*($E2856*(T$321-T$322)+$F2856*(T$324-T$325))</f>
        <v/>
      </c>
      <c r="U2856" s="35">
        <f>$D2856*($E2856*(U$321-U$322)+$F2856*(U$324-U$325))</f>
        <v/>
      </c>
      <c r="V2856" s="35">
        <f>$D2856*($E2856*(V$321-V$322)+$F2856*(V$324-V$325))</f>
        <v/>
      </c>
      <c r="W2856" s="35">
        <f>$D2856*($E2856*(W$321-W$322)+$F2856*(W$324-W$325))</f>
        <v/>
      </c>
      <c r="X2856" s="35">
        <f>$D2856*($E2856*(X$321-X$322)+$F2856*(X$324-X$325))</f>
        <v/>
      </c>
      <c r="Y2856" s="35">
        <f>$D2856*($E2856*(Y$321-Y$322)+$F2856*(Y$324-Y$325))</f>
        <v/>
      </c>
      <c r="Z2856" s="35">
        <f>$D2856*($E2856*(Z$321-Z$322)+$F2856*(Z$324-Z$325))</f>
        <v/>
      </c>
      <c r="AA2856" s="35">
        <f>$D2856*($E2856*(AA$321-AA$322)+$F2856*(AA$324-AA$325))</f>
        <v/>
      </c>
      <c r="AB2856" s="35">
        <f>$D2856*($E2856*(AB$321-AB$322)+$F2856*(AB$324-AB$325))</f>
        <v/>
      </c>
      <c r="AC2856" s="35">
        <f>$D2856*($E2856*(AC$321-AC$322)+$F2856*(AC$324-AC$325))</f>
        <v/>
      </c>
      <c r="AD2856" s="35">
        <f>$D2856*($E2856*(AD$321-AD$322)+$F2856*(AD$324-AD$325))</f>
        <v/>
      </c>
      <c r="AE2856" s="42">
        <f>XCARBON($D2856,$E2856,(AE$321-AE$322),$F2856,(AE$324-AE$325))</f>
        <v/>
      </c>
      <c r="AG2856" s="11">
        <f>CodePrefix&amp;$A2856&amp;IF($C2856="","","."&amp;$C2856&amp;"."&amp;$B2856)&amp;INDEX(VarEnd,MATCH($A2856,VarKey,0))&amp;AG$5</f>
        <v/>
      </c>
      <c r="AH2856" s="40">
        <f>$D2856*($E2856*(AH$321-AH$322)+$F2856*(AH$324-AH$325))</f>
        <v/>
      </c>
      <c r="AI2856" s="35">
        <f>$D2856*($E2856*(AI$321-AI$322)+$F2856*(AI$324-AI$325))</f>
        <v/>
      </c>
      <c r="AJ2856" s="35">
        <f>$D2856*($E2856*(AJ$321-AJ$322)+$F2856*(AJ$324-AJ$325))</f>
        <v/>
      </c>
      <c r="AK2856" s="35">
        <f>$D2856*($E2856*(AK$321-AK$322)+$F2856*(AK$324-AK$325))</f>
        <v/>
      </c>
      <c r="AL2856" s="35">
        <f>$D2856*($E2856*(AL$321-AL$322)+$F2856*(AL$324-AL$325))</f>
        <v/>
      </c>
      <c r="AM2856" s="35">
        <f>$D2856*($E2856*(AM$321-AM$322)+$F2856*(AM$324-AM$325))</f>
        <v/>
      </c>
      <c r="AN2856" s="35">
        <f>$D2856*($E2856*(AN$321-AN$322)+$F2856*(AN$324-AN$325))</f>
        <v/>
      </c>
      <c r="AO2856" s="35">
        <f>$D2856*($E2856*(AO$321-AO$322)+$F2856*(AO$324-AO$325))</f>
        <v/>
      </c>
      <c r="AP2856" s="35">
        <f>$D2856*($E2856*(AP$321-AP$322)+$F2856*(AP$324-AP$325))</f>
        <v/>
      </c>
      <c r="AQ2856" s="35">
        <f>$D2856*($E2856*(AQ$321-AQ$322)+$F2856*(AQ$324-AQ$325))</f>
        <v/>
      </c>
      <c r="AR2856" s="35">
        <f>$D2856*($E2856*(AR$321-AR$322)+$F2856*(AR$324-AR$325))</f>
        <v/>
      </c>
      <c r="AS2856" s="35">
        <f>$D2856*($E2856*(AS$321-AS$322)+$F2856*(AS$324-AS$325))</f>
        <v/>
      </c>
      <c r="AT2856" s="35">
        <f>$D2856*($E2856*(AT$321-AT$322)+$F2856*(AT$324-AT$325))</f>
        <v/>
      </c>
      <c r="AU2856" s="35">
        <f>$D2856*($E2856*(AU$321-AU$322)+$F2856*(AU$324-AU$325))</f>
        <v/>
      </c>
      <c r="AV2856" s="35">
        <f>$D2856*($E2856*(AV$321-AV$322)+$F2856*(AV$324-AV$325))</f>
        <v/>
      </c>
      <c r="AW2856" s="35">
        <f>$D2856*($E2856*(AW$321-AW$322)+$F2856*(AW$324-AW$325))</f>
        <v/>
      </c>
      <c r="AX2856" s="35">
        <f>$D2856*($E2856*(AX$321-AX$322)+$F2856*(AX$324-AX$325))</f>
        <v/>
      </c>
      <c r="AY2856" s="35">
        <f>$D2856*($E2856*(AY$321-AY$322)+$F2856*(AY$324-AY$325))</f>
        <v/>
      </c>
      <c r="AZ2856" s="35">
        <f>$D2856*($E2856*(AZ$321-AZ$322)+$F2856*(AZ$324-AZ$325))</f>
        <v/>
      </c>
      <c r="BA2856" s="42">
        <f>XCARBON($D2856,$E2856,(BA$321-BA$322),$F2856,(BA$324-BA$325))</f>
        <v/>
      </c>
    </row>
    <row r="2857" hidden="1" outlineLevel="2">
      <c r="A2857" s="14" t="inlineStr">
        <is>
          <t>xcpd</t>
        </is>
      </c>
      <c r="B2857" s="14" t="inlineStr">
        <is>
          <t>bio</t>
        </is>
      </c>
      <c r="C2857" s="14" t="inlineStr">
        <is>
          <t>ftr</t>
        </is>
      </c>
      <c r="D2857" s="35">
        <f>INDEX(Inputs!$W$5:$W$132,MATCH($B2857&amp;"|"&amp;$C2857,Inputs!$A$5:$A$132,0))</f>
        <v/>
      </c>
      <c r="E2857" s="35">
        <f>INDEX(Inputs!$Z$5:$Z$132,MATCH($B2857&amp;"|"&amp;$C2857,Inputs!$A$5:$A$132,0))</f>
        <v/>
      </c>
      <c r="F2857" s="35">
        <f>INDEX(Inputs!$AA$5:$AA$132,MATCH($B2857&amp;"|"&amp;$C2857,Inputs!$A$5:$A$132,0))</f>
        <v/>
      </c>
      <c r="G2857" s="39" t="n"/>
      <c r="H2857" s="14">
        <f>INDEX(VarLab,MATCH($A2857,VarKey,0))&amp;INDEX(MemLab,MATCH($C2857&amp;"|"&amp;$B2857,MemKey,0))</f>
        <v/>
      </c>
      <c r="I2857" s="14">
        <f>INDEX(VarUnit,MATCH($A2857,VarKey,0))</f>
        <v/>
      </c>
      <c r="J2857" s="14">
        <f>INDEX(VarSrc,MATCH($A2857,VarKey,0))</f>
        <v/>
      </c>
      <c r="K2857" s="11">
        <f>CodePrefix&amp;$A2857&amp;IF($C2857="","","."&amp;$C2857&amp;"."&amp;$B2857)&amp;INDEX(VarEnd,MATCH($A2857,VarKey,0))&amp;K$5</f>
        <v/>
      </c>
      <c r="L2857" s="40">
        <f>$D2857*($E2857*(L$321-L$322)+$F2857*(L$324-L$325))</f>
        <v/>
      </c>
      <c r="M2857" s="35">
        <f>$D2857*($E2857*(M$321-M$322)+$F2857*(M$324-M$325))</f>
        <v/>
      </c>
      <c r="N2857" s="35">
        <f>$D2857*($E2857*(N$321-N$322)+$F2857*(N$324-N$325))</f>
        <v/>
      </c>
      <c r="O2857" s="35">
        <f>$D2857*($E2857*(O$321-O$322)+$F2857*(O$324-O$325))</f>
        <v/>
      </c>
      <c r="P2857" s="35">
        <f>$D2857*($E2857*(P$321-P$322)+$F2857*(P$324-P$325))</f>
        <v/>
      </c>
      <c r="Q2857" s="35">
        <f>$D2857*($E2857*(Q$321-Q$322)+$F2857*(Q$324-Q$325))</f>
        <v/>
      </c>
      <c r="R2857" s="35">
        <f>$D2857*($E2857*(R$321-R$322)+$F2857*(R$324-R$325))</f>
        <v/>
      </c>
      <c r="S2857" s="35">
        <f>$D2857*($E2857*(S$321-S$322)+$F2857*(S$324-S$325))</f>
        <v/>
      </c>
      <c r="T2857" s="35">
        <f>$D2857*($E2857*(T$321-T$322)+$F2857*(T$324-T$325))</f>
        <v/>
      </c>
      <c r="U2857" s="35">
        <f>$D2857*($E2857*(U$321-U$322)+$F2857*(U$324-U$325))</f>
        <v/>
      </c>
      <c r="V2857" s="35">
        <f>$D2857*($E2857*(V$321-V$322)+$F2857*(V$324-V$325))</f>
        <v/>
      </c>
      <c r="W2857" s="35">
        <f>$D2857*($E2857*(W$321-W$322)+$F2857*(W$324-W$325))</f>
        <v/>
      </c>
      <c r="X2857" s="35">
        <f>$D2857*($E2857*(X$321-X$322)+$F2857*(X$324-X$325))</f>
        <v/>
      </c>
      <c r="Y2857" s="35">
        <f>$D2857*($E2857*(Y$321-Y$322)+$F2857*(Y$324-Y$325))</f>
        <v/>
      </c>
      <c r="Z2857" s="35">
        <f>$D2857*($E2857*(Z$321-Z$322)+$F2857*(Z$324-Z$325))</f>
        <v/>
      </c>
      <c r="AA2857" s="35">
        <f>$D2857*($E2857*(AA$321-AA$322)+$F2857*(AA$324-AA$325))</f>
        <v/>
      </c>
      <c r="AB2857" s="35">
        <f>$D2857*($E2857*(AB$321-AB$322)+$F2857*(AB$324-AB$325))</f>
        <v/>
      </c>
      <c r="AC2857" s="35">
        <f>$D2857*($E2857*(AC$321-AC$322)+$F2857*(AC$324-AC$325))</f>
        <v/>
      </c>
      <c r="AD2857" s="35">
        <f>$D2857*($E2857*(AD$321-AD$322)+$F2857*(AD$324-AD$325))</f>
        <v/>
      </c>
      <c r="AE2857" s="42">
        <f>XCARBON($D2857,$E2857,(AE$321-AE$322),$F2857,(AE$324-AE$325))</f>
        <v/>
      </c>
      <c r="AG2857" s="11">
        <f>CodePrefix&amp;$A2857&amp;IF($C2857="","","."&amp;$C2857&amp;"."&amp;$B2857)&amp;INDEX(VarEnd,MATCH($A2857,VarKey,0))&amp;AG$5</f>
        <v/>
      </c>
      <c r="AH2857" s="40">
        <f>$D2857*($E2857*(AH$321-AH$322)+$F2857*(AH$324-AH$325))</f>
        <v/>
      </c>
      <c r="AI2857" s="35">
        <f>$D2857*($E2857*(AI$321-AI$322)+$F2857*(AI$324-AI$325))</f>
        <v/>
      </c>
      <c r="AJ2857" s="35">
        <f>$D2857*($E2857*(AJ$321-AJ$322)+$F2857*(AJ$324-AJ$325))</f>
        <v/>
      </c>
      <c r="AK2857" s="35">
        <f>$D2857*($E2857*(AK$321-AK$322)+$F2857*(AK$324-AK$325))</f>
        <v/>
      </c>
      <c r="AL2857" s="35">
        <f>$D2857*($E2857*(AL$321-AL$322)+$F2857*(AL$324-AL$325))</f>
        <v/>
      </c>
      <c r="AM2857" s="35">
        <f>$D2857*($E2857*(AM$321-AM$322)+$F2857*(AM$324-AM$325))</f>
        <v/>
      </c>
      <c r="AN2857" s="35">
        <f>$D2857*($E2857*(AN$321-AN$322)+$F2857*(AN$324-AN$325))</f>
        <v/>
      </c>
      <c r="AO2857" s="35">
        <f>$D2857*($E2857*(AO$321-AO$322)+$F2857*(AO$324-AO$325))</f>
        <v/>
      </c>
      <c r="AP2857" s="35">
        <f>$D2857*($E2857*(AP$321-AP$322)+$F2857*(AP$324-AP$325))</f>
        <v/>
      </c>
      <c r="AQ2857" s="35">
        <f>$D2857*($E2857*(AQ$321-AQ$322)+$F2857*(AQ$324-AQ$325))</f>
        <v/>
      </c>
      <c r="AR2857" s="35">
        <f>$D2857*($E2857*(AR$321-AR$322)+$F2857*(AR$324-AR$325))</f>
        <v/>
      </c>
      <c r="AS2857" s="35">
        <f>$D2857*($E2857*(AS$321-AS$322)+$F2857*(AS$324-AS$325))</f>
        <v/>
      </c>
      <c r="AT2857" s="35">
        <f>$D2857*($E2857*(AT$321-AT$322)+$F2857*(AT$324-AT$325))</f>
        <v/>
      </c>
      <c r="AU2857" s="35">
        <f>$D2857*($E2857*(AU$321-AU$322)+$F2857*(AU$324-AU$325))</f>
        <v/>
      </c>
      <c r="AV2857" s="35">
        <f>$D2857*($E2857*(AV$321-AV$322)+$F2857*(AV$324-AV$325))</f>
        <v/>
      </c>
      <c r="AW2857" s="35">
        <f>$D2857*($E2857*(AW$321-AW$322)+$F2857*(AW$324-AW$325))</f>
        <v/>
      </c>
      <c r="AX2857" s="35">
        <f>$D2857*($E2857*(AX$321-AX$322)+$F2857*(AX$324-AX$325))</f>
        <v/>
      </c>
      <c r="AY2857" s="35">
        <f>$D2857*($E2857*(AY$321-AY$322)+$F2857*(AY$324-AY$325))</f>
        <v/>
      </c>
      <c r="AZ2857" s="35">
        <f>$D2857*($E2857*(AZ$321-AZ$322)+$F2857*(AZ$324-AZ$325))</f>
        <v/>
      </c>
      <c r="BA2857" s="42">
        <f>XCARBON($D2857,$E2857,(BA$321-BA$322),$F2857,(BA$324-BA$325))</f>
        <v/>
      </c>
    </row>
    <row r="2858" hidden="1" outlineLevel="2"/>
    <row r="2859" hidden="1" outlineLevel="2">
      <c r="A2859" s="14" t="inlineStr">
        <is>
          <t>atp</t>
        </is>
      </c>
      <c r="B2859" s="14" t="inlineStr">
        <is>
          <t>coa</t>
        </is>
      </c>
      <c r="C2859" s="14" t="inlineStr">
        <is>
          <t>ftr</t>
        </is>
      </c>
      <c r="D2859" s="35">
        <f>INDEX(Inputs!$U$5:$U$132,MATCH($B2859&amp;"|"&amp;$C2859,Inputs!$A$5:$A$132,0))</f>
        <v/>
      </c>
      <c r="E2859" s="35">
        <f>INDEX(Inputs!$V$5:$V$132,MATCH($B2859&amp;"|"&amp;$C2859,Inputs!$A$5:$A$132,0))</f>
        <v/>
      </c>
      <c r="F2859" s="39" t="n"/>
      <c r="G2859" s="39" t="n"/>
      <c r="H2859" s="14">
        <f>INDEX(VarLab,MATCH($A2859,VarKey,0))&amp;INDEX(MemLab,MATCH($C2859&amp;"|"&amp;$B2859,MemKey,0))</f>
        <v/>
      </c>
      <c r="I2859" s="14">
        <f>INDEX(VarUnit,MATCH($A2859,VarKey,0))</f>
        <v/>
      </c>
      <c r="J2859" s="14">
        <f>INDEX(VarSrc,MATCH($A2859,VarKey,0))</f>
        <v/>
      </c>
      <c r="K2859" s="11">
        <f>CodePrefix&amp;$A2859&amp;IF($C2859="","","."&amp;$C2859&amp;"."&amp;$B2859)&amp;INDEX(VarEnd,MATCH($A2859,VarKey,0))&amp;K$5</f>
        <v/>
      </c>
      <c r="L2859" s="40">
        <f>MAX(INDEX(L$381:L$392,$D2859)+(L2832+L2850)*(1+$E2859),0.01)</f>
        <v/>
      </c>
      <c r="M2859" s="35">
        <f>MAX(INDEX(M$381:M$392,$D2859)+(M2832+M2850)*(1+$E2859),0.01)</f>
        <v/>
      </c>
      <c r="N2859" s="35">
        <f>MAX(INDEX(N$381:N$392,$D2859)+(N2832+N2850)*(1+$E2859),0.01)</f>
        <v/>
      </c>
      <c r="O2859" s="35">
        <f>MAX(INDEX(O$381:O$392,$D2859)+(O2832+O2850)*(1+$E2859),0.01)</f>
        <v/>
      </c>
      <c r="P2859" s="35">
        <f>MAX(INDEX(P$381:P$392,$D2859)+(P2832+P2850)*(1+$E2859),0.01)</f>
        <v/>
      </c>
      <c r="Q2859" s="35">
        <f>MAX(INDEX(Q$381:Q$392,$D2859)+(Q2832+Q2850)*(1+$E2859),0.01)</f>
        <v/>
      </c>
      <c r="R2859" s="35">
        <f>MAX(INDEX(R$381:R$392,$D2859)+(R2832+R2850)*(1+$E2859),0.01)</f>
        <v/>
      </c>
      <c r="S2859" s="35">
        <f>MAX(INDEX(S$381:S$392,$D2859)+(S2832+S2850)*(1+$E2859),0.01)</f>
        <v/>
      </c>
      <c r="T2859" s="35">
        <f>MAX(INDEX(T$381:T$392,$D2859)+(T2832+T2850)*(1+$E2859),0.01)</f>
        <v/>
      </c>
      <c r="U2859" s="35">
        <f>MAX(INDEX(U$381:U$392,$D2859)+(U2832+U2850)*(1+$E2859),0.01)</f>
        <v/>
      </c>
      <c r="V2859" s="35">
        <f>MAX(INDEX(V$381:V$392,$D2859)+(V2832+V2850)*(1+$E2859),0.01)</f>
        <v/>
      </c>
      <c r="W2859" s="35">
        <f>MAX(INDEX(W$381:W$392,$D2859)+(W2832+W2850)*(1+$E2859),0.01)</f>
        <v/>
      </c>
      <c r="X2859" s="35">
        <f>MAX(INDEX(X$381:X$392,$D2859)+(X2832+X2850)*(1+$E2859),0.01)</f>
        <v/>
      </c>
      <c r="Y2859" s="35">
        <f>MAX(INDEX(Y$381:Y$392,$D2859)+(Y2832+Y2850)*(1+$E2859),0.01)</f>
        <v/>
      </c>
      <c r="Z2859" s="35">
        <f>MAX(INDEX(Z$381:Z$392,$D2859)+(Z2832+Z2850)*(1+$E2859),0.01)</f>
        <v/>
      </c>
      <c r="AA2859" s="35">
        <f>MAX(INDEX(AA$381:AA$392,$D2859)+(AA2832+AA2850)*(1+$E2859),0.01)</f>
        <v/>
      </c>
      <c r="AB2859" s="35">
        <f>MAX(INDEX(AB$381:AB$392,$D2859)+(AB2832+AB2850)*(1+$E2859),0.01)</f>
        <v/>
      </c>
      <c r="AC2859" s="35">
        <f>MAX(INDEX(AC$381:AC$392,$D2859)+(AC2832+AC2850)*(1+$E2859),0.01)</f>
        <v/>
      </c>
      <c r="AD2859" s="35">
        <f>MAX(INDEX(AD$381:AD$392,$D2859)+(AD2832+AD2850)*(1+$E2859),0.01)</f>
        <v/>
      </c>
      <c r="AE2859" s="42">
        <f>POSTTAX(INDEX(AE$381:AE$392,$D2859),AE2832+AE2850,$E2859)</f>
        <v/>
      </c>
      <c r="AG2859" s="11">
        <f>CodePrefix&amp;$A2859&amp;IF($C2859="","","."&amp;$C2859&amp;"."&amp;$B2859)&amp;INDEX(VarEnd,MATCH($A2859,VarKey,0))&amp;AG$5</f>
        <v/>
      </c>
      <c r="AH2859" s="40">
        <f>MAX(INDEX(AH$381:AH$392,$D2859)+(AH2832+AH2850)*(1+$E2859),0.01)</f>
        <v/>
      </c>
      <c r="AI2859" s="35">
        <f>MAX(INDEX(AI$381:AI$392,$D2859)+(AI2832+AI2850)*(1+$E2859),0.01)</f>
        <v/>
      </c>
      <c r="AJ2859" s="35">
        <f>MAX(INDEX(AJ$381:AJ$392,$D2859)+(AJ2832+AJ2850)*(1+$E2859),0.01)</f>
        <v/>
      </c>
      <c r="AK2859" s="35">
        <f>MAX(INDEX(AK$381:AK$392,$D2859)+(AK2832+AK2850)*(1+$E2859),0.01)</f>
        <v/>
      </c>
      <c r="AL2859" s="35">
        <f>MAX(INDEX(AL$381:AL$392,$D2859)+(AL2832+AL2850)*(1+$E2859),0.01)</f>
        <v/>
      </c>
      <c r="AM2859" s="35">
        <f>MAX(INDEX(AM$381:AM$392,$D2859)+(AM2832+AM2850)*(1+$E2859),0.01)</f>
        <v/>
      </c>
      <c r="AN2859" s="35">
        <f>MAX(INDEX(AN$381:AN$392,$D2859)+(AN2832+AN2850)*(1+$E2859),0.01)</f>
        <v/>
      </c>
      <c r="AO2859" s="35">
        <f>MAX(INDEX(AO$381:AO$392,$D2859)+(AO2832+AO2850)*(1+$E2859),0.01)</f>
        <v/>
      </c>
      <c r="AP2859" s="35">
        <f>MAX(INDEX(AP$381:AP$392,$D2859)+(AP2832+AP2850)*(1+$E2859),0.01)</f>
        <v/>
      </c>
      <c r="AQ2859" s="35">
        <f>MAX(INDEX(AQ$381:AQ$392,$D2859)+(AQ2832+AQ2850)*(1+$E2859),0.01)</f>
        <v/>
      </c>
      <c r="AR2859" s="35">
        <f>MAX(INDEX(AR$381:AR$392,$D2859)+(AR2832+AR2850)*(1+$E2859),0.01)</f>
        <v/>
      </c>
      <c r="AS2859" s="35">
        <f>MAX(INDEX(AS$381:AS$392,$D2859)+(AS2832+AS2850)*(1+$E2859),0.01)</f>
        <v/>
      </c>
      <c r="AT2859" s="35">
        <f>MAX(INDEX(AT$381:AT$392,$D2859)+(AT2832+AT2850)*(1+$E2859),0.01)</f>
        <v/>
      </c>
      <c r="AU2859" s="35">
        <f>MAX(INDEX(AU$381:AU$392,$D2859)+(AU2832+AU2850)*(1+$E2859),0.01)</f>
        <v/>
      </c>
      <c r="AV2859" s="35">
        <f>MAX(INDEX(AV$381:AV$392,$D2859)+(AV2832+AV2850)*(1+$E2859),0.01)</f>
        <v/>
      </c>
      <c r="AW2859" s="35">
        <f>MAX(INDEX(AW$381:AW$392,$D2859)+(AW2832+AW2850)*(1+$E2859),0.01)</f>
        <v/>
      </c>
      <c r="AX2859" s="35">
        <f>MAX(INDEX(AX$381:AX$392,$D2859)+(AX2832+AX2850)*(1+$E2859),0.01)</f>
        <v/>
      </c>
      <c r="AY2859" s="35">
        <f>MAX(INDEX(AY$381:AY$392,$D2859)+(AY2832+AY2850)*(1+$E2859),0.01)</f>
        <v/>
      </c>
      <c r="AZ2859" s="35">
        <f>MAX(INDEX(AZ$381:AZ$392,$D2859)+(AZ2832+AZ2850)*(1+$E2859),0.01)</f>
        <v/>
      </c>
      <c r="BA2859" s="42">
        <f>POSTTAX(INDEX(BA$381:BA$392,$D2859),BA2832+BA2850,$E2859)</f>
        <v/>
      </c>
    </row>
    <row r="2860" hidden="1" outlineLevel="2">
      <c r="A2860" s="14" t="inlineStr">
        <is>
          <t>atp</t>
        </is>
      </c>
      <c r="B2860" s="14" t="inlineStr">
        <is>
          <t>nga</t>
        </is>
      </c>
      <c r="C2860" s="14" t="inlineStr">
        <is>
          <t>ftr</t>
        </is>
      </c>
      <c r="D2860" s="35">
        <f>INDEX(Inputs!$U$5:$U$132,MATCH($B2860&amp;"|"&amp;$C2860,Inputs!$A$5:$A$132,0))</f>
        <v/>
      </c>
      <c r="E2860" s="35">
        <f>INDEX(Inputs!$V$5:$V$132,MATCH($B2860&amp;"|"&amp;$C2860,Inputs!$A$5:$A$132,0))</f>
        <v/>
      </c>
      <c r="F2860" s="39" t="n"/>
      <c r="G2860" s="39" t="n"/>
      <c r="H2860" s="14">
        <f>INDEX(VarLab,MATCH($A2860,VarKey,0))&amp;INDEX(MemLab,MATCH($C2860&amp;"|"&amp;$B2860,MemKey,0))</f>
        <v/>
      </c>
      <c r="I2860" s="14">
        <f>INDEX(VarUnit,MATCH($A2860,VarKey,0))</f>
        <v/>
      </c>
      <c r="J2860" s="14">
        <f>INDEX(VarSrc,MATCH($A2860,VarKey,0))</f>
        <v/>
      </c>
      <c r="K2860" s="11">
        <f>CodePrefix&amp;$A2860&amp;IF($C2860="","","."&amp;$C2860&amp;"."&amp;$B2860)&amp;INDEX(VarEnd,MATCH($A2860,VarKey,0))&amp;K$5</f>
        <v/>
      </c>
      <c r="L2860" s="40">
        <f>MAX(INDEX(L$381:L$392,$D2860)+(L2833+L2851)*(1+$E2860),0.01)</f>
        <v/>
      </c>
      <c r="M2860" s="35">
        <f>MAX(INDEX(M$381:M$392,$D2860)+(M2833+M2851)*(1+$E2860),0.01)</f>
        <v/>
      </c>
      <c r="N2860" s="35">
        <f>MAX(INDEX(N$381:N$392,$D2860)+(N2833+N2851)*(1+$E2860),0.01)</f>
        <v/>
      </c>
      <c r="O2860" s="35">
        <f>MAX(INDEX(O$381:O$392,$D2860)+(O2833+O2851)*(1+$E2860),0.01)</f>
        <v/>
      </c>
      <c r="P2860" s="35">
        <f>MAX(INDEX(P$381:P$392,$D2860)+(P2833+P2851)*(1+$E2860),0.01)</f>
        <v/>
      </c>
      <c r="Q2860" s="35">
        <f>MAX(INDEX(Q$381:Q$392,$D2860)+(Q2833+Q2851)*(1+$E2860),0.01)</f>
        <v/>
      </c>
      <c r="R2860" s="35">
        <f>MAX(INDEX(R$381:R$392,$D2860)+(R2833+R2851)*(1+$E2860),0.01)</f>
        <v/>
      </c>
      <c r="S2860" s="35">
        <f>MAX(INDEX(S$381:S$392,$D2860)+(S2833+S2851)*(1+$E2860),0.01)</f>
        <v/>
      </c>
      <c r="T2860" s="35">
        <f>MAX(INDEX(T$381:T$392,$D2860)+(T2833+T2851)*(1+$E2860),0.01)</f>
        <v/>
      </c>
      <c r="U2860" s="35">
        <f>MAX(INDEX(U$381:U$392,$D2860)+(U2833+U2851)*(1+$E2860),0.01)</f>
        <v/>
      </c>
      <c r="V2860" s="35">
        <f>MAX(INDEX(V$381:V$392,$D2860)+(V2833+V2851)*(1+$E2860),0.01)</f>
        <v/>
      </c>
      <c r="W2860" s="35">
        <f>MAX(INDEX(W$381:W$392,$D2860)+(W2833+W2851)*(1+$E2860),0.01)</f>
        <v/>
      </c>
      <c r="X2860" s="35">
        <f>MAX(INDEX(X$381:X$392,$D2860)+(X2833+X2851)*(1+$E2860),0.01)</f>
        <v/>
      </c>
      <c r="Y2860" s="35">
        <f>MAX(INDEX(Y$381:Y$392,$D2860)+(Y2833+Y2851)*(1+$E2860),0.01)</f>
        <v/>
      </c>
      <c r="Z2860" s="35">
        <f>MAX(INDEX(Z$381:Z$392,$D2860)+(Z2833+Z2851)*(1+$E2860),0.01)</f>
        <v/>
      </c>
      <c r="AA2860" s="35">
        <f>MAX(INDEX(AA$381:AA$392,$D2860)+(AA2833+AA2851)*(1+$E2860),0.01)</f>
        <v/>
      </c>
      <c r="AB2860" s="35">
        <f>MAX(INDEX(AB$381:AB$392,$D2860)+(AB2833+AB2851)*(1+$E2860),0.01)</f>
        <v/>
      </c>
      <c r="AC2860" s="35">
        <f>MAX(INDEX(AC$381:AC$392,$D2860)+(AC2833+AC2851)*(1+$E2860),0.01)</f>
        <v/>
      </c>
      <c r="AD2860" s="35">
        <f>MAX(INDEX(AD$381:AD$392,$D2860)+(AD2833+AD2851)*(1+$E2860),0.01)</f>
        <v/>
      </c>
      <c r="AE2860" s="42">
        <f>POSTTAX(INDEX(AE$381:AE$392,$D2860),AE2833+AE2851,$E2860)</f>
        <v/>
      </c>
      <c r="AG2860" s="11">
        <f>CodePrefix&amp;$A2860&amp;IF($C2860="","","."&amp;$C2860&amp;"."&amp;$B2860)&amp;INDEX(VarEnd,MATCH($A2860,VarKey,0))&amp;AG$5</f>
        <v/>
      </c>
      <c r="AH2860" s="40">
        <f>MAX(INDEX(AH$381:AH$392,$D2860)+(AH2833+AH2851)*(1+$E2860),0.01)</f>
        <v/>
      </c>
      <c r="AI2860" s="35">
        <f>MAX(INDEX(AI$381:AI$392,$D2860)+(AI2833+AI2851)*(1+$E2860),0.01)</f>
        <v/>
      </c>
      <c r="AJ2860" s="35">
        <f>MAX(INDEX(AJ$381:AJ$392,$D2860)+(AJ2833+AJ2851)*(1+$E2860),0.01)</f>
        <v/>
      </c>
      <c r="AK2860" s="35">
        <f>MAX(INDEX(AK$381:AK$392,$D2860)+(AK2833+AK2851)*(1+$E2860),0.01)</f>
        <v/>
      </c>
      <c r="AL2860" s="35">
        <f>MAX(INDEX(AL$381:AL$392,$D2860)+(AL2833+AL2851)*(1+$E2860),0.01)</f>
        <v/>
      </c>
      <c r="AM2860" s="35">
        <f>MAX(INDEX(AM$381:AM$392,$D2860)+(AM2833+AM2851)*(1+$E2860),0.01)</f>
        <v/>
      </c>
      <c r="AN2860" s="35">
        <f>MAX(INDEX(AN$381:AN$392,$D2860)+(AN2833+AN2851)*(1+$E2860),0.01)</f>
        <v/>
      </c>
      <c r="AO2860" s="35">
        <f>MAX(INDEX(AO$381:AO$392,$D2860)+(AO2833+AO2851)*(1+$E2860),0.01)</f>
        <v/>
      </c>
      <c r="AP2860" s="35">
        <f>MAX(INDEX(AP$381:AP$392,$D2860)+(AP2833+AP2851)*(1+$E2860),0.01)</f>
        <v/>
      </c>
      <c r="AQ2860" s="35">
        <f>MAX(INDEX(AQ$381:AQ$392,$D2860)+(AQ2833+AQ2851)*(1+$E2860),0.01)</f>
        <v/>
      </c>
      <c r="AR2860" s="35">
        <f>MAX(INDEX(AR$381:AR$392,$D2860)+(AR2833+AR2851)*(1+$E2860),0.01)</f>
        <v/>
      </c>
      <c r="AS2860" s="35">
        <f>MAX(INDEX(AS$381:AS$392,$D2860)+(AS2833+AS2851)*(1+$E2860),0.01)</f>
        <v/>
      </c>
      <c r="AT2860" s="35">
        <f>MAX(INDEX(AT$381:AT$392,$D2860)+(AT2833+AT2851)*(1+$E2860),0.01)</f>
        <v/>
      </c>
      <c r="AU2860" s="35">
        <f>MAX(INDEX(AU$381:AU$392,$D2860)+(AU2833+AU2851)*(1+$E2860),0.01)</f>
        <v/>
      </c>
      <c r="AV2860" s="35">
        <f>MAX(INDEX(AV$381:AV$392,$D2860)+(AV2833+AV2851)*(1+$E2860),0.01)</f>
        <v/>
      </c>
      <c r="AW2860" s="35">
        <f>MAX(INDEX(AW$381:AW$392,$D2860)+(AW2833+AW2851)*(1+$E2860),0.01)</f>
        <v/>
      </c>
      <c r="AX2860" s="35">
        <f>MAX(INDEX(AX$381:AX$392,$D2860)+(AX2833+AX2851)*(1+$E2860),0.01)</f>
        <v/>
      </c>
      <c r="AY2860" s="35">
        <f>MAX(INDEX(AY$381:AY$392,$D2860)+(AY2833+AY2851)*(1+$E2860),0.01)</f>
        <v/>
      </c>
      <c r="AZ2860" s="35">
        <f>MAX(INDEX(AZ$381:AZ$392,$D2860)+(AZ2833+AZ2851)*(1+$E2860),0.01)</f>
        <v/>
      </c>
      <c r="BA2860" s="42">
        <f>POSTTAX(INDEX(BA$381:BA$392,$D2860),BA2833+BA2851,$E2860)</f>
        <v/>
      </c>
    </row>
    <row r="2861" hidden="1" outlineLevel="2">
      <c r="A2861" s="14" t="inlineStr">
        <is>
          <t>atp</t>
        </is>
      </c>
      <c r="B2861" s="14" t="inlineStr">
        <is>
          <t>gso</t>
        </is>
      </c>
      <c r="C2861" s="14" t="inlineStr">
        <is>
          <t>ftr</t>
        </is>
      </c>
      <c r="D2861" s="35">
        <f>INDEX(Inputs!$U$5:$U$132,MATCH($B2861&amp;"|"&amp;$C2861,Inputs!$A$5:$A$132,0))</f>
        <v/>
      </c>
      <c r="E2861" s="35">
        <f>INDEX(Inputs!$V$5:$V$132,MATCH($B2861&amp;"|"&amp;$C2861,Inputs!$A$5:$A$132,0))</f>
        <v/>
      </c>
      <c r="F2861" s="39" t="n"/>
      <c r="G2861" s="39" t="n"/>
      <c r="H2861" s="14">
        <f>INDEX(VarLab,MATCH($A2861,VarKey,0))&amp;INDEX(MemLab,MATCH($C2861&amp;"|"&amp;$B2861,MemKey,0))</f>
        <v/>
      </c>
      <c r="I2861" s="14">
        <f>INDEX(VarUnit,MATCH($A2861,VarKey,0))</f>
        <v/>
      </c>
      <c r="J2861" s="14">
        <f>INDEX(VarSrc,MATCH($A2861,VarKey,0))</f>
        <v/>
      </c>
      <c r="K2861" s="11">
        <f>CodePrefix&amp;$A2861&amp;IF($C2861="","","."&amp;$C2861&amp;"."&amp;$B2861)&amp;INDEX(VarEnd,MATCH($A2861,VarKey,0))&amp;K$5</f>
        <v/>
      </c>
      <c r="L2861" s="40">
        <f>MAX(INDEX(L$381:L$392,$D2861)+(L2834+L2852)*(1+$E2861),0.01)</f>
        <v/>
      </c>
      <c r="M2861" s="35">
        <f>MAX(INDEX(M$381:M$392,$D2861)+(M2834+M2852)*(1+$E2861),0.01)</f>
        <v/>
      </c>
      <c r="N2861" s="35">
        <f>MAX(INDEX(N$381:N$392,$D2861)+(N2834+N2852)*(1+$E2861),0.01)</f>
        <v/>
      </c>
      <c r="O2861" s="35">
        <f>MAX(INDEX(O$381:O$392,$D2861)+(O2834+O2852)*(1+$E2861),0.01)</f>
        <v/>
      </c>
      <c r="P2861" s="35">
        <f>MAX(INDEX(P$381:P$392,$D2861)+(P2834+P2852)*(1+$E2861),0.01)</f>
        <v/>
      </c>
      <c r="Q2861" s="35">
        <f>MAX(INDEX(Q$381:Q$392,$D2861)+(Q2834+Q2852)*(1+$E2861),0.01)</f>
        <v/>
      </c>
      <c r="R2861" s="35">
        <f>MAX(INDEX(R$381:R$392,$D2861)+(R2834+R2852)*(1+$E2861),0.01)</f>
        <v/>
      </c>
      <c r="S2861" s="35">
        <f>MAX(INDEX(S$381:S$392,$D2861)+(S2834+S2852)*(1+$E2861),0.01)</f>
        <v/>
      </c>
      <c r="T2861" s="35">
        <f>MAX(INDEX(T$381:T$392,$D2861)+(T2834+T2852)*(1+$E2861),0.01)</f>
        <v/>
      </c>
      <c r="U2861" s="35">
        <f>MAX(INDEX(U$381:U$392,$D2861)+(U2834+U2852)*(1+$E2861),0.01)</f>
        <v/>
      </c>
      <c r="V2861" s="35">
        <f>MAX(INDEX(V$381:V$392,$D2861)+(V2834+V2852)*(1+$E2861),0.01)</f>
        <v/>
      </c>
      <c r="W2861" s="35">
        <f>MAX(INDEX(W$381:W$392,$D2861)+(W2834+W2852)*(1+$E2861),0.01)</f>
        <v/>
      </c>
      <c r="X2861" s="35">
        <f>MAX(INDEX(X$381:X$392,$D2861)+(X2834+X2852)*(1+$E2861),0.01)</f>
        <v/>
      </c>
      <c r="Y2861" s="35">
        <f>MAX(INDEX(Y$381:Y$392,$D2861)+(Y2834+Y2852)*(1+$E2861),0.01)</f>
        <v/>
      </c>
      <c r="Z2861" s="35">
        <f>MAX(INDEX(Z$381:Z$392,$D2861)+(Z2834+Z2852)*(1+$E2861),0.01)</f>
        <v/>
      </c>
      <c r="AA2861" s="35">
        <f>MAX(INDEX(AA$381:AA$392,$D2861)+(AA2834+AA2852)*(1+$E2861),0.01)</f>
        <v/>
      </c>
      <c r="AB2861" s="35">
        <f>MAX(INDEX(AB$381:AB$392,$D2861)+(AB2834+AB2852)*(1+$E2861),0.01)</f>
        <v/>
      </c>
      <c r="AC2861" s="35">
        <f>MAX(INDEX(AC$381:AC$392,$D2861)+(AC2834+AC2852)*(1+$E2861),0.01)</f>
        <v/>
      </c>
      <c r="AD2861" s="35">
        <f>MAX(INDEX(AD$381:AD$392,$D2861)+(AD2834+AD2852)*(1+$E2861),0.01)</f>
        <v/>
      </c>
      <c r="AE2861" s="42">
        <f>POSTTAX(INDEX(AE$381:AE$392,$D2861),AE2834+AE2852,$E2861)</f>
        <v/>
      </c>
      <c r="AG2861" s="11">
        <f>CodePrefix&amp;$A2861&amp;IF($C2861="","","."&amp;$C2861&amp;"."&amp;$B2861)&amp;INDEX(VarEnd,MATCH($A2861,VarKey,0))&amp;AG$5</f>
        <v/>
      </c>
      <c r="AH2861" s="40">
        <f>MAX(INDEX(AH$381:AH$392,$D2861)+(AH2834+AH2852)*(1+$E2861),0.01)</f>
        <v/>
      </c>
      <c r="AI2861" s="35">
        <f>MAX(INDEX(AI$381:AI$392,$D2861)+(AI2834+AI2852)*(1+$E2861),0.01)</f>
        <v/>
      </c>
      <c r="AJ2861" s="35">
        <f>MAX(INDEX(AJ$381:AJ$392,$D2861)+(AJ2834+AJ2852)*(1+$E2861),0.01)</f>
        <v/>
      </c>
      <c r="AK2861" s="35">
        <f>MAX(INDEX(AK$381:AK$392,$D2861)+(AK2834+AK2852)*(1+$E2861),0.01)</f>
        <v/>
      </c>
      <c r="AL2861" s="35">
        <f>MAX(INDEX(AL$381:AL$392,$D2861)+(AL2834+AL2852)*(1+$E2861),0.01)</f>
        <v/>
      </c>
      <c r="AM2861" s="35">
        <f>MAX(INDEX(AM$381:AM$392,$D2861)+(AM2834+AM2852)*(1+$E2861),0.01)</f>
        <v/>
      </c>
      <c r="AN2861" s="35">
        <f>MAX(INDEX(AN$381:AN$392,$D2861)+(AN2834+AN2852)*(1+$E2861),0.01)</f>
        <v/>
      </c>
      <c r="AO2861" s="35">
        <f>MAX(INDEX(AO$381:AO$392,$D2861)+(AO2834+AO2852)*(1+$E2861),0.01)</f>
        <v/>
      </c>
      <c r="AP2861" s="35">
        <f>MAX(INDEX(AP$381:AP$392,$D2861)+(AP2834+AP2852)*(1+$E2861),0.01)</f>
        <v/>
      </c>
      <c r="AQ2861" s="35">
        <f>MAX(INDEX(AQ$381:AQ$392,$D2861)+(AQ2834+AQ2852)*(1+$E2861),0.01)</f>
        <v/>
      </c>
      <c r="AR2861" s="35">
        <f>MAX(INDEX(AR$381:AR$392,$D2861)+(AR2834+AR2852)*(1+$E2861),0.01)</f>
        <v/>
      </c>
      <c r="AS2861" s="35">
        <f>MAX(INDEX(AS$381:AS$392,$D2861)+(AS2834+AS2852)*(1+$E2861),0.01)</f>
        <v/>
      </c>
      <c r="AT2861" s="35">
        <f>MAX(INDEX(AT$381:AT$392,$D2861)+(AT2834+AT2852)*(1+$E2861),0.01)</f>
        <v/>
      </c>
      <c r="AU2861" s="35">
        <f>MAX(INDEX(AU$381:AU$392,$D2861)+(AU2834+AU2852)*(1+$E2861),0.01)</f>
        <v/>
      </c>
      <c r="AV2861" s="35">
        <f>MAX(INDEX(AV$381:AV$392,$D2861)+(AV2834+AV2852)*(1+$E2861),0.01)</f>
        <v/>
      </c>
      <c r="AW2861" s="35">
        <f>MAX(INDEX(AW$381:AW$392,$D2861)+(AW2834+AW2852)*(1+$E2861),0.01)</f>
        <v/>
      </c>
      <c r="AX2861" s="35">
        <f>MAX(INDEX(AX$381:AX$392,$D2861)+(AX2834+AX2852)*(1+$E2861),0.01)</f>
        <v/>
      </c>
      <c r="AY2861" s="35">
        <f>MAX(INDEX(AY$381:AY$392,$D2861)+(AY2834+AY2852)*(1+$E2861),0.01)</f>
        <v/>
      </c>
      <c r="AZ2861" s="35">
        <f>MAX(INDEX(AZ$381:AZ$392,$D2861)+(AZ2834+AZ2852)*(1+$E2861),0.01)</f>
        <v/>
      </c>
      <c r="BA2861" s="42">
        <f>POSTTAX(INDEX(BA$381:BA$392,$D2861),BA2834+BA2852,$E2861)</f>
        <v/>
      </c>
    </row>
    <row r="2862" hidden="1" outlineLevel="2">
      <c r="A2862" s="14" t="inlineStr">
        <is>
          <t>atp</t>
        </is>
      </c>
      <c r="B2862" s="14" t="inlineStr">
        <is>
          <t>die</t>
        </is>
      </c>
      <c r="C2862" s="14" t="inlineStr">
        <is>
          <t>ftr</t>
        </is>
      </c>
      <c r="D2862" s="35">
        <f>INDEX(Inputs!$U$5:$U$132,MATCH($B2862&amp;"|"&amp;$C2862,Inputs!$A$5:$A$132,0))</f>
        <v/>
      </c>
      <c r="E2862" s="35">
        <f>INDEX(Inputs!$V$5:$V$132,MATCH($B2862&amp;"|"&amp;$C2862,Inputs!$A$5:$A$132,0))</f>
        <v/>
      </c>
      <c r="F2862" s="39" t="n"/>
      <c r="G2862" s="39" t="n"/>
      <c r="H2862" s="14">
        <f>INDEX(VarLab,MATCH($A2862,VarKey,0))&amp;INDEX(MemLab,MATCH($C2862&amp;"|"&amp;$B2862,MemKey,0))</f>
        <v/>
      </c>
      <c r="I2862" s="14">
        <f>INDEX(VarUnit,MATCH($A2862,VarKey,0))</f>
        <v/>
      </c>
      <c r="J2862" s="14">
        <f>INDEX(VarSrc,MATCH($A2862,VarKey,0))</f>
        <v/>
      </c>
      <c r="K2862" s="11">
        <f>CodePrefix&amp;$A2862&amp;IF($C2862="","","."&amp;$C2862&amp;"."&amp;$B2862)&amp;INDEX(VarEnd,MATCH($A2862,VarKey,0))&amp;K$5</f>
        <v/>
      </c>
      <c r="L2862" s="40">
        <f>MAX(INDEX(L$381:L$392,$D2862)+(L2835+L2853)*(1+$E2862),0.01)</f>
        <v/>
      </c>
      <c r="M2862" s="35">
        <f>MAX(INDEX(M$381:M$392,$D2862)+(M2835+M2853)*(1+$E2862),0.01)</f>
        <v/>
      </c>
      <c r="N2862" s="35">
        <f>MAX(INDEX(N$381:N$392,$D2862)+(N2835+N2853)*(1+$E2862),0.01)</f>
        <v/>
      </c>
      <c r="O2862" s="35">
        <f>MAX(INDEX(O$381:O$392,$D2862)+(O2835+O2853)*(1+$E2862),0.01)</f>
        <v/>
      </c>
      <c r="P2862" s="35">
        <f>MAX(INDEX(P$381:P$392,$D2862)+(P2835+P2853)*(1+$E2862),0.01)</f>
        <v/>
      </c>
      <c r="Q2862" s="35">
        <f>MAX(INDEX(Q$381:Q$392,$D2862)+(Q2835+Q2853)*(1+$E2862),0.01)</f>
        <v/>
      </c>
      <c r="R2862" s="35">
        <f>MAX(INDEX(R$381:R$392,$D2862)+(R2835+R2853)*(1+$E2862),0.01)</f>
        <v/>
      </c>
      <c r="S2862" s="35">
        <f>MAX(INDEX(S$381:S$392,$D2862)+(S2835+S2853)*(1+$E2862),0.01)</f>
        <v/>
      </c>
      <c r="T2862" s="35">
        <f>MAX(INDEX(T$381:T$392,$D2862)+(T2835+T2853)*(1+$E2862),0.01)</f>
        <v/>
      </c>
      <c r="U2862" s="35">
        <f>MAX(INDEX(U$381:U$392,$D2862)+(U2835+U2853)*(1+$E2862),0.01)</f>
        <v/>
      </c>
      <c r="V2862" s="35">
        <f>MAX(INDEX(V$381:V$392,$D2862)+(V2835+V2853)*(1+$E2862),0.01)</f>
        <v/>
      </c>
      <c r="W2862" s="35">
        <f>MAX(INDEX(W$381:W$392,$D2862)+(W2835+W2853)*(1+$E2862),0.01)</f>
        <v/>
      </c>
      <c r="X2862" s="35">
        <f>MAX(INDEX(X$381:X$392,$D2862)+(X2835+X2853)*(1+$E2862),0.01)</f>
        <v/>
      </c>
      <c r="Y2862" s="35">
        <f>MAX(INDEX(Y$381:Y$392,$D2862)+(Y2835+Y2853)*(1+$E2862),0.01)</f>
        <v/>
      </c>
      <c r="Z2862" s="35">
        <f>MAX(INDEX(Z$381:Z$392,$D2862)+(Z2835+Z2853)*(1+$E2862),0.01)</f>
        <v/>
      </c>
      <c r="AA2862" s="35">
        <f>MAX(INDEX(AA$381:AA$392,$D2862)+(AA2835+AA2853)*(1+$E2862),0.01)</f>
        <v/>
      </c>
      <c r="AB2862" s="35">
        <f>MAX(INDEX(AB$381:AB$392,$D2862)+(AB2835+AB2853)*(1+$E2862),0.01)</f>
        <v/>
      </c>
      <c r="AC2862" s="35">
        <f>MAX(INDEX(AC$381:AC$392,$D2862)+(AC2835+AC2853)*(1+$E2862),0.01)</f>
        <v/>
      </c>
      <c r="AD2862" s="35">
        <f>MAX(INDEX(AD$381:AD$392,$D2862)+(AD2835+AD2853)*(1+$E2862),0.01)</f>
        <v/>
      </c>
      <c r="AE2862" s="42">
        <f>POSTTAX(INDEX(AE$381:AE$392,$D2862),AE2835+AE2853,$E2862)</f>
        <v/>
      </c>
      <c r="AG2862" s="11">
        <f>CodePrefix&amp;$A2862&amp;IF($C2862="","","."&amp;$C2862&amp;"."&amp;$B2862)&amp;INDEX(VarEnd,MATCH($A2862,VarKey,0))&amp;AG$5</f>
        <v/>
      </c>
      <c r="AH2862" s="40">
        <f>MAX(INDEX(AH$381:AH$392,$D2862)+(AH2835+AH2853)*(1+$E2862),0.01)</f>
        <v/>
      </c>
      <c r="AI2862" s="35">
        <f>MAX(INDEX(AI$381:AI$392,$D2862)+(AI2835+AI2853)*(1+$E2862),0.01)</f>
        <v/>
      </c>
      <c r="AJ2862" s="35">
        <f>MAX(INDEX(AJ$381:AJ$392,$D2862)+(AJ2835+AJ2853)*(1+$E2862),0.01)</f>
        <v/>
      </c>
      <c r="AK2862" s="35">
        <f>MAX(INDEX(AK$381:AK$392,$D2862)+(AK2835+AK2853)*(1+$E2862),0.01)</f>
        <v/>
      </c>
      <c r="AL2862" s="35">
        <f>MAX(INDEX(AL$381:AL$392,$D2862)+(AL2835+AL2853)*(1+$E2862),0.01)</f>
        <v/>
      </c>
      <c r="AM2862" s="35">
        <f>MAX(INDEX(AM$381:AM$392,$D2862)+(AM2835+AM2853)*(1+$E2862),0.01)</f>
        <v/>
      </c>
      <c r="AN2862" s="35">
        <f>MAX(INDEX(AN$381:AN$392,$D2862)+(AN2835+AN2853)*(1+$E2862),0.01)</f>
        <v/>
      </c>
      <c r="AO2862" s="35">
        <f>MAX(INDEX(AO$381:AO$392,$D2862)+(AO2835+AO2853)*(1+$E2862),0.01)</f>
        <v/>
      </c>
      <c r="AP2862" s="35">
        <f>MAX(INDEX(AP$381:AP$392,$D2862)+(AP2835+AP2853)*(1+$E2862),0.01)</f>
        <v/>
      </c>
      <c r="AQ2862" s="35">
        <f>MAX(INDEX(AQ$381:AQ$392,$D2862)+(AQ2835+AQ2853)*(1+$E2862),0.01)</f>
        <v/>
      </c>
      <c r="AR2862" s="35">
        <f>MAX(INDEX(AR$381:AR$392,$D2862)+(AR2835+AR2853)*(1+$E2862),0.01)</f>
        <v/>
      </c>
      <c r="AS2862" s="35">
        <f>MAX(INDEX(AS$381:AS$392,$D2862)+(AS2835+AS2853)*(1+$E2862),0.01)</f>
        <v/>
      </c>
      <c r="AT2862" s="35">
        <f>MAX(INDEX(AT$381:AT$392,$D2862)+(AT2835+AT2853)*(1+$E2862),0.01)</f>
        <v/>
      </c>
      <c r="AU2862" s="35">
        <f>MAX(INDEX(AU$381:AU$392,$D2862)+(AU2835+AU2853)*(1+$E2862),0.01)</f>
        <v/>
      </c>
      <c r="AV2862" s="35">
        <f>MAX(INDEX(AV$381:AV$392,$D2862)+(AV2835+AV2853)*(1+$E2862),0.01)</f>
        <v/>
      </c>
      <c r="AW2862" s="35">
        <f>MAX(INDEX(AW$381:AW$392,$D2862)+(AW2835+AW2853)*(1+$E2862),0.01)</f>
        <v/>
      </c>
      <c r="AX2862" s="35">
        <f>MAX(INDEX(AX$381:AX$392,$D2862)+(AX2835+AX2853)*(1+$E2862),0.01)</f>
        <v/>
      </c>
      <c r="AY2862" s="35">
        <f>MAX(INDEX(AY$381:AY$392,$D2862)+(AY2835+AY2853)*(1+$E2862),0.01)</f>
        <v/>
      </c>
      <c r="AZ2862" s="35">
        <f>MAX(INDEX(AZ$381:AZ$392,$D2862)+(AZ2835+AZ2853)*(1+$E2862),0.01)</f>
        <v/>
      </c>
      <c r="BA2862" s="42">
        <f>POSTTAX(INDEX(BA$381:BA$392,$D2862),BA2835+BA2853,$E2862)</f>
        <v/>
      </c>
    </row>
    <row r="2863" hidden="1" outlineLevel="2">
      <c r="A2863" s="14" t="inlineStr">
        <is>
          <t>atp</t>
        </is>
      </c>
      <c r="B2863" s="14" t="inlineStr">
        <is>
          <t>lpg</t>
        </is>
      </c>
      <c r="C2863" s="14" t="inlineStr">
        <is>
          <t>ftr</t>
        </is>
      </c>
      <c r="D2863" s="35">
        <f>INDEX(Inputs!$U$5:$U$132,MATCH($B2863&amp;"|"&amp;$C2863,Inputs!$A$5:$A$132,0))</f>
        <v/>
      </c>
      <c r="E2863" s="35">
        <f>INDEX(Inputs!$V$5:$V$132,MATCH($B2863&amp;"|"&amp;$C2863,Inputs!$A$5:$A$132,0))</f>
        <v/>
      </c>
      <c r="F2863" s="39" t="n"/>
      <c r="G2863" s="39" t="n"/>
      <c r="H2863" s="14">
        <f>INDEX(VarLab,MATCH($A2863,VarKey,0))&amp;INDEX(MemLab,MATCH($C2863&amp;"|"&amp;$B2863,MemKey,0))</f>
        <v/>
      </c>
      <c r="I2863" s="14">
        <f>INDEX(VarUnit,MATCH($A2863,VarKey,0))</f>
        <v/>
      </c>
      <c r="J2863" s="14">
        <f>INDEX(VarSrc,MATCH($A2863,VarKey,0))</f>
        <v/>
      </c>
      <c r="K2863" s="11">
        <f>CodePrefix&amp;$A2863&amp;IF($C2863="","","."&amp;$C2863&amp;"."&amp;$B2863)&amp;INDEX(VarEnd,MATCH($A2863,VarKey,0))&amp;K$5</f>
        <v/>
      </c>
      <c r="L2863" s="40">
        <f>MAX(INDEX(L$381:L$392,$D2863)+(L2836+L2854)*(1+$E2863),0.01)</f>
        <v/>
      </c>
      <c r="M2863" s="35">
        <f>MAX(INDEX(M$381:M$392,$D2863)+(M2836+M2854)*(1+$E2863),0.01)</f>
        <v/>
      </c>
      <c r="N2863" s="35">
        <f>MAX(INDEX(N$381:N$392,$D2863)+(N2836+N2854)*(1+$E2863),0.01)</f>
        <v/>
      </c>
      <c r="O2863" s="35">
        <f>MAX(INDEX(O$381:O$392,$D2863)+(O2836+O2854)*(1+$E2863),0.01)</f>
        <v/>
      </c>
      <c r="P2863" s="35">
        <f>MAX(INDEX(P$381:P$392,$D2863)+(P2836+P2854)*(1+$E2863),0.01)</f>
        <v/>
      </c>
      <c r="Q2863" s="35">
        <f>MAX(INDEX(Q$381:Q$392,$D2863)+(Q2836+Q2854)*(1+$E2863),0.01)</f>
        <v/>
      </c>
      <c r="R2863" s="35">
        <f>MAX(INDEX(R$381:R$392,$D2863)+(R2836+R2854)*(1+$E2863),0.01)</f>
        <v/>
      </c>
      <c r="S2863" s="35">
        <f>MAX(INDEX(S$381:S$392,$D2863)+(S2836+S2854)*(1+$E2863),0.01)</f>
        <v/>
      </c>
      <c r="T2863" s="35">
        <f>MAX(INDEX(T$381:T$392,$D2863)+(T2836+T2854)*(1+$E2863),0.01)</f>
        <v/>
      </c>
      <c r="U2863" s="35">
        <f>MAX(INDEX(U$381:U$392,$D2863)+(U2836+U2854)*(1+$E2863),0.01)</f>
        <v/>
      </c>
      <c r="V2863" s="35">
        <f>MAX(INDEX(V$381:V$392,$D2863)+(V2836+V2854)*(1+$E2863),0.01)</f>
        <v/>
      </c>
      <c r="W2863" s="35">
        <f>MAX(INDEX(W$381:W$392,$D2863)+(W2836+W2854)*(1+$E2863),0.01)</f>
        <v/>
      </c>
      <c r="X2863" s="35">
        <f>MAX(INDEX(X$381:X$392,$D2863)+(X2836+X2854)*(1+$E2863),0.01)</f>
        <v/>
      </c>
      <c r="Y2863" s="35">
        <f>MAX(INDEX(Y$381:Y$392,$D2863)+(Y2836+Y2854)*(1+$E2863),0.01)</f>
        <v/>
      </c>
      <c r="Z2863" s="35">
        <f>MAX(INDEX(Z$381:Z$392,$D2863)+(Z2836+Z2854)*(1+$E2863),0.01)</f>
        <v/>
      </c>
      <c r="AA2863" s="35">
        <f>MAX(INDEX(AA$381:AA$392,$D2863)+(AA2836+AA2854)*(1+$E2863),0.01)</f>
        <v/>
      </c>
      <c r="AB2863" s="35">
        <f>MAX(INDEX(AB$381:AB$392,$D2863)+(AB2836+AB2854)*(1+$E2863),0.01)</f>
        <v/>
      </c>
      <c r="AC2863" s="35">
        <f>MAX(INDEX(AC$381:AC$392,$D2863)+(AC2836+AC2854)*(1+$E2863),0.01)</f>
        <v/>
      </c>
      <c r="AD2863" s="35">
        <f>MAX(INDEX(AD$381:AD$392,$D2863)+(AD2836+AD2854)*(1+$E2863),0.01)</f>
        <v/>
      </c>
      <c r="AE2863" s="42">
        <f>POSTTAX(INDEX(AE$381:AE$392,$D2863),AE2836+AE2854,$E2863)</f>
        <v/>
      </c>
      <c r="AG2863" s="11">
        <f>CodePrefix&amp;$A2863&amp;IF($C2863="","","."&amp;$C2863&amp;"."&amp;$B2863)&amp;INDEX(VarEnd,MATCH($A2863,VarKey,0))&amp;AG$5</f>
        <v/>
      </c>
      <c r="AH2863" s="40">
        <f>MAX(INDEX(AH$381:AH$392,$D2863)+(AH2836+AH2854)*(1+$E2863),0.01)</f>
        <v/>
      </c>
      <c r="AI2863" s="35">
        <f>MAX(INDEX(AI$381:AI$392,$D2863)+(AI2836+AI2854)*(1+$E2863),0.01)</f>
        <v/>
      </c>
      <c r="AJ2863" s="35">
        <f>MAX(INDEX(AJ$381:AJ$392,$D2863)+(AJ2836+AJ2854)*(1+$E2863),0.01)</f>
        <v/>
      </c>
      <c r="AK2863" s="35">
        <f>MAX(INDEX(AK$381:AK$392,$D2863)+(AK2836+AK2854)*(1+$E2863),0.01)</f>
        <v/>
      </c>
      <c r="AL2863" s="35">
        <f>MAX(INDEX(AL$381:AL$392,$D2863)+(AL2836+AL2854)*(1+$E2863),0.01)</f>
        <v/>
      </c>
      <c r="AM2863" s="35">
        <f>MAX(INDEX(AM$381:AM$392,$D2863)+(AM2836+AM2854)*(1+$E2863),0.01)</f>
        <v/>
      </c>
      <c r="AN2863" s="35">
        <f>MAX(INDEX(AN$381:AN$392,$D2863)+(AN2836+AN2854)*(1+$E2863),0.01)</f>
        <v/>
      </c>
      <c r="AO2863" s="35">
        <f>MAX(INDEX(AO$381:AO$392,$D2863)+(AO2836+AO2854)*(1+$E2863),0.01)</f>
        <v/>
      </c>
      <c r="AP2863" s="35">
        <f>MAX(INDEX(AP$381:AP$392,$D2863)+(AP2836+AP2854)*(1+$E2863),0.01)</f>
        <v/>
      </c>
      <c r="AQ2863" s="35">
        <f>MAX(INDEX(AQ$381:AQ$392,$D2863)+(AQ2836+AQ2854)*(1+$E2863),0.01)</f>
        <v/>
      </c>
      <c r="AR2863" s="35">
        <f>MAX(INDEX(AR$381:AR$392,$D2863)+(AR2836+AR2854)*(1+$E2863),0.01)</f>
        <v/>
      </c>
      <c r="AS2863" s="35">
        <f>MAX(INDEX(AS$381:AS$392,$D2863)+(AS2836+AS2854)*(1+$E2863),0.01)</f>
        <v/>
      </c>
      <c r="AT2863" s="35">
        <f>MAX(INDEX(AT$381:AT$392,$D2863)+(AT2836+AT2854)*(1+$E2863),0.01)</f>
        <v/>
      </c>
      <c r="AU2863" s="35">
        <f>MAX(INDEX(AU$381:AU$392,$D2863)+(AU2836+AU2854)*(1+$E2863),0.01)</f>
        <v/>
      </c>
      <c r="AV2863" s="35">
        <f>MAX(INDEX(AV$381:AV$392,$D2863)+(AV2836+AV2854)*(1+$E2863),0.01)</f>
        <v/>
      </c>
      <c r="AW2863" s="35">
        <f>MAX(INDEX(AW$381:AW$392,$D2863)+(AW2836+AW2854)*(1+$E2863),0.01)</f>
        <v/>
      </c>
      <c r="AX2863" s="35">
        <f>MAX(INDEX(AX$381:AX$392,$D2863)+(AX2836+AX2854)*(1+$E2863),0.01)</f>
        <v/>
      </c>
      <c r="AY2863" s="35">
        <f>MAX(INDEX(AY$381:AY$392,$D2863)+(AY2836+AY2854)*(1+$E2863),0.01)</f>
        <v/>
      </c>
      <c r="AZ2863" s="35">
        <f>MAX(INDEX(AZ$381:AZ$392,$D2863)+(AZ2836+AZ2854)*(1+$E2863),0.01)</f>
        <v/>
      </c>
      <c r="BA2863" s="42">
        <f>POSTTAX(INDEX(BA$381:BA$392,$D2863),BA2836+BA2854,$E2863)</f>
        <v/>
      </c>
    </row>
    <row r="2864" hidden="1" outlineLevel="2">
      <c r="A2864" s="14" t="inlineStr">
        <is>
          <t>atp</t>
        </is>
      </c>
      <c r="B2864" s="14" t="inlineStr">
        <is>
          <t>ker</t>
        </is>
      </c>
      <c r="C2864" s="14" t="inlineStr">
        <is>
          <t>ftr</t>
        </is>
      </c>
      <c r="D2864" s="35">
        <f>INDEX(Inputs!$U$5:$U$132,MATCH($B2864&amp;"|"&amp;$C2864,Inputs!$A$5:$A$132,0))</f>
        <v/>
      </c>
      <c r="E2864" s="35">
        <f>INDEX(Inputs!$V$5:$V$132,MATCH($B2864&amp;"|"&amp;$C2864,Inputs!$A$5:$A$132,0))</f>
        <v/>
      </c>
      <c r="F2864" s="39" t="n"/>
      <c r="G2864" s="39" t="n"/>
      <c r="H2864" s="14">
        <f>INDEX(VarLab,MATCH($A2864,VarKey,0))&amp;INDEX(MemLab,MATCH($C2864&amp;"|"&amp;$B2864,MemKey,0))</f>
        <v/>
      </c>
      <c r="I2864" s="14">
        <f>INDEX(VarUnit,MATCH($A2864,VarKey,0))</f>
        <v/>
      </c>
      <c r="J2864" s="14">
        <f>INDEX(VarSrc,MATCH($A2864,VarKey,0))</f>
        <v/>
      </c>
      <c r="K2864" s="11">
        <f>CodePrefix&amp;$A2864&amp;IF($C2864="","","."&amp;$C2864&amp;"."&amp;$B2864)&amp;INDEX(VarEnd,MATCH($A2864,VarKey,0))&amp;K$5</f>
        <v/>
      </c>
      <c r="L2864" s="40">
        <f>MAX(INDEX(L$381:L$392,$D2864)+(L2837+L2855)*(1+$E2864),0.01)</f>
        <v/>
      </c>
      <c r="M2864" s="35">
        <f>MAX(INDEX(M$381:M$392,$D2864)+(M2837+M2855)*(1+$E2864),0.01)</f>
        <v/>
      </c>
      <c r="N2864" s="35">
        <f>MAX(INDEX(N$381:N$392,$D2864)+(N2837+N2855)*(1+$E2864),0.01)</f>
        <v/>
      </c>
      <c r="O2864" s="35">
        <f>MAX(INDEX(O$381:O$392,$D2864)+(O2837+O2855)*(1+$E2864),0.01)</f>
        <v/>
      </c>
      <c r="P2864" s="35">
        <f>MAX(INDEX(P$381:P$392,$D2864)+(P2837+P2855)*(1+$E2864),0.01)</f>
        <v/>
      </c>
      <c r="Q2864" s="35">
        <f>MAX(INDEX(Q$381:Q$392,$D2864)+(Q2837+Q2855)*(1+$E2864),0.01)</f>
        <v/>
      </c>
      <c r="R2864" s="35">
        <f>MAX(INDEX(R$381:R$392,$D2864)+(R2837+R2855)*(1+$E2864),0.01)</f>
        <v/>
      </c>
      <c r="S2864" s="35">
        <f>MAX(INDEX(S$381:S$392,$D2864)+(S2837+S2855)*(1+$E2864),0.01)</f>
        <v/>
      </c>
      <c r="T2864" s="35">
        <f>MAX(INDEX(T$381:T$392,$D2864)+(T2837+T2855)*(1+$E2864),0.01)</f>
        <v/>
      </c>
      <c r="U2864" s="35">
        <f>MAX(INDEX(U$381:U$392,$D2864)+(U2837+U2855)*(1+$E2864),0.01)</f>
        <v/>
      </c>
      <c r="V2864" s="35">
        <f>MAX(INDEX(V$381:V$392,$D2864)+(V2837+V2855)*(1+$E2864),0.01)</f>
        <v/>
      </c>
      <c r="W2864" s="35">
        <f>MAX(INDEX(W$381:W$392,$D2864)+(W2837+W2855)*(1+$E2864),0.01)</f>
        <v/>
      </c>
      <c r="X2864" s="35">
        <f>MAX(INDEX(X$381:X$392,$D2864)+(X2837+X2855)*(1+$E2864),0.01)</f>
        <v/>
      </c>
      <c r="Y2864" s="35">
        <f>MAX(INDEX(Y$381:Y$392,$D2864)+(Y2837+Y2855)*(1+$E2864),0.01)</f>
        <v/>
      </c>
      <c r="Z2864" s="35">
        <f>MAX(INDEX(Z$381:Z$392,$D2864)+(Z2837+Z2855)*(1+$E2864),0.01)</f>
        <v/>
      </c>
      <c r="AA2864" s="35">
        <f>MAX(INDEX(AA$381:AA$392,$D2864)+(AA2837+AA2855)*(1+$E2864),0.01)</f>
        <v/>
      </c>
      <c r="AB2864" s="35">
        <f>MAX(INDEX(AB$381:AB$392,$D2864)+(AB2837+AB2855)*(1+$E2864),0.01)</f>
        <v/>
      </c>
      <c r="AC2864" s="35">
        <f>MAX(INDEX(AC$381:AC$392,$D2864)+(AC2837+AC2855)*(1+$E2864),0.01)</f>
        <v/>
      </c>
      <c r="AD2864" s="35">
        <f>MAX(INDEX(AD$381:AD$392,$D2864)+(AD2837+AD2855)*(1+$E2864),0.01)</f>
        <v/>
      </c>
      <c r="AE2864" s="42">
        <f>POSTTAX(INDEX(AE$381:AE$392,$D2864),AE2837+AE2855,$E2864)</f>
        <v/>
      </c>
      <c r="AG2864" s="11">
        <f>CodePrefix&amp;$A2864&amp;IF($C2864="","","."&amp;$C2864&amp;"."&amp;$B2864)&amp;INDEX(VarEnd,MATCH($A2864,VarKey,0))&amp;AG$5</f>
        <v/>
      </c>
      <c r="AH2864" s="40">
        <f>MAX(INDEX(AH$381:AH$392,$D2864)+(AH2837+AH2855)*(1+$E2864),0.01)</f>
        <v/>
      </c>
      <c r="AI2864" s="35">
        <f>MAX(INDEX(AI$381:AI$392,$D2864)+(AI2837+AI2855)*(1+$E2864),0.01)</f>
        <v/>
      </c>
      <c r="AJ2864" s="35">
        <f>MAX(INDEX(AJ$381:AJ$392,$D2864)+(AJ2837+AJ2855)*(1+$E2864),0.01)</f>
        <v/>
      </c>
      <c r="AK2864" s="35">
        <f>MAX(INDEX(AK$381:AK$392,$D2864)+(AK2837+AK2855)*(1+$E2864),0.01)</f>
        <v/>
      </c>
      <c r="AL2864" s="35">
        <f>MAX(INDEX(AL$381:AL$392,$D2864)+(AL2837+AL2855)*(1+$E2864),0.01)</f>
        <v/>
      </c>
      <c r="AM2864" s="35">
        <f>MAX(INDEX(AM$381:AM$392,$D2864)+(AM2837+AM2855)*(1+$E2864),0.01)</f>
        <v/>
      </c>
      <c r="AN2864" s="35">
        <f>MAX(INDEX(AN$381:AN$392,$D2864)+(AN2837+AN2855)*(1+$E2864),0.01)</f>
        <v/>
      </c>
      <c r="AO2864" s="35">
        <f>MAX(INDEX(AO$381:AO$392,$D2864)+(AO2837+AO2855)*(1+$E2864),0.01)</f>
        <v/>
      </c>
      <c r="AP2864" s="35">
        <f>MAX(INDEX(AP$381:AP$392,$D2864)+(AP2837+AP2855)*(1+$E2864),0.01)</f>
        <v/>
      </c>
      <c r="AQ2864" s="35">
        <f>MAX(INDEX(AQ$381:AQ$392,$D2864)+(AQ2837+AQ2855)*(1+$E2864),0.01)</f>
        <v/>
      </c>
      <c r="AR2864" s="35">
        <f>MAX(INDEX(AR$381:AR$392,$D2864)+(AR2837+AR2855)*(1+$E2864),0.01)</f>
        <v/>
      </c>
      <c r="AS2864" s="35">
        <f>MAX(INDEX(AS$381:AS$392,$D2864)+(AS2837+AS2855)*(1+$E2864),0.01)</f>
        <v/>
      </c>
      <c r="AT2864" s="35">
        <f>MAX(INDEX(AT$381:AT$392,$D2864)+(AT2837+AT2855)*(1+$E2864),0.01)</f>
        <v/>
      </c>
      <c r="AU2864" s="35">
        <f>MAX(INDEX(AU$381:AU$392,$D2864)+(AU2837+AU2855)*(1+$E2864),0.01)</f>
        <v/>
      </c>
      <c r="AV2864" s="35">
        <f>MAX(INDEX(AV$381:AV$392,$D2864)+(AV2837+AV2855)*(1+$E2864),0.01)</f>
        <v/>
      </c>
      <c r="AW2864" s="35">
        <f>MAX(INDEX(AW$381:AW$392,$D2864)+(AW2837+AW2855)*(1+$E2864),0.01)</f>
        <v/>
      </c>
      <c r="AX2864" s="35">
        <f>MAX(INDEX(AX$381:AX$392,$D2864)+(AX2837+AX2855)*(1+$E2864),0.01)</f>
        <v/>
      </c>
      <c r="AY2864" s="35">
        <f>MAX(INDEX(AY$381:AY$392,$D2864)+(AY2837+AY2855)*(1+$E2864),0.01)</f>
        <v/>
      </c>
      <c r="AZ2864" s="35">
        <f>MAX(INDEX(AZ$381:AZ$392,$D2864)+(AZ2837+AZ2855)*(1+$E2864),0.01)</f>
        <v/>
      </c>
      <c r="BA2864" s="42">
        <f>POSTTAX(INDEX(BA$381:BA$392,$D2864),BA2837+BA2855,$E2864)</f>
        <v/>
      </c>
    </row>
    <row r="2865" hidden="1" outlineLevel="2">
      <c r="A2865" s="14" t="inlineStr">
        <is>
          <t>atp</t>
        </is>
      </c>
      <c r="B2865" s="14" t="inlineStr">
        <is>
          <t>oop</t>
        </is>
      </c>
      <c r="C2865" s="14" t="inlineStr">
        <is>
          <t>ftr</t>
        </is>
      </c>
      <c r="D2865" s="35">
        <f>INDEX(Inputs!$U$5:$U$132,MATCH($B2865&amp;"|"&amp;$C2865,Inputs!$A$5:$A$132,0))</f>
        <v/>
      </c>
      <c r="E2865" s="35">
        <f>INDEX(Inputs!$V$5:$V$132,MATCH($B2865&amp;"|"&amp;$C2865,Inputs!$A$5:$A$132,0))</f>
        <v/>
      </c>
      <c r="F2865" s="39" t="n"/>
      <c r="G2865" s="39" t="n"/>
      <c r="H2865" s="14">
        <f>INDEX(VarLab,MATCH($A2865,VarKey,0))&amp;INDEX(MemLab,MATCH($C2865&amp;"|"&amp;$B2865,MemKey,0))</f>
        <v/>
      </c>
      <c r="I2865" s="14">
        <f>INDEX(VarUnit,MATCH($A2865,VarKey,0))</f>
        <v/>
      </c>
      <c r="J2865" s="14">
        <f>INDEX(VarSrc,MATCH($A2865,VarKey,0))</f>
        <v/>
      </c>
      <c r="K2865" s="11">
        <f>CodePrefix&amp;$A2865&amp;IF($C2865="","","."&amp;$C2865&amp;"."&amp;$B2865)&amp;INDEX(VarEnd,MATCH($A2865,VarKey,0))&amp;K$5</f>
        <v/>
      </c>
      <c r="L2865" s="40">
        <f>MAX(INDEX(L$381:L$392,$D2865)+(L2838+L2856)*(1+$E2865),0.01)</f>
        <v/>
      </c>
      <c r="M2865" s="35">
        <f>MAX(INDEX(M$381:M$392,$D2865)+(M2838+M2856)*(1+$E2865),0.01)</f>
        <v/>
      </c>
      <c r="N2865" s="35">
        <f>MAX(INDEX(N$381:N$392,$D2865)+(N2838+N2856)*(1+$E2865),0.01)</f>
        <v/>
      </c>
      <c r="O2865" s="35">
        <f>MAX(INDEX(O$381:O$392,$D2865)+(O2838+O2856)*(1+$E2865),0.01)</f>
        <v/>
      </c>
      <c r="P2865" s="35">
        <f>MAX(INDEX(P$381:P$392,$D2865)+(P2838+P2856)*(1+$E2865),0.01)</f>
        <v/>
      </c>
      <c r="Q2865" s="35">
        <f>MAX(INDEX(Q$381:Q$392,$D2865)+(Q2838+Q2856)*(1+$E2865),0.01)</f>
        <v/>
      </c>
      <c r="R2865" s="35">
        <f>MAX(INDEX(R$381:R$392,$D2865)+(R2838+R2856)*(1+$E2865),0.01)</f>
        <v/>
      </c>
      <c r="S2865" s="35">
        <f>MAX(INDEX(S$381:S$392,$D2865)+(S2838+S2856)*(1+$E2865),0.01)</f>
        <v/>
      </c>
      <c r="T2865" s="35">
        <f>MAX(INDEX(T$381:T$392,$D2865)+(T2838+T2856)*(1+$E2865),0.01)</f>
        <v/>
      </c>
      <c r="U2865" s="35">
        <f>MAX(INDEX(U$381:U$392,$D2865)+(U2838+U2856)*(1+$E2865),0.01)</f>
        <v/>
      </c>
      <c r="V2865" s="35">
        <f>MAX(INDEX(V$381:V$392,$D2865)+(V2838+V2856)*(1+$E2865),0.01)</f>
        <v/>
      </c>
      <c r="W2865" s="35">
        <f>MAX(INDEX(W$381:W$392,$D2865)+(W2838+W2856)*(1+$E2865),0.01)</f>
        <v/>
      </c>
      <c r="X2865" s="35">
        <f>MAX(INDEX(X$381:X$392,$D2865)+(X2838+X2856)*(1+$E2865),0.01)</f>
        <v/>
      </c>
      <c r="Y2865" s="35">
        <f>MAX(INDEX(Y$381:Y$392,$D2865)+(Y2838+Y2856)*(1+$E2865),0.01)</f>
        <v/>
      </c>
      <c r="Z2865" s="35">
        <f>MAX(INDEX(Z$381:Z$392,$D2865)+(Z2838+Z2856)*(1+$E2865),0.01)</f>
        <v/>
      </c>
      <c r="AA2865" s="35">
        <f>MAX(INDEX(AA$381:AA$392,$D2865)+(AA2838+AA2856)*(1+$E2865),0.01)</f>
        <v/>
      </c>
      <c r="AB2865" s="35">
        <f>MAX(INDEX(AB$381:AB$392,$D2865)+(AB2838+AB2856)*(1+$E2865),0.01)</f>
        <v/>
      </c>
      <c r="AC2865" s="35">
        <f>MAX(INDEX(AC$381:AC$392,$D2865)+(AC2838+AC2856)*(1+$E2865),0.01)</f>
        <v/>
      </c>
      <c r="AD2865" s="35">
        <f>MAX(INDEX(AD$381:AD$392,$D2865)+(AD2838+AD2856)*(1+$E2865),0.01)</f>
        <v/>
      </c>
      <c r="AE2865" s="42">
        <f>POSTTAX(INDEX(AE$381:AE$392,$D2865),AE2838+AE2856,$E2865)</f>
        <v/>
      </c>
      <c r="AG2865" s="11">
        <f>CodePrefix&amp;$A2865&amp;IF($C2865="","","."&amp;$C2865&amp;"."&amp;$B2865)&amp;INDEX(VarEnd,MATCH($A2865,VarKey,0))&amp;AG$5</f>
        <v/>
      </c>
      <c r="AH2865" s="40">
        <f>MAX(INDEX(AH$381:AH$392,$D2865)+(AH2838+AH2856)*(1+$E2865),0.01)</f>
        <v/>
      </c>
      <c r="AI2865" s="35">
        <f>MAX(INDEX(AI$381:AI$392,$D2865)+(AI2838+AI2856)*(1+$E2865),0.01)</f>
        <v/>
      </c>
      <c r="AJ2865" s="35">
        <f>MAX(INDEX(AJ$381:AJ$392,$D2865)+(AJ2838+AJ2856)*(1+$E2865),0.01)</f>
        <v/>
      </c>
      <c r="AK2865" s="35">
        <f>MAX(INDEX(AK$381:AK$392,$D2865)+(AK2838+AK2856)*(1+$E2865),0.01)</f>
        <v/>
      </c>
      <c r="AL2865" s="35">
        <f>MAX(INDEX(AL$381:AL$392,$D2865)+(AL2838+AL2856)*(1+$E2865),0.01)</f>
        <v/>
      </c>
      <c r="AM2865" s="35">
        <f>MAX(INDEX(AM$381:AM$392,$D2865)+(AM2838+AM2856)*(1+$E2865),0.01)</f>
        <v/>
      </c>
      <c r="AN2865" s="35">
        <f>MAX(INDEX(AN$381:AN$392,$D2865)+(AN2838+AN2856)*(1+$E2865),0.01)</f>
        <v/>
      </c>
      <c r="AO2865" s="35">
        <f>MAX(INDEX(AO$381:AO$392,$D2865)+(AO2838+AO2856)*(1+$E2865),0.01)</f>
        <v/>
      </c>
      <c r="AP2865" s="35">
        <f>MAX(INDEX(AP$381:AP$392,$D2865)+(AP2838+AP2856)*(1+$E2865),0.01)</f>
        <v/>
      </c>
      <c r="AQ2865" s="35">
        <f>MAX(INDEX(AQ$381:AQ$392,$D2865)+(AQ2838+AQ2856)*(1+$E2865),0.01)</f>
        <v/>
      </c>
      <c r="AR2865" s="35">
        <f>MAX(INDEX(AR$381:AR$392,$D2865)+(AR2838+AR2856)*(1+$E2865),0.01)</f>
        <v/>
      </c>
      <c r="AS2865" s="35">
        <f>MAX(INDEX(AS$381:AS$392,$D2865)+(AS2838+AS2856)*(1+$E2865),0.01)</f>
        <v/>
      </c>
      <c r="AT2865" s="35">
        <f>MAX(INDEX(AT$381:AT$392,$D2865)+(AT2838+AT2856)*(1+$E2865),0.01)</f>
        <v/>
      </c>
      <c r="AU2865" s="35">
        <f>MAX(INDEX(AU$381:AU$392,$D2865)+(AU2838+AU2856)*(1+$E2865),0.01)</f>
        <v/>
      </c>
      <c r="AV2865" s="35">
        <f>MAX(INDEX(AV$381:AV$392,$D2865)+(AV2838+AV2856)*(1+$E2865),0.01)</f>
        <v/>
      </c>
      <c r="AW2865" s="35">
        <f>MAX(INDEX(AW$381:AW$392,$D2865)+(AW2838+AW2856)*(1+$E2865),0.01)</f>
        <v/>
      </c>
      <c r="AX2865" s="35">
        <f>MAX(INDEX(AX$381:AX$392,$D2865)+(AX2838+AX2856)*(1+$E2865),0.01)</f>
        <v/>
      </c>
      <c r="AY2865" s="35">
        <f>MAX(INDEX(AY$381:AY$392,$D2865)+(AY2838+AY2856)*(1+$E2865),0.01)</f>
        <v/>
      </c>
      <c r="AZ2865" s="35">
        <f>MAX(INDEX(AZ$381:AZ$392,$D2865)+(AZ2838+AZ2856)*(1+$E2865),0.01)</f>
        <v/>
      </c>
      <c r="BA2865" s="42">
        <f>POSTTAX(INDEX(BA$381:BA$392,$D2865),BA2838+BA2856,$E2865)</f>
        <v/>
      </c>
    </row>
    <row r="2866" hidden="1" outlineLevel="2">
      <c r="A2866" s="14" t="inlineStr">
        <is>
          <t>atp</t>
        </is>
      </c>
      <c r="B2866" s="14" t="inlineStr">
        <is>
          <t>bio</t>
        </is>
      </c>
      <c r="C2866" s="14" t="inlineStr">
        <is>
          <t>ftr</t>
        </is>
      </c>
      <c r="D2866" s="35">
        <f>INDEX(Inputs!$U$5:$U$132,MATCH($B2866&amp;"|"&amp;$C2866,Inputs!$A$5:$A$132,0))</f>
        <v/>
      </c>
      <c r="E2866" s="35">
        <f>INDEX(Inputs!$V$5:$V$132,MATCH($B2866&amp;"|"&amp;$C2866,Inputs!$A$5:$A$132,0))</f>
        <v/>
      </c>
      <c r="F2866" s="39" t="n"/>
      <c r="G2866" s="39" t="n"/>
      <c r="H2866" s="14">
        <f>INDEX(VarLab,MATCH($A2866,VarKey,0))&amp;INDEX(MemLab,MATCH($C2866&amp;"|"&amp;$B2866,MemKey,0))</f>
        <v/>
      </c>
      <c r="I2866" s="14">
        <f>INDEX(VarUnit,MATCH($A2866,VarKey,0))</f>
        <v/>
      </c>
      <c r="J2866" s="14">
        <f>INDEX(VarSrc,MATCH($A2866,VarKey,0))</f>
        <v/>
      </c>
      <c r="K2866" s="11">
        <f>CodePrefix&amp;$A2866&amp;IF($C2866="","","."&amp;$C2866&amp;"."&amp;$B2866)&amp;INDEX(VarEnd,MATCH($A2866,VarKey,0))&amp;K$5</f>
        <v/>
      </c>
      <c r="L2866" s="40">
        <f>MAX(INDEX(L$381:L$392,$D2866)+(L2839+L2857)*(1+$E2866),0.01)</f>
        <v/>
      </c>
      <c r="M2866" s="35">
        <f>MAX(INDEX(M$381:M$392,$D2866)+(M2839+M2857)*(1+$E2866),0.01)</f>
        <v/>
      </c>
      <c r="N2866" s="35">
        <f>MAX(INDEX(N$381:N$392,$D2866)+(N2839+N2857)*(1+$E2866),0.01)</f>
        <v/>
      </c>
      <c r="O2866" s="35">
        <f>MAX(INDEX(O$381:O$392,$D2866)+(O2839+O2857)*(1+$E2866),0.01)</f>
        <v/>
      </c>
      <c r="P2866" s="35">
        <f>MAX(INDEX(P$381:P$392,$D2866)+(P2839+P2857)*(1+$E2866),0.01)</f>
        <v/>
      </c>
      <c r="Q2866" s="35">
        <f>MAX(INDEX(Q$381:Q$392,$D2866)+(Q2839+Q2857)*(1+$E2866),0.01)</f>
        <v/>
      </c>
      <c r="R2866" s="35">
        <f>MAX(INDEX(R$381:R$392,$D2866)+(R2839+R2857)*(1+$E2866),0.01)</f>
        <v/>
      </c>
      <c r="S2866" s="35">
        <f>MAX(INDEX(S$381:S$392,$D2866)+(S2839+S2857)*(1+$E2866),0.01)</f>
        <v/>
      </c>
      <c r="T2866" s="35">
        <f>MAX(INDEX(T$381:T$392,$D2866)+(T2839+T2857)*(1+$E2866),0.01)</f>
        <v/>
      </c>
      <c r="U2866" s="35">
        <f>MAX(INDEX(U$381:U$392,$D2866)+(U2839+U2857)*(1+$E2866),0.01)</f>
        <v/>
      </c>
      <c r="V2866" s="35">
        <f>MAX(INDEX(V$381:V$392,$D2866)+(V2839+V2857)*(1+$E2866),0.01)</f>
        <v/>
      </c>
      <c r="W2866" s="35">
        <f>MAX(INDEX(W$381:W$392,$D2866)+(W2839+W2857)*(1+$E2866),0.01)</f>
        <v/>
      </c>
      <c r="X2866" s="35">
        <f>MAX(INDEX(X$381:X$392,$D2866)+(X2839+X2857)*(1+$E2866),0.01)</f>
        <v/>
      </c>
      <c r="Y2866" s="35">
        <f>MAX(INDEX(Y$381:Y$392,$D2866)+(Y2839+Y2857)*(1+$E2866),0.01)</f>
        <v/>
      </c>
      <c r="Z2866" s="35">
        <f>MAX(INDEX(Z$381:Z$392,$D2866)+(Z2839+Z2857)*(1+$E2866),0.01)</f>
        <v/>
      </c>
      <c r="AA2866" s="35">
        <f>MAX(INDEX(AA$381:AA$392,$D2866)+(AA2839+AA2857)*(1+$E2866),0.01)</f>
        <v/>
      </c>
      <c r="AB2866" s="35">
        <f>MAX(INDEX(AB$381:AB$392,$D2866)+(AB2839+AB2857)*(1+$E2866),0.01)</f>
        <v/>
      </c>
      <c r="AC2866" s="35">
        <f>MAX(INDEX(AC$381:AC$392,$D2866)+(AC2839+AC2857)*(1+$E2866),0.01)</f>
        <v/>
      </c>
      <c r="AD2866" s="35">
        <f>MAX(INDEX(AD$381:AD$392,$D2866)+(AD2839+AD2857)*(1+$E2866),0.01)</f>
        <v/>
      </c>
      <c r="AE2866" s="42">
        <f>POSTTAX(INDEX(AE$381:AE$392,$D2866),AE2839+AE2857,$E2866)</f>
        <v/>
      </c>
      <c r="AG2866" s="11">
        <f>CodePrefix&amp;$A2866&amp;IF($C2866="","","."&amp;$C2866&amp;"."&amp;$B2866)&amp;INDEX(VarEnd,MATCH($A2866,VarKey,0))&amp;AG$5</f>
        <v/>
      </c>
      <c r="AH2866" s="40">
        <f>MAX(INDEX(AH$381:AH$392,$D2866)+(AH2839+AH2857)*(1+$E2866),0.01)</f>
        <v/>
      </c>
      <c r="AI2866" s="35">
        <f>MAX(INDEX(AI$381:AI$392,$D2866)+(AI2839+AI2857)*(1+$E2866),0.01)</f>
        <v/>
      </c>
      <c r="AJ2866" s="35">
        <f>MAX(INDEX(AJ$381:AJ$392,$D2866)+(AJ2839+AJ2857)*(1+$E2866),0.01)</f>
        <v/>
      </c>
      <c r="AK2866" s="35">
        <f>MAX(INDEX(AK$381:AK$392,$D2866)+(AK2839+AK2857)*(1+$E2866),0.01)</f>
        <v/>
      </c>
      <c r="AL2866" s="35">
        <f>MAX(INDEX(AL$381:AL$392,$D2866)+(AL2839+AL2857)*(1+$E2866),0.01)</f>
        <v/>
      </c>
      <c r="AM2866" s="35">
        <f>MAX(INDEX(AM$381:AM$392,$D2866)+(AM2839+AM2857)*(1+$E2866),0.01)</f>
        <v/>
      </c>
      <c r="AN2866" s="35">
        <f>MAX(INDEX(AN$381:AN$392,$D2866)+(AN2839+AN2857)*(1+$E2866),0.01)</f>
        <v/>
      </c>
      <c r="AO2866" s="35">
        <f>MAX(INDEX(AO$381:AO$392,$D2866)+(AO2839+AO2857)*(1+$E2866),0.01)</f>
        <v/>
      </c>
      <c r="AP2866" s="35">
        <f>MAX(INDEX(AP$381:AP$392,$D2866)+(AP2839+AP2857)*(1+$E2866),0.01)</f>
        <v/>
      </c>
      <c r="AQ2866" s="35">
        <f>MAX(INDEX(AQ$381:AQ$392,$D2866)+(AQ2839+AQ2857)*(1+$E2866),0.01)</f>
        <v/>
      </c>
      <c r="AR2866" s="35">
        <f>MAX(INDEX(AR$381:AR$392,$D2866)+(AR2839+AR2857)*(1+$E2866),0.01)</f>
        <v/>
      </c>
      <c r="AS2866" s="35">
        <f>MAX(INDEX(AS$381:AS$392,$D2866)+(AS2839+AS2857)*(1+$E2866),0.01)</f>
        <v/>
      </c>
      <c r="AT2866" s="35">
        <f>MAX(INDEX(AT$381:AT$392,$D2866)+(AT2839+AT2857)*(1+$E2866),0.01)</f>
        <v/>
      </c>
      <c r="AU2866" s="35">
        <f>MAX(INDEX(AU$381:AU$392,$D2866)+(AU2839+AU2857)*(1+$E2866),0.01)</f>
        <v/>
      </c>
      <c r="AV2866" s="35">
        <f>MAX(INDEX(AV$381:AV$392,$D2866)+(AV2839+AV2857)*(1+$E2866),0.01)</f>
        <v/>
      </c>
      <c r="AW2866" s="35">
        <f>MAX(INDEX(AW$381:AW$392,$D2866)+(AW2839+AW2857)*(1+$E2866),0.01)</f>
        <v/>
      </c>
      <c r="AX2866" s="35">
        <f>MAX(INDEX(AX$381:AX$392,$D2866)+(AX2839+AX2857)*(1+$E2866),0.01)</f>
        <v/>
      </c>
      <c r="AY2866" s="35">
        <f>MAX(INDEX(AY$381:AY$392,$D2866)+(AY2839+AY2857)*(1+$E2866),0.01)</f>
        <v/>
      </c>
      <c r="AZ2866" s="35">
        <f>MAX(INDEX(AZ$381:AZ$392,$D2866)+(AZ2839+AZ2857)*(1+$E2866),0.01)</f>
        <v/>
      </c>
      <c r="BA2866" s="42">
        <f>POSTTAX(INDEX(BA$381:BA$392,$D2866),BA2839+BA2857,$E2866)</f>
        <v/>
      </c>
    </row>
    <row r="2867" hidden="1" outlineLevel="2"/>
    <row r="2868" hidden="1" outlineLevel="2">
      <c r="A2868" s="14" t="inlineStr">
        <is>
          <t>shp</t>
        </is>
      </c>
      <c r="B2868" s="14" t="inlineStr">
        <is>
          <t>coa</t>
        </is>
      </c>
      <c r="C2868" s="14" t="inlineStr">
        <is>
          <t>ftr</t>
        </is>
      </c>
      <c r="D2868" s="35">
        <f>INDEX(Inputs!$W$5:$W$132,MATCH($B2868&amp;"|"&amp;$C2868,Inputs!$A$5:$A$132,0))</f>
        <v/>
      </c>
      <c r="E2868" s="35">
        <f>INDEX(Inputs!$M$5:$M$132,MATCH($B2868&amp;"|"&amp;$C2868,Inputs!$A$5:$A$132,0))</f>
        <v/>
      </c>
      <c r="F2868" s="39" t="n"/>
      <c r="G2868" s="39" t="n"/>
      <c r="H2868" s="14">
        <f>INDEX(VarLab,MATCH($A2868,VarKey,0))&amp;INDEX(MemLab,MATCH($C2868&amp;"|"&amp;$B2868,MemKey,0))</f>
        <v/>
      </c>
      <c r="I2868" s="14">
        <f>INDEX(VarUnit,MATCH($A2868,VarKey,0))</f>
        <v/>
      </c>
      <c r="J2868" s="14">
        <f>INDEX(VarSrc,MATCH($A2868,VarKey,0))</f>
        <v/>
      </c>
      <c r="K2868" s="11">
        <f>CodePrefix&amp;$A2868&amp;IF($C2868="","","."&amp;$C2868&amp;"."&amp;$B2868)&amp;INDEX(VarEnd,MATCH($A2868,VarKey,0))&amp;K$5</f>
        <v/>
      </c>
      <c r="L2868" s="40">
        <f>INDEX(L$297:L$313,$E2868)*$D2868</f>
        <v/>
      </c>
      <c r="M2868" s="35">
        <f>INDEX(M$297:M$313,$E2868)*$D2868</f>
        <v/>
      </c>
      <c r="N2868" s="35">
        <f>INDEX(N$297:N$313,$E2868)*$D2868</f>
        <v/>
      </c>
      <c r="O2868" s="35">
        <f>INDEX(O$297:O$313,$E2868)*$D2868</f>
        <v/>
      </c>
      <c r="P2868" s="35">
        <f>INDEX(P$297:P$313,$E2868)*$D2868</f>
        <v/>
      </c>
      <c r="Q2868" s="35">
        <f>INDEX(Q$297:Q$313,$E2868)*$D2868</f>
        <v/>
      </c>
      <c r="R2868" s="35">
        <f>INDEX(R$297:R$313,$E2868)*$D2868</f>
        <v/>
      </c>
      <c r="S2868" s="35">
        <f>INDEX(S$297:S$313,$E2868)*$D2868</f>
        <v/>
      </c>
      <c r="T2868" s="35">
        <f>INDEX(T$297:T$313,$E2868)*$D2868</f>
        <v/>
      </c>
      <c r="U2868" s="35">
        <f>INDEX(U$297:U$313,$E2868)*$D2868</f>
        <v/>
      </c>
      <c r="V2868" s="35">
        <f>INDEX(V$297:V$313,$E2868)*$D2868</f>
        <v/>
      </c>
      <c r="W2868" s="35">
        <f>INDEX(W$297:W$313,$E2868)*$D2868</f>
        <v/>
      </c>
      <c r="X2868" s="35">
        <f>INDEX(X$297:X$313,$E2868)*$D2868</f>
        <v/>
      </c>
      <c r="Y2868" s="35">
        <f>INDEX(Y$297:Y$313,$E2868)*$D2868</f>
        <v/>
      </c>
      <c r="Z2868" s="35">
        <f>INDEX(Z$297:Z$313,$E2868)*$D2868</f>
        <v/>
      </c>
      <c r="AA2868" s="35">
        <f>INDEX(AA$297:AA$313,$E2868)*$D2868</f>
        <v/>
      </c>
      <c r="AB2868" s="35">
        <f>INDEX(AB$297:AB$313,$E2868)*$D2868</f>
        <v/>
      </c>
      <c r="AC2868" s="35">
        <f>INDEX(AC$297:AC$313,$E2868)*$D2868</f>
        <v/>
      </c>
      <c r="AD2868" s="35">
        <f>INDEX(AD$297:AD$313,$E2868)*$D2868</f>
        <v/>
      </c>
      <c r="AE2868" s="42">
        <f>SHADOWGJ(INDEX(AE$297:AE$313,$E2868),$D2868)</f>
        <v/>
      </c>
      <c r="AG2868" s="11">
        <f>CodePrefix&amp;$A2868&amp;IF($C2868="","","."&amp;$C2868&amp;"."&amp;$B2868)&amp;INDEX(VarEnd,MATCH($A2868,VarKey,0))&amp;AG$5</f>
        <v/>
      </c>
      <c r="AH2868" s="40">
        <f>INDEX(AH$297:AH$313,$E2868)*$D2868</f>
        <v/>
      </c>
      <c r="AI2868" s="35">
        <f>INDEX(AI$297:AI$313,$E2868)*$D2868</f>
        <v/>
      </c>
      <c r="AJ2868" s="35">
        <f>INDEX(AJ$297:AJ$313,$E2868)*$D2868</f>
        <v/>
      </c>
      <c r="AK2868" s="35">
        <f>INDEX(AK$297:AK$313,$E2868)*$D2868</f>
        <v/>
      </c>
      <c r="AL2868" s="35">
        <f>INDEX(AL$297:AL$313,$E2868)*$D2868</f>
        <v/>
      </c>
      <c r="AM2868" s="35">
        <f>INDEX(AM$297:AM$313,$E2868)*$D2868</f>
        <v/>
      </c>
      <c r="AN2868" s="35">
        <f>INDEX(AN$297:AN$313,$E2868)*$D2868</f>
        <v/>
      </c>
      <c r="AO2868" s="35">
        <f>INDEX(AO$297:AO$313,$E2868)*$D2868</f>
        <v/>
      </c>
      <c r="AP2868" s="35">
        <f>INDEX(AP$297:AP$313,$E2868)*$D2868</f>
        <v/>
      </c>
      <c r="AQ2868" s="35">
        <f>INDEX(AQ$297:AQ$313,$E2868)*$D2868</f>
        <v/>
      </c>
      <c r="AR2868" s="35">
        <f>INDEX(AR$297:AR$313,$E2868)*$D2868</f>
        <v/>
      </c>
      <c r="AS2868" s="35">
        <f>INDEX(AS$297:AS$313,$E2868)*$D2868</f>
        <v/>
      </c>
      <c r="AT2868" s="35">
        <f>INDEX(AT$297:AT$313,$E2868)*$D2868</f>
        <v/>
      </c>
      <c r="AU2868" s="35">
        <f>INDEX(AU$297:AU$313,$E2868)*$D2868</f>
        <v/>
      </c>
      <c r="AV2868" s="35">
        <f>INDEX(AV$297:AV$313,$E2868)*$D2868</f>
        <v/>
      </c>
      <c r="AW2868" s="35">
        <f>INDEX(AW$297:AW$313,$E2868)*$D2868</f>
        <v/>
      </c>
      <c r="AX2868" s="35">
        <f>INDEX(AX$297:AX$313,$E2868)*$D2868</f>
        <v/>
      </c>
      <c r="AY2868" s="35">
        <f>INDEX(AY$297:AY$313,$E2868)*$D2868</f>
        <v/>
      </c>
      <c r="AZ2868" s="35">
        <f>INDEX(AZ$297:AZ$313,$E2868)*$D2868</f>
        <v/>
      </c>
      <c r="BA2868" s="42">
        <f>SHADOWGJ(INDEX(BA$297:BA$313,$E2868),$D2868)</f>
        <v/>
      </c>
    </row>
    <row r="2869" hidden="1" outlineLevel="2">
      <c r="A2869" s="14" t="inlineStr">
        <is>
          <t>shp</t>
        </is>
      </c>
      <c r="B2869" s="14" t="inlineStr">
        <is>
          <t>nga</t>
        </is>
      </c>
      <c r="C2869" s="14" t="inlineStr">
        <is>
          <t>ftr</t>
        </is>
      </c>
      <c r="D2869" s="35">
        <f>INDEX(Inputs!$W$5:$W$132,MATCH($B2869&amp;"|"&amp;$C2869,Inputs!$A$5:$A$132,0))</f>
        <v/>
      </c>
      <c r="E2869" s="35">
        <f>INDEX(Inputs!$M$5:$M$132,MATCH($B2869&amp;"|"&amp;$C2869,Inputs!$A$5:$A$132,0))</f>
        <v/>
      </c>
      <c r="F2869" s="39" t="n"/>
      <c r="G2869" s="39" t="n"/>
      <c r="H2869" s="14">
        <f>INDEX(VarLab,MATCH($A2869,VarKey,0))&amp;INDEX(MemLab,MATCH($C2869&amp;"|"&amp;$B2869,MemKey,0))</f>
        <v/>
      </c>
      <c r="I2869" s="14">
        <f>INDEX(VarUnit,MATCH($A2869,VarKey,0))</f>
        <v/>
      </c>
      <c r="J2869" s="14">
        <f>INDEX(VarSrc,MATCH($A2869,VarKey,0))</f>
        <v/>
      </c>
      <c r="K2869" s="11">
        <f>CodePrefix&amp;$A2869&amp;IF($C2869="","","."&amp;$C2869&amp;"."&amp;$B2869)&amp;INDEX(VarEnd,MATCH($A2869,VarKey,0))&amp;K$5</f>
        <v/>
      </c>
      <c r="L2869" s="40">
        <f>INDEX(L$297:L$313,$E2869)*$D2869</f>
        <v/>
      </c>
      <c r="M2869" s="35">
        <f>INDEX(M$297:M$313,$E2869)*$D2869</f>
        <v/>
      </c>
      <c r="N2869" s="35">
        <f>INDEX(N$297:N$313,$E2869)*$D2869</f>
        <v/>
      </c>
      <c r="O2869" s="35">
        <f>INDEX(O$297:O$313,$E2869)*$D2869</f>
        <v/>
      </c>
      <c r="P2869" s="35">
        <f>INDEX(P$297:P$313,$E2869)*$D2869</f>
        <v/>
      </c>
      <c r="Q2869" s="35">
        <f>INDEX(Q$297:Q$313,$E2869)*$D2869</f>
        <v/>
      </c>
      <c r="R2869" s="35">
        <f>INDEX(R$297:R$313,$E2869)*$D2869</f>
        <v/>
      </c>
      <c r="S2869" s="35">
        <f>INDEX(S$297:S$313,$E2869)*$D2869</f>
        <v/>
      </c>
      <c r="T2869" s="35">
        <f>INDEX(T$297:T$313,$E2869)*$D2869</f>
        <v/>
      </c>
      <c r="U2869" s="35">
        <f>INDEX(U$297:U$313,$E2869)*$D2869</f>
        <v/>
      </c>
      <c r="V2869" s="35">
        <f>INDEX(V$297:V$313,$E2869)*$D2869</f>
        <v/>
      </c>
      <c r="W2869" s="35">
        <f>INDEX(W$297:W$313,$E2869)*$D2869</f>
        <v/>
      </c>
      <c r="X2869" s="35">
        <f>INDEX(X$297:X$313,$E2869)*$D2869</f>
        <v/>
      </c>
      <c r="Y2869" s="35">
        <f>INDEX(Y$297:Y$313,$E2869)*$D2869</f>
        <v/>
      </c>
      <c r="Z2869" s="35">
        <f>INDEX(Z$297:Z$313,$E2869)*$D2869</f>
        <v/>
      </c>
      <c r="AA2869" s="35">
        <f>INDEX(AA$297:AA$313,$E2869)*$D2869</f>
        <v/>
      </c>
      <c r="AB2869" s="35">
        <f>INDEX(AB$297:AB$313,$E2869)*$D2869</f>
        <v/>
      </c>
      <c r="AC2869" s="35">
        <f>INDEX(AC$297:AC$313,$E2869)*$D2869</f>
        <v/>
      </c>
      <c r="AD2869" s="35">
        <f>INDEX(AD$297:AD$313,$E2869)*$D2869</f>
        <v/>
      </c>
      <c r="AE2869" s="42">
        <f>SHADOWGJ(INDEX(AE$297:AE$313,$E2869),$D2869)</f>
        <v/>
      </c>
      <c r="AG2869" s="11">
        <f>CodePrefix&amp;$A2869&amp;IF($C2869="","","."&amp;$C2869&amp;"."&amp;$B2869)&amp;INDEX(VarEnd,MATCH($A2869,VarKey,0))&amp;AG$5</f>
        <v/>
      </c>
      <c r="AH2869" s="40">
        <f>INDEX(AH$297:AH$313,$E2869)*$D2869</f>
        <v/>
      </c>
      <c r="AI2869" s="35">
        <f>INDEX(AI$297:AI$313,$E2869)*$D2869</f>
        <v/>
      </c>
      <c r="AJ2869" s="35">
        <f>INDEX(AJ$297:AJ$313,$E2869)*$D2869</f>
        <v/>
      </c>
      <c r="AK2869" s="35">
        <f>INDEX(AK$297:AK$313,$E2869)*$D2869</f>
        <v/>
      </c>
      <c r="AL2869" s="35">
        <f>INDEX(AL$297:AL$313,$E2869)*$D2869</f>
        <v/>
      </c>
      <c r="AM2869" s="35">
        <f>INDEX(AM$297:AM$313,$E2869)*$D2869</f>
        <v/>
      </c>
      <c r="AN2869" s="35">
        <f>INDEX(AN$297:AN$313,$E2869)*$D2869</f>
        <v/>
      </c>
      <c r="AO2869" s="35">
        <f>INDEX(AO$297:AO$313,$E2869)*$D2869</f>
        <v/>
      </c>
      <c r="AP2869" s="35">
        <f>INDEX(AP$297:AP$313,$E2869)*$D2869</f>
        <v/>
      </c>
      <c r="AQ2869" s="35">
        <f>INDEX(AQ$297:AQ$313,$E2869)*$D2869</f>
        <v/>
      </c>
      <c r="AR2869" s="35">
        <f>INDEX(AR$297:AR$313,$E2869)*$D2869</f>
        <v/>
      </c>
      <c r="AS2869" s="35">
        <f>INDEX(AS$297:AS$313,$E2869)*$D2869</f>
        <v/>
      </c>
      <c r="AT2869" s="35">
        <f>INDEX(AT$297:AT$313,$E2869)*$D2869</f>
        <v/>
      </c>
      <c r="AU2869" s="35">
        <f>INDEX(AU$297:AU$313,$E2869)*$D2869</f>
        <v/>
      </c>
      <c r="AV2869" s="35">
        <f>INDEX(AV$297:AV$313,$E2869)*$D2869</f>
        <v/>
      </c>
      <c r="AW2869" s="35">
        <f>INDEX(AW$297:AW$313,$E2869)*$D2869</f>
        <v/>
      </c>
      <c r="AX2869" s="35">
        <f>INDEX(AX$297:AX$313,$E2869)*$D2869</f>
        <v/>
      </c>
      <c r="AY2869" s="35">
        <f>INDEX(AY$297:AY$313,$E2869)*$D2869</f>
        <v/>
      </c>
      <c r="AZ2869" s="35">
        <f>INDEX(AZ$297:AZ$313,$E2869)*$D2869</f>
        <v/>
      </c>
      <c r="BA2869" s="42">
        <f>SHADOWGJ(INDEX(BA$297:BA$313,$E2869),$D2869)</f>
        <v/>
      </c>
    </row>
    <row r="2870" hidden="1" outlineLevel="2">
      <c r="A2870" s="14" t="inlineStr">
        <is>
          <t>shp</t>
        </is>
      </c>
      <c r="B2870" s="14" t="inlineStr">
        <is>
          <t>gso</t>
        </is>
      </c>
      <c r="C2870" s="14" t="inlineStr">
        <is>
          <t>ftr</t>
        </is>
      </c>
      <c r="D2870" s="35">
        <f>INDEX(Inputs!$W$5:$W$132,MATCH($B2870&amp;"|"&amp;$C2870,Inputs!$A$5:$A$132,0))</f>
        <v/>
      </c>
      <c r="E2870" s="35">
        <f>INDEX(Inputs!$M$5:$M$132,MATCH($B2870&amp;"|"&amp;$C2870,Inputs!$A$5:$A$132,0))</f>
        <v/>
      </c>
      <c r="F2870" s="39" t="n"/>
      <c r="G2870" s="39" t="n"/>
      <c r="H2870" s="14">
        <f>INDEX(VarLab,MATCH($A2870,VarKey,0))&amp;INDEX(MemLab,MATCH($C2870&amp;"|"&amp;$B2870,MemKey,0))</f>
        <v/>
      </c>
      <c r="I2870" s="14">
        <f>INDEX(VarUnit,MATCH($A2870,VarKey,0))</f>
        <v/>
      </c>
      <c r="J2870" s="14">
        <f>INDEX(VarSrc,MATCH($A2870,VarKey,0))</f>
        <v/>
      </c>
      <c r="K2870" s="11">
        <f>CodePrefix&amp;$A2870&amp;IF($C2870="","","."&amp;$C2870&amp;"."&amp;$B2870)&amp;INDEX(VarEnd,MATCH($A2870,VarKey,0))&amp;K$5</f>
        <v/>
      </c>
      <c r="L2870" s="40">
        <f>INDEX(L$297:L$313,$E2870)*$D2870</f>
        <v/>
      </c>
      <c r="M2870" s="35">
        <f>INDEX(M$297:M$313,$E2870)*$D2870</f>
        <v/>
      </c>
      <c r="N2870" s="35">
        <f>INDEX(N$297:N$313,$E2870)*$D2870</f>
        <v/>
      </c>
      <c r="O2870" s="35">
        <f>INDEX(O$297:O$313,$E2870)*$D2870</f>
        <v/>
      </c>
      <c r="P2870" s="35">
        <f>INDEX(P$297:P$313,$E2870)*$D2870</f>
        <v/>
      </c>
      <c r="Q2870" s="35">
        <f>INDEX(Q$297:Q$313,$E2870)*$D2870</f>
        <v/>
      </c>
      <c r="R2870" s="35">
        <f>INDEX(R$297:R$313,$E2870)*$D2870</f>
        <v/>
      </c>
      <c r="S2870" s="35">
        <f>INDEX(S$297:S$313,$E2870)*$D2870</f>
        <v/>
      </c>
      <c r="T2870" s="35">
        <f>INDEX(T$297:T$313,$E2870)*$D2870</f>
        <v/>
      </c>
      <c r="U2870" s="35">
        <f>INDEX(U$297:U$313,$E2870)*$D2870</f>
        <v/>
      </c>
      <c r="V2870" s="35">
        <f>INDEX(V$297:V$313,$E2870)*$D2870</f>
        <v/>
      </c>
      <c r="W2870" s="35">
        <f>INDEX(W$297:W$313,$E2870)*$D2870</f>
        <v/>
      </c>
      <c r="X2870" s="35">
        <f>INDEX(X$297:X$313,$E2870)*$D2870</f>
        <v/>
      </c>
      <c r="Y2870" s="35">
        <f>INDEX(Y$297:Y$313,$E2870)*$D2870</f>
        <v/>
      </c>
      <c r="Z2870" s="35">
        <f>INDEX(Z$297:Z$313,$E2870)*$D2870</f>
        <v/>
      </c>
      <c r="AA2870" s="35">
        <f>INDEX(AA$297:AA$313,$E2870)*$D2870</f>
        <v/>
      </c>
      <c r="AB2870" s="35">
        <f>INDEX(AB$297:AB$313,$E2870)*$D2870</f>
        <v/>
      </c>
      <c r="AC2870" s="35">
        <f>INDEX(AC$297:AC$313,$E2870)*$D2870</f>
        <v/>
      </c>
      <c r="AD2870" s="35">
        <f>INDEX(AD$297:AD$313,$E2870)*$D2870</f>
        <v/>
      </c>
      <c r="AE2870" s="42">
        <f>SHADOWGJ(INDEX(AE$297:AE$313,$E2870),$D2870)</f>
        <v/>
      </c>
      <c r="AG2870" s="11">
        <f>CodePrefix&amp;$A2870&amp;IF($C2870="","","."&amp;$C2870&amp;"."&amp;$B2870)&amp;INDEX(VarEnd,MATCH($A2870,VarKey,0))&amp;AG$5</f>
        <v/>
      </c>
      <c r="AH2870" s="40">
        <f>INDEX(AH$297:AH$313,$E2870)*$D2870</f>
        <v/>
      </c>
      <c r="AI2870" s="35">
        <f>INDEX(AI$297:AI$313,$E2870)*$D2870</f>
        <v/>
      </c>
      <c r="AJ2870" s="35">
        <f>INDEX(AJ$297:AJ$313,$E2870)*$D2870</f>
        <v/>
      </c>
      <c r="AK2870" s="35">
        <f>INDEX(AK$297:AK$313,$E2870)*$D2870</f>
        <v/>
      </c>
      <c r="AL2870" s="35">
        <f>INDEX(AL$297:AL$313,$E2870)*$D2870</f>
        <v/>
      </c>
      <c r="AM2870" s="35">
        <f>INDEX(AM$297:AM$313,$E2870)*$D2870</f>
        <v/>
      </c>
      <c r="AN2870" s="35">
        <f>INDEX(AN$297:AN$313,$E2870)*$D2870</f>
        <v/>
      </c>
      <c r="AO2870" s="35">
        <f>INDEX(AO$297:AO$313,$E2870)*$D2870</f>
        <v/>
      </c>
      <c r="AP2870" s="35">
        <f>INDEX(AP$297:AP$313,$E2870)*$D2870</f>
        <v/>
      </c>
      <c r="AQ2870" s="35">
        <f>INDEX(AQ$297:AQ$313,$E2870)*$D2870</f>
        <v/>
      </c>
      <c r="AR2870" s="35">
        <f>INDEX(AR$297:AR$313,$E2870)*$D2870</f>
        <v/>
      </c>
      <c r="AS2870" s="35">
        <f>INDEX(AS$297:AS$313,$E2870)*$D2870</f>
        <v/>
      </c>
      <c r="AT2870" s="35">
        <f>INDEX(AT$297:AT$313,$E2870)*$D2870</f>
        <v/>
      </c>
      <c r="AU2870" s="35">
        <f>INDEX(AU$297:AU$313,$E2870)*$D2870</f>
        <v/>
      </c>
      <c r="AV2870" s="35">
        <f>INDEX(AV$297:AV$313,$E2870)*$D2870</f>
        <v/>
      </c>
      <c r="AW2870" s="35">
        <f>INDEX(AW$297:AW$313,$E2870)*$D2870</f>
        <v/>
      </c>
      <c r="AX2870" s="35">
        <f>INDEX(AX$297:AX$313,$E2870)*$D2870</f>
        <v/>
      </c>
      <c r="AY2870" s="35">
        <f>INDEX(AY$297:AY$313,$E2870)*$D2870</f>
        <v/>
      </c>
      <c r="AZ2870" s="35">
        <f>INDEX(AZ$297:AZ$313,$E2870)*$D2870</f>
        <v/>
      </c>
      <c r="BA2870" s="42">
        <f>SHADOWGJ(INDEX(BA$297:BA$313,$E2870),$D2870)</f>
        <v/>
      </c>
    </row>
    <row r="2871" hidden="1" outlineLevel="2">
      <c r="A2871" s="14" t="inlineStr">
        <is>
          <t>shp</t>
        </is>
      </c>
      <c r="B2871" s="14" t="inlineStr">
        <is>
          <t>die</t>
        </is>
      </c>
      <c r="C2871" s="14" t="inlineStr">
        <is>
          <t>ftr</t>
        </is>
      </c>
      <c r="D2871" s="35">
        <f>INDEX(Inputs!$W$5:$W$132,MATCH($B2871&amp;"|"&amp;$C2871,Inputs!$A$5:$A$132,0))</f>
        <v/>
      </c>
      <c r="E2871" s="35">
        <f>INDEX(Inputs!$M$5:$M$132,MATCH($B2871&amp;"|"&amp;$C2871,Inputs!$A$5:$A$132,0))</f>
        <v/>
      </c>
      <c r="F2871" s="39" t="n"/>
      <c r="G2871" s="39" t="n"/>
      <c r="H2871" s="14">
        <f>INDEX(VarLab,MATCH($A2871,VarKey,0))&amp;INDEX(MemLab,MATCH($C2871&amp;"|"&amp;$B2871,MemKey,0))</f>
        <v/>
      </c>
      <c r="I2871" s="14">
        <f>INDEX(VarUnit,MATCH($A2871,VarKey,0))</f>
        <v/>
      </c>
      <c r="J2871" s="14">
        <f>INDEX(VarSrc,MATCH($A2871,VarKey,0))</f>
        <v/>
      </c>
      <c r="K2871" s="11">
        <f>CodePrefix&amp;$A2871&amp;IF($C2871="","","."&amp;$C2871&amp;"."&amp;$B2871)&amp;INDEX(VarEnd,MATCH($A2871,VarKey,0))&amp;K$5</f>
        <v/>
      </c>
      <c r="L2871" s="40">
        <f>INDEX(L$297:L$313,$E2871)*$D2871</f>
        <v/>
      </c>
      <c r="M2871" s="35">
        <f>INDEX(M$297:M$313,$E2871)*$D2871</f>
        <v/>
      </c>
      <c r="N2871" s="35">
        <f>INDEX(N$297:N$313,$E2871)*$D2871</f>
        <v/>
      </c>
      <c r="O2871" s="35">
        <f>INDEX(O$297:O$313,$E2871)*$D2871</f>
        <v/>
      </c>
      <c r="P2871" s="35">
        <f>INDEX(P$297:P$313,$E2871)*$D2871</f>
        <v/>
      </c>
      <c r="Q2871" s="35">
        <f>INDEX(Q$297:Q$313,$E2871)*$D2871</f>
        <v/>
      </c>
      <c r="R2871" s="35">
        <f>INDEX(R$297:R$313,$E2871)*$D2871</f>
        <v/>
      </c>
      <c r="S2871" s="35">
        <f>INDEX(S$297:S$313,$E2871)*$D2871</f>
        <v/>
      </c>
      <c r="T2871" s="35">
        <f>INDEX(T$297:T$313,$E2871)*$D2871</f>
        <v/>
      </c>
      <c r="U2871" s="35">
        <f>INDEX(U$297:U$313,$E2871)*$D2871</f>
        <v/>
      </c>
      <c r="V2871" s="35">
        <f>INDEX(V$297:V$313,$E2871)*$D2871</f>
        <v/>
      </c>
      <c r="W2871" s="35">
        <f>INDEX(W$297:W$313,$E2871)*$D2871</f>
        <v/>
      </c>
      <c r="X2871" s="35">
        <f>INDEX(X$297:X$313,$E2871)*$D2871</f>
        <v/>
      </c>
      <c r="Y2871" s="35">
        <f>INDEX(Y$297:Y$313,$E2871)*$D2871</f>
        <v/>
      </c>
      <c r="Z2871" s="35">
        <f>INDEX(Z$297:Z$313,$E2871)*$D2871</f>
        <v/>
      </c>
      <c r="AA2871" s="35">
        <f>INDEX(AA$297:AA$313,$E2871)*$D2871</f>
        <v/>
      </c>
      <c r="AB2871" s="35">
        <f>INDEX(AB$297:AB$313,$E2871)*$D2871</f>
        <v/>
      </c>
      <c r="AC2871" s="35">
        <f>INDEX(AC$297:AC$313,$E2871)*$D2871</f>
        <v/>
      </c>
      <c r="AD2871" s="35">
        <f>INDEX(AD$297:AD$313,$E2871)*$D2871</f>
        <v/>
      </c>
      <c r="AE2871" s="42">
        <f>SHADOWGJ(INDEX(AE$297:AE$313,$E2871),$D2871)</f>
        <v/>
      </c>
      <c r="AG2871" s="11">
        <f>CodePrefix&amp;$A2871&amp;IF($C2871="","","."&amp;$C2871&amp;"."&amp;$B2871)&amp;INDEX(VarEnd,MATCH($A2871,VarKey,0))&amp;AG$5</f>
        <v/>
      </c>
      <c r="AH2871" s="40">
        <f>INDEX(AH$297:AH$313,$E2871)*$D2871</f>
        <v/>
      </c>
      <c r="AI2871" s="35">
        <f>INDEX(AI$297:AI$313,$E2871)*$D2871</f>
        <v/>
      </c>
      <c r="AJ2871" s="35">
        <f>INDEX(AJ$297:AJ$313,$E2871)*$D2871</f>
        <v/>
      </c>
      <c r="AK2871" s="35">
        <f>INDEX(AK$297:AK$313,$E2871)*$D2871</f>
        <v/>
      </c>
      <c r="AL2871" s="35">
        <f>INDEX(AL$297:AL$313,$E2871)*$D2871</f>
        <v/>
      </c>
      <c r="AM2871" s="35">
        <f>INDEX(AM$297:AM$313,$E2871)*$D2871</f>
        <v/>
      </c>
      <c r="AN2871" s="35">
        <f>INDEX(AN$297:AN$313,$E2871)*$D2871</f>
        <v/>
      </c>
      <c r="AO2871" s="35">
        <f>INDEX(AO$297:AO$313,$E2871)*$D2871</f>
        <v/>
      </c>
      <c r="AP2871" s="35">
        <f>INDEX(AP$297:AP$313,$E2871)*$D2871</f>
        <v/>
      </c>
      <c r="AQ2871" s="35">
        <f>INDEX(AQ$297:AQ$313,$E2871)*$D2871</f>
        <v/>
      </c>
      <c r="AR2871" s="35">
        <f>INDEX(AR$297:AR$313,$E2871)*$D2871</f>
        <v/>
      </c>
      <c r="AS2871" s="35">
        <f>INDEX(AS$297:AS$313,$E2871)*$D2871</f>
        <v/>
      </c>
      <c r="AT2871" s="35">
        <f>INDEX(AT$297:AT$313,$E2871)*$D2871</f>
        <v/>
      </c>
      <c r="AU2871" s="35">
        <f>INDEX(AU$297:AU$313,$E2871)*$D2871</f>
        <v/>
      </c>
      <c r="AV2871" s="35">
        <f>INDEX(AV$297:AV$313,$E2871)*$D2871</f>
        <v/>
      </c>
      <c r="AW2871" s="35">
        <f>INDEX(AW$297:AW$313,$E2871)*$D2871</f>
        <v/>
      </c>
      <c r="AX2871" s="35">
        <f>INDEX(AX$297:AX$313,$E2871)*$D2871</f>
        <v/>
      </c>
      <c r="AY2871" s="35">
        <f>INDEX(AY$297:AY$313,$E2871)*$D2871</f>
        <v/>
      </c>
      <c r="AZ2871" s="35">
        <f>INDEX(AZ$297:AZ$313,$E2871)*$D2871</f>
        <v/>
      </c>
      <c r="BA2871" s="42">
        <f>SHADOWGJ(INDEX(BA$297:BA$313,$E2871),$D2871)</f>
        <v/>
      </c>
    </row>
    <row r="2872" hidden="1" outlineLevel="2">
      <c r="A2872" s="14" t="inlineStr">
        <is>
          <t>shp</t>
        </is>
      </c>
      <c r="B2872" s="14" t="inlineStr">
        <is>
          <t>lpg</t>
        </is>
      </c>
      <c r="C2872" s="14" t="inlineStr">
        <is>
          <t>ftr</t>
        </is>
      </c>
      <c r="D2872" s="35">
        <f>INDEX(Inputs!$W$5:$W$132,MATCH($B2872&amp;"|"&amp;$C2872,Inputs!$A$5:$A$132,0))</f>
        <v/>
      </c>
      <c r="E2872" s="35">
        <f>INDEX(Inputs!$M$5:$M$132,MATCH($B2872&amp;"|"&amp;$C2872,Inputs!$A$5:$A$132,0))</f>
        <v/>
      </c>
      <c r="F2872" s="39" t="n"/>
      <c r="G2872" s="39" t="n"/>
      <c r="H2872" s="14">
        <f>INDEX(VarLab,MATCH($A2872,VarKey,0))&amp;INDEX(MemLab,MATCH($C2872&amp;"|"&amp;$B2872,MemKey,0))</f>
        <v/>
      </c>
      <c r="I2872" s="14">
        <f>INDEX(VarUnit,MATCH($A2872,VarKey,0))</f>
        <v/>
      </c>
      <c r="J2872" s="14">
        <f>INDEX(VarSrc,MATCH($A2872,VarKey,0))</f>
        <v/>
      </c>
      <c r="K2872" s="11">
        <f>CodePrefix&amp;$A2872&amp;IF($C2872="","","."&amp;$C2872&amp;"."&amp;$B2872)&amp;INDEX(VarEnd,MATCH($A2872,VarKey,0))&amp;K$5</f>
        <v/>
      </c>
      <c r="L2872" s="40">
        <f>INDEX(L$297:L$313,$E2872)*$D2872</f>
        <v/>
      </c>
      <c r="M2872" s="35">
        <f>INDEX(M$297:M$313,$E2872)*$D2872</f>
        <v/>
      </c>
      <c r="N2872" s="35">
        <f>INDEX(N$297:N$313,$E2872)*$D2872</f>
        <v/>
      </c>
      <c r="O2872" s="35">
        <f>INDEX(O$297:O$313,$E2872)*$D2872</f>
        <v/>
      </c>
      <c r="P2872" s="35">
        <f>INDEX(P$297:P$313,$E2872)*$D2872</f>
        <v/>
      </c>
      <c r="Q2872" s="35">
        <f>INDEX(Q$297:Q$313,$E2872)*$D2872</f>
        <v/>
      </c>
      <c r="R2872" s="35">
        <f>INDEX(R$297:R$313,$E2872)*$D2872</f>
        <v/>
      </c>
      <c r="S2872" s="35">
        <f>INDEX(S$297:S$313,$E2872)*$D2872</f>
        <v/>
      </c>
      <c r="T2872" s="35">
        <f>INDEX(T$297:T$313,$E2872)*$D2872</f>
        <v/>
      </c>
      <c r="U2872" s="35">
        <f>INDEX(U$297:U$313,$E2872)*$D2872</f>
        <v/>
      </c>
      <c r="V2872" s="35">
        <f>INDEX(V$297:V$313,$E2872)*$D2872</f>
        <v/>
      </c>
      <c r="W2872" s="35">
        <f>INDEX(W$297:W$313,$E2872)*$D2872</f>
        <v/>
      </c>
      <c r="X2872" s="35">
        <f>INDEX(X$297:X$313,$E2872)*$D2872</f>
        <v/>
      </c>
      <c r="Y2872" s="35">
        <f>INDEX(Y$297:Y$313,$E2872)*$D2872</f>
        <v/>
      </c>
      <c r="Z2872" s="35">
        <f>INDEX(Z$297:Z$313,$E2872)*$D2872</f>
        <v/>
      </c>
      <c r="AA2872" s="35">
        <f>INDEX(AA$297:AA$313,$E2872)*$D2872</f>
        <v/>
      </c>
      <c r="AB2872" s="35">
        <f>INDEX(AB$297:AB$313,$E2872)*$D2872</f>
        <v/>
      </c>
      <c r="AC2872" s="35">
        <f>INDEX(AC$297:AC$313,$E2872)*$D2872</f>
        <v/>
      </c>
      <c r="AD2872" s="35">
        <f>INDEX(AD$297:AD$313,$E2872)*$D2872</f>
        <v/>
      </c>
      <c r="AE2872" s="42">
        <f>SHADOWGJ(INDEX(AE$297:AE$313,$E2872),$D2872)</f>
        <v/>
      </c>
      <c r="AG2872" s="11">
        <f>CodePrefix&amp;$A2872&amp;IF($C2872="","","."&amp;$C2872&amp;"."&amp;$B2872)&amp;INDEX(VarEnd,MATCH($A2872,VarKey,0))&amp;AG$5</f>
        <v/>
      </c>
      <c r="AH2872" s="40">
        <f>INDEX(AH$297:AH$313,$E2872)*$D2872</f>
        <v/>
      </c>
      <c r="AI2872" s="35">
        <f>INDEX(AI$297:AI$313,$E2872)*$D2872</f>
        <v/>
      </c>
      <c r="AJ2872" s="35">
        <f>INDEX(AJ$297:AJ$313,$E2872)*$D2872</f>
        <v/>
      </c>
      <c r="AK2872" s="35">
        <f>INDEX(AK$297:AK$313,$E2872)*$D2872</f>
        <v/>
      </c>
      <c r="AL2872" s="35">
        <f>INDEX(AL$297:AL$313,$E2872)*$D2872</f>
        <v/>
      </c>
      <c r="AM2872" s="35">
        <f>INDEX(AM$297:AM$313,$E2872)*$D2872</f>
        <v/>
      </c>
      <c r="AN2872" s="35">
        <f>INDEX(AN$297:AN$313,$E2872)*$D2872</f>
        <v/>
      </c>
      <c r="AO2872" s="35">
        <f>INDEX(AO$297:AO$313,$E2872)*$D2872</f>
        <v/>
      </c>
      <c r="AP2872" s="35">
        <f>INDEX(AP$297:AP$313,$E2872)*$D2872</f>
        <v/>
      </c>
      <c r="AQ2872" s="35">
        <f>INDEX(AQ$297:AQ$313,$E2872)*$D2872</f>
        <v/>
      </c>
      <c r="AR2872" s="35">
        <f>INDEX(AR$297:AR$313,$E2872)*$D2872</f>
        <v/>
      </c>
      <c r="AS2872" s="35">
        <f>INDEX(AS$297:AS$313,$E2872)*$D2872</f>
        <v/>
      </c>
      <c r="AT2872" s="35">
        <f>INDEX(AT$297:AT$313,$E2872)*$D2872</f>
        <v/>
      </c>
      <c r="AU2872" s="35">
        <f>INDEX(AU$297:AU$313,$E2872)*$D2872</f>
        <v/>
      </c>
      <c r="AV2872" s="35">
        <f>INDEX(AV$297:AV$313,$E2872)*$D2872</f>
        <v/>
      </c>
      <c r="AW2872" s="35">
        <f>INDEX(AW$297:AW$313,$E2872)*$D2872</f>
        <v/>
      </c>
      <c r="AX2872" s="35">
        <f>INDEX(AX$297:AX$313,$E2872)*$D2872</f>
        <v/>
      </c>
      <c r="AY2872" s="35">
        <f>INDEX(AY$297:AY$313,$E2872)*$D2872</f>
        <v/>
      </c>
      <c r="AZ2872" s="35">
        <f>INDEX(AZ$297:AZ$313,$E2872)*$D2872</f>
        <v/>
      </c>
      <c r="BA2872" s="42">
        <f>SHADOWGJ(INDEX(BA$297:BA$313,$E2872),$D2872)</f>
        <v/>
      </c>
    </row>
    <row r="2873" hidden="1" outlineLevel="2">
      <c r="A2873" s="14" t="inlineStr">
        <is>
          <t>shp</t>
        </is>
      </c>
      <c r="B2873" s="14" t="inlineStr">
        <is>
          <t>ker</t>
        </is>
      </c>
      <c r="C2873" s="14" t="inlineStr">
        <is>
          <t>ftr</t>
        </is>
      </c>
      <c r="D2873" s="35">
        <f>INDEX(Inputs!$W$5:$W$132,MATCH($B2873&amp;"|"&amp;$C2873,Inputs!$A$5:$A$132,0))</f>
        <v/>
      </c>
      <c r="E2873" s="35">
        <f>INDEX(Inputs!$M$5:$M$132,MATCH($B2873&amp;"|"&amp;$C2873,Inputs!$A$5:$A$132,0))</f>
        <v/>
      </c>
      <c r="F2873" s="39" t="n"/>
      <c r="G2873" s="39" t="n"/>
      <c r="H2873" s="14">
        <f>INDEX(VarLab,MATCH($A2873,VarKey,0))&amp;INDEX(MemLab,MATCH($C2873&amp;"|"&amp;$B2873,MemKey,0))</f>
        <v/>
      </c>
      <c r="I2873" s="14">
        <f>INDEX(VarUnit,MATCH($A2873,VarKey,0))</f>
        <v/>
      </c>
      <c r="J2873" s="14">
        <f>INDEX(VarSrc,MATCH($A2873,VarKey,0))</f>
        <v/>
      </c>
      <c r="K2873" s="11">
        <f>CodePrefix&amp;$A2873&amp;IF($C2873="","","."&amp;$C2873&amp;"."&amp;$B2873)&amp;INDEX(VarEnd,MATCH($A2873,VarKey,0))&amp;K$5</f>
        <v/>
      </c>
      <c r="L2873" s="40">
        <f>INDEX(L$297:L$313,$E2873)*$D2873</f>
        <v/>
      </c>
      <c r="M2873" s="35">
        <f>INDEX(M$297:M$313,$E2873)*$D2873</f>
        <v/>
      </c>
      <c r="N2873" s="35">
        <f>INDEX(N$297:N$313,$E2873)*$D2873</f>
        <v/>
      </c>
      <c r="O2873" s="35">
        <f>INDEX(O$297:O$313,$E2873)*$D2873</f>
        <v/>
      </c>
      <c r="P2873" s="35">
        <f>INDEX(P$297:P$313,$E2873)*$D2873</f>
        <v/>
      </c>
      <c r="Q2873" s="35">
        <f>INDEX(Q$297:Q$313,$E2873)*$D2873</f>
        <v/>
      </c>
      <c r="R2873" s="35">
        <f>INDEX(R$297:R$313,$E2873)*$D2873</f>
        <v/>
      </c>
      <c r="S2873" s="35">
        <f>INDEX(S$297:S$313,$E2873)*$D2873</f>
        <v/>
      </c>
      <c r="T2873" s="35">
        <f>INDEX(T$297:T$313,$E2873)*$D2873</f>
        <v/>
      </c>
      <c r="U2873" s="35">
        <f>INDEX(U$297:U$313,$E2873)*$D2873</f>
        <v/>
      </c>
      <c r="V2873" s="35">
        <f>INDEX(V$297:V$313,$E2873)*$D2873</f>
        <v/>
      </c>
      <c r="W2873" s="35">
        <f>INDEX(W$297:W$313,$E2873)*$D2873</f>
        <v/>
      </c>
      <c r="X2873" s="35">
        <f>INDEX(X$297:X$313,$E2873)*$D2873</f>
        <v/>
      </c>
      <c r="Y2873" s="35">
        <f>INDEX(Y$297:Y$313,$E2873)*$D2873</f>
        <v/>
      </c>
      <c r="Z2873" s="35">
        <f>INDEX(Z$297:Z$313,$E2873)*$D2873</f>
        <v/>
      </c>
      <c r="AA2873" s="35">
        <f>INDEX(AA$297:AA$313,$E2873)*$D2873</f>
        <v/>
      </c>
      <c r="AB2873" s="35">
        <f>INDEX(AB$297:AB$313,$E2873)*$D2873</f>
        <v/>
      </c>
      <c r="AC2873" s="35">
        <f>INDEX(AC$297:AC$313,$E2873)*$D2873</f>
        <v/>
      </c>
      <c r="AD2873" s="35">
        <f>INDEX(AD$297:AD$313,$E2873)*$D2873</f>
        <v/>
      </c>
      <c r="AE2873" s="42">
        <f>SHADOWGJ(INDEX(AE$297:AE$313,$E2873),$D2873)</f>
        <v/>
      </c>
      <c r="AG2873" s="11">
        <f>CodePrefix&amp;$A2873&amp;IF($C2873="","","."&amp;$C2873&amp;"."&amp;$B2873)&amp;INDEX(VarEnd,MATCH($A2873,VarKey,0))&amp;AG$5</f>
        <v/>
      </c>
      <c r="AH2873" s="40">
        <f>INDEX(AH$297:AH$313,$E2873)*$D2873</f>
        <v/>
      </c>
      <c r="AI2873" s="35">
        <f>INDEX(AI$297:AI$313,$E2873)*$D2873</f>
        <v/>
      </c>
      <c r="AJ2873" s="35">
        <f>INDEX(AJ$297:AJ$313,$E2873)*$D2873</f>
        <v/>
      </c>
      <c r="AK2873" s="35">
        <f>INDEX(AK$297:AK$313,$E2873)*$D2873</f>
        <v/>
      </c>
      <c r="AL2873" s="35">
        <f>INDEX(AL$297:AL$313,$E2873)*$D2873</f>
        <v/>
      </c>
      <c r="AM2873" s="35">
        <f>INDEX(AM$297:AM$313,$E2873)*$D2873</f>
        <v/>
      </c>
      <c r="AN2873" s="35">
        <f>INDEX(AN$297:AN$313,$E2873)*$D2873</f>
        <v/>
      </c>
      <c r="AO2873" s="35">
        <f>INDEX(AO$297:AO$313,$E2873)*$D2873</f>
        <v/>
      </c>
      <c r="AP2873" s="35">
        <f>INDEX(AP$297:AP$313,$E2873)*$D2873</f>
        <v/>
      </c>
      <c r="AQ2873" s="35">
        <f>INDEX(AQ$297:AQ$313,$E2873)*$D2873</f>
        <v/>
      </c>
      <c r="AR2873" s="35">
        <f>INDEX(AR$297:AR$313,$E2873)*$D2873</f>
        <v/>
      </c>
      <c r="AS2873" s="35">
        <f>INDEX(AS$297:AS$313,$E2873)*$D2873</f>
        <v/>
      </c>
      <c r="AT2873" s="35">
        <f>INDEX(AT$297:AT$313,$E2873)*$D2873</f>
        <v/>
      </c>
      <c r="AU2873" s="35">
        <f>INDEX(AU$297:AU$313,$E2873)*$D2873</f>
        <v/>
      </c>
      <c r="AV2873" s="35">
        <f>INDEX(AV$297:AV$313,$E2873)*$D2873</f>
        <v/>
      </c>
      <c r="AW2873" s="35">
        <f>INDEX(AW$297:AW$313,$E2873)*$D2873</f>
        <v/>
      </c>
      <c r="AX2873" s="35">
        <f>INDEX(AX$297:AX$313,$E2873)*$D2873</f>
        <v/>
      </c>
      <c r="AY2873" s="35">
        <f>INDEX(AY$297:AY$313,$E2873)*$D2873</f>
        <v/>
      </c>
      <c r="AZ2873" s="35">
        <f>INDEX(AZ$297:AZ$313,$E2873)*$D2873</f>
        <v/>
      </c>
      <c r="BA2873" s="42">
        <f>SHADOWGJ(INDEX(BA$297:BA$313,$E2873),$D2873)</f>
        <v/>
      </c>
    </row>
    <row r="2874" hidden="1" outlineLevel="2">
      <c r="A2874" s="14" t="inlineStr">
        <is>
          <t>shp</t>
        </is>
      </c>
      <c r="B2874" s="14" t="inlineStr">
        <is>
          <t>oop</t>
        </is>
      </c>
      <c r="C2874" s="14" t="inlineStr">
        <is>
          <t>ftr</t>
        </is>
      </c>
      <c r="D2874" s="35">
        <f>INDEX(Inputs!$W$5:$W$132,MATCH($B2874&amp;"|"&amp;$C2874,Inputs!$A$5:$A$132,0))</f>
        <v/>
      </c>
      <c r="E2874" s="35">
        <f>INDEX(Inputs!$M$5:$M$132,MATCH($B2874&amp;"|"&amp;$C2874,Inputs!$A$5:$A$132,0))</f>
        <v/>
      </c>
      <c r="F2874" s="39" t="n"/>
      <c r="G2874" s="39" t="n"/>
      <c r="H2874" s="14">
        <f>INDEX(VarLab,MATCH($A2874,VarKey,0))&amp;INDEX(MemLab,MATCH($C2874&amp;"|"&amp;$B2874,MemKey,0))</f>
        <v/>
      </c>
      <c r="I2874" s="14">
        <f>INDEX(VarUnit,MATCH($A2874,VarKey,0))</f>
        <v/>
      </c>
      <c r="J2874" s="14">
        <f>INDEX(VarSrc,MATCH($A2874,VarKey,0))</f>
        <v/>
      </c>
      <c r="K2874" s="11">
        <f>CodePrefix&amp;$A2874&amp;IF($C2874="","","."&amp;$C2874&amp;"."&amp;$B2874)&amp;INDEX(VarEnd,MATCH($A2874,VarKey,0))&amp;K$5</f>
        <v/>
      </c>
      <c r="L2874" s="40">
        <f>INDEX(L$297:L$313,$E2874)*$D2874</f>
        <v/>
      </c>
      <c r="M2874" s="35">
        <f>INDEX(M$297:M$313,$E2874)*$D2874</f>
        <v/>
      </c>
      <c r="N2874" s="35">
        <f>INDEX(N$297:N$313,$E2874)*$D2874</f>
        <v/>
      </c>
      <c r="O2874" s="35">
        <f>INDEX(O$297:O$313,$E2874)*$D2874</f>
        <v/>
      </c>
      <c r="P2874" s="35">
        <f>INDEX(P$297:P$313,$E2874)*$D2874</f>
        <v/>
      </c>
      <c r="Q2874" s="35">
        <f>INDEX(Q$297:Q$313,$E2874)*$D2874</f>
        <v/>
      </c>
      <c r="R2874" s="35">
        <f>INDEX(R$297:R$313,$E2874)*$D2874</f>
        <v/>
      </c>
      <c r="S2874" s="35">
        <f>INDEX(S$297:S$313,$E2874)*$D2874</f>
        <v/>
      </c>
      <c r="T2874" s="35">
        <f>INDEX(T$297:T$313,$E2874)*$D2874</f>
        <v/>
      </c>
      <c r="U2874" s="35">
        <f>INDEX(U$297:U$313,$E2874)*$D2874</f>
        <v/>
      </c>
      <c r="V2874" s="35">
        <f>INDEX(V$297:V$313,$E2874)*$D2874</f>
        <v/>
      </c>
      <c r="W2874" s="35">
        <f>INDEX(W$297:W$313,$E2874)*$D2874</f>
        <v/>
      </c>
      <c r="X2874" s="35">
        <f>INDEX(X$297:X$313,$E2874)*$D2874</f>
        <v/>
      </c>
      <c r="Y2874" s="35">
        <f>INDEX(Y$297:Y$313,$E2874)*$D2874</f>
        <v/>
      </c>
      <c r="Z2874" s="35">
        <f>INDEX(Z$297:Z$313,$E2874)*$D2874</f>
        <v/>
      </c>
      <c r="AA2874" s="35">
        <f>INDEX(AA$297:AA$313,$E2874)*$D2874</f>
        <v/>
      </c>
      <c r="AB2874" s="35">
        <f>INDEX(AB$297:AB$313,$E2874)*$D2874</f>
        <v/>
      </c>
      <c r="AC2874" s="35">
        <f>INDEX(AC$297:AC$313,$E2874)*$D2874</f>
        <v/>
      </c>
      <c r="AD2874" s="35">
        <f>INDEX(AD$297:AD$313,$E2874)*$D2874</f>
        <v/>
      </c>
      <c r="AE2874" s="42">
        <f>SHADOWGJ(INDEX(AE$297:AE$313,$E2874),$D2874)</f>
        <v/>
      </c>
      <c r="AG2874" s="11">
        <f>CodePrefix&amp;$A2874&amp;IF($C2874="","","."&amp;$C2874&amp;"."&amp;$B2874)&amp;INDEX(VarEnd,MATCH($A2874,VarKey,0))&amp;AG$5</f>
        <v/>
      </c>
      <c r="AH2874" s="40">
        <f>INDEX(AH$297:AH$313,$E2874)*$D2874</f>
        <v/>
      </c>
      <c r="AI2874" s="35">
        <f>INDEX(AI$297:AI$313,$E2874)*$D2874</f>
        <v/>
      </c>
      <c r="AJ2874" s="35">
        <f>INDEX(AJ$297:AJ$313,$E2874)*$D2874</f>
        <v/>
      </c>
      <c r="AK2874" s="35">
        <f>INDEX(AK$297:AK$313,$E2874)*$D2874</f>
        <v/>
      </c>
      <c r="AL2874" s="35">
        <f>INDEX(AL$297:AL$313,$E2874)*$D2874</f>
        <v/>
      </c>
      <c r="AM2874" s="35">
        <f>INDEX(AM$297:AM$313,$E2874)*$D2874</f>
        <v/>
      </c>
      <c r="AN2874" s="35">
        <f>INDEX(AN$297:AN$313,$E2874)*$D2874</f>
        <v/>
      </c>
      <c r="AO2874" s="35">
        <f>INDEX(AO$297:AO$313,$E2874)*$D2874</f>
        <v/>
      </c>
      <c r="AP2874" s="35">
        <f>INDEX(AP$297:AP$313,$E2874)*$D2874</f>
        <v/>
      </c>
      <c r="AQ2874" s="35">
        <f>INDEX(AQ$297:AQ$313,$E2874)*$D2874</f>
        <v/>
      </c>
      <c r="AR2874" s="35">
        <f>INDEX(AR$297:AR$313,$E2874)*$D2874</f>
        <v/>
      </c>
      <c r="AS2874" s="35">
        <f>INDEX(AS$297:AS$313,$E2874)*$D2874</f>
        <v/>
      </c>
      <c r="AT2874" s="35">
        <f>INDEX(AT$297:AT$313,$E2874)*$D2874</f>
        <v/>
      </c>
      <c r="AU2874" s="35">
        <f>INDEX(AU$297:AU$313,$E2874)*$D2874</f>
        <v/>
      </c>
      <c r="AV2874" s="35">
        <f>INDEX(AV$297:AV$313,$E2874)*$D2874</f>
        <v/>
      </c>
      <c r="AW2874" s="35">
        <f>INDEX(AW$297:AW$313,$E2874)*$D2874</f>
        <v/>
      </c>
      <c r="AX2874" s="35">
        <f>INDEX(AX$297:AX$313,$E2874)*$D2874</f>
        <v/>
      </c>
      <c r="AY2874" s="35">
        <f>INDEX(AY$297:AY$313,$E2874)*$D2874</f>
        <v/>
      </c>
      <c r="AZ2874" s="35">
        <f>INDEX(AZ$297:AZ$313,$E2874)*$D2874</f>
        <v/>
      </c>
      <c r="BA2874" s="42">
        <f>SHADOWGJ(INDEX(BA$297:BA$313,$E2874),$D2874)</f>
        <v/>
      </c>
    </row>
    <row r="2875" hidden="1" outlineLevel="2">
      <c r="A2875" s="14" t="inlineStr">
        <is>
          <t>shp</t>
        </is>
      </c>
      <c r="B2875" s="14" t="inlineStr">
        <is>
          <t>bio</t>
        </is>
      </c>
      <c r="C2875" s="14" t="inlineStr">
        <is>
          <t>ftr</t>
        </is>
      </c>
      <c r="D2875" s="35">
        <f>INDEX(Inputs!$W$5:$W$132,MATCH($B2875&amp;"|"&amp;$C2875,Inputs!$A$5:$A$132,0))</f>
        <v/>
      </c>
      <c r="E2875" s="35">
        <f>INDEX(Inputs!$M$5:$M$132,MATCH($B2875&amp;"|"&amp;$C2875,Inputs!$A$5:$A$132,0))</f>
        <v/>
      </c>
      <c r="F2875" s="39" t="n"/>
      <c r="G2875" s="39" t="n"/>
      <c r="H2875" s="14">
        <f>INDEX(VarLab,MATCH($A2875,VarKey,0))&amp;INDEX(MemLab,MATCH($C2875&amp;"|"&amp;$B2875,MemKey,0))</f>
        <v/>
      </c>
      <c r="I2875" s="14">
        <f>INDEX(VarUnit,MATCH($A2875,VarKey,0))</f>
        <v/>
      </c>
      <c r="J2875" s="14">
        <f>INDEX(VarSrc,MATCH($A2875,VarKey,0))</f>
        <v/>
      </c>
      <c r="K2875" s="11">
        <f>CodePrefix&amp;$A2875&amp;IF($C2875="","","."&amp;$C2875&amp;"."&amp;$B2875)&amp;INDEX(VarEnd,MATCH($A2875,VarKey,0))&amp;K$5</f>
        <v/>
      </c>
      <c r="L2875" s="40">
        <f>INDEX(L$297:L$313,$E2875)*$D2875</f>
        <v/>
      </c>
      <c r="M2875" s="35">
        <f>INDEX(M$297:M$313,$E2875)*$D2875</f>
        <v/>
      </c>
      <c r="N2875" s="35">
        <f>INDEX(N$297:N$313,$E2875)*$D2875</f>
        <v/>
      </c>
      <c r="O2875" s="35">
        <f>INDEX(O$297:O$313,$E2875)*$D2875</f>
        <v/>
      </c>
      <c r="P2875" s="35">
        <f>INDEX(P$297:P$313,$E2875)*$D2875</f>
        <v/>
      </c>
      <c r="Q2875" s="35">
        <f>INDEX(Q$297:Q$313,$E2875)*$D2875</f>
        <v/>
      </c>
      <c r="R2875" s="35">
        <f>INDEX(R$297:R$313,$E2875)*$D2875</f>
        <v/>
      </c>
      <c r="S2875" s="35">
        <f>INDEX(S$297:S$313,$E2875)*$D2875</f>
        <v/>
      </c>
      <c r="T2875" s="35">
        <f>INDEX(T$297:T$313,$E2875)*$D2875</f>
        <v/>
      </c>
      <c r="U2875" s="35">
        <f>INDEX(U$297:U$313,$E2875)*$D2875</f>
        <v/>
      </c>
      <c r="V2875" s="35">
        <f>INDEX(V$297:V$313,$E2875)*$D2875</f>
        <v/>
      </c>
      <c r="W2875" s="35">
        <f>INDEX(W$297:W$313,$E2875)*$D2875</f>
        <v/>
      </c>
      <c r="X2875" s="35">
        <f>INDEX(X$297:X$313,$E2875)*$D2875</f>
        <v/>
      </c>
      <c r="Y2875" s="35">
        <f>INDEX(Y$297:Y$313,$E2875)*$D2875</f>
        <v/>
      </c>
      <c r="Z2875" s="35">
        <f>INDEX(Z$297:Z$313,$E2875)*$D2875</f>
        <v/>
      </c>
      <c r="AA2875" s="35">
        <f>INDEX(AA$297:AA$313,$E2875)*$D2875</f>
        <v/>
      </c>
      <c r="AB2875" s="35">
        <f>INDEX(AB$297:AB$313,$E2875)*$D2875</f>
        <v/>
      </c>
      <c r="AC2875" s="35">
        <f>INDEX(AC$297:AC$313,$E2875)*$D2875</f>
        <v/>
      </c>
      <c r="AD2875" s="35">
        <f>INDEX(AD$297:AD$313,$E2875)*$D2875</f>
        <v/>
      </c>
      <c r="AE2875" s="42">
        <f>SHADOWGJ(INDEX(AE$297:AE$313,$E2875),$D2875)</f>
        <v/>
      </c>
      <c r="AG2875" s="11">
        <f>CodePrefix&amp;$A2875&amp;IF($C2875="","","."&amp;$C2875&amp;"."&amp;$B2875)&amp;INDEX(VarEnd,MATCH($A2875,VarKey,0))&amp;AG$5</f>
        <v/>
      </c>
      <c r="AH2875" s="40">
        <f>INDEX(AH$297:AH$313,$E2875)*$D2875</f>
        <v/>
      </c>
      <c r="AI2875" s="35">
        <f>INDEX(AI$297:AI$313,$E2875)*$D2875</f>
        <v/>
      </c>
      <c r="AJ2875" s="35">
        <f>INDEX(AJ$297:AJ$313,$E2875)*$D2875</f>
        <v/>
      </c>
      <c r="AK2875" s="35">
        <f>INDEX(AK$297:AK$313,$E2875)*$D2875</f>
        <v/>
      </c>
      <c r="AL2875" s="35">
        <f>INDEX(AL$297:AL$313,$E2875)*$D2875</f>
        <v/>
      </c>
      <c r="AM2875" s="35">
        <f>INDEX(AM$297:AM$313,$E2875)*$D2875</f>
        <v/>
      </c>
      <c r="AN2875" s="35">
        <f>INDEX(AN$297:AN$313,$E2875)*$D2875</f>
        <v/>
      </c>
      <c r="AO2875" s="35">
        <f>INDEX(AO$297:AO$313,$E2875)*$D2875</f>
        <v/>
      </c>
      <c r="AP2875" s="35">
        <f>INDEX(AP$297:AP$313,$E2875)*$D2875</f>
        <v/>
      </c>
      <c r="AQ2875" s="35">
        <f>INDEX(AQ$297:AQ$313,$E2875)*$D2875</f>
        <v/>
      </c>
      <c r="AR2875" s="35">
        <f>INDEX(AR$297:AR$313,$E2875)*$D2875</f>
        <v/>
      </c>
      <c r="AS2875" s="35">
        <f>INDEX(AS$297:AS$313,$E2875)*$D2875</f>
        <v/>
      </c>
      <c r="AT2875" s="35">
        <f>INDEX(AT$297:AT$313,$E2875)*$D2875</f>
        <v/>
      </c>
      <c r="AU2875" s="35">
        <f>INDEX(AU$297:AU$313,$E2875)*$D2875</f>
        <v/>
      </c>
      <c r="AV2875" s="35">
        <f>INDEX(AV$297:AV$313,$E2875)*$D2875</f>
        <v/>
      </c>
      <c r="AW2875" s="35">
        <f>INDEX(AW$297:AW$313,$E2875)*$D2875</f>
        <v/>
      </c>
      <c r="AX2875" s="35">
        <f>INDEX(AX$297:AX$313,$E2875)*$D2875</f>
        <v/>
      </c>
      <c r="AY2875" s="35">
        <f>INDEX(AY$297:AY$313,$E2875)*$D2875</f>
        <v/>
      </c>
      <c r="AZ2875" s="35">
        <f>INDEX(AZ$297:AZ$313,$E2875)*$D2875</f>
        <v/>
      </c>
      <c r="BA2875" s="42">
        <f>SHADOWGJ(INDEX(BA$297:BA$313,$E2875),$D2875)</f>
        <v/>
      </c>
    </row>
    <row r="2876" hidden="1" outlineLevel="2"/>
    <row r="2877" hidden="1" outlineLevel="2">
      <c r="A2877" s="14" t="inlineStr">
        <is>
          <t>ener</t>
        </is>
      </c>
      <c r="B2877" s="14" t="inlineStr">
        <is>
          <t>coa</t>
        </is>
      </c>
      <c r="C2877" s="14" t="inlineStr">
        <is>
          <t>ftr</t>
        </is>
      </c>
      <c r="D2877" s="35">
        <f>INDEX(Inputs!$O$5:$O$132,MATCH($B2877&amp;"|"&amp;$C2877,Inputs!$A$5:$A$132,0))</f>
        <v/>
      </c>
      <c r="E2877" s="35">
        <f>INDEX(Inputs!$P$5:$P$132,MATCH($B2877&amp;"|"&amp;$C2877,Inputs!$A$5:$A$132,0))</f>
        <v/>
      </c>
      <c r="F2877" s="35">
        <f>INDEX(Inputs!$T$5:$T$132,MATCH($B2877&amp;"|"&amp;$C2877,Inputs!$A$5:$A$132,0))</f>
        <v/>
      </c>
      <c r="G2877" s="35">
        <f>INDEX(Inputs!$S$5:$S$132,MATCH($B2877&amp;"|"&amp;$C2877,Inputs!$A$5:$A$132,0))</f>
        <v/>
      </c>
      <c r="H2877" s="14">
        <f>INDEX(VarLab,MATCH($A2877,VarKey,0))&amp;INDEX(MemLab,MATCH($C2877&amp;"|"&amp;$B2877,MemKey,0))</f>
        <v/>
      </c>
      <c r="I2877" s="14">
        <f>INDEX(VarUnit,MATCH($A2877,VarKey,0))</f>
        <v/>
      </c>
      <c r="J2877" s="14">
        <f>INDEX(VarSrc,MATCH($A2877,VarKey,0))</f>
        <v/>
      </c>
      <c r="K2877" s="11">
        <f>CodePrefix&amp;$A2877&amp;IF($C2877="","","."&amp;$C2877&amp;"."&amp;$B2877)&amp;INDEX(VarEnd,MATCH($A2877,VarKey,0))&amp;K$5</f>
        <v/>
      </c>
      <c r="L2877" s="43">
        <f>INDEX(Inputs!$X$5:$X$132,MATCH($B2877&amp;"|"&amp;$C2877,Inputs!$A$5:$A$132,0))</f>
        <v/>
      </c>
      <c r="M2877" s="44">
        <f>L2877*$G2877*(1+M$7)^$D2877*(M2859/L2859)^$E2877*((M2859+M2868)/(L2859+L2868))^$F2877</f>
        <v/>
      </c>
      <c r="N2877" s="44">
        <f>M2877*$G2877*(1+N$7)^$D2877*(N2859/M2859)^$E2877*((N2859+N2868)/(M2859+M2868))^$F2877</f>
        <v/>
      </c>
      <c r="O2877" s="44">
        <f>N2877*$G2877*(1+O$7)^$D2877*(O2859/N2859)^$E2877*((O2859+O2868)/(N2859+N2868))^$F2877</f>
        <v/>
      </c>
      <c r="P2877" s="44">
        <f>O2877*$G2877*(1+P$7)^$D2877*(P2859/O2859)^$E2877*((P2859+P2868)/(O2859+O2868))^$F2877</f>
        <v/>
      </c>
      <c r="Q2877" s="44">
        <f>P2877*$G2877*(1+Q$7)^$D2877*(Q2859/P2859)^$E2877*((Q2859+Q2868)/(P2859+P2868))^$F2877</f>
        <v/>
      </c>
      <c r="R2877" s="44">
        <f>Q2877*$G2877*(1+R$7)^$D2877*(R2859/Q2859)^$E2877*((R2859+R2868)/(Q2859+Q2868))^$F2877</f>
        <v/>
      </c>
      <c r="S2877" s="44">
        <f>R2877*$G2877*(1+S$7)^$D2877*(S2859/R2859)^$E2877*((S2859+S2868)/(R2859+R2868))^$F2877</f>
        <v/>
      </c>
      <c r="T2877" s="44">
        <f>S2877*$G2877*(1+T$7)^$D2877*(T2859/S2859)^$E2877*((T2859+T2868)/(S2859+S2868))^$F2877</f>
        <v/>
      </c>
      <c r="U2877" s="44">
        <f>T2877*$G2877*(1+U$7)^$D2877*(U2859/T2859)^$E2877*((U2859+U2868)/(T2859+T2868))^$F2877</f>
        <v/>
      </c>
      <c r="V2877" s="44">
        <f>U2877*$G2877*(1+V$7)^$D2877*(V2859/U2859)^$E2877*((V2859+V2868)/(U2859+U2868))^$F2877</f>
        <v/>
      </c>
      <c r="W2877" s="44">
        <f>V2877*$G2877*(1+W$7)^$D2877*(W2859/V2859)^$E2877*((W2859+W2868)/(V2859+V2868))^$F2877</f>
        <v/>
      </c>
      <c r="X2877" s="44">
        <f>W2877*$G2877*(1+X$7)^$D2877*(X2859/W2859)^$E2877*((X2859+X2868)/(W2859+W2868))^$F2877</f>
        <v/>
      </c>
      <c r="Y2877" s="44">
        <f>X2877*$G2877*(1+Y$7)^$D2877*(Y2859/X2859)^$E2877*((Y2859+Y2868)/(X2859+X2868))^$F2877</f>
        <v/>
      </c>
      <c r="Z2877" s="44">
        <f>Y2877*$G2877*(1+Z$7)^$D2877*(Z2859/Y2859)^$E2877*((Z2859+Z2868)/(Y2859+Y2868))^$F2877</f>
        <v/>
      </c>
      <c r="AA2877" s="44">
        <f>Z2877*$G2877*(1+AA$7)^$D2877*(AA2859/Z2859)^$E2877*((AA2859+AA2868)/(Z2859+Z2868))^$F2877</f>
        <v/>
      </c>
      <c r="AB2877" s="44">
        <f>AA2877*$G2877*(1+AB$7)^$D2877*(AB2859/AA2859)^$E2877*((AB2859+AB2868)/(AA2859+AA2868))^$F2877</f>
        <v/>
      </c>
      <c r="AC2877" s="44">
        <f>AB2877*$G2877*(1+AC$7)^$D2877*(AC2859/AB2859)^$E2877*((AC2859+AC2868)/(AB2859+AB2868))^$F2877</f>
        <v/>
      </c>
      <c r="AD2877" s="44">
        <f>AC2877*$G2877*(1+AD$7)^$D2877*(AD2859/AC2859)^$E2877*((AD2859+AD2868)/(AC2859+AC2868))^$F2877</f>
        <v/>
      </c>
      <c r="AE2877" s="57">
        <f>FUELUSE(AD2877,AE2859,AD2859,AE2868,AD2868,AE$7,$D2877,$E2877,$F2877,$G2877)</f>
        <v/>
      </c>
      <c r="AG2877" s="11">
        <f>CodePrefix&amp;$A2877&amp;IF($C2877="","","."&amp;$C2877&amp;"."&amp;$B2877)&amp;INDEX(VarEnd,MATCH($A2877,VarKey,0))&amp;AG$5</f>
        <v/>
      </c>
      <c r="AH2877" s="43">
        <f>INDEX(Inputs!$X$5:$X$132,MATCH($B2877&amp;"|"&amp;$C2877,Inputs!$A$5:$A$132,0))</f>
        <v/>
      </c>
      <c r="AI2877" s="44">
        <f>AH2877*$G2877*(1+AI$7)^$D2877*(AI2859/AH2859)^$E2877*((AI2859+AI2868)/(AH2859+AH2868))^$F2877</f>
        <v/>
      </c>
      <c r="AJ2877" s="44">
        <f>AI2877*$G2877*(1+AJ$7)^$D2877*(AJ2859/AI2859)^$E2877*((AJ2859+AJ2868)/(AI2859+AI2868))^$F2877</f>
        <v/>
      </c>
      <c r="AK2877" s="44">
        <f>AJ2877*$G2877*(1+AK$7)^$D2877*(AK2859/AJ2859)^$E2877*((AK2859+AK2868)/(AJ2859+AJ2868))^$F2877</f>
        <v/>
      </c>
      <c r="AL2877" s="44">
        <f>AK2877*$G2877*(1+AL$7)^$D2877*(AL2859/AK2859)^$E2877*((AL2859+AL2868)/(AK2859+AK2868))^$F2877</f>
        <v/>
      </c>
      <c r="AM2877" s="44">
        <f>AL2877*$G2877*(1+AM$7)^$D2877*(AM2859/AL2859)^$E2877*((AM2859+AM2868)/(AL2859+AL2868))^$F2877</f>
        <v/>
      </c>
      <c r="AN2877" s="44">
        <f>AM2877*$G2877*(1+AN$7)^$D2877*(AN2859/AM2859)^$E2877*((AN2859+AN2868)/(AM2859+AM2868))^$F2877</f>
        <v/>
      </c>
      <c r="AO2877" s="44">
        <f>AN2877*$G2877*(1+AO$7)^$D2877*(AO2859/AN2859)^$E2877*((AO2859+AO2868)/(AN2859+AN2868))^$F2877</f>
        <v/>
      </c>
      <c r="AP2877" s="44">
        <f>AO2877*$G2877*(1+AP$7)^$D2877*(AP2859/AO2859)^$E2877*((AP2859+AP2868)/(AO2859+AO2868))^$F2877</f>
        <v/>
      </c>
      <c r="AQ2877" s="44">
        <f>AP2877*$G2877*(1+AQ$7)^$D2877*(AQ2859/AP2859)^$E2877*((AQ2859+AQ2868)/(AP2859+AP2868))^$F2877</f>
        <v/>
      </c>
      <c r="AR2877" s="44">
        <f>AQ2877*$G2877*(1+AR$7)^$D2877*(AR2859/AQ2859)^$E2877*((AR2859+AR2868)/(AQ2859+AQ2868))^$F2877</f>
        <v/>
      </c>
      <c r="AS2877" s="44">
        <f>AR2877*$G2877*(1+AS$7)^$D2877*(AS2859/AR2859)^$E2877*((AS2859+AS2868)/(AR2859+AR2868))^$F2877</f>
        <v/>
      </c>
      <c r="AT2877" s="44">
        <f>AS2877*$G2877*(1+AT$7)^$D2877*(AT2859/AS2859)^$E2877*((AT2859+AT2868)/(AS2859+AS2868))^$F2877</f>
        <v/>
      </c>
      <c r="AU2877" s="44">
        <f>AT2877*$G2877*(1+AU$7)^$D2877*(AU2859/AT2859)^$E2877*((AU2859+AU2868)/(AT2859+AT2868))^$F2877</f>
        <v/>
      </c>
      <c r="AV2877" s="44">
        <f>AU2877*$G2877*(1+AV$7)^$D2877*(AV2859/AU2859)^$E2877*((AV2859+AV2868)/(AU2859+AU2868))^$F2877</f>
        <v/>
      </c>
      <c r="AW2877" s="44">
        <f>AV2877*$G2877*(1+AW$7)^$D2877*(AW2859/AV2859)^$E2877*((AW2859+AW2868)/(AV2859+AV2868))^$F2877</f>
        <v/>
      </c>
      <c r="AX2877" s="44">
        <f>AW2877*$G2877*(1+AX$7)^$D2877*(AX2859/AW2859)^$E2877*((AX2859+AX2868)/(AW2859+AW2868))^$F2877</f>
        <v/>
      </c>
      <c r="AY2877" s="44">
        <f>AX2877*$G2877*(1+AY$7)^$D2877*(AY2859/AX2859)^$E2877*((AY2859+AY2868)/(AX2859+AX2868))^$F2877</f>
        <v/>
      </c>
      <c r="AZ2877" s="44">
        <f>AY2877*$G2877*(1+AZ$7)^$D2877*(AZ2859/AY2859)^$E2877*((AZ2859+AZ2868)/(AY2859+AY2868))^$F2877</f>
        <v/>
      </c>
      <c r="BA2877" s="57">
        <f>FUELUSE(AZ2877,BA2859,AZ2859,BA2868,AZ2868,BA$7,$D2877,$E2877,$F2877,$G2877)</f>
        <v/>
      </c>
    </row>
    <row r="2878" hidden="1" outlineLevel="2">
      <c r="A2878" s="14" t="inlineStr">
        <is>
          <t>ener</t>
        </is>
      </c>
      <c r="B2878" s="14" t="inlineStr">
        <is>
          <t>nga</t>
        </is>
      </c>
      <c r="C2878" s="14" t="inlineStr">
        <is>
          <t>ftr</t>
        </is>
      </c>
      <c r="D2878" s="35">
        <f>INDEX(Inputs!$O$5:$O$132,MATCH($B2878&amp;"|"&amp;$C2878,Inputs!$A$5:$A$132,0))</f>
        <v/>
      </c>
      <c r="E2878" s="35">
        <f>INDEX(Inputs!$P$5:$P$132,MATCH($B2878&amp;"|"&amp;$C2878,Inputs!$A$5:$A$132,0))</f>
        <v/>
      </c>
      <c r="F2878" s="35">
        <f>INDEX(Inputs!$T$5:$T$132,MATCH($B2878&amp;"|"&amp;$C2878,Inputs!$A$5:$A$132,0))</f>
        <v/>
      </c>
      <c r="G2878" s="35">
        <f>INDEX(Inputs!$S$5:$S$132,MATCH($B2878&amp;"|"&amp;$C2878,Inputs!$A$5:$A$132,0))</f>
        <v/>
      </c>
      <c r="H2878" s="14">
        <f>INDEX(VarLab,MATCH($A2878,VarKey,0))&amp;INDEX(MemLab,MATCH($C2878&amp;"|"&amp;$B2878,MemKey,0))</f>
        <v/>
      </c>
      <c r="I2878" s="14">
        <f>INDEX(VarUnit,MATCH($A2878,VarKey,0))</f>
        <v/>
      </c>
      <c r="J2878" s="14">
        <f>INDEX(VarSrc,MATCH($A2878,VarKey,0))</f>
        <v/>
      </c>
      <c r="K2878" s="11">
        <f>CodePrefix&amp;$A2878&amp;IF($C2878="","","."&amp;$C2878&amp;"."&amp;$B2878)&amp;INDEX(VarEnd,MATCH($A2878,VarKey,0))&amp;K$5</f>
        <v/>
      </c>
      <c r="L2878" s="43">
        <f>INDEX(Inputs!$X$5:$X$132,MATCH($B2878&amp;"|"&amp;$C2878,Inputs!$A$5:$A$132,0))</f>
        <v/>
      </c>
      <c r="M2878" s="44">
        <f>L2878*$G2878*(1+M$7)^$D2878*(M2860/L2860)^$E2878*((M2860+M2869)/(L2860+L2869))^$F2878</f>
        <v/>
      </c>
      <c r="N2878" s="44">
        <f>M2878*$G2878*(1+N$7)^$D2878*(N2860/M2860)^$E2878*((N2860+N2869)/(M2860+M2869))^$F2878</f>
        <v/>
      </c>
      <c r="O2878" s="44">
        <f>N2878*$G2878*(1+O$7)^$D2878*(O2860/N2860)^$E2878*((O2860+O2869)/(N2860+N2869))^$F2878</f>
        <v/>
      </c>
      <c r="P2878" s="44">
        <f>O2878*$G2878*(1+P$7)^$D2878*(P2860/O2860)^$E2878*((P2860+P2869)/(O2860+O2869))^$F2878</f>
        <v/>
      </c>
      <c r="Q2878" s="44">
        <f>P2878*$G2878*(1+Q$7)^$D2878*(Q2860/P2860)^$E2878*((Q2860+Q2869)/(P2860+P2869))^$F2878</f>
        <v/>
      </c>
      <c r="R2878" s="44">
        <f>Q2878*$G2878*(1+R$7)^$D2878*(R2860/Q2860)^$E2878*((R2860+R2869)/(Q2860+Q2869))^$F2878</f>
        <v/>
      </c>
      <c r="S2878" s="44">
        <f>R2878*$G2878*(1+S$7)^$D2878*(S2860/R2860)^$E2878*((S2860+S2869)/(R2860+R2869))^$F2878</f>
        <v/>
      </c>
      <c r="T2878" s="44">
        <f>S2878*$G2878*(1+T$7)^$D2878*(T2860/S2860)^$E2878*((T2860+T2869)/(S2860+S2869))^$F2878</f>
        <v/>
      </c>
      <c r="U2878" s="44">
        <f>T2878*$G2878*(1+U$7)^$D2878*(U2860/T2860)^$E2878*((U2860+U2869)/(T2860+T2869))^$F2878</f>
        <v/>
      </c>
      <c r="V2878" s="44">
        <f>U2878*$G2878*(1+V$7)^$D2878*(V2860/U2860)^$E2878*((V2860+V2869)/(U2860+U2869))^$F2878</f>
        <v/>
      </c>
      <c r="W2878" s="44">
        <f>V2878*$G2878*(1+W$7)^$D2878*(W2860/V2860)^$E2878*((W2860+W2869)/(V2860+V2869))^$F2878</f>
        <v/>
      </c>
      <c r="X2878" s="44">
        <f>W2878*$G2878*(1+X$7)^$D2878*(X2860/W2860)^$E2878*((X2860+X2869)/(W2860+W2869))^$F2878</f>
        <v/>
      </c>
      <c r="Y2878" s="44">
        <f>X2878*$G2878*(1+Y$7)^$D2878*(Y2860/X2860)^$E2878*((Y2860+Y2869)/(X2860+X2869))^$F2878</f>
        <v/>
      </c>
      <c r="Z2878" s="44">
        <f>Y2878*$G2878*(1+Z$7)^$D2878*(Z2860/Y2860)^$E2878*((Z2860+Z2869)/(Y2860+Y2869))^$F2878</f>
        <v/>
      </c>
      <c r="AA2878" s="44">
        <f>Z2878*$G2878*(1+AA$7)^$D2878*(AA2860/Z2860)^$E2878*((AA2860+AA2869)/(Z2860+Z2869))^$F2878</f>
        <v/>
      </c>
      <c r="AB2878" s="44">
        <f>AA2878*$G2878*(1+AB$7)^$D2878*(AB2860/AA2860)^$E2878*((AB2860+AB2869)/(AA2860+AA2869))^$F2878</f>
        <v/>
      </c>
      <c r="AC2878" s="44">
        <f>AB2878*$G2878*(1+AC$7)^$D2878*(AC2860/AB2860)^$E2878*((AC2860+AC2869)/(AB2860+AB2869))^$F2878</f>
        <v/>
      </c>
      <c r="AD2878" s="44">
        <f>AC2878*$G2878*(1+AD$7)^$D2878*(AD2860/AC2860)^$E2878*((AD2860+AD2869)/(AC2860+AC2869))^$F2878</f>
        <v/>
      </c>
      <c r="AE2878" s="57">
        <f>FUELUSE(AD2878,AE2860,AD2860,AE2869,AD2869,AE$7,$D2878,$E2878,$F2878,$G2878)</f>
        <v/>
      </c>
      <c r="AG2878" s="11">
        <f>CodePrefix&amp;$A2878&amp;IF($C2878="","","."&amp;$C2878&amp;"."&amp;$B2878)&amp;INDEX(VarEnd,MATCH($A2878,VarKey,0))&amp;AG$5</f>
        <v/>
      </c>
      <c r="AH2878" s="43">
        <f>INDEX(Inputs!$X$5:$X$132,MATCH($B2878&amp;"|"&amp;$C2878,Inputs!$A$5:$A$132,0))</f>
        <v/>
      </c>
      <c r="AI2878" s="44">
        <f>AH2878*$G2878*(1+AI$7)^$D2878*(AI2860/AH2860)^$E2878*((AI2860+AI2869)/(AH2860+AH2869))^$F2878</f>
        <v/>
      </c>
      <c r="AJ2878" s="44">
        <f>AI2878*$G2878*(1+AJ$7)^$D2878*(AJ2860/AI2860)^$E2878*((AJ2860+AJ2869)/(AI2860+AI2869))^$F2878</f>
        <v/>
      </c>
      <c r="AK2878" s="44">
        <f>AJ2878*$G2878*(1+AK$7)^$D2878*(AK2860/AJ2860)^$E2878*((AK2860+AK2869)/(AJ2860+AJ2869))^$F2878</f>
        <v/>
      </c>
      <c r="AL2878" s="44">
        <f>AK2878*$G2878*(1+AL$7)^$D2878*(AL2860/AK2860)^$E2878*((AL2860+AL2869)/(AK2860+AK2869))^$F2878</f>
        <v/>
      </c>
      <c r="AM2878" s="44">
        <f>AL2878*$G2878*(1+AM$7)^$D2878*(AM2860/AL2860)^$E2878*((AM2860+AM2869)/(AL2860+AL2869))^$F2878</f>
        <v/>
      </c>
      <c r="AN2878" s="44">
        <f>AM2878*$G2878*(1+AN$7)^$D2878*(AN2860/AM2860)^$E2878*((AN2860+AN2869)/(AM2860+AM2869))^$F2878</f>
        <v/>
      </c>
      <c r="AO2878" s="44">
        <f>AN2878*$G2878*(1+AO$7)^$D2878*(AO2860/AN2860)^$E2878*((AO2860+AO2869)/(AN2860+AN2869))^$F2878</f>
        <v/>
      </c>
      <c r="AP2878" s="44">
        <f>AO2878*$G2878*(1+AP$7)^$D2878*(AP2860/AO2860)^$E2878*((AP2860+AP2869)/(AO2860+AO2869))^$F2878</f>
        <v/>
      </c>
      <c r="AQ2878" s="44">
        <f>AP2878*$G2878*(1+AQ$7)^$D2878*(AQ2860/AP2860)^$E2878*((AQ2860+AQ2869)/(AP2860+AP2869))^$F2878</f>
        <v/>
      </c>
      <c r="AR2878" s="44">
        <f>AQ2878*$G2878*(1+AR$7)^$D2878*(AR2860/AQ2860)^$E2878*((AR2860+AR2869)/(AQ2860+AQ2869))^$F2878</f>
        <v/>
      </c>
      <c r="AS2878" s="44">
        <f>AR2878*$G2878*(1+AS$7)^$D2878*(AS2860/AR2860)^$E2878*((AS2860+AS2869)/(AR2860+AR2869))^$F2878</f>
        <v/>
      </c>
      <c r="AT2878" s="44">
        <f>AS2878*$G2878*(1+AT$7)^$D2878*(AT2860/AS2860)^$E2878*((AT2860+AT2869)/(AS2860+AS2869))^$F2878</f>
        <v/>
      </c>
      <c r="AU2878" s="44">
        <f>AT2878*$G2878*(1+AU$7)^$D2878*(AU2860/AT2860)^$E2878*((AU2860+AU2869)/(AT2860+AT2869))^$F2878</f>
        <v/>
      </c>
      <c r="AV2878" s="44">
        <f>AU2878*$G2878*(1+AV$7)^$D2878*(AV2860/AU2860)^$E2878*((AV2860+AV2869)/(AU2860+AU2869))^$F2878</f>
        <v/>
      </c>
      <c r="AW2878" s="44">
        <f>AV2878*$G2878*(1+AW$7)^$D2878*(AW2860/AV2860)^$E2878*((AW2860+AW2869)/(AV2860+AV2869))^$F2878</f>
        <v/>
      </c>
      <c r="AX2878" s="44">
        <f>AW2878*$G2878*(1+AX$7)^$D2878*(AX2860/AW2860)^$E2878*((AX2860+AX2869)/(AW2860+AW2869))^$F2878</f>
        <v/>
      </c>
      <c r="AY2878" s="44">
        <f>AX2878*$G2878*(1+AY$7)^$D2878*(AY2860/AX2860)^$E2878*((AY2860+AY2869)/(AX2860+AX2869))^$F2878</f>
        <v/>
      </c>
      <c r="AZ2878" s="44">
        <f>AY2878*$G2878*(1+AZ$7)^$D2878*(AZ2860/AY2860)^$E2878*((AZ2860+AZ2869)/(AY2860+AY2869))^$F2878</f>
        <v/>
      </c>
      <c r="BA2878" s="57">
        <f>FUELUSE(AZ2878,BA2860,AZ2860,BA2869,AZ2869,BA$7,$D2878,$E2878,$F2878,$G2878)</f>
        <v/>
      </c>
    </row>
    <row r="2879" hidden="1" outlineLevel="2">
      <c r="A2879" s="14" t="inlineStr">
        <is>
          <t>ener</t>
        </is>
      </c>
      <c r="B2879" s="14" t="inlineStr">
        <is>
          <t>gso</t>
        </is>
      </c>
      <c r="C2879" s="14" t="inlineStr">
        <is>
          <t>ftr</t>
        </is>
      </c>
      <c r="D2879" s="35">
        <f>INDEX(Inputs!$O$5:$O$132,MATCH($B2879&amp;"|"&amp;$C2879,Inputs!$A$5:$A$132,0))</f>
        <v/>
      </c>
      <c r="E2879" s="35">
        <f>INDEX(Inputs!$P$5:$P$132,MATCH($B2879&amp;"|"&amp;$C2879,Inputs!$A$5:$A$132,0))</f>
        <v/>
      </c>
      <c r="F2879" s="35">
        <f>INDEX(Inputs!$T$5:$T$132,MATCH($B2879&amp;"|"&amp;$C2879,Inputs!$A$5:$A$132,0))</f>
        <v/>
      </c>
      <c r="G2879" s="35">
        <f>INDEX(Inputs!$S$5:$S$132,MATCH($B2879&amp;"|"&amp;$C2879,Inputs!$A$5:$A$132,0))</f>
        <v/>
      </c>
      <c r="H2879" s="14">
        <f>INDEX(VarLab,MATCH($A2879,VarKey,0))&amp;INDEX(MemLab,MATCH($C2879&amp;"|"&amp;$B2879,MemKey,0))</f>
        <v/>
      </c>
      <c r="I2879" s="14">
        <f>INDEX(VarUnit,MATCH($A2879,VarKey,0))</f>
        <v/>
      </c>
      <c r="J2879" s="14">
        <f>INDEX(VarSrc,MATCH($A2879,VarKey,0))</f>
        <v/>
      </c>
      <c r="K2879" s="11">
        <f>CodePrefix&amp;$A2879&amp;IF($C2879="","","."&amp;$C2879&amp;"."&amp;$B2879)&amp;INDEX(VarEnd,MATCH($A2879,VarKey,0))&amp;K$5</f>
        <v/>
      </c>
      <c r="L2879" s="43">
        <f>INDEX(Inputs!$X$5:$X$132,MATCH($B2879&amp;"|"&amp;$C2879,Inputs!$A$5:$A$132,0))</f>
        <v/>
      </c>
      <c r="M2879" s="44">
        <f>L2879*$G2879*(1+M$7)^$D2879*(M2861/L2861)^$E2879*((M2861+M2870)/(L2861+L2870))^$F2879</f>
        <v/>
      </c>
      <c r="N2879" s="44">
        <f>M2879*$G2879*(1+N$7)^$D2879*(N2861/M2861)^$E2879*((N2861+N2870)/(M2861+M2870))^$F2879</f>
        <v/>
      </c>
      <c r="O2879" s="44">
        <f>N2879*$G2879*(1+O$7)^$D2879*(O2861/N2861)^$E2879*((O2861+O2870)/(N2861+N2870))^$F2879</f>
        <v/>
      </c>
      <c r="P2879" s="44">
        <f>O2879*$G2879*(1+P$7)^$D2879*(P2861/O2861)^$E2879*((P2861+P2870)/(O2861+O2870))^$F2879</f>
        <v/>
      </c>
      <c r="Q2879" s="44">
        <f>P2879*$G2879*(1+Q$7)^$D2879*(Q2861/P2861)^$E2879*((Q2861+Q2870)/(P2861+P2870))^$F2879</f>
        <v/>
      </c>
      <c r="R2879" s="44">
        <f>Q2879*$G2879*(1+R$7)^$D2879*(R2861/Q2861)^$E2879*((R2861+R2870)/(Q2861+Q2870))^$F2879</f>
        <v/>
      </c>
      <c r="S2879" s="44">
        <f>R2879*$G2879*(1+S$7)^$D2879*(S2861/R2861)^$E2879*((S2861+S2870)/(R2861+R2870))^$F2879</f>
        <v/>
      </c>
      <c r="T2879" s="44">
        <f>S2879*$G2879*(1+T$7)^$D2879*(T2861/S2861)^$E2879*((T2861+T2870)/(S2861+S2870))^$F2879</f>
        <v/>
      </c>
      <c r="U2879" s="44">
        <f>T2879*$G2879*(1+U$7)^$D2879*(U2861/T2861)^$E2879*((U2861+U2870)/(T2861+T2870))^$F2879</f>
        <v/>
      </c>
      <c r="V2879" s="44">
        <f>U2879*$G2879*(1+V$7)^$D2879*(V2861/U2861)^$E2879*((V2861+V2870)/(U2861+U2870))^$F2879</f>
        <v/>
      </c>
      <c r="W2879" s="44">
        <f>V2879*$G2879*(1+W$7)^$D2879*(W2861/V2861)^$E2879*((W2861+W2870)/(V2861+V2870))^$F2879</f>
        <v/>
      </c>
      <c r="X2879" s="44">
        <f>W2879*$G2879*(1+X$7)^$D2879*(X2861/W2861)^$E2879*((X2861+X2870)/(W2861+W2870))^$F2879</f>
        <v/>
      </c>
      <c r="Y2879" s="44">
        <f>X2879*$G2879*(1+Y$7)^$D2879*(Y2861/X2861)^$E2879*((Y2861+Y2870)/(X2861+X2870))^$F2879</f>
        <v/>
      </c>
      <c r="Z2879" s="44">
        <f>Y2879*$G2879*(1+Z$7)^$D2879*(Z2861/Y2861)^$E2879*((Z2861+Z2870)/(Y2861+Y2870))^$F2879</f>
        <v/>
      </c>
      <c r="AA2879" s="44">
        <f>Z2879*$G2879*(1+AA$7)^$D2879*(AA2861/Z2861)^$E2879*((AA2861+AA2870)/(Z2861+Z2870))^$F2879</f>
        <v/>
      </c>
      <c r="AB2879" s="44">
        <f>AA2879*$G2879*(1+AB$7)^$D2879*(AB2861/AA2861)^$E2879*((AB2861+AB2870)/(AA2861+AA2870))^$F2879</f>
        <v/>
      </c>
      <c r="AC2879" s="44">
        <f>AB2879*$G2879*(1+AC$7)^$D2879*(AC2861/AB2861)^$E2879*((AC2861+AC2870)/(AB2861+AB2870))^$F2879</f>
        <v/>
      </c>
      <c r="AD2879" s="44">
        <f>AC2879*$G2879*(1+AD$7)^$D2879*(AD2861/AC2861)^$E2879*((AD2861+AD2870)/(AC2861+AC2870))^$F2879</f>
        <v/>
      </c>
      <c r="AE2879" s="57">
        <f>FUELUSE(AD2879,AE2861,AD2861,AE2870,AD2870,AE$7,$D2879,$E2879,$F2879,$G2879)</f>
        <v/>
      </c>
      <c r="AG2879" s="11">
        <f>CodePrefix&amp;$A2879&amp;IF($C2879="","","."&amp;$C2879&amp;"."&amp;$B2879)&amp;INDEX(VarEnd,MATCH($A2879,VarKey,0))&amp;AG$5</f>
        <v/>
      </c>
      <c r="AH2879" s="43">
        <f>INDEX(Inputs!$X$5:$X$132,MATCH($B2879&amp;"|"&amp;$C2879,Inputs!$A$5:$A$132,0))</f>
        <v/>
      </c>
      <c r="AI2879" s="44">
        <f>AH2879*$G2879*(1+AI$7)^$D2879*(AI2861/AH2861)^$E2879*((AI2861+AI2870)/(AH2861+AH2870))^$F2879</f>
        <v/>
      </c>
      <c r="AJ2879" s="44">
        <f>AI2879*$G2879*(1+AJ$7)^$D2879*(AJ2861/AI2861)^$E2879*((AJ2861+AJ2870)/(AI2861+AI2870))^$F2879</f>
        <v/>
      </c>
      <c r="AK2879" s="44">
        <f>AJ2879*$G2879*(1+AK$7)^$D2879*(AK2861/AJ2861)^$E2879*((AK2861+AK2870)/(AJ2861+AJ2870))^$F2879</f>
        <v/>
      </c>
      <c r="AL2879" s="44">
        <f>AK2879*$G2879*(1+AL$7)^$D2879*(AL2861/AK2861)^$E2879*((AL2861+AL2870)/(AK2861+AK2870))^$F2879</f>
        <v/>
      </c>
      <c r="AM2879" s="44">
        <f>AL2879*$G2879*(1+AM$7)^$D2879*(AM2861/AL2861)^$E2879*((AM2861+AM2870)/(AL2861+AL2870))^$F2879</f>
        <v/>
      </c>
      <c r="AN2879" s="44">
        <f>AM2879*$G2879*(1+AN$7)^$D2879*(AN2861/AM2861)^$E2879*((AN2861+AN2870)/(AM2861+AM2870))^$F2879</f>
        <v/>
      </c>
      <c r="AO2879" s="44">
        <f>AN2879*$G2879*(1+AO$7)^$D2879*(AO2861/AN2861)^$E2879*((AO2861+AO2870)/(AN2861+AN2870))^$F2879</f>
        <v/>
      </c>
      <c r="AP2879" s="44">
        <f>AO2879*$G2879*(1+AP$7)^$D2879*(AP2861/AO2861)^$E2879*((AP2861+AP2870)/(AO2861+AO2870))^$F2879</f>
        <v/>
      </c>
      <c r="AQ2879" s="44">
        <f>AP2879*$G2879*(1+AQ$7)^$D2879*(AQ2861/AP2861)^$E2879*((AQ2861+AQ2870)/(AP2861+AP2870))^$F2879</f>
        <v/>
      </c>
      <c r="AR2879" s="44">
        <f>AQ2879*$G2879*(1+AR$7)^$D2879*(AR2861/AQ2861)^$E2879*((AR2861+AR2870)/(AQ2861+AQ2870))^$F2879</f>
        <v/>
      </c>
      <c r="AS2879" s="44">
        <f>AR2879*$G2879*(1+AS$7)^$D2879*(AS2861/AR2861)^$E2879*((AS2861+AS2870)/(AR2861+AR2870))^$F2879</f>
        <v/>
      </c>
      <c r="AT2879" s="44">
        <f>AS2879*$G2879*(1+AT$7)^$D2879*(AT2861/AS2861)^$E2879*((AT2861+AT2870)/(AS2861+AS2870))^$F2879</f>
        <v/>
      </c>
      <c r="AU2879" s="44">
        <f>AT2879*$G2879*(1+AU$7)^$D2879*(AU2861/AT2861)^$E2879*((AU2861+AU2870)/(AT2861+AT2870))^$F2879</f>
        <v/>
      </c>
      <c r="AV2879" s="44">
        <f>AU2879*$G2879*(1+AV$7)^$D2879*(AV2861/AU2861)^$E2879*((AV2861+AV2870)/(AU2861+AU2870))^$F2879</f>
        <v/>
      </c>
      <c r="AW2879" s="44">
        <f>AV2879*$G2879*(1+AW$7)^$D2879*(AW2861/AV2861)^$E2879*((AW2861+AW2870)/(AV2861+AV2870))^$F2879</f>
        <v/>
      </c>
      <c r="AX2879" s="44">
        <f>AW2879*$G2879*(1+AX$7)^$D2879*(AX2861/AW2861)^$E2879*((AX2861+AX2870)/(AW2861+AW2870))^$F2879</f>
        <v/>
      </c>
      <c r="AY2879" s="44">
        <f>AX2879*$G2879*(1+AY$7)^$D2879*(AY2861/AX2861)^$E2879*((AY2861+AY2870)/(AX2861+AX2870))^$F2879</f>
        <v/>
      </c>
      <c r="AZ2879" s="44">
        <f>AY2879*$G2879*(1+AZ$7)^$D2879*(AZ2861/AY2861)^$E2879*((AZ2861+AZ2870)/(AY2861+AY2870))^$F2879</f>
        <v/>
      </c>
      <c r="BA2879" s="57">
        <f>FUELUSE(AZ2879,BA2861,AZ2861,BA2870,AZ2870,BA$7,$D2879,$E2879,$F2879,$G2879)</f>
        <v/>
      </c>
    </row>
    <row r="2880" hidden="1" outlineLevel="2">
      <c r="A2880" s="14" t="inlineStr">
        <is>
          <t>ener</t>
        </is>
      </c>
      <c r="B2880" s="14" t="inlineStr">
        <is>
          <t>die</t>
        </is>
      </c>
      <c r="C2880" s="14" t="inlineStr">
        <is>
          <t>ftr</t>
        </is>
      </c>
      <c r="D2880" s="35">
        <f>INDEX(Inputs!$O$5:$O$132,MATCH($B2880&amp;"|"&amp;$C2880,Inputs!$A$5:$A$132,0))</f>
        <v/>
      </c>
      <c r="E2880" s="35">
        <f>INDEX(Inputs!$P$5:$P$132,MATCH($B2880&amp;"|"&amp;$C2880,Inputs!$A$5:$A$132,0))</f>
        <v/>
      </c>
      <c r="F2880" s="35">
        <f>INDEX(Inputs!$T$5:$T$132,MATCH($B2880&amp;"|"&amp;$C2880,Inputs!$A$5:$A$132,0))</f>
        <v/>
      </c>
      <c r="G2880" s="35">
        <f>INDEX(Inputs!$S$5:$S$132,MATCH($B2880&amp;"|"&amp;$C2880,Inputs!$A$5:$A$132,0))</f>
        <v/>
      </c>
      <c r="H2880" s="14">
        <f>INDEX(VarLab,MATCH($A2880,VarKey,0))&amp;INDEX(MemLab,MATCH($C2880&amp;"|"&amp;$B2880,MemKey,0))</f>
        <v/>
      </c>
      <c r="I2880" s="14">
        <f>INDEX(VarUnit,MATCH($A2880,VarKey,0))</f>
        <v/>
      </c>
      <c r="J2880" s="14">
        <f>INDEX(VarSrc,MATCH($A2880,VarKey,0))</f>
        <v/>
      </c>
      <c r="K2880" s="11">
        <f>CodePrefix&amp;$A2880&amp;IF($C2880="","","."&amp;$C2880&amp;"."&amp;$B2880)&amp;INDEX(VarEnd,MATCH($A2880,VarKey,0))&amp;K$5</f>
        <v/>
      </c>
      <c r="L2880" s="43">
        <f>INDEX(Inputs!$X$5:$X$132,MATCH($B2880&amp;"|"&amp;$C2880,Inputs!$A$5:$A$132,0))</f>
        <v/>
      </c>
      <c r="M2880" s="44">
        <f>L2880*$G2880*(1+M$7)^$D2880*(M2862/L2862)^$E2880*((M2862+M2871)/(L2862+L2871))^$F2880</f>
        <v/>
      </c>
      <c r="N2880" s="44">
        <f>M2880*$G2880*(1+N$7)^$D2880*(N2862/M2862)^$E2880*((N2862+N2871)/(M2862+M2871))^$F2880</f>
        <v/>
      </c>
      <c r="O2880" s="44">
        <f>N2880*$G2880*(1+O$7)^$D2880*(O2862/N2862)^$E2880*((O2862+O2871)/(N2862+N2871))^$F2880</f>
        <v/>
      </c>
      <c r="P2880" s="44">
        <f>O2880*$G2880*(1+P$7)^$D2880*(P2862/O2862)^$E2880*((P2862+P2871)/(O2862+O2871))^$F2880</f>
        <v/>
      </c>
      <c r="Q2880" s="44">
        <f>P2880*$G2880*(1+Q$7)^$D2880*(Q2862/P2862)^$E2880*((Q2862+Q2871)/(P2862+P2871))^$F2880</f>
        <v/>
      </c>
      <c r="R2880" s="44">
        <f>Q2880*$G2880*(1+R$7)^$D2880*(R2862/Q2862)^$E2880*((R2862+R2871)/(Q2862+Q2871))^$F2880</f>
        <v/>
      </c>
      <c r="S2880" s="44">
        <f>R2880*$G2880*(1+S$7)^$D2880*(S2862/R2862)^$E2880*((S2862+S2871)/(R2862+R2871))^$F2880</f>
        <v/>
      </c>
      <c r="T2880" s="44">
        <f>S2880*$G2880*(1+T$7)^$D2880*(T2862/S2862)^$E2880*((T2862+T2871)/(S2862+S2871))^$F2880</f>
        <v/>
      </c>
      <c r="U2880" s="44">
        <f>T2880*$G2880*(1+U$7)^$D2880*(U2862/T2862)^$E2880*((U2862+U2871)/(T2862+T2871))^$F2880</f>
        <v/>
      </c>
      <c r="V2880" s="44">
        <f>U2880*$G2880*(1+V$7)^$D2880*(V2862/U2862)^$E2880*((V2862+V2871)/(U2862+U2871))^$F2880</f>
        <v/>
      </c>
      <c r="W2880" s="44">
        <f>V2880*$G2880*(1+W$7)^$D2880*(W2862/V2862)^$E2880*((W2862+W2871)/(V2862+V2871))^$F2880</f>
        <v/>
      </c>
      <c r="X2880" s="44">
        <f>W2880*$G2880*(1+X$7)^$D2880*(X2862/W2862)^$E2880*((X2862+X2871)/(W2862+W2871))^$F2880</f>
        <v/>
      </c>
      <c r="Y2880" s="44">
        <f>X2880*$G2880*(1+Y$7)^$D2880*(Y2862/X2862)^$E2880*((Y2862+Y2871)/(X2862+X2871))^$F2880</f>
        <v/>
      </c>
      <c r="Z2880" s="44">
        <f>Y2880*$G2880*(1+Z$7)^$D2880*(Z2862/Y2862)^$E2880*((Z2862+Z2871)/(Y2862+Y2871))^$F2880</f>
        <v/>
      </c>
      <c r="AA2880" s="44">
        <f>Z2880*$G2880*(1+AA$7)^$D2880*(AA2862/Z2862)^$E2880*((AA2862+AA2871)/(Z2862+Z2871))^$F2880</f>
        <v/>
      </c>
      <c r="AB2880" s="44">
        <f>AA2880*$G2880*(1+AB$7)^$D2880*(AB2862/AA2862)^$E2880*((AB2862+AB2871)/(AA2862+AA2871))^$F2880</f>
        <v/>
      </c>
      <c r="AC2880" s="44">
        <f>AB2880*$G2880*(1+AC$7)^$D2880*(AC2862/AB2862)^$E2880*((AC2862+AC2871)/(AB2862+AB2871))^$F2880</f>
        <v/>
      </c>
      <c r="AD2880" s="44">
        <f>AC2880*$G2880*(1+AD$7)^$D2880*(AD2862/AC2862)^$E2880*((AD2862+AD2871)/(AC2862+AC2871))^$F2880</f>
        <v/>
      </c>
      <c r="AE2880" s="57">
        <f>FUELUSE(AD2880,AE2862,AD2862,AE2871,AD2871,AE$7,$D2880,$E2880,$F2880,$G2880)</f>
        <v/>
      </c>
      <c r="AG2880" s="11">
        <f>CodePrefix&amp;$A2880&amp;IF($C2880="","","."&amp;$C2880&amp;"."&amp;$B2880)&amp;INDEX(VarEnd,MATCH($A2880,VarKey,0))&amp;AG$5</f>
        <v/>
      </c>
      <c r="AH2880" s="43">
        <f>INDEX(Inputs!$X$5:$X$132,MATCH($B2880&amp;"|"&amp;$C2880,Inputs!$A$5:$A$132,0))</f>
        <v/>
      </c>
      <c r="AI2880" s="44">
        <f>AH2880*$G2880*(1+AI$7)^$D2880*(AI2862/AH2862)^$E2880*((AI2862+AI2871)/(AH2862+AH2871))^$F2880</f>
        <v/>
      </c>
      <c r="AJ2880" s="44">
        <f>AI2880*$G2880*(1+AJ$7)^$D2880*(AJ2862/AI2862)^$E2880*((AJ2862+AJ2871)/(AI2862+AI2871))^$F2880</f>
        <v/>
      </c>
      <c r="AK2880" s="44">
        <f>AJ2880*$G2880*(1+AK$7)^$D2880*(AK2862/AJ2862)^$E2880*((AK2862+AK2871)/(AJ2862+AJ2871))^$F2880</f>
        <v/>
      </c>
      <c r="AL2880" s="44">
        <f>AK2880*$G2880*(1+AL$7)^$D2880*(AL2862/AK2862)^$E2880*((AL2862+AL2871)/(AK2862+AK2871))^$F2880</f>
        <v/>
      </c>
      <c r="AM2880" s="44">
        <f>AL2880*$G2880*(1+AM$7)^$D2880*(AM2862/AL2862)^$E2880*((AM2862+AM2871)/(AL2862+AL2871))^$F2880</f>
        <v/>
      </c>
      <c r="AN2880" s="44">
        <f>AM2880*$G2880*(1+AN$7)^$D2880*(AN2862/AM2862)^$E2880*((AN2862+AN2871)/(AM2862+AM2871))^$F2880</f>
        <v/>
      </c>
      <c r="AO2880" s="44">
        <f>AN2880*$G2880*(1+AO$7)^$D2880*(AO2862/AN2862)^$E2880*((AO2862+AO2871)/(AN2862+AN2871))^$F2880</f>
        <v/>
      </c>
      <c r="AP2880" s="44">
        <f>AO2880*$G2880*(1+AP$7)^$D2880*(AP2862/AO2862)^$E2880*((AP2862+AP2871)/(AO2862+AO2871))^$F2880</f>
        <v/>
      </c>
      <c r="AQ2880" s="44">
        <f>AP2880*$G2880*(1+AQ$7)^$D2880*(AQ2862/AP2862)^$E2880*((AQ2862+AQ2871)/(AP2862+AP2871))^$F2880</f>
        <v/>
      </c>
      <c r="AR2880" s="44">
        <f>AQ2880*$G2880*(1+AR$7)^$D2880*(AR2862/AQ2862)^$E2880*((AR2862+AR2871)/(AQ2862+AQ2871))^$F2880</f>
        <v/>
      </c>
      <c r="AS2880" s="44">
        <f>AR2880*$G2880*(1+AS$7)^$D2880*(AS2862/AR2862)^$E2880*((AS2862+AS2871)/(AR2862+AR2871))^$F2880</f>
        <v/>
      </c>
      <c r="AT2880" s="44">
        <f>AS2880*$G2880*(1+AT$7)^$D2880*(AT2862/AS2862)^$E2880*((AT2862+AT2871)/(AS2862+AS2871))^$F2880</f>
        <v/>
      </c>
      <c r="AU2880" s="44">
        <f>AT2880*$G2880*(1+AU$7)^$D2880*(AU2862/AT2862)^$E2880*((AU2862+AU2871)/(AT2862+AT2871))^$F2880</f>
        <v/>
      </c>
      <c r="AV2880" s="44">
        <f>AU2880*$G2880*(1+AV$7)^$D2880*(AV2862/AU2862)^$E2880*((AV2862+AV2871)/(AU2862+AU2871))^$F2880</f>
        <v/>
      </c>
      <c r="AW2880" s="44">
        <f>AV2880*$G2880*(1+AW$7)^$D2880*(AW2862/AV2862)^$E2880*((AW2862+AW2871)/(AV2862+AV2871))^$F2880</f>
        <v/>
      </c>
      <c r="AX2880" s="44">
        <f>AW2880*$G2880*(1+AX$7)^$D2880*(AX2862/AW2862)^$E2880*((AX2862+AX2871)/(AW2862+AW2871))^$F2880</f>
        <v/>
      </c>
      <c r="AY2880" s="44">
        <f>AX2880*$G2880*(1+AY$7)^$D2880*(AY2862/AX2862)^$E2880*((AY2862+AY2871)/(AX2862+AX2871))^$F2880</f>
        <v/>
      </c>
      <c r="AZ2880" s="44">
        <f>AY2880*$G2880*(1+AZ$7)^$D2880*(AZ2862/AY2862)^$E2880*((AZ2862+AZ2871)/(AY2862+AY2871))^$F2880</f>
        <v/>
      </c>
      <c r="BA2880" s="57">
        <f>FUELUSE(AZ2880,BA2862,AZ2862,BA2871,AZ2871,BA$7,$D2880,$E2880,$F2880,$G2880)</f>
        <v/>
      </c>
    </row>
    <row r="2881" hidden="1" outlineLevel="2">
      <c r="A2881" s="14" t="inlineStr">
        <is>
          <t>ener</t>
        </is>
      </c>
      <c r="B2881" s="14" t="inlineStr">
        <is>
          <t>lpg</t>
        </is>
      </c>
      <c r="C2881" s="14" t="inlineStr">
        <is>
          <t>ftr</t>
        </is>
      </c>
      <c r="D2881" s="35">
        <f>INDEX(Inputs!$O$5:$O$132,MATCH($B2881&amp;"|"&amp;$C2881,Inputs!$A$5:$A$132,0))</f>
        <v/>
      </c>
      <c r="E2881" s="35">
        <f>INDEX(Inputs!$P$5:$P$132,MATCH($B2881&amp;"|"&amp;$C2881,Inputs!$A$5:$A$132,0))</f>
        <v/>
      </c>
      <c r="F2881" s="35">
        <f>INDEX(Inputs!$T$5:$T$132,MATCH($B2881&amp;"|"&amp;$C2881,Inputs!$A$5:$A$132,0))</f>
        <v/>
      </c>
      <c r="G2881" s="35">
        <f>INDEX(Inputs!$S$5:$S$132,MATCH($B2881&amp;"|"&amp;$C2881,Inputs!$A$5:$A$132,0))</f>
        <v/>
      </c>
      <c r="H2881" s="14">
        <f>INDEX(VarLab,MATCH($A2881,VarKey,0))&amp;INDEX(MemLab,MATCH($C2881&amp;"|"&amp;$B2881,MemKey,0))</f>
        <v/>
      </c>
      <c r="I2881" s="14">
        <f>INDEX(VarUnit,MATCH($A2881,VarKey,0))</f>
        <v/>
      </c>
      <c r="J2881" s="14">
        <f>INDEX(VarSrc,MATCH($A2881,VarKey,0))</f>
        <v/>
      </c>
      <c r="K2881" s="11">
        <f>CodePrefix&amp;$A2881&amp;IF($C2881="","","."&amp;$C2881&amp;"."&amp;$B2881)&amp;INDEX(VarEnd,MATCH($A2881,VarKey,0))&amp;K$5</f>
        <v/>
      </c>
      <c r="L2881" s="43">
        <f>INDEX(Inputs!$X$5:$X$132,MATCH($B2881&amp;"|"&amp;$C2881,Inputs!$A$5:$A$132,0))</f>
        <v/>
      </c>
      <c r="M2881" s="44">
        <f>L2881*$G2881*(1+M$7)^$D2881*(M2863/L2863)^$E2881*((M2863+M2872)/(L2863+L2872))^$F2881</f>
        <v/>
      </c>
      <c r="N2881" s="44">
        <f>M2881*$G2881*(1+N$7)^$D2881*(N2863/M2863)^$E2881*((N2863+N2872)/(M2863+M2872))^$F2881</f>
        <v/>
      </c>
      <c r="O2881" s="44">
        <f>N2881*$G2881*(1+O$7)^$D2881*(O2863/N2863)^$E2881*((O2863+O2872)/(N2863+N2872))^$F2881</f>
        <v/>
      </c>
      <c r="P2881" s="44">
        <f>O2881*$G2881*(1+P$7)^$D2881*(P2863/O2863)^$E2881*((P2863+P2872)/(O2863+O2872))^$F2881</f>
        <v/>
      </c>
      <c r="Q2881" s="44">
        <f>P2881*$G2881*(1+Q$7)^$D2881*(Q2863/P2863)^$E2881*((Q2863+Q2872)/(P2863+P2872))^$F2881</f>
        <v/>
      </c>
      <c r="R2881" s="44">
        <f>Q2881*$G2881*(1+R$7)^$D2881*(R2863/Q2863)^$E2881*((R2863+R2872)/(Q2863+Q2872))^$F2881</f>
        <v/>
      </c>
      <c r="S2881" s="44">
        <f>R2881*$G2881*(1+S$7)^$D2881*(S2863/R2863)^$E2881*((S2863+S2872)/(R2863+R2872))^$F2881</f>
        <v/>
      </c>
      <c r="T2881" s="44">
        <f>S2881*$G2881*(1+T$7)^$D2881*(T2863/S2863)^$E2881*((T2863+T2872)/(S2863+S2872))^$F2881</f>
        <v/>
      </c>
      <c r="U2881" s="44">
        <f>T2881*$G2881*(1+U$7)^$D2881*(U2863/T2863)^$E2881*((U2863+U2872)/(T2863+T2872))^$F2881</f>
        <v/>
      </c>
      <c r="V2881" s="44">
        <f>U2881*$G2881*(1+V$7)^$D2881*(V2863/U2863)^$E2881*((V2863+V2872)/(U2863+U2872))^$F2881</f>
        <v/>
      </c>
      <c r="W2881" s="44">
        <f>V2881*$G2881*(1+W$7)^$D2881*(W2863/V2863)^$E2881*((W2863+W2872)/(V2863+V2872))^$F2881</f>
        <v/>
      </c>
      <c r="X2881" s="44">
        <f>W2881*$G2881*(1+X$7)^$D2881*(X2863/W2863)^$E2881*((X2863+X2872)/(W2863+W2872))^$F2881</f>
        <v/>
      </c>
      <c r="Y2881" s="44">
        <f>X2881*$G2881*(1+Y$7)^$D2881*(Y2863/X2863)^$E2881*((Y2863+Y2872)/(X2863+X2872))^$F2881</f>
        <v/>
      </c>
      <c r="Z2881" s="44">
        <f>Y2881*$G2881*(1+Z$7)^$D2881*(Z2863/Y2863)^$E2881*((Z2863+Z2872)/(Y2863+Y2872))^$F2881</f>
        <v/>
      </c>
      <c r="AA2881" s="44">
        <f>Z2881*$G2881*(1+AA$7)^$D2881*(AA2863/Z2863)^$E2881*((AA2863+AA2872)/(Z2863+Z2872))^$F2881</f>
        <v/>
      </c>
      <c r="AB2881" s="44">
        <f>AA2881*$G2881*(1+AB$7)^$D2881*(AB2863/AA2863)^$E2881*((AB2863+AB2872)/(AA2863+AA2872))^$F2881</f>
        <v/>
      </c>
      <c r="AC2881" s="44">
        <f>AB2881*$G2881*(1+AC$7)^$D2881*(AC2863/AB2863)^$E2881*((AC2863+AC2872)/(AB2863+AB2872))^$F2881</f>
        <v/>
      </c>
      <c r="AD2881" s="44">
        <f>AC2881*$G2881*(1+AD$7)^$D2881*(AD2863/AC2863)^$E2881*((AD2863+AD2872)/(AC2863+AC2872))^$F2881</f>
        <v/>
      </c>
      <c r="AE2881" s="57">
        <f>FUELUSE(AD2881,AE2863,AD2863,AE2872,AD2872,AE$7,$D2881,$E2881,$F2881,$G2881)</f>
        <v/>
      </c>
      <c r="AG2881" s="11">
        <f>CodePrefix&amp;$A2881&amp;IF($C2881="","","."&amp;$C2881&amp;"."&amp;$B2881)&amp;INDEX(VarEnd,MATCH($A2881,VarKey,0))&amp;AG$5</f>
        <v/>
      </c>
      <c r="AH2881" s="43">
        <f>INDEX(Inputs!$X$5:$X$132,MATCH($B2881&amp;"|"&amp;$C2881,Inputs!$A$5:$A$132,0))</f>
        <v/>
      </c>
      <c r="AI2881" s="44">
        <f>AH2881*$G2881*(1+AI$7)^$D2881*(AI2863/AH2863)^$E2881*((AI2863+AI2872)/(AH2863+AH2872))^$F2881</f>
        <v/>
      </c>
      <c r="AJ2881" s="44">
        <f>AI2881*$G2881*(1+AJ$7)^$D2881*(AJ2863/AI2863)^$E2881*((AJ2863+AJ2872)/(AI2863+AI2872))^$F2881</f>
        <v/>
      </c>
      <c r="AK2881" s="44">
        <f>AJ2881*$G2881*(1+AK$7)^$D2881*(AK2863/AJ2863)^$E2881*((AK2863+AK2872)/(AJ2863+AJ2872))^$F2881</f>
        <v/>
      </c>
      <c r="AL2881" s="44">
        <f>AK2881*$G2881*(1+AL$7)^$D2881*(AL2863/AK2863)^$E2881*((AL2863+AL2872)/(AK2863+AK2872))^$F2881</f>
        <v/>
      </c>
      <c r="AM2881" s="44">
        <f>AL2881*$G2881*(1+AM$7)^$D2881*(AM2863/AL2863)^$E2881*((AM2863+AM2872)/(AL2863+AL2872))^$F2881</f>
        <v/>
      </c>
      <c r="AN2881" s="44">
        <f>AM2881*$G2881*(1+AN$7)^$D2881*(AN2863/AM2863)^$E2881*((AN2863+AN2872)/(AM2863+AM2872))^$F2881</f>
        <v/>
      </c>
      <c r="AO2881" s="44">
        <f>AN2881*$G2881*(1+AO$7)^$D2881*(AO2863/AN2863)^$E2881*((AO2863+AO2872)/(AN2863+AN2872))^$F2881</f>
        <v/>
      </c>
      <c r="AP2881" s="44">
        <f>AO2881*$G2881*(1+AP$7)^$D2881*(AP2863/AO2863)^$E2881*((AP2863+AP2872)/(AO2863+AO2872))^$F2881</f>
        <v/>
      </c>
      <c r="AQ2881" s="44">
        <f>AP2881*$G2881*(1+AQ$7)^$D2881*(AQ2863/AP2863)^$E2881*((AQ2863+AQ2872)/(AP2863+AP2872))^$F2881</f>
        <v/>
      </c>
      <c r="AR2881" s="44">
        <f>AQ2881*$G2881*(1+AR$7)^$D2881*(AR2863/AQ2863)^$E2881*((AR2863+AR2872)/(AQ2863+AQ2872))^$F2881</f>
        <v/>
      </c>
      <c r="AS2881" s="44">
        <f>AR2881*$G2881*(1+AS$7)^$D2881*(AS2863/AR2863)^$E2881*((AS2863+AS2872)/(AR2863+AR2872))^$F2881</f>
        <v/>
      </c>
      <c r="AT2881" s="44">
        <f>AS2881*$G2881*(1+AT$7)^$D2881*(AT2863/AS2863)^$E2881*((AT2863+AT2872)/(AS2863+AS2872))^$F2881</f>
        <v/>
      </c>
      <c r="AU2881" s="44">
        <f>AT2881*$G2881*(1+AU$7)^$D2881*(AU2863/AT2863)^$E2881*((AU2863+AU2872)/(AT2863+AT2872))^$F2881</f>
        <v/>
      </c>
      <c r="AV2881" s="44">
        <f>AU2881*$G2881*(1+AV$7)^$D2881*(AV2863/AU2863)^$E2881*((AV2863+AV2872)/(AU2863+AU2872))^$F2881</f>
        <v/>
      </c>
      <c r="AW2881" s="44">
        <f>AV2881*$G2881*(1+AW$7)^$D2881*(AW2863/AV2863)^$E2881*((AW2863+AW2872)/(AV2863+AV2872))^$F2881</f>
        <v/>
      </c>
      <c r="AX2881" s="44">
        <f>AW2881*$G2881*(1+AX$7)^$D2881*(AX2863/AW2863)^$E2881*((AX2863+AX2872)/(AW2863+AW2872))^$F2881</f>
        <v/>
      </c>
      <c r="AY2881" s="44">
        <f>AX2881*$G2881*(1+AY$7)^$D2881*(AY2863/AX2863)^$E2881*((AY2863+AY2872)/(AX2863+AX2872))^$F2881</f>
        <v/>
      </c>
      <c r="AZ2881" s="44">
        <f>AY2881*$G2881*(1+AZ$7)^$D2881*(AZ2863/AY2863)^$E2881*((AZ2863+AZ2872)/(AY2863+AY2872))^$F2881</f>
        <v/>
      </c>
      <c r="BA2881" s="57">
        <f>FUELUSE(AZ2881,BA2863,AZ2863,BA2872,AZ2872,BA$7,$D2881,$E2881,$F2881,$G2881)</f>
        <v/>
      </c>
    </row>
    <row r="2882" hidden="1" outlineLevel="2">
      <c r="A2882" s="14" t="inlineStr">
        <is>
          <t>ener</t>
        </is>
      </c>
      <c r="B2882" s="14" t="inlineStr">
        <is>
          <t>ker</t>
        </is>
      </c>
      <c r="C2882" s="14" t="inlineStr">
        <is>
          <t>ftr</t>
        </is>
      </c>
      <c r="D2882" s="35">
        <f>INDEX(Inputs!$O$5:$O$132,MATCH($B2882&amp;"|"&amp;$C2882,Inputs!$A$5:$A$132,0))</f>
        <v/>
      </c>
      <c r="E2882" s="35">
        <f>INDEX(Inputs!$P$5:$P$132,MATCH($B2882&amp;"|"&amp;$C2882,Inputs!$A$5:$A$132,0))</f>
        <v/>
      </c>
      <c r="F2882" s="35">
        <f>INDEX(Inputs!$T$5:$T$132,MATCH($B2882&amp;"|"&amp;$C2882,Inputs!$A$5:$A$132,0))</f>
        <v/>
      </c>
      <c r="G2882" s="35">
        <f>INDEX(Inputs!$S$5:$S$132,MATCH($B2882&amp;"|"&amp;$C2882,Inputs!$A$5:$A$132,0))</f>
        <v/>
      </c>
      <c r="H2882" s="14">
        <f>INDEX(VarLab,MATCH($A2882,VarKey,0))&amp;INDEX(MemLab,MATCH($C2882&amp;"|"&amp;$B2882,MemKey,0))</f>
        <v/>
      </c>
      <c r="I2882" s="14">
        <f>INDEX(VarUnit,MATCH($A2882,VarKey,0))</f>
        <v/>
      </c>
      <c r="J2882" s="14">
        <f>INDEX(VarSrc,MATCH($A2882,VarKey,0))</f>
        <v/>
      </c>
      <c r="K2882" s="11">
        <f>CodePrefix&amp;$A2882&amp;IF($C2882="","","."&amp;$C2882&amp;"."&amp;$B2882)&amp;INDEX(VarEnd,MATCH($A2882,VarKey,0))&amp;K$5</f>
        <v/>
      </c>
      <c r="L2882" s="43">
        <f>INDEX(Inputs!$X$5:$X$132,MATCH($B2882&amp;"|"&amp;$C2882,Inputs!$A$5:$A$132,0))</f>
        <v/>
      </c>
      <c r="M2882" s="44">
        <f>L2882*$G2882*(1+M$7)^$D2882*(M2864/L2864)^$E2882*((M2864+M2873)/(L2864+L2873))^$F2882</f>
        <v/>
      </c>
      <c r="N2882" s="44">
        <f>M2882*$G2882*(1+N$7)^$D2882*(N2864/M2864)^$E2882*((N2864+N2873)/(M2864+M2873))^$F2882</f>
        <v/>
      </c>
      <c r="O2882" s="44">
        <f>N2882*$G2882*(1+O$7)^$D2882*(O2864/N2864)^$E2882*((O2864+O2873)/(N2864+N2873))^$F2882</f>
        <v/>
      </c>
      <c r="P2882" s="44">
        <f>O2882*$G2882*(1+P$7)^$D2882*(P2864/O2864)^$E2882*((P2864+P2873)/(O2864+O2873))^$F2882</f>
        <v/>
      </c>
      <c r="Q2882" s="44">
        <f>P2882*$G2882*(1+Q$7)^$D2882*(Q2864/P2864)^$E2882*((Q2864+Q2873)/(P2864+P2873))^$F2882</f>
        <v/>
      </c>
      <c r="R2882" s="44">
        <f>Q2882*$G2882*(1+R$7)^$D2882*(R2864/Q2864)^$E2882*((R2864+R2873)/(Q2864+Q2873))^$F2882</f>
        <v/>
      </c>
      <c r="S2882" s="44">
        <f>R2882*$G2882*(1+S$7)^$D2882*(S2864/R2864)^$E2882*((S2864+S2873)/(R2864+R2873))^$F2882</f>
        <v/>
      </c>
      <c r="T2882" s="44">
        <f>S2882*$G2882*(1+T$7)^$D2882*(T2864/S2864)^$E2882*((T2864+T2873)/(S2864+S2873))^$F2882</f>
        <v/>
      </c>
      <c r="U2882" s="44">
        <f>T2882*$G2882*(1+U$7)^$D2882*(U2864/T2864)^$E2882*((U2864+U2873)/(T2864+T2873))^$F2882</f>
        <v/>
      </c>
      <c r="V2882" s="44">
        <f>U2882*$G2882*(1+V$7)^$D2882*(V2864/U2864)^$E2882*((V2864+V2873)/(U2864+U2873))^$F2882</f>
        <v/>
      </c>
      <c r="W2882" s="44">
        <f>V2882*$G2882*(1+W$7)^$D2882*(W2864/V2864)^$E2882*((W2864+W2873)/(V2864+V2873))^$F2882</f>
        <v/>
      </c>
      <c r="X2882" s="44">
        <f>W2882*$G2882*(1+X$7)^$D2882*(X2864/W2864)^$E2882*((X2864+X2873)/(W2864+W2873))^$F2882</f>
        <v/>
      </c>
      <c r="Y2882" s="44">
        <f>X2882*$G2882*(1+Y$7)^$D2882*(Y2864/X2864)^$E2882*((Y2864+Y2873)/(X2864+X2873))^$F2882</f>
        <v/>
      </c>
      <c r="Z2882" s="44">
        <f>Y2882*$G2882*(1+Z$7)^$D2882*(Z2864/Y2864)^$E2882*((Z2864+Z2873)/(Y2864+Y2873))^$F2882</f>
        <v/>
      </c>
      <c r="AA2882" s="44">
        <f>Z2882*$G2882*(1+AA$7)^$D2882*(AA2864/Z2864)^$E2882*((AA2864+AA2873)/(Z2864+Z2873))^$F2882</f>
        <v/>
      </c>
      <c r="AB2882" s="44">
        <f>AA2882*$G2882*(1+AB$7)^$D2882*(AB2864/AA2864)^$E2882*((AB2864+AB2873)/(AA2864+AA2873))^$F2882</f>
        <v/>
      </c>
      <c r="AC2882" s="44">
        <f>AB2882*$G2882*(1+AC$7)^$D2882*(AC2864/AB2864)^$E2882*((AC2864+AC2873)/(AB2864+AB2873))^$F2882</f>
        <v/>
      </c>
      <c r="AD2882" s="44">
        <f>AC2882*$G2882*(1+AD$7)^$D2882*(AD2864/AC2864)^$E2882*((AD2864+AD2873)/(AC2864+AC2873))^$F2882</f>
        <v/>
      </c>
      <c r="AE2882" s="57">
        <f>FUELUSE(AD2882,AE2864,AD2864,AE2873,AD2873,AE$7,$D2882,$E2882,$F2882,$G2882)</f>
        <v/>
      </c>
      <c r="AG2882" s="11">
        <f>CodePrefix&amp;$A2882&amp;IF($C2882="","","."&amp;$C2882&amp;"."&amp;$B2882)&amp;INDEX(VarEnd,MATCH($A2882,VarKey,0))&amp;AG$5</f>
        <v/>
      </c>
      <c r="AH2882" s="43">
        <f>INDEX(Inputs!$X$5:$X$132,MATCH($B2882&amp;"|"&amp;$C2882,Inputs!$A$5:$A$132,0))</f>
        <v/>
      </c>
      <c r="AI2882" s="44">
        <f>AH2882*$G2882*(1+AI$7)^$D2882*(AI2864/AH2864)^$E2882*((AI2864+AI2873)/(AH2864+AH2873))^$F2882</f>
        <v/>
      </c>
      <c r="AJ2882" s="44">
        <f>AI2882*$G2882*(1+AJ$7)^$D2882*(AJ2864/AI2864)^$E2882*((AJ2864+AJ2873)/(AI2864+AI2873))^$F2882</f>
        <v/>
      </c>
      <c r="AK2882" s="44">
        <f>AJ2882*$G2882*(1+AK$7)^$D2882*(AK2864/AJ2864)^$E2882*((AK2864+AK2873)/(AJ2864+AJ2873))^$F2882</f>
        <v/>
      </c>
      <c r="AL2882" s="44">
        <f>AK2882*$G2882*(1+AL$7)^$D2882*(AL2864/AK2864)^$E2882*((AL2864+AL2873)/(AK2864+AK2873))^$F2882</f>
        <v/>
      </c>
      <c r="AM2882" s="44">
        <f>AL2882*$G2882*(1+AM$7)^$D2882*(AM2864/AL2864)^$E2882*((AM2864+AM2873)/(AL2864+AL2873))^$F2882</f>
        <v/>
      </c>
      <c r="AN2882" s="44">
        <f>AM2882*$G2882*(1+AN$7)^$D2882*(AN2864/AM2864)^$E2882*((AN2864+AN2873)/(AM2864+AM2873))^$F2882</f>
        <v/>
      </c>
      <c r="AO2882" s="44">
        <f>AN2882*$G2882*(1+AO$7)^$D2882*(AO2864/AN2864)^$E2882*((AO2864+AO2873)/(AN2864+AN2873))^$F2882</f>
        <v/>
      </c>
      <c r="AP2882" s="44">
        <f>AO2882*$G2882*(1+AP$7)^$D2882*(AP2864/AO2864)^$E2882*((AP2864+AP2873)/(AO2864+AO2873))^$F2882</f>
        <v/>
      </c>
      <c r="AQ2882" s="44">
        <f>AP2882*$G2882*(1+AQ$7)^$D2882*(AQ2864/AP2864)^$E2882*((AQ2864+AQ2873)/(AP2864+AP2873))^$F2882</f>
        <v/>
      </c>
      <c r="AR2882" s="44">
        <f>AQ2882*$G2882*(1+AR$7)^$D2882*(AR2864/AQ2864)^$E2882*((AR2864+AR2873)/(AQ2864+AQ2873))^$F2882</f>
        <v/>
      </c>
      <c r="AS2882" s="44">
        <f>AR2882*$G2882*(1+AS$7)^$D2882*(AS2864/AR2864)^$E2882*((AS2864+AS2873)/(AR2864+AR2873))^$F2882</f>
        <v/>
      </c>
      <c r="AT2882" s="44">
        <f>AS2882*$G2882*(1+AT$7)^$D2882*(AT2864/AS2864)^$E2882*((AT2864+AT2873)/(AS2864+AS2873))^$F2882</f>
        <v/>
      </c>
      <c r="AU2882" s="44">
        <f>AT2882*$G2882*(1+AU$7)^$D2882*(AU2864/AT2864)^$E2882*((AU2864+AU2873)/(AT2864+AT2873))^$F2882</f>
        <v/>
      </c>
      <c r="AV2882" s="44">
        <f>AU2882*$G2882*(1+AV$7)^$D2882*(AV2864/AU2864)^$E2882*((AV2864+AV2873)/(AU2864+AU2873))^$F2882</f>
        <v/>
      </c>
      <c r="AW2882" s="44">
        <f>AV2882*$G2882*(1+AW$7)^$D2882*(AW2864/AV2864)^$E2882*((AW2864+AW2873)/(AV2864+AV2873))^$F2882</f>
        <v/>
      </c>
      <c r="AX2882" s="44">
        <f>AW2882*$G2882*(1+AX$7)^$D2882*(AX2864/AW2864)^$E2882*((AX2864+AX2873)/(AW2864+AW2873))^$F2882</f>
        <v/>
      </c>
      <c r="AY2882" s="44">
        <f>AX2882*$G2882*(1+AY$7)^$D2882*(AY2864/AX2864)^$E2882*((AY2864+AY2873)/(AX2864+AX2873))^$F2882</f>
        <v/>
      </c>
      <c r="AZ2882" s="44">
        <f>AY2882*$G2882*(1+AZ$7)^$D2882*(AZ2864/AY2864)^$E2882*((AZ2864+AZ2873)/(AY2864+AY2873))^$F2882</f>
        <v/>
      </c>
      <c r="BA2882" s="57">
        <f>FUELUSE(AZ2882,BA2864,AZ2864,BA2873,AZ2873,BA$7,$D2882,$E2882,$F2882,$G2882)</f>
        <v/>
      </c>
    </row>
    <row r="2883" hidden="1" outlineLevel="2">
      <c r="A2883" s="14" t="inlineStr">
        <is>
          <t>ener</t>
        </is>
      </c>
      <c r="B2883" s="14" t="inlineStr">
        <is>
          <t>oop</t>
        </is>
      </c>
      <c r="C2883" s="14" t="inlineStr">
        <is>
          <t>ftr</t>
        </is>
      </c>
      <c r="D2883" s="35">
        <f>INDEX(Inputs!$O$5:$O$132,MATCH($B2883&amp;"|"&amp;$C2883,Inputs!$A$5:$A$132,0))</f>
        <v/>
      </c>
      <c r="E2883" s="35">
        <f>INDEX(Inputs!$P$5:$P$132,MATCH($B2883&amp;"|"&amp;$C2883,Inputs!$A$5:$A$132,0))</f>
        <v/>
      </c>
      <c r="F2883" s="35">
        <f>INDEX(Inputs!$T$5:$T$132,MATCH($B2883&amp;"|"&amp;$C2883,Inputs!$A$5:$A$132,0))</f>
        <v/>
      </c>
      <c r="G2883" s="35">
        <f>INDEX(Inputs!$S$5:$S$132,MATCH($B2883&amp;"|"&amp;$C2883,Inputs!$A$5:$A$132,0))</f>
        <v/>
      </c>
      <c r="H2883" s="14">
        <f>INDEX(VarLab,MATCH($A2883,VarKey,0))&amp;INDEX(MemLab,MATCH($C2883&amp;"|"&amp;$B2883,MemKey,0))</f>
        <v/>
      </c>
      <c r="I2883" s="14">
        <f>INDEX(VarUnit,MATCH($A2883,VarKey,0))</f>
        <v/>
      </c>
      <c r="J2883" s="14">
        <f>INDEX(VarSrc,MATCH($A2883,VarKey,0))</f>
        <v/>
      </c>
      <c r="K2883" s="11">
        <f>CodePrefix&amp;$A2883&amp;IF($C2883="","","."&amp;$C2883&amp;"."&amp;$B2883)&amp;INDEX(VarEnd,MATCH($A2883,VarKey,0))&amp;K$5</f>
        <v/>
      </c>
      <c r="L2883" s="43">
        <f>INDEX(Inputs!$X$5:$X$132,MATCH($B2883&amp;"|"&amp;$C2883,Inputs!$A$5:$A$132,0))</f>
        <v/>
      </c>
      <c r="M2883" s="44">
        <f>L2883*$G2883*(1+M$7)^$D2883*(M2865/L2865)^$E2883*((M2865+M2874)/(L2865+L2874))^$F2883</f>
        <v/>
      </c>
      <c r="N2883" s="44">
        <f>M2883*$G2883*(1+N$7)^$D2883*(N2865/M2865)^$E2883*((N2865+N2874)/(M2865+M2874))^$F2883</f>
        <v/>
      </c>
      <c r="O2883" s="44">
        <f>N2883*$G2883*(1+O$7)^$D2883*(O2865/N2865)^$E2883*((O2865+O2874)/(N2865+N2874))^$F2883</f>
        <v/>
      </c>
      <c r="P2883" s="44">
        <f>O2883*$G2883*(1+P$7)^$D2883*(P2865/O2865)^$E2883*((P2865+P2874)/(O2865+O2874))^$F2883</f>
        <v/>
      </c>
      <c r="Q2883" s="44">
        <f>P2883*$G2883*(1+Q$7)^$D2883*(Q2865/P2865)^$E2883*((Q2865+Q2874)/(P2865+P2874))^$F2883</f>
        <v/>
      </c>
      <c r="R2883" s="44">
        <f>Q2883*$G2883*(1+R$7)^$D2883*(R2865/Q2865)^$E2883*((R2865+R2874)/(Q2865+Q2874))^$F2883</f>
        <v/>
      </c>
      <c r="S2883" s="44">
        <f>R2883*$G2883*(1+S$7)^$D2883*(S2865/R2865)^$E2883*((S2865+S2874)/(R2865+R2874))^$F2883</f>
        <v/>
      </c>
      <c r="T2883" s="44">
        <f>S2883*$G2883*(1+T$7)^$D2883*(T2865/S2865)^$E2883*((T2865+T2874)/(S2865+S2874))^$F2883</f>
        <v/>
      </c>
      <c r="U2883" s="44">
        <f>T2883*$G2883*(1+U$7)^$D2883*(U2865/T2865)^$E2883*((U2865+U2874)/(T2865+T2874))^$F2883</f>
        <v/>
      </c>
      <c r="V2883" s="44">
        <f>U2883*$G2883*(1+V$7)^$D2883*(V2865/U2865)^$E2883*((V2865+V2874)/(U2865+U2874))^$F2883</f>
        <v/>
      </c>
      <c r="W2883" s="44">
        <f>V2883*$G2883*(1+W$7)^$D2883*(W2865/V2865)^$E2883*((W2865+W2874)/(V2865+V2874))^$F2883</f>
        <v/>
      </c>
      <c r="X2883" s="44">
        <f>W2883*$G2883*(1+X$7)^$D2883*(X2865/W2865)^$E2883*((X2865+X2874)/(W2865+W2874))^$F2883</f>
        <v/>
      </c>
      <c r="Y2883" s="44">
        <f>X2883*$G2883*(1+Y$7)^$D2883*(Y2865/X2865)^$E2883*((Y2865+Y2874)/(X2865+X2874))^$F2883</f>
        <v/>
      </c>
      <c r="Z2883" s="44">
        <f>Y2883*$G2883*(1+Z$7)^$D2883*(Z2865/Y2865)^$E2883*((Z2865+Z2874)/(Y2865+Y2874))^$F2883</f>
        <v/>
      </c>
      <c r="AA2883" s="44">
        <f>Z2883*$G2883*(1+AA$7)^$D2883*(AA2865/Z2865)^$E2883*((AA2865+AA2874)/(Z2865+Z2874))^$F2883</f>
        <v/>
      </c>
      <c r="AB2883" s="44">
        <f>AA2883*$G2883*(1+AB$7)^$D2883*(AB2865/AA2865)^$E2883*((AB2865+AB2874)/(AA2865+AA2874))^$F2883</f>
        <v/>
      </c>
      <c r="AC2883" s="44">
        <f>AB2883*$G2883*(1+AC$7)^$D2883*(AC2865/AB2865)^$E2883*((AC2865+AC2874)/(AB2865+AB2874))^$F2883</f>
        <v/>
      </c>
      <c r="AD2883" s="44">
        <f>AC2883*$G2883*(1+AD$7)^$D2883*(AD2865/AC2865)^$E2883*((AD2865+AD2874)/(AC2865+AC2874))^$F2883</f>
        <v/>
      </c>
      <c r="AE2883" s="57">
        <f>FUELUSE(AD2883,AE2865,AD2865,AE2874,AD2874,AE$7,$D2883,$E2883,$F2883,$G2883)</f>
        <v/>
      </c>
      <c r="AG2883" s="11">
        <f>CodePrefix&amp;$A2883&amp;IF($C2883="","","."&amp;$C2883&amp;"."&amp;$B2883)&amp;INDEX(VarEnd,MATCH($A2883,VarKey,0))&amp;AG$5</f>
        <v/>
      </c>
      <c r="AH2883" s="43">
        <f>INDEX(Inputs!$X$5:$X$132,MATCH($B2883&amp;"|"&amp;$C2883,Inputs!$A$5:$A$132,0))</f>
        <v/>
      </c>
      <c r="AI2883" s="44">
        <f>AH2883*$G2883*(1+AI$7)^$D2883*(AI2865/AH2865)^$E2883*((AI2865+AI2874)/(AH2865+AH2874))^$F2883</f>
        <v/>
      </c>
      <c r="AJ2883" s="44">
        <f>AI2883*$G2883*(1+AJ$7)^$D2883*(AJ2865/AI2865)^$E2883*((AJ2865+AJ2874)/(AI2865+AI2874))^$F2883</f>
        <v/>
      </c>
      <c r="AK2883" s="44">
        <f>AJ2883*$G2883*(1+AK$7)^$D2883*(AK2865/AJ2865)^$E2883*((AK2865+AK2874)/(AJ2865+AJ2874))^$F2883</f>
        <v/>
      </c>
      <c r="AL2883" s="44">
        <f>AK2883*$G2883*(1+AL$7)^$D2883*(AL2865/AK2865)^$E2883*((AL2865+AL2874)/(AK2865+AK2874))^$F2883</f>
        <v/>
      </c>
      <c r="AM2883" s="44">
        <f>AL2883*$G2883*(1+AM$7)^$D2883*(AM2865/AL2865)^$E2883*((AM2865+AM2874)/(AL2865+AL2874))^$F2883</f>
        <v/>
      </c>
      <c r="AN2883" s="44">
        <f>AM2883*$G2883*(1+AN$7)^$D2883*(AN2865/AM2865)^$E2883*((AN2865+AN2874)/(AM2865+AM2874))^$F2883</f>
        <v/>
      </c>
      <c r="AO2883" s="44">
        <f>AN2883*$G2883*(1+AO$7)^$D2883*(AO2865/AN2865)^$E2883*((AO2865+AO2874)/(AN2865+AN2874))^$F2883</f>
        <v/>
      </c>
      <c r="AP2883" s="44">
        <f>AO2883*$G2883*(1+AP$7)^$D2883*(AP2865/AO2865)^$E2883*((AP2865+AP2874)/(AO2865+AO2874))^$F2883</f>
        <v/>
      </c>
      <c r="AQ2883" s="44">
        <f>AP2883*$G2883*(1+AQ$7)^$D2883*(AQ2865/AP2865)^$E2883*((AQ2865+AQ2874)/(AP2865+AP2874))^$F2883</f>
        <v/>
      </c>
      <c r="AR2883" s="44">
        <f>AQ2883*$G2883*(1+AR$7)^$D2883*(AR2865/AQ2865)^$E2883*((AR2865+AR2874)/(AQ2865+AQ2874))^$F2883</f>
        <v/>
      </c>
      <c r="AS2883" s="44">
        <f>AR2883*$G2883*(1+AS$7)^$D2883*(AS2865/AR2865)^$E2883*((AS2865+AS2874)/(AR2865+AR2874))^$F2883</f>
        <v/>
      </c>
      <c r="AT2883" s="44">
        <f>AS2883*$G2883*(1+AT$7)^$D2883*(AT2865/AS2865)^$E2883*((AT2865+AT2874)/(AS2865+AS2874))^$F2883</f>
        <v/>
      </c>
      <c r="AU2883" s="44">
        <f>AT2883*$G2883*(1+AU$7)^$D2883*(AU2865/AT2865)^$E2883*((AU2865+AU2874)/(AT2865+AT2874))^$F2883</f>
        <v/>
      </c>
      <c r="AV2883" s="44">
        <f>AU2883*$G2883*(1+AV$7)^$D2883*(AV2865/AU2865)^$E2883*((AV2865+AV2874)/(AU2865+AU2874))^$F2883</f>
        <v/>
      </c>
      <c r="AW2883" s="44">
        <f>AV2883*$G2883*(1+AW$7)^$D2883*(AW2865/AV2865)^$E2883*((AW2865+AW2874)/(AV2865+AV2874))^$F2883</f>
        <v/>
      </c>
      <c r="AX2883" s="44">
        <f>AW2883*$G2883*(1+AX$7)^$D2883*(AX2865/AW2865)^$E2883*((AX2865+AX2874)/(AW2865+AW2874))^$F2883</f>
        <v/>
      </c>
      <c r="AY2883" s="44">
        <f>AX2883*$G2883*(1+AY$7)^$D2883*(AY2865/AX2865)^$E2883*((AY2865+AY2874)/(AX2865+AX2874))^$F2883</f>
        <v/>
      </c>
      <c r="AZ2883" s="44">
        <f>AY2883*$G2883*(1+AZ$7)^$D2883*(AZ2865/AY2865)^$E2883*((AZ2865+AZ2874)/(AY2865+AY2874))^$F2883</f>
        <v/>
      </c>
      <c r="BA2883" s="57">
        <f>FUELUSE(AZ2883,BA2865,AZ2865,BA2874,AZ2874,BA$7,$D2883,$E2883,$F2883,$G2883)</f>
        <v/>
      </c>
    </row>
    <row r="2884" hidden="1" outlineLevel="2">
      <c r="A2884" s="14" t="inlineStr">
        <is>
          <t>ener</t>
        </is>
      </c>
      <c r="B2884" s="14" t="inlineStr">
        <is>
          <t>bio</t>
        </is>
      </c>
      <c r="C2884" s="14" t="inlineStr">
        <is>
          <t>ftr</t>
        </is>
      </c>
      <c r="D2884" s="35">
        <f>INDEX(Inputs!$O$5:$O$132,MATCH($B2884&amp;"|"&amp;$C2884,Inputs!$A$5:$A$132,0))</f>
        <v/>
      </c>
      <c r="E2884" s="35">
        <f>INDEX(Inputs!$P$5:$P$132,MATCH($B2884&amp;"|"&amp;$C2884,Inputs!$A$5:$A$132,0))</f>
        <v/>
      </c>
      <c r="F2884" s="35">
        <f>INDEX(Inputs!$T$5:$T$132,MATCH($B2884&amp;"|"&amp;$C2884,Inputs!$A$5:$A$132,0))</f>
        <v/>
      </c>
      <c r="G2884" s="35">
        <f>INDEX(Inputs!$S$5:$S$132,MATCH($B2884&amp;"|"&amp;$C2884,Inputs!$A$5:$A$132,0))</f>
        <v/>
      </c>
      <c r="H2884" s="14">
        <f>INDEX(VarLab,MATCH($A2884,VarKey,0))&amp;INDEX(MemLab,MATCH($C2884&amp;"|"&amp;$B2884,MemKey,0))</f>
        <v/>
      </c>
      <c r="I2884" s="14">
        <f>INDEX(VarUnit,MATCH($A2884,VarKey,0))</f>
        <v/>
      </c>
      <c r="J2884" s="14">
        <f>INDEX(VarSrc,MATCH($A2884,VarKey,0))</f>
        <v/>
      </c>
      <c r="K2884" s="11">
        <f>CodePrefix&amp;$A2884&amp;IF($C2884="","","."&amp;$C2884&amp;"."&amp;$B2884)&amp;INDEX(VarEnd,MATCH($A2884,VarKey,0))&amp;K$5</f>
        <v/>
      </c>
      <c r="L2884" s="43">
        <f>INDEX(Inputs!$X$5:$X$132,MATCH($B2884&amp;"|"&amp;$C2884,Inputs!$A$5:$A$132,0))</f>
        <v/>
      </c>
      <c r="M2884" s="44">
        <f>L2884*$G2884*(1+M$7)^$D2884*(M2866/L2866)^$E2884*((M2866+M2875)/(L2866+L2875))^$F2884</f>
        <v/>
      </c>
      <c r="N2884" s="44">
        <f>M2884*$G2884*(1+N$7)^$D2884*(N2866/M2866)^$E2884*((N2866+N2875)/(M2866+M2875))^$F2884</f>
        <v/>
      </c>
      <c r="O2884" s="44">
        <f>N2884*$G2884*(1+O$7)^$D2884*(O2866/N2866)^$E2884*((O2866+O2875)/(N2866+N2875))^$F2884</f>
        <v/>
      </c>
      <c r="P2884" s="44">
        <f>O2884*$G2884*(1+P$7)^$D2884*(P2866/O2866)^$E2884*((P2866+P2875)/(O2866+O2875))^$F2884</f>
        <v/>
      </c>
      <c r="Q2884" s="44">
        <f>P2884*$G2884*(1+Q$7)^$D2884*(Q2866/P2866)^$E2884*((Q2866+Q2875)/(P2866+P2875))^$F2884</f>
        <v/>
      </c>
      <c r="R2884" s="44">
        <f>Q2884*$G2884*(1+R$7)^$D2884*(R2866/Q2866)^$E2884*((R2866+R2875)/(Q2866+Q2875))^$F2884</f>
        <v/>
      </c>
      <c r="S2884" s="44">
        <f>R2884*$G2884*(1+S$7)^$D2884*(S2866/R2866)^$E2884*((S2866+S2875)/(R2866+R2875))^$F2884</f>
        <v/>
      </c>
      <c r="T2884" s="44">
        <f>S2884*$G2884*(1+T$7)^$D2884*(T2866/S2866)^$E2884*((T2866+T2875)/(S2866+S2875))^$F2884</f>
        <v/>
      </c>
      <c r="U2884" s="44">
        <f>T2884*$G2884*(1+U$7)^$D2884*(U2866/T2866)^$E2884*((U2866+U2875)/(T2866+T2875))^$F2884</f>
        <v/>
      </c>
      <c r="V2884" s="44">
        <f>U2884*$G2884*(1+V$7)^$D2884*(V2866/U2866)^$E2884*((V2866+V2875)/(U2866+U2875))^$F2884</f>
        <v/>
      </c>
      <c r="W2884" s="44">
        <f>V2884*$G2884*(1+W$7)^$D2884*(W2866/V2866)^$E2884*((W2866+W2875)/(V2866+V2875))^$F2884</f>
        <v/>
      </c>
      <c r="X2884" s="44">
        <f>W2884*$G2884*(1+X$7)^$D2884*(X2866/W2866)^$E2884*((X2866+X2875)/(W2866+W2875))^$F2884</f>
        <v/>
      </c>
      <c r="Y2884" s="44">
        <f>X2884*$G2884*(1+Y$7)^$D2884*(Y2866/X2866)^$E2884*((Y2866+Y2875)/(X2866+X2875))^$F2884</f>
        <v/>
      </c>
      <c r="Z2884" s="44">
        <f>Y2884*$G2884*(1+Z$7)^$D2884*(Z2866/Y2866)^$E2884*((Z2866+Z2875)/(Y2866+Y2875))^$F2884</f>
        <v/>
      </c>
      <c r="AA2884" s="44">
        <f>Z2884*$G2884*(1+AA$7)^$D2884*(AA2866/Z2866)^$E2884*((AA2866+AA2875)/(Z2866+Z2875))^$F2884</f>
        <v/>
      </c>
      <c r="AB2884" s="44">
        <f>AA2884*$G2884*(1+AB$7)^$D2884*(AB2866/AA2866)^$E2884*((AB2866+AB2875)/(AA2866+AA2875))^$F2884</f>
        <v/>
      </c>
      <c r="AC2884" s="44">
        <f>AB2884*$G2884*(1+AC$7)^$D2884*(AC2866/AB2866)^$E2884*((AC2866+AC2875)/(AB2866+AB2875))^$F2884</f>
        <v/>
      </c>
      <c r="AD2884" s="44">
        <f>AC2884*$G2884*(1+AD$7)^$D2884*(AD2866/AC2866)^$E2884*((AD2866+AD2875)/(AC2866+AC2875))^$F2884</f>
        <v/>
      </c>
      <c r="AE2884" s="57">
        <f>FUELUSE(AD2884,AE2866,AD2866,AE2875,AD2875,AE$7,$D2884,$E2884,$F2884,$G2884)</f>
        <v/>
      </c>
      <c r="AG2884" s="11">
        <f>CodePrefix&amp;$A2884&amp;IF($C2884="","","."&amp;$C2884&amp;"."&amp;$B2884)&amp;INDEX(VarEnd,MATCH($A2884,VarKey,0))&amp;AG$5</f>
        <v/>
      </c>
      <c r="AH2884" s="43">
        <f>INDEX(Inputs!$X$5:$X$132,MATCH($B2884&amp;"|"&amp;$C2884,Inputs!$A$5:$A$132,0))</f>
        <v/>
      </c>
      <c r="AI2884" s="44">
        <f>AH2884*$G2884*(1+AI$7)^$D2884*(AI2866/AH2866)^$E2884*((AI2866+AI2875)/(AH2866+AH2875))^$F2884</f>
        <v/>
      </c>
      <c r="AJ2884" s="44">
        <f>AI2884*$G2884*(1+AJ$7)^$D2884*(AJ2866/AI2866)^$E2884*((AJ2866+AJ2875)/(AI2866+AI2875))^$F2884</f>
        <v/>
      </c>
      <c r="AK2884" s="44">
        <f>AJ2884*$G2884*(1+AK$7)^$D2884*(AK2866/AJ2866)^$E2884*((AK2866+AK2875)/(AJ2866+AJ2875))^$F2884</f>
        <v/>
      </c>
      <c r="AL2884" s="44">
        <f>AK2884*$G2884*(1+AL$7)^$D2884*(AL2866/AK2866)^$E2884*((AL2866+AL2875)/(AK2866+AK2875))^$F2884</f>
        <v/>
      </c>
      <c r="AM2884" s="44">
        <f>AL2884*$G2884*(1+AM$7)^$D2884*(AM2866/AL2866)^$E2884*((AM2866+AM2875)/(AL2866+AL2875))^$F2884</f>
        <v/>
      </c>
      <c r="AN2884" s="44">
        <f>AM2884*$G2884*(1+AN$7)^$D2884*(AN2866/AM2866)^$E2884*((AN2866+AN2875)/(AM2866+AM2875))^$F2884</f>
        <v/>
      </c>
      <c r="AO2884" s="44">
        <f>AN2884*$G2884*(1+AO$7)^$D2884*(AO2866/AN2866)^$E2884*((AO2866+AO2875)/(AN2866+AN2875))^$F2884</f>
        <v/>
      </c>
      <c r="AP2884" s="44">
        <f>AO2884*$G2884*(1+AP$7)^$D2884*(AP2866/AO2866)^$E2884*((AP2866+AP2875)/(AO2866+AO2875))^$F2884</f>
        <v/>
      </c>
      <c r="AQ2884" s="44">
        <f>AP2884*$G2884*(1+AQ$7)^$D2884*(AQ2866/AP2866)^$E2884*((AQ2866+AQ2875)/(AP2866+AP2875))^$F2884</f>
        <v/>
      </c>
      <c r="AR2884" s="44">
        <f>AQ2884*$G2884*(1+AR$7)^$D2884*(AR2866/AQ2866)^$E2884*((AR2866+AR2875)/(AQ2866+AQ2875))^$F2884</f>
        <v/>
      </c>
      <c r="AS2884" s="44">
        <f>AR2884*$G2884*(1+AS$7)^$D2884*(AS2866/AR2866)^$E2884*((AS2866+AS2875)/(AR2866+AR2875))^$F2884</f>
        <v/>
      </c>
      <c r="AT2884" s="44">
        <f>AS2884*$G2884*(1+AT$7)^$D2884*(AT2866/AS2866)^$E2884*((AT2866+AT2875)/(AS2866+AS2875))^$F2884</f>
        <v/>
      </c>
      <c r="AU2884" s="44">
        <f>AT2884*$G2884*(1+AU$7)^$D2884*(AU2866/AT2866)^$E2884*((AU2866+AU2875)/(AT2866+AT2875))^$F2884</f>
        <v/>
      </c>
      <c r="AV2884" s="44">
        <f>AU2884*$G2884*(1+AV$7)^$D2884*(AV2866/AU2866)^$E2884*((AV2866+AV2875)/(AU2866+AU2875))^$F2884</f>
        <v/>
      </c>
      <c r="AW2884" s="44">
        <f>AV2884*$G2884*(1+AW$7)^$D2884*(AW2866/AV2866)^$E2884*((AW2866+AW2875)/(AV2866+AV2875))^$F2884</f>
        <v/>
      </c>
      <c r="AX2884" s="44">
        <f>AW2884*$G2884*(1+AX$7)^$D2884*(AX2866/AW2866)^$E2884*((AX2866+AX2875)/(AW2866+AW2875))^$F2884</f>
        <v/>
      </c>
      <c r="AY2884" s="44">
        <f>AX2884*$G2884*(1+AY$7)^$D2884*(AY2866/AX2866)^$E2884*((AY2866+AY2875)/(AX2866+AX2875))^$F2884</f>
        <v/>
      </c>
      <c r="AZ2884" s="44">
        <f>AY2884*$G2884*(1+AZ$7)^$D2884*(AZ2866/AY2866)^$E2884*((AZ2866+AZ2875)/(AY2866+AY2875))^$F2884</f>
        <v/>
      </c>
      <c r="BA2884" s="57">
        <f>FUELUSE(AZ2884,BA2866,AZ2866,BA2875,AZ2875,BA$7,$D2884,$E2884,$F2884,$G2884)</f>
        <v/>
      </c>
    </row>
    <row r="2885" hidden="1" outlineLevel="2"/>
    <row r="2886" hidden="1" outlineLevel="2">
      <c r="A2886" s="14" t="inlineStr">
        <is>
          <t>co2</t>
        </is>
      </c>
      <c r="B2886" s="14" t="inlineStr">
        <is>
          <t>coa</t>
        </is>
      </c>
      <c r="C2886" s="14" t="inlineStr">
        <is>
          <t>ftr</t>
        </is>
      </c>
      <c r="D2886" s="35">
        <f>INDEX(Inputs!$W$5:$W$132,MATCH($B2886&amp;"|"&amp;$C2886,Inputs!$A$5:$A$132,0))</f>
        <v/>
      </c>
      <c r="E2886" s="39" t="n"/>
      <c r="F2886" s="39" t="n"/>
      <c r="G2886" s="39" t="n"/>
      <c r="H2886" s="14">
        <f>INDEX(VarLab,MATCH($A2886,VarKey,0))&amp;INDEX(MemLab,MATCH($C2886&amp;"|"&amp;$B2886,MemKey,0))</f>
        <v/>
      </c>
      <c r="I2886" s="14">
        <f>INDEX(VarUnit,MATCH($A2886,VarKey,0))</f>
        <v/>
      </c>
      <c r="J2886" s="14">
        <f>INDEX(VarSrc,MATCH($A2886,VarKey,0))</f>
        <v/>
      </c>
      <c r="K2886" s="11">
        <f>CodePrefix&amp;$A2886&amp;IF($C2886="","","."&amp;$C2886&amp;"."&amp;$B2886)&amp;INDEX(VarEnd,MATCH($A2886,VarKey,0))&amp;K$5</f>
        <v/>
      </c>
      <c r="L2886" s="15">
        <f>L2877*Settings!$C$13*$D2886</f>
        <v/>
      </c>
      <c r="M2886" s="16">
        <f>M2877*Settings!$C$13*$D2886</f>
        <v/>
      </c>
      <c r="N2886" s="16">
        <f>N2877*Settings!$C$13*$D2886</f>
        <v/>
      </c>
      <c r="O2886" s="16">
        <f>O2877*Settings!$C$13*$D2886</f>
        <v/>
      </c>
      <c r="P2886" s="16">
        <f>P2877*Settings!$C$13*$D2886</f>
        <v/>
      </c>
      <c r="Q2886" s="16">
        <f>Q2877*Settings!$C$13*$D2886</f>
        <v/>
      </c>
      <c r="R2886" s="16">
        <f>R2877*Settings!$C$13*$D2886</f>
        <v/>
      </c>
      <c r="S2886" s="16">
        <f>S2877*Settings!$C$13*$D2886</f>
        <v/>
      </c>
      <c r="T2886" s="16">
        <f>T2877*Settings!$C$13*$D2886</f>
        <v/>
      </c>
      <c r="U2886" s="16">
        <f>U2877*Settings!$C$13*$D2886</f>
        <v/>
      </c>
      <c r="V2886" s="16">
        <f>V2877*Settings!$C$13*$D2886</f>
        <v/>
      </c>
      <c r="W2886" s="16">
        <f>W2877*Settings!$C$13*$D2886</f>
        <v/>
      </c>
      <c r="X2886" s="16">
        <f>X2877*Settings!$C$13*$D2886</f>
        <v/>
      </c>
      <c r="Y2886" s="16">
        <f>Y2877*Settings!$C$13*$D2886</f>
        <v/>
      </c>
      <c r="Z2886" s="16">
        <f>Z2877*Settings!$C$13*$D2886</f>
        <v/>
      </c>
      <c r="AA2886" s="16">
        <f>AA2877*Settings!$C$13*$D2886</f>
        <v/>
      </c>
      <c r="AB2886" s="16">
        <f>AB2877*Settings!$C$13*$D2886</f>
        <v/>
      </c>
      <c r="AC2886" s="16">
        <f>AC2877*Settings!$C$13*$D2886</f>
        <v/>
      </c>
      <c r="AD2886" s="16">
        <f>AD2877*Settings!$C$13*$D2886</f>
        <v/>
      </c>
      <c r="AE2886" s="49">
        <f>EMISSIONS(AE2877,Settings!$C$13,$D2886)</f>
        <v/>
      </c>
      <c r="AG2886" s="11">
        <f>CodePrefix&amp;$A2886&amp;IF($C2886="","","."&amp;$C2886&amp;"."&amp;$B2886)&amp;INDEX(VarEnd,MATCH($A2886,VarKey,0))&amp;AG$5</f>
        <v/>
      </c>
      <c r="AH2886" s="15">
        <f>AH2877*Settings!$C$13*$D2886</f>
        <v/>
      </c>
      <c r="AI2886" s="16">
        <f>AI2877*Settings!$C$13*$D2886</f>
        <v/>
      </c>
      <c r="AJ2886" s="16">
        <f>AJ2877*Settings!$C$13*$D2886</f>
        <v/>
      </c>
      <c r="AK2886" s="16">
        <f>AK2877*Settings!$C$13*$D2886</f>
        <v/>
      </c>
      <c r="AL2886" s="16">
        <f>AL2877*Settings!$C$13*$D2886</f>
        <v/>
      </c>
      <c r="AM2886" s="16">
        <f>AM2877*Settings!$C$13*$D2886</f>
        <v/>
      </c>
      <c r="AN2886" s="16">
        <f>AN2877*Settings!$C$13*$D2886</f>
        <v/>
      </c>
      <c r="AO2886" s="16">
        <f>AO2877*Settings!$C$13*$D2886</f>
        <v/>
      </c>
      <c r="AP2886" s="16">
        <f>AP2877*Settings!$C$13*$D2886</f>
        <v/>
      </c>
      <c r="AQ2886" s="16">
        <f>AQ2877*Settings!$C$13*$D2886</f>
        <v/>
      </c>
      <c r="AR2886" s="16">
        <f>AR2877*Settings!$C$13*$D2886</f>
        <v/>
      </c>
      <c r="AS2886" s="16">
        <f>AS2877*Settings!$C$13*$D2886</f>
        <v/>
      </c>
      <c r="AT2886" s="16">
        <f>AT2877*Settings!$C$13*$D2886</f>
        <v/>
      </c>
      <c r="AU2886" s="16">
        <f>AU2877*Settings!$C$13*$D2886</f>
        <v/>
      </c>
      <c r="AV2886" s="16">
        <f>AV2877*Settings!$C$13*$D2886</f>
        <v/>
      </c>
      <c r="AW2886" s="16">
        <f>AW2877*Settings!$C$13*$D2886</f>
        <v/>
      </c>
      <c r="AX2886" s="16">
        <f>AX2877*Settings!$C$13*$D2886</f>
        <v/>
      </c>
      <c r="AY2886" s="16">
        <f>AY2877*Settings!$C$13*$D2886</f>
        <v/>
      </c>
      <c r="AZ2886" s="16">
        <f>AZ2877*Settings!$C$13*$D2886</f>
        <v/>
      </c>
      <c r="BA2886" s="49">
        <f>EMISSIONS(BA2877,Settings!$C$13,$D2886)</f>
        <v/>
      </c>
    </row>
    <row r="2887" hidden="1" outlineLevel="2">
      <c r="A2887" s="14" t="inlineStr">
        <is>
          <t>co2</t>
        </is>
      </c>
      <c r="B2887" s="14" t="inlineStr">
        <is>
          <t>nga</t>
        </is>
      </c>
      <c r="C2887" s="14" t="inlineStr">
        <is>
          <t>ftr</t>
        </is>
      </c>
      <c r="D2887" s="35">
        <f>INDEX(Inputs!$W$5:$W$132,MATCH($B2887&amp;"|"&amp;$C2887,Inputs!$A$5:$A$132,0))</f>
        <v/>
      </c>
      <c r="E2887" s="39" t="n"/>
      <c r="F2887" s="39" t="n"/>
      <c r="G2887" s="39" t="n"/>
      <c r="H2887" s="14">
        <f>INDEX(VarLab,MATCH($A2887,VarKey,0))&amp;INDEX(MemLab,MATCH($C2887&amp;"|"&amp;$B2887,MemKey,0))</f>
        <v/>
      </c>
      <c r="I2887" s="14">
        <f>INDEX(VarUnit,MATCH($A2887,VarKey,0))</f>
        <v/>
      </c>
      <c r="J2887" s="14">
        <f>INDEX(VarSrc,MATCH($A2887,VarKey,0))</f>
        <v/>
      </c>
      <c r="K2887" s="11">
        <f>CodePrefix&amp;$A2887&amp;IF($C2887="","","."&amp;$C2887&amp;"."&amp;$B2887)&amp;INDEX(VarEnd,MATCH($A2887,VarKey,0))&amp;K$5</f>
        <v/>
      </c>
      <c r="L2887" s="15">
        <f>L2878*Settings!$C$13*$D2887</f>
        <v/>
      </c>
      <c r="M2887" s="16">
        <f>M2878*Settings!$C$13*$D2887</f>
        <v/>
      </c>
      <c r="N2887" s="16">
        <f>N2878*Settings!$C$13*$D2887</f>
        <v/>
      </c>
      <c r="O2887" s="16">
        <f>O2878*Settings!$C$13*$D2887</f>
        <v/>
      </c>
      <c r="P2887" s="16">
        <f>P2878*Settings!$C$13*$D2887</f>
        <v/>
      </c>
      <c r="Q2887" s="16">
        <f>Q2878*Settings!$C$13*$D2887</f>
        <v/>
      </c>
      <c r="R2887" s="16">
        <f>R2878*Settings!$C$13*$D2887</f>
        <v/>
      </c>
      <c r="S2887" s="16">
        <f>S2878*Settings!$C$13*$D2887</f>
        <v/>
      </c>
      <c r="T2887" s="16">
        <f>T2878*Settings!$C$13*$D2887</f>
        <v/>
      </c>
      <c r="U2887" s="16">
        <f>U2878*Settings!$C$13*$D2887</f>
        <v/>
      </c>
      <c r="V2887" s="16">
        <f>V2878*Settings!$C$13*$D2887</f>
        <v/>
      </c>
      <c r="W2887" s="16">
        <f>W2878*Settings!$C$13*$D2887</f>
        <v/>
      </c>
      <c r="X2887" s="16">
        <f>X2878*Settings!$C$13*$D2887</f>
        <v/>
      </c>
      <c r="Y2887" s="16">
        <f>Y2878*Settings!$C$13*$D2887</f>
        <v/>
      </c>
      <c r="Z2887" s="16">
        <f>Z2878*Settings!$C$13*$D2887</f>
        <v/>
      </c>
      <c r="AA2887" s="16">
        <f>AA2878*Settings!$C$13*$D2887</f>
        <v/>
      </c>
      <c r="AB2887" s="16">
        <f>AB2878*Settings!$C$13*$D2887</f>
        <v/>
      </c>
      <c r="AC2887" s="16">
        <f>AC2878*Settings!$C$13*$D2887</f>
        <v/>
      </c>
      <c r="AD2887" s="16">
        <f>AD2878*Settings!$C$13*$D2887</f>
        <v/>
      </c>
      <c r="AE2887" s="49">
        <f>EMISSIONS(AE2878,Settings!$C$13,$D2887)</f>
        <v/>
      </c>
      <c r="AG2887" s="11">
        <f>CodePrefix&amp;$A2887&amp;IF($C2887="","","."&amp;$C2887&amp;"."&amp;$B2887)&amp;INDEX(VarEnd,MATCH($A2887,VarKey,0))&amp;AG$5</f>
        <v/>
      </c>
      <c r="AH2887" s="15">
        <f>AH2878*Settings!$C$13*$D2887</f>
        <v/>
      </c>
      <c r="AI2887" s="16">
        <f>AI2878*Settings!$C$13*$D2887</f>
        <v/>
      </c>
      <c r="AJ2887" s="16">
        <f>AJ2878*Settings!$C$13*$D2887</f>
        <v/>
      </c>
      <c r="AK2887" s="16">
        <f>AK2878*Settings!$C$13*$D2887</f>
        <v/>
      </c>
      <c r="AL2887" s="16">
        <f>AL2878*Settings!$C$13*$D2887</f>
        <v/>
      </c>
      <c r="AM2887" s="16">
        <f>AM2878*Settings!$C$13*$D2887</f>
        <v/>
      </c>
      <c r="AN2887" s="16">
        <f>AN2878*Settings!$C$13*$D2887</f>
        <v/>
      </c>
      <c r="AO2887" s="16">
        <f>AO2878*Settings!$C$13*$D2887</f>
        <v/>
      </c>
      <c r="AP2887" s="16">
        <f>AP2878*Settings!$C$13*$D2887</f>
        <v/>
      </c>
      <c r="AQ2887" s="16">
        <f>AQ2878*Settings!$C$13*$D2887</f>
        <v/>
      </c>
      <c r="AR2887" s="16">
        <f>AR2878*Settings!$C$13*$D2887</f>
        <v/>
      </c>
      <c r="AS2887" s="16">
        <f>AS2878*Settings!$C$13*$D2887</f>
        <v/>
      </c>
      <c r="AT2887" s="16">
        <f>AT2878*Settings!$C$13*$D2887</f>
        <v/>
      </c>
      <c r="AU2887" s="16">
        <f>AU2878*Settings!$C$13*$D2887</f>
        <v/>
      </c>
      <c r="AV2887" s="16">
        <f>AV2878*Settings!$C$13*$D2887</f>
        <v/>
      </c>
      <c r="AW2887" s="16">
        <f>AW2878*Settings!$C$13*$D2887</f>
        <v/>
      </c>
      <c r="AX2887" s="16">
        <f>AX2878*Settings!$C$13*$D2887</f>
        <v/>
      </c>
      <c r="AY2887" s="16">
        <f>AY2878*Settings!$C$13*$D2887</f>
        <v/>
      </c>
      <c r="AZ2887" s="16">
        <f>AZ2878*Settings!$C$13*$D2887</f>
        <v/>
      </c>
      <c r="BA2887" s="49">
        <f>EMISSIONS(BA2878,Settings!$C$13,$D2887)</f>
        <v/>
      </c>
    </row>
    <row r="2888" hidden="1" outlineLevel="2">
      <c r="A2888" s="14" t="inlineStr">
        <is>
          <t>co2</t>
        </is>
      </c>
      <c r="B2888" s="14" t="inlineStr">
        <is>
          <t>gso</t>
        </is>
      </c>
      <c r="C2888" s="14" t="inlineStr">
        <is>
          <t>ftr</t>
        </is>
      </c>
      <c r="D2888" s="35">
        <f>INDEX(Inputs!$W$5:$W$132,MATCH($B2888&amp;"|"&amp;$C2888,Inputs!$A$5:$A$132,0))</f>
        <v/>
      </c>
      <c r="E2888" s="39" t="n"/>
      <c r="F2888" s="39" t="n"/>
      <c r="G2888" s="39" t="n"/>
      <c r="H2888" s="14">
        <f>INDEX(VarLab,MATCH($A2888,VarKey,0))&amp;INDEX(MemLab,MATCH($C2888&amp;"|"&amp;$B2888,MemKey,0))</f>
        <v/>
      </c>
      <c r="I2888" s="14">
        <f>INDEX(VarUnit,MATCH($A2888,VarKey,0))</f>
        <v/>
      </c>
      <c r="J2888" s="14">
        <f>INDEX(VarSrc,MATCH($A2888,VarKey,0))</f>
        <v/>
      </c>
      <c r="K2888" s="11">
        <f>CodePrefix&amp;$A2888&amp;IF($C2888="","","."&amp;$C2888&amp;"."&amp;$B2888)&amp;INDEX(VarEnd,MATCH($A2888,VarKey,0))&amp;K$5</f>
        <v/>
      </c>
      <c r="L2888" s="15">
        <f>L2879*Settings!$C$13*$D2888</f>
        <v/>
      </c>
      <c r="M2888" s="16">
        <f>M2879*Settings!$C$13*$D2888</f>
        <v/>
      </c>
      <c r="N2888" s="16">
        <f>N2879*Settings!$C$13*$D2888</f>
        <v/>
      </c>
      <c r="O2888" s="16">
        <f>O2879*Settings!$C$13*$D2888</f>
        <v/>
      </c>
      <c r="P2888" s="16">
        <f>P2879*Settings!$C$13*$D2888</f>
        <v/>
      </c>
      <c r="Q2888" s="16">
        <f>Q2879*Settings!$C$13*$D2888</f>
        <v/>
      </c>
      <c r="R2888" s="16">
        <f>R2879*Settings!$C$13*$D2888</f>
        <v/>
      </c>
      <c r="S2888" s="16">
        <f>S2879*Settings!$C$13*$D2888</f>
        <v/>
      </c>
      <c r="T2888" s="16">
        <f>T2879*Settings!$C$13*$D2888</f>
        <v/>
      </c>
      <c r="U2888" s="16">
        <f>U2879*Settings!$C$13*$D2888</f>
        <v/>
      </c>
      <c r="V2888" s="16">
        <f>V2879*Settings!$C$13*$D2888</f>
        <v/>
      </c>
      <c r="W2888" s="16">
        <f>W2879*Settings!$C$13*$D2888</f>
        <v/>
      </c>
      <c r="X2888" s="16">
        <f>X2879*Settings!$C$13*$D2888</f>
        <v/>
      </c>
      <c r="Y2888" s="16">
        <f>Y2879*Settings!$C$13*$D2888</f>
        <v/>
      </c>
      <c r="Z2888" s="16">
        <f>Z2879*Settings!$C$13*$D2888</f>
        <v/>
      </c>
      <c r="AA2888" s="16">
        <f>AA2879*Settings!$C$13*$D2888</f>
        <v/>
      </c>
      <c r="AB2888" s="16">
        <f>AB2879*Settings!$C$13*$D2888</f>
        <v/>
      </c>
      <c r="AC2888" s="16">
        <f>AC2879*Settings!$C$13*$D2888</f>
        <v/>
      </c>
      <c r="AD2888" s="16">
        <f>AD2879*Settings!$C$13*$D2888</f>
        <v/>
      </c>
      <c r="AE2888" s="49">
        <f>EMISSIONS(AE2879,Settings!$C$13,$D2888)</f>
        <v/>
      </c>
      <c r="AG2888" s="11">
        <f>CodePrefix&amp;$A2888&amp;IF($C2888="","","."&amp;$C2888&amp;"."&amp;$B2888)&amp;INDEX(VarEnd,MATCH($A2888,VarKey,0))&amp;AG$5</f>
        <v/>
      </c>
      <c r="AH2888" s="15">
        <f>AH2879*Settings!$C$13*$D2888</f>
        <v/>
      </c>
      <c r="AI2888" s="16">
        <f>AI2879*Settings!$C$13*$D2888</f>
        <v/>
      </c>
      <c r="AJ2888" s="16">
        <f>AJ2879*Settings!$C$13*$D2888</f>
        <v/>
      </c>
      <c r="AK2888" s="16">
        <f>AK2879*Settings!$C$13*$D2888</f>
        <v/>
      </c>
      <c r="AL2888" s="16">
        <f>AL2879*Settings!$C$13*$D2888</f>
        <v/>
      </c>
      <c r="AM2888" s="16">
        <f>AM2879*Settings!$C$13*$D2888</f>
        <v/>
      </c>
      <c r="AN2888" s="16">
        <f>AN2879*Settings!$C$13*$D2888</f>
        <v/>
      </c>
      <c r="AO2888" s="16">
        <f>AO2879*Settings!$C$13*$D2888</f>
        <v/>
      </c>
      <c r="AP2888" s="16">
        <f>AP2879*Settings!$C$13*$D2888</f>
        <v/>
      </c>
      <c r="AQ2888" s="16">
        <f>AQ2879*Settings!$C$13*$D2888</f>
        <v/>
      </c>
      <c r="AR2888" s="16">
        <f>AR2879*Settings!$C$13*$D2888</f>
        <v/>
      </c>
      <c r="AS2888" s="16">
        <f>AS2879*Settings!$C$13*$D2888</f>
        <v/>
      </c>
      <c r="AT2888" s="16">
        <f>AT2879*Settings!$C$13*$D2888</f>
        <v/>
      </c>
      <c r="AU2888" s="16">
        <f>AU2879*Settings!$C$13*$D2888</f>
        <v/>
      </c>
      <c r="AV2888" s="16">
        <f>AV2879*Settings!$C$13*$D2888</f>
        <v/>
      </c>
      <c r="AW2888" s="16">
        <f>AW2879*Settings!$C$13*$D2888</f>
        <v/>
      </c>
      <c r="AX2888" s="16">
        <f>AX2879*Settings!$C$13*$D2888</f>
        <v/>
      </c>
      <c r="AY2888" s="16">
        <f>AY2879*Settings!$C$13*$D2888</f>
        <v/>
      </c>
      <c r="AZ2888" s="16">
        <f>AZ2879*Settings!$C$13*$D2888</f>
        <v/>
      </c>
      <c r="BA2888" s="49">
        <f>EMISSIONS(BA2879,Settings!$C$13,$D2888)</f>
        <v/>
      </c>
    </row>
    <row r="2889" hidden="1" outlineLevel="2">
      <c r="A2889" s="14" t="inlineStr">
        <is>
          <t>co2</t>
        </is>
      </c>
      <c r="B2889" s="14" t="inlineStr">
        <is>
          <t>die</t>
        </is>
      </c>
      <c r="C2889" s="14" t="inlineStr">
        <is>
          <t>ftr</t>
        </is>
      </c>
      <c r="D2889" s="35">
        <f>INDEX(Inputs!$W$5:$W$132,MATCH($B2889&amp;"|"&amp;$C2889,Inputs!$A$5:$A$132,0))</f>
        <v/>
      </c>
      <c r="E2889" s="39" t="n"/>
      <c r="F2889" s="39" t="n"/>
      <c r="G2889" s="39" t="n"/>
      <c r="H2889" s="14">
        <f>INDEX(VarLab,MATCH($A2889,VarKey,0))&amp;INDEX(MemLab,MATCH($C2889&amp;"|"&amp;$B2889,MemKey,0))</f>
        <v/>
      </c>
      <c r="I2889" s="14">
        <f>INDEX(VarUnit,MATCH($A2889,VarKey,0))</f>
        <v/>
      </c>
      <c r="J2889" s="14">
        <f>INDEX(VarSrc,MATCH($A2889,VarKey,0))</f>
        <v/>
      </c>
      <c r="K2889" s="11">
        <f>CodePrefix&amp;$A2889&amp;IF($C2889="","","."&amp;$C2889&amp;"."&amp;$B2889)&amp;INDEX(VarEnd,MATCH($A2889,VarKey,0))&amp;K$5</f>
        <v/>
      </c>
      <c r="L2889" s="15">
        <f>L2880*Settings!$C$13*$D2889</f>
        <v/>
      </c>
      <c r="M2889" s="16">
        <f>M2880*Settings!$C$13*$D2889</f>
        <v/>
      </c>
      <c r="N2889" s="16">
        <f>N2880*Settings!$C$13*$D2889</f>
        <v/>
      </c>
      <c r="O2889" s="16">
        <f>O2880*Settings!$C$13*$D2889</f>
        <v/>
      </c>
      <c r="P2889" s="16">
        <f>P2880*Settings!$C$13*$D2889</f>
        <v/>
      </c>
      <c r="Q2889" s="16">
        <f>Q2880*Settings!$C$13*$D2889</f>
        <v/>
      </c>
      <c r="R2889" s="16">
        <f>R2880*Settings!$C$13*$D2889</f>
        <v/>
      </c>
      <c r="S2889" s="16">
        <f>S2880*Settings!$C$13*$D2889</f>
        <v/>
      </c>
      <c r="T2889" s="16">
        <f>T2880*Settings!$C$13*$D2889</f>
        <v/>
      </c>
      <c r="U2889" s="16">
        <f>U2880*Settings!$C$13*$D2889</f>
        <v/>
      </c>
      <c r="V2889" s="16">
        <f>V2880*Settings!$C$13*$D2889</f>
        <v/>
      </c>
      <c r="W2889" s="16">
        <f>W2880*Settings!$C$13*$D2889</f>
        <v/>
      </c>
      <c r="X2889" s="16">
        <f>X2880*Settings!$C$13*$D2889</f>
        <v/>
      </c>
      <c r="Y2889" s="16">
        <f>Y2880*Settings!$C$13*$D2889</f>
        <v/>
      </c>
      <c r="Z2889" s="16">
        <f>Z2880*Settings!$C$13*$D2889</f>
        <v/>
      </c>
      <c r="AA2889" s="16">
        <f>AA2880*Settings!$C$13*$D2889</f>
        <v/>
      </c>
      <c r="AB2889" s="16">
        <f>AB2880*Settings!$C$13*$D2889</f>
        <v/>
      </c>
      <c r="AC2889" s="16">
        <f>AC2880*Settings!$C$13*$D2889</f>
        <v/>
      </c>
      <c r="AD2889" s="16">
        <f>AD2880*Settings!$C$13*$D2889</f>
        <v/>
      </c>
      <c r="AE2889" s="49">
        <f>EMISSIONS(AE2880,Settings!$C$13,$D2889)</f>
        <v/>
      </c>
      <c r="AG2889" s="11">
        <f>CodePrefix&amp;$A2889&amp;IF($C2889="","","."&amp;$C2889&amp;"."&amp;$B2889)&amp;INDEX(VarEnd,MATCH($A2889,VarKey,0))&amp;AG$5</f>
        <v/>
      </c>
      <c r="AH2889" s="15">
        <f>AH2880*Settings!$C$13*$D2889</f>
        <v/>
      </c>
      <c r="AI2889" s="16">
        <f>AI2880*Settings!$C$13*$D2889</f>
        <v/>
      </c>
      <c r="AJ2889" s="16">
        <f>AJ2880*Settings!$C$13*$D2889</f>
        <v/>
      </c>
      <c r="AK2889" s="16">
        <f>AK2880*Settings!$C$13*$D2889</f>
        <v/>
      </c>
      <c r="AL2889" s="16">
        <f>AL2880*Settings!$C$13*$D2889</f>
        <v/>
      </c>
      <c r="AM2889" s="16">
        <f>AM2880*Settings!$C$13*$D2889</f>
        <v/>
      </c>
      <c r="AN2889" s="16">
        <f>AN2880*Settings!$C$13*$D2889</f>
        <v/>
      </c>
      <c r="AO2889" s="16">
        <f>AO2880*Settings!$C$13*$D2889</f>
        <v/>
      </c>
      <c r="AP2889" s="16">
        <f>AP2880*Settings!$C$13*$D2889</f>
        <v/>
      </c>
      <c r="AQ2889" s="16">
        <f>AQ2880*Settings!$C$13*$D2889</f>
        <v/>
      </c>
      <c r="AR2889" s="16">
        <f>AR2880*Settings!$C$13*$D2889</f>
        <v/>
      </c>
      <c r="AS2889" s="16">
        <f>AS2880*Settings!$C$13*$D2889</f>
        <v/>
      </c>
      <c r="AT2889" s="16">
        <f>AT2880*Settings!$C$13*$D2889</f>
        <v/>
      </c>
      <c r="AU2889" s="16">
        <f>AU2880*Settings!$C$13*$D2889</f>
        <v/>
      </c>
      <c r="AV2889" s="16">
        <f>AV2880*Settings!$C$13*$D2889</f>
        <v/>
      </c>
      <c r="AW2889" s="16">
        <f>AW2880*Settings!$C$13*$D2889</f>
        <v/>
      </c>
      <c r="AX2889" s="16">
        <f>AX2880*Settings!$C$13*$D2889</f>
        <v/>
      </c>
      <c r="AY2889" s="16">
        <f>AY2880*Settings!$C$13*$D2889</f>
        <v/>
      </c>
      <c r="AZ2889" s="16">
        <f>AZ2880*Settings!$C$13*$D2889</f>
        <v/>
      </c>
      <c r="BA2889" s="49">
        <f>EMISSIONS(BA2880,Settings!$C$13,$D2889)</f>
        <v/>
      </c>
    </row>
    <row r="2890" hidden="1" outlineLevel="2">
      <c r="A2890" s="14" t="inlineStr">
        <is>
          <t>co2</t>
        </is>
      </c>
      <c r="B2890" s="14" t="inlineStr">
        <is>
          <t>lpg</t>
        </is>
      </c>
      <c r="C2890" s="14" t="inlineStr">
        <is>
          <t>ftr</t>
        </is>
      </c>
      <c r="D2890" s="35">
        <f>INDEX(Inputs!$W$5:$W$132,MATCH($B2890&amp;"|"&amp;$C2890,Inputs!$A$5:$A$132,0))</f>
        <v/>
      </c>
      <c r="E2890" s="39" t="n"/>
      <c r="F2890" s="39" t="n"/>
      <c r="G2890" s="39" t="n"/>
      <c r="H2890" s="14">
        <f>INDEX(VarLab,MATCH($A2890,VarKey,0))&amp;INDEX(MemLab,MATCH($C2890&amp;"|"&amp;$B2890,MemKey,0))</f>
        <v/>
      </c>
      <c r="I2890" s="14">
        <f>INDEX(VarUnit,MATCH($A2890,VarKey,0))</f>
        <v/>
      </c>
      <c r="J2890" s="14">
        <f>INDEX(VarSrc,MATCH($A2890,VarKey,0))</f>
        <v/>
      </c>
      <c r="K2890" s="11">
        <f>CodePrefix&amp;$A2890&amp;IF($C2890="","","."&amp;$C2890&amp;"."&amp;$B2890)&amp;INDEX(VarEnd,MATCH($A2890,VarKey,0))&amp;K$5</f>
        <v/>
      </c>
      <c r="L2890" s="15">
        <f>L2881*Settings!$C$13*$D2890</f>
        <v/>
      </c>
      <c r="M2890" s="16">
        <f>M2881*Settings!$C$13*$D2890</f>
        <v/>
      </c>
      <c r="N2890" s="16">
        <f>N2881*Settings!$C$13*$D2890</f>
        <v/>
      </c>
      <c r="O2890" s="16">
        <f>O2881*Settings!$C$13*$D2890</f>
        <v/>
      </c>
      <c r="P2890" s="16">
        <f>P2881*Settings!$C$13*$D2890</f>
        <v/>
      </c>
      <c r="Q2890" s="16">
        <f>Q2881*Settings!$C$13*$D2890</f>
        <v/>
      </c>
      <c r="R2890" s="16">
        <f>R2881*Settings!$C$13*$D2890</f>
        <v/>
      </c>
      <c r="S2890" s="16">
        <f>S2881*Settings!$C$13*$D2890</f>
        <v/>
      </c>
      <c r="T2890" s="16">
        <f>T2881*Settings!$C$13*$D2890</f>
        <v/>
      </c>
      <c r="U2890" s="16">
        <f>U2881*Settings!$C$13*$D2890</f>
        <v/>
      </c>
      <c r="V2890" s="16">
        <f>V2881*Settings!$C$13*$D2890</f>
        <v/>
      </c>
      <c r="W2890" s="16">
        <f>W2881*Settings!$C$13*$D2890</f>
        <v/>
      </c>
      <c r="X2890" s="16">
        <f>X2881*Settings!$C$13*$D2890</f>
        <v/>
      </c>
      <c r="Y2890" s="16">
        <f>Y2881*Settings!$C$13*$D2890</f>
        <v/>
      </c>
      <c r="Z2890" s="16">
        <f>Z2881*Settings!$C$13*$D2890</f>
        <v/>
      </c>
      <c r="AA2890" s="16">
        <f>AA2881*Settings!$C$13*$D2890</f>
        <v/>
      </c>
      <c r="AB2890" s="16">
        <f>AB2881*Settings!$C$13*$D2890</f>
        <v/>
      </c>
      <c r="AC2890" s="16">
        <f>AC2881*Settings!$C$13*$D2890</f>
        <v/>
      </c>
      <c r="AD2890" s="16">
        <f>AD2881*Settings!$C$13*$D2890</f>
        <v/>
      </c>
      <c r="AE2890" s="49">
        <f>EMISSIONS(AE2881,Settings!$C$13,$D2890)</f>
        <v/>
      </c>
      <c r="AG2890" s="11">
        <f>CodePrefix&amp;$A2890&amp;IF($C2890="","","."&amp;$C2890&amp;"."&amp;$B2890)&amp;INDEX(VarEnd,MATCH($A2890,VarKey,0))&amp;AG$5</f>
        <v/>
      </c>
      <c r="AH2890" s="15">
        <f>AH2881*Settings!$C$13*$D2890</f>
        <v/>
      </c>
      <c r="AI2890" s="16">
        <f>AI2881*Settings!$C$13*$D2890</f>
        <v/>
      </c>
      <c r="AJ2890" s="16">
        <f>AJ2881*Settings!$C$13*$D2890</f>
        <v/>
      </c>
      <c r="AK2890" s="16">
        <f>AK2881*Settings!$C$13*$D2890</f>
        <v/>
      </c>
      <c r="AL2890" s="16">
        <f>AL2881*Settings!$C$13*$D2890</f>
        <v/>
      </c>
      <c r="AM2890" s="16">
        <f>AM2881*Settings!$C$13*$D2890</f>
        <v/>
      </c>
      <c r="AN2890" s="16">
        <f>AN2881*Settings!$C$13*$D2890</f>
        <v/>
      </c>
      <c r="AO2890" s="16">
        <f>AO2881*Settings!$C$13*$D2890</f>
        <v/>
      </c>
      <c r="AP2890" s="16">
        <f>AP2881*Settings!$C$13*$D2890</f>
        <v/>
      </c>
      <c r="AQ2890" s="16">
        <f>AQ2881*Settings!$C$13*$D2890</f>
        <v/>
      </c>
      <c r="AR2890" s="16">
        <f>AR2881*Settings!$C$13*$D2890</f>
        <v/>
      </c>
      <c r="AS2890" s="16">
        <f>AS2881*Settings!$C$13*$D2890</f>
        <v/>
      </c>
      <c r="AT2890" s="16">
        <f>AT2881*Settings!$C$13*$D2890</f>
        <v/>
      </c>
      <c r="AU2890" s="16">
        <f>AU2881*Settings!$C$13*$D2890</f>
        <v/>
      </c>
      <c r="AV2890" s="16">
        <f>AV2881*Settings!$C$13*$D2890</f>
        <v/>
      </c>
      <c r="AW2890" s="16">
        <f>AW2881*Settings!$C$13*$D2890</f>
        <v/>
      </c>
      <c r="AX2890" s="16">
        <f>AX2881*Settings!$C$13*$D2890</f>
        <v/>
      </c>
      <c r="AY2890" s="16">
        <f>AY2881*Settings!$C$13*$D2890</f>
        <v/>
      </c>
      <c r="AZ2890" s="16">
        <f>AZ2881*Settings!$C$13*$D2890</f>
        <v/>
      </c>
      <c r="BA2890" s="49">
        <f>EMISSIONS(BA2881,Settings!$C$13,$D2890)</f>
        <v/>
      </c>
    </row>
    <row r="2891" hidden="1" outlineLevel="2">
      <c r="A2891" s="14" t="inlineStr">
        <is>
          <t>co2</t>
        </is>
      </c>
      <c r="B2891" s="14" t="inlineStr">
        <is>
          <t>ker</t>
        </is>
      </c>
      <c r="C2891" s="14" t="inlineStr">
        <is>
          <t>ftr</t>
        </is>
      </c>
      <c r="D2891" s="35">
        <f>INDEX(Inputs!$W$5:$W$132,MATCH($B2891&amp;"|"&amp;$C2891,Inputs!$A$5:$A$132,0))</f>
        <v/>
      </c>
      <c r="E2891" s="39" t="n"/>
      <c r="F2891" s="39" t="n"/>
      <c r="G2891" s="39" t="n"/>
      <c r="H2891" s="14">
        <f>INDEX(VarLab,MATCH($A2891,VarKey,0))&amp;INDEX(MemLab,MATCH($C2891&amp;"|"&amp;$B2891,MemKey,0))</f>
        <v/>
      </c>
      <c r="I2891" s="14">
        <f>INDEX(VarUnit,MATCH($A2891,VarKey,0))</f>
        <v/>
      </c>
      <c r="J2891" s="14">
        <f>INDEX(VarSrc,MATCH($A2891,VarKey,0))</f>
        <v/>
      </c>
      <c r="K2891" s="11">
        <f>CodePrefix&amp;$A2891&amp;IF($C2891="","","."&amp;$C2891&amp;"."&amp;$B2891)&amp;INDEX(VarEnd,MATCH($A2891,VarKey,0))&amp;K$5</f>
        <v/>
      </c>
      <c r="L2891" s="15">
        <f>L2882*Settings!$C$13*$D2891</f>
        <v/>
      </c>
      <c r="M2891" s="16">
        <f>M2882*Settings!$C$13*$D2891</f>
        <v/>
      </c>
      <c r="N2891" s="16">
        <f>N2882*Settings!$C$13*$D2891</f>
        <v/>
      </c>
      <c r="O2891" s="16">
        <f>O2882*Settings!$C$13*$D2891</f>
        <v/>
      </c>
      <c r="P2891" s="16">
        <f>P2882*Settings!$C$13*$D2891</f>
        <v/>
      </c>
      <c r="Q2891" s="16">
        <f>Q2882*Settings!$C$13*$D2891</f>
        <v/>
      </c>
      <c r="R2891" s="16">
        <f>R2882*Settings!$C$13*$D2891</f>
        <v/>
      </c>
      <c r="S2891" s="16">
        <f>S2882*Settings!$C$13*$D2891</f>
        <v/>
      </c>
      <c r="T2891" s="16">
        <f>T2882*Settings!$C$13*$D2891</f>
        <v/>
      </c>
      <c r="U2891" s="16">
        <f>U2882*Settings!$C$13*$D2891</f>
        <v/>
      </c>
      <c r="V2891" s="16">
        <f>V2882*Settings!$C$13*$D2891</f>
        <v/>
      </c>
      <c r="W2891" s="16">
        <f>W2882*Settings!$C$13*$D2891</f>
        <v/>
      </c>
      <c r="X2891" s="16">
        <f>X2882*Settings!$C$13*$D2891</f>
        <v/>
      </c>
      <c r="Y2891" s="16">
        <f>Y2882*Settings!$C$13*$D2891</f>
        <v/>
      </c>
      <c r="Z2891" s="16">
        <f>Z2882*Settings!$C$13*$D2891</f>
        <v/>
      </c>
      <c r="AA2891" s="16">
        <f>AA2882*Settings!$C$13*$D2891</f>
        <v/>
      </c>
      <c r="AB2891" s="16">
        <f>AB2882*Settings!$C$13*$D2891</f>
        <v/>
      </c>
      <c r="AC2891" s="16">
        <f>AC2882*Settings!$C$13*$D2891</f>
        <v/>
      </c>
      <c r="AD2891" s="16">
        <f>AD2882*Settings!$C$13*$D2891</f>
        <v/>
      </c>
      <c r="AE2891" s="49">
        <f>EMISSIONS(AE2882,Settings!$C$13,$D2891)</f>
        <v/>
      </c>
      <c r="AG2891" s="11">
        <f>CodePrefix&amp;$A2891&amp;IF($C2891="","","."&amp;$C2891&amp;"."&amp;$B2891)&amp;INDEX(VarEnd,MATCH($A2891,VarKey,0))&amp;AG$5</f>
        <v/>
      </c>
      <c r="AH2891" s="15">
        <f>AH2882*Settings!$C$13*$D2891</f>
        <v/>
      </c>
      <c r="AI2891" s="16">
        <f>AI2882*Settings!$C$13*$D2891</f>
        <v/>
      </c>
      <c r="AJ2891" s="16">
        <f>AJ2882*Settings!$C$13*$D2891</f>
        <v/>
      </c>
      <c r="AK2891" s="16">
        <f>AK2882*Settings!$C$13*$D2891</f>
        <v/>
      </c>
      <c r="AL2891" s="16">
        <f>AL2882*Settings!$C$13*$D2891</f>
        <v/>
      </c>
      <c r="AM2891" s="16">
        <f>AM2882*Settings!$C$13*$D2891</f>
        <v/>
      </c>
      <c r="AN2891" s="16">
        <f>AN2882*Settings!$C$13*$D2891</f>
        <v/>
      </c>
      <c r="AO2891" s="16">
        <f>AO2882*Settings!$C$13*$D2891</f>
        <v/>
      </c>
      <c r="AP2891" s="16">
        <f>AP2882*Settings!$C$13*$D2891</f>
        <v/>
      </c>
      <c r="AQ2891" s="16">
        <f>AQ2882*Settings!$C$13*$D2891</f>
        <v/>
      </c>
      <c r="AR2891" s="16">
        <f>AR2882*Settings!$C$13*$D2891</f>
        <v/>
      </c>
      <c r="AS2891" s="16">
        <f>AS2882*Settings!$C$13*$D2891</f>
        <v/>
      </c>
      <c r="AT2891" s="16">
        <f>AT2882*Settings!$C$13*$D2891</f>
        <v/>
      </c>
      <c r="AU2891" s="16">
        <f>AU2882*Settings!$C$13*$D2891</f>
        <v/>
      </c>
      <c r="AV2891" s="16">
        <f>AV2882*Settings!$C$13*$D2891</f>
        <v/>
      </c>
      <c r="AW2891" s="16">
        <f>AW2882*Settings!$C$13*$D2891</f>
        <v/>
      </c>
      <c r="AX2891" s="16">
        <f>AX2882*Settings!$C$13*$D2891</f>
        <v/>
      </c>
      <c r="AY2891" s="16">
        <f>AY2882*Settings!$C$13*$D2891</f>
        <v/>
      </c>
      <c r="AZ2891" s="16">
        <f>AZ2882*Settings!$C$13*$D2891</f>
        <v/>
      </c>
      <c r="BA2891" s="49">
        <f>EMISSIONS(BA2882,Settings!$C$13,$D2891)</f>
        <v/>
      </c>
    </row>
    <row r="2892" hidden="1" outlineLevel="2">
      <c r="A2892" s="14" t="inlineStr">
        <is>
          <t>co2</t>
        </is>
      </c>
      <c r="B2892" s="14" t="inlineStr">
        <is>
          <t>oop</t>
        </is>
      </c>
      <c r="C2892" s="14" t="inlineStr">
        <is>
          <t>ftr</t>
        </is>
      </c>
      <c r="D2892" s="35">
        <f>INDEX(Inputs!$W$5:$W$132,MATCH($B2892&amp;"|"&amp;$C2892,Inputs!$A$5:$A$132,0))</f>
        <v/>
      </c>
      <c r="E2892" s="39" t="n"/>
      <c r="F2892" s="39" t="n"/>
      <c r="G2892" s="39" t="n"/>
      <c r="H2892" s="14">
        <f>INDEX(VarLab,MATCH($A2892,VarKey,0))&amp;INDEX(MemLab,MATCH($C2892&amp;"|"&amp;$B2892,MemKey,0))</f>
        <v/>
      </c>
      <c r="I2892" s="14">
        <f>INDEX(VarUnit,MATCH($A2892,VarKey,0))</f>
        <v/>
      </c>
      <c r="J2892" s="14">
        <f>INDEX(VarSrc,MATCH($A2892,VarKey,0))</f>
        <v/>
      </c>
      <c r="K2892" s="11">
        <f>CodePrefix&amp;$A2892&amp;IF($C2892="","","."&amp;$C2892&amp;"."&amp;$B2892)&amp;INDEX(VarEnd,MATCH($A2892,VarKey,0))&amp;K$5</f>
        <v/>
      </c>
      <c r="L2892" s="15">
        <f>L2883*Settings!$C$13*$D2892</f>
        <v/>
      </c>
      <c r="M2892" s="16">
        <f>M2883*Settings!$C$13*$D2892</f>
        <v/>
      </c>
      <c r="N2892" s="16">
        <f>N2883*Settings!$C$13*$D2892</f>
        <v/>
      </c>
      <c r="O2892" s="16">
        <f>O2883*Settings!$C$13*$D2892</f>
        <v/>
      </c>
      <c r="P2892" s="16">
        <f>P2883*Settings!$C$13*$D2892</f>
        <v/>
      </c>
      <c r="Q2892" s="16">
        <f>Q2883*Settings!$C$13*$D2892</f>
        <v/>
      </c>
      <c r="R2892" s="16">
        <f>R2883*Settings!$C$13*$D2892</f>
        <v/>
      </c>
      <c r="S2892" s="16">
        <f>S2883*Settings!$C$13*$D2892</f>
        <v/>
      </c>
      <c r="T2892" s="16">
        <f>T2883*Settings!$C$13*$D2892</f>
        <v/>
      </c>
      <c r="U2892" s="16">
        <f>U2883*Settings!$C$13*$D2892</f>
        <v/>
      </c>
      <c r="V2892" s="16">
        <f>V2883*Settings!$C$13*$D2892</f>
        <v/>
      </c>
      <c r="W2892" s="16">
        <f>W2883*Settings!$C$13*$D2892</f>
        <v/>
      </c>
      <c r="X2892" s="16">
        <f>X2883*Settings!$C$13*$D2892</f>
        <v/>
      </c>
      <c r="Y2892" s="16">
        <f>Y2883*Settings!$C$13*$D2892</f>
        <v/>
      </c>
      <c r="Z2892" s="16">
        <f>Z2883*Settings!$C$13*$D2892</f>
        <v/>
      </c>
      <c r="AA2892" s="16">
        <f>AA2883*Settings!$C$13*$D2892</f>
        <v/>
      </c>
      <c r="AB2892" s="16">
        <f>AB2883*Settings!$C$13*$D2892</f>
        <v/>
      </c>
      <c r="AC2892" s="16">
        <f>AC2883*Settings!$C$13*$D2892</f>
        <v/>
      </c>
      <c r="AD2892" s="16">
        <f>AD2883*Settings!$C$13*$D2892</f>
        <v/>
      </c>
      <c r="AE2892" s="49">
        <f>EMISSIONS(AE2883,Settings!$C$13,$D2892)</f>
        <v/>
      </c>
      <c r="AG2892" s="11">
        <f>CodePrefix&amp;$A2892&amp;IF($C2892="","","."&amp;$C2892&amp;"."&amp;$B2892)&amp;INDEX(VarEnd,MATCH($A2892,VarKey,0))&amp;AG$5</f>
        <v/>
      </c>
      <c r="AH2892" s="15">
        <f>AH2883*Settings!$C$13*$D2892</f>
        <v/>
      </c>
      <c r="AI2892" s="16">
        <f>AI2883*Settings!$C$13*$D2892</f>
        <v/>
      </c>
      <c r="AJ2892" s="16">
        <f>AJ2883*Settings!$C$13*$D2892</f>
        <v/>
      </c>
      <c r="AK2892" s="16">
        <f>AK2883*Settings!$C$13*$D2892</f>
        <v/>
      </c>
      <c r="AL2892" s="16">
        <f>AL2883*Settings!$C$13*$D2892</f>
        <v/>
      </c>
      <c r="AM2892" s="16">
        <f>AM2883*Settings!$C$13*$D2892</f>
        <v/>
      </c>
      <c r="AN2892" s="16">
        <f>AN2883*Settings!$C$13*$D2892</f>
        <v/>
      </c>
      <c r="AO2892" s="16">
        <f>AO2883*Settings!$C$13*$D2892</f>
        <v/>
      </c>
      <c r="AP2892" s="16">
        <f>AP2883*Settings!$C$13*$D2892</f>
        <v/>
      </c>
      <c r="AQ2892" s="16">
        <f>AQ2883*Settings!$C$13*$D2892</f>
        <v/>
      </c>
      <c r="AR2892" s="16">
        <f>AR2883*Settings!$C$13*$D2892</f>
        <v/>
      </c>
      <c r="AS2892" s="16">
        <f>AS2883*Settings!$C$13*$D2892</f>
        <v/>
      </c>
      <c r="AT2892" s="16">
        <f>AT2883*Settings!$C$13*$D2892</f>
        <v/>
      </c>
      <c r="AU2892" s="16">
        <f>AU2883*Settings!$C$13*$D2892</f>
        <v/>
      </c>
      <c r="AV2892" s="16">
        <f>AV2883*Settings!$C$13*$D2892</f>
        <v/>
      </c>
      <c r="AW2892" s="16">
        <f>AW2883*Settings!$C$13*$D2892</f>
        <v/>
      </c>
      <c r="AX2892" s="16">
        <f>AX2883*Settings!$C$13*$D2892</f>
        <v/>
      </c>
      <c r="AY2892" s="16">
        <f>AY2883*Settings!$C$13*$D2892</f>
        <v/>
      </c>
      <c r="AZ2892" s="16">
        <f>AZ2883*Settings!$C$13*$D2892</f>
        <v/>
      </c>
      <c r="BA2892" s="49">
        <f>EMISSIONS(BA2883,Settings!$C$13,$D2892)</f>
        <v/>
      </c>
    </row>
    <row r="2893" hidden="1" outlineLevel="2">
      <c r="A2893" s="14" t="inlineStr">
        <is>
          <t>co2</t>
        </is>
      </c>
      <c r="B2893" s="14" t="inlineStr">
        <is>
          <t>bio</t>
        </is>
      </c>
      <c r="C2893" s="14" t="inlineStr">
        <is>
          <t>ftr</t>
        </is>
      </c>
      <c r="D2893" s="35">
        <f>INDEX(Inputs!$W$5:$W$132,MATCH($B2893&amp;"|"&amp;$C2893,Inputs!$A$5:$A$132,0))</f>
        <v/>
      </c>
      <c r="E2893" s="39" t="n"/>
      <c r="F2893" s="39" t="n"/>
      <c r="G2893" s="39" t="n"/>
      <c r="H2893" s="14">
        <f>INDEX(VarLab,MATCH($A2893,VarKey,0))&amp;INDEX(MemLab,MATCH($C2893&amp;"|"&amp;$B2893,MemKey,0))</f>
        <v/>
      </c>
      <c r="I2893" s="14">
        <f>INDEX(VarUnit,MATCH($A2893,VarKey,0))</f>
        <v/>
      </c>
      <c r="J2893" s="14">
        <f>INDEX(VarSrc,MATCH($A2893,VarKey,0))</f>
        <v/>
      </c>
      <c r="K2893" s="11">
        <f>CodePrefix&amp;$A2893&amp;IF($C2893="","","."&amp;$C2893&amp;"."&amp;$B2893)&amp;INDEX(VarEnd,MATCH($A2893,VarKey,0))&amp;K$5</f>
        <v/>
      </c>
      <c r="L2893" s="15">
        <f>L2884*Settings!$C$13*$D2893</f>
        <v/>
      </c>
      <c r="M2893" s="16">
        <f>M2884*Settings!$C$13*$D2893</f>
        <v/>
      </c>
      <c r="N2893" s="16">
        <f>N2884*Settings!$C$13*$D2893</f>
        <v/>
      </c>
      <c r="O2893" s="16">
        <f>O2884*Settings!$C$13*$D2893</f>
        <v/>
      </c>
      <c r="P2893" s="16">
        <f>P2884*Settings!$C$13*$D2893</f>
        <v/>
      </c>
      <c r="Q2893" s="16">
        <f>Q2884*Settings!$C$13*$D2893</f>
        <v/>
      </c>
      <c r="R2893" s="16">
        <f>R2884*Settings!$C$13*$D2893</f>
        <v/>
      </c>
      <c r="S2893" s="16">
        <f>S2884*Settings!$C$13*$D2893</f>
        <v/>
      </c>
      <c r="T2893" s="16">
        <f>T2884*Settings!$C$13*$D2893</f>
        <v/>
      </c>
      <c r="U2893" s="16">
        <f>U2884*Settings!$C$13*$D2893</f>
        <v/>
      </c>
      <c r="V2893" s="16">
        <f>V2884*Settings!$C$13*$D2893</f>
        <v/>
      </c>
      <c r="W2893" s="16">
        <f>W2884*Settings!$C$13*$D2893</f>
        <v/>
      </c>
      <c r="X2893" s="16">
        <f>X2884*Settings!$C$13*$D2893</f>
        <v/>
      </c>
      <c r="Y2893" s="16">
        <f>Y2884*Settings!$C$13*$D2893</f>
        <v/>
      </c>
      <c r="Z2893" s="16">
        <f>Z2884*Settings!$C$13*$D2893</f>
        <v/>
      </c>
      <c r="AA2893" s="16">
        <f>AA2884*Settings!$C$13*$D2893</f>
        <v/>
      </c>
      <c r="AB2893" s="16">
        <f>AB2884*Settings!$C$13*$D2893</f>
        <v/>
      </c>
      <c r="AC2893" s="16">
        <f>AC2884*Settings!$C$13*$D2893</f>
        <v/>
      </c>
      <c r="AD2893" s="16">
        <f>AD2884*Settings!$C$13*$D2893</f>
        <v/>
      </c>
      <c r="AE2893" s="49">
        <f>EMISSIONS(AE2884,Settings!$C$13,$D2893)</f>
        <v/>
      </c>
      <c r="AG2893" s="11">
        <f>CodePrefix&amp;$A2893&amp;IF($C2893="","","."&amp;$C2893&amp;"."&amp;$B2893)&amp;INDEX(VarEnd,MATCH($A2893,VarKey,0))&amp;AG$5</f>
        <v/>
      </c>
      <c r="AH2893" s="15">
        <f>AH2884*Settings!$C$13*$D2893</f>
        <v/>
      </c>
      <c r="AI2893" s="16">
        <f>AI2884*Settings!$C$13*$D2893</f>
        <v/>
      </c>
      <c r="AJ2893" s="16">
        <f>AJ2884*Settings!$C$13*$D2893</f>
        <v/>
      </c>
      <c r="AK2893" s="16">
        <f>AK2884*Settings!$C$13*$D2893</f>
        <v/>
      </c>
      <c r="AL2893" s="16">
        <f>AL2884*Settings!$C$13*$D2893</f>
        <v/>
      </c>
      <c r="AM2893" s="16">
        <f>AM2884*Settings!$C$13*$D2893</f>
        <v/>
      </c>
      <c r="AN2893" s="16">
        <f>AN2884*Settings!$C$13*$D2893</f>
        <v/>
      </c>
      <c r="AO2893" s="16">
        <f>AO2884*Settings!$C$13*$D2893</f>
        <v/>
      </c>
      <c r="AP2893" s="16">
        <f>AP2884*Settings!$C$13*$D2893</f>
        <v/>
      </c>
      <c r="AQ2893" s="16">
        <f>AQ2884*Settings!$C$13*$D2893</f>
        <v/>
      </c>
      <c r="AR2893" s="16">
        <f>AR2884*Settings!$C$13*$D2893</f>
        <v/>
      </c>
      <c r="AS2893" s="16">
        <f>AS2884*Settings!$C$13*$D2893</f>
        <v/>
      </c>
      <c r="AT2893" s="16">
        <f>AT2884*Settings!$C$13*$D2893</f>
        <v/>
      </c>
      <c r="AU2893" s="16">
        <f>AU2884*Settings!$C$13*$D2893</f>
        <v/>
      </c>
      <c r="AV2893" s="16">
        <f>AV2884*Settings!$C$13*$D2893</f>
        <v/>
      </c>
      <c r="AW2893" s="16">
        <f>AW2884*Settings!$C$13*$D2893</f>
        <v/>
      </c>
      <c r="AX2893" s="16">
        <f>AX2884*Settings!$C$13*$D2893</f>
        <v/>
      </c>
      <c r="AY2893" s="16">
        <f>AY2884*Settings!$C$13*$D2893</f>
        <v/>
      </c>
      <c r="AZ2893" s="16">
        <f>AZ2884*Settings!$C$13*$D2893</f>
        <v/>
      </c>
      <c r="BA2893" s="49">
        <f>EMISSIONS(BA2884,Settings!$C$13,$D2893)</f>
        <v/>
      </c>
    </row>
    <row r="2894" hidden="1" outlineLevel="2"/>
    <row r="2895" hidden="1" outlineLevel="2">
      <c r="A2895" s="14" t="inlineStr">
        <is>
          <t>rtx</t>
        </is>
      </c>
      <c r="B2895" s="14" t="inlineStr">
        <is>
          <t>coa</t>
        </is>
      </c>
      <c r="C2895" s="14" t="inlineStr">
        <is>
          <t>ftr</t>
        </is>
      </c>
      <c r="D2895" s="35">
        <f>INDEX(Inputs!$U$5:$U$132,MATCH($B2895&amp;"|"&amp;$C2895,Inputs!$A$5:$A$132,0))</f>
        <v/>
      </c>
      <c r="E2895" s="35">
        <f>INDEX(Inputs!$V$5:$V$132,MATCH($B2895&amp;"|"&amp;$C2895,Inputs!$A$5:$A$132,0))</f>
        <v/>
      </c>
      <c r="F2895" s="39" t="n"/>
      <c r="G2895" s="39" t="n"/>
      <c r="H2895" s="14">
        <f>INDEX(VarLab,MATCH($A2895,VarKey,0))&amp;INDEX(MemLab,MATCH($C2895&amp;"|"&amp;$B2895,MemKey,0))</f>
        <v/>
      </c>
      <c r="I2895" s="14">
        <f>INDEX(VarUnit,MATCH($A2895,VarKey,0))</f>
        <v/>
      </c>
      <c r="J2895" s="14">
        <f>INDEX(VarSrc,MATCH($A2895,VarKey,0))</f>
        <v/>
      </c>
      <c r="K2895" s="11">
        <f>CodePrefix&amp;$A2895&amp;IF($C2895="","","."&amp;$C2895&amp;"."&amp;$B2895)&amp;INDEX(VarEnd,MATCH($A2895,VarKey,0))&amp;K$5</f>
        <v/>
      </c>
      <c r="L2895" s="43">
        <f>L2877*Settings!$C$13*(INDEX(L$407:L$418,$D2895)+INDEX(L$394:L$405,$D2895)+L2850*(1+$E2895))</f>
        <v/>
      </c>
      <c r="M2895" s="44">
        <f>M2877*Settings!$C$13*(INDEX(M$407:M$418,$D2895)+INDEX(M$394:M$405,$D2895)+M2850*(1+$E2895))</f>
        <v/>
      </c>
      <c r="N2895" s="44">
        <f>N2877*Settings!$C$13*(INDEX(N$407:N$418,$D2895)+INDEX(N$394:N$405,$D2895)+N2850*(1+$E2895))</f>
        <v/>
      </c>
      <c r="O2895" s="44">
        <f>O2877*Settings!$C$13*(INDEX(O$407:O$418,$D2895)+INDEX(O$394:O$405,$D2895)+O2850*(1+$E2895))</f>
        <v/>
      </c>
      <c r="P2895" s="44">
        <f>P2877*Settings!$C$13*(INDEX(P$407:P$418,$D2895)+INDEX(P$394:P$405,$D2895)+P2850*(1+$E2895))</f>
        <v/>
      </c>
      <c r="Q2895" s="44">
        <f>Q2877*Settings!$C$13*(INDEX(Q$407:Q$418,$D2895)+INDEX(Q$394:Q$405,$D2895)+Q2850*(1+$E2895))</f>
        <v/>
      </c>
      <c r="R2895" s="44">
        <f>R2877*Settings!$C$13*(INDEX(R$407:R$418,$D2895)+INDEX(R$394:R$405,$D2895)+R2850*(1+$E2895))</f>
        <v/>
      </c>
      <c r="S2895" s="44">
        <f>S2877*Settings!$C$13*(INDEX(S$407:S$418,$D2895)+INDEX(S$394:S$405,$D2895)+S2850*(1+$E2895))</f>
        <v/>
      </c>
      <c r="T2895" s="44">
        <f>T2877*Settings!$C$13*(INDEX(T$407:T$418,$D2895)+INDEX(T$394:T$405,$D2895)+T2850*(1+$E2895))</f>
        <v/>
      </c>
      <c r="U2895" s="44">
        <f>U2877*Settings!$C$13*(INDEX(U$407:U$418,$D2895)+INDEX(U$394:U$405,$D2895)+U2850*(1+$E2895))</f>
        <v/>
      </c>
      <c r="V2895" s="44">
        <f>V2877*Settings!$C$13*(INDEX(V$407:V$418,$D2895)+INDEX(V$394:V$405,$D2895)+V2850*(1+$E2895))</f>
        <v/>
      </c>
      <c r="W2895" s="44">
        <f>W2877*Settings!$C$13*(INDEX(W$407:W$418,$D2895)+INDEX(W$394:W$405,$D2895)+W2850*(1+$E2895))</f>
        <v/>
      </c>
      <c r="X2895" s="44">
        <f>X2877*Settings!$C$13*(INDEX(X$407:X$418,$D2895)+INDEX(X$394:X$405,$D2895)+X2850*(1+$E2895))</f>
        <v/>
      </c>
      <c r="Y2895" s="44">
        <f>Y2877*Settings!$C$13*(INDEX(Y$407:Y$418,$D2895)+INDEX(Y$394:Y$405,$D2895)+Y2850*(1+$E2895))</f>
        <v/>
      </c>
      <c r="Z2895" s="44">
        <f>Z2877*Settings!$C$13*(INDEX(Z$407:Z$418,$D2895)+INDEX(Z$394:Z$405,$D2895)+Z2850*(1+$E2895))</f>
        <v/>
      </c>
      <c r="AA2895" s="44">
        <f>AA2877*Settings!$C$13*(INDEX(AA$407:AA$418,$D2895)+INDEX(AA$394:AA$405,$D2895)+AA2850*(1+$E2895))</f>
        <v/>
      </c>
      <c r="AB2895" s="44">
        <f>AB2877*Settings!$C$13*(INDEX(AB$407:AB$418,$D2895)+INDEX(AB$394:AB$405,$D2895)+AB2850*(1+$E2895))</f>
        <v/>
      </c>
      <c r="AC2895" s="44">
        <f>AC2877*Settings!$C$13*(INDEX(AC$407:AC$418,$D2895)+INDEX(AC$394:AC$405,$D2895)+AC2850*(1+$E2895))</f>
        <v/>
      </c>
      <c r="AD2895" s="44">
        <f>AD2877*Settings!$C$13*(INDEX(AD$407:AD$418,$D2895)+INDEX(AD$394:AD$405,$D2895)+AD2850*(1+$E2895))</f>
        <v/>
      </c>
      <c r="AE2895" s="57">
        <f>REVENUE(AE2877,Settings!$C$13,INDEX(AE$407:AE$418,$D2895)+INDEX(AE$394:AE$405,$D2895)+AE2850*(1+$E2895))</f>
        <v/>
      </c>
      <c r="AG2895" s="11">
        <f>CodePrefix&amp;$A2895&amp;IF($C2895="","","."&amp;$C2895&amp;"."&amp;$B2895)&amp;INDEX(VarEnd,MATCH($A2895,VarKey,0))&amp;AG$5</f>
        <v/>
      </c>
      <c r="AH2895" s="43">
        <f>AH2877*Settings!$C$13*(INDEX(AH$407:AH$418,$D2895)+INDEX(AH$394:AH$405,$D2895)+AH2850*(1+$E2895))</f>
        <v/>
      </c>
      <c r="AI2895" s="44">
        <f>AI2877*Settings!$C$13*(INDEX(AI$407:AI$418,$D2895)+INDEX(AI$394:AI$405,$D2895)+AI2850*(1+$E2895))</f>
        <v/>
      </c>
      <c r="AJ2895" s="44">
        <f>AJ2877*Settings!$C$13*(INDEX(AJ$407:AJ$418,$D2895)+INDEX(AJ$394:AJ$405,$D2895)+AJ2850*(1+$E2895))</f>
        <v/>
      </c>
      <c r="AK2895" s="44">
        <f>AK2877*Settings!$C$13*(INDEX(AK$407:AK$418,$D2895)+INDEX(AK$394:AK$405,$D2895)+AK2850*(1+$E2895))</f>
        <v/>
      </c>
      <c r="AL2895" s="44">
        <f>AL2877*Settings!$C$13*(INDEX(AL$407:AL$418,$D2895)+INDEX(AL$394:AL$405,$D2895)+AL2850*(1+$E2895))</f>
        <v/>
      </c>
      <c r="AM2895" s="44">
        <f>AM2877*Settings!$C$13*(INDEX(AM$407:AM$418,$D2895)+INDEX(AM$394:AM$405,$D2895)+AM2850*(1+$E2895))</f>
        <v/>
      </c>
      <c r="AN2895" s="44">
        <f>AN2877*Settings!$C$13*(INDEX(AN$407:AN$418,$D2895)+INDEX(AN$394:AN$405,$D2895)+AN2850*(1+$E2895))</f>
        <v/>
      </c>
      <c r="AO2895" s="44">
        <f>AO2877*Settings!$C$13*(INDEX(AO$407:AO$418,$D2895)+INDEX(AO$394:AO$405,$D2895)+AO2850*(1+$E2895))</f>
        <v/>
      </c>
      <c r="AP2895" s="44">
        <f>AP2877*Settings!$C$13*(INDEX(AP$407:AP$418,$D2895)+INDEX(AP$394:AP$405,$D2895)+AP2850*(1+$E2895))</f>
        <v/>
      </c>
      <c r="AQ2895" s="44">
        <f>AQ2877*Settings!$C$13*(INDEX(AQ$407:AQ$418,$D2895)+INDEX(AQ$394:AQ$405,$D2895)+AQ2850*(1+$E2895))</f>
        <v/>
      </c>
      <c r="AR2895" s="44">
        <f>AR2877*Settings!$C$13*(INDEX(AR$407:AR$418,$D2895)+INDEX(AR$394:AR$405,$D2895)+AR2850*(1+$E2895))</f>
        <v/>
      </c>
      <c r="AS2895" s="44">
        <f>AS2877*Settings!$C$13*(INDEX(AS$407:AS$418,$D2895)+INDEX(AS$394:AS$405,$D2895)+AS2850*(1+$E2895))</f>
        <v/>
      </c>
      <c r="AT2895" s="44">
        <f>AT2877*Settings!$C$13*(INDEX(AT$407:AT$418,$D2895)+INDEX(AT$394:AT$405,$D2895)+AT2850*(1+$E2895))</f>
        <v/>
      </c>
      <c r="AU2895" s="44">
        <f>AU2877*Settings!$C$13*(INDEX(AU$407:AU$418,$D2895)+INDEX(AU$394:AU$405,$D2895)+AU2850*(1+$E2895))</f>
        <v/>
      </c>
      <c r="AV2895" s="44">
        <f>AV2877*Settings!$C$13*(INDEX(AV$407:AV$418,$D2895)+INDEX(AV$394:AV$405,$D2895)+AV2850*(1+$E2895))</f>
        <v/>
      </c>
      <c r="AW2895" s="44">
        <f>AW2877*Settings!$C$13*(INDEX(AW$407:AW$418,$D2895)+INDEX(AW$394:AW$405,$D2895)+AW2850*(1+$E2895))</f>
        <v/>
      </c>
      <c r="AX2895" s="44">
        <f>AX2877*Settings!$C$13*(INDEX(AX$407:AX$418,$D2895)+INDEX(AX$394:AX$405,$D2895)+AX2850*(1+$E2895))</f>
        <v/>
      </c>
      <c r="AY2895" s="44">
        <f>AY2877*Settings!$C$13*(INDEX(AY$407:AY$418,$D2895)+INDEX(AY$394:AY$405,$D2895)+AY2850*(1+$E2895))</f>
        <v/>
      </c>
      <c r="AZ2895" s="44">
        <f>AZ2877*Settings!$C$13*(INDEX(AZ$407:AZ$418,$D2895)+INDEX(AZ$394:AZ$405,$D2895)+AZ2850*(1+$E2895))</f>
        <v/>
      </c>
      <c r="BA2895" s="57">
        <f>REVENUE(BA2877,Settings!$C$13,INDEX(BA$407:BA$418,$D2895)+INDEX(BA$394:BA$405,$D2895)+BA2850*(1+$E2895))</f>
        <v/>
      </c>
    </row>
    <row r="2896" hidden="1" outlineLevel="2">
      <c r="A2896" s="14" t="inlineStr">
        <is>
          <t>rtx</t>
        </is>
      </c>
      <c r="B2896" s="14" t="inlineStr">
        <is>
          <t>nga</t>
        </is>
      </c>
      <c r="C2896" s="14" t="inlineStr">
        <is>
          <t>ftr</t>
        </is>
      </c>
      <c r="D2896" s="35">
        <f>INDEX(Inputs!$U$5:$U$132,MATCH($B2896&amp;"|"&amp;$C2896,Inputs!$A$5:$A$132,0))</f>
        <v/>
      </c>
      <c r="E2896" s="35">
        <f>INDEX(Inputs!$V$5:$V$132,MATCH($B2896&amp;"|"&amp;$C2896,Inputs!$A$5:$A$132,0))</f>
        <v/>
      </c>
      <c r="F2896" s="39" t="n"/>
      <c r="G2896" s="39" t="n"/>
      <c r="H2896" s="14">
        <f>INDEX(VarLab,MATCH($A2896,VarKey,0))&amp;INDEX(MemLab,MATCH($C2896&amp;"|"&amp;$B2896,MemKey,0))</f>
        <v/>
      </c>
      <c r="I2896" s="14">
        <f>INDEX(VarUnit,MATCH($A2896,VarKey,0))</f>
        <v/>
      </c>
      <c r="J2896" s="14">
        <f>INDEX(VarSrc,MATCH($A2896,VarKey,0))</f>
        <v/>
      </c>
      <c r="K2896" s="11">
        <f>CodePrefix&amp;$A2896&amp;IF($C2896="","","."&amp;$C2896&amp;"."&amp;$B2896)&amp;INDEX(VarEnd,MATCH($A2896,VarKey,0))&amp;K$5</f>
        <v/>
      </c>
      <c r="L2896" s="43">
        <f>L2878*Settings!$C$13*(INDEX(L$407:L$418,$D2896)+INDEX(L$394:L$405,$D2896)+L2851*(1+$E2896))</f>
        <v/>
      </c>
      <c r="M2896" s="44">
        <f>M2878*Settings!$C$13*(INDEX(M$407:M$418,$D2896)+INDEX(M$394:M$405,$D2896)+M2851*(1+$E2896))</f>
        <v/>
      </c>
      <c r="N2896" s="44">
        <f>N2878*Settings!$C$13*(INDEX(N$407:N$418,$D2896)+INDEX(N$394:N$405,$D2896)+N2851*(1+$E2896))</f>
        <v/>
      </c>
      <c r="O2896" s="44">
        <f>O2878*Settings!$C$13*(INDEX(O$407:O$418,$D2896)+INDEX(O$394:O$405,$D2896)+O2851*(1+$E2896))</f>
        <v/>
      </c>
      <c r="P2896" s="44">
        <f>P2878*Settings!$C$13*(INDEX(P$407:P$418,$D2896)+INDEX(P$394:P$405,$D2896)+P2851*(1+$E2896))</f>
        <v/>
      </c>
      <c r="Q2896" s="44">
        <f>Q2878*Settings!$C$13*(INDEX(Q$407:Q$418,$D2896)+INDEX(Q$394:Q$405,$D2896)+Q2851*(1+$E2896))</f>
        <v/>
      </c>
      <c r="R2896" s="44">
        <f>R2878*Settings!$C$13*(INDEX(R$407:R$418,$D2896)+INDEX(R$394:R$405,$D2896)+R2851*(1+$E2896))</f>
        <v/>
      </c>
      <c r="S2896" s="44">
        <f>S2878*Settings!$C$13*(INDEX(S$407:S$418,$D2896)+INDEX(S$394:S$405,$D2896)+S2851*(1+$E2896))</f>
        <v/>
      </c>
      <c r="T2896" s="44">
        <f>T2878*Settings!$C$13*(INDEX(T$407:T$418,$D2896)+INDEX(T$394:T$405,$D2896)+T2851*(1+$E2896))</f>
        <v/>
      </c>
      <c r="U2896" s="44">
        <f>U2878*Settings!$C$13*(INDEX(U$407:U$418,$D2896)+INDEX(U$394:U$405,$D2896)+U2851*(1+$E2896))</f>
        <v/>
      </c>
      <c r="V2896" s="44">
        <f>V2878*Settings!$C$13*(INDEX(V$407:V$418,$D2896)+INDEX(V$394:V$405,$D2896)+V2851*(1+$E2896))</f>
        <v/>
      </c>
      <c r="W2896" s="44">
        <f>W2878*Settings!$C$13*(INDEX(W$407:W$418,$D2896)+INDEX(W$394:W$405,$D2896)+W2851*(1+$E2896))</f>
        <v/>
      </c>
      <c r="X2896" s="44">
        <f>X2878*Settings!$C$13*(INDEX(X$407:X$418,$D2896)+INDEX(X$394:X$405,$D2896)+X2851*(1+$E2896))</f>
        <v/>
      </c>
      <c r="Y2896" s="44">
        <f>Y2878*Settings!$C$13*(INDEX(Y$407:Y$418,$D2896)+INDEX(Y$394:Y$405,$D2896)+Y2851*(1+$E2896))</f>
        <v/>
      </c>
      <c r="Z2896" s="44">
        <f>Z2878*Settings!$C$13*(INDEX(Z$407:Z$418,$D2896)+INDEX(Z$394:Z$405,$D2896)+Z2851*(1+$E2896))</f>
        <v/>
      </c>
      <c r="AA2896" s="44">
        <f>AA2878*Settings!$C$13*(INDEX(AA$407:AA$418,$D2896)+INDEX(AA$394:AA$405,$D2896)+AA2851*(1+$E2896))</f>
        <v/>
      </c>
      <c r="AB2896" s="44">
        <f>AB2878*Settings!$C$13*(INDEX(AB$407:AB$418,$D2896)+INDEX(AB$394:AB$405,$D2896)+AB2851*(1+$E2896))</f>
        <v/>
      </c>
      <c r="AC2896" s="44">
        <f>AC2878*Settings!$C$13*(INDEX(AC$407:AC$418,$D2896)+INDEX(AC$394:AC$405,$D2896)+AC2851*(1+$E2896))</f>
        <v/>
      </c>
      <c r="AD2896" s="44">
        <f>AD2878*Settings!$C$13*(INDEX(AD$407:AD$418,$D2896)+INDEX(AD$394:AD$405,$D2896)+AD2851*(1+$E2896))</f>
        <v/>
      </c>
      <c r="AE2896" s="57">
        <f>REVENUE(AE2878,Settings!$C$13,INDEX(AE$407:AE$418,$D2896)+INDEX(AE$394:AE$405,$D2896)+AE2851*(1+$E2896))</f>
        <v/>
      </c>
      <c r="AG2896" s="11">
        <f>CodePrefix&amp;$A2896&amp;IF($C2896="","","."&amp;$C2896&amp;"."&amp;$B2896)&amp;INDEX(VarEnd,MATCH($A2896,VarKey,0))&amp;AG$5</f>
        <v/>
      </c>
      <c r="AH2896" s="43">
        <f>AH2878*Settings!$C$13*(INDEX(AH$407:AH$418,$D2896)+INDEX(AH$394:AH$405,$D2896)+AH2851*(1+$E2896))</f>
        <v/>
      </c>
      <c r="AI2896" s="44">
        <f>AI2878*Settings!$C$13*(INDEX(AI$407:AI$418,$D2896)+INDEX(AI$394:AI$405,$D2896)+AI2851*(1+$E2896))</f>
        <v/>
      </c>
      <c r="AJ2896" s="44">
        <f>AJ2878*Settings!$C$13*(INDEX(AJ$407:AJ$418,$D2896)+INDEX(AJ$394:AJ$405,$D2896)+AJ2851*(1+$E2896))</f>
        <v/>
      </c>
      <c r="AK2896" s="44">
        <f>AK2878*Settings!$C$13*(INDEX(AK$407:AK$418,$D2896)+INDEX(AK$394:AK$405,$D2896)+AK2851*(1+$E2896))</f>
        <v/>
      </c>
      <c r="AL2896" s="44">
        <f>AL2878*Settings!$C$13*(INDEX(AL$407:AL$418,$D2896)+INDEX(AL$394:AL$405,$D2896)+AL2851*(1+$E2896))</f>
        <v/>
      </c>
      <c r="AM2896" s="44">
        <f>AM2878*Settings!$C$13*(INDEX(AM$407:AM$418,$D2896)+INDEX(AM$394:AM$405,$D2896)+AM2851*(1+$E2896))</f>
        <v/>
      </c>
      <c r="AN2896" s="44">
        <f>AN2878*Settings!$C$13*(INDEX(AN$407:AN$418,$D2896)+INDEX(AN$394:AN$405,$D2896)+AN2851*(1+$E2896))</f>
        <v/>
      </c>
      <c r="AO2896" s="44">
        <f>AO2878*Settings!$C$13*(INDEX(AO$407:AO$418,$D2896)+INDEX(AO$394:AO$405,$D2896)+AO2851*(1+$E2896))</f>
        <v/>
      </c>
      <c r="AP2896" s="44">
        <f>AP2878*Settings!$C$13*(INDEX(AP$407:AP$418,$D2896)+INDEX(AP$394:AP$405,$D2896)+AP2851*(1+$E2896))</f>
        <v/>
      </c>
      <c r="AQ2896" s="44">
        <f>AQ2878*Settings!$C$13*(INDEX(AQ$407:AQ$418,$D2896)+INDEX(AQ$394:AQ$405,$D2896)+AQ2851*(1+$E2896))</f>
        <v/>
      </c>
      <c r="AR2896" s="44">
        <f>AR2878*Settings!$C$13*(INDEX(AR$407:AR$418,$D2896)+INDEX(AR$394:AR$405,$D2896)+AR2851*(1+$E2896))</f>
        <v/>
      </c>
      <c r="AS2896" s="44">
        <f>AS2878*Settings!$C$13*(INDEX(AS$407:AS$418,$D2896)+INDEX(AS$394:AS$405,$D2896)+AS2851*(1+$E2896))</f>
        <v/>
      </c>
      <c r="AT2896" s="44">
        <f>AT2878*Settings!$C$13*(INDEX(AT$407:AT$418,$D2896)+INDEX(AT$394:AT$405,$D2896)+AT2851*(1+$E2896))</f>
        <v/>
      </c>
      <c r="AU2896" s="44">
        <f>AU2878*Settings!$C$13*(INDEX(AU$407:AU$418,$D2896)+INDEX(AU$394:AU$405,$D2896)+AU2851*(1+$E2896))</f>
        <v/>
      </c>
      <c r="AV2896" s="44">
        <f>AV2878*Settings!$C$13*(INDEX(AV$407:AV$418,$D2896)+INDEX(AV$394:AV$405,$D2896)+AV2851*(1+$E2896))</f>
        <v/>
      </c>
      <c r="AW2896" s="44">
        <f>AW2878*Settings!$C$13*(INDEX(AW$407:AW$418,$D2896)+INDEX(AW$394:AW$405,$D2896)+AW2851*(1+$E2896))</f>
        <v/>
      </c>
      <c r="AX2896" s="44">
        <f>AX2878*Settings!$C$13*(INDEX(AX$407:AX$418,$D2896)+INDEX(AX$394:AX$405,$D2896)+AX2851*(1+$E2896))</f>
        <v/>
      </c>
      <c r="AY2896" s="44">
        <f>AY2878*Settings!$C$13*(INDEX(AY$407:AY$418,$D2896)+INDEX(AY$394:AY$405,$D2896)+AY2851*(1+$E2896))</f>
        <v/>
      </c>
      <c r="AZ2896" s="44">
        <f>AZ2878*Settings!$C$13*(INDEX(AZ$407:AZ$418,$D2896)+INDEX(AZ$394:AZ$405,$D2896)+AZ2851*(1+$E2896))</f>
        <v/>
      </c>
      <c r="BA2896" s="57">
        <f>REVENUE(BA2878,Settings!$C$13,INDEX(BA$407:BA$418,$D2896)+INDEX(BA$394:BA$405,$D2896)+BA2851*(1+$E2896))</f>
        <v/>
      </c>
    </row>
    <row r="2897" hidden="1" outlineLevel="2">
      <c r="A2897" s="14" t="inlineStr">
        <is>
          <t>rtx</t>
        </is>
      </c>
      <c r="B2897" s="14" t="inlineStr">
        <is>
          <t>gso</t>
        </is>
      </c>
      <c r="C2897" s="14" t="inlineStr">
        <is>
          <t>ftr</t>
        </is>
      </c>
      <c r="D2897" s="35">
        <f>INDEX(Inputs!$U$5:$U$132,MATCH($B2897&amp;"|"&amp;$C2897,Inputs!$A$5:$A$132,0))</f>
        <v/>
      </c>
      <c r="E2897" s="35">
        <f>INDEX(Inputs!$V$5:$V$132,MATCH($B2897&amp;"|"&amp;$C2897,Inputs!$A$5:$A$132,0))</f>
        <v/>
      </c>
      <c r="F2897" s="39" t="n"/>
      <c r="G2897" s="39" t="n"/>
      <c r="H2897" s="14">
        <f>INDEX(VarLab,MATCH($A2897,VarKey,0))&amp;INDEX(MemLab,MATCH($C2897&amp;"|"&amp;$B2897,MemKey,0))</f>
        <v/>
      </c>
      <c r="I2897" s="14">
        <f>INDEX(VarUnit,MATCH($A2897,VarKey,0))</f>
        <v/>
      </c>
      <c r="J2897" s="14">
        <f>INDEX(VarSrc,MATCH($A2897,VarKey,0))</f>
        <v/>
      </c>
      <c r="K2897" s="11">
        <f>CodePrefix&amp;$A2897&amp;IF($C2897="","","."&amp;$C2897&amp;"."&amp;$B2897)&amp;INDEX(VarEnd,MATCH($A2897,VarKey,0))&amp;K$5</f>
        <v/>
      </c>
      <c r="L2897" s="43">
        <f>L2879*Settings!$C$13*(INDEX(L$407:L$418,$D2897)+INDEX(L$394:L$405,$D2897)+L2852*(1+$E2897))</f>
        <v/>
      </c>
      <c r="M2897" s="44">
        <f>M2879*Settings!$C$13*(INDEX(M$407:M$418,$D2897)+INDEX(M$394:M$405,$D2897)+M2852*(1+$E2897))</f>
        <v/>
      </c>
      <c r="N2897" s="44">
        <f>N2879*Settings!$C$13*(INDEX(N$407:N$418,$D2897)+INDEX(N$394:N$405,$D2897)+N2852*(1+$E2897))</f>
        <v/>
      </c>
      <c r="O2897" s="44">
        <f>O2879*Settings!$C$13*(INDEX(O$407:O$418,$D2897)+INDEX(O$394:O$405,$D2897)+O2852*(1+$E2897))</f>
        <v/>
      </c>
      <c r="P2897" s="44">
        <f>P2879*Settings!$C$13*(INDEX(P$407:P$418,$D2897)+INDEX(P$394:P$405,$D2897)+P2852*(1+$E2897))</f>
        <v/>
      </c>
      <c r="Q2897" s="44">
        <f>Q2879*Settings!$C$13*(INDEX(Q$407:Q$418,$D2897)+INDEX(Q$394:Q$405,$D2897)+Q2852*(1+$E2897))</f>
        <v/>
      </c>
      <c r="R2897" s="44">
        <f>R2879*Settings!$C$13*(INDEX(R$407:R$418,$D2897)+INDEX(R$394:R$405,$D2897)+R2852*(1+$E2897))</f>
        <v/>
      </c>
      <c r="S2897" s="44">
        <f>S2879*Settings!$C$13*(INDEX(S$407:S$418,$D2897)+INDEX(S$394:S$405,$D2897)+S2852*(1+$E2897))</f>
        <v/>
      </c>
      <c r="T2897" s="44">
        <f>T2879*Settings!$C$13*(INDEX(T$407:T$418,$D2897)+INDEX(T$394:T$405,$D2897)+T2852*(1+$E2897))</f>
        <v/>
      </c>
      <c r="U2897" s="44">
        <f>U2879*Settings!$C$13*(INDEX(U$407:U$418,$D2897)+INDEX(U$394:U$405,$D2897)+U2852*(1+$E2897))</f>
        <v/>
      </c>
      <c r="V2897" s="44">
        <f>V2879*Settings!$C$13*(INDEX(V$407:V$418,$D2897)+INDEX(V$394:V$405,$D2897)+V2852*(1+$E2897))</f>
        <v/>
      </c>
      <c r="W2897" s="44">
        <f>W2879*Settings!$C$13*(INDEX(W$407:W$418,$D2897)+INDEX(W$394:W$405,$D2897)+W2852*(1+$E2897))</f>
        <v/>
      </c>
      <c r="X2897" s="44">
        <f>X2879*Settings!$C$13*(INDEX(X$407:X$418,$D2897)+INDEX(X$394:X$405,$D2897)+X2852*(1+$E2897))</f>
        <v/>
      </c>
      <c r="Y2897" s="44">
        <f>Y2879*Settings!$C$13*(INDEX(Y$407:Y$418,$D2897)+INDEX(Y$394:Y$405,$D2897)+Y2852*(1+$E2897))</f>
        <v/>
      </c>
      <c r="Z2897" s="44">
        <f>Z2879*Settings!$C$13*(INDEX(Z$407:Z$418,$D2897)+INDEX(Z$394:Z$405,$D2897)+Z2852*(1+$E2897))</f>
        <v/>
      </c>
      <c r="AA2897" s="44">
        <f>AA2879*Settings!$C$13*(INDEX(AA$407:AA$418,$D2897)+INDEX(AA$394:AA$405,$D2897)+AA2852*(1+$E2897))</f>
        <v/>
      </c>
      <c r="AB2897" s="44">
        <f>AB2879*Settings!$C$13*(INDEX(AB$407:AB$418,$D2897)+INDEX(AB$394:AB$405,$D2897)+AB2852*(1+$E2897))</f>
        <v/>
      </c>
      <c r="AC2897" s="44">
        <f>AC2879*Settings!$C$13*(INDEX(AC$407:AC$418,$D2897)+INDEX(AC$394:AC$405,$D2897)+AC2852*(1+$E2897))</f>
        <v/>
      </c>
      <c r="AD2897" s="44">
        <f>AD2879*Settings!$C$13*(INDEX(AD$407:AD$418,$D2897)+INDEX(AD$394:AD$405,$D2897)+AD2852*(1+$E2897))</f>
        <v/>
      </c>
      <c r="AE2897" s="57">
        <f>REVENUE(AE2879,Settings!$C$13,INDEX(AE$407:AE$418,$D2897)+INDEX(AE$394:AE$405,$D2897)+AE2852*(1+$E2897))</f>
        <v/>
      </c>
      <c r="AG2897" s="11">
        <f>CodePrefix&amp;$A2897&amp;IF($C2897="","","."&amp;$C2897&amp;"."&amp;$B2897)&amp;INDEX(VarEnd,MATCH($A2897,VarKey,0))&amp;AG$5</f>
        <v/>
      </c>
      <c r="AH2897" s="43">
        <f>AH2879*Settings!$C$13*(INDEX(AH$407:AH$418,$D2897)+INDEX(AH$394:AH$405,$D2897)+AH2852*(1+$E2897))</f>
        <v/>
      </c>
      <c r="AI2897" s="44">
        <f>AI2879*Settings!$C$13*(INDEX(AI$407:AI$418,$D2897)+INDEX(AI$394:AI$405,$D2897)+AI2852*(1+$E2897))</f>
        <v/>
      </c>
      <c r="AJ2897" s="44">
        <f>AJ2879*Settings!$C$13*(INDEX(AJ$407:AJ$418,$D2897)+INDEX(AJ$394:AJ$405,$D2897)+AJ2852*(1+$E2897))</f>
        <v/>
      </c>
      <c r="AK2897" s="44">
        <f>AK2879*Settings!$C$13*(INDEX(AK$407:AK$418,$D2897)+INDEX(AK$394:AK$405,$D2897)+AK2852*(1+$E2897))</f>
        <v/>
      </c>
      <c r="AL2897" s="44">
        <f>AL2879*Settings!$C$13*(INDEX(AL$407:AL$418,$D2897)+INDEX(AL$394:AL$405,$D2897)+AL2852*(1+$E2897))</f>
        <v/>
      </c>
      <c r="AM2897" s="44">
        <f>AM2879*Settings!$C$13*(INDEX(AM$407:AM$418,$D2897)+INDEX(AM$394:AM$405,$D2897)+AM2852*(1+$E2897))</f>
        <v/>
      </c>
      <c r="AN2897" s="44">
        <f>AN2879*Settings!$C$13*(INDEX(AN$407:AN$418,$D2897)+INDEX(AN$394:AN$405,$D2897)+AN2852*(1+$E2897))</f>
        <v/>
      </c>
      <c r="AO2897" s="44">
        <f>AO2879*Settings!$C$13*(INDEX(AO$407:AO$418,$D2897)+INDEX(AO$394:AO$405,$D2897)+AO2852*(1+$E2897))</f>
        <v/>
      </c>
      <c r="AP2897" s="44">
        <f>AP2879*Settings!$C$13*(INDEX(AP$407:AP$418,$D2897)+INDEX(AP$394:AP$405,$D2897)+AP2852*(1+$E2897))</f>
        <v/>
      </c>
      <c r="AQ2897" s="44">
        <f>AQ2879*Settings!$C$13*(INDEX(AQ$407:AQ$418,$D2897)+INDEX(AQ$394:AQ$405,$D2897)+AQ2852*(1+$E2897))</f>
        <v/>
      </c>
      <c r="AR2897" s="44">
        <f>AR2879*Settings!$C$13*(INDEX(AR$407:AR$418,$D2897)+INDEX(AR$394:AR$405,$D2897)+AR2852*(1+$E2897))</f>
        <v/>
      </c>
      <c r="AS2897" s="44">
        <f>AS2879*Settings!$C$13*(INDEX(AS$407:AS$418,$D2897)+INDEX(AS$394:AS$405,$D2897)+AS2852*(1+$E2897))</f>
        <v/>
      </c>
      <c r="AT2897" s="44">
        <f>AT2879*Settings!$C$13*(INDEX(AT$407:AT$418,$D2897)+INDEX(AT$394:AT$405,$D2897)+AT2852*(1+$E2897))</f>
        <v/>
      </c>
      <c r="AU2897" s="44">
        <f>AU2879*Settings!$C$13*(INDEX(AU$407:AU$418,$D2897)+INDEX(AU$394:AU$405,$D2897)+AU2852*(1+$E2897))</f>
        <v/>
      </c>
      <c r="AV2897" s="44">
        <f>AV2879*Settings!$C$13*(INDEX(AV$407:AV$418,$D2897)+INDEX(AV$394:AV$405,$D2897)+AV2852*(1+$E2897))</f>
        <v/>
      </c>
      <c r="AW2897" s="44">
        <f>AW2879*Settings!$C$13*(INDEX(AW$407:AW$418,$D2897)+INDEX(AW$394:AW$405,$D2897)+AW2852*(1+$E2897))</f>
        <v/>
      </c>
      <c r="AX2897" s="44">
        <f>AX2879*Settings!$C$13*(INDEX(AX$407:AX$418,$D2897)+INDEX(AX$394:AX$405,$D2897)+AX2852*(1+$E2897))</f>
        <v/>
      </c>
      <c r="AY2897" s="44">
        <f>AY2879*Settings!$C$13*(INDEX(AY$407:AY$418,$D2897)+INDEX(AY$394:AY$405,$D2897)+AY2852*(1+$E2897))</f>
        <v/>
      </c>
      <c r="AZ2897" s="44">
        <f>AZ2879*Settings!$C$13*(INDEX(AZ$407:AZ$418,$D2897)+INDEX(AZ$394:AZ$405,$D2897)+AZ2852*(1+$E2897))</f>
        <v/>
      </c>
      <c r="BA2897" s="57">
        <f>REVENUE(BA2879,Settings!$C$13,INDEX(BA$407:BA$418,$D2897)+INDEX(BA$394:BA$405,$D2897)+BA2852*(1+$E2897))</f>
        <v/>
      </c>
    </row>
    <row r="2898" hidden="1" outlineLevel="2">
      <c r="A2898" s="14" t="inlineStr">
        <is>
          <t>rtx</t>
        </is>
      </c>
      <c r="B2898" s="14" t="inlineStr">
        <is>
          <t>die</t>
        </is>
      </c>
      <c r="C2898" s="14" t="inlineStr">
        <is>
          <t>ftr</t>
        </is>
      </c>
      <c r="D2898" s="35">
        <f>INDEX(Inputs!$U$5:$U$132,MATCH($B2898&amp;"|"&amp;$C2898,Inputs!$A$5:$A$132,0))</f>
        <v/>
      </c>
      <c r="E2898" s="35">
        <f>INDEX(Inputs!$V$5:$V$132,MATCH($B2898&amp;"|"&amp;$C2898,Inputs!$A$5:$A$132,0))</f>
        <v/>
      </c>
      <c r="F2898" s="39" t="n"/>
      <c r="G2898" s="39" t="n"/>
      <c r="H2898" s="14">
        <f>INDEX(VarLab,MATCH($A2898,VarKey,0))&amp;INDEX(MemLab,MATCH($C2898&amp;"|"&amp;$B2898,MemKey,0))</f>
        <v/>
      </c>
      <c r="I2898" s="14">
        <f>INDEX(VarUnit,MATCH($A2898,VarKey,0))</f>
        <v/>
      </c>
      <c r="J2898" s="14">
        <f>INDEX(VarSrc,MATCH($A2898,VarKey,0))</f>
        <v/>
      </c>
      <c r="K2898" s="11">
        <f>CodePrefix&amp;$A2898&amp;IF($C2898="","","."&amp;$C2898&amp;"."&amp;$B2898)&amp;INDEX(VarEnd,MATCH($A2898,VarKey,0))&amp;K$5</f>
        <v/>
      </c>
      <c r="L2898" s="43">
        <f>L2880*Settings!$C$13*(INDEX(L$407:L$418,$D2898)+INDEX(L$394:L$405,$D2898)+L2853*(1+$E2898))</f>
        <v/>
      </c>
      <c r="M2898" s="44">
        <f>M2880*Settings!$C$13*(INDEX(M$407:M$418,$D2898)+INDEX(M$394:M$405,$D2898)+M2853*(1+$E2898))</f>
        <v/>
      </c>
      <c r="N2898" s="44">
        <f>N2880*Settings!$C$13*(INDEX(N$407:N$418,$D2898)+INDEX(N$394:N$405,$D2898)+N2853*(1+$E2898))</f>
        <v/>
      </c>
      <c r="O2898" s="44">
        <f>O2880*Settings!$C$13*(INDEX(O$407:O$418,$D2898)+INDEX(O$394:O$405,$D2898)+O2853*(1+$E2898))</f>
        <v/>
      </c>
      <c r="P2898" s="44">
        <f>P2880*Settings!$C$13*(INDEX(P$407:P$418,$D2898)+INDEX(P$394:P$405,$D2898)+P2853*(1+$E2898))</f>
        <v/>
      </c>
      <c r="Q2898" s="44">
        <f>Q2880*Settings!$C$13*(INDEX(Q$407:Q$418,$D2898)+INDEX(Q$394:Q$405,$D2898)+Q2853*(1+$E2898))</f>
        <v/>
      </c>
      <c r="R2898" s="44">
        <f>R2880*Settings!$C$13*(INDEX(R$407:R$418,$D2898)+INDEX(R$394:R$405,$D2898)+R2853*(1+$E2898))</f>
        <v/>
      </c>
      <c r="S2898" s="44">
        <f>S2880*Settings!$C$13*(INDEX(S$407:S$418,$D2898)+INDEX(S$394:S$405,$D2898)+S2853*(1+$E2898))</f>
        <v/>
      </c>
      <c r="T2898" s="44">
        <f>T2880*Settings!$C$13*(INDEX(T$407:T$418,$D2898)+INDEX(T$394:T$405,$D2898)+T2853*(1+$E2898))</f>
        <v/>
      </c>
      <c r="U2898" s="44">
        <f>U2880*Settings!$C$13*(INDEX(U$407:U$418,$D2898)+INDEX(U$394:U$405,$D2898)+U2853*(1+$E2898))</f>
        <v/>
      </c>
      <c r="V2898" s="44">
        <f>V2880*Settings!$C$13*(INDEX(V$407:V$418,$D2898)+INDEX(V$394:V$405,$D2898)+V2853*(1+$E2898))</f>
        <v/>
      </c>
      <c r="W2898" s="44">
        <f>W2880*Settings!$C$13*(INDEX(W$407:W$418,$D2898)+INDEX(W$394:W$405,$D2898)+W2853*(1+$E2898))</f>
        <v/>
      </c>
      <c r="X2898" s="44">
        <f>X2880*Settings!$C$13*(INDEX(X$407:X$418,$D2898)+INDEX(X$394:X$405,$D2898)+X2853*(1+$E2898))</f>
        <v/>
      </c>
      <c r="Y2898" s="44">
        <f>Y2880*Settings!$C$13*(INDEX(Y$407:Y$418,$D2898)+INDEX(Y$394:Y$405,$D2898)+Y2853*(1+$E2898))</f>
        <v/>
      </c>
      <c r="Z2898" s="44">
        <f>Z2880*Settings!$C$13*(INDEX(Z$407:Z$418,$D2898)+INDEX(Z$394:Z$405,$D2898)+Z2853*(1+$E2898))</f>
        <v/>
      </c>
      <c r="AA2898" s="44">
        <f>AA2880*Settings!$C$13*(INDEX(AA$407:AA$418,$D2898)+INDEX(AA$394:AA$405,$D2898)+AA2853*(1+$E2898))</f>
        <v/>
      </c>
      <c r="AB2898" s="44">
        <f>AB2880*Settings!$C$13*(INDEX(AB$407:AB$418,$D2898)+INDEX(AB$394:AB$405,$D2898)+AB2853*(1+$E2898))</f>
        <v/>
      </c>
      <c r="AC2898" s="44">
        <f>AC2880*Settings!$C$13*(INDEX(AC$407:AC$418,$D2898)+INDEX(AC$394:AC$405,$D2898)+AC2853*(1+$E2898))</f>
        <v/>
      </c>
      <c r="AD2898" s="44">
        <f>AD2880*Settings!$C$13*(INDEX(AD$407:AD$418,$D2898)+INDEX(AD$394:AD$405,$D2898)+AD2853*(1+$E2898))</f>
        <v/>
      </c>
      <c r="AE2898" s="57">
        <f>REVENUE(AE2880,Settings!$C$13,INDEX(AE$407:AE$418,$D2898)+INDEX(AE$394:AE$405,$D2898)+AE2853*(1+$E2898))</f>
        <v/>
      </c>
      <c r="AG2898" s="11">
        <f>CodePrefix&amp;$A2898&amp;IF($C2898="","","."&amp;$C2898&amp;"."&amp;$B2898)&amp;INDEX(VarEnd,MATCH($A2898,VarKey,0))&amp;AG$5</f>
        <v/>
      </c>
      <c r="AH2898" s="43">
        <f>AH2880*Settings!$C$13*(INDEX(AH$407:AH$418,$D2898)+INDEX(AH$394:AH$405,$D2898)+AH2853*(1+$E2898))</f>
        <v/>
      </c>
      <c r="AI2898" s="44">
        <f>AI2880*Settings!$C$13*(INDEX(AI$407:AI$418,$D2898)+INDEX(AI$394:AI$405,$D2898)+AI2853*(1+$E2898))</f>
        <v/>
      </c>
      <c r="AJ2898" s="44">
        <f>AJ2880*Settings!$C$13*(INDEX(AJ$407:AJ$418,$D2898)+INDEX(AJ$394:AJ$405,$D2898)+AJ2853*(1+$E2898))</f>
        <v/>
      </c>
      <c r="AK2898" s="44">
        <f>AK2880*Settings!$C$13*(INDEX(AK$407:AK$418,$D2898)+INDEX(AK$394:AK$405,$D2898)+AK2853*(1+$E2898))</f>
        <v/>
      </c>
      <c r="AL2898" s="44">
        <f>AL2880*Settings!$C$13*(INDEX(AL$407:AL$418,$D2898)+INDEX(AL$394:AL$405,$D2898)+AL2853*(1+$E2898))</f>
        <v/>
      </c>
      <c r="AM2898" s="44">
        <f>AM2880*Settings!$C$13*(INDEX(AM$407:AM$418,$D2898)+INDEX(AM$394:AM$405,$D2898)+AM2853*(1+$E2898))</f>
        <v/>
      </c>
      <c r="AN2898" s="44">
        <f>AN2880*Settings!$C$13*(INDEX(AN$407:AN$418,$D2898)+INDEX(AN$394:AN$405,$D2898)+AN2853*(1+$E2898))</f>
        <v/>
      </c>
      <c r="AO2898" s="44">
        <f>AO2880*Settings!$C$13*(INDEX(AO$407:AO$418,$D2898)+INDEX(AO$394:AO$405,$D2898)+AO2853*(1+$E2898))</f>
        <v/>
      </c>
      <c r="AP2898" s="44">
        <f>AP2880*Settings!$C$13*(INDEX(AP$407:AP$418,$D2898)+INDEX(AP$394:AP$405,$D2898)+AP2853*(1+$E2898))</f>
        <v/>
      </c>
      <c r="AQ2898" s="44">
        <f>AQ2880*Settings!$C$13*(INDEX(AQ$407:AQ$418,$D2898)+INDEX(AQ$394:AQ$405,$D2898)+AQ2853*(1+$E2898))</f>
        <v/>
      </c>
      <c r="AR2898" s="44">
        <f>AR2880*Settings!$C$13*(INDEX(AR$407:AR$418,$D2898)+INDEX(AR$394:AR$405,$D2898)+AR2853*(1+$E2898))</f>
        <v/>
      </c>
      <c r="AS2898" s="44">
        <f>AS2880*Settings!$C$13*(INDEX(AS$407:AS$418,$D2898)+INDEX(AS$394:AS$405,$D2898)+AS2853*(1+$E2898))</f>
        <v/>
      </c>
      <c r="AT2898" s="44">
        <f>AT2880*Settings!$C$13*(INDEX(AT$407:AT$418,$D2898)+INDEX(AT$394:AT$405,$D2898)+AT2853*(1+$E2898))</f>
        <v/>
      </c>
      <c r="AU2898" s="44">
        <f>AU2880*Settings!$C$13*(INDEX(AU$407:AU$418,$D2898)+INDEX(AU$394:AU$405,$D2898)+AU2853*(1+$E2898))</f>
        <v/>
      </c>
      <c r="AV2898" s="44">
        <f>AV2880*Settings!$C$13*(INDEX(AV$407:AV$418,$D2898)+INDEX(AV$394:AV$405,$D2898)+AV2853*(1+$E2898))</f>
        <v/>
      </c>
      <c r="AW2898" s="44">
        <f>AW2880*Settings!$C$13*(INDEX(AW$407:AW$418,$D2898)+INDEX(AW$394:AW$405,$D2898)+AW2853*(1+$E2898))</f>
        <v/>
      </c>
      <c r="AX2898" s="44">
        <f>AX2880*Settings!$C$13*(INDEX(AX$407:AX$418,$D2898)+INDEX(AX$394:AX$405,$D2898)+AX2853*(1+$E2898))</f>
        <v/>
      </c>
      <c r="AY2898" s="44">
        <f>AY2880*Settings!$C$13*(INDEX(AY$407:AY$418,$D2898)+INDEX(AY$394:AY$405,$D2898)+AY2853*(1+$E2898))</f>
        <v/>
      </c>
      <c r="AZ2898" s="44">
        <f>AZ2880*Settings!$C$13*(INDEX(AZ$407:AZ$418,$D2898)+INDEX(AZ$394:AZ$405,$D2898)+AZ2853*(1+$E2898))</f>
        <v/>
      </c>
      <c r="BA2898" s="57">
        <f>REVENUE(BA2880,Settings!$C$13,INDEX(BA$407:BA$418,$D2898)+INDEX(BA$394:BA$405,$D2898)+BA2853*(1+$E2898))</f>
        <v/>
      </c>
    </row>
    <row r="2899" hidden="1" outlineLevel="2">
      <c r="A2899" s="14" t="inlineStr">
        <is>
          <t>rtx</t>
        </is>
      </c>
      <c r="B2899" s="14" t="inlineStr">
        <is>
          <t>lpg</t>
        </is>
      </c>
      <c r="C2899" s="14" t="inlineStr">
        <is>
          <t>ftr</t>
        </is>
      </c>
      <c r="D2899" s="35">
        <f>INDEX(Inputs!$U$5:$U$132,MATCH($B2899&amp;"|"&amp;$C2899,Inputs!$A$5:$A$132,0))</f>
        <v/>
      </c>
      <c r="E2899" s="35">
        <f>INDEX(Inputs!$V$5:$V$132,MATCH($B2899&amp;"|"&amp;$C2899,Inputs!$A$5:$A$132,0))</f>
        <v/>
      </c>
      <c r="F2899" s="39" t="n"/>
      <c r="G2899" s="39" t="n"/>
      <c r="H2899" s="14">
        <f>INDEX(VarLab,MATCH($A2899,VarKey,0))&amp;INDEX(MemLab,MATCH($C2899&amp;"|"&amp;$B2899,MemKey,0))</f>
        <v/>
      </c>
      <c r="I2899" s="14">
        <f>INDEX(VarUnit,MATCH($A2899,VarKey,0))</f>
        <v/>
      </c>
      <c r="J2899" s="14">
        <f>INDEX(VarSrc,MATCH($A2899,VarKey,0))</f>
        <v/>
      </c>
      <c r="K2899" s="11">
        <f>CodePrefix&amp;$A2899&amp;IF($C2899="","","."&amp;$C2899&amp;"."&amp;$B2899)&amp;INDEX(VarEnd,MATCH($A2899,VarKey,0))&amp;K$5</f>
        <v/>
      </c>
      <c r="L2899" s="43">
        <f>L2881*Settings!$C$13*(INDEX(L$407:L$418,$D2899)+INDEX(L$394:L$405,$D2899)+L2854*(1+$E2899))</f>
        <v/>
      </c>
      <c r="M2899" s="44">
        <f>M2881*Settings!$C$13*(INDEX(M$407:M$418,$D2899)+INDEX(M$394:M$405,$D2899)+M2854*(1+$E2899))</f>
        <v/>
      </c>
      <c r="N2899" s="44">
        <f>N2881*Settings!$C$13*(INDEX(N$407:N$418,$D2899)+INDEX(N$394:N$405,$D2899)+N2854*(1+$E2899))</f>
        <v/>
      </c>
      <c r="O2899" s="44">
        <f>O2881*Settings!$C$13*(INDEX(O$407:O$418,$D2899)+INDEX(O$394:O$405,$D2899)+O2854*(1+$E2899))</f>
        <v/>
      </c>
      <c r="P2899" s="44">
        <f>P2881*Settings!$C$13*(INDEX(P$407:P$418,$D2899)+INDEX(P$394:P$405,$D2899)+P2854*(1+$E2899))</f>
        <v/>
      </c>
      <c r="Q2899" s="44">
        <f>Q2881*Settings!$C$13*(INDEX(Q$407:Q$418,$D2899)+INDEX(Q$394:Q$405,$D2899)+Q2854*(1+$E2899))</f>
        <v/>
      </c>
      <c r="R2899" s="44">
        <f>R2881*Settings!$C$13*(INDEX(R$407:R$418,$D2899)+INDEX(R$394:R$405,$D2899)+R2854*(1+$E2899))</f>
        <v/>
      </c>
      <c r="S2899" s="44">
        <f>S2881*Settings!$C$13*(INDEX(S$407:S$418,$D2899)+INDEX(S$394:S$405,$D2899)+S2854*(1+$E2899))</f>
        <v/>
      </c>
      <c r="T2899" s="44">
        <f>T2881*Settings!$C$13*(INDEX(T$407:T$418,$D2899)+INDEX(T$394:T$405,$D2899)+T2854*(1+$E2899))</f>
        <v/>
      </c>
      <c r="U2899" s="44">
        <f>U2881*Settings!$C$13*(INDEX(U$407:U$418,$D2899)+INDEX(U$394:U$405,$D2899)+U2854*(1+$E2899))</f>
        <v/>
      </c>
      <c r="V2899" s="44">
        <f>V2881*Settings!$C$13*(INDEX(V$407:V$418,$D2899)+INDEX(V$394:V$405,$D2899)+V2854*(1+$E2899))</f>
        <v/>
      </c>
      <c r="W2899" s="44">
        <f>W2881*Settings!$C$13*(INDEX(W$407:W$418,$D2899)+INDEX(W$394:W$405,$D2899)+W2854*(1+$E2899))</f>
        <v/>
      </c>
      <c r="X2899" s="44">
        <f>X2881*Settings!$C$13*(INDEX(X$407:X$418,$D2899)+INDEX(X$394:X$405,$D2899)+X2854*(1+$E2899))</f>
        <v/>
      </c>
      <c r="Y2899" s="44">
        <f>Y2881*Settings!$C$13*(INDEX(Y$407:Y$418,$D2899)+INDEX(Y$394:Y$405,$D2899)+Y2854*(1+$E2899))</f>
        <v/>
      </c>
      <c r="Z2899" s="44">
        <f>Z2881*Settings!$C$13*(INDEX(Z$407:Z$418,$D2899)+INDEX(Z$394:Z$405,$D2899)+Z2854*(1+$E2899))</f>
        <v/>
      </c>
      <c r="AA2899" s="44">
        <f>AA2881*Settings!$C$13*(INDEX(AA$407:AA$418,$D2899)+INDEX(AA$394:AA$405,$D2899)+AA2854*(1+$E2899))</f>
        <v/>
      </c>
      <c r="AB2899" s="44">
        <f>AB2881*Settings!$C$13*(INDEX(AB$407:AB$418,$D2899)+INDEX(AB$394:AB$405,$D2899)+AB2854*(1+$E2899))</f>
        <v/>
      </c>
      <c r="AC2899" s="44">
        <f>AC2881*Settings!$C$13*(INDEX(AC$407:AC$418,$D2899)+INDEX(AC$394:AC$405,$D2899)+AC2854*(1+$E2899))</f>
        <v/>
      </c>
      <c r="AD2899" s="44">
        <f>AD2881*Settings!$C$13*(INDEX(AD$407:AD$418,$D2899)+INDEX(AD$394:AD$405,$D2899)+AD2854*(1+$E2899))</f>
        <v/>
      </c>
      <c r="AE2899" s="57">
        <f>REVENUE(AE2881,Settings!$C$13,INDEX(AE$407:AE$418,$D2899)+INDEX(AE$394:AE$405,$D2899)+AE2854*(1+$E2899))</f>
        <v/>
      </c>
      <c r="AG2899" s="11">
        <f>CodePrefix&amp;$A2899&amp;IF($C2899="","","."&amp;$C2899&amp;"."&amp;$B2899)&amp;INDEX(VarEnd,MATCH($A2899,VarKey,0))&amp;AG$5</f>
        <v/>
      </c>
      <c r="AH2899" s="43">
        <f>AH2881*Settings!$C$13*(INDEX(AH$407:AH$418,$D2899)+INDEX(AH$394:AH$405,$D2899)+AH2854*(1+$E2899))</f>
        <v/>
      </c>
      <c r="AI2899" s="44">
        <f>AI2881*Settings!$C$13*(INDEX(AI$407:AI$418,$D2899)+INDEX(AI$394:AI$405,$D2899)+AI2854*(1+$E2899))</f>
        <v/>
      </c>
      <c r="AJ2899" s="44">
        <f>AJ2881*Settings!$C$13*(INDEX(AJ$407:AJ$418,$D2899)+INDEX(AJ$394:AJ$405,$D2899)+AJ2854*(1+$E2899))</f>
        <v/>
      </c>
      <c r="AK2899" s="44">
        <f>AK2881*Settings!$C$13*(INDEX(AK$407:AK$418,$D2899)+INDEX(AK$394:AK$405,$D2899)+AK2854*(1+$E2899))</f>
        <v/>
      </c>
      <c r="AL2899" s="44">
        <f>AL2881*Settings!$C$13*(INDEX(AL$407:AL$418,$D2899)+INDEX(AL$394:AL$405,$D2899)+AL2854*(1+$E2899))</f>
        <v/>
      </c>
      <c r="AM2899" s="44">
        <f>AM2881*Settings!$C$13*(INDEX(AM$407:AM$418,$D2899)+INDEX(AM$394:AM$405,$D2899)+AM2854*(1+$E2899))</f>
        <v/>
      </c>
      <c r="AN2899" s="44">
        <f>AN2881*Settings!$C$13*(INDEX(AN$407:AN$418,$D2899)+INDEX(AN$394:AN$405,$D2899)+AN2854*(1+$E2899))</f>
        <v/>
      </c>
      <c r="AO2899" s="44">
        <f>AO2881*Settings!$C$13*(INDEX(AO$407:AO$418,$D2899)+INDEX(AO$394:AO$405,$D2899)+AO2854*(1+$E2899))</f>
        <v/>
      </c>
      <c r="AP2899" s="44">
        <f>AP2881*Settings!$C$13*(INDEX(AP$407:AP$418,$D2899)+INDEX(AP$394:AP$405,$D2899)+AP2854*(1+$E2899))</f>
        <v/>
      </c>
      <c r="AQ2899" s="44">
        <f>AQ2881*Settings!$C$13*(INDEX(AQ$407:AQ$418,$D2899)+INDEX(AQ$394:AQ$405,$D2899)+AQ2854*(1+$E2899))</f>
        <v/>
      </c>
      <c r="AR2899" s="44">
        <f>AR2881*Settings!$C$13*(INDEX(AR$407:AR$418,$D2899)+INDEX(AR$394:AR$405,$D2899)+AR2854*(1+$E2899))</f>
        <v/>
      </c>
      <c r="AS2899" s="44">
        <f>AS2881*Settings!$C$13*(INDEX(AS$407:AS$418,$D2899)+INDEX(AS$394:AS$405,$D2899)+AS2854*(1+$E2899))</f>
        <v/>
      </c>
      <c r="AT2899" s="44">
        <f>AT2881*Settings!$C$13*(INDEX(AT$407:AT$418,$D2899)+INDEX(AT$394:AT$405,$D2899)+AT2854*(1+$E2899))</f>
        <v/>
      </c>
      <c r="AU2899" s="44">
        <f>AU2881*Settings!$C$13*(INDEX(AU$407:AU$418,$D2899)+INDEX(AU$394:AU$405,$D2899)+AU2854*(1+$E2899))</f>
        <v/>
      </c>
      <c r="AV2899" s="44">
        <f>AV2881*Settings!$C$13*(INDEX(AV$407:AV$418,$D2899)+INDEX(AV$394:AV$405,$D2899)+AV2854*(1+$E2899))</f>
        <v/>
      </c>
      <c r="AW2899" s="44">
        <f>AW2881*Settings!$C$13*(INDEX(AW$407:AW$418,$D2899)+INDEX(AW$394:AW$405,$D2899)+AW2854*(1+$E2899))</f>
        <v/>
      </c>
      <c r="AX2899" s="44">
        <f>AX2881*Settings!$C$13*(INDEX(AX$407:AX$418,$D2899)+INDEX(AX$394:AX$405,$D2899)+AX2854*(1+$E2899))</f>
        <v/>
      </c>
      <c r="AY2899" s="44">
        <f>AY2881*Settings!$C$13*(INDEX(AY$407:AY$418,$D2899)+INDEX(AY$394:AY$405,$D2899)+AY2854*(1+$E2899))</f>
        <v/>
      </c>
      <c r="AZ2899" s="44">
        <f>AZ2881*Settings!$C$13*(INDEX(AZ$407:AZ$418,$D2899)+INDEX(AZ$394:AZ$405,$D2899)+AZ2854*(1+$E2899))</f>
        <v/>
      </c>
      <c r="BA2899" s="57">
        <f>REVENUE(BA2881,Settings!$C$13,INDEX(BA$407:BA$418,$D2899)+INDEX(BA$394:BA$405,$D2899)+BA2854*(1+$E2899))</f>
        <v/>
      </c>
    </row>
    <row r="2900" hidden="1" outlineLevel="2">
      <c r="A2900" s="14" t="inlineStr">
        <is>
          <t>rtx</t>
        </is>
      </c>
      <c r="B2900" s="14" t="inlineStr">
        <is>
          <t>ker</t>
        </is>
      </c>
      <c r="C2900" s="14" t="inlineStr">
        <is>
          <t>ftr</t>
        </is>
      </c>
      <c r="D2900" s="35">
        <f>INDEX(Inputs!$U$5:$U$132,MATCH($B2900&amp;"|"&amp;$C2900,Inputs!$A$5:$A$132,0))</f>
        <v/>
      </c>
      <c r="E2900" s="35">
        <f>INDEX(Inputs!$V$5:$V$132,MATCH($B2900&amp;"|"&amp;$C2900,Inputs!$A$5:$A$132,0))</f>
        <v/>
      </c>
      <c r="F2900" s="39" t="n"/>
      <c r="G2900" s="39" t="n"/>
      <c r="H2900" s="14">
        <f>INDEX(VarLab,MATCH($A2900,VarKey,0))&amp;INDEX(MemLab,MATCH($C2900&amp;"|"&amp;$B2900,MemKey,0))</f>
        <v/>
      </c>
      <c r="I2900" s="14">
        <f>INDEX(VarUnit,MATCH($A2900,VarKey,0))</f>
        <v/>
      </c>
      <c r="J2900" s="14">
        <f>INDEX(VarSrc,MATCH($A2900,VarKey,0))</f>
        <v/>
      </c>
      <c r="K2900" s="11">
        <f>CodePrefix&amp;$A2900&amp;IF($C2900="","","."&amp;$C2900&amp;"."&amp;$B2900)&amp;INDEX(VarEnd,MATCH($A2900,VarKey,0))&amp;K$5</f>
        <v/>
      </c>
      <c r="L2900" s="43">
        <f>L2882*Settings!$C$13*(INDEX(L$407:L$418,$D2900)+INDEX(L$394:L$405,$D2900)+L2855*(1+$E2900))</f>
        <v/>
      </c>
      <c r="M2900" s="44">
        <f>M2882*Settings!$C$13*(INDEX(M$407:M$418,$D2900)+INDEX(M$394:M$405,$D2900)+M2855*(1+$E2900))</f>
        <v/>
      </c>
      <c r="N2900" s="44">
        <f>N2882*Settings!$C$13*(INDEX(N$407:N$418,$D2900)+INDEX(N$394:N$405,$D2900)+N2855*(1+$E2900))</f>
        <v/>
      </c>
      <c r="O2900" s="44">
        <f>O2882*Settings!$C$13*(INDEX(O$407:O$418,$D2900)+INDEX(O$394:O$405,$D2900)+O2855*(1+$E2900))</f>
        <v/>
      </c>
      <c r="P2900" s="44">
        <f>P2882*Settings!$C$13*(INDEX(P$407:P$418,$D2900)+INDEX(P$394:P$405,$D2900)+P2855*(1+$E2900))</f>
        <v/>
      </c>
      <c r="Q2900" s="44">
        <f>Q2882*Settings!$C$13*(INDEX(Q$407:Q$418,$D2900)+INDEX(Q$394:Q$405,$D2900)+Q2855*(1+$E2900))</f>
        <v/>
      </c>
      <c r="R2900" s="44">
        <f>R2882*Settings!$C$13*(INDEX(R$407:R$418,$D2900)+INDEX(R$394:R$405,$D2900)+R2855*(1+$E2900))</f>
        <v/>
      </c>
      <c r="S2900" s="44">
        <f>S2882*Settings!$C$13*(INDEX(S$407:S$418,$D2900)+INDEX(S$394:S$405,$D2900)+S2855*(1+$E2900))</f>
        <v/>
      </c>
      <c r="T2900" s="44">
        <f>T2882*Settings!$C$13*(INDEX(T$407:T$418,$D2900)+INDEX(T$394:T$405,$D2900)+T2855*(1+$E2900))</f>
        <v/>
      </c>
      <c r="U2900" s="44">
        <f>U2882*Settings!$C$13*(INDEX(U$407:U$418,$D2900)+INDEX(U$394:U$405,$D2900)+U2855*(1+$E2900))</f>
        <v/>
      </c>
      <c r="V2900" s="44">
        <f>V2882*Settings!$C$13*(INDEX(V$407:V$418,$D2900)+INDEX(V$394:V$405,$D2900)+V2855*(1+$E2900))</f>
        <v/>
      </c>
      <c r="W2900" s="44">
        <f>W2882*Settings!$C$13*(INDEX(W$407:W$418,$D2900)+INDEX(W$394:W$405,$D2900)+W2855*(1+$E2900))</f>
        <v/>
      </c>
      <c r="X2900" s="44">
        <f>X2882*Settings!$C$13*(INDEX(X$407:X$418,$D2900)+INDEX(X$394:X$405,$D2900)+X2855*(1+$E2900))</f>
        <v/>
      </c>
      <c r="Y2900" s="44">
        <f>Y2882*Settings!$C$13*(INDEX(Y$407:Y$418,$D2900)+INDEX(Y$394:Y$405,$D2900)+Y2855*(1+$E2900))</f>
        <v/>
      </c>
      <c r="Z2900" s="44">
        <f>Z2882*Settings!$C$13*(INDEX(Z$407:Z$418,$D2900)+INDEX(Z$394:Z$405,$D2900)+Z2855*(1+$E2900))</f>
        <v/>
      </c>
      <c r="AA2900" s="44">
        <f>AA2882*Settings!$C$13*(INDEX(AA$407:AA$418,$D2900)+INDEX(AA$394:AA$405,$D2900)+AA2855*(1+$E2900))</f>
        <v/>
      </c>
      <c r="AB2900" s="44">
        <f>AB2882*Settings!$C$13*(INDEX(AB$407:AB$418,$D2900)+INDEX(AB$394:AB$405,$D2900)+AB2855*(1+$E2900))</f>
        <v/>
      </c>
      <c r="AC2900" s="44">
        <f>AC2882*Settings!$C$13*(INDEX(AC$407:AC$418,$D2900)+INDEX(AC$394:AC$405,$D2900)+AC2855*(1+$E2900))</f>
        <v/>
      </c>
      <c r="AD2900" s="44">
        <f>AD2882*Settings!$C$13*(INDEX(AD$407:AD$418,$D2900)+INDEX(AD$394:AD$405,$D2900)+AD2855*(1+$E2900))</f>
        <v/>
      </c>
      <c r="AE2900" s="57">
        <f>REVENUE(AE2882,Settings!$C$13,INDEX(AE$407:AE$418,$D2900)+INDEX(AE$394:AE$405,$D2900)+AE2855*(1+$E2900))</f>
        <v/>
      </c>
      <c r="AG2900" s="11">
        <f>CodePrefix&amp;$A2900&amp;IF($C2900="","","."&amp;$C2900&amp;"."&amp;$B2900)&amp;INDEX(VarEnd,MATCH($A2900,VarKey,0))&amp;AG$5</f>
        <v/>
      </c>
      <c r="AH2900" s="43">
        <f>AH2882*Settings!$C$13*(INDEX(AH$407:AH$418,$D2900)+INDEX(AH$394:AH$405,$D2900)+AH2855*(1+$E2900))</f>
        <v/>
      </c>
      <c r="AI2900" s="44">
        <f>AI2882*Settings!$C$13*(INDEX(AI$407:AI$418,$D2900)+INDEX(AI$394:AI$405,$D2900)+AI2855*(1+$E2900))</f>
        <v/>
      </c>
      <c r="AJ2900" s="44">
        <f>AJ2882*Settings!$C$13*(INDEX(AJ$407:AJ$418,$D2900)+INDEX(AJ$394:AJ$405,$D2900)+AJ2855*(1+$E2900))</f>
        <v/>
      </c>
      <c r="AK2900" s="44">
        <f>AK2882*Settings!$C$13*(INDEX(AK$407:AK$418,$D2900)+INDEX(AK$394:AK$405,$D2900)+AK2855*(1+$E2900))</f>
        <v/>
      </c>
      <c r="AL2900" s="44">
        <f>AL2882*Settings!$C$13*(INDEX(AL$407:AL$418,$D2900)+INDEX(AL$394:AL$405,$D2900)+AL2855*(1+$E2900))</f>
        <v/>
      </c>
      <c r="AM2900" s="44">
        <f>AM2882*Settings!$C$13*(INDEX(AM$407:AM$418,$D2900)+INDEX(AM$394:AM$405,$D2900)+AM2855*(1+$E2900))</f>
        <v/>
      </c>
      <c r="AN2900" s="44">
        <f>AN2882*Settings!$C$13*(INDEX(AN$407:AN$418,$D2900)+INDEX(AN$394:AN$405,$D2900)+AN2855*(1+$E2900))</f>
        <v/>
      </c>
      <c r="AO2900" s="44">
        <f>AO2882*Settings!$C$13*(INDEX(AO$407:AO$418,$D2900)+INDEX(AO$394:AO$405,$D2900)+AO2855*(1+$E2900))</f>
        <v/>
      </c>
      <c r="AP2900" s="44">
        <f>AP2882*Settings!$C$13*(INDEX(AP$407:AP$418,$D2900)+INDEX(AP$394:AP$405,$D2900)+AP2855*(1+$E2900))</f>
        <v/>
      </c>
      <c r="AQ2900" s="44">
        <f>AQ2882*Settings!$C$13*(INDEX(AQ$407:AQ$418,$D2900)+INDEX(AQ$394:AQ$405,$D2900)+AQ2855*(1+$E2900))</f>
        <v/>
      </c>
      <c r="AR2900" s="44">
        <f>AR2882*Settings!$C$13*(INDEX(AR$407:AR$418,$D2900)+INDEX(AR$394:AR$405,$D2900)+AR2855*(1+$E2900))</f>
        <v/>
      </c>
      <c r="AS2900" s="44">
        <f>AS2882*Settings!$C$13*(INDEX(AS$407:AS$418,$D2900)+INDEX(AS$394:AS$405,$D2900)+AS2855*(1+$E2900))</f>
        <v/>
      </c>
      <c r="AT2900" s="44">
        <f>AT2882*Settings!$C$13*(INDEX(AT$407:AT$418,$D2900)+INDEX(AT$394:AT$405,$D2900)+AT2855*(1+$E2900))</f>
        <v/>
      </c>
      <c r="AU2900" s="44">
        <f>AU2882*Settings!$C$13*(INDEX(AU$407:AU$418,$D2900)+INDEX(AU$394:AU$405,$D2900)+AU2855*(1+$E2900))</f>
        <v/>
      </c>
      <c r="AV2900" s="44">
        <f>AV2882*Settings!$C$13*(INDEX(AV$407:AV$418,$D2900)+INDEX(AV$394:AV$405,$D2900)+AV2855*(1+$E2900))</f>
        <v/>
      </c>
      <c r="AW2900" s="44">
        <f>AW2882*Settings!$C$13*(INDEX(AW$407:AW$418,$D2900)+INDEX(AW$394:AW$405,$D2900)+AW2855*(1+$E2900))</f>
        <v/>
      </c>
      <c r="AX2900" s="44">
        <f>AX2882*Settings!$C$13*(INDEX(AX$407:AX$418,$D2900)+INDEX(AX$394:AX$405,$D2900)+AX2855*(1+$E2900))</f>
        <v/>
      </c>
      <c r="AY2900" s="44">
        <f>AY2882*Settings!$C$13*(INDEX(AY$407:AY$418,$D2900)+INDEX(AY$394:AY$405,$D2900)+AY2855*(1+$E2900))</f>
        <v/>
      </c>
      <c r="AZ2900" s="44">
        <f>AZ2882*Settings!$C$13*(INDEX(AZ$407:AZ$418,$D2900)+INDEX(AZ$394:AZ$405,$D2900)+AZ2855*(1+$E2900))</f>
        <v/>
      </c>
      <c r="BA2900" s="57">
        <f>REVENUE(BA2882,Settings!$C$13,INDEX(BA$407:BA$418,$D2900)+INDEX(BA$394:BA$405,$D2900)+BA2855*(1+$E2900))</f>
        <v/>
      </c>
    </row>
    <row r="2901" hidden="1" outlineLevel="2">
      <c r="A2901" s="14" t="inlineStr">
        <is>
          <t>rtx</t>
        </is>
      </c>
      <c r="B2901" s="14" t="inlineStr">
        <is>
          <t>oop</t>
        </is>
      </c>
      <c r="C2901" s="14" t="inlineStr">
        <is>
          <t>ftr</t>
        </is>
      </c>
      <c r="D2901" s="35">
        <f>INDEX(Inputs!$U$5:$U$132,MATCH($B2901&amp;"|"&amp;$C2901,Inputs!$A$5:$A$132,0))</f>
        <v/>
      </c>
      <c r="E2901" s="35">
        <f>INDEX(Inputs!$V$5:$V$132,MATCH($B2901&amp;"|"&amp;$C2901,Inputs!$A$5:$A$132,0))</f>
        <v/>
      </c>
      <c r="F2901" s="39" t="n"/>
      <c r="G2901" s="39" t="n"/>
      <c r="H2901" s="14">
        <f>INDEX(VarLab,MATCH($A2901,VarKey,0))&amp;INDEX(MemLab,MATCH($C2901&amp;"|"&amp;$B2901,MemKey,0))</f>
        <v/>
      </c>
      <c r="I2901" s="14">
        <f>INDEX(VarUnit,MATCH($A2901,VarKey,0))</f>
        <v/>
      </c>
      <c r="J2901" s="14">
        <f>INDEX(VarSrc,MATCH($A2901,VarKey,0))</f>
        <v/>
      </c>
      <c r="K2901" s="11">
        <f>CodePrefix&amp;$A2901&amp;IF($C2901="","","."&amp;$C2901&amp;"."&amp;$B2901)&amp;INDEX(VarEnd,MATCH($A2901,VarKey,0))&amp;K$5</f>
        <v/>
      </c>
      <c r="L2901" s="43">
        <f>L2883*Settings!$C$13*(INDEX(L$407:L$418,$D2901)+INDEX(L$394:L$405,$D2901)+L2856*(1+$E2901))</f>
        <v/>
      </c>
      <c r="M2901" s="44">
        <f>M2883*Settings!$C$13*(INDEX(M$407:M$418,$D2901)+INDEX(M$394:M$405,$D2901)+M2856*(1+$E2901))</f>
        <v/>
      </c>
      <c r="N2901" s="44">
        <f>N2883*Settings!$C$13*(INDEX(N$407:N$418,$D2901)+INDEX(N$394:N$405,$D2901)+N2856*(1+$E2901))</f>
        <v/>
      </c>
      <c r="O2901" s="44">
        <f>O2883*Settings!$C$13*(INDEX(O$407:O$418,$D2901)+INDEX(O$394:O$405,$D2901)+O2856*(1+$E2901))</f>
        <v/>
      </c>
      <c r="P2901" s="44">
        <f>P2883*Settings!$C$13*(INDEX(P$407:P$418,$D2901)+INDEX(P$394:P$405,$D2901)+P2856*(1+$E2901))</f>
        <v/>
      </c>
      <c r="Q2901" s="44">
        <f>Q2883*Settings!$C$13*(INDEX(Q$407:Q$418,$D2901)+INDEX(Q$394:Q$405,$D2901)+Q2856*(1+$E2901))</f>
        <v/>
      </c>
      <c r="R2901" s="44">
        <f>R2883*Settings!$C$13*(INDEX(R$407:R$418,$D2901)+INDEX(R$394:R$405,$D2901)+R2856*(1+$E2901))</f>
        <v/>
      </c>
      <c r="S2901" s="44">
        <f>S2883*Settings!$C$13*(INDEX(S$407:S$418,$D2901)+INDEX(S$394:S$405,$D2901)+S2856*(1+$E2901))</f>
        <v/>
      </c>
      <c r="T2901" s="44">
        <f>T2883*Settings!$C$13*(INDEX(T$407:T$418,$D2901)+INDEX(T$394:T$405,$D2901)+T2856*(1+$E2901))</f>
        <v/>
      </c>
      <c r="U2901" s="44">
        <f>U2883*Settings!$C$13*(INDEX(U$407:U$418,$D2901)+INDEX(U$394:U$405,$D2901)+U2856*(1+$E2901))</f>
        <v/>
      </c>
      <c r="V2901" s="44">
        <f>V2883*Settings!$C$13*(INDEX(V$407:V$418,$D2901)+INDEX(V$394:V$405,$D2901)+V2856*(1+$E2901))</f>
        <v/>
      </c>
      <c r="W2901" s="44">
        <f>W2883*Settings!$C$13*(INDEX(W$407:W$418,$D2901)+INDEX(W$394:W$405,$D2901)+W2856*(1+$E2901))</f>
        <v/>
      </c>
      <c r="X2901" s="44">
        <f>X2883*Settings!$C$13*(INDEX(X$407:X$418,$D2901)+INDEX(X$394:X$405,$D2901)+X2856*(1+$E2901))</f>
        <v/>
      </c>
      <c r="Y2901" s="44">
        <f>Y2883*Settings!$C$13*(INDEX(Y$407:Y$418,$D2901)+INDEX(Y$394:Y$405,$D2901)+Y2856*(1+$E2901))</f>
        <v/>
      </c>
      <c r="Z2901" s="44">
        <f>Z2883*Settings!$C$13*(INDEX(Z$407:Z$418,$D2901)+INDEX(Z$394:Z$405,$D2901)+Z2856*(1+$E2901))</f>
        <v/>
      </c>
      <c r="AA2901" s="44">
        <f>AA2883*Settings!$C$13*(INDEX(AA$407:AA$418,$D2901)+INDEX(AA$394:AA$405,$D2901)+AA2856*(1+$E2901))</f>
        <v/>
      </c>
      <c r="AB2901" s="44">
        <f>AB2883*Settings!$C$13*(INDEX(AB$407:AB$418,$D2901)+INDEX(AB$394:AB$405,$D2901)+AB2856*(1+$E2901))</f>
        <v/>
      </c>
      <c r="AC2901" s="44">
        <f>AC2883*Settings!$C$13*(INDEX(AC$407:AC$418,$D2901)+INDEX(AC$394:AC$405,$D2901)+AC2856*(1+$E2901))</f>
        <v/>
      </c>
      <c r="AD2901" s="44">
        <f>AD2883*Settings!$C$13*(INDEX(AD$407:AD$418,$D2901)+INDEX(AD$394:AD$405,$D2901)+AD2856*(1+$E2901))</f>
        <v/>
      </c>
      <c r="AE2901" s="57">
        <f>REVENUE(AE2883,Settings!$C$13,INDEX(AE$407:AE$418,$D2901)+INDEX(AE$394:AE$405,$D2901)+AE2856*(1+$E2901))</f>
        <v/>
      </c>
      <c r="AG2901" s="11">
        <f>CodePrefix&amp;$A2901&amp;IF($C2901="","","."&amp;$C2901&amp;"."&amp;$B2901)&amp;INDEX(VarEnd,MATCH($A2901,VarKey,0))&amp;AG$5</f>
        <v/>
      </c>
      <c r="AH2901" s="43">
        <f>AH2883*Settings!$C$13*(INDEX(AH$407:AH$418,$D2901)+INDEX(AH$394:AH$405,$D2901)+AH2856*(1+$E2901))</f>
        <v/>
      </c>
      <c r="AI2901" s="44">
        <f>AI2883*Settings!$C$13*(INDEX(AI$407:AI$418,$D2901)+INDEX(AI$394:AI$405,$D2901)+AI2856*(1+$E2901))</f>
        <v/>
      </c>
      <c r="AJ2901" s="44">
        <f>AJ2883*Settings!$C$13*(INDEX(AJ$407:AJ$418,$D2901)+INDEX(AJ$394:AJ$405,$D2901)+AJ2856*(1+$E2901))</f>
        <v/>
      </c>
      <c r="AK2901" s="44">
        <f>AK2883*Settings!$C$13*(INDEX(AK$407:AK$418,$D2901)+INDEX(AK$394:AK$405,$D2901)+AK2856*(1+$E2901))</f>
        <v/>
      </c>
      <c r="AL2901" s="44">
        <f>AL2883*Settings!$C$13*(INDEX(AL$407:AL$418,$D2901)+INDEX(AL$394:AL$405,$D2901)+AL2856*(1+$E2901))</f>
        <v/>
      </c>
      <c r="AM2901" s="44">
        <f>AM2883*Settings!$C$13*(INDEX(AM$407:AM$418,$D2901)+INDEX(AM$394:AM$405,$D2901)+AM2856*(1+$E2901))</f>
        <v/>
      </c>
      <c r="AN2901" s="44">
        <f>AN2883*Settings!$C$13*(INDEX(AN$407:AN$418,$D2901)+INDEX(AN$394:AN$405,$D2901)+AN2856*(1+$E2901))</f>
        <v/>
      </c>
      <c r="AO2901" s="44">
        <f>AO2883*Settings!$C$13*(INDEX(AO$407:AO$418,$D2901)+INDEX(AO$394:AO$405,$D2901)+AO2856*(1+$E2901))</f>
        <v/>
      </c>
      <c r="AP2901" s="44">
        <f>AP2883*Settings!$C$13*(INDEX(AP$407:AP$418,$D2901)+INDEX(AP$394:AP$405,$D2901)+AP2856*(1+$E2901))</f>
        <v/>
      </c>
      <c r="AQ2901" s="44">
        <f>AQ2883*Settings!$C$13*(INDEX(AQ$407:AQ$418,$D2901)+INDEX(AQ$394:AQ$405,$D2901)+AQ2856*(1+$E2901))</f>
        <v/>
      </c>
      <c r="AR2901" s="44">
        <f>AR2883*Settings!$C$13*(INDEX(AR$407:AR$418,$D2901)+INDEX(AR$394:AR$405,$D2901)+AR2856*(1+$E2901))</f>
        <v/>
      </c>
      <c r="AS2901" s="44">
        <f>AS2883*Settings!$C$13*(INDEX(AS$407:AS$418,$D2901)+INDEX(AS$394:AS$405,$D2901)+AS2856*(1+$E2901))</f>
        <v/>
      </c>
      <c r="AT2901" s="44">
        <f>AT2883*Settings!$C$13*(INDEX(AT$407:AT$418,$D2901)+INDEX(AT$394:AT$405,$D2901)+AT2856*(1+$E2901))</f>
        <v/>
      </c>
      <c r="AU2901" s="44">
        <f>AU2883*Settings!$C$13*(INDEX(AU$407:AU$418,$D2901)+INDEX(AU$394:AU$405,$D2901)+AU2856*(1+$E2901))</f>
        <v/>
      </c>
      <c r="AV2901" s="44">
        <f>AV2883*Settings!$C$13*(INDEX(AV$407:AV$418,$D2901)+INDEX(AV$394:AV$405,$D2901)+AV2856*(1+$E2901))</f>
        <v/>
      </c>
      <c r="AW2901" s="44">
        <f>AW2883*Settings!$C$13*(INDEX(AW$407:AW$418,$D2901)+INDEX(AW$394:AW$405,$D2901)+AW2856*(1+$E2901))</f>
        <v/>
      </c>
      <c r="AX2901" s="44">
        <f>AX2883*Settings!$C$13*(INDEX(AX$407:AX$418,$D2901)+INDEX(AX$394:AX$405,$D2901)+AX2856*(1+$E2901))</f>
        <v/>
      </c>
      <c r="AY2901" s="44">
        <f>AY2883*Settings!$C$13*(INDEX(AY$407:AY$418,$D2901)+INDEX(AY$394:AY$405,$D2901)+AY2856*(1+$E2901))</f>
        <v/>
      </c>
      <c r="AZ2901" s="44">
        <f>AZ2883*Settings!$C$13*(INDEX(AZ$407:AZ$418,$D2901)+INDEX(AZ$394:AZ$405,$D2901)+AZ2856*(1+$E2901))</f>
        <v/>
      </c>
      <c r="BA2901" s="57">
        <f>REVENUE(BA2883,Settings!$C$13,INDEX(BA$407:BA$418,$D2901)+INDEX(BA$394:BA$405,$D2901)+BA2856*(1+$E2901))</f>
        <v/>
      </c>
    </row>
    <row r="2902" hidden="1" outlineLevel="2">
      <c r="A2902" s="14" t="inlineStr">
        <is>
          <t>rtx</t>
        </is>
      </c>
      <c r="B2902" s="14" t="inlineStr">
        <is>
          <t>bio</t>
        </is>
      </c>
      <c r="C2902" s="14" t="inlineStr">
        <is>
          <t>ftr</t>
        </is>
      </c>
      <c r="D2902" s="35">
        <f>INDEX(Inputs!$U$5:$U$132,MATCH($B2902&amp;"|"&amp;$C2902,Inputs!$A$5:$A$132,0))</f>
        <v/>
      </c>
      <c r="E2902" s="35">
        <f>INDEX(Inputs!$V$5:$V$132,MATCH($B2902&amp;"|"&amp;$C2902,Inputs!$A$5:$A$132,0))</f>
        <v/>
      </c>
      <c r="F2902" s="39" t="n"/>
      <c r="G2902" s="39" t="n"/>
      <c r="H2902" s="14">
        <f>INDEX(VarLab,MATCH($A2902,VarKey,0))&amp;INDEX(MemLab,MATCH($C2902&amp;"|"&amp;$B2902,MemKey,0))</f>
        <v/>
      </c>
      <c r="I2902" s="14">
        <f>INDEX(VarUnit,MATCH($A2902,VarKey,0))</f>
        <v/>
      </c>
      <c r="J2902" s="14">
        <f>INDEX(VarSrc,MATCH($A2902,VarKey,0))</f>
        <v/>
      </c>
      <c r="K2902" s="11">
        <f>CodePrefix&amp;$A2902&amp;IF($C2902="","","."&amp;$C2902&amp;"."&amp;$B2902)&amp;INDEX(VarEnd,MATCH($A2902,VarKey,0))&amp;K$5</f>
        <v/>
      </c>
      <c r="L2902" s="43">
        <f>L2884*Settings!$C$13*(INDEX(L$407:L$418,$D2902)+INDEX(L$394:L$405,$D2902)+L2857*(1+$E2902))</f>
        <v/>
      </c>
      <c r="M2902" s="44">
        <f>M2884*Settings!$C$13*(INDEX(M$407:M$418,$D2902)+INDEX(M$394:M$405,$D2902)+M2857*(1+$E2902))</f>
        <v/>
      </c>
      <c r="N2902" s="44">
        <f>N2884*Settings!$C$13*(INDEX(N$407:N$418,$D2902)+INDEX(N$394:N$405,$D2902)+N2857*(1+$E2902))</f>
        <v/>
      </c>
      <c r="O2902" s="44">
        <f>O2884*Settings!$C$13*(INDEX(O$407:O$418,$D2902)+INDEX(O$394:O$405,$D2902)+O2857*(1+$E2902))</f>
        <v/>
      </c>
      <c r="P2902" s="44">
        <f>P2884*Settings!$C$13*(INDEX(P$407:P$418,$D2902)+INDEX(P$394:P$405,$D2902)+P2857*(1+$E2902))</f>
        <v/>
      </c>
      <c r="Q2902" s="44">
        <f>Q2884*Settings!$C$13*(INDEX(Q$407:Q$418,$D2902)+INDEX(Q$394:Q$405,$D2902)+Q2857*(1+$E2902))</f>
        <v/>
      </c>
      <c r="R2902" s="44">
        <f>R2884*Settings!$C$13*(INDEX(R$407:R$418,$D2902)+INDEX(R$394:R$405,$D2902)+R2857*(1+$E2902))</f>
        <v/>
      </c>
      <c r="S2902" s="44">
        <f>S2884*Settings!$C$13*(INDEX(S$407:S$418,$D2902)+INDEX(S$394:S$405,$D2902)+S2857*(1+$E2902))</f>
        <v/>
      </c>
      <c r="T2902" s="44">
        <f>T2884*Settings!$C$13*(INDEX(T$407:T$418,$D2902)+INDEX(T$394:T$405,$D2902)+T2857*(1+$E2902))</f>
        <v/>
      </c>
      <c r="U2902" s="44">
        <f>U2884*Settings!$C$13*(INDEX(U$407:U$418,$D2902)+INDEX(U$394:U$405,$D2902)+U2857*(1+$E2902))</f>
        <v/>
      </c>
      <c r="V2902" s="44">
        <f>V2884*Settings!$C$13*(INDEX(V$407:V$418,$D2902)+INDEX(V$394:V$405,$D2902)+V2857*(1+$E2902))</f>
        <v/>
      </c>
      <c r="W2902" s="44">
        <f>W2884*Settings!$C$13*(INDEX(W$407:W$418,$D2902)+INDEX(W$394:W$405,$D2902)+W2857*(1+$E2902))</f>
        <v/>
      </c>
      <c r="X2902" s="44">
        <f>X2884*Settings!$C$13*(INDEX(X$407:X$418,$D2902)+INDEX(X$394:X$405,$D2902)+X2857*(1+$E2902))</f>
        <v/>
      </c>
      <c r="Y2902" s="44">
        <f>Y2884*Settings!$C$13*(INDEX(Y$407:Y$418,$D2902)+INDEX(Y$394:Y$405,$D2902)+Y2857*(1+$E2902))</f>
        <v/>
      </c>
      <c r="Z2902" s="44">
        <f>Z2884*Settings!$C$13*(INDEX(Z$407:Z$418,$D2902)+INDEX(Z$394:Z$405,$D2902)+Z2857*(1+$E2902))</f>
        <v/>
      </c>
      <c r="AA2902" s="44">
        <f>AA2884*Settings!$C$13*(INDEX(AA$407:AA$418,$D2902)+INDEX(AA$394:AA$405,$D2902)+AA2857*(1+$E2902))</f>
        <v/>
      </c>
      <c r="AB2902" s="44">
        <f>AB2884*Settings!$C$13*(INDEX(AB$407:AB$418,$D2902)+INDEX(AB$394:AB$405,$D2902)+AB2857*(1+$E2902))</f>
        <v/>
      </c>
      <c r="AC2902" s="44">
        <f>AC2884*Settings!$C$13*(INDEX(AC$407:AC$418,$D2902)+INDEX(AC$394:AC$405,$D2902)+AC2857*(1+$E2902))</f>
        <v/>
      </c>
      <c r="AD2902" s="44">
        <f>AD2884*Settings!$C$13*(INDEX(AD$407:AD$418,$D2902)+INDEX(AD$394:AD$405,$D2902)+AD2857*(1+$E2902))</f>
        <v/>
      </c>
      <c r="AE2902" s="57">
        <f>REVENUE(AE2884,Settings!$C$13,INDEX(AE$407:AE$418,$D2902)+INDEX(AE$394:AE$405,$D2902)+AE2857*(1+$E2902))</f>
        <v/>
      </c>
      <c r="AG2902" s="11">
        <f>CodePrefix&amp;$A2902&amp;IF($C2902="","","."&amp;$C2902&amp;"."&amp;$B2902)&amp;INDEX(VarEnd,MATCH($A2902,VarKey,0))&amp;AG$5</f>
        <v/>
      </c>
      <c r="AH2902" s="43">
        <f>AH2884*Settings!$C$13*(INDEX(AH$407:AH$418,$D2902)+INDEX(AH$394:AH$405,$D2902)+AH2857*(1+$E2902))</f>
        <v/>
      </c>
      <c r="AI2902" s="44">
        <f>AI2884*Settings!$C$13*(INDEX(AI$407:AI$418,$D2902)+INDEX(AI$394:AI$405,$D2902)+AI2857*(1+$E2902))</f>
        <v/>
      </c>
      <c r="AJ2902" s="44">
        <f>AJ2884*Settings!$C$13*(INDEX(AJ$407:AJ$418,$D2902)+INDEX(AJ$394:AJ$405,$D2902)+AJ2857*(1+$E2902))</f>
        <v/>
      </c>
      <c r="AK2902" s="44">
        <f>AK2884*Settings!$C$13*(INDEX(AK$407:AK$418,$D2902)+INDEX(AK$394:AK$405,$D2902)+AK2857*(1+$E2902))</f>
        <v/>
      </c>
      <c r="AL2902" s="44">
        <f>AL2884*Settings!$C$13*(INDEX(AL$407:AL$418,$D2902)+INDEX(AL$394:AL$405,$D2902)+AL2857*(1+$E2902))</f>
        <v/>
      </c>
      <c r="AM2902" s="44">
        <f>AM2884*Settings!$C$13*(INDEX(AM$407:AM$418,$D2902)+INDEX(AM$394:AM$405,$D2902)+AM2857*(1+$E2902))</f>
        <v/>
      </c>
      <c r="AN2902" s="44">
        <f>AN2884*Settings!$C$13*(INDEX(AN$407:AN$418,$D2902)+INDEX(AN$394:AN$405,$D2902)+AN2857*(1+$E2902))</f>
        <v/>
      </c>
      <c r="AO2902" s="44">
        <f>AO2884*Settings!$C$13*(INDEX(AO$407:AO$418,$D2902)+INDEX(AO$394:AO$405,$D2902)+AO2857*(1+$E2902))</f>
        <v/>
      </c>
      <c r="AP2902" s="44">
        <f>AP2884*Settings!$C$13*(INDEX(AP$407:AP$418,$D2902)+INDEX(AP$394:AP$405,$D2902)+AP2857*(1+$E2902))</f>
        <v/>
      </c>
      <c r="AQ2902" s="44">
        <f>AQ2884*Settings!$C$13*(INDEX(AQ$407:AQ$418,$D2902)+INDEX(AQ$394:AQ$405,$D2902)+AQ2857*(1+$E2902))</f>
        <v/>
      </c>
      <c r="AR2902" s="44">
        <f>AR2884*Settings!$C$13*(INDEX(AR$407:AR$418,$D2902)+INDEX(AR$394:AR$405,$D2902)+AR2857*(1+$E2902))</f>
        <v/>
      </c>
      <c r="AS2902" s="44">
        <f>AS2884*Settings!$C$13*(INDEX(AS$407:AS$418,$D2902)+INDEX(AS$394:AS$405,$D2902)+AS2857*(1+$E2902))</f>
        <v/>
      </c>
      <c r="AT2902" s="44">
        <f>AT2884*Settings!$C$13*(INDEX(AT$407:AT$418,$D2902)+INDEX(AT$394:AT$405,$D2902)+AT2857*(1+$E2902))</f>
        <v/>
      </c>
      <c r="AU2902" s="44">
        <f>AU2884*Settings!$C$13*(INDEX(AU$407:AU$418,$D2902)+INDEX(AU$394:AU$405,$D2902)+AU2857*(1+$E2902))</f>
        <v/>
      </c>
      <c r="AV2902" s="44">
        <f>AV2884*Settings!$C$13*(INDEX(AV$407:AV$418,$D2902)+INDEX(AV$394:AV$405,$D2902)+AV2857*(1+$E2902))</f>
        <v/>
      </c>
      <c r="AW2902" s="44">
        <f>AW2884*Settings!$C$13*(INDEX(AW$407:AW$418,$D2902)+INDEX(AW$394:AW$405,$D2902)+AW2857*(1+$E2902))</f>
        <v/>
      </c>
      <c r="AX2902" s="44">
        <f>AX2884*Settings!$C$13*(INDEX(AX$407:AX$418,$D2902)+INDEX(AX$394:AX$405,$D2902)+AX2857*(1+$E2902))</f>
        <v/>
      </c>
      <c r="AY2902" s="44">
        <f>AY2884*Settings!$C$13*(INDEX(AY$407:AY$418,$D2902)+INDEX(AY$394:AY$405,$D2902)+AY2857*(1+$E2902))</f>
        <v/>
      </c>
      <c r="AZ2902" s="44">
        <f>AZ2884*Settings!$C$13*(INDEX(AZ$407:AZ$418,$D2902)+INDEX(AZ$394:AZ$405,$D2902)+AZ2857*(1+$E2902))</f>
        <v/>
      </c>
      <c r="BA2902" s="57">
        <f>REVENUE(BA2884,Settings!$C$13,INDEX(BA$407:BA$418,$D2902)+INDEX(BA$394:BA$405,$D2902)+BA2857*(1+$E2902))</f>
        <v/>
      </c>
    </row>
    <row r="2903" hidden="1" outlineLevel="2"/>
    <row r="2904" hidden="1" outlineLevel="2">
      <c r="A2904" s="14" t="inlineStr">
        <is>
          <t>rsub</t>
        </is>
      </c>
      <c r="B2904" s="14" t="inlineStr">
        <is>
          <t>coa</t>
        </is>
      </c>
      <c r="C2904" s="14" t="inlineStr">
        <is>
          <t>ftr</t>
        </is>
      </c>
      <c r="D2904" s="35">
        <f>INDEX(Inputs!$U$5:$U$132,MATCH($B2904&amp;"|"&amp;$C2904,Inputs!$A$5:$A$132,0))</f>
        <v/>
      </c>
      <c r="E2904" s="39" t="n"/>
      <c r="F2904" s="39" t="n"/>
      <c r="G2904" s="39" t="n"/>
      <c r="H2904" s="14">
        <f>INDEX(VarLab,MATCH($A2904,VarKey,0))&amp;INDEX(MemLab,MATCH($C2904&amp;"|"&amp;$B2904,MemKey,0))</f>
        <v/>
      </c>
      <c r="I2904" s="14">
        <f>INDEX(VarUnit,MATCH($A2904,VarKey,0))</f>
        <v/>
      </c>
      <c r="J2904" s="14">
        <f>INDEX(VarSrc,MATCH($A2904,VarKey,0))</f>
        <v/>
      </c>
      <c r="K2904" s="11">
        <f>CodePrefix&amp;$A2904&amp;IF($C2904="","","."&amp;$C2904&amp;"."&amp;$B2904)&amp;INDEX(VarEnd,MATCH($A2904,VarKey,0))&amp;K$5</f>
        <v/>
      </c>
      <c r="L2904" s="43">
        <f>L2877*Settings!$C$13*(INDEX(L$420:L$431,$D2904))</f>
        <v/>
      </c>
      <c r="M2904" s="44">
        <f>M2877*Settings!$C$13*(INDEX(M$420:M$431,$D2904))</f>
        <v/>
      </c>
      <c r="N2904" s="44">
        <f>N2877*Settings!$C$13*(INDEX(N$420:N$431,$D2904))</f>
        <v/>
      </c>
      <c r="O2904" s="44">
        <f>O2877*Settings!$C$13*(INDEX(O$420:O$431,$D2904))</f>
        <v/>
      </c>
      <c r="P2904" s="44">
        <f>P2877*Settings!$C$13*(INDEX(P$420:P$431,$D2904))</f>
        <v/>
      </c>
      <c r="Q2904" s="44">
        <f>Q2877*Settings!$C$13*(INDEX(Q$420:Q$431,$D2904))</f>
        <v/>
      </c>
      <c r="R2904" s="44">
        <f>R2877*Settings!$C$13*(INDEX(R$420:R$431,$D2904))</f>
        <v/>
      </c>
      <c r="S2904" s="44">
        <f>S2877*Settings!$C$13*(INDEX(S$420:S$431,$D2904))</f>
        <v/>
      </c>
      <c r="T2904" s="44">
        <f>T2877*Settings!$C$13*(INDEX(T$420:T$431,$D2904))</f>
        <v/>
      </c>
      <c r="U2904" s="44">
        <f>U2877*Settings!$C$13*(INDEX(U$420:U$431,$D2904))</f>
        <v/>
      </c>
      <c r="V2904" s="44">
        <f>V2877*Settings!$C$13*(INDEX(V$420:V$431,$D2904))</f>
        <v/>
      </c>
      <c r="W2904" s="44">
        <f>W2877*Settings!$C$13*(INDEX(W$420:W$431,$D2904))</f>
        <v/>
      </c>
      <c r="X2904" s="44">
        <f>X2877*Settings!$C$13*(INDEX(X$420:X$431,$D2904))</f>
        <v/>
      </c>
      <c r="Y2904" s="44">
        <f>Y2877*Settings!$C$13*(INDEX(Y$420:Y$431,$D2904))</f>
        <v/>
      </c>
      <c r="Z2904" s="44">
        <f>Z2877*Settings!$C$13*(INDEX(Z$420:Z$431,$D2904))</f>
        <v/>
      </c>
      <c r="AA2904" s="44">
        <f>AA2877*Settings!$C$13*(INDEX(AA$420:AA$431,$D2904))</f>
        <v/>
      </c>
      <c r="AB2904" s="44">
        <f>AB2877*Settings!$C$13*(INDEX(AB$420:AB$431,$D2904))</f>
        <v/>
      </c>
      <c r="AC2904" s="44">
        <f>AC2877*Settings!$C$13*(INDEX(AC$420:AC$431,$D2904))</f>
        <v/>
      </c>
      <c r="AD2904" s="44">
        <f>AD2877*Settings!$C$13*(INDEX(AD$420:AD$431,$D2904))</f>
        <v/>
      </c>
      <c r="AE2904" s="57">
        <f>REVENUE(AE2877,Settings!$C$13,INDEX(AE$420:AE$431,$D2904))</f>
        <v/>
      </c>
      <c r="AG2904" s="11">
        <f>CodePrefix&amp;$A2904&amp;IF($C2904="","","."&amp;$C2904&amp;"."&amp;$B2904)&amp;INDEX(VarEnd,MATCH($A2904,VarKey,0))&amp;AG$5</f>
        <v/>
      </c>
      <c r="AH2904" s="43">
        <f>AH2877*Settings!$C$13*(INDEX(AH$420:AH$431,$D2904))</f>
        <v/>
      </c>
      <c r="AI2904" s="44">
        <f>AI2877*Settings!$C$13*(INDEX(AI$420:AI$431,$D2904))</f>
        <v/>
      </c>
      <c r="AJ2904" s="44">
        <f>AJ2877*Settings!$C$13*(INDEX(AJ$420:AJ$431,$D2904))</f>
        <v/>
      </c>
      <c r="AK2904" s="44">
        <f>AK2877*Settings!$C$13*(INDEX(AK$420:AK$431,$D2904))</f>
        <v/>
      </c>
      <c r="AL2904" s="44">
        <f>AL2877*Settings!$C$13*(INDEX(AL$420:AL$431,$D2904))</f>
        <v/>
      </c>
      <c r="AM2904" s="44">
        <f>AM2877*Settings!$C$13*(INDEX(AM$420:AM$431,$D2904))</f>
        <v/>
      </c>
      <c r="AN2904" s="44">
        <f>AN2877*Settings!$C$13*(INDEX(AN$420:AN$431,$D2904))</f>
        <v/>
      </c>
      <c r="AO2904" s="44">
        <f>AO2877*Settings!$C$13*(INDEX(AO$420:AO$431,$D2904))</f>
        <v/>
      </c>
      <c r="AP2904" s="44">
        <f>AP2877*Settings!$C$13*(INDEX(AP$420:AP$431,$D2904))</f>
        <v/>
      </c>
      <c r="AQ2904" s="44">
        <f>AQ2877*Settings!$C$13*(INDEX(AQ$420:AQ$431,$D2904))</f>
        <v/>
      </c>
      <c r="AR2904" s="44">
        <f>AR2877*Settings!$C$13*(INDEX(AR$420:AR$431,$D2904))</f>
        <v/>
      </c>
      <c r="AS2904" s="44">
        <f>AS2877*Settings!$C$13*(INDEX(AS$420:AS$431,$D2904))</f>
        <v/>
      </c>
      <c r="AT2904" s="44">
        <f>AT2877*Settings!$C$13*(INDEX(AT$420:AT$431,$D2904))</f>
        <v/>
      </c>
      <c r="AU2904" s="44">
        <f>AU2877*Settings!$C$13*(INDEX(AU$420:AU$431,$D2904))</f>
        <v/>
      </c>
      <c r="AV2904" s="44">
        <f>AV2877*Settings!$C$13*(INDEX(AV$420:AV$431,$D2904))</f>
        <v/>
      </c>
      <c r="AW2904" s="44">
        <f>AW2877*Settings!$C$13*(INDEX(AW$420:AW$431,$D2904))</f>
        <v/>
      </c>
      <c r="AX2904" s="44">
        <f>AX2877*Settings!$C$13*(INDEX(AX$420:AX$431,$D2904))</f>
        <v/>
      </c>
      <c r="AY2904" s="44">
        <f>AY2877*Settings!$C$13*(INDEX(AY$420:AY$431,$D2904))</f>
        <v/>
      </c>
      <c r="AZ2904" s="44">
        <f>AZ2877*Settings!$C$13*(INDEX(AZ$420:AZ$431,$D2904))</f>
        <v/>
      </c>
      <c r="BA2904" s="57">
        <f>REVENUE(BA2877,Settings!$C$13,INDEX(BA$420:BA$431,$D2904))</f>
        <v/>
      </c>
    </row>
    <row r="2905" hidden="1" outlineLevel="2">
      <c r="A2905" s="14" t="inlineStr">
        <is>
          <t>rsub</t>
        </is>
      </c>
      <c r="B2905" s="14" t="inlineStr">
        <is>
          <t>nga</t>
        </is>
      </c>
      <c r="C2905" s="14" t="inlineStr">
        <is>
          <t>ftr</t>
        </is>
      </c>
      <c r="D2905" s="35">
        <f>INDEX(Inputs!$U$5:$U$132,MATCH($B2905&amp;"|"&amp;$C2905,Inputs!$A$5:$A$132,0))</f>
        <v/>
      </c>
      <c r="E2905" s="39" t="n"/>
      <c r="F2905" s="39" t="n"/>
      <c r="G2905" s="39" t="n"/>
      <c r="H2905" s="14">
        <f>INDEX(VarLab,MATCH($A2905,VarKey,0))&amp;INDEX(MemLab,MATCH($C2905&amp;"|"&amp;$B2905,MemKey,0))</f>
        <v/>
      </c>
      <c r="I2905" s="14">
        <f>INDEX(VarUnit,MATCH($A2905,VarKey,0))</f>
        <v/>
      </c>
      <c r="J2905" s="14">
        <f>INDEX(VarSrc,MATCH($A2905,VarKey,0))</f>
        <v/>
      </c>
      <c r="K2905" s="11">
        <f>CodePrefix&amp;$A2905&amp;IF($C2905="","","."&amp;$C2905&amp;"."&amp;$B2905)&amp;INDEX(VarEnd,MATCH($A2905,VarKey,0))&amp;K$5</f>
        <v/>
      </c>
      <c r="L2905" s="43">
        <f>L2878*Settings!$C$13*(INDEX(L$420:L$431,$D2905))</f>
        <v/>
      </c>
      <c r="M2905" s="44">
        <f>M2878*Settings!$C$13*(INDEX(M$420:M$431,$D2905))</f>
        <v/>
      </c>
      <c r="N2905" s="44">
        <f>N2878*Settings!$C$13*(INDEX(N$420:N$431,$D2905))</f>
        <v/>
      </c>
      <c r="O2905" s="44">
        <f>O2878*Settings!$C$13*(INDEX(O$420:O$431,$D2905))</f>
        <v/>
      </c>
      <c r="P2905" s="44">
        <f>P2878*Settings!$C$13*(INDEX(P$420:P$431,$D2905))</f>
        <v/>
      </c>
      <c r="Q2905" s="44">
        <f>Q2878*Settings!$C$13*(INDEX(Q$420:Q$431,$D2905))</f>
        <v/>
      </c>
      <c r="R2905" s="44">
        <f>R2878*Settings!$C$13*(INDEX(R$420:R$431,$D2905))</f>
        <v/>
      </c>
      <c r="S2905" s="44">
        <f>S2878*Settings!$C$13*(INDEX(S$420:S$431,$D2905))</f>
        <v/>
      </c>
      <c r="T2905" s="44">
        <f>T2878*Settings!$C$13*(INDEX(T$420:T$431,$D2905))</f>
        <v/>
      </c>
      <c r="U2905" s="44">
        <f>U2878*Settings!$C$13*(INDEX(U$420:U$431,$D2905))</f>
        <v/>
      </c>
      <c r="V2905" s="44">
        <f>V2878*Settings!$C$13*(INDEX(V$420:V$431,$D2905))</f>
        <v/>
      </c>
      <c r="W2905" s="44">
        <f>W2878*Settings!$C$13*(INDEX(W$420:W$431,$D2905))</f>
        <v/>
      </c>
      <c r="X2905" s="44">
        <f>X2878*Settings!$C$13*(INDEX(X$420:X$431,$D2905))</f>
        <v/>
      </c>
      <c r="Y2905" s="44">
        <f>Y2878*Settings!$C$13*(INDEX(Y$420:Y$431,$D2905))</f>
        <v/>
      </c>
      <c r="Z2905" s="44">
        <f>Z2878*Settings!$C$13*(INDEX(Z$420:Z$431,$D2905))</f>
        <v/>
      </c>
      <c r="AA2905" s="44">
        <f>AA2878*Settings!$C$13*(INDEX(AA$420:AA$431,$D2905))</f>
        <v/>
      </c>
      <c r="AB2905" s="44">
        <f>AB2878*Settings!$C$13*(INDEX(AB$420:AB$431,$D2905))</f>
        <v/>
      </c>
      <c r="AC2905" s="44">
        <f>AC2878*Settings!$C$13*(INDEX(AC$420:AC$431,$D2905))</f>
        <v/>
      </c>
      <c r="AD2905" s="44">
        <f>AD2878*Settings!$C$13*(INDEX(AD$420:AD$431,$D2905))</f>
        <v/>
      </c>
      <c r="AE2905" s="57">
        <f>REVENUE(AE2878,Settings!$C$13,INDEX(AE$420:AE$431,$D2905))</f>
        <v/>
      </c>
      <c r="AG2905" s="11">
        <f>CodePrefix&amp;$A2905&amp;IF($C2905="","","."&amp;$C2905&amp;"."&amp;$B2905)&amp;INDEX(VarEnd,MATCH($A2905,VarKey,0))&amp;AG$5</f>
        <v/>
      </c>
      <c r="AH2905" s="43">
        <f>AH2878*Settings!$C$13*(INDEX(AH$420:AH$431,$D2905))</f>
        <v/>
      </c>
      <c r="AI2905" s="44">
        <f>AI2878*Settings!$C$13*(INDEX(AI$420:AI$431,$D2905))</f>
        <v/>
      </c>
      <c r="AJ2905" s="44">
        <f>AJ2878*Settings!$C$13*(INDEX(AJ$420:AJ$431,$D2905))</f>
        <v/>
      </c>
      <c r="AK2905" s="44">
        <f>AK2878*Settings!$C$13*(INDEX(AK$420:AK$431,$D2905))</f>
        <v/>
      </c>
      <c r="AL2905" s="44">
        <f>AL2878*Settings!$C$13*(INDEX(AL$420:AL$431,$D2905))</f>
        <v/>
      </c>
      <c r="AM2905" s="44">
        <f>AM2878*Settings!$C$13*(INDEX(AM$420:AM$431,$D2905))</f>
        <v/>
      </c>
      <c r="AN2905" s="44">
        <f>AN2878*Settings!$C$13*(INDEX(AN$420:AN$431,$D2905))</f>
        <v/>
      </c>
      <c r="AO2905" s="44">
        <f>AO2878*Settings!$C$13*(INDEX(AO$420:AO$431,$D2905))</f>
        <v/>
      </c>
      <c r="AP2905" s="44">
        <f>AP2878*Settings!$C$13*(INDEX(AP$420:AP$431,$D2905))</f>
        <v/>
      </c>
      <c r="AQ2905" s="44">
        <f>AQ2878*Settings!$C$13*(INDEX(AQ$420:AQ$431,$D2905))</f>
        <v/>
      </c>
      <c r="AR2905" s="44">
        <f>AR2878*Settings!$C$13*(INDEX(AR$420:AR$431,$D2905))</f>
        <v/>
      </c>
      <c r="AS2905" s="44">
        <f>AS2878*Settings!$C$13*(INDEX(AS$420:AS$431,$D2905))</f>
        <v/>
      </c>
      <c r="AT2905" s="44">
        <f>AT2878*Settings!$C$13*(INDEX(AT$420:AT$431,$D2905))</f>
        <v/>
      </c>
      <c r="AU2905" s="44">
        <f>AU2878*Settings!$C$13*(INDEX(AU$420:AU$431,$D2905))</f>
        <v/>
      </c>
      <c r="AV2905" s="44">
        <f>AV2878*Settings!$C$13*(INDEX(AV$420:AV$431,$D2905))</f>
        <v/>
      </c>
      <c r="AW2905" s="44">
        <f>AW2878*Settings!$C$13*(INDEX(AW$420:AW$431,$D2905))</f>
        <v/>
      </c>
      <c r="AX2905" s="44">
        <f>AX2878*Settings!$C$13*(INDEX(AX$420:AX$431,$D2905))</f>
        <v/>
      </c>
      <c r="AY2905" s="44">
        <f>AY2878*Settings!$C$13*(INDEX(AY$420:AY$431,$D2905))</f>
        <v/>
      </c>
      <c r="AZ2905" s="44">
        <f>AZ2878*Settings!$C$13*(INDEX(AZ$420:AZ$431,$D2905))</f>
        <v/>
      </c>
      <c r="BA2905" s="57">
        <f>REVENUE(BA2878,Settings!$C$13,INDEX(BA$420:BA$431,$D2905))</f>
        <v/>
      </c>
    </row>
    <row r="2906" hidden="1" outlineLevel="2">
      <c r="A2906" s="14" t="inlineStr">
        <is>
          <t>rsub</t>
        </is>
      </c>
      <c r="B2906" s="14" t="inlineStr">
        <is>
          <t>gso</t>
        </is>
      </c>
      <c r="C2906" s="14" t="inlineStr">
        <is>
          <t>ftr</t>
        </is>
      </c>
      <c r="D2906" s="35">
        <f>INDEX(Inputs!$U$5:$U$132,MATCH($B2906&amp;"|"&amp;$C2906,Inputs!$A$5:$A$132,0))</f>
        <v/>
      </c>
      <c r="E2906" s="39" t="n"/>
      <c r="F2906" s="39" t="n"/>
      <c r="G2906" s="39" t="n"/>
      <c r="H2906" s="14">
        <f>INDEX(VarLab,MATCH($A2906,VarKey,0))&amp;INDEX(MemLab,MATCH($C2906&amp;"|"&amp;$B2906,MemKey,0))</f>
        <v/>
      </c>
      <c r="I2906" s="14">
        <f>INDEX(VarUnit,MATCH($A2906,VarKey,0))</f>
        <v/>
      </c>
      <c r="J2906" s="14">
        <f>INDEX(VarSrc,MATCH($A2906,VarKey,0))</f>
        <v/>
      </c>
      <c r="K2906" s="11">
        <f>CodePrefix&amp;$A2906&amp;IF($C2906="","","."&amp;$C2906&amp;"."&amp;$B2906)&amp;INDEX(VarEnd,MATCH($A2906,VarKey,0))&amp;K$5</f>
        <v/>
      </c>
      <c r="L2906" s="43">
        <f>L2879*Settings!$C$13*(INDEX(L$420:L$431,$D2906))</f>
        <v/>
      </c>
      <c r="M2906" s="44">
        <f>M2879*Settings!$C$13*(INDEX(M$420:M$431,$D2906))</f>
        <v/>
      </c>
      <c r="N2906" s="44">
        <f>N2879*Settings!$C$13*(INDEX(N$420:N$431,$D2906))</f>
        <v/>
      </c>
      <c r="O2906" s="44">
        <f>O2879*Settings!$C$13*(INDEX(O$420:O$431,$D2906))</f>
        <v/>
      </c>
      <c r="P2906" s="44">
        <f>P2879*Settings!$C$13*(INDEX(P$420:P$431,$D2906))</f>
        <v/>
      </c>
      <c r="Q2906" s="44">
        <f>Q2879*Settings!$C$13*(INDEX(Q$420:Q$431,$D2906))</f>
        <v/>
      </c>
      <c r="R2906" s="44">
        <f>R2879*Settings!$C$13*(INDEX(R$420:R$431,$D2906))</f>
        <v/>
      </c>
      <c r="S2906" s="44">
        <f>S2879*Settings!$C$13*(INDEX(S$420:S$431,$D2906))</f>
        <v/>
      </c>
      <c r="T2906" s="44">
        <f>T2879*Settings!$C$13*(INDEX(T$420:T$431,$D2906))</f>
        <v/>
      </c>
      <c r="U2906" s="44">
        <f>U2879*Settings!$C$13*(INDEX(U$420:U$431,$D2906))</f>
        <v/>
      </c>
      <c r="V2906" s="44">
        <f>V2879*Settings!$C$13*(INDEX(V$420:V$431,$D2906))</f>
        <v/>
      </c>
      <c r="W2906" s="44">
        <f>W2879*Settings!$C$13*(INDEX(W$420:W$431,$D2906))</f>
        <v/>
      </c>
      <c r="X2906" s="44">
        <f>X2879*Settings!$C$13*(INDEX(X$420:X$431,$D2906))</f>
        <v/>
      </c>
      <c r="Y2906" s="44">
        <f>Y2879*Settings!$C$13*(INDEX(Y$420:Y$431,$D2906))</f>
        <v/>
      </c>
      <c r="Z2906" s="44">
        <f>Z2879*Settings!$C$13*(INDEX(Z$420:Z$431,$D2906))</f>
        <v/>
      </c>
      <c r="AA2906" s="44">
        <f>AA2879*Settings!$C$13*(INDEX(AA$420:AA$431,$D2906))</f>
        <v/>
      </c>
      <c r="AB2906" s="44">
        <f>AB2879*Settings!$C$13*(INDEX(AB$420:AB$431,$D2906))</f>
        <v/>
      </c>
      <c r="AC2906" s="44">
        <f>AC2879*Settings!$C$13*(INDEX(AC$420:AC$431,$D2906))</f>
        <v/>
      </c>
      <c r="AD2906" s="44">
        <f>AD2879*Settings!$C$13*(INDEX(AD$420:AD$431,$D2906))</f>
        <v/>
      </c>
      <c r="AE2906" s="57">
        <f>REVENUE(AE2879,Settings!$C$13,INDEX(AE$420:AE$431,$D2906))</f>
        <v/>
      </c>
      <c r="AG2906" s="11">
        <f>CodePrefix&amp;$A2906&amp;IF($C2906="","","."&amp;$C2906&amp;"."&amp;$B2906)&amp;INDEX(VarEnd,MATCH($A2906,VarKey,0))&amp;AG$5</f>
        <v/>
      </c>
      <c r="AH2906" s="43">
        <f>AH2879*Settings!$C$13*(INDEX(AH$420:AH$431,$D2906))</f>
        <v/>
      </c>
      <c r="AI2906" s="44">
        <f>AI2879*Settings!$C$13*(INDEX(AI$420:AI$431,$D2906))</f>
        <v/>
      </c>
      <c r="AJ2906" s="44">
        <f>AJ2879*Settings!$C$13*(INDEX(AJ$420:AJ$431,$D2906))</f>
        <v/>
      </c>
      <c r="AK2906" s="44">
        <f>AK2879*Settings!$C$13*(INDEX(AK$420:AK$431,$D2906))</f>
        <v/>
      </c>
      <c r="AL2906" s="44">
        <f>AL2879*Settings!$C$13*(INDEX(AL$420:AL$431,$D2906))</f>
        <v/>
      </c>
      <c r="AM2906" s="44">
        <f>AM2879*Settings!$C$13*(INDEX(AM$420:AM$431,$D2906))</f>
        <v/>
      </c>
      <c r="AN2906" s="44">
        <f>AN2879*Settings!$C$13*(INDEX(AN$420:AN$431,$D2906))</f>
        <v/>
      </c>
      <c r="AO2906" s="44">
        <f>AO2879*Settings!$C$13*(INDEX(AO$420:AO$431,$D2906))</f>
        <v/>
      </c>
      <c r="AP2906" s="44">
        <f>AP2879*Settings!$C$13*(INDEX(AP$420:AP$431,$D2906))</f>
        <v/>
      </c>
      <c r="AQ2906" s="44">
        <f>AQ2879*Settings!$C$13*(INDEX(AQ$420:AQ$431,$D2906))</f>
        <v/>
      </c>
      <c r="AR2906" s="44">
        <f>AR2879*Settings!$C$13*(INDEX(AR$420:AR$431,$D2906))</f>
        <v/>
      </c>
      <c r="AS2906" s="44">
        <f>AS2879*Settings!$C$13*(INDEX(AS$420:AS$431,$D2906))</f>
        <v/>
      </c>
      <c r="AT2906" s="44">
        <f>AT2879*Settings!$C$13*(INDEX(AT$420:AT$431,$D2906))</f>
        <v/>
      </c>
      <c r="AU2906" s="44">
        <f>AU2879*Settings!$C$13*(INDEX(AU$420:AU$431,$D2906))</f>
        <v/>
      </c>
      <c r="AV2906" s="44">
        <f>AV2879*Settings!$C$13*(INDEX(AV$420:AV$431,$D2906))</f>
        <v/>
      </c>
      <c r="AW2906" s="44">
        <f>AW2879*Settings!$C$13*(INDEX(AW$420:AW$431,$D2906))</f>
        <v/>
      </c>
      <c r="AX2906" s="44">
        <f>AX2879*Settings!$C$13*(INDEX(AX$420:AX$431,$D2906))</f>
        <v/>
      </c>
      <c r="AY2906" s="44">
        <f>AY2879*Settings!$C$13*(INDEX(AY$420:AY$431,$D2906))</f>
        <v/>
      </c>
      <c r="AZ2906" s="44">
        <f>AZ2879*Settings!$C$13*(INDEX(AZ$420:AZ$431,$D2906))</f>
        <v/>
      </c>
      <c r="BA2906" s="57">
        <f>REVENUE(BA2879,Settings!$C$13,INDEX(BA$420:BA$431,$D2906))</f>
        <v/>
      </c>
    </row>
    <row r="2907" hidden="1" outlineLevel="2">
      <c r="A2907" s="14" t="inlineStr">
        <is>
          <t>rsub</t>
        </is>
      </c>
      <c r="B2907" s="14" t="inlineStr">
        <is>
          <t>die</t>
        </is>
      </c>
      <c r="C2907" s="14" t="inlineStr">
        <is>
          <t>ftr</t>
        </is>
      </c>
      <c r="D2907" s="35">
        <f>INDEX(Inputs!$U$5:$U$132,MATCH($B2907&amp;"|"&amp;$C2907,Inputs!$A$5:$A$132,0))</f>
        <v/>
      </c>
      <c r="E2907" s="39" t="n"/>
      <c r="F2907" s="39" t="n"/>
      <c r="G2907" s="39" t="n"/>
      <c r="H2907" s="14">
        <f>INDEX(VarLab,MATCH($A2907,VarKey,0))&amp;INDEX(MemLab,MATCH($C2907&amp;"|"&amp;$B2907,MemKey,0))</f>
        <v/>
      </c>
      <c r="I2907" s="14">
        <f>INDEX(VarUnit,MATCH($A2907,VarKey,0))</f>
        <v/>
      </c>
      <c r="J2907" s="14">
        <f>INDEX(VarSrc,MATCH($A2907,VarKey,0))</f>
        <v/>
      </c>
      <c r="K2907" s="11">
        <f>CodePrefix&amp;$A2907&amp;IF($C2907="","","."&amp;$C2907&amp;"."&amp;$B2907)&amp;INDEX(VarEnd,MATCH($A2907,VarKey,0))&amp;K$5</f>
        <v/>
      </c>
      <c r="L2907" s="43">
        <f>L2880*Settings!$C$13*(INDEX(L$420:L$431,$D2907))</f>
        <v/>
      </c>
      <c r="M2907" s="44">
        <f>M2880*Settings!$C$13*(INDEX(M$420:M$431,$D2907))</f>
        <v/>
      </c>
      <c r="N2907" s="44">
        <f>N2880*Settings!$C$13*(INDEX(N$420:N$431,$D2907))</f>
        <v/>
      </c>
      <c r="O2907" s="44">
        <f>O2880*Settings!$C$13*(INDEX(O$420:O$431,$D2907))</f>
        <v/>
      </c>
      <c r="P2907" s="44">
        <f>P2880*Settings!$C$13*(INDEX(P$420:P$431,$D2907))</f>
        <v/>
      </c>
      <c r="Q2907" s="44">
        <f>Q2880*Settings!$C$13*(INDEX(Q$420:Q$431,$D2907))</f>
        <v/>
      </c>
      <c r="R2907" s="44">
        <f>R2880*Settings!$C$13*(INDEX(R$420:R$431,$D2907))</f>
        <v/>
      </c>
      <c r="S2907" s="44">
        <f>S2880*Settings!$C$13*(INDEX(S$420:S$431,$D2907))</f>
        <v/>
      </c>
      <c r="T2907" s="44">
        <f>T2880*Settings!$C$13*(INDEX(T$420:T$431,$D2907))</f>
        <v/>
      </c>
      <c r="U2907" s="44">
        <f>U2880*Settings!$C$13*(INDEX(U$420:U$431,$D2907))</f>
        <v/>
      </c>
      <c r="V2907" s="44">
        <f>V2880*Settings!$C$13*(INDEX(V$420:V$431,$D2907))</f>
        <v/>
      </c>
      <c r="W2907" s="44">
        <f>W2880*Settings!$C$13*(INDEX(W$420:W$431,$D2907))</f>
        <v/>
      </c>
      <c r="X2907" s="44">
        <f>X2880*Settings!$C$13*(INDEX(X$420:X$431,$D2907))</f>
        <v/>
      </c>
      <c r="Y2907" s="44">
        <f>Y2880*Settings!$C$13*(INDEX(Y$420:Y$431,$D2907))</f>
        <v/>
      </c>
      <c r="Z2907" s="44">
        <f>Z2880*Settings!$C$13*(INDEX(Z$420:Z$431,$D2907))</f>
        <v/>
      </c>
      <c r="AA2907" s="44">
        <f>AA2880*Settings!$C$13*(INDEX(AA$420:AA$431,$D2907))</f>
        <v/>
      </c>
      <c r="AB2907" s="44">
        <f>AB2880*Settings!$C$13*(INDEX(AB$420:AB$431,$D2907))</f>
        <v/>
      </c>
      <c r="AC2907" s="44">
        <f>AC2880*Settings!$C$13*(INDEX(AC$420:AC$431,$D2907))</f>
        <v/>
      </c>
      <c r="AD2907" s="44">
        <f>AD2880*Settings!$C$13*(INDEX(AD$420:AD$431,$D2907))</f>
        <v/>
      </c>
      <c r="AE2907" s="57">
        <f>REVENUE(AE2880,Settings!$C$13,INDEX(AE$420:AE$431,$D2907))</f>
        <v/>
      </c>
      <c r="AG2907" s="11">
        <f>CodePrefix&amp;$A2907&amp;IF($C2907="","","."&amp;$C2907&amp;"."&amp;$B2907)&amp;INDEX(VarEnd,MATCH($A2907,VarKey,0))&amp;AG$5</f>
        <v/>
      </c>
      <c r="AH2907" s="43">
        <f>AH2880*Settings!$C$13*(INDEX(AH$420:AH$431,$D2907))</f>
        <v/>
      </c>
      <c r="AI2907" s="44">
        <f>AI2880*Settings!$C$13*(INDEX(AI$420:AI$431,$D2907))</f>
        <v/>
      </c>
      <c r="AJ2907" s="44">
        <f>AJ2880*Settings!$C$13*(INDEX(AJ$420:AJ$431,$D2907))</f>
        <v/>
      </c>
      <c r="AK2907" s="44">
        <f>AK2880*Settings!$C$13*(INDEX(AK$420:AK$431,$D2907))</f>
        <v/>
      </c>
      <c r="AL2907" s="44">
        <f>AL2880*Settings!$C$13*(INDEX(AL$420:AL$431,$D2907))</f>
        <v/>
      </c>
      <c r="AM2907" s="44">
        <f>AM2880*Settings!$C$13*(INDEX(AM$420:AM$431,$D2907))</f>
        <v/>
      </c>
      <c r="AN2907" s="44">
        <f>AN2880*Settings!$C$13*(INDEX(AN$420:AN$431,$D2907))</f>
        <v/>
      </c>
      <c r="AO2907" s="44">
        <f>AO2880*Settings!$C$13*(INDEX(AO$420:AO$431,$D2907))</f>
        <v/>
      </c>
      <c r="AP2907" s="44">
        <f>AP2880*Settings!$C$13*(INDEX(AP$420:AP$431,$D2907))</f>
        <v/>
      </c>
      <c r="AQ2907" s="44">
        <f>AQ2880*Settings!$C$13*(INDEX(AQ$420:AQ$431,$D2907))</f>
        <v/>
      </c>
      <c r="AR2907" s="44">
        <f>AR2880*Settings!$C$13*(INDEX(AR$420:AR$431,$D2907))</f>
        <v/>
      </c>
      <c r="AS2907" s="44">
        <f>AS2880*Settings!$C$13*(INDEX(AS$420:AS$431,$D2907))</f>
        <v/>
      </c>
      <c r="AT2907" s="44">
        <f>AT2880*Settings!$C$13*(INDEX(AT$420:AT$431,$D2907))</f>
        <v/>
      </c>
      <c r="AU2907" s="44">
        <f>AU2880*Settings!$C$13*(INDEX(AU$420:AU$431,$D2907))</f>
        <v/>
      </c>
      <c r="AV2907" s="44">
        <f>AV2880*Settings!$C$13*(INDEX(AV$420:AV$431,$D2907))</f>
        <v/>
      </c>
      <c r="AW2907" s="44">
        <f>AW2880*Settings!$C$13*(INDEX(AW$420:AW$431,$D2907))</f>
        <v/>
      </c>
      <c r="AX2907" s="44">
        <f>AX2880*Settings!$C$13*(INDEX(AX$420:AX$431,$D2907))</f>
        <v/>
      </c>
      <c r="AY2907" s="44">
        <f>AY2880*Settings!$C$13*(INDEX(AY$420:AY$431,$D2907))</f>
        <v/>
      </c>
      <c r="AZ2907" s="44">
        <f>AZ2880*Settings!$C$13*(INDEX(AZ$420:AZ$431,$D2907))</f>
        <v/>
      </c>
      <c r="BA2907" s="57">
        <f>REVENUE(BA2880,Settings!$C$13,INDEX(BA$420:BA$431,$D2907))</f>
        <v/>
      </c>
    </row>
    <row r="2908" hidden="1" outlineLevel="2">
      <c r="A2908" s="14" t="inlineStr">
        <is>
          <t>rsub</t>
        </is>
      </c>
      <c r="B2908" s="14" t="inlineStr">
        <is>
          <t>lpg</t>
        </is>
      </c>
      <c r="C2908" s="14" t="inlineStr">
        <is>
          <t>ftr</t>
        </is>
      </c>
      <c r="D2908" s="35">
        <f>INDEX(Inputs!$U$5:$U$132,MATCH($B2908&amp;"|"&amp;$C2908,Inputs!$A$5:$A$132,0))</f>
        <v/>
      </c>
      <c r="E2908" s="39" t="n"/>
      <c r="F2908" s="39" t="n"/>
      <c r="G2908" s="39" t="n"/>
      <c r="H2908" s="14">
        <f>INDEX(VarLab,MATCH($A2908,VarKey,0))&amp;INDEX(MemLab,MATCH($C2908&amp;"|"&amp;$B2908,MemKey,0))</f>
        <v/>
      </c>
      <c r="I2908" s="14">
        <f>INDEX(VarUnit,MATCH($A2908,VarKey,0))</f>
        <v/>
      </c>
      <c r="J2908" s="14">
        <f>INDEX(VarSrc,MATCH($A2908,VarKey,0))</f>
        <v/>
      </c>
      <c r="K2908" s="11">
        <f>CodePrefix&amp;$A2908&amp;IF($C2908="","","."&amp;$C2908&amp;"."&amp;$B2908)&amp;INDEX(VarEnd,MATCH($A2908,VarKey,0))&amp;K$5</f>
        <v/>
      </c>
      <c r="L2908" s="43">
        <f>L2881*Settings!$C$13*(INDEX(L$420:L$431,$D2908))</f>
        <v/>
      </c>
      <c r="M2908" s="44">
        <f>M2881*Settings!$C$13*(INDEX(M$420:M$431,$D2908))</f>
        <v/>
      </c>
      <c r="N2908" s="44">
        <f>N2881*Settings!$C$13*(INDEX(N$420:N$431,$D2908))</f>
        <v/>
      </c>
      <c r="O2908" s="44">
        <f>O2881*Settings!$C$13*(INDEX(O$420:O$431,$D2908))</f>
        <v/>
      </c>
      <c r="P2908" s="44">
        <f>P2881*Settings!$C$13*(INDEX(P$420:P$431,$D2908))</f>
        <v/>
      </c>
      <c r="Q2908" s="44">
        <f>Q2881*Settings!$C$13*(INDEX(Q$420:Q$431,$D2908))</f>
        <v/>
      </c>
      <c r="R2908" s="44">
        <f>R2881*Settings!$C$13*(INDEX(R$420:R$431,$D2908))</f>
        <v/>
      </c>
      <c r="S2908" s="44">
        <f>S2881*Settings!$C$13*(INDEX(S$420:S$431,$D2908))</f>
        <v/>
      </c>
      <c r="T2908" s="44">
        <f>T2881*Settings!$C$13*(INDEX(T$420:T$431,$D2908))</f>
        <v/>
      </c>
      <c r="U2908" s="44">
        <f>U2881*Settings!$C$13*(INDEX(U$420:U$431,$D2908))</f>
        <v/>
      </c>
      <c r="V2908" s="44">
        <f>V2881*Settings!$C$13*(INDEX(V$420:V$431,$D2908))</f>
        <v/>
      </c>
      <c r="W2908" s="44">
        <f>W2881*Settings!$C$13*(INDEX(W$420:W$431,$D2908))</f>
        <v/>
      </c>
      <c r="X2908" s="44">
        <f>X2881*Settings!$C$13*(INDEX(X$420:X$431,$D2908))</f>
        <v/>
      </c>
      <c r="Y2908" s="44">
        <f>Y2881*Settings!$C$13*(INDEX(Y$420:Y$431,$D2908))</f>
        <v/>
      </c>
      <c r="Z2908" s="44">
        <f>Z2881*Settings!$C$13*(INDEX(Z$420:Z$431,$D2908))</f>
        <v/>
      </c>
      <c r="AA2908" s="44">
        <f>AA2881*Settings!$C$13*(INDEX(AA$420:AA$431,$D2908))</f>
        <v/>
      </c>
      <c r="AB2908" s="44">
        <f>AB2881*Settings!$C$13*(INDEX(AB$420:AB$431,$D2908))</f>
        <v/>
      </c>
      <c r="AC2908" s="44">
        <f>AC2881*Settings!$C$13*(INDEX(AC$420:AC$431,$D2908))</f>
        <v/>
      </c>
      <c r="AD2908" s="44">
        <f>AD2881*Settings!$C$13*(INDEX(AD$420:AD$431,$D2908))</f>
        <v/>
      </c>
      <c r="AE2908" s="57">
        <f>REVENUE(AE2881,Settings!$C$13,INDEX(AE$420:AE$431,$D2908))</f>
        <v/>
      </c>
      <c r="AG2908" s="11">
        <f>CodePrefix&amp;$A2908&amp;IF($C2908="","","."&amp;$C2908&amp;"."&amp;$B2908)&amp;INDEX(VarEnd,MATCH($A2908,VarKey,0))&amp;AG$5</f>
        <v/>
      </c>
      <c r="AH2908" s="43">
        <f>AH2881*Settings!$C$13*(INDEX(AH$420:AH$431,$D2908))</f>
        <v/>
      </c>
      <c r="AI2908" s="44">
        <f>AI2881*Settings!$C$13*(INDEX(AI$420:AI$431,$D2908))</f>
        <v/>
      </c>
      <c r="AJ2908" s="44">
        <f>AJ2881*Settings!$C$13*(INDEX(AJ$420:AJ$431,$D2908))</f>
        <v/>
      </c>
      <c r="AK2908" s="44">
        <f>AK2881*Settings!$C$13*(INDEX(AK$420:AK$431,$D2908))</f>
        <v/>
      </c>
      <c r="AL2908" s="44">
        <f>AL2881*Settings!$C$13*(INDEX(AL$420:AL$431,$D2908))</f>
        <v/>
      </c>
      <c r="AM2908" s="44">
        <f>AM2881*Settings!$C$13*(INDEX(AM$420:AM$431,$D2908))</f>
        <v/>
      </c>
      <c r="AN2908" s="44">
        <f>AN2881*Settings!$C$13*(INDEX(AN$420:AN$431,$D2908))</f>
        <v/>
      </c>
      <c r="AO2908" s="44">
        <f>AO2881*Settings!$C$13*(INDEX(AO$420:AO$431,$D2908))</f>
        <v/>
      </c>
      <c r="AP2908" s="44">
        <f>AP2881*Settings!$C$13*(INDEX(AP$420:AP$431,$D2908))</f>
        <v/>
      </c>
      <c r="AQ2908" s="44">
        <f>AQ2881*Settings!$C$13*(INDEX(AQ$420:AQ$431,$D2908))</f>
        <v/>
      </c>
      <c r="AR2908" s="44">
        <f>AR2881*Settings!$C$13*(INDEX(AR$420:AR$431,$D2908))</f>
        <v/>
      </c>
      <c r="AS2908" s="44">
        <f>AS2881*Settings!$C$13*(INDEX(AS$420:AS$431,$D2908))</f>
        <v/>
      </c>
      <c r="AT2908" s="44">
        <f>AT2881*Settings!$C$13*(INDEX(AT$420:AT$431,$D2908))</f>
        <v/>
      </c>
      <c r="AU2908" s="44">
        <f>AU2881*Settings!$C$13*(INDEX(AU$420:AU$431,$D2908))</f>
        <v/>
      </c>
      <c r="AV2908" s="44">
        <f>AV2881*Settings!$C$13*(INDEX(AV$420:AV$431,$D2908))</f>
        <v/>
      </c>
      <c r="AW2908" s="44">
        <f>AW2881*Settings!$C$13*(INDEX(AW$420:AW$431,$D2908))</f>
        <v/>
      </c>
      <c r="AX2908" s="44">
        <f>AX2881*Settings!$C$13*(INDEX(AX$420:AX$431,$D2908))</f>
        <v/>
      </c>
      <c r="AY2908" s="44">
        <f>AY2881*Settings!$C$13*(INDEX(AY$420:AY$431,$D2908))</f>
        <v/>
      </c>
      <c r="AZ2908" s="44">
        <f>AZ2881*Settings!$C$13*(INDEX(AZ$420:AZ$431,$D2908))</f>
        <v/>
      </c>
      <c r="BA2908" s="57">
        <f>REVENUE(BA2881,Settings!$C$13,INDEX(BA$420:BA$431,$D2908))</f>
        <v/>
      </c>
    </row>
    <row r="2909" hidden="1" outlineLevel="2">
      <c r="A2909" s="14" t="inlineStr">
        <is>
          <t>rsub</t>
        </is>
      </c>
      <c r="B2909" s="14" t="inlineStr">
        <is>
          <t>ker</t>
        </is>
      </c>
      <c r="C2909" s="14" t="inlineStr">
        <is>
          <t>ftr</t>
        </is>
      </c>
      <c r="D2909" s="35">
        <f>INDEX(Inputs!$U$5:$U$132,MATCH($B2909&amp;"|"&amp;$C2909,Inputs!$A$5:$A$132,0))</f>
        <v/>
      </c>
      <c r="E2909" s="39" t="n"/>
      <c r="F2909" s="39" t="n"/>
      <c r="G2909" s="39" t="n"/>
      <c r="H2909" s="14">
        <f>INDEX(VarLab,MATCH($A2909,VarKey,0))&amp;INDEX(MemLab,MATCH($C2909&amp;"|"&amp;$B2909,MemKey,0))</f>
        <v/>
      </c>
      <c r="I2909" s="14">
        <f>INDEX(VarUnit,MATCH($A2909,VarKey,0))</f>
        <v/>
      </c>
      <c r="J2909" s="14">
        <f>INDEX(VarSrc,MATCH($A2909,VarKey,0))</f>
        <v/>
      </c>
      <c r="K2909" s="11">
        <f>CodePrefix&amp;$A2909&amp;IF($C2909="","","."&amp;$C2909&amp;"."&amp;$B2909)&amp;INDEX(VarEnd,MATCH($A2909,VarKey,0))&amp;K$5</f>
        <v/>
      </c>
      <c r="L2909" s="43">
        <f>L2882*Settings!$C$13*(INDEX(L$420:L$431,$D2909))</f>
        <v/>
      </c>
      <c r="M2909" s="44">
        <f>M2882*Settings!$C$13*(INDEX(M$420:M$431,$D2909))</f>
        <v/>
      </c>
      <c r="N2909" s="44">
        <f>N2882*Settings!$C$13*(INDEX(N$420:N$431,$D2909))</f>
        <v/>
      </c>
      <c r="O2909" s="44">
        <f>O2882*Settings!$C$13*(INDEX(O$420:O$431,$D2909))</f>
        <v/>
      </c>
      <c r="P2909" s="44">
        <f>P2882*Settings!$C$13*(INDEX(P$420:P$431,$D2909))</f>
        <v/>
      </c>
      <c r="Q2909" s="44">
        <f>Q2882*Settings!$C$13*(INDEX(Q$420:Q$431,$D2909))</f>
        <v/>
      </c>
      <c r="R2909" s="44">
        <f>R2882*Settings!$C$13*(INDEX(R$420:R$431,$D2909))</f>
        <v/>
      </c>
      <c r="S2909" s="44">
        <f>S2882*Settings!$C$13*(INDEX(S$420:S$431,$D2909))</f>
        <v/>
      </c>
      <c r="T2909" s="44">
        <f>T2882*Settings!$C$13*(INDEX(T$420:T$431,$D2909))</f>
        <v/>
      </c>
      <c r="U2909" s="44">
        <f>U2882*Settings!$C$13*(INDEX(U$420:U$431,$D2909))</f>
        <v/>
      </c>
      <c r="V2909" s="44">
        <f>V2882*Settings!$C$13*(INDEX(V$420:V$431,$D2909))</f>
        <v/>
      </c>
      <c r="W2909" s="44">
        <f>W2882*Settings!$C$13*(INDEX(W$420:W$431,$D2909))</f>
        <v/>
      </c>
      <c r="X2909" s="44">
        <f>X2882*Settings!$C$13*(INDEX(X$420:X$431,$D2909))</f>
        <v/>
      </c>
      <c r="Y2909" s="44">
        <f>Y2882*Settings!$C$13*(INDEX(Y$420:Y$431,$D2909))</f>
        <v/>
      </c>
      <c r="Z2909" s="44">
        <f>Z2882*Settings!$C$13*(INDEX(Z$420:Z$431,$D2909))</f>
        <v/>
      </c>
      <c r="AA2909" s="44">
        <f>AA2882*Settings!$C$13*(INDEX(AA$420:AA$431,$D2909))</f>
        <v/>
      </c>
      <c r="AB2909" s="44">
        <f>AB2882*Settings!$C$13*(INDEX(AB$420:AB$431,$D2909))</f>
        <v/>
      </c>
      <c r="AC2909" s="44">
        <f>AC2882*Settings!$C$13*(INDEX(AC$420:AC$431,$D2909))</f>
        <v/>
      </c>
      <c r="AD2909" s="44">
        <f>AD2882*Settings!$C$13*(INDEX(AD$420:AD$431,$D2909))</f>
        <v/>
      </c>
      <c r="AE2909" s="57">
        <f>REVENUE(AE2882,Settings!$C$13,INDEX(AE$420:AE$431,$D2909))</f>
        <v/>
      </c>
      <c r="AG2909" s="11">
        <f>CodePrefix&amp;$A2909&amp;IF($C2909="","","."&amp;$C2909&amp;"."&amp;$B2909)&amp;INDEX(VarEnd,MATCH($A2909,VarKey,0))&amp;AG$5</f>
        <v/>
      </c>
      <c r="AH2909" s="43">
        <f>AH2882*Settings!$C$13*(INDEX(AH$420:AH$431,$D2909))</f>
        <v/>
      </c>
      <c r="AI2909" s="44">
        <f>AI2882*Settings!$C$13*(INDEX(AI$420:AI$431,$D2909))</f>
        <v/>
      </c>
      <c r="AJ2909" s="44">
        <f>AJ2882*Settings!$C$13*(INDEX(AJ$420:AJ$431,$D2909))</f>
        <v/>
      </c>
      <c r="AK2909" s="44">
        <f>AK2882*Settings!$C$13*(INDEX(AK$420:AK$431,$D2909))</f>
        <v/>
      </c>
      <c r="AL2909" s="44">
        <f>AL2882*Settings!$C$13*(INDEX(AL$420:AL$431,$D2909))</f>
        <v/>
      </c>
      <c r="AM2909" s="44">
        <f>AM2882*Settings!$C$13*(INDEX(AM$420:AM$431,$D2909))</f>
        <v/>
      </c>
      <c r="AN2909" s="44">
        <f>AN2882*Settings!$C$13*(INDEX(AN$420:AN$431,$D2909))</f>
        <v/>
      </c>
      <c r="AO2909" s="44">
        <f>AO2882*Settings!$C$13*(INDEX(AO$420:AO$431,$D2909))</f>
        <v/>
      </c>
      <c r="AP2909" s="44">
        <f>AP2882*Settings!$C$13*(INDEX(AP$420:AP$431,$D2909))</f>
        <v/>
      </c>
      <c r="AQ2909" s="44">
        <f>AQ2882*Settings!$C$13*(INDEX(AQ$420:AQ$431,$D2909))</f>
        <v/>
      </c>
      <c r="AR2909" s="44">
        <f>AR2882*Settings!$C$13*(INDEX(AR$420:AR$431,$D2909))</f>
        <v/>
      </c>
      <c r="AS2909" s="44">
        <f>AS2882*Settings!$C$13*(INDEX(AS$420:AS$431,$D2909))</f>
        <v/>
      </c>
      <c r="AT2909" s="44">
        <f>AT2882*Settings!$C$13*(INDEX(AT$420:AT$431,$D2909))</f>
        <v/>
      </c>
      <c r="AU2909" s="44">
        <f>AU2882*Settings!$C$13*(INDEX(AU$420:AU$431,$D2909))</f>
        <v/>
      </c>
      <c r="AV2909" s="44">
        <f>AV2882*Settings!$C$13*(INDEX(AV$420:AV$431,$D2909))</f>
        <v/>
      </c>
      <c r="AW2909" s="44">
        <f>AW2882*Settings!$C$13*(INDEX(AW$420:AW$431,$D2909))</f>
        <v/>
      </c>
      <c r="AX2909" s="44">
        <f>AX2882*Settings!$C$13*(INDEX(AX$420:AX$431,$D2909))</f>
        <v/>
      </c>
      <c r="AY2909" s="44">
        <f>AY2882*Settings!$C$13*(INDEX(AY$420:AY$431,$D2909))</f>
        <v/>
      </c>
      <c r="AZ2909" s="44">
        <f>AZ2882*Settings!$C$13*(INDEX(AZ$420:AZ$431,$D2909))</f>
        <v/>
      </c>
      <c r="BA2909" s="57">
        <f>REVENUE(BA2882,Settings!$C$13,INDEX(BA$420:BA$431,$D2909))</f>
        <v/>
      </c>
    </row>
    <row r="2910" hidden="1" outlineLevel="2">
      <c r="A2910" s="14" t="inlineStr">
        <is>
          <t>rsub</t>
        </is>
      </c>
      <c r="B2910" s="14" t="inlineStr">
        <is>
          <t>oop</t>
        </is>
      </c>
      <c r="C2910" s="14" t="inlineStr">
        <is>
          <t>ftr</t>
        </is>
      </c>
      <c r="D2910" s="35">
        <f>INDEX(Inputs!$U$5:$U$132,MATCH($B2910&amp;"|"&amp;$C2910,Inputs!$A$5:$A$132,0))</f>
        <v/>
      </c>
      <c r="E2910" s="39" t="n"/>
      <c r="F2910" s="39" t="n"/>
      <c r="G2910" s="39" t="n"/>
      <c r="H2910" s="14">
        <f>INDEX(VarLab,MATCH($A2910,VarKey,0))&amp;INDEX(MemLab,MATCH($C2910&amp;"|"&amp;$B2910,MemKey,0))</f>
        <v/>
      </c>
      <c r="I2910" s="14">
        <f>INDEX(VarUnit,MATCH($A2910,VarKey,0))</f>
        <v/>
      </c>
      <c r="J2910" s="14">
        <f>INDEX(VarSrc,MATCH($A2910,VarKey,0))</f>
        <v/>
      </c>
      <c r="K2910" s="11">
        <f>CodePrefix&amp;$A2910&amp;IF($C2910="","","."&amp;$C2910&amp;"."&amp;$B2910)&amp;INDEX(VarEnd,MATCH($A2910,VarKey,0))&amp;K$5</f>
        <v/>
      </c>
      <c r="L2910" s="43">
        <f>L2883*Settings!$C$13*(INDEX(L$420:L$431,$D2910))</f>
        <v/>
      </c>
      <c r="M2910" s="44">
        <f>M2883*Settings!$C$13*(INDEX(M$420:M$431,$D2910))</f>
        <v/>
      </c>
      <c r="N2910" s="44">
        <f>N2883*Settings!$C$13*(INDEX(N$420:N$431,$D2910))</f>
        <v/>
      </c>
      <c r="O2910" s="44">
        <f>O2883*Settings!$C$13*(INDEX(O$420:O$431,$D2910))</f>
        <v/>
      </c>
      <c r="P2910" s="44">
        <f>P2883*Settings!$C$13*(INDEX(P$420:P$431,$D2910))</f>
        <v/>
      </c>
      <c r="Q2910" s="44">
        <f>Q2883*Settings!$C$13*(INDEX(Q$420:Q$431,$D2910))</f>
        <v/>
      </c>
      <c r="R2910" s="44">
        <f>R2883*Settings!$C$13*(INDEX(R$420:R$431,$D2910))</f>
        <v/>
      </c>
      <c r="S2910" s="44">
        <f>S2883*Settings!$C$13*(INDEX(S$420:S$431,$D2910))</f>
        <v/>
      </c>
      <c r="T2910" s="44">
        <f>T2883*Settings!$C$13*(INDEX(T$420:T$431,$D2910))</f>
        <v/>
      </c>
      <c r="U2910" s="44">
        <f>U2883*Settings!$C$13*(INDEX(U$420:U$431,$D2910))</f>
        <v/>
      </c>
      <c r="V2910" s="44">
        <f>V2883*Settings!$C$13*(INDEX(V$420:V$431,$D2910))</f>
        <v/>
      </c>
      <c r="W2910" s="44">
        <f>W2883*Settings!$C$13*(INDEX(W$420:W$431,$D2910))</f>
        <v/>
      </c>
      <c r="X2910" s="44">
        <f>X2883*Settings!$C$13*(INDEX(X$420:X$431,$D2910))</f>
        <v/>
      </c>
      <c r="Y2910" s="44">
        <f>Y2883*Settings!$C$13*(INDEX(Y$420:Y$431,$D2910))</f>
        <v/>
      </c>
      <c r="Z2910" s="44">
        <f>Z2883*Settings!$C$13*(INDEX(Z$420:Z$431,$D2910))</f>
        <v/>
      </c>
      <c r="AA2910" s="44">
        <f>AA2883*Settings!$C$13*(INDEX(AA$420:AA$431,$D2910))</f>
        <v/>
      </c>
      <c r="AB2910" s="44">
        <f>AB2883*Settings!$C$13*(INDEX(AB$420:AB$431,$D2910))</f>
        <v/>
      </c>
      <c r="AC2910" s="44">
        <f>AC2883*Settings!$C$13*(INDEX(AC$420:AC$431,$D2910))</f>
        <v/>
      </c>
      <c r="AD2910" s="44">
        <f>AD2883*Settings!$C$13*(INDEX(AD$420:AD$431,$D2910))</f>
        <v/>
      </c>
      <c r="AE2910" s="57">
        <f>REVENUE(AE2883,Settings!$C$13,INDEX(AE$420:AE$431,$D2910))</f>
        <v/>
      </c>
      <c r="AG2910" s="11">
        <f>CodePrefix&amp;$A2910&amp;IF($C2910="","","."&amp;$C2910&amp;"."&amp;$B2910)&amp;INDEX(VarEnd,MATCH($A2910,VarKey,0))&amp;AG$5</f>
        <v/>
      </c>
      <c r="AH2910" s="43">
        <f>AH2883*Settings!$C$13*(INDEX(AH$420:AH$431,$D2910))</f>
        <v/>
      </c>
      <c r="AI2910" s="44">
        <f>AI2883*Settings!$C$13*(INDEX(AI$420:AI$431,$D2910))</f>
        <v/>
      </c>
      <c r="AJ2910" s="44">
        <f>AJ2883*Settings!$C$13*(INDEX(AJ$420:AJ$431,$D2910))</f>
        <v/>
      </c>
      <c r="AK2910" s="44">
        <f>AK2883*Settings!$C$13*(INDEX(AK$420:AK$431,$D2910))</f>
        <v/>
      </c>
      <c r="AL2910" s="44">
        <f>AL2883*Settings!$C$13*(INDEX(AL$420:AL$431,$D2910))</f>
        <v/>
      </c>
      <c r="AM2910" s="44">
        <f>AM2883*Settings!$C$13*(INDEX(AM$420:AM$431,$D2910))</f>
        <v/>
      </c>
      <c r="AN2910" s="44">
        <f>AN2883*Settings!$C$13*(INDEX(AN$420:AN$431,$D2910))</f>
        <v/>
      </c>
      <c r="AO2910" s="44">
        <f>AO2883*Settings!$C$13*(INDEX(AO$420:AO$431,$D2910))</f>
        <v/>
      </c>
      <c r="AP2910" s="44">
        <f>AP2883*Settings!$C$13*(INDEX(AP$420:AP$431,$D2910))</f>
        <v/>
      </c>
      <c r="AQ2910" s="44">
        <f>AQ2883*Settings!$C$13*(INDEX(AQ$420:AQ$431,$D2910))</f>
        <v/>
      </c>
      <c r="AR2910" s="44">
        <f>AR2883*Settings!$C$13*(INDEX(AR$420:AR$431,$D2910))</f>
        <v/>
      </c>
      <c r="AS2910" s="44">
        <f>AS2883*Settings!$C$13*(INDEX(AS$420:AS$431,$D2910))</f>
        <v/>
      </c>
      <c r="AT2910" s="44">
        <f>AT2883*Settings!$C$13*(INDEX(AT$420:AT$431,$D2910))</f>
        <v/>
      </c>
      <c r="AU2910" s="44">
        <f>AU2883*Settings!$C$13*(INDEX(AU$420:AU$431,$D2910))</f>
        <v/>
      </c>
      <c r="AV2910" s="44">
        <f>AV2883*Settings!$C$13*(INDEX(AV$420:AV$431,$D2910))</f>
        <v/>
      </c>
      <c r="AW2910" s="44">
        <f>AW2883*Settings!$C$13*(INDEX(AW$420:AW$431,$D2910))</f>
        <v/>
      </c>
      <c r="AX2910" s="44">
        <f>AX2883*Settings!$C$13*(INDEX(AX$420:AX$431,$D2910))</f>
        <v/>
      </c>
      <c r="AY2910" s="44">
        <f>AY2883*Settings!$C$13*(INDEX(AY$420:AY$431,$D2910))</f>
        <v/>
      </c>
      <c r="AZ2910" s="44">
        <f>AZ2883*Settings!$C$13*(INDEX(AZ$420:AZ$431,$D2910))</f>
        <v/>
      </c>
      <c r="BA2910" s="57">
        <f>REVENUE(BA2883,Settings!$C$13,INDEX(BA$420:BA$431,$D2910))</f>
        <v/>
      </c>
    </row>
    <row r="2911" hidden="1" outlineLevel="2">
      <c r="A2911" s="14" t="inlineStr">
        <is>
          <t>rsub</t>
        </is>
      </c>
      <c r="B2911" s="14" t="inlineStr">
        <is>
          <t>bio</t>
        </is>
      </c>
      <c r="C2911" s="14" t="inlineStr">
        <is>
          <t>ftr</t>
        </is>
      </c>
      <c r="D2911" s="35">
        <f>INDEX(Inputs!$U$5:$U$132,MATCH($B2911&amp;"|"&amp;$C2911,Inputs!$A$5:$A$132,0))</f>
        <v/>
      </c>
      <c r="E2911" s="39" t="n"/>
      <c r="F2911" s="39" t="n"/>
      <c r="G2911" s="39" t="n"/>
      <c r="H2911" s="14">
        <f>INDEX(VarLab,MATCH($A2911,VarKey,0))&amp;INDEX(MemLab,MATCH($C2911&amp;"|"&amp;$B2911,MemKey,0))</f>
        <v/>
      </c>
      <c r="I2911" s="14">
        <f>INDEX(VarUnit,MATCH($A2911,VarKey,0))</f>
        <v/>
      </c>
      <c r="J2911" s="14">
        <f>INDEX(VarSrc,MATCH($A2911,VarKey,0))</f>
        <v/>
      </c>
      <c r="K2911" s="11">
        <f>CodePrefix&amp;$A2911&amp;IF($C2911="","","."&amp;$C2911&amp;"."&amp;$B2911)&amp;INDEX(VarEnd,MATCH($A2911,VarKey,0))&amp;K$5</f>
        <v/>
      </c>
      <c r="L2911" s="43">
        <f>L2884*Settings!$C$13*(INDEX(L$420:L$431,$D2911))</f>
        <v/>
      </c>
      <c r="M2911" s="44">
        <f>M2884*Settings!$C$13*(INDEX(M$420:M$431,$D2911))</f>
        <v/>
      </c>
      <c r="N2911" s="44">
        <f>N2884*Settings!$C$13*(INDEX(N$420:N$431,$D2911))</f>
        <v/>
      </c>
      <c r="O2911" s="44">
        <f>O2884*Settings!$C$13*(INDEX(O$420:O$431,$D2911))</f>
        <v/>
      </c>
      <c r="P2911" s="44">
        <f>P2884*Settings!$C$13*(INDEX(P$420:P$431,$D2911))</f>
        <v/>
      </c>
      <c r="Q2911" s="44">
        <f>Q2884*Settings!$C$13*(INDEX(Q$420:Q$431,$D2911))</f>
        <v/>
      </c>
      <c r="R2911" s="44">
        <f>R2884*Settings!$C$13*(INDEX(R$420:R$431,$D2911))</f>
        <v/>
      </c>
      <c r="S2911" s="44">
        <f>S2884*Settings!$C$13*(INDEX(S$420:S$431,$D2911))</f>
        <v/>
      </c>
      <c r="T2911" s="44">
        <f>T2884*Settings!$C$13*(INDEX(T$420:T$431,$D2911))</f>
        <v/>
      </c>
      <c r="U2911" s="44">
        <f>U2884*Settings!$C$13*(INDEX(U$420:U$431,$D2911))</f>
        <v/>
      </c>
      <c r="V2911" s="44">
        <f>V2884*Settings!$C$13*(INDEX(V$420:V$431,$D2911))</f>
        <v/>
      </c>
      <c r="W2911" s="44">
        <f>W2884*Settings!$C$13*(INDEX(W$420:W$431,$D2911))</f>
        <v/>
      </c>
      <c r="X2911" s="44">
        <f>X2884*Settings!$C$13*(INDEX(X$420:X$431,$D2911))</f>
        <v/>
      </c>
      <c r="Y2911" s="44">
        <f>Y2884*Settings!$C$13*(INDEX(Y$420:Y$431,$D2911))</f>
        <v/>
      </c>
      <c r="Z2911" s="44">
        <f>Z2884*Settings!$C$13*(INDEX(Z$420:Z$431,$D2911))</f>
        <v/>
      </c>
      <c r="AA2911" s="44">
        <f>AA2884*Settings!$C$13*(INDEX(AA$420:AA$431,$D2911))</f>
        <v/>
      </c>
      <c r="AB2911" s="44">
        <f>AB2884*Settings!$C$13*(INDEX(AB$420:AB$431,$D2911))</f>
        <v/>
      </c>
      <c r="AC2911" s="44">
        <f>AC2884*Settings!$C$13*(INDEX(AC$420:AC$431,$D2911))</f>
        <v/>
      </c>
      <c r="AD2911" s="44">
        <f>AD2884*Settings!$C$13*(INDEX(AD$420:AD$431,$D2911))</f>
        <v/>
      </c>
      <c r="AE2911" s="57">
        <f>REVENUE(AE2884,Settings!$C$13,INDEX(AE$420:AE$431,$D2911))</f>
        <v/>
      </c>
      <c r="AG2911" s="11">
        <f>CodePrefix&amp;$A2911&amp;IF($C2911="","","."&amp;$C2911&amp;"."&amp;$B2911)&amp;INDEX(VarEnd,MATCH($A2911,VarKey,0))&amp;AG$5</f>
        <v/>
      </c>
      <c r="AH2911" s="43">
        <f>AH2884*Settings!$C$13*(INDEX(AH$420:AH$431,$D2911))</f>
        <v/>
      </c>
      <c r="AI2911" s="44">
        <f>AI2884*Settings!$C$13*(INDEX(AI$420:AI$431,$D2911))</f>
        <v/>
      </c>
      <c r="AJ2911" s="44">
        <f>AJ2884*Settings!$C$13*(INDEX(AJ$420:AJ$431,$D2911))</f>
        <v/>
      </c>
      <c r="AK2911" s="44">
        <f>AK2884*Settings!$C$13*(INDEX(AK$420:AK$431,$D2911))</f>
        <v/>
      </c>
      <c r="AL2911" s="44">
        <f>AL2884*Settings!$C$13*(INDEX(AL$420:AL$431,$D2911))</f>
        <v/>
      </c>
      <c r="AM2911" s="44">
        <f>AM2884*Settings!$C$13*(INDEX(AM$420:AM$431,$D2911))</f>
        <v/>
      </c>
      <c r="AN2911" s="44">
        <f>AN2884*Settings!$C$13*(INDEX(AN$420:AN$431,$D2911))</f>
        <v/>
      </c>
      <c r="AO2911" s="44">
        <f>AO2884*Settings!$C$13*(INDEX(AO$420:AO$431,$D2911))</f>
        <v/>
      </c>
      <c r="AP2911" s="44">
        <f>AP2884*Settings!$C$13*(INDEX(AP$420:AP$431,$D2911))</f>
        <v/>
      </c>
      <c r="AQ2911" s="44">
        <f>AQ2884*Settings!$C$13*(INDEX(AQ$420:AQ$431,$D2911))</f>
        <v/>
      </c>
      <c r="AR2911" s="44">
        <f>AR2884*Settings!$C$13*(INDEX(AR$420:AR$431,$D2911))</f>
        <v/>
      </c>
      <c r="AS2911" s="44">
        <f>AS2884*Settings!$C$13*(INDEX(AS$420:AS$431,$D2911))</f>
        <v/>
      </c>
      <c r="AT2911" s="44">
        <f>AT2884*Settings!$C$13*(INDEX(AT$420:AT$431,$D2911))</f>
        <v/>
      </c>
      <c r="AU2911" s="44">
        <f>AU2884*Settings!$C$13*(INDEX(AU$420:AU$431,$D2911))</f>
        <v/>
      </c>
      <c r="AV2911" s="44">
        <f>AV2884*Settings!$C$13*(INDEX(AV$420:AV$431,$D2911))</f>
        <v/>
      </c>
      <c r="AW2911" s="44">
        <f>AW2884*Settings!$C$13*(INDEX(AW$420:AW$431,$D2911))</f>
        <v/>
      </c>
      <c r="AX2911" s="44">
        <f>AX2884*Settings!$C$13*(INDEX(AX$420:AX$431,$D2911))</f>
        <v/>
      </c>
      <c r="AY2911" s="44">
        <f>AY2884*Settings!$C$13*(INDEX(AY$420:AY$431,$D2911))</f>
        <v/>
      </c>
      <c r="AZ2911" s="44">
        <f>AZ2884*Settings!$C$13*(INDEX(AZ$420:AZ$431,$D2911))</f>
        <v/>
      </c>
      <c r="BA2911" s="57">
        <f>REVENUE(BA2884,Settings!$C$13,INDEX(BA$420:BA$431,$D2911))</f>
        <v/>
      </c>
    </row>
    <row r="2912" hidden="1" outlineLevel="2"/>
    <row r="2913" hidden="1" outlineLevel="2">
      <c r="A2913" s="14" t="inlineStr">
        <is>
          <t>rnew</t>
        </is>
      </c>
      <c r="B2913" s="14" t="inlineStr">
        <is>
          <t>coa</t>
        </is>
      </c>
      <c r="C2913" s="14" t="inlineStr">
        <is>
          <t>ftr</t>
        </is>
      </c>
      <c r="D2913" s="35">
        <f>INDEX(Inputs!$V$5:$V$132,MATCH($B2913&amp;"|"&amp;$C2913,Inputs!$A$5:$A$132,0))</f>
        <v/>
      </c>
      <c r="E2913" s="39" t="n"/>
      <c r="F2913" s="39" t="n"/>
      <c r="G2913" s="39" t="n"/>
      <c r="H2913" s="14">
        <f>INDEX(VarLab,MATCH($A2913,VarKey,0))&amp;INDEX(MemLab,MATCH($C2913&amp;"|"&amp;$B2913,MemKey,0))</f>
        <v/>
      </c>
      <c r="I2913" s="14">
        <f>INDEX(VarUnit,MATCH($A2913,VarKey,0))</f>
        <v/>
      </c>
      <c r="J2913" s="14">
        <f>INDEX(VarSrc,MATCH($A2913,VarKey,0))</f>
        <v/>
      </c>
      <c r="K2913" s="11">
        <f>CodePrefix&amp;$A2913&amp;IF($C2913="","","."&amp;$C2913&amp;"."&amp;$B2913)&amp;INDEX(VarEnd,MATCH($A2913,VarKey,0))&amp;K$5</f>
        <v/>
      </c>
      <c r="L2913" s="43">
        <f>L2877*Settings!$C$13*(L2805+L2823+L2814*L$201+L2832*$D2913)</f>
        <v/>
      </c>
      <c r="M2913" s="44">
        <f>M2877*Settings!$C$13*(M2805+M2823+M2814*M$201+M2832*$D2913)</f>
        <v/>
      </c>
      <c r="N2913" s="44">
        <f>N2877*Settings!$C$13*(N2805+N2823+N2814*N$201+N2832*$D2913)</f>
        <v/>
      </c>
      <c r="O2913" s="44">
        <f>O2877*Settings!$C$13*(O2805+O2823+O2814*O$201+O2832*$D2913)</f>
        <v/>
      </c>
      <c r="P2913" s="44">
        <f>P2877*Settings!$C$13*(P2805+P2823+P2814*P$201+P2832*$D2913)</f>
        <v/>
      </c>
      <c r="Q2913" s="44">
        <f>Q2877*Settings!$C$13*(Q2805+Q2823+Q2814*Q$201+Q2832*$D2913)</f>
        <v/>
      </c>
      <c r="R2913" s="44">
        <f>R2877*Settings!$C$13*(R2805+R2823+R2814*R$201+R2832*$D2913)</f>
        <v/>
      </c>
      <c r="S2913" s="44">
        <f>S2877*Settings!$C$13*(S2805+S2823+S2814*S$201+S2832*$D2913)</f>
        <v/>
      </c>
      <c r="T2913" s="44">
        <f>T2877*Settings!$C$13*(T2805+T2823+T2814*T$201+T2832*$D2913)</f>
        <v/>
      </c>
      <c r="U2913" s="44">
        <f>U2877*Settings!$C$13*(U2805+U2823+U2814*U$201+U2832*$D2913)</f>
        <v/>
      </c>
      <c r="V2913" s="44">
        <f>V2877*Settings!$C$13*(V2805+V2823+V2814*V$201+V2832*$D2913)</f>
        <v/>
      </c>
      <c r="W2913" s="44">
        <f>W2877*Settings!$C$13*(W2805+W2823+W2814*W$201+W2832*$D2913)</f>
        <v/>
      </c>
      <c r="X2913" s="44">
        <f>X2877*Settings!$C$13*(X2805+X2823+X2814*X$201+X2832*$D2913)</f>
        <v/>
      </c>
      <c r="Y2913" s="44">
        <f>Y2877*Settings!$C$13*(Y2805+Y2823+Y2814*Y$201+Y2832*$D2913)</f>
        <v/>
      </c>
      <c r="Z2913" s="44">
        <f>Z2877*Settings!$C$13*(Z2805+Z2823+Z2814*Z$201+Z2832*$D2913)</f>
        <v/>
      </c>
      <c r="AA2913" s="44">
        <f>AA2877*Settings!$C$13*(AA2805+AA2823+AA2814*AA$201+AA2832*$D2913)</f>
        <v/>
      </c>
      <c r="AB2913" s="44">
        <f>AB2877*Settings!$C$13*(AB2805+AB2823+AB2814*AB$201+AB2832*$D2913)</f>
        <v/>
      </c>
      <c r="AC2913" s="44">
        <f>AC2877*Settings!$C$13*(AC2805+AC2823+AC2814*AC$201+AC2832*$D2913)</f>
        <v/>
      </c>
      <c r="AD2913" s="44">
        <f>AD2877*Settings!$C$13*(AD2805+AD2823+AD2814*AD$201+AD2832*$D2913)</f>
        <v/>
      </c>
      <c r="AE2913" s="57">
        <f>REVENUE(AE2877,Settings!$C$13,NEWREVRATE(AE2805,AE2823,AE2814,AE$201,AE2832,$D2913))</f>
        <v/>
      </c>
      <c r="AG2913" s="11">
        <f>CodePrefix&amp;$A2913&amp;IF($C2913="","","."&amp;$C2913&amp;"."&amp;$B2913)&amp;INDEX(VarEnd,MATCH($A2913,VarKey,0))&amp;AG$5</f>
        <v/>
      </c>
      <c r="AH2913" s="43">
        <f>AH2877*Settings!$C$13*(AH2805+AH2823+AH2814*AH$201+AH2832*$D2913)</f>
        <v/>
      </c>
      <c r="AI2913" s="44">
        <f>AI2877*Settings!$C$13*(AI2805+AI2823+AI2814*AI$201+AI2832*$D2913)</f>
        <v/>
      </c>
      <c r="AJ2913" s="44">
        <f>AJ2877*Settings!$C$13*(AJ2805+AJ2823+AJ2814*AJ$201+AJ2832*$D2913)</f>
        <v/>
      </c>
      <c r="AK2913" s="44">
        <f>AK2877*Settings!$C$13*(AK2805+AK2823+AK2814*AK$201+AK2832*$D2913)</f>
        <v/>
      </c>
      <c r="AL2913" s="44">
        <f>AL2877*Settings!$C$13*(AL2805+AL2823+AL2814*AL$201+AL2832*$D2913)</f>
        <v/>
      </c>
      <c r="AM2913" s="44">
        <f>AM2877*Settings!$C$13*(AM2805+AM2823+AM2814*AM$201+AM2832*$D2913)</f>
        <v/>
      </c>
      <c r="AN2913" s="44">
        <f>AN2877*Settings!$C$13*(AN2805+AN2823+AN2814*AN$201+AN2832*$D2913)</f>
        <v/>
      </c>
      <c r="AO2913" s="44">
        <f>AO2877*Settings!$C$13*(AO2805+AO2823+AO2814*AO$201+AO2832*$D2913)</f>
        <v/>
      </c>
      <c r="AP2913" s="44">
        <f>AP2877*Settings!$C$13*(AP2805+AP2823+AP2814*AP$201+AP2832*$D2913)</f>
        <v/>
      </c>
      <c r="AQ2913" s="44">
        <f>AQ2877*Settings!$C$13*(AQ2805+AQ2823+AQ2814*AQ$201+AQ2832*$D2913)</f>
        <v/>
      </c>
      <c r="AR2913" s="44">
        <f>AR2877*Settings!$C$13*(AR2805+AR2823+AR2814*AR$201+AR2832*$D2913)</f>
        <v/>
      </c>
      <c r="AS2913" s="44">
        <f>AS2877*Settings!$C$13*(AS2805+AS2823+AS2814*AS$201+AS2832*$D2913)</f>
        <v/>
      </c>
      <c r="AT2913" s="44">
        <f>AT2877*Settings!$C$13*(AT2805+AT2823+AT2814*AT$201+AT2832*$D2913)</f>
        <v/>
      </c>
      <c r="AU2913" s="44">
        <f>AU2877*Settings!$C$13*(AU2805+AU2823+AU2814*AU$201+AU2832*$D2913)</f>
        <v/>
      </c>
      <c r="AV2913" s="44">
        <f>AV2877*Settings!$C$13*(AV2805+AV2823+AV2814*AV$201+AV2832*$D2913)</f>
        <v/>
      </c>
      <c r="AW2913" s="44">
        <f>AW2877*Settings!$C$13*(AW2805+AW2823+AW2814*AW$201+AW2832*$D2913)</f>
        <v/>
      </c>
      <c r="AX2913" s="44">
        <f>AX2877*Settings!$C$13*(AX2805+AX2823+AX2814*AX$201+AX2832*$D2913)</f>
        <v/>
      </c>
      <c r="AY2913" s="44">
        <f>AY2877*Settings!$C$13*(AY2805+AY2823+AY2814*AY$201+AY2832*$D2913)</f>
        <v/>
      </c>
      <c r="AZ2913" s="44">
        <f>AZ2877*Settings!$C$13*(AZ2805+AZ2823+AZ2814*AZ$201+AZ2832*$D2913)</f>
        <v/>
      </c>
      <c r="BA2913" s="57">
        <f>REVENUE(BA2877,Settings!$C$13,NEWREVRATE(BA2805,BA2823,BA2814,BA$201,BA2832,$D2913))</f>
        <v/>
      </c>
    </row>
    <row r="2914" hidden="1" outlineLevel="2">
      <c r="A2914" s="14" t="inlineStr">
        <is>
          <t>rnew</t>
        </is>
      </c>
      <c r="B2914" s="14" t="inlineStr">
        <is>
          <t>nga</t>
        </is>
      </c>
      <c r="C2914" s="14" t="inlineStr">
        <is>
          <t>ftr</t>
        </is>
      </c>
      <c r="D2914" s="35">
        <f>INDEX(Inputs!$V$5:$V$132,MATCH($B2914&amp;"|"&amp;$C2914,Inputs!$A$5:$A$132,0))</f>
        <v/>
      </c>
      <c r="E2914" s="39" t="n"/>
      <c r="F2914" s="39" t="n"/>
      <c r="G2914" s="39" t="n"/>
      <c r="H2914" s="14">
        <f>INDEX(VarLab,MATCH($A2914,VarKey,0))&amp;INDEX(MemLab,MATCH($C2914&amp;"|"&amp;$B2914,MemKey,0))</f>
        <v/>
      </c>
      <c r="I2914" s="14">
        <f>INDEX(VarUnit,MATCH($A2914,VarKey,0))</f>
        <v/>
      </c>
      <c r="J2914" s="14">
        <f>INDEX(VarSrc,MATCH($A2914,VarKey,0))</f>
        <v/>
      </c>
      <c r="K2914" s="11">
        <f>CodePrefix&amp;$A2914&amp;IF($C2914="","","."&amp;$C2914&amp;"."&amp;$B2914)&amp;INDEX(VarEnd,MATCH($A2914,VarKey,0))&amp;K$5</f>
        <v/>
      </c>
      <c r="L2914" s="43">
        <f>L2878*Settings!$C$13*(L2806+L2824+L2815*L$201+L2833*$D2914)</f>
        <v/>
      </c>
      <c r="M2914" s="44">
        <f>M2878*Settings!$C$13*(M2806+M2824+M2815*M$201+M2833*$D2914)</f>
        <v/>
      </c>
      <c r="N2914" s="44">
        <f>N2878*Settings!$C$13*(N2806+N2824+N2815*N$201+N2833*$D2914)</f>
        <v/>
      </c>
      <c r="O2914" s="44">
        <f>O2878*Settings!$C$13*(O2806+O2824+O2815*O$201+O2833*$D2914)</f>
        <v/>
      </c>
      <c r="P2914" s="44">
        <f>P2878*Settings!$C$13*(P2806+P2824+P2815*P$201+P2833*$D2914)</f>
        <v/>
      </c>
      <c r="Q2914" s="44">
        <f>Q2878*Settings!$C$13*(Q2806+Q2824+Q2815*Q$201+Q2833*$D2914)</f>
        <v/>
      </c>
      <c r="R2914" s="44">
        <f>R2878*Settings!$C$13*(R2806+R2824+R2815*R$201+R2833*$D2914)</f>
        <v/>
      </c>
      <c r="S2914" s="44">
        <f>S2878*Settings!$C$13*(S2806+S2824+S2815*S$201+S2833*$D2914)</f>
        <v/>
      </c>
      <c r="T2914" s="44">
        <f>T2878*Settings!$C$13*(T2806+T2824+T2815*T$201+T2833*$D2914)</f>
        <v/>
      </c>
      <c r="U2914" s="44">
        <f>U2878*Settings!$C$13*(U2806+U2824+U2815*U$201+U2833*$D2914)</f>
        <v/>
      </c>
      <c r="V2914" s="44">
        <f>V2878*Settings!$C$13*(V2806+V2824+V2815*V$201+V2833*$D2914)</f>
        <v/>
      </c>
      <c r="W2914" s="44">
        <f>W2878*Settings!$C$13*(W2806+W2824+W2815*W$201+W2833*$D2914)</f>
        <v/>
      </c>
      <c r="X2914" s="44">
        <f>X2878*Settings!$C$13*(X2806+X2824+X2815*X$201+X2833*$D2914)</f>
        <v/>
      </c>
      <c r="Y2914" s="44">
        <f>Y2878*Settings!$C$13*(Y2806+Y2824+Y2815*Y$201+Y2833*$D2914)</f>
        <v/>
      </c>
      <c r="Z2914" s="44">
        <f>Z2878*Settings!$C$13*(Z2806+Z2824+Z2815*Z$201+Z2833*$D2914)</f>
        <v/>
      </c>
      <c r="AA2914" s="44">
        <f>AA2878*Settings!$C$13*(AA2806+AA2824+AA2815*AA$201+AA2833*$D2914)</f>
        <v/>
      </c>
      <c r="AB2914" s="44">
        <f>AB2878*Settings!$C$13*(AB2806+AB2824+AB2815*AB$201+AB2833*$D2914)</f>
        <v/>
      </c>
      <c r="AC2914" s="44">
        <f>AC2878*Settings!$C$13*(AC2806+AC2824+AC2815*AC$201+AC2833*$D2914)</f>
        <v/>
      </c>
      <c r="AD2914" s="44">
        <f>AD2878*Settings!$C$13*(AD2806+AD2824+AD2815*AD$201+AD2833*$D2914)</f>
        <v/>
      </c>
      <c r="AE2914" s="57">
        <f>REVENUE(AE2878,Settings!$C$13,NEWREVRATE(AE2806,AE2824,AE2815,AE$201,AE2833,$D2914))</f>
        <v/>
      </c>
      <c r="AG2914" s="11">
        <f>CodePrefix&amp;$A2914&amp;IF($C2914="","","."&amp;$C2914&amp;"."&amp;$B2914)&amp;INDEX(VarEnd,MATCH($A2914,VarKey,0))&amp;AG$5</f>
        <v/>
      </c>
      <c r="AH2914" s="43">
        <f>AH2878*Settings!$C$13*(AH2806+AH2824+AH2815*AH$201+AH2833*$D2914)</f>
        <v/>
      </c>
      <c r="AI2914" s="44">
        <f>AI2878*Settings!$C$13*(AI2806+AI2824+AI2815*AI$201+AI2833*$D2914)</f>
        <v/>
      </c>
      <c r="AJ2914" s="44">
        <f>AJ2878*Settings!$C$13*(AJ2806+AJ2824+AJ2815*AJ$201+AJ2833*$D2914)</f>
        <v/>
      </c>
      <c r="AK2914" s="44">
        <f>AK2878*Settings!$C$13*(AK2806+AK2824+AK2815*AK$201+AK2833*$D2914)</f>
        <v/>
      </c>
      <c r="AL2914" s="44">
        <f>AL2878*Settings!$C$13*(AL2806+AL2824+AL2815*AL$201+AL2833*$D2914)</f>
        <v/>
      </c>
      <c r="AM2914" s="44">
        <f>AM2878*Settings!$C$13*(AM2806+AM2824+AM2815*AM$201+AM2833*$D2914)</f>
        <v/>
      </c>
      <c r="AN2914" s="44">
        <f>AN2878*Settings!$C$13*(AN2806+AN2824+AN2815*AN$201+AN2833*$D2914)</f>
        <v/>
      </c>
      <c r="AO2914" s="44">
        <f>AO2878*Settings!$C$13*(AO2806+AO2824+AO2815*AO$201+AO2833*$D2914)</f>
        <v/>
      </c>
      <c r="AP2914" s="44">
        <f>AP2878*Settings!$C$13*(AP2806+AP2824+AP2815*AP$201+AP2833*$D2914)</f>
        <v/>
      </c>
      <c r="AQ2914" s="44">
        <f>AQ2878*Settings!$C$13*(AQ2806+AQ2824+AQ2815*AQ$201+AQ2833*$D2914)</f>
        <v/>
      </c>
      <c r="AR2914" s="44">
        <f>AR2878*Settings!$C$13*(AR2806+AR2824+AR2815*AR$201+AR2833*$D2914)</f>
        <v/>
      </c>
      <c r="AS2914" s="44">
        <f>AS2878*Settings!$C$13*(AS2806+AS2824+AS2815*AS$201+AS2833*$D2914)</f>
        <v/>
      </c>
      <c r="AT2914" s="44">
        <f>AT2878*Settings!$C$13*(AT2806+AT2824+AT2815*AT$201+AT2833*$D2914)</f>
        <v/>
      </c>
      <c r="AU2914" s="44">
        <f>AU2878*Settings!$C$13*(AU2806+AU2824+AU2815*AU$201+AU2833*$D2914)</f>
        <v/>
      </c>
      <c r="AV2914" s="44">
        <f>AV2878*Settings!$C$13*(AV2806+AV2824+AV2815*AV$201+AV2833*$D2914)</f>
        <v/>
      </c>
      <c r="AW2914" s="44">
        <f>AW2878*Settings!$C$13*(AW2806+AW2824+AW2815*AW$201+AW2833*$D2914)</f>
        <v/>
      </c>
      <c r="AX2914" s="44">
        <f>AX2878*Settings!$C$13*(AX2806+AX2824+AX2815*AX$201+AX2833*$D2914)</f>
        <v/>
      </c>
      <c r="AY2914" s="44">
        <f>AY2878*Settings!$C$13*(AY2806+AY2824+AY2815*AY$201+AY2833*$D2914)</f>
        <v/>
      </c>
      <c r="AZ2914" s="44">
        <f>AZ2878*Settings!$C$13*(AZ2806+AZ2824+AZ2815*AZ$201+AZ2833*$D2914)</f>
        <v/>
      </c>
      <c r="BA2914" s="57">
        <f>REVENUE(BA2878,Settings!$C$13,NEWREVRATE(BA2806,BA2824,BA2815,BA$201,BA2833,$D2914))</f>
        <v/>
      </c>
    </row>
    <row r="2915" hidden="1" outlineLevel="2">
      <c r="A2915" s="14" t="inlineStr">
        <is>
          <t>rnew</t>
        </is>
      </c>
      <c r="B2915" s="14" t="inlineStr">
        <is>
          <t>gso</t>
        </is>
      </c>
      <c r="C2915" s="14" t="inlineStr">
        <is>
          <t>ftr</t>
        </is>
      </c>
      <c r="D2915" s="35">
        <f>INDEX(Inputs!$V$5:$V$132,MATCH($B2915&amp;"|"&amp;$C2915,Inputs!$A$5:$A$132,0))</f>
        <v/>
      </c>
      <c r="E2915" s="39" t="n"/>
      <c r="F2915" s="39" t="n"/>
      <c r="G2915" s="39" t="n"/>
      <c r="H2915" s="14">
        <f>INDEX(VarLab,MATCH($A2915,VarKey,0))&amp;INDEX(MemLab,MATCH($C2915&amp;"|"&amp;$B2915,MemKey,0))</f>
        <v/>
      </c>
      <c r="I2915" s="14">
        <f>INDEX(VarUnit,MATCH($A2915,VarKey,0))</f>
        <v/>
      </c>
      <c r="J2915" s="14">
        <f>INDEX(VarSrc,MATCH($A2915,VarKey,0))</f>
        <v/>
      </c>
      <c r="K2915" s="11">
        <f>CodePrefix&amp;$A2915&amp;IF($C2915="","","."&amp;$C2915&amp;"."&amp;$B2915)&amp;INDEX(VarEnd,MATCH($A2915,VarKey,0))&amp;K$5</f>
        <v/>
      </c>
      <c r="L2915" s="43">
        <f>L2879*Settings!$C$13*(L2807+L2825+L2816*L$201+L2834*$D2915)</f>
        <v/>
      </c>
      <c r="M2915" s="44">
        <f>M2879*Settings!$C$13*(M2807+M2825+M2816*M$201+M2834*$D2915)</f>
        <v/>
      </c>
      <c r="N2915" s="44">
        <f>N2879*Settings!$C$13*(N2807+N2825+N2816*N$201+N2834*$D2915)</f>
        <v/>
      </c>
      <c r="O2915" s="44">
        <f>O2879*Settings!$C$13*(O2807+O2825+O2816*O$201+O2834*$D2915)</f>
        <v/>
      </c>
      <c r="P2915" s="44">
        <f>P2879*Settings!$C$13*(P2807+P2825+P2816*P$201+P2834*$D2915)</f>
        <v/>
      </c>
      <c r="Q2915" s="44">
        <f>Q2879*Settings!$C$13*(Q2807+Q2825+Q2816*Q$201+Q2834*$D2915)</f>
        <v/>
      </c>
      <c r="R2915" s="44">
        <f>R2879*Settings!$C$13*(R2807+R2825+R2816*R$201+R2834*$D2915)</f>
        <v/>
      </c>
      <c r="S2915" s="44">
        <f>S2879*Settings!$C$13*(S2807+S2825+S2816*S$201+S2834*$D2915)</f>
        <v/>
      </c>
      <c r="T2915" s="44">
        <f>T2879*Settings!$C$13*(T2807+T2825+T2816*T$201+T2834*$D2915)</f>
        <v/>
      </c>
      <c r="U2915" s="44">
        <f>U2879*Settings!$C$13*(U2807+U2825+U2816*U$201+U2834*$D2915)</f>
        <v/>
      </c>
      <c r="V2915" s="44">
        <f>V2879*Settings!$C$13*(V2807+V2825+V2816*V$201+V2834*$D2915)</f>
        <v/>
      </c>
      <c r="W2915" s="44">
        <f>W2879*Settings!$C$13*(W2807+W2825+W2816*W$201+W2834*$D2915)</f>
        <v/>
      </c>
      <c r="X2915" s="44">
        <f>X2879*Settings!$C$13*(X2807+X2825+X2816*X$201+X2834*$D2915)</f>
        <v/>
      </c>
      <c r="Y2915" s="44">
        <f>Y2879*Settings!$C$13*(Y2807+Y2825+Y2816*Y$201+Y2834*$D2915)</f>
        <v/>
      </c>
      <c r="Z2915" s="44">
        <f>Z2879*Settings!$C$13*(Z2807+Z2825+Z2816*Z$201+Z2834*$D2915)</f>
        <v/>
      </c>
      <c r="AA2915" s="44">
        <f>AA2879*Settings!$C$13*(AA2807+AA2825+AA2816*AA$201+AA2834*$D2915)</f>
        <v/>
      </c>
      <c r="AB2915" s="44">
        <f>AB2879*Settings!$C$13*(AB2807+AB2825+AB2816*AB$201+AB2834*$D2915)</f>
        <v/>
      </c>
      <c r="AC2915" s="44">
        <f>AC2879*Settings!$C$13*(AC2807+AC2825+AC2816*AC$201+AC2834*$D2915)</f>
        <v/>
      </c>
      <c r="AD2915" s="44">
        <f>AD2879*Settings!$C$13*(AD2807+AD2825+AD2816*AD$201+AD2834*$D2915)</f>
        <v/>
      </c>
      <c r="AE2915" s="57">
        <f>REVENUE(AE2879,Settings!$C$13,NEWREVRATE(AE2807,AE2825,AE2816,AE$201,AE2834,$D2915))</f>
        <v/>
      </c>
      <c r="AG2915" s="11">
        <f>CodePrefix&amp;$A2915&amp;IF($C2915="","","."&amp;$C2915&amp;"."&amp;$B2915)&amp;INDEX(VarEnd,MATCH($A2915,VarKey,0))&amp;AG$5</f>
        <v/>
      </c>
      <c r="AH2915" s="43">
        <f>AH2879*Settings!$C$13*(AH2807+AH2825+AH2816*AH$201+AH2834*$D2915)</f>
        <v/>
      </c>
      <c r="AI2915" s="44">
        <f>AI2879*Settings!$C$13*(AI2807+AI2825+AI2816*AI$201+AI2834*$D2915)</f>
        <v/>
      </c>
      <c r="AJ2915" s="44">
        <f>AJ2879*Settings!$C$13*(AJ2807+AJ2825+AJ2816*AJ$201+AJ2834*$D2915)</f>
        <v/>
      </c>
      <c r="AK2915" s="44">
        <f>AK2879*Settings!$C$13*(AK2807+AK2825+AK2816*AK$201+AK2834*$D2915)</f>
        <v/>
      </c>
      <c r="AL2915" s="44">
        <f>AL2879*Settings!$C$13*(AL2807+AL2825+AL2816*AL$201+AL2834*$D2915)</f>
        <v/>
      </c>
      <c r="AM2915" s="44">
        <f>AM2879*Settings!$C$13*(AM2807+AM2825+AM2816*AM$201+AM2834*$D2915)</f>
        <v/>
      </c>
      <c r="AN2915" s="44">
        <f>AN2879*Settings!$C$13*(AN2807+AN2825+AN2816*AN$201+AN2834*$D2915)</f>
        <v/>
      </c>
      <c r="AO2915" s="44">
        <f>AO2879*Settings!$C$13*(AO2807+AO2825+AO2816*AO$201+AO2834*$D2915)</f>
        <v/>
      </c>
      <c r="AP2915" s="44">
        <f>AP2879*Settings!$C$13*(AP2807+AP2825+AP2816*AP$201+AP2834*$D2915)</f>
        <v/>
      </c>
      <c r="AQ2915" s="44">
        <f>AQ2879*Settings!$C$13*(AQ2807+AQ2825+AQ2816*AQ$201+AQ2834*$D2915)</f>
        <v/>
      </c>
      <c r="AR2915" s="44">
        <f>AR2879*Settings!$C$13*(AR2807+AR2825+AR2816*AR$201+AR2834*$D2915)</f>
        <v/>
      </c>
      <c r="AS2915" s="44">
        <f>AS2879*Settings!$C$13*(AS2807+AS2825+AS2816*AS$201+AS2834*$D2915)</f>
        <v/>
      </c>
      <c r="AT2915" s="44">
        <f>AT2879*Settings!$C$13*(AT2807+AT2825+AT2816*AT$201+AT2834*$D2915)</f>
        <v/>
      </c>
      <c r="AU2915" s="44">
        <f>AU2879*Settings!$C$13*(AU2807+AU2825+AU2816*AU$201+AU2834*$D2915)</f>
        <v/>
      </c>
      <c r="AV2915" s="44">
        <f>AV2879*Settings!$C$13*(AV2807+AV2825+AV2816*AV$201+AV2834*$D2915)</f>
        <v/>
      </c>
      <c r="AW2915" s="44">
        <f>AW2879*Settings!$C$13*(AW2807+AW2825+AW2816*AW$201+AW2834*$D2915)</f>
        <v/>
      </c>
      <c r="AX2915" s="44">
        <f>AX2879*Settings!$C$13*(AX2807+AX2825+AX2816*AX$201+AX2834*$D2915)</f>
        <v/>
      </c>
      <c r="AY2915" s="44">
        <f>AY2879*Settings!$C$13*(AY2807+AY2825+AY2816*AY$201+AY2834*$D2915)</f>
        <v/>
      </c>
      <c r="AZ2915" s="44">
        <f>AZ2879*Settings!$C$13*(AZ2807+AZ2825+AZ2816*AZ$201+AZ2834*$D2915)</f>
        <v/>
      </c>
      <c r="BA2915" s="57">
        <f>REVENUE(BA2879,Settings!$C$13,NEWREVRATE(BA2807,BA2825,BA2816,BA$201,BA2834,$D2915))</f>
        <v/>
      </c>
    </row>
    <row r="2916" hidden="1" outlineLevel="2">
      <c r="A2916" s="14" t="inlineStr">
        <is>
          <t>rnew</t>
        </is>
      </c>
      <c r="B2916" s="14" t="inlineStr">
        <is>
          <t>die</t>
        </is>
      </c>
      <c r="C2916" s="14" t="inlineStr">
        <is>
          <t>ftr</t>
        </is>
      </c>
      <c r="D2916" s="35">
        <f>INDEX(Inputs!$V$5:$V$132,MATCH($B2916&amp;"|"&amp;$C2916,Inputs!$A$5:$A$132,0))</f>
        <v/>
      </c>
      <c r="E2916" s="39" t="n"/>
      <c r="F2916" s="39" t="n"/>
      <c r="G2916" s="39" t="n"/>
      <c r="H2916" s="14">
        <f>INDEX(VarLab,MATCH($A2916,VarKey,0))&amp;INDEX(MemLab,MATCH($C2916&amp;"|"&amp;$B2916,MemKey,0))</f>
        <v/>
      </c>
      <c r="I2916" s="14">
        <f>INDEX(VarUnit,MATCH($A2916,VarKey,0))</f>
        <v/>
      </c>
      <c r="J2916" s="14">
        <f>INDEX(VarSrc,MATCH($A2916,VarKey,0))</f>
        <v/>
      </c>
      <c r="K2916" s="11">
        <f>CodePrefix&amp;$A2916&amp;IF($C2916="","","."&amp;$C2916&amp;"."&amp;$B2916)&amp;INDEX(VarEnd,MATCH($A2916,VarKey,0))&amp;K$5</f>
        <v/>
      </c>
      <c r="L2916" s="43">
        <f>L2880*Settings!$C$13*(L2808+L2826+L2817*L$201+L2835*$D2916)</f>
        <v/>
      </c>
      <c r="M2916" s="44">
        <f>M2880*Settings!$C$13*(M2808+M2826+M2817*M$201+M2835*$D2916)</f>
        <v/>
      </c>
      <c r="N2916" s="44">
        <f>N2880*Settings!$C$13*(N2808+N2826+N2817*N$201+N2835*$D2916)</f>
        <v/>
      </c>
      <c r="O2916" s="44">
        <f>O2880*Settings!$C$13*(O2808+O2826+O2817*O$201+O2835*$D2916)</f>
        <v/>
      </c>
      <c r="P2916" s="44">
        <f>P2880*Settings!$C$13*(P2808+P2826+P2817*P$201+P2835*$D2916)</f>
        <v/>
      </c>
      <c r="Q2916" s="44">
        <f>Q2880*Settings!$C$13*(Q2808+Q2826+Q2817*Q$201+Q2835*$D2916)</f>
        <v/>
      </c>
      <c r="R2916" s="44">
        <f>R2880*Settings!$C$13*(R2808+R2826+R2817*R$201+R2835*$D2916)</f>
        <v/>
      </c>
      <c r="S2916" s="44">
        <f>S2880*Settings!$C$13*(S2808+S2826+S2817*S$201+S2835*$D2916)</f>
        <v/>
      </c>
      <c r="T2916" s="44">
        <f>T2880*Settings!$C$13*(T2808+T2826+T2817*T$201+T2835*$D2916)</f>
        <v/>
      </c>
      <c r="U2916" s="44">
        <f>U2880*Settings!$C$13*(U2808+U2826+U2817*U$201+U2835*$D2916)</f>
        <v/>
      </c>
      <c r="V2916" s="44">
        <f>V2880*Settings!$C$13*(V2808+V2826+V2817*V$201+V2835*$D2916)</f>
        <v/>
      </c>
      <c r="W2916" s="44">
        <f>W2880*Settings!$C$13*(W2808+W2826+W2817*W$201+W2835*$D2916)</f>
        <v/>
      </c>
      <c r="X2916" s="44">
        <f>X2880*Settings!$C$13*(X2808+X2826+X2817*X$201+X2835*$D2916)</f>
        <v/>
      </c>
      <c r="Y2916" s="44">
        <f>Y2880*Settings!$C$13*(Y2808+Y2826+Y2817*Y$201+Y2835*$D2916)</f>
        <v/>
      </c>
      <c r="Z2916" s="44">
        <f>Z2880*Settings!$C$13*(Z2808+Z2826+Z2817*Z$201+Z2835*$D2916)</f>
        <v/>
      </c>
      <c r="AA2916" s="44">
        <f>AA2880*Settings!$C$13*(AA2808+AA2826+AA2817*AA$201+AA2835*$D2916)</f>
        <v/>
      </c>
      <c r="AB2916" s="44">
        <f>AB2880*Settings!$C$13*(AB2808+AB2826+AB2817*AB$201+AB2835*$D2916)</f>
        <v/>
      </c>
      <c r="AC2916" s="44">
        <f>AC2880*Settings!$C$13*(AC2808+AC2826+AC2817*AC$201+AC2835*$D2916)</f>
        <v/>
      </c>
      <c r="AD2916" s="44">
        <f>AD2880*Settings!$C$13*(AD2808+AD2826+AD2817*AD$201+AD2835*$D2916)</f>
        <v/>
      </c>
      <c r="AE2916" s="57">
        <f>REVENUE(AE2880,Settings!$C$13,NEWREVRATE(AE2808,AE2826,AE2817,AE$201,AE2835,$D2916))</f>
        <v/>
      </c>
      <c r="AG2916" s="11">
        <f>CodePrefix&amp;$A2916&amp;IF($C2916="","","."&amp;$C2916&amp;"."&amp;$B2916)&amp;INDEX(VarEnd,MATCH($A2916,VarKey,0))&amp;AG$5</f>
        <v/>
      </c>
      <c r="AH2916" s="43">
        <f>AH2880*Settings!$C$13*(AH2808+AH2826+AH2817*AH$201+AH2835*$D2916)</f>
        <v/>
      </c>
      <c r="AI2916" s="44">
        <f>AI2880*Settings!$C$13*(AI2808+AI2826+AI2817*AI$201+AI2835*$D2916)</f>
        <v/>
      </c>
      <c r="AJ2916" s="44">
        <f>AJ2880*Settings!$C$13*(AJ2808+AJ2826+AJ2817*AJ$201+AJ2835*$D2916)</f>
        <v/>
      </c>
      <c r="AK2916" s="44">
        <f>AK2880*Settings!$C$13*(AK2808+AK2826+AK2817*AK$201+AK2835*$D2916)</f>
        <v/>
      </c>
      <c r="AL2916" s="44">
        <f>AL2880*Settings!$C$13*(AL2808+AL2826+AL2817*AL$201+AL2835*$D2916)</f>
        <v/>
      </c>
      <c r="AM2916" s="44">
        <f>AM2880*Settings!$C$13*(AM2808+AM2826+AM2817*AM$201+AM2835*$D2916)</f>
        <v/>
      </c>
      <c r="AN2916" s="44">
        <f>AN2880*Settings!$C$13*(AN2808+AN2826+AN2817*AN$201+AN2835*$D2916)</f>
        <v/>
      </c>
      <c r="AO2916" s="44">
        <f>AO2880*Settings!$C$13*(AO2808+AO2826+AO2817*AO$201+AO2835*$D2916)</f>
        <v/>
      </c>
      <c r="AP2916" s="44">
        <f>AP2880*Settings!$C$13*(AP2808+AP2826+AP2817*AP$201+AP2835*$D2916)</f>
        <v/>
      </c>
      <c r="AQ2916" s="44">
        <f>AQ2880*Settings!$C$13*(AQ2808+AQ2826+AQ2817*AQ$201+AQ2835*$D2916)</f>
        <v/>
      </c>
      <c r="AR2916" s="44">
        <f>AR2880*Settings!$C$13*(AR2808+AR2826+AR2817*AR$201+AR2835*$D2916)</f>
        <v/>
      </c>
      <c r="AS2916" s="44">
        <f>AS2880*Settings!$C$13*(AS2808+AS2826+AS2817*AS$201+AS2835*$D2916)</f>
        <v/>
      </c>
      <c r="AT2916" s="44">
        <f>AT2880*Settings!$C$13*(AT2808+AT2826+AT2817*AT$201+AT2835*$D2916)</f>
        <v/>
      </c>
      <c r="AU2916" s="44">
        <f>AU2880*Settings!$C$13*(AU2808+AU2826+AU2817*AU$201+AU2835*$D2916)</f>
        <v/>
      </c>
      <c r="AV2916" s="44">
        <f>AV2880*Settings!$C$13*(AV2808+AV2826+AV2817*AV$201+AV2835*$D2916)</f>
        <v/>
      </c>
      <c r="AW2916" s="44">
        <f>AW2880*Settings!$C$13*(AW2808+AW2826+AW2817*AW$201+AW2835*$D2916)</f>
        <v/>
      </c>
      <c r="AX2916" s="44">
        <f>AX2880*Settings!$C$13*(AX2808+AX2826+AX2817*AX$201+AX2835*$D2916)</f>
        <v/>
      </c>
      <c r="AY2916" s="44">
        <f>AY2880*Settings!$C$13*(AY2808+AY2826+AY2817*AY$201+AY2835*$D2916)</f>
        <v/>
      </c>
      <c r="AZ2916" s="44">
        <f>AZ2880*Settings!$C$13*(AZ2808+AZ2826+AZ2817*AZ$201+AZ2835*$D2916)</f>
        <v/>
      </c>
      <c r="BA2916" s="57">
        <f>REVENUE(BA2880,Settings!$C$13,NEWREVRATE(BA2808,BA2826,BA2817,BA$201,BA2835,$D2916))</f>
        <v/>
      </c>
    </row>
    <row r="2917" hidden="1" outlineLevel="2">
      <c r="A2917" s="14" t="inlineStr">
        <is>
          <t>rnew</t>
        </is>
      </c>
      <c r="B2917" s="14" t="inlineStr">
        <is>
          <t>lpg</t>
        </is>
      </c>
      <c r="C2917" s="14" t="inlineStr">
        <is>
          <t>ftr</t>
        </is>
      </c>
      <c r="D2917" s="35">
        <f>INDEX(Inputs!$V$5:$V$132,MATCH($B2917&amp;"|"&amp;$C2917,Inputs!$A$5:$A$132,0))</f>
        <v/>
      </c>
      <c r="E2917" s="39" t="n"/>
      <c r="F2917" s="39" t="n"/>
      <c r="G2917" s="39" t="n"/>
      <c r="H2917" s="14">
        <f>INDEX(VarLab,MATCH($A2917,VarKey,0))&amp;INDEX(MemLab,MATCH($C2917&amp;"|"&amp;$B2917,MemKey,0))</f>
        <v/>
      </c>
      <c r="I2917" s="14">
        <f>INDEX(VarUnit,MATCH($A2917,VarKey,0))</f>
        <v/>
      </c>
      <c r="J2917" s="14">
        <f>INDEX(VarSrc,MATCH($A2917,VarKey,0))</f>
        <v/>
      </c>
      <c r="K2917" s="11">
        <f>CodePrefix&amp;$A2917&amp;IF($C2917="","","."&amp;$C2917&amp;"."&amp;$B2917)&amp;INDEX(VarEnd,MATCH($A2917,VarKey,0))&amp;K$5</f>
        <v/>
      </c>
      <c r="L2917" s="43">
        <f>L2881*Settings!$C$13*(L2809+L2827+L2818*L$201+L2836*$D2917)</f>
        <v/>
      </c>
      <c r="M2917" s="44">
        <f>M2881*Settings!$C$13*(M2809+M2827+M2818*M$201+M2836*$D2917)</f>
        <v/>
      </c>
      <c r="N2917" s="44">
        <f>N2881*Settings!$C$13*(N2809+N2827+N2818*N$201+N2836*$D2917)</f>
        <v/>
      </c>
      <c r="O2917" s="44">
        <f>O2881*Settings!$C$13*(O2809+O2827+O2818*O$201+O2836*$D2917)</f>
        <v/>
      </c>
      <c r="P2917" s="44">
        <f>P2881*Settings!$C$13*(P2809+P2827+P2818*P$201+P2836*$D2917)</f>
        <v/>
      </c>
      <c r="Q2917" s="44">
        <f>Q2881*Settings!$C$13*(Q2809+Q2827+Q2818*Q$201+Q2836*$D2917)</f>
        <v/>
      </c>
      <c r="R2917" s="44">
        <f>R2881*Settings!$C$13*(R2809+R2827+R2818*R$201+R2836*$D2917)</f>
        <v/>
      </c>
      <c r="S2917" s="44">
        <f>S2881*Settings!$C$13*(S2809+S2827+S2818*S$201+S2836*$D2917)</f>
        <v/>
      </c>
      <c r="T2917" s="44">
        <f>T2881*Settings!$C$13*(T2809+T2827+T2818*T$201+T2836*$D2917)</f>
        <v/>
      </c>
      <c r="U2917" s="44">
        <f>U2881*Settings!$C$13*(U2809+U2827+U2818*U$201+U2836*$D2917)</f>
        <v/>
      </c>
      <c r="V2917" s="44">
        <f>V2881*Settings!$C$13*(V2809+V2827+V2818*V$201+V2836*$D2917)</f>
        <v/>
      </c>
      <c r="W2917" s="44">
        <f>W2881*Settings!$C$13*(W2809+W2827+W2818*W$201+W2836*$D2917)</f>
        <v/>
      </c>
      <c r="X2917" s="44">
        <f>X2881*Settings!$C$13*(X2809+X2827+X2818*X$201+X2836*$D2917)</f>
        <v/>
      </c>
      <c r="Y2917" s="44">
        <f>Y2881*Settings!$C$13*(Y2809+Y2827+Y2818*Y$201+Y2836*$D2917)</f>
        <v/>
      </c>
      <c r="Z2917" s="44">
        <f>Z2881*Settings!$C$13*(Z2809+Z2827+Z2818*Z$201+Z2836*$D2917)</f>
        <v/>
      </c>
      <c r="AA2917" s="44">
        <f>AA2881*Settings!$C$13*(AA2809+AA2827+AA2818*AA$201+AA2836*$D2917)</f>
        <v/>
      </c>
      <c r="AB2917" s="44">
        <f>AB2881*Settings!$C$13*(AB2809+AB2827+AB2818*AB$201+AB2836*$D2917)</f>
        <v/>
      </c>
      <c r="AC2917" s="44">
        <f>AC2881*Settings!$C$13*(AC2809+AC2827+AC2818*AC$201+AC2836*$D2917)</f>
        <v/>
      </c>
      <c r="AD2917" s="44">
        <f>AD2881*Settings!$C$13*(AD2809+AD2827+AD2818*AD$201+AD2836*$D2917)</f>
        <v/>
      </c>
      <c r="AE2917" s="57">
        <f>REVENUE(AE2881,Settings!$C$13,NEWREVRATE(AE2809,AE2827,AE2818,AE$201,AE2836,$D2917))</f>
        <v/>
      </c>
      <c r="AG2917" s="11">
        <f>CodePrefix&amp;$A2917&amp;IF($C2917="","","."&amp;$C2917&amp;"."&amp;$B2917)&amp;INDEX(VarEnd,MATCH($A2917,VarKey,0))&amp;AG$5</f>
        <v/>
      </c>
      <c r="AH2917" s="43">
        <f>AH2881*Settings!$C$13*(AH2809+AH2827+AH2818*AH$201+AH2836*$D2917)</f>
        <v/>
      </c>
      <c r="AI2917" s="44">
        <f>AI2881*Settings!$C$13*(AI2809+AI2827+AI2818*AI$201+AI2836*$D2917)</f>
        <v/>
      </c>
      <c r="AJ2917" s="44">
        <f>AJ2881*Settings!$C$13*(AJ2809+AJ2827+AJ2818*AJ$201+AJ2836*$D2917)</f>
        <v/>
      </c>
      <c r="AK2917" s="44">
        <f>AK2881*Settings!$C$13*(AK2809+AK2827+AK2818*AK$201+AK2836*$D2917)</f>
        <v/>
      </c>
      <c r="AL2917" s="44">
        <f>AL2881*Settings!$C$13*(AL2809+AL2827+AL2818*AL$201+AL2836*$D2917)</f>
        <v/>
      </c>
      <c r="AM2917" s="44">
        <f>AM2881*Settings!$C$13*(AM2809+AM2827+AM2818*AM$201+AM2836*$D2917)</f>
        <v/>
      </c>
      <c r="AN2917" s="44">
        <f>AN2881*Settings!$C$13*(AN2809+AN2827+AN2818*AN$201+AN2836*$D2917)</f>
        <v/>
      </c>
      <c r="AO2917" s="44">
        <f>AO2881*Settings!$C$13*(AO2809+AO2827+AO2818*AO$201+AO2836*$D2917)</f>
        <v/>
      </c>
      <c r="AP2917" s="44">
        <f>AP2881*Settings!$C$13*(AP2809+AP2827+AP2818*AP$201+AP2836*$D2917)</f>
        <v/>
      </c>
      <c r="AQ2917" s="44">
        <f>AQ2881*Settings!$C$13*(AQ2809+AQ2827+AQ2818*AQ$201+AQ2836*$D2917)</f>
        <v/>
      </c>
      <c r="AR2917" s="44">
        <f>AR2881*Settings!$C$13*(AR2809+AR2827+AR2818*AR$201+AR2836*$D2917)</f>
        <v/>
      </c>
      <c r="AS2917" s="44">
        <f>AS2881*Settings!$C$13*(AS2809+AS2827+AS2818*AS$201+AS2836*$D2917)</f>
        <v/>
      </c>
      <c r="AT2917" s="44">
        <f>AT2881*Settings!$C$13*(AT2809+AT2827+AT2818*AT$201+AT2836*$D2917)</f>
        <v/>
      </c>
      <c r="AU2917" s="44">
        <f>AU2881*Settings!$C$13*(AU2809+AU2827+AU2818*AU$201+AU2836*$D2917)</f>
        <v/>
      </c>
      <c r="AV2917" s="44">
        <f>AV2881*Settings!$C$13*(AV2809+AV2827+AV2818*AV$201+AV2836*$D2917)</f>
        <v/>
      </c>
      <c r="AW2917" s="44">
        <f>AW2881*Settings!$C$13*(AW2809+AW2827+AW2818*AW$201+AW2836*$D2917)</f>
        <v/>
      </c>
      <c r="AX2917" s="44">
        <f>AX2881*Settings!$C$13*(AX2809+AX2827+AX2818*AX$201+AX2836*$D2917)</f>
        <v/>
      </c>
      <c r="AY2917" s="44">
        <f>AY2881*Settings!$C$13*(AY2809+AY2827+AY2818*AY$201+AY2836*$D2917)</f>
        <v/>
      </c>
      <c r="AZ2917" s="44">
        <f>AZ2881*Settings!$C$13*(AZ2809+AZ2827+AZ2818*AZ$201+AZ2836*$D2917)</f>
        <v/>
      </c>
      <c r="BA2917" s="57">
        <f>REVENUE(BA2881,Settings!$C$13,NEWREVRATE(BA2809,BA2827,BA2818,BA$201,BA2836,$D2917))</f>
        <v/>
      </c>
    </row>
    <row r="2918" hidden="1" outlineLevel="2">
      <c r="A2918" s="14" t="inlineStr">
        <is>
          <t>rnew</t>
        </is>
      </c>
      <c r="B2918" s="14" t="inlineStr">
        <is>
          <t>ker</t>
        </is>
      </c>
      <c r="C2918" s="14" t="inlineStr">
        <is>
          <t>ftr</t>
        </is>
      </c>
      <c r="D2918" s="35">
        <f>INDEX(Inputs!$V$5:$V$132,MATCH($B2918&amp;"|"&amp;$C2918,Inputs!$A$5:$A$132,0))</f>
        <v/>
      </c>
      <c r="E2918" s="39" t="n"/>
      <c r="F2918" s="39" t="n"/>
      <c r="G2918" s="39" t="n"/>
      <c r="H2918" s="14">
        <f>INDEX(VarLab,MATCH($A2918,VarKey,0))&amp;INDEX(MemLab,MATCH($C2918&amp;"|"&amp;$B2918,MemKey,0))</f>
        <v/>
      </c>
      <c r="I2918" s="14">
        <f>INDEX(VarUnit,MATCH($A2918,VarKey,0))</f>
        <v/>
      </c>
      <c r="J2918" s="14">
        <f>INDEX(VarSrc,MATCH($A2918,VarKey,0))</f>
        <v/>
      </c>
      <c r="K2918" s="11">
        <f>CodePrefix&amp;$A2918&amp;IF($C2918="","","."&amp;$C2918&amp;"."&amp;$B2918)&amp;INDEX(VarEnd,MATCH($A2918,VarKey,0))&amp;K$5</f>
        <v/>
      </c>
      <c r="L2918" s="43">
        <f>L2882*Settings!$C$13*(L2810+L2828+L2819*L$201+L2837*$D2918)</f>
        <v/>
      </c>
      <c r="M2918" s="44">
        <f>M2882*Settings!$C$13*(M2810+M2828+M2819*M$201+M2837*$D2918)</f>
        <v/>
      </c>
      <c r="N2918" s="44">
        <f>N2882*Settings!$C$13*(N2810+N2828+N2819*N$201+N2837*$D2918)</f>
        <v/>
      </c>
      <c r="O2918" s="44">
        <f>O2882*Settings!$C$13*(O2810+O2828+O2819*O$201+O2837*$D2918)</f>
        <v/>
      </c>
      <c r="P2918" s="44">
        <f>P2882*Settings!$C$13*(P2810+P2828+P2819*P$201+P2837*$D2918)</f>
        <v/>
      </c>
      <c r="Q2918" s="44">
        <f>Q2882*Settings!$C$13*(Q2810+Q2828+Q2819*Q$201+Q2837*$D2918)</f>
        <v/>
      </c>
      <c r="R2918" s="44">
        <f>R2882*Settings!$C$13*(R2810+R2828+R2819*R$201+R2837*$D2918)</f>
        <v/>
      </c>
      <c r="S2918" s="44">
        <f>S2882*Settings!$C$13*(S2810+S2828+S2819*S$201+S2837*$D2918)</f>
        <v/>
      </c>
      <c r="T2918" s="44">
        <f>T2882*Settings!$C$13*(T2810+T2828+T2819*T$201+T2837*$D2918)</f>
        <v/>
      </c>
      <c r="U2918" s="44">
        <f>U2882*Settings!$C$13*(U2810+U2828+U2819*U$201+U2837*$D2918)</f>
        <v/>
      </c>
      <c r="V2918" s="44">
        <f>V2882*Settings!$C$13*(V2810+V2828+V2819*V$201+V2837*$D2918)</f>
        <v/>
      </c>
      <c r="W2918" s="44">
        <f>W2882*Settings!$C$13*(W2810+W2828+W2819*W$201+W2837*$D2918)</f>
        <v/>
      </c>
      <c r="X2918" s="44">
        <f>X2882*Settings!$C$13*(X2810+X2828+X2819*X$201+X2837*$D2918)</f>
        <v/>
      </c>
      <c r="Y2918" s="44">
        <f>Y2882*Settings!$C$13*(Y2810+Y2828+Y2819*Y$201+Y2837*$D2918)</f>
        <v/>
      </c>
      <c r="Z2918" s="44">
        <f>Z2882*Settings!$C$13*(Z2810+Z2828+Z2819*Z$201+Z2837*$D2918)</f>
        <v/>
      </c>
      <c r="AA2918" s="44">
        <f>AA2882*Settings!$C$13*(AA2810+AA2828+AA2819*AA$201+AA2837*$D2918)</f>
        <v/>
      </c>
      <c r="AB2918" s="44">
        <f>AB2882*Settings!$C$13*(AB2810+AB2828+AB2819*AB$201+AB2837*$D2918)</f>
        <v/>
      </c>
      <c r="AC2918" s="44">
        <f>AC2882*Settings!$C$13*(AC2810+AC2828+AC2819*AC$201+AC2837*$D2918)</f>
        <v/>
      </c>
      <c r="AD2918" s="44">
        <f>AD2882*Settings!$C$13*(AD2810+AD2828+AD2819*AD$201+AD2837*$D2918)</f>
        <v/>
      </c>
      <c r="AE2918" s="57">
        <f>REVENUE(AE2882,Settings!$C$13,NEWREVRATE(AE2810,AE2828,AE2819,AE$201,AE2837,$D2918))</f>
        <v/>
      </c>
      <c r="AG2918" s="11">
        <f>CodePrefix&amp;$A2918&amp;IF($C2918="","","."&amp;$C2918&amp;"."&amp;$B2918)&amp;INDEX(VarEnd,MATCH($A2918,VarKey,0))&amp;AG$5</f>
        <v/>
      </c>
      <c r="AH2918" s="43">
        <f>AH2882*Settings!$C$13*(AH2810+AH2828+AH2819*AH$201+AH2837*$D2918)</f>
        <v/>
      </c>
      <c r="AI2918" s="44">
        <f>AI2882*Settings!$C$13*(AI2810+AI2828+AI2819*AI$201+AI2837*$D2918)</f>
        <v/>
      </c>
      <c r="AJ2918" s="44">
        <f>AJ2882*Settings!$C$13*(AJ2810+AJ2828+AJ2819*AJ$201+AJ2837*$D2918)</f>
        <v/>
      </c>
      <c r="AK2918" s="44">
        <f>AK2882*Settings!$C$13*(AK2810+AK2828+AK2819*AK$201+AK2837*$D2918)</f>
        <v/>
      </c>
      <c r="AL2918" s="44">
        <f>AL2882*Settings!$C$13*(AL2810+AL2828+AL2819*AL$201+AL2837*$D2918)</f>
        <v/>
      </c>
      <c r="AM2918" s="44">
        <f>AM2882*Settings!$C$13*(AM2810+AM2828+AM2819*AM$201+AM2837*$D2918)</f>
        <v/>
      </c>
      <c r="AN2918" s="44">
        <f>AN2882*Settings!$C$13*(AN2810+AN2828+AN2819*AN$201+AN2837*$D2918)</f>
        <v/>
      </c>
      <c r="AO2918" s="44">
        <f>AO2882*Settings!$C$13*(AO2810+AO2828+AO2819*AO$201+AO2837*$D2918)</f>
        <v/>
      </c>
      <c r="AP2918" s="44">
        <f>AP2882*Settings!$C$13*(AP2810+AP2828+AP2819*AP$201+AP2837*$D2918)</f>
        <v/>
      </c>
      <c r="AQ2918" s="44">
        <f>AQ2882*Settings!$C$13*(AQ2810+AQ2828+AQ2819*AQ$201+AQ2837*$D2918)</f>
        <v/>
      </c>
      <c r="AR2918" s="44">
        <f>AR2882*Settings!$C$13*(AR2810+AR2828+AR2819*AR$201+AR2837*$D2918)</f>
        <v/>
      </c>
      <c r="AS2918" s="44">
        <f>AS2882*Settings!$C$13*(AS2810+AS2828+AS2819*AS$201+AS2837*$D2918)</f>
        <v/>
      </c>
      <c r="AT2918" s="44">
        <f>AT2882*Settings!$C$13*(AT2810+AT2828+AT2819*AT$201+AT2837*$D2918)</f>
        <v/>
      </c>
      <c r="AU2918" s="44">
        <f>AU2882*Settings!$C$13*(AU2810+AU2828+AU2819*AU$201+AU2837*$D2918)</f>
        <v/>
      </c>
      <c r="AV2918" s="44">
        <f>AV2882*Settings!$C$13*(AV2810+AV2828+AV2819*AV$201+AV2837*$D2918)</f>
        <v/>
      </c>
      <c r="AW2918" s="44">
        <f>AW2882*Settings!$C$13*(AW2810+AW2828+AW2819*AW$201+AW2837*$D2918)</f>
        <v/>
      </c>
      <c r="AX2918" s="44">
        <f>AX2882*Settings!$C$13*(AX2810+AX2828+AX2819*AX$201+AX2837*$D2918)</f>
        <v/>
      </c>
      <c r="AY2918" s="44">
        <f>AY2882*Settings!$C$13*(AY2810+AY2828+AY2819*AY$201+AY2837*$D2918)</f>
        <v/>
      </c>
      <c r="AZ2918" s="44">
        <f>AZ2882*Settings!$C$13*(AZ2810+AZ2828+AZ2819*AZ$201+AZ2837*$D2918)</f>
        <v/>
      </c>
      <c r="BA2918" s="57">
        <f>REVENUE(BA2882,Settings!$C$13,NEWREVRATE(BA2810,BA2828,BA2819,BA$201,BA2837,$D2918))</f>
        <v/>
      </c>
    </row>
    <row r="2919" hidden="1" outlineLevel="2">
      <c r="A2919" s="14" t="inlineStr">
        <is>
          <t>rnew</t>
        </is>
      </c>
      <c r="B2919" s="14" t="inlineStr">
        <is>
          <t>oop</t>
        </is>
      </c>
      <c r="C2919" s="14" t="inlineStr">
        <is>
          <t>ftr</t>
        </is>
      </c>
      <c r="D2919" s="35">
        <f>INDEX(Inputs!$V$5:$V$132,MATCH($B2919&amp;"|"&amp;$C2919,Inputs!$A$5:$A$132,0))</f>
        <v/>
      </c>
      <c r="E2919" s="39" t="n"/>
      <c r="F2919" s="39" t="n"/>
      <c r="G2919" s="39" t="n"/>
      <c r="H2919" s="14">
        <f>INDEX(VarLab,MATCH($A2919,VarKey,0))&amp;INDEX(MemLab,MATCH($C2919&amp;"|"&amp;$B2919,MemKey,0))</f>
        <v/>
      </c>
      <c r="I2919" s="14">
        <f>INDEX(VarUnit,MATCH($A2919,VarKey,0))</f>
        <v/>
      </c>
      <c r="J2919" s="14">
        <f>INDEX(VarSrc,MATCH($A2919,VarKey,0))</f>
        <v/>
      </c>
      <c r="K2919" s="11">
        <f>CodePrefix&amp;$A2919&amp;IF($C2919="","","."&amp;$C2919&amp;"."&amp;$B2919)&amp;INDEX(VarEnd,MATCH($A2919,VarKey,0))&amp;K$5</f>
        <v/>
      </c>
      <c r="L2919" s="43">
        <f>L2883*Settings!$C$13*(L2811+L2829+L2820*L$201+L2838*$D2919)</f>
        <v/>
      </c>
      <c r="M2919" s="44">
        <f>M2883*Settings!$C$13*(M2811+M2829+M2820*M$201+M2838*$D2919)</f>
        <v/>
      </c>
      <c r="N2919" s="44">
        <f>N2883*Settings!$C$13*(N2811+N2829+N2820*N$201+N2838*$D2919)</f>
        <v/>
      </c>
      <c r="O2919" s="44">
        <f>O2883*Settings!$C$13*(O2811+O2829+O2820*O$201+O2838*$D2919)</f>
        <v/>
      </c>
      <c r="P2919" s="44">
        <f>P2883*Settings!$C$13*(P2811+P2829+P2820*P$201+P2838*$D2919)</f>
        <v/>
      </c>
      <c r="Q2919" s="44">
        <f>Q2883*Settings!$C$13*(Q2811+Q2829+Q2820*Q$201+Q2838*$D2919)</f>
        <v/>
      </c>
      <c r="R2919" s="44">
        <f>R2883*Settings!$C$13*(R2811+R2829+R2820*R$201+R2838*$D2919)</f>
        <v/>
      </c>
      <c r="S2919" s="44">
        <f>S2883*Settings!$C$13*(S2811+S2829+S2820*S$201+S2838*$D2919)</f>
        <v/>
      </c>
      <c r="T2919" s="44">
        <f>T2883*Settings!$C$13*(T2811+T2829+T2820*T$201+T2838*$D2919)</f>
        <v/>
      </c>
      <c r="U2919" s="44">
        <f>U2883*Settings!$C$13*(U2811+U2829+U2820*U$201+U2838*$D2919)</f>
        <v/>
      </c>
      <c r="V2919" s="44">
        <f>V2883*Settings!$C$13*(V2811+V2829+V2820*V$201+V2838*$D2919)</f>
        <v/>
      </c>
      <c r="W2919" s="44">
        <f>W2883*Settings!$C$13*(W2811+W2829+W2820*W$201+W2838*$D2919)</f>
        <v/>
      </c>
      <c r="X2919" s="44">
        <f>X2883*Settings!$C$13*(X2811+X2829+X2820*X$201+X2838*$D2919)</f>
        <v/>
      </c>
      <c r="Y2919" s="44">
        <f>Y2883*Settings!$C$13*(Y2811+Y2829+Y2820*Y$201+Y2838*$D2919)</f>
        <v/>
      </c>
      <c r="Z2919" s="44">
        <f>Z2883*Settings!$C$13*(Z2811+Z2829+Z2820*Z$201+Z2838*$D2919)</f>
        <v/>
      </c>
      <c r="AA2919" s="44">
        <f>AA2883*Settings!$C$13*(AA2811+AA2829+AA2820*AA$201+AA2838*$D2919)</f>
        <v/>
      </c>
      <c r="AB2919" s="44">
        <f>AB2883*Settings!$C$13*(AB2811+AB2829+AB2820*AB$201+AB2838*$D2919)</f>
        <v/>
      </c>
      <c r="AC2919" s="44">
        <f>AC2883*Settings!$C$13*(AC2811+AC2829+AC2820*AC$201+AC2838*$D2919)</f>
        <v/>
      </c>
      <c r="AD2919" s="44">
        <f>AD2883*Settings!$C$13*(AD2811+AD2829+AD2820*AD$201+AD2838*$D2919)</f>
        <v/>
      </c>
      <c r="AE2919" s="57">
        <f>REVENUE(AE2883,Settings!$C$13,NEWREVRATE(AE2811,AE2829,AE2820,AE$201,AE2838,$D2919))</f>
        <v/>
      </c>
      <c r="AG2919" s="11">
        <f>CodePrefix&amp;$A2919&amp;IF($C2919="","","."&amp;$C2919&amp;"."&amp;$B2919)&amp;INDEX(VarEnd,MATCH($A2919,VarKey,0))&amp;AG$5</f>
        <v/>
      </c>
      <c r="AH2919" s="43">
        <f>AH2883*Settings!$C$13*(AH2811+AH2829+AH2820*AH$201+AH2838*$D2919)</f>
        <v/>
      </c>
      <c r="AI2919" s="44">
        <f>AI2883*Settings!$C$13*(AI2811+AI2829+AI2820*AI$201+AI2838*$D2919)</f>
        <v/>
      </c>
      <c r="AJ2919" s="44">
        <f>AJ2883*Settings!$C$13*(AJ2811+AJ2829+AJ2820*AJ$201+AJ2838*$D2919)</f>
        <v/>
      </c>
      <c r="AK2919" s="44">
        <f>AK2883*Settings!$C$13*(AK2811+AK2829+AK2820*AK$201+AK2838*$D2919)</f>
        <v/>
      </c>
      <c r="AL2919" s="44">
        <f>AL2883*Settings!$C$13*(AL2811+AL2829+AL2820*AL$201+AL2838*$D2919)</f>
        <v/>
      </c>
      <c r="AM2919" s="44">
        <f>AM2883*Settings!$C$13*(AM2811+AM2829+AM2820*AM$201+AM2838*$D2919)</f>
        <v/>
      </c>
      <c r="AN2919" s="44">
        <f>AN2883*Settings!$C$13*(AN2811+AN2829+AN2820*AN$201+AN2838*$D2919)</f>
        <v/>
      </c>
      <c r="AO2919" s="44">
        <f>AO2883*Settings!$C$13*(AO2811+AO2829+AO2820*AO$201+AO2838*$D2919)</f>
        <v/>
      </c>
      <c r="AP2919" s="44">
        <f>AP2883*Settings!$C$13*(AP2811+AP2829+AP2820*AP$201+AP2838*$D2919)</f>
        <v/>
      </c>
      <c r="AQ2919" s="44">
        <f>AQ2883*Settings!$C$13*(AQ2811+AQ2829+AQ2820*AQ$201+AQ2838*$D2919)</f>
        <v/>
      </c>
      <c r="AR2919" s="44">
        <f>AR2883*Settings!$C$13*(AR2811+AR2829+AR2820*AR$201+AR2838*$D2919)</f>
        <v/>
      </c>
      <c r="AS2919" s="44">
        <f>AS2883*Settings!$C$13*(AS2811+AS2829+AS2820*AS$201+AS2838*$D2919)</f>
        <v/>
      </c>
      <c r="AT2919" s="44">
        <f>AT2883*Settings!$C$13*(AT2811+AT2829+AT2820*AT$201+AT2838*$D2919)</f>
        <v/>
      </c>
      <c r="AU2919" s="44">
        <f>AU2883*Settings!$C$13*(AU2811+AU2829+AU2820*AU$201+AU2838*$D2919)</f>
        <v/>
      </c>
      <c r="AV2919" s="44">
        <f>AV2883*Settings!$C$13*(AV2811+AV2829+AV2820*AV$201+AV2838*$D2919)</f>
        <v/>
      </c>
      <c r="AW2919" s="44">
        <f>AW2883*Settings!$C$13*(AW2811+AW2829+AW2820*AW$201+AW2838*$D2919)</f>
        <v/>
      </c>
      <c r="AX2919" s="44">
        <f>AX2883*Settings!$C$13*(AX2811+AX2829+AX2820*AX$201+AX2838*$D2919)</f>
        <v/>
      </c>
      <c r="AY2919" s="44">
        <f>AY2883*Settings!$C$13*(AY2811+AY2829+AY2820*AY$201+AY2838*$D2919)</f>
        <v/>
      </c>
      <c r="AZ2919" s="44">
        <f>AZ2883*Settings!$C$13*(AZ2811+AZ2829+AZ2820*AZ$201+AZ2838*$D2919)</f>
        <v/>
      </c>
      <c r="BA2919" s="57">
        <f>REVENUE(BA2883,Settings!$C$13,NEWREVRATE(BA2811,BA2829,BA2820,BA$201,BA2838,$D2919))</f>
        <v/>
      </c>
    </row>
    <row r="2920" hidden="1" outlineLevel="2">
      <c r="A2920" s="14" t="inlineStr">
        <is>
          <t>rnew</t>
        </is>
      </c>
      <c r="B2920" s="14" t="inlineStr">
        <is>
          <t>bio</t>
        </is>
      </c>
      <c r="C2920" s="14" t="inlineStr">
        <is>
          <t>ftr</t>
        </is>
      </c>
      <c r="D2920" s="35">
        <f>INDEX(Inputs!$V$5:$V$132,MATCH($B2920&amp;"|"&amp;$C2920,Inputs!$A$5:$A$132,0))</f>
        <v/>
      </c>
      <c r="E2920" s="39" t="n"/>
      <c r="F2920" s="39" t="n"/>
      <c r="G2920" s="39" t="n"/>
      <c r="H2920" s="14">
        <f>INDEX(VarLab,MATCH($A2920,VarKey,0))&amp;INDEX(MemLab,MATCH($C2920&amp;"|"&amp;$B2920,MemKey,0))</f>
        <v/>
      </c>
      <c r="I2920" s="14">
        <f>INDEX(VarUnit,MATCH($A2920,VarKey,0))</f>
        <v/>
      </c>
      <c r="J2920" s="14">
        <f>INDEX(VarSrc,MATCH($A2920,VarKey,0))</f>
        <v/>
      </c>
      <c r="K2920" s="11">
        <f>CodePrefix&amp;$A2920&amp;IF($C2920="","","."&amp;$C2920&amp;"."&amp;$B2920)&amp;INDEX(VarEnd,MATCH($A2920,VarKey,0))&amp;K$5</f>
        <v/>
      </c>
      <c r="L2920" s="43">
        <f>L2884*Settings!$C$13*(L2812+L2830+L2821*L$201+L2839*$D2920)</f>
        <v/>
      </c>
      <c r="M2920" s="44">
        <f>M2884*Settings!$C$13*(M2812+M2830+M2821*M$201+M2839*$D2920)</f>
        <v/>
      </c>
      <c r="N2920" s="44">
        <f>N2884*Settings!$C$13*(N2812+N2830+N2821*N$201+N2839*$D2920)</f>
        <v/>
      </c>
      <c r="O2920" s="44">
        <f>O2884*Settings!$C$13*(O2812+O2830+O2821*O$201+O2839*$D2920)</f>
        <v/>
      </c>
      <c r="P2920" s="44">
        <f>P2884*Settings!$C$13*(P2812+P2830+P2821*P$201+P2839*$D2920)</f>
        <v/>
      </c>
      <c r="Q2920" s="44">
        <f>Q2884*Settings!$C$13*(Q2812+Q2830+Q2821*Q$201+Q2839*$D2920)</f>
        <v/>
      </c>
      <c r="R2920" s="44">
        <f>R2884*Settings!$C$13*(R2812+R2830+R2821*R$201+R2839*$D2920)</f>
        <v/>
      </c>
      <c r="S2920" s="44">
        <f>S2884*Settings!$C$13*(S2812+S2830+S2821*S$201+S2839*$D2920)</f>
        <v/>
      </c>
      <c r="T2920" s="44">
        <f>T2884*Settings!$C$13*(T2812+T2830+T2821*T$201+T2839*$D2920)</f>
        <v/>
      </c>
      <c r="U2920" s="44">
        <f>U2884*Settings!$C$13*(U2812+U2830+U2821*U$201+U2839*$D2920)</f>
        <v/>
      </c>
      <c r="V2920" s="44">
        <f>V2884*Settings!$C$13*(V2812+V2830+V2821*V$201+V2839*$D2920)</f>
        <v/>
      </c>
      <c r="W2920" s="44">
        <f>W2884*Settings!$C$13*(W2812+W2830+W2821*W$201+W2839*$D2920)</f>
        <v/>
      </c>
      <c r="X2920" s="44">
        <f>X2884*Settings!$C$13*(X2812+X2830+X2821*X$201+X2839*$D2920)</f>
        <v/>
      </c>
      <c r="Y2920" s="44">
        <f>Y2884*Settings!$C$13*(Y2812+Y2830+Y2821*Y$201+Y2839*$D2920)</f>
        <v/>
      </c>
      <c r="Z2920" s="44">
        <f>Z2884*Settings!$C$13*(Z2812+Z2830+Z2821*Z$201+Z2839*$D2920)</f>
        <v/>
      </c>
      <c r="AA2920" s="44">
        <f>AA2884*Settings!$C$13*(AA2812+AA2830+AA2821*AA$201+AA2839*$D2920)</f>
        <v/>
      </c>
      <c r="AB2920" s="44">
        <f>AB2884*Settings!$C$13*(AB2812+AB2830+AB2821*AB$201+AB2839*$D2920)</f>
        <v/>
      </c>
      <c r="AC2920" s="44">
        <f>AC2884*Settings!$C$13*(AC2812+AC2830+AC2821*AC$201+AC2839*$D2920)</f>
        <v/>
      </c>
      <c r="AD2920" s="44">
        <f>AD2884*Settings!$C$13*(AD2812+AD2830+AD2821*AD$201+AD2839*$D2920)</f>
        <v/>
      </c>
      <c r="AE2920" s="57">
        <f>REVENUE(AE2884,Settings!$C$13,NEWREVRATE(AE2812,AE2830,AE2821,AE$201,AE2839,$D2920))</f>
        <v/>
      </c>
      <c r="AG2920" s="11">
        <f>CodePrefix&amp;$A2920&amp;IF($C2920="","","."&amp;$C2920&amp;"."&amp;$B2920)&amp;INDEX(VarEnd,MATCH($A2920,VarKey,0))&amp;AG$5</f>
        <v/>
      </c>
      <c r="AH2920" s="43">
        <f>AH2884*Settings!$C$13*(AH2812+AH2830+AH2821*AH$201+AH2839*$D2920)</f>
        <v/>
      </c>
      <c r="AI2920" s="44">
        <f>AI2884*Settings!$C$13*(AI2812+AI2830+AI2821*AI$201+AI2839*$D2920)</f>
        <v/>
      </c>
      <c r="AJ2920" s="44">
        <f>AJ2884*Settings!$C$13*(AJ2812+AJ2830+AJ2821*AJ$201+AJ2839*$D2920)</f>
        <v/>
      </c>
      <c r="AK2920" s="44">
        <f>AK2884*Settings!$C$13*(AK2812+AK2830+AK2821*AK$201+AK2839*$D2920)</f>
        <v/>
      </c>
      <c r="AL2920" s="44">
        <f>AL2884*Settings!$C$13*(AL2812+AL2830+AL2821*AL$201+AL2839*$D2920)</f>
        <v/>
      </c>
      <c r="AM2920" s="44">
        <f>AM2884*Settings!$C$13*(AM2812+AM2830+AM2821*AM$201+AM2839*$D2920)</f>
        <v/>
      </c>
      <c r="AN2920" s="44">
        <f>AN2884*Settings!$C$13*(AN2812+AN2830+AN2821*AN$201+AN2839*$D2920)</f>
        <v/>
      </c>
      <c r="AO2920" s="44">
        <f>AO2884*Settings!$C$13*(AO2812+AO2830+AO2821*AO$201+AO2839*$D2920)</f>
        <v/>
      </c>
      <c r="AP2920" s="44">
        <f>AP2884*Settings!$C$13*(AP2812+AP2830+AP2821*AP$201+AP2839*$D2920)</f>
        <v/>
      </c>
      <c r="AQ2920" s="44">
        <f>AQ2884*Settings!$C$13*(AQ2812+AQ2830+AQ2821*AQ$201+AQ2839*$D2920)</f>
        <v/>
      </c>
      <c r="AR2920" s="44">
        <f>AR2884*Settings!$C$13*(AR2812+AR2830+AR2821*AR$201+AR2839*$D2920)</f>
        <v/>
      </c>
      <c r="AS2920" s="44">
        <f>AS2884*Settings!$C$13*(AS2812+AS2830+AS2821*AS$201+AS2839*$D2920)</f>
        <v/>
      </c>
      <c r="AT2920" s="44">
        <f>AT2884*Settings!$C$13*(AT2812+AT2830+AT2821*AT$201+AT2839*$D2920)</f>
        <v/>
      </c>
      <c r="AU2920" s="44">
        <f>AU2884*Settings!$C$13*(AU2812+AU2830+AU2821*AU$201+AU2839*$D2920)</f>
        <v/>
      </c>
      <c r="AV2920" s="44">
        <f>AV2884*Settings!$C$13*(AV2812+AV2830+AV2821*AV$201+AV2839*$D2920)</f>
        <v/>
      </c>
      <c r="AW2920" s="44">
        <f>AW2884*Settings!$C$13*(AW2812+AW2830+AW2821*AW$201+AW2839*$D2920)</f>
        <v/>
      </c>
      <c r="AX2920" s="44">
        <f>AX2884*Settings!$C$13*(AX2812+AX2830+AX2821*AX$201+AX2839*$D2920)</f>
        <v/>
      </c>
      <c r="AY2920" s="44">
        <f>AY2884*Settings!$C$13*(AY2812+AY2830+AY2821*AY$201+AY2839*$D2920)</f>
        <v/>
      </c>
      <c r="AZ2920" s="44">
        <f>AZ2884*Settings!$C$13*(AZ2812+AZ2830+AZ2821*AZ$201+AZ2839*$D2920)</f>
        <v/>
      </c>
      <c r="BA2920" s="57">
        <f>REVENUE(BA2884,Settings!$C$13,NEWREVRATE(BA2812,BA2830,BA2821,BA$201,BA2839,$D2920))</f>
        <v/>
      </c>
    </row>
    <row r="2921" hidden="1" outlineLevel="2"/>
    <row r="2922" hidden="1" outlineLevel="2">
      <c r="A2922" s="14" t="inlineStr">
        <is>
          <t>rxcp</t>
        </is>
      </c>
      <c r="B2922" s="14" t="inlineStr">
        <is>
          <t>coa</t>
        </is>
      </c>
      <c r="C2922" s="14" t="inlineStr">
        <is>
          <t>ftr</t>
        </is>
      </c>
      <c r="D2922" s="39" t="n"/>
      <c r="E2922" s="39" t="n"/>
      <c r="F2922" s="39" t="n"/>
      <c r="G2922" s="39" t="n"/>
      <c r="H2922" s="14">
        <f>INDEX(VarLab,MATCH($A2922,VarKey,0))&amp;INDEX(MemLab,MATCH($C2922&amp;"|"&amp;$B2922,MemKey,0))</f>
        <v/>
      </c>
      <c r="I2922" s="14">
        <f>INDEX(VarUnit,MATCH($A2922,VarKey,0))</f>
        <v/>
      </c>
      <c r="J2922" s="14">
        <f>INDEX(VarSrc,MATCH($A2922,VarKey,0))</f>
        <v/>
      </c>
      <c r="K2922" s="11">
        <f>CodePrefix&amp;$A2922&amp;IF($C2922="","","."&amp;$C2922&amp;"."&amp;$B2922)&amp;INDEX(VarEnd,MATCH($A2922,VarKey,0))&amp;K$5</f>
        <v/>
      </c>
      <c r="L2922" s="43">
        <f>L2877*Settings!$C$13*(L2841)</f>
        <v/>
      </c>
      <c r="M2922" s="44">
        <f>M2877*Settings!$C$13*(M2841)</f>
        <v/>
      </c>
      <c r="N2922" s="44">
        <f>N2877*Settings!$C$13*(N2841)</f>
        <v/>
      </c>
      <c r="O2922" s="44">
        <f>O2877*Settings!$C$13*(O2841)</f>
        <v/>
      </c>
      <c r="P2922" s="44">
        <f>P2877*Settings!$C$13*(P2841)</f>
        <v/>
      </c>
      <c r="Q2922" s="44">
        <f>Q2877*Settings!$C$13*(Q2841)</f>
        <v/>
      </c>
      <c r="R2922" s="44">
        <f>R2877*Settings!$C$13*(R2841)</f>
        <v/>
      </c>
      <c r="S2922" s="44">
        <f>S2877*Settings!$C$13*(S2841)</f>
        <v/>
      </c>
      <c r="T2922" s="44">
        <f>T2877*Settings!$C$13*(T2841)</f>
        <v/>
      </c>
      <c r="U2922" s="44">
        <f>U2877*Settings!$C$13*(U2841)</f>
        <v/>
      </c>
      <c r="V2922" s="44">
        <f>V2877*Settings!$C$13*(V2841)</f>
        <v/>
      </c>
      <c r="W2922" s="44">
        <f>W2877*Settings!$C$13*(W2841)</f>
        <v/>
      </c>
      <c r="X2922" s="44">
        <f>X2877*Settings!$C$13*(X2841)</f>
        <v/>
      </c>
      <c r="Y2922" s="44">
        <f>Y2877*Settings!$C$13*(Y2841)</f>
        <v/>
      </c>
      <c r="Z2922" s="44">
        <f>Z2877*Settings!$C$13*(Z2841)</f>
        <v/>
      </c>
      <c r="AA2922" s="44">
        <f>AA2877*Settings!$C$13*(AA2841)</f>
        <v/>
      </c>
      <c r="AB2922" s="44">
        <f>AB2877*Settings!$C$13*(AB2841)</f>
        <v/>
      </c>
      <c r="AC2922" s="44">
        <f>AC2877*Settings!$C$13*(AC2841)</f>
        <v/>
      </c>
      <c r="AD2922" s="44">
        <f>AD2877*Settings!$C$13*(AD2841)</f>
        <v/>
      </c>
      <c r="AE2922" s="57">
        <f>REVENUE(AE2877,Settings!$C$13,AE2841)</f>
        <v/>
      </c>
      <c r="AG2922" s="11">
        <f>CodePrefix&amp;$A2922&amp;IF($C2922="","","."&amp;$C2922&amp;"."&amp;$B2922)&amp;INDEX(VarEnd,MATCH($A2922,VarKey,0))&amp;AG$5</f>
        <v/>
      </c>
      <c r="AH2922" s="43">
        <f>AH2877*Settings!$C$13*(AH2841)</f>
        <v/>
      </c>
      <c r="AI2922" s="44">
        <f>AI2877*Settings!$C$13*(AI2841)</f>
        <v/>
      </c>
      <c r="AJ2922" s="44">
        <f>AJ2877*Settings!$C$13*(AJ2841)</f>
        <v/>
      </c>
      <c r="AK2922" s="44">
        <f>AK2877*Settings!$C$13*(AK2841)</f>
        <v/>
      </c>
      <c r="AL2922" s="44">
        <f>AL2877*Settings!$C$13*(AL2841)</f>
        <v/>
      </c>
      <c r="AM2922" s="44">
        <f>AM2877*Settings!$C$13*(AM2841)</f>
        <v/>
      </c>
      <c r="AN2922" s="44">
        <f>AN2877*Settings!$C$13*(AN2841)</f>
        <v/>
      </c>
      <c r="AO2922" s="44">
        <f>AO2877*Settings!$C$13*(AO2841)</f>
        <v/>
      </c>
      <c r="AP2922" s="44">
        <f>AP2877*Settings!$C$13*(AP2841)</f>
        <v/>
      </c>
      <c r="AQ2922" s="44">
        <f>AQ2877*Settings!$C$13*(AQ2841)</f>
        <v/>
      </c>
      <c r="AR2922" s="44">
        <f>AR2877*Settings!$C$13*(AR2841)</f>
        <v/>
      </c>
      <c r="AS2922" s="44">
        <f>AS2877*Settings!$C$13*(AS2841)</f>
        <v/>
      </c>
      <c r="AT2922" s="44">
        <f>AT2877*Settings!$C$13*(AT2841)</f>
        <v/>
      </c>
      <c r="AU2922" s="44">
        <f>AU2877*Settings!$C$13*(AU2841)</f>
        <v/>
      </c>
      <c r="AV2922" s="44">
        <f>AV2877*Settings!$C$13*(AV2841)</f>
        <v/>
      </c>
      <c r="AW2922" s="44">
        <f>AW2877*Settings!$C$13*(AW2841)</f>
        <v/>
      </c>
      <c r="AX2922" s="44">
        <f>AX2877*Settings!$C$13*(AX2841)</f>
        <v/>
      </c>
      <c r="AY2922" s="44">
        <f>AY2877*Settings!$C$13*(AY2841)</f>
        <v/>
      </c>
      <c r="AZ2922" s="44">
        <f>AZ2877*Settings!$C$13*(AZ2841)</f>
        <v/>
      </c>
      <c r="BA2922" s="57">
        <f>REVENUE(BA2877,Settings!$C$13,BA2841)</f>
        <v/>
      </c>
    </row>
    <row r="2923" hidden="1" outlineLevel="2">
      <c r="A2923" s="14" t="inlineStr">
        <is>
          <t>rxcp</t>
        </is>
      </c>
      <c r="B2923" s="14" t="inlineStr">
        <is>
          <t>nga</t>
        </is>
      </c>
      <c r="C2923" s="14" t="inlineStr">
        <is>
          <t>ftr</t>
        </is>
      </c>
      <c r="D2923" s="39" t="n"/>
      <c r="E2923" s="39" t="n"/>
      <c r="F2923" s="39" t="n"/>
      <c r="G2923" s="39" t="n"/>
      <c r="H2923" s="14">
        <f>INDEX(VarLab,MATCH($A2923,VarKey,0))&amp;INDEX(MemLab,MATCH($C2923&amp;"|"&amp;$B2923,MemKey,0))</f>
        <v/>
      </c>
      <c r="I2923" s="14">
        <f>INDEX(VarUnit,MATCH($A2923,VarKey,0))</f>
        <v/>
      </c>
      <c r="J2923" s="14">
        <f>INDEX(VarSrc,MATCH($A2923,VarKey,0))</f>
        <v/>
      </c>
      <c r="K2923" s="11">
        <f>CodePrefix&amp;$A2923&amp;IF($C2923="","","."&amp;$C2923&amp;"."&amp;$B2923)&amp;INDEX(VarEnd,MATCH($A2923,VarKey,0))&amp;K$5</f>
        <v/>
      </c>
      <c r="L2923" s="43">
        <f>L2878*Settings!$C$13*(L2842)</f>
        <v/>
      </c>
      <c r="M2923" s="44">
        <f>M2878*Settings!$C$13*(M2842)</f>
        <v/>
      </c>
      <c r="N2923" s="44">
        <f>N2878*Settings!$C$13*(N2842)</f>
        <v/>
      </c>
      <c r="O2923" s="44">
        <f>O2878*Settings!$C$13*(O2842)</f>
        <v/>
      </c>
      <c r="P2923" s="44">
        <f>P2878*Settings!$C$13*(P2842)</f>
        <v/>
      </c>
      <c r="Q2923" s="44">
        <f>Q2878*Settings!$C$13*(Q2842)</f>
        <v/>
      </c>
      <c r="R2923" s="44">
        <f>R2878*Settings!$C$13*(R2842)</f>
        <v/>
      </c>
      <c r="S2923" s="44">
        <f>S2878*Settings!$C$13*(S2842)</f>
        <v/>
      </c>
      <c r="T2923" s="44">
        <f>T2878*Settings!$C$13*(T2842)</f>
        <v/>
      </c>
      <c r="U2923" s="44">
        <f>U2878*Settings!$C$13*(U2842)</f>
        <v/>
      </c>
      <c r="V2923" s="44">
        <f>V2878*Settings!$C$13*(V2842)</f>
        <v/>
      </c>
      <c r="W2923" s="44">
        <f>W2878*Settings!$C$13*(W2842)</f>
        <v/>
      </c>
      <c r="X2923" s="44">
        <f>X2878*Settings!$C$13*(X2842)</f>
        <v/>
      </c>
      <c r="Y2923" s="44">
        <f>Y2878*Settings!$C$13*(Y2842)</f>
        <v/>
      </c>
      <c r="Z2923" s="44">
        <f>Z2878*Settings!$C$13*(Z2842)</f>
        <v/>
      </c>
      <c r="AA2923" s="44">
        <f>AA2878*Settings!$C$13*(AA2842)</f>
        <v/>
      </c>
      <c r="AB2923" s="44">
        <f>AB2878*Settings!$C$13*(AB2842)</f>
        <v/>
      </c>
      <c r="AC2923" s="44">
        <f>AC2878*Settings!$C$13*(AC2842)</f>
        <v/>
      </c>
      <c r="AD2923" s="44">
        <f>AD2878*Settings!$C$13*(AD2842)</f>
        <v/>
      </c>
      <c r="AE2923" s="57">
        <f>REVENUE(AE2878,Settings!$C$13,AE2842)</f>
        <v/>
      </c>
      <c r="AG2923" s="11">
        <f>CodePrefix&amp;$A2923&amp;IF($C2923="","","."&amp;$C2923&amp;"."&amp;$B2923)&amp;INDEX(VarEnd,MATCH($A2923,VarKey,0))&amp;AG$5</f>
        <v/>
      </c>
      <c r="AH2923" s="43">
        <f>AH2878*Settings!$C$13*(AH2842)</f>
        <v/>
      </c>
      <c r="AI2923" s="44">
        <f>AI2878*Settings!$C$13*(AI2842)</f>
        <v/>
      </c>
      <c r="AJ2923" s="44">
        <f>AJ2878*Settings!$C$13*(AJ2842)</f>
        <v/>
      </c>
      <c r="AK2923" s="44">
        <f>AK2878*Settings!$C$13*(AK2842)</f>
        <v/>
      </c>
      <c r="AL2923" s="44">
        <f>AL2878*Settings!$C$13*(AL2842)</f>
        <v/>
      </c>
      <c r="AM2923" s="44">
        <f>AM2878*Settings!$C$13*(AM2842)</f>
        <v/>
      </c>
      <c r="AN2923" s="44">
        <f>AN2878*Settings!$C$13*(AN2842)</f>
        <v/>
      </c>
      <c r="AO2923" s="44">
        <f>AO2878*Settings!$C$13*(AO2842)</f>
        <v/>
      </c>
      <c r="AP2923" s="44">
        <f>AP2878*Settings!$C$13*(AP2842)</f>
        <v/>
      </c>
      <c r="AQ2923" s="44">
        <f>AQ2878*Settings!$C$13*(AQ2842)</f>
        <v/>
      </c>
      <c r="AR2923" s="44">
        <f>AR2878*Settings!$C$13*(AR2842)</f>
        <v/>
      </c>
      <c r="AS2923" s="44">
        <f>AS2878*Settings!$C$13*(AS2842)</f>
        <v/>
      </c>
      <c r="AT2923" s="44">
        <f>AT2878*Settings!$C$13*(AT2842)</f>
        <v/>
      </c>
      <c r="AU2923" s="44">
        <f>AU2878*Settings!$C$13*(AU2842)</f>
        <v/>
      </c>
      <c r="AV2923" s="44">
        <f>AV2878*Settings!$C$13*(AV2842)</f>
        <v/>
      </c>
      <c r="AW2923" s="44">
        <f>AW2878*Settings!$C$13*(AW2842)</f>
        <v/>
      </c>
      <c r="AX2923" s="44">
        <f>AX2878*Settings!$C$13*(AX2842)</f>
        <v/>
      </c>
      <c r="AY2923" s="44">
        <f>AY2878*Settings!$C$13*(AY2842)</f>
        <v/>
      </c>
      <c r="AZ2923" s="44">
        <f>AZ2878*Settings!$C$13*(AZ2842)</f>
        <v/>
      </c>
      <c r="BA2923" s="57">
        <f>REVENUE(BA2878,Settings!$C$13,BA2842)</f>
        <v/>
      </c>
    </row>
    <row r="2924" hidden="1" outlineLevel="2">
      <c r="A2924" s="14" t="inlineStr">
        <is>
          <t>rxcp</t>
        </is>
      </c>
      <c r="B2924" s="14" t="inlineStr">
        <is>
          <t>gso</t>
        </is>
      </c>
      <c r="C2924" s="14" t="inlineStr">
        <is>
          <t>ftr</t>
        </is>
      </c>
      <c r="D2924" s="39" t="n"/>
      <c r="E2924" s="39" t="n"/>
      <c r="F2924" s="39" t="n"/>
      <c r="G2924" s="39" t="n"/>
      <c r="H2924" s="14">
        <f>INDEX(VarLab,MATCH($A2924,VarKey,0))&amp;INDEX(MemLab,MATCH($C2924&amp;"|"&amp;$B2924,MemKey,0))</f>
        <v/>
      </c>
      <c r="I2924" s="14">
        <f>INDEX(VarUnit,MATCH($A2924,VarKey,0))</f>
        <v/>
      </c>
      <c r="J2924" s="14">
        <f>INDEX(VarSrc,MATCH($A2924,VarKey,0))</f>
        <v/>
      </c>
      <c r="K2924" s="11">
        <f>CodePrefix&amp;$A2924&amp;IF($C2924="","","."&amp;$C2924&amp;"."&amp;$B2924)&amp;INDEX(VarEnd,MATCH($A2924,VarKey,0))&amp;K$5</f>
        <v/>
      </c>
      <c r="L2924" s="43">
        <f>L2879*Settings!$C$13*(L2843)</f>
        <v/>
      </c>
      <c r="M2924" s="44">
        <f>M2879*Settings!$C$13*(M2843)</f>
        <v/>
      </c>
      <c r="N2924" s="44">
        <f>N2879*Settings!$C$13*(N2843)</f>
        <v/>
      </c>
      <c r="O2924" s="44">
        <f>O2879*Settings!$C$13*(O2843)</f>
        <v/>
      </c>
      <c r="P2924" s="44">
        <f>P2879*Settings!$C$13*(P2843)</f>
        <v/>
      </c>
      <c r="Q2924" s="44">
        <f>Q2879*Settings!$C$13*(Q2843)</f>
        <v/>
      </c>
      <c r="R2924" s="44">
        <f>R2879*Settings!$C$13*(R2843)</f>
        <v/>
      </c>
      <c r="S2924" s="44">
        <f>S2879*Settings!$C$13*(S2843)</f>
        <v/>
      </c>
      <c r="T2924" s="44">
        <f>T2879*Settings!$C$13*(T2843)</f>
        <v/>
      </c>
      <c r="U2924" s="44">
        <f>U2879*Settings!$C$13*(U2843)</f>
        <v/>
      </c>
      <c r="V2924" s="44">
        <f>V2879*Settings!$C$13*(V2843)</f>
        <v/>
      </c>
      <c r="W2924" s="44">
        <f>W2879*Settings!$C$13*(W2843)</f>
        <v/>
      </c>
      <c r="X2924" s="44">
        <f>X2879*Settings!$C$13*(X2843)</f>
        <v/>
      </c>
      <c r="Y2924" s="44">
        <f>Y2879*Settings!$C$13*(Y2843)</f>
        <v/>
      </c>
      <c r="Z2924" s="44">
        <f>Z2879*Settings!$C$13*(Z2843)</f>
        <v/>
      </c>
      <c r="AA2924" s="44">
        <f>AA2879*Settings!$C$13*(AA2843)</f>
        <v/>
      </c>
      <c r="AB2924" s="44">
        <f>AB2879*Settings!$C$13*(AB2843)</f>
        <v/>
      </c>
      <c r="AC2924" s="44">
        <f>AC2879*Settings!$C$13*(AC2843)</f>
        <v/>
      </c>
      <c r="AD2924" s="44">
        <f>AD2879*Settings!$C$13*(AD2843)</f>
        <v/>
      </c>
      <c r="AE2924" s="57">
        <f>REVENUE(AE2879,Settings!$C$13,AE2843)</f>
        <v/>
      </c>
      <c r="AG2924" s="11">
        <f>CodePrefix&amp;$A2924&amp;IF($C2924="","","."&amp;$C2924&amp;"."&amp;$B2924)&amp;INDEX(VarEnd,MATCH($A2924,VarKey,0))&amp;AG$5</f>
        <v/>
      </c>
      <c r="AH2924" s="43">
        <f>AH2879*Settings!$C$13*(AH2843)</f>
        <v/>
      </c>
      <c r="AI2924" s="44">
        <f>AI2879*Settings!$C$13*(AI2843)</f>
        <v/>
      </c>
      <c r="AJ2924" s="44">
        <f>AJ2879*Settings!$C$13*(AJ2843)</f>
        <v/>
      </c>
      <c r="AK2924" s="44">
        <f>AK2879*Settings!$C$13*(AK2843)</f>
        <v/>
      </c>
      <c r="AL2924" s="44">
        <f>AL2879*Settings!$C$13*(AL2843)</f>
        <v/>
      </c>
      <c r="AM2924" s="44">
        <f>AM2879*Settings!$C$13*(AM2843)</f>
        <v/>
      </c>
      <c r="AN2924" s="44">
        <f>AN2879*Settings!$C$13*(AN2843)</f>
        <v/>
      </c>
      <c r="AO2924" s="44">
        <f>AO2879*Settings!$C$13*(AO2843)</f>
        <v/>
      </c>
      <c r="AP2924" s="44">
        <f>AP2879*Settings!$C$13*(AP2843)</f>
        <v/>
      </c>
      <c r="AQ2924" s="44">
        <f>AQ2879*Settings!$C$13*(AQ2843)</f>
        <v/>
      </c>
      <c r="AR2924" s="44">
        <f>AR2879*Settings!$C$13*(AR2843)</f>
        <v/>
      </c>
      <c r="AS2924" s="44">
        <f>AS2879*Settings!$C$13*(AS2843)</f>
        <v/>
      </c>
      <c r="AT2924" s="44">
        <f>AT2879*Settings!$C$13*(AT2843)</f>
        <v/>
      </c>
      <c r="AU2924" s="44">
        <f>AU2879*Settings!$C$13*(AU2843)</f>
        <v/>
      </c>
      <c r="AV2924" s="44">
        <f>AV2879*Settings!$C$13*(AV2843)</f>
        <v/>
      </c>
      <c r="AW2924" s="44">
        <f>AW2879*Settings!$C$13*(AW2843)</f>
        <v/>
      </c>
      <c r="AX2924" s="44">
        <f>AX2879*Settings!$C$13*(AX2843)</f>
        <v/>
      </c>
      <c r="AY2924" s="44">
        <f>AY2879*Settings!$C$13*(AY2843)</f>
        <v/>
      </c>
      <c r="AZ2924" s="44">
        <f>AZ2879*Settings!$C$13*(AZ2843)</f>
        <v/>
      </c>
      <c r="BA2924" s="57">
        <f>REVENUE(BA2879,Settings!$C$13,BA2843)</f>
        <v/>
      </c>
    </row>
    <row r="2925" hidden="1" outlineLevel="2">
      <c r="A2925" s="14" t="inlineStr">
        <is>
          <t>rxcp</t>
        </is>
      </c>
      <c r="B2925" s="14" t="inlineStr">
        <is>
          <t>die</t>
        </is>
      </c>
      <c r="C2925" s="14" t="inlineStr">
        <is>
          <t>ftr</t>
        </is>
      </c>
      <c r="D2925" s="39" t="n"/>
      <c r="E2925" s="39" t="n"/>
      <c r="F2925" s="39" t="n"/>
      <c r="G2925" s="39" t="n"/>
      <c r="H2925" s="14">
        <f>INDEX(VarLab,MATCH($A2925,VarKey,0))&amp;INDEX(MemLab,MATCH($C2925&amp;"|"&amp;$B2925,MemKey,0))</f>
        <v/>
      </c>
      <c r="I2925" s="14">
        <f>INDEX(VarUnit,MATCH($A2925,VarKey,0))</f>
        <v/>
      </c>
      <c r="J2925" s="14">
        <f>INDEX(VarSrc,MATCH($A2925,VarKey,0))</f>
        <v/>
      </c>
      <c r="K2925" s="11">
        <f>CodePrefix&amp;$A2925&amp;IF($C2925="","","."&amp;$C2925&amp;"."&amp;$B2925)&amp;INDEX(VarEnd,MATCH($A2925,VarKey,0))&amp;K$5</f>
        <v/>
      </c>
      <c r="L2925" s="43">
        <f>L2880*Settings!$C$13*(L2844)</f>
        <v/>
      </c>
      <c r="M2925" s="44">
        <f>M2880*Settings!$C$13*(M2844)</f>
        <v/>
      </c>
      <c r="N2925" s="44">
        <f>N2880*Settings!$C$13*(N2844)</f>
        <v/>
      </c>
      <c r="O2925" s="44">
        <f>O2880*Settings!$C$13*(O2844)</f>
        <v/>
      </c>
      <c r="P2925" s="44">
        <f>P2880*Settings!$C$13*(P2844)</f>
        <v/>
      </c>
      <c r="Q2925" s="44">
        <f>Q2880*Settings!$C$13*(Q2844)</f>
        <v/>
      </c>
      <c r="R2925" s="44">
        <f>R2880*Settings!$C$13*(R2844)</f>
        <v/>
      </c>
      <c r="S2925" s="44">
        <f>S2880*Settings!$C$13*(S2844)</f>
        <v/>
      </c>
      <c r="T2925" s="44">
        <f>T2880*Settings!$C$13*(T2844)</f>
        <v/>
      </c>
      <c r="U2925" s="44">
        <f>U2880*Settings!$C$13*(U2844)</f>
        <v/>
      </c>
      <c r="V2925" s="44">
        <f>V2880*Settings!$C$13*(V2844)</f>
        <v/>
      </c>
      <c r="W2925" s="44">
        <f>W2880*Settings!$C$13*(W2844)</f>
        <v/>
      </c>
      <c r="X2925" s="44">
        <f>X2880*Settings!$C$13*(X2844)</f>
        <v/>
      </c>
      <c r="Y2925" s="44">
        <f>Y2880*Settings!$C$13*(Y2844)</f>
        <v/>
      </c>
      <c r="Z2925" s="44">
        <f>Z2880*Settings!$C$13*(Z2844)</f>
        <v/>
      </c>
      <c r="AA2925" s="44">
        <f>AA2880*Settings!$C$13*(AA2844)</f>
        <v/>
      </c>
      <c r="AB2925" s="44">
        <f>AB2880*Settings!$C$13*(AB2844)</f>
        <v/>
      </c>
      <c r="AC2925" s="44">
        <f>AC2880*Settings!$C$13*(AC2844)</f>
        <v/>
      </c>
      <c r="AD2925" s="44">
        <f>AD2880*Settings!$C$13*(AD2844)</f>
        <v/>
      </c>
      <c r="AE2925" s="57">
        <f>REVENUE(AE2880,Settings!$C$13,AE2844)</f>
        <v/>
      </c>
      <c r="AG2925" s="11">
        <f>CodePrefix&amp;$A2925&amp;IF($C2925="","","."&amp;$C2925&amp;"."&amp;$B2925)&amp;INDEX(VarEnd,MATCH($A2925,VarKey,0))&amp;AG$5</f>
        <v/>
      </c>
      <c r="AH2925" s="43">
        <f>AH2880*Settings!$C$13*(AH2844)</f>
        <v/>
      </c>
      <c r="AI2925" s="44">
        <f>AI2880*Settings!$C$13*(AI2844)</f>
        <v/>
      </c>
      <c r="AJ2925" s="44">
        <f>AJ2880*Settings!$C$13*(AJ2844)</f>
        <v/>
      </c>
      <c r="AK2925" s="44">
        <f>AK2880*Settings!$C$13*(AK2844)</f>
        <v/>
      </c>
      <c r="AL2925" s="44">
        <f>AL2880*Settings!$C$13*(AL2844)</f>
        <v/>
      </c>
      <c r="AM2925" s="44">
        <f>AM2880*Settings!$C$13*(AM2844)</f>
        <v/>
      </c>
      <c r="AN2925" s="44">
        <f>AN2880*Settings!$C$13*(AN2844)</f>
        <v/>
      </c>
      <c r="AO2925" s="44">
        <f>AO2880*Settings!$C$13*(AO2844)</f>
        <v/>
      </c>
      <c r="AP2925" s="44">
        <f>AP2880*Settings!$C$13*(AP2844)</f>
        <v/>
      </c>
      <c r="AQ2925" s="44">
        <f>AQ2880*Settings!$C$13*(AQ2844)</f>
        <v/>
      </c>
      <c r="AR2925" s="44">
        <f>AR2880*Settings!$C$13*(AR2844)</f>
        <v/>
      </c>
      <c r="AS2925" s="44">
        <f>AS2880*Settings!$C$13*(AS2844)</f>
        <v/>
      </c>
      <c r="AT2925" s="44">
        <f>AT2880*Settings!$C$13*(AT2844)</f>
        <v/>
      </c>
      <c r="AU2925" s="44">
        <f>AU2880*Settings!$C$13*(AU2844)</f>
        <v/>
      </c>
      <c r="AV2925" s="44">
        <f>AV2880*Settings!$C$13*(AV2844)</f>
        <v/>
      </c>
      <c r="AW2925" s="44">
        <f>AW2880*Settings!$C$13*(AW2844)</f>
        <v/>
      </c>
      <c r="AX2925" s="44">
        <f>AX2880*Settings!$C$13*(AX2844)</f>
        <v/>
      </c>
      <c r="AY2925" s="44">
        <f>AY2880*Settings!$C$13*(AY2844)</f>
        <v/>
      </c>
      <c r="AZ2925" s="44">
        <f>AZ2880*Settings!$C$13*(AZ2844)</f>
        <v/>
      </c>
      <c r="BA2925" s="57">
        <f>REVENUE(BA2880,Settings!$C$13,BA2844)</f>
        <v/>
      </c>
    </row>
    <row r="2926" hidden="1" outlineLevel="2">
      <c r="A2926" s="14" t="inlineStr">
        <is>
          <t>rxcp</t>
        </is>
      </c>
      <c r="B2926" s="14" t="inlineStr">
        <is>
          <t>lpg</t>
        </is>
      </c>
      <c r="C2926" s="14" t="inlineStr">
        <is>
          <t>ftr</t>
        </is>
      </c>
      <c r="D2926" s="39" t="n"/>
      <c r="E2926" s="39" t="n"/>
      <c r="F2926" s="39" t="n"/>
      <c r="G2926" s="39" t="n"/>
      <c r="H2926" s="14">
        <f>INDEX(VarLab,MATCH($A2926,VarKey,0))&amp;INDEX(MemLab,MATCH($C2926&amp;"|"&amp;$B2926,MemKey,0))</f>
        <v/>
      </c>
      <c r="I2926" s="14">
        <f>INDEX(VarUnit,MATCH($A2926,VarKey,0))</f>
        <v/>
      </c>
      <c r="J2926" s="14">
        <f>INDEX(VarSrc,MATCH($A2926,VarKey,0))</f>
        <v/>
      </c>
      <c r="K2926" s="11">
        <f>CodePrefix&amp;$A2926&amp;IF($C2926="","","."&amp;$C2926&amp;"."&amp;$B2926)&amp;INDEX(VarEnd,MATCH($A2926,VarKey,0))&amp;K$5</f>
        <v/>
      </c>
      <c r="L2926" s="43">
        <f>L2881*Settings!$C$13*(L2845)</f>
        <v/>
      </c>
      <c r="M2926" s="44">
        <f>M2881*Settings!$C$13*(M2845)</f>
        <v/>
      </c>
      <c r="N2926" s="44">
        <f>N2881*Settings!$C$13*(N2845)</f>
        <v/>
      </c>
      <c r="O2926" s="44">
        <f>O2881*Settings!$C$13*(O2845)</f>
        <v/>
      </c>
      <c r="P2926" s="44">
        <f>P2881*Settings!$C$13*(P2845)</f>
        <v/>
      </c>
      <c r="Q2926" s="44">
        <f>Q2881*Settings!$C$13*(Q2845)</f>
        <v/>
      </c>
      <c r="R2926" s="44">
        <f>R2881*Settings!$C$13*(R2845)</f>
        <v/>
      </c>
      <c r="S2926" s="44">
        <f>S2881*Settings!$C$13*(S2845)</f>
        <v/>
      </c>
      <c r="T2926" s="44">
        <f>T2881*Settings!$C$13*(T2845)</f>
        <v/>
      </c>
      <c r="U2926" s="44">
        <f>U2881*Settings!$C$13*(U2845)</f>
        <v/>
      </c>
      <c r="V2926" s="44">
        <f>V2881*Settings!$C$13*(V2845)</f>
        <v/>
      </c>
      <c r="W2926" s="44">
        <f>W2881*Settings!$C$13*(W2845)</f>
        <v/>
      </c>
      <c r="X2926" s="44">
        <f>X2881*Settings!$C$13*(X2845)</f>
        <v/>
      </c>
      <c r="Y2926" s="44">
        <f>Y2881*Settings!$C$13*(Y2845)</f>
        <v/>
      </c>
      <c r="Z2926" s="44">
        <f>Z2881*Settings!$C$13*(Z2845)</f>
        <v/>
      </c>
      <c r="AA2926" s="44">
        <f>AA2881*Settings!$C$13*(AA2845)</f>
        <v/>
      </c>
      <c r="AB2926" s="44">
        <f>AB2881*Settings!$C$13*(AB2845)</f>
        <v/>
      </c>
      <c r="AC2926" s="44">
        <f>AC2881*Settings!$C$13*(AC2845)</f>
        <v/>
      </c>
      <c r="AD2926" s="44">
        <f>AD2881*Settings!$C$13*(AD2845)</f>
        <v/>
      </c>
      <c r="AE2926" s="57">
        <f>REVENUE(AE2881,Settings!$C$13,AE2845)</f>
        <v/>
      </c>
      <c r="AG2926" s="11">
        <f>CodePrefix&amp;$A2926&amp;IF($C2926="","","."&amp;$C2926&amp;"."&amp;$B2926)&amp;INDEX(VarEnd,MATCH($A2926,VarKey,0))&amp;AG$5</f>
        <v/>
      </c>
      <c r="AH2926" s="43">
        <f>AH2881*Settings!$C$13*(AH2845)</f>
        <v/>
      </c>
      <c r="AI2926" s="44">
        <f>AI2881*Settings!$C$13*(AI2845)</f>
        <v/>
      </c>
      <c r="AJ2926" s="44">
        <f>AJ2881*Settings!$C$13*(AJ2845)</f>
        <v/>
      </c>
      <c r="AK2926" s="44">
        <f>AK2881*Settings!$C$13*(AK2845)</f>
        <v/>
      </c>
      <c r="AL2926" s="44">
        <f>AL2881*Settings!$C$13*(AL2845)</f>
        <v/>
      </c>
      <c r="AM2926" s="44">
        <f>AM2881*Settings!$C$13*(AM2845)</f>
        <v/>
      </c>
      <c r="AN2926" s="44">
        <f>AN2881*Settings!$C$13*(AN2845)</f>
        <v/>
      </c>
      <c r="AO2926" s="44">
        <f>AO2881*Settings!$C$13*(AO2845)</f>
        <v/>
      </c>
      <c r="AP2926" s="44">
        <f>AP2881*Settings!$C$13*(AP2845)</f>
        <v/>
      </c>
      <c r="AQ2926" s="44">
        <f>AQ2881*Settings!$C$13*(AQ2845)</f>
        <v/>
      </c>
      <c r="AR2926" s="44">
        <f>AR2881*Settings!$C$13*(AR2845)</f>
        <v/>
      </c>
      <c r="AS2926" s="44">
        <f>AS2881*Settings!$C$13*(AS2845)</f>
        <v/>
      </c>
      <c r="AT2926" s="44">
        <f>AT2881*Settings!$C$13*(AT2845)</f>
        <v/>
      </c>
      <c r="AU2926" s="44">
        <f>AU2881*Settings!$C$13*(AU2845)</f>
        <v/>
      </c>
      <c r="AV2926" s="44">
        <f>AV2881*Settings!$C$13*(AV2845)</f>
        <v/>
      </c>
      <c r="AW2926" s="44">
        <f>AW2881*Settings!$C$13*(AW2845)</f>
        <v/>
      </c>
      <c r="AX2926" s="44">
        <f>AX2881*Settings!$C$13*(AX2845)</f>
        <v/>
      </c>
      <c r="AY2926" s="44">
        <f>AY2881*Settings!$C$13*(AY2845)</f>
        <v/>
      </c>
      <c r="AZ2926" s="44">
        <f>AZ2881*Settings!$C$13*(AZ2845)</f>
        <v/>
      </c>
      <c r="BA2926" s="57">
        <f>REVENUE(BA2881,Settings!$C$13,BA2845)</f>
        <v/>
      </c>
    </row>
    <row r="2927" hidden="1" outlineLevel="2">
      <c r="A2927" s="14" t="inlineStr">
        <is>
          <t>rxcp</t>
        </is>
      </c>
      <c r="B2927" s="14" t="inlineStr">
        <is>
          <t>ker</t>
        </is>
      </c>
      <c r="C2927" s="14" t="inlineStr">
        <is>
          <t>ftr</t>
        </is>
      </c>
      <c r="D2927" s="39" t="n"/>
      <c r="E2927" s="39" t="n"/>
      <c r="F2927" s="39" t="n"/>
      <c r="G2927" s="39" t="n"/>
      <c r="H2927" s="14">
        <f>INDEX(VarLab,MATCH($A2927,VarKey,0))&amp;INDEX(MemLab,MATCH($C2927&amp;"|"&amp;$B2927,MemKey,0))</f>
        <v/>
      </c>
      <c r="I2927" s="14">
        <f>INDEX(VarUnit,MATCH($A2927,VarKey,0))</f>
        <v/>
      </c>
      <c r="J2927" s="14">
        <f>INDEX(VarSrc,MATCH($A2927,VarKey,0))</f>
        <v/>
      </c>
      <c r="K2927" s="11">
        <f>CodePrefix&amp;$A2927&amp;IF($C2927="","","."&amp;$C2927&amp;"."&amp;$B2927)&amp;INDEX(VarEnd,MATCH($A2927,VarKey,0))&amp;K$5</f>
        <v/>
      </c>
      <c r="L2927" s="43">
        <f>L2882*Settings!$C$13*(L2846)</f>
        <v/>
      </c>
      <c r="M2927" s="44">
        <f>M2882*Settings!$C$13*(M2846)</f>
        <v/>
      </c>
      <c r="N2927" s="44">
        <f>N2882*Settings!$C$13*(N2846)</f>
        <v/>
      </c>
      <c r="O2927" s="44">
        <f>O2882*Settings!$C$13*(O2846)</f>
        <v/>
      </c>
      <c r="P2927" s="44">
        <f>P2882*Settings!$C$13*(P2846)</f>
        <v/>
      </c>
      <c r="Q2927" s="44">
        <f>Q2882*Settings!$C$13*(Q2846)</f>
        <v/>
      </c>
      <c r="R2927" s="44">
        <f>R2882*Settings!$C$13*(R2846)</f>
        <v/>
      </c>
      <c r="S2927" s="44">
        <f>S2882*Settings!$C$13*(S2846)</f>
        <v/>
      </c>
      <c r="T2927" s="44">
        <f>T2882*Settings!$C$13*(T2846)</f>
        <v/>
      </c>
      <c r="U2927" s="44">
        <f>U2882*Settings!$C$13*(U2846)</f>
        <v/>
      </c>
      <c r="V2927" s="44">
        <f>V2882*Settings!$C$13*(V2846)</f>
        <v/>
      </c>
      <c r="W2927" s="44">
        <f>W2882*Settings!$C$13*(W2846)</f>
        <v/>
      </c>
      <c r="X2927" s="44">
        <f>X2882*Settings!$C$13*(X2846)</f>
        <v/>
      </c>
      <c r="Y2927" s="44">
        <f>Y2882*Settings!$C$13*(Y2846)</f>
        <v/>
      </c>
      <c r="Z2927" s="44">
        <f>Z2882*Settings!$C$13*(Z2846)</f>
        <v/>
      </c>
      <c r="AA2927" s="44">
        <f>AA2882*Settings!$C$13*(AA2846)</f>
        <v/>
      </c>
      <c r="AB2927" s="44">
        <f>AB2882*Settings!$C$13*(AB2846)</f>
        <v/>
      </c>
      <c r="AC2927" s="44">
        <f>AC2882*Settings!$C$13*(AC2846)</f>
        <v/>
      </c>
      <c r="AD2927" s="44">
        <f>AD2882*Settings!$C$13*(AD2846)</f>
        <v/>
      </c>
      <c r="AE2927" s="57">
        <f>REVENUE(AE2882,Settings!$C$13,AE2846)</f>
        <v/>
      </c>
      <c r="AG2927" s="11">
        <f>CodePrefix&amp;$A2927&amp;IF($C2927="","","."&amp;$C2927&amp;"."&amp;$B2927)&amp;INDEX(VarEnd,MATCH($A2927,VarKey,0))&amp;AG$5</f>
        <v/>
      </c>
      <c r="AH2927" s="43">
        <f>AH2882*Settings!$C$13*(AH2846)</f>
        <v/>
      </c>
      <c r="AI2927" s="44">
        <f>AI2882*Settings!$C$13*(AI2846)</f>
        <v/>
      </c>
      <c r="AJ2927" s="44">
        <f>AJ2882*Settings!$C$13*(AJ2846)</f>
        <v/>
      </c>
      <c r="AK2927" s="44">
        <f>AK2882*Settings!$C$13*(AK2846)</f>
        <v/>
      </c>
      <c r="AL2927" s="44">
        <f>AL2882*Settings!$C$13*(AL2846)</f>
        <v/>
      </c>
      <c r="AM2927" s="44">
        <f>AM2882*Settings!$C$13*(AM2846)</f>
        <v/>
      </c>
      <c r="AN2927" s="44">
        <f>AN2882*Settings!$C$13*(AN2846)</f>
        <v/>
      </c>
      <c r="AO2927" s="44">
        <f>AO2882*Settings!$C$13*(AO2846)</f>
        <v/>
      </c>
      <c r="AP2927" s="44">
        <f>AP2882*Settings!$C$13*(AP2846)</f>
        <v/>
      </c>
      <c r="AQ2927" s="44">
        <f>AQ2882*Settings!$C$13*(AQ2846)</f>
        <v/>
      </c>
      <c r="AR2927" s="44">
        <f>AR2882*Settings!$C$13*(AR2846)</f>
        <v/>
      </c>
      <c r="AS2927" s="44">
        <f>AS2882*Settings!$C$13*(AS2846)</f>
        <v/>
      </c>
      <c r="AT2927" s="44">
        <f>AT2882*Settings!$C$13*(AT2846)</f>
        <v/>
      </c>
      <c r="AU2927" s="44">
        <f>AU2882*Settings!$C$13*(AU2846)</f>
        <v/>
      </c>
      <c r="AV2927" s="44">
        <f>AV2882*Settings!$C$13*(AV2846)</f>
        <v/>
      </c>
      <c r="AW2927" s="44">
        <f>AW2882*Settings!$C$13*(AW2846)</f>
        <v/>
      </c>
      <c r="AX2927" s="44">
        <f>AX2882*Settings!$C$13*(AX2846)</f>
        <v/>
      </c>
      <c r="AY2927" s="44">
        <f>AY2882*Settings!$C$13*(AY2846)</f>
        <v/>
      </c>
      <c r="AZ2927" s="44">
        <f>AZ2882*Settings!$C$13*(AZ2846)</f>
        <v/>
      </c>
      <c r="BA2927" s="57">
        <f>REVENUE(BA2882,Settings!$C$13,BA2846)</f>
        <v/>
      </c>
    </row>
    <row r="2928" hidden="1" outlineLevel="2">
      <c r="A2928" s="14" t="inlineStr">
        <is>
          <t>rxcp</t>
        </is>
      </c>
      <c r="B2928" s="14" t="inlineStr">
        <is>
          <t>oop</t>
        </is>
      </c>
      <c r="C2928" s="14" t="inlineStr">
        <is>
          <t>ftr</t>
        </is>
      </c>
      <c r="D2928" s="39" t="n"/>
      <c r="E2928" s="39" t="n"/>
      <c r="F2928" s="39" t="n"/>
      <c r="G2928" s="39" t="n"/>
      <c r="H2928" s="14">
        <f>INDEX(VarLab,MATCH($A2928,VarKey,0))&amp;INDEX(MemLab,MATCH($C2928&amp;"|"&amp;$B2928,MemKey,0))</f>
        <v/>
      </c>
      <c r="I2928" s="14">
        <f>INDEX(VarUnit,MATCH($A2928,VarKey,0))</f>
        <v/>
      </c>
      <c r="J2928" s="14">
        <f>INDEX(VarSrc,MATCH($A2928,VarKey,0))</f>
        <v/>
      </c>
      <c r="K2928" s="11">
        <f>CodePrefix&amp;$A2928&amp;IF($C2928="","","."&amp;$C2928&amp;"."&amp;$B2928)&amp;INDEX(VarEnd,MATCH($A2928,VarKey,0))&amp;K$5</f>
        <v/>
      </c>
      <c r="L2928" s="43">
        <f>L2883*Settings!$C$13*(L2847)</f>
        <v/>
      </c>
      <c r="M2928" s="44">
        <f>M2883*Settings!$C$13*(M2847)</f>
        <v/>
      </c>
      <c r="N2928" s="44">
        <f>N2883*Settings!$C$13*(N2847)</f>
        <v/>
      </c>
      <c r="O2928" s="44">
        <f>O2883*Settings!$C$13*(O2847)</f>
        <v/>
      </c>
      <c r="P2928" s="44">
        <f>P2883*Settings!$C$13*(P2847)</f>
        <v/>
      </c>
      <c r="Q2928" s="44">
        <f>Q2883*Settings!$C$13*(Q2847)</f>
        <v/>
      </c>
      <c r="R2928" s="44">
        <f>R2883*Settings!$C$13*(R2847)</f>
        <v/>
      </c>
      <c r="S2928" s="44">
        <f>S2883*Settings!$C$13*(S2847)</f>
        <v/>
      </c>
      <c r="T2928" s="44">
        <f>T2883*Settings!$C$13*(T2847)</f>
        <v/>
      </c>
      <c r="U2928" s="44">
        <f>U2883*Settings!$C$13*(U2847)</f>
        <v/>
      </c>
      <c r="V2928" s="44">
        <f>V2883*Settings!$C$13*(V2847)</f>
        <v/>
      </c>
      <c r="W2928" s="44">
        <f>W2883*Settings!$C$13*(W2847)</f>
        <v/>
      </c>
      <c r="X2928" s="44">
        <f>X2883*Settings!$C$13*(X2847)</f>
        <v/>
      </c>
      <c r="Y2928" s="44">
        <f>Y2883*Settings!$C$13*(Y2847)</f>
        <v/>
      </c>
      <c r="Z2928" s="44">
        <f>Z2883*Settings!$C$13*(Z2847)</f>
        <v/>
      </c>
      <c r="AA2928" s="44">
        <f>AA2883*Settings!$C$13*(AA2847)</f>
        <v/>
      </c>
      <c r="AB2928" s="44">
        <f>AB2883*Settings!$C$13*(AB2847)</f>
        <v/>
      </c>
      <c r="AC2928" s="44">
        <f>AC2883*Settings!$C$13*(AC2847)</f>
        <v/>
      </c>
      <c r="AD2928" s="44">
        <f>AD2883*Settings!$C$13*(AD2847)</f>
        <v/>
      </c>
      <c r="AE2928" s="57">
        <f>REVENUE(AE2883,Settings!$C$13,AE2847)</f>
        <v/>
      </c>
      <c r="AG2928" s="11">
        <f>CodePrefix&amp;$A2928&amp;IF($C2928="","","."&amp;$C2928&amp;"."&amp;$B2928)&amp;INDEX(VarEnd,MATCH($A2928,VarKey,0))&amp;AG$5</f>
        <v/>
      </c>
      <c r="AH2928" s="43">
        <f>AH2883*Settings!$C$13*(AH2847)</f>
        <v/>
      </c>
      <c r="AI2928" s="44">
        <f>AI2883*Settings!$C$13*(AI2847)</f>
        <v/>
      </c>
      <c r="AJ2928" s="44">
        <f>AJ2883*Settings!$C$13*(AJ2847)</f>
        <v/>
      </c>
      <c r="AK2928" s="44">
        <f>AK2883*Settings!$C$13*(AK2847)</f>
        <v/>
      </c>
      <c r="AL2928" s="44">
        <f>AL2883*Settings!$C$13*(AL2847)</f>
        <v/>
      </c>
      <c r="AM2928" s="44">
        <f>AM2883*Settings!$C$13*(AM2847)</f>
        <v/>
      </c>
      <c r="AN2928" s="44">
        <f>AN2883*Settings!$C$13*(AN2847)</f>
        <v/>
      </c>
      <c r="AO2928" s="44">
        <f>AO2883*Settings!$C$13*(AO2847)</f>
        <v/>
      </c>
      <c r="AP2928" s="44">
        <f>AP2883*Settings!$C$13*(AP2847)</f>
        <v/>
      </c>
      <c r="AQ2928" s="44">
        <f>AQ2883*Settings!$C$13*(AQ2847)</f>
        <v/>
      </c>
      <c r="AR2928" s="44">
        <f>AR2883*Settings!$C$13*(AR2847)</f>
        <v/>
      </c>
      <c r="AS2928" s="44">
        <f>AS2883*Settings!$C$13*(AS2847)</f>
        <v/>
      </c>
      <c r="AT2928" s="44">
        <f>AT2883*Settings!$C$13*(AT2847)</f>
        <v/>
      </c>
      <c r="AU2928" s="44">
        <f>AU2883*Settings!$C$13*(AU2847)</f>
        <v/>
      </c>
      <c r="AV2928" s="44">
        <f>AV2883*Settings!$C$13*(AV2847)</f>
        <v/>
      </c>
      <c r="AW2928" s="44">
        <f>AW2883*Settings!$C$13*(AW2847)</f>
        <v/>
      </c>
      <c r="AX2928" s="44">
        <f>AX2883*Settings!$C$13*(AX2847)</f>
        <v/>
      </c>
      <c r="AY2928" s="44">
        <f>AY2883*Settings!$C$13*(AY2847)</f>
        <v/>
      </c>
      <c r="AZ2928" s="44">
        <f>AZ2883*Settings!$C$13*(AZ2847)</f>
        <v/>
      </c>
      <c r="BA2928" s="57">
        <f>REVENUE(BA2883,Settings!$C$13,BA2847)</f>
        <v/>
      </c>
    </row>
    <row r="2929" hidden="1" outlineLevel="2">
      <c r="A2929" s="14" t="inlineStr">
        <is>
          <t>rxcp</t>
        </is>
      </c>
      <c r="B2929" s="14" t="inlineStr">
        <is>
          <t>bio</t>
        </is>
      </c>
      <c r="C2929" s="14" t="inlineStr">
        <is>
          <t>ftr</t>
        </is>
      </c>
      <c r="D2929" s="39" t="n"/>
      <c r="E2929" s="39" t="n"/>
      <c r="F2929" s="39" t="n"/>
      <c r="G2929" s="39" t="n"/>
      <c r="H2929" s="14">
        <f>INDEX(VarLab,MATCH($A2929,VarKey,0))&amp;INDEX(MemLab,MATCH($C2929&amp;"|"&amp;$B2929,MemKey,0))</f>
        <v/>
      </c>
      <c r="I2929" s="14">
        <f>INDEX(VarUnit,MATCH($A2929,VarKey,0))</f>
        <v/>
      </c>
      <c r="J2929" s="14">
        <f>INDEX(VarSrc,MATCH($A2929,VarKey,0))</f>
        <v/>
      </c>
      <c r="K2929" s="11">
        <f>CodePrefix&amp;$A2929&amp;IF($C2929="","","."&amp;$C2929&amp;"."&amp;$B2929)&amp;INDEX(VarEnd,MATCH($A2929,VarKey,0))&amp;K$5</f>
        <v/>
      </c>
      <c r="L2929" s="43">
        <f>L2884*Settings!$C$13*(L2848)</f>
        <v/>
      </c>
      <c r="M2929" s="44">
        <f>M2884*Settings!$C$13*(M2848)</f>
        <v/>
      </c>
      <c r="N2929" s="44">
        <f>N2884*Settings!$C$13*(N2848)</f>
        <v/>
      </c>
      <c r="O2929" s="44">
        <f>O2884*Settings!$C$13*(O2848)</f>
        <v/>
      </c>
      <c r="P2929" s="44">
        <f>P2884*Settings!$C$13*(P2848)</f>
        <v/>
      </c>
      <c r="Q2929" s="44">
        <f>Q2884*Settings!$C$13*(Q2848)</f>
        <v/>
      </c>
      <c r="R2929" s="44">
        <f>R2884*Settings!$C$13*(R2848)</f>
        <v/>
      </c>
      <c r="S2929" s="44">
        <f>S2884*Settings!$C$13*(S2848)</f>
        <v/>
      </c>
      <c r="T2929" s="44">
        <f>T2884*Settings!$C$13*(T2848)</f>
        <v/>
      </c>
      <c r="U2929" s="44">
        <f>U2884*Settings!$C$13*(U2848)</f>
        <v/>
      </c>
      <c r="V2929" s="44">
        <f>V2884*Settings!$C$13*(V2848)</f>
        <v/>
      </c>
      <c r="W2929" s="44">
        <f>W2884*Settings!$C$13*(W2848)</f>
        <v/>
      </c>
      <c r="X2929" s="44">
        <f>X2884*Settings!$C$13*(X2848)</f>
        <v/>
      </c>
      <c r="Y2929" s="44">
        <f>Y2884*Settings!$C$13*(Y2848)</f>
        <v/>
      </c>
      <c r="Z2929" s="44">
        <f>Z2884*Settings!$C$13*(Z2848)</f>
        <v/>
      </c>
      <c r="AA2929" s="44">
        <f>AA2884*Settings!$C$13*(AA2848)</f>
        <v/>
      </c>
      <c r="AB2929" s="44">
        <f>AB2884*Settings!$C$13*(AB2848)</f>
        <v/>
      </c>
      <c r="AC2929" s="44">
        <f>AC2884*Settings!$C$13*(AC2848)</f>
        <v/>
      </c>
      <c r="AD2929" s="44">
        <f>AD2884*Settings!$C$13*(AD2848)</f>
        <v/>
      </c>
      <c r="AE2929" s="57">
        <f>REVENUE(AE2884,Settings!$C$13,AE2848)</f>
        <v/>
      </c>
      <c r="AG2929" s="11">
        <f>CodePrefix&amp;$A2929&amp;IF($C2929="","","."&amp;$C2929&amp;"."&amp;$B2929)&amp;INDEX(VarEnd,MATCH($A2929,VarKey,0))&amp;AG$5</f>
        <v/>
      </c>
      <c r="AH2929" s="43">
        <f>AH2884*Settings!$C$13*(AH2848)</f>
        <v/>
      </c>
      <c r="AI2929" s="44">
        <f>AI2884*Settings!$C$13*(AI2848)</f>
        <v/>
      </c>
      <c r="AJ2929" s="44">
        <f>AJ2884*Settings!$C$13*(AJ2848)</f>
        <v/>
      </c>
      <c r="AK2929" s="44">
        <f>AK2884*Settings!$C$13*(AK2848)</f>
        <v/>
      </c>
      <c r="AL2929" s="44">
        <f>AL2884*Settings!$C$13*(AL2848)</f>
        <v/>
      </c>
      <c r="AM2929" s="44">
        <f>AM2884*Settings!$C$13*(AM2848)</f>
        <v/>
      </c>
      <c r="AN2929" s="44">
        <f>AN2884*Settings!$C$13*(AN2848)</f>
        <v/>
      </c>
      <c r="AO2929" s="44">
        <f>AO2884*Settings!$C$13*(AO2848)</f>
        <v/>
      </c>
      <c r="AP2929" s="44">
        <f>AP2884*Settings!$C$13*(AP2848)</f>
        <v/>
      </c>
      <c r="AQ2929" s="44">
        <f>AQ2884*Settings!$C$13*(AQ2848)</f>
        <v/>
      </c>
      <c r="AR2929" s="44">
        <f>AR2884*Settings!$C$13*(AR2848)</f>
        <v/>
      </c>
      <c r="AS2929" s="44">
        <f>AS2884*Settings!$C$13*(AS2848)</f>
        <v/>
      </c>
      <c r="AT2929" s="44">
        <f>AT2884*Settings!$C$13*(AT2848)</f>
        <v/>
      </c>
      <c r="AU2929" s="44">
        <f>AU2884*Settings!$C$13*(AU2848)</f>
        <v/>
      </c>
      <c r="AV2929" s="44">
        <f>AV2884*Settings!$C$13*(AV2848)</f>
        <v/>
      </c>
      <c r="AW2929" s="44">
        <f>AW2884*Settings!$C$13*(AW2848)</f>
        <v/>
      </c>
      <c r="AX2929" s="44">
        <f>AX2884*Settings!$C$13*(AX2848)</f>
        <v/>
      </c>
      <c r="AY2929" s="44">
        <f>AY2884*Settings!$C$13*(AY2848)</f>
        <v/>
      </c>
      <c r="AZ2929" s="44">
        <f>AZ2884*Settings!$C$13*(AZ2848)</f>
        <v/>
      </c>
      <c r="BA2929" s="57">
        <f>REVENUE(BA2884,Settings!$C$13,BA2848)</f>
        <v/>
      </c>
    </row>
    <row r="2930" hidden="1" outlineLevel="2"/>
    <row r="2931" collapsed="1"/>
    <row r="2932">
      <c r="A2932" s="4" t="inlineStr">
        <is>
          <t>8. Other energy use</t>
        </is>
      </c>
      <c r="B2932" s="5" t="n"/>
      <c r="C2932" s="5" t="n"/>
      <c r="D2932" s="5" t="n"/>
      <c r="E2932" s="5" t="n"/>
      <c r="F2932" s="5" t="n"/>
      <c r="G2932" s="5" t="n"/>
      <c r="H2932" s="5" t="n"/>
      <c r="I2932" s="5" t="n"/>
      <c r="J2932" s="5" t="n"/>
      <c r="K2932" s="5" t="n"/>
      <c r="L2932" s="5" t="n"/>
      <c r="M2932" s="5" t="n"/>
      <c r="N2932" s="5" t="n"/>
      <c r="O2932" s="5" t="n"/>
      <c r="P2932" s="5" t="n"/>
      <c r="Q2932" s="5" t="n"/>
      <c r="R2932" s="5" t="n"/>
      <c r="S2932" s="5" t="n"/>
      <c r="T2932" s="5" t="n"/>
      <c r="U2932" s="5" t="n"/>
      <c r="V2932" s="5" t="n"/>
      <c r="W2932" s="5" t="n"/>
      <c r="X2932" s="5" t="n"/>
      <c r="Y2932" s="5" t="n"/>
      <c r="Z2932" s="5" t="n"/>
      <c r="AA2932" s="5" t="n"/>
      <c r="AB2932" s="5" t="n"/>
      <c r="AC2932" s="5" t="n"/>
      <c r="AD2932" s="5" t="n"/>
      <c r="AE2932" s="5" t="n"/>
      <c r="AF2932" s="5" t="n"/>
      <c r="AG2932" s="5" t="n"/>
      <c r="AH2932" s="5" t="n"/>
      <c r="AI2932" s="5" t="n"/>
      <c r="AJ2932" s="5" t="n"/>
      <c r="AK2932" s="5" t="n"/>
      <c r="AL2932" s="5" t="n"/>
      <c r="AM2932" s="5" t="n"/>
      <c r="AN2932" s="5" t="n"/>
      <c r="AO2932" s="5" t="n"/>
      <c r="AP2932" s="5" t="n"/>
      <c r="AQ2932" s="5" t="n"/>
      <c r="AR2932" s="5" t="n"/>
      <c r="AS2932" s="5" t="n"/>
      <c r="AT2932" s="5" t="n"/>
      <c r="AU2932" s="5" t="n"/>
      <c r="AV2932" s="5" t="n"/>
      <c r="AW2932" s="5" t="n"/>
      <c r="AX2932" s="5" t="n"/>
      <c r="AY2932" s="5" t="n"/>
      <c r="AZ2932" s="5" t="n"/>
      <c r="BA2932" s="5" t="n"/>
      <c r="BB2932" s="5" t="n"/>
    </row>
    <row r="2933">
      <c r="A2933" s="1" t="inlineStr">
        <is>
          <t>ener</t>
        </is>
      </c>
      <c r="B2933" s="1" t="inlineStr">
        <is>
          <t>all</t>
        </is>
      </c>
      <c r="C2933" s="1" t="inlineStr">
        <is>
          <t>oen</t>
        </is>
      </c>
      <c r="H2933" s="1">
        <f>INDEX(VarLab,MATCH($A2933,VarKey,0))&amp;INDEX(MemLab,MATCH($C2933&amp;"|"&amp;$B2933,MemKey,0))</f>
        <v/>
      </c>
      <c r="I2933" s="1">
        <f>INDEX(VarUnit,MATCH($A2933,VarKey,0))</f>
        <v/>
      </c>
      <c r="J2933" s="1">
        <f>INDEX(VarSrc,MATCH($A2933,VarKey,0))</f>
        <v/>
      </c>
      <c r="K2933" s="17">
        <f>CodePrefix&amp;$A2933&amp;IF($C2933="","","."&amp;$C2933&amp;"."&amp;$B2933)&amp;INDEX(VarEnd,MATCH($A2933,VarKey,0))&amp;K$5</f>
        <v/>
      </c>
      <c r="L2933" s="68">
        <f>SUMIFS(L2934:L3061,$A2934:$A3061,"ener",$B2934:$B3061,"&lt;&gt;all")</f>
        <v/>
      </c>
      <c r="M2933" s="69">
        <f>SUMIFS(M2934:M3061,$A2934:$A3061,"ener",$B2934:$B3061,"&lt;&gt;all")</f>
        <v/>
      </c>
      <c r="N2933" s="69">
        <f>SUMIFS(N2934:N3061,$A2934:$A3061,"ener",$B2934:$B3061,"&lt;&gt;all")</f>
        <v/>
      </c>
      <c r="O2933" s="69">
        <f>SUMIFS(O2934:O3061,$A2934:$A3061,"ener",$B2934:$B3061,"&lt;&gt;all")</f>
        <v/>
      </c>
      <c r="P2933" s="69">
        <f>SUMIFS(P2934:P3061,$A2934:$A3061,"ener",$B2934:$B3061,"&lt;&gt;all")</f>
        <v/>
      </c>
      <c r="Q2933" s="69">
        <f>SUMIFS(Q2934:Q3061,$A2934:$A3061,"ener",$B2934:$B3061,"&lt;&gt;all")</f>
        <v/>
      </c>
      <c r="R2933" s="69">
        <f>SUMIFS(R2934:R3061,$A2934:$A3061,"ener",$B2934:$B3061,"&lt;&gt;all")</f>
        <v/>
      </c>
      <c r="S2933" s="69">
        <f>SUMIFS(S2934:S3061,$A2934:$A3061,"ener",$B2934:$B3061,"&lt;&gt;all")</f>
        <v/>
      </c>
      <c r="T2933" s="69">
        <f>SUMIFS(T2934:T3061,$A2934:$A3061,"ener",$B2934:$B3061,"&lt;&gt;all")</f>
        <v/>
      </c>
      <c r="U2933" s="69">
        <f>SUMIFS(U2934:U3061,$A2934:$A3061,"ener",$B2934:$B3061,"&lt;&gt;all")</f>
        <v/>
      </c>
      <c r="V2933" s="69">
        <f>SUMIFS(V2934:V3061,$A2934:$A3061,"ener",$B2934:$B3061,"&lt;&gt;all")</f>
        <v/>
      </c>
      <c r="W2933" s="69">
        <f>SUMIFS(W2934:W3061,$A2934:$A3061,"ener",$B2934:$B3061,"&lt;&gt;all")</f>
        <v/>
      </c>
      <c r="X2933" s="69">
        <f>SUMIFS(X2934:X3061,$A2934:$A3061,"ener",$B2934:$B3061,"&lt;&gt;all")</f>
        <v/>
      </c>
      <c r="Y2933" s="69">
        <f>SUMIFS(Y2934:Y3061,$A2934:$A3061,"ener",$B2934:$B3061,"&lt;&gt;all")</f>
        <v/>
      </c>
      <c r="Z2933" s="69">
        <f>SUMIFS(Z2934:Z3061,$A2934:$A3061,"ener",$B2934:$B3061,"&lt;&gt;all")</f>
        <v/>
      </c>
      <c r="AA2933" s="69">
        <f>SUMIFS(AA2934:AA3061,$A2934:$A3061,"ener",$B2934:$B3061,"&lt;&gt;all")</f>
        <v/>
      </c>
      <c r="AB2933" s="69">
        <f>SUMIFS(AB2934:AB3061,$A2934:$A3061,"ener",$B2934:$B3061,"&lt;&gt;all")</f>
        <v/>
      </c>
      <c r="AC2933" s="69">
        <f>SUMIFS(AC2934:AC3061,$A2934:$A3061,"ener",$B2934:$B3061,"&lt;&gt;all")</f>
        <v/>
      </c>
      <c r="AD2933" s="69">
        <f>SUMIFS(AD2934:AD3061,$A2934:$A3061,"ener",$B2934:$B3061,"&lt;&gt;all")</f>
        <v/>
      </c>
      <c r="AE2933" s="69">
        <f>SUMIFS(AE2934:AE3061,$A2934:$A3061,"ener",$B2934:$B3061,"&lt;&gt;all")</f>
        <v/>
      </c>
      <c r="AG2933" s="17">
        <f>CodePrefix&amp;$A2933&amp;IF($C2933="","","."&amp;$C2933&amp;"."&amp;$B2933)&amp;INDEX(VarEnd,MATCH($A2933,VarKey,0))&amp;AG$5</f>
        <v/>
      </c>
      <c r="AH2933" s="68">
        <f>SUMIFS(AH2934:AH3061,$A2934:$A3061,"ener",$B2934:$B3061,"&lt;&gt;all")</f>
        <v/>
      </c>
      <c r="AI2933" s="69">
        <f>SUMIFS(AI2934:AI3061,$A2934:$A3061,"ener",$B2934:$B3061,"&lt;&gt;all")</f>
        <v/>
      </c>
      <c r="AJ2933" s="69">
        <f>SUMIFS(AJ2934:AJ3061,$A2934:$A3061,"ener",$B2934:$B3061,"&lt;&gt;all")</f>
        <v/>
      </c>
      <c r="AK2933" s="69">
        <f>SUMIFS(AK2934:AK3061,$A2934:$A3061,"ener",$B2934:$B3061,"&lt;&gt;all")</f>
        <v/>
      </c>
      <c r="AL2933" s="69">
        <f>SUMIFS(AL2934:AL3061,$A2934:$A3061,"ener",$B2934:$B3061,"&lt;&gt;all")</f>
        <v/>
      </c>
      <c r="AM2933" s="69">
        <f>SUMIFS(AM2934:AM3061,$A2934:$A3061,"ener",$B2934:$B3061,"&lt;&gt;all")</f>
        <v/>
      </c>
      <c r="AN2933" s="69">
        <f>SUMIFS(AN2934:AN3061,$A2934:$A3061,"ener",$B2934:$B3061,"&lt;&gt;all")</f>
        <v/>
      </c>
      <c r="AO2933" s="69">
        <f>SUMIFS(AO2934:AO3061,$A2934:$A3061,"ener",$B2934:$B3061,"&lt;&gt;all")</f>
        <v/>
      </c>
      <c r="AP2933" s="69">
        <f>SUMIFS(AP2934:AP3061,$A2934:$A3061,"ener",$B2934:$B3061,"&lt;&gt;all")</f>
        <v/>
      </c>
      <c r="AQ2933" s="69">
        <f>SUMIFS(AQ2934:AQ3061,$A2934:$A3061,"ener",$B2934:$B3061,"&lt;&gt;all")</f>
        <v/>
      </c>
      <c r="AR2933" s="69">
        <f>SUMIFS(AR2934:AR3061,$A2934:$A3061,"ener",$B2934:$B3061,"&lt;&gt;all")</f>
        <v/>
      </c>
      <c r="AS2933" s="69">
        <f>SUMIFS(AS2934:AS3061,$A2934:$A3061,"ener",$B2934:$B3061,"&lt;&gt;all")</f>
        <v/>
      </c>
      <c r="AT2933" s="69">
        <f>SUMIFS(AT2934:AT3061,$A2934:$A3061,"ener",$B2934:$B3061,"&lt;&gt;all")</f>
        <v/>
      </c>
      <c r="AU2933" s="69">
        <f>SUMIFS(AU2934:AU3061,$A2934:$A3061,"ener",$B2934:$B3061,"&lt;&gt;all")</f>
        <v/>
      </c>
      <c r="AV2933" s="69">
        <f>SUMIFS(AV2934:AV3061,$A2934:$A3061,"ener",$B2934:$B3061,"&lt;&gt;all")</f>
        <v/>
      </c>
      <c r="AW2933" s="69">
        <f>SUMIFS(AW2934:AW3061,$A2934:$A3061,"ener",$B2934:$B3061,"&lt;&gt;all")</f>
        <v/>
      </c>
      <c r="AX2933" s="69">
        <f>SUMIFS(AX2934:AX3061,$A2934:$A3061,"ener",$B2934:$B3061,"&lt;&gt;all")</f>
        <v/>
      </c>
      <c r="AY2933" s="69">
        <f>SUMIFS(AY2934:AY3061,$A2934:$A3061,"ener",$B2934:$B3061,"&lt;&gt;all")</f>
        <v/>
      </c>
      <c r="AZ2933" s="69">
        <f>SUMIFS(AZ2934:AZ3061,$A2934:$A3061,"ener",$B2934:$B3061,"&lt;&gt;all")</f>
        <v/>
      </c>
      <c r="BA2933" s="69">
        <f>SUMIFS(BA2934:BA3061,$A2934:$A3061,"ener",$B2934:$B3061,"&lt;&gt;all")</f>
        <v/>
      </c>
    </row>
    <row r="2934" hidden="1" outlineLevel="1">
      <c r="A2934" s="1" t="inlineStr">
        <is>
          <t>ener</t>
        </is>
      </c>
      <c r="B2934" s="1" t="inlineStr">
        <is>
          <t>all</t>
        </is>
      </c>
      <c r="C2934" s="1" t="inlineStr">
        <is>
          <t>oen</t>
        </is>
      </c>
      <c r="H2934" s="1">
        <f>INDEX(VarLab,MATCH($A2934,VarKey,0))&amp;INDEX(MemLab,MATCH($C2934&amp;"|"&amp;$B2934,MemKey,0))</f>
        <v/>
      </c>
      <c r="I2934" s="1">
        <f>INDEX(VarUnit,MATCH($A2934,VarKey,0))</f>
        <v/>
      </c>
      <c r="J2934" s="1">
        <f>INDEX(VarSrc,MATCH($A2934,VarKey,0))</f>
        <v/>
      </c>
      <c r="K2934" s="17">
        <f>CodePrefix&amp;$A2934&amp;IF($C2934="","","."&amp;$C2934&amp;"."&amp;$B2934)&amp;INDEX(VarEnd,MATCH($A2934,VarKey,0))&amp;K$5</f>
        <v/>
      </c>
      <c r="L2934" s="68">
        <f>SUM(L3008:L3015)</f>
        <v/>
      </c>
      <c r="M2934" s="69">
        <f>SUM(M3008:M3015)</f>
        <v/>
      </c>
      <c r="N2934" s="69">
        <f>SUM(N3008:N3015)</f>
        <v/>
      </c>
      <c r="O2934" s="69">
        <f>SUM(O3008:O3015)</f>
        <v/>
      </c>
      <c r="P2934" s="69">
        <f>SUM(P3008:P3015)</f>
        <v/>
      </c>
      <c r="Q2934" s="69">
        <f>SUM(Q3008:Q3015)</f>
        <v/>
      </c>
      <c r="R2934" s="69">
        <f>SUM(R3008:R3015)</f>
        <v/>
      </c>
      <c r="S2934" s="69">
        <f>SUM(S3008:S3015)</f>
        <v/>
      </c>
      <c r="T2934" s="69">
        <f>SUM(T3008:T3015)</f>
        <v/>
      </c>
      <c r="U2934" s="69">
        <f>SUM(U3008:U3015)</f>
        <v/>
      </c>
      <c r="V2934" s="69">
        <f>SUM(V3008:V3015)</f>
        <v/>
      </c>
      <c r="W2934" s="69">
        <f>SUM(W3008:W3015)</f>
        <v/>
      </c>
      <c r="X2934" s="69">
        <f>SUM(X3008:X3015)</f>
        <v/>
      </c>
      <c r="Y2934" s="69">
        <f>SUM(Y3008:Y3015)</f>
        <v/>
      </c>
      <c r="Z2934" s="69">
        <f>SUM(Z3008:Z3015)</f>
        <v/>
      </c>
      <c r="AA2934" s="69">
        <f>SUM(AA3008:AA3015)</f>
        <v/>
      </c>
      <c r="AB2934" s="69">
        <f>SUM(AB3008:AB3015)</f>
        <v/>
      </c>
      <c r="AC2934" s="69">
        <f>SUM(AC3008:AC3015)</f>
        <v/>
      </c>
      <c r="AD2934" s="69">
        <f>SUM(AD3008:AD3015)</f>
        <v/>
      </c>
      <c r="AE2934" s="69">
        <f>SUM(AE3008:AE3015)</f>
        <v/>
      </c>
      <c r="AG2934" s="17">
        <f>CodePrefix&amp;$A2934&amp;IF($C2934="","","."&amp;$C2934&amp;"."&amp;$B2934)&amp;INDEX(VarEnd,MATCH($A2934,VarKey,0))&amp;AG$5</f>
        <v/>
      </c>
      <c r="AH2934" s="68">
        <f>SUM(AH3008:AH3015)</f>
        <v/>
      </c>
      <c r="AI2934" s="69">
        <f>SUM(AI3008:AI3015)</f>
        <v/>
      </c>
      <c r="AJ2934" s="69">
        <f>SUM(AJ3008:AJ3015)</f>
        <v/>
      </c>
      <c r="AK2934" s="69">
        <f>SUM(AK3008:AK3015)</f>
        <v/>
      </c>
      <c r="AL2934" s="69">
        <f>SUM(AL3008:AL3015)</f>
        <v/>
      </c>
      <c r="AM2934" s="69">
        <f>SUM(AM3008:AM3015)</f>
        <v/>
      </c>
      <c r="AN2934" s="69">
        <f>SUM(AN3008:AN3015)</f>
        <v/>
      </c>
      <c r="AO2934" s="69">
        <f>SUM(AO3008:AO3015)</f>
        <v/>
      </c>
      <c r="AP2934" s="69">
        <f>SUM(AP3008:AP3015)</f>
        <v/>
      </c>
      <c r="AQ2934" s="69">
        <f>SUM(AQ3008:AQ3015)</f>
        <v/>
      </c>
      <c r="AR2934" s="69">
        <f>SUM(AR3008:AR3015)</f>
        <v/>
      </c>
      <c r="AS2934" s="69">
        <f>SUM(AS3008:AS3015)</f>
        <v/>
      </c>
      <c r="AT2934" s="69">
        <f>SUM(AT3008:AT3015)</f>
        <v/>
      </c>
      <c r="AU2934" s="69">
        <f>SUM(AU3008:AU3015)</f>
        <v/>
      </c>
      <c r="AV2934" s="69">
        <f>SUM(AV3008:AV3015)</f>
        <v/>
      </c>
      <c r="AW2934" s="69">
        <f>SUM(AW3008:AW3015)</f>
        <v/>
      </c>
      <c r="AX2934" s="69">
        <f>SUM(AX3008:AX3015)</f>
        <v/>
      </c>
      <c r="AY2934" s="69">
        <f>SUM(AY3008:AY3015)</f>
        <v/>
      </c>
      <c r="AZ2934" s="69">
        <f>SUM(AZ3008:AZ3015)</f>
        <v/>
      </c>
      <c r="BA2934" s="69">
        <f>SUM(BA3008:BA3015)</f>
        <v/>
      </c>
    </row>
    <row r="2935" hidden="1" outlineLevel="1">
      <c r="A2935" s="67" t="inlineStr">
        <is>
          <t>eldem</t>
        </is>
      </c>
      <c r="B2935" s="67" t="inlineStr">
        <is>
          <t>ecy</t>
        </is>
      </c>
      <c r="C2935" s="67" t="inlineStr">
        <is>
          <t>oen</t>
        </is>
      </c>
      <c r="H2935" s="67">
        <f>INDEX(VarLab,MATCH($A2935,VarKey,0))&amp;INDEX(MemLab,MATCH($C2935&amp;"|"&amp;$B2935,MemKey,0))</f>
        <v/>
      </c>
      <c r="I2935" s="67">
        <f>INDEX(VarUnit,MATCH($A2935,VarKey,0))</f>
        <v/>
      </c>
      <c r="J2935" s="67">
        <f>INDEX(VarSrc,MATCH($A2935,VarKey,0))</f>
        <v/>
      </c>
      <c r="K2935" s="70">
        <f>CodePrefix&amp;$A2935&amp;IF($C2935="","","."&amp;$C2935&amp;"."&amp;$B2935)&amp;INDEX(VarEnd,MATCH($A2935,VarKey,0))&amp;K$5</f>
        <v/>
      </c>
      <c r="L2935" s="71">
        <f>SUMIF($C$674:$C$688,$C2935,L$674:L$688)</f>
        <v/>
      </c>
      <c r="M2935" s="72">
        <f>SUMIF($C$674:$C$688,$C2935,M$674:M$688)</f>
        <v/>
      </c>
      <c r="N2935" s="72">
        <f>SUMIF($C$674:$C$688,$C2935,N$674:N$688)</f>
        <v/>
      </c>
      <c r="O2935" s="72">
        <f>SUMIF($C$674:$C$688,$C2935,O$674:O$688)</f>
        <v/>
      </c>
      <c r="P2935" s="72">
        <f>SUMIF($C$674:$C$688,$C2935,P$674:P$688)</f>
        <v/>
      </c>
      <c r="Q2935" s="72">
        <f>SUMIF($C$674:$C$688,$C2935,Q$674:Q$688)</f>
        <v/>
      </c>
      <c r="R2935" s="72">
        <f>SUMIF($C$674:$C$688,$C2935,R$674:R$688)</f>
        <v/>
      </c>
      <c r="S2935" s="72">
        <f>SUMIF($C$674:$C$688,$C2935,S$674:S$688)</f>
        <v/>
      </c>
      <c r="T2935" s="72">
        <f>SUMIF($C$674:$C$688,$C2935,T$674:T$688)</f>
        <v/>
      </c>
      <c r="U2935" s="72">
        <f>SUMIF($C$674:$C$688,$C2935,U$674:U$688)</f>
        <v/>
      </c>
      <c r="V2935" s="72">
        <f>SUMIF($C$674:$C$688,$C2935,V$674:V$688)</f>
        <v/>
      </c>
      <c r="W2935" s="72">
        <f>SUMIF($C$674:$C$688,$C2935,W$674:W$688)</f>
        <v/>
      </c>
      <c r="X2935" s="72">
        <f>SUMIF($C$674:$C$688,$C2935,X$674:X$688)</f>
        <v/>
      </c>
      <c r="Y2935" s="72">
        <f>SUMIF($C$674:$C$688,$C2935,Y$674:Y$688)</f>
        <v/>
      </c>
      <c r="Z2935" s="72">
        <f>SUMIF($C$674:$C$688,$C2935,Z$674:Z$688)</f>
        <v/>
      </c>
      <c r="AA2935" s="72">
        <f>SUMIF($C$674:$C$688,$C2935,AA$674:AA$688)</f>
        <v/>
      </c>
      <c r="AB2935" s="72">
        <f>SUMIF($C$674:$C$688,$C2935,AB$674:AB$688)</f>
        <v/>
      </c>
      <c r="AC2935" s="72">
        <f>SUMIF($C$674:$C$688,$C2935,AC$674:AC$688)</f>
        <v/>
      </c>
      <c r="AD2935" s="72">
        <f>SUMIF($C$674:$C$688,$C2935,AD$674:AD$688)</f>
        <v/>
      </c>
      <c r="AE2935" s="72">
        <f>SUMIF($C$674:$C$688,$C2935,AE$674:AE$688)</f>
        <v/>
      </c>
      <c r="AG2935" s="70">
        <f>CodePrefix&amp;$A2935&amp;IF($C2935="","","."&amp;$C2935&amp;"."&amp;$B2935)&amp;INDEX(VarEnd,MATCH($A2935,VarKey,0))&amp;AG$5</f>
        <v/>
      </c>
      <c r="AH2935" s="71">
        <f>SUMIF($C$674:$C$688,$C2935,AH$674:AH$688)</f>
        <v/>
      </c>
      <c r="AI2935" s="72">
        <f>SUMIF($C$674:$C$688,$C2935,AI$674:AI$688)</f>
        <v/>
      </c>
      <c r="AJ2935" s="72">
        <f>SUMIF($C$674:$C$688,$C2935,AJ$674:AJ$688)</f>
        <v/>
      </c>
      <c r="AK2935" s="72">
        <f>SUMIF($C$674:$C$688,$C2935,AK$674:AK$688)</f>
        <v/>
      </c>
      <c r="AL2935" s="72">
        <f>SUMIF($C$674:$C$688,$C2935,AL$674:AL$688)</f>
        <v/>
      </c>
      <c r="AM2935" s="72">
        <f>SUMIF($C$674:$C$688,$C2935,AM$674:AM$688)</f>
        <v/>
      </c>
      <c r="AN2935" s="72">
        <f>SUMIF($C$674:$C$688,$C2935,AN$674:AN$688)</f>
        <v/>
      </c>
      <c r="AO2935" s="72">
        <f>SUMIF($C$674:$C$688,$C2935,AO$674:AO$688)</f>
        <v/>
      </c>
      <c r="AP2935" s="72">
        <f>SUMIF($C$674:$C$688,$C2935,AP$674:AP$688)</f>
        <v/>
      </c>
      <c r="AQ2935" s="72">
        <f>SUMIF($C$674:$C$688,$C2935,AQ$674:AQ$688)</f>
        <v/>
      </c>
      <c r="AR2935" s="72">
        <f>SUMIF($C$674:$C$688,$C2935,AR$674:AR$688)</f>
        <v/>
      </c>
      <c r="AS2935" s="72">
        <f>SUMIF($C$674:$C$688,$C2935,AS$674:AS$688)</f>
        <v/>
      </c>
      <c r="AT2935" s="72">
        <f>SUMIF($C$674:$C$688,$C2935,AT$674:AT$688)</f>
        <v/>
      </c>
      <c r="AU2935" s="72">
        <f>SUMIF($C$674:$C$688,$C2935,AU$674:AU$688)</f>
        <v/>
      </c>
      <c r="AV2935" s="72">
        <f>SUMIF($C$674:$C$688,$C2935,AV$674:AV$688)</f>
        <v/>
      </c>
      <c r="AW2935" s="72">
        <f>SUMIF($C$674:$C$688,$C2935,AW$674:AW$688)</f>
        <v/>
      </c>
      <c r="AX2935" s="72">
        <f>SUMIF($C$674:$C$688,$C2935,AX$674:AX$688)</f>
        <v/>
      </c>
      <c r="AY2935" s="72">
        <f>SUMIF($C$674:$C$688,$C2935,AY$674:AY$688)</f>
        <v/>
      </c>
      <c r="AZ2935" s="72">
        <f>SUMIF($C$674:$C$688,$C2935,AZ$674:AZ$688)</f>
        <v/>
      </c>
      <c r="BA2935" s="72">
        <f>SUMIF($C$674:$C$688,$C2935,BA$674:BA$688)</f>
        <v/>
      </c>
    </row>
    <row r="2936" hidden="1" outlineLevel="2">
      <c r="A2936" s="14" t="inlineStr">
        <is>
          <t>ctxnew</t>
        </is>
      </c>
      <c r="B2936" s="14" t="inlineStr">
        <is>
          <t>coa</t>
        </is>
      </c>
      <c r="C2936" s="14" t="inlineStr">
        <is>
          <t>oen</t>
        </is>
      </c>
      <c r="D2936" s="35">
        <f>INDEX(Inputs!$W$5:$W$132,MATCH($B2936&amp;"|"&amp;$C2936,Inputs!$A$5:$A$132,0))</f>
        <v/>
      </c>
      <c r="E2936" s="35">
        <f>INDEX(Inputs!$L$5:$L$132,MATCH($B2936&amp;"|"&amp;$C2936,Inputs!$A$5:$A$132,0))</f>
        <v/>
      </c>
      <c r="F2936" s="35">
        <f>INDEX(Inputs!$M$5:$M$132,MATCH($B2936&amp;"|"&amp;$C2936,Inputs!$A$5:$A$132,0))</f>
        <v/>
      </c>
      <c r="G2936" s="39" t="n"/>
      <c r="H2936" s="14">
        <f>INDEX(VarLab,MATCH($A2936,VarKey,0))&amp;INDEX(MemLab,MATCH($C2936&amp;"|"&amp;$B2936,MemKey,0))</f>
        <v/>
      </c>
      <c r="I2936" s="14">
        <f>INDEX(VarUnit,MATCH($A2936,VarKey,0))</f>
        <v/>
      </c>
      <c r="J2936" s="14">
        <f>INDEX(VarSrc,MATCH($A2936,VarKey,0))</f>
        <v/>
      </c>
      <c r="K2936" s="11">
        <f>CodePrefix&amp;$A2936&amp;IF($C2936="","","."&amp;$C2936&amp;"."&amp;$B2936)&amp;INDEX(VarEnd,MATCH($A2936,VarKey,0))&amp;K$5</f>
        <v/>
      </c>
      <c r="L2936" s="40">
        <f>INDEX(L$263:L$279,$F2936)*$D2936*INDEX(L$23:L$30,$E2936)</f>
        <v/>
      </c>
      <c r="M2936" s="35">
        <f>INDEX(M$263:M$279,$F2936)*$D2936*INDEX(M$23:M$30,$E2936)</f>
        <v/>
      </c>
      <c r="N2936" s="35">
        <f>INDEX(N$263:N$279,$F2936)*$D2936*INDEX(N$23:N$30,$E2936)</f>
        <v/>
      </c>
      <c r="O2936" s="35">
        <f>INDEX(O$263:O$279,$F2936)*$D2936*INDEX(O$23:O$30,$E2936)</f>
        <v/>
      </c>
      <c r="P2936" s="35">
        <f>INDEX(P$263:P$279,$F2936)*$D2936*INDEX(P$23:P$30,$E2936)</f>
        <v/>
      </c>
      <c r="Q2936" s="35">
        <f>INDEX(Q$263:Q$279,$F2936)*$D2936*INDEX(Q$23:Q$30,$E2936)</f>
        <v/>
      </c>
      <c r="R2936" s="35">
        <f>INDEX(R$263:R$279,$F2936)*$D2936*INDEX(R$23:R$30,$E2936)</f>
        <v/>
      </c>
      <c r="S2936" s="35">
        <f>INDEX(S$263:S$279,$F2936)*$D2936*INDEX(S$23:S$30,$E2936)</f>
        <v/>
      </c>
      <c r="T2936" s="35">
        <f>INDEX(T$263:T$279,$F2936)*$D2936*INDEX(T$23:T$30,$E2936)</f>
        <v/>
      </c>
      <c r="U2936" s="35">
        <f>INDEX(U$263:U$279,$F2936)*$D2936*INDEX(U$23:U$30,$E2936)</f>
        <v/>
      </c>
      <c r="V2936" s="35">
        <f>INDEX(V$263:V$279,$F2936)*$D2936*INDEX(V$23:V$30,$E2936)</f>
        <v/>
      </c>
      <c r="W2936" s="35">
        <f>INDEX(W$263:W$279,$F2936)*$D2936*INDEX(W$23:W$30,$E2936)</f>
        <v/>
      </c>
      <c r="X2936" s="35">
        <f>INDEX(X$263:X$279,$F2936)*$D2936*INDEX(X$23:X$30,$E2936)</f>
        <v/>
      </c>
      <c r="Y2936" s="35">
        <f>INDEX(Y$263:Y$279,$F2936)*$D2936*INDEX(Y$23:Y$30,$E2936)</f>
        <v/>
      </c>
      <c r="Z2936" s="35">
        <f>INDEX(Z$263:Z$279,$F2936)*$D2936*INDEX(Z$23:Z$30,$E2936)</f>
        <v/>
      </c>
      <c r="AA2936" s="35">
        <f>INDEX(AA$263:AA$279,$F2936)*$D2936*INDEX(AA$23:AA$30,$E2936)</f>
        <v/>
      </c>
      <c r="AB2936" s="35">
        <f>INDEX(AB$263:AB$279,$F2936)*$D2936*INDEX(AB$23:AB$30,$E2936)</f>
        <v/>
      </c>
      <c r="AC2936" s="35">
        <f>INDEX(AC$263:AC$279,$F2936)*$D2936*INDEX(AC$23:AC$30,$E2936)</f>
        <v/>
      </c>
      <c r="AD2936" s="35">
        <f>INDEX(AD$263:AD$279,$F2936)*$D2936*INDEX(AD$23:AD$30,$E2936)</f>
        <v/>
      </c>
      <c r="AE2936" s="42">
        <f>CARBONTAX(INDEX(AE$263:AE$279,$F2936),$D2936,INDEX(AE$23:AE$30,$E2936))</f>
        <v/>
      </c>
      <c r="AG2936" s="11">
        <f>CodePrefix&amp;$A2936&amp;IF($C2936="","","."&amp;$C2936&amp;"."&amp;$B2936)&amp;INDEX(VarEnd,MATCH($A2936,VarKey,0))&amp;AG$5</f>
        <v/>
      </c>
      <c r="AH2936" s="40">
        <f>INDEX(AH$263:AH$279,$F2936)*$D2936*INDEX(AH$23:AH$30,$E2936)</f>
        <v/>
      </c>
      <c r="AI2936" s="35">
        <f>INDEX(AI$263:AI$279,$F2936)*$D2936*INDEX(AI$23:AI$30,$E2936)</f>
        <v/>
      </c>
      <c r="AJ2936" s="35">
        <f>INDEX(AJ$263:AJ$279,$F2936)*$D2936*INDEX(AJ$23:AJ$30,$E2936)</f>
        <v/>
      </c>
      <c r="AK2936" s="35">
        <f>INDEX(AK$263:AK$279,$F2936)*$D2936*INDEX(AK$23:AK$30,$E2936)</f>
        <v/>
      </c>
      <c r="AL2936" s="35">
        <f>INDEX(AL$263:AL$279,$F2936)*$D2936*INDEX(AL$23:AL$30,$E2936)</f>
        <v/>
      </c>
      <c r="AM2936" s="35">
        <f>INDEX(AM$263:AM$279,$F2936)*$D2936*INDEX(AM$23:AM$30,$E2936)</f>
        <v/>
      </c>
      <c r="AN2936" s="35">
        <f>INDEX(AN$263:AN$279,$F2936)*$D2936*INDEX(AN$23:AN$30,$E2936)</f>
        <v/>
      </c>
      <c r="AO2936" s="35">
        <f>INDEX(AO$263:AO$279,$F2936)*$D2936*INDEX(AO$23:AO$30,$E2936)</f>
        <v/>
      </c>
      <c r="AP2936" s="35">
        <f>INDEX(AP$263:AP$279,$F2936)*$D2936*INDEX(AP$23:AP$30,$E2936)</f>
        <v/>
      </c>
      <c r="AQ2936" s="35">
        <f>INDEX(AQ$263:AQ$279,$F2936)*$D2936*INDEX(AQ$23:AQ$30,$E2936)</f>
        <v/>
      </c>
      <c r="AR2936" s="35">
        <f>INDEX(AR$263:AR$279,$F2936)*$D2936*INDEX(AR$23:AR$30,$E2936)</f>
        <v/>
      </c>
      <c r="AS2936" s="35">
        <f>INDEX(AS$263:AS$279,$F2936)*$D2936*INDEX(AS$23:AS$30,$E2936)</f>
        <v/>
      </c>
      <c r="AT2936" s="35">
        <f>INDEX(AT$263:AT$279,$F2936)*$D2936*INDEX(AT$23:AT$30,$E2936)</f>
        <v/>
      </c>
      <c r="AU2936" s="35">
        <f>INDEX(AU$263:AU$279,$F2936)*$D2936*INDEX(AU$23:AU$30,$E2936)</f>
        <v/>
      </c>
      <c r="AV2936" s="35">
        <f>INDEX(AV$263:AV$279,$F2936)*$D2936*INDEX(AV$23:AV$30,$E2936)</f>
        <v/>
      </c>
      <c r="AW2936" s="35">
        <f>INDEX(AW$263:AW$279,$F2936)*$D2936*INDEX(AW$23:AW$30,$E2936)</f>
        <v/>
      </c>
      <c r="AX2936" s="35">
        <f>INDEX(AX$263:AX$279,$F2936)*$D2936*INDEX(AX$23:AX$30,$E2936)</f>
        <v/>
      </c>
      <c r="AY2936" s="35">
        <f>INDEX(AY$263:AY$279,$F2936)*$D2936*INDEX(AY$23:AY$30,$E2936)</f>
        <v/>
      </c>
      <c r="AZ2936" s="35">
        <f>INDEX(AZ$263:AZ$279,$F2936)*$D2936*INDEX(AZ$23:AZ$30,$E2936)</f>
        <v/>
      </c>
      <c r="BA2936" s="42">
        <f>CARBONTAX(INDEX(BA$263:BA$279,$F2936),$D2936,INDEX(BA$23:BA$30,$E2936))</f>
        <v/>
      </c>
    </row>
    <row r="2937" hidden="1" outlineLevel="2">
      <c r="A2937" s="14" t="inlineStr">
        <is>
          <t>ctxnew</t>
        </is>
      </c>
      <c r="B2937" s="14" t="inlineStr">
        <is>
          <t>nga</t>
        </is>
      </c>
      <c r="C2937" s="14" t="inlineStr">
        <is>
          <t>oen</t>
        </is>
      </c>
      <c r="D2937" s="35">
        <f>INDEX(Inputs!$W$5:$W$132,MATCH($B2937&amp;"|"&amp;$C2937,Inputs!$A$5:$A$132,0))</f>
        <v/>
      </c>
      <c r="E2937" s="35">
        <f>INDEX(Inputs!$L$5:$L$132,MATCH($B2937&amp;"|"&amp;$C2937,Inputs!$A$5:$A$132,0))</f>
        <v/>
      </c>
      <c r="F2937" s="35">
        <f>INDEX(Inputs!$M$5:$M$132,MATCH($B2937&amp;"|"&amp;$C2937,Inputs!$A$5:$A$132,0))</f>
        <v/>
      </c>
      <c r="G2937" s="39" t="n"/>
      <c r="H2937" s="14">
        <f>INDEX(VarLab,MATCH($A2937,VarKey,0))&amp;INDEX(MemLab,MATCH($C2937&amp;"|"&amp;$B2937,MemKey,0))</f>
        <v/>
      </c>
      <c r="I2937" s="14">
        <f>INDEX(VarUnit,MATCH($A2937,VarKey,0))</f>
        <v/>
      </c>
      <c r="J2937" s="14">
        <f>INDEX(VarSrc,MATCH($A2937,VarKey,0))</f>
        <v/>
      </c>
      <c r="K2937" s="11">
        <f>CodePrefix&amp;$A2937&amp;IF($C2937="","","."&amp;$C2937&amp;"."&amp;$B2937)&amp;INDEX(VarEnd,MATCH($A2937,VarKey,0))&amp;K$5</f>
        <v/>
      </c>
      <c r="L2937" s="40">
        <f>INDEX(L$263:L$279,$F2937)*$D2937*INDEX(L$23:L$30,$E2937)</f>
        <v/>
      </c>
      <c r="M2937" s="35">
        <f>INDEX(M$263:M$279,$F2937)*$D2937*INDEX(M$23:M$30,$E2937)</f>
        <v/>
      </c>
      <c r="N2937" s="35">
        <f>INDEX(N$263:N$279,$F2937)*$D2937*INDEX(N$23:N$30,$E2937)</f>
        <v/>
      </c>
      <c r="O2937" s="35">
        <f>INDEX(O$263:O$279,$F2937)*$D2937*INDEX(O$23:O$30,$E2937)</f>
        <v/>
      </c>
      <c r="P2937" s="35">
        <f>INDEX(P$263:P$279,$F2937)*$D2937*INDEX(P$23:P$30,$E2937)</f>
        <v/>
      </c>
      <c r="Q2937" s="35">
        <f>INDEX(Q$263:Q$279,$F2937)*$D2937*INDEX(Q$23:Q$30,$E2937)</f>
        <v/>
      </c>
      <c r="R2937" s="35">
        <f>INDEX(R$263:R$279,$F2937)*$D2937*INDEX(R$23:R$30,$E2937)</f>
        <v/>
      </c>
      <c r="S2937" s="35">
        <f>INDEX(S$263:S$279,$F2937)*$D2937*INDEX(S$23:S$30,$E2937)</f>
        <v/>
      </c>
      <c r="T2937" s="35">
        <f>INDEX(T$263:T$279,$F2937)*$D2937*INDEX(T$23:T$30,$E2937)</f>
        <v/>
      </c>
      <c r="U2937" s="35">
        <f>INDEX(U$263:U$279,$F2937)*$D2937*INDEX(U$23:U$30,$E2937)</f>
        <v/>
      </c>
      <c r="V2937" s="35">
        <f>INDEX(V$263:V$279,$F2937)*$D2937*INDEX(V$23:V$30,$E2937)</f>
        <v/>
      </c>
      <c r="W2937" s="35">
        <f>INDEX(W$263:W$279,$F2937)*$D2937*INDEX(W$23:W$30,$E2937)</f>
        <v/>
      </c>
      <c r="X2937" s="35">
        <f>INDEX(X$263:X$279,$F2937)*$D2937*INDEX(X$23:X$30,$E2937)</f>
        <v/>
      </c>
      <c r="Y2937" s="35">
        <f>INDEX(Y$263:Y$279,$F2937)*$D2937*INDEX(Y$23:Y$30,$E2937)</f>
        <v/>
      </c>
      <c r="Z2937" s="35">
        <f>INDEX(Z$263:Z$279,$F2937)*$D2937*INDEX(Z$23:Z$30,$E2937)</f>
        <v/>
      </c>
      <c r="AA2937" s="35">
        <f>INDEX(AA$263:AA$279,$F2937)*$D2937*INDEX(AA$23:AA$30,$E2937)</f>
        <v/>
      </c>
      <c r="AB2937" s="35">
        <f>INDEX(AB$263:AB$279,$F2937)*$D2937*INDEX(AB$23:AB$30,$E2937)</f>
        <v/>
      </c>
      <c r="AC2937" s="35">
        <f>INDEX(AC$263:AC$279,$F2937)*$D2937*INDEX(AC$23:AC$30,$E2937)</f>
        <v/>
      </c>
      <c r="AD2937" s="35">
        <f>INDEX(AD$263:AD$279,$F2937)*$D2937*INDEX(AD$23:AD$30,$E2937)</f>
        <v/>
      </c>
      <c r="AE2937" s="42">
        <f>CARBONTAX(INDEX(AE$263:AE$279,$F2937),$D2937,INDEX(AE$23:AE$30,$E2937))</f>
        <v/>
      </c>
      <c r="AG2937" s="11">
        <f>CodePrefix&amp;$A2937&amp;IF($C2937="","","."&amp;$C2937&amp;"."&amp;$B2937)&amp;INDEX(VarEnd,MATCH($A2937,VarKey,0))&amp;AG$5</f>
        <v/>
      </c>
      <c r="AH2937" s="40">
        <f>INDEX(AH$263:AH$279,$F2937)*$D2937*INDEX(AH$23:AH$30,$E2937)</f>
        <v/>
      </c>
      <c r="AI2937" s="35">
        <f>INDEX(AI$263:AI$279,$F2937)*$D2937*INDEX(AI$23:AI$30,$E2937)</f>
        <v/>
      </c>
      <c r="AJ2937" s="35">
        <f>INDEX(AJ$263:AJ$279,$F2937)*$D2937*INDEX(AJ$23:AJ$30,$E2937)</f>
        <v/>
      </c>
      <c r="AK2937" s="35">
        <f>INDEX(AK$263:AK$279,$F2937)*$D2937*INDEX(AK$23:AK$30,$E2937)</f>
        <v/>
      </c>
      <c r="AL2937" s="35">
        <f>INDEX(AL$263:AL$279,$F2937)*$D2937*INDEX(AL$23:AL$30,$E2937)</f>
        <v/>
      </c>
      <c r="AM2937" s="35">
        <f>INDEX(AM$263:AM$279,$F2937)*$D2937*INDEX(AM$23:AM$30,$E2937)</f>
        <v/>
      </c>
      <c r="AN2937" s="35">
        <f>INDEX(AN$263:AN$279,$F2937)*$D2937*INDEX(AN$23:AN$30,$E2937)</f>
        <v/>
      </c>
      <c r="AO2937" s="35">
        <f>INDEX(AO$263:AO$279,$F2937)*$D2937*INDEX(AO$23:AO$30,$E2937)</f>
        <v/>
      </c>
      <c r="AP2937" s="35">
        <f>INDEX(AP$263:AP$279,$F2937)*$D2937*INDEX(AP$23:AP$30,$E2937)</f>
        <v/>
      </c>
      <c r="AQ2937" s="35">
        <f>INDEX(AQ$263:AQ$279,$F2937)*$D2937*INDEX(AQ$23:AQ$30,$E2937)</f>
        <v/>
      </c>
      <c r="AR2937" s="35">
        <f>INDEX(AR$263:AR$279,$F2937)*$D2937*INDEX(AR$23:AR$30,$E2937)</f>
        <v/>
      </c>
      <c r="AS2937" s="35">
        <f>INDEX(AS$263:AS$279,$F2937)*$D2937*INDEX(AS$23:AS$30,$E2937)</f>
        <v/>
      </c>
      <c r="AT2937" s="35">
        <f>INDEX(AT$263:AT$279,$F2937)*$D2937*INDEX(AT$23:AT$30,$E2937)</f>
        <v/>
      </c>
      <c r="AU2937" s="35">
        <f>INDEX(AU$263:AU$279,$F2937)*$D2937*INDEX(AU$23:AU$30,$E2937)</f>
        <v/>
      </c>
      <c r="AV2937" s="35">
        <f>INDEX(AV$263:AV$279,$F2937)*$D2937*INDEX(AV$23:AV$30,$E2937)</f>
        <v/>
      </c>
      <c r="AW2937" s="35">
        <f>INDEX(AW$263:AW$279,$F2937)*$D2937*INDEX(AW$23:AW$30,$E2937)</f>
        <v/>
      </c>
      <c r="AX2937" s="35">
        <f>INDEX(AX$263:AX$279,$F2937)*$D2937*INDEX(AX$23:AX$30,$E2937)</f>
        <v/>
      </c>
      <c r="AY2937" s="35">
        <f>INDEX(AY$263:AY$279,$F2937)*$D2937*INDEX(AY$23:AY$30,$E2937)</f>
        <v/>
      </c>
      <c r="AZ2937" s="35">
        <f>INDEX(AZ$263:AZ$279,$F2937)*$D2937*INDEX(AZ$23:AZ$30,$E2937)</f>
        <v/>
      </c>
      <c r="BA2937" s="42">
        <f>CARBONTAX(INDEX(BA$263:BA$279,$F2937),$D2937,INDEX(BA$23:BA$30,$E2937))</f>
        <v/>
      </c>
    </row>
    <row r="2938" hidden="1" outlineLevel="2">
      <c r="A2938" s="14" t="inlineStr">
        <is>
          <t>ctxnew</t>
        </is>
      </c>
      <c r="B2938" s="14" t="inlineStr">
        <is>
          <t>gso</t>
        </is>
      </c>
      <c r="C2938" s="14" t="inlineStr">
        <is>
          <t>oen</t>
        </is>
      </c>
      <c r="D2938" s="35">
        <f>INDEX(Inputs!$W$5:$W$132,MATCH($B2938&amp;"|"&amp;$C2938,Inputs!$A$5:$A$132,0))</f>
        <v/>
      </c>
      <c r="E2938" s="35">
        <f>INDEX(Inputs!$L$5:$L$132,MATCH($B2938&amp;"|"&amp;$C2938,Inputs!$A$5:$A$132,0))</f>
        <v/>
      </c>
      <c r="F2938" s="35">
        <f>INDEX(Inputs!$M$5:$M$132,MATCH($B2938&amp;"|"&amp;$C2938,Inputs!$A$5:$A$132,0))</f>
        <v/>
      </c>
      <c r="G2938" s="39" t="n"/>
      <c r="H2938" s="14">
        <f>INDEX(VarLab,MATCH($A2938,VarKey,0))&amp;INDEX(MemLab,MATCH($C2938&amp;"|"&amp;$B2938,MemKey,0))</f>
        <v/>
      </c>
      <c r="I2938" s="14">
        <f>INDEX(VarUnit,MATCH($A2938,VarKey,0))</f>
        <v/>
      </c>
      <c r="J2938" s="14">
        <f>INDEX(VarSrc,MATCH($A2938,VarKey,0))</f>
        <v/>
      </c>
      <c r="K2938" s="11">
        <f>CodePrefix&amp;$A2938&amp;IF($C2938="","","."&amp;$C2938&amp;"."&amp;$B2938)&amp;INDEX(VarEnd,MATCH($A2938,VarKey,0))&amp;K$5</f>
        <v/>
      </c>
      <c r="L2938" s="40">
        <f>INDEX(L$263:L$279,$F2938)*$D2938*INDEX(L$23:L$30,$E2938)</f>
        <v/>
      </c>
      <c r="M2938" s="35">
        <f>INDEX(M$263:M$279,$F2938)*$D2938*INDEX(M$23:M$30,$E2938)</f>
        <v/>
      </c>
      <c r="N2938" s="35">
        <f>INDEX(N$263:N$279,$F2938)*$D2938*INDEX(N$23:N$30,$E2938)</f>
        <v/>
      </c>
      <c r="O2938" s="35">
        <f>INDEX(O$263:O$279,$F2938)*$D2938*INDEX(O$23:O$30,$E2938)</f>
        <v/>
      </c>
      <c r="P2938" s="35">
        <f>INDEX(P$263:P$279,$F2938)*$D2938*INDEX(P$23:P$30,$E2938)</f>
        <v/>
      </c>
      <c r="Q2938" s="35">
        <f>INDEX(Q$263:Q$279,$F2938)*$D2938*INDEX(Q$23:Q$30,$E2938)</f>
        <v/>
      </c>
      <c r="R2938" s="35">
        <f>INDEX(R$263:R$279,$F2938)*$D2938*INDEX(R$23:R$30,$E2938)</f>
        <v/>
      </c>
      <c r="S2938" s="35">
        <f>INDEX(S$263:S$279,$F2938)*$D2938*INDEX(S$23:S$30,$E2938)</f>
        <v/>
      </c>
      <c r="T2938" s="35">
        <f>INDEX(T$263:T$279,$F2938)*$D2938*INDEX(T$23:T$30,$E2938)</f>
        <v/>
      </c>
      <c r="U2938" s="35">
        <f>INDEX(U$263:U$279,$F2938)*$D2938*INDEX(U$23:U$30,$E2938)</f>
        <v/>
      </c>
      <c r="V2938" s="35">
        <f>INDEX(V$263:V$279,$F2938)*$D2938*INDEX(V$23:V$30,$E2938)</f>
        <v/>
      </c>
      <c r="W2938" s="35">
        <f>INDEX(W$263:W$279,$F2938)*$D2938*INDEX(W$23:W$30,$E2938)</f>
        <v/>
      </c>
      <c r="X2938" s="35">
        <f>INDEX(X$263:X$279,$F2938)*$D2938*INDEX(X$23:X$30,$E2938)</f>
        <v/>
      </c>
      <c r="Y2938" s="35">
        <f>INDEX(Y$263:Y$279,$F2938)*$D2938*INDEX(Y$23:Y$30,$E2938)</f>
        <v/>
      </c>
      <c r="Z2938" s="35">
        <f>INDEX(Z$263:Z$279,$F2938)*$D2938*INDEX(Z$23:Z$30,$E2938)</f>
        <v/>
      </c>
      <c r="AA2938" s="35">
        <f>INDEX(AA$263:AA$279,$F2938)*$D2938*INDEX(AA$23:AA$30,$E2938)</f>
        <v/>
      </c>
      <c r="AB2938" s="35">
        <f>INDEX(AB$263:AB$279,$F2938)*$D2938*INDEX(AB$23:AB$30,$E2938)</f>
        <v/>
      </c>
      <c r="AC2938" s="35">
        <f>INDEX(AC$263:AC$279,$F2938)*$D2938*INDEX(AC$23:AC$30,$E2938)</f>
        <v/>
      </c>
      <c r="AD2938" s="35">
        <f>INDEX(AD$263:AD$279,$F2938)*$D2938*INDEX(AD$23:AD$30,$E2938)</f>
        <v/>
      </c>
      <c r="AE2938" s="42">
        <f>CARBONTAX(INDEX(AE$263:AE$279,$F2938),$D2938,INDEX(AE$23:AE$30,$E2938))</f>
        <v/>
      </c>
      <c r="AG2938" s="11">
        <f>CodePrefix&amp;$A2938&amp;IF($C2938="","","."&amp;$C2938&amp;"."&amp;$B2938)&amp;INDEX(VarEnd,MATCH($A2938,VarKey,0))&amp;AG$5</f>
        <v/>
      </c>
      <c r="AH2938" s="40">
        <f>INDEX(AH$263:AH$279,$F2938)*$D2938*INDEX(AH$23:AH$30,$E2938)</f>
        <v/>
      </c>
      <c r="AI2938" s="35">
        <f>INDEX(AI$263:AI$279,$F2938)*$D2938*INDEX(AI$23:AI$30,$E2938)</f>
        <v/>
      </c>
      <c r="AJ2938" s="35">
        <f>INDEX(AJ$263:AJ$279,$F2938)*$D2938*INDEX(AJ$23:AJ$30,$E2938)</f>
        <v/>
      </c>
      <c r="AK2938" s="35">
        <f>INDEX(AK$263:AK$279,$F2938)*$D2938*INDEX(AK$23:AK$30,$E2938)</f>
        <v/>
      </c>
      <c r="AL2938" s="35">
        <f>INDEX(AL$263:AL$279,$F2938)*$D2938*INDEX(AL$23:AL$30,$E2938)</f>
        <v/>
      </c>
      <c r="AM2938" s="35">
        <f>INDEX(AM$263:AM$279,$F2938)*$D2938*INDEX(AM$23:AM$30,$E2938)</f>
        <v/>
      </c>
      <c r="AN2938" s="35">
        <f>INDEX(AN$263:AN$279,$F2938)*$D2938*INDEX(AN$23:AN$30,$E2938)</f>
        <v/>
      </c>
      <c r="AO2938" s="35">
        <f>INDEX(AO$263:AO$279,$F2938)*$D2938*INDEX(AO$23:AO$30,$E2938)</f>
        <v/>
      </c>
      <c r="AP2938" s="35">
        <f>INDEX(AP$263:AP$279,$F2938)*$D2938*INDEX(AP$23:AP$30,$E2938)</f>
        <v/>
      </c>
      <c r="AQ2938" s="35">
        <f>INDEX(AQ$263:AQ$279,$F2938)*$D2938*INDEX(AQ$23:AQ$30,$E2938)</f>
        <v/>
      </c>
      <c r="AR2938" s="35">
        <f>INDEX(AR$263:AR$279,$F2938)*$D2938*INDEX(AR$23:AR$30,$E2938)</f>
        <v/>
      </c>
      <c r="AS2938" s="35">
        <f>INDEX(AS$263:AS$279,$F2938)*$D2938*INDEX(AS$23:AS$30,$E2938)</f>
        <v/>
      </c>
      <c r="AT2938" s="35">
        <f>INDEX(AT$263:AT$279,$F2938)*$D2938*INDEX(AT$23:AT$30,$E2938)</f>
        <v/>
      </c>
      <c r="AU2938" s="35">
        <f>INDEX(AU$263:AU$279,$F2938)*$D2938*INDEX(AU$23:AU$30,$E2938)</f>
        <v/>
      </c>
      <c r="AV2938" s="35">
        <f>INDEX(AV$263:AV$279,$F2938)*$D2938*INDEX(AV$23:AV$30,$E2938)</f>
        <v/>
      </c>
      <c r="AW2938" s="35">
        <f>INDEX(AW$263:AW$279,$F2938)*$D2938*INDEX(AW$23:AW$30,$E2938)</f>
        <v/>
      </c>
      <c r="AX2938" s="35">
        <f>INDEX(AX$263:AX$279,$F2938)*$D2938*INDEX(AX$23:AX$30,$E2938)</f>
        <v/>
      </c>
      <c r="AY2938" s="35">
        <f>INDEX(AY$263:AY$279,$F2938)*$D2938*INDEX(AY$23:AY$30,$E2938)</f>
        <v/>
      </c>
      <c r="AZ2938" s="35">
        <f>INDEX(AZ$263:AZ$279,$F2938)*$D2938*INDEX(AZ$23:AZ$30,$E2938)</f>
        <v/>
      </c>
      <c r="BA2938" s="42">
        <f>CARBONTAX(INDEX(BA$263:BA$279,$F2938),$D2938,INDEX(BA$23:BA$30,$E2938))</f>
        <v/>
      </c>
    </row>
    <row r="2939" hidden="1" outlineLevel="2">
      <c r="A2939" s="14" t="inlineStr">
        <is>
          <t>ctxnew</t>
        </is>
      </c>
      <c r="B2939" s="14" t="inlineStr">
        <is>
          <t>die</t>
        </is>
      </c>
      <c r="C2939" s="14" t="inlineStr">
        <is>
          <t>oen</t>
        </is>
      </c>
      <c r="D2939" s="35">
        <f>INDEX(Inputs!$W$5:$W$132,MATCH($B2939&amp;"|"&amp;$C2939,Inputs!$A$5:$A$132,0))</f>
        <v/>
      </c>
      <c r="E2939" s="35">
        <f>INDEX(Inputs!$L$5:$L$132,MATCH($B2939&amp;"|"&amp;$C2939,Inputs!$A$5:$A$132,0))</f>
        <v/>
      </c>
      <c r="F2939" s="35">
        <f>INDEX(Inputs!$M$5:$M$132,MATCH($B2939&amp;"|"&amp;$C2939,Inputs!$A$5:$A$132,0))</f>
        <v/>
      </c>
      <c r="G2939" s="39" t="n"/>
      <c r="H2939" s="14">
        <f>INDEX(VarLab,MATCH($A2939,VarKey,0))&amp;INDEX(MemLab,MATCH($C2939&amp;"|"&amp;$B2939,MemKey,0))</f>
        <v/>
      </c>
      <c r="I2939" s="14">
        <f>INDEX(VarUnit,MATCH($A2939,VarKey,0))</f>
        <v/>
      </c>
      <c r="J2939" s="14">
        <f>INDEX(VarSrc,MATCH($A2939,VarKey,0))</f>
        <v/>
      </c>
      <c r="K2939" s="11">
        <f>CodePrefix&amp;$A2939&amp;IF($C2939="","","."&amp;$C2939&amp;"."&amp;$B2939)&amp;INDEX(VarEnd,MATCH($A2939,VarKey,0))&amp;K$5</f>
        <v/>
      </c>
      <c r="L2939" s="40">
        <f>INDEX(L$263:L$279,$F2939)*$D2939*INDEX(L$23:L$30,$E2939)</f>
        <v/>
      </c>
      <c r="M2939" s="35">
        <f>INDEX(M$263:M$279,$F2939)*$D2939*INDEX(M$23:M$30,$E2939)</f>
        <v/>
      </c>
      <c r="N2939" s="35">
        <f>INDEX(N$263:N$279,$F2939)*$D2939*INDEX(N$23:N$30,$E2939)</f>
        <v/>
      </c>
      <c r="O2939" s="35">
        <f>INDEX(O$263:O$279,$F2939)*$D2939*INDEX(O$23:O$30,$E2939)</f>
        <v/>
      </c>
      <c r="P2939" s="35">
        <f>INDEX(P$263:P$279,$F2939)*$D2939*INDEX(P$23:P$30,$E2939)</f>
        <v/>
      </c>
      <c r="Q2939" s="35">
        <f>INDEX(Q$263:Q$279,$F2939)*$D2939*INDEX(Q$23:Q$30,$E2939)</f>
        <v/>
      </c>
      <c r="R2939" s="35">
        <f>INDEX(R$263:R$279,$F2939)*$D2939*INDEX(R$23:R$30,$E2939)</f>
        <v/>
      </c>
      <c r="S2939" s="35">
        <f>INDEX(S$263:S$279,$F2939)*$D2939*INDEX(S$23:S$30,$E2939)</f>
        <v/>
      </c>
      <c r="T2939" s="35">
        <f>INDEX(T$263:T$279,$F2939)*$D2939*INDEX(T$23:T$30,$E2939)</f>
        <v/>
      </c>
      <c r="U2939" s="35">
        <f>INDEX(U$263:U$279,$F2939)*$D2939*INDEX(U$23:U$30,$E2939)</f>
        <v/>
      </c>
      <c r="V2939" s="35">
        <f>INDEX(V$263:V$279,$F2939)*$D2939*INDEX(V$23:V$30,$E2939)</f>
        <v/>
      </c>
      <c r="W2939" s="35">
        <f>INDEX(W$263:W$279,$F2939)*$D2939*INDEX(W$23:W$30,$E2939)</f>
        <v/>
      </c>
      <c r="X2939" s="35">
        <f>INDEX(X$263:X$279,$F2939)*$D2939*INDEX(X$23:X$30,$E2939)</f>
        <v/>
      </c>
      <c r="Y2939" s="35">
        <f>INDEX(Y$263:Y$279,$F2939)*$D2939*INDEX(Y$23:Y$30,$E2939)</f>
        <v/>
      </c>
      <c r="Z2939" s="35">
        <f>INDEX(Z$263:Z$279,$F2939)*$D2939*INDEX(Z$23:Z$30,$E2939)</f>
        <v/>
      </c>
      <c r="AA2939" s="35">
        <f>INDEX(AA$263:AA$279,$F2939)*$D2939*INDEX(AA$23:AA$30,$E2939)</f>
        <v/>
      </c>
      <c r="AB2939" s="35">
        <f>INDEX(AB$263:AB$279,$F2939)*$D2939*INDEX(AB$23:AB$30,$E2939)</f>
        <v/>
      </c>
      <c r="AC2939" s="35">
        <f>INDEX(AC$263:AC$279,$F2939)*$D2939*INDEX(AC$23:AC$30,$E2939)</f>
        <v/>
      </c>
      <c r="AD2939" s="35">
        <f>INDEX(AD$263:AD$279,$F2939)*$D2939*INDEX(AD$23:AD$30,$E2939)</f>
        <v/>
      </c>
      <c r="AE2939" s="42">
        <f>CARBONTAX(INDEX(AE$263:AE$279,$F2939),$D2939,INDEX(AE$23:AE$30,$E2939))</f>
        <v/>
      </c>
      <c r="AG2939" s="11">
        <f>CodePrefix&amp;$A2939&amp;IF($C2939="","","."&amp;$C2939&amp;"."&amp;$B2939)&amp;INDEX(VarEnd,MATCH($A2939,VarKey,0))&amp;AG$5</f>
        <v/>
      </c>
      <c r="AH2939" s="40">
        <f>INDEX(AH$263:AH$279,$F2939)*$D2939*INDEX(AH$23:AH$30,$E2939)</f>
        <v/>
      </c>
      <c r="AI2939" s="35">
        <f>INDEX(AI$263:AI$279,$F2939)*$D2939*INDEX(AI$23:AI$30,$E2939)</f>
        <v/>
      </c>
      <c r="AJ2939" s="35">
        <f>INDEX(AJ$263:AJ$279,$F2939)*$D2939*INDEX(AJ$23:AJ$30,$E2939)</f>
        <v/>
      </c>
      <c r="AK2939" s="35">
        <f>INDEX(AK$263:AK$279,$F2939)*$D2939*INDEX(AK$23:AK$30,$E2939)</f>
        <v/>
      </c>
      <c r="AL2939" s="35">
        <f>INDEX(AL$263:AL$279,$F2939)*$D2939*INDEX(AL$23:AL$30,$E2939)</f>
        <v/>
      </c>
      <c r="AM2939" s="35">
        <f>INDEX(AM$263:AM$279,$F2939)*$D2939*INDEX(AM$23:AM$30,$E2939)</f>
        <v/>
      </c>
      <c r="AN2939" s="35">
        <f>INDEX(AN$263:AN$279,$F2939)*$D2939*INDEX(AN$23:AN$30,$E2939)</f>
        <v/>
      </c>
      <c r="AO2939" s="35">
        <f>INDEX(AO$263:AO$279,$F2939)*$D2939*INDEX(AO$23:AO$30,$E2939)</f>
        <v/>
      </c>
      <c r="AP2939" s="35">
        <f>INDEX(AP$263:AP$279,$F2939)*$D2939*INDEX(AP$23:AP$30,$E2939)</f>
        <v/>
      </c>
      <c r="AQ2939" s="35">
        <f>INDEX(AQ$263:AQ$279,$F2939)*$D2939*INDEX(AQ$23:AQ$30,$E2939)</f>
        <v/>
      </c>
      <c r="AR2939" s="35">
        <f>INDEX(AR$263:AR$279,$F2939)*$D2939*INDEX(AR$23:AR$30,$E2939)</f>
        <v/>
      </c>
      <c r="AS2939" s="35">
        <f>INDEX(AS$263:AS$279,$F2939)*$D2939*INDEX(AS$23:AS$30,$E2939)</f>
        <v/>
      </c>
      <c r="AT2939" s="35">
        <f>INDEX(AT$263:AT$279,$F2939)*$D2939*INDEX(AT$23:AT$30,$E2939)</f>
        <v/>
      </c>
      <c r="AU2939" s="35">
        <f>INDEX(AU$263:AU$279,$F2939)*$D2939*INDEX(AU$23:AU$30,$E2939)</f>
        <v/>
      </c>
      <c r="AV2939" s="35">
        <f>INDEX(AV$263:AV$279,$F2939)*$D2939*INDEX(AV$23:AV$30,$E2939)</f>
        <v/>
      </c>
      <c r="AW2939" s="35">
        <f>INDEX(AW$263:AW$279,$F2939)*$D2939*INDEX(AW$23:AW$30,$E2939)</f>
        <v/>
      </c>
      <c r="AX2939" s="35">
        <f>INDEX(AX$263:AX$279,$F2939)*$D2939*INDEX(AX$23:AX$30,$E2939)</f>
        <v/>
      </c>
      <c r="AY2939" s="35">
        <f>INDEX(AY$263:AY$279,$F2939)*$D2939*INDEX(AY$23:AY$30,$E2939)</f>
        <v/>
      </c>
      <c r="AZ2939" s="35">
        <f>INDEX(AZ$263:AZ$279,$F2939)*$D2939*INDEX(AZ$23:AZ$30,$E2939)</f>
        <v/>
      </c>
      <c r="BA2939" s="42">
        <f>CARBONTAX(INDEX(BA$263:BA$279,$F2939),$D2939,INDEX(BA$23:BA$30,$E2939))</f>
        <v/>
      </c>
    </row>
    <row r="2940" hidden="1" outlineLevel="2">
      <c r="A2940" s="14" t="inlineStr">
        <is>
          <t>ctxnew</t>
        </is>
      </c>
      <c r="B2940" s="14" t="inlineStr">
        <is>
          <t>lpg</t>
        </is>
      </c>
      <c r="C2940" s="14" t="inlineStr">
        <is>
          <t>oen</t>
        </is>
      </c>
      <c r="D2940" s="35">
        <f>INDEX(Inputs!$W$5:$W$132,MATCH($B2940&amp;"|"&amp;$C2940,Inputs!$A$5:$A$132,0))</f>
        <v/>
      </c>
      <c r="E2940" s="35">
        <f>INDEX(Inputs!$L$5:$L$132,MATCH($B2940&amp;"|"&amp;$C2940,Inputs!$A$5:$A$132,0))</f>
        <v/>
      </c>
      <c r="F2940" s="35">
        <f>INDEX(Inputs!$M$5:$M$132,MATCH($B2940&amp;"|"&amp;$C2940,Inputs!$A$5:$A$132,0))</f>
        <v/>
      </c>
      <c r="G2940" s="39" t="n"/>
      <c r="H2940" s="14">
        <f>INDEX(VarLab,MATCH($A2940,VarKey,0))&amp;INDEX(MemLab,MATCH($C2940&amp;"|"&amp;$B2940,MemKey,0))</f>
        <v/>
      </c>
      <c r="I2940" s="14">
        <f>INDEX(VarUnit,MATCH($A2940,VarKey,0))</f>
        <v/>
      </c>
      <c r="J2940" s="14">
        <f>INDEX(VarSrc,MATCH($A2940,VarKey,0))</f>
        <v/>
      </c>
      <c r="K2940" s="11">
        <f>CodePrefix&amp;$A2940&amp;IF($C2940="","","."&amp;$C2940&amp;"."&amp;$B2940)&amp;INDEX(VarEnd,MATCH($A2940,VarKey,0))&amp;K$5</f>
        <v/>
      </c>
      <c r="L2940" s="40">
        <f>INDEX(L$263:L$279,$F2940)*$D2940*INDEX(L$23:L$30,$E2940)</f>
        <v/>
      </c>
      <c r="M2940" s="35">
        <f>INDEX(M$263:M$279,$F2940)*$D2940*INDEX(M$23:M$30,$E2940)</f>
        <v/>
      </c>
      <c r="N2940" s="35">
        <f>INDEX(N$263:N$279,$F2940)*$D2940*INDEX(N$23:N$30,$E2940)</f>
        <v/>
      </c>
      <c r="O2940" s="35">
        <f>INDEX(O$263:O$279,$F2940)*$D2940*INDEX(O$23:O$30,$E2940)</f>
        <v/>
      </c>
      <c r="P2940" s="35">
        <f>INDEX(P$263:P$279,$F2940)*$D2940*INDEX(P$23:P$30,$E2940)</f>
        <v/>
      </c>
      <c r="Q2940" s="35">
        <f>INDEX(Q$263:Q$279,$F2940)*$D2940*INDEX(Q$23:Q$30,$E2940)</f>
        <v/>
      </c>
      <c r="R2940" s="35">
        <f>INDEX(R$263:R$279,$F2940)*$D2940*INDEX(R$23:R$30,$E2940)</f>
        <v/>
      </c>
      <c r="S2940" s="35">
        <f>INDEX(S$263:S$279,$F2940)*$D2940*INDEX(S$23:S$30,$E2940)</f>
        <v/>
      </c>
      <c r="T2940" s="35">
        <f>INDEX(T$263:T$279,$F2940)*$D2940*INDEX(T$23:T$30,$E2940)</f>
        <v/>
      </c>
      <c r="U2940" s="35">
        <f>INDEX(U$263:U$279,$F2940)*$D2940*INDEX(U$23:U$30,$E2940)</f>
        <v/>
      </c>
      <c r="V2940" s="35">
        <f>INDEX(V$263:V$279,$F2940)*$D2940*INDEX(V$23:V$30,$E2940)</f>
        <v/>
      </c>
      <c r="W2940" s="35">
        <f>INDEX(W$263:W$279,$F2940)*$D2940*INDEX(W$23:W$30,$E2940)</f>
        <v/>
      </c>
      <c r="X2940" s="35">
        <f>INDEX(X$263:X$279,$F2940)*$D2940*INDEX(X$23:X$30,$E2940)</f>
        <v/>
      </c>
      <c r="Y2940" s="35">
        <f>INDEX(Y$263:Y$279,$F2940)*$D2940*INDEX(Y$23:Y$30,$E2940)</f>
        <v/>
      </c>
      <c r="Z2940" s="35">
        <f>INDEX(Z$263:Z$279,$F2940)*$D2940*INDEX(Z$23:Z$30,$E2940)</f>
        <v/>
      </c>
      <c r="AA2940" s="35">
        <f>INDEX(AA$263:AA$279,$F2940)*$D2940*INDEX(AA$23:AA$30,$E2940)</f>
        <v/>
      </c>
      <c r="AB2940" s="35">
        <f>INDEX(AB$263:AB$279,$F2940)*$D2940*INDEX(AB$23:AB$30,$E2940)</f>
        <v/>
      </c>
      <c r="AC2940" s="35">
        <f>INDEX(AC$263:AC$279,$F2940)*$D2940*INDEX(AC$23:AC$30,$E2940)</f>
        <v/>
      </c>
      <c r="AD2940" s="35">
        <f>INDEX(AD$263:AD$279,$F2940)*$D2940*INDEX(AD$23:AD$30,$E2940)</f>
        <v/>
      </c>
      <c r="AE2940" s="42">
        <f>CARBONTAX(INDEX(AE$263:AE$279,$F2940),$D2940,INDEX(AE$23:AE$30,$E2940))</f>
        <v/>
      </c>
      <c r="AG2940" s="11">
        <f>CodePrefix&amp;$A2940&amp;IF($C2940="","","."&amp;$C2940&amp;"."&amp;$B2940)&amp;INDEX(VarEnd,MATCH($A2940,VarKey,0))&amp;AG$5</f>
        <v/>
      </c>
      <c r="AH2940" s="40">
        <f>INDEX(AH$263:AH$279,$F2940)*$D2940*INDEX(AH$23:AH$30,$E2940)</f>
        <v/>
      </c>
      <c r="AI2940" s="35">
        <f>INDEX(AI$263:AI$279,$F2940)*$D2940*INDEX(AI$23:AI$30,$E2940)</f>
        <v/>
      </c>
      <c r="AJ2940" s="35">
        <f>INDEX(AJ$263:AJ$279,$F2940)*$D2940*INDEX(AJ$23:AJ$30,$E2940)</f>
        <v/>
      </c>
      <c r="AK2940" s="35">
        <f>INDEX(AK$263:AK$279,$F2940)*$D2940*INDEX(AK$23:AK$30,$E2940)</f>
        <v/>
      </c>
      <c r="AL2940" s="35">
        <f>INDEX(AL$263:AL$279,$F2940)*$D2940*INDEX(AL$23:AL$30,$E2940)</f>
        <v/>
      </c>
      <c r="AM2940" s="35">
        <f>INDEX(AM$263:AM$279,$F2940)*$D2940*INDEX(AM$23:AM$30,$E2940)</f>
        <v/>
      </c>
      <c r="AN2940" s="35">
        <f>INDEX(AN$263:AN$279,$F2940)*$D2940*INDEX(AN$23:AN$30,$E2940)</f>
        <v/>
      </c>
      <c r="AO2940" s="35">
        <f>INDEX(AO$263:AO$279,$F2940)*$D2940*INDEX(AO$23:AO$30,$E2940)</f>
        <v/>
      </c>
      <c r="AP2940" s="35">
        <f>INDEX(AP$263:AP$279,$F2940)*$D2940*INDEX(AP$23:AP$30,$E2940)</f>
        <v/>
      </c>
      <c r="AQ2940" s="35">
        <f>INDEX(AQ$263:AQ$279,$F2940)*$D2940*INDEX(AQ$23:AQ$30,$E2940)</f>
        <v/>
      </c>
      <c r="AR2940" s="35">
        <f>INDEX(AR$263:AR$279,$F2940)*$D2940*INDEX(AR$23:AR$30,$E2940)</f>
        <v/>
      </c>
      <c r="AS2940" s="35">
        <f>INDEX(AS$263:AS$279,$F2940)*$D2940*INDEX(AS$23:AS$30,$E2940)</f>
        <v/>
      </c>
      <c r="AT2940" s="35">
        <f>INDEX(AT$263:AT$279,$F2940)*$D2940*INDEX(AT$23:AT$30,$E2940)</f>
        <v/>
      </c>
      <c r="AU2940" s="35">
        <f>INDEX(AU$263:AU$279,$F2940)*$D2940*INDEX(AU$23:AU$30,$E2940)</f>
        <v/>
      </c>
      <c r="AV2940" s="35">
        <f>INDEX(AV$263:AV$279,$F2940)*$D2940*INDEX(AV$23:AV$30,$E2940)</f>
        <v/>
      </c>
      <c r="AW2940" s="35">
        <f>INDEX(AW$263:AW$279,$F2940)*$D2940*INDEX(AW$23:AW$30,$E2940)</f>
        <v/>
      </c>
      <c r="AX2940" s="35">
        <f>INDEX(AX$263:AX$279,$F2940)*$D2940*INDEX(AX$23:AX$30,$E2940)</f>
        <v/>
      </c>
      <c r="AY2940" s="35">
        <f>INDEX(AY$263:AY$279,$F2940)*$D2940*INDEX(AY$23:AY$30,$E2940)</f>
        <v/>
      </c>
      <c r="AZ2940" s="35">
        <f>INDEX(AZ$263:AZ$279,$F2940)*$D2940*INDEX(AZ$23:AZ$30,$E2940)</f>
        <v/>
      </c>
      <c r="BA2940" s="42">
        <f>CARBONTAX(INDEX(BA$263:BA$279,$F2940),$D2940,INDEX(BA$23:BA$30,$E2940))</f>
        <v/>
      </c>
    </row>
    <row r="2941" hidden="1" outlineLevel="2">
      <c r="A2941" s="14" t="inlineStr">
        <is>
          <t>ctxnew</t>
        </is>
      </c>
      <c r="B2941" s="14" t="inlineStr">
        <is>
          <t>ker</t>
        </is>
      </c>
      <c r="C2941" s="14" t="inlineStr">
        <is>
          <t>oen</t>
        </is>
      </c>
      <c r="D2941" s="35">
        <f>INDEX(Inputs!$W$5:$W$132,MATCH($B2941&amp;"|"&amp;$C2941,Inputs!$A$5:$A$132,0))</f>
        <v/>
      </c>
      <c r="E2941" s="35">
        <f>INDEX(Inputs!$L$5:$L$132,MATCH($B2941&amp;"|"&amp;$C2941,Inputs!$A$5:$A$132,0))</f>
        <v/>
      </c>
      <c r="F2941" s="35">
        <f>INDEX(Inputs!$M$5:$M$132,MATCH($B2941&amp;"|"&amp;$C2941,Inputs!$A$5:$A$132,0))</f>
        <v/>
      </c>
      <c r="G2941" s="39" t="n"/>
      <c r="H2941" s="14">
        <f>INDEX(VarLab,MATCH($A2941,VarKey,0))&amp;INDEX(MemLab,MATCH($C2941&amp;"|"&amp;$B2941,MemKey,0))</f>
        <v/>
      </c>
      <c r="I2941" s="14">
        <f>INDEX(VarUnit,MATCH($A2941,VarKey,0))</f>
        <v/>
      </c>
      <c r="J2941" s="14">
        <f>INDEX(VarSrc,MATCH($A2941,VarKey,0))</f>
        <v/>
      </c>
      <c r="K2941" s="11">
        <f>CodePrefix&amp;$A2941&amp;IF($C2941="","","."&amp;$C2941&amp;"."&amp;$B2941)&amp;INDEX(VarEnd,MATCH($A2941,VarKey,0))&amp;K$5</f>
        <v/>
      </c>
      <c r="L2941" s="40">
        <f>INDEX(L$263:L$279,$F2941)*$D2941*INDEX(L$23:L$30,$E2941)</f>
        <v/>
      </c>
      <c r="M2941" s="35">
        <f>INDEX(M$263:M$279,$F2941)*$D2941*INDEX(M$23:M$30,$E2941)</f>
        <v/>
      </c>
      <c r="N2941" s="35">
        <f>INDEX(N$263:N$279,$F2941)*$D2941*INDEX(N$23:N$30,$E2941)</f>
        <v/>
      </c>
      <c r="O2941" s="35">
        <f>INDEX(O$263:O$279,$F2941)*$D2941*INDEX(O$23:O$30,$E2941)</f>
        <v/>
      </c>
      <c r="P2941" s="35">
        <f>INDEX(P$263:P$279,$F2941)*$D2941*INDEX(P$23:P$30,$E2941)</f>
        <v/>
      </c>
      <c r="Q2941" s="35">
        <f>INDEX(Q$263:Q$279,$F2941)*$D2941*INDEX(Q$23:Q$30,$E2941)</f>
        <v/>
      </c>
      <c r="R2941" s="35">
        <f>INDEX(R$263:R$279,$F2941)*$D2941*INDEX(R$23:R$30,$E2941)</f>
        <v/>
      </c>
      <c r="S2941" s="35">
        <f>INDEX(S$263:S$279,$F2941)*$D2941*INDEX(S$23:S$30,$E2941)</f>
        <v/>
      </c>
      <c r="T2941" s="35">
        <f>INDEX(T$263:T$279,$F2941)*$D2941*INDEX(T$23:T$30,$E2941)</f>
        <v/>
      </c>
      <c r="U2941" s="35">
        <f>INDEX(U$263:U$279,$F2941)*$D2941*INDEX(U$23:U$30,$E2941)</f>
        <v/>
      </c>
      <c r="V2941" s="35">
        <f>INDEX(V$263:V$279,$F2941)*$D2941*INDEX(V$23:V$30,$E2941)</f>
        <v/>
      </c>
      <c r="W2941" s="35">
        <f>INDEX(W$263:W$279,$F2941)*$D2941*INDEX(W$23:W$30,$E2941)</f>
        <v/>
      </c>
      <c r="X2941" s="35">
        <f>INDEX(X$263:X$279,$F2941)*$D2941*INDEX(X$23:X$30,$E2941)</f>
        <v/>
      </c>
      <c r="Y2941" s="35">
        <f>INDEX(Y$263:Y$279,$F2941)*$D2941*INDEX(Y$23:Y$30,$E2941)</f>
        <v/>
      </c>
      <c r="Z2941" s="35">
        <f>INDEX(Z$263:Z$279,$F2941)*$D2941*INDEX(Z$23:Z$30,$E2941)</f>
        <v/>
      </c>
      <c r="AA2941" s="35">
        <f>INDEX(AA$263:AA$279,$F2941)*$D2941*INDEX(AA$23:AA$30,$E2941)</f>
        <v/>
      </c>
      <c r="AB2941" s="35">
        <f>INDEX(AB$263:AB$279,$F2941)*$D2941*INDEX(AB$23:AB$30,$E2941)</f>
        <v/>
      </c>
      <c r="AC2941" s="35">
        <f>INDEX(AC$263:AC$279,$F2941)*$D2941*INDEX(AC$23:AC$30,$E2941)</f>
        <v/>
      </c>
      <c r="AD2941" s="35">
        <f>INDEX(AD$263:AD$279,$F2941)*$D2941*INDEX(AD$23:AD$30,$E2941)</f>
        <v/>
      </c>
      <c r="AE2941" s="42">
        <f>CARBONTAX(INDEX(AE$263:AE$279,$F2941),$D2941,INDEX(AE$23:AE$30,$E2941))</f>
        <v/>
      </c>
      <c r="AG2941" s="11">
        <f>CodePrefix&amp;$A2941&amp;IF($C2941="","","."&amp;$C2941&amp;"."&amp;$B2941)&amp;INDEX(VarEnd,MATCH($A2941,VarKey,0))&amp;AG$5</f>
        <v/>
      </c>
      <c r="AH2941" s="40">
        <f>INDEX(AH$263:AH$279,$F2941)*$D2941*INDEX(AH$23:AH$30,$E2941)</f>
        <v/>
      </c>
      <c r="AI2941" s="35">
        <f>INDEX(AI$263:AI$279,$F2941)*$D2941*INDEX(AI$23:AI$30,$E2941)</f>
        <v/>
      </c>
      <c r="AJ2941" s="35">
        <f>INDEX(AJ$263:AJ$279,$F2941)*$D2941*INDEX(AJ$23:AJ$30,$E2941)</f>
        <v/>
      </c>
      <c r="AK2941" s="35">
        <f>INDEX(AK$263:AK$279,$F2941)*$D2941*INDEX(AK$23:AK$30,$E2941)</f>
        <v/>
      </c>
      <c r="AL2941" s="35">
        <f>INDEX(AL$263:AL$279,$F2941)*$D2941*INDEX(AL$23:AL$30,$E2941)</f>
        <v/>
      </c>
      <c r="AM2941" s="35">
        <f>INDEX(AM$263:AM$279,$F2941)*$D2941*INDEX(AM$23:AM$30,$E2941)</f>
        <v/>
      </c>
      <c r="AN2941" s="35">
        <f>INDEX(AN$263:AN$279,$F2941)*$D2941*INDEX(AN$23:AN$30,$E2941)</f>
        <v/>
      </c>
      <c r="AO2941" s="35">
        <f>INDEX(AO$263:AO$279,$F2941)*$D2941*INDEX(AO$23:AO$30,$E2941)</f>
        <v/>
      </c>
      <c r="AP2941" s="35">
        <f>INDEX(AP$263:AP$279,$F2941)*$D2941*INDEX(AP$23:AP$30,$E2941)</f>
        <v/>
      </c>
      <c r="AQ2941" s="35">
        <f>INDEX(AQ$263:AQ$279,$F2941)*$D2941*INDEX(AQ$23:AQ$30,$E2941)</f>
        <v/>
      </c>
      <c r="AR2941" s="35">
        <f>INDEX(AR$263:AR$279,$F2941)*$D2941*INDEX(AR$23:AR$30,$E2941)</f>
        <v/>
      </c>
      <c r="AS2941" s="35">
        <f>INDEX(AS$263:AS$279,$F2941)*$D2941*INDEX(AS$23:AS$30,$E2941)</f>
        <v/>
      </c>
      <c r="AT2941" s="35">
        <f>INDEX(AT$263:AT$279,$F2941)*$D2941*INDEX(AT$23:AT$30,$E2941)</f>
        <v/>
      </c>
      <c r="AU2941" s="35">
        <f>INDEX(AU$263:AU$279,$F2941)*$D2941*INDEX(AU$23:AU$30,$E2941)</f>
        <v/>
      </c>
      <c r="AV2941" s="35">
        <f>INDEX(AV$263:AV$279,$F2941)*$D2941*INDEX(AV$23:AV$30,$E2941)</f>
        <v/>
      </c>
      <c r="AW2941" s="35">
        <f>INDEX(AW$263:AW$279,$F2941)*$D2941*INDEX(AW$23:AW$30,$E2941)</f>
        <v/>
      </c>
      <c r="AX2941" s="35">
        <f>INDEX(AX$263:AX$279,$F2941)*$D2941*INDEX(AX$23:AX$30,$E2941)</f>
        <v/>
      </c>
      <c r="AY2941" s="35">
        <f>INDEX(AY$263:AY$279,$F2941)*$D2941*INDEX(AY$23:AY$30,$E2941)</f>
        <v/>
      </c>
      <c r="AZ2941" s="35">
        <f>INDEX(AZ$263:AZ$279,$F2941)*$D2941*INDEX(AZ$23:AZ$30,$E2941)</f>
        <v/>
      </c>
      <c r="BA2941" s="42">
        <f>CARBONTAX(INDEX(BA$263:BA$279,$F2941),$D2941,INDEX(BA$23:BA$30,$E2941))</f>
        <v/>
      </c>
    </row>
    <row r="2942" hidden="1" outlineLevel="2">
      <c r="A2942" s="14" t="inlineStr">
        <is>
          <t>ctxnew</t>
        </is>
      </c>
      <c r="B2942" s="14" t="inlineStr">
        <is>
          <t>oop</t>
        </is>
      </c>
      <c r="C2942" s="14" t="inlineStr">
        <is>
          <t>oen</t>
        </is>
      </c>
      <c r="D2942" s="35">
        <f>INDEX(Inputs!$W$5:$W$132,MATCH($B2942&amp;"|"&amp;$C2942,Inputs!$A$5:$A$132,0))</f>
        <v/>
      </c>
      <c r="E2942" s="35">
        <f>INDEX(Inputs!$L$5:$L$132,MATCH($B2942&amp;"|"&amp;$C2942,Inputs!$A$5:$A$132,0))</f>
        <v/>
      </c>
      <c r="F2942" s="35">
        <f>INDEX(Inputs!$M$5:$M$132,MATCH($B2942&amp;"|"&amp;$C2942,Inputs!$A$5:$A$132,0))</f>
        <v/>
      </c>
      <c r="G2942" s="39" t="n"/>
      <c r="H2942" s="14">
        <f>INDEX(VarLab,MATCH($A2942,VarKey,0))&amp;INDEX(MemLab,MATCH($C2942&amp;"|"&amp;$B2942,MemKey,0))</f>
        <v/>
      </c>
      <c r="I2942" s="14">
        <f>INDEX(VarUnit,MATCH($A2942,VarKey,0))</f>
        <v/>
      </c>
      <c r="J2942" s="14">
        <f>INDEX(VarSrc,MATCH($A2942,VarKey,0))</f>
        <v/>
      </c>
      <c r="K2942" s="11">
        <f>CodePrefix&amp;$A2942&amp;IF($C2942="","","."&amp;$C2942&amp;"."&amp;$B2942)&amp;INDEX(VarEnd,MATCH($A2942,VarKey,0))&amp;K$5</f>
        <v/>
      </c>
      <c r="L2942" s="40">
        <f>INDEX(L$263:L$279,$F2942)*$D2942*INDEX(L$23:L$30,$E2942)</f>
        <v/>
      </c>
      <c r="M2942" s="35">
        <f>INDEX(M$263:M$279,$F2942)*$D2942*INDEX(M$23:M$30,$E2942)</f>
        <v/>
      </c>
      <c r="N2942" s="35">
        <f>INDEX(N$263:N$279,$F2942)*$D2942*INDEX(N$23:N$30,$E2942)</f>
        <v/>
      </c>
      <c r="O2942" s="35">
        <f>INDEX(O$263:O$279,$F2942)*$D2942*INDEX(O$23:O$30,$E2942)</f>
        <v/>
      </c>
      <c r="P2942" s="35">
        <f>INDEX(P$263:P$279,$F2942)*$D2942*INDEX(P$23:P$30,$E2942)</f>
        <v/>
      </c>
      <c r="Q2942" s="35">
        <f>INDEX(Q$263:Q$279,$F2942)*$D2942*INDEX(Q$23:Q$30,$E2942)</f>
        <v/>
      </c>
      <c r="R2942" s="35">
        <f>INDEX(R$263:R$279,$F2942)*$D2942*INDEX(R$23:R$30,$E2942)</f>
        <v/>
      </c>
      <c r="S2942" s="35">
        <f>INDEX(S$263:S$279,$F2942)*$D2942*INDEX(S$23:S$30,$E2942)</f>
        <v/>
      </c>
      <c r="T2942" s="35">
        <f>INDEX(T$263:T$279,$F2942)*$D2942*INDEX(T$23:T$30,$E2942)</f>
        <v/>
      </c>
      <c r="U2942" s="35">
        <f>INDEX(U$263:U$279,$F2942)*$D2942*INDEX(U$23:U$30,$E2942)</f>
        <v/>
      </c>
      <c r="V2942" s="35">
        <f>INDEX(V$263:V$279,$F2942)*$D2942*INDEX(V$23:V$30,$E2942)</f>
        <v/>
      </c>
      <c r="W2942" s="35">
        <f>INDEX(W$263:W$279,$F2942)*$D2942*INDEX(W$23:W$30,$E2942)</f>
        <v/>
      </c>
      <c r="X2942" s="35">
        <f>INDEX(X$263:X$279,$F2942)*$D2942*INDEX(X$23:X$30,$E2942)</f>
        <v/>
      </c>
      <c r="Y2942" s="35">
        <f>INDEX(Y$263:Y$279,$F2942)*$D2942*INDEX(Y$23:Y$30,$E2942)</f>
        <v/>
      </c>
      <c r="Z2942" s="35">
        <f>INDEX(Z$263:Z$279,$F2942)*$D2942*INDEX(Z$23:Z$30,$E2942)</f>
        <v/>
      </c>
      <c r="AA2942" s="35">
        <f>INDEX(AA$263:AA$279,$F2942)*$D2942*INDEX(AA$23:AA$30,$E2942)</f>
        <v/>
      </c>
      <c r="AB2942" s="35">
        <f>INDEX(AB$263:AB$279,$F2942)*$D2942*INDEX(AB$23:AB$30,$E2942)</f>
        <v/>
      </c>
      <c r="AC2942" s="35">
        <f>INDEX(AC$263:AC$279,$F2942)*$D2942*INDEX(AC$23:AC$30,$E2942)</f>
        <v/>
      </c>
      <c r="AD2942" s="35">
        <f>INDEX(AD$263:AD$279,$F2942)*$D2942*INDEX(AD$23:AD$30,$E2942)</f>
        <v/>
      </c>
      <c r="AE2942" s="42">
        <f>CARBONTAX(INDEX(AE$263:AE$279,$F2942),$D2942,INDEX(AE$23:AE$30,$E2942))</f>
        <v/>
      </c>
      <c r="AG2942" s="11">
        <f>CodePrefix&amp;$A2942&amp;IF($C2942="","","."&amp;$C2942&amp;"."&amp;$B2942)&amp;INDEX(VarEnd,MATCH($A2942,VarKey,0))&amp;AG$5</f>
        <v/>
      </c>
      <c r="AH2942" s="40">
        <f>INDEX(AH$263:AH$279,$F2942)*$D2942*INDEX(AH$23:AH$30,$E2942)</f>
        <v/>
      </c>
      <c r="AI2942" s="35">
        <f>INDEX(AI$263:AI$279,$F2942)*$D2942*INDEX(AI$23:AI$30,$E2942)</f>
        <v/>
      </c>
      <c r="AJ2942" s="35">
        <f>INDEX(AJ$263:AJ$279,$F2942)*$D2942*INDEX(AJ$23:AJ$30,$E2942)</f>
        <v/>
      </c>
      <c r="AK2942" s="35">
        <f>INDEX(AK$263:AK$279,$F2942)*$D2942*INDEX(AK$23:AK$30,$E2942)</f>
        <v/>
      </c>
      <c r="AL2942" s="35">
        <f>INDEX(AL$263:AL$279,$F2942)*$D2942*INDEX(AL$23:AL$30,$E2942)</f>
        <v/>
      </c>
      <c r="AM2942" s="35">
        <f>INDEX(AM$263:AM$279,$F2942)*$D2942*INDEX(AM$23:AM$30,$E2942)</f>
        <v/>
      </c>
      <c r="AN2942" s="35">
        <f>INDEX(AN$263:AN$279,$F2942)*$D2942*INDEX(AN$23:AN$30,$E2942)</f>
        <v/>
      </c>
      <c r="AO2942" s="35">
        <f>INDEX(AO$263:AO$279,$F2942)*$D2942*INDEX(AO$23:AO$30,$E2942)</f>
        <v/>
      </c>
      <c r="AP2942" s="35">
        <f>INDEX(AP$263:AP$279,$F2942)*$D2942*INDEX(AP$23:AP$30,$E2942)</f>
        <v/>
      </c>
      <c r="AQ2942" s="35">
        <f>INDEX(AQ$263:AQ$279,$F2942)*$D2942*INDEX(AQ$23:AQ$30,$E2942)</f>
        <v/>
      </c>
      <c r="AR2942" s="35">
        <f>INDEX(AR$263:AR$279,$F2942)*$D2942*INDEX(AR$23:AR$30,$E2942)</f>
        <v/>
      </c>
      <c r="AS2942" s="35">
        <f>INDEX(AS$263:AS$279,$F2942)*$D2942*INDEX(AS$23:AS$30,$E2942)</f>
        <v/>
      </c>
      <c r="AT2942" s="35">
        <f>INDEX(AT$263:AT$279,$F2942)*$D2942*INDEX(AT$23:AT$30,$E2942)</f>
        <v/>
      </c>
      <c r="AU2942" s="35">
        <f>INDEX(AU$263:AU$279,$F2942)*$D2942*INDEX(AU$23:AU$30,$E2942)</f>
        <v/>
      </c>
      <c r="AV2942" s="35">
        <f>INDEX(AV$263:AV$279,$F2942)*$D2942*INDEX(AV$23:AV$30,$E2942)</f>
        <v/>
      </c>
      <c r="AW2942" s="35">
        <f>INDEX(AW$263:AW$279,$F2942)*$D2942*INDEX(AW$23:AW$30,$E2942)</f>
        <v/>
      </c>
      <c r="AX2942" s="35">
        <f>INDEX(AX$263:AX$279,$F2942)*$D2942*INDEX(AX$23:AX$30,$E2942)</f>
        <v/>
      </c>
      <c r="AY2942" s="35">
        <f>INDEX(AY$263:AY$279,$F2942)*$D2942*INDEX(AY$23:AY$30,$E2942)</f>
        <v/>
      </c>
      <c r="AZ2942" s="35">
        <f>INDEX(AZ$263:AZ$279,$F2942)*$D2942*INDEX(AZ$23:AZ$30,$E2942)</f>
        <v/>
      </c>
      <c r="BA2942" s="42">
        <f>CARBONTAX(INDEX(BA$263:BA$279,$F2942),$D2942,INDEX(BA$23:BA$30,$E2942))</f>
        <v/>
      </c>
    </row>
    <row r="2943" hidden="1" outlineLevel="2">
      <c r="A2943" s="14" t="inlineStr">
        <is>
          <t>ctxnew</t>
        </is>
      </c>
      <c r="B2943" s="14" t="inlineStr">
        <is>
          <t>bio</t>
        </is>
      </c>
      <c r="C2943" s="14" t="inlineStr">
        <is>
          <t>oen</t>
        </is>
      </c>
      <c r="D2943" s="35">
        <f>INDEX(Inputs!$W$5:$W$132,MATCH($B2943&amp;"|"&amp;$C2943,Inputs!$A$5:$A$132,0))</f>
        <v/>
      </c>
      <c r="E2943" s="35">
        <f>INDEX(Inputs!$L$5:$L$132,MATCH($B2943&amp;"|"&amp;$C2943,Inputs!$A$5:$A$132,0))</f>
        <v/>
      </c>
      <c r="F2943" s="35">
        <f>INDEX(Inputs!$M$5:$M$132,MATCH($B2943&amp;"|"&amp;$C2943,Inputs!$A$5:$A$132,0))</f>
        <v/>
      </c>
      <c r="G2943" s="39" t="n"/>
      <c r="H2943" s="14">
        <f>INDEX(VarLab,MATCH($A2943,VarKey,0))&amp;INDEX(MemLab,MATCH($C2943&amp;"|"&amp;$B2943,MemKey,0))</f>
        <v/>
      </c>
      <c r="I2943" s="14">
        <f>INDEX(VarUnit,MATCH($A2943,VarKey,0))</f>
        <v/>
      </c>
      <c r="J2943" s="14">
        <f>INDEX(VarSrc,MATCH($A2943,VarKey,0))</f>
        <v/>
      </c>
      <c r="K2943" s="11">
        <f>CodePrefix&amp;$A2943&amp;IF($C2943="","","."&amp;$C2943&amp;"."&amp;$B2943)&amp;INDEX(VarEnd,MATCH($A2943,VarKey,0))&amp;K$5</f>
        <v/>
      </c>
      <c r="L2943" s="40">
        <f>INDEX(L$263:L$279,$F2943)*$D2943*INDEX(L$23:L$30,$E2943)</f>
        <v/>
      </c>
      <c r="M2943" s="35">
        <f>INDEX(M$263:M$279,$F2943)*$D2943*INDEX(M$23:M$30,$E2943)</f>
        <v/>
      </c>
      <c r="N2943" s="35">
        <f>INDEX(N$263:N$279,$F2943)*$D2943*INDEX(N$23:N$30,$E2943)</f>
        <v/>
      </c>
      <c r="O2943" s="35">
        <f>INDEX(O$263:O$279,$F2943)*$D2943*INDEX(O$23:O$30,$E2943)</f>
        <v/>
      </c>
      <c r="P2943" s="35">
        <f>INDEX(P$263:P$279,$F2943)*$D2943*INDEX(P$23:P$30,$E2943)</f>
        <v/>
      </c>
      <c r="Q2943" s="35">
        <f>INDEX(Q$263:Q$279,$F2943)*$D2943*INDEX(Q$23:Q$30,$E2943)</f>
        <v/>
      </c>
      <c r="R2943" s="35">
        <f>INDEX(R$263:R$279,$F2943)*$D2943*INDEX(R$23:R$30,$E2943)</f>
        <v/>
      </c>
      <c r="S2943" s="35">
        <f>INDEX(S$263:S$279,$F2943)*$D2943*INDEX(S$23:S$30,$E2943)</f>
        <v/>
      </c>
      <c r="T2943" s="35">
        <f>INDEX(T$263:T$279,$F2943)*$D2943*INDEX(T$23:T$30,$E2943)</f>
        <v/>
      </c>
      <c r="U2943" s="35">
        <f>INDEX(U$263:U$279,$F2943)*$D2943*INDEX(U$23:U$30,$E2943)</f>
        <v/>
      </c>
      <c r="V2943" s="35">
        <f>INDEX(V$263:V$279,$F2943)*$D2943*INDEX(V$23:V$30,$E2943)</f>
        <v/>
      </c>
      <c r="W2943" s="35">
        <f>INDEX(W$263:W$279,$F2943)*$D2943*INDEX(W$23:W$30,$E2943)</f>
        <v/>
      </c>
      <c r="X2943" s="35">
        <f>INDEX(X$263:X$279,$F2943)*$D2943*INDEX(X$23:X$30,$E2943)</f>
        <v/>
      </c>
      <c r="Y2943" s="35">
        <f>INDEX(Y$263:Y$279,$F2943)*$D2943*INDEX(Y$23:Y$30,$E2943)</f>
        <v/>
      </c>
      <c r="Z2943" s="35">
        <f>INDEX(Z$263:Z$279,$F2943)*$D2943*INDEX(Z$23:Z$30,$E2943)</f>
        <v/>
      </c>
      <c r="AA2943" s="35">
        <f>INDEX(AA$263:AA$279,$F2943)*$D2943*INDEX(AA$23:AA$30,$E2943)</f>
        <v/>
      </c>
      <c r="AB2943" s="35">
        <f>INDEX(AB$263:AB$279,$F2943)*$D2943*INDEX(AB$23:AB$30,$E2943)</f>
        <v/>
      </c>
      <c r="AC2943" s="35">
        <f>INDEX(AC$263:AC$279,$F2943)*$D2943*INDEX(AC$23:AC$30,$E2943)</f>
        <v/>
      </c>
      <c r="AD2943" s="35">
        <f>INDEX(AD$263:AD$279,$F2943)*$D2943*INDEX(AD$23:AD$30,$E2943)</f>
        <v/>
      </c>
      <c r="AE2943" s="42">
        <f>CARBONTAX(INDEX(AE$263:AE$279,$F2943),$D2943,INDEX(AE$23:AE$30,$E2943))</f>
        <v/>
      </c>
      <c r="AG2943" s="11">
        <f>CodePrefix&amp;$A2943&amp;IF($C2943="","","."&amp;$C2943&amp;"."&amp;$B2943)&amp;INDEX(VarEnd,MATCH($A2943,VarKey,0))&amp;AG$5</f>
        <v/>
      </c>
      <c r="AH2943" s="40">
        <f>INDEX(AH$263:AH$279,$F2943)*$D2943*INDEX(AH$23:AH$30,$E2943)</f>
        <v/>
      </c>
      <c r="AI2943" s="35">
        <f>INDEX(AI$263:AI$279,$F2943)*$D2943*INDEX(AI$23:AI$30,$E2943)</f>
        <v/>
      </c>
      <c r="AJ2943" s="35">
        <f>INDEX(AJ$263:AJ$279,$F2943)*$D2943*INDEX(AJ$23:AJ$30,$E2943)</f>
        <v/>
      </c>
      <c r="AK2943" s="35">
        <f>INDEX(AK$263:AK$279,$F2943)*$D2943*INDEX(AK$23:AK$30,$E2943)</f>
        <v/>
      </c>
      <c r="AL2943" s="35">
        <f>INDEX(AL$263:AL$279,$F2943)*$D2943*INDEX(AL$23:AL$30,$E2943)</f>
        <v/>
      </c>
      <c r="AM2943" s="35">
        <f>INDEX(AM$263:AM$279,$F2943)*$D2943*INDEX(AM$23:AM$30,$E2943)</f>
        <v/>
      </c>
      <c r="AN2943" s="35">
        <f>INDEX(AN$263:AN$279,$F2943)*$D2943*INDEX(AN$23:AN$30,$E2943)</f>
        <v/>
      </c>
      <c r="AO2943" s="35">
        <f>INDEX(AO$263:AO$279,$F2943)*$D2943*INDEX(AO$23:AO$30,$E2943)</f>
        <v/>
      </c>
      <c r="AP2943" s="35">
        <f>INDEX(AP$263:AP$279,$F2943)*$D2943*INDEX(AP$23:AP$30,$E2943)</f>
        <v/>
      </c>
      <c r="AQ2943" s="35">
        <f>INDEX(AQ$263:AQ$279,$F2943)*$D2943*INDEX(AQ$23:AQ$30,$E2943)</f>
        <v/>
      </c>
      <c r="AR2943" s="35">
        <f>INDEX(AR$263:AR$279,$F2943)*$D2943*INDEX(AR$23:AR$30,$E2943)</f>
        <v/>
      </c>
      <c r="AS2943" s="35">
        <f>INDEX(AS$263:AS$279,$F2943)*$D2943*INDEX(AS$23:AS$30,$E2943)</f>
        <v/>
      </c>
      <c r="AT2943" s="35">
        <f>INDEX(AT$263:AT$279,$F2943)*$D2943*INDEX(AT$23:AT$30,$E2943)</f>
        <v/>
      </c>
      <c r="AU2943" s="35">
        <f>INDEX(AU$263:AU$279,$F2943)*$D2943*INDEX(AU$23:AU$30,$E2943)</f>
        <v/>
      </c>
      <c r="AV2943" s="35">
        <f>INDEX(AV$263:AV$279,$F2943)*$D2943*INDEX(AV$23:AV$30,$E2943)</f>
        <v/>
      </c>
      <c r="AW2943" s="35">
        <f>INDEX(AW$263:AW$279,$F2943)*$D2943*INDEX(AW$23:AW$30,$E2943)</f>
        <v/>
      </c>
      <c r="AX2943" s="35">
        <f>INDEX(AX$263:AX$279,$F2943)*$D2943*INDEX(AX$23:AX$30,$E2943)</f>
        <v/>
      </c>
      <c r="AY2943" s="35">
        <f>INDEX(AY$263:AY$279,$F2943)*$D2943*INDEX(AY$23:AY$30,$E2943)</f>
        <v/>
      </c>
      <c r="AZ2943" s="35">
        <f>INDEX(AZ$263:AZ$279,$F2943)*$D2943*INDEX(AZ$23:AZ$30,$E2943)</f>
        <v/>
      </c>
      <c r="BA2943" s="42">
        <f>CARBONTAX(INDEX(BA$263:BA$279,$F2943),$D2943,INDEX(BA$23:BA$30,$E2943))</f>
        <v/>
      </c>
    </row>
    <row r="2944" hidden="1" outlineLevel="2"/>
    <row r="2945" hidden="1" outlineLevel="2">
      <c r="A2945" s="14" t="inlineStr">
        <is>
          <t>ets</t>
        </is>
      </c>
      <c r="B2945" s="14" t="inlineStr">
        <is>
          <t>coa</t>
        </is>
      </c>
      <c r="C2945" s="14" t="inlineStr">
        <is>
          <t>oen</t>
        </is>
      </c>
      <c r="D2945" s="35">
        <f>INDEX(Inputs!$W$5:$W$132,MATCH($B2945&amp;"|"&amp;$C2945,Inputs!$A$5:$A$132,0))</f>
        <v/>
      </c>
      <c r="E2945" s="35">
        <f>INDEX(Inputs!$M$5:$M$132,MATCH($B2945&amp;"|"&amp;$C2945,Inputs!$A$5:$A$132,0))</f>
        <v/>
      </c>
      <c r="F2945" s="39" t="n"/>
      <c r="G2945" s="39" t="n"/>
      <c r="H2945" s="14">
        <f>INDEX(VarLab,MATCH($A2945,VarKey,0))&amp;INDEX(MemLab,MATCH($C2945&amp;"|"&amp;$B2945,MemKey,0))</f>
        <v/>
      </c>
      <c r="I2945" s="14">
        <f>INDEX(VarUnit,MATCH($A2945,VarKey,0))</f>
        <v/>
      </c>
      <c r="J2945" s="14">
        <f>INDEX(VarSrc,MATCH($A2945,VarKey,0))</f>
        <v/>
      </c>
      <c r="K2945" s="11">
        <f>CodePrefix&amp;$A2945&amp;IF($C2945="","","."&amp;$C2945&amp;"."&amp;$B2945)&amp;INDEX(VarEnd,MATCH($A2945,VarKey,0))&amp;K$5</f>
        <v/>
      </c>
      <c r="L2945" s="40">
        <f>INDEX(L$280:L$296,$E2945)*$D2945</f>
        <v/>
      </c>
      <c r="M2945" s="35">
        <f>INDEX(M$280:M$296,$E2945)*$D2945</f>
        <v/>
      </c>
      <c r="N2945" s="35">
        <f>INDEX(N$280:N$296,$E2945)*$D2945</f>
        <v/>
      </c>
      <c r="O2945" s="35">
        <f>INDEX(O$280:O$296,$E2945)*$D2945</f>
        <v/>
      </c>
      <c r="P2945" s="35">
        <f>INDEX(P$280:P$296,$E2945)*$D2945</f>
        <v/>
      </c>
      <c r="Q2945" s="35">
        <f>INDEX(Q$280:Q$296,$E2945)*$D2945</f>
        <v/>
      </c>
      <c r="R2945" s="35">
        <f>INDEX(R$280:R$296,$E2945)*$D2945</f>
        <v/>
      </c>
      <c r="S2945" s="35">
        <f>INDEX(S$280:S$296,$E2945)*$D2945</f>
        <v/>
      </c>
      <c r="T2945" s="35">
        <f>INDEX(T$280:T$296,$E2945)*$D2945</f>
        <v/>
      </c>
      <c r="U2945" s="35">
        <f>INDEX(U$280:U$296,$E2945)*$D2945</f>
        <v/>
      </c>
      <c r="V2945" s="35">
        <f>INDEX(V$280:V$296,$E2945)*$D2945</f>
        <v/>
      </c>
      <c r="W2945" s="35">
        <f>INDEX(W$280:W$296,$E2945)*$D2945</f>
        <v/>
      </c>
      <c r="X2945" s="35">
        <f>INDEX(X$280:X$296,$E2945)*$D2945</f>
        <v/>
      </c>
      <c r="Y2945" s="35">
        <f>INDEX(Y$280:Y$296,$E2945)*$D2945</f>
        <v/>
      </c>
      <c r="Z2945" s="35">
        <f>INDEX(Z$280:Z$296,$E2945)*$D2945</f>
        <v/>
      </c>
      <c r="AA2945" s="35">
        <f>INDEX(AA$280:AA$296,$E2945)*$D2945</f>
        <v/>
      </c>
      <c r="AB2945" s="35">
        <f>INDEX(AB$280:AB$296,$E2945)*$D2945</f>
        <v/>
      </c>
      <c r="AC2945" s="35">
        <f>INDEX(AC$280:AC$296,$E2945)*$D2945</f>
        <v/>
      </c>
      <c r="AD2945" s="35">
        <f>INDEX(AD$280:AD$296,$E2945)*$D2945</f>
        <v/>
      </c>
      <c r="AE2945" s="42">
        <f>ETSCOST(INDEX(AE$280:AE$296,$E2945),$D2945)</f>
        <v/>
      </c>
      <c r="AG2945" s="11">
        <f>CodePrefix&amp;$A2945&amp;IF($C2945="","","."&amp;$C2945&amp;"."&amp;$B2945)&amp;INDEX(VarEnd,MATCH($A2945,VarKey,0))&amp;AG$5</f>
        <v/>
      </c>
      <c r="AH2945" s="40">
        <f>INDEX(AH$280:AH$296,$E2945)*$D2945</f>
        <v/>
      </c>
      <c r="AI2945" s="35">
        <f>INDEX(AI$280:AI$296,$E2945)*$D2945</f>
        <v/>
      </c>
      <c r="AJ2945" s="35">
        <f>INDEX(AJ$280:AJ$296,$E2945)*$D2945</f>
        <v/>
      </c>
      <c r="AK2945" s="35">
        <f>INDEX(AK$280:AK$296,$E2945)*$D2945</f>
        <v/>
      </c>
      <c r="AL2945" s="35">
        <f>INDEX(AL$280:AL$296,$E2945)*$D2945</f>
        <v/>
      </c>
      <c r="AM2945" s="35">
        <f>INDEX(AM$280:AM$296,$E2945)*$D2945</f>
        <v/>
      </c>
      <c r="AN2945" s="35">
        <f>INDEX(AN$280:AN$296,$E2945)*$D2945</f>
        <v/>
      </c>
      <c r="AO2945" s="35">
        <f>INDEX(AO$280:AO$296,$E2945)*$D2945</f>
        <v/>
      </c>
      <c r="AP2945" s="35">
        <f>INDEX(AP$280:AP$296,$E2945)*$D2945</f>
        <v/>
      </c>
      <c r="AQ2945" s="35">
        <f>INDEX(AQ$280:AQ$296,$E2945)*$D2945</f>
        <v/>
      </c>
      <c r="AR2945" s="35">
        <f>INDEX(AR$280:AR$296,$E2945)*$D2945</f>
        <v/>
      </c>
      <c r="AS2945" s="35">
        <f>INDEX(AS$280:AS$296,$E2945)*$D2945</f>
        <v/>
      </c>
      <c r="AT2945" s="35">
        <f>INDEX(AT$280:AT$296,$E2945)*$D2945</f>
        <v/>
      </c>
      <c r="AU2945" s="35">
        <f>INDEX(AU$280:AU$296,$E2945)*$D2945</f>
        <v/>
      </c>
      <c r="AV2945" s="35">
        <f>INDEX(AV$280:AV$296,$E2945)*$D2945</f>
        <v/>
      </c>
      <c r="AW2945" s="35">
        <f>INDEX(AW$280:AW$296,$E2945)*$D2945</f>
        <v/>
      </c>
      <c r="AX2945" s="35">
        <f>INDEX(AX$280:AX$296,$E2945)*$D2945</f>
        <v/>
      </c>
      <c r="AY2945" s="35">
        <f>INDEX(AY$280:AY$296,$E2945)*$D2945</f>
        <v/>
      </c>
      <c r="AZ2945" s="35">
        <f>INDEX(AZ$280:AZ$296,$E2945)*$D2945</f>
        <v/>
      </c>
      <c r="BA2945" s="42">
        <f>ETSCOST(INDEX(BA$280:BA$296,$E2945),$D2945)</f>
        <v/>
      </c>
    </row>
    <row r="2946" hidden="1" outlineLevel="2">
      <c r="A2946" s="14" t="inlineStr">
        <is>
          <t>ets</t>
        </is>
      </c>
      <c r="B2946" s="14" t="inlineStr">
        <is>
          <t>nga</t>
        </is>
      </c>
      <c r="C2946" s="14" t="inlineStr">
        <is>
          <t>oen</t>
        </is>
      </c>
      <c r="D2946" s="35">
        <f>INDEX(Inputs!$W$5:$W$132,MATCH($B2946&amp;"|"&amp;$C2946,Inputs!$A$5:$A$132,0))</f>
        <v/>
      </c>
      <c r="E2946" s="35">
        <f>INDEX(Inputs!$M$5:$M$132,MATCH($B2946&amp;"|"&amp;$C2946,Inputs!$A$5:$A$132,0))</f>
        <v/>
      </c>
      <c r="F2946" s="39" t="n"/>
      <c r="G2946" s="39" t="n"/>
      <c r="H2946" s="14">
        <f>INDEX(VarLab,MATCH($A2946,VarKey,0))&amp;INDEX(MemLab,MATCH($C2946&amp;"|"&amp;$B2946,MemKey,0))</f>
        <v/>
      </c>
      <c r="I2946" s="14">
        <f>INDEX(VarUnit,MATCH($A2946,VarKey,0))</f>
        <v/>
      </c>
      <c r="J2946" s="14">
        <f>INDEX(VarSrc,MATCH($A2946,VarKey,0))</f>
        <v/>
      </c>
      <c r="K2946" s="11">
        <f>CodePrefix&amp;$A2946&amp;IF($C2946="","","."&amp;$C2946&amp;"."&amp;$B2946)&amp;INDEX(VarEnd,MATCH($A2946,VarKey,0))&amp;K$5</f>
        <v/>
      </c>
      <c r="L2946" s="40">
        <f>INDEX(L$280:L$296,$E2946)*$D2946</f>
        <v/>
      </c>
      <c r="M2946" s="35">
        <f>INDEX(M$280:M$296,$E2946)*$D2946</f>
        <v/>
      </c>
      <c r="N2946" s="35">
        <f>INDEX(N$280:N$296,$E2946)*$D2946</f>
        <v/>
      </c>
      <c r="O2946" s="35">
        <f>INDEX(O$280:O$296,$E2946)*$D2946</f>
        <v/>
      </c>
      <c r="P2946" s="35">
        <f>INDEX(P$280:P$296,$E2946)*$D2946</f>
        <v/>
      </c>
      <c r="Q2946" s="35">
        <f>INDEX(Q$280:Q$296,$E2946)*$D2946</f>
        <v/>
      </c>
      <c r="R2946" s="35">
        <f>INDEX(R$280:R$296,$E2946)*$D2946</f>
        <v/>
      </c>
      <c r="S2946" s="35">
        <f>INDEX(S$280:S$296,$E2946)*$D2946</f>
        <v/>
      </c>
      <c r="T2946" s="35">
        <f>INDEX(T$280:T$296,$E2946)*$D2946</f>
        <v/>
      </c>
      <c r="U2946" s="35">
        <f>INDEX(U$280:U$296,$E2946)*$D2946</f>
        <v/>
      </c>
      <c r="V2946" s="35">
        <f>INDEX(V$280:V$296,$E2946)*$D2946</f>
        <v/>
      </c>
      <c r="W2946" s="35">
        <f>INDEX(W$280:W$296,$E2946)*$D2946</f>
        <v/>
      </c>
      <c r="X2946" s="35">
        <f>INDEX(X$280:X$296,$E2946)*$D2946</f>
        <v/>
      </c>
      <c r="Y2946" s="35">
        <f>INDEX(Y$280:Y$296,$E2946)*$D2946</f>
        <v/>
      </c>
      <c r="Z2946" s="35">
        <f>INDEX(Z$280:Z$296,$E2946)*$D2946</f>
        <v/>
      </c>
      <c r="AA2946" s="35">
        <f>INDEX(AA$280:AA$296,$E2946)*$D2946</f>
        <v/>
      </c>
      <c r="AB2946" s="35">
        <f>INDEX(AB$280:AB$296,$E2946)*$D2946</f>
        <v/>
      </c>
      <c r="AC2946" s="35">
        <f>INDEX(AC$280:AC$296,$E2946)*$D2946</f>
        <v/>
      </c>
      <c r="AD2946" s="35">
        <f>INDEX(AD$280:AD$296,$E2946)*$D2946</f>
        <v/>
      </c>
      <c r="AE2946" s="42">
        <f>ETSCOST(INDEX(AE$280:AE$296,$E2946),$D2946)</f>
        <v/>
      </c>
      <c r="AG2946" s="11">
        <f>CodePrefix&amp;$A2946&amp;IF($C2946="","","."&amp;$C2946&amp;"."&amp;$B2946)&amp;INDEX(VarEnd,MATCH($A2946,VarKey,0))&amp;AG$5</f>
        <v/>
      </c>
      <c r="AH2946" s="40">
        <f>INDEX(AH$280:AH$296,$E2946)*$D2946</f>
        <v/>
      </c>
      <c r="AI2946" s="35">
        <f>INDEX(AI$280:AI$296,$E2946)*$D2946</f>
        <v/>
      </c>
      <c r="AJ2946" s="35">
        <f>INDEX(AJ$280:AJ$296,$E2946)*$D2946</f>
        <v/>
      </c>
      <c r="AK2946" s="35">
        <f>INDEX(AK$280:AK$296,$E2946)*$D2946</f>
        <v/>
      </c>
      <c r="AL2946" s="35">
        <f>INDEX(AL$280:AL$296,$E2946)*$D2946</f>
        <v/>
      </c>
      <c r="AM2946" s="35">
        <f>INDEX(AM$280:AM$296,$E2946)*$D2946</f>
        <v/>
      </c>
      <c r="AN2946" s="35">
        <f>INDEX(AN$280:AN$296,$E2946)*$D2946</f>
        <v/>
      </c>
      <c r="AO2946" s="35">
        <f>INDEX(AO$280:AO$296,$E2946)*$D2946</f>
        <v/>
      </c>
      <c r="AP2946" s="35">
        <f>INDEX(AP$280:AP$296,$E2946)*$D2946</f>
        <v/>
      </c>
      <c r="AQ2946" s="35">
        <f>INDEX(AQ$280:AQ$296,$E2946)*$D2946</f>
        <v/>
      </c>
      <c r="AR2946" s="35">
        <f>INDEX(AR$280:AR$296,$E2946)*$D2946</f>
        <v/>
      </c>
      <c r="AS2946" s="35">
        <f>INDEX(AS$280:AS$296,$E2946)*$D2946</f>
        <v/>
      </c>
      <c r="AT2946" s="35">
        <f>INDEX(AT$280:AT$296,$E2946)*$D2946</f>
        <v/>
      </c>
      <c r="AU2946" s="35">
        <f>INDEX(AU$280:AU$296,$E2946)*$D2946</f>
        <v/>
      </c>
      <c r="AV2946" s="35">
        <f>INDEX(AV$280:AV$296,$E2946)*$D2946</f>
        <v/>
      </c>
      <c r="AW2946" s="35">
        <f>INDEX(AW$280:AW$296,$E2946)*$D2946</f>
        <v/>
      </c>
      <c r="AX2946" s="35">
        <f>INDEX(AX$280:AX$296,$E2946)*$D2946</f>
        <v/>
      </c>
      <c r="AY2946" s="35">
        <f>INDEX(AY$280:AY$296,$E2946)*$D2946</f>
        <v/>
      </c>
      <c r="AZ2946" s="35">
        <f>INDEX(AZ$280:AZ$296,$E2946)*$D2946</f>
        <v/>
      </c>
      <c r="BA2946" s="42">
        <f>ETSCOST(INDEX(BA$280:BA$296,$E2946),$D2946)</f>
        <v/>
      </c>
    </row>
    <row r="2947" hidden="1" outlineLevel="2">
      <c r="A2947" s="14" t="inlineStr">
        <is>
          <t>ets</t>
        </is>
      </c>
      <c r="B2947" s="14" t="inlineStr">
        <is>
          <t>gso</t>
        </is>
      </c>
      <c r="C2947" s="14" t="inlineStr">
        <is>
          <t>oen</t>
        </is>
      </c>
      <c r="D2947" s="35">
        <f>INDEX(Inputs!$W$5:$W$132,MATCH($B2947&amp;"|"&amp;$C2947,Inputs!$A$5:$A$132,0))</f>
        <v/>
      </c>
      <c r="E2947" s="35">
        <f>INDEX(Inputs!$M$5:$M$132,MATCH($B2947&amp;"|"&amp;$C2947,Inputs!$A$5:$A$132,0))</f>
        <v/>
      </c>
      <c r="F2947" s="39" t="n"/>
      <c r="G2947" s="39" t="n"/>
      <c r="H2947" s="14">
        <f>INDEX(VarLab,MATCH($A2947,VarKey,0))&amp;INDEX(MemLab,MATCH($C2947&amp;"|"&amp;$B2947,MemKey,0))</f>
        <v/>
      </c>
      <c r="I2947" s="14">
        <f>INDEX(VarUnit,MATCH($A2947,VarKey,0))</f>
        <v/>
      </c>
      <c r="J2947" s="14">
        <f>INDEX(VarSrc,MATCH($A2947,VarKey,0))</f>
        <v/>
      </c>
      <c r="K2947" s="11">
        <f>CodePrefix&amp;$A2947&amp;IF($C2947="","","."&amp;$C2947&amp;"."&amp;$B2947)&amp;INDEX(VarEnd,MATCH($A2947,VarKey,0))&amp;K$5</f>
        <v/>
      </c>
      <c r="L2947" s="40">
        <f>INDEX(L$280:L$296,$E2947)*$D2947</f>
        <v/>
      </c>
      <c r="M2947" s="35">
        <f>INDEX(M$280:M$296,$E2947)*$D2947</f>
        <v/>
      </c>
      <c r="N2947" s="35">
        <f>INDEX(N$280:N$296,$E2947)*$D2947</f>
        <v/>
      </c>
      <c r="O2947" s="35">
        <f>INDEX(O$280:O$296,$E2947)*$D2947</f>
        <v/>
      </c>
      <c r="P2947" s="35">
        <f>INDEX(P$280:P$296,$E2947)*$D2947</f>
        <v/>
      </c>
      <c r="Q2947" s="35">
        <f>INDEX(Q$280:Q$296,$E2947)*$D2947</f>
        <v/>
      </c>
      <c r="R2947" s="35">
        <f>INDEX(R$280:R$296,$E2947)*$D2947</f>
        <v/>
      </c>
      <c r="S2947" s="35">
        <f>INDEX(S$280:S$296,$E2947)*$D2947</f>
        <v/>
      </c>
      <c r="T2947" s="35">
        <f>INDEX(T$280:T$296,$E2947)*$D2947</f>
        <v/>
      </c>
      <c r="U2947" s="35">
        <f>INDEX(U$280:U$296,$E2947)*$D2947</f>
        <v/>
      </c>
      <c r="V2947" s="35">
        <f>INDEX(V$280:V$296,$E2947)*$D2947</f>
        <v/>
      </c>
      <c r="W2947" s="35">
        <f>INDEX(W$280:W$296,$E2947)*$D2947</f>
        <v/>
      </c>
      <c r="X2947" s="35">
        <f>INDEX(X$280:X$296,$E2947)*$D2947</f>
        <v/>
      </c>
      <c r="Y2947" s="35">
        <f>INDEX(Y$280:Y$296,$E2947)*$D2947</f>
        <v/>
      </c>
      <c r="Z2947" s="35">
        <f>INDEX(Z$280:Z$296,$E2947)*$D2947</f>
        <v/>
      </c>
      <c r="AA2947" s="35">
        <f>INDEX(AA$280:AA$296,$E2947)*$D2947</f>
        <v/>
      </c>
      <c r="AB2947" s="35">
        <f>INDEX(AB$280:AB$296,$E2947)*$D2947</f>
        <v/>
      </c>
      <c r="AC2947" s="35">
        <f>INDEX(AC$280:AC$296,$E2947)*$D2947</f>
        <v/>
      </c>
      <c r="AD2947" s="35">
        <f>INDEX(AD$280:AD$296,$E2947)*$D2947</f>
        <v/>
      </c>
      <c r="AE2947" s="42">
        <f>ETSCOST(INDEX(AE$280:AE$296,$E2947),$D2947)</f>
        <v/>
      </c>
      <c r="AG2947" s="11">
        <f>CodePrefix&amp;$A2947&amp;IF($C2947="","","."&amp;$C2947&amp;"."&amp;$B2947)&amp;INDEX(VarEnd,MATCH($A2947,VarKey,0))&amp;AG$5</f>
        <v/>
      </c>
      <c r="AH2947" s="40">
        <f>INDEX(AH$280:AH$296,$E2947)*$D2947</f>
        <v/>
      </c>
      <c r="AI2947" s="35">
        <f>INDEX(AI$280:AI$296,$E2947)*$D2947</f>
        <v/>
      </c>
      <c r="AJ2947" s="35">
        <f>INDEX(AJ$280:AJ$296,$E2947)*$D2947</f>
        <v/>
      </c>
      <c r="AK2947" s="35">
        <f>INDEX(AK$280:AK$296,$E2947)*$D2947</f>
        <v/>
      </c>
      <c r="AL2947" s="35">
        <f>INDEX(AL$280:AL$296,$E2947)*$D2947</f>
        <v/>
      </c>
      <c r="AM2947" s="35">
        <f>INDEX(AM$280:AM$296,$E2947)*$D2947</f>
        <v/>
      </c>
      <c r="AN2947" s="35">
        <f>INDEX(AN$280:AN$296,$E2947)*$D2947</f>
        <v/>
      </c>
      <c r="AO2947" s="35">
        <f>INDEX(AO$280:AO$296,$E2947)*$D2947</f>
        <v/>
      </c>
      <c r="AP2947" s="35">
        <f>INDEX(AP$280:AP$296,$E2947)*$D2947</f>
        <v/>
      </c>
      <c r="AQ2947" s="35">
        <f>INDEX(AQ$280:AQ$296,$E2947)*$D2947</f>
        <v/>
      </c>
      <c r="AR2947" s="35">
        <f>INDEX(AR$280:AR$296,$E2947)*$D2947</f>
        <v/>
      </c>
      <c r="AS2947" s="35">
        <f>INDEX(AS$280:AS$296,$E2947)*$D2947</f>
        <v/>
      </c>
      <c r="AT2947" s="35">
        <f>INDEX(AT$280:AT$296,$E2947)*$D2947</f>
        <v/>
      </c>
      <c r="AU2947" s="35">
        <f>INDEX(AU$280:AU$296,$E2947)*$D2947</f>
        <v/>
      </c>
      <c r="AV2947" s="35">
        <f>INDEX(AV$280:AV$296,$E2947)*$D2947</f>
        <v/>
      </c>
      <c r="AW2947" s="35">
        <f>INDEX(AW$280:AW$296,$E2947)*$D2947</f>
        <v/>
      </c>
      <c r="AX2947" s="35">
        <f>INDEX(AX$280:AX$296,$E2947)*$D2947</f>
        <v/>
      </c>
      <c r="AY2947" s="35">
        <f>INDEX(AY$280:AY$296,$E2947)*$D2947</f>
        <v/>
      </c>
      <c r="AZ2947" s="35">
        <f>INDEX(AZ$280:AZ$296,$E2947)*$D2947</f>
        <v/>
      </c>
      <c r="BA2947" s="42">
        <f>ETSCOST(INDEX(BA$280:BA$296,$E2947),$D2947)</f>
        <v/>
      </c>
    </row>
    <row r="2948" hidden="1" outlineLevel="2">
      <c r="A2948" s="14" t="inlineStr">
        <is>
          <t>ets</t>
        </is>
      </c>
      <c r="B2948" s="14" t="inlineStr">
        <is>
          <t>die</t>
        </is>
      </c>
      <c r="C2948" s="14" t="inlineStr">
        <is>
          <t>oen</t>
        </is>
      </c>
      <c r="D2948" s="35">
        <f>INDEX(Inputs!$W$5:$W$132,MATCH($B2948&amp;"|"&amp;$C2948,Inputs!$A$5:$A$132,0))</f>
        <v/>
      </c>
      <c r="E2948" s="35">
        <f>INDEX(Inputs!$M$5:$M$132,MATCH($B2948&amp;"|"&amp;$C2948,Inputs!$A$5:$A$132,0))</f>
        <v/>
      </c>
      <c r="F2948" s="39" t="n"/>
      <c r="G2948" s="39" t="n"/>
      <c r="H2948" s="14">
        <f>INDEX(VarLab,MATCH($A2948,VarKey,0))&amp;INDEX(MemLab,MATCH($C2948&amp;"|"&amp;$B2948,MemKey,0))</f>
        <v/>
      </c>
      <c r="I2948" s="14">
        <f>INDEX(VarUnit,MATCH($A2948,VarKey,0))</f>
        <v/>
      </c>
      <c r="J2948" s="14">
        <f>INDEX(VarSrc,MATCH($A2948,VarKey,0))</f>
        <v/>
      </c>
      <c r="K2948" s="11">
        <f>CodePrefix&amp;$A2948&amp;IF($C2948="","","."&amp;$C2948&amp;"."&amp;$B2948)&amp;INDEX(VarEnd,MATCH($A2948,VarKey,0))&amp;K$5</f>
        <v/>
      </c>
      <c r="L2948" s="40">
        <f>INDEX(L$280:L$296,$E2948)*$D2948</f>
        <v/>
      </c>
      <c r="M2948" s="35">
        <f>INDEX(M$280:M$296,$E2948)*$D2948</f>
        <v/>
      </c>
      <c r="N2948" s="35">
        <f>INDEX(N$280:N$296,$E2948)*$D2948</f>
        <v/>
      </c>
      <c r="O2948" s="35">
        <f>INDEX(O$280:O$296,$E2948)*$D2948</f>
        <v/>
      </c>
      <c r="P2948" s="35">
        <f>INDEX(P$280:P$296,$E2948)*$D2948</f>
        <v/>
      </c>
      <c r="Q2948" s="35">
        <f>INDEX(Q$280:Q$296,$E2948)*$D2948</f>
        <v/>
      </c>
      <c r="R2948" s="35">
        <f>INDEX(R$280:R$296,$E2948)*$D2948</f>
        <v/>
      </c>
      <c r="S2948" s="35">
        <f>INDEX(S$280:S$296,$E2948)*$D2948</f>
        <v/>
      </c>
      <c r="T2948" s="35">
        <f>INDEX(T$280:T$296,$E2948)*$D2948</f>
        <v/>
      </c>
      <c r="U2948" s="35">
        <f>INDEX(U$280:U$296,$E2948)*$D2948</f>
        <v/>
      </c>
      <c r="V2948" s="35">
        <f>INDEX(V$280:V$296,$E2948)*$D2948</f>
        <v/>
      </c>
      <c r="W2948" s="35">
        <f>INDEX(W$280:W$296,$E2948)*$D2948</f>
        <v/>
      </c>
      <c r="X2948" s="35">
        <f>INDEX(X$280:X$296,$E2948)*$D2948</f>
        <v/>
      </c>
      <c r="Y2948" s="35">
        <f>INDEX(Y$280:Y$296,$E2948)*$D2948</f>
        <v/>
      </c>
      <c r="Z2948" s="35">
        <f>INDEX(Z$280:Z$296,$E2948)*$D2948</f>
        <v/>
      </c>
      <c r="AA2948" s="35">
        <f>INDEX(AA$280:AA$296,$E2948)*$D2948</f>
        <v/>
      </c>
      <c r="AB2948" s="35">
        <f>INDEX(AB$280:AB$296,$E2948)*$D2948</f>
        <v/>
      </c>
      <c r="AC2948" s="35">
        <f>INDEX(AC$280:AC$296,$E2948)*$D2948</f>
        <v/>
      </c>
      <c r="AD2948" s="35">
        <f>INDEX(AD$280:AD$296,$E2948)*$D2948</f>
        <v/>
      </c>
      <c r="AE2948" s="42">
        <f>ETSCOST(INDEX(AE$280:AE$296,$E2948),$D2948)</f>
        <v/>
      </c>
      <c r="AG2948" s="11">
        <f>CodePrefix&amp;$A2948&amp;IF($C2948="","","."&amp;$C2948&amp;"."&amp;$B2948)&amp;INDEX(VarEnd,MATCH($A2948,VarKey,0))&amp;AG$5</f>
        <v/>
      </c>
      <c r="AH2948" s="40">
        <f>INDEX(AH$280:AH$296,$E2948)*$D2948</f>
        <v/>
      </c>
      <c r="AI2948" s="35">
        <f>INDEX(AI$280:AI$296,$E2948)*$D2948</f>
        <v/>
      </c>
      <c r="AJ2948" s="35">
        <f>INDEX(AJ$280:AJ$296,$E2948)*$D2948</f>
        <v/>
      </c>
      <c r="AK2948" s="35">
        <f>INDEX(AK$280:AK$296,$E2948)*$D2948</f>
        <v/>
      </c>
      <c r="AL2948" s="35">
        <f>INDEX(AL$280:AL$296,$E2948)*$D2948</f>
        <v/>
      </c>
      <c r="AM2948" s="35">
        <f>INDEX(AM$280:AM$296,$E2948)*$D2948</f>
        <v/>
      </c>
      <c r="AN2948" s="35">
        <f>INDEX(AN$280:AN$296,$E2948)*$D2948</f>
        <v/>
      </c>
      <c r="AO2948" s="35">
        <f>INDEX(AO$280:AO$296,$E2948)*$D2948</f>
        <v/>
      </c>
      <c r="AP2948" s="35">
        <f>INDEX(AP$280:AP$296,$E2948)*$D2948</f>
        <v/>
      </c>
      <c r="AQ2948" s="35">
        <f>INDEX(AQ$280:AQ$296,$E2948)*$D2948</f>
        <v/>
      </c>
      <c r="AR2948" s="35">
        <f>INDEX(AR$280:AR$296,$E2948)*$D2948</f>
        <v/>
      </c>
      <c r="AS2948" s="35">
        <f>INDEX(AS$280:AS$296,$E2948)*$D2948</f>
        <v/>
      </c>
      <c r="AT2948" s="35">
        <f>INDEX(AT$280:AT$296,$E2948)*$D2948</f>
        <v/>
      </c>
      <c r="AU2948" s="35">
        <f>INDEX(AU$280:AU$296,$E2948)*$D2948</f>
        <v/>
      </c>
      <c r="AV2948" s="35">
        <f>INDEX(AV$280:AV$296,$E2948)*$D2948</f>
        <v/>
      </c>
      <c r="AW2948" s="35">
        <f>INDEX(AW$280:AW$296,$E2948)*$D2948</f>
        <v/>
      </c>
      <c r="AX2948" s="35">
        <f>INDEX(AX$280:AX$296,$E2948)*$D2948</f>
        <v/>
      </c>
      <c r="AY2948" s="35">
        <f>INDEX(AY$280:AY$296,$E2948)*$D2948</f>
        <v/>
      </c>
      <c r="AZ2948" s="35">
        <f>INDEX(AZ$280:AZ$296,$E2948)*$D2948</f>
        <v/>
      </c>
      <c r="BA2948" s="42">
        <f>ETSCOST(INDEX(BA$280:BA$296,$E2948),$D2948)</f>
        <v/>
      </c>
    </row>
    <row r="2949" hidden="1" outlineLevel="2">
      <c r="A2949" s="14" t="inlineStr">
        <is>
          <t>ets</t>
        </is>
      </c>
      <c r="B2949" s="14" t="inlineStr">
        <is>
          <t>lpg</t>
        </is>
      </c>
      <c r="C2949" s="14" t="inlineStr">
        <is>
          <t>oen</t>
        </is>
      </c>
      <c r="D2949" s="35">
        <f>INDEX(Inputs!$W$5:$W$132,MATCH($B2949&amp;"|"&amp;$C2949,Inputs!$A$5:$A$132,0))</f>
        <v/>
      </c>
      <c r="E2949" s="35">
        <f>INDEX(Inputs!$M$5:$M$132,MATCH($B2949&amp;"|"&amp;$C2949,Inputs!$A$5:$A$132,0))</f>
        <v/>
      </c>
      <c r="F2949" s="39" t="n"/>
      <c r="G2949" s="39" t="n"/>
      <c r="H2949" s="14">
        <f>INDEX(VarLab,MATCH($A2949,VarKey,0))&amp;INDEX(MemLab,MATCH($C2949&amp;"|"&amp;$B2949,MemKey,0))</f>
        <v/>
      </c>
      <c r="I2949" s="14">
        <f>INDEX(VarUnit,MATCH($A2949,VarKey,0))</f>
        <v/>
      </c>
      <c r="J2949" s="14">
        <f>INDEX(VarSrc,MATCH($A2949,VarKey,0))</f>
        <v/>
      </c>
      <c r="K2949" s="11">
        <f>CodePrefix&amp;$A2949&amp;IF($C2949="","","."&amp;$C2949&amp;"."&amp;$B2949)&amp;INDEX(VarEnd,MATCH($A2949,VarKey,0))&amp;K$5</f>
        <v/>
      </c>
      <c r="L2949" s="40">
        <f>INDEX(L$280:L$296,$E2949)*$D2949</f>
        <v/>
      </c>
      <c r="M2949" s="35">
        <f>INDEX(M$280:M$296,$E2949)*$D2949</f>
        <v/>
      </c>
      <c r="N2949" s="35">
        <f>INDEX(N$280:N$296,$E2949)*$D2949</f>
        <v/>
      </c>
      <c r="O2949" s="35">
        <f>INDEX(O$280:O$296,$E2949)*$D2949</f>
        <v/>
      </c>
      <c r="P2949" s="35">
        <f>INDEX(P$280:P$296,$E2949)*$D2949</f>
        <v/>
      </c>
      <c r="Q2949" s="35">
        <f>INDEX(Q$280:Q$296,$E2949)*$D2949</f>
        <v/>
      </c>
      <c r="R2949" s="35">
        <f>INDEX(R$280:R$296,$E2949)*$D2949</f>
        <v/>
      </c>
      <c r="S2949" s="35">
        <f>INDEX(S$280:S$296,$E2949)*$D2949</f>
        <v/>
      </c>
      <c r="T2949" s="35">
        <f>INDEX(T$280:T$296,$E2949)*$D2949</f>
        <v/>
      </c>
      <c r="U2949" s="35">
        <f>INDEX(U$280:U$296,$E2949)*$D2949</f>
        <v/>
      </c>
      <c r="V2949" s="35">
        <f>INDEX(V$280:V$296,$E2949)*$D2949</f>
        <v/>
      </c>
      <c r="W2949" s="35">
        <f>INDEX(W$280:W$296,$E2949)*$D2949</f>
        <v/>
      </c>
      <c r="X2949" s="35">
        <f>INDEX(X$280:X$296,$E2949)*$D2949</f>
        <v/>
      </c>
      <c r="Y2949" s="35">
        <f>INDEX(Y$280:Y$296,$E2949)*$D2949</f>
        <v/>
      </c>
      <c r="Z2949" s="35">
        <f>INDEX(Z$280:Z$296,$E2949)*$D2949</f>
        <v/>
      </c>
      <c r="AA2949" s="35">
        <f>INDEX(AA$280:AA$296,$E2949)*$D2949</f>
        <v/>
      </c>
      <c r="AB2949" s="35">
        <f>INDEX(AB$280:AB$296,$E2949)*$D2949</f>
        <v/>
      </c>
      <c r="AC2949" s="35">
        <f>INDEX(AC$280:AC$296,$E2949)*$D2949</f>
        <v/>
      </c>
      <c r="AD2949" s="35">
        <f>INDEX(AD$280:AD$296,$E2949)*$D2949</f>
        <v/>
      </c>
      <c r="AE2949" s="42">
        <f>ETSCOST(INDEX(AE$280:AE$296,$E2949),$D2949)</f>
        <v/>
      </c>
      <c r="AG2949" s="11">
        <f>CodePrefix&amp;$A2949&amp;IF($C2949="","","."&amp;$C2949&amp;"."&amp;$B2949)&amp;INDEX(VarEnd,MATCH($A2949,VarKey,0))&amp;AG$5</f>
        <v/>
      </c>
      <c r="AH2949" s="40">
        <f>INDEX(AH$280:AH$296,$E2949)*$D2949</f>
        <v/>
      </c>
      <c r="AI2949" s="35">
        <f>INDEX(AI$280:AI$296,$E2949)*$D2949</f>
        <v/>
      </c>
      <c r="AJ2949" s="35">
        <f>INDEX(AJ$280:AJ$296,$E2949)*$D2949</f>
        <v/>
      </c>
      <c r="AK2949" s="35">
        <f>INDEX(AK$280:AK$296,$E2949)*$D2949</f>
        <v/>
      </c>
      <c r="AL2949" s="35">
        <f>INDEX(AL$280:AL$296,$E2949)*$D2949</f>
        <v/>
      </c>
      <c r="AM2949" s="35">
        <f>INDEX(AM$280:AM$296,$E2949)*$D2949</f>
        <v/>
      </c>
      <c r="AN2949" s="35">
        <f>INDEX(AN$280:AN$296,$E2949)*$D2949</f>
        <v/>
      </c>
      <c r="AO2949" s="35">
        <f>INDEX(AO$280:AO$296,$E2949)*$D2949</f>
        <v/>
      </c>
      <c r="AP2949" s="35">
        <f>INDEX(AP$280:AP$296,$E2949)*$D2949</f>
        <v/>
      </c>
      <c r="AQ2949" s="35">
        <f>INDEX(AQ$280:AQ$296,$E2949)*$D2949</f>
        <v/>
      </c>
      <c r="AR2949" s="35">
        <f>INDEX(AR$280:AR$296,$E2949)*$D2949</f>
        <v/>
      </c>
      <c r="AS2949" s="35">
        <f>INDEX(AS$280:AS$296,$E2949)*$D2949</f>
        <v/>
      </c>
      <c r="AT2949" s="35">
        <f>INDEX(AT$280:AT$296,$E2949)*$D2949</f>
        <v/>
      </c>
      <c r="AU2949" s="35">
        <f>INDEX(AU$280:AU$296,$E2949)*$D2949</f>
        <v/>
      </c>
      <c r="AV2949" s="35">
        <f>INDEX(AV$280:AV$296,$E2949)*$D2949</f>
        <v/>
      </c>
      <c r="AW2949" s="35">
        <f>INDEX(AW$280:AW$296,$E2949)*$D2949</f>
        <v/>
      </c>
      <c r="AX2949" s="35">
        <f>INDEX(AX$280:AX$296,$E2949)*$D2949</f>
        <v/>
      </c>
      <c r="AY2949" s="35">
        <f>INDEX(AY$280:AY$296,$E2949)*$D2949</f>
        <v/>
      </c>
      <c r="AZ2949" s="35">
        <f>INDEX(AZ$280:AZ$296,$E2949)*$D2949</f>
        <v/>
      </c>
      <c r="BA2949" s="42">
        <f>ETSCOST(INDEX(BA$280:BA$296,$E2949),$D2949)</f>
        <v/>
      </c>
    </row>
    <row r="2950" hidden="1" outlineLevel="2">
      <c r="A2950" s="14" t="inlineStr">
        <is>
          <t>ets</t>
        </is>
      </c>
      <c r="B2950" s="14" t="inlineStr">
        <is>
          <t>ker</t>
        </is>
      </c>
      <c r="C2950" s="14" t="inlineStr">
        <is>
          <t>oen</t>
        </is>
      </c>
      <c r="D2950" s="35">
        <f>INDEX(Inputs!$W$5:$W$132,MATCH($B2950&amp;"|"&amp;$C2950,Inputs!$A$5:$A$132,0))</f>
        <v/>
      </c>
      <c r="E2950" s="35">
        <f>INDEX(Inputs!$M$5:$M$132,MATCH($B2950&amp;"|"&amp;$C2950,Inputs!$A$5:$A$132,0))</f>
        <v/>
      </c>
      <c r="F2950" s="39" t="n"/>
      <c r="G2950" s="39" t="n"/>
      <c r="H2950" s="14">
        <f>INDEX(VarLab,MATCH($A2950,VarKey,0))&amp;INDEX(MemLab,MATCH($C2950&amp;"|"&amp;$B2950,MemKey,0))</f>
        <v/>
      </c>
      <c r="I2950" s="14">
        <f>INDEX(VarUnit,MATCH($A2950,VarKey,0))</f>
        <v/>
      </c>
      <c r="J2950" s="14">
        <f>INDEX(VarSrc,MATCH($A2950,VarKey,0))</f>
        <v/>
      </c>
      <c r="K2950" s="11">
        <f>CodePrefix&amp;$A2950&amp;IF($C2950="","","."&amp;$C2950&amp;"."&amp;$B2950)&amp;INDEX(VarEnd,MATCH($A2950,VarKey,0))&amp;K$5</f>
        <v/>
      </c>
      <c r="L2950" s="40">
        <f>INDEX(L$280:L$296,$E2950)*$D2950</f>
        <v/>
      </c>
      <c r="M2950" s="35">
        <f>INDEX(M$280:M$296,$E2950)*$D2950</f>
        <v/>
      </c>
      <c r="N2950" s="35">
        <f>INDEX(N$280:N$296,$E2950)*$D2950</f>
        <v/>
      </c>
      <c r="O2950" s="35">
        <f>INDEX(O$280:O$296,$E2950)*$D2950</f>
        <v/>
      </c>
      <c r="P2950" s="35">
        <f>INDEX(P$280:P$296,$E2950)*$D2950</f>
        <v/>
      </c>
      <c r="Q2950" s="35">
        <f>INDEX(Q$280:Q$296,$E2950)*$D2950</f>
        <v/>
      </c>
      <c r="R2950" s="35">
        <f>INDEX(R$280:R$296,$E2950)*$D2950</f>
        <v/>
      </c>
      <c r="S2950" s="35">
        <f>INDEX(S$280:S$296,$E2950)*$D2950</f>
        <v/>
      </c>
      <c r="T2950" s="35">
        <f>INDEX(T$280:T$296,$E2950)*$D2950</f>
        <v/>
      </c>
      <c r="U2950" s="35">
        <f>INDEX(U$280:U$296,$E2950)*$D2950</f>
        <v/>
      </c>
      <c r="V2950" s="35">
        <f>INDEX(V$280:V$296,$E2950)*$D2950</f>
        <v/>
      </c>
      <c r="W2950" s="35">
        <f>INDEX(W$280:W$296,$E2950)*$D2950</f>
        <v/>
      </c>
      <c r="X2950" s="35">
        <f>INDEX(X$280:X$296,$E2950)*$D2950</f>
        <v/>
      </c>
      <c r="Y2950" s="35">
        <f>INDEX(Y$280:Y$296,$E2950)*$D2950</f>
        <v/>
      </c>
      <c r="Z2950" s="35">
        <f>INDEX(Z$280:Z$296,$E2950)*$D2950</f>
        <v/>
      </c>
      <c r="AA2950" s="35">
        <f>INDEX(AA$280:AA$296,$E2950)*$D2950</f>
        <v/>
      </c>
      <c r="AB2950" s="35">
        <f>INDEX(AB$280:AB$296,$E2950)*$D2950</f>
        <v/>
      </c>
      <c r="AC2950" s="35">
        <f>INDEX(AC$280:AC$296,$E2950)*$D2950</f>
        <v/>
      </c>
      <c r="AD2950" s="35">
        <f>INDEX(AD$280:AD$296,$E2950)*$D2950</f>
        <v/>
      </c>
      <c r="AE2950" s="42">
        <f>ETSCOST(INDEX(AE$280:AE$296,$E2950),$D2950)</f>
        <v/>
      </c>
      <c r="AG2950" s="11">
        <f>CodePrefix&amp;$A2950&amp;IF($C2950="","","."&amp;$C2950&amp;"."&amp;$B2950)&amp;INDEX(VarEnd,MATCH($A2950,VarKey,0))&amp;AG$5</f>
        <v/>
      </c>
      <c r="AH2950" s="40">
        <f>INDEX(AH$280:AH$296,$E2950)*$D2950</f>
        <v/>
      </c>
      <c r="AI2950" s="35">
        <f>INDEX(AI$280:AI$296,$E2950)*$D2950</f>
        <v/>
      </c>
      <c r="AJ2950" s="35">
        <f>INDEX(AJ$280:AJ$296,$E2950)*$D2950</f>
        <v/>
      </c>
      <c r="AK2950" s="35">
        <f>INDEX(AK$280:AK$296,$E2950)*$D2950</f>
        <v/>
      </c>
      <c r="AL2950" s="35">
        <f>INDEX(AL$280:AL$296,$E2950)*$D2950</f>
        <v/>
      </c>
      <c r="AM2950" s="35">
        <f>INDEX(AM$280:AM$296,$E2950)*$D2950</f>
        <v/>
      </c>
      <c r="AN2950" s="35">
        <f>INDEX(AN$280:AN$296,$E2950)*$D2950</f>
        <v/>
      </c>
      <c r="AO2950" s="35">
        <f>INDEX(AO$280:AO$296,$E2950)*$D2950</f>
        <v/>
      </c>
      <c r="AP2950" s="35">
        <f>INDEX(AP$280:AP$296,$E2950)*$D2950</f>
        <v/>
      </c>
      <c r="AQ2950" s="35">
        <f>INDEX(AQ$280:AQ$296,$E2950)*$D2950</f>
        <v/>
      </c>
      <c r="AR2950" s="35">
        <f>INDEX(AR$280:AR$296,$E2950)*$D2950</f>
        <v/>
      </c>
      <c r="AS2950" s="35">
        <f>INDEX(AS$280:AS$296,$E2950)*$D2950</f>
        <v/>
      </c>
      <c r="AT2950" s="35">
        <f>INDEX(AT$280:AT$296,$E2950)*$D2950</f>
        <v/>
      </c>
      <c r="AU2950" s="35">
        <f>INDEX(AU$280:AU$296,$E2950)*$D2950</f>
        <v/>
      </c>
      <c r="AV2950" s="35">
        <f>INDEX(AV$280:AV$296,$E2950)*$D2950</f>
        <v/>
      </c>
      <c r="AW2950" s="35">
        <f>INDEX(AW$280:AW$296,$E2950)*$D2950</f>
        <v/>
      </c>
      <c r="AX2950" s="35">
        <f>INDEX(AX$280:AX$296,$E2950)*$D2950</f>
        <v/>
      </c>
      <c r="AY2950" s="35">
        <f>INDEX(AY$280:AY$296,$E2950)*$D2950</f>
        <v/>
      </c>
      <c r="AZ2950" s="35">
        <f>INDEX(AZ$280:AZ$296,$E2950)*$D2950</f>
        <v/>
      </c>
      <c r="BA2950" s="42">
        <f>ETSCOST(INDEX(BA$280:BA$296,$E2950),$D2950)</f>
        <v/>
      </c>
    </row>
    <row r="2951" hidden="1" outlineLevel="2">
      <c r="A2951" s="14" t="inlineStr">
        <is>
          <t>ets</t>
        </is>
      </c>
      <c r="B2951" s="14" t="inlineStr">
        <is>
          <t>oop</t>
        </is>
      </c>
      <c r="C2951" s="14" t="inlineStr">
        <is>
          <t>oen</t>
        </is>
      </c>
      <c r="D2951" s="35">
        <f>INDEX(Inputs!$W$5:$W$132,MATCH($B2951&amp;"|"&amp;$C2951,Inputs!$A$5:$A$132,0))</f>
        <v/>
      </c>
      <c r="E2951" s="35">
        <f>INDEX(Inputs!$M$5:$M$132,MATCH($B2951&amp;"|"&amp;$C2951,Inputs!$A$5:$A$132,0))</f>
        <v/>
      </c>
      <c r="F2951" s="39" t="n"/>
      <c r="G2951" s="39" t="n"/>
      <c r="H2951" s="14">
        <f>INDEX(VarLab,MATCH($A2951,VarKey,0))&amp;INDEX(MemLab,MATCH($C2951&amp;"|"&amp;$B2951,MemKey,0))</f>
        <v/>
      </c>
      <c r="I2951" s="14">
        <f>INDEX(VarUnit,MATCH($A2951,VarKey,0))</f>
        <v/>
      </c>
      <c r="J2951" s="14">
        <f>INDEX(VarSrc,MATCH($A2951,VarKey,0))</f>
        <v/>
      </c>
      <c r="K2951" s="11">
        <f>CodePrefix&amp;$A2951&amp;IF($C2951="","","."&amp;$C2951&amp;"."&amp;$B2951)&amp;INDEX(VarEnd,MATCH($A2951,VarKey,0))&amp;K$5</f>
        <v/>
      </c>
      <c r="L2951" s="40">
        <f>INDEX(L$280:L$296,$E2951)*$D2951</f>
        <v/>
      </c>
      <c r="M2951" s="35">
        <f>INDEX(M$280:M$296,$E2951)*$D2951</f>
        <v/>
      </c>
      <c r="N2951" s="35">
        <f>INDEX(N$280:N$296,$E2951)*$D2951</f>
        <v/>
      </c>
      <c r="O2951" s="35">
        <f>INDEX(O$280:O$296,$E2951)*$D2951</f>
        <v/>
      </c>
      <c r="P2951" s="35">
        <f>INDEX(P$280:P$296,$E2951)*$D2951</f>
        <v/>
      </c>
      <c r="Q2951" s="35">
        <f>INDEX(Q$280:Q$296,$E2951)*$D2951</f>
        <v/>
      </c>
      <c r="R2951" s="35">
        <f>INDEX(R$280:R$296,$E2951)*$D2951</f>
        <v/>
      </c>
      <c r="S2951" s="35">
        <f>INDEX(S$280:S$296,$E2951)*$D2951</f>
        <v/>
      </c>
      <c r="T2951" s="35">
        <f>INDEX(T$280:T$296,$E2951)*$D2951</f>
        <v/>
      </c>
      <c r="U2951" s="35">
        <f>INDEX(U$280:U$296,$E2951)*$D2951</f>
        <v/>
      </c>
      <c r="V2951" s="35">
        <f>INDEX(V$280:V$296,$E2951)*$D2951</f>
        <v/>
      </c>
      <c r="W2951" s="35">
        <f>INDEX(W$280:W$296,$E2951)*$D2951</f>
        <v/>
      </c>
      <c r="X2951" s="35">
        <f>INDEX(X$280:X$296,$E2951)*$D2951</f>
        <v/>
      </c>
      <c r="Y2951" s="35">
        <f>INDEX(Y$280:Y$296,$E2951)*$D2951</f>
        <v/>
      </c>
      <c r="Z2951" s="35">
        <f>INDEX(Z$280:Z$296,$E2951)*$D2951</f>
        <v/>
      </c>
      <c r="AA2951" s="35">
        <f>INDEX(AA$280:AA$296,$E2951)*$D2951</f>
        <v/>
      </c>
      <c r="AB2951" s="35">
        <f>INDEX(AB$280:AB$296,$E2951)*$D2951</f>
        <v/>
      </c>
      <c r="AC2951" s="35">
        <f>INDEX(AC$280:AC$296,$E2951)*$D2951</f>
        <v/>
      </c>
      <c r="AD2951" s="35">
        <f>INDEX(AD$280:AD$296,$E2951)*$D2951</f>
        <v/>
      </c>
      <c r="AE2951" s="42">
        <f>ETSCOST(INDEX(AE$280:AE$296,$E2951),$D2951)</f>
        <v/>
      </c>
      <c r="AG2951" s="11">
        <f>CodePrefix&amp;$A2951&amp;IF($C2951="","","."&amp;$C2951&amp;"."&amp;$B2951)&amp;INDEX(VarEnd,MATCH($A2951,VarKey,0))&amp;AG$5</f>
        <v/>
      </c>
      <c r="AH2951" s="40">
        <f>INDEX(AH$280:AH$296,$E2951)*$D2951</f>
        <v/>
      </c>
      <c r="AI2951" s="35">
        <f>INDEX(AI$280:AI$296,$E2951)*$D2951</f>
        <v/>
      </c>
      <c r="AJ2951" s="35">
        <f>INDEX(AJ$280:AJ$296,$E2951)*$D2951</f>
        <v/>
      </c>
      <c r="AK2951" s="35">
        <f>INDEX(AK$280:AK$296,$E2951)*$D2951</f>
        <v/>
      </c>
      <c r="AL2951" s="35">
        <f>INDEX(AL$280:AL$296,$E2951)*$D2951</f>
        <v/>
      </c>
      <c r="AM2951" s="35">
        <f>INDEX(AM$280:AM$296,$E2951)*$D2951</f>
        <v/>
      </c>
      <c r="AN2951" s="35">
        <f>INDEX(AN$280:AN$296,$E2951)*$D2951</f>
        <v/>
      </c>
      <c r="AO2951" s="35">
        <f>INDEX(AO$280:AO$296,$E2951)*$D2951</f>
        <v/>
      </c>
      <c r="AP2951" s="35">
        <f>INDEX(AP$280:AP$296,$E2951)*$D2951</f>
        <v/>
      </c>
      <c r="AQ2951" s="35">
        <f>INDEX(AQ$280:AQ$296,$E2951)*$D2951</f>
        <v/>
      </c>
      <c r="AR2951" s="35">
        <f>INDEX(AR$280:AR$296,$E2951)*$D2951</f>
        <v/>
      </c>
      <c r="AS2951" s="35">
        <f>INDEX(AS$280:AS$296,$E2951)*$D2951</f>
        <v/>
      </c>
      <c r="AT2951" s="35">
        <f>INDEX(AT$280:AT$296,$E2951)*$D2951</f>
        <v/>
      </c>
      <c r="AU2951" s="35">
        <f>INDEX(AU$280:AU$296,$E2951)*$D2951</f>
        <v/>
      </c>
      <c r="AV2951" s="35">
        <f>INDEX(AV$280:AV$296,$E2951)*$D2951</f>
        <v/>
      </c>
      <c r="AW2951" s="35">
        <f>INDEX(AW$280:AW$296,$E2951)*$D2951</f>
        <v/>
      </c>
      <c r="AX2951" s="35">
        <f>INDEX(AX$280:AX$296,$E2951)*$D2951</f>
        <v/>
      </c>
      <c r="AY2951" s="35">
        <f>INDEX(AY$280:AY$296,$E2951)*$D2951</f>
        <v/>
      </c>
      <c r="AZ2951" s="35">
        <f>INDEX(AZ$280:AZ$296,$E2951)*$D2951</f>
        <v/>
      </c>
      <c r="BA2951" s="42">
        <f>ETSCOST(INDEX(BA$280:BA$296,$E2951),$D2951)</f>
        <v/>
      </c>
    </row>
    <row r="2952" hidden="1" outlineLevel="2">
      <c r="A2952" s="14" t="inlineStr">
        <is>
          <t>ets</t>
        </is>
      </c>
      <c r="B2952" s="14" t="inlineStr">
        <is>
          <t>bio</t>
        </is>
      </c>
      <c r="C2952" s="14" t="inlineStr">
        <is>
          <t>oen</t>
        </is>
      </c>
      <c r="D2952" s="35">
        <f>INDEX(Inputs!$W$5:$W$132,MATCH($B2952&amp;"|"&amp;$C2952,Inputs!$A$5:$A$132,0))</f>
        <v/>
      </c>
      <c r="E2952" s="35">
        <f>INDEX(Inputs!$M$5:$M$132,MATCH($B2952&amp;"|"&amp;$C2952,Inputs!$A$5:$A$132,0))</f>
        <v/>
      </c>
      <c r="F2952" s="39" t="n"/>
      <c r="G2952" s="39" t="n"/>
      <c r="H2952" s="14">
        <f>INDEX(VarLab,MATCH($A2952,VarKey,0))&amp;INDEX(MemLab,MATCH($C2952&amp;"|"&amp;$B2952,MemKey,0))</f>
        <v/>
      </c>
      <c r="I2952" s="14">
        <f>INDEX(VarUnit,MATCH($A2952,VarKey,0))</f>
        <v/>
      </c>
      <c r="J2952" s="14">
        <f>INDEX(VarSrc,MATCH($A2952,VarKey,0))</f>
        <v/>
      </c>
      <c r="K2952" s="11">
        <f>CodePrefix&amp;$A2952&amp;IF($C2952="","","."&amp;$C2952&amp;"."&amp;$B2952)&amp;INDEX(VarEnd,MATCH($A2952,VarKey,0))&amp;K$5</f>
        <v/>
      </c>
      <c r="L2952" s="40">
        <f>INDEX(L$280:L$296,$E2952)*$D2952</f>
        <v/>
      </c>
      <c r="M2952" s="35">
        <f>INDEX(M$280:M$296,$E2952)*$D2952</f>
        <v/>
      </c>
      <c r="N2952" s="35">
        <f>INDEX(N$280:N$296,$E2952)*$D2952</f>
        <v/>
      </c>
      <c r="O2952" s="35">
        <f>INDEX(O$280:O$296,$E2952)*$D2952</f>
        <v/>
      </c>
      <c r="P2952" s="35">
        <f>INDEX(P$280:P$296,$E2952)*$D2952</f>
        <v/>
      </c>
      <c r="Q2952" s="35">
        <f>INDEX(Q$280:Q$296,$E2952)*$D2952</f>
        <v/>
      </c>
      <c r="R2952" s="35">
        <f>INDEX(R$280:R$296,$E2952)*$D2952</f>
        <v/>
      </c>
      <c r="S2952" s="35">
        <f>INDEX(S$280:S$296,$E2952)*$D2952</f>
        <v/>
      </c>
      <c r="T2952" s="35">
        <f>INDEX(T$280:T$296,$E2952)*$D2952</f>
        <v/>
      </c>
      <c r="U2952" s="35">
        <f>INDEX(U$280:U$296,$E2952)*$D2952</f>
        <v/>
      </c>
      <c r="V2952" s="35">
        <f>INDEX(V$280:V$296,$E2952)*$D2952</f>
        <v/>
      </c>
      <c r="W2952" s="35">
        <f>INDEX(W$280:W$296,$E2952)*$D2952</f>
        <v/>
      </c>
      <c r="X2952" s="35">
        <f>INDEX(X$280:X$296,$E2952)*$D2952</f>
        <v/>
      </c>
      <c r="Y2952" s="35">
        <f>INDEX(Y$280:Y$296,$E2952)*$D2952</f>
        <v/>
      </c>
      <c r="Z2952" s="35">
        <f>INDEX(Z$280:Z$296,$E2952)*$D2952</f>
        <v/>
      </c>
      <c r="AA2952" s="35">
        <f>INDEX(AA$280:AA$296,$E2952)*$D2952</f>
        <v/>
      </c>
      <c r="AB2952" s="35">
        <f>INDEX(AB$280:AB$296,$E2952)*$D2952</f>
        <v/>
      </c>
      <c r="AC2952" s="35">
        <f>INDEX(AC$280:AC$296,$E2952)*$D2952</f>
        <v/>
      </c>
      <c r="AD2952" s="35">
        <f>INDEX(AD$280:AD$296,$E2952)*$D2952</f>
        <v/>
      </c>
      <c r="AE2952" s="42">
        <f>ETSCOST(INDEX(AE$280:AE$296,$E2952),$D2952)</f>
        <v/>
      </c>
      <c r="AG2952" s="11">
        <f>CodePrefix&amp;$A2952&amp;IF($C2952="","","."&amp;$C2952&amp;"."&amp;$B2952)&amp;INDEX(VarEnd,MATCH($A2952,VarKey,0))&amp;AG$5</f>
        <v/>
      </c>
      <c r="AH2952" s="40">
        <f>INDEX(AH$280:AH$296,$E2952)*$D2952</f>
        <v/>
      </c>
      <c r="AI2952" s="35">
        <f>INDEX(AI$280:AI$296,$E2952)*$D2952</f>
        <v/>
      </c>
      <c r="AJ2952" s="35">
        <f>INDEX(AJ$280:AJ$296,$E2952)*$D2952</f>
        <v/>
      </c>
      <c r="AK2952" s="35">
        <f>INDEX(AK$280:AK$296,$E2952)*$D2952</f>
        <v/>
      </c>
      <c r="AL2952" s="35">
        <f>INDEX(AL$280:AL$296,$E2952)*$D2952</f>
        <v/>
      </c>
      <c r="AM2952" s="35">
        <f>INDEX(AM$280:AM$296,$E2952)*$D2952</f>
        <v/>
      </c>
      <c r="AN2952" s="35">
        <f>INDEX(AN$280:AN$296,$E2952)*$D2952</f>
        <v/>
      </c>
      <c r="AO2952" s="35">
        <f>INDEX(AO$280:AO$296,$E2952)*$D2952</f>
        <v/>
      </c>
      <c r="AP2952" s="35">
        <f>INDEX(AP$280:AP$296,$E2952)*$D2952</f>
        <v/>
      </c>
      <c r="AQ2952" s="35">
        <f>INDEX(AQ$280:AQ$296,$E2952)*$D2952</f>
        <v/>
      </c>
      <c r="AR2952" s="35">
        <f>INDEX(AR$280:AR$296,$E2952)*$D2952</f>
        <v/>
      </c>
      <c r="AS2952" s="35">
        <f>INDEX(AS$280:AS$296,$E2952)*$D2952</f>
        <v/>
      </c>
      <c r="AT2952" s="35">
        <f>INDEX(AT$280:AT$296,$E2952)*$D2952</f>
        <v/>
      </c>
      <c r="AU2952" s="35">
        <f>INDEX(AU$280:AU$296,$E2952)*$D2952</f>
        <v/>
      </c>
      <c r="AV2952" s="35">
        <f>INDEX(AV$280:AV$296,$E2952)*$D2952</f>
        <v/>
      </c>
      <c r="AW2952" s="35">
        <f>INDEX(AW$280:AW$296,$E2952)*$D2952</f>
        <v/>
      </c>
      <c r="AX2952" s="35">
        <f>INDEX(AX$280:AX$296,$E2952)*$D2952</f>
        <v/>
      </c>
      <c r="AY2952" s="35">
        <f>INDEX(AY$280:AY$296,$E2952)*$D2952</f>
        <v/>
      </c>
      <c r="AZ2952" s="35">
        <f>INDEX(AZ$280:AZ$296,$E2952)*$D2952</f>
        <v/>
      </c>
      <c r="BA2952" s="42">
        <f>ETSCOST(INDEX(BA$280:BA$296,$E2952),$D2952)</f>
        <v/>
      </c>
    </row>
    <row r="2953" hidden="1" outlineLevel="2"/>
    <row r="2954" hidden="1" outlineLevel="2">
      <c r="A2954" s="14" t="inlineStr">
        <is>
          <t>ntx</t>
        </is>
      </c>
      <c r="B2954" s="14" t="inlineStr">
        <is>
          <t>coa</t>
        </is>
      </c>
      <c r="C2954" s="14" t="inlineStr">
        <is>
          <t>oen</t>
        </is>
      </c>
      <c r="D2954" s="35">
        <f>INDEX(Inputs!$N$5:$N$132,MATCH($B2954&amp;"|"&amp;$C2954,Inputs!$A$5:$A$132,0))</f>
        <v/>
      </c>
      <c r="E2954" s="35">
        <f>INDEX(Inputs!$K$5:$K$132,MATCH($B2954&amp;"|"&amp;$C2954,Inputs!$A$5:$A$132,0))</f>
        <v/>
      </c>
      <c r="F2954" s="39" t="n"/>
      <c r="G2954" s="39" t="n"/>
      <c r="H2954" s="14">
        <f>INDEX(VarLab,MATCH($A2954,VarKey,0))&amp;INDEX(MemLab,MATCH($C2954&amp;"|"&amp;$B2954,MemKey,0))</f>
        <v/>
      </c>
      <c r="I2954" s="14">
        <f>INDEX(VarUnit,MATCH($A2954,VarKey,0))</f>
        <v/>
      </c>
      <c r="J2954" s="14">
        <f>INDEX(VarSrc,MATCH($A2954,VarKey,0))</f>
        <v/>
      </c>
      <c r="K2954" s="11">
        <f>CodePrefix&amp;$A2954&amp;IF($C2954="","","."&amp;$C2954&amp;"."&amp;$B2954)&amp;INDEX(VarEnd,MATCH($A2954,VarKey,0))&amp;K$5</f>
        <v/>
      </c>
      <c r="L2954" s="40">
        <f>INDEX(L$80:L$93,$D2954)/$E2954</f>
        <v/>
      </c>
      <c r="M2954" s="35">
        <f>INDEX(M$80:M$93,$D2954)/$E2954</f>
        <v/>
      </c>
      <c r="N2954" s="35">
        <f>INDEX(N$80:N$93,$D2954)/$E2954</f>
        <v/>
      </c>
      <c r="O2954" s="35">
        <f>INDEX(O$80:O$93,$D2954)/$E2954</f>
        <v/>
      </c>
      <c r="P2954" s="35">
        <f>INDEX(P$80:P$93,$D2954)/$E2954</f>
        <v/>
      </c>
      <c r="Q2954" s="35">
        <f>INDEX(Q$80:Q$93,$D2954)/$E2954</f>
        <v/>
      </c>
      <c r="R2954" s="35">
        <f>INDEX(R$80:R$93,$D2954)/$E2954</f>
        <v/>
      </c>
      <c r="S2954" s="35">
        <f>INDEX(S$80:S$93,$D2954)/$E2954</f>
        <v/>
      </c>
      <c r="T2954" s="35">
        <f>INDEX(T$80:T$93,$D2954)/$E2954</f>
        <v/>
      </c>
      <c r="U2954" s="35">
        <f>INDEX(U$80:U$93,$D2954)/$E2954</f>
        <v/>
      </c>
      <c r="V2954" s="35">
        <f>INDEX(V$80:V$93,$D2954)/$E2954</f>
        <v/>
      </c>
      <c r="W2954" s="35">
        <f>INDEX(W$80:W$93,$D2954)/$E2954</f>
        <v/>
      </c>
      <c r="X2954" s="35">
        <f>INDEX(X$80:X$93,$D2954)/$E2954</f>
        <v/>
      </c>
      <c r="Y2954" s="35">
        <f>INDEX(Y$80:Y$93,$D2954)/$E2954</f>
        <v/>
      </c>
      <c r="Z2954" s="35">
        <f>INDEX(Z$80:Z$93,$D2954)/$E2954</f>
        <v/>
      </c>
      <c r="AA2954" s="35">
        <f>INDEX(AA$80:AA$93,$D2954)/$E2954</f>
        <v/>
      </c>
      <c r="AB2954" s="35">
        <f>INDEX(AB$80:AB$93,$D2954)/$E2954</f>
        <v/>
      </c>
      <c r="AC2954" s="35">
        <f>INDEX(AC$80:AC$93,$D2954)/$E2954</f>
        <v/>
      </c>
      <c r="AD2954" s="35">
        <f>INDEX(AD$80:AD$93,$D2954)/$E2954</f>
        <v/>
      </c>
      <c r="AE2954" s="42">
        <f>NEWEXCISE(INDEX(AE$80:AE$93,$D2954),$E2954)</f>
        <v/>
      </c>
      <c r="AG2954" s="11">
        <f>CodePrefix&amp;$A2954&amp;IF($C2954="","","."&amp;$C2954&amp;"."&amp;$B2954)&amp;INDEX(VarEnd,MATCH($A2954,VarKey,0))&amp;AG$5</f>
        <v/>
      </c>
      <c r="AH2954" s="40">
        <f>INDEX(AH$80:AH$93,$D2954)/$E2954</f>
        <v/>
      </c>
      <c r="AI2954" s="35">
        <f>INDEX(AI$80:AI$93,$D2954)/$E2954</f>
        <v/>
      </c>
      <c r="AJ2954" s="35">
        <f>INDEX(AJ$80:AJ$93,$D2954)/$E2954</f>
        <v/>
      </c>
      <c r="AK2954" s="35">
        <f>INDEX(AK$80:AK$93,$D2954)/$E2954</f>
        <v/>
      </c>
      <c r="AL2954" s="35">
        <f>INDEX(AL$80:AL$93,$D2954)/$E2954</f>
        <v/>
      </c>
      <c r="AM2954" s="35">
        <f>INDEX(AM$80:AM$93,$D2954)/$E2954</f>
        <v/>
      </c>
      <c r="AN2954" s="35">
        <f>INDEX(AN$80:AN$93,$D2954)/$E2954</f>
        <v/>
      </c>
      <c r="AO2954" s="35">
        <f>INDEX(AO$80:AO$93,$D2954)/$E2954</f>
        <v/>
      </c>
      <c r="AP2954" s="35">
        <f>INDEX(AP$80:AP$93,$D2954)/$E2954</f>
        <v/>
      </c>
      <c r="AQ2954" s="35">
        <f>INDEX(AQ$80:AQ$93,$D2954)/$E2954</f>
        <v/>
      </c>
      <c r="AR2954" s="35">
        <f>INDEX(AR$80:AR$93,$D2954)/$E2954</f>
        <v/>
      </c>
      <c r="AS2954" s="35">
        <f>INDEX(AS$80:AS$93,$D2954)/$E2954</f>
        <v/>
      </c>
      <c r="AT2954" s="35">
        <f>INDEX(AT$80:AT$93,$D2954)/$E2954</f>
        <v/>
      </c>
      <c r="AU2954" s="35">
        <f>INDEX(AU$80:AU$93,$D2954)/$E2954</f>
        <v/>
      </c>
      <c r="AV2954" s="35">
        <f>INDEX(AV$80:AV$93,$D2954)/$E2954</f>
        <v/>
      </c>
      <c r="AW2954" s="35">
        <f>INDEX(AW$80:AW$93,$D2954)/$E2954</f>
        <v/>
      </c>
      <c r="AX2954" s="35">
        <f>INDEX(AX$80:AX$93,$D2954)/$E2954</f>
        <v/>
      </c>
      <c r="AY2954" s="35">
        <f>INDEX(AY$80:AY$93,$D2954)/$E2954</f>
        <v/>
      </c>
      <c r="AZ2954" s="35">
        <f>INDEX(AZ$80:AZ$93,$D2954)/$E2954</f>
        <v/>
      </c>
      <c r="BA2954" s="42">
        <f>NEWEXCISE(INDEX(BA$80:BA$93,$D2954),$E2954)</f>
        <v/>
      </c>
    </row>
    <row r="2955" hidden="1" outlineLevel="2">
      <c r="A2955" s="14" t="inlineStr">
        <is>
          <t>ntx</t>
        </is>
      </c>
      <c r="B2955" s="14" t="inlineStr">
        <is>
          <t>nga</t>
        </is>
      </c>
      <c r="C2955" s="14" t="inlineStr">
        <is>
          <t>oen</t>
        </is>
      </c>
      <c r="D2955" s="35">
        <f>INDEX(Inputs!$N$5:$N$132,MATCH($B2955&amp;"|"&amp;$C2955,Inputs!$A$5:$A$132,0))</f>
        <v/>
      </c>
      <c r="E2955" s="35">
        <f>INDEX(Inputs!$K$5:$K$132,MATCH($B2955&amp;"|"&amp;$C2955,Inputs!$A$5:$A$132,0))</f>
        <v/>
      </c>
      <c r="F2955" s="39" t="n"/>
      <c r="G2955" s="39" t="n"/>
      <c r="H2955" s="14">
        <f>INDEX(VarLab,MATCH($A2955,VarKey,0))&amp;INDEX(MemLab,MATCH($C2955&amp;"|"&amp;$B2955,MemKey,0))</f>
        <v/>
      </c>
      <c r="I2955" s="14">
        <f>INDEX(VarUnit,MATCH($A2955,VarKey,0))</f>
        <v/>
      </c>
      <c r="J2955" s="14">
        <f>INDEX(VarSrc,MATCH($A2955,VarKey,0))</f>
        <v/>
      </c>
      <c r="K2955" s="11">
        <f>CodePrefix&amp;$A2955&amp;IF($C2955="","","."&amp;$C2955&amp;"."&amp;$B2955)&amp;INDEX(VarEnd,MATCH($A2955,VarKey,0))&amp;K$5</f>
        <v/>
      </c>
      <c r="L2955" s="40">
        <f>INDEX(L$80:L$93,$D2955)/$E2955</f>
        <v/>
      </c>
      <c r="M2955" s="35">
        <f>INDEX(M$80:M$93,$D2955)/$E2955</f>
        <v/>
      </c>
      <c r="N2955" s="35">
        <f>INDEX(N$80:N$93,$D2955)/$E2955</f>
        <v/>
      </c>
      <c r="O2955" s="35">
        <f>INDEX(O$80:O$93,$D2955)/$E2955</f>
        <v/>
      </c>
      <c r="P2955" s="35">
        <f>INDEX(P$80:P$93,$D2955)/$E2955</f>
        <v/>
      </c>
      <c r="Q2955" s="35">
        <f>INDEX(Q$80:Q$93,$D2955)/$E2955</f>
        <v/>
      </c>
      <c r="R2955" s="35">
        <f>INDEX(R$80:R$93,$D2955)/$E2955</f>
        <v/>
      </c>
      <c r="S2955" s="35">
        <f>INDEX(S$80:S$93,$D2955)/$E2955</f>
        <v/>
      </c>
      <c r="T2955" s="35">
        <f>INDEX(T$80:T$93,$D2955)/$E2955</f>
        <v/>
      </c>
      <c r="U2955" s="35">
        <f>INDEX(U$80:U$93,$D2955)/$E2955</f>
        <v/>
      </c>
      <c r="V2955" s="35">
        <f>INDEX(V$80:V$93,$D2955)/$E2955</f>
        <v/>
      </c>
      <c r="W2955" s="35">
        <f>INDEX(W$80:W$93,$D2955)/$E2955</f>
        <v/>
      </c>
      <c r="X2955" s="35">
        <f>INDEX(X$80:X$93,$D2955)/$E2955</f>
        <v/>
      </c>
      <c r="Y2955" s="35">
        <f>INDEX(Y$80:Y$93,$D2955)/$E2955</f>
        <v/>
      </c>
      <c r="Z2955" s="35">
        <f>INDEX(Z$80:Z$93,$D2955)/$E2955</f>
        <v/>
      </c>
      <c r="AA2955" s="35">
        <f>INDEX(AA$80:AA$93,$D2955)/$E2955</f>
        <v/>
      </c>
      <c r="AB2955" s="35">
        <f>INDEX(AB$80:AB$93,$D2955)/$E2955</f>
        <v/>
      </c>
      <c r="AC2955" s="35">
        <f>INDEX(AC$80:AC$93,$D2955)/$E2955</f>
        <v/>
      </c>
      <c r="AD2955" s="35">
        <f>INDEX(AD$80:AD$93,$D2955)/$E2955</f>
        <v/>
      </c>
      <c r="AE2955" s="42">
        <f>NEWEXCISE(INDEX(AE$80:AE$93,$D2955),$E2955)</f>
        <v/>
      </c>
      <c r="AG2955" s="11">
        <f>CodePrefix&amp;$A2955&amp;IF($C2955="","","."&amp;$C2955&amp;"."&amp;$B2955)&amp;INDEX(VarEnd,MATCH($A2955,VarKey,0))&amp;AG$5</f>
        <v/>
      </c>
      <c r="AH2955" s="40">
        <f>INDEX(AH$80:AH$93,$D2955)/$E2955</f>
        <v/>
      </c>
      <c r="AI2955" s="35">
        <f>INDEX(AI$80:AI$93,$D2955)/$E2955</f>
        <v/>
      </c>
      <c r="AJ2955" s="35">
        <f>INDEX(AJ$80:AJ$93,$D2955)/$E2955</f>
        <v/>
      </c>
      <c r="AK2955" s="35">
        <f>INDEX(AK$80:AK$93,$D2955)/$E2955</f>
        <v/>
      </c>
      <c r="AL2955" s="35">
        <f>INDEX(AL$80:AL$93,$D2955)/$E2955</f>
        <v/>
      </c>
      <c r="AM2955" s="35">
        <f>INDEX(AM$80:AM$93,$D2955)/$E2955</f>
        <v/>
      </c>
      <c r="AN2955" s="35">
        <f>INDEX(AN$80:AN$93,$D2955)/$E2955</f>
        <v/>
      </c>
      <c r="AO2955" s="35">
        <f>INDEX(AO$80:AO$93,$D2955)/$E2955</f>
        <v/>
      </c>
      <c r="AP2955" s="35">
        <f>INDEX(AP$80:AP$93,$D2955)/$E2955</f>
        <v/>
      </c>
      <c r="AQ2955" s="35">
        <f>INDEX(AQ$80:AQ$93,$D2955)/$E2955</f>
        <v/>
      </c>
      <c r="AR2955" s="35">
        <f>INDEX(AR$80:AR$93,$D2955)/$E2955</f>
        <v/>
      </c>
      <c r="AS2955" s="35">
        <f>INDEX(AS$80:AS$93,$D2955)/$E2955</f>
        <v/>
      </c>
      <c r="AT2955" s="35">
        <f>INDEX(AT$80:AT$93,$D2955)/$E2955</f>
        <v/>
      </c>
      <c r="AU2955" s="35">
        <f>INDEX(AU$80:AU$93,$D2955)/$E2955</f>
        <v/>
      </c>
      <c r="AV2955" s="35">
        <f>INDEX(AV$80:AV$93,$D2955)/$E2955</f>
        <v/>
      </c>
      <c r="AW2955" s="35">
        <f>INDEX(AW$80:AW$93,$D2955)/$E2955</f>
        <v/>
      </c>
      <c r="AX2955" s="35">
        <f>INDEX(AX$80:AX$93,$D2955)/$E2955</f>
        <v/>
      </c>
      <c r="AY2955" s="35">
        <f>INDEX(AY$80:AY$93,$D2955)/$E2955</f>
        <v/>
      </c>
      <c r="AZ2955" s="35">
        <f>INDEX(AZ$80:AZ$93,$D2955)/$E2955</f>
        <v/>
      </c>
      <c r="BA2955" s="42">
        <f>NEWEXCISE(INDEX(BA$80:BA$93,$D2955),$E2955)</f>
        <v/>
      </c>
    </row>
    <row r="2956" hidden="1" outlineLevel="2">
      <c r="A2956" s="14" t="inlineStr">
        <is>
          <t>ntx</t>
        </is>
      </c>
      <c r="B2956" s="14" t="inlineStr">
        <is>
          <t>gso</t>
        </is>
      </c>
      <c r="C2956" s="14" t="inlineStr">
        <is>
          <t>oen</t>
        </is>
      </c>
      <c r="D2956" s="35">
        <f>INDEX(Inputs!$N$5:$N$132,MATCH($B2956&amp;"|"&amp;$C2956,Inputs!$A$5:$A$132,0))</f>
        <v/>
      </c>
      <c r="E2956" s="35">
        <f>INDEX(Inputs!$K$5:$K$132,MATCH($B2956&amp;"|"&amp;$C2956,Inputs!$A$5:$A$132,0))</f>
        <v/>
      </c>
      <c r="F2956" s="39" t="n"/>
      <c r="G2956" s="39" t="n"/>
      <c r="H2956" s="14">
        <f>INDEX(VarLab,MATCH($A2956,VarKey,0))&amp;INDEX(MemLab,MATCH($C2956&amp;"|"&amp;$B2956,MemKey,0))</f>
        <v/>
      </c>
      <c r="I2956" s="14">
        <f>INDEX(VarUnit,MATCH($A2956,VarKey,0))</f>
        <v/>
      </c>
      <c r="J2956" s="14">
        <f>INDEX(VarSrc,MATCH($A2956,VarKey,0))</f>
        <v/>
      </c>
      <c r="K2956" s="11">
        <f>CodePrefix&amp;$A2956&amp;IF($C2956="","","."&amp;$C2956&amp;"."&amp;$B2956)&amp;INDEX(VarEnd,MATCH($A2956,VarKey,0))&amp;K$5</f>
        <v/>
      </c>
      <c r="L2956" s="40">
        <f>INDEX(L$80:L$93,$D2956)/$E2956</f>
        <v/>
      </c>
      <c r="M2956" s="35">
        <f>INDEX(M$80:M$93,$D2956)/$E2956</f>
        <v/>
      </c>
      <c r="N2956" s="35">
        <f>INDEX(N$80:N$93,$D2956)/$E2956</f>
        <v/>
      </c>
      <c r="O2956" s="35">
        <f>INDEX(O$80:O$93,$D2956)/$E2956</f>
        <v/>
      </c>
      <c r="P2956" s="35">
        <f>INDEX(P$80:P$93,$D2956)/$E2956</f>
        <v/>
      </c>
      <c r="Q2956" s="35">
        <f>INDEX(Q$80:Q$93,$D2956)/$E2956</f>
        <v/>
      </c>
      <c r="R2956" s="35">
        <f>INDEX(R$80:R$93,$D2956)/$E2956</f>
        <v/>
      </c>
      <c r="S2956" s="35">
        <f>INDEX(S$80:S$93,$D2956)/$E2956</f>
        <v/>
      </c>
      <c r="T2956" s="35">
        <f>INDEX(T$80:T$93,$D2956)/$E2956</f>
        <v/>
      </c>
      <c r="U2956" s="35">
        <f>INDEX(U$80:U$93,$D2956)/$E2956</f>
        <v/>
      </c>
      <c r="V2956" s="35">
        <f>INDEX(V$80:V$93,$D2956)/$E2956</f>
        <v/>
      </c>
      <c r="W2956" s="35">
        <f>INDEX(W$80:W$93,$D2956)/$E2956</f>
        <v/>
      </c>
      <c r="X2956" s="35">
        <f>INDEX(X$80:X$93,$D2956)/$E2956</f>
        <v/>
      </c>
      <c r="Y2956" s="35">
        <f>INDEX(Y$80:Y$93,$D2956)/$E2956</f>
        <v/>
      </c>
      <c r="Z2956" s="35">
        <f>INDEX(Z$80:Z$93,$D2956)/$E2956</f>
        <v/>
      </c>
      <c r="AA2956" s="35">
        <f>INDEX(AA$80:AA$93,$D2956)/$E2956</f>
        <v/>
      </c>
      <c r="AB2956" s="35">
        <f>INDEX(AB$80:AB$93,$D2956)/$E2956</f>
        <v/>
      </c>
      <c r="AC2956" s="35">
        <f>INDEX(AC$80:AC$93,$D2956)/$E2956</f>
        <v/>
      </c>
      <c r="AD2956" s="35">
        <f>INDEX(AD$80:AD$93,$D2956)/$E2956</f>
        <v/>
      </c>
      <c r="AE2956" s="42">
        <f>NEWEXCISE(INDEX(AE$80:AE$93,$D2956),$E2956)</f>
        <v/>
      </c>
      <c r="AG2956" s="11">
        <f>CodePrefix&amp;$A2956&amp;IF($C2956="","","."&amp;$C2956&amp;"."&amp;$B2956)&amp;INDEX(VarEnd,MATCH($A2956,VarKey,0))&amp;AG$5</f>
        <v/>
      </c>
      <c r="AH2956" s="40">
        <f>INDEX(AH$80:AH$93,$D2956)/$E2956</f>
        <v/>
      </c>
      <c r="AI2956" s="35">
        <f>INDEX(AI$80:AI$93,$D2956)/$E2956</f>
        <v/>
      </c>
      <c r="AJ2956" s="35">
        <f>INDEX(AJ$80:AJ$93,$D2956)/$E2956</f>
        <v/>
      </c>
      <c r="AK2956" s="35">
        <f>INDEX(AK$80:AK$93,$D2956)/$E2956</f>
        <v/>
      </c>
      <c r="AL2956" s="35">
        <f>INDEX(AL$80:AL$93,$D2956)/$E2956</f>
        <v/>
      </c>
      <c r="AM2956" s="35">
        <f>INDEX(AM$80:AM$93,$D2956)/$E2956</f>
        <v/>
      </c>
      <c r="AN2956" s="35">
        <f>INDEX(AN$80:AN$93,$D2956)/$E2956</f>
        <v/>
      </c>
      <c r="AO2956" s="35">
        <f>INDEX(AO$80:AO$93,$D2956)/$E2956</f>
        <v/>
      </c>
      <c r="AP2956" s="35">
        <f>INDEX(AP$80:AP$93,$D2956)/$E2956</f>
        <v/>
      </c>
      <c r="AQ2956" s="35">
        <f>INDEX(AQ$80:AQ$93,$D2956)/$E2956</f>
        <v/>
      </c>
      <c r="AR2956" s="35">
        <f>INDEX(AR$80:AR$93,$D2956)/$E2956</f>
        <v/>
      </c>
      <c r="AS2956" s="35">
        <f>INDEX(AS$80:AS$93,$D2956)/$E2956</f>
        <v/>
      </c>
      <c r="AT2956" s="35">
        <f>INDEX(AT$80:AT$93,$D2956)/$E2956</f>
        <v/>
      </c>
      <c r="AU2956" s="35">
        <f>INDEX(AU$80:AU$93,$D2956)/$E2956</f>
        <v/>
      </c>
      <c r="AV2956" s="35">
        <f>INDEX(AV$80:AV$93,$D2956)/$E2956</f>
        <v/>
      </c>
      <c r="AW2956" s="35">
        <f>INDEX(AW$80:AW$93,$D2956)/$E2956</f>
        <v/>
      </c>
      <c r="AX2956" s="35">
        <f>INDEX(AX$80:AX$93,$D2956)/$E2956</f>
        <v/>
      </c>
      <c r="AY2956" s="35">
        <f>INDEX(AY$80:AY$93,$D2956)/$E2956</f>
        <v/>
      </c>
      <c r="AZ2956" s="35">
        <f>INDEX(AZ$80:AZ$93,$D2956)/$E2956</f>
        <v/>
      </c>
      <c r="BA2956" s="42">
        <f>NEWEXCISE(INDEX(BA$80:BA$93,$D2956),$E2956)</f>
        <v/>
      </c>
    </row>
    <row r="2957" hidden="1" outlineLevel="2">
      <c r="A2957" s="14" t="inlineStr">
        <is>
          <t>ntx</t>
        </is>
      </c>
      <c r="B2957" s="14" t="inlineStr">
        <is>
          <t>die</t>
        </is>
      </c>
      <c r="C2957" s="14" t="inlineStr">
        <is>
          <t>oen</t>
        </is>
      </c>
      <c r="D2957" s="35">
        <f>INDEX(Inputs!$N$5:$N$132,MATCH($B2957&amp;"|"&amp;$C2957,Inputs!$A$5:$A$132,0))</f>
        <v/>
      </c>
      <c r="E2957" s="35">
        <f>INDEX(Inputs!$K$5:$K$132,MATCH($B2957&amp;"|"&amp;$C2957,Inputs!$A$5:$A$132,0))</f>
        <v/>
      </c>
      <c r="F2957" s="39" t="n"/>
      <c r="G2957" s="39" t="n"/>
      <c r="H2957" s="14">
        <f>INDEX(VarLab,MATCH($A2957,VarKey,0))&amp;INDEX(MemLab,MATCH($C2957&amp;"|"&amp;$B2957,MemKey,0))</f>
        <v/>
      </c>
      <c r="I2957" s="14">
        <f>INDEX(VarUnit,MATCH($A2957,VarKey,0))</f>
        <v/>
      </c>
      <c r="J2957" s="14">
        <f>INDEX(VarSrc,MATCH($A2957,VarKey,0))</f>
        <v/>
      </c>
      <c r="K2957" s="11">
        <f>CodePrefix&amp;$A2957&amp;IF($C2957="","","."&amp;$C2957&amp;"."&amp;$B2957)&amp;INDEX(VarEnd,MATCH($A2957,VarKey,0))&amp;K$5</f>
        <v/>
      </c>
      <c r="L2957" s="40">
        <f>INDEX(L$80:L$93,$D2957)/$E2957</f>
        <v/>
      </c>
      <c r="M2957" s="35">
        <f>INDEX(M$80:M$93,$D2957)/$E2957</f>
        <v/>
      </c>
      <c r="N2957" s="35">
        <f>INDEX(N$80:N$93,$D2957)/$E2957</f>
        <v/>
      </c>
      <c r="O2957" s="35">
        <f>INDEX(O$80:O$93,$D2957)/$E2957</f>
        <v/>
      </c>
      <c r="P2957" s="35">
        <f>INDEX(P$80:P$93,$D2957)/$E2957</f>
        <v/>
      </c>
      <c r="Q2957" s="35">
        <f>INDEX(Q$80:Q$93,$D2957)/$E2957</f>
        <v/>
      </c>
      <c r="R2957" s="35">
        <f>INDEX(R$80:R$93,$D2957)/$E2957</f>
        <v/>
      </c>
      <c r="S2957" s="35">
        <f>INDEX(S$80:S$93,$D2957)/$E2957</f>
        <v/>
      </c>
      <c r="T2957" s="35">
        <f>INDEX(T$80:T$93,$D2957)/$E2957</f>
        <v/>
      </c>
      <c r="U2957" s="35">
        <f>INDEX(U$80:U$93,$D2957)/$E2957</f>
        <v/>
      </c>
      <c r="V2957" s="35">
        <f>INDEX(V$80:V$93,$D2957)/$E2957</f>
        <v/>
      </c>
      <c r="W2957" s="35">
        <f>INDEX(W$80:W$93,$D2957)/$E2957</f>
        <v/>
      </c>
      <c r="X2957" s="35">
        <f>INDEX(X$80:X$93,$D2957)/$E2957</f>
        <v/>
      </c>
      <c r="Y2957" s="35">
        <f>INDEX(Y$80:Y$93,$D2957)/$E2957</f>
        <v/>
      </c>
      <c r="Z2957" s="35">
        <f>INDEX(Z$80:Z$93,$D2957)/$E2957</f>
        <v/>
      </c>
      <c r="AA2957" s="35">
        <f>INDEX(AA$80:AA$93,$D2957)/$E2957</f>
        <v/>
      </c>
      <c r="AB2957" s="35">
        <f>INDEX(AB$80:AB$93,$D2957)/$E2957</f>
        <v/>
      </c>
      <c r="AC2957" s="35">
        <f>INDEX(AC$80:AC$93,$D2957)/$E2957</f>
        <v/>
      </c>
      <c r="AD2957" s="35">
        <f>INDEX(AD$80:AD$93,$D2957)/$E2957</f>
        <v/>
      </c>
      <c r="AE2957" s="42">
        <f>NEWEXCISE(INDEX(AE$80:AE$93,$D2957),$E2957)</f>
        <v/>
      </c>
      <c r="AG2957" s="11">
        <f>CodePrefix&amp;$A2957&amp;IF($C2957="","","."&amp;$C2957&amp;"."&amp;$B2957)&amp;INDEX(VarEnd,MATCH($A2957,VarKey,0))&amp;AG$5</f>
        <v/>
      </c>
      <c r="AH2957" s="40">
        <f>INDEX(AH$80:AH$93,$D2957)/$E2957</f>
        <v/>
      </c>
      <c r="AI2957" s="35">
        <f>INDEX(AI$80:AI$93,$D2957)/$E2957</f>
        <v/>
      </c>
      <c r="AJ2957" s="35">
        <f>INDEX(AJ$80:AJ$93,$D2957)/$E2957</f>
        <v/>
      </c>
      <c r="AK2957" s="35">
        <f>INDEX(AK$80:AK$93,$D2957)/$E2957</f>
        <v/>
      </c>
      <c r="AL2957" s="35">
        <f>INDEX(AL$80:AL$93,$D2957)/$E2957</f>
        <v/>
      </c>
      <c r="AM2957" s="35">
        <f>INDEX(AM$80:AM$93,$D2957)/$E2957</f>
        <v/>
      </c>
      <c r="AN2957" s="35">
        <f>INDEX(AN$80:AN$93,$D2957)/$E2957</f>
        <v/>
      </c>
      <c r="AO2957" s="35">
        <f>INDEX(AO$80:AO$93,$D2957)/$E2957</f>
        <v/>
      </c>
      <c r="AP2957" s="35">
        <f>INDEX(AP$80:AP$93,$D2957)/$E2957</f>
        <v/>
      </c>
      <c r="AQ2957" s="35">
        <f>INDEX(AQ$80:AQ$93,$D2957)/$E2957</f>
        <v/>
      </c>
      <c r="AR2957" s="35">
        <f>INDEX(AR$80:AR$93,$D2957)/$E2957</f>
        <v/>
      </c>
      <c r="AS2957" s="35">
        <f>INDEX(AS$80:AS$93,$D2957)/$E2957</f>
        <v/>
      </c>
      <c r="AT2957" s="35">
        <f>INDEX(AT$80:AT$93,$D2957)/$E2957</f>
        <v/>
      </c>
      <c r="AU2957" s="35">
        <f>INDEX(AU$80:AU$93,$D2957)/$E2957</f>
        <v/>
      </c>
      <c r="AV2957" s="35">
        <f>INDEX(AV$80:AV$93,$D2957)/$E2957</f>
        <v/>
      </c>
      <c r="AW2957" s="35">
        <f>INDEX(AW$80:AW$93,$D2957)/$E2957</f>
        <v/>
      </c>
      <c r="AX2957" s="35">
        <f>INDEX(AX$80:AX$93,$D2957)/$E2957</f>
        <v/>
      </c>
      <c r="AY2957" s="35">
        <f>INDEX(AY$80:AY$93,$D2957)/$E2957</f>
        <v/>
      </c>
      <c r="AZ2957" s="35">
        <f>INDEX(AZ$80:AZ$93,$D2957)/$E2957</f>
        <v/>
      </c>
      <c r="BA2957" s="42">
        <f>NEWEXCISE(INDEX(BA$80:BA$93,$D2957),$E2957)</f>
        <v/>
      </c>
    </row>
    <row r="2958" hidden="1" outlineLevel="2">
      <c r="A2958" s="14" t="inlineStr">
        <is>
          <t>ntx</t>
        </is>
      </c>
      <c r="B2958" s="14" t="inlineStr">
        <is>
          <t>lpg</t>
        </is>
      </c>
      <c r="C2958" s="14" t="inlineStr">
        <is>
          <t>oen</t>
        </is>
      </c>
      <c r="D2958" s="35">
        <f>INDEX(Inputs!$N$5:$N$132,MATCH($B2958&amp;"|"&amp;$C2958,Inputs!$A$5:$A$132,0))</f>
        <v/>
      </c>
      <c r="E2958" s="35">
        <f>INDEX(Inputs!$K$5:$K$132,MATCH($B2958&amp;"|"&amp;$C2958,Inputs!$A$5:$A$132,0))</f>
        <v/>
      </c>
      <c r="F2958" s="39" t="n"/>
      <c r="G2958" s="39" t="n"/>
      <c r="H2958" s="14">
        <f>INDEX(VarLab,MATCH($A2958,VarKey,0))&amp;INDEX(MemLab,MATCH($C2958&amp;"|"&amp;$B2958,MemKey,0))</f>
        <v/>
      </c>
      <c r="I2958" s="14">
        <f>INDEX(VarUnit,MATCH($A2958,VarKey,0))</f>
        <v/>
      </c>
      <c r="J2958" s="14">
        <f>INDEX(VarSrc,MATCH($A2958,VarKey,0))</f>
        <v/>
      </c>
      <c r="K2958" s="11">
        <f>CodePrefix&amp;$A2958&amp;IF($C2958="","","."&amp;$C2958&amp;"."&amp;$B2958)&amp;INDEX(VarEnd,MATCH($A2958,VarKey,0))&amp;K$5</f>
        <v/>
      </c>
      <c r="L2958" s="40">
        <f>INDEX(L$80:L$93,$D2958)/$E2958</f>
        <v/>
      </c>
      <c r="M2958" s="35">
        <f>INDEX(M$80:M$93,$D2958)/$E2958</f>
        <v/>
      </c>
      <c r="N2958" s="35">
        <f>INDEX(N$80:N$93,$D2958)/$E2958</f>
        <v/>
      </c>
      <c r="O2958" s="35">
        <f>INDEX(O$80:O$93,$D2958)/$E2958</f>
        <v/>
      </c>
      <c r="P2958" s="35">
        <f>INDEX(P$80:P$93,$D2958)/$E2958</f>
        <v/>
      </c>
      <c r="Q2958" s="35">
        <f>INDEX(Q$80:Q$93,$D2958)/$E2958</f>
        <v/>
      </c>
      <c r="R2958" s="35">
        <f>INDEX(R$80:R$93,$D2958)/$E2958</f>
        <v/>
      </c>
      <c r="S2958" s="35">
        <f>INDEX(S$80:S$93,$D2958)/$E2958</f>
        <v/>
      </c>
      <c r="T2958" s="35">
        <f>INDEX(T$80:T$93,$D2958)/$E2958</f>
        <v/>
      </c>
      <c r="U2958" s="35">
        <f>INDEX(U$80:U$93,$D2958)/$E2958</f>
        <v/>
      </c>
      <c r="V2958" s="35">
        <f>INDEX(V$80:V$93,$D2958)/$E2958</f>
        <v/>
      </c>
      <c r="W2958" s="35">
        <f>INDEX(W$80:W$93,$D2958)/$E2958</f>
        <v/>
      </c>
      <c r="X2958" s="35">
        <f>INDEX(X$80:X$93,$D2958)/$E2958</f>
        <v/>
      </c>
      <c r="Y2958" s="35">
        <f>INDEX(Y$80:Y$93,$D2958)/$E2958</f>
        <v/>
      </c>
      <c r="Z2958" s="35">
        <f>INDEX(Z$80:Z$93,$D2958)/$E2958</f>
        <v/>
      </c>
      <c r="AA2958" s="35">
        <f>INDEX(AA$80:AA$93,$D2958)/$E2958</f>
        <v/>
      </c>
      <c r="AB2958" s="35">
        <f>INDEX(AB$80:AB$93,$D2958)/$E2958</f>
        <v/>
      </c>
      <c r="AC2958" s="35">
        <f>INDEX(AC$80:AC$93,$D2958)/$E2958</f>
        <v/>
      </c>
      <c r="AD2958" s="35">
        <f>INDEX(AD$80:AD$93,$D2958)/$E2958</f>
        <v/>
      </c>
      <c r="AE2958" s="42">
        <f>NEWEXCISE(INDEX(AE$80:AE$93,$D2958),$E2958)</f>
        <v/>
      </c>
      <c r="AG2958" s="11">
        <f>CodePrefix&amp;$A2958&amp;IF($C2958="","","."&amp;$C2958&amp;"."&amp;$B2958)&amp;INDEX(VarEnd,MATCH($A2958,VarKey,0))&amp;AG$5</f>
        <v/>
      </c>
      <c r="AH2958" s="40">
        <f>INDEX(AH$80:AH$93,$D2958)/$E2958</f>
        <v/>
      </c>
      <c r="AI2958" s="35">
        <f>INDEX(AI$80:AI$93,$D2958)/$E2958</f>
        <v/>
      </c>
      <c r="AJ2958" s="35">
        <f>INDEX(AJ$80:AJ$93,$D2958)/$E2958</f>
        <v/>
      </c>
      <c r="AK2958" s="35">
        <f>INDEX(AK$80:AK$93,$D2958)/$E2958</f>
        <v/>
      </c>
      <c r="AL2958" s="35">
        <f>INDEX(AL$80:AL$93,$D2958)/$E2958</f>
        <v/>
      </c>
      <c r="AM2958" s="35">
        <f>INDEX(AM$80:AM$93,$D2958)/$E2958</f>
        <v/>
      </c>
      <c r="AN2958" s="35">
        <f>INDEX(AN$80:AN$93,$D2958)/$E2958</f>
        <v/>
      </c>
      <c r="AO2958" s="35">
        <f>INDEX(AO$80:AO$93,$D2958)/$E2958</f>
        <v/>
      </c>
      <c r="AP2958" s="35">
        <f>INDEX(AP$80:AP$93,$D2958)/$E2958</f>
        <v/>
      </c>
      <c r="AQ2958" s="35">
        <f>INDEX(AQ$80:AQ$93,$D2958)/$E2958</f>
        <v/>
      </c>
      <c r="AR2958" s="35">
        <f>INDEX(AR$80:AR$93,$D2958)/$E2958</f>
        <v/>
      </c>
      <c r="AS2958" s="35">
        <f>INDEX(AS$80:AS$93,$D2958)/$E2958</f>
        <v/>
      </c>
      <c r="AT2958" s="35">
        <f>INDEX(AT$80:AT$93,$D2958)/$E2958</f>
        <v/>
      </c>
      <c r="AU2958" s="35">
        <f>INDEX(AU$80:AU$93,$D2958)/$E2958</f>
        <v/>
      </c>
      <c r="AV2958" s="35">
        <f>INDEX(AV$80:AV$93,$D2958)/$E2958</f>
        <v/>
      </c>
      <c r="AW2958" s="35">
        <f>INDEX(AW$80:AW$93,$D2958)/$E2958</f>
        <v/>
      </c>
      <c r="AX2958" s="35">
        <f>INDEX(AX$80:AX$93,$D2958)/$E2958</f>
        <v/>
      </c>
      <c r="AY2958" s="35">
        <f>INDEX(AY$80:AY$93,$D2958)/$E2958</f>
        <v/>
      </c>
      <c r="AZ2958" s="35">
        <f>INDEX(AZ$80:AZ$93,$D2958)/$E2958</f>
        <v/>
      </c>
      <c r="BA2958" s="42">
        <f>NEWEXCISE(INDEX(BA$80:BA$93,$D2958),$E2958)</f>
        <v/>
      </c>
    </row>
    <row r="2959" hidden="1" outlineLevel="2">
      <c r="A2959" s="14" t="inlineStr">
        <is>
          <t>ntx</t>
        </is>
      </c>
      <c r="B2959" s="14" t="inlineStr">
        <is>
          <t>ker</t>
        </is>
      </c>
      <c r="C2959" s="14" t="inlineStr">
        <is>
          <t>oen</t>
        </is>
      </c>
      <c r="D2959" s="35">
        <f>INDEX(Inputs!$N$5:$N$132,MATCH($B2959&amp;"|"&amp;$C2959,Inputs!$A$5:$A$132,0))</f>
        <v/>
      </c>
      <c r="E2959" s="35">
        <f>INDEX(Inputs!$K$5:$K$132,MATCH($B2959&amp;"|"&amp;$C2959,Inputs!$A$5:$A$132,0))</f>
        <v/>
      </c>
      <c r="F2959" s="39" t="n"/>
      <c r="G2959" s="39" t="n"/>
      <c r="H2959" s="14">
        <f>INDEX(VarLab,MATCH($A2959,VarKey,0))&amp;INDEX(MemLab,MATCH($C2959&amp;"|"&amp;$B2959,MemKey,0))</f>
        <v/>
      </c>
      <c r="I2959" s="14">
        <f>INDEX(VarUnit,MATCH($A2959,VarKey,0))</f>
        <v/>
      </c>
      <c r="J2959" s="14">
        <f>INDEX(VarSrc,MATCH($A2959,VarKey,0))</f>
        <v/>
      </c>
      <c r="K2959" s="11">
        <f>CodePrefix&amp;$A2959&amp;IF($C2959="","","."&amp;$C2959&amp;"."&amp;$B2959)&amp;INDEX(VarEnd,MATCH($A2959,VarKey,0))&amp;K$5</f>
        <v/>
      </c>
      <c r="L2959" s="40">
        <f>INDEX(L$80:L$93,$D2959)/$E2959</f>
        <v/>
      </c>
      <c r="M2959" s="35">
        <f>INDEX(M$80:M$93,$D2959)/$E2959</f>
        <v/>
      </c>
      <c r="N2959" s="35">
        <f>INDEX(N$80:N$93,$D2959)/$E2959</f>
        <v/>
      </c>
      <c r="O2959" s="35">
        <f>INDEX(O$80:O$93,$D2959)/$E2959</f>
        <v/>
      </c>
      <c r="P2959" s="35">
        <f>INDEX(P$80:P$93,$D2959)/$E2959</f>
        <v/>
      </c>
      <c r="Q2959" s="35">
        <f>INDEX(Q$80:Q$93,$D2959)/$E2959</f>
        <v/>
      </c>
      <c r="R2959" s="35">
        <f>INDEX(R$80:R$93,$D2959)/$E2959</f>
        <v/>
      </c>
      <c r="S2959" s="35">
        <f>INDEX(S$80:S$93,$D2959)/$E2959</f>
        <v/>
      </c>
      <c r="T2959" s="35">
        <f>INDEX(T$80:T$93,$D2959)/$E2959</f>
        <v/>
      </c>
      <c r="U2959" s="35">
        <f>INDEX(U$80:U$93,$D2959)/$E2959</f>
        <v/>
      </c>
      <c r="V2959" s="35">
        <f>INDEX(V$80:V$93,$D2959)/$E2959</f>
        <v/>
      </c>
      <c r="W2959" s="35">
        <f>INDEX(W$80:W$93,$D2959)/$E2959</f>
        <v/>
      </c>
      <c r="X2959" s="35">
        <f>INDEX(X$80:X$93,$D2959)/$E2959</f>
        <v/>
      </c>
      <c r="Y2959" s="35">
        <f>INDEX(Y$80:Y$93,$D2959)/$E2959</f>
        <v/>
      </c>
      <c r="Z2959" s="35">
        <f>INDEX(Z$80:Z$93,$D2959)/$E2959</f>
        <v/>
      </c>
      <c r="AA2959" s="35">
        <f>INDEX(AA$80:AA$93,$D2959)/$E2959</f>
        <v/>
      </c>
      <c r="AB2959" s="35">
        <f>INDEX(AB$80:AB$93,$D2959)/$E2959</f>
        <v/>
      </c>
      <c r="AC2959" s="35">
        <f>INDEX(AC$80:AC$93,$D2959)/$E2959</f>
        <v/>
      </c>
      <c r="AD2959" s="35">
        <f>INDEX(AD$80:AD$93,$D2959)/$E2959</f>
        <v/>
      </c>
      <c r="AE2959" s="42">
        <f>NEWEXCISE(INDEX(AE$80:AE$93,$D2959),$E2959)</f>
        <v/>
      </c>
      <c r="AG2959" s="11">
        <f>CodePrefix&amp;$A2959&amp;IF($C2959="","","."&amp;$C2959&amp;"."&amp;$B2959)&amp;INDEX(VarEnd,MATCH($A2959,VarKey,0))&amp;AG$5</f>
        <v/>
      </c>
      <c r="AH2959" s="40">
        <f>INDEX(AH$80:AH$93,$D2959)/$E2959</f>
        <v/>
      </c>
      <c r="AI2959" s="35">
        <f>INDEX(AI$80:AI$93,$D2959)/$E2959</f>
        <v/>
      </c>
      <c r="AJ2959" s="35">
        <f>INDEX(AJ$80:AJ$93,$D2959)/$E2959</f>
        <v/>
      </c>
      <c r="AK2959" s="35">
        <f>INDEX(AK$80:AK$93,$D2959)/$E2959</f>
        <v/>
      </c>
      <c r="AL2959" s="35">
        <f>INDEX(AL$80:AL$93,$D2959)/$E2959</f>
        <v/>
      </c>
      <c r="AM2959" s="35">
        <f>INDEX(AM$80:AM$93,$D2959)/$E2959</f>
        <v/>
      </c>
      <c r="AN2959" s="35">
        <f>INDEX(AN$80:AN$93,$D2959)/$E2959</f>
        <v/>
      </c>
      <c r="AO2959" s="35">
        <f>INDEX(AO$80:AO$93,$D2959)/$E2959</f>
        <v/>
      </c>
      <c r="AP2959" s="35">
        <f>INDEX(AP$80:AP$93,$D2959)/$E2959</f>
        <v/>
      </c>
      <c r="AQ2959" s="35">
        <f>INDEX(AQ$80:AQ$93,$D2959)/$E2959</f>
        <v/>
      </c>
      <c r="AR2959" s="35">
        <f>INDEX(AR$80:AR$93,$D2959)/$E2959</f>
        <v/>
      </c>
      <c r="AS2959" s="35">
        <f>INDEX(AS$80:AS$93,$D2959)/$E2959</f>
        <v/>
      </c>
      <c r="AT2959" s="35">
        <f>INDEX(AT$80:AT$93,$D2959)/$E2959</f>
        <v/>
      </c>
      <c r="AU2959" s="35">
        <f>INDEX(AU$80:AU$93,$D2959)/$E2959</f>
        <v/>
      </c>
      <c r="AV2959" s="35">
        <f>INDEX(AV$80:AV$93,$D2959)/$E2959</f>
        <v/>
      </c>
      <c r="AW2959" s="35">
        <f>INDEX(AW$80:AW$93,$D2959)/$E2959</f>
        <v/>
      </c>
      <c r="AX2959" s="35">
        <f>INDEX(AX$80:AX$93,$D2959)/$E2959</f>
        <v/>
      </c>
      <c r="AY2959" s="35">
        <f>INDEX(AY$80:AY$93,$D2959)/$E2959</f>
        <v/>
      </c>
      <c r="AZ2959" s="35">
        <f>INDEX(AZ$80:AZ$93,$D2959)/$E2959</f>
        <v/>
      </c>
      <c r="BA2959" s="42">
        <f>NEWEXCISE(INDEX(BA$80:BA$93,$D2959),$E2959)</f>
        <v/>
      </c>
    </row>
    <row r="2960" hidden="1" outlineLevel="2">
      <c r="A2960" s="14" t="inlineStr">
        <is>
          <t>ntx</t>
        </is>
      </c>
      <c r="B2960" s="14" t="inlineStr">
        <is>
          <t>oop</t>
        </is>
      </c>
      <c r="C2960" s="14" t="inlineStr">
        <is>
          <t>oen</t>
        </is>
      </c>
      <c r="D2960" s="35">
        <f>INDEX(Inputs!$N$5:$N$132,MATCH($B2960&amp;"|"&amp;$C2960,Inputs!$A$5:$A$132,0))</f>
        <v/>
      </c>
      <c r="E2960" s="35">
        <f>INDEX(Inputs!$K$5:$K$132,MATCH($B2960&amp;"|"&amp;$C2960,Inputs!$A$5:$A$132,0))</f>
        <v/>
      </c>
      <c r="F2960" s="39" t="n"/>
      <c r="G2960" s="39" t="n"/>
      <c r="H2960" s="14">
        <f>INDEX(VarLab,MATCH($A2960,VarKey,0))&amp;INDEX(MemLab,MATCH($C2960&amp;"|"&amp;$B2960,MemKey,0))</f>
        <v/>
      </c>
      <c r="I2960" s="14">
        <f>INDEX(VarUnit,MATCH($A2960,VarKey,0))</f>
        <v/>
      </c>
      <c r="J2960" s="14">
        <f>INDEX(VarSrc,MATCH($A2960,VarKey,0))</f>
        <v/>
      </c>
      <c r="K2960" s="11">
        <f>CodePrefix&amp;$A2960&amp;IF($C2960="","","."&amp;$C2960&amp;"."&amp;$B2960)&amp;INDEX(VarEnd,MATCH($A2960,VarKey,0))&amp;K$5</f>
        <v/>
      </c>
      <c r="L2960" s="40">
        <f>INDEX(L$80:L$93,$D2960)/$E2960</f>
        <v/>
      </c>
      <c r="M2960" s="35">
        <f>INDEX(M$80:M$93,$D2960)/$E2960</f>
        <v/>
      </c>
      <c r="N2960" s="35">
        <f>INDEX(N$80:N$93,$D2960)/$E2960</f>
        <v/>
      </c>
      <c r="O2960" s="35">
        <f>INDEX(O$80:O$93,$D2960)/$E2960</f>
        <v/>
      </c>
      <c r="P2960" s="35">
        <f>INDEX(P$80:P$93,$D2960)/$E2960</f>
        <v/>
      </c>
      <c r="Q2960" s="35">
        <f>INDEX(Q$80:Q$93,$D2960)/$E2960</f>
        <v/>
      </c>
      <c r="R2960" s="35">
        <f>INDEX(R$80:R$93,$D2960)/$E2960</f>
        <v/>
      </c>
      <c r="S2960" s="35">
        <f>INDEX(S$80:S$93,$D2960)/$E2960</f>
        <v/>
      </c>
      <c r="T2960" s="35">
        <f>INDEX(T$80:T$93,$D2960)/$E2960</f>
        <v/>
      </c>
      <c r="U2960" s="35">
        <f>INDEX(U$80:U$93,$D2960)/$E2960</f>
        <v/>
      </c>
      <c r="V2960" s="35">
        <f>INDEX(V$80:V$93,$D2960)/$E2960</f>
        <v/>
      </c>
      <c r="W2960" s="35">
        <f>INDEX(W$80:W$93,$D2960)/$E2960</f>
        <v/>
      </c>
      <c r="X2960" s="35">
        <f>INDEX(X$80:X$93,$D2960)/$E2960</f>
        <v/>
      </c>
      <c r="Y2960" s="35">
        <f>INDEX(Y$80:Y$93,$D2960)/$E2960</f>
        <v/>
      </c>
      <c r="Z2960" s="35">
        <f>INDEX(Z$80:Z$93,$D2960)/$E2960</f>
        <v/>
      </c>
      <c r="AA2960" s="35">
        <f>INDEX(AA$80:AA$93,$D2960)/$E2960</f>
        <v/>
      </c>
      <c r="AB2960" s="35">
        <f>INDEX(AB$80:AB$93,$D2960)/$E2960</f>
        <v/>
      </c>
      <c r="AC2960" s="35">
        <f>INDEX(AC$80:AC$93,$D2960)/$E2960</f>
        <v/>
      </c>
      <c r="AD2960" s="35">
        <f>INDEX(AD$80:AD$93,$D2960)/$E2960</f>
        <v/>
      </c>
      <c r="AE2960" s="42">
        <f>NEWEXCISE(INDEX(AE$80:AE$93,$D2960),$E2960)</f>
        <v/>
      </c>
      <c r="AG2960" s="11">
        <f>CodePrefix&amp;$A2960&amp;IF($C2960="","","."&amp;$C2960&amp;"."&amp;$B2960)&amp;INDEX(VarEnd,MATCH($A2960,VarKey,0))&amp;AG$5</f>
        <v/>
      </c>
      <c r="AH2960" s="40">
        <f>INDEX(AH$80:AH$93,$D2960)/$E2960</f>
        <v/>
      </c>
      <c r="AI2960" s="35">
        <f>INDEX(AI$80:AI$93,$D2960)/$E2960</f>
        <v/>
      </c>
      <c r="AJ2960" s="35">
        <f>INDEX(AJ$80:AJ$93,$D2960)/$E2960</f>
        <v/>
      </c>
      <c r="AK2960" s="35">
        <f>INDEX(AK$80:AK$93,$D2960)/$E2960</f>
        <v/>
      </c>
      <c r="AL2960" s="35">
        <f>INDEX(AL$80:AL$93,$D2960)/$E2960</f>
        <v/>
      </c>
      <c r="AM2960" s="35">
        <f>INDEX(AM$80:AM$93,$D2960)/$E2960</f>
        <v/>
      </c>
      <c r="AN2960" s="35">
        <f>INDEX(AN$80:AN$93,$D2960)/$E2960</f>
        <v/>
      </c>
      <c r="AO2960" s="35">
        <f>INDEX(AO$80:AO$93,$D2960)/$E2960</f>
        <v/>
      </c>
      <c r="AP2960" s="35">
        <f>INDEX(AP$80:AP$93,$D2960)/$E2960</f>
        <v/>
      </c>
      <c r="AQ2960" s="35">
        <f>INDEX(AQ$80:AQ$93,$D2960)/$E2960</f>
        <v/>
      </c>
      <c r="AR2960" s="35">
        <f>INDEX(AR$80:AR$93,$D2960)/$E2960</f>
        <v/>
      </c>
      <c r="AS2960" s="35">
        <f>INDEX(AS$80:AS$93,$D2960)/$E2960</f>
        <v/>
      </c>
      <c r="AT2960" s="35">
        <f>INDEX(AT$80:AT$93,$D2960)/$E2960</f>
        <v/>
      </c>
      <c r="AU2960" s="35">
        <f>INDEX(AU$80:AU$93,$D2960)/$E2960</f>
        <v/>
      </c>
      <c r="AV2960" s="35">
        <f>INDEX(AV$80:AV$93,$D2960)/$E2960</f>
        <v/>
      </c>
      <c r="AW2960" s="35">
        <f>INDEX(AW$80:AW$93,$D2960)/$E2960</f>
        <v/>
      </c>
      <c r="AX2960" s="35">
        <f>INDEX(AX$80:AX$93,$D2960)/$E2960</f>
        <v/>
      </c>
      <c r="AY2960" s="35">
        <f>INDEX(AY$80:AY$93,$D2960)/$E2960</f>
        <v/>
      </c>
      <c r="AZ2960" s="35">
        <f>INDEX(AZ$80:AZ$93,$D2960)/$E2960</f>
        <v/>
      </c>
      <c r="BA2960" s="42">
        <f>NEWEXCISE(INDEX(BA$80:BA$93,$D2960),$E2960)</f>
        <v/>
      </c>
    </row>
    <row r="2961" hidden="1" outlineLevel="2">
      <c r="A2961" s="14" t="inlineStr">
        <is>
          <t>ntx</t>
        </is>
      </c>
      <c r="B2961" s="14" t="inlineStr">
        <is>
          <t>bio</t>
        </is>
      </c>
      <c r="C2961" s="14" t="inlineStr">
        <is>
          <t>oen</t>
        </is>
      </c>
      <c r="D2961" s="35">
        <f>INDEX(Inputs!$N$5:$N$132,MATCH($B2961&amp;"|"&amp;$C2961,Inputs!$A$5:$A$132,0))</f>
        <v/>
      </c>
      <c r="E2961" s="35">
        <f>INDEX(Inputs!$K$5:$K$132,MATCH($B2961&amp;"|"&amp;$C2961,Inputs!$A$5:$A$132,0))</f>
        <v/>
      </c>
      <c r="F2961" s="39" t="n"/>
      <c r="G2961" s="39" t="n"/>
      <c r="H2961" s="14">
        <f>INDEX(VarLab,MATCH($A2961,VarKey,0))&amp;INDEX(MemLab,MATCH($C2961&amp;"|"&amp;$B2961,MemKey,0))</f>
        <v/>
      </c>
      <c r="I2961" s="14">
        <f>INDEX(VarUnit,MATCH($A2961,VarKey,0))</f>
        <v/>
      </c>
      <c r="J2961" s="14">
        <f>INDEX(VarSrc,MATCH($A2961,VarKey,0))</f>
        <v/>
      </c>
      <c r="K2961" s="11">
        <f>CodePrefix&amp;$A2961&amp;IF($C2961="","","."&amp;$C2961&amp;"."&amp;$B2961)&amp;INDEX(VarEnd,MATCH($A2961,VarKey,0))&amp;K$5</f>
        <v/>
      </c>
      <c r="L2961" s="40">
        <f>INDEX(L$80:L$93,$D2961)/$E2961</f>
        <v/>
      </c>
      <c r="M2961" s="35">
        <f>INDEX(M$80:M$93,$D2961)/$E2961</f>
        <v/>
      </c>
      <c r="N2961" s="35">
        <f>INDEX(N$80:N$93,$D2961)/$E2961</f>
        <v/>
      </c>
      <c r="O2961" s="35">
        <f>INDEX(O$80:O$93,$D2961)/$E2961</f>
        <v/>
      </c>
      <c r="P2961" s="35">
        <f>INDEX(P$80:P$93,$D2961)/$E2961</f>
        <v/>
      </c>
      <c r="Q2961" s="35">
        <f>INDEX(Q$80:Q$93,$D2961)/$E2961</f>
        <v/>
      </c>
      <c r="R2961" s="35">
        <f>INDEX(R$80:R$93,$D2961)/$E2961</f>
        <v/>
      </c>
      <c r="S2961" s="35">
        <f>INDEX(S$80:S$93,$D2961)/$E2961</f>
        <v/>
      </c>
      <c r="T2961" s="35">
        <f>INDEX(T$80:T$93,$D2961)/$E2961</f>
        <v/>
      </c>
      <c r="U2961" s="35">
        <f>INDEX(U$80:U$93,$D2961)/$E2961</f>
        <v/>
      </c>
      <c r="V2961" s="35">
        <f>INDEX(V$80:V$93,$D2961)/$E2961</f>
        <v/>
      </c>
      <c r="W2961" s="35">
        <f>INDEX(W$80:W$93,$D2961)/$E2961</f>
        <v/>
      </c>
      <c r="X2961" s="35">
        <f>INDEX(X$80:X$93,$D2961)/$E2961</f>
        <v/>
      </c>
      <c r="Y2961" s="35">
        <f>INDEX(Y$80:Y$93,$D2961)/$E2961</f>
        <v/>
      </c>
      <c r="Z2961" s="35">
        <f>INDEX(Z$80:Z$93,$D2961)/$E2961</f>
        <v/>
      </c>
      <c r="AA2961" s="35">
        <f>INDEX(AA$80:AA$93,$D2961)/$E2961</f>
        <v/>
      </c>
      <c r="AB2961" s="35">
        <f>INDEX(AB$80:AB$93,$D2961)/$E2961</f>
        <v/>
      </c>
      <c r="AC2961" s="35">
        <f>INDEX(AC$80:AC$93,$D2961)/$E2961</f>
        <v/>
      </c>
      <c r="AD2961" s="35">
        <f>INDEX(AD$80:AD$93,$D2961)/$E2961</f>
        <v/>
      </c>
      <c r="AE2961" s="42">
        <f>NEWEXCISE(INDEX(AE$80:AE$93,$D2961),$E2961)</f>
        <v/>
      </c>
      <c r="AG2961" s="11">
        <f>CodePrefix&amp;$A2961&amp;IF($C2961="","","."&amp;$C2961&amp;"."&amp;$B2961)&amp;INDEX(VarEnd,MATCH($A2961,VarKey,0))&amp;AG$5</f>
        <v/>
      </c>
      <c r="AH2961" s="40">
        <f>INDEX(AH$80:AH$93,$D2961)/$E2961</f>
        <v/>
      </c>
      <c r="AI2961" s="35">
        <f>INDEX(AI$80:AI$93,$D2961)/$E2961</f>
        <v/>
      </c>
      <c r="AJ2961" s="35">
        <f>INDEX(AJ$80:AJ$93,$D2961)/$E2961</f>
        <v/>
      </c>
      <c r="AK2961" s="35">
        <f>INDEX(AK$80:AK$93,$D2961)/$E2961</f>
        <v/>
      </c>
      <c r="AL2961" s="35">
        <f>INDEX(AL$80:AL$93,$D2961)/$E2961</f>
        <v/>
      </c>
      <c r="AM2961" s="35">
        <f>INDEX(AM$80:AM$93,$D2961)/$E2961</f>
        <v/>
      </c>
      <c r="AN2961" s="35">
        <f>INDEX(AN$80:AN$93,$D2961)/$E2961</f>
        <v/>
      </c>
      <c r="AO2961" s="35">
        <f>INDEX(AO$80:AO$93,$D2961)/$E2961</f>
        <v/>
      </c>
      <c r="AP2961" s="35">
        <f>INDEX(AP$80:AP$93,$D2961)/$E2961</f>
        <v/>
      </c>
      <c r="AQ2961" s="35">
        <f>INDEX(AQ$80:AQ$93,$D2961)/$E2961</f>
        <v/>
      </c>
      <c r="AR2961" s="35">
        <f>INDEX(AR$80:AR$93,$D2961)/$E2961</f>
        <v/>
      </c>
      <c r="AS2961" s="35">
        <f>INDEX(AS$80:AS$93,$D2961)/$E2961</f>
        <v/>
      </c>
      <c r="AT2961" s="35">
        <f>INDEX(AT$80:AT$93,$D2961)/$E2961</f>
        <v/>
      </c>
      <c r="AU2961" s="35">
        <f>INDEX(AU$80:AU$93,$D2961)/$E2961</f>
        <v/>
      </c>
      <c r="AV2961" s="35">
        <f>INDEX(AV$80:AV$93,$D2961)/$E2961</f>
        <v/>
      </c>
      <c r="AW2961" s="35">
        <f>INDEX(AW$80:AW$93,$D2961)/$E2961</f>
        <v/>
      </c>
      <c r="AX2961" s="35">
        <f>INDEX(AX$80:AX$93,$D2961)/$E2961</f>
        <v/>
      </c>
      <c r="AY2961" s="35">
        <f>INDEX(AY$80:AY$93,$D2961)/$E2961</f>
        <v/>
      </c>
      <c r="AZ2961" s="35">
        <f>INDEX(AZ$80:AZ$93,$D2961)/$E2961</f>
        <v/>
      </c>
      <c r="BA2961" s="42">
        <f>NEWEXCISE(INDEX(BA$80:BA$93,$D2961),$E2961)</f>
        <v/>
      </c>
    </row>
    <row r="2962" hidden="1" outlineLevel="2"/>
    <row r="2963" hidden="1" outlineLevel="2">
      <c r="A2963" s="14" t="inlineStr">
        <is>
          <t>nce</t>
        </is>
      </c>
      <c r="B2963" s="14" t="inlineStr">
        <is>
          <t>coa</t>
        </is>
      </c>
      <c r="C2963" s="14" t="inlineStr">
        <is>
          <t>oen</t>
        </is>
      </c>
      <c r="D2963" s="39" t="n"/>
      <c r="E2963" s="39" t="n"/>
      <c r="F2963" s="39" t="n"/>
      <c r="G2963" s="39" t="n"/>
      <c r="H2963" s="14">
        <f>INDEX(VarLab,MATCH($A2963,VarKey,0))&amp;INDEX(MemLab,MATCH($C2963&amp;"|"&amp;$B2963,MemKey,0))</f>
        <v/>
      </c>
      <c r="I2963" s="14">
        <f>INDEX(VarUnit,MATCH($A2963,VarKey,0))</f>
        <v/>
      </c>
      <c r="J2963" s="14">
        <f>INDEX(VarSrc,MATCH($A2963,VarKey,0))</f>
        <v/>
      </c>
      <c r="K2963" s="11">
        <f>CodePrefix&amp;$A2963&amp;IF($C2963="","","."&amp;$C2963&amp;"."&amp;$B2963)&amp;INDEX(VarEnd,MATCH($A2963,VarKey,0))&amp;K$5</f>
        <v/>
      </c>
      <c r="L2963" s="40">
        <f>L2936+L2945+L2954</f>
        <v/>
      </c>
      <c r="M2963" s="35">
        <f>M2936+M2945+M2954</f>
        <v/>
      </c>
      <c r="N2963" s="35">
        <f>N2936+N2945+N2954</f>
        <v/>
      </c>
      <c r="O2963" s="35">
        <f>O2936+O2945+O2954</f>
        <v/>
      </c>
      <c r="P2963" s="35">
        <f>P2936+P2945+P2954</f>
        <v/>
      </c>
      <c r="Q2963" s="35">
        <f>Q2936+Q2945+Q2954</f>
        <v/>
      </c>
      <c r="R2963" s="35">
        <f>R2936+R2945+R2954</f>
        <v/>
      </c>
      <c r="S2963" s="35">
        <f>S2936+S2945+S2954</f>
        <v/>
      </c>
      <c r="T2963" s="35">
        <f>T2936+T2945+T2954</f>
        <v/>
      </c>
      <c r="U2963" s="35">
        <f>U2936+U2945+U2954</f>
        <v/>
      </c>
      <c r="V2963" s="35">
        <f>V2936+V2945+V2954</f>
        <v/>
      </c>
      <c r="W2963" s="35">
        <f>W2936+W2945+W2954</f>
        <v/>
      </c>
      <c r="X2963" s="35">
        <f>X2936+X2945+X2954</f>
        <v/>
      </c>
      <c r="Y2963" s="35">
        <f>Y2936+Y2945+Y2954</f>
        <v/>
      </c>
      <c r="Z2963" s="35">
        <f>Z2936+Z2945+Z2954</f>
        <v/>
      </c>
      <c r="AA2963" s="35">
        <f>AA2936+AA2945+AA2954</f>
        <v/>
      </c>
      <c r="AB2963" s="35">
        <f>AB2936+AB2945+AB2954</f>
        <v/>
      </c>
      <c r="AC2963" s="35">
        <f>AC2936+AC2945+AC2954</f>
        <v/>
      </c>
      <c r="AD2963" s="35">
        <f>AD2936+AD2945+AD2954</f>
        <v/>
      </c>
      <c r="AE2963" s="42">
        <f>NEWPOLICY(AE2936,AE2945,AE2954)</f>
        <v/>
      </c>
      <c r="AG2963" s="11">
        <f>CodePrefix&amp;$A2963&amp;IF($C2963="","","."&amp;$C2963&amp;"."&amp;$B2963)&amp;INDEX(VarEnd,MATCH($A2963,VarKey,0))&amp;AG$5</f>
        <v/>
      </c>
      <c r="AH2963" s="40">
        <f>AH2936+AH2945+AH2954</f>
        <v/>
      </c>
      <c r="AI2963" s="35">
        <f>AI2936+AI2945+AI2954</f>
        <v/>
      </c>
      <c r="AJ2963" s="35">
        <f>AJ2936+AJ2945+AJ2954</f>
        <v/>
      </c>
      <c r="AK2963" s="35">
        <f>AK2936+AK2945+AK2954</f>
        <v/>
      </c>
      <c r="AL2963" s="35">
        <f>AL2936+AL2945+AL2954</f>
        <v/>
      </c>
      <c r="AM2963" s="35">
        <f>AM2936+AM2945+AM2954</f>
        <v/>
      </c>
      <c r="AN2963" s="35">
        <f>AN2936+AN2945+AN2954</f>
        <v/>
      </c>
      <c r="AO2963" s="35">
        <f>AO2936+AO2945+AO2954</f>
        <v/>
      </c>
      <c r="AP2963" s="35">
        <f>AP2936+AP2945+AP2954</f>
        <v/>
      </c>
      <c r="AQ2963" s="35">
        <f>AQ2936+AQ2945+AQ2954</f>
        <v/>
      </c>
      <c r="AR2963" s="35">
        <f>AR2936+AR2945+AR2954</f>
        <v/>
      </c>
      <c r="AS2963" s="35">
        <f>AS2936+AS2945+AS2954</f>
        <v/>
      </c>
      <c r="AT2963" s="35">
        <f>AT2936+AT2945+AT2954</f>
        <v/>
      </c>
      <c r="AU2963" s="35">
        <f>AU2936+AU2945+AU2954</f>
        <v/>
      </c>
      <c r="AV2963" s="35">
        <f>AV2936+AV2945+AV2954</f>
        <v/>
      </c>
      <c r="AW2963" s="35">
        <f>AW2936+AW2945+AW2954</f>
        <v/>
      </c>
      <c r="AX2963" s="35">
        <f>AX2936+AX2945+AX2954</f>
        <v/>
      </c>
      <c r="AY2963" s="35">
        <f>AY2936+AY2945+AY2954</f>
        <v/>
      </c>
      <c r="AZ2963" s="35">
        <f>AZ2936+AZ2945+AZ2954</f>
        <v/>
      </c>
      <c r="BA2963" s="42">
        <f>NEWPOLICY(BA2936,BA2945,BA2954)</f>
        <v/>
      </c>
    </row>
    <row r="2964" hidden="1" outlineLevel="2">
      <c r="A2964" s="14" t="inlineStr">
        <is>
          <t>nce</t>
        </is>
      </c>
      <c r="B2964" s="14" t="inlineStr">
        <is>
          <t>nga</t>
        </is>
      </c>
      <c r="C2964" s="14" t="inlineStr">
        <is>
          <t>oen</t>
        </is>
      </c>
      <c r="D2964" s="39" t="n"/>
      <c r="E2964" s="39" t="n"/>
      <c r="F2964" s="39" t="n"/>
      <c r="G2964" s="39" t="n"/>
      <c r="H2964" s="14">
        <f>INDEX(VarLab,MATCH($A2964,VarKey,0))&amp;INDEX(MemLab,MATCH($C2964&amp;"|"&amp;$B2964,MemKey,0))</f>
        <v/>
      </c>
      <c r="I2964" s="14">
        <f>INDEX(VarUnit,MATCH($A2964,VarKey,0))</f>
        <v/>
      </c>
      <c r="J2964" s="14">
        <f>INDEX(VarSrc,MATCH($A2964,VarKey,0))</f>
        <v/>
      </c>
      <c r="K2964" s="11">
        <f>CodePrefix&amp;$A2964&amp;IF($C2964="","","."&amp;$C2964&amp;"."&amp;$B2964)&amp;INDEX(VarEnd,MATCH($A2964,VarKey,0))&amp;K$5</f>
        <v/>
      </c>
      <c r="L2964" s="40">
        <f>L2937+L2946+L2955</f>
        <v/>
      </c>
      <c r="M2964" s="35">
        <f>M2937+M2946+M2955</f>
        <v/>
      </c>
      <c r="N2964" s="35">
        <f>N2937+N2946+N2955</f>
        <v/>
      </c>
      <c r="O2964" s="35">
        <f>O2937+O2946+O2955</f>
        <v/>
      </c>
      <c r="P2964" s="35">
        <f>P2937+P2946+P2955</f>
        <v/>
      </c>
      <c r="Q2964" s="35">
        <f>Q2937+Q2946+Q2955</f>
        <v/>
      </c>
      <c r="R2964" s="35">
        <f>R2937+R2946+R2955</f>
        <v/>
      </c>
      <c r="S2964" s="35">
        <f>S2937+S2946+S2955</f>
        <v/>
      </c>
      <c r="T2964" s="35">
        <f>T2937+T2946+T2955</f>
        <v/>
      </c>
      <c r="U2964" s="35">
        <f>U2937+U2946+U2955</f>
        <v/>
      </c>
      <c r="V2964" s="35">
        <f>V2937+V2946+V2955</f>
        <v/>
      </c>
      <c r="W2964" s="35">
        <f>W2937+W2946+W2955</f>
        <v/>
      </c>
      <c r="X2964" s="35">
        <f>X2937+X2946+X2955</f>
        <v/>
      </c>
      <c r="Y2964" s="35">
        <f>Y2937+Y2946+Y2955</f>
        <v/>
      </c>
      <c r="Z2964" s="35">
        <f>Z2937+Z2946+Z2955</f>
        <v/>
      </c>
      <c r="AA2964" s="35">
        <f>AA2937+AA2946+AA2955</f>
        <v/>
      </c>
      <c r="AB2964" s="35">
        <f>AB2937+AB2946+AB2955</f>
        <v/>
      </c>
      <c r="AC2964" s="35">
        <f>AC2937+AC2946+AC2955</f>
        <v/>
      </c>
      <c r="AD2964" s="35">
        <f>AD2937+AD2946+AD2955</f>
        <v/>
      </c>
      <c r="AE2964" s="42">
        <f>NEWPOLICY(AE2937,AE2946,AE2955)</f>
        <v/>
      </c>
      <c r="AG2964" s="11">
        <f>CodePrefix&amp;$A2964&amp;IF($C2964="","","."&amp;$C2964&amp;"."&amp;$B2964)&amp;INDEX(VarEnd,MATCH($A2964,VarKey,0))&amp;AG$5</f>
        <v/>
      </c>
      <c r="AH2964" s="40">
        <f>AH2937+AH2946+AH2955</f>
        <v/>
      </c>
      <c r="AI2964" s="35">
        <f>AI2937+AI2946+AI2955</f>
        <v/>
      </c>
      <c r="AJ2964" s="35">
        <f>AJ2937+AJ2946+AJ2955</f>
        <v/>
      </c>
      <c r="AK2964" s="35">
        <f>AK2937+AK2946+AK2955</f>
        <v/>
      </c>
      <c r="AL2964" s="35">
        <f>AL2937+AL2946+AL2955</f>
        <v/>
      </c>
      <c r="AM2964" s="35">
        <f>AM2937+AM2946+AM2955</f>
        <v/>
      </c>
      <c r="AN2964" s="35">
        <f>AN2937+AN2946+AN2955</f>
        <v/>
      </c>
      <c r="AO2964" s="35">
        <f>AO2937+AO2946+AO2955</f>
        <v/>
      </c>
      <c r="AP2964" s="35">
        <f>AP2937+AP2946+AP2955</f>
        <v/>
      </c>
      <c r="AQ2964" s="35">
        <f>AQ2937+AQ2946+AQ2955</f>
        <v/>
      </c>
      <c r="AR2964" s="35">
        <f>AR2937+AR2946+AR2955</f>
        <v/>
      </c>
      <c r="AS2964" s="35">
        <f>AS2937+AS2946+AS2955</f>
        <v/>
      </c>
      <c r="AT2964" s="35">
        <f>AT2937+AT2946+AT2955</f>
        <v/>
      </c>
      <c r="AU2964" s="35">
        <f>AU2937+AU2946+AU2955</f>
        <v/>
      </c>
      <c r="AV2964" s="35">
        <f>AV2937+AV2946+AV2955</f>
        <v/>
      </c>
      <c r="AW2964" s="35">
        <f>AW2937+AW2946+AW2955</f>
        <v/>
      </c>
      <c r="AX2964" s="35">
        <f>AX2937+AX2946+AX2955</f>
        <v/>
      </c>
      <c r="AY2964" s="35">
        <f>AY2937+AY2946+AY2955</f>
        <v/>
      </c>
      <c r="AZ2964" s="35">
        <f>AZ2937+AZ2946+AZ2955</f>
        <v/>
      </c>
      <c r="BA2964" s="42">
        <f>NEWPOLICY(BA2937,BA2946,BA2955)</f>
        <v/>
      </c>
    </row>
    <row r="2965" hidden="1" outlineLevel="2">
      <c r="A2965" s="14" t="inlineStr">
        <is>
          <t>nce</t>
        </is>
      </c>
      <c r="B2965" s="14" t="inlineStr">
        <is>
          <t>gso</t>
        </is>
      </c>
      <c r="C2965" s="14" t="inlineStr">
        <is>
          <t>oen</t>
        </is>
      </c>
      <c r="D2965" s="39" t="n"/>
      <c r="E2965" s="39" t="n"/>
      <c r="F2965" s="39" t="n"/>
      <c r="G2965" s="39" t="n"/>
      <c r="H2965" s="14">
        <f>INDEX(VarLab,MATCH($A2965,VarKey,0))&amp;INDEX(MemLab,MATCH($C2965&amp;"|"&amp;$B2965,MemKey,0))</f>
        <v/>
      </c>
      <c r="I2965" s="14">
        <f>INDEX(VarUnit,MATCH($A2965,VarKey,0))</f>
        <v/>
      </c>
      <c r="J2965" s="14">
        <f>INDEX(VarSrc,MATCH($A2965,VarKey,0))</f>
        <v/>
      </c>
      <c r="K2965" s="11">
        <f>CodePrefix&amp;$A2965&amp;IF($C2965="","","."&amp;$C2965&amp;"."&amp;$B2965)&amp;INDEX(VarEnd,MATCH($A2965,VarKey,0))&amp;K$5</f>
        <v/>
      </c>
      <c r="L2965" s="40">
        <f>L2938+L2947+L2956</f>
        <v/>
      </c>
      <c r="M2965" s="35">
        <f>M2938+M2947+M2956</f>
        <v/>
      </c>
      <c r="N2965" s="35">
        <f>N2938+N2947+N2956</f>
        <v/>
      </c>
      <c r="O2965" s="35">
        <f>O2938+O2947+O2956</f>
        <v/>
      </c>
      <c r="P2965" s="35">
        <f>P2938+P2947+P2956</f>
        <v/>
      </c>
      <c r="Q2965" s="35">
        <f>Q2938+Q2947+Q2956</f>
        <v/>
      </c>
      <c r="R2965" s="35">
        <f>R2938+R2947+R2956</f>
        <v/>
      </c>
      <c r="S2965" s="35">
        <f>S2938+S2947+S2956</f>
        <v/>
      </c>
      <c r="T2965" s="35">
        <f>T2938+T2947+T2956</f>
        <v/>
      </c>
      <c r="U2965" s="35">
        <f>U2938+U2947+U2956</f>
        <v/>
      </c>
      <c r="V2965" s="35">
        <f>V2938+V2947+V2956</f>
        <v/>
      </c>
      <c r="W2965" s="35">
        <f>W2938+W2947+W2956</f>
        <v/>
      </c>
      <c r="X2965" s="35">
        <f>X2938+X2947+X2956</f>
        <v/>
      </c>
      <c r="Y2965" s="35">
        <f>Y2938+Y2947+Y2956</f>
        <v/>
      </c>
      <c r="Z2965" s="35">
        <f>Z2938+Z2947+Z2956</f>
        <v/>
      </c>
      <c r="AA2965" s="35">
        <f>AA2938+AA2947+AA2956</f>
        <v/>
      </c>
      <c r="AB2965" s="35">
        <f>AB2938+AB2947+AB2956</f>
        <v/>
      </c>
      <c r="AC2965" s="35">
        <f>AC2938+AC2947+AC2956</f>
        <v/>
      </c>
      <c r="AD2965" s="35">
        <f>AD2938+AD2947+AD2956</f>
        <v/>
      </c>
      <c r="AE2965" s="42">
        <f>NEWPOLICY(AE2938,AE2947,AE2956)</f>
        <v/>
      </c>
      <c r="AG2965" s="11">
        <f>CodePrefix&amp;$A2965&amp;IF($C2965="","","."&amp;$C2965&amp;"."&amp;$B2965)&amp;INDEX(VarEnd,MATCH($A2965,VarKey,0))&amp;AG$5</f>
        <v/>
      </c>
      <c r="AH2965" s="40">
        <f>AH2938+AH2947+AH2956</f>
        <v/>
      </c>
      <c r="AI2965" s="35">
        <f>AI2938+AI2947+AI2956</f>
        <v/>
      </c>
      <c r="AJ2965" s="35">
        <f>AJ2938+AJ2947+AJ2956</f>
        <v/>
      </c>
      <c r="AK2965" s="35">
        <f>AK2938+AK2947+AK2956</f>
        <v/>
      </c>
      <c r="AL2965" s="35">
        <f>AL2938+AL2947+AL2956</f>
        <v/>
      </c>
      <c r="AM2965" s="35">
        <f>AM2938+AM2947+AM2956</f>
        <v/>
      </c>
      <c r="AN2965" s="35">
        <f>AN2938+AN2947+AN2956</f>
        <v/>
      </c>
      <c r="AO2965" s="35">
        <f>AO2938+AO2947+AO2956</f>
        <v/>
      </c>
      <c r="AP2965" s="35">
        <f>AP2938+AP2947+AP2956</f>
        <v/>
      </c>
      <c r="AQ2965" s="35">
        <f>AQ2938+AQ2947+AQ2956</f>
        <v/>
      </c>
      <c r="AR2965" s="35">
        <f>AR2938+AR2947+AR2956</f>
        <v/>
      </c>
      <c r="AS2965" s="35">
        <f>AS2938+AS2947+AS2956</f>
        <v/>
      </c>
      <c r="AT2965" s="35">
        <f>AT2938+AT2947+AT2956</f>
        <v/>
      </c>
      <c r="AU2965" s="35">
        <f>AU2938+AU2947+AU2956</f>
        <v/>
      </c>
      <c r="AV2965" s="35">
        <f>AV2938+AV2947+AV2956</f>
        <v/>
      </c>
      <c r="AW2965" s="35">
        <f>AW2938+AW2947+AW2956</f>
        <v/>
      </c>
      <c r="AX2965" s="35">
        <f>AX2938+AX2947+AX2956</f>
        <v/>
      </c>
      <c r="AY2965" s="35">
        <f>AY2938+AY2947+AY2956</f>
        <v/>
      </c>
      <c r="AZ2965" s="35">
        <f>AZ2938+AZ2947+AZ2956</f>
        <v/>
      </c>
      <c r="BA2965" s="42">
        <f>NEWPOLICY(BA2938,BA2947,BA2956)</f>
        <v/>
      </c>
    </row>
    <row r="2966" hidden="1" outlineLevel="2">
      <c r="A2966" s="14" t="inlineStr">
        <is>
          <t>nce</t>
        </is>
      </c>
      <c r="B2966" s="14" t="inlineStr">
        <is>
          <t>die</t>
        </is>
      </c>
      <c r="C2966" s="14" t="inlineStr">
        <is>
          <t>oen</t>
        </is>
      </c>
      <c r="D2966" s="39" t="n"/>
      <c r="E2966" s="39" t="n"/>
      <c r="F2966" s="39" t="n"/>
      <c r="G2966" s="39" t="n"/>
      <c r="H2966" s="14">
        <f>INDEX(VarLab,MATCH($A2966,VarKey,0))&amp;INDEX(MemLab,MATCH($C2966&amp;"|"&amp;$B2966,MemKey,0))</f>
        <v/>
      </c>
      <c r="I2966" s="14">
        <f>INDEX(VarUnit,MATCH($A2966,VarKey,0))</f>
        <v/>
      </c>
      <c r="J2966" s="14">
        <f>INDEX(VarSrc,MATCH($A2966,VarKey,0))</f>
        <v/>
      </c>
      <c r="K2966" s="11">
        <f>CodePrefix&amp;$A2966&amp;IF($C2966="","","."&amp;$C2966&amp;"."&amp;$B2966)&amp;INDEX(VarEnd,MATCH($A2966,VarKey,0))&amp;K$5</f>
        <v/>
      </c>
      <c r="L2966" s="40">
        <f>L2939+L2948+L2957</f>
        <v/>
      </c>
      <c r="M2966" s="35">
        <f>M2939+M2948+M2957</f>
        <v/>
      </c>
      <c r="N2966" s="35">
        <f>N2939+N2948+N2957</f>
        <v/>
      </c>
      <c r="O2966" s="35">
        <f>O2939+O2948+O2957</f>
        <v/>
      </c>
      <c r="P2966" s="35">
        <f>P2939+P2948+P2957</f>
        <v/>
      </c>
      <c r="Q2966" s="35">
        <f>Q2939+Q2948+Q2957</f>
        <v/>
      </c>
      <c r="R2966" s="35">
        <f>R2939+R2948+R2957</f>
        <v/>
      </c>
      <c r="S2966" s="35">
        <f>S2939+S2948+S2957</f>
        <v/>
      </c>
      <c r="T2966" s="35">
        <f>T2939+T2948+T2957</f>
        <v/>
      </c>
      <c r="U2966" s="35">
        <f>U2939+U2948+U2957</f>
        <v/>
      </c>
      <c r="V2966" s="35">
        <f>V2939+V2948+V2957</f>
        <v/>
      </c>
      <c r="W2966" s="35">
        <f>W2939+W2948+W2957</f>
        <v/>
      </c>
      <c r="X2966" s="35">
        <f>X2939+X2948+X2957</f>
        <v/>
      </c>
      <c r="Y2966" s="35">
        <f>Y2939+Y2948+Y2957</f>
        <v/>
      </c>
      <c r="Z2966" s="35">
        <f>Z2939+Z2948+Z2957</f>
        <v/>
      </c>
      <c r="AA2966" s="35">
        <f>AA2939+AA2948+AA2957</f>
        <v/>
      </c>
      <c r="AB2966" s="35">
        <f>AB2939+AB2948+AB2957</f>
        <v/>
      </c>
      <c r="AC2966" s="35">
        <f>AC2939+AC2948+AC2957</f>
        <v/>
      </c>
      <c r="AD2966" s="35">
        <f>AD2939+AD2948+AD2957</f>
        <v/>
      </c>
      <c r="AE2966" s="42">
        <f>NEWPOLICY(AE2939,AE2948,AE2957)</f>
        <v/>
      </c>
      <c r="AG2966" s="11">
        <f>CodePrefix&amp;$A2966&amp;IF($C2966="","","."&amp;$C2966&amp;"."&amp;$B2966)&amp;INDEX(VarEnd,MATCH($A2966,VarKey,0))&amp;AG$5</f>
        <v/>
      </c>
      <c r="AH2966" s="40">
        <f>AH2939+AH2948+AH2957</f>
        <v/>
      </c>
      <c r="AI2966" s="35">
        <f>AI2939+AI2948+AI2957</f>
        <v/>
      </c>
      <c r="AJ2966" s="35">
        <f>AJ2939+AJ2948+AJ2957</f>
        <v/>
      </c>
      <c r="AK2966" s="35">
        <f>AK2939+AK2948+AK2957</f>
        <v/>
      </c>
      <c r="AL2966" s="35">
        <f>AL2939+AL2948+AL2957</f>
        <v/>
      </c>
      <c r="AM2966" s="35">
        <f>AM2939+AM2948+AM2957</f>
        <v/>
      </c>
      <c r="AN2966" s="35">
        <f>AN2939+AN2948+AN2957</f>
        <v/>
      </c>
      <c r="AO2966" s="35">
        <f>AO2939+AO2948+AO2957</f>
        <v/>
      </c>
      <c r="AP2966" s="35">
        <f>AP2939+AP2948+AP2957</f>
        <v/>
      </c>
      <c r="AQ2966" s="35">
        <f>AQ2939+AQ2948+AQ2957</f>
        <v/>
      </c>
      <c r="AR2966" s="35">
        <f>AR2939+AR2948+AR2957</f>
        <v/>
      </c>
      <c r="AS2966" s="35">
        <f>AS2939+AS2948+AS2957</f>
        <v/>
      </c>
      <c r="AT2966" s="35">
        <f>AT2939+AT2948+AT2957</f>
        <v/>
      </c>
      <c r="AU2966" s="35">
        <f>AU2939+AU2948+AU2957</f>
        <v/>
      </c>
      <c r="AV2966" s="35">
        <f>AV2939+AV2948+AV2957</f>
        <v/>
      </c>
      <c r="AW2966" s="35">
        <f>AW2939+AW2948+AW2957</f>
        <v/>
      </c>
      <c r="AX2966" s="35">
        <f>AX2939+AX2948+AX2957</f>
        <v/>
      </c>
      <c r="AY2966" s="35">
        <f>AY2939+AY2948+AY2957</f>
        <v/>
      </c>
      <c r="AZ2966" s="35">
        <f>AZ2939+AZ2948+AZ2957</f>
        <v/>
      </c>
      <c r="BA2966" s="42">
        <f>NEWPOLICY(BA2939,BA2948,BA2957)</f>
        <v/>
      </c>
    </row>
    <row r="2967" hidden="1" outlineLevel="2">
      <c r="A2967" s="14" t="inlineStr">
        <is>
          <t>nce</t>
        </is>
      </c>
      <c r="B2967" s="14" t="inlineStr">
        <is>
          <t>lpg</t>
        </is>
      </c>
      <c r="C2967" s="14" t="inlineStr">
        <is>
          <t>oen</t>
        </is>
      </c>
      <c r="D2967" s="39" t="n"/>
      <c r="E2967" s="39" t="n"/>
      <c r="F2967" s="39" t="n"/>
      <c r="G2967" s="39" t="n"/>
      <c r="H2967" s="14">
        <f>INDEX(VarLab,MATCH($A2967,VarKey,0))&amp;INDEX(MemLab,MATCH($C2967&amp;"|"&amp;$B2967,MemKey,0))</f>
        <v/>
      </c>
      <c r="I2967" s="14">
        <f>INDEX(VarUnit,MATCH($A2967,VarKey,0))</f>
        <v/>
      </c>
      <c r="J2967" s="14">
        <f>INDEX(VarSrc,MATCH($A2967,VarKey,0))</f>
        <v/>
      </c>
      <c r="K2967" s="11">
        <f>CodePrefix&amp;$A2967&amp;IF($C2967="","","."&amp;$C2967&amp;"."&amp;$B2967)&amp;INDEX(VarEnd,MATCH($A2967,VarKey,0))&amp;K$5</f>
        <v/>
      </c>
      <c r="L2967" s="40">
        <f>L2940+L2949+L2958</f>
        <v/>
      </c>
      <c r="M2967" s="35">
        <f>M2940+M2949+M2958</f>
        <v/>
      </c>
      <c r="N2967" s="35">
        <f>N2940+N2949+N2958</f>
        <v/>
      </c>
      <c r="O2967" s="35">
        <f>O2940+O2949+O2958</f>
        <v/>
      </c>
      <c r="P2967" s="35">
        <f>P2940+P2949+P2958</f>
        <v/>
      </c>
      <c r="Q2967" s="35">
        <f>Q2940+Q2949+Q2958</f>
        <v/>
      </c>
      <c r="R2967" s="35">
        <f>R2940+R2949+R2958</f>
        <v/>
      </c>
      <c r="S2967" s="35">
        <f>S2940+S2949+S2958</f>
        <v/>
      </c>
      <c r="T2967" s="35">
        <f>T2940+T2949+T2958</f>
        <v/>
      </c>
      <c r="U2967" s="35">
        <f>U2940+U2949+U2958</f>
        <v/>
      </c>
      <c r="V2967" s="35">
        <f>V2940+V2949+V2958</f>
        <v/>
      </c>
      <c r="W2967" s="35">
        <f>W2940+W2949+W2958</f>
        <v/>
      </c>
      <c r="X2967" s="35">
        <f>X2940+X2949+X2958</f>
        <v/>
      </c>
      <c r="Y2967" s="35">
        <f>Y2940+Y2949+Y2958</f>
        <v/>
      </c>
      <c r="Z2967" s="35">
        <f>Z2940+Z2949+Z2958</f>
        <v/>
      </c>
      <c r="AA2967" s="35">
        <f>AA2940+AA2949+AA2958</f>
        <v/>
      </c>
      <c r="AB2967" s="35">
        <f>AB2940+AB2949+AB2958</f>
        <v/>
      </c>
      <c r="AC2967" s="35">
        <f>AC2940+AC2949+AC2958</f>
        <v/>
      </c>
      <c r="AD2967" s="35">
        <f>AD2940+AD2949+AD2958</f>
        <v/>
      </c>
      <c r="AE2967" s="42">
        <f>NEWPOLICY(AE2940,AE2949,AE2958)</f>
        <v/>
      </c>
      <c r="AG2967" s="11">
        <f>CodePrefix&amp;$A2967&amp;IF($C2967="","","."&amp;$C2967&amp;"."&amp;$B2967)&amp;INDEX(VarEnd,MATCH($A2967,VarKey,0))&amp;AG$5</f>
        <v/>
      </c>
      <c r="AH2967" s="40">
        <f>AH2940+AH2949+AH2958</f>
        <v/>
      </c>
      <c r="AI2967" s="35">
        <f>AI2940+AI2949+AI2958</f>
        <v/>
      </c>
      <c r="AJ2967" s="35">
        <f>AJ2940+AJ2949+AJ2958</f>
        <v/>
      </c>
      <c r="AK2967" s="35">
        <f>AK2940+AK2949+AK2958</f>
        <v/>
      </c>
      <c r="AL2967" s="35">
        <f>AL2940+AL2949+AL2958</f>
        <v/>
      </c>
      <c r="AM2967" s="35">
        <f>AM2940+AM2949+AM2958</f>
        <v/>
      </c>
      <c r="AN2967" s="35">
        <f>AN2940+AN2949+AN2958</f>
        <v/>
      </c>
      <c r="AO2967" s="35">
        <f>AO2940+AO2949+AO2958</f>
        <v/>
      </c>
      <c r="AP2967" s="35">
        <f>AP2940+AP2949+AP2958</f>
        <v/>
      </c>
      <c r="AQ2967" s="35">
        <f>AQ2940+AQ2949+AQ2958</f>
        <v/>
      </c>
      <c r="AR2967" s="35">
        <f>AR2940+AR2949+AR2958</f>
        <v/>
      </c>
      <c r="AS2967" s="35">
        <f>AS2940+AS2949+AS2958</f>
        <v/>
      </c>
      <c r="AT2967" s="35">
        <f>AT2940+AT2949+AT2958</f>
        <v/>
      </c>
      <c r="AU2967" s="35">
        <f>AU2940+AU2949+AU2958</f>
        <v/>
      </c>
      <c r="AV2967" s="35">
        <f>AV2940+AV2949+AV2958</f>
        <v/>
      </c>
      <c r="AW2967" s="35">
        <f>AW2940+AW2949+AW2958</f>
        <v/>
      </c>
      <c r="AX2967" s="35">
        <f>AX2940+AX2949+AX2958</f>
        <v/>
      </c>
      <c r="AY2967" s="35">
        <f>AY2940+AY2949+AY2958</f>
        <v/>
      </c>
      <c r="AZ2967" s="35">
        <f>AZ2940+AZ2949+AZ2958</f>
        <v/>
      </c>
      <c r="BA2967" s="42">
        <f>NEWPOLICY(BA2940,BA2949,BA2958)</f>
        <v/>
      </c>
    </row>
    <row r="2968" hidden="1" outlineLevel="2">
      <c r="A2968" s="14" t="inlineStr">
        <is>
          <t>nce</t>
        </is>
      </c>
      <c r="B2968" s="14" t="inlineStr">
        <is>
          <t>ker</t>
        </is>
      </c>
      <c r="C2968" s="14" t="inlineStr">
        <is>
          <t>oen</t>
        </is>
      </c>
      <c r="D2968" s="39" t="n"/>
      <c r="E2968" s="39" t="n"/>
      <c r="F2968" s="39" t="n"/>
      <c r="G2968" s="39" t="n"/>
      <c r="H2968" s="14">
        <f>INDEX(VarLab,MATCH($A2968,VarKey,0))&amp;INDEX(MemLab,MATCH($C2968&amp;"|"&amp;$B2968,MemKey,0))</f>
        <v/>
      </c>
      <c r="I2968" s="14">
        <f>INDEX(VarUnit,MATCH($A2968,VarKey,0))</f>
        <v/>
      </c>
      <c r="J2968" s="14">
        <f>INDEX(VarSrc,MATCH($A2968,VarKey,0))</f>
        <v/>
      </c>
      <c r="K2968" s="11">
        <f>CodePrefix&amp;$A2968&amp;IF($C2968="","","."&amp;$C2968&amp;"."&amp;$B2968)&amp;INDEX(VarEnd,MATCH($A2968,VarKey,0))&amp;K$5</f>
        <v/>
      </c>
      <c r="L2968" s="40">
        <f>L2941+L2950+L2959</f>
        <v/>
      </c>
      <c r="M2968" s="35">
        <f>M2941+M2950+M2959</f>
        <v/>
      </c>
      <c r="N2968" s="35">
        <f>N2941+N2950+N2959</f>
        <v/>
      </c>
      <c r="O2968" s="35">
        <f>O2941+O2950+O2959</f>
        <v/>
      </c>
      <c r="P2968" s="35">
        <f>P2941+P2950+P2959</f>
        <v/>
      </c>
      <c r="Q2968" s="35">
        <f>Q2941+Q2950+Q2959</f>
        <v/>
      </c>
      <c r="R2968" s="35">
        <f>R2941+R2950+R2959</f>
        <v/>
      </c>
      <c r="S2968" s="35">
        <f>S2941+S2950+S2959</f>
        <v/>
      </c>
      <c r="T2968" s="35">
        <f>T2941+T2950+T2959</f>
        <v/>
      </c>
      <c r="U2968" s="35">
        <f>U2941+U2950+U2959</f>
        <v/>
      </c>
      <c r="V2968" s="35">
        <f>V2941+V2950+V2959</f>
        <v/>
      </c>
      <c r="W2968" s="35">
        <f>W2941+W2950+W2959</f>
        <v/>
      </c>
      <c r="X2968" s="35">
        <f>X2941+X2950+X2959</f>
        <v/>
      </c>
      <c r="Y2968" s="35">
        <f>Y2941+Y2950+Y2959</f>
        <v/>
      </c>
      <c r="Z2968" s="35">
        <f>Z2941+Z2950+Z2959</f>
        <v/>
      </c>
      <c r="AA2968" s="35">
        <f>AA2941+AA2950+AA2959</f>
        <v/>
      </c>
      <c r="AB2968" s="35">
        <f>AB2941+AB2950+AB2959</f>
        <v/>
      </c>
      <c r="AC2968" s="35">
        <f>AC2941+AC2950+AC2959</f>
        <v/>
      </c>
      <c r="AD2968" s="35">
        <f>AD2941+AD2950+AD2959</f>
        <v/>
      </c>
      <c r="AE2968" s="42">
        <f>NEWPOLICY(AE2941,AE2950,AE2959)</f>
        <v/>
      </c>
      <c r="AG2968" s="11">
        <f>CodePrefix&amp;$A2968&amp;IF($C2968="","","."&amp;$C2968&amp;"."&amp;$B2968)&amp;INDEX(VarEnd,MATCH($A2968,VarKey,0))&amp;AG$5</f>
        <v/>
      </c>
      <c r="AH2968" s="40">
        <f>AH2941+AH2950+AH2959</f>
        <v/>
      </c>
      <c r="AI2968" s="35">
        <f>AI2941+AI2950+AI2959</f>
        <v/>
      </c>
      <c r="AJ2968" s="35">
        <f>AJ2941+AJ2950+AJ2959</f>
        <v/>
      </c>
      <c r="AK2968" s="35">
        <f>AK2941+AK2950+AK2959</f>
        <v/>
      </c>
      <c r="AL2968" s="35">
        <f>AL2941+AL2950+AL2959</f>
        <v/>
      </c>
      <c r="AM2968" s="35">
        <f>AM2941+AM2950+AM2959</f>
        <v/>
      </c>
      <c r="AN2968" s="35">
        <f>AN2941+AN2950+AN2959</f>
        <v/>
      </c>
      <c r="AO2968" s="35">
        <f>AO2941+AO2950+AO2959</f>
        <v/>
      </c>
      <c r="AP2968" s="35">
        <f>AP2941+AP2950+AP2959</f>
        <v/>
      </c>
      <c r="AQ2968" s="35">
        <f>AQ2941+AQ2950+AQ2959</f>
        <v/>
      </c>
      <c r="AR2968" s="35">
        <f>AR2941+AR2950+AR2959</f>
        <v/>
      </c>
      <c r="AS2968" s="35">
        <f>AS2941+AS2950+AS2959</f>
        <v/>
      </c>
      <c r="AT2968" s="35">
        <f>AT2941+AT2950+AT2959</f>
        <v/>
      </c>
      <c r="AU2968" s="35">
        <f>AU2941+AU2950+AU2959</f>
        <v/>
      </c>
      <c r="AV2968" s="35">
        <f>AV2941+AV2950+AV2959</f>
        <v/>
      </c>
      <c r="AW2968" s="35">
        <f>AW2941+AW2950+AW2959</f>
        <v/>
      </c>
      <c r="AX2968" s="35">
        <f>AX2941+AX2950+AX2959</f>
        <v/>
      </c>
      <c r="AY2968" s="35">
        <f>AY2941+AY2950+AY2959</f>
        <v/>
      </c>
      <c r="AZ2968" s="35">
        <f>AZ2941+AZ2950+AZ2959</f>
        <v/>
      </c>
      <c r="BA2968" s="42">
        <f>NEWPOLICY(BA2941,BA2950,BA2959)</f>
        <v/>
      </c>
    </row>
    <row r="2969" hidden="1" outlineLevel="2">
      <c r="A2969" s="14" t="inlineStr">
        <is>
          <t>nce</t>
        </is>
      </c>
      <c r="B2969" s="14" t="inlineStr">
        <is>
          <t>oop</t>
        </is>
      </c>
      <c r="C2969" s="14" t="inlineStr">
        <is>
          <t>oen</t>
        </is>
      </c>
      <c r="D2969" s="39" t="n"/>
      <c r="E2969" s="39" t="n"/>
      <c r="F2969" s="39" t="n"/>
      <c r="G2969" s="39" t="n"/>
      <c r="H2969" s="14">
        <f>INDEX(VarLab,MATCH($A2969,VarKey,0))&amp;INDEX(MemLab,MATCH($C2969&amp;"|"&amp;$B2969,MemKey,0))</f>
        <v/>
      </c>
      <c r="I2969" s="14">
        <f>INDEX(VarUnit,MATCH($A2969,VarKey,0))</f>
        <v/>
      </c>
      <c r="J2969" s="14">
        <f>INDEX(VarSrc,MATCH($A2969,VarKey,0))</f>
        <v/>
      </c>
      <c r="K2969" s="11">
        <f>CodePrefix&amp;$A2969&amp;IF($C2969="","","."&amp;$C2969&amp;"."&amp;$B2969)&amp;INDEX(VarEnd,MATCH($A2969,VarKey,0))&amp;K$5</f>
        <v/>
      </c>
      <c r="L2969" s="40">
        <f>L2942+L2951+L2960</f>
        <v/>
      </c>
      <c r="M2969" s="35">
        <f>M2942+M2951+M2960</f>
        <v/>
      </c>
      <c r="N2969" s="35">
        <f>N2942+N2951+N2960</f>
        <v/>
      </c>
      <c r="O2969" s="35">
        <f>O2942+O2951+O2960</f>
        <v/>
      </c>
      <c r="P2969" s="35">
        <f>P2942+P2951+P2960</f>
        <v/>
      </c>
      <c r="Q2969" s="35">
        <f>Q2942+Q2951+Q2960</f>
        <v/>
      </c>
      <c r="R2969" s="35">
        <f>R2942+R2951+R2960</f>
        <v/>
      </c>
      <c r="S2969" s="35">
        <f>S2942+S2951+S2960</f>
        <v/>
      </c>
      <c r="T2969" s="35">
        <f>T2942+T2951+T2960</f>
        <v/>
      </c>
      <c r="U2969" s="35">
        <f>U2942+U2951+U2960</f>
        <v/>
      </c>
      <c r="V2969" s="35">
        <f>V2942+V2951+V2960</f>
        <v/>
      </c>
      <c r="W2969" s="35">
        <f>W2942+W2951+W2960</f>
        <v/>
      </c>
      <c r="X2969" s="35">
        <f>X2942+X2951+X2960</f>
        <v/>
      </c>
      <c r="Y2969" s="35">
        <f>Y2942+Y2951+Y2960</f>
        <v/>
      </c>
      <c r="Z2969" s="35">
        <f>Z2942+Z2951+Z2960</f>
        <v/>
      </c>
      <c r="AA2969" s="35">
        <f>AA2942+AA2951+AA2960</f>
        <v/>
      </c>
      <c r="AB2969" s="35">
        <f>AB2942+AB2951+AB2960</f>
        <v/>
      </c>
      <c r="AC2969" s="35">
        <f>AC2942+AC2951+AC2960</f>
        <v/>
      </c>
      <c r="AD2969" s="35">
        <f>AD2942+AD2951+AD2960</f>
        <v/>
      </c>
      <c r="AE2969" s="42">
        <f>NEWPOLICY(AE2942,AE2951,AE2960)</f>
        <v/>
      </c>
      <c r="AG2969" s="11">
        <f>CodePrefix&amp;$A2969&amp;IF($C2969="","","."&amp;$C2969&amp;"."&amp;$B2969)&amp;INDEX(VarEnd,MATCH($A2969,VarKey,0))&amp;AG$5</f>
        <v/>
      </c>
      <c r="AH2969" s="40">
        <f>AH2942+AH2951+AH2960</f>
        <v/>
      </c>
      <c r="AI2969" s="35">
        <f>AI2942+AI2951+AI2960</f>
        <v/>
      </c>
      <c r="AJ2969" s="35">
        <f>AJ2942+AJ2951+AJ2960</f>
        <v/>
      </c>
      <c r="AK2969" s="35">
        <f>AK2942+AK2951+AK2960</f>
        <v/>
      </c>
      <c r="AL2969" s="35">
        <f>AL2942+AL2951+AL2960</f>
        <v/>
      </c>
      <c r="AM2969" s="35">
        <f>AM2942+AM2951+AM2960</f>
        <v/>
      </c>
      <c r="AN2969" s="35">
        <f>AN2942+AN2951+AN2960</f>
        <v/>
      </c>
      <c r="AO2969" s="35">
        <f>AO2942+AO2951+AO2960</f>
        <v/>
      </c>
      <c r="AP2969" s="35">
        <f>AP2942+AP2951+AP2960</f>
        <v/>
      </c>
      <c r="AQ2969" s="35">
        <f>AQ2942+AQ2951+AQ2960</f>
        <v/>
      </c>
      <c r="AR2969" s="35">
        <f>AR2942+AR2951+AR2960</f>
        <v/>
      </c>
      <c r="AS2969" s="35">
        <f>AS2942+AS2951+AS2960</f>
        <v/>
      </c>
      <c r="AT2969" s="35">
        <f>AT2942+AT2951+AT2960</f>
        <v/>
      </c>
      <c r="AU2969" s="35">
        <f>AU2942+AU2951+AU2960</f>
        <v/>
      </c>
      <c r="AV2969" s="35">
        <f>AV2942+AV2951+AV2960</f>
        <v/>
      </c>
      <c r="AW2969" s="35">
        <f>AW2942+AW2951+AW2960</f>
        <v/>
      </c>
      <c r="AX2969" s="35">
        <f>AX2942+AX2951+AX2960</f>
        <v/>
      </c>
      <c r="AY2969" s="35">
        <f>AY2942+AY2951+AY2960</f>
        <v/>
      </c>
      <c r="AZ2969" s="35">
        <f>AZ2942+AZ2951+AZ2960</f>
        <v/>
      </c>
      <c r="BA2969" s="42">
        <f>NEWPOLICY(BA2942,BA2951,BA2960)</f>
        <v/>
      </c>
    </row>
    <row r="2970" hidden="1" outlineLevel="2">
      <c r="A2970" s="14" t="inlineStr">
        <is>
          <t>nce</t>
        </is>
      </c>
      <c r="B2970" s="14" t="inlineStr">
        <is>
          <t>bio</t>
        </is>
      </c>
      <c r="C2970" s="14" t="inlineStr">
        <is>
          <t>oen</t>
        </is>
      </c>
      <c r="D2970" s="39" t="n"/>
      <c r="E2970" s="39" t="n"/>
      <c r="F2970" s="39" t="n"/>
      <c r="G2970" s="39" t="n"/>
      <c r="H2970" s="14">
        <f>INDEX(VarLab,MATCH($A2970,VarKey,0))&amp;INDEX(MemLab,MATCH($C2970&amp;"|"&amp;$B2970,MemKey,0))</f>
        <v/>
      </c>
      <c r="I2970" s="14">
        <f>INDEX(VarUnit,MATCH($A2970,VarKey,0))</f>
        <v/>
      </c>
      <c r="J2970" s="14">
        <f>INDEX(VarSrc,MATCH($A2970,VarKey,0))</f>
        <v/>
      </c>
      <c r="K2970" s="11">
        <f>CodePrefix&amp;$A2970&amp;IF($C2970="","","."&amp;$C2970&amp;"."&amp;$B2970)&amp;INDEX(VarEnd,MATCH($A2970,VarKey,0))&amp;K$5</f>
        <v/>
      </c>
      <c r="L2970" s="40">
        <f>L2943+L2952+L2961</f>
        <v/>
      </c>
      <c r="M2970" s="35">
        <f>M2943+M2952+M2961</f>
        <v/>
      </c>
      <c r="N2970" s="35">
        <f>N2943+N2952+N2961</f>
        <v/>
      </c>
      <c r="O2970" s="35">
        <f>O2943+O2952+O2961</f>
        <v/>
      </c>
      <c r="P2970" s="35">
        <f>P2943+P2952+P2961</f>
        <v/>
      </c>
      <c r="Q2970" s="35">
        <f>Q2943+Q2952+Q2961</f>
        <v/>
      </c>
      <c r="R2970" s="35">
        <f>R2943+R2952+R2961</f>
        <v/>
      </c>
      <c r="S2970" s="35">
        <f>S2943+S2952+S2961</f>
        <v/>
      </c>
      <c r="T2970" s="35">
        <f>T2943+T2952+T2961</f>
        <v/>
      </c>
      <c r="U2970" s="35">
        <f>U2943+U2952+U2961</f>
        <v/>
      </c>
      <c r="V2970" s="35">
        <f>V2943+V2952+V2961</f>
        <v/>
      </c>
      <c r="W2970" s="35">
        <f>W2943+W2952+W2961</f>
        <v/>
      </c>
      <c r="X2970" s="35">
        <f>X2943+X2952+X2961</f>
        <v/>
      </c>
      <c r="Y2970" s="35">
        <f>Y2943+Y2952+Y2961</f>
        <v/>
      </c>
      <c r="Z2970" s="35">
        <f>Z2943+Z2952+Z2961</f>
        <v/>
      </c>
      <c r="AA2970" s="35">
        <f>AA2943+AA2952+AA2961</f>
        <v/>
      </c>
      <c r="AB2970" s="35">
        <f>AB2943+AB2952+AB2961</f>
        <v/>
      </c>
      <c r="AC2970" s="35">
        <f>AC2943+AC2952+AC2961</f>
        <v/>
      </c>
      <c r="AD2970" s="35">
        <f>AD2943+AD2952+AD2961</f>
        <v/>
      </c>
      <c r="AE2970" s="42">
        <f>NEWPOLICY(AE2943,AE2952,AE2961)</f>
        <v/>
      </c>
      <c r="AG2970" s="11">
        <f>CodePrefix&amp;$A2970&amp;IF($C2970="","","."&amp;$C2970&amp;"."&amp;$B2970)&amp;INDEX(VarEnd,MATCH($A2970,VarKey,0))&amp;AG$5</f>
        <v/>
      </c>
      <c r="AH2970" s="40">
        <f>AH2943+AH2952+AH2961</f>
        <v/>
      </c>
      <c r="AI2970" s="35">
        <f>AI2943+AI2952+AI2961</f>
        <v/>
      </c>
      <c r="AJ2970" s="35">
        <f>AJ2943+AJ2952+AJ2961</f>
        <v/>
      </c>
      <c r="AK2970" s="35">
        <f>AK2943+AK2952+AK2961</f>
        <v/>
      </c>
      <c r="AL2970" s="35">
        <f>AL2943+AL2952+AL2961</f>
        <v/>
      </c>
      <c r="AM2970" s="35">
        <f>AM2943+AM2952+AM2961</f>
        <v/>
      </c>
      <c r="AN2970" s="35">
        <f>AN2943+AN2952+AN2961</f>
        <v/>
      </c>
      <c r="AO2970" s="35">
        <f>AO2943+AO2952+AO2961</f>
        <v/>
      </c>
      <c r="AP2970" s="35">
        <f>AP2943+AP2952+AP2961</f>
        <v/>
      </c>
      <c r="AQ2970" s="35">
        <f>AQ2943+AQ2952+AQ2961</f>
        <v/>
      </c>
      <c r="AR2970" s="35">
        <f>AR2943+AR2952+AR2961</f>
        <v/>
      </c>
      <c r="AS2970" s="35">
        <f>AS2943+AS2952+AS2961</f>
        <v/>
      </c>
      <c r="AT2970" s="35">
        <f>AT2943+AT2952+AT2961</f>
        <v/>
      </c>
      <c r="AU2970" s="35">
        <f>AU2943+AU2952+AU2961</f>
        <v/>
      </c>
      <c r="AV2970" s="35">
        <f>AV2943+AV2952+AV2961</f>
        <v/>
      </c>
      <c r="AW2970" s="35">
        <f>AW2943+AW2952+AW2961</f>
        <v/>
      </c>
      <c r="AX2970" s="35">
        <f>AX2943+AX2952+AX2961</f>
        <v/>
      </c>
      <c r="AY2970" s="35">
        <f>AY2943+AY2952+AY2961</f>
        <v/>
      </c>
      <c r="AZ2970" s="35">
        <f>AZ2943+AZ2952+AZ2961</f>
        <v/>
      </c>
      <c r="BA2970" s="42">
        <f>NEWPOLICY(BA2943,BA2952,BA2961)</f>
        <v/>
      </c>
    </row>
    <row r="2971" hidden="1" outlineLevel="2"/>
    <row r="2972" hidden="1" outlineLevel="2">
      <c r="A2972" s="14" t="inlineStr">
        <is>
          <t>xcp</t>
        </is>
      </c>
      <c r="B2972" s="14" t="inlineStr">
        <is>
          <t>coa</t>
        </is>
      </c>
      <c r="C2972" s="14" t="inlineStr">
        <is>
          <t>oen</t>
        </is>
      </c>
      <c r="D2972" s="35">
        <f>INDEX(Inputs!$W$5:$W$132,MATCH($B2972&amp;"|"&amp;$C2972,Inputs!$A$5:$A$132,0))</f>
        <v/>
      </c>
      <c r="E2972" s="35">
        <f>INDEX(Inputs!$Z$5:$Z$132,MATCH($B2972&amp;"|"&amp;$C2972,Inputs!$A$5:$A$132,0))</f>
        <v/>
      </c>
      <c r="F2972" s="35">
        <f>INDEX(Inputs!$AA$5:$AA$132,MATCH($B2972&amp;"|"&amp;$C2972,Inputs!$A$5:$A$132,0))</f>
        <v/>
      </c>
      <c r="G2972" s="39" t="n"/>
      <c r="H2972" s="14">
        <f>INDEX(VarLab,MATCH($A2972,VarKey,0))&amp;INDEX(MemLab,MATCH($C2972&amp;"|"&amp;$B2972,MemKey,0))</f>
        <v/>
      </c>
      <c r="I2972" s="14">
        <f>INDEX(VarUnit,MATCH($A2972,VarKey,0))</f>
        <v/>
      </c>
      <c r="J2972" s="14">
        <f>INDEX(VarSrc,MATCH($A2972,VarKey,0))</f>
        <v/>
      </c>
      <c r="K2972" s="11">
        <f>CodePrefix&amp;$A2972&amp;IF($C2972="","","."&amp;$C2972&amp;"."&amp;$B2972)&amp;INDEX(VarEnd,MATCH($A2972,VarKey,0))&amp;K$5</f>
        <v/>
      </c>
      <c r="L2972" s="40">
        <f>$D2972*($E2972*L$321+$F2972*L$324)</f>
        <v/>
      </c>
      <c r="M2972" s="35">
        <f>$D2972*($E2972*M$321+$F2972*M$324)</f>
        <v/>
      </c>
      <c r="N2972" s="35">
        <f>$D2972*($E2972*N$321+$F2972*N$324)</f>
        <v/>
      </c>
      <c r="O2972" s="35">
        <f>$D2972*($E2972*O$321+$F2972*O$324)</f>
        <v/>
      </c>
      <c r="P2972" s="35">
        <f>$D2972*($E2972*P$321+$F2972*P$324)</f>
        <v/>
      </c>
      <c r="Q2972" s="35">
        <f>$D2972*($E2972*Q$321+$F2972*Q$324)</f>
        <v/>
      </c>
      <c r="R2972" s="35">
        <f>$D2972*($E2972*R$321+$F2972*R$324)</f>
        <v/>
      </c>
      <c r="S2972" s="35">
        <f>$D2972*($E2972*S$321+$F2972*S$324)</f>
        <v/>
      </c>
      <c r="T2972" s="35">
        <f>$D2972*($E2972*T$321+$F2972*T$324)</f>
        <v/>
      </c>
      <c r="U2972" s="35">
        <f>$D2972*($E2972*U$321+$F2972*U$324)</f>
        <v/>
      </c>
      <c r="V2972" s="35">
        <f>$D2972*($E2972*V$321+$F2972*V$324)</f>
        <v/>
      </c>
      <c r="W2972" s="35">
        <f>$D2972*($E2972*W$321+$F2972*W$324)</f>
        <v/>
      </c>
      <c r="X2972" s="35">
        <f>$D2972*($E2972*X$321+$F2972*X$324)</f>
        <v/>
      </c>
      <c r="Y2972" s="35">
        <f>$D2972*($E2972*Y$321+$F2972*Y$324)</f>
        <v/>
      </c>
      <c r="Z2972" s="35">
        <f>$D2972*($E2972*Z$321+$F2972*Z$324)</f>
        <v/>
      </c>
      <c r="AA2972" s="35">
        <f>$D2972*($E2972*AA$321+$F2972*AA$324)</f>
        <v/>
      </c>
      <c r="AB2972" s="35">
        <f>$D2972*($E2972*AB$321+$F2972*AB$324)</f>
        <v/>
      </c>
      <c r="AC2972" s="35">
        <f>$D2972*($E2972*AC$321+$F2972*AC$324)</f>
        <v/>
      </c>
      <c r="AD2972" s="35">
        <f>$D2972*($E2972*AD$321+$F2972*AD$324)</f>
        <v/>
      </c>
      <c r="AE2972" s="42">
        <f>XCARBON($D2972,$E2972,AE$321,$F2972,AE$324)</f>
        <v/>
      </c>
      <c r="AG2972" s="11">
        <f>CodePrefix&amp;$A2972&amp;IF($C2972="","","."&amp;$C2972&amp;"."&amp;$B2972)&amp;INDEX(VarEnd,MATCH($A2972,VarKey,0))&amp;AG$5</f>
        <v/>
      </c>
      <c r="AH2972" s="40">
        <f>$D2972*($E2972*AH$321+$F2972*AH$324)</f>
        <v/>
      </c>
      <c r="AI2972" s="35">
        <f>$D2972*($E2972*AI$321+$F2972*AI$324)</f>
        <v/>
      </c>
      <c r="AJ2972" s="35">
        <f>$D2972*($E2972*AJ$321+$F2972*AJ$324)</f>
        <v/>
      </c>
      <c r="AK2972" s="35">
        <f>$D2972*($E2972*AK$321+$F2972*AK$324)</f>
        <v/>
      </c>
      <c r="AL2972" s="35">
        <f>$D2972*($E2972*AL$321+$F2972*AL$324)</f>
        <v/>
      </c>
      <c r="AM2972" s="35">
        <f>$D2972*($E2972*AM$321+$F2972*AM$324)</f>
        <v/>
      </c>
      <c r="AN2972" s="35">
        <f>$D2972*($E2972*AN$321+$F2972*AN$324)</f>
        <v/>
      </c>
      <c r="AO2972" s="35">
        <f>$D2972*($E2972*AO$321+$F2972*AO$324)</f>
        <v/>
      </c>
      <c r="AP2972" s="35">
        <f>$D2972*($E2972*AP$321+$F2972*AP$324)</f>
        <v/>
      </c>
      <c r="AQ2972" s="35">
        <f>$D2972*($E2972*AQ$321+$F2972*AQ$324)</f>
        <v/>
      </c>
      <c r="AR2972" s="35">
        <f>$D2972*($E2972*AR$321+$F2972*AR$324)</f>
        <v/>
      </c>
      <c r="AS2972" s="35">
        <f>$D2972*($E2972*AS$321+$F2972*AS$324)</f>
        <v/>
      </c>
      <c r="AT2972" s="35">
        <f>$D2972*($E2972*AT$321+$F2972*AT$324)</f>
        <v/>
      </c>
      <c r="AU2972" s="35">
        <f>$D2972*($E2972*AU$321+$F2972*AU$324)</f>
        <v/>
      </c>
      <c r="AV2972" s="35">
        <f>$D2972*($E2972*AV$321+$F2972*AV$324)</f>
        <v/>
      </c>
      <c r="AW2972" s="35">
        <f>$D2972*($E2972*AW$321+$F2972*AW$324)</f>
        <v/>
      </c>
      <c r="AX2972" s="35">
        <f>$D2972*($E2972*AX$321+$F2972*AX$324)</f>
        <v/>
      </c>
      <c r="AY2972" s="35">
        <f>$D2972*($E2972*AY$321+$F2972*AY$324)</f>
        <v/>
      </c>
      <c r="AZ2972" s="35">
        <f>$D2972*($E2972*AZ$321+$F2972*AZ$324)</f>
        <v/>
      </c>
      <c r="BA2972" s="42">
        <f>XCARBON($D2972,$E2972,BA$321,$F2972,BA$324)</f>
        <v/>
      </c>
    </row>
    <row r="2973" hidden="1" outlineLevel="2">
      <c r="A2973" s="14" t="inlineStr">
        <is>
          <t>xcp</t>
        </is>
      </c>
      <c r="B2973" s="14" t="inlineStr">
        <is>
          <t>nga</t>
        </is>
      </c>
      <c r="C2973" s="14" t="inlineStr">
        <is>
          <t>oen</t>
        </is>
      </c>
      <c r="D2973" s="35">
        <f>INDEX(Inputs!$W$5:$W$132,MATCH($B2973&amp;"|"&amp;$C2973,Inputs!$A$5:$A$132,0))</f>
        <v/>
      </c>
      <c r="E2973" s="35">
        <f>INDEX(Inputs!$Z$5:$Z$132,MATCH($B2973&amp;"|"&amp;$C2973,Inputs!$A$5:$A$132,0))</f>
        <v/>
      </c>
      <c r="F2973" s="35">
        <f>INDEX(Inputs!$AA$5:$AA$132,MATCH($B2973&amp;"|"&amp;$C2973,Inputs!$A$5:$A$132,0))</f>
        <v/>
      </c>
      <c r="G2973" s="39" t="n"/>
      <c r="H2973" s="14">
        <f>INDEX(VarLab,MATCH($A2973,VarKey,0))&amp;INDEX(MemLab,MATCH($C2973&amp;"|"&amp;$B2973,MemKey,0))</f>
        <v/>
      </c>
      <c r="I2973" s="14">
        <f>INDEX(VarUnit,MATCH($A2973,VarKey,0))</f>
        <v/>
      </c>
      <c r="J2973" s="14">
        <f>INDEX(VarSrc,MATCH($A2973,VarKey,0))</f>
        <v/>
      </c>
      <c r="K2973" s="11">
        <f>CodePrefix&amp;$A2973&amp;IF($C2973="","","."&amp;$C2973&amp;"."&amp;$B2973)&amp;INDEX(VarEnd,MATCH($A2973,VarKey,0))&amp;K$5</f>
        <v/>
      </c>
      <c r="L2973" s="40">
        <f>$D2973*($E2973*L$321+$F2973*L$324)</f>
        <v/>
      </c>
      <c r="M2973" s="35">
        <f>$D2973*($E2973*M$321+$F2973*M$324)</f>
        <v/>
      </c>
      <c r="N2973" s="35">
        <f>$D2973*($E2973*N$321+$F2973*N$324)</f>
        <v/>
      </c>
      <c r="O2973" s="35">
        <f>$D2973*($E2973*O$321+$F2973*O$324)</f>
        <v/>
      </c>
      <c r="P2973" s="35">
        <f>$D2973*($E2973*P$321+$F2973*P$324)</f>
        <v/>
      </c>
      <c r="Q2973" s="35">
        <f>$D2973*($E2973*Q$321+$F2973*Q$324)</f>
        <v/>
      </c>
      <c r="R2973" s="35">
        <f>$D2973*($E2973*R$321+$F2973*R$324)</f>
        <v/>
      </c>
      <c r="S2973" s="35">
        <f>$D2973*($E2973*S$321+$F2973*S$324)</f>
        <v/>
      </c>
      <c r="T2973" s="35">
        <f>$D2973*($E2973*T$321+$F2973*T$324)</f>
        <v/>
      </c>
      <c r="U2973" s="35">
        <f>$D2973*($E2973*U$321+$F2973*U$324)</f>
        <v/>
      </c>
      <c r="V2973" s="35">
        <f>$D2973*($E2973*V$321+$F2973*V$324)</f>
        <v/>
      </c>
      <c r="W2973" s="35">
        <f>$D2973*($E2973*W$321+$F2973*W$324)</f>
        <v/>
      </c>
      <c r="X2973" s="35">
        <f>$D2973*($E2973*X$321+$F2973*X$324)</f>
        <v/>
      </c>
      <c r="Y2973" s="35">
        <f>$D2973*($E2973*Y$321+$F2973*Y$324)</f>
        <v/>
      </c>
      <c r="Z2973" s="35">
        <f>$D2973*($E2973*Z$321+$F2973*Z$324)</f>
        <v/>
      </c>
      <c r="AA2973" s="35">
        <f>$D2973*($E2973*AA$321+$F2973*AA$324)</f>
        <v/>
      </c>
      <c r="AB2973" s="35">
        <f>$D2973*($E2973*AB$321+$F2973*AB$324)</f>
        <v/>
      </c>
      <c r="AC2973" s="35">
        <f>$D2973*($E2973*AC$321+$F2973*AC$324)</f>
        <v/>
      </c>
      <c r="AD2973" s="35">
        <f>$D2973*($E2973*AD$321+$F2973*AD$324)</f>
        <v/>
      </c>
      <c r="AE2973" s="42">
        <f>XCARBON($D2973,$E2973,AE$321,$F2973,AE$324)</f>
        <v/>
      </c>
      <c r="AG2973" s="11">
        <f>CodePrefix&amp;$A2973&amp;IF($C2973="","","."&amp;$C2973&amp;"."&amp;$B2973)&amp;INDEX(VarEnd,MATCH($A2973,VarKey,0))&amp;AG$5</f>
        <v/>
      </c>
      <c r="AH2973" s="40">
        <f>$D2973*($E2973*AH$321+$F2973*AH$324)</f>
        <v/>
      </c>
      <c r="AI2973" s="35">
        <f>$D2973*($E2973*AI$321+$F2973*AI$324)</f>
        <v/>
      </c>
      <c r="AJ2973" s="35">
        <f>$D2973*($E2973*AJ$321+$F2973*AJ$324)</f>
        <v/>
      </c>
      <c r="AK2973" s="35">
        <f>$D2973*($E2973*AK$321+$F2973*AK$324)</f>
        <v/>
      </c>
      <c r="AL2973" s="35">
        <f>$D2973*($E2973*AL$321+$F2973*AL$324)</f>
        <v/>
      </c>
      <c r="AM2973" s="35">
        <f>$D2973*($E2973*AM$321+$F2973*AM$324)</f>
        <v/>
      </c>
      <c r="AN2973" s="35">
        <f>$D2973*($E2973*AN$321+$F2973*AN$324)</f>
        <v/>
      </c>
      <c r="AO2973" s="35">
        <f>$D2973*($E2973*AO$321+$F2973*AO$324)</f>
        <v/>
      </c>
      <c r="AP2973" s="35">
        <f>$D2973*($E2973*AP$321+$F2973*AP$324)</f>
        <v/>
      </c>
      <c r="AQ2973" s="35">
        <f>$D2973*($E2973*AQ$321+$F2973*AQ$324)</f>
        <v/>
      </c>
      <c r="AR2973" s="35">
        <f>$D2973*($E2973*AR$321+$F2973*AR$324)</f>
        <v/>
      </c>
      <c r="AS2973" s="35">
        <f>$D2973*($E2973*AS$321+$F2973*AS$324)</f>
        <v/>
      </c>
      <c r="AT2973" s="35">
        <f>$D2973*($E2973*AT$321+$F2973*AT$324)</f>
        <v/>
      </c>
      <c r="AU2973" s="35">
        <f>$D2973*($E2973*AU$321+$F2973*AU$324)</f>
        <v/>
      </c>
      <c r="AV2973" s="35">
        <f>$D2973*($E2973*AV$321+$F2973*AV$324)</f>
        <v/>
      </c>
      <c r="AW2973" s="35">
        <f>$D2973*($E2973*AW$321+$F2973*AW$324)</f>
        <v/>
      </c>
      <c r="AX2973" s="35">
        <f>$D2973*($E2973*AX$321+$F2973*AX$324)</f>
        <v/>
      </c>
      <c r="AY2973" s="35">
        <f>$D2973*($E2973*AY$321+$F2973*AY$324)</f>
        <v/>
      </c>
      <c r="AZ2973" s="35">
        <f>$D2973*($E2973*AZ$321+$F2973*AZ$324)</f>
        <v/>
      </c>
      <c r="BA2973" s="42">
        <f>XCARBON($D2973,$E2973,BA$321,$F2973,BA$324)</f>
        <v/>
      </c>
    </row>
    <row r="2974" hidden="1" outlineLevel="2">
      <c r="A2974" s="14" t="inlineStr">
        <is>
          <t>xcp</t>
        </is>
      </c>
      <c r="B2974" s="14" t="inlineStr">
        <is>
          <t>gso</t>
        </is>
      </c>
      <c r="C2974" s="14" t="inlineStr">
        <is>
          <t>oen</t>
        </is>
      </c>
      <c r="D2974" s="35">
        <f>INDEX(Inputs!$W$5:$W$132,MATCH($B2974&amp;"|"&amp;$C2974,Inputs!$A$5:$A$132,0))</f>
        <v/>
      </c>
      <c r="E2974" s="35">
        <f>INDEX(Inputs!$Z$5:$Z$132,MATCH($B2974&amp;"|"&amp;$C2974,Inputs!$A$5:$A$132,0))</f>
        <v/>
      </c>
      <c r="F2974" s="35">
        <f>INDEX(Inputs!$AA$5:$AA$132,MATCH($B2974&amp;"|"&amp;$C2974,Inputs!$A$5:$A$132,0))</f>
        <v/>
      </c>
      <c r="G2974" s="39" t="n"/>
      <c r="H2974" s="14">
        <f>INDEX(VarLab,MATCH($A2974,VarKey,0))&amp;INDEX(MemLab,MATCH($C2974&amp;"|"&amp;$B2974,MemKey,0))</f>
        <v/>
      </c>
      <c r="I2974" s="14">
        <f>INDEX(VarUnit,MATCH($A2974,VarKey,0))</f>
        <v/>
      </c>
      <c r="J2974" s="14">
        <f>INDEX(VarSrc,MATCH($A2974,VarKey,0))</f>
        <v/>
      </c>
      <c r="K2974" s="11">
        <f>CodePrefix&amp;$A2974&amp;IF($C2974="","","."&amp;$C2974&amp;"."&amp;$B2974)&amp;INDEX(VarEnd,MATCH($A2974,VarKey,0))&amp;K$5</f>
        <v/>
      </c>
      <c r="L2974" s="40">
        <f>$D2974*($E2974*L$321+$F2974*L$324)</f>
        <v/>
      </c>
      <c r="M2974" s="35">
        <f>$D2974*($E2974*M$321+$F2974*M$324)</f>
        <v/>
      </c>
      <c r="N2974" s="35">
        <f>$D2974*($E2974*N$321+$F2974*N$324)</f>
        <v/>
      </c>
      <c r="O2974" s="35">
        <f>$D2974*($E2974*O$321+$F2974*O$324)</f>
        <v/>
      </c>
      <c r="P2974" s="35">
        <f>$D2974*($E2974*P$321+$F2974*P$324)</f>
        <v/>
      </c>
      <c r="Q2974" s="35">
        <f>$D2974*($E2974*Q$321+$F2974*Q$324)</f>
        <v/>
      </c>
      <c r="R2974" s="35">
        <f>$D2974*($E2974*R$321+$F2974*R$324)</f>
        <v/>
      </c>
      <c r="S2974" s="35">
        <f>$D2974*($E2974*S$321+$F2974*S$324)</f>
        <v/>
      </c>
      <c r="T2974" s="35">
        <f>$D2974*($E2974*T$321+$F2974*T$324)</f>
        <v/>
      </c>
      <c r="U2974" s="35">
        <f>$D2974*($E2974*U$321+$F2974*U$324)</f>
        <v/>
      </c>
      <c r="V2974" s="35">
        <f>$D2974*($E2974*V$321+$F2974*V$324)</f>
        <v/>
      </c>
      <c r="W2974" s="35">
        <f>$D2974*($E2974*W$321+$F2974*W$324)</f>
        <v/>
      </c>
      <c r="X2974" s="35">
        <f>$D2974*($E2974*X$321+$F2974*X$324)</f>
        <v/>
      </c>
      <c r="Y2974" s="35">
        <f>$D2974*($E2974*Y$321+$F2974*Y$324)</f>
        <v/>
      </c>
      <c r="Z2974" s="35">
        <f>$D2974*($E2974*Z$321+$F2974*Z$324)</f>
        <v/>
      </c>
      <c r="AA2974" s="35">
        <f>$D2974*($E2974*AA$321+$F2974*AA$324)</f>
        <v/>
      </c>
      <c r="AB2974" s="35">
        <f>$D2974*($E2974*AB$321+$F2974*AB$324)</f>
        <v/>
      </c>
      <c r="AC2974" s="35">
        <f>$D2974*($E2974*AC$321+$F2974*AC$324)</f>
        <v/>
      </c>
      <c r="AD2974" s="35">
        <f>$D2974*($E2974*AD$321+$F2974*AD$324)</f>
        <v/>
      </c>
      <c r="AE2974" s="42">
        <f>XCARBON($D2974,$E2974,AE$321,$F2974,AE$324)</f>
        <v/>
      </c>
      <c r="AG2974" s="11">
        <f>CodePrefix&amp;$A2974&amp;IF($C2974="","","."&amp;$C2974&amp;"."&amp;$B2974)&amp;INDEX(VarEnd,MATCH($A2974,VarKey,0))&amp;AG$5</f>
        <v/>
      </c>
      <c r="AH2974" s="40">
        <f>$D2974*($E2974*AH$321+$F2974*AH$324)</f>
        <v/>
      </c>
      <c r="AI2974" s="35">
        <f>$D2974*($E2974*AI$321+$F2974*AI$324)</f>
        <v/>
      </c>
      <c r="AJ2974" s="35">
        <f>$D2974*($E2974*AJ$321+$F2974*AJ$324)</f>
        <v/>
      </c>
      <c r="AK2974" s="35">
        <f>$D2974*($E2974*AK$321+$F2974*AK$324)</f>
        <v/>
      </c>
      <c r="AL2974" s="35">
        <f>$D2974*($E2974*AL$321+$F2974*AL$324)</f>
        <v/>
      </c>
      <c r="AM2974" s="35">
        <f>$D2974*($E2974*AM$321+$F2974*AM$324)</f>
        <v/>
      </c>
      <c r="AN2974" s="35">
        <f>$D2974*($E2974*AN$321+$F2974*AN$324)</f>
        <v/>
      </c>
      <c r="AO2974" s="35">
        <f>$D2974*($E2974*AO$321+$F2974*AO$324)</f>
        <v/>
      </c>
      <c r="AP2974" s="35">
        <f>$D2974*($E2974*AP$321+$F2974*AP$324)</f>
        <v/>
      </c>
      <c r="AQ2974" s="35">
        <f>$D2974*($E2974*AQ$321+$F2974*AQ$324)</f>
        <v/>
      </c>
      <c r="AR2974" s="35">
        <f>$D2974*($E2974*AR$321+$F2974*AR$324)</f>
        <v/>
      </c>
      <c r="AS2974" s="35">
        <f>$D2974*($E2974*AS$321+$F2974*AS$324)</f>
        <v/>
      </c>
      <c r="AT2974" s="35">
        <f>$D2974*($E2974*AT$321+$F2974*AT$324)</f>
        <v/>
      </c>
      <c r="AU2974" s="35">
        <f>$D2974*($E2974*AU$321+$F2974*AU$324)</f>
        <v/>
      </c>
      <c r="AV2974" s="35">
        <f>$D2974*($E2974*AV$321+$F2974*AV$324)</f>
        <v/>
      </c>
      <c r="AW2974" s="35">
        <f>$D2974*($E2974*AW$321+$F2974*AW$324)</f>
        <v/>
      </c>
      <c r="AX2974" s="35">
        <f>$D2974*($E2974*AX$321+$F2974*AX$324)</f>
        <v/>
      </c>
      <c r="AY2974" s="35">
        <f>$D2974*($E2974*AY$321+$F2974*AY$324)</f>
        <v/>
      </c>
      <c r="AZ2974" s="35">
        <f>$D2974*($E2974*AZ$321+$F2974*AZ$324)</f>
        <v/>
      </c>
      <c r="BA2974" s="42">
        <f>XCARBON($D2974,$E2974,BA$321,$F2974,BA$324)</f>
        <v/>
      </c>
    </row>
    <row r="2975" hidden="1" outlineLevel="2">
      <c r="A2975" s="14" t="inlineStr">
        <is>
          <t>xcp</t>
        </is>
      </c>
      <c r="B2975" s="14" t="inlineStr">
        <is>
          <t>die</t>
        </is>
      </c>
      <c r="C2975" s="14" t="inlineStr">
        <is>
          <t>oen</t>
        </is>
      </c>
      <c r="D2975" s="35">
        <f>INDEX(Inputs!$W$5:$W$132,MATCH($B2975&amp;"|"&amp;$C2975,Inputs!$A$5:$A$132,0))</f>
        <v/>
      </c>
      <c r="E2975" s="35">
        <f>INDEX(Inputs!$Z$5:$Z$132,MATCH($B2975&amp;"|"&amp;$C2975,Inputs!$A$5:$A$132,0))</f>
        <v/>
      </c>
      <c r="F2975" s="35">
        <f>INDEX(Inputs!$AA$5:$AA$132,MATCH($B2975&amp;"|"&amp;$C2975,Inputs!$A$5:$A$132,0))</f>
        <v/>
      </c>
      <c r="G2975" s="39" t="n"/>
      <c r="H2975" s="14">
        <f>INDEX(VarLab,MATCH($A2975,VarKey,0))&amp;INDEX(MemLab,MATCH($C2975&amp;"|"&amp;$B2975,MemKey,0))</f>
        <v/>
      </c>
      <c r="I2975" s="14">
        <f>INDEX(VarUnit,MATCH($A2975,VarKey,0))</f>
        <v/>
      </c>
      <c r="J2975" s="14">
        <f>INDEX(VarSrc,MATCH($A2975,VarKey,0))</f>
        <v/>
      </c>
      <c r="K2975" s="11">
        <f>CodePrefix&amp;$A2975&amp;IF($C2975="","","."&amp;$C2975&amp;"."&amp;$B2975)&amp;INDEX(VarEnd,MATCH($A2975,VarKey,0))&amp;K$5</f>
        <v/>
      </c>
      <c r="L2975" s="40">
        <f>$D2975*($E2975*L$321+$F2975*L$324)</f>
        <v/>
      </c>
      <c r="M2975" s="35">
        <f>$D2975*($E2975*M$321+$F2975*M$324)</f>
        <v/>
      </c>
      <c r="N2975" s="35">
        <f>$D2975*($E2975*N$321+$F2975*N$324)</f>
        <v/>
      </c>
      <c r="O2975" s="35">
        <f>$D2975*($E2975*O$321+$F2975*O$324)</f>
        <v/>
      </c>
      <c r="P2975" s="35">
        <f>$D2975*($E2975*P$321+$F2975*P$324)</f>
        <v/>
      </c>
      <c r="Q2975" s="35">
        <f>$D2975*($E2975*Q$321+$F2975*Q$324)</f>
        <v/>
      </c>
      <c r="R2975" s="35">
        <f>$D2975*($E2975*R$321+$F2975*R$324)</f>
        <v/>
      </c>
      <c r="S2975" s="35">
        <f>$D2975*($E2975*S$321+$F2975*S$324)</f>
        <v/>
      </c>
      <c r="T2975" s="35">
        <f>$D2975*($E2975*T$321+$F2975*T$324)</f>
        <v/>
      </c>
      <c r="U2975" s="35">
        <f>$D2975*($E2975*U$321+$F2975*U$324)</f>
        <v/>
      </c>
      <c r="V2975" s="35">
        <f>$D2975*($E2975*V$321+$F2975*V$324)</f>
        <v/>
      </c>
      <c r="W2975" s="35">
        <f>$D2975*($E2975*W$321+$F2975*W$324)</f>
        <v/>
      </c>
      <c r="X2975" s="35">
        <f>$D2975*($E2975*X$321+$F2975*X$324)</f>
        <v/>
      </c>
      <c r="Y2975" s="35">
        <f>$D2975*($E2975*Y$321+$F2975*Y$324)</f>
        <v/>
      </c>
      <c r="Z2975" s="35">
        <f>$D2975*($E2975*Z$321+$F2975*Z$324)</f>
        <v/>
      </c>
      <c r="AA2975" s="35">
        <f>$D2975*($E2975*AA$321+$F2975*AA$324)</f>
        <v/>
      </c>
      <c r="AB2975" s="35">
        <f>$D2975*($E2975*AB$321+$F2975*AB$324)</f>
        <v/>
      </c>
      <c r="AC2975" s="35">
        <f>$D2975*($E2975*AC$321+$F2975*AC$324)</f>
        <v/>
      </c>
      <c r="AD2975" s="35">
        <f>$D2975*($E2975*AD$321+$F2975*AD$324)</f>
        <v/>
      </c>
      <c r="AE2975" s="42">
        <f>XCARBON($D2975,$E2975,AE$321,$F2975,AE$324)</f>
        <v/>
      </c>
      <c r="AG2975" s="11">
        <f>CodePrefix&amp;$A2975&amp;IF($C2975="","","."&amp;$C2975&amp;"."&amp;$B2975)&amp;INDEX(VarEnd,MATCH($A2975,VarKey,0))&amp;AG$5</f>
        <v/>
      </c>
      <c r="AH2975" s="40">
        <f>$D2975*($E2975*AH$321+$F2975*AH$324)</f>
        <v/>
      </c>
      <c r="AI2975" s="35">
        <f>$D2975*($E2975*AI$321+$F2975*AI$324)</f>
        <v/>
      </c>
      <c r="AJ2975" s="35">
        <f>$D2975*($E2975*AJ$321+$F2975*AJ$324)</f>
        <v/>
      </c>
      <c r="AK2975" s="35">
        <f>$D2975*($E2975*AK$321+$F2975*AK$324)</f>
        <v/>
      </c>
      <c r="AL2975" s="35">
        <f>$D2975*($E2975*AL$321+$F2975*AL$324)</f>
        <v/>
      </c>
      <c r="AM2975" s="35">
        <f>$D2975*($E2975*AM$321+$F2975*AM$324)</f>
        <v/>
      </c>
      <c r="AN2975" s="35">
        <f>$D2975*($E2975*AN$321+$F2975*AN$324)</f>
        <v/>
      </c>
      <c r="AO2975" s="35">
        <f>$D2975*($E2975*AO$321+$F2975*AO$324)</f>
        <v/>
      </c>
      <c r="AP2975" s="35">
        <f>$D2975*($E2975*AP$321+$F2975*AP$324)</f>
        <v/>
      </c>
      <c r="AQ2975" s="35">
        <f>$D2975*($E2975*AQ$321+$F2975*AQ$324)</f>
        <v/>
      </c>
      <c r="AR2975" s="35">
        <f>$D2975*($E2975*AR$321+$F2975*AR$324)</f>
        <v/>
      </c>
      <c r="AS2975" s="35">
        <f>$D2975*($E2975*AS$321+$F2975*AS$324)</f>
        <v/>
      </c>
      <c r="AT2975" s="35">
        <f>$D2975*($E2975*AT$321+$F2975*AT$324)</f>
        <v/>
      </c>
      <c r="AU2975" s="35">
        <f>$D2975*($E2975*AU$321+$F2975*AU$324)</f>
        <v/>
      </c>
      <c r="AV2975" s="35">
        <f>$D2975*($E2975*AV$321+$F2975*AV$324)</f>
        <v/>
      </c>
      <c r="AW2975" s="35">
        <f>$D2975*($E2975*AW$321+$F2975*AW$324)</f>
        <v/>
      </c>
      <c r="AX2975" s="35">
        <f>$D2975*($E2975*AX$321+$F2975*AX$324)</f>
        <v/>
      </c>
      <c r="AY2975" s="35">
        <f>$D2975*($E2975*AY$321+$F2975*AY$324)</f>
        <v/>
      </c>
      <c r="AZ2975" s="35">
        <f>$D2975*($E2975*AZ$321+$F2975*AZ$324)</f>
        <v/>
      </c>
      <c r="BA2975" s="42">
        <f>XCARBON($D2975,$E2975,BA$321,$F2975,BA$324)</f>
        <v/>
      </c>
    </row>
    <row r="2976" hidden="1" outlineLevel="2">
      <c r="A2976" s="14" t="inlineStr">
        <is>
          <t>xcp</t>
        </is>
      </c>
      <c r="B2976" s="14" t="inlineStr">
        <is>
          <t>lpg</t>
        </is>
      </c>
      <c r="C2976" s="14" t="inlineStr">
        <is>
          <t>oen</t>
        </is>
      </c>
      <c r="D2976" s="35">
        <f>INDEX(Inputs!$W$5:$W$132,MATCH($B2976&amp;"|"&amp;$C2976,Inputs!$A$5:$A$132,0))</f>
        <v/>
      </c>
      <c r="E2976" s="35">
        <f>INDEX(Inputs!$Z$5:$Z$132,MATCH($B2976&amp;"|"&amp;$C2976,Inputs!$A$5:$A$132,0))</f>
        <v/>
      </c>
      <c r="F2976" s="35">
        <f>INDEX(Inputs!$AA$5:$AA$132,MATCH($B2976&amp;"|"&amp;$C2976,Inputs!$A$5:$A$132,0))</f>
        <v/>
      </c>
      <c r="G2976" s="39" t="n"/>
      <c r="H2976" s="14">
        <f>INDEX(VarLab,MATCH($A2976,VarKey,0))&amp;INDEX(MemLab,MATCH($C2976&amp;"|"&amp;$B2976,MemKey,0))</f>
        <v/>
      </c>
      <c r="I2976" s="14">
        <f>INDEX(VarUnit,MATCH($A2976,VarKey,0))</f>
        <v/>
      </c>
      <c r="J2976" s="14">
        <f>INDEX(VarSrc,MATCH($A2976,VarKey,0))</f>
        <v/>
      </c>
      <c r="K2976" s="11">
        <f>CodePrefix&amp;$A2976&amp;IF($C2976="","","."&amp;$C2976&amp;"."&amp;$B2976)&amp;INDEX(VarEnd,MATCH($A2976,VarKey,0))&amp;K$5</f>
        <v/>
      </c>
      <c r="L2976" s="40">
        <f>$D2976*($E2976*L$321+$F2976*L$324)</f>
        <v/>
      </c>
      <c r="M2976" s="35">
        <f>$D2976*($E2976*M$321+$F2976*M$324)</f>
        <v/>
      </c>
      <c r="N2976" s="35">
        <f>$D2976*($E2976*N$321+$F2976*N$324)</f>
        <v/>
      </c>
      <c r="O2976" s="35">
        <f>$D2976*($E2976*O$321+$F2976*O$324)</f>
        <v/>
      </c>
      <c r="P2976" s="35">
        <f>$D2976*($E2976*P$321+$F2976*P$324)</f>
        <v/>
      </c>
      <c r="Q2976" s="35">
        <f>$D2976*($E2976*Q$321+$F2976*Q$324)</f>
        <v/>
      </c>
      <c r="R2976" s="35">
        <f>$D2976*($E2976*R$321+$F2976*R$324)</f>
        <v/>
      </c>
      <c r="S2976" s="35">
        <f>$D2976*($E2976*S$321+$F2976*S$324)</f>
        <v/>
      </c>
      <c r="T2976" s="35">
        <f>$D2976*($E2976*T$321+$F2976*T$324)</f>
        <v/>
      </c>
      <c r="U2976" s="35">
        <f>$D2976*($E2976*U$321+$F2976*U$324)</f>
        <v/>
      </c>
      <c r="V2976" s="35">
        <f>$D2976*($E2976*V$321+$F2976*V$324)</f>
        <v/>
      </c>
      <c r="W2976" s="35">
        <f>$D2976*($E2976*W$321+$F2976*W$324)</f>
        <v/>
      </c>
      <c r="X2976" s="35">
        <f>$D2976*($E2976*X$321+$F2976*X$324)</f>
        <v/>
      </c>
      <c r="Y2976" s="35">
        <f>$D2976*($E2976*Y$321+$F2976*Y$324)</f>
        <v/>
      </c>
      <c r="Z2976" s="35">
        <f>$D2976*($E2976*Z$321+$F2976*Z$324)</f>
        <v/>
      </c>
      <c r="AA2976" s="35">
        <f>$D2976*($E2976*AA$321+$F2976*AA$324)</f>
        <v/>
      </c>
      <c r="AB2976" s="35">
        <f>$D2976*($E2976*AB$321+$F2976*AB$324)</f>
        <v/>
      </c>
      <c r="AC2976" s="35">
        <f>$D2976*($E2976*AC$321+$F2976*AC$324)</f>
        <v/>
      </c>
      <c r="AD2976" s="35">
        <f>$D2976*($E2976*AD$321+$F2976*AD$324)</f>
        <v/>
      </c>
      <c r="AE2976" s="42">
        <f>XCARBON($D2976,$E2976,AE$321,$F2976,AE$324)</f>
        <v/>
      </c>
      <c r="AG2976" s="11">
        <f>CodePrefix&amp;$A2976&amp;IF($C2976="","","."&amp;$C2976&amp;"."&amp;$B2976)&amp;INDEX(VarEnd,MATCH($A2976,VarKey,0))&amp;AG$5</f>
        <v/>
      </c>
      <c r="AH2976" s="40">
        <f>$D2976*($E2976*AH$321+$F2976*AH$324)</f>
        <v/>
      </c>
      <c r="AI2976" s="35">
        <f>$D2976*($E2976*AI$321+$F2976*AI$324)</f>
        <v/>
      </c>
      <c r="AJ2976" s="35">
        <f>$D2976*($E2976*AJ$321+$F2976*AJ$324)</f>
        <v/>
      </c>
      <c r="AK2976" s="35">
        <f>$D2976*($E2976*AK$321+$F2976*AK$324)</f>
        <v/>
      </c>
      <c r="AL2976" s="35">
        <f>$D2976*($E2976*AL$321+$F2976*AL$324)</f>
        <v/>
      </c>
      <c r="AM2976" s="35">
        <f>$D2976*($E2976*AM$321+$F2976*AM$324)</f>
        <v/>
      </c>
      <c r="AN2976" s="35">
        <f>$D2976*($E2976*AN$321+$F2976*AN$324)</f>
        <v/>
      </c>
      <c r="AO2976" s="35">
        <f>$D2976*($E2976*AO$321+$F2976*AO$324)</f>
        <v/>
      </c>
      <c r="AP2976" s="35">
        <f>$D2976*($E2976*AP$321+$F2976*AP$324)</f>
        <v/>
      </c>
      <c r="AQ2976" s="35">
        <f>$D2976*($E2976*AQ$321+$F2976*AQ$324)</f>
        <v/>
      </c>
      <c r="AR2976" s="35">
        <f>$D2976*($E2976*AR$321+$F2976*AR$324)</f>
        <v/>
      </c>
      <c r="AS2976" s="35">
        <f>$D2976*($E2976*AS$321+$F2976*AS$324)</f>
        <v/>
      </c>
      <c r="AT2976" s="35">
        <f>$D2976*($E2976*AT$321+$F2976*AT$324)</f>
        <v/>
      </c>
      <c r="AU2976" s="35">
        <f>$D2976*($E2976*AU$321+$F2976*AU$324)</f>
        <v/>
      </c>
      <c r="AV2976" s="35">
        <f>$D2976*($E2976*AV$321+$F2976*AV$324)</f>
        <v/>
      </c>
      <c r="AW2976" s="35">
        <f>$D2976*($E2976*AW$321+$F2976*AW$324)</f>
        <v/>
      </c>
      <c r="AX2976" s="35">
        <f>$D2976*($E2976*AX$321+$F2976*AX$324)</f>
        <v/>
      </c>
      <c r="AY2976" s="35">
        <f>$D2976*($E2976*AY$321+$F2976*AY$324)</f>
        <v/>
      </c>
      <c r="AZ2976" s="35">
        <f>$D2976*($E2976*AZ$321+$F2976*AZ$324)</f>
        <v/>
      </c>
      <c r="BA2976" s="42">
        <f>XCARBON($D2976,$E2976,BA$321,$F2976,BA$324)</f>
        <v/>
      </c>
    </row>
    <row r="2977" hidden="1" outlineLevel="2">
      <c r="A2977" s="14" t="inlineStr">
        <is>
          <t>xcp</t>
        </is>
      </c>
      <c r="B2977" s="14" t="inlineStr">
        <is>
          <t>ker</t>
        </is>
      </c>
      <c r="C2977" s="14" t="inlineStr">
        <is>
          <t>oen</t>
        </is>
      </c>
      <c r="D2977" s="35">
        <f>INDEX(Inputs!$W$5:$W$132,MATCH($B2977&amp;"|"&amp;$C2977,Inputs!$A$5:$A$132,0))</f>
        <v/>
      </c>
      <c r="E2977" s="35">
        <f>INDEX(Inputs!$Z$5:$Z$132,MATCH($B2977&amp;"|"&amp;$C2977,Inputs!$A$5:$A$132,0))</f>
        <v/>
      </c>
      <c r="F2977" s="35">
        <f>INDEX(Inputs!$AA$5:$AA$132,MATCH($B2977&amp;"|"&amp;$C2977,Inputs!$A$5:$A$132,0))</f>
        <v/>
      </c>
      <c r="G2977" s="39" t="n"/>
      <c r="H2977" s="14">
        <f>INDEX(VarLab,MATCH($A2977,VarKey,0))&amp;INDEX(MemLab,MATCH($C2977&amp;"|"&amp;$B2977,MemKey,0))</f>
        <v/>
      </c>
      <c r="I2977" s="14">
        <f>INDEX(VarUnit,MATCH($A2977,VarKey,0))</f>
        <v/>
      </c>
      <c r="J2977" s="14">
        <f>INDEX(VarSrc,MATCH($A2977,VarKey,0))</f>
        <v/>
      </c>
      <c r="K2977" s="11">
        <f>CodePrefix&amp;$A2977&amp;IF($C2977="","","."&amp;$C2977&amp;"."&amp;$B2977)&amp;INDEX(VarEnd,MATCH($A2977,VarKey,0))&amp;K$5</f>
        <v/>
      </c>
      <c r="L2977" s="40">
        <f>$D2977*($E2977*L$321+$F2977*L$324)</f>
        <v/>
      </c>
      <c r="M2977" s="35">
        <f>$D2977*($E2977*M$321+$F2977*M$324)</f>
        <v/>
      </c>
      <c r="N2977" s="35">
        <f>$D2977*($E2977*N$321+$F2977*N$324)</f>
        <v/>
      </c>
      <c r="O2977" s="35">
        <f>$D2977*($E2977*O$321+$F2977*O$324)</f>
        <v/>
      </c>
      <c r="P2977" s="35">
        <f>$D2977*($E2977*P$321+$F2977*P$324)</f>
        <v/>
      </c>
      <c r="Q2977" s="35">
        <f>$D2977*($E2977*Q$321+$F2977*Q$324)</f>
        <v/>
      </c>
      <c r="R2977" s="35">
        <f>$D2977*($E2977*R$321+$F2977*R$324)</f>
        <v/>
      </c>
      <c r="S2977" s="35">
        <f>$D2977*($E2977*S$321+$F2977*S$324)</f>
        <v/>
      </c>
      <c r="T2977" s="35">
        <f>$D2977*($E2977*T$321+$F2977*T$324)</f>
        <v/>
      </c>
      <c r="U2977" s="35">
        <f>$D2977*($E2977*U$321+$F2977*U$324)</f>
        <v/>
      </c>
      <c r="V2977" s="35">
        <f>$D2977*($E2977*V$321+$F2977*V$324)</f>
        <v/>
      </c>
      <c r="W2977" s="35">
        <f>$D2977*($E2977*W$321+$F2977*W$324)</f>
        <v/>
      </c>
      <c r="X2977" s="35">
        <f>$D2977*($E2977*X$321+$F2977*X$324)</f>
        <v/>
      </c>
      <c r="Y2977" s="35">
        <f>$D2977*($E2977*Y$321+$F2977*Y$324)</f>
        <v/>
      </c>
      <c r="Z2977" s="35">
        <f>$D2977*($E2977*Z$321+$F2977*Z$324)</f>
        <v/>
      </c>
      <c r="AA2977" s="35">
        <f>$D2977*($E2977*AA$321+$F2977*AA$324)</f>
        <v/>
      </c>
      <c r="AB2977" s="35">
        <f>$D2977*($E2977*AB$321+$F2977*AB$324)</f>
        <v/>
      </c>
      <c r="AC2977" s="35">
        <f>$D2977*($E2977*AC$321+$F2977*AC$324)</f>
        <v/>
      </c>
      <c r="AD2977" s="35">
        <f>$D2977*($E2977*AD$321+$F2977*AD$324)</f>
        <v/>
      </c>
      <c r="AE2977" s="42">
        <f>XCARBON($D2977,$E2977,AE$321,$F2977,AE$324)</f>
        <v/>
      </c>
      <c r="AG2977" s="11">
        <f>CodePrefix&amp;$A2977&amp;IF($C2977="","","."&amp;$C2977&amp;"."&amp;$B2977)&amp;INDEX(VarEnd,MATCH($A2977,VarKey,0))&amp;AG$5</f>
        <v/>
      </c>
      <c r="AH2977" s="40">
        <f>$D2977*($E2977*AH$321+$F2977*AH$324)</f>
        <v/>
      </c>
      <c r="AI2977" s="35">
        <f>$D2977*($E2977*AI$321+$F2977*AI$324)</f>
        <v/>
      </c>
      <c r="AJ2977" s="35">
        <f>$D2977*($E2977*AJ$321+$F2977*AJ$324)</f>
        <v/>
      </c>
      <c r="AK2977" s="35">
        <f>$D2977*($E2977*AK$321+$F2977*AK$324)</f>
        <v/>
      </c>
      <c r="AL2977" s="35">
        <f>$D2977*($E2977*AL$321+$F2977*AL$324)</f>
        <v/>
      </c>
      <c r="AM2977" s="35">
        <f>$D2977*($E2977*AM$321+$F2977*AM$324)</f>
        <v/>
      </c>
      <c r="AN2977" s="35">
        <f>$D2977*($E2977*AN$321+$F2977*AN$324)</f>
        <v/>
      </c>
      <c r="AO2977" s="35">
        <f>$D2977*($E2977*AO$321+$F2977*AO$324)</f>
        <v/>
      </c>
      <c r="AP2977" s="35">
        <f>$D2977*($E2977*AP$321+$F2977*AP$324)</f>
        <v/>
      </c>
      <c r="AQ2977" s="35">
        <f>$D2977*($E2977*AQ$321+$F2977*AQ$324)</f>
        <v/>
      </c>
      <c r="AR2977" s="35">
        <f>$D2977*($E2977*AR$321+$F2977*AR$324)</f>
        <v/>
      </c>
      <c r="AS2977" s="35">
        <f>$D2977*($E2977*AS$321+$F2977*AS$324)</f>
        <v/>
      </c>
      <c r="AT2977" s="35">
        <f>$D2977*($E2977*AT$321+$F2977*AT$324)</f>
        <v/>
      </c>
      <c r="AU2977" s="35">
        <f>$D2977*($E2977*AU$321+$F2977*AU$324)</f>
        <v/>
      </c>
      <c r="AV2977" s="35">
        <f>$D2977*($E2977*AV$321+$F2977*AV$324)</f>
        <v/>
      </c>
      <c r="AW2977" s="35">
        <f>$D2977*($E2977*AW$321+$F2977*AW$324)</f>
        <v/>
      </c>
      <c r="AX2977" s="35">
        <f>$D2977*($E2977*AX$321+$F2977*AX$324)</f>
        <v/>
      </c>
      <c r="AY2977" s="35">
        <f>$D2977*($E2977*AY$321+$F2977*AY$324)</f>
        <v/>
      </c>
      <c r="AZ2977" s="35">
        <f>$D2977*($E2977*AZ$321+$F2977*AZ$324)</f>
        <v/>
      </c>
      <c r="BA2977" s="42">
        <f>XCARBON($D2977,$E2977,BA$321,$F2977,BA$324)</f>
        <v/>
      </c>
    </row>
    <row r="2978" hidden="1" outlineLevel="2">
      <c r="A2978" s="14" t="inlineStr">
        <is>
          <t>xcp</t>
        </is>
      </c>
      <c r="B2978" s="14" t="inlineStr">
        <is>
          <t>oop</t>
        </is>
      </c>
      <c r="C2978" s="14" t="inlineStr">
        <is>
          <t>oen</t>
        </is>
      </c>
      <c r="D2978" s="35">
        <f>INDEX(Inputs!$W$5:$W$132,MATCH($B2978&amp;"|"&amp;$C2978,Inputs!$A$5:$A$132,0))</f>
        <v/>
      </c>
      <c r="E2978" s="35">
        <f>INDEX(Inputs!$Z$5:$Z$132,MATCH($B2978&amp;"|"&amp;$C2978,Inputs!$A$5:$A$132,0))</f>
        <v/>
      </c>
      <c r="F2978" s="35">
        <f>INDEX(Inputs!$AA$5:$AA$132,MATCH($B2978&amp;"|"&amp;$C2978,Inputs!$A$5:$A$132,0))</f>
        <v/>
      </c>
      <c r="G2978" s="39" t="n"/>
      <c r="H2978" s="14">
        <f>INDEX(VarLab,MATCH($A2978,VarKey,0))&amp;INDEX(MemLab,MATCH($C2978&amp;"|"&amp;$B2978,MemKey,0))</f>
        <v/>
      </c>
      <c r="I2978" s="14">
        <f>INDEX(VarUnit,MATCH($A2978,VarKey,0))</f>
        <v/>
      </c>
      <c r="J2978" s="14">
        <f>INDEX(VarSrc,MATCH($A2978,VarKey,0))</f>
        <v/>
      </c>
      <c r="K2978" s="11">
        <f>CodePrefix&amp;$A2978&amp;IF($C2978="","","."&amp;$C2978&amp;"."&amp;$B2978)&amp;INDEX(VarEnd,MATCH($A2978,VarKey,0))&amp;K$5</f>
        <v/>
      </c>
      <c r="L2978" s="40">
        <f>$D2978*($E2978*L$321+$F2978*L$324)</f>
        <v/>
      </c>
      <c r="M2978" s="35">
        <f>$D2978*($E2978*M$321+$F2978*M$324)</f>
        <v/>
      </c>
      <c r="N2978" s="35">
        <f>$D2978*($E2978*N$321+$F2978*N$324)</f>
        <v/>
      </c>
      <c r="O2978" s="35">
        <f>$D2978*($E2978*O$321+$F2978*O$324)</f>
        <v/>
      </c>
      <c r="P2978" s="35">
        <f>$D2978*($E2978*P$321+$F2978*P$324)</f>
        <v/>
      </c>
      <c r="Q2978" s="35">
        <f>$D2978*($E2978*Q$321+$F2978*Q$324)</f>
        <v/>
      </c>
      <c r="R2978" s="35">
        <f>$D2978*($E2978*R$321+$F2978*R$324)</f>
        <v/>
      </c>
      <c r="S2978" s="35">
        <f>$D2978*($E2978*S$321+$F2978*S$324)</f>
        <v/>
      </c>
      <c r="T2978" s="35">
        <f>$D2978*($E2978*T$321+$F2978*T$324)</f>
        <v/>
      </c>
      <c r="U2978" s="35">
        <f>$D2978*($E2978*U$321+$F2978*U$324)</f>
        <v/>
      </c>
      <c r="V2978" s="35">
        <f>$D2978*($E2978*V$321+$F2978*V$324)</f>
        <v/>
      </c>
      <c r="W2978" s="35">
        <f>$D2978*($E2978*W$321+$F2978*W$324)</f>
        <v/>
      </c>
      <c r="X2978" s="35">
        <f>$D2978*($E2978*X$321+$F2978*X$324)</f>
        <v/>
      </c>
      <c r="Y2978" s="35">
        <f>$D2978*($E2978*Y$321+$F2978*Y$324)</f>
        <v/>
      </c>
      <c r="Z2978" s="35">
        <f>$D2978*($E2978*Z$321+$F2978*Z$324)</f>
        <v/>
      </c>
      <c r="AA2978" s="35">
        <f>$D2978*($E2978*AA$321+$F2978*AA$324)</f>
        <v/>
      </c>
      <c r="AB2978" s="35">
        <f>$D2978*($E2978*AB$321+$F2978*AB$324)</f>
        <v/>
      </c>
      <c r="AC2978" s="35">
        <f>$D2978*($E2978*AC$321+$F2978*AC$324)</f>
        <v/>
      </c>
      <c r="AD2978" s="35">
        <f>$D2978*($E2978*AD$321+$F2978*AD$324)</f>
        <v/>
      </c>
      <c r="AE2978" s="42">
        <f>XCARBON($D2978,$E2978,AE$321,$F2978,AE$324)</f>
        <v/>
      </c>
      <c r="AG2978" s="11">
        <f>CodePrefix&amp;$A2978&amp;IF($C2978="","","."&amp;$C2978&amp;"."&amp;$B2978)&amp;INDEX(VarEnd,MATCH($A2978,VarKey,0))&amp;AG$5</f>
        <v/>
      </c>
      <c r="AH2978" s="40">
        <f>$D2978*($E2978*AH$321+$F2978*AH$324)</f>
        <v/>
      </c>
      <c r="AI2978" s="35">
        <f>$D2978*($E2978*AI$321+$F2978*AI$324)</f>
        <v/>
      </c>
      <c r="AJ2978" s="35">
        <f>$D2978*($E2978*AJ$321+$F2978*AJ$324)</f>
        <v/>
      </c>
      <c r="AK2978" s="35">
        <f>$D2978*($E2978*AK$321+$F2978*AK$324)</f>
        <v/>
      </c>
      <c r="AL2978" s="35">
        <f>$D2978*($E2978*AL$321+$F2978*AL$324)</f>
        <v/>
      </c>
      <c r="AM2978" s="35">
        <f>$D2978*($E2978*AM$321+$F2978*AM$324)</f>
        <v/>
      </c>
      <c r="AN2978" s="35">
        <f>$D2978*($E2978*AN$321+$F2978*AN$324)</f>
        <v/>
      </c>
      <c r="AO2978" s="35">
        <f>$D2978*($E2978*AO$321+$F2978*AO$324)</f>
        <v/>
      </c>
      <c r="AP2978" s="35">
        <f>$D2978*($E2978*AP$321+$F2978*AP$324)</f>
        <v/>
      </c>
      <c r="AQ2978" s="35">
        <f>$D2978*($E2978*AQ$321+$F2978*AQ$324)</f>
        <v/>
      </c>
      <c r="AR2978" s="35">
        <f>$D2978*($E2978*AR$321+$F2978*AR$324)</f>
        <v/>
      </c>
      <c r="AS2978" s="35">
        <f>$D2978*($E2978*AS$321+$F2978*AS$324)</f>
        <v/>
      </c>
      <c r="AT2978" s="35">
        <f>$D2978*($E2978*AT$321+$F2978*AT$324)</f>
        <v/>
      </c>
      <c r="AU2978" s="35">
        <f>$D2978*($E2978*AU$321+$F2978*AU$324)</f>
        <v/>
      </c>
      <c r="AV2978" s="35">
        <f>$D2978*($E2978*AV$321+$F2978*AV$324)</f>
        <v/>
      </c>
      <c r="AW2978" s="35">
        <f>$D2978*($E2978*AW$321+$F2978*AW$324)</f>
        <v/>
      </c>
      <c r="AX2978" s="35">
        <f>$D2978*($E2978*AX$321+$F2978*AX$324)</f>
        <v/>
      </c>
      <c r="AY2978" s="35">
        <f>$D2978*($E2978*AY$321+$F2978*AY$324)</f>
        <v/>
      </c>
      <c r="AZ2978" s="35">
        <f>$D2978*($E2978*AZ$321+$F2978*AZ$324)</f>
        <v/>
      </c>
      <c r="BA2978" s="42">
        <f>XCARBON($D2978,$E2978,BA$321,$F2978,BA$324)</f>
        <v/>
      </c>
    </row>
    <row r="2979" hidden="1" outlineLevel="2">
      <c r="A2979" s="14" t="inlineStr">
        <is>
          <t>xcp</t>
        </is>
      </c>
      <c r="B2979" s="14" t="inlineStr">
        <is>
          <t>bio</t>
        </is>
      </c>
      <c r="C2979" s="14" t="inlineStr">
        <is>
          <t>oen</t>
        </is>
      </c>
      <c r="D2979" s="35">
        <f>INDEX(Inputs!$W$5:$W$132,MATCH($B2979&amp;"|"&amp;$C2979,Inputs!$A$5:$A$132,0))</f>
        <v/>
      </c>
      <c r="E2979" s="35">
        <f>INDEX(Inputs!$Z$5:$Z$132,MATCH($B2979&amp;"|"&amp;$C2979,Inputs!$A$5:$A$132,0))</f>
        <v/>
      </c>
      <c r="F2979" s="35">
        <f>INDEX(Inputs!$AA$5:$AA$132,MATCH($B2979&amp;"|"&amp;$C2979,Inputs!$A$5:$A$132,0))</f>
        <v/>
      </c>
      <c r="G2979" s="39" t="n"/>
      <c r="H2979" s="14">
        <f>INDEX(VarLab,MATCH($A2979,VarKey,0))&amp;INDEX(MemLab,MATCH($C2979&amp;"|"&amp;$B2979,MemKey,0))</f>
        <v/>
      </c>
      <c r="I2979" s="14">
        <f>INDEX(VarUnit,MATCH($A2979,VarKey,0))</f>
        <v/>
      </c>
      <c r="J2979" s="14">
        <f>INDEX(VarSrc,MATCH($A2979,VarKey,0))</f>
        <v/>
      </c>
      <c r="K2979" s="11">
        <f>CodePrefix&amp;$A2979&amp;IF($C2979="","","."&amp;$C2979&amp;"."&amp;$B2979)&amp;INDEX(VarEnd,MATCH($A2979,VarKey,0))&amp;K$5</f>
        <v/>
      </c>
      <c r="L2979" s="40">
        <f>$D2979*($E2979*L$321+$F2979*L$324)</f>
        <v/>
      </c>
      <c r="M2979" s="35">
        <f>$D2979*($E2979*M$321+$F2979*M$324)</f>
        <v/>
      </c>
      <c r="N2979" s="35">
        <f>$D2979*($E2979*N$321+$F2979*N$324)</f>
        <v/>
      </c>
      <c r="O2979" s="35">
        <f>$D2979*($E2979*O$321+$F2979*O$324)</f>
        <v/>
      </c>
      <c r="P2979" s="35">
        <f>$D2979*($E2979*P$321+$F2979*P$324)</f>
        <v/>
      </c>
      <c r="Q2979" s="35">
        <f>$D2979*($E2979*Q$321+$F2979*Q$324)</f>
        <v/>
      </c>
      <c r="R2979" s="35">
        <f>$D2979*($E2979*R$321+$F2979*R$324)</f>
        <v/>
      </c>
      <c r="S2979" s="35">
        <f>$D2979*($E2979*S$321+$F2979*S$324)</f>
        <v/>
      </c>
      <c r="T2979" s="35">
        <f>$D2979*($E2979*T$321+$F2979*T$324)</f>
        <v/>
      </c>
      <c r="U2979" s="35">
        <f>$D2979*($E2979*U$321+$F2979*U$324)</f>
        <v/>
      </c>
      <c r="V2979" s="35">
        <f>$D2979*($E2979*V$321+$F2979*V$324)</f>
        <v/>
      </c>
      <c r="W2979" s="35">
        <f>$D2979*($E2979*W$321+$F2979*W$324)</f>
        <v/>
      </c>
      <c r="X2979" s="35">
        <f>$D2979*($E2979*X$321+$F2979*X$324)</f>
        <v/>
      </c>
      <c r="Y2979" s="35">
        <f>$D2979*($E2979*Y$321+$F2979*Y$324)</f>
        <v/>
      </c>
      <c r="Z2979" s="35">
        <f>$D2979*($E2979*Z$321+$F2979*Z$324)</f>
        <v/>
      </c>
      <c r="AA2979" s="35">
        <f>$D2979*($E2979*AA$321+$F2979*AA$324)</f>
        <v/>
      </c>
      <c r="AB2979" s="35">
        <f>$D2979*($E2979*AB$321+$F2979*AB$324)</f>
        <v/>
      </c>
      <c r="AC2979" s="35">
        <f>$D2979*($E2979*AC$321+$F2979*AC$324)</f>
        <v/>
      </c>
      <c r="AD2979" s="35">
        <f>$D2979*($E2979*AD$321+$F2979*AD$324)</f>
        <v/>
      </c>
      <c r="AE2979" s="42">
        <f>XCARBON($D2979,$E2979,AE$321,$F2979,AE$324)</f>
        <v/>
      </c>
      <c r="AG2979" s="11">
        <f>CodePrefix&amp;$A2979&amp;IF($C2979="","","."&amp;$C2979&amp;"."&amp;$B2979)&amp;INDEX(VarEnd,MATCH($A2979,VarKey,0))&amp;AG$5</f>
        <v/>
      </c>
      <c r="AH2979" s="40">
        <f>$D2979*($E2979*AH$321+$F2979*AH$324)</f>
        <v/>
      </c>
      <c r="AI2979" s="35">
        <f>$D2979*($E2979*AI$321+$F2979*AI$324)</f>
        <v/>
      </c>
      <c r="AJ2979" s="35">
        <f>$D2979*($E2979*AJ$321+$F2979*AJ$324)</f>
        <v/>
      </c>
      <c r="AK2979" s="35">
        <f>$D2979*($E2979*AK$321+$F2979*AK$324)</f>
        <v/>
      </c>
      <c r="AL2979" s="35">
        <f>$D2979*($E2979*AL$321+$F2979*AL$324)</f>
        <v/>
      </c>
      <c r="AM2979" s="35">
        <f>$D2979*($E2979*AM$321+$F2979*AM$324)</f>
        <v/>
      </c>
      <c r="AN2979" s="35">
        <f>$D2979*($E2979*AN$321+$F2979*AN$324)</f>
        <v/>
      </c>
      <c r="AO2979" s="35">
        <f>$D2979*($E2979*AO$321+$F2979*AO$324)</f>
        <v/>
      </c>
      <c r="AP2979" s="35">
        <f>$D2979*($E2979*AP$321+$F2979*AP$324)</f>
        <v/>
      </c>
      <c r="AQ2979" s="35">
        <f>$D2979*($E2979*AQ$321+$F2979*AQ$324)</f>
        <v/>
      </c>
      <c r="AR2979" s="35">
        <f>$D2979*($E2979*AR$321+$F2979*AR$324)</f>
        <v/>
      </c>
      <c r="AS2979" s="35">
        <f>$D2979*($E2979*AS$321+$F2979*AS$324)</f>
        <v/>
      </c>
      <c r="AT2979" s="35">
        <f>$D2979*($E2979*AT$321+$F2979*AT$324)</f>
        <v/>
      </c>
      <c r="AU2979" s="35">
        <f>$D2979*($E2979*AU$321+$F2979*AU$324)</f>
        <v/>
      </c>
      <c r="AV2979" s="35">
        <f>$D2979*($E2979*AV$321+$F2979*AV$324)</f>
        <v/>
      </c>
      <c r="AW2979" s="35">
        <f>$D2979*($E2979*AW$321+$F2979*AW$324)</f>
        <v/>
      </c>
      <c r="AX2979" s="35">
        <f>$D2979*($E2979*AX$321+$F2979*AX$324)</f>
        <v/>
      </c>
      <c r="AY2979" s="35">
        <f>$D2979*($E2979*AY$321+$F2979*AY$324)</f>
        <v/>
      </c>
      <c r="AZ2979" s="35">
        <f>$D2979*($E2979*AZ$321+$F2979*AZ$324)</f>
        <v/>
      </c>
      <c r="BA2979" s="42">
        <f>XCARBON($D2979,$E2979,BA$321,$F2979,BA$324)</f>
        <v/>
      </c>
    </row>
    <row r="2980" hidden="1" outlineLevel="2"/>
    <row r="2981" hidden="1" outlineLevel="2">
      <c r="A2981" s="14" t="inlineStr">
        <is>
          <t>xcpd</t>
        </is>
      </c>
      <c r="B2981" s="14" t="inlineStr">
        <is>
          <t>coa</t>
        </is>
      </c>
      <c r="C2981" s="14" t="inlineStr">
        <is>
          <t>oen</t>
        </is>
      </c>
      <c r="D2981" s="35">
        <f>INDEX(Inputs!$W$5:$W$132,MATCH($B2981&amp;"|"&amp;$C2981,Inputs!$A$5:$A$132,0))</f>
        <v/>
      </c>
      <c r="E2981" s="35">
        <f>INDEX(Inputs!$Z$5:$Z$132,MATCH($B2981&amp;"|"&amp;$C2981,Inputs!$A$5:$A$132,0))</f>
        <v/>
      </c>
      <c r="F2981" s="35">
        <f>INDEX(Inputs!$AA$5:$AA$132,MATCH($B2981&amp;"|"&amp;$C2981,Inputs!$A$5:$A$132,0))</f>
        <v/>
      </c>
      <c r="G2981" s="39" t="n"/>
      <c r="H2981" s="14">
        <f>INDEX(VarLab,MATCH($A2981,VarKey,0))&amp;INDEX(MemLab,MATCH($C2981&amp;"|"&amp;$B2981,MemKey,0))</f>
        <v/>
      </c>
      <c r="I2981" s="14">
        <f>INDEX(VarUnit,MATCH($A2981,VarKey,0))</f>
        <v/>
      </c>
      <c r="J2981" s="14">
        <f>INDEX(VarSrc,MATCH($A2981,VarKey,0))</f>
        <v/>
      </c>
      <c r="K2981" s="11">
        <f>CodePrefix&amp;$A2981&amp;IF($C2981="","","."&amp;$C2981&amp;"."&amp;$B2981)&amp;INDEX(VarEnd,MATCH($A2981,VarKey,0))&amp;K$5</f>
        <v/>
      </c>
      <c r="L2981" s="40">
        <f>$D2981*($E2981*(L$321-L$322)+$F2981*(L$324-L$325))</f>
        <v/>
      </c>
      <c r="M2981" s="35">
        <f>$D2981*($E2981*(M$321-M$322)+$F2981*(M$324-M$325))</f>
        <v/>
      </c>
      <c r="N2981" s="35">
        <f>$D2981*($E2981*(N$321-N$322)+$F2981*(N$324-N$325))</f>
        <v/>
      </c>
      <c r="O2981" s="35">
        <f>$D2981*($E2981*(O$321-O$322)+$F2981*(O$324-O$325))</f>
        <v/>
      </c>
      <c r="P2981" s="35">
        <f>$D2981*($E2981*(P$321-P$322)+$F2981*(P$324-P$325))</f>
        <v/>
      </c>
      <c r="Q2981" s="35">
        <f>$D2981*($E2981*(Q$321-Q$322)+$F2981*(Q$324-Q$325))</f>
        <v/>
      </c>
      <c r="R2981" s="35">
        <f>$D2981*($E2981*(R$321-R$322)+$F2981*(R$324-R$325))</f>
        <v/>
      </c>
      <c r="S2981" s="35">
        <f>$D2981*($E2981*(S$321-S$322)+$F2981*(S$324-S$325))</f>
        <v/>
      </c>
      <c r="T2981" s="35">
        <f>$D2981*($E2981*(T$321-T$322)+$F2981*(T$324-T$325))</f>
        <v/>
      </c>
      <c r="U2981" s="35">
        <f>$D2981*($E2981*(U$321-U$322)+$F2981*(U$324-U$325))</f>
        <v/>
      </c>
      <c r="V2981" s="35">
        <f>$D2981*($E2981*(V$321-V$322)+$F2981*(V$324-V$325))</f>
        <v/>
      </c>
      <c r="W2981" s="35">
        <f>$D2981*($E2981*(W$321-W$322)+$F2981*(W$324-W$325))</f>
        <v/>
      </c>
      <c r="X2981" s="35">
        <f>$D2981*($E2981*(X$321-X$322)+$F2981*(X$324-X$325))</f>
        <v/>
      </c>
      <c r="Y2981" s="35">
        <f>$D2981*($E2981*(Y$321-Y$322)+$F2981*(Y$324-Y$325))</f>
        <v/>
      </c>
      <c r="Z2981" s="35">
        <f>$D2981*($E2981*(Z$321-Z$322)+$F2981*(Z$324-Z$325))</f>
        <v/>
      </c>
      <c r="AA2981" s="35">
        <f>$D2981*($E2981*(AA$321-AA$322)+$F2981*(AA$324-AA$325))</f>
        <v/>
      </c>
      <c r="AB2981" s="35">
        <f>$D2981*($E2981*(AB$321-AB$322)+$F2981*(AB$324-AB$325))</f>
        <v/>
      </c>
      <c r="AC2981" s="35">
        <f>$D2981*($E2981*(AC$321-AC$322)+$F2981*(AC$324-AC$325))</f>
        <v/>
      </c>
      <c r="AD2981" s="35">
        <f>$D2981*($E2981*(AD$321-AD$322)+$F2981*(AD$324-AD$325))</f>
        <v/>
      </c>
      <c r="AE2981" s="42">
        <f>XCARBON($D2981,$E2981,(AE$321-AE$322),$F2981,(AE$324-AE$325))</f>
        <v/>
      </c>
      <c r="AG2981" s="11">
        <f>CodePrefix&amp;$A2981&amp;IF($C2981="","","."&amp;$C2981&amp;"."&amp;$B2981)&amp;INDEX(VarEnd,MATCH($A2981,VarKey,0))&amp;AG$5</f>
        <v/>
      </c>
      <c r="AH2981" s="40">
        <f>$D2981*($E2981*(AH$321-AH$322)+$F2981*(AH$324-AH$325))</f>
        <v/>
      </c>
      <c r="AI2981" s="35">
        <f>$D2981*($E2981*(AI$321-AI$322)+$F2981*(AI$324-AI$325))</f>
        <v/>
      </c>
      <c r="AJ2981" s="35">
        <f>$D2981*($E2981*(AJ$321-AJ$322)+$F2981*(AJ$324-AJ$325))</f>
        <v/>
      </c>
      <c r="AK2981" s="35">
        <f>$D2981*($E2981*(AK$321-AK$322)+$F2981*(AK$324-AK$325))</f>
        <v/>
      </c>
      <c r="AL2981" s="35">
        <f>$D2981*($E2981*(AL$321-AL$322)+$F2981*(AL$324-AL$325))</f>
        <v/>
      </c>
      <c r="AM2981" s="35">
        <f>$D2981*($E2981*(AM$321-AM$322)+$F2981*(AM$324-AM$325))</f>
        <v/>
      </c>
      <c r="AN2981" s="35">
        <f>$D2981*($E2981*(AN$321-AN$322)+$F2981*(AN$324-AN$325))</f>
        <v/>
      </c>
      <c r="AO2981" s="35">
        <f>$D2981*($E2981*(AO$321-AO$322)+$F2981*(AO$324-AO$325))</f>
        <v/>
      </c>
      <c r="AP2981" s="35">
        <f>$D2981*($E2981*(AP$321-AP$322)+$F2981*(AP$324-AP$325))</f>
        <v/>
      </c>
      <c r="AQ2981" s="35">
        <f>$D2981*($E2981*(AQ$321-AQ$322)+$F2981*(AQ$324-AQ$325))</f>
        <v/>
      </c>
      <c r="AR2981" s="35">
        <f>$D2981*($E2981*(AR$321-AR$322)+$F2981*(AR$324-AR$325))</f>
        <v/>
      </c>
      <c r="AS2981" s="35">
        <f>$D2981*($E2981*(AS$321-AS$322)+$F2981*(AS$324-AS$325))</f>
        <v/>
      </c>
      <c r="AT2981" s="35">
        <f>$D2981*($E2981*(AT$321-AT$322)+$F2981*(AT$324-AT$325))</f>
        <v/>
      </c>
      <c r="AU2981" s="35">
        <f>$D2981*($E2981*(AU$321-AU$322)+$F2981*(AU$324-AU$325))</f>
        <v/>
      </c>
      <c r="AV2981" s="35">
        <f>$D2981*($E2981*(AV$321-AV$322)+$F2981*(AV$324-AV$325))</f>
        <v/>
      </c>
      <c r="AW2981" s="35">
        <f>$D2981*($E2981*(AW$321-AW$322)+$F2981*(AW$324-AW$325))</f>
        <v/>
      </c>
      <c r="AX2981" s="35">
        <f>$D2981*($E2981*(AX$321-AX$322)+$F2981*(AX$324-AX$325))</f>
        <v/>
      </c>
      <c r="AY2981" s="35">
        <f>$D2981*($E2981*(AY$321-AY$322)+$F2981*(AY$324-AY$325))</f>
        <v/>
      </c>
      <c r="AZ2981" s="35">
        <f>$D2981*($E2981*(AZ$321-AZ$322)+$F2981*(AZ$324-AZ$325))</f>
        <v/>
      </c>
      <c r="BA2981" s="42">
        <f>XCARBON($D2981,$E2981,(BA$321-BA$322),$F2981,(BA$324-BA$325))</f>
        <v/>
      </c>
    </row>
    <row r="2982" hidden="1" outlineLevel="2">
      <c r="A2982" s="14" t="inlineStr">
        <is>
          <t>xcpd</t>
        </is>
      </c>
      <c r="B2982" s="14" t="inlineStr">
        <is>
          <t>nga</t>
        </is>
      </c>
      <c r="C2982" s="14" t="inlineStr">
        <is>
          <t>oen</t>
        </is>
      </c>
      <c r="D2982" s="35">
        <f>INDEX(Inputs!$W$5:$W$132,MATCH($B2982&amp;"|"&amp;$C2982,Inputs!$A$5:$A$132,0))</f>
        <v/>
      </c>
      <c r="E2982" s="35">
        <f>INDEX(Inputs!$Z$5:$Z$132,MATCH($B2982&amp;"|"&amp;$C2982,Inputs!$A$5:$A$132,0))</f>
        <v/>
      </c>
      <c r="F2982" s="35">
        <f>INDEX(Inputs!$AA$5:$AA$132,MATCH($B2982&amp;"|"&amp;$C2982,Inputs!$A$5:$A$132,0))</f>
        <v/>
      </c>
      <c r="G2982" s="39" t="n"/>
      <c r="H2982" s="14">
        <f>INDEX(VarLab,MATCH($A2982,VarKey,0))&amp;INDEX(MemLab,MATCH($C2982&amp;"|"&amp;$B2982,MemKey,0))</f>
        <v/>
      </c>
      <c r="I2982" s="14">
        <f>INDEX(VarUnit,MATCH($A2982,VarKey,0))</f>
        <v/>
      </c>
      <c r="J2982" s="14">
        <f>INDEX(VarSrc,MATCH($A2982,VarKey,0))</f>
        <v/>
      </c>
      <c r="K2982" s="11">
        <f>CodePrefix&amp;$A2982&amp;IF($C2982="","","."&amp;$C2982&amp;"."&amp;$B2982)&amp;INDEX(VarEnd,MATCH($A2982,VarKey,0))&amp;K$5</f>
        <v/>
      </c>
      <c r="L2982" s="40">
        <f>$D2982*($E2982*(L$321-L$322)+$F2982*(L$324-L$325))</f>
        <v/>
      </c>
      <c r="M2982" s="35">
        <f>$D2982*($E2982*(M$321-M$322)+$F2982*(M$324-M$325))</f>
        <v/>
      </c>
      <c r="N2982" s="35">
        <f>$D2982*($E2982*(N$321-N$322)+$F2982*(N$324-N$325))</f>
        <v/>
      </c>
      <c r="O2982" s="35">
        <f>$D2982*($E2982*(O$321-O$322)+$F2982*(O$324-O$325))</f>
        <v/>
      </c>
      <c r="P2982" s="35">
        <f>$D2982*($E2982*(P$321-P$322)+$F2982*(P$324-P$325))</f>
        <v/>
      </c>
      <c r="Q2982" s="35">
        <f>$D2982*($E2982*(Q$321-Q$322)+$F2982*(Q$324-Q$325))</f>
        <v/>
      </c>
      <c r="R2982" s="35">
        <f>$D2982*($E2982*(R$321-R$322)+$F2982*(R$324-R$325))</f>
        <v/>
      </c>
      <c r="S2982" s="35">
        <f>$D2982*($E2982*(S$321-S$322)+$F2982*(S$324-S$325))</f>
        <v/>
      </c>
      <c r="T2982" s="35">
        <f>$D2982*($E2982*(T$321-T$322)+$F2982*(T$324-T$325))</f>
        <v/>
      </c>
      <c r="U2982" s="35">
        <f>$D2982*($E2982*(U$321-U$322)+$F2982*(U$324-U$325))</f>
        <v/>
      </c>
      <c r="V2982" s="35">
        <f>$D2982*($E2982*(V$321-V$322)+$F2982*(V$324-V$325))</f>
        <v/>
      </c>
      <c r="W2982" s="35">
        <f>$D2982*($E2982*(W$321-W$322)+$F2982*(W$324-W$325))</f>
        <v/>
      </c>
      <c r="X2982" s="35">
        <f>$D2982*($E2982*(X$321-X$322)+$F2982*(X$324-X$325))</f>
        <v/>
      </c>
      <c r="Y2982" s="35">
        <f>$D2982*($E2982*(Y$321-Y$322)+$F2982*(Y$324-Y$325))</f>
        <v/>
      </c>
      <c r="Z2982" s="35">
        <f>$D2982*($E2982*(Z$321-Z$322)+$F2982*(Z$324-Z$325))</f>
        <v/>
      </c>
      <c r="AA2982" s="35">
        <f>$D2982*($E2982*(AA$321-AA$322)+$F2982*(AA$324-AA$325))</f>
        <v/>
      </c>
      <c r="AB2982" s="35">
        <f>$D2982*($E2982*(AB$321-AB$322)+$F2982*(AB$324-AB$325))</f>
        <v/>
      </c>
      <c r="AC2982" s="35">
        <f>$D2982*($E2982*(AC$321-AC$322)+$F2982*(AC$324-AC$325))</f>
        <v/>
      </c>
      <c r="AD2982" s="35">
        <f>$D2982*($E2982*(AD$321-AD$322)+$F2982*(AD$324-AD$325))</f>
        <v/>
      </c>
      <c r="AE2982" s="42">
        <f>XCARBON($D2982,$E2982,(AE$321-AE$322),$F2982,(AE$324-AE$325))</f>
        <v/>
      </c>
      <c r="AG2982" s="11">
        <f>CodePrefix&amp;$A2982&amp;IF($C2982="","","."&amp;$C2982&amp;"."&amp;$B2982)&amp;INDEX(VarEnd,MATCH($A2982,VarKey,0))&amp;AG$5</f>
        <v/>
      </c>
      <c r="AH2982" s="40">
        <f>$D2982*($E2982*(AH$321-AH$322)+$F2982*(AH$324-AH$325))</f>
        <v/>
      </c>
      <c r="AI2982" s="35">
        <f>$D2982*($E2982*(AI$321-AI$322)+$F2982*(AI$324-AI$325))</f>
        <v/>
      </c>
      <c r="AJ2982" s="35">
        <f>$D2982*($E2982*(AJ$321-AJ$322)+$F2982*(AJ$324-AJ$325))</f>
        <v/>
      </c>
      <c r="AK2982" s="35">
        <f>$D2982*($E2982*(AK$321-AK$322)+$F2982*(AK$324-AK$325))</f>
        <v/>
      </c>
      <c r="AL2982" s="35">
        <f>$D2982*($E2982*(AL$321-AL$322)+$F2982*(AL$324-AL$325))</f>
        <v/>
      </c>
      <c r="AM2982" s="35">
        <f>$D2982*($E2982*(AM$321-AM$322)+$F2982*(AM$324-AM$325))</f>
        <v/>
      </c>
      <c r="AN2982" s="35">
        <f>$D2982*($E2982*(AN$321-AN$322)+$F2982*(AN$324-AN$325))</f>
        <v/>
      </c>
      <c r="AO2982" s="35">
        <f>$D2982*($E2982*(AO$321-AO$322)+$F2982*(AO$324-AO$325))</f>
        <v/>
      </c>
      <c r="AP2982" s="35">
        <f>$D2982*($E2982*(AP$321-AP$322)+$F2982*(AP$324-AP$325))</f>
        <v/>
      </c>
      <c r="AQ2982" s="35">
        <f>$D2982*($E2982*(AQ$321-AQ$322)+$F2982*(AQ$324-AQ$325))</f>
        <v/>
      </c>
      <c r="AR2982" s="35">
        <f>$D2982*($E2982*(AR$321-AR$322)+$F2982*(AR$324-AR$325))</f>
        <v/>
      </c>
      <c r="AS2982" s="35">
        <f>$D2982*($E2982*(AS$321-AS$322)+$F2982*(AS$324-AS$325))</f>
        <v/>
      </c>
      <c r="AT2982" s="35">
        <f>$D2982*($E2982*(AT$321-AT$322)+$F2982*(AT$324-AT$325))</f>
        <v/>
      </c>
      <c r="AU2982" s="35">
        <f>$D2982*($E2982*(AU$321-AU$322)+$F2982*(AU$324-AU$325))</f>
        <v/>
      </c>
      <c r="AV2982" s="35">
        <f>$D2982*($E2982*(AV$321-AV$322)+$F2982*(AV$324-AV$325))</f>
        <v/>
      </c>
      <c r="AW2982" s="35">
        <f>$D2982*($E2982*(AW$321-AW$322)+$F2982*(AW$324-AW$325))</f>
        <v/>
      </c>
      <c r="AX2982" s="35">
        <f>$D2982*($E2982*(AX$321-AX$322)+$F2982*(AX$324-AX$325))</f>
        <v/>
      </c>
      <c r="AY2982" s="35">
        <f>$D2982*($E2982*(AY$321-AY$322)+$F2982*(AY$324-AY$325))</f>
        <v/>
      </c>
      <c r="AZ2982" s="35">
        <f>$D2982*($E2982*(AZ$321-AZ$322)+$F2982*(AZ$324-AZ$325))</f>
        <v/>
      </c>
      <c r="BA2982" s="42">
        <f>XCARBON($D2982,$E2982,(BA$321-BA$322),$F2982,(BA$324-BA$325))</f>
        <v/>
      </c>
    </row>
    <row r="2983" hidden="1" outlineLevel="2">
      <c r="A2983" s="14" t="inlineStr">
        <is>
          <t>xcpd</t>
        </is>
      </c>
      <c r="B2983" s="14" t="inlineStr">
        <is>
          <t>gso</t>
        </is>
      </c>
      <c r="C2983" s="14" t="inlineStr">
        <is>
          <t>oen</t>
        </is>
      </c>
      <c r="D2983" s="35">
        <f>INDEX(Inputs!$W$5:$W$132,MATCH($B2983&amp;"|"&amp;$C2983,Inputs!$A$5:$A$132,0))</f>
        <v/>
      </c>
      <c r="E2983" s="35">
        <f>INDEX(Inputs!$Z$5:$Z$132,MATCH($B2983&amp;"|"&amp;$C2983,Inputs!$A$5:$A$132,0))</f>
        <v/>
      </c>
      <c r="F2983" s="35">
        <f>INDEX(Inputs!$AA$5:$AA$132,MATCH($B2983&amp;"|"&amp;$C2983,Inputs!$A$5:$A$132,0))</f>
        <v/>
      </c>
      <c r="G2983" s="39" t="n"/>
      <c r="H2983" s="14">
        <f>INDEX(VarLab,MATCH($A2983,VarKey,0))&amp;INDEX(MemLab,MATCH($C2983&amp;"|"&amp;$B2983,MemKey,0))</f>
        <v/>
      </c>
      <c r="I2983" s="14">
        <f>INDEX(VarUnit,MATCH($A2983,VarKey,0))</f>
        <v/>
      </c>
      <c r="J2983" s="14">
        <f>INDEX(VarSrc,MATCH($A2983,VarKey,0))</f>
        <v/>
      </c>
      <c r="K2983" s="11">
        <f>CodePrefix&amp;$A2983&amp;IF($C2983="","","."&amp;$C2983&amp;"."&amp;$B2983)&amp;INDEX(VarEnd,MATCH($A2983,VarKey,0))&amp;K$5</f>
        <v/>
      </c>
      <c r="L2983" s="40">
        <f>$D2983*($E2983*(L$321-L$322)+$F2983*(L$324-L$325))</f>
        <v/>
      </c>
      <c r="M2983" s="35">
        <f>$D2983*($E2983*(M$321-M$322)+$F2983*(M$324-M$325))</f>
        <v/>
      </c>
      <c r="N2983" s="35">
        <f>$D2983*($E2983*(N$321-N$322)+$F2983*(N$324-N$325))</f>
        <v/>
      </c>
      <c r="O2983" s="35">
        <f>$D2983*($E2983*(O$321-O$322)+$F2983*(O$324-O$325))</f>
        <v/>
      </c>
      <c r="P2983" s="35">
        <f>$D2983*($E2983*(P$321-P$322)+$F2983*(P$324-P$325))</f>
        <v/>
      </c>
      <c r="Q2983" s="35">
        <f>$D2983*($E2983*(Q$321-Q$322)+$F2983*(Q$324-Q$325))</f>
        <v/>
      </c>
      <c r="R2983" s="35">
        <f>$D2983*($E2983*(R$321-R$322)+$F2983*(R$324-R$325))</f>
        <v/>
      </c>
      <c r="S2983" s="35">
        <f>$D2983*($E2983*(S$321-S$322)+$F2983*(S$324-S$325))</f>
        <v/>
      </c>
      <c r="T2983" s="35">
        <f>$D2983*($E2983*(T$321-T$322)+$F2983*(T$324-T$325))</f>
        <v/>
      </c>
      <c r="U2983" s="35">
        <f>$D2983*($E2983*(U$321-U$322)+$F2983*(U$324-U$325))</f>
        <v/>
      </c>
      <c r="V2983" s="35">
        <f>$D2983*($E2983*(V$321-V$322)+$F2983*(V$324-V$325))</f>
        <v/>
      </c>
      <c r="W2983" s="35">
        <f>$D2983*($E2983*(W$321-W$322)+$F2983*(W$324-W$325))</f>
        <v/>
      </c>
      <c r="X2983" s="35">
        <f>$D2983*($E2983*(X$321-X$322)+$F2983*(X$324-X$325))</f>
        <v/>
      </c>
      <c r="Y2983" s="35">
        <f>$D2983*($E2983*(Y$321-Y$322)+$F2983*(Y$324-Y$325))</f>
        <v/>
      </c>
      <c r="Z2983" s="35">
        <f>$D2983*($E2983*(Z$321-Z$322)+$F2983*(Z$324-Z$325))</f>
        <v/>
      </c>
      <c r="AA2983" s="35">
        <f>$D2983*($E2983*(AA$321-AA$322)+$F2983*(AA$324-AA$325))</f>
        <v/>
      </c>
      <c r="AB2983" s="35">
        <f>$D2983*($E2983*(AB$321-AB$322)+$F2983*(AB$324-AB$325))</f>
        <v/>
      </c>
      <c r="AC2983" s="35">
        <f>$D2983*($E2983*(AC$321-AC$322)+$F2983*(AC$324-AC$325))</f>
        <v/>
      </c>
      <c r="AD2983" s="35">
        <f>$D2983*($E2983*(AD$321-AD$322)+$F2983*(AD$324-AD$325))</f>
        <v/>
      </c>
      <c r="AE2983" s="42">
        <f>XCARBON($D2983,$E2983,(AE$321-AE$322),$F2983,(AE$324-AE$325))</f>
        <v/>
      </c>
      <c r="AG2983" s="11">
        <f>CodePrefix&amp;$A2983&amp;IF($C2983="","","."&amp;$C2983&amp;"."&amp;$B2983)&amp;INDEX(VarEnd,MATCH($A2983,VarKey,0))&amp;AG$5</f>
        <v/>
      </c>
      <c r="AH2983" s="40">
        <f>$D2983*($E2983*(AH$321-AH$322)+$F2983*(AH$324-AH$325))</f>
        <v/>
      </c>
      <c r="AI2983" s="35">
        <f>$D2983*($E2983*(AI$321-AI$322)+$F2983*(AI$324-AI$325))</f>
        <v/>
      </c>
      <c r="AJ2983" s="35">
        <f>$D2983*($E2983*(AJ$321-AJ$322)+$F2983*(AJ$324-AJ$325))</f>
        <v/>
      </c>
      <c r="AK2983" s="35">
        <f>$D2983*($E2983*(AK$321-AK$322)+$F2983*(AK$324-AK$325))</f>
        <v/>
      </c>
      <c r="AL2983" s="35">
        <f>$D2983*($E2983*(AL$321-AL$322)+$F2983*(AL$324-AL$325))</f>
        <v/>
      </c>
      <c r="AM2983" s="35">
        <f>$D2983*($E2983*(AM$321-AM$322)+$F2983*(AM$324-AM$325))</f>
        <v/>
      </c>
      <c r="AN2983" s="35">
        <f>$D2983*($E2983*(AN$321-AN$322)+$F2983*(AN$324-AN$325))</f>
        <v/>
      </c>
      <c r="AO2983" s="35">
        <f>$D2983*($E2983*(AO$321-AO$322)+$F2983*(AO$324-AO$325))</f>
        <v/>
      </c>
      <c r="AP2983" s="35">
        <f>$D2983*($E2983*(AP$321-AP$322)+$F2983*(AP$324-AP$325))</f>
        <v/>
      </c>
      <c r="AQ2983" s="35">
        <f>$D2983*($E2983*(AQ$321-AQ$322)+$F2983*(AQ$324-AQ$325))</f>
        <v/>
      </c>
      <c r="AR2983" s="35">
        <f>$D2983*($E2983*(AR$321-AR$322)+$F2983*(AR$324-AR$325))</f>
        <v/>
      </c>
      <c r="AS2983" s="35">
        <f>$D2983*($E2983*(AS$321-AS$322)+$F2983*(AS$324-AS$325))</f>
        <v/>
      </c>
      <c r="AT2983" s="35">
        <f>$D2983*($E2983*(AT$321-AT$322)+$F2983*(AT$324-AT$325))</f>
        <v/>
      </c>
      <c r="AU2983" s="35">
        <f>$D2983*($E2983*(AU$321-AU$322)+$F2983*(AU$324-AU$325))</f>
        <v/>
      </c>
      <c r="AV2983" s="35">
        <f>$D2983*($E2983*(AV$321-AV$322)+$F2983*(AV$324-AV$325))</f>
        <v/>
      </c>
      <c r="AW2983" s="35">
        <f>$D2983*($E2983*(AW$321-AW$322)+$F2983*(AW$324-AW$325))</f>
        <v/>
      </c>
      <c r="AX2983" s="35">
        <f>$D2983*($E2983*(AX$321-AX$322)+$F2983*(AX$324-AX$325))</f>
        <v/>
      </c>
      <c r="AY2983" s="35">
        <f>$D2983*($E2983*(AY$321-AY$322)+$F2983*(AY$324-AY$325))</f>
        <v/>
      </c>
      <c r="AZ2983" s="35">
        <f>$D2983*($E2983*(AZ$321-AZ$322)+$F2983*(AZ$324-AZ$325))</f>
        <v/>
      </c>
      <c r="BA2983" s="42">
        <f>XCARBON($D2983,$E2983,(BA$321-BA$322),$F2983,(BA$324-BA$325))</f>
        <v/>
      </c>
    </row>
    <row r="2984" hidden="1" outlineLevel="2">
      <c r="A2984" s="14" t="inlineStr">
        <is>
          <t>xcpd</t>
        </is>
      </c>
      <c r="B2984" s="14" t="inlineStr">
        <is>
          <t>die</t>
        </is>
      </c>
      <c r="C2984" s="14" t="inlineStr">
        <is>
          <t>oen</t>
        </is>
      </c>
      <c r="D2984" s="35">
        <f>INDEX(Inputs!$W$5:$W$132,MATCH($B2984&amp;"|"&amp;$C2984,Inputs!$A$5:$A$132,0))</f>
        <v/>
      </c>
      <c r="E2984" s="35">
        <f>INDEX(Inputs!$Z$5:$Z$132,MATCH($B2984&amp;"|"&amp;$C2984,Inputs!$A$5:$A$132,0))</f>
        <v/>
      </c>
      <c r="F2984" s="35">
        <f>INDEX(Inputs!$AA$5:$AA$132,MATCH($B2984&amp;"|"&amp;$C2984,Inputs!$A$5:$A$132,0))</f>
        <v/>
      </c>
      <c r="G2984" s="39" t="n"/>
      <c r="H2984" s="14">
        <f>INDEX(VarLab,MATCH($A2984,VarKey,0))&amp;INDEX(MemLab,MATCH($C2984&amp;"|"&amp;$B2984,MemKey,0))</f>
        <v/>
      </c>
      <c r="I2984" s="14">
        <f>INDEX(VarUnit,MATCH($A2984,VarKey,0))</f>
        <v/>
      </c>
      <c r="J2984" s="14">
        <f>INDEX(VarSrc,MATCH($A2984,VarKey,0))</f>
        <v/>
      </c>
      <c r="K2984" s="11">
        <f>CodePrefix&amp;$A2984&amp;IF($C2984="","","."&amp;$C2984&amp;"."&amp;$B2984)&amp;INDEX(VarEnd,MATCH($A2984,VarKey,0))&amp;K$5</f>
        <v/>
      </c>
      <c r="L2984" s="40">
        <f>$D2984*($E2984*(L$321-L$322)+$F2984*(L$324-L$325))</f>
        <v/>
      </c>
      <c r="M2984" s="35">
        <f>$D2984*($E2984*(M$321-M$322)+$F2984*(M$324-M$325))</f>
        <v/>
      </c>
      <c r="N2984" s="35">
        <f>$D2984*($E2984*(N$321-N$322)+$F2984*(N$324-N$325))</f>
        <v/>
      </c>
      <c r="O2984" s="35">
        <f>$D2984*($E2984*(O$321-O$322)+$F2984*(O$324-O$325))</f>
        <v/>
      </c>
      <c r="P2984" s="35">
        <f>$D2984*($E2984*(P$321-P$322)+$F2984*(P$324-P$325))</f>
        <v/>
      </c>
      <c r="Q2984" s="35">
        <f>$D2984*($E2984*(Q$321-Q$322)+$F2984*(Q$324-Q$325))</f>
        <v/>
      </c>
      <c r="R2984" s="35">
        <f>$D2984*($E2984*(R$321-R$322)+$F2984*(R$324-R$325))</f>
        <v/>
      </c>
      <c r="S2984" s="35">
        <f>$D2984*($E2984*(S$321-S$322)+$F2984*(S$324-S$325))</f>
        <v/>
      </c>
      <c r="T2984" s="35">
        <f>$D2984*($E2984*(T$321-T$322)+$F2984*(T$324-T$325))</f>
        <v/>
      </c>
      <c r="U2984" s="35">
        <f>$D2984*($E2984*(U$321-U$322)+$F2984*(U$324-U$325))</f>
        <v/>
      </c>
      <c r="V2984" s="35">
        <f>$D2984*($E2984*(V$321-V$322)+$F2984*(V$324-V$325))</f>
        <v/>
      </c>
      <c r="W2984" s="35">
        <f>$D2984*($E2984*(W$321-W$322)+$F2984*(W$324-W$325))</f>
        <v/>
      </c>
      <c r="X2984" s="35">
        <f>$D2984*($E2984*(X$321-X$322)+$F2984*(X$324-X$325))</f>
        <v/>
      </c>
      <c r="Y2984" s="35">
        <f>$D2984*($E2984*(Y$321-Y$322)+$F2984*(Y$324-Y$325))</f>
        <v/>
      </c>
      <c r="Z2984" s="35">
        <f>$D2984*($E2984*(Z$321-Z$322)+$F2984*(Z$324-Z$325))</f>
        <v/>
      </c>
      <c r="AA2984" s="35">
        <f>$D2984*($E2984*(AA$321-AA$322)+$F2984*(AA$324-AA$325))</f>
        <v/>
      </c>
      <c r="AB2984" s="35">
        <f>$D2984*($E2984*(AB$321-AB$322)+$F2984*(AB$324-AB$325))</f>
        <v/>
      </c>
      <c r="AC2984" s="35">
        <f>$D2984*($E2984*(AC$321-AC$322)+$F2984*(AC$324-AC$325))</f>
        <v/>
      </c>
      <c r="AD2984" s="35">
        <f>$D2984*($E2984*(AD$321-AD$322)+$F2984*(AD$324-AD$325))</f>
        <v/>
      </c>
      <c r="AE2984" s="42">
        <f>XCARBON($D2984,$E2984,(AE$321-AE$322),$F2984,(AE$324-AE$325))</f>
        <v/>
      </c>
      <c r="AG2984" s="11">
        <f>CodePrefix&amp;$A2984&amp;IF($C2984="","","."&amp;$C2984&amp;"."&amp;$B2984)&amp;INDEX(VarEnd,MATCH($A2984,VarKey,0))&amp;AG$5</f>
        <v/>
      </c>
      <c r="AH2984" s="40">
        <f>$D2984*($E2984*(AH$321-AH$322)+$F2984*(AH$324-AH$325))</f>
        <v/>
      </c>
      <c r="AI2984" s="35">
        <f>$D2984*($E2984*(AI$321-AI$322)+$F2984*(AI$324-AI$325))</f>
        <v/>
      </c>
      <c r="AJ2984" s="35">
        <f>$D2984*($E2984*(AJ$321-AJ$322)+$F2984*(AJ$324-AJ$325))</f>
        <v/>
      </c>
      <c r="AK2984" s="35">
        <f>$D2984*($E2984*(AK$321-AK$322)+$F2984*(AK$324-AK$325))</f>
        <v/>
      </c>
      <c r="AL2984" s="35">
        <f>$D2984*($E2984*(AL$321-AL$322)+$F2984*(AL$324-AL$325))</f>
        <v/>
      </c>
      <c r="AM2984" s="35">
        <f>$D2984*($E2984*(AM$321-AM$322)+$F2984*(AM$324-AM$325))</f>
        <v/>
      </c>
      <c r="AN2984" s="35">
        <f>$D2984*($E2984*(AN$321-AN$322)+$F2984*(AN$324-AN$325))</f>
        <v/>
      </c>
      <c r="AO2984" s="35">
        <f>$D2984*($E2984*(AO$321-AO$322)+$F2984*(AO$324-AO$325))</f>
        <v/>
      </c>
      <c r="AP2984" s="35">
        <f>$D2984*($E2984*(AP$321-AP$322)+$F2984*(AP$324-AP$325))</f>
        <v/>
      </c>
      <c r="AQ2984" s="35">
        <f>$D2984*($E2984*(AQ$321-AQ$322)+$F2984*(AQ$324-AQ$325))</f>
        <v/>
      </c>
      <c r="AR2984" s="35">
        <f>$D2984*($E2984*(AR$321-AR$322)+$F2984*(AR$324-AR$325))</f>
        <v/>
      </c>
      <c r="AS2984" s="35">
        <f>$D2984*($E2984*(AS$321-AS$322)+$F2984*(AS$324-AS$325))</f>
        <v/>
      </c>
      <c r="AT2984" s="35">
        <f>$D2984*($E2984*(AT$321-AT$322)+$F2984*(AT$324-AT$325))</f>
        <v/>
      </c>
      <c r="AU2984" s="35">
        <f>$D2984*($E2984*(AU$321-AU$322)+$F2984*(AU$324-AU$325))</f>
        <v/>
      </c>
      <c r="AV2984" s="35">
        <f>$D2984*($E2984*(AV$321-AV$322)+$F2984*(AV$324-AV$325))</f>
        <v/>
      </c>
      <c r="AW2984" s="35">
        <f>$D2984*($E2984*(AW$321-AW$322)+$F2984*(AW$324-AW$325))</f>
        <v/>
      </c>
      <c r="AX2984" s="35">
        <f>$D2984*($E2984*(AX$321-AX$322)+$F2984*(AX$324-AX$325))</f>
        <v/>
      </c>
      <c r="AY2984" s="35">
        <f>$D2984*($E2984*(AY$321-AY$322)+$F2984*(AY$324-AY$325))</f>
        <v/>
      </c>
      <c r="AZ2984" s="35">
        <f>$D2984*($E2984*(AZ$321-AZ$322)+$F2984*(AZ$324-AZ$325))</f>
        <v/>
      </c>
      <c r="BA2984" s="42">
        <f>XCARBON($D2984,$E2984,(BA$321-BA$322),$F2984,(BA$324-BA$325))</f>
        <v/>
      </c>
    </row>
    <row r="2985" hidden="1" outlineLevel="2">
      <c r="A2985" s="14" t="inlineStr">
        <is>
          <t>xcpd</t>
        </is>
      </c>
      <c r="B2985" s="14" t="inlineStr">
        <is>
          <t>lpg</t>
        </is>
      </c>
      <c r="C2985" s="14" t="inlineStr">
        <is>
          <t>oen</t>
        </is>
      </c>
      <c r="D2985" s="35">
        <f>INDEX(Inputs!$W$5:$W$132,MATCH($B2985&amp;"|"&amp;$C2985,Inputs!$A$5:$A$132,0))</f>
        <v/>
      </c>
      <c r="E2985" s="35">
        <f>INDEX(Inputs!$Z$5:$Z$132,MATCH($B2985&amp;"|"&amp;$C2985,Inputs!$A$5:$A$132,0))</f>
        <v/>
      </c>
      <c r="F2985" s="35">
        <f>INDEX(Inputs!$AA$5:$AA$132,MATCH($B2985&amp;"|"&amp;$C2985,Inputs!$A$5:$A$132,0))</f>
        <v/>
      </c>
      <c r="G2985" s="39" t="n"/>
      <c r="H2985" s="14">
        <f>INDEX(VarLab,MATCH($A2985,VarKey,0))&amp;INDEX(MemLab,MATCH($C2985&amp;"|"&amp;$B2985,MemKey,0))</f>
        <v/>
      </c>
      <c r="I2985" s="14">
        <f>INDEX(VarUnit,MATCH($A2985,VarKey,0))</f>
        <v/>
      </c>
      <c r="J2985" s="14">
        <f>INDEX(VarSrc,MATCH($A2985,VarKey,0))</f>
        <v/>
      </c>
      <c r="K2985" s="11">
        <f>CodePrefix&amp;$A2985&amp;IF($C2985="","","."&amp;$C2985&amp;"."&amp;$B2985)&amp;INDEX(VarEnd,MATCH($A2985,VarKey,0))&amp;K$5</f>
        <v/>
      </c>
      <c r="L2985" s="40">
        <f>$D2985*($E2985*(L$321-L$322)+$F2985*(L$324-L$325))</f>
        <v/>
      </c>
      <c r="M2985" s="35">
        <f>$D2985*($E2985*(M$321-M$322)+$F2985*(M$324-M$325))</f>
        <v/>
      </c>
      <c r="N2985" s="35">
        <f>$D2985*($E2985*(N$321-N$322)+$F2985*(N$324-N$325))</f>
        <v/>
      </c>
      <c r="O2985" s="35">
        <f>$D2985*($E2985*(O$321-O$322)+$F2985*(O$324-O$325))</f>
        <v/>
      </c>
      <c r="P2985" s="35">
        <f>$D2985*($E2985*(P$321-P$322)+$F2985*(P$324-P$325))</f>
        <v/>
      </c>
      <c r="Q2985" s="35">
        <f>$D2985*($E2985*(Q$321-Q$322)+$F2985*(Q$324-Q$325))</f>
        <v/>
      </c>
      <c r="R2985" s="35">
        <f>$D2985*($E2985*(R$321-R$322)+$F2985*(R$324-R$325))</f>
        <v/>
      </c>
      <c r="S2985" s="35">
        <f>$D2985*($E2985*(S$321-S$322)+$F2985*(S$324-S$325))</f>
        <v/>
      </c>
      <c r="T2985" s="35">
        <f>$D2985*($E2985*(T$321-T$322)+$F2985*(T$324-T$325))</f>
        <v/>
      </c>
      <c r="U2985" s="35">
        <f>$D2985*($E2985*(U$321-U$322)+$F2985*(U$324-U$325))</f>
        <v/>
      </c>
      <c r="V2985" s="35">
        <f>$D2985*($E2985*(V$321-V$322)+$F2985*(V$324-V$325))</f>
        <v/>
      </c>
      <c r="W2985" s="35">
        <f>$D2985*($E2985*(W$321-W$322)+$F2985*(W$324-W$325))</f>
        <v/>
      </c>
      <c r="X2985" s="35">
        <f>$D2985*($E2985*(X$321-X$322)+$F2985*(X$324-X$325))</f>
        <v/>
      </c>
      <c r="Y2985" s="35">
        <f>$D2985*($E2985*(Y$321-Y$322)+$F2985*(Y$324-Y$325))</f>
        <v/>
      </c>
      <c r="Z2985" s="35">
        <f>$D2985*($E2985*(Z$321-Z$322)+$F2985*(Z$324-Z$325))</f>
        <v/>
      </c>
      <c r="AA2985" s="35">
        <f>$D2985*($E2985*(AA$321-AA$322)+$F2985*(AA$324-AA$325))</f>
        <v/>
      </c>
      <c r="AB2985" s="35">
        <f>$D2985*($E2985*(AB$321-AB$322)+$F2985*(AB$324-AB$325))</f>
        <v/>
      </c>
      <c r="AC2985" s="35">
        <f>$D2985*($E2985*(AC$321-AC$322)+$F2985*(AC$324-AC$325))</f>
        <v/>
      </c>
      <c r="AD2985" s="35">
        <f>$D2985*($E2985*(AD$321-AD$322)+$F2985*(AD$324-AD$325))</f>
        <v/>
      </c>
      <c r="AE2985" s="42">
        <f>XCARBON($D2985,$E2985,(AE$321-AE$322),$F2985,(AE$324-AE$325))</f>
        <v/>
      </c>
      <c r="AG2985" s="11">
        <f>CodePrefix&amp;$A2985&amp;IF($C2985="","","."&amp;$C2985&amp;"."&amp;$B2985)&amp;INDEX(VarEnd,MATCH($A2985,VarKey,0))&amp;AG$5</f>
        <v/>
      </c>
      <c r="AH2985" s="40">
        <f>$D2985*($E2985*(AH$321-AH$322)+$F2985*(AH$324-AH$325))</f>
        <v/>
      </c>
      <c r="AI2985" s="35">
        <f>$D2985*($E2985*(AI$321-AI$322)+$F2985*(AI$324-AI$325))</f>
        <v/>
      </c>
      <c r="AJ2985" s="35">
        <f>$D2985*($E2985*(AJ$321-AJ$322)+$F2985*(AJ$324-AJ$325))</f>
        <v/>
      </c>
      <c r="AK2985" s="35">
        <f>$D2985*($E2985*(AK$321-AK$322)+$F2985*(AK$324-AK$325))</f>
        <v/>
      </c>
      <c r="AL2985" s="35">
        <f>$D2985*($E2985*(AL$321-AL$322)+$F2985*(AL$324-AL$325))</f>
        <v/>
      </c>
      <c r="AM2985" s="35">
        <f>$D2985*($E2985*(AM$321-AM$322)+$F2985*(AM$324-AM$325))</f>
        <v/>
      </c>
      <c r="AN2985" s="35">
        <f>$D2985*($E2985*(AN$321-AN$322)+$F2985*(AN$324-AN$325))</f>
        <v/>
      </c>
      <c r="AO2985" s="35">
        <f>$D2985*($E2985*(AO$321-AO$322)+$F2985*(AO$324-AO$325))</f>
        <v/>
      </c>
      <c r="AP2985" s="35">
        <f>$D2985*($E2985*(AP$321-AP$322)+$F2985*(AP$324-AP$325))</f>
        <v/>
      </c>
      <c r="AQ2985" s="35">
        <f>$D2985*($E2985*(AQ$321-AQ$322)+$F2985*(AQ$324-AQ$325))</f>
        <v/>
      </c>
      <c r="AR2985" s="35">
        <f>$D2985*($E2985*(AR$321-AR$322)+$F2985*(AR$324-AR$325))</f>
        <v/>
      </c>
      <c r="AS2985" s="35">
        <f>$D2985*($E2985*(AS$321-AS$322)+$F2985*(AS$324-AS$325))</f>
        <v/>
      </c>
      <c r="AT2985" s="35">
        <f>$D2985*($E2985*(AT$321-AT$322)+$F2985*(AT$324-AT$325))</f>
        <v/>
      </c>
      <c r="AU2985" s="35">
        <f>$D2985*($E2985*(AU$321-AU$322)+$F2985*(AU$324-AU$325))</f>
        <v/>
      </c>
      <c r="AV2985" s="35">
        <f>$D2985*($E2985*(AV$321-AV$322)+$F2985*(AV$324-AV$325))</f>
        <v/>
      </c>
      <c r="AW2985" s="35">
        <f>$D2985*($E2985*(AW$321-AW$322)+$F2985*(AW$324-AW$325))</f>
        <v/>
      </c>
      <c r="AX2985" s="35">
        <f>$D2985*($E2985*(AX$321-AX$322)+$F2985*(AX$324-AX$325))</f>
        <v/>
      </c>
      <c r="AY2985" s="35">
        <f>$D2985*($E2985*(AY$321-AY$322)+$F2985*(AY$324-AY$325))</f>
        <v/>
      </c>
      <c r="AZ2985" s="35">
        <f>$D2985*($E2985*(AZ$321-AZ$322)+$F2985*(AZ$324-AZ$325))</f>
        <v/>
      </c>
      <c r="BA2985" s="42">
        <f>XCARBON($D2985,$E2985,(BA$321-BA$322),$F2985,(BA$324-BA$325))</f>
        <v/>
      </c>
    </row>
    <row r="2986" hidden="1" outlineLevel="2">
      <c r="A2986" s="14" t="inlineStr">
        <is>
          <t>xcpd</t>
        </is>
      </c>
      <c r="B2986" s="14" t="inlineStr">
        <is>
          <t>ker</t>
        </is>
      </c>
      <c r="C2986" s="14" t="inlineStr">
        <is>
          <t>oen</t>
        </is>
      </c>
      <c r="D2986" s="35">
        <f>INDEX(Inputs!$W$5:$W$132,MATCH($B2986&amp;"|"&amp;$C2986,Inputs!$A$5:$A$132,0))</f>
        <v/>
      </c>
      <c r="E2986" s="35">
        <f>INDEX(Inputs!$Z$5:$Z$132,MATCH($B2986&amp;"|"&amp;$C2986,Inputs!$A$5:$A$132,0))</f>
        <v/>
      </c>
      <c r="F2986" s="35">
        <f>INDEX(Inputs!$AA$5:$AA$132,MATCH($B2986&amp;"|"&amp;$C2986,Inputs!$A$5:$A$132,0))</f>
        <v/>
      </c>
      <c r="G2986" s="39" t="n"/>
      <c r="H2986" s="14">
        <f>INDEX(VarLab,MATCH($A2986,VarKey,0))&amp;INDEX(MemLab,MATCH($C2986&amp;"|"&amp;$B2986,MemKey,0))</f>
        <v/>
      </c>
      <c r="I2986" s="14">
        <f>INDEX(VarUnit,MATCH($A2986,VarKey,0))</f>
        <v/>
      </c>
      <c r="J2986" s="14">
        <f>INDEX(VarSrc,MATCH($A2986,VarKey,0))</f>
        <v/>
      </c>
      <c r="K2986" s="11">
        <f>CodePrefix&amp;$A2986&amp;IF($C2986="","","."&amp;$C2986&amp;"."&amp;$B2986)&amp;INDEX(VarEnd,MATCH($A2986,VarKey,0))&amp;K$5</f>
        <v/>
      </c>
      <c r="L2986" s="40">
        <f>$D2986*($E2986*(L$321-L$322)+$F2986*(L$324-L$325))</f>
        <v/>
      </c>
      <c r="M2986" s="35">
        <f>$D2986*($E2986*(M$321-M$322)+$F2986*(M$324-M$325))</f>
        <v/>
      </c>
      <c r="N2986" s="35">
        <f>$D2986*($E2986*(N$321-N$322)+$F2986*(N$324-N$325))</f>
        <v/>
      </c>
      <c r="O2986" s="35">
        <f>$D2986*($E2986*(O$321-O$322)+$F2986*(O$324-O$325))</f>
        <v/>
      </c>
      <c r="P2986" s="35">
        <f>$D2986*($E2986*(P$321-P$322)+$F2986*(P$324-P$325))</f>
        <v/>
      </c>
      <c r="Q2986" s="35">
        <f>$D2986*($E2986*(Q$321-Q$322)+$F2986*(Q$324-Q$325))</f>
        <v/>
      </c>
      <c r="R2986" s="35">
        <f>$D2986*($E2986*(R$321-R$322)+$F2986*(R$324-R$325))</f>
        <v/>
      </c>
      <c r="S2986" s="35">
        <f>$D2986*($E2986*(S$321-S$322)+$F2986*(S$324-S$325))</f>
        <v/>
      </c>
      <c r="T2986" s="35">
        <f>$D2986*($E2986*(T$321-T$322)+$F2986*(T$324-T$325))</f>
        <v/>
      </c>
      <c r="U2986" s="35">
        <f>$D2986*($E2986*(U$321-U$322)+$F2986*(U$324-U$325))</f>
        <v/>
      </c>
      <c r="V2986" s="35">
        <f>$D2986*($E2986*(V$321-V$322)+$F2986*(V$324-V$325))</f>
        <v/>
      </c>
      <c r="W2986" s="35">
        <f>$D2986*($E2986*(W$321-W$322)+$F2986*(W$324-W$325))</f>
        <v/>
      </c>
      <c r="X2986" s="35">
        <f>$D2986*($E2986*(X$321-X$322)+$F2986*(X$324-X$325))</f>
        <v/>
      </c>
      <c r="Y2986" s="35">
        <f>$D2986*($E2986*(Y$321-Y$322)+$F2986*(Y$324-Y$325))</f>
        <v/>
      </c>
      <c r="Z2986" s="35">
        <f>$D2986*($E2986*(Z$321-Z$322)+$F2986*(Z$324-Z$325))</f>
        <v/>
      </c>
      <c r="AA2986" s="35">
        <f>$D2986*($E2986*(AA$321-AA$322)+$F2986*(AA$324-AA$325))</f>
        <v/>
      </c>
      <c r="AB2986" s="35">
        <f>$D2986*($E2986*(AB$321-AB$322)+$F2986*(AB$324-AB$325))</f>
        <v/>
      </c>
      <c r="AC2986" s="35">
        <f>$D2986*($E2986*(AC$321-AC$322)+$F2986*(AC$324-AC$325))</f>
        <v/>
      </c>
      <c r="AD2986" s="35">
        <f>$D2986*($E2986*(AD$321-AD$322)+$F2986*(AD$324-AD$325))</f>
        <v/>
      </c>
      <c r="AE2986" s="42">
        <f>XCARBON($D2986,$E2986,(AE$321-AE$322),$F2986,(AE$324-AE$325))</f>
        <v/>
      </c>
      <c r="AG2986" s="11">
        <f>CodePrefix&amp;$A2986&amp;IF($C2986="","","."&amp;$C2986&amp;"."&amp;$B2986)&amp;INDEX(VarEnd,MATCH($A2986,VarKey,0))&amp;AG$5</f>
        <v/>
      </c>
      <c r="AH2986" s="40">
        <f>$D2986*($E2986*(AH$321-AH$322)+$F2986*(AH$324-AH$325))</f>
        <v/>
      </c>
      <c r="AI2986" s="35">
        <f>$D2986*($E2986*(AI$321-AI$322)+$F2986*(AI$324-AI$325))</f>
        <v/>
      </c>
      <c r="AJ2986" s="35">
        <f>$D2986*($E2986*(AJ$321-AJ$322)+$F2986*(AJ$324-AJ$325))</f>
        <v/>
      </c>
      <c r="AK2986" s="35">
        <f>$D2986*($E2986*(AK$321-AK$322)+$F2986*(AK$324-AK$325))</f>
        <v/>
      </c>
      <c r="AL2986" s="35">
        <f>$D2986*($E2986*(AL$321-AL$322)+$F2986*(AL$324-AL$325))</f>
        <v/>
      </c>
      <c r="AM2986" s="35">
        <f>$D2986*($E2986*(AM$321-AM$322)+$F2986*(AM$324-AM$325))</f>
        <v/>
      </c>
      <c r="AN2986" s="35">
        <f>$D2986*($E2986*(AN$321-AN$322)+$F2986*(AN$324-AN$325))</f>
        <v/>
      </c>
      <c r="AO2986" s="35">
        <f>$D2986*($E2986*(AO$321-AO$322)+$F2986*(AO$324-AO$325))</f>
        <v/>
      </c>
      <c r="AP2986" s="35">
        <f>$D2986*($E2986*(AP$321-AP$322)+$F2986*(AP$324-AP$325))</f>
        <v/>
      </c>
      <c r="AQ2986" s="35">
        <f>$D2986*($E2986*(AQ$321-AQ$322)+$F2986*(AQ$324-AQ$325))</f>
        <v/>
      </c>
      <c r="AR2986" s="35">
        <f>$D2986*($E2986*(AR$321-AR$322)+$F2986*(AR$324-AR$325))</f>
        <v/>
      </c>
      <c r="AS2986" s="35">
        <f>$D2986*($E2986*(AS$321-AS$322)+$F2986*(AS$324-AS$325))</f>
        <v/>
      </c>
      <c r="AT2986" s="35">
        <f>$D2986*($E2986*(AT$321-AT$322)+$F2986*(AT$324-AT$325))</f>
        <v/>
      </c>
      <c r="AU2986" s="35">
        <f>$D2986*($E2986*(AU$321-AU$322)+$F2986*(AU$324-AU$325))</f>
        <v/>
      </c>
      <c r="AV2986" s="35">
        <f>$D2986*($E2986*(AV$321-AV$322)+$F2986*(AV$324-AV$325))</f>
        <v/>
      </c>
      <c r="AW2986" s="35">
        <f>$D2986*($E2986*(AW$321-AW$322)+$F2986*(AW$324-AW$325))</f>
        <v/>
      </c>
      <c r="AX2986" s="35">
        <f>$D2986*($E2986*(AX$321-AX$322)+$F2986*(AX$324-AX$325))</f>
        <v/>
      </c>
      <c r="AY2986" s="35">
        <f>$D2986*($E2986*(AY$321-AY$322)+$F2986*(AY$324-AY$325))</f>
        <v/>
      </c>
      <c r="AZ2986" s="35">
        <f>$D2986*($E2986*(AZ$321-AZ$322)+$F2986*(AZ$324-AZ$325))</f>
        <v/>
      </c>
      <c r="BA2986" s="42">
        <f>XCARBON($D2986,$E2986,(BA$321-BA$322),$F2986,(BA$324-BA$325))</f>
        <v/>
      </c>
    </row>
    <row r="2987" hidden="1" outlineLevel="2">
      <c r="A2987" s="14" t="inlineStr">
        <is>
          <t>xcpd</t>
        </is>
      </c>
      <c r="B2987" s="14" t="inlineStr">
        <is>
          <t>oop</t>
        </is>
      </c>
      <c r="C2987" s="14" t="inlineStr">
        <is>
          <t>oen</t>
        </is>
      </c>
      <c r="D2987" s="35">
        <f>INDEX(Inputs!$W$5:$W$132,MATCH($B2987&amp;"|"&amp;$C2987,Inputs!$A$5:$A$132,0))</f>
        <v/>
      </c>
      <c r="E2987" s="35">
        <f>INDEX(Inputs!$Z$5:$Z$132,MATCH($B2987&amp;"|"&amp;$C2987,Inputs!$A$5:$A$132,0))</f>
        <v/>
      </c>
      <c r="F2987" s="35">
        <f>INDEX(Inputs!$AA$5:$AA$132,MATCH($B2987&amp;"|"&amp;$C2987,Inputs!$A$5:$A$132,0))</f>
        <v/>
      </c>
      <c r="G2987" s="39" t="n"/>
      <c r="H2987" s="14">
        <f>INDEX(VarLab,MATCH($A2987,VarKey,0))&amp;INDEX(MemLab,MATCH($C2987&amp;"|"&amp;$B2987,MemKey,0))</f>
        <v/>
      </c>
      <c r="I2987" s="14">
        <f>INDEX(VarUnit,MATCH($A2987,VarKey,0))</f>
        <v/>
      </c>
      <c r="J2987" s="14">
        <f>INDEX(VarSrc,MATCH($A2987,VarKey,0))</f>
        <v/>
      </c>
      <c r="K2987" s="11">
        <f>CodePrefix&amp;$A2987&amp;IF($C2987="","","."&amp;$C2987&amp;"."&amp;$B2987)&amp;INDEX(VarEnd,MATCH($A2987,VarKey,0))&amp;K$5</f>
        <v/>
      </c>
      <c r="L2987" s="40">
        <f>$D2987*($E2987*(L$321-L$322)+$F2987*(L$324-L$325))</f>
        <v/>
      </c>
      <c r="M2987" s="35">
        <f>$D2987*($E2987*(M$321-M$322)+$F2987*(M$324-M$325))</f>
        <v/>
      </c>
      <c r="N2987" s="35">
        <f>$D2987*($E2987*(N$321-N$322)+$F2987*(N$324-N$325))</f>
        <v/>
      </c>
      <c r="O2987" s="35">
        <f>$D2987*($E2987*(O$321-O$322)+$F2987*(O$324-O$325))</f>
        <v/>
      </c>
      <c r="P2987" s="35">
        <f>$D2987*($E2987*(P$321-P$322)+$F2987*(P$324-P$325))</f>
        <v/>
      </c>
      <c r="Q2987" s="35">
        <f>$D2987*($E2987*(Q$321-Q$322)+$F2987*(Q$324-Q$325))</f>
        <v/>
      </c>
      <c r="R2987" s="35">
        <f>$D2987*($E2987*(R$321-R$322)+$F2987*(R$324-R$325))</f>
        <v/>
      </c>
      <c r="S2987" s="35">
        <f>$D2987*($E2987*(S$321-S$322)+$F2987*(S$324-S$325))</f>
        <v/>
      </c>
      <c r="T2987" s="35">
        <f>$D2987*($E2987*(T$321-T$322)+$F2987*(T$324-T$325))</f>
        <v/>
      </c>
      <c r="U2987" s="35">
        <f>$D2987*($E2987*(U$321-U$322)+$F2987*(U$324-U$325))</f>
        <v/>
      </c>
      <c r="V2987" s="35">
        <f>$D2987*($E2987*(V$321-V$322)+$F2987*(V$324-V$325))</f>
        <v/>
      </c>
      <c r="W2987" s="35">
        <f>$D2987*($E2987*(W$321-W$322)+$F2987*(W$324-W$325))</f>
        <v/>
      </c>
      <c r="X2987" s="35">
        <f>$D2987*($E2987*(X$321-X$322)+$F2987*(X$324-X$325))</f>
        <v/>
      </c>
      <c r="Y2987" s="35">
        <f>$D2987*($E2987*(Y$321-Y$322)+$F2987*(Y$324-Y$325))</f>
        <v/>
      </c>
      <c r="Z2987" s="35">
        <f>$D2987*($E2987*(Z$321-Z$322)+$F2987*(Z$324-Z$325))</f>
        <v/>
      </c>
      <c r="AA2987" s="35">
        <f>$D2987*($E2987*(AA$321-AA$322)+$F2987*(AA$324-AA$325))</f>
        <v/>
      </c>
      <c r="AB2987" s="35">
        <f>$D2987*($E2987*(AB$321-AB$322)+$F2987*(AB$324-AB$325))</f>
        <v/>
      </c>
      <c r="AC2987" s="35">
        <f>$D2987*($E2987*(AC$321-AC$322)+$F2987*(AC$324-AC$325))</f>
        <v/>
      </c>
      <c r="AD2987" s="35">
        <f>$D2987*($E2987*(AD$321-AD$322)+$F2987*(AD$324-AD$325))</f>
        <v/>
      </c>
      <c r="AE2987" s="42">
        <f>XCARBON($D2987,$E2987,(AE$321-AE$322),$F2987,(AE$324-AE$325))</f>
        <v/>
      </c>
      <c r="AG2987" s="11">
        <f>CodePrefix&amp;$A2987&amp;IF($C2987="","","."&amp;$C2987&amp;"."&amp;$B2987)&amp;INDEX(VarEnd,MATCH($A2987,VarKey,0))&amp;AG$5</f>
        <v/>
      </c>
      <c r="AH2987" s="40">
        <f>$D2987*($E2987*(AH$321-AH$322)+$F2987*(AH$324-AH$325))</f>
        <v/>
      </c>
      <c r="AI2987" s="35">
        <f>$D2987*($E2987*(AI$321-AI$322)+$F2987*(AI$324-AI$325))</f>
        <v/>
      </c>
      <c r="AJ2987" s="35">
        <f>$D2987*($E2987*(AJ$321-AJ$322)+$F2987*(AJ$324-AJ$325))</f>
        <v/>
      </c>
      <c r="AK2987" s="35">
        <f>$D2987*($E2987*(AK$321-AK$322)+$F2987*(AK$324-AK$325))</f>
        <v/>
      </c>
      <c r="AL2987" s="35">
        <f>$D2987*($E2987*(AL$321-AL$322)+$F2987*(AL$324-AL$325))</f>
        <v/>
      </c>
      <c r="AM2987" s="35">
        <f>$D2987*($E2987*(AM$321-AM$322)+$F2987*(AM$324-AM$325))</f>
        <v/>
      </c>
      <c r="AN2987" s="35">
        <f>$D2987*($E2987*(AN$321-AN$322)+$F2987*(AN$324-AN$325))</f>
        <v/>
      </c>
      <c r="AO2987" s="35">
        <f>$D2987*($E2987*(AO$321-AO$322)+$F2987*(AO$324-AO$325))</f>
        <v/>
      </c>
      <c r="AP2987" s="35">
        <f>$D2987*($E2987*(AP$321-AP$322)+$F2987*(AP$324-AP$325))</f>
        <v/>
      </c>
      <c r="AQ2987" s="35">
        <f>$D2987*($E2987*(AQ$321-AQ$322)+$F2987*(AQ$324-AQ$325))</f>
        <v/>
      </c>
      <c r="AR2987" s="35">
        <f>$D2987*($E2987*(AR$321-AR$322)+$F2987*(AR$324-AR$325))</f>
        <v/>
      </c>
      <c r="AS2987" s="35">
        <f>$D2987*($E2987*(AS$321-AS$322)+$F2987*(AS$324-AS$325))</f>
        <v/>
      </c>
      <c r="AT2987" s="35">
        <f>$D2987*($E2987*(AT$321-AT$322)+$F2987*(AT$324-AT$325))</f>
        <v/>
      </c>
      <c r="AU2987" s="35">
        <f>$D2987*($E2987*(AU$321-AU$322)+$F2987*(AU$324-AU$325))</f>
        <v/>
      </c>
      <c r="AV2987" s="35">
        <f>$D2987*($E2987*(AV$321-AV$322)+$F2987*(AV$324-AV$325))</f>
        <v/>
      </c>
      <c r="AW2987" s="35">
        <f>$D2987*($E2987*(AW$321-AW$322)+$F2987*(AW$324-AW$325))</f>
        <v/>
      </c>
      <c r="AX2987" s="35">
        <f>$D2987*($E2987*(AX$321-AX$322)+$F2987*(AX$324-AX$325))</f>
        <v/>
      </c>
      <c r="AY2987" s="35">
        <f>$D2987*($E2987*(AY$321-AY$322)+$F2987*(AY$324-AY$325))</f>
        <v/>
      </c>
      <c r="AZ2987" s="35">
        <f>$D2987*($E2987*(AZ$321-AZ$322)+$F2987*(AZ$324-AZ$325))</f>
        <v/>
      </c>
      <c r="BA2987" s="42">
        <f>XCARBON($D2987,$E2987,(BA$321-BA$322),$F2987,(BA$324-BA$325))</f>
        <v/>
      </c>
    </row>
    <row r="2988" hidden="1" outlineLevel="2">
      <c r="A2988" s="14" t="inlineStr">
        <is>
          <t>xcpd</t>
        </is>
      </c>
      <c r="B2988" s="14" t="inlineStr">
        <is>
          <t>bio</t>
        </is>
      </c>
      <c r="C2988" s="14" t="inlineStr">
        <is>
          <t>oen</t>
        </is>
      </c>
      <c r="D2988" s="35">
        <f>INDEX(Inputs!$W$5:$W$132,MATCH($B2988&amp;"|"&amp;$C2988,Inputs!$A$5:$A$132,0))</f>
        <v/>
      </c>
      <c r="E2988" s="35">
        <f>INDEX(Inputs!$Z$5:$Z$132,MATCH($B2988&amp;"|"&amp;$C2988,Inputs!$A$5:$A$132,0))</f>
        <v/>
      </c>
      <c r="F2988" s="35">
        <f>INDEX(Inputs!$AA$5:$AA$132,MATCH($B2988&amp;"|"&amp;$C2988,Inputs!$A$5:$A$132,0))</f>
        <v/>
      </c>
      <c r="G2988" s="39" t="n"/>
      <c r="H2988" s="14">
        <f>INDEX(VarLab,MATCH($A2988,VarKey,0))&amp;INDEX(MemLab,MATCH($C2988&amp;"|"&amp;$B2988,MemKey,0))</f>
        <v/>
      </c>
      <c r="I2988" s="14">
        <f>INDEX(VarUnit,MATCH($A2988,VarKey,0))</f>
        <v/>
      </c>
      <c r="J2988" s="14">
        <f>INDEX(VarSrc,MATCH($A2988,VarKey,0))</f>
        <v/>
      </c>
      <c r="K2988" s="11">
        <f>CodePrefix&amp;$A2988&amp;IF($C2988="","","."&amp;$C2988&amp;"."&amp;$B2988)&amp;INDEX(VarEnd,MATCH($A2988,VarKey,0))&amp;K$5</f>
        <v/>
      </c>
      <c r="L2988" s="40">
        <f>$D2988*($E2988*(L$321-L$322)+$F2988*(L$324-L$325))</f>
        <v/>
      </c>
      <c r="M2988" s="35">
        <f>$D2988*($E2988*(M$321-M$322)+$F2988*(M$324-M$325))</f>
        <v/>
      </c>
      <c r="N2988" s="35">
        <f>$D2988*($E2988*(N$321-N$322)+$F2988*(N$324-N$325))</f>
        <v/>
      </c>
      <c r="O2988" s="35">
        <f>$D2988*($E2988*(O$321-O$322)+$F2988*(O$324-O$325))</f>
        <v/>
      </c>
      <c r="P2988" s="35">
        <f>$D2988*($E2988*(P$321-P$322)+$F2988*(P$324-P$325))</f>
        <v/>
      </c>
      <c r="Q2988" s="35">
        <f>$D2988*($E2988*(Q$321-Q$322)+$F2988*(Q$324-Q$325))</f>
        <v/>
      </c>
      <c r="R2988" s="35">
        <f>$D2988*($E2988*(R$321-R$322)+$F2988*(R$324-R$325))</f>
        <v/>
      </c>
      <c r="S2988" s="35">
        <f>$D2988*($E2988*(S$321-S$322)+$F2988*(S$324-S$325))</f>
        <v/>
      </c>
      <c r="T2988" s="35">
        <f>$D2988*($E2988*(T$321-T$322)+$F2988*(T$324-T$325))</f>
        <v/>
      </c>
      <c r="U2988" s="35">
        <f>$D2988*($E2988*(U$321-U$322)+$F2988*(U$324-U$325))</f>
        <v/>
      </c>
      <c r="V2988" s="35">
        <f>$D2988*($E2988*(V$321-V$322)+$F2988*(V$324-V$325))</f>
        <v/>
      </c>
      <c r="W2988" s="35">
        <f>$D2988*($E2988*(W$321-W$322)+$F2988*(W$324-W$325))</f>
        <v/>
      </c>
      <c r="X2988" s="35">
        <f>$D2988*($E2988*(X$321-X$322)+$F2988*(X$324-X$325))</f>
        <v/>
      </c>
      <c r="Y2988" s="35">
        <f>$D2988*($E2988*(Y$321-Y$322)+$F2988*(Y$324-Y$325))</f>
        <v/>
      </c>
      <c r="Z2988" s="35">
        <f>$D2988*($E2988*(Z$321-Z$322)+$F2988*(Z$324-Z$325))</f>
        <v/>
      </c>
      <c r="AA2988" s="35">
        <f>$D2988*($E2988*(AA$321-AA$322)+$F2988*(AA$324-AA$325))</f>
        <v/>
      </c>
      <c r="AB2988" s="35">
        <f>$D2988*($E2988*(AB$321-AB$322)+$F2988*(AB$324-AB$325))</f>
        <v/>
      </c>
      <c r="AC2988" s="35">
        <f>$D2988*($E2988*(AC$321-AC$322)+$F2988*(AC$324-AC$325))</f>
        <v/>
      </c>
      <c r="AD2988" s="35">
        <f>$D2988*($E2988*(AD$321-AD$322)+$F2988*(AD$324-AD$325))</f>
        <v/>
      </c>
      <c r="AE2988" s="42">
        <f>XCARBON($D2988,$E2988,(AE$321-AE$322),$F2988,(AE$324-AE$325))</f>
        <v/>
      </c>
      <c r="AG2988" s="11">
        <f>CodePrefix&amp;$A2988&amp;IF($C2988="","","."&amp;$C2988&amp;"."&amp;$B2988)&amp;INDEX(VarEnd,MATCH($A2988,VarKey,0))&amp;AG$5</f>
        <v/>
      </c>
      <c r="AH2988" s="40">
        <f>$D2988*($E2988*(AH$321-AH$322)+$F2988*(AH$324-AH$325))</f>
        <v/>
      </c>
      <c r="AI2988" s="35">
        <f>$D2988*($E2988*(AI$321-AI$322)+$F2988*(AI$324-AI$325))</f>
        <v/>
      </c>
      <c r="AJ2988" s="35">
        <f>$D2988*($E2988*(AJ$321-AJ$322)+$F2988*(AJ$324-AJ$325))</f>
        <v/>
      </c>
      <c r="AK2988" s="35">
        <f>$D2988*($E2988*(AK$321-AK$322)+$F2988*(AK$324-AK$325))</f>
        <v/>
      </c>
      <c r="AL2988" s="35">
        <f>$D2988*($E2988*(AL$321-AL$322)+$F2988*(AL$324-AL$325))</f>
        <v/>
      </c>
      <c r="AM2988" s="35">
        <f>$D2988*($E2988*(AM$321-AM$322)+$F2988*(AM$324-AM$325))</f>
        <v/>
      </c>
      <c r="AN2988" s="35">
        <f>$D2988*($E2988*(AN$321-AN$322)+$F2988*(AN$324-AN$325))</f>
        <v/>
      </c>
      <c r="AO2988" s="35">
        <f>$D2988*($E2988*(AO$321-AO$322)+$F2988*(AO$324-AO$325))</f>
        <v/>
      </c>
      <c r="AP2988" s="35">
        <f>$D2988*($E2988*(AP$321-AP$322)+$F2988*(AP$324-AP$325))</f>
        <v/>
      </c>
      <c r="AQ2988" s="35">
        <f>$D2988*($E2988*(AQ$321-AQ$322)+$F2988*(AQ$324-AQ$325))</f>
        <v/>
      </c>
      <c r="AR2988" s="35">
        <f>$D2988*($E2988*(AR$321-AR$322)+$F2988*(AR$324-AR$325))</f>
        <v/>
      </c>
      <c r="AS2988" s="35">
        <f>$D2988*($E2988*(AS$321-AS$322)+$F2988*(AS$324-AS$325))</f>
        <v/>
      </c>
      <c r="AT2988" s="35">
        <f>$D2988*($E2988*(AT$321-AT$322)+$F2988*(AT$324-AT$325))</f>
        <v/>
      </c>
      <c r="AU2988" s="35">
        <f>$D2988*($E2988*(AU$321-AU$322)+$F2988*(AU$324-AU$325))</f>
        <v/>
      </c>
      <c r="AV2988" s="35">
        <f>$D2988*($E2988*(AV$321-AV$322)+$F2988*(AV$324-AV$325))</f>
        <v/>
      </c>
      <c r="AW2988" s="35">
        <f>$D2988*($E2988*(AW$321-AW$322)+$F2988*(AW$324-AW$325))</f>
        <v/>
      </c>
      <c r="AX2988" s="35">
        <f>$D2988*($E2988*(AX$321-AX$322)+$F2988*(AX$324-AX$325))</f>
        <v/>
      </c>
      <c r="AY2988" s="35">
        <f>$D2988*($E2988*(AY$321-AY$322)+$F2988*(AY$324-AY$325))</f>
        <v/>
      </c>
      <c r="AZ2988" s="35">
        <f>$D2988*($E2988*(AZ$321-AZ$322)+$F2988*(AZ$324-AZ$325))</f>
        <v/>
      </c>
      <c r="BA2988" s="42">
        <f>XCARBON($D2988,$E2988,(BA$321-BA$322),$F2988,(BA$324-BA$325))</f>
        <v/>
      </c>
    </row>
    <row r="2989" hidden="1" outlineLevel="2"/>
    <row r="2990" hidden="1" outlineLevel="2">
      <c r="A2990" s="14" t="inlineStr">
        <is>
          <t>atp</t>
        </is>
      </c>
      <c r="B2990" s="14" t="inlineStr">
        <is>
          <t>coa</t>
        </is>
      </c>
      <c r="C2990" s="14" t="inlineStr">
        <is>
          <t>oen</t>
        </is>
      </c>
      <c r="D2990" s="35">
        <f>INDEX(Inputs!$U$5:$U$132,MATCH($B2990&amp;"|"&amp;$C2990,Inputs!$A$5:$A$132,0))</f>
        <v/>
      </c>
      <c r="E2990" s="35">
        <f>INDEX(Inputs!$V$5:$V$132,MATCH($B2990&amp;"|"&amp;$C2990,Inputs!$A$5:$A$132,0))</f>
        <v/>
      </c>
      <c r="F2990" s="39" t="n"/>
      <c r="G2990" s="39" t="n"/>
      <c r="H2990" s="14">
        <f>INDEX(VarLab,MATCH($A2990,VarKey,0))&amp;INDEX(MemLab,MATCH($C2990&amp;"|"&amp;$B2990,MemKey,0))</f>
        <v/>
      </c>
      <c r="I2990" s="14">
        <f>INDEX(VarUnit,MATCH($A2990,VarKey,0))</f>
        <v/>
      </c>
      <c r="J2990" s="14">
        <f>INDEX(VarSrc,MATCH($A2990,VarKey,0))</f>
        <v/>
      </c>
      <c r="K2990" s="11">
        <f>CodePrefix&amp;$A2990&amp;IF($C2990="","","."&amp;$C2990&amp;"."&amp;$B2990)&amp;INDEX(VarEnd,MATCH($A2990,VarKey,0))&amp;K$5</f>
        <v/>
      </c>
      <c r="L2990" s="40">
        <f>MAX(INDEX(L$381:L$392,$D2990)+(L2963+L2981)*(1+$E2990),0.01)</f>
        <v/>
      </c>
      <c r="M2990" s="35">
        <f>MAX(INDEX(M$381:M$392,$D2990)+(M2963+M2981)*(1+$E2990),0.01)</f>
        <v/>
      </c>
      <c r="N2990" s="35">
        <f>MAX(INDEX(N$381:N$392,$D2990)+(N2963+N2981)*(1+$E2990),0.01)</f>
        <v/>
      </c>
      <c r="O2990" s="35">
        <f>MAX(INDEX(O$381:O$392,$D2990)+(O2963+O2981)*(1+$E2990),0.01)</f>
        <v/>
      </c>
      <c r="P2990" s="35">
        <f>MAX(INDEX(P$381:P$392,$D2990)+(P2963+P2981)*(1+$E2990),0.01)</f>
        <v/>
      </c>
      <c r="Q2990" s="35">
        <f>MAX(INDEX(Q$381:Q$392,$D2990)+(Q2963+Q2981)*(1+$E2990),0.01)</f>
        <v/>
      </c>
      <c r="R2990" s="35">
        <f>MAX(INDEX(R$381:R$392,$D2990)+(R2963+R2981)*(1+$E2990),0.01)</f>
        <v/>
      </c>
      <c r="S2990" s="35">
        <f>MAX(INDEX(S$381:S$392,$D2990)+(S2963+S2981)*(1+$E2990),0.01)</f>
        <v/>
      </c>
      <c r="T2990" s="35">
        <f>MAX(INDEX(T$381:T$392,$D2990)+(T2963+T2981)*(1+$E2990),0.01)</f>
        <v/>
      </c>
      <c r="U2990" s="35">
        <f>MAX(INDEX(U$381:U$392,$D2990)+(U2963+U2981)*(1+$E2990),0.01)</f>
        <v/>
      </c>
      <c r="V2990" s="35">
        <f>MAX(INDEX(V$381:V$392,$D2990)+(V2963+V2981)*(1+$E2990),0.01)</f>
        <v/>
      </c>
      <c r="W2990" s="35">
        <f>MAX(INDEX(W$381:W$392,$D2990)+(W2963+W2981)*(1+$E2990),0.01)</f>
        <v/>
      </c>
      <c r="X2990" s="35">
        <f>MAX(INDEX(X$381:X$392,$D2990)+(X2963+X2981)*(1+$E2990),0.01)</f>
        <v/>
      </c>
      <c r="Y2990" s="35">
        <f>MAX(INDEX(Y$381:Y$392,$D2990)+(Y2963+Y2981)*(1+$E2990),0.01)</f>
        <v/>
      </c>
      <c r="Z2990" s="35">
        <f>MAX(INDEX(Z$381:Z$392,$D2990)+(Z2963+Z2981)*(1+$E2990),0.01)</f>
        <v/>
      </c>
      <c r="AA2990" s="35">
        <f>MAX(INDEX(AA$381:AA$392,$D2990)+(AA2963+AA2981)*(1+$E2990),0.01)</f>
        <v/>
      </c>
      <c r="AB2990" s="35">
        <f>MAX(INDEX(AB$381:AB$392,$D2990)+(AB2963+AB2981)*(1+$E2990),0.01)</f>
        <v/>
      </c>
      <c r="AC2990" s="35">
        <f>MAX(INDEX(AC$381:AC$392,$D2990)+(AC2963+AC2981)*(1+$E2990),0.01)</f>
        <v/>
      </c>
      <c r="AD2990" s="35">
        <f>MAX(INDEX(AD$381:AD$392,$D2990)+(AD2963+AD2981)*(1+$E2990),0.01)</f>
        <v/>
      </c>
      <c r="AE2990" s="42">
        <f>POSTTAX(INDEX(AE$381:AE$392,$D2990),AE2963+AE2981,$E2990)</f>
        <v/>
      </c>
      <c r="AG2990" s="11">
        <f>CodePrefix&amp;$A2990&amp;IF($C2990="","","."&amp;$C2990&amp;"."&amp;$B2990)&amp;INDEX(VarEnd,MATCH($A2990,VarKey,0))&amp;AG$5</f>
        <v/>
      </c>
      <c r="AH2990" s="40">
        <f>MAX(INDEX(AH$381:AH$392,$D2990)+(AH2963+AH2981)*(1+$E2990),0.01)</f>
        <v/>
      </c>
      <c r="AI2990" s="35">
        <f>MAX(INDEX(AI$381:AI$392,$D2990)+(AI2963+AI2981)*(1+$E2990),0.01)</f>
        <v/>
      </c>
      <c r="AJ2990" s="35">
        <f>MAX(INDEX(AJ$381:AJ$392,$D2990)+(AJ2963+AJ2981)*(1+$E2990),0.01)</f>
        <v/>
      </c>
      <c r="AK2990" s="35">
        <f>MAX(INDEX(AK$381:AK$392,$D2990)+(AK2963+AK2981)*(1+$E2990),0.01)</f>
        <v/>
      </c>
      <c r="AL2990" s="35">
        <f>MAX(INDEX(AL$381:AL$392,$D2990)+(AL2963+AL2981)*(1+$E2990),0.01)</f>
        <v/>
      </c>
      <c r="AM2990" s="35">
        <f>MAX(INDEX(AM$381:AM$392,$D2990)+(AM2963+AM2981)*(1+$E2990),0.01)</f>
        <v/>
      </c>
      <c r="AN2990" s="35">
        <f>MAX(INDEX(AN$381:AN$392,$D2990)+(AN2963+AN2981)*(1+$E2990),0.01)</f>
        <v/>
      </c>
      <c r="AO2990" s="35">
        <f>MAX(INDEX(AO$381:AO$392,$D2990)+(AO2963+AO2981)*(1+$E2990),0.01)</f>
        <v/>
      </c>
      <c r="AP2990" s="35">
        <f>MAX(INDEX(AP$381:AP$392,$D2990)+(AP2963+AP2981)*(1+$E2990),0.01)</f>
        <v/>
      </c>
      <c r="AQ2990" s="35">
        <f>MAX(INDEX(AQ$381:AQ$392,$D2990)+(AQ2963+AQ2981)*(1+$E2990),0.01)</f>
        <v/>
      </c>
      <c r="AR2990" s="35">
        <f>MAX(INDEX(AR$381:AR$392,$D2990)+(AR2963+AR2981)*(1+$E2990),0.01)</f>
        <v/>
      </c>
      <c r="AS2990" s="35">
        <f>MAX(INDEX(AS$381:AS$392,$D2990)+(AS2963+AS2981)*(1+$E2990),0.01)</f>
        <v/>
      </c>
      <c r="AT2990" s="35">
        <f>MAX(INDEX(AT$381:AT$392,$D2990)+(AT2963+AT2981)*(1+$E2990),0.01)</f>
        <v/>
      </c>
      <c r="AU2990" s="35">
        <f>MAX(INDEX(AU$381:AU$392,$D2990)+(AU2963+AU2981)*(1+$E2990),0.01)</f>
        <v/>
      </c>
      <c r="AV2990" s="35">
        <f>MAX(INDEX(AV$381:AV$392,$D2990)+(AV2963+AV2981)*(1+$E2990),0.01)</f>
        <v/>
      </c>
      <c r="AW2990" s="35">
        <f>MAX(INDEX(AW$381:AW$392,$D2990)+(AW2963+AW2981)*(1+$E2990),0.01)</f>
        <v/>
      </c>
      <c r="AX2990" s="35">
        <f>MAX(INDEX(AX$381:AX$392,$D2990)+(AX2963+AX2981)*(1+$E2990),0.01)</f>
        <v/>
      </c>
      <c r="AY2990" s="35">
        <f>MAX(INDEX(AY$381:AY$392,$D2990)+(AY2963+AY2981)*(1+$E2990),0.01)</f>
        <v/>
      </c>
      <c r="AZ2990" s="35">
        <f>MAX(INDEX(AZ$381:AZ$392,$D2990)+(AZ2963+AZ2981)*(1+$E2990),0.01)</f>
        <v/>
      </c>
      <c r="BA2990" s="42">
        <f>POSTTAX(INDEX(BA$381:BA$392,$D2990),BA2963+BA2981,$E2990)</f>
        <v/>
      </c>
    </row>
    <row r="2991" hidden="1" outlineLevel="2">
      <c r="A2991" s="14" t="inlineStr">
        <is>
          <t>atp</t>
        </is>
      </c>
      <c r="B2991" s="14" t="inlineStr">
        <is>
          <t>nga</t>
        </is>
      </c>
      <c r="C2991" s="14" t="inlineStr">
        <is>
          <t>oen</t>
        </is>
      </c>
      <c r="D2991" s="35">
        <f>INDEX(Inputs!$U$5:$U$132,MATCH($B2991&amp;"|"&amp;$C2991,Inputs!$A$5:$A$132,0))</f>
        <v/>
      </c>
      <c r="E2991" s="35">
        <f>INDEX(Inputs!$V$5:$V$132,MATCH($B2991&amp;"|"&amp;$C2991,Inputs!$A$5:$A$132,0))</f>
        <v/>
      </c>
      <c r="F2991" s="39" t="n"/>
      <c r="G2991" s="39" t="n"/>
      <c r="H2991" s="14">
        <f>INDEX(VarLab,MATCH($A2991,VarKey,0))&amp;INDEX(MemLab,MATCH($C2991&amp;"|"&amp;$B2991,MemKey,0))</f>
        <v/>
      </c>
      <c r="I2991" s="14">
        <f>INDEX(VarUnit,MATCH($A2991,VarKey,0))</f>
        <v/>
      </c>
      <c r="J2991" s="14">
        <f>INDEX(VarSrc,MATCH($A2991,VarKey,0))</f>
        <v/>
      </c>
      <c r="K2991" s="11">
        <f>CodePrefix&amp;$A2991&amp;IF($C2991="","","."&amp;$C2991&amp;"."&amp;$B2991)&amp;INDEX(VarEnd,MATCH($A2991,VarKey,0))&amp;K$5</f>
        <v/>
      </c>
      <c r="L2991" s="40">
        <f>MAX(INDEX(L$381:L$392,$D2991)+(L2964+L2982)*(1+$E2991),0.01)</f>
        <v/>
      </c>
      <c r="M2991" s="35">
        <f>MAX(INDEX(M$381:M$392,$D2991)+(M2964+M2982)*(1+$E2991),0.01)</f>
        <v/>
      </c>
      <c r="N2991" s="35">
        <f>MAX(INDEX(N$381:N$392,$D2991)+(N2964+N2982)*(1+$E2991),0.01)</f>
        <v/>
      </c>
      <c r="O2991" s="35">
        <f>MAX(INDEX(O$381:O$392,$D2991)+(O2964+O2982)*(1+$E2991),0.01)</f>
        <v/>
      </c>
      <c r="P2991" s="35">
        <f>MAX(INDEX(P$381:P$392,$D2991)+(P2964+P2982)*(1+$E2991),0.01)</f>
        <v/>
      </c>
      <c r="Q2991" s="35">
        <f>MAX(INDEX(Q$381:Q$392,$D2991)+(Q2964+Q2982)*(1+$E2991),0.01)</f>
        <v/>
      </c>
      <c r="R2991" s="35">
        <f>MAX(INDEX(R$381:R$392,$D2991)+(R2964+R2982)*(1+$E2991),0.01)</f>
        <v/>
      </c>
      <c r="S2991" s="35">
        <f>MAX(INDEX(S$381:S$392,$D2991)+(S2964+S2982)*(1+$E2991),0.01)</f>
        <v/>
      </c>
      <c r="T2991" s="35">
        <f>MAX(INDEX(T$381:T$392,$D2991)+(T2964+T2982)*(1+$E2991),0.01)</f>
        <v/>
      </c>
      <c r="U2991" s="35">
        <f>MAX(INDEX(U$381:U$392,$D2991)+(U2964+U2982)*(1+$E2991),0.01)</f>
        <v/>
      </c>
      <c r="V2991" s="35">
        <f>MAX(INDEX(V$381:V$392,$D2991)+(V2964+V2982)*(1+$E2991),0.01)</f>
        <v/>
      </c>
      <c r="W2991" s="35">
        <f>MAX(INDEX(W$381:W$392,$D2991)+(W2964+W2982)*(1+$E2991),0.01)</f>
        <v/>
      </c>
      <c r="X2991" s="35">
        <f>MAX(INDEX(X$381:X$392,$D2991)+(X2964+X2982)*(1+$E2991),0.01)</f>
        <v/>
      </c>
      <c r="Y2991" s="35">
        <f>MAX(INDEX(Y$381:Y$392,$D2991)+(Y2964+Y2982)*(1+$E2991),0.01)</f>
        <v/>
      </c>
      <c r="Z2991" s="35">
        <f>MAX(INDEX(Z$381:Z$392,$D2991)+(Z2964+Z2982)*(1+$E2991),0.01)</f>
        <v/>
      </c>
      <c r="AA2991" s="35">
        <f>MAX(INDEX(AA$381:AA$392,$D2991)+(AA2964+AA2982)*(1+$E2991),0.01)</f>
        <v/>
      </c>
      <c r="AB2991" s="35">
        <f>MAX(INDEX(AB$381:AB$392,$D2991)+(AB2964+AB2982)*(1+$E2991),0.01)</f>
        <v/>
      </c>
      <c r="AC2991" s="35">
        <f>MAX(INDEX(AC$381:AC$392,$D2991)+(AC2964+AC2982)*(1+$E2991),0.01)</f>
        <v/>
      </c>
      <c r="AD2991" s="35">
        <f>MAX(INDEX(AD$381:AD$392,$D2991)+(AD2964+AD2982)*(1+$E2991),0.01)</f>
        <v/>
      </c>
      <c r="AE2991" s="42">
        <f>POSTTAX(INDEX(AE$381:AE$392,$D2991),AE2964+AE2982,$E2991)</f>
        <v/>
      </c>
      <c r="AG2991" s="11">
        <f>CodePrefix&amp;$A2991&amp;IF($C2991="","","."&amp;$C2991&amp;"."&amp;$B2991)&amp;INDEX(VarEnd,MATCH($A2991,VarKey,0))&amp;AG$5</f>
        <v/>
      </c>
      <c r="AH2991" s="40">
        <f>MAX(INDEX(AH$381:AH$392,$D2991)+(AH2964+AH2982)*(1+$E2991),0.01)</f>
        <v/>
      </c>
      <c r="AI2991" s="35">
        <f>MAX(INDEX(AI$381:AI$392,$D2991)+(AI2964+AI2982)*(1+$E2991),0.01)</f>
        <v/>
      </c>
      <c r="AJ2991" s="35">
        <f>MAX(INDEX(AJ$381:AJ$392,$D2991)+(AJ2964+AJ2982)*(1+$E2991),0.01)</f>
        <v/>
      </c>
      <c r="AK2991" s="35">
        <f>MAX(INDEX(AK$381:AK$392,$D2991)+(AK2964+AK2982)*(1+$E2991),0.01)</f>
        <v/>
      </c>
      <c r="AL2991" s="35">
        <f>MAX(INDEX(AL$381:AL$392,$D2991)+(AL2964+AL2982)*(1+$E2991),0.01)</f>
        <v/>
      </c>
      <c r="AM2991" s="35">
        <f>MAX(INDEX(AM$381:AM$392,$D2991)+(AM2964+AM2982)*(1+$E2991),0.01)</f>
        <v/>
      </c>
      <c r="AN2991" s="35">
        <f>MAX(INDEX(AN$381:AN$392,$D2991)+(AN2964+AN2982)*(1+$E2991),0.01)</f>
        <v/>
      </c>
      <c r="AO2991" s="35">
        <f>MAX(INDEX(AO$381:AO$392,$D2991)+(AO2964+AO2982)*(1+$E2991),0.01)</f>
        <v/>
      </c>
      <c r="AP2991" s="35">
        <f>MAX(INDEX(AP$381:AP$392,$D2991)+(AP2964+AP2982)*(1+$E2991),0.01)</f>
        <v/>
      </c>
      <c r="AQ2991" s="35">
        <f>MAX(INDEX(AQ$381:AQ$392,$D2991)+(AQ2964+AQ2982)*(1+$E2991),0.01)</f>
        <v/>
      </c>
      <c r="AR2991" s="35">
        <f>MAX(INDEX(AR$381:AR$392,$D2991)+(AR2964+AR2982)*(1+$E2991),0.01)</f>
        <v/>
      </c>
      <c r="AS2991" s="35">
        <f>MAX(INDEX(AS$381:AS$392,$D2991)+(AS2964+AS2982)*(1+$E2991),0.01)</f>
        <v/>
      </c>
      <c r="AT2991" s="35">
        <f>MAX(INDEX(AT$381:AT$392,$D2991)+(AT2964+AT2982)*(1+$E2991),0.01)</f>
        <v/>
      </c>
      <c r="AU2991" s="35">
        <f>MAX(INDEX(AU$381:AU$392,$D2991)+(AU2964+AU2982)*(1+$E2991),0.01)</f>
        <v/>
      </c>
      <c r="AV2991" s="35">
        <f>MAX(INDEX(AV$381:AV$392,$D2991)+(AV2964+AV2982)*(1+$E2991),0.01)</f>
        <v/>
      </c>
      <c r="AW2991" s="35">
        <f>MAX(INDEX(AW$381:AW$392,$D2991)+(AW2964+AW2982)*(1+$E2991),0.01)</f>
        <v/>
      </c>
      <c r="AX2991" s="35">
        <f>MAX(INDEX(AX$381:AX$392,$D2991)+(AX2964+AX2982)*(1+$E2991),0.01)</f>
        <v/>
      </c>
      <c r="AY2991" s="35">
        <f>MAX(INDEX(AY$381:AY$392,$D2991)+(AY2964+AY2982)*(1+$E2991),0.01)</f>
        <v/>
      </c>
      <c r="AZ2991" s="35">
        <f>MAX(INDEX(AZ$381:AZ$392,$D2991)+(AZ2964+AZ2982)*(1+$E2991),0.01)</f>
        <v/>
      </c>
      <c r="BA2991" s="42">
        <f>POSTTAX(INDEX(BA$381:BA$392,$D2991),BA2964+BA2982,$E2991)</f>
        <v/>
      </c>
    </row>
    <row r="2992" hidden="1" outlineLevel="2">
      <c r="A2992" s="14" t="inlineStr">
        <is>
          <t>atp</t>
        </is>
      </c>
      <c r="B2992" s="14" t="inlineStr">
        <is>
          <t>gso</t>
        </is>
      </c>
      <c r="C2992" s="14" t="inlineStr">
        <is>
          <t>oen</t>
        </is>
      </c>
      <c r="D2992" s="35">
        <f>INDEX(Inputs!$U$5:$U$132,MATCH($B2992&amp;"|"&amp;$C2992,Inputs!$A$5:$A$132,0))</f>
        <v/>
      </c>
      <c r="E2992" s="35">
        <f>INDEX(Inputs!$V$5:$V$132,MATCH($B2992&amp;"|"&amp;$C2992,Inputs!$A$5:$A$132,0))</f>
        <v/>
      </c>
      <c r="F2992" s="39" t="n"/>
      <c r="G2992" s="39" t="n"/>
      <c r="H2992" s="14">
        <f>INDEX(VarLab,MATCH($A2992,VarKey,0))&amp;INDEX(MemLab,MATCH($C2992&amp;"|"&amp;$B2992,MemKey,0))</f>
        <v/>
      </c>
      <c r="I2992" s="14">
        <f>INDEX(VarUnit,MATCH($A2992,VarKey,0))</f>
        <v/>
      </c>
      <c r="J2992" s="14">
        <f>INDEX(VarSrc,MATCH($A2992,VarKey,0))</f>
        <v/>
      </c>
      <c r="K2992" s="11">
        <f>CodePrefix&amp;$A2992&amp;IF($C2992="","","."&amp;$C2992&amp;"."&amp;$B2992)&amp;INDEX(VarEnd,MATCH($A2992,VarKey,0))&amp;K$5</f>
        <v/>
      </c>
      <c r="L2992" s="40">
        <f>MAX(INDEX(L$381:L$392,$D2992)+(L2965+L2983)*(1+$E2992),0.01)</f>
        <v/>
      </c>
      <c r="M2992" s="35">
        <f>MAX(INDEX(M$381:M$392,$D2992)+(M2965+M2983)*(1+$E2992),0.01)</f>
        <v/>
      </c>
      <c r="N2992" s="35">
        <f>MAX(INDEX(N$381:N$392,$D2992)+(N2965+N2983)*(1+$E2992),0.01)</f>
        <v/>
      </c>
      <c r="O2992" s="35">
        <f>MAX(INDEX(O$381:O$392,$D2992)+(O2965+O2983)*(1+$E2992),0.01)</f>
        <v/>
      </c>
      <c r="P2992" s="35">
        <f>MAX(INDEX(P$381:P$392,$D2992)+(P2965+P2983)*(1+$E2992),0.01)</f>
        <v/>
      </c>
      <c r="Q2992" s="35">
        <f>MAX(INDEX(Q$381:Q$392,$D2992)+(Q2965+Q2983)*(1+$E2992),0.01)</f>
        <v/>
      </c>
      <c r="R2992" s="35">
        <f>MAX(INDEX(R$381:R$392,$D2992)+(R2965+R2983)*(1+$E2992),0.01)</f>
        <v/>
      </c>
      <c r="S2992" s="35">
        <f>MAX(INDEX(S$381:S$392,$D2992)+(S2965+S2983)*(1+$E2992),0.01)</f>
        <v/>
      </c>
      <c r="T2992" s="35">
        <f>MAX(INDEX(T$381:T$392,$D2992)+(T2965+T2983)*(1+$E2992),0.01)</f>
        <v/>
      </c>
      <c r="U2992" s="35">
        <f>MAX(INDEX(U$381:U$392,$D2992)+(U2965+U2983)*(1+$E2992),0.01)</f>
        <v/>
      </c>
      <c r="V2992" s="35">
        <f>MAX(INDEX(V$381:V$392,$D2992)+(V2965+V2983)*(1+$E2992),0.01)</f>
        <v/>
      </c>
      <c r="W2992" s="35">
        <f>MAX(INDEX(W$381:W$392,$D2992)+(W2965+W2983)*(1+$E2992),0.01)</f>
        <v/>
      </c>
      <c r="X2992" s="35">
        <f>MAX(INDEX(X$381:X$392,$D2992)+(X2965+X2983)*(1+$E2992),0.01)</f>
        <v/>
      </c>
      <c r="Y2992" s="35">
        <f>MAX(INDEX(Y$381:Y$392,$D2992)+(Y2965+Y2983)*(1+$E2992),0.01)</f>
        <v/>
      </c>
      <c r="Z2992" s="35">
        <f>MAX(INDEX(Z$381:Z$392,$D2992)+(Z2965+Z2983)*(1+$E2992),0.01)</f>
        <v/>
      </c>
      <c r="AA2992" s="35">
        <f>MAX(INDEX(AA$381:AA$392,$D2992)+(AA2965+AA2983)*(1+$E2992),0.01)</f>
        <v/>
      </c>
      <c r="AB2992" s="35">
        <f>MAX(INDEX(AB$381:AB$392,$D2992)+(AB2965+AB2983)*(1+$E2992),0.01)</f>
        <v/>
      </c>
      <c r="AC2992" s="35">
        <f>MAX(INDEX(AC$381:AC$392,$D2992)+(AC2965+AC2983)*(1+$E2992),0.01)</f>
        <v/>
      </c>
      <c r="AD2992" s="35">
        <f>MAX(INDEX(AD$381:AD$392,$D2992)+(AD2965+AD2983)*(1+$E2992),0.01)</f>
        <v/>
      </c>
      <c r="AE2992" s="42">
        <f>POSTTAX(INDEX(AE$381:AE$392,$D2992),AE2965+AE2983,$E2992)</f>
        <v/>
      </c>
      <c r="AG2992" s="11">
        <f>CodePrefix&amp;$A2992&amp;IF($C2992="","","."&amp;$C2992&amp;"."&amp;$B2992)&amp;INDEX(VarEnd,MATCH($A2992,VarKey,0))&amp;AG$5</f>
        <v/>
      </c>
      <c r="AH2992" s="40">
        <f>MAX(INDEX(AH$381:AH$392,$D2992)+(AH2965+AH2983)*(1+$E2992),0.01)</f>
        <v/>
      </c>
      <c r="AI2992" s="35">
        <f>MAX(INDEX(AI$381:AI$392,$D2992)+(AI2965+AI2983)*(1+$E2992),0.01)</f>
        <v/>
      </c>
      <c r="AJ2992" s="35">
        <f>MAX(INDEX(AJ$381:AJ$392,$D2992)+(AJ2965+AJ2983)*(1+$E2992),0.01)</f>
        <v/>
      </c>
      <c r="AK2992" s="35">
        <f>MAX(INDEX(AK$381:AK$392,$D2992)+(AK2965+AK2983)*(1+$E2992),0.01)</f>
        <v/>
      </c>
      <c r="AL2992" s="35">
        <f>MAX(INDEX(AL$381:AL$392,$D2992)+(AL2965+AL2983)*(1+$E2992),0.01)</f>
        <v/>
      </c>
      <c r="AM2992" s="35">
        <f>MAX(INDEX(AM$381:AM$392,$D2992)+(AM2965+AM2983)*(1+$E2992),0.01)</f>
        <v/>
      </c>
      <c r="AN2992" s="35">
        <f>MAX(INDEX(AN$381:AN$392,$D2992)+(AN2965+AN2983)*(1+$E2992),0.01)</f>
        <v/>
      </c>
      <c r="AO2992" s="35">
        <f>MAX(INDEX(AO$381:AO$392,$D2992)+(AO2965+AO2983)*(1+$E2992),0.01)</f>
        <v/>
      </c>
      <c r="AP2992" s="35">
        <f>MAX(INDEX(AP$381:AP$392,$D2992)+(AP2965+AP2983)*(1+$E2992),0.01)</f>
        <v/>
      </c>
      <c r="AQ2992" s="35">
        <f>MAX(INDEX(AQ$381:AQ$392,$D2992)+(AQ2965+AQ2983)*(1+$E2992),0.01)</f>
        <v/>
      </c>
      <c r="AR2992" s="35">
        <f>MAX(INDEX(AR$381:AR$392,$D2992)+(AR2965+AR2983)*(1+$E2992),0.01)</f>
        <v/>
      </c>
      <c r="AS2992" s="35">
        <f>MAX(INDEX(AS$381:AS$392,$D2992)+(AS2965+AS2983)*(1+$E2992),0.01)</f>
        <v/>
      </c>
      <c r="AT2992" s="35">
        <f>MAX(INDEX(AT$381:AT$392,$D2992)+(AT2965+AT2983)*(1+$E2992),0.01)</f>
        <v/>
      </c>
      <c r="AU2992" s="35">
        <f>MAX(INDEX(AU$381:AU$392,$D2992)+(AU2965+AU2983)*(1+$E2992),0.01)</f>
        <v/>
      </c>
      <c r="AV2992" s="35">
        <f>MAX(INDEX(AV$381:AV$392,$D2992)+(AV2965+AV2983)*(1+$E2992),0.01)</f>
        <v/>
      </c>
      <c r="AW2992" s="35">
        <f>MAX(INDEX(AW$381:AW$392,$D2992)+(AW2965+AW2983)*(1+$E2992),0.01)</f>
        <v/>
      </c>
      <c r="AX2992" s="35">
        <f>MAX(INDEX(AX$381:AX$392,$D2992)+(AX2965+AX2983)*(1+$E2992),0.01)</f>
        <v/>
      </c>
      <c r="AY2992" s="35">
        <f>MAX(INDEX(AY$381:AY$392,$D2992)+(AY2965+AY2983)*(1+$E2992),0.01)</f>
        <v/>
      </c>
      <c r="AZ2992" s="35">
        <f>MAX(INDEX(AZ$381:AZ$392,$D2992)+(AZ2965+AZ2983)*(1+$E2992),0.01)</f>
        <v/>
      </c>
      <c r="BA2992" s="42">
        <f>POSTTAX(INDEX(BA$381:BA$392,$D2992),BA2965+BA2983,$E2992)</f>
        <v/>
      </c>
    </row>
    <row r="2993" hidden="1" outlineLevel="2">
      <c r="A2993" s="14" t="inlineStr">
        <is>
          <t>atp</t>
        </is>
      </c>
      <c r="B2993" s="14" t="inlineStr">
        <is>
          <t>die</t>
        </is>
      </c>
      <c r="C2993" s="14" t="inlineStr">
        <is>
          <t>oen</t>
        </is>
      </c>
      <c r="D2993" s="35">
        <f>INDEX(Inputs!$U$5:$U$132,MATCH($B2993&amp;"|"&amp;$C2993,Inputs!$A$5:$A$132,0))</f>
        <v/>
      </c>
      <c r="E2993" s="35">
        <f>INDEX(Inputs!$V$5:$V$132,MATCH($B2993&amp;"|"&amp;$C2993,Inputs!$A$5:$A$132,0))</f>
        <v/>
      </c>
      <c r="F2993" s="39" t="n"/>
      <c r="G2993" s="39" t="n"/>
      <c r="H2993" s="14">
        <f>INDEX(VarLab,MATCH($A2993,VarKey,0))&amp;INDEX(MemLab,MATCH($C2993&amp;"|"&amp;$B2993,MemKey,0))</f>
        <v/>
      </c>
      <c r="I2993" s="14">
        <f>INDEX(VarUnit,MATCH($A2993,VarKey,0))</f>
        <v/>
      </c>
      <c r="J2993" s="14">
        <f>INDEX(VarSrc,MATCH($A2993,VarKey,0))</f>
        <v/>
      </c>
      <c r="K2993" s="11">
        <f>CodePrefix&amp;$A2993&amp;IF($C2993="","","."&amp;$C2993&amp;"."&amp;$B2993)&amp;INDEX(VarEnd,MATCH($A2993,VarKey,0))&amp;K$5</f>
        <v/>
      </c>
      <c r="L2993" s="40">
        <f>MAX(INDEX(L$381:L$392,$D2993)+(L2966+L2984)*(1+$E2993),0.01)</f>
        <v/>
      </c>
      <c r="M2993" s="35">
        <f>MAX(INDEX(M$381:M$392,$D2993)+(M2966+M2984)*(1+$E2993),0.01)</f>
        <v/>
      </c>
      <c r="N2993" s="35">
        <f>MAX(INDEX(N$381:N$392,$D2993)+(N2966+N2984)*(1+$E2993),0.01)</f>
        <v/>
      </c>
      <c r="O2993" s="35">
        <f>MAX(INDEX(O$381:O$392,$D2993)+(O2966+O2984)*(1+$E2993),0.01)</f>
        <v/>
      </c>
      <c r="P2993" s="35">
        <f>MAX(INDEX(P$381:P$392,$D2993)+(P2966+P2984)*(1+$E2993),0.01)</f>
        <v/>
      </c>
      <c r="Q2993" s="35">
        <f>MAX(INDEX(Q$381:Q$392,$D2993)+(Q2966+Q2984)*(1+$E2993),0.01)</f>
        <v/>
      </c>
      <c r="R2993" s="35">
        <f>MAX(INDEX(R$381:R$392,$D2993)+(R2966+R2984)*(1+$E2993),0.01)</f>
        <v/>
      </c>
      <c r="S2993" s="35">
        <f>MAX(INDEX(S$381:S$392,$D2993)+(S2966+S2984)*(1+$E2993),0.01)</f>
        <v/>
      </c>
      <c r="T2993" s="35">
        <f>MAX(INDEX(T$381:T$392,$D2993)+(T2966+T2984)*(1+$E2993),0.01)</f>
        <v/>
      </c>
      <c r="U2993" s="35">
        <f>MAX(INDEX(U$381:U$392,$D2993)+(U2966+U2984)*(1+$E2993),0.01)</f>
        <v/>
      </c>
      <c r="V2993" s="35">
        <f>MAX(INDEX(V$381:V$392,$D2993)+(V2966+V2984)*(1+$E2993),0.01)</f>
        <v/>
      </c>
      <c r="W2993" s="35">
        <f>MAX(INDEX(W$381:W$392,$D2993)+(W2966+W2984)*(1+$E2993),0.01)</f>
        <v/>
      </c>
      <c r="X2993" s="35">
        <f>MAX(INDEX(X$381:X$392,$D2993)+(X2966+X2984)*(1+$E2993),0.01)</f>
        <v/>
      </c>
      <c r="Y2993" s="35">
        <f>MAX(INDEX(Y$381:Y$392,$D2993)+(Y2966+Y2984)*(1+$E2993),0.01)</f>
        <v/>
      </c>
      <c r="Z2993" s="35">
        <f>MAX(INDEX(Z$381:Z$392,$D2993)+(Z2966+Z2984)*(1+$E2993),0.01)</f>
        <v/>
      </c>
      <c r="AA2993" s="35">
        <f>MAX(INDEX(AA$381:AA$392,$D2993)+(AA2966+AA2984)*(1+$E2993),0.01)</f>
        <v/>
      </c>
      <c r="AB2993" s="35">
        <f>MAX(INDEX(AB$381:AB$392,$D2993)+(AB2966+AB2984)*(1+$E2993),0.01)</f>
        <v/>
      </c>
      <c r="AC2993" s="35">
        <f>MAX(INDEX(AC$381:AC$392,$D2993)+(AC2966+AC2984)*(1+$E2993),0.01)</f>
        <v/>
      </c>
      <c r="AD2993" s="35">
        <f>MAX(INDEX(AD$381:AD$392,$D2993)+(AD2966+AD2984)*(1+$E2993),0.01)</f>
        <v/>
      </c>
      <c r="AE2993" s="42">
        <f>POSTTAX(INDEX(AE$381:AE$392,$D2993),AE2966+AE2984,$E2993)</f>
        <v/>
      </c>
      <c r="AG2993" s="11">
        <f>CodePrefix&amp;$A2993&amp;IF($C2993="","","."&amp;$C2993&amp;"."&amp;$B2993)&amp;INDEX(VarEnd,MATCH($A2993,VarKey,0))&amp;AG$5</f>
        <v/>
      </c>
      <c r="AH2993" s="40">
        <f>MAX(INDEX(AH$381:AH$392,$D2993)+(AH2966+AH2984)*(1+$E2993),0.01)</f>
        <v/>
      </c>
      <c r="AI2993" s="35">
        <f>MAX(INDEX(AI$381:AI$392,$D2993)+(AI2966+AI2984)*(1+$E2993),0.01)</f>
        <v/>
      </c>
      <c r="AJ2993" s="35">
        <f>MAX(INDEX(AJ$381:AJ$392,$D2993)+(AJ2966+AJ2984)*(1+$E2993),0.01)</f>
        <v/>
      </c>
      <c r="AK2993" s="35">
        <f>MAX(INDEX(AK$381:AK$392,$D2993)+(AK2966+AK2984)*(1+$E2993),0.01)</f>
        <v/>
      </c>
      <c r="AL2993" s="35">
        <f>MAX(INDEX(AL$381:AL$392,$D2993)+(AL2966+AL2984)*(1+$E2993),0.01)</f>
        <v/>
      </c>
      <c r="AM2993" s="35">
        <f>MAX(INDEX(AM$381:AM$392,$D2993)+(AM2966+AM2984)*(1+$E2993),0.01)</f>
        <v/>
      </c>
      <c r="AN2993" s="35">
        <f>MAX(INDEX(AN$381:AN$392,$D2993)+(AN2966+AN2984)*(1+$E2993),0.01)</f>
        <v/>
      </c>
      <c r="AO2993" s="35">
        <f>MAX(INDEX(AO$381:AO$392,$D2993)+(AO2966+AO2984)*(1+$E2993),0.01)</f>
        <v/>
      </c>
      <c r="AP2993" s="35">
        <f>MAX(INDEX(AP$381:AP$392,$D2993)+(AP2966+AP2984)*(1+$E2993),0.01)</f>
        <v/>
      </c>
      <c r="AQ2993" s="35">
        <f>MAX(INDEX(AQ$381:AQ$392,$D2993)+(AQ2966+AQ2984)*(1+$E2993),0.01)</f>
        <v/>
      </c>
      <c r="AR2993" s="35">
        <f>MAX(INDEX(AR$381:AR$392,$D2993)+(AR2966+AR2984)*(1+$E2993),0.01)</f>
        <v/>
      </c>
      <c r="AS2993" s="35">
        <f>MAX(INDEX(AS$381:AS$392,$D2993)+(AS2966+AS2984)*(1+$E2993),0.01)</f>
        <v/>
      </c>
      <c r="AT2993" s="35">
        <f>MAX(INDEX(AT$381:AT$392,$D2993)+(AT2966+AT2984)*(1+$E2993),0.01)</f>
        <v/>
      </c>
      <c r="AU2993" s="35">
        <f>MAX(INDEX(AU$381:AU$392,$D2993)+(AU2966+AU2984)*(1+$E2993),0.01)</f>
        <v/>
      </c>
      <c r="AV2993" s="35">
        <f>MAX(INDEX(AV$381:AV$392,$D2993)+(AV2966+AV2984)*(1+$E2993),0.01)</f>
        <v/>
      </c>
      <c r="AW2993" s="35">
        <f>MAX(INDEX(AW$381:AW$392,$D2993)+(AW2966+AW2984)*(1+$E2993),0.01)</f>
        <v/>
      </c>
      <c r="AX2993" s="35">
        <f>MAX(INDEX(AX$381:AX$392,$D2993)+(AX2966+AX2984)*(1+$E2993),0.01)</f>
        <v/>
      </c>
      <c r="AY2993" s="35">
        <f>MAX(INDEX(AY$381:AY$392,$D2993)+(AY2966+AY2984)*(1+$E2993),0.01)</f>
        <v/>
      </c>
      <c r="AZ2993" s="35">
        <f>MAX(INDEX(AZ$381:AZ$392,$D2993)+(AZ2966+AZ2984)*(1+$E2993),0.01)</f>
        <v/>
      </c>
      <c r="BA2993" s="42">
        <f>POSTTAX(INDEX(BA$381:BA$392,$D2993),BA2966+BA2984,$E2993)</f>
        <v/>
      </c>
    </row>
    <row r="2994" hidden="1" outlineLevel="2">
      <c r="A2994" s="14" t="inlineStr">
        <is>
          <t>atp</t>
        </is>
      </c>
      <c r="B2994" s="14" t="inlineStr">
        <is>
          <t>lpg</t>
        </is>
      </c>
      <c r="C2994" s="14" t="inlineStr">
        <is>
          <t>oen</t>
        </is>
      </c>
      <c r="D2994" s="35">
        <f>INDEX(Inputs!$U$5:$U$132,MATCH($B2994&amp;"|"&amp;$C2994,Inputs!$A$5:$A$132,0))</f>
        <v/>
      </c>
      <c r="E2994" s="35">
        <f>INDEX(Inputs!$V$5:$V$132,MATCH($B2994&amp;"|"&amp;$C2994,Inputs!$A$5:$A$132,0))</f>
        <v/>
      </c>
      <c r="F2994" s="39" t="n"/>
      <c r="G2994" s="39" t="n"/>
      <c r="H2994" s="14">
        <f>INDEX(VarLab,MATCH($A2994,VarKey,0))&amp;INDEX(MemLab,MATCH($C2994&amp;"|"&amp;$B2994,MemKey,0))</f>
        <v/>
      </c>
      <c r="I2994" s="14">
        <f>INDEX(VarUnit,MATCH($A2994,VarKey,0))</f>
        <v/>
      </c>
      <c r="J2994" s="14">
        <f>INDEX(VarSrc,MATCH($A2994,VarKey,0))</f>
        <v/>
      </c>
      <c r="K2994" s="11">
        <f>CodePrefix&amp;$A2994&amp;IF($C2994="","","."&amp;$C2994&amp;"."&amp;$B2994)&amp;INDEX(VarEnd,MATCH($A2994,VarKey,0))&amp;K$5</f>
        <v/>
      </c>
      <c r="L2994" s="40">
        <f>MAX(INDEX(L$381:L$392,$D2994)+(L2967+L2985)*(1+$E2994),0.01)</f>
        <v/>
      </c>
      <c r="M2994" s="35">
        <f>MAX(INDEX(M$381:M$392,$D2994)+(M2967+M2985)*(1+$E2994),0.01)</f>
        <v/>
      </c>
      <c r="N2994" s="35">
        <f>MAX(INDEX(N$381:N$392,$D2994)+(N2967+N2985)*(1+$E2994),0.01)</f>
        <v/>
      </c>
      <c r="O2994" s="35">
        <f>MAX(INDEX(O$381:O$392,$D2994)+(O2967+O2985)*(1+$E2994),0.01)</f>
        <v/>
      </c>
      <c r="P2994" s="35">
        <f>MAX(INDEX(P$381:P$392,$D2994)+(P2967+P2985)*(1+$E2994),0.01)</f>
        <v/>
      </c>
      <c r="Q2994" s="35">
        <f>MAX(INDEX(Q$381:Q$392,$D2994)+(Q2967+Q2985)*(1+$E2994),0.01)</f>
        <v/>
      </c>
      <c r="R2994" s="35">
        <f>MAX(INDEX(R$381:R$392,$D2994)+(R2967+R2985)*(1+$E2994),0.01)</f>
        <v/>
      </c>
      <c r="S2994" s="35">
        <f>MAX(INDEX(S$381:S$392,$D2994)+(S2967+S2985)*(1+$E2994),0.01)</f>
        <v/>
      </c>
      <c r="T2994" s="35">
        <f>MAX(INDEX(T$381:T$392,$D2994)+(T2967+T2985)*(1+$E2994),0.01)</f>
        <v/>
      </c>
      <c r="U2994" s="35">
        <f>MAX(INDEX(U$381:U$392,$D2994)+(U2967+U2985)*(1+$E2994),0.01)</f>
        <v/>
      </c>
      <c r="V2994" s="35">
        <f>MAX(INDEX(V$381:V$392,$D2994)+(V2967+V2985)*(1+$E2994),0.01)</f>
        <v/>
      </c>
      <c r="W2994" s="35">
        <f>MAX(INDEX(W$381:W$392,$D2994)+(W2967+W2985)*(1+$E2994),0.01)</f>
        <v/>
      </c>
      <c r="X2994" s="35">
        <f>MAX(INDEX(X$381:X$392,$D2994)+(X2967+X2985)*(1+$E2994),0.01)</f>
        <v/>
      </c>
      <c r="Y2994" s="35">
        <f>MAX(INDEX(Y$381:Y$392,$D2994)+(Y2967+Y2985)*(1+$E2994),0.01)</f>
        <v/>
      </c>
      <c r="Z2994" s="35">
        <f>MAX(INDEX(Z$381:Z$392,$D2994)+(Z2967+Z2985)*(1+$E2994),0.01)</f>
        <v/>
      </c>
      <c r="AA2994" s="35">
        <f>MAX(INDEX(AA$381:AA$392,$D2994)+(AA2967+AA2985)*(1+$E2994),0.01)</f>
        <v/>
      </c>
      <c r="AB2994" s="35">
        <f>MAX(INDEX(AB$381:AB$392,$D2994)+(AB2967+AB2985)*(1+$E2994),0.01)</f>
        <v/>
      </c>
      <c r="AC2994" s="35">
        <f>MAX(INDEX(AC$381:AC$392,$D2994)+(AC2967+AC2985)*(1+$E2994),0.01)</f>
        <v/>
      </c>
      <c r="AD2994" s="35">
        <f>MAX(INDEX(AD$381:AD$392,$D2994)+(AD2967+AD2985)*(1+$E2994),0.01)</f>
        <v/>
      </c>
      <c r="AE2994" s="42">
        <f>POSTTAX(INDEX(AE$381:AE$392,$D2994),AE2967+AE2985,$E2994)</f>
        <v/>
      </c>
      <c r="AG2994" s="11">
        <f>CodePrefix&amp;$A2994&amp;IF($C2994="","","."&amp;$C2994&amp;"."&amp;$B2994)&amp;INDEX(VarEnd,MATCH($A2994,VarKey,0))&amp;AG$5</f>
        <v/>
      </c>
      <c r="AH2994" s="40">
        <f>MAX(INDEX(AH$381:AH$392,$D2994)+(AH2967+AH2985)*(1+$E2994),0.01)</f>
        <v/>
      </c>
      <c r="AI2994" s="35">
        <f>MAX(INDEX(AI$381:AI$392,$D2994)+(AI2967+AI2985)*(1+$E2994),0.01)</f>
        <v/>
      </c>
      <c r="AJ2994" s="35">
        <f>MAX(INDEX(AJ$381:AJ$392,$D2994)+(AJ2967+AJ2985)*(1+$E2994),0.01)</f>
        <v/>
      </c>
      <c r="AK2994" s="35">
        <f>MAX(INDEX(AK$381:AK$392,$D2994)+(AK2967+AK2985)*(1+$E2994),0.01)</f>
        <v/>
      </c>
      <c r="AL2994" s="35">
        <f>MAX(INDEX(AL$381:AL$392,$D2994)+(AL2967+AL2985)*(1+$E2994),0.01)</f>
        <v/>
      </c>
      <c r="AM2994" s="35">
        <f>MAX(INDEX(AM$381:AM$392,$D2994)+(AM2967+AM2985)*(1+$E2994),0.01)</f>
        <v/>
      </c>
      <c r="AN2994" s="35">
        <f>MAX(INDEX(AN$381:AN$392,$D2994)+(AN2967+AN2985)*(1+$E2994),0.01)</f>
        <v/>
      </c>
      <c r="AO2994" s="35">
        <f>MAX(INDEX(AO$381:AO$392,$D2994)+(AO2967+AO2985)*(1+$E2994),0.01)</f>
        <v/>
      </c>
      <c r="AP2994" s="35">
        <f>MAX(INDEX(AP$381:AP$392,$D2994)+(AP2967+AP2985)*(1+$E2994),0.01)</f>
        <v/>
      </c>
      <c r="AQ2994" s="35">
        <f>MAX(INDEX(AQ$381:AQ$392,$D2994)+(AQ2967+AQ2985)*(1+$E2994),0.01)</f>
        <v/>
      </c>
      <c r="AR2994" s="35">
        <f>MAX(INDEX(AR$381:AR$392,$D2994)+(AR2967+AR2985)*(1+$E2994),0.01)</f>
        <v/>
      </c>
      <c r="AS2994" s="35">
        <f>MAX(INDEX(AS$381:AS$392,$D2994)+(AS2967+AS2985)*(1+$E2994),0.01)</f>
        <v/>
      </c>
      <c r="AT2994" s="35">
        <f>MAX(INDEX(AT$381:AT$392,$D2994)+(AT2967+AT2985)*(1+$E2994),0.01)</f>
        <v/>
      </c>
      <c r="AU2994" s="35">
        <f>MAX(INDEX(AU$381:AU$392,$D2994)+(AU2967+AU2985)*(1+$E2994),0.01)</f>
        <v/>
      </c>
      <c r="AV2994" s="35">
        <f>MAX(INDEX(AV$381:AV$392,$D2994)+(AV2967+AV2985)*(1+$E2994),0.01)</f>
        <v/>
      </c>
      <c r="AW2994" s="35">
        <f>MAX(INDEX(AW$381:AW$392,$D2994)+(AW2967+AW2985)*(1+$E2994),0.01)</f>
        <v/>
      </c>
      <c r="AX2994" s="35">
        <f>MAX(INDEX(AX$381:AX$392,$D2994)+(AX2967+AX2985)*(1+$E2994),0.01)</f>
        <v/>
      </c>
      <c r="AY2994" s="35">
        <f>MAX(INDEX(AY$381:AY$392,$D2994)+(AY2967+AY2985)*(1+$E2994),0.01)</f>
        <v/>
      </c>
      <c r="AZ2994" s="35">
        <f>MAX(INDEX(AZ$381:AZ$392,$D2994)+(AZ2967+AZ2985)*(1+$E2994),0.01)</f>
        <v/>
      </c>
      <c r="BA2994" s="42">
        <f>POSTTAX(INDEX(BA$381:BA$392,$D2994),BA2967+BA2985,$E2994)</f>
        <v/>
      </c>
    </row>
    <row r="2995" hidden="1" outlineLevel="2">
      <c r="A2995" s="14" t="inlineStr">
        <is>
          <t>atp</t>
        </is>
      </c>
      <c r="B2995" s="14" t="inlineStr">
        <is>
          <t>ker</t>
        </is>
      </c>
      <c r="C2995" s="14" t="inlineStr">
        <is>
          <t>oen</t>
        </is>
      </c>
      <c r="D2995" s="35">
        <f>INDEX(Inputs!$U$5:$U$132,MATCH($B2995&amp;"|"&amp;$C2995,Inputs!$A$5:$A$132,0))</f>
        <v/>
      </c>
      <c r="E2995" s="35">
        <f>INDEX(Inputs!$V$5:$V$132,MATCH($B2995&amp;"|"&amp;$C2995,Inputs!$A$5:$A$132,0))</f>
        <v/>
      </c>
      <c r="F2995" s="39" t="n"/>
      <c r="G2995" s="39" t="n"/>
      <c r="H2995" s="14">
        <f>INDEX(VarLab,MATCH($A2995,VarKey,0))&amp;INDEX(MemLab,MATCH($C2995&amp;"|"&amp;$B2995,MemKey,0))</f>
        <v/>
      </c>
      <c r="I2995" s="14">
        <f>INDEX(VarUnit,MATCH($A2995,VarKey,0))</f>
        <v/>
      </c>
      <c r="J2995" s="14">
        <f>INDEX(VarSrc,MATCH($A2995,VarKey,0))</f>
        <v/>
      </c>
      <c r="K2995" s="11">
        <f>CodePrefix&amp;$A2995&amp;IF($C2995="","","."&amp;$C2995&amp;"."&amp;$B2995)&amp;INDEX(VarEnd,MATCH($A2995,VarKey,0))&amp;K$5</f>
        <v/>
      </c>
      <c r="L2995" s="40">
        <f>MAX(INDEX(L$381:L$392,$D2995)+(L2968+L2986)*(1+$E2995),0.01)</f>
        <v/>
      </c>
      <c r="M2995" s="35">
        <f>MAX(INDEX(M$381:M$392,$D2995)+(M2968+M2986)*(1+$E2995),0.01)</f>
        <v/>
      </c>
      <c r="N2995" s="35">
        <f>MAX(INDEX(N$381:N$392,$D2995)+(N2968+N2986)*(1+$E2995),0.01)</f>
        <v/>
      </c>
      <c r="O2995" s="35">
        <f>MAX(INDEX(O$381:O$392,$D2995)+(O2968+O2986)*(1+$E2995),0.01)</f>
        <v/>
      </c>
      <c r="P2995" s="35">
        <f>MAX(INDEX(P$381:P$392,$D2995)+(P2968+P2986)*(1+$E2995),0.01)</f>
        <v/>
      </c>
      <c r="Q2995" s="35">
        <f>MAX(INDEX(Q$381:Q$392,$D2995)+(Q2968+Q2986)*(1+$E2995),0.01)</f>
        <v/>
      </c>
      <c r="R2995" s="35">
        <f>MAX(INDEX(R$381:R$392,$D2995)+(R2968+R2986)*(1+$E2995),0.01)</f>
        <v/>
      </c>
      <c r="S2995" s="35">
        <f>MAX(INDEX(S$381:S$392,$D2995)+(S2968+S2986)*(1+$E2995),0.01)</f>
        <v/>
      </c>
      <c r="T2995" s="35">
        <f>MAX(INDEX(T$381:T$392,$D2995)+(T2968+T2986)*(1+$E2995),0.01)</f>
        <v/>
      </c>
      <c r="U2995" s="35">
        <f>MAX(INDEX(U$381:U$392,$D2995)+(U2968+U2986)*(1+$E2995),0.01)</f>
        <v/>
      </c>
      <c r="V2995" s="35">
        <f>MAX(INDEX(V$381:V$392,$D2995)+(V2968+V2986)*(1+$E2995),0.01)</f>
        <v/>
      </c>
      <c r="W2995" s="35">
        <f>MAX(INDEX(W$381:W$392,$D2995)+(W2968+W2986)*(1+$E2995),0.01)</f>
        <v/>
      </c>
      <c r="X2995" s="35">
        <f>MAX(INDEX(X$381:X$392,$D2995)+(X2968+X2986)*(1+$E2995),0.01)</f>
        <v/>
      </c>
      <c r="Y2995" s="35">
        <f>MAX(INDEX(Y$381:Y$392,$D2995)+(Y2968+Y2986)*(1+$E2995),0.01)</f>
        <v/>
      </c>
      <c r="Z2995" s="35">
        <f>MAX(INDEX(Z$381:Z$392,$D2995)+(Z2968+Z2986)*(1+$E2995),0.01)</f>
        <v/>
      </c>
      <c r="AA2995" s="35">
        <f>MAX(INDEX(AA$381:AA$392,$D2995)+(AA2968+AA2986)*(1+$E2995),0.01)</f>
        <v/>
      </c>
      <c r="AB2995" s="35">
        <f>MAX(INDEX(AB$381:AB$392,$D2995)+(AB2968+AB2986)*(1+$E2995),0.01)</f>
        <v/>
      </c>
      <c r="AC2995" s="35">
        <f>MAX(INDEX(AC$381:AC$392,$D2995)+(AC2968+AC2986)*(1+$E2995),0.01)</f>
        <v/>
      </c>
      <c r="AD2995" s="35">
        <f>MAX(INDEX(AD$381:AD$392,$D2995)+(AD2968+AD2986)*(1+$E2995),0.01)</f>
        <v/>
      </c>
      <c r="AE2995" s="42">
        <f>POSTTAX(INDEX(AE$381:AE$392,$D2995),AE2968+AE2986,$E2995)</f>
        <v/>
      </c>
      <c r="AG2995" s="11">
        <f>CodePrefix&amp;$A2995&amp;IF($C2995="","","."&amp;$C2995&amp;"."&amp;$B2995)&amp;INDEX(VarEnd,MATCH($A2995,VarKey,0))&amp;AG$5</f>
        <v/>
      </c>
      <c r="AH2995" s="40">
        <f>MAX(INDEX(AH$381:AH$392,$D2995)+(AH2968+AH2986)*(1+$E2995),0.01)</f>
        <v/>
      </c>
      <c r="AI2995" s="35">
        <f>MAX(INDEX(AI$381:AI$392,$D2995)+(AI2968+AI2986)*(1+$E2995),0.01)</f>
        <v/>
      </c>
      <c r="AJ2995" s="35">
        <f>MAX(INDEX(AJ$381:AJ$392,$D2995)+(AJ2968+AJ2986)*(1+$E2995),0.01)</f>
        <v/>
      </c>
      <c r="AK2995" s="35">
        <f>MAX(INDEX(AK$381:AK$392,$D2995)+(AK2968+AK2986)*(1+$E2995),0.01)</f>
        <v/>
      </c>
      <c r="AL2995" s="35">
        <f>MAX(INDEX(AL$381:AL$392,$D2995)+(AL2968+AL2986)*(1+$E2995),0.01)</f>
        <v/>
      </c>
      <c r="AM2995" s="35">
        <f>MAX(INDEX(AM$381:AM$392,$D2995)+(AM2968+AM2986)*(1+$E2995),0.01)</f>
        <v/>
      </c>
      <c r="AN2995" s="35">
        <f>MAX(INDEX(AN$381:AN$392,$D2995)+(AN2968+AN2986)*(1+$E2995),0.01)</f>
        <v/>
      </c>
      <c r="AO2995" s="35">
        <f>MAX(INDEX(AO$381:AO$392,$D2995)+(AO2968+AO2986)*(1+$E2995),0.01)</f>
        <v/>
      </c>
      <c r="AP2995" s="35">
        <f>MAX(INDEX(AP$381:AP$392,$D2995)+(AP2968+AP2986)*(1+$E2995),0.01)</f>
        <v/>
      </c>
      <c r="AQ2995" s="35">
        <f>MAX(INDEX(AQ$381:AQ$392,$D2995)+(AQ2968+AQ2986)*(1+$E2995),0.01)</f>
        <v/>
      </c>
      <c r="AR2995" s="35">
        <f>MAX(INDEX(AR$381:AR$392,$D2995)+(AR2968+AR2986)*(1+$E2995),0.01)</f>
        <v/>
      </c>
      <c r="AS2995" s="35">
        <f>MAX(INDEX(AS$381:AS$392,$D2995)+(AS2968+AS2986)*(1+$E2995),0.01)</f>
        <v/>
      </c>
      <c r="AT2995" s="35">
        <f>MAX(INDEX(AT$381:AT$392,$D2995)+(AT2968+AT2986)*(1+$E2995),0.01)</f>
        <v/>
      </c>
      <c r="AU2995" s="35">
        <f>MAX(INDEX(AU$381:AU$392,$D2995)+(AU2968+AU2986)*(1+$E2995),0.01)</f>
        <v/>
      </c>
      <c r="AV2995" s="35">
        <f>MAX(INDEX(AV$381:AV$392,$D2995)+(AV2968+AV2986)*(1+$E2995),0.01)</f>
        <v/>
      </c>
      <c r="AW2995" s="35">
        <f>MAX(INDEX(AW$381:AW$392,$D2995)+(AW2968+AW2986)*(1+$E2995),0.01)</f>
        <v/>
      </c>
      <c r="AX2995" s="35">
        <f>MAX(INDEX(AX$381:AX$392,$D2995)+(AX2968+AX2986)*(1+$E2995),0.01)</f>
        <v/>
      </c>
      <c r="AY2995" s="35">
        <f>MAX(INDEX(AY$381:AY$392,$D2995)+(AY2968+AY2986)*(1+$E2995),0.01)</f>
        <v/>
      </c>
      <c r="AZ2995" s="35">
        <f>MAX(INDEX(AZ$381:AZ$392,$D2995)+(AZ2968+AZ2986)*(1+$E2995),0.01)</f>
        <v/>
      </c>
      <c r="BA2995" s="42">
        <f>POSTTAX(INDEX(BA$381:BA$392,$D2995),BA2968+BA2986,$E2995)</f>
        <v/>
      </c>
    </row>
    <row r="2996" hidden="1" outlineLevel="2">
      <c r="A2996" s="14" t="inlineStr">
        <is>
          <t>atp</t>
        </is>
      </c>
      <c r="B2996" s="14" t="inlineStr">
        <is>
          <t>oop</t>
        </is>
      </c>
      <c r="C2996" s="14" t="inlineStr">
        <is>
          <t>oen</t>
        </is>
      </c>
      <c r="D2996" s="35">
        <f>INDEX(Inputs!$U$5:$U$132,MATCH($B2996&amp;"|"&amp;$C2996,Inputs!$A$5:$A$132,0))</f>
        <v/>
      </c>
      <c r="E2996" s="35">
        <f>INDEX(Inputs!$V$5:$V$132,MATCH($B2996&amp;"|"&amp;$C2996,Inputs!$A$5:$A$132,0))</f>
        <v/>
      </c>
      <c r="F2996" s="39" t="n"/>
      <c r="G2996" s="39" t="n"/>
      <c r="H2996" s="14">
        <f>INDEX(VarLab,MATCH($A2996,VarKey,0))&amp;INDEX(MemLab,MATCH($C2996&amp;"|"&amp;$B2996,MemKey,0))</f>
        <v/>
      </c>
      <c r="I2996" s="14">
        <f>INDEX(VarUnit,MATCH($A2996,VarKey,0))</f>
        <v/>
      </c>
      <c r="J2996" s="14">
        <f>INDEX(VarSrc,MATCH($A2996,VarKey,0))</f>
        <v/>
      </c>
      <c r="K2996" s="11">
        <f>CodePrefix&amp;$A2996&amp;IF($C2996="","","."&amp;$C2996&amp;"."&amp;$B2996)&amp;INDEX(VarEnd,MATCH($A2996,VarKey,0))&amp;K$5</f>
        <v/>
      </c>
      <c r="L2996" s="40">
        <f>MAX(INDEX(L$381:L$392,$D2996)+(L2969+L2987)*(1+$E2996),0.01)</f>
        <v/>
      </c>
      <c r="M2996" s="35">
        <f>MAX(INDEX(M$381:M$392,$D2996)+(M2969+M2987)*(1+$E2996),0.01)</f>
        <v/>
      </c>
      <c r="N2996" s="35">
        <f>MAX(INDEX(N$381:N$392,$D2996)+(N2969+N2987)*(1+$E2996),0.01)</f>
        <v/>
      </c>
      <c r="O2996" s="35">
        <f>MAX(INDEX(O$381:O$392,$D2996)+(O2969+O2987)*(1+$E2996),0.01)</f>
        <v/>
      </c>
      <c r="P2996" s="35">
        <f>MAX(INDEX(P$381:P$392,$D2996)+(P2969+P2987)*(1+$E2996),0.01)</f>
        <v/>
      </c>
      <c r="Q2996" s="35">
        <f>MAX(INDEX(Q$381:Q$392,$D2996)+(Q2969+Q2987)*(1+$E2996),0.01)</f>
        <v/>
      </c>
      <c r="R2996" s="35">
        <f>MAX(INDEX(R$381:R$392,$D2996)+(R2969+R2987)*(1+$E2996),0.01)</f>
        <v/>
      </c>
      <c r="S2996" s="35">
        <f>MAX(INDEX(S$381:S$392,$D2996)+(S2969+S2987)*(1+$E2996),0.01)</f>
        <v/>
      </c>
      <c r="T2996" s="35">
        <f>MAX(INDEX(T$381:T$392,$D2996)+(T2969+T2987)*(1+$E2996),0.01)</f>
        <v/>
      </c>
      <c r="U2996" s="35">
        <f>MAX(INDEX(U$381:U$392,$D2996)+(U2969+U2987)*(1+$E2996),0.01)</f>
        <v/>
      </c>
      <c r="V2996" s="35">
        <f>MAX(INDEX(V$381:V$392,$D2996)+(V2969+V2987)*(1+$E2996),0.01)</f>
        <v/>
      </c>
      <c r="W2996" s="35">
        <f>MAX(INDEX(W$381:W$392,$D2996)+(W2969+W2987)*(1+$E2996),0.01)</f>
        <v/>
      </c>
      <c r="X2996" s="35">
        <f>MAX(INDEX(X$381:X$392,$D2996)+(X2969+X2987)*(1+$E2996),0.01)</f>
        <v/>
      </c>
      <c r="Y2996" s="35">
        <f>MAX(INDEX(Y$381:Y$392,$D2996)+(Y2969+Y2987)*(1+$E2996),0.01)</f>
        <v/>
      </c>
      <c r="Z2996" s="35">
        <f>MAX(INDEX(Z$381:Z$392,$D2996)+(Z2969+Z2987)*(1+$E2996),0.01)</f>
        <v/>
      </c>
      <c r="AA2996" s="35">
        <f>MAX(INDEX(AA$381:AA$392,$D2996)+(AA2969+AA2987)*(1+$E2996),0.01)</f>
        <v/>
      </c>
      <c r="AB2996" s="35">
        <f>MAX(INDEX(AB$381:AB$392,$D2996)+(AB2969+AB2987)*(1+$E2996),0.01)</f>
        <v/>
      </c>
      <c r="AC2996" s="35">
        <f>MAX(INDEX(AC$381:AC$392,$D2996)+(AC2969+AC2987)*(1+$E2996),0.01)</f>
        <v/>
      </c>
      <c r="AD2996" s="35">
        <f>MAX(INDEX(AD$381:AD$392,$D2996)+(AD2969+AD2987)*(1+$E2996),0.01)</f>
        <v/>
      </c>
      <c r="AE2996" s="42">
        <f>POSTTAX(INDEX(AE$381:AE$392,$D2996),AE2969+AE2987,$E2996)</f>
        <v/>
      </c>
      <c r="AG2996" s="11">
        <f>CodePrefix&amp;$A2996&amp;IF($C2996="","","."&amp;$C2996&amp;"."&amp;$B2996)&amp;INDEX(VarEnd,MATCH($A2996,VarKey,0))&amp;AG$5</f>
        <v/>
      </c>
      <c r="AH2996" s="40">
        <f>MAX(INDEX(AH$381:AH$392,$D2996)+(AH2969+AH2987)*(1+$E2996),0.01)</f>
        <v/>
      </c>
      <c r="AI2996" s="35">
        <f>MAX(INDEX(AI$381:AI$392,$D2996)+(AI2969+AI2987)*(1+$E2996),0.01)</f>
        <v/>
      </c>
      <c r="AJ2996" s="35">
        <f>MAX(INDEX(AJ$381:AJ$392,$D2996)+(AJ2969+AJ2987)*(1+$E2996),0.01)</f>
        <v/>
      </c>
      <c r="AK2996" s="35">
        <f>MAX(INDEX(AK$381:AK$392,$D2996)+(AK2969+AK2987)*(1+$E2996),0.01)</f>
        <v/>
      </c>
      <c r="AL2996" s="35">
        <f>MAX(INDEX(AL$381:AL$392,$D2996)+(AL2969+AL2987)*(1+$E2996),0.01)</f>
        <v/>
      </c>
      <c r="AM2996" s="35">
        <f>MAX(INDEX(AM$381:AM$392,$D2996)+(AM2969+AM2987)*(1+$E2996),0.01)</f>
        <v/>
      </c>
      <c r="AN2996" s="35">
        <f>MAX(INDEX(AN$381:AN$392,$D2996)+(AN2969+AN2987)*(1+$E2996),0.01)</f>
        <v/>
      </c>
      <c r="AO2996" s="35">
        <f>MAX(INDEX(AO$381:AO$392,$D2996)+(AO2969+AO2987)*(1+$E2996),0.01)</f>
        <v/>
      </c>
      <c r="AP2996" s="35">
        <f>MAX(INDEX(AP$381:AP$392,$D2996)+(AP2969+AP2987)*(1+$E2996),0.01)</f>
        <v/>
      </c>
      <c r="AQ2996" s="35">
        <f>MAX(INDEX(AQ$381:AQ$392,$D2996)+(AQ2969+AQ2987)*(1+$E2996),0.01)</f>
        <v/>
      </c>
      <c r="AR2996" s="35">
        <f>MAX(INDEX(AR$381:AR$392,$D2996)+(AR2969+AR2987)*(1+$E2996),0.01)</f>
        <v/>
      </c>
      <c r="AS2996" s="35">
        <f>MAX(INDEX(AS$381:AS$392,$D2996)+(AS2969+AS2987)*(1+$E2996),0.01)</f>
        <v/>
      </c>
      <c r="AT2996" s="35">
        <f>MAX(INDEX(AT$381:AT$392,$D2996)+(AT2969+AT2987)*(1+$E2996),0.01)</f>
        <v/>
      </c>
      <c r="AU2996" s="35">
        <f>MAX(INDEX(AU$381:AU$392,$D2996)+(AU2969+AU2987)*(1+$E2996),0.01)</f>
        <v/>
      </c>
      <c r="AV2996" s="35">
        <f>MAX(INDEX(AV$381:AV$392,$D2996)+(AV2969+AV2987)*(1+$E2996),0.01)</f>
        <v/>
      </c>
      <c r="AW2996" s="35">
        <f>MAX(INDEX(AW$381:AW$392,$D2996)+(AW2969+AW2987)*(1+$E2996),0.01)</f>
        <v/>
      </c>
      <c r="AX2996" s="35">
        <f>MAX(INDEX(AX$381:AX$392,$D2996)+(AX2969+AX2987)*(1+$E2996),0.01)</f>
        <v/>
      </c>
      <c r="AY2996" s="35">
        <f>MAX(INDEX(AY$381:AY$392,$D2996)+(AY2969+AY2987)*(1+$E2996),0.01)</f>
        <v/>
      </c>
      <c r="AZ2996" s="35">
        <f>MAX(INDEX(AZ$381:AZ$392,$D2996)+(AZ2969+AZ2987)*(1+$E2996),0.01)</f>
        <v/>
      </c>
      <c r="BA2996" s="42">
        <f>POSTTAX(INDEX(BA$381:BA$392,$D2996),BA2969+BA2987,$E2996)</f>
        <v/>
      </c>
    </row>
    <row r="2997" hidden="1" outlineLevel="2">
      <c r="A2997" s="14" t="inlineStr">
        <is>
          <t>atp</t>
        </is>
      </c>
      <c r="B2997" s="14" t="inlineStr">
        <is>
          <t>bio</t>
        </is>
      </c>
      <c r="C2997" s="14" t="inlineStr">
        <is>
          <t>oen</t>
        </is>
      </c>
      <c r="D2997" s="35">
        <f>INDEX(Inputs!$U$5:$U$132,MATCH($B2997&amp;"|"&amp;$C2997,Inputs!$A$5:$A$132,0))</f>
        <v/>
      </c>
      <c r="E2997" s="35">
        <f>INDEX(Inputs!$V$5:$V$132,MATCH($B2997&amp;"|"&amp;$C2997,Inputs!$A$5:$A$132,0))</f>
        <v/>
      </c>
      <c r="F2997" s="39" t="n"/>
      <c r="G2997" s="39" t="n"/>
      <c r="H2997" s="14">
        <f>INDEX(VarLab,MATCH($A2997,VarKey,0))&amp;INDEX(MemLab,MATCH($C2997&amp;"|"&amp;$B2997,MemKey,0))</f>
        <v/>
      </c>
      <c r="I2997" s="14">
        <f>INDEX(VarUnit,MATCH($A2997,VarKey,0))</f>
        <v/>
      </c>
      <c r="J2997" s="14">
        <f>INDEX(VarSrc,MATCH($A2997,VarKey,0))</f>
        <v/>
      </c>
      <c r="K2997" s="11">
        <f>CodePrefix&amp;$A2997&amp;IF($C2997="","","."&amp;$C2997&amp;"."&amp;$B2997)&amp;INDEX(VarEnd,MATCH($A2997,VarKey,0))&amp;K$5</f>
        <v/>
      </c>
      <c r="L2997" s="40">
        <f>MAX(INDEX(L$381:L$392,$D2997)+(L2970+L2988)*(1+$E2997),0.01)</f>
        <v/>
      </c>
      <c r="M2997" s="35">
        <f>MAX(INDEX(M$381:M$392,$D2997)+(M2970+M2988)*(1+$E2997),0.01)</f>
        <v/>
      </c>
      <c r="N2997" s="35">
        <f>MAX(INDEX(N$381:N$392,$D2997)+(N2970+N2988)*(1+$E2997),0.01)</f>
        <v/>
      </c>
      <c r="O2997" s="35">
        <f>MAX(INDEX(O$381:O$392,$D2997)+(O2970+O2988)*(1+$E2997),0.01)</f>
        <v/>
      </c>
      <c r="P2997" s="35">
        <f>MAX(INDEX(P$381:P$392,$D2997)+(P2970+P2988)*(1+$E2997),0.01)</f>
        <v/>
      </c>
      <c r="Q2997" s="35">
        <f>MAX(INDEX(Q$381:Q$392,$D2997)+(Q2970+Q2988)*(1+$E2997),0.01)</f>
        <v/>
      </c>
      <c r="R2997" s="35">
        <f>MAX(INDEX(R$381:R$392,$D2997)+(R2970+R2988)*(1+$E2997),0.01)</f>
        <v/>
      </c>
      <c r="S2997" s="35">
        <f>MAX(INDEX(S$381:S$392,$D2997)+(S2970+S2988)*(1+$E2997),0.01)</f>
        <v/>
      </c>
      <c r="T2997" s="35">
        <f>MAX(INDEX(T$381:T$392,$D2997)+(T2970+T2988)*(1+$E2997),0.01)</f>
        <v/>
      </c>
      <c r="U2997" s="35">
        <f>MAX(INDEX(U$381:U$392,$D2997)+(U2970+U2988)*(1+$E2997),0.01)</f>
        <v/>
      </c>
      <c r="V2997" s="35">
        <f>MAX(INDEX(V$381:V$392,$D2997)+(V2970+V2988)*(1+$E2997),0.01)</f>
        <v/>
      </c>
      <c r="W2997" s="35">
        <f>MAX(INDEX(W$381:W$392,$D2997)+(W2970+W2988)*(1+$E2997),0.01)</f>
        <v/>
      </c>
      <c r="X2997" s="35">
        <f>MAX(INDEX(X$381:X$392,$D2997)+(X2970+X2988)*(1+$E2997),0.01)</f>
        <v/>
      </c>
      <c r="Y2997" s="35">
        <f>MAX(INDEX(Y$381:Y$392,$D2997)+(Y2970+Y2988)*(1+$E2997),0.01)</f>
        <v/>
      </c>
      <c r="Z2997" s="35">
        <f>MAX(INDEX(Z$381:Z$392,$D2997)+(Z2970+Z2988)*(1+$E2997),0.01)</f>
        <v/>
      </c>
      <c r="AA2997" s="35">
        <f>MAX(INDEX(AA$381:AA$392,$D2997)+(AA2970+AA2988)*(1+$E2997),0.01)</f>
        <v/>
      </c>
      <c r="AB2997" s="35">
        <f>MAX(INDEX(AB$381:AB$392,$D2997)+(AB2970+AB2988)*(1+$E2997),0.01)</f>
        <v/>
      </c>
      <c r="AC2997" s="35">
        <f>MAX(INDEX(AC$381:AC$392,$D2997)+(AC2970+AC2988)*(1+$E2997),0.01)</f>
        <v/>
      </c>
      <c r="AD2997" s="35">
        <f>MAX(INDEX(AD$381:AD$392,$D2997)+(AD2970+AD2988)*(1+$E2997),0.01)</f>
        <v/>
      </c>
      <c r="AE2997" s="42">
        <f>POSTTAX(INDEX(AE$381:AE$392,$D2997),AE2970+AE2988,$E2997)</f>
        <v/>
      </c>
      <c r="AG2997" s="11">
        <f>CodePrefix&amp;$A2997&amp;IF($C2997="","","."&amp;$C2997&amp;"."&amp;$B2997)&amp;INDEX(VarEnd,MATCH($A2997,VarKey,0))&amp;AG$5</f>
        <v/>
      </c>
      <c r="AH2997" s="40">
        <f>MAX(INDEX(AH$381:AH$392,$D2997)+(AH2970+AH2988)*(1+$E2997),0.01)</f>
        <v/>
      </c>
      <c r="AI2997" s="35">
        <f>MAX(INDEX(AI$381:AI$392,$D2997)+(AI2970+AI2988)*(1+$E2997),0.01)</f>
        <v/>
      </c>
      <c r="AJ2997" s="35">
        <f>MAX(INDEX(AJ$381:AJ$392,$D2997)+(AJ2970+AJ2988)*(1+$E2997),0.01)</f>
        <v/>
      </c>
      <c r="AK2997" s="35">
        <f>MAX(INDEX(AK$381:AK$392,$D2997)+(AK2970+AK2988)*(1+$E2997),0.01)</f>
        <v/>
      </c>
      <c r="AL2997" s="35">
        <f>MAX(INDEX(AL$381:AL$392,$D2997)+(AL2970+AL2988)*(1+$E2997),0.01)</f>
        <v/>
      </c>
      <c r="AM2997" s="35">
        <f>MAX(INDEX(AM$381:AM$392,$D2997)+(AM2970+AM2988)*(1+$E2997),0.01)</f>
        <v/>
      </c>
      <c r="AN2997" s="35">
        <f>MAX(INDEX(AN$381:AN$392,$D2997)+(AN2970+AN2988)*(1+$E2997),0.01)</f>
        <v/>
      </c>
      <c r="AO2997" s="35">
        <f>MAX(INDEX(AO$381:AO$392,$D2997)+(AO2970+AO2988)*(1+$E2997),0.01)</f>
        <v/>
      </c>
      <c r="AP2997" s="35">
        <f>MAX(INDEX(AP$381:AP$392,$D2997)+(AP2970+AP2988)*(1+$E2997),0.01)</f>
        <v/>
      </c>
      <c r="AQ2997" s="35">
        <f>MAX(INDEX(AQ$381:AQ$392,$D2997)+(AQ2970+AQ2988)*(1+$E2997),0.01)</f>
        <v/>
      </c>
      <c r="AR2997" s="35">
        <f>MAX(INDEX(AR$381:AR$392,$D2997)+(AR2970+AR2988)*(1+$E2997),0.01)</f>
        <v/>
      </c>
      <c r="AS2997" s="35">
        <f>MAX(INDEX(AS$381:AS$392,$D2997)+(AS2970+AS2988)*(1+$E2997),0.01)</f>
        <v/>
      </c>
      <c r="AT2997" s="35">
        <f>MAX(INDEX(AT$381:AT$392,$D2997)+(AT2970+AT2988)*(1+$E2997),0.01)</f>
        <v/>
      </c>
      <c r="AU2997" s="35">
        <f>MAX(INDEX(AU$381:AU$392,$D2997)+(AU2970+AU2988)*(1+$E2997),0.01)</f>
        <v/>
      </c>
      <c r="AV2997" s="35">
        <f>MAX(INDEX(AV$381:AV$392,$D2997)+(AV2970+AV2988)*(1+$E2997),0.01)</f>
        <v/>
      </c>
      <c r="AW2997" s="35">
        <f>MAX(INDEX(AW$381:AW$392,$D2997)+(AW2970+AW2988)*(1+$E2997),0.01)</f>
        <v/>
      </c>
      <c r="AX2997" s="35">
        <f>MAX(INDEX(AX$381:AX$392,$D2997)+(AX2970+AX2988)*(1+$E2997),0.01)</f>
        <v/>
      </c>
      <c r="AY2997" s="35">
        <f>MAX(INDEX(AY$381:AY$392,$D2997)+(AY2970+AY2988)*(1+$E2997),0.01)</f>
        <v/>
      </c>
      <c r="AZ2997" s="35">
        <f>MAX(INDEX(AZ$381:AZ$392,$D2997)+(AZ2970+AZ2988)*(1+$E2997),0.01)</f>
        <v/>
      </c>
      <c r="BA2997" s="42">
        <f>POSTTAX(INDEX(BA$381:BA$392,$D2997),BA2970+BA2988,$E2997)</f>
        <v/>
      </c>
    </row>
    <row r="2998" hidden="1" outlineLevel="2"/>
    <row r="2999" hidden="1" outlineLevel="2">
      <c r="A2999" s="14" t="inlineStr">
        <is>
          <t>shp</t>
        </is>
      </c>
      <c r="B2999" s="14" t="inlineStr">
        <is>
          <t>coa</t>
        </is>
      </c>
      <c r="C2999" s="14" t="inlineStr">
        <is>
          <t>oen</t>
        </is>
      </c>
      <c r="D2999" s="35">
        <f>INDEX(Inputs!$W$5:$W$132,MATCH($B2999&amp;"|"&amp;$C2999,Inputs!$A$5:$A$132,0))</f>
        <v/>
      </c>
      <c r="E2999" s="35">
        <f>INDEX(Inputs!$M$5:$M$132,MATCH($B2999&amp;"|"&amp;$C2999,Inputs!$A$5:$A$132,0))</f>
        <v/>
      </c>
      <c r="F2999" s="39" t="n"/>
      <c r="G2999" s="39" t="n"/>
      <c r="H2999" s="14">
        <f>INDEX(VarLab,MATCH($A2999,VarKey,0))&amp;INDEX(MemLab,MATCH($C2999&amp;"|"&amp;$B2999,MemKey,0))</f>
        <v/>
      </c>
      <c r="I2999" s="14">
        <f>INDEX(VarUnit,MATCH($A2999,VarKey,0))</f>
        <v/>
      </c>
      <c r="J2999" s="14">
        <f>INDEX(VarSrc,MATCH($A2999,VarKey,0))</f>
        <v/>
      </c>
      <c r="K2999" s="11">
        <f>CodePrefix&amp;$A2999&amp;IF($C2999="","","."&amp;$C2999&amp;"."&amp;$B2999)&amp;INDEX(VarEnd,MATCH($A2999,VarKey,0))&amp;K$5</f>
        <v/>
      </c>
      <c r="L2999" s="40">
        <f>INDEX(L$297:L$313,$E2999)*$D2999</f>
        <v/>
      </c>
      <c r="M2999" s="35">
        <f>INDEX(M$297:M$313,$E2999)*$D2999</f>
        <v/>
      </c>
      <c r="N2999" s="35">
        <f>INDEX(N$297:N$313,$E2999)*$D2999</f>
        <v/>
      </c>
      <c r="O2999" s="35">
        <f>INDEX(O$297:O$313,$E2999)*$D2999</f>
        <v/>
      </c>
      <c r="P2999" s="35">
        <f>INDEX(P$297:P$313,$E2999)*$D2999</f>
        <v/>
      </c>
      <c r="Q2999" s="35">
        <f>INDEX(Q$297:Q$313,$E2999)*$D2999</f>
        <v/>
      </c>
      <c r="R2999" s="35">
        <f>INDEX(R$297:R$313,$E2999)*$D2999</f>
        <v/>
      </c>
      <c r="S2999" s="35">
        <f>INDEX(S$297:S$313,$E2999)*$D2999</f>
        <v/>
      </c>
      <c r="T2999" s="35">
        <f>INDEX(T$297:T$313,$E2999)*$D2999</f>
        <v/>
      </c>
      <c r="U2999" s="35">
        <f>INDEX(U$297:U$313,$E2999)*$D2999</f>
        <v/>
      </c>
      <c r="V2999" s="35">
        <f>INDEX(V$297:V$313,$E2999)*$D2999</f>
        <v/>
      </c>
      <c r="W2999" s="35">
        <f>INDEX(W$297:W$313,$E2999)*$D2999</f>
        <v/>
      </c>
      <c r="X2999" s="35">
        <f>INDEX(X$297:X$313,$E2999)*$D2999</f>
        <v/>
      </c>
      <c r="Y2999" s="35">
        <f>INDEX(Y$297:Y$313,$E2999)*$D2999</f>
        <v/>
      </c>
      <c r="Z2999" s="35">
        <f>INDEX(Z$297:Z$313,$E2999)*$D2999</f>
        <v/>
      </c>
      <c r="AA2999" s="35">
        <f>INDEX(AA$297:AA$313,$E2999)*$D2999</f>
        <v/>
      </c>
      <c r="AB2999" s="35">
        <f>INDEX(AB$297:AB$313,$E2999)*$D2999</f>
        <v/>
      </c>
      <c r="AC2999" s="35">
        <f>INDEX(AC$297:AC$313,$E2999)*$D2999</f>
        <v/>
      </c>
      <c r="AD2999" s="35">
        <f>INDEX(AD$297:AD$313,$E2999)*$D2999</f>
        <v/>
      </c>
      <c r="AE2999" s="42">
        <f>SHADOWGJ(INDEX(AE$297:AE$313,$E2999),$D2999)</f>
        <v/>
      </c>
      <c r="AG2999" s="11">
        <f>CodePrefix&amp;$A2999&amp;IF($C2999="","","."&amp;$C2999&amp;"."&amp;$B2999)&amp;INDEX(VarEnd,MATCH($A2999,VarKey,0))&amp;AG$5</f>
        <v/>
      </c>
      <c r="AH2999" s="40">
        <f>INDEX(AH$297:AH$313,$E2999)*$D2999</f>
        <v/>
      </c>
      <c r="AI2999" s="35">
        <f>INDEX(AI$297:AI$313,$E2999)*$D2999</f>
        <v/>
      </c>
      <c r="AJ2999" s="35">
        <f>INDEX(AJ$297:AJ$313,$E2999)*$D2999</f>
        <v/>
      </c>
      <c r="AK2999" s="35">
        <f>INDEX(AK$297:AK$313,$E2999)*$D2999</f>
        <v/>
      </c>
      <c r="AL2999" s="35">
        <f>INDEX(AL$297:AL$313,$E2999)*$D2999</f>
        <v/>
      </c>
      <c r="AM2999" s="35">
        <f>INDEX(AM$297:AM$313,$E2999)*$D2999</f>
        <v/>
      </c>
      <c r="AN2999" s="35">
        <f>INDEX(AN$297:AN$313,$E2999)*$D2999</f>
        <v/>
      </c>
      <c r="AO2999" s="35">
        <f>INDEX(AO$297:AO$313,$E2999)*$D2999</f>
        <v/>
      </c>
      <c r="AP2999" s="35">
        <f>INDEX(AP$297:AP$313,$E2999)*$D2999</f>
        <v/>
      </c>
      <c r="AQ2999" s="35">
        <f>INDEX(AQ$297:AQ$313,$E2999)*$D2999</f>
        <v/>
      </c>
      <c r="AR2999" s="35">
        <f>INDEX(AR$297:AR$313,$E2999)*$D2999</f>
        <v/>
      </c>
      <c r="AS2999" s="35">
        <f>INDEX(AS$297:AS$313,$E2999)*$D2999</f>
        <v/>
      </c>
      <c r="AT2999" s="35">
        <f>INDEX(AT$297:AT$313,$E2999)*$D2999</f>
        <v/>
      </c>
      <c r="AU2999" s="35">
        <f>INDEX(AU$297:AU$313,$E2999)*$D2999</f>
        <v/>
      </c>
      <c r="AV2999" s="35">
        <f>INDEX(AV$297:AV$313,$E2999)*$D2999</f>
        <v/>
      </c>
      <c r="AW2999" s="35">
        <f>INDEX(AW$297:AW$313,$E2999)*$D2999</f>
        <v/>
      </c>
      <c r="AX2999" s="35">
        <f>INDEX(AX$297:AX$313,$E2999)*$D2999</f>
        <v/>
      </c>
      <c r="AY2999" s="35">
        <f>INDEX(AY$297:AY$313,$E2999)*$D2999</f>
        <v/>
      </c>
      <c r="AZ2999" s="35">
        <f>INDEX(AZ$297:AZ$313,$E2999)*$D2999</f>
        <v/>
      </c>
      <c r="BA2999" s="42">
        <f>SHADOWGJ(INDEX(BA$297:BA$313,$E2999),$D2999)</f>
        <v/>
      </c>
    </row>
    <row r="3000" hidden="1" outlineLevel="2">
      <c r="A3000" s="14" t="inlineStr">
        <is>
          <t>shp</t>
        </is>
      </c>
      <c r="B3000" s="14" t="inlineStr">
        <is>
          <t>nga</t>
        </is>
      </c>
      <c r="C3000" s="14" t="inlineStr">
        <is>
          <t>oen</t>
        </is>
      </c>
      <c r="D3000" s="35">
        <f>INDEX(Inputs!$W$5:$W$132,MATCH($B3000&amp;"|"&amp;$C3000,Inputs!$A$5:$A$132,0))</f>
        <v/>
      </c>
      <c r="E3000" s="35">
        <f>INDEX(Inputs!$M$5:$M$132,MATCH($B3000&amp;"|"&amp;$C3000,Inputs!$A$5:$A$132,0))</f>
        <v/>
      </c>
      <c r="F3000" s="39" t="n"/>
      <c r="G3000" s="39" t="n"/>
      <c r="H3000" s="14">
        <f>INDEX(VarLab,MATCH($A3000,VarKey,0))&amp;INDEX(MemLab,MATCH($C3000&amp;"|"&amp;$B3000,MemKey,0))</f>
        <v/>
      </c>
      <c r="I3000" s="14">
        <f>INDEX(VarUnit,MATCH($A3000,VarKey,0))</f>
        <v/>
      </c>
      <c r="J3000" s="14">
        <f>INDEX(VarSrc,MATCH($A3000,VarKey,0))</f>
        <v/>
      </c>
      <c r="K3000" s="11">
        <f>CodePrefix&amp;$A3000&amp;IF($C3000="","","."&amp;$C3000&amp;"."&amp;$B3000)&amp;INDEX(VarEnd,MATCH($A3000,VarKey,0))&amp;K$5</f>
        <v/>
      </c>
      <c r="L3000" s="40">
        <f>INDEX(L$297:L$313,$E3000)*$D3000</f>
        <v/>
      </c>
      <c r="M3000" s="35">
        <f>INDEX(M$297:M$313,$E3000)*$D3000</f>
        <v/>
      </c>
      <c r="N3000" s="35">
        <f>INDEX(N$297:N$313,$E3000)*$D3000</f>
        <v/>
      </c>
      <c r="O3000" s="35">
        <f>INDEX(O$297:O$313,$E3000)*$D3000</f>
        <v/>
      </c>
      <c r="P3000" s="35">
        <f>INDEX(P$297:P$313,$E3000)*$D3000</f>
        <v/>
      </c>
      <c r="Q3000" s="35">
        <f>INDEX(Q$297:Q$313,$E3000)*$D3000</f>
        <v/>
      </c>
      <c r="R3000" s="35">
        <f>INDEX(R$297:R$313,$E3000)*$D3000</f>
        <v/>
      </c>
      <c r="S3000" s="35">
        <f>INDEX(S$297:S$313,$E3000)*$D3000</f>
        <v/>
      </c>
      <c r="T3000" s="35">
        <f>INDEX(T$297:T$313,$E3000)*$D3000</f>
        <v/>
      </c>
      <c r="U3000" s="35">
        <f>INDEX(U$297:U$313,$E3000)*$D3000</f>
        <v/>
      </c>
      <c r="V3000" s="35">
        <f>INDEX(V$297:V$313,$E3000)*$D3000</f>
        <v/>
      </c>
      <c r="W3000" s="35">
        <f>INDEX(W$297:W$313,$E3000)*$D3000</f>
        <v/>
      </c>
      <c r="X3000" s="35">
        <f>INDEX(X$297:X$313,$E3000)*$D3000</f>
        <v/>
      </c>
      <c r="Y3000" s="35">
        <f>INDEX(Y$297:Y$313,$E3000)*$D3000</f>
        <v/>
      </c>
      <c r="Z3000" s="35">
        <f>INDEX(Z$297:Z$313,$E3000)*$D3000</f>
        <v/>
      </c>
      <c r="AA3000" s="35">
        <f>INDEX(AA$297:AA$313,$E3000)*$D3000</f>
        <v/>
      </c>
      <c r="AB3000" s="35">
        <f>INDEX(AB$297:AB$313,$E3000)*$D3000</f>
        <v/>
      </c>
      <c r="AC3000" s="35">
        <f>INDEX(AC$297:AC$313,$E3000)*$D3000</f>
        <v/>
      </c>
      <c r="AD3000" s="35">
        <f>INDEX(AD$297:AD$313,$E3000)*$D3000</f>
        <v/>
      </c>
      <c r="AE3000" s="42">
        <f>SHADOWGJ(INDEX(AE$297:AE$313,$E3000),$D3000)</f>
        <v/>
      </c>
      <c r="AG3000" s="11">
        <f>CodePrefix&amp;$A3000&amp;IF($C3000="","","."&amp;$C3000&amp;"."&amp;$B3000)&amp;INDEX(VarEnd,MATCH($A3000,VarKey,0))&amp;AG$5</f>
        <v/>
      </c>
      <c r="AH3000" s="40">
        <f>INDEX(AH$297:AH$313,$E3000)*$D3000</f>
        <v/>
      </c>
      <c r="AI3000" s="35">
        <f>INDEX(AI$297:AI$313,$E3000)*$D3000</f>
        <v/>
      </c>
      <c r="AJ3000" s="35">
        <f>INDEX(AJ$297:AJ$313,$E3000)*$D3000</f>
        <v/>
      </c>
      <c r="AK3000" s="35">
        <f>INDEX(AK$297:AK$313,$E3000)*$D3000</f>
        <v/>
      </c>
      <c r="AL3000" s="35">
        <f>INDEX(AL$297:AL$313,$E3000)*$D3000</f>
        <v/>
      </c>
      <c r="AM3000" s="35">
        <f>INDEX(AM$297:AM$313,$E3000)*$D3000</f>
        <v/>
      </c>
      <c r="AN3000" s="35">
        <f>INDEX(AN$297:AN$313,$E3000)*$D3000</f>
        <v/>
      </c>
      <c r="AO3000" s="35">
        <f>INDEX(AO$297:AO$313,$E3000)*$D3000</f>
        <v/>
      </c>
      <c r="AP3000" s="35">
        <f>INDEX(AP$297:AP$313,$E3000)*$D3000</f>
        <v/>
      </c>
      <c r="AQ3000" s="35">
        <f>INDEX(AQ$297:AQ$313,$E3000)*$D3000</f>
        <v/>
      </c>
      <c r="AR3000" s="35">
        <f>INDEX(AR$297:AR$313,$E3000)*$D3000</f>
        <v/>
      </c>
      <c r="AS3000" s="35">
        <f>INDEX(AS$297:AS$313,$E3000)*$D3000</f>
        <v/>
      </c>
      <c r="AT3000" s="35">
        <f>INDEX(AT$297:AT$313,$E3000)*$D3000</f>
        <v/>
      </c>
      <c r="AU3000" s="35">
        <f>INDEX(AU$297:AU$313,$E3000)*$D3000</f>
        <v/>
      </c>
      <c r="AV3000" s="35">
        <f>INDEX(AV$297:AV$313,$E3000)*$D3000</f>
        <v/>
      </c>
      <c r="AW3000" s="35">
        <f>INDEX(AW$297:AW$313,$E3000)*$D3000</f>
        <v/>
      </c>
      <c r="AX3000" s="35">
        <f>INDEX(AX$297:AX$313,$E3000)*$D3000</f>
        <v/>
      </c>
      <c r="AY3000" s="35">
        <f>INDEX(AY$297:AY$313,$E3000)*$D3000</f>
        <v/>
      </c>
      <c r="AZ3000" s="35">
        <f>INDEX(AZ$297:AZ$313,$E3000)*$D3000</f>
        <v/>
      </c>
      <c r="BA3000" s="42">
        <f>SHADOWGJ(INDEX(BA$297:BA$313,$E3000),$D3000)</f>
        <v/>
      </c>
    </row>
    <row r="3001" hidden="1" outlineLevel="2">
      <c r="A3001" s="14" t="inlineStr">
        <is>
          <t>shp</t>
        </is>
      </c>
      <c r="B3001" s="14" t="inlineStr">
        <is>
          <t>gso</t>
        </is>
      </c>
      <c r="C3001" s="14" t="inlineStr">
        <is>
          <t>oen</t>
        </is>
      </c>
      <c r="D3001" s="35">
        <f>INDEX(Inputs!$W$5:$W$132,MATCH($B3001&amp;"|"&amp;$C3001,Inputs!$A$5:$A$132,0))</f>
        <v/>
      </c>
      <c r="E3001" s="35">
        <f>INDEX(Inputs!$M$5:$M$132,MATCH($B3001&amp;"|"&amp;$C3001,Inputs!$A$5:$A$132,0))</f>
        <v/>
      </c>
      <c r="F3001" s="39" t="n"/>
      <c r="G3001" s="39" t="n"/>
      <c r="H3001" s="14">
        <f>INDEX(VarLab,MATCH($A3001,VarKey,0))&amp;INDEX(MemLab,MATCH($C3001&amp;"|"&amp;$B3001,MemKey,0))</f>
        <v/>
      </c>
      <c r="I3001" s="14">
        <f>INDEX(VarUnit,MATCH($A3001,VarKey,0))</f>
        <v/>
      </c>
      <c r="J3001" s="14">
        <f>INDEX(VarSrc,MATCH($A3001,VarKey,0))</f>
        <v/>
      </c>
      <c r="K3001" s="11">
        <f>CodePrefix&amp;$A3001&amp;IF($C3001="","","."&amp;$C3001&amp;"."&amp;$B3001)&amp;INDEX(VarEnd,MATCH($A3001,VarKey,0))&amp;K$5</f>
        <v/>
      </c>
      <c r="L3001" s="40">
        <f>INDEX(L$297:L$313,$E3001)*$D3001</f>
        <v/>
      </c>
      <c r="M3001" s="35">
        <f>INDEX(M$297:M$313,$E3001)*$D3001</f>
        <v/>
      </c>
      <c r="N3001" s="35">
        <f>INDEX(N$297:N$313,$E3001)*$D3001</f>
        <v/>
      </c>
      <c r="O3001" s="35">
        <f>INDEX(O$297:O$313,$E3001)*$D3001</f>
        <v/>
      </c>
      <c r="P3001" s="35">
        <f>INDEX(P$297:P$313,$E3001)*$D3001</f>
        <v/>
      </c>
      <c r="Q3001" s="35">
        <f>INDEX(Q$297:Q$313,$E3001)*$D3001</f>
        <v/>
      </c>
      <c r="R3001" s="35">
        <f>INDEX(R$297:R$313,$E3001)*$D3001</f>
        <v/>
      </c>
      <c r="S3001" s="35">
        <f>INDEX(S$297:S$313,$E3001)*$D3001</f>
        <v/>
      </c>
      <c r="T3001" s="35">
        <f>INDEX(T$297:T$313,$E3001)*$D3001</f>
        <v/>
      </c>
      <c r="U3001" s="35">
        <f>INDEX(U$297:U$313,$E3001)*$D3001</f>
        <v/>
      </c>
      <c r="V3001" s="35">
        <f>INDEX(V$297:V$313,$E3001)*$D3001</f>
        <v/>
      </c>
      <c r="W3001" s="35">
        <f>INDEX(W$297:W$313,$E3001)*$D3001</f>
        <v/>
      </c>
      <c r="X3001" s="35">
        <f>INDEX(X$297:X$313,$E3001)*$D3001</f>
        <v/>
      </c>
      <c r="Y3001" s="35">
        <f>INDEX(Y$297:Y$313,$E3001)*$D3001</f>
        <v/>
      </c>
      <c r="Z3001" s="35">
        <f>INDEX(Z$297:Z$313,$E3001)*$D3001</f>
        <v/>
      </c>
      <c r="AA3001" s="35">
        <f>INDEX(AA$297:AA$313,$E3001)*$D3001</f>
        <v/>
      </c>
      <c r="AB3001" s="35">
        <f>INDEX(AB$297:AB$313,$E3001)*$D3001</f>
        <v/>
      </c>
      <c r="AC3001" s="35">
        <f>INDEX(AC$297:AC$313,$E3001)*$D3001</f>
        <v/>
      </c>
      <c r="AD3001" s="35">
        <f>INDEX(AD$297:AD$313,$E3001)*$D3001</f>
        <v/>
      </c>
      <c r="AE3001" s="42">
        <f>SHADOWGJ(INDEX(AE$297:AE$313,$E3001),$D3001)</f>
        <v/>
      </c>
      <c r="AG3001" s="11">
        <f>CodePrefix&amp;$A3001&amp;IF($C3001="","","."&amp;$C3001&amp;"."&amp;$B3001)&amp;INDEX(VarEnd,MATCH($A3001,VarKey,0))&amp;AG$5</f>
        <v/>
      </c>
      <c r="AH3001" s="40">
        <f>INDEX(AH$297:AH$313,$E3001)*$D3001</f>
        <v/>
      </c>
      <c r="AI3001" s="35">
        <f>INDEX(AI$297:AI$313,$E3001)*$D3001</f>
        <v/>
      </c>
      <c r="AJ3001" s="35">
        <f>INDEX(AJ$297:AJ$313,$E3001)*$D3001</f>
        <v/>
      </c>
      <c r="AK3001" s="35">
        <f>INDEX(AK$297:AK$313,$E3001)*$D3001</f>
        <v/>
      </c>
      <c r="AL3001" s="35">
        <f>INDEX(AL$297:AL$313,$E3001)*$D3001</f>
        <v/>
      </c>
      <c r="AM3001" s="35">
        <f>INDEX(AM$297:AM$313,$E3001)*$D3001</f>
        <v/>
      </c>
      <c r="AN3001" s="35">
        <f>INDEX(AN$297:AN$313,$E3001)*$D3001</f>
        <v/>
      </c>
      <c r="AO3001" s="35">
        <f>INDEX(AO$297:AO$313,$E3001)*$D3001</f>
        <v/>
      </c>
      <c r="AP3001" s="35">
        <f>INDEX(AP$297:AP$313,$E3001)*$D3001</f>
        <v/>
      </c>
      <c r="AQ3001" s="35">
        <f>INDEX(AQ$297:AQ$313,$E3001)*$D3001</f>
        <v/>
      </c>
      <c r="AR3001" s="35">
        <f>INDEX(AR$297:AR$313,$E3001)*$D3001</f>
        <v/>
      </c>
      <c r="AS3001" s="35">
        <f>INDEX(AS$297:AS$313,$E3001)*$D3001</f>
        <v/>
      </c>
      <c r="AT3001" s="35">
        <f>INDEX(AT$297:AT$313,$E3001)*$D3001</f>
        <v/>
      </c>
      <c r="AU3001" s="35">
        <f>INDEX(AU$297:AU$313,$E3001)*$D3001</f>
        <v/>
      </c>
      <c r="AV3001" s="35">
        <f>INDEX(AV$297:AV$313,$E3001)*$D3001</f>
        <v/>
      </c>
      <c r="AW3001" s="35">
        <f>INDEX(AW$297:AW$313,$E3001)*$D3001</f>
        <v/>
      </c>
      <c r="AX3001" s="35">
        <f>INDEX(AX$297:AX$313,$E3001)*$D3001</f>
        <v/>
      </c>
      <c r="AY3001" s="35">
        <f>INDEX(AY$297:AY$313,$E3001)*$D3001</f>
        <v/>
      </c>
      <c r="AZ3001" s="35">
        <f>INDEX(AZ$297:AZ$313,$E3001)*$D3001</f>
        <v/>
      </c>
      <c r="BA3001" s="42">
        <f>SHADOWGJ(INDEX(BA$297:BA$313,$E3001),$D3001)</f>
        <v/>
      </c>
    </row>
    <row r="3002" hidden="1" outlineLevel="2">
      <c r="A3002" s="14" t="inlineStr">
        <is>
          <t>shp</t>
        </is>
      </c>
      <c r="B3002" s="14" t="inlineStr">
        <is>
          <t>die</t>
        </is>
      </c>
      <c r="C3002" s="14" t="inlineStr">
        <is>
          <t>oen</t>
        </is>
      </c>
      <c r="D3002" s="35">
        <f>INDEX(Inputs!$W$5:$W$132,MATCH($B3002&amp;"|"&amp;$C3002,Inputs!$A$5:$A$132,0))</f>
        <v/>
      </c>
      <c r="E3002" s="35">
        <f>INDEX(Inputs!$M$5:$M$132,MATCH($B3002&amp;"|"&amp;$C3002,Inputs!$A$5:$A$132,0))</f>
        <v/>
      </c>
      <c r="F3002" s="39" t="n"/>
      <c r="G3002" s="39" t="n"/>
      <c r="H3002" s="14">
        <f>INDEX(VarLab,MATCH($A3002,VarKey,0))&amp;INDEX(MemLab,MATCH($C3002&amp;"|"&amp;$B3002,MemKey,0))</f>
        <v/>
      </c>
      <c r="I3002" s="14">
        <f>INDEX(VarUnit,MATCH($A3002,VarKey,0))</f>
        <v/>
      </c>
      <c r="J3002" s="14">
        <f>INDEX(VarSrc,MATCH($A3002,VarKey,0))</f>
        <v/>
      </c>
      <c r="K3002" s="11">
        <f>CodePrefix&amp;$A3002&amp;IF($C3002="","","."&amp;$C3002&amp;"."&amp;$B3002)&amp;INDEX(VarEnd,MATCH($A3002,VarKey,0))&amp;K$5</f>
        <v/>
      </c>
      <c r="L3002" s="40">
        <f>INDEX(L$297:L$313,$E3002)*$D3002</f>
        <v/>
      </c>
      <c r="M3002" s="35">
        <f>INDEX(M$297:M$313,$E3002)*$D3002</f>
        <v/>
      </c>
      <c r="N3002" s="35">
        <f>INDEX(N$297:N$313,$E3002)*$D3002</f>
        <v/>
      </c>
      <c r="O3002" s="35">
        <f>INDEX(O$297:O$313,$E3002)*$D3002</f>
        <v/>
      </c>
      <c r="P3002" s="35">
        <f>INDEX(P$297:P$313,$E3002)*$D3002</f>
        <v/>
      </c>
      <c r="Q3002" s="35">
        <f>INDEX(Q$297:Q$313,$E3002)*$D3002</f>
        <v/>
      </c>
      <c r="R3002" s="35">
        <f>INDEX(R$297:R$313,$E3002)*$D3002</f>
        <v/>
      </c>
      <c r="S3002" s="35">
        <f>INDEX(S$297:S$313,$E3002)*$D3002</f>
        <v/>
      </c>
      <c r="T3002" s="35">
        <f>INDEX(T$297:T$313,$E3002)*$D3002</f>
        <v/>
      </c>
      <c r="U3002" s="35">
        <f>INDEX(U$297:U$313,$E3002)*$D3002</f>
        <v/>
      </c>
      <c r="V3002" s="35">
        <f>INDEX(V$297:V$313,$E3002)*$D3002</f>
        <v/>
      </c>
      <c r="W3002" s="35">
        <f>INDEX(W$297:W$313,$E3002)*$D3002</f>
        <v/>
      </c>
      <c r="X3002" s="35">
        <f>INDEX(X$297:X$313,$E3002)*$D3002</f>
        <v/>
      </c>
      <c r="Y3002" s="35">
        <f>INDEX(Y$297:Y$313,$E3002)*$D3002</f>
        <v/>
      </c>
      <c r="Z3002" s="35">
        <f>INDEX(Z$297:Z$313,$E3002)*$D3002</f>
        <v/>
      </c>
      <c r="AA3002" s="35">
        <f>INDEX(AA$297:AA$313,$E3002)*$D3002</f>
        <v/>
      </c>
      <c r="AB3002" s="35">
        <f>INDEX(AB$297:AB$313,$E3002)*$D3002</f>
        <v/>
      </c>
      <c r="AC3002" s="35">
        <f>INDEX(AC$297:AC$313,$E3002)*$D3002</f>
        <v/>
      </c>
      <c r="AD3002" s="35">
        <f>INDEX(AD$297:AD$313,$E3002)*$D3002</f>
        <v/>
      </c>
      <c r="AE3002" s="42">
        <f>SHADOWGJ(INDEX(AE$297:AE$313,$E3002),$D3002)</f>
        <v/>
      </c>
      <c r="AG3002" s="11">
        <f>CodePrefix&amp;$A3002&amp;IF($C3002="","","."&amp;$C3002&amp;"."&amp;$B3002)&amp;INDEX(VarEnd,MATCH($A3002,VarKey,0))&amp;AG$5</f>
        <v/>
      </c>
      <c r="AH3002" s="40">
        <f>INDEX(AH$297:AH$313,$E3002)*$D3002</f>
        <v/>
      </c>
      <c r="AI3002" s="35">
        <f>INDEX(AI$297:AI$313,$E3002)*$D3002</f>
        <v/>
      </c>
      <c r="AJ3002" s="35">
        <f>INDEX(AJ$297:AJ$313,$E3002)*$D3002</f>
        <v/>
      </c>
      <c r="AK3002" s="35">
        <f>INDEX(AK$297:AK$313,$E3002)*$D3002</f>
        <v/>
      </c>
      <c r="AL3002" s="35">
        <f>INDEX(AL$297:AL$313,$E3002)*$D3002</f>
        <v/>
      </c>
      <c r="AM3002" s="35">
        <f>INDEX(AM$297:AM$313,$E3002)*$D3002</f>
        <v/>
      </c>
      <c r="AN3002" s="35">
        <f>INDEX(AN$297:AN$313,$E3002)*$D3002</f>
        <v/>
      </c>
      <c r="AO3002" s="35">
        <f>INDEX(AO$297:AO$313,$E3002)*$D3002</f>
        <v/>
      </c>
      <c r="AP3002" s="35">
        <f>INDEX(AP$297:AP$313,$E3002)*$D3002</f>
        <v/>
      </c>
      <c r="AQ3002" s="35">
        <f>INDEX(AQ$297:AQ$313,$E3002)*$D3002</f>
        <v/>
      </c>
      <c r="AR3002" s="35">
        <f>INDEX(AR$297:AR$313,$E3002)*$D3002</f>
        <v/>
      </c>
      <c r="AS3002" s="35">
        <f>INDEX(AS$297:AS$313,$E3002)*$D3002</f>
        <v/>
      </c>
      <c r="AT3002" s="35">
        <f>INDEX(AT$297:AT$313,$E3002)*$D3002</f>
        <v/>
      </c>
      <c r="AU3002" s="35">
        <f>INDEX(AU$297:AU$313,$E3002)*$D3002</f>
        <v/>
      </c>
      <c r="AV3002" s="35">
        <f>INDEX(AV$297:AV$313,$E3002)*$D3002</f>
        <v/>
      </c>
      <c r="AW3002" s="35">
        <f>INDEX(AW$297:AW$313,$E3002)*$D3002</f>
        <v/>
      </c>
      <c r="AX3002" s="35">
        <f>INDEX(AX$297:AX$313,$E3002)*$D3002</f>
        <v/>
      </c>
      <c r="AY3002" s="35">
        <f>INDEX(AY$297:AY$313,$E3002)*$D3002</f>
        <v/>
      </c>
      <c r="AZ3002" s="35">
        <f>INDEX(AZ$297:AZ$313,$E3002)*$D3002</f>
        <v/>
      </c>
      <c r="BA3002" s="42">
        <f>SHADOWGJ(INDEX(BA$297:BA$313,$E3002),$D3002)</f>
        <v/>
      </c>
    </row>
    <row r="3003" hidden="1" outlineLevel="2">
      <c r="A3003" s="14" t="inlineStr">
        <is>
          <t>shp</t>
        </is>
      </c>
      <c r="B3003" s="14" t="inlineStr">
        <is>
          <t>lpg</t>
        </is>
      </c>
      <c r="C3003" s="14" t="inlineStr">
        <is>
          <t>oen</t>
        </is>
      </c>
      <c r="D3003" s="35">
        <f>INDEX(Inputs!$W$5:$W$132,MATCH($B3003&amp;"|"&amp;$C3003,Inputs!$A$5:$A$132,0))</f>
        <v/>
      </c>
      <c r="E3003" s="35">
        <f>INDEX(Inputs!$M$5:$M$132,MATCH($B3003&amp;"|"&amp;$C3003,Inputs!$A$5:$A$132,0))</f>
        <v/>
      </c>
      <c r="F3003" s="39" t="n"/>
      <c r="G3003" s="39" t="n"/>
      <c r="H3003" s="14">
        <f>INDEX(VarLab,MATCH($A3003,VarKey,0))&amp;INDEX(MemLab,MATCH($C3003&amp;"|"&amp;$B3003,MemKey,0))</f>
        <v/>
      </c>
      <c r="I3003" s="14">
        <f>INDEX(VarUnit,MATCH($A3003,VarKey,0))</f>
        <v/>
      </c>
      <c r="J3003" s="14">
        <f>INDEX(VarSrc,MATCH($A3003,VarKey,0))</f>
        <v/>
      </c>
      <c r="K3003" s="11">
        <f>CodePrefix&amp;$A3003&amp;IF($C3003="","","."&amp;$C3003&amp;"."&amp;$B3003)&amp;INDEX(VarEnd,MATCH($A3003,VarKey,0))&amp;K$5</f>
        <v/>
      </c>
      <c r="L3003" s="40">
        <f>INDEX(L$297:L$313,$E3003)*$D3003</f>
        <v/>
      </c>
      <c r="M3003" s="35">
        <f>INDEX(M$297:M$313,$E3003)*$D3003</f>
        <v/>
      </c>
      <c r="N3003" s="35">
        <f>INDEX(N$297:N$313,$E3003)*$D3003</f>
        <v/>
      </c>
      <c r="O3003" s="35">
        <f>INDEX(O$297:O$313,$E3003)*$D3003</f>
        <v/>
      </c>
      <c r="P3003" s="35">
        <f>INDEX(P$297:P$313,$E3003)*$D3003</f>
        <v/>
      </c>
      <c r="Q3003" s="35">
        <f>INDEX(Q$297:Q$313,$E3003)*$D3003</f>
        <v/>
      </c>
      <c r="R3003" s="35">
        <f>INDEX(R$297:R$313,$E3003)*$D3003</f>
        <v/>
      </c>
      <c r="S3003" s="35">
        <f>INDEX(S$297:S$313,$E3003)*$D3003</f>
        <v/>
      </c>
      <c r="T3003" s="35">
        <f>INDEX(T$297:T$313,$E3003)*$D3003</f>
        <v/>
      </c>
      <c r="U3003" s="35">
        <f>INDEX(U$297:U$313,$E3003)*$D3003</f>
        <v/>
      </c>
      <c r="V3003" s="35">
        <f>INDEX(V$297:V$313,$E3003)*$D3003</f>
        <v/>
      </c>
      <c r="W3003" s="35">
        <f>INDEX(W$297:W$313,$E3003)*$D3003</f>
        <v/>
      </c>
      <c r="X3003" s="35">
        <f>INDEX(X$297:X$313,$E3003)*$D3003</f>
        <v/>
      </c>
      <c r="Y3003" s="35">
        <f>INDEX(Y$297:Y$313,$E3003)*$D3003</f>
        <v/>
      </c>
      <c r="Z3003" s="35">
        <f>INDEX(Z$297:Z$313,$E3003)*$D3003</f>
        <v/>
      </c>
      <c r="AA3003" s="35">
        <f>INDEX(AA$297:AA$313,$E3003)*$D3003</f>
        <v/>
      </c>
      <c r="AB3003" s="35">
        <f>INDEX(AB$297:AB$313,$E3003)*$D3003</f>
        <v/>
      </c>
      <c r="AC3003" s="35">
        <f>INDEX(AC$297:AC$313,$E3003)*$D3003</f>
        <v/>
      </c>
      <c r="AD3003" s="35">
        <f>INDEX(AD$297:AD$313,$E3003)*$D3003</f>
        <v/>
      </c>
      <c r="AE3003" s="42">
        <f>SHADOWGJ(INDEX(AE$297:AE$313,$E3003),$D3003)</f>
        <v/>
      </c>
      <c r="AG3003" s="11">
        <f>CodePrefix&amp;$A3003&amp;IF($C3003="","","."&amp;$C3003&amp;"."&amp;$B3003)&amp;INDEX(VarEnd,MATCH($A3003,VarKey,0))&amp;AG$5</f>
        <v/>
      </c>
      <c r="AH3003" s="40">
        <f>INDEX(AH$297:AH$313,$E3003)*$D3003</f>
        <v/>
      </c>
      <c r="AI3003" s="35">
        <f>INDEX(AI$297:AI$313,$E3003)*$D3003</f>
        <v/>
      </c>
      <c r="AJ3003" s="35">
        <f>INDEX(AJ$297:AJ$313,$E3003)*$D3003</f>
        <v/>
      </c>
      <c r="AK3003" s="35">
        <f>INDEX(AK$297:AK$313,$E3003)*$D3003</f>
        <v/>
      </c>
      <c r="AL3003" s="35">
        <f>INDEX(AL$297:AL$313,$E3003)*$D3003</f>
        <v/>
      </c>
      <c r="AM3003" s="35">
        <f>INDEX(AM$297:AM$313,$E3003)*$D3003</f>
        <v/>
      </c>
      <c r="AN3003" s="35">
        <f>INDEX(AN$297:AN$313,$E3003)*$D3003</f>
        <v/>
      </c>
      <c r="AO3003" s="35">
        <f>INDEX(AO$297:AO$313,$E3003)*$D3003</f>
        <v/>
      </c>
      <c r="AP3003" s="35">
        <f>INDEX(AP$297:AP$313,$E3003)*$D3003</f>
        <v/>
      </c>
      <c r="AQ3003" s="35">
        <f>INDEX(AQ$297:AQ$313,$E3003)*$D3003</f>
        <v/>
      </c>
      <c r="AR3003" s="35">
        <f>INDEX(AR$297:AR$313,$E3003)*$D3003</f>
        <v/>
      </c>
      <c r="AS3003" s="35">
        <f>INDEX(AS$297:AS$313,$E3003)*$D3003</f>
        <v/>
      </c>
      <c r="AT3003" s="35">
        <f>INDEX(AT$297:AT$313,$E3003)*$D3003</f>
        <v/>
      </c>
      <c r="AU3003" s="35">
        <f>INDEX(AU$297:AU$313,$E3003)*$D3003</f>
        <v/>
      </c>
      <c r="AV3003" s="35">
        <f>INDEX(AV$297:AV$313,$E3003)*$D3003</f>
        <v/>
      </c>
      <c r="AW3003" s="35">
        <f>INDEX(AW$297:AW$313,$E3003)*$D3003</f>
        <v/>
      </c>
      <c r="AX3003" s="35">
        <f>INDEX(AX$297:AX$313,$E3003)*$D3003</f>
        <v/>
      </c>
      <c r="AY3003" s="35">
        <f>INDEX(AY$297:AY$313,$E3003)*$D3003</f>
        <v/>
      </c>
      <c r="AZ3003" s="35">
        <f>INDEX(AZ$297:AZ$313,$E3003)*$D3003</f>
        <v/>
      </c>
      <c r="BA3003" s="42">
        <f>SHADOWGJ(INDEX(BA$297:BA$313,$E3003),$D3003)</f>
        <v/>
      </c>
    </row>
    <row r="3004" hidden="1" outlineLevel="2">
      <c r="A3004" s="14" t="inlineStr">
        <is>
          <t>shp</t>
        </is>
      </c>
      <c r="B3004" s="14" t="inlineStr">
        <is>
          <t>ker</t>
        </is>
      </c>
      <c r="C3004" s="14" t="inlineStr">
        <is>
          <t>oen</t>
        </is>
      </c>
      <c r="D3004" s="35">
        <f>INDEX(Inputs!$W$5:$W$132,MATCH($B3004&amp;"|"&amp;$C3004,Inputs!$A$5:$A$132,0))</f>
        <v/>
      </c>
      <c r="E3004" s="35">
        <f>INDEX(Inputs!$M$5:$M$132,MATCH($B3004&amp;"|"&amp;$C3004,Inputs!$A$5:$A$132,0))</f>
        <v/>
      </c>
      <c r="F3004" s="39" t="n"/>
      <c r="G3004" s="39" t="n"/>
      <c r="H3004" s="14">
        <f>INDEX(VarLab,MATCH($A3004,VarKey,0))&amp;INDEX(MemLab,MATCH($C3004&amp;"|"&amp;$B3004,MemKey,0))</f>
        <v/>
      </c>
      <c r="I3004" s="14">
        <f>INDEX(VarUnit,MATCH($A3004,VarKey,0))</f>
        <v/>
      </c>
      <c r="J3004" s="14">
        <f>INDEX(VarSrc,MATCH($A3004,VarKey,0))</f>
        <v/>
      </c>
      <c r="K3004" s="11">
        <f>CodePrefix&amp;$A3004&amp;IF($C3004="","","."&amp;$C3004&amp;"."&amp;$B3004)&amp;INDEX(VarEnd,MATCH($A3004,VarKey,0))&amp;K$5</f>
        <v/>
      </c>
      <c r="L3004" s="40">
        <f>INDEX(L$297:L$313,$E3004)*$D3004</f>
        <v/>
      </c>
      <c r="M3004" s="35">
        <f>INDEX(M$297:M$313,$E3004)*$D3004</f>
        <v/>
      </c>
      <c r="N3004" s="35">
        <f>INDEX(N$297:N$313,$E3004)*$D3004</f>
        <v/>
      </c>
      <c r="O3004" s="35">
        <f>INDEX(O$297:O$313,$E3004)*$D3004</f>
        <v/>
      </c>
      <c r="P3004" s="35">
        <f>INDEX(P$297:P$313,$E3004)*$D3004</f>
        <v/>
      </c>
      <c r="Q3004" s="35">
        <f>INDEX(Q$297:Q$313,$E3004)*$D3004</f>
        <v/>
      </c>
      <c r="R3004" s="35">
        <f>INDEX(R$297:R$313,$E3004)*$D3004</f>
        <v/>
      </c>
      <c r="S3004" s="35">
        <f>INDEX(S$297:S$313,$E3004)*$D3004</f>
        <v/>
      </c>
      <c r="T3004" s="35">
        <f>INDEX(T$297:T$313,$E3004)*$D3004</f>
        <v/>
      </c>
      <c r="U3004" s="35">
        <f>INDEX(U$297:U$313,$E3004)*$D3004</f>
        <v/>
      </c>
      <c r="V3004" s="35">
        <f>INDEX(V$297:V$313,$E3004)*$D3004</f>
        <v/>
      </c>
      <c r="W3004" s="35">
        <f>INDEX(W$297:W$313,$E3004)*$D3004</f>
        <v/>
      </c>
      <c r="X3004" s="35">
        <f>INDEX(X$297:X$313,$E3004)*$D3004</f>
        <v/>
      </c>
      <c r="Y3004" s="35">
        <f>INDEX(Y$297:Y$313,$E3004)*$D3004</f>
        <v/>
      </c>
      <c r="Z3004" s="35">
        <f>INDEX(Z$297:Z$313,$E3004)*$D3004</f>
        <v/>
      </c>
      <c r="AA3004" s="35">
        <f>INDEX(AA$297:AA$313,$E3004)*$D3004</f>
        <v/>
      </c>
      <c r="AB3004" s="35">
        <f>INDEX(AB$297:AB$313,$E3004)*$D3004</f>
        <v/>
      </c>
      <c r="AC3004" s="35">
        <f>INDEX(AC$297:AC$313,$E3004)*$D3004</f>
        <v/>
      </c>
      <c r="AD3004" s="35">
        <f>INDEX(AD$297:AD$313,$E3004)*$D3004</f>
        <v/>
      </c>
      <c r="AE3004" s="42">
        <f>SHADOWGJ(INDEX(AE$297:AE$313,$E3004),$D3004)</f>
        <v/>
      </c>
      <c r="AG3004" s="11">
        <f>CodePrefix&amp;$A3004&amp;IF($C3004="","","."&amp;$C3004&amp;"."&amp;$B3004)&amp;INDEX(VarEnd,MATCH($A3004,VarKey,0))&amp;AG$5</f>
        <v/>
      </c>
      <c r="AH3004" s="40">
        <f>INDEX(AH$297:AH$313,$E3004)*$D3004</f>
        <v/>
      </c>
      <c r="AI3004" s="35">
        <f>INDEX(AI$297:AI$313,$E3004)*$D3004</f>
        <v/>
      </c>
      <c r="AJ3004" s="35">
        <f>INDEX(AJ$297:AJ$313,$E3004)*$D3004</f>
        <v/>
      </c>
      <c r="AK3004" s="35">
        <f>INDEX(AK$297:AK$313,$E3004)*$D3004</f>
        <v/>
      </c>
      <c r="AL3004" s="35">
        <f>INDEX(AL$297:AL$313,$E3004)*$D3004</f>
        <v/>
      </c>
      <c r="AM3004" s="35">
        <f>INDEX(AM$297:AM$313,$E3004)*$D3004</f>
        <v/>
      </c>
      <c r="AN3004" s="35">
        <f>INDEX(AN$297:AN$313,$E3004)*$D3004</f>
        <v/>
      </c>
      <c r="AO3004" s="35">
        <f>INDEX(AO$297:AO$313,$E3004)*$D3004</f>
        <v/>
      </c>
      <c r="AP3004" s="35">
        <f>INDEX(AP$297:AP$313,$E3004)*$D3004</f>
        <v/>
      </c>
      <c r="AQ3004" s="35">
        <f>INDEX(AQ$297:AQ$313,$E3004)*$D3004</f>
        <v/>
      </c>
      <c r="AR3004" s="35">
        <f>INDEX(AR$297:AR$313,$E3004)*$D3004</f>
        <v/>
      </c>
      <c r="AS3004" s="35">
        <f>INDEX(AS$297:AS$313,$E3004)*$D3004</f>
        <v/>
      </c>
      <c r="AT3004" s="35">
        <f>INDEX(AT$297:AT$313,$E3004)*$D3004</f>
        <v/>
      </c>
      <c r="AU3004" s="35">
        <f>INDEX(AU$297:AU$313,$E3004)*$D3004</f>
        <v/>
      </c>
      <c r="AV3004" s="35">
        <f>INDEX(AV$297:AV$313,$E3004)*$D3004</f>
        <v/>
      </c>
      <c r="AW3004" s="35">
        <f>INDEX(AW$297:AW$313,$E3004)*$D3004</f>
        <v/>
      </c>
      <c r="AX3004" s="35">
        <f>INDEX(AX$297:AX$313,$E3004)*$D3004</f>
        <v/>
      </c>
      <c r="AY3004" s="35">
        <f>INDEX(AY$297:AY$313,$E3004)*$D3004</f>
        <v/>
      </c>
      <c r="AZ3004" s="35">
        <f>INDEX(AZ$297:AZ$313,$E3004)*$D3004</f>
        <v/>
      </c>
      <c r="BA3004" s="42">
        <f>SHADOWGJ(INDEX(BA$297:BA$313,$E3004),$D3004)</f>
        <v/>
      </c>
    </row>
    <row r="3005" hidden="1" outlineLevel="2">
      <c r="A3005" s="14" t="inlineStr">
        <is>
          <t>shp</t>
        </is>
      </c>
      <c r="B3005" s="14" t="inlineStr">
        <is>
          <t>oop</t>
        </is>
      </c>
      <c r="C3005" s="14" t="inlineStr">
        <is>
          <t>oen</t>
        </is>
      </c>
      <c r="D3005" s="35">
        <f>INDEX(Inputs!$W$5:$W$132,MATCH($B3005&amp;"|"&amp;$C3005,Inputs!$A$5:$A$132,0))</f>
        <v/>
      </c>
      <c r="E3005" s="35">
        <f>INDEX(Inputs!$M$5:$M$132,MATCH($B3005&amp;"|"&amp;$C3005,Inputs!$A$5:$A$132,0))</f>
        <v/>
      </c>
      <c r="F3005" s="39" t="n"/>
      <c r="G3005" s="39" t="n"/>
      <c r="H3005" s="14">
        <f>INDEX(VarLab,MATCH($A3005,VarKey,0))&amp;INDEX(MemLab,MATCH($C3005&amp;"|"&amp;$B3005,MemKey,0))</f>
        <v/>
      </c>
      <c r="I3005" s="14">
        <f>INDEX(VarUnit,MATCH($A3005,VarKey,0))</f>
        <v/>
      </c>
      <c r="J3005" s="14">
        <f>INDEX(VarSrc,MATCH($A3005,VarKey,0))</f>
        <v/>
      </c>
      <c r="K3005" s="11">
        <f>CodePrefix&amp;$A3005&amp;IF($C3005="","","."&amp;$C3005&amp;"."&amp;$B3005)&amp;INDEX(VarEnd,MATCH($A3005,VarKey,0))&amp;K$5</f>
        <v/>
      </c>
      <c r="L3005" s="40">
        <f>INDEX(L$297:L$313,$E3005)*$D3005</f>
        <v/>
      </c>
      <c r="M3005" s="35">
        <f>INDEX(M$297:M$313,$E3005)*$D3005</f>
        <v/>
      </c>
      <c r="N3005" s="35">
        <f>INDEX(N$297:N$313,$E3005)*$D3005</f>
        <v/>
      </c>
      <c r="O3005" s="35">
        <f>INDEX(O$297:O$313,$E3005)*$D3005</f>
        <v/>
      </c>
      <c r="P3005" s="35">
        <f>INDEX(P$297:P$313,$E3005)*$D3005</f>
        <v/>
      </c>
      <c r="Q3005" s="35">
        <f>INDEX(Q$297:Q$313,$E3005)*$D3005</f>
        <v/>
      </c>
      <c r="R3005" s="35">
        <f>INDEX(R$297:R$313,$E3005)*$D3005</f>
        <v/>
      </c>
      <c r="S3005" s="35">
        <f>INDEX(S$297:S$313,$E3005)*$D3005</f>
        <v/>
      </c>
      <c r="T3005" s="35">
        <f>INDEX(T$297:T$313,$E3005)*$D3005</f>
        <v/>
      </c>
      <c r="U3005" s="35">
        <f>INDEX(U$297:U$313,$E3005)*$D3005</f>
        <v/>
      </c>
      <c r="V3005" s="35">
        <f>INDEX(V$297:V$313,$E3005)*$D3005</f>
        <v/>
      </c>
      <c r="W3005" s="35">
        <f>INDEX(W$297:W$313,$E3005)*$D3005</f>
        <v/>
      </c>
      <c r="X3005" s="35">
        <f>INDEX(X$297:X$313,$E3005)*$D3005</f>
        <v/>
      </c>
      <c r="Y3005" s="35">
        <f>INDEX(Y$297:Y$313,$E3005)*$D3005</f>
        <v/>
      </c>
      <c r="Z3005" s="35">
        <f>INDEX(Z$297:Z$313,$E3005)*$D3005</f>
        <v/>
      </c>
      <c r="AA3005" s="35">
        <f>INDEX(AA$297:AA$313,$E3005)*$D3005</f>
        <v/>
      </c>
      <c r="AB3005" s="35">
        <f>INDEX(AB$297:AB$313,$E3005)*$D3005</f>
        <v/>
      </c>
      <c r="AC3005" s="35">
        <f>INDEX(AC$297:AC$313,$E3005)*$D3005</f>
        <v/>
      </c>
      <c r="AD3005" s="35">
        <f>INDEX(AD$297:AD$313,$E3005)*$D3005</f>
        <v/>
      </c>
      <c r="AE3005" s="42">
        <f>SHADOWGJ(INDEX(AE$297:AE$313,$E3005),$D3005)</f>
        <v/>
      </c>
      <c r="AG3005" s="11">
        <f>CodePrefix&amp;$A3005&amp;IF($C3005="","","."&amp;$C3005&amp;"."&amp;$B3005)&amp;INDEX(VarEnd,MATCH($A3005,VarKey,0))&amp;AG$5</f>
        <v/>
      </c>
      <c r="AH3005" s="40">
        <f>INDEX(AH$297:AH$313,$E3005)*$D3005</f>
        <v/>
      </c>
      <c r="AI3005" s="35">
        <f>INDEX(AI$297:AI$313,$E3005)*$D3005</f>
        <v/>
      </c>
      <c r="AJ3005" s="35">
        <f>INDEX(AJ$297:AJ$313,$E3005)*$D3005</f>
        <v/>
      </c>
      <c r="AK3005" s="35">
        <f>INDEX(AK$297:AK$313,$E3005)*$D3005</f>
        <v/>
      </c>
      <c r="AL3005" s="35">
        <f>INDEX(AL$297:AL$313,$E3005)*$D3005</f>
        <v/>
      </c>
      <c r="AM3005" s="35">
        <f>INDEX(AM$297:AM$313,$E3005)*$D3005</f>
        <v/>
      </c>
      <c r="AN3005" s="35">
        <f>INDEX(AN$297:AN$313,$E3005)*$D3005</f>
        <v/>
      </c>
      <c r="AO3005" s="35">
        <f>INDEX(AO$297:AO$313,$E3005)*$D3005</f>
        <v/>
      </c>
      <c r="AP3005" s="35">
        <f>INDEX(AP$297:AP$313,$E3005)*$D3005</f>
        <v/>
      </c>
      <c r="AQ3005" s="35">
        <f>INDEX(AQ$297:AQ$313,$E3005)*$D3005</f>
        <v/>
      </c>
      <c r="AR3005" s="35">
        <f>INDEX(AR$297:AR$313,$E3005)*$D3005</f>
        <v/>
      </c>
      <c r="AS3005" s="35">
        <f>INDEX(AS$297:AS$313,$E3005)*$D3005</f>
        <v/>
      </c>
      <c r="AT3005" s="35">
        <f>INDEX(AT$297:AT$313,$E3005)*$D3005</f>
        <v/>
      </c>
      <c r="AU3005" s="35">
        <f>INDEX(AU$297:AU$313,$E3005)*$D3005</f>
        <v/>
      </c>
      <c r="AV3005" s="35">
        <f>INDEX(AV$297:AV$313,$E3005)*$D3005</f>
        <v/>
      </c>
      <c r="AW3005" s="35">
        <f>INDEX(AW$297:AW$313,$E3005)*$D3005</f>
        <v/>
      </c>
      <c r="AX3005" s="35">
        <f>INDEX(AX$297:AX$313,$E3005)*$D3005</f>
        <v/>
      </c>
      <c r="AY3005" s="35">
        <f>INDEX(AY$297:AY$313,$E3005)*$D3005</f>
        <v/>
      </c>
      <c r="AZ3005" s="35">
        <f>INDEX(AZ$297:AZ$313,$E3005)*$D3005</f>
        <v/>
      </c>
      <c r="BA3005" s="42">
        <f>SHADOWGJ(INDEX(BA$297:BA$313,$E3005),$D3005)</f>
        <v/>
      </c>
    </row>
    <row r="3006" hidden="1" outlineLevel="2">
      <c r="A3006" s="14" t="inlineStr">
        <is>
          <t>shp</t>
        </is>
      </c>
      <c r="B3006" s="14" t="inlineStr">
        <is>
          <t>bio</t>
        </is>
      </c>
      <c r="C3006" s="14" t="inlineStr">
        <is>
          <t>oen</t>
        </is>
      </c>
      <c r="D3006" s="35">
        <f>INDEX(Inputs!$W$5:$W$132,MATCH($B3006&amp;"|"&amp;$C3006,Inputs!$A$5:$A$132,0))</f>
        <v/>
      </c>
      <c r="E3006" s="35">
        <f>INDEX(Inputs!$M$5:$M$132,MATCH($B3006&amp;"|"&amp;$C3006,Inputs!$A$5:$A$132,0))</f>
        <v/>
      </c>
      <c r="F3006" s="39" t="n"/>
      <c r="G3006" s="39" t="n"/>
      <c r="H3006" s="14">
        <f>INDEX(VarLab,MATCH($A3006,VarKey,0))&amp;INDEX(MemLab,MATCH($C3006&amp;"|"&amp;$B3006,MemKey,0))</f>
        <v/>
      </c>
      <c r="I3006" s="14">
        <f>INDEX(VarUnit,MATCH($A3006,VarKey,0))</f>
        <v/>
      </c>
      <c r="J3006" s="14">
        <f>INDEX(VarSrc,MATCH($A3006,VarKey,0))</f>
        <v/>
      </c>
      <c r="K3006" s="11">
        <f>CodePrefix&amp;$A3006&amp;IF($C3006="","","."&amp;$C3006&amp;"."&amp;$B3006)&amp;INDEX(VarEnd,MATCH($A3006,VarKey,0))&amp;K$5</f>
        <v/>
      </c>
      <c r="L3006" s="40">
        <f>INDEX(L$297:L$313,$E3006)*$D3006</f>
        <v/>
      </c>
      <c r="M3006" s="35">
        <f>INDEX(M$297:M$313,$E3006)*$D3006</f>
        <v/>
      </c>
      <c r="N3006" s="35">
        <f>INDEX(N$297:N$313,$E3006)*$D3006</f>
        <v/>
      </c>
      <c r="O3006" s="35">
        <f>INDEX(O$297:O$313,$E3006)*$D3006</f>
        <v/>
      </c>
      <c r="P3006" s="35">
        <f>INDEX(P$297:P$313,$E3006)*$D3006</f>
        <v/>
      </c>
      <c r="Q3006" s="35">
        <f>INDEX(Q$297:Q$313,$E3006)*$D3006</f>
        <v/>
      </c>
      <c r="R3006" s="35">
        <f>INDEX(R$297:R$313,$E3006)*$D3006</f>
        <v/>
      </c>
      <c r="S3006" s="35">
        <f>INDEX(S$297:S$313,$E3006)*$D3006</f>
        <v/>
      </c>
      <c r="T3006" s="35">
        <f>INDEX(T$297:T$313,$E3006)*$D3006</f>
        <v/>
      </c>
      <c r="U3006" s="35">
        <f>INDEX(U$297:U$313,$E3006)*$D3006</f>
        <v/>
      </c>
      <c r="V3006" s="35">
        <f>INDEX(V$297:V$313,$E3006)*$D3006</f>
        <v/>
      </c>
      <c r="W3006" s="35">
        <f>INDEX(W$297:W$313,$E3006)*$D3006</f>
        <v/>
      </c>
      <c r="X3006" s="35">
        <f>INDEX(X$297:X$313,$E3006)*$D3006</f>
        <v/>
      </c>
      <c r="Y3006" s="35">
        <f>INDEX(Y$297:Y$313,$E3006)*$D3006</f>
        <v/>
      </c>
      <c r="Z3006" s="35">
        <f>INDEX(Z$297:Z$313,$E3006)*$D3006</f>
        <v/>
      </c>
      <c r="AA3006" s="35">
        <f>INDEX(AA$297:AA$313,$E3006)*$D3006</f>
        <v/>
      </c>
      <c r="AB3006" s="35">
        <f>INDEX(AB$297:AB$313,$E3006)*$D3006</f>
        <v/>
      </c>
      <c r="AC3006" s="35">
        <f>INDEX(AC$297:AC$313,$E3006)*$D3006</f>
        <v/>
      </c>
      <c r="AD3006" s="35">
        <f>INDEX(AD$297:AD$313,$E3006)*$D3006</f>
        <v/>
      </c>
      <c r="AE3006" s="42">
        <f>SHADOWGJ(INDEX(AE$297:AE$313,$E3006),$D3006)</f>
        <v/>
      </c>
      <c r="AG3006" s="11">
        <f>CodePrefix&amp;$A3006&amp;IF($C3006="","","."&amp;$C3006&amp;"."&amp;$B3006)&amp;INDEX(VarEnd,MATCH($A3006,VarKey,0))&amp;AG$5</f>
        <v/>
      </c>
      <c r="AH3006" s="40">
        <f>INDEX(AH$297:AH$313,$E3006)*$D3006</f>
        <v/>
      </c>
      <c r="AI3006" s="35">
        <f>INDEX(AI$297:AI$313,$E3006)*$D3006</f>
        <v/>
      </c>
      <c r="AJ3006" s="35">
        <f>INDEX(AJ$297:AJ$313,$E3006)*$D3006</f>
        <v/>
      </c>
      <c r="AK3006" s="35">
        <f>INDEX(AK$297:AK$313,$E3006)*$D3006</f>
        <v/>
      </c>
      <c r="AL3006" s="35">
        <f>INDEX(AL$297:AL$313,$E3006)*$D3006</f>
        <v/>
      </c>
      <c r="AM3006" s="35">
        <f>INDEX(AM$297:AM$313,$E3006)*$D3006</f>
        <v/>
      </c>
      <c r="AN3006" s="35">
        <f>INDEX(AN$297:AN$313,$E3006)*$D3006</f>
        <v/>
      </c>
      <c r="AO3006" s="35">
        <f>INDEX(AO$297:AO$313,$E3006)*$D3006</f>
        <v/>
      </c>
      <c r="AP3006" s="35">
        <f>INDEX(AP$297:AP$313,$E3006)*$D3006</f>
        <v/>
      </c>
      <c r="AQ3006" s="35">
        <f>INDEX(AQ$297:AQ$313,$E3006)*$D3006</f>
        <v/>
      </c>
      <c r="AR3006" s="35">
        <f>INDEX(AR$297:AR$313,$E3006)*$D3006</f>
        <v/>
      </c>
      <c r="AS3006" s="35">
        <f>INDEX(AS$297:AS$313,$E3006)*$D3006</f>
        <v/>
      </c>
      <c r="AT3006" s="35">
        <f>INDEX(AT$297:AT$313,$E3006)*$D3006</f>
        <v/>
      </c>
      <c r="AU3006" s="35">
        <f>INDEX(AU$297:AU$313,$E3006)*$D3006</f>
        <v/>
      </c>
      <c r="AV3006" s="35">
        <f>INDEX(AV$297:AV$313,$E3006)*$D3006</f>
        <v/>
      </c>
      <c r="AW3006" s="35">
        <f>INDEX(AW$297:AW$313,$E3006)*$D3006</f>
        <v/>
      </c>
      <c r="AX3006" s="35">
        <f>INDEX(AX$297:AX$313,$E3006)*$D3006</f>
        <v/>
      </c>
      <c r="AY3006" s="35">
        <f>INDEX(AY$297:AY$313,$E3006)*$D3006</f>
        <v/>
      </c>
      <c r="AZ3006" s="35">
        <f>INDEX(AZ$297:AZ$313,$E3006)*$D3006</f>
        <v/>
      </c>
      <c r="BA3006" s="42">
        <f>SHADOWGJ(INDEX(BA$297:BA$313,$E3006),$D3006)</f>
        <v/>
      </c>
    </row>
    <row r="3007" hidden="1" outlineLevel="2"/>
    <row r="3008" hidden="1" outlineLevel="2">
      <c r="A3008" s="14" t="inlineStr">
        <is>
          <t>ener</t>
        </is>
      </c>
      <c r="B3008" s="14" t="inlineStr">
        <is>
          <t>coa</t>
        </is>
      </c>
      <c r="C3008" s="14" t="inlineStr">
        <is>
          <t>oen</t>
        </is>
      </c>
      <c r="D3008" s="35">
        <f>INDEX(Inputs!$O$5:$O$132,MATCH($B3008&amp;"|"&amp;$C3008,Inputs!$A$5:$A$132,0))</f>
        <v/>
      </c>
      <c r="E3008" s="35">
        <f>INDEX(Inputs!$P$5:$P$132,MATCH($B3008&amp;"|"&amp;$C3008,Inputs!$A$5:$A$132,0))</f>
        <v/>
      </c>
      <c r="F3008" s="35">
        <f>INDEX(Inputs!$T$5:$T$132,MATCH($B3008&amp;"|"&amp;$C3008,Inputs!$A$5:$A$132,0))</f>
        <v/>
      </c>
      <c r="G3008" s="35">
        <f>INDEX(Inputs!$S$5:$S$132,MATCH($B3008&amp;"|"&amp;$C3008,Inputs!$A$5:$A$132,0))</f>
        <v/>
      </c>
      <c r="H3008" s="14">
        <f>INDEX(VarLab,MATCH($A3008,VarKey,0))&amp;INDEX(MemLab,MATCH($C3008&amp;"|"&amp;$B3008,MemKey,0))</f>
        <v/>
      </c>
      <c r="I3008" s="14">
        <f>INDEX(VarUnit,MATCH($A3008,VarKey,0))</f>
        <v/>
      </c>
      <c r="J3008" s="14">
        <f>INDEX(VarSrc,MATCH($A3008,VarKey,0))</f>
        <v/>
      </c>
      <c r="K3008" s="11">
        <f>CodePrefix&amp;$A3008&amp;IF($C3008="","","."&amp;$C3008&amp;"."&amp;$B3008)&amp;INDEX(VarEnd,MATCH($A3008,VarKey,0))&amp;K$5</f>
        <v/>
      </c>
      <c r="L3008" s="43">
        <f>INDEX(Inputs!$X$5:$X$132,MATCH($B3008&amp;"|"&amp;$C3008,Inputs!$A$5:$A$132,0))</f>
        <v/>
      </c>
      <c r="M3008" s="44">
        <f>L3008*$G3008*(1+M$7)^$D3008*(M2990/L2990)^$E3008*((M2990+M2999)/(L2990+L2999))^$F3008</f>
        <v/>
      </c>
      <c r="N3008" s="44">
        <f>M3008*$G3008*(1+N$7)^$D3008*(N2990/M2990)^$E3008*((N2990+N2999)/(M2990+M2999))^$F3008</f>
        <v/>
      </c>
      <c r="O3008" s="44">
        <f>N3008*$G3008*(1+O$7)^$D3008*(O2990/N2990)^$E3008*((O2990+O2999)/(N2990+N2999))^$F3008</f>
        <v/>
      </c>
      <c r="P3008" s="44">
        <f>O3008*$G3008*(1+P$7)^$D3008*(P2990/O2990)^$E3008*((P2990+P2999)/(O2990+O2999))^$F3008</f>
        <v/>
      </c>
      <c r="Q3008" s="44">
        <f>P3008*$G3008*(1+Q$7)^$D3008*(Q2990/P2990)^$E3008*((Q2990+Q2999)/(P2990+P2999))^$F3008</f>
        <v/>
      </c>
      <c r="R3008" s="44">
        <f>Q3008*$G3008*(1+R$7)^$D3008*(R2990/Q2990)^$E3008*((R2990+R2999)/(Q2990+Q2999))^$F3008</f>
        <v/>
      </c>
      <c r="S3008" s="44">
        <f>R3008*$G3008*(1+S$7)^$D3008*(S2990/R2990)^$E3008*((S2990+S2999)/(R2990+R2999))^$F3008</f>
        <v/>
      </c>
      <c r="T3008" s="44">
        <f>S3008*$G3008*(1+T$7)^$D3008*(T2990/S2990)^$E3008*((T2990+T2999)/(S2990+S2999))^$F3008</f>
        <v/>
      </c>
      <c r="U3008" s="44">
        <f>T3008*$G3008*(1+U$7)^$D3008*(U2990/T2990)^$E3008*((U2990+U2999)/(T2990+T2999))^$F3008</f>
        <v/>
      </c>
      <c r="V3008" s="44">
        <f>U3008*$G3008*(1+V$7)^$D3008*(V2990/U2990)^$E3008*((V2990+V2999)/(U2990+U2999))^$F3008</f>
        <v/>
      </c>
      <c r="W3008" s="44">
        <f>V3008*$G3008*(1+W$7)^$D3008*(W2990/V2990)^$E3008*((W2990+W2999)/(V2990+V2999))^$F3008</f>
        <v/>
      </c>
      <c r="X3008" s="44">
        <f>W3008*$G3008*(1+X$7)^$D3008*(X2990/W2990)^$E3008*((X2990+X2999)/(W2990+W2999))^$F3008</f>
        <v/>
      </c>
      <c r="Y3008" s="44">
        <f>X3008*$G3008*(1+Y$7)^$D3008*(Y2990/X2990)^$E3008*((Y2990+Y2999)/(X2990+X2999))^$F3008</f>
        <v/>
      </c>
      <c r="Z3008" s="44">
        <f>Y3008*$G3008*(1+Z$7)^$D3008*(Z2990/Y2990)^$E3008*((Z2990+Z2999)/(Y2990+Y2999))^$F3008</f>
        <v/>
      </c>
      <c r="AA3008" s="44">
        <f>Z3008*$G3008*(1+AA$7)^$D3008*(AA2990/Z2990)^$E3008*((AA2990+AA2999)/(Z2990+Z2999))^$F3008</f>
        <v/>
      </c>
      <c r="AB3008" s="44">
        <f>AA3008*$G3008*(1+AB$7)^$D3008*(AB2990/AA2990)^$E3008*((AB2990+AB2999)/(AA2990+AA2999))^$F3008</f>
        <v/>
      </c>
      <c r="AC3008" s="44">
        <f>AB3008*$G3008*(1+AC$7)^$D3008*(AC2990/AB2990)^$E3008*((AC2990+AC2999)/(AB2990+AB2999))^$F3008</f>
        <v/>
      </c>
      <c r="AD3008" s="44">
        <f>AC3008*$G3008*(1+AD$7)^$D3008*(AD2990/AC2990)^$E3008*((AD2990+AD2999)/(AC2990+AC2999))^$F3008</f>
        <v/>
      </c>
      <c r="AE3008" s="57">
        <f>FUELUSE(AD3008,AE2990,AD2990,AE2999,AD2999,AE$7,$D3008,$E3008,$F3008,$G3008)</f>
        <v/>
      </c>
      <c r="AG3008" s="11">
        <f>CodePrefix&amp;$A3008&amp;IF($C3008="","","."&amp;$C3008&amp;"."&amp;$B3008)&amp;INDEX(VarEnd,MATCH($A3008,VarKey,0))&amp;AG$5</f>
        <v/>
      </c>
      <c r="AH3008" s="43">
        <f>INDEX(Inputs!$X$5:$X$132,MATCH($B3008&amp;"|"&amp;$C3008,Inputs!$A$5:$A$132,0))</f>
        <v/>
      </c>
      <c r="AI3008" s="44">
        <f>AH3008*$G3008*(1+AI$7)^$D3008*(AI2990/AH2990)^$E3008*((AI2990+AI2999)/(AH2990+AH2999))^$F3008</f>
        <v/>
      </c>
      <c r="AJ3008" s="44">
        <f>AI3008*$G3008*(1+AJ$7)^$D3008*(AJ2990/AI2990)^$E3008*((AJ2990+AJ2999)/(AI2990+AI2999))^$F3008</f>
        <v/>
      </c>
      <c r="AK3008" s="44">
        <f>AJ3008*$G3008*(1+AK$7)^$D3008*(AK2990/AJ2990)^$E3008*((AK2990+AK2999)/(AJ2990+AJ2999))^$F3008</f>
        <v/>
      </c>
      <c r="AL3008" s="44">
        <f>AK3008*$G3008*(1+AL$7)^$D3008*(AL2990/AK2990)^$E3008*((AL2990+AL2999)/(AK2990+AK2999))^$F3008</f>
        <v/>
      </c>
      <c r="AM3008" s="44">
        <f>AL3008*$G3008*(1+AM$7)^$D3008*(AM2990/AL2990)^$E3008*((AM2990+AM2999)/(AL2990+AL2999))^$F3008</f>
        <v/>
      </c>
      <c r="AN3008" s="44">
        <f>AM3008*$G3008*(1+AN$7)^$D3008*(AN2990/AM2990)^$E3008*((AN2990+AN2999)/(AM2990+AM2999))^$F3008</f>
        <v/>
      </c>
      <c r="AO3008" s="44">
        <f>AN3008*$G3008*(1+AO$7)^$D3008*(AO2990/AN2990)^$E3008*((AO2990+AO2999)/(AN2990+AN2999))^$F3008</f>
        <v/>
      </c>
      <c r="AP3008" s="44">
        <f>AO3008*$G3008*(1+AP$7)^$D3008*(AP2990/AO2990)^$E3008*((AP2990+AP2999)/(AO2990+AO2999))^$F3008</f>
        <v/>
      </c>
      <c r="AQ3008" s="44">
        <f>AP3008*$G3008*(1+AQ$7)^$D3008*(AQ2990/AP2990)^$E3008*((AQ2990+AQ2999)/(AP2990+AP2999))^$F3008</f>
        <v/>
      </c>
      <c r="AR3008" s="44">
        <f>AQ3008*$G3008*(1+AR$7)^$D3008*(AR2990/AQ2990)^$E3008*((AR2990+AR2999)/(AQ2990+AQ2999))^$F3008</f>
        <v/>
      </c>
      <c r="AS3008" s="44">
        <f>AR3008*$G3008*(1+AS$7)^$D3008*(AS2990/AR2990)^$E3008*((AS2990+AS2999)/(AR2990+AR2999))^$F3008</f>
        <v/>
      </c>
      <c r="AT3008" s="44">
        <f>AS3008*$G3008*(1+AT$7)^$D3008*(AT2990/AS2990)^$E3008*((AT2990+AT2999)/(AS2990+AS2999))^$F3008</f>
        <v/>
      </c>
      <c r="AU3008" s="44">
        <f>AT3008*$G3008*(1+AU$7)^$D3008*(AU2990/AT2990)^$E3008*((AU2990+AU2999)/(AT2990+AT2999))^$F3008</f>
        <v/>
      </c>
      <c r="AV3008" s="44">
        <f>AU3008*$G3008*(1+AV$7)^$D3008*(AV2990/AU2990)^$E3008*((AV2990+AV2999)/(AU2990+AU2999))^$F3008</f>
        <v/>
      </c>
      <c r="AW3008" s="44">
        <f>AV3008*$G3008*(1+AW$7)^$D3008*(AW2990/AV2990)^$E3008*((AW2990+AW2999)/(AV2990+AV2999))^$F3008</f>
        <v/>
      </c>
      <c r="AX3008" s="44">
        <f>AW3008*$G3008*(1+AX$7)^$D3008*(AX2990/AW2990)^$E3008*((AX2990+AX2999)/(AW2990+AW2999))^$F3008</f>
        <v/>
      </c>
      <c r="AY3008" s="44">
        <f>AX3008*$G3008*(1+AY$7)^$D3008*(AY2990/AX2990)^$E3008*((AY2990+AY2999)/(AX2990+AX2999))^$F3008</f>
        <v/>
      </c>
      <c r="AZ3008" s="44">
        <f>AY3008*$G3008*(1+AZ$7)^$D3008*(AZ2990/AY2990)^$E3008*((AZ2990+AZ2999)/(AY2990+AY2999))^$F3008</f>
        <v/>
      </c>
      <c r="BA3008" s="57">
        <f>FUELUSE(AZ3008,BA2990,AZ2990,BA2999,AZ2999,BA$7,$D3008,$E3008,$F3008,$G3008)</f>
        <v/>
      </c>
    </row>
    <row r="3009" hidden="1" outlineLevel="2">
      <c r="A3009" s="14" t="inlineStr">
        <is>
          <t>ener</t>
        </is>
      </c>
      <c r="B3009" s="14" t="inlineStr">
        <is>
          <t>nga</t>
        </is>
      </c>
      <c r="C3009" s="14" t="inlineStr">
        <is>
          <t>oen</t>
        </is>
      </c>
      <c r="D3009" s="35">
        <f>INDEX(Inputs!$O$5:$O$132,MATCH($B3009&amp;"|"&amp;$C3009,Inputs!$A$5:$A$132,0))</f>
        <v/>
      </c>
      <c r="E3009" s="35">
        <f>INDEX(Inputs!$P$5:$P$132,MATCH($B3009&amp;"|"&amp;$C3009,Inputs!$A$5:$A$132,0))</f>
        <v/>
      </c>
      <c r="F3009" s="35">
        <f>INDEX(Inputs!$T$5:$T$132,MATCH($B3009&amp;"|"&amp;$C3009,Inputs!$A$5:$A$132,0))</f>
        <v/>
      </c>
      <c r="G3009" s="35">
        <f>INDEX(Inputs!$S$5:$S$132,MATCH($B3009&amp;"|"&amp;$C3009,Inputs!$A$5:$A$132,0))</f>
        <v/>
      </c>
      <c r="H3009" s="14">
        <f>INDEX(VarLab,MATCH($A3009,VarKey,0))&amp;INDEX(MemLab,MATCH($C3009&amp;"|"&amp;$B3009,MemKey,0))</f>
        <v/>
      </c>
      <c r="I3009" s="14">
        <f>INDEX(VarUnit,MATCH($A3009,VarKey,0))</f>
        <v/>
      </c>
      <c r="J3009" s="14">
        <f>INDEX(VarSrc,MATCH($A3009,VarKey,0))</f>
        <v/>
      </c>
      <c r="K3009" s="11">
        <f>CodePrefix&amp;$A3009&amp;IF($C3009="","","."&amp;$C3009&amp;"."&amp;$B3009)&amp;INDEX(VarEnd,MATCH($A3009,VarKey,0))&amp;K$5</f>
        <v/>
      </c>
      <c r="L3009" s="43">
        <f>INDEX(Inputs!$X$5:$X$132,MATCH($B3009&amp;"|"&amp;$C3009,Inputs!$A$5:$A$132,0))</f>
        <v/>
      </c>
      <c r="M3009" s="44">
        <f>L3009*$G3009*(1+M$7)^$D3009*(M2991/L2991)^$E3009*((M2991+M3000)/(L2991+L3000))^$F3009</f>
        <v/>
      </c>
      <c r="N3009" s="44">
        <f>M3009*$G3009*(1+N$7)^$D3009*(N2991/M2991)^$E3009*((N2991+N3000)/(M2991+M3000))^$F3009</f>
        <v/>
      </c>
      <c r="O3009" s="44">
        <f>N3009*$G3009*(1+O$7)^$D3009*(O2991/N2991)^$E3009*((O2991+O3000)/(N2991+N3000))^$F3009</f>
        <v/>
      </c>
      <c r="P3009" s="44">
        <f>O3009*$G3009*(1+P$7)^$D3009*(P2991/O2991)^$E3009*((P2991+P3000)/(O2991+O3000))^$F3009</f>
        <v/>
      </c>
      <c r="Q3009" s="44">
        <f>P3009*$G3009*(1+Q$7)^$D3009*(Q2991/P2991)^$E3009*((Q2991+Q3000)/(P2991+P3000))^$F3009</f>
        <v/>
      </c>
      <c r="R3009" s="44">
        <f>Q3009*$G3009*(1+R$7)^$D3009*(R2991/Q2991)^$E3009*((R2991+R3000)/(Q2991+Q3000))^$F3009</f>
        <v/>
      </c>
      <c r="S3009" s="44">
        <f>R3009*$G3009*(1+S$7)^$D3009*(S2991/R2991)^$E3009*((S2991+S3000)/(R2991+R3000))^$F3009</f>
        <v/>
      </c>
      <c r="T3009" s="44">
        <f>S3009*$G3009*(1+T$7)^$D3009*(T2991/S2991)^$E3009*((T2991+T3000)/(S2991+S3000))^$F3009</f>
        <v/>
      </c>
      <c r="U3009" s="44">
        <f>T3009*$G3009*(1+U$7)^$D3009*(U2991/T2991)^$E3009*((U2991+U3000)/(T2991+T3000))^$F3009</f>
        <v/>
      </c>
      <c r="V3009" s="44">
        <f>U3009*$G3009*(1+V$7)^$D3009*(V2991/U2991)^$E3009*((V2991+V3000)/(U2991+U3000))^$F3009</f>
        <v/>
      </c>
      <c r="W3009" s="44">
        <f>V3009*$G3009*(1+W$7)^$D3009*(W2991/V2991)^$E3009*((W2991+W3000)/(V2991+V3000))^$F3009</f>
        <v/>
      </c>
      <c r="X3009" s="44">
        <f>W3009*$G3009*(1+X$7)^$D3009*(X2991/W2991)^$E3009*((X2991+X3000)/(W2991+W3000))^$F3009</f>
        <v/>
      </c>
      <c r="Y3009" s="44">
        <f>X3009*$G3009*(1+Y$7)^$D3009*(Y2991/X2991)^$E3009*((Y2991+Y3000)/(X2991+X3000))^$F3009</f>
        <v/>
      </c>
      <c r="Z3009" s="44">
        <f>Y3009*$G3009*(1+Z$7)^$D3009*(Z2991/Y2991)^$E3009*((Z2991+Z3000)/(Y2991+Y3000))^$F3009</f>
        <v/>
      </c>
      <c r="AA3009" s="44">
        <f>Z3009*$G3009*(1+AA$7)^$D3009*(AA2991/Z2991)^$E3009*((AA2991+AA3000)/(Z2991+Z3000))^$F3009</f>
        <v/>
      </c>
      <c r="AB3009" s="44">
        <f>AA3009*$G3009*(1+AB$7)^$D3009*(AB2991/AA2991)^$E3009*((AB2991+AB3000)/(AA2991+AA3000))^$F3009</f>
        <v/>
      </c>
      <c r="AC3009" s="44">
        <f>AB3009*$G3009*(1+AC$7)^$D3009*(AC2991/AB2991)^$E3009*((AC2991+AC3000)/(AB2991+AB3000))^$F3009</f>
        <v/>
      </c>
      <c r="AD3009" s="44">
        <f>AC3009*$G3009*(1+AD$7)^$D3009*(AD2991/AC2991)^$E3009*((AD2991+AD3000)/(AC2991+AC3000))^$F3009</f>
        <v/>
      </c>
      <c r="AE3009" s="57">
        <f>FUELUSE(AD3009,AE2991,AD2991,AE3000,AD3000,AE$7,$D3009,$E3009,$F3009,$G3009)</f>
        <v/>
      </c>
      <c r="AG3009" s="11">
        <f>CodePrefix&amp;$A3009&amp;IF($C3009="","","."&amp;$C3009&amp;"."&amp;$B3009)&amp;INDEX(VarEnd,MATCH($A3009,VarKey,0))&amp;AG$5</f>
        <v/>
      </c>
      <c r="AH3009" s="43">
        <f>INDEX(Inputs!$X$5:$X$132,MATCH($B3009&amp;"|"&amp;$C3009,Inputs!$A$5:$A$132,0))</f>
        <v/>
      </c>
      <c r="AI3009" s="44">
        <f>AH3009*$G3009*(1+AI$7)^$D3009*(AI2991/AH2991)^$E3009*((AI2991+AI3000)/(AH2991+AH3000))^$F3009</f>
        <v/>
      </c>
      <c r="AJ3009" s="44">
        <f>AI3009*$G3009*(1+AJ$7)^$D3009*(AJ2991/AI2991)^$E3009*((AJ2991+AJ3000)/(AI2991+AI3000))^$F3009</f>
        <v/>
      </c>
      <c r="AK3009" s="44">
        <f>AJ3009*$G3009*(1+AK$7)^$D3009*(AK2991/AJ2991)^$E3009*((AK2991+AK3000)/(AJ2991+AJ3000))^$F3009</f>
        <v/>
      </c>
      <c r="AL3009" s="44">
        <f>AK3009*$G3009*(1+AL$7)^$D3009*(AL2991/AK2991)^$E3009*((AL2991+AL3000)/(AK2991+AK3000))^$F3009</f>
        <v/>
      </c>
      <c r="AM3009" s="44">
        <f>AL3009*$G3009*(1+AM$7)^$D3009*(AM2991/AL2991)^$E3009*((AM2991+AM3000)/(AL2991+AL3000))^$F3009</f>
        <v/>
      </c>
      <c r="AN3009" s="44">
        <f>AM3009*$G3009*(1+AN$7)^$D3009*(AN2991/AM2991)^$E3009*((AN2991+AN3000)/(AM2991+AM3000))^$F3009</f>
        <v/>
      </c>
      <c r="AO3009" s="44">
        <f>AN3009*$G3009*(1+AO$7)^$D3009*(AO2991/AN2991)^$E3009*((AO2991+AO3000)/(AN2991+AN3000))^$F3009</f>
        <v/>
      </c>
      <c r="AP3009" s="44">
        <f>AO3009*$G3009*(1+AP$7)^$D3009*(AP2991/AO2991)^$E3009*((AP2991+AP3000)/(AO2991+AO3000))^$F3009</f>
        <v/>
      </c>
      <c r="AQ3009" s="44">
        <f>AP3009*$G3009*(1+AQ$7)^$D3009*(AQ2991/AP2991)^$E3009*((AQ2991+AQ3000)/(AP2991+AP3000))^$F3009</f>
        <v/>
      </c>
      <c r="AR3009" s="44">
        <f>AQ3009*$G3009*(1+AR$7)^$D3009*(AR2991/AQ2991)^$E3009*((AR2991+AR3000)/(AQ2991+AQ3000))^$F3009</f>
        <v/>
      </c>
      <c r="AS3009" s="44">
        <f>AR3009*$G3009*(1+AS$7)^$D3009*(AS2991/AR2991)^$E3009*((AS2991+AS3000)/(AR2991+AR3000))^$F3009</f>
        <v/>
      </c>
      <c r="AT3009" s="44">
        <f>AS3009*$G3009*(1+AT$7)^$D3009*(AT2991/AS2991)^$E3009*((AT2991+AT3000)/(AS2991+AS3000))^$F3009</f>
        <v/>
      </c>
      <c r="AU3009" s="44">
        <f>AT3009*$G3009*(1+AU$7)^$D3009*(AU2991/AT2991)^$E3009*((AU2991+AU3000)/(AT2991+AT3000))^$F3009</f>
        <v/>
      </c>
      <c r="AV3009" s="44">
        <f>AU3009*$G3009*(1+AV$7)^$D3009*(AV2991/AU2991)^$E3009*((AV2991+AV3000)/(AU2991+AU3000))^$F3009</f>
        <v/>
      </c>
      <c r="AW3009" s="44">
        <f>AV3009*$G3009*(1+AW$7)^$D3009*(AW2991/AV2991)^$E3009*((AW2991+AW3000)/(AV2991+AV3000))^$F3009</f>
        <v/>
      </c>
      <c r="AX3009" s="44">
        <f>AW3009*$G3009*(1+AX$7)^$D3009*(AX2991/AW2991)^$E3009*((AX2991+AX3000)/(AW2991+AW3000))^$F3009</f>
        <v/>
      </c>
      <c r="AY3009" s="44">
        <f>AX3009*$G3009*(1+AY$7)^$D3009*(AY2991/AX2991)^$E3009*((AY2991+AY3000)/(AX2991+AX3000))^$F3009</f>
        <v/>
      </c>
      <c r="AZ3009" s="44">
        <f>AY3009*$G3009*(1+AZ$7)^$D3009*(AZ2991/AY2991)^$E3009*((AZ2991+AZ3000)/(AY2991+AY3000))^$F3009</f>
        <v/>
      </c>
      <c r="BA3009" s="57">
        <f>FUELUSE(AZ3009,BA2991,AZ2991,BA3000,AZ3000,BA$7,$D3009,$E3009,$F3009,$G3009)</f>
        <v/>
      </c>
    </row>
    <row r="3010" hidden="1" outlineLevel="2">
      <c r="A3010" s="14" t="inlineStr">
        <is>
          <t>ener</t>
        </is>
      </c>
      <c r="B3010" s="14" t="inlineStr">
        <is>
          <t>gso</t>
        </is>
      </c>
      <c r="C3010" s="14" t="inlineStr">
        <is>
          <t>oen</t>
        </is>
      </c>
      <c r="D3010" s="35">
        <f>INDEX(Inputs!$O$5:$O$132,MATCH($B3010&amp;"|"&amp;$C3010,Inputs!$A$5:$A$132,0))</f>
        <v/>
      </c>
      <c r="E3010" s="35">
        <f>INDEX(Inputs!$P$5:$P$132,MATCH($B3010&amp;"|"&amp;$C3010,Inputs!$A$5:$A$132,0))</f>
        <v/>
      </c>
      <c r="F3010" s="35">
        <f>INDEX(Inputs!$T$5:$T$132,MATCH($B3010&amp;"|"&amp;$C3010,Inputs!$A$5:$A$132,0))</f>
        <v/>
      </c>
      <c r="G3010" s="35">
        <f>INDEX(Inputs!$S$5:$S$132,MATCH($B3010&amp;"|"&amp;$C3010,Inputs!$A$5:$A$132,0))</f>
        <v/>
      </c>
      <c r="H3010" s="14">
        <f>INDEX(VarLab,MATCH($A3010,VarKey,0))&amp;INDEX(MemLab,MATCH($C3010&amp;"|"&amp;$B3010,MemKey,0))</f>
        <v/>
      </c>
      <c r="I3010" s="14">
        <f>INDEX(VarUnit,MATCH($A3010,VarKey,0))</f>
        <v/>
      </c>
      <c r="J3010" s="14">
        <f>INDEX(VarSrc,MATCH($A3010,VarKey,0))</f>
        <v/>
      </c>
      <c r="K3010" s="11">
        <f>CodePrefix&amp;$A3010&amp;IF($C3010="","","."&amp;$C3010&amp;"."&amp;$B3010)&amp;INDEX(VarEnd,MATCH($A3010,VarKey,0))&amp;K$5</f>
        <v/>
      </c>
      <c r="L3010" s="43">
        <f>INDEX(Inputs!$X$5:$X$132,MATCH($B3010&amp;"|"&amp;$C3010,Inputs!$A$5:$A$132,0))</f>
        <v/>
      </c>
      <c r="M3010" s="44">
        <f>L3010*$G3010*(1+M$7)^$D3010*(M2992/L2992)^$E3010*((M2992+M3001)/(L2992+L3001))^$F3010</f>
        <v/>
      </c>
      <c r="N3010" s="44">
        <f>M3010*$G3010*(1+N$7)^$D3010*(N2992/M2992)^$E3010*((N2992+N3001)/(M2992+M3001))^$F3010</f>
        <v/>
      </c>
      <c r="O3010" s="44">
        <f>N3010*$G3010*(1+O$7)^$D3010*(O2992/N2992)^$E3010*((O2992+O3001)/(N2992+N3001))^$F3010</f>
        <v/>
      </c>
      <c r="P3010" s="44">
        <f>O3010*$G3010*(1+P$7)^$D3010*(P2992/O2992)^$E3010*((P2992+P3001)/(O2992+O3001))^$F3010</f>
        <v/>
      </c>
      <c r="Q3010" s="44">
        <f>P3010*$G3010*(1+Q$7)^$D3010*(Q2992/P2992)^$E3010*((Q2992+Q3001)/(P2992+P3001))^$F3010</f>
        <v/>
      </c>
      <c r="R3010" s="44">
        <f>Q3010*$G3010*(1+R$7)^$D3010*(R2992/Q2992)^$E3010*((R2992+R3001)/(Q2992+Q3001))^$F3010</f>
        <v/>
      </c>
      <c r="S3010" s="44">
        <f>R3010*$G3010*(1+S$7)^$D3010*(S2992/R2992)^$E3010*((S2992+S3001)/(R2992+R3001))^$F3010</f>
        <v/>
      </c>
      <c r="T3010" s="44">
        <f>S3010*$G3010*(1+T$7)^$D3010*(T2992/S2992)^$E3010*((T2992+T3001)/(S2992+S3001))^$F3010</f>
        <v/>
      </c>
      <c r="U3010" s="44">
        <f>T3010*$G3010*(1+U$7)^$D3010*(U2992/T2992)^$E3010*((U2992+U3001)/(T2992+T3001))^$F3010</f>
        <v/>
      </c>
      <c r="V3010" s="44">
        <f>U3010*$G3010*(1+V$7)^$D3010*(V2992/U2992)^$E3010*((V2992+V3001)/(U2992+U3001))^$F3010</f>
        <v/>
      </c>
      <c r="W3010" s="44">
        <f>V3010*$G3010*(1+W$7)^$D3010*(W2992/V2992)^$E3010*((W2992+W3001)/(V2992+V3001))^$F3010</f>
        <v/>
      </c>
      <c r="X3010" s="44">
        <f>W3010*$G3010*(1+X$7)^$D3010*(X2992/W2992)^$E3010*((X2992+X3001)/(W2992+W3001))^$F3010</f>
        <v/>
      </c>
      <c r="Y3010" s="44">
        <f>X3010*$G3010*(1+Y$7)^$D3010*(Y2992/X2992)^$E3010*((Y2992+Y3001)/(X2992+X3001))^$F3010</f>
        <v/>
      </c>
      <c r="Z3010" s="44">
        <f>Y3010*$G3010*(1+Z$7)^$D3010*(Z2992/Y2992)^$E3010*((Z2992+Z3001)/(Y2992+Y3001))^$F3010</f>
        <v/>
      </c>
      <c r="AA3010" s="44">
        <f>Z3010*$G3010*(1+AA$7)^$D3010*(AA2992/Z2992)^$E3010*((AA2992+AA3001)/(Z2992+Z3001))^$F3010</f>
        <v/>
      </c>
      <c r="AB3010" s="44">
        <f>AA3010*$G3010*(1+AB$7)^$D3010*(AB2992/AA2992)^$E3010*((AB2992+AB3001)/(AA2992+AA3001))^$F3010</f>
        <v/>
      </c>
      <c r="AC3010" s="44">
        <f>AB3010*$G3010*(1+AC$7)^$D3010*(AC2992/AB2992)^$E3010*((AC2992+AC3001)/(AB2992+AB3001))^$F3010</f>
        <v/>
      </c>
      <c r="AD3010" s="44">
        <f>AC3010*$G3010*(1+AD$7)^$D3010*(AD2992/AC2992)^$E3010*((AD2992+AD3001)/(AC2992+AC3001))^$F3010</f>
        <v/>
      </c>
      <c r="AE3010" s="57">
        <f>FUELUSE(AD3010,AE2992,AD2992,AE3001,AD3001,AE$7,$D3010,$E3010,$F3010,$G3010)</f>
        <v/>
      </c>
      <c r="AG3010" s="11">
        <f>CodePrefix&amp;$A3010&amp;IF($C3010="","","."&amp;$C3010&amp;"."&amp;$B3010)&amp;INDEX(VarEnd,MATCH($A3010,VarKey,0))&amp;AG$5</f>
        <v/>
      </c>
      <c r="AH3010" s="43">
        <f>INDEX(Inputs!$X$5:$X$132,MATCH($B3010&amp;"|"&amp;$C3010,Inputs!$A$5:$A$132,0))</f>
        <v/>
      </c>
      <c r="AI3010" s="44">
        <f>AH3010*$G3010*(1+AI$7)^$D3010*(AI2992/AH2992)^$E3010*((AI2992+AI3001)/(AH2992+AH3001))^$F3010</f>
        <v/>
      </c>
      <c r="AJ3010" s="44">
        <f>AI3010*$G3010*(1+AJ$7)^$D3010*(AJ2992/AI2992)^$E3010*((AJ2992+AJ3001)/(AI2992+AI3001))^$F3010</f>
        <v/>
      </c>
      <c r="AK3010" s="44">
        <f>AJ3010*$G3010*(1+AK$7)^$D3010*(AK2992/AJ2992)^$E3010*((AK2992+AK3001)/(AJ2992+AJ3001))^$F3010</f>
        <v/>
      </c>
      <c r="AL3010" s="44">
        <f>AK3010*$G3010*(1+AL$7)^$D3010*(AL2992/AK2992)^$E3010*((AL2992+AL3001)/(AK2992+AK3001))^$F3010</f>
        <v/>
      </c>
      <c r="AM3010" s="44">
        <f>AL3010*$G3010*(1+AM$7)^$D3010*(AM2992/AL2992)^$E3010*((AM2992+AM3001)/(AL2992+AL3001))^$F3010</f>
        <v/>
      </c>
      <c r="AN3010" s="44">
        <f>AM3010*$G3010*(1+AN$7)^$D3010*(AN2992/AM2992)^$E3010*((AN2992+AN3001)/(AM2992+AM3001))^$F3010</f>
        <v/>
      </c>
      <c r="AO3010" s="44">
        <f>AN3010*$G3010*(1+AO$7)^$D3010*(AO2992/AN2992)^$E3010*((AO2992+AO3001)/(AN2992+AN3001))^$F3010</f>
        <v/>
      </c>
      <c r="AP3010" s="44">
        <f>AO3010*$G3010*(1+AP$7)^$D3010*(AP2992/AO2992)^$E3010*((AP2992+AP3001)/(AO2992+AO3001))^$F3010</f>
        <v/>
      </c>
      <c r="AQ3010" s="44">
        <f>AP3010*$G3010*(1+AQ$7)^$D3010*(AQ2992/AP2992)^$E3010*((AQ2992+AQ3001)/(AP2992+AP3001))^$F3010</f>
        <v/>
      </c>
      <c r="AR3010" s="44">
        <f>AQ3010*$G3010*(1+AR$7)^$D3010*(AR2992/AQ2992)^$E3010*((AR2992+AR3001)/(AQ2992+AQ3001))^$F3010</f>
        <v/>
      </c>
      <c r="AS3010" s="44">
        <f>AR3010*$G3010*(1+AS$7)^$D3010*(AS2992/AR2992)^$E3010*((AS2992+AS3001)/(AR2992+AR3001))^$F3010</f>
        <v/>
      </c>
      <c r="AT3010" s="44">
        <f>AS3010*$G3010*(1+AT$7)^$D3010*(AT2992/AS2992)^$E3010*((AT2992+AT3001)/(AS2992+AS3001))^$F3010</f>
        <v/>
      </c>
      <c r="AU3010" s="44">
        <f>AT3010*$G3010*(1+AU$7)^$D3010*(AU2992/AT2992)^$E3010*((AU2992+AU3001)/(AT2992+AT3001))^$F3010</f>
        <v/>
      </c>
      <c r="AV3010" s="44">
        <f>AU3010*$G3010*(1+AV$7)^$D3010*(AV2992/AU2992)^$E3010*((AV2992+AV3001)/(AU2992+AU3001))^$F3010</f>
        <v/>
      </c>
      <c r="AW3010" s="44">
        <f>AV3010*$G3010*(1+AW$7)^$D3010*(AW2992/AV2992)^$E3010*((AW2992+AW3001)/(AV2992+AV3001))^$F3010</f>
        <v/>
      </c>
      <c r="AX3010" s="44">
        <f>AW3010*$G3010*(1+AX$7)^$D3010*(AX2992/AW2992)^$E3010*((AX2992+AX3001)/(AW2992+AW3001))^$F3010</f>
        <v/>
      </c>
      <c r="AY3010" s="44">
        <f>AX3010*$G3010*(1+AY$7)^$D3010*(AY2992/AX2992)^$E3010*((AY2992+AY3001)/(AX2992+AX3001))^$F3010</f>
        <v/>
      </c>
      <c r="AZ3010" s="44">
        <f>AY3010*$G3010*(1+AZ$7)^$D3010*(AZ2992/AY2992)^$E3010*((AZ2992+AZ3001)/(AY2992+AY3001))^$F3010</f>
        <v/>
      </c>
      <c r="BA3010" s="57">
        <f>FUELUSE(AZ3010,BA2992,AZ2992,BA3001,AZ3001,BA$7,$D3010,$E3010,$F3010,$G3010)</f>
        <v/>
      </c>
    </row>
    <row r="3011" hidden="1" outlineLevel="2">
      <c r="A3011" s="14" t="inlineStr">
        <is>
          <t>ener</t>
        </is>
      </c>
      <c r="B3011" s="14" t="inlineStr">
        <is>
          <t>die</t>
        </is>
      </c>
      <c r="C3011" s="14" t="inlineStr">
        <is>
          <t>oen</t>
        </is>
      </c>
      <c r="D3011" s="35">
        <f>INDEX(Inputs!$O$5:$O$132,MATCH($B3011&amp;"|"&amp;$C3011,Inputs!$A$5:$A$132,0))</f>
        <v/>
      </c>
      <c r="E3011" s="35">
        <f>INDEX(Inputs!$P$5:$P$132,MATCH($B3011&amp;"|"&amp;$C3011,Inputs!$A$5:$A$132,0))</f>
        <v/>
      </c>
      <c r="F3011" s="35">
        <f>INDEX(Inputs!$T$5:$T$132,MATCH($B3011&amp;"|"&amp;$C3011,Inputs!$A$5:$A$132,0))</f>
        <v/>
      </c>
      <c r="G3011" s="35">
        <f>INDEX(Inputs!$S$5:$S$132,MATCH($B3011&amp;"|"&amp;$C3011,Inputs!$A$5:$A$132,0))</f>
        <v/>
      </c>
      <c r="H3011" s="14">
        <f>INDEX(VarLab,MATCH($A3011,VarKey,0))&amp;INDEX(MemLab,MATCH($C3011&amp;"|"&amp;$B3011,MemKey,0))</f>
        <v/>
      </c>
      <c r="I3011" s="14">
        <f>INDEX(VarUnit,MATCH($A3011,VarKey,0))</f>
        <v/>
      </c>
      <c r="J3011" s="14">
        <f>INDEX(VarSrc,MATCH($A3011,VarKey,0))</f>
        <v/>
      </c>
      <c r="K3011" s="11">
        <f>CodePrefix&amp;$A3011&amp;IF($C3011="","","."&amp;$C3011&amp;"."&amp;$B3011)&amp;INDEX(VarEnd,MATCH($A3011,VarKey,0))&amp;K$5</f>
        <v/>
      </c>
      <c r="L3011" s="43">
        <f>INDEX(Inputs!$X$5:$X$132,MATCH($B3011&amp;"|"&amp;$C3011,Inputs!$A$5:$A$132,0))</f>
        <v/>
      </c>
      <c r="M3011" s="44">
        <f>L3011*$G3011*(1+M$7)^$D3011*(M2993/L2993)^$E3011*((M2993+M3002)/(L2993+L3002))^$F3011</f>
        <v/>
      </c>
      <c r="N3011" s="44">
        <f>M3011*$G3011*(1+N$7)^$D3011*(N2993/M2993)^$E3011*((N2993+N3002)/(M2993+M3002))^$F3011</f>
        <v/>
      </c>
      <c r="O3011" s="44">
        <f>N3011*$G3011*(1+O$7)^$D3011*(O2993/N2993)^$E3011*((O2993+O3002)/(N2993+N3002))^$F3011</f>
        <v/>
      </c>
      <c r="P3011" s="44">
        <f>O3011*$G3011*(1+P$7)^$D3011*(P2993/O2993)^$E3011*((P2993+P3002)/(O2993+O3002))^$F3011</f>
        <v/>
      </c>
      <c r="Q3011" s="44">
        <f>P3011*$G3011*(1+Q$7)^$D3011*(Q2993/P2993)^$E3011*((Q2993+Q3002)/(P2993+P3002))^$F3011</f>
        <v/>
      </c>
      <c r="R3011" s="44">
        <f>Q3011*$G3011*(1+R$7)^$D3011*(R2993/Q2993)^$E3011*((R2993+R3002)/(Q2993+Q3002))^$F3011</f>
        <v/>
      </c>
      <c r="S3011" s="44">
        <f>R3011*$G3011*(1+S$7)^$D3011*(S2993/R2993)^$E3011*((S2993+S3002)/(R2993+R3002))^$F3011</f>
        <v/>
      </c>
      <c r="T3011" s="44">
        <f>S3011*$G3011*(1+T$7)^$D3011*(T2993/S2993)^$E3011*((T2993+T3002)/(S2993+S3002))^$F3011</f>
        <v/>
      </c>
      <c r="U3011" s="44">
        <f>T3011*$G3011*(1+U$7)^$D3011*(U2993/T2993)^$E3011*((U2993+U3002)/(T2993+T3002))^$F3011</f>
        <v/>
      </c>
      <c r="V3011" s="44">
        <f>U3011*$G3011*(1+V$7)^$D3011*(V2993/U2993)^$E3011*((V2993+V3002)/(U2993+U3002))^$F3011</f>
        <v/>
      </c>
      <c r="W3011" s="44">
        <f>V3011*$G3011*(1+W$7)^$D3011*(W2993/V2993)^$E3011*((W2993+W3002)/(V2993+V3002))^$F3011</f>
        <v/>
      </c>
      <c r="X3011" s="44">
        <f>W3011*$G3011*(1+X$7)^$D3011*(X2993/W2993)^$E3011*((X2993+X3002)/(W2993+W3002))^$F3011</f>
        <v/>
      </c>
      <c r="Y3011" s="44">
        <f>X3011*$G3011*(1+Y$7)^$D3011*(Y2993/X2993)^$E3011*((Y2993+Y3002)/(X2993+X3002))^$F3011</f>
        <v/>
      </c>
      <c r="Z3011" s="44">
        <f>Y3011*$G3011*(1+Z$7)^$D3011*(Z2993/Y2993)^$E3011*((Z2993+Z3002)/(Y2993+Y3002))^$F3011</f>
        <v/>
      </c>
      <c r="AA3011" s="44">
        <f>Z3011*$G3011*(1+AA$7)^$D3011*(AA2993/Z2993)^$E3011*((AA2993+AA3002)/(Z2993+Z3002))^$F3011</f>
        <v/>
      </c>
      <c r="AB3011" s="44">
        <f>AA3011*$G3011*(1+AB$7)^$D3011*(AB2993/AA2993)^$E3011*((AB2993+AB3002)/(AA2993+AA3002))^$F3011</f>
        <v/>
      </c>
      <c r="AC3011" s="44">
        <f>AB3011*$G3011*(1+AC$7)^$D3011*(AC2993/AB2993)^$E3011*((AC2993+AC3002)/(AB2993+AB3002))^$F3011</f>
        <v/>
      </c>
      <c r="AD3011" s="44">
        <f>AC3011*$G3011*(1+AD$7)^$D3011*(AD2993/AC2993)^$E3011*((AD2993+AD3002)/(AC2993+AC3002))^$F3011</f>
        <v/>
      </c>
      <c r="AE3011" s="57">
        <f>FUELUSE(AD3011,AE2993,AD2993,AE3002,AD3002,AE$7,$D3011,$E3011,$F3011,$G3011)</f>
        <v/>
      </c>
      <c r="AG3011" s="11">
        <f>CodePrefix&amp;$A3011&amp;IF($C3011="","","."&amp;$C3011&amp;"."&amp;$B3011)&amp;INDEX(VarEnd,MATCH($A3011,VarKey,0))&amp;AG$5</f>
        <v/>
      </c>
      <c r="AH3011" s="43">
        <f>INDEX(Inputs!$X$5:$X$132,MATCH($B3011&amp;"|"&amp;$C3011,Inputs!$A$5:$A$132,0))</f>
        <v/>
      </c>
      <c r="AI3011" s="44">
        <f>AH3011*$G3011*(1+AI$7)^$D3011*(AI2993/AH2993)^$E3011*((AI2993+AI3002)/(AH2993+AH3002))^$F3011</f>
        <v/>
      </c>
      <c r="AJ3011" s="44">
        <f>AI3011*$G3011*(1+AJ$7)^$D3011*(AJ2993/AI2993)^$E3011*((AJ2993+AJ3002)/(AI2993+AI3002))^$F3011</f>
        <v/>
      </c>
      <c r="AK3011" s="44">
        <f>AJ3011*$G3011*(1+AK$7)^$D3011*(AK2993/AJ2993)^$E3011*((AK2993+AK3002)/(AJ2993+AJ3002))^$F3011</f>
        <v/>
      </c>
      <c r="AL3011" s="44">
        <f>AK3011*$G3011*(1+AL$7)^$D3011*(AL2993/AK2993)^$E3011*((AL2993+AL3002)/(AK2993+AK3002))^$F3011</f>
        <v/>
      </c>
      <c r="AM3011" s="44">
        <f>AL3011*$G3011*(1+AM$7)^$D3011*(AM2993/AL2993)^$E3011*((AM2993+AM3002)/(AL2993+AL3002))^$F3011</f>
        <v/>
      </c>
      <c r="AN3011" s="44">
        <f>AM3011*$G3011*(1+AN$7)^$D3011*(AN2993/AM2993)^$E3011*((AN2993+AN3002)/(AM2993+AM3002))^$F3011</f>
        <v/>
      </c>
      <c r="AO3011" s="44">
        <f>AN3011*$G3011*(1+AO$7)^$D3011*(AO2993/AN2993)^$E3011*((AO2993+AO3002)/(AN2993+AN3002))^$F3011</f>
        <v/>
      </c>
      <c r="AP3011" s="44">
        <f>AO3011*$G3011*(1+AP$7)^$D3011*(AP2993/AO2993)^$E3011*((AP2993+AP3002)/(AO2993+AO3002))^$F3011</f>
        <v/>
      </c>
      <c r="AQ3011" s="44">
        <f>AP3011*$G3011*(1+AQ$7)^$D3011*(AQ2993/AP2993)^$E3011*((AQ2993+AQ3002)/(AP2993+AP3002))^$F3011</f>
        <v/>
      </c>
      <c r="AR3011" s="44">
        <f>AQ3011*$G3011*(1+AR$7)^$D3011*(AR2993/AQ2993)^$E3011*((AR2993+AR3002)/(AQ2993+AQ3002))^$F3011</f>
        <v/>
      </c>
      <c r="AS3011" s="44">
        <f>AR3011*$G3011*(1+AS$7)^$D3011*(AS2993/AR2993)^$E3011*((AS2993+AS3002)/(AR2993+AR3002))^$F3011</f>
        <v/>
      </c>
      <c r="AT3011" s="44">
        <f>AS3011*$G3011*(1+AT$7)^$D3011*(AT2993/AS2993)^$E3011*((AT2993+AT3002)/(AS2993+AS3002))^$F3011</f>
        <v/>
      </c>
      <c r="AU3011" s="44">
        <f>AT3011*$G3011*(1+AU$7)^$D3011*(AU2993/AT2993)^$E3011*((AU2993+AU3002)/(AT2993+AT3002))^$F3011</f>
        <v/>
      </c>
      <c r="AV3011" s="44">
        <f>AU3011*$G3011*(1+AV$7)^$D3011*(AV2993/AU2993)^$E3011*((AV2993+AV3002)/(AU2993+AU3002))^$F3011</f>
        <v/>
      </c>
      <c r="AW3011" s="44">
        <f>AV3011*$G3011*(1+AW$7)^$D3011*(AW2993/AV2993)^$E3011*((AW2993+AW3002)/(AV2993+AV3002))^$F3011</f>
        <v/>
      </c>
      <c r="AX3011" s="44">
        <f>AW3011*$G3011*(1+AX$7)^$D3011*(AX2993/AW2993)^$E3011*((AX2993+AX3002)/(AW2993+AW3002))^$F3011</f>
        <v/>
      </c>
      <c r="AY3011" s="44">
        <f>AX3011*$G3011*(1+AY$7)^$D3011*(AY2993/AX2993)^$E3011*((AY2993+AY3002)/(AX2993+AX3002))^$F3011</f>
        <v/>
      </c>
      <c r="AZ3011" s="44">
        <f>AY3011*$G3011*(1+AZ$7)^$D3011*(AZ2993/AY2993)^$E3011*((AZ2993+AZ3002)/(AY2993+AY3002))^$F3011</f>
        <v/>
      </c>
      <c r="BA3011" s="57">
        <f>FUELUSE(AZ3011,BA2993,AZ2993,BA3002,AZ3002,BA$7,$D3011,$E3011,$F3011,$G3011)</f>
        <v/>
      </c>
    </row>
    <row r="3012" hidden="1" outlineLevel="2">
      <c r="A3012" s="14" t="inlineStr">
        <is>
          <t>ener</t>
        </is>
      </c>
      <c r="B3012" s="14" t="inlineStr">
        <is>
          <t>lpg</t>
        </is>
      </c>
      <c r="C3012" s="14" t="inlineStr">
        <is>
          <t>oen</t>
        </is>
      </c>
      <c r="D3012" s="35">
        <f>INDEX(Inputs!$O$5:$O$132,MATCH($B3012&amp;"|"&amp;$C3012,Inputs!$A$5:$A$132,0))</f>
        <v/>
      </c>
      <c r="E3012" s="35">
        <f>INDEX(Inputs!$P$5:$P$132,MATCH($B3012&amp;"|"&amp;$C3012,Inputs!$A$5:$A$132,0))</f>
        <v/>
      </c>
      <c r="F3012" s="35">
        <f>INDEX(Inputs!$T$5:$T$132,MATCH($B3012&amp;"|"&amp;$C3012,Inputs!$A$5:$A$132,0))</f>
        <v/>
      </c>
      <c r="G3012" s="35">
        <f>INDEX(Inputs!$S$5:$S$132,MATCH($B3012&amp;"|"&amp;$C3012,Inputs!$A$5:$A$132,0))</f>
        <v/>
      </c>
      <c r="H3012" s="14">
        <f>INDEX(VarLab,MATCH($A3012,VarKey,0))&amp;INDEX(MemLab,MATCH($C3012&amp;"|"&amp;$B3012,MemKey,0))</f>
        <v/>
      </c>
      <c r="I3012" s="14">
        <f>INDEX(VarUnit,MATCH($A3012,VarKey,0))</f>
        <v/>
      </c>
      <c r="J3012" s="14">
        <f>INDEX(VarSrc,MATCH($A3012,VarKey,0))</f>
        <v/>
      </c>
      <c r="K3012" s="11">
        <f>CodePrefix&amp;$A3012&amp;IF($C3012="","","."&amp;$C3012&amp;"."&amp;$B3012)&amp;INDEX(VarEnd,MATCH($A3012,VarKey,0))&amp;K$5</f>
        <v/>
      </c>
      <c r="L3012" s="43">
        <f>INDEX(Inputs!$X$5:$X$132,MATCH($B3012&amp;"|"&amp;$C3012,Inputs!$A$5:$A$132,0))</f>
        <v/>
      </c>
      <c r="M3012" s="44">
        <f>L3012*$G3012*(1+M$7)^$D3012*(M2994/L2994)^$E3012*((M2994+M3003)/(L2994+L3003))^$F3012</f>
        <v/>
      </c>
      <c r="N3012" s="44">
        <f>M3012*$G3012*(1+N$7)^$D3012*(N2994/M2994)^$E3012*((N2994+N3003)/(M2994+M3003))^$F3012</f>
        <v/>
      </c>
      <c r="O3012" s="44">
        <f>N3012*$G3012*(1+O$7)^$D3012*(O2994/N2994)^$E3012*((O2994+O3003)/(N2994+N3003))^$F3012</f>
        <v/>
      </c>
      <c r="P3012" s="44">
        <f>O3012*$G3012*(1+P$7)^$D3012*(P2994/O2994)^$E3012*((P2994+P3003)/(O2994+O3003))^$F3012</f>
        <v/>
      </c>
      <c r="Q3012" s="44">
        <f>P3012*$G3012*(1+Q$7)^$D3012*(Q2994/P2994)^$E3012*((Q2994+Q3003)/(P2994+P3003))^$F3012</f>
        <v/>
      </c>
      <c r="R3012" s="44">
        <f>Q3012*$G3012*(1+R$7)^$D3012*(R2994/Q2994)^$E3012*((R2994+R3003)/(Q2994+Q3003))^$F3012</f>
        <v/>
      </c>
      <c r="S3012" s="44">
        <f>R3012*$G3012*(1+S$7)^$D3012*(S2994/R2994)^$E3012*((S2994+S3003)/(R2994+R3003))^$F3012</f>
        <v/>
      </c>
      <c r="T3012" s="44">
        <f>S3012*$G3012*(1+T$7)^$D3012*(T2994/S2994)^$E3012*((T2994+T3003)/(S2994+S3003))^$F3012</f>
        <v/>
      </c>
      <c r="U3012" s="44">
        <f>T3012*$G3012*(1+U$7)^$D3012*(U2994/T2994)^$E3012*((U2994+U3003)/(T2994+T3003))^$F3012</f>
        <v/>
      </c>
      <c r="V3012" s="44">
        <f>U3012*$G3012*(1+V$7)^$D3012*(V2994/U2994)^$E3012*((V2994+V3003)/(U2994+U3003))^$F3012</f>
        <v/>
      </c>
      <c r="W3012" s="44">
        <f>V3012*$G3012*(1+W$7)^$D3012*(W2994/V2994)^$E3012*((W2994+W3003)/(V2994+V3003))^$F3012</f>
        <v/>
      </c>
      <c r="X3012" s="44">
        <f>W3012*$G3012*(1+X$7)^$D3012*(X2994/W2994)^$E3012*((X2994+X3003)/(W2994+W3003))^$F3012</f>
        <v/>
      </c>
      <c r="Y3012" s="44">
        <f>X3012*$G3012*(1+Y$7)^$D3012*(Y2994/X2994)^$E3012*((Y2994+Y3003)/(X2994+X3003))^$F3012</f>
        <v/>
      </c>
      <c r="Z3012" s="44">
        <f>Y3012*$G3012*(1+Z$7)^$D3012*(Z2994/Y2994)^$E3012*((Z2994+Z3003)/(Y2994+Y3003))^$F3012</f>
        <v/>
      </c>
      <c r="AA3012" s="44">
        <f>Z3012*$G3012*(1+AA$7)^$D3012*(AA2994/Z2994)^$E3012*((AA2994+AA3003)/(Z2994+Z3003))^$F3012</f>
        <v/>
      </c>
      <c r="AB3012" s="44">
        <f>AA3012*$G3012*(1+AB$7)^$D3012*(AB2994/AA2994)^$E3012*((AB2994+AB3003)/(AA2994+AA3003))^$F3012</f>
        <v/>
      </c>
      <c r="AC3012" s="44">
        <f>AB3012*$G3012*(1+AC$7)^$D3012*(AC2994/AB2994)^$E3012*((AC2994+AC3003)/(AB2994+AB3003))^$F3012</f>
        <v/>
      </c>
      <c r="AD3012" s="44">
        <f>AC3012*$G3012*(1+AD$7)^$D3012*(AD2994/AC2994)^$E3012*((AD2994+AD3003)/(AC2994+AC3003))^$F3012</f>
        <v/>
      </c>
      <c r="AE3012" s="57">
        <f>FUELUSE(AD3012,AE2994,AD2994,AE3003,AD3003,AE$7,$D3012,$E3012,$F3012,$G3012)</f>
        <v/>
      </c>
      <c r="AG3012" s="11">
        <f>CodePrefix&amp;$A3012&amp;IF($C3012="","","."&amp;$C3012&amp;"."&amp;$B3012)&amp;INDEX(VarEnd,MATCH($A3012,VarKey,0))&amp;AG$5</f>
        <v/>
      </c>
      <c r="AH3012" s="43">
        <f>INDEX(Inputs!$X$5:$X$132,MATCH($B3012&amp;"|"&amp;$C3012,Inputs!$A$5:$A$132,0))</f>
        <v/>
      </c>
      <c r="AI3012" s="44">
        <f>AH3012*$G3012*(1+AI$7)^$D3012*(AI2994/AH2994)^$E3012*((AI2994+AI3003)/(AH2994+AH3003))^$F3012</f>
        <v/>
      </c>
      <c r="AJ3012" s="44">
        <f>AI3012*$G3012*(1+AJ$7)^$D3012*(AJ2994/AI2994)^$E3012*((AJ2994+AJ3003)/(AI2994+AI3003))^$F3012</f>
        <v/>
      </c>
      <c r="AK3012" s="44">
        <f>AJ3012*$G3012*(1+AK$7)^$D3012*(AK2994/AJ2994)^$E3012*((AK2994+AK3003)/(AJ2994+AJ3003))^$F3012</f>
        <v/>
      </c>
      <c r="AL3012" s="44">
        <f>AK3012*$G3012*(1+AL$7)^$D3012*(AL2994/AK2994)^$E3012*((AL2994+AL3003)/(AK2994+AK3003))^$F3012</f>
        <v/>
      </c>
      <c r="AM3012" s="44">
        <f>AL3012*$G3012*(1+AM$7)^$D3012*(AM2994/AL2994)^$E3012*((AM2994+AM3003)/(AL2994+AL3003))^$F3012</f>
        <v/>
      </c>
      <c r="AN3012" s="44">
        <f>AM3012*$G3012*(1+AN$7)^$D3012*(AN2994/AM2994)^$E3012*((AN2994+AN3003)/(AM2994+AM3003))^$F3012</f>
        <v/>
      </c>
      <c r="AO3012" s="44">
        <f>AN3012*$G3012*(1+AO$7)^$D3012*(AO2994/AN2994)^$E3012*((AO2994+AO3003)/(AN2994+AN3003))^$F3012</f>
        <v/>
      </c>
      <c r="AP3012" s="44">
        <f>AO3012*$G3012*(1+AP$7)^$D3012*(AP2994/AO2994)^$E3012*((AP2994+AP3003)/(AO2994+AO3003))^$F3012</f>
        <v/>
      </c>
      <c r="AQ3012" s="44">
        <f>AP3012*$G3012*(1+AQ$7)^$D3012*(AQ2994/AP2994)^$E3012*((AQ2994+AQ3003)/(AP2994+AP3003))^$F3012</f>
        <v/>
      </c>
      <c r="AR3012" s="44">
        <f>AQ3012*$G3012*(1+AR$7)^$D3012*(AR2994/AQ2994)^$E3012*((AR2994+AR3003)/(AQ2994+AQ3003))^$F3012</f>
        <v/>
      </c>
      <c r="AS3012" s="44">
        <f>AR3012*$G3012*(1+AS$7)^$D3012*(AS2994/AR2994)^$E3012*((AS2994+AS3003)/(AR2994+AR3003))^$F3012</f>
        <v/>
      </c>
      <c r="AT3012" s="44">
        <f>AS3012*$G3012*(1+AT$7)^$D3012*(AT2994/AS2994)^$E3012*((AT2994+AT3003)/(AS2994+AS3003))^$F3012</f>
        <v/>
      </c>
      <c r="AU3012" s="44">
        <f>AT3012*$G3012*(1+AU$7)^$D3012*(AU2994/AT2994)^$E3012*((AU2994+AU3003)/(AT2994+AT3003))^$F3012</f>
        <v/>
      </c>
      <c r="AV3012" s="44">
        <f>AU3012*$G3012*(1+AV$7)^$D3012*(AV2994/AU2994)^$E3012*((AV2994+AV3003)/(AU2994+AU3003))^$F3012</f>
        <v/>
      </c>
      <c r="AW3012" s="44">
        <f>AV3012*$G3012*(1+AW$7)^$D3012*(AW2994/AV2994)^$E3012*((AW2994+AW3003)/(AV2994+AV3003))^$F3012</f>
        <v/>
      </c>
      <c r="AX3012" s="44">
        <f>AW3012*$G3012*(1+AX$7)^$D3012*(AX2994/AW2994)^$E3012*((AX2994+AX3003)/(AW2994+AW3003))^$F3012</f>
        <v/>
      </c>
      <c r="AY3012" s="44">
        <f>AX3012*$G3012*(1+AY$7)^$D3012*(AY2994/AX2994)^$E3012*((AY2994+AY3003)/(AX2994+AX3003))^$F3012</f>
        <v/>
      </c>
      <c r="AZ3012" s="44">
        <f>AY3012*$G3012*(1+AZ$7)^$D3012*(AZ2994/AY2994)^$E3012*((AZ2994+AZ3003)/(AY2994+AY3003))^$F3012</f>
        <v/>
      </c>
      <c r="BA3012" s="57">
        <f>FUELUSE(AZ3012,BA2994,AZ2994,BA3003,AZ3003,BA$7,$D3012,$E3012,$F3012,$G3012)</f>
        <v/>
      </c>
    </row>
    <row r="3013" hidden="1" outlineLevel="2">
      <c r="A3013" s="14" t="inlineStr">
        <is>
          <t>ener</t>
        </is>
      </c>
      <c r="B3013" s="14" t="inlineStr">
        <is>
          <t>ker</t>
        </is>
      </c>
      <c r="C3013" s="14" t="inlineStr">
        <is>
          <t>oen</t>
        </is>
      </c>
      <c r="D3013" s="35">
        <f>INDEX(Inputs!$O$5:$O$132,MATCH($B3013&amp;"|"&amp;$C3013,Inputs!$A$5:$A$132,0))</f>
        <v/>
      </c>
      <c r="E3013" s="35">
        <f>INDEX(Inputs!$P$5:$P$132,MATCH($B3013&amp;"|"&amp;$C3013,Inputs!$A$5:$A$132,0))</f>
        <v/>
      </c>
      <c r="F3013" s="35">
        <f>INDEX(Inputs!$T$5:$T$132,MATCH($B3013&amp;"|"&amp;$C3013,Inputs!$A$5:$A$132,0))</f>
        <v/>
      </c>
      <c r="G3013" s="35">
        <f>INDEX(Inputs!$S$5:$S$132,MATCH($B3013&amp;"|"&amp;$C3013,Inputs!$A$5:$A$132,0))</f>
        <v/>
      </c>
      <c r="H3013" s="14">
        <f>INDEX(VarLab,MATCH($A3013,VarKey,0))&amp;INDEX(MemLab,MATCH($C3013&amp;"|"&amp;$B3013,MemKey,0))</f>
        <v/>
      </c>
      <c r="I3013" s="14">
        <f>INDEX(VarUnit,MATCH($A3013,VarKey,0))</f>
        <v/>
      </c>
      <c r="J3013" s="14">
        <f>INDEX(VarSrc,MATCH($A3013,VarKey,0))</f>
        <v/>
      </c>
      <c r="K3013" s="11">
        <f>CodePrefix&amp;$A3013&amp;IF($C3013="","","."&amp;$C3013&amp;"."&amp;$B3013)&amp;INDEX(VarEnd,MATCH($A3013,VarKey,0))&amp;K$5</f>
        <v/>
      </c>
      <c r="L3013" s="43">
        <f>INDEX(Inputs!$X$5:$X$132,MATCH($B3013&amp;"|"&amp;$C3013,Inputs!$A$5:$A$132,0))</f>
        <v/>
      </c>
      <c r="M3013" s="44">
        <f>L3013*$G3013*(1+M$7)^$D3013*(M2995/L2995)^$E3013*((M2995+M3004)/(L2995+L3004))^$F3013</f>
        <v/>
      </c>
      <c r="N3013" s="44">
        <f>M3013*$G3013*(1+N$7)^$D3013*(N2995/M2995)^$E3013*((N2995+N3004)/(M2995+M3004))^$F3013</f>
        <v/>
      </c>
      <c r="O3013" s="44">
        <f>N3013*$G3013*(1+O$7)^$D3013*(O2995/N2995)^$E3013*((O2995+O3004)/(N2995+N3004))^$F3013</f>
        <v/>
      </c>
      <c r="P3013" s="44">
        <f>O3013*$G3013*(1+P$7)^$D3013*(P2995/O2995)^$E3013*((P2995+P3004)/(O2995+O3004))^$F3013</f>
        <v/>
      </c>
      <c r="Q3013" s="44">
        <f>P3013*$G3013*(1+Q$7)^$D3013*(Q2995/P2995)^$E3013*((Q2995+Q3004)/(P2995+P3004))^$F3013</f>
        <v/>
      </c>
      <c r="R3013" s="44">
        <f>Q3013*$G3013*(1+R$7)^$D3013*(R2995/Q2995)^$E3013*((R2995+R3004)/(Q2995+Q3004))^$F3013</f>
        <v/>
      </c>
      <c r="S3013" s="44">
        <f>R3013*$G3013*(1+S$7)^$D3013*(S2995/R2995)^$E3013*((S2995+S3004)/(R2995+R3004))^$F3013</f>
        <v/>
      </c>
      <c r="T3013" s="44">
        <f>S3013*$G3013*(1+T$7)^$D3013*(T2995/S2995)^$E3013*((T2995+T3004)/(S2995+S3004))^$F3013</f>
        <v/>
      </c>
      <c r="U3013" s="44">
        <f>T3013*$G3013*(1+U$7)^$D3013*(U2995/T2995)^$E3013*((U2995+U3004)/(T2995+T3004))^$F3013</f>
        <v/>
      </c>
      <c r="V3013" s="44">
        <f>U3013*$G3013*(1+V$7)^$D3013*(V2995/U2995)^$E3013*((V2995+V3004)/(U2995+U3004))^$F3013</f>
        <v/>
      </c>
      <c r="W3013" s="44">
        <f>V3013*$G3013*(1+W$7)^$D3013*(W2995/V2995)^$E3013*((W2995+W3004)/(V2995+V3004))^$F3013</f>
        <v/>
      </c>
      <c r="X3013" s="44">
        <f>W3013*$G3013*(1+X$7)^$D3013*(X2995/W2995)^$E3013*((X2995+X3004)/(W2995+W3004))^$F3013</f>
        <v/>
      </c>
      <c r="Y3013" s="44">
        <f>X3013*$G3013*(1+Y$7)^$D3013*(Y2995/X2995)^$E3013*((Y2995+Y3004)/(X2995+X3004))^$F3013</f>
        <v/>
      </c>
      <c r="Z3013" s="44">
        <f>Y3013*$G3013*(1+Z$7)^$D3013*(Z2995/Y2995)^$E3013*((Z2995+Z3004)/(Y2995+Y3004))^$F3013</f>
        <v/>
      </c>
      <c r="AA3013" s="44">
        <f>Z3013*$G3013*(1+AA$7)^$D3013*(AA2995/Z2995)^$E3013*((AA2995+AA3004)/(Z2995+Z3004))^$F3013</f>
        <v/>
      </c>
      <c r="AB3013" s="44">
        <f>AA3013*$G3013*(1+AB$7)^$D3013*(AB2995/AA2995)^$E3013*((AB2995+AB3004)/(AA2995+AA3004))^$F3013</f>
        <v/>
      </c>
      <c r="AC3013" s="44">
        <f>AB3013*$G3013*(1+AC$7)^$D3013*(AC2995/AB2995)^$E3013*((AC2995+AC3004)/(AB2995+AB3004))^$F3013</f>
        <v/>
      </c>
      <c r="AD3013" s="44">
        <f>AC3013*$G3013*(1+AD$7)^$D3013*(AD2995/AC2995)^$E3013*((AD2995+AD3004)/(AC2995+AC3004))^$F3013</f>
        <v/>
      </c>
      <c r="AE3013" s="57">
        <f>FUELUSE(AD3013,AE2995,AD2995,AE3004,AD3004,AE$7,$D3013,$E3013,$F3013,$G3013)</f>
        <v/>
      </c>
      <c r="AG3013" s="11">
        <f>CodePrefix&amp;$A3013&amp;IF($C3013="","","."&amp;$C3013&amp;"."&amp;$B3013)&amp;INDEX(VarEnd,MATCH($A3013,VarKey,0))&amp;AG$5</f>
        <v/>
      </c>
      <c r="AH3013" s="43">
        <f>INDEX(Inputs!$X$5:$X$132,MATCH($B3013&amp;"|"&amp;$C3013,Inputs!$A$5:$A$132,0))</f>
        <v/>
      </c>
      <c r="AI3013" s="44">
        <f>AH3013*$G3013*(1+AI$7)^$D3013*(AI2995/AH2995)^$E3013*((AI2995+AI3004)/(AH2995+AH3004))^$F3013</f>
        <v/>
      </c>
      <c r="AJ3013" s="44">
        <f>AI3013*$G3013*(1+AJ$7)^$D3013*(AJ2995/AI2995)^$E3013*((AJ2995+AJ3004)/(AI2995+AI3004))^$F3013</f>
        <v/>
      </c>
      <c r="AK3013" s="44">
        <f>AJ3013*$G3013*(1+AK$7)^$D3013*(AK2995/AJ2995)^$E3013*((AK2995+AK3004)/(AJ2995+AJ3004))^$F3013</f>
        <v/>
      </c>
      <c r="AL3013" s="44">
        <f>AK3013*$G3013*(1+AL$7)^$D3013*(AL2995/AK2995)^$E3013*((AL2995+AL3004)/(AK2995+AK3004))^$F3013</f>
        <v/>
      </c>
      <c r="AM3013" s="44">
        <f>AL3013*$G3013*(1+AM$7)^$D3013*(AM2995/AL2995)^$E3013*((AM2995+AM3004)/(AL2995+AL3004))^$F3013</f>
        <v/>
      </c>
      <c r="AN3013" s="44">
        <f>AM3013*$G3013*(1+AN$7)^$D3013*(AN2995/AM2995)^$E3013*((AN2995+AN3004)/(AM2995+AM3004))^$F3013</f>
        <v/>
      </c>
      <c r="AO3013" s="44">
        <f>AN3013*$G3013*(1+AO$7)^$D3013*(AO2995/AN2995)^$E3013*((AO2995+AO3004)/(AN2995+AN3004))^$F3013</f>
        <v/>
      </c>
      <c r="AP3013" s="44">
        <f>AO3013*$G3013*(1+AP$7)^$D3013*(AP2995/AO2995)^$E3013*((AP2995+AP3004)/(AO2995+AO3004))^$F3013</f>
        <v/>
      </c>
      <c r="AQ3013" s="44">
        <f>AP3013*$G3013*(1+AQ$7)^$D3013*(AQ2995/AP2995)^$E3013*((AQ2995+AQ3004)/(AP2995+AP3004))^$F3013</f>
        <v/>
      </c>
      <c r="AR3013" s="44">
        <f>AQ3013*$G3013*(1+AR$7)^$D3013*(AR2995/AQ2995)^$E3013*((AR2995+AR3004)/(AQ2995+AQ3004))^$F3013</f>
        <v/>
      </c>
      <c r="AS3013" s="44">
        <f>AR3013*$G3013*(1+AS$7)^$D3013*(AS2995/AR2995)^$E3013*((AS2995+AS3004)/(AR2995+AR3004))^$F3013</f>
        <v/>
      </c>
      <c r="AT3013" s="44">
        <f>AS3013*$G3013*(1+AT$7)^$D3013*(AT2995/AS2995)^$E3013*((AT2995+AT3004)/(AS2995+AS3004))^$F3013</f>
        <v/>
      </c>
      <c r="AU3013" s="44">
        <f>AT3013*$G3013*(1+AU$7)^$D3013*(AU2995/AT2995)^$E3013*((AU2995+AU3004)/(AT2995+AT3004))^$F3013</f>
        <v/>
      </c>
      <c r="AV3013" s="44">
        <f>AU3013*$G3013*(1+AV$7)^$D3013*(AV2995/AU2995)^$E3013*((AV2995+AV3004)/(AU2995+AU3004))^$F3013</f>
        <v/>
      </c>
      <c r="AW3013" s="44">
        <f>AV3013*$G3013*(1+AW$7)^$D3013*(AW2995/AV2995)^$E3013*((AW2995+AW3004)/(AV2995+AV3004))^$F3013</f>
        <v/>
      </c>
      <c r="AX3013" s="44">
        <f>AW3013*$G3013*(1+AX$7)^$D3013*(AX2995/AW2995)^$E3013*((AX2995+AX3004)/(AW2995+AW3004))^$F3013</f>
        <v/>
      </c>
      <c r="AY3013" s="44">
        <f>AX3013*$G3013*(1+AY$7)^$D3013*(AY2995/AX2995)^$E3013*((AY2995+AY3004)/(AX2995+AX3004))^$F3013</f>
        <v/>
      </c>
      <c r="AZ3013" s="44">
        <f>AY3013*$G3013*(1+AZ$7)^$D3013*(AZ2995/AY2995)^$E3013*((AZ2995+AZ3004)/(AY2995+AY3004))^$F3013</f>
        <v/>
      </c>
      <c r="BA3013" s="57">
        <f>FUELUSE(AZ3013,BA2995,AZ2995,BA3004,AZ3004,BA$7,$D3013,$E3013,$F3013,$G3013)</f>
        <v/>
      </c>
    </row>
    <row r="3014" hidden="1" outlineLevel="2">
      <c r="A3014" s="14" t="inlineStr">
        <is>
          <t>ener</t>
        </is>
      </c>
      <c r="B3014" s="14" t="inlineStr">
        <is>
          <t>oop</t>
        </is>
      </c>
      <c r="C3014" s="14" t="inlineStr">
        <is>
          <t>oen</t>
        </is>
      </c>
      <c r="D3014" s="35">
        <f>INDEX(Inputs!$O$5:$O$132,MATCH($B3014&amp;"|"&amp;$C3014,Inputs!$A$5:$A$132,0))</f>
        <v/>
      </c>
      <c r="E3014" s="35">
        <f>INDEX(Inputs!$P$5:$P$132,MATCH($B3014&amp;"|"&amp;$C3014,Inputs!$A$5:$A$132,0))</f>
        <v/>
      </c>
      <c r="F3014" s="35">
        <f>INDEX(Inputs!$T$5:$T$132,MATCH($B3014&amp;"|"&amp;$C3014,Inputs!$A$5:$A$132,0))</f>
        <v/>
      </c>
      <c r="G3014" s="35">
        <f>INDEX(Inputs!$S$5:$S$132,MATCH($B3014&amp;"|"&amp;$C3014,Inputs!$A$5:$A$132,0))</f>
        <v/>
      </c>
      <c r="H3014" s="14">
        <f>INDEX(VarLab,MATCH($A3014,VarKey,0))&amp;INDEX(MemLab,MATCH($C3014&amp;"|"&amp;$B3014,MemKey,0))</f>
        <v/>
      </c>
      <c r="I3014" s="14">
        <f>INDEX(VarUnit,MATCH($A3014,VarKey,0))</f>
        <v/>
      </c>
      <c r="J3014" s="14">
        <f>INDEX(VarSrc,MATCH($A3014,VarKey,0))</f>
        <v/>
      </c>
      <c r="K3014" s="11">
        <f>CodePrefix&amp;$A3014&amp;IF($C3014="","","."&amp;$C3014&amp;"."&amp;$B3014)&amp;INDEX(VarEnd,MATCH($A3014,VarKey,0))&amp;K$5</f>
        <v/>
      </c>
      <c r="L3014" s="43">
        <f>INDEX(Inputs!$X$5:$X$132,MATCH($B3014&amp;"|"&amp;$C3014,Inputs!$A$5:$A$132,0))</f>
        <v/>
      </c>
      <c r="M3014" s="44">
        <f>L3014*$G3014*(1+M$7)^$D3014*(M2996/L2996)^$E3014*((M2996+M3005)/(L2996+L3005))^$F3014</f>
        <v/>
      </c>
      <c r="N3014" s="44">
        <f>M3014*$G3014*(1+N$7)^$D3014*(N2996/M2996)^$E3014*((N2996+N3005)/(M2996+M3005))^$F3014</f>
        <v/>
      </c>
      <c r="O3014" s="44">
        <f>N3014*$G3014*(1+O$7)^$D3014*(O2996/N2996)^$E3014*((O2996+O3005)/(N2996+N3005))^$F3014</f>
        <v/>
      </c>
      <c r="P3014" s="44">
        <f>O3014*$G3014*(1+P$7)^$D3014*(P2996/O2996)^$E3014*((P2996+P3005)/(O2996+O3005))^$F3014</f>
        <v/>
      </c>
      <c r="Q3014" s="44">
        <f>P3014*$G3014*(1+Q$7)^$D3014*(Q2996/P2996)^$E3014*((Q2996+Q3005)/(P2996+P3005))^$F3014</f>
        <v/>
      </c>
      <c r="R3014" s="44">
        <f>Q3014*$G3014*(1+R$7)^$D3014*(R2996/Q2996)^$E3014*((R2996+R3005)/(Q2996+Q3005))^$F3014</f>
        <v/>
      </c>
      <c r="S3014" s="44">
        <f>R3014*$G3014*(1+S$7)^$D3014*(S2996/R2996)^$E3014*((S2996+S3005)/(R2996+R3005))^$F3014</f>
        <v/>
      </c>
      <c r="T3014" s="44">
        <f>S3014*$G3014*(1+T$7)^$D3014*(T2996/S2996)^$E3014*((T2996+T3005)/(S2996+S3005))^$F3014</f>
        <v/>
      </c>
      <c r="U3014" s="44">
        <f>T3014*$G3014*(1+U$7)^$D3014*(U2996/T2996)^$E3014*((U2996+U3005)/(T2996+T3005))^$F3014</f>
        <v/>
      </c>
      <c r="V3014" s="44">
        <f>U3014*$G3014*(1+V$7)^$D3014*(V2996/U2996)^$E3014*((V2996+V3005)/(U2996+U3005))^$F3014</f>
        <v/>
      </c>
      <c r="W3014" s="44">
        <f>V3014*$G3014*(1+W$7)^$D3014*(W2996/V2996)^$E3014*((W2996+W3005)/(V2996+V3005))^$F3014</f>
        <v/>
      </c>
      <c r="X3014" s="44">
        <f>W3014*$G3014*(1+X$7)^$D3014*(X2996/W2996)^$E3014*((X2996+X3005)/(W2996+W3005))^$F3014</f>
        <v/>
      </c>
      <c r="Y3014" s="44">
        <f>X3014*$G3014*(1+Y$7)^$D3014*(Y2996/X2996)^$E3014*((Y2996+Y3005)/(X2996+X3005))^$F3014</f>
        <v/>
      </c>
      <c r="Z3014" s="44">
        <f>Y3014*$G3014*(1+Z$7)^$D3014*(Z2996/Y2996)^$E3014*((Z2996+Z3005)/(Y2996+Y3005))^$F3014</f>
        <v/>
      </c>
      <c r="AA3014" s="44">
        <f>Z3014*$G3014*(1+AA$7)^$D3014*(AA2996/Z2996)^$E3014*((AA2996+AA3005)/(Z2996+Z3005))^$F3014</f>
        <v/>
      </c>
      <c r="AB3014" s="44">
        <f>AA3014*$G3014*(1+AB$7)^$D3014*(AB2996/AA2996)^$E3014*((AB2996+AB3005)/(AA2996+AA3005))^$F3014</f>
        <v/>
      </c>
      <c r="AC3014" s="44">
        <f>AB3014*$G3014*(1+AC$7)^$D3014*(AC2996/AB2996)^$E3014*((AC2996+AC3005)/(AB2996+AB3005))^$F3014</f>
        <v/>
      </c>
      <c r="AD3014" s="44">
        <f>AC3014*$G3014*(1+AD$7)^$D3014*(AD2996/AC2996)^$E3014*((AD2996+AD3005)/(AC2996+AC3005))^$F3014</f>
        <v/>
      </c>
      <c r="AE3014" s="57">
        <f>FUELUSE(AD3014,AE2996,AD2996,AE3005,AD3005,AE$7,$D3014,$E3014,$F3014,$G3014)</f>
        <v/>
      </c>
      <c r="AG3014" s="11">
        <f>CodePrefix&amp;$A3014&amp;IF($C3014="","","."&amp;$C3014&amp;"."&amp;$B3014)&amp;INDEX(VarEnd,MATCH($A3014,VarKey,0))&amp;AG$5</f>
        <v/>
      </c>
      <c r="AH3014" s="43">
        <f>INDEX(Inputs!$X$5:$X$132,MATCH($B3014&amp;"|"&amp;$C3014,Inputs!$A$5:$A$132,0))</f>
        <v/>
      </c>
      <c r="AI3014" s="44">
        <f>AH3014*$G3014*(1+AI$7)^$D3014*(AI2996/AH2996)^$E3014*((AI2996+AI3005)/(AH2996+AH3005))^$F3014</f>
        <v/>
      </c>
      <c r="AJ3014" s="44">
        <f>AI3014*$G3014*(1+AJ$7)^$D3014*(AJ2996/AI2996)^$E3014*((AJ2996+AJ3005)/(AI2996+AI3005))^$F3014</f>
        <v/>
      </c>
      <c r="AK3014" s="44">
        <f>AJ3014*$G3014*(1+AK$7)^$D3014*(AK2996/AJ2996)^$E3014*((AK2996+AK3005)/(AJ2996+AJ3005))^$F3014</f>
        <v/>
      </c>
      <c r="AL3014" s="44">
        <f>AK3014*$G3014*(1+AL$7)^$D3014*(AL2996/AK2996)^$E3014*((AL2996+AL3005)/(AK2996+AK3005))^$F3014</f>
        <v/>
      </c>
      <c r="AM3014" s="44">
        <f>AL3014*$G3014*(1+AM$7)^$D3014*(AM2996/AL2996)^$E3014*((AM2996+AM3005)/(AL2996+AL3005))^$F3014</f>
        <v/>
      </c>
      <c r="AN3014" s="44">
        <f>AM3014*$G3014*(1+AN$7)^$D3014*(AN2996/AM2996)^$E3014*((AN2996+AN3005)/(AM2996+AM3005))^$F3014</f>
        <v/>
      </c>
      <c r="AO3014" s="44">
        <f>AN3014*$G3014*(1+AO$7)^$D3014*(AO2996/AN2996)^$E3014*((AO2996+AO3005)/(AN2996+AN3005))^$F3014</f>
        <v/>
      </c>
      <c r="AP3014" s="44">
        <f>AO3014*$G3014*(1+AP$7)^$D3014*(AP2996/AO2996)^$E3014*((AP2996+AP3005)/(AO2996+AO3005))^$F3014</f>
        <v/>
      </c>
      <c r="AQ3014" s="44">
        <f>AP3014*$G3014*(1+AQ$7)^$D3014*(AQ2996/AP2996)^$E3014*((AQ2996+AQ3005)/(AP2996+AP3005))^$F3014</f>
        <v/>
      </c>
      <c r="AR3014" s="44">
        <f>AQ3014*$G3014*(1+AR$7)^$D3014*(AR2996/AQ2996)^$E3014*((AR2996+AR3005)/(AQ2996+AQ3005))^$F3014</f>
        <v/>
      </c>
      <c r="AS3014" s="44">
        <f>AR3014*$G3014*(1+AS$7)^$D3014*(AS2996/AR2996)^$E3014*((AS2996+AS3005)/(AR2996+AR3005))^$F3014</f>
        <v/>
      </c>
      <c r="AT3014" s="44">
        <f>AS3014*$G3014*(1+AT$7)^$D3014*(AT2996/AS2996)^$E3014*((AT2996+AT3005)/(AS2996+AS3005))^$F3014</f>
        <v/>
      </c>
      <c r="AU3014" s="44">
        <f>AT3014*$G3014*(1+AU$7)^$D3014*(AU2996/AT2996)^$E3014*((AU2996+AU3005)/(AT2996+AT3005))^$F3014</f>
        <v/>
      </c>
      <c r="AV3014" s="44">
        <f>AU3014*$G3014*(1+AV$7)^$D3014*(AV2996/AU2996)^$E3014*((AV2996+AV3005)/(AU2996+AU3005))^$F3014</f>
        <v/>
      </c>
      <c r="AW3014" s="44">
        <f>AV3014*$G3014*(1+AW$7)^$D3014*(AW2996/AV2996)^$E3014*((AW2996+AW3005)/(AV2996+AV3005))^$F3014</f>
        <v/>
      </c>
      <c r="AX3014" s="44">
        <f>AW3014*$G3014*(1+AX$7)^$D3014*(AX2996/AW2996)^$E3014*((AX2996+AX3005)/(AW2996+AW3005))^$F3014</f>
        <v/>
      </c>
      <c r="AY3014" s="44">
        <f>AX3014*$G3014*(1+AY$7)^$D3014*(AY2996/AX2996)^$E3014*((AY2996+AY3005)/(AX2996+AX3005))^$F3014</f>
        <v/>
      </c>
      <c r="AZ3014" s="44">
        <f>AY3014*$G3014*(1+AZ$7)^$D3014*(AZ2996/AY2996)^$E3014*((AZ2996+AZ3005)/(AY2996+AY3005))^$F3014</f>
        <v/>
      </c>
      <c r="BA3014" s="57">
        <f>FUELUSE(AZ3014,BA2996,AZ2996,BA3005,AZ3005,BA$7,$D3014,$E3014,$F3014,$G3014)</f>
        <v/>
      </c>
    </row>
    <row r="3015" hidden="1" outlineLevel="2">
      <c r="A3015" s="14" t="inlineStr">
        <is>
          <t>ener</t>
        </is>
      </c>
      <c r="B3015" s="14" t="inlineStr">
        <is>
          <t>bio</t>
        </is>
      </c>
      <c r="C3015" s="14" t="inlineStr">
        <is>
          <t>oen</t>
        </is>
      </c>
      <c r="D3015" s="35">
        <f>INDEX(Inputs!$O$5:$O$132,MATCH($B3015&amp;"|"&amp;$C3015,Inputs!$A$5:$A$132,0))</f>
        <v/>
      </c>
      <c r="E3015" s="35">
        <f>INDEX(Inputs!$P$5:$P$132,MATCH($B3015&amp;"|"&amp;$C3015,Inputs!$A$5:$A$132,0))</f>
        <v/>
      </c>
      <c r="F3015" s="35">
        <f>INDEX(Inputs!$T$5:$T$132,MATCH($B3015&amp;"|"&amp;$C3015,Inputs!$A$5:$A$132,0))</f>
        <v/>
      </c>
      <c r="G3015" s="35">
        <f>INDEX(Inputs!$S$5:$S$132,MATCH($B3015&amp;"|"&amp;$C3015,Inputs!$A$5:$A$132,0))</f>
        <v/>
      </c>
      <c r="H3015" s="14">
        <f>INDEX(VarLab,MATCH($A3015,VarKey,0))&amp;INDEX(MemLab,MATCH($C3015&amp;"|"&amp;$B3015,MemKey,0))</f>
        <v/>
      </c>
      <c r="I3015" s="14">
        <f>INDEX(VarUnit,MATCH($A3015,VarKey,0))</f>
        <v/>
      </c>
      <c r="J3015" s="14">
        <f>INDEX(VarSrc,MATCH($A3015,VarKey,0))</f>
        <v/>
      </c>
      <c r="K3015" s="11">
        <f>CodePrefix&amp;$A3015&amp;IF($C3015="","","."&amp;$C3015&amp;"."&amp;$B3015)&amp;INDEX(VarEnd,MATCH($A3015,VarKey,0))&amp;K$5</f>
        <v/>
      </c>
      <c r="L3015" s="43">
        <f>INDEX(Inputs!$X$5:$X$132,MATCH($B3015&amp;"|"&amp;$C3015,Inputs!$A$5:$A$132,0))</f>
        <v/>
      </c>
      <c r="M3015" s="44">
        <f>L3015*$G3015*(1+M$7)^$D3015*(M2997/L2997)^$E3015*((M2997+M3006)/(L2997+L3006))^$F3015</f>
        <v/>
      </c>
      <c r="N3015" s="44">
        <f>M3015*$G3015*(1+N$7)^$D3015*(N2997/M2997)^$E3015*((N2997+N3006)/(M2997+M3006))^$F3015</f>
        <v/>
      </c>
      <c r="O3015" s="44">
        <f>N3015*$G3015*(1+O$7)^$D3015*(O2997/N2997)^$E3015*((O2997+O3006)/(N2997+N3006))^$F3015</f>
        <v/>
      </c>
      <c r="P3015" s="44">
        <f>O3015*$G3015*(1+P$7)^$D3015*(P2997/O2997)^$E3015*((P2997+P3006)/(O2997+O3006))^$F3015</f>
        <v/>
      </c>
      <c r="Q3015" s="44">
        <f>P3015*$G3015*(1+Q$7)^$D3015*(Q2997/P2997)^$E3015*((Q2997+Q3006)/(P2997+P3006))^$F3015</f>
        <v/>
      </c>
      <c r="R3015" s="44">
        <f>Q3015*$G3015*(1+R$7)^$D3015*(R2997/Q2997)^$E3015*((R2997+R3006)/(Q2997+Q3006))^$F3015</f>
        <v/>
      </c>
      <c r="S3015" s="44">
        <f>R3015*$G3015*(1+S$7)^$D3015*(S2997/R2997)^$E3015*((S2997+S3006)/(R2997+R3006))^$F3015</f>
        <v/>
      </c>
      <c r="T3015" s="44">
        <f>S3015*$G3015*(1+T$7)^$D3015*(T2997/S2997)^$E3015*((T2997+T3006)/(S2997+S3006))^$F3015</f>
        <v/>
      </c>
      <c r="U3015" s="44">
        <f>T3015*$G3015*(1+U$7)^$D3015*(U2997/T2997)^$E3015*((U2997+U3006)/(T2997+T3006))^$F3015</f>
        <v/>
      </c>
      <c r="V3015" s="44">
        <f>U3015*$G3015*(1+V$7)^$D3015*(V2997/U2997)^$E3015*((V2997+V3006)/(U2997+U3006))^$F3015</f>
        <v/>
      </c>
      <c r="W3015" s="44">
        <f>V3015*$G3015*(1+W$7)^$D3015*(W2997/V2997)^$E3015*((W2997+W3006)/(V2997+V3006))^$F3015</f>
        <v/>
      </c>
      <c r="X3015" s="44">
        <f>W3015*$G3015*(1+X$7)^$D3015*(X2997/W2997)^$E3015*((X2997+X3006)/(W2997+W3006))^$F3015</f>
        <v/>
      </c>
      <c r="Y3015" s="44">
        <f>X3015*$G3015*(1+Y$7)^$D3015*(Y2997/X2997)^$E3015*((Y2997+Y3006)/(X2997+X3006))^$F3015</f>
        <v/>
      </c>
      <c r="Z3015" s="44">
        <f>Y3015*$G3015*(1+Z$7)^$D3015*(Z2997/Y2997)^$E3015*((Z2997+Z3006)/(Y2997+Y3006))^$F3015</f>
        <v/>
      </c>
      <c r="AA3015" s="44">
        <f>Z3015*$G3015*(1+AA$7)^$D3015*(AA2997/Z2997)^$E3015*((AA2997+AA3006)/(Z2997+Z3006))^$F3015</f>
        <v/>
      </c>
      <c r="AB3015" s="44">
        <f>AA3015*$G3015*(1+AB$7)^$D3015*(AB2997/AA2997)^$E3015*((AB2997+AB3006)/(AA2997+AA3006))^$F3015</f>
        <v/>
      </c>
      <c r="AC3015" s="44">
        <f>AB3015*$G3015*(1+AC$7)^$D3015*(AC2997/AB2997)^$E3015*((AC2997+AC3006)/(AB2997+AB3006))^$F3015</f>
        <v/>
      </c>
      <c r="AD3015" s="44">
        <f>AC3015*$G3015*(1+AD$7)^$D3015*(AD2997/AC2997)^$E3015*((AD2997+AD3006)/(AC2997+AC3006))^$F3015</f>
        <v/>
      </c>
      <c r="AE3015" s="57">
        <f>FUELUSE(AD3015,AE2997,AD2997,AE3006,AD3006,AE$7,$D3015,$E3015,$F3015,$G3015)</f>
        <v/>
      </c>
      <c r="AG3015" s="11">
        <f>CodePrefix&amp;$A3015&amp;IF($C3015="","","."&amp;$C3015&amp;"."&amp;$B3015)&amp;INDEX(VarEnd,MATCH($A3015,VarKey,0))&amp;AG$5</f>
        <v/>
      </c>
      <c r="AH3015" s="43">
        <f>INDEX(Inputs!$X$5:$X$132,MATCH($B3015&amp;"|"&amp;$C3015,Inputs!$A$5:$A$132,0))</f>
        <v/>
      </c>
      <c r="AI3015" s="44">
        <f>AH3015*$G3015*(1+AI$7)^$D3015*(AI2997/AH2997)^$E3015*((AI2997+AI3006)/(AH2997+AH3006))^$F3015</f>
        <v/>
      </c>
      <c r="AJ3015" s="44">
        <f>AI3015*$G3015*(1+AJ$7)^$D3015*(AJ2997/AI2997)^$E3015*((AJ2997+AJ3006)/(AI2997+AI3006))^$F3015</f>
        <v/>
      </c>
      <c r="AK3015" s="44">
        <f>AJ3015*$G3015*(1+AK$7)^$D3015*(AK2997/AJ2997)^$E3015*((AK2997+AK3006)/(AJ2997+AJ3006))^$F3015</f>
        <v/>
      </c>
      <c r="AL3015" s="44">
        <f>AK3015*$G3015*(1+AL$7)^$D3015*(AL2997/AK2997)^$E3015*((AL2997+AL3006)/(AK2997+AK3006))^$F3015</f>
        <v/>
      </c>
      <c r="AM3015" s="44">
        <f>AL3015*$G3015*(1+AM$7)^$D3015*(AM2997/AL2997)^$E3015*((AM2997+AM3006)/(AL2997+AL3006))^$F3015</f>
        <v/>
      </c>
      <c r="AN3015" s="44">
        <f>AM3015*$G3015*(1+AN$7)^$D3015*(AN2997/AM2997)^$E3015*((AN2997+AN3006)/(AM2997+AM3006))^$F3015</f>
        <v/>
      </c>
      <c r="AO3015" s="44">
        <f>AN3015*$G3015*(1+AO$7)^$D3015*(AO2997/AN2997)^$E3015*((AO2997+AO3006)/(AN2997+AN3006))^$F3015</f>
        <v/>
      </c>
      <c r="AP3015" s="44">
        <f>AO3015*$G3015*(1+AP$7)^$D3015*(AP2997/AO2997)^$E3015*((AP2997+AP3006)/(AO2997+AO3006))^$F3015</f>
        <v/>
      </c>
      <c r="AQ3015" s="44">
        <f>AP3015*$G3015*(1+AQ$7)^$D3015*(AQ2997/AP2997)^$E3015*((AQ2997+AQ3006)/(AP2997+AP3006))^$F3015</f>
        <v/>
      </c>
      <c r="AR3015" s="44">
        <f>AQ3015*$G3015*(1+AR$7)^$D3015*(AR2997/AQ2997)^$E3015*((AR2997+AR3006)/(AQ2997+AQ3006))^$F3015</f>
        <v/>
      </c>
      <c r="AS3015" s="44">
        <f>AR3015*$G3015*(1+AS$7)^$D3015*(AS2997/AR2997)^$E3015*((AS2997+AS3006)/(AR2997+AR3006))^$F3015</f>
        <v/>
      </c>
      <c r="AT3015" s="44">
        <f>AS3015*$G3015*(1+AT$7)^$D3015*(AT2997/AS2997)^$E3015*((AT2997+AT3006)/(AS2997+AS3006))^$F3015</f>
        <v/>
      </c>
      <c r="AU3015" s="44">
        <f>AT3015*$G3015*(1+AU$7)^$D3015*(AU2997/AT2997)^$E3015*((AU2997+AU3006)/(AT2997+AT3006))^$F3015</f>
        <v/>
      </c>
      <c r="AV3015" s="44">
        <f>AU3015*$G3015*(1+AV$7)^$D3015*(AV2997/AU2997)^$E3015*((AV2997+AV3006)/(AU2997+AU3006))^$F3015</f>
        <v/>
      </c>
      <c r="AW3015" s="44">
        <f>AV3015*$G3015*(1+AW$7)^$D3015*(AW2997/AV2997)^$E3015*((AW2997+AW3006)/(AV2997+AV3006))^$F3015</f>
        <v/>
      </c>
      <c r="AX3015" s="44">
        <f>AW3015*$G3015*(1+AX$7)^$D3015*(AX2997/AW2997)^$E3015*((AX2997+AX3006)/(AW2997+AW3006))^$F3015</f>
        <v/>
      </c>
      <c r="AY3015" s="44">
        <f>AX3015*$G3015*(1+AY$7)^$D3015*(AY2997/AX2997)^$E3015*((AY2997+AY3006)/(AX2997+AX3006))^$F3015</f>
        <v/>
      </c>
      <c r="AZ3015" s="44">
        <f>AY3015*$G3015*(1+AZ$7)^$D3015*(AZ2997/AY2997)^$E3015*((AZ2997+AZ3006)/(AY2997+AY3006))^$F3015</f>
        <v/>
      </c>
      <c r="BA3015" s="57">
        <f>FUELUSE(AZ3015,BA2997,AZ2997,BA3006,AZ3006,BA$7,$D3015,$E3015,$F3015,$G3015)</f>
        <v/>
      </c>
    </row>
    <row r="3016" hidden="1" outlineLevel="2"/>
    <row r="3017" hidden="1" outlineLevel="2">
      <c r="A3017" s="14" t="inlineStr">
        <is>
          <t>co2</t>
        </is>
      </c>
      <c r="B3017" s="14" t="inlineStr">
        <is>
          <t>coa</t>
        </is>
      </c>
      <c r="C3017" s="14" t="inlineStr">
        <is>
          <t>oen</t>
        </is>
      </c>
      <c r="D3017" s="35">
        <f>INDEX(Inputs!$W$5:$W$132,MATCH($B3017&amp;"|"&amp;$C3017,Inputs!$A$5:$A$132,0))</f>
        <v/>
      </c>
      <c r="E3017" s="39" t="n"/>
      <c r="F3017" s="39" t="n"/>
      <c r="G3017" s="39" t="n"/>
      <c r="H3017" s="14">
        <f>INDEX(VarLab,MATCH($A3017,VarKey,0))&amp;INDEX(MemLab,MATCH($C3017&amp;"|"&amp;$B3017,MemKey,0))</f>
        <v/>
      </c>
      <c r="I3017" s="14">
        <f>INDEX(VarUnit,MATCH($A3017,VarKey,0))</f>
        <v/>
      </c>
      <c r="J3017" s="14">
        <f>INDEX(VarSrc,MATCH($A3017,VarKey,0))</f>
        <v/>
      </c>
      <c r="K3017" s="11">
        <f>CodePrefix&amp;$A3017&amp;IF($C3017="","","."&amp;$C3017&amp;"."&amp;$B3017)&amp;INDEX(VarEnd,MATCH($A3017,VarKey,0))&amp;K$5</f>
        <v/>
      </c>
      <c r="L3017" s="15">
        <f>L3008*Settings!$C$13*$D3017</f>
        <v/>
      </c>
      <c r="M3017" s="16">
        <f>M3008*Settings!$C$13*$D3017</f>
        <v/>
      </c>
      <c r="N3017" s="16">
        <f>N3008*Settings!$C$13*$D3017</f>
        <v/>
      </c>
      <c r="O3017" s="16">
        <f>O3008*Settings!$C$13*$D3017</f>
        <v/>
      </c>
      <c r="P3017" s="16">
        <f>P3008*Settings!$C$13*$D3017</f>
        <v/>
      </c>
      <c r="Q3017" s="16">
        <f>Q3008*Settings!$C$13*$D3017</f>
        <v/>
      </c>
      <c r="R3017" s="16">
        <f>R3008*Settings!$C$13*$D3017</f>
        <v/>
      </c>
      <c r="S3017" s="16">
        <f>S3008*Settings!$C$13*$D3017</f>
        <v/>
      </c>
      <c r="T3017" s="16">
        <f>T3008*Settings!$C$13*$D3017</f>
        <v/>
      </c>
      <c r="U3017" s="16">
        <f>U3008*Settings!$C$13*$D3017</f>
        <v/>
      </c>
      <c r="V3017" s="16">
        <f>V3008*Settings!$C$13*$D3017</f>
        <v/>
      </c>
      <c r="W3017" s="16">
        <f>W3008*Settings!$C$13*$D3017</f>
        <v/>
      </c>
      <c r="X3017" s="16">
        <f>X3008*Settings!$C$13*$D3017</f>
        <v/>
      </c>
      <c r="Y3017" s="16">
        <f>Y3008*Settings!$C$13*$D3017</f>
        <v/>
      </c>
      <c r="Z3017" s="16">
        <f>Z3008*Settings!$C$13*$D3017</f>
        <v/>
      </c>
      <c r="AA3017" s="16">
        <f>AA3008*Settings!$C$13*$D3017</f>
        <v/>
      </c>
      <c r="AB3017" s="16">
        <f>AB3008*Settings!$C$13*$D3017</f>
        <v/>
      </c>
      <c r="AC3017" s="16">
        <f>AC3008*Settings!$C$13*$D3017</f>
        <v/>
      </c>
      <c r="AD3017" s="16">
        <f>AD3008*Settings!$C$13*$D3017</f>
        <v/>
      </c>
      <c r="AE3017" s="49">
        <f>EMISSIONS(AE3008,Settings!$C$13,$D3017)</f>
        <v/>
      </c>
      <c r="AG3017" s="11">
        <f>CodePrefix&amp;$A3017&amp;IF($C3017="","","."&amp;$C3017&amp;"."&amp;$B3017)&amp;INDEX(VarEnd,MATCH($A3017,VarKey,0))&amp;AG$5</f>
        <v/>
      </c>
      <c r="AH3017" s="15">
        <f>AH3008*Settings!$C$13*$D3017</f>
        <v/>
      </c>
      <c r="AI3017" s="16">
        <f>AI3008*Settings!$C$13*$D3017</f>
        <v/>
      </c>
      <c r="AJ3017" s="16">
        <f>AJ3008*Settings!$C$13*$D3017</f>
        <v/>
      </c>
      <c r="AK3017" s="16">
        <f>AK3008*Settings!$C$13*$D3017</f>
        <v/>
      </c>
      <c r="AL3017" s="16">
        <f>AL3008*Settings!$C$13*$D3017</f>
        <v/>
      </c>
      <c r="AM3017" s="16">
        <f>AM3008*Settings!$C$13*$D3017</f>
        <v/>
      </c>
      <c r="AN3017" s="16">
        <f>AN3008*Settings!$C$13*$D3017</f>
        <v/>
      </c>
      <c r="AO3017" s="16">
        <f>AO3008*Settings!$C$13*$D3017</f>
        <v/>
      </c>
      <c r="AP3017" s="16">
        <f>AP3008*Settings!$C$13*$D3017</f>
        <v/>
      </c>
      <c r="AQ3017" s="16">
        <f>AQ3008*Settings!$C$13*$D3017</f>
        <v/>
      </c>
      <c r="AR3017" s="16">
        <f>AR3008*Settings!$C$13*$D3017</f>
        <v/>
      </c>
      <c r="AS3017" s="16">
        <f>AS3008*Settings!$C$13*$D3017</f>
        <v/>
      </c>
      <c r="AT3017" s="16">
        <f>AT3008*Settings!$C$13*$D3017</f>
        <v/>
      </c>
      <c r="AU3017" s="16">
        <f>AU3008*Settings!$C$13*$D3017</f>
        <v/>
      </c>
      <c r="AV3017" s="16">
        <f>AV3008*Settings!$C$13*$D3017</f>
        <v/>
      </c>
      <c r="AW3017" s="16">
        <f>AW3008*Settings!$C$13*$D3017</f>
        <v/>
      </c>
      <c r="AX3017" s="16">
        <f>AX3008*Settings!$C$13*$D3017</f>
        <v/>
      </c>
      <c r="AY3017" s="16">
        <f>AY3008*Settings!$C$13*$D3017</f>
        <v/>
      </c>
      <c r="AZ3017" s="16">
        <f>AZ3008*Settings!$C$13*$D3017</f>
        <v/>
      </c>
      <c r="BA3017" s="49">
        <f>EMISSIONS(BA3008,Settings!$C$13,$D3017)</f>
        <v/>
      </c>
    </row>
    <row r="3018" hidden="1" outlineLevel="2">
      <c r="A3018" s="14" t="inlineStr">
        <is>
          <t>co2</t>
        </is>
      </c>
      <c r="B3018" s="14" t="inlineStr">
        <is>
          <t>nga</t>
        </is>
      </c>
      <c r="C3018" s="14" t="inlineStr">
        <is>
          <t>oen</t>
        </is>
      </c>
      <c r="D3018" s="35">
        <f>INDEX(Inputs!$W$5:$W$132,MATCH($B3018&amp;"|"&amp;$C3018,Inputs!$A$5:$A$132,0))</f>
        <v/>
      </c>
      <c r="E3018" s="39" t="n"/>
      <c r="F3018" s="39" t="n"/>
      <c r="G3018" s="39" t="n"/>
      <c r="H3018" s="14">
        <f>INDEX(VarLab,MATCH($A3018,VarKey,0))&amp;INDEX(MemLab,MATCH($C3018&amp;"|"&amp;$B3018,MemKey,0))</f>
        <v/>
      </c>
      <c r="I3018" s="14">
        <f>INDEX(VarUnit,MATCH($A3018,VarKey,0))</f>
        <v/>
      </c>
      <c r="J3018" s="14">
        <f>INDEX(VarSrc,MATCH($A3018,VarKey,0))</f>
        <v/>
      </c>
      <c r="K3018" s="11">
        <f>CodePrefix&amp;$A3018&amp;IF($C3018="","","."&amp;$C3018&amp;"."&amp;$B3018)&amp;INDEX(VarEnd,MATCH($A3018,VarKey,0))&amp;K$5</f>
        <v/>
      </c>
      <c r="L3018" s="15">
        <f>L3009*Settings!$C$13*$D3018</f>
        <v/>
      </c>
      <c r="M3018" s="16">
        <f>M3009*Settings!$C$13*$D3018</f>
        <v/>
      </c>
      <c r="N3018" s="16">
        <f>N3009*Settings!$C$13*$D3018</f>
        <v/>
      </c>
      <c r="O3018" s="16">
        <f>O3009*Settings!$C$13*$D3018</f>
        <v/>
      </c>
      <c r="P3018" s="16">
        <f>P3009*Settings!$C$13*$D3018</f>
        <v/>
      </c>
      <c r="Q3018" s="16">
        <f>Q3009*Settings!$C$13*$D3018</f>
        <v/>
      </c>
      <c r="R3018" s="16">
        <f>R3009*Settings!$C$13*$D3018</f>
        <v/>
      </c>
      <c r="S3018" s="16">
        <f>S3009*Settings!$C$13*$D3018</f>
        <v/>
      </c>
      <c r="T3018" s="16">
        <f>T3009*Settings!$C$13*$D3018</f>
        <v/>
      </c>
      <c r="U3018" s="16">
        <f>U3009*Settings!$C$13*$D3018</f>
        <v/>
      </c>
      <c r="V3018" s="16">
        <f>V3009*Settings!$C$13*$D3018</f>
        <v/>
      </c>
      <c r="W3018" s="16">
        <f>W3009*Settings!$C$13*$D3018</f>
        <v/>
      </c>
      <c r="X3018" s="16">
        <f>X3009*Settings!$C$13*$D3018</f>
        <v/>
      </c>
      <c r="Y3018" s="16">
        <f>Y3009*Settings!$C$13*$D3018</f>
        <v/>
      </c>
      <c r="Z3018" s="16">
        <f>Z3009*Settings!$C$13*$D3018</f>
        <v/>
      </c>
      <c r="AA3018" s="16">
        <f>AA3009*Settings!$C$13*$D3018</f>
        <v/>
      </c>
      <c r="AB3018" s="16">
        <f>AB3009*Settings!$C$13*$D3018</f>
        <v/>
      </c>
      <c r="AC3018" s="16">
        <f>AC3009*Settings!$C$13*$D3018</f>
        <v/>
      </c>
      <c r="AD3018" s="16">
        <f>AD3009*Settings!$C$13*$D3018</f>
        <v/>
      </c>
      <c r="AE3018" s="49">
        <f>EMISSIONS(AE3009,Settings!$C$13,$D3018)</f>
        <v/>
      </c>
      <c r="AG3018" s="11">
        <f>CodePrefix&amp;$A3018&amp;IF($C3018="","","."&amp;$C3018&amp;"."&amp;$B3018)&amp;INDEX(VarEnd,MATCH($A3018,VarKey,0))&amp;AG$5</f>
        <v/>
      </c>
      <c r="AH3018" s="15">
        <f>AH3009*Settings!$C$13*$D3018</f>
        <v/>
      </c>
      <c r="AI3018" s="16">
        <f>AI3009*Settings!$C$13*$D3018</f>
        <v/>
      </c>
      <c r="AJ3018" s="16">
        <f>AJ3009*Settings!$C$13*$D3018</f>
        <v/>
      </c>
      <c r="AK3018" s="16">
        <f>AK3009*Settings!$C$13*$D3018</f>
        <v/>
      </c>
      <c r="AL3018" s="16">
        <f>AL3009*Settings!$C$13*$D3018</f>
        <v/>
      </c>
      <c r="AM3018" s="16">
        <f>AM3009*Settings!$C$13*$D3018</f>
        <v/>
      </c>
      <c r="AN3018" s="16">
        <f>AN3009*Settings!$C$13*$D3018</f>
        <v/>
      </c>
      <c r="AO3018" s="16">
        <f>AO3009*Settings!$C$13*$D3018</f>
        <v/>
      </c>
      <c r="AP3018" s="16">
        <f>AP3009*Settings!$C$13*$D3018</f>
        <v/>
      </c>
      <c r="AQ3018" s="16">
        <f>AQ3009*Settings!$C$13*$D3018</f>
        <v/>
      </c>
      <c r="AR3018" s="16">
        <f>AR3009*Settings!$C$13*$D3018</f>
        <v/>
      </c>
      <c r="AS3018" s="16">
        <f>AS3009*Settings!$C$13*$D3018</f>
        <v/>
      </c>
      <c r="AT3018" s="16">
        <f>AT3009*Settings!$C$13*$D3018</f>
        <v/>
      </c>
      <c r="AU3018" s="16">
        <f>AU3009*Settings!$C$13*$D3018</f>
        <v/>
      </c>
      <c r="AV3018" s="16">
        <f>AV3009*Settings!$C$13*$D3018</f>
        <v/>
      </c>
      <c r="AW3018" s="16">
        <f>AW3009*Settings!$C$13*$D3018</f>
        <v/>
      </c>
      <c r="AX3018" s="16">
        <f>AX3009*Settings!$C$13*$D3018</f>
        <v/>
      </c>
      <c r="AY3018" s="16">
        <f>AY3009*Settings!$C$13*$D3018</f>
        <v/>
      </c>
      <c r="AZ3018" s="16">
        <f>AZ3009*Settings!$C$13*$D3018</f>
        <v/>
      </c>
      <c r="BA3018" s="49">
        <f>EMISSIONS(BA3009,Settings!$C$13,$D3018)</f>
        <v/>
      </c>
    </row>
    <row r="3019" hidden="1" outlineLevel="2">
      <c r="A3019" s="14" t="inlineStr">
        <is>
          <t>co2</t>
        </is>
      </c>
      <c r="B3019" s="14" t="inlineStr">
        <is>
          <t>gso</t>
        </is>
      </c>
      <c r="C3019" s="14" t="inlineStr">
        <is>
          <t>oen</t>
        </is>
      </c>
      <c r="D3019" s="35">
        <f>INDEX(Inputs!$W$5:$W$132,MATCH($B3019&amp;"|"&amp;$C3019,Inputs!$A$5:$A$132,0))</f>
        <v/>
      </c>
      <c r="E3019" s="39" t="n"/>
      <c r="F3019" s="39" t="n"/>
      <c r="G3019" s="39" t="n"/>
      <c r="H3019" s="14">
        <f>INDEX(VarLab,MATCH($A3019,VarKey,0))&amp;INDEX(MemLab,MATCH($C3019&amp;"|"&amp;$B3019,MemKey,0))</f>
        <v/>
      </c>
      <c r="I3019" s="14">
        <f>INDEX(VarUnit,MATCH($A3019,VarKey,0))</f>
        <v/>
      </c>
      <c r="J3019" s="14">
        <f>INDEX(VarSrc,MATCH($A3019,VarKey,0))</f>
        <v/>
      </c>
      <c r="K3019" s="11">
        <f>CodePrefix&amp;$A3019&amp;IF($C3019="","","."&amp;$C3019&amp;"."&amp;$B3019)&amp;INDEX(VarEnd,MATCH($A3019,VarKey,0))&amp;K$5</f>
        <v/>
      </c>
      <c r="L3019" s="15">
        <f>L3010*Settings!$C$13*$D3019</f>
        <v/>
      </c>
      <c r="M3019" s="16">
        <f>M3010*Settings!$C$13*$D3019</f>
        <v/>
      </c>
      <c r="N3019" s="16">
        <f>N3010*Settings!$C$13*$D3019</f>
        <v/>
      </c>
      <c r="O3019" s="16">
        <f>O3010*Settings!$C$13*$D3019</f>
        <v/>
      </c>
      <c r="P3019" s="16">
        <f>P3010*Settings!$C$13*$D3019</f>
        <v/>
      </c>
      <c r="Q3019" s="16">
        <f>Q3010*Settings!$C$13*$D3019</f>
        <v/>
      </c>
      <c r="R3019" s="16">
        <f>R3010*Settings!$C$13*$D3019</f>
        <v/>
      </c>
      <c r="S3019" s="16">
        <f>S3010*Settings!$C$13*$D3019</f>
        <v/>
      </c>
      <c r="T3019" s="16">
        <f>T3010*Settings!$C$13*$D3019</f>
        <v/>
      </c>
      <c r="U3019" s="16">
        <f>U3010*Settings!$C$13*$D3019</f>
        <v/>
      </c>
      <c r="V3019" s="16">
        <f>V3010*Settings!$C$13*$D3019</f>
        <v/>
      </c>
      <c r="W3019" s="16">
        <f>W3010*Settings!$C$13*$D3019</f>
        <v/>
      </c>
      <c r="X3019" s="16">
        <f>X3010*Settings!$C$13*$D3019</f>
        <v/>
      </c>
      <c r="Y3019" s="16">
        <f>Y3010*Settings!$C$13*$D3019</f>
        <v/>
      </c>
      <c r="Z3019" s="16">
        <f>Z3010*Settings!$C$13*$D3019</f>
        <v/>
      </c>
      <c r="AA3019" s="16">
        <f>AA3010*Settings!$C$13*$D3019</f>
        <v/>
      </c>
      <c r="AB3019" s="16">
        <f>AB3010*Settings!$C$13*$D3019</f>
        <v/>
      </c>
      <c r="AC3019" s="16">
        <f>AC3010*Settings!$C$13*$D3019</f>
        <v/>
      </c>
      <c r="AD3019" s="16">
        <f>AD3010*Settings!$C$13*$D3019</f>
        <v/>
      </c>
      <c r="AE3019" s="49">
        <f>EMISSIONS(AE3010,Settings!$C$13,$D3019)</f>
        <v/>
      </c>
      <c r="AG3019" s="11">
        <f>CodePrefix&amp;$A3019&amp;IF($C3019="","","."&amp;$C3019&amp;"."&amp;$B3019)&amp;INDEX(VarEnd,MATCH($A3019,VarKey,0))&amp;AG$5</f>
        <v/>
      </c>
      <c r="AH3019" s="15">
        <f>AH3010*Settings!$C$13*$D3019</f>
        <v/>
      </c>
      <c r="AI3019" s="16">
        <f>AI3010*Settings!$C$13*$D3019</f>
        <v/>
      </c>
      <c r="AJ3019" s="16">
        <f>AJ3010*Settings!$C$13*$D3019</f>
        <v/>
      </c>
      <c r="AK3019" s="16">
        <f>AK3010*Settings!$C$13*$D3019</f>
        <v/>
      </c>
      <c r="AL3019" s="16">
        <f>AL3010*Settings!$C$13*$D3019</f>
        <v/>
      </c>
      <c r="AM3019" s="16">
        <f>AM3010*Settings!$C$13*$D3019</f>
        <v/>
      </c>
      <c r="AN3019" s="16">
        <f>AN3010*Settings!$C$13*$D3019</f>
        <v/>
      </c>
      <c r="AO3019" s="16">
        <f>AO3010*Settings!$C$13*$D3019</f>
        <v/>
      </c>
      <c r="AP3019" s="16">
        <f>AP3010*Settings!$C$13*$D3019</f>
        <v/>
      </c>
      <c r="AQ3019" s="16">
        <f>AQ3010*Settings!$C$13*$D3019</f>
        <v/>
      </c>
      <c r="AR3019" s="16">
        <f>AR3010*Settings!$C$13*$D3019</f>
        <v/>
      </c>
      <c r="AS3019" s="16">
        <f>AS3010*Settings!$C$13*$D3019</f>
        <v/>
      </c>
      <c r="AT3019" s="16">
        <f>AT3010*Settings!$C$13*$D3019</f>
        <v/>
      </c>
      <c r="AU3019" s="16">
        <f>AU3010*Settings!$C$13*$D3019</f>
        <v/>
      </c>
      <c r="AV3019" s="16">
        <f>AV3010*Settings!$C$13*$D3019</f>
        <v/>
      </c>
      <c r="AW3019" s="16">
        <f>AW3010*Settings!$C$13*$D3019</f>
        <v/>
      </c>
      <c r="AX3019" s="16">
        <f>AX3010*Settings!$C$13*$D3019</f>
        <v/>
      </c>
      <c r="AY3019" s="16">
        <f>AY3010*Settings!$C$13*$D3019</f>
        <v/>
      </c>
      <c r="AZ3019" s="16">
        <f>AZ3010*Settings!$C$13*$D3019</f>
        <v/>
      </c>
      <c r="BA3019" s="49">
        <f>EMISSIONS(BA3010,Settings!$C$13,$D3019)</f>
        <v/>
      </c>
    </row>
    <row r="3020" hidden="1" outlineLevel="2">
      <c r="A3020" s="14" t="inlineStr">
        <is>
          <t>co2</t>
        </is>
      </c>
      <c r="B3020" s="14" t="inlineStr">
        <is>
          <t>die</t>
        </is>
      </c>
      <c r="C3020" s="14" t="inlineStr">
        <is>
          <t>oen</t>
        </is>
      </c>
      <c r="D3020" s="35">
        <f>INDEX(Inputs!$W$5:$W$132,MATCH($B3020&amp;"|"&amp;$C3020,Inputs!$A$5:$A$132,0))</f>
        <v/>
      </c>
      <c r="E3020" s="39" t="n"/>
      <c r="F3020" s="39" t="n"/>
      <c r="G3020" s="39" t="n"/>
      <c r="H3020" s="14">
        <f>INDEX(VarLab,MATCH($A3020,VarKey,0))&amp;INDEX(MemLab,MATCH($C3020&amp;"|"&amp;$B3020,MemKey,0))</f>
        <v/>
      </c>
      <c r="I3020" s="14">
        <f>INDEX(VarUnit,MATCH($A3020,VarKey,0))</f>
        <v/>
      </c>
      <c r="J3020" s="14">
        <f>INDEX(VarSrc,MATCH($A3020,VarKey,0))</f>
        <v/>
      </c>
      <c r="K3020" s="11">
        <f>CodePrefix&amp;$A3020&amp;IF($C3020="","","."&amp;$C3020&amp;"."&amp;$B3020)&amp;INDEX(VarEnd,MATCH($A3020,VarKey,0))&amp;K$5</f>
        <v/>
      </c>
      <c r="L3020" s="15">
        <f>L3011*Settings!$C$13*$D3020</f>
        <v/>
      </c>
      <c r="M3020" s="16">
        <f>M3011*Settings!$C$13*$D3020</f>
        <v/>
      </c>
      <c r="N3020" s="16">
        <f>N3011*Settings!$C$13*$D3020</f>
        <v/>
      </c>
      <c r="O3020" s="16">
        <f>O3011*Settings!$C$13*$D3020</f>
        <v/>
      </c>
      <c r="P3020" s="16">
        <f>P3011*Settings!$C$13*$D3020</f>
        <v/>
      </c>
      <c r="Q3020" s="16">
        <f>Q3011*Settings!$C$13*$D3020</f>
        <v/>
      </c>
      <c r="R3020" s="16">
        <f>R3011*Settings!$C$13*$D3020</f>
        <v/>
      </c>
      <c r="S3020" s="16">
        <f>S3011*Settings!$C$13*$D3020</f>
        <v/>
      </c>
      <c r="T3020" s="16">
        <f>T3011*Settings!$C$13*$D3020</f>
        <v/>
      </c>
      <c r="U3020" s="16">
        <f>U3011*Settings!$C$13*$D3020</f>
        <v/>
      </c>
      <c r="V3020" s="16">
        <f>V3011*Settings!$C$13*$D3020</f>
        <v/>
      </c>
      <c r="W3020" s="16">
        <f>W3011*Settings!$C$13*$D3020</f>
        <v/>
      </c>
      <c r="X3020" s="16">
        <f>X3011*Settings!$C$13*$D3020</f>
        <v/>
      </c>
      <c r="Y3020" s="16">
        <f>Y3011*Settings!$C$13*$D3020</f>
        <v/>
      </c>
      <c r="Z3020" s="16">
        <f>Z3011*Settings!$C$13*$D3020</f>
        <v/>
      </c>
      <c r="AA3020" s="16">
        <f>AA3011*Settings!$C$13*$D3020</f>
        <v/>
      </c>
      <c r="AB3020" s="16">
        <f>AB3011*Settings!$C$13*$D3020</f>
        <v/>
      </c>
      <c r="AC3020" s="16">
        <f>AC3011*Settings!$C$13*$D3020</f>
        <v/>
      </c>
      <c r="AD3020" s="16">
        <f>AD3011*Settings!$C$13*$D3020</f>
        <v/>
      </c>
      <c r="AE3020" s="49">
        <f>EMISSIONS(AE3011,Settings!$C$13,$D3020)</f>
        <v/>
      </c>
      <c r="AG3020" s="11">
        <f>CodePrefix&amp;$A3020&amp;IF($C3020="","","."&amp;$C3020&amp;"."&amp;$B3020)&amp;INDEX(VarEnd,MATCH($A3020,VarKey,0))&amp;AG$5</f>
        <v/>
      </c>
      <c r="AH3020" s="15">
        <f>AH3011*Settings!$C$13*$D3020</f>
        <v/>
      </c>
      <c r="AI3020" s="16">
        <f>AI3011*Settings!$C$13*$D3020</f>
        <v/>
      </c>
      <c r="AJ3020" s="16">
        <f>AJ3011*Settings!$C$13*$D3020</f>
        <v/>
      </c>
      <c r="AK3020" s="16">
        <f>AK3011*Settings!$C$13*$D3020</f>
        <v/>
      </c>
      <c r="AL3020" s="16">
        <f>AL3011*Settings!$C$13*$D3020</f>
        <v/>
      </c>
      <c r="AM3020" s="16">
        <f>AM3011*Settings!$C$13*$D3020</f>
        <v/>
      </c>
      <c r="AN3020" s="16">
        <f>AN3011*Settings!$C$13*$D3020</f>
        <v/>
      </c>
      <c r="AO3020" s="16">
        <f>AO3011*Settings!$C$13*$D3020</f>
        <v/>
      </c>
      <c r="AP3020" s="16">
        <f>AP3011*Settings!$C$13*$D3020</f>
        <v/>
      </c>
      <c r="AQ3020" s="16">
        <f>AQ3011*Settings!$C$13*$D3020</f>
        <v/>
      </c>
      <c r="AR3020" s="16">
        <f>AR3011*Settings!$C$13*$D3020</f>
        <v/>
      </c>
      <c r="AS3020" s="16">
        <f>AS3011*Settings!$C$13*$D3020</f>
        <v/>
      </c>
      <c r="AT3020" s="16">
        <f>AT3011*Settings!$C$13*$D3020</f>
        <v/>
      </c>
      <c r="AU3020" s="16">
        <f>AU3011*Settings!$C$13*$D3020</f>
        <v/>
      </c>
      <c r="AV3020" s="16">
        <f>AV3011*Settings!$C$13*$D3020</f>
        <v/>
      </c>
      <c r="AW3020" s="16">
        <f>AW3011*Settings!$C$13*$D3020</f>
        <v/>
      </c>
      <c r="AX3020" s="16">
        <f>AX3011*Settings!$C$13*$D3020</f>
        <v/>
      </c>
      <c r="AY3020" s="16">
        <f>AY3011*Settings!$C$13*$D3020</f>
        <v/>
      </c>
      <c r="AZ3020" s="16">
        <f>AZ3011*Settings!$C$13*$D3020</f>
        <v/>
      </c>
      <c r="BA3020" s="49">
        <f>EMISSIONS(BA3011,Settings!$C$13,$D3020)</f>
        <v/>
      </c>
    </row>
    <row r="3021" hidden="1" outlineLevel="2">
      <c r="A3021" s="14" t="inlineStr">
        <is>
          <t>co2</t>
        </is>
      </c>
      <c r="B3021" s="14" t="inlineStr">
        <is>
          <t>lpg</t>
        </is>
      </c>
      <c r="C3021" s="14" t="inlineStr">
        <is>
          <t>oen</t>
        </is>
      </c>
      <c r="D3021" s="35">
        <f>INDEX(Inputs!$W$5:$W$132,MATCH($B3021&amp;"|"&amp;$C3021,Inputs!$A$5:$A$132,0))</f>
        <v/>
      </c>
      <c r="E3021" s="39" t="n"/>
      <c r="F3021" s="39" t="n"/>
      <c r="G3021" s="39" t="n"/>
      <c r="H3021" s="14">
        <f>INDEX(VarLab,MATCH($A3021,VarKey,0))&amp;INDEX(MemLab,MATCH($C3021&amp;"|"&amp;$B3021,MemKey,0))</f>
        <v/>
      </c>
      <c r="I3021" s="14">
        <f>INDEX(VarUnit,MATCH($A3021,VarKey,0))</f>
        <v/>
      </c>
      <c r="J3021" s="14">
        <f>INDEX(VarSrc,MATCH($A3021,VarKey,0))</f>
        <v/>
      </c>
      <c r="K3021" s="11">
        <f>CodePrefix&amp;$A3021&amp;IF($C3021="","","."&amp;$C3021&amp;"."&amp;$B3021)&amp;INDEX(VarEnd,MATCH($A3021,VarKey,0))&amp;K$5</f>
        <v/>
      </c>
      <c r="L3021" s="15">
        <f>L3012*Settings!$C$13*$D3021</f>
        <v/>
      </c>
      <c r="M3021" s="16">
        <f>M3012*Settings!$C$13*$D3021</f>
        <v/>
      </c>
      <c r="N3021" s="16">
        <f>N3012*Settings!$C$13*$D3021</f>
        <v/>
      </c>
      <c r="O3021" s="16">
        <f>O3012*Settings!$C$13*$D3021</f>
        <v/>
      </c>
      <c r="P3021" s="16">
        <f>P3012*Settings!$C$13*$D3021</f>
        <v/>
      </c>
      <c r="Q3021" s="16">
        <f>Q3012*Settings!$C$13*$D3021</f>
        <v/>
      </c>
      <c r="R3021" s="16">
        <f>R3012*Settings!$C$13*$D3021</f>
        <v/>
      </c>
      <c r="S3021" s="16">
        <f>S3012*Settings!$C$13*$D3021</f>
        <v/>
      </c>
      <c r="T3021" s="16">
        <f>T3012*Settings!$C$13*$D3021</f>
        <v/>
      </c>
      <c r="U3021" s="16">
        <f>U3012*Settings!$C$13*$D3021</f>
        <v/>
      </c>
      <c r="V3021" s="16">
        <f>V3012*Settings!$C$13*$D3021</f>
        <v/>
      </c>
      <c r="W3021" s="16">
        <f>W3012*Settings!$C$13*$D3021</f>
        <v/>
      </c>
      <c r="X3021" s="16">
        <f>X3012*Settings!$C$13*$D3021</f>
        <v/>
      </c>
      <c r="Y3021" s="16">
        <f>Y3012*Settings!$C$13*$D3021</f>
        <v/>
      </c>
      <c r="Z3021" s="16">
        <f>Z3012*Settings!$C$13*$D3021</f>
        <v/>
      </c>
      <c r="AA3021" s="16">
        <f>AA3012*Settings!$C$13*$D3021</f>
        <v/>
      </c>
      <c r="AB3021" s="16">
        <f>AB3012*Settings!$C$13*$D3021</f>
        <v/>
      </c>
      <c r="AC3021" s="16">
        <f>AC3012*Settings!$C$13*$D3021</f>
        <v/>
      </c>
      <c r="AD3021" s="16">
        <f>AD3012*Settings!$C$13*$D3021</f>
        <v/>
      </c>
      <c r="AE3021" s="49">
        <f>EMISSIONS(AE3012,Settings!$C$13,$D3021)</f>
        <v/>
      </c>
      <c r="AG3021" s="11">
        <f>CodePrefix&amp;$A3021&amp;IF($C3021="","","."&amp;$C3021&amp;"."&amp;$B3021)&amp;INDEX(VarEnd,MATCH($A3021,VarKey,0))&amp;AG$5</f>
        <v/>
      </c>
      <c r="AH3021" s="15">
        <f>AH3012*Settings!$C$13*$D3021</f>
        <v/>
      </c>
      <c r="AI3021" s="16">
        <f>AI3012*Settings!$C$13*$D3021</f>
        <v/>
      </c>
      <c r="AJ3021" s="16">
        <f>AJ3012*Settings!$C$13*$D3021</f>
        <v/>
      </c>
      <c r="AK3021" s="16">
        <f>AK3012*Settings!$C$13*$D3021</f>
        <v/>
      </c>
      <c r="AL3021" s="16">
        <f>AL3012*Settings!$C$13*$D3021</f>
        <v/>
      </c>
      <c r="AM3021" s="16">
        <f>AM3012*Settings!$C$13*$D3021</f>
        <v/>
      </c>
      <c r="AN3021" s="16">
        <f>AN3012*Settings!$C$13*$D3021</f>
        <v/>
      </c>
      <c r="AO3021" s="16">
        <f>AO3012*Settings!$C$13*$D3021</f>
        <v/>
      </c>
      <c r="AP3021" s="16">
        <f>AP3012*Settings!$C$13*$D3021</f>
        <v/>
      </c>
      <c r="AQ3021" s="16">
        <f>AQ3012*Settings!$C$13*$D3021</f>
        <v/>
      </c>
      <c r="AR3021" s="16">
        <f>AR3012*Settings!$C$13*$D3021</f>
        <v/>
      </c>
      <c r="AS3021" s="16">
        <f>AS3012*Settings!$C$13*$D3021</f>
        <v/>
      </c>
      <c r="AT3021" s="16">
        <f>AT3012*Settings!$C$13*$D3021</f>
        <v/>
      </c>
      <c r="AU3021" s="16">
        <f>AU3012*Settings!$C$13*$D3021</f>
        <v/>
      </c>
      <c r="AV3021" s="16">
        <f>AV3012*Settings!$C$13*$D3021</f>
        <v/>
      </c>
      <c r="AW3021" s="16">
        <f>AW3012*Settings!$C$13*$D3021</f>
        <v/>
      </c>
      <c r="AX3021" s="16">
        <f>AX3012*Settings!$C$13*$D3021</f>
        <v/>
      </c>
      <c r="AY3021" s="16">
        <f>AY3012*Settings!$C$13*$D3021</f>
        <v/>
      </c>
      <c r="AZ3021" s="16">
        <f>AZ3012*Settings!$C$13*$D3021</f>
        <v/>
      </c>
      <c r="BA3021" s="49">
        <f>EMISSIONS(BA3012,Settings!$C$13,$D3021)</f>
        <v/>
      </c>
    </row>
    <row r="3022" hidden="1" outlineLevel="2">
      <c r="A3022" s="14" t="inlineStr">
        <is>
          <t>co2</t>
        </is>
      </c>
      <c r="B3022" s="14" t="inlineStr">
        <is>
          <t>ker</t>
        </is>
      </c>
      <c r="C3022" s="14" t="inlineStr">
        <is>
          <t>oen</t>
        </is>
      </c>
      <c r="D3022" s="35">
        <f>INDEX(Inputs!$W$5:$W$132,MATCH($B3022&amp;"|"&amp;$C3022,Inputs!$A$5:$A$132,0))</f>
        <v/>
      </c>
      <c r="E3022" s="39" t="n"/>
      <c r="F3022" s="39" t="n"/>
      <c r="G3022" s="39" t="n"/>
      <c r="H3022" s="14">
        <f>INDEX(VarLab,MATCH($A3022,VarKey,0))&amp;INDEX(MemLab,MATCH($C3022&amp;"|"&amp;$B3022,MemKey,0))</f>
        <v/>
      </c>
      <c r="I3022" s="14">
        <f>INDEX(VarUnit,MATCH($A3022,VarKey,0))</f>
        <v/>
      </c>
      <c r="J3022" s="14">
        <f>INDEX(VarSrc,MATCH($A3022,VarKey,0))</f>
        <v/>
      </c>
      <c r="K3022" s="11">
        <f>CodePrefix&amp;$A3022&amp;IF($C3022="","","."&amp;$C3022&amp;"."&amp;$B3022)&amp;INDEX(VarEnd,MATCH($A3022,VarKey,0))&amp;K$5</f>
        <v/>
      </c>
      <c r="L3022" s="15">
        <f>L3013*Settings!$C$13*$D3022</f>
        <v/>
      </c>
      <c r="M3022" s="16">
        <f>M3013*Settings!$C$13*$D3022</f>
        <v/>
      </c>
      <c r="N3022" s="16">
        <f>N3013*Settings!$C$13*$D3022</f>
        <v/>
      </c>
      <c r="O3022" s="16">
        <f>O3013*Settings!$C$13*$D3022</f>
        <v/>
      </c>
      <c r="P3022" s="16">
        <f>P3013*Settings!$C$13*$D3022</f>
        <v/>
      </c>
      <c r="Q3022" s="16">
        <f>Q3013*Settings!$C$13*$D3022</f>
        <v/>
      </c>
      <c r="R3022" s="16">
        <f>R3013*Settings!$C$13*$D3022</f>
        <v/>
      </c>
      <c r="S3022" s="16">
        <f>S3013*Settings!$C$13*$D3022</f>
        <v/>
      </c>
      <c r="T3022" s="16">
        <f>T3013*Settings!$C$13*$D3022</f>
        <v/>
      </c>
      <c r="U3022" s="16">
        <f>U3013*Settings!$C$13*$D3022</f>
        <v/>
      </c>
      <c r="V3022" s="16">
        <f>V3013*Settings!$C$13*$D3022</f>
        <v/>
      </c>
      <c r="W3022" s="16">
        <f>W3013*Settings!$C$13*$D3022</f>
        <v/>
      </c>
      <c r="X3022" s="16">
        <f>X3013*Settings!$C$13*$D3022</f>
        <v/>
      </c>
      <c r="Y3022" s="16">
        <f>Y3013*Settings!$C$13*$D3022</f>
        <v/>
      </c>
      <c r="Z3022" s="16">
        <f>Z3013*Settings!$C$13*$D3022</f>
        <v/>
      </c>
      <c r="AA3022" s="16">
        <f>AA3013*Settings!$C$13*$D3022</f>
        <v/>
      </c>
      <c r="AB3022" s="16">
        <f>AB3013*Settings!$C$13*$D3022</f>
        <v/>
      </c>
      <c r="AC3022" s="16">
        <f>AC3013*Settings!$C$13*$D3022</f>
        <v/>
      </c>
      <c r="AD3022" s="16">
        <f>AD3013*Settings!$C$13*$D3022</f>
        <v/>
      </c>
      <c r="AE3022" s="49">
        <f>EMISSIONS(AE3013,Settings!$C$13,$D3022)</f>
        <v/>
      </c>
      <c r="AG3022" s="11">
        <f>CodePrefix&amp;$A3022&amp;IF($C3022="","","."&amp;$C3022&amp;"."&amp;$B3022)&amp;INDEX(VarEnd,MATCH($A3022,VarKey,0))&amp;AG$5</f>
        <v/>
      </c>
      <c r="AH3022" s="15">
        <f>AH3013*Settings!$C$13*$D3022</f>
        <v/>
      </c>
      <c r="AI3022" s="16">
        <f>AI3013*Settings!$C$13*$D3022</f>
        <v/>
      </c>
      <c r="AJ3022" s="16">
        <f>AJ3013*Settings!$C$13*$D3022</f>
        <v/>
      </c>
      <c r="AK3022" s="16">
        <f>AK3013*Settings!$C$13*$D3022</f>
        <v/>
      </c>
      <c r="AL3022" s="16">
        <f>AL3013*Settings!$C$13*$D3022</f>
        <v/>
      </c>
      <c r="AM3022" s="16">
        <f>AM3013*Settings!$C$13*$D3022</f>
        <v/>
      </c>
      <c r="AN3022" s="16">
        <f>AN3013*Settings!$C$13*$D3022</f>
        <v/>
      </c>
      <c r="AO3022" s="16">
        <f>AO3013*Settings!$C$13*$D3022</f>
        <v/>
      </c>
      <c r="AP3022" s="16">
        <f>AP3013*Settings!$C$13*$D3022</f>
        <v/>
      </c>
      <c r="AQ3022" s="16">
        <f>AQ3013*Settings!$C$13*$D3022</f>
        <v/>
      </c>
      <c r="AR3022" s="16">
        <f>AR3013*Settings!$C$13*$D3022</f>
        <v/>
      </c>
      <c r="AS3022" s="16">
        <f>AS3013*Settings!$C$13*$D3022</f>
        <v/>
      </c>
      <c r="AT3022" s="16">
        <f>AT3013*Settings!$C$13*$D3022</f>
        <v/>
      </c>
      <c r="AU3022" s="16">
        <f>AU3013*Settings!$C$13*$D3022</f>
        <v/>
      </c>
      <c r="AV3022" s="16">
        <f>AV3013*Settings!$C$13*$D3022</f>
        <v/>
      </c>
      <c r="AW3022" s="16">
        <f>AW3013*Settings!$C$13*$D3022</f>
        <v/>
      </c>
      <c r="AX3022" s="16">
        <f>AX3013*Settings!$C$13*$D3022</f>
        <v/>
      </c>
      <c r="AY3022" s="16">
        <f>AY3013*Settings!$C$13*$D3022</f>
        <v/>
      </c>
      <c r="AZ3022" s="16">
        <f>AZ3013*Settings!$C$13*$D3022</f>
        <v/>
      </c>
      <c r="BA3022" s="49">
        <f>EMISSIONS(BA3013,Settings!$C$13,$D3022)</f>
        <v/>
      </c>
    </row>
    <row r="3023" hidden="1" outlineLevel="2">
      <c r="A3023" s="14" t="inlineStr">
        <is>
          <t>co2</t>
        </is>
      </c>
      <c r="B3023" s="14" t="inlineStr">
        <is>
          <t>oop</t>
        </is>
      </c>
      <c r="C3023" s="14" t="inlineStr">
        <is>
          <t>oen</t>
        </is>
      </c>
      <c r="D3023" s="35">
        <f>INDEX(Inputs!$W$5:$W$132,MATCH($B3023&amp;"|"&amp;$C3023,Inputs!$A$5:$A$132,0))</f>
        <v/>
      </c>
      <c r="E3023" s="39" t="n"/>
      <c r="F3023" s="39" t="n"/>
      <c r="G3023" s="39" t="n"/>
      <c r="H3023" s="14">
        <f>INDEX(VarLab,MATCH($A3023,VarKey,0))&amp;INDEX(MemLab,MATCH($C3023&amp;"|"&amp;$B3023,MemKey,0))</f>
        <v/>
      </c>
      <c r="I3023" s="14">
        <f>INDEX(VarUnit,MATCH($A3023,VarKey,0))</f>
        <v/>
      </c>
      <c r="J3023" s="14">
        <f>INDEX(VarSrc,MATCH($A3023,VarKey,0))</f>
        <v/>
      </c>
      <c r="K3023" s="11">
        <f>CodePrefix&amp;$A3023&amp;IF($C3023="","","."&amp;$C3023&amp;"."&amp;$B3023)&amp;INDEX(VarEnd,MATCH($A3023,VarKey,0))&amp;K$5</f>
        <v/>
      </c>
      <c r="L3023" s="15">
        <f>L3014*Settings!$C$13*$D3023</f>
        <v/>
      </c>
      <c r="M3023" s="16">
        <f>M3014*Settings!$C$13*$D3023</f>
        <v/>
      </c>
      <c r="N3023" s="16">
        <f>N3014*Settings!$C$13*$D3023</f>
        <v/>
      </c>
      <c r="O3023" s="16">
        <f>O3014*Settings!$C$13*$D3023</f>
        <v/>
      </c>
      <c r="P3023" s="16">
        <f>P3014*Settings!$C$13*$D3023</f>
        <v/>
      </c>
      <c r="Q3023" s="16">
        <f>Q3014*Settings!$C$13*$D3023</f>
        <v/>
      </c>
      <c r="R3023" s="16">
        <f>R3014*Settings!$C$13*$D3023</f>
        <v/>
      </c>
      <c r="S3023" s="16">
        <f>S3014*Settings!$C$13*$D3023</f>
        <v/>
      </c>
      <c r="T3023" s="16">
        <f>T3014*Settings!$C$13*$D3023</f>
        <v/>
      </c>
      <c r="U3023" s="16">
        <f>U3014*Settings!$C$13*$D3023</f>
        <v/>
      </c>
      <c r="V3023" s="16">
        <f>V3014*Settings!$C$13*$D3023</f>
        <v/>
      </c>
      <c r="W3023" s="16">
        <f>W3014*Settings!$C$13*$D3023</f>
        <v/>
      </c>
      <c r="X3023" s="16">
        <f>X3014*Settings!$C$13*$D3023</f>
        <v/>
      </c>
      <c r="Y3023" s="16">
        <f>Y3014*Settings!$C$13*$D3023</f>
        <v/>
      </c>
      <c r="Z3023" s="16">
        <f>Z3014*Settings!$C$13*$D3023</f>
        <v/>
      </c>
      <c r="AA3023" s="16">
        <f>AA3014*Settings!$C$13*$D3023</f>
        <v/>
      </c>
      <c r="AB3023" s="16">
        <f>AB3014*Settings!$C$13*$D3023</f>
        <v/>
      </c>
      <c r="AC3023" s="16">
        <f>AC3014*Settings!$C$13*$D3023</f>
        <v/>
      </c>
      <c r="AD3023" s="16">
        <f>AD3014*Settings!$C$13*$D3023</f>
        <v/>
      </c>
      <c r="AE3023" s="49">
        <f>EMISSIONS(AE3014,Settings!$C$13,$D3023)</f>
        <v/>
      </c>
      <c r="AG3023" s="11">
        <f>CodePrefix&amp;$A3023&amp;IF($C3023="","","."&amp;$C3023&amp;"."&amp;$B3023)&amp;INDEX(VarEnd,MATCH($A3023,VarKey,0))&amp;AG$5</f>
        <v/>
      </c>
      <c r="AH3023" s="15">
        <f>AH3014*Settings!$C$13*$D3023</f>
        <v/>
      </c>
      <c r="AI3023" s="16">
        <f>AI3014*Settings!$C$13*$D3023</f>
        <v/>
      </c>
      <c r="AJ3023" s="16">
        <f>AJ3014*Settings!$C$13*$D3023</f>
        <v/>
      </c>
      <c r="AK3023" s="16">
        <f>AK3014*Settings!$C$13*$D3023</f>
        <v/>
      </c>
      <c r="AL3023" s="16">
        <f>AL3014*Settings!$C$13*$D3023</f>
        <v/>
      </c>
      <c r="AM3023" s="16">
        <f>AM3014*Settings!$C$13*$D3023</f>
        <v/>
      </c>
      <c r="AN3023" s="16">
        <f>AN3014*Settings!$C$13*$D3023</f>
        <v/>
      </c>
      <c r="AO3023" s="16">
        <f>AO3014*Settings!$C$13*$D3023</f>
        <v/>
      </c>
      <c r="AP3023" s="16">
        <f>AP3014*Settings!$C$13*$D3023</f>
        <v/>
      </c>
      <c r="AQ3023" s="16">
        <f>AQ3014*Settings!$C$13*$D3023</f>
        <v/>
      </c>
      <c r="AR3023" s="16">
        <f>AR3014*Settings!$C$13*$D3023</f>
        <v/>
      </c>
      <c r="AS3023" s="16">
        <f>AS3014*Settings!$C$13*$D3023</f>
        <v/>
      </c>
      <c r="AT3023" s="16">
        <f>AT3014*Settings!$C$13*$D3023</f>
        <v/>
      </c>
      <c r="AU3023" s="16">
        <f>AU3014*Settings!$C$13*$D3023</f>
        <v/>
      </c>
      <c r="AV3023" s="16">
        <f>AV3014*Settings!$C$13*$D3023</f>
        <v/>
      </c>
      <c r="AW3023" s="16">
        <f>AW3014*Settings!$C$13*$D3023</f>
        <v/>
      </c>
      <c r="AX3023" s="16">
        <f>AX3014*Settings!$C$13*$D3023</f>
        <v/>
      </c>
      <c r="AY3023" s="16">
        <f>AY3014*Settings!$C$13*$D3023</f>
        <v/>
      </c>
      <c r="AZ3023" s="16">
        <f>AZ3014*Settings!$C$13*$D3023</f>
        <v/>
      </c>
      <c r="BA3023" s="49">
        <f>EMISSIONS(BA3014,Settings!$C$13,$D3023)</f>
        <v/>
      </c>
    </row>
    <row r="3024" hidden="1" outlineLevel="2">
      <c r="A3024" s="14" t="inlineStr">
        <is>
          <t>co2</t>
        </is>
      </c>
      <c r="B3024" s="14" t="inlineStr">
        <is>
          <t>bio</t>
        </is>
      </c>
      <c r="C3024" s="14" t="inlineStr">
        <is>
          <t>oen</t>
        </is>
      </c>
      <c r="D3024" s="35">
        <f>INDEX(Inputs!$W$5:$W$132,MATCH($B3024&amp;"|"&amp;$C3024,Inputs!$A$5:$A$132,0))</f>
        <v/>
      </c>
      <c r="E3024" s="39" t="n"/>
      <c r="F3024" s="39" t="n"/>
      <c r="G3024" s="39" t="n"/>
      <c r="H3024" s="14">
        <f>INDEX(VarLab,MATCH($A3024,VarKey,0))&amp;INDEX(MemLab,MATCH($C3024&amp;"|"&amp;$B3024,MemKey,0))</f>
        <v/>
      </c>
      <c r="I3024" s="14">
        <f>INDEX(VarUnit,MATCH($A3024,VarKey,0))</f>
        <v/>
      </c>
      <c r="J3024" s="14">
        <f>INDEX(VarSrc,MATCH($A3024,VarKey,0))</f>
        <v/>
      </c>
      <c r="K3024" s="11">
        <f>CodePrefix&amp;$A3024&amp;IF($C3024="","","."&amp;$C3024&amp;"."&amp;$B3024)&amp;INDEX(VarEnd,MATCH($A3024,VarKey,0))&amp;K$5</f>
        <v/>
      </c>
      <c r="L3024" s="15">
        <f>L3015*Settings!$C$13*$D3024</f>
        <v/>
      </c>
      <c r="M3024" s="16">
        <f>M3015*Settings!$C$13*$D3024</f>
        <v/>
      </c>
      <c r="N3024" s="16">
        <f>N3015*Settings!$C$13*$D3024</f>
        <v/>
      </c>
      <c r="O3024" s="16">
        <f>O3015*Settings!$C$13*$D3024</f>
        <v/>
      </c>
      <c r="P3024" s="16">
        <f>P3015*Settings!$C$13*$D3024</f>
        <v/>
      </c>
      <c r="Q3024" s="16">
        <f>Q3015*Settings!$C$13*$D3024</f>
        <v/>
      </c>
      <c r="R3024" s="16">
        <f>R3015*Settings!$C$13*$D3024</f>
        <v/>
      </c>
      <c r="S3024" s="16">
        <f>S3015*Settings!$C$13*$D3024</f>
        <v/>
      </c>
      <c r="T3024" s="16">
        <f>T3015*Settings!$C$13*$D3024</f>
        <v/>
      </c>
      <c r="U3024" s="16">
        <f>U3015*Settings!$C$13*$D3024</f>
        <v/>
      </c>
      <c r="V3024" s="16">
        <f>V3015*Settings!$C$13*$D3024</f>
        <v/>
      </c>
      <c r="W3024" s="16">
        <f>W3015*Settings!$C$13*$D3024</f>
        <v/>
      </c>
      <c r="X3024" s="16">
        <f>X3015*Settings!$C$13*$D3024</f>
        <v/>
      </c>
      <c r="Y3024" s="16">
        <f>Y3015*Settings!$C$13*$D3024</f>
        <v/>
      </c>
      <c r="Z3024" s="16">
        <f>Z3015*Settings!$C$13*$D3024</f>
        <v/>
      </c>
      <c r="AA3024" s="16">
        <f>AA3015*Settings!$C$13*$D3024</f>
        <v/>
      </c>
      <c r="AB3024" s="16">
        <f>AB3015*Settings!$C$13*$D3024</f>
        <v/>
      </c>
      <c r="AC3024" s="16">
        <f>AC3015*Settings!$C$13*$D3024</f>
        <v/>
      </c>
      <c r="AD3024" s="16">
        <f>AD3015*Settings!$C$13*$D3024</f>
        <v/>
      </c>
      <c r="AE3024" s="49">
        <f>EMISSIONS(AE3015,Settings!$C$13,$D3024)</f>
        <v/>
      </c>
      <c r="AG3024" s="11">
        <f>CodePrefix&amp;$A3024&amp;IF($C3024="","","."&amp;$C3024&amp;"."&amp;$B3024)&amp;INDEX(VarEnd,MATCH($A3024,VarKey,0))&amp;AG$5</f>
        <v/>
      </c>
      <c r="AH3024" s="15">
        <f>AH3015*Settings!$C$13*$D3024</f>
        <v/>
      </c>
      <c r="AI3024" s="16">
        <f>AI3015*Settings!$C$13*$D3024</f>
        <v/>
      </c>
      <c r="AJ3024" s="16">
        <f>AJ3015*Settings!$C$13*$D3024</f>
        <v/>
      </c>
      <c r="AK3024" s="16">
        <f>AK3015*Settings!$C$13*$D3024</f>
        <v/>
      </c>
      <c r="AL3024" s="16">
        <f>AL3015*Settings!$C$13*$D3024</f>
        <v/>
      </c>
      <c r="AM3024" s="16">
        <f>AM3015*Settings!$C$13*$D3024</f>
        <v/>
      </c>
      <c r="AN3024" s="16">
        <f>AN3015*Settings!$C$13*$D3024</f>
        <v/>
      </c>
      <c r="AO3024" s="16">
        <f>AO3015*Settings!$C$13*$D3024</f>
        <v/>
      </c>
      <c r="AP3024" s="16">
        <f>AP3015*Settings!$C$13*$D3024</f>
        <v/>
      </c>
      <c r="AQ3024" s="16">
        <f>AQ3015*Settings!$C$13*$D3024</f>
        <v/>
      </c>
      <c r="AR3024" s="16">
        <f>AR3015*Settings!$C$13*$D3024</f>
        <v/>
      </c>
      <c r="AS3024" s="16">
        <f>AS3015*Settings!$C$13*$D3024</f>
        <v/>
      </c>
      <c r="AT3024" s="16">
        <f>AT3015*Settings!$C$13*$D3024</f>
        <v/>
      </c>
      <c r="AU3024" s="16">
        <f>AU3015*Settings!$C$13*$D3024</f>
        <v/>
      </c>
      <c r="AV3024" s="16">
        <f>AV3015*Settings!$C$13*$D3024</f>
        <v/>
      </c>
      <c r="AW3024" s="16">
        <f>AW3015*Settings!$C$13*$D3024</f>
        <v/>
      </c>
      <c r="AX3024" s="16">
        <f>AX3015*Settings!$C$13*$D3024</f>
        <v/>
      </c>
      <c r="AY3024" s="16">
        <f>AY3015*Settings!$C$13*$D3024</f>
        <v/>
      </c>
      <c r="AZ3024" s="16">
        <f>AZ3015*Settings!$C$13*$D3024</f>
        <v/>
      </c>
      <c r="BA3024" s="49">
        <f>EMISSIONS(BA3015,Settings!$C$13,$D3024)</f>
        <v/>
      </c>
    </row>
    <row r="3025" hidden="1" outlineLevel="2"/>
    <row r="3026" hidden="1" outlineLevel="2">
      <c r="A3026" s="14" t="inlineStr">
        <is>
          <t>rtx</t>
        </is>
      </c>
      <c r="B3026" s="14" t="inlineStr">
        <is>
          <t>coa</t>
        </is>
      </c>
      <c r="C3026" s="14" t="inlineStr">
        <is>
          <t>oen</t>
        </is>
      </c>
      <c r="D3026" s="35">
        <f>INDEX(Inputs!$U$5:$U$132,MATCH($B3026&amp;"|"&amp;$C3026,Inputs!$A$5:$A$132,0))</f>
        <v/>
      </c>
      <c r="E3026" s="35">
        <f>INDEX(Inputs!$V$5:$V$132,MATCH($B3026&amp;"|"&amp;$C3026,Inputs!$A$5:$A$132,0))</f>
        <v/>
      </c>
      <c r="F3026" s="39" t="n"/>
      <c r="G3026" s="39" t="n"/>
      <c r="H3026" s="14">
        <f>INDEX(VarLab,MATCH($A3026,VarKey,0))&amp;INDEX(MemLab,MATCH($C3026&amp;"|"&amp;$B3026,MemKey,0))</f>
        <v/>
      </c>
      <c r="I3026" s="14">
        <f>INDEX(VarUnit,MATCH($A3026,VarKey,0))</f>
        <v/>
      </c>
      <c r="J3026" s="14">
        <f>INDEX(VarSrc,MATCH($A3026,VarKey,0))</f>
        <v/>
      </c>
      <c r="K3026" s="11">
        <f>CodePrefix&amp;$A3026&amp;IF($C3026="","","."&amp;$C3026&amp;"."&amp;$B3026)&amp;INDEX(VarEnd,MATCH($A3026,VarKey,0))&amp;K$5</f>
        <v/>
      </c>
      <c r="L3026" s="43">
        <f>L3008*Settings!$C$13*(INDEX(L$407:L$418,$D3026)+INDEX(L$394:L$405,$D3026)+L2981*(1+$E3026))</f>
        <v/>
      </c>
      <c r="M3026" s="44">
        <f>M3008*Settings!$C$13*(INDEX(M$407:M$418,$D3026)+INDEX(M$394:M$405,$D3026)+M2981*(1+$E3026))</f>
        <v/>
      </c>
      <c r="N3026" s="44">
        <f>N3008*Settings!$C$13*(INDEX(N$407:N$418,$D3026)+INDEX(N$394:N$405,$D3026)+N2981*(1+$E3026))</f>
        <v/>
      </c>
      <c r="O3026" s="44">
        <f>O3008*Settings!$C$13*(INDEX(O$407:O$418,$D3026)+INDEX(O$394:O$405,$D3026)+O2981*(1+$E3026))</f>
        <v/>
      </c>
      <c r="P3026" s="44">
        <f>P3008*Settings!$C$13*(INDEX(P$407:P$418,$D3026)+INDEX(P$394:P$405,$D3026)+P2981*(1+$E3026))</f>
        <v/>
      </c>
      <c r="Q3026" s="44">
        <f>Q3008*Settings!$C$13*(INDEX(Q$407:Q$418,$D3026)+INDEX(Q$394:Q$405,$D3026)+Q2981*(1+$E3026))</f>
        <v/>
      </c>
      <c r="R3026" s="44">
        <f>R3008*Settings!$C$13*(INDEX(R$407:R$418,$D3026)+INDEX(R$394:R$405,$D3026)+R2981*(1+$E3026))</f>
        <v/>
      </c>
      <c r="S3026" s="44">
        <f>S3008*Settings!$C$13*(INDEX(S$407:S$418,$D3026)+INDEX(S$394:S$405,$D3026)+S2981*(1+$E3026))</f>
        <v/>
      </c>
      <c r="T3026" s="44">
        <f>T3008*Settings!$C$13*(INDEX(T$407:T$418,$D3026)+INDEX(T$394:T$405,$D3026)+T2981*(1+$E3026))</f>
        <v/>
      </c>
      <c r="U3026" s="44">
        <f>U3008*Settings!$C$13*(INDEX(U$407:U$418,$D3026)+INDEX(U$394:U$405,$D3026)+U2981*(1+$E3026))</f>
        <v/>
      </c>
      <c r="V3026" s="44">
        <f>V3008*Settings!$C$13*(INDEX(V$407:V$418,$D3026)+INDEX(V$394:V$405,$D3026)+V2981*(1+$E3026))</f>
        <v/>
      </c>
      <c r="W3026" s="44">
        <f>W3008*Settings!$C$13*(INDEX(W$407:W$418,$D3026)+INDEX(W$394:W$405,$D3026)+W2981*(1+$E3026))</f>
        <v/>
      </c>
      <c r="X3026" s="44">
        <f>X3008*Settings!$C$13*(INDEX(X$407:X$418,$D3026)+INDEX(X$394:X$405,$D3026)+X2981*(1+$E3026))</f>
        <v/>
      </c>
      <c r="Y3026" s="44">
        <f>Y3008*Settings!$C$13*(INDEX(Y$407:Y$418,$D3026)+INDEX(Y$394:Y$405,$D3026)+Y2981*(1+$E3026))</f>
        <v/>
      </c>
      <c r="Z3026" s="44">
        <f>Z3008*Settings!$C$13*(INDEX(Z$407:Z$418,$D3026)+INDEX(Z$394:Z$405,$D3026)+Z2981*(1+$E3026))</f>
        <v/>
      </c>
      <c r="AA3026" s="44">
        <f>AA3008*Settings!$C$13*(INDEX(AA$407:AA$418,$D3026)+INDEX(AA$394:AA$405,$D3026)+AA2981*(1+$E3026))</f>
        <v/>
      </c>
      <c r="AB3026" s="44">
        <f>AB3008*Settings!$C$13*(INDEX(AB$407:AB$418,$D3026)+INDEX(AB$394:AB$405,$D3026)+AB2981*(1+$E3026))</f>
        <v/>
      </c>
      <c r="AC3026" s="44">
        <f>AC3008*Settings!$C$13*(INDEX(AC$407:AC$418,$D3026)+INDEX(AC$394:AC$405,$D3026)+AC2981*(1+$E3026))</f>
        <v/>
      </c>
      <c r="AD3026" s="44">
        <f>AD3008*Settings!$C$13*(INDEX(AD$407:AD$418,$D3026)+INDEX(AD$394:AD$405,$D3026)+AD2981*(1+$E3026))</f>
        <v/>
      </c>
      <c r="AE3026" s="57">
        <f>REVENUE(AE3008,Settings!$C$13,INDEX(AE$407:AE$418,$D3026)+INDEX(AE$394:AE$405,$D3026)+AE2981*(1+$E3026))</f>
        <v/>
      </c>
      <c r="AG3026" s="11">
        <f>CodePrefix&amp;$A3026&amp;IF($C3026="","","."&amp;$C3026&amp;"."&amp;$B3026)&amp;INDEX(VarEnd,MATCH($A3026,VarKey,0))&amp;AG$5</f>
        <v/>
      </c>
      <c r="AH3026" s="43">
        <f>AH3008*Settings!$C$13*(INDEX(AH$407:AH$418,$D3026)+INDEX(AH$394:AH$405,$D3026)+AH2981*(1+$E3026))</f>
        <v/>
      </c>
      <c r="AI3026" s="44">
        <f>AI3008*Settings!$C$13*(INDEX(AI$407:AI$418,$D3026)+INDEX(AI$394:AI$405,$D3026)+AI2981*(1+$E3026))</f>
        <v/>
      </c>
      <c r="AJ3026" s="44">
        <f>AJ3008*Settings!$C$13*(INDEX(AJ$407:AJ$418,$D3026)+INDEX(AJ$394:AJ$405,$D3026)+AJ2981*(1+$E3026))</f>
        <v/>
      </c>
      <c r="AK3026" s="44">
        <f>AK3008*Settings!$C$13*(INDEX(AK$407:AK$418,$D3026)+INDEX(AK$394:AK$405,$D3026)+AK2981*(1+$E3026))</f>
        <v/>
      </c>
      <c r="AL3026" s="44">
        <f>AL3008*Settings!$C$13*(INDEX(AL$407:AL$418,$D3026)+INDEX(AL$394:AL$405,$D3026)+AL2981*(1+$E3026))</f>
        <v/>
      </c>
      <c r="AM3026" s="44">
        <f>AM3008*Settings!$C$13*(INDEX(AM$407:AM$418,$D3026)+INDEX(AM$394:AM$405,$D3026)+AM2981*(1+$E3026))</f>
        <v/>
      </c>
      <c r="AN3026" s="44">
        <f>AN3008*Settings!$C$13*(INDEX(AN$407:AN$418,$D3026)+INDEX(AN$394:AN$405,$D3026)+AN2981*(1+$E3026))</f>
        <v/>
      </c>
      <c r="AO3026" s="44">
        <f>AO3008*Settings!$C$13*(INDEX(AO$407:AO$418,$D3026)+INDEX(AO$394:AO$405,$D3026)+AO2981*(1+$E3026))</f>
        <v/>
      </c>
      <c r="AP3026" s="44">
        <f>AP3008*Settings!$C$13*(INDEX(AP$407:AP$418,$D3026)+INDEX(AP$394:AP$405,$D3026)+AP2981*(1+$E3026))</f>
        <v/>
      </c>
      <c r="AQ3026" s="44">
        <f>AQ3008*Settings!$C$13*(INDEX(AQ$407:AQ$418,$D3026)+INDEX(AQ$394:AQ$405,$D3026)+AQ2981*(1+$E3026))</f>
        <v/>
      </c>
      <c r="AR3026" s="44">
        <f>AR3008*Settings!$C$13*(INDEX(AR$407:AR$418,$D3026)+INDEX(AR$394:AR$405,$D3026)+AR2981*(1+$E3026))</f>
        <v/>
      </c>
      <c r="AS3026" s="44">
        <f>AS3008*Settings!$C$13*(INDEX(AS$407:AS$418,$D3026)+INDEX(AS$394:AS$405,$D3026)+AS2981*(1+$E3026))</f>
        <v/>
      </c>
      <c r="AT3026" s="44">
        <f>AT3008*Settings!$C$13*(INDEX(AT$407:AT$418,$D3026)+INDEX(AT$394:AT$405,$D3026)+AT2981*(1+$E3026))</f>
        <v/>
      </c>
      <c r="AU3026" s="44">
        <f>AU3008*Settings!$C$13*(INDEX(AU$407:AU$418,$D3026)+INDEX(AU$394:AU$405,$D3026)+AU2981*(1+$E3026))</f>
        <v/>
      </c>
      <c r="AV3026" s="44">
        <f>AV3008*Settings!$C$13*(INDEX(AV$407:AV$418,$D3026)+INDEX(AV$394:AV$405,$D3026)+AV2981*(1+$E3026))</f>
        <v/>
      </c>
      <c r="AW3026" s="44">
        <f>AW3008*Settings!$C$13*(INDEX(AW$407:AW$418,$D3026)+INDEX(AW$394:AW$405,$D3026)+AW2981*(1+$E3026))</f>
        <v/>
      </c>
      <c r="AX3026" s="44">
        <f>AX3008*Settings!$C$13*(INDEX(AX$407:AX$418,$D3026)+INDEX(AX$394:AX$405,$D3026)+AX2981*(1+$E3026))</f>
        <v/>
      </c>
      <c r="AY3026" s="44">
        <f>AY3008*Settings!$C$13*(INDEX(AY$407:AY$418,$D3026)+INDEX(AY$394:AY$405,$D3026)+AY2981*(1+$E3026))</f>
        <v/>
      </c>
      <c r="AZ3026" s="44">
        <f>AZ3008*Settings!$C$13*(INDEX(AZ$407:AZ$418,$D3026)+INDEX(AZ$394:AZ$405,$D3026)+AZ2981*(1+$E3026))</f>
        <v/>
      </c>
      <c r="BA3026" s="57">
        <f>REVENUE(BA3008,Settings!$C$13,INDEX(BA$407:BA$418,$D3026)+INDEX(BA$394:BA$405,$D3026)+BA2981*(1+$E3026))</f>
        <v/>
      </c>
    </row>
    <row r="3027" hidden="1" outlineLevel="2">
      <c r="A3027" s="14" t="inlineStr">
        <is>
          <t>rtx</t>
        </is>
      </c>
      <c r="B3027" s="14" t="inlineStr">
        <is>
          <t>nga</t>
        </is>
      </c>
      <c r="C3027" s="14" t="inlineStr">
        <is>
          <t>oen</t>
        </is>
      </c>
      <c r="D3027" s="35">
        <f>INDEX(Inputs!$U$5:$U$132,MATCH($B3027&amp;"|"&amp;$C3027,Inputs!$A$5:$A$132,0))</f>
        <v/>
      </c>
      <c r="E3027" s="35">
        <f>INDEX(Inputs!$V$5:$V$132,MATCH($B3027&amp;"|"&amp;$C3027,Inputs!$A$5:$A$132,0))</f>
        <v/>
      </c>
      <c r="F3027" s="39" t="n"/>
      <c r="G3027" s="39" t="n"/>
      <c r="H3027" s="14">
        <f>INDEX(VarLab,MATCH($A3027,VarKey,0))&amp;INDEX(MemLab,MATCH($C3027&amp;"|"&amp;$B3027,MemKey,0))</f>
        <v/>
      </c>
      <c r="I3027" s="14">
        <f>INDEX(VarUnit,MATCH($A3027,VarKey,0))</f>
        <v/>
      </c>
      <c r="J3027" s="14">
        <f>INDEX(VarSrc,MATCH($A3027,VarKey,0))</f>
        <v/>
      </c>
      <c r="K3027" s="11">
        <f>CodePrefix&amp;$A3027&amp;IF($C3027="","","."&amp;$C3027&amp;"."&amp;$B3027)&amp;INDEX(VarEnd,MATCH($A3027,VarKey,0))&amp;K$5</f>
        <v/>
      </c>
      <c r="L3027" s="43">
        <f>L3009*Settings!$C$13*(INDEX(L$407:L$418,$D3027)+INDEX(L$394:L$405,$D3027)+L2982*(1+$E3027))</f>
        <v/>
      </c>
      <c r="M3027" s="44">
        <f>M3009*Settings!$C$13*(INDEX(M$407:M$418,$D3027)+INDEX(M$394:M$405,$D3027)+M2982*(1+$E3027))</f>
        <v/>
      </c>
      <c r="N3027" s="44">
        <f>N3009*Settings!$C$13*(INDEX(N$407:N$418,$D3027)+INDEX(N$394:N$405,$D3027)+N2982*(1+$E3027))</f>
        <v/>
      </c>
      <c r="O3027" s="44">
        <f>O3009*Settings!$C$13*(INDEX(O$407:O$418,$D3027)+INDEX(O$394:O$405,$D3027)+O2982*(1+$E3027))</f>
        <v/>
      </c>
      <c r="P3027" s="44">
        <f>P3009*Settings!$C$13*(INDEX(P$407:P$418,$D3027)+INDEX(P$394:P$405,$D3027)+P2982*(1+$E3027))</f>
        <v/>
      </c>
      <c r="Q3027" s="44">
        <f>Q3009*Settings!$C$13*(INDEX(Q$407:Q$418,$D3027)+INDEX(Q$394:Q$405,$D3027)+Q2982*(1+$E3027))</f>
        <v/>
      </c>
      <c r="R3027" s="44">
        <f>R3009*Settings!$C$13*(INDEX(R$407:R$418,$D3027)+INDEX(R$394:R$405,$D3027)+R2982*(1+$E3027))</f>
        <v/>
      </c>
      <c r="S3027" s="44">
        <f>S3009*Settings!$C$13*(INDEX(S$407:S$418,$D3027)+INDEX(S$394:S$405,$D3027)+S2982*(1+$E3027))</f>
        <v/>
      </c>
      <c r="T3027" s="44">
        <f>T3009*Settings!$C$13*(INDEX(T$407:T$418,$D3027)+INDEX(T$394:T$405,$D3027)+T2982*(1+$E3027))</f>
        <v/>
      </c>
      <c r="U3027" s="44">
        <f>U3009*Settings!$C$13*(INDEX(U$407:U$418,$D3027)+INDEX(U$394:U$405,$D3027)+U2982*(1+$E3027))</f>
        <v/>
      </c>
      <c r="V3027" s="44">
        <f>V3009*Settings!$C$13*(INDEX(V$407:V$418,$D3027)+INDEX(V$394:V$405,$D3027)+V2982*(1+$E3027))</f>
        <v/>
      </c>
      <c r="W3027" s="44">
        <f>W3009*Settings!$C$13*(INDEX(W$407:W$418,$D3027)+INDEX(W$394:W$405,$D3027)+W2982*(1+$E3027))</f>
        <v/>
      </c>
      <c r="X3027" s="44">
        <f>X3009*Settings!$C$13*(INDEX(X$407:X$418,$D3027)+INDEX(X$394:X$405,$D3027)+X2982*(1+$E3027))</f>
        <v/>
      </c>
      <c r="Y3027" s="44">
        <f>Y3009*Settings!$C$13*(INDEX(Y$407:Y$418,$D3027)+INDEX(Y$394:Y$405,$D3027)+Y2982*(1+$E3027))</f>
        <v/>
      </c>
      <c r="Z3027" s="44">
        <f>Z3009*Settings!$C$13*(INDEX(Z$407:Z$418,$D3027)+INDEX(Z$394:Z$405,$D3027)+Z2982*(1+$E3027))</f>
        <v/>
      </c>
      <c r="AA3027" s="44">
        <f>AA3009*Settings!$C$13*(INDEX(AA$407:AA$418,$D3027)+INDEX(AA$394:AA$405,$D3027)+AA2982*(1+$E3027))</f>
        <v/>
      </c>
      <c r="AB3027" s="44">
        <f>AB3009*Settings!$C$13*(INDEX(AB$407:AB$418,$D3027)+INDEX(AB$394:AB$405,$D3027)+AB2982*(1+$E3027))</f>
        <v/>
      </c>
      <c r="AC3027" s="44">
        <f>AC3009*Settings!$C$13*(INDEX(AC$407:AC$418,$D3027)+INDEX(AC$394:AC$405,$D3027)+AC2982*(1+$E3027))</f>
        <v/>
      </c>
      <c r="AD3027" s="44">
        <f>AD3009*Settings!$C$13*(INDEX(AD$407:AD$418,$D3027)+INDEX(AD$394:AD$405,$D3027)+AD2982*(1+$E3027))</f>
        <v/>
      </c>
      <c r="AE3027" s="57">
        <f>REVENUE(AE3009,Settings!$C$13,INDEX(AE$407:AE$418,$D3027)+INDEX(AE$394:AE$405,$D3027)+AE2982*(1+$E3027))</f>
        <v/>
      </c>
      <c r="AG3027" s="11">
        <f>CodePrefix&amp;$A3027&amp;IF($C3027="","","."&amp;$C3027&amp;"."&amp;$B3027)&amp;INDEX(VarEnd,MATCH($A3027,VarKey,0))&amp;AG$5</f>
        <v/>
      </c>
      <c r="AH3027" s="43">
        <f>AH3009*Settings!$C$13*(INDEX(AH$407:AH$418,$D3027)+INDEX(AH$394:AH$405,$D3027)+AH2982*(1+$E3027))</f>
        <v/>
      </c>
      <c r="AI3027" s="44">
        <f>AI3009*Settings!$C$13*(INDEX(AI$407:AI$418,$D3027)+INDEX(AI$394:AI$405,$D3027)+AI2982*(1+$E3027))</f>
        <v/>
      </c>
      <c r="AJ3027" s="44">
        <f>AJ3009*Settings!$C$13*(INDEX(AJ$407:AJ$418,$D3027)+INDEX(AJ$394:AJ$405,$D3027)+AJ2982*(1+$E3027))</f>
        <v/>
      </c>
      <c r="AK3027" s="44">
        <f>AK3009*Settings!$C$13*(INDEX(AK$407:AK$418,$D3027)+INDEX(AK$394:AK$405,$D3027)+AK2982*(1+$E3027))</f>
        <v/>
      </c>
      <c r="AL3027" s="44">
        <f>AL3009*Settings!$C$13*(INDEX(AL$407:AL$418,$D3027)+INDEX(AL$394:AL$405,$D3027)+AL2982*(1+$E3027))</f>
        <v/>
      </c>
      <c r="AM3027" s="44">
        <f>AM3009*Settings!$C$13*(INDEX(AM$407:AM$418,$D3027)+INDEX(AM$394:AM$405,$D3027)+AM2982*(1+$E3027))</f>
        <v/>
      </c>
      <c r="AN3027" s="44">
        <f>AN3009*Settings!$C$13*(INDEX(AN$407:AN$418,$D3027)+INDEX(AN$394:AN$405,$D3027)+AN2982*(1+$E3027))</f>
        <v/>
      </c>
      <c r="AO3027" s="44">
        <f>AO3009*Settings!$C$13*(INDEX(AO$407:AO$418,$D3027)+INDEX(AO$394:AO$405,$D3027)+AO2982*(1+$E3027))</f>
        <v/>
      </c>
      <c r="AP3027" s="44">
        <f>AP3009*Settings!$C$13*(INDEX(AP$407:AP$418,$D3027)+INDEX(AP$394:AP$405,$D3027)+AP2982*(1+$E3027))</f>
        <v/>
      </c>
      <c r="AQ3027" s="44">
        <f>AQ3009*Settings!$C$13*(INDEX(AQ$407:AQ$418,$D3027)+INDEX(AQ$394:AQ$405,$D3027)+AQ2982*(1+$E3027))</f>
        <v/>
      </c>
      <c r="AR3027" s="44">
        <f>AR3009*Settings!$C$13*(INDEX(AR$407:AR$418,$D3027)+INDEX(AR$394:AR$405,$D3027)+AR2982*(1+$E3027))</f>
        <v/>
      </c>
      <c r="AS3027" s="44">
        <f>AS3009*Settings!$C$13*(INDEX(AS$407:AS$418,$D3027)+INDEX(AS$394:AS$405,$D3027)+AS2982*(1+$E3027))</f>
        <v/>
      </c>
      <c r="AT3027" s="44">
        <f>AT3009*Settings!$C$13*(INDEX(AT$407:AT$418,$D3027)+INDEX(AT$394:AT$405,$D3027)+AT2982*(1+$E3027))</f>
        <v/>
      </c>
      <c r="AU3027" s="44">
        <f>AU3009*Settings!$C$13*(INDEX(AU$407:AU$418,$D3027)+INDEX(AU$394:AU$405,$D3027)+AU2982*(1+$E3027))</f>
        <v/>
      </c>
      <c r="AV3027" s="44">
        <f>AV3009*Settings!$C$13*(INDEX(AV$407:AV$418,$D3027)+INDEX(AV$394:AV$405,$D3027)+AV2982*(1+$E3027))</f>
        <v/>
      </c>
      <c r="AW3027" s="44">
        <f>AW3009*Settings!$C$13*(INDEX(AW$407:AW$418,$D3027)+INDEX(AW$394:AW$405,$D3027)+AW2982*(1+$E3027))</f>
        <v/>
      </c>
      <c r="AX3027" s="44">
        <f>AX3009*Settings!$C$13*(INDEX(AX$407:AX$418,$D3027)+INDEX(AX$394:AX$405,$D3027)+AX2982*(1+$E3027))</f>
        <v/>
      </c>
      <c r="AY3027" s="44">
        <f>AY3009*Settings!$C$13*(INDEX(AY$407:AY$418,$D3027)+INDEX(AY$394:AY$405,$D3027)+AY2982*(1+$E3027))</f>
        <v/>
      </c>
      <c r="AZ3027" s="44">
        <f>AZ3009*Settings!$C$13*(INDEX(AZ$407:AZ$418,$D3027)+INDEX(AZ$394:AZ$405,$D3027)+AZ2982*(1+$E3027))</f>
        <v/>
      </c>
      <c r="BA3027" s="57">
        <f>REVENUE(BA3009,Settings!$C$13,INDEX(BA$407:BA$418,$D3027)+INDEX(BA$394:BA$405,$D3027)+BA2982*(1+$E3027))</f>
        <v/>
      </c>
    </row>
    <row r="3028" hidden="1" outlineLevel="2">
      <c r="A3028" s="14" t="inlineStr">
        <is>
          <t>rtx</t>
        </is>
      </c>
      <c r="B3028" s="14" t="inlineStr">
        <is>
          <t>gso</t>
        </is>
      </c>
      <c r="C3028" s="14" t="inlineStr">
        <is>
          <t>oen</t>
        </is>
      </c>
      <c r="D3028" s="35">
        <f>INDEX(Inputs!$U$5:$U$132,MATCH($B3028&amp;"|"&amp;$C3028,Inputs!$A$5:$A$132,0))</f>
        <v/>
      </c>
      <c r="E3028" s="35">
        <f>INDEX(Inputs!$V$5:$V$132,MATCH($B3028&amp;"|"&amp;$C3028,Inputs!$A$5:$A$132,0))</f>
        <v/>
      </c>
      <c r="F3028" s="39" t="n"/>
      <c r="G3028" s="39" t="n"/>
      <c r="H3028" s="14">
        <f>INDEX(VarLab,MATCH($A3028,VarKey,0))&amp;INDEX(MemLab,MATCH($C3028&amp;"|"&amp;$B3028,MemKey,0))</f>
        <v/>
      </c>
      <c r="I3028" s="14">
        <f>INDEX(VarUnit,MATCH($A3028,VarKey,0))</f>
        <v/>
      </c>
      <c r="J3028" s="14">
        <f>INDEX(VarSrc,MATCH($A3028,VarKey,0))</f>
        <v/>
      </c>
      <c r="K3028" s="11">
        <f>CodePrefix&amp;$A3028&amp;IF($C3028="","","."&amp;$C3028&amp;"."&amp;$B3028)&amp;INDEX(VarEnd,MATCH($A3028,VarKey,0))&amp;K$5</f>
        <v/>
      </c>
      <c r="L3028" s="43">
        <f>L3010*Settings!$C$13*(INDEX(L$407:L$418,$D3028)+INDEX(L$394:L$405,$D3028)+L2983*(1+$E3028))</f>
        <v/>
      </c>
      <c r="M3028" s="44">
        <f>M3010*Settings!$C$13*(INDEX(M$407:M$418,$D3028)+INDEX(M$394:M$405,$D3028)+M2983*(1+$E3028))</f>
        <v/>
      </c>
      <c r="N3028" s="44">
        <f>N3010*Settings!$C$13*(INDEX(N$407:N$418,$D3028)+INDEX(N$394:N$405,$D3028)+N2983*(1+$E3028))</f>
        <v/>
      </c>
      <c r="O3028" s="44">
        <f>O3010*Settings!$C$13*(INDEX(O$407:O$418,$D3028)+INDEX(O$394:O$405,$D3028)+O2983*(1+$E3028))</f>
        <v/>
      </c>
      <c r="P3028" s="44">
        <f>P3010*Settings!$C$13*(INDEX(P$407:P$418,$D3028)+INDEX(P$394:P$405,$D3028)+P2983*(1+$E3028))</f>
        <v/>
      </c>
      <c r="Q3028" s="44">
        <f>Q3010*Settings!$C$13*(INDEX(Q$407:Q$418,$D3028)+INDEX(Q$394:Q$405,$D3028)+Q2983*(1+$E3028))</f>
        <v/>
      </c>
      <c r="R3028" s="44">
        <f>R3010*Settings!$C$13*(INDEX(R$407:R$418,$D3028)+INDEX(R$394:R$405,$D3028)+R2983*(1+$E3028))</f>
        <v/>
      </c>
      <c r="S3028" s="44">
        <f>S3010*Settings!$C$13*(INDEX(S$407:S$418,$D3028)+INDEX(S$394:S$405,$D3028)+S2983*(1+$E3028))</f>
        <v/>
      </c>
      <c r="T3028" s="44">
        <f>T3010*Settings!$C$13*(INDEX(T$407:T$418,$D3028)+INDEX(T$394:T$405,$D3028)+T2983*(1+$E3028))</f>
        <v/>
      </c>
      <c r="U3028" s="44">
        <f>U3010*Settings!$C$13*(INDEX(U$407:U$418,$D3028)+INDEX(U$394:U$405,$D3028)+U2983*(1+$E3028))</f>
        <v/>
      </c>
      <c r="V3028" s="44">
        <f>V3010*Settings!$C$13*(INDEX(V$407:V$418,$D3028)+INDEX(V$394:V$405,$D3028)+V2983*(1+$E3028))</f>
        <v/>
      </c>
      <c r="W3028" s="44">
        <f>W3010*Settings!$C$13*(INDEX(W$407:W$418,$D3028)+INDEX(W$394:W$405,$D3028)+W2983*(1+$E3028))</f>
        <v/>
      </c>
      <c r="X3028" s="44">
        <f>X3010*Settings!$C$13*(INDEX(X$407:X$418,$D3028)+INDEX(X$394:X$405,$D3028)+X2983*(1+$E3028))</f>
        <v/>
      </c>
      <c r="Y3028" s="44">
        <f>Y3010*Settings!$C$13*(INDEX(Y$407:Y$418,$D3028)+INDEX(Y$394:Y$405,$D3028)+Y2983*(1+$E3028))</f>
        <v/>
      </c>
      <c r="Z3028" s="44">
        <f>Z3010*Settings!$C$13*(INDEX(Z$407:Z$418,$D3028)+INDEX(Z$394:Z$405,$D3028)+Z2983*(1+$E3028))</f>
        <v/>
      </c>
      <c r="AA3028" s="44">
        <f>AA3010*Settings!$C$13*(INDEX(AA$407:AA$418,$D3028)+INDEX(AA$394:AA$405,$D3028)+AA2983*(1+$E3028))</f>
        <v/>
      </c>
      <c r="AB3028" s="44">
        <f>AB3010*Settings!$C$13*(INDEX(AB$407:AB$418,$D3028)+INDEX(AB$394:AB$405,$D3028)+AB2983*(1+$E3028))</f>
        <v/>
      </c>
      <c r="AC3028" s="44">
        <f>AC3010*Settings!$C$13*(INDEX(AC$407:AC$418,$D3028)+INDEX(AC$394:AC$405,$D3028)+AC2983*(1+$E3028))</f>
        <v/>
      </c>
      <c r="AD3028" s="44">
        <f>AD3010*Settings!$C$13*(INDEX(AD$407:AD$418,$D3028)+INDEX(AD$394:AD$405,$D3028)+AD2983*(1+$E3028))</f>
        <v/>
      </c>
      <c r="AE3028" s="57">
        <f>REVENUE(AE3010,Settings!$C$13,INDEX(AE$407:AE$418,$D3028)+INDEX(AE$394:AE$405,$D3028)+AE2983*(1+$E3028))</f>
        <v/>
      </c>
      <c r="AG3028" s="11">
        <f>CodePrefix&amp;$A3028&amp;IF($C3028="","","."&amp;$C3028&amp;"."&amp;$B3028)&amp;INDEX(VarEnd,MATCH($A3028,VarKey,0))&amp;AG$5</f>
        <v/>
      </c>
      <c r="AH3028" s="43">
        <f>AH3010*Settings!$C$13*(INDEX(AH$407:AH$418,$D3028)+INDEX(AH$394:AH$405,$D3028)+AH2983*(1+$E3028))</f>
        <v/>
      </c>
      <c r="AI3028" s="44">
        <f>AI3010*Settings!$C$13*(INDEX(AI$407:AI$418,$D3028)+INDEX(AI$394:AI$405,$D3028)+AI2983*(1+$E3028))</f>
        <v/>
      </c>
      <c r="AJ3028" s="44">
        <f>AJ3010*Settings!$C$13*(INDEX(AJ$407:AJ$418,$D3028)+INDEX(AJ$394:AJ$405,$D3028)+AJ2983*(1+$E3028))</f>
        <v/>
      </c>
      <c r="AK3028" s="44">
        <f>AK3010*Settings!$C$13*(INDEX(AK$407:AK$418,$D3028)+INDEX(AK$394:AK$405,$D3028)+AK2983*(1+$E3028))</f>
        <v/>
      </c>
      <c r="AL3028" s="44">
        <f>AL3010*Settings!$C$13*(INDEX(AL$407:AL$418,$D3028)+INDEX(AL$394:AL$405,$D3028)+AL2983*(1+$E3028))</f>
        <v/>
      </c>
      <c r="AM3028" s="44">
        <f>AM3010*Settings!$C$13*(INDEX(AM$407:AM$418,$D3028)+INDEX(AM$394:AM$405,$D3028)+AM2983*(1+$E3028))</f>
        <v/>
      </c>
      <c r="AN3028" s="44">
        <f>AN3010*Settings!$C$13*(INDEX(AN$407:AN$418,$D3028)+INDEX(AN$394:AN$405,$D3028)+AN2983*(1+$E3028))</f>
        <v/>
      </c>
      <c r="AO3028" s="44">
        <f>AO3010*Settings!$C$13*(INDEX(AO$407:AO$418,$D3028)+INDEX(AO$394:AO$405,$D3028)+AO2983*(1+$E3028))</f>
        <v/>
      </c>
      <c r="AP3028" s="44">
        <f>AP3010*Settings!$C$13*(INDEX(AP$407:AP$418,$D3028)+INDEX(AP$394:AP$405,$D3028)+AP2983*(1+$E3028))</f>
        <v/>
      </c>
      <c r="AQ3028" s="44">
        <f>AQ3010*Settings!$C$13*(INDEX(AQ$407:AQ$418,$D3028)+INDEX(AQ$394:AQ$405,$D3028)+AQ2983*(1+$E3028))</f>
        <v/>
      </c>
      <c r="AR3028" s="44">
        <f>AR3010*Settings!$C$13*(INDEX(AR$407:AR$418,$D3028)+INDEX(AR$394:AR$405,$D3028)+AR2983*(1+$E3028))</f>
        <v/>
      </c>
      <c r="AS3028" s="44">
        <f>AS3010*Settings!$C$13*(INDEX(AS$407:AS$418,$D3028)+INDEX(AS$394:AS$405,$D3028)+AS2983*(1+$E3028))</f>
        <v/>
      </c>
      <c r="AT3028" s="44">
        <f>AT3010*Settings!$C$13*(INDEX(AT$407:AT$418,$D3028)+INDEX(AT$394:AT$405,$D3028)+AT2983*(1+$E3028))</f>
        <v/>
      </c>
      <c r="AU3028" s="44">
        <f>AU3010*Settings!$C$13*(INDEX(AU$407:AU$418,$D3028)+INDEX(AU$394:AU$405,$D3028)+AU2983*(1+$E3028))</f>
        <v/>
      </c>
      <c r="AV3028" s="44">
        <f>AV3010*Settings!$C$13*(INDEX(AV$407:AV$418,$D3028)+INDEX(AV$394:AV$405,$D3028)+AV2983*(1+$E3028))</f>
        <v/>
      </c>
      <c r="AW3028" s="44">
        <f>AW3010*Settings!$C$13*(INDEX(AW$407:AW$418,$D3028)+INDEX(AW$394:AW$405,$D3028)+AW2983*(1+$E3028))</f>
        <v/>
      </c>
      <c r="AX3028" s="44">
        <f>AX3010*Settings!$C$13*(INDEX(AX$407:AX$418,$D3028)+INDEX(AX$394:AX$405,$D3028)+AX2983*(1+$E3028))</f>
        <v/>
      </c>
      <c r="AY3028" s="44">
        <f>AY3010*Settings!$C$13*(INDEX(AY$407:AY$418,$D3028)+INDEX(AY$394:AY$405,$D3028)+AY2983*(1+$E3028))</f>
        <v/>
      </c>
      <c r="AZ3028" s="44">
        <f>AZ3010*Settings!$C$13*(INDEX(AZ$407:AZ$418,$D3028)+INDEX(AZ$394:AZ$405,$D3028)+AZ2983*(1+$E3028))</f>
        <v/>
      </c>
      <c r="BA3028" s="57">
        <f>REVENUE(BA3010,Settings!$C$13,INDEX(BA$407:BA$418,$D3028)+INDEX(BA$394:BA$405,$D3028)+BA2983*(1+$E3028))</f>
        <v/>
      </c>
    </row>
    <row r="3029" hidden="1" outlineLevel="2">
      <c r="A3029" s="14" t="inlineStr">
        <is>
          <t>rtx</t>
        </is>
      </c>
      <c r="B3029" s="14" t="inlineStr">
        <is>
          <t>die</t>
        </is>
      </c>
      <c r="C3029" s="14" t="inlineStr">
        <is>
          <t>oen</t>
        </is>
      </c>
      <c r="D3029" s="35">
        <f>INDEX(Inputs!$U$5:$U$132,MATCH($B3029&amp;"|"&amp;$C3029,Inputs!$A$5:$A$132,0))</f>
        <v/>
      </c>
      <c r="E3029" s="35">
        <f>INDEX(Inputs!$V$5:$V$132,MATCH($B3029&amp;"|"&amp;$C3029,Inputs!$A$5:$A$132,0))</f>
        <v/>
      </c>
      <c r="F3029" s="39" t="n"/>
      <c r="G3029" s="39" t="n"/>
      <c r="H3029" s="14">
        <f>INDEX(VarLab,MATCH($A3029,VarKey,0))&amp;INDEX(MemLab,MATCH($C3029&amp;"|"&amp;$B3029,MemKey,0))</f>
        <v/>
      </c>
      <c r="I3029" s="14">
        <f>INDEX(VarUnit,MATCH($A3029,VarKey,0))</f>
        <v/>
      </c>
      <c r="J3029" s="14">
        <f>INDEX(VarSrc,MATCH($A3029,VarKey,0))</f>
        <v/>
      </c>
      <c r="K3029" s="11">
        <f>CodePrefix&amp;$A3029&amp;IF($C3029="","","."&amp;$C3029&amp;"."&amp;$B3029)&amp;INDEX(VarEnd,MATCH($A3029,VarKey,0))&amp;K$5</f>
        <v/>
      </c>
      <c r="L3029" s="43">
        <f>L3011*Settings!$C$13*(INDEX(L$407:L$418,$D3029)+INDEX(L$394:L$405,$D3029)+L2984*(1+$E3029))</f>
        <v/>
      </c>
      <c r="M3029" s="44">
        <f>M3011*Settings!$C$13*(INDEX(M$407:M$418,$D3029)+INDEX(M$394:M$405,$D3029)+M2984*(1+$E3029))</f>
        <v/>
      </c>
      <c r="N3029" s="44">
        <f>N3011*Settings!$C$13*(INDEX(N$407:N$418,$D3029)+INDEX(N$394:N$405,$D3029)+N2984*(1+$E3029))</f>
        <v/>
      </c>
      <c r="O3029" s="44">
        <f>O3011*Settings!$C$13*(INDEX(O$407:O$418,$D3029)+INDEX(O$394:O$405,$D3029)+O2984*(1+$E3029))</f>
        <v/>
      </c>
      <c r="P3029" s="44">
        <f>P3011*Settings!$C$13*(INDEX(P$407:P$418,$D3029)+INDEX(P$394:P$405,$D3029)+P2984*(1+$E3029))</f>
        <v/>
      </c>
      <c r="Q3029" s="44">
        <f>Q3011*Settings!$C$13*(INDEX(Q$407:Q$418,$D3029)+INDEX(Q$394:Q$405,$D3029)+Q2984*(1+$E3029))</f>
        <v/>
      </c>
      <c r="R3029" s="44">
        <f>R3011*Settings!$C$13*(INDEX(R$407:R$418,$D3029)+INDEX(R$394:R$405,$D3029)+R2984*(1+$E3029))</f>
        <v/>
      </c>
      <c r="S3029" s="44">
        <f>S3011*Settings!$C$13*(INDEX(S$407:S$418,$D3029)+INDEX(S$394:S$405,$D3029)+S2984*(1+$E3029))</f>
        <v/>
      </c>
      <c r="T3029" s="44">
        <f>T3011*Settings!$C$13*(INDEX(T$407:T$418,$D3029)+INDEX(T$394:T$405,$D3029)+T2984*(1+$E3029))</f>
        <v/>
      </c>
      <c r="U3029" s="44">
        <f>U3011*Settings!$C$13*(INDEX(U$407:U$418,$D3029)+INDEX(U$394:U$405,$D3029)+U2984*(1+$E3029))</f>
        <v/>
      </c>
      <c r="V3029" s="44">
        <f>V3011*Settings!$C$13*(INDEX(V$407:V$418,$D3029)+INDEX(V$394:V$405,$D3029)+V2984*(1+$E3029))</f>
        <v/>
      </c>
      <c r="W3029" s="44">
        <f>W3011*Settings!$C$13*(INDEX(W$407:W$418,$D3029)+INDEX(W$394:W$405,$D3029)+W2984*(1+$E3029))</f>
        <v/>
      </c>
      <c r="X3029" s="44">
        <f>X3011*Settings!$C$13*(INDEX(X$407:X$418,$D3029)+INDEX(X$394:X$405,$D3029)+X2984*(1+$E3029))</f>
        <v/>
      </c>
      <c r="Y3029" s="44">
        <f>Y3011*Settings!$C$13*(INDEX(Y$407:Y$418,$D3029)+INDEX(Y$394:Y$405,$D3029)+Y2984*(1+$E3029))</f>
        <v/>
      </c>
      <c r="Z3029" s="44">
        <f>Z3011*Settings!$C$13*(INDEX(Z$407:Z$418,$D3029)+INDEX(Z$394:Z$405,$D3029)+Z2984*(1+$E3029))</f>
        <v/>
      </c>
      <c r="AA3029" s="44">
        <f>AA3011*Settings!$C$13*(INDEX(AA$407:AA$418,$D3029)+INDEX(AA$394:AA$405,$D3029)+AA2984*(1+$E3029))</f>
        <v/>
      </c>
      <c r="AB3029" s="44">
        <f>AB3011*Settings!$C$13*(INDEX(AB$407:AB$418,$D3029)+INDEX(AB$394:AB$405,$D3029)+AB2984*(1+$E3029))</f>
        <v/>
      </c>
      <c r="AC3029" s="44">
        <f>AC3011*Settings!$C$13*(INDEX(AC$407:AC$418,$D3029)+INDEX(AC$394:AC$405,$D3029)+AC2984*(1+$E3029))</f>
        <v/>
      </c>
      <c r="AD3029" s="44">
        <f>AD3011*Settings!$C$13*(INDEX(AD$407:AD$418,$D3029)+INDEX(AD$394:AD$405,$D3029)+AD2984*(1+$E3029))</f>
        <v/>
      </c>
      <c r="AE3029" s="57">
        <f>REVENUE(AE3011,Settings!$C$13,INDEX(AE$407:AE$418,$D3029)+INDEX(AE$394:AE$405,$D3029)+AE2984*(1+$E3029))</f>
        <v/>
      </c>
      <c r="AG3029" s="11">
        <f>CodePrefix&amp;$A3029&amp;IF($C3029="","","."&amp;$C3029&amp;"."&amp;$B3029)&amp;INDEX(VarEnd,MATCH($A3029,VarKey,0))&amp;AG$5</f>
        <v/>
      </c>
      <c r="AH3029" s="43">
        <f>AH3011*Settings!$C$13*(INDEX(AH$407:AH$418,$D3029)+INDEX(AH$394:AH$405,$D3029)+AH2984*(1+$E3029))</f>
        <v/>
      </c>
      <c r="AI3029" s="44">
        <f>AI3011*Settings!$C$13*(INDEX(AI$407:AI$418,$D3029)+INDEX(AI$394:AI$405,$D3029)+AI2984*(1+$E3029))</f>
        <v/>
      </c>
      <c r="AJ3029" s="44">
        <f>AJ3011*Settings!$C$13*(INDEX(AJ$407:AJ$418,$D3029)+INDEX(AJ$394:AJ$405,$D3029)+AJ2984*(1+$E3029))</f>
        <v/>
      </c>
      <c r="AK3029" s="44">
        <f>AK3011*Settings!$C$13*(INDEX(AK$407:AK$418,$D3029)+INDEX(AK$394:AK$405,$D3029)+AK2984*(1+$E3029))</f>
        <v/>
      </c>
      <c r="AL3029" s="44">
        <f>AL3011*Settings!$C$13*(INDEX(AL$407:AL$418,$D3029)+INDEX(AL$394:AL$405,$D3029)+AL2984*(1+$E3029))</f>
        <v/>
      </c>
      <c r="AM3029" s="44">
        <f>AM3011*Settings!$C$13*(INDEX(AM$407:AM$418,$D3029)+INDEX(AM$394:AM$405,$D3029)+AM2984*(1+$E3029))</f>
        <v/>
      </c>
      <c r="AN3029" s="44">
        <f>AN3011*Settings!$C$13*(INDEX(AN$407:AN$418,$D3029)+INDEX(AN$394:AN$405,$D3029)+AN2984*(1+$E3029))</f>
        <v/>
      </c>
      <c r="AO3029" s="44">
        <f>AO3011*Settings!$C$13*(INDEX(AO$407:AO$418,$D3029)+INDEX(AO$394:AO$405,$D3029)+AO2984*(1+$E3029))</f>
        <v/>
      </c>
      <c r="AP3029" s="44">
        <f>AP3011*Settings!$C$13*(INDEX(AP$407:AP$418,$D3029)+INDEX(AP$394:AP$405,$D3029)+AP2984*(1+$E3029))</f>
        <v/>
      </c>
      <c r="AQ3029" s="44">
        <f>AQ3011*Settings!$C$13*(INDEX(AQ$407:AQ$418,$D3029)+INDEX(AQ$394:AQ$405,$D3029)+AQ2984*(1+$E3029))</f>
        <v/>
      </c>
      <c r="AR3029" s="44">
        <f>AR3011*Settings!$C$13*(INDEX(AR$407:AR$418,$D3029)+INDEX(AR$394:AR$405,$D3029)+AR2984*(1+$E3029))</f>
        <v/>
      </c>
      <c r="AS3029" s="44">
        <f>AS3011*Settings!$C$13*(INDEX(AS$407:AS$418,$D3029)+INDEX(AS$394:AS$405,$D3029)+AS2984*(1+$E3029))</f>
        <v/>
      </c>
      <c r="AT3029" s="44">
        <f>AT3011*Settings!$C$13*(INDEX(AT$407:AT$418,$D3029)+INDEX(AT$394:AT$405,$D3029)+AT2984*(1+$E3029))</f>
        <v/>
      </c>
      <c r="AU3029" s="44">
        <f>AU3011*Settings!$C$13*(INDEX(AU$407:AU$418,$D3029)+INDEX(AU$394:AU$405,$D3029)+AU2984*(1+$E3029))</f>
        <v/>
      </c>
      <c r="AV3029" s="44">
        <f>AV3011*Settings!$C$13*(INDEX(AV$407:AV$418,$D3029)+INDEX(AV$394:AV$405,$D3029)+AV2984*(1+$E3029))</f>
        <v/>
      </c>
      <c r="AW3029" s="44">
        <f>AW3011*Settings!$C$13*(INDEX(AW$407:AW$418,$D3029)+INDEX(AW$394:AW$405,$D3029)+AW2984*(1+$E3029))</f>
        <v/>
      </c>
      <c r="AX3029" s="44">
        <f>AX3011*Settings!$C$13*(INDEX(AX$407:AX$418,$D3029)+INDEX(AX$394:AX$405,$D3029)+AX2984*(1+$E3029))</f>
        <v/>
      </c>
      <c r="AY3029" s="44">
        <f>AY3011*Settings!$C$13*(INDEX(AY$407:AY$418,$D3029)+INDEX(AY$394:AY$405,$D3029)+AY2984*(1+$E3029))</f>
        <v/>
      </c>
      <c r="AZ3029" s="44">
        <f>AZ3011*Settings!$C$13*(INDEX(AZ$407:AZ$418,$D3029)+INDEX(AZ$394:AZ$405,$D3029)+AZ2984*(1+$E3029))</f>
        <v/>
      </c>
      <c r="BA3029" s="57">
        <f>REVENUE(BA3011,Settings!$C$13,INDEX(BA$407:BA$418,$D3029)+INDEX(BA$394:BA$405,$D3029)+BA2984*(1+$E3029))</f>
        <v/>
      </c>
    </row>
    <row r="3030" hidden="1" outlineLevel="2">
      <c r="A3030" s="14" t="inlineStr">
        <is>
          <t>rtx</t>
        </is>
      </c>
      <c r="B3030" s="14" t="inlineStr">
        <is>
          <t>lpg</t>
        </is>
      </c>
      <c r="C3030" s="14" t="inlineStr">
        <is>
          <t>oen</t>
        </is>
      </c>
      <c r="D3030" s="35">
        <f>INDEX(Inputs!$U$5:$U$132,MATCH($B3030&amp;"|"&amp;$C3030,Inputs!$A$5:$A$132,0))</f>
        <v/>
      </c>
      <c r="E3030" s="35">
        <f>INDEX(Inputs!$V$5:$V$132,MATCH($B3030&amp;"|"&amp;$C3030,Inputs!$A$5:$A$132,0))</f>
        <v/>
      </c>
      <c r="F3030" s="39" t="n"/>
      <c r="G3030" s="39" t="n"/>
      <c r="H3030" s="14">
        <f>INDEX(VarLab,MATCH($A3030,VarKey,0))&amp;INDEX(MemLab,MATCH($C3030&amp;"|"&amp;$B3030,MemKey,0))</f>
        <v/>
      </c>
      <c r="I3030" s="14">
        <f>INDEX(VarUnit,MATCH($A3030,VarKey,0))</f>
        <v/>
      </c>
      <c r="J3030" s="14">
        <f>INDEX(VarSrc,MATCH($A3030,VarKey,0))</f>
        <v/>
      </c>
      <c r="K3030" s="11">
        <f>CodePrefix&amp;$A3030&amp;IF($C3030="","","."&amp;$C3030&amp;"."&amp;$B3030)&amp;INDEX(VarEnd,MATCH($A3030,VarKey,0))&amp;K$5</f>
        <v/>
      </c>
      <c r="L3030" s="43">
        <f>L3012*Settings!$C$13*(INDEX(L$407:L$418,$D3030)+INDEX(L$394:L$405,$D3030)+L2985*(1+$E3030))</f>
        <v/>
      </c>
      <c r="M3030" s="44">
        <f>M3012*Settings!$C$13*(INDEX(M$407:M$418,$D3030)+INDEX(M$394:M$405,$D3030)+M2985*(1+$E3030))</f>
        <v/>
      </c>
      <c r="N3030" s="44">
        <f>N3012*Settings!$C$13*(INDEX(N$407:N$418,$D3030)+INDEX(N$394:N$405,$D3030)+N2985*(1+$E3030))</f>
        <v/>
      </c>
      <c r="O3030" s="44">
        <f>O3012*Settings!$C$13*(INDEX(O$407:O$418,$D3030)+INDEX(O$394:O$405,$D3030)+O2985*(1+$E3030))</f>
        <v/>
      </c>
      <c r="P3030" s="44">
        <f>P3012*Settings!$C$13*(INDEX(P$407:P$418,$D3030)+INDEX(P$394:P$405,$D3030)+P2985*(1+$E3030))</f>
        <v/>
      </c>
      <c r="Q3030" s="44">
        <f>Q3012*Settings!$C$13*(INDEX(Q$407:Q$418,$D3030)+INDEX(Q$394:Q$405,$D3030)+Q2985*(1+$E3030))</f>
        <v/>
      </c>
      <c r="R3030" s="44">
        <f>R3012*Settings!$C$13*(INDEX(R$407:R$418,$D3030)+INDEX(R$394:R$405,$D3030)+R2985*(1+$E3030))</f>
        <v/>
      </c>
      <c r="S3030" s="44">
        <f>S3012*Settings!$C$13*(INDEX(S$407:S$418,$D3030)+INDEX(S$394:S$405,$D3030)+S2985*(1+$E3030))</f>
        <v/>
      </c>
      <c r="T3030" s="44">
        <f>T3012*Settings!$C$13*(INDEX(T$407:T$418,$D3030)+INDEX(T$394:T$405,$D3030)+T2985*(1+$E3030))</f>
        <v/>
      </c>
      <c r="U3030" s="44">
        <f>U3012*Settings!$C$13*(INDEX(U$407:U$418,$D3030)+INDEX(U$394:U$405,$D3030)+U2985*(1+$E3030))</f>
        <v/>
      </c>
      <c r="V3030" s="44">
        <f>V3012*Settings!$C$13*(INDEX(V$407:V$418,$D3030)+INDEX(V$394:V$405,$D3030)+V2985*(1+$E3030))</f>
        <v/>
      </c>
      <c r="W3030" s="44">
        <f>W3012*Settings!$C$13*(INDEX(W$407:W$418,$D3030)+INDEX(W$394:W$405,$D3030)+W2985*(1+$E3030))</f>
        <v/>
      </c>
      <c r="X3030" s="44">
        <f>X3012*Settings!$C$13*(INDEX(X$407:X$418,$D3030)+INDEX(X$394:X$405,$D3030)+X2985*(1+$E3030))</f>
        <v/>
      </c>
      <c r="Y3030" s="44">
        <f>Y3012*Settings!$C$13*(INDEX(Y$407:Y$418,$D3030)+INDEX(Y$394:Y$405,$D3030)+Y2985*(1+$E3030))</f>
        <v/>
      </c>
      <c r="Z3030" s="44">
        <f>Z3012*Settings!$C$13*(INDEX(Z$407:Z$418,$D3030)+INDEX(Z$394:Z$405,$D3030)+Z2985*(1+$E3030))</f>
        <v/>
      </c>
      <c r="AA3030" s="44">
        <f>AA3012*Settings!$C$13*(INDEX(AA$407:AA$418,$D3030)+INDEX(AA$394:AA$405,$D3030)+AA2985*(1+$E3030))</f>
        <v/>
      </c>
      <c r="AB3030" s="44">
        <f>AB3012*Settings!$C$13*(INDEX(AB$407:AB$418,$D3030)+INDEX(AB$394:AB$405,$D3030)+AB2985*(1+$E3030))</f>
        <v/>
      </c>
      <c r="AC3030" s="44">
        <f>AC3012*Settings!$C$13*(INDEX(AC$407:AC$418,$D3030)+INDEX(AC$394:AC$405,$D3030)+AC2985*(1+$E3030))</f>
        <v/>
      </c>
      <c r="AD3030" s="44">
        <f>AD3012*Settings!$C$13*(INDEX(AD$407:AD$418,$D3030)+INDEX(AD$394:AD$405,$D3030)+AD2985*(1+$E3030))</f>
        <v/>
      </c>
      <c r="AE3030" s="57">
        <f>REVENUE(AE3012,Settings!$C$13,INDEX(AE$407:AE$418,$D3030)+INDEX(AE$394:AE$405,$D3030)+AE2985*(1+$E3030))</f>
        <v/>
      </c>
      <c r="AG3030" s="11">
        <f>CodePrefix&amp;$A3030&amp;IF($C3030="","","."&amp;$C3030&amp;"."&amp;$B3030)&amp;INDEX(VarEnd,MATCH($A3030,VarKey,0))&amp;AG$5</f>
        <v/>
      </c>
      <c r="AH3030" s="43">
        <f>AH3012*Settings!$C$13*(INDEX(AH$407:AH$418,$D3030)+INDEX(AH$394:AH$405,$D3030)+AH2985*(1+$E3030))</f>
        <v/>
      </c>
      <c r="AI3030" s="44">
        <f>AI3012*Settings!$C$13*(INDEX(AI$407:AI$418,$D3030)+INDEX(AI$394:AI$405,$D3030)+AI2985*(1+$E3030))</f>
        <v/>
      </c>
      <c r="AJ3030" s="44">
        <f>AJ3012*Settings!$C$13*(INDEX(AJ$407:AJ$418,$D3030)+INDEX(AJ$394:AJ$405,$D3030)+AJ2985*(1+$E3030))</f>
        <v/>
      </c>
      <c r="AK3030" s="44">
        <f>AK3012*Settings!$C$13*(INDEX(AK$407:AK$418,$D3030)+INDEX(AK$394:AK$405,$D3030)+AK2985*(1+$E3030))</f>
        <v/>
      </c>
      <c r="AL3030" s="44">
        <f>AL3012*Settings!$C$13*(INDEX(AL$407:AL$418,$D3030)+INDEX(AL$394:AL$405,$D3030)+AL2985*(1+$E3030))</f>
        <v/>
      </c>
      <c r="AM3030" s="44">
        <f>AM3012*Settings!$C$13*(INDEX(AM$407:AM$418,$D3030)+INDEX(AM$394:AM$405,$D3030)+AM2985*(1+$E3030))</f>
        <v/>
      </c>
      <c r="AN3030" s="44">
        <f>AN3012*Settings!$C$13*(INDEX(AN$407:AN$418,$D3030)+INDEX(AN$394:AN$405,$D3030)+AN2985*(1+$E3030))</f>
        <v/>
      </c>
      <c r="AO3030" s="44">
        <f>AO3012*Settings!$C$13*(INDEX(AO$407:AO$418,$D3030)+INDEX(AO$394:AO$405,$D3030)+AO2985*(1+$E3030))</f>
        <v/>
      </c>
      <c r="AP3030" s="44">
        <f>AP3012*Settings!$C$13*(INDEX(AP$407:AP$418,$D3030)+INDEX(AP$394:AP$405,$D3030)+AP2985*(1+$E3030))</f>
        <v/>
      </c>
      <c r="AQ3030" s="44">
        <f>AQ3012*Settings!$C$13*(INDEX(AQ$407:AQ$418,$D3030)+INDEX(AQ$394:AQ$405,$D3030)+AQ2985*(1+$E3030))</f>
        <v/>
      </c>
      <c r="AR3030" s="44">
        <f>AR3012*Settings!$C$13*(INDEX(AR$407:AR$418,$D3030)+INDEX(AR$394:AR$405,$D3030)+AR2985*(1+$E3030))</f>
        <v/>
      </c>
      <c r="AS3030" s="44">
        <f>AS3012*Settings!$C$13*(INDEX(AS$407:AS$418,$D3030)+INDEX(AS$394:AS$405,$D3030)+AS2985*(1+$E3030))</f>
        <v/>
      </c>
      <c r="AT3030" s="44">
        <f>AT3012*Settings!$C$13*(INDEX(AT$407:AT$418,$D3030)+INDEX(AT$394:AT$405,$D3030)+AT2985*(1+$E3030))</f>
        <v/>
      </c>
      <c r="AU3030" s="44">
        <f>AU3012*Settings!$C$13*(INDEX(AU$407:AU$418,$D3030)+INDEX(AU$394:AU$405,$D3030)+AU2985*(1+$E3030))</f>
        <v/>
      </c>
      <c r="AV3030" s="44">
        <f>AV3012*Settings!$C$13*(INDEX(AV$407:AV$418,$D3030)+INDEX(AV$394:AV$405,$D3030)+AV2985*(1+$E3030))</f>
        <v/>
      </c>
      <c r="AW3030" s="44">
        <f>AW3012*Settings!$C$13*(INDEX(AW$407:AW$418,$D3030)+INDEX(AW$394:AW$405,$D3030)+AW2985*(1+$E3030))</f>
        <v/>
      </c>
      <c r="AX3030" s="44">
        <f>AX3012*Settings!$C$13*(INDEX(AX$407:AX$418,$D3030)+INDEX(AX$394:AX$405,$D3030)+AX2985*(1+$E3030))</f>
        <v/>
      </c>
      <c r="AY3030" s="44">
        <f>AY3012*Settings!$C$13*(INDEX(AY$407:AY$418,$D3030)+INDEX(AY$394:AY$405,$D3030)+AY2985*(1+$E3030))</f>
        <v/>
      </c>
      <c r="AZ3030" s="44">
        <f>AZ3012*Settings!$C$13*(INDEX(AZ$407:AZ$418,$D3030)+INDEX(AZ$394:AZ$405,$D3030)+AZ2985*(1+$E3030))</f>
        <v/>
      </c>
      <c r="BA3030" s="57">
        <f>REVENUE(BA3012,Settings!$C$13,INDEX(BA$407:BA$418,$D3030)+INDEX(BA$394:BA$405,$D3030)+BA2985*(1+$E3030))</f>
        <v/>
      </c>
    </row>
    <row r="3031" hidden="1" outlineLevel="2">
      <c r="A3031" s="14" t="inlineStr">
        <is>
          <t>rtx</t>
        </is>
      </c>
      <c r="B3031" s="14" t="inlineStr">
        <is>
          <t>ker</t>
        </is>
      </c>
      <c r="C3031" s="14" t="inlineStr">
        <is>
          <t>oen</t>
        </is>
      </c>
      <c r="D3031" s="35">
        <f>INDEX(Inputs!$U$5:$U$132,MATCH($B3031&amp;"|"&amp;$C3031,Inputs!$A$5:$A$132,0))</f>
        <v/>
      </c>
      <c r="E3031" s="35">
        <f>INDEX(Inputs!$V$5:$V$132,MATCH($B3031&amp;"|"&amp;$C3031,Inputs!$A$5:$A$132,0))</f>
        <v/>
      </c>
      <c r="F3031" s="39" t="n"/>
      <c r="G3031" s="39" t="n"/>
      <c r="H3031" s="14">
        <f>INDEX(VarLab,MATCH($A3031,VarKey,0))&amp;INDEX(MemLab,MATCH($C3031&amp;"|"&amp;$B3031,MemKey,0))</f>
        <v/>
      </c>
      <c r="I3031" s="14">
        <f>INDEX(VarUnit,MATCH($A3031,VarKey,0))</f>
        <v/>
      </c>
      <c r="J3031" s="14">
        <f>INDEX(VarSrc,MATCH($A3031,VarKey,0))</f>
        <v/>
      </c>
      <c r="K3031" s="11">
        <f>CodePrefix&amp;$A3031&amp;IF($C3031="","","."&amp;$C3031&amp;"."&amp;$B3031)&amp;INDEX(VarEnd,MATCH($A3031,VarKey,0))&amp;K$5</f>
        <v/>
      </c>
      <c r="L3031" s="43">
        <f>L3013*Settings!$C$13*(INDEX(L$407:L$418,$D3031)+INDEX(L$394:L$405,$D3031)+L2986*(1+$E3031))</f>
        <v/>
      </c>
      <c r="M3031" s="44">
        <f>M3013*Settings!$C$13*(INDEX(M$407:M$418,$D3031)+INDEX(M$394:M$405,$D3031)+M2986*(1+$E3031))</f>
        <v/>
      </c>
      <c r="N3031" s="44">
        <f>N3013*Settings!$C$13*(INDEX(N$407:N$418,$D3031)+INDEX(N$394:N$405,$D3031)+N2986*(1+$E3031))</f>
        <v/>
      </c>
      <c r="O3031" s="44">
        <f>O3013*Settings!$C$13*(INDEX(O$407:O$418,$D3031)+INDEX(O$394:O$405,$D3031)+O2986*(1+$E3031))</f>
        <v/>
      </c>
      <c r="P3031" s="44">
        <f>P3013*Settings!$C$13*(INDEX(P$407:P$418,$D3031)+INDEX(P$394:P$405,$D3031)+P2986*(1+$E3031))</f>
        <v/>
      </c>
      <c r="Q3031" s="44">
        <f>Q3013*Settings!$C$13*(INDEX(Q$407:Q$418,$D3031)+INDEX(Q$394:Q$405,$D3031)+Q2986*(1+$E3031))</f>
        <v/>
      </c>
      <c r="R3031" s="44">
        <f>R3013*Settings!$C$13*(INDEX(R$407:R$418,$D3031)+INDEX(R$394:R$405,$D3031)+R2986*(1+$E3031))</f>
        <v/>
      </c>
      <c r="S3031" s="44">
        <f>S3013*Settings!$C$13*(INDEX(S$407:S$418,$D3031)+INDEX(S$394:S$405,$D3031)+S2986*(1+$E3031))</f>
        <v/>
      </c>
      <c r="T3031" s="44">
        <f>T3013*Settings!$C$13*(INDEX(T$407:T$418,$D3031)+INDEX(T$394:T$405,$D3031)+T2986*(1+$E3031))</f>
        <v/>
      </c>
      <c r="U3031" s="44">
        <f>U3013*Settings!$C$13*(INDEX(U$407:U$418,$D3031)+INDEX(U$394:U$405,$D3031)+U2986*(1+$E3031))</f>
        <v/>
      </c>
      <c r="V3031" s="44">
        <f>V3013*Settings!$C$13*(INDEX(V$407:V$418,$D3031)+INDEX(V$394:V$405,$D3031)+V2986*(1+$E3031))</f>
        <v/>
      </c>
      <c r="W3031" s="44">
        <f>W3013*Settings!$C$13*(INDEX(W$407:W$418,$D3031)+INDEX(W$394:W$405,$D3031)+W2986*(1+$E3031))</f>
        <v/>
      </c>
      <c r="X3031" s="44">
        <f>X3013*Settings!$C$13*(INDEX(X$407:X$418,$D3031)+INDEX(X$394:X$405,$D3031)+X2986*(1+$E3031))</f>
        <v/>
      </c>
      <c r="Y3031" s="44">
        <f>Y3013*Settings!$C$13*(INDEX(Y$407:Y$418,$D3031)+INDEX(Y$394:Y$405,$D3031)+Y2986*(1+$E3031))</f>
        <v/>
      </c>
      <c r="Z3031" s="44">
        <f>Z3013*Settings!$C$13*(INDEX(Z$407:Z$418,$D3031)+INDEX(Z$394:Z$405,$D3031)+Z2986*(1+$E3031))</f>
        <v/>
      </c>
      <c r="AA3031" s="44">
        <f>AA3013*Settings!$C$13*(INDEX(AA$407:AA$418,$D3031)+INDEX(AA$394:AA$405,$D3031)+AA2986*(1+$E3031))</f>
        <v/>
      </c>
      <c r="AB3031" s="44">
        <f>AB3013*Settings!$C$13*(INDEX(AB$407:AB$418,$D3031)+INDEX(AB$394:AB$405,$D3031)+AB2986*(1+$E3031))</f>
        <v/>
      </c>
      <c r="AC3031" s="44">
        <f>AC3013*Settings!$C$13*(INDEX(AC$407:AC$418,$D3031)+INDEX(AC$394:AC$405,$D3031)+AC2986*(1+$E3031))</f>
        <v/>
      </c>
      <c r="AD3031" s="44">
        <f>AD3013*Settings!$C$13*(INDEX(AD$407:AD$418,$D3031)+INDEX(AD$394:AD$405,$D3031)+AD2986*(1+$E3031))</f>
        <v/>
      </c>
      <c r="AE3031" s="57">
        <f>REVENUE(AE3013,Settings!$C$13,INDEX(AE$407:AE$418,$D3031)+INDEX(AE$394:AE$405,$D3031)+AE2986*(1+$E3031))</f>
        <v/>
      </c>
      <c r="AG3031" s="11">
        <f>CodePrefix&amp;$A3031&amp;IF($C3031="","","."&amp;$C3031&amp;"."&amp;$B3031)&amp;INDEX(VarEnd,MATCH($A3031,VarKey,0))&amp;AG$5</f>
        <v/>
      </c>
      <c r="AH3031" s="43">
        <f>AH3013*Settings!$C$13*(INDEX(AH$407:AH$418,$D3031)+INDEX(AH$394:AH$405,$D3031)+AH2986*(1+$E3031))</f>
        <v/>
      </c>
      <c r="AI3031" s="44">
        <f>AI3013*Settings!$C$13*(INDEX(AI$407:AI$418,$D3031)+INDEX(AI$394:AI$405,$D3031)+AI2986*(1+$E3031))</f>
        <v/>
      </c>
      <c r="AJ3031" s="44">
        <f>AJ3013*Settings!$C$13*(INDEX(AJ$407:AJ$418,$D3031)+INDEX(AJ$394:AJ$405,$D3031)+AJ2986*(1+$E3031))</f>
        <v/>
      </c>
      <c r="AK3031" s="44">
        <f>AK3013*Settings!$C$13*(INDEX(AK$407:AK$418,$D3031)+INDEX(AK$394:AK$405,$D3031)+AK2986*(1+$E3031))</f>
        <v/>
      </c>
      <c r="AL3031" s="44">
        <f>AL3013*Settings!$C$13*(INDEX(AL$407:AL$418,$D3031)+INDEX(AL$394:AL$405,$D3031)+AL2986*(1+$E3031))</f>
        <v/>
      </c>
      <c r="AM3031" s="44">
        <f>AM3013*Settings!$C$13*(INDEX(AM$407:AM$418,$D3031)+INDEX(AM$394:AM$405,$D3031)+AM2986*(1+$E3031))</f>
        <v/>
      </c>
      <c r="AN3031" s="44">
        <f>AN3013*Settings!$C$13*(INDEX(AN$407:AN$418,$D3031)+INDEX(AN$394:AN$405,$D3031)+AN2986*(1+$E3031))</f>
        <v/>
      </c>
      <c r="AO3031" s="44">
        <f>AO3013*Settings!$C$13*(INDEX(AO$407:AO$418,$D3031)+INDEX(AO$394:AO$405,$D3031)+AO2986*(1+$E3031))</f>
        <v/>
      </c>
      <c r="AP3031" s="44">
        <f>AP3013*Settings!$C$13*(INDEX(AP$407:AP$418,$D3031)+INDEX(AP$394:AP$405,$D3031)+AP2986*(1+$E3031))</f>
        <v/>
      </c>
      <c r="AQ3031" s="44">
        <f>AQ3013*Settings!$C$13*(INDEX(AQ$407:AQ$418,$D3031)+INDEX(AQ$394:AQ$405,$D3031)+AQ2986*(1+$E3031))</f>
        <v/>
      </c>
      <c r="AR3031" s="44">
        <f>AR3013*Settings!$C$13*(INDEX(AR$407:AR$418,$D3031)+INDEX(AR$394:AR$405,$D3031)+AR2986*(1+$E3031))</f>
        <v/>
      </c>
      <c r="AS3031" s="44">
        <f>AS3013*Settings!$C$13*(INDEX(AS$407:AS$418,$D3031)+INDEX(AS$394:AS$405,$D3031)+AS2986*(1+$E3031))</f>
        <v/>
      </c>
      <c r="AT3031" s="44">
        <f>AT3013*Settings!$C$13*(INDEX(AT$407:AT$418,$D3031)+INDEX(AT$394:AT$405,$D3031)+AT2986*(1+$E3031))</f>
        <v/>
      </c>
      <c r="AU3031" s="44">
        <f>AU3013*Settings!$C$13*(INDEX(AU$407:AU$418,$D3031)+INDEX(AU$394:AU$405,$D3031)+AU2986*(1+$E3031))</f>
        <v/>
      </c>
      <c r="AV3031" s="44">
        <f>AV3013*Settings!$C$13*(INDEX(AV$407:AV$418,$D3031)+INDEX(AV$394:AV$405,$D3031)+AV2986*(1+$E3031))</f>
        <v/>
      </c>
      <c r="AW3031" s="44">
        <f>AW3013*Settings!$C$13*(INDEX(AW$407:AW$418,$D3031)+INDEX(AW$394:AW$405,$D3031)+AW2986*(1+$E3031))</f>
        <v/>
      </c>
      <c r="AX3031" s="44">
        <f>AX3013*Settings!$C$13*(INDEX(AX$407:AX$418,$D3031)+INDEX(AX$394:AX$405,$D3031)+AX2986*(1+$E3031))</f>
        <v/>
      </c>
      <c r="AY3031" s="44">
        <f>AY3013*Settings!$C$13*(INDEX(AY$407:AY$418,$D3031)+INDEX(AY$394:AY$405,$D3031)+AY2986*(1+$E3031))</f>
        <v/>
      </c>
      <c r="AZ3031" s="44">
        <f>AZ3013*Settings!$C$13*(INDEX(AZ$407:AZ$418,$D3031)+INDEX(AZ$394:AZ$405,$D3031)+AZ2986*(1+$E3031))</f>
        <v/>
      </c>
      <c r="BA3031" s="57">
        <f>REVENUE(BA3013,Settings!$C$13,INDEX(BA$407:BA$418,$D3031)+INDEX(BA$394:BA$405,$D3031)+BA2986*(1+$E3031))</f>
        <v/>
      </c>
    </row>
    <row r="3032" hidden="1" outlineLevel="2">
      <c r="A3032" s="14" t="inlineStr">
        <is>
          <t>rtx</t>
        </is>
      </c>
      <c r="B3032" s="14" t="inlineStr">
        <is>
          <t>oop</t>
        </is>
      </c>
      <c r="C3032" s="14" t="inlineStr">
        <is>
          <t>oen</t>
        </is>
      </c>
      <c r="D3032" s="35">
        <f>INDEX(Inputs!$U$5:$U$132,MATCH($B3032&amp;"|"&amp;$C3032,Inputs!$A$5:$A$132,0))</f>
        <v/>
      </c>
      <c r="E3032" s="35">
        <f>INDEX(Inputs!$V$5:$V$132,MATCH($B3032&amp;"|"&amp;$C3032,Inputs!$A$5:$A$132,0))</f>
        <v/>
      </c>
      <c r="F3032" s="39" t="n"/>
      <c r="G3032" s="39" t="n"/>
      <c r="H3032" s="14">
        <f>INDEX(VarLab,MATCH($A3032,VarKey,0))&amp;INDEX(MemLab,MATCH($C3032&amp;"|"&amp;$B3032,MemKey,0))</f>
        <v/>
      </c>
      <c r="I3032" s="14">
        <f>INDEX(VarUnit,MATCH($A3032,VarKey,0))</f>
        <v/>
      </c>
      <c r="J3032" s="14">
        <f>INDEX(VarSrc,MATCH($A3032,VarKey,0))</f>
        <v/>
      </c>
      <c r="K3032" s="11">
        <f>CodePrefix&amp;$A3032&amp;IF($C3032="","","."&amp;$C3032&amp;"."&amp;$B3032)&amp;INDEX(VarEnd,MATCH($A3032,VarKey,0))&amp;K$5</f>
        <v/>
      </c>
      <c r="L3032" s="43">
        <f>L3014*Settings!$C$13*(INDEX(L$407:L$418,$D3032)+INDEX(L$394:L$405,$D3032)+L2987*(1+$E3032))</f>
        <v/>
      </c>
      <c r="M3032" s="44">
        <f>M3014*Settings!$C$13*(INDEX(M$407:M$418,$D3032)+INDEX(M$394:M$405,$D3032)+M2987*(1+$E3032))</f>
        <v/>
      </c>
      <c r="N3032" s="44">
        <f>N3014*Settings!$C$13*(INDEX(N$407:N$418,$D3032)+INDEX(N$394:N$405,$D3032)+N2987*(1+$E3032))</f>
        <v/>
      </c>
      <c r="O3032" s="44">
        <f>O3014*Settings!$C$13*(INDEX(O$407:O$418,$D3032)+INDEX(O$394:O$405,$D3032)+O2987*(1+$E3032))</f>
        <v/>
      </c>
      <c r="P3032" s="44">
        <f>P3014*Settings!$C$13*(INDEX(P$407:P$418,$D3032)+INDEX(P$394:P$405,$D3032)+P2987*(1+$E3032))</f>
        <v/>
      </c>
      <c r="Q3032" s="44">
        <f>Q3014*Settings!$C$13*(INDEX(Q$407:Q$418,$D3032)+INDEX(Q$394:Q$405,$D3032)+Q2987*(1+$E3032))</f>
        <v/>
      </c>
      <c r="R3032" s="44">
        <f>R3014*Settings!$C$13*(INDEX(R$407:R$418,$D3032)+INDEX(R$394:R$405,$D3032)+R2987*(1+$E3032))</f>
        <v/>
      </c>
      <c r="S3032" s="44">
        <f>S3014*Settings!$C$13*(INDEX(S$407:S$418,$D3032)+INDEX(S$394:S$405,$D3032)+S2987*(1+$E3032))</f>
        <v/>
      </c>
      <c r="T3032" s="44">
        <f>T3014*Settings!$C$13*(INDEX(T$407:T$418,$D3032)+INDEX(T$394:T$405,$D3032)+T2987*(1+$E3032))</f>
        <v/>
      </c>
      <c r="U3032" s="44">
        <f>U3014*Settings!$C$13*(INDEX(U$407:U$418,$D3032)+INDEX(U$394:U$405,$D3032)+U2987*(1+$E3032))</f>
        <v/>
      </c>
      <c r="V3032" s="44">
        <f>V3014*Settings!$C$13*(INDEX(V$407:V$418,$D3032)+INDEX(V$394:V$405,$D3032)+V2987*(1+$E3032))</f>
        <v/>
      </c>
      <c r="W3032" s="44">
        <f>W3014*Settings!$C$13*(INDEX(W$407:W$418,$D3032)+INDEX(W$394:W$405,$D3032)+W2987*(1+$E3032))</f>
        <v/>
      </c>
      <c r="X3032" s="44">
        <f>X3014*Settings!$C$13*(INDEX(X$407:X$418,$D3032)+INDEX(X$394:X$405,$D3032)+X2987*(1+$E3032))</f>
        <v/>
      </c>
      <c r="Y3032" s="44">
        <f>Y3014*Settings!$C$13*(INDEX(Y$407:Y$418,$D3032)+INDEX(Y$394:Y$405,$D3032)+Y2987*(1+$E3032))</f>
        <v/>
      </c>
      <c r="Z3032" s="44">
        <f>Z3014*Settings!$C$13*(INDEX(Z$407:Z$418,$D3032)+INDEX(Z$394:Z$405,$D3032)+Z2987*(1+$E3032))</f>
        <v/>
      </c>
      <c r="AA3032" s="44">
        <f>AA3014*Settings!$C$13*(INDEX(AA$407:AA$418,$D3032)+INDEX(AA$394:AA$405,$D3032)+AA2987*(1+$E3032))</f>
        <v/>
      </c>
      <c r="AB3032" s="44">
        <f>AB3014*Settings!$C$13*(INDEX(AB$407:AB$418,$D3032)+INDEX(AB$394:AB$405,$D3032)+AB2987*(1+$E3032))</f>
        <v/>
      </c>
      <c r="AC3032" s="44">
        <f>AC3014*Settings!$C$13*(INDEX(AC$407:AC$418,$D3032)+INDEX(AC$394:AC$405,$D3032)+AC2987*(1+$E3032))</f>
        <v/>
      </c>
      <c r="AD3032" s="44">
        <f>AD3014*Settings!$C$13*(INDEX(AD$407:AD$418,$D3032)+INDEX(AD$394:AD$405,$D3032)+AD2987*(1+$E3032))</f>
        <v/>
      </c>
      <c r="AE3032" s="57">
        <f>REVENUE(AE3014,Settings!$C$13,INDEX(AE$407:AE$418,$D3032)+INDEX(AE$394:AE$405,$D3032)+AE2987*(1+$E3032))</f>
        <v/>
      </c>
      <c r="AG3032" s="11">
        <f>CodePrefix&amp;$A3032&amp;IF($C3032="","","."&amp;$C3032&amp;"."&amp;$B3032)&amp;INDEX(VarEnd,MATCH($A3032,VarKey,0))&amp;AG$5</f>
        <v/>
      </c>
      <c r="AH3032" s="43">
        <f>AH3014*Settings!$C$13*(INDEX(AH$407:AH$418,$D3032)+INDEX(AH$394:AH$405,$D3032)+AH2987*(1+$E3032))</f>
        <v/>
      </c>
      <c r="AI3032" s="44">
        <f>AI3014*Settings!$C$13*(INDEX(AI$407:AI$418,$D3032)+INDEX(AI$394:AI$405,$D3032)+AI2987*(1+$E3032))</f>
        <v/>
      </c>
      <c r="AJ3032" s="44">
        <f>AJ3014*Settings!$C$13*(INDEX(AJ$407:AJ$418,$D3032)+INDEX(AJ$394:AJ$405,$D3032)+AJ2987*(1+$E3032))</f>
        <v/>
      </c>
      <c r="AK3032" s="44">
        <f>AK3014*Settings!$C$13*(INDEX(AK$407:AK$418,$D3032)+INDEX(AK$394:AK$405,$D3032)+AK2987*(1+$E3032))</f>
        <v/>
      </c>
      <c r="AL3032" s="44">
        <f>AL3014*Settings!$C$13*(INDEX(AL$407:AL$418,$D3032)+INDEX(AL$394:AL$405,$D3032)+AL2987*(1+$E3032))</f>
        <v/>
      </c>
      <c r="AM3032" s="44">
        <f>AM3014*Settings!$C$13*(INDEX(AM$407:AM$418,$D3032)+INDEX(AM$394:AM$405,$D3032)+AM2987*(1+$E3032))</f>
        <v/>
      </c>
      <c r="AN3032" s="44">
        <f>AN3014*Settings!$C$13*(INDEX(AN$407:AN$418,$D3032)+INDEX(AN$394:AN$405,$D3032)+AN2987*(1+$E3032))</f>
        <v/>
      </c>
      <c r="AO3032" s="44">
        <f>AO3014*Settings!$C$13*(INDEX(AO$407:AO$418,$D3032)+INDEX(AO$394:AO$405,$D3032)+AO2987*(1+$E3032))</f>
        <v/>
      </c>
      <c r="AP3032" s="44">
        <f>AP3014*Settings!$C$13*(INDEX(AP$407:AP$418,$D3032)+INDEX(AP$394:AP$405,$D3032)+AP2987*(1+$E3032))</f>
        <v/>
      </c>
      <c r="AQ3032" s="44">
        <f>AQ3014*Settings!$C$13*(INDEX(AQ$407:AQ$418,$D3032)+INDEX(AQ$394:AQ$405,$D3032)+AQ2987*(1+$E3032))</f>
        <v/>
      </c>
      <c r="AR3032" s="44">
        <f>AR3014*Settings!$C$13*(INDEX(AR$407:AR$418,$D3032)+INDEX(AR$394:AR$405,$D3032)+AR2987*(1+$E3032))</f>
        <v/>
      </c>
      <c r="AS3032" s="44">
        <f>AS3014*Settings!$C$13*(INDEX(AS$407:AS$418,$D3032)+INDEX(AS$394:AS$405,$D3032)+AS2987*(1+$E3032))</f>
        <v/>
      </c>
      <c r="AT3032" s="44">
        <f>AT3014*Settings!$C$13*(INDEX(AT$407:AT$418,$D3032)+INDEX(AT$394:AT$405,$D3032)+AT2987*(1+$E3032))</f>
        <v/>
      </c>
      <c r="AU3032" s="44">
        <f>AU3014*Settings!$C$13*(INDEX(AU$407:AU$418,$D3032)+INDEX(AU$394:AU$405,$D3032)+AU2987*(1+$E3032))</f>
        <v/>
      </c>
      <c r="AV3032" s="44">
        <f>AV3014*Settings!$C$13*(INDEX(AV$407:AV$418,$D3032)+INDEX(AV$394:AV$405,$D3032)+AV2987*(1+$E3032))</f>
        <v/>
      </c>
      <c r="AW3032" s="44">
        <f>AW3014*Settings!$C$13*(INDEX(AW$407:AW$418,$D3032)+INDEX(AW$394:AW$405,$D3032)+AW2987*(1+$E3032))</f>
        <v/>
      </c>
      <c r="AX3032" s="44">
        <f>AX3014*Settings!$C$13*(INDEX(AX$407:AX$418,$D3032)+INDEX(AX$394:AX$405,$D3032)+AX2987*(1+$E3032))</f>
        <v/>
      </c>
      <c r="AY3032" s="44">
        <f>AY3014*Settings!$C$13*(INDEX(AY$407:AY$418,$D3032)+INDEX(AY$394:AY$405,$D3032)+AY2987*(1+$E3032))</f>
        <v/>
      </c>
      <c r="AZ3032" s="44">
        <f>AZ3014*Settings!$C$13*(INDEX(AZ$407:AZ$418,$D3032)+INDEX(AZ$394:AZ$405,$D3032)+AZ2987*(1+$E3032))</f>
        <v/>
      </c>
      <c r="BA3032" s="57">
        <f>REVENUE(BA3014,Settings!$C$13,INDEX(BA$407:BA$418,$D3032)+INDEX(BA$394:BA$405,$D3032)+BA2987*(1+$E3032))</f>
        <v/>
      </c>
    </row>
    <row r="3033" hidden="1" outlineLevel="2">
      <c r="A3033" s="14" t="inlineStr">
        <is>
          <t>rtx</t>
        </is>
      </c>
      <c r="B3033" s="14" t="inlineStr">
        <is>
          <t>bio</t>
        </is>
      </c>
      <c r="C3033" s="14" t="inlineStr">
        <is>
          <t>oen</t>
        </is>
      </c>
      <c r="D3033" s="35">
        <f>INDEX(Inputs!$U$5:$U$132,MATCH($B3033&amp;"|"&amp;$C3033,Inputs!$A$5:$A$132,0))</f>
        <v/>
      </c>
      <c r="E3033" s="35">
        <f>INDEX(Inputs!$V$5:$V$132,MATCH($B3033&amp;"|"&amp;$C3033,Inputs!$A$5:$A$132,0))</f>
        <v/>
      </c>
      <c r="F3033" s="39" t="n"/>
      <c r="G3033" s="39" t="n"/>
      <c r="H3033" s="14">
        <f>INDEX(VarLab,MATCH($A3033,VarKey,0))&amp;INDEX(MemLab,MATCH($C3033&amp;"|"&amp;$B3033,MemKey,0))</f>
        <v/>
      </c>
      <c r="I3033" s="14">
        <f>INDEX(VarUnit,MATCH($A3033,VarKey,0))</f>
        <v/>
      </c>
      <c r="J3033" s="14">
        <f>INDEX(VarSrc,MATCH($A3033,VarKey,0))</f>
        <v/>
      </c>
      <c r="K3033" s="11">
        <f>CodePrefix&amp;$A3033&amp;IF($C3033="","","."&amp;$C3033&amp;"."&amp;$B3033)&amp;INDEX(VarEnd,MATCH($A3033,VarKey,0))&amp;K$5</f>
        <v/>
      </c>
      <c r="L3033" s="43">
        <f>L3015*Settings!$C$13*(INDEX(L$407:L$418,$D3033)+INDEX(L$394:L$405,$D3033)+L2988*(1+$E3033))</f>
        <v/>
      </c>
      <c r="M3033" s="44">
        <f>M3015*Settings!$C$13*(INDEX(M$407:M$418,$D3033)+INDEX(M$394:M$405,$D3033)+M2988*(1+$E3033))</f>
        <v/>
      </c>
      <c r="N3033" s="44">
        <f>N3015*Settings!$C$13*(INDEX(N$407:N$418,$D3033)+INDEX(N$394:N$405,$D3033)+N2988*(1+$E3033))</f>
        <v/>
      </c>
      <c r="O3033" s="44">
        <f>O3015*Settings!$C$13*(INDEX(O$407:O$418,$D3033)+INDEX(O$394:O$405,$D3033)+O2988*(1+$E3033))</f>
        <v/>
      </c>
      <c r="P3033" s="44">
        <f>P3015*Settings!$C$13*(INDEX(P$407:P$418,$D3033)+INDEX(P$394:P$405,$D3033)+P2988*(1+$E3033))</f>
        <v/>
      </c>
      <c r="Q3033" s="44">
        <f>Q3015*Settings!$C$13*(INDEX(Q$407:Q$418,$D3033)+INDEX(Q$394:Q$405,$D3033)+Q2988*(1+$E3033))</f>
        <v/>
      </c>
      <c r="R3033" s="44">
        <f>R3015*Settings!$C$13*(INDEX(R$407:R$418,$D3033)+INDEX(R$394:R$405,$D3033)+R2988*(1+$E3033))</f>
        <v/>
      </c>
      <c r="S3033" s="44">
        <f>S3015*Settings!$C$13*(INDEX(S$407:S$418,$D3033)+INDEX(S$394:S$405,$D3033)+S2988*(1+$E3033))</f>
        <v/>
      </c>
      <c r="T3033" s="44">
        <f>T3015*Settings!$C$13*(INDEX(T$407:T$418,$D3033)+INDEX(T$394:T$405,$D3033)+T2988*(1+$E3033))</f>
        <v/>
      </c>
      <c r="U3033" s="44">
        <f>U3015*Settings!$C$13*(INDEX(U$407:U$418,$D3033)+INDEX(U$394:U$405,$D3033)+U2988*(1+$E3033))</f>
        <v/>
      </c>
      <c r="V3033" s="44">
        <f>V3015*Settings!$C$13*(INDEX(V$407:V$418,$D3033)+INDEX(V$394:V$405,$D3033)+V2988*(1+$E3033))</f>
        <v/>
      </c>
      <c r="W3033" s="44">
        <f>W3015*Settings!$C$13*(INDEX(W$407:W$418,$D3033)+INDEX(W$394:W$405,$D3033)+W2988*(1+$E3033))</f>
        <v/>
      </c>
      <c r="X3033" s="44">
        <f>X3015*Settings!$C$13*(INDEX(X$407:X$418,$D3033)+INDEX(X$394:X$405,$D3033)+X2988*(1+$E3033))</f>
        <v/>
      </c>
      <c r="Y3033" s="44">
        <f>Y3015*Settings!$C$13*(INDEX(Y$407:Y$418,$D3033)+INDEX(Y$394:Y$405,$D3033)+Y2988*(1+$E3033))</f>
        <v/>
      </c>
      <c r="Z3033" s="44">
        <f>Z3015*Settings!$C$13*(INDEX(Z$407:Z$418,$D3033)+INDEX(Z$394:Z$405,$D3033)+Z2988*(1+$E3033))</f>
        <v/>
      </c>
      <c r="AA3033" s="44">
        <f>AA3015*Settings!$C$13*(INDEX(AA$407:AA$418,$D3033)+INDEX(AA$394:AA$405,$D3033)+AA2988*(1+$E3033))</f>
        <v/>
      </c>
      <c r="AB3033" s="44">
        <f>AB3015*Settings!$C$13*(INDEX(AB$407:AB$418,$D3033)+INDEX(AB$394:AB$405,$D3033)+AB2988*(1+$E3033))</f>
        <v/>
      </c>
      <c r="AC3033" s="44">
        <f>AC3015*Settings!$C$13*(INDEX(AC$407:AC$418,$D3033)+INDEX(AC$394:AC$405,$D3033)+AC2988*(1+$E3033))</f>
        <v/>
      </c>
      <c r="AD3033" s="44">
        <f>AD3015*Settings!$C$13*(INDEX(AD$407:AD$418,$D3033)+INDEX(AD$394:AD$405,$D3033)+AD2988*(1+$E3033))</f>
        <v/>
      </c>
      <c r="AE3033" s="57">
        <f>REVENUE(AE3015,Settings!$C$13,INDEX(AE$407:AE$418,$D3033)+INDEX(AE$394:AE$405,$D3033)+AE2988*(1+$E3033))</f>
        <v/>
      </c>
      <c r="AG3033" s="11">
        <f>CodePrefix&amp;$A3033&amp;IF($C3033="","","."&amp;$C3033&amp;"."&amp;$B3033)&amp;INDEX(VarEnd,MATCH($A3033,VarKey,0))&amp;AG$5</f>
        <v/>
      </c>
      <c r="AH3033" s="43">
        <f>AH3015*Settings!$C$13*(INDEX(AH$407:AH$418,$D3033)+INDEX(AH$394:AH$405,$D3033)+AH2988*(1+$E3033))</f>
        <v/>
      </c>
      <c r="AI3033" s="44">
        <f>AI3015*Settings!$C$13*(INDEX(AI$407:AI$418,$D3033)+INDEX(AI$394:AI$405,$D3033)+AI2988*(1+$E3033))</f>
        <v/>
      </c>
      <c r="AJ3033" s="44">
        <f>AJ3015*Settings!$C$13*(INDEX(AJ$407:AJ$418,$D3033)+INDEX(AJ$394:AJ$405,$D3033)+AJ2988*(1+$E3033))</f>
        <v/>
      </c>
      <c r="AK3033" s="44">
        <f>AK3015*Settings!$C$13*(INDEX(AK$407:AK$418,$D3033)+INDEX(AK$394:AK$405,$D3033)+AK2988*(1+$E3033))</f>
        <v/>
      </c>
      <c r="AL3033" s="44">
        <f>AL3015*Settings!$C$13*(INDEX(AL$407:AL$418,$D3033)+INDEX(AL$394:AL$405,$D3033)+AL2988*(1+$E3033))</f>
        <v/>
      </c>
      <c r="AM3033" s="44">
        <f>AM3015*Settings!$C$13*(INDEX(AM$407:AM$418,$D3033)+INDEX(AM$394:AM$405,$D3033)+AM2988*(1+$E3033))</f>
        <v/>
      </c>
      <c r="AN3033" s="44">
        <f>AN3015*Settings!$C$13*(INDEX(AN$407:AN$418,$D3033)+INDEX(AN$394:AN$405,$D3033)+AN2988*(1+$E3033))</f>
        <v/>
      </c>
      <c r="AO3033" s="44">
        <f>AO3015*Settings!$C$13*(INDEX(AO$407:AO$418,$D3033)+INDEX(AO$394:AO$405,$D3033)+AO2988*(1+$E3033))</f>
        <v/>
      </c>
      <c r="AP3033" s="44">
        <f>AP3015*Settings!$C$13*(INDEX(AP$407:AP$418,$D3033)+INDEX(AP$394:AP$405,$D3033)+AP2988*(1+$E3033))</f>
        <v/>
      </c>
      <c r="AQ3033" s="44">
        <f>AQ3015*Settings!$C$13*(INDEX(AQ$407:AQ$418,$D3033)+INDEX(AQ$394:AQ$405,$D3033)+AQ2988*(1+$E3033))</f>
        <v/>
      </c>
      <c r="AR3033" s="44">
        <f>AR3015*Settings!$C$13*(INDEX(AR$407:AR$418,$D3033)+INDEX(AR$394:AR$405,$D3033)+AR2988*(1+$E3033))</f>
        <v/>
      </c>
      <c r="AS3033" s="44">
        <f>AS3015*Settings!$C$13*(INDEX(AS$407:AS$418,$D3033)+INDEX(AS$394:AS$405,$D3033)+AS2988*(1+$E3033))</f>
        <v/>
      </c>
      <c r="AT3033" s="44">
        <f>AT3015*Settings!$C$13*(INDEX(AT$407:AT$418,$D3033)+INDEX(AT$394:AT$405,$D3033)+AT2988*(1+$E3033))</f>
        <v/>
      </c>
      <c r="AU3033" s="44">
        <f>AU3015*Settings!$C$13*(INDEX(AU$407:AU$418,$D3033)+INDEX(AU$394:AU$405,$D3033)+AU2988*(1+$E3033))</f>
        <v/>
      </c>
      <c r="AV3033" s="44">
        <f>AV3015*Settings!$C$13*(INDEX(AV$407:AV$418,$D3033)+INDEX(AV$394:AV$405,$D3033)+AV2988*(1+$E3033))</f>
        <v/>
      </c>
      <c r="AW3033" s="44">
        <f>AW3015*Settings!$C$13*(INDEX(AW$407:AW$418,$D3033)+INDEX(AW$394:AW$405,$D3033)+AW2988*(1+$E3033))</f>
        <v/>
      </c>
      <c r="AX3033" s="44">
        <f>AX3015*Settings!$C$13*(INDEX(AX$407:AX$418,$D3033)+INDEX(AX$394:AX$405,$D3033)+AX2988*(1+$E3033))</f>
        <v/>
      </c>
      <c r="AY3033" s="44">
        <f>AY3015*Settings!$C$13*(INDEX(AY$407:AY$418,$D3033)+INDEX(AY$394:AY$405,$D3033)+AY2988*(1+$E3033))</f>
        <v/>
      </c>
      <c r="AZ3033" s="44">
        <f>AZ3015*Settings!$C$13*(INDEX(AZ$407:AZ$418,$D3033)+INDEX(AZ$394:AZ$405,$D3033)+AZ2988*(1+$E3033))</f>
        <v/>
      </c>
      <c r="BA3033" s="57">
        <f>REVENUE(BA3015,Settings!$C$13,INDEX(BA$407:BA$418,$D3033)+INDEX(BA$394:BA$405,$D3033)+BA2988*(1+$E3033))</f>
        <v/>
      </c>
    </row>
    <row r="3034" hidden="1" outlineLevel="2"/>
    <row r="3035" hidden="1" outlineLevel="2">
      <c r="A3035" s="14" t="inlineStr">
        <is>
          <t>rsub</t>
        </is>
      </c>
      <c r="B3035" s="14" t="inlineStr">
        <is>
          <t>coa</t>
        </is>
      </c>
      <c r="C3035" s="14" t="inlineStr">
        <is>
          <t>oen</t>
        </is>
      </c>
      <c r="D3035" s="35">
        <f>INDEX(Inputs!$U$5:$U$132,MATCH($B3035&amp;"|"&amp;$C3035,Inputs!$A$5:$A$132,0))</f>
        <v/>
      </c>
      <c r="E3035" s="39" t="n"/>
      <c r="F3035" s="39" t="n"/>
      <c r="G3035" s="39" t="n"/>
      <c r="H3035" s="14">
        <f>INDEX(VarLab,MATCH($A3035,VarKey,0))&amp;INDEX(MemLab,MATCH($C3035&amp;"|"&amp;$B3035,MemKey,0))</f>
        <v/>
      </c>
      <c r="I3035" s="14">
        <f>INDEX(VarUnit,MATCH($A3035,VarKey,0))</f>
        <v/>
      </c>
      <c r="J3035" s="14">
        <f>INDEX(VarSrc,MATCH($A3035,VarKey,0))</f>
        <v/>
      </c>
      <c r="K3035" s="11">
        <f>CodePrefix&amp;$A3035&amp;IF($C3035="","","."&amp;$C3035&amp;"."&amp;$B3035)&amp;INDEX(VarEnd,MATCH($A3035,VarKey,0))&amp;K$5</f>
        <v/>
      </c>
      <c r="L3035" s="43">
        <f>L3008*Settings!$C$13*(INDEX(L$420:L$431,$D3035))</f>
        <v/>
      </c>
      <c r="M3035" s="44">
        <f>M3008*Settings!$C$13*(INDEX(M$420:M$431,$D3035))</f>
        <v/>
      </c>
      <c r="N3035" s="44">
        <f>N3008*Settings!$C$13*(INDEX(N$420:N$431,$D3035))</f>
        <v/>
      </c>
      <c r="O3035" s="44">
        <f>O3008*Settings!$C$13*(INDEX(O$420:O$431,$D3035))</f>
        <v/>
      </c>
      <c r="P3035" s="44">
        <f>P3008*Settings!$C$13*(INDEX(P$420:P$431,$D3035))</f>
        <v/>
      </c>
      <c r="Q3035" s="44">
        <f>Q3008*Settings!$C$13*(INDEX(Q$420:Q$431,$D3035))</f>
        <v/>
      </c>
      <c r="R3035" s="44">
        <f>R3008*Settings!$C$13*(INDEX(R$420:R$431,$D3035))</f>
        <v/>
      </c>
      <c r="S3035" s="44">
        <f>S3008*Settings!$C$13*(INDEX(S$420:S$431,$D3035))</f>
        <v/>
      </c>
      <c r="T3035" s="44">
        <f>T3008*Settings!$C$13*(INDEX(T$420:T$431,$D3035))</f>
        <v/>
      </c>
      <c r="U3035" s="44">
        <f>U3008*Settings!$C$13*(INDEX(U$420:U$431,$D3035))</f>
        <v/>
      </c>
      <c r="V3035" s="44">
        <f>V3008*Settings!$C$13*(INDEX(V$420:V$431,$D3035))</f>
        <v/>
      </c>
      <c r="W3035" s="44">
        <f>W3008*Settings!$C$13*(INDEX(W$420:W$431,$D3035))</f>
        <v/>
      </c>
      <c r="X3035" s="44">
        <f>X3008*Settings!$C$13*(INDEX(X$420:X$431,$D3035))</f>
        <v/>
      </c>
      <c r="Y3035" s="44">
        <f>Y3008*Settings!$C$13*(INDEX(Y$420:Y$431,$D3035))</f>
        <v/>
      </c>
      <c r="Z3035" s="44">
        <f>Z3008*Settings!$C$13*(INDEX(Z$420:Z$431,$D3035))</f>
        <v/>
      </c>
      <c r="AA3035" s="44">
        <f>AA3008*Settings!$C$13*(INDEX(AA$420:AA$431,$D3035))</f>
        <v/>
      </c>
      <c r="AB3035" s="44">
        <f>AB3008*Settings!$C$13*(INDEX(AB$420:AB$431,$D3035))</f>
        <v/>
      </c>
      <c r="AC3035" s="44">
        <f>AC3008*Settings!$C$13*(INDEX(AC$420:AC$431,$D3035))</f>
        <v/>
      </c>
      <c r="AD3035" s="44">
        <f>AD3008*Settings!$C$13*(INDEX(AD$420:AD$431,$D3035))</f>
        <v/>
      </c>
      <c r="AE3035" s="57">
        <f>REVENUE(AE3008,Settings!$C$13,INDEX(AE$420:AE$431,$D3035))</f>
        <v/>
      </c>
      <c r="AG3035" s="11">
        <f>CodePrefix&amp;$A3035&amp;IF($C3035="","","."&amp;$C3035&amp;"."&amp;$B3035)&amp;INDEX(VarEnd,MATCH($A3035,VarKey,0))&amp;AG$5</f>
        <v/>
      </c>
      <c r="AH3035" s="43">
        <f>AH3008*Settings!$C$13*(INDEX(AH$420:AH$431,$D3035))</f>
        <v/>
      </c>
      <c r="AI3035" s="44">
        <f>AI3008*Settings!$C$13*(INDEX(AI$420:AI$431,$D3035))</f>
        <v/>
      </c>
      <c r="AJ3035" s="44">
        <f>AJ3008*Settings!$C$13*(INDEX(AJ$420:AJ$431,$D3035))</f>
        <v/>
      </c>
      <c r="AK3035" s="44">
        <f>AK3008*Settings!$C$13*(INDEX(AK$420:AK$431,$D3035))</f>
        <v/>
      </c>
      <c r="AL3035" s="44">
        <f>AL3008*Settings!$C$13*(INDEX(AL$420:AL$431,$D3035))</f>
        <v/>
      </c>
      <c r="AM3035" s="44">
        <f>AM3008*Settings!$C$13*(INDEX(AM$420:AM$431,$D3035))</f>
        <v/>
      </c>
      <c r="AN3035" s="44">
        <f>AN3008*Settings!$C$13*(INDEX(AN$420:AN$431,$D3035))</f>
        <v/>
      </c>
      <c r="AO3035" s="44">
        <f>AO3008*Settings!$C$13*(INDEX(AO$420:AO$431,$D3035))</f>
        <v/>
      </c>
      <c r="AP3035" s="44">
        <f>AP3008*Settings!$C$13*(INDEX(AP$420:AP$431,$D3035))</f>
        <v/>
      </c>
      <c r="AQ3035" s="44">
        <f>AQ3008*Settings!$C$13*(INDEX(AQ$420:AQ$431,$D3035))</f>
        <v/>
      </c>
      <c r="AR3035" s="44">
        <f>AR3008*Settings!$C$13*(INDEX(AR$420:AR$431,$D3035))</f>
        <v/>
      </c>
      <c r="AS3035" s="44">
        <f>AS3008*Settings!$C$13*(INDEX(AS$420:AS$431,$D3035))</f>
        <v/>
      </c>
      <c r="AT3035" s="44">
        <f>AT3008*Settings!$C$13*(INDEX(AT$420:AT$431,$D3035))</f>
        <v/>
      </c>
      <c r="AU3035" s="44">
        <f>AU3008*Settings!$C$13*(INDEX(AU$420:AU$431,$D3035))</f>
        <v/>
      </c>
      <c r="AV3035" s="44">
        <f>AV3008*Settings!$C$13*(INDEX(AV$420:AV$431,$D3035))</f>
        <v/>
      </c>
      <c r="AW3035" s="44">
        <f>AW3008*Settings!$C$13*(INDEX(AW$420:AW$431,$D3035))</f>
        <v/>
      </c>
      <c r="AX3035" s="44">
        <f>AX3008*Settings!$C$13*(INDEX(AX$420:AX$431,$D3035))</f>
        <v/>
      </c>
      <c r="AY3035" s="44">
        <f>AY3008*Settings!$C$13*(INDEX(AY$420:AY$431,$D3035))</f>
        <v/>
      </c>
      <c r="AZ3035" s="44">
        <f>AZ3008*Settings!$C$13*(INDEX(AZ$420:AZ$431,$D3035))</f>
        <v/>
      </c>
      <c r="BA3035" s="57">
        <f>REVENUE(BA3008,Settings!$C$13,INDEX(BA$420:BA$431,$D3035))</f>
        <v/>
      </c>
    </row>
    <row r="3036" hidden="1" outlineLevel="2">
      <c r="A3036" s="14" t="inlineStr">
        <is>
          <t>rsub</t>
        </is>
      </c>
      <c r="B3036" s="14" t="inlineStr">
        <is>
          <t>nga</t>
        </is>
      </c>
      <c r="C3036" s="14" t="inlineStr">
        <is>
          <t>oen</t>
        </is>
      </c>
      <c r="D3036" s="35">
        <f>INDEX(Inputs!$U$5:$U$132,MATCH($B3036&amp;"|"&amp;$C3036,Inputs!$A$5:$A$132,0))</f>
        <v/>
      </c>
      <c r="E3036" s="39" t="n"/>
      <c r="F3036" s="39" t="n"/>
      <c r="G3036" s="39" t="n"/>
      <c r="H3036" s="14">
        <f>INDEX(VarLab,MATCH($A3036,VarKey,0))&amp;INDEX(MemLab,MATCH($C3036&amp;"|"&amp;$B3036,MemKey,0))</f>
        <v/>
      </c>
      <c r="I3036" s="14">
        <f>INDEX(VarUnit,MATCH($A3036,VarKey,0))</f>
        <v/>
      </c>
      <c r="J3036" s="14">
        <f>INDEX(VarSrc,MATCH($A3036,VarKey,0))</f>
        <v/>
      </c>
      <c r="K3036" s="11">
        <f>CodePrefix&amp;$A3036&amp;IF($C3036="","","."&amp;$C3036&amp;"."&amp;$B3036)&amp;INDEX(VarEnd,MATCH($A3036,VarKey,0))&amp;K$5</f>
        <v/>
      </c>
      <c r="L3036" s="43">
        <f>L3009*Settings!$C$13*(INDEX(L$420:L$431,$D3036))</f>
        <v/>
      </c>
      <c r="M3036" s="44">
        <f>M3009*Settings!$C$13*(INDEX(M$420:M$431,$D3036))</f>
        <v/>
      </c>
      <c r="N3036" s="44">
        <f>N3009*Settings!$C$13*(INDEX(N$420:N$431,$D3036))</f>
        <v/>
      </c>
      <c r="O3036" s="44">
        <f>O3009*Settings!$C$13*(INDEX(O$420:O$431,$D3036))</f>
        <v/>
      </c>
      <c r="P3036" s="44">
        <f>P3009*Settings!$C$13*(INDEX(P$420:P$431,$D3036))</f>
        <v/>
      </c>
      <c r="Q3036" s="44">
        <f>Q3009*Settings!$C$13*(INDEX(Q$420:Q$431,$D3036))</f>
        <v/>
      </c>
      <c r="R3036" s="44">
        <f>R3009*Settings!$C$13*(INDEX(R$420:R$431,$D3036))</f>
        <v/>
      </c>
      <c r="S3036" s="44">
        <f>S3009*Settings!$C$13*(INDEX(S$420:S$431,$D3036))</f>
        <v/>
      </c>
      <c r="T3036" s="44">
        <f>T3009*Settings!$C$13*(INDEX(T$420:T$431,$D3036))</f>
        <v/>
      </c>
      <c r="U3036" s="44">
        <f>U3009*Settings!$C$13*(INDEX(U$420:U$431,$D3036))</f>
        <v/>
      </c>
      <c r="V3036" s="44">
        <f>V3009*Settings!$C$13*(INDEX(V$420:V$431,$D3036))</f>
        <v/>
      </c>
      <c r="W3036" s="44">
        <f>W3009*Settings!$C$13*(INDEX(W$420:W$431,$D3036))</f>
        <v/>
      </c>
      <c r="X3036" s="44">
        <f>X3009*Settings!$C$13*(INDEX(X$420:X$431,$D3036))</f>
        <v/>
      </c>
      <c r="Y3036" s="44">
        <f>Y3009*Settings!$C$13*(INDEX(Y$420:Y$431,$D3036))</f>
        <v/>
      </c>
      <c r="Z3036" s="44">
        <f>Z3009*Settings!$C$13*(INDEX(Z$420:Z$431,$D3036))</f>
        <v/>
      </c>
      <c r="AA3036" s="44">
        <f>AA3009*Settings!$C$13*(INDEX(AA$420:AA$431,$D3036))</f>
        <v/>
      </c>
      <c r="AB3036" s="44">
        <f>AB3009*Settings!$C$13*(INDEX(AB$420:AB$431,$D3036))</f>
        <v/>
      </c>
      <c r="AC3036" s="44">
        <f>AC3009*Settings!$C$13*(INDEX(AC$420:AC$431,$D3036))</f>
        <v/>
      </c>
      <c r="AD3036" s="44">
        <f>AD3009*Settings!$C$13*(INDEX(AD$420:AD$431,$D3036))</f>
        <v/>
      </c>
      <c r="AE3036" s="57">
        <f>REVENUE(AE3009,Settings!$C$13,INDEX(AE$420:AE$431,$D3036))</f>
        <v/>
      </c>
      <c r="AG3036" s="11">
        <f>CodePrefix&amp;$A3036&amp;IF($C3036="","","."&amp;$C3036&amp;"."&amp;$B3036)&amp;INDEX(VarEnd,MATCH($A3036,VarKey,0))&amp;AG$5</f>
        <v/>
      </c>
      <c r="AH3036" s="43">
        <f>AH3009*Settings!$C$13*(INDEX(AH$420:AH$431,$D3036))</f>
        <v/>
      </c>
      <c r="AI3036" s="44">
        <f>AI3009*Settings!$C$13*(INDEX(AI$420:AI$431,$D3036))</f>
        <v/>
      </c>
      <c r="AJ3036" s="44">
        <f>AJ3009*Settings!$C$13*(INDEX(AJ$420:AJ$431,$D3036))</f>
        <v/>
      </c>
      <c r="AK3036" s="44">
        <f>AK3009*Settings!$C$13*(INDEX(AK$420:AK$431,$D3036))</f>
        <v/>
      </c>
      <c r="AL3036" s="44">
        <f>AL3009*Settings!$C$13*(INDEX(AL$420:AL$431,$D3036))</f>
        <v/>
      </c>
      <c r="AM3036" s="44">
        <f>AM3009*Settings!$C$13*(INDEX(AM$420:AM$431,$D3036))</f>
        <v/>
      </c>
      <c r="AN3036" s="44">
        <f>AN3009*Settings!$C$13*(INDEX(AN$420:AN$431,$D3036))</f>
        <v/>
      </c>
      <c r="AO3036" s="44">
        <f>AO3009*Settings!$C$13*(INDEX(AO$420:AO$431,$D3036))</f>
        <v/>
      </c>
      <c r="AP3036" s="44">
        <f>AP3009*Settings!$C$13*(INDEX(AP$420:AP$431,$D3036))</f>
        <v/>
      </c>
      <c r="AQ3036" s="44">
        <f>AQ3009*Settings!$C$13*(INDEX(AQ$420:AQ$431,$D3036))</f>
        <v/>
      </c>
      <c r="AR3036" s="44">
        <f>AR3009*Settings!$C$13*(INDEX(AR$420:AR$431,$D3036))</f>
        <v/>
      </c>
      <c r="AS3036" s="44">
        <f>AS3009*Settings!$C$13*(INDEX(AS$420:AS$431,$D3036))</f>
        <v/>
      </c>
      <c r="AT3036" s="44">
        <f>AT3009*Settings!$C$13*(INDEX(AT$420:AT$431,$D3036))</f>
        <v/>
      </c>
      <c r="AU3036" s="44">
        <f>AU3009*Settings!$C$13*(INDEX(AU$420:AU$431,$D3036))</f>
        <v/>
      </c>
      <c r="AV3036" s="44">
        <f>AV3009*Settings!$C$13*(INDEX(AV$420:AV$431,$D3036))</f>
        <v/>
      </c>
      <c r="AW3036" s="44">
        <f>AW3009*Settings!$C$13*(INDEX(AW$420:AW$431,$D3036))</f>
        <v/>
      </c>
      <c r="AX3036" s="44">
        <f>AX3009*Settings!$C$13*(INDEX(AX$420:AX$431,$D3036))</f>
        <v/>
      </c>
      <c r="AY3036" s="44">
        <f>AY3009*Settings!$C$13*(INDEX(AY$420:AY$431,$D3036))</f>
        <v/>
      </c>
      <c r="AZ3036" s="44">
        <f>AZ3009*Settings!$C$13*(INDEX(AZ$420:AZ$431,$D3036))</f>
        <v/>
      </c>
      <c r="BA3036" s="57">
        <f>REVENUE(BA3009,Settings!$C$13,INDEX(BA$420:BA$431,$D3036))</f>
        <v/>
      </c>
    </row>
    <row r="3037" hidden="1" outlineLevel="2">
      <c r="A3037" s="14" t="inlineStr">
        <is>
          <t>rsub</t>
        </is>
      </c>
      <c r="B3037" s="14" t="inlineStr">
        <is>
          <t>gso</t>
        </is>
      </c>
      <c r="C3037" s="14" t="inlineStr">
        <is>
          <t>oen</t>
        </is>
      </c>
      <c r="D3037" s="35">
        <f>INDEX(Inputs!$U$5:$U$132,MATCH($B3037&amp;"|"&amp;$C3037,Inputs!$A$5:$A$132,0))</f>
        <v/>
      </c>
      <c r="E3037" s="39" t="n"/>
      <c r="F3037" s="39" t="n"/>
      <c r="G3037" s="39" t="n"/>
      <c r="H3037" s="14">
        <f>INDEX(VarLab,MATCH($A3037,VarKey,0))&amp;INDEX(MemLab,MATCH($C3037&amp;"|"&amp;$B3037,MemKey,0))</f>
        <v/>
      </c>
      <c r="I3037" s="14">
        <f>INDEX(VarUnit,MATCH($A3037,VarKey,0))</f>
        <v/>
      </c>
      <c r="J3037" s="14">
        <f>INDEX(VarSrc,MATCH($A3037,VarKey,0))</f>
        <v/>
      </c>
      <c r="K3037" s="11">
        <f>CodePrefix&amp;$A3037&amp;IF($C3037="","","."&amp;$C3037&amp;"."&amp;$B3037)&amp;INDEX(VarEnd,MATCH($A3037,VarKey,0))&amp;K$5</f>
        <v/>
      </c>
      <c r="L3037" s="43">
        <f>L3010*Settings!$C$13*(INDEX(L$420:L$431,$D3037))</f>
        <v/>
      </c>
      <c r="M3037" s="44">
        <f>M3010*Settings!$C$13*(INDEX(M$420:M$431,$D3037))</f>
        <v/>
      </c>
      <c r="N3037" s="44">
        <f>N3010*Settings!$C$13*(INDEX(N$420:N$431,$D3037))</f>
        <v/>
      </c>
      <c r="O3037" s="44">
        <f>O3010*Settings!$C$13*(INDEX(O$420:O$431,$D3037))</f>
        <v/>
      </c>
      <c r="P3037" s="44">
        <f>P3010*Settings!$C$13*(INDEX(P$420:P$431,$D3037))</f>
        <v/>
      </c>
      <c r="Q3037" s="44">
        <f>Q3010*Settings!$C$13*(INDEX(Q$420:Q$431,$D3037))</f>
        <v/>
      </c>
      <c r="R3037" s="44">
        <f>R3010*Settings!$C$13*(INDEX(R$420:R$431,$D3037))</f>
        <v/>
      </c>
      <c r="S3037" s="44">
        <f>S3010*Settings!$C$13*(INDEX(S$420:S$431,$D3037))</f>
        <v/>
      </c>
      <c r="T3037" s="44">
        <f>T3010*Settings!$C$13*(INDEX(T$420:T$431,$D3037))</f>
        <v/>
      </c>
      <c r="U3037" s="44">
        <f>U3010*Settings!$C$13*(INDEX(U$420:U$431,$D3037))</f>
        <v/>
      </c>
      <c r="V3037" s="44">
        <f>V3010*Settings!$C$13*(INDEX(V$420:V$431,$D3037))</f>
        <v/>
      </c>
      <c r="W3037" s="44">
        <f>W3010*Settings!$C$13*(INDEX(W$420:W$431,$D3037))</f>
        <v/>
      </c>
      <c r="X3037" s="44">
        <f>X3010*Settings!$C$13*(INDEX(X$420:X$431,$D3037))</f>
        <v/>
      </c>
      <c r="Y3037" s="44">
        <f>Y3010*Settings!$C$13*(INDEX(Y$420:Y$431,$D3037))</f>
        <v/>
      </c>
      <c r="Z3037" s="44">
        <f>Z3010*Settings!$C$13*(INDEX(Z$420:Z$431,$D3037))</f>
        <v/>
      </c>
      <c r="AA3037" s="44">
        <f>AA3010*Settings!$C$13*(INDEX(AA$420:AA$431,$D3037))</f>
        <v/>
      </c>
      <c r="AB3037" s="44">
        <f>AB3010*Settings!$C$13*(INDEX(AB$420:AB$431,$D3037))</f>
        <v/>
      </c>
      <c r="AC3037" s="44">
        <f>AC3010*Settings!$C$13*(INDEX(AC$420:AC$431,$D3037))</f>
        <v/>
      </c>
      <c r="AD3037" s="44">
        <f>AD3010*Settings!$C$13*(INDEX(AD$420:AD$431,$D3037))</f>
        <v/>
      </c>
      <c r="AE3037" s="57">
        <f>REVENUE(AE3010,Settings!$C$13,INDEX(AE$420:AE$431,$D3037))</f>
        <v/>
      </c>
      <c r="AG3037" s="11">
        <f>CodePrefix&amp;$A3037&amp;IF($C3037="","","."&amp;$C3037&amp;"."&amp;$B3037)&amp;INDEX(VarEnd,MATCH($A3037,VarKey,0))&amp;AG$5</f>
        <v/>
      </c>
      <c r="AH3037" s="43">
        <f>AH3010*Settings!$C$13*(INDEX(AH$420:AH$431,$D3037))</f>
        <v/>
      </c>
      <c r="AI3037" s="44">
        <f>AI3010*Settings!$C$13*(INDEX(AI$420:AI$431,$D3037))</f>
        <v/>
      </c>
      <c r="AJ3037" s="44">
        <f>AJ3010*Settings!$C$13*(INDEX(AJ$420:AJ$431,$D3037))</f>
        <v/>
      </c>
      <c r="AK3037" s="44">
        <f>AK3010*Settings!$C$13*(INDEX(AK$420:AK$431,$D3037))</f>
        <v/>
      </c>
      <c r="AL3037" s="44">
        <f>AL3010*Settings!$C$13*(INDEX(AL$420:AL$431,$D3037))</f>
        <v/>
      </c>
      <c r="AM3037" s="44">
        <f>AM3010*Settings!$C$13*(INDEX(AM$420:AM$431,$D3037))</f>
        <v/>
      </c>
      <c r="AN3037" s="44">
        <f>AN3010*Settings!$C$13*(INDEX(AN$420:AN$431,$D3037))</f>
        <v/>
      </c>
      <c r="AO3037" s="44">
        <f>AO3010*Settings!$C$13*(INDEX(AO$420:AO$431,$D3037))</f>
        <v/>
      </c>
      <c r="AP3037" s="44">
        <f>AP3010*Settings!$C$13*(INDEX(AP$420:AP$431,$D3037))</f>
        <v/>
      </c>
      <c r="AQ3037" s="44">
        <f>AQ3010*Settings!$C$13*(INDEX(AQ$420:AQ$431,$D3037))</f>
        <v/>
      </c>
      <c r="AR3037" s="44">
        <f>AR3010*Settings!$C$13*(INDEX(AR$420:AR$431,$D3037))</f>
        <v/>
      </c>
      <c r="AS3037" s="44">
        <f>AS3010*Settings!$C$13*(INDEX(AS$420:AS$431,$D3037))</f>
        <v/>
      </c>
      <c r="AT3037" s="44">
        <f>AT3010*Settings!$C$13*(INDEX(AT$420:AT$431,$D3037))</f>
        <v/>
      </c>
      <c r="AU3037" s="44">
        <f>AU3010*Settings!$C$13*(INDEX(AU$420:AU$431,$D3037))</f>
        <v/>
      </c>
      <c r="AV3037" s="44">
        <f>AV3010*Settings!$C$13*(INDEX(AV$420:AV$431,$D3037))</f>
        <v/>
      </c>
      <c r="AW3037" s="44">
        <f>AW3010*Settings!$C$13*(INDEX(AW$420:AW$431,$D3037))</f>
        <v/>
      </c>
      <c r="AX3037" s="44">
        <f>AX3010*Settings!$C$13*(INDEX(AX$420:AX$431,$D3037))</f>
        <v/>
      </c>
      <c r="AY3037" s="44">
        <f>AY3010*Settings!$C$13*(INDEX(AY$420:AY$431,$D3037))</f>
        <v/>
      </c>
      <c r="AZ3037" s="44">
        <f>AZ3010*Settings!$C$13*(INDEX(AZ$420:AZ$431,$D3037))</f>
        <v/>
      </c>
      <c r="BA3037" s="57">
        <f>REVENUE(BA3010,Settings!$C$13,INDEX(BA$420:BA$431,$D3037))</f>
        <v/>
      </c>
    </row>
    <row r="3038" hidden="1" outlineLevel="2">
      <c r="A3038" s="14" t="inlineStr">
        <is>
          <t>rsub</t>
        </is>
      </c>
      <c r="B3038" s="14" t="inlineStr">
        <is>
          <t>die</t>
        </is>
      </c>
      <c r="C3038" s="14" t="inlineStr">
        <is>
          <t>oen</t>
        </is>
      </c>
      <c r="D3038" s="35">
        <f>INDEX(Inputs!$U$5:$U$132,MATCH($B3038&amp;"|"&amp;$C3038,Inputs!$A$5:$A$132,0))</f>
        <v/>
      </c>
      <c r="E3038" s="39" t="n"/>
      <c r="F3038" s="39" t="n"/>
      <c r="G3038" s="39" t="n"/>
      <c r="H3038" s="14">
        <f>INDEX(VarLab,MATCH($A3038,VarKey,0))&amp;INDEX(MemLab,MATCH($C3038&amp;"|"&amp;$B3038,MemKey,0))</f>
        <v/>
      </c>
      <c r="I3038" s="14">
        <f>INDEX(VarUnit,MATCH($A3038,VarKey,0))</f>
        <v/>
      </c>
      <c r="J3038" s="14">
        <f>INDEX(VarSrc,MATCH($A3038,VarKey,0))</f>
        <v/>
      </c>
      <c r="K3038" s="11">
        <f>CodePrefix&amp;$A3038&amp;IF($C3038="","","."&amp;$C3038&amp;"."&amp;$B3038)&amp;INDEX(VarEnd,MATCH($A3038,VarKey,0))&amp;K$5</f>
        <v/>
      </c>
      <c r="L3038" s="43">
        <f>L3011*Settings!$C$13*(INDEX(L$420:L$431,$D3038))</f>
        <v/>
      </c>
      <c r="M3038" s="44">
        <f>M3011*Settings!$C$13*(INDEX(M$420:M$431,$D3038))</f>
        <v/>
      </c>
      <c r="N3038" s="44">
        <f>N3011*Settings!$C$13*(INDEX(N$420:N$431,$D3038))</f>
        <v/>
      </c>
      <c r="O3038" s="44">
        <f>O3011*Settings!$C$13*(INDEX(O$420:O$431,$D3038))</f>
        <v/>
      </c>
      <c r="P3038" s="44">
        <f>P3011*Settings!$C$13*(INDEX(P$420:P$431,$D3038))</f>
        <v/>
      </c>
      <c r="Q3038" s="44">
        <f>Q3011*Settings!$C$13*(INDEX(Q$420:Q$431,$D3038))</f>
        <v/>
      </c>
      <c r="R3038" s="44">
        <f>R3011*Settings!$C$13*(INDEX(R$420:R$431,$D3038))</f>
        <v/>
      </c>
      <c r="S3038" s="44">
        <f>S3011*Settings!$C$13*(INDEX(S$420:S$431,$D3038))</f>
        <v/>
      </c>
      <c r="T3038" s="44">
        <f>T3011*Settings!$C$13*(INDEX(T$420:T$431,$D3038))</f>
        <v/>
      </c>
      <c r="U3038" s="44">
        <f>U3011*Settings!$C$13*(INDEX(U$420:U$431,$D3038))</f>
        <v/>
      </c>
      <c r="V3038" s="44">
        <f>V3011*Settings!$C$13*(INDEX(V$420:V$431,$D3038))</f>
        <v/>
      </c>
      <c r="W3038" s="44">
        <f>W3011*Settings!$C$13*(INDEX(W$420:W$431,$D3038))</f>
        <v/>
      </c>
      <c r="X3038" s="44">
        <f>X3011*Settings!$C$13*(INDEX(X$420:X$431,$D3038))</f>
        <v/>
      </c>
      <c r="Y3038" s="44">
        <f>Y3011*Settings!$C$13*(INDEX(Y$420:Y$431,$D3038))</f>
        <v/>
      </c>
      <c r="Z3038" s="44">
        <f>Z3011*Settings!$C$13*(INDEX(Z$420:Z$431,$D3038))</f>
        <v/>
      </c>
      <c r="AA3038" s="44">
        <f>AA3011*Settings!$C$13*(INDEX(AA$420:AA$431,$D3038))</f>
        <v/>
      </c>
      <c r="AB3038" s="44">
        <f>AB3011*Settings!$C$13*(INDEX(AB$420:AB$431,$D3038))</f>
        <v/>
      </c>
      <c r="AC3038" s="44">
        <f>AC3011*Settings!$C$13*(INDEX(AC$420:AC$431,$D3038))</f>
        <v/>
      </c>
      <c r="AD3038" s="44">
        <f>AD3011*Settings!$C$13*(INDEX(AD$420:AD$431,$D3038))</f>
        <v/>
      </c>
      <c r="AE3038" s="57">
        <f>REVENUE(AE3011,Settings!$C$13,INDEX(AE$420:AE$431,$D3038))</f>
        <v/>
      </c>
      <c r="AG3038" s="11">
        <f>CodePrefix&amp;$A3038&amp;IF($C3038="","","."&amp;$C3038&amp;"."&amp;$B3038)&amp;INDEX(VarEnd,MATCH($A3038,VarKey,0))&amp;AG$5</f>
        <v/>
      </c>
      <c r="AH3038" s="43">
        <f>AH3011*Settings!$C$13*(INDEX(AH$420:AH$431,$D3038))</f>
        <v/>
      </c>
      <c r="AI3038" s="44">
        <f>AI3011*Settings!$C$13*(INDEX(AI$420:AI$431,$D3038))</f>
        <v/>
      </c>
      <c r="AJ3038" s="44">
        <f>AJ3011*Settings!$C$13*(INDEX(AJ$420:AJ$431,$D3038))</f>
        <v/>
      </c>
      <c r="AK3038" s="44">
        <f>AK3011*Settings!$C$13*(INDEX(AK$420:AK$431,$D3038))</f>
        <v/>
      </c>
      <c r="AL3038" s="44">
        <f>AL3011*Settings!$C$13*(INDEX(AL$420:AL$431,$D3038))</f>
        <v/>
      </c>
      <c r="AM3038" s="44">
        <f>AM3011*Settings!$C$13*(INDEX(AM$420:AM$431,$D3038))</f>
        <v/>
      </c>
      <c r="AN3038" s="44">
        <f>AN3011*Settings!$C$13*(INDEX(AN$420:AN$431,$D3038))</f>
        <v/>
      </c>
      <c r="AO3038" s="44">
        <f>AO3011*Settings!$C$13*(INDEX(AO$420:AO$431,$D3038))</f>
        <v/>
      </c>
      <c r="AP3038" s="44">
        <f>AP3011*Settings!$C$13*(INDEX(AP$420:AP$431,$D3038))</f>
        <v/>
      </c>
      <c r="AQ3038" s="44">
        <f>AQ3011*Settings!$C$13*(INDEX(AQ$420:AQ$431,$D3038))</f>
        <v/>
      </c>
      <c r="AR3038" s="44">
        <f>AR3011*Settings!$C$13*(INDEX(AR$420:AR$431,$D3038))</f>
        <v/>
      </c>
      <c r="AS3038" s="44">
        <f>AS3011*Settings!$C$13*(INDEX(AS$420:AS$431,$D3038))</f>
        <v/>
      </c>
      <c r="AT3038" s="44">
        <f>AT3011*Settings!$C$13*(INDEX(AT$420:AT$431,$D3038))</f>
        <v/>
      </c>
      <c r="AU3038" s="44">
        <f>AU3011*Settings!$C$13*(INDEX(AU$420:AU$431,$D3038))</f>
        <v/>
      </c>
      <c r="AV3038" s="44">
        <f>AV3011*Settings!$C$13*(INDEX(AV$420:AV$431,$D3038))</f>
        <v/>
      </c>
      <c r="AW3038" s="44">
        <f>AW3011*Settings!$C$13*(INDEX(AW$420:AW$431,$D3038))</f>
        <v/>
      </c>
      <c r="AX3038" s="44">
        <f>AX3011*Settings!$C$13*(INDEX(AX$420:AX$431,$D3038))</f>
        <v/>
      </c>
      <c r="AY3038" s="44">
        <f>AY3011*Settings!$C$13*(INDEX(AY$420:AY$431,$D3038))</f>
        <v/>
      </c>
      <c r="AZ3038" s="44">
        <f>AZ3011*Settings!$C$13*(INDEX(AZ$420:AZ$431,$D3038))</f>
        <v/>
      </c>
      <c r="BA3038" s="57">
        <f>REVENUE(BA3011,Settings!$C$13,INDEX(BA$420:BA$431,$D3038))</f>
        <v/>
      </c>
    </row>
    <row r="3039" hidden="1" outlineLevel="2">
      <c r="A3039" s="14" t="inlineStr">
        <is>
          <t>rsub</t>
        </is>
      </c>
      <c r="B3039" s="14" t="inlineStr">
        <is>
          <t>lpg</t>
        </is>
      </c>
      <c r="C3039" s="14" t="inlineStr">
        <is>
          <t>oen</t>
        </is>
      </c>
      <c r="D3039" s="35">
        <f>INDEX(Inputs!$U$5:$U$132,MATCH($B3039&amp;"|"&amp;$C3039,Inputs!$A$5:$A$132,0))</f>
        <v/>
      </c>
      <c r="E3039" s="39" t="n"/>
      <c r="F3039" s="39" t="n"/>
      <c r="G3039" s="39" t="n"/>
      <c r="H3039" s="14">
        <f>INDEX(VarLab,MATCH($A3039,VarKey,0))&amp;INDEX(MemLab,MATCH($C3039&amp;"|"&amp;$B3039,MemKey,0))</f>
        <v/>
      </c>
      <c r="I3039" s="14">
        <f>INDEX(VarUnit,MATCH($A3039,VarKey,0))</f>
        <v/>
      </c>
      <c r="J3039" s="14">
        <f>INDEX(VarSrc,MATCH($A3039,VarKey,0))</f>
        <v/>
      </c>
      <c r="K3039" s="11">
        <f>CodePrefix&amp;$A3039&amp;IF($C3039="","","."&amp;$C3039&amp;"."&amp;$B3039)&amp;INDEX(VarEnd,MATCH($A3039,VarKey,0))&amp;K$5</f>
        <v/>
      </c>
      <c r="L3039" s="43">
        <f>L3012*Settings!$C$13*(INDEX(L$420:L$431,$D3039))</f>
        <v/>
      </c>
      <c r="M3039" s="44">
        <f>M3012*Settings!$C$13*(INDEX(M$420:M$431,$D3039))</f>
        <v/>
      </c>
      <c r="N3039" s="44">
        <f>N3012*Settings!$C$13*(INDEX(N$420:N$431,$D3039))</f>
        <v/>
      </c>
      <c r="O3039" s="44">
        <f>O3012*Settings!$C$13*(INDEX(O$420:O$431,$D3039))</f>
        <v/>
      </c>
      <c r="P3039" s="44">
        <f>P3012*Settings!$C$13*(INDEX(P$420:P$431,$D3039))</f>
        <v/>
      </c>
      <c r="Q3039" s="44">
        <f>Q3012*Settings!$C$13*(INDEX(Q$420:Q$431,$D3039))</f>
        <v/>
      </c>
      <c r="R3039" s="44">
        <f>R3012*Settings!$C$13*(INDEX(R$420:R$431,$D3039))</f>
        <v/>
      </c>
      <c r="S3039" s="44">
        <f>S3012*Settings!$C$13*(INDEX(S$420:S$431,$D3039))</f>
        <v/>
      </c>
      <c r="T3039" s="44">
        <f>T3012*Settings!$C$13*(INDEX(T$420:T$431,$D3039))</f>
        <v/>
      </c>
      <c r="U3039" s="44">
        <f>U3012*Settings!$C$13*(INDEX(U$420:U$431,$D3039))</f>
        <v/>
      </c>
      <c r="V3039" s="44">
        <f>V3012*Settings!$C$13*(INDEX(V$420:V$431,$D3039))</f>
        <v/>
      </c>
      <c r="W3039" s="44">
        <f>W3012*Settings!$C$13*(INDEX(W$420:W$431,$D3039))</f>
        <v/>
      </c>
      <c r="X3039" s="44">
        <f>X3012*Settings!$C$13*(INDEX(X$420:X$431,$D3039))</f>
        <v/>
      </c>
      <c r="Y3039" s="44">
        <f>Y3012*Settings!$C$13*(INDEX(Y$420:Y$431,$D3039))</f>
        <v/>
      </c>
      <c r="Z3039" s="44">
        <f>Z3012*Settings!$C$13*(INDEX(Z$420:Z$431,$D3039))</f>
        <v/>
      </c>
      <c r="AA3039" s="44">
        <f>AA3012*Settings!$C$13*(INDEX(AA$420:AA$431,$D3039))</f>
        <v/>
      </c>
      <c r="AB3039" s="44">
        <f>AB3012*Settings!$C$13*(INDEX(AB$420:AB$431,$D3039))</f>
        <v/>
      </c>
      <c r="AC3039" s="44">
        <f>AC3012*Settings!$C$13*(INDEX(AC$420:AC$431,$D3039))</f>
        <v/>
      </c>
      <c r="AD3039" s="44">
        <f>AD3012*Settings!$C$13*(INDEX(AD$420:AD$431,$D3039))</f>
        <v/>
      </c>
      <c r="AE3039" s="57">
        <f>REVENUE(AE3012,Settings!$C$13,INDEX(AE$420:AE$431,$D3039))</f>
        <v/>
      </c>
      <c r="AG3039" s="11">
        <f>CodePrefix&amp;$A3039&amp;IF($C3039="","","."&amp;$C3039&amp;"."&amp;$B3039)&amp;INDEX(VarEnd,MATCH($A3039,VarKey,0))&amp;AG$5</f>
        <v/>
      </c>
      <c r="AH3039" s="43">
        <f>AH3012*Settings!$C$13*(INDEX(AH$420:AH$431,$D3039))</f>
        <v/>
      </c>
      <c r="AI3039" s="44">
        <f>AI3012*Settings!$C$13*(INDEX(AI$420:AI$431,$D3039))</f>
        <v/>
      </c>
      <c r="AJ3039" s="44">
        <f>AJ3012*Settings!$C$13*(INDEX(AJ$420:AJ$431,$D3039))</f>
        <v/>
      </c>
      <c r="AK3039" s="44">
        <f>AK3012*Settings!$C$13*(INDEX(AK$420:AK$431,$D3039))</f>
        <v/>
      </c>
      <c r="AL3039" s="44">
        <f>AL3012*Settings!$C$13*(INDEX(AL$420:AL$431,$D3039))</f>
        <v/>
      </c>
      <c r="AM3039" s="44">
        <f>AM3012*Settings!$C$13*(INDEX(AM$420:AM$431,$D3039))</f>
        <v/>
      </c>
      <c r="AN3039" s="44">
        <f>AN3012*Settings!$C$13*(INDEX(AN$420:AN$431,$D3039))</f>
        <v/>
      </c>
      <c r="AO3039" s="44">
        <f>AO3012*Settings!$C$13*(INDEX(AO$420:AO$431,$D3039))</f>
        <v/>
      </c>
      <c r="AP3039" s="44">
        <f>AP3012*Settings!$C$13*(INDEX(AP$420:AP$431,$D3039))</f>
        <v/>
      </c>
      <c r="AQ3039" s="44">
        <f>AQ3012*Settings!$C$13*(INDEX(AQ$420:AQ$431,$D3039))</f>
        <v/>
      </c>
      <c r="AR3039" s="44">
        <f>AR3012*Settings!$C$13*(INDEX(AR$420:AR$431,$D3039))</f>
        <v/>
      </c>
      <c r="AS3039" s="44">
        <f>AS3012*Settings!$C$13*(INDEX(AS$420:AS$431,$D3039))</f>
        <v/>
      </c>
      <c r="AT3039" s="44">
        <f>AT3012*Settings!$C$13*(INDEX(AT$420:AT$431,$D3039))</f>
        <v/>
      </c>
      <c r="AU3039" s="44">
        <f>AU3012*Settings!$C$13*(INDEX(AU$420:AU$431,$D3039))</f>
        <v/>
      </c>
      <c r="AV3039" s="44">
        <f>AV3012*Settings!$C$13*(INDEX(AV$420:AV$431,$D3039))</f>
        <v/>
      </c>
      <c r="AW3039" s="44">
        <f>AW3012*Settings!$C$13*(INDEX(AW$420:AW$431,$D3039))</f>
        <v/>
      </c>
      <c r="AX3039" s="44">
        <f>AX3012*Settings!$C$13*(INDEX(AX$420:AX$431,$D3039))</f>
        <v/>
      </c>
      <c r="AY3039" s="44">
        <f>AY3012*Settings!$C$13*(INDEX(AY$420:AY$431,$D3039))</f>
        <v/>
      </c>
      <c r="AZ3039" s="44">
        <f>AZ3012*Settings!$C$13*(INDEX(AZ$420:AZ$431,$D3039))</f>
        <v/>
      </c>
      <c r="BA3039" s="57">
        <f>REVENUE(BA3012,Settings!$C$13,INDEX(BA$420:BA$431,$D3039))</f>
        <v/>
      </c>
    </row>
    <row r="3040" hidden="1" outlineLevel="2">
      <c r="A3040" s="14" t="inlineStr">
        <is>
          <t>rsub</t>
        </is>
      </c>
      <c r="B3040" s="14" t="inlineStr">
        <is>
          <t>ker</t>
        </is>
      </c>
      <c r="C3040" s="14" t="inlineStr">
        <is>
          <t>oen</t>
        </is>
      </c>
      <c r="D3040" s="35">
        <f>INDEX(Inputs!$U$5:$U$132,MATCH($B3040&amp;"|"&amp;$C3040,Inputs!$A$5:$A$132,0))</f>
        <v/>
      </c>
      <c r="E3040" s="39" t="n"/>
      <c r="F3040" s="39" t="n"/>
      <c r="G3040" s="39" t="n"/>
      <c r="H3040" s="14">
        <f>INDEX(VarLab,MATCH($A3040,VarKey,0))&amp;INDEX(MemLab,MATCH($C3040&amp;"|"&amp;$B3040,MemKey,0))</f>
        <v/>
      </c>
      <c r="I3040" s="14">
        <f>INDEX(VarUnit,MATCH($A3040,VarKey,0))</f>
        <v/>
      </c>
      <c r="J3040" s="14">
        <f>INDEX(VarSrc,MATCH($A3040,VarKey,0))</f>
        <v/>
      </c>
      <c r="K3040" s="11">
        <f>CodePrefix&amp;$A3040&amp;IF($C3040="","","."&amp;$C3040&amp;"."&amp;$B3040)&amp;INDEX(VarEnd,MATCH($A3040,VarKey,0))&amp;K$5</f>
        <v/>
      </c>
      <c r="L3040" s="43">
        <f>L3013*Settings!$C$13*(INDEX(L$420:L$431,$D3040))</f>
        <v/>
      </c>
      <c r="M3040" s="44">
        <f>M3013*Settings!$C$13*(INDEX(M$420:M$431,$D3040))</f>
        <v/>
      </c>
      <c r="N3040" s="44">
        <f>N3013*Settings!$C$13*(INDEX(N$420:N$431,$D3040))</f>
        <v/>
      </c>
      <c r="O3040" s="44">
        <f>O3013*Settings!$C$13*(INDEX(O$420:O$431,$D3040))</f>
        <v/>
      </c>
      <c r="P3040" s="44">
        <f>P3013*Settings!$C$13*(INDEX(P$420:P$431,$D3040))</f>
        <v/>
      </c>
      <c r="Q3040" s="44">
        <f>Q3013*Settings!$C$13*(INDEX(Q$420:Q$431,$D3040))</f>
        <v/>
      </c>
      <c r="R3040" s="44">
        <f>R3013*Settings!$C$13*(INDEX(R$420:R$431,$D3040))</f>
        <v/>
      </c>
      <c r="S3040" s="44">
        <f>S3013*Settings!$C$13*(INDEX(S$420:S$431,$D3040))</f>
        <v/>
      </c>
      <c r="T3040" s="44">
        <f>T3013*Settings!$C$13*(INDEX(T$420:T$431,$D3040))</f>
        <v/>
      </c>
      <c r="U3040" s="44">
        <f>U3013*Settings!$C$13*(INDEX(U$420:U$431,$D3040))</f>
        <v/>
      </c>
      <c r="V3040" s="44">
        <f>V3013*Settings!$C$13*(INDEX(V$420:V$431,$D3040))</f>
        <v/>
      </c>
      <c r="W3040" s="44">
        <f>W3013*Settings!$C$13*(INDEX(W$420:W$431,$D3040))</f>
        <v/>
      </c>
      <c r="X3040" s="44">
        <f>X3013*Settings!$C$13*(INDEX(X$420:X$431,$D3040))</f>
        <v/>
      </c>
      <c r="Y3040" s="44">
        <f>Y3013*Settings!$C$13*(INDEX(Y$420:Y$431,$D3040))</f>
        <v/>
      </c>
      <c r="Z3040" s="44">
        <f>Z3013*Settings!$C$13*(INDEX(Z$420:Z$431,$D3040))</f>
        <v/>
      </c>
      <c r="AA3040" s="44">
        <f>AA3013*Settings!$C$13*(INDEX(AA$420:AA$431,$D3040))</f>
        <v/>
      </c>
      <c r="AB3040" s="44">
        <f>AB3013*Settings!$C$13*(INDEX(AB$420:AB$431,$D3040))</f>
        <v/>
      </c>
      <c r="AC3040" s="44">
        <f>AC3013*Settings!$C$13*(INDEX(AC$420:AC$431,$D3040))</f>
        <v/>
      </c>
      <c r="AD3040" s="44">
        <f>AD3013*Settings!$C$13*(INDEX(AD$420:AD$431,$D3040))</f>
        <v/>
      </c>
      <c r="AE3040" s="57">
        <f>REVENUE(AE3013,Settings!$C$13,INDEX(AE$420:AE$431,$D3040))</f>
        <v/>
      </c>
      <c r="AG3040" s="11">
        <f>CodePrefix&amp;$A3040&amp;IF($C3040="","","."&amp;$C3040&amp;"."&amp;$B3040)&amp;INDEX(VarEnd,MATCH($A3040,VarKey,0))&amp;AG$5</f>
        <v/>
      </c>
      <c r="AH3040" s="43">
        <f>AH3013*Settings!$C$13*(INDEX(AH$420:AH$431,$D3040))</f>
        <v/>
      </c>
      <c r="AI3040" s="44">
        <f>AI3013*Settings!$C$13*(INDEX(AI$420:AI$431,$D3040))</f>
        <v/>
      </c>
      <c r="AJ3040" s="44">
        <f>AJ3013*Settings!$C$13*(INDEX(AJ$420:AJ$431,$D3040))</f>
        <v/>
      </c>
      <c r="AK3040" s="44">
        <f>AK3013*Settings!$C$13*(INDEX(AK$420:AK$431,$D3040))</f>
        <v/>
      </c>
      <c r="AL3040" s="44">
        <f>AL3013*Settings!$C$13*(INDEX(AL$420:AL$431,$D3040))</f>
        <v/>
      </c>
      <c r="AM3040" s="44">
        <f>AM3013*Settings!$C$13*(INDEX(AM$420:AM$431,$D3040))</f>
        <v/>
      </c>
      <c r="AN3040" s="44">
        <f>AN3013*Settings!$C$13*(INDEX(AN$420:AN$431,$D3040))</f>
        <v/>
      </c>
      <c r="AO3040" s="44">
        <f>AO3013*Settings!$C$13*(INDEX(AO$420:AO$431,$D3040))</f>
        <v/>
      </c>
      <c r="AP3040" s="44">
        <f>AP3013*Settings!$C$13*(INDEX(AP$420:AP$431,$D3040))</f>
        <v/>
      </c>
      <c r="AQ3040" s="44">
        <f>AQ3013*Settings!$C$13*(INDEX(AQ$420:AQ$431,$D3040))</f>
        <v/>
      </c>
      <c r="AR3040" s="44">
        <f>AR3013*Settings!$C$13*(INDEX(AR$420:AR$431,$D3040))</f>
        <v/>
      </c>
      <c r="AS3040" s="44">
        <f>AS3013*Settings!$C$13*(INDEX(AS$420:AS$431,$D3040))</f>
        <v/>
      </c>
      <c r="AT3040" s="44">
        <f>AT3013*Settings!$C$13*(INDEX(AT$420:AT$431,$D3040))</f>
        <v/>
      </c>
      <c r="AU3040" s="44">
        <f>AU3013*Settings!$C$13*(INDEX(AU$420:AU$431,$D3040))</f>
        <v/>
      </c>
      <c r="AV3040" s="44">
        <f>AV3013*Settings!$C$13*(INDEX(AV$420:AV$431,$D3040))</f>
        <v/>
      </c>
      <c r="AW3040" s="44">
        <f>AW3013*Settings!$C$13*(INDEX(AW$420:AW$431,$D3040))</f>
        <v/>
      </c>
      <c r="AX3040" s="44">
        <f>AX3013*Settings!$C$13*(INDEX(AX$420:AX$431,$D3040))</f>
        <v/>
      </c>
      <c r="AY3040" s="44">
        <f>AY3013*Settings!$C$13*(INDEX(AY$420:AY$431,$D3040))</f>
        <v/>
      </c>
      <c r="AZ3040" s="44">
        <f>AZ3013*Settings!$C$13*(INDEX(AZ$420:AZ$431,$D3040))</f>
        <v/>
      </c>
      <c r="BA3040" s="57">
        <f>REVENUE(BA3013,Settings!$C$13,INDEX(BA$420:BA$431,$D3040))</f>
        <v/>
      </c>
    </row>
    <row r="3041" hidden="1" outlineLevel="2">
      <c r="A3041" s="14" t="inlineStr">
        <is>
          <t>rsub</t>
        </is>
      </c>
      <c r="B3041" s="14" t="inlineStr">
        <is>
          <t>oop</t>
        </is>
      </c>
      <c r="C3041" s="14" t="inlineStr">
        <is>
          <t>oen</t>
        </is>
      </c>
      <c r="D3041" s="35">
        <f>INDEX(Inputs!$U$5:$U$132,MATCH($B3041&amp;"|"&amp;$C3041,Inputs!$A$5:$A$132,0))</f>
        <v/>
      </c>
      <c r="E3041" s="39" t="n"/>
      <c r="F3041" s="39" t="n"/>
      <c r="G3041" s="39" t="n"/>
      <c r="H3041" s="14">
        <f>INDEX(VarLab,MATCH($A3041,VarKey,0))&amp;INDEX(MemLab,MATCH($C3041&amp;"|"&amp;$B3041,MemKey,0))</f>
        <v/>
      </c>
      <c r="I3041" s="14">
        <f>INDEX(VarUnit,MATCH($A3041,VarKey,0))</f>
        <v/>
      </c>
      <c r="J3041" s="14">
        <f>INDEX(VarSrc,MATCH($A3041,VarKey,0))</f>
        <v/>
      </c>
      <c r="K3041" s="11">
        <f>CodePrefix&amp;$A3041&amp;IF($C3041="","","."&amp;$C3041&amp;"."&amp;$B3041)&amp;INDEX(VarEnd,MATCH($A3041,VarKey,0))&amp;K$5</f>
        <v/>
      </c>
      <c r="L3041" s="43">
        <f>L3014*Settings!$C$13*(INDEX(L$420:L$431,$D3041))</f>
        <v/>
      </c>
      <c r="M3041" s="44">
        <f>M3014*Settings!$C$13*(INDEX(M$420:M$431,$D3041))</f>
        <v/>
      </c>
      <c r="N3041" s="44">
        <f>N3014*Settings!$C$13*(INDEX(N$420:N$431,$D3041))</f>
        <v/>
      </c>
      <c r="O3041" s="44">
        <f>O3014*Settings!$C$13*(INDEX(O$420:O$431,$D3041))</f>
        <v/>
      </c>
      <c r="P3041" s="44">
        <f>P3014*Settings!$C$13*(INDEX(P$420:P$431,$D3041))</f>
        <v/>
      </c>
      <c r="Q3041" s="44">
        <f>Q3014*Settings!$C$13*(INDEX(Q$420:Q$431,$D3041))</f>
        <v/>
      </c>
      <c r="R3041" s="44">
        <f>R3014*Settings!$C$13*(INDEX(R$420:R$431,$D3041))</f>
        <v/>
      </c>
      <c r="S3041" s="44">
        <f>S3014*Settings!$C$13*(INDEX(S$420:S$431,$D3041))</f>
        <v/>
      </c>
      <c r="T3041" s="44">
        <f>T3014*Settings!$C$13*(INDEX(T$420:T$431,$D3041))</f>
        <v/>
      </c>
      <c r="U3041" s="44">
        <f>U3014*Settings!$C$13*(INDEX(U$420:U$431,$D3041))</f>
        <v/>
      </c>
      <c r="V3041" s="44">
        <f>V3014*Settings!$C$13*(INDEX(V$420:V$431,$D3041))</f>
        <v/>
      </c>
      <c r="W3041" s="44">
        <f>W3014*Settings!$C$13*(INDEX(W$420:W$431,$D3041))</f>
        <v/>
      </c>
      <c r="X3041" s="44">
        <f>X3014*Settings!$C$13*(INDEX(X$420:X$431,$D3041))</f>
        <v/>
      </c>
      <c r="Y3041" s="44">
        <f>Y3014*Settings!$C$13*(INDEX(Y$420:Y$431,$D3041))</f>
        <v/>
      </c>
      <c r="Z3041" s="44">
        <f>Z3014*Settings!$C$13*(INDEX(Z$420:Z$431,$D3041))</f>
        <v/>
      </c>
      <c r="AA3041" s="44">
        <f>AA3014*Settings!$C$13*(INDEX(AA$420:AA$431,$D3041))</f>
        <v/>
      </c>
      <c r="AB3041" s="44">
        <f>AB3014*Settings!$C$13*(INDEX(AB$420:AB$431,$D3041))</f>
        <v/>
      </c>
      <c r="AC3041" s="44">
        <f>AC3014*Settings!$C$13*(INDEX(AC$420:AC$431,$D3041))</f>
        <v/>
      </c>
      <c r="AD3041" s="44">
        <f>AD3014*Settings!$C$13*(INDEX(AD$420:AD$431,$D3041))</f>
        <v/>
      </c>
      <c r="AE3041" s="57">
        <f>REVENUE(AE3014,Settings!$C$13,INDEX(AE$420:AE$431,$D3041))</f>
        <v/>
      </c>
      <c r="AG3041" s="11">
        <f>CodePrefix&amp;$A3041&amp;IF($C3041="","","."&amp;$C3041&amp;"."&amp;$B3041)&amp;INDEX(VarEnd,MATCH($A3041,VarKey,0))&amp;AG$5</f>
        <v/>
      </c>
      <c r="AH3041" s="43">
        <f>AH3014*Settings!$C$13*(INDEX(AH$420:AH$431,$D3041))</f>
        <v/>
      </c>
      <c r="AI3041" s="44">
        <f>AI3014*Settings!$C$13*(INDEX(AI$420:AI$431,$D3041))</f>
        <v/>
      </c>
      <c r="AJ3041" s="44">
        <f>AJ3014*Settings!$C$13*(INDEX(AJ$420:AJ$431,$D3041))</f>
        <v/>
      </c>
      <c r="AK3041" s="44">
        <f>AK3014*Settings!$C$13*(INDEX(AK$420:AK$431,$D3041))</f>
        <v/>
      </c>
      <c r="AL3041" s="44">
        <f>AL3014*Settings!$C$13*(INDEX(AL$420:AL$431,$D3041))</f>
        <v/>
      </c>
      <c r="AM3041" s="44">
        <f>AM3014*Settings!$C$13*(INDEX(AM$420:AM$431,$D3041))</f>
        <v/>
      </c>
      <c r="AN3041" s="44">
        <f>AN3014*Settings!$C$13*(INDEX(AN$420:AN$431,$D3041))</f>
        <v/>
      </c>
      <c r="AO3041" s="44">
        <f>AO3014*Settings!$C$13*(INDEX(AO$420:AO$431,$D3041))</f>
        <v/>
      </c>
      <c r="AP3041" s="44">
        <f>AP3014*Settings!$C$13*(INDEX(AP$420:AP$431,$D3041))</f>
        <v/>
      </c>
      <c r="AQ3041" s="44">
        <f>AQ3014*Settings!$C$13*(INDEX(AQ$420:AQ$431,$D3041))</f>
        <v/>
      </c>
      <c r="AR3041" s="44">
        <f>AR3014*Settings!$C$13*(INDEX(AR$420:AR$431,$D3041))</f>
        <v/>
      </c>
      <c r="AS3041" s="44">
        <f>AS3014*Settings!$C$13*(INDEX(AS$420:AS$431,$D3041))</f>
        <v/>
      </c>
      <c r="AT3041" s="44">
        <f>AT3014*Settings!$C$13*(INDEX(AT$420:AT$431,$D3041))</f>
        <v/>
      </c>
      <c r="AU3041" s="44">
        <f>AU3014*Settings!$C$13*(INDEX(AU$420:AU$431,$D3041))</f>
        <v/>
      </c>
      <c r="AV3041" s="44">
        <f>AV3014*Settings!$C$13*(INDEX(AV$420:AV$431,$D3041))</f>
        <v/>
      </c>
      <c r="AW3041" s="44">
        <f>AW3014*Settings!$C$13*(INDEX(AW$420:AW$431,$D3041))</f>
        <v/>
      </c>
      <c r="AX3041" s="44">
        <f>AX3014*Settings!$C$13*(INDEX(AX$420:AX$431,$D3041))</f>
        <v/>
      </c>
      <c r="AY3041" s="44">
        <f>AY3014*Settings!$C$13*(INDEX(AY$420:AY$431,$D3041))</f>
        <v/>
      </c>
      <c r="AZ3041" s="44">
        <f>AZ3014*Settings!$C$13*(INDEX(AZ$420:AZ$431,$D3041))</f>
        <v/>
      </c>
      <c r="BA3041" s="57">
        <f>REVENUE(BA3014,Settings!$C$13,INDEX(BA$420:BA$431,$D3041))</f>
        <v/>
      </c>
    </row>
    <row r="3042" hidden="1" outlineLevel="2">
      <c r="A3042" s="14" t="inlineStr">
        <is>
          <t>rsub</t>
        </is>
      </c>
      <c r="B3042" s="14" t="inlineStr">
        <is>
          <t>bio</t>
        </is>
      </c>
      <c r="C3042" s="14" t="inlineStr">
        <is>
          <t>oen</t>
        </is>
      </c>
      <c r="D3042" s="35">
        <f>INDEX(Inputs!$U$5:$U$132,MATCH($B3042&amp;"|"&amp;$C3042,Inputs!$A$5:$A$132,0))</f>
        <v/>
      </c>
      <c r="E3042" s="39" t="n"/>
      <c r="F3042" s="39" t="n"/>
      <c r="G3042" s="39" t="n"/>
      <c r="H3042" s="14">
        <f>INDEX(VarLab,MATCH($A3042,VarKey,0))&amp;INDEX(MemLab,MATCH($C3042&amp;"|"&amp;$B3042,MemKey,0))</f>
        <v/>
      </c>
      <c r="I3042" s="14">
        <f>INDEX(VarUnit,MATCH($A3042,VarKey,0))</f>
        <v/>
      </c>
      <c r="J3042" s="14">
        <f>INDEX(VarSrc,MATCH($A3042,VarKey,0))</f>
        <v/>
      </c>
      <c r="K3042" s="11">
        <f>CodePrefix&amp;$A3042&amp;IF($C3042="","","."&amp;$C3042&amp;"."&amp;$B3042)&amp;INDEX(VarEnd,MATCH($A3042,VarKey,0))&amp;K$5</f>
        <v/>
      </c>
      <c r="L3042" s="43">
        <f>L3015*Settings!$C$13*(INDEX(L$420:L$431,$D3042))</f>
        <v/>
      </c>
      <c r="M3042" s="44">
        <f>M3015*Settings!$C$13*(INDEX(M$420:M$431,$D3042))</f>
        <v/>
      </c>
      <c r="N3042" s="44">
        <f>N3015*Settings!$C$13*(INDEX(N$420:N$431,$D3042))</f>
        <v/>
      </c>
      <c r="O3042" s="44">
        <f>O3015*Settings!$C$13*(INDEX(O$420:O$431,$D3042))</f>
        <v/>
      </c>
      <c r="P3042" s="44">
        <f>P3015*Settings!$C$13*(INDEX(P$420:P$431,$D3042))</f>
        <v/>
      </c>
      <c r="Q3042" s="44">
        <f>Q3015*Settings!$C$13*(INDEX(Q$420:Q$431,$D3042))</f>
        <v/>
      </c>
      <c r="R3042" s="44">
        <f>R3015*Settings!$C$13*(INDEX(R$420:R$431,$D3042))</f>
        <v/>
      </c>
      <c r="S3042" s="44">
        <f>S3015*Settings!$C$13*(INDEX(S$420:S$431,$D3042))</f>
        <v/>
      </c>
      <c r="T3042" s="44">
        <f>T3015*Settings!$C$13*(INDEX(T$420:T$431,$D3042))</f>
        <v/>
      </c>
      <c r="U3042" s="44">
        <f>U3015*Settings!$C$13*(INDEX(U$420:U$431,$D3042))</f>
        <v/>
      </c>
      <c r="V3042" s="44">
        <f>V3015*Settings!$C$13*(INDEX(V$420:V$431,$D3042))</f>
        <v/>
      </c>
      <c r="W3042" s="44">
        <f>W3015*Settings!$C$13*(INDEX(W$420:W$431,$D3042))</f>
        <v/>
      </c>
      <c r="X3042" s="44">
        <f>X3015*Settings!$C$13*(INDEX(X$420:X$431,$D3042))</f>
        <v/>
      </c>
      <c r="Y3042" s="44">
        <f>Y3015*Settings!$C$13*(INDEX(Y$420:Y$431,$D3042))</f>
        <v/>
      </c>
      <c r="Z3042" s="44">
        <f>Z3015*Settings!$C$13*(INDEX(Z$420:Z$431,$D3042))</f>
        <v/>
      </c>
      <c r="AA3042" s="44">
        <f>AA3015*Settings!$C$13*(INDEX(AA$420:AA$431,$D3042))</f>
        <v/>
      </c>
      <c r="AB3042" s="44">
        <f>AB3015*Settings!$C$13*(INDEX(AB$420:AB$431,$D3042))</f>
        <v/>
      </c>
      <c r="AC3042" s="44">
        <f>AC3015*Settings!$C$13*(INDEX(AC$420:AC$431,$D3042))</f>
        <v/>
      </c>
      <c r="AD3042" s="44">
        <f>AD3015*Settings!$C$13*(INDEX(AD$420:AD$431,$D3042))</f>
        <v/>
      </c>
      <c r="AE3042" s="57">
        <f>REVENUE(AE3015,Settings!$C$13,INDEX(AE$420:AE$431,$D3042))</f>
        <v/>
      </c>
      <c r="AG3042" s="11">
        <f>CodePrefix&amp;$A3042&amp;IF($C3042="","","."&amp;$C3042&amp;"."&amp;$B3042)&amp;INDEX(VarEnd,MATCH($A3042,VarKey,0))&amp;AG$5</f>
        <v/>
      </c>
      <c r="AH3042" s="43">
        <f>AH3015*Settings!$C$13*(INDEX(AH$420:AH$431,$D3042))</f>
        <v/>
      </c>
      <c r="AI3042" s="44">
        <f>AI3015*Settings!$C$13*(INDEX(AI$420:AI$431,$D3042))</f>
        <v/>
      </c>
      <c r="AJ3042" s="44">
        <f>AJ3015*Settings!$C$13*(INDEX(AJ$420:AJ$431,$D3042))</f>
        <v/>
      </c>
      <c r="AK3042" s="44">
        <f>AK3015*Settings!$C$13*(INDEX(AK$420:AK$431,$D3042))</f>
        <v/>
      </c>
      <c r="AL3042" s="44">
        <f>AL3015*Settings!$C$13*(INDEX(AL$420:AL$431,$D3042))</f>
        <v/>
      </c>
      <c r="AM3042" s="44">
        <f>AM3015*Settings!$C$13*(INDEX(AM$420:AM$431,$D3042))</f>
        <v/>
      </c>
      <c r="AN3042" s="44">
        <f>AN3015*Settings!$C$13*(INDEX(AN$420:AN$431,$D3042))</f>
        <v/>
      </c>
      <c r="AO3042" s="44">
        <f>AO3015*Settings!$C$13*(INDEX(AO$420:AO$431,$D3042))</f>
        <v/>
      </c>
      <c r="AP3042" s="44">
        <f>AP3015*Settings!$C$13*(INDEX(AP$420:AP$431,$D3042))</f>
        <v/>
      </c>
      <c r="AQ3042" s="44">
        <f>AQ3015*Settings!$C$13*(INDEX(AQ$420:AQ$431,$D3042))</f>
        <v/>
      </c>
      <c r="AR3042" s="44">
        <f>AR3015*Settings!$C$13*(INDEX(AR$420:AR$431,$D3042))</f>
        <v/>
      </c>
      <c r="AS3042" s="44">
        <f>AS3015*Settings!$C$13*(INDEX(AS$420:AS$431,$D3042))</f>
        <v/>
      </c>
      <c r="AT3042" s="44">
        <f>AT3015*Settings!$C$13*(INDEX(AT$420:AT$431,$D3042))</f>
        <v/>
      </c>
      <c r="AU3042" s="44">
        <f>AU3015*Settings!$C$13*(INDEX(AU$420:AU$431,$D3042))</f>
        <v/>
      </c>
      <c r="AV3042" s="44">
        <f>AV3015*Settings!$C$13*(INDEX(AV$420:AV$431,$D3042))</f>
        <v/>
      </c>
      <c r="AW3042" s="44">
        <f>AW3015*Settings!$C$13*(INDEX(AW$420:AW$431,$D3042))</f>
        <v/>
      </c>
      <c r="AX3042" s="44">
        <f>AX3015*Settings!$C$13*(INDEX(AX$420:AX$431,$D3042))</f>
        <v/>
      </c>
      <c r="AY3042" s="44">
        <f>AY3015*Settings!$C$13*(INDEX(AY$420:AY$431,$D3042))</f>
        <v/>
      </c>
      <c r="AZ3042" s="44">
        <f>AZ3015*Settings!$C$13*(INDEX(AZ$420:AZ$431,$D3042))</f>
        <v/>
      </c>
      <c r="BA3042" s="57">
        <f>REVENUE(BA3015,Settings!$C$13,INDEX(BA$420:BA$431,$D3042))</f>
        <v/>
      </c>
    </row>
    <row r="3043" hidden="1" outlineLevel="2"/>
    <row r="3044" hidden="1" outlineLevel="2">
      <c r="A3044" s="14" t="inlineStr">
        <is>
          <t>rnew</t>
        </is>
      </c>
      <c r="B3044" s="14" t="inlineStr">
        <is>
          <t>coa</t>
        </is>
      </c>
      <c r="C3044" s="14" t="inlineStr">
        <is>
          <t>oen</t>
        </is>
      </c>
      <c r="D3044" s="35">
        <f>INDEX(Inputs!$V$5:$V$132,MATCH($B3044&amp;"|"&amp;$C3044,Inputs!$A$5:$A$132,0))</f>
        <v/>
      </c>
      <c r="E3044" s="39" t="n"/>
      <c r="F3044" s="39" t="n"/>
      <c r="G3044" s="39" t="n"/>
      <c r="H3044" s="14">
        <f>INDEX(VarLab,MATCH($A3044,VarKey,0))&amp;INDEX(MemLab,MATCH($C3044&amp;"|"&amp;$B3044,MemKey,0))</f>
        <v/>
      </c>
      <c r="I3044" s="14">
        <f>INDEX(VarUnit,MATCH($A3044,VarKey,0))</f>
        <v/>
      </c>
      <c r="J3044" s="14">
        <f>INDEX(VarSrc,MATCH($A3044,VarKey,0))</f>
        <v/>
      </c>
      <c r="K3044" s="11">
        <f>CodePrefix&amp;$A3044&amp;IF($C3044="","","."&amp;$C3044&amp;"."&amp;$B3044)&amp;INDEX(VarEnd,MATCH($A3044,VarKey,0))&amp;K$5</f>
        <v/>
      </c>
      <c r="L3044" s="43">
        <f>L3008*Settings!$C$13*(L2936+L2954+L2945*L$201+L2963*$D3044)</f>
        <v/>
      </c>
      <c r="M3044" s="44">
        <f>M3008*Settings!$C$13*(M2936+M2954+M2945*M$201+M2963*$D3044)</f>
        <v/>
      </c>
      <c r="N3044" s="44">
        <f>N3008*Settings!$C$13*(N2936+N2954+N2945*N$201+N2963*$D3044)</f>
        <v/>
      </c>
      <c r="O3044" s="44">
        <f>O3008*Settings!$C$13*(O2936+O2954+O2945*O$201+O2963*$D3044)</f>
        <v/>
      </c>
      <c r="P3044" s="44">
        <f>P3008*Settings!$C$13*(P2936+P2954+P2945*P$201+P2963*$D3044)</f>
        <v/>
      </c>
      <c r="Q3044" s="44">
        <f>Q3008*Settings!$C$13*(Q2936+Q2954+Q2945*Q$201+Q2963*$D3044)</f>
        <v/>
      </c>
      <c r="R3044" s="44">
        <f>R3008*Settings!$C$13*(R2936+R2954+R2945*R$201+R2963*$D3044)</f>
        <v/>
      </c>
      <c r="S3044" s="44">
        <f>S3008*Settings!$C$13*(S2936+S2954+S2945*S$201+S2963*$D3044)</f>
        <v/>
      </c>
      <c r="T3044" s="44">
        <f>T3008*Settings!$C$13*(T2936+T2954+T2945*T$201+T2963*$D3044)</f>
        <v/>
      </c>
      <c r="U3044" s="44">
        <f>U3008*Settings!$C$13*(U2936+U2954+U2945*U$201+U2963*$D3044)</f>
        <v/>
      </c>
      <c r="V3044" s="44">
        <f>V3008*Settings!$C$13*(V2936+V2954+V2945*V$201+V2963*$D3044)</f>
        <v/>
      </c>
      <c r="W3044" s="44">
        <f>W3008*Settings!$C$13*(W2936+W2954+W2945*W$201+W2963*$D3044)</f>
        <v/>
      </c>
      <c r="X3044" s="44">
        <f>X3008*Settings!$C$13*(X2936+X2954+X2945*X$201+X2963*$D3044)</f>
        <v/>
      </c>
      <c r="Y3044" s="44">
        <f>Y3008*Settings!$C$13*(Y2936+Y2954+Y2945*Y$201+Y2963*$D3044)</f>
        <v/>
      </c>
      <c r="Z3044" s="44">
        <f>Z3008*Settings!$C$13*(Z2936+Z2954+Z2945*Z$201+Z2963*$D3044)</f>
        <v/>
      </c>
      <c r="AA3044" s="44">
        <f>AA3008*Settings!$C$13*(AA2936+AA2954+AA2945*AA$201+AA2963*$D3044)</f>
        <v/>
      </c>
      <c r="AB3044" s="44">
        <f>AB3008*Settings!$C$13*(AB2936+AB2954+AB2945*AB$201+AB2963*$D3044)</f>
        <v/>
      </c>
      <c r="AC3044" s="44">
        <f>AC3008*Settings!$C$13*(AC2936+AC2954+AC2945*AC$201+AC2963*$D3044)</f>
        <v/>
      </c>
      <c r="AD3044" s="44">
        <f>AD3008*Settings!$C$13*(AD2936+AD2954+AD2945*AD$201+AD2963*$D3044)</f>
        <v/>
      </c>
      <c r="AE3044" s="57">
        <f>REVENUE(AE3008,Settings!$C$13,NEWREVRATE(AE2936,AE2954,AE2945,AE$201,AE2963,$D3044))</f>
        <v/>
      </c>
      <c r="AG3044" s="11">
        <f>CodePrefix&amp;$A3044&amp;IF($C3044="","","."&amp;$C3044&amp;"."&amp;$B3044)&amp;INDEX(VarEnd,MATCH($A3044,VarKey,0))&amp;AG$5</f>
        <v/>
      </c>
      <c r="AH3044" s="43">
        <f>AH3008*Settings!$C$13*(AH2936+AH2954+AH2945*AH$201+AH2963*$D3044)</f>
        <v/>
      </c>
      <c r="AI3044" s="44">
        <f>AI3008*Settings!$C$13*(AI2936+AI2954+AI2945*AI$201+AI2963*$D3044)</f>
        <v/>
      </c>
      <c r="AJ3044" s="44">
        <f>AJ3008*Settings!$C$13*(AJ2936+AJ2954+AJ2945*AJ$201+AJ2963*$D3044)</f>
        <v/>
      </c>
      <c r="AK3044" s="44">
        <f>AK3008*Settings!$C$13*(AK2936+AK2954+AK2945*AK$201+AK2963*$D3044)</f>
        <v/>
      </c>
      <c r="AL3044" s="44">
        <f>AL3008*Settings!$C$13*(AL2936+AL2954+AL2945*AL$201+AL2963*$D3044)</f>
        <v/>
      </c>
      <c r="AM3044" s="44">
        <f>AM3008*Settings!$C$13*(AM2936+AM2954+AM2945*AM$201+AM2963*$D3044)</f>
        <v/>
      </c>
      <c r="AN3044" s="44">
        <f>AN3008*Settings!$C$13*(AN2936+AN2954+AN2945*AN$201+AN2963*$D3044)</f>
        <v/>
      </c>
      <c r="AO3044" s="44">
        <f>AO3008*Settings!$C$13*(AO2936+AO2954+AO2945*AO$201+AO2963*$D3044)</f>
        <v/>
      </c>
      <c r="AP3044" s="44">
        <f>AP3008*Settings!$C$13*(AP2936+AP2954+AP2945*AP$201+AP2963*$D3044)</f>
        <v/>
      </c>
      <c r="AQ3044" s="44">
        <f>AQ3008*Settings!$C$13*(AQ2936+AQ2954+AQ2945*AQ$201+AQ2963*$D3044)</f>
        <v/>
      </c>
      <c r="AR3044" s="44">
        <f>AR3008*Settings!$C$13*(AR2936+AR2954+AR2945*AR$201+AR2963*$D3044)</f>
        <v/>
      </c>
      <c r="AS3044" s="44">
        <f>AS3008*Settings!$C$13*(AS2936+AS2954+AS2945*AS$201+AS2963*$D3044)</f>
        <v/>
      </c>
      <c r="AT3044" s="44">
        <f>AT3008*Settings!$C$13*(AT2936+AT2954+AT2945*AT$201+AT2963*$D3044)</f>
        <v/>
      </c>
      <c r="AU3044" s="44">
        <f>AU3008*Settings!$C$13*(AU2936+AU2954+AU2945*AU$201+AU2963*$D3044)</f>
        <v/>
      </c>
      <c r="AV3044" s="44">
        <f>AV3008*Settings!$C$13*(AV2936+AV2954+AV2945*AV$201+AV2963*$D3044)</f>
        <v/>
      </c>
      <c r="AW3044" s="44">
        <f>AW3008*Settings!$C$13*(AW2936+AW2954+AW2945*AW$201+AW2963*$D3044)</f>
        <v/>
      </c>
      <c r="AX3044" s="44">
        <f>AX3008*Settings!$C$13*(AX2936+AX2954+AX2945*AX$201+AX2963*$D3044)</f>
        <v/>
      </c>
      <c r="AY3044" s="44">
        <f>AY3008*Settings!$C$13*(AY2936+AY2954+AY2945*AY$201+AY2963*$D3044)</f>
        <v/>
      </c>
      <c r="AZ3044" s="44">
        <f>AZ3008*Settings!$C$13*(AZ2936+AZ2954+AZ2945*AZ$201+AZ2963*$D3044)</f>
        <v/>
      </c>
      <c r="BA3044" s="57">
        <f>REVENUE(BA3008,Settings!$C$13,NEWREVRATE(BA2936,BA2954,BA2945,BA$201,BA2963,$D3044))</f>
        <v/>
      </c>
    </row>
    <row r="3045" hidden="1" outlineLevel="2">
      <c r="A3045" s="14" t="inlineStr">
        <is>
          <t>rnew</t>
        </is>
      </c>
      <c r="B3045" s="14" t="inlineStr">
        <is>
          <t>nga</t>
        </is>
      </c>
      <c r="C3045" s="14" t="inlineStr">
        <is>
          <t>oen</t>
        </is>
      </c>
      <c r="D3045" s="35">
        <f>INDEX(Inputs!$V$5:$V$132,MATCH($B3045&amp;"|"&amp;$C3045,Inputs!$A$5:$A$132,0))</f>
        <v/>
      </c>
      <c r="E3045" s="39" t="n"/>
      <c r="F3045" s="39" t="n"/>
      <c r="G3045" s="39" t="n"/>
      <c r="H3045" s="14">
        <f>INDEX(VarLab,MATCH($A3045,VarKey,0))&amp;INDEX(MemLab,MATCH($C3045&amp;"|"&amp;$B3045,MemKey,0))</f>
        <v/>
      </c>
      <c r="I3045" s="14">
        <f>INDEX(VarUnit,MATCH($A3045,VarKey,0))</f>
        <v/>
      </c>
      <c r="J3045" s="14">
        <f>INDEX(VarSrc,MATCH($A3045,VarKey,0))</f>
        <v/>
      </c>
      <c r="K3045" s="11">
        <f>CodePrefix&amp;$A3045&amp;IF($C3045="","","."&amp;$C3045&amp;"."&amp;$B3045)&amp;INDEX(VarEnd,MATCH($A3045,VarKey,0))&amp;K$5</f>
        <v/>
      </c>
      <c r="L3045" s="43">
        <f>L3009*Settings!$C$13*(L2937+L2955+L2946*L$201+L2964*$D3045)</f>
        <v/>
      </c>
      <c r="M3045" s="44">
        <f>M3009*Settings!$C$13*(M2937+M2955+M2946*M$201+M2964*$D3045)</f>
        <v/>
      </c>
      <c r="N3045" s="44">
        <f>N3009*Settings!$C$13*(N2937+N2955+N2946*N$201+N2964*$D3045)</f>
        <v/>
      </c>
      <c r="O3045" s="44">
        <f>O3009*Settings!$C$13*(O2937+O2955+O2946*O$201+O2964*$D3045)</f>
        <v/>
      </c>
      <c r="P3045" s="44">
        <f>P3009*Settings!$C$13*(P2937+P2955+P2946*P$201+P2964*$D3045)</f>
        <v/>
      </c>
      <c r="Q3045" s="44">
        <f>Q3009*Settings!$C$13*(Q2937+Q2955+Q2946*Q$201+Q2964*$D3045)</f>
        <v/>
      </c>
      <c r="R3045" s="44">
        <f>R3009*Settings!$C$13*(R2937+R2955+R2946*R$201+R2964*$D3045)</f>
        <v/>
      </c>
      <c r="S3045" s="44">
        <f>S3009*Settings!$C$13*(S2937+S2955+S2946*S$201+S2964*$D3045)</f>
        <v/>
      </c>
      <c r="T3045" s="44">
        <f>T3009*Settings!$C$13*(T2937+T2955+T2946*T$201+T2964*$D3045)</f>
        <v/>
      </c>
      <c r="U3045" s="44">
        <f>U3009*Settings!$C$13*(U2937+U2955+U2946*U$201+U2964*$D3045)</f>
        <v/>
      </c>
      <c r="V3045" s="44">
        <f>V3009*Settings!$C$13*(V2937+V2955+V2946*V$201+V2964*$D3045)</f>
        <v/>
      </c>
      <c r="W3045" s="44">
        <f>W3009*Settings!$C$13*(W2937+W2955+W2946*W$201+W2964*$D3045)</f>
        <v/>
      </c>
      <c r="X3045" s="44">
        <f>X3009*Settings!$C$13*(X2937+X2955+X2946*X$201+X2964*$D3045)</f>
        <v/>
      </c>
      <c r="Y3045" s="44">
        <f>Y3009*Settings!$C$13*(Y2937+Y2955+Y2946*Y$201+Y2964*$D3045)</f>
        <v/>
      </c>
      <c r="Z3045" s="44">
        <f>Z3009*Settings!$C$13*(Z2937+Z2955+Z2946*Z$201+Z2964*$D3045)</f>
        <v/>
      </c>
      <c r="AA3045" s="44">
        <f>AA3009*Settings!$C$13*(AA2937+AA2955+AA2946*AA$201+AA2964*$D3045)</f>
        <v/>
      </c>
      <c r="AB3045" s="44">
        <f>AB3009*Settings!$C$13*(AB2937+AB2955+AB2946*AB$201+AB2964*$D3045)</f>
        <v/>
      </c>
      <c r="AC3045" s="44">
        <f>AC3009*Settings!$C$13*(AC2937+AC2955+AC2946*AC$201+AC2964*$D3045)</f>
        <v/>
      </c>
      <c r="AD3045" s="44">
        <f>AD3009*Settings!$C$13*(AD2937+AD2955+AD2946*AD$201+AD2964*$D3045)</f>
        <v/>
      </c>
      <c r="AE3045" s="57">
        <f>REVENUE(AE3009,Settings!$C$13,NEWREVRATE(AE2937,AE2955,AE2946,AE$201,AE2964,$D3045))</f>
        <v/>
      </c>
      <c r="AG3045" s="11">
        <f>CodePrefix&amp;$A3045&amp;IF($C3045="","","."&amp;$C3045&amp;"."&amp;$B3045)&amp;INDEX(VarEnd,MATCH($A3045,VarKey,0))&amp;AG$5</f>
        <v/>
      </c>
      <c r="AH3045" s="43">
        <f>AH3009*Settings!$C$13*(AH2937+AH2955+AH2946*AH$201+AH2964*$D3045)</f>
        <v/>
      </c>
      <c r="AI3045" s="44">
        <f>AI3009*Settings!$C$13*(AI2937+AI2955+AI2946*AI$201+AI2964*$D3045)</f>
        <v/>
      </c>
      <c r="AJ3045" s="44">
        <f>AJ3009*Settings!$C$13*(AJ2937+AJ2955+AJ2946*AJ$201+AJ2964*$D3045)</f>
        <v/>
      </c>
      <c r="AK3045" s="44">
        <f>AK3009*Settings!$C$13*(AK2937+AK2955+AK2946*AK$201+AK2964*$D3045)</f>
        <v/>
      </c>
      <c r="AL3045" s="44">
        <f>AL3009*Settings!$C$13*(AL2937+AL2955+AL2946*AL$201+AL2964*$D3045)</f>
        <v/>
      </c>
      <c r="AM3045" s="44">
        <f>AM3009*Settings!$C$13*(AM2937+AM2955+AM2946*AM$201+AM2964*$D3045)</f>
        <v/>
      </c>
      <c r="AN3045" s="44">
        <f>AN3009*Settings!$C$13*(AN2937+AN2955+AN2946*AN$201+AN2964*$D3045)</f>
        <v/>
      </c>
      <c r="AO3045" s="44">
        <f>AO3009*Settings!$C$13*(AO2937+AO2955+AO2946*AO$201+AO2964*$D3045)</f>
        <v/>
      </c>
      <c r="AP3045" s="44">
        <f>AP3009*Settings!$C$13*(AP2937+AP2955+AP2946*AP$201+AP2964*$D3045)</f>
        <v/>
      </c>
      <c r="AQ3045" s="44">
        <f>AQ3009*Settings!$C$13*(AQ2937+AQ2955+AQ2946*AQ$201+AQ2964*$D3045)</f>
        <v/>
      </c>
      <c r="AR3045" s="44">
        <f>AR3009*Settings!$C$13*(AR2937+AR2955+AR2946*AR$201+AR2964*$D3045)</f>
        <v/>
      </c>
      <c r="AS3045" s="44">
        <f>AS3009*Settings!$C$13*(AS2937+AS2955+AS2946*AS$201+AS2964*$D3045)</f>
        <v/>
      </c>
      <c r="AT3045" s="44">
        <f>AT3009*Settings!$C$13*(AT2937+AT2955+AT2946*AT$201+AT2964*$D3045)</f>
        <v/>
      </c>
      <c r="AU3045" s="44">
        <f>AU3009*Settings!$C$13*(AU2937+AU2955+AU2946*AU$201+AU2964*$D3045)</f>
        <v/>
      </c>
      <c r="AV3045" s="44">
        <f>AV3009*Settings!$C$13*(AV2937+AV2955+AV2946*AV$201+AV2964*$D3045)</f>
        <v/>
      </c>
      <c r="AW3045" s="44">
        <f>AW3009*Settings!$C$13*(AW2937+AW2955+AW2946*AW$201+AW2964*$D3045)</f>
        <v/>
      </c>
      <c r="AX3045" s="44">
        <f>AX3009*Settings!$C$13*(AX2937+AX2955+AX2946*AX$201+AX2964*$D3045)</f>
        <v/>
      </c>
      <c r="AY3045" s="44">
        <f>AY3009*Settings!$C$13*(AY2937+AY2955+AY2946*AY$201+AY2964*$D3045)</f>
        <v/>
      </c>
      <c r="AZ3045" s="44">
        <f>AZ3009*Settings!$C$13*(AZ2937+AZ2955+AZ2946*AZ$201+AZ2964*$D3045)</f>
        <v/>
      </c>
      <c r="BA3045" s="57">
        <f>REVENUE(BA3009,Settings!$C$13,NEWREVRATE(BA2937,BA2955,BA2946,BA$201,BA2964,$D3045))</f>
        <v/>
      </c>
    </row>
    <row r="3046" hidden="1" outlineLevel="2">
      <c r="A3046" s="14" t="inlineStr">
        <is>
          <t>rnew</t>
        </is>
      </c>
      <c r="B3046" s="14" t="inlineStr">
        <is>
          <t>gso</t>
        </is>
      </c>
      <c r="C3046" s="14" t="inlineStr">
        <is>
          <t>oen</t>
        </is>
      </c>
      <c r="D3046" s="35">
        <f>INDEX(Inputs!$V$5:$V$132,MATCH($B3046&amp;"|"&amp;$C3046,Inputs!$A$5:$A$132,0))</f>
        <v/>
      </c>
      <c r="E3046" s="39" t="n"/>
      <c r="F3046" s="39" t="n"/>
      <c r="G3046" s="39" t="n"/>
      <c r="H3046" s="14">
        <f>INDEX(VarLab,MATCH($A3046,VarKey,0))&amp;INDEX(MemLab,MATCH($C3046&amp;"|"&amp;$B3046,MemKey,0))</f>
        <v/>
      </c>
      <c r="I3046" s="14">
        <f>INDEX(VarUnit,MATCH($A3046,VarKey,0))</f>
        <v/>
      </c>
      <c r="J3046" s="14">
        <f>INDEX(VarSrc,MATCH($A3046,VarKey,0))</f>
        <v/>
      </c>
      <c r="K3046" s="11">
        <f>CodePrefix&amp;$A3046&amp;IF($C3046="","","."&amp;$C3046&amp;"."&amp;$B3046)&amp;INDEX(VarEnd,MATCH($A3046,VarKey,0))&amp;K$5</f>
        <v/>
      </c>
      <c r="L3046" s="43">
        <f>L3010*Settings!$C$13*(L2938+L2956+L2947*L$201+L2965*$D3046)</f>
        <v/>
      </c>
      <c r="M3046" s="44">
        <f>M3010*Settings!$C$13*(M2938+M2956+M2947*M$201+M2965*$D3046)</f>
        <v/>
      </c>
      <c r="N3046" s="44">
        <f>N3010*Settings!$C$13*(N2938+N2956+N2947*N$201+N2965*$D3046)</f>
        <v/>
      </c>
      <c r="O3046" s="44">
        <f>O3010*Settings!$C$13*(O2938+O2956+O2947*O$201+O2965*$D3046)</f>
        <v/>
      </c>
      <c r="P3046" s="44">
        <f>P3010*Settings!$C$13*(P2938+P2956+P2947*P$201+P2965*$D3046)</f>
        <v/>
      </c>
      <c r="Q3046" s="44">
        <f>Q3010*Settings!$C$13*(Q2938+Q2956+Q2947*Q$201+Q2965*$D3046)</f>
        <v/>
      </c>
      <c r="R3046" s="44">
        <f>R3010*Settings!$C$13*(R2938+R2956+R2947*R$201+R2965*$D3046)</f>
        <v/>
      </c>
      <c r="S3046" s="44">
        <f>S3010*Settings!$C$13*(S2938+S2956+S2947*S$201+S2965*$D3046)</f>
        <v/>
      </c>
      <c r="T3046" s="44">
        <f>T3010*Settings!$C$13*(T2938+T2956+T2947*T$201+T2965*$D3046)</f>
        <v/>
      </c>
      <c r="U3046" s="44">
        <f>U3010*Settings!$C$13*(U2938+U2956+U2947*U$201+U2965*$D3046)</f>
        <v/>
      </c>
      <c r="V3046" s="44">
        <f>V3010*Settings!$C$13*(V2938+V2956+V2947*V$201+V2965*$D3046)</f>
        <v/>
      </c>
      <c r="W3046" s="44">
        <f>W3010*Settings!$C$13*(W2938+W2956+W2947*W$201+W2965*$D3046)</f>
        <v/>
      </c>
      <c r="X3046" s="44">
        <f>X3010*Settings!$C$13*(X2938+X2956+X2947*X$201+X2965*$D3046)</f>
        <v/>
      </c>
      <c r="Y3046" s="44">
        <f>Y3010*Settings!$C$13*(Y2938+Y2956+Y2947*Y$201+Y2965*$D3046)</f>
        <v/>
      </c>
      <c r="Z3046" s="44">
        <f>Z3010*Settings!$C$13*(Z2938+Z2956+Z2947*Z$201+Z2965*$D3046)</f>
        <v/>
      </c>
      <c r="AA3046" s="44">
        <f>AA3010*Settings!$C$13*(AA2938+AA2956+AA2947*AA$201+AA2965*$D3046)</f>
        <v/>
      </c>
      <c r="AB3046" s="44">
        <f>AB3010*Settings!$C$13*(AB2938+AB2956+AB2947*AB$201+AB2965*$D3046)</f>
        <v/>
      </c>
      <c r="AC3046" s="44">
        <f>AC3010*Settings!$C$13*(AC2938+AC2956+AC2947*AC$201+AC2965*$D3046)</f>
        <v/>
      </c>
      <c r="AD3046" s="44">
        <f>AD3010*Settings!$C$13*(AD2938+AD2956+AD2947*AD$201+AD2965*$D3046)</f>
        <v/>
      </c>
      <c r="AE3046" s="57">
        <f>REVENUE(AE3010,Settings!$C$13,NEWREVRATE(AE2938,AE2956,AE2947,AE$201,AE2965,$D3046))</f>
        <v/>
      </c>
      <c r="AG3046" s="11">
        <f>CodePrefix&amp;$A3046&amp;IF($C3046="","","."&amp;$C3046&amp;"."&amp;$B3046)&amp;INDEX(VarEnd,MATCH($A3046,VarKey,0))&amp;AG$5</f>
        <v/>
      </c>
      <c r="AH3046" s="43">
        <f>AH3010*Settings!$C$13*(AH2938+AH2956+AH2947*AH$201+AH2965*$D3046)</f>
        <v/>
      </c>
      <c r="AI3046" s="44">
        <f>AI3010*Settings!$C$13*(AI2938+AI2956+AI2947*AI$201+AI2965*$D3046)</f>
        <v/>
      </c>
      <c r="AJ3046" s="44">
        <f>AJ3010*Settings!$C$13*(AJ2938+AJ2956+AJ2947*AJ$201+AJ2965*$D3046)</f>
        <v/>
      </c>
      <c r="AK3046" s="44">
        <f>AK3010*Settings!$C$13*(AK2938+AK2956+AK2947*AK$201+AK2965*$D3046)</f>
        <v/>
      </c>
      <c r="AL3046" s="44">
        <f>AL3010*Settings!$C$13*(AL2938+AL2956+AL2947*AL$201+AL2965*$D3046)</f>
        <v/>
      </c>
      <c r="AM3046" s="44">
        <f>AM3010*Settings!$C$13*(AM2938+AM2956+AM2947*AM$201+AM2965*$D3046)</f>
        <v/>
      </c>
      <c r="AN3046" s="44">
        <f>AN3010*Settings!$C$13*(AN2938+AN2956+AN2947*AN$201+AN2965*$D3046)</f>
        <v/>
      </c>
      <c r="AO3046" s="44">
        <f>AO3010*Settings!$C$13*(AO2938+AO2956+AO2947*AO$201+AO2965*$D3046)</f>
        <v/>
      </c>
      <c r="AP3046" s="44">
        <f>AP3010*Settings!$C$13*(AP2938+AP2956+AP2947*AP$201+AP2965*$D3046)</f>
        <v/>
      </c>
      <c r="AQ3046" s="44">
        <f>AQ3010*Settings!$C$13*(AQ2938+AQ2956+AQ2947*AQ$201+AQ2965*$D3046)</f>
        <v/>
      </c>
      <c r="AR3046" s="44">
        <f>AR3010*Settings!$C$13*(AR2938+AR2956+AR2947*AR$201+AR2965*$D3046)</f>
        <v/>
      </c>
      <c r="AS3046" s="44">
        <f>AS3010*Settings!$C$13*(AS2938+AS2956+AS2947*AS$201+AS2965*$D3046)</f>
        <v/>
      </c>
      <c r="AT3046" s="44">
        <f>AT3010*Settings!$C$13*(AT2938+AT2956+AT2947*AT$201+AT2965*$D3046)</f>
        <v/>
      </c>
      <c r="AU3046" s="44">
        <f>AU3010*Settings!$C$13*(AU2938+AU2956+AU2947*AU$201+AU2965*$D3046)</f>
        <v/>
      </c>
      <c r="AV3046" s="44">
        <f>AV3010*Settings!$C$13*(AV2938+AV2956+AV2947*AV$201+AV2965*$D3046)</f>
        <v/>
      </c>
      <c r="AW3046" s="44">
        <f>AW3010*Settings!$C$13*(AW2938+AW2956+AW2947*AW$201+AW2965*$D3046)</f>
        <v/>
      </c>
      <c r="AX3046" s="44">
        <f>AX3010*Settings!$C$13*(AX2938+AX2956+AX2947*AX$201+AX2965*$D3046)</f>
        <v/>
      </c>
      <c r="AY3046" s="44">
        <f>AY3010*Settings!$C$13*(AY2938+AY2956+AY2947*AY$201+AY2965*$D3046)</f>
        <v/>
      </c>
      <c r="AZ3046" s="44">
        <f>AZ3010*Settings!$C$13*(AZ2938+AZ2956+AZ2947*AZ$201+AZ2965*$D3046)</f>
        <v/>
      </c>
      <c r="BA3046" s="57">
        <f>REVENUE(BA3010,Settings!$C$13,NEWREVRATE(BA2938,BA2956,BA2947,BA$201,BA2965,$D3046))</f>
        <v/>
      </c>
    </row>
    <row r="3047" hidden="1" outlineLevel="2">
      <c r="A3047" s="14" t="inlineStr">
        <is>
          <t>rnew</t>
        </is>
      </c>
      <c r="B3047" s="14" t="inlineStr">
        <is>
          <t>die</t>
        </is>
      </c>
      <c r="C3047" s="14" t="inlineStr">
        <is>
          <t>oen</t>
        </is>
      </c>
      <c r="D3047" s="35">
        <f>INDEX(Inputs!$V$5:$V$132,MATCH($B3047&amp;"|"&amp;$C3047,Inputs!$A$5:$A$132,0))</f>
        <v/>
      </c>
      <c r="E3047" s="39" t="n"/>
      <c r="F3047" s="39" t="n"/>
      <c r="G3047" s="39" t="n"/>
      <c r="H3047" s="14">
        <f>INDEX(VarLab,MATCH($A3047,VarKey,0))&amp;INDEX(MemLab,MATCH($C3047&amp;"|"&amp;$B3047,MemKey,0))</f>
        <v/>
      </c>
      <c r="I3047" s="14">
        <f>INDEX(VarUnit,MATCH($A3047,VarKey,0))</f>
        <v/>
      </c>
      <c r="J3047" s="14">
        <f>INDEX(VarSrc,MATCH($A3047,VarKey,0))</f>
        <v/>
      </c>
      <c r="K3047" s="11">
        <f>CodePrefix&amp;$A3047&amp;IF($C3047="","","."&amp;$C3047&amp;"."&amp;$B3047)&amp;INDEX(VarEnd,MATCH($A3047,VarKey,0))&amp;K$5</f>
        <v/>
      </c>
      <c r="L3047" s="43">
        <f>L3011*Settings!$C$13*(L2939+L2957+L2948*L$201+L2966*$D3047)</f>
        <v/>
      </c>
      <c r="M3047" s="44">
        <f>M3011*Settings!$C$13*(M2939+M2957+M2948*M$201+M2966*$D3047)</f>
        <v/>
      </c>
      <c r="N3047" s="44">
        <f>N3011*Settings!$C$13*(N2939+N2957+N2948*N$201+N2966*$D3047)</f>
        <v/>
      </c>
      <c r="O3047" s="44">
        <f>O3011*Settings!$C$13*(O2939+O2957+O2948*O$201+O2966*$D3047)</f>
        <v/>
      </c>
      <c r="P3047" s="44">
        <f>P3011*Settings!$C$13*(P2939+P2957+P2948*P$201+P2966*$D3047)</f>
        <v/>
      </c>
      <c r="Q3047" s="44">
        <f>Q3011*Settings!$C$13*(Q2939+Q2957+Q2948*Q$201+Q2966*$D3047)</f>
        <v/>
      </c>
      <c r="R3047" s="44">
        <f>R3011*Settings!$C$13*(R2939+R2957+R2948*R$201+R2966*$D3047)</f>
        <v/>
      </c>
      <c r="S3047" s="44">
        <f>S3011*Settings!$C$13*(S2939+S2957+S2948*S$201+S2966*$D3047)</f>
        <v/>
      </c>
      <c r="T3047" s="44">
        <f>T3011*Settings!$C$13*(T2939+T2957+T2948*T$201+T2966*$D3047)</f>
        <v/>
      </c>
      <c r="U3047" s="44">
        <f>U3011*Settings!$C$13*(U2939+U2957+U2948*U$201+U2966*$D3047)</f>
        <v/>
      </c>
      <c r="V3047" s="44">
        <f>V3011*Settings!$C$13*(V2939+V2957+V2948*V$201+V2966*$D3047)</f>
        <v/>
      </c>
      <c r="W3047" s="44">
        <f>W3011*Settings!$C$13*(W2939+W2957+W2948*W$201+W2966*$D3047)</f>
        <v/>
      </c>
      <c r="X3047" s="44">
        <f>X3011*Settings!$C$13*(X2939+X2957+X2948*X$201+X2966*$D3047)</f>
        <v/>
      </c>
      <c r="Y3047" s="44">
        <f>Y3011*Settings!$C$13*(Y2939+Y2957+Y2948*Y$201+Y2966*$D3047)</f>
        <v/>
      </c>
      <c r="Z3047" s="44">
        <f>Z3011*Settings!$C$13*(Z2939+Z2957+Z2948*Z$201+Z2966*$D3047)</f>
        <v/>
      </c>
      <c r="AA3047" s="44">
        <f>AA3011*Settings!$C$13*(AA2939+AA2957+AA2948*AA$201+AA2966*$D3047)</f>
        <v/>
      </c>
      <c r="AB3047" s="44">
        <f>AB3011*Settings!$C$13*(AB2939+AB2957+AB2948*AB$201+AB2966*$D3047)</f>
        <v/>
      </c>
      <c r="AC3047" s="44">
        <f>AC3011*Settings!$C$13*(AC2939+AC2957+AC2948*AC$201+AC2966*$D3047)</f>
        <v/>
      </c>
      <c r="AD3047" s="44">
        <f>AD3011*Settings!$C$13*(AD2939+AD2957+AD2948*AD$201+AD2966*$D3047)</f>
        <v/>
      </c>
      <c r="AE3047" s="57">
        <f>REVENUE(AE3011,Settings!$C$13,NEWREVRATE(AE2939,AE2957,AE2948,AE$201,AE2966,$D3047))</f>
        <v/>
      </c>
      <c r="AG3047" s="11">
        <f>CodePrefix&amp;$A3047&amp;IF($C3047="","","."&amp;$C3047&amp;"."&amp;$B3047)&amp;INDEX(VarEnd,MATCH($A3047,VarKey,0))&amp;AG$5</f>
        <v/>
      </c>
      <c r="AH3047" s="43">
        <f>AH3011*Settings!$C$13*(AH2939+AH2957+AH2948*AH$201+AH2966*$D3047)</f>
        <v/>
      </c>
      <c r="AI3047" s="44">
        <f>AI3011*Settings!$C$13*(AI2939+AI2957+AI2948*AI$201+AI2966*$D3047)</f>
        <v/>
      </c>
      <c r="AJ3047" s="44">
        <f>AJ3011*Settings!$C$13*(AJ2939+AJ2957+AJ2948*AJ$201+AJ2966*$D3047)</f>
        <v/>
      </c>
      <c r="AK3047" s="44">
        <f>AK3011*Settings!$C$13*(AK2939+AK2957+AK2948*AK$201+AK2966*$D3047)</f>
        <v/>
      </c>
      <c r="AL3047" s="44">
        <f>AL3011*Settings!$C$13*(AL2939+AL2957+AL2948*AL$201+AL2966*$D3047)</f>
        <v/>
      </c>
      <c r="AM3047" s="44">
        <f>AM3011*Settings!$C$13*(AM2939+AM2957+AM2948*AM$201+AM2966*$D3047)</f>
        <v/>
      </c>
      <c r="AN3047" s="44">
        <f>AN3011*Settings!$C$13*(AN2939+AN2957+AN2948*AN$201+AN2966*$D3047)</f>
        <v/>
      </c>
      <c r="AO3047" s="44">
        <f>AO3011*Settings!$C$13*(AO2939+AO2957+AO2948*AO$201+AO2966*$D3047)</f>
        <v/>
      </c>
      <c r="AP3047" s="44">
        <f>AP3011*Settings!$C$13*(AP2939+AP2957+AP2948*AP$201+AP2966*$D3047)</f>
        <v/>
      </c>
      <c r="AQ3047" s="44">
        <f>AQ3011*Settings!$C$13*(AQ2939+AQ2957+AQ2948*AQ$201+AQ2966*$D3047)</f>
        <v/>
      </c>
      <c r="AR3047" s="44">
        <f>AR3011*Settings!$C$13*(AR2939+AR2957+AR2948*AR$201+AR2966*$D3047)</f>
        <v/>
      </c>
      <c r="AS3047" s="44">
        <f>AS3011*Settings!$C$13*(AS2939+AS2957+AS2948*AS$201+AS2966*$D3047)</f>
        <v/>
      </c>
      <c r="AT3047" s="44">
        <f>AT3011*Settings!$C$13*(AT2939+AT2957+AT2948*AT$201+AT2966*$D3047)</f>
        <v/>
      </c>
      <c r="AU3047" s="44">
        <f>AU3011*Settings!$C$13*(AU2939+AU2957+AU2948*AU$201+AU2966*$D3047)</f>
        <v/>
      </c>
      <c r="AV3047" s="44">
        <f>AV3011*Settings!$C$13*(AV2939+AV2957+AV2948*AV$201+AV2966*$D3047)</f>
        <v/>
      </c>
      <c r="AW3047" s="44">
        <f>AW3011*Settings!$C$13*(AW2939+AW2957+AW2948*AW$201+AW2966*$D3047)</f>
        <v/>
      </c>
      <c r="AX3047" s="44">
        <f>AX3011*Settings!$C$13*(AX2939+AX2957+AX2948*AX$201+AX2966*$D3047)</f>
        <v/>
      </c>
      <c r="AY3047" s="44">
        <f>AY3011*Settings!$C$13*(AY2939+AY2957+AY2948*AY$201+AY2966*$D3047)</f>
        <v/>
      </c>
      <c r="AZ3047" s="44">
        <f>AZ3011*Settings!$C$13*(AZ2939+AZ2957+AZ2948*AZ$201+AZ2966*$D3047)</f>
        <v/>
      </c>
      <c r="BA3047" s="57">
        <f>REVENUE(BA3011,Settings!$C$13,NEWREVRATE(BA2939,BA2957,BA2948,BA$201,BA2966,$D3047))</f>
        <v/>
      </c>
    </row>
    <row r="3048" hidden="1" outlineLevel="2">
      <c r="A3048" s="14" t="inlineStr">
        <is>
          <t>rnew</t>
        </is>
      </c>
      <c r="B3048" s="14" t="inlineStr">
        <is>
          <t>lpg</t>
        </is>
      </c>
      <c r="C3048" s="14" t="inlineStr">
        <is>
          <t>oen</t>
        </is>
      </c>
      <c r="D3048" s="35">
        <f>INDEX(Inputs!$V$5:$V$132,MATCH($B3048&amp;"|"&amp;$C3048,Inputs!$A$5:$A$132,0))</f>
        <v/>
      </c>
      <c r="E3048" s="39" t="n"/>
      <c r="F3048" s="39" t="n"/>
      <c r="G3048" s="39" t="n"/>
      <c r="H3048" s="14">
        <f>INDEX(VarLab,MATCH($A3048,VarKey,0))&amp;INDEX(MemLab,MATCH($C3048&amp;"|"&amp;$B3048,MemKey,0))</f>
        <v/>
      </c>
      <c r="I3048" s="14">
        <f>INDEX(VarUnit,MATCH($A3048,VarKey,0))</f>
        <v/>
      </c>
      <c r="J3048" s="14">
        <f>INDEX(VarSrc,MATCH($A3048,VarKey,0))</f>
        <v/>
      </c>
      <c r="K3048" s="11">
        <f>CodePrefix&amp;$A3048&amp;IF($C3048="","","."&amp;$C3048&amp;"."&amp;$B3048)&amp;INDEX(VarEnd,MATCH($A3048,VarKey,0))&amp;K$5</f>
        <v/>
      </c>
      <c r="L3048" s="43">
        <f>L3012*Settings!$C$13*(L2940+L2958+L2949*L$201+L2967*$D3048)</f>
        <v/>
      </c>
      <c r="M3048" s="44">
        <f>M3012*Settings!$C$13*(M2940+M2958+M2949*M$201+M2967*$D3048)</f>
        <v/>
      </c>
      <c r="N3048" s="44">
        <f>N3012*Settings!$C$13*(N2940+N2958+N2949*N$201+N2967*$D3048)</f>
        <v/>
      </c>
      <c r="O3048" s="44">
        <f>O3012*Settings!$C$13*(O2940+O2958+O2949*O$201+O2967*$D3048)</f>
        <v/>
      </c>
      <c r="P3048" s="44">
        <f>P3012*Settings!$C$13*(P2940+P2958+P2949*P$201+P2967*$D3048)</f>
        <v/>
      </c>
      <c r="Q3048" s="44">
        <f>Q3012*Settings!$C$13*(Q2940+Q2958+Q2949*Q$201+Q2967*$D3048)</f>
        <v/>
      </c>
      <c r="R3048" s="44">
        <f>R3012*Settings!$C$13*(R2940+R2958+R2949*R$201+R2967*$D3048)</f>
        <v/>
      </c>
      <c r="S3048" s="44">
        <f>S3012*Settings!$C$13*(S2940+S2958+S2949*S$201+S2967*$D3048)</f>
        <v/>
      </c>
      <c r="T3048" s="44">
        <f>T3012*Settings!$C$13*(T2940+T2958+T2949*T$201+T2967*$D3048)</f>
        <v/>
      </c>
      <c r="U3048" s="44">
        <f>U3012*Settings!$C$13*(U2940+U2958+U2949*U$201+U2967*$D3048)</f>
        <v/>
      </c>
      <c r="V3048" s="44">
        <f>V3012*Settings!$C$13*(V2940+V2958+V2949*V$201+V2967*$D3048)</f>
        <v/>
      </c>
      <c r="W3048" s="44">
        <f>W3012*Settings!$C$13*(W2940+W2958+W2949*W$201+W2967*$D3048)</f>
        <v/>
      </c>
      <c r="X3048" s="44">
        <f>X3012*Settings!$C$13*(X2940+X2958+X2949*X$201+X2967*$D3048)</f>
        <v/>
      </c>
      <c r="Y3048" s="44">
        <f>Y3012*Settings!$C$13*(Y2940+Y2958+Y2949*Y$201+Y2967*$D3048)</f>
        <v/>
      </c>
      <c r="Z3048" s="44">
        <f>Z3012*Settings!$C$13*(Z2940+Z2958+Z2949*Z$201+Z2967*$D3048)</f>
        <v/>
      </c>
      <c r="AA3048" s="44">
        <f>AA3012*Settings!$C$13*(AA2940+AA2958+AA2949*AA$201+AA2967*$D3048)</f>
        <v/>
      </c>
      <c r="AB3048" s="44">
        <f>AB3012*Settings!$C$13*(AB2940+AB2958+AB2949*AB$201+AB2967*$D3048)</f>
        <v/>
      </c>
      <c r="AC3048" s="44">
        <f>AC3012*Settings!$C$13*(AC2940+AC2958+AC2949*AC$201+AC2967*$D3048)</f>
        <v/>
      </c>
      <c r="AD3048" s="44">
        <f>AD3012*Settings!$C$13*(AD2940+AD2958+AD2949*AD$201+AD2967*$D3048)</f>
        <v/>
      </c>
      <c r="AE3048" s="57">
        <f>REVENUE(AE3012,Settings!$C$13,NEWREVRATE(AE2940,AE2958,AE2949,AE$201,AE2967,$D3048))</f>
        <v/>
      </c>
      <c r="AG3048" s="11">
        <f>CodePrefix&amp;$A3048&amp;IF($C3048="","","."&amp;$C3048&amp;"."&amp;$B3048)&amp;INDEX(VarEnd,MATCH($A3048,VarKey,0))&amp;AG$5</f>
        <v/>
      </c>
      <c r="AH3048" s="43">
        <f>AH3012*Settings!$C$13*(AH2940+AH2958+AH2949*AH$201+AH2967*$D3048)</f>
        <v/>
      </c>
      <c r="AI3048" s="44">
        <f>AI3012*Settings!$C$13*(AI2940+AI2958+AI2949*AI$201+AI2967*$D3048)</f>
        <v/>
      </c>
      <c r="AJ3048" s="44">
        <f>AJ3012*Settings!$C$13*(AJ2940+AJ2958+AJ2949*AJ$201+AJ2967*$D3048)</f>
        <v/>
      </c>
      <c r="AK3048" s="44">
        <f>AK3012*Settings!$C$13*(AK2940+AK2958+AK2949*AK$201+AK2967*$D3048)</f>
        <v/>
      </c>
      <c r="AL3048" s="44">
        <f>AL3012*Settings!$C$13*(AL2940+AL2958+AL2949*AL$201+AL2967*$D3048)</f>
        <v/>
      </c>
      <c r="AM3048" s="44">
        <f>AM3012*Settings!$C$13*(AM2940+AM2958+AM2949*AM$201+AM2967*$D3048)</f>
        <v/>
      </c>
      <c r="AN3048" s="44">
        <f>AN3012*Settings!$C$13*(AN2940+AN2958+AN2949*AN$201+AN2967*$D3048)</f>
        <v/>
      </c>
      <c r="AO3048" s="44">
        <f>AO3012*Settings!$C$13*(AO2940+AO2958+AO2949*AO$201+AO2967*$D3048)</f>
        <v/>
      </c>
      <c r="AP3048" s="44">
        <f>AP3012*Settings!$C$13*(AP2940+AP2958+AP2949*AP$201+AP2967*$D3048)</f>
        <v/>
      </c>
      <c r="AQ3048" s="44">
        <f>AQ3012*Settings!$C$13*(AQ2940+AQ2958+AQ2949*AQ$201+AQ2967*$D3048)</f>
        <v/>
      </c>
      <c r="AR3048" s="44">
        <f>AR3012*Settings!$C$13*(AR2940+AR2958+AR2949*AR$201+AR2967*$D3048)</f>
        <v/>
      </c>
      <c r="AS3048" s="44">
        <f>AS3012*Settings!$C$13*(AS2940+AS2958+AS2949*AS$201+AS2967*$D3048)</f>
        <v/>
      </c>
      <c r="AT3048" s="44">
        <f>AT3012*Settings!$C$13*(AT2940+AT2958+AT2949*AT$201+AT2967*$D3048)</f>
        <v/>
      </c>
      <c r="AU3048" s="44">
        <f>AU3012*Settings!$C$13*(AU2940+AU2958+AU2949*AU$201+AU2967*$D3048)</f>
        <v/>
      </c>
      <c r="AV3048" s="44">
        <f>AV3012*Settings!$C$13*(AV2940+AV2958+AV2949*AV$201+AV2967*$D3048)</f>
        <v/>
      </c>
      <c r="AW3048" s="44">
        <f>AW3012*Settings!$C$13*(AW2940+AW2958+AW2949*AW$201+AW2967*$D3048)</f>
        <v/>
      </c>
      <c r="AX3048" s="44">
        <f>AX3012*Settings!$C$13*(AX2940+AX2958+AX2949*AX$201+AX2967*$D3048)</f>
        <v/>
      </c>
      <c r="AY3048" s="44">
        <f>AY3012*Settings!$C$13*(AY2940+AY2958+AY2949*AY$201+AY2967*$D3048)</f>
        <v/>
      </c>
      <c r="AZ3048" s="44">
        <f>AZ3012*Settings!$C$13*(AZ2940+AZ2958+AZ2949*AZ$201+AZ2967*$D3048)</f>
        <v/>
      </c>
      <c r="BA3048" s="57">
        <f>REVENUE(BA3012,Settings!$C$13,NEWREVRATE(BA2940,BA2958,BA2949,BA$201,BA2967,$D3048))</f>
        <v/>
      </c>
    </row>
    <row r="3049" hidden="1" outlineLevel="2">
      <c r="A3049" s="14" t="inlineStr">
        <is>
          <t>rnew</t>
        </is>
      </c>
      <c r="B3049" s="14" t="inlineStr">
        <is>
          <t>ker</t>
        </is>
      </c>
      <c r="C3049" s="14" t="inlineStr">
        <is>
          <t>oen</t>
        </is>
      </c>
      <c r="D3049" s="35">
        <f>INDEX(Inputs!$V$5:$V$132,MATCH($B3049&amp;"|"&amp;$C3049,Inputs!$A$5:$A$132,0))</f>
        <v/>
      </c>
      <c r="E3049" s="39" t="n"/>
      <c r="F3049" s="39" t="n"/>
      <c r="G3049" s="39" t="n"/>
      <c r="H3049" s="14">
        <f>INDEX(VarLab,MATCH($A3049,VarKey,0))&amp;INDEX(MemLab,MATCH($C3049&amp;"|"&amp;$B3049,MemKey,0))</f>
        <v/>
      </c>
      <c r="I3049" s="14">
        <f>INDEX(VarUnit,MATCH($A3049,VarKey,0))</f>
        <v/>
      </c>
      <c r="J3049" s="14">
        <f>INDEX(VarSrc,MATCH($A3049,VarKey,0))</f>
        <v/>
      </c>
      <c r="K3049" s="11">
        <f>CodePrefix&amp;$A3049&amp;IF($C3049="","","."&amp;$C3049&amp;"."&amp;$B3049)&amp;INDEX(VarEnd,MATCH($A3049,VarKey,0))&amp;K$5</f>
        <v/>
      </c>
      <c r="L3049" s="43">
        <f>L3013*Settings!$C$13*(L2941+L2959+L2950*L$201+L2968*$D3049)</f>
        <v/>
      </c>
      <c r="M3049" s="44">
        <f>M3013*Settings!$C$13*(M2941+M2959+M2950*M$201+M2968*$D3049)</f>
        <v/>
      </c>
      <c r="N3049" s="44">
        <f>N3013*Settings!$C$13*(N2941+N2959+N2950*N$201+N2968*$D3049)</f>
        <v/>
      </c>
      <c r="O3049" s="44">
        <f>O3013*Settings!$C$13*(O2941+O2959+O2950*O$201+O2968*$D3049)</f>
        <v/>
      </c>
      <c r="P3049" s="44">
        <f>P3013*Settings!$C$13*(P2941+P2959+P2950*P$201+P2968*$D3049)</f>
        <v/>
      </c>
      <c r="Q3049" s="44">
        <f>Q3013*Settings!$C$13*(Q2941+Q2959+Q2950*Q$201+Q2968*$D3049)</f>
        <v/>
      </c>
      <c r="R3049" s="44">
        <f>R3013*Settings!$C$13*(R2941+R2959+R2950*R$201+R2968*$D3049)</f>
        <v/>
      </c>
      <c r="S3049" s="44">
        <f>S3013*Settings!$C$13*(S2941+S2959+S2950*S$201+S2968*$D3049)</f>
        <v/>
      </c>
      <c r="T3049" s="44">
        <f>T3013*Settings!$C$13*(T2941+T2959+T2950*T$201+T2968*$D3049)</f>
        <v/>
      </c>
      <c r="U3049" s="44">
        <f>U3013*Settings!$C$13*(U2941+U2959+U2950*U$201+U2968*$D3049)</f>
        <v/>
      </c>
      <c r="V3049" s="44">
        <f>V3013*Settings!$C$13*(V2941+V2959+V2950*V$201+V2968*$D3049)</f>
        <v/>
      </c>
      <c r="W3049" s="44">
        <f>W3013*Settings!$C$13*(W2941+W2959+W2950*W$201+W2968*$D3049)</f>
        <v/>
      </c>
      <c r="X3049" s="44">
        <f>X3013*Settings!$C$13*(X2941+X2959+X2950*X$201+X2968*$D3049)</f>
        <v/>
      </c>
      <c r="Y3049" s="44">
        <f>Y3013*Settings!$C$13*(Y2941+Y2959+Y2950*Y$201+Y2968*$D3049)</f>
        <v/>
      </c>
      <c r="Z3049" s="44">
        <f>Z3013*Settings!$C$13*(Z2941+Z2959+Z2950*Z$201+Z2968*$D3049)</f>
        <v/>
      </c>
      <c r="AA3049" s="44">
        <f>AA3013*Settings!$C$13*(AA2941+AA2959+AA2950*AA$201+AA2968*$D3049)</f>
        <v/>
      </c>
      <c r="AB3049" s="44">
        <f>AB3013*Settings!$C$13*(AB2941+AB2959+AB2950*AB$201+AB2968*$D3049)</f>
        <v/>
      </c>
      <c r="AC3049" s="44">
        <f>AC3013*Settings!$C$13*(AC2941+AC2959+AC2950*AC$201+AC2968*$D3049)</f>
        <v/>
      </c>
      <c r="AD3049" s="44">
        <f>AD3013*Settings!$C$13*(AD2941+AD2959+AD2950*AD$201+AD2968*$D3049)</f>
        <v/>
      </c>
      <c r="AE3049" s="57">
        <f>REVENUE(AE3013,Settings!$C$13,NEWREVRATE(AE2941,AE2959,AE2950,AE$201,AE2968,$D3049))</f>
        <v/>
      </c>
      <c r="AG3049" s="11">
        <f>CodePrefix&amp;$A3049&amp;IF($C3049="","","."&amp;$C3049&amp;"."&amp;$B3049)&amp;INDEX(VarEnd,MATCH($A3049,VarKey,0))&amp;AG$5</f>
        <v/>
      </c>
      <c r="AH3049" s="43">
        <f>AH3013*Settings!$C$13*(AH2941+AH2959+AH2950*AH$201+AH2968*$D3049)</f>
        <v/>
      </c>
      <c r="AI3049" s="44">
        <f>AI3013*Settings!$C$13*(AI2941+AI2959+AI2950*AI$201+AI2968*$D3049)</f>
        <v/>
      </c>
      <c r="AJ3049" s="44">
        <f>AJ3013*Settings!$C$13*(AJ2941+AJ2959+AJ2950*AJ$201+AJ2968*$D3049)</f>
        <v/>
      </c>
      <c r="AK3049" s="44">
        <f>AK3013*Settings!$C$13*(AK2941+AK2959+AK2950*AK$201+AK2968*$D3049)</f>
        <v/>
      </c>
      <c r="AL3049" s="44">
        <f>AL3013*Settings!$C$13*(AL2941+AL2959+AL2950*AL$201+AL2968*$D3049)</f>
        <v/>
      </c>
      <c r="AM3049" s="44">
        <f>AM3013*Settings!$C$13*(AM2941+AM2959+AM2950*AM$201+AM2968*$D3049)</f>
        <v/>
      </c>
      <c r="AN3049" s="44">
        <f>AN3013*Settings!$C$13*(AN2941+AN2959+AN2950*AN$201+AN2968*$D3049)</f>
        <v/>
      </c>
      <c r="AO3049" s="44">
        <f>AO3013*Settings!$C$13*(AO2941+AO2959+AO2950*AO$201+AO2968*$D3049)</f>
        <v/>
      </c>
      <c r="AP3049" s="44">
        <f>AP3013*Settings!$C$13*(AP2941+AP2959+AP2950*AP$201+AP2968*$D3049)</f>
        <v/>
      </c>
      <c r="AQ3049" s="44">
        <f>AQ3013*Settings!$C$13*(AQ2941+AQ2959+AQ2950*AQ$201+AQ2968*$D3049)</f>
        <v/>
      </c>
      <c r="AR3049" s="44">
        <f>AR3013*Settings!$C$13*(AR2941+AR2959+AR2950*AR$201+AR2968*$D3049)</f>
        <v/>
      </c>
      <c r="AS3049" s="44">
        <f>AS3013*Settings!$C$13*(AS2941+AS2959+AS2950*AS$201+AS2968*$D3049)</f>
        <v/>
      </c>
      <c r="AT3049" s="44">
        <f>AT3013*Settings!$C$13*(AT2941+AT2959+AT2950*AT$201+AT2968*$D3049)</f>
        <v/>
      </c>
      <c r="AU3049" s="44">
        <f>AU3013*Settings!$C$13*(AU2941+AU2959+AU2950*AU$201+AU2968*$D3049)</f>
        <v/>
      </c>
      <c r="AV3049" s="44">
        <f>AV3013*Settings!$C$13*(AV2941+AV2959+AV2950*AV$201+AV2968*$D3049)</f>
        <v/>
      </c>
      <c r="AW3049" s="44">
        <f>AW3013*Settings!$C$13*(AW2941+AW2959+AW2950*AW$201+AW2968*$D3049)</f>
        <v/>
      </c>
      <c r="AX3049" s="44">
        <f>AX3013*Settings!$C$13*(AX2941+AX2959+AX2950*AX$201+AX2968*$D3049)</f>
        <v/>
      </c>
      <c r="AY3049" s="44">
        <f>AY3013*Settings!$C$13*(AY2941+AY2959+AY2950*AY$201+AY2968*$D3049)</f>
        <v/>
      </c>
      <c r="AZ3049" s="44">
        <f>AZ3013*Settings!$C$13*(AZ2941+AZ2959+AZ2950*AZ$201+AZ2968*$D3049)</f>
        <v/>
      </c>
      <c r="BA3049" s="57">
        <f>REVENUE(BA3013,Settings!$C$13,NEWREVRATE(BA2941,BA2959,BA2950,BA$201,BA2968,$D3049))</f>
        <v/>
      </c>
    </row>
    <row r="3050" hidden="1" outlineLevel="2">
      <c r="A3050" s="14" t="inlineStr">
        <is>
          <t>rnew</t>
        </is>
      </c>
      <c r="B3050" s="14" t="inlineStr">
        <is>
          <t>oop</t>
        </is>
      </c>
      <c r="C3050" s="14" t="inlineStr">
        <is>
          <t>oen</t>
        </is>
      </c>
      <c r="D3050" s="35">
        <f>INDEX(Inputs!$V$5:$V$132,MATCH($B3050&amp;"|"&amp;$C3050,Inputs!$A$5:$A$132,0))</f>
        <v/>
      </c>
      <c r="E3050" s="39" t="n"/>
      <c r="F3050" s="39" t="n"/>
      <c r="G3050" s="39" t="n"/>
      <c r="H3050" s="14">
        <f>INDEX(VarLab,MATCH($A3050,VarKey,0))&amp;INDEX(MemLab,MATCH($C3050&amp;"|"&amp;$B3050,MemKey,0))</f>
        <v/>
      </c>
      <c r="I3050" s="14">
        <f>INDEX(VarUnit,MATCH($A3050,VarKey,0))</f>
        <v/>
      </c>
      <c r="J3050" s="14">
        <f>INDEX(VarSrc,MATCH($A3050,VarKey,0))</f>
        <v/>
      </c>
      <c r="K3050" s="11">
        <f>CodePrefix&amp;$A3050&amp;IF($C3050="","","."&amp;$C3050&amp;"."&amp;$B3050)&amp;INDEX(VarEnd,MATCH($A3050,VarKey,0))&amp;K$5</f>
        <v/>
      </c>
      <c r="L3050" s="43">
        <f>L3014*Settings!$C$13*(L2942+L2960+L2951*L$201+L2969*$D3050)</f>
        <v/>
      </c>
      <c r="M3050" s="44">
        <f>M3014*Settings!$C$13*(M2942+M2960+M2951*M$201+M2969*$D3050)</f>
        <v/>
      </c>
      <c r="N3050" s="44">
        <f>N3014*Settings!$C$13*(N2942+N2960+N2951*N$201+N2969*$D3050)</f>
        <v/>
      </c>
      <c r="O3050" s="44">
        <f>O3014*Settings!$C$13*(O2942+O2960+O2951*O$201+O2969*$D3050)</f>
        <v/>
      </c>
      <c r="P3050" s="44">
        <f>P3014*Settings!$C$13*(P2942+P2960+P2951*P$201+P2969*$D3050)</f>
        <v/>
      </c>
      <c r="Q3050" s="44">
        <f>Q3014*Settings!$C$13*(Q2942+Q2960+Q2951*Q$201+Q2969*$D3050)</f>
        <v/>
      </c>
      <c r="R3050" s="44">
        <f>R3014*Settings!$C$13*(R2942+R2960+R2951*R$201+R2969*$D3050)</f>
        <v/>
      </c>
      <c r="S3050" s="44">
        <f>S3014*Settings!$C$13*(S2942+S2960+S2951*S$201+S2969*$D3050)</f>
        <v/>
      </c>
      <c r="T3050" s="44">
        <f>T3014*Settings!$C$13*(T2942+T2960+T2951*T$201+T2969*$D3050)</f>
        <v/>
      </c>
      <c r="U3050" s="44">
        <f>U3014*Settings!$C$13*(U2942+U2960+U2951*U$201+U2969*$D3050)</f>
        <v/>
      </c>
      <c r="V3050" s="44">
        <f>V3014*Settings!$C$13*(V2942+V2960+V2951*V$201+V2969*$D3050)</f>
        <v/>
      </c>
      <c r="W3050" s="44">
        <f>W3014*Settings!$C$13*(W2942+W2960+W2951*W$201+W2969*$D3050)</f>
        <v/>
      </c>
      <c r="X3050" s="44">
        <f>X3014*Settings!$C$13*(X2942+X2960+X2951*X$201+X2969*$D3050)</f>
        <v/>
      </c>
      <c r="Y3050" s="44">
        <f>Y3014*Settings!$C$13*(Y2942+Y2960+Y2951*Y$201+Y2969*$D3050)</f>
        <v/>
      </c>
      <c r="Z3050" s="44">
        <f>Z3014*Settings!$C$13*(Z2942+Z2960+Z2951*Z$201+Z2969*$D3050)</f>
        <v/>
      </c>
      <c r="AA3050" s="44">
        <f>AA3014*Settings!$C$13*(AA2942+AA2960+AA2951*AA$201+AA2969*$D3050)</f>
        <v/>
      </c>
      <c r="AB3050" s="44">
        <f>AB3014*Settings!$C$13*(AB2942+AB2960+AB2951*AB$201+AB2969*$D3050)</f>
        <v/>
      </c>
      <c r="AC3050" s="44">
        <f>AC3014*Settings!$C$13*(AC2942+AC2960+AC2951*AC$201+AC2969*$D3050)</f>
        <v/>
      </c>
      <c r="AD3050" s="44">
        <f>AD3014*Settings!$C$13*(AD2942+AD2960+AD2951*AD$201+AD2969*$D3050)</f>
        <v/>
      </c>
      <c r="AE3050" s="57">
        <f>REVENUE(AE3014,Settings!$C$13,NEWREVRATE(AE2942,AE2960,AE2951,AE$201,AE2969,$D3050))</f>
        <v/>
      </c>
      <c r="AG3050" s="11">
        <f>CodePrefix&amp;$A3050&amp;IF($C3050="","","."&amp;$C3050&amp;"."&amp;$B3050)&amp;INDEX(VarEnd,MATCH($A3050,VarKey,0))&amp;AG$5</f>
        <v/>
      </c>
      <c r="AH3050" s="43">
        <f>AH3014*Settings!$C$13*(AH2942+AH2960+AH2951*AH$201+AH2969*$D3050)</f>
        <v/>
      </c>
      <c r="AI3050" s="44">
        <f>AI3014*Settings!$C$13*(AI2942+AI2960+AI2951*AI$201+AI2969*$D3050)</f>
        <v/>
      </c>
      <c r="AJ3050" s="44">
        <f>AJ3014*Settings!$C$13*(AJ2942+AJ2960+AJ2951*AJ$201+AJ2969*$D3050)</f>
        <v/>
      </c>
      <c r="AK3050" s="44">
        <f>AK3014*Settings!$C$13*(AK2942+AK2960+AK2951*AK$201+AK2969*$D3050)</f>
        <v/>
      </c>
      <c r="AL3050" s="44">
        <f>AL3014*Settings!$C$13*(AL2942+AL2960+AL2951*AL$201+AL2969*$D3050)</f>
        <v/>
      </c>
      <c r="AM3050" s="44">
        <f>AM3014*Settings!$C$13*(AM2942+AM2960+AM2951*AM$201+AM2969*$D3050)</f>
        <v/>
      </c>
      <c r="AN3050" s="44">
        <f>AN3014*Settings!$C$13*(AN2942+AN2960+AN2951*AN$201+AN2969*$D3050)</f>
        <v/>
      </c>
      <c r="AO3050" s="44">
        <f>AO3014*Settings!$C$13*(AO2942+AO2960+AO2951*AO$201+AO2969*$D3050)</f>
        <v/>
      </c>
      <c r="AP3050" s="44">
        <f>AP3014*Settings!$C$13*(AP2942+AP2960+AP2951*AP$201+AP2969*$D3050)</f>
        <v/>
      </c>
      <c r="AQ3050" s="44">
        <f>AQ3014*Settings!$C$13*(AQ2942+AQ2960+AQ2951*AQ$201+AQ2969*$D3050)</f>
        <v/>
      </c>
      <c r="AR3050" s="44">
        <f>AR3014*Settings!$C$13*(AR2942+AR2960+AR2951*AR$201+AR2969*$D3050)</f>
        <v/>
      </c>
      <c r="AS3050" s="44">
        <f>AS3014*Settings!$C$13*(AS2942+AS2960+AS2951*AS$201+AS2969*$D3050)</f>
        <v/>
      </c>
      <c r="AT3050" s="44">
        <f>AT3014*Settings!$C$13*(AT2942+AT2960+AT2951*AT$201+AT2969*$D3050)</f>
        <v/>
      </c>
      <c r="AU3050" s="44">
        <f>AU3014*Settings!$C$13*(AU2942+AU2960+AU2951*AU$201+AU2969*$D3050)</f>
        <v/>
      </c>
      <c r="AV3050" s="44">
        <f>AV3014*Settings!$C$13*(AV2942+AV2960+AV2951*AV$201+AV2969*$D3050)</f>
        <v/>
      </c>
      <c r="AW3050" s="44">
        <f>AW3014*Settings!$C$13*(AW2942+AW2960+AW2951*AW$201+AW2969*$D3050)</f>
        <v/>
      </c>
      <c r="AX3050" s="44">
        <f>AX3014*Settings!$C$13*(AX2942+AX2960+AX2951*AX$201+AX2969*$D3050)</f>
        <v/>
      </c>
      <c r="AY3050" s="44">
        <f>AY3014*Settings!$C$13*(AY2942+AY2960+AY2951*AY$201+AY2969*$D3050)</f>
        <v/>
      </c>
      <c r="AZ3050" s="44">
        <f>AZ3014*Settings!$C$13*(AZ2942+AZ2960+AZ2951*AZ$201+AZ2969*$D3050)</f>
        <v/>
      </c>
      <c r="BA3050" s="57">
        <f>REVENUE(BA3014,Settings!$C$13,NEWREVRATE(BA2942,BA2960,BA2951,BA$201,BA2969,$D3050))</f>
        <v/>
      </c>
    </row>
    <row r="3051" hidden="1" outlineLevel="2">
      <c r="A3051" s="14" t="inlineStr">
        <is>
          <t>rnew</t>
        </is>
      </c>
      <c r="B3051" s="14" t="inlineStr">
        <is>
          <t>bio</t>
        </is>
      </c>
      <c r="C3051" s="14" t="inlineStr">
        <is>
          <t>oen</t>
        </is>
      </c>
      <c r="D3051" s="35">
        <f>INDEX(Inputs!$V$5:$V$132,MATCH($B3051&amp;"|"&amp;$C3051,Inputs!$A$5:$A$132,0))</f>
        <v/>
      </c>
      <c r="E3051" s="39" t="n"/>
      <c r="F3051" s="39" t="n"/>
      <c r="G3051" s="39" t="n"/>
      <c r="H3051" s="14">
        <f>INDEX(VarLab,MATCH($A3051,VarKey,0))&amp;INDEX(MemLab,MATCH($C3051&amp;"|"&amp;$B3051,MemKey,0))</f>
        <v/>
      </c>
      <c r="I3051" s="14">
        <f>INDEX(VarUnit,MATCH($A3051,VarKey,0))</f>
        <v/>
      </c>
      <c r="J3051" s="14">
        <f>INDEX(VarSrc,MATCH($A3051,VarKey,0))</f>
        <v/>
      </c>
      <c r="K3051" s="11">
        <f>CodePrefix&amp;$A3051&amp;IF($C3051="","","."&amp;$C3051&amp;"."&amp;$B3051)&amp;INDEX(VarEnd,MATCH($A3051,VarKey,0))&amp;K$5</f>
        <v/>
      </c>
      <c r="L3051" s="43">
        <f>L3015*Settings!$C$13*(L2943+L2961+L2952*L$201+L2970*$D3051)</f>
        <v/>
      </c>
      <c r="M3051" s="44">
        <f>M3015*Settings!$C$13*(M2943+M2961+M2952*M$201+M2970*$D3051)</f>
        <v/>
      </c>
      <c r="N3051" s="44">
        <f>N3015*Settings!$C$13*(N2943+N2961+N2952*N$201+N2970*$D3051)</f>
        <v/>
      </c>
      <c r="O3051" s="44">
        <f>O3015*Settings!$C$13*(O2943+O2961+O2952*O$201+O2970*$D3051)</f>
        <v/>
      </c>
      <c r="P3051" s="44">
        <f>P3015*Settings!$C$13*(P2943+P2961+P2952*P$201+P2970*$D3051)</f>
        <v/>
      </c>
      <c r="Q3051" s="44">
        <f>Q3015*Settings!$C$13*(Q2943+Q2961+Q2952*Q$201+Q2970*$D3051)</f>
        <v/>
      </c>
      <c r="R3051" s="44">
        <f>R3015*Settings!$C$13*(R2943+R2961+R2952*R$201+R2970*$D3051)</f>
        <v/>
      </c>
      <c r="S3051" s="44">
        <f>S3015*Settings!$C$13*(S2943+S2961+S2952*S$201+S2970*$D3051)</f>
        <v/>
      </c>
      <c r="T3051" s="44">
        <f>T3015*Settings!$C$13*(T2943+T2961+T2952*T$201+T2970*$D3051)</f>
        <v/>
      </c>
      <c r="U3051" s="44">
        <f>U3015*Settings!$C$13*(U2943+U2961+U2952*U$201+U2970*$D3051)</f>
        <v/>
      </c>
      <c r="V3051" s="44">
        <f>V3015*Settings!$C$13*(V2943+V2961+V2952*V$201+V2970*$D3051)</f>
        <v/>
      </c>
      <c r="W3051" s="44">
        <f>W3015*Settings!$C$13*(W2943+W2961+W2952*W$201+W2970*$D3051)</f>
        <v/>
      </c>
      <c r="X3051" s="44">
        <f>X3015*Settings!$C$13*(X2943+X2961+X2952*X$201+X2970*$D3051)</f>
        <v/>
      </c>
      <c r="Y3051" s="44">
        <f>Y3015*Settings!$C$13*(Y2943+Y2961+Y2952*Y$201+Y2970*$D3051)</f>
        <v/>
      </c>
      <c r="Z3051" s="44">
        <f>Z3015*Settings!$C$13*(Z2943+Z2961+Z2952*Z$201+Z2970*$D3051)</f>
        <v/>
      </c>
      <c r="AA3051" s="44">
        <f>AA3015*Settings!$C$13*(AA2943+AA2961+AA2952*AA$201+AA2970*$D3051)</f>
        <v/>
      </c>
      <c r="AB3051" s="44">
        <f>AB3015*Settings!$C$13*(AB2943+AB2961+AB2952*AB$201+AB2970*$D3051)</f>
        <v/>
      </c>
      <c r="AC3051" s="44">
        <f>AC3015*Settings!$C$13*(AC2943+AC2961+AC2952*AC$201+AC2970*$D3051)</f>
        <v/>
      </c>
      <c r="AD3051" s="44">
        <f>AD3015*Settings!$C$13*(AD2943+AD2961+AD2952*AD$201+AD2970*$D3051)</f>
        <v/>
      </c>
      <c r="AE3051" s="57">
        <f>REVENUE(AE3015,Settings!$C$13,NEWREVRATE(AE2943,AE2961,AE2952,AE$201,AE2970,$D3051))</f>
        <v/>
      </c>
      <c r="AG3051" s="11">
        <f>CodePrefix&amp;$A3051&amp;IF($C3051="","","."&amp;$C3051&amp;"."&amp;$B3051)&amp;INDEX(VarEnd,MATCH($A3051,VarKey,0))&amp;AG$5</f>
        <v/>
      </c>
      <c r="AH3051" s="43">
        <f>AH3015*Settings!$C$13*(AH2943+AH2961+AH2952*AH$201+AH2970*$D3051)</f>
        <v/>
      </c>
      <c r="AI3051" s="44">
        <f>AI3015*Settings!$C$13*(AI2943+AI2961+AI2952*AI$201+AI2970*$D3051)</f>
        <v/>
      </c>
      <c r="AJ3051" s="44">
        <f>AJ3015*Settings!$C$13*(AJ2943+AJ2961+AJ2952*AJ$201+AJ2970*$D3051)</f>
        <v/>
      </c>
      <c r="AK3051" s="44">
        <f>AK3015*Settings!$C$13*(AK2943+AK2961+AK2952*AK$201+AK2970*$D3051)</f>
        <v/>
      </c>
      <c r="AL3051" s="44">
        <f>AL3015*Settings!$C$13*(AL2943+AL2961+AL2952*AL$201+AL2970*$D3051)</f>
        <v/>
      </c>
      <c r="AM3051" s="44">
        <f>AM3015*Settings!$C$13*(AM2943+AM2961+AM2952*AM$201+AM2970*$D3051)</f>
        <v/>
      </c>
      <c r="AN3051" s="44">
        <f>AN3015*Settings!$C$13*(AN2943+AN2961+AN2952*AN$201+AN2970*$D3051)</f>
        <v/>
      </c>
      <c r="AO3051" s="44">
        <f>AO3015*Settings!$C$13*(AO2943+AO2961+AO2952*AO$201+AO2970*$D3051)</f>
        <v/>
      </c>
      <c r="AP3051" s="44">
        <f>AP3015*Settings!$C$13*(AP2943+AP2961+AP2952*AP$201+AP2970*$D3051)</f>
        <v/>
      </c>
      <c r="AQ3051" s="44">
        <f>AQ3015*Settings!$C$13*(AQ2943+AQ2961+AQ2952*AQ$201+AQ2970*$D3051)</f>
        <v/>
      </c>
      <c r="AR3051" s="44">
        <f>AR3015*Settings!$C$13*(AR2943+AR2961+AR2952*AR$201+AR2970*$D3051)</f>
        <v/>
      </c>
      <c r="AS3051" s="44">
        <f>AS3015*Settings!$C$13*(AS2943+AS2961+AS2952*AS$201+AS2970*$D3051)</f>
        <v/>
      </c>
      <c r="AT3051" s="44">
        <f>AT3015*Settings!$C$13*(AT2943+AT2961+AT2952*AT$201+AT2970*$D3051)</f>
        <v/>
      </c>
      <c r="AU3051" s="44">
        <f>AU3015*Settings!$C$13*(AU2943+AU2961+AU2952*AU$201+AU2970*$D3051)</f>
        <v/>
      </c>
      <c r="AV3051" s="44">
        <f>AV3015*Settings!$C$13*(AV2943+AV2961+AV2952*AV$201+AV2970*$D3051)</f>
        <v/>
      </c>
      <c r="AW3051" s="44">
        <f>AW3015*Settings!$C$13*(AW2943+AW2961+AW2952*AW$201+AW2970*$D3051)</f>
        <v/>
      </c>
      <c r="AX3051" s="44">
        <f>AX3015*Settings!$C$13*(AX2943+AX2961+AX2952*AX$201+AX2970*$D3051)</f>
        <v/>
      </c>
      <c r="AY3051" s="44">
        <f>AY3015*Settings!$C$13*(AY2943+AY2961+AY2952*AY$201+AY2970*$D3051)</f>
        <v/>
      </c>
      <c r="AZ3051" s="44">
        <f>AZ3015*Settings!$C$13*(AZ2943+AZ2961+AZ2952*AZ$201+AZ2970*$D3051)</f>
        <v/>
      </c>
      <c r="BA3051" s="57">
        <f>REVENUE(BA3015,Settings!$C$13,NEWREVRATE(BA2943,BA2961,BA2952,BA$201,BA2970,$D3051))</f>
        <v/>
      </c>
    </row>
    <row r="3052" hidden="1" outlineLevel="2"/>
    <row r="3053" hidden="1" outlineLevel="2">
      <c r="A3053" s="14" t="inlineStr">
        <is>
          <t>rxcp</t>
        </is>
      </c>
      <c r="B3053" s="14" t="inlineStr">
        <is>
          <t>coa</t>
        </is>
      </c>
      <c r="C3053" s="14" t="inlineStr">
        <is>
          <t>oen</t>
        </is>
      </c>
      <c r="D3053" s="39" t="n"/>
      <c r="E3053" s="39" t="n"/>
      <c r="F3053" s="39" t="n"/>
      <c r="G3053" s="39" t="n"/>
      <c r="H3053" s="14">
        <f>INDEX(VarLab,MATCH($A3053,VarKey,0))&amp;INDEX(MemLab,MATCH($C3053&amp;"|"&amp;$B3053,MemKey,0))</f>
        <v/>
      </c>
      <c r="I3053" s="14">
        <f>INDEX(VarUnit,MATCH($A3053,VarKey,0))</f>
        <v/>
      </c>
      <c r="J3053" s="14">
        <f>INDEX(VarSrc,MATCH($A3053,VarKey,0))</f>
        <v/>
      </c>
      <c r="K3053" s="11">
        <f>CodePrefix&amp;$A3053&amp;IF($C3053="","","."&amp;$C3053&amp;"."&amp;$B3053)&amp;INDEX(VarEnd,MATCH($A3053,VarKey,0))&amp;K$5</f>
        <v/>
      </c>
      <c r="L3053" s="43">
        <f>L3008*Settings!$C$13*(L2972)</f>
        <v/>
      </c>
      <c r="M3053" s="44">
        <f>M3008*Settings!$C$13*(M2972)</f>
        <v/>
      </c>
      <c r="N3053" s="44">
        <f>N3008*Settings!$C$13*(N2972)</f>
        <v/>
      </c>
      <c r="O3053" s="44">
        <f>O3008*Settings!$C$13*(O2972)</f>
        <v/>
      </c>
      <c r="P3053" s="44">
        <f>P3008*Settings!$C$13*(P2972)</f>
        <v/>
      </c>
      <c r="Q3053" s="44">
        <f>Q3008*Settings!$C$13*(Q2972)</f>
        <v/>
      </c>
      <c r="R3053" s="44">
        <f>R3008*Settings!$C$13*(R2972)</f>
        <v/>
      </c>
      <c r="S3053" s="44">
        <f>S3008*Settings!$C$13*(S2972)</f>
        <v/>
      </c>
      <c r="T3053" s="44">
        <f>T3008*Settings!$C$13*(T2972)</f>
        <v/>
      </c>
      <c r="U3053" s="44">
        <f>U3008*Settings!$C$13*(U2972)</f>
        <v/>
      </c>
      <c r="V3053" s="44">
        <f>V3008*Settings!$C$13*(V2972)</f>
        <v/>
      </c>
      <c r="W3053" s="44">
        <f>W3008*Settings!$C$13*(W2972)</f>
        <v/>
      </c>
      <c r="X3053" s="44">
        <f>X3008*Settings!$C$13*(X2972)</f>
        <v/>
      </c>
      <c r="Y3053" s="44">
        <f>Y3008*Settings!$C$13*(Y2972)</f>
        <v/>
      </c>
      <c r="Z3053" s="44">
        <f>Z3008*Settings!$C$13*(Z2972)</f>
        <v/>
      </c>
      <c r="AA3053" s="44">
        <f>AA3008*Settings!$C$13*(AA2972)</f>
        <v/>
      </c>
      <c r="AB3053" s="44">
        <f>AB3008*Settings!$C$13*(AB2972)</f>
        <v/>
      </c>
      <c r="AC3053" s="44">
        <f>AC3008*Settings!$C$13*(AC2972)</f>
        <v/>
      </c>
      <c r="AD3053" s="44">
        <f>AD3008*Settings!$C$13*(AD2972)</f>
        <v/>
      </c>
      <c r="AE3053" s="57">
        <f>REVENUE(AE3008,Settings!$C$13,AE2972)</f>
        <v/>
      </c>
      <c r="AG3053" s="11">
        <f>CodePrefix&amp;$A3053&amp;IF($C3053="","","."&amp;$C3053&amp;"."&amp;$B3053)&amp;INDEX(VarEnd,MATCH($A3053,VarKey,0))&amp;AG$5</f>
        <v/>
      </c>
      <c r="AH3053" s="43">
        <f>AH3008*Settings!$C$13*(AH2972)</f>
        <v/>
      </c>
      <c r="AI3053" s="44">
        <f>AI3008*Settings!$C$13*(AI2972)</f>
        <v/>
      </c>
      <c r="AJ3053" s="44">
        <f>AJ3008*Settings!$C$13*(AJ2972)</f>
        <v/>
      </c>
      <c r="AK3053" s="44">
        <f>AK3008*Settings!$C$13*(AK2972)</f>
        <v/>
      </c>
      <c r="AL3053" s="44">
        <f>AL3008*Settings!$C$13*(AL2972)</f>
        <v/>
      </c>
      <c r="AM3053" s="44">
        <f>AM3008*Settings!$C$13*(AM2972)</f>
        <v/>
      </c>
      <c r="AN3053" s="44">
        <f>AN3008*Settings!$C$13*(AN2972)</f>
        <v/>
      </c>
      <c r="AO3053" s="44">
        <f>AO3008*Settings!$C$13*(AO2972)</f>
        <v/>
      </c>
      <c r="AP3053" s="44">
        <f>AP3008*Settings!$C$13*(AP2972)</f>
        <v/>
      </c>
      <c r="AQ3053" s="44">
        <f>AQ3008*Settings!$C$13*(AQ2972)</f>
        <v/>
      </c>
      <c r="AR3053" s="44">
        <f>AR3008*Settings!$C$13*(AR2972)</f>
        <v/>
      </c>
      <c r="AS3053" s="44">
        <f>AS3008*Settings!$C$13*(AS2972)</f>
        <v/>
      </c>
      <c r="AT3053" s="44">
        <f>AT3008*Settings!$C$13*(AT2972)</f>
        <v/>
      </c>
      <c r="AU3053" s="44">
        <f>AU3008*Settings!$C$13*(AU2972)</f>
        <v/>
      </c>
      <c r="AV3053" s="44">
        <f>AV3008*Settings!$C$13*(AV2972)</f>
        <v/>
      </c>
      <c r="AW3053" s="44">
        <f>AW3008*Settings!$C$13*(AW2972)</f>
        <v/>
      </c>
      <c r="AX3053" s="44">
        <f>AX3008*Settings!$C$13*(AX2972)</f>
        <v/>
      </c>
      <c r="AY3053" s="44">
        <f>AY3008*Settings!$C$13*(AY2972)</f>
        <v/>
      </c>
      <c r="AZ3053" s="44">
        <f>AZ3008*Settings!$C$13*(AZ2972)</f>
        <v/>
      </c>
      <c r="BA3053" s="57">
        <f>REVENUE(BA3008,Settings!$C$13,BA2972)</f>
        <v/>
      </c>
    </row>
    <row r="3054" hidden="1" outlineLevel="2">
      <c r="A3054" s="14" t="inlineStr">
        <is>
          <t>rxcp</t>
        </is>
      </c>
      <c r="B3054" s="14" t="inlineStr">
        <is>
          <t>nga</t>
        </is>
      </c>
      <c r="C3054" s="14" t="inlineStr">
        <is>
          <t>oen</t>
        </is>
      </c>
      <c r="D3054" s="39" t="n"/>
      <c r="E3054" s="39" t="n"/>
      <c r="F3054" s="39" t="n"/>
      <c r="G3054" s="39" t="n"/>
      <c r="H3054" s="14">
        <f>INDEX(VarLab,MATCH($A3054,VarKey,0))&amp;INDEX(MemLab,MATCH($C3054&amp;"|"&amp;$B3054,MemKey,0))</f>
        <v/>
      </c>
      <c r="I3054" s="14">
        <f>INDEX(VarUnit,MATCH($A3054,VarKey,0))</f>
        <v/>
      </c>
      <c r="J3054" s="14">
        <f>INDEX(VarSrc,MATCH($A3054,VarKey,0))</f>
        <v/>
      </c>
      <c r="K3054" s="11">
        <f>CodePrefix&amp;$A3054&amp;IF($C3054="","","."&amp;$C3054&amp;"."&amp;$B3054)&amp;INDEX(VarEnd,MATCH($A3054,VarKey,0))&amp;K$5</f>
        <v/>
      </c>
      <c r="L3054" s="43">
        <f>L3009*Settings!$C$13*(L2973)</f>
        <v/>
      </c>
      <c r="M3054" s="44">
        <f>M3009*Settings!$C$13*(M2973)</f>
        <v/>
      </c>
      <c r="N3054" s="44">
        <f>N3009*Settings!$C$13*(N2973)</f>
        <v/>
      </c>
      <c r="O3054" s="44">
        <f>O3009*Settings!$C$13*(O2973)</f>
        <v/>
      </c>
      <c r="P3054" s="44">
        <f>P3009*Settings!$C$13*(P2973)</f>
        <v/>
      </c>
      <c r="Q3054" s="44">
        <f>Q3009*Settings!$C$13*(Q2973)</f>
        <v/>
      </c>
      <c r="R3054" s="44">
        <f>R3009*Settings!$C$13*(R2973)</f>
        <v/>
      </c>
      <c r="S3054" s="44">
        <f>S3009*Settings!$C$13*(S2973)</f>
        <v/>
      </c>
      <c r="T3054" s="44">
        <f>T3009*Settings!$C$13*(T2973)</f>
        <v/>
      </c>
      <c r="U3054" s="44">
        <f>U3009*Settings!$C$13*(U2973)</f>
        <v/>
      </c>
      <c r="V3054" s="44">
        <f>V3009*Settings!$C$13*(V2973)</f>
        <v/>
      </c>
      <c r="W3054" s="44">
        <f>W3009*Settings!$C$13*(W2973)</f>
        <v/>
      </c>
      <c r="X3054" s="44">
        <f>X3009*Settings!$C$13*(X2973)</f>
        <v/>
      </c>
      <c r="Y3054" s="44">
        <f>Y3009*Settings!$C$13*(Y2973)</f>
        <v/>
      </c>
      <c r="Z3054" s="44">
        <f>Z3009*Settings!$C$13*(Z2973)</f>
        <v/>
      </c>
      <c r="AA3054" s="44">
        <f>AA3009*Settings!$C$13*(AA2973)</f>
        <v/>
      </c>
      <c r="AB3054" s="44">
        <f>AB3009*Settings!$C$13*(AB2973)</f>
        <v/>
      </c>
      <c r="AC3054" s="44">
        <f>AC3009*Settings!$C$13*(AC2973)</f>
        <v/>
      </c>
      <c r="AD3054" s="44">
        <f>AD3009*Settings!$C$13*(AD2973)</f>
        <v/>
      </c>
      <c r="AE3054" s="57">
        <f>REVENUE(AE3009,Settings!$C$13,AE2973)</f>
        <v/>
      </c>
      <c r="AG3054" s="11">
        <f>CodePrefix&amp;$A3054&amp;IF($C3054="","","."&amp;$C3054&amp;"."&amp;$B3054)&amp;INDEX(VarEnd,MATCH($A3054,VarKey,0))&amp;AG$5</f>
        <v/>
      </c>
      <c r="AH3054" s="43">
        <f>AH3009*Settings!$C$13*(AH2973)</f>
        <v/>
      </c>
      <c r="AI3054" s="44">
        <f>AI3009*Settings!$C$13*(AI2973)</f>
        <v/>
      </c>
      <c r="AJ3054" s="44">
        <f>AJ3009*Settings!$C$13*(AJ2973)</f>
        <v/>
      </c>
      <c r="AK3054" s="44">
        <f>AK3009*Settings!$C$13*(AK2973)</f>
        <v/>
      </c>
      <c r="AL3054" s="44">
        <f>AL3009*Settings!$C$13*(AL2973)</f>
        <v/>
      </c>
      <c r="AM3054" s="44">
        <f>AM3009*Settings!$C$13*(AM2973)</f>
        <v/>
      </c>
      <c r="AN3054" s="44">
        <f>AN3009*Settings!$C$13*(AN2973)</f>
        <v/>
      </c>
      <c r="AO3054" s="44">
        <f>AO3009*Settings!$C$13*(AO2973)</f>
        <v/>
      </c>
      <c r="AP3054" s="44">
        <f>AP3009*Settings!$C$13*(AP2973)</f>
        <v/>
      </c>
      <c r="AQ3054" s="44">
        <f>AQ3009*Settings!$C$13*(AQ2973)</f>
        <v/>
      </c>
      <c r="AR3054" s="44">
        <f>AR3009*Settings!$C$13*(AR2973)</f>
        <v/>
      </c>
      <c r="AS3054" s="44">
        <f>AS3009*Settings!$C$13*(AS2973)</f>
        <v/>
      </c>
      <c r="AT3054" s="44">
        <f>AT3009*Settings!$C$13*(AT2973)</f>
        <v/>
      </c>
      <c r="AU3054" s="44">
        <f>AU3009*Settings!$C$13*(AU2973)</f>
        <v/>
      </c>
      <c r="AV3054" s="44">
        <f>AV3009*Settings!$C$13*(AV2973)</f>
        <v/>
      </c>
      <c r="AW3054" s="44">
        <f>AW3009*Settings!$C$13*(AW2973)</f>
        <v/>
      </c>
      <c r="AX3054" s="44">
        <f>AX3009*Settings!$C$13*(AX2973)</f>
        <v/>
      </c>
      <c r="AY3054" s="44">
        <f>AY3009*Settings!$C$13*(AY2973)</f>
        <v/>
      </c>
      <c r="AZ3054" s="44">
        <f>AZ3009*Settings!$C$13*(AZ2973)</f>
        <v/>
      </c>
      <c r="BA3054" s="57">
        <f>REVENUE(BA3009,Settings!$C$13,BA2973)</f>
        <v/>
      </c>
    </row>
    <row r="3055" hidden="1" outlineLevel="2">
      <c r="A3055" s="14" t="inlineStr">
        <is>
          <t>rxcp</t>
        </is>
      </c>
      <c r="B3055" s="14" t="inlineStr">
        <is>
          <t>gso</t>
        </is>
      </c>
      <c r="C3055" s="14" t="inlineStr">
        <is>
          <t>oen</t>
        </is>
      </c>
      <c r="D3055" s="39" t="n"/>
      <c r="E3055" s="39" t="n"/>
      <c r="F3055" s="39" t="n"/>
      <c r="G3055" s="39" t="n"/>
      <c r="H3055" s="14">
        <f>INDEX(VarLab,MATCH($A3055,VarKey,0))&amp;INDEX(MemLab,MATCH($C3055&amp;"|"&amp;$B3055,MemKey,0))</f>
        <v/>
      </c>
      <c r="I3055" s="14">
        <f>INDEX(VarUnit,MATCH($A3055,VarKey,0))</f>
        <v/>
      </c>
      <c r="J3055" s="14">
        <f>INDEX(VarSrc,MATCH($A3055,VarKey,0))</f>
        <v/>
      </c>
      <c r="K3055" s="11">
        <f>CodePrefix&amp;$A3055&amp;IF($C3055="","","."&amp;$C3055&amp;"."&amp;$B3055)&amp;INDEX(VarEnd,MATCH($A3055,VarKey,0))&amp;K$5</f>
        <v/>
      </c>
      <c r="L3055" s="43">
        <f>L3010*Settings!$C$13*(L2974)</f>
        <v/>
      </c>
      <c r="M3055" s="44">
        <f>M3010*Settings!$C$13*(M2974)</f>
        <v/>
      </c>
      <c r="N3055" s="44">
        <f>N3010*Settings!$C$13*(N2974)</f>
        <v/>
      </c>
      <c r="O3055" s="44">
        <f>O3010*Settings!$C$13*(O2974)</f>
        <v/>
      </c>
      <c r="P3055" s="44">
        <f>P3010*Settings!$C$13*(P2974)</f>
        <v/>
      </c>
      <c r="Q3055" s="44">
        <f>Q3010*Settings!$C$13*(Q2974)</f>
        <v/>
      </c>
      <c r="R3055" s="44">
        <f>R3010*Settings!$C$13*(R2974)</f>
        <v/>
      </c>
      <c r="S3055" s="44">
        <f>S3010*Settings!$C$13*(S2974)</f>
        <v/>
      </c>
      <c r="T3055" s="44">
        <f>T3010*Settings!$C$13*(T2974)</f>
        <v/>
      </c>
      <c r="U3055" s="44">
        <f>U3010*Settings!$C$13*(U2974)</f>
        <v/>
      </c>
      <c r="V3055" s="44">
        <f>V3010*Settings!$C$13*(V2974)</f>
        <v/>
      </c>
      <c r="W3055" s="44">
        <f>W3010*Settings!$C$13*(W2974)</f>
        <v/>
      </c>
      <c r="X3055" s="44">
        <f>X3010*Settings!$C$13*(X2974)</f>
        <v/>
      </c>
      <c r="Y3055" s="44">
        <f>Y3010*Settings!$C$13*(Y2974)</f>
        <v/>
      </c>
      <c r="Z3055" s="44">
        <f>Z3010*Settings!$C$13*(Z2974)</f>
        <v/>
      </c>
      <c r="AA3055" s="44">
        <f>AA3010*Settings!$C$13*(AA2974)</f>
        <v/>
      </c>
      <c r="AB3055" s="44">
        <f>AB3010*Settings!$C$13*(AB2974)</f>
        <v/>
      </c>
      <c r="AC3055" s="44">
        <f>AC3010*Settings!$C$13*(AC2974)</f>
        <v/>
      </c>
      <c r="AD3055" s="44">
        <f>AD3010*Settings!$C$13*(AD2974)</f>
        <v/>
      </c>
      <c r="AE3055" s="57">
        <f>REVENUE(AE3010,Settings!$C$13,AE2974)</f>
        <v/>
      </c>
      <c r="AG3055" s="11">
        <f>CodePrefix&amp;$A3055&amp;IF($C3055="","","."&amp;$C3055&amp;"."&amp;$B3055)&amp;INDEX(VarEnd,MATCH($A3055,VarKey,0))&amp;AG$5</f>
        <v/>
      </c>
      <c r="AH3055" s="43">
        <f>AH3010*Settings!$C$13*(AH2974)</f>
        <v/>
      </c>
      <c r="AI3055" s="44">
        <f>AI3010*Settings!$C$13*(AI2974)</f>
        <v/>
      </c>
      <c r="AJ3055" s="44">
        <f>AJ3010*Settings!$C$13*(AJ2974)</f>
        <v/>
      </c>
      <c r="AK3055" s="44">
        <f>AK3010*Settings!$C$13*(AK2974)</f>
        <v/>
      </c>
      <c r="AL3055" s="44">
        <f>AL3010*Settings!$C$13*(AL2974)</f>
        <v/>
      </c>
      <c r="AM3055" s="44">
        <f>AM3010*Settings!$C$13*(AM2974)</f>
        <v/>
      </c>
      <c r="AN3055" s="44">
        <f>AN3010*Settings!$C$13*(AN2974)</f>
        <v/>
      </c>
      <c r="AO3055" s="44">
        <f>AO3010*Settings!$C$13*(AO2974)</f>
        <v/>
      </c>
      <c r="AP3055" s="44">
        <f>AP3010*Settings!$C$13*(AP2974)</f>
        <v/>
      </c>
      <c r="AQ3055" s="44">
        <f>AQ3010*Settings!$C$13*(AQ2974)</f>
        <v/>
      </c>
      <c r="AR3055" s="44">
        <f>AR3010*Settings!$C$13*(AR2974)</f>
        <v/>
      </c>
      <c r="AS3055" s="44">
        <f>AS3010*Settings!$C$13*(AS2974)</f>
        <v/>
      </c>
      <c r="AT3055" s="44">
        <f>AT3010*Settings!$C$13*(AT2974)</f>
        <v/>
      </c>
      <c r="AU3055" s="44">
        <f>AU3010*Settings!$C$13*(AU2974)</f>
        <v/>
      </c>
      <c r="AV3055" s="44">
        <f>AV3010*Settings!$C$13*(AV2974)</f>
        <v/>
      </c>
      <c r="AW3055" s="44">
        <f>AW3010*Settings!$C$13*(AW2974)</f>
        <v/>
      </c>
      <c r="AX3055" s="44">
        <f>AX3010*Settings!$C$13*(AX2974)</f>
        <v/>
      </c>
      <c r="AY3055" s="44">
        <f>AY3010*Settings!$C$13*(AY2974)</f>
        <v/>
      </c>
      <c r="AZ3055" s="44">
        <f>AZ3010*Settings!$C$13*(AZ2974)</f>
        <v/>
      </c>
      <c r="BA3055" s="57">
        <f>REVENUE(BA3010,Settings!$C$13,BA2974)</f>
        <v/>
      </c>
    </row>
    <row r="3056" hidden="1" outlineLevel="2">
      <c r="A3056" s="14" t="inlineStr">
        <is>
          <t>rxcp</t>
        </is>
      </c>
      <c r="B3056" s="14" t="inlineStr">
        <is>
          <t>die</t>
        </is>
      </c>
      <c r="C3056" s="14" t="inlineStr">
        <is>
          <t>oen</t>
        </is>
      </c>
      <c r="D3056" s="39" t="n"/>
      <c r="E3056" s="39" t="n"/>
      <c r="F3056" s="39" t="n"/>
      <c r="G3056" s="39" t="n"/>
      <c r="H3056" s="14">
        <f>INDEX(VarLab,MATCH($A3056,VarKey,0))&amp;INDEX(MemLab,MATCH($C3056&amp;"|"&amp;$B3056,MemKey,0))</f>
        <v/>
      </c>
      <c r="I3056" s="14">
        <f>INDEX(VarUnit,MATCH($A3056,VarKey,0))</f>
        <v/>
      </c>
      <c r="J3056" s="14">
        <f>INDEX(VarSrc,MATCH($A3056,VarKey,0))</f>
        <v/>
      </c>
      <c r="K3056" s="11">
        <f>CodePrefix&amp;$A3056&amp;IF($C3056="","","."&amp;$C3056&amp;"."&amp;$B3056)&amp;INDEX(VarEnd,MATCH($A3056,VarKey,0))&amp;K$5</f>
        <v/>
      </c>
      <c r="L3056" s="43">
        <f>L3011*Settings!$C$13*(L2975)</f>
        <v/>
      </c>
      <c r="M3056" s="44">
        <f>M3011*Settings!$C$13*(M2975)</f>
        <v/>
      </c>
      <c r="N3056" s="44">
        <f>N3011*Settings!$C$13*(N2975)</f>
        <v/>
      </c>
      <c r="O3056" s="44">
        <f>O3011*Settings!$C$13*(O2975)</f>
        <v/>
      </c>
      <c r="P3056" s="44">
        <f>P3011*Settings!$C$13*(P2975)</f>
        <v/>
      </c>
      <c r="Q3056" s="44">
        <f>Q3011*Settings!$C$13*(Q2975)</f>
        <v/>
      </c>
      <c r="R3056" s="44">
        <f>R3011*Settings!$C$13*(R2975)</f>
        <v/>
      </c>
      <c r="S3056" s="44">
        <f>S3011*Settings!$C$13*(S2975)</f>
        <v/>
      </c>
      <c r="T3056" s="44">
        <f>T3011*Settings!$C$13*(T2975)</f>
        <v/>
      </c>
      <c r="U3056" s="44">
        <f>U3011*Settings!$C$13*(U2975)</f>
        <v/>
      </c>
      <c r="V3056" s="44">
        <f>V3011*Settings!$C$13*(V2975)</f>
        <v/>
      </c>
      <c r="W3056" s="44">
        <f>W3011*Settings!$C$13*(W2975)</f>
        <v/>
      </c>
      <c r="X3056" s="44">
        <f>X3011*Settings!$C$13*(X2975)</f>
        <v/>
      </c>
      <c r="Y3056" s="44">
        <f>Y3011*Settings!$C$13*(Y2975)</f>
        <v/>
      </c>
      <c r="Z3056" s="44">
        <f>Z3011*Settings!$C$13*(Z2975)</f>
        <v/>
      </c>
      <c r="AA3056" s="44">
        <f>AA3011*Settings!$C$13*(AA2975)</f>
        <v/>
      </c>
      <c r="AB3056" s="44">
        <f>AB3011*Settings!$C$13*(AB2975)</f>
        <v/>
      </c>
      <c r="AC3056" s="44">
        <f>AC3011*Settings!$C$13*(AC2975)</f>
        <v/>
      </c>
      <c r="AD3056" s="44">
        <f>AD3011*Settings!$C$13*(AD2975)</f>
        <v/>
      </c>
      <c r="AE3056" s="57">
        <f>REVENUE(AE3011,Settings!$C$13,AE2975)</f>
        <v/>
      </c>
      <c r="AG3056" s="11">
        <f>CodePrefix&amp;$A3056&amp;IF($C3056="","","."&amp;$C3056&amp;"."&amp;$B3056)&amp;INDEX(VarEnd,MATCH($A3056,VarKey,0))&amp;AG$5</f>
        <v/>
      </c>
      <c r="AH3056" s="43">
        <f>AH3011*Settings!$C$13*(AH2975)</f>
        <v/>
      </c>
      <c r="AI3056" s="44">
        <f>AI3011*Settings!$C$13*(AI2975)</f>
        <v/>
      </c>
      <c r="AJ3056" s="44">
        <f>AJ3011*Settings!$C$13*(AJ2975)</f>
        <v/>
      </c>
      <c r="AK3056" s="44">
        <f>AK3011*Settings!$C$13*(AK2975)</f>
        <v/>
      </c>
      <c r="AL3056" s="44">
        <f>AL3011*Settings!$C$13*(AL2975)</f>
        <v/>
      </c>
      <c r="AM3056" s="44">
        <f>AM3011*Settings!$C$13*(AM2975)</f>
        <v/>
      </c>
      <c r="AN3056" s="44">
        <f>AN3011*Settings!$C$13*(AN2975)</f>
        <v/>
      </c>
      <c r="AO3056" s="44">
        <f>AO3011*Settings!$C$13*(AO2975)</f>
        <v/>
      </c>
      <c r="AP3056" s="44">
        <f>AP3011*Settings!$C$13*(AP2975)</f>
        <v/>
      </c>
      <c r="AQ3056" s="44">
        <f>AQ3011*Settings!$C$13*(AQ2975)</f>
        <v/>
      </c>
      <c r="AR3056" s="44">
        <f>AR3011*Settings!$C$13*(AR2975)</f>
        <v/>
      </c>
      <c r="AS3056" s="44">
        <f>AS3011*Settings!$C$13*(AS2975)</f>
        <v/>
      </c>
      <c r="AT3056" s="44">
        <f>AT3011*Settings!$C$13*(AT2975)</f>
        <v/>
      </c>
      <c r="AU3056" s="44">
        <f>AU3011*Settings!$C$13*(AU2975)</f>
        <v/>
      </c>
      <c r="AV3056" s="44">
        <f>AV3011*Settings!$C$13*(AV2975)</f>
        <v/>
      </c>
      <c r="AW3056" s="44">
        <f>AW3011*Settings!$C$13*(AW2975)</f>
        <v/>
      </c>
      <c r="AX3056" s="44">
        <f>AX3011*Settings!$C$13*(AX2975)</f>
        <v/>
      </c>
      <c r="AY3056" s="44">
        <f>AY3011*Settings!$C$13*(AY2975)</f>
        <v/>
      </c>
      <c r="AZ3056" s="44">
        <f>AZ3011*Settings!$C$13*(AZ2975)</f>
        <v/>
      </c>
      <c r="BA3056" s="57">
        <f>REVENUE(BA3011,Settings!$C$13,BA2975)</f>
        <v/>
      </c>
    </row>
    <row r="3057" hidden="1" outlineLevel="2">
      <c r="A3057" s="14" t="inlineStr">
        <is>
          <t>rxcp</t>
        </is>
      </c>
      <c r="B3057" s="14" t="inlineStr">
        <is>
          <t>lpg</t>
        </is>
      </c>
      <c r="C3057" s="14" t="inlineStr">
        <is>
          <t>oen</t>
        </is>
      </c>
      <c r="D3057" s="39" t="n"/>
      <c r="E3057" s="39" t="n"/>
      <c r="F3057" s="39" t="n"/>
      <c r="G3057" s="39" t="n"/>
      <c r="H3057" s="14">
        <f>INDEX(VarLab,MATCH($A3057,VarKey,0))&amp;INDEX(MemLab,MATCH($C3057&amp;"|"&amp;$B3057,MemKey,0))</f>
        <v/>
      </c>
      <c r="I3057" s="14">
        <f>INDEX(VarUnit,MATCH($A3057,VarKey,0))</f>
        <v/>
      </c>
      <c r="J3057" s="14">
        <f>INDEX(VarSrc,MATCH($A3057,VarKey,0))</f>
        <v/>
      </c>
      <c r="K3057" s="11">
        <f>CodePrefix&amp;$A3057&amp;IF($C3057="","","."&amp;$C3057&amp;"."&amp;$B3057)&amp;INDEX(VarEnd,MATCH($A3057,VarKey,0))&amp;K$5</f>
        <v/>
      </c>
      <c r="L3057" s="43">
        <f>L3012*Settings!$C$13*(L2976)</f>
        <v/>
      </c>
      <c r="M3057" s="44">
        <f>M3012*Settings!$C$13*(M2976)</f>
        <v/>
      </c>
      <c r="N3057" s="44">
        <f>N3012*Settings!$C$13*(N2976)</f>
        <v/>
      </c>
      <c r="O3057" s="44">
        <f>O3012*Settings!$C$13*(O2976)</f>
        <v/>
      </c>
      <c r="P3057" s="44">
        <f>P3012*Settings!$C$13*(P2976)</f>
        <v/>
      </c>
      <c r="Q3057" s="44">
        <f>Q3012*Settings!$C$13*(Q2976)</f>
        <v/>
      </c>
      <c r="R3057" s="44">
        <f>R3012*Settings!$C$13*(R2976)</f>
        <v/>
      </c>
      <c r="S3057" s="44">
        <f>S3012*Settings!$C$13*(S2976)</f>
        <v/>
      </c>
      <c r="T3057" s="44">
        <f>T3012*Settings!$C$13*(T2976)</f>
        <v/>
      </c>
      <c r="U3057" s="44">
        <f>U3012*Settings!$C$13*(U2976)</f>
        <v/>
      </c>
      <c r="V3057" s="44">
        <f>V3012*Settings!$C$13*(V2976)</f>
        <v/>
      </c>
      <c r="W3057" s="44">
        <f>W3012*Settings!$C$13*(W2976)</f>
        <v/>
      </c>
      <c r="X3057" s="44">
        <f>X3012*Settings!$C$13*(X2976)</f>
        <v/>
      </c>
      <c r="Y3057" s="44">
        <f>Y3012*Settings!$C$13*(Y2976)</f>
        <v/>
      </c>
      <c r="Z3057" s="44">
        <f>Z3012*Settings!$C$13*(Z2976)</f>
        <v/>
      </c>
      <c r="AA3057" s="44">
        <f>AA3012*Settings!$C$13*(AA2976)</f>
        <v/>
      </c>
      <c r="AB3057" s="44">
        <f>AB3012*Settings!$C$13*(AB2976)</f>
        <v/>
      </c>
      <c r="AC3057" s="44">
        <f>AC3012*Settings!$C$13*(AC2976)</f>
        <v/>
      </c>
      <c r="AD3057" s="44">
        <f>AD3012*Settings!$C$13*(AD2976)</f>
        <v/>
      </c>
      <c r="AE3057" s="57">
        <f>REVENUE(AE3012,Settings!$C$13,AE2976)</f>
        <v/>
      </c>
      <c r="AG3057" s="11">
        <f>CodePrefix&amp;$A3057&amp;IF($C3057="","","."&amp;$C3057&amp;"."&amp;$B3057)&amp;INDEX(VarEnd,MATCH($A3057,VarKey,0))&amp;AG$5</f>
        <v/>
      </c>
      <c r="AH3057" s="43">
        <f>AH3012*Settings!$C$13*(AH2976)</f>
        <v/>
      </c>
      <c r="AI3057" s="44">
        <f>AI3012*Settings!$C$13*(AI2976)</f>
        <v/>
      </c>
      <c r="AJ3057" s="44">
        <f>AJ3012*Settings!$C$13*(AJ2976)</f>
        <v/>
      </c>
      <c r="AK3057" s="44">
        <f>AK3012*Settings!$C$13*(AK2976)</f>
        <v/>
      </c>
      <c r="AL3057" s="44">
        <f>AL3012*Settings!$C$13*(AL2976)</f>
        <v/>
      </c>
      <c r="AM3057" s="44">
        <f>AM3012*Settings!$C$13*(AM2976)</f>
        <v/>
      </c>
      <c r="AN3057" s="44">
        <f>AN3012*Settings!$C$13*(AN2976)</f>
        <v/>
      </c>
      <c r="AO3057" s="44">
        <f>AO3012*Settings!$C$13*(AO2976)</f>
        <v/>
      </c>
      <c r="AP3057" s="44">
        <f>AP3012*Settings!$C$13*(AP2976)</f>
        <v/>
      </c>
      <c r="AQ3057" s="44">
        <f>AQ3012*Settings!$C$13*(AQ2976)</f>
        <v/>
      </c>
      <c r="AR3057" s="44">
        <f>AR3012*Settings!$C$13*(AR2976)</f>
        <v/>
      </c>
      <c r="AS3057" s="44">
        <f>AS3012*Settings!$C$13*(AS2976)</f>
        <v/>
      </c>
      <c r="AT3057" s="44">
        <f>AT3012*Settings!$C$13*(AT2976)</f>
        <v/>
      </c>
      <c r="AU3057" s="44">
        <f>AU3012*Settings!$C$13*(AU2976)</f>
        <v/>
      </c>
      <c r="AV3057" s="44">
        <f>AV3012*Settings!$C$13*(AV2976)</f>
        <v/>
      </c>
      <c r="AW3057" s="44">
        <f>AW3012*Settings!$C$13*(AW2976)</f>
        <v/>
      </c>
      <c r="AX3057" s="44">
        <f>AX3012*Settings!$C$13*(AX2976)</f>
        <v/>
      </c>
      <c r="AY3057" s="44">
        <f>AY3012*Settings!$C$13*(AY2976)</f>
        <v/>
      </c>
      <c r="AZ3057" s="44">
        <f>AZ3012*Settings!$C$13*(AZ2976)</f>
        <v/>
      </c>
      <c r="BA3057" s="57">
        <f>REVENUE(BA3012,Settings!$C$13,BA2976)</f>
        <v/>
      </c>
    </row>
    <row r="3058" hidden="1" outlineLevel="2">
      <c r="A3058" s="14" t="inlineStr">
        <is>
          <t>rxcp</t>
        </is>
      </c>
      <c r="B3058" s="14" t="inlineStr">
        <is>
          <t>ker</t>
        </is>
      </c>
      <c r="C3058" s="14" t="inlineStr">
        <is>
          <t>oen</t>
        </is>
      </c>
      <c r="D3058" s="39" t="n"/>
      <c r="E3058" s="39" t="n"/>
      <c r="F3058" s="39" t="n"/>
      <c r="G3058" s="39" t="n"/>
      <c r="H3058" s="14">
        <f>INDEX(VarLab,MATCH($A3058,VarKey,0))&amp;INDEX(MemLab,MATCH($C3058&amp;"|"&amp;$B3058,MemKey,0))</f>
        <v/>
      </c>
      <c r="I3058" s="14">
        <f>INDEX(VarUnit,MATCH($A3058,VarKey,0))</f>
        <v/>
      </c>
      <c r="J3058" s="14">
        <f>INDEX(VarSrc,MATCH($A3058,VarKey,0))</f>
        <v/>
      </c>
      <c r="K3058" s="11">
        <f>CodePrefix&amp;$A3058&amp;IF($C3058="","","."&amp;$C3058&amp;"."&amp;$B3058)&amp;INDEX(VarEnd,MATCH($A3058,VarKey,0))&amp;K$5</f>
        <v/>
      </c>
      <c r="L3058" s="43">
        <f>L3013*Settings!$C$13*(L2977)</f>
        <v/>
      </c>
      <c r="M3058" s="44">
        <f>M3013*Settings!$C$13*(M2977)</f>
        <v/>
      </c>
      <c r="N3058" s="44">
        <f>N3013*Settings!$C$13*(N2977)</f>
        <v/>
      </c>
      <c r="O3058" s="44">
        <f>O3013*Settings!$C$13*(O2977)</f>
        <v/>
      </c>
      <c r="P3058" s="44">
        <f>P3013*Settings!$C$13*(P2977)</f>
        <v/>
      </c>
      <c r="Q3058" s="44">
        <f>Q3013*Settings!$C$13*(Q2977)</f>
        <v/>
      </c>
      <c r="R3058" s="44">
        <f>R3013*Settings!$C$13*(R2977)</f>
        <v/>
      </c>
      <c r="S3058" s="44">
        <f>S3013*Settings!$C$13*(S2977)</f>
        <v/>
      </c>
      <c r="T3058" s="44">
        <f>T3013*Settings!$C$13*(T2977)</f>
        <v/>
      </c>
      <c r="U3058" s="44">
        <f>U3013*Settings!$C$13*(U2977)</f>
        <v/>
      </c>
      <c r="V3058" s="44">
        <f>V3013*Settings!$C$13*(V2977)</f>
        <v/>
      </c>
      <c r="W3058" s="44">
        <f>W3013*Settings!$C$13*(W2977)</f>
        <v/>
      </c>
      <c r="X3058" s="44">
        <f>X3013*Settings!$C$13*(X2977)</f>
        <v/>
      </c>
      <c r="Y3058" s="44">
        <f>Y3013*Settings!$C$13*(Y2977)</f>
        <v/>
      </c>
      <c r="Z3058" s="44">
        <f>Z3013*Settings!$C$13*(Z2977)</f>
        <v/>
      </c>
      <c r="AA3058" s="44">
        <f>AA3013*Settings!$C$13*(AA2977)</f>
        <v/>
      </c>
      <c r="AB3058" s="44">
        <f>AB3013*Settings!$C$13*(AB2977)</f>
        <v/>
      </c>
      <c r="AC3058" s="44">
        <f>AC3013*Settings!$C$13*(AC2977)</f>
        <v/>
      </c>
      <c r="AD3058" s="44">
        <f>AD3013*Settings!$C$13*(AD2977)</f>
        <v/>
      </c>
      <c r="AE3058" s="57">
        <f>REVENUE(AE3013,Settings!$C$13,AE2977)</f>
        <v/>
      </c>
      <c r="AG3058" s="11">
        <f>CodePrefix&amp;$A3058&amp;IF($C3058="","","."&amp;$C3058&amp;"."&amp;$B3058)&amp;INDEX(VarEnd,MATCH($A3058,VarKey,0))&amp;AG$5</f>
        <v/>
      </c>
      <c r="AH3058" s="43">
        <f>AH3013*Settings!$C$13*(AH2977)</f>
        <v/>
      </c>
      <c r="AI3058" s="44">
        <f>AI3013*Settings!$C$13*(AI2977)</f>
        <v/>
      </c>
      <c r="AJ3058" s="44">
        <f>AJ3013*Settings!$C$13*(AJ2977)</f>
        <v/>
      </c>
      <c r="AK3058" s="44">
        <f>AK3013*Settings!$C$13*(AK2977)</f>
        <v/>
      </c>
      <c r="AL3058" s="44">
        <f>AL3013*Settings!$C$13*(AL2977)</f>
        <v/>
      </c>
      <c r="AM3058" s="44">
        <f>AM3013*Settings!$C$13*(AM2977)</f>
        <v/>
      </c>
      <c r="AN3058" s="44">
        <f>AN3013*Settings!$C$13*(AN2977)</f>
        <v/>
      </c>
      <c r="AO3058" s="44">
        <f>AO3013*Settings!$C$13*(AO2977)</f>
        <v/>
      </c>
      <c r="AP3058" s="44">
        <f>AP3013*Settings!$C$13*(AP2977)</f>
        <v/>
      </c>
      <c r="AQ3058" s="44">
        <f>AQ3013*Settings!$C$13*(AQ2977)</f>
        <v/>
      </c>
      <c r="AR3058" s="44">
        <f>AR3013*Settings!$C$13*(AR2977)</f>
        <v/>
      </c>
      <c r="AS3058" s="44">
        <f>AS3013*Settings!$C$13*(AS2977)</f>
        <v/>
      </c>
      <c r="AT3058" s="44">
        <f>AT3013*Settings!$C$13*(AT2977)</f>
        <v/>
      </c>
      <c r="AU3058" s="44">
        <f>AU3013*Settings!$C$13*(AU2977)</f>
        <v/>
      </c>
      <c r="AV3058" s="44">
        <f>AV3013*Settings!$C$13*(AV2977)</f>
        <v/>
      </c>
      <c r="AW3058" s="44">
        <f>AW3013*Settings!$C$13*(AW2977)</f>
        <v/>
      </c>
      <c r="AX3058" s="44">
        <f>AX3013*Settings!$C$13*(AX2977)</f>
        <v/>
      </c>
      <c r="AY3058" s="44">
        <f>AY3013*Settings!$C$13*(AY2977)</f>
        <v/>
      </c>
      <c r="AZ3058" s="44">
        <f>AZ3013*Settings!$C$13*(AZ2977)</f>
        <v/>
      </c>
      <c r="BA3058" s="57">
        <f>REVENUE(BA3013,Settings!$C$13,BA2977)</f>
        <v/>
      </c>
    </row>
    <row r="3059" hidden="1" outlineLevel="2">
      <c r="A3059" s="14" t="inlineStr">
        <is>
          <t>rxcp</t>
        </is>
      </c>
      <c r="B3059" s="14" t="inlineStr">
        <is>
          <t>oop</t>
        </is>
      </c>
      <c r="C3059" s="14" t="inlineStr">
        <is>
          <t>oen</t>
        </is>
      </c>
      <c r="D3059" s="39" t="n"/>
      <c r="E3059" s="39" t="n"/>
      <c r="F3059" s="39" t="n"/>
      <c r="G3059" s="39" t="n"/>
      <c r="H3059" s="14">
        <f>INDEX(VarLab,MATCH($A3059,VarKey,0))&amp;INDEX(MemLab,MATCH($C3059&amp;"|"&amp;$B3059,MemKey,0))</f>
        <v/>
      </c>
      <c r="I3059" s="14">
        <f>INDEX(VarUnit,MATCH($A3059,VarKey,0))</f>
        <v/>
      </c>
      <c r="J3059" s="14">
        <f>INDEX(VarSrc,MATCH($A3059,VarKey,0))</f>
        <v/>
      </c>
      <c r="K3059" s="11">
        <f>CodePrefix&amp;$A3059&amp;IF($C3059="","","."&amp;$C3059&amp;"."&amp;$B3059)&amp;INDEX(VarEnd,MATCH($A3059,VarKey,0))&amp;K$5</f>
        <v/>
      </c>
      <c r="L3059" s="43">
        <f>L3014*Settings!$C$13*(L2978)</f>
        <v/>
      </c>
      <c r="M3059" s="44">
        <f>M3014*Settings!$C$13*(M2978)</f>
        <v/>
      </c>
      <c r="N3059" s="44">
        <f>N3014*Settings!$C$13*(N2978)</f>
        <v/>
      </c>
      <c r="O3059" s="44">
        <f>O3014*Settings!$C$13*(O2978)</f>
        <v/>
      </c>
      <c r="P3059" s="44">
        <f>P3014*Settings!$C$13*(P2978)</f>
        <v/>
      </c>
      <c r="Q3059" s="44">
        <f>Q3014*Settings!$C$13*(Q2978)</f>
        <v/>
      </c>
      <c r="R3059" s="44">
        <f>R3014*Settings!$C$13*(R2978)</f>
        <v/>
      </c>
      <c r="S3059" s="44">
        <f>S3014*Settings!$C$13*(S2978)</f>
        <v/>
      </c>
      <c r="T3059" s="44">
        <f>T3014*Settings!$C$13*(T2978)</f>
        <v/>
      </c>
      <c r="U3059" s="44">
        <f>U3014*Settings!$C$13*(U2978)</f>
        <v/>
      </c>
      <c r="V3059" s="44">
        <f>V3014*Settings!$C$13*(V2978)</f>
        <v/>
      </c>
      <c r="W3059" s="44">
        <f>W3014*Settings!$C$13*(W2978)</f>
        <v/>
      </c>
      <c r="X3059" s="44">
        <f>X3014*Settings!$C$13*(X2978)</f>
        <v/>
      </c>
      <c r="Y3059" s="44">
        <f>Y3014*Settings!$C$13*(Y2978)</f>
        <v/>
      </c>
      <c r="Z3059" s="44">
        <f>Z3014*Settings!$C$13*(Z2978)</f>
        <v/>
      </c>
      <c r="AA3059" s="44">
        <f>AA3014*Settings!$C$13*(AA2978)</f>
        <v/>
      </c>
      <c r="AB3059" s="44">
        <f>AB3014*Settings!$C$13*(AB2978)</f>
        <v/>
      </c>
      <c r="AC3059" s="44">
        <f>AC3014*Settings!$C$13*(AC2978)</f>
        <v/>
      </c>
      <c r="AD3059" s="44">
        <f>AD3014*Settings!$C$13*(AD2978)</f>
        <v/>
      </c>
      <c r="AE3059" s="57">
        <f>REVENUE(AE3014,Settings!$C$13,AE2978)</f>
        <v/>
      </c>
      <c r="AG3059" s="11">
        <f>CodePrefix&amp;$A3059&amp;IF($C3059="","","."&amp;$C3059&amp;"."&amp;$B3059)&amp;INDEX(VarEnd,MATCH($A3059,VarKey,0))&amp;AG$5</f>
        <v/>
      </c>
      <c r="AH3059" s="43">
        <f>AH3014*Settings!$C$13*(AH2978)</f>
        <v/>
      </c>
      <c r="AI3059" s="44">
        <f>AI3014*Settings!$C$13*(AI2978)</f>
        <v/>
      </c>
      <c r="AJ3059" s="44">
        <f>AJ3014*Settings!$C$13*(AJ2978)</f>
        <v/>
      </c>
      <c r="AK3059" s="44">
        <f>AK3014*Settings!$C$13*(AK2978)</f>
        <v/>
      </c>
      <c r="AL3059" s="44">
        <f>AL3014*Settings!$C$13*(AL2978)</f>
        <v/>
      </c>
      <c r="AM3059" s="44">
        <f>AM3014*Settings!$C$13*(AM2978)</f>
        <v/>
      </c>
      <c r="AN3059" s="44">
        <f>AN3014*Settings!$C$13*(AN2978)</f>
        <v/>
      </c>
      <c r="AO3059" s="44">
        <f>AO3014*Settings!$C$13*(AO2978)</f>
        <v/>
      </c>
      <c r="AP3059" s="44">
        <f>AP3014*Settings!$C$13*(AP2978)</f>
        <v/>
      </c>
      <c r="AQ3059" s="44">
        <f>AQ3014*Settings!$C$13*(AQ2978)</f>
        <v/>
      </c>
      <c r="AR3059" s="44">
        <f>AR3014*Settings!$C$13*(AR2978)</f>
        <v/>
      </c>
      <c r="AS3059" s="44">
        <f>AS3014*Settings!$C$13*(AS2978)</f>
        <v/>
      </c>
      <c r="AT3059" s="44">
        <f>AT3014*Settings!$C$13*(AT2978)</f>
        <v/>
      </c>
      <c r="AU3059" s="44">
        <f>AU3014*Settings!$C$13*(AU2978)</f>
        <v/>
      </c>
      <c r="AV3059" s="44">
        <f>AV3014*Settings!$C$13*(AV2978)</f>
        <v/>
      </c>
      <c r="AW3059" s="44">
        <f>AW3014*Settings!$C$13*(AW2978)</f>
        <v/>
      </c>
      <c r="AX3059" s="44">
        <f>AX3014*Settings!$C$13*(AX2978)</f>
        <v/>
      </c>
      <c r="AY3059" s="44">
        <f>AY3014*Settings!$C$13*(AY2978)</f>
        <v/>
      </c>
      <c r="AZ3059" s="44">
        <f>AZ3014*Settings!$C$13*(AZ2978)</f>
        <v/>
      </c>
      <c r="BA3059" s="57">
        <f>REVENUE(BA3014,Settings!$C$13,BA2978)</f>
        <v/>
      </c>
    </row>
    <row r="3060" hidden="1" outlineLevel="2">
      <c r="A3060" s="14" t="inlineStr">
        <is>
          <t>rxcp</t>
        </is>
      </c>
      <c r="B3060" s="14" t="inlineStr">
        <is>
          <t>bio</t>
        </is>
      </c>
      <c r="C3060" s="14" t="inlineStr">
        <is>
          <t>oen</t>
        </is>
      </c>
      <c r="D3060" s="39" t="n"/>
      <c r="E3060" s="39" t="n"/>
      <c r="F3060" s="39" t="n"/>
      <c r="G3060" s="39" t="n"/>
      <c r="H3060" s="14">
        <f>INDEX(VarLab,MATCH($A3060,VarKey,0))&amp;INDEX(MemLab,MATCH($C3060&amp;"|"&amp;$B3060,MemKey,0))</f>
        <v/>
      </c>
      <c r="I3060" s="14">
        <f>INDEX(VarUnit,MATCH($A3060,VarKey,0))</f>
        <v/>
      </c>
      <c r="J3060" s="14">
        <f>INDEX(VarSrc,MATCH($A3060,VarKey,0))</f>
        <v/>
      </c>
      <c r="K3060" s="11">
        <f>CodePrefix&amp;$A3060&amp;IF($C3060="","","."&amp;$C3060&amp;"."&amp;$B3060)&amp;INDEX(VarEnd,MATCH($A3060,VarKey,0))&amp;K$5</f>
        <v/>
      </c>
      <c r="L3060" s="43">
        <f>L3015*Settings!$C$13*(L2979)</f>
        <v/>
      </c>
      <c r="M3060" s="44">
        <f>M3015*Settings!$C$13*(M2979)</f>
        <v/>
      </c>
      <c r="N3060" s="44">
        <f>N3015*Settings!$C$13*(N2979)</f>
        <v/>
      </c>
      <c r="O3060" s="44">
        <f>O3015*Settings!$C$13*(O2979)</f>
        <v/>
      </c>
      <c r="P3060" s="44">
        <f>P3015*Settings!$C$13*(P2979)</f>
        <v/>
      </c>
      <c r="Q3060" s="44">
        <f>Q3015*Settings!$C$13*(Q2979)</f>
        <v/>
      </c>
      <c r="R3060" s="44">
        <f>R3015*Settings!$C$13*(R2979)</f>
        <v/>
      </c>
      <c r="S3060" s="44">
        <f>S3015*Settings!$C$13*(S2979)</f>
        <v/>
      </c>
      <c r="T3060" s="44">
        <f>T3015*Settings!$C$13*(T2979)</f>
        <v/>
      </c>
      <c r="U3060" s="44">
        <f>U3015*Settings!$C$13*(U2979)</f>
        <v/>
      </c>
      <c r="V3060" s="44">
        <f>V3015*Settings!$C$13*(V2979)</f>
        <v/>
      </c>
      <c r="W3060" s="44">
        <f>W3015*Settings!$C$13*(W2979)</f>
        <v/>
      </c>
      <c r="X3060" s="44">
        <f>X3015*Settings!$C$13*(X2979)</f>
        <v/>
      </c>
      <c r="Y3060" s="44">
        <f>Y3015*Settings!$C$13*(Y2979)</f>
        <v/>
      </c>
      <c r="Z3060" s="44">
        <f>Z3015*Settings!$C$13*(Z2979)</f>
        <v/>
      </c>
      <c r="AA3060" s="44">
        <f>AA3015*Settings!$C$13*(AA2979)</f>
        <v/>
      </c>
      <c r="AB3060" s="44">
        <f>AB3015*Settings!$C$13*(AB2979)</f>
        <v/>
      </c>
      <c r="AC3060" s="44">
        <f>AC3015*Settings!$C$13*(AC2979)</f>
        <v/>
      </c>
      <c r="AD3060" s="44">
        <f>AD3015*Settings!$C$13*(AD2979)</f>
        <v/>
      </c>
      <c r="AE3060" s="57">
        <f>REVENUE(AE3015,Settings!$C$13,AE2979)</f>
        <v/>
      </c>
      <c r="AG3060" s="11">
        <f>CodePrefix&amp;$A3060&amp;IF($C3060="","","."&amp;$C3060&amp;"."&amp;$B3060)&amp;INDEX(VarEnd,MATCH($A3060,VarKey,0))&amp;AG$5</f>
        <v/>
      </c>
      <c r="AH3060" s="43">
        <f>AH3015*Settings!$C$13*(AH2979)</f>
        <v/>
      </c>
      <c r="AI3060" s="44">
        <f>AI3015*Settings!$C$13*(AI2979)</f>
        <v/>
      </c>
      <c r="AJ3060" s="44">
        <f>AJ3015*Settings!$C$13*(AJ2979)</f>
        <v/>
      </c>
      <c r="AK3060" s="44">
        <f>AK3015*Settings!$C$13*(AK2979)</f>
        <v/>
      </c>
      <c r="AL3060" s="44">
        <f>AL3015*Settings!$C$13*(AL2979)</f>
        <v/>
      </c>
      <c r="AM3060" s="44">
        <f>AM3015*Settings!$C$13*(AM2979)</f>
        <v/>
      </c>
      <c r="AN3060" s="44">
        <f>AN3015*Settings!$C$13*(AN2979)</f>
        <v/>
      </c>
      <c r="AO3060" s="44">
        <f>AO3015*Settings!$C$13*(AO2979)</f>
        <v/>
      </c>
      <c r="AP3060" s="44">
        <f>AP3015*Settings!$C$13*(AP2979)</f>
        <v/>
      </c>
      <c r="AQ3060" s="44">
        <f>AQ3015*Settings!$C$13*(AQ2979)</f>
        <v/>
      </c>
      <c r="AR3060" s="44">
        <f>AR3015*Settings!$C$13*(AR2979)</f>
        <v/>
      </c>
      <c r="AS3060" s="44">
        <f>AS3015*Settings!$C$13*(AS2979)</f>
        <v/>
      </c>
      <c r="AT3060" s="44">
        <f>AT3015*Settings!$C$13*(AT2979)</f>
        <v/>
      </c>
      <c r="AU3060" s="44">
        <f>AU3015*Settings!$C$13*(AU2979)</f>
        <v/>
      </c>
      <c r="AV3060" s="44">
        <f>AV3015*Settings!$C$13*(AV2979)</f>
        <v/>
      </c>
      <c r="AW3060" s="44">
        <f>AW3015*Settings!$C$13*(AW2979)</f>
        <v/>
      </c>
      <c r="AX3060" s="44">
        <f>AX3015*Settings!$C$13*(AX2979)</f>
        <v/>
      </c>
      <c r="AY3060" s="44">
        <f>AY3015*Settings!$C$13*(AY2979)</f>
        <v/>
      </c>
      <c r="AZ3060" s="44">
        <f>AZ3015*Settings!$C$13*(AZ2979)</f>
        <v/>
      </c>
      <c r="BA3060" s="57">
        <f>REVENUE(BA3015,Settings!$C$13,BA2979)</f>
        <v/>
      </c>
    </row>
    <row r="3061" hidden="1" outlineLevel="2"/>
    <row r="3062" collapsed="1"/>
    <row r="3063">
      <c r="A3063" s="4" t="inlineStr">
        <is>
          <t>11. Results - energy consumption (fuel use of the subsectors and of power generation, ktoe)</t>
        </is>
      </c>
      <c r="B3063" s="5" t="n"/>
      <c r="C3063" s="5" t="n"/>
      <c r="D3063" s="5" t="n"/>
      <c r="E3063" s="5" t="n"/>
      <c r="F3063" s="5" t="n"/>
      <c r="G3063" s="5" t="n"/>
      <c r="H3063" s="5" t="n"/>
      <c r="I3063" s="5" t="n"/>
      <c r="J3063" s="5" t="n"/>
      <c r="K3063" s="5" t="n"/>
      <c r="L3063" s="5" t="n"/>
      <c r="M3063" s="5" t="n"/>
      <c r="N3063" s="5" t="n"/>
      <c r="O3063" s="5" t="n"/>
      <c r="P3063" s="5" t="n"/>
      <c r="Q3063" s="5" t="n"/>
      <c r="R3063" s="5" t="n"/>
      <c r="S3063" s="5" t="n"/>
      <c r="T3063" s="5" t="n"/>
      <c r="U3063" s="5" t="n"/>
      <c r="V3063" s="5" t="n"/>
      <c r="W3063" s="5" t="n"/>
      <c r="X3063" s="5" t="n"/>
      <c r="Y3063" s="5" t="n"/>
      <c r="Z3063" s="5" t="n"/>
      <c r="AA3063" s="5" t="n"/>
      <c r="AB3063" s="5" t="n"/>
      <c r="AC3063" s="5" t="n"/>
      <c r="AD3063" s="5" t="n"/>
      <c r="AE3063" s="5" t="n"/>
      <c r="AF3063" s="5" t="n"/>
      <c r="AG3063" s="5" t="n"/>
      <c r="AH3063" s="5" t="n"/>
      <c r="AI3063" s="5" t="n"/>
      <c r="AJ3063" s="5" t="n"/>
      <c r="AK3063" s="5" t="n"/>
      <c r="AL3063" s="5" t="n"/>
      <c r="AM3063" s="5" t="n"/>
      <c r="AN3063" s="5" t="n"/>
      <c r="AO3063" s="5" t="n"/>
      <c r="AP3063" s="5" t="n"/>
      <c r="AQ3063" s="5" t="n"/>
      <c r="AR3063" s="5" t="n"/>
      <c r="AS3063" s="5" t="n"/>
      <c r="AT3063" s="5" t="n"/>
      <c r="AU3063" s="5" t="n"/>
      <c r="AV3063" s="5" t="n"/>
      <c r="AW3063" s="5" t="n"/>
      <c r="AX3063" s="5" t="n"/>
      <c r="AY3063" s="5" t="n"/>
      <c r="AZ3063" s="5" t="n"/>
      <c r="BA3063" s="5" t="n"/>
      <c r="BB3063" s="5" t="n"/>
    </row>
    <row r="3064">
      <c r="A3064" s="1" t="inlineStr">
        <is>
          <t>ener</t>
        </is>
      </c>
      <c r="B3064" s="1" t="inlineStr">
        <is>
          <t>all</t>
        </is>
      </c>
      <c r="C3064" s="1" t="inlineStr">
        <is>
          <t>all</t>
        </is>
      </c>
      <c r="H3064" s="1">
        <f>INDEX(VarLab,MATCH($A3064,VarKey,0))&amp;INDEX(MemLab,MATCH($C3064&amp;"|"&amp;$B3064,MemKey,0))</f>
        <v/>
      </c>
      <c r="I3064" s="1">
        <f>INDEX(VarUnit,MATCH($A3064,VarKey,0))</f>
        <v/>
      </c>
      <c r="J3064" s="1">
        <f>INDEX(VarSrc,MATCH($A3064,VarKey,0))</f>
        <v/>
      </c>
      <c r="K3064" s="17">
        <f>CodePrefix&amp;$A3064&amp;IF($C3064="","","."&amp;$C3064&amp;"."&amp;$B3064)&amp;INDEX(VarEnd,MATCH($A3064,VarKey,0))&amp;K$5</f>
        <v/>
      </c>
      <c r="L3064" s="68">
        <f>SUMIFS(L$1003:L$3061,SecVar,"ener",SecFuel,"&lt;&gt;all")+L3082</f>
        <v/>
      </c>
      <c r="M3064" s="69">
        <f>SUMIFS(M$1003:M$3061,SecVar,"ener",SecFuel,"&lt;&gt;all")+M3082</f>
        <v/>
      </c>
      <c r="N3064" s="69">
        <f>SUMIFS(N$1003:N$3061,SecVar,"ener",SecFuel,"&lt;&gt;all")+N3082</f>
        <v/>
      </c>
      <c r="O3064" s="69">
        <f>SUMIFS(O$1003:O$3061,SecVar,"ener",SecFuel,"&lt;&gt;all")+O3082</f>
        <v/>
      </c>
      <c r="P3064" s="69">
        <f>SUMIFS(P$1003:P$3061,SecVar,"ener",SecFuel,"&lt;&gt;all")+P3082</f>
        <v/>
      </c>
      <c r="Q3064" s="69">
        <f>SUMIFS(Q$1003:Q$3061,SecVar,"ener",SecFuel,"&lt;&gt;all")+Q3082</f>
        <v/>
      </c>
      <c r="R3064" s="69">
        <f>SUMIFS(R$1003:R$3061,SecVar,"ener",SecFuel,"&lt;&gt;all")+R3082</f>
        <v/>
      </c>
      <c r="S3064" s="69">
        <f>SUMIFS(S$1003:S$3061,SecVar,"ener",SecFuel,"&lt;&gt;all")+S3082</f>
        <v/>
      </c>
      <c r="T3064" s="69">
        <f>SUMIFS(T$1003:T$3061,SecVar,"ener",SecFuel,"&lt;&gt;all")+T3082</f>
        <v/>
      </c>
      <c r="U3064" s="69">
        <f>SUMIFS(U$1003:U$3061,SecVar,"ener",SecFuel,"&lt;&gt;all")+U3082</f>
        <v/>
      </c>
      <c r="V3064" s="69">
        <f>SUMIFS(V$1003:V$3061,SecVar,"ener",SecFuel,"&lt;&gt;all")+V3082</f>
        <v/>
      </c>
      <c r="W3064" s="69">
        <f>SUMIFS(W$1003:W$3061,SecVar,"ener",SecFuel,"&lt;&gt;all")+W3082</f>
        <v/>
      </c>
      <c r="X3064" s="69">
        <f>SUMIFS(X$1003:X$3061,SecVar,"ener",SecFuel,"&lt;&gt;all")+X3082</f>
        <v/>
      </c>
      <c r="Y3064" s="69">
        <f>SUMIFS(Y$1003:Y$3061,SecVar,"ener",SecFuel,"&lt;&gt;all")+Y3082</f>
        <v/>
      </c>
      <c r="Z3064" s="69">
        <f>SUMIFS(Z$1003:Z$3061,SecVar,"ener",SecFuel,"&lt;&gt;all")+Z3082</f>
        <v/>
      </c>
      <c r="AA3064" s="69">
        <f>SUMIFS(AA$1003:AA$3061,SecVar,"ener",SecFuel,"&lt;&gt;all")+AA3082</f>
        <v/>
      </c>
      <c r="AB3064" s="69">
        <f>SUMIFS(AB$1003:AB$3061,SecVar,"ener",SecFuel,"&lt;&gt;all")+AB3082</f>
        <v/>
      </c>
      <c r="AC3064" s="69">
        <f>SUMIFS(AC$1003:AC$3061,SecVar,"ener",SecFuel,"&lt;&gt;all")+AC3082</f>
        <v/>
      </c>
      <c r="AD3064" s="69">
        <f>SUMIFS(AD$1003:AD$3061,SecVar,"ener",SecFuel,"&lt;&gt;all")+AD3082</f>
        <v/>
      </c>
      <c r="AE3064" s="69">
        <f>SUMIFS(AE$1003:AE$3061,SecVar,"ener",SecFuel,"&lt;&gt;all")+AE3082</f>
        <v/>
      </c>
      <c r="AG3064" s="17">
        <f>CodePrefix&amp;$A3064&amp;IF($C3064="","","."&amp;$C3064&amp;"."&amp;$B3064)&amp;INDEX(VarEnd,MATCH($A3064,VarKey,0))&amp;AG$5</f>
        <v/>
      </c>
      <c r="AH3064" s="68">
        <f>SUMIFS(AH$1003:AH$3061,SecVar,"ener",SecFuel,"&lt;&gt;all")+AH3082</f>
        <v/>
      </c>
      <c r="AI3064" s="69">
        <f>SUMIFS(AI$1003:AI$3061,SecVar,"ener",SecFuel,"&lt;&gt;all")+AI3082</f>
        <v/>
      </c>
      <c r="AJ3064" s="69">
        <f>SUMIFS(AJ$1003:AJ$3061,SecVar,"ener",SecFuel,"&lt;&gt;all")+AJ3082</f>
        <v/>
      </c>
      <c r="AK3064" s="69">
        <f>SUMIFS(AK$1003:AK$3061,SecVar,"ener",SecFuel,"&lt;&gt;all")+AK3082</f>
        <v/>
      </c>
      <c r="AL3064" s="69">
        <f>SUMIFS(AL$1003:AL$3061,SecVar,"ener",SecFuel,"&lt;&gt;all")+AL3082</f>
        <v/>
      </c>
      <c r="AM3064" s="69">
        <f>SUMIFS(AM$1003:AM$3061,SecVar,"ener",SecFuel,"&lt;&gt;all")+AM3082</f>
        <v/>
      </c>
      <c r="AN3064" s="69">
        <f>SUMIFS(AN$1003:AN$3061,SecVar,"ener",SecFuel,"&lt;&gt;all")+AN3082</f>
        <v/>
      </c>
      <c r="AO3064" s="69">
        <f>SUMIFS(AO$1003:AO$3061,SecVar,"ener",SecFuel,"&lt;&gt;all")+AO3082</f>
        <v/>
      </c>
      <c r="AP3064" s="69">
        <f>SUMIFS(AP$1003:AP$3061,SecVar,"ener",SecFuel,"&lt;&gt;all")+AP3082</f>
        <v/>
      </c>
      <c r="AQ3064" s="69">
        <f>SUMIFS(AQ$1003:AQ$3061,SecVar,"ener",SecFuel,"&lt;&gt;all")+AQ3082</f>
        <v/>
      </c>
      <c r="AR3064" s="69">
        <f>SUMIFS(AR$1003:AR$3061,SecVar,"ener",SecFuel,"&lt;&gt;all")+AR3082</f>
        <v/>
      </c>
      <c r="AS3064" s="69">
        <f>SUMIFS(AS$1003:AS$3061,SecVar,"ener",SecFuel,"&lt;&gt;all")+AS3082</f>
        <v/>
      </c>
      <c r="AT3064" s="69">
        <f>SUMIFS(AT$1003:AT$3061,SecVar,"ener",SecFuel,"&lt;&gt;all")+AT3082</f>
        <v/>
      </c>
      <c r="AU3064" s="69">
        <f>SUMIFS(AU$1003:AU$3061,SecVar,"ener",SecFuel,"&lt;&gt;all")+AU3082</f>
        <v/>
      </c>
      <c r="AV3064" s="69">
        <f>SUMIFS(AV$1003:AV$3061,SecVar,"ener",SecFuel,"&lt;&gt;all")+AV3082</f>
        <v/>
      </c>
      <c r="AW3064" s="69">
        <f>SUMIFS(AW$1003:AW$3061,SecVar,"ener",SecFuel,"&lt;&gt;all")+AW3082</f>
        <v/>
      </c>
      <c r="AX3064" s="69">
        <f>SUMIFS(AX$1003:AX$3061,SecVar,"ener",SecFuel,"&lt;&gt;all")+AX3082</f>
        <v/>
      </c>
      <c r="AY3064" s="69">
        <f>SUMIFS(AY$1003:AY$3061,SecVar,"ener",SecFuel,"&lt;&gt;all")+AY3082</f>
        <v/>
      </c>
      <c r="AZ3064" s="69">
        <f>SUMIFS(AZ$1003:AZ$3061,SecVar,"ener",SecFuel,"&lt;&gt;all")+AZ3082</f>
        <v/>
      </c>
      <c r="BA3064" s="69">
        <f>SUMIFS(BA$1003:BA$3061,SecVar,"ener",SecFuel,"&lt;&gt;all")+BA3082</f>
        <v/>
      </c>
    </row>
    <row r="3065"/>
    <row r="3066" hidden="1" outlineLevel="1">
      <c r="A3066" s="14" t="inlineStr">
        <is>
          <t>ener</t>
        </is>
      </c>
      <c r="B3066" s="14" t="inlineStr">
        <is>
          <t>all</t>
        </is>
      </c>
      <c r="C3066" s="14" t="inlineStr">
        <is>
          <t>rod</t>
        </is>
      </c>
      <c r="H3066" s="14">
        <f>INDEX(VarLab,MATCH($A3066,VarKey,0))&amp;INDEX(MemLab,MATCH($C3066&amp;"|"&amp;$B3066,MemKey,0))</f>
        <v/>
      </c>
      <c r="I3066" s="14">
        <f>INDEX(VarUnit,MATCH($A3066,VarKey,0))</f>
        <v/>
      </c>
      <c r="J3066" s="14">
        <f>INDEX(VarSrc,MATCH($A3066,VarKey,0))</f>
        <v/>
      </c>
      <c r="K3066" s="11">
        <f>CodePrefix&amp;$A3066&amp;IF($C3066="","","."&amp;$C3066&amp;"."&amp;$B3066)&amp;INDEX(VarEnd,MATCH($A3066,VarKey,0))&amp;K$5</f>
        <v/>
      </c>
      <c r="L3066" s="43">
        <f>SUMIFS(L$1003:L$3061,SecVar,"ener",SecSub,$C3066,SecFuel,"&lt;&gt;all")</f>
        <v/>
      </c>
      <c r="M3066" s="44">
        <f>SUMIFS(M$1003:M$3061,SecVar,"ener",SecSub,$C3066,SecFuel,"&lt;&gt;all")</f>
        <v/>
      </c>
      <c r="N3066" s="44">
        <f>SUMIFS(N$1003:N$3061,SecVar,"ener",SecSub,$C3066,SecFuel,"&lt;&gt;all")</f>
        <v/>
      </c>
      <c r="O3066" s="44">
        <f>SUMIFS(O$1003:O$3061,SecVar,"ener",SecSub,$C3066,SecFuel,"&lt;&gt;all")</f>
        <v/>
      </c>
      <c r="P3066" s="44">
        <f>SUMIFS(P$1003:P$3061,SecVar,"ener",SecSub,$C3066,SecFuel,"&lt;&gt;all")</f>
        <v/>
      </c>
      <c r="Q3066" s="44">
        <f>SUMIFS(Q$1003:Q$3061,SecVar,"ener",SecSub,$C3066,SecFuel,"&lt;&gt;all")</f>
        <v/>
      </c>
      <c r="R3066" s="44">
        <f>SUMIFS(R$1003:R$3061,SecVar,"ener",SecSub,$C3066,SecFuel,"&lt;&gt;all")</f>
        <v/>
      </c>
      <c r="S3066" s="44">
        <f>SUMIFS(S$1003:S$3061,SecVar,"ener",SecSub,$C3066,SecFuel,"&lt;&gt;all")</f>
        <v/>
      </c>
      <c r="T3066" s="44">
        <f>SUMIFS(T$1003:T$3061,SecVar,"ener",SecSub,$C3066,SecFuel,"&lt;&gt;all")</f>
        <v/>
      </c>
      <c r="U3066" s="44">
        <f>SUMIFS(U$1003:U$3061,SecVar,"ener",SecSub,$C3066,SecFuel,"&lt;&gt;all")</f>
        <v/>
      </c>
      <c r="V3066" s="44">
        <f>SUMIFS(V$1003:V$3061,SecVar,"ener",SecSub,$C3066,SecFuel,"&lt;&gt;all")</f>
        <v/>
      </c>
      <c r="W3066" s="44">
        <f>SUMIFS(W$1003:W$3061,SecVar,"ener",SecSub,$C3066,SecFuel,"&lt;&gt;all")</f>
        <v/>
      </c>
      <c r="X3066" s="44">
        <f>SUMIFS(X$1003:X$3061,SecVar,"ener",SecSub,$C3066,SecFuel,"&lt;&gt;all")</f>
        <v/>
      </c>
      <c r="Y3066" s="44">
        <f>SUMIFS(Y$1003:Y$3061,SecVar,"ener",SecSub,$C3066,SecFuel,"&lt;&gt;all")</f>
        <v/>
      </c>
      <c r="Z3066" s="44">
        <f>SUMIFS(Z$1003:Z$3061,SecVar,"ener",SecSub,$C3066,SecFuel,"&lt;&gt;all")</f>
        <v/>
      </c>
      <c r="AA3066" s="44">
        <f>SUMIFS(AA$1003:AA$3061,SecVar,"ener",SecSub,$C3066,SecFuel,"&lt;&gt;all")</f>
        <v/>
      </c>
      <c r="AB3066" s="44">
        <f>SUMIFS(AB$1003:AB$3061,SecVar,"ener",SecSub,$C3066,SecFuel,"&lt;&gt;all")</f>
        <v/>
      </c>
      <c r="AC3066" s="44">
        <f>SUMIFS(AC$1003:AC$3061,SecVar,"ener",SecSub,$C3066,SecFuel,"&lt;&gt;all")</f>
        <v/>
      </c>
      <c r="AD3066" s="44">
        <f>SUMIFS(AD$1003:AD$3061,SecVar,"ener",SecSub,$C3066,SecFuel,"&lt;&gt;all")</f>
        <v/>
      </c>
      <c r="AE3066" s="44">
        <f>SUMIFS(AE$1003:AE$3061,SecVar,"ener",SecSub,$C3066,SecFuel,"&lt;&gt;all")</f>
        <v/>
      </c>
      <c r="AG3066" s="11">
        <f>CodePrefix&amp;$A3066&amp;IF($C3066="","","."&amp;$C3066&amp;"."&amp;$B3066)&amp;INDEX(VarEnd,MATCH($A3066,VarKey,0))&amp;AG$5</f>
        <v/>
      </c>
      <c r="AH3066" s="43">
        <f>SUMIFS(AH$1003:AH$3061,SecVar,"ener",SecSub,$C3066,SecFuel,"&lt;&gt;all")</f>
        <v/>
      </c>
      <c r="AI3066" s="44">
        <f>SUMIFS(AI$1003:AI$3061,SecVar,"ener",SecSub,$C3066,SecFuel,"&lt;&gt;all")</f>
        <v/>
      </c>
      <c r="AJ3066" s="44">
        <f>SUMIFS(AJ$1003:AJ$3061,SecVar,"ener",SecSub,$C3066,SecFuel,"&lt;&gt;all")</f>
        <v/>
      </c>
      <c r="AK3066" s="44">
        <f>SUMIFS(AK$1003:AK$3061,SecVar,"ener",SecSub,$C3066,SecFuel,"&lt;&gt;all")</f>
        <v/>
      </c>
      <c r="AL3066" s="44">
        <f>SUMIFS(AL$1003:AL$3061,SecVar,"ener",SecSub,$C3066,SecFuel,"&lt;&gt;all")</f>
        <v/>
      </c>
      <c r="AM3066" s="44">
        <f>SUMIFS(AM$1003:AM$3061,SecVar,"ener",SecSub,$C3066,SecFuel,"&lt;&gt;all")</f>
        <v/>
      </c>
      <c r="AN3066" s="44">
        <f>SUMIFS(AN$1003:AN$3061,SecVar,"ener",SecSub,$C3066,SecFuel,"&lt;&gt;all")</f>
        <v/>
      </c>
      <c r="AO3066" s="44">
        <f>SUMIFS(AO$1003:AO$3061,SecVar,"ener",SecSub,$C3066,SecFuel,"&lt;&gt;all")</f>
        <v/>
      </c>
      <c r="AP3066" s="44">
        <f>SUMIFS(AP$1003:AP$3061,SecVar,"ener",SecSub,$C3066,SecFuel,"&lt;&gt;all")</f>
        <v/>
      </c>
      <c r="AQ3066" s="44">
        <f>SUMIFS(AQ$1003:AQ$3061,SecVar,"ener",SecSub,$C3066,SecFuel,"&lt;&gt;all")</f>
        <v/>
      </c>
      <c r="AR3066" s="44">
        <f>SUMIFS(AR$1003:AR$3061,SecVar,"ener",SecSub,$C3066,SecFuel,"&lt;&gt;all")</f>
        <v/>
      </c>
      <c r="AS3066" s="44">
        <f>SUMIFS(AS$1003:AS$3061,SecVar,"ener",SecSub,$C3066,SecFuel,"&lt;&gt;all")</f>
        <v/>
      </c>
      <c r="AT3066" s="44">
        <f>SUMIFS(AT$1003:AT$3061,SecVar,"ener",SecSub,$C3066,SecFuel,"&lt;&gt;all")</f>
        <v/>
      </c>
      <c r="AU3066" s="44">
        <f>SUMIFS(AU$1003:AU$3061,SecVar,"ener",SecSub,$C3066,SecFuel,"&lt;&gt;all")</f>
        <v/>
      </c>
      <c r="AV3066" s="44">
        <f>SUMIFS(AV$1003:AV$3061,SecVar,"ener",SecSub,$C3066,SecFuel,"&lt;&gt;all")</f>
        <v/>
      </c>
      <c r="AW3066" s="44">
        <f>SUMIFS(AW$1003:AW$3061,SecVar,"ener",SecSub,$C3066,SecFuel,"&lt;&gt;all")</f>
        <v/>
      </c>
      <c r="AX3066" s="44">
        <f>SUMIFS(AX$1003:AX$3061,SecVar,"ener",SecSub,$C3066,SecFuel,"&lt;&gt;all")</f>
        <v/>
      </c>
      <c r="AY3066" s="44">
        <f>SUMIFS(AY$1003:AY$3061,SecVar,"ener",SecSub,$C3066,SecFuel,"&lt;&gt;all")</f>
        <v/>
      </c>
      <c r="AZ3066" s="44">
        <f>SUMIFS(AZ$1003:AZ$3061,SecVar,"ener",SecSub,$C3066,SecFuel,"&lt;&gt;all")</f>
        <v/>
      </c>
      <c r="BA3066" s="44">
        <f>SUMIFS(BA$1003:BA$3061,SecVar,"ener",SecSub,$C3066,SecFuel,"&lt;&gt;all")</f>
        <v/>
      </c>
    </row>
    <row r="3067" hidden="1" outlineLevel="1">
      <c r="A3067" s="14" t="inlineStr">
        <is>
          <t>ener</t>
        </is>
      </c>
      <c r="B3067" s="14" t="inlineStr">
        <is>
          <t>all</t>
        </is>
      </c>
      <c r="C3067" s="14" t="inlineStr">
        <is>
          <t>ral</t>
        </is>
      </c>
      <c r="H3067" s="14">
        <f>INDEX(VarLab,MATCH($A3067,VarKey,0))&amp;INDEX(MemLab,MATCH($C3067&amp;"|"&amp;$B3067,MemKey,0))</f>
        <v/>
      </c>
      <c r="I3067" s="14">
        <f>INDEX(VarUnit,MATCH($A3067,VarKey,0))</f>
        <v/>
      </c>
      <c r="J3067" s="14">
        <f>INDEX(VarSrc,MATCH($A3067,VarKey,0))</f>
        <v/>
      </c>
      <c r="K3067" s="11">
        <f>CodePrefix&amp;$A3067&amp;IF($C3067="","","."&amp;$C3067&amp;"."&amp;$B3067)&amp;INDEX(VarEnd,MATCH($A3067,VarKey,0))&amp;K$5</f>
        <v/>
      </c>
      <c r="L3067" s="43">
        <f>SUMIFS(L$1003:L$3061,SecVar,"ener",SecSub,$C3067,SecFuel,"&lt;&gt;all")</f>
        <v/>
      </c>
      <c r="M3067" s="44">
        <f>SUMIFS(M$1003:M$3061,SecVar,"ener",SecSub,$C3067,SecFuel,"&lt;&gt;all")</f>
        <v/>
      </c>
      <c r="N3067" s="44">
        <f>SUMIFS(N$1003:N$3061,SecVar,"ener",SecSub,$C3067,SecFuel,"&lt;&gt;all")</f>
        <v/>
      </c>
      <c r="O3067" s="44">
        <f>SUMIFS(O$1003:O$3061,SecVar,"ener",SecSub,$C3067,SecFuel,"&lt;&gt;all")</f>
        <v/>
      </c>
      <c r="P3067" s="44">
        <f>SUMIFS(P$1003:P$3061,SecVar,"ener",SecSub,$C3067,SecFuel,"&lt;&gt;all")</f>
        <v/>
      </c>
      <c r="Q3067" s="44">
        <f>SUMIFS(Q$1003:Q$3061,SecVar,"ener",SecSub,$C3067,SecFuel,"&lt;&gt;all")</f>
        <v/>
      </c>
      <c r="R3067" s="44">
        <f>SUMIFS(R$1003:R$3061,SecVar,"ener",SecSub,$C3067,SecFuel,"&lt;&gt;all")</f>
        <v/>
      </c>
      <c r="S3067" s="44">
        <f>SUMIFS(S$1003:S$3061,SecVar,"ener",SecSub,$C3067,SecFuel,"&lt;&gt;all")</f>
        <v/>
      </c>
      <c r="T3067" s="44">
        <f>SUMIFS(T$1003:T$3061,SecVar,"ener",SecSub,$C3067,SecFuel,"&lt;&gt;all")</f>
        <v/>
      </c>
      <c r="U3067" s="44">
        <f>SUMIFS(U$1003:U$3061,SecVar,"ener",SecSub,$C3067,SecFuel,"&lt;&gt;all")</f>
        <v/>
      </c>
      <c r="V3067" s="44">
        <f>SUMIFS(V$1003:V$3061,SecVar,"ener",SecSub,$C3067,SecFuel,"&lt;&gt;all")</f>
        <v/>
      </c>
      <c r="W3067" s="44">
        <f>SUMIFS(W$1003:W$3061,SecVar,"ener",SecSub,$C3067,SecFuel,"&lt;&gt;all")</f>
        <v/>
      </c>
      <c r="X3067" s="44">
        <f>SUMIFS(X$1003:X$3061,SecVar,"ener",SecSub,$C3067,SecFuel,"&lt;&gt;all")</f>
        <v/>
      </c>
      <c r="Y3067" s="44">
        <f>SUMIFS(Y$1003:Y$3061,SecVar,"ener",SecSub,$C3067,SecFuel,"&lt;&gt;all")</f>
        <v/>
      </c>
      <c r="Z3067" s="44">
        <f>SUMIFS(Z$1003:Z$3061,SecVar,"ener",SecSub,$C3067,SecFuel,"&lt;&gt;all")</f>
        <v/>
      </c>
      <c r="AA3067" s="44">
        <f>SUMIFS(AA$1003:AA$3061,SecVar,"ener",SecSub,$C3067,SecFuel,"&lt;&gt;all")</f>
        <v/>
      </c>
      <c r="AB3067" s="44">
        <f>SUMIFS(AB$1003:AB$3061,SecVar,"ener",SecSub,$C3067,SecFuel,"&lt;&gt;all")</f>
        <v/>
      </c>
      <c r="AC3067" s="44">
        <f>SUMIFS(AC$1003:AC$3061,SecVar,"ener",SecSub,$C3067,SecFuel,"&lt;&gt;all")</f>
        <v/>
      </c>
      <c r="AD3067" s="44">
        <f>SUMIFS(AD$1003:AD$3061,SecVar,"ener",SecSub,$C3067,SecFuel,"&lt;&gt;all")</f>
        <v/>
      </c>
      <c r="AE3067" s="44">
        <f>SUMIFS(AE$1003:AE$3061,SecVar,"ener",SecSub,$C3067,SecFuel,"&lt;&gt;all")</f>
        <v/>
      </c>
      <c r="AG3067" s="11">
        <f>CodePrefix&amp;$A3067&amp;IF($C3067="","","."&amp;$C3067&amp;"."&amp;$B3067)&amp;INDEX(VarEnd,MATCH($A3067,VarKey,0))&amp;AG$5</f>
        <v/>
      </c>
      <c r="AH3067" s="43">
        <f>SUMIFS(AH$1003:AH$3061,SecVar,"ener",SecSub,$C3067,SecFuel,"&lt;&gt;all")</f>
        <v/>
      </c>
      <c r="AI3067" s="44">
        <f>SUMIFS(AI$1003:AI$3061,SecVar,"ener",SecSub,$C3067,SecFuel,"&lt;&gt;all")</f>
        <v/>
      </c>
      <c r="AJ3067" s="44">
        <f>SUMIFS(AJ$1003:AJ$3061,SecVar,"ener",SecSub,$C3067,SecFuel,"&lt;&gt;all")</f>
        <v/>
      </c>
      <c r="AK3067" s="44">
        <f>SUMIFS(AK$1003:AK$3061,SecVar,"ener",SecSub,$C3067,SecFuel,"&lt;&gt;all")</f>
        <v/>
      </c>
      <c r="AL3067" s="44">
        <f>SUMIFS(AL$1003:AL$3061,SecVar,"ener",SecSub,$C3067,SecFuel,"&lt;&gt;all")</f>
        <v/>
      </c>
      <c r="AM3067" s="44">
        <f>SUMIFS(AM$1003:AM$3061,SecVar,"ener",SecSub,$C3067,SecFuel,"&lt;&gt;all")</f>
        <v/>
      </c>
      <c r="AN3067" s="44">
        <f>SUMIFS(AN$1003:AN$3061,SecVar,"ener",SecSub,$C3067,SecFuel,"&lt;&gt;all")</f>
        <v/>
      </c>
      <c r="AO3067" s="44">
        <f>SUMIFS(AO$1003:AO$3061,SecVar,"ener",SecSub,$C3067,SecFuel,"&lt;&gt;all")</f>
        <v/>
      </c>
      <c r="AP3067" s="44">
        <f>SUMIFS(AP$1003:AP$3061,SecVar,"ener",SecSub,$C3067,SecFuel,"&lt;&gt;all")</f>
        <v/>
      </c>
      <c r="AQ3067" s="44">
        <f>SUMIFS(AQ$1003:AQ$3061,SecVar,"ener",SecSub,$C3067,SecFuel,"&lt;&gt;all")</f>
        <v/>
      </c>
      <c r="AR3067" s="44">
        <f>SUMIFS(AR$1003:AR$3061,SecVar,"ener",SecSub,$C3067,SecFuel,"&lt;&gt;all")</f>
        <v/>
      </c>
      <c r="AS3067" s="44">
        <f>SUMIFS(AS$1003:AS$3061,SecVar,"ener",SecSub,$C3067,SecFuel,"&lt;&gt;all")</f>
        <v/>
      </c>
      <c r="AT3067" s="44">
        <f>SUMIFS(AT$1003:AT$3061,SecVar,"ener",SecSub,$C3067,SecFuel,"&lt;&gt;all")</f>
        <v/>
      </c>
      <c r="AU3067" s="44">
        <f>SUMIFS(AU$1003:AU$3061,SecVar,"ener",SecSub,$C3067,SecFuel,"&lt;&gt;all")</f>
        <v/>
      </c>
      <c r="AV3067" s="44">
        <f>SUMIFS(AV$1003:AV$3061,SecVar,"ener",SecSub,$C3067,SecFuel,"&lt;&gt;all")</f>
        <v/>
      </c>
      <c r="AW3067" s="44">
        <f>SUMIFS(AW$1003:AW$3061,SecVar,"ener",SecSub,$C3067,SecFuel,"&lt;&gt;all")</f>
        <v/>
      </c>
      <c r="AX3067" s="44">
        <f>SUMIFS(AX$1003:AX$3061,SecVar,"ener",SecSub,$C3067,SecFuel,"&lt;&gt;all")</f>
        <v/>
      </c>
      <c r="AY3067" s="44">
        <f>SUMIFS(AY$1003:AY$3061,SecVar,"ener",SecSub,$C3067,SecFuel,"&lt;&gt;all")</f>
        <v/>
      </c>
      <c r="AZ3067" s="44">
        <f>SUMIFS(AZ$1003:AZ$3061,SecVar,"ener",SecSub,$C3067,SecFuel,"&lt;&gt;all")</f>
        <v/>
      </c>
      <c r="BA3067" s="44">
        <f>SUMIFS(BA$1003:BA$3061,SecVar,"ener",SecSub,$C3067,SecFuel,"&lt;&gt;all")</f>
        <v/>
      </c>
    </row>
    <row r="3068" hidden="1" outlineLevel="1">
      <c r="A3068" s="14" t="inlineStr">
        <is>
          <t>ener</t>
        </is>
      </c>
      <c r="B3068" s="14" t="inlineStr">
        <is>
          <t>all</t>
        </is>
      </c>
      <c r="C3068" s="14" t="inlineStr">
        <is>
          <t>avi</t>
        </is>
      </c>
      <c r="H3068" s="14">
        <f>INDEX(VarLab,MATCH($A3068,VarKey,0))&amp;INDEX(MemLab,MATCH($C3068&amp;"|"&amp;$B3068,MemKey,0))</f>
        <v/>
      </c>
      <c r="I3068" s="14">
        <f>INDEX(VarUnit,MATCH($A3068,VarKey,0))</f>
        <v/>
      </c>
      <c r="J3068" s="14">
        <f>INDEX(VarSrc,MATCH($A3068,VarKey,0))</f>
        <v/>
      </c>
      <c r="K3068" s="11">
        <f>CodePrefix&amp;$A3068&amp;IF($C3068="","","."&amp;$C3068&amp;"."&amp;$B3068)&amp;INDEX(VarEnd,MATCH($A3068,VarKey,0))&amp;K$5</f>
        <v/>
      </c>
      <c r="L3068" s="43">
        <f>SUMIFS(L$1003:L$3061,SecVar,"ener",SecSub,$C3068,SecFuel,"&lt;&gt;all")</f>
        <v/>
      </c>
      <c r="M3068" s="44">
        <f>SUMIFS(M$1003:M$3061,SecVar,"ener",SecSub,$C3068,SecFuel,"&lt;&gt;all")</f>
        <v/>
      </c>
      <c r="N3068" s="44">
        <f>SUMIFS(N$1003:N$3061,SecVar,"ener",SecSub,$C3068,SecFuel,"&lt;&gt;all")</f>
        <v/>
      </c>
      <c r="O3068" s="44">
        <f>SUMIFS(O$1003:O$3061,SecVar,"ener",SecSub,$C3068,SecFuel,"&lt;&gt;all")</f>
        <v/>
      </c>
      <c r="P3068" s="44">
        <f>SUMIFS(P$1003:P$3061,SecVar,"ener",SecSub,$C3068,SecFuel,"&lt;&gt;all")</f>
        <v/>
      </c>
      <c r="Q3068" s="44">
        <f>SUMIFS(Q$1003:Q$3061,SecVar,"ener",SecSub,$C3068,SecFuel,"&lt;&gt;all")</f>
        <v/>
      </c>
      <c r="R3068" s="44">
        <f>SUMIFS(R$1003:R$3061,SecVar,"ener",SecSub,$C3068,SecFuel,"&lt;&gt;all")</f>
        <v/>
      </c>
      <c r="S3068" s="44">
        <f>SUMIFS(S$1003:S$3061,SecVar,"ener",SecSub,$C3068,SecFuel,"&lt;&gt;all")</f>
        <v/>
      </c>
      <c r="T3068" s="44">
        <f>SUMIFS(T$1003:T$3061,SecVar,"ener",SecSub,$C3068,SecFuel,"&lt;&gt;all")</f>
        <v/>
      </c>
      <c r="U3068" s="44">
        <f>SUMIFS(U$1003:U$3061,SecVar,"ener",SecSub,$C3068,SecFuel,"&lt;&gt;all")</f>
        <v/>
      </c>
      <c r="V3068" s="44">
        <f>SUMIFS(V$1003:V$3061,SecVar,"ener",SecSub,$C3068,SecFuel,"&lt;&gt;all")</f>
        <v/>
      </c>
      <c r="W3068" s="44">
        <f>SUMIFS(W$1003:W$3061,SecVar,"ener",SecSub,$C3068,SecFuel,"&lt;&gt;all")</f>
        <v/>
      </c>
      <c r="X3068" s="44">
        <f>SUMIFS(X$1003:X$3061,SecVar,"ener",SecSub,$C3068,SecFuel,"&lt;&gt;all")</f>
        <v/>
      </c>
      <c r="Y3068" s="44">
        <f>SUMIFS(Y$1003:Y$3061,SecVar,"ener",SecSub,$C3068,SecFuel,"&lt;&gt;all")</f>
        <v/>
      </c>
      <c r="Z3068" s="44">
        <f>SUMIFS(Z$1003:Z$3061,SecVar,"ener",SecSub,$C3068,SecFuel,"&lt;&gt;all")</f>
        <v/>
      </c>
      <c r="AA3068" s="44">
        <f>SUMIFS(AA$1003:AA$3061,SecVar,"ener",SecSub,$C3068,SecFuel,"&lt;&gt;all")</f>
        <v/>
      </c>
      <c r="AB3068" s="44">
        <f>SUMIFS(AB$1003:AB$3061,SecVar,"ener",SecSub,$C3068,SecFuel,"&lt;&gt;all")</f>
        <v/>
      </c>
      <c r="AC3068" s="44">
        <f>SUMIFS(AC$1003:AC$3061,SecVar,"ener",SecSub,$C3068,SecFuel,"&lt;&gt;all")</f>
        <v/>
      </c>
      <c r="AD3068" s="44">
        <f>SUMIFS(AD$1003:AD$3061,SecVar,"ener",SecSub,$C3068,SecFuel,"&lt;&gt;all")</f>
        <v/>
      </c>
      <c r="AE3068" s="44">
        <f>SUMIFS(AE$1003:AE$3061,SecVar,"ener",SecSub,$C3068,SecFuel,"&lt;&gt;all")</f>
        <v/>
      </c>
      <c r="AG3068" s="11">
        <f>CodePrefix&amp;$A3068&amp;IF($C3068="","","."&amp;$C3068&amp;"."&amp;$B3068)&amp;INDEX(VarEnd,MATCH($A3068,VarKey,0))&amp;AG$5</f>
        <v/>
      </c>
      <c r="AH3068" s="43">
        <f>SUMIFS(AH$1003:AH$3061,SecVar,"ener",SecSub,$C3068,SecFuel,"&lt;&gt;all")</f>
        <v/>
      </c>
      <c r="AI3068" s="44">
        <f>SUMIFS(AI$1003:AI$3061,SecVar,"ener",SecSub,$C3068,SecFuel,"&lt;&gt;all")</f>
        <v/>
      </c>
      <c r="AJ3068" s="44">
        <f>SUMIFS(AJ$1003:AJ$3061,SecVar,"ener",SecSub,$C3068,SecFuel,"&lt;&gt;all")</f>
        <v/>
      </c>
      <c r="AK3068" s="44">
        <f>SUMIFS(AK$1003:AK$3061,SecVar,"ener",SecSub,$C3068,SecFuel,"&lt;&gt;all")</f>
        <v/>
      </c>
      <c r="AL3068" s="44">
        <f>SUMIFS(AL$1003:AL$3061,SecVar,"ener",SecSub,$C3068,SecFuel,"&lt;&gt;all")</f>
        <v/>
      </c>
      <c r="AM3068" s="44">
        <f>SUMIFS(AM$1003:AM$3061,SecVar,"ener",SecSub,$C3068,SecFuel,"&lt;&gt;all")</f>
        <v/>
      </c>
      <c r="AN3068" s="44">
        <f>SUMIFS(AN$1003:AN$3061,SecVar,"ener",SecSub,$C3068,SecFuel,"&lt;&gt;all")</f>
        <v/>
      </c>
      <c r="AO3068" s="44">
        <f>SUMIFS(AO$1003:AO$3061,SecVar,"ener",SecSub,$C3068,SecFuel,"&lt;&gt;all")</f>
        <v/>
      </c>
      <c r="AP3068" s="44">
        <f>SUMIFS(AP$1003:AP$3061,SecVar,"ener",SecSub,$C3068,SecFuel,"&lt;&gt;all")</f>
        <v/>
      </c>
      <c r="AQ3068" s="44">
        <f>SUMIFS(AQ$1003:AQ$3061,SecVar,"ener",SecSub,$C3068,SecFuel,"&lt;&gt;all")</f>
        <v/>
      </c>
      <c r="AR3068" s="44">
        <f>SUMIFS(AR$1003:AR$3061,SecVar,"ener",SecSub,$C3068,SecFuel,"&lt;&gt;all")</f>
        <v/>
      </c>
      <c r="AS3068" s="44">
        <f>SUMIFS(AS$1003:AS$3061,SecVar,"ener",SecSub,$C3068,SecFuel,"&lt;&gt;all")</f>
        <v/>
      </c>
      <c r="AT3068" s="44">
        <f>SUMIFS(AT$1003:AT$3061,SecVar,"ener",SecSub,$C3068,SecFuel,"&lt;&gt;all")</f>
        <v/>
      </c>
      <c r="AU3068" s="44">
        <f>SUMIFS(AU$1003:AU$3061,SecVar,"ener",SecSub,$C3068,SecFuel,"&lt;&gt;all")</f>
        <v/>
      </c>
      <c r="AV3068" s="44">
        <f>SUMIFS(AV$1003:AV$3061,SecVar,"ener",SecSub,$C3068,SecFuel,"&lt;&gt;all")</f>
        <v/>
      </c>
      <c r="AW3068" s="44">
        <f>SUMIFS(AW$1003:AW$3061,SecVar,"ener",SecSub,$C3068,SecFuel,"&lt;&gt;all")</f>
        <v/>
      </c>
      <c r="AX3068" s="44">
        <f>SUMIFS(AX$1003:AX$3061,SecVar,"ener",SecSub,$C3068,SecFuel,"&lt;&gt;all")</f>
        <v/>
      </c>
      <c r="AY3068" s="44">
        <f>SUMIFS(AY$1003:AY$3061,SecVar,"ener",SecSub,$C3068,SecFuel,"&lt;&gt;all")</f>
        <v/>
      </c>
      <c r="AZ3068" s="44">
        <f>SUMIFS(AZ$1003:AZ$3061,SecVar,"ener",SecSub,$C3068,SecFuel,"&lt;&gt;all")</f>
        <v/>
      </c>
      <c r="BA3068" s="44">
        <f>SUMIFS(BA$1003:BA$3061,SecVar,"ener",SecSub,$C3068,SecFuel,"&lt;&gt;all")</f>
        <v/>
      </c>
    </row>
    <row r="3069" hidden="1" outlineLevel="1">
      <c r="A3069" s="14" t="inlineStr">
        <is>
          <t>ener</t>
        </is>
      </c>
      <c r="B3069" s="14" t="inlineStr">
        <is>
          <t>all</t>
        </is>
      </c>
      <c r="C3069" s="14" t="inlineStr">
        <is>
          <t>nav</t>
        </is>
      </c>
      <c r="H3069" s="14">
        <f>INDEX(VarLab,MATCH($A3069,VarKey,0))&amp;INDEX(MemLab,MATCH($C3069&amp;"|"&amp;$B3069,MemKey,0))</f>
        <v/>
      </c>
      <c r="I3069" s="14">
        <f>INDEX(VarUnit,MATCH($A3069,VarKey,0))</f>
        <v/>
      </c>
      <c r="J3069" s="14">
        <f>INDEX(VarSrc,MATCH($A3069,VarKey,0))</f>
        <v/>
      </c>
      <c r="K3069" s="11">
        <f>CodePrefix&amp;$A3069&amp;IF($C3069="","","."&amp;$C3069&amp;"."&amp;$B3069)&amp;INDEX(VarEnd,MATCH($A3069,VarKey,0))&amp;K$5</f>
        <v/>
      </c>
      <c r="L3069" s="43">
        <f>SUMIFS(L$1003:L$3061,SecVar,"ener",SecSub,$C3069,SecFuel,"&lt;&gt;all")</f>
        <v/>
      </c>
      <c r="M3069" s="44">
        <f>SUMIFS(M$1003:M$3061,SecVar,"ener",SecSub,$C3069,SecFuel,"&lt;&gt;all")</f>
        <v/>
      </c>
      <c r="N3069" s="44">
        <f>SUMIFS(N$1003:N$3061,SecVar,"ener",SecSub,$C3069,SecFuel,"&lt;&gt;all")</f>
        <v/>
      </c>
      <c r="O3069" s="44">
        <f>SUMIFS(O$1003:O$3061,SecVar,"ener",SecSub,$C3069,SecFuel,"&lt;&gt;all")</f>
        <v/>
      </c>
      <c r="P3069" s="44">
        <f>SUMIFS(P$1003:P$3061,SecVar,"ener",SecSub,$C3069,SecFuel,"&lt;&gt;all")</f>
        <v/>
      </c>
      <c r="Q3069" s="44">
        <f>SUMIFS(Q$1003:Q$3061,SecVar,"ener",SecSub,$C3069,SecFuel,"&lt;&gt;all")</f>
        <v/>
      </c>
      <c r="R3069" s="44">
        <f>SUMIFS(R$1003:R$3061,SecVar,"ener",SecSub,$C3069,SecFuel,"&lt;&gt;all")</f>
        <v/>
      </c>
      <c r="S3069" s="44">
        <f>SUMIFS(S$1003:S$3061,SecVar,"ener",SecSub,$C3069,SecFuel,"&lt;&gt;all")</f>
        <v/>
      </c>
      <c r="T3069" s="44">
        <f>SUMIFS(T$1003:T$3061,SecVar,"ener",SecSub,$C3069,SecFuel,"&lt;&gt;all")</f>
        <v/>
      </c>
      <c r="U3069" s="44">
        <f>SUMIFS(U$1003:U$3061,SecVar,"ener",SecSub,$C3069,SecFuel,"&lt;&gt;all")</f>
        <v/>
      </c>
      <c r="V3069" s="44">
        <f>SUMIFS(V$1003:V$3061,SecVar,"ener",SecSub,$C3069,SecFuel,"&lt;&gt;all")</f>
        <v/>
      </c>
      <c r="W3069" s="44">
        <f>SUMIFS(W$1003:W$3061,SecVar,"ener",SecSub,$C3069,SecFuel,"&lt;&gt;all")</f>
        <v/>
      </c>
      <c r="X3069" s="44">
        <f>SUMIFS(X$1003:X$3061,SecVar,"ener",SecSub,$C3069,SecFuel,"&lt;&gt;all")</f>
        <v/>
      </c>
      <c r="Y3069" s="44">
        <f>SUMIFS(Y$1003:Y$3061,SecVar,"ener",SecSub,$C3069,SecFuel,"&lt;&gt;all")</f>
        <v/>
      </c>
      <c r="Z3069" s="44">
        <f>SUMIFS(Z$1003:Z$3061,SecVar,"ener",SecSub,$C3069,SecFuel,"&lt;&gt;all")</f>
        <v/>
      </c>
      <c r="AA3069" s="44">
        <f>SUMIFS(AA$1003:AA$3061,SecVar,"ener",SecSub,$C3069,SecFuel,"&lt;&gt;all")</f>
        <v/>
      </c>
      <c r="AB3069" s="44">
        <f>SUMIFS(AB$1003:AB$3061,SecVar,"ener",SecSub,$C3069,SecFuel,"&lt;&gt;all")</f>
        <v/>
      </c>
      <c r="AC3069" s="44">
        <f>SUMIFS(AC$1003:AC$3061,SecVar,"ener",SecSub,$C3069,SecFuel,"&lt;&gt;all")</f>
        <v/>
      </c>
      <c r="AD3069" s="44">
        <f>SUMIFS(AD$1003:AD$3061,SecVar,"ener",SecSub,$C3069,SecFuel,"&lt;&gt;all")</f>
        <v/>
      </c>
      <c r="AE3069" s="44">
        <f>SUMIFS(AE$1003:AE$3061,SecVar,"ener",SecSub,$C3069,SecFuel,"&lt;&gt;all")</f>
        <v/>
      </c>
      <c r="AG3069" s="11">
        <f>CodePrefix&amp;$A3069&amp;IF($C3069="","","."&amp;$C3069&amp;"."&amp;$B3069)&amp;INDEX(VarEnd,MATCH($A3069,VarKey,0))&amp;AG$5</f>
        <v/>
      </c>
      <c r="AH3069" s="43">
        <f>SUMIFS(AH$1003:AH$3061,SecVar,"ener",SecSub,$C3069,SecFuel,"&lt;&gt;all")</f>
        <v/>
      </c>
      <c r="AI3069" s="44">
        <f>SUMIFS(AI$1003:AI$3061,SecVar,"ener",SecSub,$C3069,SecFuel,"&lt;&gt;all")</f>
        <v/>
      </c>
      <c r="AJ3069" s="44">
        <f>SUMIFS(AJ$1003:AJ$3061,SecVar,"ener",SecSub,$C3069,SecFuel,"&lt;&gt;all")</f>
        <v/>
      </c>
      <c r="AK3069" s="44">
        <f>SUMIFS(AK$1003:AK$3061,SecVar,"ener",SecSub,$C3069,SecFuel,"&lt;&gt;all")</f>
        <v/>
      </c>
      <c r="AL3069" s="44">
        <f>SUMIFS(AL$1003:AL$3061,SecVar,"ener",SecSub,$C3069,SecFuel,"&lt;&gt;all")</f>
        <v/>
      </c>
      <c r="AM3069" s="44">
        <f>SUMIFS(AM$1003:AM$3061,SecVar,"ener",SecSub,$C3069,SecFuel,"&lt;&gt;all")</f>
        <v/>
      </c>
      <c r="AN3069" s="44">
        <f>SUMIFS(AN$1003:AN$3061,SecVar,"ener",SecSub,$C3069,SecFuel,"&lt;&gt;all")</f>
        <v/>
      </c>
      <c r="AO3069" s="44">
        <f>SUMIFS(AO$1003:AO$3061,SecVar,"ener",SecSub,$C3069,SecFuel,"&lt;&gt;all")</f>
        <v/>
      </c>
      <c r="AP3069" s="44">
        <f>SUMIFS(AP$1003:AP$3061,SecVar,"ener",SecSub,$C3069,SecFuel,"&lt;&gt;all")</f>
        <v/>
      </c>
      <c r="AQ3069" s="44">
        <f>SUMIFS(AQ$1003:AQ$3061,SecVar,"ener",SecSub,$C3069,SecFuel,"&lt;&gt;all")</f>
        <v/>
      </c>
      <c r="AR3069" s="44">
        <f>SUMIFS(AR$1003:AR$3061,SecVar,"ener",SecSub,$C3069,SecFuel,"&lt;&gt;all")</f>
        <v/>
      </c>
      <c r="AS3069" s="44">
        <f>SUMIFS(AS$1003:AS$3061,SecVar,"ener",SecSub,$C3069,SecFuel,"&lt;&gt;all")</f>
        <v/>
      </c>
      <c r="AT3069" s="44">
        <f>SUMIFS(AT$1003:AT$3061,SecVar,"ener",SecSub,$C3069,SecFuel,"&lt;&gt;all")</f>
        <v/>
      </c>
      <c r="AU3069" s="44">
        <f>SUMIFS(AU$1003:AU$3061,SecVar,"ener",SecSub,$C3069,SecFuel,"&lt;&gt;all")</f>
        <v/>
      </c>
      <c r="AV3069" s="44">
        <f>SUMIFS(AV$1003:AV$3061,SecVar,"ener",SecSub,$C3069,SecFuel,"&lt;&gt;all")</f>
        <v/>
      </c>
      <c r="AW3069" s="44">
        <f>SUMIFS(AW$1003:AW$3061,SecVar,"ener",SecSub,$C3069,SecFuel,"&lt;&gt;all")</f>
        <v/>
      </c>
      <c r="AX3069" s="44">
        <f>SUMIFS(AX$1003:AX$3061,SecVar,"ener",SecSub,$C3069,SecFuel,"&lt;&gt;all")</f>
        <v/>
      </c>
      <c r="AY3069" s="44">
        <f>SUMIFS(AY$1003:AY$3061,SecVar,"ener",SecSub,$C3069,SecFuel,"&lt;&gt;all")</f>
        <v/>
      </c>
      <c r="AZ3069" s="44">
        <f>SUMIFS(AZ$1003:AZ$3061,SecVar,"ener",SecSub,$C3069,SecFuel,"&lt;&gt;all")</f>
        <v/>
      </c>
      <c r="BA3069" s="44">
        <f>SUMIFS(BA$1003:BA$3061,SecVar,"ener",SecSub,$C3069,SecFuel,"&lt;&gt;all")</f>
        <v/>
      </c>
    </row>
    <row r="3070" hidden="1" outlineLevel="1">
      <c r="A3070" s="14" t="inlineStr">
        <is>
          <t>ener</t>
        </is>
      </c>
      <c r="B3070" s="14" t="inlineStr">
        <is>
          <t>all</t>
        </is>
      </c>
      <c r="C3070" s="14" t="inlineStr">
        <is>
          <t>res</t>
        </is>
      </c>
      <c r="H3070" s="14">
        <f>INDEX(VarLab,MATCH($A3070,VarKey,0))&amp;INDEX(MemLab,MATCH($C3070&amp;"|"&amp;$B3070,MemKey,0))</f>
        <v/>
      </c>
      <c r="I3070" s="14">
        <f>INDEX(VarUnit,MATCH($A3070,VarKey,0))</f>
        <v/>
      </c>
      <c r="J3070" s="14">
        <f>INDEX(VarSrc,MATCH($A3070,VarKey,0))</f>
        <v/>
      </c>
      <c r="K3070" s="11">
        <f>CodePrefix&amp;$A3070&amp;IF($C3070="","","."&amp;$C3070&amp;"."&amp;$B3070)&amp;INDEX(VarEnd,MATCH($A3070,VarKey,0))&amp;K$5</f>
        <v/>
      </c>
      <c r="L3070" s="43">
        <f>SUMIFS(L$1003:L$3061,SecVar,"ener",SecSub,$C3070,SecFuel,"&lt;&gt;all")</f>
        <v/>
      </c>
      <c r="M3070" s="44">
        <f>SUMIFS(M$1003:M$3061,SecVar,"ener",SecSub,$C3070,SecFuel,"&lt;&gt;all")</f>
        <v/>
      </c>
      <c r="N3070" s="44">
        <f>SUMIFS(N$1003:N$3061,SecVar,"ener",SecSub,$C3070,SecFuel,"&lt;&gt;all")</f>
        <v/>
      </c>
      <c r="O3070" s="44">
        <f>SUMIFS(O$1003:O$3061,SecVar,"ener",SecSub,$C3070,SecFuel,"&lt;&gt;all")</f>
        <v/>
      </c>
      <c r="P3070" s="44">
        <f>SUMIFS(P$1003:P$3061,SecVar,"ener",SecSub,$C3070,SecFuel,"&lt;&gt;all")</f>
        <v/>
      </c>
      <c r="Q3070" s="44">
        <f>SUMIFS(Q$1003:Q$3061,SecVar,"ener",SecSub,$C3070,SecFuel,"&lt;&gt;all")</f>
        <v/>
      </c>
      <c r="R3070" s="44">
        <f>SUMIFS(R$1003:R$3061,SecVar,"ener",SecSub,$C3070,SecFuel,"&lt;&gt;all")</f>
        <v/>
      </c>
      <c r="S3070" s="44">
        <f>SUMIFS(S$1003:S$3061,SecVar,"ener",SecSub,$C3070,SecFuel,"&lt;&gt;all")</f>
        <v/>
      </c>
      <c r="T3070" s="44">
        <f>SUMIFS(T$1003:T$3061,SecVar,"ener",SecSub,$C3070,SecFuel,"&lt;&gt;all")</f>
        <v/>
      </c>
      <c r="U3070" s="44">
        <f>SUMIFS(U$1003:U$3061,SecVar,"ener",SecSub,$C3070,SecFuel,"&lt;&gt;all")</f>
        <v/>
      </c>
      <c r="V3070" s="44">
        <f>SUMIFS(V$1003:V$3061,SecVar,"ener",SecSub,$C3070,SecFuel,"&lt;&gt;all")</f>
        <v/>
      </c>
      <c r="W3070" s="44">
        <f>SUMIFS(W$1003:W$3061,SecVar,"ener",SecSub,$C3070,SecFuel,"&lt;&gt;all")</f>
        <v/>
      </c>
      <c r="X3070" s="44">
        <f>SUMIFS(X$1003:X$3061,SecVar,"ener",SecSub,$C3070,SecFuel,"&lt;&gt;all")</f>
        <v/>
      </c>
      <c r="Y3070" s="44">
        <f>SUMIFS(Y$1003:Y$3061,SecVar,"ener",SecSub,$C3070,SecFuel,"&lt;&gt;all")</f>
        <v/>
      </c>
      <c r="Z3070" s="44">
        <f>SUMIFS(Z$1003:Z$3061,SecVar,"ener",SecSub,$C3070,SecFuel,"&lt;&gt;all")</f>
        <v/>
      </c>
      <c r="AA3070" s="44">
        <f>SUMIFS(AA$1003:AA$3061,SecVar,"ener",SecSub,$C3070,SecFuel,"&lt;&gt;all")</f>
        <v/>
      </c>
      <c r="AB3070" s="44">
        <f>SUMIFS(AB$1003:AB$3061,SecVar,"ener",SecSub,$C3070,SecFuel,"&lt;&gt;all")</f>
        <v/>
      </c>
      <c r="AC3070" s="44">
        <f>SUMIFS(AC$1003:AC$3061,SecVar,"ener",SecSub,$C3070,SecFuel,"&lt;&gt;all")</f>
        <v/>
      </c>
      <c r="AD3070" s="44">
        <f>SUMIFS(AD$1003:AD$3061,SecVar,"ener",SecSub,$C3070,SecFuel,"&lt;&gt;all")</f>
        <v/>
      </c>
      <c r="AE3070" s="44">
        <f>SUMIFS(AE$1003:AE$3061,SecVar,"ener",SecSub,$C3070,SecFuel,"&lt;&gt;all")</f>
        <v/>
      </c>
      <c r="AG3070" s="11">
        <f>CodePrefix&amp;$A3070&amp;IF($C3070="","","."&amp;$C3070&amp;"."&amp;$B3070)&amp;INDEX(VarEnd,MATCH($A3070,VarKey,0))&amp;AG$5</f>
        <v/>
      </c>
      <c r="AH3070" s="43">
        <f>SUMIFS(AH$1003:AH$3061,SecVar,"ener",SecSub,$C3070,SecFuel,"&lt;&gt;all")</f>
        <v/>
      </c>
      <c r="AI3070" s="44">
        <f>SUMIFS(AI$1003:AI$3061,SecVar,"ener",SecSub,$C3070,SecFuel,"&lt;&gt;all")</f>
        <v/>
      </c>
      <c r="AJ3070" s="44">
        <f>SUMIFS(AJ$1003:AJ$3061,SecVar,"ener",SecSub,$C3070,SecFuel,"&lt;&gt;all")</f>
        <v/>
      </c>
      <c r="AK3070" s="44">
        <f>SUMIFS(AK$1003:AK$3061,SecVar,"ener",SecSub,$C3070,SecFuel,"&lt;&gt;all")</f>
        <v/>
      </c>
      <c r="AL3070" s="44">
        <f>SUMIFS(AL$1003:AL$3061,SecVar,"ener",SecSub,$C3070,SecFuel,"&lt;&gt;all")</f>
        <v/>
      </c>
      <c r="AM3070" s="44">
        <f>SUMIFS(AM$1003:AM$3061,SecVar,"ener",SecSub,$C3070,SecFuel,"&lt;&gt;all")</f>
        <v/>
      </c>
      <c r="AN3070" s="44">
        <f>SUMIFS(AN$1003:AN$3061,SecVar,"ener",SecSub,$C3070,SecFuel,"&lt;&gt;all")</f>
        <v/>
      </c>
      <c r="AO3070" s="44">
        <f>SUMIFS(AO$1003:AO$3061,SecVar,"ener",SecSub,$C3070,SecFuel,"&lt;&gt;all")</f>
        <v/>
      </c>
      <c r="AP3070" s="44">
        <f>SUMIFS(AP$1003:AP$3061,SecVar,"ener",SecSub,$C3070,SecFuel,"&lt;&gt;all")</f>
        <v/>
      </c>
      <c r="AQ3070" s="44">
        <f>SUMIFS(AQ$1003:AQ$3061,SecVar,"ener",SecSub,$C3070,SecFuel,"&lt;&gt;all")</f>
        <v/>
      </c>
      <c r="AR3070" s="44">
        <f>SUMIFS(AR$1003:AR$3061,SecVar,"ener",SecSub,$C3070,SecFuel,"&lt;&gt;all")</f>
        <v/>
      </c>
      <c r="AS3070" s="44">
        <f>SUMIFS(AS$1003:AS$3061,SecVar,"ener",SecSub,$C3070,SecFuel,"&lt;&gt;all")</f>
        <v/>
      </c>
      <c r="AT3070" s="44">
        <f>SUMIFS(AT$1003:AT$3061,SecVar,"ener",SecSub,$C3070,SecFuel,"&lt;&gt;all")</f>
        <v/>
      </c>
      <c r="AU3070" s="44">
        <f>SUMIFS(AU$1003:AU$3061,SecVar,"ener",SecSub,$C3070,SecFuel,"&lt;&gt;all")</f>
        <v/>
      </c>
      <c r="AV3070" s="44">
        <f>SUMIFS(AV$1003:AV$3061,SecVar,"ener",SecSub,$C3070,SecFuel,"&lt;&gt;all")</f>
        <v/>
      </c>
      <c r="AW3070" s="44">
        <f>SUMIFS(AW$1003:AW$3061,SecVar,"ener",SecSub,$C3070,SecFuel,"&lt;&gt;all")</f>
        <v/>
      </c>
      <c r="AX3070" s="44">
        <f>SUMIFS(AX$1003:AX$3061,SecVar,"ener",SecSub,$C3070,SecFuel,"&lt;&gt;all")</f>
        <v/>
      </c>
      <c r="AY3070" s="44">
        <f>SUMIFS(AY$1003:AY$3061,SecVar,"ener",SecSub,$C3070,SecFuel,"&lt;&gt;all")</f>
        <v/>
      </c>
      <c r="AZ3070" s="44">
        <f>SUMIFS(AZ$1003:AZ$3061,SecVar,"ener",SecSub,$C3070,SecFuel,"&lt;&gt;all")</f>
        <v/>
      </c>
      <c r="BA3070" s="44">
        <f>SUMIFS(BA$1003:BA$3061,SecVar,"ener",SecSub,$C3070,SecFuel,"&lt;&gt;all")</f>
        <v/>
      </c>
    </row>
    <row r="3071" hidden="1" outlineLevel="1">
      <c r="A3071" s="14" t="inlineStr">
        <is>
          <t>ener</t>
        </is>
      </c>
      <c r="B3071" s="14" t="inlineStr">
        <is>
          <t>all</t>
        </is>
      </c>
      <c r="C3071" s="14" t="inlineStr">
        <is>
          <t>foo</t>
        </is>
      </c>
      <c r="H3071" s="14">
        <f>INDEX(VarLab,MATCH($A3071,VarKey,0))&amp;INDEX(MemLab,MATCH($C3071&amp;"|"&amp;$B3071,MemKey,0))</f>
        <v/>
      </c>
      <c r="I3071" s="14">
        <f>INDEX(VarUnit,MATCH($A3071,VarKey,0))</f>
        <v/>
      </c>
      <c r="J3071" s="14">
        <f>INDEX(VarSrc,MATCH($A3071,VarKey,0))</f>
        <v/>
      </c>
      <c r="K3071" s="11">
        <f>CodePrefix&amp;$A3071&amp;IF($C3071="","","."&amp;$C3071&amp;"."&amp;$B3071)&amp;INDEX(VarEnd,MATCH($A3071,VarKey,0))&amp;K$5</f>
        <v/>
      </c>
      <c r="L3071" s="43">
        <f>SUMIFS(L$1003:L$3061,SecVar,"ener",SecSub,$C3071,SecFuel,"&lt;&gt;all")</f>
        <v/>
      </c>
      <c r="M3071" s="44">
        <f>SUMIFS(M$1003:M$3061,SecVar,"ener",SecSub,$C3071,SecFuel,"&lt;&gt;all")</f>
        <v/>
      </c>
      <c r="N3071" s="44">
        <f>SUMIFS(N$1003:N$3061,SecVar,"ener",SecSub,$C3071,SecFuel,"&lt;&gt;all")</f>
        <v/>
      </c>
      <c r="O3071" s="44">
        <f>SUMIFS(O$1003:O$3061,SecVar,"ener",SecSub,$C3071,SecFuel,"&lt;&gt;all")</f>
        <v/>
      </c>
      <c r="P3071" s="44">
        <f>SUMIFS(P$1003:P$3061,SecVar,"ener",SecSub,$C3071,SecFuel,"&lt;&gt;all")</f>
        <v/>
      </c>
      <c r="Q3071" s="44">
        <f>SUMIFS(Q$1003:Q$3061,SecVar,"ener",SecSub,$C3071,SecFuel,"&lt;&gt;all")</f>
        <v/>
      </c>
      <c r="R3071" s="44">
        <f>SUMIFS(R$1003:R$3061,SecVar,"ener",SecSub,$C3071,SecFuel,"&lt;&gt;all")</f>
        <v/>
      </c>
      <c r="S3071" s="44">
        <f>SUMIFS(S$1003:S$3061,SecVar,"ener",SecSub,$C3071,SecFuel,"&lt;&gt;all")</f>
        <v/>
      </c>
      <c r="T3071" s="44">
        <f>SUMIFS(T$1003:T$3061,SecVar,"ener",SecSub,$C3071,SecFuel,"&lt;&gt;all")</f>
        <v/>
      </c>
      <c r="U3071" s="44">
        <f>SUMIFS(U$1003:U$3061,SecVar,"ener",SecSub,$C3071,SecFuel,"&lt;&gt;all")</f>
        <v/>
      </c>
      <c r="V3071" s="44">
        <f>SUMIFS(V$1003:V$3061,SecVar,"ener",SecSub,$C3071,SecFuel,"&lt;&gt;all")</f>
        <v/>
      </c>
      <c r="W3071" s="44">
        <f>SUMIFS(W$1003:W$3061,SecVar,"ener",SecSub,$C3071,SecFuel,"&lt;&gt;all")</f>
        <v/>
      </c>
      <c r="X3071" s="44">
        <f>SUMIFS(X$1003:X$3061,SecVar,"ener",SecSub,$C3071,SecFuel,"&lt;&gt;all")</f>
        <v/>
      </c>
      <c r="Y3071" s="44">
        <f>SUMIFS(Y$1003:Y$3061,SecVar,"ener",SecSub,$C3071,SecFuel,"&lt;&gt;all")</f>
        <v/>
      </c>
      <c r="Z3071" s="44">
        <f>SUMIFS(Z$1003:Z$3061,SecVar,"ener",SecSub,$C3071,SecFuel,"&lt;&gt;all")</f>
        <v/>
      </c>
      <c r="AA3071" s="44">
        <f>SUMIFS(AA$1003:AA$3061,SecVar,"ener",SecSub,$C3071,SecFuel,"&lt;&gt;all")</f>
        <v/>
      </c>
      <c r="AB3071" s="44">
        <f>SUMIFS(AB$1003:AB$3061,SecVar,"ener",SecSub,$C3071,SecFuel,"&lt;&gt;all")</f>
        <v/>
      </c>
      <c r="AC3071" s="44">
        <f>SUMIFS(AC$1003:AC$3061,SecVar,"ener",SecSub,$C3071,SecFuel,"&lt;&gt;all")</f>
        <v/>
      </c>
      <c r="AD3071" s="44">
        <f>SUMIFS(AD$1003:AD$3061,SecVar,"ener",SecSub,$C3071,SecFuel,"&lt;&gt;all")</f>
        <v/>
      </c>
      <c r="AE3071" s="44">
        <f>SUMIFS(AE$1003:AE$3061,SecVar,"ener",SecSub,$C3071,SecFuel,"&lt;&gt;all")</f>
        <v/>
      </c>
      <c r="AG3071" s="11">
        <f>CodePrefix&amp;$A3071&amp;IF($C3071="","","."&amp;$C3071&amp;"."&amp;$B3071)&amp;INDEX(VarEnd,MATCH($A3071,VarKey,0))&amp;AG$5</f>
        <v/>
      </c>
      <c r="AH3071" s="43">
        <f>SUMIFS(AH$1003:AH$3061,SecVar,"ener",SecSub,$C3071,SecFuel,"&lt;&gt;all")</f>
        <v/>
      </c>
      <c r="AI3071" s="44">
        <f>SUMIFS(AI$1003:AI$3061,SecVar,"ener",SecSub,$C3071,SecFuel,"&lt;&gt;all")</f>
        <v/>
      </c>
      <c r="AJ3071" s="44">
        <f>SUMIFS(AJ$1003:AJ$3061,SecVar,"ener",SecSub,$C3071,SecFuel,"&lt;&gt;all")</f>
        <v/>
      </c>
      <c r="AK3071" s="44">
        <f>SUMIFS(AK$1003:AK$3061,SecVar,"ener",SecSub,$C3071,SecFuel,"&lt;&gt;all")</f>
        <v/>
      </c>
      <c r="AL3071" s="44">
        <f>SUMIFS(AL$1003:AL$3061,SecVar,"ener",SecSub,$C3071,SecFuel,"&lt;&gt;all")</f>
        <v/>
      </c>
      <c r="AM3071" s="44">
        <f>SUMIFS(AM$1003:AM$3061,SecVar,"ener",SecSub,$C3071,SecFuel,"&lt;&gt;all")</f>
        <v/>
      </c>
      <c r="AN3071" s="44">
        <f>SUMIFS(AN$1003:AN$3061,SecVar,"ener",SecSub,$C3071,SecFuel,"&lt;&gt;all")</f>
        <v/>
      </c>
      <c r="AO3071" s="44">
        <f>SUMIFS(AO$1003:AO$3061,SecVar,"ener",SecSub,$C3071,SecFuel,"&lt;&gt;all")</f>
        <v/>
      </c>
      <c r="AP3071" s="44">
        <f>SUMIFS(AP$1003:AP$3061,SecVar,"ener",SecSub,$C3071,SecFuel,"&lt;&gt;all")</f>
        <v/>
      </c>
      <c r="AQ3071" s="44">
        <f>SUMIFS(AQ$1003:AQ$3061,SecVar,"ener",SecSub,$C3071,SecFuel,"&lt;&gt;all")</f>
        <v/>
      </c>
      <c r="AR3071" s="44">
        <f>SUMIFS(AR$1003:AR$3061,SecVar,"ener",SecSub,$C3071,SecFuel,"&lt;&gt;all")</f>
        <v/>
      </c>
      <c r="AS3071" s="44">
        <f>SUMIFS(AS$1003:AS$3061,SecVar,"ener",SecSub,$C3071,SecFuel,"&lt;&gt;all")</f>
        <v/>
      </c>
      <c r="AT3071" s="44">
        <f>SUMIFS(AT$1003:AT$3061,SecVar,"ener",SecSub,$C3071,SecFuel,"&lt;&gt;all")</f>
        <v/>
      </c>
      <c r="AU3071" s="44">
        <f>SUMIFS(AU$1003:AU$3061,SecVar,"ener",SecSub,$C3071,SecFuel,"&lt;&gt;all")</f>
        <v/>
      </c>
      <c r="AV3071" s="44">
        <f>SUMIFS(AV$1003:AV$3061,SecVar,"ener",SecSub,$C3071,SecFuel,"&lt;&gt;all")</f>
        <v/>
      </c>
      <c r="AW3071" s="44">
        <f>SUMIFS(AW$1003:AW$3061,SecVar,"ener",SecSub,$C3071,SecFuel,"&lt;&gt;all")</f>
        <v/>
      </c>
      <c r="AX3071" s="44">
        <f>SUMIFS(AX$1003:AX$3061,SecVar,"ener",SecSub,$C3071,SecFuel,"&lt;&gt;all")</f>
        <v/>
      </c>
      <c r="AY3071" s="44">
        <f>SUMIFS(AY$1003:AY$3061,SecVar,"ener",SecSub,$C3071,SecFuel,"&lt;&gt;all")</f>
        <v/>
      </c>
      <c r="AZ3071" s="44">
        <f>SUMIFS(AZ$1003:AZ$3061,SecVar,"ener",SecSub,$C3071,SecFuel,"&lt;&gt;all")</f>
        <v/>
      </c>
      <c r="BA3071" s="44">
        <f>SUMIFS(BA$1003:BA$3061,SecVar,"ener",SecSub,$C3071,SecFuel,"&lt;&gt;all")</f>
        <v/>
      </c>
    </row>
    <row r="3072" hidden="1" outlineLevel="1">
      <c r="A3072" s="14" t="inlineStr">
        <is>
          <t>ener</t>
        </is>
      </c>
      <c r="B3072" s="14" t="inlineStr">
        <is>
          <t>all</t>
        </is>
      </c>
      <c r="C3072" s="14" t="inlineStr">
        <is>
          <t>srv</t>
        </is>
      </c>
      <c r="H3072" s="14">
        <f>INDEX(VarLab,MATCH($A3072,VarKey,0))&amp;INDEX(MemLab,MATCH($C3072&amp;"|"&amp;$B3072,MemKey,0))</f>
        <v/>
      </c>
      <c r="I3072" s="14">
        <f>INDEX(VarUnit,MATCH($A3072,VarKey,0))</f>
        <v/>
      </c>
      <c r="J3072" s="14">
        <f>INDEX(VarSrc,MATCH($A3072,VarKey,0))</f>
        <v/>
      </c>
      <c r="K3072" s="11">
        <f>CodePrefix&amp;$A3072&amp;IF($C3072="","","."&amp;$C3072&amp;"."&amp;$B3072)&amp;INDEX(VarEnd,MATCH($A3072,VarKey,0))&amp;K$5</f>
        <v/>
      </c>
      <c r="L3072" s="43">
        <f>SUMIFS(L$1003:L$3061,SecVar,"ener",SecSub,$C3072,SecFuel,"&lt;&gt;all")</f>
        <v/>
      </c>
      <c r="M3072" s="44">
        <f>SUMIFS(M$1003:M$3061,SecVar,"ener",SecSub,$C3072,SecFuel,"&lt;&gt;all")</f>
        <v/>
      </c>
      <c r="N3072" s="44">
        <f>SUMIFS(N$1003:N$3061,SecVar,"ener",SecSub,$C3072,SecFuel,"&lt;&gt;all")</f>
        <v/>
      </c>
      <c r="O3072" s="44">
        <f>SUMIFS(O$1003:O$3061,SecVar,"ener",SecSub,$C3072,SecFuel,"&lt;&gt;all")</f>
        <v/>
      </c>
      <c r="P3072" s="44">
        <f>SUMIFS(P$1003:P$3061,SecVar,"ener",SecSub,$C3072,SecFuel,"&lt;&gt;all")</f>
        <v/>
      </c>
      <c r="Q3072" s="44">
        <f>SUMIFS(Q$1003:Q$3061,SecVar,"ener",SecSub,$C3072,SecFuel,"&lt;&gt;all")</f>
        <v/>
      </c>
      <c r="R3072" s="44">
        <f>SUMIFS(R$1003:R$3061,SecVar,"ener",SecSub,$C3072,SecFuel,"&lt;&gt;all")</f>
        <v/>
      </c>
      <c r="S3072" s="44">
        <f>SUMIFS(S$1003:S$3061,SecVar,"ener",SecSub,$C3072,SecFuel,"&lt;&gt;all")</f>
        <v/>
      </c>
      <c r="T3072" s="44">
        <f>SUMIFS(T$1003:T$3061,SecVar,"ener",SecSub,$C3072,SecFuel,"&lt;&gt;all")</f>
        <v/>
      </c>
      <c r="U3072" s="44">
        <f>SUMIFS(U$1003:U$3061,SecVar,"ener",SecSub,$C3072,SecFuel,"&lt;&gt;all")</f>
        <v/>
      </c>
      <c r="V3072" s="44">
        <f>SUMIFS(V$1003:V$3061,SecVar,"ener",SecSub,$C3072,SecFuel,"&lt;&gt;all")</f>
        <v/>
      </c>
      <c r="W3072" s="44">
        <f>SUMIFS(W$1003:W$3061,SecVar,"ener",SecSub,$C3072,SecFuel,"&lt;&gt;all")</f>
        <v/>
      </c>
      <c r="X3072" s="44">
        <f>SUMIFS(X$1003:X$3061,SecVar,"ener",SecSub,$C3072,SecFuel,"&lt;&gt;all")</f>
        <v/>
      </c>
      <c r="Y3072" s="44">
        <f>SUMIFS(Y$1003:Y$3061,SecVar,"ener",SecSub,$C3072,SecFuel,"&lt;&gt;all")</f>
        <v/>
      </c>
      <c r="Z3072" s="44">
        <f>SUMIFS(Z$1003:Z$3061,SecVar,"ener",SecSub,$C3072,SecFuel,"&lt;&gt;all")</f>
        <v/>
      </c>
      <c r="AA3072" s="44">
        <f>SUMIFS(AA$1003:AA$3061,SecVar,"ener",SecSub,$C3072,SecFuel,"&lt;&gt;all")</f>
        <v/>
      </c>
      <c r="AB3072" s="44">
        <f>SUMIFS(AB$1003:AB$3061,SecVar,"ener",SecSub,$C3072,SecFuel,"&lt;&gt;all")</f>
        <v/>
      </c>
      <c r="AC3072" s="44">
        <f>SUMIFS(AC$1003:AC$3061,SecVar,"ener",SecSub,$C3072,SecFuel,"&lt;&gt;all")</f>
        <v/>
      </c>
      <c r="AD3072" s="44">
        <f>SUMIFS(AD$1003:AD$3061,SecVar,"ener",SecSub,$C3072,SecFuel,"&lt;&gt;all")</f>
        <v/>
      </c>
      <c r="AE3072" s="44">
        <f>SUMIFS(AE$1003:AE$3061,SecVar,"ener",SecSub,$C3072,SecFuel,"&lt;&gt;all")</f>
        <v/>
      </c>
      <c r="AG3072" s="11">
        <f>CodePrefix&amp;$A3072&amp;IF($C3072="","","."&amp;$C3072&amp;"."&amp;$B3072)&amp;INDEX(VarEnd,MATCH($A3072,VarKey,0))&amp;AG$5</f>
        <v/>
      </c>
      <c r="AH3072" s="43">
        <f>SUMIFS(AH$1003:AH$3061,SecVar,"ener",SecSub,$C3072,SecFuel,"&lt;&gt;all")</f>
        <v/>
      </c>
      <c r="AI3072" s="44">
        <f>SUMIFS(AI$1003:AI$3061,SecVar,"ener",SecSub,$C3072,SecFuel,"&lt;&gt;all")</f>
        <v/>
      </c>
      <c r="AJ3072" s="44">
        <f>SUMIFS(AJ$1003:AJ$3061,SecVar,"ener",SecSub,$C3072,SecFuel,"&lt;&gt;all")</f>
        <v/>
      </c>
      <c r="AK3072" s="44">
        <f>SUMIFS(AK$1003:AK$3061,SecVar,"ener",SecSub,$C3072,SecFuel,"&lt;&gt;all")</f>
        <v/>
      </c>
      <c r="AL3072" s="44">
        <f>SUMIFS(AL$1003:AL$3061,SecVar,"ener",SecSub,$C3072,SecFuel,"&lt;&gt;all")</f>
        <v/>
      </c>
      <c r="AM3072" s="44">
        <f>SUMIFS(AM$1003:AM$3061,SecVar,"ener",SecSub,$C3072,SecFuel,"&lt;&gt;all")</f>
        <v/>
      </c>
      <c r="AN3072" s="44">
        <f>SUMIFS(AN$1003:AN$3061,SecVar,"ener",SecSub,$C3072,SecFuel,"&lt;&gt;all")</f>
        <v/>
      </c>
      <c r="AO3072" s="44">
        <f>SUMIFS(AO$1003:AO$3061,SecVar,"ener",SecSub,$C3072,SecFuel,"&lt;&gt;all")</f>
        <v/>
      </c>
      <c r="AP3072" s="44">
        <f>SUMIFS(AP$1003:AP$3061,SecVar,"ener",SecSub,$C3072,SecFuel,"&lt;&gt;all")</f>
        <v/>
      </c>
      <c r="AQ3072" s="44">
        <f>SUMIFS(AQ$1003:AQ$3061,SecVar,"ener",SecSub,$C3072,SecFuel,"&lt;&gt;all")</f>
        <v/>
      </c>
      <c r="AR3072" s="44">
        <f>SUMIFS(AR$1003:AR$3061,SecVar,"ener",SecSub,$C3072,SecFuel,"&lt;&gt;all")</f>
        <v/>
      </c>
      <c r="AS3072" s="44">
        <f>SUMIFS(AS$1003:AS$3061,SecVar,"ener",SecSub,$C3072,SecFuel,"&lt;&gt;all")</f>
        <v/>
      </c>
      <c r="AT3072" s="44">
        <f>SUMIFS(AT$1003:AT$3061,SecVar,"ener",SecSub,$C3072,SecFuel,"&lt;&gt;all")</f>
        <v/>
      </c>
      <c r="AU3072" s="44">
        <f>SUMIFS(AU$1003:AU$3061,SecVar,"ener",SecSub,$C3072,SecFuel,"&lt;&gt;all")</f>
        <v/>
      </c>
      <c r="AV3072" s="44">
        <f>SUMIFS(AV$1003:AV$3061,SecVar,"ener",SecSub,$C3072,SecFuel,"&lt;&gt;all")</f>
        <v/>
      </c>
      <c r="AW3072" s="44">
        <f>SUMIFS(AW$1003:AW$3061,SecVar,"ener",SecSub,$C3072,SecFuel,"&lt;&gt;all")</f>
        <v/>
      </c>
      <c r="AX3072" s="44">
        <f>SUMIFS(AX$1003:AX$3061,SecVar,"ener",SecSub,$C3072,SecFuel,"&lt;&gt;all")</f>
        <v/>
      </c>
      <c r="AY3072" s="44">
        <f>SUMIFS(AY$1003:AY$3061,SecVar,"ener",SecSub,$C3072,SecFuel,"&lt;&gt;all")</f>
        <v/>
      </c>
      <c r="AZ3072" s="44">
        <f>SUMIFS(AZ$1003:AZ$3061,SecVar,"ener",SecSub,$C3072,SecFuel,"&lt;&gt;all")</f>
        <v/>
      </c>
      <c r="BA3072" s="44">
        <f>SUMIFS(BA$1003:BA$3061,SecVar,"ener",SecSub,$C3072,SecFuel,"&lt;&gt;all")</f>
        <v/>
      </c>
    </row>
    <row r="3073" hidden="1" outlineLevel="1">
      <c r="A3073" s="14" t="inlineStr">
        <is>
          <t>ener</t>
        </is>
      </c>
      <c r="B3073" s="14" t="inlineStr">
        <is>
          <t>all</t>
        </is>
      </c>
      <c r="C3073" s="14" t="inlineStr">
        <is>
          <t>mch</t>
        </is>
      </c>
      <c r="H3073" s="14">
        <f>INDEX(VarLab,MATCH($A3073,VarKey,0))&amp;INDEX(MemLab,MATCH($C3073&amp;"|"&amp;$B3073,MemKey,0))</f>
        <v/>
      </c>
      <c r="I3073" s="14">
        <f>INDEX(VarUnit,MATCH($A3073,VarKey,0))</f>
        <v/>
      </c>
      <c r="J3073" s="14">
        <f>INDEX(VarSrc,MATCH($A3073,VarKey,0))</f>
        <v/>
      </c>
      <c r="K3073" s="11">
        <f>CodePrefix&amp;$A3073&amp;IF($C3073="","","."&amp;$C3073&amp;"."&amp;$B3073)&amp;INDEX(VarEnd,MATCH($A3073,VarKey,0))&amp;K$5</f>
        <v/>
      </c>
      <c r="L3073" s="43">
        <f>SUMIFS(L$1003:L$3061,SecVar,"ener",SecSub,$C3073,SecFuel,"&lt;&gt;all")</f>
        <v/>
      </c>
      <c r="M3073" s="44">
        <f>SUMIFS(M$1003:M$3061,SecVar,"ener",SecSub,$C3073,SecFuel,"&lt;&gt;all")</f>
        <v/>
      </c>
      <c r="N3073" s="44">
        <f>SUMIFS(N$1003:N$3061,SecVar,"ener",SecSub,$C3073,SecFuel,"&lt;&gt;all")</f>
        <v/>
      </c>
      <c r="O3073" s="44">
        <f>SUMIFS(O$1003:O$3061,SecVar,"ener",SecSub,$C3073,SecFuel,"&lt;&gt;all")</f>
        <v/>
      </c>
      <c r="P3073" s="44">
        <f>SUMIFS(P$1003:P$3061,SecVar,"ener",SecSub,$C3073,SecFuel,"&lt;&gt;all")</f>
        <v/>
      </c>
      <c r="Q3073" s="44">
        <f>SUMIFS(Q$1003:Q$3061,SecVar,"ener",SecSub,$C3073,SecFuel,"&lt;&gt;all")</f>
        <v/>
      </c>
      <c r="R3073" s="44">
        <f>SUMIFS(R$1003:R$3061,SecVar,"ener",SecSub,$C3073,SecFuel,"&lt;&gt;all")</f>
        <v/>
      </c>
      <c r="S3073" s="44">
        <f>SUMIFS(S$1003:S$3061,SecVar,"ener",SecSub,$C3073,SecFuel,"&lt;&gt;all")</f>
        <v/>
      </c>
      <c r="T3073" s="44">
        <f>SUMIFS(T$1003:T$3061,SecVar,"ener",SecSub,$C3073,SecFuel,"&lt;&gt;all")</f>
        <v/>
      </c>
      <c r="U3073" s="44">
        <f>SUMIFS(U$1003:U$3061,SecVar,"ener",SecSub,$C3073,SecFuel,"&lt;&gt;all")</f>
        <v/>
      </c>
      <c r="V3073" s="44">
        <f>SUMIFS(V$1003:V$3061,SecVar,"ener",SecSub,$C3073,SecFuel,"&lt;&gt;all")</f>
        <v/>
      </c>
      <c r="W3073" s="44">
        <f>SUMIFS(W$1003:W$3061,SecVar,"ener",SecSub,$C3073,SecFuel,"&lt;&gt;all")</f>
        <v/>
      </c>
      <c r="X3073" s="44">
        <f>SUMIFS(X$1003:X$3061,SecVar,"ener",SecSub,$C3073,SecFuel,"&lt;&gt;all")</f>
        <v/>
      </c>
      <c r="Y3073" s="44">
        <f>SUMIFS(Y$1003:Y$3061,SecVar,"ener",SecSub,$C3073,SecFuel,"&lt;&gt;all")</f>
        <v/>
      </c>
      <c r="Z3073" s="44">
        <f>SUMIFS(Z$1003:Z$3061,SecVar,"ener",SecSub,$C3073,SecFuel,"&lt;&gt;all")</f>
        <v/>
      </c>
      <c r="AA3073" s="44">
        <f>SUMIFS(AA$1003:AA$3061,SecVar,"ener",SecSub,$C3073,SecFuel,"&lt;&gt;all")</f>
        <v/>
      </c>
      <c r="AB3073" s="44">
        <f>SUMIFS(AB$1003:AB$3061,SecVar,"ener",SecSub,$C3073,SecFuel,"&lt;&gt;all")</f>
        <v/>
      </c>
      <c r="AC3073" s="44">
        <f>SUMIFS(AC$1003:AC$3061,SecVar,"ener",SecSub,$C3073,SecFuel,"&lt;&gt;all")</f>
        <v/>
      </c>
      <c r="AD3073" s="44">
        <f>SUMIFS(AD$1003:AD$3061,SecVar,"ener",SecSub,$C3073,SecFuel,"&lt;&gt;all")</f>
        <v/>
      </c>
      <c r="AE3073" s="44">
        <f>SUMIFS(AE$1003:AE$3061,SecVar,"ener",SecSub,$C3073,SecFuel,"&lt;&gt;all")</f>
        <v/>
      </c>
      <c r="AG3073" s="11">
        <f>CodePrefix&amp;$A3073&amp;IF($C3073="","","."&amp;$C3073&amp;"."&amp;$B3073)&amp;INDEX(VarEnd,MATCH($A3073,VarKey,0))&amp;AG$5</f>
        <v/>
      </c>
      <c r="AH3073" s="43">
        <f>SUMIFS(AH$1003:AH$3061,SecVar,"ener",SecSub,$C3073,SecFuel,"&lt;&gt;all")</f>
        <v/>
      </c>
      <c r="AI3073" s="44">
        <f>SUMIFS(AI$1003:AI$3061,SecVar,"ener",SecSub,$C3073,SecFuel,"&lt;&gt;all")</f>
        <v/>
      </c>
      <c r="AJ3073" s="44">
        <f>SUMIFS(AJ$1003:AJ$3061,SecVar,"ener",SecSub,$C3073,SecFuel,"&lt;&gt;all")</f>
        <v/>
      </c>
      <c r="AK3073" s="44">
        <f>SUMIFS(AK$1003:AK$3061,SecVar,"ener",SecSub,$C3073,SecFuel,"&lt;&gt;all")</f>
        <v/>
      </c>
      <c r="AL3073" s="44">
        <f>SUMIFS(AL$1003:AL$3061,SecVar,"ener",SecSub,$C3073,SecFuel,"&lt;&gt;all")</f>
        <v/>
      </c>
      <c r="AM3073" s="44">
        <f>SUMIFS(AM$1003:AM$3061,SecVar,"ener",SecSub,$C3073,SecFuel,"&lt;&gt;all")</f>
        <v/>
      </c>
      <c r="AN3073" s="44">
        <f>SUMIFS(AN$1003:AN$3061,SecVar,"ener",SecSub,$C3073,SecFuel,"&lt;&gt;all")</f>
        <v/>
      </c>
      <c r="AO3073" s="44">
        <f>SUMIFS(AO$1003:AO$3061,SecVar,"ener",SecSub,$C3073,SecFuel,"&lt;&gt;all")</f>
        <v/>
      </c>
      <c r="AP3073" s="44">
        <f>SUMIFS(AP$1003:AP$3061,SecVar,"ener",SecSub,$C3073,SecFuel,"&lt;&gt;all")</f>
        <v/>
      </c>
      <c r="AQ3073" s="44">
        <f>SUMIFS(AQ$1003:AQ$3061,SecVar,"ener",SecSub,$C3073,SecFuel,"&lt;&gt;all")</f>
        <v/>
      </c>
      <c r="AR3073" s="44">
        <f>SUMIFS(AR$1003:AR$3061,SecVar,"ener",SecSub,$C3073,SecFuel,"&lt;&gt;all")</f>
        <v/>
      </c>
      <c r="AS3073" s="44">
        <f>SUMIFS(AS$1003:AS$3061,SecVar,"ener",SecSub,$C3073,SecFuel,"&lt;&gt;all")</f>
        <v/>
      </c>
      <c r="AT3073" s="44">
        <f>SUMIFS(AT$1003:AT$3061,SecVar,"ener",SecSub,$C3073,SecFuel,"&lt;&gt;all")</f>
        <v/>
      </c>
      <c r="AU3073" s="44">
        <f>SUMIFS(AU$1003:AU$3061,SecVar,"ener",SecSub,$C3073,SecFuel,"&lt;&gt;all")</f>
        <v/>
      </c>
      <c r="AV3073" s="44">
        <f>SUMIFS(AV$1003:AV$3061,SecVar,"ener",SecSub,$C3073,SecFuel,"&lt;&gt;all")</f>
        <v/>
      </c>
      <c r="AW3073" s="44">
        <f>SUMIFS(AW$1003:AW$3061,SecVar,"ener",SecSub,$C3073,SecFuel,"&lt;&gt;all")</f>
        <v/>
      </c>
      <c r="AX3073" s="44">
        <f>SUMIFS(AX$1003:AX$3061,SecVar,"ener",SecSub,$C3073,SecFuel,"&lt;&gt;all")</f>
        <v/>
      </c>
      <c r="AY3073" s="44">
        <f>SUMIFS(AY$1003:AY$3061,SecVar,"ener",SecSub,$C3073,SecFuel,"&lt;&gt;all")</f>
        <v/>
      </c>
      <c r="AZ3073" s="44">
        <f>SUMIFS(AZ$1003:AZ$3061,SecVar,"ener",SecSub,$C3073,SecFuel,"&lt;&gt;all")</f>
        <v/>
      </c>
      <c r="BA3073" s="44">
        <f>SUMIFS(BA$1003:BA$3061,SecVar,"ener",SecSub,$C3073,SecFuel,"&lt;&gt;all")</f>
        <v/>
      </c>
    </row>
    <row r="3074" hidden="1" outlineLevel="1">
      <c r="A3074" s="14" t="inlineStr">
        <is>
          <t>ener</t>
        </is>
      </c>
      <c r="B3074" s="14" t="inlineStr">
        <is>
          <t>all</t>
        </is>
      </c>
      <c r="C3074" s="14" t="inlineStr">
        <is>
          <t>irn</t>
        </is>
      </c>
      <c r="H3074" s="14">
        <f>INDEX(VarLab,MATCH($A3074,VarKey,0))&amp;INDEX(MemLab,MATCH($C3074&amp;"|"&amp;$B3074,MemKey,0))</f>
        <v/>
      </c>
      <c r="I3074" s="14">
        <f>INDEX(VarUnit,MATCH($A3074,VarKey,0))</f>
        <v/>
      </c>
      <c r="J3074" s="14">
        <f>INDEX(VarSrc,MATCH($A3074,VarKey,0))</f>
        <v/>
      </c>
      <c r="K3074" s="11">
        <f>CodePrefix&amp;$A3074&amp;IF($C3074="","","."&amp;$C3074&amp;"."&amp;$B3074)&amp;INDEX(VarEnd,MATCH($A3074,VarKey,0))&amp;K$5</f>
        <v/>
      </c>
      <c r="L3074" s="43">
        <f>SUMIFS(L$1003:L$3061,SecVar,"ener",SecSub,$C3074,SecFuel,"&lt;&gt;all")</f>
        <v/>
      </c>
      <c r="M3074" s="44">
        <f>SUMIFS(M$1003:M$3061,SecVar,"ener",SecSub,$C3074,SecFuel,"&lt;&gt;all")</f>
        <v/>
      </c>
      <c r="N3074" s="44">
        <f>SUMIFS(N$1003:N$3061,SecVar,"ener",SecSub,$C3074,SecFuel,"&lt;&gt;all")</f>
        <v/>
      </c>
      <c r="O3074" s="44">
        <f>SUMIFS(O$1003:O$3061,SecVar,"ener",SecSub,$C3074,SecFuel,"&lt;&gt;all")</f>
        <v/>
      </c>
      <c r="P3074" s="44">
        <f>SUMIFS(P$1003:P$3061,SecVar,"ener",SecSub,$C3074,SecFuel,"&lt;&gt;all")</f>
        <v/>
      </c>
      <c r="Q3074" s="44">
        <f>SUMIFS(Q$1003:Q$3061,SecVar,"ener",SecSub,$C3074,SecFuel,"&lt;&gt;all")</f>
        <v/>
      </c>
      <c r="R3074" s="44">
        <f>SUMIFS(R$1003:R$3061,SecVar,"ener",SecSub,$C3074,SecFuel,"&lt;&gt;all")</f>
        <v/>
      </c>
      <c r="S3074" s="44">
        <f>SUMIFS(S$1003:S$3061,SecVar,"ener",SecSub,$C3074,SecFuel,"&lt;&gt;all")</f>
        <v/>
      </c>
      <c r="T3074" s="44">
        <f>SUMIFS(T$1003:T$3061,SecVar,"ener",SecSub,$C3074,SecFuel,"&lt;&gt;all")</f>
        <v/>
      </c>
      <c r="U3074" s="44">
        <f>SUMIFS(U$1003:U$3061,SecVar,"ener",SecSub,$C3074,SecFuel,"&lt;&gt;all")</f>
        <v/>
      </c>
      <c r="V3074" s="44">
        <f>SUMIFS(V$1003:V$3061,SecVar,"ener",SecSub,$C3074,SecFuel,"&lt;&gt;all")</f>
        <v/>
      </c>
      <c r="W3074" s="44">
        <f>SUMIFS(W$1003:W$3061,SecVar,"ener",SecSub,$C3074,SecFuel,"&lt;&gt;all")</f>
        <v/>
      </c>
      <c r="X3074" s="44">
        <f>SUMIFS(X$1003:X$3061,SecVar,"ener",SecSub,$C3074,SecFuel,"&lt;&gt;all")</f>
        <v/>
      </c>
      <c r="Y3074" s="44">
        <f>SUMIFS(Y$1003:Y$3061,SecVar,"ener",SecSub,$C3074,SecFuel,"&lt;&gt;all")</f>
        <v/>
      </c>
      <c r="Z3074" s="44">
        <f>SUMIFS(Z$1003:Z$3061,SecVar,"ener",SecSub,$C3074,SecFuel,"&lt;&gt;all")</f>
        <v/>
      </c>
      <c r="AA3074" s="44">
        <f>SUMIFS(AA$1003:AA$3061,SecVar,"ener",SecSub,$C3074,SecFuel,"&lt;&gt;all")</f>
        <v/>
      </c>
      <c r="AB3074" s="44">
        <f>SUMIFS(AB$1003:AB$3061,SecVar,"ener",SecSub,$C3074,SecFuel,"&lt;&gt;all")</f>
        <v/>
      </c>
      <c r="AC3074" s="44">
        <f>SUMIFS(AC$1003:AC$3061,SecVar,"ener",SecSub,$C3074,SecFuel,"&lt;&gt;all")</f>
        <v/>
      </c>
      <c r="AD3074" s="44">
        <f>SUMIFS(AD$1003:AD$3061,SecVar,"ener",SecSub,$C3074,SecFuel,"&lt;&gt;all")</f>
        <v/>
      </c>
      <c r="AE3074" s="44">
        <f>SUMIFS(AE$1003:AE$3061,SecVar,"ener",SecSub,$C3074,SecFuel,"&lt;&gt;all")</f>
        <v/>
      </c>
      <c r="AG3074" s="11">
        <f>CodePrefix&amp;$A3074&amp;IF($C3074="","","."&amp;$C3074&amp;"."&amp;$B3074)&amp;INDEX(VarEnd,MATCH($A3074,VarKey,0))&amp;AG$5</f>
        <v/>
      </c>
      <c r="AH3074" s="43">
        <f>SUMIFS(AH$1003:AH$3061,SecVar,"ener",SecSub,$C3074,SecFuel,"&lt;&gt;all")</f>
        <v/>
      </c>
      <c r="AI3074" s="44">
        <f>SUMIFS(AI$1003:AI$3061,SecVar,"ener",SecSub,$C3074,SecFuel,"&lt;&gt;all")</f>
        <v/>
      </c>
      <c r="AJ3074" s="44">
        <f>SUMIFS(AJ$1003:AJ$3061,SecVar,"ener",SecSub,$C3074,SecFuel,"&lt;&gt;all")</f>
        <v/>
      </c>
      <c r="AK3074" s="44">
        <f>SUMIFS(AK$1003:AK$3061,SecVar,"ener",SecSub,$C3074,SecFuel,"&lt;&gt;all")</f>
        <v/>
      </c>
      <c r="AL3074" s="44">
        <f>SUMIFS(AL$1003:AL$3061,SecVar,"ener",SecSub,$C3074,SecFuel,"&lt;&gt;all")</f>
        <v/>
      </c>
      <c r="AM3074" s="44">
        <f>SUMIFS(AM$1003:AM$3061,SecVar,"ener",SecSub,$C3074,SecFuel,"&lt;&gt;all")</f>
        <v/>
      </c>
      <c r="AN3074" s="44">
        <f>SUMIFS(AN$1003:AN$3061,SecVar,"ener",SecSub,$C3074,SecFuel,"&lt;&gt;all")</f>
        <v/>
      </c>
      <c r="AO3074" s="44">
        <f>SUMIFS(AO$1003:AO$3061,SecVar,"ener",SecSub,$C3074,SecFuel,"&lt;&gt;all")</f>
        <v/>
      </c>
      <c r="AP3074" s="44">
        <f>SUMIFS(AP$1003:AP$3061,SecVar,"ener",SecSub,$C3074,SecFuel,"&lt;&gt;all")</f>
        <v/>
      </c>
      <c r="AQ3074" s="44">
        <f>SUMIFS(AQ$1003:AQ$3061,SecVar,"ener",SecSub,$C3074,SecFuel,"&lt;&gt;all")</f>
        <v/>
      </c>
      <c r="AR3074" s="44">
        <f>SUMIFS(AR$1003:AR$3061,SecVar,"ener",SecSub,$C3074,SecFuel,"&lt;&gt;all")</f>
        <v/>
      </c>
      <c r="AS3074" s="44">
        <f>SUMIFS(AS$1003:AS$3061,SecVar,"ener",SecSub,$C3074,SecFuel,"&lt;&gt;all")</f>
        <v/>
      </c>
      <c r="AT3074" s="44">
        <f>SUMIFS(AT$1003:AT$3061,SecVar,"ener",SecSub,$C3074,SecFuel,"&lt;&gt;all")</f>
        <v/>
      </c>
      <c r="AU3074" s="44">
        <f>SUMIFS(AU$1003:AU$3061,SecVar,"ener",SecSub,$C3074,SecFuel,"&lt;&gt;all")</f>
        <v/>
      </c>
      <c r="AV3074" s="44">
        <f>SUMIFS(AV$1003:AV$3061,SecVar,"ener",SecSub,$C3074,SecFuel,"&lt;&gt;all")</f>
        <v/>
      </c>
      <c r="AW3074" s="44">
        <f>SUMIFS(AW$1003:AW$3061,SecVar,"ener",SecSub,$C3074,SecFuel,"&lt;&gt;all")</f>
        <v/>
      </c>
      <c r="AX3074" s="44">
        <f>SUMIFS(AX$1003:AX$3061,SecVar,"ener",SecSub,$C3074,SecFuel,"&lt;&gt;all")</f>
        <v/>
      </c>
      <c r="AY3074" s="44">
        <f>SUMIFS(AY$1003:AY$3061,SecVar,"ener",SecSub,$C3074,SecFuel,"&lt;&gt;all")</f>
        <v/>
      </c>
      <c r="AZ3074" s="44">
        <f>SUMIFS(AZ$1003:AZ$3061,SecVar,"ener",SecSub,$C3074,SecFuel,"&lt;&gt;all")</f>
        <v/>
      </c>
      <c r="BA3074" s="44">
        <f>SUMIFS(BA$1003:BA$3061,SecVar,"ener",SecSub,$C3074,SecFuel,"&lt;&gt;all")</f>
        <v/>
      </c>
    </row>
    <row r="3075" hidden="1" outlineLevel="1">
      <c r="A3075" s="14" t="inlineStr">
        <is>
          <t>ener</t>
        </is>
      </c>
      <c r="B3075" s="14" t="inlineStr">
        <is>
          <t>all</t>
        </is>
      </c>
      <c r="C3075" s="14" t="inlineStr">
        <is>
          <t>nfm</t>
        </is>
      </c>
      <c r="H3075" s="14">
        <f>INDEX(VarLab,MATCH($A3075,VarKey,0))&amp;INDEX(MemLab,MATCH($C3075&amp;"|"&amp;$B3075,MemKey,0))</f>
        <v/>
      </c>
      <c r="I3075" s="14">
        <f>INDEX(VarUnit,MATCH($A3075,VarKey,0))</f>
        <v/>
      </c>
      <c r="J3075" s="14">
        <f>INDEX(VarSrc,MATCH($A3075,VarKey,0))</f>
        <v/>
      </c>
      <c r="K3075" s="11">
        <f>CodePrefix&amp;$A3075&amp;IF($C3075="","","."&amp;$C3075&amp;"."&amp;$B3075)&amp;INDEX(VarEnd,MATCH($A3075,VarKey,0))&amp;K$5</f>
        <v/>
      </c>
      <c r="L3075" s="43">
        <f>SUMIFS(L$1003:L$3061,SecVar,"ener",SecSub,$C3075,SecFuel,"&lt;&gt;all")</f>
        <v/>
      </c>
      <c r="M3075" s="44">
        <f>SUMIFS(M$1003:M$3061,SecVar,"ener",SecSub,$C3075,SecFuel,"&lt;&gt;all")</f>
        <v/>
      </c>
      <c r="N3075" s="44">
        <f>SUMIFS(N$1003:N$3061,SecVar,"ener",SecSub,$C3075,SecFuel,"&lt;&gt;all")</f>
        <v/>
      </c>
      <c r="O3075" s="44">
        <f>SUMIFS(O$1003:O$3061,SecVar,"ener",SecSub,$C3075,SecFuel,"&lt;&gt;all")</f>
        <v/>
      </c>
      <c r="P3075" s="44">
        <f>SUMIFS(P$1003:P$3061,SecVar,"ener",SecSub,$C3075,SecFuel,"&lt;&gt;all")</f>
        <v/>
      </c>
      <c r="Q3075" s="44">
        <f>SUMIFS(Q$1003:Q$3061,SecVar,"ener",SecSub,$C3075,SecFuel,"&lt;&gt;all")</f>
        <v/>
      </c>
      <c r="R3075" s="44">
        <f>SUMIFS(R$1003:R$3061,SecVar,"ener",SecSub,$C3075,SecFuel,"&lt;&gt;all")</f>
        <v/>
      </c>
      <c r="S3075" s="44">
        <f>SUMIFS(S$1003:S$3061,SecVar,"ener",SecSub,$C3075,SecFuel,"&lt;&gt;all")</f>
        <v/>
      </c>
      <c r="T3075" s="44">
        <f>SUMIFS(T$1003:T$3061,SecVar,"ener",SecSub,$C3075,SecFuel,"&lt;&gt;all")</f>
        <v/>
      </c>
      <c r="U3075" s="44">
        <f>SUMIFS(U$1003:U$3061,SecVar,"ener",SecSub,$C3075,SecFuel,"&lt;&gt;all")</f>
        <v/>
      </c>
      <c r="V3075" s="44">
        <f>SUMIFS(V$1003:V$3061,SecVar,"ener",SecSub,$C3075,SecFuel,"&lt;&gt;all")</f>
        <v/>
      </c>
      <c r="W3075" s="44">
        <f>SUMIFS(W$1003:W$3061,SecVar,"ener",SecSub,$C3075,SecFuel,"&lt;&gt;all")</f>
        <v/>
      </c>
      <c r="X3075" s="44">
        <f>SUMIFS(X$1003:X$3061,SecVar,"ener",SecSub,$C3075,SecFuel,"&lt;&gt;all")</f>
        <v/>
      </c>
      <c r="Y3075" s="44">
        <f>SUMIFS(Y$1003:Y$3061,SecVar,"ener",SecSub,$C3075,SecFuel,"&lt;&gt;all")</f>
        <v/>
      </c>
      <c r="Z3075" s="44">
        <f>SUMIFS(Z$1003:Z$3061,SecVar,"ener",SecSub,$C3075,SecFuel,"&lt;&gt;all")</f>
        <v/>
      </c>
      <c r="AA3075" s="44">
        <f>SUMIFS(AA$1003:AA$3061,SecVar,"ener",SecSub,$C3075,SecFuel,"&lt;&gt;all")</f>
        <v/>
      </c>
      <c r="AB3075" s="44">
        <f>SUMIFS(AB$1003:AB$3061,SecVar,"ener",SecSub,$C3075,SecFuel,"&lt;&gt;all")</f>
        <v/>
      </c>
      <c r="AC3075" s="44">
        <f>SUMIFS(AC$1003:AC$3061,SecVar,"ener",SecSub,$C3075,SecFuel,"&lt;&gt;all")</f>
        <v/>
      </c>
      <c r="AD3075" s="44">
        <f>SUMIFS(AD$1003:AD$3061,SecVar,"ener",SecSub,$C3075,SecFuel,"&lt;&gt;all")</f>
        <v/>
      </c>
      <c r="AE3075" s="44">
        <f>SUMIFS(AE$1003:AE$3061,SecVar,"ener",SecSub,$C3075,SecFuel,"&lt;&gt;all")</f>
        <v/>
      </c>
      <c r="AG3075" s="11">
        <f>CodePrefix&amp;$A3075&amp;IF($C3075="","","."&amp;$C3075&amp;"."&amp;$B3075)&amp;INDEX(VarEnd,MATCH($A3075,VarKey,0))&amp;AG$5</f>
        <v/>
      </c>
      <c r="AH3075" s="43">
        <f>SUMIFS(AH$1003:AH$3061,SecVar,"ener",SecSub,$C3075,SecFuel,"&lt;&gt;all")</f>
        <v/>
      </c>
      <c r="AI3075" s="44">
        <f>SUMIFS(AI$1003:AI$3061,SecVar,"ener",SecSub,$C3075,SecFuel,"&lt;&gt;all")</f>
        <v/>
      </c>
      <c r="AJ3075" s="44">
        <f>SUMIFS(AJ$1003:AJ$3061,SecVar,"ener",SecSub,$C3075,SecFuel,"&lt;&gt;all")</f>
        <v/>
      </c>
      <c r="AK3075" s="44">
        <f>SUMIFS(AK$1003:AK$3061,SecVar,"ener",SecSub,$C3075,SecFuel,"&lt;&gt;all")</f>
        <v/>
      </c>
      <c r="AL3075" s="44">
        <f>SUMIFS(AL$1003:AL$3061,SecVar,"ener",SecSub,$C3075,SecFuel,"&lt;&gt;all")</f>
        <v/>
      </c>
      <c r="AM3075" s="44">
        <f>SUMIFS(AM$1003:AM$3061,SecVar,"ener",SecSub,$C3075,SecFuel,"&lt;&gt;all")</f>
        <v/>
      </c>
      <c r="AN3075" s="44">
        <f>SUMIFS(AN$1003:AN$3061,SecVar,"ener",SecSub,$C3075,SecFuel,"&lt;&gt;all")</f>
        <v/>
      </c>
      <c r="AO3075" s="44">
        <f>SUMIFS(AO$1003:AO$3061,SecVar,"ener",SecSub,$C3075,SecFuel,"&lt;&gt;all")</f>
        <v/>
      </c>
      <c r="AP3075" s="44">
        <f>SUMIFS(AP$1003:AP$3061,SecVar,"ener",SecSub,$C3075,SecFuel,"&lt;&gt;all")</f>
        <v/>
      </c>
      <c r="AQ3075" s="44">
        <f>SUMIFS(AQ$1003:AQ$3061,SecVar,"ener",SecSub,$C3075,SecFuel,"&lt;&gt;all")</f>
        <v/>
      </c>
      <c r="AR3075" s="44">
        <f>SUMIFS(AR$1003:AR$3061,SecVar,"ener",SecSub,$C3075,SecFuel,"&lt;&gt;all")</f>
        <v/>
      </c>
      <c r="AS3075" s="44">
        <f>SUMIFS(AS$1003:AS$3061,SecVar,"ener",SecSub,$C3075,SecFuel,"&lt;&gt;all")</f>
        <v/>
      </c>
      <c r="AT3075" s="44">
        <f>SUMIFS(AT$1003:AT$3061,SecVar,"ener",SecSub,$C3075,SecFuel,"&lt;&gt;all")</f>
        <v/>
      </c>
      <c r="AU3075" s="44">
        <f>SUMIFS(AU$1003:AU$3061,SecVar,"ener",SecSub,$C3075,SecFuel,"&lt;&gt;all")</f>
        <v/>
      </c>
      <c r="AV3075" s="44">
        <f>SUMIFS(AV$1003:AV$3061,SecVar,"ener",SecSub,$C3075,SecFuel,"&lt;&gt;all")</f>
        <v/>
      </c>
      <c r="AW3075" s="44">
        <f>SUMIFS(AW$1003:AW$3061,SecVar,"ener",SecSub,$C3075,SecFuel,"&lt;&gt;all")</f>
        <v/>
      </c>
      <c r="AX3075" s="44">
        <f>SUMIFS(AX$1003:AX$3061,SecVar,"ener",SecSub,$C3075,SecFuel,"&lt;&gt;all")</f>
        <v/>
      </c>
      <c r="AY3075" s="44">
        <f>SUMIFS(AY$1003:AY$3061,SecVar,"ener",SecSub,$C3075,SecFuel,"&lt;&gt;all")</f>
        <v/>
      </c>
      <c r="AZ3075" s="44">
        <f>SUMIFS(AZ$1003:AZ$3061,SecVar,"ener",SecSub,$C3075,SecFuel,"&lt;&gt;all")</f>
        <v/>
      </c>
      <c r="BA3075" s="44">
        <f>SUMIFS(BA$1003:BA$3061,SecVar,"ener",SecSub,$C3075,SecFuel,"&lt;&gt;all")</f>
        <v/>
      </c>
    </row>
    <row r="3076" hidden="1" outlineLevel="1">
      <c r="A3076" s="14" t="inlineStr">
        <is>
          <t>ener</t>
        </is>
      </c>
      <c r="B3076" s="14" t="inlineStr">
        <is>
          <t>all</t>
        </is>
      </c>
      <c r="C3076" s="14" t="inlineStr">
        <is>
          <t>mac</t>
        </is>
      </c>
      <c r="H3076" s="14">
        <f>INDEX(VarLab,MATCH($A3076,VarKey,0))&amp;INDEX(MemLab,MATCH($C3076&amp;"|"&amp;$B3076,MemKey,0))</f>
        <v/>
      </c>
      <c r="I3076" s="14">
        <f>INDEX(VarUnit,MATCH($A3076,VarKey,0))</f>
        <v/>
      </c>
      <c r="J3076" s="14">
        <f>INDEX(VarSrc,MATCH($A3076,VarKey,0))</f>
        <v/>
      </c>
      <c r="K3076" s="11">
        <f>CodePrefix&amp;$A3076&amp;IF($C3076="","","."&amp;$C3076&amp;"."&amp;$B3076)&amp;INDEX(VarEnd,MATCH($A3076,VarKey,0))&amp;K$5</f>
        <v/>
      </c>
      <c r="L3076" s="43">
        <f>SUMIFS(L$1003:L$3061,SecVar,"ener",SecSub,$C3076,SecFuel,"&lt;&gt;all")</f>
        <v/>
      </c>
      <c r="M3076" s="44">
        <f>SUMIFS(M$1003:M$3061,SecVar,"ener",SecSub,$C3076,SecFuel,"&lt;&gt;all")</f>
        <v/>
      </c>
      <c r="N3076" s="44">
        <f>SUMIFS(N$1003:N$3061,SecVar,"ener",SecSub,$C3076,SecFuel,"&lt;&gt;all")</f>
        <v/>
      </c>
      <c r="O3076" s="44">
        <f>SUMIFS(O$1003:O$3061,SecVar,"ener",SecSub,$C3076,SecFuel,"&lt;&gt;all")</f>
        <v/>
      </c>
      <c r="P3076" s="44">
        <f>SUMIFS(P$1003:P$3061,SecVar,"ener",SecSub,$C3076,SecFuel,"&lt;&gt;all")</f>
        <v/>
      </c>
      <c r="Q3076" s="44">
        <f>SUMIFS(Q$1003:Q$3061,SecVar,"ener",SecSub,$C3076,SecFuel,"&lt;&gt;all")</f>
        <v/>
      </c>
      <c r="R3076" s="44">
        <f>SUMIFS(R$1003:R$3061,SecVar,"ener",SecSub,$C3076,SecFuel,"&lt;&gt;all")</f>
        <v/>
      </c>
      <c r="S3076" s="44">
        <f>SUMIFS(S$1003:S$3061,SecVar,"ener",SecSub,$C3076,SecFuel,"&lt;&gt;all")</f>
        <v/>
      </c>
      <c r="T3076" s="44">
        <f>SUMIFS(T$1003:T$3061,SecVar,"ener",SecSub,$C3076,SecFuel,"&lt;&gt;all")</f>
        <v/>
      </c>
      <c r="U3076" s="44">
        <f>SUMIFS(U$1003:U$3061,SecVar,"ener",SecSub,$C3076,SecFuel,"&lt;&gt;all")</f>
        <v/>
      </c>
      <c r="V3076" s="44">
        <f>SUMIFS(V$1003:V$3061,SecVar,"ener",SecSub,$C3076,SecFuel,"&lt;&gt;all")</f>
        <v/>
      </c>
      <c r="W3076" s="44">
        <f>SUMIFS(W$1003:W$3061,SecVar,"ener",SecSub,$C3076,SecFuel,"&lt;&gt;all")</f>
        <v/>
      </c>
      <c r="X3076" s="44">
        <f>SUMIFS(X$1003:X$3061,SecVar,"ener",SecSub,$C3076,SecFuel,"&lt;&gt;all")</f>
        <v/>
      </c>
      <c r="Y3076" s="44">
        <f>SUMIFS(Y$1003:Y$3061,SecVar,"ener",SecSub,$C3076,SecFuel,"&lt;&gt;all")</f>
        <v/>
      </c>
      <c r="Z3076" s="44">
        <f>SUMIFS(Z$1003:Z$3061,SecVar,"ener",SecSub,$C3076,SecFuel,"&lt;&gt;all")</f>
        <v/>
      </c>
      <c r="AA3076" s="44">
        <f>SUMIFS(AA$1003:AA$3061,SecVar,"ener",SecSub,$C3076,SecFuel,"&lt;&gt;all")</f>
        <v/>
      </c>
      <c r="AB3076" s="44">
        <f>SUMIFS(AB$1003:AB$3061,SecVar,"ener",SecSub,$C3076,SecFuel,"&lt;&gt;all")</f>
        <v/>
      </c>
      <c r="AC3076" s="44">
        <f>SUMIFS(AC$1003:AC$3061,SecVar,"ener",SecSub,$C3076,SecFuel,"&lt;&gt;all")</f>
        <v/>
      </c>
      <c r="AD3076" s="44">
        <f>SUMIFS(AD$1003:AD$3061,SecVar,"ener",SecSub,$C3076,SecFuel,"&lt;&gt;all")</f>
        <v/>
      </c>
      <c r="AE3076" s="44">
        <f>SUMIFS(AE$1003:AE$3061,SecVar,"ener",SecSub,$C3076,SecFuel,"&lt;&gt;all")</f>
        <v/>
      </c>
      <c r="AG3076" s="11">
        <f>CodePrefix&amp;$A3076&amp;IF($C3076="","","."&amp;$C3076&amp;"."&amp;$B3076)&amp;INDEX(VarEnd,MATCH($A3076,VarKey,0))&amp;AG$5</f>
        <v/>
      </c>
      <c r="AH3076" s="43">
        <f>SUMIFS(AH$1003:AH$3061,SecVar,"ener",SecSub,$C3076,SecFuel,"&lt;&gt;all")</f>
        <v/>
      </c>
      <c r="AI3076" s="44">
        <f>SUMIFS(AI$1003:AI$3061,SecVar,"ener",SecSub,$C3076,SecFuel,"&lt;&gt;all")</f>
        <v/>
      </c>
      <c r="AJ3076" s="44">
        <f>SUMIFS(AJ$1003:AJ$3061,SecVar,"ener",SecSub,$C3076,SecFuel,"&lt;&gt;all")</f>
        <v/>
      </c>
      <c r="AK3076" s="44">
        <f>SUMIFS(AK$1003:AK$3061,SecVar,"ener",SecSub,$C3076,SecFuel,"&lt;&gt;all")</f>
        <v/>
      </c>
      <c r="AL3076" s="44">
        <f>SUMIFS(AL$1003:AL$3061,SecVar,"ener",SecSub,$C3076,SecFuel,"&lt;&gt;all")</f>
        <v/>
      </c>
      <c r="AM3076" s="44">
        <f>SUMIFS(AM$1003:AM$3061,SecVar,"ener",SecSub,$C3076,SecFuel,"&lt;&gt;all")</f>
        <v/>
      </c>
      <c r="AN3076" s="44">
        <f>SUMIFS(AN$1003:AN$3061,SecVar,"ener",SecSub,$C3076,SecFuel,"&lt;&gt;all")</f>
        <v/>
      </c>
      <c r="AO3076" s="44">
        <f>SUMIFS(AO$1003:AO$3061,SecVar,"ener",SecSub,$C3076,SecFuel,"&lt;&gt;all")</f>
        <v/>
      </c>
      <c r="AP3076" s="44">
        <f>SUMIFS(AP$1003:AP$3061,SecVar,"ener",SecSub,$C3076,SecFuel,"&lt;&gt;all")</f>
        <v/>
      </c>
      <c r="AQ3076" s="44">
        <f>SUMIFS(AQ$1003:AQ$3061,SecVar,"ener",SecSub,$C3076,SecFuel,"&lt;&gt;all")</f>
        <v/>
      </c>
      <c r="AR3076" s="44">
        <f>SUMIFS(AR$1003:AR$3061,SecVar,"ener",SecSub,$C3076,SecFuel,"&lt;&gt;all")</f>
        <v/>
      </c>
      <c r="AS3076" s="44">
        <f>SUMIFS(AS$1003:AS$3061,SecVar,"ener",SecSub,$C3076,SecFuel,"&lt;&gt;all")</f>
        <v/>
      </c>
      <c r="AT3076" s="44">
        <f>SUMIFS(AT$1003:AT$3061,SecVar,"ener",SecSub,$C3076,SecFuel,"&lt;&gt;all")</f>
        <v/>
      </c>
      <c r="AU3076" s="44">
        <f>SUMIFS(AU$1003:AU$3061,SecVar,"ener",SecSub,$C3076,SecFuel,"&lt;&gt;all")</f>
        <v/>
      </c>
      <c r="AV3076" s="44">
        <f>SUMIFS(AV$1003:AV$3061,SecVar,"ener",SecSub,$C3076,SecFuel,"&lt;&gt;all")</f>
        <v/>
      </c>
      <c r="AW3076" s="44">
        <f>SUMIFS(AW$1003:AW$3061,SecVar,"ener",SecSub,$C3076,SecFuel,"&lt;&gt;all")</f>
        <v/>
      </c>
      <c r="AX3076" s="44">
        <f>SUMIFS(AX$1003:AX$3061,SecVar,"ener",SecSub,$C3076,SecFuel,"&lt;&gt;all")</f>
        <v/>
      </c>
      <c r="AY3076" s="44">
        <f>SUMIFS(AY$1003:AY$3061,SecVar,"ener",SecSub,$C3076,SecFuel,"&lt;&gt;all")</f>
        <v/>
      </c>
      <c r="AZ3076" s="44">
        <f>SUMIFS(AZ$1003:AZ$3061,SecVar,"ener",SecSub,$C3076,SecFuel,"&lt;&gt;all")</f>
        <v/>
      </c>
      <c r="BA3076" s="44">
        <f>SUMIFS(BA$1003:BA$3061,SecVar,"ener",SecSub,$C3076,SecFuel,"&lt;&gt;all")</f>
        <v/>
      </c>
    </row>
    <row r="3077" hidden="1" outlineLevel="1">
      <c r="A3077" s="14" t="inlineStr">
        <is>
          <t>ener</t>
        </is>
      </c>
      <c r="B3077" s="14" t="inlineStr">
        <is>
          <t>all</t>
        </is>
      </c>
      <c r="C3077" s="14" t="inlineStr">
        <is>
          <t>cem</t>
        </is>
      </c>
      <c r="H3077" s="14">
        <f>INDEX(VarLab,MATCH($A3077,VarKey,0))&amp;INDEX(MemLab,MATCH($C3077&amp;"|"&amp;$B3077,MemKey,0))</f>
        <v/>
      </c>
      <c r="I3077" s="14">
        <f>INDEX(VarUnit,MATCH($A3077,VarKey,0))</f>
        <v/>
      </c>
      <c r="J3077" s="14">
        <f>INDEX(VarSrc,MATCH($A3077,VarKey,0))</f>
        <v/>
      </c>
      <c r="K3077" s="11">
        <f>CodePrefix&amp;$A3077&amp;IF($C3077="","","."&amp;$C3077&amp;"."&amp;$B3077)&amp;INDEX(VarEnd,MATCH($A3077,VarKey,0))&amp;K$5</f>
        <v/>
      </c>
      <c r="L3077" s="43">
        <f>SUMIFS(L$1003:L$3061,SecVar,"ener",SecSub,$C3077,SecFuel,"&lt;&gt;all")</f>
        <v/>
      </c>
      <c r="M3077" s="44">
        <f>SUMIFS(M$1003:M$3061,SecVar,"ener",SecSub,$C3077,SecFuel,"&lt;&gt;all")</f>
        <v/>
      </c>
      <c r="N3077" s="44">
        <f>SUMIFS(N$1003:N$3061,SecVar,"ener",SecSub,$C3077,SecFuel,"&lt;&gt;all")</f>
        <v/>
      </c>
      <c r="O3077" s="44">
        <f>SUMIFS(O$1003:O$3061,SecVar,"ener",SecSub,$C3077,SecFuel,"&lt;&gt;all")</f>
        <v/>
      </c>
      <c r="P3077" s="44">
        <f>SUMIFS(P$1003:P$3061,SecVar,"ener",SecSub,$C3077,SecFuel,"&lt;&gt;all")</f>
        <v/>
      </c>
      <c r="Q3077" s="44">
        <f>SUMIFS(Q$1003:Q$3061,SecVar,"ener",SecSub,$C3077,SecFuel,"&lt;&gt;all")</f>
        <v/>
      </c>
      <c r="R3077" s="44">
        <f>SUMIFS(R$1003:R$3061,SecVar,"ener",SecSub,$C3077,SecFuel,"&lt;&gt;all")</f>
        <v/>
      </c>
      <c r="S3077" s="44">
        <f>SUMIFS(S$1003:S$3061,SecVar,"ener",SecSub,$C3077,SecFuel,"&lt;&gt;all")</f>
        <v/>
      </c>
      <c r="T3077" s="44">
        <f>SUMIFS(T$1003:T$3061,SecVar,"ener",SecSub,$C3077,SecFuel,"&lt;&gt;all")</f>
        <v/>
      </c>
      <c r="U3077" s="44">
        <f>SUMIFS(U$1003:U$3061,SecVar,"ener",SecSub,$C3077,SecFuel,"&lt;&gt;all")</f>
        <v/>
      </c>
      <c r="V3077" s="44">
        <f>SUMIFS(V$1003:V$3061,SecVar,"ener",SecSub,$C3077,SecFuel,"&lt;&gt;all")</f>
        <v/>
      </c>
      <c r="W3077" s="44">
        <f>SUMIFS(W$1003:W$3061,SecVar,"ener",SecSub,$C3077,SecFuel,"&lt;&gt;all")</f>
        <v/>
      </c>
      <c r="X3077" s="44">
        <f>SUMIFS(X$1003:X$3061,SecVar,"ener",SecSub,$C3077,SecFuel,"&lt;&gt;all")</f>
        <v/>
      </c>
      <c r="Y3077" s="44">
        <f>SUMIFS(Y$1003:Y$3061,SecVar,"ener",SecSub,$C3077,SecFuel,"&lt;&gt;all")</f>
        <v/>
      </c>
      <c r="Z3077" s="44">
        <f>SUMIFS(Z$1003:Z$3061,SecVar,"ener",SecSub,$C3077,SecFuel,"&lt;&gt;all")</f>
        <v/>
      </c>
      <c r="AA3077" s="44">
        <f>SUMIFS(AA$1003:AA$3061,SecVar,"ener",SecSub,$C3077,SecFuel,"&lt;&gt;all")</f>
        <v/>
      </c>
      <c r="AB3077" s="44">
        <f>SUMIFS(AB$1003:AB$3061,SecVar,"ener",SecSub,$C3077,SecFuel,"&lt;&gt;all")</f>
        <v/>
      </c>
      <c r="AC3077" s="44">
        <f>SUMIFS(AC$1003:AC$3061,SecVar,"ener",SecSub,$C3077,SecFuel,"&lt;&gt;all")</f>
        <v/>
      </c>
      <c r="AD3077" s="44">
        <f>SUMIFS(AD$1003:AD$3061,SecVar,"ener",SecSub,$C3077,SecFuel,"&lt;&gt;all")</f>
        <v/>
      </c>
      <c r="AE3077" s="44">
        <f>SUMIFS(AE$1003:AE$3061,SecVar,"ener",SecSub,$C3077,SecFuel,"&lt;&gt;all")</f>
        <v/>
      </c>
      <c r="AG3077" s="11">
        <f>CodePrefix&amp;$A3077&amp;IF($C3077="","","."&amp;$C3077&amp;"."&amp;$B3077)&amp;INDEX(VarEnd,MATCH($A3077,VarKey,0))&amp;AG$5</f>
        <v/>
      </c>
      <c r="AH3077" s="43">
        <f>SUMIFS(AH$1003:AH$3061,SecVar,"ener",SecSub,$C3077,SecFuel,"&lt;&gt;all")</f>
        <v/>
      </c>
      <c r="AI3077" s="44">
        <f>SUMIFS(AI$1003:AI$3061,SecVar,"ener",SecSub,$C3077,SecFuel,"&lt;&gt;all")</f>
        <v/>
      </c>
      <c r="AJ3077" s="44">
        <f>SUMIFS(AJ$1003:AJ$3061,SecVar,"ener",SecSub,$C3077,SecFuel,"&lt;&gt;all")</f>
        <v/>
      </c>
      <c r="AK3077" s="44">
        <f>SUMIFS(AK$1003:AK$3061,SecVar,"ener",SecSub,$C3077,SecFuel,"&lt;&gt;all")</f>
        <v/>
      </c>
      <c r="AL3077" s="44">
        <f>SUMIFS(AL$1003:AL$3061,SecVar,"ener",SecSub,$C3077,SecFuel,"&lt;&gt;all")</f>
        <v/>
      </c>
      <c r="AM3077" s="44">
        <f>SUMIFS(AM$1003:AM$3061,SecVar,"ener",SecSub,$C3077,SecFuel,"&lt;&gt;all")</f>
        <v/>
      </c>
      <c r="AN3077" s="44">
        <f>SUMIFS(AN$1003:AN$3061,SecVar,"ener",SecSub,$C3077,SecFuel,"&lt;&gt;all")</f>
        <v/>
      </c>
      <c r="AO3077" s="44">
        <f>SUMIFS(AO$1003:AO$3061,SecVar,"ener",SecSub,$C3077,SecFuel,"&lt;&gt;all")</f>
        <v/>
      </c>
      <c r="AP3077" s="44">
        <f>SUMIFS(AP$1003:AP$3061,SecVar,"ener",SecSub,$C3077,SecFuel,"&lt;&gt;all")</f>
        <v/>
      </c>
      <c r="AQ3077" s="44">
        <f>SUMIFS(AQ$1003:AQ$3061,SecVar,"ener",SecSub,$C3077,SecFuel,"&lt;&gt;all")</f>
        <v/>
      </c>
      <c r="AR3077" s="44">
        <f>SUMIFS(AR$1003:AR$3061,SecVar,"ener",SecSub,$C3077,SecFuel,"&lt;&gt;all")</f>
        <v/>
      </c>
      <c r="AS3077" s="44">
        <f>SUMIFS(AS$1003:AS$3061,SecVar,"ener",SecSub,$C3077,SecFuel,"&lt;&gt;all")</f>
        <v/>
      </c>
      <c r="AT3077" s="44">
        <f>SUMIFS(AT$1003:AT$3061,SecVar,"ener",SecSub,$C3077,SecFuel,"&lt;&gt;all")</f>
        <v/>
      </c>
      <c r="AU3077" s="44">
        <f>SUMIFS(AU$1003:AU$3061,SecVar,"ener",SecSub,$C3077,SecFuel,"&lt;&gt;all")</f>
        <v/>
      </c>
      <c r="AV3077" s="44">
        <f>SUMIFS(AV$1003:AV$3061,SecVar,"ener",SecSub,$C3077,SecFuel,"&lt;&gt;all")</f>
        <v/>
      </c>
      <c r="AW3077" s="44">
        <f>SUMIFS(AW$1003:AW$3061,SecVar,"ener",SecSub,$C3077,SecFuel,"&lt;&gt;all")</f>
        <v/>
      </c>
      <c r="AX3077" s="44">
        <f>SUMIFS(AX$1003:AX$3061,SecVar,"ener",SecSub,$C3077,SecFuel,"&lt;&gt;all")</f>
        <v/>
      </c>
      <c r="AY3077" s="44">
        <f>SUMIFS(AY$1003:AY$3061,SecVar,"ener",SecSub,$C3077,SecFuel,"&lt;&gt;all")</f>
        <v/>
      </c>
      <c r="AZ3077" s="44">
        <f>SUMIFS(AZ$1003:AZ$3061,SecVar,"ener",SecSub,$C3077,SecFuel,"&lt;&gt;all")</f>
        <v/>
      </c>
      <c r="BA3077" s="44">
        <f>SUMIFS(BA$1003:BA$3061,SecVar,"ener",SecSub,$C3077,SecFuel,"&lt;&gt;all")</f>
        <v/>
      </c>
    </row>
    <row r="3078" hidden="1" outlineLevel="1">
      <c r="A3078" s="14" t="inlineStr">
        <is>
          <t>ener</t>
        </is>
      </c>
      <c r="B3078" s="14" t="inlineStr">
        <is>
          <t>all</t>
        </is>
      </c>
      <c r="C3078" s="14" t="inlineStr">
        <is>
          <t>omn</t>
        </is>
      </c>
      <c r="H3078" s="14">
        <f>INDEX(VarLab,MATCH($A3078,VarKey,0))&amp;INDEX(MemLab,MATCH($C3078&amp;"|"&amp;$B3078,MemKey,0))</f>
        <v/>
      </c>
      <c r="I3078" s="14">
        <f>INDEX(VarUnit,MATCH($A3078,VarKey,0))</f>
        <v/>
      </c>
      <c r="J3078" s="14">
        <f>INDEX(VarSrc,MATCH($A3078,VarKey,0))</f>
        <v/>
      </c>
      <c r="K3078" s="11">
        <f>CodePrefix&amp;$A3078&amp;IF($C3078="","","."&amp;$C3078&amp;"."&amp;$B3078)&amp;INDEX(VarEnd,MATCH($A3078,VarKey,0))&amp;K$5</f>
        <v/>
      </c>
      <c r="L3078" s="43">
        <f>SUMIFS(L$1003:L$3061,SecVar,"ener",SecSub,$C3078,SecFuel,"&lt;&gt;all")</f>
        <v/>
      </c>
      <c r="M3078" s="44">
        <f>SUMIFS(M$1003:M$3061,SecVar,"ener",SecSub,$C3078,SecFuel,"&lt;&gt;all")</f>
        <v/>
      </c>
      <c r="N3078" s="44">
        <f>SUMIFS(N$1003:N$3061,SecVar,"ener",SecSub,$C3078,SecFuel,"&lt;&gt;all")</f>
        <v/>
      </c>
      <c r="O3078" s="44">
        <f>SUMIFS(O$1003:O$3061,SecVar,"ener",SecSub,$C3078,SecFuel,"&lt;&gt;all")</f>
        <v/>
      </c>
      <c r="P3078" s="44">
        <f>SUMIFS(P$1003:P$3061,SecVar,"ener",SecSub,$C3078,SecFuel,"&lt;&gt;all")</f>
        <v/>
      </c>
      <c r="Q3078" s="44">
        <f>SUMIFS(Q$1003:Q$3061,SecVar,"ener",SecSub,$C3078,SecFuel,"&lt;&gt;all")</f>
        <v/>
      </c>
      <c r="R3078" s="44">
        <f>SUMIFS(R$1003:R$3061,SecVar,"ener",SecSub,$C3078,SecFuel,"&lt;&gt;all")</f>
        <v/>
      </c>
      <c r="S3078" s="44">
        <f>SUMIFS(S$1003:S$3061,SecVar,"ener",SecSub,$C3078,SecFuel,"&lt;&gt;all")</f>
        <v/>
      </c>
      <c r="T3078" s="44">
        <f>SUMIFS(T$1003:T$3061,SecVar,"ener",SecSub,$C3078,SecFuel,"&lt;&gt;all")</f>
        <v/>
      </c>
      <c r="U3078" s="44">
        <f>SUMIFS(U$1003:U$3061,SecVar,"ener",SecSub,$C3078,SecFuel,"&lt;&gt;all")</f>
        <v/>
      </c>
      <c r="V3078" s="44">
        <f>SUMIFS(V$1003:V$3061,SecVar,"ener",SecSub,$C3078,SecFuel,"&lt;&gt;all")</f>
        <v/>
      </c>
      <c r="W3078" s="44">
        <f>SUMIFS(W$1003:W$3061,SecVar,"ener",SecSub,$C3078,SecFuel,"&lt;&gt;all")</f>
        <v/>
      </c>
      <c r="X3078" s="44">
        <f>SUMIFS(X$1003:X$3061,SecVar,"ener",SecSub,$C3078,SecFuel,"&lt;&gt;all")</f>
        <v/>
      </c>
      <c r="Y3078" s="44">
        <f>SUMIFS(Y$1003:Y$3061,SecVar,"ener",SecSub,$C3078,SecFuel,"&lt;&gt;all")</f>
        <v/>
      </c>
      <c r="Z3078" s="44">
        <f>SUMIFS(Z$1003:Z$3061,SecVar,"ener",SecSub,$C3078,SecFuel,"&lt;&gt;all")</f>
        <v/>
      </c>
      <c r="AA3078" s="44">
        <f>SUMIFS(AA$1003:AA$3061,SecVar,"ener",SecSub,$C3078,SecFuel,"&lt;&gt;all")</f>
        <v/>
      </c>
      <c r="AB3078" s="44">
        <f>SUMIFS(AB$1003:AB$3061,SecVar,"ener",SecSub,$C3078,SecFuel,"&lt;&gt;all")</f>
        <v/>
      </c>
      <c r="AC3078" s="44">
        <f>SUMIFS(AC$1003:AC$3061,SecVar,"ener",SecSub,$C3078,SecFuel,"&lt;&gt;all")</f>
        <v/>
      </c>
      <c r="AD3078" s="44">
        <f>SUMIFS(AD$1003:AD$3061,SecVar,"ener",SecSub,$C3078,SecFuel,"&lt;&gt;all")</f>
        <v/>
      </c>
      <c r="AE3078" s="44">
        <f>SUMIFS(AE$1003:AE$3061,SecVar,"ener",SecSub,$C3078,SecFuel,"&lt;&gt;all")</f>
        <v/>
      </c>
      <c r="AG3078" s="11">
        <f>CodePrefix&amp;$A3078&amp;IF($C3078="","","."&amp;$C3078&amp;"."&amp;$B3078)&amp;INDEX(VarEnd,MATCH($A3078,VarKey,0))&amp;AG$5</f>
        <v/>
      </c>
      <c r="AH3078" s="43">
        <f>SUMIFS(AH$1003:AH$3061,SecVar,"ener",SecSub,$C3078,SecFuel,"&lt;&gt;all")</f>
        <v/>
      </c>
      <c r="AI3078" s="44">
        <f>SUMIFS(AI$1003:AI$3061,SecVar,"ener",SecSub,$C3078,SecFuel,"&lt;&gt;all")</f>
        <v/>
      </c>
      <c r="AJ3078" s="44">
        <f>SUMIFS(AJ$1003:AJ$3061,SecVar,"ener",SecSub,$C3078,SecFuel,"&lt;&gt;all")</f>
        <v/>
      </c>
      <c r="AK3078" s="44">
        <f>SUMIFS(AK$1003:AK$3061,SecVar,"ener",SecSub,$C3078,SecFuel,"&lt;&gt;all")</f>
        <v/>
      </c>
      <c r="AL3078" s="44">
        <f>SUMIFS(AL$1003:AL$3061,SecVar,"ener",SecSub,$C3078,SecFuel,"&lt;&gt;all")</f>
        <v/>
      </c>
      <c r="AM3078" s="44">
        <f>SUMIFS(AM$1003:AM$3061,SecVar,"ener",SecSub,$C3078,SecFuel,"&lt;&gt;all")</f>
        <v/>
      </c>
      <c r="AN3078" s="44">
        <f>SUMIFS(AN$1003:AN$3061,SecVar,"ener",SecSub,$C3078,SecFuel,"&lt;&gt;all")</f>
        <v/>
      </c>
      <c r="AO3078" s="44">
        <f>SUMIFS(AO$1003:AO$3061,SecVar,"ener",SecSub,$C3078,SecFuel,"&lt;&gt;all")</f>
        <v/>
      </c>
      <c r="AP3078" s="44">
        <f>SUMIFS(AP$1003:AP$3061,SecVar,"ener",SecSub,$C3078,SecFuel,"&lt;&gt;all")</f>
        <v/>
      </c>
      <c r="AQ3078" s="44">
        <f>SUMIFS(AQ$1003:AQ$3061,SecVar,"ener",SecSub,$C3078,SecFuel,"&lt;&gt;all")</f>
        <v/>
      </c>
      <c r="AR3078" s="44">
        <f>SUMIFS(AR$1003:AR$3061,SecVar,"ener",SecSub,$C3078,SecFuel,"&lt;&gt;all")</f>
        <v/>
      </c>
      <c r="AS3078" s="44">
        <f>SUMIFS(AS$1003:AS$3061,SecVar,"ener",SecSub,$C3078,SecFuel,"&lt;&gt;all")</f>
        <v/>
      </c>
      <c r="AT3078" s="44">
        <f>SUMIFS(AT$1003:AT$3061,SecVar,"ener",SecSub,$C3078,SecFuel,"&lt;&gt;all")</f>
        <v/>
      </c>
      <c r="AU3078" s="44">
        <f>SUMIFS(AU$1003:AU$3061,SecVar,"ener",SecSub,$C3078,SecFuel,"&lt;&gt;all")</f>
        <v/>
      </c>
      <c r="AV3078" s="44">
        <f>SUMIFS(AV$1003:AV$3061,SecVar,"ener",SecSub,$C3078,SecFuel,"&lt;&gt;all")</f>
        <v/>
      </c>
      <c r="AW3078" s="44">
        <f>SUMIFS(AW$1003:AW$3061,SecVar,"ener",SecSub,$C3078,SecFuel,"&lt;&gt;all")</f>
        <v/>
      </c>
      <c r="AX3078" s="44">
        <f>SUMIFS(AX$1003:AX$3061,SecVar,"ener",SecSub,$C3078,SecFuel,"&lt;&gt;all")</f>
        <v/>
      </c>
      <c r="AY3078" s="44">
        <f>SUMIFS(AY$1003:AY$3061,SecVar,"ener",SecSub,$C3078,SecFuel,"&lt;&gt;all")</f>
        <v/>
      </c>
      <c r="AZ3078" s="44">
        <f>SUMIFS(AZ$1003:AZ$3061,SecVar,"ener",SecSub,$C3078,SecFuel,"&lt;&gt;all")</f>
        <v/>
      </c>
      <c r="BA3078" s="44">
        <f>SUMIFS(BA$1003:BA$3061,SecVar,"ener",SecSub,$C3078,SecFuel,"&lt;&gt;all")</f>
        <v/>
      </c>
    </row>
    <row r="3079" hidden="1" outlineLevel="1">
      <c r="A3079" s="14" t="inlineStr">
        <is>
          <t>ener</t>
        </is>
      </c>
      <c r="B3079" s="14" t="inlineStr">
        <is>
          <t>all</t>
        </is>
      </c>
      <c r="C3079" s="14" t="inlineStr">
        <is>
          <t>cst</t>
        </is>
      </c>
      <c r="H3079" s="14">
        <f>INDEX(VarLab,MATCH($A3079,VarKey,0))&amp;INDEX(MemLab,MATCH($C3079&amp;"|"&amp;$B3079,MemKey,0))</f>
        <v/>
      </c>
      <c r="I3079" s="14">
        <f>INDEX(VarUnit,MATCH($A3079,VarKey,0))</f>
        <v/>
      </c>
      <c r="J3079" s="14">
        <f>INDEX(VarSrc,MATCH($A3079,VarKey,0))</f>
        <v/>
      </c>
      <c r="K3079" s="11">
        <f>CodePrefix&amp;$A3079&amp;IF($C3079="","","."&amp;$C3079&amp;"."&amp;$B3079)&amp;INDEX(VarEnd,MATCH($A3079,VarKey,0))&amp;K$5</f>
        <v/>
      </c>
      <c r="L3079" s="43">
        <f>SUMIFS(L$1003:L$3061,SecVar,"ener",SecSub,$C3079,SecFuel,"&lt;&gt;all")</f>
        <v/>
      </c>
      <c r="M3079" s="44">
        <f>SUMIFS(M$1003:M$3061,SecVar,"ener",SecSub,$C3079,SecFuel,"&lt;&gt;all")</f>
        <v/>
      </c>
      <c r="N3079" s="44">
        <f>SUMIFS(N$1003:N$3061,SecVar,"ener",SecSub,$C3079,SecFuel,"&lt;&gt;all")</f>
        <v/>
      </c>
      <c r="O3079" s="44">
        <f>SUMIFS(O$1003:O$3061,SecVar,"ener",SecSub,$C3079,SecFuel,"&lt;&gt;all")</f>
        <v/>
      </c>
      <c r="P3079" s="44">
        <f>SUMIFS(P$1003:P$3061,SecVar,"ener",SecSub,$C3079,SecFuel,"&lt;&gt;all")</f>
        <v/>
      </c>
      <c r="Q3079" s="44">
        <f>SUMIFS(Q$1003:Q$3061,SecVar,"ener",SecSub,$C3079,SecFuel,"&lt;&gt;all")</f>
        <v/>
      </c>
      <c r="R3079" s="44">
        <f>SUMIFS(R$1003:R$3061,SecVar,"ener",SecSub,$C3079,SecFuel,"&lt;&gt;all")</f>
        <v/>
      </c>
      <c r="S3079" s="44">
        <f>SUMIFS(S$1003:S$3061,SecVar,"ener",SecSub,$C3079,SecFuel,"&lt;&gt;all")</f>
        <v/>
      </c>
      <c r="T3079" s="44">
        <f>SUMIFS(T$1003:T$3061,SecVar,"ener",SecSub,$C3079,SecFuel,"&lt;&gt;all")</f>
        <v/>
      </c>
      <c r="U3079" s="44">
        <f>SUMIFS(U$1003:U$3061,SecVar,"ener",SecSub,$C3079,SecFuel,"&lt;&gt;all")</f>
        <v/>
      </c>
      <c r="V3079" s="44">
        <f>SUMIFS(V$1003:V$3061,SecVar,"ener",SecSub,$C3079,SecFuel,"&lt;&gt;all")</f>
        <v/>
      </c>
      <c r="W3079" s="44">
        <f>SUMIFS(W$1003:W$3061,SecVar,"ener",SecSub,$C3079,SecFuel,"&lt;&gt;all")</f>
        <v/>
      </c>
      <c r="X3079" s="44">
        <f>SUMIFS(X$1003:X$3061,SecVar,"ener",SecSub,$C3079,SecFuel,"&lt;&gt;all")</f>
        <v/>
      </c>
      <c r="Y3079" s="44">
        <f>SUMIFS(Y$1003:Y$3061,SecVar,"ener",SecSub,$C3079,SecFuel,"&lt;&gt;all")</f>
        <v/>
      </c>
      <c r="Z3079" s="44">
        <f>SUMIFS(Z$1003:Z$3061,SecVar,"ener",SecSub,$C3079,SecFuel,"&lt;&gt;all")</f>
        <v/>
      </c>
      <c r="AA3079" s="44">
        <f>SUMIFS(AA$1003:AA$3061,SecVar,"ener",SecSub,$C3079,SecFuel,"&lt;&gt;all")</f>
        <v/>
      </c>
      <c r="AB3079" s="44">
        <f>SUMIFS(AB$1003:AB$3061,SecVar,"ener",SecSub,$C3079,SecFuel,"&lt;&gt;all")</f>
        <v/>
      </c>
      <c r="AC3079" s="44">
        <f>SUMIFS(AC$1003:AC$3061,SecVar,"ener",SecSub,$C3079,SecFuel,"&lt;&gt;all")</f>
        <v/>
      </c>
      <c r="AD3079" s="44">
        <f>SUMIFS(AD$1003:AD$3061,SecVar,"ener",SecSub,$C3079,SecFuel,"&lt;&gt;all")</f>
        <v/>
      </c>
      <c r="AE3079" s="44">
        <f>SUMIFS(AE$1003:AE$3061,SecVar,"ener",SecSub,$C3079,SecFuel,"&lt;&gt;all")</f>
        <v/>
      </c>
      <c r="AG3079" s="11">
        <f>CodePrefix&amp;$A3079&amp;IF($C3079="","","."&amp;$C3079&amp;"."&amp;$B3079)&amp;INDEX(VarEnd,MATCH($A3079,VarKey,0))&amp;AG$5</f>
        <v/>
      </c>
      <c r="AH3079" s="43">
        <f>SUMIFS(AH$1003:AH$3061,SecVar,"ener",SecSub,$C3079,SecFuel,"&lt;&gt;all")</f>
        <v/>
      </c>
      <c r="AI3079" s="44">
        <f>SUMIFS(AI$1003:AI$3061,SecVar,"ener",SecSub,$C3079,SecFuel,"&lt;&gt;all")</f>
        <v/>
      </c>
      <c r="AJ3079" s="44">
        <f>SUMIFS(AJ$1003:AJ$3061,SecVar,"ener",SecSub,$C3079,SecFuel,"&lt;&gt;all")</f>
        <v/>
      </c>
      <c r="AK3079" s="44">
        <f>SUMIFS(AK$1003:AK$3061,SecVar,"ener",SecSub,$C3079,SecFuel,"&lt;&gt;all")</f>
        <v/>
      </c>
      <c r="AL3079" s="44">
        <f>SUMIFS(AL$1003:AL$3061,SecVar,"ener",SecSub,$C3079,SecFuel,"&lt;&gt;all")</f>
        <v/>
      </c>
      <c r="AM3079" s="44">
        <f>SUMIFS(AM$1003:AM$3061,SecVar,"ener",SecSub,$C3079,SecFuel,"&lt;&gt;all")</f>
        <v/>
      </c>
      <c r="AN3079" s="44">
        <f>SUMIFS(AN$1003:AN$3061,SecVar,"ener",SecSub,$C3079,SecFuel,"&lt;&gt;all")</f>
        <v/>
      </c>
      <c r="AO3079" s="44">
        <f>SUMIFS(AO$1003:AO$3061,SecVar,"ener",SecSub,$C3079,SecFuel,"&lt;&gt;all")</f>
        <v/>
      </c>
      <c r="AP3079" s="44">
        <f>SUMIFS(AP$1003:AP$3061,SecVar,"ener",SecSub,$C3079,SecFuel,"&lt;&gt;all")</f>
        <v/>
      </c>
      <c r="AQ3079" s="44">
        <f>SUMIFS(AQ$1003:AQ$3061,SecVar,"ener",SecSub,$C3079,SecFuel,"&lt;&gt;all")</f>
        <v/>
      </c>
      <c r="AR3079" s="44">
        <f>SUMIFS(AR$1003:AR$3061,SecVar,"ener",SecSub,$C3079,SecFuel,"&lt;&gt;all")</f>
        <v/>
      </c>
      <c r="AS3079" s="44">
        <f>SUMIFS(AS$1003:AS$3061,SecVar,"ener",SecSub,$C3079,SecFuel,"&lt;&gt;all")</f>
        <v/>
      </c>
      <c r="AT3079" s="44">
        <f>SUMIFS(AT$1003:AT$3061,SecVar,"ener",SecSub,$C3079,SecFuel,"&lt;&gt;all")</f>
        <v/>
      </c>
      <c r="AU3079" s="44">
        <f>SUMIFS(AU$1003:AU$3061,SecVar,"ener",SecSub,$C3079,SecFuel,"&lt;&gt;all")</f>
        <v/>
      </c>
      <c r="AV3079" s="44">
        <f>SUMIFS(AV$1003:AV$3061,SecVar,"ener",SecSub,$C3079,SecFuel,"&lt;&gt;all")</f>
        <v/>
      </c>
      <c r="AW3079" s="44">
        <f>SUMIFS(AW$1003:AW$3061,SecVar,"ener",SecSub,$C3079,SecFuel,"&lt;&gt;all")</f>
        <v/>
      </c>
      <c r="AX3079" s="44">
        <f>SUMIFS(AX$1003:AX$3061,SecVar,"ener",SecSub,$C3079,SecFuel,"&lt;&gt;all")</f>
        <v/>
      </c>
      <c r="AY3079" s="44">
        <f>SUMIFS(AY$1003:AY$3061,SecVar,"ener",SecSub,$C3079,SecFuel,"&lt;&gt;all")</f>
        <v/>
      </c>
      <c r="AZ3079" s="44">
        <f>SUMIFS(AZ$1003:AZ$3061,SecVar,"ener",SecSub,$C3079,SecFuel,"&lt;&gt;all")</f>
        <v/>
      </c>
      <c r="BA3079" s="44">
        <f>SUMIFS(BA$1003:BA$3061,SecVar,"ener",SecSub,$C3079,SecFuel,"&lt;&gt;all")</f>
        <v/>
      </c>
    </row>
    <row r="3080" hidden="1" outlineLevel="1">
      <c r="A3080" s="14" t="inlineStr">
        <is>
          <t>ener</t>
        </is>
      </c>
      <c r="B3080" s="14" t="inlineStr">
        <is>
          <t>all</t>
        </is>
      </c>
      <c r="C3080" s="14" t="inlineStr">
        <is>
          <t>ftr</t>
        </is>
      </c>
      <c r="H3080" s="14">
        <f>INDEX(VarLab,MATCH($A3080,VarKey,0))&amp;INDEX(MemLab,MATCH($C3080&amp;"|"&amp;$B3080,MemKey,0))</f>
        <v/>
      </c>
      <c r="I3080" s="14">
        <f>INDEX(VarUnit,MATCH($A3080,VarKey,0))</f>
        <v/>
      </c>
      <c r="J3080" s="14">
        <f>INDEX(VarSrc,MATCH($A3080,VarKey,0))</f>
        <v/>
      </c>
      <c r="K3080" s="11">
        <f>CodePrefix&amp;$A3080&amp;IF($C3080="","","."&amp;$C3080&amp;"."&amp;$B3080)&amp;INDEX(VarEnd,MATCH($A3080,VarKey,0))&amp;K$5</f>
        <v/>
      </c>
      <c r="L3080" s="43">
        <f>SUMIFS(L$1003:L$3061,SecVar,"ener",SecSub,$C3080,SecFuel,"&lt;&gt;all")</f>
        <v/>
      </c>
      <c r="M3080" s="44">
        <f>SUMIFS(M$1003:M$3061,SecVar,"ener",SecSub,$C3080,SecFuel,"&lt;&gt;all")</f>
        <v/>
      </c>
      <c r="N3080" s="44">
        <f>SUMIFS(N$1003:N$3061,SecVar,"ener",SecSub,$C3080,SecFuel,"&lt;&gt;all")</f>
        <v/>
      </c>
      <c r="O3080" s="44">
        <f>SUMIFS(O$1003:O$3061,SecVar,"ener",SecSub,$C3080,SecFuel,"&lt;&gt;all")</f>
        <v/>
      </c>
      <c r="P3080" s="44">
        <f>SUMIFS(P$1003:P$3061,SecVar,"ener",SecSub,$C3080,SecFuel,"&lt;&gt;all")</f>
        <v/>
      </c>
      <c r="Q3080" s="44">
        <f>SUMIFS(Q$1003:Q$3061,SecVar,"ener",SecSub,$C3080,SecFuel,"&lt;&gt;all")</f>
        <v/>
      </c>
      <c r="R3080" s="44">
        <f>SUMIFS(R$1003:R$3061,SecVar,"ener",SecSub,$C3080,SecFuel,"&lt;&gt;all")</f>
        <v/>
      </c>
      <c r="S3080" s="44">
        <f>SUMIFS(S$1003:S$3061,SecVar,"ener",SecSub,$C3080,SecFuel,"&lt;&gt;all")</f>
        <v/>
      </c>
      <c r="T3080" s="44">
        <f>SUMIFS(T$1003:T$3061,SecVar,"ener",SecSub,$C3080,SecFuel,"&lt;&gt;all")</f>
        <v/>
      </c>
      <c r="U3080" s="44">
        <f>SUMIFS(U$1003:U$3061,SecVar,"ener",SecSub,$C3080,SecFuel,"&lt;&gt;all")</f>
        <v/>
      </c>
      <c r="V3080" s="44">
        <f>SUMIFS(V$1003:V$3061,SecVar,"ener",SecSub,$C3080,SecFuel,"&lt;&gt;all")</f>
        <v/>
      </c>
      <c r="W3080" s="44">
        <f>SUMIFS(W$1003:W$3061,SecVar,"ener",SecSub,$C3080,SecFuel,"&lt;&gt;all")</f>
        <v/>
      </c>
      <c r="X3080" s="44">
        <f>SUMIFS(X$1003:X$3061,SecVar,"ener",SecSub,$C3080,SecFuel,"&lt;&gt;all")</f>
        <v/>
      </c>
      <c r="Y3080" s="44">
        <f>SUMIFS(Y$1003:Y$3061,SecVar,"ener",SecSub,$C3080,SecFuel,"&lt;&gt;all")</f>
        <v/>
      </c>
      <c r="Z3080" s="44">
        <f>SUMIFS(Z$1003:Z$3061,SecVar,"ener",SecSub,$C3080,SecFuel,"&lt;&gt;all")</f>
        <v/>
      </c>
      <c r="AA3080" s="44">
        <f>SUMIFS(AA$1003:AA$3061,SecVar,"ener",SecSub,$C3080,SecFuel,"&lt;&gt;all")</f>
        <v/>
      </c>
      <c r="AB3080" s="44">
        <f>SUMIFS(AB$1003:AB$3061,SecVar,"ener",SecSub,$C3080,SecFuel,"&lt;&gt;all")</f>
        <v/>
      </c>
      <c r="AC3080" s="44">
        <f>SUMIFS(AC$1003:AC$3061,SecVar,"ener",SecSub,$C3080,SecFuel,"&lt;&gt;all")</f>
        <v/>
      </c>
      <c r="AD3080" s="44">
        <f>SUMIFS(AD$1003:AD$3061,SecVar,"ener",SecSub,$C3080,SecFuel,"&lt;&gt;all")</f>
        <v/>
      </c>
      <c r="AE3080" s="44">
        <f>SUMIFS(AE$1003:AE$3061,SecVar,"ener",SecSub,$C3080,SecFuel,"&lt;&gt;all")</f>
        <v/>
      </c>
      <c r="AG3080" s="11">
        <f>CodePrefix&amp;$A3080&amp;IF($C3080="","","."&amp;$C3080&amp;"."&amp;$B3080)&amp;INDEX(VarEnd,MATCH($A3080,VarKey,0))&amp;AG$5</f>
        <v/>
      </c>
      <c r="AH3080" s="43">
        <f>SUMIFS(AH$1003:AH$3061,SecVar,"ener",SecSub,$C3080,SecFuel,"&lt;&gt;all")</f>
        <v/>
      </c>
      <c r="AI3080" s="44">
        <f>SUMIFS(AI$1003:AI$3061,SecVar,"ener",SecSub,$C3080,SecFuel,"&lt;&gt;all")</f>
        <v/>
      </c>
      <c r="AJ3080" s="44">
        <f>SUMIFS(AJ$1003:AJ$3061,SecVar,"ener",SecSub,$C3080,SecFuel,"&lt;&gt;all")</f>
        <v/>
      </c>
      <c r="AK3080" s="44">
        <f>SUMIFS(AK$1003:AK$3061,SecVar,"ener",SecSub,$C3080,SecFuel,"&lt;&gt;all")</f>
        <v/>
      </c>
      <c r="AL3080" s="44">
        <f>SUMIFS(AL$1003:AL$3061,SecVar,"ener",SecSub,$C3080,SecFuel,"&lt;&gt;all")</f>
        <v/>
      </c>
      <c r="AM3080" s="44">
        <f>SUMIFS(AM$1003:AM$3061,SecVar,"ener",SecSub,$C3080,SecFuel,"&lt;&gt;all")</f>
        <v/>
      </c>
      <c r="AN3080" s="44">
        <f>SUMIFS(AN$1003:AN$3061,SecVar,"ener",SecSub,$C3080,SecFuel,"&lt;&gt;all")</f>
        <v/>
      </c>
      <c r="AO3080" s="44">
        <f>SUMIFS(AO$1003:AO$3061,SecVar,"ener",SecSub,$C3080,SecFuel,"&lt;&gt;all")</f>
        <v/>
      </c>
      <c r="AP3080" s="44">
        <f>SUMIFS(AP$1003:AP$3061,SecVar,"ener",SecSub,$C3080,SecFuel,"&lt;&gt;all")</f>
        <v/>
      </c>
      <c r="AQ3080" s="44">
        <f>SUMIFS(AQ$1003:AQ$3061,SecVar,"ener",SecSub,$C3080,SecFuel,"&lt;&gt;all")</f>
        <v/>
      </c>
      <c r="AR3080" s="44">
        <f>SUMIFS(AR$1003:AR$3061,SecVar,"ener",SecSub,$C3080,SecFuel,"&lt;&gt;all")</f>
        <v/>
      </c>
      <c r="AS3080" s="44">
        <f>SUMIFS(AS$1003:AS$3061,SecVar,"ener",SecSub,$C3080,SecFuel,"&lt;&gt;all")</f>
        <v/>
      </c>
      <c r="AT3080" s="44">
        <f>SUMIFS(AT$1003:AT$3061,SecVar,"ener",SecSub,$C3080,SecFuel,"&lt;&gt;all")</f>
        <v/>
      </c>
      <c r="AU3080" s="44">
        <f>SUMIFS(AU$1003:AU$3061,SecVar,"ener",SecSub,$C3080,SecFuel,"&lt;&gt;all")</f>
        <v/>
      </c>
      <c r="AV3080" s="44">
        <f>SUMIFS(AV$1003:AV$3061,SecVar,"ener",SecSub,$C3080,SecFuel,"&lt;&gt;all")</f>
        <v/>
      </c>
      <c r="AW3080" s="44">
        <f>SUMIFS(AW$1003:AW$3061,SecVar,"ener",SecSub,$C3080,SecFuel,"&lt;&gt;all")</f>
        <v/>
      </c>
      <c r="AX3080" s="44">
        <f>SUMIFS(AX$1003:AX$3061,SecVar,"ener",SecSub,$C3080,SecFuel,"&lt;&gt;all")</f>
        <v/>
      </c>
      <c r="AY3080" s="44">
        <f>SUMIFS(AY$1003:AY$3061,SecVar,"ener",SecSub,$C3080,SecFuel,"&lt;&gt;all")</f>
        <v/>
      </c>
      <c r="AZ3080" s="44">
        <f>SUMIFS(AZ$1003:AZ$3061,SecVar,"ener",SecSub,$C3080,SecFuel,"&lt;&gt;all")</f>
        <v/>
      </c>
      <c r="BA3080" s="44">
        <f>SUMIFS(BA$1003:BA$3061,SecVar,"ener",SecSub,$C3080,SecFuel,"&lt;&gt;all")</f>
        <v/>
      </c>
    </row>
    <row r="3081" hidden="1" outlineLevel="1">
      <c r="A3081" s="14" t="inlineStr">
        <is>
          <t>ener</t>
        </is>
      </c>
      <c r="B3081" s="14" t="inlineStr">
        <is>
          <t>all</t>
        </is>
      </c>
      <c r="C3081" s="14" t="inlineStr">
        <is>
          <t>oen</t>
        </is>
      </c>
      <c r="H3081" s="14">
        <f>INDEX(VarLab,MATCH($A3081,VarKey,0))&amp;INDEX(MemLab,MATCH($C3081&amp;"|"&amp;$B3081,MemKey,0))</f>
        <v/>
      </c>
      <c r="I3081" s="14">
        <f>INDEX(VarUnit,MATCH($A3081,VarKey,0))</f>
        <v/>
      </c>
      <c r="J3081" s="14">
        <f>INDEX(VarSrc,MATCH($A3081,VarKey,0))</f>
        <v/>
      </c>
      <c r="K3081" s="11">
        <f>CodePrefix&amp;$A3081&amp;IF($C3081="","","."&amp;$C3081&amp;"."&amp;$B3081)&amp;INDEX(VarEnd,MATCH($A3081,VarKey,0))&amp;K$5</f>
        <v/>
      </c>
      <c r="L3081" s="43">
        <f>SUMIFS(L$1003:L$3061,SecVar,"ener",SecSub,$C3081,SecFuel,"&lt;&gt;all")</f>
        <v/>
      </c>
      <c r="M3081" s="44">
        <f>SUMIFS(M$1003:M$3061,SecVar,"ener",SecSub,$C3081,SecFuel,"&lt;&gt;all")</f>
        <v/>
      </c>
      <c r="N3081" s="44">
        <f>SUMIFS(N$1003:N$3061,SecVar,"ener",SecSub,$C3081,SecFuel,"&lt;&gt;all")</f>
        <v/>
      </c>
      <c r="O3081" s="44">
        <f>SUMIFS(O$1003:O$3061,SecVar,"ener",SecSub,$C3081,SecFuel,"&lt;&gt;all")</f>
        <v/>
      </c>
      <c r="P3081" s="44">
        <f>SUMIFS(P$1003:P$3061,SecVar,"ener",SecSub,$C3081,SecFuel,"&lt;&gt;all")</f>
        <v/>
      </c>
      <c r="Q3081" s="44">
        <f>SUMIFS(Q$1003:Q$3061,SecVar,"ener",SecSub,$C3081,SecFuel,"&lt;&gt;all")</f>
        <v/>
      </c>
      <c r="R3081" s="44">
        <f>SUMIFS(R$1003:R$3061,SecVar,"ener",SecSub,$C3081,SecFuel,"&lt;&gt;all")</f>
        <v/>
      </c>
      <c r="S3081" s="44">
        <f>SUMIFS(S$1003:S$3061,SecVar,"ener",SecSub,$C3081,SecFuel,"&lt;&gt;all")</f>
        <v/>
      </c>
      <c r="T3081" s="44">
        <f>SUMIFS(T$1003:T$3061,SecVar,"ener",SecSub,$C3081,SecFuel,"&lt;&gt;all")</f>
        <v/>
      </c>
      <c r="U3081" s="44">
        <f>SUMIFS(U$1003:U$3061,SecVar,"ener",SecSub,$C3081,SecFuel,"&lt;&gt;all")</f>
        <v/>
      </c>
      <c r="V3081" s="44">
        <f>SUMIFS(V$1003:V$3061,SecVar,"ener",SecSub,$C3081,SecFuel,"&lt;&gt;all")</f>
        <v/>
      </c>
      <c r="W3081" s="44">
        <f>SUMIFS(W$1003:W$3061,SecVar,"ener",SecSub,$C3081,SecFuel,"&lt;&gt;all")</f>
        <v/>
      </c>
      <c r="X3081" s="44">
        <f>SUMIFS(X$1003:X$3061,SecVar,"ener",SecSub,$C3081,SecFuel,"&lt;&gt;all")</f>
        <v/>
      </c>
      <c r="Y3081" s="44">
        <f>SUMIFS(Y$1003:Y$3061,SecVar,"ener",SecSub,$C3081,SecFuel,"&lt;&gt;all")</f>
        <v/>
      </c>
      <c r="Z3081" s="44">
        <f>SUMIFS(Z$1003:Z$3061,SecVar,"ener",SecSub,$C3081,SecFuel,"&lt;&gt;all")</f>
        <v/>
      </c>
      <c r="AA3081" s="44">
        <f>SUMIFS(AA$1003:AA$3061,SecVar,"ener",SecSub,$C3081,SecFuel,"&lt;&gt;all")</f>
        <v/>
      </c>
      <c r="AB3081" s="44">
        <f>SUMIFS(AB$1003:AB$3061,SecVar,"ener",SecSub,$C3081,SecFuel,"&lt;&gt;all")</f>
        <v/>
      </c>
      <c r="AC3081" s="44">
        <f>SUMIFS(AC$1003:AC$3061,SecVar,"ener",SecSub,$C3081,SecFuel,"&lt;&gt;all")</f>
        <v/>
      </c>
      <c r="AD3081" s="44">
        <f>SUMIFS(AD$1003:AD$3061,SecVar,"ener",SecSub,$C3081,SecFuel,"&lt;&gt;all")</f>
        <v/>
      </c>
      <c r="AE3081" s="44">
        <f>SUMIFS(AE$1003:AE$3061,SecVar,"ener",SecSub,$C3081,SecFuel,"&lt;&gt;all")</f>
        <v/>
      </c>
      <c r="AG3081" s="11">
        <f>CodePrefix&amp;$A3081&amp;IF($C3081="","","."&amp;$C3081&amp;"."&amp;$B3081)&amp;INDEX(VarEnd,MATCH($A3081,VarKey,0))&amp;AG$5</f>
        <v/>
      </c>
      <c r="AH3081" s="43">
        <f>SUMIFS(AH$1003:AH$3061,SecVar,"ener",SecSub,$C3081,SecFuel,"&lt;&gt;all")</f>
        <v/>
      </c>
      <c r="AI3081" s="44">
        <f>SUMIFS(AI$1003:AI$3061,SecVar,"ener",SecSub,$C3081,SecFuel,"&lt;&gt;all")</f>
        <v/>
      </c>
      <c r="AJ3081" s="44">
        <f>SUMIFS(AJ$1003:AJ$3061,SecVar,"ener",SecSub,$C3081,SecFuel,"&lt;&gt;all")</f>
        <v/>
      </c>
      <c r="AK3081" s="44">
        <f>SUMIFS(AK$1003:AK$3061,SecVar,"ener",SecSub,$C3081,SecFuel,"&lt;&gt;all")</f>
        <v/>
      </c>
      <c r="AL3081" s="44">
        <f>SUMIFS(AL$1003:AL$3061,SecVar,"ener",SecSub,$C3081,SecFuel,"&lt;&gt;all")</f>
        <v/>
      </c>
      <c r="AM3081" s="44">
        <f>SUMIFS(AM$1003:AM$3061,SecVar,"ener",SecSub,$C3081,SecFuel,"&lt;&gt;all")</f>
        <v/>
      </c>
      <c r="AN3081" s="44">
        <f>SUMIFS(AN$1003:AN$3061,SecVar,"ener",SecSub,$C3081,SecFuel,"&lt;&gt;all")</f>
        <v/>
      </c>
      <c r="AO3081" s="44">
        <f>SUMIFS(AO$1003:AO$3061,SecVar,"ener",SecSub,$C3081,SecFuel,"&lt;&gt;all")</f>
        <v/>
      </c>
      <c r="AP3081" s="44">
        <f>SUMIFS(AP$1003:AP$3061,SecVar,"ener",SecSub,$C3081,SecFuel,"&lt;&gt;all")</f>
        <v/>
      </c>
      <c r="AQ3081" s="44">
        <f>SUMIFS(AQ$1003:AQ$3061,SecVar,"ener",SecSub,$C3081,SecFuel,"&lt;&gt;all")</f>
        <v/>
      </c>
      <c r="AR3081" s="44">
        <f>SUMIFS(AR$1003:AR$3061,SecVar,"ener",SecSub,$C3081,SecFuel,"&lt;&gt;all")</f>
        <v/>
      </c>
      <c r="AS3081" s="44">
        <f>SUMIFS(AS$1003:AS$3061,SecVar,"ener",SecSub,$C3081,SecFuel,"&lt;&gt;all")</f>
        <v/>
      </c>
      <c r="AT3081" s="44">
        <f>SUMIFS(AT$1003:AT$3061,SecVar,"ener",SecSub,$C3081,SecFuel,"&lt;&gt;all")</f>
        <v/>
      </c>
      <c r="AU3081" s="44">
        <f>SUMIFS(AU$1003:AU$3061,SecVar,"ener",SecSub,$C3081,SecFuel,"&lt;&gt;all")</f>
        <v/>
      </c>
      <c r="AV3081" s="44">
        <f>SUMIFS(AV$1003:AV$3061,SecVar,"ener",SecSub,$C3081,SecFuel,"&lt;&gt;all")</f>
        <v/>
      </c>
      <c r="AW3081" s="44">
        <f>SUMIFS(AW$1003:AW$3061,SecVar,"ener",SecSub,$C3081,SecFuel,"&lt;&gt;all")</f>
        <v/>
      </c>
      <c r="AX3081" s="44">
        <f>SUMIFS(AX$1003:AX$3061,SecVar,"ener",SecSub,$C3081,SecFuel,"&lt;&gt;all")</f>
        <v/>
      </c>
      <c r="AY3081" s="44">
        <f>SUMIFS(AY$1003:AY$3061,SecVar,"ener",SecSub,$C3081,SecFuel,"&lt;&gt;all")</f>
        <v/>
      </c>
      <c r="AZ3081" s="44">
        <f>SUMIFS(AZ$1003:AZ$3061,SecVar,"ener",SecSub,$C3081,SecFuel,"&lt;&gt;all")</f>
        <v/>
      </c>
      <c r="BA3081" s="44">
        <f>SUMIFS(BA$1003:BA$3061,SecVar,"ener",SecSub,$C3081,SecFuel,"&lt;&gt;all")</f>
        <v/>
      </c>
    </row>
    <row r="3082" hidden="1" outlineLevel="1">
      <c r="A3082" s="14" t="inlineStr">
        <is>
          <t>ener</t>
        </is>
      </c>
      <c r="B3082" s="14" t="inlineStr">
        <is>
          <t>all</t>
        </is>
      </c>
      <c r="C3082" s="14" t="inlineStr">
        <is>
          <t>pow</t>
        </is>
      </c>
      <c r="H3082" s="14">
        <f>INDEX(VarLab,MATCH($A3082,VarKey,0))&amp;INDEX(MemLab,MATCH($C3082&amp;"|"&amp;$B3082,MemKey,0))</f>
        <v/>
      </c>
      <c r="I3082" s="14">
        <f>INDEX(VarUnit,MATCH($A3082,VarKey,0))</f>
        <v/>
      </c>
      <c r="J3082" s="14">
        <f>INDEX(VarSrc,MATCH($A3082,VarKey,0))</f>
        <v/>
      </c>
      <c r="K3082" s="11">
        <f>CodePrefix&amp;$A3082&amp;IF($C3082="","","."&amp;$C3082&amp;"."&amp;$B3082)&amp;INDEX(VarEnd,MATCH($A3082,VarKey,0))&amp;K$5</f>
        <v/>
      </c>
      <c r="L3082" s="43">
        <f>SUMPRODUCT(L$746:L$754,$E$746:$E$754)</f>
        <v/>
      </c>
      <c r="M3082" s="44">
        <f>SUMPRODUCT(M$746:M$754,$E$746:$E$754)</f>
        <v/>
      </c>
      <c r="N3082" s="44">
        <f>SUMPRODUCT(N$746:N$754,$E$746:$E$754)</f>
        <v/>
      </c>
      <c r="O3082" s="44">
        <f>SUMPRODUCT(O$746:O$754,$E$746:$E$754)</f>
        <v/>
      </c>
      <c r="P3082" s="44">
        <f>SUMPRODUCT(P$746:P$754,$E$746:$E$754)</f>
        <v/>
      </c>
      <c r="Q3082" s="44">
        <f>SUMPRODUCT(Q$746:Q$754,$E$746:$E$754)</f>
        <v/>
      </c>
      <c r="R3082" s="44">
        <f>SUMPRODUCT(R$746:R$754,$E$746:$E$754)</f>
        <v/>
      </c>
      <c r="S3082" s="44">
        <f>SUMPRODUCT(S$746:S$754,$E$746:$E$754)</f>
        <v/>
      </c>
      <c r="T3082" s="44">
        <f>SUMPRODUCT(T$746:T$754,$E$746:$E$754)</f>
        <v/>
      </c>
      <c r="U3082" s="44">
        <f>SUMPRODUCT(U$746:U$754,$E$746:$E$754)</f>
        <v/>
      </c>
      <c r="V3082" s="44">
        <f>SUMPRODUCT(V$746:V$754,$E$746:$E$754)</f>
        <v/>
      </c>
      <c r="W3082" s="44">
        <f>SUMPRODUCT(W$746:W$754,$E$746:$E$754)</f>
        <v/>
      </c>
      <c r="X3082" s="44">
        <f>SUMPRODUCT(X$746:X$754,$E$746:$E$754)</f>
        <v/>
      </c>
      <c r="Y3082" s="44">
        <f>SUMPRODUCT(Y$746:Y$754,$E$746:$E$754)</f>
        <v/>
      </c>
      <c r="Z3082" s="44">
        <f>SUMPRODUCT(Z$746:Z$754,$E$746:$E$754)</f>
        <v/>
      </c>
      <c r="AA3082" s="44">
        <f>SUMPRODUCT(AA$746:AA$754,$E$746:$E$754)</f>
        <v/>
      </c>
      <c r="AB3082" s="44">
        <f>SUMPRODUCT(AB$746:AB$754,$E$746:$E$754)</f>
        <v/>
      </c>
      <c r="AC3082" s="44">
        <f>SUMPRODUCT(AC$746:AC$754,$E$746:$E$754)</f>
        <v/>
      </c>
      <c r="AD3082" s="44">
        <f>SUMPRODUCT(AD$746:AD$754,$E$746:$E$754)</f>
        <v/>
      </c>
      <c r="AE3082" s="44">
        <f>SUMPRODUCT(AE$746:AE$754,$E$746:$E$754)</f>
        <v/>
      </c>
      <c r="AG3082" s="11">
        <f>CodePrefix&amp;$A3082&amp;IF($C3082="","","."&amp;$C3082&amp;"."&amp;$B3082)&amp;INDEX(VarEnd,MATCH($A3082,VarKey,0))&amp;AG$5</f>
        <v/>
      </c>
      <c r="AH3082" s="43">
        <f>SUMPRODUCT(AH$746:AH$754,$E$746:$E$754)</f>
        <v/>
      </c>
      <c r="AI3082" s="44">
        <f>SUMPRODUCT(AI$746:AI$754,$E$746:$E$754)</f>
        <v/>
      </c>
      <c r="AJ3082" s="44">
        <f>SUMPRODUCT(AJ$746:AJ$754,$E$746:$E$754)</f>
        <v/>
      </c>
      <c r="AK3082" s="44">
        <f>SUMPRODUCT(AK$746:AK$754,$E$746:$E$754)</f>
        <v/>
      </c>
      <c r="AL3082" s="44">
        <f>SUMPRODUCT(AL$746:AL$754,$E$746:$E$754)</f>
        <v/>
      </c>
      <c r="AM3082" s="44">
        <f>SUMPRODUCT(AM$746:AM$754,$E$746:$E$754)</f>
        <v/>
      </c>
      <c r="AN3082" s="44">
        <f>SUMPRODUCT(AN$746:AN$754,$E$746:$E$754)</f>
        <v/>
      </c>
      <c r="AO3082" s="44">
        <f>SUMPRODUCT(AO$746:AO$754,$E$746:$E$754)</f>
        <v/>
      </c>
      <c r="AP3082" s="44">
        <f>SUMPRODUCT(AP$746:AP$754,$E$746:$E$754)</f>
        <v/>
      </c>
      <c r="AQ3082" s="44">
        <f>SUMPRODUCT(AQ$746:AQ$754,$E$746:$E$754)</f>
        <v/>
      </c>
      <c r="AR3082" s="44">
        <f>SUMPRODUCT(AR$746:AR$754,$E$746:$E$754)</f>
        <v/>
      </c>
      <c r="AS3082" s="44">
        <f>SUMPRODUCT(AS$746:AS$754,$E$746:$E$754)</f>
        <v/>
      </c>
      <c r="AT3082" s="44">
        <f>SUMPRODUCT(AT$746:AT$754,$E$746:$E$754)</f>
        <v/>
      </c>
      <c r="AU3082" s="44">
        <f>SUMPRODUCT(AU$746:AU$754,$E$746:$E$754)</f>
        <v/>
      </c>
      <c r="AV3082" s="44">
        <f>SUMPRODUCT(AV$746:AV$754,$E$746:$E$754)</f>
        <v/>
      </c>
      <c r="AW3082" s="44">
        <f>SUMPRODUCT(AW$746:AW$754,$E$746:$E$754)</f>
        <v/>
      </c>
      <c r="AX3082" s="44">
        <f>SUMPRODUCT(AX$746:AX$754,$E$746:$E$754)</f>
        <v/>
      </c>
      <c r="AY3082" s="44">
        <f>SUMPRODUCT(AY$746:AY$754,$E$746:$E$754)</f>
        <v/>
      </c>
      <c r="AZ3082" s="44">
        <f>SUMPRODUCT(AZ$746:AZ$754,$E$746:$E$754)</f>
        <v/>
      </c>
      <c r="BA3082" s="44">
        <f>SUMPRODUCT(BA$746:BA$754,$E$746:$E$754)</f>
        <v/>
      </c>
    </row>
    <row r="3083" hidden="1" outlineLevel="1"/>
    <row r="3084" hidden="1" outlineLevel="1">
      <c r="A3084" s="14" t="inlineStr">
        <is>
          <t>ener</t>
        </is>
      </c>
      <c r="B3084" s="14" t="inlineStr">
        <is>
          <t>coa</t>
        </is>
      </c>
      <c r="C3084" s="14" t="inlineStr">
        <is>
          <t>all</t>
        </is>
      </c>
      <c r="H3084" s="14">
        <f>INDEX(VarLab,MATCH($A3084,VarKey,0))&amp;INDEX(MemLab,MATCH($C3084&amp;"|"&amp;$B3084,MemKey,0))</f>
        <v/>
      </c>
      <c r="I3084" s="14">
        <f>INDEX(VarUnit,MATCH($A3084,VarKey,0))</f>
        <v/>
      </c>
      <c r="J3084" s="14">
        <f>INDEX(VarSrc,MATCH($A3084,VarKey,0))</f>
        <v/>
      </c>
      <c r="K3084" s="11">
        <f>CodePrefix&amp;$A3084&amp;IF($C3084="","","."&amp;$C3084&amp;"."&amp;$B3084)&amp;INDEX(VarEnd,MATCH($A3084,VarKey,0))&amp;K$5</f>
        <v/>
      </c>
      <c r="L3084" s="43">
        <f>SUMIFS(L$1003:L$3061,SecVar,"ener",SecFuel,$B3084)+SUMIF($B$746:$B$754,$B3084,L$746:L$754)</f>
        <v/>
      </c>
      <c r="M3084" s="44">
        <f>SUMIFS(M$1003:M$3061,SecVar,"ener",SecFuel,$B3084)+SUMIF($B$746:$B$754,$B3084,M$746:M$754)</f>
        <v/>
      </c>
      <c r="N3084" s="44">
        <f>SUMIFS(N$1003:N$3061,SecVar,"ener",SecFuel,$B3084)+SUMIF($B$746:$B$754,$B3084,N$746:N$754)</f>
        <v/>
      </c>
      <c r="O3084" s="44">
        <f>SUMIFS(O$1003:O$3061,SecVar,"ener",SecFuel,$B3084)+SUMIF($B$746:$B$754,$B3084,O$746:O$754)</f>
        <v/>
      </c>
      <c r="P3084" s="44">
        <f>SUMIFS(P$1003:P$3061,SecVar,"ener",SecFuel,$B3084)+SUMIF($B$746:$B$754,$B3084,P$746:P$754)</f>
        <v/>
      </c>
      <c r="Q3084" s="44">
        <f>SUMIFS(Q$1003:Q$3061,SecVar,"ener",SecFuel,$B3084)+SUMIF($B$746:$B$754,$B3084,Q$746:Q$754)</f>
        <v/>
      </c>
      <c r="R3084" s="44">
        <f>SUMIFS(R$1003:R$3061,SecVar,"ener",SecFuel,$B3084)+SUMIF($B$746:$B$754,$B3084,R$746:R$754)</f>
        <v/>
      </c>
      <c r="S3084" s="44">
        <f>SUMIFS(S$1003:S$3061,SecVar,"ener",SecFuel,$B3084)+SUMIF($B$746:$B$754,$B3084,S$746:S$754)</f>
        <v/>
      </c>
      <c r="T3084" s="44">
        <f>SUMIFS(T$1003:T$3061,SecVar,"ener",SecFuel,$B3084)+SUMIF($B$746:$B$754,$B3084,T$746:T$754)</f>
        <v/>
      </c>
      <c r="U3084" s="44">
        <f>SUMIFS(U$1003:U$3061,SecVar,"ener",SecFuel,$B3084)+SUMIF($B$746:$B$754,$B3084,U$746:U$754)</f>
        <v/>
      </c>
      <c r="V3084" s="44">
        <f>SUMIFS(V$1003:V$3061,SecVar,"ener",SecFuel,$B3084)+SUMIF($B$746:$B$754,$B3084,V$746:V$754)</f>
        <v/>
      </c>
      <c r="W3084" s="44">
        <f>SUMIFS(W$1003:W$3061,SecVar,"ener",SecFuel,$B3084)+SUMIF($B$746:$B$754,$B3084,W$746:W$754)</f>
        <v/>
      </c>
      <c r="X3084" s="44">
        <f>SUMIFS(X$1003:X$3061,SecVar,"ener",SecFuel,$B3084)+SUMIF($B$746:$B$754,$B3084,X$746:X$754)</f>
        <v/>
      </c>
      <c r="Y3084" s="44">
        <f>SUMIFS(Y$1003:Y$3061,SecVar,"ener",SecFuel,$B3084)+SUMIF($B$746:$B$754,$B3084,Y$746:Y$754)</f>
        <v/>
      </c>
      <c r="Z3084" s="44">
        <f>SUMIFS(Z$1003:Z$3061,SecVar,"ener",SecFuel,$B3084)+SUMIF($B$746:$B$754,$B3084,Z$746:Z$754)</f>
        <v/>
      </c>
      <c r="AA3084" s="44">
        <f>SUMIFS(AA$1003:AA$3061,SecVar,"ener",SecFuel,$B3084)+SUMIF($B$746:$B$754,$B3084,AA$746:AA$754)</f>
        <v/>
      </c>
      <c r="AB3084" s="44">
        <f>SUMIFS(AB$1003:AB$3061,SecVar,"ener",SecFuel,$B3084)+SUMIF($B$746:$B$754,$B3084,AB$746:AB$754)</f>
        <v/>
      </c>
      <c r="AC3084" s="44">
        <f>SUMIFS(AC$1003:AC$3061,SecVar,"ener",SecFuel,$B3084)+SUMIF($B$746:$B$754,$B3084,AC$746:AC$754)</f>
        <v/>
      </c>
      <c r="AD3084" s="44">
        <f>SUMIFS(AD$1003:AD$3061,SecVar,"ener",SecFuel,$B3084)+SUMIF($B$746:$B$754,$B3084,AD$746:AD$754)</f>
        <v/>
      </c>
      <c r="AE3084" s="44">
        <f>SUMIFS(AE$1003:AE$3061,SecVar,"ener",SecFuel,$B3084)+SUMIF($B$746:$B$754,$B3084,AE$746:AE$754)</f>
        <v/>
      </c>
      <c r="AG3084" s="11">
        <f>CodePrefix&amp;$A3084&amp;IF($C3084="","","."&amp;$C3084&amp;"."&amp;$B3084)&amp;INDEX(VarEnd,MATCH($A3084,VarKey,0))&amp;AG$5</f>
        <v/>
      </c>
      <c r="AH3084" s="43">
        <f>SUMIFS(AH$1003:AH$3061,SecVar,"ener",SecFuel,$B3084)+SUMIF($B$746:$B$754,$B3084,AH$746:AH$754)</f>
        <v/>
      </c>
      <c r="AI3084" s="44">
        <f>SUMIFS(AI$1003:AI$3061,SecVar,"ener",SecFuel,$B3084)+SUMIF($B$746:$B$754,$B3084,AI$746:AI$754)</f>
        <v/>
      </c>
      <c r="AJ3084" s="44">
        <f>SUMIFS(AJ$1003:AJ$3061,SecVar,"ener",SecFuel,$B3084)+SUMIF($B$746:$B$754,$B3084,AJ$746:AJ$754)</f>
        <v/>
      </c>
      <c r="AK3084" s="44">
        <f>SUMIFS(AK$1003:AK$3061,SecVar,"ener",SecFuel,$B3084)+SUMIF($B$746:$B$754,$B3084,AK$746:AK$754)</f>
        <v/>
      </c>
      <c r="AL3084" s="44">
        <f>SUMIFS(AL$1003:AL$3061,SecVar,"ener",SecFuel,$B3084)+SUMIF($B$746:$B$754,$B3084,AL$746:AL$754)</f>
        <v/>
      </c>
      <c r="AM3084" s="44">
        <f>SUMIFS(AM$1003:AM$3061,SecVar,"ener",SecFuel,$B3084)+SUMIF($B$746:$B$754,$B3084,AM$746:AM$754)</f>
        <v/>
      </c>
      <c r="AN3084" s="44">
        <f>SUMIFS(AN$1003:AN$3061,SecVar,"ener",SecFuel,$B3084)+SUMIF($B$746:$B$754,$B3084,AN$746:AN$754)</f>
        <v/>
      </c>
      <c r="AO3084" s="44">
        <f>SUMIFS(AO$1003:AO$3061,SecVar,"ener",SecFuel,$B3084)+SUMIF($B$746:$B$754,$B3084,AO$746:AO$754)</f>
        <v/>
      </c>
      <c r="AP3084" s="44">
        <f>SUMIFS(AP$1003:AP$3061,SecVar,"ener",SecFuel,$B3084)+SUMIF($B$746:$B$754,$B3084,AP$746:AP$754)</f>
        <v/>
      </c>
      <c r="AQ3084" s="44">
        <f>SUMIFS(AQ$1003:AQ$3061,SecVar,"ener",SecFuel,$B3084)+SUMIF($B$746:$B$754,$B3084,AQ$746:AQ$754)</f>
        <v/>
      </c>
      <c r="AR3084" s="44">
        <f>SUMIFS(AR$1003:AR$3061,SecVar,"ener",SecFuel,$B3084)+SUMIF($B$746:$B$754,$B3084,AR$746:AR$754)</f>
        <v/>
      </c>
      <c r="AS3084" s="44">
        <f>SUMIFS(AS$1003:AS$3061,SecVar,"ener",SecFuel,$B3084)+SUMIF($B$746:$B$754,$B3084,AS$746:AS$754)</f>
        <v/>
      </c>
      <c r="AT3084" s="44">
        <f>SUMIFS(AT$1003:AT$3061,SecVar,"ener",SecFuel,$B3084)+SUMIF($B$746:$B$754,$B3084,AT$746:AT$754)</f>
        <v/>
      </c>
      <c r="AU3084" s="44">
        <f>SUMIFS(AU$1003:AU$3061,SecVar,"ener",SecFuel,$B3084)+SUMIF($B$746:$B$754,$B3084,AU$746:AU$754)</f>
        <v/>
      </c>
      <c r="AV3084" s="44">
        <f>SUMIFS(AV$1003:AV$3061,SecVar,"ener",SecFuel,$B3084)+SUMIF($B$746:$B$754,$B3084,AV$746:AV$754)</f>
        <v/>
      </c>
      <c r="AW3084" s="44">
        <f>SUMIFS(AW$1003:AW$3061,SecVar,"ener",SecFuel,$B3084)+SUMIF($B$746:$B$754,$B3084,AW$746:AW$754)</f>
        <v/>
      </c>
      <c r="AX3084" s="44">
        <f>SUMIFS(AX$1003:AX$3061,SecVar,"ener",SecFuel,$B3084)+SUMIF($B$746:$B$754,$B3084,AX$746:AX$754)</f>
        <v/>
      </c>
      <c r="AY3084" s="44">
        <f>SUMIFS(AY$1003:AY$3061,SecVar,"ener",SecFuel,$B3084)+SUMIF($B$746:$B$754,$B3084,AY$746:AY$754)</f>
        <v/>
      </c>
      <c r="AZ3084" s="44">
        <f>SUMIFS(AZ$1003:AZ$3061,SecVar,"ener",SecFuel,$B3084)+SUMIF($B$746:$B$754,$B3084,AZ$746:AZ$754)</f>
        <v/>
      </c>
      <c r="BA3084" s="44">
        <f>SUMIFS(BA$1003:BA$3061,SecVar,"ener",SecFuel,$B3084)+SUMIF($B$746:$B$754,$B3084,BA$746:BA$754)</f>
        <v/>
      </c>
    </row>
    <row r="3085" hidden="1" outlineLevel="1">
      <c r="A3085" s="14" t="inlineStr">
        <is>
          <t>ener</t>
        </is>
      </c>
      <c r="B3085" s="14" t="inlineStr">
        <is>
          <t>nga</t>
        </is>
      </c>
      <c r="C3085" s="14" t="inlineStr">
        <is>
          <t>all</t>
        </is>
      </c>
      <c r="H3085" s="14">
        <f>INDEX(VarLab,MATCH($A3085,VarKey,0))&amp;INDEX(MemLab,MATCH($C3085&amp;"|"&amp;$B3085,MemKey,0))</f>
        <v/>
      </c>
      <c r="I3085" s="14">
        <f>INDEX(VarUnit,MATCH($A3085,VarKey,0))</f>
        <v/>
      </c>
      <c r="J3085" s="14">
        <f>INDEX(VarSrc,MATCH($A3085,VarKey,0))</f>
        <v/>
      </c>
      <c r="K3085" s="11">
        <f>CodePrefix&amp;$A3085&amp;IF($C3085="","","."&amp;$C3085&amp;"."&amp;$B3085)&amp;INDEX(VarEnd,MATCH($A3085,VarKey,0))&amp;K$5</f>
        <v/>
      </c>
      <c r="L3085" s="43">
        <f>SUMIFS(L$1003:L$3061,SecVar,"ener",SecFuel,$B3085)+SUMIF($B$746:$B$754,$B3085,L$746:L$754)</f>
        <v/>
      </c>
      <c r="M3085" s="44">
        <f>SUMIFS(M$1003:M$3061,SecVar,"ener",SecFuel,$B3085)+SUMIF($B$746:$B$754,$B3085,M$746:M$754)</f>
        <v/>
      </c>
      <c r="N3085" s="44">
        <f>SUMIFS(N$1003:N$3061,SecVar,"ener",SecFuel,$B3085)+SUMIF($B$746:$B$754,$B3085,N$746:N$754)</f>
        <v/>
      </c>
      <c r="O3085" s="44">
        <f>SUMIFS(O$1003:O$3061,SecVar,"ener",SecFuel,$B3085)+SUMIF($B$746:$B$754,$B3085,O$746:O$754)</f>
        <v/>
      </c>
      <c r="P3085" s="44">
        <f>SUMIFS(P$1003:P$3061,SecVar,"ener",SecFuel,$B3085)+SUMIF($B$746:$B$754,$B3085,P$746:P$754)</f>
        <v/>
      </c>
      <c r="Q3085" s="44">
        <f>SUMIFS(Q$1003:Q$3061,SecVar,"ener",SecFuel,$B3085)+SUMIF($B$746:$B$754,$B3085,Q$746:Q$754)</f>
        <v/>
      </c>
      <c r="R3085" s="44">
        <f>SUMIFS(R$1003:R$3061,SecVar,"ener",SecFuel,$B3085)+SUMIF($B$746:$B$754,$B3085,R$746:R$754)</f>
        <v/>
      </c>
      <c r="S3085" s="44">
        <f>SUMIFS(S$1003:S$3061,SecVar,"ener",SecFuel,$B3085)+SUMIF($B$746:$B$754,$B3085,S$746:S$754)</f>
        <v/>
      </c>
      <c r="T3085" s="44">
        <f>SUMIFS(T$1003:T$3061,SecVar,"ener",SecFuel,$B3085)+SUMIF($B$746:$B$754,$B3085,T$746:T$754)</f>
        <v/>
      </c>
      <c r="U3085" s="44">
        <f>SUMIFS(U$1003:U$3061,SecVar,"ener",SecFuel,$B3085)+SUMIF($B$746:$B$754,$B3085,U$746:U$754)</f>
        <v/>
      </c>
      <c r="V3085" s="44">
        <f>SUMIFS(V$1003:V$3061,SecVar,"ener",SecFuel,$B3085)+SUMIF($B$746:$B$754,$B3085,V$746:V$754)</f>
        <v/>
      </c>
      <c r="W3085" s="44">
        <f>SUMIFS(W$1003:W$3061,SecVar,"ener",SecFuel,$B3085)+SUMIF($B$746:$B$754,$B3085,W$746:W$754)</f>
        <v/>
      </c>
      <c r="X3085" s="44">
        <f>SUMIFS(X$1003:X$3061,SecVar,"ener",SecFuel,$B3085)+SUMIF($B$746:$B$754,$B3085,X$746:X$754)</f>
        <v/>
      </c>
      <c r="Y3085" s="44">
        <f>SUMIFS(Y$1003:Y$3061,SecVar,"ener",SecFuel,$B3085)+SUMIF($B$746:$B$754,$B3085,Y$746:Y$754)</f>
        <v/>
      </c>
      <c r="Z3085" s="44">
        <f>SUMIFS(Z$1003:Z$3061,SecVar,"ener",SecFuel,$B3085)+SUMIF($B$746:$B$754,$B3085,Z$746:Z$754)</f>
        <v/>
      </c>
      <c r="AA3085" s="44">
        <f>SUMIFS(AA$1003:AA$3061,SecVar,"ener",SecFuel,$B3085)+SUMIF($B$746:$B$754,$B3085,AA$746:AA$754)</f>
        <v/>
      </c>
      <c r="AB3085" s="44">
        <f>SUMIFS(AB$1003:AB$3061,SecVar,"ener",SecFuel,$B3085)+SUMIF($B$746:$B$754,$B3085,AB$746:AB$754)</f>
        <v/>
      </c>
      <c r="AC3085" s="44">
        <f>SUMIFS(AC$1003:AC$3061,SecVar,"ener",SecFuel,$B3085)+SUMIF($B$746:$B$754,$B3085,AC$746:AC$754)</f>
        <v/>
      </c>
      <c r="AD3085" s="44">
        <f>SUMIFS(AD$1003:AD$3061,SecVar,"ener",SecFuel,$B3085)+SUMIF($B$746:$B$754,$B3085,AD$746:AD$754)</f>
        <v/>
      </c>
      <c r="AE3085" s="44">
        <f>SUMIFS(AE$1003:AE$3061,SecVar,"ener",SecFuel,$B3085)+SUMIF($B$746:$B$754,$B3085,AE$746:AE$754)</f>
        <v/>
      </c>
      <c r="AG3085" s="11">
        <f>CodePrefix&amp;$A3085&amp;IF($C3085="","","."&amp;$C3085&amp;"."&amp;$B3085)&amp;INDEX(VarEnd,MATCH($A3085,VarKey,0))&amp;AG$5</f>
        <v/>
      </c>
      <c r="AH3085" s="43">
        <f>SUMIFS(AH$1003:AH$3061,SecVar,"ener",SecFuel,$B3085)+SUMIF($B$746:$B$754,$B3085,AH$746:AH$754)</f>
        <v/>
      </c>
      <c r="AI3085" s="44">
        <f>SUMIFS(AI$1003:AI$3061,SecVar,"ener",SecFuel,$B3085)+SUMIF($B$746:$B$754,$B3085,AI$746:AI$754)</f>
        <v/>
      </c>
      <c r="AJ3085" s="44">
        <f>SUMIFS(AJ$1003:AJ$3061,SecVar,"ener",SecFuel,$B3085)+SUMIF($B$746:$B$754,$B3085,AJ$746:AJ$754)</f>
        <v/>
      </c>
      <c r="AK3085" s="44">
        <f>SUMIFS(AK$1003:AK$3061,SecVar,"ener",SecFuel,$B3085)+SUMIF($B$746:$B$754,$B3085,AK$746:AK$754)</f>
        <v/>
      </c>
      <c r="AL3085" s="44">
        <f>SUMIFS(AL$1003:AL$3061,SecVar,"ener",SecFuel,$B3085)+SUMIF($B$746:$B$754,$B3085,AL$746:AL$754)</f>
        <v/>
      </c>
      <c r="AM3085" s="44">
        <f>SUMIFS(AM$1003:AM$3061,SecVar,"ener",SecFuel,$B3085)+SUMIF($B$746:$B$754,$B3085,AM$746:AM$754)</f>
        <v/>
      </c>
      <c r="AN3085" s="44">
        <f>SUMIFS(AN$1003:AN$3061,SecVar,"ener",SecFuel,$B3085)+SUMIF($B$746:$B$754,$B3085,AN$746:AN$754)</f>
        <v/>
      </c>
      <c r="AO3085" s="44">
        <f>SUMIFS(AO$1003:AO$3061,SecVar,"ener",SecFuel,$B3085)+SUMIF($B$746:$B$754,$B3085,AO$746:AO$754)</f>
        <v/>
      </c>
      <c r="AP3085" s="44">
        <f>SUMIFS(AP$1003:AP$3061,SecVar,"ener",SecFuel,$B3085)+SUMIF($B$746:$B$754,$B3085,AP$746:AP$754)</f>
        <v/>
      </c>
      <c r="AQ3085" s="44">
        <f>SUMIFS(AQ$1003:AQ$3061,SecVar,"ener",SecFuel,$B3085)+SUMIF($B$746:$B$754,$B3085,AQ$746:AQ$754)</f>
        <v/>
      </c>
      <c r="AR3085" s="44">
        <f>SUMIFS(AR$1003:AR$3061,SecVar,"ener",SecFuel,$B3085)+SUMIF($B$746:$B$754,$B3085,AR$746:AR$754)</f>
        <v/>
      </c>
      <c r="AS3085" s="44">
        <f>SUMIFS(AS$1003:AS$3061,SecVar,"ener",SecFuel,$B3085)+SUMIF($B$746:$B$754,$B3085,AS$746:AS$754)</f>
        <v/>
      </c>
      <c r="AT3085" s="44">
        <f>SUMIFS(AT$1003:AT$3061,SecVar,"ener",SecFuel,$B3085)+SUMIF($B$746:$B$754,$B3085,AT$746:AT$754)</f>
        <v/>
      </c>
      <c r="AU3085" s="44">
        <f>SUMIFS(AU$1003:AU$3061,SecVar,"ener",SecFuel,$B3085)+SUMIF($B$746:$B$754,$B3085,AU$746:AU$754)</f>
        <v/>
      </c>
      <c r="AV3085" s="44">
        <f>SUMIFS(AV$1003:AV$3061,SecVar,"ener",SecFuel,$B3085)+SUMIF($B$746:$B$754,$B3085,AV$746:AV$754)</f>
        <v/>
      </c>
      <c r="AW3085" s="44">
        <f>SUMIFS(AW$1003:AW$3061,SecVar,"ener",SecFuel,$B3085)+SUMIF($B$746:$B$754,$B3085,AW$746:AW$754)</f>
        <v/>
      </c>
      <c r="AX3085" s="44">
        <f>SUMIFS(AX$1003:AX$3061,SecVar,"ener",SecFuel,$B3085)+SUMIF($B$746:$B$754,$B3085,AX$746:AX$754)</f>
        <v/>
      </c>
      <c r="AY3085" s="44">
        <f>SUMIFS(AY$1003:AY$3061,SecVar,"ener",SecFuel,$B3085)+SUMIF($B$746:$B$754,$B3085,AY$746:AY$754)</f>
        <v/>
      </c>
      <c r="AZ3085" s="44">
        <f>SUMIFS(AZ$1003:AZ$3061,SecVar,"ener",SecFuel,$B3085)+SUMIF($B$746:$B$754,$B3085,AZ$746:AZ$754)</f>
        <v/>
      </c>
      <c r="BA3085" s="44">
        <f>SUMIFS(BA$1003:BA$3061,SecVar,"ener",SecFuel,$B3085)+SUMIF($B$746:$B$754,$B3085,BA$746:BA$754)</f>
        <v/>
      </c>
    </row>
    <row r="3086" hidden="1" outlineLevel="1">
      <c r="A3086" s="14" t="inlineStr">
        <is>
          <t>ener</t>
        </is>
      </c>
      <c r="B3086" s="14" t="inlineStr">
        <is>
          <t>gso</t>
        </is>
      </c>
      <c r="C3086" s="14" t="inlineStr">
        <is>
          <t>all</t>
        </is>
      </c>
      <c r="H3086" s="14">
        <f>INDEX(VarLab,MATCH($A3086,VarKey,0))&amp;INDEX(MemLab,MATCH($C3086&amp;"|"&amp;$B3086,MemKey,0))</f>
        <v/>
      </c>
      <c r="I3086" s="14">
        <f>INDEX(VarUnit,MATCH($A3086,VarKey,0))</f>
        <v/>
      </c>
      <c r="J3086" s="14">
        <f>INDEX(VarSrc,MATCH($A3086,VarKey,0))</f>
        <v/>
      </c>
      <c r="K3086" s="11">
        <f>CodePrefix&amp;$A3086&amp;IF($C3086="","","."&amp;$C3086&amp;"."&amp;$B3086)&amp;INDEX(VarEnd,MATCH($A3086,VarKey,0))&amp;K$5</f>
        <v/>
      </c>
      <c r="L3086" s="43">
        <f>SUMIFS(L$1003:L$3061,SecVar,"ener",SecFuel,$B3086)+SUMIF($B$746:$B$754,$B3086,L$746:L$754)</f>
        <v/>
      </c>
      <c r="M3086" s="44">
        <f>SUMIFS(M$1003:M$3061,SecVar,"ener",SecFuel,$B3086)+SUMIF($B$746:$B$754,$B3086,M$746:M$754)</f>
        <v/>
      </c>
      <c r="N3086" s="44">
        <f>SUMIFS(N$1003:N$3061,SecVar,"ener",SecFuel,$B3086)+SUMIF($B$746:$B$754,$B3086,N$746:N$754)</f>
        <v/>
      </c>
      <c r="O3086" s="44">
        <f>SUMIFS(O$1003:O$3061,SecVar,"ener",SecFuel,$B3086)+SUMIF($B$746:$B$754,$B3086,O$746:O$754)</f>
        <v/>
      </c>
      <c r="P3086" s="44">
        <f>SUMIFS(P$1003:P$3061,SecVar,"ener",SecFuel,$B3086)+SUMIF($B$746:$B$754,$B3086,P$746:P$754)</f>
        <v/>
      </c>
      <c r="Q3086" s="44">
        <f>SUMIFS(Q$1003:Q$3061,SecVar,"ener",SecFuel,$B3086)+SUMIF($B$746:$B$754,$B3086,Q$746:Q$754)</f>
        <v/>
      </c>
      <c r="R3086" s="44">
        <f>SUMIFS(R$1003:R$3061,SecVar,"ener",SecFuel,$B3086)+SUMIF($B$746:$B$754,$B3086,R$746:R$754)</f>
        <v/>
      </c>
      <c r="S3086" s="44">
        <f>SUMIFS(S$1003:S$3061,SecVar,"ener",SecFuel,$B3086)+SUMIF($B$746:$B$754,$B3086,S$746:S$754)</f>
        <v/>
      </c>
      <c r="T3086" s="44">
        <f>SUMIFS(T$1003:T$3061,SecVar,"ener",SecFuel,$B3086)+SUMIF($B$746:$B$754,$B3086,T$746:T$754)</f>
        <v/>
      </c>
      <c r="U3086" s="44">
        <f>SUMIFS(U$1003:U$3061,SecVar,"ener",SecFuel,$B3086)+SUMIF($B$746:$B$754,$B3086,U$746:U$754)</f>
        <v/>
      </c>
      <c r="V3086" s="44">
        <f>SUMIFS(V$1003:V$3061,SecVar,"ener",SecFuel,$B3086)+SUMIF($B$746:$B$754,$B3086,V$746:V$754)</f>
        <v/>
      </c>
      <c r="W3086" s="44">
        <f>SUMIFS(W$1003:W$3061,SecVar,"ener",SecFuel,$B3086)+SUMIF($B$746:$B$754,$B3086,W$746:W$754)</f>
        <v/>
      </c>
      <c r="X3086" s="44">
        <f>SUMIFS(X$1003:X$3061,SecVar,"ener",SecFuel,$B3086)+SUMIF($B$746:$B$754,$B3086,X$746:X$754)</f>
        <v/>
      </c>
      <c r="Y3086" s="44">
        <f>SUMIFS(Y$1003:Y$3061,SecVar,"ener",SecFuel,$B3086)+SUMIF($B$746:$B$754,$B3086,Y$746:Y$754)</f>
        <v/>
      </c>
      <c r="Z3086" s="44">
        <f>SUMIFS(Z$1003:Z$3061,SecVar,"ener",SecFuel,$B3086)+SUMIF($B$746:$B$754,$B3086,Z$746:Z$754)</f>
        <v/>
      </c>
      <c r="AA3086" s="44">
        <f>SUMIFS(AA$1003:AA$3061,SecVar,"ener",SecFuel,$B3086)+SUMIF($B$746:$B$754,$B3086,AA$746:AA$754)</f>
        <v/>
      </c>
      <c r="AB3086" s="44">
        <f>SUMIFS(AB$1003:AB$3061,SecVar,"ener",SecFuel,$B3086)+SUMIF($B$746:$B$754,$B3086,AB$746:AB$754)</f>
        <v/>
      </c>
      <c r="AC3086" s="44">
        <f>SUMIFS(AC$1003:AC$3061,SecVar,"ener",SecFuel,$B3086)+SUMIF($B$746:$B$754,$B3086,AC$746:AC$754)</f>
        <v/>
      </c>
      <c r="AD3086" s="44">
        <f>SUMIFS(AD$1003:AD$3061,SecVar,"ener",SecFuel,$B3086)+SUMIF($B$746:$B$754,$B3086,AD$746:AD$754)</f>
        <v/>
      </c>
      <c r="AE3086" s="44">
        <f>SUMIFS(AE$1003:AE$3061,SecVar,"ener",SecFuel,$B3086)+SUMIF($B$746:$B$754,$B3086,AE$746:AE$754)</f>
        <v/>
      </c>
      <c r="AG3086" s="11">
        <f>CodePrefix&amp;$A3086&amp;IF($C3086="","","."&amp;$C3086&amp;"."&amp;$B3086)&amp;INDEX(VarEnd,MATCH($A3086,VarKey,0))&amp;AG$5</f>
        <v/>
      </c>
      <c r="AH3086" s="43">
        <f>SUMIFS(AH$1003:AH$3061,SecVar,"ener",SecFuel,$B3086)+SUMIF($B$746:$B$754,$B3086,AH$746:AH$754)</f>
        <v/>
      </c>
      <c r="AI3086" s="44">
        <f>SUMIFS(AI$1003:AI$3061,SecVar,"ener",SecFuel,$B3086)+SUMIF($B$746:$B$754,$B3086,AI$746:AI$754)</f>
        <v/>
      </c>
      <c r="AJ3086" s="44">
        <f>SUMIFS(AJ$1003:AJ$3061,SecVar,"ener",SecFuel,$B3086)+SUMIF($B$746:$B$754,$B3086,AJ$746:AJ$754)</f>
        <v/>
      </c>
      <c r="AK3086" s="44">
        <f>SUMIFS(AK$1003:AK$3061,SecVar,"ener",SecFuel,$B3086)+SUMIF($B$746:$B$754,$B3086,AK$746:AK$754)</f>
        <v/>
      </c>
      <c r="AL3086" s="44">
        <f>SUMIFS(AL$1003:AL$3061,SecVar,"ener",SecFuel,$B3086)+SUMIF($B$746:$B$754,$B3086,AL$746:AL$754)</f>
        <v/>
      </c>
      <c r="AM3086" s="44">
        <f>SUMIFS(AM$1003:AM$3061,SecVar,"ener",SecFuel,$B3086)+SUMIF($B$746:$B$754,$B3086,AM$746:AM$754)</f>
        <v/>
      </c>
      <c r="AN3086" s="44">
        <f>SUMIFS(AN$1003:AN$3061,SecVar,"ener",SecFuel,$B3086)+SUMIF($B$746:$B$754,$B3086,AN$746:AN$754)</f>
        <v/>
      </c>
      <c r="AO3086" s="44">
        <f>SUMIFS(AO$1003:AO$3061,SecVar,"ener",SecFuel,$B3086)+SUMIF($B$746:$B$754,$B3086,AO$746:AO$754)</f>
        <v/>
      </c>
      <c r="AP3086" s="44">
        <f>SUMIFS(AP$1003:AP$3061,SecVar,"ener",SecFuel,$B3086)+SUMIF($B$746:$B$754,$B3086,AP$746:AP$754)</f>
        <v/>
      </c>
      <c r="AQ3086" s="44">
        <f>SUMIFS(AQ$1003:AQ$3061,SecVar,"ener",SecFuel,$B3086)+SUMIF($B$746:$B$754,$B3086,AQ$746:AQ$754)</f>
        <v/>
      </c>
      <c r="AR3086" s="44">
        <f>SUMIFS(AR$1003:AR$3061,SecVar,"ener",SecFuel,$B3086)+SUMIF($B$746:$B$754,$B3086,AR$746:AR$754)</f>
        <v/>
      </c>
      <c r="AS3086" s="44">
        <f>SUMIFS(AS$1003:AS$3061,SecVar,"ener",SecFuel,$B3086)+SUMIF($B$746:$B$754,$B3086,AS$746:AS$754)</f>
        <v/>
      </c>
      <c r="AT3086" s="44">
        <f>SUMIFS(AT$1003:AT$3061,SecVar,"ener",SecFuel,$B3086)+SUMIF($B$746:$B$754,$B3086,AT$746:AT$754)</f>
        <v/>
      </c>
      <c r="AU3086" s="44">
        <f>SUMIFS(AU$1003:AU$3061,SecVar,"ener",SecFuel,$B3086)+SUMIF($B$746:$B$754,$B3086,AU$746:AU$754)</f>
        <v/>
      </c>
      <c r="AV3086" s="44">
        <f>SUMIFS(AV$1003:AV$3061,SecVar,"ener",SecFuel,$B3086)+SUMIF($B$746:$B$754,$B3086,AV$746:AV$754)</f>
        <v/>
      </c>
      <c r="AW3086" s="44">
        <f>SUMIFS(AW$1003:AW$3061,SecVar,"ener",SecFuel,$B3086)+SUMIF($B$746:$B$754,$B3086,AW$746:AW$754)</f>
        <v/>
      </c>
      <c r="AX3086" s="44">
        <f>SUMIFS(AX$1003:AX$3061,SecVar,"ener",SecFuel,$B3086)+SUMIF($B$746:$B$754,$B3086,AX$746:AX$754)</f>
        <v/>
      </c>
      <c r="AY3086" s="44">
        <f>SUMIFS(AY$1003:AY$3061,SecVar,"ener",SecFuel,$B3086)+SUMIF($B$746:$B$754,$B3086,AY$746:AY$754)</f>
        <v/>
      </c>
      <c r="AZ3086" s="44">
        <f>SUMIFS(AZ$1003:AZ$3061,SecVar,"ener",SecFuel,$B3086)+SUMIF($B$746:$B$754,$B3086,AZ$746:AZ$754)</f>
        <v/>
      </c>
      <c r="BA3086" s="44">
        <f>SUMIFS(BA$1003:BA$3061,SecVar,"ener",SecFuel,$B3086)+SUMIF($B$746:$B$754,$B3086,BA$746:BA$754)</f>
        <v/>
      </c>
    </row>
    <row r="3087" hidden="1" outlineLevel="1">
      <c r="A3087" s="14" t="inlineStr">
        <is>
          <t>ener</t>
        </is>
      </c>
      <c r="B3087" s="14" t="inlineStr">
        <is>
          <t>die</t>
        </is>
      </c>
      <c r="C3087" s="14" t="inlineStr">
        <is>
          <t>all</t>
        </is>
      </c>
      <c r="H3087" s="14">
        <f>INDEX(VarLab,MATCH($A3087,VarKey,0))&amp;INDEX(MemLab,MATCH($C3087&amp;"|"&amp;$B3087,MemKey,0))</f>
        <v/>
      </c>
      <c r="I3087" s="14">
        <f>INDEX(VarUnit,MATCH($A3087,VarKey,0))</f>
        <v/>
      </c>
      <c r="J3087" s="14">
        <f>INDEX(VarSrc,MATCH($A3087,VarKey,0))</f>
        <v/>
      </c>
      <c r="K3087" s="11">
        <f>CodePrefix&amp;$A3087&amp;IF($C3087="","","."&amp;$C3087&amp;"."&amp;$B3087)&amp;INDEX(VarEnd,MATCH($A3087,VarKey,0))&amp;K$5</f>
        <v/>
      </c>
      <c r="L3087" s="43">
        <f>SUMIFS(L$1003:L$3061,SecVar,"ener",SecFuel,$B3087)+SUMIF($B$746:$B$754,$B3087,L$746:L$754)</f>
        <v/>
      </c>
      <c r="M3087" s="44">
        <f>SUMIFS(M$1003:M$3061,SecVar,"ener",SecFuel,$B3087)+SUMIF($B$746:$B$754,$B3087,M$746:M$754)</f>
        <v/>
      </c>
      <c r="N3087" s="44">
        <f>SUMIFS(N$1003:N$3061,SecVar,"ener",SecFuel,$B3087)+SUMIF($B$746:$B$754,$B3087,N$746:N$754)</f>
        <v/>
      </c>
      <c r="O3087" s="44">
        <f>SUMIFS(O$1003:O$3061,SecVar,"ener",SecFuel,$B3087)+SUMIF($B$746:$B$754,$B3087,O$746:O$754)</f>
        <v/>
      </c>
      <c r="P3087" s="44">
        <f>SUMIFS(P$1003:P$3061,SecVar,"ener",SecFuel,$B3087)+SUMIF($B$746:$B$754,$B3087,P$746:P$754)</f>
        <v/>
      </c>
      <c r="Q3087" s="44">
        <f>SUMIFS(Q$1003:Q$3061,SecVar,"ener",SecFuel,$B3087)+SUMIF($B$746:$B$754,$B3087,Q$746:Q$754)</f>
        <v/>
      </c>
      <c r="R3087" s="44">
        <f>SUMIFS(R$1003:R$3061,SecVar,"ener",SecFuel,$B3087)+SUMIF($B$746:$B$754,$B3087,R$746:R$754)</f>
        <v/>
      </c>
      <c r="S3087" s="44">
        <f>SUMIFS(S$1003:S$3061,SecVar,"ener",SecFuel,$B3087)+SUMIF($B$746:$B$754,$B3087,S$746:S$754)</f>
        <v/>
      </c>
      <c r="T3087" s="44">
        <f>SUMIFS(T$1003:T$3061,SecVar,"ener",SecFuel,$B3087)+SUMIF($B$746:$B$754,$B3087,T$746:T$754)</f>
        <v/>
      </c>
      <c r="U3087" s="44">
        <f>SUMIFS(U$1003:U$3061,SecVar,"ener",SecFuel,$B3087)+SUMIF($B$746:$B$754,$B3087,U$746:U$754)</f>
        <v/>
      </c>
      <c r="V3087" s="44">
        <f>SUMIFS(V$1003:V$3061,SecVar,"ener",SecFuel,$B3087)+SUMIF($B$746:$B$754,$B3087,V$746:V$754)</f>
        <v/>
      </c>
      <c r="W3087" s="44">
        <f>SUMIFS(W$1003:W$3061,SecVar,"ener",SecFuel,$B3087)+SUMIF($B$746:$B$754,$B3087,W$746:W$754)</f>
        <v/>
      </c>
      <c r="X3087" s="44">
        <f>SUMIFS(X$1003:X$3061,SecVar,"ener",SecFuel,$B3087)+SUMIF($B$746:$B$754,$B3087,X$746:X$754)</f>
        <v/>
      </c>
      <c r="Y3087" s="44">
        <f>SUMIFS(Y$1003:Y$3061,SecVar,"ener",SecFuel,$B3087)+SUMIF($B$746:$B$754,$B3087,Y$746:Y$754)</f>
        <v/>
      </c>
      <c r="Z3087" s="44">
        <f>SUMIFS(Z$1003:Z$3061,SecVar,"ener",SecFuel,$B3087)+SUMIF($B$746:$B$754,$B3087,Z$746:Z$754)</f>
        <v/>
      </c>
      <c r="AA3087" s="44">
        <f>SUMIFS(AA$1003:AA$3061,SecVar,"ener",SecFuel,$B3087)+SUMIF($B$746:$B$754,$B3087,AA$746:AA$754)</f>
        <v/>
      </c>
      <c r="AB3087" s="44">
        <f>SUMIFS(AB$1003:AB$3061,SecVar,"ener",SecFuel,$B3087)+SUMIF($B$746:$B$754,$B3087,AB$746:AB$754)</f>
        <v/>
      </c>
      <c r="AC3087" s="44">
        <f>SUMIFS(AC$1003:AC$3061,SecVar,"ener",SecFuel,$B3087)+SUMIF($B$746:$B$754,$B3087,AC$746:AC$754)</f>
        <v/>
      </c>
      <c r="AD3087" s="44">
        <f>SUMIFS(AD$1003:AD$3061,SecVar,"ener",SecFuel,$B3087)+SUMIF($B$746:$B$754,$B3087,AD$746:AD$754)</f>
        <v/>
      </c>
      <c r="AE3087" s="44">
        <f>SUMIFS(AE$1003:AE$3061,SecVar,"ener",SecFuel,$B3087)+SUMIF($B$746:$B$754,$B3087,AE$746:AE$754)</f>
        <v/>
      </c>
      <c r="AG3087" s="11">
        <f>CodePrefix&amp;$A3087&amp;IF($C3087="","","."&amp;$C3087&amp;"."&amp;$B3087)&amp;INDEX(VarEnd,MATCH($A3087,VarKey,0))&amp;AG$5</f>
        <v/>
      </c>
      <c r="AH3087" s="43">
        <f>SUMIFS(AH$1003:AH$3061,SecVar,"ener",SecFuel,$B3087)+SUMIF($B$746:$B$754,$B3087,AH$746:AH$754)</f>
        <v/>
      </c>
      <c r="AI3087" s="44">
        <f>SUMIFS(AI$1003:AI$3061,SecVar,"ener",SecFuel,$B3087)+SUMIF($B$746:$B$754,$B3087,AI$746:AI$754)</f>
        <v/>
      </c>
      <c r="AJ3087" s="44">
        <f>SUMIFS(AJ$1003:AJ$3061,SecVar,"ener",SecFuel,$B3087)+SUMIF($B$746:$B$754,$B3087,AJ$746:AJ$754)</f>
        <v/>
      </c>
      <c r="AK3087" s="44">
        <f>SUMIFS(AK$1003:AK$3061,SecVar,"ener",SecFuel,$B3087)+SUMIF($B$746:$B$754,$B3087,AK$746:AK$754)</f>
        <v/>
      </c>
      <c r="AL3087" s="44">
        <f>SUMIFS(AL$1003:AL$3061,SecVar,"ener",SecFuel,$B3087)+SUMIF($B$746:$B$754,$B3087,AL$746:AL$754)</f>
        <v/>
      </c>
      <c r="AM3087" s="44">
        <f>SUMIFS(AM$1003:AM$3061,SecVar,"ener",SecFuel,$B3087)+SUMIF($B$746:$B$754,$B3087,AM$746:AM$754)</f>
        <v/>
      </c>
      <c r="AN3087" s="44">
        <f>SUMIFS(AN$1003:AN$3061,SecVar,"ener",SecFuel,$B3087)+SUMIF($B$746:$B$754,$B3087,AN$746:AN$754)</f>
        <v/>
      </c>
      <c r="AO3087" s="44">
        <f>SUMIFS(AO$1003:AO$3061,SecVar,"ener",SecFuel,$B3087)+SUMIF($B$746:$B$754,$B3087,AO$746:AO$754)</f>
        <v/>
      </c>
      <c r="AP3087" s="44">
        <f>SUMIFS(AP$1003:AP$3061,SecVar,"ener",SecFuel,$B3087)+SUMIF($B$746:$B$754,$B3087,AP$746:AP$754)</f>
        <v/>
      </c>
      <c r="AQ3087" s="44">
        <f>SUMIFS(AQ$1003:AQ$3061,SecVar,"ener",SecFuel,$B3087)+SUMIF($B$746:$B$754,$B3087,AQ$746:AQ$754)</f>
        <v/>
      </c>
      <c r="AR3087" s="44">
        <f>SUMIFS(AR$1003:AR$3061,SecVar,"ener",SecFuel,$B3087)+SUMIF($B$746:$B$754,$B3087,AR$746:AR$754)</f>
        <v/>
      </c>
      <c r="AS3087" s="44">
        <f>SUMIFS(AS$1003:AS$3061,SecVar,"ener",SecFuel,$B3087)+SUMIF($B$746:$B$754,$B3087,AS$746:AS$754)</f>
        <v/>
      </c>
      <c r="AT3087" s="44">
        <f>SUMIFS(AT$1003:AT$3061,SecVar,"ener",SecFuel,$B3087)+SUMIF($B$746:$B$754,$B3087,AT$746:AT$754)</f>
        <v/>
      </c>
      <c r="AU3087" s="44">
        <f>SUMIFS(AU$1003:AU$3061,SecVar,"ener",SecFuel,$B3087)+SUMIF($B$746:$B$754,$B3087,AU$746:AU$754)</f>
        <v/>
      </c>
      <c r="AV3087" s="44">
        <f>SUMIFS(AV$1003:AV$3061,SecVar,"ener",SecFuel,$B3087)+SUMIF($B$746:$B$754,$B3087,AV$746:AV$754)</f>
        <v/>
      </c>
      <c r="AW3087" s="44">
        <f>SUMIFS(AW$1003:AW$3061,SecVar,"ener",SecFuel,$B3087)+SUMIF($B$746:$B$754,$B3087,AW$746:AW$754)</f>
        <v/>
      </c>
      <c r="AX3087" s="44">
        <f>SUMIFS(AX$1003:AX$3061,SecVar,"ener",SecFuel,$B3087)+SUMIF($B$746:$B$754,$B3087,AX$746:AX$754)</f>
        <v/>
      </c>
      <c r="AY3087" s="44">
        <f>SUMIFS(AY$1003:AY$3061,SecVar,"ener",SecFuel,$B3087)+SUMIF($B$746:$B$754,$B3087,AY$746:AY$754)</f>
        <v/>
      </c>
      <c r="AZ3087" s="44">
        <f>SUMIFS(AZ$1003:AZ$3061,SecVar,"ener",SecFuel,$B3087)+SUMIF($B$746:$B$754,$B3087,AZ$746:AZ$754)</f>
        <v/>
      </c>
      <c r="BA3087" s="44">
        <f>SUMIFS(BA$1003:BA$3061,SecVar,"ener",SecFuel,$B3087)+SUMIF($B$746:$B$754,$B3087,BA$746:BA$754)</f>
        <v/>
      </c>
    </row>
    <row r="3088" hidden="1" outlineLevel="1">
      <c r="A3088" s="14" t="inlineStr">
        <is>
          <t>ener</t>
        </is>
      </c>
      <c r="B3088" s="14" t="inlineStr">
        <is>
          <t>lpg</t>
        </is>
      </c>
      <c r="C3088" s="14" t="inlineStr">
        <is>
          <t>all</t>
        </is>
      </c>
      <c r="H3088" s="14">
        <f>INDEX(VarLab,MATCH($A3088,VarKey,0))&amp;INDEX(MemLab,MATCH($C3088&amp;"|"&amp;$B3088,MemKey,0))</f>
        <v/>
      </c>
      <c r="I3088" s="14">
        <f>INDEX(VarUnit,MATCH($A3088,VarKey,0))</f>
        <v/>
      </c>
      <c r="J3088" s="14">
        <f>INDEX(VarSrc,MATCH($A3088,VarKey,0))</f>
        <v/>
      </c>
      <c r="K3088" s="11">
        <f>CodePrefix&amp;$A3088&amp;IF($C3088="","","."&amp;$C3088&amp;"."&amp;$B3088)&amp;INDEX(VarEnd,MATCH($A3088,VarKey,0))&amp;K$5</f>
        <v/>
      </c>
      <c r="L3088" s="43">
        <f>SUMIFS(L$1003:L$3061,SecVar,"ener",SecFuel,$B3088)+SUMIF($B$746:$B$754,$B3088,L$746:L$754)</f>
        <v/>
      </c>
      <c r="M3088" s="44">
        <f>SUMIFS(M$1003:M$3061,SecVar,"ener",SecFuel,$B3088)+SUMIF($B$746:$B$754,$B3088,M$746:M$754)</f>
        <v/>
      </c>
      <c r="N3088" s="44">
        <f>SUMIFS(N$1003:N$3061,SecVar,"ener",SecFuel,$B3088)+SUMIF($B$746:$B$754,$B3088,N$746:N$754)</f>
        <v/>
      </c>
      <c r="O3088" s="44">
        <f>SUMIFS(O$1003:O$3061,SecVar,"ener",SecFuel,$B3088)+SUMIF($B$746:$B$754,$B3088,O$746:O$754)</f>
        <v/>
      </c>
      <c r="P3088" s="44">
        <f>SUMIFS(P$1003:P$3061,SecVar,"ener",SecFuel,$B3088)+SUMIF($B$746:$B$754,$B3088,P$746:P$754)</f>
        <v/>
      </c>
      <c r="Q3088" s="44">
        <f>SUMIFS(Q$1003:Q$3061,SecVar,"ener",SecFuel,$B3088)+SUMIF($B$746:$B$754,$B3088,Q$746:Q$754)</f>
        <v/>
      </c>
      <c r="R3088" s="44">
        <f>SUMIFS(R$1003:R$3061,SecVar,"ener",SecFuel,$B3088)+SUMIF($B$746:$B$754,$B3088,R$746:R$754)</f>
        <v/>
      </c>
      <c r="S3088" s="44">
        <f>SUMIFS(S$1003:S$3061,SecVar,"ener",SecFuel,$B3088)+SUMIF($B$746:$B$754,$B3088,S$746:S$754)</f>
        <v/>
      </c>
      <c r="T3088" s="44">
        <f>SUMIFS(T$1003:T$3061,SecVar,"ener",SecFuel,$B3088)+SUMIF($B$746:$B$754,$B3088,T$746:T$754)</f>
        <v/>
      </c>
      <c r="U3088" s="44">
        <f>SUMIFS(U$1003:U$3061,SecVar,"ener",SecFuel,$B3088)+SUMIF($B$746:$B$754,$B3088,U$746:U$754)</f>
        <v/>
      </c>
      <c r="V3088" s="44">
        <f>SUMIFS(V$1003:V$3061,SecVar,"ener",SecFuel,$B3088)+SUMIF($B$746:$B$754,$B3088,V$746:V$754)</f>
        <v/>
      </c>
      <c r="W3088" s="44">
        <f>SUMIFS(W$1003:W$3061,SecVar,"ener",SecFuel,$B3088)+SUMIF($B$746:$B$754,$B3088,W$746:W$754)</f>
        <v/>
      </c>
      <c r="X3088" s="44">
        <f>SUMIFS(X$1003:X$3061,SecVar,"ener",SecFuel,$B3088)+SUMIF($B$746:$B$754,$B3088,X$746:X$754)</f>
        <v/>
      </c>
      <c r="Y3088" s="44">
        <f>SUMIFS(Y$1003:Y$3061,SecVar,"ener",SecFuel,$B3088)+SUMIF($B$746:$B$754,$B3088,Y$746:Y$754)</f>
        <v/>
      </c>
      <c r="Z3088" s="44">
        <f>SUMIFS(Z$1003:Z$3061,SecVar,"ener",SecFuel,$B3088)+SUMIF($B$746:$B$754,$B3088,Z$746:Z$754)</f>
        <v/>
      </c>
      <c r="AA3088" s="44">
        <f>SUMIFS(AA$1003:AA$3061,SecVar,"ener",SecFuel,$B3088)+SUMIF($B$746:$B$754,$B3088,AA$746:AA$754)</f>
        <v/>
      </c>
      <c r="AB3088" s="44">
        <f>SUMIFS(AB$1003:AB$3061,SecVar,"ener",SecFuel,$B3088)+SUMIF($B$746:$B$754,$B3088,AB$746:AB$754)</f>
        <v/>
      </c>
      <c r="AC3088" s="44">
        <f>SUMIFS(AC$1003:AC$3061,SecVar,"ener",SecFuel,$B3088)+SUMIF($B$746:$B$754,$B3088,AC$746:AC$754)</f>
        <v/>
      </c>
      <c r="AD3088" s="44">
        <f>SUMIFS(AD$1003:AD$3061,SecVar,"ener",SecFuel,$B3088)+SUMIF($B$746:$B$754,$B3088,AD$746:AD$754)</f>
        <v/>
      </c>
      <c r="AE3088" s="44">
        <f>SUMIFS(AE$1003:AE$3061,SecVar,"ener",SecFuel,$B3088)+SUMIF($B$746:$B$754,$B3088,AE$746:AE$754)</f>
        <v/>
      </c>
      <c r="AG3088" s="11">
        <f>CodePrefix&amp;$A3088&amp;IF($C3088="","","."&amp;$C3088&amp;"."&amp;$B3088)&amp;INDEX(VarEnd,MATCH($A3088,VarKey,0))&amp;AG$5</f>
        <v/>
      </c>
      <c r="AH3088" s="43">
        <f>SUMIFS(AH$1003:AH$3061,SecVar,"ener",SecFuel,$B3088)+SUMIF($B$746:$B$754,$B3088,AH$746:AH$754)</f>
        <v/>
      </c>
      <c r="AI3088" s="44">
        <f>SUMIFS(AI$1003:AI$3061,SecVar,"ener",SecFuel,$B3088)+SUMIF($B$746:$B$754,$B3088,AI$746:AI$754)</f>
        <v/>
      </c>
      <c r="AJ3088" s="44">
        <f>SUMIFS(AJ$1003:AJ$3061,SecVar,"ener",SecFuel,$B3088)+SUMIF($B$746:$B$754,$B3088,AJ$746:AJ$754)</f>
        <v/>
      </c>
      <c r="AK3088" s="44">
        <f>SUMIFS(AK$1003:AK$3061,SecVar,"ener",SecFuel,$B3088)+SUMIF($B$746:$B$754,$B3088,AK$746:AK$754)</f>
        <v/>
      </c>
      <c r="AL3088" s="44">
        <f>SUMIFS(AL$1003:AL$3061,SecVar,"ener",SecFuel,$B3088)+SUMIF($B$746:$B$754,$B3088,AL$746:AL$754)</f>
        <v/>
      </c>
      <c r="AM3088" s="44">
        <f>SUMIFS(AM$1003:AM$3061,SecVar,"ener",SecFuel,$B3088)+SUMIF($B$746:$B$754,$B3088,AM$746:AM$754)</f>
        <v/>
      </c>
      <c r="AN3088" s="44">
        <f>SUMIFS(AN$1003:AN$3061,SecVar,"ener",SecFuel,$B3088)+SUMIF($B$746:$B$754,$B3088,AN$746:AN$754)</f>
        <v/>
      </c>
      <c r="AO3088" s="44">
        <f>SUMIFS(AO$1003:AO$3061,SecVar,"ener",SecFuel,$B3088)+SUMIF($B$746:$B$754,$B3088,AO$746:AO$754)</f>
        <v/>
      </c>
      <c r="AP3088" s="44">
        <f>SUMIFS(AP$1003:AP$3061,SecVar,"ener",SecFuel,$B3088)+SUMIF($B$746:$B$754,$B3088,AP$746:AP$754)</f>
        <v/>
      </c>
      <c r="AQ3088" s="44">
        <f>SUMIFS(AQ$1003:AQ$3061,SecVar,"ener",SecFuel,$B3088)+SUMIF($B$746:$B$754,$B3088,AQ$746:AQ$754)</f>
        <v/>
      </c>
      <c r="AR3088" s="44">
        <f>SUMIFS(AR$1003:AR$3061,SecVar,"ener",SecFuel,$B3088)+SUMIF($B$746:$B$754,$B3088,AR$746:AR$754)</f>
        <v/>
      </c>
      <c r="AS3088" s="44">
        <f>SUMIFS(AS$1003:AS$3061,SecVar,"ener",SecFuel,$B3088)+SUMIF($B$746:$B$754,$B3088,AS$746:AS$754)</f>
        <v/>
      </c>
      <c r="AT3088" s="44">
        <f>SUMIFS(AT$1003:AT$3061,SecVar,"ener",SecFuel,$B3088)+SUMIF($B$746:$B$754,$B3088,AT$746:AT$754)</f>
        <v/>
      </c>
      <c r="AU3088" s="44">
        <f>SUMIFS(AU$1003:AU$3061,SecVar,"ener",SecFuel,$B3088)+SUMIF($B$746:$B$754,$B3088,AU$746:AU$754)</f>
        <v/>
      </c>
      <c r="AV3088" s="44">
        <f>SUMIFS(AV$1003:AV$3061,SecVar,"ener",SecFuel,$B3088)+SUMIF($B$746:$B$754,$B3088,AV$746:AV$754)</f>
        <v/>
      </c>
      <c r="AW3088" s="44">
        <f>SUMIFS(AW$1003:AW$3061,SecVar,"ener",SecFuel,$B3088)+SUMIF($B$746:$B$754,$B3088,AW$746:AW$754)</f>
        <v/>
      </c>
      <c r="AX3088" s="44">
        <f>SUMIFS(AX$1003:AX$3061,SecVar,"ener",SecFuel,$B3088)+SUMIF($B$746:$B$754,$B3088,AX$746:AX$754)</f>
        <v/>
      </c>
      <c r="AY3088" s="44">
        <f>SUMIFS(AY$1003:AY$3061,SecVar,"ener",SecFuel,$B3088)+SUMIF($B$746:$B$754,$B3088,AY$746:AY$754)</f>
        <v/>
      </c>
      <c r="AZ3088" s="44">
        <f>SUMIFS(AZ$1003:AZ$3061,SecVar,"ener",SecFuel,$B3088)+SUMIF($B$746:$B$754,$B3088,AZ$746:AZ$754)</f>
        <v/>
      </c>
      <c r="BA3088" s="44">
        <f>SUMIFS(BA$1003:BA$3061,SecVar,"ener",SecFuel,$B3088)+SUMIF($B$746:$B$754,$B3088,BA$746:BA$754)</f>
        <v/>
      </c>
    </row>
    <row r="3089" hidden="1" outlineLevel="1">
      <c r="A3089" s="14" t="inlineStr">
        <is>
          <t>ener</t>
        </is>
      </c>
      <c r="B3089" s="14" t="inlineStr">
        <is>
          <t>ker</t>
        </is>
      </c>
      <c r="C3089" s="14" t="inlineStr">
        <is>
          <t>all</t>
        </is>
      </c>
      <c r="H3089" s="14">
        <f>INDEX(VarLab,MATCH($A3089,VarKey,0))&amp;INDEX(MemLab,MATCH($C3089&amp;"|"&amp;$B3089,MemKey,0))</f>
        <v/>
      </c>
      <c r="I3089" s="14">
        <f>INDEX(VarUnit,MATCH($A3089,VarKey,0))</f>
        <v/>
      </c>
      <c r="J3089" s="14">
        <f>INDEX(VarSrc,MATCH($A3089,VarKey,0))</f>
        <v/>
      </c>
      <c r="K3089" s="11">
        <f>CodePrefix&amp;$A3089&amp;IF($C3089="","","."&amp;$C3089&amp;"."&amp;$B3089)&amp;INDEX(VarEnd,MATCH($A3089,VarKey,0))&amp;K$5</f>
        <v/>
      </c>
      <c r="L3089" s="43">
        <f>SUMIFS(L$1003:L$3061,SecVar,"ener",SecFuel,$B3089)+SUMIF($B$746:$B$754,$B3089,L$746:L$754)</f>
        <v/>
      </c>
      <c r="M3089" s="44">
        <f>SUMIFS(M$1003:M$3061,SecVar,"ener",SecFuel,$B3089)+SUMIF($B$746:$B$754,$B3089,M$746:M$754)</f>
        <v/>
      </c>
      <c r="N3089" s="44">
        <f>SUMIFS(N$1003:N$3061,SecVar,"ener",SecFuel,$B3089)+SUMIF($B$746:$B$754,$B3089,N$746:N$754)</f>
        <v/>
      </c>
      <c r="O3089" s="44">
        <f>SUMIFS(O$1003:O$3061,SecVar,"ener",SecFuel,$B3089)+SUMIF($B$746:$B$754,$B3089,O$746:O$754)</f>
        <v/>
      </c>
      <c r="P3089" s="44">
        <f>SUMIFS(P$1003:P$3061,SecVar,"ener",SecFuel,$B3089)+SUMIF($B$746:$B$754,$B3089,P$746:P$754)</f>
        <v/>
      </c>
      <c r="Q3089" s="44">
        <f>SUMIFS(Q$1003:Q$3061,SecVar,"ener",SecFuel,$B3089)+SUMIF($B$746:$B$754,$B3089,Q$746:Q$754)</f>
        <v/>
      </c>
      <c r="R3089" s="44">
        <f>SUMIFS(R$1003:R$3061,SecVar,"ener",SecFuel,$B3089)+SUMIF($B$746:$B$754,$B3089,R$746:R$754)</f>
        <v/>
      </c>
      <c r="S3089" s="44">
        <f>SUMIFS(S$1003:S$3061,SecVar,"ener",SecFuel,$B3089)+SUMIF($B$746:$B$754,$B3089,S$746:S$754)</f>
        <v/>
      </c>
      <c r="T3089" s="44">
        <f>SUMIFS(T$1003:T$3061,SecVar,"ener",SecFuel,$B3089)+SUMIF($B$746:$B$754,$B3089,T$746:T$754)</f>
        <v/>
      </c>
      <c r="U3089" s="44">
        <f>SUMIFS(U$1003:U$3061,SecVar,"ener",SecFuel,$B3089)+SUMIF($B$746:$B$754,$B3089,U$746:U$754)</f>
        <v/>
      </c>
      <c r="V3089" s="44">
        <f>SUMIFS(V$1003:V$3061,SecVar,"ener",SecFuel,$B3089)+SUMIF($B$746:$B$754,$B3089,V$746:V$754)</f>
        <v/>
      </c>
      <c r="W3089" s="44">
        <f>SUMIFS(W$1003:W$3061,SecVar,"ener",SecFuel,$B3089)+SUMIF($B$746:$B$754,$B3089,W$746:W$754)</f>
        <v/>
      </c>
      <c r="X3089" s="44">
        <f>SUMIFS(X$1003:X$3061,SecVar,"ener",SecFuel,$B3089)+SUMIF($B$746:$B$754,$B3089,X$746:X$754)</f>
        <v/>
      </c>
      <c r="Y3089" s="44">
        <f>SUMIFS(Y$1003:Y$3061,SecVar,"ener",SecFuel,$B3089)+SUMIF($B$746:$B$754,$B3089,Y$746:Y$754)</f>
        <v/>
      </c>
      <c r="Z3089" s="44">
        <f>SUMIFS(Z$1003:Z$3061,SecVar,"ener",SecFuel,$B3089)+SUMIF($B$746:$B$754,$B3089,Z$746:Z$754)</f>
        <v/>
      </c>
      <c r="AA3089" s="44">
        <f>SUMIFS(AA$1003:AA$3061,SecVar,"ener",SecFuel,$B3089)+SUMIF($B$746:$B$754,$B3089,AA$746:AA$754)</f>
        <v/>
      </c>
      <c r="AB3089" s="44">
        <f>SUMIFS(AB$1003:AB$3061,SecVar,"ener",SecFuel,$B3089)+SUMIF($B$746:$B$754,$B3089,AB$746:AB$754)</f>
        <v/>
      </c>
      <c r="AC3089" s="44">
        <f>SUMIFS(AC$1003:AC$3061,SecVar,"ener",SecFuel,$B3089)+SUMIF($B$746:$B$754,$B3089,AC$746:AC$754)</f>
        <v/>
      </c>
      <c r="AD3089" s="44">
        <f>SUMIFS(AD$1003:AD$3061,SecVar,"ener",SecFuel,$B3089)+SUMIF($B$746:$B$754,$B3089,AD$746:AD$754)</f>
        <v/>
      </c>
      <c r="AE3089" s="44">
        <f>SUMIFS(AE$1003:AE$3061,SecVar,"ener",SecFuel,$B3089)+SUMIF($B$746:$B$754,$B3089,AE$746:AE$754)</f>
        <v/>
      </c>
      <c r="AG3089" s="11">
        <f>CodePrefix&amp;$A3089&amp;IF($C3089="","","."&amp;$C3089&amp;"."&amp;$B3089)&amp;INDEX(VarEnd,MATCH($A3089,VarKey,0))&amp;AG$5</f>
        <v/>
      </c>
      <c r="AH3089" s="43">
        <f>SUMIFS(AH$1003:AH$3061,SecVar,"ener",SecFuel,$B3089)+SUMIF($B$746:$B$754,$B3089,AH$746:AH$754)</f>
        <v/>
      </c>
      <c r="AI3089" s="44">
        <f>SUMIFS(AI$1003:AI$3061,SecVar,"ener",SecFuel,$B3089)+SUMIF($B$746:$B$754,$B3089,AI$746:AI$754)</f>
        <v/>
      </c>
      <c r="AJ3089" s="44">
        <f>SUMIFS(AJ$1003:AJ$3061,SecVar,"ener",SecFuel,$B3089)+SUMIF($B$746:$B$754,$B3089,AJ$746:AJ$754)</f>
        <v/>
      </c>
      <c r="AK3089" s="44">
        <f>SUMIFS(AK$1003:AK$3061,SecVar,"ener",SecFuel,$B3089)+SUMIF($B$746:$B$754,$B3089,AK$746:AK$754)</f>
        <v/>
      </c>
      <c r="AL3089" s="44">
        <f>SUMIFS(AL$1003:AL$3061,SecVar,"ener",SecFuel,$B3089)+SUMIF($B$746:$B$754,$B3089,AL$746:AL$754)</f>
        <v/>
      </c>
      <c r="AM3089" s="44">
        <f>SUMIFS(AM$1003:AM$3061,SecVar,"ener",SecFuel,$B3089)+SUMIF($B$746:$B$754,$B3089,AM$746:AM$754)</f>
        <v/>
      </c>
      <c r="AN3089" s="44">
        <f>SUMIFS(AN$1003:AN$3061,SecVar,"ener",SecFuel,$B3089)+SUMIF($B$746:$B$754,$B3089,AN$746:AN$754)</f>
        <v/>
      </c>
      <c r="AO3089" s="44">
        <f>SUMIFS(AO$1003:AO$3061,SecVar,"ener",SecFuel,$B3089)+SUMIF($B$746:$B$754,$B3089,AO$746:AO$754)</f>
        <v/>
      </c>
      <c r="AP3089" s="44">
        <f>SUMIFS(AP$1003:AP$3061,SecVar,"ener",SecFuel,$B3089)+SUMIF($B$746:$B$754,$B3089,AP$746:AP$754)</f>
        <v/>
      </c>
      <c r="AQ3089" s="44">
        <f>SUMIFS(AQ$1003:AQ$3061,SecVar,"ener",SecFuel,$B3089)+SUMIF($B$746:$B$754,$B3089,AQ$746:AQ$754)</f>
        <v/>
      </c>
      <c r="AR3089" s="44">
        <f>SUMIFS(AR$1003:AR$3061,SecVar,"ener",SecFuel,$B3089)+SUMIF($B$746:$B$754,$B3089,AR$746:AR$754)</f>
        <v/>
      </c>
      <c r="AS3089" s="44">
        <f>SUMIFS(AS$1003:AS$3061,SecVar,"ener",SecFuel,$B3089)+SUMIF($B$746:$B$754,$B3089,AS$746:AS$754)</f>
        <v/>
      </c>
      <c r="AT3089" s="44">
        <f>SUMIFS(AT$1003:AT$3061,SecVar,"ener",SecFuel,$B3089)+SUMIF($B$746:$B$754,$B3089,AT$746:AT$754)</f>
        <v/>
      </c>
      <c r="AU3089" s="44">
        <f>SUMIFS(AU$1003:AU$3061,SecVar,"ener",SecFuel,$B3089)+SUMIF($B$746:$B$754,$B3089,AU$746:AU$754)</f>
        <v/>
      </c>
      <c r="AV3089" s="44">
        <f>SUMIFS(AV$1003:AV$3061,SecVar,"ener",SecFuel,$B3089)+SUMIF($B$746:$B$754,$B3089,AV$746:AV$754)</f>
        <v/>
      </c>
      <c r="AW3089" s="44">
        <f>SUMIFS(AW$1003:AW$3061,SecVar,"ener",SecFuel,$B3089)+SUMIF($B$746:$B$754,$B3089,AW$746:AW$754)</f>
        <v/>
      </c>
      <c r="AX3089" s="44">
        <f>SUMIFS(AX$1003:AX$3061,SecVar,"ener",SecFuel,$B3089)+SUMIF($B$746:$B$754,$B3089,AX$746:AX$754)</f>
        <v/>
      </c>
      <c r="AY3089" s="44">
        <f>SUMIFS(AY$1003:AY$3061,SecVar,"ener",SecFuel,$B3089)+SUMIF($B$746:$B$754,$B3089,AY$746:AY$754)</f>
        <v/>
      </c>
      <c r="AZ3089" s="44">
        <f>SUMIFS(AZ$1003:AZ$3061,SecVar,"ener",SecFuel,$B3089)+SUMIF($B$746:$B$754,$B3089,AZ$746:AZ$754)</f>
        <v/>
      </c>
      <c r="BA3089" s="44">
        <f>SUMIFS(BA$1003:BA$3061,SecVar,"ener",SecFuel,$B3089)+SUMIF($B$746:$B$754,$B3089,BA$746:BA$754)</f>
        <v/>
      </c>
    </row>
    <row r="3090" hidden="1" outlineLevel="1">
      <c r="A3090" s="14" t="inlineStr">
        <is>
          <t>ener</t>
        </is>
      </c>
      <c r="B3090" s="14" t="inlineStr">
        <is>
          <t>oop</t>
        </is>
      </c>
      <c r="C3090" s="14" t="inlineStr">
        <is>
          <t>all</t>
        </is>
      </c>
      <c r="H3090" s="14">
        <f>INDEX(VarLab,MATCH($A3090,VarKey,0))&amp;INDEX(MemLab,MATCH($C3090&amp;"|"&amp;$B3090,MemKey,0))</f>
        <v/>
      </c>
      <c r="I3090" s="14">
        <f>INDEX(VarUnit,MATCH($A3090,VarKey,0))</f>
        <v/>
      </c>
      <c r="J3090" s="14">
        <f>INDEX(VarSrc,MATCH($A3090,VarKey,0))</f>
        <v/>
      </c>
      <c r="K3090" s="11">
        <f>CodePrefix&amp;$A3090&amp;IF($C3090="","","."&amp;$C3090&amp;"."&amp;$B3090)&amp;INDEX(VarEnd,MATCH($A3090,VarKey,0))&amp;K$5</f>
        <v/>
      </c>
      <c r="L3090" s="43">
        <f>SUMIFS(L$1003:L$3061,SecVar,"ener",SecFuel,$B3090)+SUMIF($B$746:$B$754,$B3090,L$746:L$754)</f>
        <v/>
      </c>
      <c r="M3090" s="44">
        <f>SUMIFS(M$1003:M$3061,SecVar,"ener",SecFuel,$B3090)+SUMIF($B$746:$B$754,$B3090,M$746:M$754)</f>
        <v/>
      </c>
      <c r="N3090" s="44">
        <f>SUMIFS(N$1003:N$3061,SecVar,"ener",SecFuel,$B3090)+SUMIF($B$746:$B$754,$B3090,N$746:N$754)</f>
        <v/>
      </c>
      <c r="O3090" s="44">
        <f>SUMIFS(O$1003:O$3061,SecVar,"ener",SecFuel,$B3090)+SUMIF($B$746:$B$754,$B3090,O$746:O$754)</f>
        <v/>
      </c>
      <c r="P3090" s="44">
        <f>SUMIFS(P$1003:P$3061,SecVar,"ener",SecFuel,$B3090)+SUMIF($B$746:$B$754,$B3090,P$746:P$754)</f>
        <v/>
      </c>
      <c r="Q3090" s="44">
        <f>SUMIFS(Q$1003:Q$3061,SecVar,"ener",SecFuel,$B3090)+SUMIF($B$746:$B$754,$B3090,Q$746:Q$754)</f>
        <v/>
      </c>
      <c r="R3090" s="44">
        <f>SUMIFS(R$1003:R$3061,SecVar,"ener",SecFuel,$B3090)+SUMIF($B$746:$B$754,$B3090,R$746:R$754)</f>
        <v/>
      </c>
      <c r="S3090" s="44">
        <f>SUMIFS(S$1003:S$3061,SecVar,"ener",SecFuel,$B3090)+SUMIF($B$746:$B$754,$B3090,S$746:S$754)</f>
        <v/>
      </c>
      <c r="T3090" s="44">
        <f>SUMIFS(T$1003:T$3061,SecVar,"ener",SecFuel,$B3090)+SUMIF($B$746:$B$754,$B3090,T$746:T$754)</f>
        <v/>
      </c>
      <c r="U3090" s="44">
        <f>SUMIFS(U$1003:U$3061,SecVar,"ener",SecFuel,$B3090)+SUMIF($B$746:$B$754,$B3090,U$746:U$754)</f>
        <v/>
      </c>
      <c r="V3090" s="44">
        <f>SUMIFS(V$1003:V$3061,SecVar,"ener",SecFuel,$B3090)+SUMIF($B$746:$B$754,$B3090,V$746:V$754)</f>
        <v/>
      </c>
      <c r="W3090" s="44">
        <f>SUMIFS(W$1003:W$3061,SecVar,"ener",SecFuel,$B3090)+SUMIF($B$746:$B$754,$B3090,W$746:W$754)</f>
        <v/>
      </c>
      <c r="X3090" s="44">
        <f>SUMIFS(X$1003:X$3061,SecVar,"ener",SecFuel,$B3090)+SUMIF($B$746:$B$754,$B3090,X$746:X$754)</f>
        <v/>
      </c>
      <c r="Y3090" s="44">
        <f>SUMIFS(Y$1003:Y$3061,SecVar,"ener",SecFuel,$B3090)+SUMIF($B$746:$B$754,$B3090,Y$746:Y$754)</f>
        <v/>
      </c>
      <c r="Z3090" s="44">
        <f>SUMIFS(Z$1003:Z$3061,SecVar,"ener",SecFuel,$B3090)+SUMIF($B$746:$B$754,$B3090,Z$746:Z$754)</f>
        <v/>
      </c>
      <c r="AA3090" s="44">
        <f>SUMIFS(AA$1003:AA$3061,SecVar,"ener",SecFuel,$B3090)+SUMIF($B$746:$B$754,$B3090,AA$746:AA$754)</f>
        <v/>
      </c>
      <c r="AB3090" s="44">
        <f>SUMIFS(AB$1003:AB$3061,SecVar,"ener",SecFuel,$B3090)+SUMIF($B$746:$B$754,$B3090,AB$746:AB$754)</f>
        <v/>
      </c>
      <c r="AC3090" s="44">
        <f>SUMIFS(AC$1003:AC$3061,SecVar,"ener",SecFuel,$B3090)+SUMIF($B$746:$B$754,$B3090,AC$746:AC$754)</f>
        <v/>
      </c>
      <c r="AD3090" s="44">
        <f>SUMIFS(AD$1003:AD$3061,SecVar,"ener",SecFuel,$B3090)+SUMIF($B$746:$B$754,$B3090,AD$746:AD$754)</f>
        <v/>
      </c>
      <c r="AE3090" s="44">
        <f>SUMIFS(AE$1003:AE$3061,SecVar,"ener",SecFuel,$B3090)+SUMIF($B$746:$B$754,$B3090,AE$746:AE$754)</f>
        <v/>
      </c>
      <c r="AG3090" s="11">
        <f>CodePrefix&amp;$A3090&amp;IF($C3090="","","."&amp;$C3090&amp;"."&amp;$B3090)&amp;INDEX(VarEnd,MATCH($A3090,VarKey,0))&amp;AG$5</f>
        <v/>
      </c>
      <c r="AH3090" s="43">
        <f>SUMIFS(AH$1003:AH$3061,SecVar,"ener",SecFuel,$B3090)+SUMIF($B$746:$B$754,$B3090,AH$746:AH$754)</f>
        <v/>
      </c>
      <c r="AI3090" s="44">
        <f>SUMIFS(AI$1003:AI$3061,SecVar,"ener",SecFuel,$B3090)+SUMIF($B$746:$B$754,$B3090,AI$746:AI$754)</f>
        <v/>
      </c>
      <c r="AJ3090" s="44">
        <f>SUMIFS(AJ$1003:AJ$3061,SecVar,"ener",SecFuel,$B3090)+SUMIF($B$746:$B$754,$B3090,AJ$746:AJ$754)</f>
        <v/>
      </c>
      <c r="AK3090" s="44">
        <f>SUMIFS(AK$1003:AK$3061,SecVar,"ener",SecFuel,$B3090)+SUMIF($B$746:$B$754,$B3090,AK$746:AK$754)</f>
        <v/>
      </c>
      <c r="AL3090" s="44">
        <f>SUMIFS(AL$1003:AL$3061,SecVar,"ener",SecFuel,$B3090)+SUMIF($B$746:$B$754,$B3090,AL$746:AL$754)</f>
        <v/>
      </c>
      <c r="AM3090" s="44">
        <f>SUMIFS(AM$1003:AM$3061,SecVar,"ener",SecFuel,$B3090)+SUMIF($B$746:$B$754,$B3090,AM$746:AM$754)</f>
        <v/>
      </c>
      <c r="AN3090" s="44">
        <f>SUMIFS(AN$1003:AN$3061,SecVar,"ener",SecFuel,$B3090)+SUMIF($B$746:$B$754,$B3090,AN$746:AN$754)</f>
        <v/>
      </c>
      <c r="AO3090" s="44">
        <f>SUMIFS(AO$1003:AO$3061,SecVar,"ener",SecFuel,$B3090)+SUMIF($B$746:$B$754,$B3090,AO$746:AO$754)</f>
        <v/>
      </c>
      <c r="AP3090" s="44">
        <f>SUMIFS(AP$1003:AP$3061,SecVar,"ener",SecFuel,$B3090)+SUMIF($B$746:$B$754,$B3090,AP$746:AP$754)</f>
        <v/>
      </c>
      <c r="AQ3090" s="44">
        <f>SUMIFS(AQ$1003:AQ$3061,SecVar,"ener",SecFuel,$B3090)+SUMIF($B$746:$B$754,$B3090,AQ$746:AQ$754)</f>
        <v/>
      </c>
      <c r="AR3090" s="44">
        <f>SUMIFS(AR$1003:AR$3061,SecVar,"ener",SecFuel,$B3090)+SUMIF($B$746:$B$754,$B3090,AR$746:AR$754)</f>
        <v/>
      </c>
      <c r="AS3090" s="44">
        <f>SUMIFS(AS$1003:AS$3061,SecVar,"ener",SecFuel,$B3090)+SUMIF($B$746:$B$754,$B3090,AS$746:AS$754)</f>
        <v/>
      </c>
      <c r="AT3090" s="44">
        <f>SUMIFS(AT$1003:AT$3061,SecVar,"ener",SecFuel,$B3090)+SUMIF($B$746:$B$754,$B3090,AT$746:AT$754)</f>
        <v/>
      </c>
      <c r="AU3090" s="44">
        <f>SUMIFS(AU$1003:AU$3061,SecVar,"ener",SecFuel,$B3090)+SUMIF($B$746:$B$754,$B3090,AU$746:AU$754)</f>
        <v/>
      </c>
      <c r="AV3090" s="44">
        <f>SUMIFS(AV$1003:AV$3061,SecVar,"ener",SecFuel,$B3090)+SUMIF($B$746:$B$754,$B3090,AV$746:AV$754)</f>
        <v/>
      </c>
      <c r="AW3090" s="44">
        <f>SUMIFS(AW$1003:AW$3061,SecVar,"ener",SecFuel,$B3090)+SUMIF($B$746:$B$754,$B3090,AW$746:AW$754)</f>
        <v/>
      </c>
      <c r="AX3090" s="44">
        <f>SUMIFS(AX$1003:AX$3061,SecVar,"ener",SecFuel,$B3090)+SUMIF($B$746:$B$754,$B3090,AX$746:AX$754)</f>
        <v/>
      </c>
      <c r="AY3090" s="44">
        <f>SUMIFS(AY$1003:AY$3061,SecVar,"ener",SecFuel,$B3090)+SUMIF($B$746:$B$754,$B3090,AY$746:AY$754)</f>
        <v/>
      </c>
      <c r="AZ3090" s="44">
        <f>SUMIFS(AZ$1003:AZ$3061,SecVar,"ener",SecFuel,$B3090)+SUMIF($B$746:$B$754,$B3090,AZ$746:AZ$754)</f>
        <v/>
      </c>
      <c r="BA3090" s="44">
        <f>SUMIFS(BA$1003:BA$3061,SecVar,"ener",SecFuel,$B3090)+SUMIF($B$746:$B$754,$B3090,BA$746:BA$754)</f>
        <v/>
      </c>
    </row>
    <row r="3091" hidden="1" outlineLevel="1">
      <c r="A3091" s="14" t="inlineStr">
        <is>
          <t>ener</t>
        </is>
      </c>
      <c r="B3091" s="14" t="inlineStr">
        <is>
          <t>bio</t>
        </is>
      </c>
      <c r="C3091" s="14" t="inlineStr">
        <is>
          <t>all</t>
        </is>
      </c>
      <c r="H3091" s="14">
        <f>INDEX(VarLab,MATCH($A3091,VarKey,0))&amp;INDEX(MemLab,MATCH($C3091&amp;"|"&amp;$B3091,MemKey,0))</f>
        <v/>
      </c>
      <c r="I3091" s="14">
        <f>INDEX(VarUnit,MATCH($A3091,VarKey,0))</f>
        <v/>
      </c>
      <c r="J3091" s="14">
        <f>INDEX(VarSrc,MATCH($A3091,VarKey,0))</f>
        <v/>
      </c>
      <c r="K3091" s="11">
        <f>CodePrefix&amp;$A3091&amp;IF($C3091="","","."&amp;$C3091&amp;"."&amp;$B3091)&amp;INDEX(VarEnd,MATCH($A3091,VarKey,0))&amp;K$5</f>
        <v/>
      </c>
      <c r="L3091" s="43">
        <f>SUMIFS(L$1003:L$3061,SecVar,"ener",SecFuel,$B3091)+SUMIF($B$746:$B$754,$B3091,L$746:L$754)</f>
        <v/>
      </c>
      <c r="M3091" s="44">
        <f>SUMIFS(M$1003:M$3061,SecVar,"ener",SecFuel,$B3091)+SUMIF($B$746:$B$754,$B3091,M$746:M$754)</f>
        <v/>
      </c>
      <c r="N3091" s="44">
        <f>SUMIFS(N$1003:N$3061,SecVar,"ener",SecFuel,$B3091)+SUMIF($B$746:$B$754,$B3091,N$746:N$754)</f>
        <v/>
      </c>
      <c r="O3091" s="44">
        <f>SUMIFS(O$1003:O$3061,SecVar,"ener",SecFuel,$B3091)+SUMIF($B$746:$B$754,$B3091,O$746:O$754)</f>
        <v/>
      </c>
      <c r="P3091" s="44">
        <f>SUMIFS(P$1003:P$3061,SecVar,"ener",SecFuel,$B3091)+SUMIF($B$746:$B$754,$B3091,P$746:P$754)</f>
        <v/>
      </c>
      <c r="Q3091" s="44">
        <f>SUMIFS(Q$1003:Q$3061,SecVar,"ener",SecFuel,$B3091)+SUMIF($B$746:$B$754,$B3091,Q$746:Q$754)</f>
        <v/>
      </c>
      <c r="R3091" s="44">
        <f>SUMIFS(R$1003:R$3061,SecVar,"ener",SecFuel,$B3091)+SUMIF($B$746:$B$754,$B3091,R$746:R$754)</f>
        <v/>
      </c>
      <c r="S3091" s="44">
        <f>SUMIFS(S$1003:S$3061,SecVar,"ener",SecFuel,$B3091)+SUMIF($B$746:$B$754,$B3091,S$746:S$754)</f>
        <v/>
      </c>
      <c r="T3091" s="44">
        <f>SUMIFS(T$1003:T$3061,SecVar,"ener",SecFuel,$B3091)+SUMIF($B$746:$B$754,$B3091,T$746:T$754)</f>
        <v/>
      </c>
      <c r="U3091" s="44">
        <f>SUMIFS(U$1003:U$3061,SecVar,"ener",SecFuel,$B3091)+SUMIF($B$746:$B$754,$B3091,U$746:U$754)</f>
        <v/>
      </c>
      <c r="V3091" s="44">
        <f>SUMIFS(V$1003:V$3061,SecVar,"ener",SecFuel,$B3091)+SUMIF($B$746:$B$754,$B3091,V$746:V$754)</f>
        <v/>
      </c>
      <c r="W3091" s="44">
        <f>SUMIFS(W$1003:W$3061,SecVar,"ener",SecFuel,$B3091)+SUMIF($B$746:$B$754,$B3091,W$746:W$754)</f>
        <v/>
      </c>
      <c r="X3091" s="44">
        <f>SUMIFS(X$1003:X$3061,SecVar,"ener",SecFuel,$B3091)+SUMIF($B$746:$B$754,$B3091,X$746:X$754)</f>
        <v/>
      </c>
      <c r="Y3091" s="44">
        <f>SUMIFS(Y$1003:Y$3061,SecVar,"ener",SecFuel,$B3091)+SUMIF($B$746:$B$754,$B3091,Y$746:Y$754)</f>
        <v/>
      </c>
      <c r="Z3091" s="44">
        <f>SUMIFS(Z$1003:Z$3061,SecVar,"ener",SecFuel,$B3091)+SUMIF($B$746:$B$754,$B3091,Z$746:Z$754)</f>
        <v/>
      </c>
      <c r="AA3091" s="44">
        <f>SUMIFS(AA$1003:AA$3061,SecVar,"ener",SecFuel,$B3091)+SUMIF($B$746:$B$754,$B3091,AA$746:AA$754)</f>
        <v/>
      </c>
      <c r="AB3091" s="44">
        <f>SUMIFS(AB$1003:AB$3061,SecVar,"ener",SecFuel,$B3091)+SUMIF($B$746:$B$754,$B3091,AB$746:AB$754)</f>
        <v/>
      </c>
      <c r="AC3091" s="44">
        <f>SUMIFS(AC$1003:AC$3061,SecVar,"ener",SecFuel,$B3091)+SUMIF($B$746:$B$754,$B3091,AC$746:AC$754)</f>
        <v/>
      </c>
      <c r="AD3091" s="44">
        <f>SUMIFS(AD$1003:AD$3061,SecVar,"ener",SecFuel,$B3091)+SUMIF($B$746:$B$754,$B3091,AD$746:AD$754)</f>
        <v/>
      </c>
      <c r="AE3091" s="44">
        <f>SUMIFS(AE$1003:AE$3061,SecVar,"ener",SecFuel,$B3091)+SUMIF($B$746:$B$754,$B3091,AE$746:AE$754)</f>
        <v/>
      </c>
      <c r="AG3091" s="11">
        <f>CodePrefix&amp;$A3091&amp;IF($C3091="","","."&amp;$C3091&amp;"."&amp;$B3091)&amp;INDEX(VarEnd,MATCH($A3091,VarKey,0))&amp;AG$5</f>
        <v/>
      </c>
      <c r="AH3091" s="43">
        <f>SUMIFS(AH$1003:AH$3061,SecVar,"ener",SecFuel,$B3091)+SUMIF($B$746:$B$754,$B3091,AH$746:AH$754)</f>
        <v/>
      </c>
      <c r="AI3091" s="44">
        <f>SUMIFS(AI$1003:AI$3061,SecVar,"ener",SecFuel,$B3091)+SUMIF($B$746:$B$754,$B3091,AI$746:AI$754)</f>
        <v/>
      </c>
      <c r="AJ3091" s="44">
        <f>SUMIFS(AJ$1003:AJ$3061,SecVar,"ener",SecFuel,$B3091)+SUMIF($B$746:$B$754,$B3091,AJ$746:AJ$754)</f>
        <v/>
      </c>
      <c r="AK3091" s="44">
        <f>SUMIFS(AK$1003:AK$3061,SecVar,"ener",SecFuel,$B3091)+SUMIF($B$746:$B$754,$B3091,AK$746:AK$754)</f>
        <v/>
      </c>
      <c r="AL3091" s="44">
        <f>SUMIFS(AL$1003:AL$3061,SecVar,"ener",SecFuel,$B3091)+SUMIF($B$746:$B$754,$B3091,AL$746:AL$754)</f>
        <v/>
      </c>
      <c r="AM3091" s="44">
        <f>SUMIFS(AM$1003:AM$3061,SecVar,"ener",SecFuel,$B3091)+SUMIF($B$746:$B$754,$B3091,AM$746:AM$754)</f>
        <v/>
      </c>
      <c r="AN3091" s="44">
        <f>SUMIFS(AN$1003:AN$3061,SecVar,"ener",SecFuel,$B3091)+SUMIF($B$746:$B$754,$B3091,AN$746:AN$754)</f>
        <v/>
      </c>
      <c r="AO3091" s="44">
        <f>SUMIFS(AO$1003:AO$3061,SecVar,"ener",SecFuel,$B3091)+SUMIF($B$746:$B$754,$B3091,AO$746:AO$754)</f>
        <v/>
      </c>
      <c r="AP3091" s="44">
        <f>SUMIFS(AP$1003:AP$3061,SecVar,"ener",SecFuel,$B3091)+SUMIF($B$746:$B$754,$B3091,AP$746:AP$754)</f>
        <v/>
      </c>
      <c r="AQ3091" s="44">
        <f>SUMIFS(AQ$1003:AQ$3061,SecVar,"ener",SecFuel,$B3091)+SUMIF($B$746:$B$754,$B3091,AQ$746:AQ$754)</f>
        <v/>
      </c>
      <c r="AR3091" s="44">
        <f>SUMIFS(AR$1003:AR$3061,SecVar,"ener",SecFuel,$B3091)+SUMIF($B$746:$B$754,$B3091,AR$746:AR$754)</f>
        <v/>
      </c>
      <c r="AS3091" s="44">
        <f>SUMIFS(AS$1003:AS$3061,SecVar,"ener",SecFuel,$B3091)+SUMIF($B$746:$B$754,$B3091,AS$746:AS$754)</f>
        <v/>
      </c>
      <c r="AT3091" s="44">
        <f>SUMIFS(AT$1003:AT$3061,SecVar,"ener",SecFuel,$B3091)+SUMIF($B$746:$B$754,$B3091,AT$746:AT$754)</f>
        <v/>
      </c>
      <c r="AU3091" s="44">
        <f>SUMIFS(AU$1003:AU$3061,SecVar,"ener",SecFuel,$B3091)+SUMIF($B$746:$B$754,$B3091,AU$746:AU$754)</f>
        <v/>
      </c>
      <c r="AV3091" s="44">
        <f>SUMIFS(AV$1003:AV$3061,SecVar,"ener",SecFuel,$B3091)+SUMIF($B$746:$B$754,$B3091,AV$746:AV$754)</f>
        <v/>
      </c>
      <c r="AW3091" s="44">
        <f>SUMIFS(AW$1003:AW$3061,SecVar,"ener",SecFuel,$B3091)+SUMIF($B$746:$B$754,$B3091,AW$746:AW$754)</f>
        <v/>
      </c>
      <c r="AX3091" s="44">
        <f>SUMIFS(AX$1003:AX$3061,SecVar,"ener",SecFuel,$B3091)+SUMIF($B$746:$B$754,$B3091,AX$746:AX$754)</f>
        <v/>
      </c>
      <c r="AY3091" s="44">
        <f>SUMIFS(AY$1003:AY$3061,SecVar,"ener",SecFuel,$B3091)+SUMIF($B$746:$B$754,$B3091,AY$746:AY$754)</f>
        <v/>
      </c>
      <c r="AZ3091" s="44">
        <f>SUMIFS(AZ$1003:AZ$3061,SecVar,"ener",SecFuel,$B3091)+SUMIF($B$746:$B$754,$B3091,AZ$746:AZ$754)</f>
        <v/>
      </c>
      <c r="BA3091" s="44">
        <f>SUMIFS(BA$1003:BA$3061,SecVar,"ener",SecFuel,$B3091)+SUMIF($B$746:$B$754,$B3091,BA$746:BA$754)</f>
        <v/>
      </c>
    </row>
    <row r="3092" hidden="1" outlineLevel="1"/>
    <row r="3093" hidden="1" outlineLevel="1">
      <c r="A3093" s="1" t="inlineStr">
        <is>
          <t>ener.chk</t>
        </is>
      </c>
      <c r="B3093" s="1" t="inlineStr"/>
      <c r="C3093" s="1" t="inlineStr"/>
      <c r="H3093" s="1">
        <f>INDEX(VarLab,MATCH($A3093,VarKey,0))&amp;INDEX(MemLab,MATCH($C3093&amp;"|"&amp;$B3093,MemKey,0))</f>
        <v/>
      </c>
      <c r="I3093" s="1">
        <f>INDEX(VarUnit,MATCH($A3093,VarKey,0))</f>
        <v/>
      </c>
      <c r="J3093" s="1">
        <f>INDEX(VarSrc,MATCH($A3093,VarKey,0))</f>
        <v/>
      </c>
      <c r="K3093" s="11">
        <f>CodePrefix&amp;$A3093&amp;IF($C3093="","","."&amp;$C3093&amp;"."&amp;$B3093)&amp;INDEX(VarEnd,MATCH($A3093,VarKey,0))&amp;K$5</f>
        <v/>
      </c>
      <c r="L3093" s="73">
        <f>ABS(SUM(L3066:L3082)-L3064)+ABS(SUM(L3084:L3091)-L3064)</f>
        <v/>
      </c>
      <c r="M3093" s="73">
        <f>ABS(SUM(M3066:M3082)-M3064)+ABS(SUM(M3084:M3091)-M3064)</f>
        <v/>
      </c>
      <c r="N3093" s="73">
        <f>ABS(SUM(N3066:N3082)-N3064)+ABS(SUM(N3084:N3091)-N3064)</f>
        <v/>
      </c>
      <c r="O3093" s="73">
        <f>ABS(SUM(O3066:O3082)-O3064)+ABS(SUM(O3084:O3091)-O3064)</f>
        <v/>
      </c>
      <c r="P3093" s="73">
        <f>ABS(SUM(P3066:P3082)-P3064)+ABS(SUM(P3084:P3091)-P3064)</f>
        <v/>
      </c>
      <c r="Q3093" s="73">
        <f>ABS(SUM(Q3066:Q3082)-Q3064)+ABS(SUM(Q3084:Q3091)-Q3064)</f>
        <v/>
      </c>
      <c r="R3093" s="73">
        <f>ABS(SUM(R3066:R3082)-R3064)+ABS(SUM(R3084:R3091)-R3064)</f>
        <v/>
      </c>
      <c r="S3093" s="73">
        <f>ABS(SUM(S3066:S3082)-S3064)+ABS(SUM(S3084:S3091)-S3064)</f>
        <v/>
      </c>
      <c r="T3093" s="73">
        <f>ABS(SUM(T3066:T3082)-T3064)+ABS(SUM(T3084:T3091)-T3064)</f>
        <v/>
      </c>
      <c r="U3093" s="73">
        <f>ABS(SUM(U3066:U3082)-U3064)+ABS(SUM(U3084:U3091)-U3064)</f>
        <v/>
      </c>
      <c r="V3093" s="73">
        <f>ABS(SUM(V3066:V3082)-V3064)+ABS(SUM(V3084:V3091)-V3064)</f>
        <v/>
      </c>
      <c r="W3093" s="73">
        <f>ABS(SUM(W3066:W3082)-W3064)+ABS(SUM(W3084:W3091)-W3064)</f>
        <v/>
      </c>
      <c r="X3093" s="73">
        <f>ABS(SUM(X3066:X3082)-X3064)+ABS(SUM(X3084:X3091)-X3064)</f>
        <v/>
      </c>
      <c r="Y3093" s="73">
        <f>ABS(SUM(Y3066:Y3082)-Y3064)+ABS(SUM(Y3084:Y3091)-Y3064)</f>
        <v/>
      </c>
      <c r="Z3093" s="73">
        <f>ABS(SUM(Z3066:Z3082)-Z3064)+ABS(SUM(Z3084:Z3091)-Z3064)</f>
        <v/>
      </c>
      <c r="AA3093" s="73">
        <f>ABS(SUM(AA3066:AA3082)-AA3064)+ABS(SUM(AA3084:AA3091)-AA3064)</f>
        <v/>
      </c>
      <c r="AB3093" s="73">
        <f>ABS(SUM(AB3066:AB3082)-AB3064)+ABS(SUM(AB3084:AB3091)-AB3064)</f>
        <v/>
      </c>
      <c r="AC3093" s="73">
        <f>ABS(SUM(AC3066:AC3082)-AC3064)+ABS(SUM(AC3084:AC3091)-AC3064)</f>
        <v/>
      </c>
      <c r="AD3093" s="73">
        <f>ABS(SUM(AD3066:AD3082)-AD3064)+ABS(SUM(AD3084:AD3091)-AD3064)</f>
        <v/>
      </c>
      <c r="AE3093" s="73">
        <f>ABS(SUM(AE3066:AE3082)-AE3064)+ABS(SUM(AE3084:AE3091)-AE3064)</f>
        <v/>
      </c>
      <c r="AG3093" s="11">
        <f>CodePrefix&amp;$A3093&amp;IF($C3093="","","."&amp;$C3093&amp;"."&amp;$B3093)&amp;INDEX(VarEnd,MATCH($A3093,VarKey,0))&amp;AG$5</f>
        <v/>
      </c>
      <c r="AH3093" s="73">
        <f>ABS(SUM(AH3066:AH3082)-AH3064)+ABS(SUM(AH3084:AH3091)-AH3064)</f>
        <v/>
      </c>
      <c r="AI3093" s="73">
        <f>ABS(SUM(AI3066:AI3082)-AI3064)+ABS(SUM(AI3084:AI3091)-AI3064)</f>
        <v/>
      </c>
      <c r="AJ3093" s="73">
        <f>ABS(SUM(AJ3066:AJ3082)-AJ3064)+ABS(SUM(AJ3084:AJ3091)-AJ3064)</f>
        <v/>
      </c>
      <c r="AK3093" s="73">
        <f>ABS(SUM(AK3066:AK3082)-AK3064)+ABS(SUM(AK3084:AK3091)-AK3064)</f>
        <v/>
      </c>
      <c r="AL3093" s="73">
        <f>ABS(SUM(AL3066:AL3082)-AL3064)+ABS(SUM(AL3084:AL3091)-AL3064)</f>
        <v/>
      </c>
      <c r="AM3093" s="73">
        <f>ABS(SUM(AM3066:AM3082)-AM3064)+ABS(SUM(AM3084:AM3091)-AM3064)</f>
        <v/>
      </c>
      <c r="AN3093" s="73">
        <f>ABS(SUM(AN3066:AN3082)-AN3064)+ABS(SUM(AN3084:AN3091)-AN3064)</f>
        <v/>
      </c>
      <c r="AO3093" s="73">
        <f>ABS(SUM(AO3066:AO3082)-AO3064)+ABS(SUM(AO3084:AO3091)-AO3064)</f>
        <v/>
      </c>
      <c r="AP3093" s="73">
        <f>ABS(SUM(AP3066:AP3082)-AP3064)+ABS(SUM(AP3084:AP3091)-AP3064)</f>
        <v/>
      </c>
      <c r="AQ3093" s="73">
        <f>ABS(SUM(AQ3066:AQ3082)-AQ3064)+ABS(SUM(AQ3084:AQ3091)-AQ3064)</f>
        <v/>
      </c>
      <c r="AR3093" s="73">
        <f>ABS(SUM(AR3066:AR3082)-AR3064)+ABS(SUM(AR3084:AR3091)-AR3064)</f>
        <v/>
      </c>
      <c r="AS3093" s="73">
        <f>ABS(SUM(AS3066:AS3082)-AS3064)+ABS(SUM(AS3084:AS3091)-AS3064)</f>
        <v/>
      </c>
      <c r="AT3093" s="73">
        <f>ABS(SUM(AT3066:AT3082)-AT3064)+ABS(SUM(AT3084:AT3091)-AT3064)</f>
        <v/>
      </c>
      <c r="AU3093" s="73">
        <f>ABS(SUM(AU3066:AU3082)-AU3064)+ABS(SUM(AU3084:AU3091)-AU3064)</f>
        <v/>
      </c>
      <c r="AV3093" s="73">
        <f>ABS(SUM(AV3066:AV3082)-AV3064)+ABS(SUM(AV3084:AV3091)-AV3064)</f>
        <v/>
      </c>
      <c r="AW3093" s="73">
        <f>ABS(SUM(AW3066:AW3082)-AW3064)+ABS(SUM(AW3084:AW3091)-AW3064)</f>
        <v/>
      </c>
      <c r="AX3093" s="73">
        <f>ABS(SUM(AX3066:AX3082)-AX3064)+ABS(SUM(AX3084:AX3091)-AX3064)</f>
        <v/>
      </c>
      <c r="AY3093" s="73">
        <f>ABS(SUM(AY3066:AY3082)-AY3064)+ABS(SUM(AY3084:AY3091)-AY3064)</f>
        <v/>
      </c>
      <c r="AZ3093" s="73">
        <f>ABS(SUM(AZ3066:AZ3082)-AZ3064)+ABS(SUM(AZ3084:AZ3091)-AZ3064)</f>
        <v/>
      </c>
      <c r="BA3093" s="73">
        <f>ABS(SUM(BA3066:BA3082)-BA3064)+ABS(SUM(BA3084:BA3091)-BA3064)</f>
        <v/>
      </c>
    </row>
    <row r="3094" hidden="1" outlineLevel="1"/>
    <row r="3095" hidden="1" outlineLevel="1">
      <c r="A3095" s="1" t="inlineStr">
        <is>
          <t>ener.ref</t>
        </is>
      </c>
      <c r="B3095" s="1" t="inlineStr">
        <is>
          <t>all</t>
        </is>
      </c>
      <c r="C3095" s="1" t="inlineStr">
        <is>
          <t>all</t>
        </is>
      </c>
      <c r="H3095" s="1">
        <f>INDEX(VarLab,MATCH($A3095,VarKey,0))&amp;INDEX(MemLab,MATCH($C3095&amp;"|"&amp;$B3095,MemKey,0))</f>
        <v/>
      </c>
      <c r="I3095" s="1">
        <f>INDEX(VarUnit,MATCH($A3095,VarKey,0))</f>
        <v/>
      </c>
      <c r="J3095" s="1">
        <f>INDEX(VarSrc,MATCH($A3095,VarKey,0))</f>
        <v/>
      </c>
      <c r="K3095" s="11">
        <f>CodePrefix&amp;$A3095&amp;IF($C3095="","","."&amp;$C3095&amp;"."&amp;$B3095)&amp;INDEX(VarEnd,MATCH($A3095,VarKey,0))&amp;K$5</f>
        <v/>
      </c>
      <c r="L3095" s="43">
        <f>INDEX($K3064:$JN3064,MATCH(L$4,$K$4:$JN$4,0))</f>
        <v/>
      </c>
      <c r="M3095" s="44">
        <f>INDEX($K3064:$JN3064,MATCH(M$4,$K$4:$JN$4,0))</f>
        <v/>
      </c>
      <c r="N3095" s="44">
        <f>INDEX($K3064:$JN3064,MATCH(N$4,$K$4:$JN$4,0))</f>
        <v/>
      </c>
      <c r="O3095" s="44">
        <f>INDEX($K3064:$JN3064,MATCH(O$4,$K$4:$JN$4,0))</f>
        <v/>
      </c>
      <c r="P3095" s="44">
        <f>INDEX($K3064:$JN3064,MATCH(P$4,$K$4:$JN$4,0))</f>
        <v/>
      </c>
      <c r="Q3095" s="44">
        <f>INDEX($K3064:$JN3064,MATCH(Q$4,$K$4:$JN$4,0))</f>
        <v/>
      </c>
      <c r="R3095" s="44">
        <f>INDEX($K3064:$JN3064,MATCH(R$4,$K$4:$JN$4,0))</f>
        <v/>
      </c>
      <c r="S3095" s="44">
        <f>INDEX($K3064:$JN3064,MATCH(S$4,$K$4:$JN$4,0))</f>
        <v/>
      </c>
      <c r="T3095" s="44">
        <f>INDEX($K3064:$JN3064,MATCH(T$4,$K$4:$JN$4,0))</f>
        <v/>
      </c>
      <c r="U3095" s="44">
        <f>INDEX($K3064:$JN3064,MATCH(U$4,$K$4:$JN$4,0))</f>
        <v/>
      </c>
      <c r="V3095" s="44">
        <f>INDEX($K3064:$JN3064,MATCH(V$4,$K$4:$JN$4,0))</f>
        <v/>
      </c>
      <c r="W3095" s="44">
        <f>INDEX($K3064:$JN3064,MATCH(W$4,$K$4:$JN$4,0))</f>
        <v/>
      </c>
      <c r="X3095" s="44">
        <f>INDEX($K3064:$JN3064,MATCH(X$4,$K$4:$JN$4,0))</f>
        <v/>
      </c>
      <c r="Y3095" s="44">
        <f>INDEX($K3064:$JN3064,MATCH(Y$4,$K$4:$JN$4,0))</f>
        <v/>
      </c>
      <c r="Z3095" s="44">
        <f>INDEX($K3064:$JN3064,MATCH(Z$4,$K$4:$JN$4,0))</f>
        <v/>
      </c>
      <c r="AA3095" s="44">
        <f>INDEX($K3064:$JN3064,MATCH(AA$4,$K$4:$JN$4,0))</f>
        <v/>
      </c>
      <c r="AB3095" s="44">
        <f>INDEX($K3064:$JN3064,MATCH(AB$4,$K$4:$JN$4,0))</f>
        <v/>
      </c>
      <c r="AC3095" s="44">
        <f>INDEX($K3064:$JN3064,MATCH(AC$4,$K$4:$JN$4,0))</f>
        <v/>
      </c>
      <c r="AD3095" s="44">
        <f>INDEX($K3064:$JN3064,MATCH(AD$4,$K$4:$JN$4,0))</f>
        <v/>
      </c>
      <c r="AE3095" s="44">
        <f>INDEX($K3064:$JN3064,MATCH(AE$4,$K$4:$JN$4,0))</f>
        <v/>
      </c>
      <c r="AG3095" s="11">
        <f>CodePrefix&amp;$A3095&amp;IF($C3095="","","."&amp;$C3095&amp;"."&amp;$B3095)&amp;INDEX(VarEnd,MATCH($A3095,VarKey,0))&amp;AG$5</f>
        <v/>
      </c>
      <c r="AH3095" s="43">
        <f>INDEX($K3064:$JN3064,MATCH(AH$4,$K$4:$JN$4,0))</f>
        <v/>
      </c>
      <c r="AI3095" s="44">
        <f>INDEX($K3064:$JN3064,MATCH(AI$4,$K$4:$JN$4,0))</f>
        <v/>
      </c>
      <c r="AJ3095" s="44">
        <f>INDEX($K3064:$JN3064,MATCH(AJ$4,$K$4:$JN$4,0))</f>
        <v/>
      </c>
      <c r="AK3095" s="44">
        <f>INDEX($K3064:$JN3064,MATCH(AK$4,$K$4:$JN$4,0))</f>
        <v/>
      </c>
      <c r="AL3095" s="44">
        <f>INDEX($K3064:$JN3064,MATCH(AL$4,$K$4:$JN$4,0))</f>
        <v/>
      </c>
      <c r="AM3095" s="44">
        <f>INDEX($K3064:$JN3064,MATCH(AM$4,$K$4:$JN$4,0))</f>
        <v/>
      </c>
      <c r="AN3095" s="44">
        <f>INDEX($K3064:$JN3064,MATCH(AN$4,$K$4:$JN$4,0))</f>
        <v/>
      </c>
      <c r="AO3095" s="44">
        <f>INDEX($K3064:$JN3064,MATCH(AO$4,$K$4:$JN$4,0))</f>
        <v/>
      </c>
      <c r="AP3095" s="44">
        <f>INDEX($K3064:$JN3064,MATCH(AP$4,$K$4:$JN$4,0))</f>
        <v/>
      </c>
      <c r="AQ3095" s="44">
        <f>INDEX($K3064:$JN3064,MATCH(AQ$4,$K$4:$JN$4,0))</f>
        <v/>
      </c>
      <c r="AR3095" s="44">
        <f>INDEX($K3064:$JN3064,MATCH(AR$4,$K$4:$JN$4,0))</f>
        <v/>
      </c>
      <c r="AS3095" s="44">
        <f>INDEX($K3064:$JN3064,MATCH(AS$4,$K$4:$JN$4,0))</f>
        <v/>
      </c>
      <c r="AT3095" s="44">
        <f>INDEX($K3064:$JN3064,MATCH(AT$4,$K$4:$JN$4,0))</f>
        <v/>
      </c>
      <c r="AU3095" s="44">
        <f>INDEX($K3064:$JN3064,MATCH(AU$4,$K$4:$JN$4,0))</f>
        <v/>
      </c>
      <c r="AV3095" s="44">
        <f>INDEX($K3064:$JN3064,MATCH(AV$4,$K$4:$JN$4,0))</f>
        <v/>
      </c>
      <c r="AW3095" s="44">
        <f>INDEX($K3064:$JN3064,MATCH(AW$4,$K$4:$JN$4,0))</f>
        <v/>
      </c>
      <c r="AX3095" s="44">
        <f>INDEX($K3064:$JN3064,MATCH(AX$4,$K$4:$JN$4,0))</f>
        <v/>
      </c>
      <c r="AY3095" s="44">
        <f>INDEX($K3064:$JN3064,MATCH(AY$4,$K$4:$JN$4,0))</f>
        <v/>
      </c>
      <c r="AZ3095" s="44">
        <f>INDEX($K3064:$JN3064,MATCH(AZ$4,$K$4:$JN$4,0))</f>
        <v/>
      </c>
      <c r="BA3095" s="44">
        <f>INDEX($K3064:$JN3064,MATCH(BA$4,$K$4:$JN$4,0))</f>
        <v/>
      </c>
    </row>
    <row r="3096" hidden="1" outlineLevel="1">
      <c r="A3096" s="1" t="inlineStr">
        <is>
          <t>ener.pct</t>
        </is>
      </c>
      <c r="B3096" s="1" t="inlineStr">
        <is>
          <t>all</t>
        </is>
      </c>
      <c r="C3096" s="1" t="inlineStr">
        <is>
          <t>all</t>
        </is>
      </c>
      <c r="H3096" s="1">
        <f>INDEX(VarLab,MATCH($A3096,VarKey,0))&amp;INDEX(MemLab,MATCH($C3096&amp;"|"&amp;$B3096,MemKey,0))</f>
        <v/>
      </c>
      <c r="I3096" s="1">
        <f>INDEX(VarUnit,MATCH($A3096,VarKey,0))</f>
        <v/>
      </c>
      <c r="J3096" s="1">
        <f>INDEX(VarSrc,MATCH($A3096,VarKey,0))</f>
        <v/>
      </c>
      <c r="K3096" s="11">
        <f>CodePrefix&amp;$A3096&amp;IF($C3096="","","."&amp;$C3096&amp;"."&amp;$B3096)&amp;INDEX(VarEnd,MATCH($A3096,VarKey,0))&amp;K$5</f>
        <v/>
      </c>
      <c r="L3096" s="74">
        <f>L3064/L3095-1</f>
        <v/>
      </c>
      <c r="M3096" s="75">
        <f>M3064/M3095-1</f>
        <v/>
      </c>
      <c r="N3096" s="75">
        <f>N3064/N3095-1</f>
        <v/>
      </c>
      <c r="O3096" s="75">
        <f>O3064/O3095-1</f>
        <v/>
      </c>
      <c r="P3096" s="75">
        <f>P3064/P3095-1</f>
        <v/>
      </c>
      <c r="Q3096" s="75">
        <f>Q3064/Q3095-1</f>
        <v/>
      </c>
      <c r="R3096" s="75">
        <f>R3064/R3095-1</f>
        <v/>
      </c>
      <c r="S3096" s="75">
        <f>S3064/S3095-1</f>
        <v/>
      </c>
      <c r="T3096" s="75">
        <f>T3064/T3095-1</f>
        <v/>
      </c>
      <c r="U3096" s="75">
        <f>U3064/U3095-1</f>
        <v/>
      </c>
      <c r="V3096" s="75">
        <f>V3064/V3095-1</f>
        <v/>
      </c>
      <c r="W3096" s="75">
        <f>W3064/W3095-1</f>
        <v/>
      </c>
      <c r="X3096" s="75">
        <f>X3064/X3095-1</f>
        <v/>
      </c>
      <c r="Y3096" s="75">
        <f>Y3064/Y3095-1</f>
        <v/>
      </c>
      <c r="Z3096" s="75">
        <f>Z3064/Z3095-1</f>
        <v/>
      </c>
      <c r="AA3096" s="75">
        <f>AA3064/AA3095-1</f>
        <v/>
      </c>
      <c r="AB3096" s="75">
        <f>AB3064/AB3095-1</f>
        <v/>
      </c>
      <c r="AC3096" s="75">
        <f>AC3064/AC3095-1</f>
        <v/>
      </c>
      <c r="AD3096" s="75">
        <f>AD3064/AD3095-1</f>
        <v/>
      </c>
      <c r="AE3096" s="75">
        <f>AE3064/AE3095-1</f>
        <v/>
      </c>
      <c r="AG3096" s="11">
        <f>CodePrefix&amp;$A3096&amp;IF($C3096="","","."&amp;$C3096&amp;"."&amp;$B3096)&amp;INDEX(VarEnd,MATCH($A3096,VarKey,0))&amp;AG$5</f>
        <v/>
      </c>
      <c r="AH3096" s="74">
        <f>AH3064/AH3095-1</f>
        <v/>
      </c>
      <c r="AI3096" s="75">
        <f>AI3064/AI3095-1</f>
        <v/>
      </c>
      <c r="AJ3096" s="75">
        <f>AJ3064/AJ3095-1</f>
        <v/>
      </c>
      <c r="AK3096" s="75">
        <f>AK3064/AK3095-1</f>
        <v/>
      </c>
      <c r="AL3096" s="75">
        <f>AL3064/AL3095-1</f>
        <v/>
      </c>
      <c r="AM3096" s="75">
        <f>AM3064/AM3095-1</f>
        <v/>
      </c>
      <c r="AN3096" s="75">
        <f>AN3064/AN3095-1</f>
        <v/>
      </c>
      <c r="AO3096" s="75">
        <f>AO3064/AO3095-1</f>
        <v/>
      </c>
      <c r="AP3096" s="75">
        <f>AP3064/AP3095-1</f>
        <v/>
      </c>
      <c r="AQ3096" s="75">
        <f>AQ3064/AQ3095-1</f>
        <v/>
      </c>
      <c r="AR3096" s="75">
        <f>AR3064/AR3095-1</f>
        <v/>
      </c>
      <c r="AS3096" s="75">
        <f>AS3064/AS3095-1</f>
        <v/>
      </c>
      <c r="AT3096" s="75">
        <f>AT3064/AT3095-1</f>
        <v/>
      </c>
      <c r="AU3096" s="75">
        <f>AU3064/AU3095-1</f>
        <v/>
      </c>
      <c r="AV3096" s="75">
        <f>AV3064/AV3095-1</f>
        <v/>
      </c>
      <c r="AW3096" s="75">
        <f>AW3064/AW3095-1</f>
        <v/>
      </c>
      <c r="AX3096" s="75">
        <f>AX3064/AX3095-1</f>
        <v/>
      </c>
      <c r="AY3096" s="75">
        <f>AY3064/AY3095-1</f>
        <v/>
      </c>
      <c r="AZ3096" s="75">
        <f>AZ3064/AZ3095-1</f>
        <v/>
      </c>
      <c r="BA3096" s="75">
        <f>BA3064/BA3095-1</f>
        <v/>
      </c>
    </row>
    <row r="3097" hidden="1" outlineLevel="1">
      <c r="H3097" s="21" t="inlineStr">
        <is>
          <t>Memo: electricity demand by sector (power model, section 3 H; final use of electricity, not in the fuel totals above, which count the fuels used to generate it)</t>
        </is>
      </c>
    </row>
    <row r="3098" hidden="1" outlineLevel="1">
      <c r="A3098" s="1" t="inlineStr">
        <is>
          <t>eldem</t>
        </is>
      </c>
      <c r="B3098" s="1" t="inlineStr">
        <is>
          <t>ecy</t>
        </is>
      </c>
      <c r="C3098" s="1" t="inlineStr">
        <is>
          <t>all</t>
        </is>
      </c>
      <c r="H3098" s="1">
        <f>INDEX(VarLab,MATCH($A3098,VarKey,0))&amp;INDEX(MemLab,MATCH($C3098&amp;"|"&amp;$B3098,MemKey,0))</f>
        <v/>
      </c>
      <c r="I3098" s="1">
        <f>INDEX(VarUnit,MATCH($A3098,VarKey,0))</f>
        <v/>
      </c>
      <c r="J3098" s="1">
        <f>INDEX(VarSrc,MATCH($A3098,VarKey,0))</f>
        <v/>
      </c>
      <c r="K3098" s="11">
        <f>CodePrefix&amp;$A3098&amp;IF($C3098="","","."&amp;$C3098&amp;"."&amp;$B3098)&amp;INDEX(VarEnd,MATCH($A3098,VarKey,0))&amp;K$5</f>
        <v/>
      </c>
      <c r="L3098" s="68">
        <f>SUM(L3099:L3102)</f>
        <v/>
      </c>
      <c r="M3098" s="69">
        <f>SUM(M3099:M3102)</f>
        <v/>
      </c>
      <c r="N3098" s="69">
        <f>SUM(N3099:N3102)</f>
        <v/>
      </c>
      <c r="O3098" s="69">
        <f>SUM(O3099:O3102)</f>
        <v/>
      </c>
      <c r="P3098" s="69">
        <f>SUM(P3099:P3102)</f>
        <v/>
      </c>
      <c r="Q3098" s="69">
        <f>SUM(Q3099:Q3102)</f>
        <v/>
      </c>
      <c r="R3098" s="69">
        <f>SUM(R3099:R3102)</f>
        <v/>
      </c>
      <c r="S3098" s="69">
        <f>SUM(S3099:S3102)</f>
        <v/>
      </c>
      <c r="T3098" s="69">
        <f>SUM(T3099:T3102)</f>
        <v/>
      </c>
      <c r="U3098" s="69">
        <f>SUM(U3099:U3102)</f>
        <v/>
      </c>
      <c r="V3098" s="69">
        <f>SUM(V3099:V3102)</f>
        <v/>
      </c>
      <c r="W3098" s="69">
        <f>SUM(W3099:W3102)</f>
        <v/>
      </c>
      <c r="X3098" s="69">
        <f>SUM(X3099:X3102)</f>
        <v/>
      </c>
      <c r="Y3098" s="69">
        <f>SUM(Y3099:Y3102)</f>
        <v/>
      </c>
      <c r="Z3098" s="69">
        <f>SUM(Z3099:Z3102)</f>
        <v/>
      </c>
      <c r="AA3098" s="69">
        <f>SUM(AA3099:AA3102)</f>
        <v/>
      </c>
      <c r="AB3098" s="69">
        <f>SUM(AB3099:AB3102)</f>
        <v/>
      </c>
      <c r="AC3098" s="69">
        <f>SUM(AC3099:AC3102)</f>
        <v/>
      </c>
      <c r="AD3098" s="69">
        <f>SUM(AD3099:AD3102)</f>
        <v/>
      </c>
      <c r="AE3098" s="69">
        <f>SUM(AE3099:AE3102)</f>
        <v/>
      </c>
      <c r="AG3098" s="11">
        <f>CodePrefix&amp;$A3098&amp;IF($C3098="","","."&amp;$C3098&amp;"."&amp;$B3098)&amp;INDEX(VarEnd,MATCH($A3098,VarKey,0))&amp;AG$5</f>
        <v/>
      </c>
      <c r="AH3098" s="68">
        <f>SUM(AH3099:AH3102)</f>
        <v/>
      </c>
      <c r="AI3098" s="69">
        <f>SUM(AI3099:AI3102)</f>
        <v/>
      </c>
      <c r="AJ3098" s="69">
        <f>SUM(AJ3099:AJ3102)</f>
        <v/>
      </c>
      <c r="AK3098" s="69">
        <f>SUM(AK3099:AK3102)</f>
        <v/>
      </c>
      <c r="AL3098" s="69">
        <f>SUM(AL3099:AL3102)</f>
        <v/>
      </c>
      <c r="AM3098" s="69">
        <f>SUM(AM3099:AM3102)</f>
        <v/>
      </c>
      <c r="AN3098" s="69">
        <f>SUM(AN3099:AN3102)</f>
        <v/>
      </c>
      <c r="AO3098" s="69">
        <f>SUM(AO3099:AO3102)</f>
        <v/>
      </c>
      <c r="AP3098" s="69">
        <f>SUM(AP3099:AP3102)</f>
        <v/>
      </c>
      <c r="AQ3098" s="69">
        <f>SUM(AQ3099:AQ3102)</f>
        <v/>
      </c>
      <c r="AR3098" s="69">
        <f>SUM(AR3099:AR3102)</f>
        <v/>
      </c>
      <c r="AS3098" s="69">
        <f>SUM(AS3099:AS3102)</f>
        <v/>
      </c>
      <c r="AT3098" s="69">
        <f>SUM(AT3099:AT3102)</f>
        <v/>
      </c>
      <c r="AU3098" s="69">
        <f>SUM(AU3099:AU3102)</f>
        <v/>
      </c>
      <c r="AV3098" s="69">
        <f>SUM(AV3099:AV3102)</f>
        <v/>
      </c>
      <c r="AW3098" s="69">
        <f>SUM(AW3099:AW3102)</f>
        <v/>
      </c>
      <c r="AX3098" s="69">
        <f>SUM(AX3099:AX3102)</f>
        <v/>
      </c>
      <c r="AY3098" s="69">
        <f>SUM(AY3099:AY3102)</f>
        <v/>
      </c>
      <c r="AZ3098" s="69">
        <f>SUM(AZ3099:AZ3102)</f>
        <v/>
      </c>
      <c r="BA3098" s="69">
        <f>SUM(BA3099:BA3102)</f>
        <v/>
      </c>
    </row>
    <row r="3099" hidden="1" outlineLevel="1">
      <c r="A3099" s="14" t="inlineStr">
        <is>
          <t>eldem</t>
        </is>
      </c>
      <c r="B3099" s="14" t="inlineStr">
        <is>
          <t>ecy</t>
        </is>
      </c>
      <c r="C3099" s="14" t="inlineStr">
        <is>
          <t>tra</t>
        </is>
      </c>
      <c r="H3099" s="14">
        <f>INDEX(VarLab,MATCH($A3099,VarKey,0))&amp;INDEX(MemLab,MATCH($C3099&amp;"|"&amp;$B3099,MemKey,0))</f>
        <v/>
      </c>
      <c r="I3099" s="14">
        <f>INDEX(VarUnit,MATCH($A3099,VarKey,0))</f>
        <v/>
      </c>
      <c r="J3099" s="14">
        <f>INDEX(VarSrc,MATCH($A3099,VarKey,0))</f>
        <v/>
      </c>
      <c r="K3099" s="11">
        <f>CodePrefix&amp;$A3099&amp;IF($C3099="","","."&amp;$C3099&amp;"."&amp;$B3099)&amp;INDEX(VarEnd,MATCH($A3099,VarKey,0))&amp;K$5</f>
        <v/>
      </c>
      <c r="L3099" s="43">
        <f>SUMIF($A$1005:$A$1516,"eldem",L$1005:L$1516)</f>
        <v/>
      </c>
      <c r="M3099" s="44">
        <f>SUMIF($A$1005:$A$1516,"eldem",M$1005:M$1516)</f>
        <v/>
      </c>
      <c r="N3099" s="44">
        <f>SUMIF($A$1005:$A$1516,"eldem",N$1005:N$1516)</f>
        <v/>
      </c>
      <c r="O3099" s="44">
        <f>SUMIF($A$1005:$A$1516,"eldem",O$1005:O$1516)</f>
        <v/>
      </c>
      <c r="P3099" s="44">
        <f>SUMIF($A$1005:$A$1516,"eldem",P$1005:P$1516)</f>
        <v/>
      </c>
      <c r="Q3099" s="44">
        <f>SUMIF($A$1005:$A$1516,"eldem",Q$1005:Q$1516)</f>
        <v/>
      </c>
      <c r="R3099" s="44">
        <f>SUMIF($A$1005:$A$1516,"eldem",R$1005:R$1516)</f>
        <v/>
      </c>
      <c r="S3099" s="44">
        <f>SUMIF($A$1005:$A$1516,"eldem",S$1005:S$1516)</f>
        <v/>
      </c>
      <c r="T3099" s="44">
        <f>SUMIF($A$1005:$A$1516,"eldem",T$1005:T$1516)</f>
        <v/>
      </c>
      <c r="U3099" s="44">
        <f>SUMIF($A$1005:$A$1516,"eldem",U$1005:U$1516)</f>
        <v/>
      </c>
      <c r="V3099" s="44">
        <f>SUMIF($A$1005:$A$1516,"eldem",V$1005:V$1516)</f>
        <v/>
      </c>
      <c r="W3099" s="44">
        <f>SUMIF($A$1005:$A$1516,"eldem",W$1005:W$1516)</f>
        <v/>
      </c>
      <c r="X3099" s="44">
        <f>SUMIF($A$1005:$A$1516,"eldem",X$1005:X$1516)</f>
        <v/>
      </c>
      <c r="Y3099" s="44">
        <f>SUMIF($A$1005:$A$1516,"eldem",Y$1005:Y$1516)</f>
        <v/>
      </c>
      <c r="Z3099" s="44">
        <f>SUMIF($A$1005:$A$1516,"eldem",Z$1005:Z$1516)</f>
        <v/>
      </c>
      <c r="AA3099" s="44">
        <f>SUMIF($A$1005:$A$1516,"eldem",AA$1005:AA$1516)</f>
        <v/>
      </c>
      <c r="AB3099" s="44">
        <f>SUMIF($A$1005:$A$1516,"eldem",AB$1005:AB$1516)</f>
        <v/>
      </c>
      <c r="AC3099" s="44">
        <f>SUMIF($A$1005:$A$1516,"eldem",AC$1005:AC$1516)</f>
        <v/>
      </c>
      <c r="AD3099" s="44">
        <f>SUMIF($A$1005:$A$1516,"eldem",AD$1005:AD$1516)</f>
        <v/>
      </c>
      <c r="AE3099" s="44">
        <f>SUMIF($A$1005:$A$1516,"eldem",AE$1005:AE$1516)</f>
        <v/>
      </c>
      <c r="AG3099" s="11">
        <f>CodePrefix&amp;$A3099&amp;IF($C3099="","","."&amp;$C3099&amp;"."&amp;$B3099)&amp;INDEX(VarEnd,MATCH($A3099,VarKey,0))&amp;AG$5</f>
        <v/>
      </c>
      <c r="AH3099" s="43">
        <f>SUMIF($A$1005:$A$1516,"eldem",AH$1005:AH$1516)</f>
        <v/>
      </c>
      <c r="AI3099" s="44">
        <f>SUMIF($A$1005:$A$1516,"eldem",AI$1005:AI$1516)</f>
        <v/>
      </c>
      <c r="AJ3099" s="44">
        <f>SUMIF($A$1005:$A$1516,"eldem",AJ$1005:AJ$1516)</f>
        <v/>
      </c>
      <c r="AK3099" s="44">
        <f>SUMIF($A$1005:$A$1516,"eldem",AK$1005:AK$1516)</f>
        <v/>
      </c>
      <c r="AL3099" s="44">
        <f>SUMIF($A$1005:$A$1516,"eldem",AL$1005:AL$1516)</f>
        <v/>
      </c>
      <c r="AM3099" s="44">
        <f>SUMIF($A$1005:$A$1516,"eldem",AM$1005:AM$1516)</f>
        <v/>
      </c>
      <c r="AN3099" s="44">
        <f>SUMIF($A$1005:$A$1516,"eldem",AN$1005:AN$1516)</f>
        <v/>
      </c>
      <c r="AO3099" s="44">
        <f>SUMIF($A$1005:$A$1516,"eldem",AO$1005:AO$1516)</f>
        <v/>
      </c>
      <c r="AP3099" s="44">
        <f>SUMIF($A$1005:$A$1516,"eldem",AP$1005:AP$1516)</f>
        <v/>
      </c>
      <c r="AQ3099" s="44">
        <f>SUMIF($A$1005:$A$1516,"eldem",AQ$1005:AQ$1516)</f>
        <v/>
      </c>
      <c r="AR3099" s="44">
        <f>SUMIF($A$1005:$A$1516,"eldem",AR$1005:AR$1516)</f>
        <v/>
      </c>
      <c r="AS3099" s="44">
        <f>SUMIF($A$1005:$A$1516,"eldem",AS$1005:AS$1516)</f>
        <v/>
      </c>
      <c r="AT3099" s="44">
        <f>SUMIF($A$1005:$A$1516,"eldem",AT$1005:AT$1516)</f>
        <v/>
      </c>
      <c r="AU3099" s="44">
        <f>SUMIF($A$1005:$A$1516,"eldem",AU$1005:AU$1516)</f>
        <v/>
      </c>
      <c r="AV3099" s="44">
        <f>SUMIF($A$1005:$A$1516,"eldem",AV$1005:AV$1516)</f>
        <v/>
      </c>
      <c r="AW3099" s="44">
        <f>SUMIF($A$1005:$A$1516,"eldem",AW$1005:AW$1516)</f>
        <v/>
      </c>
      <c r="AX3099" s="44">
        <f>SUMIF($A$1005:$A$1516,"eldem",AX$1005:AX$1516)</f>
        <v/>
      </c>
      <c r="AY3099" s="44">
        <f>SUMIF($A$1005:$A$1516,"eldem",AY$1005:AY$1516)</f>
        <v/>
      </c>
      <c r="AZ3099" s="44">
        <f>SUMIF($A$1005:$A$1516,"eldem",AZ$1005:AZ$1516)</f>
        <v/>
      </c>
      <c r="BA3099" s="44">
        <f>SUMIF($A$1005:$A$1516,"eldem",BA$1005:BA$1516)</f>
        <v/>
      </c>
    </row>
    <row r="3100" hidden="1" outlineLevel="1">
      <c r="A3100" s="14" t="inlineStr">
        <is>
          <t>eldem</t>
        </is>
      </c>
      <c r="B3100" s="14" t="inlineStr">
        <is>
          <t>ecy</t>
        </is>
      </c>
      <c r="C3100" s="14" t="inlineStr">
        <is>
          <t>bld</t>
        </is>
      </c>
      <c r="H3100" s="14">
        <f>INDEX(VarLab,MATCH($A3100,VarKey,0))&amp;INDEX(MemLab,MATCH($C3100&amp;"|"&amp;$B3100,MemKey,0))</f>
        <v/>
      </c>
      <c r="I3100" s="14">
        <f>INDEX(VarUnit,MATCH($A3100,VarKey,0))</f>
        <v/>
      </c>
      <c r="J3100" s="14">
        <f>INDEX(VarSrc,MATCH($A3100,VarKey,0))</f>
        <v/>
      </c>
      <c r="K3100" s="11">
        <f>CodePrefix&amp;$A3100&amp;IF($C3100="","","."&amp;$C3100&amp;"."&amp;$B3100)&amp;INDEX(VarEnd,MATCH($A3100,VarKey,0))&amp;K$5</f>
        <v/>
      </c>
      <c r="L3100" s="43">
        <f>SUMIF($A$1520:$A$1903,"eldem",L$1520:L$1903)</f>
        <v/>
      </c>
      <c r="M3100" s="44">
        <f>SUMIF($A$1520:$A$1903,"eldem",M$1520:M$1903)</f>
        <v/>
      </c>
      <c r="N3100" s="44">
        <f>SUMIF($A$1520:$A$1903,"eldem",N$1520:N$1903)</f>
        <v/>
      </c>
      <c r="O3100" s="44">
        <f>SUMIF($A$1520:$A$1903,"eldem",O$1520:O$1903)</f>
        <v/>
      </c>
      <c r="P3100" s="44">
        <f>SUMIF($A$1520:$A$1903,"eldem",P$1520:P$1903)</f>
        <v/>
      </c>
      <c r="Q3100" s="44">
        <f>SUMIF($A$1520:$A$1903,"eldem",Q$1520:Q$1903)</f>
        <v/>
      </c>
      <c r="R3100" s="44">
        <f>SUMIF($A$1520:$A$1903,"eldem",R$1520:R$1903)</f>
        <v/>
      </c>
      <c r="S3100" s="44">
        <f>SUMIF($A$1520:$A$1903,"eldem",S$1520:S$1903)</f>
        <v/>
      </c>
      <c r="T3100" s="44">
        <f>SUMIF($A$1520:$A$1903,"eldem",T$1520:T$1903)</f>
        <v/>
      </c>
      <c r="U3100" s="44">
        <f>SUMIF($A$1520:$A$1903,"eldem",U$1520:U$1903)</f>
        <v/>
      </c>
      <c r="V3100" s="44">
        <f>SUMIF($A$1520:$A$1903,"eldem",V$1520:V$1903)</f>
        <v/>
      </c>
      <c r="W3100" s="44">
        <f>SUMIF($A$1520:$A$1903,"eldem",W$1520:W$1903)</f>
        <v/>
      </c>
      <c r="X3100" s="44">
        <f>SUMIF($A$1520:$A$1903,"eldem",X$1520:X$1903)</f>
        <v/>
      </c>
      <c r="Y3100" s="44">
        <f>SUMIF($A$1520:$A$1903,"eldem",Y$1520:Y$1903)</f>
        <v/>
      </c>
      <c r="Z3100" s="44">
        <f>SUMIF($A$1520:$A$1903,"eldem",Z$1520:Z$1903)</f>
        <v/>
      </c>
      <c r="AA3100" s="44">
        <f>SUMIF($A$1520:$A$1903,"eldem",AA$1520:AA$1903)</f>
        <v/>
      </c>
      <c r="AB3100" s="44">
        <f>SUMIF($A$1520:$A$1903,"eldem",AB$1520:AB$1903)</f>
        <v/>
      </c>
      <c r="AC3100" s="44">
        <f>SUMIF($A$1520:$A$1903,"eldem",AC$1520:AC$1903)</f>
        <v/>
      </c>
      <c r="AD3100" s="44">
        <f>SUMIF($A$1520:$A$1903,"eldem",AD$1520:AD$1903)</f>
        <v/>
      </c>
      <c r="AE3100" s="44">
        <f>SUMIF($A$1520:$A$1903,"eldem",AE$1520:AE$1903)</f>
        <v/>
      </c>
      <c r="AG3100" s="11">
        <f>CodePrefix&amp;$A3100&amp;IF($C3100="","","."&amp;$C3100&amp;"."&amp;$B3100)&amp;INDEX(VarEnd,MATCH($A3100,VarKey,0))&amp;AG$5</f>
        <v/>
      </c>
      <c r="AH3100" s="43">
        <f>SUMIF($A$1520:$A$1903,"eldem",AH$1520:AH$1903)</f>
        <v/>
      </c>
      <c r="AI3100" s="44">
        <f>SUMIF($A$1520:$A$1903,"eldem",AI$1520:AI$1903)</f>
        <v/>
      </c>
      <c r="AJ3100" s="44">
        <f>SUMIF($A$1520:$A$1903,"eldem",AJ$1520:AJ$1903)</f>
        <v/>
      </c>
      <c r="AK3100" s="44">
        <f>SUMIF($A$1520:$A$1903,"eldem",AK$1520:AK$1903)</f>
        <v/>
      </c>
      <c r="AL3100" s="44">
        <f>SUMIF($A$1520:$A$1903,"eldem",AL$1520:AL$1903)</f>
        <v/>
      </c>
      <c r="AM3100" s="44">
        <f>SUMIF($A$1520:$A$1903,"eldem",AM$1520:AM$1903)</f>
        <v/>
      </c>
      <c r="AN3100" s="44">
        <f>SUMIF($A$1520:$A$1903,"eldem",AN$1520:AN$1903)</f>
        <v/>
      </c>
      <c r="AO3100" s="44">
        <f>SUMIF($A$1520:$A$1903,"eldem",AO$1520:AO$1903)</f>
        <v/>
      </c>
      <c r="AP3100" s="44">
        <f>SUMIF($A$1520:$A$1903,"eldem",AP$1520:AP$1903)</f>
        <v/>
      </c>
      <c r="AQ3100" s="44">
        <f>SUMIF($A$1520:$A$1903,"eldem",AQ$1520:AQ$1903)</f>
        <v/>
      </c>
      <c r="AR3100" s="44">
        <f>SUMIF($A$1520:$A$1903,"eldem",AR$1520:AR$1903)</f>
        <v/>
      </c>
      <c r="AS3100" s="44">
        <f>SUMIF($A$1520:$A$1903,"eldem",AS$1520:AS$1903)</f>
        <v/>
      </c>
      <c r="AT3100" s="44">
        <f>SUMIF($A$1520:$A$1903,"eldem",AT$1520:AT$1903)</f>
        <v/>
      </c>
      <c r="AU3100" s="44">
        <f>SUMIF($A$1520:$A$1903,"eldem",AU$1520:AU$1903)</f>
        <v/>
      </c>
      <c r="AV3100" s="44">
        <f>SUMIF($A$1520:$A$1903,"eldem",AV$1520:AV$1903)</f>
        <v/>
      </c>
      <c r="AW3100" s="44">
        <f>SUMIF($A$1520:$A$1903,"eldem",AW$1520:AW$1903)</f>
        <v/>
      </c>
      <c r="AX3100" s="44">
        <f>SUMIF($A$1520:$A$1903,"eldem",AX$1520:AX$1903)</f>
        <v/>
      </c>
      <c r="AY3100" s="44">
        <f>SUMIF($A$1520:$A$1903,"eldem",AY$1520:AY$1903)</f>
        <v/>
      </c>
      <c r="AZ3100" s="44">
        <f>SUMIF($A$1520:$A$1903,"eldem",AZ$1520:AZ$1903)</f>
        <v/>
      </c>
      <c r="BA3100" s="44">
        <f>SUMIF($A$1520:$A$1903,"eldem",BA$1520:BA$1903)</f>
        <v/>
      </c>
    </row>
    <row r="3101" hidden="1" outlineLevel="1">
      <c r="A3101" s="14" t="inlineStr">
        <is>
          <t>eldem</t>
        </is>
      </c>
      <c r="B3101" s="14" t="inlineStr">
        <is>
          <t>ecy</t>
        </is>
      </c>
      <c r="C3101" s="14" t="inlineStr">
        <is>
          <t>ind</t>
        </is>
      </c>
      <c r="H3101" s="14">
        <f>INDEX(VarLab,MATCH($A3101,VarKey,0))&amp;INDEX(MemLab,MATCH($C3101&amp;"|"&amp;$B3101,MemKey,0))</f>
        <v/>
      </c>
      <c r="I3101" s="14">
        <f>INDEX(VarUnit,MATCH($A3101,VarKey,0))</f>
        <v/>
      </c>
      <c r="J3101" s="14">
        <f>INDEX(VarSrc,MATCH($A3101,VarKey,0))</f>
        <v/>
      </c>
      <c r="K3101" s="11">
        <f>CodePrefix&amp;$A3101&amp;IF($C3101="","","."&amp;$C3101&amp;"."&amp;$B3101)&amp;INDEX(VarEnd,MATCH($A3101,VarKey,0))&amp;K$5</f>
        <v/>
      </c>
      <c r="L3101" s="43">
        <f>SUMIF($A$1907:$A$2930,"eldem",L$1907:L$2930)</f>
        <v/>
      </c>
      <c r="M3101" s="44">
        <f>SUMIF($A$1907:$A$2930,"eldem",M$1907:M$2930)</f>
        <v/>
      </c>
      <c r="N3101" s="44">
        <f>SUMIF($A$1907:$A$2930,"eldem",N$1907:N$2930)</f>
        <v/>
      </c>
      <c r="O3101" s="44">
        <f>SUMIF($A$1907:$A$2930,"eldem",O$1907:O$2930)</f>
        <v/>
      </c>
      <c r="P3101" s="44">
        <f>SUMIF($A$1907:$A$2930,"eldem",P$1907:P$2930)</f>
        <v/>
      </c>
      <c r="Q3101" s="44">
        <f>SUMIF($A$1907:$A$2930,"eldem",Q$1907:Q$2930)</f>
        <v/>
      </c>
      <c r="R3101" s="44">
        <f>SUMIF($A$1907:$A$2930,"eldem",R$1907:R$2930)</f>
        <v/>
      </c>
      <c r="S3101" s="44">
        <f>SUMIF($A$1907:$A$2930,"eldem",S$1907:S$2930)</f>
        <v/>
      </c>
      <c r="T3101" s="44">
        <f>SUMIF($A$1907:$A$2930,"eldem",T$1907:T$2930)</f>
        <v/>
      </c>
      <c r="U3101" s="44">
        <f>SUMIF($A$1907:$A$2930,"eldem",U$1907:U$2930)</f>
        <v/>
      </c>
      <c r="V3101" s="44">
        <f>SUMIF($A$1907:$A$2930,"eldem",V$1907:V$2930)</f>
        <v/>
      </c>
      <c r="W3101" s="44">
        <f>SUMIF($A$1907:$A$2930,"eldem",W$1907:W$2930)</f>
        <v/>
      </c>
      <c r="X3101" s="44">
        <f>SUMIF($A$1907:$A$2930,"eldem",X$1907:X$2930)</f>
        <v/>
      </c>
      <c r="Y3101" s="44">
        <f>SUMIF($A$1907:$A$2930,"eldem",Y$1907:Y$2930)</f>
        <v/>
      </c>
      <c r="Z3101" s="44">
        <f>SUMIF($A$1907:$A$2930,"eldem",Z$1907:Z$2930)</f>
        <v/>
      </c>
      <c r="AA3101" s="44">
        <f>SUMIF($A$1907:$A$2930,"eldem",AA$1907:AA$2930)</f>
        <v/>
      </c>
      <c r="AB3101" s="44">
        <f>SUMIF($A$1907:$A$2930,"eldem",AB$1907:AB$2930)</f>
        <v/>
      </c>
      <c r="AC3101" s="44">
        <f>SUMIF($A$1907:$A$2930,"eldem",AC$1907:AC$2930)</f>
        <v/>
      </c>
      <c r="AD3101" s="44">
        <f>SUMIF($A$1907:$A$2930,"eldem",AD$1907:AD$2930)</f>
        <v/>
      </c>
      <c r="AE3101" s="44">
        <f>SUMIF($A$1907:$A$2930,"eldem",AE$1907:AE$2930)</f>
        <v/>
      </c>
      <c r="AG3101" s="11">
        <f>CodePrefix&amp;$A3101&amp;IF($C3101="","","."&amp;$C3101&amp;"."&amp;$B3101)&amp;INDEX(VarEnd,MATCH($A3101,VarKey,0))&amp;AG$5</f>
        <v/>
      </c>
      <c r="AH3101" s="43">
        <f>SUMIF($A$1907:$A$2930,"eldem",AH$1907:AH$2930)</f>
        <v/>
      </c>
      <c r="AI3101" s="44">
        <f>SUMIF($A$1907:$A$2930,"eldem",AI$1907:AI$2930)</f>
        <v/>
      </c>
      <c r="AJ3101" s="44">
        <f>SUMIF($A$1907:$A$2930,"eldem",AJ$1907:AJ$2930)</f>
        <v/>
      </c>
      <c r="AK3101" s="44">
        <f>SUMIF($A$1907:$A$2930,"eldem",AK$1907:AK$2930)</f>
        <v/>
      </c>
      <c r="AL3101" s="44">
        <f>SUMIF($A$1907:$A$2930,"eldem",AL$1907:AL$2930)</f>
        <v/>
      </c>
      <c r="AM3101" s="44">
        <f>SUMIF($A$1907:$A$2930,"eldem",AM$1907:AM$2930)</f>
        <v/>
      </c>
      <c r="AN3101" s="44">
        <f>SUMIF($A$1907:$A$2930,"eldem",AN$1907:AN$2930)</f>
        <v/>
      </c>
      <c r="AO3101" s="44">
        <f>SUMIF($A$1907:$A$2930,"eldem",AO$1907:AO$2930)</f>
        <v/>
      </c>
      <c r="AP3101" s="44">
        <f>SUMIF($A$1907:$A$2930,"eldem",AP$1907:AP$2930)</f>
        <v/>
      </c>
      <c r="AQ3101" s="44">
        <f>SUMIF($A$1907:$A$2930,"eldem",AQ$1907:AQ$2930)</f>
        <v/>
      </c>
      <c r="AR3101" s="44">
        <f>SUMIF($A$1907:$A$2930,"eldem",AR$1907:AR$2930)</f>
        <v/>
      </c>
      <c r="AS3101" s="44">
        <f>SUMIF($A$1907:$A$2930,"eldem",AS$1907:AS$2930)</f>
        <v/>
      </c>
      <c r="AT3101" s="44">
        <f>SUMIF($A$1907:$A$2930,"eldem",AT$1907:AT$2930)</f>
        <v/>
      </c>
      <c r="AU3101" s="44">
        <f>SUMIF($A$1907:$A$2930,"eldem",AU$1907:AU$2930)</f>
        <v/>
      </c>
      <c r="AV3101" s="44">
        <f>SUMIF($A$1907:$A$2930,"eldem",AV$1907:AV$2930)</f>
        <v/>
      </c>
      <c r="AW3101" s="44">
        <f>SUMIF($A$1907:$A$2930,"eldem",AW$1907:AW$2930)</f>
        <v/>
      </c>
      <c r="AX3101" s="44">
        <f>SUMIF($A$1907:$A$2930,"eldem",AX$1907:AX$2930)</f>
        <v/>
      </c>
      <c r="AY3101" s="44">
        <f>SUMIF($A$1907:$A$2930,"eldem",AY$1907:AY$2930)</f>
        <v/>
      </c>
      <c r="AZ3101" s="44">
        <f>SUMIF($A$1907:$A$2930,"eldem",AZ$1907:AZ$2930)</f>
        <v/>
      </c>
      <c r="BA3101" s="44">
        <f>SUMIF($A$1907:$A$2930,"eldem",BA$1907:BA$2930)</f>
        <v/>
      </c>
    </row>
    <row r="3102" hidden="1" outlineLevel="1">
      <c r="A3102" s="14" t="inlineStr">
        <is>
          <t>eldem</t>
        </is>
      </c>
      <c r="B3102" s="14" t="inlineStr">
        <is>
          <t>ecy</t>
        </is>
      </c>
      <c r="C3102" s="14" t="inlineStr">
        <is>
          <t>oen</t>
        </is>
      </c>
      <c r="H3102" s="14">
        <f>INDEX(VarLab,MATCH($A3102,VarKey,0))&amp;INDEX(MemLab,MATCH($C3102&amp;"|"&amp;$B3102,MemKey,0))</f>
        <v/>
      </c>
      <c r="I3102" s="14">
        <f>INDEX(VarUnit,MATCH($A3102,VarKey,0))</f>
        <v/>
      </c>
      <c r="J3102" s="14">
        <f>INDEX(VarSrc,MATCH($A3102,VarKey,0))</f>
        <v/>
      </c>
      <c r="K3102" s="11">
        <f>CodePrefix&amp;$A3102&amp;IF($C3102="","","."&amp;$C3102&amp;"."&amp;$B3102)&amp;INDEX(VarEnd,MATCH($A3102,VarKey,0))&amp;K$5</f>
        <v/>
      </c>
      <c r="L3102" s="43">
        <f>SUMIF($A$2934:$A$3061,"eldem",L$2934:L$3061)</f>
        <v/>
      </c>
      <c r="M3102" s="44">
        <f>SUMIF($A$2934:$A$3061,"eldem",M$2934:M$3061)</f>
        <v/>
      </c>
      <c r="N3102" s="44">
        <f>SUMIF($A$2934:$A$3061,"eldem",N$2934:N$3061)</f>
        <v/>
      </c>
      <c r="O3102" s="44">
        <f>SUMIF($A$2934:$A$3061,"eldem",O$2934:O$3061)</f>
        <v/>
      </c>
      <c r="P3102" s="44">
        <f>SUMIF($A$2934:$A$3061,"eldem",P$2934:P$3061)</f>
        <v/>
      </c>
      <c r="Q3102" s="44">
        <f>SUMIF($A$2934:$A$3061,"eldem",Q$2934:Q$3061)</f>
        <v/>
      </c>
      <c r="R3102" s="44">
        <f>SUMIF($A$2934:$A$3061,"eldem",R$2934:R$3061)</f>
        <v/>
      </c>
      <c r="S3102" s="44">
        <f>SUMIF($A$2934:$A$3061,"eldem",S$2934:S$3061)</f>
        <v/>
      </c>
      <c r="T3102" s="44">
        <f>SUMIF($A$2934:$A$3061,"eldem",T$2934:T$3061)</f>
        <v/>
      </c>
      <c r="U3102" s="44">
        <f>SUMIF($A$2934:$A$3061,"eldem",U$2934:U$3061)</f>
        <v/>
      </c>
      <c r="V3102" s="44">
        <f>SUMIF($A$2934:$A$3061,"eldem",V$2934:V$3061)</f>
        <v/>
      </c>
      <c r="W3102" s="44">
        <f>SUMIF($A$2934:$A$3061,"eldem",W$2934:W$3061)</f>
        <v/>
      </c>
      <c r="X3102" s="44">
        <f>SUMIF($A$2934:$A$3061,"eldem",X$2934:X$3061)</f>
        <v/>
      </c>
      <c r="Y3102" s="44">
        <f>SUMIF($A$2934:$A$3061,"eldem",Y$2934:Y$3061)</f>
        <v/>
      </c>
      <c r="Z3102" s="44">
        <f>SUMIF($A$2934:$A$3061,"eldem",Z$2934:Z$3061)</f>
        <v/>
      </c>
      <c r="AA3102" s="44">
        <f>SUMIF($A$2934:$A$3061,"eldem",AA$2934:AA$3061)</f>
        <v/>
      </c>
      <c r="AB3102" s="44">
        <f>SUMIF($A$2934:$A$3061,"eldem",AB$2934:AB$3061)</f>
        <v/>
      </c>
      <c r="AC3102" s="44">
        <f>SUMIF($A$2934:$A$3061,"eldem",AC$2934:AC$3061)</f>
        <v/>
      </c>
      <c r="AD3102" s="44">
        <f>SUMIF($A$2934:$A$3061,"eldem",AD$2934:AD$3061)</f>
        <v/>
      </c>
      <c r="AE3102" s="44">
        <f>SUMIF($A$2934:$A$3061,"eldem",AE$2934:AE$3061)</f>
        <v/>
      </c>
      <c r="AG3102" s="11">
        <f>CodePrefix&amp;$A3102&amp;IF($C3102="","","."&amp;$C3102&amp;"."&amp;$B3102)&amp;INDEX(VarEnd,MATCH($A3102,VarKey,0))&amp;AG$5</f>
        <v/>
      </c>
      <c r="AH3102" s="43">
        <f>SUMIF($A$2934:$A$3061,"eldem",AH$2934:AH$3061)</f>
        <v/>
      </c>
      <c r="AI3102" s="44">
        <f>SUMIF($A$2934:$A$3061,"eldem",AI$2934:AI$3061)</f>
        <v/>
      </c>
      <c r="AJ3102" s="44">
        <f>SUMIF($A$2934:$A$3061,"eldem",AJ$2934:AJ$3061)</f>
        <v/>
      </c>
      <c r="AK3102" s="44">
        <f>SUMIF($A$2934:$A$3061,"eldem",AK$2934:AK$3061)</f>
        <v/>
      </c>
      <c r="AL3102" s="44">
        <f>SUMIF($A$2934:$A$3061,"eldem",AL$2934:AL$3061)</f>
        <v/>
      </c>
      <c r="AM3102" s="44">
        <f>SUMIF($A$2934:$A$3061,"eldem",AM$2934:AM$3061)</f>
        <v/>
      </c>
      <c r="AN3102" s="44">
        <f>SUMIF($A$2934:$A$3061,"eldem",AN$2934:AN$3061)</f>
        <v/>
      </c>
      <c r="AO3102" s="44">
        <f>SUMIF($A$2934:$A$3061,"eldem",AO$2934:AO$3061)</f>
        <v/>
      </c>
      <c r="AP3102" s="44">
        <f>SUMIF($A$2934:$A$3061,"eldem",AP$2934:AP$3061)</f>
        <v/>
      </c>
      <c r="AQ3102" s="44">
        <f>SUMIF($A$2934:$A$3061,"eldem",AQ$2934:AQ$3061)</f>
        <v/>
      </c>
      <c r="AR3102" s="44">
        <f>SUMIF($A$2934:$A$3061,"eldem",AR$2934:AR$3061)</f>
        <v/>
      </c>
      <c r="AS3102" s="44">
        <f>SUMIF($A$2934:$A$3061,"eldem",AS$2934:AS$3061)</f>
        <v/>
      </c>
      <c r="AT3102" s="44">
        <f>SUMIF($A$2934:$A$3061,"eldem",AT$2934:AT$3061)</f>
        <v/>
      </c>
      <c r="AU3102" s="44">
        <f>SUMIF($A$2934:$A$3061,"eldem",AU$2934:AU$3061)</f>
        <v/>
      </c>
      <c r="AV3102" s="44">
        <f>SUMIF($A$2934:$A$3061,"eldem",AV$2934:AV$3061)</f>
        <v/>
      </c>
      <c r="AW3102" s="44">
        <f>SUMIF($A$2934:$A$3061,"eldem",AW$2934:AW$3061)</f>
        <v/>
      </c>
      <c r="AX3102" s="44">
        <f>SUMIF($A$2934:$A$3061,"eldem",AX$2934:AX$3061)</f>
        <v/>
      </c>
      <c r="AY3102" s="44">
        <f>SUMIF($A$2934:$A$3061,"eldem",AY$2934:AY$3061)</f>
        <v/>
      </c>
      <c r="AZ3102" s="44">
        <f>SUMIF($A$2934:$A$3061,"eldem",AZ$2934:AZ$3061)</f>
        <v/>
      </c>
      <c r="BA3102" s="44">
        <f>SUMIF($A$2934:$A$3061,"eldem",BA$2934:BA$3061)</f>
        <v/>
      </c>
    </row>
    <row r="3103" collapsed="1"/>
    <row r="3104">
      <c r="A3104" s="4" t="inlineStr">
        <is>
          <t>12. Revenues (USD million, real of ResultsYear): existing taxes, existing subsidies and new policies, calculated separately</t>
        </is>
      </c>
      <c r="B3104" s="5" t="n"/>
      <c r="C3104" s="5" t="n"/>
      <c r="D3104" s="5" t="n"/>
      <c r="E3104" s="5" t="n"/>
      <c r="F3104" s="5" t="n"/>
      <c r="G3104" s="5" t="n"/>
      <c r="H3104" s="5" t="n"/>
      <c r="I3104" s="5" t="n"/>
      <c r="J3104" s="5" t="n"/>
      <c r="K3104" s="5" t="n"/>
      <c r="L3104" s="5" t="n"/>
      <c r="M3104" s="5" t="n"/>
      <c r="N3104" s="5" t="n"/>
      <c r="O3104" s="5" t="n"/>
      <c r="P3104" s="5" t="n"/>
      <c r="Q3104" s="5" t="n"/>
      <c r="R3104" s="5" t="n"/>
      <c r="S3104" s="5" t="n"/>
      <c r="T3104" s="5" t="n"/>
      <c r="U3104" s="5" t="n"/>
      <c r="V3104" s="5" t="n"/>
      <c r="W3104" s="5" t="n"/>
      <c r="X3104" s="5" t="n"/>
      <c r="Y3104" s="5" t="n"/>
      <c r="Z3104" s="5" t="n"/>
      <c r="AA3104" s="5" t="n"/>
      <c r="AB3104" s="5" t="n"/>
      <c r="AC3104" s="5" t="n"/>
      <c r="AD3104" s="5" t="n"/>
      <c r="AE3104" s="5" t="n"/>
      <c r="AF3104" s="5" t="n"/>
      <c r="AG3104" s="5" t="n"/>
      <c r="AH3104" s="5" t="n"/>
      <c r="AI3104" s="5" t="n"/>
      <c r="AJ3104" s="5" t="n"/>
      <c r="AK3104" s="5" t="n"/>
      <c r="AL3104" s="5" t="n"/>
      <c r="AM3104" s="5" t="n"/>
      <c r="AN3104" s="5" t="n"/>
      <c r="AO3104" s="5" t="n"/>
      <c r="AP3104" s="5" t="n"/>
      <c r="AQ3104" s="5" t="n"/>
      <c r="AR3104" s="5" t="n"/>
      <c r="AS3104" s="5" t="n"/>
      <c r="AT3104" s="5" t="n"/>
      <c r="AU3104" s="5" t="n"/>
      <c r="AV3104" s="5" t="n"/>
      <c r="AW3104" s="5" t="n"/>
      <c r="AX3104" s="5" t="n"/>
      <c r="AY3104" s="5" t="n"/>
      <c r="AZ3104" s="5" t="n"/>
      <c r="BA3104" s="5" t="n"/>
      <c r="BB3104" s="5" t="n"/>
    </row>
    <row r="3105">
      <c r="A3105" s="1" t="inlineStr">
        <is>
          <t>rtx</t>
        </is>
      </c>
      <c r="B3105" s="1" t="inlineStr">
        <is>
          <t>all</t>
        </is>
      </c>
      <c r="C3105" s="1" t="inlineStr">
        <is>
          <t>all</t>
        </is>
      </c>
      <c r="H3105" s="1">
        <f>INDEX(VarLab,MATCH($A3105,VarKey,0))&amp;INDEX(MemLab,MATCH($C3105&amp;"|"&amp;$B3105,MemKey,0))</f>
        <v/>
      </c>
      <c r="I3105" s="1">
        <f>INDEX(VarUnit,MATCH($A3105,VarKey,0))</f>
        <v/>
      </c>
      <c r="J3105" s="1">
        <f>INDEX(VarSrc,MATCH($A3105,VarKey,0))</f>
        <v/>
      </c>
      <c r="K3105" s="17">
        <f>CodePrefix&amp;$A3105&amp;IF($C3105="","","."&amp;$C3105&amp;"."&amp;$B3105)&amp;INDEX(VarEnd,MATCH($A3105,VarKey,0))&amp;K$5</f>
        <v/>
      </c>
      <c r="L3105" s="68">
        <f>SUMIFS(L$1003:L$3061,SecVar,"rtx")+L3110</f>
        <v/>
      </c>
      <c r="M3105" s="69">
        <f>SUMIFS(M$1003:M$3061,SecVar,"rtx")+M3110</f>
        <v/>
      </c>
      <c r="N3105" s="69">
        <f>SUMIFS(N$1003:N$3061,SecVar,"rtx")+N3110</f>
        <v/>
      </c>
      <c r="O3105" s="69">
        <f>SUMIFS(O$1003:O$3061,SecVar,"rtx")+O3110</f>
        <v/>
      </c>
      <c r="P3105" s="69">
        <f>SUMIFS(P$1003:P$3061,SecVar,"rtx")+P3110</f>
        <v/>
      </c>
      <c r="Q3105" s="69">
        <f>SUMIFS(Q$1003:Q$3061,SecVar,"rtx")+Q3110</f>
        <v/>
      </c>
      <c r="R3105" s="69">
        <f>SUMIFS(R$1003:R$3061,SecVar,"rtx")+R3110</f>
        <v/>
      </c>
      <c r="S3105" s="69">
        <f>SUMIFS(S$1003:S$3061,SecVar,"rtx")+S3110</f>
        <v/>
      </c>
      <c r="T3105" s="69">
        <f>SUMIFS(T$1003:T$3061,SecVar,"rtx")+T3110</f>
        <v/>
      </c>
      <c r="U3105" s="69">
        <f>SUMIFS(U$1003:U$3061,SecVar,"rtx")+U3110</f>
        <v/>
      </c>
      <c r="V3105" s="69">
        <f>SUMIFS(V$1003:V$3061,SecVar,"rtx")+V3110</f>
        <v/>
      </c>
      <c r="W3105" s="69">
        <f>SUMIFS(W$1003:W$3061,SecVar,"rtx")+W3110</f>
        <v/>
      </c>
      <c r="X3105" s="69">
        <f>SUMIFS(X$1003:X$3061,SecVar,"rtx")+X3110</f>
        <v/>
      </c>
      <c r="Y3105" s="69">
        <f>SUMIFS(Y$1003:Y$3061,SecVar,"rtx")+Y3110</f>
        <v/>
      </c>
      <c r="Z3105" s="69">
        <f>SUMIFS(Z$1003:Z$3061,SecVar,"rtx")+Z3110</f>
        <v/>
      </c>
      <c r="AA3105" s="69">
        <f>SUMIFS(AA$1003:AA$3061,SecVar,"rtx")+AA3110</f>
        <v/>
      </c>
      <c r="AB3105" s="69">
        <f>SUMIFS(AB$1003:AB$3061,SecVar,"rtx")+AB3110</f>
        <v/>
      </c>
      <c r="AC3105" s="69">
        <f>SUMIFS(AC$1003:AC$3061,SecVar,"rtx")+AC3110</f>
        <v/>
      </c>
      <c r="AD3105" s="69">
        <f>SUMIFS(AD$1003:AD$3061,SecVar,"rtx")+AD3110</f>
        <v/>
      </c>
      <c r="AE3105" s="69">
        <f>SUMIFS(AE$1003:AE$3061,SecVar,"rtx")+AE3110</f>
        <v/>
      </c>
      <c r="AG3105" s="17">
        <f>CodePrefix&amp;$A3105&amp;IF($C3105="","","."&amp;$C3105&amp;"."&amp;$B3105)&amp;INDEX(VarEnd,MATCH($A3105,VarKey,0))&amp;AG$5</f>
        <v/>
      </c>
      <c r="AH3105" s="68">
        <f>SUMIFS(AH$1003:AH$3061,SecVar,"rtx")+AH3110</f>
        <v/>
      </c>
      <c r="AI3105" s="69">
        <f>SUMIFS(AI$1003:AI$3061,SecVar,"rtx")+AI3110</f>
        <v/>
      </c>
      <c r="AJ3105" s="69">
        <f>SUMIFS(AJ$1003:AJ$3061,SecVar,"rtx")+AJ3110</f>
        <v/>
      </c>
      <c r="AK3105" s="69">
        <f>SUMIFS(AK$1003:AK$3061,SecVar,"rtx")+AK3110</f>
        <v/>
      </c>
      <c r="AL3105" s="69">
        <f>SUMIFS(AL$1003:AL$3061,SecVar,"rtx")+AL3110</f>
        <v/>
      </c>
      <c r="AM3105" s="69">
        <f>SUMIFS(AM$1003:AM$3061,SecVar,"rtx")+AM3110</f>
        <v/>
      </c>
      <c r="AN3105" s="69">
        <f>SUMIFS(AN$1003:AN$3061,SecVar,"rtx")+AN3110</f>
        <v/>
      </c>
      <c r="AO3105" s="69">
        <f>SUMIFS(AO$1003:AO$3061,SecVar,"rtx")+AO3110</f>
        <v/>
      </c>
      <c r="AP3105" s="69">
        <f>SUMIFS(AP$1003:AP$3061,SecVar,"rtx")+AP3110</f>
        <v/>
      </c>
      <c r="AQ3105" s="69">
        <f>SUMIFS(AQ$1003:AQ$3061,SecVar,"rtx")+AQ3110</f>
        <v/>
      </c>
      <c r="AR3105" s="69">
        <f>SUMIFS(AR$1003:AR$3061,SecVar,"rtx")+AR3110</f>
        <v/>
      </c>
      <c r="AS3105" s="69">
        <f>SUMIFS(AS$1003:AS$3061,SecVar,"rtx")+AS3110</f>
        <v/>
      </c>
      <c r="AT3105" s="69">
        <f>SUMIFS(AT$1003:AT$3061,SecVar,"rtx")+AT3110</f>
        <v/>
      </c>
      <c r="AU3105" s="69">
        <f>SUMIFS(AU$1003:AU$3061,SecVar,"rtx")+AU3110</f>
        <v/>
      </c>
      <c r="AV3105" s="69">
        <f>SUMIFS(AV$1003:AV$3061,SecVar,"rtx")+AV3110</f>
        <v/>
      </c>
      <c r="AW3105" s="69">
        <f>SUMIFS(AW$1003:AW$3061,SecVar,"rtx")+AW3110</f>
        <v/>
      </c>
      <c r="AX3105" s="69">
        <f>SUMIFS(AX$1003:AX$3061,SecVar,"rtx")+AX3110</f>
        <v/>
      </c>
      <c r="AY3105" s="69">
        <f>SUMIFS(AY$1003:AY$3061,SecVar,"rtx")+AY3110</f>
        <v/>
      </c>
      <c r="AZ3105" s="69">
        <f>SUMIFS(AZ$1003:AZ$3061,SecVar,"rtx")+AZ3110</f>
        <v/>
      </c>
      <c r="BA3105" s="69">
        <f>SUMIFS(BA$1003:BA$3061,SecVar,"rtx")+BA3110</f>
        <v/>
      </c>
    </row>
    <row r="3106" hidden="1" outlineLevel="1">
      <c r="A3106" s="14" t="inlineStr">
        <is>
          <t>rtx</t>
        </is>
      </c>
      <c r="B3106" s="14" t="inlineStr">
        <is>
          <t>all</t>
        </is>
      </c>
      <c r="C3106" s="14" t="inlineStr">
        <is>
          <t>tra</t>
        </is>
      </c>
      <c r="H3106" s="14">
        <f>INDEX(VarLab,MATCH($A3106,VarKey,0))&amp;INDEX(MemLab,MATCH($C3106&amp;"|"&amp;$B3106,MemKey,0))</f>
        <v/>
      </c>
      <c r="I3106" s="14">
        <f>INDEX(VarUnit,MATCH($A3106,VarKey,0))</f>
        <v/>
      </c>
      <c r="J3106" s="14">
        <f>INDEX(VarSrc,MATCH($A3106,VarKey,0))</f>
        <v/>
      </c>
      <c r="K3106" s="11">
        <f>CodePrefix&amp;$A3106&amp;IF($C3106="","","."&amp;$C3106&amp;"."&amp;$B3106)&amp;INDEX(VarEnd,MATCH($A3106,VarKey,0))&amp;K$5</f>
        <v/>
      </c>
      <c r="L3106" s="43">
        <f>SUMIFS(L$1005:L$1516,$A$1005:$A$1516,"rtx")</f>
        <v/>
      </c>
      <c r="M3106" s="44">
        <f>SUMIFS(M$1005:M$1516,$A$1005:$A$1516,"rtx")</f>
        <v/>
      </c>
      <c r="N3106" s="44">
        <f>SUMIFS(N$1005:N$1516,$A$1005:$A$1516,"rtx")</f>
        <v/>
      </c>
      <c r="O3106" s="44">
        <f>SUMIFS(O$1005:O$1516,$A$1005:$A$1516,"rtx")</f>
        <v/>
      </c>
      <c r="P3106" s="44">
        <f>SUMIFS(P$1005:P$1516,$A$1005:$A$1516,"rtx")</f>
        <v/>
      </c>
      <c r="Q3106" s="44">
        <f>SUMIFS(Q$1005:Q$1516,$A$1005:$A$1516,"rtx")</f>
        <v/>
      </c>
      <c r="R3106" s="44">
        <f>SUMIFS(R$1005:R$1516,$A$1005:$A$1516,"rtx")</f>
        <v/>
      </c>
      <c r="S3106" s="44">
        <f>SUMIFS(S$1005:S$1516,$A$1005:$A$1516,"rtx")</f>
        <v/>
      </c>
      <c r="T3106" s="44">
        <f>SUMIFS(T$1005:T$1516,$A$1005:$A$1516,"rtx")</f>
        <v/>
      </c>
      <c r="U3106" s="44">
        <f>SUMIFS(U$1005:U$1516,$A$1005:$A$1516,"rtx")</f>
        <v/>
      </c>
      <c r="V3106" s="44">
        <f>SUMIFS(V$1005:V$1516,$A$1005:$A$1516,"rtx")</f>
        <v/>
      </c>
      <c r="W3106" s="44">
        <f>SUMIFS(W$1005:W$1516,$A$1005:$A$1516,"rtx")</f>
        <v/>
      </c>
      <c r="X3106" s="44">
        <f>SUMIFS(X$1005:X$1516,$A$1005:$A$1516,"rtx")</f>
        <v/>
      </c>
      <c r="Y3106" s="44">
        <f>SUMIFS(Y$1005:Y$1516,$A$1005:$A$1516,"rtx")</f>
        <v/>
      </c>
      <c r="Z3106" s="44">
        <f>SUMIFS(Z$1005:Z$1516,$A$1005:$A$1516,"rtx")</f>
        <v/>
      </c>
      <c r="AA3106" s="44">
        <f>SUMIFS(AA$1005:AA$1516,$A$1005:$A$1516,"rtx")</f>
        <v/>
      </c>
      <c r="AB3106" s="44">
        <f>SUMIFS(AB$1005:AB$1516,$A$1005:$A$1516,"rtx")</f>
        <v/>
      </c>
      <c r="AC3106" s="44">
        <f>SUMIFS(AC$1005:AC$1516,$A$1005:$A$1516,"rtx")</f>
        <v/>
      </c>
      <c r="AD3106" s="44">
        <f>SUMIFS(AD$1005:AD$1516,$A$1005:$A$1516,"rtx")</f>
        <v/>
      </c>
      <c r="AE3106" s="44">
        <f>SUMIFS(AE$1005:AE$1516,$A$1005:$A$1516,"rtx")</f>
        <v/>
      </c>
      <c r="AG3106" s="11">
        <f>CodePrefix&amp;$A3106&amp;IF($C3106="","","."&amp;$C3106&amp;"."&amp;$B3106)&amp;INDEX(VarEnd,MATCH($A3106,VarKey,0))&amp;AG$5</f>
        <v/>
      </c>
      <c r="AH3106" s="43">
        <f>SUMIFS(AH$1005:AH$1516,$A$1005:$A$1516,"rtx")</f>
        <v/>
      </c>
      <c r="AI3106" s="44">
        <f>SUMIFS(AI$1005:AI$1516,$A$1005:$A$1516,"rtx")</f>
        <v/>
      </c>
      <c r="AJ3106" s="44">
        <f>SUMIFS(AJ$1005:AJ$1516,$A$1005:$A$1516,"rtx")</f>
        <v/>
      </c>
      <c r="AK3106" s="44">
        <f>SUMIFS(AK$1005:AK$1516,$A$1005:$A$1516,"rtx")</f>
        <v/>
      </c>
      <c r="AL3106" s="44">
        <f>SUMIFS(AL$1005:AL$1516,$A$1005:$A$1516,"rtx")</f>
        <v/>
      </c>
      <c r="AM3106" s="44">
        <f>SUMIFS(AM$1005:AM$1516,$A$1005:$A$1516,"rtx")</f>
        <v/>
      </c>
      <c r="AN3106" s="44">
        <f>SUMIFS(AN$1005:AN$1516,$A$1005:$A$1516,"rtx")</f>
        <v/>
      </c>
      <c r="AO3106" s="44">
        <f>SUMIFS(AO$1005:AO$1516,$A$1005:$A$1516,"rtx")</f>
        <v/>
      </c>
      <c r="AP3106" s="44">
        <f>SUMIFS(AP$1005:AP$1516,$A$1005:$A$1516,"rtx")</f>
        <v/>
      </c>
      <c r="AQ3106" s="44">
        <f>SUMIFS(AQ$1005:AQ$1516,$A$1005:$A$1516,"rtx")</f>
        <v/>
      </c>
      <c r="AR3106" s="44">
        <f>SUMIFS(AR$1005:AR$1516,$A$1005:$A$1516,"rtx")</f>
        <v/>
      </c>
      <c r="AS3106" s="44">
        <f>SUMIFS(AS$1005:AS$1516,$A$1005:$A$1516,"rtx")</f>
        <v/>
      </c>
      <c r="AT3106" s="44">
        <f>SUMIFS(AT$1005:AT$1516,$A$1005:$A$1516,"rtx")</f>
        <v/>
      </c>
      <c r="AU3106" s="44">
        <f>SUMIFS(AU$1005:AU$1516,$A$1005:$A$1516,"rtx")</f>
        <v/>
      </c>
      <c r="AV3106" s="44">
        <f>SUMIFS(AV$1005:AV$1516,$A$1005:$A$1516,"rtx")</f>
        <v/>
      </c>
      <c r="AW3106" s="44">
        <f>SUMIFS(AW$1005:AW$1516,$A$1005:$A$1516,"rtx")</f>
        <v/>
      </c>
      <c r="AX3106" s="44">
        <f>SUMIFS(AX$1005:AX$1516,$A$1005:$A$1516,"rtx")</f>
        <v/>
      </c>
      <c r="AY3106" s="44">
        <f>SUMIFS(AY$1005:AY$1516,$A$1005:$A$1516,"rtx")</f>
        <v/>
      </c>
      <c r="AZ3106" s="44">
        <f>SUMIFS(AZ$1005:AZ$1516,$A$1005:$A$1516,"rtx")</f>
        <v/>
      </c>
      <c r="BA3106" s="44">
        <f>SUMIFS(BA$1005:BA$1516,$A$1005:$A$1516,"rtx")</f>
        <v/>
      </c>
    </row>
    <row r="3107" hidden="1" outlineLevel="1">
      <c r="A3107" s="14" t="inlineStr">
        <is>
          <t>rtx</t>
        </is>
      </c>
      <c r="B3107" s="14" t="inlineStr">
        <is>
          <t>all</t>
        </is>
      </c>
      <c r="C3107" s="14" t="inlineStr">
        <is>
          <t>bld</t>
        </is>
      </c>
      <c r="H3107" s="14">
        <f>INDEX(VarLab,MATCH($A3107,VarKey,0))&amp;INDEX(MemLab,MATCH($C3107&amp;"|"&amp;$B3107,MemKey,0))</f>
        <v/>
      </c>
      <c r="I3107" s="14">
        <f>INDEX(VarUnit,MATCH($A3107,VarKey,0))</f>
        <v/>
      </c>
      <c r="J3107" s="14">
        <f>INDEX(VarSrc,MATCH($A3107,VarKey,0))</f>
        <v/>
      </c>
      <c r="K3107" s="11">
        <f>CodePrefix&amp;$A3107&amp;IF($C3107="","","."&amp;$C3107&amp;"."&amp;$B3107)&amp;INDEX(VarEnd,MATCH($A3107,VarKey,0))&amp;K$5</f>
        <v/>
      </c>
      <c r="L3107" s="43">
        <f>SUMIFS(L$1520:L$1903,$A$1520:$A$1903,"rtx")</f>
        <v/>
      </c>
      <c r="M3107" s="44">
        <f>SUMIFS(M$1520:M$1903,$A$1520:$A$1903,"rtx")</f>
        <v/>
      </c>
      <c r="N3107" s="44">
        <f>SUMIFS(N$1520:N$1903,$A$1520:$A$1903,"rtx")</f>
        <v/>
      </c>
      <c r="O3107" s="44">
        <f>SUMIFS(O$1520:O$1903,$A$1520:$A$1903,"rtx")</f>
        <v/>
      </c>
      <c r="P3107" s="44">
        <f>SUMIFS(P$1520:P$1903,$A$1520:$A$1903,"rtx")</f>
        <v/>
      </c>
      <c r="Q3107" s="44">
        <f>SUMIFS(Q$1520:Q$1903,$A$1520:$A$1903,"rtx")</f>
        <v/>
      </c>
      <c r="R3107" s="44">
        <f>SUMIFS(R$1520:R$1903,$A$1520:$A$1903,"rtx")</f>
        <v/>
      </c>
      <c r="S3107" s="44">
        <f>SUMIFS(S$1520:S$1903,$A$1520:$A$1903,"rtx")</f>
        <v/>
      </c>
      <c r="T3107" s="44">
        <f>SUMIFS(T$1520:T$1903,$A$1520:$A$1903,"rtx")</f>
        <v/>
      </c>
      <c r="U3107" s="44">
        <f>SUMIFS(U$1520:U$1903,$A$1520:$A$1903,"rtx")</f>
        <v/>
      </c>
      <c r="V3107" s="44">
        <f>SUMIFS(V$1520:V$1903,$A$1520:$A$1903,"rtx")</f>
        <v/>
      </c>
      <c r="W3107" s="44">
        <f>SUMIFS(W$1520:W$1903,$A$1520:$A$1903,"rtx")</f>
        <v/>
      </c>
      <c r="X3107" s="44">
        <f>SUMIFS(X$1520:X$1903,$A$1520:$A$1903,"rtx")</f>
        <v/>
      </c>
      <c r="Y3107" s="44">
        <f>SUMIFS(Y$1520:Y$1903,$A$1520:$A$1903,"rtx")</f>
        <v/>
      </c>
      <c r="Z3107" s="44">
        <f>SUMIFS(Z$1520:Z$1903,$A$1520:$A$1903,"rtx")</f>
        <v/>
      </c>
      <c r="AA3107" s="44">
        <f>SUMIFS(AA$1520:AA$1903,$A$1520:$A$1903,"rtx")</f>
        <v/>
      </c>
      <c r="AB3107" s="44">
        <f>SUMIFS(AB$1520:AB$1903,$A$1520:$A$1903,"rtx")</f>
        <v/>
      </c>
      <c r="AC3107" s="44">
        <f>SUMIFS(AC$1520:AC$1903,$A$1520:$A$1903,"rtx")</f>
        <v/>
      </c>
      <c r="AD3107" s="44">
        <f>SUMIFS(AD$1520:AD$1903,$A$1520:$A$1903,"rtx")</f>
        <v/>
      </c>
      <c r="AE3107" s="44">
        <f>SUMIFS(AE$1520:AE$1903,$A$1520:$A$1903,"rtx")</f>
        <v/>
      </c>
      <c r="AG3107" s="11">
        <f>CodePrefix&amp;$A3107&amp;IF($C3107="","","."&amp;$C3107&amp;"."&amp;$B3107)&amp;INDEX(VarEnd,MATCH($A3107,VarKey,0))&amp;AG$5</f>
        <v/>
      </c>
      <c r="AH3107" s="43">
        <f>SUMIFS(AH$1520:AH$1903,$A$1520:$A$1903,"rtx")</f>
        <v/>
      </c>
      <c r="AI3107" s="44">
        <f>SUMIFS(AI$1520:AI$1903,$A$1520:$A$1903,"rtx")</f>
        <v/>
      </c>
      <c r="AJ3107" s="44">
        <f>SUMIFS(AJ$1520:AJ$1903,$A$1520:$A$1903,"rtx")</f>
        <v/>
      </c>
      <c r="AK3107" s="44">
        <f>SUMIFS(AK$1520:AK$1903,$A$1520:$A$1903,"rtx")</f>
        <v/>
      </c>
      <c r="AL3107" s="44">
        <f>SUMIFS(AL$1520:AL$1903,$A$1520:$A$1903,"rtx")</f>
        <v/>
      </c>
      <c r="AM3107" s="44">
        <f>SUMIFS(AM$1520:AM$1903,$A$1520:$A$1903,"rtx")</f>
        <v/>
      </c>
      <c r="AN3107" s="44">
        <f>SUMIFS(AN$1520:AN$1903,$A$1520:$A$1903,"rtx")</f>
        <v/>
      </c>
      <c r="AO3107" s="44">
        <f>SUMIFS(AO$1520:AO$1903,$A$1520:$A$1903,"rtx")</f>
        <v/>
      </c>
      <c r="AP3107" s="44">
        <f>SUMIFS(AP$1520:AP$1903,$A$1520:$A$1903,"rtx")</f>
        <v/>
      </c>
      <c r="AQ3107" s="44">
        <f>SUMIFS(AQ$1520:AQ$1903,$A$1520:$A$1903,"rtx")</f>
        <v/>
      </c>
      <c r="AR3107" s="44">
        <f>SUMIFS(AR$1520:AR$1903,$A$1520:$A$1903,"rtx")</f>
        <v/>
      </c>
      <c r="AS3107" s="44">
        <f>SUMIFS(AS$1520:AS$1903,$A$1520:$A$1903,"rtx")</f>
        <v/>
      </c>
      <c r="AT3107" s="44">
        <f>SUMIFS(AT$1520:AT$1903,$A$1520:$A$1903,"rtx")</f>
        <v/>
      </c>
      <c r="AU3107" s="44">
        <f>SUMIFS(AU$1520:AU$1903,$A$1520:$A$1903,"rtx")</f>
        <v/>
      </c>
      <c r="AV3107" s="44">
        <f>SUMIFS(AV$1520:AV$1903,$A$1520:$A$1903,"rtx")</f>
        <v/>
      </c>
      <c r="AW3107" s="44">
        <f>SUMIFS(AW$1520:AW$1903,$A$1520:$A$1903,"rtx")</f>
        <v/>
      </c>
      <c r="AX3107" s="44">
        <f>SUMIFS(AX$1520:AX$1903,$A$1520:$A$1903,"rtx")</f>
        <v/>
      </c>
      <c r="AY3107" s="44">
        <f>SUMIFS(AY$1520:AY$1903,$A$1520:$A$1903,"rtx")</f>
        <v/>
      </c>
      <c r="AZ3107" s="44">
        <f>SUMIFS(AZ$1520:AZ$1903,$A$1520:$A$1903,"rtx")</f>
        <v/>
      </c>
      <c r="BA3107" s="44">
        <f>SUMIFS(BA$1520:BA$1903,$A$1520:$A$1903,"rtx")</f>
        <v/>
      </c>
    </row>
    <row r="3108" hidden="1" outlineLevel="1">
      <c r="A3108" s="14" t="inlineStr">
        <is>
          <t>rtx</t>
        </is>
      </c>
      <c r="B3108" s="14" t="inlineStr">
        <is>
          <t>all</t>
        </is>
      </c>
      <c r="C3108" s="14" t="inlineStr">
        <is>
          <t>ind</t>
        </is>
      </c>
      <c r="H3108" s="14">
        <f>INDEX(VarLab,MATCH($A3108,VarKey,0))&amp;INDEX(MemLab,MATCH($C3108&amp;"|"&amp;$B3108,MemKey,0))</f>
        <v/>
      </c>
      <c r="I3108" s="14">
        <f>INDEX(VarUnit,MATCH($A3108,VarKey,0))</f>
        <v/>
      </c>
      <c r="J3108" s="14">
        <f>INDEX(VarSrc,MATCH($A3108,VarKey,0))</f>
        <v/>
      </c>
      <c r="K3108" s="11">
        <f>CodePrefix&amp;$A3108&amp;IF($C3108="","","."&amp;$C3108&amp;"."&amp;$B3108)&amp;INDEX(VarEnd,MATCH($A3108,VarKey,0))&amp;K$5</f>
        <v/>
      </c>
      <c r="L3108" s="43">
        <f>SUMIFS(L$1907:L$2930,$A$1907:$A$2930,"rtx")</f>
        <v/>
      </c>
      <c r="M3108" s="44">
        <f>SUMIFS(M$1907:M$2930,$A$1907:$A$2930,"rtx")</f>
        <v/>
      </c>
      <c r="N3108" s="44">
        <f>SUMIFS(N$1907:N$2930,$A$1907:$A$2930,"rtx")</f>
        <v/>
      </c>
      <c r="O3108" s="44">
        <f>SUMIFS(O$1907:O$2930,$A$1907:$A$2930,"rtx")</f>
        <v/>
      </c>
      <c r="P3108" s="44">
        <f>SUMIFS(P$1907:P$2930,$A$1907:$A$2930,"rtx")</f>
        <v/>
      </c>
      <c r="Q3108" s="44">
        <f>SUMIFS(Q$1907:Q$2930,$A$1907:$A$2930,"rtx")</f>
        <v/>
      </c>
      <c r="R3108" s="44">
        <f>SUMIFS(R$1907:R$2930,$A$1907:$A$2930,"rtx")</f>
        <v/>
      </c>
      <c r="S3108" s="44">
        <f>SUMIFS(S$1907:S$2930,$A$1907:$A$2930,"rtx")</f>
        <v/>
      </c>
      <c r="T3108" s="44">
        <f>SUMIFS(T$1907:T$2930,$A$1907:$A$2930,"rtx")</f>
        <v/>
      </c>
      <c r="U3108" s="44">
        <f>SUMIFS(U$1907:U$2930,$A$1907:$A$2930,"rtx")</f>
        <v/>
      </c>
      <c r="V3108" s="44">
        <f>SUMIFS(V$1907:V$2930,$A$1907:$A$2930,"rtx")</f>
        <v/>
      </c>
      <c r="W3108" s="44">
        <f>SUMIFS(W$1907:W$2930,$A$1907:$A$2930,"rtx")</f>
        <v/>
      </c>
      <c r="X3108" s="44">
        <f>SUMIFS(X$1907:X$2930,$A$1907:$A$2930,"rtx")</f>
        <v/>
      </c>
      <c r="Y3108" s="44">
        <f>SUMIFS(Y$1907:Y$2930,$A$1907:$A$2930,"rtx")</f>
        <v/>
      </c>
      <c r="Z3108" s="44">
        <f>SUMIFS(Z$1907:Z$2930,$A$1907:$A$2930,"rtx")</f>
        <v/>
      </c>
      <c r="AA3108" s="44">
        <f>SUMIFS(AA$1907:AA$2930,$A$1907:$A$2930,"rtx")</f>
        <v/>
      </c>
      <c r="AB3108" s="44">
        <f>SUMIFS(AB$1907:AB$2930,$A$1907:$A$2930,"rtx")</f>
        <v/>
      </c>
      <c r="AC3108" s="44">
        <f>SUMIFS(AC$1907:AC$2930,$A$1907:$A$2930,"rtx")</f>
        <v/>
      </c>
      <c r="AD3108" s="44">
        <f>SUMIFS(AD$1907:AD$2930,$A$1907:$A$2930,"rtx")</f>
        <v/>
      </c>
      <c r="AE3108" s="44">
        <f>SUMIFS(AE$1907:AE$2930,$A$1907:$A$2930,"rtx")</f>
        <v/>
      </c>
      <c r="AG3108" s="11">
        <f>CodePrefix&amp;$A3108&amp;IF($C3108="","","."&amp;$C3108&amp;"."&amp;$B3108)&amp;INDEX(VarEnd,MATCH($A3108,VarKey,0))&amp;AG$5</f>
        <v/>
      </c>
      <c r="AH3108" s="43">
        <f>SUMIFS(AH$1907:AH$2930,$A$1907:$A$2930,"rtx")</f>
        <v/>
      </c>
      <c r="AI3108" s="44">
        <f>SUMIFS(AI$1907:AI$2930,$A$1907:$A$2930,"rtx")</f>
        <v/>
      </c>
      <c r="AJ3108" s="44">
        <f>SUMIFS(AJ$1907:AJ$2930,$A$1907:$A$2930,"rtx")</f>
        <v/>
      </c>
      <c r="AK3108" s="44">
        <f>SUMIFS(AK$1907:AK$2930,$A$1907:$A$2930,"rtx")</f>
        <v/>
      </c>
      <c r="AL3108" s="44">
        <f>SUMIFS(AL$1907:AL$2930,$A$1907:$A$2930,"rtx")</f>
        <v/>
      </c>
      <c r="AM3108" s="44">
        <f>SUMIFS(AM$1907:AM$2930,$A$1907:$A$2930,"rtx")</f>
        <v/>
      </c>
      <c r="AN3108" s="44">
        <f>SUMIFS(AN$1907:AN$2930,$A$1907:$A$2930,"rtx")</f>
        <v/>
      </c>
      <c r="AO3108" s="44">
        <f>SUMIFS(AO$1907:AO$2930,$A$1907:$A$2930,"rtx")</f>
        <v/>
      </c>
      <c r="AP3108" s="44">
        <f>SUMIFS(AP$1907:AP$2930,$A$1907:$A$2930,"rtx")</f>
        <v/>
      </c>
      <c r="AQ3108" s="44">
        <f>SUMIFS(AQ$1907:AQ$2930,$A$1907:$A$2930,"rtx")</f>
        <v/>
      </c>
      <c r="AR3108" s="44">
        <f>SUMIFS(AR$1907:AR$2930,$A$1907:$A$2930,"rtx")</f>
        <v/>
      </c>
      <c r="AS3108" s="44">
        <f>SUMIFS(AS$1907:AS$2930,$A$1907:$A$2930,"rtx")</f>
        <v/>
      </c>
      <c r="AT3108" s="44">
        <f>SUMIFS(AT$1907:AT$2930,$A$1907:$A$2930,"rtx")</f>
        <v/>
      </c>
      <c r="AU3108" s="44">
        <f>SUMIFS(AU$1907:AU$2930,$A$1907:$A$2930,"rtx")</f>
        <v/>
      </c>
      <c r="AV3108" s="44">
        <f>SUMIFS(AV$1907:AV$2930,$A$1907:$A$2930,"rtx")</f>
        <v/>
      </c>
      <c r="AW3108" s="44">
        <f>SUMIFS(AW$1907:AW$2930,$A$1907:$A$2930,"rtx")</f>
        <v/>
      </c>
      <c r="AX3108" s="44">
        <f>SUMIFS(AX$1907:AX$2930,$A$1907:$A$2930,"rtx")</f>
        <v/>
      </c>
      <c r="AY3108" s="44">
        <f>SUMIFS(AY$1907:AY$2930,$A$1907:$A$2930,"rtx")</f>
        <v/>
      </c>
      <c r="AZ3108" s="44">
        <f>SUMIFS(AZ$1907:AZ$2930,$A$1907:$A$2930,"rtx")</f>
        <v/>
      </c>
      <c r="BA3108" s="44">
        <f>SUMIFS(BA$1907:BA$2930,$A$1907:$A$2930,"rtx")</f>
        <v/>
      </c>
    </row>
    <row r="3109" hidden="1" outlineLevel="1">
      <c r="A3109" s="14" t="inlineStr">
        <is>
          <t>rtx</t>
        </is>
      </c>
      <c r="B3109" s="14" t="inlineStr">
        <is>
          <t>all</t>
        </is>
      </c>
      <c r="C3109" s="14" t="inlineStr">
        <is>
          <t>oen</t>
        </is>
      </c>
      <c r="H3109" s="14">
        <f>INDEX(VarLab,MATCH($A3109,VarKey,0))&amp;INDEX(MemLab,MATCH($C3109&amp;"|"&amp;$B3109,MemKey,0))</f>
        <v/>
      </c>
      <c r="I3109" s="14">
        <f>INDEX(VarUnit,MATCH($A3109,VarKey,0))</f>
        <v/>
      </c>
      <c r="J3109" s="14">
        <f>INDEX(VarSrc,MATCH($A3109,VarKey,0))</f>
        <v/>
      </c>
      <c r="K3109" s="11">
        <f>CodePrefix&amp;$A3109&amp;IF($C3109="","","."&amp;$C3109&amp;"."&amp;$B3109)&amp;INDEX(VarEnd,MATCH($A3109,VarKey,0))&amp;K$5</f>
        <v/>
      </c>
      <c r="L3109" s="43">
        <f>SUMIFS(L$2934:L$3061,$A$2934:$A$3061,"rtx")</f>
        <v/>
      </c>
      <c r="M3109" s="44">
        <f>SUMIFS(M$2934:M$3061,$A$2934:$A$3061,"rtx")</f>
        <v/>
      </c>
      <c r="N3109" s="44">
        <f>SUMIFS(N$2934:N$3061,$A$2934:$A$3061,"rtx")</f>
        <v/>
      </c>
      <c r="O3109" s="44">
        <f>SUMIFS(O$2934:O$3061,$A$2934:$A$3061,"rtx")</f>
        <v/>
      </c>
      <c r="P3109" s="44">
        <f>SUMIFS(P$2934:P$3061,$A$2934:$A$3061,"rtx")</f>
        <v/>
      </c>
      <c r="Q3109" s="44">
        <f>SUMIFS(Q$2934:Q$3061,$A$2934:$A$3061,"rtx")</f>
        <v/>
      </c>
      <c r="R3109" s="44">
        <f>SUMIFS(R$2934:R$3061,$A$2934:$A$3061,"rtx")</f>
        <v/>
      </c>
      <c r="S3109" s="44">
        <f>SUMIFS(S$2934:S$3061,$A$2934:$A$3061,"rtx")</f>
        <v/>
      </c>
      <c r="T3109" s="44">
        <f>SUMIFS(T$2934:T$3061,$A$2934:$A$3061,"rtx")</f>
        <v/>
      </c>
      <c r="U3109" s="44">
        <f>SUMIFS(U$2934:U$3061,$A$2934:$A$3061,"rtx")</f>
        <v/>
      </c>
      <c r="V3109" s="44">
        <f>SUMIFS(V$2934:V$3061,$A$2934:$A$3061,"rtx")</f>
        <v/>
      </c>
      <c r="W3109" s="44">
        <f>SUMIFS(W$2934:W$3061,$A$2934:$A$3061,"rtx")</f>
        <v/>
      </c>
      <c r="X3109" s="44">
        <f>SUMIFS(X$2934:X$3061,$A$2934:$A$3061,"rtx")</f>
        <v/>
      </c>
      <c r="Y3109" s="44">
        <f>SUMIFS(Y$2934:Y$3061,$A$2934:$A$3061,"rtx")</f>
        <v/>
      </c>
      <c r="Z3109" s="44">
        <f>SUMIFS(Z$2934:Z$3061,$A$2934:$A$3061,"rtx")</f>
        <v/>
      </c>
      <c r="AA3109" s="44">
        <f>SUMIFS(AA$2934:AA$3061,$A$2934:$A$3061,"rtx")</f>
        <v/>
      </c>
      <c r="AB3109" s="44">
        <f>SUMIFS(AB$2934:AB$3061,$A$2934:$A$3061,"rtx")</f>
        <v/>
      </c>
      <c r="AC3109" s="44">
        <f>SUMIFS(AC$2934:AC$3061,$A$2934:$A$3061,"rtx")</f>
        <v/>
      </c>
      <c r="AD3109" s="44">
        <f>SUMIFS(AD$2934:AD$3061,$A$2934:$A$3061,"rtx")</f>
        <v/>
      </c>
      <c r="AE3109" s="44">
        <f>SUMIFS(AE$2934:AE$3061,$A$2934:$A$3061,"rtx")</f>
        <v/>
      </c>
      <c r="AG3109" s="11">
        <f>CodePrefix&amp;$A3109&amp;IF($C3109="","","."&amp;$C3109&amp;"."&amp;$B3109)&amp;INDEX(VarEnd,MATCH($A3109,VarKey,0))&amp;AG$5</f>
        <v/>
      </c>
      <c r="AH3109" s="43">
        <f>SUMIFS(AH$2934:AH$3061,$A$2934:$A$3061,"rtx")</f>
        <v/>
      </c>
      <c r="AI3109" s="44">
        <f>SUMIFS(AI$2934:AI$3061,$A$2934:$A$3061,"rtx")</f>
        <v/>
      </c>
      <c r="AJ3109" s="44">
        <f>SUMIFS(AJ$2934:AJ$3061,$A$2934:$A$3061,"rtx")</f>
        <v/>
      </c>
      <c r="AK3109" s="44">
        <f>SUMIFS(AK$2934:AK$3061,$A$2934:$A$3061,"rtx")</f>
        <v/>
      </c>
      <c r="AL3109" s="44">
        <f>SUMIFS(AL$2934:AL$3061,$A$2934:$A$3061,"rtx")</f>
        <v/>
      </c>
      <c r="AM3109" s="44">
        <f>SUMIFS(AM$2934:AM$3061,$A$2934:$A$3061,"rtx")</f>
        <v/>
      </c>
      <c r="AN3109" s="44">
        <f>SUMIFS(AN$2934:AN$3061,$A$2934:$A$3061,"rtx")</f>
        <v/>
      </c>
      <c r="AO3109" s="44">
        <f>SUMIFS(AO$2934:AO$3061,$A$2934:$A$3061,"rtx")</f>
        <v/>
      </c>
      <c r="AP3109" s="44">
        <f>SUMIFS(AP$2934:AP$3061,$A$2934:$A$3061,"rtx")</f>
        <v/>
      </c>
      <c r="AQ3109" s="44">
        <f>SUMIFS(AQ$2934:AQ$3061,$A$2934:$A$3061,"rtx")</f>
        <v/>
      </c>
      <c r="AR3109" s="44">
        <f>SUMIFS(AR$2934:AR$3061,$A$2934:$A$3061,"rtx")</f>
        <v/>
      </c>
      <c r="AS3109" s="44">
        <f>SUMIFS(AS$2934:AS$3061,$A$2934:$A$3061,"rtx")</f>
        <v/>
      </c>
      <c r="AT3109" s="44">
        <f>SUMIFS(AT$2934:AT$3061,$A$2934:$A$3061,"rtx")</f>
        <v/>
      </c>
      <c r="AU3109" s="44">
        <f>SUMIFS(AU$2934:AU$3061,$A$2934:$A$3061,"rtx")</f>
        <v/>
      </c>
      <c r="AV3109" s="44">
        <f>SUMIFS(AV$2934:AV$3061,$A$2934:$A$3061,"rtx")</f>
        <v/>
      </c>
      <c r="AW3109" s="44">
        <f>SUMIFS(AW$2934:AW$3061,$A$2934:$A$3061,"rtx")</f>
        <v/>
      </c>
      <c r="AX3109" s="44">
        <f>SUMIFS(AX$2934:AX$3061,$A$2934:$A$3061,"rtx")</f>
        <v/>
      </c>
      <c r="AY3109" s="44">
        <f>SUMIFS(AY$2934:AY$3061,$A$2934:$A$3061,"rtx")</f>
        <v/>
      </c>
      <c r="AZ3109" s="44">
        <f>SUMIFS(AZ$2934:AZ$3061,$A$2934:$A$3061,"rtx")</f>
        <v/>
      </c>
      <c r="BA3109" s="44">
        <f>SUMIFS(BA$2934:BA$3061,$A$2934:$A$3061,"rtx")</f>
        <v/>
      </c>
    </row>
    <row r="3110" hidden="1" outlineLevel="1">
      <c r="A3110" s="14" t="inlineStr">
        <is>
          <t>rtx</t>
        </is>
      </c>
      <c r="B3110" s="14" t="inlineStr">
        <is>
          <t>all</t>
        </is>
      </c>
      <c r="C3110" s="14" t="inlineStr">
        <is>
          <t>pow</t>
        </is>
      </c>
      <c r="H3110" s="14">
        <f>INDEX(VarLab,MATCH($A3110,VarKey,0))&amp;INDEX(MemLab,MATCH($C3110&amp;"|"&amp;$B3110,MemKey,0))</f>
        <v/>
      </c>
      <c r="I3110" s="14">
        <f>INDEX(VarUnit,MATCH($A3110,VarKey,0))</f>
        <v/>
      </c>
      <c r="J3110" s="14">
        <f>INDEX(VarSrc,MATCH($A3110,VarKey,0))</f>
        <v/>
      </c>
      <c r="K3110" s="11">
        <f>CodePrefix&amp;$A3110&amp;IF($C3110="","","."&amp;$C3110&amp;"."&amp;$B3110)&amp;INDEX(VarEnd,MATCH($A3110,VarKey,0))&amp;K$5</f>
        <v/>
      </c>
      <c r="L3110" s="43">
        <f>SUM(L$950:L$958)+SUM(L$970:L$978)+SUM(L$651:L$652)</f>
        <v/>
      </c>
      <c r="M3110" s="44">
        <f>SUM(M$950:M$958)+SUM(M$970:M$978)+SUM(M$651:M$652)</f>
        <v/>
      </c>
      <c r="N3110" s="44">
        <f>SUM(N$950:N$958)+SUM(N$970:N$978)+SUM(N$651:N$652)</f>
        <v/>
      </c>
      <c r="O3110" s="44">
        <f>SUM(O$950:O$958)+SUM(O$970:O$978)+SUM(O$651:O$652)</f>
        <v/>
      </c>
      <c r="P3110" s="44">
        <f>SUM(P$950:P$958)+SUM(P$970:P$978)+SUM(P$651:P$652)</f>
        <v/>
      </c>
      <c r="Q3110" s="44">
        <f>SUM(Q$950:Q$958)+SUM(Q$970:Q$978)+SUM(Q$651:Q$652)</f>
        <v/>
      </c>
      <c r="R3110" s="44">
        <f>SUM(R$950:R$958)+SUM(R$970:R$978)+SUM(R$651:R$652)</f>
        <v/>
      </c>
      <c r="S3110" s="44">
        <f>SUM(S$950:S$958)+SUM(S$970:S$978)+SUM(S$651:S$652)</f>
        <v/>
      </c>
      <c r="T3110" s="44">
        <f>SUM(T$950:T$958)+SUM(T$970:T$978)+SUM(T$651:T$652)</f>
        <v/>
      </c>
      <c r="U3110" s="44">
        <f>SUM(U$950:U$958)+SUM(U$970:U$978)+SUM(U$651:U$652)</f>
        <v/>
      </c>
      <c r="V3110" s="44">
        <f>SUM(V$950:V$958)+SUM(V$970:V$978)+SUM(V$651:V$652)</f>
        <v/>
      </c>
      <c r="W3110" s="44">
        <f>SUM(W$950:W$958)+SUM(W$970:W$978)+SUM(W$651:W$652)</f>
        <v/>
      </c>
      <c r="X3110" s="44">
        <f>SUM(X$950:X$958)+SUM(X$970:X$978)+SUM(X$651:X$652)</f>
        <v/>
      </c>
      <c r="Y3110" s="44">
        <f>SUM(Y$950:Y$958)+SUM(Y$970:Y$978)+SUM(Y$651:Y$652)</f>
        <v/>
      </c>
      <c r="Z3110" s="44">
        <f>SUM(Z$950:Z$958)+SUM(Z$970:Z$978)+SUM(Z$651:Z$652)</f>
        <v/>
      </c>
      <c r="AA3110" s="44">
        <f>SUM(AA$950:AA$958)+SUM(AA$970:AA$978)+SUM(AA$651:AA$652)</f>
        <v/>
      </c>
      <c r="AB3110" s="44">
        <f>SUM(AB$950:AB$958)+SUM(AB$970:AB$978)+SUM(AB$651:AB$652)</f>
        <v/>
      </c>
      <c r="AC3110" s="44">
        <f>SUM(AC$950:AC$958)+SUM(AC$970:AC$978)+SUM(AC$651:AC$652)</f>
        <v/>
      </c>
      <c r="AD3110" s="44">
        <f>SUM(AD$950:AD$958)+SUM(AD$970:AD$978)+SUM(AD$651:AD$652)</f>
        <v/>
      </c>
      <c r="AE3110" s="44">
        <f>SUM(AE$950:AE$958)+SUM(AE$970:AE$978)+SUM(AE$651:AE$652)</f>
        <v/>
      </c>
      <c r="AG3110" s="11">
        <f>CodePrefix&amp;$A3110&amp;IF($C3110="","","."&amp;$C3110&amp;"."&amp;$B3110)&amp;INDEX(VarEnd,MATCH($A3110,VarKey,0))&amp;AG$5</f>
        <v/>
      </c>
      <c r="AH3110" s="43">
        <f>SUM(AH$950:AH$958)+SUM(AH$970:AH$978)+SUM(AH$651:AH$652)</f>
        <v/>
      </c>
      <c r="AI3110" s="44">
        <f>SUM(AI$950:AI$958)+SUM(AI$970:AI$978)+SUM(AI$651:AI$652)</f>
        <v/>
      </c>
      <c r="AJ3110" s="44">
        <f>SUM(AJ$950:AJ$958)+SUM(AJ$970:AJ$978)+SUM(AJ$651:AJ$652)</f>
        <v/>
      </c>
      <c r="AK3110" s="44">
        <f>SUM(AK$950:AK$958)+SUM(AK$970:AK$978)+SUM(AK$651:AK$652)</f>
        <v/>
      </c>
      <c r="AL3110" s="44">
        <f>SUM(AL$950:AL$958)+SUM(AL$970:AL$978)+SUM(AL$651:AL$652)</f>
        <v/>
      </c>
      <c r="AM3110" s="44">
        <f>SUM(AM$950:AM$958)+SUM(AM$970:AM$978)+SUM(AM$651:AM$652)</f>
        <v/>
      </c>
      <c r="AN3110" s="44">
        <f>SUM(AN$950:AN$958)+SUM(AN$970:AN$978)+SUM(AN$651:AN$652)</f>
        <v/>
      </c>
      <c r="AO3110" s="44">
        <f>SUM(AO$950:AO$958)+SUM(AO$970:AO$978)+SUM(AO$651:AO$652)</f>
        <v/>
      </c>
      <c r="AP3110" s="44">
        <f>SUM(AP$950:AP$958)+SUM(AP$970:AP$978)+SUM(AP$651:AP$652)</f>
        <v/>
      </c>
      <c r="AQ3110" s="44">
        <f>SUM(AQ$950:AQ$958)+SUM(AQ$970:AQ$978)+SUM(AQ$651:AQ$652)</f>
        <v/>
      </c>
      <c r="AR3110" s="44">
        <f>SUM(AR$950:AR$958)+SUM(AR$970:AR$978)+SUM(AR$651:AR$652)</f>
        <v/>
      </c>
      <c r="AS3110" s="44">
        <f>SUM(AS$950:AS$958)+SUM(AS$970:AS$978)+SUM(AS$651:AS$652)</f>
        <v/>
      </c>
      <c r="AT3110" s="44">
        <f>SUM(AT$950:AT$958)+SUM(AT$970:AT$978)+SUM(AT$651:AT$652)</f>
        <v/>
      </c>
      <c r="AU3110" s="44">
        <f>SUM(AU$950:AU$958)+SUM(AU$970:AU$978)+SUM(AU$651:AU$652)</f>
        <v/>
      </c>
      <c r="AV3110" s="44">
        <f>SUM(AV$950:AV$958)+SUM(AV$970:AV$978)+SUM(AV$651:AV$652)</f>
        <v/>
      </c>
      <c r="AW3110" s="44">
        <f>SUM(AW$950:AW$958)+SUM(AW$970:AW$978)+SUM(AW$651:AW$652)</f>
        <v/>
      </c>
      <c r="AX3110" s="44">
        <f>SUM(AX$950:AX$958)+SUM(AX$970:AX$978)+SUM(AX$651:AX$652)</f>
        <v/>
      </c>
      <c r="AY3110" s="44">
        <f>SUM(AY$950:AY$958)+SUM(AY$970:AY$978)+SUM(AY$651:AY$652)</f>
        <v/>
      </c>
      <c r="AZ3110" s="44">
        <f>SUM(AZ$950:AZ$958)+SUM(AZ$970:AZ$978)+SUM(AZ$651:AZ$652)</f>
        <v/>
      </c>
      <c r="BA3110" s="44">
        <f>SUM(BA$950:BA$958)+SUM(BA$970:BA$978)+SUM(BA$651:BA$652)</f>
        <v/>
      </c>
    </row>
    <row r="3111" collapsed="1">
      <c r="A3111" s="1" t="inlineStr">
        <is>
          <t>rsub</t>
        </is>
      </c>
      <c r="B3111" s="1" t="inlineStr">
        <is>
          <t>all</t>
        </is>
      </c>
      <c r="C3111" s="1" t="inlineStr">
        <is>
          <t>all</t>
        </is>
      </c>
      <c r="H3111" s="1">
        <f>INDEX(VarLab,MATCH($A3111,VarKey,0))&amp;INDEX(MemLab,MATCH($C3111&amp;"|"&amp;$B3111,MemKey,0))</f>
        <v/>
      </c>
      <c r="I3111" s="1">
        <f>INDEX(VarUnit,MATCH($A3111,VarKey,0))</f>
        <v/>
      </c>
      <c r="J3111" s="1">
        <f>INDEX(VarSrc,MATCH($A3111,VarKey,0))</f>
        <v/>
      </c>
      <c r="K3111" s="17">
        <f>CodePrefix&amp;$A3111&amp;IF($C3111="","","."&amp;$C3111&amp;"."&amp;$B3111)&amp;INDEX(VarEnd,MATCH($A3111,VarKey,0))&amp;K$5</f>
        <v/>
      </c>
      <c r="L3111" s="68">
        <f>SUMIFS(L$1003:L$3061,SecVar,"rsub")+L3116</f>
        <v/>
      </c>
      <c r="M3111" s="69">
        <f>SUMIFS(M$1003:M$3061,SecVar,"rsub")+M3116</f>
        <v/>
      </c>
      <c r="N3111" s="69">
        <f>SUMIFS(N$1003:N$3061,SecVar,"rsub")+N3116</f>
        <v/>
      </c>
      <c r="O3111" s="69">
        <f>SUMIFS(O$1003:O$3061,SecVar,"rsub")+O3116</f>
        <v/>
      </c>
      <c r="P3111" s="69">
        <f>SUMIFS(P$1003:P$3061,SecVar,"rsub")+P3116</f>
        <v/>
      </c>
      <c r="Q3111" s="69">
        <f>SUMIFS(Q$1003:Q$3061,SecVar,"rsub")+Q3116</f>
        <v/>
      </c>
      <c r="R3111" s="69">
        <f>SUMIFS(R$1003:R$3061,SecVar,"rsub")+R3116</f>
        <v/>
      </c>
      <c r="S3111" s="69">
        <f>SUMIFS(S$1003:S$3061,SecVar,"rsub")+S3116</f>
        <v/>
      </c>
      <c r="T3111" s="69">
        <f>SUMIFS(T$1003:T$3061,SecVar,"rsub")+T3116</f>
        <v/>
      </c>
      <c r="U3111" s="69">
        <f>SUMIFS(U$1003:U$3061,SecVar,"rsub")+U3116</f>
        <v/>
      </c>
      <c r="V3111" s="69">
        <f>SUMIFS(V$1003:V$3061,SecVar,"rsub")+V3116</f>
        <v/>
      </c>
      <c r="W3111" s="69">
        <f>SUMIFS(W$1003:W$3061,SecVar,"rsub")+W3116</f>
        <v/>
      </c>
      <c r="X3111" s="69">
        <f>SUMIFS(X$1003:X$3061,SecVar,"rsub")+X3116</f>
        <v/>
      </c>
      <c r="Y3111" s="69">
        <f>SUMIFS(Y$1003:Y$3061,SecVar,"rsub")+Y3116</f>
        <v/>
      </c>
      <c r="Z3111" s="69">
        <f>SUMIFS(Z$1003:Z$3061,SecVar,"rsub")+Z3116</f>
        <v/>
      </c>
      <c r="AA3111" s="69">
        <f>SUMIFS(AA$1003:AA$3061,SecVar,"rsub")+AA3116</f>
        <v/>
      </c>
      <c r="AB3111" s="69">
        <f>SUMIFS(AB$1003:AB$3061,SecVar,"rsub")+AB3116</f>
        <v/>
      </c>
      <c r="AC3111" s="69">
        <f>SUMIFS(AC$1003:AC$3061,SecVar,"rsub")+AC3116</f>
        <v/>
      </c>
      <c r="AD3111" s="69">
        <f>SUMIFS(AD$1003:AD$3061,SecVar,"rsub")+AD3116</f>
        <v/>
      </c>
      <c r="AE3111" s="69">
        <f>SUMIFS(AE$1003:AE$3061,SecVar,"rsub")+AE3116</f>
        <v/>
      </c>
      <c r="AG3111" s="17">
        <f>CodePrefix&amp;$A3111&amp;IF($C3111="","","."&amp;$C3111&amp;"."&amp;$B3111)&amp;INDEX(VarEnd,MATCH($A3111,VarKey,0))&amp;AG$5</f>
        <v/>
      </c>
      <c r="AH3111" s="68">
        <f>SUMIFS(AH$1003:AH$3061,SecVar,"rsub")+AH3116</f>
        <v/>
      </c>
      <c r="AI3111" s="69">
        <f>SUMIFS(AI$1003:AI$3061,SecVar,"rsub")+AI3116</f>
        <v/>
      </c>
      <c r="AJ3111" s="69">
        <f>SUMIFS(AJ$1003:AJ$3061,SecVar,"rsub")+AJ3116</f>
        <v/>
      </c>
      <c r="AK3111" s="69">
        <f>SUMIFS(AK$1003:AK$3061,SecVar,"rsub")+AK3116</f>
        <v/>
      </c>
      <c r="AL3111" s="69">
        <f>SUMIFS(AL$1003:AL$3061,SecVar,"rsub")+AL3116</f>
        <v/>
      </c>
      <c r="AM3111" s="69">
        <f>SUMIFS(AM$1003:AM$3061,SecVar,"rsub")+AM3116</f>
        <v/>
      </c>
      <c r="AN3111" s="69">
        <f>SUMIFS(AN$1003:AN$3061,SecVar,"rsub")+AN3116</f>
        <v/>
      </c>
      <c r="AO3111" s="69">
        <f>SUMIFS(AO$1003:AO$3061,SecVar,"rsub")+AO3116</f>
        <v/>
      </c>
      <c r="AP3111" s="69">
        <f>SUMIFS(AP$1003:AP$3061,SecVar,"rsub")+AP3116</f>
        <v/>
      </c>
      <c r="AQ3111" s="69">
        <f>SUMIFS(AQ$1003:AQ$3061,SecVar,"rsub")+AQ3116</f>
        <v/>
      </c>
      <c r="AR3111" s="69">
        <f>SUMIFS(AR$1003:AR$3061,SecVar,"rsub")+AR3116</f>
        <v/>
      </c>
      <c r="AS3111" s="69">
        <f>SUMIFS(AS$1003:AS$3061,SecVar,"rsub")+AS3116</f>
        <v/>
      </c>
      <c r="AT3111" s="69">
        <f>SUMIFS(AT$1003:AT$3061,SecVar,"rsub")+AT3116</f>
        <v/>
      </c>
      <c r="AU3111" s="69">
        <f>SUMIFS(AU$1003:AU$3061,SecVar,"rsub")+AU3116</f>
        <v/>
      </c>
      <c r="AV3111" s="69">
        <f>SUMIFS(AV$1003:AV$3061,SecVar,"rsub")+AV3116</f>
        <v/>
      </c>
      <c r="AW3111" s="69">
        <f>SUMIFS(AW$1003:AW$3061,SecVar,"rsub")+AW3116</f>
        <v/>
      </c>
      <c r="AX3111" s="69">
        <f>SUMIFS(AX$1003:AX$3061,SecVar,"rsub")+AX3116</f>
        <v/>
      </c>
      <c r="AY3111" s="69">
        <f>SUMIFS(AY$1003:AY$3061,SecVar,"rsub")+AY3116</f>
        <v/>
      </c>
      <c r="AZ3111" s="69">
        <f>SUMIFS(AZ$1003:AZ$3061,SecVar,"rsub")+AZ3116</f>
        <v/>
      </c>
      <c r="BA3111" s="69">
        <f>SUMIFS(BA$1003:BA$3061,SecVar,"rsub")+BA3116</f>
        <v/>
      </c>
    </row>
    <row r="3112" hidden="1" outlineLevel="1">
      <c r="A3112" s="14" t="inlineStr">
        <is>
          <t>rsub</t>
        </is>
      </c>
      <c r="B3112" s="14" t="inlineStr">
        <is>
          <t>all</t>
        </is>
      </c>
      <c r="C3112" s="14" t="inlineStr">
        <is>
          <t>tra</t>
        </is>
      </c>
      <c r="H3112" s="14">
        <f>INDEX(VarLab,MATCH($A3112,VarKey,0))&amp;INDEX(MemLab,MATCH($C3112&amp;"|"&amp;$B3112,MemKey,0))</f>
        <v/>
      </c>
      <c r="I3112" s="14">
        <f>INDEX(VarUnit,MATCH($A3112,VarKey,0))</f>
        <v/>
      </c>
      <c r="J3112" s="14">
        <f>INDEX(VarSrc,MATCH($A3112,VarKey,0))</f>
        <v/>
      </c>
      <c r="K3112" s="11">
        <f>CodePrefix&amp;$A3112&amp;IF($C3112="","","."&amp;$C3112&amp;"."&amp;$B3112)&amp;INDEX(VarEnd,MATCH($A3112,VarKey,0))&amp;K$5</f>
        <v/>
      </c>
      <c r="L3112" s="43">
        <f>SUMIFS(L$1005:L$1516,$A$1005:$A$1516,"rsub")</f>
        <v/>
      </c>
      <c r="M3112" s="44">
        <f>SUMIFS(M$1005:M$1516,$A$1005:$A$1516,"rsub")</f>
        <v/>
      </c>
      <c r="N3112" s="44">
        <f>SUMIFS(N$1005:N$1516,$A$1005:$A$1516,"rsub")</f>
        <v/>
      </c>
      <c r="O3112" s="44">
        <f>SUMIFS(O$1005:O$1516,$A$1005:$A$1516,"rsub")</f>
        <v/>
      </c>
      <c r="P3112" s="44">
        <f>SUMIFS(P$1005:P$1516,$A$1005:$A$1516,"rsub")</f>
        <v/>
      </c>
      <c r="Q3112" s="44">
        <f>SUMIFS(Q$1005:Q$1516,$A$1005:$A$1516,"rsub")</f>
        <v/>
      </c>
      <c r="R3112" s="44">
        <f>SUMIFS(R$1005:R$1516,$A$1005:$A$1516,"rsub")</f>
        <v/>
      </c>
      <c r="S3112" s="44">
        <f>SUMIFS(S$1005:S$1516,$A$1005:$A$1516,"rsub")</f>
        <v/>
      </c>
      <c r="T3112" s="44">
        <f>SUMIFS(T$1005:T$1516,$A$1005:$A$1516,"rsub")</f>
        <v/>
      </c>
      <c r="U3112" s="44">
        <f>SUMIFS(U$1005:U$1516,$A$1005:$A$1516,"rsub")</f>
        <v/>
      </c>
      <c r="V3112" s="44">
        <f>SUMIFS(V$1005:V$1516,$A$1005:$A$1516,"rsub")</f>
        <v/>
      </c>
      <c r="W3112" s="44">
        <f>SUMIFS(W$1005:W$1516,$A$1005:$A$1516,"rsub")</f>
        <v/>
      </c>
      <c r="X3112" s="44">
        <f>SUMIFS(X$1005:X$1516,$A$1005:$A$1516,"rsub")</f>
        <v/>
      </c>
      <c r="Y3112" s="44">
        <f>SUMIFS(Y$1005:Y$1516,$A$1005:$A$1516,"rsub")</f>
        <v/>
      </c>
      <c r="Z3112" s="44">
        <f>SUMIFS(Z$1005:Z$1516,$A$1005:$A$1516,"rsub")</f>
        <v/>
      </c>
      <c r="AA3112" s="44">
        <f>SUMIFS(AA$1005:AA$1516,$A$1005:$A$1516,"rsub")</f>
        <v/>
      </c>
      <c r="AB3112" s="44">
        <f>SUMIFS(AB$1005:AB$1516,$A$1005:$A$1516,"rsub")</f>
        <v/>
      </c>
      <c r="AC3112" s="44">
        <f>SUMIFS(AC$1005:AC$1516,$A$1005:$A$1516,"rsub")</f>
        <v/>
      </c>
      <c r="AD3112" s="44">
        <f>SUMIFS(AD$1005:AD$1516,$A$1005:$A$1516,"rsub")</f>
        <v/>
      </c>
      <c r="AE3112" s="44">
        <f>SUMIFS(AE$1005:AE$1516,$A$1005:$A$1516,"rsub")</f>
        <v/>
      </c>
      <c r="AG3112" s="11">
        <f>CodePrefix&amp;$A3112&amp;IF($C3112="","","."&amp;$C3112&amp;"."&amp;$B3112)&amp;INDEX(VarEnd,MATCH($A3112,VarKey,0))&amp;AG$5</f>
        <v/>
      </c>
      <c r="AH3112" s="43">
        <f>SUMIFS(AH$1005:AH$1516,$A$1005:$A$1516,"rsub")</f>
        <v/>
      </c>
      <c r="AI3112" s="44">
        <f>SUMIFS(AI$1005:AI$1516,$A$1005:$A$1516,"rsub")</f>
        <v/>
      </c>
      <c r="AJ3112" s="44">
        <f>SUMIFS(AJ$1005:AJ$1516,$A$1005:$A$1516,"rsub")</f>
        <v/>
      </c>
      <c r="AK3112" s="44">
        <f>SUMIFS(AK$1005:AK$1516,$A$1005:$A$1516,"rsub")</f>
        <v/>
      </c>
      <c r="AL3112" s="44">
        <f>SUMIFS(AL$1005:AL$1516,$A$1005:$A$1516,"rsub")</f>
        <v/>
      </c>
      <c r="AM3112" s="44">
        <f>SUMIFS(AM$1005:AM$1516,$A$1005:$A$1516,"rsub")</f>
        <v/>
      </c>
      <c r="AN3112" s="44">
        <f>SUMIFS(AN$1005:AN$1516,$A$1005:$A$1516,"rsub")</f>
        <v/>
      </c>
      <c r="AO3112" s="44">
        <f>SUMIFS(AO$1005:AO$1516,$A$1005:$A$1516,"rsub")</f>
        <v/>
      </c>
      <c r="AP3112" s="44">
        <f>SUMIFS(AP$1005:AP$1516,$A$1005:$A$1516,"rsub")</f>
        <v/>
      </c>
      <c r="AQ3112" s="44">
        <f>SUMIFS(AQ$1005:AQ$1516,$A$1005:$A$1516,"rsub")</f>
        <v/>
      </c>
      <c r="AR3112" s="44">
        <f>SUMIFS(AR$1005:AR$1516,$A$1005:$A$1516,"rsub")</f>
        <v/>
      </c>
      <c r="AS3112" s="44">
        <f>SUMIFS(AS$1005:AS$1516,$A$1005:$A$1516,"rsub")</f>
        <v/>
      </c>
      <c r="AT3112" s="44">
        <f>SUMIFS(AT$1005:AT$1516,$A$1005:$A$1516,"rsub")</f>
        <v/>
      </c>
      <c r="AU3112" s="44">
        <f>SUMIFS(AU$1005:AU$1516,$A$1005:$A$1516,"rsub")</f>
        <v/>
      </c>
      <c r="AV3112" s="44">
        <f>SUMIFS(AV$1005:AV$1516,$A$1005:$A$1516,"rsub")</f>
        <v/>
      </c>
      <c r="AW3112" s="44">
        <f>SUMIFS(AW$1005:AW$1516,$A$1005:$A$1516,"rsub")</f>
        <v/>
      </c>
      <c r="AX3112" s="44">
        <f>SUMIFS(AX$1005:AX$1516,$A$1005:$A$1516,"rsub")</f>
        <v/>
      </c>
      <c r="AY3112" s="44">
        <f>SUMIFS(AY$1005:AY$1516,$A$1005:$A$1516,"rsub")</f>
        <v/>
      </c>
      <c r="AZ3112" s="44">
        <f>SUMIFS(AZ$1005:AZ$1516,$A$1005:$A$1516,"rsub")</f>
        <v/>
      </c>
      <c r="BA3112" s="44">
        <f>SUMIFS(BA$1005:BA$1516,$A$1005:$A$1516,"rsub")</f>
        <v/>
      </c>
    </row>
    <row r="3113" hidden="1" outlineLevel="1">
      <c r="A3113" s="14" t="inlineStr">
        <is>
          <t>rsub</t>
        </is>
      </c>
      <c r="B3113" s="14" t="inlineStr">
        <is>
          <t>all</t>
        </is>
      </c>
      <c r="C3113" s="14" t="inlineStr">
        <is>
          <t>bld</t>
        </is>
      </c>
      <c r="H3113" s="14">
        <f>INDEX(VarLab,MATCH($A3113,VarKey,0))&amp;INDEX(MemLab,MATCH($C3113&amp;"|"&amp;$B3113,MemKey,0))</f>
        <v/>
      </c>
      <c r="I3113" s="14">
        <f>INDEX(VarUnit,MATCH($A3113,VarKey,0))</f>
        <v/>
      </c>
      <c r="J3113" s="14">
        <f>INDEX(VarSrc,MATCH($A3113,VarKey,0))</f>
        <v/>
      </c>
      <c r="K3113" s="11">
        <f>CodePrefix&amp;$A3113&amp;IF($C3113="","","."&amp;$C3113&amp;"."&amp;$B3113)&amp;INDEX(VarEnd,MATCH($A3113,VarKey,0))&amp;K$5</f>
        <v/>
      </c>
      <c r="L3113" s="43">
        <f>SUMIFS(L$1520:L$1903,$A$1520:$A$1903,"rsub")</f>
        <v/>
      </c>
      <c r="M3113" s="44">
        <f>SUMIFS(M$1520:M$1903,$A$1520:$A$1903,"rsub")</f>
        <v/>
      </c>
      <c r="N3113" s="44">
        <f>SUMIFS(N$1520:N$1903,$A$1520:$A$1903,"rsub")</f>
        <v/>
      </c>
      <c r="O3113" s="44">
        <f>SUMIFS(O$1520:O$1903,$A$1520:$A$1903,"rsub")</f>
        <v/>
      </c>
      <c r="P3113" s="44">
        <f>SUMIFS(P$1520:P$1903,$A$1520:$A$1903,"rsub")</f>
        <v/>
      </c>
      <c r="Q3113" s="44">
        <f>SUMIFS(Q$1520:Q$1903,$A$1520:$A$1903,"rsub")</f>
        <v/>
      </c>
      <c r="R3113" s="44">
        <f>SUMIFS(R$1520:R$1903,$A$1520:$A$1903,"rsub")</f>
        <v/>
      </c>
      <c r="S3113" s="44">
        <f>SUMIFS(S$1520:S$1903,$A$1520:$A$1903,"rsub")</f>
        <v/>
      </c>
      <c r="T3113" s="44">
        <f>SUMIFS(T$1520:T$1903,$A$1520:$A$1903,"rsub")</f>
        <v/>
      </c>
      <c r="U3113" s="44">
        <f>SUMIFS(U$1520:U$1903,$A$1520:$A$1903,"rsub")</f>
        <v/>
      </c>
      <c r="V3113" s="44">
        <f>SUMIFS(V$1520:V$1903,$A$1520:$A$1903,"rsub")</f>
        <v/>
      </c>
      <c r="W3113" s="44">
        <f>SUMIFS(W$1520:W$1903,$A$1520:$A$1903,"rsub")</f>
        <v/>
      </c>
      <c r="X3113" s="44">
        <f>SUMIFS(X$1520:X$1903,$A$1520:$A$1903,"rsub")</f>
        <v/>
      </c>
      <c r="Y3113" s="44">
        <f>SUMIFS(Y$1520:Y$1903,$A$1520:$A$1903,"rsub")</f>
        <v/>
      </c>
      <c r="Z3113" s="44">
        <f>SUMIFS(Z$1520:Z$1903,$A$1520:$A$1903,"rsub")</f>
        <v/>
      </c>
      <c r="AA3113" s="44">
        <f>SUMIFS(AA$1520:AA$1903,$A$1520:$A$1903,"rsub")</f>
        <v/>
      </c>
      <c r="AB3113" s="44">
        <f>SUMIFS(AB$1520:AB$1903,$A$1520:$A$1903,"rsub")</f>
        <v/>
      </c>
      <c r="AC3113" s="44">
        <f>SUMIFS(AC$1520:AC$1903,$A$1520:$A$1903,"rsub")</f>
        <v/>
      </c>
      <c r="AD3113" s="44">
        <f>SUMIFS(AD$1520:AD$1903,$A$1520:$A$1903,"rsub")</f>
        <v/>
      </c>
      <c r="AE3113" s="44">
        <f>SUMIFS(AE$1520:AE$1903,$A$1520:$A$1903,"rsub")</f>
        <v/>
      </c>
      <c r="AG3113" s="11">
        <f>CodePrefix&amp;$A3113&amp;IF($C3113="","","."&amp;$C3113&amp;"."&amp;$B3113)&amp;INDEX(VarEnd,MATCH($A3113,VarKey,0))&amp;AG$5</f>
        <v/>
      </c>
      <c r="AH3113" s="43">
        <f>SUMIFS(AH$1520:AH$1903,$A$1520:$A$1903,"rsub")</f>
        <v/>
      </c>
      <c r="AI3113" s="44">
        <f>SUMIFS(AI$1520:AI$1903,$A$1520:$A$1903,"rsub")</f>
        <v/>
      </c>
      <c r="AJ3113" s="44">
        <f>SUMIFS(AJ$1520:AJ$1903,$A$1520:$A$1903,"rsub")</f>
        <v/>
      </c>
      <c r="AK3113" s="44">
        <f>SUMIFS(AK$1520:AK$1903,$A$1520:$A$1903,"rsub")</f>
        <v/>
      </c>
      <c r="AL3113" s="44">
        <f>SUMIFS(AL$1520:AL$1903,$A$1520:$A$1903,"rsub")</f>
        <v/>
      </c>
      <c r="AM3113" s="44">
        <f>SUMIFS(AM$1520:AM$1903,$A$1520:$A$1903,"rsub")</f>
        <v/>
      </c>
      <c r="AN3113" s="44">
        <f>SUMIFS(AN$1520:AN$1903,$A$1520:$A$1903,"rsub")</f>
        <v/>
      </c>
      <c r="AO3113" s="44">
        <f>SUMIFS(AO$1520:AO$1903,$A$1520:$A$1903,"rsub")</f>
        <v/>
      </c>
      <c r="AP3113" s="44">
        <f>SUMIFS(AP$1520:AP$1903,$A$1520:$A$1903,"rsub")</f>
        <v/>
      </c>
      <c r="AQ3113" s="44">
        <f>SUMIFS(AQ$1520:AQ$1903,$A$1520:$A$1903,"rsub")</f>
        <v/>
      </c>
      <c r="AR3113" s="44">
        <f>SUMIFS(AR$1520:AR$1903,$A$1520:$A$1903,"rsub")</f>
        <v/>
      </c>
      <c r="AS3113" s="44">
        <f>SUMIFS(AS$1520:AS$1903,$A$1520:$A$1903,"rsub")</f>
        <v/>
      </c>
      <c r="AT3113" s="44">
        <f>SUMIFS(AT$1520:AT$1903,$A$1520:$A$1903,"rsub")</f>
        <v/>
      </c>
      <c r="AU3113" s="44">
        <f>SUMIFS(AU$1520:AU$1903,$A$1520:$A$1903,"rsub")</f>
        <v/>
      </c>
      <c r="AV3113" s="44">
        <f>SUMIFS(AV$1520:AV$1903,$A$1520:$A$1903,"rsub")</f>
        <v/>
      </c>
      <c r="AW3113" s="44">
        <f>SUMIFS(AW$1520:AW$1903,$A$1520:$A$1903,"rsub")</f>
        <v/>
      </c>
      <c r="AX3113" s="44">
        <f>SUMIFS(AX$1520:AX$1903,$A$1520:$A$1903,"rsub")</f>
        <v/>
      </c>
      <c r="AY3113" s="44">
        <f>SUMIFS(AY$1520:AY$1903,$A$1520:$A$1903,"rsub")</f>
        <v/>
      </c>
      <c r="AZ3113" s="44">
        <f>SUMIFS(AZ$1520:AZ$1903,$A$1520:$A$1903,"rsub")</f>
        <v/>
      </c>
      <c r="BA3113" s="44">
        <f>SUMIFS(BA$1520:BA$1903,$A$1520:$A$1903,"rsub")</f>
        <v/>
      </c>
    </row>
    <row r="3114" hidden="1" outlineLevel="1">
      <c r="A3114" s="14" t="inlineStr">
        <is>
          <t>rsub</t>
        </is>
      </c>
      <c r="B3114" s="14" t="inlineStr">
        <is>
          <t>all</t>
        </is>
      </c>
      <c r="C3114" s="14" t="inlineStr">
        <is>
          <t>ind</t>
        </is>
      </c>
      <c r="H3114" s="14">
        <f>INDEX(VarLab,MATCH($A3114,VarKey,0))&amp;INDEX(MemLab,MATCH($C3114&amp;"|"&amp;$B3114,MemKey,0))</f>
        <v/>
      </c>
      <c r="I3114" s="14">
        <f>INDEX(VarUnit,MATCH($A3114,VarKey,0))</f>
        <v/>
      </c>
      <c r="J3114" s="14">
        <f>INDEX(VarSrc,MATCH($A3114,VarKey,0))</f>
        <v/>
      </c>
      <c r="K3114" s="11">
        <f>CodePrefix&amp;$A3114&amp;IF($C3114="","","."&amp;$C3114&amp;"."&amp;$B3114)&amp;INDEX(VarEnd,MATCH($A3114,VarKey,0))&amp;K$5</f>
        <v/>
      </c>
      <c r="L3114" s="43">
        <f>SUMIFS(L$1907:L$2930,$A$1907:$A$2930,"rsub")</f>
        <v/>
      </c>
      <c r="M3114" s="44">
        <f>SUMIFS(M$1907:M$2930,$A$1907:$A$2930,"rsub")</f>
        <v/>
      </c>
      <c r="N3114" s="44">
        <f>SUMIFS(N$1907:N$2930,$A$1907:$A$2930,"rsub")</f>
        <v/>
      </c>
      <c r="O3114" s="44">
        <f>SUMIFS(O$1907:O$2930,$A$1907:$A$2930,"rsub")</f>
        <v/>
      </c>
      <c r="P3114" s="44">
        <f>SUMIFS(P$1907:P$2930,$A$1907:$A$2930,"rsub")</f>
        <v/>
      </c>
      <c r="Q3114" s="44">
        <f>SUMIFS(Q$1907:Q$2930,$A$1907:$A$2930,"rsub")</f>
        <v/>
      </c>
      <c r="R3114" s="44">
        <f>SUMIFS(R$1907:R$2930,$A$1907:$A$2930,"rsub")</f>
        <v/>
      </c>
      <c r="S3114" s="44">
        <f>SUMIFS(S$1907:S$2930,$A$1907:$A$2930,"rsub")</f>
        <v/>
      </c>
      <c r="T3114" s="44">
        <f>SUMIFS(T$1907:T$2930,$A$1907:$A$2930,"rsub")</f>
        <v/>
      </c>
      <c r="U3114" s="44">
        <f>SUMIFS(U$1907:U$2930,$A$1907:$A$2930,"rsub")</f>
        <v/>
      </c>
      <c r="V3114" s="44">
        <f>SUMIFS(V$1907:V$2930,$A$1907:$A$2930,"rsub")</f>
        <v/>
      </c>
      <c r="W3114" s="44">
        <f>SUMIFS(W$1907:W$2930,$A$1907:$A$2930,"rsub")</f>
        <v/>
      </c>
      <c r="X3114" s="44">
        <f>SUMIFS(X$1907:X$2930,$A$1907:$A$2930,"rsub")</f>
        <v/>
      </c>
      <c r="Y3114" s="44">
        <f>SUMIFS(Y$1907:Y$2930,$A$1907:$A$2930,"rsub")</f>
        <v/>
      </c>
      <c r="Z3114" s="44">
        <f>SUMIFS(Z$1907:Z$2930,$A$1907:$A$2930,"rsub")</f>
        <v/>
      </c>
      <c r="AA3114" s="44">
        <f>SUMIFS(AA$1907:AA$2930,$A$1907:$A$2930,"rsub")</f>
        <v/>
      </c>
      <c r="AB3114" s="44">
        <f>SUMIFS(AB$1907:AB$2930,$A$1907:$A$2930,"rsub")</f>
        <v/>
      </c>
      <c r="AC3114" s="44">
        <f>SUMIFS(AC$1907:AC$2930,$A$1907:$A$2930,"rsub")</f>
        <v/>
      </c>
      <c r="AD3114" s="44">
        <f>SUMIFS(AD$1907:AD$2930,$A$1907:$A$2930,"rsub")</f>
        <v/>
      </c>
      <c r="AE3114" s="44">
        <f>SUMIFS(AE$1907:AE$2930,$A$1907:$A$2930,"rsub")</f>
        <v/>
      </c>
      <c r="AG3114" s="11">
        <f>CodePrefix&amp;$A3114&amp;IF($C3114="","","."&amp;$C3114&amp;"."&amp;$B3114)&amp;INDEX(VarEnd,MATCH($A3114,VarKey,0))&amp;AG$5</f>
        <v/>
      </c>
      <c r="AH3114" s="43">
        <f>SUMIFS(AH$1907:AH$2930,$A$1907:$A$2930,"rsub")</f>
        <v/>
      </c>
      <c r="AI3114" s="44">
        <f>SUMIFS(AI$1907:AI$2930,$A$1907:$A$2930,"rsub")</f>
        <v/>
      </c>
      <c r="AJ3114" s="44">
        <f>SUMIFS(AJ$1907:AJ$2930,$A$1907:$A$2930,"rsub")</f>
        <v/>
      </c>
      <c r="AK3114" s="44">
        <f>SUMIFS(AK$1907:AK$2930,$A$1907:$A$2930,"rsub")</f>
        <v/>
      </c>
      <c r="AL3114" s="44">
        <f>SUMIFS(AL$1907:AL$2930,$A$1907:$A$2930,"rsub")</f>
        <v/>
      </c>
      <c r="AM3114" s="44">
        <f>SUMIFS(AM$1907:AM$2930,$A$1907:$A$2930,"rsub")</f>
        <v/>
      </c>
      <c r="AN3114" s="44">
        <f>SUMIFS(AN$1907:AN$2930,$A$1907:$A$2930,"rsub")</f>
        <v/>
      </c>
      <c r="AO3114" s="44">
        <f>SUMIFS(AO$1907:AO$2930,$A$1907:$A$2930,"rsub")</f>
        <v/>
      </c>
      <c r="AP3114" s="44">
        <f>SUMIFS(AP$1907:AP$2930,$A$1907:$A$2930,"rsub")</f>
        <v/>
      </c>
      <c r="AQ3114" s="44">
        <f>SUMIFS(AQ$1907:AQ$2930,$A$1907:$A$2930,"rsub")</f>
        <v/>
      </c>
      <c r="AR3114" s="44">
        <f>SUMIFS(AR$1907:AR$2930,$A$1907:$A$2930,"rsub")</f>
        <v/>
      </c>
      <c r="AS3114" s="44">
        <f>SUMIFS(AS$1907:AS$2930,$A$1907:$A$2930,"rsub")</f>
        <v/>
      </c>
      <c r="AT3114" s="44">
        <f>SUMIFS(AT$1907:AT$2930,$A$1907:$A$2930,"rsub")</f>
        <v/>
      </c>
      <c r="AU3114" s="44">
        <f>SUMIFS(AU$1907:AU$2930,$A$1907:$A$2930,"rsub")</f>
        <v/>
      </c>
      <c r="AV3114" s="44">
        <f>SUMIFS(AV$1907:AV$2930,$A$1907:$A$2930,"rsub")</f>
        <v/>
      </c>
      <c r="AW3114" s="44">
        <f>SUMIFS(AW$1907:AW$2930,$A$1907:$A$2930,"rsub")</f>
        <v/>
      </c>
      <c r="AX3114" s="44">
        <f>SUMIFS(AX$1907:AX$2930,$A$1907:$A$2930,"rsub")</f>
        <v/>
      </c>
      <c r="AY3114" s="44">
        <f>SUMIFS(AY$1907:AY$2930,$A$1907:$A$2930,"rsub")</f>
        <v/>
      </c>
      <c r="AZ3114" s="44">
        <f>SUMIFS(AZ$1907:AZ$2930,$A$1907:$A$2930,"rsub")</f>
        <v/>
      </c>
      <c r="BA3114" s="44">
        <f>SUMIFS(BA$1907:BA$2930,$A$1907:$A$2930,"rsub")</f>
        <v/>
      </c>
    </row>
    <row r="3115" hidden="1" outlineLevel="1">
      <c r="A3115" s="14" t="inlineStr">
        <is>
          <t>rsub</t>
        </is>
      </c>
      <c r="B3115" s="14" t="inlineStr">
        <is>
          <t>all</t>
        </is>
      </c>
      <c r="C3115" s="14" t="inlineStr">
        <is>
          <t>oen</t>
        </is>
      </c>
      <c r="H3115" s="14">
        <f>INDEX(VarLab,MATCH($A3115,VarKey,0))&amp;INDEX(MemLab,MATCH($C3115&amp;"|"&amp;$B3115,MemKey,0))</f>
        <v/>
      </c>
      <c r="I3115" s="14">
        <f>INDEX(VarUnit,MATCH($A3115,VarKey,0))</f>
        <v/>
      </c>
      <c r="J3115" s="14">
        <f>INDEX(VarSrc,MATCH($A3115,VarKey,0))</f>
        <v/>
      </c>
      <c r="K3115" s="11">
        <f>CodePrefix&amp;$A3115&amp;IF($C3115="","","."&amp;$C3115&amp;"."&amp;$B3115)&amp;INDEX(VarEnd,MATCH($A3115,VarKey,0))&amp;K$5</f>
        <v/>
      </c>
      <c r="L3115" s="43">
        <f>SUMIFS(L$2934:L$3061,$A$2934:$A$3061,"rsub")</f>
        <v/>
      </c>
      <c r="M3115" s="44">
        <f>SUMIFS(M$2934:M$3061,$A$2934:$A$3061,"rsub")</f>
        <v/>
      </c>
      <c r="N3115" s="44">
        <f>SUMIFS(N$2934:N$3061,$A$2934:$A$3061,"rsub")</f>
        <v/>
      </c>
      <c r="O3115" s="44">
        <f>SUMIFS(O$2934:O$3061,$A$2934:$A$3061,"rsub")</f>
        <v/>
      </c>
      <c r="P3115" s="44">
        <f>SUMIFS(P$2934:P$3061,$A$2934:$A$3061,"rsub")</f>
        <v/>
      </c>
      <c r="Q3115" s="44">
        <f>SUMIFS(Q$2934:Q$3061,$A$2934:$A$3061,"rsub")</f>
        <v/>
      </c>
      <c r="R3115" s="44">
        <f>SUMIFS(R$2934:R$3061,$A$2934:$A$3061,"rsub")</f>
        <v/>
      </c>
      <c r="S3115" s="44">
        <f>SUMIFS(S$2934:S$3061,$A$2934:$A$3061,"rsub")</f>
        <v/>
      </c>
      <c r="T3115" s="44">
        <f>SUMIFS(T$2934:T$3061,$A$2934:$A$3061,"rsub")</f>
        <v/>
      </c>
      <c r="U3115" s="44">
        <f>SUMIFS(U$2934:U$3061,$A$2934:$A$3061,"rsub")</f>
        <v/>
      </c>
      <c r="V3115" s="44">
        <f>SUMIFS(V$2934:V$3061,$A$2934:$A$3061,"rsub")</f>
        <v/>
      </c>
      <c r="W3115" s="44">
        <f>SUMIFS(W$2934:W$3061,$A$2934:$A$3061,"rsub")</f>
        <v/>
      </c>
      <c r="X3115" s="44">
        <f>SUMIFS(X$2934:X$3061,$A$2934:$A$3061,"rsub")</f>
        <v/>
      </c>
      <c r="Y3115" s="44">
        <f>SUMIFS(Y$2934:Y$3061,$A$2934:$A$3061,"rsub")</f>
        <v/>
      </c>
      <c r="Z3115" s="44">
        <f>SUMIFS(Z$2934:Z$3061,$A$2934:$A$3061,"rsub")</f>
        <v/>
      </c>
      <c r="AA3115" s="44">
        <f>SUMIFS(AA$2934:AA$3061,$A$2934:$A$3061,"rsub")</f>
        <v/>
      </c>
      <c r="AB3115" s="44">
        <f>SUMIFS(AB$2934:AB$3061,$A$2934:$A$3061,"rsub")</f>
        <v/>
      </c>
      <c r="AC3115" s="44">
        <f>SUMIFS(AC$2934:AC$3061,$A$2934:$A$3061,"rsub")</f>
        <v/>
      </c>
      <c r="AD3115" s="44">
        <f>SUMIFS(AD$2934:AD$3061,$A$2934:$A$3061,"rsub")</f>
        <v/>
      </c>
      <c r="AE3115" s="44">
        <f>SUMIFS(AE$2934:AE$3061,$A$2934:$A$3061,"rsub")</f>
        <v/>
      </c>
      <c r="AG3115" s="11">
        <f>CodePrefix&amp;$A3115&amp;IF($C3115="","","."&amp;$C3115&amp;"."&amp;$B3115)&amp;INDEX(VarEnd,MATCH($A3115,VarKey,0))&amp;AG$5</f>
        <v/>
      </c>
      <c r="AH3115" s="43">
        <f>SUMIFS(AH$2934:AH$3061,$A$2934:$A$3061,"rsub")</f>
        <v/>
      </c>
      <c r="AI3115" s="44">
        <f>SUMIFS(AI$2934:AI$3061,$A$2934:$A$3061,"rsub")</f>
        <v/>
      </c>
      <c r="AJ3115" s="44">
        <f>SUMIFS(AJ$2934:AJ$3061,$A$2934:$A$3061,"rsub")</f>
        <v/>
      </c>
      <c r="AK3115" s="44">
        <f>SUMIFS(AK$2934:AK$3061,$A$2934:$A$3061,"rsub")</f>
        <v/>
      </c>
      <c r="AL3115" s="44">
        <f>SUMIFS(AL$2934:AL$3061,$A$2934:$A$3061,"rsub")</f>
        <v/>
      </c>
      <c r="AM3115" s="44">
        <f>SUMIFS(AM$2934:AM$3061,$A$2934:$A$3061,"rsub")</f>
        <v/>
      </c>
      <c r="AN3115" s="44">
        <f>SUMIFS(AN$2934:AN$3061,$A$2934:$A$3061,"rsub")</f>
        <v/>
      </c>
      <c r="AO3115" s="44">
        <f>SUMIFS(AO$2934:AO$3061,$A$2934:$A$3061,"rsub")</f>
        <v/>
      </c>
      <c r="AP3115" s="44">
        <f>SUMIFS(AP$2934:AP$3061,$A$2934:$A$3061,"rsub")</f>
        <v/>
      </c>
      <c r="AQ3115" s="44">
        <f>SUMIFS(AQ$2934:AQ$3061,$A$2934:$A$3061,"rsub")</f>
        <v/>
      </c>
      <c r="AR3115" s="44">
        <f>SUMIFS(AR$2934:AR$3061,$A$2934:$A$3061,"rsub")</f>
        <v/>
      </c>
      <c r="AS3115" s="44">
        <f>SUMIFS(AS$2934:AS$3061,$A$2934:$A$3061,"rsub")</f>
        <v/>
      </c>
      <c r="AT3115" s="44">
        <f>SUMIFS(AT$2934:AT$3061,$A$2934:$A$3061,"rsub")</f>
        <v/>
      </c>
      <c r="AU3115" s="44">
        <f>SUMIFS(AU$2934:AU$3061,$A$2934:$A$3061,"rsub")</f>
        <v/>
      </c>
      <c r="AV3115" s="44">
        <f>SUMIFS(AV$2934:AV$3061,$A$2934:$A$3061,"rsub")</f>
        <v/>
      </c>
      <c r="AW3115" s="44">
        <f>SUMIFS(AW$2934:AW$3061,$A$2934:$A$3061,"rsub")</f>
        <v/>
      </c>
      <c r="AX3115" s="44">
        <f>SUMIFS(AX$2934:AX$3061,$A$2934:$A$3061,"rsub")</f>
        <v/>
      </c>
      <c r="AY3115" s="44">
        <f>SUMIFS(AY$2934:AY$3061,$A$2934:$A$3061,"rsub")</f>
        <v/>
      </c>
      <c r="AZ3115" s="44">
        <f>SUMIFS(AZ$2934:AZ$3061,$A$2934:$A$3061,"rsub")</f>
        <v/>
      </c>
      <c r="BA3115" s="44">
        <f>SUMIFS(BA$2934:BA$3061,$A$2934:$A$3061,"rsub")</f>
        <v/>
      </c>
    </row>
    <row r="3116" hidden="1" outlineLevel="1">
      <c r="A3116" s="14" t="inlineStr">
        <is>
          <t>rsub</t>
        </is>
      </c>
      <c r="B3116" s="14" t="inlineStr">
        <is>
          <t>all</t>
        </is>
      </c>
      <c r="C3116" s="14" t="inlineStr">
        <is>
          <t>pow</t>
        </is>
      </c>
      <c r="H3116" s="14">
        <f>INDEX(VarLab,MATCH($A3116,VarKey,0))&amp;INDEX(MemLab,MATCH($C3116&amp;"|"&amp;$B3116,MemKey,0))</f>
        <v/>
      </c>
      <c r="I3116" s="14">
        <f>INDEX(VarUnit,MATCH($A3116,VarKey,0))</f>
        <v/>
      </c>
      <c r="J3116" s="14">
        <f>INDEX(VarSrc,MATCH($A3116,VarKey,0))</f>
        <v/>
      </c>
      <c r="K3116" s="11">
        <f>CodePrefix&amp;$A3116&amp;IF($C3116="","","."&amp;$C3116&amp;"."&amp;$B3116)&amp;INDEX(VarEnd,MATCH($A3116,VarKey,0))&amp;K$5</f>
        <v/>
      </c>
      <c r="L3116" s="43">
        <f>SUM(L$960:L$968)+SUM(L$660:L$661)</f>
        <v/>
      </c>
      <c r="M3116" s="44">
        <f>SUM(M$960:M$968)+SUM(M$660:M$661)</f>
        <v/>
      </c>
      <c r="N3116" s="44">
        <f>SUM(N$960:N$968)+SUM(N$660:N$661)</f>
        <v/>
      </c>
      <c r="O3116" s="44">
        <f>SUM(O$960:O$968)+SUM(O$660:O$661)</f>
        <v/>
      </c>
      <c r="P3116" s="44">
        <f>SUM(P$960:P$968)+SUM(P$660:P$661)</f>
        <v/>
      </c>
      <c r="Q3116" s="44">
        <f>SUM(Q$960:Q$968)+SUM(Q$660:Q$661)</f>
        <v/>
      </c>
      <c r="R3116" s="44">
        <f>SUM(R$960:R$968)+SUM(R$660:R$661)</f>
        <v/>
      </c>
      <c r="S3116" s="44">
        <f>SUM(S$960:S$968)+SUM(S$660:S$661)</f>
        <v/>
      </c>
      <c r="T3116" s="44">
        <f>SUM(T$960:T$968)+SUM(T$660:T$661)</f>
        <v/>
      </c>
      <c r="U3116" s="44">
        <f>SUM(U$960:U$968)+SUM(U$660:U$661)</f>
        <v/>
      </c>
      <c r="V3116" s="44">
        <f>SUM(V$960:V$968)+SUM(V$660:V$661)</f>
        <v/>
      </c>
      <c r="W3116" s="44">
        <f>SUM(W$960:W$968)+SUM(W$660:W$661)</f>
        <v/>
      </c>
      <c r="X3116" s="44">
        <f>SUM(X$960:X$968)+SUM(X$660:X$661)</f>
        <v/>
      </c>
      <c r="Y3116" s="44">
        <f>SUM(Y$960:Y$968)+SUM(Y$660:Y$661)</f>
        <v/>
      </c>
      <c r="Z3116" s="44">
        <f>SUM(Z$960:Z$968)+SUM(Z$660:Z$661)</f>
        <v/>
      </c>
      <c r="AA3116" s="44">
        <f>SUM(AA$960:AA$968)+SUM(AA$660:AA$661)</f>
        <v/>
      </c>
      <c r="AB3116" s="44">
        <f>SUM(AB$960:AB$968)+SUM(AB$660:AB$661)</f>
        <v/>
      </c>
      <c r="AC3116" s="44">
        <f>SUM(AC$960:AC$968)+SUM(AC$660:AC$661)</f>
        <v/>
      </c>
      <c r="AD3116" s="44">
        <f>SUM(AD$960:AD$968)+SUM(AD$660:AD$661)</f>
        <v/>
      </c>
      <c r="AE3116" s="44">
        <f>SUM(AE$960:AE$968)+SUM(AE$660:AE$661)</f>
        <v/>
      </c>
      <c r="AG3116" s="11">
        <f>CodePrefix&amp;$A3116&amp;IF($C3116="","","."&amp;$C3116&amp;"."&amp;$B3116)&amp;INDEX(VarEnd,MATCH($A3116,VarKey,0))&amp;AG$5</f>
        <v/>
      </c>
      <c r="AH3116" s="43">
        <f>SUM(AH$960:AH$968)+SUM(AH$660:AH$661)</f>
        <v/>
      </c>
      <c r="AI3116" s="44">
        <f>SUM(AI$960:AI$968)+SUM(AI$660:AI$661)</f>
        <v/>
      </c>
      <c r="AJ3116" s="44">
        <f>SUM(AJ$960:AJ$968)+SUM(AJ$660:AJ$661)</f>
        <v/>
      </c>
      <c r="AK3116" s="44">
        <f>SUM(AK$960:AK$968)+SUM(AK$660:AK$661)</f>
        <v/>
      </c>
      <c r="AL3116" s="44">
        <f>SUM(AL$960:AL$968)+SUM(AL$660:AL$661)</f>
        <v/>
      </c>
      <c r="AM3116" s="44">
        <f>SUM(AM$960:AM$968)+SUM(AM$660:AM$661)</f>
        <v/>
      </c>
      <c r="AN3116" s="44">
        <f>SUM(AN$960:AN$968)+SUM(AN$660:AN$661)</f>
        <v/>
      </c>
      <c r="AO3116" s="44">
        <f>SUM(AO$960:AO$968)+SUM(AO$660:AO$661)</f>
        <v/>
      </c>
      <c r="AP3116" s="44">
        <f>SUM(AP$960:AP$968)+SUM(AP$660:AP$661)</f>
        <v/>
      </c>
      <c r="AQ3116" s="44">
        <f>SUM(AQ$960:AQ$968)+SUM(AQ$660:AQ$661)</f>
        <v/>
      </c>
      <c r="AR3116" s="44">
        <f>SUM(AR$960:AR$968)+SUM(AR$660:AR$661)</f>
        <v/>
      </c>
      <c r="AS3116" s="44">
        <f>SUM(AS$960:AS$968)+SUM(AS$660:AS$661)</f>
        <v/>
      </c>
      <c r="AT3116" s="44">
        <f>SUM(AT$960:AT$968)+SUM(AT$660:AT$661)</f>
        <v/>
      </c>
      <c r="AU3116" s="44">
        <f>SUM(AU$960:AU$968)+SUM(AU$660:AU$661)</f>
        <v/>
      </c>
      <c r="AV3116" s="44">
        <f>SUM(AV$960:AV$968)+SUM(AV$660:AV$661)</f>
        <v/>
      </c>
      <c r="AW3116" s="44">
        <f>SUM(AW$960:AW$968)+SUM(AW$660:AW$661)</f>
        <v/>
      </c>
      <c r="AX3116" s="44">
        <f>SUM(AX$960:AX$968)+SUM(AX$660:AX$661)</f>
        <v/>
      </c>
      <c r="AY3116" s="44">
        <f>SUM(AY$960:AY$968)+SUM(AY$660:AY$661)</f>
        <v/>
      </c>
      <c r="AZ3116" s="44">
        <f>SUM(AZ$960:AZ$968)+SUM(AZ$660:AZ$661)</f>
        <v/>
      </c>
      <c r="BA3116" s="44">
        <f>SUM(BA$960:BA$968)+SUM(BA$660:BA$661)</f>
        <v/>
      </c>
    </row>
    <row r="3117" collapsed="1">
      <c r="A3117" s="1" t="inlineStr">
        <is>
          <t>rnew</t>
        </is>
      </c>
      <c r="B3117" s="1" t="inlineStr">
        <is>
          <t>all</t>
        </is>
      </c>
      <c r="C3117" s="1" t="inlineStr">
        <is>
          <t>all</t>
        </is>
      </c>
      <c r="H3117" s="1">
        <f>INDEX(VarLab,MATCH($A3117,VarKey,0))&amp;INDEX(MemLab,MATCH($C3117&amp;"|"&amp;$B3117,MemKey,0))</f>
        <v/>
      </c>
      <c r="I3117" s="1">
        <f>INDEX(VarUnit,MATCH($A3117,VarKey,0))</f>
        <v/>
      </c>
      <c r="J3117" s="1">
        <f>INDEX(VarSrc,MATCH($A3117,VarKey,0))</f>
        <v/>
      </c>
      <c r="K3117" s="17">
        <f>CodePrefix&amp;$A3117&amp;IF($C3117="","","."&amp;$C3117&amp;"."&amp;$B3117)&amp;INDEX(VarEnd,MATCH($A3117,VarKey,0))&amp;K$5</f>
        <v/>
      </c>
      <c r="L3117" s="68">
        <f>SUMIFS(L$1003:L$3061,SecVar,"rnew")+L3122</f>
        <v/>
      </c>
      <c r="M3117" s="69">
        <f>SUMIFS(M$1003:M$3061,SecVar,"rnew")+M3122</f>
        <v/>
      </c>
      <c r="N3117" s="69">
        <f>SUMIFS(N$1003:N$3061,SecVar,"rnew")+N3122</f>
        <v/>
      </c>
      <c r="O3117" s="69">
        <f>SUMIFS(O$1003:O$3061,SecVar,"rnew")+O3122</f>
        <v/>
      </c>
      <c r="P3117" s="69">
        <f>SUMIFS(P$1003:P$3061,SecVar,"rnew")+P3122</f>
        <v/>
      </c>
      <c r="Q3117" s="69">
        <f>SUMIFS(Q$1003:Q$3061,SecVar,"rnew")+Q3122</f>
        <v/>
      </c>
      <c r="R3117" s="69">
        <f>SUMIFS(R$1003:R$3061,SecVar,"rnew")+R3122</f>
        <v/>
      </c>
      <c r="S3117" s="69">
        <f>SUMIFS(S$1003:S$3061,SecVar,"rnew")+S3122</f>
        <v/>
      </c>
      <c r="T3117" s="69">
        <f>SUMIFS(T$1003:T$3061,SecVar,"rnew")+T3122</f>
        <v/>
      </c>
      <c r="U3117" s="69">
        <f>SUMIFS(U$1003:U$3061,SecVar,"rnew")+U3122</f>
        <v/>
      </c>
      <c r="V3117" s="69">
        <f>SUMIFS(V$1003:V$3061,SecVar,"rnew")+V3122</f>
        <v/>
      </c>
      <c r="W3117" s="69">
        <f>SUMIFS(W$1003:W$3061,SecVar,"rnew")+W3122</f>
        <v/>
      </c>
      <c r="X3117" s="69">
        <f>SUMIFS(X$1003:X$3061,SecVar,"rnew")+X3122</f>
        <v/>
      </c>
      <c r="Y3117" s="69">
        <f>SUMIFS(Y$1003:Y$3061,SecVar,"rnew")+Y3122</f>
        <v/>
      </c>
      <c r="Z3117" s="69">
        <f>SUMIFS(Z$1003:Z$3061,SecVar,"rnew")+Z3122</f>
        <v/>
      </c>
      <c r="AA3117" s="69">
        <f>SUMIFS(AA$1003:AA$3061,SecVar,"rnew")+AA3122</f>
        <v/>
      </c>
      <c r="AB3117" s="69">
        <f>SUMIFS(AB$1003:AB$3061,SecVar,"rnew")+AB3122</f>
        <v/>
      </c>
      <c r="AC3117" s="69">
        <f>SUMIFS(AC$1003:AC$3061,SecVar,"rnew")+AC3122</f>
        <v/>
      </c>
      <c r="AD3117" s="69">
        <f>SUMIFS(AD$1003:AD$3061,SecVar,"rnew")+AD3122</f>
        <v/>
      </c>
      <c r="AE3117" s="69">
        <f>SUMIFS(AE$1003:AE$3061,SecVar,"rnew")+AE3122</f>
        <v/>
      </c>
      <c r="AG3117" s="17">
        <f>CodePrefix&amp;$A3117&amp;IF($C3117="","","."&amp;$C3117&amp;"."&amp;$B3117)&amp;INDEX(VarEnd,MATCH($A3117,VarKey,0))&amp;AG$5</f>
        <v/>
      </c>
      <c r="AH3117" s="68">
        <f>SUMIFS(AH$1003:AH$3061,SecVar,"rnew")+AH3122</f>
        <v/>
      </c>
      <c r="AI3117" s="69">
        <f>SUMIFS(AI$1003:AI$3061,SecVar,"rnew")+AI3122</f>
        <v/>
      </c>
      <c r="AJ3117" s="69">
        <f>SUMIFS(AJ$1003:AJ$3061,SecVar,"rnew")+AJ3122</f>
        <v/>
      </c>
      <c r="AK3117" s="69">
        <f>SUMIFS(AK$1003:AK$3061,SecVar,"rnew")+AK3122</f>
        <v/>
      </c>
      <c r="AL3117" s="69">
        <f>SUMIFS(AL$1003:AL$3061,SecVar,"rnew")+AL3122</f>
        <v/>
      </c>
      <c r="AM3117" s="69">
        <f>SUMIFS(AM$1003:AM$3061,SecVar,"rnew")+AM3122</f>
        <v/>
      </c>
      <c r="AN3117" s="69">
        <f>SUMIFS(AN$1003:AN$3061,SecVar,"rnew")+AN3122</f>
        <v/>
      </c>
      <c r="AO3117" s="69">
        <f>SUMIFS(AO$1003:AO$3061,SecVar,"rnew")+AO3122</f>
        <v/>
      </c>
      <c r="AP3117" s="69">
        <f>SUMIFS(AP$1003:AP$3061,SecVar,"rnew")+AP3122</f>
        <v/>
      </c>
      <c r="AQ3117" s="69">
        <f>SUMIFS(AQ$1003:AQ$3061,SecVar,"rnew")+AQ3122</f>
        <v/>
      </c>
      <c r="AR3117" s="69">
        <f>SUMIFS(AR$1003:AR$3061,SecVar,"rnew")+AR3122</f>
        <v/>
      </c>
      <c r="AS3117" s="69">
        <f>SUMIFS(AS$1003:AS$3061,SecVar,"rnew")+AS3122</f>
        <v/>
      </c>
      <c r="AT3117" s="69">
        <f>SUMIFS(AT$1003:AT$3061,SecVar,"rnew")+AT3122</f>
        <v/>
      </c>
      <c r="AU3117" s="69">
        <f>SUMIFS(AU$1003:AU$3061,SecVar,"rnew")+AU3122</f>
        <v/>
      </c>
      <c r="AV3117" s="69">
        <f>SUMIFS(AV$1003:AV$3061,SecVar,"rnew")+AV3122</f>
        <v/>
      </c>
      <c r="AW3117" s="69">
        <f>SUMIFS(AW$1003:AW$3061,SecVar,"rnew")+AW3122</f>
        <v/>
      </c>
      <c r="AX3117" s="69">
        <f>SUMIFS(AX$1003:AX$3061,SecVar,"rnew")+AX3122</f>
        <v/>
      </c>
      <c r="AY3117" s="69">
        <f>SUMIFS(AY$1003:AY$3061,SecVar,"rnew")+AY3122</f>
        <v/>
      </c>
      <c r="AZ3117" s="69">
        <f>SUMIFS(AZ$1003:AZ$3061,SecVar,"rnew")+AZ3122</f>
        <v/>
      </c>
      <c r="BA3117" s="69">
        <f>SUMIFS(BA$1003:BA$3061,SecVar,"rnew")+BA3122</f>
        <v/>
      </c>
    </row>
    <row r="3118" hidden="1" outlineLevel="1">
      <c r="A3118" s="14" t="inlineStr">
        <is>
          <t>rnew</t>
        </is>
      </c>
      <c r="B3118" s="14" t="inlineStr">
        <is>
          <t>all</t>
        </is>
      </c>
      <c r="C3118" s="14" t="inlineStr">
        <is>
          <t>tra</t>
        </is>
      </c>
      <c r="H3118" s="14">
        <f>INDEX(VarLab,MATCH($A3118,VarKey,0))&amp;INDEX(MemLab,MATCH($C3118&amp;"|"&amp;$B3118,MemKey,0))</f>
        <v/>
      </c>
      <c r="I3118" s="14">
        <f>INDEX(VarUnit,MATCH($A3118,VarKey,0))</f>
        <v/>
      </c>
      <c r="J3118" s="14">
        <f>INDEX(VarSrc,MATCH($A3118,VarKey,0))</f>
        <v/>
      </c>
      <c r="K3118" s="11">
        <f>CodePrefix&amp;$A3118&amp;IF($C3118="","","."&amp;$C3118&amp;"."&amp;$B3118)&amp;INDEX(VarEnd,MATCH($A3118,VarKey,0))&amp;K$5</f>
        <v/>
      </c>
      <c r="L3118" s="43">
        <f>SUMIFS(L$1005:L$1516,$A$1005:$A$1516,"rnew")</f>
        <v/>
      </c>
      <c r="M3118" s="44">
        <f>SUMIFS(M$1005:M$1516,$A$1005:$A$1516,"rnew")</f>
        <v/>
      </c>
      <c r="N3118" s="44">
        <f>SUMIFS(N$1005:N$1516,$A$1005:$A$1516,"rnew")</f>
        <v/>
      </c>
      <c r="O3118" s="44">
        <f>SUMIFS(O$1005:O$1516,$A$1005:$A$1516,"rnew")</f>
        <v/>
      </c>
      <c r="P3118" s="44">
        <f>SUMIFS(P$1005:P$1516,$A$1005:$A$1516,"rnew")</f>
        <v/>
      </c>
      <c r="Q3118" s="44">
        <f>SUMIFS(Q$1005:Q$1516,$A$1005:$A$1516,"rnew")</f>
        <v/>
      </c>
      <c r="R3118" s="44">
        <f>SUMIFS(R$1005:R$1516,$A$1005:$A$1516,"rnew")</f>
        <v/>
      </c>
      <c r="S3118" s="44">
        <f>SUMIFS(S$1005:S$1516,$A$1005:$A$1516,"rnew")</f>
        <v/>
      </c>
      <c r="T3118" s="44">
        <f>SUMIFS(T$1005:T$1516,$A$1005:$A$1516,"rnew")</f>
        <v/>
      </c>
      <c r="U3118" s="44">
        <f>SUMIFS(U$1005:U$1516,$A$1005:$A$1516,"rnew")</f>
        <v/>
      </c>
      <c r="V3118" s="44">
        <f>SUMIFS(V$1005:V$1516,$A$1005:$A$1516,"rnew")</f>
        <v/>
      </c>
      <c r="W3118" s="44">
        <f>SUMIFS(W$1005:W$1516,$A$1005:$A$1516,"rnew")</f>
        <v/>
      </c>
      <c r="X3118" s="44">
        <f>SUMIFS(X$1005:X$1516,$A$1005:$A$1516,"rnew")</f>
        <v/>
      </c>
      <c r="Y3118" s="44">
        <f>SUMIFS(Y$1005:Y$1516,$A$1005:$A$1516,"rnew")</f>
        <v/>
      </c>
      <c r="Z3118" s="44">
        <f>SUMIFS(Z$1005:Z$1516,$A$1005:$A$1516,"rnew")</f>
        <v/>
      </c>
      <c r="AA3118" s="44">
        <f>SUMIFS(AA$1005:AA$1516,$A$1005:$A$1516,"rnew")</f>
        <v/>
      </c>
      <c r="AB3118" s="44">
        <f>SUMIFS(AB$1005:AB$1516,$A$1005:$A$1516,"rnew")</f>
        <v/>
      </c>
      <c r="AC3118" s="44">
        <f>SUMIFS(AC$1005:AC$1516,$A$1005:$A$1516,"rnew")</f>
        <v/>
      </c>
      <c r="AD3118" s="44">
        <f>SUMIFS(AD$1005:AD$1516,$A$1005:$A$1516,"rnew")</f>
        <v/>
      </c>
      <c r="AE3118" s="44">
        <f>SUMIFS(AE$1005:AE$1516,$A$1005:$A$1516,"rnew")</f>
        <v/>
      </c>
      <c r="AG3118" s="11">
        <f>CodePrefix&amp;$A3118&amp;IF($C3118="","","."&amp;$C3118&amp;"."&amp;$B3118)&amp;INDEX(VarEnd,MATCH($A3118,VarKey,0))&amp;AG$5</f>
        <v/>
      </c>
      <c r="AH3118" s="43">
        <f>SUMIFS(AH$1005:AH$1516,$A$1005:$A$1516,"rnew")</f>
        <v/>
      </c>
      <c r="AI3118" s="44">
        <f>SUMIFS(AI$1005:AI$1516,$A$1005:$A$1516,"rnew")</f>
        <v/>
      </c>
      <c r="AJ3118" s="44">
        <f>SUMIFS(AJ$1005:AJ$1516,$A$1005:$A$1516,"rnew")</f>
        <v/>
      </c>
      <c r="AK3118" s="44">
        <f>SUMIFS(AK$1005:AK$1516,$A$1005:$A$1516,"rnew")</f>
        <v/>
      </c>
      <c r="AL3118" s="44">
        <f>SUMIFS(AL$1005:AL$1516,$A$1005:$A$1516,"rnew")</f>
        <v/>
      </c>
      <c r="AM3118" s="44">
        <f>SUMIFS(AM$1005:AM$1516,$A$1005:$A$1516,"rnew")</f>
        <v/>
      </c>
      <c r="AN3118" s="44">
        <f>SUMIFS(AN$1005:AN$1516,$A$1005:$A$1516,"rnew")</f>
        <v/>
      </c>
      <c r="AO3118" s="44">
        <f>SUMIFS(AO$1005:AO$1516,$A$1005:$A$1516,"rnew")</f>
        <v/>
      </c>
      <c r="AP3118" s="44">
        <f>SUMIFS(AP$1005:AP$1516,$A$1005:$A$1516,"rnew")</f>
        <v/>
      </c>
      <c r="AQ3118" s="44">
        <f>SUMIFS(AQ$1005:AQ$1516,$A$1005:$A$1516,"rnew")</f>
        <v/>
      </c>
      <c r="AR3118" s="44">
        <f>SUMIFS(AR$1005:AR$1516,$A$1005:$A$1516,"rnew")</f>
        <v/>
      </c>
      <c r="AS3118" s="44">
        <f>SUMIFS(AS$1005:AS$1516,$A$1005:$A$1516,"rnew")</f>
        <v/>
      </c>
      <c r="AT3118" s="44">
        <f>SUMIFS(AT$1005:AT$1516,$A$1005:$A$1516,"rnew")</f>
        <v/>
      </c>
      <c r="AU3118" s="44">
        <f>SUMIFS(AU$1005:AU$1516,$A$1005:$A$1516,"rnew")</f>
        <v/>
      </c>
      <c r="AV3118" s="44">
        <f>SUMIFS(AV$1005:AV$1516,$A$1005:$A$1516,"rnew")</f>
        <v/>
      </c>
      <c r="AW3118" s="44">
        <f>SUMIFS(AW$1005:AW$1516,$A$1005:$A$1516,"rnew")</f>
        <v/>
      </c>
      <c r="AX3118" s="44">
        <f>SUMIFS(AX$1005:AX$1516,$A$1005:$A$1516,"rnew")</f>
        <v/>
      </c>
      <c r="AY3118" s="44">
        <f>SUMIFS(AY$1005:AY$1516,$A$1005:$A$1516,"rnew")</f>
        <v/>
      </c>
      <c r="AZ3118" s="44">
        <f>SUMIFS(AZ$1005:AZ$1516,$A$1005:$A$1516,"rnew")</f>
        <v/>
      </c>
      <c r="BA3118" s="44">
        <f>SUMIFS(BA$1005:BA$1516,$A$1005:$A$1516,"rnew")</f>
        <v/>
      </c>
    </row>
    <row r="3119" hidden="1" outlineLevel="1">
      <c r="A3119" s="14" t="inlineStr">
        <is>
          <t>rnew</t>
        </is>
      </c>
      <c r="B3119" s="14" t="inlineStr">
        <is>
          <t>all</t>
        </is>
      </c>
      <c r="C3119" s="14" t="inlineStr">
        <is>
          <t>bld</t>
        </is>
      </c>
      <c r="H3119" s="14">
        <f>INDEX(VarLab,MATCH($A3119,VarKey,0))&amp;INDEX(MemLab,MATCH($C3119&amp;"|"&amp;$B3119,MemKey,0))</f>
        <v/>
      </c>
      <c r="I3119" s="14">
        <f>INDEX(VarUnit,MATCH($A3119,VarKey,0))</f>
        <v/>
      </c>
      <c r="J3119" s="14">
        <f>INDEX(VarSrc,MATCH($A3119,VarKey,0))</f>
        <v/>
      </c>
      <c r="K3119" s="11">
        <f>CodePrefix&amp;$A3119&amp;IF($C3119="","","."&amp;$C3119&amp;"."&amp;$B3119)&amp;INDEX(VarEnd,MATCH($A3119,VarKey,0))&amp;K$5</f>
        <v/>
      </c>
      <c r="L3119" s="43">
        <f>SUMIFS(L$1520:L$1903,$A$1520:$A$1903,"rnew")</f>
        <v/>
      </c>
      <c r="M3119" s="44">
        <f>SUMIFS(M$1520:M$1903,$A$1520:$A$1903,"rnew")</f>
        <v/>
      </c>
      <c r="N3119" s="44">
        <f>SUMIFS(N$1520:N$1903,$A$1520:$A$1903,"rnew")</f>
        <v/>
      </c>
      <c r="O3119" s="44">
        <f>SUMIFS(O$1520:O$1903,$A$1520:$A$1903,"rnew")</f>
        <v/>
      </c>
      <c r="P3119" s="44">
        <f>SUMIFS(P$1520:P$1903,$A$1520:$A$1903,"rnew")</f>
        <v/>
      </c>
      <c r="Q3119" s="44">
        <f>SUMIFS(Q$1520:Q$1903,$A$1520:$A$1903,"rnew")</f>
        <v/>
      </c>
      <c r="R3119" s="44">
        <f>SUMIFS(R$1520:R$1903,$A$1520:$A$1903,"rnew")</f>
        <v/>
      </c>
      <c r="S3119" s="44">
        <f>SUMIFS(S$1520:S$1903,$A$1520:$A$1903,"rnew")</f>
        <v/>
      </c>
      <c r="T3119" s="44">
        <f>SUMIFS(T$1520:T$1903,$A$1520:$A$1903,"rnew")</f>
        <v/>
      </c>
      <c r="U3119" s="44">
        <f>SUMIFS(U$1520:U$1903,$A$1520:$A$1903,"rnew")</f>
        <v/>
      </c>
      <c r="V3119" s="44">
        <f>SUMIFS(V$1520:V$1903,$A$1520:$A$1903,"rnew")</f>
        <v/>
      </c>
      <c r="W3119" s="44">
        <f>SUMIFS(W$1520:W$1903,$A$1520:$A$1903,"rnew")</f>
        <v/>
      </c>
      <c r="X3119" s="44">
        <f>SUMIFS(X$1520:X$1903,$A$1520:$A$1903,"rnew")</f>
        <v/>
      </c>
      <c r="Y3119" s="44">
        <f>SUMIFS(Y$1520:Y$1903,$A$1520:$A$1903,"rnew")</f>
        <v/>
      </c>
      <c r="Z3119" s="44">
        <f>SUMIFS(Z$1520:Z$1903,$A$1520:$A$1903,"rnew")</f>
        <v/>
      </c>
      <c r="AA3119" s="44">
        <f>SUMIFS(AA$1520:AA$1903,$A$1520:$A$1903,"rnew")</f>
        <v/>
      </c>
      <c r="AB3119" s="44">
        <f>SUMIFS(AB$1520:AB$1903,$A$1520:$A$1903,"rnew")</f>
        <v/>
      </c>
      <c r="AC3119" s="44">
        <f>SUMIFS(AC$1520:AC$1903,$A$1520:$A$1903,"rnew")</f>
        <v/>
      </c>
      <c r="AD3119" s="44">
        <f>SUMIFS(AD$1520:AD$1903,$A$1520:$A$1903,"rnew")</f>
        <v/>
      </c>
      <c r="AE3119" s="44">
        <f>SUMIFS(AE$1520:AE$1903,$A$1520:$A$1903,"rnew")</f>
        <v/>
      </c>
      <c r="AG3119" s="11">
        <f>CodePrefix&amp;$A3119&amp;IF($C3119="","","."&amp;$C3119&amp;"."&amp;$B3119)&amp;INDEX(VarEnd,MATCH($A3119,VarKey,0))&amp;AG$5</f>
        <v/>
      </c>
      <c r="AH3119" s="43">
        <f>SUMIFS(AH$1520:AH$1903,$A$1520:$A$1903,"rnew")</f>
        <v/>
      </c>
      <c r="AI3119" s="44">
        <f>SUMIFS(AI$1520:AI$1903,$A$1520:$A$1903,"rnew")</f>
        <v/>
      </c>
      <c r="AJ3119" s="44">
        <f>SUMIFS(AJ$1520:AJ$1903,$A$1520:$A$1903,"rnew")</f>
        <v/>
      </c>
      <c r="AK3119" s="44">
        <f>SUMIFS(AK$1520:AK$1903,$A$1520:$A$1903,"rnew")</f>
        <v/>
      </c>
      <c r="AL3119" s="44">
        <f>SUMIFS(AL$1520:AL$1903,$A$1520:$A$1903,"rnew")</f>
        <v/>
      </c>
      <c r="AM3119" s="44">
        <f>SUMIFS(AM$1520:AM$1903,$A$1520:$A$1903,"rnew")</f>
        <v/>
      </c>
      <c r="AN3119" s="44">
        <f>SUMIFS(AN$1520:AN$1903,$A$1520:$A$1903,"rnew")</f>
        <v/>
      </c>
      <c r="AO3119" s="44">
        <f>SUMIFS(AO$1520:AO$1903,$A$1520:$A$1903,"rnew")</f>
        <v/>
      </c>
      <c r="AP3119" s="44">
        <f>SUMIFS(AP$1520:AP$1903,$A$1520:$A$1903,"rnew")</f>
        <v/>
      </c>
      <c r="AQ3119" s="44">
        <f>SUMIFS(AQ$1520:AQ$1903,$A$1520:$A$1903,"rnew")</f>
        <v/>
      </c>
      <c r="AR3119" s="44">
        <f>SUMIFS(AR$1520:AR$1903,$A$1520:$A$1903,"rnew")</f>
        <v/>
      </c>
      <c r="AS3119" s="44">
        <f>SUMIFS(AS$1520:AS$1903,$A$1520:$A$1903,"rnew")</f>
        <v/>
      </c>
      <c r="AT3119" s="44">
        <f>SUMIFS(AT$1520:AT$1903,$A$1520:$A$1903,"rnew")</f>
        <v/>
      </c>
      <c r="AU3119" s="44">
        <f>SUMIFS(AU$1520:AU$1903,$A$1520:$A$1903,"rnew")</f>
        <v/>
      </c>
      <c r="AV3119" s="44">
        <f>SUMIFS(AV$1520:AV$1903,$A$1520:$A$1903,"rnew")</f>
        <v/>
      </c>
      <c r="AW3119" s="44">
        <f>SUMIFS(AW$1520:AW$1903,$A$1520:$A$1903,"rnew")</f>
        <v/>
      </c>
      <c r="AX3119" s="44">
        <f>SUMIFS(AX$1520:AX$1903,$A$1520:$A$1903,"rnew")</f>
        <v/>
      </c>
      <c r="AY3119" s="44">
        <f>SUMIFS(AY$1520:AY$1903,$A$1520:$A$1903,"rnew")</f>
        <v/>
      </c>
      <c r="AZ3119" s="44">
        <f>SUMIFS(AZ$1520:AZ$1903,$A$1520:$A$1903,"rnew")</f>
        <v/>
      </c>
      <c r="BA3119" s="44">
        <f>SUMIFS(BA$1520:BA$1903,$A$1520:$A$1903,"rnew")</f>
        <v/>
      </c>
    </row>
    <row r="3120" hidden="1" outlineLevel="1">
      <c r="A3120" s="14" t="inlineStr">
        <is>
          <t>rnew</t>
        </is>
      </c>
      <c r="B3120" s="14" t="inlineStr">
        <is>
          <t>all</t>
        </is>
      </c>
      <c r="C3120" s="14" t="inlineStr">
        <is>
          <t>ind</t>
        </is>
      </c>
      <c r="H3120" s="14">
        <f>INDEX(VarLab,MATCH($A3120,VarKey,0))&amp;INDEX(MemLab,MATCH($C3120&amp;"|"&amp;$B3120,MemKey,0))</f>
        <v/>
      </c>
      <c r="I3120" s="14">
        <f>INDEX(VarUnit,MATCH($A3120,VarKey,0))</f>
        <v/>
      </c>
      <c r="J3120" s="14">
        <f>INDEX(VarSrc,MATCH($A3120,VarKey,0))</f>
        <v/>
      </c>
      <c r="K3120" s="11">
        <f>CodePrefix&amp;$A3120&amp;IF($C3120="","","."&amp;$C3120&amp;"."&amp;$B3120)&amp;INDEX(VarEnd,MATCH($A3120,VarKey,0))&amp;K$5</f>
        <v/>
      </c>
      <c r="L3120" s="43">
        <f>SUMIFS(L$1907:L$2930,$A$1907:$A$2930,"rnew")</f>
        <v/>
      </c>
      <c r="M3120" s="44">
        <f>SUMIFS(M$1907:M$2930,$A$1907:$A$2930,"rnew")</f>
        <v/>
      </c>
      <c r="N3120" s="44">
        <f>SUMIFS(N$1907:N$2930,$A$1907:$A$2930,"rnew")</f>
        <v/>
      </c>
      <c r="O3120" s="44">
        <f>SUMIFS(O$1907:O$2930,$A$1907:$A$2930,"rnew")</f>
        <v/>
      </c>
      <c r="P3120" s="44">
        <f>SUMIFS(P$1907:P$2930,$A$1907:$A$2930,"rnew")</f>
        <v/>
      </c>
      <c r="Q3120" s="44">
        <f>SUMIFS(Q$1907:Q$2930,$A$1907:$A$2930,"rnew")</f>
        <v/>
      </c>
      <c r="R3120" s="44">
        <f>SUMIFS(R$1907:R$2930,$A$1907:$A$2930,"rnew")</f>
        <v/>
      </c>
      <c r="S3120" s="44">
        <f>SUMIFS(S$1907:S$2930,$A$1907:$A$2930,"rnew")</f>
        <v/>
      </c>
      <c r="T3120" s="44">
        <f>SUMIFS(T$1907:T$2930,$A$1907:$A$2930,"rnew")</f>
        <v/>
      </c>
      <c r="U3120" s="44">
        <f>SUMIFS(U$1907:U$2930,$A$1907:$A$2930,"rnew")</f>
        <v/>
      </c>
      <c r="V3120" s="44">
        <f>SUMIFS(V$1907:V$2930,$A$1907:$A$2930,"rnew")</f>
        <v/>
      </c>
      <c r="W3120" s="44">
        <f>SUMIFS(W$1907:W$2930,$A$1907:$A$2930,"rnew")</f>
        <v/>
      </c>
      <c r="X3120" s="44">
        <f>SUMIFS(X$1907:X$2930,$A$1907:$A$2930,"rnew")</f>
        <v/>
      </c>
      <c r="Y3120" s="44">
        <f>SUMIFS(Y$1907:Y$2930,$A$1907:$A$2930,"rnew")</f>
        <v/>
      </c>
      <c r="Z3120" s="44">
        <f>SUMIFS(Z$1907:Z$2930,$A$1907:$A$2930,"rnew")</f>
        <v/>
      </c>
      <c r="AA3120" s="44">
        <f>SUMIFS(AA$1907:AA$2930,$A$1907:$A$2930,"rnew")</f>
        <v/>
      </c>
      <c r="AB3120" s="44">
        <f>SUMIFS(AB$1907:AB$2930,$A$1907:$A$2930,"rnew")</f>
        <v/>
      </c>
      <c r="AC3120" s="44">
        <f>SUMIFS(AC$1907:AC$2930,$A$1907:$A$2930,"rnew")</f>
        <v/>
      </c>
      <c r="AD3120" s="44">
        <f>SUMIFS(AD$1907:AD$2930,$A$1907:$A$2930,"rnew")</f>
        <v/>
      </c>
      <c r="AE3120" s="44">
        <f>SUMIFS(AE$1907:AE$2930,$A$1907:$A$2930,"rnew")</f>
        <v/>
      </c>
      <c r="AG3120" s="11">
        <f>CodePrefix&amp;$A3120&amp;IF($C3120="","","."&amp;$C3120&amp;"."&amp;$B3120)&amp;INDEX(VarEnd,MATCH($A3120,VarKey,0))&amp;AG$5</f>
        <v/>
      </c>
      <c r="AH3120" s="43">
        <f>SUMIFS(AH$1907:AH$2930,$A$1907:$A$2930,"rnew")</f>
        <v/>
      </c>
      <c r="AI3120" s="44">
        <f>SUMIFS(AI$1907:AI$2930,$A$1907:$A$2930,"rnew")</f>
        <v/>
      </c>
      <c r="AJ3120" s="44">
        <f>SUMIFS(AJ$1907:AJ$2930,$A$1907:$A$2930,"rnew")</f>
        <v/>
      </c>
      <c r="AK3120" s="44">
        <f>SUMIFS(AK$1907:AK$2930,$A$1907:$A$2930,"rnew")</f>
        <v/>
      </c>
      <c r="AL3120" s="44">
        <f>SUMIFS(AL$1907:AL$2930,$A$1907:$A$2930,"rnew")</f>
        <v/>
      </c>
      <c r="AM3120" s="44">
        <f>SUMIFS(AM$1907:AM$2930,$A$1907:$A$2930,"rnew")</f>
        <v/>
      </c>
      <c r="AN3120" s="44">
        <f>SUMIFS(AN$1907:AN$2930,$A$1907:$A$2930,"rnew")</f>
        <v/>
      </c>
      <c r="AO3120" s="44">
        <f>SUMIFS(AO$1907:AO$2930,$A$1907:$A$2930,"rnew")</f>
        <v/>
      </c>
      <c r="AP3120" s="44">
        <f>SUMIFS(AP$1907:AP$2930,$A$1907:$A$2930,"rnew")</f>
        <v/>
      </c>
      <c r="AQ3120" s="44">
        <f>SUMIFS(AQ$1907:AQ$2930,$A$1907:$A$2930,"rnew")</f>
        <v/>
      </c>
      <c r="AR3120" s="44">
        <f>SUMIFS(AR$1907:AR$2930,$A$1907:$A$2930,"rnew")</f>
        <v/>
      </c>
      <c r="AS3120" s="44">
        <f>SUMIFS(AS$1907:AS$2930,$A$1907:$A$2930,"rnew")</f>
        <v/>
      </c>
      <c r="AT3120" s="44">
        <f>SUMIFS(AT$1907:AT$2930,$A$1907:$A$2930,"rnew")</f>
        <v/>
      </c>
      <c r="AU3120" s="44">
        <f>SUMIFS(AU$1907:AU$2930,$A$1907:$A$2930,"rnew")</f>
        <v/>
      </c>
      <c r="AV3120" s="44">
        <f>SUMIFS(AV$1907:AV$2930,$A$1907:$A$2930,"rnew")</f>
        <v/>
      </c>
      <c r="AW3120" s="44">
        <f>SUMIFS(AW$1907:AW$2930,$A$1907:$A$2930,"rnew")</f>
        <v/>
      </c>
      <c r="AX3120" s="44">
        <f>SUMIFS(AX$1907:AX$2930,$A$1907:$A$2930,"rnew")</f>
        <v/>
      </c>
      <c r="AY3120" s="44">
        <f>SUMIFS(AY$1907:AY$2930,$A$1907:$A$2930,"rnew")</f>
        <v/>
      </c>
      <c r="AZ3120" s="44">
        <f>SUMIFS(AZ$1907:AZ$2930,$A$1907:$A$2930,"rnew")</f>
        <v/>
      </c>
      <c r="BA3120" s="44">
        <f>SUMIFS(BA$1907:BA$2930,$A$1907:$A$2930,"rnew")</f>
        <v/>
      </c>
    </row>
    <row r="3121" hidden="1" outlineLevel="1">
      <c r="A3121" s="14" t="inlineStr">
        <is>
          <t>rnew</t>
        </is>
      </c>
      <c r="B3121" s="14" t="inlineStr">
        <is>
          <t>all</t>
        </is>
      </c>
      <c r="C3121" s="14" t="inlineStr">
        <is>
          <t>oen</t>
        </is>
      </c>
      <c r="H3121" s="14">
        <f>INDEX(VarLab,MATCH($A3121,VarKey,0))&amp;INDEX(MemLab,MATCH($C3121&amp;"|"&amp;$B3121,MemKey,0))</f>
        <v/>
      </c>
      <c r="I3121" s="14">
        <f>INDEX(VarUnit,MATCH($A3121,VarKey,0))</f>
        <v/>
      </c>
      <c r="J3121" s="14">
        <f>INDEX(VarSrc,MATCH($A3121,VarKey,0))</f>
        <v/>
      </c>
      <c r="K3121" s="11">
        <f>CodePrefix&amp;$A3121&amp;IF($C3121="","","."&amp;$C3121&amp;"."&amp;$B3121)&amp;INDEX(VarEnd,MATCH($A3121,VarKey,0))&amp;K$5</f>
        <v/>
      </c>
      <c r="L3121" s="43">
        <f>SUMIFS(L$2934:L$3061,$A$2934:$A$3061,"rnew")</f>
        <v/>
      </c>
      <c r="M3121" s="44">
        <f>SUMIFS(M$2934:M$3061,$A$2934:$A$3061,"rnew")</f>
        <v/>
      </c>
      <c r="N3121" s="44">
        <f>SUMIFS(N$2934:N$3061,$A$2934:$A$3061,"rnew")</f>
        <v/>
      </c>
      <c r="O3121" s="44">
        <f>SUMIFS(O$2934:O$3061,$A$2934:$A$3061,"rnew")</f>
        <v/>
      </c>
      <c r="P3121" s="44">
        <f>SUMIFS(P$2934:P$3061,$A$2934:$A$3061,"rnew")</f>
        <v/>
      </c>
      <c r="Q3121" s="44">
        <f>SUMIFS(Q$2934:Q$3061,$A$2934:$A$3061,"rnew")</f>
        <v/>
      </c>
      <c r="R3121" s="44">
        <f>SUMIFS(R$2934:R$3061,$A$2934:$A$3061,"rnew")</f>
        <v/>
      </c>
      <c r="S3121" s="44">
        <f>SUMIFS(S$2934:S$3061,$A$2934:$A$3061,"rnew")</f>
        <v/>
      </c>
      <c r="T3121" s="44">
        <f>SUMIFS(T$2934:T$3061,$A$2934:$A$3061,"rnew")</f>
        <v/>
      </c>
      <c r="U3121" s="44">
        <f>SUMIFS(U$2934:U$3061,$A$2934:$A$3061,"rnew")</f>
        <v/>
      </c>
      <c r="V3121" s="44">
        <f>SUMIFS(V$2934:V$3061,$A$2934:$A$3061,"rnew")</f>
        <v/>
      </c>
      <c r="W3121" s="44">
        <f>SUMIFS(W$2934:W$3061,$A$2934:$A$3061,"rnew")</f>
        <v/>
      </c>
      <c r="X3121" s="44">
        <f>SUMIFS(X$2934:X$3061,$A$2934:$A$3061,"rnew")</f>
        <v/>
      </c>
      <c r="Y3121" s="44">
        <f>SUMIFS(Y$2934:Y$3061,$A$2934:$A$3061,"rnew")</f>
        <v/>
      </c>
      <c r="Z3121" s="44">
        <f>SUMIFS(Z$2934:Z$3061,$A$2934:$A$3061,"rnew")</f>
        <v/>
      </c>
      <c r="AA3121" s="44">
        <f>SUMIFS(AA$2934:AA$3061,$A$2934:$A$3061,"rnew")</f>
        <v/>
      </c>
      <c r="AB3121" s="44">
        <f>SUMIFS(AB$2934:AB$3061,$A$2934:$A$3061,"rnew")</f>
        <v/>
      </c>
      <c r="AC3121" s="44">
        <f>SUMIFS(AC$2934:AC$3061,$A$2934:$A$3061,"rnew")</f>
        <v/>
      </c>
      <c r="AD3121" s="44">
        <f>SUMIFS(AD$2934:AD$3061,$A$2934:$A$3061,"rnew")</f>
        <v/>
      </c>
      <c r="AE3121" s="44">
        <f>SUMIFS(AE$2934:AE$3061,$A$2934:$A$3061,"rnew")</f>
        <v/>
      </c>
      <c r="AG3121" s="11">
        <f>CodePrefix&amp;$A3121&amp;IF($C3121="","","."&amp;$C3121&amp;"."&amp;$B3121)&amp;INDEX(VarEnd,MATCH($A3121,VarKey,0))&amp;AG$5</f>
        <v/>
      </c>
      <c r="AH3121" s="43">
        <f>SUMIFS(AH$2934:AH$3061,$A$2934:$A$3061,"rnew")</f>
        <v/>
      </c>
      <c r="AI3121" s="44">
        <f>SUMIFS(AI$2934:AI$3061,$A$2934:$A$3061,"rnew")</f>
        <v/>
      </c>
      <c r="AJ3121" s="44">
        <f>SUMIFS(AJ$2934:AJ$3061,$A$2934:$A$3061,"rnew")</f>
        <v/>
      </c>
      <c r="AK3121" s="44">
        <f>SUMIFS(AK$2934:AK$3061,$A$2934:$A$3061,"rnew")</f>
        <v/>
      </c>
      <c r="AL3121" s="44">
        <f>SUMIFS(AL$2934:AL$3061,$A$2934:$A$3061,"rnew")</f>
        <v/>
      </c>
      <c r="AM3121" s="44">
        <f>SUMIFS(AM$2934:AM$3061,$A$2934:$A$3061,"rnew")</f>
        <v/>
      </c>
      <c r="AN3121" s="44">
        <f>SUMIFS(AN$2934:AN$3061,$A$2934:$A$3061,"rnew")</f>
        <v/>
      </c>
      <c r="AO3121" s="44">
        <f>SUMIFS(AO$2934:AO$3061,$A$2934:$A$3061,"rnew")</f>
        <v/>
      </c>
      <c r="AP3121" s="44">
        <f>SUMIFS(AP$2934:AP$3061,$A$2934:$A$3061,"rnew")</f>
        <v/>
      </c>
      <c r="AQ3121" s="44">
        <f>SUMIFS(AQ$2934:AQ$3061,$A$2934:$A$3061,"rnew")</f>
        <v/>
      </c>
      <c r="AR3121" s="44">
        <f>SUMIFS(AR$2934:AR$3061,$A$2934:$A$3061,"rnew")</f>
        <v/>
      </c>
      <c r="AS3121" s="44">
        <f>SUMIFS(AS$2934:AS$3061,$A$2934:$A$3061,"rnew")</f>
        <v/>
      </c>
      <c r="AT3121" s="44">
        <f>SUMIFS(AT$2934:AT$3061,$A$2934:$A$3061,"rnew")</f>
        <v/>
      </c>
      <c r="AU3121" s="44">
        <f>SUMIFS(AU$2934:AU$3061,$A$2934:$A$3061,"rnew")</f>
        <v/>
      </c>
      <c r="AV3121" s="44">
        <f>SUMIFS(AV$2934:AV$3061,$A$2934:$A$3061,"rnew")</f>
        <v/>
      </c>
      <c r="AW3121" s="44">
        <f>SUMIFS(AW$2934:AW$3061,$A$2934:$A$3061,"rnew")</f>
        <v/>
      </c>
      <c r="AX3121" s="44">
        <f>SUMIFS(AX$2934:AX$3061,$A$2934:$A$3061,"rnew")</f>
        <v/>
      </c>
      <c r="AY3121" s="44">
        <f>SUMIFS(AY$2934:AY$3061,$A$2934:$A$3061,"rnew")</f>
        <v/>
      </c>
      <c r="AZ3121" s="44">
        <f>SUMIFS(AZ$2934:AZ$3061,$A$2934:$A$3061,"rnew")</f>
        <v/>
      </c>
      <c r="BA3121" s="44">
        <f>SUMIFS(BA$2934:BA$3061,$A$2934:$A$3061,"rnew")</f>
        <v/>
      </c>
    </row>
    <row r="3122" hidden="1" outlineLevel="1">
      <c r="A3122" s="14" t="inlineStr">
        <is>
          <t>rnew</t>
        </is>
      </c>
      <c r="B3122" s="14" t="inlineStr">
        <is>
          <t>all</t>
        </is>
      </c>
      <c r="C3122" s="14" t="inlineStr">
        <is>
          <t>pow</t>
        </is>
      </c>
      <c r="H3122" s="14">
        <f>INDEX(VarLab,MATCH($A3122,VarKey,0))&amp;INDEX(MemLab,MATCH($C3122&amp;"|"&amp;$B3122,MemKey,0))</f>
        <v/>
      </c>
      <c r="I3122" s="14">
        <f>INDEX(VarUnit,MATCH($A3122,VarKey,0))</f>
        <v/>
      </c>
      <c r="J3122" s="14">
        <f>INDEX(VarSrc,MATCH($A3122,VarKey,0))</f>
        <v/>
      </c>
      <c r="K3122" s="11">
        <f>CodePrefix&amp;$A3122&amp;IF($C3122="","","."&amp;$C3122&amp;"."&amp;$B3122)&amp;INDEX(VarEnd,MATCH($A3122,VarKey,0))&amp;K$5</f>
        <v/>
      </c>
      <c r="L3122" s="43">
        <f>SUM(L$980:L$988)+SUM(L$657:L$658)</f>
        <v/>
      </c>
      <c r="M3122" s="44">
        <f>SUM(M$980:M$988)+SUM(M$657:M$658)</f>
        <v/>
      </c>
      <c r="N3122" s="44">
        <f>SUM(N$980:N$988)+SUM(N$657:N$658)</f>
        <v/>
      </c>
      <c r="O3122" s="44">
        <f>SUM(O$980:O$988)+SUM(O$657:O$658)</f>
        <v/>
      </c>
      <c r="P3122" s="44">
        <f>SUM(P$980:P$988)+SUM(P$657:P$658)</f>
        <v/>
      </c>
      <c r="Q3122" s="44">
        <f>SUM(Q$980:Q$988)+SUM(Q$657:Q$658)</f>
        <v/>
      </c>
      <c r="R3122" s="44">
        <f>SUM(R$980:R$988)+SUM(R$657:R$658)</f>
        <v/>
      </c>
      <c r="S3122" s="44">
        <f>SUM(S$980:S$988)+SUM(S$657:S$658)</f>
        <v/>
      </c>
      <c r="T3122" s="44">
        <f>SUM(T$980:T$988)+SUM(T$657:T$658)</f>
        <v/>
      </c>
      <c r="U3122" s="44">
        <f>SUM(U$980:U$988)+SUM(U$657:U$658)</f>
        <v/>
      </c>
      <c r="V3122" s="44">
        <f>SUM(V$980:V$988)+SUM(V$657:V$658)</f>
        <v/>
      </c>
      <c r="W3122" s="44">
        <f>SUM(W$980:W$988)+SUM(W$657:W$658)</f>
        <v/>
      </c>
      <c r="X3122" s="44">
        <f>SUM(X$980:X$988)+SUM(X$657:X$658)</f>
        <v/>
      </c>
      <c r="Y3122" s="44">
        <f>SUM(Y$980:Y$988)+SUM(Y$657:Y$658)</f>
        <v/>
      </c>
      <c r="Z3122" s="44">
        <f>SUM(Z$980:Z$988)+SUM(Z$657:Z$658)</f>
        <v/>
      </c>
      <c r="AA3122" s="44">
        <f>SUM(AA$980:AA$988)+SUM(AA$657:AA$658)</f>
        <v/>
      </c>
      <c r="AB3122" s="44">
        <f>SUM(AB$980:AB$988)+SUM(AB$657:AB$658)</f>
        <v/>
      </c>
      <c r="AC3122" s="44">
        <f>SUM(AC$980:AC$988)+SUM(AC$657:AC$658)</f>
        <v/>
      </c>
      <c r="AD3122" s="44">
        <f>SUM(AD$980:AD$988)+SUM(AD$657:AD$658)</f>
        <v/>
      </c>
      <c r="AE3122" s="44">
        <f>SUM(AE$980:AE$988)+SUM(AE$657:AE$658)</f>
        <v/>
      </c>
      <c r="AG3122" s="11">
        <f>CodePrefix&amp;$A3122&amp;IF($C3122="","","."&amp;$C3122&amp;"."&amp;$B3122)&amp;INDEX(VarEnd,MATCH($A3122,VarKey,0))&amp;AG$5</f>
        <v/>
      </c>
      <c r="AH3122" s="43">
        <f>SUM(AH$980:AH$988)+SUM(AH$657:AH$658)</f>
        <v/>
      </c>
      <c r="AI3122" s="44">
        <f>SUM(AI$980:AI$988)+SUM(AI$657:AI$658)</f>
        <v/>
      </c>
      <c r="AJ3122" s="44">
        <f>SUM(AJ$980:AJ$988)+SUM(AJ$657:AJ$658)</f>
        <v/>
      </c>
      <c r="AK3122" s="44">
        <f>SUM(AK$980:AK$988)+SUM(AK$657:AK$658)</f>
        <v/>
      </c>
      <c r="AL3122" s="44">
        <f>SUM(AL$980:AL$988)+SUM(AL$657:AL$658)</f>
        <v/>
      </c>
      <c r="AM3122" s="44">
        <f>SUM(AM$980:AM$988)+SUM(AM$657:AM$658)</f>
        <v/>
      </c>
      <c r="AN3122" s="44">
        <f>SUM(AN$980:AN$988)+SUM(AN$657:AN$658)</f>
        <v/>
      </c>
      <c r="AO3122" s="44">
        <f>SUM(AO$980:AO$988)+SUM(AO$657:AO$658)</f>
        <v/>
      </c>
      <c r="AP3122" s="44">
        <f>SUM(AP$980:AP$988)+SUM(AP$657:AP$658)</f>
        <v/>
      </c>
      <c r="AQ3122" s="44">
        <f>SUM(AQ$980:AQ$988)+SUM(AQ$657:AQ$658)</f>
        <v/>
      </c>
      <c r="AR3122" s="44">
        <f>SUM(AR$980:AR$988)+SUM(AR$657:AR$658)</f>
        <v/>
      </c>
      <c r="AS3122" s="44">
        <f>SUM(AS$980:AS$988)+SUM(AS$657:AS$658)</f>
        <v/>
      </c>
      <c r="AT3122" s="44">
        <f>SUM(AT$980:AT$988)+SUM(AT$657:AT$658)</f>
        <v/>
      </c>
      <c r="AU3122" s="44">
        <f>SUM(AU$980:AU$988)+SUM(AU$657:AU$658)</f>
        <v/>
      </c>
      <c r="AV3122" s="44">
        <f>SUM(AV$980:AV$988)+SUM(AV$657:AV$658)</f>
        <v/>
      </c>
      <c r="AW3122" s="44">
        <f>SUM(AW$980:AW$988)+SUM(AW$657:AW$658)</f>
        <v/>
      </c>
      <c r="AX3122" s="44">
        <f>SUM(AX$980:AX$988)+SUM(AX$657:AX$658)</f>
        <v/>
      </c>
      <c r="AY3122" s="44">
        <f>SUM(AY$980:AY$988)+SUM(AY$657:AY$658)</f>
        <v/>
      </c>
      <c r="AZ3122" s="44">
        <f>SUM(AZ$980:AZ$988)+SUM(AZ$657:AZ$658)</f>
        <v/>
      </c>
      <c r="BA3122" s="44">
        <f>SUM(BA$980:BA$988)+SUM(BA$657:BA$658)</f>
        <v/>
      </c>
    </row>
    <row r="3123" collapsed="1">
      <c r="A3123" s="1" t="inlineStr">
        <is>
          <t>rxcp</t>
        </is>
      </c>
      <c r="B3123" s="1" t="inlineStr">
        <is>
          <t>all</t>
        </is>
      </c>
      <c r="C3123" s="1" t="inlineStr">
        <is>
          <t>all</t>
        </is>
      </c>
      <c r="H3123" s="1">
        <f>INDEX(VarLab,MATCH($A3123,VarKey,0))&amp;INDEX(MemLab,MATCH($C3123&amp;"|"&amp;$B3123,MemKey,0))</f>
        <v/>
      </c>
      <c r="I3123" s="1">
        <f>INDEX(VarUnit,MATCH($A3123,VarKey,0))</f>
        <v/>
      </c>
      <c r="J3123" s="1">
        <f>INDEX(VarSrc,MATCH($A3123,VarKey,0))</f>
        <v/>
      </c>
      <c r="K3123" s="17">
        <f>CodePrefix&amp;$A3123&amp;IF($C3123="","","."&amp;$C3123&amp;"."&amp;$B3123)&amp;INDEX(VarEnd,MATCH($A3123,VarKey,0))&amp;K$5</f>
        <v/>
      </c>
      <c r="L3123" s="68">
        <f>SUMIFS(L$1003:L$3061,SecVar,"rxcp")+L3128</f>
        <v/>
      </c>
      <c r="M3123" s="69">
        <f>SUMIFS(M$1003:M$3061,SecVar,"rxcp")+M3128</f>
        <v/>
      </c>
      <c r="N3123" s="69">
        <f>SUMIFS(N$1003:N$3061,SecVar,"rxcp")+N3128</f>
        <v/>
      </c>
      <c r="O3123" s="69">
        <f>SUMIFS(O$1003:O$3061,SecVar,"rxcp")+O3128</f>
        <v/>
      </c>
      <c r="P3123" s="69">
        <f>SUMIFS(P$1003:P$3061,SecVar,"rxcp")+P3128</f>
        <v/>
      </c>
      <c r="Q3123" s="69">
        <f>SUMIFS(Q$1003:Q$3061,SecVar,"rxcp")+Q3128</f>
        <v/>
      </c>
      <c r="R3123" s="69">
        <f>SUMIFS(R$1003:R$3061,SecVar,"rxcp")+R3128</f>
        <v/>
      </c>
      <c r="S3123" s="69">
        <f>SUMIFS(S$1003:S$3061,SecVar,"rxcp")+S3128</f>
        <v/>
      </c>
      <c r="T3123" s="69">
        <f>SUMIFS(T$1003:T$3061,SecVar,"rxcp")+T3128</f>
        <v/>
      </c>
      <c r="U3123" s="69">
        <f>SUMIFS(U$1003:U$3061,SecVar,"rxcp")+U3128</f>
        <v/>
      </c>
      <c r="V3123" s="69">
        <f>SUMIFS(V$1003:V$3061,SecVar,"rxcp")+V3128</f>
        <v/>
      </c>
      <c r="W3123" s="69">
        <f>SUMIFS(W$1003:W$3061,SecVar,"rxcp")+W3128</f>
        <v/>
      </c>
      <c r="X3123" s="69">
        <f>SUMIFS(X$1003:X$3061,SecVar,"rxcp")+X3128</f>
        <v/>
      </c>
      <c r="Y3123" s="69">
        <f>SUMIFS(Y$1003:Y$3061,SecVar,"rxcp")+Y3128</f>
        <v/>
      </c>
      <c r="Z3123" s="69">
        <f>SUMIFS(Z$1003:Z$3061,SecVar,"rxcp")+Z3128</f>
        <v/>
      </c>
      <c r="AA3123" s="69">
        <f>SUMIFS(AA$1003:AA$3061,SecVar,"rxcp")+AA3128</f>
        <v/>
      </c>
      <c r="AB3123" s="69">
        <f>SUMIFS(AB$1003:AB$3061,SecVar,"rxcp")+AB3128</f>
        <v/>
      </c>
      <c r="AC3123" s="69">
        <f>SUMIFS(AC$1003:AC$3061,SecVar,"rxcp")+AC3128</f>
        <v/>
      </c>
      <c r="AD3123" s="69">
        <f>SUMIFS(AD$1003:AD$3061,SecVar,"rxcp")+AD3128</f>
        <v/>
      </c>
      <c r="AE3123" s="69">
        <f>SUMIFS(AE$1003:AE$3061,SecVar,"rxcp")+AE3128</f>
        <v/>
      </c>
      <c r="AG3123" s="17">
        <f>CodePrefix&amp;$A3123&amp;IF($C3123="","","."&amp;$C3123&amp;"."&amp;$B3123)&amp;INDEX(VarEnd,MATCH($A3123,VarKey,0))&amp;AG$5</f>
        <v/>
      </c>
      <c r="AH3123" s="68">
        <f>SUMIFS(AH$1003:AH$3061,SecVar,"rxcp")+AH3128</f>
        <v/>
      </c>
      <c r="AI3123" s="69">
        <f>SUMIFS(AI$1003:AI$3061,SecVar,"rxcp")+AI3128</f>
        <v/>
      </c>
      <c r="AJ3123" s="69">
        <f>SUMIFS(AJ$1003:AJ$3061,SecVar,"rxcp")+AJ3128</f>
        <v/>
      </c>
      <c r="AK3123" s="69">
        <f>SUMIFS(AK$1003:AK$3061,SecVar,"rxcp")+AK3128</f>
        <v/>
      </c>
      <c r="AL3123" s="69">
        <f>SUMIFS(AL$1003:AL$3061,SecVar,"rxcp")+AL3128</f>
        <v/>
      </c>
      <c r="AM3123" s="69">
        <f>SUMIFS(AM$1003:AM$3061,SecVar,"rxcp")+AM3128</f>
        <v/>
      </c>
      <c r="AN3123" s="69">
        <f>SUMIFS(AN$1003:AN$3061,SecVar,"rxcp")+AN3128</f>
        <v/>
      </c>
      <c r="AO3123" s="69">
        <f>SUMIFS(AO$1003:AO$3061,SecVar,"rxcp")+AO3128</f>
        <v/>
      </c>
      <c r="AP3123" s="69">
        <f>SUMIFS(AP$1003:AP$3061,SecVar,"rxcp")+AP3128</f>
        <v/>
      </c>
      <c r="AQ3123" s="69">
        <f>SUMIFS(AQ$1003:AQ$3061,SecVar,"rxcp")+AQ3128</f>
        <v/>
      </c>
      <c r="AR3123" s="69">
        <f>SUMIFS(AR$1003:AR$3061,SecVar,"rxcp")+AR3128</f>
        <v/>
      </c>
      <c r="AS3123" s="69">
        <f>SUMIFS(AS$1003:AS$3061,SecVar,"rxcp")+AS3128</f>
        <v/>
      </c>
      <c r="AT3123" s="69">
        <f>SUMIFS(AT$1003:AT$3061,SecVar,"rxcp")+AT3128</f>
        <v/>
      </c>
      <c r="AU3123" s="69">
        <f>SUMIFS(AU$1003:AU$3061,SecVar,"rxcp")+AU3128</f>
        <v/>
      </c>
      <c r="AV3123" s="69">
        <f>SUMIFS(AV$1003:AV$3061,SecVar,"rxcp")+AV3128</f>
        <v/>
      </c>
      <c r="AW3123" s="69">
        <f>SUMIFS(AW$1003:AW$3061,SecVar,"rxcp")+AW3128</f>
        <v/>
      </c>
      <c r="AX3123" s="69">
        <f>SUMIFS(AX$1003:AX$3061,SecVar,"rxcp")+AX3128</f>
        <v/>
      </c>
      <c r="AY3123" s="69">
        <f>SUMIFS(AY$1003:AY$3061,SecVar,"rxcp")+AY3128</f>
        <v/>
      </c>
      <c r="AZ3123" s="69">
        <f>SUMIFS(AZ$1003:AZ$3061,SecVar,"rxcp")+AZ3128</f>
        <v/>
      </c>
      <c r="BA3123" s="69">
        <f>SUMIFS(BA$1003:BA$3061,SecVar,"rxcp")+BA3128</f>
        <v/>
      </c>
    </row>
    <row r="3124" hidden="1" outlineLevel="1">
      <c r="A3124" s="14" t="inlineStr">
        <is>
          <t>rxcp</t>
        </is>
      </c>
      <c r="B3124" s="14" t="inlineStr">
        <is>
          <t>all</t>
        </is>
      </c>
      <c r="C3124" s="14" t="inlineStr">
        <is>
          <t>tra</t>
        </is>
      </c>
      <c r="H3124" s="14">
        <f>INDEX(VarLab,MATCH($A3124,VarKey,0))&amp;INDEX(MemLab,MATCH($C3124&amp;"|"&amp;$B3124,MemKey,0))</f>
        <v/>
      </c>
      <c r="I3124" s="14">
        <f>INDEX(VarUnit,MATCH($A3124,VarKey,0))</f>
        <v/>
      </c>
      <c r="J3124" s="14">
        <f>INDEX(VarSrc,MATCH($A3124,VarKey,0))</f>
        <v/>
      </c>
      <c r="K3124" s="11">
        <f>CodePrefix&amp;$A3124&amp;IF($C3124="","","."&amp;$C3124&amp;"."&amp;$B3124)&amp;INDEX(VarEnd,MATCH($A3124,VarKey,0))&amp;K$5</f>
        <v/>
      </c>
      <c r="L3124" s="43">
        <f>SUMIFS(L$1005:L$1516,$A$1005:$A$1516,"rxcp")</f>
        <v/>
      </c>
      <c r="M3124" s="44">
        <f>SUMIFS(M$1005:M$1516,$A$1005:$A$1516,"rxcp")</f>
        <v/>
      </c>
      <c r="N3124" s="44">
        <f>SUMIFS(N$1005:N$1516,$A$1005:$A$1516,"rxcp")</f>
        <v/>
      </c>
      <c r="O3124" s="44">
        <f>SUMIFS(O$1005:O$1516,$A$1005:$A$1516,"rxcp")</f>
        <v/>
      </c>
      <c r="P3124" s="44">
        <f>SUMIFS(P$1005:P$1516,$A$1005:$A$1516,"rxcp")</f>
        <v/>
      </c>
      <c r="Q3124" s="44">
        <f>SUMIFS(Q$1005:Q$1516,$A$1005:$A$1516,"rxcp")</f>
        <v/>
      </c>
      <c r="R3124" s="44">
        <f>SUMIFS(R$1005:R$1516,$A$1005:$A$1516,"rxcp")</f>
        <v/>
      </c>
      <c r="S3124" s="44">
        <f>SUMIFS(S$1005:S$1516,$A$1005:$A$1516,"rxcp")</f>
        <v/>
      </c>
      <c r="T3124" s="44">
        <f>SUMIFS(T$1005:T$1516,$A$1005:$A$1516,"rxcp")</f>
        <v/>
      </c>
      <c r="U3124" s="44">
        <f>SUMIFS(U$1005:U$1516,$A$1005:$A$1516,"rxcp")</f>
        <v/>
      </c>
      <c r="V3124" s="44">
        <f>SUMIFS(V$1005:V$1516,$A$1005:$A$1516,"rxcp")</f>
        <v/>
      </c>
      <c r="W3124" s="44">
        <f>SUMIFS(W$1005:W$1516,$A$1005:$A$1516,"rxcp")</f>
        <v/>
      </c>
      <c r="X3124" s="44">
        <f>SUMIFS(X$1005:X$1516,$A$1005:$A$1516,"rxcp")</f>
        <v/>
      </c>
      <c r="Y3124" s="44">
        <f>SUMIFS(Y$1005:Y$1516,$A$1005:$A$1516,"rxcp")</f>
        <v/>
      </c>
      <c r="Z3124" s="44">
        <f>SUMIFS(Z$1005:Z$1516,$A$1005:$A$1516,"rxcp")</f>
        <v/>
      </c>
      <c r="AA3124" s="44">
        <f>SUMIFS(AA$1005:AA$1516,$A$1005:$A$1516,"rxcp")</f>
        <v/>
      </c>
      <c r="AB3124" s="44">
        <f>SUMIFS(AB$1005:AB$1516,$A$1005:$A$1516,"rxcp")</f>
        <v/>
      </c>
      <c r="AC3124" s="44">
        <f>SUMIFS(AC$1005:AC$1516,$A$1005:$A$1516,"rxcp")</f>
        <v/>
      </c>
      <c r="AD3124" s="44">
        <f>SUMIFS(AD$1005:AD$1516,$A$1005:$A$1516,"rxcp")</f>
        <v/>
      </c>
      <c r="AE3124" s="44">
        <f>SUMIFS(AE$1005:AE$1516,$A$1005:$A$1516,"rxcp")</f>
        <v/>
      </c>
      <c r="AG3124" s="11">
        <f>CodePrefix&amp;$A3124&amp;IF($C3124="","","."&amp;$C3124&amp;"."&amp;$B3124)&amp;INDEX(VarEnd,MATCH($A3124,VarKey,0))&amp;AG$5</f>
        <v/>
      </c>
      <c r="AH3124" s="43">
        <f>SUMIFS(AH$1005:AH$1516,$A$1005:$A$1516,"rxcp")</f>
        <v/>
      </c>
      <c r="AI3124" s="44">
        <f>SUMIFS(AI$1005:AI$1516,$A$1005:$A$1516,"rxcp")</f>
        <v/>
      </c>
      <c r="AJ3124" s="44">
        <f>SUMIFS(AJ$1005:AJ$1516,$A$1005:$A$1516,"rxcp")</f>
        <v/>
      </c>
      <c r="AK3124" s="44">
        <f>SUMIFS(AK$1005:AK$1516,$A$1005:$A$1516,"rxcp")</f>
        <v/>
      </c>
      <c r="AL3124" s="44">
        <f>SUMIFS(AL$1005:AL$1516,$A$1005:$A$1516,"rxcp")</f>
        <v/>
      </c>
      <c r="AM3124" s="44">
        <f>SUMIFS(AM$1005:AM$1516,$A$1005:$A$1516,"rxcp")</f>
        <v/>
      </c>
      <c r="AN3124" s="44">
        <f>SUMIFS(AN$1005:AN$1516,$A$1005:$A$1516,"rxcp")</f>
        <v/>
      </c>
      <c r="AO3124" s="44">
        <f>SUMIFS(AO$1005:AO$1516,$A$1005:$A$1516,"rxcp")</f>
        <v/>
      </c>
      <c r="AP3124" s="44">
        <f>SUMIFS(AP$1005:AP$1516,$A$1005:$A$1516,"rxcp")</f>
        <v/>
      </c>
      <c r="AQ3124" s="44">
        <f>SUMIFS(AQ$1005:AQ$1516,$A$1005:$A$1516,"rxcp")</f>
        <v/>
      </c>
      <c r="AR3124" s="44">
        <f>SUMIFS(AR$1005:AR$1516,$A$1005:$A$1516,"rxcp")</f>
        <v/>
      </c>
      <c r="AS3124" s="44">
        <f>SUMIFS(AS$1005:AS$1516,$A$1005:$A$1516,"rxcp")</f>
        <v/>
      </c>
      <c r="AT3124" s="44">
        <f>SUMIFS(AT$1005:AT$1516,$A$1005:$A$1516,"rxcp")</f>
        <v/>
      </c>
      <c r="AU3124" s="44">
        <f>SUMIFS(AU$1005:AU$1516,$A$1005:$A$1516,"rxcp")</f>
        <v/>
      </c>
      <c r="AV3124" s="44">
        <f>SUMIFS(AV$1005:AV$1516,$A$1005:$A$1516,"rxcp")</f>
        <v/>
      </c>
      <c r="AW3124" s="44">
        <f>SUMIFS(AW$1005:AW$1516,$A$1005:$A$1516,"rxcp")</f>
        <v/>
      </c>
      <c r="AX3124" s="44">
        <f>SUMIFS(AX$1005:AX$1516,$A$1005:$A$1516,"rxcp")</f>
        <v/>
      </c>
      <c r="AY3124" s="44">
        <f>SUMIFS(AY$1005:AY$1516,$A$1005:$A$1516,"rxcp")</f>
        <v/>
      </c>
      <c r="AZ3124" s="44">
        <f>SUMIFS(AZ$1005:AZ$1516,$A$1005:$A$1516,"rxcp")</f>
        <v/>
      </c>
      <c r="BA3124" s="44">
        <f>SUMIFS(BA$1005:BA$1516,$A$1005:$A$1516,"rxcp")</f>
        <v/>
      </c>
    </row>
    <row r="3125" hidden="1" outlineLevel="1">
      <c r="A3125" s="14" t="inlineStr">
        <is>
          <t>rxcp</t>
        </is>
      </c>
      <c r="B3125" s="14" t="inlineStr">
        <is>
          <t>all</t>
        </is>
      </c>
      <c r="C3125" s="14" t="inlineStr">
        <is>
          <t>bld</t>
        </is>
      </c>
      <c r="H3125" s="14">
        <f>INDEX(VarLab,MATCH($A3125,VarKey,0))&amp;INDEX(MemLab,MATCH($C3125&amp;"|"&amp;$B3125,MemKey,0))</f>
        <v/>
      </c>
      <c r="I3125" s="14">
        <f>INDEX(VarUnit,MATCH($A3125,VarKey,0))</f>
        <v/>
      </c>
      <c r="J3125" s="14">
        <f>INDEX(VarSrc,MATCH($A3125,VarKey,0))</f>
        <v/>
      </c>
      <c r="K3125" s="11">
        <f>CodePrefix&amp;$A3125&amp;IF($C3125="","","."&amp;$C3125&amp;"."&amp;$B3125)&amp;INDEX(VarEnd,MATCH($A3125,VarKey,0))&amp;K$5</f>
        <v/>
      </c>
      <c r="L3125" s="43">
        <f>SUMIFS(L$1520:L$1903,$A$1520:$A$1903,"rxcp")</f>
        <v/>
      </c>
      <c r="M3125" s="44">
        <f>SUMIFS(M$1520:M$1903,$A$1520:$A$1903,"rxcp")</f>
        <v/>
      </c>
      <c r="N3125" s="44">
        <f>SUMIFS(N$1520:N$1903,$A$1520:$A$1903,"rxcp")</f>
        <v/>
      </c>
      <c r="O3125" s="44">
        <f>SUMIFS(O$1520:O$1903,$A$1520:$A$1903,"rxcp")</f>
        <v/>
      </c>
      <c r="P3125" s="44">
        <f>SUMIFS(P$1520:P$1903,$A$1520:$A$1903,"rxcp")</f>
        <v/>
      </c>
      <c r="Q3125" s="44">
        <f>SUMIFS(Q$1520:Q$1903,$A$1520:$A$1903,"rxcp")</f>
        <v/>
      </c>
      <c r="R3125" s="44">
        <f>SUMIFS(R$1520:R$1903,$A$1520:$A$1903,"rxcp")</f>
        <v/>
      </c>
      <c r="S3125" s="44">
        <f>SUMIFS(S$1520:S$1903,$A$1520:$A$1903,"rxcp")</f>
        <v/>
      </c>
      <c r="T3125" s="44">
        <f>SUMIFS(T$1520:T$1903,$A$1520:$A$1903,"rxcp")</f>
        <v/>
      </c>
      <c r="U3125" s="44">
        <f>SUMIFS(U$1520:U$1903,$A$1520:$A$1903,"rxcp")</f>
        <v/>
      </c>
      <c r="V3125" s="44">
        <f>SUMIFS(V$1520:V$1903,$A$1520:$A$1903,"rxcp")</f>
        <v/>
      </c>
      <c r="W3125" s="44">
        <f>SUMIFS(W$1520:W$1903,$A$1520:$A$1903,"rxcp")</f>
        <v/>
      </c>
      <c r="X3125" s="44">
        <f>SUMIFS(X$1520:X$1903,$A$1520:$A$1903,"rxcp")</f>
        <v/>
      </c>
      <c r="Y3125" s="44">
        <f>SUMIFS(Y$1520:Y$1903,$A$1520:$A$1903,"rxcp")</f>
        <v/>
      </c>
      <c r="Z3125" s="44">
        <f>SUMIFS(Z$1520:Z$1903,$A$1520:$A$1903,"rxcp")</f>
        <v/>
      </c>
      <c r="AA3125" s="44">
        <f>SUMIFS(AA$1520:AA$1903,$A$1520:$A$1903,"rxcp")</f>
        <v/>
      </c>
      <c r="AB3125" s="44">
        <f>SUMIFS(AB$1520:AB$1903,$A$1520:$A$1903,"rxcp")</f>
        <v/>
      </c>
      <c r="AC3125" s="44">
        <f>SUMIFS(AC$1520:AC$1903,$A$1520:$A$1903,"rxcp")</f>
        <v/>
      </c>
      <c r="AD3125" s="44">
        <f>SUMIFS(AD$1520:AD$1903,$A$1520:$A$1903,"rxcp")</f>
        <v/>
      </c>
      <c r="AE3125" s="44">
        <f>SUMIFS(AE$1520:AE$1903,$A$1520:$A$1903,"rxcp")</f>
        <v/>
      </c>
      <c r="AG3125" s="11">
        <f>CodePrefix&amp;$A3125&amp;IF($C3125="","","."&amp;$C3125&amp;"."&amp;$B3125)&amp;INDEX(VarEnd,MATCH($A3125,VarKey,0))&amp;AG$5</f>
        <v/>
      </c>
      <c r="AH3125" s="43">
        <f>SUMIFS(AH$1520:AH$1903,$A$1520:$A$1903,"rxcp")</f>
        <v/>
      </c>
      <c r="AI3125" s="44">
        <f>SUMIFS(AI$1520:AI$1903,$A$1520:$A$1903,"rxcp")</f>
        <v/>
      </c>
      <c r="AJ3125" s="44">
        <f>SUMIFS(AJ$1520:AJ$1903,$A$1520:$A$1903,"rxcp")</f>
        <v/>
      </c>
      <c r="AK3125" s="44">
        <f>SUMIFS(AK$1520:AK$1903,$A$1520:$A$1903,"rxcp")</f>
        <v/>
      </c>
      <c r="AL3125" s="44">
        <f>SUMIFS(AL$1520:AL$1903,$A$1520:$A$1903,"rxcp")</f>
        <v/>
      </c>
      <c r="AM3125" s="44">
        <f>SUMIFS(AM$1520:AM$1903,$A$1520:$A$1903,"rxcp")</f>
        <v/>
      </c>
      <c r="AN3125" s="44">
        <f>SUMIFS(AN$1520:AN$1903,$A$1520:$A$1903,"rxcp")</f>
        <v/>
      </c>
      <c r="AO3125" s="44">
        <f>SUMIFS(AO$1520:AO$1903,$A$1520:$A$1903,"rxcp")</f>
        <v/>
      </c>
      <c r="AP3125" s="44">
        <f>SUMIFS(AP$1520:AP$1903,$A$1520:$A$1903,"rxcp")</f>
        <v/>
      </c>
      <c r="AQ3125" s="44">
        <f>SUMIFS(AQ$1520:AQ$1903,$A$1520:$A$1903,"rxcp")</f>
        <v/>
      </c>
      <c r="AR3125" s="44">
        <f>SUMIFS(AR$1520:AR$1903,$A$1520:$A$1903,"rxcp")</f>
        <v/>
      </c>
      <c r="AS3125" s="44">
        <f>SUMIFS(AS$1520:AS$1903,$A$1520:$A$1903,"rxcp")</f>
        <v/>
      </c>
      <c r="AT3125" s="44">
        <f>SUMIFS(AT$1520:AT$1903,$A$1520:$A$1903,"rxcp")</f>
        <v/>
      </c>
      <c r="AU3125" s="44">
        <f>SUMIFS(AU$1520:AU$1903,$A$1520:$A$1903,"rxcp")</f>
        <v/>
      </c>
      <c r="AV3125" s="44">
        <f>SUMIFS(AV$1520:AV$1903,$A$1520:$A$1903,"rxcp")</f>
        <v/>
      </c>
      <c r="AW3125" s="44">
        <f>SUMIFS(AW$1520:AW$1903,$A$1520:$A$1903,"rxcp")</f>
        <v/>
      </c>
      <c r="AX3125" s="44">
        <f>SUMIFS(AX$1520:AX$1903,$A$1520:$A$1903,"rxcp")</f>
        <v/>
      </c>
      <c r="AY3125" s="44">
        <f>SUMIFS(AY$1520:AY$1903,$A$1520:$A$1903,"rxcp")</f>
        <v/>
      </c>
      <c r="AZ3125" s="44">
        <f>SUMIFS(AZ$1520:AZ$1903,$A$1520:$A$1903,"rxcp")</f>
        <v/>
      </c>
      <c r="BA3125" s="44">
        <f>SUMIFS(BA$1520:BA$1903,$A$1520:$A$1903,"rxcp")</f>
        <v/>
      </c>
    </row>
    <row r="3126" hidden="1" outlineLevel="1">
      <c r="A3126" s="14" t="inlineStr">
        <is>
          <t>rxcp</t>
        </is>
      </c>
      <c r="B3126" s="14" t="inlineStr">
        <is>
          <t>all</t>
        </is>
      </c>
      <c r="C3126" s="14" t="inlineStr">
        <is>
          <t>ind</t>
        </is>
      </c>
      <c r="H3126" s="14">
        <f>INDEX(VarLab,MATCH($A3126,VarKey,0))&amp;INDEX(MemLab,MATCH($C3126&amp;"|"&amp;$B3126,MemKey,0))</f>
        <v/>
      </c>
      <c r="I3126" s="14">
        <f>INDEX(VarUnit,MATCH($A3126,VarKey,0))</f>
        <v/>
      </c>
      <c r="J3126" s="14">
        <f>INDEX(VarSrc,MATCH($A3126,VarKey,0))</f>
        <v/>
      </c>
      <c r="K3126" s="11">
        <f>CodePrefix&amp;$A3126&amp;IF($C3126="","","."&amp;$C3126&amp;"."&amp;$B3126)&amp;INDEX(VarEnd,MATCH($A3126,VarKey,0))&amp;K$5</f>
        <v/>
      </c>
      <c r="L3126" s="43">
        <f>SUMIFS(L$1907:L$2930,$A$1907:$A$2930,"rxcp")</f>
        <v/>
      </c>
      <c r="M3126" s="44">
        <f>SUMIFS(M$1907:M$2930,$A$1907:$A$2930,"rxcp")</f>
        <v/>
      </c>
      <c r="N3126" s="44">
        <f>SUMIFS(N$1907:N$2930,$A$1907:$A$2930,"rxcp")</f>
        <v/>
      </c>
      <c r="O3126" s="44">
        <f>SUMIFS(O$1907:O$2930,$A$1907:$A$2930,"rxcp")</f>
        <v/>
      </c>
      <c r="P3126" s="44">
        <f>SUMIFS(P$1907:P$2930,$A$1907:$A$2930,"rxcp")</f>
        <v/>
      </c>
      <c r="Q3126" s="44">
        <f>SUMIFS(Q$1907:Q$2930,$A$1907:$A$2930,"rxcp")</f>
        <v/>
      </c>
      <c r="R3126" s="44">
        <f>SUMIFS(R$1907:R$2930,$A$1907:$A$2930,"rxcp")</f>
        <v/>
      </c>
      <c r="S3126" s="44">
        <f>SUMIFS(S$1907:S$2930,$A$1907:$A$2930,"rxcp")</f>
        <v/>
      </c>
      <c r="T3126" s="44">
        <f>SUMIFS(T$1907:T$2930,$A$1907:$A$2930,"rxcp")</f>
        <v/>
      </c>
      <c r="U3126" s="44">
        <f>SUMIFS(U$1907:U$2930,$A$1907:$A$2930,"rxcp")</f>
        <v/>
      </c>
      <c r="V3126" s="44">
        <f>SUMIFS(V$1907:V$2930,$A$1907:$A$2930,"rxcp")</f>
        <v/>
      </c>
      <c r="W3126" s="44">
        <f>SUMIFS(W$1907:W$2930,$A$1907:$A$2930,"rxcp")</f>
        <v/>
      </c>
      <c r="X3126" s="44">
        <f>SUMIFS(X$1907:X$2930,$A$1907:$A$2930,"rxcp")</f>
        <v/>
      </c>
      <c r="Y3126" s="44">
        <f>SUMIFS(Y$1907:Y$2930,$A$1907:$A$2930,"rxcp")</f>
        <v/>
      </c>
      <c r="Z3126" s="44">
        <f>SUMIFS(Z$1907:Z$2930,$A$1907:$A$2930,"rxcp")</f>
        <v/>
      </c>
      <c r="AA3126" s="44">
        <f>SUMIFS(AA$1907:AA$2930,$A$1907:$A$2930,"rxcp")</f>
        <v/>
      </c>
      <c r="AB3126" s="44">
        <f>SUMIFS(AB$1907:AB$2930,$A$1907:$A$2930,"rxcp")</f>
        <v/>
      </c>
      <c r="AC3126" s="44">
        <f>SUMIFS(AC$1907:AC$2930,$A$1907:$A$2930,"rxcp")</f>
        <v/>
      </c>
      <c r="AD3126" s="44">
        <f>SUMIFS(AD$1907:AD$2930,$A$1907:$A$2930,"rxcp")</f>
        <v/>
      </c>
      <c r="AE3126" s="44">
        <f>SUMIFS(AE$1907:AE$2930,$A$1907:$A$2930,"rxcp")</f>
        <v/>
      </c>
      <c r="AG3126" s="11">
        <f>CodePrefix&amp;$A3126&amp;IF($C3126="","","."&amp;$C3126&amp;"."&amp;$B3126)&amp;INDEX(VarEnd,MATCH($A3126,VarKey,0))&amp;AG$5</f>
        <v/>
      </c>
      <c r="AH3126" s="43">
        <f>SUMIFS(AH$1907:AH$2930,$A$1907:$A$2930,"rxcp")</f>
        <v/>
      </c>
      <c r="AI3126" s="44">
        <f>SUMIFS(AI$1907:AI$2930,$A$1907:$A$2930,"rxcp")</f>
        <v/>
      </c>
      <c r="AJ3126" s="44">
        <f>SUMIFS(AJ$1907:AJ$2930,$A$1907:$A$2930,"rxcp")</f>
        <v/>
      </c>
      <c r="AK3126" s="44">
        <f>SUMIFS(AK$1907:AK$2930,$A$1907:$A$2930,"rxcp")</f>
        <v/>
      </c>
      <c r="AL3126" s="44">
        <f>SUMIFS(AL$1907:AL$2930,$A$1907:$A$2930,"rxcp")</f>
        <v/>
      </c>
      <c r="AM3126" s="44">
        <f>SUMIFS(AM$1907:AM$2930,$A$1907:$A$2930,"rxcp")</f>
        <v/>
      </c>
      <c r="AN3126" s="44">
        <f>SUMIFS(AN$1907:AN$2930,$A$1907:$A$2930,"rxcp")</f>
        <v/>
      </c>
      <c r="AO3126" s="44">
        <f>SUMIFS(AO$1907:AO$2930,$A$1907:$A$2930,"rxcp")</f>
        <v/>
      </c>
      <c r="AP3126" s="44">
        <f>SUMIFS(AP$1907:AP$2930,$A$1907:$A$2930,"rxcp")</f>
        <v/>
      </c>
      <c r="AQ3126" s="44">
        <f>SUMIFS(AQ$1907:AQ$2930,$A$1907:$A$2930,"rxcp")</f>
        <v/>
      </c>
      <c r="AR3126" s="44">
        <f>SUMIFS(AR$1907:AR$2930,$A$1907:$A$2930,"rxcp")</f>
        <v/>
      </c>
      <c r="AS3126" s="44">
        <f>SUMIFS(AS$1907:AS$2930,$A$1907:$A$2930,"rxcp")</f>
        <v/>
      </c>
      <c r="AT3126" s="44">
        <f>SUMIFS(AT$1907:AT$2930,$A$1907:$A$2930,"rxcp")</f>
        <v/>
      </c>
      <c r="AU3126" s="44">
        <f>SUMIFS(AU$1907:AU$2930,$A$1907:$A$2930,"rxcp")</f>
        <v/>
      </c>
      <c r="AV3126" s="44">
        <f>SUMIFS(AV$1907:AV$2930,$A$1907:$A$2930,"rxcp")</f>
        <v/>
      </c>
      <c r="AW3126" s="44">
        <f>SUMIFS(AW$1907:AW$2930,$A$1907:$A$2930,"rxcp")</f>
        <v/>
      </c>
      <c r="AX3126" s="44">
        <f>SUMIFS(AX$1907:AX$2930,$A$1907:$A$2930,"rxcp")</f>
        <v/>
      </c>
      <c r="AY3126" s="44">
        <f>SUMIFS(AY$1907:AY$2930,$A$1907:$A$2930,"rxcp")</f>
        <v/>
      </c>
      <c r="AZ3126" s="44">
        <f>SUMIFS(AZ$1907:AZ$2930,$A$1907:$A$2930,"rxcp")</f>
        <v/>
      </c>
      <c r="BA3126" s="44">
        <f>SUMIFS(BA$1907:BA$2930,$A$1907:$A$2930,"rxcp")</f>
        <v/>
      </c>
    </row>
    <row r="3127" hidden="1" outlineLevel="1">
      <c r="A3127" s="14" t="inlineStr">
        <is>
          <t>rxcp</t>
        </is>
      </c>
      <c r="B3127" s="14" t="inlineStr">
        <is>
          <t>all</t>
        </is>
      </c>
      <c r="C3127" s="14" t="inlineStr">
        <is>
          <t>oen</t>
        </is>
      </c>
      <c r="H3127" s="14">
        <f>INDEX(VarLab,MATCH($A3127,VarKey,0))&amp;INDEX(MemLab,MATCH($C3127&amp;"|"&amp;$B3127,MemKey,0))</f>
        <v/>
      </c>
      <c r="I3127" s="14">
        <f>INDEX(VarUnit,MATCH($A3127,VarKey,0))</f>
        <v/>
      </c>
      <c r="J3127" s="14">
        <f>INDEX(VarSrc,MATCH($A3127,VarKey,0))</f>
        <v/>
      </c>
      <c r="K3127" s="11">
        <f>CodePrefix&amp;$A3127&amp;IF($C3127="","","."&amp;$C3127&amp;"."&amp;$B3127)&amp;INDEX(VarEnd,MATCH($A3127,VarKey,0))&amp;K$5</f>
        <v/>
      </c>
      <c r="L3127" s="43">
        <f>SUMIFS(L$2934:L$3061,$A$2934:$A$3061,"rxcp")</f>
        <v/>
      </c>
      <c r="M3127" s="44">
        <f>SUMIFS(M$2934:M$3061,$A$2934:$A$3061,"rxcp")</f>
        <v/>
      </c>
      <c r="N3127" s="44">
        <f>SUMIFS(N$2934:N$3061,$A$2934:$A$3061,"rxcp")</f>
        <v/>
      </c>
      <c r="O3127" s="44">
        <f>SUMIFS(O$2934:O$3061,$A$2934:$A$3061,"rxcp")</f>
        <v/>
      </c>
      <c r="P3127" s="44">
        <f>SUMIFS(P$2934:P$3061,$A$2934:$A$3061,"rxcp")</f>
        <v/>
      </c>
      <c r="Q3127" s="44">
        <f>SUMIFS(Q$2934:Q$3061,$A$2934:$A$3061,"rxcp")</f>
        <v/>
      </c>
      <c r="R3127" s="44">
        <f>SUMIFS(R$2934:R$3061,$A$2934:$A$3061,"rxcp")</f>
        <v/>
      </c>
      <c r="S3127" s="44">
        <f>SUMIFS(S$2934:S$3061,$A$2934:$A$3061,"rxcp")</f>
        <v/>
      </c>
      <c r="T3127" s="44">
        <f>SUMIFS(T$2934:T$3061,$A$2934:$A$3061,"rxcp")</f>
        <v/>
      </c>
      <c r="U3127" s="44">
        <f>SUMIFS(U$2934:U$3061,$A$2934:$A$3061,"rxcp")</f>
        <v/>
      </c>
      <c r="V3127" s="44">
        <f>SUMIFS(V$2934:V$3061,$A$2934:$A$3061,"rxcp")</f>
        <v/>
      </c>
      <c r="W3127" s="44">
        <f>SUMIFS(W$2934:W$3061,$A$2934:$A$3061,"rxcp")</f>
        <v/>
      </c>
      <c r="X3127" s="44">
        <f>SUMIFS(X$2934:X$3061,$A$2934:$A$3061,"rxcp")</f>
        <v/>
      </c>
      <c r="Y3127" s="44">
        <f>SUMIFS(Y$2934:Y$3061,$A$2934:$A$3061,"rxcp")</f>
        <v/>
      </c>
      <c r="Z3127" s="44">
        <f>SUMIFS(Z$2934:Z$3061,$A$2934:$A$3061,"rxcp")</f>
        <v/>
      </c>
      <c r="AA3127" s="44">
        <f>SUMIFS(AA$2934:AA$3061,$A$2934:$A$3061,"rxcp")</f>
        <v/>
      </c>
      <c r="AB3127" s="44">
        <f>SUMIFS(AB$2934:AB$3061,$A$2934:$A$3061,"rxcp")</f>
        <v/>
      </c>
      <c r="AC3127" s="44">
        <f>SUMIFS(AC$2934:AC$3061,$A$2934:$A$3061,"rxcp")</f>
        <v/>
      </c>
      <c r="AD3127" s="44">
        <f>SUMIFS(AD$2934:AD$3061,$A$2934:$A$3061,"rxcp")</f>
        <v/>
      </c>
      <c r="AE3127" s="44">
        <f>SUMIFS(AE$2934:AE$3061,$A$2934:$A$3061,"rxcp")</f>
        <v/>
      </c>
      <c r="AG3127" s="11">
        <f>CodePrefix&amp;$A3127&amp;IF($C3127="","","."&amp;$C3127&amp;"."&amp;$B3127)&amp;INDEX(VarEnd,MATCH($A3127,VarKey,0))&amp;AG$5</f>
        <v/>
      </c>
      <c r="AH3127" s="43">
        <f>SUMIFS(AH$2934:AH$3061,$A$2934:$A$3061,"rxcp")</f>
        <v/>
      </c>
      <c r="AI3127" s="44">
        <f>SUMIFS(AI$2934:AI$3061,$A$2934:$A$3061,"rxcp")</f>
        <v/>
      </c>
      <c r="AJ3127" s="44">
        <f>SUMIFS(AJ$2934:AJ$3061,$A$2934:$A$3061,"rxcp")</f>
        <v/>
      </c>
      <c r="AK3127" s="44">
        <f>SUMIFS(AK$2934:AK$3061,$A$2934:$A$3061,"rxcp")</f>
        <v/>
      </c>
      <c r="AL3127" s="44">
        <f>SUMIFS(AL$2934:AL$3061,$A$2934:$A$3061,"rxcp")</f>
        <v/>
      </c>
      <c r="AM3127" s="44">
        <f>SUMIFS(AM$2934:AM$3061,$A$2934:$A$3061,"rxcp")</f>
        <v/>
      </c>
      <c r="AN3127" s="44">
        <f>SUMIFS(AN$2934:AN$3061,$A$2934:$A$3061,"rxcp")</f>
        <v/>
      </c>
      <c r="AO3127" s="44">
        <f>SUMIFS(AO$2934:AO$3061,$A$2934:$A$3061,"rxcp")</f>
        <v/>
      </c>
      <c r="AP3127" s="44">
        <f>SUMIFS(AP$2934:AP$3061,$A$2934:$A$3061,"rxcp")</f>
        <v/>
      </c>
      <c r="AQ3127" s="44">
        <f>SUMIFS(AQ$2934:AQ$3061,$A$2934:$A$3061,"rxcp")</f>
        <v/>
      </c>
      <c r="AR3127" s="44">
        <f>SUMIFS(AR$2934:AR$3061,$A$2934:$A$3061,"rxcp")</f>
        <v/>
      </c>
      <c r="AS3127" s="44">
        <f>SUMIFS(AS$2934:AS$3061,$A$2934:$A$3061,"rxcp")</f>
        <v/>
      </c>
      <c r="AT3127" s="44">
        <f>SUMIFS(AT$2934:AT$3061,$A$2934:$A$3061,"rxcp")</f>
        <v/>
      </c>
      <c r="AU3127" s="44">
        <f>SUMIFS(AU$2934:AU$3061,$A$2934:$A$3061,"rxcp")</f>
        <v/>
      </c>
      <c r="AV3127" s="44">
        <f>SUMIFS(AV$2934:AV$3061,$A$2934:$A$3061,"rxcp")</f>
        <v/>
      </c>
      <c r="AW3127" s="44">
        <f>SUMIFS(AW$2934:AW$3061,$A$2934:$A$3061,"rxcp")</f>
        <v/>
      </c>
      <c r="AX3127" s="44">
        <f>SUMIFS(AX$2934:AX$3061,$A$2934:$A$3061,"rxcp")</f>
        <v/>
      </c>
      <c r="AY3127" s="44">
        <f>SUMIFS(AY$2934:AY$3061,$A$2934:$A$3061,"rxcp")</f>
        <v/>
      </c>
      <c r="AZ3127" s="44">
        <f>SUMIFS(AZ$2934:AZ$3061,$A$2934:$A$3061,"rxcp")</f>
        <v/>
      </c>
      <c r="BA3127" s="44">
        <f>SUMIFS(BA$2934:BA$3061,$A$2934:$A$3061,"rxcp")</f>
        <v/>
      </c>
    </row>
    <row r="3128" hidden="1" outlineLevel="1">
      <c r="A3128" s="14" t="inlineStr">
        <is>
          <t>rxcp</t>
        </is>
      </c>
      <c r="B3128" s="14" t="inlineStr">
        <is>
          <t>all</t>
        </is>
      </c>
      <c r="C3128" s="14" t="inlineStr">
        <is>
          <t>pow</t>
        </is>
      </c>
      <c r="H3128" s="14">
        <f>INDEX(VarLab,MATCH($A3128,VarKey,0))&amp;INDEX(MemLab,MATCH($C3128&amp;"|"&amp;$B3128,MemKey,0))</f>
        <v/>
      </c>
      <c r="I3128" s="14">
        <f>INDEX(VarUnit,MATCH($A3128,VarKey,0))</f>
        <v/>
      </c>
      <c r="J3128" s="14">
        <f>INDEX(VarSrc,MATCH($A3128,VarKey,0))</f>
        <v/>
      </c>
      <c r="K3128" s="11">
        <f>CodePrefix&amp;$A3128&amp;IF($C3128="","","."&amp;$C3128&amp;"."&amp;$B3128)&amp;INDEX(VarEnd,MATCH($A3128,VarKey,0))&amp;K$5</f>
        <v/>
      </c>
      <c r="L3128" s="43">
        <f>SUM(L$990:L$998)</f>
        <v/>
      </c>
      <c r="M3128" s="44">
        <f>SUM(M$990:M$998)</f>
        <v/>
      </c>
      <c r="N3128" s="44">
        <f>SUM(N$990:N$998)</f>
        <v/>
      </c>
      <c r="O3128" s="44">
        <f>SUM(O$990:O$998)</f>
        <v/>
      </c>
      <c r="P3128" s="44">
        <f>SUM(P$990:P$998)</f>
        <v/>
      </c>
      <c r="Q3128" s="44">
        <f>SUM(Q$990:Q$998)</f>
        <v/>
      </c>
      <c r="R3128" s="44">
        <f>SUM(R$990:R$998)</f>
        <v/>
      </c>
      <c r="S3128" s="44">
        <f>SUM(S$990:S$998)</f>
        <v/>
      </c>
      <c r="T3128" s="44">
        <f>SUM(T$990:T$998)</f>
        <v/>
      </c>
      <c r="U3128" s="44">
        <f>SUM(U$990:U$998)</f>
        <v/>
      </c>
      <c r="V3128" s="44">
        <f>SUM(V$990:V$998)</f>
        <v/>
      </c>
      <c r="W3128" s="44">
        <f>SUM(W$990:W$998)</f>
        <v/>
      </c>
      <c r="X3128" s="44">
        <f>SUM(X$990:X$998)</f>
        <v/>
      </c>
      <c r="Y3128" s="44">
        <f>SUM(Y$990:Y$998)</f>
        <v/>
      </c>
      <c r="Z3128" s="44">
        <f>SUM(Z$990:Z$998)</f>
        <v/>
      </c>
      <c r="AA3128" s="44">
        <f>SUM(AA$990:AA$998)</f>
        <v/>
      </c>
      <c r="AB3128" s="44">
        <f>SUM(AB$990:AB$998)</f>
        <v/>
      </c>
      <c r="AC3128" s="44">
        <f>SUM(AC$990:AC$998)</f>
        <v/>
      </c>
      <c r="AD3128" s="44">
        <f>SUM(AD$990:AD$998)</f>
        <v/>
      </c>
      <c r="AE3128" s="44">
        <f>SUM(AE$990:AE$998)</f>
        <v/>
      </c>
      <c r="AG3128" s="11">
        <f>CodePrefix&amp;$A3128&amp;IF($C3128="","","."&amp;$C3128&amp;"."&amp;$B3128)&amp;INDEX(VarEnd,MATCH($A3128,VarKey,0))&amp;AG$5</f>
        <v/>
      </c>
      <c r="AH3128" s="43">
        <f>SUM(AH$990:AH$998)</f>
        <v/>
      </c>
      <c r="AI3128" s="44">
        <f>SUM(AI$990:AI$998)</f>
        <v/>
      </c>
      <c r="AJ3128" s="44">
        <f>SUM(AJ$990:AJ$998)</f>
        <v/>
      </c>
      <c r="AK3128" s="44">
        <f>SUM(AK$990:AK$998)</f>
        <v/>
      </c>
      <c r="AL3128" s="44">
        <f>SUM(AL$990:AL$998)</f>
        <v/>
      </c>
      <c r="AM3128" s="44">
        <f>SUM(AM$990:AM$998)</f>
        <v/>
      </c>
      <c r="AN3128" s="44">
        <f>SUM(AN$990:AN$998)</f>
        <v/>
      </c>
      <c r="AO3128" s="44">
        <f>SUM(AO$990:AO$998)</f>
        <v/>
      </c>
      <c r="AP3128" s="44">
        <f>SUM(AP$990:AP$998)</f>
        <v/>
      </c>
      <c r="AQ3128" s="44">
        <f>SUM(AQ$990:AQ$998)</f>
        <v/>
      </c>
      <c r="AR3128" s="44">
        <f>SUM(AR$990:AR$998)</f>
        <v/>
      </c>
      <c r="AS3128" s="44">
        <f>SUM(AS$990:AS$998)</f>
        <v/>
      </c>
      <c r="AT3128" s="44">
        <f>SUM(AT$990:AT$998)</f>
        <v/>
      </c>
      <c r="AU3128" s="44">
        <f>SUM(AU$990:AU$998)</f>
        <v/>
      </c>
      <c r="AV3128" s="44">
        <f>SUM(AV$990:AV$998)</f>
        <v/>
      </c>
      <c r="AW3128" s="44">
        <f>SUM(AW$990:AW$998)</f>
        <v/>
      </c>
      <c r="AX3128" s="44">
        <f>SUM(AX$990:AX$998)</f>
        <v/>
      </c>
      <c r="AY3128" s="44">
        <f>SUM(AY$990:AY$998)</f>
        <v/>
      </c>
      <c r="AZ3128" s="44">
        <f>SUM(AZ$990:AZ$998)</f>
        <v/>
      </c>
      <c r="BA3128" s="44">
        <f>SUM(BA$990:BA$998)</f>
        <v/>
      </c>
    </row>
    <row r="3129" collapsed="1">
      <c r="A3129" s="1" t="inlineStr">
        <is>
          <t>rnet</t>
        </is>
      </c>
      <c r="B3129" s="1" t="inlineStr">
        <is>
          <t>all</t>
        </is>
      </c>
      <c r="C3129" s="1" t="inlineStr">
        <is>
          <t>all</t>
        </is>
      </c>
      <c r="H3129" s="1">
        <f>INDEX(VarLab,MATCH($A3129,VarKey,0))&amp;INDEX(MemLab,MATCH($C3129&amp;"|"&amp;$B3129,MemKey,0))</f>
        <v/>
      </c>
      <c r="I3129" s="1">
        <f>INDEX(VarUnit,MATCH($A3129,VarKey,0))</f>
        <v/>
      </c>
      <c r="J3129" s="1">
        <f>INDEX(VarSrc,MATCH($A3129,VarKey,0))</f>
        <v/>
      </c>
      <c r="K3129" s="17">
        <f>CodePrefix&amp;$A3129&amp;IF($C3129="","","."&amp;$C3129&amp;"."&amp;$B3129)&amp;INDEX(VarEnd,MATCH($A3129,VarKey,0))&amp;K$5</f>
        <v/>
      </c>
      <c r="L3129" s="68">
        <f>L3105-L3111</f>
        <v/>
      </c>
      <c r="M3129" s="69">
        <f>M3105-M3111</f>
        <v/>
      </c>
      <c r="N3129" s="69">
        <f>N3105-N3111</f>
        <v/>
      </c>
      <c r="O3129" s="69">
        <f>O3105-O3111</f>
        <v/>
      </c>
      <c r="P3129" s="69">
        <f>P3105-P3111</f>
        <v/>
      </c>
      <c r="Q3129" s="69">
        <f>Q3105-Q3111</f>
        <v/>
      </c>
      <c r="R3129" s="69">
        <f>R3105-R3111</f>
        <v/>
      </c>
      <c r="S3129" s="69">
        <f>S3105-S3111</f>
        <v/>
      </c>
      <c r="T3129" s="69">
        <f>T3105-T3111</f>
        <v/>
      </c>
      <c r="U3129" s="69">
        <f>U3105-U3111</f>
        <v/>
      </c>
      <c r="V3129" s="69">
        <f>V3105-V3111</f>
        <v/>
      </c>
      <c r="W3129" s="69">
        <f>W3105-W3111</f>
        <v/>
      </c>
      <c r="X3129" s="69">
        <f>X3105-X3111</f>
        <v/>
      </c>
      <c r="Y3129" s="69">
        <f>Y3105-Y3111</f>
        <v/>
      </c>
      <c r="Z3129" s="69">
        <f>Z3105-Z3111</f>
        <v/>
      </c>
      <c r="AA3129" s="69">
        <f>AA3105-AA3111</f>
        <v/>
      </c>
      <c r="AB3129" s="69">
        <f>AB3105-AB3111</f>
        <v/>
      </c>
      <c r="AC3129" s="69">
        <f>AC3105-AC3111</f>
        <v/>
      </c>
      <c r="AD3129" s="69">
        <f>AD3105-AD3111</f>
        <v/>
      </c>
      <c r="AE3129" s="69">
        <f>AE3105-AE3111</f>
        <v/>
      </c>
      <c r="AG3129" s="17">
        <f>CodePrefix&amp;$A3129&amp;IF($C3129="","","."&amp;$C3129&amp;"."&amp;$B3129)&amp;INDEX(VarEnd,MATCH($A3129,VarKey,0))&amp;AG$5</f>
        <v/>
      </c>
      <c r="AH3129" s="68">
        <f>AH3105-AH3111</f>
        <v/>
      </c>
      <c r="AI3129" s="69">
        <f>AI3105-AI3111</f>
        <v/>
      </c>
      <c r="AJ3129" s="69">
        <f>AJ3105-AJ3111</f>
        <v/>
      </c>
      <c r="AK3129" s="69">
        <f>AK3105-AK3111</f>
        <v/>
      </c>
      <c r="AL3129" s="69">
        <f>AL3105-AL3111</f>
        <v/>
      </c>
      <c r="AM3129" s="69">
        <f>AM3105-AM3111</f>
        <v/>
      </c>
      <c r="AN3129" s="69">
        <f>AN3105-AN3111</f>
        <v/>
      </c>
      <c r="AO3129" s="69">
        <f>AO3105-AO3111</f>
        <v/>
      </c>
      <c r="AP3129" s="69">
        <f>AP3105-AP3111</f>
        <v/>
      </c>
      <c r="AQ3129" s="69">
        <f>AQ3105-AQ3111</f>
        <v/>
      </c>
      <c r="AR3129" s="69">
        <f>AR3105-AR3111</f>
        <v/>
      </c>
      <c r="AS3129" s="69">
        <f>AS3105-AS3111</f>
        <v/>
      </c>
      <c r="AT3129" s="69">
        <f>AT3105-AT3111</f>
        <v/>
      </c>
      <c r="AU3129" s="69">
        <f>AU3105-AU3111</f>
        <v/>
      </c>
      <c r="AV3129" s="69">
        <f>AV3105-AV3111</f>
        <v/>
      </c>
      <c r="AW3129" s="69">
        <f>AW3105-AW3111</f>
        <v/>
      </c>
      <c r="AX3129" s="69">
        <f>AX3105-AX3111</f>
        <v/>
      </c>
      <c r="AY3129" s="69">
        <f>AY3105-AY3111</f>
        <v/>
      </c>
      <c r="AZ3129" s="69">
        <f>AZ3105-AZ3111</f>
        <v/>
      </c>
      <c r="BA3129" s="69">
        <f>BA3105-BA3111</f>
        <v/>
      </c>
    </row>
    <row r="3130">
      <c r="A3130" s="1" t="inlineStr">
        <is>
          <t>rtot</t>
        </is>
      </c>
      <c r="B3130" s="1" t="inlineStr">
        <is>
          <t>all</t>
        </is>
      </c>
      <c r="C3130" s="1" t="inlineStr">
        <is>
          <t>all</t>
        </is>
      </c>
      <c r="H3130" s="1">
        <f>INDEX(VarLab,MATCH($A3130,VarKey,0))&amp;INDEX(MemLab,MATCH($C3130&amp;"|"&amp;$B3130,MemKey,0))</f>
        <v/>
      </c>
      <c r="I3130" s="1">
        <f>INDEX(VarUnit,MATCH($A3130,VarKey,0))</f>
        <v/>
      </c>
      <c r="J3130" s="1">
        <f>INDEX(VarSrc,MATCH($A3130,VarKey,0))</f>
        <v/>
      </c>
      <c r="K3130" s="17">
        <f>CodePrefix&amp;$A3130&amp;IF($C3130="","","."&amp;$C3130&amp;"."&amp;$B3130)&amp;INDEX(VarEnd,MATCH($A3130,VarKey,0))&amp;K$5</f>
        <v/>
      </c>
      <c r="L3130" s="68">
        <f>L3129+L3117</f>
        <v/>
      </c>
      <c r="M3130" s="69">
        <f>M3129+M3117</f>
        <v/>
      </c>
      <c r="N3130" s="69">
        <f>N3129+N3117</f>
        <v/>
      </c>
      <c r="O3130" s="69">
        <f>O3129+O3117</f>
        <v/>
      </c>
      <c r="P3130" s="69">
        <f>P3129+P3117</f>
        <v/>
      </c>
      <c r="Q3130" s="69">
        <f>Q3129+Q3117</f>
        <v/>
      </c>
      <c r="R3130" s="69">
        <f>R3129+R3117</f>
        <v/>
      </c>
      <c r="S3130" s="69">
        <f>S3129+S3117</f>
        <v/>
      </c>
      <c r="T3130" s="69">
        <f>T3129+T3117</f>
        <v/>
      </c>
      <c r="U3130" s="69">
        <f>U3129+U3117</f>
        <v/>
      </c>
      <c r="V3130" s="69">
        <f>V3129+V3117</f>
        <v/>
      </c>
      <c r="W3130" s="69">
        <f>W3129+W3117</f>
        <v/>
      </c>
      <c r="X3130" s="69">
        <f>X3129+X3117</f>
        <v/>
      </c>
      <c r="Y3130" s="69">
        <f>Y3129+Y3117</f>
        <v/>
      </c>
      <c r="Z3130" s="69">
        <f>Z3129+Z3117</f>
        <v/>
      </c>
      <c r="AA3130" s="69">
        <f>AA3129+AA3117</f>
        <v/>
      </c>
      <c r="AB3130" s="69">
        <f>AB3129+AB3117</f>
        <v/>
      </c>
      <c r="AC3130" s="69">
        <f>AC3129+AC3117</f>
        <v/>
      </c>
      <c r="AD3130" s="69">
        <f>AD3129+AD3117</f>
        <v/>
      </c>
      <c r="AE3130" s="69">
        <f>AE3129+AE3117</f>
        <v/>
      </c>
      <c r="AG3130" s="17">
        <f>CodePrefix&amp;$A3130&amp;IF($C3130="","","."&amp;$C3130&amp;"."&amp;$B3130)&amp;INDEX(VarEnd,MATCH($A3130,VarKey,0))&amp;AG$5</f>
        <v/>
      </c>
      <c r="AH3130" s="68">
        <f>AH3129+AH3117</f>
        <v/>
      </c>
      <c r="AI3130" s="69">
        <f>AI3129+AI3117</f>
        <v/>
      </c>
      <c r="AJ3130" s="69">
        <f>AJ3129+AJ3117</f>
        <v/>
      </c>
      <c r="AK3130" s="69">
        <f>AK3129+AK3117</f>
        <v/>
      </c>
      <c r="AL3130" s="69">
        <f>AL3129+AL3117</f>
        <v/>
      </c>
      <c r="AM3130" s="69">
        <f>AM3129+AM3117</f>
        <v/>
      </c>
      <c r="AN3130" s="69">
        <f>AN3129+AN3117</f>
        <v/>
      </c>
      <c r="AO3130" s="69">
        <f>AO3129+AO3117</f>
        <v/>
      </c>
      <c r="AP3130" s="69">
        <f>AP3129+AP3117</f>
        <v/>
      </c>
      <c r="AQ3130" s="69">
        <f>AQ3129+AQ3117</f>
        <v/>
      </c>
      <c r="AR3130" s="69">
        <f>AR3129+AR3117</f>
        <v/>
      </c>
      <c r="AS3130" s="69">
        <f>AS3129+AS3117</f>
        <v/>
      </c>
      <c r="AT3130" s="69">
        <f>AT3129+AT3117</f>
        <v/>
      </c>
      <c r="AU3130" s="69">
        <f>AU3129+AU3117</f>
        <v/>
      </c>
      <c r="AV3130" s="69">
        <f>AV3129+AV3117</f>
        <v/>
      </c>
      <c r="AW3130" s="69">
        <f>AW3129+AW3117</f>
        <v/>
      </c>
      <c r="AX3130" s="69">
        <f>AX3129+AX3117</f>
        <v/>
      </c>
      <c r="AY3130" s="69">
        <f>AY3129+AY3117</f>
        <v/>
      </c>
      <c r="AZ3130" s="69">
        <f>AZ3129+AZ3117</f>
        <v/>
      </c>
      <c r="BA3130" s="69">
        <f>BA3129+BA3117</f>
        <v/>
      </c>
    </row>
    <row r="3131">
      <c r="A3131" s="1" t="inlineStr">
        <is>
          <t>rtot.ref</t>
        </is>
      </c>
      <c r="B3131" s="1" t="inlineStr">
        <is>
          <t>all</t>
        </is>
      </c>
      <c r="C3131" s="1" t="inlineStr">
        <is>
          <t>all</t>
        </is>
      </c>
      <c r="H3131" s="1">
        <f>INDEX(VarLab,MATCH($A3131,VarKey,0))&amp;INDEX(MemLab,MATCH($C3131&amp;"|"&amp;$B3131,MemKey,0))</f>
        <v/>
      </c>
      <c r="I3131" s="1">
        <f>INDEX(VarUnit,MATCH($A3131,VarKey,0))</f>
        <v/>
      </c>
      <c r="J3131" s="1">
        <f>INDEX(VarSrc,MATCH($A3131,VarKey,0))</f>
        <v/>
      </c>
      <c r="K3131" s="17">
        <f>CodePrefix&amp;$A3131&amp;IF($C3131="","","."&amp;$C3131&amp;"."&amp;$B3131)&amp;INDEX(VarEnd,MATCH($A3131,VarKey,0))&amp;K$5</f>
        <v/>
      </c>
      <c r="L3131" s="68">
        <f>INDEX($K3130:$JN3130,MATCH(L$4,$K$4:$JN$4,0))</f>
        <v/>
      </c>
      <c r="M3131" s="69">
        <f>INDEX($K3130:$JN3130,MATCH(M$4,$K$4:$JN$4,0))</f>
        <v/>
      </c>
      <c r="N3131" s="69">
        <f>INDEX($K3130:$JN3130,MATCH(N$4,$K$4:$JN$4,0))</f>
        <v/>
      </c>
      <c r="O3131" s="69">
        <f>INDEX($K3130:$JN3130,MATCH(O$4,$K$4:$JN$4,0))</f>
        <v/>
      </c>
      <c r="P3131" s="69">
        <f>INDEX($K3130:$JN3130,MATCH(P$4,$K$4:$JN$4,0))</f>
        <v/>
      </c>
      <c r="Q3131" s="69">
        <f>INDEX($K3130:$JN3130,MATCH(Q$4,$K$4:$JN$4,0))</f>
        <v/>
      </c>
      <c r="R3131" s="69">
        <f>INDEX($K3130:$JN3130,MATCH(R$4,$K$4:$JN$4,0))</f>
        <v/>
      </c>
      <c r="S3131" s="69">
        <f>INDEX($K3130:$JN3130,MATCH(S$4,$K$4:$JN$4,0))</f>
        <v/>
      </c>
      <c r="T3131" s="69">
        <f>INDEX($K3130:$JN3130,MATCH(T$4,$K$4:$JN$4,0))</f>
        <v/>
      </c>
      <c r="U3131" s="69">
        <f>INDEX($K3130:$JN3130,MATCH(U$4,$K$4:$JN$4,0))</f>
        <v/>
      </c>
      <c r="V3131" s="69">
        <f>INDEX($K3130:$JN3130,MATCH(V$4,$K$4:$JN$4,0))</f>
        <v/>
      </c>
      <c r="W3131" s="69">
        <f>INDEX($K3130:$JN3130,MATCH(W$4,$K$4:$JN$4,0))</f>
        <v/>
      </c>
      <c r="X3131" s="69">
        <f>INDEX($K3130:$JN3130,MATCH(X$4,$K$4:$JN$4,0))</f>
        <v/>
      </c>
      <c r="Y3131" s="69">
        <f>INDEX($K3130:$JN3130,MATCH(Y$4,$K$4:$JN$4,0))</f>
        <v/>
      </c>
      <c r="Z3131" s="69">
        <f>INDEX($K3130:$JN3130,MATCH(Z$4,$K$4:$JN$4,0))</f>
        <v/>
      </c>
      <c r="AA3131" s="69">
        <f>INDEX($K3130:$JN3130,MATCH(AA$4,$K$4:$JN$4,0))</f>
        <v/>
      </c>
      <c r="AB3131" s="69">
        <f>INDEX($K3130:$JN3130,MATCH(AB$4,$K$4:$JN$4,0))</f>
        <v/>
      </c>
      <c r="AC3131" s="69">
        <f>INDEX($K3130:$JN3130,MATCH(AC$4,$K$4:$JN$4,0))</f>
        <v/>
      </c>
      <c r="AD3131" s="69">
        <f>INDEX($K3130:$JN3130,MATCH(AD$4,$K$4:$JN$4,0))</f>
        <v/>
      </c>
      <c r="AE3131" s="69">
        <f>INDEX($K3130:$JN3130,MATCH(AE$4,$K$4:$JN$4,0))</f>
        <v/>
      </c>
      <c r="AG3131" s="17">
        <f>CodePrefix&amp;$A3131&amp;IF($C3131="","","."&amp;$C3131&amp;"."&amp;$B3131)&amp;INDEX(VarEnd,MATCH($A3131,VarKey,0))&amp;AG$5</f>
        <v/>
      </c>
      <c r="AH3131" s="68">
        <f>INDEX($K3130:$JN3130,MATCH(AH$4,$K$4:$JN$4,0))</f>
        <v/>
      </c>
      <c r="AI3131" s="69">
        <f>INDEX($K3130:$JN3130,MATCH(AI$4,$K$4:$JN$4,0))</f>
        <v/>
      </c>
      <c r="AJ3131" s="69">
        <f>INDEX($K3130:$JN3130,MATCH(AJ$4,$K$4:$JN$4,0))</f>
        <v/>
      </c>
      <c r="AK3131" s="69">
        <f>INDEX($K3130:$JN3130,MATCH(AK$4,$K$4:$JN$4,0))</f>
        <v/>
      </c>
      <c r="AL3131" s="69">
        <f>INDEX($K3130:$JN3130,MATCH(AL$4,$K$4:$JN$4,0))</f>
        <v/>
      </c>
      <c r="AM3131" s="69">
        <f>INDEX($K3130:$JN3130,MATCH(AM$4,$K$4:$JN$4,0))</f>
        <v/>
      </c>
      <c r="AN3131" s="69">
        <f>INDEX($K3130:$JN3130,MATCH(AN$4,$K$4:$JN$4,0))</f>
        <v/>
      </c>
      <c r="AO3131" s="69">
        <f>INDEX($K3130:$JN3130,MATCH(AO$4,$K$4:$JN$4,0))</f>
        <v/>
      </c>
      <c r="AP3131" s="69">
        <f>INDEX($K3130:$JN3130,MATCH(AP$4,$K$4:$JN$4,0))</f>
        <v/>
      </c>
      <c r="AQ3131" s="69">
        <f>INDEX($K3130:$JN3130,MATCH(AQ$4,$K$4:$JN$4,0))</f>
        <v/>
      </c>
      <c r="AR3131" s="69">
        <f>INDEX($K3130:$JN3130,MATCH(AR$4,$K$4:$JN$4,0))</f>
        <v/>
      </c>
      <c r="AS3131" s="69">
        <f>INDEX($K3130:$JN3130,MATCH(AS$4,$K$4:$JN$4,0))</f>
        <v/>
      </c>
      <c r="AT3131" s="69">
        <f>INDEX($K3130:$JN3130,MATCH(AT$4,$K$4:$JN$4,0))</f>
        <v/>
      </c>
      <c r="AU3131" s="69">
        <f>INDEX($K3130:$JN3130,MATCH(AU$4,$K$4:$JN$4,0))</f>
        <v/>
      </c>
      <c r="AV3131" s="69">
        <f>INDEX($K3130:$JN3130,MATCH(AV$4,$K$4:$JN$4,0))</f>
        <v/>
      </c>
      <c r="AW3131" s="69">
        <f>INDEX($K3130:$JN3130,MATCH(AW$4,$K$4:$JN$4,0))</f>
        <v/>
      </c>
      <c r="AX3131" s="69">
        <f>INDEX($K3130:$JN3130,MATCH(AX$4,$K$4:$JN$4,0))</f>
        <v/>
      </c>
      <c r="AY3131" s="69">
        <f>INDEX($K3130:$JN3130,MATCH(AY$4,$K$4:$JN$4,0))</f>
        <v/>
      </c>
      <c r="AZ3131" s="69">
        <f>INDEX($K3130:$JN3130,MATCH(AZ$4,$K$4:$JN$4,0))</f>
        <v/>
      </c>
      <c r="BA3131" s="69">
        <f>INDEX($K3130:$JN3130,MATCH(BA$4,$K$4:$JN$4,0))</f>
        <v/>
      </c>
    </row>
    <row r="3132">
      <c r="A3132" s="1" t="inlineStr">
        <is>
          <t>rtot.chg</t>
        </is>
      </c>
      <c r="B3132" s="1" t="inlineStr">
        <is>
          <t>all</t>
        </is>
      </c>
      <c r="C3132" s="1" t="inlineStr">
        <is>
          <t>all</t>
        </is>
      </c>
      <c r="H3132" s="1">
        <f>INDEX(VarLab,MATCH($A3132,VarKey,0))&amp;INDEX(MemLab,MATCH($C3132&amp;"|"&amp;$B3132,MemKey,0))</f>
        <v/>
      </c>
      <c r="I3132" s="1">
        <f>INDEX(VarUnit,MATCH($A3132,VarKey,0))</f>
        <v/>
      </c>
      <c r="J3132" s="1">
        <f>INDEX(VarSrc,MATCH($A3132,VarKey,0))</f>
        <v/>
      </c>
      <c r="K3132" s="17">
        <f>CodePrefix&amp;$A3132&amp;IF($C3132="","","."&amp;$C3132&amp;"."&amp;$B3132)&amp;INDEX(VarEnd,MATCH($A3132,VarKey,0))&amp;K$5</f>
        <v/>
      </c>
      <c r="L3132" s="68">
        <f>L3130-L3131</f>
        <v/>
      </c>
      <c r="M3132" s="69">
        <f>M3130-M3131</f>
        <v/>
      </c>
      <c r="N3132" s="69">
        <f>N3130-N3131</f>
        <v/>
      </c>
      <c r="O3132" s="69">
        <f>O3130-O3131</f>
        <v/>
      </c>
      <c r="P3132" s="69">
        <f>P3130-P3131</f>
        <v/>
      </c>
      <c r="Q3132" s="69">
        <f>Q3130-Q3131</f>
        <v/>
      </c>
      <c r="R3132" s="69">
        <f>R3130-R3131</f>
        <v/>
      </c>
      <c r="S3132" s="69">
        <f>S3130-S3131</f>
        <v/>
      </c>
      <c r="T3132" s="69">
        <f>T3130-T3131</f>
        <v/>
      </c>
      <c r="U3132" s="69">
        <f>U3130-U3131</f>
        <v/>
      </c>
      <c r="V3132" s="69">
        <f>V3130-V3131</f>
        <v/>
      </c>
      <c r="W3132" s="69">
        <f>W3130-W3131</f>
        <v/>
      </c>
      <c r="X3132" s="69">
        <f>X3130-X3131</f>
        <v/>
      </c>
      <c r="Y3132" s="69">
        <f>Y3130-Y3131</f>
        <v/>
      </c>
      <c r="Z3132" s="69">
        <f>Z3130-Z3131</f>
        <v/>
      </c>
      <c r="AA3132" s="69">
        <f>AA3130-AA3131</f>
        <v/>
      </c>
      <c r="AB3132" s="69">
        <f>AB3130-AB3131</f>
        <v/>
      </c>
      <c r="AC3132" s="69">
        <f>AC3130-AC3131</f>
        <v/>
      </c>
      <c r="AD3132" s="69">
        <f>AD3130-AD3131</f>
        <v/>
      </c>
      <c r="AE3132" s="69">
        <f>AE3130-AE3131</f>
        <v/>
      </c>
      <c r="AG3132" s="17">
        <f>CodePrefix&amp;$A3132&amp;IF($C3132="","","."&amp;$C3132&amp;"."&amp;$B3132)&amp;INDEX(VarEnd,MATCH($A3132,VarKey,0))&amp;AG$5</f>
        <v/>
      </c>
      <c r="AH3132" s="68">
        <f>AH3130-AH3131</f>
        <v/>
      </c>
      <c r="AI3132" s="69">
        <f>AI3130-AI3131</f>
        <v/>
      </c>
      <c r="AJ3132" s="69">
        <f>AJ3130-AJ3131</f>
        <v/>
      </c>
      <c r="AK3132" s="69">
        <f>AK3130-AK3131</f>
        <v/>
      </c>
      <c r="AL3132" s="69">
        <f>AL3130-AL3131</f>
        <v/>
      </c>
      <c r="AM3132" s="69">
        <f>AM3130-AM3131</f>
        <v/>
      </c>
      <c r="AN3132" s="69">
        <f>AN3130-AN3131</f>
        <v/>
      </c>
      <c r="AO3132" s="69">
        <f>AO3130-AO3131</f>
        <v/>
      </c>
      <c r="AP3132" s="69">
        <f>AP3130-AP3131</f>
        <v/>
      </c>
      <c r="AQ3132" s="69">
        <f>AQ3130-AQ3131</f>
        <v/>
      </c>
      <c r="AR3132" s="69">
        <f>AR3130-AR3131</f>
        <v/>
      </c>
      <c r="AS3132" s="69">
        <f>AS3130-AS3131</f>
        <v/>
      </c>
      <c r="AT3132" s="69">
        <f>AT3130-AT3131</f>
        <v/>
      </c>
      <c r="AU3132" s="69">
        <f>AU3130-AU3131</f>
        <v/>
      </c>
      <c r="AV3132" s="69">
        <f>AV3130-AV3131</f>
        <v/>
      </c>
      <c r="AW3132" s="69">
        <f>AW3130-AW3131</f>
        <v/>
      </c>
      <c r="AX3132" s="69">
        <f>AX3130-AX3131</f>
        <v/>
      </c>
      <c r="AY3132" s="69">
        <f>AY3130-AY3131</f>
        <v/>
      </c>
      <c r="AZ3132" s="69">
        <f>AZ3130-AZ3131</f>
        <v/>
      </c>
      <c r="BA3132" s="69">
        <f>BA3130-BA3131</f>
        <v/>
      </c>
    </row>
    <row r="3133">
      <c r="A3133" s="1" t="inlineStr">
        <is>
          <t>rev.chk</t>
        </is>
      </c>
      <c r="B3133" s="1" t="inlineStr">
        <is>
          <t>all</t>
        </is>
      </c>
      <c r="C3133" s="1" t="inlineStr">
        <is>
          <t>all</t>
        </is>
      </c>
      <c r="H3133" s="1">
        <f>INDEX(VarLab,MATCH($A3133,VarKey,0))&amp;INDEX(MemLab,MATCH($C3133&amp;"|"&amp;$B3133,MemKey,0))</f>
        <v/>
      </c>
      <c r="I3133" s="1">
        <f>INDEX(VarUnit,MATCH($A3133,VarKey,0))</f>
        <v/>
      </c>
      <c r="J3133" s="1">
        <f>INDEX(VarSrc,MATCH($A3133,VarKey,0))</f>
        <v/>
      </c>
      <c r="K3133" s="17">
        <f>CodePrefix&amp;$A3133&amp;IF($C3133="","","."&amp;$C3133&amp;"."&amp;$B3133)&amp;INDEX(VarEnd,MATCH($A3133,VarKey,0))&amp;K$5</f>
        <v/>
      </c>
      <c r="L3133" s="76">
        <f>ABS(L3105-SUM(L3106:L3110))+ABS(L3111-SUM(L3112:L3116))+ABS(L3117-SUM(L3118:L3122))</f>
        <v/>
      </c>
      <c r="M3133" s="76">
        <f>ABS(M3105-SUM(M3106:M3110))+ABS(M3111-SUM(M3112:M3116))+ABS(M3117-SUM(M3118:M3122))</f>
        <v/>
      </c>
      <c r="N3133" s="76">
        <f>ABS(N3105-SUM(N3106:N3110))+ABS(N3111-SUM(N3112:N3116))+ABS(N3117-SUM(N3118:N3122))</f>
        <v/>
      </c>
      <c r="O3133" s="76">
        <f>ABS(O3105-SUM(O3106:O3110))+ABS(O3111-SUM(O3112:O3116))+ABS(O3117-SUM(O3118:O3122))</f>
        <v/>
      </c>
      <c r="P3133" s="76">
        <f>ABS(P3105-SUM(P3106:P3110))+ABS(P3111-SUM(P3112:P3116))+ABS(P3117-SUM(P3118:P3122))</f>
        <v/>
      </c>
      <c r="Q3133" s="76">
        <f>ABS(Q3105-SUM(Q3106:Q3110))+ABS(Q3111-SUM(Q3112:Q3116))+ABS(Q3117-SUM(Q3118:Q3122))</f>
        <v/>
      </c>
      <c r="R3133" s="76">
        <f>ABS(R3105-SUM(R3106:R3110))+ABS(R3111-SUM(R3112:R3116))+ABS(R3117-SUM(R3118:R3122))</f>
        <v/>
      </c>
      <c r="S3133" s="76">
        <f>ABS(S3105-SUM(S3106:S3110))+ABS(S3111-SUM(S3112:S3116))+ABS(S3117-SUM(S3118:S3122))</f>
        <v/>
      </c>
      <c r="T3133" s="76">
        <f>ABS(T3105-SUM(T3106:T3110))+ABS(T3111-SUM(T3112:T3116))+ABS(T3117-SUM(T3118:T3122))</f>
        <v/>
      </c>
      <c r="U3133" s="76">
        <f>ABS(U3105-SUM(U3106:U3110))+ABS(U3111-SUM(U3112:U3116))+ABS(U3117-SUM(U3118:U3122))</f>
        <v/>
      </c>
      <c r="V3133" s="76">
        <f>ABS(V3105-SUM(V3106:V3110))+ABS(V3111-SUM(V3112:V3116))+ABS(V3117-SUM(V3118:V3122))</f>
        <v/>
      </c>
      <c r="W3133" s="76">
        <f>ABS(W3105-SUM(W3106:W3110))+ABS(W3111-SUM(W3112:W3116))+ABS(W3117-SUM(W3118:W3122))</f>
        <v/>
      </c>
      <c r="X3133" s="76">
        <f>ABS(X3105-SUM(X3106:X3110))+ABS(X3111-SUM(X3112:X3116))+ABS(X3117-SUM(X3118:X3122))</f>
        <v/>
      </c>
      <c r="Y3133" s="76">
        <f>ABS(Y3105-SUM(Y3106:Y3110))+ABS(Y3111-SUM(Y3112:Y3116))+ABS(Y3117-SUM(Y3118:Y3122))</f>
        <v/>
      </c>
      <c r="Z3133" s="76">
        <f>ABS(Z3105-SUM(Z3106:Z3110))+ABS(Z3111-SUM(Z3112:Z3116))+ABS(Z3117-SUM(Z3118:Z3122))</f>
        <v/>
      </c>
      <c r="AA3133" s="76">
        <f>ABS(AA3105-SUM(AA3106:AA3110))+ABS(AA3111-SUM(AA3112:AA3116))+ABS(AA3117-SUM(AA3118:AA3122))</f>
        <v/>
      </c>
      <c r="AB3133" s="76">
        <f>ABS(AB3105-SUM(AB3106:AB3110))+ABS(AB3111-SUM(AB3112:AB3116))+ABS(AB3117-SUM(AB3118:AB3122))</f>
        <v/>
      </c>
      <c r="AC3133" s="76">
        <f>ABS(AC3105-SUM(AC3106:AC3110))+ABS(AC3111-SUM(AC3112:AC3116))+ABS(AC3117-SUM(AC3118:AC3122))</f>
        <v/>
      </c>
      <c r="AD3133" s="76">
        <f>ABS(AD3105-SUM(AD3106:AD3110))+ABS(AD3111-SUM(AD3112:AD3116))+ABS(AD3117-SUM(AD3118:AD3122))</f>
        <v/>
      </c>
      <c r="AE3133" s="76">
        <f>ABS(AE3105-SUM(AE3106:AE3110))+ABS(AE3111-SUM(AE3112:AE3116))+ABS(AE3117-SUM(AE3118:AE3122))</f>
        <v/>
      </c>
      <c r="AG3133" s="17">
        <f>CodePrefix&amp;$A3133&amp;IF($C3133="","","."&amp;$C3133&amp;"."&amp;$B3133)&amp;INDEX(VarEnd,MATCH($A3133,VarKey,0))&amp;AG$5</f>
        <v/>
      </c>
      <c r="AH3133" s="76">
        <f>ABS(AH3105-SUM(AH3106:AH3110))+ABS(AH3111-SUM(AH3112:AH3116))+ABS(AH3117-SUM(AH3118:AH3122))</f>
        <v/>
      </c>
      <c r="AI3133" s="76">
        <f>ABS(AI3105-SUM(AI3106:AI3110))+ABS(AI3111-SUM(AI3112:AI3116))+ABS(AI3117-SUM(AI3118:AI3122))</f>
        <v/>
      </c>
      <c r="AJ3133" s="76">
        <f>ABS(AJ3105-SUM(AJ3106:AJ3110))+ABS(AJ3111-SUM(AJ3112:AJ3116))+ABS(AJ3117-SUM(AJ3118:AJ3122))</f>
        <v/>
      </c>
      <c r="AK3133" s="76">
        <f>ABS(AK3105-SUM(AK3106:AK3110))+ABS(AK3111-SUM(AK3112:AK3116))+ABS(AK3117-SUM(AK3118:AK3122))</f>
        <v/>
      </c>
      <c r="AL3133" s="76">
        <f>ABS(AL3105-SUM(AL3106:AL3110))+ABS(AL3111-SUM(AL3112:AL3116))+ABS(AL3117-SUM(AL3118:AL3122))</f>
        <v/>
      </c>
      <c r="AM3133" s="76">
        <f>ABS(AM3105-SUM(AM3106:AM3110))+ABS(AM3111-SUM(AM3112:AM3116))+ABS(AM3117-SUM(AM3118:AM3122))</f>
        <v/>
      </c>
      <c r="AN3133" s="76">
        <f>ABS(AN3105-SUM(AN3106:AN3110))+ABS(AN3111-SUM(AN3112:AN3116))+ABS(AN3117-SUM(AN3118:AN3122))</f>
        <v/>
      </c>
      <c r="AO3133" s="76">
        <f>ABS(AO3105-SUM(AO3106:AO3110))+ABS(AO3111-SUM(AO3112:AO3116))+ABS(AO3117-SUM(AO3118:AO3122))</f>
        <v/>
      </c>
      <c r="AP3133" s="76">
        <f>ABS(AP3105-SUM(AP3106:AP3110))+ABS(AP3111-SUM(AP3112:AP3116))+ABS(AP3117-SUM(AP3118:AP3122))</f>
        <v/>
      </c>
      <c r="AQ3133" s="76">
        <f>ABS(AQ3105-SUM(AQ3106:AQ3110))+ABS(AQ3111-SUM(AQ3112:AQ3116))+ABS(AQ3117-SUM(AQ3118:AQ3122))</f>
        <v/>
      </c>
      <c r="AR3133" s="76">
        <f>ABS(AR3105-SUM(AR3106:AR3110))+ABS(AR3111-SUM(AR3112:AR3116))+ABS(AR3117-SUM(AR3118:AR3122))</f>
        <v/>
      </c>
      <c r="AS3133" s="76">
        <f>ABS(AS3105-SUM(AS3106:AS3110))+ABS(AS3111-SUM(AS3112:AS3116))+ABS(AS3117-SUM(AS3118:AS3122))</f>
        <v/>
      </c>
      <c r="AT3133" s="76">
        <f>ABS(AT3105-SUM(AT3106:AT3110))+ABS(AT3111-SUM(AT3112:AT3116))+ABS(AT3117-SUM(AT3118:AT3122))</f>
        <v/>
      </c>
      <c r="AU3133" s="76">
        <f>ABS(AU3105-SUM(AU3106:AU3110))+ABS(AU3111-SUM(AU3112:AU3116))+ABS(AU3117-SUM(AU3118:AU3122))</f>
        <v/>
      </c>
      <c r="AV3133" s="76">
        <f>ABS(AV3105-SUM(AV3106:AV3110))+ABS(AV3111-SUM(AV3112:AV3116))+ABS(AV3117-SUM(AV3118:AV3122))</f>
        <v/>
      </c>
      <c r="AW3133" s="76">
        <f>ABS(AW3105-SUM(AW3106:AW3110))+ABS(AW3111-SUM(AW3112:AW3116))+ABS(AW3117-SUM(AW3118:AW3122))</f>
        <v/>
      </c>
      <c r="AX3133" s="76">
        <f>ABS(AX3105-SUM(AX3106:AX3110))+ABS(AX3111-SUM(AX3112:AX3116))+ABS(AX3117-SUM(AX3118:AX3122))</f>
        <v/>
      </c>
      <c r="AY3133" s="76">
        <f>ABS(AY3105-SUM(AY3106:AY3110))+ABS(AY3111-SUM(AY3112:AY3116))+ABS(AY3117-SUM(AY3118:AY3122))</f>
        <v/>
      </c>
      <c r="AZ3133" s="76">
        <f>ABS(AZ3105-SUM(AZ3106:AZ3110))+ABS(AZ3111-SUM(AZ3112:AZ3116))+ABS(AZ3117-SUM(AZ3118:AZ3122))</f>
        <v/>
      </c>
      <c r="BA3133" s="76">
        <f>ABS(BA3105-SUM(BA3106:BA3110))+ABS(BA3111-SUM(BA3112:BA3116))+ABS(BA3117-SUM(BA3118:BA3122))</f>
        <v/>
      </c>
    </row>
    <row r="3134"/>
    <row r="3135">
      <c r="H3135" s="67" t="inlineStr">
        <is>
          <t>Per subsector and fuel (rows rtx, rsub, rnew, rxcp in each subsector block): rtx = fuel use x PJ/ktoe x (existing tax etx + VAT vat of the price fuel + change in existing carbon pricing xcpd x (1 + VAT rate)); rsub = fuel use x PJ/ktoe x existing subsidy esub (fiscal cost, positive); rnew = fuel use x PJ/ktoe x (new carbon tax + new excise + ETS x revenue factor + VAT on new policies nce x VAT rate); rxcp = existing carbon pricing revenue (memo, level; the part embedded in the price data is inside rtx). Feebates are revenue-neutral.</t>
        </is>
      </c>
    </row>
    <row r="3136">
      <c r="H3136" s="67" t="inlineStr">
        <is>
          <t>Power (rows .pow, v1.09; section 3 M and G): rtx = taxes on generation fuels + change in existing carbon pricing + electricity VAT; rsub = subsidies on generation fuels + electricity subsidy gap (supply cost minus price before VAT; negative if the price is above cost); rnew = carbon tax, ETS at the permit price and fuel price reform on generation + VAT on the policy cost passed through. Existing taxes and subsidies use the scenario's own quantities, so a policy also changes them (the fiscal effect vs scenario 1 is rtot.chg); rev.chk = 0 when the totals equal their rows.</t>
        </is>
      </c>
    </row>
    <row r="3137">
      <c r="H3137" s="67" t="inlineStr">
        <is>
          <t>Per-fuel policy input (later): esubpu (existing subsidy per MTInputs price unit, section 2) can feed a subsidy-reform path in the fuel price reform rows (MTInputs 142-169 use the same units).</t>
        </is>
      </c>
    </row>
    <row r="3138"/>
    <row r="3139">
      <c r="A3139" s="4" t="inlineStr">
        <is>
          <t>13. Emissions - CO2 from fuel combustion (MtCO2; subsectors and power generation; process emissions and other gases not yet)</t>
        </is>
      </c>
      <c r="B3139" s="5" t="n"/>
      <c r="C3139" s="5" t="n"/>
      <c r="D3139" s="5" t="n"/>
      <c r="E3139" s="5" t="n"/>
      <c r="F3139" s="5" t="n"/>
      <c r="G3139" s="5" t="n"/>
      <c r="H3139" s="5" t="n"/>
      <c r="I3139" s="5" t="n"/>
      <c r="J3139" s="5" t="n"/>
      <c r="K3139" s="5" t="n"/>
      <c r="L3139" s="5" t="n"/>
      <c r="M3139" s="5" t="n"/>
      <c r="N3139" s="5" t="n"/>
      <c r="O3139" s="5" t="n"/>
      <c r="P3139" s="5" t="n"/>
      <c r="Q3139" s="5" t="n"/>
      <c r="R3139" s="5" t="n"/>
      <c r="S3139" s="5" t="n"/>
      <c r="T3139" s="5" t="n"/>
      <c r="U3139" s="5" t="n"/>
      <c r="V3139" s="5" t="n"/>
      <c r="W3139" s="5" t="n"/>
      <c r="X3139" s="5" t="n"/>
      <c r="Y3139" s="5" t="n"/>
      <c r="Z3139" s="5" t="n"/>
      <c r="AA3139" s="5" t="n"/>
      <c r="AB3139" s="5" t="n"/>
      <c r="AC3139" s="5" t="n"/>
      <c r="AD3139" s="5" t="n"/>
      <c r="AE3139" s="5" t="n"/>
      <c r="AF3139" s="5" t="n"/>
      <c r="AG3139" s="5" t="n"/>
      <c r="AH3139" s="5" t="n"/>
      <c r="AI3139" s="5" t="n"/>
      <c r="AJ3139" s="5" t="n"/>
      <c r="AK3139" s="5" t="n"/>
      <c r="AL3139" s="5" t="n"/>
      <c r="AM3139" s="5" t="n"/>
      <c r="AN3139" s="5" t="n"/>
      <c r="AO3139" s="5" t="n"/>
      <c r="AP3139" s="5" t="n"/>
      <c r="AQ3139" s="5" t="n"/>
      <c r="AR3139" s="5" t="n"/>
      <c r="AS3139" s="5" t="n"/>
      <c r="AT3139" s="5" t="n"/>
      <c r="AU3139" s="5" t="n"/>
      <c r="AV3139" s="5" t="n"/>
      <c r="AW3139" s="5" t="n"/>
      <c r="AX3139" s="5" t="n"/>
      <c r="AY3139" s="5" t="n"/>
      <c r="AZ3139" s="5" t="n"/>
      <c r="BA3139" s="5" t="n"/>
      <c r="BB3139" s="5" t="n"/>
    </row>
    <row r="3140">
      <c r="A3140" s="1" t="inlineStr">
        <is>
          <t>co2</t>
        </is>
      </c>
      <c r="B3140" s="1" t="inlineStr">
        <is>
          <t>all</t>
        </is>
      </c>
      <c r="C3140" s="1" t="inlineStr">
        <is>
          <t>all</t>
        </is>
      </c>
      <c r="H3140" s="1">
        <f>INDEX(VarLab,MATCH($A3140,VarKey,0))&amp;INDEX(MemLab,MATCH($C3140&amp;"|"&amp;$B3140,MemKey,0))</f>
        <v/>
      </c>
      <c r="I3140" s="1">
        <f>INDEX(VarUnit,MATCH($A3140,VarKey,0))</f>
        <v/>
      </c>
      <c r="J3140" s="1">
        <f>INDEX(VarSrc,MATCH($A3140,VarKey,0))</f>
        <v/>
      </c>
      <c r="K3140" s="17">
        <f>CodePrefix&amp;$A3140&amp;IF($C3140="","","."&amp;$C3140&amp;"."&amp;$B3140)&amp;INDEX(VarEnd,MATCH($A3140,VarKey,0))&amp;K$5</f>
        <v/>
      </c>
      <c r="L3140" s="77">
        <f>SUMIF(SecVar,"co2",L$1003:L$3061)+L3145</f>
        <v/>
      </c>
      <c r="M3140" s="78">
        <f>SUMIF(SecVar,"co2",M$1003:M$3061)+M3145</f>
        <v/>
      </c>
      <c r="N3140" s="78">
        <f>SUMIF(SecVar,"co2",N$1003:N$3061)+N3145</f>
        <v/>
      </c>
      <c r="O3140" s="78">
        <f>SUMIF(SecVar,"co2",O$1003:O$3061)+O3145</f>
        <v/>
      </c>
      <c r="P3140" s="78">
        <f>SUMIF(SecVar,"co2",P$1003:P$3061)+P3145</f>
        <v/>
      </c>
      <c r="Q3140" s="78">
        <f>SUMIF(SecVar,"co2",Q$1003:Q$3061)+Q3145</f>
        <v/>
      </c>
      <c r="R3140" s="78">
        <f>SUMIF(SecVar,"co2",R$1003:R$3061)+R3145</f>
        <v/>
      </c>
      <c r="S3140" s="78">
        <f>SUMIF(SecVar,"co2",S$1003:S$3061)+S3145</f>
        <v/>
      </c>
      <c r="T3140" s="78">
        <f>SUMIF(SecVar,"co2",T$1003:T$3061)+T3145</f>
        <v/>
      </c>
      <c r="U3140" s="78">
        <f>SUMIF(SecVar,"co2",U$1003:U$3061)+U3145</f>
        <v/>
      </c>
      <c r="V3140" s="78">
        <f>SUMIF(SecVar,"co2",V$1003:V$3061)+V3145</f>
        <v/>
      </c>
      <c r="W3140" s="78">
        <f>SUMIF(SecVar,"co2",W$1003:W$3061)+W3145</f>
        <v/>
      </c>
      <c r="X3140" s="78">
        <f>SUMIF(SecVar,"co2",X$1003:X$3061)+X3145</f>
        <v/>
      </c>
      <c r="Y3140" s="78">
        <f>SUMIF(SecVar,"co2",Y$1003:Y$3061)+Y3145</f>
        <v/>
      </c>
      <c r="Z3140" s="78">
        <f>SUMIF(SecVar,"co2",Z$1003:Z$3061)+Z3145</f>
        <v/>
      </c>
      <c r="AA3140" s="78">
        <f>SUMIF(SecVar,"co2",AA$1003:AA$3061)+AA3145</f>
        <v/>
      </c>
      <c r="AB3140" s="78">
        <f>SUMIF(SecVar,"co2",AB$1003:AB$3061)+AB3145</f>
        <v/>
      </c>
      <c r="AC3140" s="78">
        <f>SUMIF(SecVar,"co2",AC$1003:AC$3061)+AC3145</f>
        <v/>
      </c>
      <c r="AD3140" s="78">
        <f>SUMIF(SecVar,"co2",AD$1003:AD$3061)+AD3145</f>
        <v/>
      </c>
      <c r="AE3140" s="78">
        <f>SUMIF(SecVar,"co2",AE$1003:AE$3061)+AE3145</f>
        <v/>
      </c>
      <c r="AG3140" s="17">
        <f>CodePrefix&amp;$A3140&amp;IF($C3140="","","."&amp;$C3140&amp;"."&amp;$B3140)&amp;INDEX(VarEnd,MATCH($A3140,VarKey,0))&amp;AG$5</f>
        <v/>
      </c>
      <c r="AH3140" s="77">
        <f>SUMIF(SecVar,"co2",AH$1003:AH$3061)+AH3145</f>
        <v/>
      </c>
      <c r="AI3140" s="78">
        <f>SUMIF(SecVar,"co2",AI$1003:AI$3061)+AI3145</f>
        <v/>
      </c>
      <c r="AJ3140" s="78">
        <f>SUMIF(SecVar,"co2",AJ$1003:AJ$3061)+AJ3145</f>
        <v/>
      </c>
      <c r="AK3140" s="78">
        <f>SUMIF(SecVar,"co2",AK$1003:AK$3061)+AK3145</f>
        <v/>
      </c>
      <c r="AL3140" s="78">
        <f>SUMIF(SecVar,"co2",AL$1003:AL$3061)+AL3145</f>
        <v/>
      </c>
      <c r="AM3140" s="78">
        <f>SUMIF(SecVar,"co2",AM$1003:AM$3061)+AM3145</f>
        <v/>
      </c>
      <c r="AN3140" s="78">
        <f>SUMIF(SecVar,"co2",AN$1003:AN$3061)+AN3145</f>
        <v/>
      </c>
      <c r="AO3140" s="78">
        <f>SUMIF(SecVar,"co2",AO$1003:AO$3061)+AO3145</f>
        <v/>
      </c>
      <c r="AP3140" s="78">
        <f>SUMIF(SecVar,"co2",AP$1003:AP$3061)+AP3145</f>
        <v/>
      </c>
      <c r="AQ3140" s="78">
        <f>SUMIF(SecVar,"co2",AQ$1003:AQ$3061)+AQ3145</f>
        <v/>
      </c>
      <c r="AR3140" s="78">
        <f>SUMIF(SecVar,"co2",AR$1003:AR$3061)+AR3145</f>
        <v/>
      </c>
      <c r="AS3140" s="78">
        <f>SUMIF(SecVar,"co2",AS$1003:AS$3061)+AS3145</f>
        <v/>
      </c>
      <c r="AT3140" s="78">
        <f>SUMIF(SecVar,"co2",AT$1003:AT$3061)+AT3145</f>
        <v/>
      </c>
      <c r="AU3140" s="78">
        <f>SUMIF(SecVar,"co2",AU$1003:AU$3061)+AU3145</f>
        <v/>
      </c>
      <c r="AV3140" s="78">
        <f>SUMIF(SecVar,"co2",AV$1003:AV$3061)+AV3145</f>
        <v/>
      </c>
      <c r="AW3140" s="78">
        <f>SUMIF(SecVar,"co2",AW$1003:AW$3061)+AW3145</f>
        <v/>
      </c>
      <c r="AX3140" s="78">
        <f>SUMIF(SecVar,"co2",AX$1003:AX$3061)+AX3145</f>
        <v/>
      </c>
      <c r="AY3140" s="78">
        <f>SUMIF(SecVar,"co2",AY$1003:AY$3061)+AY3145</f>
        <v/>
      </c>
      <c r="AZ3140" s="78">
        <f>SUMIF(SecVar,"co2",AZ$1003:AZ$3061)+AZ3145</f>
        <v/>
      </c>
      <c r="BA3140" s="78">
        <f>SUMIF(SecVar,"co2",BA$1003:BA$3061)+BA3145</f>
        <v/>
      </c>
    </row>
    <row r="3141" hidden="1" outlineLevel="1">
      <c r="A3141" s="14" t="inlineStr">
        <is>
          <t>co2</t>
        </is>
      </c>
      <c r="B3141" s="14" t="inlineStr">
        <is>
          <t>all</t>
        </is>
      </c>
      <c r="C3141" s="14" t="inlineStr">
        <is>
          <t>tra</t>
        </is>
      </c>
      <c r="H3141" s="14">
        <f>INDEX(VarLab,MATCH($A3141,VarKey,0))&amp;INDEX(MemLab,MATCH($C3141&amp;"|"&amp;$B3141,MemKey,0))</f>
        <v/>
      </c>
      <c r="I3141" s="14">
        <f>INDEX(VarUnit,MATCH($A3141,VarKey,0))</f>
        <v/>
      </c>
      <c r="J3141" s="14">
        <f>INDEX(VarSrc,MATCH($A3141,VarKey,0))</f>
        <v/>
      </c>
      <c r="K3141" s="11">
        <f>CodePrefix&amp;$A3141&amp;IF($C3141="","","."&amp;$C3141&amp;"."&amp;$B3141)&amp;INDEX(VarEnd,MATCH($A3141,VarKey,0))&amp;K$5</f>
        <v/>
      </c>
      <c r="L3141" s="61">
        <f>SUMIF($A$1005:$A$1516,"co2",L$1005:L$1516)</f>
        <v/>
      </c>
      <c r="M3141" s="62">
        <f>SUMIF($A$1005:$A$1516,"co2",M$1005:M$1516)</f>
        <v/>
      </c>
      <c r="N3141" s="62">
        <f>SUMIF($A$1005:$A$1516,"co2",N$1005:N$1516)</f>
        <v/>
      </c>
      <c r="O3141" s="62">
        <f>SUMIF($A$1005:$A$1516,"co2",O$1005:O$1516)</f>
        <v/>
      </c>
      <c r="P3141" s="62">
        <f>SUMIF($A$1005:$A$1516,"co2",P$1005:P$1516)</f>
        <v/>
      </c>
      <c r="Q3141" s="62">
        <f>SUMIF($A$1005:$A$1516,"co2",Q$1005:Q$1516)</f>
        <v/>
      </c>
      <c r="R3141" s="62">
        <f>SUMIF($A$1005:$A$1516,"co2",R$1005:R$1516)</f>
        <v/>
      </c>
      <c r="S3141" s="62">
        <f>SUMIF($A$1005:$A$1516,"co2",S$1005:S$1516)</f>
        <v/>
      </c>
      <c r="T3141" s="62">
        <f>SUMIF($A$1005:$A$1516,"co2",T$1005:T$1516)</f>
        <v/>
      </c>
      <c r="U3141" s="62">
        <f>SUMIF($A$1005:$A$1516,"co2",U$1005:U$1516)</f>
        <v/>
      </c>
      <c r="V3141" s="62">
        <f>SUMIF($A$1005:$A$1516,"co2",V$1005:V$1516)</f>
        <v/>
      </c>
      <c r="W3141" s="62">
        <f>SUMIF($A$1005:$A$1516,"co2",W$1005:W$1516)</f>
        <v/>
      </c>
      <c r="X3141" s="62">
        <f>SUMIF($A$1005:$A$1516,"co2",X$1005:X$1516)</f>
        <v/>
      </c>
      <c r="Y3141" s="62">
        <f>SUMIF($A$1005:$A$1516,"co2",Y$1005:Y$1516)</f>
        <v/>
      </c>
      <c r="Z3141" s="62">
        <f>SUMIF($A$1005:$A$1516,"co2",Z$1005:Z$1516)</f>
        <v/>
      </c>
      <c r="AA3141" s="62">
        <f>SUMIF($A$1005:$A$1516,"co2",AA$1005:AA$1516)</f>
        <v/>
      </c>
      <c r="AB3141" s="62">
        <f>SUMIF($A$1005:$A$1516,"co2",AB$1005:AB$1516)</f>
        <v/>
      </c>
      <c r="AC3141" s="62">
        <f>SUMIF($A$1005:$A$1516,"co2",AC$1005:AC$1516)</f>
        <v/>
      </c>
      <c r="AD3141" s="62">
        <f>SUMIF($A$1005:$A$1516,"co2",AD$1005:AD$1516)</f>
        <v/>
      </c>
      <c r="AE3141" s="62">
        <f>SUMIF($A$1005:$A$1516,"co2",AE$1005:AE$1516)</f>
        <v/>
      </c>
      <c r="AG3141" s="11">
        <f>CodePrefix&amp;$A3141&amp;IF($C3141="","","."&amp;$C3141&amp;"."&amp;$B3141)&amp;INDEX(VarEnd,MATCH($A3141,VarKey,0))&amp;AG$5</f>
        <v/>
      </c>
      <c r="AH3141" s="61">
        <f>SUMIF($A$1005:$A$1516,"co2",AH$1005:AH$1516)</f>
        <v/>
      </c>
      <c r="AI3141" s="62">
        <f>SUMIF($A$1005:$A$1516,"co2",AI$1005:AI$1516)</f>
        <v/>
      </c>
      <c r="AJ3141" s="62">
        <f>SUMIF($A$1005:$A$1516,"co2",AJ$1005:AJ$1516)</f>
        <v/>
      </c>
      <c r="AK3141" s="62">
        <f>SUMIF($A$1005:$A$1516,"co2",AK$1005:AK$1516)</f>
        <v/>
      </c>
      <c r="AL3141" s="62">
        <f>SUMIF($A$1005:$A$1516,"co2",AL$1005:AL$1516)</f>
        <v/>
      </c>
      <c r="AM3141" s="62">
        <f>SUMIF($A$1005:$A$1516,"co2",AM$1005:AM$1516)</f>
        <v/>
      </c>
      <c r="AN3141" s="62">
        <f>SUMIF($A$1005:$A$1516,"co2",AN$1005:AN$1516)</f>
        <v/>
      </c>
      <c r="AO3141" s="62">
        <f>SUMIF($A$1005:$A$1516,"co2",AO$1005:AO$1516)</f>
        <v/>
      </c>
      <c r="AP3141" s="62">
        <f>SUMIF($A$1005:$A$1516,"co2",AP$1005:AP$1516)</f>
        <v/>
      </c>
      <c r="AQ3141" s="62">
        <f>SUMIF($A$1005:$A$1516,"co2",AQ$1005:AQ$1516)</f>
        <v/>
      </c>
      <c r="AR3141" s="62">
        <f>SUMIF($A$1005:$A$1516,"co2",AR$1005:AR$1516)</f>
        <v/>
      </c>
      <c r="AS3141" s="62">
        <f>SUMIF($A$1005:$A$1516,"co2",AS$1005:AS$1516)</f>
        <v/>
      </c>
      <c r="AT3141" s="62">
        <f>SUMIF($A$1005:$A$1516,"co2",AT$1005:AT$1516)</f>
        <v/>
      </c>
      <c r="AU3141" s="62">
        <f>SUMIF($A$1005:$A$1516,"co2",AU$1005:AU$1516)</f>
        <v/>
      </c>
      <c r="AV3141" s="62">
        <f>SUMIF($A$1005:$A$1516,"co2",AV$1005:AV$1516)</f>
        <v/>
      </c>
      <c r="AW3141" s="62">
        <f>SUMIF($A$1005:$A$1516,"co2",AW$1005:AW$1516)</f>
        <v/>
      </c>
      <c r="AX3141" s="62">
        <f>SUMIF($A$1005:$A$1516,"co2",AX$1005:AX$1516)</f>
        <v/>
      </c>
      <c r="AY3141" s="62">
        <f>SUMIF($A$1005:$A$1516,"co2",AY$1005:AY$1516)</f>
        <v/>
      </c>
      <c r="AZ3141" s="62">
        <f>SUMIF($A$1005:$A$1516,"co2",AZ$1005:AZ$1516)</f>
        <v/>
      </c>
      <c r="BA3141" s="62">
        <f>SUMIF($A$1005:$A$1516,"co2",BA$1005:BA$1516)</f>
        <v/>
      </c>
    </row>
    <row r="3142" hidden="1" outlineLevel="1">
      <c r="A3142" s="14" t="inlineStr">
        <is>
          <t>co2</t>
        </is>
      </c>
      <c r="B3142" s="14" t="inlineStr">
        <is>
          <t>all</t>
        </is>
      </c>
      <c r="C3142" s="14" t="inlineStr">
        <is>
          <t>bld</t>
        </is>
      </c>
      <c r="H3142" s="14">
        <f>INDEX(VarLab,MATCH($A3142,VarKey,0))&amp;INDEX(MemLab,MATCH($C3142&amp;"|"&amp;$B3142,MemKey,0))</f>
        <v/>
      </c>
      <c r="I3142" s="14">
        <f>INDEX(VarUnit,MATCH($A3142,VarKey,0))</f>
        <v/>
      </c>
      <c r="J3142" s="14">
        <f>INDEX(VarSrc,MATCH($A3142,VarKey,0))</f>
        <v/>
      </c>
      <c r="K3142" s="11">
        <f>CodePrefix&amp;$A3142&amp;IF($C3142="","","."&amp;$C3142&amp;"."&amp;$B3142)&amp;INDEX(VarEnd,MATCH($A3142,VarKey,0))&amp;K$5</f>
        <v/>
      </c>
      <c r="L3142" s="61">
        <f>SUMIF($A$1520:$A$1903,"co2",L$1520:L$1903)</f>
        <v/>
      </c>
      <c r="M3142" s="62">
        <f>SUMIF($A$1520:$A$1903,"co2",M$1520:M$1903)</f>
        <v/>
      </c>
      <c r="N3142" s="62">
        <f>SUMIF($A$1520:$A$1903,"co2",N$1520:N$1903)</f>
        <v/>
      </c>
      <c r="O3142" s="62">
        <f>SUMIF($A$1520:$A$1903,"co2",O$1520:O$1903)</f>
        <v/>
      </c>
      <c r="P3142" s="62">
        <f>SUMIF($A$1520:$A$1903,"co2",P$1520:P$1903)</f>
        <v/>
      </c>
      <c r="Q3142" s="62">
        <f>SUMIF($A$1520:$A$1903,"co2",Q$1520:Q$1903)</f>
        <v/>
      </c>
      <c r="R3142" s="62">
        <f>SUMIF($A$1520:$A$1903,"co2",R$1520:R$1903)</f>
        <v/>
      </c>
      <c r="S3142" s="62">
        <f>SUMIF($A$1520:$A$1903,"co2",S$1520:S$1903)</f>
        <v/>
      </c>
      <c r="T3142" s="62">
        <f>SUMIF($A$1520:$A$1903,"co2",T$1520:T$1903)</f>
        <v/>
      </c>
      <c r="U3142" s="62">
        <f>SUMIF($A$1520:$A$1903,"co2",U$1520:U$1903)</f>
        <v/>
      </c>
      <c r="V3142" s="62">
        <f>SUMIF($A$1520:$A$1903,"co2",V$1520:V$1903)</f>
        <v/>
      </c>
      <c r="W3142" s="62">
        <f>SUMIF($A$1520:$A$1903,"co2",W$1520:W$1903)</f>
        <v/>
      </c>
      <c r="X3142" s="62">
        <f>SUMIF($A$1520:$A$1903,"co2",X$1520:X$1903)</f>
        <v/>
      </c>
      <c r="Y3142" s="62">
        <f>SUMIF($A$1520:$A$1903,"co2",Y$1520:Y$1903)</f>
        <v/>
      </c>
      <c r="Z3142" s="62">
        <f>SUMIF($A$1520:$A$1903,"co2",Z$1520:Z$1903)</f>
        <v/>
      </c>
      <c r="AA3142" s="62">
        <f>SUMIF($A$1520:$A$1903,"co2",AA$1520:AA$1903)</f>
        <v/>
      </c>
      <c r="AB3142" s="62">
        <f>SUMIF($A$1520:$A$1903,"co2",AB$1520:AB$1903)</f>
        <v/>
      </c>
      <c r="AC3142" s="62">
        <f>SUMIF($A$1520:$A$1903,"co2",AC$1520:AC$1903)</f>
        <v/>
      </c>
      <c r="AD3142" s="62">
        <f>SUMIF($A$1520:$A$1903,"co2",AD$1520:AD$1903)</f>
        <v/>
      </c>
      <c r="AE3142" s="62">
        <f>SUMIF($A$1520:$A$1903,"co2",AE$1520:AE$1903)</f>
        <v/>
      </c>
      <c r="AG3142" s="11">
        <f>CodePrefix&amp;$A3142&amp;IF($C3142="","","."&amp;$C3142&amp;"."&amp;$B3142)&amp;INDEX(VarEnd,MATCH($A3142,VarKey,0))&amp;AG$5</f>
        <v/>
      </c>
      <c r="AH3142" s="61">
        <f>SUMIF($A$1520:$A$1903,"co2",AH$1520:AH$1903)</f>
        <v/>
      </c>
      <c r="AI3142" s="62">
        <f>SUMIF($A$1520:$A$1903,"co2",AI$1520:AI$1903)</f>
        <v/>
      </c>
      <c r="AJ3142" s="62">
        <f>SUMIF($A$1520:$A$1903,"co2",AJ$1520:AJ$1903)</f>
        <v/>
      </c>
      <c r="AK3142" s="62">
        <f>SUMIF($A$1520:$A$1903,"co2",AK$1520:AK$1903)</f>
        <v/>
      </c>
      <c r="AL3142" s="62">
        <f>SUMIF($A$1520:$A$1903,"co2",AL$1520:AL$1903)</f>
        <v/>
      </c>
      <c r="AM3142" s="62">
        <f>SUMIF($A$1520:$A$1903,"co2",AM$1520:AM$1903)</f>
        <v/>
      </c>
      <c r="AN3142" s="62">
        <f>SUMIF($A$1520:$A$1903,"co2",AN$1520:AN$1903)</f>
        <v/>
      </c>
      <c r="AO3142" s="62">
        <f>SUMIF($A$1520:$A$1903,"co2",AO$1520:AO$1903)</f>
        <v/>
      </c>
      <c r="AP3142" s="62">
        <f>SUMIF($A$1520:$A$1903,"co2",AP$1520:AP$1903)</f>
        <v/>
      </c>
      <c r="AQ3142" s="62">
        <f>SUMIF($A$1520:$A$1903,"co2",AQ$1520:AQ$1903)</f>
        <v/>
      </c>
      <c r="AR3142" s="62">
        <f>SUMIF($A$1520:$A$1903,"co2",AR$1520:AR$1903)</f>
        <v/>
      </c>
      <c r="AS3142" s="62">
        <f>SUMIF($A$1520:$A$1903,"co2",AS$1520:AS$1903)</f>
        <v/>
      </c>
      <c r="AT3142" s="62">
        <f>SUMIF($A$1520:$A$1903,"co2",AT$1520:AT$1903)</f>
        <v/>
      </c>
      <c r="AU3142" s="62">
        <f>SUMIF($A$1520:$A$1903,"co2",AU$1520:AU$1903)</f>
        <v/>
      </c>
      <c r="AV3142" s="62">
        <f>SUMIF($A$1520:$A$1903,"co2",AV$1520:AV$1903)</f>
        <v/>
      </c>
      <c r="AW3142" s="62">
        <f>SUMIF($A$1520:$A$1903,"co2",AW$1520:AW$1903)</f>
        <v/>
      </c>
      <c r="AX3142" s="62">
        <f>SUMIF($A$1520:$A$1903,"co2",AX$1520:AX$1903)</f>
        <v/>
      </c>
      <c r="AY3142" s="62">
        <f>SUMIF($A$1520:$A$1903,"co2",AY$1520:AY$1903)</f>
        <v/>
      </c>
      <c r="AZ3142" s="62">
        <f>SUMIF($A$1520:$A$1903,"co2",AZ$1520:AZ$1903)</f>
        <v/>
      </c>
      <c r="BA3142" s="62">
        <f>SUMIF($A$1520:$A$1903,"co2",BA$1520:BA$1903)</f>
        <v/>
      </c>
    </row>
    <row r="3143" hidden="1" outlineLevel="1">
      <c r="A3143" s="14" t="inlineStr">
        <is>
          <t>co2</t>
        </is>
      </c>
      <c r="B3143" s="14" t="inlineStr">
        <is>
          <t>all</t>
        </is>
      </c>
      <c r="C3143" s="14" t="inlineStr">
        <is>
          <t>ind</t>
        </is>
      </c>
      <c r="H3143" s="14">
        <f>INDEX(VarLab,MATCH($A3143,VarKey,0))&amp;INDEX(MemLab,MATCH($C3143&amp;"|"&amp;$B3143,MemKey,0))</f>
        <v/>
      </c>
      <c r="I3143" s="14">
        <f>INDEX(VarUnit,MATCH($A3143,VarKey,0))</f>
        <v/>
      </c>
      <c r="J3143" s="14">
        <f>INDEX(VarSrc,MATCH($A3143,VarKey,0))</f>
        <v/>
      </c>
      <c r="K3143" s="11">
        <f>CodePrefix&amp;$A3143&amp;IF($C3143="","","."&amp;$C3143&amp;"."&amp;$B3143)&amp;INDEX(VarEnd,MATCH($A3143,VarKey,0))&amp;K$5</f>
        <v/>
      </c>
      <c r="L3143" s="61">
        <f>SUMIF($A$1907:$A$2930,"co2",L$1907:L$2930)</f>
        <v/>
      </c>
      <c r="M3143" s="62">
        <f>SUMIF($A$1907:$A$2930,"co2",M$1907:M$2930)</f>
        <v/>
      </c>
      <c r="N3143" s="62">
        <f>SUMIF($A$1907:$A$2930,"co2",N$1907:N$2930)</f>
        <v/>
      </c>
      <c r="O3143" s="62">
        <f>SUMIF($A$1907:$A$2930,"co2",O$1907:O$2930)</f>
        <v/>
      </c>
      <c r="P3143" s="62">
        <f>SUMIF($A$1907:$A$2930,"co2",P$1907:P$2930)</f>
        <v/>
      </c>
      <c r="Q3143" s="62">
        <f>SUMIF($A$1907:$A$2930,"co2",Q$1907:Q$2930)</f>
        <v/>
      </c>
      <c r="R3143" s="62">
        <f>SUMIF($A$1907:$A$2930,"co2",R$1907:R$2930)</f>
        <v/>
      </c>
      <c r="S3143" s="62">
        <f>SUMIF($A$1907:$A$2930,"co2",S$1907:S$2930)</f>
        <v/>
      </c>
      <c r="T3143" s="62">
        <f>SUMIF($A$1907:$A$2930,"co2",T$1907:T$2930)</f>
        <v/>
      </c>
      <c r="U3143" s="62">
        <f>SUMIF($A$1907:$A$2930,"co2",U$1907:U$2930)</f>
        <v/>
      </c>
      <c r="V3143" s="62">
        <f>SUMIF($A$1907:$A$2930,"co2",V$1907:V$2930)</f>
        <v/>
      </c>
      <c r="W3143" s="62">
        <f>SUMIF($A$1907:$A$2930,"co2",W$1907:W$2930)</f>
        <v/>
      </c>
      <c r="X3143" s="62">
        <f>SUMIF($A$1907:$A$2930,"co2",X$1907:X$2930)</f>
        <v/>
      </c>
      <c r="Y3143" s="62">
        <f>SUMIF($A$1907:$A$2930,"co2",Y$1907:Y$2930)</f>
        <v/>
      </c>
      <c r="Z3143" s="62">
        <f>SUMIF($A$1907:$A$2930,"co2",Z$1907:Z$2930)</f>
        <v/>
      </c>
      <c r="AA3143" s="62">
        <f>SUMIF($A$1907:$A$2930,"co2",AA$1907:AA$2930)</f>
        <v/>
      </c>
      <c r="AB3143" s="62">
        <f>SUMIF($A$1907:$A$2930,"co2",AB$1907:AB$2930)</f>
        <v/>
      </c>
      <c r="AC3143" s="62">
        <f>SUMIF($A$1907:$A$2930,"co2",AC$1907:AC$2930)</f>
        <v/>
      </c>
      <c r="AD3143" s="62">
        <f>SUMIF($A$1907:$A$2930,"co2",AD$1907:AD$2930)</f>
        <v/>
      </c>
      <c r="AE3143" s="62">
        <f>SUMIF($A$1907:$A$2930,"co2",AE$1907:AE$2930)</f>
        <v/>
      </c>
      <c r="AG3143" s="11">
        <f>CodePrefix&amp;$A3143&amp;IF($C3143="","","."&amp;$C3143&amp;"."&amp;$B3143)&amp;INDEX(VarEnd,MATCH($A3143,VarKey,0))&amp;AG$5</f>
        <v/>
      </c>
      <c r="AH3143" s="61">
        <f>SUMIF($A$1907:$A$2930,"co2",AH$1907:AH$2930)</f>
        <v/>
      </c>
      <c r="AI3143" s="62">
        <f>SUMIF($A$1907:$A$2930,"co2",AI$1907:AI$2930)</f>
        <v/>
      </c>
      <c r="AJ3143" s="62">
        <f>SUMIF($A$1907:$A$2930,"co2",AJ$1907:AJ$2930)</f>
        <v/>
      </c>
      <c r="AK3143" s="62">
        <f>SUMIF($A$1907:$A$2930,"co2",AK$1907:AK$2930)</f>
        <v/>
      </c>
      <c r="AL3143" s="62">
        <f>SUMIF($A$1907:$A$2930,"co2",AL$1907:AL$2930)</f>
        <v/>
      </c>
      <c r="AM3143" s="62">
        <f>SUMIF($A$1907:$A$2930,"co2",AM$1907:AM$2930)</f>
        <v/>
      </c>
      <c r="AN3143" s="62">
        <f>SUMIF($A$1907:$A$2930,"co2",AN$1907:AN$2930)</f>
        <v/>
      </c>
      <c r="AO3143" s="62">
        <f>SUMIF($A$1907:$A$2930,"co2",AO$1907:AO$2930)</f>
        <v/>
      </c>
      <c r="AP3143" s="62">
        <f>SUMIF($A$1907:$A$2930,"co2",AP$1907:AP$2930)</f>
        <v/>
      </c>
      <c r="AQ3143" s="62">
        <f>SUMIF($A$1907:$A$2930,"co2",AQ$1907:AQ$2930)</f>
        <v/>
      </c>
      <c r="AR3143" s="62">
        <f>SUMIF($A$1907:$A$2930,"co2",AR$1907:AR$2930)</f>
        <v/>
      </c>
      <c r="AS3143" s="62">
        <f>SUMIF($A$1907:$A$2930,"co2",AS$1907:AS$2930)</f>
        <v/>
      </c>
      <c r="AT3143" s="62">
        <f>SUMIF($A$1907:$A$2930,"co2",AT$1907:AT$2930)</f>
        <v/>
      </c>
      <c r="AU3143" s="62">
        <f>SUMIF($A$1907:$A$2930,"co2",AU$1907:AU$2930)</f>
        <v/>
      </c>
      <c r="AV3143" s="62">
        <f>SUMIF($A$1907:$A$2930,"co2",AV$1907:AV$2930)</f>
        <v/>
      </c>
      <c r="AW3143" s="62">
        <f>SUMIF($A$1907:$A$2930,"co2",AW$1907:AW$2930)</f>
        <v/>
      </c>
      <c r="AX3143" s="62">
        <f>SUMIF($A$1907:$A$2930,"co2",AX$1907:AX$2930)</f>
        <v/>
      </c>
      <c r="AY3143" s="62">
        <f>SUMIF($A$1907:$A$2930,"co2",AY$1907:AY$2930)</f>
        <v/>
      </c>
      <c r="AZ3143" s="62">
        <f>SUMIF($A$1907:$A$2930,"co2",AZ$1907:AZ$2930)</f>
        <v/>
      </c>
      <c r="BA3143" s="62">
        <f>SUMIF($A$1907:$A$2930,"co2",BA$1907:BA$2930)</f>
        <v/>
      </c>
    </row>
    <row r="3144" hidden="1" outlineLevel="1">
      <c r="A3144" s="14" t="inlineStr">
        <is>
          <t>co2</t>
        </is>
      </c>
      <c r="B3144" s="14" t="inlineStr">
        <is>
          <t>all</t>
        </is>
      </c>
      <c r="C3144" s="14" t="inlineStr">
        <is>
          <t>oen</t>
        </is>
      </c>
      <c r="H3144" s="14">
        <f>INDEX(VarLab,MATCH($A3144,VarKey,0))&amp;INDEX(MemLab,MATCH($C3144&amp;"|"&amp;$B3144,MemKey,0))</f>
        <v/>
      </c>
      <c r="I3144" s="14">
        <f>INDEX(VarUnit,MATCH($A3144,VarKey,0))</f>
        <v/>
      </c>
      <c r="J3144" s="14">
        <f>INDEX(VarSrc,MATCH($A3144,VarKey,0))</f>
        <v/>
      </c>
      <c r="K3144" s="11">
        <f>CodePrefix&amp;$A3144&amp;IF($C3144="","","."&amp;$C3144&amp;"."&amp;$B3144)&amp;INDEX(VarEnd,MATCH($A3144,VarKey,0))&amp;K$5</f>
        <v/>
      </c>
      <c r="L3144" s="61">
        <f>SUMIF($A$2934:$A$3061,"co2",L$2934:L$3061)</f>
        <v/>
      </c>
      <c r="M3144" s="62">
        <f>SUMIF($A$2934:$A$3061,"co2",M$2934:M$3061)</f>
        <v/>
      </c>
      <c r="N3144" s="62">
        <f>SUMIF($A$2934:$A$3061,"co2",N$2934:N$3061)</f>
        <v/>
      </c>
      <c r="O3144" s="62">
        <f>SUMIF($A$2934:$A$3061,"co2",O$2934:O$3061)</f>
        <v/>
      </c>
      <c r="P3144" s="62">
        <f>SUMIF($A$2934:$A$3061,"co2",P$2934:P$3061)</f>
        <v/>
      </c>
      <c r="Q3144" s="62">
        <f>SUMIF($A$2934:$A$3061,"co2",Q$2934:Q$3061)</f>
        <v/>
      </c>
      <c r="R3144" s="62">
        <f>SUMIF($A$2934:$A$3061,"co2",R$2934:R$3061)</f>
        <v/>
      </c>
      <c r="S3144" s="62">
        <f>SUMIF($A$2934:$A$3061,"co2",S$2934:S$3061)</f>
        <v/>
      </c>
      <c r="T3144" s="62">
        <f>SUMIF($A$2934:$A$3061,"co2",T$2934:T$3061)</f>
        <v/>
      </c>
      <c r="U3144" s="62">
        <f>SUMIF($A$2934:$A$3061,"co2",U$2934:U$3061)</f>
        <v/>
      </c>
      <c r="V3144" s="62">
        <f>SUMIF($A$2934:$A$3061,"co2",V$2934:V$3061)</f>
        <v/>
      </c>
      <c r="W3144" s="62">
        <f>SUMIF($A$2934:$A$3061,"co2",W$2934:W$3061)</f>
        <v/>
      </c>
      <c r="X3144" s="62">
        <f>SUMIF($A$2934:$A$3061,"co2",X$2934:X$3061)</f>
        <v/>
      </c>
      <c r="Y3144" s="62">
        <f>SUMIF($A$2934:$A$3061,"co2",Y$2934:Y$3061)</f>
        <v/>
      </c>
      <c r="Z3144" s="62">
        <f>SUMIF($A$2934:$A$3061,"co2",Z$2934:Z$3061)</f>
        <v/>
      </c>
      <c r="AA3144" s="62">
        <f>SUMIF($A$2934:$A$3061,"co2",AA$2934:AA$3061)</f>
        <v/>
      </c>
      <c r="AB3144" s="62">
        <f>SUMIF($A$2934:$A$3061,"co2",AB$2934:AB$3061)</f>
        <v/>
      </c>
      <c r="AC3144" s="62">
        <f>SUMIF($A$2934:$A$3061,"co2",AC$2934:AC$3061)</f>
        <v/>
      </c>
      <c r="AD3144" s="62">
        <f>SUMIF($A$2934:$A$3061,"co2",AD$2934:AD$3061)</f>
        <v/>
      </c>
      <c r="AE3144" s="62">
        <f>SUMIF($A$2934:$A$3061,"co2",AE$2934:AE$3061)</f>
        <v/>
      </c>
      <c r="AG3144" s="11">
        <f>CodePrefix&amp;$A3144&amp;IF($C3144="","","."&amp;$C3144&amp;"."&amp;$B3144)&amp;INDEX(VarEnd,MATCH($A3144,VarKey,0))&amp;AG$5</f>
        <v/>
      </c>
      <c r="AH3144" s="61">
        <f>SUMIF($A$2934:$A$3061,"co2",AH$2934:AH$3061)</f>
        <v/>
      </c>
      <c r="AI3144" s="62">
        <f>SUMIF($A$2934:$A$3061,"co2",AI$2934:AI$3061)</f>
        <v/>
      </c>
      <c r="AJ3144" s="62">
        <f>SUMIF($A$2934:$A$3061,"co2",AJ$2934:AJ$3061)</f>
        <v/>
      </c>
      <c r="AK3144" s="62">
        <f>SUMIF($A$2934:$A$3061,"co2",AK$2934:AK$3061)</f>
        <v/>
      </c>
      <c r="AL3144" s="62">
        <f>SUMIF($A$2934:$A$3061,"co2",AL$2934:AL$3061)</f>
        <v/>
      </c>
      <c r="AM3144" s="62">
        <f>SUMIF($A$2934:$A$3061,"co2",AM$2934:AM$3061)</f>
        <v/>
      </c>
      <c r="AN3144" s="62">
        <f>SUMIF($A$2934:$A$3061,"co2",AN$2934:AN$3061)</f>
        <v/>
      </c>
      <c r="AO3144" s="62">
        <f>SUMIF($A$2934:$A$3061,"co2",AO$2934:AO$3061)</f>
        <v/>
      </c>
      <c r="AP3144" s="62">
        <f>SUMIF($A$2934:$A$3061,"co2",AP$2934:AP$3061)</f>
        <v/>
      </c>
      <c r="AQ3144" s="62">
        <f>SUMIF($A$2934:$A$3061,"co2",AQ$2934:AQ$3061)</f>
        <v/>
      </c>
      <c r="AR3144" s="62">
        <f>SUMIF($A$2934:$A$3061,"co2",AR$2934:AR$3061)</f>
        <v/>
      </c>
      <c r="AS3144" s="62">
        <f>SUMIF($A$2934:$A$3061,"co2",AS$2934:AS$3061)</f>
        <v/>
      </c>
      <c r="AT3144" s="62">
        <f>SUMIF($A$2934:$A$3061,"co2",AT$2934:AT$3061)</f>
        <v/>
      </c>
      <c r="AU3144" s="62">
        <f>SUMIF($A$2934:$A$3061,"co2",AU$2934:AU$3061)</f>
        <v/>
      </c>
      <c r="AV3144" s="62">
        <f>SUMIF($A$2934:$A$3061,"co2",AV$2934:AV$3061)</f>
        <v/>
      </c>
      <c r="AW3144" s="62">
        <f>SUMIF($A$2934:$A$3061,"co2",AW$2934:AW$3061)</f>
        <v/>
      </c>
      <c r="AX3144" s="62">
        <f>SUMIF($A$2934:$A$3061,"co2",AX$2934:AX$3061)</f>
        <v/>
      </c>
      <c r="AY3144" s="62">
        <f>SUMIF($A$2934:$A$3061,"co2",AY$2934:AY$3061)</f>
        <v/>
      </c>
      <c r="AZ3144" s="62">
        <f>SUMIF($A$2934:$A$3061,"co2",AZ$2934:AZ$3061)</f>
        <v/>
      </c>
      <c r="BA3144" s="62">
        <f>SUMIF($A$2934:$A$3061,"co2",BA$2934:BA$3061)</f>
        <v/>
      </c>
    </row>
    <row r="3145" hidden="1" outlineLevel="1">
      <c r="A3145" s="14" t="inlineStr">
        <is>
          <t>co2</t>
        </is>
      </c>
      <c r="B3145" s="14" t="inlineStr">
        <is>
          <t>all</t>
        </is>
      </c>
      <c r="C3145" s="14" t="inlineStr">
        <is>
          <t>pow</t>
        </is>
      </c>
      <c r="H3145" s="14">
        <f>INDEX(VarLab,MATCH($A3145,VarKey,0))&amp;INDEX(MemLab,MATCH($C3145&amp;"|"&amp;$B3145,MemKey,0))</f>
        <v/>
      </c>
      <c r="I3145" s="14">
        <f>INDEX(VarUnit,MATCH($A3145,VarKey,0))</f>
        <v/>
      </c>
      <c r="J3145" s="14">
        <f>INDEX(VarSrc,MATCH($A3145,VarKey,0))</f>
        <v/>
      </c>
      <c r="K3145" s="11">
        <f>CodePrefix&amp;$A3145&amp;IF($C3145="","","."&amp;$C3145&amp;"."&amp;$B3145)&amp;INDEX(VarEnd,MATCH($A3145,VarKey,0))&amp;K$5</f>
        <v/>
      </c>
      <c r="L3145" s="61">
        <f>SUM(L$756:L$764)</f>
        <v/>
      </c>
      <c r="M3145" s="62">
        <f>SUM(M$756:M$764)</f>
        <v/>
      </c>
      <c r="N3145" s="62">
        <f>SUM(N$756:N$764)</f>
        <v/>
      </c>
      <c r="O3145" s="62">
        <f>SUM(O$756:O$764)</f>
        <v/>
      </c>
      <c r="P3145" s="62">
        <f>SUM(P$756:P$764)</f>
        <v/>
      </c>
      <c r="Q3145" s="62">
        <f>SUM(Q$756:Q$764)</f>
        <v/>
      </c>
      <c r="R3145" s="62">
        <f>SUM(R$756:R$764)</f>
        <v/>
      </c>
      <c r="S3145" s="62">
        <f>SUM(S$756:S$764)</f>
        <v/>
      </c>
      <c r="T3145" s="62">
        <f>SUM(T$756:T$764)</f>
        <v/>
      </c>
      <c r="U3145" s="62">
        <f>SUM(U$756:U$764)</f>
        <v/>
      </c>
      <c r="V3145" s="62">
        <f>SUM(V$756:V$764)</f>
        <v/>
      </c>
      <c r="W3145" s="62">
        <f>SUM(W$756:W$764)</f>
        <v/>
      </c>
      <c r="X3145" s="62">
        <f>SUM(X$756:X$764)</f>
        <v/>
      </c>
      <c r="Y3145" s="62">
        <f>SUM(Y$756:Y$764)</f>
        <v/>
      </c>
      <c r="Z3145" s="62">
        <f>SUM(Z$756:Z$764)</f>
        <v/>
      </c>
      <c r="AA3145" s="62">
        <f>SUM(AA$756:AA$764)</f>
        <v/>
      </c>
      <c r="AB3145" s="62">
        <f>SUM(AB$756:AB$764)</f>
        <v/>
      </c>
      <c r="AC3145" s="62">
        <f>SUM(AC$756:AC$764)</f>
        <v/>
      </c>
      <c r="AD3145" s="62">
        <f>SUM(AD$756:AD$764)</f>
        <v/>
      </c>
      <c r="AE3145" s="62">
        <f>SUM(AE$756:AE$764)</f>
        <v/>
      </c>
      <c r="AG3145" s="11">
        <f>CodePrefix&amp;$A3145&amp;IF($C3145="","","."&amp;$C3145&amp;"."&amp;$B3145)&amp;INDEX(VarEnd,MATCH($A3145,VarKey,0))&amp;AG$5</f>
        <v/>
      </c>
      <c r="AH3145" s="61">
        <f>SUM(AH$756:AH$764)</f>
        <v/>
      </c>
      <c r="AI3145" s="62">
        <f>SUM(AI$756:AI$764)</f>
        <v/>
      </c>
      <c r="AJ3145" s="62">
        <f>SUM(AJ$756:AJ$764)</f>
        <v/>
      </c>
      <c r="AK3145" s="62">
        <f>SUM(AK$756:AK$764)</f>
        <v/>
      </c>
      <c r="AL3145" s="62">
        <f>SUM(AL$756:AL$764)</f>
        <v/>
      </c>
      <c r="AM3145" s="62">
        <f>SUM(AM$756:AM$764)</f>
        <v/>
      </c>
      <c r="AN3145" s="62">
        <f>SUM(AN$756:AN$764)</f>
        <v/>
      </c>
      <c r="AO3145" s="62">
        <f>SUM(AO$756:AO$764)</f>
        <v/>
      </c>
      <c r="AP3145" s="62">
        <f>SUM(AP$756:AP$764)</f>
        <v/>
      </c>
      <c r="AQ3145" s="62">
        <f>SUM(AQ$756:AQ$764)</f>
        <v/>
      </c>
      <c r="AR3145" s="62">
        <f>SUM(AR$756:AR$764)</f>
        <v/>
      </c>
      <c r="AS3145" s="62">
        <f>SUM(AS$756:AS$764)</f>
        <v/>
      </c>
      <c r="AT3145" s="62">
        <f>SUM(AT$756:AT$764)</f>
        <v/>
      </c>
      <c r="AU3145" s="62">
        <f>SUM(AU$756:AU$764)</f>
        <v/>
      </c>
      <c r="AV3145" s="62">
        <f>SUM(AV$756:AV$764)</f>
        <v/>
      </c>
      <c r="AW3145" s="62">
        <f>SUM(AW$756:AW$764)</f>
        <v/>
      </c>
      <c r="AX3145" s="62">
        <f>SUM(AX$756:AX$764)</f>
        <v/>
      </c>
      <c r="AY3145" s="62">
        <f>SUM(AY$756:AY$764)</f>
        <v/>
      </c>
      <c r="AZ3145" s="62">
        <f>SUM(AZ$756:AZ$764)</f>
        <v/>
      </c>
      <c r="BA3145" s="62">
        <f>SUM(BA$756:BA$764)</f>
        <v/>
      </c>
    </row>
    <row r="3146" hidden="1" outlineLevel="1">
      <c r="A3146" s="14" t="inlineStr">
        <is>
          <t>co2</t>
        </is>
      </c>
      <c r="B3146" s="14" t="inlineStr">
        <is>
          <t>coa</t>
        </is>
      </c>
      <c r="C3146" s="14" t="inlineStr">
        <is>
          <t>all</t>
        </is>
      </c>
      <c r="H3146" s="14">
        <f>INDEX(VarLab,MATCH($A3146,VarKey,0))&amp;INDEX(MemLab,MATCH($C3146&amp;"|"&amp;$B3146,MemKey,0))</f>
        <v/>
      </c>
      <c r="I3146" s="14">
        <f>INDEX(VarUnit,MATCH($A3146,VarKey,0))</f>
        <v/>
      </c>
      <c r="J3146" s="14">
        <f>INDEX(VarSrc,MATCH($A3146,VarKey,0))</f>
        <v/>
      </c>
      <c r="K3146" s="11">
        <f>CodePrefix&amp;$A3146&amp;IF($C3146="","","."&amp;$C3146&amp;"."&amp;$B3146)&amp;INDEX(VarEnd,MATCH($A3146,VarKey,0))&amp;K$5</f>
        <v/>
      </c>
      <c r="L3146" s="61">
        <f>SUMIFS(L$1003:L$3061,SecVar,"co2",SecFuel,$B3146)+SUMIF($B$756:$B$764,$B3146,L$756:L$764)</f>
        <v/>
      </c>
      <c r="M3146" s="62">
        <f>SUMIFS(M$1003:M$3061,SecVar,"co2",SecFuel,$B3146)+SUMIF($B$756:$B$764,$B3146,M$756:M$764)</f>
        <v/>
      </c>
      <c r="N3146" s="62">
        <f>SUMIFS(N$1003:N$3061,SecVar,"co2",SecFuel,$B3146)+SUMIF($B$756:$B$764,$B3146,N$756:N$764)</f>
        <v/>
      </c>
      <c r="O3146" s="62">
        <f>SUMIFS(O$1003:O$3061,SecVar,"co2",SecFuel,$B3146)+SUMIF($B$756:$B$764,$B3146,O$756:O$764)</f>
        <v/>
      </c>
      <c r="P3146" s="62">
        <f>SUMIFS(P$1003:P$3061,SecVar,"co2",SecFuel,$B3146)+SUMIF($B$756:$B$764,$B3146,P$756:P$764)</f>
        <v/>
      </c>
      <c r="Q3146" s="62">
        <f>SUMIFS(Q$1003:Q$3061,SecVar,"co2",SecFuel,$B3146)+SUMIF($B$756:$B$764,$B3146,Q$756:Q$764)</f>
        <v/>
      </c>
      <c r="R3146" s="62">
        <f>SUMIFS(R$1003:R$3061,SecVar,"co2",SecFuel,$B3146)+SUMIF($B$756:$B$764,$B3146,R$756:R$764)</f>
        <v/>
      </c>
      <c r="S3146" s="62">
        <f>SUMIFS(S$1003:S$3061,SecVar,"co2",SecFuel,$B3146)+SUMIF($B$756:$B$764,$B3146,S$756:S$764)</f>
        <v/>
      </c>
      <c r="T3146" s="62">
        <f>SUMIFS(T$1003:T$3061,SecVar,"co2",SecFuel,$B3146)+SUMIF($B$756:$B$764,$B3146,T$756:T$764)</f>
        <v/>
      </c>
      <c r="U3146" s="62">
        <f>SUMIFS(U$1003:U$3061,SecVar,"co2",SecFuel,$B3146)+SUMIF($B$756:$B$764,$B3146,U$756:U$764)</f>
        <v/>
      </c>
      <c r="V3146" s="62">
        <f>SUMIFS(V$1003:V$3061,SecVar,"co2",SecFuel,$B3146)+SUMIF($B$756:$B$764,$B3146,V$756:V$764)</f>
        <v/>
      </c>
      <c r="W3146" s="62">
        <f>SUMIFS(W$1003:W$3061,SecVar,"co2",SecFuel,$B3146)+SUMIF($B$756:$B$764,$B3146,W$756:W$764)</f>
        <v/>
      </c>
      <c r="X3146" s="62">
        <f>SUMIFS(X$1003:X$3061,SecVar,"co2",SecFuel,$B3146)+SUMIF($B$756:$B$764,$B3146,X$756:X$764)</f>
        <v/>
      </c>
      <c r="Y3146" s="62">
        <f>SUMIFS(Y$1003:Y$3061,SecVar,"co2",SecFuel,$B3146)+SUMIF($B$756:$B$764,$B3146,Y$756:Y$764)</f>
        <v/>
      </c>
      <c r="Z3146" s="62">
        <f>SUMIFS(Z$1003:Z$3061,SecVar,"co2",SecFuel,$B3146)+SUMIF($B$756:$B$764,$B3146,Z$756:Z$764)</f>
        <v/>
      </c>
      <c r="AA3146" s="62">
        <f>SUMIFS(AA$1003:AA$3061,SecVar,"co2",SecFuel,$B3146)+SUMIF($B$756:$B$764,$B3146,AA$756:AA$764)</f>
        <v/>
      </c>
      <c r="AB3146" s="62">
        <f>SUMIFS(AB$1003:AB$3061,SecVar,"co2",SecFuel,$B3146)+SUMIF($B$756:$B$764,$B3146,AB$756:AB$764)</f>
        <v/>
      </c>
      <c r="AC3146" s="62">
        <f>SUMIFS(AC$1003:AC$3061,SecVar,"co2",SecFuel,$B3146)+SUMIF($B$756:$B$764,$B3146,AC$756:AC$764)</f>
        <v/>
      </c>
      <c r="AD3146" s="62">
        <f>SUMIFS(AD$1003:AD$3061,SecVar,"co2",SecFuel,$B3146)+SUMIF($B$756:$B$764,$B3146,AD$756:AD$764)</f>
        <v/>
      </c>
      <c r="AE3146" s="62">
        <f>SUMIFS(AE$1003:AE$3061,SecVar,"co2",SecFuel,$B3146)+SUMIF($B$756:$B$764,$B3146,AE$756:AE$764)</f>
        <v/>
      </c>
      <c r="AG3146" s="11">
        <f>CodePrefix&amp;$A3146&amp;IF($C3146="","","."&amp;$C3146&amp;"."&amp;$B3146)&amp;INDEX(VarEnd,MATCH($A3146,VarKey,0))&amp;AG$5</f>
        <v/>
      </c>
      <c r="AH3146" s="61">
        <f>SUMIFS(AH$1003:AH$3061,SecVar,"co2",SecFuel,$B3146)+SUMIF($B$756:$B$764,$B3146,AH$756:AH$764)</f>
        <v/>
      </c>
      <c r="AI3146" s="62">
        <f>SUMIFS(AI$1003:AI$3061,SecVar,"co2",SecFuel,$B3146)+SUMIF($B$756:$B$764,$B3146,AI$756:AI$764)</f>
        <v/>
      </c>
      <c r="AJ3146" s="62">
        <f>SUMIFS(AJ$1003:AJ$3061,SecVar,"co2",SecFuel,$B3146)+SUMIF($B$756:$B$764,$B3146,AJ$756:AJ$764)</f>
        <v/>
      </c>
      <c r="AK3146" s="62">
        <f>SUMIFS(AK$1003:AK$3061,SecVar,"co2",SecFuel,$B3146)+SUMIF($B$756:$B$764,$B3146,AK$756:AK$764)</f>
        <v/>
      </c>
      <c r="AL3146" s="62">
        <f>SUMIFS(AL$1003:AL$3061,SecVar,"co2",SecFuel,$B3146)+SUMIF($B$756:$B$764,$B3146,AL$756:AL$764)</f>
        <v/>
      </c>
      <c r="AM3146" s="62">
        <f>SUMIFS(AM$1003:AM$3061,SecVar,"co2",SecFuel,$B3146)+SUMIF($B$756:$B$764,$B3146,AM$756:AM$764)</f>
        <v/>
      </c>
      <c r="AN3146" s="62">
        <f>SUMIFS(AN$1003:AN$3061,SecVar,"co2",SecFuel,$B3146)+SUMIF($B$756:$B$764,$B3146,AN$756:AN$764)</f>
        <v/>
      </c>
      <c r="AO3146" s="62">
        <f>SUMIFS(AO$1003:AO$3061,SecVar,"co2",SecFuel,$B3146)+SUMIF($B$756:$B$764,$B3146,AO$756:AO$764)</f>
        <v/>
      </c>
      <c r="AP3146" s="62">
        <f>SUMIFS(AP$1003:AP$3061,SecVar,"co2",SecFuel,$B3146)+SUMIF($B$756:$B$764,$B3146,AP$756:AP$764)</f>
        <v/>
      </c>
      <c r="AQ3146" s="62">
        <f>SUMIFS(AQ$1003:AQ$3061,SecVar,"co2",SecFuel,$B3146)+SUMIF($B$756:$B$764,$B3146,AQ$756:AQ$764)</f>
        <v/>
      </c>
      <c r="AR3146" s="62">
        <f>SUMIFS(AR$1003:AR$3061,SecVar,"co2",SecFuel,$B3146)+SUMIF($B$756:$B$764,$B3146,AR$756:AR$764)</f>
        <v/>
      </c>
      <c r="AS3146" s="62">
        <f>SUMIFS(AS$1003:AS$3061,SecVar,"co2",SecFuel,$B3146)+SUMIF($B$756:$B$764,$B3146,AS$756:AS$764)</f>
        <v/>
      </c>
      <c r="AT3146" s="62">
        <f>SUMIFS(AT$1003:AT$3061,SecVar,"co2",SecFuel,$B3146)+SUMIF($B$756:$B$764,$B3146,AT$756:AT$764)</f>
        <v/>
      </c>
      <c r="AU3146" s="62">
        <f>SUMIFS(AU$1003:AU$3061,SecVar,"co2",SecFuel,$B3146)+SUMIF($B$756:$B$764,$B3146,AU$756:AU$764)</f>
        <v/>
      </c>
      <c r="AV3146" s="62">
        <f>SUMIFS(AV$1003:AV$3061,SecVar,"co2",SecFuel,$B3146)+SUMIF($B$756:$B$764,$B3146,AV$756:AV$764)</f>
        <v/>
      </c>
      <c r="AW3146" s="62">
        <f>SUMIFS(AW$1003:AW$3061,SecVar,"co2",SecFuel,$B3146)+SUMIF($B$756:$B$764,$B3146,AW$756:AW$764)</f>
        <v/>
      </c>
      <c r="AX3146" s="62">
        <f>SUMIFS(AX$1003:AX$3061,SecVar,"co2",SecFuel,$B3146)+SUMIF($B$756:$B$764,$B3146,AX$756:AX$764)</f>
        <v/>
      </c>
      <c r="AY3146" s="62">
        <f>SUMIFS(AY$1003:AY$3061,SecVar,"co2",SecFuel,$B3146)+SUMIF($B$756:$B$764,$B3146,AY$756:AY$764)</f>
        <v/>
      </c>
      <c r="AZ3146" s="62">
        <f>SUMIFS(AZ$1003:AZ$3061,SecVar,"co2",SecFuel,$B3146)+SUMIF($B$756:$B$764,$B3146,AZ$756:AZ$764)</f>
        <v/>
      </c>
      <c r="BA3146" s="62">
        <f>SUMIFS(BA$1003:BA$3061,SecVar,"co2",SecFuel,$B3146)+SUMIF($B$756:$B$764,$B3146,BA$756:BA$764)</f>
        <v/>
      </c>
    </row>
    <row r="3147" hidden="1" outlineLevel="1">
      <c r="A3147" s="14" t="inlineStr">
        <is>
          <t>co2</t>
        </is>
      </c>
      <c r="B3147" s="14" t="inlineStr">
        <is>
          <t>nga</t>
        </is>
      </c>
      <c r="C3147" s="14" t="inlineStr">
        <is>
          <t>all</t>
        </is>
      </c>
      <c r="H3147" s="14">
        <f>INDEX(VarLab,MATCH($A3147,VarKey,0))&amp;INDEX(MemLab,MATCH($C3147&amp;"|"&amp;$B3147,MemKey,0))</f>
        <v/>
      </c>
      <c r="I3147" s="14">
        <f>INDEX(VarUnit,MATCH($A3147,VarKey,0))</f>
        <v/>
      </c>
      <c r="J3147" s="14">
        <f>INDEX(VarSrc,MATCH($A3147,VarKey,0))</f>
        <v/>
      </c>
      <c r="K3147" s="11">
        <f>CodePrefix&amp;$A3147&amp;IF($C3147="","","."&amp;$C3147&amp;"."&amp;$B3147)&amp;INDEX(VarEnd,MATCH($A3147,VarKey,0))&amp;K$5</f>
        <v/>
      </c>
      <c r="L3147" s="61">
        <f>SUMIFS(L$1003:L$3061,SecVar,"co2",SecFuel,$B3147)+SUMIF($B$756:$B$764,$B3147,L$756:L$764)</f>
        <v/>
      </c>
      <c r="M3147" s="62">
        <f>SUMIFS(M$1003:M$3061,SecVar,"co2",SecFuel,$B3147)+SUMIF($B$756:$B$764,$B3147,M$756:M$764)</f>
        <v/>
      </c>
      <c r="N3147" s="62">
        <f>SUMIFS(N$1003:N$3061,SecVar,"co2",SecFuel,$B3147)+SUMIF($B$756:$B$764,$B3147,N$756:N$764)</f>
        <v/>
      </c>
      <c r="O3147" s="62">
        <f>SUMIFS(O$1003:O$3061,SecVar,"co2",SecFuel,$B3147)+SUMIF($B$756:$B$764,$B3147,O$756:O$764)</f>
        <v/>
      </c>
      <c r="P3147" s="62">
        <f>SUMIFS(P$1003:P$3061,SecVar,"co2",SecFuel,$B3147)+SUMIF($B$756:$B$764,$B3147,P$756:P$764)</f>
        <v/>
      </c>
      <c r="Q3147" s="62">
        <f>SUMIFS(Q$1003:Q$3061,SecVar,"co2",SecFuel,$B3147)+SUMIF($B$756:$B$764,$B3147,Q$756:Q$764)</f>
        <v/>
      </c>
      <c r="R3147" s="62">
        <f>SUMIFS(R$1003:R$3061,SecVar,"co2",SecFuel,$B3147)+SUMIF($B$756:$B$764,$B3147,R$756:R$764)</f>
        <v/>
      </c>
      <c r="S3147" s="62">
        <f>SUMIFS(S$1003:S$3061,SecVar,"co2",SecFuel,$B3147)+SUMIF($B$756:$B$764,$B3147,S$756:S$764)</f>
        <v/>
      </c>
      <c r="T3147" s="62">
        <f>SUMIFS(T$1003:T$3061,SecVar,"co2",SecFuel,$B3147)+SUMIF($B$756:$B$764,$B3147,T$756:T$764)</f>
        <v/>
      </c>
      <c r="U3147" s="62">
        <f>SUMIFS(U$1003:U$3061,SecVar,"co2",SecFuel,$B3147)+SUMIF($B$756:$B$764,$B3147,U$756:U$764)</f>
        <v/>
      </c>
      <c r="V3147" s="62">
        <f>SUMIFS(V$1003:V$3061,SecVar,"co2",SecFuel,$B3147)+SUMIF($B$756:$B$764,$B3147,V$756:V$764)</f>
        <v/>
      </c>
      <c r="W3147" s="62">
        <f>SUMIFS(W$1003:W$3061,SecVar,"co2",SecFuel,$B3147)+SUMIF($B$756:$B$764,$B3147,W$756:W$764)</f>
        <v/>
      </c>
      <c r="X3147" s="62">
        <f>SUMIFS(X$1003:X$3061,SecVar,"co2",SecFuel,$B3147)+SUMIF($B$756:$B$764,$B3147,X$756:X$764)</f>
        <v/>
      </c>
      <c r="Y3147" s="62">
        <f>SUMIFS(Y$1003:Y$3061,SecVar,"co2",SecFuel,$B3147)+SUMIF($B$756:$B$764,$B3147,Y$756:Y$764)</f>
        <v/>
      </c>
      <c r="Z3147" s="62">
        <f>SUMIFS(Z$1003:Z$3061,SecVar,"co2",SecFuel,$B3147)+SUMIF($B$756:$B$764,$B3147,Z$756:Z$764)</f>
        <v/>
      </c>
      <c r="AA3147" s="62">
        <f>SUMIFS(AA$1003:AA$3061,SecVar,"co2",SecFuel,$B3147)+SUMIF($B$756:$B$764,$B3147,AA$756:AA$764)</f>
        <v/>
      </c>
      <c r="AB3147" s="62">
        <f>SUMIFS(AB$1003:AB$3061,SecVar,"co2",SecFuel,$B3147)+SUMIF($B$756:$B$764,$B3147,AB$756:AB$764)</f>
        <v/>
      </c>
      <c r="AC3147" s="62">
        <f>SUMIFS(AC$1003:AC$3061,SecVar,"co2",SecFuel,$B3147)+SUMIF($B$756:$B$764,$B3147,AC$756:AC$764)</f>
        <v/>
      </c>
      <c r="AD3147" s="62">
        <f>SUMIFS(AD$1003:AD$3061,SecVar,"co2",SecFuel,$B3147)+SUMIF($B$756:$B$764,$B3147,AD$756:AD$764)</f>
        <v/>
      </c>
      <c r="AE3147" s="62">
        <f>SUMIFS(AE$1003:AE$3061,SecVar,"co2",SecFuel,$B3147)+SUMIF($B$756:$B$764,$B3147,AE$756:AE$764)</f>
        <v/>
      </c>
      <c r="AG3147" s="11">
        <f>CodePrefix&amp;$A3147&amp;IF($C3147="","","."&amp;$C3147&amp;"."&amp;$B3147)&amp;INDEX(VarEnd,MATCH($A3147,VarKey,0))&amp;AG$5</f>
        <v/>
      </c>
      <c r="AH3147" s="61">
        <f>SUMIFS(AH$1003:AH$3061,SecVar,"co2",SecFuel,$B3147)+SUMIF($B$756:$B$764,$B3147,AH$756:AH$764)</f>
        <v/>
      </c>
      <c r="AI3147" s="62">
        <f>SUMIFS(AI$1003:AI$3061,SecVar,"co2",SecFuel,$B3147)+SUMIF($B$756:$B$764,$B3147,AI$756:AI$764)</f>
        <v/>
      </c>
      <c r="AJ3147" s="62">
        <f>SUMIFS(AJ$1003:AJ$3061,SecVar,"co2",SecFuel,$B3147)+SUMIF($B$756:$B$764,$B3147,AJ$756:AJ$764)</f>
        <v/>
      </c>
      <c r="AK3147" s="62">
        <f>SUMIFS(AK$1003:AK$3061,SecVar,"co2",SecFuel,$B3147)+SUMIF($B$756:$B$764,$B3147,AK$756:AK$764)</f>
        <v/>
      </c>
      <c r="AL3147" s="62">
        <f>SUMIFS(AL$1003:AL$3061,SecVar,"co2",SecFuel,$B3147)+SUMIF($B$756:$B$764,$B3147,AL$756:AL$764)</f>
        <v/>
      </c>
      <c r="AM3147" s="62">
        <f>SUMIFS(AM$1003:AM$3061,SecVar,"co2",SecFuel,$B3147)+SUMIF($B$756:$B$764,$B3147,AM$756:AM$764)</f>
        <v/>
      </c>
      <c r="AN3147" s="62">
        <f>SUMIFS(AN$1003:AN$3061,SecVar,"co2",SecFuel,$B3147)+SUMIF($B$756:$B$764,$B3147,AN$756:AN$764)</f>
        <v/>
      </c>
      <c r="AO3147" s="62">
        <f>SUMIFS(AO$1003:AO$3061,SecVar,"co2",SecFuel,$B3147)+SUMIF($B$756:$B$764,$B3147,AO$756:AO$764)</f>
        <v/>
      </c>
      <c r="AP3147" s="62">
        <f>SUMIFS(AP$1003:AP$3061,SecVar,"co2",SecFuel,$B3147)+SUMIF($B$756:$B$764,$B3147,AP$756:AP$764)</f>
        <v/>
      </c>
      <c r="AQ3147" s="62">
        <f>SUMIFS(AQ$1003:AQ$3061,SecVar,"co2",SecFuel,$B3147)+SUMIF($B$756:$B$764,$B3147,AQ$756:AQ$764)</f>
        <v/>
      </c>
      <c r="AR3147" s="62">
        <f>SUMIFS(AR$1003:AR$3061,SecVar,"co2",SecFuel,$B3147)+SUMIF($B$756:$B$764,$B3147,AR$756:AR$764)</f>
        <v/>
      </c>
      <c r="AS3147" s="62">
        <f>SUMIFS(AS$1003:AS$3061,SecVar,"co2",SecFuel,$B3147)+SUMIF($B$756:$B$764,$B3147,AS$756:AS$764)</f>
        <v/>
      </c>
      <c r="AT3147" s="62">
        <f>SUMIFS(AT$1003:AT$3061,SecVar,"co2",SecFuel,$B3147)+SUMIF($B$756:$B$764,$B3147,AT$756:AT$764)</f>
        <v/>
      </c>
      <c r="AU3147" s="62">
        <f>SUMIFS(AU$1003:AU$3061,SecVar,"co2",SecFuel,$B3147)+SUMIF($B$756:$B$764,$B3147,AU$756:AU$764)</f>
        <v/>
      </c>
      <c r="AV3147" s="62">
        <f>SUMIFS(AV$1003:AV$3061,SecVar,"co2",SecFuel,$B3147)+SUMIF($B$756:$B$764,$B3147,AV$756:AV$764)</f>
        <v/>
      </c>
      <c r="AW3147" s="62">
        <f>SUMIFS(AW$1003:AW$3061,SecVar,"co2",SecFuel,$B3147)+SUMIF($B$756:$B$764,$B3147,AW$756:AW$764)</f>
        <v/>
      </c>
      <c r="AX3147" s="62">
        <f>SUMIFS(AX$1003:AX$3061,SecVar,"co2",SecFuel,$B3147)+SUMIF($B$756:$B$764,$B3147,AX$756:AX$764)</f>
        <v/>
      </c>
      <c r="AY3147" s="62">
        <f>SUMIFS(AY$1003:AY$3061,SecVar,"co2",SecFuel,$B3147)+SUMIF($B$756:$B$764,$B3147,AY$756:AY$764)</f>
        <v/>
      </c>
      <c r="AZ3147" s="62">
        <f>SUMIFS(AZ$1003:AZ$3061,SecVar,"co2",SecFuel,$B3147)+SUMIF($B$756:$B$764,$B3147,AZ$756:AZ$764)</f>
        <v/>
      </c>
      <c r="BA3147" s="62">
        <f>SUMIFS(BA$1003:BA$3061,SecVar,"co2",SecFuel,$B3147)+SUMIF($B$756:$B$764,$B3147,BA$756:BA$764)</f>
        <v/>
      </c>
    </row>
    <row r="3148" hidden="1" outlineLevel="1">
      <c r="A3148" s="14" t="inlineStr">
        <is>
          <t>co2</t>
        </is>
      </c>
      <c r="B3148" s="14" t="inlineStr">
        <is>
          <t>gso</t>
        </is>
      </c>
      <c r="C3148" s="14" t="inlineStr">
        <is>
          <t>all</t>
        </is>
      </c>
      <c r="H3148" s="14">
        <f>INDEX(VarLab,MATCH($A3148,VarKey,0))&amp;INDEX(MemLab,MATCH($C3148&amp;"|"&amp;$B3148,MemKey,0))</f>
        <v/>
      </c>
      <c r="I3148" s="14">
        <f>INDEX(VarUnit,MATCH($A3148,VarKey,0))</f>
        <v/>
      </c>
      <c r="J3148" s="14">
        <f>INDEX(VarSrc,MATCH($A3148,VarKey,0))</f>
        <v/>
      </c>
      <c r="K3148" s="11">
        <f>CodePrefix&amp;$A3148&amp;IF($C3148="","","."&amp;$C3148&amp;"."&amp;$B3148)&amp;INDEX(VarEnd,MATCH($A3148,VarKey,0))&amp;K$5</f>
        <v/>
      </c>
      <c r="L3148" s="61">
        <f>SUMIFS(L$1003:L$3061,SecVar,"co2",SecFuel,$B3148)+SUMIF($B$756:$B$764,$B3148,L$756:L$764)</f>
        <v/>
      </c>
      <c r="M3148" s="62">
        <f>SUMIFS(M$1003:M$3061,SecVar,"co2",SecFuel,$B3148)+SUMIF($B$756:$B$764,$B3148,M$756:M$764)</f>
        <v/>
      </c>
      <c r="N3148" s="62">
        <f>SUMIFS(N$1003:N$3061,SecVar,"co2",SecFuel,$B3148)+SUMIF($B$756:$B$764,$B3148,N$756:N$764)</f>
        <v/>
      </c>
      <c r="O3148" s="62">
        <f>SUMIFS(O$1003:O$3061,SecVar,"co2",SecFuel,$B3148)+SUMIF($B$756:$B$764,$B3148,O$756:O$764)</f>
        <v/>
      </c>
      <c r="P3148" s="62">
        <f>SUMIFS(P$1003:P$3061,SecVar,"co2",SecFuel,$B3148)+SUMIF($B$756:$B$764,$B3148,P$756:P$764)</f>
        <v/>
      </c>
      <c r="Q3148" s="62">
        <f>SUMIFS(Q$1003:Q$3061,SecVar,"co2",SecFuel,$B3148)+SUMIF($B$756:$B$764,$B3148,Q$756:Q$764)</f>
        <v/>
      </c>
      <c r="R3148" s="62">
        <f>SUMIFS(R$1003:R$3061,SecVar,"co2",SecFuel,$B3148)+SUMIF($B$756:$B$764,$B3148,R$756:R$764)</f>
        <v/>
      </c>
      <c r="S3148" s="62">
        <f>SUMIFS(S$1003:S$3061,SecVar,"co2",SecFuel,$B3148)+SUMIF($B$756:$B$764,$B3148,S$756:S$764)</f>
        <v/>
      </c>
      <c r="T3148" s="62">
        <f>SUMIFS(T$1003:T$3061,SecVar,"co2",SecFuel,$B3148)+SUMIF($B$756:$B$764,$B3148,T$756:T$764)</f>
        <v/>
      </c>
      <c r="U3148" s="62">
        <f>SUMIFS(U$1003:U$3061,SecVar,"co2",SecFuel,$B3148)+SUMIF($B$756:$B$764,$B3148,U$756:U$764)</f>
        <v/>
      </c>
      <c r="V3148" s="62">
        <f>SUMIFS(V$1003:V$3061,SecVar,"co2",SecFuel,$B3148)+SUMIF($B$756:$B$764,$B3148,V$756:V$764)</f>
        <v/>
      </c>
      <c r="W3148" s="62">
        <f>SUMIFS(W$1003:W$3061,SecVar,"co2",SecFuel,$B3148)+SUMIF($B$756:$B$764,$B3148,W$756:W$764)</f>
        <v/>
      </c>
      <c r="X3148" s="62">
        <f>SUMIFS(X$1003:X$3061,SecVar,"co2",SecFuel,$B3148)+SUMIF($B$756:$B$764,$B3148,X$756:X$764)</f>
        <v/>
      </c>
      <c r="Y3148" s="62">
        <f>SUMIFS(Y$1003:Y$3061,SecVar,"co2",SecFuel,$B3148)+SUMIF($B$756:$B$764,$B3148,Y$756:Y$764)</f>
        <v/>
      </c>
      <c r="Z3148" s="62">
        <f>SUMIFS(Z$1003:Z$3061,SecVar,"co2",SecFuel,$B3148)+SUMIF($B$756:$B$764,$B3148,Z$756:Z$764)</f>
        <v/>
      </c>
      <c r="AA3148" s="62">
        <f>SUMIFS(AA$1003:AA$3061,SecVar,"co2",SecFuel,$B3148)+SUMIF($B$756:$B$764,$B3148,AA$756:AA$764)</f>
        <v/>
      </c>
      <c r="AB3148" s="62">
        <f>SUMIFS(AB$1003:AB$3061,SecVar,"co2",SecFuel,$B3148)+SUMIF($B$756:$B$764,$B3148,AB$756:AB$764)</f>
        <v/>
      </c>
      <c r="AC3148" s="62">
        <f>SUMIFS(AC$1003:AC$3061,SecVar,"co2",SecFuel,$B3148)+SUMIF($B$756:$B$764,$B3148,AC$756:AC$764)</f>
        <v/>
      </c>
      <c r="AD3148" s="62">
        <f>SUMIFS(AD$1003:AD$3061,SecVar,"co2",SecFuel,$B3148)+SUMIF($B$756:$B$764,$B3148,AD$756:AD$764)</f>
        <v/>
      </c>
      <c r="AE3148" s="62">
        <f>SUMIFS(AE$1003:AE$3061,SecVar,"co2",SecFuel,$B3148)+SUMIF($B$756:$B$764,$B3148,AE$756:AE$764)</f>
        <v/>
      </c>
      <c r="AG3148" s="11">
        <f>CodePrefix&amp;$A3148&amp;IF($C3148="","","."&amp;$C3148&amp;"."&amp;$B3148)&amp;INDEX(VarEnd,MATCH($A3148,VarKey,0))&amp;AG$5</f>
        <v/>
      </c>
      <c r="AH3148" s="61">
        <f>SUMIFS(AH$1003:AH$3061,SecVar,"co2",SecFuel,$B3148)+SUMIF($B$756:$B$764,$B3148,AH$756:AH$764)</f>
        <v/>
      </c>
      <c r="AI3148" s="62">
        <f>SUMIFS(AI$1003:AI$3061,SecVar,"co2",SecFuel,$B3148)+SUMIF($B$756:$B$764,$B3148,AI$756:AI$764)</f>
        <v/>
      </c>
      <c r="AJ3148" s="62">
        <f>SUMIFS(AJ$1003:AJ$3061,SecVar,"co2",SecFuel,$B3148)+SUMIF($B$756:$B$764,$B3148,AJ$756:AJ$764)</f>
        <v/>
      </c>
      <c r="AK3148" s="62">
        <f>SUMIFS(AK$1003:AK$3061,SecVar,"co2",SecFuel,$B3148)+SUMIF($B$756:$B$764,$B3148,AK$756:AK$764)</f>
        <v/>
      </c>
      <c r="AL3148" s="62">
        <f>SUMIFS(AL$1003:AL$3061,SecVar,"co2",SecFuel,$B3148)+SUMIF($B$756:$B$764,$B3148,AL$756:AL$764)</f>
        <v/>
      </c>
      <c r="AM3148" s="62">
        <f>SUMIFS(AM$1003:AM$3061,SecVar,"co2",SecFuel,$B3148)+SUMIF($B$756:$B$764,$B3148,AM$756:AM$764)</f>
        <v/>
      </c>
      <c r="AN3148" s="62">
        <f>SUMIFS(AN$1003:AN$3061,SecVar,"co2",SecFuel,$B3148)+SUMIF($B$756:$B$764,$B3148,AN$756:AN$764)</f>
        <v/>
      </c>
      <c r="AO3148" s="62">
        <f>SUMIFS(AO$1003:AO$3061,SecVar,"co2",SecFuel,$B3148)+SUMIF($B$756:$B$764,$B3148,AO$756:AO$764)</f>
        <v/>
      </c>
      <c r="AP3148" s="62">
        <f>SUMIFS(AP$1003:AP$3061,SecVar,"co2",SecFuel,$B3148)+SUMIF($B$756:$B$764,$B3148,AP$756:AP$764)</f>
        <v/>
      </c>
      <c r="AQ3148" s="62">
        <f>SUMIFS(AQ$1003:AQ$3061,SecVar,"co2",SecFuel,$B3148)+SUMIF($B$756:$B$764,$B3148,AQ$756:AQ$764)</f>
        <v/>
      </c>
      <c r="AR3148" s="62">
        <f>SUMIFS(AR$1003:AR$3061,SecVar,"co2",SecFuel,$B3148)+SUMIF($B$756:$B$764,$B3148,AR$756:AR$764)</f>
        <v/>
      </c>
      <c r="AS3148" s="62">
        <f>SUMIFS(AS$1003:AS$3061,SecVar,"co2",SecFuel,$B3148)+SUMIF($B$756:$B$764,$B3148,AS$756:AS$764)</f>
        <v/>
      </c>
      <c r="AT3148" s="62">
        <f>SUMIFS(AT$1003:AT$3061,SecVar,"co2",SecFuel,$B3148)+SUMIF($B$756:$B$764,$B3148,AT$756:AT$764)</f>
        <v/>
      </c>
      <c r="AU3148" s="62">
        <f>SUMIFS(AU$1003:AU$3061,SecVar,"co2",SecFuel,$B3148)+SUMIF($B$756:$B$764,$B3148,AU$756:AU$764)</f>
        <v/>
      </c>
      <c r="AV3148" s="62">
        <f>SUMIFS(AV$1003:AV$3061,SecVar,"co2",SecFuel,$B3148)+SUMIF($B$756:$B$764,$B3148,AV$756:AV$764)</f>
        <v/>
      </c>
      <c r="AW3148" s="62">
        <f>SUMIFS(AW$1003:AW$3061,SecVar,"co2",SecFuel,$B3148)+SUMIF($B$756:$B$764,$B3148,AW$756:AW$764)</f>
        <v/>
      </c>
      <c r="AX3148" s="62">
        <f>SUMIFS(AX$1003:AX$3061,SecVar,"co2",SecFuel,$B3148)+SUMIF($B$756:$B$764,$B3148,AX$756:AX$764)</f>
        <v/>
      </c>
      <c r="AY3148" s="62">
        <f>SUMIFS(AY$1003:AY$3061,SecVar,"co2",SecFuel,$B3148)+SUMIF($B$756:$B$764,$B3148,AY$756:AY$764)</f>
        <v/>
      </c>
      <c r="AZ3148" s="62">
        <f>SUMIFS(AZ$1003:AZ$3061,SecVar,"co2",SecFuel,$B3148)+SUMIF($B$756:$B$764,$B3148,AZ$756:AZ$764)</f>
        <v/>
      </c>
      <c r="BA3148" s="62">
        <f>SUMIFS(BA$1003:BA$3061,SecVar,"co2",SecFuel,$B3148)+SUMIF($B$756:$B$764,$B3148,BA$756:BA$764)</f>
        <v/>
      </c>
    </row>
    <row r="3149" hidden="1" outlineLevel="1">
      <c r="A3149" s="14" t="inlineStr">
        <is>
          <t>co2</t>
        </is>
      </c>
      <c r="B3149" s="14" t="inlineStr">
        <is>
          <t>die</t>
        </is>
      </c>
      <c r="C3149" s="14" t="inlineStr">
        <is>
          <t>all</t>
        </is>
      </c>
      <c r="H3149" s="14">
        <f>INDEX(VarLab,MATCH($A3149,VarKey,0))&amp;INDEX(MemLab,MATCH($C3149&amp;"|"&amp;$B3149,MemKey,0))</f>
        <v/>
      </c>
      <c r="I3149" s="14">
        <f>INDEX(VarUnit,MATCH($A3149,VarKey,0))</f>
        <v/>
      </c>
      <c r="J3149" s="14">
        <f>INDEX(VarSrc,MATCH($A3149,VarKey,0))</f>
        <v/>
      </c>
      <c r="K3149" s="11">
        <f>CodePrefix&amp;$A3149&amp;IF($C3149="","","."&amp;$C3149&amp;"."&amp;$B3149)&amp;INDEX(VarEnd,MATCH($A3149,VarKey,0))&amp;K$5</f>
        <v/>
      </c>
      <c r="L3149" s="61">
        <f>SUMIFS(L$1003:L$3061,SecVar,"co2",SecFuel,$B3149)+SUMIF($B$756:$B$764,$B3149,L$756:L$764)</f>
        <v/>
      </c>
      <c r="M3149" s="62">
        <f>SUMIFS(M$1003:M$3061,SecVar,"co2",SecFuel,$B3149)+SUMIF($B$756:$B$764,$B3149,M$756:M$764)</f>
        <v/>
      </c>
      <c r="N3149" s="62">
        <f>SUMIFS(N$1003:N$3061,SecVar,"co2",SecFuel,$B3149)+SUMIF($B$756:$B$764,$B3149,N$756:N$764)</f>
        <v/>
      </c>
      <c r="O3149" s="62">
        <f>SUMIFS(O$1003:O$3061,SecVar,"co2",SecFuel,$B3149)+SUMIF($B$756:$B$764,$B3149,O$756:O$764)</f>
        <v/>
      </c>
      <c r="P3149" s="62">
        <f>SUMIFS(P$1003:P$3061,SecVar,"co2",SecFuel,$B3149)+SUMIF($B$756:$B$764,$B3149,P$756:P$764)</f>
        <v/>
      </c>
      <c r="Q3149" s="62">
        <f>SUMIFS(Q$1003:Q$3061,SecVar,"co2",SecFuel,$B3149)+SUMIF($B$756:$B$764,$B3149,Q$756:Q$764)</f>
        <v/>
      </c>
      <c r="R3149" s="62">
        <f>SUMIFS(R$1003:R$3061,SecVar,"co2",SecFuel,$B3149)+SUMIF($B$756:$B$764,$B3149,R$756:R$764)</f>
        <v/>
      </c>
      <c r="S3149" s="62">
        <f>SUMIFS(S$1003:S$3061,SecVar,"co2",SecFuel,$B3149)+SUMIF($B$756:$B$764,$B3149,S$756:S$764)</f>
        <v/>
      </c>
      <c r="T3149" s="62">
        <f>SUMIFS(T$1003:T$3061,SecVar,"co2",SecFuel,$B3149)+SUMIF($B$756:$B$764,$B3149,T$756:T$764)</f>
        <v/>
      </c>
      <c r="U3149" s="62">
        <f>SUMIFS(U$1003:U$3061,SecVar,"co2",SecFuel,$B3149)+SUMIF($B$756:$B$764,$B3149,U$756:U$764)</f>
        <v/>
      </c>
      <c r="V3149" s="62">
        <f>SUMIFS(V$1003:V$3061,SecVar,"co2",SecFuel,$B3149)+SUMIF($B$756:$B$764,$B3149,V$756:V$764)</f>
        <v/>
      </c>
      <c r="W3149" s="62">
        <f>SUMIFS(W$1003:W$3061,SecVar,"co2",SecFuel,$B3149)+SUMIF($B$756:$B$764,$B3149,W$756:W$764)</f>
        <v/>
      </c>
      <c r="X3149" s="62">
        <f>SUMIFS(X$1003:X$3061,SecVar,"co2",SecFuel,$B3149)+SUMIF($B$756:$B$764,$B3149,X$756:X$764)</f>
        <v/>
      </c>
      <c r="Y3149" s="62">
        <f>SUMIFS(Y$1003:Y$3061,SecVar,"co2",SecFuel,$B3149)+SUMIF($B$756:$B$764,$B3149,Y$756:Y$764)</f>
        <v/>
      </c>
      <c r="Z3149" s="62">
        <f>SUMIFS(Z$1003:Z$3061,SecVar,"co2",SecFuel,$B3149)+SUMIF($B$756:$B$764,$B3149,Z$756:Z$764)</f>
        <v/>
      </c>
      <c r="AA3149" s="62">
        <f>SUMIFS(AA$1003:AA$3061,SecVar,"co2",SecFuel,$B3149)+SUMIF($B$756:$B$764,$B3149,AA$756:AA$764)</f>
        <v/>
      </c>
      <c r="AB3149" s="62">
        <f>SUMIFS(AB$1003:AB$3061,SecVar,"co2",SecFuel,$B3149)+SUMIF($B$756:$B$764,$B3149,AB$756:AB$764)</f>
        <v/>
      </c>
      <c r="AC3149" s="62">
        <f>SUMIFS(AC$1003:AC$3061,SecVar,"co2",SecFuel,$B3149)+SUMIF($B$756:$B$764,$B3149,AC$756:AC$764)</f>
        <v/>
      </c>
      <c r="AD3149" s="62">
        <f>SUMIFS(AD$1003:AD$3061,SecVar,"co2",SecFuel,$B3149)+SUMIF($B$756:$B$764,$B3149,AD$756:AD$764)</f>
        <v/>
      </c>
      <c r="AE3149" s="62">
        <f>SUMIFS(AE$1003:AE$3061,SecVar,"co2",SecFuel,$B3149)+SUMIF($B$756:$B$764,$B3149,AE$756:AE$764)</f>
        <v/>
      </c>
      <c r="AG3149" s="11">
        <f>CodePrefix&amp;$A3149&amp;IF($C3149="","","."&amp;$C3149&amp;"."&amp;$B3149)&amp;INDEX(VarEnd,MATCH($A3149,VarKey,0))&amp;AG$5</f>
        <v/>
      </c>
      <c r="AH3149" s="61">
        <f>SUMIFS(AH$1003:AH$3061,SecVar,"co2",SecFuel,$B3149)+SUMIF($B$756:$B$764,$B3149,AH$756:AH$764)</f>
        <v/>
      </c>
      <c r="AI3149" s="62">
        <f>SUMIFS(AI$1003:AI$3061,SecVar,"co2",SecFuel,$B3149)+SUMIF($B$756:$B$764,$B3149,AI$756:AI$764)</f>
        <v/>
      </c>
      <c r="AJ3149" s="62">
        <f>SUMIFS(AJ$1003:AJ$3061,SecVar,"co2",SecFuel,$B3149)+SUMIF($B$756:$B$764,$B3149,AJ$756:AJ$764)</f>
        <v/>
      </c>
      <c r="AK3149" s="62">
        <f>SUMIFS(AK$1003:AK$3061,SecVar,"co2",SecFuel,$B3149)+SUMIF($B$756:$B$764,$B3149,AK$756:AK$764)</f>
        <v/>
      </c>
      <c r="AL3149" s="62">
        <f>SUMIFS(AL$1003:AL$3061,SecVar,"co2",SecFuel,$B3149)+SUMIF($B$756:$B$764,$B3149,AL$756:AL$764)</f>
        <v/>
      </c>
      <c r="AM3149" s="62">
        <f>SUMIFS(AM$1003:AM$3061,SecVar,"co2",SecFuel,$B3149)+SUMIF($B$756:$B$764,$B3149,AM$756:AM$764)</f>
        <v/>
      </c>
      <c r="AN3149" s="62">
        <f>SUMIFS(AN$1003:AN$3061,SecVar,"co2",SecFuel,$B3149)+SUMIF($B$756:$B$764,$B3149,AN$756:AN$764)</f>
        <v/>
      </c>
      <c r="AO3149" s="62">
        <f>SUMIFS(AO$1003:AO$3061,SecVar,"co2",SecFuel,$B3149)+SUMIF($B$756:$B$764,$B3149,AO$756:AO$764)</f>
        <v/>
      </c>
      <c r="AP3149" s="62">
        <f>SUMIFS(AP$1003:AP$3061,SecVar,"co2",SecFuel,$B3149)+SUMIF($B$756:$B$764,$B3149,AP$756:AP$764)</f>
        <v/>
      </c>
      <c r="AQ3149" s="62">
        <f>SUMIFS(AQ$1003:AQ$3061,SecVar,"co2",SecFuel,$B3149)+SUMIF($B$756:$B$764,$B3149,AQ$756:AQ$764)</f>
        <v/>
      </c>
      <c r="AR3149" s="62">
        <f>SUMIFS(AR$1003:AR$3061,SecVar,"co2",SecFuel,$B3149)+SUMIF($B$756:$B$764,$B3149,AR$756:AR$764)</f>
        <v/>
      </c>
      <c r="AS3149" s="62">
        <f>SUMIFS(AS$1003:AS$3061,SecVar,"co2",SecFuel,$B3149)+SUMIF($B$756:$B$764,$B3149,AS$756:AS$764)</f>
        <v/>
      </c>
      <c r="AT3149" s="62">
        <f>SUMIFS(AT$1003:AT$3061,SecVar,"co2",SecFuel,$B3149)+SUMIF($B$756:$B$764,$B3149,AT$756:AT$764)</f>
        <v/>
      </c>
      <c r="AU3149" s="62">
        <f>SUMIFS(AU$1003:AU$3061,SecVar,"co2",SecFuel,$B3149)+SUMIF($B$756:$B$764,$B3149,AU$756:AU$764)</f>
        <v/>
      </c>
      <c r="AV3149" s="62">
        <f>SUMIFS(AV$1003:AV$3061,SecVar,"co2",SecFuel,$B3149)+SUMIF($B$756:$B$764,$B3149,AV$756:AV$764)</f>
        <v/>
      </c>
      <c r="AW3149" s="62">
        <f>SUMIFS(AW$1003:AW$3061,SecVar,"co2",SecFuel,$B3149)+SUMIF($B$756:$B$764,$B3149,AW$756:AW$764)</f>
        <v/>
      </c>
      <c r="AX3149" s="62">
        <f>SUMIFS(AX$1003:AX$3061,SecVar,"co2",SecFuel,$B3149)+SUMIF($B$756:$B$764,$B3149,AX$756:AX$764)</f>
        <v/>
      </c>
      <c r="AY3149" s="62">
        <f>SUMIFS(AY$1003:AY$3061,SecVar,"co2",SecFuel,$B3149)+SUMIF($B$756:$B$764,$B3149,AY$756:AY$764)</f>
        <v/>
      </c>
      <c r="AZ3149" s="62">
        <f>SUMIFS(AZ$1003:AZ$3061,SecVar,"co2",SecFuel,$B3149)+SUMIF($B$756:$B$764,$B3149,AZ$756:AZ$764)</f>
        <v/>
      </c>
      <c r="BA3149" s="62">
        <f>SUMIFS(BA$1003:BA$3061,SecVar,"co2",SecFuel,$B3149)+SUMIF($B$756:$B$764,$B3149,BA$756:BA$764)</f>
        <v/>
      </c>
    </row>
    <row r="3150" hidden="1" outlineLevel="1">
      <c r="A3150" s="14" t="inlineStr">
        <is>
          <t>co2</t>
        </is>
      </c>
      <c r="B3150" s="14" t="inlineStr">
        <is>
          <t>lpg</t>
        </is>
      </c>
      <c r="C3150" s="14" t="inlineStr">
        <is>
          <t>all</t>
        </is>
      </c>
      <c r="H3150" s="14">
        <f>INDEX(VarLab,MATCH($A3150,VarKey,0))&amp;INDEX(MemLab,MATCH($C3150&amp;"|"&amp;$B3150,MemKey,0))</f>
        <v/>
      </c>
      <c r="I3150" s="14">
        <f>INDEX(VarUnit,MATCH($A3150,VarKey,0))</f>
        <v/>
      </c>
      <c r="J3150" s="14">
        <f>INDEX(VarSrc,MATCH($A3150,VarKey,0))</f>
        <v/>
      </c>
      <c r="K3150" s="11">
        <f>CodePrefix&amp;$A3150&amp;IF($C3150="","","."&amp;$C3150&amp;"."&amp;$B3150)&amp;INDEX(VarEnd,MATCH($A3150,VarKey,0))&amp;K$5</f>
        <v/>
      </c>
      <c r="L3150" s="61">
        <f>SUMIFS(L$1003:L$3061,SecVar,"co2",SecFuel,$B3150)+SUMIF($B$756:$B$764,$B3150,L$756:L$764)</f>
        <v/>
      </c>
      <c r="M3150" s="62">
        <f>SUMIFS(M$1003:M$3061,SecVar,"co2",SecFuel,$B3150)+SUMIF($B$756:$B$764,$B3150,M$756:M$764)</f>
        <v/>
      </c>
      <c r="N3150" s="62">
        <f>SUMIFS(N$1003:N$3061,SecVar,"co2",SecFuel,$B3150)+SUMIF($B$756:$B$764,$B3150,N$756:N$764)</f>
        <v/>
      </c>
      <c r="O3150" s="62">
        <f>SUMIFS(O$1003:O$3061,SecVar,"co2",SecFuel,$B3150)+SUMIF($B$756:$B$764,$B3150,O$756:O$764)</f>
        <v/>
      </c>
      <c r="P3150" s="62">
        <f>SUMIFS(P$1003:P$3061,SecVar,"co2",SecFuel,$B3150)+SUMIF($B$756:$B$764,$B3150,P$756:P$764)</f>
        <v/>
      </c>
      <c r="Q3150" s="62">
        <f>SUMIFS(Q$1003:Q$3061,SecVar,"co2",SecFuel,$B3150)+SUMIF($B$756:$B$764,$B3150,Q$756:Q$764)</f>
        <v/>
      </c>
      <c r="R3150" s="62">
        <f>SUMIFS(R$1003:R$3061,SecVar,"co2",SecFuel,$B3150)+SUMIF($B$756:$B$764,$B3150,R$756:R$764)</f>
        <v/>
      </c>
      <c r="S3150" s="62">
        <f>SUMIFS(S$1003:S$3061,SecVar,"co2",SecFuel,$B3150)+SUMIF($B$756:$B$764,$B3150,S$756:S$764)</f>
        <v/>
      </c>
      <c r="T3150" s="62">
        <f>SUMIFS(T$1003:T$3061,SecVar,"co2",SecFuel,$B3150)+SUMIF($B$756:$B$764,$B3150,T$756:T$764)</f>
        <v/>
      </c>
      <c r="U3150" s="62">
        <f>SUMIFS(U$1003:U$3061,SecVar,"co2",SecFuel,$B3150)+SUMIF($B$756:$B$764,$B3150,U$756:U$764)</f>
        <v/>
      </c>
      <c r="V3150" s="62">
        <f>SUMIFS(V$1003:V$3061,SecVar,"co2",SecFuel,$B3150)+SUMIF($B$756:$B$764,$B3150,V$756:V$764)</f>
        <v/>
      </c>
      <c r="W3150" s="62">
        <f>SUMIFS(W$1003:W$3061,SecVar,"co2",SecFuel,$B3150)+SUMIF($B$756:$B$764,$B3150,W$756:W$764)</f>
        <v/>
      </c>
      <c r="X3150" s="62">
        <f>SUMIFS(X$1003:X$3061,SecVar,"co2",SecFuel,$B3150)+SUMIF($B$756:$B$764,$B3150,X$756:X$764)</f>
        <v/>
      </c>
      <c r="Y3150" s="62">
        <f>SUMIFS(Y$1003:Y$3061,SecVar,"co2",SecFuel,$B3150)+SUMIF($B$756:$B$764,$B3150,Y$756:Y$764)</f>
        <v/>
      </c>
      <c r="Z3150" s="62">
        <f>SUMIFS(Z$1003:Z$3061,SecVar,"co2",SecFuel,$B3150)+SUMIF($B$756:$B$764,$B3150,Z$756:Z$764)</f>
        <v/>
      </c>
      <c r="AA3150" s="62">
        <f>SUMIFS(AA$1003:AA$3061,SecVar,"co2",SecFuel,$B3150)+SUMIF($B$756:$B$764,$B3150,AA$756:AA$764)</f>
        <v/>
      </c>
      <c r="AB3150" s="62">
        <f>SUMIFS(AB$1003:AB$3061,SecVar,"co2",SecFuel,$B3150)+SUMIF($B$756:$B$764,$B3150,AB$756:AB$764)</f>
        <v/>
      </c>
      <c r="AC3150" s="62">
        <f>SUMIFS(AC$1003:AC$3061,SecVar,"co2",SecFuel,$B3150)+SUMIF($B$756:$B$764,$B3150,AC$756:AC$764)</f>
        <v/>
      </c>
      <c r="AD3150" s="62">
        <f>SUMIFS(AD$1003:AD$3061,SecVar,"co2",SecFuel,$B3150)+SUMIF($B$756:$B$764,$B3150,AD$756:AD$764)</f>
        <v/>
      </c>
      <c r="AE3150" s="62">
        <f>SUMIFS(AE$1003:AE$3061,SecVar,"co2",SecFuel,$B3150)+SUMIF($B$756:$B$764,$B3150,AE$756:AE$764)</f>
        <v/>
      </c>
      <c r="AG3150" s="11">
        <f>CodePrefix&amp;$A3150&amp;IF($C3150="","","."&amp;$C3150&amp;"."&amp;$B3150)&amp;INDEX(VarEnd,MATCH($A3150,VarKey,0))&amp;AG$5</f>
        <v/>
      </c>
      <c r="AH3150" s="61">
        <f>SUMIFS(AH$1003:AH$3061,SecVar,"co2",SecFuel,$B3150)+SUMIF($B$756:$B$764,$B3150,AH$756:AH$764)</f>
        <v/>
      </c>
      <c r="AI3150" s="62">
        <f>SUMIFS(AI$1003:AI$3061,SecVar,"co2",SecFuel,$B3150)+SUMIF($B$756:$B$764,$B3150,AI$756:AI$764)</f>
        <v/>
      </c>
      <c r="AJ3150" s="62">
        <f>SUMIFS(AJ$1003:AJ$3061,SecVar,"co2",SecFuel,$B3150)+SUMIF($B$756:$B$764,$B3150,AJ$756:AJ$764)</f>
        <v/>
      </c>
      <c r="AK3150" s="62">
        <f>SUMIFS(AK$1003:AK$3061,SecVar,"co2",SecFuel,$B3150)+SUMIF($B$756:$B$764,$B3150,AK$756:AK$764)</f>
        <v/>
      </c>
      <c r="AL3150" s="62">
        <f>SUMIFS(AL$1003:AL$3061,SecVar,"co2",SecFuel,$B3150)+SUMIF($B$756:$B$764,$B3150,AL$756:AL$764)</f>
        <v/>
      </c>
      <c r="AM3150" s="62">
        <f>SUMIFS(AM$1003:AM$3061,SecVar,"co2",SecFuel,$B3150)+SUMIF($B$756:$B$764,$B3150,AM$756:AM$764)</f>
        <v/>
      </c>
      <c r="AN3150" s="62">
        <f>SUMIFS(AN$1003:AN$3061,SecVar,"co2",SecFuel,$B3150)+SUMIF($B$756:$B$764,$B3150,AN$756:AN$764)</f>
        <v/>
      </c>
      <c r="AO3150" s="62">
        <f>SUMIFS(AO$1003:AO$3061,SecVar,"co2",SecFuel,$B3150)+SUMIF($B$756:$B$764,$B3150,AO$756:AO$764)</f>
        <v/>
      </c>
      <c r="AP3150" s="62">
        <f>SUMIFS(AP$1003:AP$3061,SecVar,"co2",SecFuel,$B3150)+SUMIF($B$756:$B$764,$B3150,AP$756:AP$764)</f>
        <v/>
      </c>
      <c r="AQ3150" s="62">
        <f>SUMIFS(AQ$1003:AQ$3061,SecVar,"co2",SecFuel,$B3150)+SUMIF($B$756:$B$764,$B3150,AQ$756:AQ$764)</f>
        <v/>
      </c>
      <c r="AR3150" s="62">
        <f>SUMIFS(AR$1003:AR$3061,SecVar,"co2",SecFuel,$B3150)+SUMIF($B$756:$B$764,$B3150,AR$756:AR$764)</f>
        <v/>
      </c>
      <c r="AS3150" s="62">
        <f>SUMIFS(AS$1003:AS$3061,SecVar,"co2",SecFuel,$B3150)+SUMIF($B$756:$B$764,$B3150,AS$756:AS$764)</f>
        <v/>
      </c>
      <c r="AT3150" s="62">
        <f>SUMIFS(AT$1003:AT$3061,SecVar,"co2",SecFuel,$B3150)+SUMIF($B$756:$B$764,$B3150,AT$756:AT$764)</f>
        <v/>
      </c>
      <c r="AU3150" s="62">
        <f>SUMIFS(AU$1003:AU$3061,SecVar,"co2",SecFuel,$B3150)+SUMIF($B$756:$B$764,$B3150,AU$756:AU$764)</f>
        <v/>
      </c>
      <c r="AV3150" s="62">
        <f>SUMIFS(AV$1003:AV$3061,SecVar,"co2",SecFuel,$B3150)+SUMIF($B$756:$B$764,$B3150,AV$756:AV$764)</f>
        <v/>
      </c>
      <c r="AW3150" s="62">
        <f>SUMIFS(AW$1003:AW$3061,SecVar,"co2",SecFuel,$B3150)+SUMIF($B$756:$B$764,$B3150,AW$756:AW$764)</f>
        <v/>
      </c>
      <c r="AX3150" s="62">
        <f>SUMIFS(AX$1003:AX$3061,SecVar,"co2",SecFuel,$B3150)+SUMIF($B$756:$B$764,$B3150,AX$756:AX$764)</f>
        <v/>
      </c>
      <c r="AY3150" s="62">
        <f>SUMIFS(AY$1003:AY$3061,SecVar,"co2",SecFuel,$B3150)+SUMIF($B$756:$B$764,$B3150,AY$756:AY$764)</f>
        <v/>
      </c>
      <c r="AZ3150" s="62">
        <f>SUMIFS(AZ$1003:AZ$3061,SecVar,"co2",SecFuel,$B3150)+SUMIF($B$756:$B$764,$B3150,AZ$756:AZ$764)</f>
        <v/>
      </c>
      <c r="BA3150" s="62">
        <f>SUMIFS(BA$1003:BA$3061,SecVar,"co2",SecFuel,$B3150)+SUMIF($B$756:$B$764,$B3150,BA$756:BA$764)</f>
        <v/>
      </c>
    </row>
    <row r="3151" hidden="1" outlineLevel="1">
      <c r="A3151" s="14" t="inlineStr">
        <is>
          <t>co2</t>
        </is>
      </c>
      <c r="B3151" s="14" t="inlineStr">
        <is>
          <t>ker</t>
        </is>
      </c>
      <c r="C3151" s="14" t="inlineStr">
        <is>
          <t>all</t>
        </is>
      </c>
      <c r="H3151" s="14">
        <f>INDEX(VarLab,MATCH($A3151,VarKey,0))&amp;INDEX(MemLab,MATCH($C3151&amp;"|"&amp;$B3151,MemKey,0))</f>
        <v/>
      </c>
      <c r="I3151" s="14">
        <f>INDEX(VarUnit,MATCH($A3151,VarKey,0))</f>
        <v/>
      </c>
      <c r="J3151" s="14">
        <f>INDEX(VarSrc,MATCH($A3151,VarKey,0))</f>
        <v/>
      </c>
      <c r="K3151" s="11">
        <f>CodePrefix&amp;$A3151&amp;IF($C3151="","","."&amp;$C3151&amp;"."&amp;$B3151)&amp;INDEX(VarEnd,MATCH($A3151,VarKey,0))&amp;K$5</f>
        <v/>
      </c>
      <c r="L3151" s="61">
        <f>SUMIFS(L$1003:L$3061,SecVar,"co2",SecFuel,$B3151)+SUMIF($B$756:$B$764,$B3151,L$756:L$764)</f>
        <v/>
      </c>
      <c r="M3151" s="62">
        <f>SUMIFS(M$1003:M$3061,SecVar,"co2",SecFuel,$B3151)+SUMIF($B$756:$B$764,$B3151,M$756:M$764)</f>
        <v/>
      </c>
      <c r="N3151" s="62">
        <f>SUMIFS(N$1003:N$3061,SecVar,"co2",SecFuel,$B3151)+SUMIF($B$756:$B$764,$B3151,N$756:N$764)</f>
        <v/>
      </c>
      <c r="O3151" s="62">
        <f>SUMIFS(O$1003:O$3061,SecVar,"co2",SecFuel,$B3151)+SUMIF($B$756:$B$764,$B3151,O$756:O$764)</f>
        <v/>
      </c>
      <c r="P3151" s="62">
        <f>SUMIFS(P$1003:P$3061,SecVar,"co2",SecFuel,$B3151)+SUMIF($B$756:$B$764,$B3151,P$756:P$764)</f>
        <v/>
      </c>
      <c r="Q3151" s="62">
        <f>SUMIFS(Q$1003:Q$3061,SecVar,"co2",SecFuel,$B3151)+SUMIF($B$756:$B$764,$B3151,Q$756:Q$764)</f>
        <v/>
      </c>
      <c r="R3151" s="62">
        <f>SUMIFS(R$1003:R$3061,SecVar,"co2",SecFuel,$B3151)+SUMIF($B$756:$B$764,$B3151,R$756:R$764)</f>
        <v/>
      </c>
      <c r="S3151" s="62">
        <f>SUMIFS(S$1003:S$3061,SecVar,"co2",SecFuel,$B3151)+SUMIF($B$756:$B$764,$B3151,S$756:S$764)</f>
        <v/>
      </c>
      <c r="T3151" s="62">
        <f>SUMIFS(T$1003:T$3061,SecVar,"co2",SecFuel,$B3151)+SUMIF($B$756:$B$764,$B3151,T$756:T$764)</f>
        <v/>
      </c>
      <c r="U3151" s="62">
        <f>SUMIFS(U$1003:U$3061,SecVar,"co2",SecFuel,$B3151)+SUMIF($B$756:$B$764,$B3151,U$756:U$764)</f>
        <v/>
      </c>
      <c r="V3151" s="62">
        <f>SUMIFS(V$1003:V$3061,SecVar,"co2",SecFuel,$B3151)+SUMIF($B$756:$B$764,$B3151,V$756:V$764)</f>
        <v/>
      </c>
      <c r="W3151" s="62">
        <f>SUMIFS(W$1003:W$3061,SecVar,"co2",SecFuel,$B3151)+SUMIF($B$756:$B$764,$B3151,W$756:W$764)</f>
        <v/>
      </c>
      <c r="X3151" s="62">
        <f>SUMIFS(X$1003:X$3061,SecVar,"co2",SecFuel,$B3151)+SUMIF($B$756:$B$764,$B3151,X$756:X$764)</f>
        <v/>
      </c>
      <c r="Y3151" s="62">
        <f>SUMIFS(Y$1003:Y$3061,SecVar,"co2",SecFuel,$B3151)+SUMIF($B$756:$B$764,$B3151,Y$756:Y$764)</f>
        <v/>
      </c>
      <c r="Z3151" s="62">
        <f>SUMIFS(Z$1003:Z$3061,SecVar,"co2",SecFuel,$B3151)+SUMIF($B$756:$B$764,$B3151,Z$756:Z$764)</f>
        <v/>
      </c>
      <c r="AA3151" s="62">
        <f>SUMIFS(AA$1003:AA$3061,SecVar,"co2",SecFuel,$B3151)+SUMIF($B$756:$B$764,$B3151,AA$756:AA$764)</f>
        <v/>
      </c>
      <c r="AB3151" s="62">
        <f>SUMIFS(AB$1003:AB$3061,SecVar,"co2",SecFuel,$B3151)+SUMIF($B$756:$B$764,$B3151,AB$756:AB$764)</f>
        <v/>
      </c>
      <c r="AC3151" s="62">
        <f>SUMIFS(AC$1003:AC$3061,SecVar,"co2",SecFuel,$B3151)+SUMIF($B$756:$B$764,$B3151,AC$756:AC$764)</f>
        <v/>
      </c>
      <c r="AD3151" s="62">
        <f>SUMIFS(AD$1003:AD$3061,SecVar,"co2",SecFuel,$B3151)+SUMIF($B$756:$B$764,$B3151,AD$756:AD$764)</f>
        <v/>
      </c>
      <c r="AE3151" s="62">
        <f>SUMIFS(AE$1003:AE$3061,SecVar,"co2",SecFuel,$B3151)+SUMIF($B$756:$B$764,$B3151,AE$756:AE$764)</f>
        <v/>
      </c>
      <c r="AG3151" s="11">
        <f>CodePrefix&amp;$A3151&amp;IF($C3151="","","."&amp;$C3151&amp;"."&amp;$B3151)&amp;INDEX(VarEnd,MATCH($A3151,VarKey,0))&amp;AG$5</f>
        <v/>
      </c>
      <c r="AH3151" s="61">
        <f>SUMIFS(AH$1003:AH$3061,SecVar,"co2",SecFuel,$B3151)+SUMIF($B$756:$B$764,$B3151,AH$756:AH$764)</f>
        <v/>
      </c>
      <c r="AI3151" s="62">
        <f>SUMIFS(AI$1003:AI$3061,SecVar,"co2",SecFuel,$B3151)+SUMIF($B$756:$B$764,$B3151,AI$756:AI$764)</f>
        <v/>
      </c>
      <c r="AJ3151" s="62">
        <f>SUMIFS(AJ$1003:AJ$3061,SecVar,"co2",SecFuel,$B3151)+SUMIF($B$756:$B$764,$B3151,AJ$756:AJ$764)</f>
        <v/>
      </c>
      <c r="AK3151" s="62">
        <f>SUMIFS(AK$1003:AK$3061,SecVar,"co2",SecFuel,$B3151)+SUMIF($B$756:$B$764,$B3151,AK$756:AK$764)</f>
        <v/>
      </c>
      <c r="AL3151" s="62">
        <f>SUMIFS(AL$1003:AL$3061,SecVar,"co2",SecFuel,$B3151)+SUMIF($B$756:$B$764,$B3151,AL$756:AL$764)</f>
        <v/>
      </c>
      <c r="AM3151" s="62">
        <f>SUMIFS(AM$1003:AM$3061,SecVar,"co2",SecFuel,$B3151)+SUMIF($B$756:$B$764,$B3151,AM$756:AM$764)</f>
        <v/>
      </c>
      <c r="AN3151" s="62">
        <f>SUMIFS(AN$1003:AN$3061,SecVar,"co2",SecFuel,$B3151)+SUMIF($B$756:$B$764,$B3151,AN$756:AN$764)</f>
        <v/>
      </c>
      <c r="AO3151" s="62">
        <f>SUMIFS(AO$1003:AO$3061,SecVar,"co2",SecFuel,$B3151)+SUMIF($B$756:$B$764,$B3151,AO$756:AO$764)</f>
        <v/>
      </c>
      <c r="AP3151" s="62">
        <f>SUMIFS(AP$1003:AP$3061,SecVar,"co2",SecFuel,$B3151)+SUMIF($B$756:$B$764,$B3151,AP$756:AP$764)</f>
        <v/>
      </c>
      <c r="AQ3151" s="62">
        <f>SUMIFS(AQ$1003:AQ$3061,SecVar,"co2",SecFuel,$B3151)+SUMIF($B$756:$B$764,$B3151,AQ$756:AQ$764)</f>
        <v/>
      </c>
      <c r="AR3151" s="62">
        <f>SUMIFS(AR$1003:AR$3061,SecVar,"co2",SecFuel,$B3151)+SUMIF($B$756:$B$764,$B3151,AR$756:AR$764)</f>
        <v/>
      </c>
      <c r="AS3151" s="62">
        <f>SUMIFS(AS$1003:AS$3061,SecVar,"co2",SecFuel,$B3151)+SUMIF($B$756:$B$764,$B3151,AS$756:AS$764)</f>
        <v/>
      </c>
      <c r="AT3151" s="62">
        <f>SUMIFS(AT$1003:AT$3061,SecVar,"co2",SecFuel,$B3151)+SUMIF($B$756:$B$764,$B3151,AT$756:AT$764)</f>
        <v/>
      </c>
      <c r="AU3151" s="62">
        <f>SUMIFS(AU$1003:AU$3061,SecVar,"co2",SecFuel,$B3151)+SUMIF($B$756:$B$764,$B3151,AU$756:AU$764)</f>
        <v/>
      </c>
      <c r="AV3151" s="62">
        <f>SUMIFS(AV$1003:AV$3061,SecVar,"co2",SecFuel,$B3151)+SUMIF($B$756:$B$764,$B3151,AV$756:AV$764)</f>
        <v/>
      </c>
      <c r="AW3151" s="62">
        <f>SUMIFS(AW$1003:AW$3061,SecVar,"co2",SecFuel,$B3151)+SUMIF($B$756:$B$764,$B3151,AW$756:AW$764)</f>
        <v/>
      </c>
      <c r="AX3151" s="62">
        <f>SUMIFS(AX$1003:AX$3061,SecVar,"co2",SecFuel,$B3151)+SUMIF($B$756:$B$764,$B3151,AX$756:AX$764)</f>
        <v/>
      </c>
      <c r="AY3151" s="62">
        <f>SUMIFS(AY$1003:AY$3061,SecVar,"co2",SecFuel,$B3151)+SUMIF($B$756:$B$764,$B3151,AY$756:AY$764)</f>
        <v/>
      </c>
      <c r="AZ3151" s="62">
        <f>SUMIFS(AZ$1003:AZ$3061,SecVar,"co2",SecFuel,$B3151)+SUMIF($B$756:$B$764,$B3151,AZ$756:AZ$764)</f>
        <v/>
      </c>
      <c r="BA3151" s="62">
        <f>SUMIFS(BA$1003:BA$3061,SecVar,"co2",SecFuel,$B3151)+SUMIF($B$756:$B$764,$B3151,BA$756:BA$764)</f>
        <v/>
      </c>
    </row>
    <row r="3152" hidden="1" outlineLevel="1">
      <c r="A3152" s="14" t="inlineStr">
        <is>
          <t>co2</t>
        </is>
      </c>
      <c r="B3152" s="14" t="inlineStr">
        <is>
          <t>oop</t>
        </is>
      </c>
      <c r="C3152" s="14" t="inlineStr">
        <is>
          <t>all</t>
        </is>
      </c>
      <c r="H3152" s="14">
        <f>INDEX(VarLab,MATCH($A3152,VarKey,0))&amp;INDEX(MemLab,MATCH($C3152&amp;"|"&amp;$B3152,MemKey,0))</f>
        <v/>
      </c>
      <c r="I3152" s="14">
        <f>INDEX(VarUnit,MATCH($A3152,VarKey,0))</f>
        <v/>
      </c>
      <c r="J3152" s="14">
        <f>INDEX(VarSrc,MATCH($A3152,VarKey,0))</f>
        <v/>
      </c>
      <c r="K3152" s="11">
        <f>CodePrefix&amp;$A3152&amp;IF($C3152="","","."&amp;$C3152&amp;"."&amp;$B3152)&amp;INDEX(VarEnd,MATCH($A3152,VarKey,0))&amp;K$5</f>
        <v/>
      </c>
      <c r="L3152" s="61">
        <f>SUMIFS(L$1003:L$3061,SecVar,"co2",SecFuel,$B3152)+SUMIF($B$756:$B$764,$B3152,L$756:L$764)</f>
        <v/>
      </c>
      <c r="M3152" s="62">
        <f>SUMIFS(M$1003:M$3061,SecVar,"co2",SecFuel,$B3152)+SUMIF($B$756:$B$764,$B3152,M$756:M$764)</f>
        <v/>
      </c>
      <c r="N3152" s="62">
        <f>SUMIFS(N$1003:N$3061,SecVar,"co2",SecFuel,$B3152)+SUMIF($B$756:$B$764,$B3152,N$756:N$764)</f>
        <v/>
      </c>
      <c r="O3152" s="62">
        <f>SUMIFS(O$1003:O$3061,SecVar,"co2",SecFuel,$B3152)+SUMIF($B$756:$B$764,$B3152,O$756:O$764)</f>
        <v/>
      </c>
      <c r="P3152" s="62">
        <f>SUMIFS(P$1003:P$3061,SecVar,"co2",SecFuel,$B3152)+SUMIF($B$756:$B$764,$B3152,P$756:P$764)</f>
        <v/>
      </c>
      <c r="Q3152" s="62">
        <f>SUMIFS(Q$1003:Q$3061,SecVar,"co2",SecFuel,$B3152)+SUMIF($B$756:$B$764,$B3152,Q$756:Q$764)</f>
        <v/>
      </c>
      <c r="R3152" s="62">
        <f>SUMIFS(R$1003:R$3061,SecVar,"co2",SecFuel,$B3152)+SUMIF($B$756:$B$764,$B3152,R$756:R$764)</f>
        <v/>
      </c>
      <c r="S3152" s="62">
        <f>SUMIFS(S$1003:S$3061,SecVar,"co2",SecFuel,$B3152)+SUMIF($B$756:$B$764,$B3152,S$756:S$764)</f>
        <v/>
      </c>
      <c r="T3152" s="62">
        <f>SUMIFS(T$1003:T$3061,SecVar,"co2",SecFuel,$B3152)+SUMIF($B$756:$B$764,$B3152,T$756:T$764)</f>
        <v/>
      </c>
      <c r="U3152" s="62">
        <f>SUMIFS(U$1003:U$3061,SecVar,"co2",SecFuel,$B3152)+SUMIF($B$756:$B$764,$B3152,U$756:U$764)</f>
        <v/>
      </c>
      <c r="V3152" s="62">
        <f>SUMIFS(V$1003:V$3061,SecVar,"co2",SecFuel,$B3152)+SUMIF($B$756:$B$764,$B3152,V$756:V$764)</f>
        <v/>
      </c>
      <c r="W3152" s="62">
        <f>SUMIFS(W$1003:W$3061,SecVar,"co2",SecFuel,$B3152)+SUMIF($B$756:$B$764,$B3152,W$756:W$764)</f>
        <v/>
      </c>
      <c r="X3152" s="62">
        <f>SUMIFS(X$1003:X$3061,SecVar,"co2",SecFuel,$B3152)+SUMIF($B$756:$B$764,$B3152,X$756:X$764)</f>
        <v/>
      </c>
      <c r="Y3152" s="62">
        <f>SUMIFS(Y$1003:Y$3061,SecVar,"co2",SecFuel,$B3152)+SUMIF($B$756:$B$764,$B3152,Y$756:Y$764)</f>
        <v/>
      </c>
      <c r="Z3152" s="62">
        <f>SUMIFS(Z$1003:Z$3061,SecVar,"co2",SecFuel,$B3152)+SUMIF($B$756:$B$764,$B3152,Z$756:Z$764)</f>
        <v/>
      </c>
      <c r="AA3152" s="62">
        <f>SUMIFS(AA$1003:AA$3061,SecVar,"co2",SecFuel,$B3152)+SUMIF($B$756:$B$764,$B3152,AA$756:AA$764)</f>
        <v/>
      </c>
      <c r="AB3152" s="62">
        <f>SUMIFS(AB$1003:AB$3061,SecVar,"co2",SecFuel,$B3152)+SUMIF($B$756:$B$764,$B3152,AB$756:AB$764)</f>
        <v/>
      </c>
      <c r="AC3152" s="62">
        <f>SUMIFS(AC$1003:AC$3061,SecVar,"co2",SecFuel,$B3152)+SUMIF($B$756:$B$764,$B3152,AC$756:AC$764)</f>
        <v/>
      </c>
      <c r="AD3152" s="62">
        <f>SUMIFS(AD$1003:AD$3061,SecVar,"co2",SecFuel,$B3152)+SUMIF($B$756:$B$764,$B3152,AD$756:AD$764)</f>
        <v/>
      </c>
      <c r="AE3152" s="62">
        <f>SUMIFS(AE$1003:AE$3061,SecVar,"co2",SecFuel,$B3152)+SUMIF($B$756:$B$764,$B3152,AE$756:AE$764)</f>
        <v/>
      </c>
      <c r="AG3152" s="11">
        <f>CodePrefix&amp;$A3152&amp;IF($C3152="","","."&amp;$C3152&amp;"."&amp;$B3152)&amp;INDEX(VarEnd,MATCH($A3152,VarKey,0))&amp;AG$5</f>
        <v/>
      </c>
      <c r="AH3152" s="61">
        <f>SUMIFS(AH$1003:AH$3061,SecVar,"co2",SecFuel,$B3152)+SUMIF($B$756:$B$764,$B3152,AH$756:AH$764)</f>
        <v/>
      </c>
      <c r="AI3152" s="62">
        <f>SUMIFS(AI$1003:AI$3061,SecVar,"co2",SecFuel,$B3152)+SUMIF($B$756:$B$764,$B3152,AI$756:AI$764)</f>
        <v/>
      </c>
      <c r="AJ3152" s="62">
        <f>SUMIFS(AJ$1003:AJ$3061,SecVar,"co2",SecFuel,$B3152)+SUMIF($B$756:$B$764,$B3152,AJ$756:AJ$764)</f>
        <v/>
      </c>
      <c r="AK3152" s="62">
        <f>SUMIFS(AK$1003:AK$3061,SecVar,"co2",SecFuel,$B3152)+SUMIF($B$756:$B$764,$B3152,AK$756:AK$764)</f>
        <v/>
      </c>
      <c r="AL3152" s="62">
        <f>SUMIFS(AL$1003:AL$3061,SecVar,"co2",SecFuel,$B3152)+SUMIF($B$756:$B$764,$B3152,AL$756:AL$764)</f>
        <v/>
      </c>
      <c r="AM3152" s="62">
        <f>SUMIFS(AM$1003:AM$3061,SecVar,"co2",SecFuel,$B3152)+SUMIF($B$756:$B$764,$B3152,AM$756:AM$764)</f>
        <v/>
      </c>
      <c r="AN3152" s="62">
        <f>SUMIFS(AN$1003:AN$3061,SecVar,"co2",SecFuel,$B3152)+SUMIF($B$756:$B$764,$B3152,AN$756:AN$764)</f>
        <v/>
      </c>
      <c r="AO3152" s="62">
        <f>SUMIFS(AO$1003:AO$3061,SecVar,"co2",SecFuel,$B3152)+SUMIF($B$756:$B$764,$B3152,AO$756:AO$764)</f>
        <v/>
      </c>
      <c r="AP3152" s="62">
        <f>SUMIFS(AP$1003:AP$3061,SecVar,"co2",SecFuel,$B3152)+SUMIF($B$756:$B$764,$B3152,AP$756:AP$764)</f>
        <v/>
      </c>
      <c r="AQ3152" s="62">
        <f>SUMIFS(AQ$1003:AQ$3061,SecVar,"co2",SecFuel,$B3152)+SUMIF($B$756:$B$764,$B3152,AQ$756:AQ$764)</f>
        <v/>
      </c>
      <c r="AR3152" s="62">
        <f>SUMIFS(AR$1003:AR$3061,SecVar,"co2",SecFuel,$B3152)+SUMIF($B$756:$B$764,$B3152,AR$756:AR$764)</f>
        <v/>
      </c>
      <c r="AS3152" s="62">
        <f>SUMIFS(AS$1003:AS$3061,SecVar,"co2",SecFuel,$B3152)+SUMIF($B$756:$B$764,$B3152,AS$756:AS$764)</f>
        <v/>
      </c>
      <c r="AT3152" s="62">
        <f>SUMIFS(AT$1003:AT$3061,SecVar,"co2",SecFuel,$B3152)+SUMIF($B$756:$B$764,$B3152,AT$756:AT$764)</f>
        <v/>
      </c>
      <c r="AU3152" s="62">
        <f>SUMIFS(AU$1003:AU$3061,SecVar,"co2",SecFuel,$B3152)+SUMIF($B$756:$B$764,$B3152,AU$756:AU$764)</f>
        <v/>
      </c>
      <c r="AV3152" s="62">
        <f>SUMIFS(AV$1003:AV$3061,SecVar,"co2",SecFuel,$B3152)+SUMIF($B$756:$B$764,$B3152,AV$756:AV$764)</f>
        <v/>
      </c>
      <c r="AW3152" s="62">
        <f>SUMIFS(AW$1003:AW$3061,SecVar,"co2",SecFuel,$B3152)+SUMIF($B$756:$B$764,$B3152,AW$756:AW$764)</f>
        <v/>
      </c>
      <c r="AX3152" s="62">
        <f>SUMIFS(AX$1003:AX$3061,SecVar,"co2",SecFuel,$B3152)+SUMIF($B$756:$B$764,$B3152,AX$756:AX$764)</f>
        <v/>
      </c>
      <c r="AY3152" s="62">
        <f>SUMIFS(AY$1003:AY$3061,SecVar,"co2",SecFuel,$B3152)+SUMIF($B$756:$B$764,$B3152,AY$756:AY$764)</f>
        <v/>
      </c>
      <c r="AZ3152" s="62">
        <f>SUMIFS(AZ$1003:AZ$3061,SecVar,"co2",SecFuel,$B3152)+SUMIF($B$756:$B$764,$B3152,AZ$756:AZ$764)</f>
        <v/>
      </c>
      <c r="BA3152" s="62">
        <f>SUMIFS(BA$1003:BA$3061,SecVar,"co2",SecFuel,$B3152)+SUMIF($B$756:$B$764,$B3152,BA$756:BA$764)</f>
        <v/>
      </c>
    </row>
    <row r="3153" hidden="1" outlineLevel="1">
      <c r="A3153" s="14" t="inlineStr">
        <is>
          <t>co2</t>
        </is>
      </c>
      <c r="B3153" s="14" t="inlineStr">
        <is>
          <t>bio</t>
        </is>
      </c>
      <c r="C3153" s="14" t="inlineStr">
        <is>
          <t>all</t>
        </is>
      </c>
      <c r="H3153" s="14">
        <f>INDEX(VarLab,MATCH($A3153,VarKey,0))&amp;INDEX(MemLab,MATCH($C3153&amp;"|"&amp;$B3153,MemKey,0))</f>
        <v/>
      </c>
      <c r="I3153" s="14">
        <f>INDEX(VarUnit,MATCH($A3153,VarKey,0))</f>
        <v/>
      </c>
      <c r="J3153" s="14">
        <f>INDEX(VarSrc,MATCH($A3153,VarKey,0))</f>
        <v/>
      </c>
      <c r="K3153" s="11">
        <f>CodePrefix&amp;$A3153&amp;IF($C3153="","","."&amp;$C3153&amp;"."&amp;$B3153)&amp;INDEX(VarEnd,MATCH($A3153,VarKey,0))&amp;K$5</f>
        <v/>
      </c>
      <c r="L3153" s="61">
        <f>SUMIFS(L$1003:L$3061,SecVar,"co2",SecFuel,$B3153)+SUMIF($B$756:$B$764,$B3153,L$756:L$764)</f>
        <v/>
      </c>
      <c r="M3153" s="62">
        <f>SUMIFS(M$1003:M$3061,SecVar,"co2",SecFuel,$B3153)+SUMIF($B$756:$B$764,$B3153,M$756:M$764)</f>
        <v/>
      </c>
      <c r="N3153" s="62">
        <f>SUMIFS(N$1003:N$3061,SecVar,"co2",SecFuel,$B3153)+SUMIF($B$756:$B$764,$B3153,N$756:N$764)</f>
        <v/>
      </c>
      <c r="O3153" s="62">
        <f>SUMIFS(O$1003:O$3061,SecVar,"co2",SecFuel,$B3153)+SUMIF($B$756:$B$764,$B3153,O$756:O$764)</f>
        <v/>
      </c>
      <c r="P3153" s="62">
        <f>SUMIFS(P$1003:P$3061,SecVar,"co2",SecFuel,$B3153)+SUMIF($B$756:$B$764,$B3153,P$756:P$764)</f>
        <v/>
      </c>
      <c r="Q3153" s="62">
        <f>SUMIFS(Q$1003:Q$3061,SecVar,"co2",SecFuel,$B3153)+SUMIF($B$756:$B$764,$B3153,Q$756:Q$764)</f>
        <v/>
      </c>
      <c r="R3153" s="62">
        <f>SUMIFS(R$1003:R$3061,SecVar,"co2",SecFuel,$B3153)+SUMIF($B$756:$B$764,$B3153,R$756:R$764)</f>
        <v/>
      </c>
      <c r="S3153" s="62">
        <f>SUMIFS(S$1003:S$3061,SecVar,"co2",SecFuel,$B3153)+SUMIF($B$756:$B$764,$B3153,S$756:S$764)</f>
        <v/>
      </c>
      <c r="T3153" s="62">
        <f>SUMIFS(T$1003:T$3061,SecVar,"co2",SecFuel,$B3153)+SUMIF($B$756:$B$764,$B3153,T$756:T$764)</f>
        <v/>
      </c>
      <c r="U3153" s="62">
        <f>SUMIFS(U$1003:U$3061,SecVar,"co2",SecFuel,$B3153)+SUMIF($B$756:$B$764,$B3153,U$756:U$764)</f>
        <v/>
      </c>
      <c r="V3153" s="62">
        <f>SUMIFS(V$1003:V$3061,SecVar,"co2",SecFuel,$B3153)+SUMIF($B$756:$B$764,$B3153,V$756:V$764)</f>
        <v/>
      </c>
      <c r="W3153" s="62">
        <f>SUMIFS(W$1003:W$3061,SecVar,"co2",SecFuel,$B3153)+SUMIF($B$756:$B$764,$B3153,W$756:W$764)</f>
        <v/>
      </c>
      <c r="X3153" s="62">
        <f>SUMIFS(X$1003:X$3061,SecVar,"co2",SecFuel,$B3153)+SUMIF($B$756:$B$764,$B3153,X$756:X$764)</f>
        <v/>
      </c>
      <c r="Y3153" s="62">
        <f>SUMIFS(Y$1003:Y$3061,SecVar,"co2",SecFuel,$B3153)+SUMIF($B$756:$B$764,$B3153,Y$756:Y$764)</f>
        <v/>
      </c>
      <c r="Z3153" s="62">
        <f>SUMIFS(Z$1003:Z$3061,SecVar,"co2",SecFuel,$B3153)+SUMIF($B$756:$B$764,$B3153,Z$756:Z$764)</f>
        <v/>
      </c>
      <c r="AA3153" s="62">
        <f>SUMIFS(AA$1003:AA$3061,SecVar,"co2",SecFuel,$B3153)+SUMIF($B$756:$B$764,$B3153,AA$756:AA$764)</f>
        <v/>
      </c>
      <c r="AB3153" s="62">
        <f>SUMIFS(AB$1003:AB$3061,SecVar,"co2",SecFuel,$B3153)+SUMIF($B$756:$B$764,$B3153,AB$756:AB$764)</f>
        <v/>
      </c>
      <c r="AC3153" s="62">
        <f>SUMIFS(AC$1003:AC$3061,SecVar,"co2",SecFuel,$B3153)+SUMIF($B$756:$B$764,$B3153,AC$756:AC$764)</f>
        <v/>
      </c>
      <c r="AD3153" s="62">
        <f>SUMIFS(AD$1003:AD$3061,SecVar,"co2",SecFuel,$B3153)+SUMIF($B$756:$B$764,$B3153,AD$756:AD$764)</f>
        <v/>
      </c>
      <c r="AE3153" s="62">
        <f>SUMIFS(AE$1003:AE$3061,SecVar,"co2",SecFuel,$B3153)+SUMIF($B$756:$B$764,$B3153,AE$756:AE$764)</f>
        <v/>
      </c>
      <c r="AG3153" s="11">
        <f>CodePrefix&amp;$A3153&amp;IF($C3153="","","."&amp;$C3153&amp;"."&amp;$B3153)&amp;INDEX(VarEnd,MATCH($A3153,VarKey,0))&amp;AG$5</f>
        <v/>
      </c>
      <c r="AH3153" s="61">
        <f>SUMIFS(AH$1003:AH$3061,SecVar,"co2",SecFuel,$B3153)+SUMIF($B$756:$B$764,$B3153,AH$756:AH$764)</f>
        <v/>
      </c>
      <c r="AI3153" s="62">
        <f>SUMIFS(AI$1003:AI$3061,SecVar,"co2",SecFuel,$B3153)+SUMIF($B$756:$B$764,$B3153,AI$756:AI$764)</f>
        <v/>
      </c>
      <c r="AJ3153" s="62">
        <f>SUMIFS(AJ$1003:AJ$3061,SecVar,"co2",SecFuel,$B3153)+SUMIF($B$756:$B$764,$B3153,AJ$756:AJ$764)</f>
        <v/>
      </c>
      <c r="AK3153" s="62">
        <f>SUMIFS(AK$1003:AK$3061,SecVar,"co2",SecFuel,$B3153)+SUMIF($B$756:$B$764,$B3153,AK$756:AK$764)</f>
        <v/>
      </c>
      <c r="AL3153" s="62">
        <f>SUMIFS(AL$1003:AL$3061,SecVar,"co2",SecFuel,$B3153)+SUMIF($B$756:$B$764,$B3153,AL$756:AL$764)</f>
        <v/>
      </c>
      <c r="AM3153" s="62">
        <f>SUMIFS(AM$1003:AM$3061,SecVar,"co2",SecFuel,$B3153)+SUMIF($B$756:$B$764,$B3153,AM$756:AM$764)</f>
        <v/>
      </c>
      <c r="AN3153" s="62">
        <f>SUMIFS(AN$1003:AN$3061,SecVar,"co2",SecFuel,$B3153)+SUMIF($B$756:$B$764,$B3153,AN$756:AN$764)</f>
        <v/>
      </c>
      <c r="AO3153" s="62">
        <f>SUMIFS(AO$1003:AO$3061,SecVar,"co2",SecFuel,$B3153)+SUMIF($B$756:$B$764,$B3153,AO$756:AO$764)</f>
        <v/>
      </c>
      <c r="AP3153" s="62">
        <f>SUMIFS(AP$1003:AP$3061,SecVar,"co2",SecFuel,$B3153)+SUMIF($B$756:$B$764,$B3153,AP$756:AP$764)</f>
        <v/>
      </c>
      <c r="AQ3153" s="62">
        <f>SUMIFS(AQ$1003:AQ$3061,SecVar,"co2",SecFuel,$B3153)+SUMIF($B$756:$B$764,$B3153,AQ$756:AQ$764)</f>
        <v/>
      </c>
      <c r="AR3153" s="62">
        <f>SUMIFS(AR$1003:AR$3061,SecVar,"co2",SecFuel,$B3153)+SUMIF($B$756:$B$764,$B3153,AR$756:AR$764)</f>
        <v/>
      </c>
      <c r="AS3153" s="62">
        <f>SUMIFS(AS$1003:AS$3061,SecVar,"co2",SecFuel,$B3153)+SUMIF($B$756:$B$764,$B3153,AS$756:AS$764)</f>
        <v/>
      </c>
      <c r="AT3153" s="62">
        <f>SUMIFS(AT$1003:AT$3061,SecVar,"co2",SecFuel,$B3153)+SUMIF($B$756:$B$764,$B3153,AT$756:AT$764)</f>
        <v/>
      </c>
      <c r="AU3153" s="62">
        <f>SUMIFS(AU$1003:AU$3061,SecVar,"co2",SecFuel,$B3153)+SUMIF($B$756:$B$764,$B3153,AU$756:AU$764)</f>
        <v/>
      </c>
      <c r="AV3153" s="62">
        <f>SUMIFS(AV$1003:AV$3061,SecVar,"co2",SecFuel,$B3153)+SUMIF($B$756:$B$764,$B3153,AV$756:AV$764)</f>
        <v/>
      </c>
      <c r="AW3153" s="62">
        <f>SUMIFS(AW$1003:AW$3061,SecVar,"co2",SecFuel,$B3153)+SUMIF($B$756:$B$764,$B3153,AW$756:AW$764)</f>
        <v/>
      </c>
      <c r="AX3153" s="62">
        <f>SUMIFS(AX$1003:AX$3061,SecVar,"co2",SecFuel,$B3153)+SUMIF($B$756:$B$764,$B3153,AX$756:AX$764)</f>
        <v/>
      </c>
      <c r="AY3153" s="62">
        <f>SUMIFS(AY$1003:AY$3061,SecVar,"co2",SecFuel,$B3153)+SUMIF($B$756:$B$764,$B3153,AY$756:AY$764)</f>
        <v/>
      </c>
      <c r="AZ3153" s="62">
        <f>SUMIFS(AZ$1003:AZ$3061,SecVar,"co2",SecFuel,$B3153)+SUMIF($B$756:$B$764,$B3153,AZ$756:AZ$764)</f>
        <v/>
      </c>
      <c r="BA3153" s="62">
        <f>SUMIFS(BA$1003:BA$3061,SecVar,"co2",SecFuel,$B3153)+SUMIF($B$756:$B$764,$B3153,BA$756:BA$764)</f>
        <v/>
      </c>
    </row>
    <row r="3154" hidden="1" outlineLevel="1">
      <c r="A3154" s="14" t="inlineStr">
        <is>
          <t>co2.ref</t>
        </is>
      </c>
      <c r="B3154" s="14" t="inlineStr">
        <is>
          <t>all</t>
        </is>
      </c>
      <c r="C3154" s="14" t="inlineStr">
        <is>
          <t>all</t>
        </is>
      </c>
      <c r="H3154" s="14">
        <f>INDEX(VarLab,MATCH($A3154,VarKey,0))&amp;INDEX(MemLab,MATCH($C3154&amp;"|"&amp;$B3154,MemKey,0))</f>
        <v/>
      </c>
      <c r="I3154" s="14">
        <f>INDEX(VarUnit,MATCH($A3154,VarKey,0))</f>
        <v/>
      </c>
      <c r="J3154" s="14">
        <f>INDEX(VarSrc,MATCH($A3154,VarKey,0))</f>
        <v/>
      </c>
      <c r="K3154" s="11">
        <f>CodePrefix&amp;$A3154&amp;IF($C3154="","","."&amp;$C3154&amp;"."&amp;$B3154)&amp;INDEX(VarEnd,MATCH($A3154,VarKey,0))&amp;K$5</f>
        <v/>
      </c>
      <c r="L3154" s="61">
        <f>INDEX($K3140:$JN3140,MATCH(L$4,$K$4:$JN$4,0))</f>
        <v/>
      </c>
      <c r="M3154" s="62">
        <f>INDEX($K3140:$JN3140,MATCH(M$4,$K$4:$JN$4,0))</f>
        <v/>
      </c>
      <c r="N3154" s="62">
        <f>INDEX($K3140:$JN3140,MATCH(N$4,$K$4:$JN$4,0))</f>
        <v/>
      </c>
      <c r="O3154" s="62">
        <f>INDEX($K3140:$JN3140,MATCH(O$4,$K$4:$JN$4,0))</f>
        <v/>
      </c>
      <c r="P3154" s="62">
        <f>INDEX($K3140:$JN3140,MATCH(P$4,$K$4:$JN$4,0))</f>
        <v/>
      </c>
      <c r="Q3154" s="62">
        <f>INDEX($K3140:$JN3140,MATCH(Q$4,$K$4:$JN$4,0))</f>
        <v/>
      </c>
      <c r="R3154" s="62">
        <f>INDEX($K3140:$JN3140,MATCH(R$4,$K$4:$JN$4,0))</f>
        <v/>
      </c>
      <c r="S3154" s="62">
        <f>INDEX($K3140:$JN3140,MATCH(S$4,$K$4:$JN$4,0))</f>
        <v/>
      </c>
      <c r="T3154" s="62">
        <f>INDEX($K3140:$JN3140,MATCH(T$4,$K$4:$JN$4,0))</f>
        <v/>
      </c>
      <c r="U3154" s="62">
        <f>INDEX($K3140:$JN3140,MATCH(U$4,$K$4:$JN$4,0))</f>
        <v/>
      </c>
      <c r="V3154" s="62">
        <f>INDEX($K3140:$JN3140,MATCH(V$4,$K$4:$JN$4,0))</f>
        <v/>
      </c>
      <c r="W3154" s="62">
        <f>INDEX($K3140:$JN3140,MATCH(W$4,$K$4:$JN$4,0))</f>
        <v/>
      </c>
      <c r="X3154" s="62">
        <f>INDEX($K3140:$JN3140,MATCH(X$4,$K$4:$JN$4,0))</f>
        <v/>
      </c>
      <c r="Y3154" s="62">
        <f>INDEX($K3140:$JN3140,MATCH(Y$4,$K$4:$JN$4,0))</f>
        <v/>
      </c>
      <c r="Z3154" s="62">
        <f>INDEX($K3140:$JN3140,MATCH(Z$4,$K$4:$JN$4,0))</f>
        <v/>
      </c>
      <c r="AA3154" s="62">
        <f>INDEX($K3140:$JN3140,MATCH(AA$4,$K$4:$JN$4,0))</f>
        <v/>
      </c>
      <c r="AB3154" s="62">
        <f>INDEX($K3140:$JN3140,MATCH(AB$4,$K$4:$JN$4,0))</f>
        <v/>
      </c>
      <c r="AC3154" s="62">
        <f>INDEX($K3140:$JN3140,MATCH(AC$4,$K$4:$JN$4,0))</f>
        <v/>
      </c>
      <c r="AD3154" s="62">
        <f>INDEX($K3140:$JN3140,MATCH(AD$4,$K$4:$JN$4,0))</f>
        <v/>
      </c>
      <c r="AE3154" s="62">
        <f>INDEX($K3140:$JN3140,MATCH(AE$4,$K$4:$JN$4,0))</f>
        <v/>
      </c>
      <c r="AG3154" s="11">
        <f>CodePrefix&amp;$A3154&amp;IF($C3154="","","."&amp;$C3154&amp;"."&amp;$B3154)&amp;INDEX(VarEnd,MATCH($A3154,VarKey,0))&amp;AG$5</f>
        <v/>
      </c>
      <c r="AH3154" s="61">
        <f>INDEX($K3140:$JN3140,MATCH(AH$4,$K$4:$JN$4,0))</f>
        <v/>
      </c>
      <c r="AI3154" s="62">
        <f>INDEX($K3140:$JN3140,MATCH(AI$4,$K$4:$JN$4,0))</f>
        <v/>
      </c>
      <c r="AJ3154" s="62">
        <f>INDEX($K3140:$JN3140,MATCH(AJ$4,$K$4:$JN$4,0))</f>
        <v/>
      </c>
      <c r="AK3154" s="62">
        <f>INDEX($K3140:$JN3140,MATCH(AK$4,$K$4:$JN$4,0))</f>
        <v/>
      </c>
      <c r="AL3154" s="62">
        <f>INDEX($K3140:$JN3140,MATCH(AL$4,$K$4:$JN$4,0))</f>
        <v/>
      </c>
      <c r="AM3154" s="62">
        <f>INDEX($K3140:$JN3140,MATCH(AM$4,$K$4:$JN$4,0))</f>
        <v/>
      </c>
      <c r="AN3154" s="62">
        <f>INDEX($K3140:$JN3140,MATCH(AN$4,$K$4:$JN$4,0))</f>
        <v/>
      </c>
      <c r="AO3154" s="62">
        <f>INDEX($K3140:$JN3140,MATCH(AO$4,$K$4:$JN$4,0))</f>
        <v/>
      </c>
      <c r="AP3154" s="62">
        <f>INDEX($K3140:$JN3140,MATCH(AP$4,$K$4:$JN$4,0))</f>
        <v/>
      </c>
      <c r="AQ3154" s="62">
        <f>INDEX($K3140:$JN3140,MATCH(AQ$4,$K$4:$JN$4,0))</f>
        <v/>
      </c>
      <c r="AR3154" s="62">
        <f>INDEX($K3140:$JN3140,MATCH(AR$4,$K$4:$JN$4,0))</f>
        <v/>
      </c>
      <c r="AS3154" s="62">
        <f>INDEX($K3140:$JN3140,MATCH(AS$4,$K$4:$JN$4,0))</f>
        <v/>
      </c>
      <c r="AT3154" s="62">
        <f>INDEX($K3140:$JN3140,MATCH(AT$4,$K$4:$JN$4,0))</f>
        <v/>
      </c>
      <c r="AU3154" s="62">
        <f>INDEX($K3140:$JN3140,MATCH(AU$4,$K$4:$JN$4,0))</f>
        <v/>
      </c>
      <c r="AV3154" s="62">
        <f>INDEX($K3140:$JN3140,MATCH(AV$4,$K$4:$JN$4,0))</f>
        <v/>
      </c>
      <c r="AW3154" s="62">
        <f>INDEX($K3140:$JN3140,MATCH(AW$4,$K$4:$JN$4,0))</f>
        <v/>
      </c>
      <c r="AX3154" s="62">
        <f>INDEX($K3140:$JN3140,MATCH(AX$4,$K$4:$JN$4,0))</f>
        <v/>
      </c>
      <c r="AY3154" s="62">
        <f>INDEX($K3140:$JN3140,MATCH(AY$4,$K$4:$JN$4,0))</f>
        <v/>
      </c>
      <c r="AZ3154" s="62">
        <f>INDEX($K3140:$JN3140,MATCH(AZ$4,$K$4:$JN$4,0))</f>
        <v/>
      </c>
      <c r="BA3154" s="62">
        <f>INDEX($K3140:$JN3140,MATCH(BA$4,$K$4:$JN$4,0))</f>
        <v/>
      </c>
    </row>
    <row r="3155" collapsed="1">
      <c r="A3155" s="1" t="inlineStr">
        <is>
          <t>co2.chg</t>
        </is>
      </c>
      <c r="B3155" s="1" t="inlineStr">
        <is>
          <t>all</t>
        </is>
      </c>
      <c r="C3155" s="1" t="inlineStr">
        <is>
          <t>all</t>
        </is>
      </c>
      <c r="H3155" s="1">
        <f>INDEX(VarLab,MATCH($A3155,VarKey,0))&amp;INDEX(MemLab,MATCH($C3155&amp;"|"&amp;$B3155,MemKey,0))</f>
        <v/>
      </c>
      <c r="I3155" s="1">
        <f>INDEX(VarUnit,MATCH($A3155,VarKey,0))</f>
        <v/>
      </c>
      <c r="J3155" s="1">
        <f>INDEX(VarSrc,MATCH($A3155,VarKey,0))</f>
        <v/>
      </c>
      <c r="K3155" s="17">
        <f>CodePrefix&amp;$A3155&amp;IF($C3155="","","."&amp;$C3155&amp;"."&amp;$B3155)&amp;INDEX(VarEnd,MATCH($A3155,VarKey,0))&amp;K$5</f>
        <v/>
      </c>
      <c r="L3155" s="77">
        <f>L3140-L3154</f>
        <v/>
      </c>
      <c r="M3155" s="78">
        <f>M3140-M3154</f>
        <v/>
      </c>
      <c r="N3155" s="78">
        <f>N3140-N3154</f>
        <v/>
      </c>
      <c r="O3155" s="78">
        <f>O3140-O3154</f>
        <v/>
      </c>
      <c r="P3155" s="78">
        <f>P3140-P3154</f>
        <v/>
      </c>
      <c r="Q3155" s="78">
        <f>Q3140-Q3154</f>
        <v/>
      </c>
      <c r="R3155" s="78">
        <f>R3140-R3154</f>
        <v/>
      </c>
      <c r="S3155" s="78">
        <f>S3140-S3154</f>
        <v/>
      </c>
      <c r="T3155" s="78">
        <f>T3140-T3154</f>
        <v/>
      </c>
      <c r="U3155" s="78">
        <f>U3140-U3154</f>
        <v/>
      </c>
      <c r="V3155" s="78">
        <f>V3140-V3154</f>
        <v/>
      </c>
      <c r="W3155" s="78">
        <f>W3140-W3154</f>
        <v/>
      </c>
      <c r="X3155" s="78">
        <f>X3140-X3154</f>
        <v/>
      </c>
      <c r="Y3155" s="78">
        <f>Y3140-Y3154</f>
        <v/>
      </c>
      <c r="Z3155" s="78">
        <f>Z3140-Z3154</f>
        <v/>
      </c>
      <c r="AA3155" s="78">
        <f>AA3140-AA3154</f>
        <v/>
      </c>
      <c r="AB3155" s="78">
        <f>AB3140-AB3154</f>
        <v/>
      </c>
      <c r="AC3155" s="78">
        <f>AC3140-AC3154</f>
        <v/>
      </c>
      <c r="AD3155" s="78">
        <f>AD3140-AD3154</f>
        <v/>
      </c>
      <c r="AE3155" s="78">
        <f>AE3140-AE3154</f>
        <v/>
      </c>
      <c r="AG3155" s="17">
        <f>CodePrefix&amp;$A3155&amp;IF($C3155="","","."&amp;$C3155&amp;"."&amp;$B3155)&amp;INDEX(VarEnd,MATCH($A3155,VarKey,0))&amp;AG$5</f>
        <v/>
      </c>
      <c r="AH3155" s="77">
        <f>AH3140-AH3154</f>
        <v/>
      </c>
      <c r="AI3155" s="78">
        <f>AI3140-AI3154</f>
        <v/>
      </c>
      <c r="AJ3155" s="78">
        <f>AJ3140-AJ3154</f>
        <v/>
      </c>
      <c r="AK3155" s="78">
        <f>AK3140-AK3154</f>
        <v/>
      </c>
      <c r="AL3155" s="78">
        <f>AL3140-AL3154</f>
        <v/>
      </c>
      <c r="AM3155" s="78">
        <f>AM3140-AM3154</f>
        <v/>
      </c>
      <c r="AN3155" s="78">
        <f>AN3140-AN3154</f>
        <v/>
      </c>
      <c r="AO3155" s="78">
        <f>AO3140-AO3154</f>
        <v/>
      </c>
      <c r="AP3155" s="78">
        <f>AP3140-AP3154</f>
        <v/>
      </c>
      <c r="AQ3155" s="78">
        <f>AQ3140-AQ3154</f>
        <v/>
      </c>
      <c r="AR3155" s="78">
        <f>AR3140-AR3154</f>
        <v/>
      </c>
      <c r="AS3155" s="78">
        <f>AS3140-AS3154</f>
        <v/>
      </c>
      <c r="AT3155" s="78">
        <f>AT3140-AT3154</f>
        <v/>
      </c>
      <c r="AU3155" s="78">
        <f>AU3140-AU3154</f>
        <v/>
      </c>
      <c r="AV3155" s="78">
        <f>AV3140-AV3154</f>
        <v/>
      </c>
      <c r="AW3155" s="78">
        <f>AW3140-AW3154</f>
        <v/>
      </c>
      <c r="AX3155" s="78">
        <f>AX3140-AX3154</f>
        <v/>
      </c>
      <c r="AY3155" s="78">
        <f>AY3140-AY3154</f>
        <v/>
      </c>
      <c r="AZ3155" s="78">
        <f>AZ3140-AZ3154</f>
        <v/>
      </c>
      <c r="BA3155" s="78">
        <f>BA3140-BA3154</f>
        <v/>
      </c>
    </row>
    <row r="3156">
      <c r="A3156" s="1" t="inlineStr">
        <is>
          <t>co2.pct</t>
        </is>
      </c>
      <c r="B3156" s="1" t="inlineStr">
        <is>
          <t>all</t>
        </is>
      </c>
      <c r="C3156" s="1" t="inlineStr">
        <is>
          <t>all</t>
        </is>
      </c>
      <c r="H3156" s="1">
        <f>INDEX(VarLab,MATCH($A3156,VarKey,0))&amp;INDEX(MemLab,MATCH($C3156&amp;"|"&amp;$B3156,MemKey,0))</f>
        <v/>
      </c>
      <c r="I3156" s="1">
        <f>INDEX(VarUnit,MATCH($A3156,VarKey,0))</f>
        <v/>
      </c>
      <c r="J3156" s="1">
        <f>INDEX(VarSrc,MATCH($A3156,VarKey,0))</f>
        <v/>
      </c>
      <c r="K3156" s="17">
        <f>CodePrefix&amp;$A3156&amp;IF($C3156="","","."&amp;$C3156&amp;"."&amp;$B3156)&amp;INDEX(VarEnd,MATCH($A3156,VarKey,0))&amp;K$5</f>
        <v/>
      </c>
      <c r="L3156" s="79">
        <f>L3140/L3154-1</f>
        <v/>
      </c>
      <c r="M3156" s="80">
        <f>M3140/M3154-1</f>
        <v/>
      </c>
      <c r="N3156" s="80">
        <f>N3140/N3154-1</f>
        <v/>
      </c>
      <c r="O3156" s="80">
        <f>O3140/O3154-1</f>
        <v/>
      </c>
      <c r="P3156" s="80">
        <f>P3140/P3154-1</f>
        <v/>
      </c>
      <c r="Q3156" s="80">
        <f>Q3140/Q3154-1</f>
        <v/>
      </c>
      <c r="R3156" s="80">
        <f>R3140/R3154-1</f>
        <v/>
      </c>
      <c r="S3156" s="80">
        <f>S3140/S3154-1</f>
        <v/>
      </c>
      <c r="T3156" s="80">
        <f>T3140/T3154-1</f>
        <v/>
      </c>
      <c r="U3156" s="80">
        <f>U3140/U3154-1</f>
        <v/>
      </c>
      <c r="V3156" s="80">
        <f>V3140/V3154-1</f>
        <v/>
      </c>
      <c r="W3156" s="80">
        <f>W3140/W3154-1</f>
        <v/>
      </c>
      <c r="X3156" s="80">
        <f>X3140/X3154-1</f>
        <v/>
      </c>
      <c r="Y3156" s="80">
        <f>Y3140/Y3154-1</f>
        <v/>
      </c>
      <c r="Z3156" s="80">
        <f>Z3140/Z3154-1</f>
        <v/>
      </c>
      <c r="AA3156" s="80">
        <f>AA3140/AA3154-1</f>
        <v/>
      </c>
      <c r="AB3156" s="80">
        <f>AB3140/AB3154-1</f>
        <v/>
      </c>
      <c r="AC3156" s="80">
        <f>AC3140/AC3154-1</f>
        <v/>
      </c>
      <c r="AD3156" s="80">
        <f>AD3140/AD3154-1</f>
        <v/>
      </c>
      <c r="AE3156" s="80">
        <f>AE3140/AE3154-1</f>
        <v/>
      </c>
      <c r="AG3156" s="17">
        <f>CodePrefix&amp;$A3156&amp;IF($C3156="","","."&amp;$C3156&amp;"."&amp;$B3156)&amp;INDEX(VarEnd,MATCH($A3156,VarKey,0))&amp;AG$5</f>
        <v/>
      </c>
      <c r="AH3156" s="79">
        <f>AH3140/AH3154-1</f>
        <v/>
      </c>
      <c r="AI3156" s="80">
        <f>AI3140/AI3154-1</f>
        <v/>
      </c>
      <c r="AJ3156" s="80">
        <f>AJ3140/AJ3154-1</f>
        <v/>
      </c>
      <c r="AK3156" s="80">
        <f>AK3140/AK3154-1</f>
        <v/>
      </c>
      <c r="AL3156" s="80">
        <f>AL3140/AL3154-1</f>
        <v/>
      </c>
      <c r="AM3156" s="80">
        <f>AM3140/AM3154-1</f>
        <v/>
      </c>
      <c r="AN3156" s="80">
        <f>AN3140/AN3154-1</f>
        <v/>
      </c>
      <c r="AO3156" s="80">
        <f>AO3140/AO3154-1</f>
        <v/>
      </c>
      <c r="AP3156" s="80">
        <f>AP3140/AP3154-1</f>
        <v/>
      </c>
      <c r="AQ3156" s="80">
        <f>AQ3140/AQ3154-1</f>
        <v/>
      </c>
      <c r="AR3156" s="80">
        <f>AR3140/AR3154-1</f>
        <v/>
      </c>
      <c r="AS3156" s="80">
        <f>AS3140/AS3154-1</f>
        <v/>
      </c>
      <c r="AT3156" s="80">
        <f>AT3140/AT3154-1</f>
        <v/>
      </c>
      <c r="AU3156" s="80">
        <f>AU3140/AU3154-1</f>
        <v/>
      </c>
      <c r="AV3156" s="80">
        <f>AV3140/AV3154-1</f>
        <v/>
      </c>
      <c r="AW3156" s="80">
        <f>AW3140/AW3154-1</f>
        <v/>
      </c>
      <c r="AX3156" s="80">
        <f>AX3140/AX3154-1</f>
        <v/>
      </c>
      <c r="AY3156" s="80">
        <f>AY3140/AY3154-1</f>
        <v/>
      </c>
      <c r="AZ3156" s="80">
        <f>AZ3140/AZ3154-1</f>
        <v/>
      </c>
      <c r="BA3156" s="80">
        <f>BA3140/BA3154-1</f>
        <v/>
      </c>
    </row>
    <row r="3157" hidden="1" outlineLevel="1">
      <c r="A3157" s="14" t="inlineStr">
        <is>
          <t>co2.sec</t>
        </is>
      </c>
      <c r="B3157" s="14" t="inlineStr">
        <is>
          <t>all</t>
        </is>
      </c>
      <c r="C3157" s="14" t="inlineStr">
        <is>
          <t>pow</t>
        </is>
      </c>
      <c r="H3157" s="14">
        <f>INDEX(VarLab,MATCH($A3157,VarKey,0))&amp;INDEX(MemLab,MATCH($C3157&amp;"|"&amp;$B3157,MemKey,0))</f>
        <v/>
      </c>
      <c r="I3157" s="14">
        <f>INDEX(VarUnit,MATCH($A3157,VarKey,0))</f>
        <v/>
      </c>
      <c r="J3157" s="14">
        <f>INDEX(VarSrc,MATCH($A3157,VarKey,0))</f>
        <v/>
      </c>
      <c r="K3157" s="11">
        <f>CodePrefix&amp;$A3157&amp;IF($C3157="","","."&amp;$C3157&amp;"."&amp;$B3157)&amp;INDEX(VarEnd,MATCH($A3157,VarKey,0))&amp;K$5</f>
        <v/>
      </c>
      <c r="L3157" s="81">
        <f>SUMIFS(L$1003:L$3061,SecVar,"co2",SecSub,$C3157)+SUMIF($C$756:$C$764,$C3157,L$756:L$764)</f>
        <v/>
      </c>
      <c r="M3157" s="82">
        <f>SUMIFS(M$1003:M$3061,SecVar,"co2",SecSub,$C3157)+SUMIF($C$756:$C$764,$C3157,M$756:M$764)</f>
        <v/>
      </c>
      <c r="N3157" s="82">
        <f>SUMIFS(N$1003:N$3061,SecVar,"co2",SecSub,$C3157)+SUMIF($C$756:$C$764,$C3157,N$756:N$764)</f>
        <v/>
      </c>
      <c r="O3157" s="82">
        <f>SUMIFS(O$1003:O$3061,SecVar,"co2",SecSub,$C3157)+SUMIF($C$756:$C$764,$C3157,O$756:O$764)</f>
        <v/>
      </c>
      <c r="P3157" s="82">
        <f>SUMIFS(P$1003:P$3061,SecVar,"co2",SecSub,$C3157)+SUMIF($C$756:$C$764,$C3157,P$756:P$764)</f>
        <v/>
      </c>
      <c r="Q3157" s="82">
        <f>SUMIFS(Q$1003:Q$3061,SecVar,"co2",SecSub,$C3157)+SUMIF($C$756:$C$764,$C3157,Q$756:Q$764)</f>
        <v/>
      </c>
      <c r="R3157" s="82">
        <f>SUMIFS(R$1003:R$3061,SecVar,"co2",SecSub,$C3157)+SUMIF($C$756:$C$764,$C3157,R$756:R$764)</f>
        <v/>
      </c>
      <c r="S3157" s="82">
        <f>SUMIFS(S$1003:S$3061,SecVar,"co2",SecSub,$C3157)+SUMIF($C$756:$C$764,$C3157,S$756:S$764)</f>
        <v/>
      </c>
      <c r="T3157" s="82">
        <f>SUMIFS(T$1003:T$3061,SecVar,"co2",SecSub,$C3157)+SUMIF($C$756:$C$764,$C3157,T$756:T$764)</f>
        <v/>
      </c>
      <c r="U3157" s="82">
        <f>SUMIFS(U$1003:U$3061,SecVar,"co2",SecSub,$C3157)+SUMIF($C$756:$C$764,$C3157,U$756:U$764)</f>
        <v/>
      </c>
      <c r="V3157" s="82">
        <f>SUMIFS(V$1003:V$3061,SecVar,"co2",SecSub,$C3157)+SUMIF($C$756:$C$764,$C3157,V$756:V$764)</f>
        <v/>
      </c>
      <c r="W3157" s="82">
        <f>SUMIFS(W$1003:W$3061,SecVar,"co2",SecSub,$C3157)+SUMIF($C$756:$C$764,$C3157,W$756:W$764)</f>
        <v/>
      </c>
      <c r="X3157" s="82">
        <f>SUMIFS(X$1003:X$3061,SecVar,"co2",SecSub,$C3157)+SUMIF($C$756:$C$764,$C3157,X$756:X$764)</f>
        <v/>
      </c>
      <c r="Y3157" s="82">
        <f>SUMIFS(Y$1003:Y$3061,SecVar,"co2",SecSub,$C3157)+SUMIF($C$756:$C$764,$C3157,Y$756:Y$764)</f>
        <v/>
      </c>
      <c r="Z3157" s="82">
        <f>SUMIFS(Z$1003:Z$3061,SecVar,"co2",SecSub,$C3157)+SUMIF($C$756:$C$764,$C3157,Z$756:Z$764)</f>
        <v/>
      </c>
      <c r="AA3157" s="82">
        <f>SUMIFS(AA$1003:AA$3061,SecVar,"co2",SecSub,$C3157)+SUMIF($C$756:$C$764,$C3157,AA$756:AA$764)</f>
        <v/>
      </c>
      <c r="AB3157" s="82">
        <f>SUMIFS(AB$1003:AB$3061,SecVar,"co2",SecSub,$C3157)+SUMIF($C$756:$C$764,$C3157,AB$756:AB$764)</f>
        <v/>
      </c>
      <c r="AC3157" s="82">
        <f>SUMIFS(AC$1003:AC$3061,SecVar,"co2",SecSub,$C3157)+SUMIF($C$756:$C$764,$C3157,AC$756:AC$764)</f>
        <v/>
      </c>
      <c r="AD3157" s="82">
        <f>SUMIFS(AD$1003:AD$3061,SecVar,"co2",SecSub,$C3157)+SUMIF($C$756:$C$764,$C3157,AD$756:AD$764)</f>
        <v/>
      </c>
      <c r="AE3157" s="82">
        <f>SUMIFS(AE$1003:AE$3061,SecVar,"co2",SecSub,$C3157)+SUMIF($C$756:$C$764,$C3157,AE$756:AE$764)</f>
        <v/>
      </c>
      <c r="AG3157" s="11">
        <f>CodePrefix&amp;$A3157&amp;IF($C3157="","","."&amp;$C3157&amp;"."&amp;$B3157)&amp;INDEX(VarEnd,MATCH($A3157,VarKey,0))&amp;AG$5</f>
        <v/>
      </c>
      <c r="AH3157" s="81">
        <f>SUMIFS(AH$1003:AH$3061,SecVar,"co2",SecSub,$C3157)+SUMIF($C$756:$C$764,$C3157,AH$756:AH$764)</f>
        <v/>
      </c>
      <c r="AI3157" s="82">
        <f>SUMIFS(AI$1003:AI$3061,SecVar,"co2",SecSub,$C3157)+SUMIF($C$756:$C$764,$C3157,AI$756:AI$764)</f>
        <v/>
      </c>
      <c r="AJ3157" s="82">
        <f>SUMIFS(AJ$1003:AJ$3061,SecVar,"co2",SecSub,$C3157)+SUMIF($C$756:$C$764,$C3157,AJ$756:AJ$764)</f>
        <v/>
      </c>
      <c r="AK3157" s="82">
        <f>SUMIFS(AK$1003:AK$3061,SecVar,"co2",SecSub,$C3157)+SUMIF($C$756:$C$764,$C3157,AK$756:AK$764)</f>
        <v/>
      </c>
      <c r="AL3157" s="82">
        <f>SUMIFS(AL$1003:AL$3061,SecVar,"co2",SecSub,$C3157)+SUMIF($C$756:$C$764,$C3157,AL$756:AL$764)</f>
        <v/>
      </c>
      <c r="AM3157" s="82">
        <f>SUMIFS(AM$1003:AM$3061,SecVar,"co2",SecSub,$C3157)+SUMIF($C$756:$C$764,$C3157,AM$756:AM$764)</f>
        <v/>
      </c>
      <c r="AN3157" s="82">
        <f>SUMIFS(AN$1003:AN$3061,SecVar,"co2",SecSub,$C3157)+SUMIF($C$756:$C$764,$C3157,AN$756:AN$764)</f>
        <v/>
      </c>
      <c r="AO3157" s="82">
        <f>SUMIFS(AO$1003:AO$3061,SecVar,"co2",SecSub,$C3157)+SUMIF($C$756:$C$764,$C3157,AO$756:AO$764)</f>
        <v/>
      </c>
      <c r="AP3157" s="82">
        <f>SUMIFS(AP$1003:AP$3061,SecVar,"co2",SecSub,$C3157)+SUMIF($C$756:$C$764,$C3157,AP$756:AP$764)</f>
        <v/>
      </c>
      <c r="AQ3157" s="82">
        <f>SUMIFS(AQ$1003:AQ$3061,SecVar,"co2",SecSub,$C3157)+SUMIF($C$756:$C$764,$C3157,AQ$756:AQ$764)</f>
        <v/>
      </c>
      <c r="AR3157" s="82">
        <f>SUMIFS(AR$1003:AR$3061,SecVar,"co2",SecSub,$C3157)+SUMIF($C$756:$C$764,$C3157,AR$756:AR$764)</f>
        <v/>
      </c>
      <c r="AS3157" s="82">
        <f>SUMIFS(AS$1003:AS$3061,SecVar,"co2",SecSub,$C3157)+SUMIF($C$756:$C$764,$C3157,AS$756:AS$764)</f>
        <v/>
      </c>
      <c r="AT3157" s="82">
        <f>SUMIFS(AT$1003:AT$3061,SecVar,"co2",SecSub,$C3157)+SUMIF($C$756:$C$764,$C3157,AT$756:AT$764)</f>
        <v/>
      </c>
      <c r="AU3157" s="82">
        <f>SUMIFS(AU$1003:AU$3061,SecVar,"co2",SecSub,$C3157)+SUMIF($C$756:$C$764,$C3157,AU$756:AU$764)</f>
        <v/>
      </c>
      <c r="AV3157" s="82">
        <f>SUMIFS(AV$1003:AV$3061,SecVar,"co2",SecSub,$C3157)+SUMIF($C$756:$C$764,$C3157,AV$756:AV$764)</f>
        <v/>
      </c>
      <c r="AW3157" s="82">
        <f>SUMIFS(AW$1003:AW$3061,SecVar,"co2",SecSub,$C3157)+SUMIF($C$756:$C$764,$C3157,AW$756:AW$764)</f>
        <v/>
      </c>
      <c r="AX3157" s="82">
        <f>SUMIFS(AX$1003:AX$3061,SecVar,"co2",SecSub,$C3157)+SUMIF($C$756:$C$764,$C3157,AX$756:AX$764)</f>
        <v/>
      </c>
      <c r="AY3157" s="82">
        <f>SUMIFS(AY$1003:AY$3061,SecVar,"co2",SecSub,$C3157)+SUMIF($C$756:$C$764,$C3157,AY$756:AY$764)</f>
        <v/>
      </c>
      <c r="AZ3157" s="82">
        <f>SUMIFS(AZ$1003:AZ$3061,SecVar,"co2",SecSub,$C3157)+SUMIF($C$756:$C$764,$C3157,AZ$756:AZ$764)</f>
        <v/>
      </c>
      <c r="BA3157" s="82">
        <f>SUMIFS(BA$1003:BA$3061,SecVar,"co2",SecSub,$C3157)+SUMIF($C$756:$C$764,$C3157,BA$756:BA$764)</f>
        <v/>
      </c>
    </row>
    <row r="3158" hidden="1" outlineLevel="1">
      <c r="A3158" s="14" t="inlineStr">
        <is>
          <t>co2.sec</t>
        </is>
      </c>
      <c r="B3158" s="14" t="inlineStr">
        <is>
          <t>all</t>
        </is>
      </c>
      <c r="C3158" s="14" t="inlineStr">
        <is>
          <t>rod</t>
        </is>
      </c>
      <c r="H3158" s="14">
        <f>INDEX(VarLab,MATCH($A3158,VarKey,0))&amp;INDEX(MemLab,MATCH($C3158&amp;"|"&amp;$B3158,MemKey,0))</f>
        <v/>
      </c>
      <c r="I3158" s="14">
        <f>INDEX(VarUnit,MATCH($A3158,VarKey,0))</f>
        <v/>
      </c>
      <c r="J3158" s="14">
        <f>INDEX(VarSrc,MATCH($A3158,VarKey,0))</f>
        <v/>
      </c>
      <c r="K3158" s="11">
        <f>CodePrefix&amp;$A3158&amp;IF($C3158="","","."&amp;$C3158&amp;"."&amp;$B3158)&amp;INDEX(VarEnd,MATCH($A3158,VarKey,0))&amp;K$5</f>
        <v/>
      </c>
      <c r="L3158" s="81">
        <f>SUMIFS(L$1003:L$3061,SecVar,"co2",SecSub,$C3158)+SUMIF($C$756:$C$764,$C3158,L$756:L$764)</f>
        <v/>
      </c>
      <c r="M3158" s="82">
        <f>SUMIFS(M$1003:M$3061,SecVar,"co2",SecSub,$C3158)+SUMIF($C$756:$C$764,$C3158,M$756:M$764)</f>
        <v/>
      </c>
      <c r="N3158" s="82">
        <f>SUMIFS(N$1003:N$3061,SecVar,"co2",SecSub,$C3158)+SUMIF($C$756:$C$764,$C3158,N$756:N$764)</f>
        <v/>
      </c>
      <c r="O3158" s="82">
        <f>SUMIFS(O$1003:O$3061,SecVar,"co2",SecSub,$C3158)+SUMIF($C$756:$C$764,$C3158,O$756:O$764)</f>
        <v/>
      </c>
      <c r="P3158" s="82">
        <f>SUMIFS(P$1003:P$3061,SecVar,"co2",SecSub,$C3158)+SUMIF($C$756:$C$764,$C3158,P$756:P$764)</f>
        <v/>
      </c>
      <c r="Q3158" s="82">
        <f>SUMIFS(Q$1003:Q$3061,SecVar,"co2",SecSub,$C3158)+SUMIF($C$756:$C$764,$C3158,Q$756:Q$764)</f>
        <v/>
      </c>
      <c r="R3158" s="82">
        <f>SUMIFS(R$1003:R$3061,SecVar,"co2",SecSub,$C3158)+SUMIF($C$756:$C$764,$C3158,R$756:R$764)</f>
        <v/>
      </c>
      <c r="S3158" s="82">
        <f>SUMIFS(S$1003:S$3061,SecVar,"co2",SecSub,$C3158)+SUMIF($C$756:$C$764,$C3158,S$756:S$764)</f>
        <v/>
      </c>
      <c r="T3158" s="82">
        <f>SUMIFS(T$1003:T$3061,SecVar,"co2",SecSub,$C3158)+SUMIF($C$756:$C$764,$C3158,T$756:T$764)</f>
        <v/>
      </c>
      <c r="U3158" s="82">
        <f>SUMIFS(U$1003:U$3061,SecVar,"co2",SecSub,$C3158)+SUMIF($C$756:$C$764,$C3158,U$756:U$764)</f>
        <v/>
      </c>
      <c r="V3158" s="82">
        <f>SUMIFS(V$1003:V$3061,SecVar,"co2",SecSub,$C3158)+SUMIF($C$756:$C$764,$C3158,V$756:V$764)</f>
        <v/>
      </c>
      <c r="W3158" s="82">
        <f>SUMIFS(W$1003:W$3061,SecVar,"co2",SecSub,$C3158)+SUMIF($C$756:$C$764,$C3158,W$756:W$764)</f>
        <v/>
      </c>
      <c r="X3158" s="82">
        <f>SUMIFS(X$1003:X$3061,SecVar,"co2",SecSub,$C3158)+SUMIF($C$756:$C$764,$C3158,X$756:X$764)</f>
        <v/>
      </c>
      <c r="Y3158" s="82">
        <f>SUMIFS(Y$1003:Y$3061,SecVar,"co2",SecSub,$C3158)+SUMIF($C$756:$C$764,$C3158,Y$756:Y$764)</f>
        <v/>
      </c>
      <c r="Z3158" s="82">
        <f>SUMIFS(Z$1003:Z$3061,SecVar,"co2",SecSub,$C3158)+SUMIF($C$756:$C$764,$C3158,Z$756:Z$764)</f>
        <v/>
      </c>
      <c r="AA3158" s="82">
        <f>SUMIFS(AA$1003:AA$3061,SecVar,"co2",SecSub,$C3158)+SUMIF($C$756:$C$764,$C3158,AA$756:AA$764)</f>
        <v/>
      </c>
      <c r="AB3158" s="82">
        <f>SUMIFS(AB$1003:AB$3061,SecVar,"co2",SecSub,$C3158)+SUMIF($C$756:$C$764,$C3158,AB$756:AB$764)</f>
        <v/>
      </c>
      <c r="AC3158" s="82">
        <f>SUMIFS(AC$1003:AC$3061,SecVar,"co2",SecSub,$C3158)+SUMIF($C$756:$C$764,$C3158,AC$756:AC$764)</f>
        <v/>
      </c>
      <c r="AD3158" s="82">
        <f>SUMIFS(AD$1003:AD$3061,SecVar,"co2",SecSub,$C3158)+SUMIF($C$756:$C$764,$C3158,AD$756:AD$764)</f>
        <v/>
      </c>
      <c r="AE3158" s="82">
        <f>SUMIFS(AE$1003:AE$3061,SecVar,"co2",SecSub,$C3158)+SUMIF($C$756:$C$764,$C3158,AE$756:AE$764)</f>
        <v/>
      </c>
      <c r="AG3158" s="11">
        <f>CodePrefix&amp;$A3158&amp;IF($C3158="","","."&amp;$C3158&amp;"."&amp;$B3158)&amp;INDEX(VarEnd,MATCH($A3158,VarKey,0))&amp;AG$5</f>
        <v/>
      </c>
      <c r="AH3158" s="81">
        <f>SUMIFS(AH$1003:AH$3061,SecVar,"co2",SecSub,$C3158)+SUMIF($C$756:$C$764,$C3158,AH$756:AH$764)</f>
        <v/>
      </c>
      <c r="AI3158" s="82">
        <f>SUMIFS(AI$1003:AI$3061,SecVar,"co2",SecSub,$C3158)+SUMIF($C$756:$C$764,$C3158,AI$756:AI$764)</f>
        <v/>
      </c>
      <c r="AJ3158" s="82">
        <f>SUMIFS(AJ$1003:AJ$3061,SecVar,"co2",SecSub,$C3158)+SUMIF($C$756:$C$764,$C3158,AJ$756:AJ$764)</f>
        <v/>
      </c>
      <c r="AK3158" s="82">
        <f>SUMIFS(AK$1003:AK$3061,SecVar,"co2",SecSub,$C3158)+SUMIF($C$756:$C$764,$C3158,AK$756:AK$764)</f>
        <v/>
      </c>
      <c r="AL3158" s="82">
        <f>SUMIFS(AL$1003:AL$3061,SecVar,"co2",SecSub,$C3158)+SUMIF($C$756:$C$764,$C3158,AL$756:AL$764)</f>
        <v/>
      </c>
      <c r="AM3158" s="82">
        <f>SUMIFS(AM$1003:AM$3061,SecVar,"co2",SecSub,$C3158)+SUMIF($C$756:$C$764,$C3158,AM$756:AM$764)</f>
        <v/>
      </c>
      <c r="AN3158" s="82">
        <f>SUMIFS(AN$1003:AN$3061,SecVar,"co2",SecSub,$C3158)+SUMIF($C$756:$C$764,$C3158,AN$756:AN$764)</f>
        <v/>
      </c>
      <c r="AO3158" s="82">
        <f>SUMIFS(AO$1003:AO$3061,SecVar,"co2",SecSub,$C3158)+SUMIF($C$756:$C$764,$C3158,AO$756:AO$764)</f>
        <v/>
      </c>
      <c r="AP3158" s="82">
        <f>SUMIFS(AP$1003:AP$3061,SecVar,"co2",SecSub,$C3158)+SUMIF($C$756:$C$764,$C3158,AP$756:AP$764)</f>
        <v/>
      </c>
      <c r="AQ3158" s="82">
        <f>SUMIFS(AQ$1003:AQ$3061,SecVar,"co2",SecSub,$C3158)+SUMIF($C$756:$C$764,$C3158,AQ$756:AQ$764)</f>
        <v/>
      </c>
      <c r="AR3158" s="82">
        <f>SUMIFS(AR$1003:AR$3061,SecVar,"co2",SecSub,$C3158)+SUMIF($C$756:$C$764,$C3158,AR$756:AR$764)</f>
        <v/>
      </c>
      <c r="AS3158" s="82">
        <f>SUMIFS(AS$1003:AS$3061,SecVar,"co2",SecSub,$C3158)+SUMIF($C$756:$C$764,$C3158,AS$756:AS$764)</f>
        <v/>
      </c>
      <c r="AT3158" s="82">
        <f>SUMIFS(AT$1003:AT$3061,SecVar,"co2",SecSub,$C3158)+SUMIF($C$756:$C$764,$C3158,AT$756:AT$764)</f>
        <v/>
      </c>
      <c r="AU3158" s="82">
        <f>SUMIFS(AU$1003:AU$3061,SecVar,"co2",SecSub,$C3158)+SUMIF($C$756:$C$764,$C3158,AU$756:AU$764)</f>
        <v/>
      </c>
      <c r="AV3158" s="82">
        <f>SUMIFS(AV$1003:AV$3061,SecVar,"co2",SecSub,$C3158)+SUMIF($C$756:$C$764,$C3158,AV$756:AV$764)</f>
        <v/>
      </c>
      <c r="AW3158" s="82">
        <f>SUMIFS(AW$1003:AW$3061,SecVar,"co2",SecSub,$C3158)+SUMIF($C$756:$C$764,$C3158,AW$756:AW$764)</f>
        <v/>
      </c>
      <c r="AX3158" s="82">
        <f>SUMIFS(AX$1003:AX$3061,SecVar,"co2",SecSub,$C3158)+SUMIF($C$756:$C$764,$C3158,AX$756:AX$764)</f>
        <v/>
      </c>
      <c r="AY3158" s="82">
        <f>SUMIFS(AY$1003:AY$3061,SecVar,"co2",SecSub,$C3158)+SUMIF($C$756:$C$764,$C3158,AY$756:AY$764)</f>
        <v/>
      </c>
      <c r="AZ3158" s="82">
        <f>SUMIFS(AZ$1003:AZ$3061,SecVar,"co2",SecSub,$C3158)+SUMIF($C$756:$C$764,$C3158,AZ$756:AZ$764)</f>
        <v/>
      </c>
      <c r="BA3158" s="82">
        <f>SUMIFS(BA$1003:BA$3061,SecVar,"co2",SecSub,$C3158)+SUMIF($C$756:$C$764,$C3158,BA$756:BA$764)</f>
        <v/>
      </c>
    </row>
    <row r="3159" hidden="1" outlineLevel="1">
      <c r="A3159" s="14" t="inlineStr">
        <is>
          <t>co2.sec</t>
        </is>
      </c>
      <c r="B3159" s="14" t="inlineStr">
        <is>
          <t>all</t>
        </is>
      </c>
      <c r="C3159" s="14" t="inlineStr">
        <is>
          <t>ral</t>
        </is>
      </c>
      <c r="H3159" s="14">
        <f>INDEX(VarLab,MATCH($A3159,VarKey,0))&amp;INDEX(MemLab,MATCH($C3159&amp;"|"&amp;$B3159,MemKey,0))</f>
        <v/>
      </c>
      <c r="I3159" s="14">
        <f>INDEX(VarUnit,MATCH($A3159,VarKey,0))</f>
        <v/>
      </c>
      <c r="J3159" s="14">
        <f>INDEX(VarSrc,MATCH($A3159,VarKey,0))</f>
        <v/>
      </c>
      <c r="K3159" s="11">
        <f>CodePrefix&amp;$A3159&amp;IF($C3159="","","."&amp;$C3159&amp;"."&amp;$B3159)&amp;INDEX(VarEnd,MATCH($A3159,VarKey,0))&amp;K$5</f>
        <v/>
      </c>
      <c r="L3159" s="81">
        <f>SUMIFS(L$1003:L$3061,SecVar,"co2",SecSub,$C3159)+SUMIF($C$756:$C$764,$C3159,L$756:L$764)</f>
        <v/>
      </c>
      <c r="M3159" s="82">
        <f>SUMIFS(M$1003:M$3061,SecVar,"co2",SecSub,$C3159)+SUMIF($C$756:$C$764,$C3159,M$756:M$764)</f>
        <v/>
      </c>
      <c r="N3159" s="82">
        <f>SUMIFS(N$1003:N$3061,SecVar,"co2",SecSub,$C3159)+SUMIF($C$756:$C$764,$C3159,N$756:N$764)</f>
        <v/>
      </c>
      <c r="O3159" s="82">
        <f>SUMIFS(O$1003:O$3061,SecVar,"co2",SecSub,$C3159)+SUMIF($C$756:$C$764,$C3159,O$756:O$764)</f>
        <v/>
      </c>
      <c r="P3159" s="82">
        <f>SUMIFS(P$1003:P$3061,SecVar,"co2",SecSub,$C3159)+SUMIF($C$756:$C$764,$C3159,P$756:P$764)</f>
        <v/>
      </c>
      <c r="Q3159" s="82">
        <f>SUMIFS(Q$1003:Q$3061,SecVar,"co2",SecSub,$C3159)+SUMIF($C$756:$C$764,$C3159,Q$756:Q$764)</f>
        <v/>
      </c>
      <c r="R3159" s="82">
        <f>SUMIFS(R$1003:R$3061,SecVar,"co2",SecSub,$C3159)+SUMIF($C$756:$C$764,$C3159,R$756:R$764)</f>
        <v/>
      </c>
      <c r="S3159" s="82">
        <f>SUMIFS(S$1003:S$3061,SecVar,"co2",SecSub,$C3159)+SUMIF($C$756:$C$764,$C3159,S$756:S$764)</f>
        <v/>
      </c>
      <c r="T3159" s="82">
        <f>SUMIFS(T$1003:T$3061,SecVar,"co2",SecSub,$C3159)+SUMIF($C$756:$C$764,$C3159,T$756:T$764)</f>
        <v/>
      </c>
      <c r="U3159" s="82">
        <f>SUMIFS(U$1003:U$3061,SecVar,"co2",SecSub,$C3159)+SUMIF($C$756:$C$764,$C3159,U$756:U$764)</f>
        <v/>
      </c>
      <c r="V3159" s="82">
        <f>SUMIFS(V$1003:V$3061,SecVar,"co2",SecSub,$C3159)+SUMIF($C$756:$C$764,$C3159,V$756:V$764)</f>
        <v/>
      </c>
      <c r="W3159" s="82">
        <f>SUMIFS(W$1003:W$3061,SecVar,"co2",SecSub,$C3159)+SUMIF($C$756:$C$764,$C3159,W$756:W$764)</f>
        <v/>
      </c>
      <c r="X3159" s="82">
        <f>SUMIFS(X$1003:X$3061,SecVar,"co2",SecSub,$C3159)+SUMIF($C$756:$C$764,$C3159,X$756:X$764)</f>
        <v/>
      </c>
      <c r="Y3159" s="82">
        <f>SUMIFS(Y$1003:Y$3061,SecVar,"co2",SecSub,$C3159)+SUMIF($C$756:$C$764,$C3159,Y$756:Y$764)</f>
        <v/>
      </c>
      <c r="Z3159" s="82">
        <f>SUMIFS(Z$1003:Z$3061,SecVar,"co2",SecSub,$C3159)+SUMIF($C$756:$C$764,$C3159,Z$756:Z$764)</f>
        <v/>
      </c>
      <c r="AA3159" s="82">
        <f>SUMIFS(AA$1003:AA$3061,SecVar,"co2",SecSub,$C3159)+SUMIF($C$756:$C$764,$C3159,AA$756:AA$764)</f>
        <v/>
      </c>
      <c r="AB3159" s="82">
        <f>SUMIFS(AB$1003:AB$3061,SecVar,"co2",SecSub,$C3159)+SUMIF($C$756:$C$764,$C3159,AB$756:AB$764)</f>
        <v/>
      </c>
      <c r="AC3159" s="82">
        <f>SUMIFS(AC$1003:AC$3061,SecVar,"co2",SecSub,$C3159)+SUMIF($C$756:$C$764,$C3159,AC$756:AC$764)</f>
        <v/>
      </c>
      <c r="AD3159" s="82">
        <f>SUMIFS(AD$1003:AD$3061,SecVar,"co2",SecSub,$C3159)+SUMIF($C$756:$C$764,$C3159,AD$756:AD$764)</f>
        <v/>
      </c>
      <c r="AE3159" s="82">
        <f>SUMIFS(AE$1003:AE$3061,SecVar,"co2",SecSub,$C3159)+SUMIF($C$756:$C$764,$C3159,AE$756:AE$764)</f>
        <v/>
      </c>
      <c r="AG3159" s="11">
        <f>CodePrefix&amp;$A3159&amp;IF($C3159="","","."&amp;$C3159&amp;"."&amp;$B3159)&amp;INDEX(VarEnd,MATCH($A3159,VarKey,0))&amp;AG$5</f>
        <v/>
      </c>
      <c r="AH3159" s="81">
        <f>SUMIFS(AH$1003:AH$3061,SecVar,"co2",SecSub,$C3159)+SUMIF($C$756:$C$764,$C3159,AH$756:AH$764)</f>
        <v/>
      </c>
      <c r="AI3159" s="82">
        <f>SUMIFS(AI$1003:AI$3061,SecVar,"co2",SecSub,$C3159)+SUMIF($C$756:$C$764,$C3159,AI$756:AI$764)</f>
        <v/>
      </c>
      <c r="AJ3159" s="82">
        <f>SUMIFS(AJ$1003:AJ$3061,SecVar,"co2",SecSub,$C3159)+SUMIF($C$756:$C$764,$C3159,AJ$756:AJ$764)</f>
        <v/>
      </c>
      <c r="AK3159" s="82">
        <f>SUMIFS(AK$1003:AK$3061,SecVar,"co2",SecSub,$C3159)+SUMIF($C$756:$C$764,$C3159,AK$756:AK$764)</f>
        <v/>
      </c>
      <c r="AL3159" s="82">
        <f>SUMIFS(AL$1003:AL$3061,SecVar,"co2",SecSub,$C3159)+SUMIF($C$756:$C$764,$C3159,AL$756:AL$764)</f>
        <v/>
      </c>
      <c r="AM3159" s="82">
        <f>SUMIFS(AM$1003:AM$3061,SecVar,"co2",SecSub,$C3159)+SUMIF($C$756:$C$764,$C3159,AM$756:AM$764)</f>
        <v/>
      </c>
      <c r="AN3159" s="82">
        <f>SUMIFS(AN$1003:AN$3061,SecVar,"co2",SecSub,$C3159)+SUMIF($C$756:$C$764,$C3159,AN$756:AN$764)</f>
        <v/>
      </c>
      <c r="AO3159" s="82">
        <f>SUMIFS(AO$1003:AO$3061,SecVar,"co2",SecSub,$C3159)+SUMIF($C$756:$C$764,$C3159,AO$756:AO$764)</f>
        <v/>
      </c>
      <c r="AP3159" s="82">
        <f>SUMIFS(AP$1003:AP$3061,SecVar,"co2",SecSub,$C3159)+SUMIF($C$756:$C$764,$C3159,AP$756:AP$764)</f>
        <v/>
      </c>
      <c r="AQ3159" s="82">
        <f>SUMIFS(AQ$1003:AQ$3061,SecVar,"co2",SecSub,$C3159)+SUMIF($C$756:$C$764,$C3159,AQ$756:AQ$764)</f>
        <v/>
      </c>
      <c r="AR3159" s="82">
        <f>SUMIFS(AR$1003:AR$3061,SecVar,"co2",SecSub,$C3159)+SUMIF($C$756:$C$764,$C3159,AR$756:AR$764)</f>
        <v/>
      </c>
      <c r="AS3159" s="82">
        <f>SUMIFS(AS$1003:AS$3061,SecVar,"co2",SecSub,$C3159)+SUMIF($C$756:$C$764,$C3159,AS$756:AS$764)</f>
        <v/>
      </c>
      <c r="AT3159" s="82">
        <f>SUMIFS(AT$1003:AT$3061,SecVar,"co2",SecSub,$C3159)+SUMIF($C$756:$C$764,$C3159,AT$756:AT$764)</f>
        <v/>
      </c>
      <c r="AU3159" s="82">
        <f>SUMIFS(AU$1003:AU$3061,SecVar,"co2",SecSub,$C3159)+SUMIF($C$756:$C$764,$C3159,AU$756:AU$764)</f>
        <v/>
      </c>
      <c r="AV3159" s="82">
        <f>SUMIFS(AV$1003:AV$3061,SecVar,"co2",SecSub,$C3159)+SUMIF($C$756:$C$764,$C3159,AV$756:AV$764)</f>
        <v/>
      </c>
      <c r="AW3159" s="82">
        <f>SUMIFS(AW$1003:AW$3061,SecVar,"co2",SecSub,$C3159)+SUMIF($C$756:$C$764,$C3159,AW$756:AW$764)</f>
        <v/>
      </c>
      <c r="AX3159" s="82">
        <f>SUMIFS(AX$1003:AX$3061,SecVar,"co2",SecSub,$C3159)+SUMIF($C$756:$C$764,$C3159,AX$756:AX$764)</f>
        <v/>
      </c>
      <c r="AY3159" s="82">
        <f>SUMIFS(AY$1003:AY$3061,SecVar,"co2",SecSub,$C3159)+SUMIF($C$756:$C$764,$C3159,AY$756:AY$764)</f>
        <v/>
      </c>
      <c r="AZ3159" s="82">
        <f>SUMIFS(AZ$1003:AZ$3061,SecVar,"co2",SecSub,$C3159)+SUMIF($C$756:$C$764,$C3159,AZ$756:AZ$764)</f>
        <v/>
      </c>
      <c r="BA3159" s="82">
        <f>SUMIFS(BA$1003:BA$3061,SecVar,"co2",SecSub,$C3159)+SUMIF($C$756:$C$764,$C3159,BA$756:BA$764)</f>
        <v/>
      </c>
    </row>
    <row r="3160" hidden="1" outlineLevel="1">
      <c r="A3160" s="14" t="inlineStr">
        <is>
          <t>co2.sec</t>
        </is>
      </c>
      <c r="B3160" s="14" t="inlineStr">
        <is>
          <t>all</t>
        </is>
      </c>
      <c r="C3160" s="14" t="inlineStr">
        <is>
          <t>avi</t>
        </is>
      </c>
      <c r="H3160" s="14">
        <f>INDEX(VarLab,MATCH($A3160,VarKey,0))&amp;INDEX(MemLab,MATCH($C3160&amp;"|"&amp;$B3160,MemKey,0))</f>
        <v/>
      </c>
      <c r="I3160" s="14">
        <f>INDEX(VarUnit,MATCH($A3160,VarKey,0))</f>
        <v/>
      </c>
      <c r="J3160" s="14">
        <f>INDEX(VarSrc,MATCH($A3160,VarKey,0))</f>
        <v/>
      </c>
      <c r="K3160" s="11">
        <f>CodePrefix&amp;$A3160&amp;IF($C3160="","","."&amp;$C3160&amp;"."&amp;$B3160)&amp;INDEX(VarEnd,MATCH($A3160,VarKey,0))&amp;K$5</f>
        <v/>
      </c>
      <c r="L3160" s="81">
        <f>SUMIFS(L$1003:L$3061,SecVar,"co2",SecSub,$C3160)+SUMIF($C$756:$C$764,$C3160,L$756:L$764)</f>
        <v/>
      </c>
      <c r="M3160" s="82">
        <f>SUMIFS(M$1003:M$3061,SecVar,"co2",SecSub,$C3160)+SUMIF($C$756:$C$764,$C3160,M$756:M$764)</f>
        <v/>
      </c>
      <c r="N3160" s="82">
        <f>SUMIFS(N$1003:N$3061,SecVar,"co2",SecSub,$C3160)+SUMIF($C$756:$C$764,$C3160,N$756:N$764)</f>
        <v/>
      </c>
      <c r="O3160" s="82">
        <f>SUMIFS(O$1003:O$3061,SecVar,"co2",SecSub,$C3160)+SUMIF($C$756:$C$764,$C3160,O$756:O$764)</f>
        <v/>
      </c>
      <c r="P3160" s="82">
        <f>SUMIFS(P$1003:P$3061,SecVar,"co2",SecSub,$C3160)+SUMIF($C$756:$C$764,$C3160,P$756:P$764)</f>
        <v/>
      </c>
      <c r="Q3160" s="82">
        <f>SUMIFS(Q$1003:Q$3061,SecVar,"co2",SecSub,$C3160)+SUMIF($C$756:$C$764,$C3160,Q$756:Q$764)</f>
        <v/>
      </c>
      <c r="R3160" s="82">
        <f>SUMIFS(R$1003:R$3061,SecVar,"co2",SecSub,$C3160)+SUMIF($C$756:$C$764,$C3160,R$756:R$764)</f>
        <v/>
      </c>
      <c r="S3160" s="82">
        <f>SUMIFS(S$1003:S$3061,SecVar,"co2",SecSub,$C3160)+SUMIF($C$756:$C$764,$C3160,S$756:S$764)</f>
        <v/>
      </c>
      <c r="T3160" s="82">
        <f>SUMIFS(T$1003:T$3061,SecVar,"co2",SecSub,$C3160)+SUMIF($C$756:$C$764,$C3160,T$756:T$764)</f>
        <v/>
      </c>
      <c r="U3160" s="82">
        <f>SUMIFS(U$1003:U$3061,SecVar,"co2",SecSub,$C3160)+SUMIF($C$756:$C$764,$C3160,U$756:U$764)</f>
        <v/>
      </c>
      <c r="V3160" s="82">
        <f>SUMIFS(V$1003:V$3061,SecVar,"co2",SecSub,$C3160)+SUMIF($C$756:$C$764,$C3160,V$756:V$764)</f>
        <v/>
      </c>
      <c r="W3160" s="82">
        <f>SUMIFS(W$1003:W$3061,SecVar,"co2",SecSub,$C3160)+SUMIF($C$756:$C$764,$C3160,W$756:W$764)</f>
        <v/>
      </c>
      <c r="X3160" s="82">
        <f>SUMIFS(X$1003:X$3061,SecVar,"co2",SecSub,$C3160)+SUMIF($C$756:$C$764,$C3160,X$756:X$764)</f>
        <v/>
      </c>
      <c r="Y3160" s="82">
        <f>SUMIFS(Y$1003:Y$3061,SecVar,"co2",SecSub,$C3160)+SUMIF($C$756:$C$764,$C3160,Y$756:Y$764)</f>
        <v/>
      </c>
      <c r="Z3160" s="82">
        <f>SUMIFS(Z$1003:Z$3061,SecVar,"co2",SecSub,$C3160)+SUMIF($C$756:$C$764,$C3160,Z$756:Z$764)</f>
        <v/>
      </c>
      <c r="AA3160" s="82">
        <f>SUMIFS(AA$1003:AA$3061,SecVar,"co2",SecSub,$C3160)+SUMIF($C$756:$C$764,$C3160,AA$756:AA$764)</f>
        <v/>
      </c>
      <c r="AB3160" s="82">
        <f>SUMIFS(AB$1003:AB$3061,SecVar,"co2",SecSub,$C3160)+SUMIF($C$756:$C$764,$C3160,AB$756:AB$764)</f>
        <v/>
      </c>
      <c r="AC3160" s="82">
        <f>SUMIFS(AC$1003:AC$3061,SecVar,"co2",SecSub,$C3160)+SUMIF($C$756:$C$764,$C3160,AC$756:AC$764)</f>
        <v/>
      </c>
      <c r="AD3160" s="82">
        <f>SUMIFS(AD$1003:AD$3061,SecVar,"co2",SecSub,$C3160)+SUMIF($C$756:$C$764,$C3160,AD$756:AD$764)</f>
        <v/>
      </c>
      <c r="AE3160" s="82">
        <f>SUMIFS(AE$1003:AE$3061,SecVar,"co2",SecSub,$C3160)+SUMIF($C$756:$C$764,$C3160,AE$756:AE$764)</f>
        <v/>
      </c>
      <c r="AG3160" s="11">
        <f>CodePrefix&amp;$A3160&amp;IF($C3160="","","."&amp;$C3160&amp;"."&amp;$B3160)&amp;INDEX(VarEnd,MATCH($A3160,VarKey,0))&amp;AG$5</f>
        <v/>
      </c>
      <c r="AH3160" s="81">
        <f>SUMIFS(AH$1003:AH$3061,SecVar,"co2",SecSub,$C3160)+SUMIF($C$756:$C$764,$C3160,AH$756:AH$764)</f>
        <v/>
      </c>
      <c r="AI3160" s="82">
        <f>SUMIFS(AI$1003:AI$3061,SecVar,"co2",SecSub,$C3160)+SUMIF($C$756:$C$764,$C3160,AI$756:AI$764)</f>
        <v/>
      </c>
      <c r="AJ3160" s="82">
        <f>SUMIFS(AJ$1003:AJ$3061,SecVar,"co2",SecSub,$C3160)+SUMIF($C$756:$C$764,$C3160,AJ$756:AJ$764)</f>
        <v/>
      </c>
      <c r="AK3160" s="82">
        <f>SUMIFS(AK$1003:AK$3061,SecVar,"co2",SecSub,$C3160)+SUMIF($C$756:$C$764,$C3160,AK$756:AK$764)</f>
        <v/>
      </c>
      <c r="AL3160" s="82">
        <f>SUMIFS(AL$1003:AL$3061,SecVar,"co2",SecSub,$C3160)+SUMIF($C$756:$C$764,$C3160,AL$756:AL$764)</f>
        <v/>
      </c>
      <c r="AM3160" s="82">
        <f>SUMIFS(AM$1003:AM$3061,SecVar,"co2",SecSub,$C3160)+SUMIF($C$756:$C$764,$C3160,AM$756:AM$764)</f>
        <v/>
      </c>
      <c r="AN3160" s="82">
        <f>SUMIFS(AN$1003:AN$3061,SecVar,"co2",SecSub,$C3160)+SUMIF($C$756:$C$764,$C3160,AN$756:AN$764)</f>
        <v/>
      </c>
      <c r="AO3160" s="82">
        <f>SUMIFS(AO$1003:AO$3061,SecVar,"co2",SecSub,$C3160)+SUMIF($C$756:$C$764,$C3160,AO$756:AO$764)</f>
        <v/>
      </c>
      <c r="AP3160" s="82">
        <f>SUMIFS(AP$1003:AP$3061,SecVar,"co2",SecSub,$C3160)+SUMIF($C$756:$C$764,$C3160,AP$756:AP$764)</f>
        <v/>
      </c>
      <c r="AQ3160" s="82">
        <f>SUMIFS(AQ$1003:AQ$3061,SecVar,"co2",SecSub,$C3160)+SUMIF($C$756:$C$764,$C3160,AQ$756:AQ$764)</f>
        <v/>
      </c>
      <c r="AR3160" s="82">
        <f>SUMIFS(AR$1003:AR$3061,SecVar,"co2",SecSub,$C3160)+SUMIF($C$756:$C$764,$C3160,AR$756:AR$764)</f>
        <v/>
      </c>
      <c r="AS3160" s="82">
        <f>SUMIFS(AS$1003:AS$3061,SecVar,"co2",SecSub,$C3160)+SUMIF($C$756:$C$764,$C3160,AS$756:AS$764)</f>
        <v/>
      </c>
      <c r="AT3160" s="82">
        <f>SUMIFS(AT$1003:AT$3061,SecVar,"co2",SecSub,$C3160)+SUMIF($C$756:$C$764,$C3160,AT$756:AT$764)</f>
        <v/>
      </c>
      <c r="AU3160" s="82">
        <f>SUMIFS(AU$1003:AU$3061,SecVar,"co2",SecSub,$C3160)+SUMIF($C$756:$C$764,$C3160,AU$756:AU$764)</f>
        <v/>
      </c>
      <c r="AV3160" s="82">
        <f>SUMIFS(AV$1003:AV$3061,SecVar,"co2",SecSub,$C3160)+SUMIF($C$756:$C$764,$C3160,AV$756:AV$764)</f>
        <v/>
      </c>
      <c r="AW3160" s="82">
        <f>SUMIFS(AW$1003:AW$3061,SecVar,"co2",SecSub,$C3160)+SUMIF($C$756:$C$764,$C3160,AW$756:AW$764)</f>
        <v/>
      </c>
      <c r="AX3160" s="82">
        <f>SUMIFS(AX$1003:AX$3061,SecVar,"co2",SecSub,$C3160)+SUMIF($C$756:$C$764,$C3160,AX$756:AX$764)</f>
        <v/>
      </c>
      <c r="AY3160" s="82">
        <f>SUMIFS(AY$1003:AY$3061,SecVar,"co2",SecSub,$C3160)+SUMIF($C$756:$C$764,$C3160,AY$756:AY$764)</f>
        <v/>
      </c>
      <c r="AZ3160" s="82">
        <f>SUMIFS(AZ$1003:AZ$3061,SecVar,"co2",SecSub,$C3160)+SUMIF($C$756:$C$764,$C3160,AZ$756:AZ$764)</f>
        <v/>
      </c>
      <c r="BA3160" s="82">
        <f>SUMIFS(BA$1003:BA$3061,SecVar,"co2",SecSub,$C3160)+SUMIF($C$756:$C$764,$C3160,BA$756:BA$764)</f>
        <v/>
      </c>
    </row>
    <row r="3161" hidden="1" outlineLevel="1">
      <c r="A3161" s="14" t="inlineStr">
        <is>
          <t>co2.sec</t>
        </is>
      </c>
      <c r="B3161" s="14" t="inlineStr">
        <is>
          <t>all</t>
        </is>
      </c>
      <c r="C3161" s="14" t="inlineStr">
        <is>
          <t>nav</t>
        </is>
      </c>
      <c r="H3161" s="14">
        <f>INDEX(VarLab,MATCH($A3161,VarKey,0))&amp;INDEX(MemLab,MATCH($C3161&amp;"|"&amp;$B3161,MemKey,0))</f>
        <v/>
      </c>
      <c r="I3161" s="14">
        <f>INDEX(VarUnit,MATCH($A3161,VarKey,0))</f>
        <v/>
      </c>
      <c r="J3161" s="14">
        <f>INDEX(VarSrc,MATCH($A3161,VarKey,0))</f>
        <v/>
      </c>
      <c r="K3161" s="11">
        <f>CodePrefix&amp;$A3161&amp;IF($C3161="","","."&amp;$C3161&amp;"."&amp;$B3161)&amp;INDEX(VarEnd,MATCH($A3161,VarKey,0))&amp;K$5</f>
        <v/>
      </c>
      <c r="L3161" s="81">
        <f>SUMIFS(L$1003:L$3061,SecVar,"co2",SecSub,$C3161)+SUMIF($C$756:$C$764,$C3161,L$756:L$764)</f>
        <v/>
      </c>
      <c r="M3161" s="82">
        <f>SUMIFS(M$1003:M$3061,SecVar,"co2",SecSub,$C3161)+SUMIF($C$756:$C$764,$C3161,M$756:M$764)</f>
        <v/>
      </c>
      <c r="N3161" s="82">
        <f>SUMIFS(N$1003:N$3061,SecVar,"co2",SecSub,$C3161)+SUMIF($C$756:$C$764,$C3161,N$756:N$764)</f>
        <v/>
      </c>
      <c r="O3161" s="82">
        <f>SUMIFS(O$1003:O$3061,SecVar,"co2",SecSub,$C3161)+SUMIF($C$756:$C$764,$C3161,O$756:O$764)</f>
        <v/>
      </c>
      <c r="P3161" s="82">
        <f>SUMIFS(P$1003:P$3061,SecVar,"co2",SecSub,$C3161)+SUMIF($C$756:$C$764,$C3161,P$756:P$764)</f>
        <v/>
      </c>
      <c r="Q3161" s="82">
        <f>SUMIFS(Q$1003:Q$3061,SecVar,"co2",SecSub,$C3161)+SUMIF($C$756:$C$764,$C3161,Q$756:Q$764)</f>
        <v/>
      </c>
      <c r="R3161" s="82">
        <f>SUMIFS(R$1003:R$3061,SecVar,"co2",SecSub,$C3161)+SUMIF($C$756:$C$764,$C3161,R$756:R$764)</f>
        <v/>
      </c>
      <c r="S3161" s="82">
        <f>SUMIFS(S$1003:S$3061,SecVar,"co2",SecSub,$C3161)+SUMIF($C$756:$C$764,$C3161,S$756:S$764)</f>
        <v/>
      </c>
      <c r="T3161" s="82">
        <f>SUMIFS(T$1003:T$3061,SecVar,"co2",SecSub,$C3161)+SUMIF($C$756:$C$764,$C3161,T$756:T$764)</f>
        <v/>
      </c>
      <c r="U3161" s="82">
        <f>SUMIFS(U$1003:U$3061,SecVar,"co2",SecSub,$C3161)+SUMIF($C$756:$C$764,$C3161,U$756:U$764)</f>
        <v/>
      </c>
      <c r="V3161" s="82">
        <f>SUMIFS(V$1003:V$3061,SecVar,"co2",SecSub,$C3161)+SUMIF($C$756:$C$764,$C3161,V$756:V$764)</f>
        <v/>
      </c>
      <c r="W3161" s="82">
        <f>SUMIFS(W$1003:W$3061,SecVar,"co2",SecSub,$C3161)+SUMIF($C$756:$C$764,$C3161,W$756:W$764)</f>
        <v/>
      </c>
      <c r="X3161" s="82">
        <f>SUMIFS(X$1003:X$3061,SecVar,"co2",SecSub,$C3161)+SUMIF($C$756:$C$764,$C3161,X$756:X$764)</f>
        <v/>
      </c>
      <c r="Y3161" s="82">
        <f>SUMIFS(Y$1003:Y$3061,SecVar,"co2",SecSub,$C3161)+SUMIF($C$756:$C$764,$C3161,Y$756:Y$764)</f>
        <v/>
      </c>
      <c r="Z3161" s="82">
        <f>SUMIFS(Z$1003:Z$3061,SecVar,"co2",SecSub,$C3161)+SUMIF($C$756:$C$764,$C3161,Z$756:Z$764)</f>
        <v/>
      </c>
      <c r="AA3161" s="82">
        <f>SUMIFS(AA$1003:AA$3061,SecVar,"co2",SecSub,$C3161)+SUMIF($C$756:$C$764,$C3161,AA$756:AA$764)</f>
        <v/>
      </c>
      <c r="AB3161" s="82">
        <f>SUMIFS(AB$1003:AB$3061,SecVar,"co2",SecSub,$C3161)+SUMIF($C$756:$C$764,$C3161,AB$756:AB$764)</f>
        <v/>
      </c>
      <c r="AC3161" s="82">
        <f>SUMIFS(AC$1003:AC$3061,SecVar,"co2",SecSub,$C3161)+SUMIF($C$756:$C$764,$C3161,AC$756:AC$764)</f>
        <v/>
      </c>
      <c r="AD3161" s="82">
        <f>SUMIFS(AD$1003:AD$3061,SecVar,"co2",SecSub,$C3161)+SUMIF($C$756:$C$764,$C3161,AD$756:AD$764)</f>
        <v/>
      </c>
      <c r="AE3161" s="82">
        <f>SUMIFS(AE$1003:AE$3061,SecVar,"co2",SecSub,$C3161)+SUMIF($C$756:$C$764,$C3161,AE$756:AE$764)</f>
        <v/>
      </c>
      <c r="AG3161" s="11">
        <f>CodePrefix&amp;$A3161&amp;IF($C3161="","","."&amp;$C3161&amp;"."&amp;$B3161)&amp;INDEX(VarEnd,MATCH($A3161,VarKey,0))&amp;AG$5</f>
        <v/>
      </c>
      <c r="AH3161" s="81">
        <f>SUMIFS(AH$1003:AH$3061,SecVar,"co2",SecSub,$C3161)+SUMIF($C$756:$C$764,$C3161,AH$756:AH$764)</f>
        <v/>
      </c>
      <c r="AI3161" s="82">
        <f>SUMIFS(AI$1003:AI$3061,SecVar,"co2",SecSub,$C3161)+SUMIF($C$756:$C$764,$C3161,AI$756:AI$764)</f>
        <v/>
      </c>
      <c r="AJ3161" s="82">
        <f>SUMIFS(AJ$1003:AJ$3061,SecVar,"co2",SecSub,$C3161)+SUMIF($C$756:$C$764,$C3161,AJ$756:AJ$764)</f>
        <v/>
      </c>
      <c r="AK3161" s="82">
        <f>SUMIFS(AK$1003:AK$3061,SecVar,"co2",SecSub,$C3161)+SUMIF($C$756:$C$764,$C3161,AK$756:AK$764)</f>
        <v/>
      </c>
      <c r="AL3161" s="82">
        <f>SUMIFS(AL$1003:AL$3061,SecVar,"co2",SecSub,$C3161)+SUMIF($C$756:$C$764,$C3161,AL$756:AL$764)</f>
        <v/>
      </c>
      <c r="AM3161" s="82">
        <f>SUMIFS(AM$1003:AM$3061,SecVar,"co2",SecSub,$C3161)+SUMIF($C$756:$C$764,$C3161,AM$756:AM$764)</f>
        <v/>
      </c>
      <c r="AN3161" s="82">
        <f>SUMIFS(AN$1003:AN$3061,SecVar,"co2",SecSub,$C3161)+SUMIF($C$756:$C$764,$C3161,AN$756:AN$764)</f>
        <v/>
      </c>
      <c r="AO3161" s="82">
        <f>SUMIFS(AO$1003:AO$3061,SecVar,"co2",SecSub,$C3161)+SUMIF($C$756:$C$764,$C3161,AO$756:AO$764)</f>
        <v/>
      </c>
      <c r="AP3161" s="82">
        <f>SUMIFS(AP$1003:AP$3061,SecVar,"co2",SecSub,$C3161)+SUMIF($C$756:$C$764,$C3161,AP$756:AP$764)</f>
        <v/>
      </c>
      <c r="AQ3161" s="82">
        <f>SUMIFS(AQ$1003:AQ$3061,SecVar,"co2",SecSub,$C3161)+SUMIF($C$756:$C$764,$C3161,AQ$756:AQ$764)</f>
        <v/>
      </c>
      <c r="AR3161" s="82">
        <f>SUMIFS(AR$1003:AR$3061,SecVar,"co2",SecSub,$C3161)+SUMIF($C$756:$C$764,$C3161,AR$756:AR$764)</f>
        <v/>
      </c>
      <c r="AS3161" s="82">
        <f>SUMIFS(AS$1003:AS$3061,SecVar,"co2",SecSub,$C3161)+SUMIF($C$756:$C$764,$C3161,AS$756:AS$764)</f>
        <v/>
      </c>
      <c r="AT3161" s="82">
        <f>SUMIFS(AT$1003:AT$3061,SecVar,"co2",SecSub,$C3161)+SUMIF($C$756:$C$764,$C3161,AT$756:AT$764)</f>
        <v/>
      </c>
      <c r="AU3161" s="82">
        <f>SUMIFS(AU$1003:AU$3061,SecVar,"co2",SecSub,$C3161)+SUMIF($C$756:$C$764,$C3161,AU$756:AU$764)</f>
        <v/>
      </c>
      <c r="AV3161" s="82">
        <f>SUMIFS(AV$1003:AV$3061,SecVar,"co2",SecSub,$C3161)+SUMIF($C$756:$C$764,$C3161,AV$756:AV$764)</f>
        <v/>
      </c>
      <c r="AW3161" s="82">
        <f>SUMIFS(AW$1003:AW$3061,SecVar,"co2",SecSub,$C3161)+SUMIF($C$756:$C$764,$C3161,AW$756:AW$764)</f>
        <v/>
      </c>
      <c r="AX3161" s="82">
        <f>SUMIFS(AX$1003:AX$3061,SecVar,"co2",SecSub,$C3161)+SUMIF($C$756:$C$764,$C3161,AX$756:AX$764)</f>
        <v/>
      </c>
      <c r="AY3161" s="82">
        <f>SUMIFS(AY$1003:AY$3061,SecVar,"co2",SecSub,$C3161)+SUMIF($C$756:$C$764,$C3161,AY$756:AY$764)</f>
        <v/>
      </c>
      <c r="AZ3161" s="82">
        <f>SUMIFS(AZ$1003:AZ$3061,SecVar,"co2",SecSub,$C3161)+SUMIF($C$756:$C$764,$C3161,AZ$756:AZ$764)</f>
        <v/>
      </c>
      <c r="BA3161" s="82">
        <f>SUMIFS(BA$1003:BA$3061,SecVar,"co2",SecSub,$C3161)+SUMIF($C$756:$C$764,$C3161,BA$756:BA$764)</f>
        <v/>
      </c>
    </row>
    <row r="3162" hidden="1" outlineLevel="1">
      <c r="A3162" s="14" t="inlineStr">
        <is>
          <t>co2.sec</t>
        </is>
      </c>
      <c r="B3162" s="14" t="inlineStr">
        <is>
          <t>all</t>
        </is>
      </c>
      <c r="C3162" s="14" t="inlineStr">
        <is>
          <t>res</t>
        </is>
      </c>
      <c r="H3162" s="14">
        <f>INDEX(VarLab,MATCH($A3162,VarKey,0))&amp;INDEX(MemLab,MATCH($C3162&amp;"|"&amp;$B3162,MemKey,0))</f>
        <v/>
      </c>
      <c r="I3162" s="14">
        <f>INDEX(VarUnit,MATCH($A3162,VarKey,0))</f>
        <v/>
      </c>
      <c r="J3162" s="14">
        <f>INDEX(VarSrc,MATCH($A3162,VarKey,0))</f>
        <v/>
      </c>
      <c r="K3162" s="11">
        <f>CodePrefix&amp;$A3162&amp;IF($C3162="","","."&amp;$C3162&amp;"."&amp;$B3162)&amp;INDEX(VarEnd,MATCH($A3162,VarKey,0))&amp;K$5</f>
        <v/>
      </c>
      <c r="L3162" s="81">
        <f>SUMIFS(L$1003:L$3061,SecVar,"co2",SecSub,$C3162)+SUMIF($C$756:$C$764,$C3162,L$756:L$764)</f>
        <v/>
      </c>
      <c r="M3162" s="82">
        <f>SUMIFS(M$1003:M$3061,SecVar,"co2",SecSub,$C3162)+SUMIF($C$756:$C$764,$C3162,M$756:M$764)</f>
        <v/>
      </c>
      <c r="N3162" s="82">
        <f>SUMIFS(N$1003:N$3061,SecVar,"co2",SecSub,$C3162)+SUMIF($C$756:$C$764,$C3162,N$756:N$764)</f>
        <v/>
      </c>
      <c r="O3162" s="82">
        <f>SUMIFS(O$1003:O$3061,SecVar,"co2",SecSub,$C3162)+SUMIF($C$756:$C$764,$C3162,O$756:O$764)</f>
        <v/>
      </c>
      <c r="P3162" s="82">
        <f>SUMIFS(P$1003:P$3061,SecVar,"co2",SecSub,$C3162)+SUMIF($C$756:$C$764,$C3162,P$756:P$764)</f>
        <v/>
      </c>
      <c r="Q3162" s="82">
        <f>SUMIFS(Q$1003:Q$3061,SecVar,"co2",SecSub,$C3162)+SUMIF($C$756:$C$764,$C3162,Q$756:Q$764)</f>
        <v/>
      </c>
      <c r="R3162" s="82">
        <f>SUMIFS(R$1003:R$3061,SecVar,"co2",SecSub,$C3162)+SUMIF($C$756:$C$764,$C3162,R$756:R$764)</f>
        <v/>
      </c>
      <c r="S3162" s="82">
        <f>SUMIFS(S$1003:S$3061,SecVar,"co2",SecSub,$C3162)+SUMIF($C$756:$C$764,$C3162,S$756:S$764)</f>
        <v/>
      </c>
      <c r="T3162" s="82">
        <f>SUMIFS(T$1003:T$3061,SecVar,"co2",SecSub,$C3162)+SUMIF($C$756:$C$764,$C3162,T$756:T$764)</f>
        <v/>
      </c>
      <c r="U3162" s="82">
        <f>SUMIFS(U$1003:U$3061,SecVar,"co2",SecSub,$C3162)+SUMIF($C$756:$C$764,$C3162,U$756:U$764)</f>
        <v/>
      </c>
      <c r="V3162" s="82">
        <f>SUMIFS(V$1003:V$3061,SecVar,"co2",SecSub,$C3162)+SUMIF($C$756:$C$764,$C3162,V$756:V$764)</f>
        <v/>
      </c>
      <c r="W3162" s="82">
        <f>SUMIFS(W$1003:W$3061,SecVar,"co2",SecSub,$C3162)+SUMIF($C$756:$C$764,$C3162,W$756:W$764)</f>
        <v/>
      </c>
      <c r="X3162" s="82">
        <f>SUMIFS(X$1003:X$3061,SecVar,"co2",SecSub,$C3162)+SUMIF($C$756:$C$764,$C3162,X$756:X$764)</f>
        <v/>
      </c>
      <c r="Y3162" s="82">
        <f>SUMIFS(Y$1003:Y$3061,SecVar,"co2",SecSub,$C3162)+SUMIF($C$756:$C$764,$C3162,Y$756:Y$764)</f>
        <v/>
      </c>
      <c r="Z3162" s="82">
        <f>SUMIFS(Z$1003:Z$3061,SecVar,"co2",SecSub,$C3162)+SUMIF($C$756:$C$764,$C3162,Z$756:Z$764)</f>
        <v/>
      </c>
      <c r="AA3162" s="82">
        <f>SUMIFS(AA$1003:AA$3061,SecVar,"co2",SecSub,$C3162)+SUMIF($C$756:$C$764,$C3162,AA$756:AA$764)</f>
        <v/>
      </c>
      <c r="AB3162" s="82">
        <f>SUMIFS(AB$1003:AB$3061,SecVar,"co2",SecSub,$C3162)+SUMIF($C$756:$C$764,$C3162,AB$756:AB$764)</f>
        <v/>
      </c>
      <c r="AC3162" s="82">
        <f>SUMIFS(AC$1003:AC$3061,SecVar,"co2",SecSub,$C3162)+SUMIF($C$756:$C$764,$C3162,AC$756:AC$764)</f>
        <v/>
      </c>
      <c r="AD3162" s="82">
        <f>SUMIFS(AD$1003:AD$3061,SecVar,"co2",SecSub,$C3162)+SUMIF($C$756:$C$764,$C3162,AD$756:AD$764)</f>
        <v/>
      </c>
      <c r="AE3162" s="82">
        <f>SUMIFS(AE$1003:AE$3061,SecVar,"co2",SecSub,$C3162)+SUMIF($C$756:$C$764,$C3162,AE$756:AE$764)</f>
        <v/>
      </c>
      <c r="AG3162" s="11">
        <f>CodePrefix&amp;$A3162&amp;IF($C3162="","","."&amp;$C3162&amp;"."&amp;$B3162)&amp;INDEX(VarEnd,MATCH($A3162,VarKey,0))&amp;AG$5</f>
        <v/>
      </c>
      <c r="AH3162" s="81">
        <f>SUMIFS(AH$1003:AH$3061,SecVar,"co2",SecSub,$C3162)+SUMIF($C$756:$C$764,$C3162,AH$756:AH$764)</f>
        <v/>
      </c>
      <c r="AI3162" s="82">
        <f>SUMIFS(AI$1003:AI$3061,SecVar,"co2",SecSub,$C3162)+SUMIF($C$756:$C$764,$C3162,AI$756:AI$764)</f>
        <v/>
      </c>
      <c r="AJ3162" s="82">
        <f>SUMIFS(AJ$1003:AJ$3061,SecVar,"co2",SecSub,$C3162)+SUMIF($C$756:$C$764,$C3162,AJ$756:AJ$764)</f>
        <v/>
      </c>
      <c r="AK3162" s="82">
        <f>SUMIFS(AK$1003:AK$3061,SecVar,"co2",SecSub,$C3162)+SUMIF($C$756:$C$764,$C3162,AK$756:AK$764)</f>
        <v/>
      </c>
      <c r="AL3162" s="82">
        <f>SUMIFS(AL$1003:AL$3061,SecVar,"co2",SecSub,$C3162)+SUMIF($C$756:$C$764,$C3162,AL$756:AL$764)</f>
        <v/>
      </c>
      <c r="AM3162" s="82">
        <f>SUMIFS(AM$1003:AM$3061,SecVar,"co2",SecSub,$C3162)+SUMIF($C$756:$C$764,$C3162,AM$756:AM$764)</f>
        <v/>
      </c>
      <c r="AN3162" s="82">
        <f>SUMIFS(AN$1003:AN$3061,SecVar,"co2",SecSub,$C3162)+SUMIF($C$756:$C$764,$C3162,AN$756:AN$764)</f>
        <v/>
      </c>
      <c r="AO3162" s="82">
        <f>SUMIFS(AO$1003:AO$3061,SecVar,"co2",SecSub,$C3162)+SUMIF($C$756:$C$764,$C3162,AO$756:AO$764)</f>
        <v/>
      </c>
      <c r="AP3162" s="82">
        <f>SUMIFS(AP$1003:AP$3061,SecVar,"co2",SecSub,$C3162)+SUMIF($C$756:$C$764,$C3162,AP$756:AP$764)</f>
        <v/>
      </c>
      <c r="AQ3162" s="82">
        <f>SUMIFS(AQ$1003:AQ$3061,SecVar,"co2",SecSub,$C3162)+SUMIF($C$756:$C$764,$C3162,AQ$756:AQ$764)</f>
        <v/>
      </c>
      <c r="AR3162" s="82">
        <f>SUMIFS(AR$1003:AR$3061,SecVar,"co2",SecSub,$C3162)+SUMIF($C$756:$C$764,$C3162,AR$756:AR$764)</f>
        <v/>
      </c>
      <c r="AS3162" s="82">
        <f>SUMIFS(AS$1003:AS$3061,SecVar,"co2",SecSub,$C3162)+SUMIF($C$756:$C$764,$C3162,AS$756:AS$764)</f>
        <v/>
      </c>
      <c r="AT3162" s="82">
        <f>SUMIFS(AT$1003:AT$3061,SecVar,"co2",SecSub,$C3162)+SUMIF($C$756:$C$764,$C3162,AT$756:AT$764)</f>
        <v/>
      </c>
      <c r="AU3162" s="82">
        <f>SUMIFS(AU$1003:AU$3061,SecVar,"co2",SecSub,$C3162)+SUMIF($C$756:$C$764,$C3162,AU$756:AU$764)</f>
        <v/>
      </c>
      <c r="AV3162" s="82">
        <f>SUMIFS(AV$1003:AV$3061,SecVar,"co2",SecSub,$C3162)+SUMIF($C$756:$C$764,$C3162,AV$756:AV$764)</f>
        <v/>
      </c>
      <c r="AW3162" s="82">
        <f>SUMIFS(AW$1003:AW$3061,SecVar,"co2",SecSub,$C3162)+SUMIF($C$756:$C$764,$C3162,AW$756:AW$764)</f>
        <v/>
      </c>
      <c r="AX3162" s="82">
        <f>SUMIFS(AX$1003:AX$3061,SecVar,"co2",SecSub,$C3162)+SUMIF($C$756:$C$764,$C3162,AX$756:AX$764)</f>
        <v/>
      </c>
      <c r="AY3162" s="82">
        <f>SUMIFS(AY$1003:AY$3061,SecVar,"co2",SecSub,$C3162)+SUMIF($C$756:$C$764,$C3162,AY$756:AY$764)</f>
        <v/>
      </c>
      <c r="AZ3162" s="82">
        <f>SUMIFS(AZ$1003:AZ$3061,SecVar,"co2",SecSub,$C3162)+SUMIF($C$756:$C$764,$C3162,AZ$756:AZ$764)</f>
        <v/>
      </c>
      <c r="BA3162" s="82">
        <f>SUMIFS(BA$1003:BA$3061,SecVar,"co2",SecSub,$C3162)+SUMIF($C$756:$C$764,$C3162,BA$756:BA$764)</f>
        <v/>
      </c>
    </row>
    <row r="3163" hidden="1" outlineLevel="1">
      <c r="A3163" s="14" t="inlineStr">
        <is>
          <t>co2.sec</t>
        </is>
      </c>
      <c r="B3163" s="14" t="inlineStr">
        <is>
          <t>all</t>
        </is>
      </c>
      <c r="C3163" s="14" t="inlineStr">
        <is>
          <t>foo</t>
        </is>
      </c>
      <c r="H3163" s="14">
        <f>INDEX(VarLab,MATCH($A3163,VarKey,0))&amp;INDEX(MemLab,MATCH($C3163&amp;"|"&amp;$B3163,MemKey,0))</f>
        <v/>
      </c>
      <c r="I3163" s="14">
        <f>INDEX(VarUnit,MATCH($A3163,VarKey,0))</f>
        <v/>
      </c>
      <c r="J3163" s="14">
        <f>INDEX(VarSrc,MATCH($A3163,VarKey,0))</f>
        <v/>
      </c>
      <c r="K3163" s="11">
        <f>CodePrefix&amp;$A3163&amp;IF($C3163="","","."&amp;$C3163&amp;"."&amp;$B3163)&amp;INDEX(VarEnd,MATCH($A3163,VarKey,0))&amp;K$5</f>
        <v/>
      </c>
      <c r="L3163" s="81">
        <f>SUMIFS(L$1003:L$3061,SecVar,"co2",SecSub,$C3163)+SUMIF($C$756:$C$764,$C3163,L$756:L$764)</f>
        <v/>
      </c>
      <c r="M3163" s="82">
        <f>SUMIFS(M$1003:M$3061,SecVar,"co2",SecSub,$C3163)+SUMIF($C$756:$C$764,$C3163,M$756:M$764)</f>
        <v/>
      </c>
      <c r="N3163" s="82">
        <f>SUMIFS(N$1003:N$3061,SecVar,"co2",SecSub,$C3163)+SUMIF($C$756:$C$764,$C3163,N$756:N$764)</f>
        <v/>
      </c>
      <c r="O3163" s="82">
        <f>SUMIFS(O$1003:O$3061,SecVar,"co2",SecSub,$C3163)+SUMIF($C$756:$C$764,$C3163,O$756:O$764)</f>
        <v/>
      </c>
      <c r="P3163" s="82">
        <f>SUMIFS(P$1003:P$3061,SecVar,"co2",SecSub,$C3163)+SUMIF($C$756:$C$764,$C3163,P$756:P$764)</f>
        <v/>
      </c>
      <c r="Q3163" s="82">
        <f>SUMIFS(Q$1003:Q$3061,SecVar,"co2",SecSub,$C3163)+SUMIF($C$756:$C$764,$C3163,Q$756:Q$764)</f>
        <v/>
      </c>
      <c r="R3163" s="82">
        <f>SUMIFS(R$1003:R$3061,SecVar,"co2",SecSub,$C3163)+SUMIF($C$756:$C$764,$C3163,R$756:R$764)</f>
        <v/>
      </c>
      <c r="S3163" s="82">
        <f>SUMIFS(S$1003:S$3061,SecVar,"co2",SecSub,$C3163)+SUMIF($C$756:$C$764,$C3163,S$756:S$764)</f>
        <v/>
      </c>
      <c r="T3163" s="82">
        <f>SUMIFS(T$1003:T$3061,SecVar,"co2",SecSub,$C3163)+SUMIF($C$756:$C$764,$C3163,T$756:T$764)</f>
        <v/>
      </c>
      <c r="U3163" s="82">
        <f>SUMIFS(U$1003:U$3061,SecVar,"co2",SecSub,$C3163)+SUMIF($C$756:$C$764,$C3163,U$756:U$764)</f>
        <v/>
      </c>
      <c r="V3163" s="82">
        <f>SUMIFS(V$1003:V$3061,SecVar,"co2",SecSub,$C3163)+SUMIF($C$756:$C$764,$C3163,V$756:V$764)</f>
        <v/>
      </c>
      <c r="W3163" s="82">
        <f>SUMIFS(W$1003:W$3061,SecVar,"co2",SecSub,$C3163)+SUMIF($C$756:$C$764,$C3163,W$756:W$764)</f>
        <v/>
      </c>
      <c r="X3163" s="82">
        <f>SUMIFS(X$1003:X$3061,SecVar,"co2",SecSub,$C3163)+SUMIF($C$756:$C$764,$C3163,X$756:X$764)</f>
        <v/>
      </c>
      <c r="Y3163" s="82">
        <f>SUMIFS(Y$1003:Y$3061,SecVar,"co2",SecSub,$C3163)+SUMIF($C$756:$C$764,$C3163,Y$756:Y$764)</f>
        <v/>
      </c>
      <c r="Z3163" s="82">
        <f>SUMIFS(Z$1003:Z$3061,SecVar,"co2",SecSub,$C3163)+SUMIF($C$756:$C$764,$C3163,Z$756:Z$764)</f>
        <v/>
      </c>
      <c r="AA3163" s="82">
        <f>SUMIFS(AA$1003:AA$3061,SecVar,"co2",SecSub,$C3163)+SUMIF($C$756:$C$764,$C3163,AA$756:AA$764)</f>
        <v/>
      </c>
      <c r="AB3163" s="82">
        <f>SUMIFS(AB$1003:AB$3061,SecVar,"co2",SecSub,$C3163)+SUMIF($C$756:$C$764,$C3163,AB$756:AB$764)</f>
        <v/>
      </c>
      <c r="AC3163" s="82">
        <f>SUMIFS(AC$1003:AC$3061,SecVar,"co2",SecSub,$C3163)+SUMIF($C$756:$C$764,$C3163,AC$756:AC$764)</f>
        <v/>
      </c>
      <c r="AD3163" s="82">
        <f>SUMIFS(AD$1003:AD$3061,SecVar,"co2",SecSub,$C3163)+SUMIF($C$756:$C$764,$C3163,AD$756:AD$764)</f>
        <v/>
      </c>
      <c r="AE3163" s="82">
        <f>SUMIFS(AE$1003:AE$3061,SecVar,"co2",SecSub,$C3163)+SUMIF($C$756:$C$764,$C3163,AE$756:AE$764)</f>
        <v/>
      </c>
      <c r="AG3163" s="11">
        <f>CodePrefix&amp;$A3163&amp;IF($C3163="","","."&amp;$C3163&amp;"."&amp;$B3163)&amp;INDEX(VarEnd,MATCH($A3163,VarKey,0))&amp;AG$5</f>
        <v/>
      </c>
      <c r="AH3163" s="81">
        <f>SUMIFS(AH$1003:AH$3061,SecVar,"co2",SecSub,$C3163)+SUMIF($C$756:$C$764,$C3163,AH$756:AH$764)</f>
        <v/>
      </c>
      <c r="AI3163" s="82">
        <f>SUMIFS(AI$1003:AI$3061,SecVar,"co2",SecSub,$C3163)+SUMIF($C$756:$C$764,$C3163,AI$756:AI$764)</f>
        <v/>
      </c>
      <c r="AJ3163" s="82">
        <f>SUMIFS(AJ$1003:AJ$3061,SecVar,"co2",SecSub,$C3163)+SUMIF($C$756:$C$764,$C3163,AJ$756:AJ$764)</f>
        <v/>
      </c>
      <c r="AK3163" s="82">
        <f>SUMIFS(AK$1003:AK$3061,SecVar,"co2",SecSub,$C3163)+SUMIF($C$756:$C$764,$C3163,AK$756:AK$764)</f>
        <v/>
      </c>
      <c r="AL3163" s="82">
        <f>SUMIFS(AL$1003:AL$3061,SecVar,"co2",SecSub,$C3163)+SUMIF($C$756:$C$764,$C3163,AL$756:AL$764)</f>
        <v/>
      </c>
      <c r="AM3163" s="82">
        <f>SUMIFS(AM$1003:AM$3061,SecVar,"co2",SecSub,$C3163)+SUMIF($C$756:$C$764,$C3163,AM$756:AM$764)</f>
        <v/>
      </c>
      <c r="AN3163" s="82">
        <f>SUMIFS(AN$1003:AN$3061,SecVar,"co2",SecSub,$C3163)+SUMIF($C$756:$C$764,$C3163,AN$756:AN$764)</f>
        <v/>
      </c>
      <c r="AO3163" s="82">
        <f>SUMIFS(AO$1003:AO$3061,SecVar,"co2",SecSub,$C3163)+SUMIF($C$756:$C$764,$C3163,AO$756:AO$764)</f>
        <v/>
      </c>
      <c r="AP3163" s="82">
        <f>SUMIFS(AP$1003:AP$3061,SecVar,"co2",SecSub,$C3163)+SUMIF($C$756:$C$764,$C3163,AP$756:AP$764)</f>
        <v/>
      </c>
      <c r="AQ3163" s="82">
        <f>SUMIFS(AQ$1003:AQ$3061,SecVar,"co2",SecSub,$C3163)+SUMIF($C$756:$C$764,$C3163,AQ$756:AQ$764)</f>
        <v/>
      </c>
      <c r="AR3163" s="82">
        <f>SUMIFS(AR$1003:AR$3061,SecVar,"co2",SecSub,$C3163)+SUMIF($C$756:$C$764,$C3163,AR$756:AR$764)</f>
        <v/>
      </c>
      <c r="AS3163" s="82">
        <f>SUMIFS(AS$1003:AS$3061,SecVar,"co2",SecSub,$C3163)+SUMIF($C$756:$C$764,$C3163,AS$756:AS$764)</f>
        <v/>
      </c>
      <c r="AT3163" s="82">
        <f>SUMIFS(AT$1003:AT$3061,SecVar,"co2",SecSub,$C3163)+SUMIF($C$756:$C$764,$C3163,AT$756:AT$764)</f>
        <v/>
      </c>
      <c r="AU3163" s="82">
        <f>SUMIFS(AU$1003:AU$3061,SecVar,"co2",SecSub,$C3163)+SUMIF($C$756:$C$764,$C3163,AU$756:AU$764)</f>
        <v/>
      </c>
      <c r="AV3163" s="82">
        <f>SUMIFS(AV$1003:AV$3061,SecVar,"co2",SecSub,$C3163)+SUMIF($C$756:$C$764,$C3163,AV$756:AV$764)</f>
        <v/>
      </c>
      <c r="AW3163" s="82">
        <f>SUMIFS(AW$1003:AW$3061,SecVar,"co2",SecSub,$C3163)+SUMIF($C$756:$C$764,$C3163,AW$756:AW$764)</f>
        <v/>
      </c>
      <c r="AX3163" s="82">
        <f>SUMIFS(AX$1003:AX$3061,SecVar,"co2",SecSub,$C3163)+SUMIF($C$756:$C$764,$C3163,AX$756:AX$764)</f>
        <v/>
      </c>
      <c r="AY3163" s="82">
        <f>SUMIFS(AY$1003:AY$3061,SecVar,"co2",SecSub,$C3163)+SUMIF($C$756:$C$764,$C3163,AY$756:AY$764)</f>
        <v/>
      </c>
      <c r="AZ3163" s="82">
        <f>SUMIFS(AZ$1003:AZ$3061,SecVar,"co2",SecSub,$C3163)+SUMIF($C$756:$C$764,$C3163,AZ$756:AZ$764)</f>
        <v/>
      </c>
      <c r="BA3163" s="82">
        <f>SUMIFS(BA$1003:BA$3061,SecVar,"co2",SecSub,$C3163)+SUMIF($C$756:$C$764,$C3163,BA$756:BA$764)</f>
        <v/>
      </c>
    </row>
    <row r="3164" hidden="1" outlineLevel="1">
      <c r="A3164" s="14" t="inlineStr">
        <is>
          <t>co2.sec</t>
        </is>
      </c>
      <c r="B3164" s="14" t="inlineStr">
        <is>
          <t>all</t>
        </is>
      </c>
      <c r="C3164" s="14" t="inlineStr">
        <is>
          <t>srv</t>
        </is>
      </c>
      <c r="H3164" s="14">
        <f>INDEX(VarLab,MATCH($A3164,VarKey,0))&amp;INDEX(MemLab,MATCH($C3164&amp;"|"&amp;$B3164,MemKey,0))</f>
        <v/>
      </c>
      <c r="I3164" s="14">
        <f>INDEX(VarUnit,MATCH($A3164,VarKey,0))</f>
        <v/>
      </c>
      <c r="J3164" s="14">
        <f>INDEX(VarSrc,MATCH($A3164,VarKey,0))</f>
        <v/>
      </c>
      <c r="K3164" s="11">
        <f>CodePrefix&amp;$A3164&amp;IF($C3164="","","."&amp;$C3164&amp;"."&amp;$B3164)&amp;INDEX(VarEnd,MATCH($A3164,VarKey,0))&amp;K$5</f>
        <v/>
      </c>
      <c r="L3164" s="81">
        <f>SUMIFS(L$1003:L$3061,SecVar,"co2",SecSub,$C3164)+SUMIF($C$756:$C$764,$C3164,L$756:L$764)</f>
        <v/>
      </c>
      <c r="M3164" s="82">
        <f>SUMIFS(M$1003:M$3061,SecVar,"co2",SecSub,$C3164)+SUMIF($C$756:$C$764,$C3164,M$756:M$764)</f>
        <v/>
      </c>
      <c r="N3164" s="82">
        <f>SUMIFS(N$1003:N$3061,SecVar,"co2",SecSub,$C3164)+SUMIF($C$756:$C$764,$C3164,N$756:N$764)</f>
        <v/>
      </c>
      <c r="O3164" s="82">
        <f>SUMIFS(O$1003:O$3061,SecVar,"co2",SecSub,$C3164)+SUMIF($C$756:$C$764,$C3164,O$756:O$764)</f>
        <v/>
      </c>
      <c r="P3164" s="82">
        <f>SUMIFS(P$1003:P$3061,SecVar,"co2",SecSub,$C3164)+SUMIF($C$756:$C$764,$C3164,P$756:P$764)</f>
        <v/>
      </c>
      <c r="Q3164" s="82">
        <f>SUMIFS(Q$1003:Q$3061,SecVar,"co2",SecSub,$C3164)+SUMIF($C$756:$C$764,$C3164,Q$756:Q$764)</f>
        <v/>
      </c>
      <c r="R3164" s="82">
        <f>SUMIFS(R$1003:R$3061,SecVar,"co2",SecSub,$C3164)+SUMIF($C$756:$C$764,$C3164,R$756:R$764)</f>
        <v/>
      </c>
      <c r="S3164" s="82">
        <f>SUMIFS(S$1003:S$3061,SecVar,"co2",SecSub,$C3164)+SUMIF($C$756:$C$764,$C3164,S$756:S$764)</f>
        <v/>
      </c>
      <c r="T3164" s="82">
        <f>SUMIFS(T$1003:T$3061,SecVar,"co2",SecSub,$C3164)+SUMIF($C$756:$C$764,$C3164,T$756:T$764)</f>
        <v/>
      </c>
      <c r="U3164" s="82">
        <f>SUMIFS(U$1003:U$3061,SecVar,"co2",SecSub,$C3164)+SUMIF($C$756:$C$764,$C3164,U$756:U$764)</f>
        <v/>
      </c>
      <c r="V3164" s="82">
        <f>SUMIFS(V$1003:V$3061,SecVar,"co2",SecSub,$C3164)+SUMIF($C$756:$C$764,$C3164,V$756:V$764)</f>
        <v/>
      </c>
      <c r="W3164" s="82">
        <f>SUMIFS(W$1003:W$3061,SecVar,"co2",SecSub,$C3164)+SUMIF($C$756:$C$764,$C3164,W$756:W$764)</f>
        <v/>
      </c>
      <c r="X3164" s="82">
        <f>SUMIFS(X$1003:X$3061,SecVar,"co2",SecSub,$C3164)+SUMIF($C$756:$C$764,$C3164,X$756:X$764)</f>
        <v/>
      </c>
      <c r="Y3164" s="82">
        <f>SUMIFS(Y$1003:Y$3061,SecVar,"co2",SecSub,$C3164)+SUMIF($C$756:$C$764,$C3164,Y$756:Y$764)</f>
        <v/>
      </c>
      <c r="Z3164" s="82">
        <f>SUMIFS(Z$1003:Z$3061,SecVar,"co2",SecSub,$C3164)+SUMIF($C$756:$C$764,$C3164,Z$756:Z$764)</f>
        <v/>
      </c>
      <c r="AA3164" s="82">
        <f>SUMIFS(AA$1003:AA$3061,SecVar,"co2",SecSub,$C3164)+SUMIF($C$756:$C$764,$C3164,AA$756:AA$764)</f>
        <v/>
      </c>
      <c r="AB3164" s="82">
        <f>SUMIFS(AB$1003:AB$3061,SecVar,"co2",SecSub,$C3164)+SUMIF($C$756:$C$764,$C3164,AB$756:AB$764)</f>
        <v/>
      </c>
      <c r="AC3164" s="82">
        <f>SUMIFS(AC$1003:AC$3061,SecVar,"co2",SecSub,$C3164)+SUMIF($C$756:$C$764,$C3164,AC$756:AC$764)</f>
        <v/>
      </c>
      <c r="AD3164" s="82">
        <f>SUMIFS(AD$1003:AD$3061,SecVar,"co2",SecSub,$C3164)+SUMIF($C$756:$C$764,$C3164,AD$756:AD$764)</f>
        <v/>
      </c>
      <c r="AE3164" s="82">
        <f>SUMIFS(AE$1003:AE$3061,SecVar,"co2",SecSub,$C3164)+SUMIF($C$756:$C$764,$C3164,AE$756:AE$764)</f>
        <v/>
      </c>
      <c r="AG3164" s="11">
        <f>CodePrefix&amp;$A3164&amp;IF($C3164="","","."&amp;$C3164&amp;"."&amp;$B3164)&amp;INDEX(VarEnd,MATCH($A3164,VarKey,0))&amp;AG$5</f>
        <v/>
      </c>
      <c r="AH3164" s="81">
        <f>SUMIFS(AH$1003:AH$3061,SecVar,"co2",SecSub,$C3164)+SUMIF($C$756:$C$764,$C3164,AH$756:AH$764)</f>
        <v/>
      </c>
      <c r="AI3164" s="82">
        <f>SUMIFS(AI$1003:AI$3061,SecVar,"co2",SecSub,$C3164)+SUMIF($C$756:$C$764,$C3164,AI$756:AI$764)</f>
        <v/>
      </c>
      <c r="AJ3164" s="82">
        <f>SUMIFS(AJ$1003:AJ$3061,SecVar,"co2",SecSub,$C3164)+SUMIF($C$756:$C$764,$C3164,AJ$756:AJ$764)</f>
        <v/>
      </c>
      <c r="AK3164" s="82">
        <f>SUMIFS(AK$1003:AK$3061,SecVar,"co2",SecSub,$C3164)+SUMIF($C$756:$C$764,$C3164,AK$756:AK$764)</f>
        <v/>
      </c>
      <c r="AL3164" s="82">
        <f>SUMIFS(AL$1003:AL$3061,SecVar,"co2",SecSub,$C3164)+SUMIF($C$756:$C$764,$C3164,AL$756:AL$764)</f>
        <v/>
      </c>
      <c r="AM3164" s="82">
        <f>SUMIFS(AM$1003:AM$3061,SecVar,"co2",SecSub,$C3164)+SUMIF($C$756:$C$764,$C3164,AM$756:AM$764)</f>
        <v/>
      </c>
      <c r="AN3164" s="82">
        <f>SUMIFS(AN$1003:AN$3061,SecVar,"co2",SecSub,$C3164)+SUMIF($C$756:$C$764,$C3164,AN$756:AN$764)</f>
        <v/>
      </c>
      <c r="AO3164" s="82">
        <f>SUMIFS(AO$1003:AO$3061,SecVar,"co2",SecSub,$C3164)+SUMIF($C$756:$C$764,$C3164,AO$756:AO$764)</f>
        <v/>
      </c>
      <c r="AP3164" s="82">
        <f>SUMIFS(AP$1003:AP$3061,SecVar,"co2",SecSub,$C3164)+SUMIF($C$756:$C$764,$C3164,AP$756:AP$764)</f>
        <v/>
      </c>
      <c r="AQ3164" s="82">
        <f>SUMIFS(AQ$1003:AQ$3061,SecVar,"co2",SecSub,$C3164)+SUMIF($C$756:$C$764,$C3164,AQ$756:AQ$764)</f>
        <v/>
      </c>
      <c r="AR3164" s="82">
        <f>SUMIFS(AR$1003:AR$3061,SecVar,"co2",SecSub,$C3164)+SUMIF($C$756:$C$764,$C3164,AR$756:AR$764)</f>
        <v/>
      </c>
      <c r="AS3164" s="82">
        <f>SUMIFS(AS$1003:AS$3061,SecVar,"co2",SecSub,$C3164)+SUMIF($C$756:$C$764,$C3164,AS$756:AS$764)</f>
        <v/>
      </c>
      <c r="AT3164" s="82">
        <f>SUMIFS(AT$1003:AT$3061,SecVar,"co2",SecSub,$C3164)+SUMIF($C$756:$C$764,$C3164,AT$756:AT$764)</f>
        <v/>
      </c>
      <c r="AU3164" s="82">
        <f>SUMIFS(AU$1003:AU$3061,SecVar,"co2",SecSub,$C3164)+SUMIF($C$756:$C$764,$C3164,AU$756:AU$764)</f>
        <v/>
      </c>
      <c r="AV3164" s="82">
        <f>SUMIFS(AV$1003:AV$3061,SecVar,"co2",SecSub,$C3164)+SUMIF($C$756:$C$764,$C3164,AV$756:AV$764)</f>
        <v/>
      </c>
      <c r="AW3164" s="82">
        <f>SUMIFS(AW$1003:AW$3061,SecVar,"co2",SecSub,$C3164)+SUMIF($C$756:$C$764,$C3164,AW$756:AW$764)</f>
        <v/>
      </c>
      <c r="AX3164" s="82">
        <f>SUMIFS(AX$1003:AX$3061,SecVar,"co2",SecSub,$C3164)+SUMIF($C$756:$C$764,$C3164,AX$756:AX$764)</f>
        <v/>
      </c>
      <c r="AY3164" s="82">
        <f>SUMIFS(AY$1003:AY$3061,SecVar,"co2",SecSub,$C3164)+SUMIF($C$756:$C$764,$C3164,AY$756:AY$764)</f>
        <v/>
      </c>
      <c r="AZ3164" s="82">
        <f>SUMIFS(AZ$1003:AZ$3061,SecVar,"co2",SecSub,$C3164)+SUMIF($C$756:$C$764,$C3164,AZ$756:AZ$764)</f>
        <v/>
      </c>
      <c r="BA3164" s="82">
        <f>SUMIFS(BA$1003:BA$3061,SecVar,"co2",SecSub,$C3164)+SUMIF($C$756:$C$764,$C3164,BA$756:BA$764)</f>
        <v/>
      </c>
    </row>
    <row r="3165" hidden="1" outlineLevel="1">
      <c r="A3165" s="14" t="inlineStr">
        <is>
          <t>co2.sec</t>
        </is>
      </c>
      <c r="B3165" s="14" t="inlineStr">
        <is>
          <t>all</t>
        </is>
      </c>
      <c r="C3165" s="14" t="inlineStr">
        <is>
          <t>mch</t>
        </is>
      </c>
      <c r="H3165" s="14">
        <f>INDEX(VarLab,MATCH($A3165,VarKey,0))&amp;INDEX(MemLab,MATCH($C3165&amp;"|"&amp;$B3165,MemKey,0))</f>
        <v/>
      </c>
      <c r="I3165" s="14">
        <f>INDEX(VarUnit,MATCH($A3165,VarKey,0))</f>
        <v/>
      </c>
      <c r="J3165" s="14">
        <f>INDEX(VarSrc,MATCH($A3165,VarKey,0))</f>
        <v/>
      </c>
      <c r="K3165" s="11">
        <f>CodePrefix&amp;$A3165&amp;IF($C3165="","","."&amp;$C3165&amp;"."&amp;$B3165)&amp;INDEX(VarEnd,MATCH($A3165,VarKey,0))&amp;K$5</f>
        <v/>
      </c>
      <c r="L3165" s="81">
        <f>SUMIFS(L$1003:L$3061,SecVar,"co2",SecSub,$C3165)+SUMIF($C$756:$C$764,$C3165,L$756:L$764)</f>
        <v/>
      </c>
      <c r="M3165" s="82">
        <f>SUMIFS(M$1003:M$3061,SecVar,"co2",SecSub,$C3165)+SUMIF($C$756:$C$764,$C3165,M$756:M$764)</f>
        <v/>
      </c>
      <c r="N3165" s="82">
        <f>SUMIFS(N$1003:N$3061,SecVar,"co2",SecSub,$C3165)+SUMIF($C$756:$C$764,$C3165,N$756:N$764)</f>
        <v/>
      </c>
      <c r="O3165" s="82">
        <f>SUMIFS(O$1003:O$3061,SecVar,"co2",SecSub,$C3165)+SUMIF($C$756:$C$764,$C3165,O$756:O$764)</f>
        <v/>
      </c>
      <c r="P3165" s="82">
        <f>SUMIFS(P$1003:P$3061,SecVar,"co2",SecSub,$C3165)+SUMIF($C$756:$C$764,$C3165,P$756:P$764)</f>
        <v/>
      </c>
      <c r="Q3165" s="82">
        <f>SUMIFS(Q$1003:Q$3061,SecVar,"co2",SecSub,$C3165)+SUMIF($C$756:$C$764,$C3165,Q$756:Q$764)</f>
        <v/>
      </c>
      <c r="R3165" s="82">
        <f>SUMIFS(R$1003:R$3061,SecVar,"co2",SecSub,$C3165)+SUMIF($C$756:$C$764,$C3165,R$756:R$764)</f>
        <v/>
      </c>
      <c r="S3165" s="82">
        <f>SUMIFS(S$1003:S$3061,SecVar,"co2",SecSub,$C3165)+SUMIF($C$756:$C$764,$C3165,S$756:S$764)</f>
        <v/>
      </c>
      <c r="T3165" s="82">
        <f>SUMIFS(T$1003:T$3061,SecVar,"co2",SecSub,$C3165)+SUMIF($C$756:$C$764,$C3165,T$756:T$764)</f>
        <v/>
      </c>
      <c r="U3165" s="82">
        <f>SUMIFS(U$1003:U$3061,SecVar,"co2",SecSub,$C3165)+SUMIF($C$756:$C$764,$C3165,U$756:U$764)</f>
        <v/>
      </c>
      <c r="V3165" s="82">
        <f>SUMIFS(V$1003:V$3061,SecVar,"co2",SecSub,$C3165)+SUMIF($C$756:$C$764,$C3165,V$756:V$764)</f>
        <v/>
      </c>
      <c r="W3165" s="82">
        <f>SUMIFS(W$1003:W$3061,SecVar,"co2",SecSub,$C3165)+SUMIF($C$756:$C$764,$C3165,W$756:W$764)</f>
        <v/>
      </c>
      <c r="X3165" s="82">
        <f>SUMIFS(X$1003:X$3061,SecVar,"co2",SecSub,$C3165)+SUMIF($C$756:$C$764,$C3165,X$756:X$764)</f>
        <v/>
      </c>
      <c r="Y3165" s="82">
        <f>SUMIFS(Y$1003:Y$3061,SecVar,"co2",SecSub,$C3165)+SUMIF($C$756:$C$764,$C3165,Y$756:Y$764)</f>
        <v/>
      </c>
      <c r="Z3165" s="82">
        <f>SUMIFS(Z$1003:Z$3061,SecVar,"co2",SecSub,$C3165)+SUMIF($C$756:$C$764,$C3165,Z$756:Z$764)</f>
        <v/>
      </c>
      <c r="AA3165" s="82">
        <f>SUMIFS(AA$1003:AA$3061,SecVar,"co2",SecSub,$C3165)+SUMIF($C$756:$C$764,$C3165,AA$756:AA$764)</f>
        <v/>
      </c>
      <c r="AB3165" s="82">
        <f>SUMIFS(AB$1003:AB$3061,SecVar,"co2",SecSub,$C3165)+SUMIF($C$756:$C$764,$C3165,AB$756:AB$764)</f>
        <v/>
      </c>
      <c r="AC3165" s="82">
        <f>SUMIFS(AC$1003:AC$3061,SecVar,"co2",SecSub,$C3165)+SUMIF($C$756:$C$764,$C3165,AC$756:AC$764)</f>
        <v/>
      </c>
      <c r="AD3165" s="82">
        <f>SUMIFS(AD$1003:AD$3061,SecVar,"co2",SecSub,$C3165)+SUMIF($C$756:$C$764,$C3165,AD$756:AD$764)</f>
        <v/>
      </c>
      <c r="AE3165" s="82">
        <f>SUMIFS(AE$1003:AE$3061,SecVar,"co2",SecSub,$C3165)+SUMIF($C$756:$C$764,$C3165,AE$756:AE$764)</f>
        <v/>
      </c>
      <c r="AG3165" s="11">
        <f>CodePrefix&amp;$A3165&amp;IF($C3165="","","."&amp;$C3165&amp;"."&amp;$B3165)&amp;INDEX(VarEnd,MATCH($A3165,VarKey,0))&amp;AG$5</f>
        <v/>
      </c>
      <c r="AH3165" s="81">
        <f>SUMIFS(AH$1003:AH$3061,SecVar,"co2",SecSub,$C3165)+SUMIF($C$756:$C$764,$C3165,AH$756:AH$764)</f>
        <v/>
      </c>
      <c r="AI3165" s="82">
        <f>SUMIFS(AI$1003:AI$3061,SecVar,"co2",SecSub,$C3165)+SUMIF($C$756:$C$764,$C3165,AI$756:AI$764)</f>
        <v/>
      </c>
      <c r="AJ3165" s="82">
        <f>SUMIFS(AJ$1003:AJ$3061,SecVar,"co2",SecSub,$C3165)+SUMIF($C$756:$C$764,$C3165,AJ$756:AJ$764)</f>
        <v/>
      </c>
      <c r="AK3165" s="82">
        <f>SUMIFS(AK$1003:AK$3061,SecVar,"co2",SecSub,$C3165)+SUMIF($C$756:$C$764,$C3165,AK$756:AK$764)</f>
        <v/>
      </c>
      <c r="AL3165" s="82">
        <f>SUMIFS(AL$1003:AL$3061,SecVar,"co2",SecSub,$C3165)+SUMIF($C$756:$C$764,$C3165,AL$756:AL$764)</f>
        <v/>
      </c>
      <c r="AM3165" s="82">
        <f>SUMIFS(AM$1003:AM$3061,SecVar,"co2",SecSub,$C3165)+SUMIF($C$756:$C$764,$C3165,AM$756:AM$764)</f>
        <v/>
      </c>
      <c r="AN3165" s="82">
        <f>SUMIFS(AN$1003:AN$3061,SecVar,"co2",SecSub,$C3165)+SUMIF($C$756:$C$764,$C3165,AN$756:AN$764)</f>
        <v/>
      </c>
      <c r="AO3165" s="82">
        <f>SUMIFS(AO$1003:AO$3061,SecVar,"co2",SecSub,$C3165)+SUMIF($C$756:$C$764,$C3165,AO$756:AO$764)</f>
        <v/>
      </c>
      <c r="AP3165" s="82">
        <f>SUMIFS(AP$1003:AP$3061,SecVar,"co2",SecSub,$C3165)+SUMIF($C$756:$C$764,$C3165,AP$756:AP$764)</f>
        <v/>
      </c>
      <c r="AQ3165" s="82">
        <f>SUMIFS(AQ$1003:AQ$3061,SecVar,"co2",SecSub,$C3165)+SUMIF($C$756:$C$764,$C3165,AQ$756:AQ$764)</f>
        <v/>
      </c>
      <c r="AR3165" s="82">
        <f>SUMIFS(AR$1003:AR$3061,SecVar,"co2",SecSub,$C3165)+SUMIF($C$756:$C$764,$C3165,AR$756:AR$764)</f>
        <v/>
      </c>
      <c r="AS3165" s="82">
        <f>SUMIFS(AS$1003:AS$3061,SecVar,"co2",SecSub,$C3165)+SUMIF($C$756:$C$764,$C3165,AS$756:AS$764)</f>
        <v/>
      </c>
      <c r="AT3165" s="82">
        <f>SUMIFS(AT$1003:AT$3061,SecVar,"co2",SecSub,$C3165)+SUMIF($C$756:$C$764,$C3165,AT$756:AT$764)</f>
        <v/>
      </c>
      <c r="AU3165" s="82">
        <f>SUMIFS(AU$1003:AU$3061,SecVar,"co2",SecSub,$C3165)+SUMIF($C$756:$C$764,$C3165,AU$756:AU$764)</f>
        <v/>
      </c>
      <c r="AV3165" s="82">
        <f>SUMIFS(AV$1003:AV$3061,SecVar,"co2",SecSub,$C3165)+SUMIF($C$756:$C$764,$C3165,AV$756:AV$764)</f>
        <v/>
      </c>
      <c r="AW3165" s="82">
        <f>SUMIFS(AW$1003:AW$3061,SecVar,"co2",SecSub,$C3165)+SUMIF($C$756:$C$764,$C3165,AW$756:AW$764)</f>
        <v/>
      </c>
      <c r="AX3165" s="82">
        <f>SUMIFS(AX$1003:AX$3061,SecVar,"co2",SecSub,$C3165)+SUMIF($C$756:$C$764,$C3165,AX$756:AX$764)</f>
        <v/>
      </c>
      <c r="AY3165" s="82">
        <f>SUMIFS(AY$1003:AY$3061,SecVar,"co2",SecSub,$C3165)+SUMIF($C$756:$C$764,$C3165,AY$756:AY$764)</f>
        <v/>
      </c>
      <c r="AZ3165" s="82">
        <f>SUMIFS(AZ$1003:AZ$3061,SecVar,"co2",SecSub,$C3165)+SUMIF($C$756:$C$764,$C3165,AZ$756:AZ$764)</f>
        <v/>
      </c>
      <c r="BA3165" s="82">
        <f>SUMIFS(BA$1003:BA$3061,SecVar,"co2",SecSub,$C3165)+SUMIF($C$756:$C$764,$C3165,BA$756:BA$764)</f>
        <v/>
      </c>
    </row>
    <row r="3166" hidden="1" outlineLevel="1">
      <c r="A3166" s="14" t="inlineStr">
        <is>
          <t>co2.sec</t>
        </is>
      </c>
      <c r="B3166" s="14" t="inlineStr">
        <is>
          <t>all</t>
        </is>
      </c>
      <c r="C3166" s="14" t="inlineStr">
        <is>
          <t>irn</t>
        </is>
      </c>
      <c r="H3166" s="14">
        <f>INDEX(VarLab,MATCH($A3166,VarKey,0))&amp;INDEX(MemLab,MATCH($C3166&amp;"|"&amp;$B3166,MemKey,0))</f>
        <v/>
      </c>
      <c r="I3166" s="14">
        <f>INDEX(VarUnit,MATCH($A3166,VarKey,0))</f>
        <v/>
      </c>
      <c r="J3166" s="14">
        <f>INDEX(VarSrc,MATCH($A3166,VarKey,0))</f>
        <v/>
      </c>
      <c r="K3166" s="11">
        <f>CodePrefix&amp;$A3166&amp;IF($C3166="","","."&amp;$C3166&amp;"."&amp;$B3166)&amp;INDEX(VarEnd,MATCH($A3166,VarKey,0))&amp;K$5</f>
        <v/>
      </c>
      <c r="L3166" s="81">
        <f>SUMIFS(L$1003:L$3061,SecVar,"co2",SecSub,$C3166)+SUMIF($C$756:$C$764,$C3166,L$756:L$764)</f>
        <v/>
      </c>
      <c r="M3166" s="82">
        <f>SUMIFS(M$1003:M$3061,SecVar,"co2",SecSub,$C3166)+SUMIF($C$756:$C$764,$C3166,M$756:M$764)</f>
        <v/>
      </c>
      <c r="N3166" s="82">
        <f>SUMIFS(N$1003:N$3061,SecVar,"co2",SecSub,$C3166)+SUMIF($C$756:$C$764,$C3166,N$756:N$764)</f>
        <v/>
      </c>
      <c r="O3166" s="82">
        <f>SUMIFS(O$1003:O$3061,SecVar,"co2",SecSub,$C3166)+SUMIF($C$756:$C$764,$C3166,O$756:O$764)</f>
        <v/>
      </c>
      <c r="P3166" s="82">
        <f>SUMIFS(P$1003:P$3061,SecVar,"co2",SecSub,$C3166)+SUMIF($C$756:$C$764,$C3166,P$756:P$764)</f>
        <v/>
      </c>
      <c r="Q3166" s="82">
        <f>SUMIFS(Q$1003:Q$3061,SecVar,"co2",SecSub,$C3166)+SUMIF($C$756:$C$764,$C3166,Q$756:Q$764)</f>
        <v/>
      </c>
      <c r="R3166" s="82">
        <f>SUMIFS(R$1003:R$3061,SecVar,"co2",SecSub,$C3166)+SUMIF($C$756:$C$764,$C3166,R$756:R$764)</f>
        <v/>
      </c>
      <c r="S3166" s="82">
        <f>SUMIFS(S$1003:S$3061,SecVar,"co2",SecSub,$C3166)+SUMIF($C$756:$C$764,$C3166,S$756:S$764)</f>
        <v/>
      </c>
      <c r="T3166" s="82">
        <f>SUMIFS(T$1003:T$3061,SecVar,"co2",SecSub,$C3166)+SUMIF($C$756:$C$764,$C3166,T$756:T$764)</f>
        <v/>
      </c>
      <c r="U3166" s="82">
        <f>SUMIFS(U$1003:U$3061,SecVar,"co2",SecSub,$C3166)+SUMIF($C$756:$C$764,$C3166,U$756:U$764)</f>
        <v/>
      </c>
      <c r="V3166" s="82">
        <f>SUMIFS(V$1003:V$3061,SecVar,"co2",SecSub,$C3166)+SUMIF($C$756:$C$764,$C3166,V$756:V$764)</f>
        <v/>
      </c>
      <c r="W3166" s="82">
        <f>SUMIFS(W$1003:W$3061,SecVar,"co2",SecSub,$C3166)+SUMIF($C$756:$C$764,$C3166,W$756:W$764)</f>
        <v/>
      </c>
      <c r="X3166" s="82">
        <f>SUMIFS(X$1003:X$3061,SecVar,"co2",SecSub,$C3166)+SUMIF($C$756:$C$764,$C3166,X$756:X$764)</f>
        <v/>
      </c>
      <c r="Y3166" s="82">
        <f>SUMIFS(Y$1003:Y$3061,SecVar,"co2",SecSub,$C3166)+SUMIF($C$756:$C$764,$C3166,Y$756:Y$764)</f>
        <v/>
      </c>
      <c r="Z3166" s="82">
        <f>SUMIFS(Z$1003:Z$3061,SecVar,"co2",SecSub,$C3166)+SUMIF($C$756:$C$764,$C3166,Z$756:Z$764)</f>
        <v/>
      </c>
      <c r="AA3166" s="82">
        <f>SUMIFS(AA$1003:AA$3061,SecVar,"co2",SecSub,$C3166)+SUMIF($C$756:$C$764,$C3166,AA$756:AA$764)</f>
        <v/>
      </c>
      <c r="AB3166" s="82">
        <f>SUMIFS(AB$1003:AB$3061,SecVar,"co2",SecSub,$C3166)+SUMIF($C$756:$C$764,$C3166,AB$756:AB$764)</f>
        <v/>
      </c>
      <c r="AC3166" s="82">
        <f>SUMIFS(AC$1003:AC$3061,SecVar,"co2",SecSub,$C3166)+SUMIF($C$756:$C$764,$C3166,AC$756:AC$764)</f>
        <v/>
      </c>
      <c r="AD3166" s="82">
        <f>SUMIFS(AD$1003:AD$3061,SecVar,"co2",SecSub,$C3166)+SUMIF($C$756:$C$764,$C3166,AD$756:AD$764)</f>
        <v/>
      </c>
      <c r="AE3166" s="82">
        <f>SUMIFS(AE$1003:AE$3061,SecVar,"co2",SecSub,$C3166)+SUMIF($C$756:$C$764,$C3166,AE$756:AE$764)</f>
        <v/>
      </c>
      <c r="AG3166" s="11">
        <f>CodePrefix&amp;$A3166&amp;IF($C3166="","","."&amp;$C3166&amp;"."&amp;$B3166)&amp;INDEX(VarEnd,MATCH($A3166,VarKey,0))&amp;AG$5</f>
        <v/>
      </c>
      <c r="AH3166" s="81">
        <f>SUMIFS(AH$1003:AH$3061,SecVar,"co2",SecSub,$C3166)+SUMIF($C$756:$C$764,$C3166,AH$756:AH$764)</f>
        <v/>
      </c>
      <c r="AI3166" s="82">
        <f>SUMIFS(AI$1003:AI$3061,SecVar,"co2",SecSub,$C3166)+SUMIF($C$756:$C$764,$C3166,AI$756:AI$764)</f>
        <v/>
      </c>
      <c r="AJ3166" s="82">
        <f>SUMIFS(AJ$1003:AJ$3061,SecVar,"co2",SecSub,$C3166)+SUMIF($C$756:$C$764,$C3166,AJ$756:AJ$764)</f>
        <v/>
      </c>
      <c r="AK3166" s="82">
        <f>SUMIFS(AK$1003:AK$3061,SecVar,"co2",SecSub,$C3166)+SUMIF($C$756:$C$764,$C3166,AK$756:AK$764)</f>
        <v/>
      </c>
      <c r="AL3166" s="82">
        <f>SUMIFS(AL$1003:AL$3061,SecVar,"co2",SecSub,$C3166)+SUMIF($C$756:$C$764,$C3166,AL$756:AL$764)</f>
        <v/>
      </c>
      <c r="AM3166" s="82">
        <f>SUMIFS(AM$1003:AM$3061,SecVar,"co2",SecSub,$C3166)+SUMIF($C$756:$C$764,$C3166,AM$756:AM$764)</f>
        <v/>
      </c>
      <c r="AN3166" s="82">
        <f>SUMIFS(AN$1003:AN$3061,SecVar,"co2",SecSub,$C3166)+SUMIF($C$756:$C$764,$C3166,AN$756:AN$764)</f>
        <v/>
      </c>
      <c r="AO3166" s="82">
        <f>SUMIFS(AO$1003:AO$3061,SecVar,"co2",SecSub,$C3166)+SUMIF($C$756:$C$764,$C3166,AO$756:AO$764)</f>
        <v/>
      </c>
      <c r="AP3166" s="82">
        <f>SUMIFS(AP$1003:AP$3061,SecVar,"co2",SecSub,$C3166)+SUMIF($C$756:$C$764,$C3166,AP$756:AP$764)</f>
        <v/>
      </c>
      <c r="AQ3166" s="82">
        <f>SUMIFS(AQ$1003:AQ$3061,SecVar,"co2",SecSub,$C3166)+SUMIF($C$756:$C$764,$C3166,AQ$756:AQ$764)</f>
        <v/>
      </c>
      <c r="AR3166" s="82">
        <f>SUMIFS(AR$1003:AR$3061,SecVar,"co2",SecSub,$C3166)+SUMIF($C$756:$C$764,$C3166,AR$756:AR$764)</f>
        <v/>
      </c>
      <c r="AS3166" s="82">
        <f>SUMIFS(AS$1003:AS$3061,SecVar,"co2",SecSub,$C3166)+SUMIF($C$756:$C$764,$C3166,AS$756:AS$764)</f>
        <v/>
      </c>
      <c r="AT3166" s="82">
        <f>SUMIFS(AT$1003:AT$3061,SecVar,"co2",SecSub,$C3166)+SUMIF($C$756:$C$764,$C3166,AT$756:AT$764)</f>
        <v/>
      </c>
      <c r="AU3166" s="82">
        <f>SUMIFS(AU$1003:AU$3061,SecVar,"co2",SecSub,$C3166)+SUMIF($C$756:$C$764,$C3166,AU$756:AU$764)</f>
        <v/>
      </c>
      <c r="AV3166" s="82">
        <f>SUMIFS(AV$1003:AV$3061,SecVar,"co2",SecSub,$C3166)+SUMIF($C$756:$C$764,$C3166,AV$756:AV$764)</f>
        <v/>
      </c>
      <c r="AW3166" s="82">
        <f>SUMIFS(AW$1003:AW$3061,SecVar,"co2",SecSub,$C3166)+SUMIF($C$756:$C$764,$C3166,AW$756:AW$764)</f>
        <v/>
      </c>
      <c r="AX3166" s="82">
        <f>SUMIFS(AX$1003:AX$3061,SecVar,"co2",SecSub,$C3166)+SUMIF($C$756:$C$764,$C3166,AX$756:AX$764)</f>
        <v/>
      </c>
      <c r="AY3166" s="82">
        <f>SUMIFS(AY$1003:AY$3061,SecVar,"co2",SecSub,$C3166)+SUMIF($C$756:$C$764,$C3166,AY$756:AY$764)</f>
        <v/>
      </c>
      <c r="AZ3166" s="82">
        <f>SUMIFS(AZ$1003:AZ$3061,SecVar,"co2",SecSub,$C3166)+SUMIF($C$756:$C$764,$C3166,AZ$756:AZ$764)</f>
        <v/>
      </c>
      <c r="BA3166" s="82">
        <f>SUMIFS(BA$1003:BA$3061,SecVar,"co2",SecSub,$C3166)+SUMIF($C$756:$C$764,$C3166,BA$756:BA$764)</f>
        <v/>
      </c>
    </row>
    <row r="3167" hidden="1" outlineLevel="1">
      <c r="A3167" s="14" t="inlineStr">
        <is>
          <t>co2.sec</t>
        </is>
      </c>
      <c r="B3167" s="14" t="inlineStr">
        <is>
          <t>all</t>
        </is>
      </c>
      <c r="C3167" s="14" t="inlineStr">
        <is>
          <t>nfm</t>
        </is>
      </c>
      <c r="H3167" s="14">
        <f>INDEX(VarLab,MATCH($A3167,VarKey,0))&amp;INDEX(MemLab,MATCH($C3167&amp;"|"&amp;$B3167,MemKey,0))</f>
        <v/>
      </c>
      <c r="I3167" s="14">
        <f>INDEX(VarUnit,MATCH($A3167,VarKey,0))</f>
        <v/>
      </c>
      <c r="J3167" s="14">
        <f>INDEX(VarSrc,MATCH($A3167,VarKey,0))</f>
        <v/>
      </c>
      <c r="K3167" s="11">
        <f>CodePrefix&amp;$A3167&amp;IF($C3167="","","."&amp;$C3167&amp;"."&amp;$B3167)&amp;INDEX(VarEnd,MATCH($A3167,VarKey,0))&amp;K$5</f>
        <v/>
      </c>
      <c r="L3167" s="81">
        <f>SUMIFS(L$1003:L$3061,SecVar,"co2",SecSub,$C3167)+SUMIF($C$756:$C$764,$C3167,L$756:L$764)</f>
        <v/>
      </c>
      <c r="M3167" s="82">
        <f>SUMIFS(M$1003:M$3061,SecVar,"co2",SecSub,$C3167)+SUMIF($C$756:$C$764,$C3167,M$756:M$764)</f>
        <v/>
      </c>
      <c r="N3167" s="82">
        <f>SUMIFS(N$1003:N$3061,SecVar,"co2",SecSub,$C3167)+SUMIF($C$756:$C$764,$C3167,N$756:N$764)</f>
        <v/>
      </c>
      <c r="O3167" s="82">
        <f>SUMIFS(O$1003:O$3061,SecVar,"co2",SecSub,$C3167)+SUMIF($C$756:$C$764,$C3167,O$756:O$764)</f>
        <v/>
      </c>
      <c r="P3167" s="82">
        <f>SUMIFS(P$1003:P$3061,SecVar,"co2",SecSub,$C3167)+SUMIF($C$756:$C$764,$C3167,P$756:P$764)</f>
        <v/>
      </c>
      <c r="Q3167" s="82">
        <f>SUMIFS(Q$1003:Q$3061,SecVar,"co2",SecSub,$C3167)+SUMIF($C$756:$C$764,$C3167,Q$756:Q$764)</f>
        <v/>
      </c>
      <c r="R3167" s="82">
        <f>SUMIFS(R$1003:R$3061,SecVar,"co2",SecSub,$C3167)+SUMIF($C$756:$C$764,$C3167,R$756:R$764)</f>
        <v/>
      </c>
      <c r="S3167" s="82">
        <f>SUMIFS(S$1003:S$3061,SecVar,"co2",SecSub,$C3167)+SUMIF($C$756:$C$764,$C3167,S$756:S$764)</f>
        <v/>
      </c>
      <c r="T3167" s="82">
        <f>SUMIFS(T$1003:T$3061,SecVar,"co2",SecSub,$C3167)+SUMIF($C$756:$C$764,$C3167,T$756:T$764)</f>
        <v/>
      </c>
      <c r="U3167" s="82">
        <f>SUMIFS(U$1003:U$3061,SecVar,"co2",SecSub,$C3167)+SUMIF($C$756:$C$764,$C3167,U$756:U$764)</f>
        <v/>
      </c>
      <c r="V3167" s="82">
        <f>SUMIFS(V$1003:V$3061,SecVar,"co2",SecSub,$C3167)+SUMIF($C$756:$C$764,$C3167,V$756:V$764)</f>
        <v/>
      </c>
      <c r="W3167" s="82">
        <f>SUMIFS(W$1003:W$3061,SecVar,"co2",SecSub,$C3167)+SUMIF($C$756:$C$764,$C3167,W$756:W$764)</f>
        <v/>
      </c>
      <c r="X3167" s="82">
        <f>SUMIFS(X$1003:X$3061,SecVar,"co2",SecSub,$C3167)+SUMIF($C$756:$C$764,$C3167,X$756:X$764)</f>
        <v/>
      </c>
      <c r="Y3167" s="82">
        <f>SUMIFS(Y$1003:Y$3061,SecVar,"co2",SecSub,$C3167)+SUMIF($C$756:$C$764,$C3167,Y$756:Y$764)</f>
        <v/>
      </c>
      <c r="Z3167" s="82">
        <f>SUMIFS(Z$1003:Z$3061,SecVar,"co2",SecSub,$C3167)+SUMIF($C$756:$C$764,$C3167,Z$756:Z$764)</f>
        <v/>
      </c>
      <c r="AA3167" s="82">
        <f>SUMIFS(AA$1003:AA$3061,SecVar,"co2",SecSub,$C3167)+SUMIF($C$756:$C$764,$C3167,AA$756:AA$764)</f>
        <v/>
      </c>
      <c r="AB3167" s="82">
        <f>SUMIFS(AB$1003:AB$3061,SecVar,"co2",SecSub,$C3167)+SUMIF($C$756:$C$764,$C3167,AB$756:AB$764)</f>
        <v/>
      </c>
      <c r="AC3167" s="82">
        <f>SUMIFS(AC$1003:AC$3061,SecVar,"co2",SecSub,$C3167)+SUMIF($C$756:$C$764,$C3167,AC$756:AC$764)</f>
        <v/>
      </c>
      <c r="AD3167" s="82">
        <f>SUMIFS(AD$1003:AD$3061,SecVar,"co2",SecSub,$C3167)+SUMIF($C$756:$C$764,$C3167,AD$756:AD$764)</f>
        <v/>
      </c>
      <c r="AE3167" s="82">
        <f>SUMIFS(AE$1003:AE$3061,SecVar,"co2",SecSub,$C3167)+SUMIF($C$756:$C$764,$C3167,AE$756:AE$764)</f>
        <v/>
      </c>
      <c r="AG3167" s="11">
        <f>CodePrefix&amp;$A3167&amp;IF($C3167="","","."&amp;$C3167&amp;"."&amp;$B3167)&amp;INDEX(VarEnd,MATCH($A3167,VarKey,0))&amp;AG$5</f>
        <v/>
      </c>
      <c r="AH3167" s="81">
        <f>SUMIFS(AH$1003:AH$3061,SecVar,"co2",SecSub,$C3167)+SUMIF($C$756:$C$764,$C3167,AH$756:AH$764)</f>
        <v/>
      </c>
      <c r="AI3167" s="82">
        <f>SUMIFS(AI$1003:AI$3061,SecVar,"co2",SecSub,$C3167)+SUMIF($C$756:$C$764,$C3167,AI$756:AI$764)</f>
        <v/>
      </c>
      <c r="AJ3167" s="82">
        <f>SUMIFS(AJ$1003:AJ$3061,SecVar,"co2",SecSub,$C3167)+SUMIF($C$756:$C$764,$C3167,AJ$756:AJ$764)</f>
        <v/>
      </c>
      <c r="AK3167" s="82">
        <f>SUMIFS(AK$1003:AK$3061,SecVar,"co2",SecSub,$C3167)+SUMIF($C$756:$C$764,$C3167,AK$756:AK$764)</f>
        <v/>
      </c>
      <c r="AL3167" s="82">
        <f>SUMIFS(AL$1003:AL$3061,SecVar,"co2",SecSub,$C3167)+SUMIF($C$756:$C$764,$C3167,AL$756:AL$764)</f>
        <v/>
      </c>
      <c r="AM3167" s="82">
        <f>SUMIFS(AM$1003:AM$3061,SecVar,"co2",SecSub,$C3167)+SUMIF($C$756:$C$764,$C3167,AM$756:AM$764)</f>
        <v/>
      </c>
      <c r="AN3167" s="82">
        <f>SUMIFS(AN$1003:AN$3061,SecVar,"co2",SecSub,$C3167)+SUMIF($C$756:$C$764,$C3167,AN$756:AN$764)</f>
        <v/>
      </c>
      <c r="AO3167" s="82">
        <f>SUMIFS(AO$1003:AO$3061,SecVar,"co2",SecSub,$C3167)+SUMIF($C$756:$C$764,$C3167,AO$756:AO$764)</f>
        <v/>
      </c>
      <c r="AP3167" s="82">
        <f>SUMIFS(AP$1003:AP$3061,SecVar,"co2",SecSub,$C3167)+SUMIF($C$756:$C$764,$C3167,AP$756:AP$764)</f>
        <v/>
      </c>
      <c r="AQ3167" s="82">
        <f>SUMIFS(AQ$1003:AQ$3061,SecVar,"co2",SecSub,$C3167)+SUMIF($C$756:$C$764,$C3167,AQ$756:AQ$764)</f>
        <v/>
      </c>
      <c r="AR3167" s="82">
        <f>SUMIFS(AR$1003:AR$3061,SecVar,"co2",SecSub,$C3167)+SUMIF($C$756:$C$764,$C3167,AR$756:AR$764)</f>
        <v/>
      </c>
      <c r="AS3167" s="82">
        <f>SUMIFS(AS$1003:AS$3061,SecVar,"co2",SecSub,$C3167)+SUMIF($C$756:$C$764,$C3167,AS$756:AS$764)</f>
        <v/>
      </c>
      <c r="AT3167" s="82">
        <f>SUMIFS(AT$1003:AT$3061,SecVar,"co2",SecSub,$C3167)+SUMIF($C$756:$C$764,$C3167,AT$756:AT$764)</f>
        <v/>
      </c>
      <c r="AU3167" s="82">
        <f>SUMIFS(AU$1003:AU$3061,SecVar,"co2",SecSub,$C3167)+SUMIF($C$756:$C$764,$C3167,AU$756:AU$764)</f>
        <v/>
      </c>
      <c r="AV3167" s="82">
        <f>SUMIFS(AV$1003:AV$3061,SecVar,"co2",SecSub,$C3167)+SUMIF($C$756:$C$764,$C3167,AV$756:AV$764)</f>
        <v/>
      </c>
      <c r="AW3167" s="82">
        <f>SUMIFS(AW$1003:AW$3061,SecVar,"co2",SecSub,$C3167)+SUMIF($C$756:$C$764,$C3167,AW$756:AW$764)</f>
        <v/>
      </c>
      <c r="AX3167" s="82">
        <f>SUMIFS(AX$1003:AX$3061,SecVar,"co2",SecSub,$C3167)+SUMIF($C$756:$C$764,$C3167,AX$756:AX$764)</f>
        <v/>
      </c>
      <c r="AY3167" s="82">
        <f>SUMIFS(AY$1003:AY$3061,SecVar,"co2",SecSub,$C3167)+SUMIF($C$756:$C$764,$C3167,AY$756:AY$764)</f>
        <v/>
      </c>
      <c r="AZ3167" s="82">
        <f>SUMIFS(AZ$1003:AZ$3061,SecVar,"co2",SecSub,$C3167)+SUMIF($C$756:$C$764,$C3167,AZ$756:AZ$764)</f>
        <v/>
      </c>
      <c r="BA3167" s="82">
        <f>SUMIFS(BA$1003:BA$3061,SecVar,"co2",SecSub,$C3167)+SUMIF($C$756:$C$764,$C3167,BA$756:BA$764)</f>
        <v/>
      </c>
    </row>
    <row r="3168" hidden="1" outlineLevel="1">
      <c r="A3168" s="14" t="inlineStr">
        <is>
          <t>co2.sec</t>
        </is>
      </c>
      <c r="B3168" s="14" t="inlineStr">
        <is>
          <t>all</t>
        </is>
      </c>
      <c r="C3168" s="14" t="inlineStr">
        <is>
          <t>mac</t>
        </is>
      </c>
      <c r="H3168" s="14">
        <f>INDEX(VarLab,MATCH($A3168,VarKey,0))&amp;INDEX(MemLab,MATCH($C3168&amp;"|"&amp;$B3168,MemKey,0))</f>
        <v/>
      </c>
      <c r="I3168" s="14">
        <f>INDEX(VarUnit,MATCH($A3168,VarKey,0))</f>
        <v/>
      </c>
      <c r="J3168" s="14">
        <f>INDEX(VarSrc,MATCH($A3168,VarKey,0))</f>
        <v/>
      </c>
      <c r="K3168" s="11">
        <f>CodePrefix&amp;$A3168&amp;IF($C3168="","","."&amp;$C3168&amp;"."&amp;$B3168)&amp;INDEX(VarEnd,MATCH($A3168,VarKey,0))&amp;K$5</f>
        <v/>
      </c>
      <c r="L3168" s="81">
        <f>SUMIFS(L$1003:L$3061,SecVar,"co2",SecSub,$C3168)+SUMIF($C$756:$C$764,$C3168,L$756:L$764)</f>
        <v/>
      </c>
      <c r="M3168" s="82">
        <f>SUMIFS(M$1003:M$3061,SecVar,"co2",SecSub,$C3168)+SUMIF($C$756:$C$764,$C3168,M$756:M$764)</f>
        <v/>
      </c>
      <c r="N3168" s="82">
        <f>SUMIFS(N$1003:N$3061,SecVar,"co2",SecSub,$C3168)+SUMIF($C$756:$C$764,$C3168,N$756:N$764)</f>
        <v/>
      </c>
      <c r="O3168" s="82">
        <f>SUMIFS(O$1003:O$3061,SecVar,"co2",SecSub,$C3168)+SUMIF($C$756:$C$764,$C3168,O$756:O$764)</f>
        <v/>
      </c>
      <c r="P3168" s="82">
        <f>SUMIFS(P$1003:P$3061,SecVar,"co2",SecSub,$C3168)+SUMIF($C$756:$C$764,$C3168,P$756:P$764)</f>
        <v/>
      </c>
      <c r="Q3168" s="82">
        <f>SUMIFS(Q$1003:Q$3061,SecVar,"co2",SecSub,$C3168)+SUMIF($C$756:$C$764,$C3168,Q$756:Q$764)</f>
        <v/>
      </c>
      <c r="R3168" s="82">
        <f>SUMIFS(R$1003:R$3061,SecVar,"co2",SecSub,$C3168)+SUMIF($C$756:$C$764,$C3168,R$756:R$764)</f>
        <v/>
      </c>
      <c r="S3168" s="82">
        <f>SUMIFS(S$1003:S$3061,SecVar,"co2",SecSub,$C3168)+SUMIF($C$756:$C$764,$C3168,S$756:S$764)</f>
        <v/>
      </c>
      <c r="T3168" s="82">
        <f>SUMIFS(T$1003:T$3061,SecVar,"co2",SecSub,$C3168)+SUMIF($C$756:$C$764,$C3168,T$756:T$764)</f>
        <v/>
      </c>
      <c r="U3168" s="82">
        <f>SUMIFS(U$1003:U$3061,SecVar,"co2",SecSub,$C3168)+SUMIF($C$756:$C$764,$C3168,U$756:U$764)</f>
        <v/>
      </c>
      <c r="V3168" s="82">
        <f>SUMIFS(V$1003:V$3061,SecVar,"co2",SecSub,$C3168)+SUMIF($C$756:$C$764,$C3168,V$756:V$764)</f>
        <v/>
      </c>
      <c r="W3168" s="82">
        <f>SUMIFS(W$1003:W$3061,SecVar,"co2",SecSub,$C3168)+SUMIF($C$756:$C$764,$C3168,W$756:W$764)</f>
        <v/>
      </c>
      <c r="X3168" s="82">
        <f>SUMIFS(X$1003:X$3061,SecVar,"co2",SecSub,$C3168)+SUMIF($C$756:$C$764,$C3168,X$756:X$764)</f>
        <v/>
      </c>
      <c r="Y3168" s="82">
        <f>SUMIFS(Y$1003:Y$3061,SecVar,"co2",SecSub,$C3168)+SUMIF($C$756:$C$764,$C3168,Y$756:Y$764)</f>
        <v/>
      </c>
      <c r="Z3168" s="82">
        <f>SUMIFS(Z$1003:Z$3061,SecVar,"co2",SecSub,$C3168)+SUMIF($C$756:$C$764,$C3168,Z$756:Z$764)</f>
        <v/>
      </c>
      <c r="AA3168" s="82">
        <f>SUMIFS(AA$1003:AA$3061,SecVar,"co2",SecSub,$C3168)+SUMIF($C$756:$C$764,$C3168,AA$756:AA$764)</f>
        <v/>
      </c>
      <c r="AB3168" s="82">
        <f>SUMIFS(AB$1003:AB$3061,SecVar,"co2",SecSub,$C3168)+SUMIF($C$756:$C$764,$C3168,AB$756:AB$764)</f>
        <v/>
      </c>
      <c r="AC3168" s="82">
        <f>SUMIFS(AC$1003:AC$3061,SecVar,"co2",SecSub,$C3168)+SUMIF($C$756:$C$764,$C3168,AC$756:AC$764)</f>
        <v/>
      </c>
      <c r="AD3168" s="82">
        <f>SUMIFS(AD$1003:AD$3061,SecVar,"co2",SecSub,$C3168)+SUMIF($C$756:$C$764,$C3168,AD$756:AD$764)</f>
        <v/>
      </c>
      <c r="AE3168" s="82">
        <f>SUMIFS(AE$1003:AE$3061,SecVar,"co2",SecSub,$C3168)+SUMIF($C$756:$C$764,$C3168,AE$756:AE$764)</f>
        <v/>
      </c>
      <c r="AG3168" s="11">
        <f>CodePrefix&amp;$A3168&amp;IF($C3168="","","."&amp;$C3168&amp;"."&amp;$B3168)&amp;INDEX(VarEnd,MATCH($A3168,VarKey,0))&amp;AG$5</f>
        <v/>
      </c>
      <c r="AH3168" s="81">
        <f>SUMIFS(AH$1003:AH$3061,SecVar,"co2",SecSub,$C3168)+SUMIF($C$756:$C$764,$C3168,AH$756:AH$764)</f>
        <v/>
      </c>
      <c r="AI3168" s="82">
        <f>SUMIFS(AI$1003:AI$3061,SecVar,"co2",SecSub,$C3168)+SUMIF($C$756:$C$764,$C3168,AI$756:AI$764)</f>
        <v/>
      </c>
      <c r="AJ3168" s="82">
        <f>SUMIFS(AJ$1003:AJ$3061,SecVar,"co2",SecSub,$C3168)+SUMIF($C$756:$C$764,$C3168,AJ$756:AJ$764)</f>
        <v/>
      </c>
      <c r="AK3168" s="82">
        <f>SUMIFS(AK$1003:AK$3061,SecVar,"co2",SecSub,$C3168)+SUMIF($C$756:$C$764,$C3168,AK$756:AK$764)</f>
        <v/>
      </c>
      <c r="AL3168" s="82">
        <f>SUMIFS(AL$1003:AL$3061,SecVar,"co2",SecSub,$C3168)+SUMIF($C$756:$C$764,$C3168,AL$756:AL$764)</f>
        <v/>
      </c>
      <c r="AM3168" s="82">
        <f>SUMIFS(AM$1003:AM$3061,SecVar,"co2",SecSub,$C3168)+SUMIF($C$756:$C$764,$C3168,AM$756:AM$764)</f>
        <v/>
      </c>
      <c r="AN3168" s="82">
        <f>SUMIFS(AN$1003:AN$3061,SecVar,"co2",SecSub,$C3168)+SUMIF($C$756:$C$764,$C3168,AN$756:AN$764)</f>
        <v/>
      </c>
      <c r="AO3168" s="82">
        <f>SUMIFS(AO$1003:AO$3061,SecVar,"co2",SecSub,$C3168)+SUMIF($C$756:$C$764,$C3168,AO$756:AO$764)</f>
        <v/>
      </c>
      <c r="AP3168" s="82">
        <f>SUMIFS(AP$1003:AP$3061,SecVar,"co2",SecSub,$C3168)+SUMIF($C$756:$C$764,$C3168,AP$756:AP$764)</f>
        <v/>
      </c>
      <c r="AQ3168" s="82">
        <f>SUMIFS(AQ$1003:AQ$3061,SecVar,"co2",SecSub,$C3168)+SUMIF($C$756:$C$764,$C3168,AQ$756:AQ$764)</f>
        <v/>
      </c>
      <c r="AR3168" s="82">
        <f>SUMIFS(AR$1003:AR$3061,SecVar,"co2",SecSub,$C3168)+SUMIF($C$756:$C$764,$C3168,AR$756:AR$764)</f>
        <v/>
      </c>
      <c r="AS3168" s="82">
        <f>SUMIFS(AS$1003:AS$3061,SecVar,"co2",SecSub,$C3168)+SUMIF($C$756:$C$764,$C3168,AS$756:AS$764)</f>
        <v/>
      </c>
      <c r="AT3168" s="82">
        <f>SUMIFS(AT$1003:AT$3061,SecVar,"co2",SecSub,$C3168)+SUMIF($C$756:$C$764,$C3168,AT$756:AT$764)</f>
        <v/>
      </c>
      <c r="AU3168" s="82">
        <f>SUMIFS(AU$1003:AU$3061,SecVar,"co2",SecSub,$C3168)+SUMIF($C$756:$C$764,$C3168,AU$756:AU$764)</f>
        <v/>
      </c>
      <c r="AV3168" s="82">
        <f>SUMIFS(AV$1003:AV$3061,SecVar,"co2",SecSub,$C3168)+SUMIF($C$756:$C$764,$C3168,AV$756:AV$764)</f>
        <v/>
      </c>
      <c r="AW3168" s="82">
        <f>SUMIFS(AW$1003:AW$3061,SecVar,"co2",SecSub,$C3168)+SUMIF($C$756:$C$764,$C3168,AW$756:AW$764)</f>
        <v/>
      </c>
      <c r="AX3168" s="82">
        <f>SUMIFS(AX$1003:AX$3061,SecVar,"co2",SecSub,$C3168)+SUMIF($C$756:$C$764,$C3168,AX$756:AX$764)</f>
        <v/>
      </c>
      <c r="AY3168" s="82">
        <f>SUMIFS(AY$1003:AY$3061,SecVar,"co2",SecSub,$C3168)+SUMIF($C$756:$C$764,$C3168,AY$756:AY$764)</f>
        <v/>
      </c>
      <c r="AZ3168" s="82">
        <f>SUMIFS(AZ$1003:AZ$3061,SecVar,"co2",SecSub,$C3168)+SUMIF($C$756:$C$764,$C3168,AZ$756:AZ$764)</f>
        <v/>
      </c>
      <c r="BA3168" s="82">
        <f>SUMIFS(BA$1003:BA$3061,SecVar,"co2",SecSub,$C3168)+SUMIF($C$756:$C$764,$C3168,BA$756:BA$764)</f>
        <v/>
      </c>
    </row>
    <row r="3169" hidden="1" outlineLevel="1">
      <c r="A3169" s="14" t="inlineStr">
        <is>
          <t>co2.sec</t>
        </is>
      </c>
      <c r="B3169" s="14" t="inlineStr">
        <is>
          <t>all</t>
        </is>
      </c>
      <c r="C3169" s="14" t="inlineStr">
        <is>
          <t>cem</t>
        </is>
      </c>
      <c r="H3169" s="14">
        <f>INDEX(VarLab,MATCH($A3169,VarKey,0))&amp;INDEX(MemLab,MATCH($C3169&amp;"|"&amp;$B3169,MemKey,0))</f>
        <v/>
      </c>
      <c r="I3169" s="14">
        <f>INDEX(VarUnit,MATCH($A3169,VarKey,0))</f>
        <v/>
      </c>
      <c r="J3169" s="14">
        <f>INDEX(VarSrc,MATCH($A3169,VarKey,0))</f>
        <v/>
      </c>
      <c r="K3169" s="11">
        <f>CodePrefix&amp;$A3169&amp;IF($C3169="","","."&amp;$C3169&amp;"."&amp;$B3169)&amp;INDEX(VarEnd,MATCH($A3169,VarKey,0))&amp;K$5</f>
        <v/>
      </c>
      <c r="L3169" s="81">
        <f>SUMIFS(L$1003:L$3061,SecVar,"co2",SecSub,$C3169)+SUMIF($C$756:$C$764,$C3169,L$756:L$764)</f>
        <v/>
      </c>
      <c r="M3169" s="82">
        <f>SUMIFS(M$1003:M$3061,SecVar,"co2",SecSub,$C3169)+SUMIF($C$756:$C$764,$C3169,M$756:M$764)</f>
        <v/>
      </c>
      <c r="N3169" s="82">
        <f>SUMIFS(N$1003:N$3061,SecVar,"co2",SecSub,$C3169)+SUMIF($C$756:$C$764,$C3169,N$756:N$764)</f>
        <v/>
      </c>
      <c r="O3169" s="82">
        <f>SUMIFS(O$1003:O$3061,SecVar,"co2",SecSub,$C3169)+SUMIF($C$756:$C$764,$C3169,O$756:O$764)</f>
        <v/>
      </c>
      <c r="P3169" s="82">
        <f>SUMIFS(P$1003:P$3061,SecVar,"co2",SecSub,$C3169)+SUMIF($C$756:$C$764,$C3169,P$756:P$764)</f>
        <v/>
      </c>
      <c r="Q3169" s="82">
        <f>SUMIFS(Q$1003:Q$3061,SecVar,"co2",SecSub,$C3169)+SUMIF($C$756:$C$764,$C3169,Q$756:Q$764)</f>
        <v/>
      </c>
      <c r="R3169" s="82">
        <f>SUMIFS(R$1003:R$3061,SecVar,"co2",SecSub,$C3169)+SUMIF($C$756:$C$764,$C3169,R$756:R$764)</f>
        <v/>
      </c>
      <c r="S3169" s="82">
        <f>SUMIFS(S$1003:S$3061,SecVar,"co2",SecSub,$C3169)+SUMIF($C$756:$C$764,$C3169,S$756:S$764)</f>
        <v/>
      </c>
      <c r="T3169" s="82">
        <f>SUMIFS(T$1003:T$3061,SecVar,"co2",SecSub,$C3169)+SUMIF($C$756:$C$764,$C3169,T$756:T$764)</f>
        <v/>
      </c>
      <c r="U3169" s="82">
        <f>SUMIFS(U$1003:U$3061,SecVar,"co2",SecSub,$C3169)+SUMIF($C$756:$C$764,$C3169,U$756:U$764)</f>
        <v/>
      </c>
      <c r="V3169" s="82">
        <f>SUMIFS(V$1003:V$3061,SecVar,"co2",SecSub,$C3169)+SUMIF($C$756:$C$764,$C3169,V$756:V$764)</f>
        <v/>
      </c>
      <c r="W3169" s="82">
        <f>SUMIFS(W$1003:W$3061,SecVar,"co2",SecSub,$C3169)+SUMIF($C$756:$C$764,$C3169,W$756:W$764)</f>
        <v/>
      </c>
      <c r="X3169" s="82">
        <f>SUMIFS(X$1003:X$3061,SecVar,"co2",SecSub,$C3169)+SUMIF($C$756:$C$764,$C3169,X$756:X$764)</f>
        <v/>
      </c>
      <c r="Y3169" s="82">
        <f>SUMIFS(Y$1003:Y$3061,SecVar,"co2",SecSub,$C3169)+SUMIF($C$756:$C$764,$C3169,Y$756:Y$764)</f>
        <v/>
      </c>
      <c r="Z3169" s="82">
        <f>SUMIFS(Z$1003:Z$3061,SecVar,"co2",SecSub,$C3169)+SUMIF($C$756:$C$764,$C3169,Z$756:Z$764)</f>
        <v/>
      </c>
      <c r="AA3169" s="82">
        <f>SUMIFS(AA$1003:AA$3061,SecVar,"co2",SecSub,$C3169)+SUMIF($C$756:$C$764,$C3169,AA$756:AA$764)</f>
        <v/>
      </c>
      <c r="AB3169" s="82">
        <f>SUMIFS(AB$1003:AB$3061,SecVar,"co2",SecSub,$C3169)+SUMIF($C$756:$C$764,$C3169,AB$756:AB$764)</f>
        <v/>
      </c>
      <c r="AC3169" s="82">
        <f>SUMIFS(AC$1003:AC$3061,SecVar,"co2",SecSub,$C3169)+SUMIF($C$756:$C$764,$C3169,AC$756:AC$764)</f>
        <v/>
      </c>
      <c r="AD3169" s="82">
        <f>SUMIFS(AD$1003:AD$3061,SecVar,"co2",SecSub,$C3169)+SUMIF($C$756:$C$764,$C3169,AD$756:AD$764)</f>
        <v/>
      </c>
      <c r="AE3169" s="82">
        <f>SUMIFS(AE$1003:AE$3061,SecVar,"co2",SecSub,$C3169)+SUMIF($C$756:$C$764,$C3169,AE$756:AE$764)</f>
        <v/>
      </c>
      <c r="AG3169" s="11">
        <f>CodePrefix&amp;$A3169&amp;IF($C3169="","","."&amp;$C3169&amp;"."&amp;$B3169)&amp;INDEX(VarEnd,MATCH($A3169,VarKey,0))&amp;AG$5</f>
        <v/>
      </c>
      <c r="AH3169" s="81">
        <f>SUMIFS(AH$1003:AH$3061,SecVar,"co2",SecSub,$C3169)+SUMIF($C$756:$C$764,$C3169,AH$756:AH$764)</f>
        <v/>
      </c>
      <c r="AI3169" s="82">
        <f>SUMIFS(AI$1003:AI$3061,SecVar,"co2",SecSub,$C3169)+SUMIF($C$756:$C$764,$C3169,AI$756:AI$764)</f>
        <v/>
      </c>
      <c r="AJ3169" s="82">
        <f>SUMIFS(AJ$1003:AJ$3061,SecVar,"co2",SecSub,$C3169)+SUMIF($C$756:$C$764,$C3169,AJ$756:AJ$764)</f>
        <v/>
      </c>
      <c r="AK3169" s="82">
        <f>SUMIFS(AK$1003:AK$3061,SecVar,"co2",SecSub,$C3169)+SUMIF($C$756:$C$764,$C3169,AK$756:AK$764)</f>
        <v/>
      </c>
      <c r="AL3169" s="82">
        <f>SUMIFS(AL$1003:AL$3061,SecVar,"co2",SecSub,$C3169)+SUMIF($C$756:$C$764,$C3169,AL$756:AL$764)</f>
        <v/>
      </c>
      <c r="AM3169" s="82">
        <f>SUMIFS(AM$1003:AM$3061,SecVar,"co2",SecSub,$C3169)+SUMIF($C$756:$C$764,$C3169,AM$756:AM$764)</f>
        <v/>
      </c>
      <c r="AN3169" s="82">
        <f>SUMIFS(AN$1003:AN$3061,SecVar,"co2",SecSub,$C3169)+SUMIF($C$756:$C$764,$C3169,AN$756:AN$764)</f>
        <v/>
      </c>
      <c r="AO3169" s="82">
        <f>SUMIFS(AO$1003:AO$3061,SecVar,"co2",SecSub,$C3169)+SUMIF($C$756:$C$764,$C3169,AO$756:AO$764)</f>
        <v/>
      </c>
      <c r="AP3169" s="82">
        <f>SUMIFS(AP$1003:AP$3061,SecVar,"co2",SecSub,$C3169)+SUMIF($C$756:$C$764,$C3169,AP$756:AP$764)</f>
        <v/>
      </c>
      <c r="AQ3169" s="82">
        <f>SUMIFS(AQ$1003:AQ$3061,SecVar,"co2",SecSub,$C3169)+SUMIF($C$756:$C$764,$C3169,AQ$756:AQ$764)</f>
        <v/>
      </c>
      <c r="AR3169" s="82">
        <f>SUMIFS(AR$1003:AR$3061,SecVar,"co2",SecSub,$C3169)+SUMIF($C$756:$C$764,$C3169,AR$756:AR$764)</f>
        <v/>
      </c>
      <c r="AS3169" s="82">
        <f>SUMIFS(AS$1003:AS$3061,SecVar,"co2",SecSub,$C3169)+SUMIF($C$756:$C$764,$C3169,AS$756:AS$764)</f>
        <v/>
      </c>
      <c r="AT3169" s="82">
        <f>SUMIFS(AT$1003:AT$3061,SecVar,"co2",SecSub,$C3169)+SUMIF($C$756:$C$764,$C3169,AT$756:AT$764)</f>
        <v/>
      </c>
      <c r="AU3169" s="82">
        <f>SUMIFS(AU$1003:AU$3061,SecVar,"co2",SecSub,$C3169)+SUMIF($C$756:$C$764,$C3169,AU$756:AU$764)</f>
        <v/>
      </c>
      <c r="AV3169" s="82">
        <f>SUMIFS(AV$1003:AV$3061,SecVar,"co2",SecSub,$C3169)+SUMIF($C$756:$C$764,$C3169,AV$756:AV$764)</f>
        <v/>
      </c>
      <c r="AW3169" s="82">
        <f>SUMIFS(AW$1003:AW$3061,SecVar,"co2",SecSub,$C3169)+SUMIF($C$756:$C$764,$C3169,AW$756:AW$764)</f>
        <v/>
      </c>
      <c r="AX3169" s="82">
        <f>SUMIFS(AX$1003:AX$3061,SecVar,"co2",SecSub,$C3169)+SUMIF($C$756:$C$764,$C3169,AX$756:AX$764)</f>
        <v/>
      </c>
      <c r="AY3169" s="82">
        <f>SUMIFS(AY$1003:AY$3061,SecVar,"co2",SecSub,$C3169)+SUMIF($C$756:$C$764,$C3169,AY$756:AY$764)</f>
        <v/>
      </c>
      <c r="AZ3169" s="82">
        <f>SUMIFS(AZ$1003:AZ$3061,SecVar,"co2",SecSub,$C3169)+SUMIF($C$756:$C$764,$C3169,AZ$756:AZ$764)</f>
        <v/>
      </c>
      <c r="BA3169" s="82">
        <f>SUMIFS(BA$1003:BA$3061,SecVar,"co2",SecSub,$C3169)+SUMIF($C$756:$C$764,$C3169,BA$756:BA$764)</f>
        <v/>
      </c>
    </row>
    <row r="3170" hidden="1" outlineLevel="1">
      <c r="A3170" s="14" t="inlineStr">
        <is>
          <t>co2.sec</t>
        </is>
      </c>
      <c r="B3170" s="14" t="inlineStr">
        <is>
          <t>all</t>
        </is>
      </c>
      <c r="C3170" s="14" t="inlineStr">
        <is>
          <t>omn</t>
        </is>
      </c>
      <c r="H3170" s="14">
        <f>INDEX(VarLab,MATCH($A3170,VarKey,0))&amp;INDEX(MemLab,MATCH($C3170&amp;"|"&amp;$B3170,MemKey,0))</f>
        <v/>
      </c>
      <c r="I3170" s="14">
        <f>INDEX(VarUnit,MATCH($A3170,VarKey,0))</f>
        <v/>
      </c>
      <c r="J3170" s="14">
        <f>INDEX(VarSrc,MATCH($A3170,VarKey,0))</f>
        <v/>
      </c>
      <c r="K3170" s="11">
        <f>CodePrefix&amp;$A3170&amp;IF($C3170="","","."&amp;$C3170&amp;"."&amp;$B3170)&amp;INDEX(VarEnd,MATCH($A3170,VarKey,0))&amp;K$5</f>
        <v/>
      </c>
      <c r="L3170" s="81">
        <f>SUMIFS(L$1003:L$3061,SecVar,"co2",SecSub,$C3170)+SUMIF($C$756:$C$764,$C3170,L$756:L$764)</f>
        <v/>
      </c>
      <c r="M3170" s="82">
        <f>SUMIFS(M$1003:M$3061,SecVar,"co2",SecSub,$C3170)+SUMIF($C$756:$C$764,$C3170,M$756:M$764)</f>
        <v/>
      </c>
      <c r="N3170" s="82">
        <f>SUMIFS(N$1003:N$3061,SecVar,"co2",SecSub,$C3170)+SUMIF($C$756:$C$764,$C3170,N$756:N$764)</f>
        <v/>
      </c>
      <c r="O3170" s="82">
        <f>SUMIFS(O$1003:O$3061,SecVar,"co2",SecSub,$C3170)+SUMIF($C$756:$C$764,$C3170,O$756:O$764)</f>
        <v/>
      </c>
      <c r="P3170" s="82">
        <f>SUMIFS(P$1003:P$3061,SecVar,"co2",SecSub,$C3170)+SUMIF($C$756:$C$764,$C3170,P$756:P$764)</f>
        <v/>
      </c>
      <c r="Q3170" s="82">
        <f>SUMIFS(Q$1003:Q$3061,SecVar,"co2",SecSub,$C3170)+SUMIF($C$756:$C$764,$C3170,Q$756:Q$764)</f>
        <v/>
      </c>
      <c r="R3170" s="82">
        <f>SUMIFS(R$1003:R$3061,SecVar,"co2",SecSub,$C3170)+SUMIF($C$756:$C$764,$C3170,R$756:R$764)</f>
        <v/>
      </c>
      <c r="S3170" s="82">
        <f>SUMIFS(S$1003:S$3061,SecVar,"co2",SecSub,$C3170)+SUMIF($C$756:$C$764,$C3170,S$756:S$764)</f>
        <v/>
      </c>
      <c r="T3170" s="82">
        <f>SUMIFS(T$1003:T$3061,SecVar,"co2",SecSub,$C3170)+SUMIF($C$756:$C$764,$C3170,T$756:T$764)</f>
        <v/>
      </c>
      <c r="U3170" s="82">
        <f>SUMIFS(U$1003:U$3061,SecVar,"co2",SecSub,$C3170)+SUMIF($C$756:$C$764,$C3170,U$756:U$764)</f>
        <v/>
      </c>
      <c r="V3170" s="82">
        <f>SUMIFS(V$1003:V$3061,SecVar,"co2",SecSub,$C3170)+SUMIF($C$756:$C$764,$C3170,V$756:V$764)</f>
        <v/>
      </c>
      <c r="W3170" s="82">
        <f>SUMIFS(W$1003:W$3061,SecVar,"co2",SecSub,$C3170)+SUMIF($C$756:$C$764,$C3170,W$756:W$764)</f>
        <v/>
      </c>
      <c r="X3170" s="82">
        <f>SUMIFS(X$1003:X$3061,SecVar,"co2",SecSub,$C3170)+SUMIF($C$756:$C$764,$C3170,X$756:X$764)</f>
        <v/>
      </c>
      <c r="Y3170" s="82">
        <f>SUMIFS(Y$1003:Y$3061,SecVar,"co2",SecSub,$C3170)+SUMIF($C$756:$C$764,$C3170,Y$756:Y$764)</f>
        <v/>
      </c>
      <c r="Z3170" s="82">
        <f>SUMIFS(Z$1003:Z$3061,SecVar,"co2",SecSub,$C3170)+SUMIF($C$756:$C$764,$C3170,Z$756:Z$764)</f>
        <v/>
      </c>
      <c r="AA3170" s="82">
        <f>SUMIFS(AA$1003:AA$3061,SecVar,"co2",SecSub,$C3170)+SUMIF($C$756:$C$764,$C3170,AA$756:AA$764)</f>
        <v/>
      </c>
      <c r="AB3170" s="82">
        <f>SUMIFS(AB$1003:AB$3061,SecVar,"co2",SecSub,$C3170)+SUMIF($C$756:$C$764,$C3170,AB$756:AB$764)</f>
        <v/>
      </c>
      <c r="AC3170" s="82">
        <f>SUMIFS(AC$1003:AC$3061,SecVar,"co2",SecSub,$C3170)+SUMIF($C$756:$C$764,$C3170,AC$756:AC$764)</f>
        <v/>
      </c>
      <c r="AD3170" s="82">
        <f>SUMIFS(AD$1003:AD$3061,SecVar,"co2",SecSub,$C3170)+SUMIF($C$756:$C$764,$C3170,AD$756:AD$764)</f>
        <v/>
      </c>
      <c r="AE3170" s="82">
        <f>SUMIFS(AE$1003:AE$3061,SecVar,"co2",SecSub,$C3170)+SUMIF($C$756:$C$764,$C3170,AE$756:AE$764)</f>
        <v/>
      </c>
      <c r="AG3170" s="11">
        <f>CodePrefix&amp;$A3170&amp;IF($C3170="","","."&amp;$C3170&amp;"."&amp;$B3170)&amp;INDEX(VarEnd,MATCH($A3170,VarKey,0))&amp;AG$5</f>
        <v/>
      </c>
      <c r="AH3170" s="81">
        <f>SUMIFS(AH$1003:AH$3061,SecVar,"co2",SecSub,$C3170)+SUMIF($C$756:$C$764,$C3170,AH$756:AH$764)</f>
        <v/>
      </c>
      <c r="AI3170" s="82">
        <f>SUMIFS(AI$1003:AI$3061,SecVar,"co2",SecSub,$C3170)+SUMIF($C$756:$C$764,$C3170,AI$756:AI$764)</f>
        <v/>
      </c>
      <c r="AJ3170" s="82">
        <f>SUMIFS(AJ$1003:AJ$3061,SecVar,"co2",SecSub,$C3170)+SUMIF($C$756:$C$764,$C3170,AJ$756:AJ$764)</f>
        <v/>
      </c>
      <c r="AK3170" s="82">
        <f>SUMIFS(AK$1003:AK$3061,SecVar,"co2",SecSub,$C3170)+SUMIF($C$756:$C$764,$C3170,AK$756:AK$764)</f>
        <v/>
      </c>
      <c r="AL3170" s="82">
        <f>SUMIFS(AL$1003:AL$3061,SecVar,"co2",SecSub,$C3170)+SUMIF($C$756:$C$764,$C3170,AL$756:AL$764)</f>
        <v/>
      </c>
      <c r="AM3170" s="82">
        <f>SUMIFS(AM$1003:AM$3061,SecVar,"co2",SecSub,$C3170)+SUMIF($C$756:$C$764,$C3170,AM$756:AM$764)</f>
        <v/>
      </c>
      <c r="AN3170" s="82">
        <f>SUMIFS(AN$1003:AN$3061,SecVar,"co2",SecSub,$C3170)+SUMIF($C$756:$C$764,$C3170,AN$756:AN$764)</f>
        <v/>
      </c>
      <c r="AO3170" s="82">
        <f>SUMIFS(AO$1003:AO$3061,SecVar,"co2",SecSub,$C3170)+SUMIF($C$756:$C$764,$C3170,AO$756:AO$764)</f>
        <v/>
      </c>
      <c r="AP3170" s="82">
        <f>SUMIFS(AP$1003:AP$3061,SecVar,"co2",SecSub,$C3170)+SUMIF($C$756:$C$764,$C3170,AP$756:AP$764)</f>
        <v/>
      </c>
      <c r="AQ3170" s="82">
        <f>SUMIFS(AQ$1003:AQ$3061,SecVar,"co2",SecSub,$C3170)+SUMIF($C$756:$C$764,$C3170,AQ$756:AQ$764)</f>
        <v/>
      </c>
      <c r="AR3170" s="82">
        <f>SUMIFS(AR$1003:AR$3061,SecVar,"co2",SecSub,$C3170)+SUMIF($C$756:$C$764,$C3170,AR$756:AR$764)</f>
        <v/>
      </c>
      <c r="AS3170" s="82">
        <f>SUMIFS(AS$1003:AS$3061,SecVar,"co2",SecSub,$C3170)+SUMIF($C$756:$C$764,$C3170,AS$756:AS$764)</f>
        <v/>
      </c>
      <c r="AT3170" s="82">
        <f>SUMIFS(AT$1003:AT$3061,SecVar,"co2",SecSub,$C3170)+SUMIF($C$756:$C$764,$C3170,AT$756:AT$764)</f>
        <v/>
      </c>
      <c r="AU3170" s="82">
        <f>SUMIFS(AU$1003:AU$3061,SecVar,"co2",SecSub,$C3170)+SUMIF($C$756:$C$764,$C3170,AU$756:AU$764)</f>
        <v/>
      </c>
      <c r="AV3170" s="82">
        <f>SUMIFS(AV$1003:AV$3061,SecVar,"co2",SecSub,$C3170)+SUMIF($C$756:$C$764,$C3170,AV$756:AV$764)</f>
        <v/>
      </c>
      <c r="AW3170" s="82">
        <f>SUMIFS(AW$1003:AW$3061,SecVar,"co2",SecSub,$C3170)+SUMIF($C$756:$C$764,$C3170,AW$756:AW$764)</f>
        <v/>
      </c>
      <c r="AX3170" s="82">
        <f>SUMIFS(AX$1003:AX$3061,SecVar,"co2",SecSub,$C3170)+SUMIF($C$756:$C$764,$C3170,AX$756:AX$764)</f>
        <v/>
      </c>
      <c r="AY3170" s="82">
        <f>SUMIFS(AY$1003:AY$3061,SecVar,"co2",SecSub,$C3170)+SUMIF($C$756:$C$764,$C3170,AY$756:AY$764)</f>
        <v/>
      </c>
      <c r="AZ3170" s="82">
        <f>SUMIFS(AZ$1003:AZ$3061,SecVar,"co2",SecSub,$C3170)+SUMIF($C$756:$C$764,$C3170,AZ$756:AZ$764)</f>
        <v/>
      </c>
      <c r="BA3170" s="82">
        <f>SUMIFS(BA$1003:BA$3061,SecVar,"co2",SecSub,$C3170)+SUMIF($C$756:$C$764,$C3170,BA$756:BA$764)</f>
        <v/>
      </c>
    </row>
    <row r="3171" hidden="1" outlineLevel="1">
      <c r="A3171" s="14" t="inlineStr">
        <is>
          <t>co2.sec</t>
        </is>
      </c>
      <c r="B3171" s="14" t="inlineStr">
        <is>
          <t>all</t>
        </is>
      </c>
      <c r="C3171" s="14" t="inlineStr">
        <is>
          <t>cst</t>
        </is>
      </c>
      <c r="H3171" s="14">
        <f>INDEX(VarLab,MATCH($A3171,VarKey,0))&amp;INDEX(MemLab,MATCH($C3171&amp;"|"&amp;$B3171,MemKey,0))</f>
        <v/>
      </c>
      <c r="I3171" s="14">
        <f>INDEX(VarUnit,MATCH($A3171,VarKey,0))</f>
        <v/>
      </c>
      <c r="J3171" s="14">
        <f>INDEX(VarSrc,MATCH($A3171,VarKey,0))</f>
        <v/>
      </c>
      <c r="K3171" s="11">
        <f>CodePrefix&amp;$A3171&amp;IF($C3171="","","."&amp;$C3171&amp;"."&amp;$B3171)&amp;INDEX(VarEnd,MATCH($A3171,VarKey,0))&amp;K$5</f>
        <v/>
      </c>
      <c r="L3171" s="81">
        <f>SUMIFS(L$1003:L$3061,SecVar,"co2",SecSub,$C3171)+SUMIF($C$756:$C$764,$C3171,L$756:L$764)</f>
        <v/>
      </c>
      <c r="M3171" s="82">
        <f>SUMIFS(M$1003:M$3061,SecVar,"co2",SecSub,$C3171)+SUMIF($C$756:$C$764,$C3171,M$756:M$764)</f>
        <v/>
      </c>
      <c r="N3171" s="82">
        <f>SUMIFS(N$1003:N$3061,SecVar,"co2",SecSub,$C3171)+SUMIF($C$756:$C$764,$C3171,N$756:N$764)</f>
        <v/>
      </c>
      <c r="O3171" s="82">
        <f>SUMIFS(O$1003:O$3061,SecVar,"co2",SecSub,$C3171)+SUMIF($C$756:$C$764,$C3171,O$756:O$764)</f>
        <v/>
      </c>
      <c r="P3171" s="82">
        <f>SUMIFS(P$1003:P$3061,SecVar,"co2",SecSub,$C3171)+SUMIF($C$756:$C$764,$C3171,P$756:P$764)</f>
        <v/>
      </c>
      <c r="Q3171" s="82">
        <f>SUMIFS(Q$1003:Q$3061,SecVar,"co2",SecSub,$C3171)+SUMIF($C$756:$C$764,$C3171,Q$756:Q$764)</f>
        <v/>
      </c>
      <c r="R3171" s="82">
        <f>SUMIFS(R$1003:R$3061,SecVar,"co2",SecSub,$C3171)+SUMIF($C$756:$C$764,$C3171,R$756:R$764)</f>
        <v/>
      </c>
      <c r="S3171" s="82">
        <f>SUMIFS(S$1003:S$3061,SecVar,"co2",SecSub,$C3171)+SUMIF($C$756:$C$764,$C3171,S$756:S$764)</f>
        <v/>
      </c>
      <c r="T3171" s="82">
        <f>SUMIFS(T$1003:T$3061,SecVar,"co2",SecSub,$C3171)+SUMIF($C$756:$C$764,$C3171,T$756:T$764)</f>
        <v/>
      </c>
      <c r="U3171" s="82">
        <f>SUMIFS(U$1003:U$3061,SecVar,"co2",SecSub,$C3171)+SUMIF($C$756:$C$764,$C3171,U$756:U$764)</f>
        <v/>
      </c>
      <c r="V3171" s="82">
        <f>SUMIFS(V$1003:V$3061,SecVar,"co2",SecSub,$C3171)+SUMIF($C$756:$C$764,$C3171,V$756:V$764)</f>
        <v/>
      </c>
      <c r="W3171" s="82">
        <f>SUMIFS(W$1003:W$3061,SecVar,"co2",SecSub,$C3171)+SUMIF($C$756:$C$764,$C3171,W$756:W$764)</f>
        <v/>
      </c>
      <c r="X3171" s="82">
        <f>SUMIFS(X$1003:X$3061,SecVar,"co2",SecSub,$C3171)+SUMIF($C$756:$C$764,$C3171,X$756:X$764)</f>
        <v/>
      </c>
      <c r="Y3171" s="82">
        <f>SUMIFS(Y$1003:Y$3061,SecVar,"co2",SecSub,$C3171)+SUMIF($C$756:$C$764,$C3171,Y$756:Y$764)</f>
        <v/>
      </c>
      <c r="Z3171" s="82">
        <f>SUMIFS(Z$1003:Z$3061,SecVar,"co2",SecSub,$C3171)+SUMIF($C$756:$C$764,$C3171,Z$756:Z$764)</f>
        <v/>
      </c>
      <c r="AA3171" s="82">
        <f>SUMIFS(AA$1003:AA$3061,SecVar,"co2",SecSub,$C3171)+SUMIF($C$756:$C$764,$C3171,AA$756:AA$764)</f>
        <v/>
      </c>
      <c r="AB3171" s="82">
        <f>SUMIFS(AB$1003:AB$3061,SecVar,"co2",SecSub,$C3171)+SUMIF($C$756:$C$764,$C3171,AB$756:AB$764)</f>
        <v/>
      </c>
      <c r="AC3171" s="82">
        <f>SUMIFS(AC$1003:AC$3061,SecVar,"co2",SecSub,$C3171)+SUMIF($C$756:$C$764,$C3171,AC$756:AC$764)</f>
        <v/>
      </c>
      <c r="AD3171" s="82">
        <f>SUMIFS(AD$1003:AD$3061,SecVar,"co2",SecSub,$C3171)+SUMIF($C$756:$C$764,$C3171,AD$756:AD$764)</f>
        <v/>
      </c>
      <c r="AE3171" s="82">
        <f>SUMIFS(AE$1003:AE$3061,SecVar,"co2",SecSub,$C3171)+SUMIF($C$756:$C$764,$C3171,AE$756:AE$764)</f>
        <v/>
      </c>
      <c r="AG3171" s="11">
        <f>CodePrefix&amp;$A3171&amp;IF($C3171="","","."&amp;$C3171&amp;"."&amp;$B3171)&amp;INDEX(VarEnd,MATCH($A3171,VarKey,0))&amp;AG$5</f>
        <v/>
      </c>
      <c r="AH3171" s="81">
        <f>SUMIFS(AH$1003:AH$3061,SecVar,"co2",SecSub,$C3171)+SUMIF($C$756:$C$764,$C3171,AH$756:AH$764)</f>
        <v/>
      </c>
      <c r="AI3171" s="82">
        <f>SUMIFS(AI$1003:AI$3061,SecVar,"co2",SecSub,$C3171)+SUMIF($C$756:$C$764,$C3171,AI$756:AI$764)</f>
        <v/>
      </c>
      <c r="AJ3171" s="82">
        <f>SUMIFS(AJ$1003:AJ$3061,SecVar,"co2",SecSub,$C3171)+SUMIF($C$756:$C$764,$C3171,AJ$756:AJ$764)</f>
        <v/>
      </c>
      <c r="AK3171" s="82">
        <f>SUMIFS(AK$1003:AK$3061,SecVar,"co2",SecSub,$C3171)+SUMIF($C$756:$C$764,$C3171,AK$756:AK$764)</f>
        <v/>
      </c>
      <c r="AL3171" s="82">
        <f>SUMIFS(AL$1003:AL$3061,SecVar,"co2",SecSub,$C3171)+SUMIF($C$756:$C$764,$C3171,AL$756:AL$764)</f>
        <v/>
      </c>
      <c r="AM3171" s="82">
        <f>SUMIFS(AM$1003:AM$3061,SecVar,"co2",SecSub,$C3171)+SUMIF($C$756:$C$764,$C3171,AM$756:AM$764)</f>
        <v/>
      </c>
      <c r="AN3171" s="82">
        <f>SUMIFS(AN$1003:AN$3061,SecVar,"co2",SecSub,$C3171)+SUMIF($C$756:$C$764,$C3171,AN$756:AN$764)</f>
        <v/>
      </c>
      <c r="AO3171" s="82">
        <f>SUMIFS(AO$1003:AO$3061,SecVar,"co2",SecSub,$C3171)+SUMIF($C$756:$C$764,$C3171,AO$756:AO$764)</f>
        <v/>
      </c>
      <c r="AP3171" s="82">
        <f>SUMIFS(AP$1003:AP$3061,SecVar,"co2",SecSub,$C3171)+SUMIF($C$756:$C$764,$C3171,AP$756:AP$764)</f>
        <v/>
      </c>
      <c r="AQ3171" s="82">
        <f>SUMIFS(AQ$1003:AQ$3061,SecVar,"co2",SecSub,$C3171)+SUMIF($C$756:$C$764,$C3171,AQ$756:AQ$764)</f>
        <v/>
      </c>
      <c r="AR3171" s="82">
        <f>SUMIFS(AR$1003:AR$3061,SecVar,"co2",SecSub,$C3171)+SUMIF($C$756:$C$764,$C3171,AR$756:AR$764)</f>
        <v/>
      </c>
      <c r="AS3171" s="82">
        <f>SUMIFS(AS$1003:AS$3061,SecVar,"co2",SecSub,$C3171)+SUMIF($C$756:$C$764,$C3171,AS$756:AS$764)</f>
        <v/>
      </c>
      <c r="AT3171" s="82">
        <f>SUMIFS(AT$1003:AT$3061,SecVar,"co2",SecSub,$C3171)+SUMIF($C$756:$C$764,$C3171,AT$756:AT$764)</f>
        <v/>
      </c>
      <c r="AU3171" s="82">
        <f>SUMIFS(AU$1003:AU$3061,SecVar,"co2",SecSub,$C3171)+SUMIF($C$756:$C$764,$C3171,AU$756:AU$764)</f>
        <v/>
      </c>
      <c r="AV3171" s="82">
        <f>SUMIFS(AV$1003:AV$3061,SecVar,"co2",SecSub,$C3171)+SUMIF($C$756:$C$764,$C3171,AV$756:AV$764)</f>
        <v/>
      </c>
      <c r="AW3171" s="82">
        <f>SUMIFS(AW$1003:AW$3061,SecVar,"co2",SecSub,$C3171)+SUMIF($C$756:$C$764,$C3171,AW$756:AW$764)</f>
        <v/>
      </c>
      <c r="AX3171" s="82">
        <f>SUMIFS(AX$1003:AX$3061,SecVar,"co2",SecSub,$C3171)+SUMIF($C$756:$C$764,$C3171,AX$756:AX$764)</f>
        <v/>
      </c>
      <c r="AY3171" s="82">
        <f>SUMIFS(AY$1003:AY$3061,SecVar,"co2",SecSub,$C3171)+SUMIF($C$756:$C$764,$C3171,AY$756:AY$764)</f>
        <v/>
      </c>
      <c r="AZ3171" s="82">
        <f>SUMIFS(AZ$1003:AZ$3061,SecVar,"co2",SecSub,$C3171)+SUMIF($C$756:$C$764,$C3171,AZ$756:AZ$764)</f>
        <v/>
      </c>
      <c r="BA3171" s="82">
        <f>SUMIFS(BA$1003:BA$3061,SecVar,"co2",SecSub,$C3171)+SUMIF($C$756:$C$764,$C3171,BA$756:BA$764)</f>
        <v/>
      </c>
    </row>
    <row r="3172" hidden="1" outlineLevel="1">
      <c r="A3172" s="14" t="inlineStr">
        <is>
          <t>co2.sec</t>
        </is>
      </c>
      <c r="B3172" s="14" t="inlineStr">
        <is>
          <t>all</t>
        </is>
      </c>
      <c r="C3172" s="14" t="inlineStr">
        <is>
          <t>ftr</t>
        </is>
      </c>
      <c r="H3172" s="14">
        <f>INDEX(VarLab,MATCH($A3172,VarKey,0))&amp;INDEX(MemLab,MATCH($C3172&amp;"|"&amp;$B3172,MemKey,0))</f>
        <v/>
      </c>
      <c r="I3172" s="14">
        <f>INDEX(VarUnit,MATCH($A3172,VarKey,0))</f>
        <v/>
      </c>
      <c r="J3172" s="14">
        <f>INDEX(VarSrc,MATCH($A3172,VarKey,0))</f>
        <v/>
      </c>
      <c r="K3172" s="11">
        <f>CodePrefix&amp;$A3172&amp;IF($C3172="","","."&amp;$C3172&amp;"."&amp;$B3172)&amp;INDEX(VarEnd,MATCH($A3172,VarKey,0))&amp;K$5</f>
        <v/>
      </c>
      <c r="L3172" s="81">
        <f>SUMIFS(L$1003:L$3061,SecVar,"co2",SecSub,$C3172)+SUMIF($C$756:$C$764,$C3172,L$756:L$764)</f>
        <v/>
      </c>
      <c r="M3172" s="82">
        <f>SUMIFS(M$1003:M$3061,SecVar,"co2",SecSub,$C3172)+SUMIF($C$756:$C$764,$C3172,M$756:M$764)</f>
        <v/>
      </c>
      <c r="N3172" s="82">
        <f>SUMIFS(N$1003:N$3061,SecVar,"co2",SecSub,$C3172)+SUMIF($C$756:$C$764,$C3172,N$756:N$764)</f>
        <v/>
      </c>
      <c r="O3172" s="82">
        <f>SUMIFS(O$1003:O$3061,SecVar,"co2",SecSub,$C3172)+SUMIF($C$756:$C$764,$C3172,O$756:O$764)</f>
        <v/>
      </c>
      <c r="P3172" s="82">
        <f>SUMIFS(P$1003:P$3061,SecVar,"co2",SecSub,$C3172)+SUMIF($C$756:$C$764,$C3172,P$756:P$764)</f>
        <v/>
      </c>
      <c r="Q3172" s="82">
        <f>SUMIFS(Q$1003:Q$3061,SecVar,"co2",SecSub,$C3172)+SUMIF($C$756:$C$764,$C3172,Q$756:Q$764)</f>
        <v/>
      </c>
      <c r="R3172" s="82">
        <f>SUMIFS(R$1003:R$3061,SecVar,"co2",SecSub,$C3172)+SUMIF($C$756:$C$764,$C3172,R$756:R$764)</f>
        <v/>
      </c>
      <c r="S3172" s="82">
        <f>SUMIFS(S$1003:S$3061,SecVar,"co2",SecSub,$C3172)+SUMIF($C$756:$C$764,$C3172,S$756:S$764)</f>
        <v/>
      </c>
      <c r="T3172" s="82">
        <f>SUMIFS(T$1003:T$3061,SecVar,"co2",SecSub,$C3172)+SUMIF($C$756:$C$764,$C3172,T$756:T$764)</f>
        <v/>
      </c>
      <c r="U3172" s="82">
        <f>SUMIFS(U$1003:U$3061,SecVar,"co2",SecSub,$C3172)+SUMIF($C$756:$C$764,$C3172,U$756:U$764)</f>
        <v/>
      </c>
      <c r="V3172" s="82">
        <f>SUMIFS(V$1003:V$3061,SecVar,"co2",SecSub,$C3172)+SUMIF($C$756:$C$764,$C3172,V$756:V$764)</f>
        <v/>
      </c>
      <c r="W3172" s="82">
        <f>SUMIFS(W$1003:W$3061,SecVar,"co2",SecSub,$C3172)+SUMIF($C$756:$C$764,$C3172,W$756:W$764)</f>
        <v/>
      </c>
      <c r="X3172" s="82">
        <f>SUMIFS(X$1003:X$3061,SecVar,"co2",SecSub,$C3172)+SUMIF($C$756:$C$764,$C3172,X$756:X$764)</f>
        <v/>
      </c>
      <c r="Y3172" s="82">
        <f>SUMIFS(Y$1003:Y$3061,SecVar,"co2",SecSub,$C3172)+SUMIF($C$756:$C$764,$C3172,Y$756:Y$764)</f>
        <v/>
      </c>
      <c r="Z3172" s="82">
        <f>SUMIFS(Z$1003:Z$3061,SecVar,"co2",SecSub,$C3172)+SUMIF($C$756:$C$764,$C3172,Z$756:Z$764)</f>
        <v/>
      </c>
      <c r="AA3172" s="82">
        <f>SUMIFS(AA$1003:AA$3061,SecVar,"co2",SecSub,$C3172)+SUMIF($C$756:$C$764,$C3172,AA$756:AA$764)</f>
        <v/>
      </c>
      <c r="AB3172" s="82">
        <f>SUMIFS(AB$1003:AB$3061,SecVar,"co2",SecSub,$C3172)+SUMIF($C$756:$C$764,$C3172,AB$756:AB$764)</f>
        <v/>
      </c>
      <c r="AC3172" s="82">
        <f>SUMIFS(AC$1003:AC$3061,SecVar,"co2",SecSub,$C3172)+SUMIF($C$756:$C$764,$C3172,AC$756:AC$764)</f>
        <v/>
      </c>
      <c r="AD3172" s="82">
        <f>SUMIFS(AD$1003:AD$3061,SecVar,"co2",SecSub,$C3172)+SUMIF($C$756:$C$764,$C3172,AD$756:AD$764)</f>
        <v/>
      </c>
      <c r="AE3172" s="82">
        <f>SUMIFS(AE$1003:AE$3061,SecVar,"co2",SecSub,$C3172)+SUMIF($C$756:$C$764,$C3172,AE$756:AE$764)</f>
        <v/>
      </c>
      <c r="AG3172" s="11">
        <f>CodePrefix&amp;$A3172&amp;IF($C3172="","","."&amp;$C3172&amp;"."&amp;$B3172)&amp;INDEX(VarEnd,MATCH($A3172,VarKey,0))&amp;AG$5</f>
        <v/>
      </c>
      <c r="AH3172" s="81">
        <f>SUMIFS(AH$1003:AH$3061,SecVar,"co2",SecSub,$C3172)+SUMIF($C$756:$C$764,$C3172,AH$756:AH$764)</f>
        <v/>
      </c>
      <c r="AI3172" s="82">
        <f>SUMIFS(AI$1003:AI$3061,SecVar,"co2",SecSub,$C3172)+SUMIF($C$756:$C$764,$C3172,AI$756:AI$764)</f>
        <v/>
      </c>
      <c r="AJ3172" s="82">
        <f>SUMIFS(AJ$1003:AJ$3061,SecVar,"co2",SecSub,$C3172)+SUMIF($C$756:$C$764,$C3172,AJ$756:AJ$764)</f>
        <v/>
      </c>
      <c r="AK3172" s="82">
        <f>SUMIFS(AK$1003:AK$3061,SecVar,"co2",SecSub,$C3172)+SUMIF($C$756:$C$764,$C3172,AK$756:AK$764)</f>
        <v/>
      </c>
      <c r="AL3172" s="82">
        <f>SUMIFS(AL$1003:AL$3061,SecVar,"co2",SecSub,$C3172)+SUMIF($C$756:$C$764,$C3172,AL$756:AL$764)</f>
        <v/>
      </c>
      <c r="AM3172" s="82">
        <f>SUMIFS(AM$1003:AM$3061,SecVar,"co2",SecSub,$C3172)+SUMIF($C$756:$C$764,$C3172,AM$756:AM$764)</f>
        <v/>
      </c>
      <c r="AN3172" s="82">
        <f>SUMIFS(AN$1003:AN$3061,SecVar,"co2",SecSub,$C3172)+SUMIF($C$756:$C$764,$C3172,AN$756:AN$764)</f>
        <v/>
      </c>
      <c r="AO3172" s="82">
        <f>SUMIFS(AO$1003:AO$3061,SecVar,"co2",SecSub,$C3172)+SUMIF($C$756:$C$764,$C3172,AO$756:AO$764)</f>
        <v/>
      </c>
      <c r="AP3172" s="82">
        <f>SUMIFS(AP$1003:AP$3061,SecVar,"co2",SecSub,$C3172)+SUMIF($C$756:$C$764,$C3172,AP$756:AP$764)</f>
        <v/>
      </c>
      <c r="AQ3172" s="82">
        <f>SUMIFS(AQ$1003:AQ$3061,SecVar,"co2",SecSub,$C3172)+SUMIF($C$756:$C$764,$C3172,AQ$756:AQ$764)</f>
        <v/>
      </c>
      <c r="AR3172" s="82">
        <f>SUMIFS(AR$1003:AR$3061,SecVar,"co2",SecSub,$C3172)+SUMIF($C$756:$C$764,$C3172,AR$756:AR$764)</f>
        <v/>
      </c>
      <c r="AS3172" s="82">
        <f>SUMIFS(AS$1003:AS$3061,SecVar,"co2",SecSub,$C3172)+SUMIF($C$756:$C$764,$C3172,AS$756:AS$764)</f>
        <v/>
      </c>
      <c r="AT3172" s="82">
        <f>SUMIFS(AT$1003:AT$3061,SecVar,"co2",SecSub,$C3172)+SUMIF($C$756:$C$764,$C3172,AT$756:AT$764)</f>
        <v/>
      </c>
      <c r="AU3172" s="82">
        <f>SUMIFS(AU$1003:AU$3061,SecVar,"co2",SecSub,$C3172)+SUMIF($C$756:$C$764,$C3172,AU$756:AU$764)</f>
        <v/>
      </c>
      <c r="AV3172" s="82">
        <f>SUMIFS(AV$1003:AV$3061,SecVar,"co2",SecSub,$C3172)+SUMIF($C$756:$C$764,$C3172,AV$756:AV$764)</f>
        <v/>
      </c>
      <c r="AW3172" s="82">
        <f>SUMIFS(AW$1003:AW$3061,SecVar,"co2",SecSub,$C3172)+SUMIF($C$756:$C$764,$C3172,AW$756:AW$764)</f>
        <v/>
      </c>
      <c r="AX3172" s="82">
        <f>SUMIFS(AX$1003:AX$3061,SecVar,"co2",SecSub,$C3172)+SUMIF($C$756:$C$764,$C3172,AX$756:AX$764)</f>
        <v/>
      </c>
      <c r="AY3172" s="82">
        <f>SUMIFS(AY$1003:AY$3061,SecVar,"co2",SecSub,$C3172)+SUMIF($C$756:$C$764,$C3172,AY$756:AY$764)</f>
        <v/>
      </c>
      <c r="AZ3172" s="82">
        <f>SUMIFS(AZ$1003:AZ$3061,SecVar,"co2",SecSub,$C3172)+SUMIF($C$756:$C$764,$C3172,AZ$756:AZ$764)</f>
        <v/>
      </c>
      <c r="BA3172" s="82">
        <f>SUMIFS(BA$1003:BA$3061,SecVar,"co2",SecSub,$C3172)+SUMIF($C$756:$C$764,$C3172,BA$756:BA$764)</f>
        <v/>
      </c>
    </row>
    <row r="3173" hidden="1" outlineLevel="1">
      <c r="A3173" s="14" t="inlineStr">
        <is>
          <t>co2.sec</t>
        </is>
      </c>
      <c r="B3173" s="14" t="inlineStr">
        <is>
          <t>all</t>
        </is>
      </c>
      <c r="C3173" s="14" t="inlineStr">
        <is>
          <t>oen</t>
        </is>
      </c>
      <c r="H3173" s="14">
        <f>INDEX(VarLab,MATCH($A3173,VarKey,0))&amp;INDEX(MemLab,MATCH($C3173&amp;"|"&amp;$B3173,MemKey,0))</f>
        <v/>
      </c>
      <c r="I3173" s="14">
        <f>INDEX(VarUnit,MATCH($A3173,VarKey,0))</f>
        <v/>
      </c>
      <c r="J3173" s="14">
        <f>INDEX(VarSrc,MATCH($A3173,VarKey,0))</f>
        <v/>
      </c>
      <c r="K3173" s="11">
        <f>CodePrefix&amp;$A3173&amp;IF($C3173="","","."&amp;$C3173&amp;"."&amp;$B3173)&amp;INDEX(VarEnd,MATCH($A3173,VarKey,0))&amp;K$5</f>
        <v/>
      </c>
      <c r="L3173" s="81">
        <f>SUMIFS(L$1003:L$3061,SecVar,"co2",SecSub,$C3173)+SUMIF($C$756:$C$764,$C3173,L$756:L$764)</f>
        <v/>
      </c>
      <c r="M3173" s="82">
        <f>SUMIFS(M$1003:M$3061,SecVar,"co2",SecSub,$C3173)+SUMIF($C$756:$C$764,$C3173,M$756:M$764)</f>
        <v/>
      </c>
      <c r="N3173" s="82">
        <f>SUMIFS(N$1003:N$3061,SecVar,"co2",SecSub,$C3173)+SUMIF($C$756:$C$764,$C3173,N$756:N$764)</f>
        <v/>
      </c>
      <c r="O3173" s="82">
        <f>SUMIFS(O$1003:O$3061,SecVar,"co2",SecSub,$C3173)+SUMIF($C$756:$C$764,$C3173,O$756:O$764)</f>
        <v/>
      </c>
      <c r="P3173" s="82">
        <f>SUMIFS(P$1003:P$3061,SecVar,"co2",SecSub,$C3173)+SUMIF($C$756:$C$764,$C3173,P$756:P$764)</f>
        <v/>
      </c>
      <c r="Q3173" s="82">
        <f>SUMIFS(Q$1003:Q$3061,SecVar,"co2",SecSub,$C3173)+SUMIF($C$756:$C$764,$C3173,Q$756:Q$764)</f>
        <v/>
      </c>
      <c r="R3173" s="82">
        <f>SUMIFS(R$1003:R$3061,SecVar,"co2",SecSub,$C3173)+SUMIF($C$756:$C$764,$C3173,R$756:R$764)</f>
        <v/>
      </c>
      <c r="S3173" s="82">
        <f>SUMIFS(S$1003:S$3061,SecVar,"co2",SecSub,$C3173)+SUMIF($C$756:$C$764,$C3173,S$756:S$764)</f>
        <v/>
      </c>
      <c r="T3173" s="82">
        <f>SUMIFS(T$1003:T$3061,SecVar,"co2",SecSub,$C3173)+SUMIF($C$756:$C$764,$C3173,T$756:T$764)</f>
        <v/>
      </c>
      <c r="U3173" s="82">
        <f>SUMIFS(U$1003:U$3061,SecVar,"co2",SecSub,$C3173)+SUMIF($C$756:$C$764,$C3173,U$756:U$764)</f>
        <v/>
      </c>
      <c r="V3173" s="82">
        <f>SUMIFS(V$1003:V$3061,SecVar,"co2",SecSub,$C3173)+SUMIF($C$756:$C$764,$C3173,V$756:V$764)</f>
        <v/>
      </c>
      <c r="W3173" s="82">
        <f>SUMIFS(W$1003:W$3061,SecVar,"co2",SecSub,$C3173)+SUMIF($C$756:$C$764,$C3173,W$756:W$764)</f>
        <v/>
      </c>
      <c r="X3173" s="82">
        <f>SUMIFS(X$1003:X$3061,SecVar,"co2",SecSub,$C3173)+SUMIF($C$756:$C$764,$C3173,X$756:X$764)</f>
        <v/>
      </c>
      <c r="Y3173" s="82">
        <f>SUMIFS(Y$1003:Y$3061,SecVar,"co2",SecSub,$C3173)+SUMIF($C$756:$C$764,$C3173,Y$756:Y$764)</f>
        <v/>
      </c>
      <c r="Z3173" s="82">
        <f>SUMIFS(Z$1003:Z$3061,SecVar,"co2",SecSub,$C3173)+SUMIF($C$756:$C$764,$C3173,Z$756:Z$764)</f>
        <v/>
      </c>
      <c r="AA3173" s="82">
        <f>SUMIFS(AA$1003:AA$3061,SecVar,"co2",SecSub,$C3173)+SUMIF($C$756:$C$764,$C3173,AA$756:AA$764)</f>
        <v/>
      </c>
      <c r="AB3173" s="82">
        <f>SUMIFS(AB$1003:AB$3061,SecVar,"co2",SecSub,$C3173)+SUMIF($C$756:$C$764,$C3173,AB$756:AB$764)</f>
        <v/>
      </c>
      <c r="AC3173" s="82">
        <f>SUMIFS(AC$1003:AC$3061,SecVar,"co2",SecSub,$C3173)+SUMIF($C$756:$C$764,$C3173,AC$756:AC$764)</f>
        <v/>
      </c>
      <c r="AD3173" s="82">
        <f>SUMIFS(AD$1003:AD$3061,SecVar,"co2",SecSub,$C3173)+SUMIF($C$756:$C$764,$C3173,AD$756:AD$764)</f>
        <v/>
      </c>
      <c r="AE3173" s="82">
        <f>SUMIFS(AE$1003:AE$3061,SecVar,"co2",SecSub,$C3173)+SUMIF($C$756:$C$764,$C3173,AE$756:AE$764)</f>
        <v/>
      </c>
      <c r="AG3173" s="11">
        <f>CodePrefix&amp;$A3173&amp;IF($C3173="","","."&amp;$C3173&amp;"."&amp;$B3173)&amp;INDEX(VarEnd,MATCH($A3173,VarKey,0))&amp;AG$5</f>
        <v/>
      </c>
      <c r="AH3173" s="81">
        <f>SUMIFS(AH$1003:AH$3061,SecVar,"co2",SecSub,$C3173)+SUMIF($C$756:$C$764,$C3173,AH$756:AH$764)</f>
        <v/>
      </c>
      <c r="AI3173" s="82">
        <f>SUMIFS(AI$1003:AI$3061,SecVar,"co2",SecSub,$C3173)+SUMIF($C$756:$C$764,$C3173,AI$756:AI$764)</f>
        <v/>
      </c>
      <c r="AJ3173" s="82">
        <f>SUMIFS(AJ$1003:AJ$3061,SecVar,"co2",SecSub,$C3173)+SUMIF($C$756:$C$764,$C3173,AJ$756:AJ$764)</f>
        <v/>
      </c>
      <c r="AK3173" s="82">
        <f>SUMIFS(AK$1003:AK$3061,SecVar,"co2",SecSub,$C3173)+SUMIF($C$756:$C$764,$C3173,AK$756:AK$764)</f>
        <v/>
      </c>
      <c r="AL3173" s="82">
        <f>SUMIFS(AL$1003:AL$3061,SecVar,"co2",SecSub,$C3173)+SUMIF($C$756:$C$764,$C3173,AL$756:AL$764)</f>
        <v/>
      </c>
      <c r="AM3173" s="82">
        <f>SUMIFS(AM$1003:AM$3061,SecVar,"co2",SecSub,$C3173)+SUMIF($C$756:$C$764,$C3173,AM$756:AM$764)</f>
        <v/>
      </c>
      <c r="AN3173" s="82">
        <f>SUMIFS(AN$1003:AN$3061,SecVar,"co2",SecSub,$C3173)+SUMIF($C$756:$C$764,$C3173,AN$756:AN$764)</f>
        <v/>
      </c>
      <c r="AO3173" s="82">
        <f>SUMIFS(AO$1003:AO$3061,SecVar,"co2",SecSub,$C3173)+SUMIF($C$756:$C$764,$C3173,AO$756:AO$764)</f>
        <v/>
      </c>
      <c r="AP3173" s="82">
        <f>SUMIFS(AP$1003:AP$3061,SecVar,"co2",SecSub,$C3173)+SUMIF($C$756:$C$764,$C3173,AP$756:AP$764)</f>
        <v/>
      </c>
      <c r="AQ3173" s="82">
        <f>SUMIFS(AQ$1003:AQ$3061,SecVar,"co2",SecSub,$C3173)+SUMIF($C$756:$C$764,$C3173,AQ$756:AQ$764)</f>
        <v/>
      </c>
      <c r="AR3173" s="82">
        <f>SUMIFS(AR$1003:AR$3061,SecVar,"co2",SecSub,$C3173)+SUMIF($C$756:$C$764,$C3173,AR$756:AR$764)</f>
        <v/>
      </c>
      <c r="AS3173" s="82">
        <f>SUMIFS(AS$1003:AS$3061,SecVar,"co2",SecSub,$C3173)+SUMIF($C$756:$C$764,$C3173,AS$756:AS$764)</f>
        <v/>
      </c>
      <c r="AT3173" s="82">
        <f>SUMIFS(AT$1003:AT$3061,SecVar,"co2",SecSub,$C3173)+SUMIF($C$756:$C$764,$C3173,AT$756:AT$764)</f>
        <v/>
      </c>
      <c r="AU3173" s="82">
        <f>SUMIFS(AU$1003:AU$3061,SecVar,"co2",SecSub,$C3173)+SUMIF($C$756:$C$764,$C3173,AU$756:AU$764)</f>
        <v/>
      </c>
      <c r="AV3173" s="82">
        <f>SUMIFS(AV$1003:AV$3061,SecVar,"co2",SecSub,$C3173)+SUMIF($C$756:$C$764,$C3173,AV$756:AV$764)</f>
        <v/>
      </c>
      <c r="AW3173" s="82">
        <f>SUMIFS(AW$1003:AW$3061,SecVar,"co2",SecSub,$C3173)+SUMIF($C$756:$C$764,$C3173,AW$756:AW$764)</f>
        <v/>
      </c>
      <c r="AX3173" s="82">
        <f>SUMIFS(AX$1003:AX$3061,SecVar,"co2",SecSub,$C3173)+SUMIF($C$756:$C$764,$C3173,AX$756:AX$764)</f>
        <v/>
      </c>
      <c r="AY3173" s="82">
        <f>SUMIFS(AY$1003:AY$3061,SecVar,"co2",SecSub,$C3173)+SUMIF($C$756:$C$764,$C3173,AY$756:AY$764)</f>
        <v/>
      </c>
      <c r="AZ3173" s="82">
        <f>SUMIFS(AZ$1003:AZ$3061,SecVar,"co2",SecSub,$C3173)+SUMIF($C$756:$C$764,$C3173,AZ$756:AZ$764)</f>
        <v/>
      </c>
      <c r="BA3173" s="82">
        <f>SUMIFS(BA$1003:BA$3061,SecVar,"co2",SecSub,$C3173)+SUMIF($C$756:$C$764,$C3173,BA$756:BA$764)</f>
        <v/>
      </c>
    </row>
    <row r="3174" hidden="1" outlineLevel="1">
      <c r="A3174" s="14" t="inlineStr">
        <is>
          <t>co2.ets</t>
        </is>
      </c>
      <c r="B3174" s="14" t="inlineStr">
        <is>
          <t>all</t>
        </is>
      </c>
      <c r="C3174" s="14" t="inlineStr">
        <is>
          <t>all</t>
        </is>
      </c>
      <c r="H3174" s="14">
        <f>INDEX(VarLab,MATCH($A3174,VarKey,0))&amp;INDEX(MemLab,MATCH($C3174&amp;"|"&amp;$B3174,MemKey,0))</f>
        <v/>
      </c>
      <c r="I3174" s="14">
        <f>INDEX(VarUnit,MATCH($A3174,VarKey,0))</f>
        <v/>
      </c>
      <c r="J3174" s="14">
        <f>INDEX(VarSrc,MATCH($A3174,VarKey,0))</f>
        <v/>
      </c>
      <c r="K3174" s="11">
        <f>CodePrefix&amp;$A3174&amp;IF($C3174="","","."&amp;$C3174&amp;"."&amp;$B3174)&amp;INDEX(VarEnd,MATCH($A3174,VarKey,0))&amp;K$5</f>
        <v/>
      </c>
      <c r="L3174" s="81">
        <f>SUMPRODUCT(L$3157:L$3173,L$124:L$140)</f>
        <v/>
      </c>
      <c r="M3174" s="82">
        <f>SUMPRODUCT(M$3157:M$3173,M$124:M$140)</f>
        <v/>
      </c>
      <c r="N3174" s="82">
        <f>SUMPRODUCT(N$3157:N$3173,N$124:N$140)</f>
        <v/>
      </c>
      <c r="O3174" s="82">
        <f>SUMPRODUCT(O$3157:O$3173,O$124:O$140)</f>
        <v/>
      </c>
      <c r="P3174" s="82">
        <f>SUMPRODUCT(P$3157:P$3173,P$124:P$140)</f>
        <v/>
      </c>
      <c r="Q3174" s="82">
        <f>SUMPRODUCT(Q$3157:Q$3173,Q$124:Q$140)</f>
        <v/>
      </c>
      <c r="R3174" s="82">
        <f>SUMPRODUCT(R$3157:R$3173,R$124:R$140)</f>
        <v/>
      </c>
      <c r="S3174" s="82">
        <f>SUMPRODUCT(S$3157:S$3173,S$124:S$140)</f>
        <v/>
      </c>
      <c r="T3174" s="82">
        <f>SUMPRODUCT(T$3157:T$3173,T$124:T$140)</f>
        <v/>
      </c>
      <c r="U3174" s="82">
        <f>SUMPRODUCT(U$3157:U$3173,U$124:U$140)</f>
        <v/>
      </c>
      <c r="V3174" s="82">
        <f>SUMPRODUCT(V$3157:V$3173,V$124:V$140)</f>
        <v/>
      </c>
      <c r="W3174" s="82">
        <f>SUMPRODUCT(W$3157:W$3173,W$124:W$140)</f>
        <v/>
      </c>
      <c r="X3174" s="82">
        <f>SUMPRODUCT(X$3157:X$3173,X$124:X$140)</f>
        <v/>
      </c>
      <c r="Y3174" s="82">
        <f>SUMPRODUCT(Y$3157:Y$3173,Y$124:Y$140)</f>
        <v/>
      </c>
      <c r="Z3174" s="82">
        <f>SUMPRODUCT(Z$3157:Z$3173,Z$124:Z$140)</f>
        <v/>
      </c>
      <c r="AA3174" s="82">
        <f>SUMPRODUCT(AA$3157:AA$3173,AA$124:AA$140)</f>
        <v/>
      </c>
      <c r="AB3174" s="82">
        <f>SUMPRODUCT(AB$3157:AB$3173,AB$124:AB$140)</f>
        <v/>
      </c>
      <c r="AC3174" s="82">
        <f>SUMPRODUCT(AC$3157:AC$3173,AC$124:AC$140)</f>
        <v/>
      </c>
      <c r="AD3174" s="82">
        <f>SUMPRODUCT(AD$3157:AD$3173,AD$124:AD$140)</f>
        <v/>
      </c>
      <c r="AE3174" s="82">
        <f>SUMPRODUCT(AE$3157:AE$3173,AE$124:AE$140)</f>
        <v/>
      </c>
      <c r="AG3174" s="11">
        <f>CodePrefix&amp;$A3174&amp;IF($C3174="","","."&amp;$C3174&amp;"."&amp;$B3174)&amp;INDEX(VarEnd,MATCH($A3174,VarKey,0))&amp;AG$5</f>
        <v/>
      </c>
      <c r="AH3174" s="81">
        <f>SUMPRODUCT(AH$3157:AH$3173,AH$124:AH$140)</f>
        <v/>
      </c>
      <c r="AI3174" s="82">
        <f>SUMPRODUCT(AI$3157:AI$3173,AI$124:AI$140)</f>
        <v/>
      </c>
      <c r="AJ3174" s="82">
        <f>SUMPRODUCT(AJ$3157:AJ$3173,AJ$124:AJ$140)</f>
        <v/>
      </c>
      <c r="AK3174" s="82">
        <f>SUMPRODUCT(AK$3157:AK$3173,AK$124:AK$140)</f>
        <v/>
      </c>
      <c r="AL3174" s="82">
        <f>SUMPRODUCT(AL$3157:AL$3173,AL$124:AL$140)</f>
        <v/>
      </c>
      <c r="AM3174" s="82">
        <f>SUMPRODUCT(AM$3157:AM$3173,AM$124:AM$140)</f>
        <v/>
      </c>
      <c r="AN3174" s="82">
        <f>SUMPRODUCT(AN$3157:AN$3173,AN$124:AN$140)</f>
        <v/>
      </c>
      <c r="AO3174" s="82">
        <f>SUMPRODUCT(AO$3157:AO$3173,AO$124:AO$140)</f>
        <v/>
      </c>
      <c r="AP3174" s="82">
        <f>SUMPRODUCT(AP$3157:AP$3173,AP$124:AP$140)</f>
        <v/>
      </c>
      <c r="AQ3174" s="82">
        <f>SUMPRODUCT(AQ$3157:AQ$3173,AQ$124:AQ$140)</f>
        <v/>
      </c>
      <c r="AR3174" s="82">
        <f>SUMPRODUCT(AR$3157:AR$3173,AR$124:AR$140)</f>
        <v/>
      </c>
      <c r="AS3174" s="82">
        <f>SUMPRODUCT(AS$3157:AS$3173,AS$124:AS$140)</f>
        <v/>
      </c>
      <c r="AT3174" s="82">
        <f>SUMPRODUCT(AT$3157:AT$3173,AT$124:AT$140)</f>
        <v/>
      </c>
      <c r="AU3174" s="82">
        <f>SUMPRODUCT(AU$3157:AU$3173,AU$124:AU$140)</f>
        <v/>
      </c>
      <c r="AV3174" s="82">
        <f>SUMPRODUCT(AV$3157:AV$3173,AV$124:AV$140)</f>
        <v/>
      </c>
      <c r="AW3174" s="82">
        <f>SUMPRODUCT(AW$3157:AW$3173,AW$124:AW$140)</f>
        <v/>
      </c>
      <c r="AX3174" s="82">
        <f>SUMPRODUCT(AX$3157:AX$3173,AX$124:AX$140)</f>
        <v/>
      </c>
      <c r="AY3174" s="82">
        <f>SUMPRODUCT(AY$3157:AY$3173,AY$124:AY$140)</f>
        <v/>
      </c>
      <c r="AZ3174" s="82">
        <f>SUMPRODUCT(AZ$3157:AZ$3173,AZ$124:AZ$140)</f>
        <v/>
      </c>
      <c r="BA3174" s="82">
        <f>SUMPRODUCT(BA$3157:BA$3173,BA$124:BA$140)</f>
        <v/>
      </c>
    </row>
    <row r="3175" hidden="1" outlineLevel="1">
      <c r="A3175" s="14" t="inlineStr">
        <is>
          <t>co2.cap</t>
        </is>
      </c>
      <c r="B3175" s="14" t="inlineStr">
        <is>
          <t>all</t>
        </is>
      </c>
      <c r="C3175" s="14" t="inlineStr">
        <is>
          <t>all</t>
        </is>
      </c>
      <c r="H3175" s="14">
        <f>INDEX(VarLab,MATCH($A3175,VarKey,0))&amp;INDEX(MemLab,MATCH($C3175&amp;"|"&amp;$B3175,MemKey,0))</f>
        <v/>
      </c>
      <c r="I3175" s="14">
        <f>INDEX(VarUnit,MATCH($A3175,VarKey,0))</f>
        <v/>
      </c>
      <c r="J3175" s="14">
        <f>INDEX(VarSrc,MATCH($A3175,VarKey,0))</f>
        <v/>
      </c>
      <c r="K3175" s="11">
        <f>CodePrefix&amp;$A3175&amp;IF($C3175="","","."&amp;$C3175&amp;"."&amp;$B3175)&amp;INDEX(VarEnd,MATCH($A3175,VarKey,0))&amp;K$5</f>
        <v/>
      </c>
      <c r="L3175" s="81">
        <f>L$195</f>
        <v/>
      </c>
      <c r="M3175" s="82">
        <f>M$195</f>
        <v/>
      </c>
      <c r="N3175" s="82">
        <f>N$195</f>
        <v/>
      </c>
      <c r="O3175" s="82">
        <f>O$195</f>
        <v/>
      </c>
      <c r="P3175" s="82">
        <f>P$195</f>
        <v/>
      </c>
      <c r="Q3175" s="82">
        <f>Q$195</f>
        <v/>
      </c>
      <c r="R3175" s="82">
        <f>R$195</f>
        <v/>
      </c>
      <c r="S3175" s="82">
        <f>S$195</f>
        <v/>
      </c>
      <c r="T3175" s="82">
        <f>T$195</f>
        <v/>
      </c>
      <c r="U3175" s="82">
        <f>U$195</f>
        <v/>
      </c>
      <c r="V3175" s="82">
        <f>V$195</f>
        <v/>
      </c>
      <c r="W3175" s="82">
        <f>W$195</f>
        <v/>
      </c>
      <c r="X3175" s="82">
        <f>X$195</f>
        <v/>
      </c>
      <c r="Y3175" s="82">
        <f>Y$195</f>
        <v/>
      </c>
      <c r="Z3175" s="82">
        <f>Z$195</f>
        <v/>
      </c>
      <c r="AA3175" s="82">
        <f>AA$195</f>
        <v/>
      </c>
      <c r="AB3175" s="82">
        <f>AB$195</f>
        <v/>
      </c>
      <c r="AC3175" s="82">
        <f>AC$195</f>
        <v/>
      </c>
      <c r="AD3175" s="82">
        <f>AD$195</f>
        <v/>
      </c>
      <c r="AE3175" s="82">
        <f>AE$195</f>
        <v/>
      </c>
      <c r="AG3175" s="11">
        <f>CodePrefix&amp;$A3175&amp;IF($C3175="","","."&amp;$C3175&amp;"."&amp;$B3175)&amp;INDEX(VarEnd,MATCH($A3175,VarKey,0))&amp;AG$5</f>
        <v/>
      </c>
      <c r="AH3175" s="81">
        <f>AH$195</f>
        <v/>
      </c>
      <c r="AI3175" s="82">
        <f>AI$195</f>
        <v/>
      </c>
      <c r="AJ3175" s="82">
        <f>AJ$195</f>
        <v/>
      </c>
      <c r="AK3175" s="82">
        <f>AK$195</f>
        <v/>
      </c>
      <c r="AL3175" s="82">
        <f>AL$195</f>
        <v/>
      </c>
      <c r="AM3175" s="82">
        <f>AM$195</f>
        <v/>
      </c>
      <c r="AN3175" s="82">
        <f>AN$195</f>
        <v/>
      </c>
      <c r="AO3175" s="82">
        <f>AO$195</f>
        <v/>
      </c>
      <c r="AP3175" s="82">
        <f>AP$195</f>
        <v/>
      </c>
      <c r="AQ3175" s="82">
        <f>AQ$195</f>
        <v/>
      </c>
      <c r="AR3175" s="82">
        <f>AR$195</f>
        <v/>
      </c>
      <c r="AS3175" s="82">
        <f>AS$195</f>
        <v/>
      </c>
      <c r="AT3175" s="82">
        <f>AT$195</f>
        <v/>
      </c>
      <c r="AU3175" s="82">
        <f>AU$195</f>
        <v/>
      </c>
      <c r="AV3175" s="82">
        <f>AV$195</f>
        <v/>
      </c>
      <c r="AW3175" s="82">
        <f>AW$195</f>
        <v/>
      </c>
      <c r="AX3175" s="82">
        <f>AX$195</f>
        <v/>
      </c>
      <c r="AY3175" s="82">
        <f>AY$195</f>
        <v/>
      </c>
      <c r="AZ3175" s="82">
        <f>AZ$195</f>
        <v/>
      </c>
      <c r="BA3175" s="82">
        <f>BA$195</f>
        <v/>
      </c>
    </row>
    <row r="3176" hidden="1" outlineLevel="1">
      <c r="A3176" s="14" t="inlineStr">
        <is>
          <t>co2.gap</t>
        </is>
      </c>
      <c r="B3176" s="14" t="inlineStr">
        <is>
          <t>all</t>
        </is>
      </c>
      <c r="C3176" s="14" t="inlineStr">
        <is>
          <t>all</t>
        </is>
      </c>
      <c r="H3176" s="14">
        <f>INDEX(VarLab,MATCH($A3176,VarKey,0))&amp;INDEX(MemLab,MATCH($C3176&amp;"|"&amp;$B3176,MemKey,0))</f>
        <v/>
      </c>
      <c r="I3176" s="14">
        <f>INDEX(VarUnit,MATCH($A3176,VarKey,0))</f>
        <v/>
      </c>
      <c r="J3176" s="14">
        <f>INDEX(VarSrc,MATCH($A3176,VarKey,0))</f>
        <v/>
      </c>
      <c r="K3176" s="11">
        <f>CodePrefix&amp;$A3176&amp;IF($C3176="","","."&amp;$C3176&amp;"."&amp;$B3176)&amp;INDEX(VarEnd,MATCH($A3176,VarKey,0))&amp;K$5</f>
        <v/>
      </c>
      <c r="L3176" s="12">
        <f>IF(L3175&gt;0,L3174/L3175-1,0)</f>
        <v/>
      </c>
      <c r="M3176" s="13">
        <f>IF(M3175&gt;0,M3174/M3175-1,0)</f>
        <v/>
      </c>
      <c r="N3176" s="13">
        <f>IF(N3175&gt;0,N3174/N3175-1,0)</f>
        <v/>
      </c>
      <c r="O3176" s="13">
        <f>IF(O3175&gt;0,O3174/O3175-1,0)</f>
        <v/>
      </c>
      <c r="P3176" s="13">
        <f>IF(P3175&gt;0,P3174/P3175-1,0)</f>
        <v/>
      </c>
      <c r="Q3176" s="13">
        <f>IF(Q3175&gt;0,Q3174/Q3175-1,0)</f>
        <v/>
      </c>
      <c r="R3176" s="13">
        <f>IF(R3175&gt;0,R3174/R3175-1,0)</f>
        <v/>
      </c>
      <c r="S3176" s="13">
        <f>IF(S3175&gt;0,S3174/S3175-1,0)</f>
        <v/>
      </c>
      <c r="T3176" s="13">
        <f>IF(T3175&gt;0,T3174/T3175-1,0)</f>
        <v/>
      </c>
      <c r="U3176" s="13">
        <f>IF(U3175&gt;0,U3174/U3175-1,0)</f>
        <v/>
      </c>
      <c r="V3176" s="13">
        <f>IF(V3175&gt;0,V3174/V3175-1,0)</f>
        <v/>
      </c>
      <c r="W3176" s="13">
        <f>IF(W3175&gt;0,W3174/W3175-1,0)</f>
        <v/>
      </c>
      <c r="X3176" s="13">
        <f>IF(X3175&gt;0,X3174/X3175-1,0)</f>
        <v/>
      </c>
      <c r="Y3176" s="13">
        <f>IF(Y3175&gt;0,Y3174/Y3175-1,0)</f>
        <v/>
      </c>
      <c r="Z3176" s="13">
        <f>IF(Z3175&gt;0,Z3174/Z3175-1,0)</f>
        <v/>
      </c>
      <c r="AA3176" s="13">
        <f>IF(AA3175&gt;0,AA3174/AA3175-1,0)</f>
        <v/>
      </c>
      <c r="AB3176" s="13">
        <f>IF(AB3175&gt;0,AB3174/AB3175-1,0)</f>
        <v/>
      </c>
      <c r="AC3176" s="13">
        <f>IF(AC3175&gt;0,AC3174/AC3175-1,0)</f>
        <v/>
      </c>
      <c r="AD3176" s="13">
        <f>IF(AD3175&gt;0,AD3174/AD3175-1,0)</f>
        <v/>
      </c>
      <c r="AE3176" s="13">
        <f>IF(AE3175&gt;0,AE3174/AE3175-1,0)</f>
        <v/>
      </c>
      <c r="AG3176" s="11">
        <f>CodePrefix&amp;$A3176&amp;IF($C3176="","","."&amp;$C3176&amp;"."&amp;$B3176)&amp;INDEX(VarEnd,MATCH($A3176,VarKey,0))&amp;AG$5</f>
        <v/>
      </c>
      <c r="AH3176" s="12">
        <f>IF(AH3175&gt;0,AH3174/AH3175-1,0)</f>
        <v/>
      </c>
      <c r="AI3176" s="13">
        <f>IF(AI3175&gt;0,AI3174/AI3175-1,0)</f>
        <v/>
      </c>
      <c r="AJ3176" s="13">
        <f>IF(AJ3175&gt;0,AJ3174/AJ3175-1,0)</f>
        <v/>
      </c>
      <c r="AK3176" s="13">
        <f>IF(AK3175&gt;0,AK3174/AK3175-1,0)</f>
        <v/>
      </c>
      <c r="AL3176" s="13">
        <f>IF(AL3175&gt;0,AL3174/AL3175-1,0)</f>
        <v/>
      </c>
      <c r="AM3176" s="13">
        <f>IF(AM3175&gt;0,AM3174/AM3175-1,0)</f>
        <v/>
      </c>
      <c r="AN3176" s="13">
        <f>IF(AN3175&gt;0,AN3174/AN3175-1,0)</f>
        <v/>
      </c>
      <c r="AO3176" s="13">
        <f>IF(AO3175&gt;0,AO3174/AO3175-1,0)</f>
        <v/>
      </c>
      <c r="AP3176" s="13">
        <f>IF(AP3175&gt;0,AP3174/AP3175-1,0)</f>
        <v/>
      </c>
      <c r="AQ3176" s="13">
        <f>IF(AQ3175&gt;0,AQ3174/AQ3175-1,0)</f>
        <v/>
      </c>
      <c r="AR3176" s="13">
        <f>IF(AR3175&gt;0,AR3174/AR3175-1,0)</f>
        <v/>
      </c>
      <c r="AS3176" s="13">
        <f>IF(AS3175&gt;0,AS3174/AS3175-1,0)</f>
        <v/>
      </c>
      <c r="AT3176" s="13">
        <f>IF(AT3175&gt;0,AT3174/AT3175-1,0)</f>
        <v/>
      </c>
      <c r="AU3176" s="13">
        <f>IF(AU3175&gt;0,AU3174/AU3175-1,0)</f>
        <v/>
      </c>
      <c r="AV3176" s="13">
        <f>IF(AV3175&gt;0,AV3174/AV3175-1,0)</f>
        <v/>
      </c>
      <c r="AW3176" s="13">
        <f>IF(AW3175&gt;0,AW3174/AW3175-1,0)</f>
        <v/>
      </c>
      <c r="AX3176" s="13">
        <f>IF(AX3175&gt;0,AX3174/AX3175-1,0)</f>
        <v/>
      </c>
      <c r="AY3176" s="13">
        <f>IF(AY3175&gt;0,AY3174/AY3175-1,0)</f>
        <v/>
      </c>
      <c r="AZ3176" s="13">
        <f>IF(AZ3175&gt;0,AZ3174/AZ3175-1,0)</f>
        <v/>
      </c>
      <c r="BA3176" s="13">
        <f>IF(BA3175&gt;0,BA3174/BA3175-1,0)</f>
        <v/>
      </c>
    </row>
    <row r="3177" hidden="1" outlineLevel="1">
      <c r="A3177" s="14" t="inlineStr">
        <is>
          <t>ets.lr</t>
        </is>
      </c>
      <c r="B3177" s="14" t="inlineStr">
        <is>
          <t>all</t>
        </is>
      </c>
      <c r="C3177" s="14" t="inlineStr">
        <is>
          <t>all</t>
        </is>
      </c>
      <c r="H3177" s="14">
        <f>INDEX(VarLab,MATCH($A3177,VarKey,0))&amp;INDEX(MemLab,MATCH($C3177&amp;"|"&amp;$B3177,MemKey,0))</f>
        <v/>
      </c>
      <c r="I3177" s="14">
        <f>INDEX(VarUnit,MATCH($A3177,VarKey,0))</f>
        <v/>
      </c>
      <c r="J3177" s="14">
        <f>INDEX(VarSrc,MATCH($A3177,VarKey,0))</f>
        <v/>
      </c>
      <c r="K3177" s="11">
        <f>CodePrefix&amp;$A3177&amp;IF($C3177="","","."&amp;$C3177&amp;"."&amp;$B3177)&amp;INDEX(VarEnd,MATCH($A3177,VarKey,0))&amp;K$5</f>
        <v/>
      </c>
      <c r="L3177" s="15">
        <f>IF(OR(L$195&lt;=0,L$195&gt;=L$193,L3174&gt;=L$193),0,LN(L$195/L$193)/LN(L3174/L$193))</f>
        <v/>
      </c>
      <c r="M3177" s="16">
        <f>IF(OR(M$195&lt;=0,M$195&gt;=M$193,M3174&gt;=M$193),0,LN(M$195/M$193)/LN(M3174/M$193))</f>
        <v/>
      </c>
      <c r="N3177" s="16">
        <f>IF(OR(N$195&lt;=0,N$195&gt;=N$193,N3174&gt;=N$193),0,LN(N$195/N$193)/LN(N3174/N$193))</f>
        <v/>
      </c>
      <c r="O3177" s="16">
        <f>IF(OR(O$195&lt;=0,O$195&gt;=O$193,O3174&gt;=O$193),0,LN(O$195/O$193)/LN(O3174/O$193))</f>
        <v/>
      </c>
      <c r="P3177" s="16">
        <f>IF(OR(P$195&lt;=0,P$195&gt;=P$193,P3174&gt;=P$193),0,LN(P$195/P$193)/LN(P3174/P$193))</f>
        <v/>
      </c>
      <c r="Q3177" s="16">
        <f>IF(OR(Q$195&lt;=0,Q$195&gt;=Q$193,Q3174&gt;=Q$193),0,LN(Q$195/Q$193)/LN(Q3174/Q$193))</f>
        <v/>
      </c>
      <c r="R3177" s="16">
        <f>IF(OR(R$195&lt;=0,R$195&gt;=R$193,R3174&gt;=R$193),0,LN(R$195/R$193)/LN(R3174/R$193))</f>
        <v/>
      </c>
      <c r="S3177" s="16">
        <f>IF(OR(S$195&lt;=0,S$195&gt;=S$193,S3174&gt;=S$193),0,LN(S$195/S$193)/LN(S3174/S$193))</f>
        <v/>
      </c>
      <c r="T3177" s="16">
        <f>IF(OR(T$195&lt;=0,T$195&gt;=T$193,T3174&gt;=T$193),0,LN(T$195/T$193)/LN(T3174/T$193))</f>
        <v/>
      </c>
      <c r="U3177" s="16">
        <f>IF(OR(U$195&lt;=0,U$195&gt;=U$193,U3174&gt;=U$193),0,LN(U$195/U$193)/LN(U3174/U$193))</f>
        <v/>
      </c>
      <c r="V3177" s="16">
        <f>IF(OR(V$195&lt;=0,V$195&gt;=V$193,V3174&gt;=V$193),0,LN(V$195/V$193)/LN(V3174/V$193))</f>
        <v/>
      </c>
      <c r="W3177" s="16">
        <f>IF(OR(W$195&lt;=0,W$195&gt;=W$193,W3174&gt;=W$193),0,LN(W$195/W$193)/LN(W3174/W$193))</f>
        <v/>
      </c>
      <c r="X3177" s="16">
        <f>IF(OR(X$195&lt;=0,X$195&gt;=X$193,X3174&gt;=X$193),0,LN(X$195/X$193)/LN(X3174/X$193))</f>
        <v/>
      </c>
      <c r="Y3177" s="16">
        <f>IF(OR(Y$195&lt;=0,Y$195&gt;=Y$193,Y3174&gt;=Y$193),0,LN(Y$195/Y$193)/LN(Y3174/Y$193))</f>
        <v/>
      </c>
      <c r="Z3177" s="16">
        <f>IF(OR(Z$195&lt;=0,Z$195&gt;=Z$193,Z3174&gt;=Z$193),0,LN(Z$195/Z$193)/LN(Z3174/Z$193))</f>
        <v/>
      </c>
      <c r="AA3177" s="16">
        <f>IF(OR(AA$195&lt;=0,AA$195&gt;=AA$193,AA3174&gt;=AA$193),0,LN(AA$195/AA$193)/LN(AA3174/AA$193))</f>
        <v/>
      </c>
      <c r="AB3177" s="16">
        <f>IF(OR(AB$195&lt;=0,AB$195&gt;=AB$193,AB3174&gt;=AB$193),0,LN(AB$195/AB$193)/LN(AB3174/AB$193))</f>
        <v/>
      </c>
      <c r="AC3177" s="16">
        <f>IF(OR(AC$195&lt;=0,AC$195&gt;=AC$193,AC3174&gt;=AC$193),0,LN(AC$195/AC$193)/LN(AC3174/AC$193))</f>
        <v/>
      </c>
      <c r="AD3177" s="16">
        <f>IF(OR(AD$195&lt;=0,AD$195&gt;=AD$193,AD3174&gt;=AD$193),0,LN(AD$195/AD$193)/LN(AD3174/AD$193))</f>
        <v/>
      </c>
      <c r="AE3177" s="16">
        <f>IF(OR(AE$195&lt;=0,AE$195&gt;=AE$193,AE3174&gt;=AE$193),0,LN(AE$195/AE$193)/LN(AE3174/AE$193))</f>
        <v/>
      </c>
      <c r="AG3177" s="11">
        <f>CodePrefix&amp;$A3177&amp;IF($C3177="","","."&amp;$C3177&amp;"."&amp;$B3177)&amp;INDEX(VarEnd,MATCH($A3177,VarKey,0))&amp;AG$5</f>
        <v/>
      </c>
      <c r="AH3177" s="15">
        <f>IF(OR(AH$195&lt;=0,AH$195&gt;=AH$193,AH3174&gt;=AH$193),0,LN(AH$195/AH$193)/LN(AH3174/AH$193))</f>
        <v/>
      </c>
      <c r="AI3177" s="16">
        <f>IF(OR(AI$195&lt;=0,AI$195&gt;=AI$193,AI3174&gt;=AI$193),0,LN(AI$195/AI$193)/LN(AI3174/AI$193))</f>
        <v/>
      </c>
      <c r="AJ3177" s="16">
        <f>IF(OR(AJ$195&lt;=0,AJ$195&gt;=AJ$193,AJ3174&gt;=AJ$193),0,LN(AJ$195/AJ$193)/LN(AJ3174/AJ$193))</f>
        <v/>
      </c>
      <c r="AK3177" s="16">
        <f>IF(OR(AK$195&lt;=0,AK$195&gt;=AK$193,AK3174&gt;=AK$193),0,LN(AK$195/AK$193)/LN(AK3174/AK$193))</f>
        <v/>
      </c>
      <c r="AL3177" s="16">
        <f>IF(OR(AL$195&lt;=0,AL$195&gt;=AL$193,AL3174&gt;=AL$193),0,LN(AL$195/AL$193)/LN(AL3174/AL$193))</f>
        <v/>
      </c>
      <c r="AM3177" s="16">
        <f>IF(OR(AM$195&lt;=0,AM$195&gt;=AM$193,AM3174&gt;=AM$193),0,LN(AM$195/AM$193)/LN(AM3174/AM$193))</f>
        <v/>
      </c>
      <c r="AN3177" s="16">
        <f>IF(OR(AN$195&lt;=0,AN$195&gt;=AN$193,AN3174&gt;=AN$193),0,LN(AN$195/AN$193)/LN(AN3174/AN$193))</f>
        <v/>
      </c>
      <c r="AO3177" s="16">
        <f>IF(OR(AO$195&lt;=0,AO$195&gt;=AO$193,AO3174&gt;=AO$193),0,LN(AO$195/AO$193)/LN(AO3174/AO$193))</f>
        <v/>
      </c>
      <c r="AP3177" s="16">
        <f>IF(OR(AP$195&lt;=0,AP$195&gt;=AP$193,AP3174&gt;=AP$193),0,LN(AP$195/AP$193)/LN(AP3174/AP$193))</f>
        <v/>
      </c>
      <c r="AQ3177" s="16">
        <f>IF(OR(AQ$195&lt;=0,AQ$195&gt;=AQ$193,AQ3174&gt;=AQ$193),0,LN(AQ$195/AQ$193)/LN(AQ3174/AQ$193))</f>
        <v/>
      </c>
      <c r="AR3177" s="16">
        <f>IF(OR(AR$195&lt;=0,AR$195&gt;=AR$193,AR3174&gt;=AR$193),0,LN(AR$195/AR$193)/LN(AR3174/AR$193))</f>
        <v/>
      </c>
      <c r="AS3177" s="16">
        <f>IF(OR(AS$195&lt;=0,AS$195&gt;=AS$193,AS3174&gt;=AS$193),0,LN(AS$195/AS$193)/LN(AS3174/AS$193))</f>
        <v/>
      </c>
      <c r="AT3177" s="16">
        <f>IF(OR(AT$195&lt;=0,AT$195&gt;=AT$193,AT3174&gt;=AT$193),0,LN(AT$195/AT$193)/LN(AT3174/AT$193))</f>
        <v/>
      </c>
      <c r="AU3177" s="16">
        <f>IF(OR(AU$195&lt;=0,AU$195&gt;=AU$193,AU3174&gt;=AU$193),0,LN(AU$195/AU$193)/LN(AU3174/AU$193))</f>
        <v/>
      </c>
      <c r="AV3177" s="16">
        <f>IF(OR(AV$195&lt;=0,AV$195&gt;=AV$193,AV3174&gt;=AV$193),0,LN(AV$195/AV$193)/LN(AV3174/AV$193))</f>
        <v/>
      </c>
      <c r="AW3177" s="16">
        <f>IF(OR(AW$195&lt;=0,AW$195&gt;=AW$193,AW3174&gt;=AW$193),0,LN(AW$195/AW$193)/LN(AW3174/AW$193))</f>
        <v/>
      </c>
      <c r="AX3177" s="16">
        <f>IF(OR(AX$195&lt;=0,AX$195&gt;=AX$193,AX3174&gt;=AX$193),0,LN(AX$195/AX$193)/LN(AX3174/AX$193))</f>
        <v/>
      </c>
      <c r="AY3177" s="16">
        <f>IF(OR(AY$195&lt;=0,AY$195&gt;=AY$193,AY3174&gt;=AY$193),0,LN(AY$195/AY$193)/LN(AY3174/AY$193))</f>
        <v/>
      </c>
      <c r="AZ3177" s="16">
        <f>IF(OR(AZ$195&lt;=0,AZ$195&gt;=AZ$193,AZ3174&gt;=AZ$193),0,LN(AZ$195/AZ$193)/LN(AZ3174/AZ$193))</f>
        <v/>
      </c>
      <c r="BA3177" s="16">
        <f>IF(OR(BA$195&lt;=0,BA$195&gt;=BA$193,BA3174&gt;=BA$193),0,LN(BA$195/BA$193)/LN(BA3174/BA$193))</f>
        <v/>
      </c>
    </row>
    <row r="3178" hidden="1" outlineLevel="1">
      <c r="A3178" s="14" t="inlineStr">
        <is>
          <t>ets.next</t>
        </is>
      </c>
      <c r="B3178" s="14" t="inlineStr">
        <is>
          <t>all</t>
        </is>
      </c>
      <c r="C3178" s="14" t="inlineStr">
        <is>
          <t>all</t>
        </is>
      </c>
      <c r="H3178" s="14">
        <f>INDEX(VarLab,MATCH($A3178,VarKey,0))&amp;INDEX(MemLab,MATCH($C3178&amp;"|"&amp;$B3178,MemKey,0))</f>
        <v/>
      </c>
      <c r="I3178" s="14">
        <f>INDEX(VarUnit,MATCH($A3178,VarKey,0))</f>
        <v/>
      </c>
      <c r="J3178" s="14">
        <f>INDEX(VarSrc,MATCH($A3178,VarKey,0))</f>
        <v/>
      </c>
      <c r="K3178" s="11">
        <f>CodePrefix&amp;$A3178&amp;IF($C3178="","","."&amp;$C3178&amp;"."&amp;$B3178)&amp;INDEX(VarEnd,MATCH($A3178,VarKey,0))&amp;K$5</f>
        <v/>
      </c>
      <c r="L3178" s="23">
        <f>IF(OR(L$199&lt;=0,L3177=0),L$197,L$199*L3177^Settings!$C$15)</f>
        <v/>
      </c>
      <c r="M3178" s="24">
        <f>IF(OR(M$199&lt;=0,M3177=0),M$197,M$199*M3177^Settings!$C$15)</f>
        <v/>
      </c>
      <c r="N3178" s="24">
        <f>IF(OR(N$199&lt;=0,N3177=0),N$197,N$199*N3177^Settings!$C$15)</f>
        <v/>
      </c>
      <c r="O3178" s="24">
        <f>IF(OR(O$199&lt;=0,O3177=0),O$197,O$199*O3177^Settings!$C$15)</f>
        <v/>
      </c>
      <c r="P3178" s="24">
        <f>IF(OR(P$199&lt;=0,P3177=0),P$197,P$199*P3177^Settings!$C$15)</f>
        <v/>
      </c>
      <c r="Q3178" s="24">
        <f>IF(OR(Q$199&lt;=0,Q3177=0),Q$197,Q$199*Q3177^Settings!$C$15)</f>
        <v/>
      </c>
      <c r="R3178" s="24">
        <f>IF(OR(R$199&lt;=0,R3177=0),R$197,R$199*R3177^Settings!$C$15)</f>
        <v/>
      </c>
      <c r="S3178" s="24">
        <f>IF(OR(S$199&lt;=0,S3177=0),S$197,S$199*S3177^Settings!$C$15)</f>
        <v/>
      </c>
      <c r="T3178" s="24">
        <f>IF(OR(T$199&lt;=0,T3177=0),T$197,T$199*T3177^Settings!$C$15)</f>
        <v/>
      </c>
      <c r="U3178" s="24">
        <f>IF(OR(U$199&lt;=0,U3177=0),U$197,U$199*U3177^Settings!$C$15)</f>
        <v/>
      </c>
      <c r="V3178" s="24">
        <f>IF(OR(V$199&lt;=0,V3177=0),V$197,V$199*V3177^Settings!$C$15)</f>
        <v/>
      </c>
      <c r="W3178" s="24">
        <f>IF(OR(W$199&lt;=0,W3177=0),W$197,W$199*W3177^Settings!$C$15)</f>
        <v/>
      </c>
      <c r="X3178" s="24">
        <f>IF(OR(X$199&lt;=0,X3177=0),X$197,X$199*X3177^Settings!$C$15)</f>
        <v/>
      </c>
      <c r="Y3178" s="24">
        <f>IF(OR(Y$199&lt;=0,Y3177=0),Y$197,Y$199*Y3177^Settings!$C$15)</f>
        <v/>
      </c>
      <c r="Z3178" s="24">
        <f>IF(OR(Z$199&lt;=0,Z3177=0),Z$197,Z$199*Z3177^Settings!$C$15)</f>
        <v/>
      </c>
      <c r="AA3178" s="24">
        <f>IF(OR(AA$199&lt;=0,AA3177=0),AA$197,AA$199*AA3177^Settings!$C$15)</f>
        <v/>
      </c>
      <c r="AB3178" s="24">
        <f>IF(OR(AB$199&lt;=0,AB3177=0),AB$197,AB$199*AB3177^Settings!$C$15)</f>
        <v/>
      </c>
      <c r="AC3178" s="24">
        <f>IF(OR(AC$199&lt;=0,AC3177=0),AC$197,AC$199*AC3177^Settings!$C$15)</f>
        <v/>
      </c>
      <c r="AD3178" s="24">
        <f>IF(OR(AD$199&lt;=0,AD3177=0),AD$197,AD$199*AD3177^Settings!$C$15)</f>
        <v/>
      </c>
      <c r="AE3178" s="24">
        <f>IF(OR(AE$199&lt;=0,AE3177=0),AE$197,AE$199*AE3177^Settings!$C$15)</f>
        <v/>
      </c>
      <c r="AG3178" s="11">
        <f>CodePrefix&amp;$A3178&amp;IF($C3178="","","."&amp;$C3178&amp;"."&amp;$B3178)&amp;INDEX(VarEnd,MATCH($A3178,VarKey,0))&amp;AG$5</f>
        <v/>
      </c>
      <c r="AH3178" s="23">
        <f>IF(OR(AH$199&lt;=0,AH3177=0),AH$197,AH$199*AH3177^Settings!$C$15)</f>
        <v/>
      </c>
      <c r="AI3178" s="24">
        <f>IF(OR(AI$199&lt;=0,AI3177=0),AI$197,AI$199*AI3177^Settings!$C$15)</f>
        <v/>
      </c>
      <c r="AJ3178" s="24">
        <f>IF(OR(AJ$199&lt;=0,AJ3177=0),AJ$197,AJ$199*AJ3177^Settings!$C$15)</f>
        <v/>
      </c>
      <c r="AK3178" s="24">
        <f>IF(OR(AK$199&lt;=0,AK3177=0),AK$197,AK$199*AK3177^Settings!$C$15)</f>
        <v/>
      </c>
      <c r="AL3178" s="24">
        <f>IF(OR(AL$199&lt;=0,AL3177=0),AL$197,AL$199*AL3177^Settings!$C$15)</f>
        <v/>
      </c>
      <c r="AM3178" s="24">
        <f>IF(OR(AM$199&lt;=0,AM3177=0),AM$197,AM$199*AM3177^Settings!$C$15)</f>
        <v/>
      </c>
      <c r="AN3178" s="24">
        <f>IF(OR(AN$199&lt;=0,AN3177=0),AN$197,AN$199*AN3177^Settings!$C$15)</f>
        <v/>
      </c>
      <c r="AO3178" s="24">
        <f>IF(OR(AO$199&lt;=0,AO3177=0),AO$197,AO$199*AO3177^Settings!$C$15)</f>
        <v/>
      </c>
      <c r="AP3178" s="24">
        <f>IF(OR(AP$199&lt;=0,AP3177=0),AP$197,AP$199*AP3177^Settings!$C$15)</f>
        <v/>
      </c>
      <c r="AQ3178" s="24">
        <f>IF(OR(AQ$199&lt;=0,AQ3177=0),AQ$197,AQ$199*AQ3177^Settings!$C$15)</f>
        <v/>
      </c>
      <c r="AR3178" s="24">
        <f>IF(OR(AR$199&lt;=0,AR3177=0),AR$197,AR$199*AR3177^Settings!$C$15)</f>
        <v/>
      </c>
      <c r="AS3178" s="24">
        <f>IF(OR(AS$199&lt;=0,AS3177=0),AS$197,AS$199*AS3177^Settings!$C$15)</f>
        <v/>
      </c>
      <c r="AT3178" s="24">
        <f>IF(OR(AT$199&lt;=0,AT3177=0),AT$197,AT$199*AT3177^Settings!$C$15)</f>
        <v/>
      </c>
      <c r="AU3178" s="24">
        <f>IF(OR(AU$199&lt;=0,AU3177=0),AU$197,AU$199*AU3177^Settings!$C$15)</f>
        <v/>
      </c>
      <c r="AV3178" s="24">
        <f>IF(OR(AV$199&lt;=0,AV3177=0),AV$197,AV$199*AV3177^Settings!$C$15)</f>
        <v/>
      </c>
      <c r="AW3178" s="24">
        <f>IF(OR(AW$199&lt;=0,AW3177=0),AW$197,AW$199*AW3177^Settings!$C$15)</f>
        <v/>
      </c>
      <c r="AX3178" s="24">
        <f>IF(OR(AX$199&lt;=0,AX3177=0),AX$197,AX$199*AX3177^Settings!$C$15)</f>
        <v/>
      </c>
      <c r="AY3178" s="24">
        <f>IF(OR(AY$199&lt;=0,AY3177=0),AY$197,AY$199*AY3177^Settings!$C$15)</f>
        <v/>
      </c>
      <c r="AZ3178" s="24">
        <f>IF(OR(AZ$199&lt;=0,AZ3177=0),AZ$197,AZ$199*AZ3177^Settings!$C$15)</f>
        <v/>
      </c>
      <c r="BA3178" s="24">
        <f>IF(OR(BA$199&lt;=0,BA3177=0),BA$197,BA$199*BA3177^Settings!$C$15)</f>
        <v/>
      </c>
    </row>
    <row r="3179" hidden="1" outlineLevel="1">
      <c r="A3179" s="14" t="inlineStr">
        <is>
          <t>bco2.chk</t>
        </is>
      </c>
      <c r="B3179" s="14" t="inlineStr">
        <is>
          <t>all</t>
        </is>
      </c>
      <c r="C3179" s="14" t="inlineStr">
        <is>
          <t>all</t>
        </is>
      </c>
      <c r="H3179" s="14">
        <f>INDEX(VarLab,MATCH($A3179,VarKey,0))&amp;INDEX(MemLab,MATCH($C3179&amp;"|"&amp;$B3179,MemKey,0))</f>
        <v/>
      </c>
      <c r="I3179" s="14">
        <f>INDEX(VarUnit,MATCH($A3179,VarKey,0))</f>
        <v/>
      </c>
      <c r="J3179" s="14">
        <f>INDEX(VarSrc,MATCH($A3179,VarKey,0))</f>
        <v/>
      </c>
      <c r="K3179" s="11">
        <f>CodePrefix&amp;$A3179&amp;IF($C3179="","","."&amp;$C3179&amp;"."&amp;$B3179)&amp;INDEX(VarEnd,MATCH($A3179,VarKey,0))&amp;K$5</f>
        <v/>
      </c>
      <c r="L3179" s="73">
        <f>SUM(L$172:L$188)-L3154</f>
        <v/>
      </c>
      <c r="M3179" s="73">
        <f>SUM(M$172:M$188)-M3154</f>
        <v/>
      </c>
      <c r="N3179" s="73">
        <f>SUM(N$172:N$188)-N3154</f>
        <v/>
      </c>
      <c r="O3179" s="73">
        <f>SUM(O$172:O$188)-O3154</f>
        <v/>
      </c>
      <c r="P3179" s="73">
        <f>SUM(P$172:P$188)-P3154</f>
        <v/>
      </c>
      <c r="Q3179" s="73">
        <f>SUM(Q$172:Q$188)-Q3154</f>
        <v/>
      </c>
      <c r="R3179" s="73">
        <f>SUM(R$172:R$188)-R3154</f>
        <v/>
      </c>
      <c r="S3179" s="73">
        <f>SUM(S$172:S$188)-S3154</f>
        <v/>
      </c>
      <c r="T3179" s="73">
        <f>SUM(T$172:T$188)-T3154</f>
        <v/>
      </c>
      <c r="U3179" s="73">
        <f>SUM(U$172:U$188)-U3154</f>
        <v/>
      </c>
      <c r="V3179" s="73">
        <f>SUM(V$172:V$188)-V3154</f>
        <v/>
      </c>
      <c r="W3179" s="73">
        <f>SUM(W$172:W$188)-W3154</f>
        <v/>
      </c>
      <c r="X3179" s="73">
        <f>SUM(X$172:X$188)-X3154</f>
        <v/>
      </c>
      <c r="Y3179" s="73">
        <f>SUM(Y$172:Y$188)-Y3154</f>
        <v/>
      </c>
      <c r="Z3179" s="73">
        <f>SUM(Z$172:Z$188)-Z3154</f>
        <v/>
      </c>
      <c r="AA3179" s="73">
        <f>SUM(AA$172:AA$188)-AA3154</f>
        <v/>
      </c>
      <c r="AB3179" s="73">
        <f>SUM(AB$172:AB$188)-AB3154</f>
        <v/>
      </c>
      <c r="AC3179" s="73">
        <f>SUM(AC$172:AC$188)-AC3154</f>
        <v/>
      </c>
      <c r="AD3179" s="73">
        <f>SUM(AD$172:AD$188)-AD3154</f>
        <v/>
      </c>
      <c r="AE3179" s="73">
        <f>SUM(AE$172:AE$188)-AE3154</f>
        <v/>
      </c>
      <c r="AG3179" s="11">
        <f>CodePrefix&amp;$A3179&amp;IF($C3179="","","."&amp;$C3179&amp;"."&amp;$B3179)&amp;INDEX(VarEnd,MATCH($A3179,VarKey,0))&amp;AG$5</f>
        <v/>
      </c>
      <c r="AH3179" s="73">
        <f>SUM(AH$172:AH$188)-AH3154</f>
        <v/>
      </c>
      <c r="AI3179" s="73">
        <f>SUM(AI$172:AI$188)-AI3154</f>
        <v/>
      </c>
      <c r="AJ3179" s="73">
        <f>SUM(AJ$172:AJ$188)-AJ3154</f>
        <v/>
      </c>
      <c r="AK3179" s="73">
        <f>SUM(AK$172:AK$188)-AK3154</f>
        <v/>
      </c>
      <c r="AL3179" s="73">
        <f>SUM(AL$172:AL$188)-AL3154</f>
        <v/>
      </c>
      <c r="AM3179" s="73">
        <f>SUM(AM$172:AM$188)-AM3154</f>
        <v/>
      </c>
      <c r="AN3179" s="73">
        <f>SUM(AN$172:AN$188)-AN3154</f>
        <v/>
      </c>
      <c r="AO3179" s="73">
        <f>SUM(AO$172:AO$188)-AO3154</f>
        <v/>
      </c>
      <c r="AP3179" s="73">
        <f>SUM(AP$172:AP$188)-AP3154</f>
        <v/>
      </c>
      <c r="AQ3179" s="73">
        <f>SUM(AQ$172:AQ$188)-AQ3154</f>
        <v/>
      </c>
      <c r="AR3179" s="73">
        <f>SUM(AR$172:AR$188)-AR3154</f>
        <v/>
      </c>
      <c r="AS3179" s="73">
        <f>SUM(AS$172:AS$188)-AS3154</f>
        <v/>
      </c>
      <c r="AT3179" s="73">
        <f>SUM(AT$172:AT$188)-AT3154</f>
        <v/>
      </c>
      <c r="AU3179" s="73">
        <f>SUM(AU$172:AU$188)-AU3154</f>
        <v/>
      </c>
      <c r="AV3179" s="73">
        <f>SUM(AV$172:AV$188)-AV3154</f>
        <v/>
      </c>
      <c r="AW3179" s="73">
        <f>SUM(AW$172:AW$188)-AW3154</f>
        <v/>
      </c>
      <c r="AX3179" s="73">
        <f>SUM(AX$172:AX$188)-AX3154</f>
        <v/>
      </c>
      <c r="AY3179" s="73">
        <f>SUM(AY$172:AY$188)-AY3154</f>
        <v/>
      </c>
      <c r="AZ3179" s="73">
        <f>SUM(AZ$172:AZ$188)-AZ3154</f>
        <v/>
      </c>
      <c r="BA3179" s="73">
        <f>SUM(BA$172:BA$188)-BA3154</f>
        <v/>
      </c>
    </row>
    <row r="3180" hidden="1" outlineLevel="1">
      <c r="A3180" s="14" t="inlineStr">
        <is>
          <t>co2.chk</t>
        </is>
      </c>
      <c r="B3180" s="14" t="inlineStr">
        <is>
          <t>all</t>
        </is>
      </c>
      <c r="C3180" s="14" t="inlineStr">
        <is>
          <t>all</t>
        </is>
      </c>
      <c r="H3180" s="14">
        <f>INDEX(VarLab,MATCH($A3180,VarKey,0))&amp;INDEX(MemLab,MATCH($C3180&amp;"|"&amp;$B3180,MemKey,0))</f>
        <v/>
      </c>
      <c r="I3180" s="14">
        <f>INDEX(VarUnit,MATCH($A3180,VarKey,0))</f>
        <v/>
      </c>
      <c r="J3180" s="14">
        <f>INDEX(VarSrc,MATCH($A3180,VarKey,0))</f>
        <v/>
      </c>
      <c r="K3180" s="11">
        <f>CodePrefix&amp;$A3180&amp;IF($C3180="","","."&amp;$C3180&amp;"."&amp;$B3180)&amp;INDEX(VarEnd,MATCH($A3180,VarKey,0))&amp;K$5</f>
        <v/>
      </c>
      <c r="L3180" s="73">
        <f>ABS(L3140-SUM(L3141:L3145))+ABS(L3140-SUM(L3146:L3153))</f>
        <v/>
      </c>
      <c r="M3180" s="73">
        <f>ABS(M3140-SUM(M3141:M3145))+ABS(M3140-SUM(M3146:M3153))</f>
        <v/>
      </c>
      <c r="N3180" s="73">
        <f>ABS(N3140-SUM(N3141:N3145))+ABS(N3140-SUM(N3146:N3153))</f>
        <v/>
      </c>
      <c r="O3180" s="73">
        <f>ABS(O3140-SUM(O3141:O3145))+ABS(O3140-SUM(O3146:O3153))</f>
        <v/>
      </c>
      <c r="P3180" s="73">
        <f>ABS(P3140-SUM(P3141:P3145))+ABS(P3140-SUM(P3146:P3153))</f>
        <v/>
      </c>
      <c r="Q3180" s="73">
        <f>ABS(Q3140-SUM(Q3141:Q3145))+ABS(Q3140-SUM(Q3146:Q3153))</f>
        <v/>
      </c>
      <c r="R3180" s="73">
        <f>ABS(R3140-SUM(R3141:R3145))+ABS(R3140-SUM(R3146:R3153))</f>
        <v/>
      </c>
      <c r="S3180" s="73">
        <f>ABS(S3140-SUM(S3141:S3145))+ABS(S3140-SUM(S3146:S3153))</f>
        <v/>
      </c>
      <c r="T3180" s="73">
        <f>ABS(T3140-SUM(T3141:T3145))+ABS(T3140-SUM(T3146:T3153))</f>
        <v/>
      </c>
      <c r="U3180" s="73">
        <f>ABS(U3140-SUM(U3141:U3145))+ABS(U3140-SUM(U3146:U3153))</f>
        <v/>
      </c>
      <c r="V3180" s="73">
        <f>ABS(V3140-SUM(V3141:V3145))+ABS(V3140-SUM(V3146:V3153))</f>
        <v/>
      </c>
      <c r="W3180" s="73">
        <f>ABS(W3140-SUM(W3141:W3145))+ABS(W3140-SUM(W3146:W3153))</f>
        <v/>
      </c>
      <c r="X3180" s="73">
        <f>ABS(X3140-SUM(X3141:X3145))+ABS(X3140-SUM(X3146:X3153))</f>
        <v/>
      </c>
      <c r="Y3180" s="73">
        <f>ABS(Y3140-SUM(Y3141:Y3145))+ABS(Y3140-SUM(Y3146:Y3153))</f>
        <v/>
      </c>
      <c r="Z3180" s="73">
        <f>ABS(Z3140-SUM(Z3141:Z3145))+ABS(Z3140-SUM(Z3146:Z3153))</f>
        <v/>
      </c>
      <c r="AA3180" s="73">
        <f>ABS(AA3140-SUM(AA3141:AA3145))+ABS(AA3140-SUM(AA3146:AA3153))</f>
        <v/>
      </c>
      <c r="AB3180" s="73">
        <f>ABS(AB3140-SUM(AB3141:AB3145))+ABS(AB3140-SUM(AB3146:AB3153))</f>
        <v/>
      </c>
      <c r="AC3180" s="73">
        <f>ABS(AC3140-SUM(AC3141:AC3145))+ABS(AC3140-SUM(AC3146:AC3153))</f>
        <v/>
      </c>
      <c r="AD3180" s="73">
        <f>ABS(AD3140-SUM(AD3141:AD3145))+ABS(AD3140-SUM(AD3146:AD3153))</f>
        <v/>
      </c>
      <c r="AE3180" s="73">
        <f>ABS(AE3140-SUM(AE3141:AE3145))+ABS(AE3140-SUM(AE3146:AE3153))</f>
        <v/>
      </c>
      <c r="AG3180" s="11">
        <f>CodePrefix&amp;$A3180&amp;IF($C3180="","","."&amp;$C3180&amp;"."&amp;$B3180)&amp;INDEX(VarEnd,MATCH($A3180,VarKey,0))&amp;AG$5</f>
        <v/>
      </c>
      <c r="AH3180" s="73">
        <f>ABS(AH3140-SUM(AH3141:AH3145))+ABS(AH3140-SUM(AH3146:AH3153))</f>
        <v/>
      </c>
      <c r="AI3180" s="73">
        <f>ABS(AI3140-SUM(AI3141:AI3145))+ABS(AI3140-SUM(AI3146:AI3153))</f>
        <v/>
      </c>
      <c r="AJ3180" s="73">
        <f>ABS(AJ3140-SUM(AJ3141:AJ3145))+ABS(AJ3140-SUM(AJ3146:AJ3153))</f>
        <v/>
      </c>
      <c r="AK3180" s="73">
        <f>ABS(AK3140-SUM(AK3141:AK3145))+ABS(AK3140-SUM(AK3146:AK3153))</f>
        <v/>
      </c>
      <c r="AL3180" s="73">
        <f>ABS(AL3140-SUM(AL3141:AL3145))+ABS(AL3140-SUM(AL3146:AL3153))</f>
        <v/>
      </c>
      <c r="AM3180" s="73">
        <f>ABS(AM3140-SUM(AM3141:AM3145))+ABS(AM3140-SUM(AM3146:AM3153))</f>
        <v/>
      </c>
      <c r="AN3180" s="73">
        <f>ABS(AN3140-SUM(AN3141:AN3145))+ABS(AN3140-SUM(AN3146:AN3153))</f>
        <v/>
      </c>
      <c r="AO3180" s="73">
        <f>ABS(AO3140-SUM(AO3141:AO3145))+ABS(AO3140-SUM(AO3146:AO3153))</f>
        <v/>
      </c>
      <c r="AP3180" s="73">
        <f>ABS(AP3140-SUM(AP3141:AP3145))+ABS(AP3140-SUM(AP3146:AP3153))</f>
        <v/>
      </c>
      <c r="AQ3180" s="73">
        <f>ABS(AQ3140-SUM(AQ3141:AQ3145))+ABS(AQ3140-SUM(AQ3146:AQ3153))</f>
        <v/>
      </c>
      <c r="AR3180" s="73">
        <f>ABS(AR3140-SUM(AR3141:AR3145))+ABS(AR3140-SUM(AR3146:AR3153))</f>
        <v/>
      </c>
      <c r="AS3180" s="73">
        <f>ABS(AS3140-SUM(AS3141:AS3145))+ABS(AS3140-SUM(AS3146:AS3153))</f>
        <v/>
      </c>
      <c r="AT3180" s="73">
        <f>ABS(AT3140-SUM(AT3141:AT3145))+ABS(AT3140-SUM(AT3146:AT3153))</f>
        <v/>
      </c>
      <c r="AU3180" s="73">
        <f>ABS(AU3140-SUM(AU3141:AU3145))+ABS(AU3140-SUM(AU3146:AU3153))</f>
        <v/>
      </c>
      <c r="AV3180" s="73">
        <f>ABS(AV3140-SUM(AV3141:AV3145))+ABS(AV3140-SUM(AV3146:AV3153))</f>
        <v/>
      </c>
      <c r="AW3180" s="73">
        <f>ABS(AW3140-SUM(AW3141:AW3145))+ABS(AW3140-SUM(AW3146:AW3153))</f>
        <v/>
      </c>
      <c r="AX3180" s="73">
        <f>ABS(AX3140-SUM(AX3141:AX3145))+ABS(AX3140-SUM(AX3146:AX3153))</f>
        <v/>
      </c>
      <c r="AY3180" s="73">
        <f>ABS(AY3140-SUM(AY3141:AY3145))+ABS(AY3140-SUM(AY3146:AY3153))</f>
        <v/>
      </c>
      <c r="AZ3180" s="73">
        <f>ABS(AZ3140-SUM(AZ3141:AZ3145))+ABS(AZ3140-SUM(AZ3146:AZ3153))</f>
        <v/>
      </c>
      <c r="BA3180" s="73">
        <f>ABS(BA3140-SUM(BA3141:BA3145))+ABS(BA3140-SUM(BA3146:BA3153))</f>
        <v/>
      </c>
    </row>
    <row r="3181" collapsed="1"/>
    <row r="3182">
      <c r="H3182" s="67" t="inlineStr">
        <is>
          <t>Per subsector and fuel: co2 = fuel use (ktoe) x PJ/ktoe x EF (tCO2/GJ, IIASA, EF_GHG sheet; biomass 0); power generation: section 3 I (fuel use x MtCO2 per ktoe), in the total, by fuel and as ETS sector pow. No inventory adjustment, no process emissions; CH4, N2O and local pollutants later. co2.chk = 0 when the total equals sectors + power and the fuels. ETS rows: co2.sec by ETS sector, co2.ets covered emissions, co2.cap the cap, co2.gap the distance to the cap, ets.next the next price (paste its values into ets.ovr with D_ETSPriceOverride = Yes and repeat, or run ets_goalseek_v2_3.py); bco2.chk = 0 when the baseline data in section 1 match scenario 1.</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2:AA125"/>
  <sheetViews>
    <sheetView tabSelected="0" zoomScale="85" workbookViewId="0">
      <pane xSplit="5" ySplit="4" topLeftCell="F5" activePane="bottomRight" state="frozen"/>
      <selection pane="topRight"/>
      <selection pane="bottomLeft"/>
      <selection pane="bottomRight" activeCell="A1" sqref="A1"/>
    </sheetView>
  </sheetViews>
  <sheetFormatPr baseColWidth="8" defaultRowHeight="15" outlineLevelCol="0"/>
  <cols>
    <col width="30" customWidth="1" min="1" max="1"/>
    <col width="22" customWidth="1" min="2" max="2"/>
    <col width="52" customWidth="1" min="3" max="3"/>
    <col width="12" customWidth="1" min="4" max="4"/>
    <col width="8" customWidth="1" min="5" max="5"/>
    <col width="9" customWidth="1" min="6" max="6"/>
    <col width="9"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11" customWidth="1" min="26" max="26"/>
    <col width="11" customWidth="1" min="27" max="27"/>
  </cols>
  <sheetData>
    <row r="2">
      <c r="A2" s="2" t="inlineStr">
        <is>
          <t>MTOutputs - key results by scenario (read from Mitigation by output code)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row>
    <row r="3">
      <c r="A3" s="14" t="inlineStr">
        <is>
          <t>One block per scenario: the number in column E of the block header drives every row. To add a scenario, copy the last block (header to blank row) and paste it directly below: the number goes up by one. Rows: add a code stem in column B and copy a row's formulas. Values follow Mitigation.</t>
        </is>
      </c>
    </row>
    <row r="4">
      <c r="A4" s="83" t="inlineStr">
        <is>
          <t>Output code</t>
        </is>
      </c>
      <c r="B4" s="83" t="inlineStr">
        <is>
          <t>Code stem</t>
        </is>
      </c>
      <c r="C4" s="83" t="inlineStr">
        <is>
          <t>Description (from Mitigation)</t>
        </is>
      </c>
      <c r="D4" s="83" t="inlineStr">
        <is>
          <t>Unit</t>
        </is>
      </c>
      <c r="E4" s="83" t="inlineStr">
        <is>
          <t>Scenario</t>
        </is>
      </c>
      <c r="F4" s="6">
        <f>Settings!$C$7</f>
        <v/>
      </c>
      <c r="G4" s="8">
        <f>F4+1</f>
        <v/>
      </c>
      <c r="H4" s="8">
        <f>G4+1</f>
        <v/>
      </c>
      <c r="I4" s="8">
        <f>H4+1</f>
        <v/>
      </c>
      <c r="J4" s="8">
        <f>I4+1</f>
        <v/>
      </c>
      <c r="K4" s="8">
        <f>J4+1</f>
        <v/>
      </c>
      <c r="L4" s="8">
        <f>K4+1</f>
        <v/>
      </c>
      <c r="M4" s="8">
        <f>L4+1</f>
        <v/>
      </c>
      <c r="N4" s="8">
        <f>M4+1</f>
        <v/>
      </c>
      <c r="O4" s="8">
        <f>N4+1</f>
        <v/>
      </c>
      <c r="P4" s="8">
        <f>O4+1</f>
        <v/>
      </c>
      <c r="Q4" s="8">
        <f>P4+1</f>
        <v/>
      </c>
      <c r="R4" s="8">
        <f>Q4+1</f>
        <v/>
      </c>
      <c r="S4" s="8">
        <f>R4+1</f>
        <v/>
      </c>
      <c r="T4" s="8">
        <f>S4+1</f>
        <v/>
      </c>
      <c r="U4" s="8">
        <f>T4+1</f>
        <v/>
      </c>
      <c r="V4" s="8">
        <f>U4+1</f>
        <v/>
      </c>
      <c r="W4" s="8">
        <f>V4+1</f>
        <v/>
      </c>
      <c r="X4" s="8">
        <f>W4+1</f>
        <v/>
      </c>
      <c r="Y4" s="84">
        <f>X4+1</f>
        <v/>
      </c>
      <c r="Z4" s="83" t="inlineStr">
        <is>
          <t>Mitigation code column</t>
        </is>
      </c>
      <c r="AA4" s="83" t="inlineStr">
        <is>
          <t>Mitigation row</t>
        </is>
      </c>
    </row>
    <row r="6">
      <c r="A6" s="4" t="inlineStr">
        <is>
          <t>Scenario block</t>
        </is>
      </c>
      <c r="B6" s="5" t="n"/>
      <c r="C6" s="4">
        <f>INDEX(MTInputs!$J$6:$AZ$6,MATCH($E6,MTInputs!$J$5:$AZ$5,0))</f>
        <v/>
      </c>
      <c r="D6" s="5" t="n"/>
      <c r="E6" s="85" t="n">
        <v>1</v>
      </c>
      <c r="F6" s="5" t="n"/>
      <c r="G6" s="5" t="n"/>
      <c r="H6" s="5" t="n"/>
      <c r="I6" s="5" t="n"/>
      <c r="J6" s="5" t="n"/>
      <c r="K6" s="5" t="n"/>
      <c r="L6" s="5" t="n"/>
      <c r="M6" s="5" t="n"/>
      <c r="N6" s="5" t="n"/>
      <c r="O6" s="5" t="n"/>
      <c r="P6" s="5" t="n"/>
      <c r="Q6" s="5" t="n"/>
      <c r="R6" s="5" t="n"/>
      <c r="S6" s="5" t="n"/>
      <c r="T6" s="5" t="n"/>
      <c r="U6" s="5" t="n"/>
      <c r="V6" s="5" t="n"/>
      <c r="W6" s="5" t="n"/>
      <c r="X6" s="5" t="n"/>
      <c r="Y6" s="5" t="n"/>
    </row>
    <row r="7">
      <c r="A7" s="11">
        <f>LOWER(Settings!$C$4)&amp;"."&amp;$B7&amp;"."&amp;$E7</f>
        <v/>
      </c>
      <c r="B7" s="22" t="inlineStr">
        <is>
          <t>mit.ener.all.all.e</t>
        </is>
      </c>
      <c r="C7" s="14">
        <f>IFERROR(INDEX(MitDesc,$AA7),"code not found")</f>
        <v/>
      </c>
      <c r="D7" s="14">
        <f>IFERROR(INDEX(MitUnit,$AA7),"")</f>
        <v/>
      </c>
      <c r="E7" s="10">
        <f>E6</f>
        <v/>
      </c>
      <c r="F7" s="46">
        <f>IFERROR(INDEX(MitAll,$AA7,$Z7+1+F$4-Settings!$C$7),"")</f>
        <v/>
      </c>
      <c r="G7" s="47">
        <f>IFERROR(INDEX(MitAll,$AA7,$Z7+1+G$4-Settings!$C$7),"")</f>
        <v/>
      </c>
      <c r="H7" s="47">
        <f>IFERROR(INDEX(MitAll,$AA7,$Z7+1+H$4-Settings!$C$7),"")</f>
        <v/>
      </c>
      <c r="I7" s="47">
        <f>IFERROR(INDEX(MitAll,$AA7,$Z7+1+I$4-Settings!$C$7),"")</f>
        <v/>
      </c>
      <c r="J7" s="47">
        <f>IFERROR(INDEX(MitAll,$AA7,$Z7+1+J$4-Settings!$C$7),"")</f>
        <v/>
      </c>
      <c r="K7" s="47">
        <f>IFERROR(INDEX(MitAll,$AA7,$Z7+1+K$4-Settings!$C$7),"")</f>
        <v/>
      </c>
      <c r="L7" s="47">
        <f>IFERROR(INDEX(MitAll,$AA7,$Z7+1+L$4-Settings!$C$7),"")</f>
        <v/>
      </c>
      <c r="M7" s="47">
        <f>IFERROR(INDEX(MitAll,$AA7,$Z7+1+M$4-Settings!$C$7),"")</f>
        <v/>
      </c>
      <c r="N7" s="47">
        <f>IFERROR(INDEX(MitAll,$AA7,$Z7+1+N$4-Settings!$C$7),"")</f>
        <v/>
      </c>
      <c r="O7" s="47">
        <f>IFERROR(INDEX(MitAll,$AA7,$Z7+1+O$4-Settings!$C$7),"")</f>
        <v/>
      </c>
      <c r="P7" s="47">
        <f>IFERROR(INDEX(MitAll,$AA7,$Z7+1+P$4-Settings!$C$7),"")</f>
        <v/>
      </c>
      <c r="Q7" s="47">
        <f>IFERROR(INDEX(MitAll,$AA7,$Z7+1+Q$4-Settings!$C$7),"")</f>
        <v/>
      </c>
      <c r="R7" s="47">
        <f>IFERROR(INDEX(MitAll,$AA7,$Z7+1+R$4-Settings!$C$7),"")</f>
        <v/>
      </c>
      <c r="S7" s="47">
        <f>IFERROR(INDEX(MitAll,$AA7,$Z7+1+S$4-Settings!$C$7),"")</f>
        <v/>
      </c>
      <c r="T7" s="47">
        <f>IFERROR(INDEX(MitAll,$AA7,$Z7+1+T$4-Settings!$C$7),"")</f>
        <v/>
      </c>
      <c r="U7" s="47">
        <f>IFERROR(INDEX(MitAll,$AA7,$Z7+1+U$4-Settings!$C$7),"")</f>
        <v/>
      </c>
      <c r="V7" s="47">
        <f>IFERROR(INDEX(MitAll,$AA7,$Z7+1+V$4-Settings!$C$7),"")</f>
        <v/>
      </c>
      <c r="W7" s="47">
        <f>IFERROR(INDEX(MitAll,$AA7,$Z7+1+W$4-Settings!$C$7),"")</f>
        <v/>
      </c>
      <c r="X7" s="47">
        <f>IFERROR(INDEX(MitAll,$AA7,$Z7+1+X$4-Settings!$C$7),"")</f>
        <v/>
      </c>
      <c r="Y7" s="47">
        <f>IFERROR(INDEX(MitAll,$AA7,$Z7+1+Y$4-Settings!$C$7),"")</f>
        <v/>
      </c>
      <c r="Z7" s="10">
        <f>MATCH($E7,MitScen,0)</f>
        <v/>
      </c>
      <c r="AA7" s="10">
        <f>MATCH($A7,INDEX(MitAll,0,$Z7),0)</f>
        <v/>
      </c>
    </row>
    <row r="8">
      <c r="A8" s="11">
        <f>LOWER(Settings!$C$4)&amp;"."&amp;$B8&amp;"."&amp;$E8</f>
        <v/>
      </c>
      <c r="B8" s="22" t="inlineStr">
        <is>
          <t>mit.ener.tra.all.e</t>
        </is>
      </c>
      <c r="C8" s="14">
        <f>IFERROR(INDEX(MitDesc,$AA8),"code not found")</f>
        <v/>
      </c>
      <c r="D8" s="14">
        <f>IFERROR(INDEX(MitUnit,$AA8),"")</f>
        <v/>
      </c>
      <c r="E8" s="10">
        <f>E7</f>
        <v/>
      </c>
      <c r="F8" s="46">
        <f>IFERROR(INDEX(MitAll,$AA8,$Z8+1+F$4-Settings!$C$7),"")</f>
        <v/>
      </c>
      <c r="G8" s="47">
        <f>IFERROR(INDEX(MitAll,$AA8,$Z8+1+G$4-Settings!$C$7),"")</f>
        <v/>
      </c>
      <c r="H8" s="47">
        <f>IFERROR(INDEX(MitAll,$AA8,$Z8+1+H$4-Settings!$C$7),"")</f>
        <v/>
      </c>
      <c r="I8" s="47">
        <f>IFERROR(INDEX(MitAll,$AA8,$Z8+1+I$4-Settings!$C$7),"")</f>
        <v/>
      </c>
      <c r="J8" s="47">
        <f>IFERROR(INDEX(MitAll,$AA8,$Z8+1+J$4-Settings!$C$7),"")</f>
        <v/>
      </c>
      <c r="K8" s="47">
        <f>IFERROR(INDEX(MitAll,$AA8,$Z8+1+K$4-Settings!$C$7),"")</f>
        <v/>
      </c>
      <c r="L8" s="47">
        <f>IFERROR(INDEX(MitAll,$AA8,$Z8+1+L$4-Settings!$C$7),"")</f>
        <v/>
      </c>
      <c r="M8" s="47">
        <f>IFERROR(INDEX(MitAll,$AA8,$Z8+1+M$4-Settings!$C$7),"")</f>
        <v/>
      </c>
      <c r="N8" s="47">
        <f>IFERROR(INDEX(MitAll,$AA8,$Z8+1+N$4-Settings!$C$7),"")</f>
        <v/>
      </c>
      <c r="O8" s="47">
        <f>IFERROR(INDEX(MitAll,$AA8,$Z8+1+O$4-Settings!$C$7),"")</f>
        <v/>
      </c>
      <c r="P8" s="47">
        <f>IFERROR(INDEX(MitAll,$AA8,$Z8+1+P$4-Settings!$C$7),"")</f>
        <v/>
      </c>
      <c r="Q8" s="47">
        <f>IFERROR(INDEX(MitAll,$AA8,$Z8+1+Q$4-Settings!$C$7),"")</f>
        <v/>
      </c>
      <c r="R8" s="47">
        <f>IFERROR(INDEX(MitAll,$AA8,$Z8+1+R$4-Settings!$C$7),"")</f>
        <v/>
      </c>
      <c r="S8" s="47">
        <f>IFERROR(INDEX(MitAll,$AA8,$Z8+1+S$4-Settings!$C$7),"")</f>
        <v/>
      </c>
      <c r="T8" s="47">
        <f>IFERROR(INDEX(MitAll,$AA8,$Z8+1+T$4-Settings!$C$7),"")</f>
        <v/>
      </c>
      <c r="U8" s="47">
        <f>IFERROR(INDEX(MitAll,$AA8,$Z8+1+U$4-Settings!$C$7),"")</f>
        <v/>
      </c>
      <c r="V8" s="47">
        <f>IFERROR(INDEX(MitAll,$AA8,$Z8+1+V$4-Settings!$C$7),"")</f>
        <v/>
      </c>
      <c r="W8" s="47">
        <f>IFERROR(INDEX(MitAll,$AA8,$Z8+1+W$4-Settings!$C$7),"")</f>
        <v/>
      </c>
      <c r="X8" s="47">
        <f>IFERROR(INDEX(MitAll,$AA8,$Z8+1+X$4-Settings!$C$7),"")</f>
        <v/>
      </c>
      <c r="Y8" s="47">
        <f>IFERROR(INDEX(MitAll,$AA8,$Z8+1+Y$4-Settings!$C$7),"")</f>
        <v/>
      </c>
      <c r="Z8" s="10">
        <f>MATCH($E8,MitScen,0)</f>
        <v/>
      </c>
      <c r="AA8" s="10">
        <f>MATCH($A8,INDEX(MitAll,0,$Z8),0)</f>
        <v/>
      </c>
    </row>
    <row r="9">
      <c r="A9" s="11">
        <f>LOWER(Settings!$C$4)&amp;"."&amp;$B9&amp;"."&amp;$E9</f>
        <v/>
      </c>
      <c r="B9" s="22" t="inlineStr">
        <is>
          <t>mit.ener.bld.all.e</t>
        </is>
      </c>
      <c r="C9" s="14">
        <f>IFERROR(INDEX(MitDesc,$AA9),"code not found")</f>
        <v/>
      </c>
      <c r="D9" s="14">
        <f>IFERROR(INDEX(MitUnit,$AA9),"")</f>
        <v/>
      </c>
      <c r="E9" s="10">
        <f>E8</f>
        <v/>
      </c>
      <c r="F9" s="46">
        <f>IFERROR(INDEX(MitAll,$AA9,$Z9+1+F$4-Settings!$C$7),"")</f>
        <v/>
      </c>
      <c r="G9" s="47">
        <f>IFERROR(INDEX(MitAll,$AA9,$Z9+1+G$4-Settings!$C$7),"")</f>
        <v/>
      </c>
      <c r="H9" s="47">
        <f>IFERROR(INDEX(MitAll,$AA9,$Z9+1+H$4-Settings!$C$7),"")</f>
        <v/>
      </c>
      <c r="I9" s="47">
        <f>IFERROR(INDEX(MitAll,$AA9,$Z9+1+I$4-Settings!$C$7),"")</f>
        <v/>
      </c>
      <c r="J9" s="47">
        <f>IFERROR(INDEX(MitAll,$AA9,$Z9+1+J$4-Settings!$C$7),"")</f>
        <v/>
      </c>
      <c r="K9" s="47">
        <f>IFERROR(INDEX(MitAll,$AA9,$Z9+1+K$4-Settings!$C$7),"")</f>
        <v/>
      </c>
      <c r="L9" s="47">
        <f>IFERROR(INDEX(MitAll,$AA9,$Z9+1+L$4-Settings!$C$7),"")</f>
        <v/>
      </c>
      <c r="M9" s="47">
        <f>IFERROR(INDEX(MitAll,$AA9,$Z9+1+M$4-Settings!$C$7),"")</f>
        <v/>
      </c>
      <c r="N9" s="47">
        <f>IFERROR(INDEX(MitAll,$AA9,$Z9+1+N$4-Settings!$C$7),"")</f>
        <v/>
      </c>
      <c r="O9" s="47">
        <f>IFERROR(INDEX(MitAll,$AA9,$Z9+1+O$4-Settings!$C$7),"")</f>
        <v/>
      </c>
      <c r="P9" s="47">
        <f>IFERROR(INDEX(MitAll,$AA9,$Z9+1+P$4-Settings!$C$7),"")</f>
        <v/>
      </c>
      <c r="Q9" s="47">
        <f>IFERROR(INDEX(MitAll,$AA9,$Z9+1+Q$4-Settings!$C$7),"")</f>
        <v/>
      </c>
      <c r="R9" s="47">
        <f>IFERROR(INDEX(MitAll,$AA9,$Z9+1+R$4-Settings!$C$7),"")</f>
        <v/>
      </c>
      <c r="S9" s="47">
        <f>IFERROR(INDEX(MitAll,$AA9,$Z9+1+S$4-Settings!$C$7),"")</f>
        <v/>
      </c>
      <c r="T9" s="47">
        <f>IFERROR(INDEX(MitAll,$AA9,$Z9+1+T$4-Settings!$C$7),"")</f>
        <v/>
      </c>
      <c r="U9" s="47">
        <f>IFERROR(INDEX(MitAll,$AA9,$Z9+1+U$4-Settings!$C$7),"")</f>
        <v/>
      </c>
      <c r="V9" s="47">
        <f>IFERROR(INDEX(MitAll,$AA9,$Z9+1+V$4-Settings!$C$7),"")</f>
        <v/>
      </c>
      <c r="W9" s="47">
        <f>IFERROR(INDEX(MitAll,$AA9,$Z9+1+W$4-Settings!$C$7),"")</f>
        <v/>
      </c>
      <c r="X9" s="47">
        <f>IFERROR(INDEX(MitAll,$AA9,$Z9+1+X$4-Settings!$C$7),"")</f>
        <v/>
      </c>
      <c r="Y9" s="47">
        <f>IFERROR(INDEX(MitAll,$AA9,$Z9+1+Y$4-Settings!$C$7),"")</f>
        <v/>
      </c>
      <c r="Z9" s="10">
        <f>MATCH($E9,MitScen,0)</f>
        <v/>
      </c>
      <c r="AA9" s="10">
        <f>MATCH($A9,INDEX(MitAll,0,$Z9),0)</f>
        <v/>
      </c>
    </row>
    <row r="10">
      <c r="A10" s="11">
        <f>LOWER(Settings!$C$4)&amp;"."&amp;$B10&amp;"."&amp;$E10</f>
        <v/>
      </c>
      <c r="B10" s="22" t="inlineStr">
        <is>
          <t>mit.ener.ind.all.e</t>
        </is>
      </c>
      <c r="C10" s="14">
        <f>IFERROR(INDEX(MitDesc,$AA10),"code not found")</f>
        <v/>
      </c>
      <c r="D10" s="14">
        <f>IFERROR(INDEX(MitUnit,$AA10),"")</f>
        <v/>
      </c>
      <c r="E10" s="10">
        <f>E9</f>
        <v/>
      </c>
      <c r="F10" s="46">
        <f>IFERROR(INDEX(MitAll,$AA10,$Z10+1+F$4-Settings!$C$7),"")</f>
        <v/>
      </c>
      <c r="G10" s="47">
        <f>IFERROR(INDEX(MitAll,$AA10,$Z10+1+G$4-Settings!$C$7),"")</f>
        <v/>
      </c>
      <c r="H10" s="47">
        <f>IFERROR(INDEX(MitAll,$AA10,$Z10+1+H$4-Settings!$C$7),"")</f>
        <v/>
      </c>
      <c r="I10" s="47">
        <f>IFERROR(INDEX(MitAll,$AA10,$Z10+1+I$4-Settings!$C$7),"")</f>
        <v/>
      </c>
      <c r="J10" s="47">
        <f>IFERROR(INDEX(MitAll,$AA10,$Z10+1+J$4-Settings!$C$7),"")</f>
        <v/>
      </c>
      <c r="K10" s="47">
        <f>IFERROR(INDEX(MitAll,$AA10,$Z10+1+K$4-Settings!$C$7),"")</f>
        <v/>
      </c>
      <c r="L10" s="47">
        <f>IFERROR(INDEX(MitAll,$AA10,$Z10+1+L$4-Settings!$C$7),"")</f>
        <v/>
      </c>
      <c r="M10" s="47">
        <f>IFERROR(INDEX(MitAll,$AA10,$Z10+1+M$4-Settings!$C$7),"")</f>
        <v/>
      </c>
      <c r="N10" s="47">
        <f>IFERROR(INDEX(MitAll,$AA10,$Z10+1+N$4-Settings!$C$7),"")</f>
        <v/>
      </c>
      <c r="O10" s="47">
        <f>IFERROR(INDEX(MitAll,$AA10,$Z10+1+O$4-Settings!$C$7),"")</f>
        <v/>
      </c>
      <c r="P10" s="47">
        <f>IFERROR(INDEX(MitAll,$AA10,$Z10+1+P$4-Settings!$C$7),"")</f>
        <v/>
      </c>
      <c r="Q10" s="47">
        <f>IFERROR(INDEX(MitAll,$AA10,$Z10+1+Q$4-Settings!$C$7),"")</f>
        <v/>
      </c>
      <c r="R10" s="47">
        <f>IFERROR(INDEX(MitAll,$AA10,$Z10+1+R$4-Settings!$C$7),"")</f>
        <v/>
      </c>
      <c r="S10" s="47">
        <f>IFERROR(INDEX(MitAll,$AA10,$Z10+1+S$4-Settings!$C$7),"")</f>
        <v/>
      </c>
      <c r="T10" s="47">
        <f>IFERROR(INDEX(MitAll,$AA10,$Z10+1+T$4-Settings!$C$7),"")</f>
        <v/>
      </c>
      <c r="U10" s="47">
        <f>IFERROR(INDEX(MitAll,$AA10,$Z10+1+U$4-Settings!$C$7),"")</f>
        <v/>
      </c>
      <c r="V10" s="47">
        <f>IFERROR(INDEX(MitAll,$AA10,$Z10+1+V$4-Settings!$C$7),"")</f>
        <v/>
      </c>
      <c r="W10" s="47">
        <f>IFERROR(INDEX(MitAll,$AA10,$Z10+1+W$4-Settings!$C$7),"")</f>
        <v/>
      </c>
      <c r="X10" s="47">
        <f>IFERROR(INDEX(MitAll,$AA10,$Z10+1+X$4-Settings!$C$7),"")</f>
        <v/>
      </c>
      <c r="Y10" s="47">
        <f>IFERROR(INDEX(MitAll,$AA10,$Z10+1+Y$4-Settings!$C$7),"")</f>
        <v/>
      </c>
      <c r="Z10" s="10">
        <f>MATCH($E10,MitScen,0)</f>
        <v/>
      </c>
      <c r="AA10" s="10">
        <f>MATCH($A10,INDEX(MitAll,0,$Z10),0)</f>
        <v/>
      </c>
    </row>
    <row r="11">
      <c r="A11" s="11">
        <f>LOWER(Settings!$C$4)&amp;"."&amp;$B11&amp;"."&amp;$E11</f>
        <v/>
      </c>
      <c r="B11" s="22" t="inlineStr">
        <is>
          <t>mit.ener.oen.all.e</t>
        </is>
      </c>
      <c r="C11" s="14">
        <f>IFERROR(INDEX(MitDesc,$AA11),"code not found")</f>
        <v/>
      </c>
      <c r="D11" s="14">
        <f>IFERROR(INDEX(MitUnit,$AA11),"")</f>
        <v/>
      </c>
      <c r="E11" s="10">
        <f>E10</f>
        <v/>
      </c>
      <c r="F11" s="46">
        <f>IFERROR(INDEX(MitAll,$AA11,$Z11+1+F$4-Settings!$C$7),"")</f>
        <v/>
      </c>
      <c r="G11" s="47">
        <f>IFERROR(INDEX(MitAll,$AA11,$Z11+1+G$4-Settings!$C$7),"")</f>
        <v/>
      </c>
      <c r="H11" s="47">
        <f>IFERROR(INDEX(MitAll,$AA11,$Z11+1+H$4-Settings!$C$7),"")</f>
        <v/>
      </c>
      <c r="I11" s="47">
        <f>IFERROR(INDEX(MitAll,$AA11,$Z11+1+I$4-Settings!$C$7),"")</f>
        <v/>
      </c>
      <c r="J11" s="47">
        <f>IFERROR(INDEX(MitAll,$AA11,$Z11+1+J$4-Settings!$C$7),"")</f>
        <v/>
      </c>
      <c r="K11" s="47">
        <f>IFERROR(INDEX(MitAll,$AA11,$Z11+1+K$4-Settings!$C$7),"")</f>
        <v/>
      </c>
      <c r="L11" s="47">
        <f>IFERROR(INDEX(MitAll,$AA11,$Z11+1+L$4-Settings!$C$7),"")</f>
        <v/>
      </c>
      <c r="M11" s="47">
        <f>IFERROR(INDEX(MitAll,$AA11,$Z11+1+M$4-Settings!$C$7),"")</f>
        <v/>
      </c>
      <c r="N11" s="47">
        <f>IFERROR(INDEX(MitAll,$AA11,$Z11+1+N$4-Settings!$C$7),"")</f>
        <v/>
      </c>
      <c r="O11" s="47">
        <f>IFERROR(INDEX(MitAll,$AA11,$Z11+1+O$4-Settings!$C$7),"")</f>
        <v/>
      </c>
      <c r="P11" s="47">
        <f>IFERROR(INDEX(MitAll,$AA11,$Z11+1+P$4-Settings!$C$7),"")</f>
        <v/>
      </c>
      <c r="Q11" s="47">
        <f>IFERROR(INDEX(MitAll,$AA11,$Z11+1+Q$4-Settings!$C$7),"")</f>
        <v/>
      </c>
      <c r="R11" s="47">
        <f>IFERROR(INDEX(MitAll,$AA11,$Z11+1+R$4-Settings!$C$7),"")</f>
        <v/>
      </c>
      <c r="S11" s="47">
        <f>IFERROR(INDEX(MitAll,$AA11,$Z11+1+S$4-Settings!$C$7),"")</f>
        <v/>
      </c>
      <c r="T11" s="47">
        <f>IFERROR(INDEX(MitAll,$AA11,$Z11+1+T$4-Settings!$C$7),"")</f>
        <v/>
      </c>
      <c r="U11" s="47">
        <f>IFERROR(INDEX(MitAll,$AA11,$Z11+1+U$4-Settings!$C$7),"")</f>
        <v/>
      </c>
      <c r="V11" s="47">
        <f>IFERROR(INDEX(MitAll,$AA11,$Z11+1+V$4-Settings!$C$7),"")</f>
        <v/>
      </c>
      <c r="W11" s="47">
        <f>IFERROR(INDEX(MitAll,$AA11,$Z11+1+W$4-Settings!$C$7),"")</f>
        <v/>
      </c>
      <c r="X11" s="47">
        <f>IFERROR(INDEX(MitAll,$AA11,$Z11+1+X$4-Settings!$C$7),"")</f>
        <v/>
      </c>
      <c r="Y11" s="47">
        <f>IFERROR(INDEX(MitAll,$AA11,$Z11+1+Y$4-Settings!$C$7),"")</f>
        <v/>
      </c>
      <c r="Z11" s="10">
        <f>MATCH($E11,MitScen,0)</f>
        <v/>
      </c>
      <c r="AA11" s="10">
        <f>MATCH($A11,INDEX(MitAll,0,$Z11),0)</f>
        <v/>
      </c>
    </row>
    <row r="12">
      <c r="A12" s="11">
        <f>LOWER(Settings!$C$4)&amp;"."&amp;$B12&amp;"."&amp;$E12</f>
        <v/>
      </c>
      <c r="B12" s="22" t="inlineStr">
        <is>
          <t>mit.ener.pct.all.all.e</t>
        </is>
      </c>
      <c r="C12" s="14">
        <f>IFERROR(INDEX(MitDesc,$AA12),"code not found")</f>
        <v/>
      </c>
      <c r="D12" s="14">
        <f>IFERROR(INDEX(MitUnit,$AA12),"")</f>
        <v/>
      </c>
      <c r="E12" s="10">
        <f>E11</f>
        <v/>
      </c>
      <c r="F12" s="12">
        <f>IFERROR(INDEX(MitAll,$AA12,$Z12+1+F$4-Settings!$C$7),"")</f>
        <v/>
      </c>
      <c r="G12" s="13">
        <f>IFERROR(INDEX(MitAll,$AA12,$Z12+1+G$4-Settings!$C$7),"")</f>
        <v/>
      </c>
      <c r="H12" s="13">
        <f>IFERROR(INDEX(MitAll,$AA12,$Z12+1+H$4-Settings!$C$7),"")</f>
        <v/>
      </c>
      <c r="I12" s="13">
        <f>IFERROR(INDEX(MitAll,$AA12,$Z12+1+I$4-Settings!$C$7),"")</f>
        <v/>
      </c>
      <c r="J12" s="13">
        <f>IFERROR(INDEX(MitAll,$AA12,$Z12+1+J$4-Settings!$C$7),"")</f>
        <v/>
      </c>
      <c r="K12" s="13">
        <f>IFERROR(INDEX(MitAll,$AA12,$Z12+1+K$4-Settings!$C$7),"")</f>
        <v/>
      </c>
      <c r="L12" s="13">
        <f>IFERROR(INDEX(MitAll,$AA12,$Z12+1+L$4-Settings!$C$7),"")</f>
        <v/>
      </c>
      <c r="M12" s="13">
        <f>IFERROR(INDEX(MitAll,$AA12,$Z12+1+M$4-Settings!$C$7),"")</f>
        <v/>
      </c>
      <c r="N12" s="13">
        <f>IFERROR(INDEX(MitAll,$AA12,$Z12+1+N$4-Settings!$C$7),"")</f>
        <v/>
      </c>
      <c r="O12" s="13">
        <f>IFERROR(INDEX(MitAll,$AA12,$Z12+1+O$4-Settings!$C$7),"")</f>
        <v/>
      </c>
      <c r="P12" s="13">
        <f>IFERROR(INDEX(MitAll,$AA12,$Z12+1+P$4-Settings!$C$7),"")</f>
        <v/>
      </c>
      <c r="Q12" s="13">
        <f>IFERROR(INDEX(MitAll,$AA12,$Z12+1+Q$4-Settings!$C$7),"")</f>
        <v/>
      </c>
      <c r="R12" s="13">
        <f>IFERROR(INDEX(MitAll,$AA12,$Z12+1+R$4-Settings!$C$7),"")</f>
        <v/>
      </c>
      <c r="S12" s="13">
        <f>IFERROR(INDEX(MitAll,$AA12,$Z12+1+S$4-Settings!$C$7),"")</f>
        <v/>
      </c>
      <c r="T12" s="13">
        <f>IFERROR(INDEX(MitAll,$AA12,$Z12+1+T$4-Settings!$C$7),"")</f>
        <v/>
      </c>
      <c r="U12" s="13">
        <f>IFERROR(INDEX(MitAll,$AA12,$Z12+1+U$4-Settings!$C$7),"")</f>
        <v/>
      </c>
      <c r="V12" s="13">
        <f>IFERROR(INDEX(MitAll,$AA12,$Z12+1+V$4-Settings!$C$7),"")</f>
        <v/>
      </c>
      <c r="W12" s="13">
        <f>IFERROR(INDEX(MitAll,$AA12,$Z12+1+W$4-Settings!$C$7),"")</f>
        <v/>
      </c>
      <c r="X12" s="13">
        <f>IFERROR(INDEX(MitAll,$AA12,$Z12+1+X$4-Settings!$C$7),"")</f>
        <v/>
      </c>
      <c r="Y12" s="13">
        <f>IFERROR(INDEX(MitAll,$AA12,$Z12+1+Y$4-Settings!$C$7),"")</f>
        <v/>
      </c>
      <c r="Z12" s="10">
        <f>MATCH($E12,MitScen,0)</f>
        <v/>
      </c>
      <c r="AA12" s="10">
        <f>MATCH($A12,INDEX(MitAll,0,$Z12),0)</f>
        <v/>
      </c>
    </row>
    <row r="13">
      <c r="A13" s="11">
        <f>LOWER(Settings!$C$4)&amp;"."&amp;$B13&amp;"."&amp;$E13</f>
        <v/>
      </c>
      <c r="B13" s="22" t="inlineStr">
        <is>
          <t>mit.co2.all.all.e</t>
        </is>
      </c>
      <c r="C13" s="14">
        <f>IFERROR(INDEX(MitDesc,$AA13),"code not found")</f>
        <v/>
      </c>
      <c r="D13" s="14">
        <f>IFERROR(INDEX(MitUnit,$AA13),"")</f>
        <v/>
      </c>
      <c r="E13" s="10">
        <f>E12</f>
        <v/>
      </c>
      <c r="F13" s="43">
        <f>IFERROR(INDEX(MitAll,$AA13,$Z13+1+F$4-Settings!$C$7),"")</f>
        <v/>
      </c>
      <c r="G13" s="44">
        <f>IFERROR(INDEX(MitAll,$AA13,$Z13+1+G$4-Settings!$C$7),"")</f>
        <v/>
      </c>
      <c r="H13" s="44">
        <f>IFERROR(INDEX(MitAll,$AA13,$Z13+1+H$4-Settings!$C$7),"")</f>
        <v/>
      </c>
      <c r="I13" s="44">
        <f>IFERROR(INDEX(MitAll,$AA13,$Z13+1+I$4-Settings!$C$7),"")</f>
        <v/>
      </c>
      <c r="J13" s="44">
        <f>IFERROR(INDEX(MitAll,$AA13,$Z13+1+J$4-Settings!$C$7),"")</f>
        <v/>
      </c>
      <c r="K13" s="44">
        <f>IFERROR(INDEX(MitAll,$AA13,$Z13+1+K$4-Settings!$C$7),"")</f>
        <v/>
      </c>
      <c r="L13" s="44">
        <f>IFERROR(INDEX(MitAll,$AA13,$Z13+1+L$4-Settings!$C$7),"")</f>
        <v/>
      </c>
      <c r="M13" s="44">
        <f>IFERROR(INDEX(MitAll,$AA13,$Z13+1+M$4-Settings!$C$7),"")</f>
        <v/>
      </c>
      <c r="N13" s="44">
        <f>IFERROR(INDEX(MitAll,$AA13,$Z13+1+N$4-Settings!$C$7),"")</f>
        <v/>
      </c>
      <c r="O13" s="44">
        <f>IFERROR(INDEX(MitAll,$AA13,$Z13+1+O$4-Settings!$C$7),"")</f>
        <v/>
      </c>
      <c r="P13" s="44">
        <f>IFERROR(INDEX(MitAll,$AA13,$Z13+1+P$4-Settings!$C$7),"")</f>
        <v/>
      </c>
      <c r="Q13" s="44">
        <f>IFERROR(INDEX(MitAll,$AA13,$Z13+1+Q$4-Settings!$C$7),"")</f>
        <v/>
      </c>
      <c r="R13" s="44">
        <f>IFERROR(INDEX(MitAll,$AA13,$Z13+1+R$4-Settings!$C$7),"")</f>
        <v/>
      </c>
      <c r="S13" s="44">
        <f>IFERROR(INDEX(MitAll,$AA13,$Z13+1+S$4-Settings!$C$7),"")</f>
        <v/>
      </c>
      <c r="T13" s="44">
        <f>IFERROR(INDEX(MitAll,$AA13,$Z13+1+T$4-Settings!$C$7),"")</f>
        <v/>
      </c>
      <c r="U13" s="44">
        <f>IFERROR(INDEX(MitAll,$AA13,$Z13+1+U$4-Settings!$C$7),"")</f>
        <v/>
      </c>
      <c r="V13" s="44">
        <f>IFERROR(INDEX(MitAll,$AA13,$Z13+1+V$4-Settings!$C$7),"")</f>
        <v/>
      </c>
      <c r="W13" s="44">
        <f>IFERROR(INDEX(MitAll,$AA13,$Z13+1+W$4-Settings!$C$7),"")</f>
        <v/>
      </c>
      <c r="X13" s="44">
        <f>IFERROR(INDEX(MitAll,$AA13,$Z13+1+X$4-Settings!$C$7),"")</f>
        <v/>
      </c>
      <c r="Y13" s="44">
        <f>IFERROR(INDEX(MitAll,$AA13,$Z13+1+Y$4-Settings!$C$7),"")</f>
        <v/>
      </c>
      <c r="Z13" s="10">
        <f>MATCH($E13,MitScen,0)</f>
        <v/>
      </c>
      <c r="AA13" s="10">
        <f>MATCH($A13,INDEX(MitAll,0,$Z13),0)</f>
        <v/>
      </c>
    </row>
    <row r="14">
      <c r="A14" s="11">
        <f>LOWER(Settings!$C$4)&amp;"."&amp;$B14&amp;"."&amp;$E14</f>
        <v/>
      </c>
      <c r="B14" s="22" t="inlineStr">
        <is>
          <t>mit.co2.tra.all.e</t>
        </is>
      </c>
      <c r="C14" s="14">
        <f>IFERROR(INDEX(MitDesc,$AA14),"code not found")</f>
        <v/>
      </c>
      <c r="D14" s="14">
        <f>IFERROR(INDEX(MitUnit,$AA14),"")</f>
        <v/>
      </c>
      <c r="E14" s="10">
        <f>E13</f>
        <v/>
      </c>
      <c r="F14" s="43">
        <f>IFERROR(INDEX(MitAll,$AA14,$Z14+1+F$4-Settings!$C$7),"")</f>
        <v/>
      </c>
      <c r="G14" s="44">
        <f>IFERROR(INDEX(MitAll,$AA14,$Z14+1+G$4-Settings!$C$7),"")</f>
        <v/>
      </c>
      <c r="H14" s="44">
        <f>IFERROR(INDEX(MitAll,$AA14,$Z14+1+H$4-Settings!$C$7),"")</f>
        <v/>
      </c>
      <c r="I14" s="44">
        <f>IFERROR(INDEX(MitAll,$AA14,$Z14+1+I$4-Settings!$C$7),"")</f>
        <v/>
      </c>
      <c r="J14" s="44">
        <f>IFERROR(INDEX(MitAll,$AA14,$Z14+1+J$4-Settings!$C$7),"")</f>
        <v/>
      </c>
      <c r="K14" s="44">
        <f>IFERROR(INDEX(MitAll,$AA14,$Z14+1+K$4-Settings!$C$7),"")</f>
        <v/>
      </c>
      <c r="L14" s="44">
        <f>IFERROR(INDEX(MitAll,$AA14,$Z14+1+L$4-Settings!$C$7),"")</f>
        <v/>
      </c>
      <c r="M14" s="44">
        <f>IFERROR(INDEX(MitAll,$AA14,$Z14+1+M$4-Settings!$C$7),"")</f>
        <v/>
      </c>
      <c r="N14" s="44">
        <f>IFERROR(INDEX(MitAll,$AA14,$Z14+1+N$4-Settings!$C$7),"")</f>
        <v/>
      </c>
      <c r="O14" s="44">
        <f>IFERROR(INDEX(MitAll,$AA14,$Z14+1+O$4-Settings!$C$7),"")</f>
        <v/>
      </c>
      <c r="P14" s="44">
        <f>IFERROR(INDEX(MitAll,$AA14,$Z14+1+P$4-Settings!$C$7),"")</f>
        <v/>
      </c>
      <c r="Q14" s="44">
        <f>IFERROR(INDEX(MitAll,$AA14,$Z14+1+Q$4-Settings!$C$7),"")</f>
        <v/>
      </c>
      <c r="R14" s="44">
        <f>IFERROR(INDEX(MitAll,$AA14,$Z14+1+R$4-Settings!$C$7),"")</f>
        <v/>
      </c>
      <c r="S14" s="44">
        <f>IFERROR(INDEX(MitAll,$AA14,$Z14+1+S$4-Settings!$C$7),"")</f>
        <v/>
      </c>
      <c r="T14" s="44">
        <f>IFERROR(INDEX(MitAll,$AA14,$Z14+1+T$4-Settings!$C$7),"")</f>
        <v/>
      </c>
      <c r="U14" s="44">
        <f>IFERROR(INDEX(MitAll,$AA14,$Z14+1+U$4-Settings!$C$7),"")</f>
        <v/>
      </c>
      <c r="V14" s="44">
        <f>IFERROR(INDEX(MitAll,$AA14,$Z14+1+V$4-Settings!$C$7),"")</f>
        <v/>
      </c>
      <c r="W14" s="44">
        <f>IFERROR(INDEX(MitAll,$AA14,$Z14+1+W$4-Settings!$C$7),"")</f>
        <v/>
      </c>
      <c r="X14" s="44">
        <f>IFERROR(INDEX(MitAll,$AA14,$Z14+1+X$4-Settings!$C$7),"")</f>
        <v/>
      </c>
      <c r="Y14" s="44">
        <f>IFERROR(INDEX(MitAll,$AA14,$Z14+1+Y$4-Settings!$C$7),"")</f>
        <v/>
      </c>
      <c r="Z14" s="10">
        <f>MATCH($E14,MitScen,0)</f>
        <v/>
      </c>
      <c r="AA14" s="10">
        <f>MATCH($A14,INDEX(MitAll,0,$Z14),0)</f>
        <v/>
      </c>
    </row>
    <row r="15">
      <c r="A15" s="11">
        <f>LOWER(Settings!$C$4)&amp;"."&amp;$B15&amp;"."&amp;$E15</f>
        <v/>
      </c>
      <c r="B15" s="22" t="inlineStr">
        <is>
          <t>mit.co2.bld.all.e</t>
        </is>
      </c>
      <c r="C15" s="14">
        <f>IFERROR(INDEX(MitDesc,$AA15),"code not found")</f>
        <v/>
      </c>
      <c r="D15" s="14">
        <f>IFERROR(INDEX(MitUnit,$AA15),"")</f>
        <v/>
      </c>
      <c r="E15" s="10">
        <f>E14</f>
        <v/>
      </c>
      <c r="F15" s="43">
        <f>IFERROR(INDEX(MitAll,$AA15,$Z15+1+F$4-Settings!$C$7),"")</f>
        <v/>
      </c>
      <c r="G15" s="44">
        <f>IFERROR(INDEX(MitAll,$AA15,$Z15+1+G$4-Settings!$C$7),"")</f>
        <v/>
      </c>
      <c r="H15" s="44">
        <f>IFERROR(INDEX(MitAll,$AA15,$Z15+1+H$4-Settings!$C$7),"")</f>
        <v/>
      </c>
      <c r="I15" s="44">
        <f>IFERROR(INDEX(MitAll,$AA15,$Z15+1+I$4-Settings!$C$7),"")</f>
        <v/>
      </c>
      <c r="J15" s="44">
        <f>IFERROR(INDEX(MitAll,$AA15,$Z15+1+J$4-Settings!$C$7),"")</f>
        <v/>
      </c>
      <c r="K15" s="44">
        <f>IFERROR(INDEX(MitAll,$AA15,$Z15+1+K$4-Settings!$C$7),"")</f>
        <v/>
      </c>
      <c r="L15" s="44">
        <f>IFERROR(INDEX(MitAll,$AA15,$Z15+1+L$4-Settings!$C$7),"")</f>
        <v/>
      </c>
      <c r="M15" s="44">
        <f>IFERROR(INDEX(MitAll,$AA15,$Z15+1+M$4-Settings!$C$7),"")</f>
        <v/>
      </c>
      <c r="N15" s="44">
        <f>IFERROR(INDEX(MitAll,$AA15,$Z15+1+N$4-Settings!$C$7),"")</f>
        <v/>
      </c>
      <c r="O15" s="44">
        <f>IFERROR(INDEX(MitAll,$AA15,$Z15+1+O$4-Settings!$C$7),"")</f>
        <v/>
      </c>
      <c r="P15" s="44">
        <f>IFERROR(INDEX(MitAll,$AA15,$Z15+1+P$4-Settings!$C$7),"")</f>
        <v/>
      </c>
      <c r="Q15" s="44">
        <f>IFERROR(INDEX(MitAll,$AA15,$Z15+1+Q$4-Settings!$C$7),"")</f>
        <v/>
      </c>
      <c r="R15" s="44">
        <f>IFERROR(INDEX(MitAll,$AA15,$Z15+1+R$4-Settings!$C$7),"")</f>
        <v/>
      </c>
      <c r="S15" s="44">
        <f>IFERROR(INDEX(MitAll,$AA15,$Z15+1+S$4-Settings!$C$7),"")</f>
        <v/>
      </c>
      <c r="T15" s="44">
        <f>IFERROR(INDEX(MitAll,$AA15,$Z15+1+T$4-Settings!$C$7),"")</f>
        <v/>
      </c>
      <c r="U15" s="44">
        <f>IFERROR(INDEX(MitAll,$AA15,$Z15+1+U$4-Settings!$C$7),"")</f>
        <v/>
      </c>
      <c r="V15" s="44">
        <f>IFERROR(INDEX(MitAll,$AA15,$Z15+1+V$4-Settings!$C$7),"")</f>
        <v/>
      </c>
      <c r="W15" s="44">
        <f>IFERROR(INDEX(MitAll,$AA15,$Z15+1+W$4-Settings!$C$7),"")</f>
        <v/>
      </c>
      <c r="X15" s="44">
        <f>IFERROR(INDEX(MitAll,$AA15,$Z15+1+X$4-Settings!$C$7),"")</f>
        <v/>
      </c>
      <c r="Y15" s="44">
        <f>IFERROR(INDEX(MitAll,$AA15,$Z15+1+Y$4-Settings!$C$7),"")</f>
        <v/>
      </c>
      <c r="Z15" s="10">
        <f>MATCH($E15,MitScen,0)</f>
        <v/>
      </c>
      <c r="AA15" s="10">
        <f>MATCH($A15,INDEX(MitAll,0,$Z15),0)</f>
        <v/>
      </c>
    </row>
    <row r="16">
      <c r="A16" s="11">
        <f>LOWER(Settings!$C$4)&amp;"."&amp;$B16&amp;"."&amp;$E16</f>
        <v/>
      </c>
      <c r="B16" s="22" t="inlineStr">
        <is>
          <t>mit.co2.ind.all.e</t>
        </is>
      </c>
      <c r="C16" s="14">
        <f>IFERROR(INDEX(MitDesc,$AA16),"code not found")</f>
        <v/>
      </c>
      <c r="D16" s="14">
        <f>IFERROR(INDEX(MitUnit,$AA16),"")</f>
        <v/>
      </c>
      <c r="E16" s="10">
        <f>E15</f>
        <v/>
      </c>
      <c r="F16" s="43">
        <f>IFERROR(INDEX(MitAll,$AA16,$Z16+1+F$4-Settings!$C$7),"")</f>
        <v/>
      </c>
      <c r="G16" s="44">
        <f>IFERROR(INDEX(MitAll,$AA16,$Z16+1+G$4-Settings!$C$7),"")</f>
        <v/>
      </c>
      <c r="H16" s="44">
        <f>IFERROR(INDEX(MitAll,$AA16,$Z16+1+H$4-Settings!$C$7),"")</f>
        <v/>
      </c>
      <c r="I16" s="44">
        <f>IFERROR(INDEX(MitAll,$AA16,$Z16+1+I$4-Settings!$C$7),"")</f>
        <v/>
      </c>
      <c r="J16" s="44">
        <f>IFERROR(INDEX(MitAll,$AA16,$Z16+1+J$4-Settings!$C$7),"")</f>
        <v/>
      </c>
      <c r="K16" s="44">
        <f>IFERROR(INDEX(MitAll,$AA16,$Z16+1+K$4-Settings!$C$7),"")</f>
        <v/>
      </c>
      <c r="L16" s="44">
        <f>IFERROR(INDEX(MitAll,$AA16,$Z16+1+L$4-Settings!$C$7),"")</f>
        <v/>
      </c>
      <c r="M16" s="44">
        <f>IFERROR(INDEX(MitAll,$AA16,$Z16+1+M$4-Settings!$C$7),"")</f>
        <v/>
      </c>
      <c r="N16" s="44">
        <f>IFERROR(INDEX(MitAll,$AA16,$Z16+1+N$4-Settings!$C$7),"")</f>
        <v/>
      </c>
      <c r="O16" s="44">
        <f>IFERROR(INDEX(MitAll,$AA16,$Z16+1+O$4-Settings!$C$7),"")</f>
        <v/>
      </c>
      <c r="P16" s="44">
        <f>IFERROR(INDEX(MitAll,$AA16,$Z16+1+P$4-Settings!$C$7),"")</f>
        <v/>
      </c>
      <c r="Q16" s="44">
        <f>IFERROR(INDEX(MitAll,$AA16,$Z16+1+Q$4-Settings!$C$7),"")</f>
        <v/>
      </c>
      <c r="R16" s="44">
        <f>IFERROR(INDEX(MitAll,$AA16,$Z16+1+R$4-Settings!$C$7),"")</f>
        <v/>
      </c>
      <c r="S16" s="44">
        <f>IFERROR(INDEX(MitAll,$AA16,$Z16+1+S$4-Settings!$C$7),"")</f>
        <v/>
      </c>
      <c r="T16" s="44">
        <f>IFERROR(INDEX(MitAll,$AA16,$Z16+1+T$4-Settings!$C$7),"")</f>
        <v/>
      </c>
      <c r="U16" s="44">
        <f>IFERROR(INDEX(MitAll,$AA16,$Z16+1+U$4-Settings!$C$7),"")</f>
        <v/>
      </c>
      <c r="V16" s="44">
        <f>IFERROR(INDEX(MitAll,$AA16,$Z16+1+V$4-Settings!$C$7),"")</f>
        <v/>
      </c>
      <c r="W16" s="44">
        <f>IFERROR(INDEX(MitAll,$AA16,$Z16+1+W$4-Settings!$C$7),"")</f>
        <v/>
      </c>
      <c r="X16" s="44">
        <f>IFERROR(INDEX(MitAll,$AA16,$Z16+1+X$4-Settings!$C$7),"")</f>
        <v/>
      </c>
      <c r="Y16" s="44">
        <f>IFERROR(INDEX(MitAll,$AA16,$Z16+1+Y$4-Settings!$C$7),"")</f>
        <v/>
      </c>
      <c r="Z16" s="10">
        <f>MATCH($E16,MitScen,0)</f>
        <v/>
      </c>
      <c r="AA16" s="10">
        <f>MATCH($A16,INDEX(MitAll,0,$Z16),0)</f>
        <v/>
      </c>
    </row>
    <row r="17">
      <c r="A17" s="11">
        <f>LOWER(Settings!$C$4)&amp;"."&amp;$B17&amp;"."&amp;$E17</f>
        <v/>
      </c>
      <c r="B17" s="22" t="inlineStr">
        <is>
          <t>mit.co2.chg.all.all</t>
        </is>
      </c>
      <c r="C17" s="14">
        <f>IFERROR(INDEX(MitDesc,$AA17),"code not found")</f>
        <v/>
      </c>
      <c r="D17" s="14">
        <f>IFERROR(INDEX(MitUnit,$AA17),"")</f>
        <v/>
      </c>
      <c r="E17" s="10">
        <f>E16</f>
        <v/>
      </c>
      <c r="F17" s="43">
        <f>IFERROR(INDEX(MitAll,$AA17,$Z17+1+F$4-Settings!$C$7),"")</f>
        <v/>
      </c>
      <c r="G17" s="44">
        <f>IFERROR(INDEX(MitAll,$AA17,$Z17+1+G$4-Settings!$C$7),"")</f>
        <v/>
      </c>
      <c r="H17" s="44">
        <f>IFERROR(INDEX(MitAll,$AA17,$Z17+1+H$4-Settings!$C$7),"")</f>
        <v/>
      </c>
      <c r="I17" s="44">
        <f>IFERROR(INDEX(MitAll,$AA17,$Z17+1+I$4-Settings!$C$7),"")</f>
        <v/>
      </c>
      <c r="J17" s="44">
        <f>IFERROR(INDEX(MitAll,$AA17,$Z17+1+J$4-Settings!$C$7),"")</f>
        <v/>
      </c>
      <c r="K17" s="44">
        <f>IFERROR(INDEX(MitAll,$AA17,$Z17+1+K$4-Settings!$C$7),"")</f>
        <v/>
      </c>
      <c r="L17" s="44">
        <f>IFERROR(INDEX(MitAll,$AA17,$Z17+1+L$4-Settings!$C$7),"")</f>
        <v/>
      </c>
      <c r="M17" s="44">
        <f>IFERROR(INDEX(MitAll,$AA17,$Z17+1+M$4-Settings!$C$7),"")</f>
        <v/>
      </c>
      <c r="N17" s="44">
        <f>IFERROR(INDEX(MitAll,$AA17,$Z17+1+N$4-Settings!$C$7),"")</f>
        <v/>
      </c>
      <c r="O17" s="44">
        <f>IFERROR(INDEX(MitAll,$AA17,$Z17+1+O$4-Settings!$C$7),"")</f>
        <v/>
      </c>
      <c r="P17" s="44">
        <f>IFERROR(INDEX(MitAll,$AA17,$Z17+1+P$4-Settings!$C$7),"")</f>
        <v/>
      </c>
      <c r="Q17" s="44">
        <f>IFERROR(INDEX(MitAll,$AA17,$Z17+1+Q$4-Settings!$C$7),"")</f>
        <v/>
      </c>
      <c r="R17" s="44">
        <f>IFERROR(INDEX(MitAll,$AA17,$Z17+1+R$4-Settings!$C$7),"")</f>
        <v/>
      </c>
      <c r="S17" s="44">
        <f>IFERROR(INDEX(MitAll,$AA17,$Z17+1+S$4-Settings!$C$7),"")</f>
        <v/>
      </c>
      <c r="T17" s="44">
        <f>IFERROR(INDEX(MitAll,$AA17,$Z17+1+T$4-Settings!$C$7),"")</f>
        <v/>
      </c>
      <c r="U17" s="44">
        <f>IFERROR(INDEX(MitAll,$AA17,$Z17+1+U$4-Settings!$C$7),"")</f>
        <v/>
      </c>
      <c r="V17" s="44">
        <f>IFERROR(INDEX(MitAll,$AA17,$Z17+1+V$4-Settings!$C$7),"")</f>
        <v/>
      </c>
      <c r="W17" s="44">
        <f>IFERROR(INDEX(MitAll,$AA17,$Z17+1+W$4-Settings!$C$7),"")</f>
        <v/>
      </c>
      <c r="X17" s="44">
        <f>IFERROR(INDEX(MitAll,$AA17,$Z17+1+X$4-Settings!$C$7),"")</f>
        <v/>
      </c>
      <c r="Y17" s="44">
        <f>IFERROR(INDEX(MitAll,$AA17,$Z17+1+Y$4-Settings!$C$7),"")</f>
        <v/>
      </c>
      <c r="Z17" s="10">
        <f>MATCH($E17,MitScen,0)</f>
        <v/>
      </c>
      <c r="AA17" s="10">
        <f>MATCH($A17,INDEX(MitAll,0,$Z17),0)</f>
        <v/>
      </c>
    </row>
    <row r="18">
      <c r="A18" s="11">
        <f>LOWER(Settings!$C$4)&amp;"."&amp;$B18&amp;"."&amp;$E18</f>
        <v/>
      </c>
      <c r="B18" s="22" t="inlineStr">
        <is>
          <t>mit.co2.pct.all.all</t>
        </is>
      </c>
      <c r="C18" s="14">
        <f>IFERROR(INDEX(MitDesc,$AA18),"code not found")</f>
        <v/>
      </c>
      <c r="D18" s="14">
        <f>IFERROR(INDEX(MitUnit,$AA18),"")</f>
        <v/>
      </c>
      <c r="E18" s="10">
        <f>E17</f>
        <v/>
      </c>
      <c r="F18" s="12">
        <f>IFERROR(INDEX(MitAll,$AA18,$Z18+1+F$4-Settings!$C$7),"")</f>
        <v/>
      </c>
      <c r="G18" s="13">
        <f>IFERROR(INDEX(MitAll,$AA18,$Z18+1+G$4-Settings!$C$7),"")</f>
        <v/>
      </c>
      <c r="H18" s="13">
        <f>IFERROR(INDEX(MitAll,$AA18,$Z18+1+H$4-Settings!$C$7),"")</f>
        <v/>
      </c>
      <c r="I18" s="13">
        <f>IFERROR(INDEX(MitAll,$AA18,$Z18+1+I$4-Settings!$C$7),"")</f>
        <v/>
      </c>
      <c r="J18" s="13">
        <f>IFERROR(INDEX(MitAll,$AA18,$Z18+1+J$4-Settings!$C$7),"")</f>
        <v/>
      </c>
      <c r="K18" s="13">
        <f>IFERROR(INDEX(MitAll,$AA18,$Z18+1+K$4-Settings!$C$7),"")</f>
        <v/>
      </c>
      <c r="L18" s="13">
        <f>IFERROR(INDEX(MitAll,$AA18,$Z18+1+L$4-Settings!$C$7),"")</f>
        <v/>
      </c>
      <c r="M18" s="13">
        <f>IFERROR(INDEX(MitAll,$AA18,$Z18+1+M$4-Settings!$C$7),"")</f>
        <v/>
      </c>
      <c r="N18" s="13">
        <f>IFERROR(INDEX(MitAll,$AA18,$Z18+1+N$4-Settings!$C$7),"")</f>
        <v/>
      </c>
      <c r="O18" s="13">
        <f>IFERROR(INDEX(MitAll,$AA18,$Z18+1+O$4-Settings!$C$7),"")</f>
        <v/>
      </c>
      <c r="P18" s="13">
        <f>IFERROR(INDEX(MitAll,$AA18,$Z18+1+P$4-Settings!$C$7),"")</f>
        <v/>
      </c>
      <c r="Q18" s="13">
        <f>IFERROR(INDEX(MitAll,$AA18,$Z18+1+Q$4-Settings!$C$7),"")</f>
        <v/>
      </c>
      <c r="R18" s="13">
        <f>IFERROR(INDEX(MitAll,$AA18,$Z18+1+R$4-Settings!$C$7),"")</f>
        <v/>
      </c>
      <c r="S18" s="13">
        <f>IFERROR(INDEX(MitAll,$AA18,$Z18+1+S$4-Settings!$C$7),"")</f>
        <v/>
      </c>
      <c r="T18" s="13">
        <f>IFERROR(INDEX(MitAll,$AA18,$Z18+1+T$4-Settings!$C$7),"")</f>
        <v/>
      </c>
      <c r="U18" s="13">
        <f>IFERROR(INDEX(MitAll,$AA18,$Z18+1+U$4-Settings!$C$7),"")</f>
        <v/>
      </c>
      <c r="V18" s="13">
        <f>IFERROR(INDEX(MitAll,$AA18,$Z18+1+V$4-Settings!$C$7),"")</f>
        <v/>
      </c>
      <c r="W18" s="13">
        <f>IFERROR(INDEX(MitAll,$AA18,$Z18+1+W$4-Settings!$C$7),"")</f>
        <v/>
      </c>
      <c r="X18" s="13">
        <f>IFERROR(INDEX(MitAll,$AA18,$Z18+1+X$4-Settings!$C$7),"")</f>
        <v/>
      </c>
      <c r="Y18" s="13">
        <f>IFERROR(INDEX(MitAll,$AA18,$Z18+1+Y$4-Settings!$C$7),"")</f>
        <v/>
      </c>
      <c r="Z18" s="10">
        <f>MATCH($E18,MitScen,0)</f>
        <v/>
      </c>
      <c r="AA18" s="10">
        <f>MATCH($A18,INDEX(MitAll,0,$Z18),0)</f>
        <v/>
      </c>
    </row>
    <row r="19">
      <c r="A19" s="11">
        <f>LOWER(Settings!$C$4)&amp;"."&amp;$B19&amp;"."&amp;$E19</f>
        <v/>
      </c>
      <c r="B19" s="22" t="inlineStr">
        <is>
          <t>mit.rtx.all.all</t>
        </is>
      </c>
      <c r="C19" s="14">
        <f>IFERROR(INDEX(MitDesc,$AA19),"code not found")</f>
        <v/>
      </c>
      <c r="D19" s="14">
        <f>IFERROR(INDEX(MitUnit,$AA19),"")</f>
        <v/>
      </c>
      <c r="E19" s="10">
        <f>E18</f>
        <v/>
      </c>
      <c r="F19" s="46">
        <f>IFERROR(INDEX(MitAll,$AA19,$Z19+1+F$4-Settings!$C$7),"")</f>
        <v/>
      </c>
      <c r="G19" s="47">
        <f>IFERROR(INDEX(MitAll,$AA19,$Z19+1+G$4-Settings!$C$7),"")</f>
        <v/>
      </c>
      <c r="H19" s="47">
        <f>IFERROR(INDEX(MitAll,$AA19,$Z19+1+H$4-Settings!$C$7),"")</f>
        <v/>
      </c>
      <c r="I19" s="47">
        <f>IFERROR(INDEX(MitAll,$AA19,$Z19+1+I$4-Settings!$C$7),"")</f>
        <v/>
      </c>
      <c r="J19" s="47">
        <f>IFERROR(INDEX(MitAll,$AA19,$Z19+1+J$4-Settings!$C$7),"")</f>
        <v/>
      </c>
      <c r="K19" s="47">
        <f>IFERROR(INDEX(MitAll,$AA19,$Z19+1+K$4-Settings!$C$7),"")</f>
        <v/>
      </c>
      <c r="L19" s="47">
        <f>IFERROR(INDEX(MitAll,$AA19,$Z19+1+L$4-Settings!$C$7),"")</f>
        <v/>
      </c>
      <c r="M19" s="47">
        <f>IFERROR(INDEX(MitAll,$AA19,$Z19+1+M$4-Settings!$C$7),"")</f>
        <v/>
      </c>
      <c r="N19" s="47">
        <f>IFERROR(INDEX(MitAll,$AA19,$Z19+1+N$4-Settings!$C$7),"")</f>
        <v/>
      </c>
      <c r="O19" s="47">
        <f>IFERROR(INDEX(MitAll,$AA19,$Z19+1+O$4-Settings!$C$7),"")</f>
        <v/>
      </c>
      <c r="P19" s="47">
        <f>IFERROR(INDEX(MitAll,$AA19,$Z19+1+P$4-Settings!$C$7),"")</f>
        <v/>
      </c>
      <c r="Q19" s="47">
        <f>IFERROR(INDEX(MitAll,$AA19,$Z19+1+Q$4-Settings!$C$7),"")</f>
        <v/>
      </c>
      <c r="R19" s="47">
        <f>IFERROR(INDEX(MitAll,$AA19,$Z19+1+R$4-Settings!$C$7),"")</f>
        <v/>
      </c>
      <c r="S19" s="47">
        <f>IFERROR(INDEX(MitAll,$AA19,$Z19+1+S$4-Settings!$C$7),"")</f>
        <v/>
      </c>
      <c r="T19" s="47">
        <f>IFERROR(INDEX(MitAll,$AA19,$Z19+1+T$4-Settings!$C$7),"")</f>
        <v/>
      </c>
      <c r="U19" s="47">
        <f>IFERROR(INDEX(MitAll,$AA19,$Z19+1+U$4-Settings!$C$7),"")</f>
        <v/>
      </c>
      <c r="V19" s="47">
        <f>IFERROR(INDEX(MitAll,$AA19,$Z19+1+V$4-Settings!$C$7),"")</f>
        <v/>
      </c>
      <c r="W19" s="47">
        <f>IFERROR(INDEX(MitAll,$AA19,$Z19+1+W$4-Settings!$C$7),"")</f>
        <v/>
      </c>
      <c r="X19" s="47">
        <f>IFERROR(INDEX(MitAll,$AA19,$Z19+1+X$4-Settings!$C$7),"")</f>
        <v/>
      </c>
      <c r="Y19" s="47">
        <f>IFERROR(INDEX(MitAll,$AA19,$Z19+1+Y$4-Settings!$C$7),"")</f>
        <v/>
      </c>
      <c r="Z19" s="10">
        <f>MATCH($E19,MitScen,0)</f>
        <v/>
      </c>
      <c r="AA19" s="10">
        <f>MATCH($A19,INDEX(MitAll,0,$Z19),0)</f>
        <v/>
      </c>
    </row>
    <row r="20">
      <c r="A20" s="11">
        <f>LOWER(Settings!$C$4)&amp;"."&amp;$B20&amp;"."&amp;$E20</f>
        <v/>
      </c>
      <c r="B20" s="22" t="inlineStr">
        <is>
          <t>mit.rsub.all.all</t>
        </is>
      </c>
      <c r="C20" s="14">
        <f>IFERROR(INDEX(MitDesc,$AA20),"code not found")</f>
        <v/>
      </c>
      <c r="D20" s="14">
        <f>IFERROR(INDEX(MitUnit,$AA20),"")</f>
        <v/>
      </c>
      <c r="E20" s="10">
        <f>E19</f>
        <v/>
      </c>
      <c r="F20" s="46">
        <f>IFERROR(INDEX(MitAll,$AA20,$Z20+1+F$4-Settings!$C$7),"")</f>
        <v/>
      </c>
      <c r="G20" s="47">
        <f>IFERROR(INDEX(MitAll,$AA20,$Z20+1+G$4-Settings!$C$7),"")</f>
        <v/>
      </c>
      <c r="H20" s="47">
        <f>IFERROR(INDEX(MitAll,$AA20,$Z20+1+H$4-Settings!$C$7),"")</f>
        <v/>
      </c>
      <c r="I20" s="47">
        <f>IFERROR(INDEX(MitAll,$AA20,$Z20+1+I$4-Settings!$C$7),"")</f>
        <v/>
      </c>
      <c r="J20" s="47">
        <f>IFERROR(INDEX(MitAll,$AA20,$Z20+1+J$4-Settings!$C$7),"")</f>
        <v/>
      </c>
      <c r="K20" s="47">
        <f>IFERROR(INDEX(MitAll,$AA20,$Z20+1+K$4-Settings!$C$7),"")</f>
        <v/>
      </c>
      <c r="L20" s="47">
        <f>IFERROR(INDEX(MitAll,$AA20,$Z20+1+L$4-Settings!$C$7),"")</f>
        <v/>
      </c>
      <c r="M20" s="47">
        <f>IFERROR(INDEX(MitAll,$AA20,$Z20+1+M$4-Settings!$C$7),"")</f>
        <v/>
      </c>
      <c r="N20" s="47">
        <f>IFERROR(INDEX(MitAll,$AA20,$Z20+1+N$4-Settings!$C$7),"")</f>
        <v/>
      </c>
      <c r="O20" s="47">
        <f>IFERROR(INDEX(MitAll,$AA20,$Z20+1+O$4-Settings!$C$7),"")</f>
        <v/>
      </c>
      <c r="P20" s="47">
        <f>IFERROR(INDEX(MitAll,$AA20,$Z20+1+P$4-Settings!$C$7),"")</f>
        <v/>
      </c>
      <c r="Q20" s="47">
        <f>IFERROR(INDEX(MitAll,$AA20,$Z20+1+Q$4-Settings!$C$7),"")</f>
        <v/>
      </c>
      <c r="R20" s="47">
        <f>IFERROR(INDEX(MitAll,$AA20,$Z20+1+R$4-Settings!$C$7),"")</f>
        <v/>
      </c>
      <c r="S20" s="47">
        <f>IFERROR(INDEX(MitAll,$AA20,$Z20+1+S$4-Settings!$C$7),"")</f>
        <v/>
      </c>
      <c r="T20" s="47">
        <f>IFERROR(INDEX(MitAll,$AA20,$Z20+1+T$4-Settings!$C$7),"")</f>
        <v/>
      </c>
      <c r="U20" s="47">
        <f>IFERROR(INDEX(MitAll,$AA20,$Z20+1+U$4-Settings!$C$7),"")</f>
        <v/>
      </c>
      <c r="V20" s="47">
        <f>IFERROR(INDEX(MitAll,$AA20,$Z20+1+V$4-Settings!$C$7),"")</f>
        <v/>
      </c>
      <c r="W20" s="47">
        <f>IFERROR(INDEX(MitAll,$AA20,$Z20+1+W$4-Settings!$C$7),"")</f>
        <v/>
      </c>
      <c r="X20" s="47">
        <f>IFERROR(INDEX(MitAll,$AA20,$Z20+1+X$4-Settings!$C$7),"")</f>
        <v/>
      </c>
      <c r="Y20" s="47">
        <f>IFERROR(INDEX(MitAll,$AA20,$Z20+1+Y$4-Settings!$C$7),"")</f>
        <v/>
      </c>
      <c r="Z20" s="10">
        <f>MATCH($E20,MitScen,0)</f>
        <v/>
      </c>
      <c r="AA20" s="10">
        <f>MATCH($A20,INDEX(MitAll,0,$Z20),0)</f>
        <v/>
      </c>
    </row>
    <row r="21">
      <c r="A21" s="11">
        <f>LOWER(Settings!$C$4)&amp;"."&amp;$B21&amp;"."&amp;$E21</f>
        <v/>
      </c>
      <c r="B21" s="22" t="inlineStr">
        <is>
          <t>mit.rnew.all.all</t>
        </is>
      </c>
      <c r="C21" s="14">
        <f>IFERROR(INDEX(MitDesc,$AA21),"code not found")</f>
        <v/>
      </c>
      <c r="D21" s="14">
        <f>IFERROR(INDEX(MitUnit,$AA21),"")</f>
        <v/>
      </c>
      <c r="E21" s="10">
        <f>E20</f>
        <v/>
      </c>
      <c r="F21" s="46">
        <f>IFERROR(INDEX(MitAll,$AA21,$Z21+1+F$4-Settings!$C$7),"")</f>
        <v/>
      </c>
      <c r="G21" s="47">
        <f>IFERROR(INDEX(MitAll,$AA21,$Z21+1+G$4-Settings!$C$7),"")</f>
        <v/>
      </c>
      <c r="H21" s="47">
        <f>IFERROR(INDEX(MitAll,$AA21,$Z21+1+H$4-Settings!$C$7),"")</f>
        <v/>
      </c>
      <c r="I21" s="47">
        <f>IFERROR(INDEX(MitAll,$AA21,$Z21+1+I$4-Settings!$C$7),"")</f>
        <v/>
      </c>
      <c r="J21" s="47">
        <f>IFERROR(INDEX(MitAll,$AA21,$Z21+1+J$4-Settings!$C$7),"")</f>
        <v/>
      </c>
      <c r="K21" s="47">
        <f>IFERROR(INDEX(MitAll,$AA21,$Z21+1+K$4-Settings!$C$7),"")</f>
        <v/>
      </c>
      <c r="L21" s="47">
        <f>IFERROR(INDEX(MitAll,$AA21,$Z21+1+L$4-Settings!$C$7),"")</f>
        <v/>
      </c>
      <c r="M21" s="47">
        <f>IFERROR(INDEX(MitAll,$AA21,$Z21+1+M$4-Settings!$C$7),"")</f>
        <v/>
      </c>
      <c r="N21" s="47">
        <f>IFERROR(INDEX(MitAll,$AA21,$Z21+1+N$4-Settings!$C$7),"")</f>
        <v/>
      </c>
      <c r="O21" s="47">
        <f>IFERROR(INDEX(MitAll,$AA21,$Z21+1+O$4-Settings!$C$7),"")</f>
        <v/>
      </c>
      <c r="P21" s="47">
        <f>IFERROR(INDEX(MitAll,$AA21,$Z21+1+P$4-Settings!$C$7),"")</f>
        <v/>
      </c>
      <c r="Q21" s="47">
        <f>IFERROR(INDEX(MitAll,$AA21,$Z21+1+Q$4-Settings!$C$7),"")</f>
        <v/>
      </c>
      <c r="R21" s="47">
        <f>IFERROR(INDEX(MitAll,$AA21,$Z21+1+R$4-Settings!$C$7),"")</f>
        <v/>
      </c>
      <c r="S21" s="47">
        <f>IFERROR(INDEX(MitAll,$AA21,$Z21+1+S$4-Settings!$C$7),"")</f>
        <v/>
      </c>
      <c r="T21" s="47">
        <f>IFERROR(INDEX(MitAll,$AA21,$Z21+1+T$4-Settings!$C$7),"")</f>
        <v/>
      </c>
      <c r="U21" s="47">
        <f>IFERROR(INDEX(MitAll,$AA21,$Z21+1+U$4-Settings!$C$7),"")</f>
        <v/>
      </c>
      <c r="V21" s="47">
        <f>IFERROR(INDEX(MitAll,$AA21,$Z21+1+V$4-Settings!$C$7),"")</f>
        <v/>
      </c>
      <c r="W21" s="47">
        <f>IFERROR(INDEX(MitAll,$AA21,$Z21+1+W$4-Settings!$C$7),"")</f>
        <v/>
      </c>
      <c r="X21" s="47">
        <f>IFERROR(INDEX(MitAll,$AA21,$Z21+1+X$4-Settings!$C$7),"")</f>
        <v/>
      </c>
      <c r="Y21" s="47">
        <f>IFERROR(INDEX(MitAll,$AA21,$Z21+1+Y$4-Settings!$C$7),"")</f>
        <v/>
      </c>
      <c r="Z21" s="10">
        <f>MATCH($E21,MitScen,0)</f>
        <v/>
      </c>
      <c r="AA21" s="10">
        <f>MATCH($A21,INDEX(MitAll,0,$Z21),0)</f>
        <v/>
      </c>
    </row>
    <row r="22">
      <c r="A22" s="11">
        <f>LOWER(Settings!$C$4)&amp;"."&amp;$B22&amp;"."&amp;$E22</f>
        <v/>
      </c>
      <c r="B22" s="22" t="inlineStr">
        <is>
          <t>mit.rtot.all.all</t>
        </is>
      </c>
      <c r="C22" s="14">
        <f>IFERROR(INDEX(MitDesc,$AA22),"code not found")</f>
        <v/>
      </c>
      <c r="D22" s="14">
        <f>IFERROR(INDEX(MitUnit,$AA22),"")</f>
        <v/>
      </c>
      <c r="E22" s="10">
        <f>E21</f>
        <v/>
      </c>
      <c r="F22" s="46">
        <f>IFERROR(INDEX(MitAll,$AA22,$Z22+1+F$4-Settings!$C$7),"")</f>
        <v/>
      </c>
      <c r="G22" s="47">
        <f>IFERROR(INDEX(MitAll,$AA22,$Z22+1+G$4-Settings!$C$7),"")</f>
        <v/>
      </c>
      <c r="H22" s="47">
        <f>IFERROR(INDEX(MitAll,$AA22,$Z22+1+H$4-Settings!$C$7),"")</f>
        <v/>
      </c>
      <c r="I22" s="47">
        <f>IFERROR(INDEX(MitAll,$AA22,$Z22+1+I$4-Settings!$C$7),"")</f>
        <v/>
      </c>
      <c r="J22" s="47">
        <f>IFERROR(INDEX(MitAll,$AA22,$Z22+1+J$4-Settings!$C$7),"")</f>
        <v/>
      </c>
      <c r="K22" s="47">
        <f>IFERROR(INDEX(MitAll,$AA22,$Z22+1+K$4-Settings!$C$7),"")</f>
        <v/>
      </c>
      <c r="L22" s="47">
        <f>IFERROR(INDEX(MitAll,$AA22,$Z22+1+L$4-Settings!$C$7),"")</f>
        <v/>
      </c>
      <c r="M22" s="47">
        <f>IFERROR(INDEX(MitAll,$AA22,$Z22+1+M$4-Settings!$C$7),"")</f>
        <v/>
      </c>
      <c r="N22" s="47">
        <f>IFERROR(INDEX(MitAll,$AA22,$Z22+1+N$4-Settings!$C$7),"")</f>
        <v/>
      </c>
      <c r="O22" s="47">
        <f>IFERROR(INDEX(MitAll,$AA22,$Z22+1+O$4-Settings!$C$7),"")</f>
        <v/>
      </c>
      <c r="P22" s="47">
        <f>IFERROR(INDEX(MitAll,$AA22,$Z22+1+P$4-Settings!$C$7),"")</f>
        <v/>
      </c>
      <c r="Q22" s="47">
        <f>IFERROR(INDEX(MitAll,$AA22,$Z22+1+Q$4-Settings!$C$7),"")</f>
        <v/>
      </c>
      <c r="R22" s="47">
        <f>IFERROR(INDEX(MitAll,$AA22,$Z22+1+R$4-Settings!$C$7),"")</f>
        <v/>
      </c>
      <c r="S22" s="47">
        <f>IFERROR(INDEX(MitAll,$AA22,$Z22+1+S$4-Settings!$C$7),"")</f>
        <v/>
      </c>
      <c r="T22" s="47">
        <f>IFERROR(INDEX(MitAll,$AA22,$Z22+1+T$4-Settings!$C$7),"")</f>
        <v/>
      </c>
      <c r="U22" s="47">
        <f>IFERROR(INDEX(MitAll,$AA22,$Z22+1+U$4-Settings!$C$7),"")</f>
        <v/>
      </c>
      <c r="V22" s="47">
        <f>IFERROR(INDEX(MitAll,$AA22,$Z22+1+V$4-Settings!$C$7),"")</f>
        <v/>
      </c>
      <c r="W22" s="47">
        <f>IFERROR(INDEX(MitAll,$AA22,$Z22+1+W$4-Settings!$C$7),"")</f>
        <v/>
      </c>
      <c r="X22" s="47">
        <f>IFERROR(INDEX(MitAll,$AA22,$Z22+1+X$4-Settings!$C$7),"")</f>
        <v/>
      </c>
      <c r="Y22" s="47">
        <f>IFERROR(INDEX(MitAll,$AA22,$Z22+1+Y$4-Settings!$C$7),"")</f>
        <v/>
      </c>
      <c r="Z22" s="10">
        <f>MATCH($E22,MitScen,0)</f>
        <v/>
      </c>
      <c r="AA22" s="10">
        <f>MATCH($A22,INDEX(MitAll,0,$Z22),0)</f>
        <v/>
      </c>
    </row>
    <row r="23">
      <c r="A23" s="11">
        <f>LOWER(Settings!$C$4)&amp;"."&amp;$B23&amp;"."&amp;$E23</f>
        <v/>
      </c>
      <c r="B23" s="22" t="inlineStr">
        <is>
          <t>mit.rtot.chg.all.all</t>
        </is>
      </c>
      <c r="C23" s="14">
        <f>IFERROR(INDEX(MitDesc,$AA23),"code not found")</f>
        <v/>
      </c>
      <c r="D23" s="14">
        <f>IFERROR(INDEX(MitUnit,$AA23),"")</f>
        <v/>
      </c>
      <c r="E23" s="10">
        <f>E22</f>
        <v/>
      </c>
      <c r="F23" s="46">
        <f>IFERROR(INDEX(MitAll,$AA23,$Z23+1+F$4-Settings!$C$7),"")</f>
        <v/>
      </c>
      <c r="G23" s="47">
        <f>IFERROR(INDEX(MitAll,$AA23,$Z23+1+G$4-Settings!$C$7),"")</f>
        <v/>
      </c>
      <c r="H23" s="47">
        <f>IFERROR(INDEX(MitAll,$AA23,$Z23+1+H$4-Settings!$C$7),"")</f>
        <v/>
      </c>
      <c r="I23" s="47">
        <f>IFERROR(INDEX(MitAll,$AA23,$Z23+1+I$4-Settings!$C$7),"")</f>
        <v/>
      </c>
      <c r="J23" s="47">
        <f>IFERROR(INDEX(MitAll,$AA23,$Z23+1+J$4-Settings!$C$7),"")</f>
        <v/>
      </c>
      <c r="K23" s="47">
        <f>IFERROR(INDEX(MitAll,$AA23,$Z23+1+K$4-Settings!$C$7),"")</f>
        <v/>
      </c>
      <c r="L23" s="47">
        <f>IFERROR(INDEX(MitAll,$AA23,$Z23+1+L$4-Settings!$C$7),"")</f>
        <v/>
      </c>
      <c r="M23" s="47">
        <f>IFERROR(INDEX(MitAll,$AA23,$Z23+1+M$4-Settings!$C$7),"")</f>
        <v/>
      </c>
      <c r="N23" s="47">
        <f>IFERROR(INDEX(MitAll,$AA23,$Z23+1+N$4-Settings!$C$7),"")</f>
        <v/>
      </c>
      <c r="O23" s="47">
        <f>IFERROR(INDEX(MitAll,$AA23,$Z23+1+O$4-Settings!$C$7),"")</f>
        <v/>
      </c>
      <c r="P23" s="47">
        <f>IFERROR(INDEX(MitAll,$AA23,$Z23+1+P$4-Settings!$C$7),"")</f>
        <v/>
      </c>
      <c r="Q23" s="47">
        <f>IFERROR(INDEX(MitAll,$AA23,$Z23+1+Q$4-Settings!$C$7),"")</f>
        <v/>
      </c>
      <c r="R23" s="47">
        <f>IFERROR(INDEX(MitAll,$AA23,$Z23+1+R$4-Settings!$C$7),"")</f>
        <v/>
      </c>
      <c r="S23" s="47">
        <f>IFERROR(INDEX(MitAll,$AA23,$Z23+1+S$4-Settings!$C$7),"")</f>
        <v/>
      </c>
      <c r="T23" s="47">
        <f>IFERROR(INDEX(MitAll,$AA23,$Z23+1+T$4-Settings!$C$7),"")</f>
        <v/>
      </c>
      <c r="U23" s="47">
        <f>IFERROR(INDEX(MitAll,$AA23,$Z23+1+U$4-Settings!$C$7),"")</f>
        <v/>
      </c>
      <c r="V23" s="47">
        <f>IFERROR(INDEX(MitAll,$AA23,$Z23+1+V$4-Settings!$C$7),"")</f>
        <v/>
      </c>
      <c r="W23" s="47">
        <f>IFERROR(INDEX(MitAll,$AA23,$Z23+1+W$4-Settings!$C$7),"")</f>
        <v/>
      </c>
      <c r="X23" s="47">
        <f>IFERROR(INDEX(MitAll,$AA23,$Z23+1+X$4-Settings!$C$7),"")</f>
        <v/>
      </c>
      <c r="Y23" s="47">
        <f>IFERROR(INDEX(MitAll,$AA23,$Z23+1+Y$4-Settings!$C$7),"")</f>
        <v/>
      </c>
      <c r="Z23" s="10">
        <f>MATCH($E23,MitScen,0)</f>
        <v/>
      </c>
      <c r="AA23" s="10">
        <f>MATCH($A23,INDEX(MitAll,0,$Z23),0)</f>
        <v/>
      </c>
    </row>
    <row r="24">
      <c r="A24" s="11">
        <f>LOWER(Settings!$C$4)&amp;"."&amp;$B24&amp;"."&amp;$E24</f>
        <v/>
      </c>
      <c r="B24" s="22" t="inlineStr">
        <is>
          <t>mit.ener.pow.all.e</t>
        </is>
      </c>
      <c r="C24" s="14">
        <f>IFERROR(INDEX(MitDesc,$AA24),"code not found")</f>
        <v/>
      </c>
      <c r="D24" s="14">
        <f>IFERROR(INDEX(MitUnit,$AA24),"")</f>
        <v/>
      </c>
      <c r="E24" s="10">
        <f>E23</f>
        <v/>
      </c>
      <c r="F24" s="46">
        <f>IFERROR(INDEX(MitAll,$AA24,$Z24+1+F$4-Settings!$C$7),"")</f>
        <v/>
      </c>
      <c r="G24" s="47">
        <f>IFERROR(INDEX(MitAll,$AA24,$Z24+1+G$4-Settings!$C$7),"")</f>
        <v/>
      </c>
      <c r="H24" s="47">
        <f>IFERROR(INDEX(MitAll,$AA24,$Z24+1+H$4-Settings!$C$7),"")</f>
        <v/>
      </c>
      <c r="I24" s="47">
        <f>IFERROR(INDEX(MitAll,$AA24,$Z24+1+I$4-Settings!$C$7),"")</f>
        <v/>
      </c>
      <c r="J24" s="47">
        <f>IFERROR(INDEX(MitAll,$AA24,$Z24+1+J$4-Settings!$C$7),"")</f>
        <v/>
      </c>
      <c r="K24" s="47">
        <f>IFERROR(INDEX(MitAll,$AA24,$Z24+1+K$4-Settings!$C$7),"")</f>
        <v/>
      </c>
      <c r="L24" s="47">
        <f>IFERROR(INDEX(MitAll,$AA24,$Z24+1+L$4-Settings!$C$7),"")</f>
        <v/>
      </c>
      <c r="M24" s="47">
        <f>IFERROR(INDEX(MitAll,$AA24,$Z24+1+M$4-Settings!$C$7),"")</f>
        <v/>
      </c>
      <c r="N24" s="47">
        <f>IFERROR(INDEX(MitAll,$AA24,$Z24+1+N$4-Settings!$C$7),"")</f>
        <v/>
      </c>
      <c r="O24" s="47">
        <f>IFERROR(INDEX(MitAll,$AA24,$Z24+1+O$4-Settings!$C$7),"")</f>
        <v/>
      </c>
      <c r="P24" s="47">
        <f>IFERROR(INDEX(MitAll,$AA24,$Z24+1+P$4-Settings!$C$7),"")</f>
        <v/>
      </c>
      <c r="Q24" s="47">
        <f>IFERROR(INDEX(MitAll,$AA24,$Z24+1+Q$4-Settings!$C$7),"")</f>
        <v/>
      </c>
      <c r="R24" s="47">
        <f>IFERROR(INDEX(MitAll,$AA24,$Z24+1+R$4-Settings!$C$7),"")</f>
        <v/>
      </c>
      <c r="S24" s="47">
        <f>IFERROR(INDEX(MitAll,$AA24,$Z24+1+S$4-Settings!$C$7),"")</f>
        <v/>
      </c>
      <c r="T24" s="47">
        <f>IFERROR(INDEX(MitAll,$AA24,$Z24+1+T$4-Settings!$C$7),"")</f>
        <v/>
      </c>
      <c r="U24" s="47">
        <f>IFERROR(INDEX(MitAll,$AA24,$Z24+1+U$4-Settings!$C$7),"")</f>
        <v/>
      </c>
      <c r="V24" s="47">
        <f>IFERROR(INDEX(MitAll,$AA24,$Z24+1+V$4-Settings!$C$7),"")</f>
        <v/>
      </c>
      <c r="W24" s="47">
        <f>IFERROR(INDEX(MitAll,$AA24,$Z24+1+W$4-Settings!$C$7),"")</f>
        <v/>
      </c>
      <c r="X24" s="47">
        <f>IFERROR(INDEX(MitAll,$AA24,$Z24+1+X$4-Settings!$C$7),"")</f>
        <v/>
      </c>
      <c r="Y24" s="47">
        <f>IFERROR(INDEX(MitAll,$AA24,$Z24+1+Y$4-Settings!$C$7),"")</f>
        <v/>
      </c>
      <c r="Z24" s="10">
        <f>MATCH($E24,MitScen,0)</f>
        <v/>
      </c>
      <c r="AA24" s="10">
        <f>MATCH($A24,INDEX(MitAll,0,$Z24),0)</f>
        <v/>
      </c>
    </row>
    <row r="25">
      <c r="A25" s="11">
        <f>LOWER(Settings!$C$4)&amp;"."&amp;$B25&amp;"."&amp;$E25</f>
        <v/>
      </c>
      <c r="B25" s="22" t="inlineStr">
        <is>
          <t>mit.rtx.pow.all</t>
        </is>
      </c>
      <c r="C25" s="14">
        <f>IFERROR(INDEX(MitDesc,$AA25),"code not found")</f>
        <v/>
      </c>
      <c r="D25" s="14">
        <f>IFERROR(INDEX(MitUnit,$AA25),"")</f>
        <v/>
      </c>
      <c r="E25" s="10">
        <f>E24</f>
        <v/>
      </c>
      <c r="F25" s="46">
        <f>IFERROR(INDEX(MitAll,$AA25,$Z25+1+F$4-Settings!$C$7),"")</f>
        <v/>
      </c>
      <c r="G25" s="47">
        <f>IFERROR(INDEX(MitAll,$AA25,$Z25+1+G$4-Settings!$C$7),"")</f>
        <v/>
      </c>
      <c r="H25" s="47">
        <f>IFERROR(INDEX(MitAll,$AA25,$Z25+1+H$4-Settings!$C$7),"")</f>
        <v/>
      </c>
      <c r="I25" s="47">
        <f>IFERROR(INDEX(MitAll,$AA25,$Z25+1+I$4-Settings!$C$7),"")</f>
        <v/>
      </c>
      <c r="J25" s="47">
        <f>IFERROR(INDEX(MitAll,$AA25,$Z25+1+J$4-Settings!$C$7),"")</f>
        <v/>
      </c>
      <c r="K25" s="47">
        <f>IFERROR(INDEX(MitAll,$AA25,$Z25+1+K$4-Settings!$C$7),"")</f>
        <v/>
      </c>
      <c r="L25" s="47">
        <f>IFERROR(INDEX(MitAll,$AA25,$Z25+1+L$4-Settings!$C$7),"")</f>
        <v/>
      </c>
      <c r="M25" s="47">
        <f>IFERROR(INDEX(MitAll,$AA25,$Z25+1+M$4-Settings!$C$7),"")</f>
        <v/>
      </c>
      <c r="N25" s="47">
        <f>IFERROR(INDEX(MitAll,$AA25,$Z25+1+N$4-Settings!$C$7),"")</f>
        <v/>
      </c>
      <c r="O25" s="47">
        <f>IFERROR(INDEX(MitAll,$AA25,$Z25+1+O$4-Settings!$C$7),"")</f>
        <v/>
      </c>
      <c r="P25" s="47">
        <f>IFERROR(INDEX(MitAll,$AA25,$Z25+1+P$4-Settings!$C$7),"")</f>
        <v/>
      </c>
      <c r="Q25" s="47">
        <f>IFERROR(INDEX(MitAll,$AA25,$Z25+1+Q$4-Settings!$C$7),"")</f>
        <v/>
      </c>
      <c r="R25" s="47">
        <f>IFERROR(INDEX(MitAll,$AA25,$Z25+1+R$4-Settings!$C$7),"")</f>
        <v/>
      </c>
      <c r="S25" s="47">
        <f>IFERROR(INDEX(MitAll,$AA25,$Z25+1+S$4-Settings!$C$7),"")</f>
        <v/>
      </c>
      <c r="T25" s="47">
        <f>IFERROR(INDEX(MitAll,$AA25,$Z25+1+T$4-Settings!$C$7),"")</f>
        <v/>
      </c>
      <c r="U25" s="47">
        <f>IFERROR(INDEX(MitAll,$AA25,$Z25+1+U$4-Settings!$C$7),"")</f>
        <v/>
      </c>
      <c r="V25" s="47">
        <f>IFERROR(INDEX(MitAll,$AA25,$Z25+1+V$4-Settings!$C$7),"")</f>
        <v/>
      </c>
      <c r="W25" s="47">
        <f>IFERROR(INDEX(MitAll,$AA25,$Z25+1+W$4-Settings!$C$7),"")</f>
        <v/>
      </c>
      <c r="X25" s="47">
        <f>IFERROR(INDEX(MitAll,$AA25,$Z25+1+X$4-Settings!$C$7),"")</f>
        <v/>
      </c>
      <c r="Y25" s="47">
        <f>IFERROR(INDEX(MitAll,$AA25,$Z25+1+Y$4-Settings!$C$7),"")</f>
        <v/>
      </c>
      <c r="Z25" s="10">
        <f>MATCH($E25,MitScen,0)</f>
        <v/>
      </c>
      <c r="AA25" s="10">
        <f>MATCH($A25,INDEX(MitAll,0,$Z25),0)</f>
        <v/>
      </c>
    </row>
    <row r="26">
      <c r="A26" s="11">
        <f>LOWER(Settings!$C$4)&amp;"."&amp;$B26&amp;"."&amp;$E26</f>
        <v/>
      </c>
      <c r="B26" s="22" t="inlineStr">
        <is>
          <t>mit.rsub.pow.all</t>
        </is>
      </c>
      <c r="C26" s="14">
        <f>IFERROR(INDEX(MitDesc,$AA26),"code not found")</f>
        <v/>
      </c>
      <c r="D26" s="14">
        <f>IFERROR(INDEX(MitUnit,$AA26),"")</f>
        <v/>
      </c>
      <c r="E26" s="10">
        <f>E25</f>
        <v/>
      </c>
      <c r="F26" s="46">
        <f>IFERROR(INDEX(MitAll,$AA26,$Z26+1+F$4-Settings!$C$7),"")</f>
        <v/>
      </c>
      <c r="G26" s="47">
        <f>IFERROR(INDEX(MitAll,$AA26,$Z26+1+G$4-Settings!$C$7),"")</f>
        <v/>
      </c>
      <c r="H26" s="47">
        <f>IFERROR(INDEX(MitAll,$AA26,$Z26+1+H$4-Settings!$C$7),"")</f>
        <v/>
      </c>
      <c r="I26" s="47">
        <f>IFERROR(INDEX(MitAll,$AA26,$Z26+1+I$4-Settings!$C$7),"")</f>
        <v/>
      </c>
      <c r="J26" s="47">
        <f>IFERROR(INDEX(MitAll,$AA26,$Z26+1+J$4-Settings!$C$7),"")</f>
        <v/>
      </c>
      <c r="K26" s="47">
        <f>IFERROR(INDEX(MitAll,$AA26,$Z26+1+K$4-Settings!$C$7),"")</f>
        <v/>
      </c>
      <c r="L26" s="47">
        <f>IFERROR(INDEX(MitAll,$AA26,$Z26+1+L$4-Settings!$C$7),"")</f>
        <v/>
      </c>
      <c r="M26" s="47">
        <f>IFERROR(INDEX(MitAll,$AA26,$Z26+1+M$4-Settings!$C$7),"")</f>
        <v/>
      </c>
      <c r="N26" s="47">
        <f>IFERROR(INDEX(MitAll,$AA26,$Z26+1+N$4-Settings!$C$7),"")</f>
        <v/>
      </c>
      <c r="O26" s="47">
        <f>IFERROR(INDEX(MitAll,$AA26,$Z26+1+O$4-Settings!$C$7),"")</f>
        <v/>
      </c>
      <c r="P26" s="47">
        <f>IFERROR(INDEX(MitAll,$AA26,$Z26+1+P$4-Settings!$C$7),"")</f>
        <v/>
      </c>
      <c r="Q26" s="47">
        <f>IFERROR(INDEX(MitAll,$AA26,$Z26+1+Q$4-Settings!$C$7),"")</f>
        <v/>
      </c>
      <c r="R26" s="47">
        <f>IFERROR(INDEX(MitAll,$AA26,$Z26+1+R$4-Settings!$C$7),"")</f>
        <v/>
      </c>
      <c r="S26" s="47">
        <f>IFERROR(INDEX(MitAll,$AA26,$Z26+1+S$4-Settings!$C$7),"")</f>
        <v/>
      </c>
      <c r="T26" s="47">
        <f>IFERROR(INDEX(MitAll,$AA26,$Z26+1+T$4-Settings!$C$7),"")</f>
        <v/>
      </c>
      <c r="U26" s="47">
        <f>IFERROR(INDEX(MitAll,$AA26,$Z26+1+U$4-Settings!$C$7),"")</f>
        <v/>
      </c>
      <c r="V26" s="47">
        <f>IFERROR(INDEX(MitAll,$AA26,$Z26+1+V$4-Settings!$C$7),"")</f>
        <v/>
      </c>
      <c r="W26" s="47">
        <f>IFERROR(INDEX(MitAll,$AA26,$Z26+1+W$4-Settings!$C$7),"")</f>
        <v/>
      </c>
      <c r="X26" s="47">
        <f>IFERROR(INDEX(MitAll,$AA26,$Z26+1+X$4-Settings!$C$7),"")</f>
        <v/>
      </c>
      <c r="Y26" s="47">
        <f>IFERROR(INDEX(MitAll,$AA26,$Z26+1+Y$4-Settings!$C$7),"")</f>
        <v/>
      </c>
      <c r="Z26" s="10">
        <f>MATCH($E26,MitScen,0)</f>
        <v/>
      </c>
      <c r="AA26" s="10">
        <f>MATCH($A26,INDEX(MitAll,0,$Z26),0)</f>
        <v/>
      </c>
    </row>
    <row r="27">
      <c r="A27" s="11">
        <f>LOWER(Settings!$C$4)&amp;"."&amp;$B27&amp;"."&amp;$E27</f>
        <v/>
      </c>
      <c r="B27" s="22" t="inlineStr">
        <is>
          <t>mit.rnew.pow.all</t>
        </is>
      </c>
      <c r="C27" s="14">
        <f>IFERROR(INDEX(MitDesc,$AA27),"code not found")</f>
        <v/>
      </c>
      <c r="D27" s="14">
        <f>IFERROR(INDEX(MitUnit,$AA27),"")</f>
        <v/>
      </c>
      <c r="E27" s="10">
        <f>E26</f>
        <v/>
      </c>
      <c r="F27" s="46">
        <f>IFERROR(INDEX(MitAll,$AA27,$Z27+1+F$4-Settings!$C$7),"")</f>
        <v/>
      </c>
      <c r="G27" s="47">
        <f>IFERROR(INDEX(MitAll,$AA27,$Z27+1+G$4-Settings!$C$7),"")</f>
        <v/>
      </c>
      <c r="H27" s="47">
        <f>IFERROR(INDEX(MitAll,$AA27,$Z27+1+H$4-Settings!$C$7),"")</f>
        <v/>
      </c>
      <c r="I27" s="47">
        <f>IFERROR(INDEX(MitAll,$AA27,$Z27+1+I$4-Settings!$C$7),"")</f>
        <v/>
      </c>
      <c r="J27" s="47">
        <f>IFERROR(INDEX(MitAll,$AA27,$Z27+1+J$4-Settings!$C$7),"")</f>
        <v/>
      </c>
      <c r="K27" s="47">
        <f>IFERROR(INDEX(MitAll,$AA27,$Z27+1+K$4-Settings!$C$7),"")</f>
        <v/>
      </c>
      <c r="L27" s="47">
        <f>IFERROR(INDEX(MitAll,$AA27,$Z27+1+L$4-Settings!$C$7),"")</f>
        <v/>
      </c>
      <c r="M27" s="47">
        <f>IFERROR(INDEX(MitAll,$AA27,$Z27+1+M$4-Settings!$C$7),"")</f>
        <v/>
      </c>
      <c r="N27" s="47">
        <f>IFERROR(INDEX(MitAll,$AA27,$Z27+1+N$4-Settings!$C$7),"")</f>
        <v/>
      </c>
      <c r="O27" s="47">
        <f>IFERROR(INDEX(MitAll,$AA27,$Z27+1+O$4-Settings!$C$7),"")</f>
        <v/>
      </c>
      <c r="P27" s="47">
        <f>IFERROR(INDEX(MitAll,$AA27,$Z27+1+P$4-Settings!$C$7),"")</f>
        <v/>
      </c>
      <c r="Q27" s="47">
        <f>IFERROR(INDEX(MitAll,$AA27,$Z27+1+Q$4-Settings!$C$7),"")</f>
        <v/>
      </c>
      <c r="R27" s="47">
        <f>IFERROR(INDEX(MitAll,$AA27,$Z27+1+R$4-Settings!$C$7),"")</f>
        <v/>
      </c>
      <c r="S27" s="47">
        <f>IFERROR(INDEX(MitAll,$AA27,$Z27+1+S$4-Settings!$C$7),"")</f>
        <v/>
      </c>
      <c r="T27" s="47">
        <f>IFERROR(INDEX(MitAll,$AA27,$Z27+1+T$4-Settings!$C$7),"")</f>
        <v/>
      </c>
      <c r="U27" s="47">
        <f>IFERROR(INDEX(MitAll,$AA27,$Z27+1+U$4-Settings!$C$7),"")</f>
        <v/>
      </c>
      <c r="V27" s="47">
        <f>IFERROR(INDEX(MitAll,$AA27,$Z27+1+V$4-Settings!$C$7),"")</f>
        <v/>
      </c>
      <c r="W27" s="47">
        <f>IFERROR(INDEX(MitAll,$AA27,$Z27+1+W$4-Settings!$C$7),"")</f>
        <v/>
      </c>
      <c r="X27" s="47">
        <f>IFERROR(INDEX(MitAll,$AA27,$Z27+1+X$4-Settings!$C$7),"")</f>
        <v/>
      </c>
      <c r="Y27" s="47">
        <f>IFERROR(INDEX(MitAll,$AA27,$Z27+1+Y$4-Settings!$C$7),"")</f>
        <v/>
      </c>
      <c r="Z27" s="10">
        <f>MATCH($E27,MitScen,0)</f>
        <v/>
      </c>
      <c r="AA27" s="10">
        <f>MATCH($A27,INDEX(MitAll,0,$Z27),0)</f>
        <v/>
      </c>
    </row>
    <row r="28">
      <c r="A28" s="11">
        <f>LOWER(Settings!$C$4)&amp;"."&amp;$B28&amp;"."&amp;$E28</f>
        <v/>
      </c>
      <c r="B28" s="22" t="inlineStr">
        <is>
          <t>mit.rxcp.all.all</t>
        </is>
      </c>
      <c r="C28" s="14">
        <f>IFERROR(INDEX(MitDesc,$AA28),"code not found")</f>
        <v/>
      </c>
      <c r="D28" s="14">
        <f>IFERROR(INDEX(MitUnit,$AA28),"")</f>
        <v/>
      </c>
      <c r="E28" s="10">
        <f>E27</f>
        <v/>
      </c>
      <c r="F28" s="46">
        <f>IFERROR(INDEX(MitAll,$AA28,$Z28+1+F$4-Settings!$C$7),"")</f>
        <v/>
      </c>
      <c r="G28" s="47">
        <f>IFERROR(INDEX(MitAll,$AA28,$Z28+1+G$4-Settings!$C$7),"")</f>
        <v/>
      </c>
      <c r="H28" s="47">
        <f>IFERROR(INDEX(MitAll,$AA28,$Z28+1+H$4-Settings!$C$7),"")</f>
        <v/>
      </c>
      <c r="I28" s="47">
        <f>IFERROR(INDEX(MitAll,$AA28,$Z28+1+I$4-Settings!$C$7),"")</f>
        <v/>
      </c>
      <c r="J28" s="47">
        <f>IFERROR(INDEX(MitAll,$AA28,$Z28+1+J$4-Settings!$C$7),"")</f>
        <v/>
      </c>
      <c r="K28" s="47">
        <f>IFERROR(INDEX(MitAll,$AA28,$Z28+1+K$4-Settings!$C$7),"")</f>
        <v/>
      </c>
      <c r="L28" s="47">
        <f>IFERROR(INDEX(MitAll,$AA28,$Z28+1+L$4-Settings!$C$7),"")</f>
        <v/>
      </c>
      <c r="M28" s="47">
        <f>IFERROR(INDEX(MitAll,$AA28,$Z28+1+M$4-Settings!$C$7),"")</f>
        <v/>
      </c>
      <c r="N28" s="47">
        <f>IFERROR(INDEX(MitAll,$AA28,$Z28+1+N$4-Settings!$C$7),"")</f>
        <v/>
      </c>
      <c r="O28" s="47">
        <f>IFERROR(INDEX(MitAll,$AA28,$Z28+1+O$4-Settings!$C$7),"")</f>
        <v/>
      </c>
      <c r="P28" s="47">
        <f>IFERROR(INDEX(MitAll,$AA28,$Z28+1+P$4-Settings!$C$7),"")</f>
        <v/>
      </c>
      <c r="Q28" s="47">
        <f>IFERROR(INDEX(MitAll,$AA28,$Z28+1+Q$4-Settings!$C$7),"")</f>
        <v/>
      </c>
      <c r="R28" s="47">
        <f>IFERROR(INDEX(MitAll,$AA28,$Z28+1+R$4-Settings!$C$7),"")</f>
        <v/>
      </c>
      <c r="S28" s="47">
        <f>IFERROR(INDEX(MitAll,$AA28,$Z28+1+S$4-Settings!$C$7),"")</f>
        <v/>
      </c>
      <c r="T28" s="47">
        <f>IFERROR(INDEX(MitAll,$AA28,$Z28+1+T$4-Settings!$C$7),"")</f>
        <v/>
      </c>
      <c r="U28" s="47">
        <f>IFERROR(INDEX(MitAll,$AA28,$Z28+1+U$4-Settings!$C$7),"")</f>
        <v/>
      </c>
      <c r="V28" s="47">
        <f>IFERROR(INDEX(MitAll,$AA28,$Z28+1+V$4-Settings!$C$7),"")</f>
        <v/>
      </c>
      <c r="W28" s="47">
        <f>IFERROR(INDEX(MitAll,$AA28,$Z28+1+W$4-Settings!$C$7),"")</f>
        <v/>
      </c>
      <c r="X28" s="47">
        <f>IFERROR(INDEX(MitAll,$AA28,$Z28+1+X$4-Settings!$C$7),"")</f>
        <v/>
      </c>
      <c r="Y28" s="47">
        <f>IFERROR(INDEX(MitAll,$AA28,$Z28+1+Y$4-Settings!$C$7),"")</f>
        <v/>
      </c>
      <c r="Z28" s="10">
        <f>MATCH($E28,MitScen,0)</f>
        <v/>
      </c>
      <c r="AA28" s="10">
        <f>MATCH($A28,INDEX(MitAll,0,$Z28),0)</f>
        <v/>
      </c>
    </row>
    <row r="29">
      <c r="A29" s="11">
        <f>LOWER(Settings!$C$4)&amp;"."&amp;$B29&amp;"."&amp;$E29</f>
        <v/>
      </c>
      <c r="B29" s="22" t="inlineStr">
        <is>
          <t>mit.xct.p</t>
        </is>
      </c>
      <c r="C29" s="14">
        <f>IFERROR(INDEX(MitDesc,$AA29),"code not found")</f>
        <v/>
      </c>
      <c r="D29" s="14">
        <f>IFERROR(INDEX(MitUnit,$AA29),"")</f>
        <v/>
      </c>
      <c r="E29" s="10">
        <f>E28</f>
        <v/>
      </c>
      <c r="F29" s="23">
        <f>IFERROR(INDEX(MitAll,$AA29,$Z29+1+F$4-Settings!$C$7),"")</f>
        <v/>
      </c>
      <c r="G29" s="24">
        <f>IFERROR(INDEX(MitAll,$AA29,$Z29+1+G$4-Settings!$C$7),"")</f>
        <v/>
      </c>
      <c r="H29" s="24">
        <f>IFERROR(INDEX(MitAll,$AA29,$Z29+1+H$4-Settings!$C$7),"")</f>
        <v/>
      </c>
      <c r="I29" s="24">
        <f>IFERROR(INDEX(MitAll,$AA29,$Z29+1+I$4-Settings!$C$7),"")</f>
        <v/>
      </c>
      <c r="J29" s="24">
        <f>IFERROR(INDEX(MitAll,$AA29,$Z29+1+J$4-Settings!$C$7),"")</f>
        <v/>
      </c>
      <c r="K29" s="24">
        <f>IFERROR(INDEX(MitAll,$AA29,$Z29+1+K$4-Settings!$C$7),"")</f>
        <v/>
      </c>
      <c r="L29" s="24">
        <f>IFERROR(INDEX(MitAll,$AA29,$Z29+1+L$4-Settings!$C$7),"")</f>
        <v/>
      </c>
      <c r="M29" s="24">
        <f>IFERROR(INDEX(MitAll,$AA29,$Z29+1+M$4-Settings!$C$7),"")</f>
        <v/>
      </c>
      <c r="N29" s="24">
        <f>IFERROR(INDEX(MitAll,$AA29,$Z29+1+N$4-Settings!$C$7),"")</f>
        <v/>
      </c>
      <c r="O29" s="24">
        <f>IFERROR(INDEX(MitAll,$AA29,$Z29+1+O$4-Settings!$C$7),"")</f>
        <v/>
      </c>
      <c r="P29" s="24">
        <f>IFERROR(INDEX(MitAll,$AA29,$Z29+1+P$4-Settings!$C$7),"")</f>
        <v/>
      </c>
      <c r="Q29" s="24">
        <f>IFERROR(INDEX(MitAll,$AA29,$Z29+1+Q$4-Settings!$C$7),"")</f>
        <v/>
      </c>
      <c r="R29" s="24">
        <f>IFERROR(INDEX(MitAll,$AA29,$Z29+1+R$4-Settings!$C$7),"")</f>
        <v/>
      </c>
      <c r="S29" s="24">
        <f>IFERROR(INDEX(MitAll,$AA29,$Z29+1+S$4-Settings!$C$7),"")</f>
        <v/>
      </c>
      <c r="T29" s="24">
        <f>IFERROR(INDEX(MitAll,$AA29,$Z29+1+T$4-Settings!$C$7),"")</f>
        <v/>
      </c>
      <c r="U29" s="24">
        <f>IFERROR(INDEX(MitAll,$AA29,$Z29+1+U$4-Settings!$C$7),"")</f>
        <v/>
      </c>
      <c r="V29" s="24">
        <f>IFERROR(INDEX(MitAll,$AA29,$Z29+1+V$4-Settings!$C$7),"")</f>
        <v/>
      </c>
      <c r="W29" s="24">
        <f>IFERROR(INDEX(MitAll,$AA29,$Z29+1+W$4-Settings!$C$7),"")</f>
        <v/>
      </c>
      <c r="X29" s="24">
        <f>IFERROR(INDEX(MitAll,$AA29,$Z29+1+X$4-Settings!$C$7),"")</f>
        <v/>
      </c>
      <c r="Y29" s="24">
        <f>IFERROR(INDEX(MitAll,$AA29,$Z29+1+Y$4-Settings!$C$7),"")</f>
        <v/>
      </c>
      <c r="Z29" s="10">
        <f>MATCH($E29,MitScen,0)</f>
        <v/>
      </c>
      <c r="AA29" s="10">
        <f>MATCH($A29,INDEX(MitAll,0,$Z29),0)</f>
        <v/>
      </c>
    </row>
    <row r="30">
      <c r="A30" s="11">
        <f>LOWER(Settings!$C$4)&amp;"."&amp;$B30&amp;"."&amp;$E30</f>
        <v/>
      </c>
      <c r="B30" s="22" t="inlineStr">
        <is>
          <t>mit.xets.p</t>
        </is>
      </c>
      <c r="C30" s="14">
        <f>IFERROR(INDEX(MitDesc,$AA30),"code not found")</f>
        <v/>
      </c>
      <c r="D30" s="14">
        <f>IFERROR(INDEX(MitUnit,$AA30),"")</f>
        <v/>
      </c>
      <c r="E30" s="10">
        <f>E29</f>
        <v/>
      </c>
      <c r="F30" s="23">
        <f>IFERROR(INDEX(MitAll,$AA30,$Z30+1+F$4-Settings!$C$7),"")</f>
        <v/>
      </c>
      <c r="G30" s="24">
        <f>IFERROR(INDEX(MitAll,$AA30,$Z30+1+G$4-Settings!$C$7),"")</f>
        <v/>
      </c>
      <c r="H30" s="24">
        <f>IFERROR(INDEX(MitAll,$AA30,$Z30+1+H$4-Settings!$C$7),"")</f>
        <v/>
      </c>
      <c r="I30" s="24">
        <f>IFERROR(INDEX(MitAll,$AA30,$Z30+1+I$4-Settings!$C$7),"")</f>
        <v/>
      </c>
      <c r="J30" s="24">
        <f>IFERROR(INDEX(MitAll,$AA30,$Z30+1+J$4-Settings!$C$7),"")</f>
        <v/>
      </c>
      <c r="K30" s="24">
        <f>IFERROR(INDEX(MitAll,$AA30,$Z30+1+K$4-Settings!$C$7),"")</f>
        <v/>
      </c>
      <c r="L30" s="24">
        <f>IFERROR(INDEX(MitAll,$AA30,$Z30+1+L$4-Settings!$C$7),"")</f>
        <v/>
      </c>
      <c r="M30" s="24">
        <f>IFERROR(INDEX(MitAll,$AA30,$Z30+1+M$4-Settings!$C$7),"")</f>
        <v/>
      </c>
      <c r="N30" s="24">
        <f>IFERROR(INDEX(MitAll,$AA30,$Z30+1+N$4-Settings!$C$7),"")</f>
        <v/>
      </c>
      <c r="O30" s="24">
        <f>IFERROR(INDEX(MitAll,$AA30,$Z30+1+O$4-Settings!$C$7),"")</f>
        <v/>
      </c>
      <c r="P30" s="24">
        <f>IFERROR(INDEX(MitAll,$AA30,$Z30+1+P$4-Settings!$C$7),"")</f>
        <v/>
      </c>
      <c r="Q30" s="24">
        <f>IFERROR(INDEX(MitAll,$AA30,$Z30+1+Q$4-Settings!$C$7),"")</f>
        <v/>
      </c>
      <c r="R30" s="24">
        <f>IFERROR(INDEX(MitAll,$AA30,$Z30+1+R$4-Settings!$C$7),"")</f>
        <v/>
      </c>
      <c r="S30" s="24">
        <f>IFERROR(INDEX(MitAll,$AA30,$Z30+1+S$4-Settings!$C$7),"")</f>
        <v/>
      </c>
      <c r="T30" s="24">
        <f>IFERROR(INDEX(MitAll,$AA30,$Z30+1+T$4-Settings!$C$7),"")</f>
        <v/>
      </c>
      <c r="U30" s="24">
        <f>IFERROR(INDEX(MitAll,$AA30,$Z30+1+U$4-Settings!$C$7),"")</f>
        <v/>
      </c>
      <c r="V30" s="24">
        <f>IFERROR(INDEX(MitAll,$AA30,$Z30+1+V$4-Settings!$C$7),"")</f>
        <v/>
      </c>
      <c r="W30" s="24">
        <f>IFERROR(INDEX(MitAll,$AA30,$Z30+1+W$4-Settings!$C$7),"")</f>
        <v/>
      </c>
      <c r="X30" s="24">
        <f>IFERROR(INDEX(MitAll,$AA30,$Z30+1+X$4-Settings!$C$7),"")</f>
        <v/>
      </c>
      <c r="Y30" s="24">
        <f>IFERROR(INDEX(MitAll,$AA30,$Z30+1+Y$4-Settings!$C$7),"")</f>
        <v/>
      </c>
      <c r="Z30" s="10">
        <f>MATCH($E30,MitScen,0)</f>
        <v/>
      </c>
      <c r="AA30" s="10">
        <f>MATCH($A30,INDEX(MitAll,0,$Z30),0)</f>
        <v/>
      </c>
    </row>
    <row r="31">
      <c r="A31" s="11">
        <f>LOWER(Settings!$C$4)&amp;"."&amp;$B31&amp;"."&amp;$E31</f>
        <v/>
      </c>
      <c r="B31" s="22" t="inlineStr">
        <is>
          <t>mit.cptraj</t>
        </is>
      </c>
      <c r="C31" s="14">
        <f>IFERROR(INDEX(MitDesc,$AA31),"code not found")</f>
        <v/>
      </c>
      <c r="D31" s="14">
        <f>IFERROR(INDEX(MitUnit,$AA31),"")</f>
        <v/>
      </c>
      <c r="E31" s="10">
        <f>E30</f>
        <v/>
      </c>
      <c r="F31" s="23">
        <f>IFERROR(INDEX(MitAll,$AA31,$Z31+1+F$4-Settings!$C$7),"")</f>
        <v/>
      </c>
      <c r="G31" s="24">
        <f>IFERROR(INDEX(MitAll,$AA31,$Z31+1+G$4-Settings!$C$7),"")</f>
        <v/>
      </c>
      <c r="H31" s="24">
        <f>IFERROR(INDEX(MitAll,$AA31,$Z31+1+H$4-Settings!$C$7),"")</f>
        <v/>
      </c>
      <c r="I31" s="24">
        <f>IFERROR(INDEX(MitAll,$AA31,$Z31+1+I$4-Settings!$C$7),"")</f>
        <v/>
      </c>
      <c r="J31" s="24">
        <f>IFERROR(INDEX(MitAll,$AA31,$Z31+1+J$4-Settings!$C$7),"")</f>
        <v/>
      </c>
      <c r="K31" s="24">
        <f>IFERROR(INDEX(MitAll,$AA31,$Z31+1+K$4-Settings!$C$7),"")</f>
        <v/>
      </c>
      <c r="L31" s="24">
        <f>IFERROR(INDEX(MitAll,$AA31,$Z31+1+L$4-Settings!$C$7),"")</f>
        <v/>
      </c>
      <c r="M31" s="24">
        <f>IFERROR(INDEX(MitAll,$AA31,$Z31+1+M$4-Settings!$C$7),"")</f>
        <v/>
      </c>
      <c r="N31" s="24">
        <f>IFERROR(INDEX(MitAll,$AA31,$Z31+1+N$4-Settings!$C$7),"")</f>
        <v/>
      </c>
      <c r="O31" s="24">
        <f>IFERROR(INDEX(MitAll,$AA31,$Z31+1+O$4-Settings!$C$7),"")</f>
        <v/>
      </c>
      <c r="P31" s="24">
        <f>IFERROR(INDEX(MitAll,$AA31,$Z31+1+P$4-Settings!$C$7),"")</f>
        <v/>
      </c>
      <c r="Q31" s="24">
        <f>IFERROR(INDEX(MitAll,$AA31,$Z31+1+Q$4-Settings!$C$7),"")</f>
        <v/>
      </c>
      <c r="R31" s="24">
        <f>IFERROR(INDEX(MitAll,$AA31,$Z31+1+R$4-Settings!$C$7),"")</f>
        <v/>
      </c>
      <c r="S31" s="24">
        <f>IFERROR(INDEX(MitAll,$AA31,$Z31+1+S$4-Settings!$C$7),"")</f>
        <v/>
      </c>
      <c r="T31" s="24">
        <f>IFERROR(INDEX(MitAll,$AA31,$Z31+1+T$4-Settings!$C$7),"")</f>
        <v/>
      </c>
      <c r="U31" s="24">
        <f>IFERROR(INDEX(MitAll,$AA31,$Z31+1+U$4-Settings!$C$7),"")</f>
        <v/>
      </c>
      <c r="V31" s="24">
        <f>IFERROR(INDEX(MitAll,$AA31,$Z31+1+V$4-Settings!$C$7),"")</f>
        <v/>
      </c>
      <c r="W31" s="24">
        <f>IFERROR(INDEX(MitAll,$AA31,$Z31+1+W$4-Settings!$C$7),"")</f>
        <v/>
      </c>
      <c r="X31" s="24">
        <f>IFERROR(INDEX(MitAll,$AA31,$Z31+1+X$4-Settings!$C$7),"")</f>
        <v/>
      </c>
      <c r="Y31" s="24">
        <f>IFERROR(INDEX(MitAll,$AA31,$Z31+1+Y$4-Settings!$C$7),"")</f>
        <v/>
      </c>
      <c r="Z31" s="10">
        <f>MATCH($E31,MitScen,0)</f>
        <v/>
      </c>
      <c r="AA31" s="10">
        <f>MATCH($A31,INDEX(MitAll,0,$Z31),0)</f>
        <v/>
      </c>
    </row>
    <row r="32">
      <c r="A32" s="11">
        <f>LOWER(Settings!$C$4)&amp;"."&amp;$B32&amp;"."&amp;$E32</f>
        <v/>
      </c>
      <c r="B32" s="22" t="inlineStr">
        <is>
          <t>mit.ets.p</t>
        </is>
      </c>
      <c r="C32" s="14">
        <f>IFERROR(INDEX(MitDesc,$AA32),"code not found")</f>
        <v/>
      </c>
      <c r="D32" s="14">
        <f>IFERROR(INDEX(MitUnit,$AA32),"")</f>
        <v/>
      </c>
      <c r="E32" s="10">
        <f>E31</f>
        <v/>
      </c>
      <c r="F32" s="23">
        <f>IFERROR(INDEX(MitAll,$AA32,$Z32+1+F$4-Settings!$C$7),"")</f>
        <v/>
      </c>
      <c r="G32" s="24">
        <f>IFERROR(INDEX(MitAll,$AA32,$Z32+1+G$4-Settings!$C$7),"")</f>
        <v/>
      </c>
      <c r="H32" s="24">
        <f>IFERROR(INDEX(MitAll,$AA32,$Z32+1+H$4-Settings!$C$7),"")</f>
        <v/>
      </c>
      <c r="I32" s="24">
        <f>IFERROR(INDEX(MitAll,$AA32,$Z32+1+I$4-Settings!$C$7),"")</f>
        <v/>
      </c>
      <c r="J32" s="24">
        <f>IFERROR(INDEX(MitAll,$AA32,$Z32+1+J$4-Settings!$C$7),"")</f>
        <v/>
      </c>
      <c r="K32" s="24">
        <f>IFERROR(INDEX(MitAll,$AA32,$Z32+1+K$4-Settings!$C$7),"")</f>
        <v/>
      </c>
      <c r="L32" s="24">
        <f>IFERROR(INDEX(MitAll,$AA32,$Z32+1+L$4-Settings!$C$7),"")</f>
        <v/>
      </c>
      <c r="M32" s="24">
        <f>IFERROR(INDEX(MitAll,$AA32,$Z32+1+M$4-Settings!$C$7),"")</f>
        <v/>
      </c>
      <c r="N32" s="24">
        <f>IFERROR(INDEX(MitAll,$AA32,$Z32+1+N$4-Settings!$C$7),"")</f>
        <v/>
      </c>
      <c r="O32" s="24">
        <f>IFERROR(INDEX(MitAll,$AA32,$Z32+1+O$4-Settings!$C$7),"")</f>
        <v/>
      </c>
      <c r="P32" s="24">
        <f>IFERROR(INDEX(MitAll,$AA32,$Z32+1+P$4-Settings!$C$7),"")</f>
        <v/>
      </c>
      <c r="Q32" s="24">
        <f>IFERROR(INDEX(MitAll,$AA32,$Z32+1+Q$4-Settings!$C$7),"")</f>
        <v/>
      </c>
      <c r="R32" s="24">
        <f>IFERROR(INDEX(MitAll,$AA32,$Z32+1+R$4-Settings!$C$7),"")</f>
        <v/>
      </c>
      <c r="S32" s="24">
        <f>IFERROR(INDEX(MitAll,$AA32,$Z32+1+S$4-Settings!$C$7),"")</f>
        <v/>
      </c>
      <c r="T32" s="24">
        <f>IFERROR(INDEX(MitAll,$AA32,$Z32+1+T$4-Settings!$C$7),"")</f>
        <v/>
      </c>
      <c r="U32" s="24">
        <f>IFERROR(INDEX(MitAll,$AA32,$Z32+1+U$4-Settings!$C$7),"")</f>
        <v/>
      </c>
      <c r="V32" s="24">
        <f>IFERROR(INDEX(MitAll,$AA32,$Z32+1+V$4-Settings!$C$7),"")</f>
        <v/>
      </c>
      <c r="W32" s="24">
        <f>IFERROR(INDEX(MitAll,$AA32,$Z32+1+W$4-Settings!$C$7),"")</f>
        <v/>
      </c>
      <c r="X32" s="24">
        <f>IFERROR(INDEX(MitAll,$AA32,$Z32+1+X$4-Settings!$C$7),"")</f>
        <v/>
      </c>
      <c r="Y32" s="24">
        <f>IFERROR(INDEX(MitAll,$AA32,$Z32+1+Y$4-Settings!$C$7),"")</f>
        <v/>
      </c>
      <c r="Z32" s="10">
        <f>MATCH($E32,MitScen,0)</f>
        <v/>
      </c>
      <c r="AA32" s="10">
        <f>MATCH($A32,INDEX(MitAll,0,$Z32),0)</f>
        <v/>
      </c>
    </row>
    <row r="33">
      <c r="A33" s="11">
        <f>LOWER(Settings!$C$4)&amp;"."&amp;$B33&amp;"."&amp;$E33</f>
        <v/>
      </c>
      <c r="B33" s="22" t="inlineStr">
        <is>
          <t>mit.co2.ets.all.all</t>
        </is>
      </c>
      <c r="C33" s="14">
        <f>IFERROR(INDEX(MitDesc,$AA33),"code not found")</f>
        <v/>
      </c>
      <c r="D33" s="14">
        <f>IFERROR(INDEX(MitUnit,$AA33),"")</f>
        <v/>
      </c>
      <c r="E33" s="10">
        <f>E32</f>
        <v/>
      </c>
      <c r="F33" s="43">
        <f>IFERROR(INDEX(MitAll,$AA33,$Z33+1+F$4-Settings!$C$7),"")</f>
        <v/>
      </c>
      <c r="G33" s="44">
        <f>IFERROR(INDEX(MitAll,$AA33,$Z33+1+G$4-Settings!$C$7),"")</f>
        <v/>
      </c>
      <c r="H33" s="44">
        <f>IFERROR(INDEX(MitAll,$AA33,$Z33+1+H$4-Settings!$C$7),"")</f>
        <v/>
      </c>
      <c r="I33" s="44">
        <f>IFERROR(INDEX(MitAll,$AA33,$Z33+1+I$4-Settings!$C$7),"")</f>
        <v/>
      </c>
      <c r="J33" s="44">
        <f>IFERROR(INDEX(MitAll,$AA33,$Z33+1+J$4-Settings!$C$7),"")</f>
        <v/>
      </c>
      <c r="K33" s="44">
        <f>IFERROR(INDEX(MitAll,$AA33,$Z33+1+K$4-Settings!$C$7),"")</f>
        <v/>
      </c>
      <c r="L33" s="44">
        <f>IFERROR(INDEX(MitAll,$AA33,$Z33+1+L$4-Settings!$C$7),"")</f>
        <v/>
      </c>
      <c r="M33" s="44">
        <f>IFERROR(INDEX(MitAll,$AA33,$Z33+1+M$4-Settings!$C$7),"")</f>
        <v/>
      </c>
      <c r="N33" s="44">
        <f>IFERROR(INDEX(MitAll,$AA33,$Z33+1+N$4-Settings!$C$7),"")</f>
        <v/>
      </c>
      <c r="O33" s="44">
        <f>IFERROR(INDEX(MitAll,$AA33,$Z33+1+O$4-Settings!$C$7),"")</f>
        <v/>
      </c>
      <c r="P33" s="44">
        <f>IFERROR(INDEX(MitAll,$AA33,$Z33+1+P$4-Settings!$C$7),"")</f>
        <v/>
      </c>
      <c r="Q33" s="44">
        <f>IFERROR(INDEX(MitAll,$AA33,$Z33+1+Q$4-Settings!$C$7),"")</f>
        <v/>
      </c>
      <c r="R33" s="44">
        <f>IFERROR(INDEX(MitAll,$AA33,$Z33+1+R$4-Settings!$C$7),"")</f>
        <v/>
      </c>
      <c r="S33" s="44">
        <f>IFERROR(INDEX(MitAll,$AA33,$Z33+1+S$4-Settings!$C$7),"")</f>
        <v/>
      </c>
      <c r="T33" s="44">
        <f>IFERROR(INDEX(MitAll,$AA33,$Z33+1+T$4-Settings!$C$7),"")</f>
        <v/>
      </c>
      <c r="U33" s="44">
        <f>IFERROR(INDEX(MitAll,$AA33,$Z33+1+U$4-Settings!$C$7),"")</f>
        <v/>
      </c>
      <c r="V33" s="44">
        <f>IFERROR(INDEX(MitAll,$AA33,$Z33+1+V$4-Settings!$C$7),"")</f>
        <v/>
      </c>
      <c r="W33" s="44">
        <f>IFERROR(INDEX(MitAll,$AA33,$Z33+1+W$4-Settings!$C$7),"")</f>
        <v/>
      </c>
      <c r="X33" s="44">
        <f>IFERROR(INDEX(MitAll,$AA33,$Z33+1+X$4-Settings!$C$7),"")</f>
        <v/>
      </c>
      <c r="Y33" s="44">
        <f>IFERROR(INDEX(MitAll,$AA33,$Z33+1+Y$4-Settings!$C$7),"")</f>
        <v/>
      </c>
      <c r="Z33" s="10">
        <f>MATCH($E33,MitScen,0)</f>
        <v/>
      </c>
      <c r="AA33" s="10">
        <f>MATCH($A33,INDEX(MitAll,0,$Z33),0)</f>
        <v/>
      </c>
    </row>
    <row r="34">
      <c r="A34" s="11">
        <f>LOWER(Settings!$C$4)&amp;"."&amp;$B34&amp;"."&amp;$E34</f>
        <v/>
      </c>
      <c r="B34" s="22" t="inlineStr">
        <is>
          <t>mit.co2.cap.all.all</t>
        </is>
      </c>
      <c r="C34" s="14">
        <f>IFERROR(INDEX(MitDesc,$AA34),"code not found")</f>
        <v/>
      </c>
      <c r="D34" s="14">
        <f>IFERROR(INDEX(MitUnit,$AA34),"")</f>
        <v/>
      </c>
      <c r="E34" s="10">
        <f>E33</f>
        <v/>
      </c>
      <c r="F34" s="43">
        <f>IFERROR(INDEX(MitAll,$AA34,$Z34+1+F$4-Settings!$C$7),"")</f>
        <v/>
      </c>
      <c r="G34" s="44">
        <f>IFERROR(INDEX(MitAll,$AA34,$Z34+1+G$4-Settings!$C$7),"")</f>
        <v/>
      </c>
      <c r="H34" s="44">
        <f>IFERROR(INDEX(MitAll,$AA34,$Z34+1+H$4-Settings!$C$7),"")</f>
        <v/>
      </c>
      <c r="I34" s="44">
        <f>IFERROR(INDEX(MitAll,$AA34,$Z34+1+I$4-Settings!$C$7),"")</f>
        <v/>
      </c>
      <c r="J34" s="44">
        <f>IFERROR(INDEX(MitAll,$AA34,$Z34+1+J$4-Settings!$C$7),"")</f>
        <v/>
      </c>
      <c r="K34" s="44">
        <f>IFERROR(INDEX(MitAll,$AA34,$Z34+1+K$4-Settings!$C$7),"")</f>
        <v/>
      </c>
      <c r="L34" s="44">
        <f>IFERROR(INDEX(MitAll,$AA34,$Z34+1+L$4-Settings!$C$7),"")</f>
        <v/>
      </c>
      <c r="M34" s="44">
        <f>IFERROR(INDEX(MitAll,$AA34,$Z34+1+M$4-Settings!$C$7),"")</f>
        <v/>
      </c>
      <c r="N34" s="44">
        <f>IFERROR(INDEX(MitAll,$AA34,$Z34+1+N$4-Settings!$C$7),"")</f>
        <v/>
      </c>
      <c r="O34" s="44">
        <f>IFERROR(INDEX(MitAll,$AA34,$Z34+1+O$4-Settings!$C$7),"")</f>
        <v/>
      </c>
      <c r="P34" s="44">
        <f>IFERROR(INDEX(MitAll,$AA34,$Z34+1+P$4-Settings!$C$7),"")</f>
        <v/>
      </c>
      <c r="Q34" s="44">
        <f>IFERROR(INDEX(MitAll,$AA34,$Z34+1+Q$4-Settings!$C$7),"")</f>
        <v/>
      </c>
      <c r="R34" s="44">
        <f>IFERROR(INDEX(MitAll,$AA34,$Z34+1+R$4-Settings!$C$7),"")</f>
        <v/>
      </c>
      <c r="S34" s="44">
        <f>IFERROR(INDEX(MitAll,$AA34,$Z34+1+S$4-Settings!$C$7),"")</f>
        <v/>
      </c>
      <c r="T34" s="44">
        <f>IFERROR(INDEX(MitAll,$AA34,$Z34+1+T$4-Settings!$C$7),"")</f>
        <v/>
      </c>
      <c r="U34" s="44">
        <f>IFERROR(INDEX(MitAll,$AA34,$Z34+1+U$4-Settings!$C$7),"")</f>
        <v/>
      </c>
      <c r="V34" s="44">
        <f>IFERROR(INDEX(MitAll,$AA34,$Z34+1+V$4-Settings!$C$7),"")</f>
        <v/>
      </c>
      <c r="W34" s="44">
        <f>IFERROR(INDEX(MitAll,$AA34,$Z34+1+W$4-Settings!$C$7),"")</f>
        <v/>
      </c>
      <c r="X34" s="44">
        <f>IFERROR(INDEX(MitAll,$AA34,$Z34+1+X$4-Settings!$C$7),"")</f>
        <v/>
      </c>
      <c r="Y34" s="44">
        <f>IFERROR(INDEX(MitAll,$AA34,$Z34+1+Y$4-Settings!$C$7),"")</f>
        <v/>
      </c>
      <c r="Z34" s="10">
        <f>MATCH($E34,MitScen,0)</f>
        <v/>
      </c>
      <c r="AA34" s="10">
        <f>MATCH($A34,INDEX(MitAll,0,$Z34),0)</f>
        <v/>
      </c>
    </row>
    <row r="35">
      <c r="A35" s="11">
        <f>LOWER(Settings!$C$4)&amp;"."&amp;$B35&amp;"."&amp;$E35</f>
        <v/>
      </c>
      <c r="B35" s="22" t="inlineStr">
        <is>
          <t>mit.rpb.all.gso.a</t>
        </is>
      </c>
      <c r="C35" s="14">
        <f>IFERROR(INDEX(MitDesc,$AA35),"code not found")</f>
        <v/>
      </c>
      <c r="D35" s="14">
        <f>IFERROR(INDEX(MitUnit,$AA35),"")</f>
        <v/>
      </c>
      <c r="E35" s="10">
        <f>E34</f>
        <v/>
      </c>
      <c r="F35" s="23">
        <f>IFERROR(INDEX(MitAll,$AA35,$Z35+1+F$4-Settings!$C$7),"")</f>
        <v/>
      </c>
      <c r="G35" s="24">
        <f>IFERROR(INDEX(MitAll,$AA35,$Z35+1+G$4-Settings!$C$7),"")</f>
        <v/>
      </c>
      <c r="H35" s="24">
        <f>IFERROR(INDEX(MitAll,$AA35,$Z35+1+H$4-Settings!$C$7),"")</f>
        <v/>
      </c>
      <c r="I35" s="24">
        <f>IFERROR(INDEX(MitAll,$AA35,$Z35+1+I$4-Settings!$C$7),"")</f>
        <v/>
      </c>
      <c r="J35" s="24">
        <f>IFERROR(INDEX(MitAll,$AA35,$Z35+1+J$4-Settings!$C$7),"")</f>
        <v/>
      </c>
      <c r="K35" s="24">
        <f>IFERROR(INDEX(MitAll,$AA35,$Z35+1+K$4-Settings!$C$7),"")</f>
        <v/>
      </c>
      <c r="L35" s="24">
        <f>IFERROR(INDEX(MitAll,$AA35,$Z35+1+L$4-Settings!$C$7),"")</f>
        <v/>
      </c>
      <c r="M35" s="24">
        <f>IFERROR(INDEX(MitAll,$AA35,$Z35+1+M$4-Settings!$C$7),"")</f>
        <v/>
      </c>
      <c r="N35" s="24">
        <f>IFERROR(INDEX(MitAll,$AA35,$Z35+1+N$4-Settings!$C$7),"")</f>
        <v/>
      </c>
      <c r="O35" s="24">
        <f>IFERROR(INDEX(MitAll,$AA35,$Z35+1+O$4-Settings!$C$7),"")</f>
        <v/>
      </c>
      <c r="P35" s="24">
        <f>IFERROR(INDEX(MitAll,$AA35,$Z35+1+P$4-Settings!$C$7),"")</f>
        <v/>
      </c>
      <c r="Q35" s="24">
        <f>IFERROR(INDEX(MitAll,$AA35,$Z35+1+Q$4-Settings!$C$7),"")</f>
        <v/>
      </c>
      <c r="R35" s="24">
        <f>IFERROR(INDEX(MitAll,$AA35,$Z35+1+R$4-Settings!$C$7),"")</f>
        <v/>
      </c>
      <c r="S35" s="24">
        <f>IFERROR(INDEX(MitAll,$AA35,$Z35+1+S$4-Settings!$C$7),"")</f>
        <v/>
      </c>
      <c r="T35" s="24">
        <f>IFERROR(INDEX(MitAll,$AA35,$Z35+1+T$4-Settings!$C$7),"")</f>
        <v/>
      </c>
      <c r="U35" s="24">
        <f>IFERROR(INDEX(MitAll,$AA35,$Z35+1+U$4-Settings!$C$7),"")</f>
        <v/>
      </c>
      <c r="V35" s="24">
        <f>IFERROR(INDEX(MitAll,$AA35,$Z35+1+V$4-Settings!$C$7),"")</f>
        <v/>
      </c>
      <c r="W35" s="24">
        <f>IFERROR(INDEX(MitAll,$AA35,$Z35+1+W$4-Settings!$C$7),"")</f>
        <v/>
      </c>
      <c r="X35" s="24">
        <f>IFERROR(INDEX(MitAll,$AA35,$Z35+1+X$4-Settings!$C$7),"")</f>
        <v/>
      </c>
      <c r="Y35" s="24">
        <f>IFERROR(INDEX(MitAll,$AA35,$Z35+1+Y$4-Settings!$C$7),"")</f>
        <v/>
      </c>
      <c r="Z35" s="10">
        <f>MATCH($E35,MitScen,0)</f>
        <v/>
      </c>
      <c r="AA35" s="10">
        <f>MATCH($A35,INDEX(MitAll,0,$Z35),0)</f>
        <v/>
      </c>
    </row>
    <row r="36">
      <c r="A36" s="11">
        <f>LOWER(Settings!$C$4)&amp;"."&amp;$B36&amp;"."&amp;$E36</f>
        <v/>
      </c>
      <c r="B36" s="22" t="inlineStr">
        <is>
          <t>mit.rpb.all.die.a</t>
        </is>
      </c>
      <c r="C36" s="14">
        <f>IFERROR(INDEX(MitDesc,$AA36),"code not found")</f>
        <v/>
      </c>
      <c r="D36" s="14">
        <f>IFERROR(INDEX(MitUnit,$AA36),"")</f>
        <v/>
      </c>
      <c r="E36" s="10">
        <f>E35</f>
        <v/>
      </c>
      <c r="F36" s="23">
        <f>IFERROR(INDEX(MitAll,$AA36,$Z36+1+F$4-Settings!$C$7),"")</f>
        <v/>
      </c>
      <c r="G36" s="24">
        <f>IFERROR(INDEX(MitAll,$AA36,$Z36+1+G$4-Settings!$C$7),"")</f>
        <v/>
      </c>
      <c r="H36" s="24">
        <f>IFERROR(INDEX(MitAll,$AA36,$Z36+1+H$4-Settings!$C$7),"")</f>
        <v/>
      </c>
      <c r="I36" s="24">
        <f>IFERROR(INDEX(MitAll,$AA36,$Z36+1+I$4-Settings!$C$7),"")</f>
        <v/>
      </c>
      <c r="J36" s="24">
        <f>IFERROR(INDEX(MitAll,$AA36,$Z36+1+J$4-Settings!$C$7),"")</f>
        <v/>
      </c>
      <c r="K36" s="24">
        <f>IFERROR(INDEX(MitAll,$AA36,$Z36+1+K$4-Settings!$C$7),"")</f>
        <v/>
      </c>
      <c r="L36" s="24">
        <f>IFERROR(INDEX(MitAll,$AA36,$Z36+1+L$4-Settings!$C$7),"")</f>
        <v/>
      </c>
      <c r="M36" s="24">
        <f>IFERROR(INDEX(MitAll,$AA36,$Z36+1+M$4-Settings!$C$7),"")</f>
        <v/>
      </c>
      <c r="N36" s="24">
        <f>IFERROR(INDEX(MitAll,$AA36,$Z36+1+N$4-Settings!$C$7),"")</f>
        <v/>
      </c>
      <c r="O36" s="24">
        <f>IFERROR(INDEX(MitAll,$AA36,$Z36+1+O$4-Settings!$C$7),"")</f>
        <v/>
      </c>
      <c r="P36" s="24">
        <f>IFERROR(INDEX(MitAll,$AA36,$Z36+1+P$4-Settings!$C$7),"")</f>
        <v/>
      </c>
      <c r="Q36" s="24">
        <f>IFERROR(INDEX(MitAll,$AA36,$Z36+1+Q$4-Settings!$C$7),"")</f>
        <v/>
      </c>
      <c r="R36" s="24">
        <f>IFERROR(INDEX(MitAll,$AA36,$Z36+1+R$4-Settings!$C$7),"")</f>
        <v/>
      </c>
      <c r="S36" s="24">
        <f>IFERROR(INDEX(MitAll,$AA36,$Z36+1+S$4-Settings!$C$7),"")</f>
        <v/>
      </c>
      <c r="T36" s="24">
        <f>IFERROR(INDEX(MitAll,$AA36,$Z36+1+T$4-Settings!$C$7),"")</f>
        <v/>
      </c>
      <c r="U36" s="24">
        <f>IFERROR(INDEX(MitAll,$AA36,$Z36+1+U$4-Settings!$C$7),"")</f>
        <v/>
      </c>
      <c r="V36" s="24">
        <f>IFERROR(INDEX(MitAll,$AA36,$Z36+1+V$4-Settings!$C$7),"")</f>
        <v/>
      </c>
      <c r="W36" s="24">
        <f>IFERROR(INDEX(MitAll,$AA36,$Z36+1+W$4-Settings!$C$7),"")</f>
        <v/>
      </c>
      <c r="X36" s="24">
        <f>IFERROR(INDEX(MitAll,$AA36,$Z36+1+X$4-Settings!$C$7),"")</f>
        <v/>
      </c>
      <c r="Y36" s="24">
        <f>IFERROR(INDEX(MitAll,$AA36,$Z36+1+Y$4-Settings!$C$7),"")</f>
        <v/>
      </c>
      <c r="Z36" s="10">
        <f>MATCH($E36,MitScen,0)</f>
        <v/>
      </c>
      <c r="AA36" s="10">
        <f>MATCH($A36,INDEX(MitAll,0,$Z36),0)</f>
        <v/>
      </c>
    </row>
    <row r="37">
      <c r="A37" s="11">
        <f>LOWER(Settings!$C$4)&amp;"."&amp;$B37&amp;"."&amp;$E37</f>
        <v/>
      </c>
      <c r="B37" s="22" t="inlineStr">
        <is>
          <t>mit.rpb.res.nga.a</t>
        </is>
      </c>
      <c r="C37" s="14">
        <f>IFERROR(INDEX(MitDesc,$AA37),"code not found")</f>
        <v/>
      </c>
      <c r="D37" s="14">
        <f>IFERROR(INDEX(MitUnit,$AA37),"")</f>
        <v/>
      </c>
      <c r="E37" s="10">
        <f>E36</f>
        <v/>
      </c>
      <c r="F37" s="23">
        <f>IFERROR(INDEX(MitAll,$AA37,$Z37+1+F$4-Settings!$C$7),"")</f>
        <v/>
      </c>
      <c r="G37" s="24">
        <f>IFERROR(INDEX(MitAll,$AA37,$Z37+1+G$4-Settings!$C$7),"")</f>
        <v/>
      </c>
      <c r="H37" s="24">
        <f>IFERROR(INDEX(MitAll,$AA37,$Z37+1+H$4-Settings!$C$7),"")</f>
        <v/>
      </c>
      <c r="I37" s="24">
        <f>IFERROR(INDEX(MitAll,$AA37,$Z37+1+I$4-Settings!$C$7),"")</f>
        <v/>
      </c>
      <c r="J37" s="24">
        <f>IFERROR(INDEX(MitAll,$AA37,$Z37+1+J$4-Settings!$C$7),"")</f>
        <v/>
      </c>
      <c r="K37" s="24">
        <f>IFERROR(INDEX(MitAll,$AA37,$Z37+1+K$4-Settings!$C$7),"")</f>
        <v/>
      </c>
      <c r="L37" s="24">
        <f>IFERROR(INDEX(MitAll,$AA37,$Z37+1+L$4-Settings!$C$7),"")</f>
        <v/>
      </c>
      <c r="M37" s="24">
        <f>IFERROR(INDEX(MitAll,$AA37,$Z37+1+M$4-Settings!$C$7),"")</f>
        <v/>
      </c>
      <c r="N37" s="24">
        <f>IFERROR(INDEX(MitAll,$AA37,$Z37+1+N$4-Settings!$C$7),"")</f>
        <v/>
      </c>
      <c r="O37" s="24">
        <f>IFERROR(INDEX(MitAll,$AA37,$Z37+1+O$4-Settings!$C$7),"")</f>
        <v/>
      </c>
      <c r="P37" s="24">
        <f>IFERROR(INDEX(MitAll,$AA37,$Z37+1+P$4-Settings!$C$7),"")</f>
        <v/>
      </c>
      <c r="Q37" s="24">
        <f>IFERROR(INDEX(MitAll,$AA37,$Z37+1+Q$4-Settings!$C$7),"")</f>
        <v/>
      </c>
      <c r="R37" s="24">
        <f>IFERROR(INDEX(MitAll,$AA37,$Z37+1+R$4-Settings!$C$7),"")</f>
        <v/>
      </c>
      <c r="S37" s="24">
        <f>IFERROR(INDEX(MitAll,$AA37,$Z37+1+S$4-Settings!$C$7),"")</f>
        <v/>
      </c>
      <c r="T37" s="24">
        <f>IFERROR(INDEX(MitAll,$AA37,$Z37+1+T$4-Settings!$C$7),"")</f>
        <v/>
      </c>
      <c r="U37" s="24">
        <f>IFERROR(INDEX(MitAll,$AA37,$Z37+1+U$4-Settings!$C$7),"")</f>
        <v/>
      </c>
      <c r="V37" s="24">
        <f>IFERROR(INDEX(MitAll,$AA37,$Z37+1+V$4-Settings!$C$7),"")</f>
        <v/>
      </c>
      <c r="W37" s="24">
        <f>IFERROR(INDEX(MitAll,$AA37,$Z37+1+W$4-Settings!$C$7),"")</f>
        <v/>
      </c>
      <c r="X37" s="24">
        <f>IFERROR(INDEX(MitAll,$AA37,$Z37+1+X$4-Settings!$C$7),"")</f>
        <v/>
      </c>
      <c r="Y37" s="24">
        <f>IFERROR(INDEX(MitAll,$AA37,$Z37+1+Y$4-Settings!$C$7),"")</f>
        <v/>
      </c>
      <c r="Z37" s="10">
        <f>MATCH($E37,MitScen,0)</f>
        <v/>
      </c>
      <c r="AA37" s="10">
        <f>MATCH($A37,INDEX(MitAll,0,$Z37),0)</f>
        <v/>
      </c>
    </row>
    <row r="38">
      <c r="A38" s="11">
        <f>LOWER(Settings!$C$4)&amp;"."&amp;$B38&amp;"."&amp;$E38</f>
        <v/>
      </c>
      <c r="B38" s="22" t="inlineStr">
        <is>
          <t>mit.atp.rod.gso.e</t>
        </is>
      </c>
      <c r="C38" s="14">
        <f>IFERROR(INDEX(MitDesc,$AA38),"code not found")</f>
        <v/>
      </c>
      <c r="D38" s="14">
        <f>IFERROR(INDEX(MitUnit,$AA38),"")</f>
        <v/>
      </c>
      <c r="E38" s="10">
        <f>E37</f>
        <v/>
      </c>
      <c r="F38" s="23">
        <f>IFERROR(INDEX(MitAll,$AA38,$Z38+1+F$4-Settings!$C$7),"")</f>
        <v/>
      </c>
      <c r="G38" s="24">
        <f>IFERROR(INDEX(MitAll,$AA38,$Z38+1+G$4-Settings!$C$7),"")</f>
        <v/>
      </c>
      <c r="H38" s="24">
        <f>IFERROR(INDEX(MitAll,$AA38,$Z38+1+H$4-Settings!$C$7),"")</f>
        <v/>
      </c>
      <c r="I38" s="24">
        <f>IFERROR(INDEX(MitAll,$AA38,$Z38+1+I$4-Settings!$C$7),"")</f>
        <v/>
      </c>
      <c r="J38" s="24">
        <f>IFERROR(INDEX(MitAll,$AA38,$Z38+1+J$4-Settings!$C$7),"")</f>
        <v/>
      </c>
      <c r="K38" s="24">
        <f>IFERROR(INDEX(MitAll,$AA38,$Z38+1+K$4-Settings!$C$7),"")</f>
        <v/>
      </c>
      <c r="L38" s="24">
        <f>IFERROR(INDEX(MitAll,$AA38,$Z38+1+L$4-Settings!$C$7),"")</f>
        <v/>
      </c>
      <c r="M38" s="24">
        <f>IFERROR(INDEX(MitAll,$AA38,$Z38+1+M$4-Settings!$C$7),"")</f>
        <v/>
      </c>
      <c r="N38" s="24">
        <f>IFERROR(INDEX(MitAll,$AA38,$Z38+1+N$4-Settings!$C$7),"")</f>
        <v/>
      </c>
      <c r="O38" s="24">
        <f>IFERROR(INDEX(MitAll,$AA38,$Z38+1+O$4-Settings!$C$7),"")</f>
        <v/>
      </c>
      <c r="P38" s="24">
        <f>IFERROR(INDEX(MitAll,$AA38,$Z38+1+P$4-Settings!$C$7),"")</f>
        <v/>
      </c>
      <c r="Q38" s="24">
        <f>IFERROR(INDEX(MitAll,$AA38,$Z38+1+Q$4-Settings!$C$7),"")</f>
        <v/>
      </c>
      <c r="R38" s="24">
        <f>IFERROR(INDEX(MitAll,$AA38,$Z38+1+R$4-Settings!$C$7),"")</f>
        <v/>
      </c>
      <c r="S38" s="24">
        <f>IFERROR(INDEX(MitAll,$AA38,$Z38+1+S$4-Settings!$C$7),"")</f>
        <v/>
      </c>
      <c r="T38" s="24">
        <f>IFERROR(INDEX(MitAll,$AA38,$Z38+1+T$4-Settings!$C$7),"")</f>
        <v/>
      </c>
      <c r="U38" s="24">
        <f>IFERROR(INDEX(MitAll,$AA38,$Z38+1+U$4-Settings!$C$7),"")</f>
        <v/>
      </c>
      <c r="V38" s="24">
        <f>IFERROR(INDEX(MitAll,$AA38,$Z38+1+V$4-Settings!$C$7),"")</f>
        <v/>
      </c>
      <c r="W38" s="24">
        <f>IFERROR(INDEX(MitAll,$AA38,$Z38+1+W$4-Settings!$C$7),"")</f>
        <v/>
      </c>
      <c r="X38" s="24">
        <f>IFERROR(INDEX(MitAll,$AA38,$Z38+1+X$4-Settings!$C$7),"")</f>
        <v/>
      </c>
      <c r="Y38" s="24">
        <f>IFERROR(INDEX(MitAll,$AA38,$Z38+1+Y$4-Settings!$C$7),"")</f>
        <v/>
      </c>
      <c r="Z38" s="10">
        <f>MATCH($E38,MitScen,0)</f>
        <v/>
      </c>
      <c r="AA38" s="10">
        <f>MATCH($A38,INDEX(MitAll,0,$Z38),0)</f>
        <v/>
      </c>
    </row>
    <row r="39">
      <c r="A39" s="11">
        <f>LOWER(Settings!$C$4)&amp;"."&amp;$B39&amp;"."&amp;$E39</f>
        <v/>
      </c>
      <c r="B39" s="22" t="inlineStr">
        <is>
          <t>mit.rp.res.ecy</t>
        </is>
      </c>
      <c r="C39" s="14">
        <f>IFERROR(INDEX(MitDesc,$AA39),"code not found")</f>
        <v/>
      </c>
      <c r="D39" s="14">
        <f>IFERROR(INDEX(MitUnit,$AA39),"")</f>
        <v/>
      </c>
      <c r="E39" s="10">
        <f>E38</f>
        <v/>
      </c>
      <c r="F39" s="15">
        <f>IFERROR(INDEX(MitAll,$AA39,$Z39+1+F$4-Settings!$C$7),"")</f>
        <v/>
      </c>
      <c r="G39" s="16">
        <f>IFERROR(INDEX(MitAll,$AA39,$Z39+1+G$4-Settings!$C$7),"")</f>
        <v/>
      </c>
      <c r="H39" s="16">
        <f>IFERROR(INDEX(MitAll,$AA39,$Z39+1+H$4-Settings!$C$7),"")</f>
        <v/>
      </c>
      <c r="I39" s="16">
        <f>IFERROR(INDEX(MitAll,$AA39,$Z39+1+I$4-Settings!$C$7),"")</f>
        <v/>
      </c>
      <c r="J39" s="16">
        <f>IFERROR(INDEX(MitAll,$AA39,$Z39+1+J$4-Settings!$C$7),"")</f>
        <v/>
      </c>
      <c r="K39" s="16">
        <f>IFERROR(INDEX(MitAll,$AA39,$Z39+1+K$4-Settings!$C$7),"")</f>
        <v/>
      </c>
      <c r="L39" s="16">
        <f>IFERROR(INDEX(MitAll,$AA39,$Z39+1+L$4-Settings!$C$7),"")</f>
        <v/>
      </c>
      <c r="M39" s="16">
        <f>IFERROR(INDEX(MitAll,$AA39,$Z39+1+M$4-Settings!$C$7),"")</f>
        <v/>
      </c>
      <c r="N39" s="16">
        <f>IFERROR(INDEX(MitAll,$AA39,$Z39+1+N$4-Settings!$C$7),"")</f>
        <v/>
      </c>
      <c r="O39" s="16">
        <f>IFERROR(INDEX(MitAll,$AA39,$Z39+1+O$4-Settings!$C$7),"")</f>
        <v/>
      </c>
      <c r="P39" s="16">
        <f>IFERROR(INDEX(MitAll,$AA39,$Z39+1+P$4-Settings!$C$7),"")</f>
        <v/>
      </c>
      <c r="Q39" s="16">
        <f>IFERROR(INDEX(MitAll,$AA39,$Z39+1+Q$4-Settings!$C$7),"")</f>
        <v/>
      </c>
      <c r="R39" s="16">
        <f>IFERROR(INDEX(MitAll,$AA39,$Z39+1+R$4-Settings!$C$7),"")</f>
        <v/>
      </c>
      <c r="S39" s="16">
        <f>IFERROR(INDEX(MitAll,$AA39,$Z39+1+S$4-Settings!$C$7),"")</f>
        <v/>
      </c>
      <c r="T39" s="16">
        <f>IFERROR(INDEX(MitAll,$AA39,$Z39+1+T$4-Settings!$C$7),"")</f>
        <v/>
      </c>
      <c r="U39" s="16">
        <f>IFERROR(INDEX(MitAll,$AA39,$Z39+1+U$4-Settings!$C$7),"")</f>
        <v/>
      </c>
      <c r="V39" s="16">
        <f>IFERROR(INDEX(MitAll,$AA39,$Z39+1+V$4-Settings!$C$7),"")</f>
        <v/>
      </c>
      <c r="W39" s="16">
        <f>IFERROR(INDEX(MitAll,$AA39,$Z39+1+W$4-Settings!$C$7),"")</f>
        <v/>
      </c>
      <c r="X39" s="16">
        <f>IFERROR(INDEX(MitAll,$AA39,$Z39+1+X$4-Settings!$C$7),"")</f>
        <v/>
      </c>
      <c r="Y39" s="16">
        <f>IFERROR(INDEX(MitAll,$AA39,$Z39+1+Y$4-Settings!$C$7),"")</f>
        <v/>
      </c>
      <c r="Z39" s="10">
        <f>MATCH($E39,MitScen,0)</f>
        <v/>
      </c>
      <c r="AA39" s="10">
        <f>MATCH($A39,INDEX(MitAll,0,$Z39),0)</f>
        <v/>
      </c>
    </row>
    <row r="40">
      <c r="A40" s="11">
        <f>LOWER(Settings!$C$4)&amp;"."&amp;$B40&amp;"."&amp;$E40</f>
        <v/>
      </c>
      <c r="B40" s="22" t="inlineStr">
        <is>
          <t>mit.rp.ind.ecy</t>
        </is>
      </c>
      <c r="C40" s="14">
        <f>IFERROR(INDEX(MitDesc,$AA40),"code not found")</f>
        <v/>
      </c>
      <c r="D40" s="14">
        <f>IFERROR(INDEX(MitUnit,$AA40),"")</f>
        <v/>
      </c>
      <c r="E40" s="10">
        <f>E39</f>
        <v/>
      </c>
      <c r="F40" s="15">
        <f>IFERROR(INDEX(MitAll,$AA40,$Z40+1+F$4-Settings!$C$7),"")</f>
        <v/>
      </c>
      <c r="G40" s="16">
        <f>IFERROR(INDEX(MitAll,$AA40,$Z40+1+G$4-Settings!$C$7),"")</f>
        <v/>
      </c>
      <c r="H40" s="16">
        <f>IFERROR(INDEX(MitAll,$AA40,$Z40+1+H$4-Settings!$C$7),"")</f>
        <v/>
      </c>
      <c r="I40" s="16">
        <f>IFERROR(INDEX(MitAll,$AA40,$Z40+1+I$4-Settings!$C$7),"")</f>
        <v/>
      </c>
      <c r="J40" s="16">
        <f>IFERROR(INDEX(MitAll,$AA40,$Z40+1+J$4-Settings!$C$7),"")</f>
        <v/>
      </c>
      <c r="K40" s="16">
        <f>IFERROR(INDEX(MitAll,$AA40,$Z40+1+K$4-Settings!$C$7),"")</f>
        <v/>
      </c>
      <c r="L40" s="16">
        <f>IFERROR(INDEX(MitAll,$AA40,$Z40+1+L$4-Settings!$C$7),"")</f>
        <v/>
      </c>
      <c r="M40" s="16">
        <f>IFERROR(INDEX(MitAll,$AA40,$Z40+1+M$4-Settings!$C$7),"")</f>
        <v/>
      </c>
      <c r="N40" s="16">
        <f>IFERROR(INDEX(MitAll,$AA40,$Z40+1+N$4-Settings!$C$7),"")</f>
        <v/>
      </c>
      <c r="O40" s="16">
        <f>IFERROR(INDEX(MitAll,$AA40,$Z40+1+O$4-Settings!$C$7),"")</f>
        <v/>
      </c>
      <c r="P40" s="16">
        <f>IFERROR(INDEX(MitAll,$AA40,$Z40+1+P$4-Settings!$C$7),"")</f>
        <v/>
      </c>
      <c r="Q40" s="16">
        <f>IFERROR(INDEX(MitAll,$AA40,$Z40+1+Q$4-Settings!$C$7),"")</f>
        <v/>
      </c>
      <c r="R40" s="16">
        <f>IFERROR(INDEX(MitAll,$AA40,$Z40+1+R$4-Settings!$C$7),"")</f>
        <v/>
      </c>
      <c r="S40" s="16">
        <f>IFERROR(INDEX(MitAll,$AA40,$Z40+1+S$4-Settings!$C$7),"")</f>
        <v/>
      </c>
      <c r="T40" s="16">
        <f>IFERROR(INDEX(MitAll,$AA40,$Z40+1+T$4-Settings!$C$7),"")</f>
        <v/>
      </c>
      <c r="U40" s="16">
        <f>IFERROR(INDEX(MitAll,$AA40,$Z40+1+U$4-Settings!$C$7),"")</f>
        <v/>
      </c>
      <c r="V40" s="16">
        <f>IFERROR(INDEX(MitAll,$AA40,$Z40+1+V$4-Settings!$C$7),"")</f>
        <v/>
      </c>
      <c r="W40" s="16">
        <f>IFERROR(INDEX(MitAll,$AA40,$Z40+1+W$4-Settings!$C$7),"")</f>
        <v/>
      </c>
      <c r="X40" s="16">
        <f>IFERROR(INDEX(MitAll,$AA40,$Z40+1+X$4-Settings!$C$7),"")</f>
        <v/>
      </c>
      <c r="Y40" s="16">
        <f>IFERROR(INDEX(MitAll,$AA40,$Z40+1+Y$4-Settings!$C$7),"")</f>
        <v/>
      </c>
      <c r="Z40" s="10">
        <f>MATCH($E40,MitScen,0)</f>
        <v/>
      </c>
      <c r="AA40" s="10">
        <f>MATCH($A40,INDEX(MitAll,0,$Z40),0)</f>
        <v/>
      </c>
    </row>
    <row r="41">
      <c r="A41" s="11">
        <f>LOWER(Settings!$C$4)&amp;"."&amp;$B41&amp;"."&amp;$E41</f>
        <v/>
      </c>
      <c r="B41" s="22" t="inlineStr">
        <is>
          <t>mit.gncav</t>
        </is>
      </c>
      <c r="C41" s="14">
        <f>IFERROR(INDEX(MitDesc,$AA41),"code not found")</f>
        <v/>
      </c>
      <c r="D41" s="14">
        <f>IFERROR(INDEX(MitUnit,$AA41),"")</f>
        <v/>
      </c>
      <c r="E41" s="10">
        <f>E40</f>
        <v/>
      </c>
      <c r="F41" s="15">
        <f>IFERROR(INDEX(MitAll,$AA41,$Z41+1+F$4-Settings!$C$7),"")</f>
        <v/>
      </c>
      <c r="G41" s="16">
        <f>IFERROR(INDEX(MitAll,$AA41,$Z41+1+G$4-Settings!$C$7),"")</f>
        <v/>
      </c>
      <c r="H41" s="16">
        <f>IFERROR(INDEX(MitAll,$AA41,$Z41+1+H$4-Settings!$C$7),"")</f>
        <v/>
      </c>
      <c r="I41" s="16">
        <f>IFERROR(INDEX(MitAll,$AA41,$Z41+1+I$4-Settings!$C$7),"")</f>
        <v/>
      </c>
      <c r="J41" s="16">
        <f>IFERROR(INDEX(MitAll,$AA41,$Z41+1+J$4-Settings!$C$7),"")</f>
        <v/>
      </c>
      <c r="K41" s="16">
        <f>IFERROR(INDEX(MitAll,$AA41,$Z41+1+K$4-Settings!$C$7),"")</f>
        <v/>
      </c>
      <c r="L41" s="16">
        <f>IFERROR(INDEX(MitAll,$AA41,$Z41+1+L$4-Settings!$C$7),"")</f>
        <v/>
      </c>
      <c r="M41" s="16">
        <f>IFERROR(INDEX(MitAll,$AA41,$Z41+1+M$4-Settings!$C$7),"")</f>
        <v/>
      </c>
      <c r="N41" s="16">
        <f>IFERROR(INDEX(MitAll,$AA41,$Z41+1+N$4-Settings!$C$7),"")</f>
        <v/>
      </c>
      <c r="O41" s="16">
        <f>IFERROR(INDEX(MitAll,$AA41,$Z41+1+O$4-Settings!$C$7),"")</f>
        <v/>
      </c>
      <c r="P41" s="16">
        <f>IFERROR(INDEX(MitAll,$AA41,$Z41+1+P$4-Settings!$C$7),"")</f>
        <v/>
      </c>
      <c r="Q41" s="16">
        <f>IFERROR(INDEX(MitAll,$AA41,$Z41+1+Q$4-Settings!$C$7),"")</f>
        <v/>
      </c>
      <c r="R41" s="16">
        <f>IFERROR(INDEX(MitAll,$AA41,$Z41+1+R$4-Settings!$C$7),"")</f>
        <v/>
      </c>
      <c r="S41" s="16">
        <f>IFERROR(INDEX(MitAll,$AA41,$Z41+1+S$4-Settings!$C$7),"")</f>
        <v/>
      </c>
      <c r="T41" s="16">
        <f>IFERROR(INDEX(MitAll,$AA41,$Z41+1+T$4-Settings!$C$7),"")</f>
        <v/>
      </c>
      <c r="U41" s="16">
        <f>IFERROR(INDEX(MitAll,$AA41,$Z41+1+U$4-Settings!$C$7),"")</f>
        <v/>
      </c>
      <c r="V41" s="16">
        <f>IFERROR(INDEX(MitAll,$AA41,$Z41+1+V$4-Settings!$C$7),"")</f>
        <v/>
      </c>
      <c r="W41" s="16">
        <f>IFERROR(INDEX(MitAll,$AA41,$Z41+1+W$4-Settings!$C$7),"")</f>
        <v/>
      </c>
      <c r="X41" s="16">
        <f>IFERROR(INDEX(MitAll,$AA41,$Z41+1+X$4-Settings!$C$7),"")</f>
        <v/>
      </c>
      <c r="Y41" s="16">
        <f>IFERROR(INDEX(MitAll,$AA41,$Z41+1+Y$4-Settings!$C$7),"")</f>
        <v/>
      </c>
      <c r="Z41" s="10">
        <f>MATCH($E41,MitScen,0)</f>
        <v/>
      </c>
      <c r="AA41" s="10">
        <f>MATCH($A41,INDEX(MitAll,0,$Z41),0)</f>
        <v/>
      </c>
    </row>
    <row r="42">
      <c r="A42" s="11">
        <f>LOWER(Settings!$C$4)&amp;"."&amp;$B42&amp;"."&amp;$E42</f>
        <v/>
      </c>
      <c r="B42" s="22" t="inlineStr">
        <is>
          <t>mit.co2.pow.all.e</t>
        </is>
      </c>
      <c r="C42" s="14">
        <f>IFERROR(INDEX(MitDesc,$AA42),"code not found")</f>
        <v/>
      </c>
      <c r="D42" s="14">
        <f>IFERROR(INDEX(MitUnit,$AA42),"")</f>
        <v/>
      </c>
      <c r="E42" s="10">
        <f>E41</f>
        <v/>
      </c>
      <c r="F42" s="43">
        <f>IFERROR(INDEX(MitAll,$AA42,$Z42+1+F$4-Settings!$C$7),"")</f>
        <v/>
      </c>
      <c r="G42" s="44">
        <f>IFERROR(INDEX(MitAll,$AA42,$Z42+1+G$4-Settings!$C$7),"")</f>
        <v/>
      </c>
      <c r="H42" s="44">
        <f>IFERROR(INDEX(MitAll,$AA42,$Z42+1+H$4-Settings!$C$7),"")</f>
        <v/>
      </c>
      <c r="I42" s="44">
        <f>IFERROR(INDEX(MitAll,$AA42,$Z42+1+I$4-Settings!$C$7),"")</f>
        <v/>
      </c>
      <c r="J42" s="44">
        <f>IFERROR(INDEX(MitAll,$AA42,$Z42+1+J$4-Settings!$C$7),"")</f>
        <v/>
      </c>
      <c r="K42" s="44">
        <f>IFERROR(INDEX(MitAll,$AA42,$Z42+1+K$4-Settings!$C$7),"")</f>
        <v/>
      </c>
      <c r="L42" s="44">
        <f>IFERROR(INDEX(MitAll,$AA42,$Z42+1+L$4-Settings!$C$7),"")</f>
        <v/>
      </c>
      <c r="M42" s="44">
        <f>IFERROR(INDEX(MitAll,$AA42,$Z42+1+M$4-Settings!$C$7),"")</f>
        <v/>
      </c>
      <c r="N42" s="44">
        <f>IFERROR(INDEX(MitAll,$AA42,$Z42+1+N$4-Settings!$C$7),"")</f>
        <v/>
      </c>
      <c r="O42" s="44">
        <f>IFERROR(INDEX(MitAll,$AA42,$Z42+1+O$4-Settings!$C$7),"")</f>
        <v/>
      </c>
      <c r="P42" s="44">
        <f>IFERROR(INDEX(MitAll,$AA42,$Z42+1+P$4-Settings!$C$7),"")</f>
        <v/>
      </c>
      <c r="Q42" s="44">
        <f>IFERROR(INDEX(MitAll,$AA42,$Z42+1+Q$4-Settings!$C$7),"")</f>
        <v/>
      </c>
      <c r="R42" s="44">
        <f>IFERROR(INDEX(MitAll,$AA42,$Z42+1+R$4-Settings!$C$7),"")</f>
        <v/>
      </c>
      <c r="S42" s="44">
        <f>IFERROR(INDEX(MitAll,$AA42,$Z42+1+S$4-Settings!$C$7),"")</f>
        <v/>
      </c>
      <c r="T42" s="44">
        <f>IFERROR(INDEX(MitAll,$AA42,$Z42+1+T$4-Settings!$C$7),"")</f>
        <v/>
      </c>
      <c r="U42" s="44">
        <f>IFERROR(INDEX(MitAll,$AA42,$Z42+1+U$4-Settings!$C$7),"")</f>
        <v/>
      </c>
      <c r="V42" s="44">
        <f>IFERROR(INDEX(MitAll,$AA42,$Z42+1+V$4-Settings!$C$7),"")</f>
        <v/>
      </c>
      <c r="W42" s="44">
        <f>IFERROR(INDEX(MitAll,$AA42,$Z42+1+W$4-Settings!$C$7),"")</f>
        <v/>
      </c>
      <c r="X42" s="44">
        <f>IFERROR(INDEX(MitAll,$AA42,$Z42+1+X$4-Settings!$C$7),"")</f>
        <v/>
      </c>
      <c r="Y42" s="44">
        <f>IFERROR(INDEX(MitAll,$AA42,$Z42+1+Y$4-Settings!$C$7),"")</f>
        <v/>
      </c>
      <c r="Z42" s="10">
        <f>MATCH($E42,MitScen,0)</f>
        <v/>
      </c>
      <c r="AA42" s="10">
        <f>MATCH($A42,INDEX(MitAll,0,$Z42),0)</f>
        <v/>
      </c>
    </row>
    <row r="43">
      <c r="A43" s="11">
        <f>LOWER(Settings!$C$4)&amp;"."&amp;$B43&amp;"."&amp;$E43</f>
        <v/>
      </c>
      <c r="B43" s="22" t="inlineStr">
        <is>
          <t>mit.gtot</t>
        </is>
      </c>
      <c r="C43" s="14">
        <f>IFERROR(INDEX(MitDesc,$AA43),"code not found")</f>
        <v/>
      </c>
      <c r="D43" s="14">
        <f>IFERROR(INDEX(MitUnit,$AA43),"")</f>
        <v/>
      </c>
      <c r="E43" s="10">
        <f>E42</f>
        <v/>
      </c>
      <c r="F43" s="46">
        <f>IFERROR(INDEX(MitAll,$AA43,$Z43+1+F$4-Settings!$C$7),"")</f>
        <v/>
      </c>
      <c r="G43" s="47">
        <f>IFERROR(INDEX(MitAll,$AA43,$Z43+1+G$4-Settings!$C$7),"")</f>
        <v/>
      </c>
      <c r="H43" s="47">
        <f>IFERROR(INDEX(MitAll,$AA43,$Z43+1+H$4-Settings!$C$7),"")</f>
        <v/>
      </c>
      <c r="I43" s="47">
        <f>IFERROR(INDEX(MitAll,$AA43,$Z43+1+I$4-Settings!$C$7),"")</f>
        <v/>
      </c>
      <c r="J43" s="47">
        <f>IFERROR(INDEX(MitAll,$AA43,$Z43+1+J$4-Settings!$C$7),"")</f>
        <v/>
      </c>
      <c r="K43" s="47">
        <f>IFERROR(INDEX(MitAll,$AA43,$Z43+1+K$4-Settings!$C$7),"")</f>
        <v/>
      </c>
      <c r="L43" s="47">
        <f>IFERROR(INDEX(MitAll,$AA43,$Z43+1+L$4-Settings!$C$7),"")</f>
        <v/>
      </c>
      <c r="M43" s="47">
        <f>IFERROR(INDEX(MitAll,$AA43,$Z43+1+M$4-Settings!$C$7),"")</f>
        <v/>
      </c>
      <c r="N43" s="47">
        <f>IFERROR(INDEX(MitAll,$AA43,$Z43+1+N$4-Settings!$C$7),"")</f>
        <v/>
      </c>
      <c r="O43" s="47">
        <f>IFERROR(INDEX(MitAll,$AA43,$Z43+1+O$4-Settings!$C$7),"")</f>
        <v/>
      </c>
      <c r="P43" s="47">
        <f>IFERROR(INDEX(MitAll,$AA43,$Z43+1+P$4-Settings!$C$7),"")</f>
        <v/>
      </c>
      <c r="Q43" s="47">
        <f>IFERROR(INDEX(MitAll,$AA43,$Z43+1+Q$4-Settings!$C$7),"")</f>
        <v/>
      </c>
      <c r="R43" s="47">
        <f>IFERROR(INDEX(MitAll,$AA43,$Z43+1+R$4-Settings!$C$7),"")</f>
        <v/>
      </c>
      <c r="S43" s="47">
        <f>IFERROR(INDEX(MitAll,$AA43,$Z43+1+S$4-Settings!$C$7),"")</f>
        <v/>
      </c>
      <c r="T43" s="47">
        <f>IFERROR(INDEX(MitAll,$AA43,$Z43+1+T$4-Settings!$C$7),"")</f>
        <v/>
      </c>
      <c r="U43" s="47">
        <f>IFERROR(INDEX(MitAll,$AA43,$Z43+1+U$4-Settings!$C$7),"")</f>
        <v/>
      </c>
      <c r="V43" s="47">
        <f>IFERROR(INDEX(MitAll,$AA43,$Z43+1+V$4-Settings!$C$7),"")</f>
        <v/>
      </c>
      <c r="W43" s="47">
        <f>IFERROR(INDEX(MitAll,$AA43,$Z43+1+W$4-Settings!$C$7),"")</f>
        <v/>
      </c>
      <c r="X43" s="47">
        <f>IFERROR(INDEX(MitAll,$AA43,$Z43+1+X$4-Settings!$C$7),"")</f>
        <v/>
      </c>
      <c r="Y43" s="47">
        <f>IFERROR(INDEX(MitAll,$AA43,$Z43+1+Y$4-Settings!$C$7),"")</f>
        <v/>
      </c>
      <c r="Z43" s="10">
        <f>MATCH($E43,MitScen,0)</f>
        <v/>
      </c>
      <c r="AA43" s="10">
        <f>MATCH($A43,INDEX(MitAll,0,$Z43),0)</f>
        <v/>
      </c>
    </row>
    <row r="44">
      <c r="A44" s="11">
        <f>LOWER(Settings!$C$4)&amp;"."&amp;$B44&amp;"."&amp;$E44</f>
        <v/>
      </c>
      <c r="B44" s="22" t="inlineStr">
        <is>
          <t>mit.vre</t>
        </is>
      </c>
      <c r="C44" s="14">
        <f>IFERROR(INDEX(MitDesc,$AA44),"code not found")</f>
        <v/>
      </c>
      <c r="D44" s="14">
        <f>IFERROR(INDEX(MitUnit,$AA44),"")</f>
        <v/>
      </c>
      <c r="E44" s="10">
        <f>E43</f>
        <v/>
      </c>
      <c r="F44" s="12">
        <f>IFERROR(INDEX(MitAll,$AA44,$Z44+1+F$4-Settings!$C$7),"")</f>
        <v/>
      </c>
      <c r="G44" s="13">
        <f>IFERROR(INDEX(MitAll,$AA44,$Z44+1+G$4-Settings!$C$7),"")</f>
        <v/>
      </c>
      <c r="H44" s="13">
        <f>IFERROR(INDEX(MitAll,$AA44,$Z44+1+H$4-Settings!$C$7),"")</f>
        <v/>
      </c>
      <c r="I44" s="13">
        <f>IFERROR(INDEX(MitAll,$AA44,$Z44+1+I$4-Settings!$C$7),"")</f>
        <v/>
      </c>
      <c r="J44" s="13">
        <f>IFERROR(INDEX(MitAll,$AA44,$Z44+1+J$4-Settings!$C$7),"")</f>
        <v/>
      </c>
      <c r="K44" s="13">
        <f>IFERROR(INDEX(MitAll,$AA44,$Z44+1+K$4-Settings!$C$7),"")</f>
        <v/>
      </c>
      <c r="L44" s="13">
        <f>IFERROR(INDEX(MitAll,$AA44,$Z44+1+L$4-Settings!$C$7),"")</f>
        <v/>
      </c>
      <c r="M44" s="13">
        <f>IFERROR(INDEX(MitAll,$AA44,$Z44+1+M$4-Settings!$C$7),"")</f>
        <v/>
      </c>
      <c r="N44" s="13">
        <f>IFERROR(INDEX(MitAll,$AA44,$Z44+1+N$4-Settings!$C$7),"")</f>
        <v/>
      </c>
      <c r="O44" s="13">
        <f>IFERROR(INDEX(MitAll,$AA44,$Z44+1+O$4-Settings!$C$7),"")</f>
        <v/>
      </c>
      <c r="P44" s="13">
        <f>IFERROR(INDEX(MitAll,$AA44,$Z44+1+P$4-Settings!$C$7),"")</f>
        <v/>
      </c>
      <c r="Q44" s="13">
        <f>IFERROR(INDEX(MitAll,$AA44,$Z44+1+Q$4-Settings!$C$7),"")</f>
        <v/>
      </c>
      <c r="R44" s="13">
        <f>IFERROR(INDEX(MitAll,$AA44,$Z44+1+R$4-Settings!$C$7),"")</f>
        <v/>
      </c>
      <c r="S44" s="13">
        <f>IFERROR(INDEX(MitAll,$AA44,$Z44+1+S$4-Settings!$C$7),"")</f>
        <v/>
      </c>
      <c r="T44" s="13">
        <f>IFERROR(INDEX(MitAll,$AA44,$Z44+1+T$4-Settings!$C$7),"")</f>
        <v/>
      </c>
      <c r="U44" s="13">
        <f>IFERROR(INDEX(MitAll,$AA44,$Z44+1+U$4-Settings!$C$7),"")</f>
        <v/>
      </c>
      <c r="V44" s="13">
        <f>IFERROR(INDEX(MitAll,$AA44,$Z44+1+V$4-Settings!$C$7),"")</f>
        <v/>
      </c>
      <c r="W44" s="13">
        <f>IFERROR(INDEX(MitAll,$AA44,$Z44+1+W$4-Settings!$C$7),"")</f>
        <v/>
      </c>
      <c r="X44" s="13">
        <f>IFERROR(INDEX(MitAll,$AA44,$Z44+1+X$4-Settings!$C$7),"")</f>
        <v/>
      </c>
      <c r="Y44" s="13">
        <f>IFERROR(INDEX(MitAll,$AA44,$Z44+1+Y$4-Settings!$C$7),"")</f>
        <v/>
      </c>
      <c r="Z44" s="10">
        <f>MATCH($E44,MitScen,0)</f>
        <v/>
      </c>
      <c r="AA44" s="10">
        <f>MATCH($A44,INDEX(MitAll,0,$Z44),0)</f>
        <v/>
      </c>
    </row>
    <row r="45">
      <c r="A45" s="11">
        <f>LOWER(Settings!$C$4)&amp;"."&amp;$B45&amp;"."&amp;$E45</f>
        <v/>
      </c>
      <c r="B45" s="22" t="inlineStr">
        <is>
          <t>mit.shr.pow.nga</t>
        </is>
      </c>
      <c r="C45" s="14">
        <f>IFERROR(INDEX(MitDesc,$AA45),"code not found")</f>
        <v/>
      </c>
      <c r="D45" s="14">
        <f>IFERROR(INDEX(MitUnit,$AA45),"")</f>
        <v/>
      </c>
      <c r="E45" s="10">
        <f>E44</f>
        <v/>
      </c>
      <c r="F45" s="12">
        <f>IFERROR(INDEX(MitAll,$AA45,$Z45+1+F$4-Settings!$C$7),"")</f>
        <v/>
      </c>
      <c r="G45" s="13">
        <f>IFERROR(INDEX(MitAll,$AA45,$Z45+1+G$4-Settings!$C$7),"")</f>
        <v/>
      </c>
      <c r="H45" s="13">
        <f>IFERROR(INDEX(MitAll,$AA45,$Z45+1+H$4-Settings!$C$7),"")</f>
        <v/>
      </c>
      <c r="I45" s="13">
        <f>IFERROR(INDEX(MitAll,$AA45,$Z45+1+I$4-Settings!$C$7),"")</f>
        <v/>
      </c>
      <c r="J45" s="13">
        <f>IFERROR(INDEX(MitAll,$AA45,$Z45+1+J$4-Settings!$C$7),"")</f>
        <v/>
      </c>
      <c r="K45" s="13">
        <f>IFERROR(INDEX(MitAll,$AA45,$Z45+1+K$4-Settings!$C$7),"")</f>
        <v/>
      </c>
      <c r="L45" s="13">
        <f>IFERROR(INDEX(MitAll,$AA45,$Z45+1+L$4-Settings!$C$7),"")</f>
        <v/>
      </c>
      <c r="M45" s="13">
        <f>IFERROR(INDEX(MitAll,$AA45,$Z45+1+M$4-Settings!$C$7),"")</f>
        <v/>
      </c>
      <c r="N45" s="13">
        <f>IFERROR(INDEX(MitAll,$AA45,$Z45+1+N$4-Settings!$C$7),"")</f>
        <v/>
      </c>
      <c r="O45" s="13">
        <f>IFERROR(INDEX(MitAll,$AA45,$Z45+1+O$4-Settings!$C$7),"")</f>
        <v/>
      </c>
      <c r="P45" s="13">
        <f>IFERROR(INDEX(MitAll,$AA45,$Z45+1+P$4-Settings!$C$7),"")</f>
        <v/>
      </c>
      <c r="Q45" s="13">
        <f>IFERROR(INDEX(MitAll,$AA45,$Z45+1+Q$4-Settings!$C$7),"")</f>
        <v/>
      </c>
      <c r="R45" s="13">
        <f>IFERROR(INDEX(MitAll,$AA45,$Z45+1+R$4-Settings!$C$7),"")</f>
        <v/>
      </c>
      <c r="S45" s="13">
        <f>IFERROR(INDEX(MitAll,$AA45,$Z45+1+S$4-Settings!$C$7),"")</f>
        <v/>
      </c>
      <c r="T45" s="13">
        <f>IFERROR(INDEX(MitAll,$AA45,$Z45+1+T$4-Settings!$C$7),"")</f>
        <v/>
      </c>
      <c r="U45" s="13">
        <f>IFERROR(INDEX(MitAll,$AA45,$Z45+1+U$4-Settings!$C$7),"")</f>
        <v/>
      </c>
      <c r="V45" s="13">
        <f>IFERROR(INDEX(MitAll,$AA45,$Z45+1+V$4-Settings!$C$7),"")</f>
        <v/>
      </c>
      <c r="W45" s="13">
        <f>IFERROR(INDEX(MitAll,$AA45,$Z45+1+W$4-Settings!$C$7),"")</f>
        <v/>
      </c>
      <c r="X45" s="13">
        <f>IFERROR(INDEX(MitAll,$AA45,$Z45+1+X$4-Settings!$C$7),"")</f>
        <v/>
      </c>
      <c r="Y45" s="13">
        <f>IFERROR(INDEX(MitAll,$AA45,$Z45+1+Y$4-Settings!$C$7),"")</f>
        <v/>
      </c>
      <c r="Z45" s="10">
        <f>MATCH($E45,MitScen,0)</f>
        <v/>
      </c>
      <c r="AA45" s="10">
        <f>MATCH($A45,INDEX(MitAll,0,$Z45),0)</f>
        <v/>
      </c>
    </row>
    <row r="46">
      <c r="A46" s="11">
        <f>LOWER(Settings!$C$4)&amp;"."&amp;$B46&amp;"."&amp;$E46</f>
        <v/>
      </c>
      <c r="B46" s="22" t="inlineStr">
        <is>
          <t>mit.usdtot</t>
        </is>
      </c>
      <c r="C46" s="14">
        <f>IFERROR(INDEX(MitDesc,$AA46),"code not found")</f>
        <v/>
      </c>
      <c r="D46" s="14">
        <f>IFERROR(INDEX(MitUnit,$AA46),"")</f>
        <v/>
      </c>
      <c r="E46" s="10">
        <f>E45</f>
        <v/>
      </c>
      <c r="F46" s="46">
        <f>IFERROR(INDEX(MitAll,$AA46,$Z46+1+F$4-Settings!$C$7),"")</f>
        <v/>
      </c>
      <c r="G46" s="47">
        <f>IFERROR(INDEX(MitAll,$AA46,$Z46+1+G$4-Settings!$C$7),"")</f>
        <v/>
      </c>
      <c r="H46" s="47">
        <f>IFERROR(INDEX(MitAll,$AA46,$Z46+1+H$4-Settings!$C$7),"")</f>
        <v/>
      </c>
      <c r="I46" s="47">
        <f>IFERROR(INDEX(MitAll,$AA46,$Z46+1+I$4-Settings!$C$7),"")</f>
        <v/>
      </c>
      <c r="J46" s="47">
        <f>IFERROR(INDEX(MitAll,$AA46,$Z46+1+J$4-Settings!$C$7),"")</f>
        <v/>
      </c>
      <c r="K46" s="47">
        <f>IFERROR(INDEX(MitAll,$AA46,$Z46+1+K$4-Settings!$C$7),"")</f>
        <v/>
      </c>
      <c r="L46" s="47">
        <f>IFERROR(INDEX(MitAll,$AA46,$Z46+1+L$4-Settings!$C$7),"")</f>
        <v/>
      </c>
      <c r="M46" s="47">
        <f>IFERROR(INDEX(MitAll,$AA46,$Z46+1+M$4-Settings!$C$7),"")</f>
        <v/>
      </c>
      <c r="N46" s="47">
        <f>IFERROR(INDEX(MitAll,$AA46,$Z46+1+N$4-Settings!$C$7),"")</f>
        <v/>
      </c>
      <c r="O46" s="47">
        <f>IFERROR(INDEX(MitAll,$AA46,$Z46+1+O$4-Settings!$C$7),"")</f>
        <v/>
      </c>
      <c r="P46" s="47">
        <f>IFERROR(INDEX(MitAll,$AA46,$Z46+1+P$4-Settings!$C$7),"")</f>
        <v/>
      </c>
      <c r="Q46" s="47">
        <f>IFERROR(INDEX(MitAll,$AA46,$Z46+1+Q$4-Settings!$C$7),"")</f>
        <v/>
      </c>
      <c r="R46" s="47">
        <f>IFERROR(INDEX(MitAll,$AA46,$Z46+1+R$4-Settings!$C$7),"")</f>
        <v/>
      </c>
      <c r="S46" s="47">
        <f>IFERROR(INDEX(MitAll,$AA46,$Z46+1+S$4-Settings!$C$7),"")</f>
        <v/>
      </c>
      <c r="T46" s="47">
        <f>IFERROR(INDEX(MitAll,$AA46,$Z46+1+T$4-Settings!$C$7),"")</f>
        <v/>
      </c>
      <c r="U46" s="47">
        <f>IFERROR(INDEX(MitAll,$AA46,$Z46+1+U$4-Settings!$C$7),"")</f>
        <v/>
      </c>
      <c r="V46" s="47">
        <f>IFERROR(INDEX(MitAll,$AA46,$Z46+1+V$4-Settings!$C$7),"")</f>
        <v/>
      </c>
      <c r="W46" s="47">
        <f>IFERROR(INDEX(MitAll,$AA46,$Z46+1+W$4-Settings!$C$7),"")</f>
        <v/>
      </c>
      <c r="X46" s="47">
        <f>IFERROR(INDEX(MitAll,$AA46,$Z46+1+X$4-Settings!$C$7),"")</f>
        <v/>
      </c>
      <c r="Y46" s="47">
        <f>IFERROR(INDEX(MitAll,$AA46,$Z46+1+Y$4-Settings!$C$7),"")</f>
        <v/>
      </c>
      <c r="Z46" s="10">
        <f>MATCH($E46,MitScen,0)</f>
        <v/>
      </c>
      <c r="AA46" s="10">
        <f>MATCH($A46,INDEX(MitAll,0,$Z46),0)</f>
        <v/>
      </c>
    </row>
    <row r="47">
      <c r="A47" s="11">
        <f>LOWER(Settings!$C$4)&amp;"."&amp;$B47&amp;"."&amp;$E47</f>
        <v/>
      </c>
      <c r="B47" s="22" t="inlineStr">
        <is>
          <t>mit.demtot</t>
        </is>
      </c>
      <c r="C47" s="14">
        <f>IFERROR(INDEX(MitDesc,$AA47),"code not found")</f>
        <v/>
      </c>
      <c r="D47" s="14">
        <f>IFERROR(INDEX(MitUnit,$AA47),"")</f>
        <v/>
      </c>
      <c r="E47" s="10">
        <f>E46</f>
        <v/>
      </c>
      <c r="F47" s="46">
        <f>IFERROR(INDEX(MitAll,$AA47,$Z47+1+F$4-Settings!$C$7),"")</f>
        <v/>
      </c>
      <c r="G47" s="47">
        <f>IFERROR(INDEX(MitAll,$AA47,$Z47+1+G$4-Settings!$C$7),"")</f>
        <v/>
      </c>
      <c r="H47" s="47">
        <f>IFERROR(INDEX(MitAll,$AA47,$Z47+1+H$4-Settings!$C$7),"")</f>
        <v/>
      </c>
      <c r="I47" s="47">
        <f>IFERROR(INDEX(MitAll,$AA47,$Z47+1+I$4-Settings!$C$7),"")</f>
        <v/>
      </c>
      <c r="J47" s="47">
        <f>IFERROR(INDEX(MitAll,$AA47,$Z47+1+J$4-Settings!$C$7),"")</f>
        <v/>
      </c>
      <c r="K47" s="47">
        <f>IFERROR(INDEX(MitAll,$AA47,$Z47+1+K$4-Settings!$C$7),"")</f>
        <v/>
      </c>
      <c r="L47" s="47">
        <f>IFERROR(INDEX(MitAll,$AA47,$Z47+1+L$4-Settings!$C$7),"")</f>
        <v/>
      </c>
      <c r="M47" s="47">
        <f>IFERROR(INDEX(MitAll,$AA47,$Z47+1+M$4-Settings!$C$7),"")</f>
        <v/>
      </c>
      <c r="N47" s="47">
        <f>IFERROR(INDEX(MitAll,$AA47,$Z47+1+N$4-Settings!$C$7),"")</f>
        <v/>
      </c>
      <c r="O47" s="47">
        <f>IFERROR(INDEX(MitAll,$AA47,$Z47+1+O$4-Settings!$C$7),"")</f>
        <v/>
      </c>
      <c r="P47" s="47">
        <f>IFERROR(INDEX(MitAll,$AA47,$Z47+1+P$4-Settings!$C$7),"")</f>
        <v/>
      </c>
      <c r="Q47" s="47">
        <f>IFERROR(INDEX(MitAll,$AA47,$Z47+1+Q$4-Settings!$C$7),"")</f>
        <v/>
      </c>
      <c r="R47" s="47">
        <f>IFERROR(INDEX(MitAll,$AA47,$Z47+1+R$4-Settings!$C$7),"")</f>
        <v/>
      </c>
      <c r="S47" s="47">
        <f>IFERROR(INDEX(MitAll,$AA47,$Z47+1+S$4-Settings!$C$7),"")</f>
        <v/>
      </c>
      <c r="T47" s="47">
        <f>IFERROR(INDEX(MitAll,$AA47,$Z47+1+T$4-Settings!$C$7),"")</f>
        <v/>
      </c>
      <c r="U47" s="47">
        <f>IFERROR(INDEX(MitAll,$AA47,$Z47+1+U$4-Settings!$C$7),"")</f>
        <v/>
      </c>
      <c r="V47" s="47">
        <f>IFERROR(INDEX(MitAll,$AA47,$Z47+1+V$4-Settings!$C$7),"")</f>
        <v/>
      </c>
      <c r="W47" s="47">
        <f>IFERROR(INDEX(MitAll,$AA47,$Z47+1+W$4-Settings!$C$7),"")</f>
        <v/>
      </c>
      <c r="X47" s="47">
        <f>IFERROR(INDEX(MitAll,$AA47,$Z47+1+X$4-Settings!$C$7),"")</f>
        <v/>
      </c>
      <c r="Y47" s="47">
        <f>IFERROR(INDEX(MitAll,$AA47,$Z47+1+Y$4-Settings!$C$7),"")</f>
        <v/>
      </c>
      <c r="Z47" s="10">
        <f>MATCH($E47,MitScen,0)</f>
        <v/>
      </c>
      <c r="AA47" s="10">
        <f>MATCH($A47,INDEX(MitAll,0,$Z47),0)</f>
        <v/>
      </c>
    </row>
    <row r="48">
      <c r="A48" s="11">
        <f>LOWER(Settings!$C$4)&amp;"."&amp;$B48&amp;"."&amp;$E48</f>
        <v/>
      </c>
      <c r="B48" s="22" t="inlineStr">
        <is>
          <t>mit.eldem.tra.ecy.e</t>
        </is>
      </c>
      <c r="C48" s="14">
        <f>IFERROR(INDEX(MitDesc,$AA48),"code not found")</f>
        <v/>
      </c>
      <c r="D48" s="14">
        <f>IFERROR(INDEX(MitUnit,$AA48),"")</f>
        <v/>
      </c>
      <c r="E48" s="10">
        <f>E47</f>
        <v/>
      </c>
      <c r="F48" s="46">
        <f>IFERROR(INDEX(MitAll,$AA48,$Z48+1+F$4-Settings!$C$7),"")</f>
        <v/>
      </c>
      <c r="G48" s="47">
        <f>IFERROR(INDEX(MitAll,$AA48,$Z48+1+G$4-Settings!$C$7),"")</f>
        <v/>
      </c>
      <c r="H48" s="47">
        <f>IFERROR(INDEX(MitAll,$AA48,$Z48+1+H$4-Settings!$C$7),"")</f>
        <v/>
      </c>
      <c r="I48" s="47">
        <f>IFERROR(INDEX(MitAll,$AA48,$Z48+1+I$4-Settings!$C$7),"")</f>
        <v/>
      </c>
      <c r="J48" s="47">
        <f>IFERROR(INDEX(MitAll,$AA48,$Z48+1+J$4-Settings!$C$7),"")</f>
        <v/>
      </c>
      <c r="K48" s="47">
        <f>IFERROR(INDEX(MitAll,$AA48,$Z48+1+K$4-Settings!$C$7),"")</f>
        <v/>
      </c>
      <c r="L48" s="47">
        <f>IFERROR(INDEX(MitAll,$AA48,$Z48+1+L$4-Settings!$C$7),"")</f>
        <v/>
      </c>
      <c r="M48" s="47">
        <f>IFERROR(INDEX(MitAll,$AA48,$Z48+1+M$4-Settings!$C$7),"")</f>
        <v/>
      </c>
      <c r="N48" s="47">
        <f>IFERROR(INDEX(MitAll,$AA48,$Z48+1+N$4-Settings!$C$7),"")</f>
        <v/>
      </c>
      <c r="O48" s="47">
        <f>IFERROR(INDEX(MitAll,$AA48,$Z48+1+O$4-Settings!$C$7),"")</f>
        <v/>
      </c>
      <c r="P48" s="47">
        <f>IFERROR(INDEX(MitAll,$AA48,$Z48+1+P$4-Settings!$C$7),"")</f>
        <v/>
      </c>
      <c r="Q48" s="47">
        <f>IFERROR(INDEX(MitAll,$AA48,$Z48+1+Q$4-Settings!$C$7),"")</f>
        <v/>
      </c>
      <c r="R48" s="47">
        <f>IFERROR(INDEX(MitAll,$AA48,$Z48+1+R$4-Settings!$C$7),"")</f>
        <v/>
      </c>
      <c r="S48" s="47">
        <f>IFERROR(INDEX(MitAll,$AA48,$Z48+1+S$4-Settings!$C$7),"")</f>
        <v/>
      </c>
      <c r="T48" s="47">
        <f>IFERROR(INDEX(MitAll,$AA48,$Z48+1+T$4-Settings!$C$7),"")</f>
        <v/>
      </c>
      <c r="U48" s="47">
        <f>IFERROR(INDEX(MitAll,$AA48,$Z48+1+U$4-Settings!$C$7),"")</f>
        <v/>
      </c>
      <c r="V48" s="47">
        <f>IFERROR(INDEX(MitAll,$AA48,$Z48+1+V$4-Settings!$C$7),"")</f>
        <v/>
      </c>
      <c r="W48" s="47">
        <f>IFERROR(INDEX(MitAll,$AA48,$Z48+1+W$4-Settings!$C$7),"")</f>
        <v/>
      </c>
      <c r="X48" s="47">
        <f>IFERROR(INDEX(MitAll,$AA48,$Z48+1+X$4-Settings!$C$7),"")</f>
        <v/>
      </c>
      <c r="Y48" s="47">
        <f>IFERROR(INDEX(MitAll,$AA48,$Z48+1+Y$4-Settings!$C$7),"")</f>
        <v/>
      </c>
      <c r="Z48" s="10">
        <f>MATCH($E48,MitScen,0)</f>
        <v/>
      </c>
      <c r="AA48" s="10">
        <f>MATCH($A48,INDEX(MitAll,0,$Z48),0)</f>
        <v/>
      </c>
    </row>
    <row r="49">
      <c r="A49" s="11">
        <f>LOWER(Settings!$C$4)&amp;"."&amp;$B49&amp;"."&amp;$E49</f>
        <v/>
      </c>
      <c r="B49" s="22" t="inlineStr">
        <is>
          <t>mit.eldem.bld.ecy.e</t>
        </is>
      </c>
      <c r="C49" s="14">
        <f>IFERROR(INDEX(MitDesc,$AA49),"code not found")</f>
        <v/>
      </c>
      <c r="D49" s="14">
        <f>IFERROR(INDEX(MitUnit,$AA49),"")</f>
        <v/>
      </c>
      <c r="E49" s="10">
        <f>E48</f>
        <v/>
      </c>
      <c r="F49" s="46">
        <f>IFERROR(INDEX(MitAll,$AA49,$Z49+1+F$4-Settings!$C$7),"")</f>
        <v/>
      </c>
      <c r="G49" s="47">
        <f>IFERROR(INDEX(MitAll,$AA49,$Z49+1+G$4-Settings!$C$7),"")</f>
        <v/>
      </c>
      <c r="H49" s="47">
        <f>IFERROR(INDEX(MitAll,$AA49,$Z49+1+H$4-Settings!$C$7),"")</f>
        <v/>
      </c>
      <c r="I49" s="47">
        <f>IFERROR(INDEX(MitAll,$AA49,$Z49+1+I$4-Settings!$C$7),"")</f>
        <v/>
      </c>
      <c r="J49" s="47">
        <f>IFERROR(INDEX(MitAll,$AA49,$Z49+1+J$4-Settings!$C$7),"")</f>
        <v/>
      </c>
      <c r="K49" s="47">
        <f>IFERROR(INDEX(MitAll,$AA49,$Z49+1+K$4-Settings!$C$7),"")</f>
        <v/>
      </c>
      <c r="L49" s="47">
        <f>IFERROR(INDEX(MitAll,$AA49,$Z49+1+L$4-Settings!$C$7),"")</f>
        <v/>
      </c>
      <c r="M49" s="47">
        <f>IFERROR(INDEX(MitAll,$AA49,$Z49+1+M$4-Settings!$C$7),"")</f>
        <v/>
      </c>
      <c r="N49" s="47">
        <f>IFERROR(INDEX(MitAll,$AA49,$Z49+1+N$4-Settings!$C$7),"")</f>
        <v/>
      </c>
      <c r="O49" s="47">
        <f>IFERROR(INDEX(MitAll,$AA49,$Z49+1+O$4-Settings!$C$7),"")</f>
        <v/>
      </c>
      <c r="P49" s="47">
        <f>IFERROR(INDEX(MitAll,$AA49,$Z49+1+P$4-Settings!$C$7),"")</f>
        <v/>
      </c>
      <c r="Q49" s="47">
        <f>IFERROR(INDEX(MitAll,$AA49,$Z49+1+Q$4-Settings!$C$7),"")</f>
        <v/>
      </c>
      <c r="R49" s="47">
        <f>IFERROR(INDEX(MitAll,$AA49,$Z49+1+R$4-Settings!$C$7),"")</f>
        <v/>
      </c>
      <c r="S49" s="47">
        <f>IFERROR(INDEX(MitAll,$AA49,$Z49+1+S$4-Settings!$C$7),"")</f>
        <v/>
      </c>
      <c r="T49" s="47">
        <f>IFERROR(INDEX(MitAll,$AA49,$Z49+1+T$4-Settings!$C$7),"")</f>
        <v/>
      </c>
      <c r="U49" s="47">
        <f>IFERROR(INDEX(MitAll,$AA49,$Z49+1+U$4-Settings!$C$7),"")</f>
        <v/>
      </c>
      <c r="V49" s="47">
        <f>IFERROR(INDEX(MitAll,$AA49,$Z49+1+V$4-Settings!$C$7),"")</f>
        <v/>
      </c>
      <c r="W49" s="47">
        <f>IFERROR(INDEX(MitAll,$AA49,$Z49+1+W$4-Settings!$C$7),"")</f>
        <v/>
      </c>
      <c r="X49" s="47">
        <f>IFERROR(INDEX(MitAll,$AA49,$Z49+1+X$4-Settings!$C$7),"")</f>
        <v/>
      </c>
      <c r="Y49" s="47">
        <f>IFERROR(INDEX(MitAll,$AA49,$Z49+1+Y$4-Settings!$C$7),"")</f>
        <v/>
      </c>
      <c r="Z49" s="10">
        <f>MATCH($E49,MitScen,0)</f>
        <v/>
      </c>
      <c r="AA49" s="10">
        <f>MATCH($A49,INDEX(MitAll,0,$Z49),0)</f>
        <v/>
      </c>
    </row>
    <row r="50">
      <c r="A50" s="11">
        <f>LOWER(Settings!$C$4)&amp;"."&amp;$B50&amp;"."&amp;$E50</f>
        <v/>
      </c>
      <c r="B50" s="22" t="inlineStr">
        <is>
          <t>mit.eldem.ind.ecy.e</t>
        </is>
      </c>
      <c r="C50" s="14">
        <f>IFERROR(INDEX(MitDesc,$AA50),"code not found")</f>
        <v/>
      </c>
      <c r="D50" s="14">
        <f>IFERROR(INDEX(MitUnit,$AA50),"")</f>
        <v/>
      </c>
      <c r="E50" s="10">
        <f>E49</f>
        <v/>
      </c>
      <c r="F50" s="46">
        <f>IFERROR(INDEX(MitAll,$AA50,$Z50+1+F$4-Settings!$C$7),"")</f>
        <v/>
      </c>
      <c r="G50" s="47">
        <f>IFERROR(INDEX(MitAll,$AA50,$Z50+1+G$4-Settings!$C$7),"")</f>
        <v/>
      </c>
      <c r="H50" s="47">
        <f>IFERROR(INDEX(MitAll,$AA50,$Z50+1+H$4-Settings!$C$7),"")</f>
        <v/>
      </c>
      <c r="I50" s="47">
        <f>IFERROR(INDEX(MitAll,$AA50,$Z50+1+I$4-Settings!$C$7),"")</f>
        <v/>
      </c>
      <c r="J50" s="47">
        <f>IFERROR(INDEX(MitAll,$AA50,$Z50+1+J$4-Settings!$C$7),"")</f>
        <v/>
      </c>
      <c r="K50" s="47">
        <f>IFERROR(INDEX(MitAll,$AA50,$Z50+1+K$4-Settings!$C$7),"")</f>
        <v/>
      </c>
      <c r="L50" s="47">
        <f>IFERROR(INDEX(MitAll,$AA50,$Z50+1+L$4-Settings!$C$7),"")</f>
        <v/>
      </c>
      <c r="M50" s="47">
        <f>IFERROR(INDEX(MitAll,$AA50,$Z50+1+M$4-Settings!$C$7),"")</f>
        <v/>
      </c>
      <c r="N50" s="47">
        <f>IFERROR(INDEX(MitAll,$AA50,$Z50+1+N$4-Settings!$C$7),"")</f>
        <v/>
      </c>
      <c r="O50" s="47">
        <f>IFERROR(INDEX(MitAll,$AA50,$Z50+1+O$4-Settings!$C$7),"")</f>
        <v/>
      </c>
      <c r="P50" s="47">
        <f>IFERROR(INDEX(MitAll,$AA50,$Z50+1+P$4-Settings!$C$7),"")</f>
        <v/>
      </c>
      <c r="Q50" s="47">
        <f>IFERROR(INDEX(MitAll,$AA50,$Z50+1+Q$4-Settings!$C$7),"")</f>
        <v/>
      </c>
      <c r="R50" s="47">
        <f>IFERROR(INDEX(MitAll,$AA50,$Z50+1+R$4-Settings!$C$7),"")</f>
        <v/>
      </c>
      <c r="S50" s="47">
        <f>IFERROR(INDEX(MitAll,$AA50,$Z50+1+S$4-Settings!$C$7),"")</f>
        <v/>
      </c>
      <c r="T50" s="47">
        <f>IFERROR(INDEX(MitAll,$AA50,$Z50+1+T$4-Settings!$C$7),"")</f>
        <v/>
      </c>
      <c r="U50" s="47">
        <f>IFERROR(INDEX(MitAll,$AA50,$Z50+1+U$4-Settings!$C$7),"")</f>
        <v/>
      </c>
      <c r="V50" s="47">
        <f>IFERROR(INDEX(MitAll,$AA50,$Z50+1+V$4-Settings!$C$7),"")</f>
        <v/>
      </c>
      <c r="W50" s="47">
        <f>IFERROR(INDEX(MitAll,$AA50,$Z50+1+W$4-Settings!$C$7),"")</f>
        <v/>
      </c>
      <c r="X50" s="47">
        <f>IFERROR(INDEX(MitAll,$AA50,$Z50+1+X$4-Settings!$C$7),"")</f>
        <v/>
      </c>
      <c r="Y50" s="47">
        <f>IFERROR(INDEX(MitAll,$AA50,$Z50+1+Y$4-Settings!$C$7),"")</f>
        <v/>
      </c>
      <c r="Z50" s="10">
        <f>MATCH($E50,MitScen,0)</f>
        <v/>
      </c>
      <c r="AA50" s="10">
        <f>MATCH($A50,INDEX(MitAll,0,$Z50),0)</f>
        <v/>
      </c>
    </row>
    <row r="51">
      <c r="A51" s="11">
        <f>LOWER(Settings!$C$4)&amp;"."&amp;$B51&amp;"."&amp;$E51</f>
        <v/>
      </c>
      <c r="B51" s="22" t="inlineStr">
        <is>
          <t>mit.eldem.oen.ecy.e</t>
        </is>
      </c>
      <c r="C51" s="14">
        <f>IFERROR(INDEX(MitDesc,$AA51),"code not found")</f>
        <v/>
      </c>
      <c r="D51" s="14">
        <f>IFERROR(INDEX(MitUnit,$AA51),"")</f>
        <v/>
      </c>
      <c r="E51" s="10">
        <f>E50</f>
        <v/>
      </c>
      <c r="F51" s="46">
        <f>IFERROR(INDEX(MitAll,$AA51,$Z51+1+F$4-Settings!$C$7),"")</f>
        <v/>
      </c>
      <c r="G51" s="47">
        <f>IFERROR(INDEX(MitAll,$AA51,$Z51+1+G$4-Settings!$C$7),"")</f>
        <v/>
      </c>
      <c r="H51" s="47">
        <f>IFERROR(INDEX(MitAll,$AA51,$Z51+1+H$4-Settings!$C$7),"")</f>
        <v/>
      </c>
      <c r="I51" s="47">
        <f>IFERROR(INDEX(MitAll,$AA51,$Z51+1+I$4-Settings!$C$7),"")</f>
        <v/>
      </c>
      <c r="J51" s="47">
        <f>IFERROR(INDEX(MitAll,$AA51,$Z51+1+J$4-Settings!$C$7),"")</f>
        <v/>
      </c>
      <c r="K51" s="47">
        <f>IFERROR(INDEX(MitAll,$AA51,$Z51+1+K$4-Settings!$C$7),"")</f>
        <v/>
      </c>
      <c r="L51" s="47">
        <f>IFERROR(INDEX(MitAll,$AA51,$Z51+1+L$4-Settings!$C$7),"")</f>
        <v/>
      </c>
      <c r="M51" s="47">
        <f>IFERROR(INDEX(MitAll,$AA51,$Z51+1+M$4-Settings!$C$7),"")</f>
        <v/>
      </c>
      <c r="N51" s="47">
        <f>IFERROR(INDEX(MitAll,$AA51,$Z51+1+N$4-Settings!$C$7),"")</f>
        <v/>
      </c>
      <c r="O51" s="47">
        <f>IFERROR(INDEX(MitAll,$AA51,$Z51+1+O$4-Settings!$C$7),"")</f>
        <v/>
      </c>
      <c r="P51" s="47">
        <f>IFERROR(INDEX(MitAll,$AA51,$Z51+1+P$4-Settings!$C$7),"")</f>
        <v/>
      </c>
      <c r="Q51" s="47">
        <f>IFERROR(INDEX(MitAll,$AA51,$Z51+1+Q$4-Settings!$C$7),"")</f>
        <v/>
      </c>
      <c r="R51" s="47">
        <f>IFERROR(INDEX(MitAll,$AA51,$Z51+1+R$4-Settings!$C$7),"")</f>
        <v/>
      </c>
      <c r="S51" s="47">
        <f>IFERROR(INDEX(MitAll,$AA51,$Z51+1+S$4-Settings!$C$7),"")</f>
        <v/>
      </c>
      <c r="T51" s="47">
        <f>IFERROR(INDEX(MitAll,$AA51,$Z51+1+T$4-Settings!$C$7),"")</f>
        <v/>
      </c>
      <c r="U51" s="47">
        <f>IFERROR(INDEX(MitAll,$AA51,$Z51+1+U$4-Settings!$C$7),"")</f>
        <v/>
      </c>
      <c r="V51" s="47">
        <f>IFERROR(INDEX(MitAll,$AA51,$Z51+1+V$4-Settings!$C$7),"")</f>
        <v/>
      </c>
      <c r="W51" s="47">
        <f>IFERROR(INDEX(MitAll,$AA51,$Z51+1+W$4-Settings!$C$7),"")</f>
        <v/>
      </c>
      <c r="X51" s="47">
        <f>IFERROR(INDEX(MitAll,$AA51,$Z51+1+X$4-Settings!$C$7),"")</f>
        <v/>
      </c>
      <c r="Y51" s="47">
        <f>IFERROR(INDEX(MitAll,$AA51,$Z51+1+Y$4-Settings!$C$7),"")</f>
        <v/>
      </c>
      <c r="Z51" s="10">
        <f>MATCH($E51,MitScen,0)</f>
        <v/>
      </c>
      <c r="AA51" s="10">
        <f>MATCH($A51,INDEX(MitAll,0,$Z51),0)</f>
        <v/>
      </c>
    </row>
    <row r="52">
      <c r="A52" s="11">
        <f>LOWER(Settings!$C$4)&amp;"."&amp;$B52&amp;"."&amp;$E52</f>
        <v/>
      </c>
      <c r="B52" s="22" t="inlineStr">
        <is>
          <t>mit.req</t>
        </is>
      </c>
      <c r="C52" s="14">
        <f>IFERROR(INDEX(MitDesc,$AA52),"code not found")</f>
        <v/>
      </c>
      <c r="D52" s="14">
        <f>IFERROR(INDEX(MitUnit,$AA52),"")</f>
        <v/>
      </c>
      <c r="E52" s="10">
        <f>E51</f>
        <v/>
      </c>
      <c r="F52" s="46">
        <f>IFERROR(INDEX(MitAll,$AA52,$Z52+1+F$4-Settings!$C$7),"")</f>
        <v/>
      </c>
      <c r="G52" s="47">
        <f>IFERROR(INDEX(MitAll,$AA52,$Z52+1+G$4-Settings!$C$7),"")</f>
        <v/>
      </c>
      <c r="H52" s="47">
        <f>IFERROR(INDEX(MitAll,$AA52,$Z52+1+H$4-Settings!$C$7),"")</f>
        <v/>
      </c>
      <c r="I52" s="47">
        <f>IFERROR(INDEX(MitAll,$AA52,$Z52+1+I$4-Settings!$C$7),"")</f>
        <v/>
      </c>
      <c r="J52" s="47">
        <f>IFERROR(INDEX(MitAll,$AA52,$Z52+1+J$4-Settings!$C$7),"")</f>
        <v/>
      </c>
      <c r="K52" s="47">
        <f>IFERROR(INDEX(MitAll,$AA52,$Z52+1+K$4-Settings!$C$7),"")</f>
        <v/>
      </c>
      <c r="L52" s="47">
        <f>IFERROR(INDEX(MitAll,$AA52,$Z52+1+L$4-Settings!$C$7),"")</f>
        <v/>
      </c>
      <c r="M52" s="47">
        <f>IFERROR(INDEX(MitAll,$AA52,$Z52+1+M$4-Settings!$C$7),"")</f>
        <v/>
      </c>
      <c r="N52" s="47">
        <f>IFERROR(INDEX(MitAll,$AA52,$Z52+1+N$4-Settings!$C$7),"")</f>
        <v/>
      </c>
      <c r="O52" s="47">
        <f>IFERROR(INDEX(MitAll,$AA52,$Z52+1+O$4-Settings!$C$7),"")</f>
        <v/>
      </c>
      <c r="P52" s="47">
        <f>IFERROR(INDEX(MitAll,$AA52,$Z52+1+P$4-Settings!$C$7),"")</f>
        <v/>
      </c>
      <c r="Q52" s="47">
        <f>IFERROR(INDEX(MitAll,$AA52,$Z52+1+Q$4-Settings!$C$7),"")</f>
        <v/>
      </c>
      <c r="R52" s="47">
        <f>IFERROR(INDEX(MitAll,$AA52,$Z52+1+R$4-Settings!$C$7),"")</f>
        <v/>
      </c>
      <c r="S52" s="47">
        <f>IFERROR(INDEX(MitAll,$AA52,$Z52+1+S$4-Settings!$C$7),"")</f>
        <v/>
      </c>
      <c r="T52" s="47">
        <f>IFERROR(INDEX(MitAll,$AA52,$Z52+1+T$4-Settings!$C$7),"")</f>
        <v/>
      </c>
      <c r="U52" s="47">
        <f>IFERROR(INDEX(MitAll,$AA52,$Z52+1+U$4-Settings!$C$7),"")</f>
        <v/>
      </c>
      <c r="V52" s="47">
        <f>IFERROR(INDEX(MitAll,$AA52,$Z52+1+V$4-Settings!$C$7),"")</f>
        <v/>
      </c>
      <c r="W52" s="47">
        <f>IFERROR(INDEX(MitAll,$AA52,$Z52+1+W$4-Settings!$C$7),"")</f>
        <v/>
      </c>
      <c r="X52" s="47">
        <f>IFERROR(INDEX(MitAll,$AA52,$Z52+1+X$4-Settings!$C$7),"")</f>
        <v/>
      </c>
      <c r="Y52" s="47">
        <f>IFERROR(INDEX(MitAll,$AA52,$Z52+1+Y$4-Settings!$C$7),"")</f>
        <v/>
      </c>
      <c r="Z52" s="10">
        <f>MATCH($E52,MitScen,0)</f>
        <v/>
      </c>
      <c r="AA52" s="10">
        <f>MATCH($A52,INDEX(MitAll,0,$Z52),0)</f>
        <v/>
      </c>
    </row>
    <row r="53">
      <c r="A53" s="11">
        <f>LOWER(Settings!$C$4)&amp;"."&amp;$B53&amp;"."&amp;$E53</f>
        <v/>
      </c>
      <c r="B53" s="22" t="inlineStr">
        <is>
          <t>mit.captot</t>
        </is>
      </c>
      <c r="C53" s="14">
        <f>IFERROR(INDEX(MitDesc,$AA53),"code not found")</f>
        <v/>
      </c>
      <c r="D53" s="14">
        <f>IFERROR(INDEX(MitUnit,$AA53),"")</f>
        <v/>
      </c>
      <c r="E53" s="10">
        <f>E52</f>
        <v/>
      </c>
      <c r="F53" s="46">
        <f>IFERROR(INDEX(MitAll,$AA53,$Z53+1+F$4-Settings!$C$7),"")</f>
        <v/>
      </c>
      <c r="G53" s="47">
        <f>IFERROR(INDEX(MitAll,$AA53,$Z53+1+G$4-Settings!$C$7),"")</f>
        <v/>
      </c>
      <c r="H53" s="47">
        <f>IFERROR(INDEX(MitAll,$AA53,$Z53+1+H$4-Settings!$C$7),"")</f>
        <v/>
      </c>
      <c r="I53" s="47">
        <f>IFERROR(INDEX(MitAll,$AA53,$Z53+1+I$4-Settings!$C$7),"")</f>
        <v/>
      </c>
      <c r="J53" s="47">
        <f>IFERROR(INDEX(MitAll,$AA53,$Z53+1+J$4-Settings!$C$7),"")</f>
        <v/>
      </c>
      <c r="K53" s="47">
        <f>IFERROR(INDEX(MitAll,$AA53,$Z53+1+K$4-Settings!$C$7),"")</f>
        <v/>
      </c>
      <c r="L53" s="47">
        <f>IFERROR(INDEX(MitAll,$AA53,$Z53+1+L$4-Settings!$C$7),"")</f>
        <v/>
      </c>
      <c r="M53" s="47">
        <f>IFERROR(INDEX(MitAll,$AA53,$Z53+1+M$4-Settings!$C$7),"")</f>
        <v/>
      </c>
      <c r="N53" s="47">
        <f>IFERROR(INDEX(MitAll,$AA53,$Z53+1+N$4-Settings!$C$7),"")</f>
        <v/>
      </c>
      <c r="O53" s="47">
        <f>IFERROR(INDEX(MitAll,$AA53,$Z53+1+O$4-Settings!$C$7),"")</f>
        <v/>
      </c>
      <c r="P53" s="47">
        <f>IFERROR(INDEX(MitAll,$AA53,$Z53+1+P$4-Settings!$C$7),"")</f>
        <v/>
      </c>
      <c r="Q53" s="47">
        <f>IFERROR(INDEX(MitAll,$AA53,$Z53+1+Q$4-Settings!$C$7),"")</f>
        <v/>
      </c>
      <c r="R53" s="47">
        <f>IFERROR(INDEX(MitAll,$AA53,$Z53+1+R$4-Settings!$C$7),"")</f>
        <v/>
      </c>
      <c r="S53" s="47">
        <f>IFERROR(INDEX(MitAll,$AA53,$Z53+1+S$4-Settings!$C$7),"")</f>
        <v/>
      </c>
      <c r="T53" s="47">
        <f>IFERROR(INDEX(MitAll,$AA53,$Z53+1+T$4-Settings!$C$7),"")</f>
        <v/>
      </c>
      <c r="U53" s="47">
        <f>IFERROR(INDEX(MitAll,$AA53,$Z53+1+U$4-Settings!$C$7),"")</f>
        <v/>
      </c>
      <c r="V53" s="47">
        <f>IFERROR(INDEX(MitAll,$AA53,$Z53+1+V$4-Settings!$C$7),"")</f>
        <v/>
      </c>
      <c r="W53" s="47">
        <f>IFERROR(INDEX(MitAll,$AA53,$Z53+1+W$4-Settings!$C$7),"")</f>
        <v/>
      </c>
      <c r="X53" s="47">
        <f>IFERROR(INDEX(MitAll,$AA53,$Z53+1+X$4-Settings!$C$7),"")</f>
        <v/>
      </c>
      <c r="Y53" s="47">
        <f>IFERROR(INDEX(MitAll,$AA53,$Z53+1+Y$4-Settings!$C$7),"")</f>
        <v/>
      </c>
      <c r="Z53" s="10">
        <f>MATCH($E53,MitScen,0)</f>
        <v/>
      </c>
      <c r="AA53" s="10">
        <f>MATCH($A53,INDEX(MitAll,0,$Z53),0)</f>
        <v/>
      </c>
    </row>
    <row r="54">
      <c r="A54" s="11">
        <f>LOWER(Settings!$C$4)&amp;"."&amp;$B54&amp;"."&amp;$E54</f>
        <v/>
      </c>
      <c r="B54" s="22" t="inlineStr">
        <is>
          <t>mit.cap.pow.wnd</t>
        </is>
      </c>
      <c r="C54" s="14">
        <f>IFERROR(INDEX(MitDesc,$AA54),"code not found")</f>
        <v/>
      </c>
      <c r="D54" s="14">
        <f>IFERROR(INDEX(MitUnit,$AA54),"")</f>
        <v/>
      </c>
      <c r="E54" s="10">
        <f>E53</f>
        <v/>
      </c>
      <c r="F54" s="46">
        <f>IFERROR(INDEX(MitAll,$AA54,$Z54+1+F$4-Settings!$C$7),"")</f>
        <v/>
      </c>
      <c r="G54" s="47">
        <f>IFERROR(INDEX(MitAll,$AA54,$Z54+1+G$4-Settings!$C$7),"")</f>
        <v/>
      </c>
      <c r="H54" s="47">
        <f>IFERROR(INDEX(MitAll,$AA54,$Z54+1+H$4-Settings!$C$7),"")</f>
        <v/>
      </c>
      <c r="I54" s="47">
        <f>IFERROR(INDEX(MitAll,$AA54,$Z54+1+I$4-Settings!$C$7),"")</f>
        <v/>
      </c>
      <c r="J54" s="47">
        <f>IFERROR(INDEX(MitAll,$AA54,$Z54+1+J$4-Settings!$C$7),"")</f>
        <v/>
      </c>
      <c r="K54" s="47">
        <f>IFERROR(INDEX(MitAll,$AA54,$Z54+1+K$4-Settings!$C$7),"")</f>
        <v/>
      </c>
      <c r="L54" s="47">
        <f>IFERROR(INDEX(MitAll,$AA54,$Z54+1+L$4-Settings!$C$7),"")</f>
        <v/>
      </c>
      <c r="M54" s="47">
        <f>IFERROR(INDEX(MitAll,$AA54,$Z54+1+M$4-Settings!$C$7),"")</f>
        <v/>
      </c>
      <c r="N54" s="47">
        <f>IFERROR(INDEX(MitAll,$AA54,$Z54+1+N$4-Settings!$C$7),"")</f>
        <v/>
      </c>
      <c r="O54" s="47">
        <f>IFERROR(INDEX(MitAll,$AA54,$Z54+1+O$4-Settings!$C$7),"")</f>
        <v/>
      </c>
      <c r="P54" s="47">
        <f>IFERROR(INDEX(MitAll,$AA54,$Z54+1+P$4-Settings!$C$7),"")</f>
        <v/>
      </c>
      <c r="Q54" s="47">
        <f>IFERROR(INDEX(MitAll,$AA54,$Z54+1+Q$4-Settings!$C$7),"")</f>
        <v/>
      </c>
      <c r="R54" s="47">
        <f>IFERROR(INDEX(MitAll,$AA54,$Z54+1+R$4-Settings!$C$7),"")</f>
        <v/>
      </c>
      <c r="S54" s="47">
        <f>IFERROR(INDEX(MitAll,$AA54,$Z54+1+S$4-Settings!$C$7),"")</f>
        <v/>
      </c>
      <c r="T54" s="47">
        <f>IFERROR(INDEX(MitAll,$AA54,$Z54+1+T$4-Settings!$C$7),"")</f>
        <v/>
      </c>
      <c r="U54" s="47">
        <f>IFERROR(INDEX(MitAll,$AA54,$Z54+1+U$4-Settings!$C$7),"")</f>
        <v/>
      </c>
      <c r="V54" s="47">
        <f>IFERROR(INDEX(MitAll,$AA54,$Z54+1+V$4-Settings!$C$7),"")</f>
        <v/>
      </c>
      <c r="W54" s="47">
        <f>IFERROR(INDEX(MitAll,$AA54,$Z54+1+W$4-Settings!$C$7),"")</f>
        <v/>
      </c>
      <c r="X54" s="47">
        <f>IFERROR(INDEX(MitAll,$AA54,$Z54+1+X$4-Settings!$C$7),"")</f>
        <v/>
      </c>
      <c r="Y54" s="47">
        <f>IFERROR(INDEX(MitAll,$AA54,$Z54+1+Y$4-Settings!$C$7),"")</f>
        <v/>
      </c>
      <c r="Z54" s="10">
        <f>MATCH($E54,MitScen,0)</f>
        <v/>
      </c>
      <c r="AA54" s="10">
        <f>MATCH($A54,INDEX(MitAll,0,$Z54),0)</f>
        <v/>
      </c>
    </row>
    <row r="55">
      <c r="A55" s="11">
        <f>LOWER(Settings!$C$4)&amp;"."&amp;$B55&amp;"."&amp;$E55</f>
        <v/>
      </c>
      <c r="B55" s="22" t="inlineStr">
        <is>
          <t>mit.cap.pow.sol</t>
        </is>
      </c>
      <c r="C55" s="14">
        <f>IFERROR(INDEX(MitDesc,$AA55),"code not found")</f>
        <v/>
      </c>
      <c r="D55" s="14">
        <f>IFERROR(INDEX(MitUnit,$AA55),"")</f>
        <v/>
      </c>
      <c r="E55" s="10">
        <f>E54</f>
        <v/>
      </c>
      <c r="F55" s="46">
        <f>IFERROR(INDEX(MitAll,$AA55,$Z55+1+F$4-Settings!$C$7),"")</f>
        <v/>
      </c>
      <c r="G55" s="47">
        <f>IFERROR(INDEX(MitAll,$AA55,$Z55+1+G$4-Settings!$C$7),"")</f>
        <v/>
      </c>
      <c r="H55" s="47">
        <f>IFERROR(INDEX(MitAll,$AA55,$Z55+1+H$4-Settings!$C$7),"")</f>
        <v/>
      </c>
      <c r="I55" s="47">
        <f>IFERROR(INDEX(MitAll,$AA55,$Z55+1+I$4-Settings!$C$7),"")</f>
        <v/>
      </c>
      <c r="J55" s="47">
        <f>IFERROR(INDEX(MitAll,$AA55,$Z55+1+J$4-Settings!$C$7),"")</f>
        <v/>
      </c>
      <c r="K55" s="47">
        <f>IFERROR(INDEX(MitAll,$AA55,$Z55+1+K$4-Settings!$C$7),"")</f>
        <v/>
      </c>
      <c r="L55" s="47">
        <f>IFERROR(INDEX(MitAll,$AA55,$Z55+1+L$4-Settings!$C$7),"")</f>
        <v/>
      </c>
      <c r="M55" s="47">
        <f>IFERROR(INDEX(MitAll,$AA55,$Z55+1+M$4-Settings!$C$7),"")</f>
        <v/>
      </c>
      <c r="N55" s="47">
        <f>IFERROR(INDEX(MitAll,$AA55,$Z55+1+N$4-Settings!$C$7),"")</f>
        <v/>
      </c>
      <c r="O55" s="47">
        <f>IFERROR(INDEX(MitAll,$AA55,$Z55+1+O$4-Settings!$C$7),"")</f>
        <v/>
      </c>
      <c r="P55" s="47">
        <f>IFERROR(INDEX(MitAll,$AA55,$Z55+1+P$4-Settings!$C$7),"")</f>
        <v/>
      </c>
      <c r="Q55" s="47">
        <f>IFERROR(INDEX(MitAll,$AA55,$Z55+1+Q$4-Settings!$C$7),"")</f>
        <v/>
      </c>
      <c r="R55" s="47">
        <f>IFERROR(INDEX(MitAll,$AA55,$Z55+1+R$4-Settings!$C$7),"")</f>
        <v/>
      </c>
      <c r="S55" s="47">
        <f>IFERROR(INDEX(MitAll,$AA55,$Z55+1+S$4-Settings!$C$7),"")</f>
        <v/>
      </c>
      <c r="T55" s="47">
        <f>IFERROR(INDEX(MitAll,$AA55,$Z55+1+T$4-Settings!$C$7),"")</f>
        <v/>
      </c>
      <c r="U55" s="47">
        <f>IFERROR(INDEX(MitAll,$AA55,$Z55+1+U$4-Settings!$C$7),"")</f>
        <v/>
      </c>
      <c r="V55" s="47">
        <f>IFERROR(INDEX(MitAll,$AA55,$Z55+1+V$4-Settings!$C$7),"")</f>
        <v/>
      </c>
      <c r="W55" s="47">
        <f>IFERROR(INDEX(MitAll,$AA55,$Z55+1+W$4-Settings!$C$7),"")</f>
        <v/>
      </c>
      <c r="X55" s="47">
        <f>IFERROR(INDEX(MitAll,$AA55,$Z55+1+X$4-Settings!$C$7),"")</f>
        <v/>
      </c>
      <c r="Y55" s="47">
        <f>IFERROR(INDEX(MitAll,$AA55,$Z55+1+Y$4-Settings!$C$7),"")</f>
        <v/>
      </c>
      <c r="Z55" s="10">
        <f>MATCH($E55,MitScen,0)</f>
        <v/>
      </c>
      <c r="AA55" s="10">
        <f>MATCH($A55,INDEX(MitAll,0,$Z55),0)</f>
        <v/>
      </c>
    </row>
    <row r="56">
      <c r="A56" s="11">
        <f>LOWER(Settings!$C$4)&amp;"."&amp;$B56&amp;"."&amp;$E56</f>
        <v/>
      </c>
      <c r="B56" s="22" t="inlineStr">
        <is>
          <t>mit.nimtot</t>
        </is>
      </c>
      <c r="C56" s="14">
        <f>IFERROR(INDEX(MitDesc,$AA56),"code not found")</f>
        <v/>
      </c>
      <c r="D56" s="14">
        <f>IFERROR(INDEX(MitUnit,$AA56),"")</f>
        <v/>
      </c>
      <c r="E56" s="10">
        <f>E55</f>
        <v/>
      </c>
      <c r="F56" s="46">
        <f>IFERROR(INDEX(MitAll,$AA56,$Z56+1+F$4-Settings!$C$7),"")</f>
        <v/>
      </c>
      <c r="G56" s="47">
        <f>IFERROR(INDEX(MitAll,$AA56,$Z56+1+G$4-Settings!$C$7),"")</f>
        <v/>
      </c>
      <c r="H56" s="47">
        <f>IFERROR(INDEX(MitAll,$AA56,$Z56+1+H$4-Settings!$C$7),"")</f>
        <v/>
      </c>
      <c r="I56" s="47">
        <f>IFERROR(INDEX(MitAll,$AA56,$Z56+1+I$4-Settings!$C$7),"")</f>
        <v/>
      </c>
      <c r="J56" s="47">
        <f>IFERROR(INDEX(MitAll,$AA56,$Z56+1+J$4-Settings!$C$7),"")</f>
        <v/>
      </c>
      <c r="K56" s="47">
        <f>IFERROR(INDEX(MitAll,$AA56,$Z56+1+K$4-Settings!$C$7),"")</f>
        <v/>
      </c>
      <c r="L56" s="47">
        <f>IFERROR(INDEX(MitAll,$AA56,$Z56+1+L$4-Settings!$C$7),"")</f>
        <v/>
      </c>
      <c r="M56" s="47">
        <f>IFERROR(INDEX(MitAll,$AA56,$Z56+1+M$4-Settings!$C$7),"")</f>
        <v/>
      </c>
      <c r="N56" s="47">
        <f>IFERROR(INDEX(MitAll,$AA56,$Z56+1+N$4-Settings!$C$7),"")</f>
        <v/>
      </c>
      <c r="O56" s="47">
        <f>IFERROR(INDEX(MitAll,$AA56,$Z56+1+O$4-Settings!$C$7),"")</f>
        <v/>
      </c>
      <c r="P56" s="47">
        <f>IFERROR(INDEX(MitAll,$AA56,$Z56+1+P$4-Settings!$C$7),"")</f>
        <v/>
      </c>
      <c r="Q56" s="47">
        <f>IFERROR(INDEX(MitAll,$AA56,$Z56+1+Q$4-Settings!$C$7),"")</f>
        <v/>
      </c>
      <c r="R56" s="47">
        <f>IFERROR(INDEX(MitAll,$AA56,$Z56+1+R$4-Settings!$C$7),"")</f>
        <v/>
      </c>
      <c r="S56" s="47">
        <f>IFERROR(INDEX(MitAll,$AA56,$Z56+1+S$4-Settings!$C$7),"")</f>
        <v/>
      </c>
      <c r="T56" s="47">
        <f>IFERROR(INDEX(MitAll,$AA56,$Z56+1+T$4-Settings!$C$7),"")</f>
        <v/>
      </c>
      <c r="U56" s="47">
        <f>IFERROR(INDEX(MitAll,$AA56,$Z56+1+U$4-Settings!$C$7),"")</f>
        <v/>
      </c>
      <c r="V56" s="47">
        <f>IFERROR(INDEX(MitAll,$AA56,$Z56+1+V$4-Settings!$C$7),"")</f>
        <v/>
      </c>
      <c r="W56" s="47">
        <f>IFERROR(INDEX(MitAll,$AA56,$Z56+1+W$4-Settings!$C$7),"")</f>
        <v/>
      </c>
      <c r="X56" s="47">
        <f>IFERROR(INDEX(MitAll,$AA56,$Z56+1+X$4-Settings!$C$7),"")</f>
        <v/>
      </c>
      <c r="Y56" s="47">
        <f>IFERROR(INDEX(MitAll,$AA56,$Z56+1+Y$4-Settings!$C$7),"")</f>
        <v/>
      </c>
      <c r="Z56" s="10">
        <f>MATCH($E56,MitScen,0)</f>
        <v/>
      </c>
      <c r="AA56" s="10">
        <f>MATCH($A56,INDEX(MitAll,0,$Z56),0)</f>
        <v/>
      </c>
    </row>
    <row r="57">
      <c r="A57" s="11">
        <f>LOWER(Settings!$C$4)&amp;"."&amp;$B57&amp;"."&amp;$E57</f>
        <v/>
      </c>
      <c r="B57" s="22" t="inlineStr">
        <is>
          <t>mit.shr.pow.coa</t>
        </is>
      </c>
      <c r="C57" s="14">
        <f>IFERROR(INDEX(MitDesc,$AA57),"code not found")</f>
        <v/>
      </c>
      <c r="D57" s="14">
        <f>IFERROR(INDEX(MitUnit,$AA57),"")</f>
        <v/>
      </c>
      <c r="E57" s="10">
        <f>E56</f>
        <v/>
      </c>
      <c r="F57" s="12">
        <f>IFERROR(INDEX(MitAll,$AA57,$Z57+1+F$4-Settings!$C$7),"")</f>
        <v/>
      </c>
      <c r="G57" s="13">
        <f>IFERROR(INDEX(MitAll,$AA57,$Z57+1+G$4-Settings!$C$7),"")</f>
        <v/>
      </c>
      <c r="H57" s="13">
        <f>IFERROR(INDEX(MitAll,$AA57,$Z57+1+H$4-Settings!$C$7),"")</f>
        <v/>
      </c>
      <c r="I57" s="13">
        <f>IFERROR(INDEX(MitAll,$AA57,$Z57+1+I$4-Settings!$C$7),"")</f>
        <v/>
      </c>
      <c r="J57" s="13">
        <f>IFERROR(INDEX(MitAll,$AA57,$Z57+1+J$4-Settings!$C$7),"")</f>
        <v/>
      </c>
      <c r="K57" s="13">
        <f>IFERROR(INDEX(MitAll,$AA57,$Z57+1+K$4-Settings!$C$7),"")</f>
        <v/>
      </c>
      <c r="L57" s="13">
        <f>IFERROR(INDEX(MitAll,$AA57,$Z57+1+L$4-Settings!$C$7),"")</f>
        <v/>
      </c>
      <c r="M57" s="13">
        <f>IFERROR(INDEX(MitAll,$AA57,$Z57+1+M$4-Settings!$C$7),"")</f>
        <v/>
      </c>
      <c r="N57" s="13">
        <f>IFERROR(INDEX(MitAll,$AA57,$Z57+1+N$4-Settings!$C$7),"")</f>
        <v/>
      </c>
      <c r="O57" s="13">
        <f>IFERROR(INDEX(MitAll,$AA57,$Z57+1+O$4-Settings!$C$7),"")</f>
        <v/>
      </c>
      <c r="P57" s="13">
        <f>IFERROR(INDEX(MitAll,$AA57,$Z57+1+P$4-Settings!$C$7),"")</f>
        <v/>
      </c>
      <c r="Q57" s="13">
        <f>IFERROR(INDEX(MitAll,$AA57,$Z57+1+Q$4-Settings!$C$7),"")</f>
        <v/>
      </c>
      <c r="R57" s="13">
        <f>IFERROR(INDEX(MitAll,$AA57,$Z57+1+R$4-Settings!$C$7),"")</f>
        <v/>
      </c>
      <c r="S57" s="13">
        <f>IFERROR(INDEX(MitAll,$AA57,$Z57+1+S$4-Settings!$C$7),"")</f>
        <v/>
      </c>
      <c r="T57" s="13">
        <f>IFERROR(INDEX(MitAll,$AA57,$Z57+1+T$4-Settings!$C$7),"")</f>
        <v/>
      </c>
      <c r="U57" s="13">
        <f>IFERROR(INDEX(MitAll,$AA57,$Z57+1+U$4-Settings!$C$7),"")</f>
        <v/>
      </c>
      <c r="V57" s="13">
        <f>IFERROR(INDEX(MitAll,$AA57,$Z57+1+V$4-Settings!$C$7),"")</f>
        <v/>
      </c>
      <c r="W57" s="13">
        <f>IFERROR(INDEX(MitAll,$AA57,$Z57+1+W$4-Settings!$C$7),"")</f>
        <v/>
      </c>
      <c r="X57" s="13">
        <f>IFERROR(INDEX(MitAll,$AA57,$Z57+1+X$4-Settings!$C$7),"")</f>
        <v/>
      </c>
      <c r="Y57" s="13">
        <f>IFERROR(INDEX(MitAll,$AA57,$Z57+1+Y$4-Settings!$C$7),"")</f>
        <v/>
      </c>
      <c r="Z57" s="10">
        <f>MATCH($E57,MitScen,0)</f>
        <v/>
      </c>
      <c r="AA57" s="10">
        <f>MATCH($A57,INDEX(MitAll,0,$Z57),0)</f>
        <v/>
      </c>
    </row>
    <row r="58">
      <c r="A58" s="11">
        <f>LOWER(Settings!$C$4)&amp;"."&amp;$B58&amp;"."&amp;$E58</f>
        <v/>
      </c>
      <c r="B58" s="22" t="inlineStr">
        <is>
          <t>mit.shr.pow.oop</t>
        </is>
      </c>
      <c r="C58" s="14">
        <f>IFERROR(INDEX(MitDesc,$AA58),"code not found")</f>
        <v/>
      </c>
      <c r="D58" s="14">
        <f>IFERROR(INDEX(MitUnit,$AA58),"")</f>
        <v/>
      </c>
      <c r="E58" s="10">
        <f>E57</f>
        <v/>
      </c>
      <c r="F58" s="12">
        <f>IFERROR(INDEX(MitAll,$AA58,$Z58+1+F$4-Settings!$C$7),"")</f>
        <v/>
      </c>
      <c r="G58" s="13">
        <f>IFERROR(INDEX(MitAll,$AA58,$Z58+1+G$4-Settings!$C$7),"")</f>
        <v/>
      </c>
      <c r="H58" s="13">
        <f>IFERROR(INDEX(MitAll,$AA58,$Z58+1+H$4-Settings!$C$7),"")</f>
        <v/>
      </c>
      <c r="I58" s="13">
        <f>IFERROR(INDEX(MitAll,$AA58,$Z58+1+I$4-Settings!$C$7),"")</f>
        <v/>
      </c>
      <c r="J58" s="13">
        <f>IFERROR(INDEX(MitAll,$AA58,$Z58+1+J$4-Settings!$C$7),"")</f>
        <v/>
      </c>
      <c r="K58" s="13">
        <f>IFERROR(INDEX(MitAll,$AA58,$Z58+1+K$4-Settings!$C$7),"")</f>
        <v/>
      </c>
      <c r="L58" s="13">
        <f>IFERROR(INDEX(MitAll,$AA58,$Z58+1+L$4-Settings!$C$7),"")</f>
        <v/>
      </c>
      <c r="M58" s="13">
        <f>IFERROR(INDEX(MitAll,$AA58,$Z58+1+M$4-Settings!$C$7),"")</f>
        <v/>
      </c>
      <c r="N58" s="13">
        <f>IFERROR(INDEX(MitAll,$AA58,$Z58+1+N$4-Settings!$C$7),"")</f>
        <v/>
      </c>
      <c r="O58" s="13">
        <f>IFERROR(INDEX(MitAll,$AA58,$Z58+1+O$4-Settings!$C$7),"")</f>
        <v/>
      </c>
      <c r="P58" s="13">
        <f>IFERROR(INDEX(MitAll,$AA58,$Z58+1+P$4-Settings!$C$7),"")</f>
        <v/>
      </c>
      <c r="Q58" s="13">
        <f>IFERROR(INDEX(MitAll,$AA58,$Z58+1+Q$4-Settings!$C$7),"")</f>
        <v/>
      </c>
      <c r="R58" s="13">
        <f>IFERROR(INDEX(MitAll,$AA58,$Z58+1+R$4-Settings!$C$7),"")</f>
        <v/>
      </c>
      <c r="S58" s="13">
        <f>IFERROR(INDEX(MitAll,$AA58,$Z58+1+S$4-Settings!$C$7),"")</f>
        <v/>
      </c>
      <c r="T58" s="13">
        <f>IFERROR(INDEX(MitAll,$AA58,$Z58+1+T$4-Settings!$C$7),"")</f>
        <v/>
      </c>
      <c r="U58" s="13">
        <f>IFERROR(INDEX(MitAll,$AA58,$Z58+1+U$4-Settings!$C$7),"")</f>
        <v/>
      </c>
      <c r="V58" s="13">
        <f>IFERROR(INDEX(MitAll,$AA58,$Z58+1+V$4-Settings!$C$7),"")</f>
        <v/>
      </c>
      <c r="W58" s="13">
        <f>IFERROR(INDEX(MitAll,$AA58,$Z58+1+W$4-Settings!$C$7),"")</f>
        <v/>
      </c>
      <c r="X58" s="13">
        <f>IFERROR(INDEX(MitAll,$AA58,$Z58+1+X$4-Settings!$C$7),"")</f>
        <v/>
      </c>
      <c r="Y58" s="13">
        <f>IFERROR(INDEX(MitAll,$AA58,$Z58+1+Y$4-Settings!$C$7),"")</f>
        <v/>
      </c>
      <c r="Z58" s="10">
        <f>MATCH($E58,MitScen,0)</f>
        <v/>
      </c>
      <c r="AA58" s="10">
        <f>MATCH($A58,INDEX(MitAll,0,$Z58),0)</f>
        <v/>
      </c>
    </row>
    <row r="59">
      <c r="A59" s="11">
        <f>LOWER(Settings!$C$4)&amp;"."&amp;$B59&amp;"."&amp;$E59</f>
        <v/>
      </c>
      <c r="B59" s="22" t="inlineStr">
        <is>
          <t>mit.shr.pow.wnd</t>
        </is>
      </c>
      <c r="C59" s="14">
        <f>IFERROR(INDEX(MitDesc,$AA59),"code not found")</f>
        <v/>
      </c>
      <c r="D59" s="14">
        <f>IFERROR(INDEX(MitUnit,$AA59),"")</f>
        <v/>
      </c>
      <c r="E59" s="10">
        <f>E58</f>
        <v/>
      </c>
      <c r="F59" s="12">
        <f>IFERROR(INDEX(MitAll,$AA59,$Z59+1+F$4-Settings!$C$7),"")</f>
        <v/>
      </c>
      <c r="G59" s="13">
        <f>IFERROR(INDEX(MitAll,$AA59,$Z59+1+G$4-Settings!$C$7),"")</f>
        <v/>
      </c>
      <c r="H59" s="13">
        <f>IFERROR(INDEX(MitAll,$AA59,$Z59+1+H$4-Settings!$C$7),"")</f>
        <v/>
      </c>
      <c r="I59" s="13">
        <f>IFERROR(INDEX(MitAll,$AA59,$Z59+1+I$4-Settings!$C$7),"")</f>
        <v/>
      </c>
      <c r="J59" s="13">
        <f>IFERROR(INDEX(MitAll,$AA59,$Z59+1+J$4-Settings!$C$7),"")</f>
        <v/>
      </c>
      <c r="K59" s="13">
        <f>IFERROR(INDEX(MitAll,$AA59,$Z59+1+K$4-Settings!$C$7),"")</f>
        <v/>
      </c>
      <c r="L59" s="13">
        <f>IFERROR(INDEX(MitAll,$AA59,$Z59+1+L$4-Settings!$C$7),"")</f>
        <v/>
      </c>
      <c r="M59" s="13">
        <f>IFERROR(INDEX(MitAll,$AA59,$Z59+1+M$4-Settings!$C$7),"")</f>
        <v/>
      </c>
      <c r="N59" s="13">
        <f>IFERROR(INDEX(MitAll,$AA59,$Z59+1+N$4-Settings!$C$7),"")</f>
        <v/>
      </c>
      <c r="O59" s="13">
        <f>IFERROR(INDEX(MitAll,$AA59,$Z59+1+O$4-Settings!$C$7),"")</f>
        <v/>
      </c>
      <c r="P59" s="13">
        <f>IFERROR(INDEX(MitAll,$AA59,$Z59+1+P$4-Settings!$C$7),"")</f>
        <v/>
      </c>
      <c r="Q59" s="13">
        <f>IFERROR(INDEX(MitAll,$AA59,$Z59+1+Q$4-Settings!$C$7),"")</f>
        <v/>
      </c>
      <c r="R59" s="13">
        <f>IFERROR(INDEX(MitAll,$AA59,$Z59+1+R$4-Settings!$C$7),"")</f>
        <v/>
      </c>
      <c r="S59" s="13">
        <f>IFERROR(INDEX(MitAll,$AA59,$Z59+1+S$4-Settings!$C$7),"")</f>
        <v/>
      </c>
      <c r="T59" s="13">
        <f>IFERROR(INDEX(MitAll,$AA59,$Z59+1+T$4-Settings!$C$7),"")</f>
        <v/>
      </c>
      <c r="U59" s="13">
        <f>IFERROR(INDEX(MitAll,$AA59,$Z59+1+U$4-Settings!$C$7),"")</f>
        <v/>
      </c>
      <c r="V59" s="13">
        <f>IFERROR(INDEX(MitAll,$AA59,$Z59+1+V$4-Settings!$C$7),"")</f>
        <v/>
      </c>
      <c r="W59" s="13">
        <f>IFERROR(INDEX(MitAll,$AA59,$Z59+1+W$4-Settings!$C$7),"")</f>
        <v/>
      </c>
      <c r="X59" s="13">
        <f>IFERROR(INDEX(MitAll,$AA59,$Z59+1+X$4-Settings!$C$7),"")</f>
        <v/>
      </c>
      <c r="Y59" s="13">
        <f>IFERROR(INDEX(MitAll,$AA59,$Z59+1+Y$4-Settings!$C$7),"")</f>
        <v/>
      </c>
      <c r="Z59" s="10">
        <f>MATCH($E59,MitScen,0)</f>
        <v/>
      </c>
      <c r="AA59" s="10">
        <f>MATCH($A59,INDEX(MitAll,0,$Z59),0)</f>
        <v/>
      </c>
    </row>
    <row r="60">
      <c r="A60" s="11">
        <f>LOWER(Settings!$C$4)&amp;"."&amp;$B60&amp;"."&amp;$E60</f>
        <v/>
      </c>
      <c r="B60" s="22" t="inlineStr">
        <is>
          <t>mit.shr.pow.sol</t>
        </is>
      </c>
      <c r="C60" s="14">
        <f>IFERROR(INDEX(MitDesc,$AA60),"code not found")</f>
        <v/>
      </c>
      <c r="D60" s="14">
        <f>IFERROR(INDEX(MitUnit,$AA60),"")</f>
        <v/>
      </c>
      <c r="E60" s="10">
        <f>E59</f>
        <v/>
      </c>
      <c r="F60" s="12">
        <f>IFERROR(INDEX(MitAll,$AA60,$Z60+1+F$4-Settings!$C$7),"")</f>
        <v/>
      </c>
      <c r="G60" s="13">
        <f>IFERROR(INDEX(MitAll,$AA60,$Z60+1+G$4-Settings!$C$7),"")</f>
        <v/>
      </c>
      <c r="H60" s="13">
        <f>IFERROR(INDEX(MitAll,$AA60,$Z60+1+H$4-Settings!$C$7),"")</f>
        <v/>
      </c>
      <c r="I60" s="13">
        <f>IFERROR(INDEX(MitAll,$AA60,$Z60+1+I$4-Settings!$C$7),"")</f>
        <v/>
      </c>
      <c r="J60" s="13">
        <f>IFERROR(INDEX(MitAll,$AA60,$Z60+1+J$4-Settings!$C$7),"")</f>
        <v/>
      </c>
      <c r="K60" s="13">
        <f>IFERROR(INDEX(MitAll,$AA60,$Z60+1+K$4-Settings!$C$7),"")</f>
        <v/>
      </c>
      <c r="L60" s="13">
        <f>IFERROR(INDEX(MitAll,$AA60,$Z60+1+L$4-Settings!$C$7),"")</f>
        <v/>
      </c>
      <c r="M60" s="13">
        <f>IFERROR(INDEX(MitAll,$AA60,$Z60+1+M$4-Settings!$C$7),"")</f>
        <v/>
      </c>
      <c r="N60" s="13">
        <f>IFERROR(INDEX(MitAll,$AA60,$Z60+1+N$4-Settings!$C$7),"")</f>
        <v/>
      </c>
      <c r="O60" s="13">
        <f>IFERROR(INDEX(MitAll,$AA60,$Z60+1+O$4-Settings!$C$7),"")</f>
        <v/>
      </c>
      <c r="P60" s="13">
        <f>IFERROR(INDEX(MitAll,$AA60,$Z60+1+P$4-Settings!$C$7),"")</f>
        <v/>
      </c>
      <c r="Q60" s="13">
        <f>IFERROR(INDEX(MitAll,$AA60,$Z60+1+Q$4-Settings!$C$7),"")</f>
        <v/>
      </c>
      <c r="R60" s="13">
        <f>IFERROR(INDEX(MitAll,$AA60,$Z60+1+R$4-Settings!$C$7),"")</f>
        <v/>
      </c>
      <c r="S60" s="13">
        <f>IFERROR(INDEX(MitAll,$AA60,$Z60+1+S$4-Settings!$C$7),"")</f>
        <v/>
      </c>
      <c r="T60" s="13">
        <f>IFERROR(INDEX(MitAll,$AA60,$Z60+1+T$4-Settings!$C$7),"")</f>
        <v/>
      </c>
      <c r="U60" s="13">
        <f>IFERROR(INDEX(MitAll,$AA60,$Z60+1+U$4-Settings!$C$7),"")</f>
        <v/>
      </c>
      <c r="V60" s="13">
        <f>IFERROR(INDEX(MitAll,$AA60,$Z60+1+V$4-Settings!$C$7),"")</f>
        <v/>
      </c>
      <c r="W60" s="13">
        <f>IFERROR(INDEX(MitAll,$AA60,$Z60+1+W$4-Settings!$C$7),"")</f>
        <v/>
      </c>
      <c r="X60" s="13">
        <f>IFERROR(INDEX(MitAll,$AA60,$Z60+1+X$4-Settings!$C$7),"")</f>
        <v/>
      </c>
      <c r="Y60" s="13">
        <f>IFERROR(INDEX(MitAll,$AA60,$Z60+1+Y$4-Settings!$C$7),"")</f>
        <v/>
      </c>
      <c r="Z60" s="10">
        <f>MATCH($E60,MitScen,0)</f>
        <v/>
      </c>
      <c r="AA60" s="10">
        <f>MATCH($A60,INDEX(MitAll,0,$Z60),0)</f>
        <v/>
      </c>
    </row>
    <row r="61">
      <c r="A61" s="11">
        <f>LOWER(Settings!$C$4)&amp;"."&amp;$B61&amp;"."&amp;$E61</f>
        <v/>
      </c>
      <c r="B61" s="22" t="inlineStr">
        <is>
          <t>mit.shr.pow.hyd</t>
        </is>
      </c>
      <c r="C61" s="14">
        <f>IFERROR(INDEX(MitDesc,$AA61),"code not found")</f>
        <v/>
      </c>
      <c r="D61" s="14">
        <f>IFERROR(INDEX(MitUnit,$AA61),"")</f>
        <v/>
      </c>
      <c r="E61" s="10">
        <f>E60</f>
        <v/>
      </c>
      <c r="F61" s="12">
        <f>IFERROR(INDEX(MitAll,$AA61,$Z61+1+F$4-Settings!$C$7),"")</f>
        <v/>
      </c>
      <c r="G61" s="13">
        <f>IFERROR(INDEX(MitAll,$AA61,$Z61+1+G$4-Settings!$C$7),"")</f>
        <v/>
      </c>
      <c r="H61" s="13">
        <f>IFERROR(INDEX(MitAll,$AA61,$Z61+1+H$4-Settings!$C$7),"")</f>
        <v/>
      </c>
      <c r="I61" s="13">
        <f>IFERROR(INDEX(MitAll,$AA61,$Z61+1+I$4-Settings!$C$7),"")</f>
        <v/>
      </c>
      <c r="J61" s="13">
        <f>IFERROR(INDEX(MitAll,$AA61,$Z61+1+J$4-Settings!$C$7),"")</f>
        <v/>
      </c>
      <c r="K61" s="13">
        <f>IFERROR(INDEX(MitAll,$AA61,$Z61+1+K$4-Settings!$C$7),"")</f>
        <v/>
      </c>
      <c r="L61" s="13">
        <f>IFERROR(INDEX(MitAll,$AA61,$Z61+1+L$4-Settings!$C$7),"")</f>
        <v/>
      </c>
      <c r="M61" s="13">
        <f>IFERROR(INDEX(MitAll,$AA61,$Z61+1+M$4-Settings!$C$7),"")</f>
        <v/>
      </c>
      <c r="N61" s="13">
        <f>IFERROR(INDEX(MitAll,$AA61,$Z61+1+N$4-Settings!$C$7),"")</f>
        <v/>
      </c>
      <c r="O61" s="13">
        <f>IFERROR(INDEX(MitAll,$AA61,$Z61+1+O$4-Settings!$C$7),"")</f>
        <v/>
      </c>
      <c r="P61" s="13">
        <f>IFERROR(INDEX(MitAll,$AA61,$Z61+1+P$4-Settings!$C$7),"")</f>
        <v/>
      </c>
      <c r="Q61" s="13">
        <f>IFERROR(INDEX(MitAll,$AA61,$Z61+1+Q$4-Settings!$C$7),"")</f>
        <v/>
      </c>
      <c r="R61" s="13">
        <f>IFERROR(INDEX(MitAll,$AA61,$Z61+1+R$4-Settings!$C$7),"")</f>
        <v/>
      </c>
      <c r="S61" s="13">
        <f>IFERROR(INDEX(MitAll,$AA61,$Z61+1+S$4-Settings!$C$7),"")</f>
        <v/>
      </c>
      <c r="T61" s="13">
        <f>IFERROR(INDEX(MitAll,$AA61,$Z61+1+T$4-Settings!$C$7),"")</f>
        <v/>
      </c>
      <c r="U61" s="13">
        <f>IFERROR(INDEX(MitAll,$AA61,$Z61+1+U$4-Settings!$C$7),"")</f>
        <v/>
      </c>
      <c r="V61" s="13">
        <f>IFERROR(INDEX(MitAll,$AA61,$Z61+1+V$4-Settings!$C$7),"")</f>
        <v/>
      </c>
      <c r="W61" s="13">
        <f>IFERROR(INDEX(MitAll,$AA61,$Z61+1+W$4-Settings!$C$7),"")</f>
        <v/>
      </c>
      <c r="X61" s="13">
        <f>IFERROR(INDEX(MitAll,$AA61,$Z61+1+X$4-Settings!$C$7),"")</f>
        <v/>
      </c>
      <c r="Y61" s="13">
        <f>IFERROR(INDEX(MitAll,$AA61,$Z61+1+Y$4-Settings!$C$7),"")</f>
        <v/>
      </c>
      <c r="Z61" s="10">
        <f>MATCH($E61,MitScen,0)</f>
        <v/>
      </c>
      <c r="AA61" s="10">
        <f>MATCH($A61,INDEX(MitAll,0,$Z61),0)</f>
        <v/>
      </c>
    </row>
    <row r="62">
      <c r="A62" s="11">
        <f>LOWER(Settings!$C$4)&amp;"."&amp;$B62&amp;"."&amp;$E62</f>
        <v/>
      </c>
      <c r="B62" s="22" t="inlineStr">
        <is>
          <t>mit.ccpav</t>
        </is>
      </c>
      <c r="C62" s="14">
        <f>IFERROR(INDEX(MitDesc,$AA62),"code not found")</f>
        <v/>
      </c>
      <c r="D62" s="14">
        <f>IFERROR(INDEX(MitUnit,$AA62),"")</f>
        <v/>
      </c>
      <c r="E62" s="10">
        <f>E61</f>
        <v/>
      </c>
      <c r="F62" s="15">
        <f>IFERROR(INDEX(MitAll,$AA62,$Z62+1+F$4-Settings!$C$7),"")</f>
        <v/>
      </c>
      <c r="G62" s="16">
        <f>IFERROR(INDEX(MitAll,$AA62,$Z62+1+G$4-Settings!$C$7),"")</f>
        <v/>
      </c>
      <c r="H62" s="16">
        <f>IFERROR(INDEX(MitAll,$AA62,$Z62+1+H$4-Settings!$C$7),"")</f>
        <v/>
      </c>
      <c r="I62" s="16">
        <f>IFERROR(INDEX(MitAll,$AA62,$Z62+1+I$4-Settings!$C$7),"")</f>
        <v/>
      </c>
      <c r="J62" s="16">
        <f>IFERROR(INDEX(MitAll,$AA62,$Z62+1+J$4-Settings!$C$7),"")</f>
        <v/>
      </c>
      <c r="K62" s="16">
        <f>IFERROR(INDEX(MitAll,$AA62,$Z62+1+K$4-Settings!$C$7),"")</f>
        <v/>
      </c>
      <c r="L62" s="16">
        <f>IFERROR(INDEX(MitAll,$AA62,$Z62+1+L$4-Settings!$C$7),"")</f>
        <v/>
      </c>
      <c r="M62" s="16">
        <f>IFERROR(INDEX(MitAll,$AA62,$Z62+1+M$4-Settings!$C$7),"")</f>
        <v/>
      </c>
      <c r="N62" s="16">
        <f>IFERROR(INDEX(MitAll,$AA62,$Z62+1+N$4-Settings!$C$7),"")</f>
        <v/>
      </c>
      <c r="O62" s="16">
        <f>IFERROR(INDEX(MitAll,$AA62,$Z62+1+O$4-Settings!$C$7),"")</f>
        <v/>
      </c>
      <c r="P62" s="16">
        <f>IFERROR(INDEX(MitAll,$AA62,$Z62+1+P$4-Settings!$C$7),"")</f>
        <v/>
      </c>
      <c r="Q62" s="16">
        <f>IFERROR(INDEX(MitAll,$AA62,$Z62+1+Q$4-Settings!$C$7),"")</f>
        <v/>
      </c>
      <c r="R62" s="16">
        <f>IFERROR(INDEX(MitAll,$AA62,$Z62+1+R$4-Settings!$C$7),"")</f>
        <v/>
      </c>
      <c r="S62" s="16">
        <f>IFERROR(INDEX(MitAll,$AA62,$Z62+1+S$4-Settings!$C$7),"")</f>
        <v/>
      </c>
      <c r="T62" s="16">
        <f>IFERROR(INDEX(MitAll,$AA62,$Z62+1+T$4-Settings!$C$7),"")</f>
        <v/>
      </c>
      <c r="U62" s="16">
        <f>IFERROR(INDEX(MitAll,$AA62,$Z62+1+U$4-Settings!$C$7),"")</f>
        <v/>
      </c>
      <c r="V62" s="16">
        <f>IFERROR(INDEX(MitAll,$AA62,$Z62+1+V$4-Settings!$C$7),"")</f>
        <v/>
      </c>
      <c r="W62" s="16">
        <f>IFERROR(INDEX(MitAll,$AA62,$Z62+1+W$4-Settings!$C$7),"")</f>
        <v/>
      </c>
      <c r="X62" s="16">
        <f>IFERROR(INDEX(MitAll,$AA62,$Z62+1+X$4-Settings!$C$7),"")</f>
        <v/>
      </c>
      <c r="Y62" s="16">
        <f>IFERROR(INDEX(MitAll,$AA62,$Z62+1+Y$4-Settings!$C$7),"")</f>
        <v/>
      </c>
      <c r="Z62" s="10">
        <f>MATCH($E62,MitScen,0)</f>
        <v/>
      </c>
      <c r="AA62" s="10">
        <f>MATCH($A62,INDEX(MitAll,0,$Z62),0)</f>
        <v/>
      </c>
    </row>
    <row r="63">
      <c r="A63" s="11">
        <f>LOWER(Settings!$C$4)&amp;"."&amp;$B63&amp;"."&amp;$E63</f>
        <v/>
      </c>
      <c r="B63" s="22" t="inlineStr">
        <is>
          <t>mit.rcarb.res.ecy</t>
        </is>
      </c>
      <c r="C63" s="14">
        <f>IFERROR(INDEX(MitDesc,$AA63),"code not found")</f>
        <v/>
      </c>
      <c r="D63" s="14">
        <f>IFERROR(INDEX(MitUnit,$AA63),"")</f>
        <v/>
      </c>
      <c r="E63" s="10">
        <f>E62</f>
        <v/>
      </c>
      <c r="F63" s="46">
        <f>IFERROR(INDEX(MitAll,$AA63,$Z63+1+F$4-Settings!$C$7),"")</f>
        <v/>
      </c>
      <c r="G63" s="47">
        <f>IFERROR(INDEX(MitAll,$AA63,$Z63+1+G$4-Settings!$C$7),"")</f>
        <v/>
      </c>
      <c r="H63" s="47">
        <f>IFERROR(INDEX(MitAll,$AA63,$Z63+1+H$4-Settings!$C$7),"")</f>
        <v/>
      </c>
      <c r="I63" s="47">
        <f>IFERROR(INDEX(MitAll,$AA63,$Z63+1+I$4-Settings!$C$7),"")</f>
        <v/>
      </c>
      <c r="J63" s="47">
        <f>IFERROR(INDEX(MitAll,$AA63,$Z63+1+J$4-Settings!$C$7),"")</f>
        <v/>
      </c>
      <c r="K63" s="47">
        <f>IFERROR(INDEX(MitAll,$AA63,$Z63+1+K$4-Settings!$C$7),"")</f>
        <v/>
      </c>
      <c r="L63" s="47">
        <f>IFERROR(INDEX(MitAll,$AA63,$Z63+1+L$4-Settings!$C$7),"")</f>
        <v/>
      </c>
      <c r="M63" s="47">
        <f>IFERROR(INDEX(MitAll,$AA63,$Z63+1+M$4-Settings!$C$7),"")</f>
        <v/>
      </c>
      <c r="N63" s="47">
        <f>IFERROR(INDEX(MitAll,$AA63,$Z63+1+N$4-Settings!$C$7),"")</f>
        <v/>
      </c>
      <c r="O63" s="47">
        <f>IFERROR(INDEX(MitAll,$AA63,$Z63+1+O$4-Settings!$C$7),"")</f>
        <v/>
      </c>
      <c r="P63" s="47">
        <f>IFERROR(INDEX(MitAll,$AA63,$Z63+1+P$4-Settings!$C$7),"")</f>
        <v/>
      </c>
      <c r="Q63" s="47">
        <f>IFERROR(INDEX(MitAll,$AA63,$Z63+1+Q$4-Settings!$C$7),"")</f>
        <v/>
      </c>
      <c r="R63" s="47">
        <f>IFERROR(INDEX(MitAll,$AA63,$Z63+1+R$4-Settings!$C$7),"")</f>
        <v/>
      </c>
      <c r="S63" s="47">
        <f>IFERROR(INDEX(MitAll,$AA63,$Z63+1+S$4-Settings!$C$7),"")</f>
        <v/>
      </c>
      <c r="T63" s="47">
        <f>IFERROR(INDEX(MitAll,$AA63,$Z63+1+T$4-Settings!$C$7),"")</f>
        <v/>
      </c>
      <c r="U63" s="47">
        <f>IFERROR(INDEX(MitAll,$AA63,$Z63+1+U$4-Settings!$C$7),"")</f>
        <v/>
      </c>
      <c r="V63" s="47">
        <f>IFERROR(INDEX(MitAll,$AA63,$Z63+1+V$4-Settings!$C$7),"")</f>
        <v/>
      </c>
      <c r="W63" s="47">
        <f>IFERROR(INDEX(MitAll,$AA63,$Z63+1+W$4-Settings!$C$7),"")</f>
        <v/>
      </c>
      <c r="X63" s="47">
        <f>IFERROR(INDEX(MitAll,$AA63,$Z63+1+X$4-Settings!$C$7),"")</f>
        <v/>
      </c>
      <c r="Y63" s="47">
        <f>IFERROR(INDEX(MitAll,$AA63,$Z63+1+Y$4-Settings!$C$7),"")</f>
        <v/>
      </c>
      <c r="Z63" s="10">
        <f>MATCH($E63,MitScen,0)</f>
        <v/>
      </c>
      <c r="AA63" s="10">
        <f>MATCH($A63,INDEX(MitAll,0,$Z63),0)</f>
        <v/>
      </c>
    </row>
    <row r="64">
      <c r="A64" s="11">
        <f>LOWER(Settings!$C$4)&amp;"."&amp;$B64&amp;"."&amp;$E64</f>
        <v/>
      </c>
      <c r="B64" s="22" t="inlineStr">
        <is>
          <t>mit.rcarb.ind.ecy</t>
        </is>
      </c>
      <c r="C64" s="14">
        <f>IFERROR(INDEX(MitDesc,$AA64),"code not found")</f>
        <v/>
      </c>
      <c r="D64" s="14">
        <f>IFERROR(INDEX(MitUnit,$AA64),"")</f>
        <v/>
      </c>
      <c r="E64" s="10">
        <f>E63</f>
        <v/>
      </c>
      <c r="F64" s="46">
        <f>IFERROR(INDEX(MitAll,$AA64,$Z64+1+F$4-Settings!$C$7),"")</f>
        <v/>
      </c>
      <c r="G64" s="47">
        <f>IFERROR(INDEX(MitAll,$AA64,$Z64+1+G$4-Settings!$C$7),"")</f>
        <v/>
      </c>
      <c r="H64" s="47">
        <f>IFERROR(INDEX(MitAll,$AA64,$Z64+1+H$4-Settings!$C$7),"")</f>
        <v/>
      </c>
      <c r="I64" s="47">
        <f>IFERROR(INDEX(MitAll,$AA64,$Z64+1+I$4-Settings!$C$7),"")</f>
        <v/>
      </c>
      <c r="J64" s="47">
        <f>IFERROR(INDEX(MitAll,$AA64,$Z64+1+J$4-Settings!$C$7),"")</f>
        <v/>
      </c>
      <c r="K64" s="47">
        <f>IFERROR(INDEX(MitAll,$AA64,$Z64+1+K$4-Settings!$C$7),"")</f>
        <v/>
      </c>
      <c r="L64" s="47">
        <f>IFERROR(INDEX(MitAll,$AA64,$Z64+1+L$4-Settings!$C$7),"")</f>
        <v/>
      </c>
      <c r="M64" s="47">
        <f>IFERROR(INDEX(MitAll,$AA64,$Z64+1+M$4-Settings!$C$7),"")</f>
        <v/>
      </c>
      <c r="N64" s="47">
        <f>IFERROR(INDEX(MitAll,$AA64,$Z64+1+N$4-Settings!$C$7),"")</f>
        <v/>
      </c>
      <c r="O64" s="47">
        <f>IFERROR(INDEX(MitAll,$AA64,$Z64+1+O$4-Settings!$C$7),"")</f>
        <v/>
      </c>
      <c r="P64" s="47">
        <f>IFERROR(INDEX(MitAll,$AA64,$Z64+1+P$4-Settings!$C$7),"")</f>
        <v/>
      </c>
      <c r="Q64" s="47">
        <f>IFERROR(INDEX(MitAll,$AA64,$Z64+1+Q$4-Settings!$C$7),"")</f>
        <v/>
      </c>
      <c r="R64" s="47">
        <f>IFERROR(INDEX(MitAll,$AA64,$Z64+1+R$4-Settings!$C$7),"")</f>
        <v/>
      </c>
      <c r="S64" s="47">
        <f>IFERROR(INDEX(MitAll,$AA64,$Z64+1+S$4-Settings!$C$7),"")</f>
        <v/>
      </c>
      <c r="T64" s="47">
        <f>IFERROR(INDEX(MitAll,$AA64,$Z64+1+T$4-Settings!$C$7),"")</f>
        <v/>
      </c>
      <c r="U64" s="47">
        <f>IFERROR(INDEX(MitAll,$AA64,$Z64+1+U$4-Settings!$C$7),"")</f>
        <v/>
      </c>
      <c r="V64" s="47">
        <f>IFERROR(INDEX(MitAll,$AA64,$Z64+1+V$4-Settings!$C$7),"")</f>
        <v/>
      </c>
      <c r="W64" s="47">
        <f>IFERROR(INDEX(MitAll,$AA64,$Z64+1+W$4-Settings!$C$7),"")</f>
        <v/>
      </c>
      <c r="X64" s="47">
        <f>IFERROR(INDEX(MitAll,$AA64,$Z64+1+X$4-Settings!$C$7),"")</f>
        <v/>
      </c>
      <c r="Y64" s="47">
        <f>IFERROR(INDEX(MitAll,$AA64,$Z64+1+Y$4-Settings!$C$7),"")</f>
        <v/>
      </c>
      <c r="Z64" s="10">
        <f>MATCH($E64,MitScen,0)</f>
        <v/>
      </c>
      <c r="AA64" s="10">
        <f>MATCH($A64,INDEX(MitAll,0,$Z64),0)</f>
        <v/>
      </c>
    </row>
    <row r="65">
      <c r="E65" s="86">
        <f>E64</f>
        <v/>
      </c>
    </row>
    <row r="66">
      <c r="A66" s="4" t="inlineStr">
        <is>
          <t>Scenario block</t>
        </is>
      </c>
      <c r="B66" s="5" t="n"/>
      <c r="C66" s="4">
        <f>INDEX(MTInputs!$J$6:$AZ$6,MATCH($E66,MTInputs!$J$5:$AZ$5,0))</f>
        <v/>
      </c>
      <c r="D66" s="5" t="n"/>
      <c r="E66" s="85">
        <f>E65+1</f>
        <v/>
      </c>
      <c r="F66" s="5" t="n"/>
      <c r="G66" s="5" t="n"/>
      <c r="H66" s="5" t="n"/>
      <c r="I66" s="5" t="n"/>
      <c r="J66" s="5" t="n"/>
      <c r="K66" s="5" t="n"/>
      <c r="L66" s="5" t="n"/>
      <c r="M66" s="5" t="n"/>
      <c r="N66" s="5" t="n"/>
      <c r="O66" s="5" t="n"/>
      <c r="P66" s="5" t="n"/>
      <c r="Q66" s="5" t="n"/>
      <c r="R66" s="5" t="n"/>
      <c r="S66" s="5" t="n"/>
      <c r="T66" s="5" t="n"/>
      <c r="U66" s="5" t="n"/>
      <c r="V66" s="5" t="n"/>
      <c r="W66" s="5" t="n"/>
      <c r="X66" s="5" t="n"/>
      <c r="Y66" s="5" t="n"/>
    </row>
    <row r="67">
      <c r="A67" s="11">
        <f>LOWER(Settings!$C$4)&amp;"."&amp;$B67&amp;"."&amp;$E67</f>
        <v/>
      </c>
      <c r="B67" s="22" t="inlineStr">
        <is>
          <t>mit.ener.all.all.e</t>
        </is>
      </c>
      <c r="C67" s="14">
        <f>IFERROR(INDEX(MitDesc,$AA67),"code not found")</f>
        <v/>
      </c>
      <c r="D67" s="14">
        <f>IFERROR(INDEX(MitUnit,$AA67),"")</f>
        <v/>
      </c>
      <c r="E67" s="10">
        <f>E66</f>
        <v/>
      </c>
      <c r="F67" s="46">
        <f>IFERROR(INDEX(MitAll,$AA67,$Z67+1+F$4-Settings!$C$7),"")</f>
        <v/>
      </c>
      <c r="G67" s="47">
        <f>IFERROR(INDEX(MitAll,$AA67,$Z67+1+G$4-Settings!$C$7),"")</f>
        <v/>
      </c>
      <c r="H67" s="47">
        <f>IFERROR(INDEX(MitAll,$AA67,$Z67+1+H$4-Settings!$C$7),"")</f>
        <v/>
      </c>
      <c r="I67" s="47">
        <f>IFERROR(INDEX(MitAll,$AA67,$Z67+1+I$4-Settings!$C$7),"")</f>
        <v/>
      </c>
      <c r="J67" s="47">
        <f>IFERROR(INDEX(MitAll,$AA67,$Z67+1+J$4-Settings!$C$7),"")</f>
        <v/>
      </c>
      <c r="K67" s="47">
        <f>IFERROR(INDEX(MitAll,$AA67,$Z67+1+K$4-Settings!$C$7),"")</f>
        <v/>
      </c>
      <c r="L67" s="47">
        <f>IFERROR(INDEX(MitAll,$AA67,$Z67+1+L$4-Settings!$C$7),"")</f>
        <v/>
      </c>
      <c r="M67" s="47">
        <f>IFERROR(INDEX(MitAll,$AA67,$Z67+1+M$4-Settings!$C$7),"")</f>
        <v/>
      </c>
      <c r="N67" s="47">
        <f>IFERROR(INDEX(MitAll,$AA67,$Z67+1+N$4-Settings!$C$7),"")</f>
        <v/>
      </c>
      <c r="O67" s="47">
        <f>IFERROR(INDEX(MitAll,$AA67,$Z67+1+O$4-Settings!$C$7),"")</f>
        <v/>
      </c>
      <c r="P67" s="47">
        <f>IFERROR(INDEX(MitAll,$AA67,$Z67+1+P$4-Settings!$C$7),"")</f>
        <v/>
      </c>
      <c r="Q67" s="47">
        <f>IFERROR(INDEX(MitAll,$AA67,$Z67+1+Q$4-Settings!$C$7),"")</f>
        <v/>
      </c>
      <c r="R67" s="47">
        <f>IFERROR(INDEX(MitAll,$AA67,$Z67+1+R$4-Settings!$C$7),"")</f>
        <v/>
      </c>
      <c r="S67" s="47">
        <f>IFERROR(INDEX(MitAll,$AA67,$Z67+1+S$4-Settings!$C$7),"")</f>
        <v/>
      </c>
      <c r="T67" s="47">
        <f>IFERROR(INDEX(MitAll,$AA67,$Z67+1+T$4-Settings!$C$7),"")</f>
        <v/>
      </c>
      <c r="U67" s="47">
        <f>IFERROR(INDEX(MitAll,$AA67,$Z67+1+U$4-Settings!$C$7),"")</f>
        <v/>
      </c>
      <c r="V67" s="47">
        <f>IFERROR(INDEX(MitAll,$AA67,$Z67+1+V$4-Settings!$C$7),"")</f>
        <v/>
      </c>
      <c r="W67" s="47">
        <f>IFERROR(INDEX(MitAll,$AA67,$Z67+1+W$4-Settings!$C$7),"")</f>
        <v/>
      </c>
      <c r="X67" s="47">
        <f>IFERROR(INDEX(MitAll,$AA67,$Z67+1+X$4-Settings!$C$7),"")</f>
        <v/>
      </c>
      <c r="Y67" s="47">
        <f>IFERROR(INDEX(MitAll,$AA67,$Z67+1+Y$4-Settings!$C$7),"")</f>
        <v/>
      </c>
      <c r="Z67" s="10">
        <f>MATCH($E67,MitScen,0)</f>
        <v/>
      </c>
      <c r="AA67" s="10">
        <f>MATCH($A67,INDEX(MitAll,0,$Z67),0)</f>
        <v/>
      </c>
    </row>
    <row r="68">
      <c r="A68" s="11">
        <f>LOWER(Settings!$C$4)&amp;"."&amp;$B68&amp;"."&amp;$E68</f>
        <v/>
      </c>
      <c r="B68" s="22" t="inlineStr">
        <is>
          <t>mit.ener.tra.all.e</t>
        </is>
      </c>
      <c r="C68" s="14">
        <f>IFERROR(INDEX(MitDesc,$AA68),"code not found")</f>
        <v/>
      </c>
      <c r="D68" s="14">
        <f>IFERROR(INDEX(MitUnit,$AA68),"")</f>
        <v/>
      </c>
      <c r="E68" s="10">
        <f>E67</f>
        <v/>
      </c>
      <c r="F68" s="46">
        <f>IFERROR(INDEX(MitAll,$AA68,$Z68+1+F$4-Settings!$C$7),"")</f>
        <v/>
      </c>
      <c r="G68" s="47">
        <f>IFERROR(INDEX(MitAll,$AA68,$Z68+1+G$4-Settings!$C$7),"")</f>
        <v/>
      </c>
      <c r="H68" s="47">
        <f>IFERROR(INDEX(MitAll,$AA68,$Z68+1+H$4-Settings!$C$7),"")</f>
        <v/>
      </c>
      <c r="I68" s="47">
        <f>IFERROR(INDEX(MitAll,$AA68,$Z68+1+I$4-Settings!$C$7),"")</f>
        <v/>
      </c>
      <c r="J68" s="47">
        <f>IFERROR(INDEX(MitAll,$AA68,$Z68+1+J$4-Settings!$C$7),"")</f>
        <v/>
      </c>
      <c r="K68" s="47">
        <f>IFERROR(INDEX(MitAll,$AA68,$Z68+1+K$4-Settings!$C$7),"")</f>
        <v/>
      </c>
      <c r="L68" s="47">
        <f>IFERROR(INDEX(MitAll,$AA68,$Z68+1+L$4-Settings!$C$7),"")</f>
        <v/>
      </c>
      <c r="M68" s="47">
        <f>IFERROR(INDEX(MitAll,$AA68,$Z68+1+M$4-Settings!$C$7),"")</f>
        <v/>
      </c>
      <c r="N68" s="47">
        <f>IFERROR(INDEX(MitAll,$AA68,$Z68+1+N$4-Settings!$C$7),"")</f>
        <v/>
      </c>
      <c r="O68" s="47">
        <f>IFERROR(INDEX(MitAll,$AA68,$Z68+1+O$4-Settings!$C$7),"")</f>
        <v/>
      </c>
      <c r="P68" s="47">
        <f>IFERROR(INDEX(MitAll,$AA68,$Z68+1+P$4-Settings!$C$7),"")</f>
        <v/>
      </c>
      <c r="Q68" s="47">
        <f>IFERROR(INDEX(MitAll,$AA68,$Z68+1+Q$4-Settings!$C$7),"")</f>
        <v/>
      </c>
      <c r="R68" s="47">
        <f>IFERROR(INDEX(MitAll,$AA68,$Z68+1+R$4-Settings!$C$7),"")</f>
        <v/>
      </c>
      <c r="S68" s="47">
        <f>IFERROR(INDEX(MitAll,$AA68,$Z68+1+S$4-Settings!$C$7),"")</f>
        <v/>
      </c>
      <c r="T68" s="47">
        <f>IFERROR(INDEX(MitAll,$AA68,$Z68+1+T$4-Settings!$C$7),"")</f>
        <v/>
      </c>
      <c r="U68" s="47">
        <f>IFERROR(INDEX(MitAll,$AA68,$Z68+1+U$4-Settings!$C$7),"")</f>
        <v/>
      </c>
      <c r="V68" s="47">
        <f>IFERROR(INDEX(MitAll,$AA68,$Z68+1+V$4-Settings!$C$7),"")</f>
        <v/>
      </c>
      <c r="W68" s="47">
        <f>IFERROR(INDEX(MitAll,$AA68,$Z68+1+W$4-Settings!$C$7),"")</f>
        <v/>
      </c>
      <c r="X68" s="47">
        <f>IFERROR(INDEX(MitAll,$AA68,$Z68+1+X$4-Settings!$C$7),"")</f>
        <v/>
      </c>
      <c r="Y68" s="47">
        <f>IFERROR(INDEX(MitAll,$AA68,$Z68+1+Y$4-Settings!$C$7),"")</f>
        <v/>
      </c>
      <c r="Z68" s="10">
        <f>MATCH($E68,MitScen,0)</f>
        <v/>
      </c>
      <c r="AA68" s="10">
        <f>MATCH($A68,INDEX(MitAll,0,$Z68),0)</f>
        <v/>
      </c>
    </row>
    <row r="69">
      <c r="A69" s="11">
        <f>LOWER(Settings!$C$4)&amp;"."&amp;$B69&amp;"."&amp;$E69</f>
        <v/>
      </c>
      <c r="B69" s="22" t="inlineStr">
        <is>
          <t>mit.ener.bld.all.e</t>
        </is>
      </c>
      <c r="C69" s="14">
        <f>IFERROR(INDEX(MitDesc,$AA69),"code not found")</f>
        <v/>
      </c>
      <c r="D69" s="14">
        <f>IFERROR(INDEX(MitUnit,$AA69),"")</f>
        <v/>
      </c>
      <c r="E69" s="10">
        <f>E68</f>
        <v/>
      </c>
      <c r="F69" s="46">
        <f>IFERROR(INDEX(MitAll,$AA69,$Z69+1+F$4-Settings!$C$7),"")</f>
        <v/>
      </c>
      <c r="G69" s="47">
        <f>IFERROR(INDEX(MitAll,$AA69,$Z69+1+G$4-Settings!$C$7),"")</f>
        <v/>
      </c>
      <c r="H69" s="47">
        <f>IFERROR(INDEX(MitAll,$AA69,$Z69+1+H$4-Settings!$C$7),"")</f>
        <v/>
      </c>
      <c r="I69" s="47">
        <f>IFERROR(INDEX(MitAll,$AA69,$Z69+1+I$4-Settings!$C$7),"")</f>
        <v/>
      </c>
      <c r="J69" s="47">
        <f>IFERROR(INDEX(MitAll,$AA69,$Z69+1+J$4-Settings!$C$7),"")</f>
        <v/>
      </c>
      <c r="K69" s="47">
        <f>IFERROR(INDEX(MitAll,$AA69,$Z69+1+K$4-Settings!$C$7),"")</f>
        <v/>
      </c>
      <c r="L69" s="47">
        <f>IFERROR(INDEX(MitAll,$AA69,$Z69+1+L$4-Settings!$C$7),"")</f>
        <v/>
      </c>
      <c r="M69" s="47">
        <f>IFERROR(INDEX(MitAll,$AA69,$Z69+1+M$4-Settings!$C$7),"")</f>
        <v/>
      </c>
      <c r="N69" s="47">
        <f>IFERROR(INDEX(MitAll,$AA69,$Z69+1+N$4-Settings!$C$7),"")</f>
        <v/>
      </c>
      <c r="O69" s="47">
        <f>IFERROR(INDEX(MitAll,$AA69,$Z69+1+O$4-Settings!$C$7),"")</f>
        <v/>
      </c>
      <c r="P69" s="47">
        <f>IFERROR(INDEX(MitAll,$AA69,$Z69+1+P$4-Settings!$C$7),"")</f>
        <v/>
      </c>
      <c r="Q69" s="47">
        <f>IFERROR(INDEX(MitAll,$AA69,$Z69+1+Q$4-Settings!$C$7),"")</f>
        <v/>
      </c>
      <c r="R69" s="47">
        <f>IFERROR(INDEX(MitAll,$AA69,$Z69+1+R$4-Settings!$C$7),"")</f>
        <v/>
      </c>
      <c r="S69" s="47">
        <f>IFERROR(INDEX(MitAll,$AA69,$Z69+1+S$4-Settings!$C$7),"")</f>
        <v/>
      </c>
      <c r="T69" s="47">
        <f>IFERROR(INDEX(MitAll,$AA69,$Z69+1+T$4-Settings!$C$7),"")</f>
        <v/>
      </c>
      <c r="U69" s="47">
        <f>IFERROR(INDEX(MitAll,$AA69,$Z69+1+U$4-Settings!$C$7),"")</f>
        <v/>
      </c>
      <c r="V69" s="47">
        <f>IFERROR(INDEX(MitAll,$AA69,$Z69+1+V$4-Settings!$C$7),"")</f>
        <v/>
      </c>
      <c r="W69" s="47">
        <f>IFERROR(INDEX(MitAll,$AA69,$Z69+1+W$4-Settings!$C$7),"")</f>
        <v/>
      </c>
      <c r="X69" s="47">
        <f>IFERROR(INDEX(MitAll,$AA69,$Z69+1+X$4-Settings!$C$7),"")</f>
        <v/>
      </c>
      <c r="Y69" s="47">
        <f>IFERROR(INDEX(MitAll,$AA69,$Z69+1+Y$4-Settings!$C$7),"")</f>
        <v/>
      </c>
      <c r="Z69" s="10">
        <f>MATCH($E69,MitScen,0)</f>
        <v/>
      </c>
      <c r="AA69" s="10">
        <f>MATCH($A69,INDEX(MitAll,0,$Z69),0)</f>
        <v/>
      </c>
    </row>
    <row r="70">
      <c r="A70" s="11">
        <f>LOWER(Settings!$C$4)&amp;"."&amp;$B70&amp;"."&amp;$E70</f>
        <v/>
      </c>
      <c r="B70" s="22" t="inlineStr">
        <is>
          <t>mit.ener.ind.all.e</t>
        </is>
      </c>
      <c r="C70" s="14">
        <f>IFERROR(INDEX(MitDesc,$AA70),"code not found")</f>
        <v/>
      </c>
      <c r="D70" s="14">
        <f>IFERROR(INDEX(MitUnit,$AA70),"")</f>
        <v/>
      </c>
      <c r="E70" s="10">
        <f>E69</f>
        <v/>
      </c>
      <c r="F70" s="46">
        <f>IFERROR(INDEX(MitAll,$AA70,$Z70+1+F$4-Settings!$C$7),"")</f>
        <v/>
      </c>
      <c r="G70" s="47">
        <f>IFERROR(INDEX(MitAll,$AA70,$Z70+1+G$4-Settings!$C$7),"")</f>
        <v/>
      </c>
      <c r="H70" s="47">
        <f>IFERROR(INDEX(MitAll,$AA70,$Z70+1+H$4-Settings!$C$7),"")</f>
        <v/>
      </c>
      <c r="I70" s="47">
        <f>IFERROR(INDEX(MitAll,$AA70,$Z70+1+I$4-Settings!$C$7),"")</f>
        <v/>
      </c>
      <c r="J70" s="47">
        <f>IFERROR(INDEX(MitAll,$AA70,$Z70+1+J$4-Settings!$C$7),"")</f>
        <v/>
      </c>
      <c r="K70" s="47">
        <f>IFERROR(INDEX(MitAll,$AA70,$Z70+1+K$4-Settings!$C$7),"")</f>
        <v/>
      </c>
      <c r="L70" s="47">
        <f>IFERROR(INDEX(MitAll,$AA70,$Z70+1+L$4-Settings!$C$7),"")</f>
        <v/>
      </c>
      <c r="M70" s="47">
        <f>IFERROR(INDEX(MitAll,$AA70,$Z70+1+M$4-Settings!$C$7),"")</f>
        <v/>
      </c>
      <c r="N70" s="47">
        <f>IFERROR(INDEX(MitAll,$AA70,$Z70+1+N$4-Settings!$C$7),"")</f>
        <v/>
      </c>
      <c r="O70" s="47">
        <f>IFERROR(INDEX(MitAll,$AA70,$Z70+1+O$4-Settings!$C$7),"")</f>
        <v/>
      </c>
      <c r="P70" s="47">
        <f>IFERROR(INDEX(MitAll,$AA70,$Z70+1+P$4-Settings!$C$7),"")</f>
        <v/>
      </c>
      <c r="Q70" s="47">
        <f>IFERROR(INDEX(MitAll,$AA70,$Z70+1+Q$4-Settings!$C$7),"")</f>
        <v/>
      </c>
      <c r="R70" s="47">
        <f>IFERROR(INDEX(MitAll,$AA70,$Z70+1+R$4-Settings!$C$7),"")</f>
        <v/>
      </c>
      <c r="S70" s="47">
        <f>IFERROR(INDEX(MitAll,$AA70,$Z70+1+S$4-Settings!$C$7),"")</f>
        <v/>
      </c>
      <c r="T70" s="47">
        <f>IFERROR(INDEX(MitAll,$AA70,$Z70+1+T$4-Settings!$C$7),"")</f>
        <v/>
      </c>
      <c r="U70" s="47">
        <f>IFERROR(INDEX(MitAll,$AA70,$Z70+1+U$4-Settings!$C$7),"")</f>
        <v/>
      </c>
      <c r="V70" s="47">
        <f>IFERROR(INDEX(MitAll,$AA70,$Z70+1+V$4-Settings!$C$7),"")</f>
        <v/>
      </c>
      <c r="W70" s="47">
        <f>IFERROR(INDEX(MitAll,$AA70,$Z70+1+W$4-Settings!$C$7),"")</f>
        <v/>
      </c>
      <c r="X70" s="47">
        <f>IFERROR(INDEX(MitAll,$AA70,$Z70+1+X$4-Settings!$C$7),"")</f>
        <v/>
      </c>
      <c r="Y70" s="47">
        <f>IFERROR(INDEX(MitAll,$AA70,$Z70+1+Y$4-Settings!$C$7),"")</f>
        <v/>
      </c>
      <c r="Z70" s="10">
        <f>MATCH($E70,MitScen,0)</f>
        <v/>
      </c>
      <c r="AA70" s="10">
        <f>MATCH($A70,INDEX(MitAll,0,$Z70),0)</f>
        <v/>
      </c>
    </row>
    <row r="71">
      <c r="A71" s="11">
        <f>LOWER(Settings!$C$4)&amp;"."&amp;$B71&amp;"."&amp;$E71</f>
        <v/>
      </c>
      <c r="B71" s="22" t="inlineStr">
        <is>
          <t>mit.ener.oen.all.e</t>
        </is>
      </c>
      <c r="C71" s="14">
        <f>IFERROR(INDEX(MitDesc,$AA71),"code not found")</f>
        <v/>
      </c>
      <c r="D71" s="14">
        <f>IFERROR(INDEX(MitUnit,$AA71),"")</f>
        <v/>
      </c>
      <c r="E71" s="10">
        <f>E70</f>
        <v/>
      </c>
      <c r="F71" s="46">
        <f>IFERROR(INDEX(MitAll,$AA71,$Z71+1+F$4-Settings!$C$7),"")</f>
        <v/>
      </c>
      <c r="G71" s="47">
        <f>IFERROR(INDEX(MitAll,$AA71,$Z71+1+G$4-Settings!$C$7),"")</f>
        <v/>
      </c>
      <c r="H71" s="47">
        <f>IFERROR(INDEX(MitAll,$AA71,$Z71+1+H$4-Settings!$C$7),"")</f>
        <v/>
      </c>
      <c r="I71" s="47">
        <f>IFERROR(INDEX(MitAll,$AA71,$Z71+1+I$4-Settings!$C$7),"")</f>
        <v/>
      </c>
      <c r="J71" s="47">
        <f>IFERROR(INDEX(MitAll,$AA71,$Z71+1+J$4-Settings!$C$7),"")</f>
        <v/>
      </c>
      <c r="K71" s="47">
        <f>IFERROR(INDEX(MitAll,$AA71,$Z71+1+K$4-Settings!$C$7),"")</f>
        <v/>
      </c>
      <c r="L71" s="47">
        <f>IFERROR(INDEX(MitAll,$AA71,$Z71+1+L$4-Settings!$C$7),"")</f>
        <v/>
      </c>
      <c r="M71" s="47">
        <f>IFERROR(INDEX(MitAll,$AA71,$Z71+1+M$4-Settings!$C$7),"")</f>
        <v/>
      </c>
      <c r="N71" s="47">
        <f>IFERROR(INDEX(MitAll,$AA71,$Z71+1+N$4-Settings!$C$7),"")</f>
        <v/>
      </c>
      <c r="O71" s="47">
        <f>IFERROR(INDEX(MitAll,$AA71,$Z71+1+O$4-Settings!$C$7),"")</f>
        <v/>
      </c>
      <c r="P71" s="47">
        <f>IFERROR(INDEX(MitAll,$AA71,$Z71+1+P$4-Settings!$C$7),"")</f>
        <v/>
      </c>
      <c r="Q71" s="47">
        <f>IFERROR(INDEX(MitAll,$AA71,$Z71+1+Q$4-Settings!$C$7),"")</f>
        <v/>
      </c>
      <c r="R71" s="47">
        <f>IFERROR(INDEX(MitAll,$AA71,$Z71+1+R$4-Settings!$C$7),"")</f>
        <v/>
      </c>
      <c r="S71" s="47">
        <f>IFERROR(INDEX(MitAll,$AA71,$Z71+1+S$4-Settings!$C$7),"")</f>
        <v/>
      </c>
      <c r="T71" s="47">
        <f>IFERROR(INDEX(MitAll,$AA71,$Z71+1+T$4-Settings!$C$7),"")</f>
        <v/>
      </c>
      <c r="U71" s="47">
        <f>IFERROR(INDEX(MitAll,$AA71,$Z71+1+U$4-Settings!$C$7),"")</f>
        <v/>
      </c>
      <c r="V71" s="47">
        <f>IFERROR(INDEX(MitAll,$AA71,$Z71+1+V$4-Settings!$C$7),"")</f>
        <v/>
      </c>
      <c r="W71" s="47">
        <f>IFERROR(INDEX(MitAll,$AA71,$Z71+1+W$4-Settings!$C$7),"")</f>
        <v/>
      </c>
      <c r="X71" s="47">
        <f>IFERROR(INDEX(MitAll,$AA71,$Z71+1+X$4-Settings!$C$7),"")</f>
        <v/>
      </c>
      <c r="Y71" s="47">
        <f>IFERROR(INDEX(MitAll,$AA71,$Z71+1+Y$4-Settings!$C$7),"")</f>
        <v/>
      </c>
      <c r="Z71" s="10">
        <f>MATCH($E71,MitScen,0)</f>
        <v/>
      </c>
      <c r="AA71" s="10">
        <f>MATCH($A71,INDEX(MitAll,0,$Z71),0)</f>
        <v/>
      </c>
    </row>
    <row r="72">
      <c r="A72" s="11">
        <f>LOWER(Settings!$C$4)&amp;"."&amp;$B72&amp;"."&amp;$E72</f>
        <v/>
      </c>
      <c r="B72" s="22" t="inlineStr">
        <is>
          <t>mit.ener.pct.all.all.e</t>
        </is>
      </c>
      <c r="C72" s="14">
        <f>IFERROR(INDEX(MitDesc,$AA72),"code not found")</f>
        <v/>
      </c>
      <c r="D72" s="14">
        <f>IFERROR(INDEX(MitUnit,$AA72),"")</f>
        <v/>
      </c>
      <c r="E72" s="10">
        <f>E71</f>
        <v/>
      </c>
      <c r="F72" s="12">
        <f>IFERROR(INDEX(MitAll,$AA72,$Z72+1+F$4-Settings!$C$7),"")</f>
        <v/>
      </c>
      <c r="G72" s="13">
        <f>IFERROR(INDEX(MitAll,$AA72,$Z72+1+G$4-Settings!$C$7),"")</f>
        <v/>
      </c>
      <c r="H72" s="13">
        <f>IFERROR(INDEX(MitAll,$AA72,$Z72+1+H$4-Settings!$C$7),"")</f>
        <v/>
      </c>
      <c r="I72" s="13">
        <f>IFERROR(INDEX(MitAll,$AA72,$Z72+1+I$4-Settings!$C$7),"")</f>
        <v/>
      </c>
      <c r="J72" s="13">
        <f>IFERROR(INDEX(MitAll,$AA72,$Z72+1+J$4-Settings!$C$7),"")</f>
        <v/>
      </c>
      <c r="K72" s="13">
        <f>IFERROR(INDEX(MitAll,$AA72,$Z72+1+K$4-Settings!$C$7),"")</f>
        <v/>
      </c>
      <c r="L72" s="13">
        <f>IFERROR(INDEX(MitAll,$AA72,$Z72+1+L$4-Settings!$C$7),"")</f>
        <v/>
      </c>
      <c r="M72" s="13">
        <f>IFERROR(INDEX(MitAll,$AA72,$Z72+1+M$4-Settings!$C$7),"")</f>
        <v/>
      </c>
      <c r="N72" s="13">
        <f>IFERROR(INDEX(MitAll,$AA72,$Z72+1+N$4-Settings!$C$7),"")</f>
        <v/>
      </c>
      <c r="O72" s="13">
        <f>IFERROR(INDEX(MitAll,$AA72,$Z72+1+O$4-Settings!$C$7),"")</f>
        <v/>
      </c>
      <c r="P72" s="13">
        <f>IFERROR(INDEX(MitAll,$AA72,$Z72+1+P$4-Settings!$C$7),"")</f>
        <v/>
      </c>
      <c r="Q72" s="13">
        <f>IFERROR(INDEX(MitAll,$AA72,$Z72+1+Q$4-Settings!$C$7),"")</f>
        <v/>
      </c>
      <c r="R72" s="13">
        <f>IFERROR(INDEX(MitAll,$AA72,$Z72+1+R$4-Settings!$C$7),"")</f>
        <v/>
      </c>
      <c r="S72" s="13">
        <f>IFERROR(INDEX(MitAll,$AA72,$Z72+1+S$4-Settings!$C$7),"")</f>
        <v/>
      </c>
      <c r="T72" s="13">
        <f>IFERROR(INDEX(MitAll,$AA72,$Z72+1+T$4-Settings!$C$7),"")</f>
        <v/>
      </c>
      <c r="U72" s="13">
        <f>IFERROR(INDEX(MitAll,$AA72,$Z72+1+U$4-Settings!$C$7),"")</f>
        <v/>
      </c>
      <c r="V72" s="13">
        <f>IFERROR(INDEX(MitAll,$AA72,$Z72+1+V$4-Settings!$C$7),"")</f>
        <v/>
      </c>
      <c r="W72" s="13">
        <f>IFERROR(INDEX(MitAll,$AA72,$Z72+1+W$4-Settings!$C$7),"")</f>
        <v/>
      </c>
      <c r="X72" s="13">
        <f>IFERROR(INDEX(MitAll,$AA72,$Z72+1+X$4-Settings!$C$7),"")</f>
        <v/>
      </c>
      <c r="Y72" s="13">
        <f>IFERROR(INDEX(MitAll,$AA72,$Z72+1+Y$4-Settings!$C$7),"")</f>
        <v/>
      </c>
      <c r="Z72" s="10">
        <f>MATCH($E72,MitScen,0)</f>
        <v/>
      </c>
      <c r="AA72" s="10">
        <f>MATCH($A72,INDEX(MitAll,0,$Z72),0)</f>
        <v/>
      </c>
    </row>
    <row r="73">
      <c r="A73" s="11">
        <f>LOWER(Settings!$C$4)&amp;"."&amp;$B73&amp;"."&amp;$E73</f>
        <v/>
      </c>
      <c r="B73" s="22" t="inlineStr">
        <is>
          <t>mit.co2.all.all.e</t>
        </is>
      </c>
      <c r="C73" s="14">
        <f>IFERROR(INDEX(MitDesc,$AA73),"code not found")</f>
        <v/>
      </c>
      <c r="D73" s="14">
        <f>IFERROR(INDEX(MitUnit,$AA73),"")</f>
        <v/>
      </c>
      <c r="E73" s="10">
        <f>E72</f>
        <v/>
      </c>
      <c r="F73" s="43">
        <f>IFERROR(INDEX(MitAll,$AA73,$Z73+1+F$4-Settings!$C$7),"")</f>
        <v/>
      </c>
      <c r="G73" s="44">
        <f>IFERROR(INDEX(MitAll,$AA73,$Z73+1+G$4-Settings!$C$7),"")</f>
        <v/>
      </c>
      <c r="H73" s="44">
        <f>IFERROR(INDEX(MitAll,$AA73,$Z73+1+H$4-Settings!$C$7),"")</f>
        <v/>
      </c>
      <c r="I73" s="44">
        <f>IFERROR(INDEX(MitAll,$AA73,$Z73+1+I$4-Settings!$C$7),"")</f>
        <v/>
      </c>
      <c r="J73" s="44">
        <f>IFERROR(INDEX(MitAll,$AA73,$Z73+1+J$4-Settings!$C$7),"")</f>
        <v/>
      </c>
      <c r="K73" s="44">
        <f>IFERROR(INDEX(MitAll,$AA73,$Z73+1+K$4-Settings!$C$7),"")</f>
        <v/>
      </c>
      <c r="L73" s="44">
        <f>IFERROR(INDEX(MitAll,$AA73,$Z73+1+L$4-Settings!$C$7),"")</f>
        <v/>
      </c>
      <c r="M73" s="44">
        <f>IFERROR(INDEX(MitAll,$AA73,$Z73+1+M$4-Settings!$C$7),"")</f>
        <v/>
      </c>
      <c r="N73" s="44">
        <f>IFERROR(INDEX(MitAll,$AA73,$Z73+1+N$4-Settings!$C$7),"")</f>
        <v/>
      </c>
      <c r="O73" s="44">
        <f>IFERROR(INDEX(MitAll,$AA73,$Z73+1+O$4-Settings!$C$7),"")</f>
        <v/>
      </c>
      <c r="P73" s="44">
        <f>IFERROR(INDEX(MitAll,$AA73,$Z73+1+P$4-Settings!$C$7),"")</f>
        <v/>
      </c>
      <c r="Q73" s="44">
        <f>IFERROR(INDEX(MitAll,$AA73,$Z73+1+Q$4-Settings!$C$7),"")</f>
        <v/>
      </c>
      <c r="R73" s="44">
        <f>IFERROR(INDEX(MitAll,$AA73,$Z73+1+R$4-Settings!$C$7),"")</f>
        <v/>
      </c>
      <c r="S73" s="44">
        <f>IFERROR(INDEX(MitAll,$AA73,$Z73+1+S$4-Settings!$C$7),"")</f>
        <v/>
      </c>
      <c r="T73" s="44">
        <f>IFERROR(INDEX(MitAll,$AA73,$Z73+1+T$4-Settings!$C$7),"")</f>
        <v/>
      </c>
      <c r="U73" s="44">
        <f>IFERROR(INDEX(MitAll,$AA73,$Z73+1+U$4-Settings!$C$7),"")</f>
        <v/>
      </c>
      <c r="V73" s="44">
        <f>IFERROR(INDEX(MitAll,$AA73,$Z73+1+V$4-Settings!$C$7),"")</f>
        <v/>
      </c>
      <c r="W73" s="44">
        <f>IFERROR(INDEX(MitAll,$AA73,$Z73+1+W$4-Settings!$C$7),"")</f>
        <v/>
      </c>
      <c r="X73" s="44">
        <f>IFERROR(INDEX(MitAll,$AA73,$Z73+1+X$4-Settings!$C$7),"")</f>
        <v/>
      </c>
      <c r="Y73" s="44">
        <f>IFERROR(INDEX(MitAll,$AA73,$Z73+1+Y$4-Settings!$C$7),"")</f>
        <v/>
      </c>
      <c r="Z73" s="10">
        <f>MATCH($E73,MitScen,0)</f>
        <v/>
      </c>
      <c r="AA73" s="10">
        <f>MATCH($A73,INDEX(MitAll,0,$Z73),0)</f>
        <v/>
      </c>
    </row>
    <row r="74">
      <c r="A74" s="11">
        <f>LOWER(Settings!$C$4)&amp;"."&amp;$B74&amp;"."&amp;$E74</f>
        <v/>
      </c>
      <c r="B74" s="22" t="inlineStr">
        <is>
          <t>mit.co2.tra.all.e</t>
        </is>
      </c>
      <c r="C74" s="14">
        <f>IFERROR(INDEX(MitDesc,$AA74),"code not found")</f>
        <v/>
      </c>
      <c r="D74" s="14">
        <f>IFERROR(INDEX(MitUnit,$AA74),"")</f>
        <v/>
      </c>
      <c r="E74" s="10">
        <f>E73</f>
        <v/>
      </c>
      <c r="F74" s="43">
        <f>IFERROR(INDEX(MitAll,$AA74,$Z74+1+F$4-Settings!$C$7),"")</f>
        <v/>
      </c>
      <c r="G74" s="44">
        <f>IFERROR(INDEX(MitAll,$AA74,$Z74+1+G$4-Settings!$C$7),"")</f>
        <v/>
      </c>
      <c r="H74" s="44">
        <f>IFERROR(INDEX(MitAll,$AA74,$Z74+1+H$4-Settings!$C$7),"")</f>
        <v/>
      </c>
      <c r="I74" s="44">
        <f>IFERROR(INDEX(MitAll,$AA74,$Z74+1+I$4-Settings!$C$7),"")</f>
        <v/>
      </c>
      <c r="J74" s="44">
        <f>IFERROR(INDEX(MitAll,$AA74,$Z74+1+J$4-Settings!$C$7),"")</f>
        <v/>
      </c>
      <c r="K74" s="44">
        <f>IFERROR(INDEX(MitAll,$AA74,$Z74+1+K$4-Settings!$C$7),"")</f>
        <v/>
      </c>
      <c r="L74" s="44">
        <f>IFERROR(INDEX(MitAll,$AA74,$Z74+1+L$4-Settings!$C$7),"")</f>
        <v/>
      </c>
      <c r="M74" s="44">
        <f>IFERROR(INDEX(MitAll,$AA74,$Z74+1+M$4-Settings!$C$7),"")</f>
        <v/>
      </c>
      <c r="N74" s="44">
        <f>IFERROR(INDEX(MitAll,$AA74,$Z74+1+N$4-Settings!$C$7),"")</f>
        <v/>
      </c>
      <c r="O74" s="44">
        <f>IFERROR(INDEX(MitAll,$AA74,$Z74+1+O$4-Settings!$C$7),"")</f>
        <v/>
      </c>
      <c r="P74" s="44">
        <f>IFERROR(INDEX(MitAll,$AA74,$Z74+1+P$4-Settings!$C$7),"")</f>
        <v/>
      </c>
      <c r="Q74" s="44">
        <f>IFERROR(INDEX(MitAll,$AA74,$Z74+1+Q$4-Settings!$C$7),"")</f>
        <v/>
      </c>
      <c r="R74" s="44">
        <f>IFERROR(INDEX(MitAll,$AA74,$Z74+1+R$4-Settings!$C$7),"")</f>
        <v/>
      </c>
      <c r="S74" s="44">
        <f>IFERROR(INDEX(MitAll,$AA74,$Z74+1+S$4-Settings!$C$7),"")</f>
        <v/>
      </c>
      <c r="T74" s="44">
        <f>IFERROR(INDEX(MitAll,$AA74,$Z74+1+T$4-Settings!$C$7),"")</f>
        <v/>
      </c>
      <c r="U74" s="44">
        <f>IFERROR(INDEX(MitAll,$AA74,$Z74+1+U$4-Settings!$C$7),"")</f>
        <v/>
      </c>
      <c r="V74" s="44">
        <f>IFERROR(INDEX(MitAll,$AA74,$Z74+1+V$4-Settings!$C$7),"")</f>
        <v/>
      </c>
      <c r="W74" s="44">
        <f>IFERROR(INDEX(MitAll,$AA74,$Z74+1+W$4-Settings!$C$7),"")</f>
        <v/>
      </c>
      <c r="X74" s="44">
        <f>IFERROR(INDEX(MitAll,$AA74,$Z74+1+X$4-Settings!$C$7),"")</f>
        <v/>
      </c>
      <c r="Y74" s="44">
        <f>IFERROR(INDEX(MitAll,$AA74,$Z74+1+Y$4-Settings!$C$7),"")</f>
        <v/>
      </c>
      <c r="Z74" s="10">
        <f>MATCH($E74,MitScen,0)</f>
        <v/>
      </c>
      <c r="AA74" s="10">
        <f>MATCH($A74,INDEX(MitAll,0,$Z74),0)</f>
        <v/>
      </c>
    </row>
    <row r="75">
      <c r="A75" s="11">
        <f>LOWER(Settings!$C$4)&amp;"."&amp;$B75&amp;"."&amp;$E75</f>
        <v/>
      </c>
      <c r="B75" s="22" t="inlineStr">
        <is>
          <t>mit.co2.bld.all.e</t>
        </is>
      </c>
      <c r="C75" s="14">
        <f>IFERROR(INDEX(MitDesc,$AA75),"code not found")</f>
        <v/>
      </c>
      <c r="D75" s="14">
        <f>IFERROR(INDEX(MitUnit,$AA75),"")</f>
        <v/>
      </c>
      <c r="E75" s="10">
        <f>E74</f>
        <v/>
      </c>
      <c r="F75" s="43">
        <f>IFERROR(INDEX(MitAll,$AA75,$Z75+1+F$4-Settings!$C$7),"")</f>
        <v/>
      </c>
      <c r="G75" s="44">
        <f>IFERROR(INDEX(MitAll,$AA75,$Z75+1+G$4-Settings!$C$7),"")</f>
        <v/>
      </c>
      <c r="H75" s="44">
        <f>IFERROR(INDEX(MitAll,$AA75,$Z75+1+H$4-Settings!$C$7),"")</f>
        <v/>
      </c>
      <c r="I75" s="44">
        <f>IFERROR(INDEX(MitAll,$AA75,$Z75+1+I$4-Settings!$C$7),"")</f>
        <v/>
      </c>
      <c r="J75" s="44">
        <f>IFERROR(INDEX(MitAll,$AA75,$Z75+1+J$4-Settings!$C$7),"")</f>
        <v/>
      </c>
      <c r="K75" s="44">
        <f>IFERROR(INDEX(MitAll,$AA75,$Z75+1+K$4-Settings!$C$7),"")</f>
        <v/>
      </c>
      <c r="L75" s="44">
        <f>IFERROR(INDEX(MitAll,$AA75,$Z75+1+L$4-Settings!$C$7),"")</f>
        <v/>
      </c>
      <c r="M75" s="44">
        <f>IFERROR(INDEX(MitAll,$AA75,$Z75+1+M$4-Settings!$C$7),"")</f>
        <v/>
      </c>
      <c r="N75" s="44">
        <f>IFERROR(INDEX(MitAll,$AA75,$Z75+1+N$4-Settings!$C$7),"")</f>
        <v/>
      </c>
      <c r="O75" s="44">
        <f>IFERROR(INDEX(MitAll,$AA75,$Z75+1+O$4-Settings!$C$7),"")</f>
        <v/>
      </c>
      <c r="P75" s="44">
        <f>IFERROR(INDEX(MitAll,$AA75,$Z75+1+P$4-Settings!$C$7),"")</f>
        <v/>
      </c>
      <c r="Q75" s="44">
        <f>IFERROR(INDEX(MitAll,$AA75,$Z75+1+Q$4-Settings!$C$7),"")</f>
        <v/>
      </c>
      <c r="R75" s="44">
        <f>IFERROR(INDEX(MitAll,$AA75,$Z75+1+R$4-Settings!$C$7),"")</f>
        <v/>
      </c>
      <c r="S75" s="44">
        <f>IFERROR(INDEX(MitAll,$AA75,$Z75+1+S$4-Settings!$C$7),"")</f>
        <v/>
      </c>
      <c r="T75" s="44">
        <f>IFERROR(INDEX(MitAll,$AA75,$Z75+1+T$4-Settings!$C$7),"")</f>
        <v/>
      </c>
      <c r="U75" s="44">
        <f>IFERROR(INDEX(MitAll,$AA75,$Z75+1+U$4-Settings!$C$7),"")</f>
        <v/>
      </c>
      <c r="V75" s="44">
        <f>IFERROR(INDEX(MitAll,$AA75,$Z75+1+V$4-Settings!$C$7),"")</f>
        <v/>
      </c>
      <c r="W75" s="44">
        <f>IFERROR(INDEX(MitAll,$AA75,$Z75+1+W$4-Settings!$C$7),"")</f>
        <v/>
      </c>
      <c r="X75" s="44">
        <f>IFERROR(INDEX(MitAll,$AA75,$Z75+1+X$4-Settings!$C$7),"")</f>
        <v/>
      </c>
      <c r="Y75" s="44">
        <f>IFERROR(INDEX(MitAll,$AA75,$Z75+1+Y$4-Settings!$C$7),"")</f>
        <v/>
      </c>
      <c r="Z75" s="10">
        <f>MATCH($E75,MitScen,0)</f>
        <v/>
      </c>
      <c r="AA75" s="10">
        <f>MATCH($A75,INDEX(MitAll,0,$Z75),0)</f>
        <v/>
      </c>
    </row>
    <row r="76">
      <c r="A76" s="11">
        <f>LOWER(Settings!$C$4)&amp;"."&amp;$B76&amp;"."&amp;$E76</f>
        <v/>
      </c>
      <c r="B76" s="22" t="inlineStr">
        <is>
          <t>mit.co2.ind.all.e</t>
        </is>
      </c>
      <c r="C76" s="14">
        <f>IFERROR(INDEX(MitDesc,$AA76),"code not found")</f>
        <v/>
      </c>
      <c r="D76" s="14">
        <f>IFERROR(INDEX(MitUnit,$AA76),"")</f>
        <v/>
      </c>
      <c r="E76" s="10">
        <f>E75</f>
        <v/>
      </c>
      <c r="F76" s="43">
        <f>IFERROR(INDEX(MitAll,$AA76,$Z76+1+F$4-Settings!$C$7),"")</f>
        <v/>
      </c>
      <c r="G76" s="44">
        <f>IFERROR(INDEX(MitAll,$AA76,$Z76+1+G$4-Settings!$C$7),"")</f>
        <v/>
      </c>
      <c r="H76" s="44">
        <f>IFERROR(INDEX(MitAll,$AA76,$Z76+1+H$4-Settings!$C$7),"")</f>
        <v/>
      </c>
      <c r="I76" s="44">
        <f>IFERROR(INDEX(MitAll,$AA76,$Z76+1+I$4-Settings!$C$7),"")</f>
        <v/>
      </c>
      <c r="J76" s="44">
        <f>IFERROR(INDEX(MitAll,$AA76,$Z76+1+J$4-Settings!$C$7),"")</f>
        <v/>
      </c>
      <c r="K76" s="44">
        <f>IFERROR(INDEX(MitAll,$AA76,$Z76+1+K$4-Settings!$C$7),"")</f>
        <v/>
      </c>
      <c r="L76" s="44">
        <f>IFERROR(INDEX(MitAll,$AA76,$Z76+1+L$4-Settings!$C$7),"")</f>
        <v/>
      </c>
      <c r="M76" s="44">
        <f>IFERROR(INDEX(MitAll,$AA76,$Z76+1+M$4-Settings!$C$7),"")</f>
        <v/>
      </c>
      <c r="N76" s="44">
        <f>IFERROR(INDEX(MitAll,$AA76,$Z76+1+N$4-Settings!$C$7),"")</f>
        <v/>
      </c>
      <c r="O76" s="44">
        <f>IFERROR(INDEX(MitAll,$AA76,$Z76+1+O$4-Settings!$C$7),"")</f>
        <v/>
      </c>
      <c r="P76" s="44">
        <f>IFERROR(INDEX(MitAll,$AA76,$Z76+1+P$4-Settings!$C$7),"")</f>
        <v/>
      </c>
      <c r="Q76" s="44">
        <f>IFERROR(INDEX(MitAll,$AA76,$Z76+1+Q$4-Settings!$C$7),"")</f>
        <v/>
      </c>
      <c r="R76" s="44">
        <f>IFERROR(INDEX(MitAll,$AA76,$Z76+1+R$4-Settings!$C$7),"")</f>
        <v/>
      </c>
      <c r="S76" s="44">
        <f>IFERROR(INDEX(MitAll,$AA76,$Z76+1+S$4-Settings!$C$7),"")</f>
        <v/>
      </c>
      <c r="T76" s="44">
        <f>IFERROR(INDEX(MitAll,$AA76,$Z76+1+T$4-Settings!$C$7),"")</f>
        <v/>
      </c>
      <c r="U76" s="44">
        <f>IFERROR(INDEX(MitAll,$AA76,$Z76+1+U$4-Settings!$C$7),"")</f>
        <v/>
      </c>
      <c r="V76" s="44">
        <f>IFERROR(INDEX(MitAll,$AA76,$Z76+1+V$4-Settings!$C$7),"")</f>
        <v/>
      </c>
      <c r="W76" s="44">
        <f>IFERROR(INDEX(MitAll,$AA76,$Z76+1+W$4-Settings!$C$7),"")</f>
        <v/>
      </c>
      <c r="X76" s="44">
        <f>IFERROR(INDEX(MitAll,$AA76,$Z76+1+X$4-Settings!$C$7),"")</f>
        <v/>
      </c>
      <c r="Y76" s="44">
        <f>IFERROR(INDEX(MitAll,$AA76,$Z76+1+Y$4-Settings!$C$7),"")</f>
        <v/>
      </c>
      <c r="Z76" s="10">
        <f>MATCH($E76,MitScen,0)</f>
        <v/>
      </c>
      <c r="AA76" s="10">
        <f>MATCH($A76,INDEX(MitAll,0,$Z76),0)</f>
        <v/>
      </c>
    </row>
    <row r="77">
      <c r="A77" s="11">
        <f>LOWER(Settings!$C$4)&amp;"."&amp;$B77&amp;"."&amp;$E77</f>
        <v/>
      </c>
      <c r="B77" s="22" t="inlineStr">
        <is>
          <t>mit.co2.chg.all.all</t>
        </is>
      </c>
      <c r="C77" s="14">
        <f>IFERROR(INDEX(MitDesc,$AA77),"code not found")</f>
        <v/>
      </c>
      <c r="D77" s="14">
        <f>IFERROR(INDEX(MitUnit,$AA77),"")</f>
        <v/>
      </c>
      <c r="E77" s="10">
        <f>E76</f>
        <v/>
      </c>
      <c r="F77" s="43">
        <f>IFERROR(INDEX(MitAll,$AA77,$Z77+1+F$4-Settings!$C$7),"")</f>
        <v/>
      </c>
      <c r="G77" s="44">
        <f>IFERROR(INDEX(MitAll,$AA77,$Z77+1+G$4-Settings!$C$7),"")</f>
        <v/>
      </c>
      <c r="H77" s="44">
        <f>IFERROR(INDEX(MitAll,$AA77,$Z77+1+H$4-Settings!$C$7),"")</f>
        <v/>
      </c>
      <c r="I77" s="44">
        <f>IFERROR(INDEX(MitAll,$AA77,$Z77+1+I$4-Settings!$C$7),"")</f>
        <v/>
      </c>
      <c r="J77" s="44">
        <f>IFERROR(INDEX(MitAll,$AA77,$Z77+1+J$4-Settings!$C$7),"")</f>
        <v/>
      </c>
      <c r="K77" s="44">
        <f>IFERROR(INDEX(MitAll,$AA77,$Z77+1+K$4-Settings!$C$7),"")</f>
        <v/>
      </c>
      <c r="L77" s="44">
        <f>IFERROR(INDEX(MitAll,$AA77,$Z77+1+L$4-Settings!$C$7),"")</f>
        <v/>
      </c>
      <c r="M77" s="44">
        <f>IFERROR(INDEX(MitAll,$AA77,$Z77+1+M$4-Settings!$C$7),"")</f>
        <v/>
      </c>
      <c r="N77" s="44">
        <f>IFERROR(INDEX(MitAll,$AA77,$Z77+1+N$4-Settings!$C$7),"")</f>
        <v/>
      </c>
      <c r="O77" s="44">
        <f>IFERROR(INDEX(MitAll,$AA77,$Z77+1+O$4-Settings!$C$7),"")</f>
        <v/>
      </c>
      <c r="P77" s="44">
        <f>IFERROR(INDEX(MitAll,$AA77,$Z77+1+P$4-Settings!$C$7),"")</f>
        <v/>
      </c>
      <c r="Q77" s="44">
        <f>IFERROR(INDEX(MitAll,$AA77,$Z77+1+Q$4-Settings!$C$7),"")</f>
        <v/>
      </c>
      <c r="R77" s="44">
        <f>IFERROR(INDEX(MitAll,$AA77,$Z77+1+R$4-Settings!$C$7),"")</f>
        <v/>
      </c>
      <c r="S77" s="44">
        <f>IFERROR(INDEX(MitAll,$AA77,$Z77+1+S$4-Settings!$C$7),"")</f>
        <v/>
      </c>
      <c r="T77" s="44">
        <f>IFERROR(INDEX(MitAll,$AA77,$Z77+1+T$4-Settings!$C$7),"")</f>
        <v/>
      </c>
      <c r="U77" s="44">
        <f>IFERROR(INDEX(MitAll,$AA77,$Z77+1+U$4-Settings!$C$7),"")</f>
        <v/>
      </c>
      <c r="V77" s="44">
        <f>IFERROR(INDEX(MitAll,$AA77,$Z77+1+V$4-Settings!$C$7),"")</f>
        <v/>
      </c>
      <c r="W77" s="44">
        <f>IFERROR(INDEX(MitAll,$AA77,$Z77+1+W$4-Settings!$C$7),"")</f>
        <v/>
      </c>
      <c r="X77" s="44">
        <f>IFERROR(INDEX(MitAll,$AA77,$Z77+1+X$4-Settings!$C$7),"")</f>
        <v/>
      </c>
      <c r="Y77" s="44">
        <f>IFERROR(INDEX(MitAll,$AA77,$Z77+1+Y$4-Settings!$C$7),"")</f>
        <v/>
      </c>
      <c r="Z77" s="10">
        <f>MATCH($E77,MitScen,0)</f>
        <v/>
      </c>
      <c r="AA77" s="10">
        <f>MATCH($A77,INDEX(MitAll,0,$Z77),0)</f>
        <v/>
      </c>
    </row>
    <row r="78">
      <c r="A78" s="11">
        <f>LOWER(Settings!$C$4)&amp;"."&amp;$B78&amp;"."&amp;$E78</f>
        <v/>
      </c>
      <c r="B78" s="22" t="inlineStr">
        <is>
          <t>mit.co2.pct.all.all</t>
        </is>
      </c>
      <c r="C78" s="14">
        <f>IFERROR(INDEX(MitDesc,$AA78),"code not found")</f>
        <v/>
      </c>
      <c r="D78" s="14">
        <f>IFERROR(INDEX(MitUnit,$AA78),"")</f>
        <v/>
      </c>
      <c r="E78" s="10">
        <f>E77</f>
        <v/>
      </c>
      <c r="F78" s="12">
        <f>IFERROR(INDEX(MitAll,$AA78,$Z78+1+F$4-Settings!$C$7),"")</f>
        <v/>
      </c>
      <c r="G78" s="13">
        <f>IFERROR(INDEX(MitAll,$AA78,$Z78+1+G$4-Settings!$C$7),"")</f>
        <v/>
      </c>
      <c r="H78" s="13">
        <f>IFERROR(INDEX(MitAll,$AA78,$Z78+1+H$4-Settings!$C$7),"")</f>
        <v/>
      </c>
      <c r="I78" s="13">
        <f>IFERROR(INDEX(MitAll,$AA78,$Z78+1+I$4-Settings!$C$7),"")</f>
        <v/>
      </c>
      <c r="J78" s="13">
        <f>IFERROR(INDEX(MitAll,$AA78,$Z78+1+J$4-Settings!$C$7),"")</f>
        <v/>
      </c>
      <c r="K78" s="13">
        <f>IFERROR(INDEX(MitAll,$AA78,$Z78+1+K$4-Settings!$C$7),"")</f>
        <v/>
      </c>
      <c r="L78" s="13">
        <f>IFERROR(INDEX(MitAll,$AA78,$Z78+1+L$4-Settings!$C$7),"")</f>
        <v/>
      </c>
      <c r="M78" s="13">
        <f>IFERROR(INDEX(MitAll,$AA78,$Z78+1+M$4-Settings!$C$7),"")</f>
        <v/>
      </c>
      <c r="N78" s="13">
        <f>IFERROR(INDEX(MitAll,$AA78,$Z78+1+N$4-Settings!$C$7),"")</f>
        <v/>
      </c>
      <c r="O78" s="13">
        <f>IFERROR(INDEX(MitAll,$AA78,$Z78+1+O$4-Settings!$C$7),"")</f>
        <v/>
      </c>
      <c r="P78" s="13">
        <f>IFERROR(INDEX(MitAll,$AA78,$Z78+1+P$4-Settings!$C$7),"")</f>
        <v/>
      </c>
      <c r="Q78" s="13">
        <f>IFERROR(INDEX(MitAll,$AA78,$Z78+1+Q$4-Settings!$C$7),"")</f>
        <v/>
      </c>
      <c r="R78" s="13">
        <f>IFERROR(INDEX(MitAll,$AA78,$Z78+1+R$4-Settings!$C$7),"")</f>
        <v/>
      </c>
      <c r="S78" s="13">
        <f>IFERROR(INDEX(MitAll,$AA78,$Z78+1+S$4-Settings!$C$7),"")</f>
        <v/>
      </c>
      <c r="T78" s="13">
        <f>IFERROR(INDEX(MitAll,$AA78,$Z78+1+T$4-Settings!$C$7),"")</f>
        <v/>
      </c>
      <c r="U78" s="13">
        <f>IFERROR(INDEX(MitAll,$AA78,$Z78+1+U$4-Settings!$C$7),"")</f>
        <v/>
      </c>
      <c r="V78" s="13">
        <f>IFERROR(INDEX(MitAll,$AA78,$Z78+1+V$4-Settings!$C$7),"")</f>
        <v/>
      </c>
      <c r="W78" s="13">
        <f>IFERROR(INDEX(MitAll,$AA78,$Z78+1+W$4-Settings!$C$7),"")</f>
        <v/>
      </c>
      <c r="X78" s="13">
        <f>IFERROR(INDEX(MitAll,$AA78,$Z78+1+X$4-Settings!$C$7),"")</f>
        <v/>
      </c>
      <c r="Y78" s="13">
        <f>IFERROR(INDEX(MitAll,$AA78,$Z78+1+Y$4-Settings!$C$7),"")</f>
        <v/>
      </c>
      <c r="Z78" s="10">
        <f>MATCH($E78,MitScen,0)</f>
        <v/>
      </c>
      <c r="AA78" s="10">
        <f>MATCH($A78,INDEX(MitAll,0,$Z78),0)</f>
        <v/>
      </c>
    </row>
    <row r="79">
      <c r="A79" s="11">
        <f>LOWER(Settings!$C$4)&amp;"."&amp;$B79&amp;"."&amp;$E79</f>
        <v/>
      </c>
      <c r="B79" s="22" t="inlineStr">
        <is>
          <t>mit.rtx.all.all</t>
        </is>
      </c>
      <c r="C79" s="14">
        <f>IFERROR(INDEX(MitDesc,$AA79),"code not found")</f>
        <v/>
      </c>
      <c r="D79" s="14">
        <f>IFERROR(INDEX(MitUnit,$AA79),"")</f>
        <v/>
      </c>
      <c r="E79" s="10">
        <f>E78</f>
        <v/>
      </c>
      <c r="F79" s="46">
        <f>IFERROR(INDEX(MitAll,$AA79,$Z79+1+F$4-Settings!$C$7),"")</f>
        <v/>
      </c>
      <c r="G79" s="47">
        <f>IFERROR(INDEX(MitAll,$AA79,$Z79+1+G$4-Settings!$C$7),"")</f>
        <v/>
      </c>
      <c r="H79" s="47">
        <f>IFERROR(INDEX(MitAll,$AA79,$Z79+1+H$4-Settings!$C$7),"")</f>
        <v/>
      </c>
      <c r="I79" s="47">
        <f>IFERROR(INDEX(MitAll,$AA79,$Z79+1+I$4-Settings!$C$7),"")</f>
        <v/>
      </c>
      <c r="J79" s="47">
        <f>IFERROR(INDEX(MitAll,$AA79,$Z79+1+J$4-Settings!$C$7),"")</f>
        <v/>
      </c>
      <c r="K79" s="47">
        <f>IFERROR(INDEX(MitAll,$AA79,$Z79+1+K$4-Settings!$C$7),"")</f>
        <v/>
      </c>
      <c r="L79" s="47">
        <f>IFERROR(INDEX(MitAll,$AA79,$Z79+1+L$4-Settings!$C$7),"")</f>
        <v/>
      </c>
      <c r="M79" s="47">
        <f>IFERROR(INDEX(MitAll,$AA79,$Z79+1+M$4-Settings!$C$7),"")</f>
        <v/>
      </c>
      <c r="N79" s="47">
        <f>IFERROR(INDEX(MitAll,$AA79,$Z79+1+N$4-Settings!$C$7),"")</f>
        <v/>
      </c>
      <c r="O79" s="47">
        <f>IFERROR(INDEX(MitAll,$AA79,$Z79+1+O$4-Settings!$C$7),"")</f>
        <v/>
      </c>
      <c r="P79" s="47">
        <f>IFERROR(INDEX(MitAll,$AA79,$Z79+1+P$4-Settings!$C$7),"")</f>
        <v/>
      </c>
      <c r="Q79" s="47">
        <f>IFERROR(INDEX(MitAll,$AA79,$Z79+1+Q$4-Settings!$C$7),"")</f>
        <v/>
      </c>
      <c r="R79" s="47">
        <f>IFERROR(INDEX(MitAll,$AA79,$Z79+1+R$4-Settings!$C$7),"")</f>
        <v/>
      </c>
      <c r="S79" s="47">
        <f>IFERROR(INDEX(MitAll,$AA79,$Z79+1+S$4-Settings!$C$7),"")</f>
        <v/>
      </c>
      <c r="T79" s="47">
        <f>IFERROR(INDEX(MitAll,$AA79,$Z79+1+T$4-Settings!$C$7),"")</f>
        <v/>
      </c>
      <c r="U79" s="47">
        <f>IFERROR(INDEX(MitAll,$AA79,$Z79+1+U$4-Settings!$C$7),"")</f>
        <v/>
      </c>
      <c r="V79" s="47">
        <f>IFERROR(INDEX(MitAll,$AA79,$Z79+1+V$4-Settings!$C$7),"")</f>
        <v/>
      </c>
      <c r="W79" s="47">
        <f>IFERROR(INDEX(MitAll,$AA79,$Z79+1+W$4-Settings!$C$7),"")</f>
        <v/>
      </c>
      <c r="X79" s="47">
        <f>IFERROR(INDEX(MitAll,$AA79,$Z79+1+X$4-Settings!$C$7),"")</f>
        <v/>
      </c>
      <c r="Y79" s="47">
        <f>IFERROR(INDEX(MitAll,$AA79,$Z79+1+Y$4-Settings!$C$7),"")</f>
        <v/>
      </c>
      <c r="Z79" s="10">
        <f>MATCH($E79,MitScen,0)</f>
        <v/>
      </c>
      <c r="AA79" s="10">
        <f>MATCH($A79,INDEX(MitAll,0,$Z79),0)</f>
        <v/>
      </c>
    </row>
    <row r="80">
      <c r="A80" s="11">
        <f>LOWER(Settings!$C$4)&amp;"."&amp;$B80&amp;"."&amp;$E80</f>
        <v/>
      </c>
      <c r="B80" s="22" t="inlineStr">
        <is>
          <t>mit.rsub.all.all</t>
        </is>
      </c>
      <c r="C80" s="14">
        <f>IFERROR(INDEX(MitDesc,$AA80),"code not found")</f>
        <v/>
      </c>
      <c r="D80" s="14">
        <f>IFERROR(INDEX(MitUnit,$AA80),"")</f>
        <v/>
      </c>
      <c r="E80" s="10">
        <f>E79</f>
        <v/>
      </c>
      <c r="F80" s="46">
        <f>IFERROR(INDEX(MitAll,$AA80,$Z80+1+F$4-Settings!$C$7),"")</f>
        <v/>
      </c>
      <c r="G80" s="47">
        <f>IFERROR(INDEX(MitAll,$AA80,$Z80+1+G$4-Settings!$C$7),"")</f>
        <v/>
      </c>
      <c r="H80" s="47">
        <f>IFERROR(INDEX(MitAll,$AA80,$Z80+1+H$4-Settings!$C$7),"")</f>
        <v/>
      </c>
      <c r="I80" s="47">
        <f>IFERROR(INDEX(MitAll,$AA80,$Z80+1+I$4-Settings!$C$7),"")</f>
        <v/>
      </c>
      <c r="J80" s="47">
        <f>IFERROR(INDEX(MitAll,$AA80,$Z80+1+J$4-Settings!$C$7),"")</f>
        <v/>
      </c>
      <c r="K80" s="47">
        <f>IFERROR(INDEX(MitAll,$AA80,$Z80+1+K$4-Settings!$C$7),"")</f>
        <v/>
      </c>
      <c r="L80" s="47">
        <f>IFERROR(INDEX(MitAll,$AA80,$Z80+1+L$4-Settings!$C$7),"")</f>
        <v/>
      </c>
      <c r="M80" s="47">
        <f>IFERROR(INDEX(MitAll,$AA80,$Z80+1+M$4-Settings!$C$7),"")</f>
        <v/>
      </c>
      <c r="N80" s="47">
        <f>IFERROR(INDEX(MitAll,$AA80,$Z80+1+N$4-Settings!$C$7),"")</f>
        <v/>
      </c>
      <c r="O80" s="47">
        <f>IFERROR(INDEX(MitAll,$AA80,$Z80+1+O$4-Settings!$C$7),"")</f>
        <v/>
      </c>
      <c r="P80" s="47">
        <f>IFERROR(INDEX(MitAll,$AA80,$Z80+1+P$4-Settings!$C$7),"")</f>
        <v/>
      </c>
      <c r="Q80" s="47">
        <f>IFERROR(INDEX(MitAll,$AA80,$Z80+1+Q$4-Settings!$C$7),"")</f>
        <v/>
      </c>
      <c r="R80" s="47">
        <f>IFERROR(INDEX(MitAll,$AA80,$Z80+1+R$4-Settings!$C$7),"")</f>
        <v/>
      </c>
      <c r="S80" s="47">
        <f>IFERROR(INDEX(MitAll,$AA80,$Z80+1+S$4-Settings!$C$7),"")</f>
        <v/>
      </c>
      <c r="T80" s="47">
        <f>IFERROR(INDEX(MitAll,$AA80,$Z80+1+T$4-Settings!$C$7),"")</f>
        <v/>
      </c>
      <c r="U80" s="47">
        <f>IFERROR(INDEX(MitAll,$AA80,$Z80+1+U$4-Settings!$C$7),"")</f>
        <v/>
      </c>
      <c r="V80" s="47">
        <f>IFERROR(INDEX(MitAll,$AA80,$Z80+1+V$4-Settings!$C$7),"")</f>
        <v/>
      </c>
      <c r="W80" s="47">
        <f>IFERROR(INDEX(MitAll,$AA80,$Z80+1+W$4-Settings!$C$7),"")</f>
        <v/>
      </c>
      <c r="X80" s="47">
        <f>IFERROR(INDEX(MitAll,$AA80,$Z80+1+X$4-Settings!$C$7),"")</f>
        <v/>
      </c>
      <c r="Y80" s="47">
        <f>IFERROR(INDEX(MitAll,$AA80,$Z80+1+Y$4-Settings!$C$7),"")</f>
        <v/>
      </c>
      <c r="Z80" s="10">
        <f>MATCH($E80,MitScen,0)</f>
        <v/>
      </c>
      <c r="AA80" s="10">
        <f>MATCH($A80,INDEX(MitAll,0,$Z80),0)</f>
        <v/>
      </c>
    </row>
    <row r="81">
      <c r="A81" s="11">
        <f>LOWER(Settings!$C$4)&amp;"."&amp;$B81&amp;"."&amp;$E81</f>
        <v/>
      </c>
      <c r="B81" s="22" t="inlineStr">
        <is>
          <t>mit.rnew.all.all</t>
        </is>
      </c>
      <c r="C81" s="14">
        <f>IFERROR(INDEX(MitDesc,$AA81),"code not found")</f>
        <v/>
      </c>
      <c r="D81" s="14">
        <f>IFERROR(INDEX(MitUnit,$AA81),"")</f>
        <v/>
      </c>
      <c r="E81" s="10">
        <f>E80</f>
        <v/>
      </c>
      <c r="F81" s="46">
        <f>IFERROR(INDEX(MitAll,$AA81,$Z81+1+F$4-Settings!$C$7),"")</f>
        <v/>
      </c>
      <c r="G81" s="47">
        <f>IFERROR(INDEX(MitAll,$AA81,$Z81+1+G$4-Settings!$C$7),"")</f>
        <v/>
      </c>
      <c r="H81" s="47">
        <f>IFERROR(INDEX(MitAll,$AA81,$Z81+1+H$4-Settings!$C$7),"")</f>
        <v/>
      </c>
      <c r="I81" s="47">
        <f>IFERROR(INDEX(MitAll,$AA81,$Z81+1+I$4-Settings!$C$7),"")</f>
        <v/>
      </c>
      <c r="J81" s="47">
        <f>IFERROR(INDEX(MitAll,$AA81,$Z81+1+J$4-Settings!$C$7),"")</f>
        <v/>
      </c>
      <c r="K81" s="47">
        <f>IFERROR(INDEX(MitAll,$AA81,$Z81+1+K$4-Settings!$C$7),"")</f>
        <v/>
      </c>
      <c r="L81" s="47">
        <f>IFERROR(INDEX(MitAll,$AA81,$Z81+1+L$4-Settings!$C$7),"")</f>
        <v/>
      </c>
      <c r="M81" s="47">
        <f>IFERROR(INDEX(MitAll,$AA81,$Z81+1+M$4-Settings!$C$7),"")</f>
        <v/>
      </c>
      <c r="N81" s="47">
        <f>IFERROR(INDEX(MitAll,$AA81,$Z81+1+N$4-Settings!$C$7),"")</f>
        <v/>
      </c>
      <c r="O81" s="47">
        <f>IFERROR(INDEX(MitAll,$AA81,$Z81+1+O$4-Settings!$C$7),"")</f>
        <v/>
      </c>
      <c r="P81" s="47">
        <f>IFERROR(INDEX(MitAll,$AA81,$Z81+1+P$4-Settings!$C$7),"")</f>
        <v/>
      </c>
      <c r="Q81" s="47">
        <f>IFERROR(INDEX(MitAll,$AA81,$Z81+1+Q$4-Settings!$C$7),"")</f>
        <v/>
      </c>
      <c r="R81" s="47">
        <f>IFERROR(INDEX(MitAll,$AA81,$Z81+1+R$4-Settings!$C$7),"")</f>
        <v/>
      </c>
      <c r="S81" s="47">
        <f>IFERROR(INDEX(MitAll,$AA81,$Z81+1+S$4-Settings!$C$7),"")</f>
        <v/>
      </c>
      <c r="T81" s="47">
        <f>IFERROR(INDEX(MitAll,$AA81,$Z81+1+T$4-Settings!$C$7),"")</f>
        <v/>
      </c>
      <c r="U81" s="47">
        <f>IFERROR(INDEX(MitAll,$AA81,$Z81+1+U$4-Settings!$C$7),"")</f>
        <v/>
      </c>
      <c r="V81" s="47">
        <f>IFERROR(INDEX(MitAll,$AA81,$Z81+1+V$4-Settings!$C$7),"")</f>
        <v/>
      </c>
      <c r="W81" s="47">
        <f>IFERROR(INDEX(MitAll,$AA81,$Z81+1+W$4-Settings!$C$7),"")</f>
        <v/>
      </c>
      <c r="X81" s="47">
        <f>IFERROR(INDEX(MitAll,$AA81,$Z81+1+X$4-Settings!$C$7),"")</f>
        <v/>
      </c>
      <c r="Y81" s="47">
        <f>IFERROR(INDEX(MitAll,$AA81,$Z81+1+Y$4-Settings!$C$7),"")</f>
        <v/>
      </c>
      <c r="Z81" s="10">
        <f>MATCH($E81,MitScen,0)</f>
        <v/>
      </c>
      <c r="AA81" s="10">
        <f>MATCH($A81,INDEX(MitAll,0,$Z81),0)</f>
        <v/>
      </c>
    </row>
    <row r="82">
      <c r="A82" s="11">
        <f>LOWER(Settings!$C$4)&amp;"."&amp;$B82&amp;"."&amp;$E82</f>
        <v/>
      </c>
      <c r="B82" s="22" t="inlineStr">
        <is>
          <t>mit.rtot.all.all</t>
        </is>
      </c>
      <c r="C82" s="14">
        <f>IFERROR(INDEX(MitDesc,$AA82),"code not found")</f>
        <v/>
      </c>
      <c r="D82" s="14">
        <f>IFERROR(INDEX(MitUnit,$AA82),"")</f>
        <v/>
      </c>
      <c r="E82" s="10">
        <f>E81</f>
        <v/>
      </c>
      <c r="F82" s="46">
        <f>IFERROR(INDEX(MitAll,$AA82,$Z82+1+F$4-Settings!$C$7),"")</f>
        <v/>
      </c>
      <c r="G82" s="47">
        <f>IFERROR(INDEX(MitAll,$AA82,$Z82+1+G$4-Settings!$C$7),"")</f>
        <v/>
      </c>
      <c r="H82" s="47">
        <f>IFERROR(INDEX(MitAll,$AA82,$Z82+1+H$4-Settings!$C$7),"")</f>
        <v/>
      </c>
      <c r="I82" s="47">
        <f>IFERROR(INDEX(MitAll,$AA82,$Z82+1+I$4-Settings!$C$7),"")</f>
        <v/>
      </c>
      <c r="J82" s="47">
        <f>IFERROR(INDEX(MitAll,$AA82,$Z82+1+J$4-Settings!$C$7),"")</f>
        <v/>
      </c>
      <c r="K82" s="47">
        <f>IFERROR(INDEX(MitAll,$AA82,$Z82+1+K$4-Settings!$C$7),"")</f>
        <v/>
      </c>
      <c r="L82" s="47">
        <f>IFERROR(INDEX(MitAll,$AA82,$Z82+1+L$4-Settings!$C$7),"")</f>
        <v/>
      </c>
      <c r="M82" s="47">
        <f>IFERROR(INDEX(MitAll,$AA82,$Z82+1+M$4-Settings!$C$7),"")</f>
        <v/>
      </c>
      <c r="N82" s="47">
        <f>IFERROR(INDEX(MitAll,$AA82,$Z82+1+N$4-Settings!$C$7),"")</f>
        <v/>
      </c>
      <c r="O82" s="47">
        <f>IFERROR(INDEX(MitAll,$AA82,$Z82+1+O$4-Settings!$C$7),"")</f>
        <v/>
      </c>
      <c r="P82" s="47">
        <f>IFERROR(INDEX(MitAll,$AA82,$Z82+1+P$4-Settings!$C$7),"")</f>
        <v/>
      </c>
      <c r="Q82" s="47">
        <f>IFERROR(INDEX(MitAll,$AA82,$Z82+1+Q$4-Settings!$C$7),"")</f>
        <v/>
      </c>
      <c r="R82" s="47">
        <f>IFERROR(INDEX(MitAll,$AA82,$Z82+1+R$4-Settings!$C$7),"")</f>
        <v/>
      </c>
      <c r="S82" s="47">
        <f>IFERROR(INDEX(MitAll,$AA82,$Z82+1+S$4-Settings!$C$7),"")</f>
        <v/>
      </c>
      <c r="T82" s="47">
        <f>IFERROR(INDEX(MitAll,$AA82,$Z82+1+T$4-Settings!$C$7),"")</f>
        <v/>
      </c>
      <c r="U82" s="47">
        <f>IFERROR(INDEX(MitAll,$AA82,$Z82+1+U$4-Settings!$C$7),"")</f>
        <v/>
      </c>
      <c r="V82" s="47">
        <f>IFERROR(INDEX(MitAll,$AA82,$Z82+1+V$4-Settings!$C$7),"")</f>
        <v/>
      </c>
      <c r="W82" s="47">
        <f>IFERROR(INDEX(MitAll,$AA82,$Z82+1+W$4-Settings!$C$7),"")</f>
        <v/>
      </c>
      <c r="X82" s="47">
        <f>IFERROR(INDEX(MitAll,$AA82,$Z82+1+X$4-Settings!$C$7),"")</f>
        <v/>
      </c>
      <c r="Y82" s="47">
        <f>IFERROR(INDEX(MitAll,$AA82,$Z82+1+Y$4-Settings!$C$7),"")</f>
        <v/>
      </c>
      <c r="Z82" s="10">
        <f>MATCH($E82,MitScen,0)</f>
        <v/>
      </c>
      <c r="AA82" s="10">
        <f>MATCH($A82,INDEX(MitAll,0,$Z82),0)</f>
        <v/>
      </c>
    </row>
    <row r="83">
      <c r="A83" s="11">
        <f>LOWER(Settings!$C$4)&amp;"."&amp;$B83&amp;"."&amp;$E83</f>
        <v/>
      </c>
      <c r="B83" s="22" t="inlineStr">
        <is>
          <t>mit.rtot.chg.all.all</t>
        </is>
      </c>
      <c r="C83" s="14">
        <f>IFERROR(INDEX(MitDesc,$AA83),"code not found")</f>
        <v/>
      </c>
      <c r="D83" s="14">
        <f>IFERROR(INDEX(MitUnit,$AA83),"")</f>
        <v/>
      </c>
      <c r="E83" s="10">
        <f>E82</f>
        <v/>
      </c>
      <c r="F83" s="46">
        <f>IFERROR(INDEX(MitAll,$AA83,$Z83+1+F$4-Settings!$C$7),"")</f>
        <v/>
      </c>
      <c r="G83" s="47">
        <f>IFERROR(INDEX(MitAll,$AA83,$Z83+1+G$4-Settings!$C$7),"")</f>
        <v/>
      </c>
      <c r="H83" s="47">
        <f>IFERROR(INDEX(MitAll,$AA83,$Z83+1+H$4-Settings!$C$7),"")</f>
        <v/>
      </c>
      <c r="I83" s="47">
        <f>IFERROR(INDEX(MitAll,$AA83,$Z83+1+I$4-Settings!$C$7),"")</f>
        <v/>
      </c>
      <c r="J83" s="47">
        <f>IFERROR(INDEX(MitAll,$AA83,$Z83+1+J$4-Settings!$C$7),"")</f>
        <v/>
      </c>
      <c r="K83" s="47">
        <f>IFERROR(INDEX(MitAll,$AA83,$Z83+1+K$4-Settings!$C$7),"")</f>
        <v/>
      </c>
      <c r="L83" s="47">
        <f>IFERROR(INDEX(MitAll,$AA83,$Z83+1+L$4-Settings!$C$7),"")</f>
        <v/>
      </c>
      <c r="M83" s="47">
        <f>IFERROR(INDEX(MitAll,$AA83,$Z83+1+M$4-Settings!$C$7),"")</f>
        <v/>
      </c>
      <c r="N83" s="47">
        <f>IFERROR(INDEX(MitAll,$AA83,$Z83+1+N$4-Settings!$C$7),"")</f>
        <v/>
      </c>
      <c r="O83" s="47">
        <f>IFERROR(INDEX(MitAll,$AA83,$Z83+1+O$4-Settings!$C$7),"")</f>
        <v/>
      </c>
      <c r="P83" s="47">
        <f>IFERROR(INDEX(MitAll,$AA83,$Z83+1+P$4-Settings!$C$7),"")</f>
        <v/>
      </c>
      <c r="Q83" s="47">
        <f>IFERROR(INDEX(MitAll,$AA83,$Z83+1+Q$4-Settings!$C$7),"")</f>
        <v/>
      </c>
      <c r="R83" s="47">
        <f>IFERROR(INDEX(MitAll,$AA83,$Z83+1+R$4-Settings!$C$7),"")</f>
        <v/>
      </c>
      <c r="S83" s="47">
        <f>IFERROR(INDEX(MitAll,$AA83,$Z83+1+S$4-Settings!$C$7),"")</f>
        <v/>
      </c>
      <c r="T83" s="47">
        <f>IFERROR(INDEX(MitAll,$AA83,$Z83+1+T$4-Settings!$C$7),"")</f>
        <v/>
      </c>
      <c r="U83" s="47">
        <f>IFERROR(INDEX(MitAll,$AA83,$Z83+1+U$4-Settings!$C$7),"")</f>
        <v/>
      </c>
      <c r="V83" s="47">
        <f>IFERROR(INDEX(MitAll,$AA83,$Z83+1+V$4-Settings!$C$7),"")</f>
        <v/>
      </c>
      <c r="W83" s="47">
        <f>IFERROR(INDEX(MitAll,$AA83,$Z83+1+W$4-Settings!$C$7),"")</f>
        <v/>
      </c>
      <c r="X83" s="47">
        <f>IFERROR(INDEX(MitAll,$AA83,$Z83+1+X$4-Settings!$C$7),"")</f>
        <v/>
      </c>
      <c r="Y83" s="47">
        <f>IFERROR(INDEX(MitAll,$AA83,$Z83+1+Y$4-Settings!$C$7),"")</f>
        <v/>
      </c>
      <c r="Z83" s="10">
        <f>MATCH($E83,MitScen,0)</f>
        <v/>
      </c>
      <c r="AA83" s="10">
        <f>MATCH($A83,INDEX(MitAll,0,$Z83),0)</f>
        <v/>
      </c>
    </row>
    <row r="84">
      <c r="A84" s="11">
        <f>LOWER(Settings!$C$4)&amp;"."&amp;$B84&amp;"."&amp;$E84</f>
        <v/>
      </c>
      <c r="B84" s="22" t="inlineStr">
        <is>
          <t>mit.ener.pow.all.e</t>
        </is>
      </c>
      <c r="C84" s="14">
        <f>IFERROR(INDEX(MitDesc,$AA84),"code not found")</f>
        <v/>
      </c>
      <c r="D84" s="14">
        <f>IFERROR(INDEX(MitUnit,$AA84),"")</f>
        <v/>
      </c>
      <c r="E84" s="10">
        <f>E83</f>
        <v/>
      </c>
      <c r="F84" s="46">
        <f>IFERROR(INDEX(MitAll,$AA84,$Z84+1+F$4-Settings!$C$7),"")</f>
        <v/>
      </c>
      <c r="G84" s="47">
        <f>IFERROR(INDEX(MitAll,$AA84,$Z84+1+G$4-Settings!$C$7),"")</f>
        <v/>
      </c>
      <c r="H84" s="47">
        <f>IFERROR(INDEX(MitAll,$AA84,$Z84+1+H$4-Settings!$C$7),"")</f>
        <v/>
      </c>
      <c r="I84" s="47">
        <f>IFERROR(INDEX(MitAll,$AA84,$Z84+1+I$4-Settings!$C$7),"")</f>
        <v/>
      </c>
      <c r="J84" s="47">
        <f>IFERROR(INDEX(MitAll,$AA84,$Z84+1+J$4-Settings!$C$7),"")</f>
        <v/>
      </c>
      <c r="K84" s="47">
        <f>IFERROR(INDEX(MitAll,$AA84,$Z84+1+K$4-Settings!$C$7),"")</f>
        <v/>
      </c>
      <c r="L84" s="47">
        <f>IFERROR(INDEX(MitAll,$AA84,$Z84+1+L$4-Settings!$C$7),"")</f>
        <v/>
      </c>
      <c r="M84" s="47">
        <f>IFERROR(INDEX(MitAll,$AA84,$Z84+1+M$4-Settings!$C$7),"")</f>
        <v/>
      </c>
      <c r="N84" s="47">
        <f>IFERROR(INDEX(MitAll,$AA84,$Z84+1+N$4-Settings!$C$7),"")</f>
        <v/>
      </c>
      <c r="O84" s="47">
        <f>IFERROR(INDEX(MitAll,$AA84,$Z84+1+O$4-Settings!$C$7),"")</f>
        <v/>
      </c>
      <c r="P84" s="47">
        <f>IFERROR(INDEX(MitAll,$AA84,$Z84+1+P$4-Settings!$C$7),"")</f>
        <v/>
      </c>
      <c r="Q84" s="47">
        <f>IFERROR(INDEX(MitAll,$AA84,$Z84+1+Q$4-Settings!$C$7),"")</f>
        <v/>
      </c>
      <c r="R84" s="47">
        <f>IFERROR(INDEX(MitAll,$AA84,$Z84+1+R$4-Settings!$C$7),"")</f>
        <v/>
      </c>
      <c r="S84" s="47">
        <f>IFERROR(INDEX(MitAll,$AA84,$Z84+1+S$4-Settings!$C$7),"")</f>
        <v/>
      </c>
      <c r="T84" s="47">
        <f>IFERROR(INDEX(MitAll,$AA84,$Z84+1+T$4-Settings!$C$7),"")</f>
        <v/>
      </c>
      <c r="U84" s="47">
        <f>IFERROR(INDEX(MitAll,$AA84,$Z84+1+U$4-Settings!$C$7),"")</f>
        <v/>
      </c>
      <c r="V84" s="47">
        <f>IFERROR(INDEX(MitAll,$AA84,$Z84+1+V$4-Settings!$C$7),"")</f>
        <v/>
      </c>
      <c r="W84" s="47">
        <f>IFERROR(INDEX(MitAll,$AA84,$Z84+1+W$4-Settings!$C$7),"")</f>
        <v/>
      </c>
      <c r="X84" s="47">
        <f>IFERROR(INDEX(MitAll,$AA84,$Z84+1+X$4-Settings!$C$7),"")</f>
        <v/>
      </c>
      <c r="Y84" s="47">
        <f>IFERROR(INDEX(MitAll,$AA84,$Z84+1+Y$4-Settings!$C$7),"")</f>
        <v/>
      </c>
      <c r="Z84" s="10">
        <f>MATCH($E84,MitScen,0)</f>
        <v/>
      </c>
      <c r="AA84" s="10">
        <f>MATCH($A84,INDEX(MitAll,0,$Z84),0)</f>
        <v/>
      </c>
    </row>
    <row r="85">
      <c r="A85" s="11">
        <f>LOWER(Settings!$C$4)&amp;"."&amp;$B85&amp;"."&amp;$E85</f>
        <v/>
      </c>
      <c r="B85" s="22" t="inlineStr">
        <is>
          <t>mit.rtx.pow.all</t>
        </is>
      </c>
      <c r="C85" s="14">
        <f>IFERROR(INDEX(MitDesc,$AA85),"code not found")</f>
        <v/>
      </c>
      <c r="D85" s="14">
        <f>IFERROR(INDEX(MitUnit,$AA85),"")</f>
        <v/>
      </c>
      <c r="E85" s="10">
        <f>E84</f>
        <v/>
      </c>
      <c r="F85" s="46">
        <f>IFERROR(INDEX(MitAll,$AA85,$Z85+1+F$4-Settings!$C$7),"")</f>
        <v/>
      </c>
      <c r="G85" s="47">
        <f>IFERROR(INDEX(MitAll,$AA85,$Z85+1+G$4-Settings!$C$7),"")</f>
        <v/>
      </c>
      <c r="H85" s="47">
        <f>IFERROR(INDEX(MitAll,$AA85,$Z85+1+H$4-Settings!$C$7),"")</f>
        <v/>
      </c>
      <c r="I85" s="47">
        <f>IFERROR(INDEX(MitAll,$AA85,$Z85+1+I$4-Settings!$C$7),"")</f>
        <v/>
      </c>
      <c r="J85" s="47">
        <f>IFERROR(INDEX(MitAll,$AA85,$Z85+1+J$4-Settings!$C$7),"")</f>
        <v/>
      </c>
      <c r="K85" s="47">
        <f>IFERROR(INDEX(MitAll,$AA85,$Z85+1+K$4-Settings!$C$7),"")</f>
        <v/>
      </c>
      <c r="L85" s="47">
        <f>IFERROR(INDEX(MitAll,$AA85,$Z85+1+L$4-Settings!$C$7),"")</f>
        <v/>
      </c>
      <c r="M85" s="47">
        <f>IFERROR(INDEX(MitAll,$AA85,$Z85+1+M$4-Settings!$C$7),"")</f>
        <v/>
      </c>
      <c r="N85" s="47">
        <f>IFERROR(INDEX(MitAll,$AA85,$Z85+1+N$4-Settings!$C$7),"")</f>
        <v/>
      </c>
      <c r="O85" s="47">
        <f>IFERROR(INDEX(MitAll,$AA85,$Z85+1+O$4-Settings!$C$7),"")</f>
        <v/>
      </c>
      <c r="P85" s="47">
        <f>IFERROR(INDEX(MitAll,$AA85,$Z85+1+P$4-Settings!$C$7),"")</f>
        <v/>
      </c>
      <c r="Q85" s="47">
        <f>IFERROR(INDEX(MitAll,$AA85,$Z85+1+Q$4-Settings!$C$7),"")</f>
        <v/>
      </c>
      <c r="R85" s="47">
        <f>IFERROR(INDEX(MitAll,$AA85,$Z85+1+R$4-Settings!$C$7),"")</f>
        <v/>
      </c>
      <c r="S85" s="47">
        <f>IFERROR(INDEX(MitAll,$AA85,$Z85+1+S$4-Settings!$C$7),"")</f>
        <v/>
      </c>
      <c r="T85" s="47">
        <f>IFERROR(INDEX(MitAll,$AA85,$Z85+1+T$4-Settings!$C$7),"")</f>
        <v/>
      </c>
      <c r="U85" s="47">
        <f>IFERROR(INDEX(MitAll,$AA85,$Z85+1+U$4-Settings!$C$7),"")</f>
        <v/>
      </c>
      <c r="V85" s="47">
        <f>IFERROR(INDEX(MitAll,$AA85,$Z85+1+V$4-Settings!$C$7),"")</f>
        <v/>
      </c>
      <c r="W85" s="47">
        <f>IFERROR(INDEX(MitAll,$AA85,$Z85+1+W$4-Settings!$C$7),"")</f>
        <v/>
      </c>
      <c r="X85" s="47">
        <f>IFERROR(INDEX(MitAll,$AA85,$Z85+1+X$4-Settings!$C$7),"")</f>
        <v/>
      </c>
      <c r="Y85" s="47">
        <f>IFERROR(INDEX(MitAll,$AA85,$Z85+1+Y$4-Settings!$C$7),"")</f>
        <v/>
      </c>
      <c r="Z85" s="10">
        <f>MATCH($E85,MitScen,0)</f>
        <v/>
      </c>
      <c r="AA85" s="10">
        <f>MATCH($A85,INDEX(MitAll,0,$Z85),0)</f>
        <v/>
      </c>
    </row>
    <row r="86">
      <c r="A86" s="11">
        <f>LOWER(Settings!$C$4)&amp;"."&amp;$B86&amp;"."&amp;$E86</f>
        <v/>
      </c>
      <c r="B86" s="22" t="inlineStr">
        <is>
          <t>mit.rsub.pow.all</t>
        </is>
      </c>
      <c r="C86" s="14">
        <f>IFERROR(INDEX(MitDesc,$AA86),"code not found")</f>
        <v/>
      </c>
      <c r="D86" s="14">
        <f>IFERROR(INDEX(MitUnit,$AA86),"")</f>
        <v/>
      </c>
      <c r="E86" s="10">
        <f>E85</f>
        <v/>
      </c>
      <c r="F86" s="46">
        <f>IFERROR(INDEX(MitAll,$AA86,$Z86+1+F$4-Settings!$C$7),"")</f>
        <v/>
      </c>
      <c r="G86" s="47">
        <f>IFERROR(INDEX(MitAll,$AA86,$Z86+1+G$4-Settings!$C$7),"")</f>
        <v/>
      </c>
      <c r="H86" s="47">
        <f>IFERROR(INDEX(MitAll,$AA86,$Z86+1+H$4-Settings!$C$7),"")</f>
        <v/>
      </c>
      <c r="I86" s="47">
        <f>IFERROR(INDEX(MitAll,$AA86,$Z86+1+I$4-Settings!$C$7),"")</f>
        <v/>
      </c>
      <c r="J86" s="47">
        <f>IFERROR(INDEX(MitAll,$AA86,$Z86+1+J$4-Settings!$C$7),"")</f>
        <v/>
      </c>
      <c r="K86" s="47">
        <f>IFERROR(INDEX(MitAll,$AA86,$Z86+1+K$4-Settings!$C$7),"")</f>
        <v/>
      </c>
      <c r="L86" s="47">
        <f>IFERROR(INDEX(MitAll,$AA86,$Z86+1+L$4-Settings!$C$7),"")</f>
        <v/>
      </c>
      <c r="M86" s="47">
        <f>IFERROR(INDEX(MitAll,$AA86,$Z86+1+M$4-Settings!$C$7),"")</f>
        <v/>
      </c>
      <c r="N86" s="47">
        <f>IFERROR(INDEX(MitAll,$AA86,$Z86+1+N$4-Settings!$C$7),"")</f>
        <v/>
      </c>
      <c r="O86" s="47">
        <f>IFERROR(INDEX(MitAll,$AA86,$Z86+1+O$4-Settings!$C$7),"")</f>
        <v/>
      </c>
      <c r="P86" s="47">
        <f>IFERROR(INDEX(MitAll,$AA86,$Z86+1+P$4-Settings!$C$7),"")</f>
        <v/>
      </c>
      <c r="Q86" s="47">
        <f>IFERROR(INDEX(MitAll,$AA86,$Z86+1+Q$4-Settings!$C$7),"")</f>
        <v/>
      </c>
      <c r="R86" s="47">
        <f>IFERROR(INDEX(MitAll,$AA86,$Z86+1+R$4-Settings!$C$7),"")</f>
        <v/>
      </c>
      <c r="S86" s="47">
        <f>IFERROR(INDEX(MitAll,$AA86,$Z86+1+S$4-Settings!$C$7),"")</f>
        <v/>
      </c>
      <c r="T86" s="47">
        <f>IFERROR(INDEX(MitAll,$AA86,$Z86+1+T$4-Settings!$C$7),"")</f>
        <v/>
      </c>
      <c r="U86" s="47">
        <f>IFERROR(INDEX(MitAll,$AA86,$Z86+1+U$4-Settings!$C$7),"")</f>
        <v/>
      </c>
      <c r="V86" s="47">
        <f>IFERROR(INDEX(MitAll,$AA86,$Z86+1+V$4-Settings!$C$7),"")</f>
        <v/>
      </c>
      <c r="W86" s="47">
        <f>IFERROR(INDEX(MitAll,$AA86,$Z86+1+W$4-Settings!$C$7),"")</f>
        <v/>
      </c>
      <c r="X86" s="47">
        <f>IFERROR(INDEX(MitAll,$AA86,$Z86+1+X$4-Settings!$C$7),"")</f>
        <v/>
      </c>
      <c r="Y86" s="47">
        <f>IFERROR(INDEX(MitAll,$AA86,$Z86+1+Y$4-Settings!$C$7),"")</f>
        <v/>
      </c>
      <c r="Z86" s="10">
        <f>MATCH($E86,MitScen,0)</f>
        <v/>
      </c>
      <c r="AA86" s="10">
        <f>MATCH($A86,INDEX(MitAll,0,$Z86),0)</f>
        <v/>
      </c>
    </row>
    <row r="87">
      <c r="A87" s="11">
        <f>LOWER(Settings!$C$4)&amp;"."&amp;$B87&amp;"."&amp;$E87</f>
        <v/>
      </c>
      <c r="B87" s="22" t="inlineStr">
        <is>
          <t>mit.rnew.pow.all</t>
        </is>
      </c>
      <c r="C87" s="14">
        <f>IFERROR(INDEX(MitDesc,$AA87),"code not found")</f>
        <v/>
      </c>
      <c r="D87" s="14">
        <f>IFERROR(INDEX(MitUnit,$AA87),"")</f>
        <v/>
      </c>
      <c r="E87" s="10">
        <f>E86</f>
        <v/>
      </c>
      <c r="F87" s="46">
        <f>IFERROR(INDEX(MitAll,$AA87,$Z87+1+F$4-Settings!$C$7),"")</f>
        <v/>
      </c>
      <c r="G87" s="47">
        <f>IFERROR(INDEX(MitAll,$AA87,$Z87+1+G$4-Settings!$C$7),"")</f>
        <v/>
      </c>
      <c r="H87" s="47">
        <f>IFERROR(INDEX(MitAll,$AA87,$Z87+1+H$4-Settings!$C$7),"")</f>
        <v/>
      </c>
      <c r="I87" s="47">
        <f>IFERROR(INDEX(MitAll,$AA87,$Z87+1+I$4-Settings!$C$7),"")</f>
        <v/>
      </c>
      <c r="J87" s="47">
        <f>IFERROR(INDEX(MitAll,$AA87,$Z87+1+J$4-Settings!$C$7),"")</f>
        <v/>
      </c>
      <c r="K87" s="47">
        <f>IFERROR(INDEX(MitAll,$AA87,$Z87+1+K$4-Settings!$C$7),"")</f>
        <v/>
      </c>
      <c r="L87" s="47">
        <f>IFERROR(INDEX(MitAll,$AA87,$Z87+1+L$4-Settings!$C$7),"")</f>
        <v/>
      </c>
      <c r="M87" s="47">
        <f>IFERROR(INDEX(MitAll,$AA87,$Z87+1+M$4-Settings!$C$7),"")</f>
        <v/>
      </c>
      <c r="N87" s="47">
        <f>IFERROR(INDEX(MitAll,$AA87,$Z87+1+N$4-Settings!$C$7),"")</f>
        <v/>
      </c>
      <c r="O87" s="47">
        <f>IFERROR(INDEX(MitAll,$AA87,$Z87+1+O$4-Settings!$C$7),"")</f>
        <v/>
      </c>
      <c r="P87" s="47">
        <f>IFERROR(INDEX(MitAll,$AA87,$Z87+1+P$4-Settings!$C$7),"")</f>
        <v/>
      </c>
      <c r="Q87" s="47">
        <f>IFERROR(INDEX(MitAll,$AA87,$Z87+1+Q$4-Settings!$C$7),"")</f>
        <v/>
      </c>
      <c r="R87" s="47">
        <f>IFERROR(INDEX(MitAll,$AA87,$Z87+1+R$4-Settings!$C$7),"")</f>
        <v/>
      </c>
      <c r="S87" s="47">
        <f>IFERROR(INDEX(MitAll,$AA87,$Z87+1+S$4-Settings!$C$7),"")</f>
        <v/>
      </c>
      <c r="T87" s="47">
        <f>IFERROR(INDEX(MitAll,$AA87,$Z87+1+T$4-Settings!$C$7),"")</f>
        <v/>
      </c>
      <c r="U87" s="47">
        <f>IFERROR(INDEX(MitAll,$AA87,$Z87+1+U$4-Settings!$C$7),"")</f>
        <v/>
      </c>
      <c r="V87" s="47">
        <f>IFERROR(INDEX(MitAll,$AA87,$Z87+1+V$4-Settings!$C$7),"")</f>
        <v/>
      </c>
      <c r="W87" s="47">
        <f>IFERROR(INDEX(MitAll,$AA87,$Z87+1+W$4-Settings!$C$7),"")</f>
        <v/>
      </c>
      <c r="X87" s="47">
        <f>IFERROR(INDEX(MitAll,$AA87,$Z87+1+X$4-Settings!$C$7),"")</f>
        <v/>
      </c>
      <c r="Y87" s="47">
        <f>IFERROR(INDEX(MitAll,$AA87,$Z87+1+Y$4-Settings!$C$7),"")</f>
        <v/>
      </c>
      <c r="Z87" s="10">
        <f>MATCH($E87,MitScen,0)</f>
        <v/>
      </c>
      <c r="AA87" s="10">
        <f>MATCH($A87,INDEX(MitAll,0,$Z87),0)</f>
        <v/>
      </c>
    </row>
    <row r="88">
      <c r="A88" s="11">
        <f>LOWER(Settings!$C$4)&amp;"."&amp;$B88&amp;"."&amp;$E88</f>
        <v/>
      </c>
      <c r="B88" s="22" t="inlineStr">
        <is>
          <t>mit.rxcp.all.all</t>
        </is>
      </c>
      <c r="C88" s="14">
        <f>IFERROR(INDEX(MitDesc,$AA88),"code not found")</f>
        <v/>
      </c>
      <c r="D88" s="14">
        <f>IFERROR(INDEX(MitUnit,$AA88),"")</f>
        <v/>
      </c>
      <c r="E88" s="10">
        <f>E87</f>
        <v/>
      </c>
      <c r="F88" s="46">
        <f>IFERROR(INDEX(MitAll,$AA88,$Z88+1+F$4-Settings!$C$7),"")</f>
        <v/>
      </c>
      <c r="G88" s="47">
        <f>IFERROR(INDEX(MitAll,$AA88,$Z88+1+G$4-Settings!$C$7),"")</f>
        <v/>
      </c>
      <c r="H88" s="47">
        <f>IFERROR(INDEX(MitAll,$AA88,$Z88+1+H$4-Settings!$C$7),"")</f>
        <v/>
      </c>
      <c r="I88" s="47">
        <f>IFERROR(INDEX(MitAll,$AA88,$Z88+1+I$4-Settings!$C$7),"")</f>
        <v/>
      </c>
      <c r="J88" s="47">
        <f>IFERROR(INDEX(MitAll,$AA88,$Z88+1+J$4-Settings!$C$7),"")</f>
        <v/>
      </c>
      <c r="K88" s="47">
        <f>IFERROR(INDEX(MitAll,$AA88,$Z88+1+K$4-Settings!$C$7),"")</f>
        <v/>
      </c>
      <c r="L88" s="47">
        <f>IFERROR(INDEX(MitAll,$AA88,$Z88+1+L$4-Settings!$C$7),"")</f>
        <v/>
      </c>
      <c r="M88" s="47">
        <f>IFERROR(INDEX(MitAll,$AA88,$Z88+1+M$4-Settings!$C$7),"")</f>
        <v/>
      </c>
      <c r="N88" s="47">
        <f>IFERROR(INDEX(MitAll,$AA88,$Z88+1+N$4-Settings!$C$7),"")</f>
        <v/>
      </c>
      <c r="O88" s="47">
        <f>IFERROR(INDEX(MitAll,$AA88,$Z88+1+O$4-Settings!$C$7),"")</f>
        <v/>
      </c>
      <c r="P88" s="47">
        <f>IFERROR(INDEX(MitAll,$AA88,$Z88+1+P$4-Settings!$C$7),"")</f>
        <v/>
      </c>
      <c r="Q88" s="47">
        <f>IFERROR(INDEX(MitAll,$AA88,$Z88+1+Q$4-Settings!$C$7),"")</f>
        <v/>
      </c>
      <c r="R88" s="47">
        <f>IFERROR(INDEX(MitAll,$AA88,$Z88+1+R$4-Settings!$C$7),"")</f>
        <v/>
      </c>
      <c r="S88" s="47">
        <f>IFERROR(INDEX(MitAll,$AA88,$Z88+1+S$4-Settings!$C$7),"")</f>
        <v/>
      </c>
      <c r="T88" s="47">
        <f>IFERROR(INDEX(MitAll,$AA88,$Z88+1+T$4-Settings!$C$7),"")</f>
        <v/>
      </c>
      <c r="U88" s="47">
        <f>IFERROR(INDEX(MitAll,$AA88,$Z88+1+U$4-Settings!$C$7),"")</f>
        <v/>
      </c>
      <c r="V88" s="47">
        <f>IFERROR(INDEX(MitAll,$AA88,$Z88+1+V$4-Settings!$C$7),"")</f>
        <v/>
      </c>
      <c r="W88" s="47">
        <f>IFERROR(INDEX(MitAll,$AA88,$Z88+1+W$4-Settings!$C$7),"")</f>
        <v/>
      </c>
      <c r="X88" s="47">
        <f>IFERROR(INDEX(MitAll,$AA88,$Z88+1+X$4-Settings!$C$7),"")</f>
        <v/>
      </c>
      <c r="Y88" s="47">
        <f>IFERROR(INDEX(MitAll,$AA88,$Z88+1+Y$4-Settings!$C$7),"")</f>
        <v/>
      </c>
      <c r="Z88" s="10">
        <f>MATCH($E88,MitScen,0)</f>
        <v/>
      </c>
      <c r="AA88" s="10">
        <f>MATCH($A88,INDEX(MitAll,0,$Z88),0)</f>
        <v/>
      </c>
    </row>
    <row r="89">
      <c r="A89" s="11">
        <f>LOWER(Settings!$C$4)&amp;"."&amp;$B89&amp;"."&amp;$E89</f>
        <v/>
      </c>
      <c r="B89" s="22" t="inlineStr">
        <is>
          <t>mit.xct.p</t>
        </is>
      </c>
      <c r="C89" s="14">
        <f>IFERROR(INDEX(MitDesc,$AA89),"code not found")</f>
        <v/>
      </c>
      <c r="D89" s="14">
        <f>IFERROR(INDEX(MitUnit,$AA89),"")</f>
        <v/>
      </c>
      <c r="E89" s="10">
        <f>E88</f>
        <v/>
      </c>
      <c r="F89" s="23">
        <f>IFERROR(INDEX(MitAll,$AA89,$Z89+1+F$4-Settings!$C$7),"")</f>
        <v/>
      </c>
      <c r="G89" s="24">
        <f>IFERROR(INDEX(MitAll,$AA89,$Z89+1+G$4-Settings!$C$7),"")</f>
        <v/>
      </c>
      <c r="H89" s="24">
        <f>IFERROR(INDEX(MitAll,$AA89,$Z89+1+H$4-Settings!$C$7),"")</f>
        <v/>
      </c>
      <c r="I89" s="24">
        <f>IFERROR(INDEX(MitAll,$AA89,$Z89+1+I$4-Settings!$C$7),"")</f>
        <v/>
      </c>
      <c r="J89" s="24">
        <f>IFERROR(INDEX(MitAll,$AA89,$Z89+1+J$4-Settings!$C$7),"")</f>
        <v/>
      </c>
      <c r="K89" s="24">
        <f>IFERROR(INDEX(MitAll,$AA89,$Z89+1+K$4-Settings!$C$7),"")</f>
        <v/>
      </c>
      <c r="L89" s="24">
        <f>IFERROR(INDEX(MitAll,$AA89,$Z89+1+L$4-Settings!$C$7),"")</f>
        <v/>
      </c>
      <c r="M89" s="24">
        <f>IFERROR(INDEX(MitAll,$AA89,$Z89+1+M$4-Settings!$C$7),"")</f>
        <v/>
      </c>
      <c r="N89" s="24">
        <f>IFERROR(INDEX(MitAll,$AA89,$Z89+1+N$4-Settings!$C$7),"")</f>
        <v/>
      </c>
      <c r="O89" s="24">
        <f>IFERROR(INDEX(MitAll,$AA89,$Z89+1+O$4-Settings!$C$7),"")</f>
        <v/>
      </c>
      <c r="P89" s="24">
        <f>IFERROR(INDEX(MitAll,$AA89,$Z89+1+P$4-Settings!$C$7),"")</f>
        <v/>
      </c>
      <c r="Q89" s="24">
        <f>IFERROR(INDEX(MitAll,$AA89,$Z89+1+Q$4-Settings!$C$7),"")</f>
        <v/>
      </c>
      <c r="R89" s="24">
        <f>IFERROR(INDEX(MitAll,$AA89,$Z89+1+R$4-Settings!$C$7),"")</f>
        <v/>
      </c>
      <c r="S89" s="24">
        <f>IFERROR(INDEX(MitAll,$AA89,$Z89+1+S$4-Settings!$C$7),"")</f>
        <v/>
      </c>
      <c r="T89" s="24">
        <f>IFERROR(INDEX(MitAll,$AA89,$Z89+1+T$4-Settings!$C$7),"")</f>
        <v/>
      </c>
      <c r="U89" s="24">
        <f>IFERROR(INDEX(MitAll,$AA89,$Z89+1+U$4-Settings!$C$7),"")</f>
        <v/>
      </c>
      <c r="V89" s="24">
        <f>IFERROR(INDEX(MitAll,$AA89,$Z89+1+V$4-Settings!$C$7),"")</f>
        <v/>
      </c>
      <c r="W89" s="24">
        <f>IFERROR(INDEX(MitAll,$AA89,$Z89+1+W$4-Settings!$C$7),"")</f>
        <v/>
      </c>
      <c r="X89" s="24">
        <f>IFERROR(INDEX(MitAll,$AA89,$Z89+1+X$4-Settings!$C$7),"")</f>
        <v/>
      </c>
      <c r="Y89" s="24">
        <f>IFERROR(INDEX(MitAll,$AA89,$Z89+1+Y$4-Settings!$C$7),"")</f>
        <v/>
      </c>
      <c r="Z89" s="10">
        <f>MATCH($E89,MitScen,0)</f>
        <v/>
      </c>
      <c r="AA89" s="10">
        <f>MATCH($A89,INDEX(MitAll,0,$Z89),0)</f>
        <v/>
      </c>
    </row>
    <row r="90">
      <c r="A90" s="11">
        <f>LOWER(Settings!$C$4)&amp;"."&amp;$B90&amp;"."&amp;$E90</f>
        <v/>
      </c>
      <c r="B90" s="22" t="inlineStr">
        <is>
          <t>mit.xets.p</t>
        </is>
      </c>
      <c r="C90" s="14">
        <f>IFERROR(INDEX(MitDesc,$AA90),"code not found")</f>
        <v/>
      </c>
      <c r="D90" s="14">
        <f>IFERROR(INDEX(MitUnit,$AA90),"")</f>
        <v/>
      </c>
      <c r="E90" s="10">
        <f>E89</f>
        <v/>
      </c>
      <c r="F90" s="23">
        <f>IFERROR(INDEX(MitAll,$AA90,$Z90+1+F$4-Settings!$C$7),"")</f>
        <v/>
      </c>
      <c r="G90" s="24">
        <f>IFERROR(INDEX(MitAll,$AA90,$Z90+1+G$4-Settings!$C$7),"")</f>
        <v/>
      </c>
      <c r="H90" s="24">
        <f>IFERROR(INDEX(MitAll,$AA90,$Z90+1+H$4-Settings!$C$7),"")</f>
        <v/>
      </c>
      <c r="I90" s="24">
        <f>IFERROR(INDEX(MitAll,$AA90,$Z90+1+I$4-Settings!$C$7),"")</f>
        <v/>
      </c>
      <c r="J90" s="24">
        <f>IFERROR(INDEX(MitAll,$AA90,$Z90+1+J$4-Settings!$C$7),"")</f>
        <v/>
      </c>
      <c r="K90" s="24">
        <f>IFERROR(INDEX(MitAll,$AA90,$Z90+1+K$4-Settings!$C$7),"")</f>
        <v/>
      </c>
      <c r="L90" s="24">
        <f>IFERROR(INDEX(MitAll,$AA90,$Z90+1+L$4-Settings!$C$7),"")</f>
        <v/>
      </c>
      <c r="M90" s="24">
        <f>IFERROR(INDEX(MitAll,$AA90,$Z90+1+M$4-Settings!$C$7),"")</f>
        <v/>
      </c>
      <c r="N90" s="24">
        <f>IFERROR(INDEX(MitAll,$AA90,$Z90+1+N$4-Settings!$C$7),"")</f>
        <v/>
      </c>
      <c r="O90" s="24">
        <f>IFERROR(INDEX(MitAll,$AA90,$Z90+1+O$4-Settings!$C$7),"")</f>
        <v/>
      </c>
      <c r="P90" s="24">
        <f>IFERROR(INDEX(MitAll,$AA90,$Z90+1+P$4-Settings!$C$7),"")</f>
        <v/>
      </c>
      <c r="Q90" s="24">
        <f>IFERROR(INDEX(MitAll,$AA90,$Z90+1+Q$4-Settings!$C$7),"")</f>
        <v/>
      </c>
      <c r="R90" s="24">
        <f>IFERROR(INDEX(MitAll,$AA90,$Z90+1+R$4-Settings!$C$7),"")</f>
        <v/>
      </c>
      <c r="S90" s="24">
        <f>IFERROR(INDEX(MitAll,$AA90,$Z90+1+S$4-Settings!$C$7),"")</f>
        <v/>
      </c>
      <c r="T90" s="24">
        <f>IFERROR(INDEX(MitAll,$AA90,$Z90+1+T$4-Settings!$C$7),"")</f>
        <v/>
      </c>
      <c r="U90" s="24">
        <f>IFERROR(INDEX(MitAll,$AA90,$Z90+1+U$4-Settings!$C$7),"")</f>
        <v/>
      </c>
      <c r="V90" s="24">
        <f>IFERROR(INDEX(MitAll,$AA90,$Z90+1+V$4-Settings!$C$7),"")</f>
        <v/>
      </c>
      <c r="W90" s="24">
        <f>IFERROR(INDEX(MitAll,$AA90,$Z90+1+W$4-Settings!$C$7),"")</f>
        <v/>
      </c>
      <c r="X90" s="24">
        <f>IFERROR(INDEX(MitAll,$AA90,$Z90+1+X$4-Settings!$C$7),"")</f>
        <v/>
      </c>
      <c r="Y90" s="24">
        <f>IFERROR(INDEX(MitAll,$AA90,$Z90+1+Y$4-Settings!$C$7),"")</f>
        <v/>
      </c>
      <c r="Z90" s="10">
        <f>MATCH($E90,MitScen,0)</f>
        <v/>
      </c>
      <c r="AA90" s="10">
        <f>MATCH($A90,INDEX(MitAll,0,$Z90),0)</f>
        <v/>
      </c>
    </row>
    <row r="91">
      <c r="A91" s="11">
        <f>LOWER(Settings!$C$4)&amp;"."&amp;$B91&amp;"."&amp;$E91</f>
        <v/>
      </c>
      <c r="B91" s="22" t="inlineStr">
        <is>
          <t>mit.cptraj</t>
        </is>
      </c>
      <c r="C91" s="14">
        <f>IFERROR(INDEX(MitDesc,$AA91),"code not found")</f>
        <v/>
      </c>
      <c r="D91" s="14">
        <f>IFERROR(INDEX(MitUnit,$AA91),"")</f>
        <v/>
      </c>
      <c r="E91" s="10">
        <f>E90</f>
        <v/>
      </c>
      <c r="F91" s="23">
        <f>IFERROR(INDEX(MitAll,$AA91,$Z91+1+F$4-Settings!$C$7),"")</f>
        <v/>
      </c>
      <c r="G91" s="24">
        <f>IFERROR(INDEX(MitAll,$AA91,$Z91+1+G$4-Settings!$C$7),"")</f>
        <v/>
      </c>
      <c r="H91" s="24">
        <f>IFERROR(INDEX(MitAll,$AA91,$Z91+1+H$4-Settings!$C$7),"")</f>
        <v/>
      </c>
      <c r="I91" s="24">
        <f>IFERROR(INDEX(MitAll,$AA91,$Z91+1+I$4-Settings!$C$7),"")</f>
        <v/>
      </c>
      <c r="J91" s="24">
        <f>IFERROR(INDEX(MitAll,$AA91,$Z91+1+J$4-Settings!$C$7),"")</f>
        <v/>
      </c>
      <c r="K91" s="24">
        <f>IFERROR(INDEX(MitAll,$AA91,$Z91+1+K$4-Settings!$C$7),"")</f>
        <v/>
      </c>
      <c r="L91" s="24">
        <f>IFERROR(INDEX(MitAll,$AA91,$Z91+1+L$4-Settings!$C$7),"")</f>
        <v/>
      </c>
      <c r="M91" s="24">
        <f>IFERROR(INDEX(MitAll,$AA91,$Z91+1+M$4-Settings!$C$7),"")</f>
        <v/>
      </c>
      <c r="N91" s="24">
        <f>IFERROR(INDEX(MitAll,$AA91,$Z91+1+N$4-Settings!$C$7),"")</f>
        <v/>
      </c>
      <c r="O91" s="24">
        <f>IFERROR(INDEX(MitAll,$AA91,$Z91+1+O$4-Settings!$C$7),"")</f>
        <v/>
      </c>
      <c r="P91" s="24">
        <f>IFERROR(INDEX(MitAll,$AA91,$Z91+1+P$4-Settings!$C$7),"")</f>
        <v/>
      </c>
      <c r="Q91" s="24">
        <f>IFERROR(INDEX(MitAll,$AA91,$Z91+1+Q$4-Settings!$C$7),"")</f>
        <v/>
      </c>
      <c r="R91" s="24">
        <f>IFERROR(INDEX(MitAll,$AA91,$Z91+1+R$4-Settings!$C$7),"")</f>
        <v/>
      </c>
      <c r="S91" s="24">
        <f>IFERROR(INDEX(MitAll,$AA91,$Z91+1+S$4-Settings!$C$7),"")</f>
        <v/>
      </c>
      <c r="T91" s="24">
        <f>IFERROR(INDEX(MitAll,$AA91,$Z91+1+T$4-Settings!$C$7),"")</f>
        <v/>
      </c>
      <c r="U91" s="24">
        <f>IFERROR(INDEX(MitAll,$AA91,$Z91+1+U$4-Settings!$C$7),"")</f>
        <v/>
      </c>
      <c r="V91" s="24">
        <f>IFERROR(INDEX(MitAll,$AA91,$Z91+1+V$4-Settings!$C$7),"")</f>
        <v/>
      </c>
      <c r="W91" s="24">
        <f>IFERROR(INDEX(MitAll,$AA91,$Z91+1+W$4-Settings!$C$7),"")</f>
        <v/>
      </c>
      <c r="X91" s="24">
        <f>IFERROR(INDEX(MitAll,$AA91,$Z91+1+X$4-Settings!$C$7),"")</f>
        <v/>
      </c>
      <c r="Y91" s="24">
        <f>IFERROR(INDEX(MitAll,$AA91,$Z91+1+Y$4-Settings!$C$7),"")</f>
        <v/>
      </c>
      <c r="Z91" s="10">
        <f>MATCH($E91,MitScen,0)</f>
        <v/>
      </c>
      <c r="AA91" s="10">
        <f>MATCH($A91,INDEX(MitAll,0,$Z91),0)</f>
        <v/>
      </c>
    </row>
    <row r="92">
      <c r="A92" s="11">
        <f>LOWER(Settings!$C$4)&amp;"."&amp;$B92&amp;"."&amp;$E92</f>
        <v/>
      </c>
      <c r="B92" s="22" t="inlineStr">
        <is>
          <t>mit.ets.p</t>
        </is>
      </c>
      <c r="C92" s="14">
        <f>IFERROR(INDEX(MitDesc,$AA92),"code not found")</f>
        <v/>
      </c>
      <c r="D92" s="14">
        <f>IFERROR(INDEX(MitUnit,$AA92),"")</f>
        <v/>
      </c>
      <c r="E92" s="10">
        <f>E91</f>
        <v/>
      </c>
      <c r="F92" s="23">
        <f>IFERROR(INDEX(MitAll,$AA92,$Z92+1+F$4-Settings!$C$7),"")</f>
        <v/>
      </c>
      <c r="G92" s="24">
        <f>IFERROR(INDEX(MitAll,$AA92,$Z92+1+G$4-Settings!$C$7),"")</f>
        <v/>
      </c>
      <c r="H92" s="24">
        <f>IFERROR(INDEX(MitAll,$AA92,$Z92+1+H$4-Settings!$C$7),"")</f>
        <v/>
      </c>
      <c r="I92" s="24">
        <f>IFERROR(INDEX(MitAll,$AA92,$Z92+1+I$4-Settings!$C$7),"")</f>
        <v/>
      </c>
      <c r="J92" s="24">
        <f>IFERROR(INDEX(MitAll,$AA92,$Z92+1+J$4-Settings!$C$7),"")</f>
        <v/>
      </c>
      <c r="K92" s="24">
        <f>IFERROR(INDEX(MitAll,$AA92,$Z92+1+K$4-Settings!$C$7),"")</f>
        <v/>
      </c>
      <c r="L92" s="24">
        <f>IFERROR(INDEX(MitAll,$AA92,$Z92+1+L$4-Settings!$C$7),"")</f>
        <v/>
      </c>
      <c r="M92" s="24">
        <f>IFERROR(INDEX(MitAll,$AA92,$Z92+1+M$4-Settings!$C$7),"")</f>
        <v/>
      </c>
      <c r="N92" s="24">
        <f>IFERROR(INDEX(MitAll,$AA92,$Z92+1+N$4-Settings!$C$7),"")</f>
        <v/>
      </c>
      <c r="O92" s="24">
        <f>IFERROR(INDEX(MitAll,$AA92,$Z92+1+O$4-Settings!$C$7),"")</f>
        <v/>
      </c>
      <c r="P92" s="24">
        <f>IFERROR(INDEX(MitAll,$AA92,$Z92+1+P$4-Settings!$C$7),"")</f>
        <v/>
      </c>
      <c r="Q92" s="24">
        <f>IFERROR(INDEX(MitAll,$AA92,$Z92+1+Q$4-Settings!$C$7),"")</f>
        <v/>
      </c>
      <c r="R92" s="24">
        <f>IFERROR(INDEX(MitAll,$AA92,$Z92+1+R$4-Settings!$C$7),"")</f>
        <v/>
      </c>
      <c r="S92" s="24">
        <f>IFERROR(INDEX(MitAll,$AA92,$Z92+1+S$4-Settings!$C$7),"")</f>
        <v/>
      </c>
      <c r="T92" s="24">
        <f>IFERROR(INDEX(MitAll,$AA92,$Z92+1+T$4-Settings!$C$7),"")</f>
        <v/>
      </c>
      <c r="U92" s="24">
        <f>IFERROR(INDEX(MitAll,$AA92,$Z92+1+U$4-Settings!$C$7),"")</f>
        <v/>
      </c>
      <c r="V92" s="24">
        <f>IFERROR(INDEX(MitAll,$AA92,$Z92+1+V$4-Settings!$C$7),"")</f>
        <v/>
      </c>
      <c r="W92" s="24">
        <f>IFERROR(INDEX(MitAll,$AA92,$Z92+1+W$4-Settings!$C$7),"")</f>
        <v/>
      </c>
      <c r="X92" s="24">
        <f>IFERROR(INDEX(MitAll,$AA92,$Z92+1+X$4-Settings!$C$7),"")</f>
        <v/>
      </c>
      <c r="Y92" s="24">
        <f>IFERROR(INDEX(MitAll,$AA92,$Z92+1+Y$4-Settings!$C$7),"")</f>
        <v/>
      </c>
      <c r="Z92" s="10">
        <f>MATCH($E92,MitScen,0)</f>
        <v/>
      </c>
      <c r="AA92" s="10">
        <f>MATCH($A92,INDEX(MitAll,0,$Z92),0)</f>
        <v/>
      </c>
    </row>
    <row r="93">
      <c r="A93" s="11">
        <f>LOWER(Settings!$C$4)&amp;"."&amp;$B93&amp;"."&amp;$E93</f>
        <v/>
      </c>
      <c r="B93" s="22" t="inlineStr">
        <is>
          <t>mit.co2.ets.all.all</t>
        </is>
      </c>
      <c r="C93" s="14">
        <f>IFERROR(INDEX(MitDesc,$AA93),"code not found")</f>
        <v/>
      </c>
      <c r="D93" s="14">
        <f>IFERROR(INDEX(MitUnit,$AA93),"")</f>
        <v/>
      </c>
      <c r="E93" s="10">
        <f>E92</f>
        <v/>
      </c>
      <c r="F93" s="43">
        <f>IFERROR(INDEX(MitAll,$AA93,$Z93+1+F$4-Settings!$C$7),"")</f>
        <v/>
      </c>
      <c r="G93" s="44">
        <f>IFERROR(INDEX(MitAll,$AA93,$Z93+1+G$4-Settings!$C$7),"")</f>
        <v/>
      </c>
      <c r="H93" s="44">
        <f>IFERROR(INDEX(MitAll,$AA93,$Z93+1+H$4-Settings!$C$7),"")</f>
        <v/>
      </c>
      <c r="I93" s="44">
        <f>IFERROR(INDEX(MitAll,$AA93,$Z93+1+I$4-Settings!$C$7),"")</f>
        <v/>
      </c>
      <c r="J93" s="44">
        <f>IFERROR(INDEX(MitAll,$AA93,$Z93+1+J$4-Settings!$C$7),"")</f>
        <v/>
      </c>
      <c r="K93" s="44">
        <f>IFERROR(INDEX(MitAll,$AA93,$Z93+1+K$4-Settings!$C$7),"")</f>
        <v/>
      </c>
      <c r="L93" s="44">
        <f>IFERROR(INDEX(MitAll,$AA93,$Z93+1+L$4-Settings!$C$7),"")</f>
        <v/>
      </c>
      <c r="M93" s="44">
        <f>IFERROR(INDEX(MitAll,$AA93,$Z93+1+M$4-Settings!$C$7),"")</f>
        <v/>
      </c>
      <c r="N93" s="44">
        <f>IFERROR(INDEX(MitAll,$AA93,$Z93+1+N$4-Settings!$C$7),"")</f>
        <v/>
      </c>
      <c r="O93" s="44">
        <f>IFERROR(INDEX(MitAll,$AA93,$Z93+1+O$4-Settings!$C$7),"")</f>
        <v/>
      </c>
      <c r="P93" s="44">
        <f>IFERROR(INDEX(MitAll,$AA93,$Z93+1+P$4-Settings!$C$7),"")</f>
        <v/>
      </c>
      <c r="Q93" s="44">
        <f>IFERROR(INDEX(MitAll,$AA93,$Z93+1+Q$4-Settings!$C$7),"")</f>
        <v/>
      </c>
      <c r="R93" s="44">
        <f>IFERROR(INDEX(MitAll,$AA93,$Z93+1+R$4-Settings!$C$7),"")</f>
        <v/>
      </c>
      <c r="S93" s="44">
        <f>IFERROR(INDEX(MitAll,$AA93,$Z93+1+S$4-Settings!$C$7),"")</f>
        <v/>
      </c>
      <c r="T93" s="44">
        <f>IFERROR(INDEX(MitAll,$AA93,$Z93+1+T$4-Settings!$C$7),"")</f>
        <v/>
      </c>
      <c r="U93" s="44">
        <f>IFERROR(INDEX(MitAll,$AA93,$Z93+1+U$4-Settings!$C$7),"")</f>
        <v/>
      </c>
      <c r="V93" s="44">
        <f>IFERROR(INDEX(MitAll,$AA93,$Z93+1+V$4-Settings!$C$7),"")</f>
        <v/>
      </c>
      <c r="W93" s="44">
        <f>IFERROR(INDEX(MitAll,$AA93,$Z93+1+W$4-Settings!$C$7),"")</f>
        <v/>
      </c>
      <c r="X93" s="44">
        <f>IFERROR(INDEX(MitAll,$AA93,$Z93+1+X$4-Settings!$C$7),"")</f>
        <v/>
      </c>
      <c r="Y93" s="44">
        <f>IFERROR(INDEX(MitAll,$AA93,$Z93+1+Y$4-Settings!$C$7),"")</f>
        <v/>
      </c>
      <c r="Z93" s="10">
        <f>MATCH($E93,MitScen,0)</f>
        <v/>
      </c>
      <c r="AA93" s="10">
        <f>MATCH($A93,INDEX(MitAll,0,$Z93),0)</f>
        <v/>
      </c>
    </row>
    <row r="94">
      <c r="A94" s="11">
        <f>LOWER(Settings!$C$4)&amp;"."&amp;$B94&amp;"."&amp;$E94</f>
        <v/>
      </c>
      <c r="B94" s="22" t="inlineStr">
        <is>
          <t>mit.co2.cap.all.all</t>
        </is>
      </c>
      <c r="C94" s="14">
        <f>IFERROR(INDEX(MitDesc,$AA94),"code not found")</f>
        <v/>
      </c>
      <c r="D94" s="14">
        <f>IFERROR(INDEX(MitUnit,$AA94),"")</f>
        <v/>
      </c>
      <c r="E94" s="10">
        <f>E93</f>
        <v/>
      </c>
      <c r="F94" s="43">
        <f>IFERROR(INDEX(MitAll,$AA94,$Z94+1+F$4-Settings!$C$7),"")</f>
        <v/>
      </c>
      <c r="G94" s="44">
        <f>IFERROR(INDEX(MitAll,$AA94,$Z94+1+G$4-Settings!$C$7),"")</f>
        <v/>
      </c>
      <c r="H94" s="44">
        <f>IFERROR(INDEX(MitAll,$AA94,$Z94+1+H$4-Settings!$C$7),"")</f>
        <v/>
      </c>
      <c r="I94" s="44">
        <f>IFERROR(INDEX(MitAll,$AA94,$Z94+1+I$4-Settings!$C$7),"")</f>
        <v/>
      </c>
      <c r="J94" s="44">
        <f>IFERROR(INDEX(MitAll,$AA94,$Z94+1+J$4-Settings!$C$7),"")</f>
        <v/>
      </c>
      <c r="K94" s="44">
        <f>IFERROR(INDEX(MitAll,$AA94,$Z94+1+K$4-Settings!$C$7),"")</f>
        <v/>
      </c>
      <c r="L94" s="44">
        <f>IFERROR(INDEX(MitAll,$AA94,$Z94+1+L$4-Settings!$C$7),"")</f>
        <v/>
      </c>
      <c r="M94" s="44">
        <f>IFERROR(INDEX(MitAll,$AA94,$Z94+1+M$4-Settings!$C$7),"")</f>
        <v/>
      </c>
      <c r="N94" s="44">
        <f>IFERROR(INDEX(MitAll,$AA94,$Z94+1+N$4-Settings!$C$7),"")</f>
        <v/>
      </c>
      <c r="O94" s="44">
        <f>IFERROR(INDEX(MitAll,$AA94,$Z94+1+O$4-Settings!$C$7),"")</f>
        <v/>
      </c>
      <c r="P94" s="44">
        <f>IFERROR(INDEX(MitAll,$AA94,$Z94+1+P$4-Settings!$C$7),"")</f>
        <v/>
      </c>
      <c r="Q94" s="44">
        <f>IFERROR(INDEX(MitAll,$AA94,$Z94+1+Q$4-Settings!$C$7),"")</f>
        <v/>
      </c>
      <c r="R94" s="44">
        <f>IFERROR(INDEX(MitAll,$AA94,$Z94+1+R$4-Settings!$C$7),"")</f>
        <v/>
      </c>
      <c r="S94" s="44">
        <f>IFERROR(INDEX(MitAll,$AA94,$Z94+1+S$4-Settings!$C$7),"")</f>
        <v/>
      </c>
      <c r="T94" s="44">
        <f>IFERROR(INDEX(MitAll,$AA94,$Z94+1+T$4-Settings!$C$7),"")</f>
        <v/>
      </c>
      <c r="U94" s="44">
        <f>IFERROR(INDEX(MitAll,$AA94,$Z94+1+U$4-Settings!$C$7),"")</f>
        <v/>
      </c>
      <c r="V94" s="44">
        <f>IFERROR(INDEX(MitAll,$AA94,$Z94+1+V$4-Settings!$C$7),"")</f>
        <v/>
      </c>
      <c r="W94" s="44">
        <f>IFERROR(INDEX(MitAll,$AA94,$Z94+1+W$4-Settings!$C$7),"")</f>
        <v/>
      </c>
      <c r="X94" s="44">
        <f>IFERROR(INDEX(MitAll,$AA94,$Z94+1+X$4-Settings!$C$7),"")</f>
        <v/>
      </c>
      <c r="Y94" s="44">
        <f>IFERROR(INDEX(MitAll,$AA94,$Z94+1+Y$4-Settings!$C$7),"")</f>
        <v/>
      </c>
      <c r="Z94" s="10">
        <f>MATCH($E94,MitScen,0)</f>
        <v/>
      </c>
      <c r="AA94" s="10">
        <f>MATCH($A94,INDEX(MitAll,0,$Z94),0)</f>
        <v/>
      </c>
    </row>
    <row r="95">
      <c r="A95" s="11">
        <f>LOWER(Settings!$C$4)&amp;"."&amp;$B95&amp;"."&amp;$E95</f>
        <v/>
      </c>
      <c r="B95" s="22" t="inlineStr">
        <is>
          <t>mit.rpb.all.gso.a</t>
        </is>
      </c>
      <c r="C95" s="14">
        <f>IFERROR(INDEX(MitDesc,$AA95),"code not found")</f>
        <v/>
      </c>
      <c r="D95" s="14">
        <f>IFERROR(INDEX(MitUnit,$AA95),"")</f>
        <v/>
      </c>
      <c r="E95" s="10">
        <f>E94</f>
        <v/>
      </c>
      <c r="F95" s="23">
        <f>IFERROR(INDEX(MitAll,$AA95,$Z95+1+F$4-Settings!$C$7),"")</f>
        <v/>
      </c>
      <c r="G95" s="24">
        <f>IFERROR(INDEX(MitAll,$AA95,$Z95+1+G$4-Settings!$C$7),"")</f>
        <v/>
      </c>
      <c r="H95" s="24">
        <f>IFERROR(INDEX(MitAll,$AA95,$Z95+1+H$4-Settings!$C$7),"")</f>
        <v/>
      </c>
      <c r="I95" s="24">
        <f>IFERROR(INDEX(MitAll,$AA95,$Z95+1+I$4-Settings!$C$7),"")</f>
        <v/>
      </c>
      <c r="J95" s="24">
        <f>IFERROR(INDEX(MitAll,$AA95,$Z95+1+J$4-Settings!$C$7),"")</f>
        <v/>
      </c>
      <c r="K95" s="24">
        <f>IFERROR(INDEX(MitAll,$AA95,$Z95+1+K$4-Settings!$C$7),"")</f>
        <v/>
      </c>
      <c r="L95" s="24">
        <f>IFERROR(INDEX(MitAll,$AA95,$Z95+1+L$4-Settings!$C$7),"")</f>
        <v/>
      </c>
      <c r="M95" s="24">
        <f>IFERROR(INDEX(MitAll,$AA95,$Z95+1+M$4-Settings!$C$7),"")</f>
        <v/>
      </c>
      <c r="N95" s="24">
        <f>IFERROR(INDEX(MitAll,$AA95,$Z95+1+N$4-Settings!$C$7),"")</f>
        <v/>
      </c>
      <c r="O95" s="24">
        <f>IFERROR(INDEX(MitAll,$AA95,$Z95+1+O$4-Settings!$C$7),"")</f>
        <v/>
      </c>
      <c r="P95" s="24">
        <f>IFERROR(INDEX(MitAll,$AA95,$Z95+1+P$4-Settings!$C$7),"")</f>
        <v/>
      </c>
      <c r="Q95" s="24">
        <f>IFERROR(INDEX(MitAll,$AA95,$Z95+1+Q$4-Settings!$C$7),"")</f>
        <v/>
      </c>
      <c r="R95" s="24">
        <f>IFERROR(INDEX(MitAll,$AA95,$Z95+1+R$4-Settings!$C$7),"")</f>
        <v/>
      </c>
      <c r="S95" s="24">
        <f>IFERROR(INDEX(MitAll,$AA95,$Z95+1+S$4-Settings!$C$7),"")</f>
        <v/>
      </c>
      <c r="T95" s="24">
        <f>IFERROR(INDEX(MitAll,$AA95,$Z95+1+T$4-Settings!$C$7),"")</f>
        <v/>
      </c>
      <c r="U95" s="24">
        <f>IFERROR(INDEX(MitAll,$AA95,$Z95+1+U$4-Settings!$C$7),"")</f>
        <v/>
      </c>
      <c r="V95" s="24">
        <f>IFERROR(INDEX(MitAll,$AA95,$Z95+1+V$4-Settings!$C$7),"")</f>
        <v/>
      </c>
      <c r="W95" s="24">
        <f>IFERROR(INDEX(MitAll,$AA95,$Z95+1+W$4-Settings!$C$7),"")</f>
        <v/>
      </c>
      <c r="X95" s="24">
        <f>IFERROR(INDEX(MitAll,$AA95,$Z95+1+X$4-Settings!$C$7),"")</f>
        <v/>
      </c>
      <c r="Y95" s="24">
        <f>IFERROR(INDEX(MitAll,$AA95,$Z95+1+Y$4-Settings!$C$7),"")</f>
        <v/>
      </c>
      <c r="Z95" s="10">
        <f>MATCH($E95,MitScen,0)</f>
        <v/>
      </c>
      <c r="AA95" s="10">
        <f>MATCH($A95,INDEX(MitAll,0,$Z95),0)</f>
        <v/>
      </c>
    </row>
    <row r="96">
      <c r="A96" s="11">
        <f>LOWER(Settings!$C$4)&amp;"."&amp;$B96&amp;"."&amp;$E96</f>
        <v/>
      </c>
      <c r="B96" s="22" t="inlineStr">
        <is>
          <t>mit.rpb.all.die.a</t>
        </is>
      </c>
      <c r="C96" s="14">
        <f>IFERROR(INDEX(MitDesc,$AA96),"code not found")</f>
        <v/>
      </c>
      <c r="D96" s="14">
        <f>IFERROR(INDEX(MitUnit,$AA96),"")</f>
        <v/>
      </c>
      <c r="E96" s="10">
        <f>E95</f>
        <v/>
      </c>
      <c r="F96" s="23">
        <f>IFERROR(INDEX(MitAll,$AA96,$Z96+1+F$4-Settings!$C$7),"")</f>
        <v/>
      </c>
      <c r="G96" s="24">
        <f>IFERROR(INDEX(MitAll,$AA96,$Z96+1+G$4-Settings!$C$7),"")</f>
        <v/>
      </c>
      <c r="H96" s="24">
        <f>IFERROR(INDEX(MitAll,$AA96,$Z96+1+H$4-Settings!$C$7),"")</f>
        <v/>
      </c>
      <c r="I96" s="24">
        <f>IFERROR(INDEX(MitAll,$AA96,$Z96+1+I$4-Settings!$C$7),"")</f>
        <v/>
      </c>
      <c r="J96" s="24">
        <f>IFERROR(INDEX(MitAll,$AA96,$Z96+1+J$4-Settings!$C$7),"")</f>
        <v/>
      </c>
      <c r="K96" s="24">
        <f>IFERROR(INDEX(MitAll,$AA96,$Z96+1+K$4-Settings!$C$7),"")</f>
        <v/>
      </c>
      <c r="L96" s="24">
        <f>IFERROR(INDEX(MitAll,$AA96,$Z96+1+L$4-Settings!$C$7),"")</f>
        <v/>
      </c>
      <c r="M96" s="24">
        <f>IFERROR(INDEX(MitAll,$AA96,$Z96+1+M$4-Settings!$C$7),"")</f>
        <v/>
      </c>
      <c r="N96" s="24">
        <f>IFERROR(INDEX(MitAll,$AA96,$Z96+1+N$4-Settings!$C$7),"")</f>
        <v/>
      </c>
      <c r="O96" s="24">
        <f>IFERROR(INDEX(MitAll,$AA96,$Z96+1+O$4-Settings!$C$7),"")</f>
        <v/>
      </c>
      <c r="P96" s="24">
        <f>IFERROR(INDEX(MitAll,$AA96,$Z96+1+P$4-Settings!$C$7),"")</f>
        <v/>
      </c>
      <c r="Q96" s="24">
        <f>IFERROR(INDEX(MitAll,$AA96,$Z96+1+Q$4-Settings!$C$7),"")</f>
        <v/>
      </c>
      <c r="R96" s="24">
        <f>IFERROR(INDEX(MitAll,$AA96,$Z96+1+R$4-Settings!$C$7),"")</f>
        <v/>
      </c>
      <c r="S96" s="24">
        <f>IFERROR(INDEX(MitAll,$AA96,$Z96+1+S$4-Settings!$C$7),"")</f>
        <v/>
      </c>
      <c r="T96" s="24">
        <f>IFERROR(INDEX(MitAll,$AA96,$Z96+1+T$4-Settings!$C$7),"")</f>
        <v/>
      </c>
      <c r="U96" s="24">
        <f>IFERROR(INDEX(MitAll,$AA96,$Z96+1+U$4-Settings!$C$7),"")</f>
        <v/>
      </c>
      <c r="V96" s="24">
        <f>IFERROR(INDEX(MitAll,$AA96,$Z96+1+V$4-Settings!$C$7),"")</f>
        <v/>
      </c>
      <c r="W96" s="24">
        <f>IFERROR(INDEX(MitAll,$AA96,$Z96+1+W$4-Settings!$C$7),"")</f>
        <v/>
      </c>
      <c r="X96" s="24">
        <f>IFERROR(INDEX(MitAll,$AA96,$Z96+1+X$4-Settings!$C$7),"")</f>
        <v/>
      </c>
      <c r="Y96" s="24">
        <f>IFERROR(INDEX(MitAll,$AA96,$Z96+1+Y$4-Settings!$C$7),"")</f>
        <v/>
      </c>
      <c r="Z96" s="10">
        <f>MATCH($E96,MitScen,0)</f>
        <v/>
      </c>
      <c r="AA96" s="10">
        <f>MATCH($A96,INDEX(MitAll,0,$Z96),0)</f>
        <v/>
      </c>
    </row>
    <row r="97">
      <c r="A97" s="11">
        <f>LOWER(Settings!$C$4)&amp;"."&amp;$B97&amp;"."&amp;$E97</f>
        <v/>
      </c>
      <c r="B97" s="22" t="inlineStr">
        <is>
          <t>mit.rpb.res.nga.a</t>
        </is>
      </c>
      <c r="C97" s="14">
        <f>IFERROR(INDEX(MitDesc,$AA97),"code not found")</f>
        <v/>
      </c>
      <c r="D97" s="14">
        <f>IFERROR(INDEX(MitUnit,$AA97),"")</f>
        <v/>
      </c>
      <c r="E97" s="10">
        <f>E96</f>
        <v/>
      </c>
      <c r="F97" s="23">
        <f>IFERROR(INDEX(MitAll,$AA97,$Z97+1+F$4-Settings!$C$7),"")</f>
        <v/>
      </c>
      <c r="G97" s="24">
        <f>IFERROR(INDEX(MitAll,$AA97,$Z97+1+G$4-Settings!$C$7),"")</f>
        <v/>
      </c>
      <c r="H97" s="24">
        <f>IFERROR(INDEX(MitAll,$AA97,$Z97+1+H$4-Settings!$C$7),"")</f>
        <v/>
      </c>
      <c r="I97" s="24">
        <f>IFERROR(INDEX(MitAll,$AA97,$Z97+1+I$4-Settings!$C$7),"")</f>
        <v/>
      </c>
      <c r="J97" s="24">
        <f>IFERROR(INDEX(MitAll,$AA97,$Z97+1+J$4-Settings!$C$7),"")</f>
        <v/>
      </c>
      <c r="K97" s="24">
        <f>IFERROR(INDEX(MitAll,$AA97,$Z97+1+K$4-Settings!$C$7),"")</f>
        <v/>
      </c>
      <c r="L97" s="24">
        <f>IFERROR(INDEX(MitAll,$AA97,$Z97+1+L$4-Settings!$C$7),"")</f>
        <v/>
      </c>
      <c r="M97" s="24">
        <f>IFERROR(INDEX(MitAll,$AA97,$Z97+1+M$4-Settings!$C$7),"")</f>
        <v/>
      </c>
      <c r="N97" s="24">
        <f>IFERROR(INDEX(MitAll,$AA97,$Z97+1+N$4-Settings!$C$7),"")</f>
        <v/>
      </c>
      <c r="O97" s="24">
        <f>IFERROR(INDEX(MitAll,$AA97,$Z97+1+O$4-Settings!$C$7),"")</f>
        <v/>
      </c>
      <c r="P97" s="24">
        <f>IFERROR(INDEX(MitAll,$AA97,$Z97+1+P$4-Settings!$C$7),"")</f>
        <v/>
      </c>
      <c r="Q97" s="24">
        <f>IFERROR(INDEX(MitAll,$AA97,$Z97+1+Q$4-Settings!$C$7),"")</f>
        <v/>
      </c>
      <c r="R97" s="24">
        <f>IFERROR(INDEX(MitAll,$AA97,$Z97+1+R$4-Settings!$C$7),"")</f>
        <v/>
      </c>
      <c r="S97" s="24">
        <f>IFERROR(INDEX(MitAll,$AA97,$Z97+1+S$4-Settings!$C$7),"")</f>
        <v/>
      </c>
      <c r="T97" s="24">
        <f>IFERROR(INDEX(MitAll,$AA97,$Z97+1+T$4-Settings!$C$7),"")</f>
        <v/>
      </c>
      <c r="U97" s="24">
        <f>IFERROR(INDEX(MitAll,$AA97,$Z97+1+U$4-Settings!$C$7),"")</f>
        <v/>
      </c>
      <c r="V97" s="24">
        <f>IFERROR(INDEX(MitAll,$AA97,$Z97+1+V$4-Settings!$C$7),"")</f>
        <v/>
      </c>
      <c r="W97" s="24">
        <f>IFERROR(INDEX(MitAll,$AA97,$Z97+1+W$4-Settings!$C$7),"")</f>
        <v/>
      </c>
      <c r="X97" s="24">
        <f>IFERROR(INDEX(MitAll,$AA97,$Z97+1+X$4-Settings!$C$7),"")</f>
        <v/>
      </c>
      <c r="Y97" s="24">
        <f>IFERROR(INDEX(MitAll,$AA97,$Z97+1+Y$4-Settings!$C$7),"")</f>
        <v/>
      </c>
      <c r="Z97" s="10">
        <f>MATCH($E97,MitScen,0)</f>
        <v/>
      </c>
      <c r="AA97" s="10">
        <f>MATCH($A97,INDEX(MitAll,0,$Z97),0)</f>
        <v/>
      </c>
    </row>
    <row r="98">
      <c r="A98" s="11">
        <f>LOWER(Settings!$C$4)&amp;"."&amp;$B98&amp;"."&amp;$E98</f>
        <v/>
      </c>
      <c r="B98" s="22" t="inlineStr">
        <is>
          <t>mit.atp.rod.gso.e</t>
        </is>
      </c>
      <c r="C98" s="14">
        <f>IFERROR(INDEX(MitDesc,$AA98),"code not found")</f>
        <v/>
      </c>
      <c r="D98" s="14">
        <f>IFERROR(INDEX(MitUnit,$AA98),"")</f>
        <v/>
      </c>
      <c r="E98" s="10">
        <f>E97</f>
        <v/>
      </c>
      <c r="F98" s="23">
        <f>IFERROR(INDEX(MitAll,$AA98,$Z98+1+F$4-Settings!$C$7),"")</f>
        <v/>
      </c>
      <c r="G98" s="24">
        <f>IFERROR(INDEX(MitAll,$AA98,$Z98+1+G$4-Settings!$C$7),"")</f>
        <v/>
      </c>
      <c r="H98" s="24">
        <f>IFERROR(INDEX(MitAll,$AA98,$Z98+1+H$4-Settings!$C$7),"")</f>
        <v/>
      </c>
      <c r="I98" s="24">
        <f>IFERROR(INDEX(MitAll,$AA98,$Z98+1+I$4-Settings!$C$7),"")</f>
        <v/>
      </c>
      <c r="J98" s="24">
        <f>IFERROR(INDEX(MitAll,$AA98,$Z98+1+J$4-Settings!$C$7),"")</f>
        <v/>
      </c>
      <c r="K98" s="24">
        <f>IFERROR(INDEX(MitAll,$AA98,$Z98+1+K$4-Settings!$C$7),"")</f>
        <v/>
      </c>
      <c r="L98" s="24">
        <f>IFERROR(INDEX(MitAll,$AA98,$Z98+1+L$4-Settings!$C$7),"")</f>
        <v/>
      </c>
      <c r="M98" s="24">
        <f>IFERROR(INDEX(MitAll,$AA98,$Z98+1+M$4-Settings!$C$7),"")</f>
        <v/>
      </c>
      <c r="N98" s="24">
        <f>IFERROR(INDEX(MitAll,$AA98,$Z98+1+N$4-Settings!$C$7),"")</f>
        <v/>
      </c>
      <c r="O98" s="24">
        <f>IFERROR(INDEX(MitAll,$AA98,$Z98+1+O$4-Settings!$C$7),"")</f>
        <v/>
      </c>
      <c r="P98" s="24">
        <f>IFERROR(INDEX(MitAll,$AA98,$Z98+1+P$4-Settings!$C$7),"")</f>
        <v/>
      </c>
      <c r="Q98" s="24">
        <f>IFERROR(INDEX(MitAll,$AA98,$Z98+1+Q$4-Settings!$C$7),"")</f>
        <v/>
      </c>
      <c r="R98" s="24">
        <f>IFERROR(INDEX(MitAll,$AA98,$Z98+1+R$4-Settings!$C$7),"")</f>
        <v/>
      </c>
      <c r="S98" s="24">
        <f>IFERROR(INDEX(MitAll,$AA98,$Z98+1+S$4-Settings!$C$7),"")</f>
        <v/>
      </c>
      <c r="T98" s="24">
        <f>IFERROR(INDEX(MitAll,$AA98,$Z98+1+T$4-Settings!$C$7),"")</f>
        <v/>
      </c>
      <c r="U98" s="24">
        <f>IFERROR(INDEX(MitAll,$AA98,$Z98+1+U$4-Settings!$C$7),"")</f>
        <v/>
      </c>
      <c r="V98" s="24">
        <f>IFERROR(INDEX(MitAll,$AA98,$Z98+1+V$4-Settings!$C$7),"")</f>
        <v/>
      </c>
      <c r="W98" s="24">
        <f>IFERROR(INDEX(MitAll,$AA98,$Z98+1+W$4-Settings!$C$7),"")</f>
        <v/>
      </c>
      <c r="X98" s="24">
        <f>IFERROR(INDEX(MitAll,$AA98,$Z98+1+X$4-Settings!$C$7),"")</f>
        <v/>
      </c>
      <c r="Y98" s="24">
        <f>IFERROR(INDEX(MitAll,$AA98,$Z98+1+Y$4-Settings!$C$7),"")</f>
        <v/>
      </c>
      <c r="Z98" s="10">
        <f>MATCH($E98,MitScen,0)</f>
        <v/>
      </c>
      <c r="AA98" s="10">
        <f>MATCH($A98,INDEX(MitAll,0,$Z98),0)</f>
        <v/>
      </c>
    </row>
    <row r="99">
      <c r="A99" s="11">
        <f>LOWER(Settings!$C$4)&amp;"."&amp;$B99&amp;"."&amp;$E99</f>
        <v/>
      </c>
      <c r="B99" s="22" t="inlineStr">
        <is>
          <t>mit.rp.res.ecy</t>
        </is>
      </c>
      <c r="C99" s="14">
        <f>IFERROR(INDEX(MitDesc,$AA99),"code not found")</f>
        <v/>
      </c>
      <c r="D99" s="14">
        <f>IFERROR(INDEX(MitUnit,$AA99),"")</f>
        <v/>
      </c>
      <c r="E99" s="10">
        <f>E98</f>
        <v/>
      </c>
      <c r="F99" s="15">
        <f>IFERROR(INDEX(MitAll,$AA99,$Z99+1+F$4-Settings!$C$7),"")</f>
        <v/>
      </c>
      <c r="G99" s="16">
        <f>IFERROR(INDEX(MitAll,$AA99,$Z99+1+G$4-Settings!$C$7),"")</f>
        <v/>
      </c>
      <c r="H99" s="16">
        <f>IFERROR(INDEX(MitAll,$AA99,$Z99+1+H$4-Settings!$C$7),"")</f>
        <v/>
      </c>
      <c r="I99" s="16">
        <f>IFERROR(INDEX(MitAll,$AA99,$Z99+1+I$4-Settings!$C$7),"")</f>
        <v/>
      </c>
      <c r="J99" s="16">
        <f>IFERROR(INDEX(MitAll,$AA99,$Z99+1+J$4-Settings!$C$7),"")</f>
        <v/>
      </c>
      <c r="K99" s="16">
        <f>IFERROR(INDEX(MitAll,$AA99,$Z99+1+K$4-Settings!$C$7),"")</f>
        <v/>
      </c>
      <c r="L99" s="16">
        <f>IFERROR(INDEX(MitAll,$AA99,$Z99+1+L$4-Settings!$C$7),"")</f>
        <v/>
      </c>
      <c r="M99" s="16">
        <f>IFERROR(INDEX(MitAll,$AA99,$Z99+1+M$4-Settings!$C$7),"")</f>
        <v/>
      </c>
      <c r="N99" s="16">
        <f>IFERROR(INDEX(MitAll,$AA99,$Z99+1+N$4-Settings!$C$7),"")</f>
        <v/>
      </c>
      <c r="O99" s="16">
        <f>IFERROR(INDEX(MitAll,$AA99,$Z99+1+O$4-Settings!$C$7),"")</f>
        <v/>
      </c>
      <c r="P99" s="16">
        <f>IFERROR(INDEX(MitAll,$AA99,$Z99+1+P$4-Settings!$C$7),"")</f>
        <v/>
      </c>
      <c r="Q99" s="16">
        <f>IFERROR(INDEX(MitAll,$AA99,$Z99+1+Q$4-Settings!$C$7),"")</f>
        <v/>
      </c>
      <c r="R99" s="16">
        <f>IFERROR(INDEX(MitAll,$AA99,$Z99+1+R$4-Settings!$C$7),"")</f>
        <v/>
      </c>
      <c r="S99" s="16">
        <f>IFERROR(INDEX(MitAll,$AA99,$Z99+1+S$4-Settings!$C$7),"")</f>
        <v/>
      </c>
      <c r="T99" s="16">
        <f>IFERROR(INDEX(MitAll,$AA99,$Z99+1+T$4-Settings!$C$7),"")</f>
        <v/>
      </c>
      <c r="U99" s="16">
        <f>IFERROR(INDEX(MitAll,$AA99,$Z99+1+U$4-Settings!$C$7),"")</f>
        <v/>
      </c>
      <c r="V99" s="16">
        <f>IFERROR(INDEX(MitAll,$AA99,$Z99+1+V$4-Settings!$C$7),"")</f>
        <v/>
      </c>
      <c r="W99" s="16">
        <f>IFERROR(INDEX(MitAll,$AA99,$Z99+1+W$4-Settings!$C$7),"")</f>
        <v/>
      </c>
      <c r="X99" s="16">
        <f>IFERROR(INDEX(MitAll,$AA99,$Z99+1+X$4-Settings!$C$7),"")</f>
        <v/>
      </c>
      <c r="Y99" s="16">
        <f>IFERROR(INDEX(MitAll,$AA99,$Z99+1+Y$4-Settings!$C$7),"")</f>
        <v/>
      </c>
      <c r="Z99" s="10">
        <f>MATCH($E99,MitScen,0)</f>
        <v/>
      </c>
      <c r="AA99" s="10">
        <f>MATCH($A99,INDEX(MitAll,0,$Z99),0)</f>
        <v/>
      </c>
    </row>
    <row r="100">
      <c r="A100" s="11">
        <f>LOWER(Settings!$C$4)&amp;"."&amp;$B100&amp;"."&amp;$E100</f>
        <v/>
      </c>
      <c r="B100" s="22" t="inlineStr">
        <is>
          <t>mit.rp.ind.ecy</t>
        </is>
      </c>
      <c r="C100" s="14">
        <f>IFERROR(INDEX(MitDesc,$AA100),"code not found")</f>
        <v/>
      </c>
      <c r="D100" s="14">
        <f>IFERROR(INDEX(MitUnit,$AA100),"")</f>
        <v/>
      </c>
      <c r="E100" s="10">
        <f>E99</f>
        <v/>
      </c>
      <c r="F100" s="15">
        <f>IFERROR(INDEX(MitAll,$AA100,$Z100+1+F$4-Settings!$C$7),"")</f>
        <v/>
      </c>
      <c r="G100" s="16">
        <f>IFERROR(INDEX(MitAll,$AA100,$Z100+1+G$4-Settings!$C$7),"")</f>
        <v/>
      </c>
      <c r="H100" s="16">
        <f>IFERROR(INDEX(MitAll,$AA100,$Z100+1+H$4-Settings!$C$7),"")</f>
        <v/>
      </c>
      <c r="I100" s="16">
        <f>IFERROR(INDEX(MitAll,$AA100,$Z100+1+I$4-Settings!$C$7),"")</f>
        <v/>
      </c>
      <c r="J100" s="16">
        <f>IFERROR(INDEX(MitAll,$AA100,$Z100+1+J$4-Settings!$C$7),"")</f>
        <v/>
      </c>
      <c r="K100" s="16">
        <f>IFERROR(INDEX(MitAll,$AA100,$Z100+1+K$4-Settings!$C$7),"")</f>
        <v/>
      </c>
      <c r="L100" s="16">
        <f>IFERROR(INDEX(MitAll,$AA100,$Z100+1+L$4-Settings!$C$7),"")</f>
        <v/>
      </c>
      <c r="M100" s="16">
        <f>IFERROR(INDEX(MitAll,$AA100,$Z100+1+M$4-Settings!$C$7),"")</f>
        <v/>
      </c>
      <c r="N100" s="16">
        <f>IFERROR(INDEX(MitAll,$AA100,$Z100+1+N$4-Settings!$C$7),"")</f>
        <v/>
      </c>
      <c r="O100" s="16">
        <f>IFERROR(INDEX(MitAll,$AA100,$Z100+1+O$4-Settings!$C$7),"")</f>
        <v/>
      </c>
      <c r="P100" s="16">
        <f>IFERROR(INDEX(MitAll,$AA100,$Z100+1+P$4-Settings!$C$7),"")</f>
        <v/>
      </c>
      <c r="Q100" s="16">
        <f>IFERROR(INDEX(MitAll,$AA100,$Z100+1+Q$4-Settings!$C$7),"")</f>
        <v/>
      </c>
      <c r="R100" s="16">
        <f>IFERROR(INDEX(MitAll,$AA100,$Z100+1+R$4-Settings!$C$7),"")</f>
        <v/>
      </c>
      <c r="S100" s="16">
        <f>IFERROR(INDEX(MitAll,$AA100,$Z100+1+S$4-Settings!$C$7),"")</f>
        <v/>
      </c>
      <c r="T100" s="16">
        <f>IFERROR(INDEX(MitAll,$AA100,$Z100+1+T$4-Settings!$C$7),"")</f>
        <v/>
      </c>
      <c r="U100" s="16">
        <f>IFERROR(INDEX(MitAll,$AA100,$Z100+1+U$4-Settings!$C$7),"")</f>
        <v/>
      </c>
      <c r="V100" s="16">
        <f>IFERROR(INDEX(MitAll,$AA100,$Z100+1+V$4-Settings!$C$7),"")</f>
        <v/>
      </c>
      <c r="W100" s="16">
        <f>IFERROR(INDEX(MitAll,$AA100,$Z100+1+W$4-Settings!$C$7),"")</f>
        <v/>
      </c>
      <c r="X100" s="16">
        <f>IFERROR(INDEX(MitAll,$AA100,$Z100+1+X$4-Settings!$C$7),"")</f>
        <v/>
      </c>
      <c r="Y100" s="16">
        <f>IFERROR(INDEX(MitAll,$AA100,$Z100+1+Y$4-Settings!$C$7),"")</f>
        <v/>
      </c>
      <c r="Z100" s="10">
        <f>MATCH($E100,MitScen,0)</f>
        <v/>
      </c>
      <c r="AA100" s="10">
        <f>MATCH($A100,INDEX(MitAll,0,$Z100),0)</f>
        <v/>
      </c>
    </row>
    <row r="101">
      <c r="A101" s="11">
        <f>LOWER(Settings!$C$4)&amp;"."&amp;$B101&amp;"."&amp;$E101</f>
        <v/>
      </c>
      <c r="B101" s="22" t="inlineStr">
        <is>
          <t>mit.gncav</t>
        </is>
      </c>
      <c r="C101" s="14">
        <f>IFERROR(INDEX(MitDesc,$AA101),"code not found")</f>
        <v/>
      </c>
      <c r="D101" s="14">
        <f>IFERROR(INDEX(MitUnit,$AA101),"")</f>
        <v/>
      </c>
      <c r="E101" s="10">
        <f>E100</f>
        <v/>
      </c>
      <c r="F101" s="15">
        <f>IFERROR(INDEX(MitAll,$AA101,$Z101+1+F$4-Settings!$C$7),"")</f>
        <v/>
      </c>
      <c r="G101" s="16">
        <f>IFERROR(INDEX(MitAll,$AA101,$Z101+1+G$4-Settings!$C$7),"")</f>
        <v/>
      </c>
      <c r="H101" s="16">
        <f>IFERROR(INDEX(MitAll,$AA101,$Z101+1+H$4-Settings!$C$7),"")</f>
        <v/>
      </c>
      <c r="I101" s="16">
        <f>IFERROR(INDEX(MitAll,$AA101,$Z101+1+I$4-Settings!$C$7),"")</f>
        <v/>
      </c>
      <c r="J101" s="16">
        <f>IFERROR(INDEX(MitAll,$AA101,$Z101+1+J$4-Settings!$C$7),"")</f>
        <v/>
      </c>
      <c r="K101" s="16">
        <f>IFERROR(INDEX(MitAll,$AA101,$Z101+1+K$4-Settings!$C$7),"")</f>
        <v/>
      </c>
      <c r="L101" s="16">
        <f>IFERROR(INDEX(MitAll,$AA101,$Z101+1+L$4-Settings!$C$7),"")</f>
        <v/>
      </c>
      <c r="M101" s="16">
        <f>IFERROR(INDEX(MitAll,$AA101,$Z101+1+M$4-Settings!$C$7),"")</f>
        <v/>
      </c>
      <c r="N101" s="16">
        <f>IFERROR(INDEX(MitAll,$AA101,$Z101+1+N$4-Settings!$C$7),"")</f>
        <v/>
      </c>
      <c r="O101" s="16">
        <f>IFERROR(INDEX(MitAll,$AA101,$Z101+1+O$4-Settings!$C$7),"")</f>
        <v/>
      </c>
      <c r="P101" s="16">
        <f>IFERROR(INDEX(MitAll,$AA101,$Z101+1+P$4-Settings!$C$7),"")</f>
        <v/>
      </c>
      <c r="Q101" s="16">
        <f>IFERROR(INDEX(MitAll,$AA101,$Z101+1+Q$4-Settings!$C$7),"")</f>
        <v/>
      </c>
      <c r="R101" s="16">
        <f>IFERROR(INDEX(MitAll,$AA101,$Z101+1+R$4-Settings!$C$7),"")</f>
        <v/>
      </c>
      <c r="S101" s="16">
        <f>IFERROR(INDEX(MitAll,$AA101,$Z101+1+S$4-Settings!$C$7),"")</f>
        <v/>
      </c>
      <c r="T101" s="16">
        <f>IFERROR(INDEX(MitAll,$AA101,$Z101+1+T$4-Settings!$C$7),"")</f>
        <v/>
      </c>
      <c r="U101" s="16">
        <f>IFERROR(INDEX(MitAll,$AA101,$Z101+1+U$4-Settings!$C$7),"")</f>
        <v/>
      </c>
      <c r="V101" s="16">
        <f>IFERROR(INDEX(MitAll,$AA101,$Z101+1+V$4-Settings!$C$7),"")</f>
        <v/>
      </c>
      <c r="W101" s="16">
        <f>IFERROR(INDEX(MitAll,$AA101,$Z101+1+W$4-Settings!$C$7),"")</f>
        <v/>
      </c>
      <c r="X101" s="16">
        <f>IFERROR(INDEX(MitAll,$AA101,$Z101+1+X$4-Settings!$C$7),"")</f>
        <v/>
      </c>
      <c r="Y101" s="16">
        <f>IFERROR(INDEX(MitAll,$AA101,$Z101+1+Y$4-Settings!$C$7),"")</f>
        <v/>
      </c>
      <c r="Z101" s="10">
        <f>MATCH($E101,MitScen,0)</f>
        <v/>
      </c>
      <c r="AA101" s="10">
        <f>MATCH($A101,INDEX(MitAll,0,$Z101),0)</f>
        <v/>
      </c>
    </row>
    <row r="102">
      <c r="A102" s="11">
        <f>LOWER(Settings!$C$4)&amp;"."&amp;$B102&amp;"."&amp;$E102</f>
        <v/>
      </c>
      <c r="B102" s="22" t="inlineStr">
        <is>
          <t>mit.co2.pow.all.e</t>
        </is>
      </c>
      <c r="C102" s="14">
        <f>IFERROR(INDEX(MitDesc,$AA102),"code not found")</f>
        <v/>
      </c>
      <c r="D102" s="14">
        <f>IFERROR(INDEX(MitUnit,$AA102),"")</f>
        <v/>
      </c>
      <c r="E102" s="10">
        <f>E101</f>
        <v/>
      </c>
      <c r="F102" s="43">
        <f>IFERROR(INDEX(MitAll,$AA102,$Z102+1+F$4-Settings!$C$7),"")</f>
        <v/>
      </c>
      <c r="G102" s="44">
        <f>IFERROR(INDEX(MitAll,$AA102,$Z102+1+G$4-Settings!$C$7),"")</f>
        <v/>
      </c>
      <c r="H102" s="44">
        <f>IFERROR(INDEX(MitAll,$AA102,$Z102+1+H$4-Settings!$C$7),"")</f>
        <v/>
      </c>
      <c r="I102" s="44">
        <f>IFERROR(INDEX(MitAll,$AA102,$Z102+1+I$4-Settings!$C$7),"")</f>
        <v/>
      </c>
      <c r="J102" s="44">
        <f>IFERROR(INDEX(MitAll,$AA102,$Z102+1+J$4-Settings!$C$7),"")</f>
        <v/>
      </c>
      <c r="K102" s="44">
        <f>IFERROR(INDEX(MitAll,$AA102,$Z102+1+K$4-Settings!$C$7),"")</f>
        <v/>
      </c>
      <c r="L102" s="44">
        <f>IFERROR(INDEX(MitAll,$AA102,$Z102+1+L$4-Settings!$C$7),"")</f>
        <v/>
      </c>
      <c r="M102" s="44">
        <f>IFERROR(INDEX(MitAll,$AA102,$Z102+1+M$4-Settings!$C$7),"")</f>
        <v/>
      </c>
      <c r="N102" s="44">
        <f>IFERROR(INDEX(MitAll,$AA102,$Z102+1+N$4-Settings!$C$7),"")</f>
        <v/>
      </c>
      <c r="O102" s="44">
        <f>IFERROR(INDEX(MitAll,$AA102,$Z102+1+O$4-Settings!$C$7),"")</f>
        <v/>
      </c>
      <c r="P102" s="44">
        <f>IFERROR(INDEX(MitAll,$AA102,$Z102+1+P$4-Settings!$C$7),"")</f>
        <v/>
      </c>
      <c r="Q102" s="44">
        <f>IFERROR(INDEX(MitAll,$AA102,$Z102+1+Q$4-Settings!$C$7),"")</f>
        <v/>
      </c>
      <c r="R102" s="44">
        <f>IFERROR(INDEX(MitAll,$AA102,$Z102+1+R$4-Settings!$C$7),"")</f>
        <v/>
      </c>
      <c r="S102" s="44">
        <f>IFERROR(INDEX(MitAll,$AA102,$Z102+1+S$4-Settings!$C$7),"")</f>
        <v/>
      </c>
      <c r="T102" s="44">
        <f>IFERROR(INDEX(MitAll,$AA102,$Z102+1+T$4-Settings!$C$7),"")</f>
        <v/>
      </c>
      <c r="U102" s="44">
        <f>IFERROR(INDEX(MitAll,$AA102,$Z102+1+U$4-Settings!$C$7),"")</f>
        <v/>
      </c>
      <c r="V102" s="44">
        <f>IFERROR(INDEX(MitAll,$AA102,$Z102+1+V$4-Settings!$C$7),"")</f>
        <v/>
      </c>
      <c r="W102" s="44">
        <f>IFERROR(INDEX(MitAll,$AA102,$Z102+1+W$4-Settings!$C$7),"")</f>
        <v/>
      </c>
      <c r="X102" s="44">
        <f>IFERROR(INDEX(MitAll,$AA102,$Z102+1+X$4-Settings!$C$7),"")</f>
        <v/>
      </c>
      <c r="Y102" s="44">
        <f>IFERROR(INDEX(MitAll,$AA102,$Z102+1+Y$4-Settings!$C$7),"")</f>
        <v/>
      </c>
      <c r="Z102" s="10">
        <f>MATCH($E102,MitScen,0)</f>
        <v/>
      </c>
      <c r="AA102" s="10">
        <f>MATCH($A102,INDEX(MitAll,0,$Z102),0)</f>
        <v/>
      </c>
    </row>
    <row r="103">
      <c r="A103" s="11">
        <f>LOWER(Settings!$C$4)&amp;"."&amp;$B103&amp;"."&amp;$E103</f>
        <v/>
      </c>
      <c r="B103" s="22" t="inlineStr">
        <is>
          <t>mit.gtot</t>
        </is>
      </c>
      <c r="C103" s="14">
        <f>IFERROR(INDEX(MitDesc,$AA103),"code not found")</f>
        <v/>
      </c>
      <c r="D103" s="14">
        <f>IFERROR(INDEX(MitUnit,$AA103),"")</f>
        <v/>
      </c>
      <c r="E103" s="10">
        <f>E102</f>
        <v/>
      </c>
      <c r="F103" s="46">
        <f>IFERROR(INDEX(MitAll,$AA103,$Z103+1+F$4-Settings!$C$7),"")</f>
        <v/>
      </c>
      <c r="G103" s="47">
        <f>IFERROR(INDEX(MitAll,$AA103,$Z103+1+G$4-Settings!$C$7),"")</f>
        <v/>
      </c>
      <c r="H103" s="47">
        <f>IFERROR(INDEX(MitAll,$AA103,$Z103+1+H$4-Settings!$C$7),"")</f>
        <v/>
      </c>
      <c r="I103" s="47">
        <f>IFERROR(INDEX(MitAll,$AA103,$Z103+1+I$4-Settings!$C$7),"")</f>
        <v/>
      </c>
      <c r="J103" s="47">
        <f>IFERROR(INDEX(MitAll,$AA103,$Z103+1+J$4-Settings!$C$7),"")</f>
        <v/>
      </c>
      <c r="K103" s="47">
        <f>IFERROR(INDEX(MitAll,$AA103,$Z103+1+K$4-Settings!$C$7),"")</f>
        <v/>
      </c>
      <c r="L103" s="47">
        <f>IFERROR(INDEX(MitAll,$AA103,$Z103+1+L$4-Settings!$C$7),"")</f>
        <v/>
      </c>
      <c r="M103" s="47">
        <f>IFERROR(INDEX(MitAll,$AA103,$Z103+1+M$4-Settings!$C$7),"")</f>
        <v/>
      </c>
      <c r="N103" s="47">
        <f>IFERROR(INDEX(MitAll,$AA103,$Z103+1+N$4-Settings!$C$7),"")</f>
        <v/>
      </c>
      <c r="O103" s="47">
        <f>IFERROR(INDEX(MitAll,$AA103,$Z103+1+O$4-Settings!$C$7),"")</f>
        <v/>
      </c>
      <c r="P103" s="47">
        <f>IFERROR(INDEX(MitAll,$AA103,$Z103+1+P$4-Settings!$C$7),"")</f>
        <v/>
      </c>
      <c r="Q103" s="47">
        <f>IFERROR(INDEX(MitAll,$AA103,$Z103+1+Q$4-Settings!$C$7),"")</f>
        <v/>
      </c>
      <c r="R103" s="47">
        <f>IFERROR(INDEX(MitAll,$AA103,$Z103+1+R$4-Settings!$C$7),"")</f>
        <v/>
      </c>
      <c r="S103" s="47">
        <f>IFERROR(INDEX(MitAll,$AA103,$Z103+1+S$4-Settings!$C$7),"")</f>
        <v/>
      </c>
      <c r="T103" s="47">
        <f>IFERROR(INDEX(MitAll,$AA103,$Z103+1+T$4-Settings!$C$7),"")</f>
        <v/>
      </c>
      <c r="U103" s="47">
        <f>IFERROR(INDEX(MitAll,$AA103,$Z103+1+U$4-Settings!$C$7),"")</f>
        <v/>
      </c>
      <c r="V103" s="47">
        <f>IFERROR(INDEX(MitAll,$AA103,$Z103+1+V$4-Settings!$C$7),"")</f>
        <v/>
      </c>
      <c r="W103" s="47">
        <f>IFERROR(INDEX(MitAll,$AA103,$Z103+1+W$4-Settings!$C$7),"")</f>
        <v/>
      </c>
      <c r="X103" s="47">
        <f>IFERROR(INDEX(MitAll,$AA103,$Z103+1+X$4-Settings!$C$7),"")</f>
        <v/>
      </c>
      <c r="Y103" s="47">
        <f>IFERROR(INDEX(MitAll,$AA103,$Z103+1+Y$4-Settings!$C$7),"")</f>
        <v/>
      </c>
      <c r="Z103" s="10">
        <f>MATCH($E103,MitScen,0)</f>
        <v/>
      </c>
      <c r="AA103" s="10">
        <f>MATCH($A103,INDEX(MitAll,0,$Z103),0)</f>
        <v/>
      </c>
    </row>
    <row r="104">
      <c r="A104" s="11">
        <f>LOWER(Settings!$C$4)&amp;"."&amp;$B104&amp;"."&amp;$E104</f>
        <v/>
      </c>
      <c r="B104" s="22" t="inlineStr">
        <is>
          <t>mit.vre</t>
        </is>
      </c>
      <c r="C104" s="14">
        <f>IFERROR(INDEX(MitDesc,$AA104),"code not found")</f>
        <v/>
      </c>
      <c r="D104" s="14">
        <f>IFERROR(INDEX(MitUnit,$AA104),"")</f>
        <v/>
      </c>
      <c r="E104" s="10">
        <f>E103</f>
        <v/>
      </c>
      <c r="F104" s="12">
        <f>IFERROR(INDEX(MitAll,$AA104,$Z104+1+F$4-Settings!$C$7),"")</f>
        <v/>
      </c>
      <c r="G104" s="13">
        <f>IFERROR(INDEX(MitAll,$AA104,$Z104+1+G$4-Settings!$C$7),"")</f>
        <v/>
      </c>
      <c r="H104" s="13">
        <f>IFERROR(INDEX(MitAll,$AA104,$Z104+1+H$4-Settings!$C$7),"")</f>
        <v/>
      </c>
      <c r="I104" s="13">
        <f>IFERROR(INDEX(MitAll,$AA104,$Z104+1+I$4-Settings!$C$7),"")</f>
        <v/>
      </c>
      <c r="J104" s="13">
        <f>IFERROR(INDEX(MitAll,$AA104,$Z104+1+J$4-Settings!$C$7),"")</f>
        <v/>
      </c>
      <c r="K104" s="13">
        <f>IFERROR(INDEX(MitAll,$AA104,$Z104+1+K$4-Settings!$C$7),"")</f>
        <v/>
      </c>
      <c r="L104" s="13">
        <f>IFERROR(INDEX(MitAll,$AA104,$Z104+1+L$4-Settings!$C$7),"")</f>
        <v/>
      </c>
      <c r="M104" s="13">
        <f>IFERROR(INDEX(MitAll,$AA104,$Z104+1+M$4-Settings!$C$7),"")</f>
        <v/>
      </c>
      <c r="N104" s="13">
        <f>IFERROR(INDEX(MitAll,$AA104,$Z104+1+N$4-Settings!$C$7),"")</f>
        <v/>
      </c>
      <c r="O104" s="13">
        <f>IFERROR(INDEX(MitAll,$AA104,$Z104+1+O$4-Settings!$C$7),"")</f>
        <v/>
      </c>
      <c r="P104" s="13">
        <f>IFERROR(INDEX(MitAll,$AA104,$Z104+1+P$4-Settings!$C$7),"")</f>
        <v/>
      </c>
      <c r="Q104" s="13">
        <f>IFERROR(INDEX(MitAll,$AA104,$Z104+1+Q$4-Settings!$C$7),"")</f>
        <v/>
      </c>
      <c r="R104" s="13">
        <f>IFERROR(INDEX(MitAll,$AA104,$Z104+1+R$4-Settings!$C$7),"")</f>
        <v/>
      </c>
      <c r="S104" s="13">
        <f>IFERROR(INDEX(MitAll,$AA104,$Z104+1+S$4-Settings!$C$7),"")</f>
        <v/>
      </c>
      <c r="T104" s="13">
        <f>IFERROR(INDEX(MitAll,$AA104,$Z104+1+T$4-Settings!$C$7),"")</f>
        <v/>
      </c>
      <c r="U104" s="13">
        <f>IFERROR(INDEX(MitAll,$AA104,$Z104+1+U$4-Settings!$C$7),"")</f>
        <v/>
      </c>
      <c r="V104" s="13">
        <f>IFERROR(INDEX(MitAll,$AA104,$Z104+1+V$4-Settings!$C$7),"")</f>
        <v/>
      </c>
      <c r="W104" s="13">
        <f>IFERROR(INDEX(MitAll,$AA104,$Z104+1+W$4-Settings!$C$7),"")</f>
        <v/>
      </c>
      <c r="X104" s="13">
        <f>IFERROR(INDEX(MitAll,$AA104,$Z104+1+X$4-Settings!$C$7),"")</f>
        <v/>
      </c>
      <c r="Y104" s="13">
        <f>IFERROR(INDEX(MitAll,$AA104,$Z104+1+Y$4-Settings!$C$7),"")</f>
        <v/>
      </c>
      <c r="Z104" s="10">
        <f>MATCH($E104,MitScen,0)</f>
        <v/>
      </c>
      <c r="AA104" s="10">
        <f>MATCH($A104,INDEX(MitAll,0,$Z104),0)</f>
        <v/>
      </c>
    </row>
    <row r="105">
      <c r="A105" s="11">
        <f>LOWER(Settings!$C$4)&amp;"."&amp;$B105&amp;"."&amp;$E105</f>
        <v/>
      </c>
      <c r="B105" s="22" t="inlineStr">
        <is>
          <t>mit.shr.pow.nga</t>
        </is>
      </c>
      <c r="C105" s="14">
        <f>IFERROR(INDEX(MitDesc,$AA105),"code not found")</f>
        <v/>
      </c>
      <c r="D105" s="14">
        <f>IFERROR(INDEX(MitUnit,$AA105),"")</f>
        <v/>
      </c>
      <c r="E105" s="10">
        <f>E104</f>
        <v/>
      </c>
      <c r="F105" s="12">
        <f>IFERROR(INDEX(MitAll,$AA105,$Z105+1+F$4-Settings!$C$7),"")</f>
        <v/>
      </c>
      <c r="G105" s="13">
        <f>IFERROR(INDEX(MitAll,$AA105,$Z105+1+G$4-Settings!$C$7),"")</f>
        <v/>
      </c>
      <c r="H105" s="13">
        <f>IFERROR(INDEX(MitAll,$AA105,$Z105+1+H$4-Settings!$C$7),"")</f>
        <v/>
      </c>
      <c r="I105" s="13">
        <f>IFERROR(INDEX(MitAll,$AA105,$Z105+1+I$4-Settings!$C$7),"")</f>
        <v/>
      </c>
      <c r="J105" s="13">
        <f>IFERROR(INDEX(MitAll,$AA105,$Z105+1+J$4-Settings!$C$7),"")</f>
        <v/>
      </c>
      <c r="K105" s="13">
        <f>IFERROR(INDEX(MitAll,$AA105,$Z105+1+K$4-Settings!$C$7),"")</f>
        <v/>
      </c>
      <c r="L105" s="13">
        <f>IFERROR(INDEX(MitAll,$AA105,$Z105+1+L$4-Settings!$C$7),"")</f>
        <v/>
      </c>
      <c r="M105" s="13">
        <f>IFERROR(INDEX(MitAll,$AA105,$Z105+1+M$4-Settings!$C$7),"")</f>
        <v/>
      </c>
      <c r="N105" s="13">
        <f>IFERROR(INDEX(MitAll,$AA105,$Z105+1+N$4-Settings!$C$7),"")</f>
        <v/>
      </c>
      <c r="O105" s="13">
        <f>IFERROR(INDEX(MitAll,$AA105,$Z105+1+O$4-Settings!$C$7),"")</f>
        <v/>
      </c>
      <c r="P105" s="13">
        <f>IFERROR(INDEX(MitAll,$AA105,$Z105+1+P$4-Settings!$C$7),"")</f>
        <v/>
      </c>
      <c r="Q105" s="13">
        <f>IFERROR(INDEX(MitAll,$AA105,$Z105+1+Q$4-Settings!$C$7),"")</f>
        <v/>
      </c>
      <c r="R105" s="13">
        <f>IFERROR(INDEX(MitAll,$AA105,$Z105+1+R$4-Settings!$C$7),"")</f>
        <v/>
      </c>
      <c r="S105" s="13">
        <f>IFERROR(INDEX(MitAll,$AA105,$Z105+1+S$4-Settings!$C$7),"")</f>
        <v/>
      </c>
      <c r="T105" s="13">
        <f>IFERROR(INDEX(MitAll,$AA105,$Z105+1+T$4-Settings!$C$7),"")</f>
        <v/>
      </c>
      <c r="U105" s="13">
        <f>IFERROR(INDEX(MitAll,$AA105,$Z105+1+U$4-Settings!$C$7),"")</f>
        <v/>
      </c>
      <c r="V105" s="13">
        <f>IFERROR(INDEX(MitAll,$AA105,$Z105+1+V$4-Settings!$C$7),"")</f>
        <v/>
      </c>
      <c r="W105" s="13">
        <f>IFERROR(INDEX(MitAll,$AA105,$Z105+1+W$4-Settings!$C$7),"")</f>
        <v/>
      </c>
      <c r="X105" s="13">
        <f>IFERROR(INDEX(MitAll,$AA105,$Z105+1+X$4-Settings!$C$7),"")</f>
        <v/>
      </c>
      <c r="Y105" s="13">
        <f>IFERROR(INDEX(MitAll,$AA105,$Z105+1+Y$4-Settings!$C$7),"")</f>
        <v/>
      </c>
      <c r="Z105" s="10">
        <f>MATCH($E105,MitScen,0)</f>
        <v/>
      </c>
      <c r="AA105" s="10">
        <f>MATCH($A105,INDEX(MitAll,0,$Z105),0)</f>
        <v/>
      </c>
    </row>
    <row r="106">
      <c r="A106" s="11">
        <f>LOWER(Settings!$C$4)&amp;"."&amp;$B106&amp;"."&amp;$E106</f>
        <v/>
      </c>
      <c r="B106" s="22" t="inlineStr">
        <is>
          <t>mit.usdtot</t>
        </is>
      </c>
      <c r="C106" s="14">
        <f>IFERROR(INDEX(MitDesc,$AA106),"code not found")</f>
        <v/>
      </c>
      <c r="D106" s="14">
        <f>IFERROR(INDEX(MitUnit,$AA106),"")</f>
        <v/>
      </c>
      <c r="E106" s="10">
        <f>E105</f>
        <v/>
      </c>
      <c r="F106" s="46">
        <f>IFERROR(INDEX(MitAll,$AA106,$Z106+1+F$4-Settings!$C$7),"")</f>
        <v/>
      </c>
      <c r="G106" s="47">
        <f>IFERROR(INDEX(MitAll,$AA106,$Z106+1+G$4-Settings!$C$7),"")</f>
        <v/>
      </c>
      <c r="H106" s="47">
        <f>IFERROR(INDEX(MitAll,$AA106,$Z106+1+H$4-Settings!$C$7),"")</f>
        <v/>
      </c>
      <c r="I106" s="47">
        <f>IFERROR(INDEX(MitAll,$AA106,$Z106+1+I$4-Settings!$C$7),"")</f>
        <v/>
      </c>
      <c r="J106" s="47">
        <f>IFERROR(INDEX(MitAll,$AA106,$Z106+1+J$4-Settings!$C$7),"")</f>
        <v/>
      </c>
      <c r="K106" s="47">
        <f>IFERROR(INDEX(MitAll,$AA106,$Z106+1+K$4-Settings!$C$7),"")</f>
        <v/>
      </c>
      <c r="L106" s="47">
        <f>IFERROR(INDEX(MitAll,$AA106,$Z106+1+L$4-Settings!$C$7),"")</f>
        <v/>
      </c>
      <c r="M106" s="47">
        <f>IFERROR(INDEX(MitAll,$AA106,$Z106+1+M$4-Settings!$C$7),"")</f>
        <v/>
      </c>
      <c r="N106" s="47">
        <f>IFERROR(INDEX(MitAll,$AA106,$Z106+1+N$4-Settings!$C$7),"")</f>
        <v/>
      </c>
      <c r="O106" s="47">
        <f>IFERROR(INDEX(MitAll,$AA106,$Z106+1+O$4-Settings!$C$7),"")</f>
        <v/>
      </c>
      <c r="P106" s="47">
        <f>IFERROR(INDEX(MitAll,$AA106,$Z106+1+P$4-Settings!$C$7),"")</f>
        <v/>
      </c>
      <c r="Q106" s="47">
        <f>IFERROR(INDEX(MitAll,$AA106,$Z106+1+Q$4-Settings!$C$7),"")</f>
        <v/>
      </c>
      <c r="R106" s="47">
        <f>IFERROR(INDEX(MitAll,$AA106,$Z106+1+R$4-Settings!$C$7),"")</f>
        <v/>
      </c>
      <c r="S106" s="47">
        <f>IFERROR(INDEX(MitAll,$AA106,$Z106+1+S$4-Settings!$C$7),"")</f>
        <v/>
      </c>
      <c r="T106" s="47">
        <f>IFERROR(INDEX(MitAll,$AA106,$Z106+1+T$4-Settings!$C$7),"")</f>
        <v/>
      </c>
      <c r="U106" s="47">
        <f>IFERROR(INDEX(MitAll,$AA106,$Z106+1+U$4-Settings!$C$7),"")</f>
        <v/>
      </c>
      <c r="V106" s="47">
        <f>IFERROR(INDEX(MitAll,$AA106,$Z106+1+V$4-Settings!$C$7),"")</f>
        <v/>
      </c>
      <c r="W106" s="47">
        <f>IFERROR(INDEX(MitAll,$AA106,$Z106+1+W$4-Settings!$C$7),"")</f>
        <v/>
      </c>
      <c r="X106" s="47">
        <f>IFERROR(INDEX(MitAll,$AA106,$Z106+1+X$4-Settings!$C$7),"")</f>
        <v/>
      </c>
      <c r="Y106" s="47">
        <f>IFERROR(INDEX(MitAll,$AA106,$Z106+1+Y$4-Settings!$C$7),"")</f>
        <v/>
      </c>
      <c r="Z106" s="10">
        <f>MATCH($E106,MitScen,0)</f>
        <v/>
      </c>
      <c r="AA106" s="10">
        <f>MATCH($A106,INDEX(MitAll,0,$Z106),0)</f>
        <v/>
      </c>
    </row>
    <row r="107">
      <c r="A107" s="11">
        <f>LOWER(Settings!$C$4)&amp;"."&amp;$B107&amp;"."&amp;$E107</f>
        <v/>
      </c>
      <c r="B107" s="22" t="inlineStr">
        <is>
          <t>mit.demtot</t>
        </is>
      </c>
      <c r="C107" s="14">
        <f>IFERROR(INDEX(MitDesc,$AA107),"code not found")</f>
        <v/>
      </c>
      <c r="D107" s="14">
        <f>IFERROR(INDEX(MitUnit,$AA107),"")</f>
        <v/>
      </c>
      <c r="E107" s="10">
        <f>E106</f>
        <v/>
      </c>
      <c r="F107" s="46">
        <f>IFERROR(INDEX(MitAll,$AA107,$Z107+1+F$4-Settings!$C$7),"")</f>
        <v/>
      </c>
      <c r="G107" s="47">
        <f>IFERROR(INDEX(MitAll,$AA107,$Z107+1+G$4-Settings!$C$7),"")</f>
        <v/>
      </c>
      <c r="H107" s="47">
        <f>IFERROR(INDEX(MitAll,$AA107,$Z107+1+H$4-Settings!$C$7),"")</f>
        <v/>
      </c>
      <c r="I107" s="47">
        <f>IFERROR(INDEX(MitAll,$AA107,$Z107+1+I$4-Settings!$C$7),"")</f>
        <v/>
      </c>
      <c r="J107" s="47">
        <f>IFERROR(INDEX(MitAll,$AA107,$Z107+1+J$4-Settings!$C$7),"")</f>
        <v/>
      </c>
      <c r="K107" s="47">
        <f>IFERROR(INDEX(MitAll,$AA107,$Z107+1+K$4-Settings!$C$7),"")</f>
        <v/>
      </c>
      <c r="L107" s="47">
        <f>IFERROR(INDEX(MitAll,$AA107,$Z107+1+L$4-Settings!$C$7),"")</f>
        <v/>
      </c>
      <c r="M107" s="47">
        <f>IFERROR(INDEX(MitAll,$AA107,$Z107+1+M$4-Settings!$C$7),"")</f>
        <v/>
      </c>
      <c r="N107" s="47">
        <f>IFERROR(INDEX(MitAll,$AA107,$Z107+1+N$4-Settings!$C$7),"")</f>
        <v/>
      </c>
      <c r="O107" s="47">
        <f>IFERROR(INDEX(MitAll,$AA107,$Z107+1+O$4-Settings!$C$7),"")</f>
        <v/>
      </c>
      <c r="P107" s="47">
        <f>IFERROR(INDEX(MitAll,$AA107,$Z107+1+P$4-Settings!$C$7),"")</f>
        <v/>
      </c>
      <c r="Q107" s="47">
        <f>IFERROR(INDEX(MitAll,$AA107,$Z107+1+Q$4-Settings!$C$7),"")</f>
        <v/>
      </c>
      <c r="R107" s="47">
        <f>IFERROR(INDEX(MitAll,$AA107,$Z107+1+R$4-Settings!$C$7),"")</f>
        <v/>
      </c>
      <c r="S107" s="47">
        <f>IFERROR(INDEX(MitAll,$AA107,$Z107+1+S$4-Settings!$C$7),"")</f>
        <v/>
      </c>
      <c r="T107" s="47">
        <f>IFERROR(INDEX(MitAll,$AA107,$Z107+1+T$4-Settings!$C$7),"")</f>
        <v/>
      </c>
      <c r="U107" s="47">
        <f>IFERROR(INDEX(MitAll,$AA107,$Z107+1+U$4-Settings!$C$7),"")</f>
        <v/>
      </c>
      <c r="V107" s="47">
        <f>IFERROR(INDEX(MitAll,$AA107,$Z107+1+V$4-Settings!$C$7),"")</f>
        <v/>
      </c>
      <c r="W107" s="47">
        <f>IFERROR(INDEX(MitAll,$AA107,$Z107+1+W$4-Settings!$C$7),"")</f>
        <v/>
      </c>
      <c r="X107" s="47">
        <f>IFERROR(INDEX(MitAll,$AA107,$Z107+1+X$4-Settings!$C$7),"")</f>
        <v/>
      </c>
      <c r="Y107" s="47">
        <f>IFERROR(INDEX(MitAll,$AA107,$Z107+1+Y$4-Settings!$C$7),"")</f>
        <v/>
      </c>
      <c r="Z107" s="10">
        <f>MATCH($E107,MitScen,0)</f>
        <v/>
      </c>
      <c r="AA107" s="10">
        <f>MATCH($A107,INDEX(MitAll,0,$Z107),0)</f>
        <v/>
      </c>
    </row>
    <row r="108">
      <c r="A108" s="11">
        <f>LOWER(Settings!$C$4)&amp;"."&amp;$B108&amp;"."&amp;$E108</f>
        <v/>
      </c>
      <c r="B108" s="22" t="inlineStr">
        <is>
          <t>mit.eldem.tra.ecy.e</t>
        </is>
      </c>
      <c r="C108" s="14">
        <f>IFERROR(INDEX(MitDesc,$AA108),"code not found")</f>
        <v/>
      </c>
      <c r="D108" s="14">
        <f>IFERROR(INDEX(MitUnit,$AA108),"")</f>
        <v/>
      </c>
      <c r="E108" s="10">
        <f>E107</f>
        <v/>
      </c>
      <c r="F108" s="46">
        <f>IFERROR(INDEX(MitAll,$AA108,$Z108+1+F$4-Settings!$C$7),"")</f>
        <v/>
      </c>
      <c r="G108" s="47">
        <f>IFERROR(INDEX(MitAll,$AA108,$Z108+1+G$4-Settings!$C$7),"")</f>
        <v/>
      </c>
      <c r="H108" s="47">
        <f>IFERROR(INDEX(MitAll,$AA108,$Z108+1+H$4-Settings!$C$7),"")</f>
        <v/>
      </c>
      <c r="I108" s="47">
        <f>IFERROR(INDEX(MitAll,$AA108,$Z108+1+I$4-Settings!$C$7),"")</f>
        <v/>
      </c>
      <c r="J108" s="47">
        <f>IFERROR(INDEX(MitAll,$AA108,$Z108+1+J$4-Settings!$C$7),"")</f>
        <v/>
      </c>
      <c r="K108" s="47">
        <f>IFERROR(INDEX(MitAll,$AA108,$Z108+1+K$4-Settings!$C$7),"")</f>
        <v/>
      </c>
      <c r="L108" s="47">
        <f>IFERROR(INDEX(MitAll,$AA108,$Z108+1+L$4-Settings!$C$7),"")</f>
        <v/>
      </c>
      <c r="M108" s="47">
        <f>IFERROR(INDEX(MitAll,$AA108,$Z108+1+M$4-Settings!$C$7),"")</f>
        <v/>
      </c>
      <c r="N108" s="47">
        <f>IFERROR(INDEX(MitAll,$AA108,$Z108+1+N$4-Settings!$C$7),"")</f>
        <v/>
      </c>
      <c r="O108" s="47">
        <f>IFERROR(INDEX(MitAll,$AA108,$Z108+1+O$4-Settings!$C$7),"")</f>
        <v/>
      </c>
      <c r="P108" s="47">
        <f>IFERROR(INDEX(MitAll,$AA108,$Z108+1+P$4-Settings!$C$7),"")</f>
        <v/>
      </c>
      <c r="Q108" s="47">
        <f>IFERROR(INDEX(MitAll,$AA108,$Z108+1+Q$4-Settings!$C$7),"")</f>
        <v/>
      </c>
      <c r="R108" s="47">
        <f>IFERROR(INDEX(MitAll,$AA108,$Z108+1+R$4-Settings!$C$7),"")</f>
        <v/>
      </c>
      <c r="S108" s="47">
        <f>IFERROR(INDEX(MitAll,$AA108,$Z108+1+S$4-Settings!$C$7),"")</f>
        <v/>
      </c>
      <c r="T108" s="47">
        <f>IFERROR(INDEX(MitAll,$AA108,$Z108+1+T$4-Settings!$C$7),"")</f>
        <v/>
      </c>
      <c r="U108" s="47">
        <f>IFERROR(INDEX(MitAll,$AA108,$Z108+1+U$4-Settings!$C$7),"")</f>
        <v/>
      </c>
      <c r="V108" s="47">
        <f>IFERROR(INDEX(MitAll,$AA108,$Z108+1+V$4-Settings!$C$7),"")</f>
        <v/>
      </c>
      <c r="W108" s="47">
        <f>IFERROR(INDEX(MitAll,$AA108,$Z108+1+W$4-Settings!$C$7),"")</f>
        <v/>
      </c>
      <c r="X108" s="47">
        <f>IFERROR(INDEX(MitAll,$AA108,$Z108+1+X$4-Settings!$C$7),"")</f>
        <v/>
      </c>
      <c r="Y108" s="47">
        <f>IFERROR(INDEX(MitAll,$AA108,$Z108+1+Y$4-Settings!$C$7),"")</f>
        <v/>
      </c>
      <c r="Z108" s="10">
        <f>MATCH($E108,MitScen,0)</f>
        <v/>
      </c>
      <c r="AA108" s="10">
        <f>MATCH($A108,INDEX(MitAll,0,$Z108),0)</f>
        <v/>
      </c>
    </row>
    <row r="109">
      <c r="A109" s="11">
        <f>LOWER(Settings!$C$4)&amp;"."&amp;$B109&amp;"."&amp;$E109</f>
        <v/>
      </c>
      <c r="B109" s="22" t="inlineStr">
        <is>
          <t>mit.eldem.bld.ecy.e</t>
        </is>
      </c>
      <c r="C109" s="14">
        <f>IFERROR(INDEX(MitDesc,$AA109),"code not found")</f>
        <v/>
      </c>
      <c r="D109" s="14">
        <f>IFERROR(INDEX(MitUnit,$AA109),"")</f>
        <v/>
      </c>
      <c r="E109" s="10">
        <f>E108</f>
        <v/>
      </c>
      <c r="F109" s="46">
        <f>IFERROR(INDEX(MitAll,$AA109,$Z109+1+F$4-Settings!$C$7),"")</f>
        <v/>
      </c>
      <c r="G109" s="47">
        <f>IFERROR(INDEX(MitAll,$AA109,$Z109+1+G$4-Settings!$C$7),"")</f>
        <v/>
      </c>
      <c r="H109" s="47">
        <f>IFERROR(INDEX(MitAll,$AA109,$Z109+1+H$4-Settings!$C$7),"")</f>
        <v/>
      </c>
      <c r="I109" s="47">
        <f>IFERROR(INDEX(MitAll,$AA109,$Z109+1+I$4-Settings!$C$7),"")</f>
        <v/>
      </c>
      <c r="J109" s="47">
        <f>IFERROR(INDEX(MitAll,$AA109,$Z109+1+J$4-Settings!$C$7),"")</f>
        <v/>
      </c>
      <c r="K109" s="47">
        <f>IFERROR(INDEX(MitAll,$AA109,$Z109+1+K$4-Settings!$C$7),"")</f>
        <v/>
      </c>
      <c r="L109" s="47">
        <f>IFERROR(INDEX(MitAll,$AA109,$Z109+1+L$4-Settings!$C$7),"")</f>
        <v/>
      </c>
      <c r="M109" s="47">
        <f>IFERROR(INDEX(MitAll,$AA109,$Z109+1+M$4-Settings!$C$7),"")</f>
        <v/>
      </c>
      <c r="N109" s="47">
        <f>IFERROR(INDEX(MitAll,$AA109,$Z109+1+N$4-Settings!$C$7),"")</f>
        <v/>
      </c>
      <c r="O109" s="47">
        <f>IFERROR(INDEX(MitAll,$AA109,$Z109+1+O$4-Settings!$C$7),"")</f>
        <v/>
      </c>
      <c r="P109" s="47">
        <f>IFERROR(INDEX(MitAll,$AA109,$Z109+1+P$4-Settings!$C$7),"")</f>
        <v/>
      </c>
      <c r="Q109" s="47">
        <f>IFERROR(INDEX(MitAll,$AA109,$Z109+1+Q$4-Settings!$C$7),"")</f>
        <v/>
      </c>
      <c r="R109" s="47">
        <f>IFERROR(INDEX(MitAll,$AA109,$Z109+1+R$4-Settings!$C$7),"")</f>
        <v/>
      </c>
      <c r="S109" s="47">
        <f>IFERROR(INDEX(MitAll,$AA109,$Z109+1+S$4-Settings!$C$7),"")</f>
        <v/>
      </c>
      <c r="T109" s="47">
        <f>IFERROR(INDEX(MitAll,$AA109,$Z109+1+T$4-Settings!$C$7),"")</f>
        <v/>
      </c>
      <c r="U109" s="47">
        <f>IFERROR(INDEX(MitAll,$AA109,$Z109+1+U$4-Settings!$C$7),"")</f>
        <v/>
      </c>
      <c r="V109" s="47">
        <f>IFERROR(INDEX(MitAll,$AA109,$Z109+1+V$4-Settings!$C$7),"")</f>
        <v/>
      </c>
      <c r="W109" s="47">
        <f>IFERROR(INDEX(MitAll,$AA109,$Z109+1+W$4-Settings!$C$7),"")</f>
        <v/>
      </c>
      <c r="X109" s="47">
        <f>IFERROR(INDEX(MitAll,$AA109,$Z109+1+X$4-Settings!$C$7),"")</f>
        <v/>
      </c>
      <c r="Y109" s="47">
        <f>IFERROR(INDEX(MitAll,$AA109,$Z109+1+Y$4-Settings!$C$7),"")</f>
        <v/>
      </c>
      <c r="Z109" s="10">
        <f>MATCH($E109,MitScen,0)</f>
        <v/>
      </c>
      <c r="AA109" s="10">
        <f>MATCH($A109,INDEX(MitAll,0,$Z109),0)</f>
        <v/>
      </c>
    </row>
    <row r="110">
      <c r="A110" s="11">
        <f>LOWER(Settings!$C$4)&amp;"."&amp;$B110&amp;"."&amp;$E110</f>
        <v/>
      </c>
      <c r="B110" s="22" t="inlineStr">
        <is>
          <t>mit.eldem.ind.ecy.e</t>
        </is>
      </c>
      <c r="C110" s="14">
        <f>IFERROR(INDEX(MitDesc,$AA110),"code not found")</f>
        <v/>
      </c>
      <c r="D110" s="14">
        <f>IFERROR(INDEX(MitUnit,$AA110),"")</f>
        <v/>
      </c>
      <c r="E110" s="10">
        <f>E109</f>
        <v/>
      </c>
      <c r="F110" s="46">
        <f>IFERROR(INDEX(MitAll,$AA110,$Z110+1+F$4-Settings!$C$7),"")</f>
        <v/>
      </c>
      <c r="G110" s="47">
        <f>IFERROR(INDEX(MitAll,$AA110,$Z110+1+G$4-Settings!$C$7),"")</f>
        <v/>
      </c>
      <c r="H110" s="47">
        <f>IFERROR(INDEX(MitAll,$AA110,$Z110+1+H$4-Settings!$C$7),"")</f>
        <v/>
      </c>
      <c r="I110" s="47">
        <f>IFERROR(INDEX(MitAll,$AA110,$Z110+1+I$4-Settings!$C$7),"")</f>
        <v/>
      </c>
      <c r="J110" s="47">
        <f>IFERROR(INDEX(MitAll,$AA110,$Z110+1+J$4-Settings!$C$7),"")</f>
        <v/>
      </c>
      <c r="K110" s="47">
        <f>IFERROR(INDEX(MitAll,$AA110,$Z110+1+K$4-Settings!$C$7),"")</f>
        <v/>
      </c>
      <c r="L110" s="47">
        <f>IFERROR(INDEX(MitAll,$AA110,$Z110+1+L$4-Settings!$C$7),"")</f>
        <v/>
      </c>
      <c r="M110" s="47">
        <f>IFERROR(INDEX(MitAll,$AA110,$Z110+1+M$4-Settings!$C$7),"")</f>
        <v/>
      </c>
      <c r="N110" s="47">
        <f>IFERROR(INDEX(MitAll,$AA110,$Z110+1+N$4-Settings!$C$7),"")</f>
        <v/>
      </c>
      <c r="O110" s="47">
        <f>IFERROR(INDEX(MitAll,$AA110,$Z110+1+O$4-Settings!$C$7),"")</f>
        <v/>
      </c>
      <c r="P110" s="47">
        <f>IFERROR(INDEX(MitAll,$AA110,$Z110+1+P$4-Settings!$C$7),"")</f>
        <v/>
      </c>
      <c r="Q110" s="47">
        <f>IFERROR(INDEX(MitAll,$AA110,$Z110+1+Q$4-Settings!$C$7),"")</f>
        <v/>
      </c>
      <c r="R110" s="47">
        <f>IFERROR(INDEX(MitAll,$AA110,$Z110+1+R$4-Settings!$C$7),"")</f>
        <v/>
      </c>
      <c r="S110" s="47">
        <f>IFERROR(INDEX(MitAll,$AA110,$Z110+1+S$4-Settings!$C$7),"")</f>
        <v/>
      </c>
      <c r="T110" s="47">
        <f>IFERROR(INDEX(MitAll,$AA110,$Z110+1+T$4-Settings!$C$7),"")</f>
        <v/>
      </c>
      <c r="U110" s="47">
        <f>IFERROR(INDEX(MitAll,$AA110,$Z110+1+U$4-Settings!$C$7),"")</f>
        <v/>
      </c>
      <c r="V110" s="47">
        <f>IFERROR(INDEX(MitAll,$AA110,$Z110+1+V$4-Settings!$C$7),"")</f>
        <v/>
      </c>
      <c r="W110" s="47">
        <f>IFERROR(INDEX(MitAll,$AA110,$Z110+1+W$4-Settings!$C$7),"")</f>
        <v/>
      </c>
      <c r="X110" s="47">
        <f>IFERROR(INDEX(MitAll,$AA110,$Z110+1+X$4-Settings!$C$7),"")</f>
        <v/>
      </c>
      <c r="Y110" s="47">
        <f>IFERROR(INDEX(MitAll,$AA110,$Z110+1+Y$4-Settings!$C$7),"")</f>
        <v/>
      </c>
      <c r="Z110" s="10">
        <f>MATCH($E110,MitScen,0)</f>
        <v/>
      </c>
      <c r="AA110" s="10">
        <f>MATCH($A110,INDEX(MitAll,0,$Z110),0)</f>
        <v/>
      </c>
    </row>
    <row r="111">
      <c r="A111" s="11">
        <f>LOWER(Settings!$C$4)&amp;"."&amp;$B111&amp;"."&amp;$E111</f>
        <v/>
      </c>
      <c r="B111" s="22" t="inlineStr">
        <is>
          <t>mit.eldem.oen.ecy.e</t>
        </is>
      </c>
      <c r="C111" s="14">
        <f>IFERROR(INDEX(MitDesc,$AA111),"code not found")</f>
        <v/>
      </c>
      <c r="D111" s="14">
        <f>IFERROR(INDEX(MitUnit,$AA111),"")</f>
        <v/>
      </c>
      <c r="E111" s="10">
        <f>E110</f>
        <v/>
      </c>
      <c r="F111" s="46">
        <f>IFERROR(INDEX(MitAll,$AA111,$Z111+1+F$4-Settings!$C$7),"")</f>
        <v/>
      </c>
      <c r="G111" s="47">
        <f>IFERROR(INDEX(MitAll,$AA111,$Z111+1+G$4-Settings!$C$7),"")</f>
        <v/>
      </c>
      <c r="H111" s="47">
        <f>IFERROR(INDEX(MitAll,$AA111,$Z111+1+H$4-Settings!$C$7),"")</f>
        <v/>
      </c>
      <c r="I111" s="47">
        <f>IFERROR(INDEX(MitAll,$AA111,$Z111+1+I$4-Settings!$C$7),"")</f>
        <v/>
      </c>
      <c r="J111" s="47">
        <f>IFERROR(INDEX(MitAll,$AA111,$Z111+1+J$4-Settings!$C$7),"")</f>
        <v/>
      </c>
      <c r="K111" s="47">
        <f>IFERROR(INDEX(MitAll,$AA111,$Z111+1+K$4-Settings!$C$7),"")</f>
        <v/>
      </c>
      <c r="L111" s="47">
        <f>IFERROR(INDEX(MitAll,$AA111,$Z111+1+L$4-Settings!$C$7),"")</f>
        <v/>
      </c>
      <c r="M111" s="47">
        <f>IFERROR(INDEX(MitAll,$AA111,$Z111+1+M$4-Settings!$C$7),"")</f>
        <v/>
      </c>
      <c r="N111" s="47">
        <f>IFERROR(INDEX(MitAll,$AA111,$Z111+1+N$4-Settings!$C$7),"")</f>
        <v/>
      </c>
      <c r="O111" s="47">
        <f>IFERROR(INDEX(MitAll,$AA111,$Z111+1+O$4-Settings!$C$7),"")</f>
        <v/>
      </c>
      <c r="P111" s="47">
        <f>IFERROR(INDEX(MitAll,$AA111,$Z111+1+P$4-Settings!$C$7),"")</f>
        <v/>
      </c>
      <c r="Q111" s="47">
        <f>IFERROR(INDEX(MitAll,$AA111,$Z111+1+Q$4-Settings!$C$7),"")</f>
        <v/>
      </c>
      <c r="R111" s="47">
        <f>IFERROR(INDEX(MitAll,$AA111,$Z111+1+R$4-Settings!$C$7),"")</f>
        <v/>
      </c>
      <c r="S111" s="47">
        <f>IFERROR(INDEX(MitAll,$AA111,$Z111+1+S$4-Settings!$C$7),"")</f>
        <v/>
      </c>
      <c r="T111" s="47">
        <f>IFERROR(INDEX(MitAll,$AA111,$Z111+1+T$4-Settings!$C$7),"")</f>
        <v/>
      </c>
      <c r="U111" s="47">
        <f>IFERROR(INDEX(MitAll,$AA111,$Z111+1+U$4-Settings!$C$7),"")</f>
        <v/>
      </c>
      <c r="V111" s="47">
        <f>IFERROR(INDEX(MitAll,$AA111,$Z111+1+V$4-Settings!$C$7),"")</f>
        <v/>
      </c>
      <c r="W111" s="47">
        <f>IFERROR(INDEX(MitAll,$AA111,$Z111+1+W$4-Settings!$C$7),"")</f>
        <v/>
      </c>
      <c r="X111" s="47">
        <f>IFERROR(INDEX(MitAll,$AA111,$Z111+1+X$4-Settings!$C$7),"")</f>
        <v/>
      </c>
      <c r="Y111" s="47">
        <f>IFERROR(INDEX(MitAll,$AA111,$Z111+1+Y$4-Settings!$C$7),"")</f>
        <v/>
      </c>
      <c r="Z111" s="10">
        <f>MATCH($E111,MitScen,0)</f>
        <v/>
      </c>
      <c r="AA111" s="10">
        <f>MATCH($A111,INDEX(MitAll,0,$Z111),0)</f>
        <v/>
      </c>
    </row>
    <row r="112">
      <c r="A112" s="11">
        <f>LOWER(Settings!$C$4)&amp;"."&amp;$B112&amp;"."&amp;$E112</f>
        <v/>
      </c>
      <c r="B112" s="22" t="inlineStr">
        <is>
          <t>mit.req</t>
        </is>
      </c>
      <c r="C112" s="14">
        <f>IFERROR(INDEX(MitDesc,$AA112),"code not found")</f>
        <v/>
      </c>
      <c r="D112" s="14">
        <f>IFERROR(INDEX(MitUnit,$AA112),"")</f>
        <v/>
      </c>
      <c r="E112" s="10">
        <f>E111</f>
        <v/>
      </c>
      <c r="F112" s="46">
        <f>IFERROR(INDEX(MitAll,$AA112,$Z112+1+F$4-Settings!$C$7),"")</f>
        <v/>
      </c>
      <c r="G112" s="47">
        <f>IFERROR(INDEX(MitAll,$AA112,$Z112+1+G$4-Settings!$C$7),"")</f>
        <v/>
      </c>
      <c r="H112" s="47">
        <f>IFERROR(INDEX(MitAll,$AA112,$Z112+1+H$4-Settings!$C$7),"")</f>
        <v/>
      </c>
      <c r="I112" s="47">
        <f>IFERROR(INDEX(MitAll,$AA112,$Z112+1+I$4-Settings!$C$7),"")</f>
        <v/>
      </c>
      <c r="J112" s="47">
        <f>IFERROR(INDEX(MitAll,$AA112,$Z112+1+J$4-Settings!$C$7),"")</f>
        <v/>
      </c>
      <c r="K112" s="47">
        <f>IFERROR(INDEX(MitAll,$AA112,$Z112+1+K$4-Settings!$C$7),"")</f>
        <v/>
      </c>
      <c r="L112" s="47">
        <f>IFERROR(INDEX(MitAll,$AA112,$Z112+1+L$4-Settings!$C$7),"")</f>
        <v/>
      </c>
      <c r="M112" s="47">
        <f>IFERROR(INDEX(MitAll,$AA112,$Z112+1+M$4-Settings!$C$7),"")</f>
        <v/>
      </c>
      <c r="N112" s="47">
        <f>IFERROR(INDEX(MitAll,$AA112,$Z112+1+N$4-Settings!$C$7),"")</f>
        <v/>
      </c>
      <c r="O112" s="47">
        <f>IFERROR(INDEX(MitAll,$AA112,$Z112+1+O$4-Settings!$C$7),"")</f>
        <v/>
      </c>
      <c r="P112" s="47">
        <f>IFERROR(INDEX(MitAll,$AA112,$Z112+1+P$4-Settings!$C$7),"")</f>
        <v/>
      </c>
      <c r="Q112" s="47">
        <f>IFERROR(INDEX(MitAll,$AA112,$Z112+1+Q$4-Settings!$C$7),"")</f>
        <v/>
      </c>
      <c r="R112" s="47">
        <f>IFERROR(INDEX(MitAll,$AA112,$Z112+1+R$4-Settings!$C$7),"")</f>
        <v/>
      </c>
      <c r="S112" s="47">
        <f>IFERROR(INDEX(MitAll,$AA112,$Z112+1+S$4-Settings!$C$7),"")</f>
        <v/>
      </c>
      <c r="T112" s="47">
        <f>IFERROR(INDEX(MitAll,$AA112,$Z112+1+T$4-Settings!$C$7),"")</f>
        <v/>
      </c>
      <c r="U112" s="47">
        <f>IFERROR(INDEX(MitAll,$AA112,$Z112+1+U$4-Settings!$C$7),"")</f>
        <v/>
      </c>
      <c r="V112" s="47">
        <f>IFERROR(INDEX(MitAll,$AA112,$Z112+1+V$4-Settings!$C$7),"")</f>
        <v/>
      </c>
      <c r="W112" s="47">
        <f>IFERROR(INDEX(MitAll,$AA112,$Z112+1+W$4-Settings!$C$7),"")</f>
        <v/>
      </c>
      <c r="X112" s="47">
        <f>IFERROR(INDEX(MitAll,$AA112,$Z112+1+X$4-Settings!$C$7),"")</f>
        <v/>
      </c>
      <c r="Y112" s="47">
        <f>IFERROR(INDEX(MitAll,$AA112,$Z112+1+Y$4-Settings!$C$7),"")</f>
        <v/>
      </c>
      <c r="Z112" s="10">
        <f>MATCH($E112,MitScen,0)</f>
        <v/>
      </c>
      <c r="AA112" s="10">
        <f>MATCH($A112,INDEX(MitAll,0,$Z112),0)</f>
        <v/>
      </c>
    </row>
    <row r="113">
      <c r="A113" s="11">
        <f>LOWER(Settings!$C$4)&amp;"."&amp;$B113&amp;"."&amp;$E113</f>
        <v/>
      </c>
      <c r="B113" s="22" t="inlineStr">
        <is>
          <t>mit.captot</t>
        </is>
      </c>
      <c r="C113" s="14">
        <f>IFERROR(INDEX(MitDesc,$AA113),"code not found")</f>
        <v/>
      </c>
      <c r="D113" s="14">
        <f>IFERROR(INDEX(MitUnit,$AA113),"")</f>
        <v/>
      </c>
      <c r="E113" s="10">
        <f>E112</f>
        <v/>
      </c>
      <c r="F113" s="46">
        <f>IFERROR(INDEX(MitAll,$AA113,$Z113+1+F$4-Settings!$C$7),"")</f>
        <v/>
      </c>
      <c r="G113" s="47">
        <f>IFERROR(INDEX(MitAll,$AA113,$Z113+1+G$4-Settings!$C$7),"")</f>
        <v/>
      </c>
      <c r="H113" s="47">
        <f>IFERROR(INDEX(MitAll,$AA113,$Z113+1+H$4-Settings!$C$7),"")</f>
        <v/>
      </c>
      <c r="I113" s="47">
        <f>IFERROR(INDEX(MitAll,$AA113,$Z113+1+I$4-Settings!$C$7),"")</f>
        <v/>
      </c>
      <c r="J113" s="47">
        <f>IFERROR(INDEX(MitAll,$AA113,$Z113+1+J$4-Settings!$C$7),"")</f>
        <v/>
      </c>
      <c r="K113" s="47">
        <f>IFERROR(INDEX(MitAll,$AA113,$Z113+1+K$4-Settings!$C$7),"")</f>
        <v/>
      </c>
      <c r="L113" s="47">
        <f>IFERROR(INDEX(MitAll,$AA113,$Z113+1+L$4-Settings!$C$7),"")</f>
        <v/>
      </c>
      <c r="M113" s="47">
        <f>IFERROR(INDEX(MitAll,$AA113,$Z113+1+M$4-Settings!$C$7),"")</f>
        <v/>
      </c>
      <c r="N113" s="47">
        <f>IFERROR(INDEX(MitAll,$AA113,$Z113+1+N$4-Settings!$C$7),"")</f>
        <v/>
      </c>
      <c r="O113" s="47">
        <f>IFERROR(INDEX(MitAll,$AA113,$Z113+1+O$4-Settings!$C$7),"")</f>
        <v/>
      </c>
      <c r="P113" s="47">
        <f>IFERROR(INDEX(MitAll,$AA113,$Z113+1+P$4-Settings!$C$7),"")</f>
        <v/>
      </c>
      <c r="Q113" s="47">
        <f>IFERROR(INDEX(MitAll,$AA113,$Z113+1+Q$4-Settings!$C$7),"")</f>
        <v/>
      </c>
      <c r="R113" s="47">
        <f>IFERROR(INDEX(MitAll,$AA113,$Z113+1+R$4-Settings!$C$7),"")</f>
        <v/>
      </c>
      <c r="S113" s="47">
        <f>IFERROR(INDEX(MitAll,$AA113,$Z113+1+S$4-Settings!$C$7),"")</f>
        <v/>
      </c>
      <c r="T113" s="47">
        <f>IFERROR(INDEX(MitAll,$AA113,$Z113+1+T$4-Settings!$C$7),"")</f>
        <v/>
      </c>
      <c r="U113" s="47">
        <f>IFERROR(INDEX(MitAll,$AA113,$Z113+1+U$4-Settings!$C$7),"")</f>
        <v/>
      </c>
      <c r="V113" s="47">
        <f>IFERROR(INDEX(MitAll,$AA113,$Z113+1+V$4-Settings!$C$7),"")</f>
        <v/>
      </c>
      <c r="W113" s="47">
        <f>IFERROR(INDEX(MitAll,$AA113,$Z113+1+W$4-Settings!$C$7),"")</f>
        <v/>
      </c>
      <c r="X113" s="47">
        <f>IFERROR(INDEX(MitAll,$AA113,$Z113+1+X$4-Settings!$C$7),"")</f>
        <v/>
      </c>
      <c r="Y113" s="47">
        <f>IFERROR(INDEX(MitAll,$AA113,$Z113+1+Y$4-Settings!$C$7),"")</f>
        <v/>
      </c>
      <c r="Z113" s="10">
        <f>MATCH($E113,MitScen,0)</f>
        <v/>
      </c>
      <c r="AA113" s="10">
        <f>MATCH($A113,INDEX(MitAll,0,$Z113),0)</f>
        <v/>
      </c>
    </row>
    <row r="114">
      <c r="A114" s="11">
        <f>LOWER(Settings!$C$4)&amp;"."&amp;$B114&amp;"."&amp;$E114</f>
        <v/>
      </c>
      <c r="B114" s="22" t="inlineStr">
        <is>
          <t>mit.cap.pow.wnd</t>
        </is>
      </c>
      <c r="C114" s="14">
        <f>IFERROR(INDEX(MitDesc,$AA114),"code not found")</f>
        <v/>
      </c>
      <c r="D114" s="14">
        <f>IFERROR(INDEX(MitUnit,$AA114),"")</f>
        <v/>
      </c>
      <c r="E114" s="10">
        <f>E113</f>
        <v/>
      </c>
      <c r="F114" s="46">
        <f>IFERROR(INDEX(MitAll,$AA114,$Z114+1+F$4-Settings!$C$7),"")</f>
        <v/>
      </c>
      <c r="G114" s="47">
        <f>IFERROR(INDEX(MitAll,$AA114,$Z114+1+G$4-Settings!$C$7),"")</f>
        <v/>
      </c>
      <c r="H114" s="47">
        <f>IFERROR(INDEX(MitAll,$AA114,$Z114+1+H$4-Settings!$C$7),"")</f>
        <v/>
      </c>
      <c r="I114" s="47">
        <f>IFERROR(INDEX(MitAll,$AA114,$Z114+1+I$4-Settings!$C$7),"")</f>
        <v/>
      </c>
      <c r="J114" s="47">
        <f>IFERROR(INDEX(MitAll,$AA114,$Z114+1+J$4-Settings!$C$7),"")</f>
        <v/>
      </c>
      <c r="K114" s="47">
        <f>IFERROR(INDEX(MitAll,$AA114,$Z114+1+K$4-Settings!$C$7),"")</f>
        <v/>
      </c>
      <c r="L114" s="47">
        <f>IFERROR(INDEX(MitAll,$AA114,$Z114+1+L$4-Settings!$C$7),"")</f>
        <v/>
      </c>
      <c r="M114" s="47">
        <f>IFERROR(INDEX(MitAll,$AA114,$Z114+1+M$4-Settings!$C$7),"")</f>
        <v/>
      </c>
      <c r="N114" s="47">
        <f>IFERROR(INDEX(MitAll,$AA114,$Z114+1+N$4-Settings!$C$7),"")</f>
        <v/>
      </c>
      <c r="O114" s="47">
        <f>IFERROR(INDEX(MitAll,$AA114,$Z114+1+O$4-Settings!$C$7),"")</f>
        <v/>
      </c>
      <c r="P114" s="47">
        <f>IFERROR(INDEX(MitAll,$AA114,$Z114+1+P$4-Settings!$C$7),"")</f>
        <v/>
      </c>
      <c r="Q114" s="47">
        <f>IFERROR(INDEX(MitAll,$AA114,$Z114+1+Q$4-Settings!$C$7),"")</f>
        <v/>
      </c>
      <c r="R114" s="47">
        <f>IFERROR(INDEX(MitAll,$AA114,$Z114+1+R$4-Settings!$C$7),"")</f>
        <v/>
      </c>
      <c r="S114" s="47">
        <f>IFERROR(INDEX(MitAll,$AA114,$Z114+1+S$4-Settings!$C$7),"")</f>
        <v/>
      </c>
      <c r="T114" s="47">
        <f>IFERROR(INDEX(MitAll,$AA114,$Z114+1+T$4-Settings!$C$7),"")</f>
        <v/>
      </c>
      <c r="U114" s="47">
        <f>IFERROR(INDEX(MitAll,$AA114,$Z114+1+U$4-Settings!$C$7),"")</f>
        <v/>
      </c>
      <c r="V114" s="47">
        <f>IFERROR(INDEX(MitAll,$AA114,$Z114+1+V$4-Settings!$C$7),"")</f>
        <v/>
      </c>
      <c r="W114" s="47">
        <f>IFERROR(INDEX(MitAll,$AA114,$Z114+1+W$4-Settings!$C$7),"")</f>
        <v/>
      </c>
      <c r="X114" s="47">
        <f>IFERROR(INDEX(MitAll,$AA114,$Z114+1+X$4-Settings!$C$7),"")</f>
        <v/>
      </c>
      <c r="Y114" s="47">
        <f>IFERROR(INDEX(MitAll,$AA114,$Z114+1+Y$4-Settings!$C$7),"")</f>
        <v/>
      </c>
      <c r="Z114" s="10">
        <f>MATCH($E114,MitScen,0)</f>
        <v/>
      </c>
      <c r="AA114" s="10">
        <f>MATCH($A114,INDEX(MitAll,0,$Z114),0)</f>
        <v/>
      </c>
    </row>
    <row r="115">
      <c r="A115" s="11">
        <f>LOWER(Settings!$C$4)&amp;"."&amp;$B115&amp;"."&amp;$E115</f>
        <v/>
      </c>
      <c r="B115" s="22" t="inlineStr">
        <is>
          <t>mit.cap.pow.sol</t>
        </is>
      </c>
      <c r="C115" s="14">
        <f>IFERROR(INDEX(MitDesc,$AA115),"code not found")</f>
        <v/>
      </c>
      <c r="D115" s="14">
        <f>IFERROR(INDEX(MitUnit,$AA115),"")</f>
        <v/>
      </c>
      <c r="E115" s="10">
        <f>E114</f>
        <v/>
      </c>
      <c r="F115" s="46">
        <f>IFERROR(INDEX(MitAll,$AA115,$Z115+1+F$4-Settings!$C$7),"")</f>
        <v/>
      </c>
      <c r="G115" s="47">
        <f>IFERROR(INDEX(MitAll,$AA115,$Z115+1+G$4-Settings!$C$7),"")</f>
        <v/>
      </c>
      <c r="H115" s="47">
        <f>IFERROR(INDEX(MitAll,$AA115,$Z115+1+H$4-Settings!$C$7),"")</f>
        <v/>
      </c>
      <c r="I115" s="47">
        <f>IFERROR(INDEX(MitAll,$AA115,$Z115+1+I$4-Settings!$C$7),"")</f>
        <v/>
      </c>
      <c r="J115" s="47">
        <f>IFERROR(INDEX(MitAll,$AA115,$Z115+1+J$4-Settings!$C$7),"")</f>
        <v/>
      </c>
      <c r="K115" s="47">
        <f>IFERROR(INDEX(MitAll,$AA115,$Z115+1+K$4-Settings!$C$7),"")</f>
        <v/>
      </c>
      <c r="L115" s="47">
        <f>IFERROR(INDEX(MitAll,$AA115,$Z115+1+L$4-Settings!$C$7),"")</f>
        <v/>
      </c>
      <c r="M115" s="47">
        <f>IFERROR(INDEX(MitAll,$AA115,$Z115+1+M$4-Settings!$C$7),"")</f>
        <v/>
      </c>
      <c r="N115" s="47">
        <f>IFERROR(INDEX(MitAll,$AA115,$Z115+1+N$4-Settings!$C$7),"")</f>
        <v/>
      </c>
      <c r="O115" s="47">
        <f>IFERROR(INDEX(MitAll,$AA115,$Z115+1+O$4-Settings!$C$7),"")</f>
        <v/>
      </c>
      <c r="P115" s="47">
        <f>IFERROR(INDEX(MitAll,$AA115,$Z115+1+P$4-Settings!$C$7),"")</f>
        <v/>
      </c>
      <c r="Q115" s="47">
        <f>IFERROR(INDEX(MitAll,$AA115,$Z115+1+Q$4-Settings!$C$7),"")</f>
        <v/>
      </c>
      <c r="R115" s="47">
        <f>IFERROR(INDEX(MitAll,$AA115,$Z115+1+R$4-Settings!$C$7),"")</f>
        <v/>
      </c>
      <c r="S115" s="47">
        <f>IFERROR(INDEX(MitAll,$AA115,$Z115+1+S$4-Settings!$C$7),"")</f>
        <v/>
      </c>
      <c r="T115" s="47">
        <f>IFERROR(INDEX(MitAll,$AA115,$Z115+1+T$4-Settings!$C$7),"")</f>
        <v/>
      </c>
      <c r="U115" s="47">
        <f>IFERROR(INDEX(MitAll,$AA115,$Z115+1+U$4-Settings!$C$7),"")</f>
        <v/>
      </c>
      <c r="V115" s="47">
        <f>IFERROR(INDEX(MitAll,$AA115,$Z115+1+V$4-Settings!$C$7),"")</f>
        <v/>
      </c>
      <c r="W115" s="47">
        <f>IFERROR(INDEX(MitAll,$AA115,$Z115+1+W$4-Settings!$C$7),"")</f>
        <v/>
      </c>
      <c r="X115" s="47">
        <f>IFERROR(INDEX(MitAll,$AA115,$Z115+1+X$4-Settings!$C$7),"")</f>
        <v/>
      </c>
      <c r="Y115" s="47">
        <f>IFERROR(INDEX(MitAll,$AA115,$Z115+1+Y$4-Settings!$C$7),"")</f>
        <v/>
      </c>
      <c r="Z115" s="10">
        <f>MATCH($E115,MitScen,0)</f>
        <v/>
      </c>
      <c r="AA115" s="10">
        <f>MATCH($A115,INDEX(MitAll,0,$Z115),0)</f>
        <v/>
      </c>
    </row>
    <row r="116">
      <c r="A116" s="11">
        <f>LOWER(Settings!$C$4)&amp;"."&amp;$B116&amp;"."&amp;$E116</f>
        <v/>
      </c>
      <c r="B116" s="22" t="inlineStr">
        <is>
          <t>mit.nimtot</t>
        </is>
      </c>
      <c r="C116" s="14">
        <f>IFERROR(INDEX(MitDesc,$AA116),"code not found")</f>
        <v/>
      </c>
      <c r="D116" s="14">
        <f>IFERROR(INDEX(MitUnit,$AA116),"")</f>
        <v/>
      </c>
      <c r="E116" s="10">
        <f>E115</f>
        <v/>
      </c>
      <c r="F116" s="46">
        <f>IFERROR(INDEX(MitAll,$AA116,$Z116+1+F$4-Settings!$C$7),"")</f>
        <v/>
      </c>
      <c r="G116" s="47">
        <f>IFERROR(INDEX(MitAll,$AA116,$Z116+1+G$4-Settings!$C$7),"")</f>
        <v/>
      </c>
      <c r="H116" s="47">
        <f>IFERROR(INDEX(MitAll,$AA116,$Z116+1+H$4-Settings!$C$7),"")</f>
        <v/>
      </c>
      <c r="I116" s="47">
        <f>IFERROR(INDEX(MitAll,$AA116,$Z116+1+I$4-Settings!$C$7),"")</f>
        <v/>
      </c>
      <c r="J116" s="47">
        <f>IFERROR(INDEX(MitAll,$AA116,$Z116+1+J$4-Settings!$C$7),"")</f>
        <v/>
      </c>
      <c r="K116" s="47">
        <f>IFERROR(INDEX(MitAll,$AA116,$Z116+1+K$4-Settings!$C$7),"")</f>
        <v/>
      </c>
      <c r="L116" s="47">
        <f>IFERROR(INDEX(MitAll,$AA116,$Z116+1+L$4-Settings!$C$7),"")</f>
        <v/>
      </c>
      <c r="M116" s="47">
        <f>IFERROR(INDEX(MitAll,$AA116,$Z116+1+M$4-Settings!$C$7),"")</f>
        <v/>
      </c>
      <c r="N116" s="47">
        <f>IFERROR(INDEX(MitAll,$AA116,$Z116+1+N$4-Settings!$C$7),"")</f>
        <v/>
      </c>
      <c r="O116" s="47">
        <f>IFERROR(INDEX(MitAll,$AA116,$Z116+1+O$4-Settings!$C$7),"")</f>
        <v/>
      </c>
      <c r="P116" s="47">
        <f>IFERROR(INDEX(MitAll,$AA116,$Z116+1+P$4-Settings!$C$7),"")</f>
        <v/>
      </c>
      <c r="Q116" s="47">
        <f>IFERROR(INDEX(MitAll,$AA116,$Z116+1+Q$4-Settings!$C$7),"")</f>
        <v/>
      </c>
      <c r="R116" s="47">
        <f>IFERROR(INDEX(MitAll,$AA116,$Z116+1+R$4-Settings!$C$7),"")</f>
        <v/>
      </c>
      <c r="S116" s="47">
        <f>IFERROR(INDEX(MitAll,$AA116,$Z116+1+S$4-Settings!$C$7),"")</f>
        <v/>
      </c>
      <c r="T116" s="47">
        <f>IFERROR(INDEX(MitAll,$AA116,$Z116+1+T$4-Settings!$C$7),"")</f>
        <v/>
      </c>
      <c r="U116" s="47">
        <f>IFERROR(INDEX(MitAll,$AA116,$Z116+1+U$4-Settings!$C$7),"")</f>
        <v/>
      </c>
      <c r="V116" s="47">
        <f>IFERROR(INDEX(MitAll,$AA116,$Z116+1+V$4-Settings!$C$7),"")</f>
        <v/>
      </c>
      <c r="W116" s="47">
        <f>IFERROR(INDEX(MitAll,$AA116,$Z116+1+W$4-Settings!$C$7),"")</f>
        <v/>
      </c>
      <c r="X116" s="47">
        <f>IFERROR(INDEX(MitAll,$AA116,$Z116+1+X$4-Settings!$C$7),"")</f>
        <v/>
      </c>
      <c r="Y116" s="47">
        <f>IFERROR(INDEX(MitAll,$AA116,$Z116+1+Y$4-Settings!$C$7),"")</f>
        <v/>
      </c>
      <c r="Z116" s="10">
        <f>MATCH($E116,MitScen,0)</f>
        <v/>
      </c>
      <c r="AA116" s="10">
        <f>MATCH($A116,INDEX(MitAll,0,$Z116),0)</f>
        <v/>
      </c>
    </row>
    <row r="117">
      <c r="A117" s="11">
        <f>LOWER(Settings!$C$4)&amp;"."&amp;$B117&amp;"."&amp;$E117</f>
        <v/>
      </c>
      <c r="B117" s="22" t="inlineStr">
        <is>
          <t>mit.shr.pow.coa</t>
        </is>
      </c>
      <c r="C117" s="14">
        <f>IFERROR(INDEX(MitDesc,$AA117),"code not found")</f>
        <v/>
      </c>
      <c r="D117" s="14">
        <f>IFERROR(INDEX(MitUnit,$AA117),"")</f>
        <v/>
      </c>
      <c r="E117" s="10">
        <f>E116</f>
        <v/>
      </c>
      <c r="F117" s="12">
        <f>IFERROR(INDEX(MitAll,$AA117,$Z117+1+F$4-Settings!$C$7),"")</f>
        <v/>
      </c>
      <c r="G117" s="13">
        <f>IFERROR(INDEX(MitAll,$AA117,$Z117+1+G$4-Settings!$C$7),"")</f>
        <v/>
      </c>
      <c r="H117" s="13">
        <f>IFERROR(INDEX(MitAll,$AA117,$Z117+1+H$4-Settings!$C$7),"")</f>
        <v/>
      </c>
      <c r="I117" s="13">
        <f>IFERROR(INDEX(MitAll,$AA117,$Z117+1+I$4-Settings!$C$7),"")</f>
        <v/>
      </c>
      <c r="J117" s="13">
        <f>IFERROR(INDEX(MitAll,$AA117,$Z117+1+J$4-Settings!$C$7),"")</f>
        <v/>
      </c>
      <c r="K117" s="13">
        <f>IFERROR(INDEX(MitAll,$AA117,$Z117+1+K$4-Settings!$C$7),"")</f>
        <v/>
      </c>
      <c r="L117" s="13">
        <f>IFERROR(INDEX(MitAll,$AA117,$Z117+1+L$4-Settings!$C$7),"")</f>
        <v/>
      </c>
      <c r="M117" s="13">
        <f>IFERROR(INDEX(MitAll,$AA117,$Z117+1+M$4-Settings!$C$7),"")</f>
        <v/>
      </c>
      <c r="N117" s="13">
        <f>IFERROR(INDEX(MitAll,$AA117,$Z117+1+N$4-Settings!$C$7),"")</f>
        <v/>
      </c>
      <c r="O117" s="13">
        <f>IFERROR(INDEX(MitAll,$AA117,$Z117+1+O$4-Settings!$C$7),"")</f>
        <v/>
      </c>
      <c r="P117" s="13">
        <f>IFERROR(INDEX(MitAll,$AA117,$Z117+1+P$4-Settings!$C$7),"")</f>
        <v/>
      </c>
      <c r="Q117" s="13">
        <f>IFERROR(INDEX(MitAll,$AA117,$Z117+1+Q$4-Settings!$C$7),"")</f>
        <v/>
      </c>
      <c r="R117" s="13">
        <f>IFERROR(INDEX(MitAll,$AA117,$Z117+1+R$4-Settings!$C$7),"")</f>
        <v/>
      </c>
      <c r="S117" s="13">
        <f>IFERROR(INDEX(MitAll,$AA117,$Z117+1+S$4-Settings!$C$7),"")</f>
        <v/>
      </c>
      <c r="T117" s="13">
        <f>IFERROR(INDEX(MitAll,$AA117,$Z117+1+T$4-Settings!$C$7),"")</f>
        <v/>
      </c>
      <c r="U117" s="13">
        <f>IFERROR(INDEX(MitAll,$AA117,$Z117+1+U$4-Settings!$C$7),"")</f>
        <v/>
      </c>
      <c r="V117" s="13">
        <f>IFERROR(INDEX(MitAll,$AA117,$Z117+1+V$4-Settings!$C$7),"")</f>
        <v/>
      </c>
      <c r="W117" s="13">
        <f>IFERROR(INDEX(MitAll,$AA117,$Z117+1+W$4-Settings!$C$7),"")</f>
        <v/>
      </c>
      <c r="X117" s="13">
        <f>IFERROR(INDEX(MitAll,$AA117,$Z117+1+X$4-Settings!$C$7),"")</f>
        <v/>
      </c>
      <c r="Y117" s="13">
        <f>IFERROR(INDEX(MitAll,$AA117,$Z117+1+Y$4-Settings!$C$7),"")</f>
        <v/>
      </c>
      <c r="Z117" s="10">
        <f>MATCH($E117,MitScen,0)</f>
        <v/>
      </c>
      <c r="AA117" s="10">
        <f>MATCH($A117,INDEX(MitAll,0,$Z117),0)</f>
        <v/>
      </c>
    </row>
    <row r="118">
      <c r="A118" s="11">
        <f>LOWER(Settings!$C$4)&amp;"."&amp;$B118&amp;"."&amp;$E118</f>
        <v/>
      </c>
      <c r="B118" s="22" t="inlineStr">
        <is>
          <t>mit.shr.pow.oop</t>
        </is>
      </c>
      <c r="C118" s="14">
        <f>IFERROR(INDEX(MitDesc,$AA118),"code not found")</f>
        <v/>
      </c>
      <c r="D118" s="14">
        <f>IFERROR(INDEX(MitUnit,$AA118),"")</f>
        <v/>
      </c>
      <c r="E118" s="10">
        <f>E117</f>
        <v/>
      </c>
      <c r="F118" s="12">
        <f>IFERROR(INDEX(MitAll,$AA118,$Z118+1+F$4-Settings!$C$7),"")</f>
        <v/>
      </c>
      <c r="G118" s="13">
        <f>IFERROR(INDEX(MitAll,$AA118,$Z118+1+G$4-Settings!$C$7),"")</f>
        <v/>
      </c>
      <c r="H118" s="13">
        <f>IFERROR(INDEX(MitAll,$AA118,$Z118+1+H$4-Settings!$C$7),"")</f>
        <v/>
      </c>
      <c r="I118" s="13">
        <f>IFERROR(INDEX(MitAll,$AA118,$Z118+1+I$4-Settings!$C$7),"")</f>
        <v/>
      </c>
      <c r="J118" s="13">
        <f>IFERROR(INDEX(MitAll,$AA118,$Z118+1+J$4-Settings!$C$7),"")</f>
        <v/>
      </c>
      <c r="K118" s="13">
        <f>IFERROR(INDEX(MitAll,$AA118,$Z118+1+K$4-Settings!$C$7),"")</f>
        <v/>
      </c>
      <c r="L118" s="13">
        <f>IFERROR(INDEX(MitAll,$AA118,$Z118+1+L$4-Settings!$C$7),"")</f>
        <v/>
      </c>
      <c r="M118" s="13">
        <f>IFERROR(INDEX(MitAll,$AA118,$Z118+1+M$4-Settings!$C$7),"")</f>
        <v/>
      </c>
      <c r="N118" s="13">
        <f>IFERROR(INDEX(MitAll,$AA118,$Z118+1+N$4-Settings!$C$7),"")</f>
        <v/>
      </c>
      <c r="O118" s="13">
        <f>IFERROR(INDEX(MitAll,$AA118,$Z118+1+O$4-Settings!$C$7),"")</f>
        <v/>
      </c>
      <c r="P118" s="13">
        <f>IFERROR(INDEX(MitAll,$AA118,$Z118+1+P$4-Settings!$C$7),"")</f>
        <v/>
      </c>
      <c r="Q118" s="13">
        <f>IFERROR(INDEX(MitAll,$AA118,$Z118+1+Q$4-Settings!$C$7),"")</f>
        <v/>
      </c>
      <c r="R118" s="13">
        <f>IFERROR(INDEX(MitAll,$AA118,$Z118+1+R$4-Settings!$C$7),"")</f>
        <v/>
      </c>
      <c r="S118" s="13">
        <f>IFERROR(INDEX(MitAll,$AA118,$Z118+1+S$4-Settings!$C$7),"")</f>
        <v/>
      </c>
      <c r="T118" s="13">
        <f>IFERROR(INDEX(MitAll,$AA118,$Z118+1+T$4-Settings!$C$7),"")</f>
        <v/>
      </c>
      <c r="U118" s="13">
        <f>IFERROR(INDEX(MitAll,$AA118,$Z118+1+U$4-Settings!$C$7),"")</f>
        <v/>
      </c>
      <c r="V118" s="13">
        <f>IFERROR(INDEX(MitAll,$AA118,$Z118+1+V$4-Settings!$C$7),"")</f>
        <v/>
      </c>
      <c r="W118" s="13">
        <f>IFERROR(INDEX(MitAll,$AA118,$Z118+1+W$4-Settings!$C$7),"")</f>
        <v/>
      </c>
      <c r="X118" s="13">
        <f>IFERROR(INDEX(MitAll,$AA118,$Z118+1+X$4-Settings!$C$7),"")</f>
        <v/>
      </c>
      <c r="Y118" s="13">
        <f>IFERROR(INDEX(MitAll,$AA118,$Z118+1+Y$4-Settings!$C$7),"")</f>
        <v/>
      </c>
      <c r="Z118" s="10">
        <f>MATCH($E118,MitScen,0)</f>
        <v/>
      </c>
      <c r="AA118" s="10">
        <f>MATCH($A118,INDEX(MitAll,0,$Z118),0)</f>
        <v/>
      </c>
    </row>
    <row r="119">
      <c r="A119" s="11">
        <f>LOWER(Settings!$C$4)&amp;"."&amp;$B119&amp;"."&amp;$E119</f>
        <v/>
      </c>
      <c r="B119" s="22" t="inlineStr">
        <is>
          <t>mit.shr.pow.wnd</t>
        </is>
      </c>
      <c r="C119" s="14">
        <f>IFERROR(INDEX(MitDesc,$AA119),"code not found")</f>
        <v/>
      </c>
      <c r="D119" s="14">
        <f>IFERROR(INDEX(MitUnit,$AA119),"")</f>
        <v/>
      </c>
      <c r="E119" s="10">
        <f>E118</f>
        <v/>
      </c>
      <c r="F119" s="12">
        <f>IFERROR(INDEX(MitAll,$AA119,$Z119+1+F$4-Settings!$C$7),"")</f>
        <v/>
      </c>
      <c r="G119" s="13">
        <f>IFERROR(INDEX(MitAll,$AA119,$Z119+1+G$4-Settings!$C$7),"")</f>
        <v/>
      </c>
      <c r="H119" s="13">
        <f>IFERROR(INDEX(MitAll,$AA119,$Z119+1+H$4-Settings!$C$7),"")</f>
        <v/>
      </c>
      <c r="I119" s="13">
        <f>IFERROR(INDEX(MitAll,$AA119,$Z119+1+I$4-Settings!$C$7),"")</f>
        <v/>
      </c>
      <c r="J119" s="13">
        <f>IFERROR(INDEX(MitAll,$AA119,$Z119+1+J$4-Settings!$C$7),"")</f>
        <v/>
      </c>
      <c r="K119" s="13">
        <f>IFERROR(INDEX(MitAll,$AA119,$Z119+1+K$4-Settings!$C$7),"")</f>
        <v/>
      </c>
      <c r="L119" s="13">
        <f>IFERROR(INDEX(MitAll,$AA119,$Z119+1+L$4-Settings!$C$7),"")</f>
        <v/>
      </c>
      <c r="M119" s="13">
        <f>IFERROR(INDEX(MitAll,$AA119,$Z119+1+M$4-Settings!$C$7),"")</f>
        <v/>
      </c>
      <c r="N119" s="13">
        <f>IFERROR(INDEX(MitAll,$AA119,$Z119+1+N$4-Settings!$C$7),"")</f>
        <v/>
      </c>
      <c r="O119" s="13">
        <f>IFERROR(INDEX(MitAll,$AA119,$Z119+1+O$4-Settings!$C$7),"")</f>
        <v/>
      </c>
      <c r="P119" s="13">
        <f>IFERROR(INDEX(MitAll,$AA119,$Z119+1+P$4-Settings!$C$7),"")</f>
        <v/>
      </c>
      <c r="Q119" s="13">
        <f>IFERROR(INDEX(MitAll,$AA119,$Z119+1+Q$4-Settings!$C$7),"")</f>
        <v/>
      </c>
      <c r="R119" s="13">
        <f>IFERROR(INDEX(MitAll,$AA119,$Z119+1+R$4-Settings!$C$7),"")</f>
        <v/>
      </c>
      <c r="S119" s="13">
        <f>IFERROR(INDEX(MitAll,$AA119,$Z119+1+S$4-Settings!$C$7),"")</f>
        <v/>
      </c>
      <c r="T119" s="13">
        <f>IFERROR(INDEX(MitAll,$AA119,$Z119+1+T$4-Settings!$C$7),"")</f>
        <v/>
      </c>
      <c r="U119" s="13">
        <f>IFERROR(INDEX(MitAll,$AA119,$Z119+1+U$4-Settings!$C$7),"")</f>
        <v/>
      </c>
      <c r="V119" s="13">
        <f>IFERROR(INDEX(MitAll,$AA119,$Z119+1+V$4-Settings!$C$7),"")</f>
        <v/>
      </c>
      <c r="W119" s="13">
        <f>IFERROR(INDEX(MitAll,$AA119,$Z119+1+W$4-Settings!$C$7),"")</f>
        <v/>
      </c>
      <c r="X119" s="13">
        <f>IFERROR(INDEX(MitAll,$AA119,$Z119+1+X$4-Settings!$C$7),"")</f>
        <v/>
      </c>
      <c r="Y119" s="13">
        <f>IFERROR(INDEX(MitAll,$AA119,$Z119+1+Y$4-Settings!$C$7),"")</f>
        <v/>
      </c>
      <c r="Z119" s="10">
        <f>MATCH($E119,MitScen,0)</f>
        <v/>
      </c>
      <c r="AA119" s="10">
        <f>MATCH($A119,INDEX(MitAll,0,$Z119),0)</f>
        <v/>
      </c>
    </row>
    <row r="120">
      <c r="A120" s="11">
        <f>LOWER(Settings!$C$4)&amp;"."&amp;$B120&amp;"."&amp;$E120</f>
        <v/>
      </c>
      <c r="B120" s="22" t="inlineStr">
        <is>
          <t>mit.shr.pow.sol</t>
        </is>
      </c>
      <c r="C120" s="14">
        <f>IFERROR(INDEX(MitDesc,$AA120),"code not found")</f>
        <v/>
      </c>
      <c r="D120" s="14">
        <f>IFERROR(INDEX(MitUnit,$AA120),"")</f>
        <v/>
      </c>
      <c r="E120" s="10">
        <f>E119</f>
        <v/>
      </c>
      <c r="F120" s="12">
        <f>IFERROR(INDEX(MitAll,$AA120,$Z120+1+F$4-Settings!$C$7),"")</f>
        <v/>
      </c>
      <c r="G120" s="13">
        <f>IFERROR(INDEX(MitAll,$AA120,$Z120+1+G$4-Settings!$C$7),"")</f>
        <v/>
      </c>
      <c r="H120" s="13">
        <f>IFERROR(INDEX(MitAll,$AA120,$Z120+1+H$4-Settings!$C$7),"")</f>
        <v/>
      </c>
      <c r="I120" s="13">
        <f>IFERROR(INDEX(MitAll,$AA120,$Z120+1+I$4-Settings!$C$7),"")</f>
        <v/>
      </c>
      <c r="J120" s="13">
        <f>IFERROR(INDEX(MitAll,$AA120,$Z120+1+J$4-Settings!$C$7),"")</f>
        <v/>
      </c>
      <c r="K120" s="13">
        <f>IFERROR(INDEX(MitAll,$AA120,$Z120+1+K$4-Settings!$C$7),"")</f>
        <v/>
      </c>
      <c r="L120" s="13">
        <f>IFERROR(INDEX(MitAll,$AA120,$Z120+1+L$4-Settings!$C$7),"")</f>
        <v/>
      </c>
      <c r="M120" s="13">
        <f>IFERROR(INDEX(MitAll,$AA120,$Z120+1+M$4-Settings!$C$7),"")</f>
        <v/>
      </c>
      <c r="N120" s="13">
        <f>IFERROR(INDEX(MitAll,$AA120,$Z120+1+N$4-Settings!$C$7),"")</f>
        <v/>
      </c>
      <c r="O120" s="13">
        <f>IFERROR(INDEX(MitAll,$AA120,$Z120+1+O$4-Settings!$C$7),"")</f>
        <v/>
      </c>
      <c r="P120" s="13">
        <f>IFERROR(INDEX(MitAll,$AA120,$Z120+1+P$4-Settings!$C$7),"")</f>
        <v/>
      </c>
      <c r="Q120" s="13">
        <f>IFERROR(INDEX(MitAll,$AA120,$Z120+1+Q$4-Settings!$C$7),"")</f>
        <v/>
      </c>
      <c r="R120" s="13">
        <f>IFERROR(INDEX(MitAll,$AA120,$Z120+1+R$4-Settings!$C$7),"")</f>
        <v/>
      </c>
      <c r="S120" s="13">
        <f>IFERROR(INDEX(MitAll,$AA120,$Z120+1+S$4-Settings!$C$7),"")</f>
        <v/>
      </c>
      <c r="T120" s="13">
        <f>IFERROR(INDEX(MitAll,$AA120,$Z120+1+T$4-Settings!$C$7),"")</f>
        <v/>
      </c>
      <c r="U120" s="13">
        <f>IFERROR(INDEX(MitAll,$AA120,$Z120+1+U$4-Settings!$C$7),"")</f>
        <v/>
      </c>
      <c r="V120" s="13">
        <f>IFERROR(INDEX(MitAll,$AA120,$Z120+1+V$4-Settings!$C$7),"")</f>
        <v/>
      </c>
      <c r="W120" s="13">
        <f>IFERROR(INDEX(MitAll,$AA120,$Z120+1+W$4-Settings!$C$7),"")</f>
        <v/>
      </c>
      <c r="X120" s="13">
        <f>IFERROR(INDEX(MitAll,$AA120,$Z120+1+X$4-Settings!$C$7),"")</f>
        <v/>
      </c>
      <c r="Y120" s="13">
        <f>IFERROR(INDEX(MitAll,$AA120,$Z120+1+Y$4-Settings!$C$7),"")</f>
        <v/>
      </c>
      <c r="Z120" s="10">
        <f>MATCH($E120,MitScen,0)</f>
        <v/>
      </c>
      <c r="AA120" s="10">
        <f>MATCH($A120,INDEX(MitAll,0,$Z120),0)</f>
        <v/>
      </c>
    </row>
    <row r="121">
      <c r="A121" s="11">
        <f>LOWER(Settings!$C$4)&amp;"."&amp;$B121&amp;"."&amp;$E121</f>
        <v/>
      </c>
      <c r="B121" s="22" t="inlineStr">
        <is>
          <t>mit.shr.pow.hyd</t>
        </is>
      </c>
      <c r="C121" s="14">
        <f>IFERROR(INDEX(MitDesc,$AA121),"code not found")</f>
        <v/>
      </c>
      <c r="D121" s="14">
        <f>IFERROR(INDEX(MitUnit,$AA121),"")</f>
        <v/>
      </c>
      <c r="E121" s="10">
        <f>E120</f>
        <v/>
      </c>
      <c r="F121" s="12">
        <f>IFERROR(INDEX(MitAll,$AA121,$Z121+1+F$4-Settings!$C$7),"")</f>
        <v/>
      </c>
      <c r="G121" s="13">
        <f>IFERROR(INDEX(MitAll,$AA121,$Z121+1+G$4-Settings!$C$7),"")</f>
        <v/>
      </c>
      <c r="H121" s="13">
        <f>IFERROR(INDEX(MitAll,$AA121,$Z121+1+H$4-Settings!$C$7),"")</f>
        <v/>
      </c>
      <c r="I121" s="13">
        <f>IFERROR(INDEX(MitAll,$AA121,$Z121+1+I$4-Settings!$C$7),"")</f>
        <v/>
      </c>
      <c r="J121" s="13">
        <f>IFERROR(INDEX(MitAll,$AA121,$Z121+1+J$4-Settings!$C$7),"")</f>
        <v/>
      </c>
      <c r="K121" s="13">
        <f>IFERROR(INDEX(MitAll,$AA121,$Z121+1+K$4-Settings!$C$7),"")</f>
        <v/>
      </c>
      <c r="L121" s="13">
        <f>IFERROR(INDEX(MitAll,$AA121,$Z121+1+L$4-Settings!$C$7),"")</f>
        <v/>
      </c>
      <c r="M121" s="13">
        <f>IFERROR(INDEX(MitAll,$AA121,$Z121+1+M$4-Settings!$C$7),"")</f>
        <v/>
      </c>
      <c r="N121" s="13">
        <f>IFERROR(INDEX(MitAll,$AA121,$Z121+1+N$4-Settings!$C$7),"")</f>
        <v/>
      </c>
      <c r="O121" s="13">
        <f>IFERROR(INDEX(MitAll,$AA121,$Z121+1+O$4-Settings!$C$7),"")</f>
        <v/>
      </c>
      <c r="P121" s="13">
        <f>IFERROR(INDEX(MitAll,$AA121,$Z121+1+P$4-Settings!$C$7),"")</f>
        <v/>
      </c>
      <c r="Q121" s="13">
        <f>IFERROR(INDEX(MitAll,$AA121,$Z121+1+Q$4-Settings!$C$7),"")</f>
        <v/>
      </c>
      <c r="R121" s="13">
        <f>IFERROR(INDEX(MitAll,$AA121,$Z121+1+R$4-Settings!$C$7),"")</f>
        <v/>
      </c>
      <c r="S121" s="13">
        <f>IFERROR(INDEX(MitAll,$AA121,$Z121+1+S$4-Settings!$C$7),"")</f>
        <v/>
      </c>
      <c r="T121" s="13">
        <f>IFERROR(INDEX(MitAll,$AA121,$Z121+1+T$4-Settings!$C$7),"")</f>
        <v/>
      </c>
      <c r="U121" s="13">
        <f>IFERROR(INDEX(MitAll,$AA121,$Z121+1+U$4-Settings!$C$7),"")</f>
        <v/>
      </c>
      <c r="V121" s="13">
        <f>IFERROR(INDEX(MitAll,$AA121,$Z121+1+V$4-Settings!$C$7),"")</f>
        <v/>
      </c>
      <c r="W121" s="13">
        <f>IFERROR(INDEX(MitAll,$AA121,$Z121+1+W$4-Settings!$C$7),"")</f>
        <v/>
      </c>
      <c r="X121" s="13">
        <f>IFERROR(INDEX(MitAll,$AA121,$Z121+1+X$4-Settings!$C$7),"")</f>
        <v/>
      </c>
      <c r="Y121" s="13">
        <f>IFERROR(INDEX(MitAll,$AA121,$Z121+1+Y$4-Settings!$C$7),"")</f>
        <v/>
      </c>
      <c r="Z121" s="10">
        <f>MATCH($E121,MitScen,0)</f>
        <v/>
      </c>
      <c r="AA121" s="10">
        <f>MATCH($A121,INDEX(MitAll,0,$Z121),0)</f>
        <v/>
      </c>
    </row>
    <row r="122">
      <c r="A122" s="11">
        <f>LOWER(Settings!$C$4)&amp;"."&amp;$B122&amp;"."&amp;$E122</f>
        <v/>
      </c>
      <c r="B122" s="22" t="inlineStr">
        <is>
          <t>mit.ccpav</t>
        </is>
      </c>
      <c r="C122" s="14">
        <f>IFERROR(INDEX(MitDesc,$AA122),"code not found")</f>
        <v/>
      </c>
      <c r="D122" s="14">
        <f>IFERROR(INDEX(MitUnit,$AA122),"")</f>
        <v/>
      </c>
      <c r="E122" s="10">
        <f>E121</f>
        <v/>
      </c>
      <c r="F122" s="15">
        <f>IFERROR(INDEX(MitAll,$AA122,$Z122+1+F$4-Settings!$C$7),"")</f>
        <v/>
      </c>
      <c r="G122" s="16">
        <f>IFERROR(INDEX(MitAll,$AA122,$Z122+1+G$4-Settings!$C$7),"")</f>
        <v/>
      </c>
      <c r="H122" s="16">
        <f>IFERROR(INDEX(MitAll,$AA122,$Z122+1+H$4-Settings!$C$7),"")</f>
        <v/>
      </c>
      <c r="I122" s="16">
        <f>IFERROR(INDEX(MitAll,$AA122,$Z122+1+I$4-Settings!$C$7),"")</f>
        <v/>
      </c>
      <c r="J122" s="16">
        <f>IFERROR(INDEX(MitAll,$AA122,$Z122+1+J$4-Settings!$C$7),"")</f>
        <v/>
      </c>
      <c r="K122" s="16">
        <f>IFERROR(INDEX(MitAll,$AA122,$Z122+1+K$4-Settings!$C$7),"")</f>
        <v/>
      </c>
      <c r="L122" s="16">
        <f>IFERROR(INDEX(MitAll,$AA122,$Z122+1+L$4-Settings!$C$7),"")</f>
        <v/>
      </c>
      <c r="M122" s="16">
        <f>IFERROR(INDEX(MitAll,$AA122,$Z122+1+M$4-Settings!$C$7),"")</f>
        <v/>
      </c>
      <c r="N122" s="16">
        <f>IFERROR(INDEX(MitAll,$AA122,$Z122+1+N$4-Settings!$C$7),"")</f>
        <v/>
      </c>
      <c r="O122" s="16">
        <f>IFERROR(INDEX(MitAll,$AA122,$Z122+1+O$4-Settings!$C$7),"")</f>
        <v/>
      </c>
      <c r="P122" s="16">
        <f>IFERROR(INDEX(MitAll,$AA122,$Z122+1+P$4-Settings!$C$7),"")</f>
        <v/>
      </c>
      <c r="Q122" s="16">
        <f>IFERROR(INDEX(MitAll,$AA122,$Z122+1+Q$4-Settings!$C$7),"")</f>
        <v/>
      </c>
      <c r="R122" s="16">
        <f>IFERROR(INDEX(MitAll,$AA122,$Z122+1+R$4-Settings!$C$7),"")</f>
        <v/>
      </c>
      <c r="S122" s="16">
        <f>IFERROR(INDEX(MitAll,$AA122,$Z122+1+S$4-Settings!$C$7),"")</f>
        <v/>
      </c>
      <c r="T122" s="16">
        <f>IFERROR(INDEX(MitAll,$AA122,$Z122+1+T$4-Settings!$C$7),"")</f>
        <v/>
      </c>
      <c r="U122" s="16">
        <f>IFERROR(INDEX(MitAll,$AA122,$Z122+1+U$4-Settings!$C$7),"")</f>
        <v/>
      </c>
      <c r="V122" s="16">
        <f>IFERROR(INDEX(MitAll,$AA122,$Z122+1+V$4-Settings!$C$7),"")</f>
        <v/>
      </c>
      <c r="W122" s="16">
        <f>IFERROR(INDEX(MitAll,$AA122,$Z122+1+W$4-Settings!$C$7),"")</f>
        <v/>
      </c>
      <c r="X122" s="16">
        <f>IFERROR(INDEX(MitAll,$AA122,$Z122+1+X$4-Settings!$C$7),"")</f>
        <v/>
      </c>
      <c r="Y122" s="16">
        <f>IFERROR(INDEX(MitAll,$AA122,$Z122+1+Y$4-Settings!$C$7),"")</f>
        <v/>
      </c>
      <c r="Z122" s="10">
        <f>MATCH($E122,MitScen,0)</f>
        <v/>
      </c>
      <c r="AA122" s="10">
        <f>MATCH($A122,INDEX(MitAll,0,$Z122),0)</f>
        <v/>
      </c>
    </row>
    <row r="123">
      <c r="A123" s="11">
        <f>LOWER(Settings!$C$4)&amp;"."&amp;$B123&amp;"."&amp;$E123</f>
        <v/>
      </c>
      <c r="B123" s="22" t="inlineStr">
        <is>
          <t>mit.rcarb.res.ecy</t>
        </is>
      </c>
      <c r="C123" s="14">
        <f>IFERROR(INDEX(MitDesc,$AA123),"code not found")</f>
        <v/>
      </c>
      <c r="D123" s="14">
        <f>IFERROR(INDEX(MitUnit,$AA123),"")</f>
        <v/>
      </c>
      <c r="E123" s="10">
        <f>E122</f>
        <v/>
      </c>
      <c r="F123" s="46">
        <f>IFERROR(INDEX(MitAll,$AA123,$Z123+1+F$4-Settings!$C$7),"")</f>
        <v/>
      </c>
      <c r="G123" s="47">
        <f>IFERROR(INDEX(MitAll,$AA123,$Z123+1+G$4-Settings!$C$7),"")</f>
        <v/>
      </c>
      <c r="H123" s="47">
        <f>IFERROR(INDEX(MitAll,$AA123,$Z123+1+H$4-Settings!$C$7),"")</f>
        <v/>
      </c>
      <c r="I123" s="47">
        <f>IFERROR(INDEX(MitAll,$AA123,$Z123+1+I$4-Settings!$C$7),"")</f>
        <v/>
      </c>
      <c r="J123" s="47">
        <f>IFERROR(INDEX(MitAll,$AA123,$Z123+1+J$4-Settings!$C$7),"")</f>
        <v/>
      </c>
      <c r="K123" s="47">
        <f>IFERROR(INDEX(MitAll,$AA123,$Z123+1+K$4-Settings!$C$7),"")</f>
        <v/>
      </c>
      <c r="L123" s="47">
        <f>IFERROR(INDEX(MitAll,$AA123,$Z123+1+L$4-Settings!$C$7),"")</f>
        <v/>
      </c>
      <c r="M123" s="47">
        <f>IFERROR(INDEX(MitAll,$AA123,$Z123+1+M$4-Settings!$C$7),"")</f>
        <v/>
      </c>
      <c r="N123" s="47">
        <f>IFERROR(INDEX(MitAll,$AA123,$Z123+1+N$4-Settings!$C$7),"")</f>
        <v/>
      </c>
      <c r="O123" s="47">
        <f>IFERROR(INDEX(MitAll,$AA123,$Z123+1+O$4-Settings!$C$7),"")</f>
        <v/>
      </c>
      <c r="P123" s="47">
        <f>IFERROR(INDEX(MitAll,$AA123,$Z123+1+P$4-Settings!$C$7),"")</f>
        <v/>
      </c>
      <c r="Q123" s="47">
        <f>IFERROR(INDEX(MitAll,$AA123,$Z123+1+Q$4-Settings!$C$7),"")</f>
        <v/>
      </c>
      <c r="R123" s="47">
        <f>IFERROR(INDEX(MitAll,$AA123,$Z123+1+R$4-Settings!$C$7),"")</f>
        <v/>
      </c>
      <c r="S123" s="47">
        <f>IFERROR(INDEX(MitAll,$AA123,$Z123+1+S$4-Settings!$C$7),"")</f>
        <v/>
      </c>
      <c r="T123" s="47">
        <f>IFERROR(INDEX(MitAll,$AA123,$Z123+1+T$4-Settings!$C$7),"")</f>
        <v/>
      </c>
      <c r="U123" s="47">
        <f>IFERROR(INDEX(MitAll,$AA123,$Z123+1+U$4-Settings!$C$7),"")</f>
        <v/>
      </c>
      <c r="V123" s="47">
        <f>IFERROR(INDEX(MitAll,$AA123,$Z123+1+V$4-Settings!$C$7),"")</f>
        <v/>
      </c>
      <c r="W123" s="47">
        <f>IFERROR(INDEX(MitAll,$AA123,$Z123+1+W$4-Settings!$C$7),"")</f>
        <v/>
      </c>
      <c r="X123" s="47">
        <f>IFERROR(INDEX(MitAll,$AA123,$Z123+1+X$4-Settings!$C$7),"")</f>
        <v/>
      </c>
      <c r="Y123" s="47">
        <f>IFERROR(INDEX(MitAll,$AA123,$Z123+1+Y$4-Settings!$C$7),"")</f>
        <v/>
      </c>
      <c r="Z123" s="10">
        <f>MATCH($E123,MitScen,0)</f>
        <v/>
      </c>
      <c r="AA123" s="10">
        <f>MATCH($A123,INDEX(MitAll,0,$Z123),0)</f>
        <v/>
      </c>
    </row>
    <row r="124">
      <c r="A124" s="11">
        <f>LOWER(Settings!$C$4)&amp;"."&amp;$B124&amp;"."&amp;$E124</f>
        <v/>
      </c>
      <c r="B124" s="22" t="inlineStr">
        <is>
          <t>mit.rcarb.ind.ecy</t>
        </is>
      </c>
      <c r="C124" s="14">
        <f>IFERROR(INDEX(MitDesc,$AA124),"code not found")</f>
        <v/>
      </c>
      <c r="D124" s="14">
        <f>IFERROR(INDEX(MitUnit,$AA124),"")</f>
        <v/>
      </c>
      <c r="E124" s="10">
        <f>E123</f>
        <v/>
      </c>
      <c r="F124" s="46">
        <f>IFERROR(INDEX(MitAll,$AA124,$Z124+1+F$4-Settings!$C$7),"")</f>
        <v/>
      </c>
      <c r="G124" s="47">
        <f>IFERROR(INDEX(MitAll,$AA124,$Z124+1+G$4-Settings!$C$7),"")</f>
        <v/>
      </c>
      <c r="H124" s="47">
        <f>IFERROR(INDEX(MitAll,$AA124,$Z124+1+H$4-Settings!$C$7),"")</f>
        <v/>
      </c>
      <c r="I124" s="47">
        <f>IFERROR(INDEX(MitAll,$AA124,$Z124+1+I$4-Settings!$C$7),"")</f>
        <v/>
      </c>
      <c r="J124" s="47">
        <f>IFERROR(INDEX(MitAll,$AA124,$Z124+1+J$4-Settings!$C$7),"")</f>
        <v/>
      </c>
      <c r="K124" s="47">
        <f>IFERROR(INDEX(MitAll,$AA124,$Z124+1+K$4-Settings!$C$7),"")</f>
        <v/>
      </c>
      <c r="L124" s="47">
        <f>IFERROR(INDEX(MitAll,$AA124,$Z124+1+L$4-Settings!$C$7),"")</f>
        <v/>
      </c>
      <c r="M124" s="47">
        <f>IFERROR(INDEX(MitAll,$AA124,$Z124+1+M$4-Settings!$C$7),"")</f>
        <v/>
      </c>
      <c r="N124" s="47">
        <f>IFERROR(INDEX(MitAll,$AA124,$Z124+1+N$4-Settings!$C$7),"")</f>
        <v/>
      </c>
      <c r="O124" s="47">
        <f>IFERROR(INDEX(MitAll,$AA124,$Z124+1+O$4-Settings!$C$7),"")</f>
        <v/>
      </c>
      <c r="P124" s="47">
        <f>IFERROR(INDEX(MitAll,$AA124,$Z124+1+P$4-Settings!$C$7),"")</f>
        <v/>
      </c>
      <c r="Q124" s="47">
        <f>IFERROR(INDEX(MitAll,$AA124,$Z124+1+Q$4-Settings!$C$7),"")</f>
        <v/>
      </c>
      <c r="R124" s="47">
        <f>IFERROR(INDEX(MitAll,$AA124,$Z124+1+R$4-Settings!$C$7),"")</f>
        <v/>
      </c>
      <c r="S124" s="47">
        <f>IFERROR(INDEX(MitAll,$AA124,$Z124+1+S$4-Settings!$C$7),"")</f>
        <v/>
      </c>
      <c r="T124" s="47">
        <f>IFERROR(INDEX(MitAll,$AA124,$Z124+1+T$4-Settings!$C$7),"")</f>
        <v/>
      </c>
      <c r="U124" s="47">
        <f>IFERROR(INDEX(MitAll,$AA124,$Z124+1+U$4-Settings!$C$7),"")</f>
        <v/>
      </c>
      <c r="V124" s="47">
        <f>IFERROR(INDEX(MitAll,$AA124,$Z124+1+V$4-Settings!$C$7),"")</f>
        <v/>
      </c>
      <c r="W124" s="47">
        <f>IFERROR(INDEX(MitAll,$AA124,$Z124+1+W$4-Settings!$C$7),"")</f>
        <v/>
      </c>
      <c r="X124" s="47">
        <f>IFERROR(INDEX(MitAll,$AA124,$Z124+1+X$4-Settings!$C$7),"")</f>
        <v/>
      </c>
      <c r="Y124" s="47">
        <f>IFERROR(INDEX(MitAll,$AA124,$Z124+1+Y$4-Settings!$C$7),"")</f>
        <v/>
      </c>
      <c r="Z124" s="10">
        <f>MATCH($E124,MitScen,0)</f>
        <v/>
      </c>
      <c r="AA124" s="10">
        <f>MATCH($A124,INDEX(MitAll,0,$Z124),0)</f>
        <v/>
      </c>
    </row>
    <row r="125">
      <c r="E125" s="86">
        <f>E124</f>
        <v/>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2:AA237"/>
  <sheetViews>
    <sheetView zoomScale="85" workbookViewId="0">
      <pane xSplit="7" ySplit="5" topLeftCell="H6" activePane="bottomRight" state="frozen"/>
      <selection pane="topRight"/>
      <selection pane="bottomLeft"/>
      <selection pane="bottomRight" activeCell="A1" sqref="A1"/>
    </sheetView>
  </sheetViews>
  <sheetFormatPr baseColWidth="8" defaultRowHeight="15"/>
  <cols>
    <col width="8" customWidth="1" min="1" max="1"/>
    <col width="40" customWidth="1" min="2" max="2"/>
    <col width="22" customWidth="1" min="3" max="3"/>
    <col width="28" customWidth="1" min="4" max="4"/>
    <col width="48" customWidth="1" min="5" max="5"/>
    <col width="12" customWidth="1" min="6" max="6"/>
    <col width="20"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s>
  <sheetData>
    <row r="2">
      <c r="A2" s="2" t="inlineStr">
        <is>
          <t>StoredResults - scenario results stored as values (macro RunAllScenarios)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row>
    <row r="3">
      <c r="A3" s="14" t="inlineStr">
        <is>
          <t>Values only (no formulas): one block of MTOutputs rows per scenario, under its ID (1 = baseline, stored once; definitions keep their MTInputs number). Macros (Alt+F8): RunAllScenarios, StoreBaseline, StoreLiveScenario, ClearStoredScenarios. Copy / paste values here to keep results from other files. Shipped filled by a Python emulation of RunAllScenarios.</t>
        </is>
      </c>
    </row>
    <row r="5">
      <c r="A5" s="83" t="inlineStr">
        <is>
          <t>Scenario ID</t>
        </is>
      </c>
      <c r="B5" s="83" t="inlineStr">
        <is>
          <t>Scenario name</t>
        </is>
      </c>
      <c r="C5" s="83" t="inlineStr">
        <is>
          <t>Code stem</t>
        </is>
      </c>
      <c r="D5" s="83" t="inlineStr">
        <is>
          <t>Output code</t>
        </is>
      </c>
      <c r="E5" s="83" t="inlineStr">
        <is>
          <t>Description</t>
        </is>
      </c>
      <c r="F5" s="83" t="inlineStr">
        <is>
          <t>Unit</t>
        </is>
      </c>
      <c r="G5" s="83" t="inlineStr">
        <is>
          <t>Stored</t>
        </is>
      </c>
      <c r="H5" s="8" t="n">
        <v>2022</v>
      </c>
      <c r="I5" s="8" t="n">
        <v>2023</v>
      </c>
      <c r="J5" s="8" t="n">
        <v>2024</v>
      </c>
      <c r="K5" s="8" t="n">
        <v>2025</v>
      </c>
      <c r="L5" s="8" t="n">
        <v>2026</v>
      </c>
      <c r="M5" s="8" t="n">
        <v>2027</v>
      </c>
      <c r="N5" s="8" t="n">
        <v>2028</v>
      </c>
      <c r="O5" s="8" t="n">
        <v>2029</v>
      </c>
      <c r="P5" s="8" t="n">
        <v>2030</v>
      </c>
      <c r="Q5" s="8" t="n">
        <v>2031</v>
      </c>
      <c r="R5" s="8" t="n">
        <v>2032</v>
      </c>
      <c r="S5" s="8" t="n">
        <v>2033</v>
      </c>
      <c r="T5" s="8" t="n">
        <v>2034</v>
      </c>
      <c r="U5" s="8" t="n">
        <v>2035</v>
      </c>
      <c r="V5" s="8" t="n">
        <v>2036</v>
      </c>
      <c r="W5" s="8" t="n">
        <v>2037</v>
      </c>
      <c r="X5" s="8" t="n">
        <v>2038</v>
      </c>
      <c r="Y5" s="8" t="n">
        <v>2039</v>
      </c>
      <c r="Z5" s="8" t="n">
        <v>2040</v>
      </c>
      <c r="AA5" s="8" t="n">
        <v>2041</v>
      </c>
    </row>
    <row r="6">
      <c r="A6" s="10" t="n">
        <v>1</v>
      </c>
      <c r="B6" s="14" t="inlineStr">
        <is>
          <t>Baseline (no carbon price)</t>
        </is>
      </c>
      <c r="C6" s="14" t="inlineStr">
        <is>
          <t>mit.ener.all.all.e</t>
        </is>
      </c>
      <c r="D6" s="14" t="inlineStr">
        <is>
          <t>egy.mit.ener.all.all.e.1</t>
        </is>
      </c>
      <c r="E6" s="14" t="inlineStr">
        <is>
          <t>Fuel use | All sectors | All fuels</t>
        </is>
      </c>
      <c r="F6" s="14" t="inlineStr">
        <is>
          <t>ktoe</t>
        </is>
      </c>
      <c r="G6" s="14" t="inlineStr">
        <is>
          <t>build (Python emulation of RunAllScenarios)</t>
        </is>
      </c>
      <c r="H6" s="47" t="n">
        <v>86439.2404600619</v>
      </c>
      <c r="I6" s="47" t="n">
        <v>107442.038123643</v>
      </c>
      <c r="J6" s="47" t="n">
        <v>112871.464844218</v>
      </c>
      <c r="K6" s="47" t="n">
        <v>117629.292689931</v>
      </c>
      <c r="L6" s="47" t="n">
        <v>115393.734656192</v>
      </c>
      <c r="M6" s="47" t="n">
        <v>117945.052798471</v>
      </c>
      <c r="N6" s="47" t="n">
        <v>119742.933016066</v>
      </c>
      <c r="O6" s="47" t="n">
        <v>124211.845509158</v>
      </c>
      <c r="P6" s="47" t="n">
        <v>127176.425947121</v>
      </c>
      <c r="Q6" s="47" t="n">
        <v>130908.187274086</v>
      </c>
      <c r="R6" s="47" t="n">
        <v>134186.975334479</v>
      </c>
      <c r="S6" s="47" t="n">
        <v>137824.770616379</v>
      </c>
      <c r="T6" s="47" t="n">
        <v>141366.003389333</v>
      </c>
      <c r="U6" s="47" t="n">
        <v>145080.712281054</v>
      </c>
      <c r="V6" s="47" t="n">
        <v>148805.559133736</v>
      </c>
      <c r="W6" s="47" t="n">
        <v>152633.533157606</v>
      </c>
      <c r="X6" s="47" t="n">
        <v>156504.739582254</v>
      </c>
      <c r="Y6" s="47" t="n">
        <v>160448.363945524</v>
      </c>
      <c r="Z6" s="47" t="n">
        <v>164422.123879805</v>
      </c>
      <c r="AA6" s="47" t="n">
        <v>168434.653587972</v>
      </c>
    </row>
    <row r="7">
      <c r="A7" s="10" t="n">
        <v>1</v>
      </c>
      <c r="B7" s="14" t="inlineStr">
        <is>
          <t>Baseline (no carbon price)</t>
        </is>
      </c>
      <c r="C7" s="14" t="inlineStr">
        <is>
          <t>mit.ener.tra.all.e</t>
        </is>
      </c>
      <c r="D7" s="14" t="inlineStr">
        <is>
          <t>egy.mit.ener.tra.all.e.1</t>
        </is>
      </c>
      <c r="E7" s="14" t="inlineStr">
        <is>
          <t>Fuel use | Transport | All fuels</t>
        </is>
      </c>
      <c r="F7" s="14" t="inlineStr">
        <is>
          <t>ktoe</t>
        </is>
      </c>
      <c r="G7" s="14" t="inlineStr">
        <is>
          <t>build (Python emulation of RunAllScenarios)</t>
        </is>
      </c>
      <c r="H7" s="47" t="n">
        <v>18617.341993175</v>
      </c>
      <c r="I7" s="47" t="n">
        <v>23541.5980250719</v>
      </c>
      <c r="J7" s="47" t="n">
        <v>26128.5026364968</v>
      </c>
      <c r="K7" s="47" t="n">
        <v>26687.5832788854</v>
      </c>
      <c r="L7" s="47" t="n">
        <v>27233.1950818668</v>
      </c>
      <c r="M7" s="47" t="n">
        <v>27891.1715950714</v>
      </c>
      <c r="N7" s="47" t="n">
        <v>28688.9793971096</v>
      </c>
      <c r="O7" s="47" t="n">
        <v>29454.3626520279</v>
      </c>
      <c r="P7" s="47" t="n">
        <v>30169.251683706</v>
      </c>
      <c r="Q7" s="47" t="n">
        <v>30891.6933865135</v>
      </c>
      <c r="R7" s="47" t="n">
        <v>31621.3914570392</v>
      </c>
      <c r="S7" s="47" t="n">
        <v>32358.0346726895</v>
      </c>
      <c r="T7" s="47" t="n">
        <v>33101.2969274914</v>
      </c>
      <c r="U7" s="47" t="n">
        <v>33850.8372942284</v>
      </c>
      <c r="V7" s="47" t="n">
        <v>34606.3001134848</v>
      </c>
      <c r="W7" s="47" t="n">
        <v>35367.3151101269</v>
      </c>
      <c r="X7" s="47" t="n">
        <v>36133.4975376936</v>
      </c>
      <c r="Y7" s="47" t="n">
        <v>36904.4483511184</v>
      </c>
      <c r="Z7" s="47" t="n">
        <v>37679.754408143</v>
      </c>
      <c r="AA7" s="47" t="n">
        <v>38458.9886997279</v>
      </c>
    </row>
    <row r="8">
      <c r="A8" s="10" t="n">
        <v>1</v>
      </c>
      <c r="B8" s="14" t="inlineStr">
        <is>
          <t>Baseline (no carbon price)</t>
        </is>
      </c>
      <c r="C8" s="14" t="inlineStr">
        <is>
          <t>mit.ener.bld.all.e</t>
        </is>
      </c>
      <c r="D8" s="14" t="inlineStr">
        <is>
          <t>egy.mit.ener.bld.all.e.1</t>
        </is>
      </c>
      <c r="E8" s="14" t="inlineStr">
        <is>
          <t>Fuel use | Buildings | All fuels</t>
        </is>
      </c>
      <c r="F8" s="14" t="inlineStr">
        <is>
          <t>ktoe</t>
        </is>
      </c>
      <c r="G8" s="14" t="inlineStr">
        <is>
          <t>build (Python emulation of RunAllScenarios)</t>
        </is>
      </c>
      <c r="H8" s="47" t="n">
        <v>7729.35502080619</v>
      </c>
      <c r="I8" s="47" t="n">
        <v>9899.418530253681</v>
      </c>
      <c r="J8" s="47" t="n">
        <v>11107.7261932975</v>
      </c>
      <c r="K8" s="47" t="n">
        <v>11246.4000341881</v>
      </c>
      <c r="L8" s="47" t="n">
        <v>11380.7975527416</v>
      </c>
      <c r="M8" s="47" t="n">
        <v>11542.4695644958</v>
      </c>
      <c r="N8" s="47" t="n">
        <v>11737.6016477406</v>
      </c>
      <c r="O8" s="47" t="n">
        <v>11923.277980803</v>
      </c>
      <c r="P8" s="47" t="n">
        <v>12095.3664205829</v>
      </c>
      <c r="Q8" s="47" t="n">
        <v>12268.1775419871</v>
      </c>
      <c r="R8" s="47" t="n">
        <v>12441.64291187</v>
      </c>
      <c r="S8" s="47" t="n">
        <v>12615.7027122115</v>
      </c>
      <c r="T8" s="47" t="n">
        <v>12790.290046932</v>
      </c>
      <c r="U8" s="47" t="n">
        <v>12965.3362212164</v>
      </c>
      <c r="V8" s="47" t="n">
        <v>13140.7707702568</v>
      </c>
      <c r="W8" s="47" t="n">
        <v>13316.5214908579</v>
      </c>
      <c r="X8" s="47" t="n">
        <v>13492.514475921</v>
      </c>
      <c r="Y8" s="47" t="n">
        <v>13668.6741518149</v>
      </c>
      <c r="Z8" s="47" t="n">
        <v>13844.923318642</v>
      </c>
      <c r="AA8" s="47" t="n">
        <v>14021.1831933972</v>
      </c>
    </row>
    <row r="9">
      <c r="A9" s="10" t="n">
        <v>1</v>
      </c>
      <c r="B9" s="14" t="inlineStr">
        <is>
          <t>Baseline (no carbon price)</t>
        </is>
      </c>
      <c r="C9" s="14" t="inlineStr">
        <is>
          <t>mit.ener.ind.all.e</t>
        </is>
      </c>
      <c r="D9" s="14" t="inlineStr">
        <is>
          <t>egy.mit.ener.ind.all.e.1</t>
        </is>
      </c>
      <c r="E9" s="14" t="inlineStr">
        <is>
          <t>Fuel use | Industry | All fuels</t>
        </is>
      </c>
      <c r="F9" s="14" t="inlineStr">
        <is>
          <t>ktoe</t>
        </is>
      </c>
      <c r="G9" s="14" t="inlineStr">
        <is>
          <t>build (Python emulation of RunAllScenarios)</t>
        </is>
      </c>
      <c r="H9" s="47" t="n">
        <v>23298.5358761906</v>
      </c>
      <c r="I9" s="47" t="n">
        <v>28697.8277413008</v>
      </c>
      <c r="J9" s="47" t="n">
        <v>30736.6696835399</v>
      </c>
      <c r="K9" s="47" t="n">
        <v>31758.5646495629</v>
      </c>
      <c r="L9" s="47" t="n">
        <v>32651.5642048823</v>
      </c>
      <c r="M9" s="47" t="n">
        <v>33758.1713410442</v>
      </c>
      <c r="N9" s="47" t="n">
        <v>35106.0832678224</v>
      </c>
      <c r="O9" s="47" t="n">
        <v>36427.2717025711</v>
      </c>
      <c r="P9" s="47" t="n">
        <v>37692.1525465099</v>
      </c>
      <c r="Q9" s="47" t="n">
        <v>38987.9243441691</v>
      </c>
      <c r="R9" s="47" t="n">
        <v>40308.8756144789</v>
      </c>
      <c r="S9" s="47" t="n">
        <v>41660.7471216145</v>
      </c>
      <c r="T9" s="47" t="n">
        <v>43043.5223777225</v>
      </c>
      <c r="U9" s="47" t="n">
        <v>44457.1413086033</v>
      </c>
      <c r="V9" s="47" t="n">
        <v>45901.498579231</v>
      </c>
      <c r="W9" s="47" t="n">
        <v>47376.4419596522</v>
      </c>
      <c r="X9" s="47" t="n">
        <v>48881.7707378116</v>
      </c>
      <c r="Y9" s="47" t="n">
        <v>50417.234185967</v>
      </c>
      <c r="Z9" s="47" t="n">
        <v>51982.5300874459</v>
      </c>
      <c r="AA9" s="47" t="n">
        <v>53577.303330561</v>
      </c>
    </row>
    <row r="10">
      <c r="A10" s="10" t="n">
        <v>1</v>
      </c>
      <c r="B10" s="14" t="inlineStr">
        <is>
          <t>Baseline (no carbon price)</t>
        </is>
      </c>
      <c r="C10" s="14" t="inlineStr">
        <is>
          <t>mit.ener.oen.all.e</t>
        </is>
      </c>
      <c r="D10" s="14" t="inlineStr">
        <is>
          <t>egy.mit.ener.oen.all.e.1</t>
        </is>
      </c>
      <c r="E10" s="14" t="inlineStr">
        <is>
          <t>Fuel use | Other energy use | All fuels</t>
        </is>
      </c>
      <c r="F10" s="14" t="inlineStr">
        <is>
          <t>ktoe</t>
        </is>
      </c>
      <c r="G10" s="14" t="inlineStr">
        <is>
          <t>build (Python emulation of RunAllScenarios)</t>
        </is>
      </c>
      <c r="H10" s="47" t="n">
        <v>100.678839675172</v>
      </c>
      <c r="I10" s="47" t="n">
        <v>119.663547924256</v>
      </c>
      <c r="J10" s="47" t="n">
        <v>131.840162278901</v>
      </c>
      <c r="K10" s="47" t="n">
        <v>136.04517836169</v>
      </c>
      <c r="L10" s="47" t="n">
        <v>140.220031248098</v>
      </c>
      <c r="M10" s="47" t="n">
        <v>145.176492445302</v>
      </c>
      <c r="N10" s="47" t="n">
        <v>151.117553569281</v>
      </c>
      <c r="O10" s="47" t="n">
        <v>156.933524108294</v>
      </c>
      <c r="P10" s="47" t="n">
        <v>162.496466038354</v>
      </c>
      <c r="Q10" s="47" t="n">
        <v>168.188371221638</v>
      </c>
      <c r="R10" s="47" t="n">
        <v>174.009024009831</v>
      </c>
      <c r="S10" s="47" t="n">
        <v>179.958038182814</v>
      </c>
      <c r="T10" s="47" t="n">
        <v>186.034851517533</v>
      </c>
      <c r="U10" s="47" t="n">
        <v>192.238720534055</v>
      </c>
      <c r="V10" s="47" t="n">
        <v>198.56871543846</v>
      </c>
      <c r="W10" s="47" t="n">
        <v>205.023715282307</v>
      </c>
      <c r="X10" s="47" t="n">
        <v>211.602403358506</v>
      </c>
      <c r="Y10" s="47" t="n">
        <v>218.303262853388</v>
      </c>
      <c r="Z10" s="47" t="n">
        <v>225.124572774735</v>
      </c>
      <c r="AA10" s="47" t="n">
        <v>232.064404175348</v>
      </c>
    </row>
    <row r="11">
      <c r="A11" s="10" t="n">
        <v>1</v>
      </c>
      <c r="B11" s="14" t="inlineStr">
        <is>
          <t>Baseline (no carbon price)</t>
        </is>
      </c>
      <c r="C11" s="14" t="inlineStr">
        <is>
          <t>mit.ener.pct.all.all.e</t>
        </is>
      </c>
      <c r="D11" s="14" t="inlineStr">
        <is>
          <t>egy.mit.ener.pct.all.all.e.1</t>
        </is>
      </c>
      <c r="E11" s="14" t="inlineStr">
        <is>
          <t>Change in fuel use vs scenario 1 | All sectors | All fuels</t>
        </is>
      </c>
      <c r="F11" s="14" t="inlineStr">
        <is>
          <t>%</t>
        </is>
      </c>
      <c r="G11" s="14" t="inlineStr">
        <is>
          <t>build (Python emulation of RunAllScenarios)</t>
        </is>
      </c>
      <c r="H11" s="13" t="n">
        <v>0</v>
      </c>
      <c r="I11" s="13" t="n">
        <v>0</v>
      </c>
      <c r="J11" s="13" t="n">
        <v>0</v>
      </c>
      <c r="K11" s="13" t="n">
        <v>0</v>
      </c>
      <c r="L11" s="13" t="n">
        <v>0</v>
      </c>
      <c r="M11" s="13" t="n">
        <v>0</v>
      </c>
      <c r="N11" s="13" t="n">
        <v>0</v>
      </c>
      <c r="O11" s="13" t="n">
        <v>0</v>
      </c>
      <c r="P11" s="13" t="n">
        <v>0</v>
      </c>
      <c r="Q11" s="13" t="n">
        <v>0</v>
      </c>
      <c r="R11" s="13" t="n">
        <v>0</v>
      </c>
      <c r="S11" s="13" t="n">
        <v>0</v>
      </c>
      <c r="T11" s="13" t="n">
        <v>0</v>
      </c>
      <c r="U11" s="13" t="n">
        <v>0</v>
      </c>
      <c r="V11" s="13" t="n">
        <v>0</v>
      </c>
      <c r="W11" s="13" t="n">
        <v>0</v>
      </c>
      <c r="X11" s="13" t="n">
        <v>0</v>
      </c>
      <c r="Y11" s="13" t="n">
        <v>0</v>
      </c>
      <c r="Z11" s="13" t="n">
        <v>0</v>
      </c>
      <c r="AA11" s="13" t="n">
        <v>0</v>
      </c>
    </row>
    <row r="12">
      <c r="A12" s="10" t="n">
        <v>1</v>
      </c>
      <c r="B12" s="14" t="inlineStr">
        <is>
          <t>Baseline (no carbon price)</t>
        </is>
      </c>
      <c r="C12" s="14" t="inlineStr">
        <is>
          <t>mit.co2.all.all.e</t>
        </is>
      </c>
      <c r="D12" s="14" t="inlineStr">
        <is>
          <t>egy.mit.co2.all.all.e.1</t>
        </is>
      </c>
      <c r="E12" s="14" t="inlineStr">
        <is>
          <t>CO2 emissions from fuel combustion | All sectors | All fuels</t>
        </is>
      </c>
      <c r="F12" s="14" t="inlineStr">
        <is>
          <t>MtCO2</t>
        </is>
      </c>
      <c r="G12" s="14" t="inlineStr">
        <is>
          <t>build (Python emulation of RunAllScenarios)</t>
        </is>
      </c>
      <c r="H12" s="44" t="n">
        <v>224.854684204376</v>
      </c>
      <c r="I12" s="44" t="n">
        <v>280.546724196191</v>
      </c>
      <c r="J12" s="44" t="n">
        <v>297.2166037113</v>
      </c>
      <c r="K12" s="44" t="n">
        <v>310.19953651693</v>
      </c>
      <c r="L12" s="44" t="n">
        <v>306.727191181382</v>
      </c>
      <c r="M12" s="44" t="n">
        <v>313.2980199024</v>
      </c>
      <c r="N12" s="44" t="n">
        <v>318.3083805489</v>
      </c>
      <c r="O12" s="44" t="n">
        <v>329.526627441901</v>
      </c>
      <c r="P12" s="44" t="n">
        <v>337.19396613959</v>
      </c>
      <c r="Q12" s="44" t="n">
        <v>346.668735663779</v>
      </c>
      <c r="R12" s="44" t="n">
        <v>355.094412274911</v>
      </c>
      <c r="S12" s="44" t="n">
        <v>364.373957059978</v>
      </c>
      <c r="T12" s="44" t="n">
        <v>373.444751010637</v>
      </c>
      <c r="U12" s="44" t="n">
        <v>382.935898991882</v>
      </c>
      <c r="V12" s="44" t="n">
        <v>392.466086959845</v>
      </c>
      <c r="W12" s="44" t="n">
        <v>402.251644749212</v>
      </c>
      <c r="X12" s="44" t="n">
        <v>412.152356740844</v>
      </c>
      <c r="Y12" s="44" t="n">
        <v>422.23573699733</v>
      </c>
      <c r="Z12" s="44" t="n">
        <v>432.402319652436</v>
      </c>
      <c r="AA12" s="44" t="n">
        <v>442.67168400012</v>
      </c>
    </row>
    <row r="13">
      <c r="A13" s="10" t="n">
        <v>1</v>
      </c>
      <c r="B13" s="14" t="inlineStr">
        <is>
          <t>Baseline (no carbon price)</t>
        </is>
      </c>
      <c r="C13" s="14" t="inlineStr">
        <is>
          <t>mit.co2.tra.all.e</t>
        </is>
      </c>
      <c r="D13" s="14" t="inlineStr">
        <is>
          <t>egy.mit.co2.tra.all.e.1</t>
        </is>
      </c>
      <c r="E13" s="14" t="inlineStr">
        <is>
          <t>CO2 emissions from fuel combustion | Transport | All fuels</t>
        </is>
      </c>
      <c r="F13" s="14" t="inlineStr">
        <is>
          <t>MtCO2</t>
        </is>
      </c>
      <c r="G13" s="14" t="inlineStr">
        <is>
          <t>build (Python emulation of RunAllScenarios)</t>
        </is>
      </c>
      <c r="H13" s="44" t="n">
        <v>53.3839807233738</v>
      </c>
      <c r="I13" s="44" t="n">
        <v>67.4347151975622</v>
      </c>
      <c r="J13" s="44" t="n">
        <v>74.69987967755689</v>
      </c>
      <c r="K13" s="44" t="n">
        <v>76.29428948234271</v>
      </c>
      <c r="L13" s="44" t="n">
        <v>77.85009088208371</v>
      </c>
      <c r="M13" s="44" t="n">
        <v>79.7266388035367</v>
      </c>
      <c r="N13" s="44" t="n">
        <v>82.00230721832131</v>
      </c>
      <c r="O13" s="44" t="n">
        <v>84.1851685431178</v>
      </c>
      <c r="P13" s="44" t="n">
        <v>86.2236504556171</v>
      </c>
      <c r="Q13" s="44" t="n">
        <v>88.2835052542615</v>
      </c>
      <c r="R13" s="44" t="n">
        <v>90.36388444375631</v>
      </c>
      <c r="S13" s="44" t="n">
        <v>92.46389715728721</v>
      </c>
      <c r="T13" s="44" t="n">
        <v>94.5826102687376</v>
      </c>
      <c r="U13" s="44" t="n">
        <v>96.71904857981821</v>
      </c>
      <c r="V13" s="44" t="n">
        <v>98.87219508372139</v>
      </c>
      <c r="W13" s="44" t="n">
        <v>101.040991306772</v>
      </c>
      <c r="X13" s="44" t="n">
        <v>103.224337729403</v>
      </c>
      <c r="Y13" s="44" t="n">
        <v>105.421094287613</v>
      </c>
      <c r="Z13" s="44" t="n">
        <v>107.630080955929</v>
      </c>
      <c r="AA13" s="44" t="n">
        <v>109.850078412685</v>
      </c>
    </row>
    <row r="14">
      <c r="A14" s="10" t="n">
        <v>1</v>
      </c>
      <c r="B14" s="14" t="inlineStr">
        <is>
          <t>Baseline (no carbon price)</t>
        </is>
      </c>
      <c r="C14" s="14" t="inlineStr">
        <is>
          <t>mit.co2.bld.all.e</t>
        </is>
      </c>
      <c r="D14" s="14" t="inlineStr">
        <is>
          <t>egy.mit.co2.bld.all.e.1</t>
        </is>
      </c>
      <c r="E14" s="14" t="inlineStr">
        <is>
          <t>CO2 emissions from fuel combustion | Buildings | All fuels</t>
        </is>
      </c>
      <c r="F14" s="14" t="inlineStr">
        <is>
          <t>MtCO2</t>
        </is>
      </c>
      <c r="G14" s="14" t="inlineStr">
        <is>
          <t>build (Python emulation of RunAllScenarios)</t>
        </is>
      </c>
      <c r="H14" s="44" t="n">
        <v>16.7595941809113</v>
      </c>
      <c r="I14" s="44" t="n">
        <v>22.7269362675372</v>
      </c>
      <c r="J14" s="44" t="n">
        <v>25.869713488342</v>
      </c>
      <c r="K14" s="44" t="n">
        <v>26.2573345733167</v>
      </c>
      <c r="L14" s="44" t="n">
        <v>26.6338045696755</v>
      </c>
      <c r="M14" s="44" t="n">
        <v>27.0838517278908</v>
      </c>
      <c r="N14" s="44" t="n">
        <v>27.6242701548345</v>
      </c>
      <c r="O14" s="44" t="n">
        <v>28.1400179775309</v>
      </c>
      <c r="P14" s="44" t="n">
        <v>28.6198819214104</v>
      </c>
      <c r="Q14" s="44" t="n">
        <v>29.102264599198</v>
      </c>
      <c r="R14" s="44" t="n">
        <v>29.5869686775841</v>
      </c>
      <c r="S14" s="44" t="n">
        <v>30.0738326774315</v>
      </c>
      <c r="T14" s="44" t="n">
        <v>30.562668986018</v>
      </c>
      <c r="U14" s="44" t="n">
        <v>31.053284669024</v>
      </c>
      <c r="V14" s="44" t="n">
        <v>31.5454815494928</v>
      </c>
      <c r="W14" s="44" t="n">
        <v>32.0390562951449</v>
      </c>
      <c r="X14" s="44" t="n">
        <v>32.5338005140942</v>
      </c>
      <c r="Y14" s="44" t="n">
        <v>33.0295008590021</v>
      </c>
      <c r="Z14" s="44" t="n">
        <v>33.5259391396883</v>
      </c>
      <c r="AA14" s="44" t="n">
        <v>34.0228924442052</v>
      </c>
    </row>
    <row r="15">
      <c r="A15" s="10" t="n">
        <v>1</v>
      </c>
      <c r="B15" s="14" t="inlineStr">
        <is>
          <t>Baseline (no carbon price)</t>
        </is>
      </c>
      <c r="C15" s="14" t="inlineStr">
        <is>
          <t>mit.co2.ind.all.e</t>
        </is>
      </c>
      <c r="D15" s="14" t="inlineStr">
        <is>
          <t>egy.mit.co2.ind.all.e.1</t>
        </is>
      </c>
      <c r="E15" s="14" t="inlineStr">
        <is>
          <t>CO2 emissions from fuel combustion | Industry | All fuels</t>
        </is>
      </c>
      <c r="F15" s="14" t="inlineStr">
        <is>
          <t>MtCO2</t>
        </is>
      </c>
      <c r="G15" s="14" t="inlineStr">
        <is>
          <t>build (Python emulation of RunAllScenarios)</t>
        </is>
      </c>
      <c r="H15" s="44" t="n">
        <v>64.33222890849839</v>
      </c>
      <c r="I15" s="44" t="n">
        <v>80.2273620913227</v>
      </c>
      <c r="J15" s="44" t="n">
        <v>86.5141895930134</v>
      </c>
      <c r="K15" s="44" t="n">
        <v>89.3966824035958</v>
      </c>
      <c r="L15" s="44" t="n">
        <v>91.7467432409538</v>
      </c>
      <c r="M15" s="44" t="n">
        <v>94.7219476540668</v>
      </c>
      <c r="N15" s="44" t="n">
        <v>98.36624567729611</v>
      </c>
      <c r="O15" s="44" t="n">
        <v>101.935015533263</v>
      </c>
      <c r="P15" s="44" t="n">
        <v>105.349232272923</v>
      </c>
      <c r="Q15" s="44" t="n">
        <v>108.842937978489</v>
      </c>
      <c r="R15" s="44" t="n">
        <v>112.392015567382</v>
      </c>
      <c r="S15" s="44" t="n">
        <v>116.020360549125</v>
      </c>
      <c r="T15" s="44" t="n">
        <v>119.727831310932</v>
      </c>
      <c r="U15" s="44" t="n">
        <v>123.514174062084</v>
      </c>
      <c r="V15" s="44" t="n">
        <v>127.379018741532</v>
      </c>
      <c r="W15" s="44" t="n">
        <v>131.32187503292</v>
      </c>
      <c r="X15" s="44" t="n">
        <v>135.34212850318</v>
      </c>
      <c r="Y15" s="44" t="n">
        <v>139.439036881104</v>
      </c>
      <c r="Z15" s="44" t="n">
        <v>143.611726492484</v>
      </c>
      <c r="AA15" s="44" t="n">
        <v>147.859188868564</v>
      </c>
    </row>
    <row r="16">
      <c r="A16" s="10" t="n">
        <v>1</v>
      </c>
      <c r="B16" s="14" t="inlineStr">
        <is>
          <t>Baseline (no carbon price)</t>
        </is>
      </c>
      <c r="C16" s="14" t="inlineStr">
        <is>
          <t>mit.co2.chg.all.all</t>
        </is>
      </c>
      <c r="D16" s="14" t="inlineStr">
        <is>
          <t>egy.mit.co2.chg.all.all.1</t>
        </is>
      </c>
      <c r="E16" s="14" t="inlineStr">
        <is>
          <t>Change in CO2 emissions vs scenario 1 | All sectors | All fuels</t>
        </is>
      </c>
      <c r="F16" s="14" t="inlineStr">
        <is>
          <t>MtCO2</t>
        </is>
      </c>
      <c r="G16" s="14" t="inlineStr">
        <is>
          <t>build (Python emulation of RunAllScenarios)</t>
        </is>
      </c>
      <c r="H16" s="44" t="n">
        <v>0</v>
      </c>
      <c r="I16" s="44" t="n">
        <v>0</v>
      </c>
      <c r="J16" s="44" t="n">
        <v>0</v>
      </c>
      <c r="K16" s="44" t="n">
        <v>0</v>
      </c>
      <c r="L16" s="44" t="n">
        <v>0</v>
      </c>
      <c r="M16" s="44" t="n">
        <v>0</v>
      </c>
      <c r="N16" s="44" t="n">
        <v>0</v>
      </c>
      <c r="O16" s="44" t="n">
        <v>0</v>
      </c>
      <c r="P16" s="44" t="n">
        <v>0</v>
      </c>
      <c r="Q16" s="44" t="n">
        <v>0</v>
      </c>
      <c r="R16" s="44" t="n">
        <v>0</v>
      </c>
      <c r="S16" s="44" t="n">
        <v>0</v>
      </c>
      <c r="T16" s="44" t="n">
        <v>0</v>
      </c>
      <c r="U16" s="44" t="n">
        <v>0</v>
      </c>
      <c r="V16" s="44" t="n">
        <v>0</v>
      </c>
      <c r="W16" s="44" t="n">
        <v>0</v>
      </c>
      <c r="X16" s="44" t="n">
        <v>0</v>
      </c>
      <c r="Y16" s="44" t="n">
        <v>0</v>
      </c>
      <c r="Z16" s="44" t="n">
        <v>0</v>
      </c>
      <c r="AA16" s="44" t="n">
        <v>0</v>
      </c>
    </row>
    <row r="17">
      <c r="A17" s="10" t="n">
        <v>1</v>
      </c>
      <c r="B17" s="14" t="inlineStr">
        <is>
          <t>Baseline (no carbon price)</t>
        </is>
      </c>
      <c r="C17" s="14" t="inlineStr">
        <is>
          <t>mit.co2.pct.all.all</t>
        </is>
      </c>
      <c r="D17" s="14" t="inlineStr">
        <is>
          <t>egy.mit.co2.pct.all.all.1</t>
        </is>
      </c>
      <c r="E17" s="14" t="inlineStr">
        <is>
          <t>Change in CO2 emissions vs scenario 1 | All sectors | All fuels</t>
        </is>
      </c>
      <c r="F17" s="14" t="inlineStr">
        <is>
          <t>%</t>
        </is>
      </c>
      <c r="G17" s="14" t="inlineStr">
        <is>
          <t>build (Python emulation of RunAllScenarios)</t>
        </is>
      </c>
      <c r="H17" s="13" t="n">
        <v>0</v>
      </c>
      <c r="I17" s="13" t="n">
        <v>0</v>
      </c>
      <c r="J17" s="13" t="n">
        <v>0</v>
      </c>
      <c r="K17" s="13" t="n">
        <v>0</v>
      </c>
      <c r="L17" s="13" t="n">
        <v>0</v>
      </c>
      <c r="M17" s="13" t="n">
        <v>0</v>
      </c>
      <c r="N17" s="13" t="n">
        <v>0</v>
      </c>
      <c r="O17" s="13" t="n">
        <v>0</v>
      </c>
      <c r="P17" s="13" t="n">
        <v>0</v>
      </c>
      <c r="Q17" s="13" t="n">
        <v>0</v>
      </c>
      <c r="R17" s="13" t="n">
        <v>0</v>
      </c>
      <c r="S17" s="13" t="n">
        <v>0</v>
      </c>
      <c r="T17" s="13" t="n">
        <v>0</v>
      </c>
      <c r="U17" s="13" t="n">
        <v>0</v>
      </c>
      <c r="V17" s="13" t="n">
        <v>0</v>
      </c>
      <c r="W17" s="13" t="n">
        <v>0</v>
      </c>
      <c r="X17" s="13" t="n">
        <v>0</v>
      </c>
      <c r="Y17" s="13" t="n">
        <v>0</v>
      </c>
      <c r="Z17" s="13" t="n">
        <v>0</v>
      </c>
      <c r="AA17" s="13" t="n">
        <v>0</v>
      </c>
    </row>
    <row r="18">
      <c r="A18" s="10" t="n">
        <v>1</v>
      </c>
      <c r="B18" s="14" t="inlineStr">
        <is>
          <t>Baseline (no carbon price)</t>
        </is>
      </c>
      <c r="C18" s="14" t="inlineStr">
        <is>
          <t>mit.rtx.all.all</t>
        </is>
      </c>
      <c r="D18" s="14" t="inlineStr">
        <is>
          <t>egy.mit.rtx.all.all.1</t>
        </is>
      </c>
      <c r="E18" s="14" t="inlineStr">
        <is>
          <t>Revenue from existing taxes (excise and other taxes + VAT; incl. the change in existing carbon pricing) | All sectors | All fuels</t>
        </is>
      </c>
      <c r="F18" s="14" t="inlineStr">
        <is>
          <t>USD m real</t>
        </is>
      </c>
      <c r="G18" s="14" t="inlineStr">
        <is>
          <t>build (Python emulation of RunAllScenarios)</t>
        </is>
      </c>
      <c r="H18" s="47" t="n">
        <v>24.7499116507651</v>
      </c>
      <c r="I18" s="47" t="n">
        <v>18.5902691501866</v>
      </c>
      <c r="J18" s="47" t="n">
        <v>15.551422727851</v>
      </c>
      <c r="K18" s="47" t="n">
        <v>16.3839035831061</v>
      </c>
      <c r="L18" s="47" t="n">
        <v>16.3521637616865</v>
      </c>
      <c r="M18" s="47" t="n">
        <v>16.6120256666521</v>
      </c>
      <c r="N18" s="47" t="n">
        <v>17.0382889944466</v>
      </c>
      <c r="O18" s="47" t="n">
        <v>17.4527141257418</v>
      </c>
      <c r="P18" s="47" t="n">
        <v>17.8475341369078</v>
      </c>
      <c r="Q18" s="47" t="n">
        <v>18.2453967973365</v>
      </c>
      <c r="R18" s="47" t="n">
        <v>18.6056626634317</v>
      </c>
      <c r="S18" s="47" t="n">
        <v>18.9682623188375</v>
      </c>
      <c r="T18" s="47" t="n">
        <v>19.3330536321841</v>
      </c>
      <c r="U18" s="47" t="n">
        <v>19.6998898819334</v>
      </c>
      <c r="V18" s="47" t="n">
        <v>20.0686198160498</v>
      </c>
      <c r="W18" s="47" t="n">
        <v>20.4390877188102</v>
      </c>
      <c r="X18" s="47" t="n">
        <v>20.8111334847941</v>
      </c>
      <c r="Y18" s="47" t="n">
        <v>21.1845927000861</v>
      </c>
      <c r="Z18" s="47" t="n">
        <v>21.5592967307068</v>
      </c>
      <c r="AA18" s="47" t="n">
        <v>21.9350728182781</v>
      </c>
    </row>
    <row r="19">
      <c r="A19" s="10" t="n">
        <v>1</v>
      </c>
      <c r="B19" s="14" t="inlineStr">
        <is>
          <t>Baseline (no carbon price)</t>
        </is>
      </c>
      <c r="C19" s="14" t="inlineStr">
        <is>
          <t>mit.rsub.all.all</t>
        </is>
      </c>
      <c r="D19" s="14" t="inlineStr">
        <is>
          <t>egy.mit.rsub.all.all.1</t>
        </is>
      </c>
      <c r="E19" s="14" t="inlineStr">
        <is>
          <t>Cost of existing consumer subsidies (positive = cost) | All sectors | All fuels</t>
        </is>
      </c>
      <c r="F19" s="14" t="inlineStr">
        <is>
          <t>USD m real</t>
        </is>
      </c>
      <c r="G19" s="14" t="inlineStr">
        <is>
          <t>build (Python emulation of RunAllScenarios)</t>
        </is>
      </c>
      <c r="H19" s="47" t="n">
        <v>46393.0558158373</v>
      </c>
      <c r="I19" s="47" t="n">
        <v>52675.4277944494</v>
      </c>
      <c r="J19" s="47" t="n">
        <v>55386.7369373411</v>
      </c>
      <c r="K19" s="47" t="n">
        <v>53289.4461467534</v>
      </c>
      <c r="L19" s="47" t="n">
        <v>60410.3968495207</v>
      </c>
      <c r="M19" s="47" t="n">
        <v>53395.1982594294</v>
      </c>
      <c r="N19" s="47" t="n">
        <v>48706.7509557759</v>
      </c>
      <c r="O19" s="47" t="n">
        <v>48135.3473985751</v>
      </c>
      <c r="P19" s="47" t="n">
        <v>48300.601643171</v>
      </c>
      <c r="Q19" s="47" t="n">
        <v>48797.9159061211</v>
      </c>
      <c r="R19" s="47" t="n">
        <v>50124.7844811222</v>
      </c>
      <c r="S19" s="47" t="n">
        <v>51549.9925385439</v>
      </c>
      <c r="T19" s="47" t="n">
        <v>52955.2302256953</v>
      </c>
      <c r="U19" s="47" t="n">
        <v>54412.1882937331</v>
      </c>
      <c r="V19" s="47" t="n">
        <v>55879.4117590488</v>
      </c>
      <c r="W19" s="47" t="n">
        <v>57381.2960917814</v>
      </c>
      <c r="X19" s="47" t="n">
        <v>58903.0316519893</v>
      </c>
      <c r="Y19" s="47" t="n">
        <v>60452.1876219483</v>
      </c>
      <c r="Z19" s="47" t="n">
        <v>62020.6094100687</v>
      </c>
      <c r="AA19" s="47" t="n">
        <v>63610.5378985532</v>
      </c>
    </row>
    <row r="20">
      <c r="A20" s="10" t="n">
        <v>1</v>
      </c>
      <c r="B20" s="14" t="inlineStr">
        <is>
          <t>Baseline (no carbon price)</t>
        </is>
      </c>
      <c r="C20" s="14" t="inlineStr">
        <is>
          <t>mit.rnew.all.all</t>
        </is>
      </c>
      <c r="D20" s="14" t="inlineStr">
        <is>
          <t>egy.mit.rnew.all.all.1</t>
        </is>
      </c>
      <c r="E20" s="14" t="inlineStr">
        <is>
          <t>Revenue from new policies (carbon tax, excise, auctioned ETS, VAT on them) | All sectors | All fuels</t>
        </is>
      </c>
      <c r="F20" s="14" t="inlineStr">
        <is>
          <t>USD m real</t>
        </is>
      </c>
      <c r="G20" s="14" t="inlineStr">
        <is>
          <t>build (Python emulation of RunAllScenarios)</t>
        </is>
      </c>
      <c r="H20" s="47" t="n">
        <v>0</v>
      </c>
      <c r="I20" s="47" t="n">
        <v>0</v>
      </c>
      <c r="J20" s="47" t="n">
        <v>0</v>
      </c>
      <c r="K20" s="47" t="n">
        <v>0</v>
      </c>
      <c r="L20" s="47" t="n">
        <v>0</v>
      </c>
      <c r="M20" s="47" t="n">
        <v>0</v>
      </c>
      <c r="N20" s="47" t="n">
        <v>0</v>
      </c>
      <c r="O20" s="47" t="n">
        <v>0</v>
      </c>
      <c r="P20" s="47" t="n">
        <v>0</v>
      </c>
      <c r="Q20" s="47" t="n">
        <v>0</v>
      </c>
      <c r="R20" s="47" t="n">
        <v>0</v>
      </c>
      <c r="S20" s="47" t="n">
        <v>0</v>
      </c>
      <c r="T20" s="47" t="n">
        <v>0</v>
      </c>
      <c r="U20" s="47" t="n">
        <v>0</v>
      </c>
      <c r="V20" s="47" t="n">
        <v>0</v>
      </c>
      <c r="W20" s="47" t="n">
        <v>0</v>
      </c>
      <c r="X20" s="47" t="n">
        <v>0</v>
      </c>
      <c r="Y20" s="47" t="n">
        <v>0</v>
      </c>
      <c r="Z20" s="47" t="n">
        <v>0</v>
      </c>
      <c r="AA20" s="47" t="n">
        <v>0</v>
      </c>
    </row>
    <row r="21">
      <c r="A21" s="10" t="n">
        <v>1</v>
      </c>
      <c r="B21" s="14" t="inlineStr">
        <is>
          <t>Baseline (no carbon price)</t>
        </is>
      </c>
      <c r="C21" s="14" t="inlineStr">
        <is>
          <t>mit.rtot.all.all</t>
        </is>
      </c>
      <c r="D21" s="14" t="inlineStr">
        <is>
          <t>egy.mit.rtot.all.all.1</t>
        </is>
      </c>
      <c r="E21" s="14" t="inlineStr">
        <is>
          <t>Total revenue (net existing + new policies) | All sectors | All fuels</t>
        </is>
      </c>
      <c r="F21" s="14" t="inlineStr">
        <is>
          <t>USD m real</t>
        </is>
      </c>
      <c r="G21" s="14" t="inlineStr">
        <is>
          <t>build (Python emulation of RunAllScenarios)</t>
        </is>
      </c>
      <c r="H21" s="47" t="n">
        <v>-46368.3059041866</v>
      </c>
      <c r="I21" s="47" t="n">
        <v>-52656.8375252992</v>
      </c>
      <c r="J21" s="47" t="n">
        <v>-55371.1855146132</v>
      </c>
      <c r="K21" s="47" t="n">
        <v>-53273.0622431703</v>
      </c>
      <c r="L21" s="47" t="n">
        <v>-60394.044685759</v>
      </c>
      <c r="M21" s="47" t="n">
        <v>-53378.5862337628</v>
      </c>
      <c r="N21" s="47" t="n">
        <v>-48689.7126667815</v>
      </c>
      <c r="O21" s="47" t="n">
        <v>-48117.8946844493</v>
      </c>
      <c r="P21" s="47" t="n">
        <v>-48282.7541090341</v>
      </c>
      <c r="Q21" s="47" t="n">
        <v>-48779.6705093238</v>
      </c>
      <c r="R21" s="47" t="n">
        <v>-50106.1788184587</v>
      </c>
      <c r="S21" s="47" t="n">
        <v>-51531.0242762251</v>
      </c>
      <c r="T21" s="47" t="n">
        <v>-52935.8971720631</v>
      </c>
      <c r="U21" s="47" t="n">
        <v>-54392.4884038512</v>
      </c>
      <c r="V21" s="47" t="n">
        <v>-55859.3431392327</v>
      </c>
      <c r="W21" s="47" t="n">
        <v>-57360.8570040626</v>
      </c>
      <c r="X21" s="47" t="n">
        <v>-58882.2205185045</v>
      </c>
      <c r="Y21" s="47" t="n">
        <v>-60431.0030292482</v>
      </c>
      <c r="Z21" s="47" t="n">
        <v>-61999.050113338</v>
      </c>
      <c r="AA21" s="47" t="n">
        <v>-63588.6028257349</v>
      </c>
    </row>
    <row r="22">
      <c r="A22" s="10" t="n">
        <v>1</v>
      </c>
      <c r="B22" s="14" t="inlineStr">
        <is>
          <t>Baseline (no carbon price)</t>
        </is>
      </c>
      <c r="C22" s="14" t="inlineStr">
        <is>
          <t>mit.rtot.chg.all.all</t>
        </is>
      </c>
      <c r="D22" s="14" t="inlineStr">
        <is>
          <t>egy.mit.rtot.chg.all.all.1</t>
        </is>
      </c>
      <c r="E22" s="14" t="inlineStr">
        <is>
          <t>Change in total revenue vs scenario 1 (fiscal effect) | All sectors | All fuels</t>
        </is>
      </c>
      <c r="F22" s="14" t="inlineStr">
        <is>
          <t>USD m real</t>
        </is>
      </c>
      <c r="G22" s="14" t="inlineStr">
        <is>
          <t>build (Python emulation of RunAllScenarios)</t>
        </is>
      </c>
      <c r="H22" s="47" t="n">
        <v>0</v>
      </c>
      <c r="I22" s="47" t="n">
        <v>0</v>
      </c>
      <c r="J22" s="47" t="n">
        <v>0</v>
      </c>
      <c r="K22" s="47" t="n">
        <v>0</v>
      </c>
      <c r="L22" s="47" t="n">
        <v>0</v>
      </c>
      <c r="M22" s="47" t="n">
        <v>0</v>
      </c>
      <c r="N22" s="47" t="n">
        <v>0</v>
      </c>
      <c r="O22" s="47" t="n">
        <v>0</v>
      </c>
      <c r="P22" s="47" t="n">
        <v>0</v>
      </c>
      <c r="Q22" s="47" t="n">
        <v>0</v>
      </c>
      <c r="R22" s="47" t="n">
        <v>0</v>
      </c>
      <c r="S22" s="47" t="n">
        <v>0</v>
      </c>
      <c r="T22" s="47" t="n">
        <v>0</v>
      </c>
      <c r="U22" s="47" t="n">
        <v>0</v>
      </c>
      <c r="V22" s="47" t="n">
        <v>0</v>
      </c>
      <c r="W22" s="47" t="n">
        <v>0</v>
      </c>
      <c r="X22" s="47" t="n">
        <v>0</v>
      </c>
      <c r="Y22" s="47" t="n">
        <v>0</v>
      </c>
      <c r="Z22" s="47" t="n">
        <v>0</v>
      </c>
      <c r="AA22" s="47" t="n">
        <v>0</v>
      </c>
    </row>
    <row r="23">
      <c r="A23" s="10" t="n">
        <v>1</v>
      </c>
      <c r="B23" s="14" t="inlineStr">
        <is>
          <t>Baseline (no carbon price)</t>
        </is>
      </c>
      <c r="C23" s="14" t="inlineStr">
        <is>
          <t>mit.ener.pow.all.e</t>
        </is>
      </c>
      <c r="D23" s="14" t="inlineStr">
        <is>
          <t>egy.mit.ener.pow.all.e.1</t>
        </is>
      </c>
      <c r="E23" s="14" t="inlineStr">
        <is>
          <t>Fuel use | Power | All fuels</t>
        </is>
      </c>
      <c r="F23" s="14" t="inlineStr">
        <is>
          <t>ktoe</t>
        </is>
      </c>
      <c r="G23" s="14" t="inlineStr">
        <is>
          <t>build (Python emulation of RunAllScenarios)</t>
        </is>
      </c>
      <c r="H23" s="47" t="n">
        <v>36693.328730215</v>
      </c>
      <c r="I23" s="47" t="n">
        <v>45183.530279092</v>
      </c>
      <c r="J23" s="47" t="n">
        <v>44766.7261686048</v>
      </c>
      <c r="K23" s="47" t="n">
        <v>47800.699548933</v>
      </c>
      <c r="L23" s="47" t="n">
        <v>43987.9577854532</v>
      </c>
      <c r="M23" s="47" t="n">
        <v>44608.0638054142</v>
      </c>
      <c r="N23" s="47" t="n">
        <v>44059.1511498246</v>
      </c>
      <c r="O23" s="47" t="n">
        <v>46249.9996496481</v>
      </c>
      <c r="P23" s="47" t="n">
        <v>47057.1588302838</v>
      </c>
      <c r="Q23" s="47" t="n">
        <v>48592.2036301948</v>
      </c>
      <c r="R23" s="47" t="n">
        <v>49641.056327081</v>
      </c>
      <c r="S23" s="47" t="n">
        <v>51010.3280716803</v>
      </c>
      <c r="T23" s="47" t="n">
        <v>52244.8591856692</v>
      </c>
      <c r="U23" s="47" t="n">
        <v>53615.158736472</v>
      </c>
      <c r="V23" s="47" t="n">
        <v>54958.420955325</v>
      </c>
      <c r="W23" s="47" t="n">
        <v>56368.2308816869</v>
      </c>
      <c r="X23" s="47" t="n">
        <v>57785.3544274695</v>
      </c>
      <c r="Y23" s="47" t="n">
        <v>59239.7039937704</v>
      </c>
      <c r="Z23" s="47" t="n">
        <v>60689.7914927993</v>
      </c>
      <c r="AA23" s="47" t="n">
        <v>62145.1139601104</v>
      </c>
    </row>
    <row r="24">
      <c r="A24" s="10" t="n">
        <v>1</v>
      </c>
      <c r="B24" s="14" t="inlineStr">
        <is>
          <t>Baseline (no carbon price)</t>
        </is>
      </c>
      <c r="C24" s="14" t="inlineStr">
        <is>
          <t>mit.rtx.pow.all</t>
        </is>
      </c>
      <c r="D24" s="14" t="inlineStr">
        <is>
          <t>egy.mit.rtx.pow.all.1</t>
        </is>
      </c>
      <c r="E24" s="14" t="inlineStr">
        <is>
          <t>Revenue from existing taxes (excise and other taxes + VAT; incl. the change in existing carbon pricing) | Power | All fuels</t>
        </is>
      </c>
      <c r="F24" s="14" t="inlineStr">
        <is>
          <t>USD m real</t>
        </is>
      </c>
      <c r="G24" s="14" t="inlineStr">
        <is>
          <t>build (Python emulation of RunAllScenarios)</t>
        </is>
      </c>
      <c r="H24" s="47" t="n">
        <v>0</v>
      </c>
      <c r="I24" s="47" t="n">
        <v>0</v>
      </c>
      <c r="J24" s="47" t="n">
        <v>0</v>
      </c>
      <c r="K24" s="47" t="n">
        <v>0</v>
      </c>
      <c r="L24" s="47" t="n">
        <v>0</v>
      </c>
      <c r="M24" s="47" t="n">
        <v>0</v>
      </c>
      <c r="N24" s="47" t="n">
        <v>0</v>
      </c>
      <c r="O24" s="47" t="n">
        <v>0</v>
      </c>
      <c r="P24" s="47" t="n">
        <v>0</v>
      </c>
      <c r="Q24" s="47" t="n">
        <v>0</v>
      </c>
      <c r="R24" s="47" t="n">
        <v>0</v>
      </c>
      <c r="S24" s="47" t="n">
        <v>0</v>
      </c>
      <c r="T24" s="47" t="n">
        <v>0</v>
      </c>
      <c r="U24" s="47" t="n">
        <v>0</v>
      </c>
      <c r="V24" s="47" t="n">
        <v>0</v>
      </c>
      <c r="W24" s="47" t="n">
        <v>0</v>
      </c>
      <c r="X24" s="47" t="n">
        <v>0</v>
      </c>
      <c r="Y24" s="47" t="n">
        <v>0</v>
      </c>
      <c r="Z24" s="47" t="n">
        <v>0</v>
      </c>
      <c r="AA24" s="47" t="n">
        <v>0</v>
      </c>
    </row>
    <row r="25">
      <c r="A25" s="10" t="n">
        <v>1</v>
      </c>
      <c r="B25" s="14" t="inlineStr">
        <is>
          <t>Baseline (no carbon price)</t>
        </is>
      </c>
      <c r="C25" s="14" t="inlineStr">
        <is>
          <t>mit.rsub.pow.all</t>
        </is>
      </c>
      <c r="D25" s="14" t="inlineStr">
        <is>
          <t>egy.mit.rsub.pow.all.1</t>
        </is>
      </c>
      <c r="E25" s="14" t="inlineStr">
        <is>
          <t>Cost of existing consumer subsidies (positive = cost) | Power | All fuels</t>
        </is>
      </c>
      <c r="F25" s="14" t="inlineStr">
        <is>
          <t>USD m real</t>
        </is>
      </c>
      <c r="G25" s="14" t="inlineStr">
        <is>
          <t>build (Python emulation of RunAllScenarios)</t>
        </is>
      </c>
      <c r="H25" s="47" t="n">
        <v>20315.8859505738</v>
      </c>
      <c r="I25" s="47" t="n">
        <v>21977.6967025937</v>
      </c>
      <c r="J25" s="47" t="n">
        <v>22914.6565897201</v>
      </c>
      <c r="K25" s="47" t="n">
        <v>25407.7034759737</v>
      </c>
      <c r="L25" s="47" t="n">
        <v>26973.3551963575</v>
      </c>
      <c r="M25" s="47" t="n">
        <v>24492.023326297</v>
      </c>
      <c r="N25" s="47" t="n">
        <v>21502.3838821656</v>
      </c>
      <c r="O25" s="47" t="n">
        <v>21305.688818112</v>
      </c>
      <c r="P25" s="47" t="n">
        <v>21503.6300866665</v>
      </c>
      <c r="Q25" s="47" t="n">
        <v>22046.4617350542</v>
      </c>
      <c r="R25" s="47" t="n">
        <v>22711.6772838589</v>
      </c>
      <c r="S25" s="47" t="n">
        <v>23466.2608893813</v>
      </c>
      <c r="T25" s="47" t="n">
        <v>24192.0908651704</v>
      </c>
      <c r="U25" s="47" t="n">
        <v>24961.0610877756</v>
      </c>
      <c r="V25" s="47" t="n">
        <v>25731.9348637138</v>
      </c>
      <c r="W25" s="47" t="n">
        <v>26529.3413027498</v>
      </c>
      <c r="X25" s="47" t="n">
        <v>27338.7199168207</v>
      </c>
      <c r="Y25" s="47" t="n">
        <v>28167.904691885</v>
      </c>
      <c r="Z25" s="47" t="n">
        <v>29009.021607014</v>
      </c>
      <c r="AA25" s="47" t="n">
        <v>29864.6079717057</v>
      </c>
    </row>
    <row r="26">
      <c r="A26" s="10" t="n">
        <v>1</v>
      </c>
      <c r="B26" s="14" t="inlineStr">
        <is>
          <t>Baseline (no carbon price)</t>
        </is>
      </c>
      <c r="C26" s="14" t="inlineStr">
        <is>
          <t>mit.rnew.pow.all</t>
        </is>
      </c>
      <c r="D26" s="14" t="inlineStr">
        <is>
          <t>egy.mit.rnew.pow.all.1</t>
        </is>
      </c>
      <c r="E26" s="14" t="inlineStr">
        <is>
          <t>Revenue from new policies (carbon tax, excise, auctioned ETS, VAT on them) | Power | All fuels</t>
        </is>
      </c>
      <c r="F26" s="14" t="inlineStr">
        <is>
          <t>USD m real</t>
        </is>
      </c>
      <c r="G26" s="14" t="inlineStr">
        <is>
          <t>build (Python emulation of RunAllScenarios)</t>
        </is>
      </c>
      <c r="H26" s="47" t="n">
        <v>0</v>
      </c>
      <c r="I26" s="47" t="n">
        <v>0</v>
      </c>
      <c r="J26" s="47" t="n">
        <v>0</v>
      </c>
      <c r="K26" s="47" t="n">
        <v>0</v>
      </c>
      <c r="L26" s="47" t="n">
        <v>0</v>
      </c>
      <c r="M26" s="47" t="n">
        <v>0</v>
      </c>
      <c r="N26" s="47" t="n">
        <v>0</v>
      </c>
      <c r="O26" s="47" t="n">
        <v>0</v>
      </c>
      <c r="P26" s="47" t="n">
        <v>0</v>
      </c>
      <c r="Q26" s="47" t="n">
        <v>0</v>
      </c>
      <c r="R26" s="47" t="n">
        <v>0</v>
      </c>
      <c r="S26" s="47" t="n">
        <v>0</v>
      </c>
      <c r="T26" s="47" t="n">
        <v>0</v>
      </c>
      <c r="U26" s="47" t="n">
        <v>0</v>
      </c>
      <c r="V26" s="47" t="n">
        <v>0</v>
      </c>
      <c r="W26" s="47" t="n">
        <v>0</v>
      </c>
      <c r="X26" s="47" t="n">
        <v>0</v>
      </c>
      <c r="Y26" s="47" t="n">
        <v>0</v>
      </c>
      <c r="Z26" s="47" t="n">
        <v>0</v>
      </c>
      <c r="AA26" s="47" t="n">
        <v>0</v>
      </c>
    </row>
    <row r="27">
      <c r="A27" s="10" t="n">
        <v>1</v>
      </c>
      <c r="B27" s="14" t="inlineStr">
        <is>
          <t>Baseline (no carbon price)</t>
        </is>
      </c>
      <c r="C27" s="14" t="inlineStr">
        <is>
          <t>mit.rxcp.all.all</t>
        </is>
      </c>
      <c r="D27" s="14" t="inlineStr">
        <is>
          <t>egy.mit.rxcp.all.all.1</t>
        </is>
      </c>
      <c r="E27" s="14" t="inlineStr">
        <is>
          <t>Revenue from existing carbon pricing (memo: level; the part embedded in the price data is in rtx) | All sectors | All fuels</t>
        </is>
      </c>
      <c r="F27" s="14" t="inlineStr">
        <is>
          <t>USD m real</t>
        </is>
      </c>
      <c r="G27" s="14" t="inlineStr">
        <is>
          <t>build (Python emulation of RunAllScenarios)</t>
        </is>
      </c>
      <c r="H27" s="47" t="n">
        <v>0</v>
      </c>
      <c r="I27" s="47" t="n">
        <v>0</v>
      </c>
      <c r="J27" s="47" t="n">
        <v>0</v>
      </c>
      <c r="K27" s="47" t="n">
        <v>0</v>
      </c>
      <c r="L27" s="47" t="n">
        <v>0</v>
      </c>
      <c r="M27" s="47" t="n">
        <v>0</v>
      </c>
      <c r="N27" s="47" t="n">
        <v>0</v>
      </c>
      <c r="O27" s="47" t="n">
        <v>0</v>
      </c>
      <c r="P27" s="47" t="n">
        <v>0</v>
      </c>
      <c r="Q27" s="47" t="n">
        <v>0</v>
      </c>
      <c r="R27" s="47" t="n">
        <v>0</v>
      </c>
      <c r="S27" s="47" t="n">
        <v>0</v>
      </c>
      <c r="T27" s="47" t="n">
        <v>0</v>
      </c>
      <c r="U27" s="47" t="n">
        <v>0</v>
      </c>
      <c r="V27" s="47" t="n">
        <v>0</v>
      </c>
      <c r="W27" s="47" t="n">
        <v>0</v>
      </c>
      <c r="X27" s="47" t="n">
        <v>0</v>
      </c>
      <c r="Y27" s="47" t="n">
        <v>0</v>
      </c>
      <c r="Z27" s="47" t="n">
        <v>0</v>
      </c>
      <c r="AA27" s="47" t="n">
        <v>0</v>
      </c>
    </row>
    <row r="28">
      <c r="A28" s="10" t="n">
        <v>1</v>
      </c>
      <c r="B28" s="14" t="inlineStr">
        <is>
          <t>Baseline (no carbon price)</t>
        </is>
      </c>
      <c r="C28" s="14" t="inlineStr">
        <is>
          <t>mit.xct.p</t>
        </is>
      </c>
      <c r="D28" s="14" t="inlineStr">
        <is>
          <t>egy.mit.xct.p.1</t>
        </is>
      </c>
      <c r="E28" s="14" t="inlineStr">
        <is>
          <t>Existing carbon tax rate used</t>
        </is>
      </c>
      <c r="F28" s="14" t="inlineStr">
        <is>
          <t>USD/tCO2 real</t>
        </is>
      </c>
      <c r="G28" s="14" t="inlineStr">
        <is>
          <t>build (Python emulation of RunAllScenarios)</t>
        </is>
      </c>
      <c r="H28" s="24" t="n">
        <v>0</v>
      </c>
      <c r="I28" s="24" t="n">
        <v>0</v>
      </c>
      <c r="J28" s="24" t="n">
        <v>0</v>
      </c>
      <c r="K28" s="24" t="n">
        <v>0</v>
      </c>
      <c r="L28" s="24" t="n">
        <v>0</v>
      </c>
      <c r="M28" s="24" t="n">
        <v>0</v>
      </c>
      <c r="N28" s="24" t="n">
        <v>0</v>
      </c>
      <c r="O28" s="24" t="n">
        <v>0</v>
      </c>
      <c r="P28" s="24" t="n">
        <v>0</v>
      </c>
      <c r="Q28" s="24" t="n">
        <v>0</v>
      </c>
      <c r="R28" s="24" t="n">
        <v>0</v>
      </c>
      <c r="S28" s="24" t="n">
        <v>0</v>
      </c>
      <c r="T28" s="24" t="n">
        <v>0</v>
      </c>
      <c r="U28" s="24" t="n">
        <v>0</v>
      </c>
      <c r="V28" s="24" t="n">
        <v>0</v>
      </c>
      <c r="W28" s="24" t="n">
        <v>0</v>
      </c>
      <c r="X28" s="24" t="n">
        <v>0</v>
      </c>
      <c r="Y28" s="24" t="n">
        <v>0</v>
      </c>
      <c r="Z28" s="24" t="n">
        <v>0</v>
      </c>
      <c r="AA28" s="24" t="n">
        <v>0</v>
      </c>
    </row>
    <row r="29">
      <c r="A29" s="10" t="n">
        <v>1</v>
      </c>
      <c r="B29" s="14" t="inlineStr">
        <is>
          <t>Baseline (no carbon price)</t>
        </is>
      </c>
      <c r="C29" s="14" t="inlineStr">
        <is>
          <t>mit.xets.p</t>
        </is>
      </c>
      <c r="D29" s="14" t="inlineStr">
        <is>
          <t>egy.mit.xets.p.1</t>
        </is>
      </c>
      <c r="E29" s="14" t="inlineStr">
        <is>
          <t>Existing ETS permit price used</t>
        </is>
      </c>
      <c r="F29" s="14" t="inlineStr">
        <is>
          <t>USD/tCO2 real</t>
        </is>
      </c>
      <c r="G29" s="14" t="inlineStr">
        <is>
          <t>build (Python emulation of RunAllScenarios)</t>
        </is>
      </c>
      <c r="H29" s="24" t="n">
        <v>0</v>
      </c>
      <c r="I29" s="24" t="n">
        <v>0</v>
      </c>
      <c r="J29" s="24" t="n">
        <v>0</v>
      </c>
      <c r="K29" s="24" t="n">
        <v>0</v>
      </c>
      <c r="L29" s="24" t="n">
        <v>0</v>
      </c>
      <c r="M29" s="24" t="n">
        <v>0</v>
      </c>
      <c r="N29" s="24" t="n">
        <v>0</v>
      </c>
      <c r="O29" s="24" t="n">
        <v>0</v>
      </c>
      <c r="P29" s="24" t="n">
        <v>0</v>
      </c>
      <c r="Q29" s="24" t="n">
        <v>0</v>
      </c>
      <c r="R29" s="24" t="n">
        <v>0</v>
      </c>
      <c r="S29" s="24" t="n">
        <v>0</v>
      </c>
      <c r="T29" s="24" t="n">
        <v>0</v>
      </c>
      <c r="U29" s="24" t="n">
        <v>0</v>
      </c>
      <c r="V29" s="24" t="n">
        <v>0</v>
      </c>
      <c r="W29" s="24" t="n">
        <v>0</v>
      </c>
      <c r="X29" s="24" t="n">
        <v>0</v>
      </c>
      <c r="Y29" s="24" t="n">
        <v>0</v>
      </c>
      <c r="Z29" s="24" t="n">
        <v>0</v>
      </c>
      <c r="AA29" s="24" t="n">
        <v>0</v>
      </c>
    </row>
    <row r="30">
      <c r="A30" s="10" t="n">
        <v>1</v>
      </c>
      <c r="B30" s="14" t="inlineStr">
        <is>
          <t>Baseline (no carbon price)</t>
        </is>
      </c>
      <c r="C30" s="14" t="inlineStr">
        <is>
          <t>mit.cptraj</t>
        </is>
      </c>
      <c r="D30" s="14" t="inlineStr">
        <is>
          <t>egy.mit.cptraj.1</t>
        </is>
      </c>
      <c r="E30" s="14" t="inlineStr">
        <is>
          <t>Carbon price trajectory used</t>
        </is>
      </c>
      <c r="F30" s="14" t="inlineStr">
        <is>
          <t>$/tCO2 real</t>
        </is>
      </c>
      <c r="G30" s="14" t="inlineStr">
        <is>
          <t>build (Python emulation of RunAllScenarios)</t>
        </is>
      </c>
      <c r="H30" s="24" t="n">
        <v>0</v>
      </c>
      <c r="I30" s="24" t="n">
        <v>0</v>
      </c>
      <c r="J30" s="24" t="n">
        <v>0</v>
      </c>
      <c r="K30" s="24" t="n">
        <v>0</v>
      </c>
      <c r="L30" s="24" t="n">
        <v>0</v>
      </c>
      <c r="M30" s="24" t="n">
        <v>0</v>
      </c>
      <c r="N30" s="24" t="n">
        <v>0</v>
      </c>
      <c r="O30" s="24" t="n">
        <v>0</v>
      </c>
      <c r="P30" s="24" t="n">
        <v>0</v>
      </c>
      <c r="Q30" s="24" t="n">
        <v>0</v>
      </c>
      <c r="R30" s="24" t="n">
        <v>0</v>
      </c>
      <c r="S30" s="24" t="n">
        <v>0</v>
      </c>
      <c r="T30" s="24" t="n">
        <v>0</v>
      </c>
      <c r="U30" s="24" t="n">
        <v>0</v>
      </c>
      <c r="V30" s="24" t="n">
        <v>0</v>
      </c>
      <c r="W30" s="24" t="n">
        <v>0</v>
      </c>
      <c r="X30" s="24" t="n">
        <v>0</v>
      </c>
      <c r="Y30" s="24" t="n">
        <v>0</v>
      </c>
      <c r="Z30" s="24" t="n">
        <v>0</v>
      </c>
      <c r="AA30" s="24" t="n">
        <v>0</v>
      </c>
    </row>
    <row r="31">
      <c r="A31" s="10" t="n">
        <v>1</v>
      </c>
      <c r="B31" s="14" t="inlineStr">
        <is>
          <t>Baseline (no carbon price)</t>
        </is>
      </c>
      <c r="C31" s="14" t="inlineStr">
        <is>
          <t>mit.ets.p</t>
        </is>
      </c>
      <c r="D31" s="14" t="inlineStr">
        <is>
          <t>egy.mit.ets.p.1</t>
        </is>
      </c>
      <c r="E31" s="14" t="inlineStr">
        <is>
          <t>ETS permit price used</t>
        </is>
      </c>
      <c r="F31" s="14" t="inlineStr">
        <is>
          <t>$/tCO2 real</t>
        </is>
      </c>
      <c r="G31" s="14" t="inlineStr">
        <is>
          <t>build (Python emulation of RunAllScenarios)</t>
        </is>
      </c>
      <c r="H31" s="24" t="n">
        <v>0</v>
      </c>
      <c r="I31" s="24" t="n">
        <v>0</v>
      </c>
      <c r="J31" s="24" t="n">
        <v>0</v>
      </c>
      <c r="K31" s="24" t="n">
        <v>0</v>
      </c>
      <c r="L31" s="24" t="n">
        <v>0</v>
      </c>
      <c r="M31" s="24" t="n">
        <v>0</v>
      </c>
      <c r="N31" s="24" t="n">
        <v>0</v>
      </c>
      <c r="O31" s="24" t="n">
        <v>0</v>
      </c>
      <c r="P31" s="24" t="n">
        <v>0</v>
      </c>
      <c r="Q31" s="24" t="n">
        <v>0</v>
      </c>
      <c r="R31" s="24" t="n">
        <v>0</v>
      </c>
      <c r="S31" s="24" t="n">
        <v>0</v>
      </c>
      <c r="T31" s="24" t="n">
        <v>0</v>
      </c>
      <c r="U31" s="24" t="n">
        <v>0</v>
      </c>
      <c r="V31" s="24" t="n">
        <v>0</v>
      </c>
      <c r="W31" s="24" t="n">
        <v>0</v>
      </c>
      <c r="X31" s="24" t="n">
        <v>0</v>
      </c>
      <c r="Y31" s="24" t="n">
        <v>0</v>
      </c>
      <c r="Z31" s="24" t="n">
        <v>0</v>
      </c>
      <c r="AA31" s="24" t="n">
        <v>0</v>
      </c>
    </row>
    <row r="32">
      <c r="A32" s="10" t="n">
        <v>1</v>
      </c>
      <c r="B32" s="14" t="inlineStr">
        <is>
          <t>Baseline (no carbon price)</t>
        </is>
      </c>
      <c r="C32" s="14" t="inlineStr">
        <is>
          <t>mit.co2.ets.all.all</t>
        </is>
      </c>
      <c r="D32" s="14" t="inlineStr">
        <is>
          <t>egy.mit.co2.ets.all.all.1</t>
        </is>
      </c>
      <c r="E32" s="14" t="inlineStr">
        <is>
          <t>CO2 emissions covered by the new ETS | All sectors | All fuels</t>
        </is>
      </c>
      <c r="F32" s="14" t="inlineStr">
        <is>
          <t>MtCO2</t>
        </is>
      </c>
      <c r="G32" s="14" t="inlineStr">
        <is>
          <t>build (Python emulation of RunAllScenarios)</t>
        </is>
      </c>
      <c r="H32" s="44" t="n">
        <v>0</v>
      </c>
      <c r="I32" s="44" t="n">
        <v>0</v>
      </c>
      <c r="J32" s="44" t="n">
        <v>0</v>
      </c>
      <c r="K32" s="44" t="n">
        <v>0</v>
      </c>
      <c r="L32" s="44" t="n">
        <v>0</v>
      </c>
      <c r="M32" s="44" t="n">
        <v>0</v>
      </c>
      <c r="N32" s="44" t="n">
        <v>0</v>
      </c>
      <c r="O32" s="44" t="n">
        <v>0</v>
      </c>
      <c r="P32" s="44" t="n">
        <v>0</v>
      </c>
      <c r="Q32" s="44" t="n">
        <v>0</v>
      </c>
      <c r="R32" s="44" t="n">
        <v>0</v>
      </c>
      <c r="S32" s="44" t="n">
        <v>0</v>
      </c>
      <c r="T32" s="44" t="n">
        <v>0</v>
      </c>
      <c r="U32" s="44" t="n">
        <v>0</v>
      </c>
      <c r="V32" s="44" t="n">
        <v>0</v>
      </c>
      <c r="W32" s="44" t="n">
        <v>0</v>
      </c>
      <c r="X32" s="44" t="n">
        <v>0</v>
      </c>
      <c r="Y32" s="44" t="n">
        <v>0</v>
      </c>
      <c r="Z32" s="44" t="n">
        <v>0</v>
      </c>
      <c r="AA32" s="44" t="n">
        <v>0</v>
      </c>
    </row>
    <row r="33">
      <c r="A33" s="10" t="n">
        <v>1</v>
      </c>
      <c r="B33" s="14" t="inlineStr">
        <is>
          <t>Baseline (no carbon price)</t>
        </is>
      </c>
      <c r="C33" s="14" t="inlineStr">
        <is>
          <t>mit.co2.cap.all.all</t>
        </is>
      </c>
      <c r="D33" s="14" t="inlineStr">
        <is>
          <t>egy.mit.co2.cap.all.all.1</t>
        </is>
      </c>
      <c r="E33" s="14" t="inlineStr">
        <is>
          <t>ETS cap | All sectors | All fuels</t>
        </is>
      </c>
      <c r="F33" s="14" t="inlineStr">
        <is>
          <t>MtCO2</t>
        </is>
      </c>
      <c r="G33" s="14" t="inlineStr">
        <is>
          <t>build (Python emulation of RunAllScenarios)</t>
        </is>
      </c>
      <c r="H33" s="44" t="n">
        <v>0</v>
      </c>
      <c r="I33" s="44" t="n">
        <v>0</v>
      </c>
      <c r="J33" s="44" t="n">
        <v>0</v>
      </c>
      <c r="K33" s="44" t="n">
        <v>0</v>
      </c>
      <c r="L33" s="44" t="n">
        <v>0</v>
      </c>
      <c r="M33" s="44" t="n">
        <v>0</v>
      </c>
      <c r="N33" s="44" t="n">
        <v>0</v>
      </c>
      <c r="O33" s="44" t="n">
        <v>0</v>
      </c>
      <c r="P33" s="44" t="n">
        <v>0</v>
      </c>
      <c r="Q33" s="44" t="n">
        <v>0</v>
      </c>
      <c r="R33" s="44" t="n">
        <v>0</v>
      </c>
      <c r="S33" s="44" t="n">
        <v>0</v>
      </c>
      <c r="T33" s="44" t="n">
        <v>0</v>
      </c>
      <c r="U33" s="44" t="n">
        <v>0</v>
      </c>
      <c r="V33" s="44" t="n">
        <v>0</v>
      </c>
      <c r="W33" s="44" t="n">
        <v>0</v>
      </c>
      <c r="X33" s="44" t="n">
        <v>0</v>
      </c>
      <c r="Y33" s="44" t="n">
        <v>0</v>
      </c>
      <c r="Z33" s="44" t="n">
        <v>0</v>
      </c>
      <c r="AA33" s="44" t="n">
        <v>0</v>
      </c>
    </row>
    <row r="34">
      <c r="A34" s="10" t="n">
        <v>1</v>
      </c>
      <c r="B34" s="14" t="inlineStr">
        <is>
          <t>Baseline (no carbon price)</t>
        </is>
      </c>
      <c r="C34" s="14" t="inlineStr">
        <is>
          <t>mit.rpb.all.gso.a</t>
        </is>
      </c>
      <c r="D34" s="14" t="inlineStr">
        <is>
          <t>egy.mit.rpb.all.gso.a.1</t>
        </is>
      </c>
      <c r="E34" s="14" t="inlineStr">
        <is>
          <t>Retail price before new policies | All sectors | Gasoline</t>
        </is>
      </c>
      <c r="F34" s="14" t="inlineStr">
        <is>
          <t>$/GJ real</t>
        </is>
      </c>
      <c r="G34" s="14" t="inlineStr">
        <is>
          <t>build (Python emulation of RunAllScenarios)</t>
        </is>
      </c>
      <c r="H34" s="24" t="n">
        <v>17.1645453257496</v>
      </c>
      <c r="I34" s="24" t="n">
        <v>11.7387816845338</v>
      </c>
      <c r="J34" s="24" t="n">
        <v>9.58268059228592</v>
      </c>
      <c r="K34" s="24" t="n">
        <v>9.58268059228592</v>
      </c>
      <c r="L34" s="24" t="n">
        <v>9.58268059228592</v>
      </c>
      <c r="M34" s="24" t="n">
        <v>9.58268059228592</v>
      </c>
      <c r="N34" s="24" t="n">
        <v>9.58268059228592</v>
      </c>
      <c r="O34" s="24" t="n">
        <v>9.58268059228592</v>
      </c>
      <c r="P34" s="24" t="n">
        <v>9.58268059228592</v>
      </c>
      <c r="Q34" s="24" t="n">
        <v>9.58268059228592</v>
      </c>
      <c r="R34" s="24" t="n">
        <v>9.58268059228592</v>
      </c>
      <c r="S34" s="24" t="n">
        <v>9.58268059228592</v>
      </c>
      <c r="T34" s="24" t="n">
        <v>9.58268059228592</v>
      </c>
      <c r="U34" s="24" t="n">
        <v>9.58268059228592</v>
      </c>
      <c r="V34" s="24" t="n">
        <v>9.58268059228592</v>
      </c>
      <c r="W34" s="24" t="n">
        <v>9.58268059228592</v>
      </c>
      <c r="X34" s="24" t="n">
        <v>9.58268059228592</v>
      </c>
      <c r="Y34" s="24" t="n">
        <v>9.58268059228592</v>
      </c>
      <c r="Z34" s="24" t="n">
        <v>9.58268059228592</v>
      </c>
      <c r="AA34" s="24" t="n">
        <v>9.58268059228592</v>
      </c>
    </row>
    <row r="35">
      <c r="A35" s="10" t="n">
        <v>1</v>
      </c>
      <c r="B35" s="14" t="inlineStr">
        <is>
          <t>Baseline (no carbon price)</t>
        </is>
      </c>
      <c r="C35" s="14" t="inlineStr">
        <is>
          <t>mit.rpb.all.die.a</t>
        </is>
      </c>
      <c r="D35" s="14" t="inlineStr">
        <is>
          <t>egy.mit.rpb.all.die.a.1</t>
        </is>
      </c>
      <c r="E35" s="14" t="inlineStr">
        <is>
          <t>Retail price before new policies | All sectors | Diesel</t>
        </is>
      </c>
      <c r="F35" s="14" t="inlineStr">
        <is>
          <t>$/GJ real</t>
        </is>
      </c>
      <c r="G35" s="14" t="inlineStr">
        <is>
          <t>build (Python emulation of RunAllScenarios)</t>
        </is>
      </c>
      <c r="H35" s="24" t="n">
        <v>11.0953075337741</v>
      </c>
      <c r="I35" s="24" t="n">
        <v>7.52329139696042</v>
      </c>
      <c r="J35" s="24" t="n">
        <v>6.68201385154289</v>
      </c>
      <c r="K35" s="24" t="n">
        <v>6.68201385154289</v>
      </c>
      <c r="L35" s="24" t="n">
        <v>6.68201385154289</v>
      </c>
      <c r="M35" s="24" t="n">
        <v>6.68201385154289</v>
      </c>
      <c r="N35" s="24" t="n">
        <v>6.68201385154289</v>
      </c>
      <c r="O35" s="24" t="n">
        <v>6.68201385154289</v>
      </c>
      <c r="P35" s="24" t="n">
        <v>6.68201385154289</v>
      </c>
      <c r="Q35" s="24" t="n">
        <v>6.68201385154289</v>
      </c>
      <c r="R35" s="24" t="n">
        <v>6.68201385154289</v>
      </c>
      <c r="S35" s="24" t="n">
        <v>6.68201385154289</v>
      </c>
      <c r="T35" s="24" t="n">
        <v>6.68201385154289</v>
      </c>
      <c r="U35" s="24" t="n">
        <v>6.68201385154289</v>
      </c>
      <c r="V35" s="24" t="n">
        <v>6.68201385154289</v>
      </c>
      <c r="W35" s="24" t="n">
        <v>6.68201385154289</v>
      </c>
      <c r="X35" s="24" t="n">
        <v>6.68201385154289</v>
      </c>
      <c r="Y35" s="24" t="n">
        <v>6.68201385154289</v>
      </c>
      <c r="Z35" s="24" t="n">
        <v>6.68201385154289</v>
      </c>
      <c r="AA35" s="24" t="n">
        <v>6.68201385154289</v>
      </c>
    </row>
    <row r="36">
      <c r="A36" s="10" t="n">
        <v>1</v>
      </c>
      <c r="B36" s="14" t="inlineStr">
        <is>
          <t>Baseline (no carbon price)</t>
        </is>
      </c>
      <c r="C36" s="14" t="inlineStr">
        <is>
          <t>mit.rpb.res.nga.a</t>
        </is>
      </c>
      <c r="D36" s="14" t="inlineStr">
        <is>
          <t>egy.mit.rpb.res.nga.a.1</t>
        </is>
      </c>
      <c r="E36" s="14" t="inlineStr">
        <is>
          <t>Retail price before new policies | Residential | Natural gas</t>
        </is>
      </c>
      <c r="F36" s="14" t="inlineStr">
        <is>
          <t>$/GJ real</t>
        </is>
      </c>
      <c r="G36" s="14" t="inlineStr">
        <is>
          <t>build (Python emulation of RunAllScenarios)</t>
        </is>
      </c>
      <c r="H36" s="24" t="n">
        <v>4.63366849483039</v>
      </c>
      <c r="I36" s="24" t="n">
        <v>3.20868563703672</v>
      </c>
      <c r="J36" s="24" t="n">
        <v>2.33088056865822</v>
      </c>
      <c r="K36" s="24" t="n">
        <v>2.33088056865822</v>
      </c>
      <c r="L36" s="24" t="n">
        <v>2.33088056865822</v>
      </c>
      <c r="M36" s="24" t="n">
        <v>2.33088056865822</v>
      </c>
      <c r="N36" s="24" t="n">
        <v>2.33088056865822</v>
      </c>
      <c r="O36" s="24" t="n">
        <v>2.33088056865822</v>
      </c>
      <c r="P36" s="24" t="n">
        <v>2.33088056865822</v>
      </c>
      <c r="Q36" s="24" t="n">
        <v>2.33088056865822</v>
      </c>
      <c r="R36" s="24" t="n">
        <v>2.33088056865822</v>
      </c>
      <c r="S36" s="24" t="n">
        <v>2.33088056865822</v>
      </c>
      <c r="T36" s="24" t="n">
        <v>2.33088056865822</v>
      </c>
      <c r="U36" s="24" t="n">
        <v>2.33088056865822</v>
      </c>
      <c r="V36" s="24" t="n">
        <v>2.33088056865822</v>
      </c>
      <c r="W36" s="24" t="n">
        <v>2.33088056865822</v>
      </c>
      <c r="X36" s="24" t="n">
        <v>2.33088056865822</v>
      </c>
      <c r="Y36" s="24" t="n">
        <v>2.33088056865822</v>
      </c>
      <c r="Z36" s="24" t="n">
        <v>2.33088056865822</v>
      </c>
      <c r="AA36" s="24" t="n">
        <v>2.33088056865822</v>
      </c>
    </row>
    <row r="37">
      <c r="A37" s="10" t="n">
        <v>1</v>
      </c>
      <c r="B37" s="14" t="inlineStr">
        <is>
          <t>Baseline (no carbon price)</t>
        </is>
      </c>
      <c r="C37" s="14" t="inlineStr">
        <is>
          <t>mit.atp.rod.gso.e</t>
        </is>
      </c>
      <c r="D37" s="14" t="inlineStr">
        <is>
          <t>egy.mit.atp.rod.gso.e.1</t>
        </is>
      </c>
      <c r="E37" s="14" t="inlineStr">
        <is>
          <t>After-tax price | Road | Gasoline</t>
        </is>
      </c>
      <c r="F37" s="14" t="inlineStr">
        <is>
          <t>$/GJ real</t>
        </is>
      </c>
      <c r="G37" s="14" t="inlineStr">
        <is>
          <t>build (Python emulation of RunAllScenarios)</t>
        </is>
      </c>
      <c r="H37" s="24" t="n">
        <v>17.1645453257496</v>
      </c>
      <c r="I37" s="24" t="n">
        <v>11.7387816845338</v>
      </c>
      <c r="J37" s="24" t="n">
        <v>9.58268059228592</v>
      </c>
      <c r="K37" s="24" t="n">
        <v>9.58268059228592</v>
      </c>
      <c r="L37" s="24" t="n">
        <v>9.58268059228592</v>
      </c>
      <c r="M37" s="24" t="n">
        <v>9.58268059228592</v>
      </c>
      <c r="N37" s="24" t="n">
        <v>9.58268059228592</v>
      </c>
      <c r="O37" s="24" t="n">
        <v>9.58268059228592</v>
      </c>
      <c r="P37" s="24" t="n">
        <v>9.58268059228592</v>
      </c>
      <c r="Q37" s="24" t="n">
        <v>9.58268059228592</v>
      </c>
      <c r="R37" s="24" t="n">
        <v>9.58268059228592</v>
      </c>
      <c r="S37" s="24" t="n">
        <v>9.58268059228592</v>
      </c>
      <c r="T37" s="24" t="n">
        <v>9.58268059228592</v>
      </c>
      <c r="U37" s="24" t="n">
        <v>9.58268059228592</v>
      </c>
      <c r="V37" s="24" t="n">
        <v>9.58268059228592</v>
      </c>
      <c r="W37" s="24" t="n">
        <v>9.58268059228592</v>
      </c>
      <c r="X37" s="24" t="n">
        <v>9.58268059228592</v>
      </c>
      <c r="Y37" s="24" t="n">
        <v>9.58268059228592</v>
      </c>
      <c r="Z37" s="24" t="n">
        <v>9.58268059228592</v>
      </c>
      <c r="AA37" s="24" t="n">
        <v>9.58268059228592</v>
      </c>
    </row>
    <row r="38">
      <c r="A38" s="10" t="n">
        <v>1</v>
      </c>
      <c r="B38" s="14" t="inlineStr">
        <is>
          <t>Baseline (no carbon price)</t>
        </is>
      </c>
      <c r="C38" s="14" t="inlineStr">
        <is>
          <t>mit.rp.res.ecy</t>
        </is>
      </c>
      <c r="D38" s="14" t="inlineStr">
        <is>
          <t>egy.mit.rp.res.ecy.1</t>
        </is>
      </c>
      <c r="E38" s="14" t="inlineStr">
        <is>
          <t>End-user electricity price | Residential | Electricity</t>
        </is>
      </c>
      <c r="F38" s="14" t="inlineStr">
        <is>
          <t>$/kWh real</t>
        </is>
      </c>
      <c r="G38" s="14" t="inlineStr">
        <is>
          <t>build (Python emulation of RunAllScenarios)</t>
        </is>
      </c>
      <c r="H38" s="16" t="n">
        <v>0.0613881498333761</v>
      </c>
      <c r="I38" s="16" t="n">
        <v>0.0524045289478607</v>
      </c>
      <c r="J38" s="16" t="n">
        <v>0.0455995743641052</v>
      </c>
      <c r="K38" s="16" t="n">
        <v>0.0487274795483568</v>
      </c>
      <c r="L38" s="16" t="n">
        <v>0.0504146615207453</v>
      </c>
      <c r="M38" s="16" t="n">
        <v>0.0544910350135863</v>
      </c>
      <c r="N38" s="16" t="n">
        <v>0.0539698526355648</v>
      </c>
      <c r="O38" s="16" t="n">
        <v>0.0538756668290119</v>
      </c>
      <c r="P38" s="16" t="n">
        <v>0.0528748104922946</v>
      </c>
      <c r="Q38" s="16" t="n">
        <v>0.052404472359452</v>
      </c>
      <c r="R38" s="16" t="n">
        <v>0.0517478338389612</v>
      </c>
      <c r="S38" s="16" t="n">
        <v>0.0512881001874522</v>
      </c>
      <c r="T38" s="16" t="n">
        <v>0.0507870724328134</v>
      </c>
      <c r="U38" s="16" t="n">
        <v>0.0503603589651064</v>
      </c>
      <c r="V38" s="16" t="n">
        <v>0.0499338845622464</v>
      </c>
      <c r="W38" s="16" t="n">
        <v>0.0495420026285136</v>
      </c>
      <c r="X38" s="16" t="n">
        <v>0.0491622653106966</v>
      </c>
      <c r="Y38" s="16" t="n">
        <v>0.0488021236458781</v>
      </c>
      <c r="Z38" s="16" t="n">
        <v>0.0484540372730782</v>
      </c>
      <c r="AA38" s="16" t="n">
        <v>0.0481080521921219</v>
      </c>
    </row>
    <row r="39">
      <c r="A39" s="10" t="n">
        <v>1</v>
      </c>
      <c r="B39" s="14" t="inlineStr">
        <is>
          <t>Baseline (no carbon price)</t>
        </is>
      </c>
      <c r="C39" s="14" t="inlineStr">
        <is>
          <t>mit.rp.ind.ecy</t>
        </is>
      </c>
      <c r="D39" s="14" t="inlineStr">
        <is>
          <t>egy.mit.rp.ind.ecy.1</t>
        </is>
      </c>
      <c r="E39" s="14" t="inlineStr">
        <is>
          <t>End-user electricity price | Industry | Electricity</t>
        </is>
      </c>
      <c r="F39" s="14" t="inlineStr">
        <is>
          <t>$/kWh real</t>
        </is>
      </c>
      <c r="G39" s="14" t="inlineStr">
        <is>
          <t>build (Python emulation of RunAllScenarios)</t>
        </is>
      </c>
      <c r="H39" s="16" t="n">
        <v>0.0636617850123901</v>
      </c>
      <c r="I39" s="16" t="n">
        <v>0.0622303781255846</v>
      </c>
      <c r="J39" s="16" t="n">
        <v>0.0519623056707246</v>
      </c>
      <c r="K39" s="16" t="n">
        <v>0.0550902108549761</v>
      </c>
      <c r="L39" s="16" t="n">
        <v>0.0567773928273646</v>
      </c>
      <c r="M39" s="16" t="n">
        <v>0.0608537663202057</v>
      </c>
      <c r="N39" s="16" t="n">
        <v>0.0603325839421841</v>
      </c>
      <c r="O39" s="16" t="n">
        <v>0.0602383981356312</v>
      </c>
      <c r="P39" s="16" t="n">
        <v>0.0592375417989139</v>
      </c>
      <c r="Q39" s="16" t="n">
        <v>0.0587672036660713</v>
      </c>
      <c r="R39" s="16" t="n">
        <v>0.0581105651455806</v>
      </c>
      <c r="S39" s="16" t="n">
        <v>0.0576508314940715</v>
      </c>
      <c r="T39" s="16" t="n">
        <v>0.0571498037394328</v>
      </c>
      <c r="U39" s="16" t="n">
        <v>0.0567230902717257</v>
      </c>
      <c r="V39" s="16" t="n">
        <v>0.0562966158688658</v>
      </c>
      <c r="W39" s="16" t="n">
        <v>0.0559047339351329</v>
      </c>
      <c r="X39" s="16" t="n">
        <v>0.0555249966173159</v>
      </c>
      <c r="Y39" s="16" t="n">
        <v>0.0551648549524974</v>
      </c>
      <c r="Z39" s="16" t="n">
        <v>0.0548167685796975</v>
      </c>
      <c r="AA39" s="16" t="n">
        <v>0.0544707834987412</v>
      </c>
    </row>
    <row r="40">
      <c r="A40" s="10" t="n">
        <v>1</v>
      </c>
      <c r="B40" s="14" t="inlineStr">
        <is>
          <t>Baseline (no carbon price)</t>
        </is>
      </c>
      <c r="C40" s="14" t="inlineStr">
        <is>
          <t>mit.gncav</t>
        </is>
      </c>
      <c r="D40" s="14" t="inlineStr">
        <is>
          <t>egy.mit.gncav.1</t>
        </is>
      </c>
      <c r="E40" s="14" t="inlineStr">
        <is>
          <t>Average generation cost (weighted by generation shares)</t>
        </is>
      </c>
      <c r="F40" s="14" t="inlineStr">
        <is>
          <t>$/kWh</t>
        </is>
      </c>
      <c r="G40" s="14" t="inlineStr">
        <is>
          <t>build (Python emulation of RunAllScenarios)</t>
        </is>
      </c>
      <c r="H40" s="16" t="n">
        <v>0.0702944291961073</v>
      </c>
      <c r="I40" s="16" t="n">
        <v>0.06744633858995699</v>
      </c>
      <c r="J40" s="16" t="n">
        <v>0.07057424377420859</v>
      </c>
      <c r="K40" s="16" t="n">
        <v>0.07226142574659709</v>
      </c>
      <c r="L40" s="16" t="n">
        <v>0.07633779923943811</v>
      </c>
      <c r="M40" s="16" t="n">
        <v>0.07581661686141659</v>
      </c>
      <c r="N40" s="16" t="n">
        <v>0.0757224310548637</v>
      </c>
      <c r="O40" s="16" t="n">
        <v>0.0747215747181464</v>
      </c>
      <c r="P40" s="16" t="n">
        <v>0.0742512365853038</v>
      </c>
      <c r="Q40" s="16" t="n">
        <v>0.073594598064813</v>
      </c>
      <c r="R40" s="16" t="n">
        <v>0.073134864413304</v>
      </c>
      <c r="S40" s="16" t="n">
        <v>0.0726338366586653</v>
      </c>
      <c r="T40" s="16" t="n">
        <v>0.07220712319095821</v>
      </c>
      <c r="U40" s="16" t="n">
        <v>0.0717806487880982</v>
      </c>
      <c r="V40" s="16" t="n">
        <v>0.0713887668543654</v>
      </c>
      <c r="W40" s="16" t="n">
        <v>0.0710090295365484</v>
      </c>
      <c r="X40" s="16" t="n">
        <v>0.0706488878717299</v>
      </c>
      <c r="Y40" s="16" t="n">
        <v>0.07030080149893</v>
      </c>
      <c r="Z40" s="16" t="n">
        <v>0.0699548164179737</v>
      </c>
      <c r="AA40" s="16" t="n">
        <v>0.0696084436048747</v>
      </c>
    </row>
    <row r="41">
      <c r="A41" s="10" t="n">
        <v>1</v>
      </c>
      <c r="B41" s="14" t="inlineStr">
        <is>
          <t>Baseline (no carbon price)</t>
        </is>
      </c>
      <c r="C41" s="14" t="inlineStr">
        <is>
          <t>mit.co2.pow.all.e</t>
        </is>
      </c>
      <c r="D41" s="14" t="inlineStr">
        <is>
          <t>egy.mit.co2.pow.all.e.1</t>
        </is>
      </c>
      <c r="E41" s="14" t="inlineStr">
        <is>
          <t>CO2 emissions from fuel combustion | Power | All fuels</t>
        </is>
      </c>
      <c r="F41" s="14" t="inlineStr">
        <is>
          <t>MtCO2</t>
        </is>
      </c>
      <c r="G41" s="14" t="inlineStr">
        <is>
          <t>build (Python emulation of RunAllScenarios)</t>
        </is>
      </c>
      <c r="H41" s="44" t="n">
        <v>90.0555728903077</v>
      </c>
      <c r="I41" s="44" t="n">
        <v>109.773438008111</v>
      </c>
      <c r="J41" s="44" t="n">
        <v>109.709445856162</v>
      </c>
      <c r="K41" s="44" t="n">
        <v>117.814351495904</v>
      </c>
      <c r="L41" s="44" t="n">
        <v>110.046267323691</v>
      </c>
      <c r="M41" s="44" t="n">
        <v>111.299379989023</v>
      </c>
      <c r="N41" s="44" t="n">
        <v>109.83027738594</v>
      </c>
      <c r="O41" s="44" t="n">
        <v>114.762468591198</v>
      </c>
      <c r="P41" s="44" t="n">
        <v>116.479380553165</v>
      </c>
      <c r="Q41" s="44" t="n">
        <v>119.899928619122</v>
      </c>
      <c r="R41" s="44" t="n">
        <v>122.192752653206</v>
      </c>
      <c r="S41" s="44" t="n">
        <v>125.237971819094</v>
      </c>
      <c r="T41" s="44" t="n">
        <v>127.974231265522</v>
      </c>
      <c r="U41" s="44" t="n">
        <v>131.03206016833</v>
      </c>
      <c r="V41" s="44" t="n">
        <v>134.031732714288</v>
      </c>
      <c r="W41" s="44" t="n">
        <v>137.191334460068</v>
      </c>
      <c r="X41" s="44" t="n">
        <v>140.372576359361</v>
      </c>
      <c r="Y41" s="44" t="n">
        <v>143.645073028209</v>
      </c>
      <c r="Z41" s="44" t="n">
        <v>146.911636016823</v>
      </c>
      <c r="AA41" s="44" t="n">
        <v>150.194301515909</v>
      </c>
    </row>
    <row r="42">
      <c r="A42" s="10" t="n">
        <v>1</v>
      </c>
      <c r="B42" s="14" t="inlineStr">
        <is>
          <t>Baseline (no carbon price)</t>
        </is>
      </c>
      <c r="C42" s="14" t="inlineStr">
        <is>
          <t>mit.gtot</t>
        </is>
      </c>
      <c r="D42" s="14" t="inlineStr">
        <is>
          <t>egy.mit.gtot.1</t>
        </is>
      </c>
      <c r="E42" s="14" t="inlineStr">
        <is>
          <t>Generation, total</t>
        </is>
      </c>
      <c r="F42" s="14" t="inlineStr">
        <is>
          <t>MWy</t>
        </is>
      </c>
      <c r="G42" s="14" t="inlineStr">
        <is>
          <t>build (Python emulation of RunAllScenarios)</t>
        </is>
      </c>
      <c r="H42" s="47" t="n">
        <v>25122.5095205354</v>
      </c>
      <c r="I42" s="47" t="n">
        <v>30746.5374802134</v>
      </c>
      <c r="J42" s="47" t="n">
        <v>32478.0797087984</v>
      </c>
      <c r="K42" s="47" t="n">
        <v>36617.9829695121</v>
      </c>
      <c r="L42" s="47" t="n">
        <v>36706.1268631264</v>
      </c>
      <c r="M42" s="47" t="n">
        <v>37537.9608855339</v>
      </c>
      <c r="N42" s="47" t="n">
        <v>37801.8315674836</v>
      </c>
      <c r="O42" s="47" t="n">
        <v>39569.6230357125</v>
      </c>
      <c r="P42" s="47" t="n">
        <v>41117.1045210686</v>
      </c>
      <c r="Q42" s="47" t="n">
        <v>43047.9675953877</v>
      </c>
      <c r="R42" s="47" t="n">
        <v>44835.7636834085</v>
      </c>
      <c r="S42" s="47" t="n">
        <v>46757.8799867691</v>
      </c>
      <c r="T42" s="47" t="n">
        <v>48653.0308539493</v>
      </c>
      <c r="U42" s="47" t="n">
        <v>50623.1152382778</v>
      </c>
      <c r="V42" s="47" t="n">
        <v>52613.7734531124</v>
      </c>
      <c r="W42" s="47" t="n">
        <v>54659.661582944</v>
      </c>
      <c r="X42" s="47" t="n">
        <v>56742.5772014399</v>
      </c>
      <c r="Y42" s="47" t="n">
        <v>58873.6358251514</v>
      </c>
      <c r="Z42" s="47" t="n">
        <v>61048.0693664475</v>
      </c>
      <c r="AA42" s="47" t="n">
        <v>63269.7043988947</v>
      </c>
    </row>
    <row r="43">
      <c r="A43" s="10" t="n">
        <v>1</v>
      </c>
      <c r="B43" s="14" t="inlineStr">
        <is>
          <t>Baseline (no carbon price)</t>
        </is>
      </c>
      <c r="C43" s="14" t="inlineStr">
        <is>
          <t>mit.vre</t>
        </is>
      </c>
      <c r="D43" s="14" t="inlineStr">
        <is>
          <t>egy.mit.vre.1</t>
        </is>
      </c>
      <c r="E43" s="14" t="inlineStr">
        <is>
          <t>Variable renewable share of generation (wind, solar, other renewables)</t>
        </is>
      </c>
      <c r="F43" s="14" t="inlineStr">
        <is>
          <t>share</t>
        </is>
      </c>
      <c r="G43" s="14" t="inlineStr">
        <is>
          <t>build (Python emulation of RunAllScenarios)</t>
        </is>
      </c>
      <c r="H43" s="13" t="n">
        <v>0.0523422150659333</v>
      </c>
      <c r="I43" s="13" t="n">
        <v>0.049297278744178</v>
      </c>
      <c r="J43" s="13" t="n">
        <v>0.0759246086143588</v>
      </c>
      <c r="K43" s="13" t="n">
        <v>0.0958818410024293</v>
      </c>
      <c r="L43" s="13" t="n">
        <v>0.127108654281947</v>
      </c>
      <c r="M43" s="13" t="n">
        <v>0.132818719689987</v>
      </c>
      <c r="N43" s="13" t="n">
        <v>0.144361819671548</v>
      </c>
      <c r="O43" s="13" t="n">
        <v>0.144902628667365</v>
      </c>
      <c r="P43" s="13" t="n">
        <v>0.160365826705157</v>
      </c>
      <c r="Q43" s="13" t="n">
        <v>0.171650413346955</v>
      </c>
      <c r="R43" s="13" t="n">
        <v>0.185776731532757</v>
      </c>
      <c r="S43" s="13" t="n">
        <v>0.196906983509081</v>
      </c>
      <c r="T43" s="13" t="n">
        <v>0.208314587628442</v>
      </c>
      <c r="U43" s="13" t="n">
        <v>0.218333163733962</v>
      </c>
      <c r="V43" s="13" t="n">
        <v>0.22814477086156</v>
      </c>
      <c r="W43" s="13" t="n">
        <v>0.237207412719024</v>
      </c>
      <c r="X43" s="13" t="n">
        <v>0.245968485136132</v>
      </c>
      <c r="Y43" s="13" t="n">
        <v>0.254276940938956</v>
      </c>
      <c r="Z43" s="13" t="n">
        <v>0.262544358115205</v>
      </c>
      <c r="AA43" s="13" t="n">
        <v>0.270710317482495</v>
      </c>
    </row>
    <row r="44">
      <c r="A44" s="10" t="n">
        <v>1</v>
      </c>
      <c r="B44" s="14" t="inlineStr">
        <is>
          <t>Baseline (no carbon price)</t>
        </is>
      </c>
      <c r="C44" s="14" t="inlineStr">
        <is>
          <t>mit.shr.pow.nga</t>
        </is>
      </c>
      <c r="D44" s="14" t="inlineStr">
        <is>
          <t>egy.mit.shr.pow.nga.1</t>
        </is>
      </c>
      <c r="E44" s="14" t="inlineStr">
        <is>
          <t>Generation share | Power | Natural gas</t>
        </is>
      </c>
      <c r="F44" s="14" t="inlineStr">
        <is>
          <t>share</t>
        </is>
      </c>
      <c r="G44" s="14" t="inlineStr">
        <is>
          <t>build (Python emulation of RunAllScenarios)</t>
        </is>
      </c>
      <c r="H44" s="13" t="n">
        <v>0.796805951196797</v>
      </c>
      <c r="I44" s="13" t="n">
        <v>0.827939337395871</v>
      </c>
      <c r="J44" s="13" t="n">
        <v>0.755518650183202</v>
      </c>
      <c r="K44" s="13" t="n">
        <v>0.702339531776025</v>
      </c>
      <c r="L44" s="13" t="n">
        <v>0.612780351225866</v>
      </c>
      <c r="M44" s="13" t="n">
        <v>0.613373787651599</v>
      </c>
      <c r="N44" s="13" t="n">
        <v>0.603494805037305</v>
      </c>
      <c r="O44" s="13" t="n">
        <v>0.614838557794362</v>
      </c>
      <c r="P44" s="13" t="n">
        <v>0.60703648038995</v>
      </c>
      <c r="Q44" s="13" t="n">
        <v>0.605069117172123</v>
      </c>
      <c r="R44" s="13" t="n">
        <v>0.5982266472416981</v>
      </c>
      <c r="S44" s="13" t="n">
        <v>0.594471081133735</v>
      </c>
      <c r="T44" s="13" t="n">
        <v>0.589506929752236</v>
      </c>
      <c r="U44" s="13" t="n">
        <v>0.585678080032361</v>
      </c>
      <c r="V44" s="13" t="n">
        <v>0.58151577128024</v>
      </c>
      <c r="W44" s="13" t="n">
        <v>0.5777822462300189</v>
      </c>
      <c r="X44" s="13" t="n">
        <v>0.573966797457505</v>
      </c>
      <c r="Y44" s="13" t="n">
        <v>0.570301365683391</v>
      </c>
      <c r="Z44" s="13" t="n">
        <v>0.566397718467109</v>
      </c>
      <c r="AA44" s="13" t="n">
        <v>0.562350818072712</v>
      </c>
    </row>
    <row r="45">
      <c r="A45" s="10" t="n">
        <v>1</v>
      </c>
      <c r="B45" s="14" t="inlineStr">
        <is>
          <t>Baseline (no carbon price)</t>
        </is>
      </c>
      <c r="C45" s="14" t="inlineStr">
        <is>
          <t>mit.usdtot</t>
        </is>
      </c>
      <c r="D45" s="14" t="inlineStr">
        <is>
          <t>egy.mit.usdtot.1</t>
        </is>
      </c>
      <c r="E45" s="14" t="inlineStr">
        <is>
          <t>New investment, total</t>
        </is>
      </c>
      <c r="F45" s="14" t="inlineStr">
        <is>
          <t>USD m real</t>
        </is>
      </c>
      <c r="G45" s="14" t="inlineStr">
        <is>
          <t>build (Python emulation of RunAllScenarios)</t>
        </is>
      </c>
      <c r="H45" s="47" t="n">
        <v>2740.11395837874</v>
      </c>
      <c r="I45" s="47" t="n">
        <v>23118.2511509123</v>
      </c>
      <c r="J45" s="47" t="n">
        <v>25913.7953258688</v>
      </c>
      <c r="K45" s="47" t="n">
        <v>29068.3138675662</v>
      </c>
      <c r="L45" s="47" t="n">
        <v>4948.93146509448</v>
      </c>
      <c r="M45" s="47" t="n">
        <v>6361.99207606397</v>
      </c>
      <c r="N45" s="47" t="n">
        <v>4477.11074987934</v>
      </c>
      <c r="O45" s="47" t="n">
        <v>9609.509015172151</v>
      </c>
      <c r="P45" s="47" t="n">
        <v>8974.432413426541</v>
      </c>
      <c r="Q45" s="47" t="n">
        <v>10402.3298120517</v>
      </c>
      <c r="R45" s="47" t="n">
        <v>10091.9934319828</v>
      </c>
      <c r="S45" s="47" t="n">
        <v>10702.914756375</v>
      </c>
      <c r="T45" s="47" t="n">
        <v>10784.8012295035</v>
      </c>
      <c r="U45" s="47" t="n">
        <v>11203.8393114258</v>
      </c>
      <c r="V45" s="47" t="n">
        <v>11452.6100392453</v>
      </c>
      <c r="W45" s="47" t="n">
        <v>11811.2462839632</v>
      </c>
      <c r="X45" s="47" t="n">
        <v>12115.4608224143</v>
      </c>
      <c r="Y45" s="47" t="n">
        <v>12405.5276079725</v>
      </c>
      <c r="Z45" s="47" t="n">
        <v>12677.9150331293</v>
      </c>
      <c r="AA45" s="47" t="n">
        <v>12950.0043084099</v>
      </c>
    </row>
    <row r="46">
      <c r="A46" s="10" t="n">
        <v>1</v>
      </c>
      <c r="B46" s="14" t="inlineStr">
        <is>
          <t>Baseline (no carbon price)</t>
        </is>
      </c>
      <c r="C46" s="14" t="inlineStr">
        <is>
          <t>mit.demtot</t>
        </is>
      </c>
      <c r="D46" s="14" t="inlineStr">
        <is>
          <t>egy.mit.demtot.1</t>
        </is>
      </c>
      <c r="E46" s="14" t="inlineStr">
        <is>
          <t>Electricity demand, total</t>
        </is>
      </c>
      <c r="F46" s="14" t="inlineStr">
        <is>
          <t>ktoe</t>
        </is>
      </c>
      <c r="G46" s="14" t="inlineStr">
        <is>
          <t>build (Python emulation of RunAllScenarios)</t>
        </is>
      </c>
      <c r="H46" s="47" t="n">
        <v>15495.7198104268</v>
      </c>
      <c r="I46" s="47" t="n">
        <v>18964.655164912</v>
      </c>
      <c r="J46" s="47" t="n">
        <v>20032.681159375</v>
      </c>
      <c r="K46" s="47" t="n">
        <v>22586.199187415</v>
      </c>
      <c r="L46" s="47" t="n">
        <v>22640.566888115</v>
      </c>
      <c r="M46" s="47" t="n">
        <v>23153.6472764206</v>
      </c>
      <c r="N46" s="47" t="n">
        <v>23316.4043509213</v>
      </c>
      <c r="O46" s="47" t="n">
        <v>24406.7891013996</v>
      </c>
      <c r="P46" s="47" t="n">
        <v>25361.2852869538</v>
      </c>
      <c r="Q46" s="47" t="n">
        <v>26552.2536162719</v>
      </c>
      <c r="R46" s="47" t="n">
        <v>27654.9773404087</v>
      </c>
      <c r="S46" s="47" t="n">
        <v>28840.5506071074</v>
      </c>
      <c r="T46" s="47" t="n">
        <v>30009.4914253925</v>
      </c>
      <c r="U46" s="47" t="n">
        <v>31224.6517021753</v>
      </c>
      <c r="V46" s="47" t="n">
        <v>32452.5020453182</v>
      </c>
      <c r="W46" s="47" t="n">
        <v>33714.4185428495</v>
      </c>
      <c r="X46" s="47" t="n">
        <v>34999.1738252225</v>
      </c>
      <c r="Y46" s="47" t="n">
        <v>36313.6240120414</v>
      </c>
      <c r="Z46" s="47" t="n">
        <v>37654.8281172593</v>
      </c>
      <c r="AA46" s="47" t="n">
        <v>39025.1463952041</v>
      </c>
    </row>
    <row r="47">
      <c r="A47" s="10" t="n">
        <v>1</v>
      </c>
      <c r="B47" s="14" t="inlineStr">
        <is>
          <t>Baseline (no carbon price)</t>
        </is>
      </c>
      <c r="C47" s="14" t="inlineStr">
        <is>
          <t>mit.eldem.tra.ecy.e</t>
        </is>
      </c>
      <c r="D47" s="14" t="inlineStr">
        <is>
          <t>egy.mit.eldem.tra.ecy.e.1</t>
        </is>
      </c>
      <c r="E47" s="14" t="inlineStr">
        <is>
          <t>Electricity demand (memo: power model H; not in the fuel totals; sector policies do not act on it) | Transport | Electricity</t>
        </is>
      </c>
      <c r="F47" s="14" t="inlineStr">
        <is>
          <t>ktoe</t>
        </is>
      </c>
      <c r="G47" s="14" t="inlineStr">
        <is>
          <t>build (Python emulation of RunAllScenarios)</t>
        </is>
      </c>
      <c r="H47" s="47" t="n">
        <v>47.6318696194386</v>
      </c>
      <c r="I47" s="47" t="n">
        <v>56.1578666775528</v>
      </c>
      <c r="J47" s="47" t="n">
        <v>59.1776119843666</v>
      </c>
      <c r="K47" s="47" t="n">
        <v>65.56989481179821</v>
      </c>
      <c r="L47" s="47" t="n">
        <v>66.8861671360024</v>
      </c>
      <c r="M47" s="47" t="n">
        <v>69.41854016425749</v>
      </c>
      <c r="N47" s="47" t="n">
        <v>71.5166551098952</v>
      </c>
      <c r="O47" s="47" t="n">
        <v>75.5799275955234</v>
      </c>
      <c r="P47" s="47" t="n">
        <v>79.2711023832703</v>
      </c>
      <c r="Q47" s="47" t="n">
        <v>83.5466965783948</v>
      </c>
      <c r="R47" s="47" t="n">
        <v>87.69545096975411</v>
      </c>
      <c r="S47" s="47" t="n">
        <v>92.0986994196535</v>
      </c>
      <c r="T47" s="47" t="n">
        <v>96.5337635579844</v>
      </c>
      <c r="U47" s="47" t="n">
        <v>101.142544219908</v>
      </c>
      <c r="V47" s="47" t="n">
        <v>105.849279567642</v>
      </c>
      <c r="W47" s="47" t="n">
        <v>110.702910570255</v>
      </c>
      <c r="X47" s="47" t="n">
        <v>115.677847889373</v>
      </c>
      <c r="Y47" s="47" t="n">
        <v>120.789965829307</v>
      </c>
      <c r="Z47" s="47" t="n">
        <v>126.032454880036</v>
      </c>
      <c r="AA47" s="47" t="n">
        <v>131.410741505541</v>
      </c>
    </row>
    <row r="48">
      <c r="A48" s="10" t="n">
        <v>1</v>
      </c>
      <c r="B48" s="14" t="inlineStr">
        <is>
          <t>Baseline (no carbon price)</t>
        </is>
      </c>
      <c r="C48" s="14" t="inlineStr">
        <is>
          <t>mit.eldem.bld.ecy.e</t>
        </is>
      </c>
      <c r="D48" s="14" t="inlineStr">
        <is>
          <t>egy.mit.eldem.bld.ecy.e.1</t>
        </is>
      </c>
      <c r="E48" s="14" t="inlineStr">
        <is>
          <t>Electricity demand (memo: power model H; not in the fuel totals; sector policies do not act on it) | Buildings | Electricity</t>
        </is>
      </c>
      <c r="F48" s="14" t="inlineStr">
        <is>
          <t>ktoe</t>
        </is>
      </c>
      <c r="G48" s="14" t="inlineStr">
        <is>
          <t>build (Python emulation of RunAllScenarios)</t>
        </is>
      </c>
      <c r="H48" s="47" t="n">
        <v>11660.9678190786</v>
      </c>
      <c r="I48" s="47" t="n">
        <v>14469.3803845704</v>
      </c>
      <c r="J48" s="47" t="n">
        <v>15418.0538874128</v>
      </c>
      <c r="K48" s="47" t="n">
        <v>17431.2228698156</v>
      </c>
      <c r="L48" s="47" t="n">
        <v>17462.5356158858</v>
      </c>
      <c r="M48" s="47" t="n">
        <v>17864.6482951694</v>
      </c>
      <c r="N48" s="47" t="n">
        <v>17979.4261450393</v>
      </c>
      <c r="O48" s="47" t="n">
        <v>18849.4256539455</v>
      </c>
      <c r="P48" s="47" t="n">
        <v>19611.2365500601</v>
      </c>
      <c r="Q48" s="47" t="n">
        <v>20566.7268779991</v>
      </c>
      <c r="R48" s="47" t="n">
        <v>21451.3431373922</v>
      </c>
      <c r="S48" s="47" t="n">
        <v>22404.7252800795</v>
      </c>
      <c r="T48" s="47" t="n">
        <v>23345.5819389201</v>
      </c>
      <c r="U48" s="47" t="n">
        <v>24325.398570155</v>
      </c>
      <c r="V48" s="47" t="n">
        <v>25316.7258561164</v>
      </c>
      <c r="W48" s="47" t="n">
        <v>26337.1592785546</v>
      </c>
      <c r="X48" s="47" t="n">
        <v>27377.5135089351</v>
      </c>
      <c r="Y48" s="47" t="n">
        <v>28443.4807542052</v>
      </c>
      <c r="Z48" s="47" t="n">
        <v>29532.6845351888</v>
      </c>
      <c r="AA48" s="47" t="n">
        <v>30647.123169701</v>
      </c>
    </row>
    <row r="49">
      <c r="A49" s="10" t="n">
        <v>1</v>
      </c>
      <c r="B49" s="14" t="inlineStr">
        <is>
          <t>Baseline (no carbon price)</t>
        </is>
      </c>
      <c r="C49" s="14" t="inlineStr">
        <is>
          <t>mit.eldem.ind.ecy.e</t>
        </is>
      </c>
      <c r="D49" s="14" t="inlineStr">
        <is>
          <t>egy.mit.eldem.ind.ecy.e.1</t>
        </is>
      </c>
      <c r="E49" s="14" t="inlineStr">
        <is>
          <t>Electricity demand (memo: power model H; not in the fuel totals; sector policies do not act on it) | Industry | Electricity</t>
        </is>
      </c>
      <c r="F49" s="14" t="inlineStr">
        <is>
          <t>ktoe</t>
        </is>
      </c>
      <c r="G49" s="14" t="inlineStr">
        <is>
          <t>build (Python emulation of RunAllScenarios)</t>
        </is>
      </c>
      <c r="H49" s="47" t="n">
        <v>3787.12012172875</v>
      </c>
      <c r="I49" s="47" t="n">
        <v>4439.11691366402</v>
      </c>
      <c r="J49" s="47" t="n">
        <v>4555.44965997782</v>
      </c>
      <c r="K49" s="47" t="n">
        <v>5089.40642278754</v>
      </c>
      <c r="L49" s="47" t="n">
        <v>5111.1451050932</v>
      </c>
      <c r="M49" s="47" t="n">
        <v>5219.58044108698</v>
      </c>
      <c r="N49" s="47" t="n">
        <v>5265.46155077209</v>
      </c>
      <c r="O49" s="47" t="n">
        <v>5481.78351985856</v>
      </c>
      <c r="P49" s="47" t="n">
        <v>5670.77763451046</v>
      </c>
      <c r="Q49" s="47" t="n">
        <v>5901.98004169435</v>
      </c>
      <c r="R49" s="47" t="n">
        <v>6115.93875204678</v>
      </c>
      <c r="S49" s="47" t="n">
        <v>6343.7266276082</v>
      </c>
      <c r="T49" s="47" t="n">
        <v>6567.3757229145</v>
      </c>
      <c r="U49" s="47" t="n">
        <v>6798.11058780041</v>
      </c>
      <c r="V49" s="47" t="n">
        <v>7029.92690963423</v>
      </c>
      <c r="W49" s="47" t="n">
        <v>7266.55635372466</v>
      </c>
      <c r="X49" s="47" t="n">
        <v>7505.98246839795</v>
      </c>
      <c r="Y49" s="47" t="n">
        <v>7749.35329200691</v>
      </c>
      <c r="Z49" s="47" t="n">
        <v>7996.11112719045</v>
      </c>
      <c r="AA49" s="47" t="n">
        <v>8246.61248399752</v>
      </c>
    </row>
    <row r="50">
      <c r="A50" s="10" t="n">
        <v>1</v>
      </c>
      <c r="B50" s="14" t="inlineStr">
        <is>
          <t>Baseline (no carbon price)</t>
        </is>
      </c>
      <c r="C50" s="14" t="inlineStr">
        <is>
          <t>mit.eldem.oen.ecy.e</t>
        </is>
      </c>
      <c r="D50" s="14" t="inlineStr">
        <is>
          <t>egy.mit.eldem.oen.ecy.e.1</t>
        </is>
      </c>
      <c r="E50" s="14" t="inlineStr">
        <is>
          <t>Electricity demand (memo: power model H; not in the fuel totals; sector policies do not act on it) | Other energy use | Electricity</t>
        </is>
      </c>
      <c r="F50" s="14" t="inlineStr">
        <is>
          <t>ktoe</t>
        </is>
      </c>
      <c r="G50" s="14" t="inlineStr">
        <is>
          <t>build (Python emulation of RunAllScenarios)</t>
        </is>
      </c>
      <c r="H50" s="47" t="n">
        <v>0</v>
      </c>
      <c r="I50" s="47" t="n">
        <v>0</v>
      </c>
      <c r="J50" s="47" t="n">
        <v>0</v>
      </c>
      <c r="K50" s="47" t="n">
        <v>0</v>
      </c>
      <c r="L50" s="47" t="n">
        <v>0</v>
      </c>
      <c r="M50" s="47" t="n">
        <v>0</v>
      </c>
      <c r="N50" s="47" t="n">
        <v>0</v>
      </c>
      <c r="O50" s="47" t="n">
        <v>0</v>
      </c>
      <c r="P50" s="47" t="n">
        <v>0</v>
      </c>
      <c r="Q50" s="47" t="n">
        <v>0</v>
      </c>
      <c r="R50" s="47" t="n">
        <v>0</v>
      </c>
      <c r="S50" s="47" t="n">
        <v>0</v>
      </c>
      <c r="T50" s="47" t="n">
        <v>0</v>
      </c>
      <c r="U50" s="47" t="n">
        <v>0</v>
      </c>
      <c r="V50" s="47" t="n">
        <v>0</v>
      </c>
      <c r="W50" s="47" t="n">
        <v>0</v>
      </c>
      <c r="X50" s="47" t="n">
        <v>0</v>
      </c>
      <c r="Y50" s="47" t="n">
        <v>0</v>
      </c>
      <c r="Z50" s="47" t="n">
        <v>0</v>
      </c>
      <c r="AA50" s="47" t="n">
        <v>0</v>
      </c>
    </row>
    <row r="51">
      <c r="A51" s="10" t="n">
        <v>1</v>
      </c>
      <c r="B51" s="14" t="inlineStr">
        <is>
          <t>Baseline (no carbon price)</t>
        </is>
      </c>
      <c r="C51" s="14" t="inlineStr">
        <is>
          <t>mit.req</t>
        </is>
      </c>
      <c r="D51" s="14" t="inlineStr">
        <is>
          <t>egy.mit.req.1</t>
        </is>
      </c>
      <c r="E51" s="14" t="inlineStr">
        <is>
          <t>Required generation (incl. net exports, transmission and statistical differences, own use)</t>
        </is>
      </c>
      <c r="F51" s="14" t="inlineStr">
        <is>
          <t>MWy</t>
        </is>
      </c>
      <c r="G51" s="14" t="inlineStr">
        <is>
          <t>build (Python emulation of RunAllScenarios)</t>
        </is>
      </c>
      <c r="H51" s="47" t="n">
        <v>25122.5095205354</v>
      </c>
      <c r="I51" s="47" t="n">
        <v>30746.5374802134</v>
      </c>
      <c r="J51" s="47" t="n">
        <v>32478.0797087984</v>
      </c>
      <c r="K51" s="47" t="n">
        <v>36617.9829695121</v>
      </c>
      <c r="L51" s="47" t="n">
        <v>36706.1268631264</v>
      </c>
      <c r="M51" s="47" t="n">
        <v>37537.9608855339</v>
      </c>
      <c r="N51" s="47" t="n">
        <v>37801.8315674836</v>
      </c>
      <c r="O51" s="47" t="n">
        <v>39569.6230357125</v>
      </c>
      <c r="P51" s="47" t="n">
        <v>41117.1045210686</v>
      </c>
      <c r="Q51" s="47" t="n">
        <v>43047.9675953877</v>
      </c>
      <c r="R51" s="47" t="n">
        <v>44835.7636834085</v>
      </c>
      <c r="S51" s="47" t="n">
        <v>46757.8799867691</v>
      </c>
      <c r="T51" s="47" t="n">
        <v>48653.0308539493</v>
      </c>
      <c r="U51" s="47" t="n">
        <v>50623.1152382778</v>
      </c>
      <c r="V51" s="47" t="n">
        <v>52613.7734531124</v>
      </c>
      <c r="W51" s="47" t="n">
        <v>54659.661582944</v>
      </c>
      <c r="X51" s="47" t="n">
        <v>56742.5772014399</v>
      </c>
      <c r="Y51" s="47" t="n">
        <v>58873.6358251514</v>
      </c>
      <c r="Z51" s="47" t="n">
        <v>61048.0693664475</v>
      </c>
      <c r="AA51" s="47" t="n">
        <v>63269.7043988947</v>
      </c>
    </row>
    <row r="52">
      <c r="A52" s="10" t="n">
        <v>1</v>
      </c>
      <c r="B52" s="14" t="inlineStr">
        <is>
          <t>Baseline (no carbon price)</t>
        </is>
      </c>
      <c r="C52" s="14" t="inlineStr">
        <is>
          <t>mit.captot</t>
        </is>
      </c>
      <c r="D52" s="14" t="inlineStr">
        <is>
          <t>egy.mit.captot.1</t>
        </is>
      </c>
      <c r="E52" s="14" t="inlineStr">
        <is>
          <t>Nameplate capacity, total</t>
        </is>
      </c>
      <c r="F52" s="14" t="inlineStr">
        <is>
          <t>MW</t>
        </is>
      </c>
      <c r="G52" s="14" t="inlineStr">
        <is>
          <t>build (Python emulation of RunAllScenarios)</t>
        </is>
      </c>
      <c r="H52" s="47" t="n">
        <v>60726.1845893258</v>
      </c>
      <c r="I52" s="47" t="n">
        <v>60811.0883379138</v>
      </c>
      <c r="J52" s="47" t="n">
        <v>72307.1412510563</v>
      </c>
      <c r="K52" s="47" t="n">
        <v>85238.1824583805</v>
      </c>
      <c r="L52" s="47" t="n">
        <v>99808.9933785412</v>
      </c>
      <c r="M52" s="47" t="n">
        <v>100700.909754224</v>
      </c>
      <c r="N52" s="47" t="n">
        <v>102713.245561858</v>
      </c>
      <c r="O52" s="47" t="n">
        <v>103288.079715131</v>
      </c>
      <c r="P52" s="47" t="n">
        <v>108037.591569583</v>
      </c>
      <c r="Q52" s="47" t="n">
        <v>112303.751099854</v>
      </c>
      <c r="R52" s="47" t="n">
        <v>117651.246708354</v>
      </c>
      <c r="S52" s="47" t="n">
        <v>122612.586287239</v>
      </c>
      <c r="T52" s="47" t="n">
        <v>127970.775393939</v>
      </c>
      <c r="U52" s="47" t="n">
        <v>133282.169801756</v>
      </c>
      <c r="V52" s="47" t="n">
        <v>138841.91073209</v>
      </c>
      <c r="W52" s="47" t="n">
        <v>144495.643276917</v>
      </c>
      <c r="X52" s="47" t="n">
        <v>150352.441692486</v>
      </c>
      <c r="Y52" s="47" t="n">
        <v>156359.916184079</v>
      </c>
      <c r="Z52" s="47" t="n">
        <v>162618.227584588</v>
      </c>
      <c r="AA52" s="47" t="n">
        <v>169115.300805985</v>
      </c>
    </row>
    <row r="53">
      <c r="A53" s="10" t="n">
        <v>1</v>
      </c>
      <c r="B53" s="14" t="inlineStr">
        <is>
          <t>Baseline (no carbon price)</t>
        </is>
      </c>
      <c r="C53" s="14" t="inlineStr">
        <is>
          <t>mit.cap.pow.wnd</t>
        </is>
      </c>
      <c r="D53" s="14" t="inlineStr">
        <is>
          <t>egy.mit.cap.pow.wnd.1</t>
        </is>
      </c>
      <c r="E53" s="14" t="inlineStr">
        <is>
          <t>Nameplate capacity | Power | Wind</t>
        </is>
      </c>
      <c r="F53" s="14" t="inlineStr">
        <is>
          <t>MW</t>
        </is>
      </c>
      <c r="G53" s="14" t="inlineStr">
        <is>
          <t>build (Python emulation of RunAllScenarios)</t>
        </is>
      </c>
      <c r="H53" s="47" t="n">
        <v>2387.25143730845</v>
      </c>
      <c r="I53" s="47" t="n">
        <v>2946.65308893587</v>
      </c>
      <c r="J53" s="47" t="n">
        <v>4523.26528734037</v>
      </c>
      <c r="K53" s="47" t="n">
        <v>6263.66147696025</v>
      </c>
      <c r="L53" s="47" t="n">
        <v>8192.50514513589</v>
      </c>
      <c r="M53" s="47" t="n">
        <v>9060.556841346581</v>
      </c>
      <c r="N53" s="47" t="n">
        <v>10225.4970781988</v>
      </c>
      <c r="O53" s="47" t="n">
        <v>10913.1353471445</v>
      </c>
      <c r="P53" s="47" t="n">
        <v>12772.1638625231</v>
      </c>
      <c r="Q53" s="47" t="n">
        <v>14409.7403884325</v>
      </c>
      <c r="R53" s="47" t="n">
        <v>16315.1521168487</v>
      </c>
      <c r="S53" s="47" t="n">
        <v>18076.6933712519</v>
      </c>
      <c r="T53" s="47" t="n">
        <v>19918.3067754856</v>
      </c>
      <c r="U53" s="47" t="n">
        <v>21717.3701137784</v>
      </c>
      <c r="V53" s="47" t="n">
        <v>23557.0445084442</v>
      </c>
      <c r="W53" s="47" t="n">
        <v>25395.355182147</v>
      </c>
      <c r="X53" s="47" t="n">
        <v>27263.3272298048</v>
      </c>
      <c r="Y53" s="47" t="n">
        <v>29149.8614395874</v>
      </c>
      <c r="Z53" s="47" t="n">
        <v>31058.4513068831</v>
      </c>
      <c r="AA53" s="47" t="n">
        <v>32982.5198416734</v>
      </c>
    </row>
    <row r="54">
      <c r="A54" s="10" t="n">
        <v>1</v>
      </c>
      <c r="B54" s="14" t="inlineStr">
        <is>
          <t>Baseline (no carbon price)</t>
        </is>
      </c>
      <c r="C54" s="14" t="inlineStr">
        <is>
          <t>mit.cap.pow.sol</t>
        </is>
      </c>
      <c r="D54" s="14" t="inlineStr">
        <is>
          <t>egy.mit.cap.pow.sol.1</t>
        </is>
      </c>
      <c r="E54" s="14" t="inlineStr">
        <is>
          <t>Nameplate capacity | Power | Solar</t>
        </is>
      </c>
      <c r="F54" s="14" t="inlineStr">
        <is>
          <t>MW</t>
        </is>
      </c>
      <c r="G54" s="14" t="inlineStr">
        <is>
          <t>build (Python emulation of RunAllScenarios)</t>
        </is>
      </c>
      <c r="H54" s="47" t="n">
        <v>3326.62425070716</v>
      </c>
      <c r="I54" s="47" t="n">
        <v>3509.58167722018</v>
      </c>
      <c r="J54" s="47" t="n">
        <v>6160.58835685753</v>
      </c>
      <c r="K54" s="47" t="n">
        <v>9066.11765457971</v>
      </c>
      <c r="L54" s="47" t="n">
        <v>12266.1935885204</v>
      </c>
      <c r="M54" s="47" t="n">
        <v>12597.649178808</v>
      </c>
      <c r="N54" s="47" t="n">
        <v>13274.9559363315</v>
      </c>
      <c r="O54" s="47" t="n">
        <v>13665.5654950452</v>
      </c>
      <c r="P54" s="47" t="n">
        <v>15345.1627749255</v>
      </c>
      <c r="Q54" s="47" t="n">
        <v>17034.8850831381</v>
      </c>
      <c r="R54" s="47" t="n">
        <v>19082.7555434673</v>
      </c>
      <c r="S54" s="47" t="n">
        <v>21021.9171783264</v>
      </c>
      <c r="T54" s="47" t="n">
        <v>23109.1334809368</v>
      </c>
      <c r="U54" s="47" t="n">
        <v>25208.2992994923</v>
      </c>
      <c r="V54" s="47" t="n">
        <v>27424.6885338284</v>
      </c>
      <c r="W54" s="47" t="n">
        <v>29705.9463863526</v>
      </c>
      <c r="X54" s="47" t="n">
        <v>32099.3754889821</v>
      </c>
      <c r="Y54" s="47" t="n">
        <v>34584.7199316522</v>
      </c>
      <c r="Z54" s="47" t="n">
        <v>37279.3932995642</v>
      </c>
      <c r="AA54" s="47" t="n">
        <v>40183.3656241467</v>
      </c>
    </row>
    <row r="55">
      <c r="A55" s="10" t="n">
        <v>1</v>
      </c>
      <c r="B55" s="14" t="inlineStr">
        <is>
          <t>Baseline (no carbon price)</t>
        </is>
      </c>
      <c r="C55" s="14" t="inlineStr">
        <is>
          <t>mit.nimtot</t>
        </is>
      </c>
      <c r="D55" s="14" t="inlineStr">
        <is>
          <t>egy.mit.nimtot.1</t>
        </is>
      </c>
      <c r="E55" s="14" t="inlineStr">
        <is>
          <t>New nameplate investment, total</t>
        </is>
      </c>
      <c r="F55" s="14" t="inlineStr">
        <is>
          <t>MW</t>
        </is>
      </c>
      <c r="G55" s="14" t="inlineStr">
        <is>
          <t>build (Python emulation of RunAllScenarios)</t>
        </is>
      </c>
      <c r="H55" s="47" t="n">
        <v>1926.88734107926</v>
      </c>
      <c r="I55" s="47" t="n">
        <v>13340.8834415295</v>
      </c>
      <c r="J55" s="47" t="n">
        <v>15064.1207955132</v>
      </c>
      <c r="K55" s="47" t="n">
        <v>17027.3024198459</v>
      </c>
      <c r="L55" s="47" t="n">
        <v>3712.06535085322</v>
      </c>
      <c r="M55" s="47" t="n">
        <v>4862.02057697232</v>
      </c>
      <c r="N55" s="47" t="n">
        <v>3492.01283779859</v>
      </c>
      <c r="O55" s="47" t="n">
        <v>7686.57298307473</v>
      </c>
      <c r="P55" s="47" t="n">
        <v>7364.93320726665</v>
      </c>
      <c r="Q55" s="47" t="n">
        <v>8592.676892599549</v>
      </c>
      <c r="R55" s="47" t="n">
        <v>8389.630565959829</v>
      </c>
      <c r="S55" s="47" t="n">
        <v>8956.244722131651</v>
      </c>
      <c r="T55" s="47" t="n">
        <v>9092.65902517631</v>
      </c>
      <c r="U55" s="47" t="n">
        <v>9522.585071165369</v>
      </c>
      <c r="V55" s="47" t="n">
        <v>9806.70445040356</v>
      </c>
      <c r="W55" s="47" t="n">
        <v>10203.1522731296</v>
      </c>
      <c r="X55" s="47" t="n">
        <v>10554.3097757928</v>
      </c>
      <c r="Y55" s="47" t="n">
        <v>11010.9151784169</v>
      </c>
      <c r="Z55" s="47" t="n">
        <v>11464.9240187912</v>
      </c>
      <c r="AA55" s="47" t="n">
        <v>11947.6653719284</v>
      </c>
    </row>
    <row r="56">
      <c r="A56" s="10" t="n">
        <v>1</v>
      </c>
      <c r="B56" s="14" t="inlineStr">
        <is>
          <t>Baseline (no carbon price)</t>
        </is>
      </c>
      <c r="C56" s="14" t="inlineStr">
        <is>
          <t>mit.shr.pow.coa</t>
        </is>
      </c>
      <c r="D56" s="14" t="inlineStr">
        <is>
          <t>egy.mit.shr.pow.coa.1</t>
        </is>
      </c>
      <c r="E56" s="14" t="inlineStr">
        <is>
          <t>Generation share | Power | Coal</t>
        </is>
      </c>
      <c r="F56" s="14" t="inlineStr">
        <is>
          <t>share</t>
        </is>
      </c>
      <c r="G56" s="14" t="inlineStr">
        <is>
          <t>build (Python emulation of RunAllScenarios)</t>
        </is>
      </c>
      <c r="H56" s="13" t="n">
        <v>0</v>
      </c>
      <c r="I56" s="13" t="n">
        <v>0</v>
      </c>
      <c r="J56" s="13" t="n">
        <v>0</v>
      </c>
      <c r="K56" s="13" t="n">
        <v>0</v>
      </c>
      <c r="L56" s="13" t="n">
        <v>0</v>
      </c>
      <c r="M56" s="13" t="n">
        <v>0</v>
      </c>
      <c r="N56" s="13" t="n">
        <v>0</v>
      </c>
      <c r="O56" s="13" t="n">
        <v>0</v>
      </c>
      <c r="P56" s="13" t="n">
        <v>0</v>
      </c>
      <c r="Q56" s="13" t="n">
        <v>0</v>
      </c>
      <c r="R56" s="13" t="n">
        <v>0</v>
      </c>
      <c r="S56" s="13" t="n">
        <v>0</v>
      </c>
      <c r="T56" s="13" t="n">
        <v>0</v>
      </c>
      <c r="U56" s="13" t="n">
        <v>0</v>
      </c>
      <c r="V56" s="13" t="n">
        <v>0</v>
      </c>
      <c r="W56" s="13" t="n">
        <v>0</v>
      </c>
      <c r="X56" s="13" t="n">
        <v>0</v>
      </c>
      <c r="Y56" s="13" t="n">
        <v>0</v>
      </c>
      <c r="Z56" s="13" t="n">
        <v>0</v>
      </c>
      <c r="AA56" s="13" t="n">
        <v>0</v>
      </c>
    </row>
    <row r="57">
      <c r="A57" s="10" t="n">
        <v>1</v>
      </c>
      <c r="B57" s="14" t="inlineStr">
        <is>
          <t>Baseline (no carbon price)</t>
        </is>
      </c>
      <c r="C57" s="14" t="inlineStr">
        <is>
          <t>mit.shr.pow.oop</t>
        </is>
      </c>
      <c r="D57" s="14" t="inlineStr">
        <is>
          <t>egy.mit.shr.pow.oop.1</t>
        </is>
      </c>
      <c r="E57" s="14" t="inlineStr">
        <is>
          <t>Generation share | Power | Other oil products</t>
        </is>
      </c>
      <c r="F57" s="14" t="inlineStr">
        <is>
          <t>share</t>
        </is>
      </c>
      <c r="G57" s="14" t="inlineStr">
        <is>
          <t>build (Python emulation of RunAllScenarios)</t>
        </is>
      </c>
      <c r="H57" s="13" t="n">
        <v>0.0840906621921125</v>
      </c>
      <c r="I57" s="13" t="n">
        <v>0.0668494156560812</v>
      </c>
      <c r="J57" s="13" t="n">
        <v>0.07694767989859359</v>
      </c>
      <c r="K57" s="13" t="n">
        <v>0.0817920847314513</v>
      </c>
      <c r="L57" s="13" t="n">
        <v>0.0967352866739674</v>
      </c>
      <c r="M57" s="13" t="n">
        <v>0.0920501761706653</v>
      </c>
      <c r="N57" s="13" t="n">
        <v>0.0889985539616971</v>
      </c>
      <c r="O57" s="13" t="n">
        <v>0.08272807068926161</v>
      </c>
      <c r="P57" s="13" t="n">
        <v>0.0776121725354192</v>
      </c>
      <c r="Q57" s="13" t="n">
        <v>0.0722538426163719</v>
      </c>
      <c r="R57" s="13" t="n">
        <v>0.0676589777710447</v>
      </c>
      <c r="S57" s="13" t="n">
        <v>0.0632741799618862</v>
      </c>
      <c r="T57" s="13" t="n">
        <v>0.0593268823979306</v>
      </c>
      <c r="U57" s="13" t="n">
        <v>0.0556353811464214</v>
      </c>
      <c r="V57" s="13" t="n">
        <v>0.0522464551613389</v>
      </c>
      <c r="W57" s="13" t="n">
        <v>0.0490947864688262</v>
      </c>
      <c r="X57" s="13" t="n">
        <v>0.0461795511609988</v>
      </c>
      <c r="Y57" s="13" t="n">
        <v>0.0434707236911621</v>
      </c>
      <c r="Z57" s="13" t="n">
        <v>0.0409541990351525</v>
      </c>
      <c r="AA57" s="13" t="n">
        <v>0.0386118245914954</v>
      </c>
    </row>
    <row r="58">
      <c r="A58" s="10" t="n">
        <v>1</v>
      </c>
      <c r="B58" s="14" t="inlineStr">
        <is>
          <t>Baseline (no carbon price)</t>
        </is>
      </c>
      <c r="C58" s="14" t="inlineStr">
        <is>
          <t>mit.shr.pow.wnd</t>
        </is>
      </c>
      <c r="D58" s="14" t="inlineStr">
        <is>
          <t>egy.mit.shr.pow.wnd.1</t>
        </is>
      </c>
      <c r="E58" s="14" t="inlineStr">
        <is>
          <t>Generation share | Power | Wind</t>
        </is>
      </c>
      <c r="F58" s="14" t="inlineStr">
        <is>
          <t>share</t>
        </is>
      </c>
      <c r="G58" s="14" t="inlineStr">
        <is>
          <t>build (Python emulation of RunAllScenarios)</t>
        </is>
      </c>
      <c r="H58" s="13" t="n">
        <v>0.0285073205209505</v>
      </c>
      <c r="I58" s="13" t="n">
        <v>0.0287510724500165</v>
      </c>
      <c r="J58" s="13" t="n">
        <v>0.0417813983575668</v>
      </c>
      <c r="K58" s="13" t="n">
        <v>0.0513162738824965</v>
      </c>
      <c r="L58" s="13" t="n">
        <v>0.0669575287173578</v>
      </c>
      <c r="M58" s="13" t="n">
        <v>0.0724111536237302</v>
      </c>
      <c r="N58" s="13" t="n">
        <v>0.0811508066211894</v>
      </c>
      <c r="O58" s="13" t="n">
        <v>0.08273873625706619</v>
      </c>
      <c r="P58" s="13" t="n">
        <v>0.09318869126092209</v>
      </c>
      <c r="Q58" s="13" t="n">
        <v>0.100421050237757</v>
      </c>
      <c r="R58" s="13" t="n">
        <v>0.109166103863328</v>
      </c>
      <c r="S58" s="13" t="n">
        <v>0.115980622152033</v>
      </c>
      <c r="T58" s="13" t="n">
        <v>0.12281849512281</v>
      </c>
      <c r="U58" s="13" t="n">
        <v>0.128700318095144</v>
      </c>
      <c r="V58" s="13" t="n">
        <v>0.134320594945185</v>
      </c>
      <c r="W58" s="13" t="n">
        <v>0.139382614784088</v>
      </c>
      <c r="X58" s="13" t="n">
        <v>0.144142169290363</v>
      </c>
      <c r="Y58" s="13" t="n">
        <v>0.148537767530578</v>
      </c>
      <c r="Z58" s="13" t="n">
        <v>0.152626208965519</v>
      </c>
      <c r="AA58" s="13" t="n">
        <v>0.156390108765466</v>
      </c>
    </row>
    <row r="59">
      <c r="A59" s="10" t="n">
        <v>1</v>
      </c>
      <c r="B59" s="14" t="inlineStr">
        <is>
          <t>Baseline (no carbon price)</t>
        </is>
      </c>
      <c r="C59" s="14" t="inlineStr">
        <is>
          <t>mit.shr.pow.sol</t>
        </is>
      </c>
      <c r="D59" s="14" t="inlineStr">
        <is>
          <t>egy.mit.shr.pow.sol.1</t>
        </is>
      </c>
      <c r="E59" s="14" t="inlineStr">
        <is>
          <t>Generation share | Power | Solar</t>
        </is>
      </c>
      <c r="F59" s="14" t="inlineStr">
        <is>
          <t>share</t>
        </is>
      </c>
      <c r="G59" s="14" t="inlineStr">
        <is>
          <t>build (Python emulation of RunAllScenarios)</t>
        </is>
      </c>
      <c r="H59" s="13" t="n">
        <v>0.0238348945449828</v>
      </c>
      <c r="I59" s="13" t="n">
        <v>0.0205462062941615</v>
      </c>
      <c r="J59" s="13" t="n">
        <v>0.034143210256792</v>
      </c>
      <c r="K59" s="13" t="n">
        <v>0.0445655671199328</v>
      </c>
      <c r="L59" s="13" t="n">
        <v>0.0601511255645894</v>
      </c>
      <c r="M59" s="13" t="n">
        <v>0.0604075660662566</v>
      </c>
      <c r="N59" s="13" t="n">
        <v>0.06321101305035901</v>
      </c>
      <c r="O59" s="13" t="n">
        <v>0.0621638924102993</v>
      </c>
      <c r="P59" s="13" t="n">
        <v>0.06717713544423511</v>
      </c>
      <c r="Q59" s="13" t="n">
        <v>0.071229363109198</v>
      </c>
      <c r="R59" s="13" t="n">
        <v>0.07661062766942919</v>
      </c>
      <c r="S59" s="13" t="n">
        <v>0.080926361357048</v>
      </c>
      <c r="T59" s="13" t="n">
        <v>0.0854960925056321</v>
      </c>
      <c r="U59" s="13" t="n">
        <v>0.0896328456388171</v>
      </c>
      <c r="V59" s="13" t="n">
        <v>0.0938241759163749</v>
      </c>
      <c r="W59" s="13" t="n">
        <v>0.0978247979349357</v>
      </c>
      <c r="X59" s="13" t="n">
        <v>0.101826315845769</v>
      </c>
      <c r="Y59" s="13" t="n">
        <v>0.105739173408378</v>
      </c>
      <c r="Z59" s="13" t="n">
        <v>0.109918149149686</v>
      </c>
      <c r="AA59" s="13" t="n">
        <v>0.114320208717029</v>
      </c>
    </row>
    <row r="60">
      <c r="A60" s="10" t="n">
        <v>1</v>
      </c>
      <c r="B60" s="14" t="inlineStr">
        <is>
          <t>Baseline (no carbon price)</t>
        </is>
      </c>
      <c r="C60" s="14" t="inlineStr">
        <is>
          <t>mit.shr.pow.hyd</t>
        </is>
      </c>
      <c r="D60" s="14" t="inlineStr">
        <is>
          <t>egy.mit.shr.pow.hyd.1</t>
        </is>
      </c>
      <c r="E60" s="14" t="inlineStr">
        <is>
          <t>Generation share | Power | Hydro</t>
        </is>
      </c>
      <c r="F60" s="14" t="inlineStr">
        <is>
          <t>share</t>
        </is>
      </c>
      <c r="G60" s="14" t="inlineStr">
        <is>
          <t>build (Python emulation of RunAllScenarios)</t>
        </is>
      </c>
      <c r="H60" s="13" t="n">
        <v>0.066761171545157</v>
      </c>
      <c r="I60" s="13" t="n">
        <v>0.0559139682038697</v>
      </c>
      <c r="J60" s="13" t="n">
        <v>0.091609061303846</v>
      </c>
      <c r="K60" s="13" t="n">
        <v>0.119986542490095</v>
      </c>
      <c r="L60" s="13" t="n">
        <v>0.16337570781822</v>
      </c>
      <c r="M60" s="13" t="n">
        <v>0.161757316487749</v>
      </c>
      <c r="N60" s="13" t="n">
        <v>0.16314482132945</v>
      </c>
      <c r="O60" s="13" t="n">
        <v>0.157530742849011</v>
      </c>
      <c r="P60" s="13" t="n">
        <v>0.154985520369474</v>
      </c>
      <c r="Q60" s="13" t="n">
        <v>0.151026626864551</v>
      </c>
      <c r="R60" s="13" t="n">
        <v>0.1483376434545</v>
      </c>
      <c r="S60" s="13" t="n">
        <v>0.145347755395298</v>
      </c>
      <c r="T60" s="13" t="n">
        <v>0.142851600221392</v>
      </c>
      <c r="U60" s="13" t="n">
        <v>0.140353375087256</v>
      </c>
      <c r="V60" s="13" t="n">
        <v>0.138093002696861</v>
      </c>
      <c r="W60" s="13" t="n">
        <v>0.135915554582131</v>
      </c>
      <c r="X60" s="13" t="n">
        <v>0.133885166245363</v>
      </c>
      <c r="Y60" s="13" t="n">
        <v>0.131950969686491</v>
      </c>
      <c r="Z60" s="13" t="n">
        <v>0.130103724382533</v>
      </c>
      <c r="AA60" s="13" t="n">
        <v>0.128327039853297</v>
      </c>
    </row>
    <row r="61">
      <c r="A61" s="10" t="n">
        <v>1</v>
      </c>
      <c r="B61" s="14" t="inlineStr">
        <is>
          <t>Baseline (no carbon price)</t>
        </is>
      </c>
      <c r="C61" s="14" t="inlineStr">
        <is>
          <t>mit.ccpav</t>
        </is>
      </c>
      <c r="D61" s="14" t="inlineStr">
        <is>
          <t>egy.mit.ccpav.1</t>
        </is>
      </c>
      <c r="E61" s="14" t="inlineStr">
        <is>
          <t>Average new policy cost per kWh consumed</t>
        </is>
      </c>
      <c r="F61" s="14" t="inlineStr">
        <is>
          <t>$/kWh</t>
        </is>
      </c>
      <c r="G61" s="14" t="inlineStr">
        <is>
          <t>build (Python emulation of RunAllScenarios)</t>
        </is>
      </c>
      <c r="H61" s="16" t="n">
        <v>0</v>
      </c>
      <c r="I61" s="16" t="n">
        <v>0</v>
      </c>
      <c r="J61" s="16" t="n">
        <v>0</v>
      </c>
      <c r="K61" s="16" t="n">
        <v>0</v>
      </c>
      <c r="L61" s="16" t="n">
        <v>0</v>
      </c>
      <c r="M61" s="16" t="n">
        <v>0</v>
      </c>
      <c r="N61" s="16" t="n">
        <v>0</v>
      </c>
      <c r="O61" s="16" t="n">
        <v>0</v>
      </c>
      <c r="P61" s="16" t="n">
        <v>0</v>
      </c>
      <c r="Q61" s="16" t="n">
        <v>0</v>
      </c>
      <c r="R61" s="16" t="n">
        <v>0</v>
      </c>
      <c r="S61" s="16" t="n">
        <v>0</v>
      </c>
      <c r="T61" s="16" t="n">
        <v>0</v>
      </c>
      <c r="U61" s="16" t="n">
        <v>0</v>
      </c>
      <c r="V61" s="16" t="n">
        <v>0</v>
      </c>
      <c r="W61" s="16" t="n">
        <v>0</v>
      </c>
      <c r="X61" s="16" t="n">
        <v>0</v>
      </c>
      <c r="Y61" s="16" t="n">
        <v>0</v>
      </c>
      <c r="Z61" s="16" t="n">
        <v>0</v>
      </c>
      <c r="AA61" s="16" t="n">
        <v>0</v>
      </c>
    </row>
    <row r="62">
      <c r="A62" s="10" t="n">
        <v>1</v>
      </c>
      <c r="B62" s="14" t="inlineStr">
        <is>
          <t>Baseline (no carbon price)</t>
        </is>
      </c>
      <c r="C62" s="14" t="inlineStr">
        <is>
          <t>mit.rcarb.res.ecy</t>
        </is>
      </c>
      <c r="D62" s="14" t="inlineStr">
        <is>
          <t>egy.mit.rcarb.res.ecy.1</t>
        </is>
      </c>
      <c r="E62" s="14" t="inlineStr">
        <is>
          <t>New-policy cost per user group (carbon tax, ETS at the tax-equivalent price, fuel price reform; memo, revenue: prnew in M) | Residential | Electricity</t>
        </is>
      </c>
      <c r="F62" s="14" t="inlineStr">
        <is>
          <t>USD m real</t>
        </is>
      </c>
      <c r="G62" s="14" t="inlineStr">
        <is>
          <t>build (Python emulation of RunAllScenarios)</t>
        </is>
      </c>
      <c r="H62" s="47" t="n">
        <v>0</v>
      </c>
      <c r="I62" s="47" t="n">
        <v>0</v>
      </c>
      <c r="J62" s="47" t="n">
        <v>0</v>
      </c>
      <c r="K62" s="47" t="n">
        <v>0</v>
      </c>
      <c r="L62" s="47" t="n">
        <v>0</v>
      </c>
      <c r="M62" s="47" t="n">
        <v>0</v>
      </c>
      <c r="N62" s="47" t="n">
        <v>0</v>
      </c>
      <c r="O62" s="47" t="n">
        <v>0</v>
      </c>
      <c r="P62" s="47" t="n">
        <v>0</v>
      </c>
      <c r="Q62" s="47" t="n">
        <v>0</v>
      </c>
      <c r="R62" s="47" t="n">
        <v>0</v>
      </c>
      <c r="S62" s="47" t="n">
        <v>0</v>
      </c>
      <c r="T62" s="47" t="n">
        <v>0</v>
      </c>
      <c r="U62" s="47" t="n">
        <v>0</v>
      </c>
      <c r="V62" s="47" t="n">
        <v>0</v>
      </c>
      <c r="W62" s="47" t="n">
        <v>0</v>
      </c>
      <c r="X62" s="47" t="n">
        <v>0</v>
      </c>
      <c r="Y62" s="47" t="n">
        <v>0</v>
      </c>
      <c r="Z62" s="47" t="n">
        <v>0</v>
      </c>
      <c r="AA62" s="47" t="n">
        <v>0</v>
      </c>
    </row>
    <row r="63">
      <c r="A63" s="10" t="n">
        <v>1</v>
      </c>
      <c r="B63" s="14" t="inlineStr">
        <is>
          <t>Baseline (no carbon price)</t>
        </is>
      </c>
      <c r="C63" s="14" t="inlineStr">
        <is>
          <t>mit.rcarb.ind.ecy</t>
        </is>
      </c>
      <c r="D63" s="14" t="inlineStr">
        <is>
          <t>egy.mit.rcarb.ind.ecy.1</t>
        </is>
      </c>
      <c r="E63" s="14" t="inlineStr">
        <is>
          <t>New-policy cost per user group (carbon tax, ETS at the tax-equivalent price, fuel price reform; memo, revenue: prnew in M) | Industry | Electricity</t>
        </is>
      </c>
      <c r="F63" s="14" t="inlineStr">
        <is>
          <t>USD m real</t>
        </is>
      </c>
      <c r="G63" s="14" t="inlineStr">
        <is>
          <t>build (Python emulation of RunAllScenarios)</t>
        </is>
      </c>
      <c r="H63" s="47" t="n">
        <v>0</v>
      </c>
      <c r="I63" s="47" t="n">
        <v>0</v>
      </c>
      <c r="J63" s="47" t="n">
        <v>0</v>
      </c>
      <c r="K63" s="47" t="n">
        <v>0</v>
      </c>
      <c r="L63" s="47" t="n">
        <v>0</v>
      </c>
      <c r="M63" s="47" t="n">
        <v>0</v>
      </c>
      <c r="N63" s="47" t="n">
        <v>0</v>
      </c>
      <c r="O63" s="47" t="n">
        <v>0</v>
      </c>
      <c r="P63" s="47" t="n">
        <v>0</v>
      </c>
      <c r="Q63" s="47" t="n">
        <v>0</v>
      </c>
      <c r="R63" s="47" t="n">
        <v>0</v>
      </c>
      <c r="S63" s="47" t="n">
        <v>0</v>
      </c>
      <c r="T63" s="47" t="n">
        <v>0</v>
      </c>
      <c r="U63" s="47" t="n">
        <v>0</v>
      </c>
      <c r="V63" s="47" t="n">
        <v>0</v>
      </c>
      <c r="W63" s="47" t="n">
        <v>0</v>
      </c>
      <c r="X63" s="47" t="n">
        <v>0</v>
      </c>
      <c r="Y63" s="47" t="n">
        <v>0</v>
      </c>
      <c r="Z63" s="47" t="n">
        <v>0</v>
      </c>
      <c r="AA63" s="47" t="n">
        <v>0</v>
      </c>
    </row>
    <row r="64">
      <c r="A64" s="10" t="n">
        <v>3</v>
      </c>
      <c r="B64" s="14" t="inlineStr">
        <is>
          <t>Carbon price $20/tCO2 from 2027</t>
        </is>
      </c>
      <c r="C64" s="14" t="inlineStr">
        <is>
          <t>mit.ener.all.all.e</t>
        </is>
      </c>
      <c r="D64" s="14" t="inlineStr">
        <is>
          <t>egy.mit.ener.all.all.e.3</t>
        </is>
      </c>
      <c r="E64" s="14" t="inlineStr">
        <is>
          <t>Fuel use | All sectors | All fuels</t>
        </is>
      </c>
      <c r="F64" s="14" t="inlineStr">
        <is>
          <t>ktoe</t>
        </is>
      </c>
      <c r="G64" s="14" t="inlineStr">
        <is>
          <t>build (Python emulation of RunAllScenarios)</t>
        </is>
      </c>
      <c r="H64" s="47" t="n">
        <v>86439.2404600619</v>
      </c>
      <c r="I64" s="47" t="n">
        <v>107384.424477201</v>
      </c>
      <c r="J64" s="47" t="n">
        <v>112815.442318793</v>
      </c>
      <c r="K64" s="47" t="n">
        <v>117574.777220095</v>
      </c>
      <c r="L64" s="47" t="n">
        <v>115340.843001107</v>
      </c>
      <c r="M64" s="47" t="n">
        <v>107679.207336903</v>
      </c>
      <c r="N64" s="47" t="n">
        <v>104987.547792394</v>
      </c>
      <c r="O64" s="47" t="n">
        <v>109915.356368472</v>
      </c>
      <c r="P64" s="47" t="n">
        <v>112251.300646818</v>
      </c>
      <c r="Q64" s="47" t="n">
        <v>115815.626822338</v>
      </c>
      <c r="R64" s="47" t="n">
        <v>118285.884587406</v>
      </c>
      <c r="S64" s="47" t="n">
        <v>121290.640410495</v>
      </c>
      <c r="T64" s="47" t="n">
        <v>123983.960436234</v>
      </c>
      <c r="U64" s="47" t="n">
        <v>126970.098905134</v>
      </c>
      <c r="V64" s="47" t="n">
        <v>129885.47305327</v>
      </c>
      <c r="W64" s="47" t="n">
        <v>132955.427982136</v>
      </c>
      <c r="X64" s="47" t="n">
        <v>136030.5818632</v>
      </c>
      <c r="Y64" s="47" t="n">
        <v>139196.741222356</v>
      </c>
      <c r="Z64" s="47" t="n">
        <v>142378.402704328</v>
      </c>
      <c r="AA64" s="47" t="n">
        <v>145609.851154659</v>
      </c>
    </row>
    <row r="65">
      <c r="A65" s="10" t="n">
        <v>3</v>
      </c>
      <c r="B65" s="14" t="inlineStr">
        <is>
          <t>Carbon price $20/tCO2 from 2027</t>
        </is>
      </c>
      <c r="C65" s="14" t="inlineStr">
        <is>
          <t>mit.ener.tra.all.e</t>
        </is>
      </c>
      <c r="D65" s="14" t="inlineStr">
        <is>
          <t>egy.mit.ener.tra.all.e.3</t>
        </is>
      </c>
      <c r="E65" s="14" t="inlineStr">
        <is>
          <t>Fuel use | Transport | All fuels</t>
        </is>
      </c>
      <c r="F65" s="14" t="inlineStr">
        <is>
          <t>ktoe</t>
        </is>
      </c>
      <c r="G65" s="14" t="inlineStr">
        <is>
          <t>build (Python emulation of RunAllScenarios)</t>
        </is>
      </c>
      <c r="H65" s="47" t="n">
        <v>18617.341993175</v>
      </c>
      <c r="I65" s="47" t="n">
        <v>23541.5980250719</v>
      </c>
      <c r="J65" s="47" t="n">
        <v>26128.5026364968</v>
      </c>
      <c r="K65" s="47" t="n">
        <v>26687.5832788854</v>
      </c>
      <c r="L65" s="47" t="n">
        <v>27233.1950818668</v>
      </c>
      <c r="M65" s="47" t="n">
        <v>25288.9929564637</v>
      </c>
      <c r="N65" s="47" t="n">
        <v>26013.6207108612</v>
      </c>
      <c r="O65" s="47" t="n">
        <v>26708.8350656786</v>
      </c>
      <c r="P65" s="47" t="n">
        <v>27358.2215409422</v>
      </c>
      <c r="Q65" s="47" t="n">
        <v>28014.4934025669</v>
      </c>
      <c r="R65" s="47" t="n">
        <v>28677.3816974693</v>
      </c>
      <c r="S65" s="47" t="n">
        <v>29346.6038864709</v>
      </c>
      <c r="T65" s="47" t="n">
        <v>30021.8638759275</v>
      </c>
      <c r="U65" s="47" t="n">
        <v>30702.8520733362</v>
      </c>
      <c r="V65" s="47" t="n">
        <v>31389.2454674466</v>
      </c>
      <c r="W65" s="47" t="n">
        <v>32080.7077333573</v>
      </c>
      <c r="X65" s="47" t="n">
        <v>32776.8893630315</v>
      </c>
      <c r="Y65" s="47" t="n">
        <v>33477.4278216179</v>
      </c>
      <c r="Z65" s="47" t="n">
        <v>34181.9477299054</v>
      </c>
      <c r="AA65" s="47" t="n">
        <v>34890.0610731927</v>
      </c>
    </row>
    <row r="66">
      <c r="A66" s="10" t="n">
        <v>3</v>
      </c>
      <c r="B66" s="14" t="inlineStr">
        <is>
          <t>Carbon price $20/tCO2 from 2027</t>
        </is>
      </c>
      <c r="C66" s="14" t="inlineStr">
        <is>
          <t>mit.ener.bld.all.e</t>
        </is>
      </c>
      <c r="D66" s="14" t="inlineStr">
        <is>
          <t>egy.mit.ener.bld.all.e.3</t>
        </is>
      </c>
      <c r="E66" s="14" t="inlineStr">
        <is>
          <t>Fuel use | Buildings | All fuels</t>
        </is>
      </c>
      <c r="F66" s="14" t="inlineStr">
        <is>
          <t>ktoe</t>
        </is>
      </c>
      <c r="G66" s="14" t="inlineStr">
        <is>
          <t>build (Python emulation of RunAllScenarios)</t>
        </is>
      </c>
      <c r="H66" s="47" t="n">
        <v>7729.35502080619</v>
      </c>
      <c r="I66" s="47" t="n">
        <v>9899.418530253681</v>
      </c>
      <c r="J66" s="47" t="n">
        <v>11107.7261932975</v>
      </c>
      <c r="K66" s="47" t="n">
        <v>11246.4000341881</v>
      </c>
      <c r="L66" s="47" t="n">
        <v>11380.7975527416</v>
      </c>
      <c r="M66" s="47" t="n">
        <v>9631.411572658009</v>
      </c>
      <c r="N66" s="47" t="n">
        <v>9791.945449868301</v>
      </c>
      <c r="O66" s="47" t="n">
        <v>9944.724941856281</v>
      </c>
      <c r="P66" s="47" t="n">
        <v>10086.3504138249</v>
      </c>
      <c r="Q66" s="47" t="n">
        <v>10228.588536663</v>
      </c>
      <c r="R66" s="47" t="n">
        <v>10371.3832842967</v>
      </c>
      <c r="S66" s="47" t="n">
        <v>10514.6854702686</v>
      </c>
      <c r="T66" s="47" t="n">
        <v>10658.4401751705</v>
      </c>
      <c r="U66" s="47" t="n">
        <v>10802.5909775539</v>
      </c>
      <c r="V66" s="47" t="n">
        <v>10947.0799772593</v>
      </c>
      <c r="W66" s="47" t="n">
        <v>11091.8478211285</v>
      </c>
      <c r="X66" s="47" t="n">
        <v>11236.8337311135</v>
      </c>
      <c r="Y66" s="47" t="n">
        <v>11381.9755347914</v>
      </c>
      <c r="Z66" s="47" t="n">
        <v>11527.20969829</v>
      </c>
      <c r="AA66" s="47" t="n">
        <v>11672.4713616254</v>
      </c>
    </row>
    <row r="67">
      <c r="A67" s="10" t="n">
        <v>3</v>
      </c>
      <c r="B67" s="14" t="inlineStr">
        <is>
          <t>Carbon price $20/tCO2 from 2027</t>
        </is>
      </c>
      <c r="C67" s="14" t="inlineStr">
        <is>
          <t>mit.ener.ind.all.e</t>
        </is>
      </c>
      <c r="D67" s="14" t="inlineStr">
        <is>
          <t>egy.mit.ener.ind.all.e.3</t>
        </is>
      </c>
      <c r="E67" s="14" t="inlineStr">
        <is>
          <t>Fuel use | Industry | All fuels</t>
        </is>
      </c>
      <c r="F67" s="14" t="inlineStr">
        <is>
          <t>ktoe</t>
        </is>
      </c>
      <c r="G67" s="14" t="inlineStr">
        <is>
          <t>build (Python emulation of RunAllScenarios)</t>
        </is>
      </c>
      <c r="H67" s="47" t="n">
        <v>23298.5358761906</v>
      </c>
      <c r="I67" s="47" t="n">
        <v>28697.8277413008</v>
      </c>
      <c r="J67" s="47" t="n">
        <v>30736.6696835399</v>
      </c>
      <c r="K67" s="47" t="n">
        <v>31758.5646495629</v>
      </c>
      <c r="L67" s="47" t="n">
        <v>32651.5642048823</v>
      </c>
      <c r="M67" s="47" t="n">
        <v>28231.7706141833</v>
      </c>
      <c r="N67" s="47" t="n">
        <v>29363.2373688764</v>
      </c>
      <c r="O67" s="47" t="n">
        <v>30472.3107840253</v>
      </c>
      <c r="P67" s="47" t="n">
        <v>31534.0944588874</v>
      </c>
      <c r="Q67" s="47" t="n">
        <v>32621.967571441</v>
      </c>
      <c r="R67" s="47" t="n">
        <v>33732.0190635395</v>
      </c>
      <c r="S67" s="47" t="n">
        <v>34868.2086357477</v>
      </c>
      <c r="T67" s="47" t="n">
        <v>36030.5268486056</v>
      </c>
      <c r="U67" s="47" t="n">
        <v>37218.9274231216</v>
      </c>
      <c r="V67" s="47" t="n">
        <v>38433.3258138932</v>
      </c>
      <c r="W67" s="47" t="n">
        <v>39673.5978161426</v>
      </c>
      <c r="X67" s="47" t="n">
        <v>40939.5782122439</v>
      </c>
      <c r="Y67" s="47" t="n">
        <v>42231.0594634158</v>
      </c>
      <c r="Z67" s="47" t="n">
        <v>43547.790452331</v>
      </c>
      <c r="AA67" s="47" t="n">
        <v>44889.4752824543</v>
      </c>
    </row>
    <row r="68">
      <c r="A68" s="10" t="n">
        <v>3</v>
      </c>
      <c r="B68" s="14" t="inlineStr">
        <is>
          <t>Carbon price $20/tCO2 from 2027</t>
        </is>
      </c>
      <c r="C68" s="14" t="inlineStr">
        <is>
          <t>mit.ener.oen.all.e</t>
        </is>
      </c>
      <c r="D68" s="14" t="inlineStr">
        <is>
          <t>egy.mit.ener.oen.all.e.3</t>
        </is>
      </c>
      <c r="E68" s="14" t="inlineStr">
        <is>
          <t>Fuel use | Other energy use | All fuels</t>
        </is>
      </c>
      <c r="F68" s="14" t="inlineStr">
        <is>
          <t>ktoe</t>
        </is>
      </c>
      <c r="G68" s="14" t="inlineStr">
        <is>
          <t>build (Python emulation of RunAllScenarios)</t>
        </is>
      </c>
      <c r="H68" s="47" t="n">
        <v>100.678839675172</v>
      </c>
      <c r="I68" s="47" t="n">
        <v>119.663547924256</v>
      </c>
      <c r="J68" s="47" t="n">
        <v>131.840162278901</v>
      </c>
      <c r="K68" s="47" t="n">
        <v>136.04517836169</v>
      </c>
      <c r="L68" s="47" t="n">
        <v>140.220031248098</v>
      </c>
      <c r="M68" s="47" t="n">
        <v>145.176492445302</v>
      </c>
      <c r="N68" s="47" t="n">
        <v>151.117553569281</v>
      </c>
      <c r="O68" s="47" t="n">
        <v>156.933524108294</v>
      </c>
      <c r="P68" s="47" t="n">
        <v>162.496466038354</v>
      </c>
      <c r="Q68" s="47" t="n">
        <v>168.188371221638</v>
      </c>
      <c r="R68" s="47" t="n">
        <v>174.009024009831</v>
      </c>
      <c r="S68" s="47" t="n">
        <v>179.958038182814</v>
      </c>
      <c r="T68" s="47" t="n">
        <v>186.034851517533</v>
      </c>
      <c r="U68" s="47" t="n">
        <v>192.238720534055</v>
      </c>
      <c r="V68" s="47" t="n">
        <v>198.56871543846</v>
      </c>
      <c r="W68" s="47" t="n">
        <v>205.023715282307</v>
      </c>
      <c r="X68" s="47" t="n">
        <v>211.602403358506</v>
      </c>
      <c r="Y68" s="47" t="n">
        <v>218.303262853388</v>
      </c>
      <c r="Z68" s="47" t="n">
        <v>225.124572774735</v>
      </c>
      <c r="AA68" s="47" t="n">
        <v>232.064404175348</v>
      </c>
    </row>
    <row r="69">
      <c r="A69" s="10" t="n">
        <v>3</v>
      </c>
      <c r="B69" s="14" t="inlineStr">
        <is>
          <t>Carbon price $20/tCO2 from 2027</t>
        </is>
      </c>
      <c r="C69" s="14" t="inlineStr">
        <is>
          <t>mit.ener.pct.all.all.e</t>
        </is>
      </c>
      <c r="D69" s="14" t="inlineStr">
        <is>
          <t>egy.mit.ener.pct.all.all.e.3</t>
        </is>
      </c>
      <c r="E69" s="14" t="inlineStr">
        <is>
          <t>Change in fuel use vs scenario 1 | All sectors | All fuels</t>
        </is>
      </c>
      <c r="F69" s="14" t="inlineStr">
        <is>
          <t>%</t>
        </is>
      </c>
      <c r="G69" s="14" t="inlineStr">
        <is>
          <t>build (Python emulation of RunAllScenarios)</t>
        </is>
      </c>
      <c r="H69" s="13" t="n">
        <v>0</v>
      </c>
      <c r="I69" s="13" t="n">
        <v>-0.000536230021761619</v>
      </c>
      <c r="J69" s="13" t="n">
        <v>-0.000496339136758728</v>
      </c>
      <c r="K69" s="13" t="n">
        <v>-0.000463451480402388</v>
      </c>
      <c r="L69" s="13" t="n">
        <v>-0.000458358118339719</v>
      </c>
      <c r="M69" s="13" t="n">
        <v>-0.0870392205352488</v>
      </c>
      <c r="N69" s="13" t="n">
        <v>-0.123225520304342</v>
      </c>
      <c r="O69" s="13" t="n">
        <v>-0.115097630842559</v>
      </c>
      <c r="P69" s="13" t="n">
        <v>-0.117357640688134</v>
      </c>
      <c r="Q69" s="13" t="n">
        <v>-0.115291188167997</v>
      </c>
      <c r="R69" s="13" t="n">
        <v>-0.11849950941541</v>
      </c>
      <c r="S69" s="13" t="n">
        <v>-0.119964866489095</v>
      </c>
      <c r="T69" s="13" t="n">
        <v>-0.122957730545916</v>
      </c>
      <c r="U69" s="13" t="n">
        <v>-0.124831296256914</v>
      </c>
      <c r="V69" s="13" t="n">
        <v>-0.127146365973206</v>
      </c>
      <c r="W69" s="13" t="n">
        <v>-0.128923865997066</v>
      </c>
      <c r="X69" s="13" t="n">
        <v>-0.13082132703268</v>
      </c>
      <c r="Y69" s="13" t="n">
        <v>-0.1324514766033</v>
      </c>
      <c r="Z69" s="13" t="n">
        <v>-0.134067853250647</v>
      </c>
      <c r="AA69" s="13" t="n">
        <v>-0.135511321139098</v>
      </c>
    </row>
    <row r="70">
      <c r="A70" s="10" t="n">
        <v>3</v>
      </c>
      <c r="B70" s="14" t="inlineStr">
        <is>
          <t>Carbon price $20/tCO2 from 2027</t>
        </is>
      </c>
      <c r="C70" s="14" t="inlineStr">
        <is>
          <t>mit.co2.all.all.e</t>
        </is>
      </c>
      <c r="D70" s="14" t="inlineStr">
        <is>
          <t>egy.mit.co2.all.all.e.3</t>
        </is>
      </c>
      <c r="E70" s="14" t="inlineStr">
        <is>
          <t>CO2 emissions from fuel combustion | All sectors | All fuels</t>
        </is>
      </c>
      <c r="F70" s="14" t="inlineStr">
        <is>
          <t>MtCO2</t>
        </is>
      </c>
      <c r="G70" s="14" t="inlineStr">
        <is>
          <t>build (Python emulation of RunAllScenarios)</t>
        </is>
      </c>
      <c r="H70" s="44" t="n">
        <v>224.854684204376</v>
      </c>
      <c r="I70" s="44" t="n">
        <v>280.412761073261</v>
      </c>
      <c r="J70" s="44" t="n">
        <v>297.086339652599</v>
      </c>
      <c r="K70" s="44" t="n">
        <v>310.07278425057</v>
      </c>
      <c r="L70" s="44" t="n">
        <v>306.604233545601</v>
      </c>
      <c r="M70" s="44" t="n">
        <v>284.636064051815</v>
      </c>
      <c r="N70" s="44" t="n">
        <v>279.019199735466</v>
      </c>
      <c r="O70" s="44" t="n">
        <v>291.161528685581</v>
      </c>
      <c r="P70" s="44" t="n">
        <v>297.222349434226</v>
      </c>
      <c r="Q70" s="44" t="n">
        <v>306.171643243255</v>
      </c>
      <c r="R70" s="44" t="n">
        <v>312.581418083826</v>
      </c>
      <c r="S70" s="44" t="n">
        <v>320.25228777204</v>
      </c>
      <c r="T70" s="44" t="n">
        <v>327.21164287259</v>
      </c>
      <c r="U70" s="44" t="n">
        <v>334.867729881526</v>
      </c>
      <c r="V70" s="44" t="n">
        <v>342.372564775695</v>
      </c>
      <c r="W70" s="44" t="n">
        <v>350.251131103747</v>
      </c>
      <c r="X70" s="44" t="n">
        <v>358.154662094941</v>
      </c>
      <c r="Y70" s="44" t="n">
        <v>366.282724925882</v>
      </c>
      <c r="Z70" s="44" t="n">
        <v>374.458452650124</v>
      </c>
      <c r="AA70" s="44" t="n">
        <v>382.76129317346</v>
      </c>
    </row>
    <row r="71">
      <c r="A71" s="10" t="n">
        <v>3</v>
      </c>
      <c r="B71" s="14" t="inlineStr">
        <is>
          <t>Carbon price $20/tCO2 from 2027</t>
        </is>
      </c>
      <c r="C71" s="14" t="inlineStr">
        <is>
          <t>mit.co2.tra.all.e</t>
        </is>
      </c>
      <c r="D71" s="14" t="inlineStr">
        <is>
          <t>egy.mit.co2.tra.all.e.3</t>
        </is>
      </c>
      <c r="E71" s="14" t="inlineStr">
        <is>
          <t>CO2 emissions from fuel combustion | Transport | All fuels</t>
        </is>
      </c>
      <c r="F71" s="14" t="inlineStr">
        <is>
          <t>MtCO2</t>
        </is>
      </c>
      <c r="G71" s="14" t="inlineStr">
        <is>
          <t>build (Python emulation of RunAllScenarios)</t>
        </is>
      </c>
      <c r="H71" s="44" t="n">
        <v>53.3839807233738</v>
      </c>
      <c r="I71" s="44" t="n">
        <v>67.4347151975622</v>
      </c>
      <c r="J71" s="44" t="n">
        <v>74.69987967755689</v>
      </c>
      <c r="K71" s="44" t="n">
        <v>76.29428948234271</v>
      </c>
      <c r="L71" s="44" t="n">
        <v>77.85009088208371</v>
      </c>
      <c r="M71" s="44" t="n">
        <v>72.3420587799977</v>
      </c>
      <c r="N71" s="44" t="n">
        <v>74.4099927101161</v>
      </c>
      <c r="O71" s="44" t="n">
        <v>76.39368458055731</v>
      </c>
      <c r="P71" s="44" t="n">
        <v>78.2462655029431</v>
      </c>
      <c r="Q71" s="44" t="n">
        <v>80.1183310323826</v>
      </c>
      <c r="R71" s="44" t="n">
        <v>82.00911057680921</v>
      </c>
      <c r="S71" s="44" t="n">
        <v>83.9177949551824</v>
      </c>
      <c r="T71" s="44" t="n">
        <v>85.8435364972853</v>
      </c>
      <c r="U71" s="44" t="n">
        <v>87.7854492117383</v>
      </c>
      <c r="V71" s="44" t="n">
        <v>89.7426090237018</v>
      </c>
      <c r="W71" s="44" t="n">
        <v>91.7140540836142</v>
      </c>
      <c r="X71" s="44" t="n">
        <v>93.6987851481738</v>
      </c>
      <c r="Y71" s="44" t="n">
        <v>95.69576603463599</v>
      </c>
      <c r="Z71" s="44" t="n">
        <v>97.70392414934091</v>
      </c>
      <c r="AA71" s="44" t="n">
        <v>99.7221510912388</v>
      </c>
    </row>
    <row r="72">
      <c r="A72" s="10" t="n">
        <v>3</v>
      </c>
      <c r="B72" s="14" t="inlineStr">
        <is>
          <t>Carbon price $20/tCO2 from 2027</t>
        </is>
      </c>
      <c r="C72" s="14" t="inlineStr">
        <is>
          <t>mit.co2.bld.all.e</t>
        </is>
      </c>
      <c r="D72" s="14" t="inlineStr">
        <is>
          <t>egy.mit.co2.bld.all.e.3</t>
        </is>
      </c>
      <c r="E72" s="14" t="inlineStr">
        <is>
          <t>CO2 emissions from fuel combustion | Buildings | All fuels</t>
        </is>
      </c>
      <c r="F72" s="14" t="inlineStr">
        <is>
          <t>MtCO2</t>
        </is>
      </c>
      <c r="G72" s="14" t="inlineStr">
        <is>
          <t>build (Python emulation of RunAllScenarios)</t>
        </is>
      </c>
      <c r="H72" s="44" t="n">
        <v>16.7595941809113</v>
      </c>
      <c r="I72" s="44" t="n">
        <v>22.7269362675372</v>
      </c>
      <c r="J72" s="44" t="n">
        <v>25.869713488342</v>
      </c>
      <c r="K72" s="44" t="n">
        <v>26.2573345733167</v>
      </c>
      <c r="L72" s="44" t="n">
        <v>26.6338045696755</v>
      </c>
      <c r="M72" s="44" t="n">
        <v>21.9919826063161</v>
      </c>
      <c r="N72" s="44" t="n">
        <v>22.4365516176871</v>
      </c>
      <c r="O72" s="44" t="n">
        <v>22.8610272320713</v>
      </c>
      <c r="P72" s="44" t="n">
        <v>23.2562094613797</v>
      </c>
      <c r="Q72" s="44" t="n">
        <v>23.6535484831851</v>
      </c>
      <c r="R72" s="44" t="n">
        <v>24.0528825464596</v>
      </c>
      <c r="S72" s="44" t="n">
        <v>24.4540784325735</v>
      </c>
      <c r="T72" s="44" t="n">
        <v>24.8569817939081</v>
      </c>
      <c r="U72" s="44" t="n">
        <v>25.2614338327484</v>
      </c>
      <c r="V72" s="44" t="n">
        <v>25.6672713655665</v>
      </c>
      <c r="W72" s="44" t="n">
        <v>26.0743268942667</v>
      </c>
      <c r="X72" s="44" t="n">
        <v>26.4824286844338</v>
      </c>
      <c r="Y72" s="44" t="n">
        <v>26.891400850616</v>
      </c>
      <c r="Z72" s="44" t="n">
        <v>27.3010634486605</v>
      </c>
      <c r="AA72" s="44" t="n">
        <v>27.7112325751084</v>
      </c>
    </row>
    <row r="73">
      <c r="A73" s="10" t="n">
        <v>3</v>
      </c>
      <c r="B73" s="14" t="inlineStr">
        <is>
          <t>Carbon price $20/tCO2 from 2027</t>
        </is>
      </c>
      <c r="C73" s="14" t="inlineStr">
        <is>
          <t>mit.co2.ind.all.e</t>
        </is>
      </c>
      <c r="D73" s="14" t="inlineStr">
        <is>
          <t>egy.mit.co2.ind.all.e.3</t>
        </is>
      </c>
      <c r="E73" s="14" t="inlineStr">
        <is>
          <t>CO2 emissions from fuel combustion | Industry | All fuels</t>
        </is>
      </c>
      <c r="F73" s="14" t="inlineStr">
        <is>
          <t>MtCO2</t>
        </is>
      </c>
      <c r="G73" s="14" t="inlineStr">
        <is>
          <t>build (Python emulation of RunAllScenarios)</t>
        </is>
      </c>
      <c r="H73" s="44" t="n">
        <v>64.33222890849839</v>
      </c>
      <c r="I73" s="44" t="n">
        <v>80.2273620913227</v>
      </c>
      <c r="J73" s="44" t="n">
        <v>86.5141895930134</v>
      </c>
      <c r="K73" s="44" t="n">
        <v>89.3966824035958</v>
      </c>
      <c r="L73" s="44" t="n">
        <v>91.7467432409538</v>
      </c>
      <c r="M73" s="44" t="n">
        <v>79.06250070347591</v>
      </c>
      <c r="N73" s="44" t="n">
        <v>82.1117689163722</v>
      </c>
      <c r="O73" s="44" t="n">
        <v>85.0977140389595</v>
      </c>
      <c r="P73" s="44" t="n">
        <v>87.95402197104519</v>
      </c>
      <c r="Q73" s="44" t="n">
        <v>90.8772084330631</v>
      </c>
      <c r="R73" s="44" t="n">
        <v>93.8507184032574</v>
      </c>
      <c r="S73" s="44" t="n">
        <v>96.8910047863635</v>
      </c>
      <c r="T73" s="44" t="n">
        <v>99.9979596980578</v>
      </c>
      <c r="U73" s="44" t="n">
        <v>103.171380759673</v>
      </c>
      <c r="V73" s="44" t="n">
        <v>106.410967620504</v>
      </c>
      <c r="W73" s="44" t="n">
        <v>109.71631857003</v>
      </c>
      <c r="X73" s="44" t="n">
        <v>113.086927253775</v>
      </c>
      <c r="Y73" s="44" t="n">
        <v>116.522179506724</v>
      </c>
      <c r="Z73" s="44" t="n">
        <v>120.021350318399</v>
      </c>
      <c r="AA73" s="44" t="n">
        <v>123.583600943834</v>
      </c>
    </row>
    <row r="74">
      <c r="A74" s="10" t="n">
        <v>3</v>
      </c>
      <c r="B74" s="14" t="inlineStr">
        <is>
          <t>Carbon price $20/tCO2 from 2027</t>
        </is>
      </c>
      <c r="C74" s="14" t="inlineStr">
        <is>
          <t>mit.co2.chg.all.all</t>
        </is>
      </c>
      <c r="D74" s="14" t="inlineStr">
        <is>
          <t>egy.mit.co2.chg.all.all.3</t>
        </is>
      </c>
      <c r="E74" s="14" t="inlineStr">
        <is>
          <t>Change in CO2 emissions vs scenario 1 | All sectors | All fuels</t>
        </is>
      </c>
      <c r="F74" s="14" t="inlineStr">
        <is>
          <t>MtCO2</t>
        </is>
      </c>
      <c r="G74" s="14" t="inlineStr">
        <is>
          <t>build (Python emulation of RunAllScenarios)</t>
        </is>
      </c>
      <c r="H74" s="44" t="n">
        <v>0</v>
      </c>
      <c r="I74" s="44" t="n">
        <v>-0.133963122930481</v>
      </c>
      <c r="J74" s="44" t="n">
        <v>-0.130264058701755</v>
      </c>
      <c r="K74" s="44" t="n">
        <v>-0.126752266359347</v>
      </c>
      <c r="L74" s="44" t="n">
        <v>-0.122957635781518</v>
      </c>
      <c r="M74" s="44" t="n">
        <v>-28.6619558505852</v>
      </c>
      <c r="N74" s="44" t="n">
        <v>-39.2891808134344</v>
      </c>
      <c r="O74" s="44" t="n">
        <v>-38.3650987563204</v>
      </c>
      <c r="P74" s="44" t="n">
        <v>-39.9716167053641</v>
      </c>
      <c r="Q74" s="44" t="n">
        <v>-40.4970924205235</v>
      </c>
      <c r="R74" s="44" t="n">
        <v>-42.5129941910845</v>
      </c>
      <c r="S74" s="44" t="n">
        <v>-44.121669287938</v>
      </c>
      <c r="T74" s="44" t="n">
        <v>-46.2331081380469</v>
      </c>
      <c r="U74" s="44" t="n">
        <v>-48.0681691103554</v>
      </c>
      <c r="V74" s="44" t="n">
        <v>-50.0935221841504</v>
      </c>
      <c r="W74" s="44" t="n">
        <v>-52.0005136454652</v>
      </c>
      <c r="X74" s="44" t="n">
        <v>-53.9976946459024</v>
      </c>
      <c r="Y74" s="44" t="n">
        <v>-55.9530120714481</v>
      </c>
      <c r="Z74" s="44" t="n">
        <v>-57.9438670023116</v>
      </c>
      <c r="AA74" s="44" t="n">
        <v>-59.9103908266604</v>
      </c>
    </row>
    <row r="75">
      <c r="A75" s="10" t="n">
        <v>3</v>
      </c>
      <c r="B75" s="14" t="inlineStr">
        <is>
          <t>Carbon price $20/tCO2 from 2027</t>
        </is>
      </c>
      <c r="C75" s="14" t="inlineStr">
        <is>
          <t>mit.co2.pct.all.all</t>
        </is>
      </c>
      <c r="D75" s="14" t="inlineStr">
        <is>
          <t>egy.mit.co2.pct.all.all.3</t>
        </is>
      </c>
      <c r="E75" s="14" t="inlineStr">
        <is>
          <t>Change in CO2 emissions vs scenario 1 | All sectors | All fuels</t>
        </is>
      </c>
      <c r="F75" s="14" t="inlineStr">
        <is>
          <t>%</t>
        </is>
      </c>
      <c r="G75" s="14" t="inlineStr">
        <is>
          <t>build (Python emulation of RunAllScenarios)</t>
        </is>
      </c>
      <c r="H75" s="13" t="n">
        <v>0</v>
      </c>
      <c r="I75" s="13" t="n">
        <v>-0.000477507350386319</v>
      </c>
      <c r="J75" s="13" t="n">
        <v>-0.000438279884350856</v>
      </c>
      <c r="K75" s="13" t="n">
        <v>-0.000408615266749179</v>
      </c>
      <c r="L75" s="13" t="n">
        <v>-0.000400869695666439</v>
      </c>
      <c r="M75" s="13" t="n">
        <v>-0.091484637724535</v>
      </c>
      <c r="N75" s="13" t="n">
        <v>-0.12343118564985</v>
      </c>
      <c r="O75" s="13" t="n">
        <v>-0.116424882123022</v>
      </c>
      <c r="P75" s="13" t="n">
        <v>-0.118541909758898</v>
      </c>
      <c r="Q75" s="13" t="n">
        <v>-0.116817838629094</v>
      </c>
      <c r="R75" s="13" t="n">
        <v>-0.119723072854696</v>
      </c>
      <c r="S75" s="13" t="n">
        <v>-0.12108897585311</v>
      </c>
      <c r="T75" s="13" t="n">
        <v>-0.123801735097168</v>
      </c>
      <c r="U75" s="13" t="n">
        <v>-0.125525366613315</v>
      </c>
      <c r="V75" s="13" t="n">
        <v>-0.127637836359797</v>
      </c>
      <c r="W75" s="13" t="n">
        <v>-0.129273588621087</v>
      </c>
      <c r="X75" s="13" t="n">
        <v>-0.131013916972105</v>
      </c>
      <c r="Y75" s="13" t="n">
        <v>-0.132516050084605</v>
      </c>
      <c r="Z75" s="13" t="n">
        <v>-0.134004523955576</v>
      </c>
      <c r="AA75" s="13" t="n">
        <v>-0.135338204344338</v>
      </c>
    </row>
    <row r="76">
      <c r="A76" s="10" t="n">
        <v>3</v>
      </c>
      <c r="B76" s="14" t="inlineStr">
        <is>
          <t>Carbon price $20/tCO2 from 2027</t>
        </is>
      </c>
      <c r="C76" s="14" t="inlineStr">
        <is>
          <t>mit.rtx.all.all</t>
        </is>
      </c>
      <c r="D76" s="14" t="inlineStr">
        <is>
          <t>egy.mit.rtx.all.all.3</t>
        </is>
      </c>
      <c r="E76" s="14" t="inlineStr">
        <is>
          <t>Revenue from existing taxes (excise and other taxes + VAT; incl. the change in existing carbon pricing) | All sectors | All fuels</t>
        </is>
      </c>
      <c r="F76" s="14" t="inlineStr">
        <is>
          <t>USD m real</t>
        </is>
      </c>
      <c r="G76" s="14" t="inlineStr">
        <is>
          <t>build (Python emulation of RunAllScenarios)</t>
        </is>
      </c>
      <c r="H76" s="47" t="n">
        <v>24.7499116507651</v>
      </c>
      <c r="I76" s="47" t="n">
        <v>18.5902691501866</v>
      </c>
      <c r="J76" s="47" t="n">
        <v>15.551422727851</v>
      </c>
      <c r="K76" s="47" t="n">
        <v>16.3839035831061</v>
      </c>
      <c r="L76" s="47" t="n">
        <v>16.3521637616865</v>
      </c>
      <c r="M76" s="47" t="n">
        <v>14.5152183661379</v>
      </c>
      <c r="N76" s="47" t="n">
        <v>14.8812622315233</v>
      </c>
      <c r="O76" s="47" t="n">
        <v>15.236145032581</v>
      </c>
      <c r="P76" s="47" t="n">
        <v>15.5730396850957</v>
      </c>
      <c r="Q76" s="47" t="n">
        <v>15.9124697734379</v>
      </c>
      <c r="R76" s="47" t="n">
        <v>16.2265875020993</v>
      </c>
      <c r="S76" s="47" t="n">
        <v>16.5427390548525</v>
      </c>
      <c r="T76" s="47" t="n">
        <v>16.860800510007</v>
      </c>
      <c r="U76" s="47" t="n">
        <v>17.1806439447109</v>
      </c>
      <c r="V76" s="47" t="n">
        <v>17.5021374869829</v>
      </c>
      <c r="W76" s="47" t="n">
        <v>17.8251453739661</v>
      </c>
      <c r="X76" s="47" t="n">
        <v>18.1495280164412</v>
      </c>
      <c r="Y76" s="47" t="n">
        <v>18.4751420696258</v>
      </c>
      <c r="Z76" s="47" t="n">
        <v>18.8018405102761</v>
      </c>
      <c r="AA76" s="47" t="n">
        <v>19.1294727200931</v>
      </c>
    </row>
    <row r="77">
      <c r="A77" s="10" t="n">
        <v>3</v>
      </c>
      <c r="B77" s="14" t="inlineStr">
        <is>
          <t>Carbon price $20/tCO2 from 2027</t>
        </is>
      </c>
      <c r="C77" s="14" t="inlineStr">
        <is>
          <t>mit.rsub.all.all</t>
        </is>
      </c>
      <c r="D77" s="14" t="inlineStr">
        <is>
          <t>egy.mit.rsub.all.all.3</t>
        </is>
      </c>
      <c r="E77" s="14" t="inlineStr">
        <is>
          <t>Cost of existing consumer subsidies (positive = cost) | All sectors | All fuels</t>
        </is>
      </c>
      <c r="F77" s="14" t="inlineStr">
        <is>
          <t>USD m real</t>
        </is>
      </c>
      <c r="G77" s="14" t="inlineStr">
        <is>
          <t>build (Python emulation of RunAllScenarios)</t>
        </is>
      </c>
      <c r="H77" s="47" t="n">
        <v>46393.0558158373</v>
      </c>
      <c r="I77" s="47" t="n">
        <v>52659.2199539554</v>
      </c>
      <c r="J77" s="47" t="n">
        <v>55380.7806997074</v>
      </c>
      <c r="K77" s="47" t="n">
        <v>53283.5965671479</v>
      </c>
      <c r="L77" s="47" t="n">
        <v>60402.2029367238</v>
      </c>
      <c r="M77" s="47" t="n">
        <v>49148.7934650265</v>
      </c>
      <c r="N77" s="47" t="n">
        <v>43173.9080820183</v>
      </c>
      <c r="O77" s="47" t="n">
        <v>42883.957587708</v>
      </c>
      <c r="P77" s="47" t="n">
        <v>42840.7878040217</v>
      </c>
      <c r="Q77" s="47" t="n">
        <v>43370.3594015676</v>
      </c>
      <c r="R77" s="47" t="n">
        <v>44490.4872053674</v>
      </c>
      <c r="S77" s="47" t="n">
        <v>45758.8356259941</v>
      </c>
      <c r="T77" s="47" t="n">
        <v>46947.984043652</v>
      </c>
      <c r="U77" s="47" t="n">
        <v>48213.8622661188</v>
      </c>
      <c r="V77" s="47" t="n">
        <v>49466.799556373</v>
      </c>
      <c r="W77" s="47" t="n">
        <v>50765.8747524763</v>
      </c>
      <c r="X77" s="47" t="n">
        <v>52074.2439745991</v>
      </c>
      <c r="Y77" s="47" t="n">
        <v>53413.9556268831</v>
      </c>
      <c r="Z77" s="47" t="n">
        <v>54768.1377133964</v>
      </c>
      <c r="AA77" s="47" t="n">
        <v>56145.7287331546</v>
      </c>
    </row>
    <row r="78">
      <c r="A78" s="10" t="n">
        <v>3</v>
      </c>
      <c r="B78" s="14" t="inlineStr">
        <is>
          <t>Carbon price $20/tCO2 from 2027</t>
        </is>
      </c>
      <c r="C78" s="14" t="inlineStr">
        <is>
          <t>mit.rnew.all.all</t>
        </is>
      </c>
      <c r="D78" s="14" t="inlineStr">
        <is>
          <t>egy.mit.rnew.all.all.3</t>
        </is>
      </c>
      <c r="E78" s="14" t="inlineStr">
        <is>
          <t>Revenue from new policies (carbon tax, excise, auctioned ETS, VAT on them) | All sectors | All fuels</t>
        </is>
      </c>
      <c r="F78" s="14" t="inlineStr">
        <is>
          <t>USD m real</t>
        </is>
      </c>
      <c r="G78" s="14" t="inlineStr">
        <is>
          <t>build (Python emulation of RunAllScenarios)</t>
        </is>
      </c>
      <c r="H78" s="47" t="n">
        <v>0</v>
      </c>
      <c r="I78" s="47" t="n">
        <v>0</v>
      </c>
      <c r="J78" s="47" t="n">
        <v>0</v>
      </c>
      <c r="K78" s="47" t="n">
        <v>0</v>
      </c>
      <c r="L78" s="47" t="n">
        <v>0</v>
      </c>
      <c r="M78" s="47" t="n">
        <v>5683.42072033722</v>
      </c>
      <c r="N78" s="47" t="n">
        <v>5570.70220611914</v>
      </c>
      <c r="O78" s="47" t="n">
        <v>5813.17557803944</v>
      </c>
      <c r="P78" s="47" t="n">
        <v>5934.03501772431</v>
      </c>
      <c r="Q78" s="47" t="n">
        <v>6112.65563449424</v>
      </c>
      <c r="R78" s="47" t="n">
        <v>6240.47755541813</v>
      </c>
      <c r="S78" s="47" t="n">
        <v>6393.51312807136</v>
      </c>
      <c r="T78" s="47" t="n">
        <v>6532.31019976429</v>
      </c>
      <c r="U78" s="47" t="n">
        <v>6685.03374807533</v>
      </c>
      <c r="V78" s="47" t="n">
        <v>6834.72415216452</v>
      </c>
      <c r="W78" s="47" t="n">
        <v>6991.88115490465</v>
      </c>
      <c r="X78" s="47" t="n">
        <v>7149.52950535313</v>
      </c>
      <c r="Y78" s="47" t="n">
        <v>7311.66064436594</v>
      </c>
      <c r="Z78" s="47" t="n">
        <v>7474.73734345146</v>
      </c>
      <c r="AA78" s="47" t="n">
        <v>7640.34868451865</v>
      </c>
    </row>
    <row r="79">
      <c r="A79" s="10" t="n">
        <v>3</v>
      </c>
      <c r="B79" s="14" t="inlineStr">
        <is>
          <t>Carbon price $20/tCO2 from 2027</t>
        </is>
      </c>
      <c r="C79" s="14" t="inlineStr">
        <is>
          <t>mit.rtot.all.all</t>
        </is>
      </c>
      <c r="D79" s="14" t="inlineStr">
        <is>
          <t>egy.mit.rtot.all.all.3</t>
        </is>
      </c>
      <c r="E79" s="14" t="inlineStr">
        <is>
          <t>Total revenue (net existing + new policies) | All sectors | All fuels</t>
        </is>
      </c>
      <c r="F79" s="14" t="inlineStr">
        <is>
          <t>USD m real</t>
        </is>
      </c>
      <c r="G79" s="14" t="inlineStr">
        <is>
          <t>build (Python emulation of RunAllScenarios)</t>
        </is>
      </c>
      <c r="H79" s="47" t="n">
        <v>-46368.3059041866</v>
      </c>
      <c r="I79" s="47" t="n">
        <v>-52640.6296848052</v>
      </c>
      <c r="J79" s="47" t="n">
        <v>-55365.2292769796</v>
      </c>
      <c r="K79" s="47" t="n">
        <v>-53267.2126635648</v>
      </c>
      <c r="L79" s="47" t="n">
        <v>-60385.8507729621</v>
      </c>
      <c r="M79" s="47" t="n">
        <v>-43450.8575263232</v>
      </c>
      <c r="N79" s="47" t="n">
        <v>-37588.3246136676</v>
      </c>
      <c r="O79" s="47" t="n">
        <v>-37055.545864636</v>
      </c>
      <c r="P79" s="47" t="n">
        <v>-36891.1797466123</v>
      </c>
      <c r="Q79" s="47" t="n">
        <v>-37241.7912972999</v>
      </c>
      <c r="R79" s="47" t="n">
        <v>-38233.7830624472</v>
      </c>
      <c r="S79" s="47" t="n">
        <v>-39348.7797588679</v>
      </c>
      <c r="T79" s="47" t="n">
        <v>-40398.8130433777</v>
      </c>
      <c r="U79" s="47" t="n">
        <v>-41511.6478740988</v>
      </c>
      <c r="V79" s="47" t="n">
        <v>-42614.5732667215</v>
      </c>
      <c r="W79" s="47" t="n">
        <v>-43756.1684521977</v>
      </c>
      <c r="X79" s="47" t="n">
        <v>-44906.5649412295</v>
      </c>
      <c r="Y79" s="47" t="n">
        <v>-46083.8198404475</v>
      </c>
      <c r="Z79" s="47" t="n">
        <v>-47274.5985294347</v>
      </c>
      <c r="AA79" s="47" t="n">
        <v>-48486.2505759159</v>
      </c>
    </row>
    <row r="80">
      <c r="A80" s="10" t="n">
        <v>3</v>
      </c>
      <c r="B80" s="14" t="inlineStr">
        <is>
          <t>Carbon price $20/tCO2 from 2027</t>
        </is>
      </c>
      <c r="C80" s="14" t="inlineStr">
        <is>
          <t>mit.rtot.chg.all.all</t>
        </is>
      </c>
      <c r="D80" s="14" t="inlineStr">
        <is>
          <t>egy.mit.rtot.chg.all.all.3</t>
        </is>
      </c>
      <c r="E80" s="14" t="inlineStr">
        <is>
          <t>Change in total revenue vs scenario 1 (fiscal effect) | All sectors | All fuels</t>
        </is>
      </c>
      <c r="F80" s="14" t="inlineStr">
        <is>
          <t>USD m real</t>
        </is>
      </c>
      <c r="G80" s="14" t="inlineStr">
        <is>
          <t>build (Python emulation of RunAllScenarios)</t>
        </is>
      </c>
      <c r="H80" s="47" t="n">
        <v>0</v>
      </c>
      <c r="I80" s="47" t="n">
        <v>16.2078404939966</v>
      </c>
      <c r="J80" s="47" t="n">
        <v>5.95623763363983</v>
      </c>
      <c r="K80" s="47" t="n">
        <v>5.84957960552856</v>
      </c>
      <c r="L80" s="47" t="n">
        <v>8.19391279685806</v>
      </c>
      <c r="M80" s="47" t="n">
        <v>9927.728707439581</v>
      </c>
      <c r="N80" s="47" t="n">
        <v>11101.3880531138</v>
      </c>
      <c r="O80" s="47" t="n">
        <v>11062.3488198133</v>
      </c>
      <c r="P80" s="47" t="n">
        <v>11391.5743624218</v>
      </c>
      <c r="Q80" s="47" t="n">
        <v>11537.8792120239</v>
      </c>
      <c r="R80" s="47" t="n">
        <v>11872.3957560116</v>
      </c>
      <c r="S80" s="47" t="n">
        <v>12182.2445173572</v>
      </c>
      <c r="T80" s="47" t="n">
        <v>12537.0841286854</v>
      </c>
      <c r="U80" s="47" t="n">
        <v>12880.8405297524</v>
      </c>
      <c r="V80" s="47" t="n">
        <v>13244.7698725113</v>
      </c>
      <c r="W80" s="47" t="n">
        <v>13604.688551865</v>
      </c>
      <c r="X80" s="47" t="n">
        <v>13975.655577275</v>
      </c>
      <c r="Y80" s="47" t="n">
        <v>14347.1831888007</v>
      </c>
      <c r="Z80" s="47" t="n">
        <v>14724.4515839034</v>
      </c>
      <c r="AA80" s="47" t="n">
        <v>15102.352249819</v>
      </c>
    </row>
    <row r="81">
      <c r="A81" s="10" t="n">
        <v>3</v>
      </c>
      <c r="B81" s="14" t="inlineStr">
        <is>
          <t>Carbon price $20/tCO2 from 2027</t>
        </is>
      </c>
      <c r="C81" s="14" t="inlineStr">
        <is>
          <t>mit.ener.pow.all.e</t>
        </is>
      </c>
      <c r="D81" s="14" t="inlineStr">
        <is>
          <t>egy.mit.ener.pow.all.e.3</t>
        </is>
      </c>
      <c r="E81" s="14" t="inlineStr">
        <is>
          <t>Fuel use | Power | All fuels</t>
        </is>
      </c>
      <c r="F81" s="14" t="inlineStr">
        <is>
          <t>ktoe</t>
        </is>
      </c>
      <c r="G81" s="14" t="inlineStr">
        <is>
          <t>build (Python emulation of RunAllScenarios)</t>
        </is>
      </c>
      <c r="H81" s="47" t="n">
        <v>36693.328730215</v>
      </c>
      <c r="I81" s="47" t="n">
        <v>45125.9166326508</v>
      </c>
      <c r="J81" s="47" t="n">
        <v>44710.7036431793</v>
      </c>
      <c r="K81" s="47" t="n">
        <v>47746.1840790972</v>
      </c>
      <c r="L81" s="47" t="n">
        <v>43935.066130368</v>
      </c>
      <c r="M81" s="47" t="n">
        <v>44381.8557011528</v>
      </c>
      <c r="N81" s="47" t="n">
        <v>39667.6267092185</v>
      </c>
      <c r="O81" s="47" t="n">
        <v>42632.5520528038</v>
      </c>
      <c r="P81" s="47" t="n">
        <v>43110.1377671248</v>
      </c>
      <c r="Q81" s="47" t="n">
        <v>44782.3889404454</v>
      </c>
      <c r="R81" s="47" t="n">
        <v>45331.0915180903</v>
      </c>
      <c r="S81" s="47" t="n">
        <v>46381.1843798245</v>
      </c>
      <c r="T81" s="47" t="n">
        <v>47087.094685013</v>
      </c>
      <c r="U81" s="47" t="n">
        <v>48053.489710588</v>
      </c>
      <c r="V81" s="47" t="n">
        <v>48917.2530792328</v>
      </c>
      <c r="W81" s="47" t="n">
        <v>49904.2508962256</v>
      </c>
      <c r="X81" s="47" t="n">
        <v>50865.6781534522</v>
      </c>
      <c r="Y81" s="47" t="n">
        <v>51887.9751396773</v>
      </c>
      <c r="Z81" s="47" t="n">
        <v>52896.3302510264</v>
      </c>
      <c r="AA81" s="47" t="n">
        <v>53925.7790332116</v>
      </c>
    </row>
    <row r="82">
      <c r="A82" s="10" t="n">
        <v>3</v>
      </c>
      <c r="B82" s="14" t="inlineStr">
        <is>
          <t>Carbon price $20/tCO2 from 2027</t>
        </is>
      </c>
      <c r="C82" s="14" t="inlineStr">
        <is>
          <t>mit.rtx.pow.all</t>
        </is>
      </c>
      <c r="D82" s="14" t="inlineStr">
        <is>
          <t>egy.mit.rtx.pow.all.3</t>
        </is>
      </c>
      <c r="E82" s="14" t="inlineStr">
        <is>
          <t>Revenue from existing taxes (excise and other taxes + VAT; incl. the change in existing carbon pricing) | Power | All fuels</t>
        </is>
      </c>
      <c r="F82" s="14" t="inlineStr">
        <is>
          <t>USD m real</t>
        </is>
      </c>
      <c r="G82" s="14" t="inlineStr">
        <is>
          <t>build (Python emulation of RunAllScenarios)</t>
        </is>
      </c>
      <c r="H82" s="47" t="n">
        <v>0</v>
      </c>
      <c r="I82" s="47" t="n">
        <v>0</v>
      </c>
      <c r="J82" s="47" t="n">
        <v>0</v>
      </c>
      <c r="K82" s="47" t="n">
        <v>0</v>
      </c>
      <c r="L82" s="47" t="n">
        <v>0</v>
      </c>
      <c r="M82" s="47" t="n">
        <v>0</v>
      </c>
      <c r="N82" s="47" t="n">
        <v>0</v>
      </c>
      <c r="O82" s="47" t="n">
        <v>0</v>
      </c>
      <c r="P82" s="47" t="n">
        <v>0</v>
      </c>
      <c r="Q82" s="47" t="n">
        <v>0</v>
      </c>
      <c r="R82" s="47" t="n">
        <v>0</v>
      </c>
      <c r="S82" s="47" t="n">
        <v>0</v>
      </c>
      <c r="T82" s="47" t="n">
        <v>0</v>
      </c>
      <c r="U82" s="47" t="n">
        <v>0</v>
      </c>
      <c r="V82" s="47" t="n">
        <v>0</v>
      </c>
      <c r="W82" s="47" t="n">
        <v>0</v>
      </c>
      <c r="X82" s="47" t="n">
        <v>0</v>
      </c>
      <c r="Y82" s="47" t="n">
        <v>0</v>
      </c>
      <c r="Z82" s="47" t="n">
        <v>0</v>
      </c>
      <c r="AA82" s="47" t="n">
        <v>0</v>
      </c>
    </row>
    <row r="83">
      <c r="A83" s="10" t="n">
        <v>3</v>
      </c>
      <c r="B83" s="14" t="inlineStr">
        <is>
          <t>Carbon price $20/tCO2 from 2027</t>
        </is>
      </c>
      <c r="C83" s="14" t="inlineStr">
        <is>
          <t>mit.rsub.pow.all</t>
        </is>
      </c>
      <c r="D83" s="14" t="inlineStr">
        <is>
          <t>egy.mit.rsub.pow.all.3</t>
        </is>
      </c>
      <c r="E83" s="14" t="inlineStr">
        <is>
          <t>Cost of existing consumer subsidies (positive = cost) | Power | All fuels</t>
        </is>
      </c>
      <c r="F83" s="14" t="inlineStr">
        <is>
          <t>USD m real</t>
        </is>
      </c>
      <c r="G83" s="14" t="inlineStr">
        <is>
          <t>build (Python emulation of RunAllScenarios)</t>
        </is>
      </c>
      <c r="H83" s="47" t="n">
        <v>20315.8859505738</v>
      </c>
      <c r="I83" s="47" t="n">
        <v>21961.4888620997</v>
      </c>
      <c r="J83" s="47" t="n">
        <v>22908.7003520864</v>
      </c>
      <c r="K83" s="47" t="n">
        <v>25401.8538963682</v>
      </c>
      <c r="L83" s="47" t="n">
        <v>26965.1612835606</v>
      </c>
      <c r="M83" s="47" t="n">
        <v>24441.4449942228</v>
      </c>
      <c r="N83" s="47" t="n">
        <v>19917.1725238209</v>
      </c>
      <c r="O83" s="47" t="n">
        <v>19949.1337993943</v>
      </c>
      <c r="P83" s="47" t="n">
        <v>19939.4631808587</v>
      </c>
      <c r="Q83" s="47" t="n">
        <v>20515.4240276868</v>
      </c>
      <c r="R83" s="47" t="n">
        <v>21069.2685766967</v>
      </c>
      <c r="S83" s="47" t="n">
        <v>21763.7078896173</v>
      </c>
      <c r="T83" s="47" t="n">
        <v>22371.4854159314</v>
      </c>
      <c r="U83" s="47" t="n">
        <v>23048.7078313219</v>
      </c>
      <c r="V83" s="47" t="n">
        <v>23705.8942346161</v>
      </c>
      <c r="W83" s="47" t="n">
        <v>24402.326419015</v>
      </c>
      <c r="X83" s="47" t="n">
        <v>25101.3767114825</v>
      </c>
      <c r="Y83" s="47" t="n">
        <v>25825.3230869861</v>
      </c>
      <c r="Z83" s="47" t="n">
        <v>26557.5365758588</v>
      </c>
      <c r="AA83" s="47" t="n">
        <v>27307.2122282908</v>
      </c>
    </row>
    <row r="84">
      <c r="A84" s="10" t="n">
        <v>3</v>
      </c>
      <c r="B84" s="14" t="inlineStr">
        <is>
          <t>Carbon price $20/tCO2 from 2027</t>
        </is>
      </c>
      <c r="C84" s="14" t="inlineStr">
        <is>
          <t>mit.rnew.pow.all</t>
        </is>
      </c>
      <c r="D84" s="14" t="inlineStr">
        <is>
          <t>egy.mit.rnew.pow.all.3</t>
        </is>
      </c>
      <c r="E84" s="14" t="inlineStr">
        <is>
          <t>Revenue from new policies (carbon tax, excise, auctioned ETS, VAT on them) | Power | All fuels</t>
        </is>
      </c>
      <c r="F84" s="14" t="inlineStr">
        <is>
          <t>USD m real</t>
        </is>
      </c>
      <c r="G84" s="14" t="inlineStr">
        <is>
          <t>build (Python emulation of RunAllScenarios)</t>
        </is>
      </c>
      <c r="H84" s="47" t="n">
        <v>0</v>
      </c>
      <c r="I84" s="47" t="n">
        <v>0</v>
      </c>
      <c r="J84" s="47" t="n">
        <v>0</v>
      </c>
      <c r="K84" s="47" t="n">
        <v>0</v>
      </c>
      <c r="L84" s="47" t="n">
        <v>0</v>
      </c>
      <c r="M84" s="47" t="n">
        <v>2215.46640468285</v>
      </c>
      <c r="N84" s="47" t="n">
        <v>1991.51212757563</v>
      </c>
      <c r="O84" s="47" t="n">
        <v>2126.10292074404</v>
      </c>
      <c r="P84" s="47" t="n">
        <v>2144.88063124766</v>
      </c>
      <c r="Q84" s="47" t="n">
        <v>2219.64912163833</v>
      </c>
      <c r="R84" s="47" t="n">
        <v>2242.19831248635</v>
      </c>
      <c r="S84" s="47" t="n">
        <v>2288.23029481761</v>
      </c>
      <c r="T84" s="47" t="n">
        <v>2318.31511407822</v>
      </c>
      <c r="U84" s="47" t="n">
        <v>2360.6426912948</v>
      </c>
      <c r="V84" s="47" t="n">
        <v>2398.28115790223</v>
      </c>
      <c r="W84" s="47" t="n">
        <v>2441.76087803057</v>
      </c>
      <c r="X84" s="47" t="n">
        <v>2484.14014747504</v>
      </c>
      <c r="Y84" s="47" t="n">
        <v>2529.44693185008</v>
      </c>
      <c r="Z84" s="47" t="n">
        <v>2574.18355372423</v>
      </c>
      <c r="AA84" s="47" t="n">
        <v>2619.98171609044</v>
      </c>
    </row>
    <row r="85">
      <c r="A85" s="10" t="n">
        <v>3</v>
      </c>
      <c r="B85" s="14" t="inlineStr">
        <is>
          <t>Carbon price $20/tCO2 from 2027</t>
        </is>
      </c>
      <c r="C85" s="14" t="inlineStr">
        <is>
          <t>mit.rxcp.all.all</t>
        </is>
      </c>
      <c r="D85" s="14" t="inlineStr">
        <is>
          <t>egy.mit.rxcp.all.all.3</t>
        </is>
      </c>
      <c r="E85" s="14" t="inlineStr">
        <is>
          <t>Revenue from existing carbon pricing (memo: level; the part embedded in the price data is in rtx) | All sectors | All fuels</t>
        </is>
      </c>
      <c r="F85" s="14" t="inlineStr">
        <is>
          <t>USD m real</t>
        </is>
      </c>
      <c r="G85" s="14" t="inlineStr">
        <is>
          <t>build (Python emulation of RunAllScenarios)</t>
        </is>
      </c>
      <c r="H85" s="47" t="n">
        <v>0</v>
      </c>
      <c r="I85" s="47" t="n">
        <v>0</v>
      </c>
      <c r="J85" s="47" t="n">
        <v>0</v>
      </c>
      <c r="K85" s="47" t="n">
        <v>0</v>
      </c>
      <c r="L85" s="47" t="n">
        <v>0</v>
      </c>
      <c r="M85" s="47" t="n">
        <v>0</v>
      </c>
      <c r="N85" s="47" t="n">
        <v>0</v>
      </c>
      <c r="O85" s="47" t="n">
        <v>0</v>
      </c>
      <c r="P85" s="47" t="n">
        <v>0</v>
      </c>
      <c r="Q85" s="47" t="n">
        <v>0</v>
      </c>
      <c r="R85" s="47" t="n">
        <v>0</v>
      </c>
      <c r="S85" s="47" t="n">
        <v>0</v>
      </c>
      <c r="T85" s="47" t="n">
        <v>0</v>
      </c>
      <c r="U85" s="47" t="n">
        <v>0</v>
      </c>
      <c r="V85" s="47" t="n">
        <v>0</v>
      </c>
      <c r="W85" s="47" t="n">
        <v>0</v>
      </c>
      <c r="X85" s="47" t="n">
        <v>0</v>
      </c>
      <c r="Y85" s="47" t="n">
        <v>0</v>
      </c>
      <c r="Z85" s="47" t="n">
        <v>0</v>
      </c>
      <c r="AA85" s="47" t="n">
        <v>0</v>
      </c>
    </row>
    <row r="86">
      <c r="A86" s="10" t="n">
        <v>3</v>
      </c>
      <c r="B86" s="14" t="inlineStr">
        <is>
          <t>Carbon price $20/tCO2 from 2027</t>
        </is>
      </c>
      <c r="C86" s="14" t="inlineStr">
        <is>
          <t>mit.xct.p</t>
        </is>
      </c>
      <c r="D86" s="14" t="inlineStr">
        <is>
          <t>egy.mit.xct.p.3</t>
        </is>
      </c>
      <c r="E86" s="14" t="inlineStr">
        <is>
          <t>Existing carbon tax rate used</t>
        </is>
      </c>
      <c r="F86" s="14" t="inlineStr">
        <is>
          <t>USD/tCO2 real</t>
        </is>
      </c>
      <c r="G86" s="14" t="inlineStr">
        <is>
          <t>build (Python emulation of RunAllScenarios)</t>
        </is>
      </c>
      <c r="H86" s="24" t="n">
        <v>0</v>
      </c>
      <c r="I86" s="24" t="n">
        <v>0</v>
      </c>
      <c r="J86" s="24" t="n">
        <v>0</v>
      </c>
      <c r="K86" s="24" t="n">
        <v>0</v>
      </c>
      <c r="L86" s="24" t="n">
        <v>0</v>
      </c>
      <c r="M86" s="24" t="n">
        <v>0</v>
      </c>
      <c r="N86" s="24" t="n">
        <v>0</v>
      </c>
      <c r="O86" s="24" t="n">
        <v>0</v>
      </c>
      <c r="P86" s="24" t="n">
        <v>0</v>
      </c>
      <c r="Q86" s="24" t="n">
        <v>0</v>
      </c>
      <c r="R86" s="24" t="n">
        <v>0</v>
      </c>
      <c r="S86" s="24" t="n">
        <v>0</v>
      </c>
      <c r="T86" s="24" t="n">
        <v>0</v>
      </c>
      <c r="U86" s="24" t="n">
        <v>0</v>
      </c>
      <c r="V86" s="24" t="n">
        <v>0</v>
      </c>
      <c r="W86" s="24" t="n">
        <v>0</v>
      </c>
      <c r="X86" s="24" t="n">
        <v>0</v>
      </c>
      <c r="Y86" s="24" t="n">
        <v>0</v>
      </c>
      <c r="Z86" s="24" t="n">
        <v>0</v>
      </c>
      <c r="AA86" s="24" t="n">
        <v>0</v>
      </c>
    </row>
    <row r="87">
      <c r="A87" s="10" t="n">
        <v>3</v>
      </c>
      <c r="B87" s="14" t="inlineStr">
        <is>
          <t>Carbon price $20/tCO2 from 2027</t>
        </is>
      </c>
      <c r="C87" s="14" t="inlineStr">
        <is>
          <t>mit.xets.p</t>
        </is>
      </c>
      <c r="D87" s="14" t="inlineStr">
        <is>
          <t>egy.mit.xets.p.3</t>
        </is>
      </c>
      <c r="E87" s="14" t="inlineStr">
        <is>
          <t>Existing ETS permit price used</t>
        </is>
      </c>
      <c r="F87" s="14" t="inlineStr">
        <is>
          <t>USD/tCO2 real</t>
        </is>
      </c>
      <c r="G87" s="14" t="inlineStr">
        <is>
          <t>build (Python emulation of RunAllScenarios)</t>
        </is>
      </c>
      <c r="H87" s="24" t="n">
        <v>0</v>
      </c>
      <c r="I87" s="24" t="n">
        <v>0</v>
      </c>
      <c r="J87" s="24" t="n">
        <v>0</v>
      </c>
      <c r="K87" s="24" t="n">
        <v>0</v>
      </c>
      <c r="L87" s="24" t="n">
        <v>0</v>
      </c>
      <c r="M87" s="24" t="n">
        <v>0</v>
      </c>
      <c r="N87" s="24" t="n">
        <v>0</v>
      </c>
      <c r="O87" s="24" t="n">
        <v>0</v>
      </c>
      <c r="P87" s="24" t="n">
        <v>0</v>
      </c>
      <c r="Q87" s="24" t="n">
        <v>0</v>
      </c>
      <c r="R87" s="24" t="n">
        <v>0</v>
      </c>
      <c r="S87" s="24" t="n">
        <v>0</v>
      </c>
      <c r="T87" s="24" t="n">
        <v>0</v>
      </c>
      <c r="U87" s="24" t="n">
        <v>0</v>
      </c>
      <c r="V87" s="24" t="n">
        <v>0</v>
      </c>
      <c r="W87" s="24" t="n">
        <v>0</v>
      </c>
      <c r="X87" s="24" t="n">
        <v>0</v>
      </c>
      <c r="Y87" s="24" t="n">
        <v>0</v>
      </c>
      <c r="Z87" s="24" t="n">
        <v>0</v>
      </c>
      <c r="AA87" s="24" t="n">
        <v>0</v>
      </c>
    </row>
    <row r="88">
      <c r="A88" s="10" t="n">
        <v>3</v>
      </c>
      <c r="B88" s="14" t="inlineStr">
        <is>
          <t>Carbon price $20/tCO2 from 2027</t>
        </is>
      </c>
      <c r="C88" s="14" t="inlineStr">
        <is>
          <t>mit.cptraj</t>
        </is>
      </c>
      <c r="D88" s="14" t="inlineStr">
        <is>
          <t>egy.mit.cptraj.3</t>
        </is>
      </c>
      <c r="E88" s="14" t="inlineStr">
        <is>
          <t>Carbon price trajectory used</t>
        </is>
      </c>
      <c r="F88" s="14" t="inlineStr">
        <is>
          <t>$/tCO2 real</t>
        </is>
      </c>
      <c r="G88" s="14" t="inlineStr">
        <is>
          <t>build (Python emulation of RunAllScenarios)</t>
        </is>
      </c>
      <c r="H88" s="24" t="n">
        <v>0</v>
      </c>
      <c r="I88" s="24" t="n">
        <v>0</v>
      </c>
      <c r="J88" s="24" t="n">
        <v>0</v>
      </c>
      <c r="K88" s="24" t="n">
        <v>0</v>
      </c>
      <c r="L88" s="24" t="n">
        <v>0</v>
      </c>
      <c r="M88" s="24" t="n">
        <v>20</v>
      </c>
      <c r="N88" s="24" t="n">
        <v>20</v>
      </c>
      <c r="O88" s="24" t="n">
        <v>20</v>
      </c>
      <c r="P88" s="24" t="n">
        <v>20</v>
      </c>
      <c r="Q88" s="24" t="n">
        <v>20</v>
      </c>
      <c r="R88" s="24" t="n">
        <v>20</v>
      </c>
      <c r="S88" s="24" t="n">
        <v>20</v>
      </c>
      <c r="T88" s="24" t="n">
        <v>20</v>
      </c>
      <c r="U88" s="24" t="n">
        <v>20</v>
      </c>
      <c r="V88" s="24" t="n">
        <v>20</v>
      </c>
      <c r="W88" s="24" t="n">
        <v>20</v>
      </c>
      <c r="X88" s="24" t="n">
        <v>20</v>
      </c>
      <c r="Y88" s="24" t="n">
        <v>20</v>
      </c>
      <c r="Z88" s="24" t="n">
        <v>20</v>
      </c>
      <c r="AA88" s="24" t="n">
        <v>20</v>
      </c>
    </row>
    <row r="89">
      <c r="A89" s="10" t="n">
        <v>3</v>
      </c>
      <c r="B89" s="14" t="inlineStr">
        <is>
          <t>Carbon price $20/tCO2 from 2027</t>
        </is>
      </c>
      <c r="C89" s="14" t="inlineStr">
        <is>
          <t>mit.ets.p</t>
        </is>
      </c>
      <c r="D89" s="14" t="inlineStr">
        <is>
          <t>egy.mit.ets.p.3</t>
        </is>
      </c>
      <c r="E89" s="14" t="inlineStr">
        <is>
          <t>ETS permit price used</t>
        </is>
      </c>
      <c r="F89" s="14" t="inlineStr">
        <is>
          <t>$/tCO2 real</t>
        </is>
      </c>
      <c r="G89" s="14" t="inlineStr">
        <is>
          <t>build (Python emulation of RunAllScenarios)</t>
        </is>
      </c>
      <c r="H89" s="24" t="n">
        <v>0</v>
      </c>
      <c r="I89" s="24" t="n">
        <v>0</v>
      </c>
      <c r="J89" s="24" t="n">
        <v>0</v>
      </c>
      <c r="K89" s="24" t="n">
        <v>0</v>
      </c>
      <c r="L89" s="24" t="n">
        <v>0</v>
      </c>
      <c r="M89" s="24" t="n">
        <v>0</v>
      </c>
      <c r="N89" s="24" t="n">
        <v>0</v>
      </c>
      <c r="O89" s="24" t="n">
        <v>0</v>
      </c>
      <c r="P89" s="24" t="n">
        <v>0</v>
      </c>
      <c r="Q89" s="24" t="n">
        <v>0</v>
      </c>
      <c r="R89" s="24" t="n">
        <v>0</v>
      </c>
      <c r="S89" s="24" t="n">
        <v>0</v>
      </c>
      <c r="T89" s="24" t="n">
        <v>0</v>
      </c>
      <c r="U89" s="24" t="n">
        <v>0</v>
      </c>
      <c r="V89" s="24" t="n">
        <v>0</v>
      </c>
      <c r="W89" s="24" t="n">
        <v>0</v>
      </c>
      <c r="X89" s="24" t="n">
        <v>0</v>
      </c>
      <c r="Y89" s="24" t="n">
        <v>0</v>
      </c>
      <c r="Z89" s="24" t="n">
        <v>0</v>
      </c>
      <c r="AA89" s="24" t="n">
        <v>0</v>
      </c>
    </row>
    <row r="90">
      <c r="A90" s="10" t="n">
        <v>3</v>
      </c>
      <c r="B90" s="14" t="inlineStr">
        <is>
          <t>Carbon price $20/tCO2 from 2027</t>
        </is>
      </c>
      <c r="C90" s="14" t="inlineStr">
        <is>
          <t>mit.co2.ets.all.all</t>
        </is>
      </c>
      <c r="D90" s="14" t="inlineStr">
        <is>
          <t>egy.mit.co2.ets.all.all.3</t>
        </is>
      </c>
      <c r="E90" s="14" t="inlineStr">
        <is>
          <t>CO2 emissions covered by the new ETS | All sectors | All fuels</t>
        </is>
      </c>
      <c r="F90" s="14" t="inlineStr">
        <is>
          <t>MtCO2</t>
        </is>
      </c>
      <c r="G90" s="14" t="inlineStr">
        <is>
          <t>build (Python emulation of RunAllScenarios)</t>
        </is>
      </c>
      <c r="H90" s="44" t="n">
        <v>0</v>
      </c>
      <c r="I90" s="44" t="n">
        <v>0</v>
      </c>
      <c r="J90" s="44" t="n">
        <v>0</v>
      </c>
      <c r="K90" s="44" t="n">
        <v>0</v>
      </c>
      <c r="L90" s="44" t="n">
        <v>0</v>
      </c>
      <c r="M90" s="44" t="n">
        <v>0</v>
      </c>
      <c r="N90" s="44" t="n">
        <v>0</v>
      </c>
      <c r="O90" s="44" t="n">
        <v>0</v>
      </c>
      <c r="P90" s="44" t="n">
        <v>0</v>
      </c>
      <c r="Q90" s="44" t="n">
        <v>0</v>
      </c>
      <c r="R90" s="44" t="n">
        <v>0</v>
      </c>
      <c r="S90" s="44" t="n">
        <v>0</v>
      </c>
      <c r="T90" s="44" t="n">
        <v>0</v>
      </c>
      <c r="U90" s="44" t="n">
        <v>0</v>
      </c>
      <c r="V90" s="44" t="n">
        <v>0</v>
      </c>
      <c r="W90" s="44" t="n">
        <v>0</v>
      </c>
      <c r="X90" s="44" t="n">
        <v>0</v>
      </c>
      <c r="Y90" s="44" t="n">
        <v>0</v>
      </c>
      <c r="Z90" s="44" t="n">
        <v>0</v>
      </c>
      <c r="AA90" s="44" t="n">
        <v>0</v>
      </c>
    </row>
    <row r="91">
      <c r="A91" s="10" t="n">
        <v>3</v>
      </c>
      <c r="B91" s="14" t="inlineStr">
        <is>
          <t>Carbon price $20/tCO2 from 2027</t>
        </is>
      </c>
      <c r="C91" s="14" t="inlineStr">
        <is>
          <t>mit.co2.cap.all.all</t>
        </is>
      </c>
      <c r="D91" s="14" t="inlineStr">
        <is>
          <t>egy.mit.co2.cap.all.all.3</t>
        </is>
      </c>
      <c r="E91" s="14" t="inlineStr">
        <is>
          <t>ETS cap | All sectors | All fuels</t>
        </is>
      </c>
      <c r="F91" s="14" t="inlineStr">
        <is>
          <t>MtCO2</t>
        </is>
      </c>
      <c r="G91" s="14" t="inlineStr">
        <is>
          <t>build (Python emulation of RunAllScenarios)</t>
        </is>
      </c>
      <c r="H91" s="44" t="n">
        <v>0</v>
      </c>
      <c r="I91" s="44" t="n">
        <v>0</v>
      </c>
      <c r="J91" s="44" t="n">
        <v>0</v>
      </c>
      <c r="K91" s="44" t="n">
        <v>0</v>
      </c>
      <c r="L91" s="44" t="n">
        <v>0</v>
      </c>
      <c r="M91" s="44" t="n">
        <v>0</v>
      </c>
      <c r="N91" s="44" t="n">
        <v>0</v>
      </c>
      <c r="O91" s="44" t="n">
        <v>0</v>
      </c>
      <c r="P91" s="44" t="n">
        <v>0</v>
      </c>
      <c r="Q91" s="44" t="n">
        <v>0</v>
      </c>
      <c r="R91" s="44" t="n">
        <v>0</v>
      </c>
      <c r="S91" s="44" t="n">
        <v>0</v>
      </c>
      <c r="T91" s="44" t="n">
        <v>0</v>
      </c>
      <c r="U91" s="44" t="n">
        <v>0</v>
      </c>
      <c r="V91" s="44" t="n">
        <v>0</v>
      </c>
      <c r="W91" s="44" t="n">
        <v>0</v>
      </c>
      <c r="X91" s="44" t="n">
        <v>0</v>
      </c>
      <c r="Y91" s="44" t="n">
        <v>0</v>
      </c>
      <c r="Z91" s="44" t="n">
        <v>0</v>
      </c>
      <c r="AA91" s="44" t="n">
        <v>0</v>
      </c>
    </row>
    <row r="92">
      <c r="A92" s="10" t="n">
        <v>3</v>
      </c>
      <c r="B92" s="14" t="inlineStr">
        <is>
          <t>Carbon price $20/tCO2 from 2027</t>
        </is>
      </c>
      <c r="C92" s="14" t="inlineStr">
        <is>
          <t>mit.rpb.all.gso.a</t>
        </is>
      </c>
      <c r="D92" s="14" t="inlineStr">
        <is>
          <t>egy.mit.rpb.all.gso.a.3</t>
        </is>
      </c>
      <c r="E92" s="14" t="inlineStr">
        <is>
          <t>Retail price before new policies | All sectors | Gasoline</t>
        </is>
      </c>
      <c r="F92" s="14" t="inlineStr">
        <is>
          <t>$/GJ real</t>
        </is>
      </c>
      <c r="G92" s="14" t="inlineStr">
        <is>
          <t>build (Python emulation of RunAllScenarios)</t>
        </is>
      </c>
      <c r="H92" s="24" t="n">
        <v>17.1645453257496</v>
      </c>
      <c r="I92" s="24" t="n">
        <v>11.7387816845338</v>
      </c>
      <c r="J92" s="24" t="n">
        <v>9.58268059228592</v>
      </c>
      <c r="K92" s="24" t="n">
        <v>9.58268059228592</v>
      </c>
      <c r="L92" s="24" t="n">
        <v>9.58268059228592</v>
      </c>
      <c r="M92" s="24" t="n">
        <v>9.58268059228592</v>
      </c>
      <c r="N92" s="24" t="n">
        <v>9.58268059228592</v>
      </c>
      <c r="O92" s="24" t="n">
        <v>9.58268059228592</v>
      </c>
      <c r="P92" s="24" t="n">
        <v>9.58268059228592</v>
      </c>
      <c r="Q92" s="24" t="n">
        <v>9.58268059228592</v>
      </c>
      <c r="R92" s="24" t="n">
        <v>9.58268059228592</v>
      </c>
      <c r="S92" s="24" t="n">
        <v>9.58268059228592</v>
      </c>
      <c r="T92" s="24" t="n">
        <v>9.58268059228592</v>
      </c>
      <c r="U92" s="24" t="n">
        <v>9.58268059228592</v>
      </c>
      <c r="V92" s="24" t="n">
        <v>9.58268059228592</v>
      </c>
      <c r="W92" s="24" t="n">
        <v>9.58268059228592</v>
      </c>
      <c r="X92" s="24" t="n">
        <v>9.58268059228592</v>
      </c>
      <c r="Y92" s="24" t="n">
        <v>9.58268059228592</v>
      </c>
      <c r="Z92" s="24" t="n">
        <v>9.58268059228592</v>
      </c>
      <c r="AA92" s="24" t="n">
        <v>9.58268059228592</v>
      </c>
    </row>
    <row r="93">
      <c r="A93" s="10" t="n">
        <v>3</v>
      </c>
      <c r="B93" s="14" t="inlineStr">
        <is>
          <t>Carbon price $20/tCO2 from 2027</t>
        </is>
      </c>
      <c r="C93" s="14" t="inlineStr">
        <is>
          <t>mit.rpb.all.die.a</t>
        </is>
      </c>
      <c r="D93" s="14" t="inlineStr">
        <is>
          <t>egy.mit.rpb.all.die.a.3</t>
        </is>
      </c>
      <c r="E93" s="14" t="inlineStr">
        <is>
          <t>Retail price before new policies | All sectors | Diesel</t>
        </is>
      </c>
      <c r="F93" s="14" t="inlineStr">
        <is>
          <t>$/GJ real</t>
        </is>
      </c>
      <c r="G93" s="14" t="inlineStr">
        <is>
          <t>build (Python emulation of RunAllScenarios)</t>
        </is>
      </c>
      <c r="H93" s="24" t="n">
        <v>11.0953075337741</v>
      </c>
      <c r="I93" s="24" t="n">
        <v>7.52329139696042</v>
      </c>
      <c r="J93" s="24" t="n">
        <v>6.68201385154289</v>
      </c>
      <c r="K93" s="24" t="n">
        <v>6.68201385154289</v>
      </c>
      <c r="L93" s="24" t="n">
        <v>6.68201385154289</v>
      </c>
      <c r="M93" s="24" t="n">
        <v>6.68201385154289</v>
      </c>
      <c r="N93" s="24" t="n">
        <v>6.68201385154289</v>
      </c>
      <c r="O93" s="24" t="n">
        <v>6.68201385154289</v>
      </c>
      <c r="P93" s="24" t="n">
        <v>6.68201385154289</v>
      </c>
      <c r="Q93" s="24" t="n">
        <v>6.68201385154289</v>
      </c>
      <c r="R93" s="24" t="n">
        <v>6.68201385154289</v>
      </c>
      <c r="S93" s="24" t="n">
        <v>6.68201385154289</v>
      </c>
      <c r="T93" s="24" t="n">
        <v>6.68201385154289</v>
      </c>
      <c r="U93" s="24" t="n">
        <v>6.68201385154289</v>
      </c>
      <c r="V93" s="24" t="n">
        <v>6.68201385154289</v>
      </c>
      <c r="W93" s="24" t="n">
        <v>6.68201385154289</v>
      </c>
      <c r="X93" s="24" t="n">
        <v>6.68201385154289</v>
      </c>
      <c r="Y93" s="24" t="n">
        <v>6.68201385154289</v>
      </c>
      <c r="Z93" s="24" t="n">
        <v>6.68201385154289</v>
      </c>
      <c r="AA93" s="24" t="n">
        <v>6.68201385154289</v>
      </c>
    </row>
    <row r="94">
      <c r="A94" s="10" t="n">
        <v>3</v>
      </c>
      <c r="B94" s="14" t="inlineStr">
        <is>
          <t>Carbon price $20/tCO2 from 2027</t>
        </is>
      </c>
      <c r="C94" s="14" t="inlineStr">
        <is>
          <t>mit.rpb.res.nga.a</t>
        </is>
      </c>
      <c r="D94" s="14" t="inlineStr">
        <is>
          <t>egy.mit.rpb.res.nga.a.3</t>
        </is>
      </c>
      <c r="E94" s="14" t="inlineStr">
        <is>
          <t>Retail price before new policies | Residential | Natural gas</t>
        </is>
      </c>
      <c r="F94" s="14" t="inlineStr">
        <is>
          <t>$/GJ real</t>
        </is>
      </c>
      <c r="G94" s="14" t="inlineStr">
        <is>
          <t>build (Python emulation of RunAllScenarios)</t>
        </is>
      </c>
      <c r="H94" s="24" t="n">
        <v>4.63366849483039</v>
      </c>
      <c r="I94" s="24" t="n">
        <v>3.20868563703672</v>
      </c>
      <c r="J94" s="24" t="n">
        <v>2.33088056865822</v>
      </c>
      <c r="K94" s="24" t="n">
        <v>2.33088056865822</v>
      </c>
      <c r="L94" s="24" t="n">
        <v>2.33088056865822</v>
      </c>
      <c r="M94" s="24" t="n">
        <v>2.33088056865822</v>
      </c>
      <c r="N94" s="24" t="n">
        <v>2.33088056865822</v>
      </c>
      <c r="O94" s="24" t="n">
        <v>2.33088056865822</v>
      </c>
      <c r="P94" s="24" t="n">
        <v>2.33088056865822</v>
      </c>
      <c r="Q94" s="24" t="n">
        <v>2.33088056865822</v>
      </c>
      <c r="R94" s="24" t="n">
        <v>2.33088056865822</v>
      </c>
      <c r="S94" s="24" t="n">
        <v>2.33088056865822</v>
      </c>
      <c r="T94" s="24" t="n">
        <v>2.33088056865822</v>
      </c>
      <c r="U94" s="24" t="n">
        <v>2.33088056865822</v>
      </c>
      <c r="V94" s="24" t="n">
        <v>2.33088056865822</v>
      </c>
      <c r="W94" s="24" t="n">
        <v>2.33088056865822</v>
      </c>
      <c r="X94" s="24" t="n">
        <v>2.33088056865822</v>
      </c>
      <c r="Y94" s="24" t="n">
        <v>2.33088056865822</v>
      </c>
      <c r="Z94" s="24" t="n">
        <v>2.33088056865822</v>
      </c>
      <c r="AA94" s="24" t="n">
        <v>2.33088056865822</v>
      </c>
    </row>
    <row r="95">
      <c r="A95" s="10" t="n">
        <v>3</v>
      </c>
      <c r="B95" s="14" t="inlineStr">
        <is>
          <t>Carbon price $20/tCO2 from 2027</t>
        </is>
      </c>
      <c r="C95" s="14" t="inlineStr">
        <is>
          <t>mit.atp.rod.gso.e</t>
        </is>
      </c>
      <c r="D95" s="14" t="inlineStr">
        <is>
          <t>egy.mit.atp.rod.gso.e.3</t>
        </is>
      </c>
      <c r="E95" s="14" t="inlineStr">
        <is>
          <t>After-tax price | Road | Gasoline</t>
        </is>
      </c>
      <c r="F95" s="14" t="inlineStr">
        <is>
          <t>$/GJ real</t>
        </is>
      </c>
      <c r="G95" s="14" t="inlineStr">
        <is>
          <t>build (Python emulation of RunAllScenarios)</t>
        </is>
      </c>
      <c r="H95" s="24" t="n">
        <v>17.1645453257496</v>
      </c>
      <c r="I95" s="24" t="n">
        <v>11.7387816845338</v>
      </c>
      <c r="J95" s="24" t="n">
        <v>9.58268059228592</v>
      </c>
      <c r="K95" s="24" t="n">
        <v>9.58268059228592</v>
      </c>
      <c r="L95" s="24" t="n">
        <v>9.58268059228592</v>
      </c>
      <c r="M95" s="24" t="n">
        <v>10.9062405922859</v>
      </c>
      <c r="N95" s="24" t="n">
        <v>10.9062405922859</v>
      </c>
      <c r="O95" s="24" t="n">
        <v>10.9062405922859</v>
      </c>
      <c r="P95" s="24" t="n">
        <v>10.9062405922859</v>
      </c>
      <c r="Q95" s="24" t="n">
        <v>10.9062405922859</v>
      </c>
      <c r="R95" s="24" t="n">
        <v>10.9062405922859</v>
      </c>
      <c r="S95" s="24" t="n">
        <v>10.9062405922859</v>
      </c>
      <c r="T95" s="24" t="n">
        <v>10.9062405922859</v>
      </c>
      <c r="U95" s="24" t="n">
        <v>10.9062405922859</v>
      </c>
      <c r="V95" s="24" t="n">
        <v>10.9062405922859</v>
      </c>
      <c r="W95" s="24" t="n">
        <v>10.9062405922859</v>
      </c>
      <c r="X95" s="24" t="n">
        <v>10.9062405922859</v>
      </c>
      <c r="Y95" s="24" t="n">
        <v>10.9062405922859</v>
      </c>
      <c r="Z95" s="24" t="n">
        <v>10.9062405922859</v>
      </c>
      <c r="AA95" s="24" t="n">
        <v>10.9062405922859</v>
      </c>
    </row>
    <row r="96">
      <c r="A96" s="10" t="n">
        <v>3</v>
      </c>
      <c r="B96" s="14" t="inlineStr">
        <is>
          <t>Carbon price $20/tCO2 from 2027</t>
        </is>
      </c>
      <c r="C96" s="14" t="inlineStr">
        <is>
          <t>mit.rp.res.ecy</t>
        </is>
      </c>
      <c r="D96" s="14" t="inlineStr">
        <is>
          <t>egy.mit.rp.res.ecy.3</t>
        </is>
      </c>
      <c r="E96" s="14" t="inlineStr">
        <is>
          <t>End-user electricity price | Residential | Electricity</t>
        </is>
      </c>
      <c r="F96" s="14" t="inlineStr">
        <is>
          <t>$/kWh real</t>
        </is>
      </c>
      <c r="G96" s="14" t="inlineStr">
        <is>
          <t>build (Python emulation of RunAllScenarios)</t>
        </is>
      </c>
      <c r="H96" s="16" t="n">
        <v>0.0613881498333761</v>
      </c>
      <c r="I96" s="16" t="n">
        <v>0.0524045289478607</v>
      </c>
      <c r="J96" s="16" t="n">
        <v>0.0455995743641052</v>
      </c>
      <c r="K96" s="16" t="n">
        <v>0.0487271234271429</v>
      </c>
      <c r="L96" s="16" t="n">
        <v>0.0504115501721355</v>
      </c>
      <c r="M96" s="16" t="n">
        <v>0.06271601954826669</v>
      </c>
      <c r="N96" s="16" t="n">
        <v>0.0619092385820311</v>
      </c>
      <c r="O96" s="16" t="n">
        <v>0.06350750413852981</v>
      </c>
      <c r="P96" s="16" t="n">
        <v>0.061918383216836</v>
      </c>
      <c r="Q96" s="16" t="n">
        <v>0.0613348127386412</v>
      </c>
      <c r="R96" s="16" t="n">
        <v>0.0602849855701055</v>
      </c>
      <c r="S96" s="16" t="n">
        <v>0.0597324731575186</v>
      </c>
      <c r="T96" s="16" t="n">
        <v>0.0590575819820512</v>
      </c>
      <c r="U96" s="16" t="n">
        <v>0.0585594921347549</v>
      </c>
      <c r="V96" s="16" t="n">
        <v>0.0580213608294114</v>
      </c>
      <c r="W96" s="16" t="n">
        <v>0.05755413618018</v>
      </c>
      <c r="X96" s="16" t="n">
        <v>0.0570846109121927</v>
      </c>
      <c r="Y96" s="16" t="n">
        <v>0.056649396149766</v>
      </c>
      <c r="Z96" s="16" t="n">
        <v>0.0562197505150483</v>
      </c>
      <c r="AA96" s="16" t="n">
        <v>0.0557941179001394</v>
      </c>
    </row>
    <row r="97">
      <c r="A97" s="10" t="n">
        <v>3</v>
      </c>
      <c r="B97" s="14" t="inlineStr">
        <is>
          <t>Carbon price $20/tCO2 from 2027</t>
        </is>
      </c>
      <c r="C97" s="14" t="inlineStr">
        <is>
          <t>mit.rp.ind.ecy</t>
        </is>
      </c>
      <c r="D97" s="14" t="inlineStr">
        <is>
          <t>egy.mit.rp.ind.ecy.3</t>
        </is>
      </c>
      <c r="E97" s="14" t="inlineStr">
        <is>
          <t>End-user electricity price | Industry | Electricity</t>
        </is>
      </c>
      <c r="F97" s="14" t="inlineStr">
        <is>
          <t>$/kWh real</t>
        </is>
      </c>
      <c r="G97" s="14" t="inlineStr">
        <is>
          <t>build (Python emulation of RunAllScenarios)</t>
        </is>
      </c>
      <c r="H97" s="16" t="n">
        <v>0.0636617850123901</v>
      </c>
      <c r="I97" s="16" t="n">
        <v>0.0622303781255846</v>
      </c>
      <c r="J97" s="16" t="n">
        <v>0.0519623056707246</v>
      </c>
      <c r="K97" s="16" t="n">
        <v>0.0550898547337623</v>
      </c>
      <c r="L97" s="16" t="n">
        <v>0.0567742814787548</v>
      </c>
      <c r="M97" s="16" t="n">
        <v>0.069078750854886</v>
      </c>
      <c r="N97" s="16" t="n">
        <v>0.0682719698886505</v>
      </c>
      <c r="O97" s="16" t="n">
        <v>0.0698702354451491</v>
      </c>
      <c r="P97" s="16" t="n">
        <v>0.0682811145234553</v>
      </c>
      <c r="Q97" s="16" t="n">
        <v>0.0676975440452606</v>
      </c>
      <c r="R97" s="16" t="n">
        <v>0.0666477168767249</v>
      </c>
      <c r="S97" s="16" t="n">
        <v>0.066095204464138</v>
      </c>
      <c r="T97" s="16" t="n">
        <v>0.0654203132886706</v>
      </c>
      <c r="U97" s="16" t="n">
        <v>0.0649222234413743</v>
      </c>
      <c r="V97" s="16" t="n">
        <v>0.0643840921360308</v>
      </c>
      <c r="W97" s="16" t="n">
        <v>0.0639168674867993</v>
      </c>
      <c r="X97" s="16" t="n">
        <v>0.063447342218812</v>
      </c>
      <c r="Y97" s="16" t="n">
        <v>0.0630121274563854</v>
      </c>
      <c r="Z97" s="16" t="n">
        <v>0.0625824818216677</v>
      </c>
      <c r="AA97" s="16" t="n">
        <v>0.0621568492067588</v>
      </c>
    </row>
    <row r="98">
      <c r="A98" s="10" t="n">
        <v>3</v>
      </c>
      <c r="B98" s="14" t="inlineStr">
        <is>
          <t>Carbon price $20/tCO2 from 2027</t>
        </is>
      </c>
      <c r="C98" s="14" t="inlineStr">
        <is>
          <t>mit.gncav</t>
        </is>
      </c>
      <c r="D98" s="14" t="inlineStr">
        <is>
          <t>egy.mit.gncav.3</t>
        </is>
      </c>
      <c r="E98" s="14" t="inlineStr">
        <is>
          <t>Average generation cost (weighted by generation shares)</t>
        </is>
      </c>
      <c r="F98" s="14" t="inlineStr">
        <is>
          <t>$/kWh</t>
        </is>
      </c>
      <c r="G98" s="14" t="inlineStr">
        <is>
          <t>build (Python emulation of RunAllScenarios)</t>
        </is>
      </c>
      <c r="H98" s="16" t="n">
        <v>0.0702944291961073</v>
      </c>
      <c r="I98" s="16" t="n">
        <v>0.0674816679755858</v>
      </c>
      <c r="J98" s="16" t="n">
        <v>0.0706092170386235</v>
      </c>
      <c r="K98" s="16" t="n">
        <v>0.072293643783616</v>
      </c>
      <c r="L98" s="16" t="n">
        <v>0.0763708901389105</v>
      </c>
      <c r="M98" s="16" t="n">
        <v>0.0759340396284479</v>
      </c>
      <c r="N98" s="16" t="n">
        <v>0.0773883897976657</v>
      </c>
      <c r="O98" s="16" t="n">
        <v>0.0759288806600039</v>
      </c>
      <c r="P98" s="16" t="n">
        <v>0.0754607424047192</v>
      </c>
      <c r="Q98" s="16" t="n">
        <v>0.07464597423772321</v>
      </c>
      <c r="R98" s="16" t="n">
        <v>0.0742707602529791</v>
      </c>
      <c r="S98" s="16" t="n">
        <v>0.0737896718186957</v>
      </c>
      <c r="T98" s="16" t="n">
        <v>0.0734492128938195</v>
      </c>
      <c r="U98" s="16" t="n">
        <v>0.0730680631356113</v>
      </c>
      <c r="V98" s="16" t="n">
        <v>0.072739370902238</v>
      </c>
      <c r="W98" s="16" t="n">
        <v>0.0724039758793215</v>
      </c>
      <c r="X98" s="16" t="n">
        <v>0.0720921276383181</v>
      </c>
      <c r="Y98" s="16" t="n">
        <v>0.0717825610772904</v>
      </c>
      <c r="Z98" s="16" t="n">
        <v>0.0714713538057019</v>
      </c>
      <c r="AA98" s="16" t="n">
        <v>0.0711512646041824</v>
      </c>
    </row>
    <row r="99">
      <c r="A99" s="10" t="n">
        <v>3</v>
      </c>
      <c r="B99" s="14" t="inlineStr">
        <is>
          <t>Carbon price $20/tCO2 from 2027</t>
        </is>
      </c>
      <c r="C99" s="14" t="inlineStr">
        <is>
          <t>mit.co2.pow.all.e</t>
        </is>
      </c>
      <c r="D99" s="14" t="inlineStr">
        <is>
          <t>egy.mit.co2.pow.all.e.3</t>
        </is>
      </c>
      <c r="E99" s="14" t="inlineStr">
        <is>
          <t>CO2 emissions from fuel combustion | Power | All fuels</t>
        </is>
      </c>
      <c r="F99" s="14" t="inlineStr">
        <is>
          <t>MtCO2</t>
        </is>
      </c>
      <c r="G99" s="14" t="inlineStr">
        <is>
          <t>build (Python emulation of RunAllScenarios)</t>
        </is>
      </c>
      <c r="H99" s="44" t="n">
        <v>90.0555728903077</v>
      </c>
      <c r="I99" s="44" t="n">
        <v>109.63947488518</v>
      </c>
      <c r="J99" s="44" t="n">
        <v>109.57918179746</v>
      </c>
      <c r="K99" s="44" t="n">
        <v>117.687599229545</v>
      </c>
      <c r="L99" s="44" t="n">
        <v>109.92330968791</v>
      </c>
      <c r="M99" s="44" t="n">
        <v>110.773320234142</v>
      </c>
      <c r="N99" s="44" t="n">
        <v>99.5756063787817</v>
      </c>
      <c r="O99" s="44" t="n">
        <v>106.305146037202</v>
      </c>
      <c r="P99" s="44" t="n">
        <v>107.244031562383</v>
      </c>
      <c r="Q99" s="44" t="n">
        <v>110.982456081916</v>
      </c>
      <c r="R99" s="44" t="n">
        <v>112.109915624317</v>
      </c>
      <c r="S99" s="44" t="n">
        <v>114.411514740881</v>
      </c>
      <c r="T99" s="44" t="n">
        <v>115.915755703911</v>
      </c>
      <c r="U99" s="44" t="n">
        <v>118.03213456474</v>
      </c>
      <c r="V99" s="44" t="n">
        <v>119.914057895112</v>
      </c>
      <c r="W99" s="44" t="n">
        <v>122.088043901528</v>
      </c>
      <c r="X99" s="44" t="n">
        <v>124.207007373752</v>
      </c>
      <c r="Y99" s="44" t="n">
        <v>126.472346592504</v>
      </c>
      <c r="Z99" s="44" t="n">
        <v>128.709177686212</v>
      </c>
      <c r="AA99" s="44" t="n">
        <v>130.999085804522</v>
      </c>
    </row>
    <row r="100">
      <c r="A100" s="10" t="n">
        <v>3</v>
      </c>
      <c r="B100" s="14" t="inlineStr">
        <is>
          <t>Carbon price $20/tCO2 from 2027</t>
        </is>
      </c>
      <c r="C100" s="14" t="inlineStr">
        <is>
          <t>mit.gtot</t>
        </is>
      </c>
      <c r="D100" s="14" t="inlineStr">
        <is>
          <t>egy.mit.gtot.3</t>
        </is>
      </c>
      <c r="E100" s="14" t="inlineStr">
        <is>
          <t>Generation, total</t>
        </is>
      </c>
      <c r="F100" s="14" t="inlineStr">
        <is>
          <t>MWy</t>
        </is>
      </c>
      <c r="G100" s="14" t="inlineStr">
        <is>
          <t>build (Python emulation of RunAllScenarios)</t>
        </is>
      </c>
      <c r="H100" s="47" t="n">
        <v>25122.5095205354</v>
      </c>
      <c r="I100" s="47" t="n">
        <v>30746.5374802134</v>
      </c>
      <c r="J100" s="47" t="n">
        <v>32478.0797087984</v>
      </c>
      <c r="K100" s="47" t="n">
        <v>36617.9829695121</v>
      </c>
      <c r="L100" s="47" t="n">
        <v>36706.2542927948</v>
      </c>
      <c r="M100" s="47" t="n">
        <v>37539.0647485944</v>
      </c>
      <c r="N100" s="47" t="n">
        <v>35333.0868468639</v>
      </c>
      <c r="O100" s="47" t="n">
        <v>37042.4988391345</v>
      </c>
      <c r="P100" s="47" t="n">
        <v>37984.9773328314</v>
      </c>
      <c r="Q100" s="47" t="n">
        <v>39894.1206483708</v>
      </c>
      <c r="R100" s="47" t="n">
        <v>41558.8883898951</v>
      </c>
      <c r="S100" s="47" t="n">
        <v>43436.0230272683</v>
      </c>
      <c r="T100" s="47" t="n">
        <v>45199.9282332618</v>
      </c>
      <c r="U100" s="47" t="n">
        <v>47062.7422099319</v>
      </c>
      <c r="V100" s="47" t="n">
        <v>48911.1938626857</v>
      </c>
      <c r="W100" s="47" t="n">
        <v>50828.0598929444</v>
      </c>
      <c r="X100" s="47" t="n">
        <v>52767.0962847498</v>
      </c>
      <c r="Y100" s="47" t="n">
        <v>54758.8442620233</v>
      </c>
      <c r="Z100" s="47" t="n">
        <v>56786.2581799895</v>
      </c>
      <c r="AA100" s="47" t="n">
        <v>58862.4024759365</v>
      </c>
    </row>
    <row r="101">
      <c r="A101" s="10" t="n">
        <v>3</v>
      </c>
      <c r="B101" s="14" t="inlineStr">
        <is>
          <t>Carbon price $20/tCO2 from 2027</t>
        </is>
      </c>
      <c r="C101" s="14" t="inlineStr">
        <is>
          <t>mit.vre</t>
        </is>
      </c>
      <c r="D101" s="14" t="inlineStr">
        <is>
          <t>egy.mit.vre.3</t>
        </is>
      </c>
      <c r="E101" s="14" t="inlineStr">
        <is>
          <t>Variable renewable share of generation (wind, solar, other renewables)</t>
        </is>
      </c>
      <c r="F101" s="14" t="inlineStr">
        <is>
          <t>share</t>
        </is>
      </c>
      <c r="G101" s="14" t="inlineStr">
        <is>
          <t>build (Python emulation of RunAllScenarios)</t>
        </is>
      </c>
      <c r="H101" s="13" t="n">
        <v>0.0523422150659333</v>
      </c>
      <c r="I101" s="13" t="n">
        <v>0.050215459880866</v>
      </c>
      <c r="J101" s="13" t="n">
        <v>0.07676281335986759</v>
      </c>
      <c r="K101" s="13" t="n">
        <v>0.0965989835915507</v>
      </c>
      <c r="L101" s="13" t="n">
        <v>0.127798600532861</v>
      </c>
      <c r="M101" s="13" t="n">
        <v>0.135779598880546</v>
      </c>
      <c r="N101" s="13" t="n">
        <v>0.161034724800719</v>
      </c>
      <c r="O101" s="13" t="n">
        <v>0.148035727464086</v>
      </c>
      <c r="P101" s="13" t="n">
        <v>0.157386075643449</v>
      </c>
      <c r="Q101" s="13" t="n">
        <v>0.167028348602894</v>
      </c>
      <c r="R101" s="13" t="n">
        <v>0.186502089429954</v>
      </c>
      <c r="S101" s="13" t="n">
        <v>0.201370947765033</v>
      </c>
      <c r="T101" s="13" t="n">
        <v>0.217497791552405</v>
      </c>
      <c r="U101" s="13" t="n">
        <v>0.230638486945989</v>
      </c>
      <c r="V101" s="13" t="n">
        <v>0.243717652359188</v>
      </c>
      <c r="W101" s="13" t="n">
        <v>0.255297728572293</v>
      </c>
      <c r="X101" s="13" t="n">
        <v>0.266542164851981</v>
      </c>
      <c r="Y101" s="13" t="n">
        <v>0.27693202123383</v>
      </c>
      <c r="Z101" s="13" t="n">
        <v>0.287142847167842</v>
      </c>
      <c r="AA101" s="13" t="n">
        <v>0.296972423355786</v>
      </c>
    </row>
    <row r="102">
      <c r="A102" s="10" t="n">
        <v>3</v>
      </c>
      <c r="B102" s="14" t="inlineStr">
        <is>
          <t>Carbon price $20/tCO2 from 2027</t>
        </is>
      </c>
      <c r="C102" s="14" t="inlineStr">
        <is>
          <t>mit.shr.pow.nga</t>
        </is>
      </c>
      <c r="D102" s="14" t="inlineStr">
        <is>
          <t>egy.mit.shr.pow.nga.3</t>
        </is>
      </c>
      <c r="E102" s="14" t="inlineStr">
        <is>
          <t>Generation share | Power | Natural gas</t>
        </is>
      </c>
      <c r="F102" s="14" t="inlineStr">
        <is>
          <t>share</t>
        </is>
      </c>
      <c r="G102" s="14" t="inlineStr">
        <is>
          <t>build (Python emulation of RunAllScenarios)</t>
        </is>
      </c>
      <c r="H102" s="13" t="n">
        <v>0.796805951196797</v>
      </c>
      <c r="I102" s="13" t="n">
        <v>0.826742778436925</v>
      </c>
      <c r="J102" s="13" t="n">
        <v>0.754417181929702</v>
      </c>
      <c r="K102" s="13" t="n">
        <v>0.701388723234217</v>
      </c>
      <c r="L102" s="13" t="n">
        <v>0.611857578891292</v>
      </c>
      <c r="M102" s="13" t="n">
        <v>0.609509357104083</v>
      </c>
      <c r="N102" s="13" t="n">
        <v>0.567182001898033</v>
      </c>
      <c r="O102" s="13" t="n">
        <v>0.5953198751698821</v>
      </c>
      <c r="P102" s="13" t="n">
        <v>0.591833132641101</v>
      </c>
      <c r="Q102" s="13" t="n">
        <v>0.5929853563774909</v>
      </c>
      <c r="R102" s="13" t="n">
        <v>0.580235573939091</v>
      </c>
      <c r="S102" s="13" t="n">
        <v>0.572921799071631</v>
      </c>
      <c r="T102" s="13" t="n">
        <v>0.562723148135379</v>
      </c>
      <c r="U102" s="13" t="n">
        <v>0.5555632213467671</v>
      </c>
      <c r="V102" s="13" t="n">
        <v>0.547708153119476</v>
      </c>
      <c r="W102" s="13" t="n">
        <v>0.541167754673058</v>
      </c>
      <c r="X102" s="13" t="n">
        <v>0.534507912756452</v>
      </c>
      <c r="Y102" s="13" t="n">
        <v>0.528457721169097</v>
      </c>
      <c r="Z102" s="13" t="n">
        <v>0.522297441964476</v>
      </c>
      <c r="AA102" s="13" t="n">
        <v>0.5163137213192061</v>
      </c>
    </row>
    <row r="103">
      <c r="A103" s="10" t="n">
        <v>3</v>
      </c>
      <c r="B103" s="14" t="inlineStr">
        <is>
          <t>Carbon price $20/tCO2 from 2027</t>
        </is>
      </c>
      <c r="C103" s="14" t="inlineStr">
        <is>
          <t>mit.usdtot</t>
        </is>
      </c>
      <c r="D103" s="14" t="inlineStr">
        <is>
          <t>egy.mit.usdtot.3</t>
        </is>
      </c>
      <c r="E103" s="14" t="inlineStr">
        <is>
          <t>New investment, total</t>
        </is>
      </c>
      <c r="F103" s="14" t="inlineStr">
        <is>
          <t>USD m real</t>
        </is>
      </c>
      <c r="G103" s="14" t="inlineStr">
        <is>
          <t>build (Python emulation of RunAllScenarios)</t>
        </is>
      </c>
      <c r="H103" s="47" t="n">
        <v>2875.66598797914</v>
      </c>
      <c r="I103" s="47" t="n">
        <v>23118.2511509123</v>
      </c>
      <c r="J103" s="47" t="n">
        <v>25913.9870364566</v>
      </c>
      <c r="K103" s="47" t="n">
        <v>29068.7208496406</v>
      </c>
      <c r="L103" s="47" t="n">
        <v>5312.70000145618</v>
      </c>
      <c r="M103" s="47" t="n">
        <v>6876.48016661191</v>
      </c>
      <c r="N103" s="47" t="n">
        <v>0</v>
      </c>
      <c r="O103" s="47" t="n">
        <v>5692.64613720474</v>
      </c>
      <c r="P103" s="47" t="n">
        <v>7119.98535857885</v>
      </c>
      <c r="Q103" s="47" t="n">
        <v>10618.6362562899</v>
      </c>
      <c r="R103" s="47" t="n">
        <v>9969.126165033789</v>
      </c>
      <c r="S103" s="47" t="n">
        <v>10873.5089389037</v>
      </c>
      <c r="T103" s="47" t="n">
        <v>10632.5299813693</v>
      </c>
      <c r="U103" s="47" t="n">
        <v>11134.7062181582</v>
      </c>
      <c r="V103" s="47" t="n">
        <v>11249.7823928899</v>
      </c>
      <c r="W103" s="47" t="n">
        <v>11646.8062678432</v>
      </c>
      <c r="X103" s="47" t="n">
        <v>11888.8856209679</v>
      </c>
      <c r="Y103" s="47" t="n">
        <v>12174.4637630861</v>
      </c>
      <c r="Z103" s="47" t="n">
        <v>12400.3420219787</v>
      </c>
      <c r="AA103" s="47" t="n">
        <v>12656.9741135485</v>
      </c>
    </row>
    <row r="104">
      <c r="A104" s="10" t="n">
        <v>3</v>
      </c>
      <c r="B104" s="14" t="inlineStr">
        <is>
          <t>Carbon price $20/tCO2 from 2027</t>
        </is>
      </c>
      <c r="C104" s="14" t="inlineStr">
        <is>
          <t>mit.demtot</t>
        </is>
      </c>
      <c r="D104" s="14" t="inlineStr">
        <is>
          <t>egy.mit.demtot.3</t>
        </is>
      </c>
      <c r="E104" s="14" t="inlineStr">
        <is>
          <t>Electricity demand, total</t>
        </is>
      </c>
      <c r="F104" s="14" t="inlineStr">
        <is>
          <t>ktoe</t>
        </is>
      </c>
      <c r="G104" s="14" t="inlineStr">
        <is>
          <t>build (Python emulation of RunAllScenarios)</t>
        </is>
      </c>
      <c r="H104" s="47" t="n">
        <v>15495.7198104268</v>
      </c>
      <c r="I104" s="47" t="n">
        <v>18964.655164912</v>
      </c>
      <c r="J104" s="47" t="n">
        <v>20032.681159375</v>
      </c>
      <c r="K104" s="47" t="n">
        <v>22586.199187415</v>
      </c>
      <c r="L104" s="47" t="n">
        <v>22640.6454875255</v>
      </c>
      <c r="M104" s="47" t="n">
        <v>23154.3281460081</v>
      </c>
      <c r="N104" s="47" t="n">
        <v>21793.667283475</v>
      </c>
      <c r="O104" s="47" t="n">
        <v>22848.0432108144</v>
      </c>
      <c r="P104" s="47" t="n">
        <v>23429.3697957936</v>
      </c>
      <c r="Q104" s="47" t="n">
        <v>24606.9412430794</v>
      </c>
      <c r="R104" s="47" t="n">
        <v>25633.7803194468</v>
      </c>
      <c r="S104" s="47" t="n">
        <v>26791.6086153583</v>
      </c>
      <c r="T104" s="47" t="n">
        <v>27879.5962951673</v>
      </c>
      <c r="U104" s="47" t="n">
        <v>29028.5915186673</v>
      </c>
      <c r="V104" s="47" t="n">
        <v>30168.7279716272</v>
      </c>
      <c r="W104" s="47" t="n">
        <v>31351.0628372876</v>
      </c>
      <c r="X104" s="47" t="n">
        <v>32547.0725195637</v>
      </c>
      <c r="Y104" s="47" t="n">
        <v>33775.5950349433</v>
      </c>
      <c r="Z104" s="47" t="n">
        <v>35026.1165239245</v>
      </c>
      <c r="AA104" s="47" t="n">
        <v>36306.695212519</v>
      </c>
    </row>
    <row r="105">
      <c r="A105" s="10" t="n">
        <v>3</v>
      </c>
      <c r="B105" s="14" t="inlineStr">
        <is>
          <t>Carbon price $20/tCO2 from 2027</t>
        </is>
      </c>
      <c r="C105" s="14" t="inlineStr">
        <is>
          <t>mit.eldem.tra.ecy.e</t>
        </is>
      </c>
      <c r="D105" s="14" t="inlineStr">
        <is>
          <t>egy.mit.eldem.tra.ecy.e.3</t>
        </is>
      </c>
      <c r="E105" s="14" t="inlineStr">
        <is>
          <t>Electricity demand (memo: power model H; not in the fuel totals; sector policies do not act on it) | Transport | Electricity</t>
        </is>
      </c>
      <c r="F105" s="14" t="inlineStr">
        <is>
          <t>ktoe</t>
        </is>
      </c>
      <c r="G105" s="14" t="inlineStr">
        <is>
          <t>build (Python emulation of RunAllScenarios)</t>
        </is>
      </c>
      <c r="H105" s="47" t="n">
        <v>47.6318696194386</v>
      </c>
      <c r="I105" s="47" t="n">
        <v>56.1578666775528</v>
      </c>
      <c r="J105" s="47" t="n">
        <v>59.1776119843666</v>
      </c>
      <c r="K105" s="47" t="n">
        <v>65.56989481179821</v>
      </c>
      <c r="L105" s="47" t="n">
        <v>66.8863323311606</v>
      </c>
      <c r="M105" s="47" t="n">
        <v>69.4199909764513</v>
      </c>
      <c r="N105" s="47" t="n">
        <v>68.1652668287099</v>
      </c>
      <c r="O105" s="47" t="n">
        <v>72.1222155925188</v>
      </c>
      <c r="P105" s="47" t="n">
        <v>74.9422959428428</v>
      </c>
      <c r="Q105" s="47" t="n">
        <v>79.1671806366619</v>
      </c>
      <c r="R105" s="47" t="n">
        <v>83.11577412787889</v>
      </c>
      <c r="S105" s="47" t="n">
        <v>87.43131359104009</v>
      </c>
      <c r="T105" s="47" t="n">
        <v>91.65279921541079</v>
      </c>
      <c r="U105" s="47" t="n">
        <v>96.0819509933965</v>
      </c>
      <c r="V105" s="47" t="n">
        <v>100.55669649399</v>
      </c>
      <c r="W105" s="47" t="n">
        <v>105.196305029947</v>
      </c>
      <c r="X105" s="47" t="n">
        <v>109.933989487557</v>
      </c>
      <c r="Y105" s="47" t="n">
        <v>114.81426536534</v>
      </c>
      <c r="Z105" s="47" t="n">
        <v>119.812220673846</v>
      </c>
      <c r="AA105" s="47" t="n">
        <v>124.947028789607</v>
      </c>
    </row>
    <row r="106">
      <c r="A106" s="10" t="n">
        <v>3</v>
      </c>
      <c r="B106" s="14" t="inlineStr">
        <is>
          <t>Carbon price $20/tCO2 from 2027</t>
        </is>
      </c>
      <c r="C106" s="14" t="inlineStr">
        <is>
          <t>mit.eldem.bld.ecy.e</t>
        </is>
      </c>
      <c r="D106" s="14" t="inlineStr">
        <is>
          <t>egy.mit.eldem.bld.ecy.e.3</t>
        </is>
      </c>
      <c r="E106" s="14" t="inlineStr">
        <is>
          <t>Electricity demand (memo: power model H; not in the fuel totals; sector policies do not act on it) | Buildings | Electricity</t>
        </is>
      </c>
      <c r="F106" s="14" t="inlineStr">
        <is>
          <t>ktoe</t>
        </is>
      </c>
      <c r="G106" s="14" t="inlineStr">
        <is>
          <t>build (Python emulation of RunAllScenarios)</t>
        </is>
      </c>
      <c r="H106" s="47" t="n">
        <v>11660.9678190786</v>
      </c>
      <c r="I106" s="47" t="n">
        <v>14469.3803845704</v>
      </c>
      <c r="J106" s="47" t="n">
        <v>15418.0538874128</v>
      </c>
      <c r="K106" s="47" t="n">
        <v>17431.2228698156</v>
      </c>
      <c r="L106" s="47" t="n">
        <v>17462.5995123805</v>
      </c>
      <c r="M106" s="47" t="n">
        <v>17865.2018565796</v>
      </c>
      <c r="N106" s="47" t="n">
        <v>16745.7082181641</v>
      </c>
      <c r="O106" s="47" t="n">
        <v>17584.3588472057</v>
      </c>
      <c r="P106" s="47" t="n">
        <v>18041.9347631777</v>
      </c>
      <c r="Q106" s="47" t="n">
        <v>18983.4556457894</v>
      </c>
      <c r="R106" s="47" t="n">
        <v>19803.8066664394</v>
      </c>
      <c r="S106" s="47" t="n">
        <v>20731.7457457617</v>
      </c>
      <c r="T106" s="47" t="n">
        <v>21603.914201196</v>
      </c>
      <c r="U106" s="47" t="n">
        <v>22526.8897428491</v>
      </c>
      <c r="V106" s="47" t="n">
        <v>23443.687071282</v>
      </c>
      <c r="W106" s="47" t="n">
        <v>24396.0604054958</v>
      </c>
      <c r="X106" s="47" t="n">
        <v>25360.710227782</v>
      </c>
      <c r="Y106" s="47" t="n">
        <v>26353.1178311573</v>
      </c>
      <c r="Z106" s="47" t="n">
        <v>27364.700904434</v>
      </c>
      <c r="AA106" s="47" t="n">
        <v>28402.1301829294</v>
      </c>
    </row>
    <row r="107">
      <c r="A107" s="10" t="n">
        <v>3</v>
      </c>
      <c r="B107" s="14" t="inlineStr">
        <is>
          <t>Carbon price $20/tCO2 from 2027</t>
        </is>
      </c>
      <c r="C107" s="14" t="inlineStr">
        <is>
          <t>mit.eldem.ind.ecy.e</t>
        </is>
      </c>
      <c r="D107" s="14" t="inlineStr">
        <is>
          <t>egy.mit.eldem.ind.ecy.e.3</t>
        </is>
      </c>
      <c r="E107" s="14" t="inlineStr">
        <is>
          <t>Electricity demand (memo: power model H; not in the fuel totals; sector policies do not act on it) | Industry | Electricity</t>
        </is>
      </c>
      <c r="F107" s="14" t="inlineStr">
        <is>
          <t>ktoe</t>
        </is>
      </c>
      <c r="G107" s="14" t="inlineStr">
        <is>
          <t>build (Python emulation of RunAllScenarios)</t>
        </is>
      </c>
      <c r="H107" s="47" t="n">
        <v>3787.12012172875</v>
      </c>
      <c r="I107" s="47" t="n">
        <v>4439.11691366402</v>
      </c>
      <c r="J107" s="47" t="n">
        <v>4555.44965997782</v>
      </c>
      <c r="K107" s="47" t="n">
        <v>5089.40642278754</v>
      </c>
      <c r="L107" s="47" t="n">
        <v>5111.15964281384</v>
      </c>
      <c r="M107" s="47" t="n">
        <v>5219.70629845205</v>
      </c>
      <c r="N107" s="47" t="n">
        <v>4979.79379848219</v>
      </c>
      <c r="O107" s="47" t="n">
        <v>5191.5621480162</v>
      </c>
      <c r="P107" s="47" t="n">
        <v>5312.49273667306</v>
      </c>
      <c r="Q107" s="47" t="n">
        <v>5544.31841665333</v>
      </c>
      <c r="R107" s="47" t="n">
        <v>5746.85787887953</v>
      </c>
      <c r="S107" s="47" t="n">
        <v>5972.43155600557</v>
      </c>
      <c r="T107" s="47" t="n">
        <v>6184.02929475597</v>
      </c>
      <c r="U107" s="47" t="n">
        <v>6405.6198248248</v>
      </c>
      <c r="V107" s="47" t="n">
        <v>6624.48420385116</v>
      </c>
      <c r="W107" s="47" t="n">
        <v>6849.80612676178</v>
      </c>
      <c r="X107" s="47" t="n">
        <v>7076.42830229422</v>
      </c>
      <c r="Y107" s="47" t="n">
        <v>7307.66293842061</v>
      </c>
      <c r="Z107" s="47" t="n">
        <v>7541.6033988166</v>
      </c>
      <c r="AA107" s="47" t="n">
        <v>7779.61800079994</v>
      </c>
    </row>
    <row r="108">
      <c r="A108" s="10" t="n">
        <v>3</v>
      </c>
      <c r="B108" s="14" t="inlineStr">
        <is>
          <t>Carbon price $20/tCO2 from 2027</t>
        </is>
      </c>
      <c r="C108" s="14" t="inlineStr">
        <is>
          <t>mit.eldem.oen.ecy.e</t>
        </is>
      </c>
      <c r="D108" s="14" t="inlineStr">
        <is>
          <t>egy.mit.eldem.oen.ecy.e.3</t>
        </is>
      </c>
      <c r="E108" s="14" t="inlineStr">
        <is>
          <t>Electricity demand (memo: power model H; not in the fuel totals; sector policies do not act on it) | Other energy use | Electricity</t>
        </is>
      </c>
      <c r="F108" s="14" t="inlineStr">
        <is>
          <t>ktoe</t>
        </is>
      </c>
      <c r="G108" s="14" t="inlineStr">
        <is>
          <t>build (Python emulation of RunAllScenarios)</t>
        </is>
      </c>
      <c r="H108" s="47" t="n">
        <v>0</v>
      </c>
      <c r="I108" s="47" t="n">
        <v>0</v>
      </c>
      <c r="J108" s="47" t="n">
        <v>0</v>
      </c>
      <c r="K108" s="47" t="n">
        <v>0</v>
      </c>
      <c r="L108" s="47" t="n">
        <v>0</v>
      </c>
      <c r="M108" s="47" t="n">
        <v>0</v>
      </c>
      <c r="N108" s="47" t="n">
        <v>0</v>
      </c>
      <c r="O108" s="47" t="n">
        <v>0</v>
      </c>
      <c r="P108" s="47" t="n">
        <v>0</v>
      </c>
      <c r="Q108" s="47" t="n">
        <v>0</v>
      </c>
      <c r="R108" s="47" t="n">
        <v>0</v>
      </c>
      <c r="S108" s="47" t="n">
        <v>0</v>
      </c>
      <c r="T108" s="47" t="n">
        <v>0</v>
      </c>
      <c r="U108" s="47" t="n">
        <v>0</v>
      </c>
      <c r="V108" s="47" t="n">
        <v>0</v>
      </c>
      <c r="W108" s="47" t="n">
        <v>0</v>
      </c>
      <c r="X108" s="47" t="n">
        <v>0</v>
      </c>
      <c r="Y108" s="47" t="n">
        <v>0</v>
      </c>
      <c r="Z108" s="47" t="n">
        <v>0</v>
      </c>
      <c r="AA108" s="47" t="n">
        <v>0</v>
      </c>
    </row>
    <row r="109">
      <c r="A109" s="10" t="n">
        <v>3</v>
      </c>
      <c r="B109" s="14" t="inlineStr">
        <is>
          <t>Carbon price $20/tCO2 from 2027</t>
        </is>
      </c>
      <c r="C109" s="14" t="inlineStr">
        <is>
          <t>mit.req</t>
        </is>
      </c>
      <c r="D109" s="14" t="inlineStr">
        <is>
          <t>egy.mit.req.3</t>
        </is>
      </c>
      <c r="E109" s="14" t="inlineStr">
        <is>
          <t>Required generation (incl. net exports, transmission and statistical differences, own use)</t>
        </is>
      </c>
      <c r="F109" s="14" t="inlineStr">
        <is>
          <t>MWy</t>
        </is>
      </c>
      <c r="G109" s="14" t="inlineStr">
        <is>
          <t>build (Python emulation of RunAllScenarios)</t>
        </is>
      </c>
      <c r="H109" s="47" t="n">
        <v>25122.5095205354</v>
      </c>
      <c r="I109" s="47" t="n">
        <v>30746.5374802134</v>
      </c>
      <c r="J109" s="47" t="n">
        <v>32478.0797087984</v>
      </c>
      <c r="K109" s="47" t="n">
        <v>36617.9829695121</v>
      </c>
      <c r="L109" s="47" t="n">
        <v>36706.2542927948</v>
      </c>
      <c r="M109" s="47" t="n">
        <v>37539.0647485944</v>
      </c>
      <c r="N109" s="47" t="n">
        <v>35333.0868468639</v>
      </c>
      <c r="O109" s="47" t="n">
        <v>37042.4988391345</v>
      </c>
      <c r="P109" s="47" t="n">
        <v>37984.9773328314</v>
      </c>
      <c r="Q109" s="47" t="n">
        <v>39894.1206483708</v>
      </c>
      <c r="R109" s="47" t="n">
        <v>41558.8883898951</v>
      </c>
      <c r="S109" s="47" t="n">
        <v>43436.0230272683</v>
      </c>
      <c r="T109" s="47" t="n">
        <v>45199.9282332618</v>
      </c>
      <c r="U109" s="47" t="n">
        <v>47062.7422099319</v>
      </c>
      <c r="V109" s="47" t="n">
        <v>48911.1938626857</v>
      </c>
      <c r="W109" s="47" t="n">
        <v>50828.0598929445</v>
      </c>
      <c r="X109" s="47" t="n">
        <v>52767.0962847498</v>
      </c>
      <c r="Y109" s="47" t="n">
        <v>54758.8442620233</v>
      </c>
      <c r="Z109" s="47" t="n">
        <v>56786.2581799895</v>
      </c>
      <c r="AA109" s="47" t="n">
        <v>58862.4024759365</v>
      </c>
    </row>
    <row r="110">
      <c r="A110" s="10" t="n">
        <v>3</v>
      </c>
      <c r="B110" s="14" t="inlineStr">
        <is>
          <t>Carbon price $20/tCO2 from 2027</t>
        </is>
      </c>
      <c r="C110" s="14" t="inlineStr">
        <is>
          <t>mit.captot</t>
        </is>
      </c>
      <c r="D110" s="14" t="inlineStr">
        <is>
          <t>egy.mit.captot.3</t>
        </is>
      </c>
      <c r="E110" s="14" t="inlineStr">
        <is>
          <t>Nameplate capacity, total</t>
        </is>
      </c>
      <c r="F110" s="14" t="inlineStr">
        <is>
          <t>MW</t>
        </is>
      </c>
      <c r="G110" s="14" t="inlineStr">
        <is>
          <t>build (Python emulation of RunAllScenarios)</t>
        </is>
      </c>
      <c r="H110" s="47" t="n">
        <v>60726.1845893258</v>
      </c>
      <c r="I110" s="47" t="n">
        <v>60883.7811778068</v>
      </c>
      <c r="J110" s="47" t="n">
        <v>72377.6881930589</v>
      </c>
      <c r="K110" s="47" t="n">
        <v>85306.7809577595</v>
      </c>
      <c r="L110" s="47" t="n">
        <v>99875.850036866</v>
      </c>
      <c r="M110" s="47" t="n">
        <v>100999.372962518</v>
      </c>
      <c r="N110" s="47" t="n">
        <v>103347.561530083</v>
      </c>
      <c r="O110" s="47" t="n">
        <v>100411.043567793</v>
      </c>
      <c r="P110" s="47" t="n">
        <v>102105.658670937</v>
      </c>
      <c r="Q110" s="47" t="n">
        <v>105044.561710316</v>
      </c>
      <c r="R110" s="47" t="n">
        <v>110810.893281622</v>
      </c>
      <c r="S110" s="47" t="n">
        <v>115896.708187025</v>
      </c>
      <c r="T110" s="47" t="n">
        <v>121618.948406692</v>
      </c>
      <c r="U110" s="47" t="n">
        <v>127010.106092492</v>
      </c>
      <c r="V110" s="47" t="n">
        <v>132717.654571333</v>
      </c>
      <c r="W110" s="47" t="n">
        <v>138400.373291336</v>
      </c>
      <c r="X110" s="47" t="n">
        <v>144319.518438364</v>
      </c>
      <c r="Y110" s="47" t="n">
        <v>150334.774490723</v>
      </c>
      <c r="Z110" s="47" t="n">
        <v>156600.494698573</v>
      </c>
      <c r="AA110" s="47" t="n">
        <v>163065.93784077</v>
      </c>
    </row>
    <row r="111">
      <c r="A111" s="10" t="n">
        <v>3</v>
      </c>
      <c r="B111" s="14" t="inlineStr">
        <is>
          <t>Carbon price $20/tCO2 from 2027</t>
        </is>
      </c>
      <c r="C111" s="14" t="inlineStr">
        <is>
          <t>mit.cap.pow.wnd</t>
        </is>
      </c>
      <c r="D111" s="14" t="inlineStr">
        <is>
          <t>egy.mit.cap.pow.wnd.3</t>
        </is>
      </c>
      <c r="E111" s="14" t="inlineStr">
        <is>
          <t>Nameplate capacity | Power | Wind</t>
        </is>
      </c>
      <c r="F111" s="14" t="inlineStr">
        <is>
          <t>MW</t>
        </is>
      </c>
      <c r="G111" s="14" t="inlineStr">
        <is>
          <t>build (Python emulation of RunAllScenarios)</t>
        </is>
      </c>
      <c r="H111" s="47" t="n">
        <v>2387.25143730845</v>
      </c>
      <c r="I111" s="47" t="n">
        <v>3007.465805655</v>
      </c>
      <c r="J111" s="47" t="n">
        <v>4582.05091350219</v>
      </c>
      <c r="K111" s="47" t="n">
        <v>6320.50157316232</v>
      </c>
      <c r="L111" s="47" t="n">
        <v>8247.4805002064</v>
      </c>
      <c r="M111" s="47" t="n">
        <v>9282.840185759989</v>
      </c>
      <c r="N111" s="47" t="n">
        <v>10676.7513320045</v>
      </c>
      <c r="O111" s="47" t="n">
        <v>10320.8596209377</v>
      </c>
      <c r="P111" s="47" t="n">
        <v>11390.4650362735</v>
      </c>
      <c r="Q111" s="47" t="n">
        <v>12778.8550187235</v>
      </c>
      <c r="R111" s="47" t="n">
        <v>14885.2250069548</v>
      </c>
      <c r="S111" s="47" t="n">
        <v>16847.0259942559</v>
      </c>
      <c r="T111" s="47" t="n">
        <v>18960.3858986466</v>
      </c>
      <c r="U111" s="47" t="n">
        <v>20937.925275677</v>
      </c>
      <c r="V111" s="47" t="n">
        <v>22973.8880218126</v>
      </c>
      <c r="W111" s="47" t="n">
        <v>24969.5610813344</v>
      </c>
      <c r="X111" s="47" t="n">
        <v>27002.4027099556</v>
      </c>
      <c r="Y111" s="47" t="n">
        <v>29035.4527109435</v>
      </c>
      <c r="Z111" s="47" t="n">
        <v>31088.3351838618</v>
      </c>
      <c r="AA111" s="47" t="n">
        <v>33144.4363020791</v>
      </c>
    </row>
    <row r="112">
      <c r="A112" s="10" t="n">
        <v>3</v>
      </c>
      <c r="B112" s="14" t="inlineStr">
        <is>
          <t>Carbon price $20/tCO2 from 2027</t>
        </is>
      </c>
      <c r="C112" s="14" t="inlineStr">
        <is>
          <t>mit.cap.pow.sol</t>
        </is>
      </c>
      <c r="D112" s="14" t="inlineStr">
        <is>
          <t>egy.mit.cap.pow.sol.3</t>
        </is>
      </c>
      <c r="E112" s="14" t="inlineStr">
        <is>
          <t>Nameplate capacity | Power | Solar</t>
        </is>
      </c>
      <c r="F112" s="14" t="inlineStr">
        <is>
          <t>MW</t>
        </is>
      </c>
      <c r="G112" s="14" t="inlineStr">
        <is>
          <t>build (Python emulation of RunAllScenarios)</t>
        </is>
      </c>
      <c r="H112" s="47" t="n">
        <v>3326.62425070716</v>
      </c>
      <c r="I112" s="47" t="n">
        <v>3565.06543120387</v>
      </c>
      <c r="J112" s="47" t="n">
        <v>6213.85276068188</v>
      </c>
      <c r="K112" s="47" t="n">
        <v>9117.27480043827</v>
      </c>
      <c r="L112" s="47" t="n">
        <v>12315.354329781</v>
      </c>
      <c r="M112" s="47" t="n">
        <v>12845.4838788165</v>
      </c>
      <c r="N112" s="47" t="n">
        <v>13815.7139841293</v>
      </c>
      <c r="O112" s="47" t="n">
        <v>13263.0854247642</v>
      </c>
      <c r="P112" s="47" t="n">
        <v>14228.705582987</v>
      </c>
      <c r="Q112" s="47" t="n">
        <v>15721.0699180274</v>
      </c>
      <c r="R112" s="47" t="n">
        <v>18251.4000945291</v>
      </c>
      <c r="S112" s="47" t="n">
        <v>20514.6962548225</v>
      </c>
      <c r="T112" s="47" t="n">
        <v>23015.3822192649</v>
      </c>
      <c r="U112" s="47" t="n">
        <v>25406.1226229151</v>
      </c>
      <c r="V112" s="47" t="n">
        <v>27935.3051986396</v>
      </c>
      <c r="W112" s="47" t="n">
        <v>30474.5550778048</v>
      </c>
      <c r="X112" s="47" t="n">
        <v>33132.9736872412</v>
      </c>
      <c r="Y112" s="47" t="n">
        <v>35854.6756034865</v>
      </c>
      <c r="Z112" s="47" t="n">
        <v>38773.7072147322</v>
      </c>
      <c r="AA112" s="47" t="n">
        <v>41873.2189844376</v>
      </c>
    </row>
    <row r="113">
      <c r="A113" s="10" t="n">
        <v>3</v>
      </c>
      <c r="B113" s="14" t="inlineStr">
        <is>
          <t>Carbon price $20/tCO2 from 2027</t>
        </is>
      </c>
      <c r="C113" s="14" t="inlineStr">
        <is>
          <t>mit.nimtot</t>
        </is>
      </c>
      <c r="D113" s="14" t="inlineStr">
        <is>
          <t>egy.mit.nimtot.3</t>
        </is>
      </c>
      <c r="E113" s="14" t="inlineStr">
        <is>
          <t>New nameplate investment, total</t>
        </is>
      </c>
      <c r="F113" s="14" t="inlineStr">
        <is>
          <t>MW</t>
        </is>
      </c>
      <c r="G113" s="14" t="inlineStr">
        <is>
          <t>build (Python emulation of RunAllScenarios)</t>
        </is>
      </c>
      <c r="H113" s="47" t="n">
        <v>1999.58018097233</v>
      </c>
      <c r="I113" s="47" t="n">
        <v>13340.8834415295</v>
      </c>
      <c r="J113" s="47" t="n">
        <v>15064.2322400707</v>
      </c>
      <c r="K113" s="47" t="n">
        <v>17027.5408171224</v>
      </c>
      <c r="L113" s="47" t="n">
        <v>3945.57901994974</v>
      </c>
      <c r="M113" s="47" t="n">
        <v>5206.88632003107</v>
      </c>
      <c r="N113" s="47" t="n">
        <v>0</v>
      </c>
      <c r="O113" s="47" t="n">
        <v>4532.98328722453</v>
      </c>
      <c r="P113" s="47" t="n">
        <v>5835.13285371652</v>
      </c>
      <c r="Q113" s="47" t="n">
        <v>8763.34856262943</v>
      </c>
      <c r="R113" s="47" t="n">
        <v>8279.52116537397</v>
      </c>
      <c r="S113" s="47" t="n">
        <v>9089.028205177279</v>
      </c>
      <c r="T113" s="47" t="n">
        <v>8952.38226435053</v>
      </c>
      <c r="U113" s="47" t="n">
        <v>9451.68570318717</v>
      </c>
      <c r="V113" s="47" t="n">
        <v>9620.440217233891</v>
      </c>
      <c r="W113" s="47" t="n">
        <v>10049.4683509878</v>
      </c>
      <c r="X113" s="47" t="n">
        <v>10346.2507572343</v>
      </c>
      <c r="Y113" s="47" t="n">
        <v>10800.6433060464</v>
      </c>
      <c r="Z113" s="47" t="n">
        <v>11213.5851040329</v>
      </c>
      <c r="AA113" s="47" t="n">
        <v>11682.0673079552</v>
      </c>
    </row>
    <row r="114">
      <c r="A114" s="10" t="n">
        <v>3</v>
      </c>
      <c r="B114" s="14" t="inlineStr">
        <is>
          <t>Carbon price $20/tCO2 from 2027</t>
        </is>
      </c>
      <c r="C114" s="14" t="inlineStr">
        <is>
          <t>mit.shr.pow.coa</t>
        </is>
      </c>
      <c r="D114" s="14" t="inlineStr">
        <is>
          <t>egy.mit.shr.pow.coa.3</t>
        </is>
      </c>
      <c r="E114" s="14" t="inlineStr">
        <is>
          <t>Generation share | Power | Coal</t>
        </is>
      </c>
      <c r="F114" s="14" t="inlineStr">
        <is>
          <t>share</t>
        </is>
      </c>
      <c r="G114" s="14" t="inlineStr">
        <is>
          <t>build (Python emulation of RunAllScenarios)</t>
        </is>
      </c>
      <c r="H114" s="13" t="n">
        <v>0</v>
      </c>
      <c r="I114" s="13" t="n">
        <v>0</v>
      </c>
      <c r="J114" s="13" t="n">
        <v>0</v>
      </c>
      <c r="K114" s="13" t="n">
        <v>0</v>
      </c>
      <c r="L114" s="13" t="n">
        <v>0</v>
      </c>
      <c r="M114" s="13" t="n">
        <v>0</v>
      </c>
      <c r="N114" s="13" t="n">
        <v>0</v>
      </c>
      <c r="O114" s="13" t="n">
        <v>0</v>
      </c>
      <c r="P114" s="13" t="n">
        <v>0</v>
      </c>
      <c r="Q114" s="13" t="n">
        <v>0</v>
      </c>
      <c r="R114" s="13" t="n">
        <v>0</v>
      </c>
      <c r="S114" s="13" t="n">
        <v>0</v>
      </c>
      <c r="T114" s="13" t="n">
        <v>0</v>
      </c>
      <c r="U114" s="13" t="n">
        <v>0</v>
      </c>
      <c r="V114" s="13" t="n">
        <v>0</v>
      </c>
      <c r="W114" s="13" t="n">
        <v>0</v>
      </c>
      <c r="X114" s="13" t="n">
        <v>0</v>
      </c>
      <c r="Y114" s="13" t="n">
        <v>0</v>
      </c>
      <c r="Z114" s="13" t="n">
        <v>0</v>
      </c>
      <c r="AA114" s="13" t="n">
        <v>0</v>
      </c>
    </row>
    <row r="115">
      <c r="A115" s="10" t="n">
        <v>3</v>
      </c>
      <c r="B115" s="14" t="inlineStr">
        <is>
          <t>Carbon price $20/tCO2 from 2027</t>
        </is>
      </c>
      <c r="C115" s="14" t="inlineStr">
        <is>
          <t>mit.shr.pow.oop</t>
        </is>
      </c>
      <c r="D115" s="14" t="inlineStr">
        <is>
          <t>egy.mit.shr.pow.oop.3</t>
        </is>
      </c>
      <c r="E115" s="14" t="inlineStr">
        <is>
          <t>Generation share | Power | Other oil products</t>
        </is>
      </c>
      <c r="F115" s="14" t="inlineStr">
        <is>
          <t>share</t>
        </is>
      </c>
      <c r="G115" s="14" t="inlineStr">
        <is>
          <t>build (Python emulation of RunAllScenarios)</t>
        </is>
      </c>
      <c r="H115" s="13" t="n">
        <v>0.0840906621921125</v>
      </c>
      <c r="I115" s="13" t="n">
        <v>0.0668595024246431</v>
      </c>
      <c r="J115" s="13" t="n">
        <v>0.0769569560707551</v>
      </c>
      <c r="K115" s="13" t="n">
        <v>0.0818001917250552</v>
      </c>
      <c r="L115" s="13" t="n">
        <v>0.09674305188106561</v>
      </c>
      <c r="M115" s="13" t="n">
        <v>0.09207885222743629</v>
      </c>
      <c r="N115" s="13" t="n">
        <v>0.0952853986339425</v>
      </c>
      <c r="O115" s="13" t="n">
        <v>0.08829142633702609</v>
      </c>
      <c r="P115" s="13" t="n">
        <v>0.0838297304148909</v>
      </c>
      <c r="Q115" s="13" t="n">
        <v>0.0777598669356475</v>
      </c>
      <c r="R115" s="13" t="n">
        <v>0.0728324589796716</v>
      </c>
      <c r="S115" s="13" t="n">
        <v>0.0679819077149942</v>
      </c>
      <c r="T115" s="13" t="n">
        <v>0.063765041820827</v>
      </c>
      <c r="U115" s="13" t="n">
        <v>0.0597762710272455</v>
      </c>
      <c r="V115" s="13" t="n">
        <v>0.0561607229522268</v>
      </c>
      <c r="W115" s="13" t="n">
        <v>0.0527773214534939</v>
      </c>
      <c r="X115" s="13" t="n">
        <v>0.0496625776762387</v>
      </c>
      <c r="Y115" s="13" t="n">
        <v>0.0467607558559982</v>
      </c>
      <c r="Z115" s="13" t="n">
        <v>0.0440698474419006</v>
      </c>
      <c r="AA115" s="13" t="n">
        <v>0.041561514498785</v>
      </c>
    </row>
    <row r="116">
      <c r="A116" s="10" t="n">
        <v>3</v>
      </c>
      <c r="B116" s="14" t="inlineStr">
        <is>
          <t>Carbon price $20/tCO2 from 2027</t>
        </is>
      </c>
      <c r="C116" s="14" t="inlineStr">
        <is>
          <t>mit.shr.pow.wnd</t>
        </is>
      </c>
      <c r="D116" s="14" t="inlineStr">
        <is>
          <t>egy.mit.shr.pow.wnd.3</t>
        </is>
      </c>
      <c r="E116" s="14" t="inlineStr">
        <is>
          <t>Generation share | Power | Wind</t>
        </is>
      </c>
      <c r="F116" s="14" t="inlineStr">
        <is>
          <t>share</t>
        </is>
      </c>
      <c r="G116" s="14" t="inlineStr">
        <is>
          <t>build (Python emulation of RunAllScenarios)</t>
        </is>
      </c>
      <c r="H116" s="13" t="n">
        <v>0.0285073205209505</v>
      </c>
      <c r="I116" s="13" t="n">
        <v>0.0293444340611403</v>
      </c>
      <c r="J116" s="13" t="n">
        <v>0.0423244011461143</v>
      </c>
      <c r="K116" s="13" t="n">
        <v>0.0517819475072512</v>
      </c>
      <c r="L116" s="13" t="n">
        <v>0.0674066095201547</v>
      </c>
      <c r="M116" s="13" t="n">
        <v>0.0741854405371747</v>
      </c>
      <c r="N116" s="13" t="n">
        <v>0.0906522946461906</v>
      </c>
      <c r="O116" s="13" t="n">
        <v>0.0835866365205951</v>
      </c>
      <c r="P116" s="13" t="n">
        <v>0.0899602882723987</v>
      </c>
      <c r="Q116" s="13" t="n">
        <v>0.0960957766034531</v>
      </c>
      <c r="R116" s="13" t="n">
        <v>0.107451562712448</v>
      </c>
      <c r="S116" s="13" t="n">
        <v>0.116357517241021</v>
      </c>
      <c r="T116" s="13" t="n">
        <v>0.125843469047993</v>
      </c>
      <c r="U116" s="13" t="n">
        <v>0.133468159477063</v>
      </c>
      <c r="V116" s="13" t="n">
        <v>0.140911841691965</v>
      </c>
      <c r="W116" s="13" t="n">
        <v>0.147376632910597</v>
      </c>
      <c r="X116" s="13" t="n">
        <v>0.153518411725223</v>
      </c>
      <c r="Y116" s="13" t="n">
        <v>0.159072674572939</v>
      </c>
      <c r="Z116" s="13" t="n">
        <v>0.164238688268512</v>
      </c>
      <c r="AA116" s="13" t="n">
        <v>0.16892499239542</v>
      </c>
    </row>
    <row r="117">
      <c r="A117" s="10" t="n">
        <v>3</v>
      </c>
      <c r="B117" s="14" t="inlineStr">
        <is>
          <t>Carbon price $20/tCO2 from 2027</t>
        </is>
      </c>
      <c r="C117" s="14" t="inlineStr">
        <is>
          <t>mit.shr.pow.sol</t>
        </is>
      </c>
      <c r="D117" s="14" t="inlineStr">
        <is>
          <t>egy.mit.shr.pow.sol.3</t>
        </is>
      </c>
      <c r="E117" s="14" t="inlineStr">
        <is>
          <t>Generation share | Power | Solar</t>
        </is>
      </c>
      <c r="F117" s="14" t="inlineStr">
        <is>
          <t>share</t>
        </is>
      </c>
      <c r="G117" s="14" t="inlineStr">
        <is>
          <t>build (Python emulation of RunAllScenarios)</t>
        </is>
      </c>
      <c r="H117" s="13" t="n">
        <v>0.0238348945449828</v>
      </c>
      <c r="I117" s="13" t="n">
        <v>0.0208710258197257</v>
      </c>
      <c r="J117" s="13" t="n">
        <v>0.0344384122137534</v>
      </c>
      <c r="K117" s="13" t="n">
        <v>0.0448170360842995</v>
      </c>
      <c r="L117" s="13" t="n">
        <v>0.0603919910127064</v>
      </c>
      <c r="M117" s="13" t="n">
        <v>0.0615941583433709</v>
      </c>
      <c r="N117" s="13" t="n">
        <v>0.07038243015452821</v>
      </c>
      <c r="O117" s="13" t="n">
        <v>0.0644490909434912</v>
      </c>
      <c r="P117" s="13" t="n">
        <v>0.0674257873710504</v>
      </c>
      <c r="Q117" s="13" t="n">
        <v>0.0709325719994405</v>
      </c>
      <c r="R117" s="13" t="n">
        <v>0.0790505267175058</v>
      </c>
      <c r="S117" s="13" t="n">
        <v>0.0850134305240119</v>
      </c>
      <c r="T117" s="13" t="n">
        <v>0.09165432250441261</v>
      </c>
      <c r="U117" s="13" t="n">
        <v>0.0971703274689259</v>
      </c>
      <c r="V117" s="13" t="n">
        <v>0.102805810667223</v>
      </c>
      <c r="W117" s="13" t="n">
        <v>0.107921095661696</v>
      </c>
      <c r="X117" s="13" t="n">
        <v>0.113023753126758</v>
      </c>
      <c r="Y117" s="13" t="n">
        <v>0.117859346660891</v>
      </c>
      <c r="Z117" s="13" t="n">
        <v>0.12290415889933</v>
      </c>
      <c r="AA117" s="13" t="n">
        <v>0.128047430960366</v>
      </c>
    </row>
    <row r="118">
      <c r="A118" s="10" t="n">
        <v>3</v>
      </c>
      <c r="B118" s="14" t="inlineStr">
        <is>
          <t>Carbon price $20/tCO2 from 2027</t>
        </is>
      </c>
      <c r="C118" s="14" t="inlineStr">
        <is>
          <t>mit.shr.pow.hyd</t>
        </is>
      </c>
      <c r="D118" s="14" t="inlineStr">
        <is>
          <t>egy.mit.shr.pow.hyd.3</t>
        </is>
      </c>
      <c r="E118" s="14" t="inlineStr">
        <is>
          <t>Generation share | Power | Hydro</t>
        </is>
      </c>
      <c r="F118" s="14" t="inlineStr">
        <is>
          <t>share</t>
        </is>
      </c>
      <c r="G118" s="14" t="inlineStr">
        <is>
          <t>build (Python emulation of RunAllScenarios)</t>
        </is>
      </c>
      <c r="H118" s="13" t="n">
        <v>0.066761171545157</v>
      </c>
      <c r="I118" s="13" t="n">
        <v>0.0561822592575664</v>
      </c>
      <c r="J118" s="13" t="n">
        <v>0.0918630486396754</v>
      </c>
      <c r="K118" s="13" t="n">
        <v>0.120212101449178</v>
      </c>
      <c r="L118" s="13" t="n">
        <v>0.163600768694782</v>
      </c>
      <c r="M118" s="13" t="n">
        <v>0.162632191787936</v>
      </c>
      <c r="N118" s="13" t="n">
        <v>0.176497874667305</v>
      </c>
      <c r="O118" s="13" t="n">
        <v>0.168352971029006</v>
      </c>
      <c r="P118" s="13" t="n">
        <v>0.166951061300559</v>
      </c>
      <c r="Q118" s="13" t="n">
        <v>0.162226428083968</v>
      </c>
      <c r="R118" s="13" t="n">
        <v>0.160429877651284</v>
      </c>
      <c r="S118" s="13" t="n">
        <v>0.157725345448342</v>
      </c>
      <c r="T118" s="13" t="n">
        <v>0.156014018491389</v>
      </c>
      <c r="U118" s="13" t="n">
        <v>0.154022020679999</v>
      </c>
      <c r="V118" s="13" t="n">
        <v>0.152413471569109</v>
      </c>
      <c r="W118" s="13" t="n">
        <v>0.150757195301156</v>
      </c>
      <c r="X118" s="13" t="n">
        <v>0.149287344715329</v>
      </c>
      <c r="Y118" s="13" t="n">
        <v>0.147849501741075</v>
      </c>
      <c r="Z118" s="13" t="n">
        <v>0.146489863425782</v>
      </c>
      <c r="AA118" s="13" t="n">
        <v>0.145152340826223</v>
      </c>
    </row>
    <row r="119">
      <c r="A119" s="10" t="n">
        <v>3</v>
      </c>
      <c r="B119" s="14" t="inlineStr">
        <is>
          <t>Carbon price $20/tCO2 from 2027</t>
        </is>
      </c>
      <c r="C119" s="14" t="inlineStr">
        <is>
          <t>mit.ccpav</t>
        </is>
      </c>
      <c r="D119" s="14" t="inlineStr">
        <is>
          <t>egy.mit.ccpav.3</t>
        </is>
      </c>
      <c r="E119" s="14" t="inlineStr">
        <is>
          <t>Average new policy cost per kWh consumed</t>
        </is>
      </c>
      <c r="F119" s="14" t="inlineStr">
        <is>
          <t>$/kWh</t>
        </is>
      </c>
      <c r="G119" s="14" t="inlineStr">
        <is>
          <t>build (Python emulation of RunAllScenarios)</t>
        </is>
      </c>
      <c r="H119" s="16" t="n">
        <v>0</v>
      </c>
      <c r="I119" s="16" t="n">
        <v>0</v>
      </c>
      <c r="J119" s="16" t="n">
        <v>0</v>
      </c>
      <c r="K119" s="16" t="n">
        <v>0</v>
      </c>
      <c r="L119" s="16" t="n">
        <v>0</v>
      </c>
      <c r="M119" s="16" t="n">
        <v>0.008227223020836699</v>
      </c>
      <c r="N119" s="16" t="n">
        <v>0.00785729256506373</v>
      </c>
      <c r="O119" s="16" t="n">
        <v>0.00800120795234459</v>
      </c>
      <c r="P119" s="16" t="n">
        <v>0.007871596168312541</v>
      </c>
      <c r="Q119" s="16" t="n">
        <v>0.00775616394540252</v>
      </c>
      <c r="R119" s="16" t="n">
        <v>0.00752110494386286</v>
      </c>
      <c r="S119" s="16" t="n">
        <v>0.00734380651602009</v>
      </c>
      <c r="T119" s="16" t="n">
        <v>0.00715000377483606</v>
      </c>
      <c r="U119" s="16" t="n">
        <v>0.00699237285241601</v>
      </c>
      <c r="V119" s="16" t="n">
        <v>0.00683539130528059</v>
      </c>
      <c r="W119" s="16" t="n">
        <v>0.00669685888942258</v>
      </c>
      <c r="X119" s="16" t="n">
        <v>0.00656272864435168</v>
      </c>
      <c r="Y119" s="16" t="n">
        <v>0.00643936212292845</v>
      </c>
      <c r="Z119" s="16" t="n">
        <v>0.00631928304923845</v>
      </c>
      <c r="AA119" s="16" t="n">
        <v>0.00620485770591804</v>
      </c>
    </row>
    <row r="120">
      <c r="A120" s="10" t="n">
        <v>3</v>
      </c>
      <c r="B120" s="14" t="inlineStr">
        <is>
          <t>Carbon price $20/tCO2 from 2027</t>
        </is>
      </c>
      <c r="C120" s="14" t="inlineStr">
        <is>
          <t>mit.rcarb.res.ecy</t>
        </is>
      </c>
      <c r="D120" s="14" t="inlineStr">
        <is>
          <t>egy.mit.rcarb.res.ecy.3</t>
        </is>
      </c>
      <c r="E120" s="14" t="inlineStr">
        <is>
          <t>New-policy cost per user group (carbon tax, ETS at the tax-equivalent price, fuel price reform; memo, revenue: prnew in M) | Residential | Electricity</t>
        </is>
      </c>
      <c r="F120" s="14" t="inlineStr">
        <is>
          <t>USD m real</t>
        </is>
      </c>
      <c r="G120" s="14" t="inlineStr">
        <is>
          <t>build (Python emulation of RunAllScenarios)</t>
        </is>
      </c>
      <c r="H120" s="47" t="n">
        <v>0</v>
      </c>
      <c r="I120" s="47" t="n">
        <v>0</v>
      </c>
      <c r="J120" s="47" t="n">
        <v>0</v>
      </c>
      <c r="K120" s="47" t="n">
        <v>0</v>
      </c>
      <c r="L120" s="47" t="n">
        <v>0</v>
      </c>
      <c r="M120" s="47" t="n">
        <v>914.184356321279</v>
      </c>
      <c r="N120" s="47" t="n">
        <v>824.84104960841</v>
      </c>
      <c r="O120" s="47" t="n">
        <v>876.1305605764391</v>
      </c>
      <c r="P120" s="47" t="n">
        <v>881.1049736971</v>
      </c>
      <c r="Q120" s="47" t="n">
        <v>907.000922270714</v>
      </c>
      <c r="R120" s="47" t="n">
        <v>911.998313230771</v>
      </c>
      <c r="S120" s="47" t="n">
        <v>926.11910863728</v>
      </c>
      <c r="T120" s="47" t="n">
        <v>933.987181415</v>
      </c>
      <c r="U120" s="47" t="n">
        <v>946.583534797577</v>
      </c>
      <c r="V120" s="47" t="n">
        <v>957.296947238201</v>
      </c>
      <c r="W120" s="47" t="n">
        <v>970.184355540229</v>
      </c>
      <c r="X120" s="47" t="n">
        <v>982.554478748855</v>
      </c>
      <c r="Y120" s="47" t="n">
        <v>995.946097586585</v>
      </c>
      <c r="Z120" s="47" t="n">
        <v>1009.00459142613</v>
      </c>
      <c r="AA120" s="47" t="n">
        <v>1022.3489318509</v>
      </c>
    </row>
    <row r="121">
      <c r="A121" s="10" t="n">
        <v>3</v>
      </c>
      <c r="B121" s="14" t="inlineStr">
        <is>
          <t>Carbon price $20/tCO2 from 2027</t>
        </is>
      </c>
      <c r="C121" s="14" t="inlineStr">
        <is>
          <t>mit.rcarb.ind.ecy</t>
        </is>
      </c>
      <c r="D121" s="14" t="inlineStr">
        <is>
          <t>egy.mit.rcarb.ind.ecy.3</t>
        </is>
      </c>
      <c r="E121" s="14" t="inlineStr">
        <is>
          <t>New-policy cost per user group (carbon tax, ETS at the tax-equivalent price, fuel price reform; memo, revenue: prnew in M) | Industry | Electricity</t>
        </is>
      </c>
      <c r="F121" s="14" t="inlineStr">
        <is>
          <t>USD m real</t>
        </is>
      </c>
      <c r="G121" s="14" t="inlineStr">
        <is>
          <t>build (Python emulation of RunAllScenarios)</t>
        </is>
      </c>
      <c r="H121" s="47" t="n">
        <v>0</v>
      </c>
      <c r="I121" s="47" t="n">
        <v>0</v>
      </c>
      <c r="J121" s="47" t="n">
        <v>0</v>
      </c>
      <c r="K121" s="47" t="n">
        <v>0</v>
      </c>
      <c r="L121" s="47" t="n">
        <v>0</v>
      </c>
      <c r="M121" s="47" t="n">
        <v>1301.28204836157</v>
      </c>
      <c r="N121" s="47" t="n">
        <v>1166.67107796722</v>
      </c>
      <c r="O121" s="47" t="n">
        <v>1249.9723601676</v>
      </c>
      <c r="P121" s="47" t="n">
        <v>1263.77565755055</v>
      </c>
      <c r="Q121" s="47" t="n">
        <v>1312.64819936762</v>
      </c>
      <c r="R121" s="47" t="n">
        <v>1330.19999925558</v>
      </c>
      <c r="S121" s="47" t="n">
        <v>1362.11118618033</v>
      </c>
      <c r="T121" s="47" t="n">
        <v>1384.32793266322</v>
      </c>
      <c r="U121" s="47" t="n">
        <v>1414.05915649723</v>
      </c>
      <c r="V121" s="47" t="n">
        <v>1440.98421066403</v>
      </c>
      <c r="W121" s="47" t="n">
        <v>1471.57652249034</v>
      </c>
      <c r="X121" s="47" t="n">
        <v>1501.58566872618</v>
      </c>
      <c r="Y121" s="47" t="n">
        <v>1533.50083426349</v>
      </c>
      <c r="Z121" s="47" t="n">
        <v>1565.1789622981</v>
      </c>
      <c r="AA121" s="47" t="n">
        <v>1597.63278423954</v>
      </c>
    </row>
    <row r="122">
      <c r="A122" s="10" t="n">
        <v>4</v>
      </c>
      <c r="B122" s="14" t="inlineStr">
        <is>
          <t>Package A: carbon tax to $50 by 2030 + feebates (transport, industry)</t>
        </is>
      </c>
      <c r="C122" s="14" t="inlineStr">
        <is>
          <t>mit.ener.all.all.e</t>
        </is>
      </c>
      <c r="D122" s="14" t="inlineStr">
        <is>
          <t>egy.mit.ener.all.all.e.4</t>
        </is>
      </c>
      <c r="E122" s="14" t="inlineStr">
        <is>
          <t>Fuel use | All sectors | All fuels</t>
        </is>
      </c>
      <c r="F122" s="14" t="inlineStr">
        <is>
          <t>ktoe</t>
        </is>
      </c>
      <c r="G122" s="14" t="inlineStr">
        <is>
          <t>build (Python emulation of RunAllScenarios)</t>
        </is>
      </c>
      <c r="H122" s="47" t="n">
        <v>86439.2404600619</v>
      </c>
      <c r="I122" s="47" t="n">
        <v>107248.314936081</v>
      </c>
      <c r="J122" s="47" t="n">
        <v>112682.970571539</v>
      </c>
      <c r="K122" s="47" t="n">
        <v>117445.738098342</v>
      </c>
      <c r="L122" s="47" t="n">
        <v>115215.792089451</v>
      </c>
      <c r="M122" s="47" t="n">
        <v>110770.774054832</v>
      </c>
      <c r="N122" s="47" t="n">
        <v>102821.844826418</v>
      </c>
      <c r="O122" s="47" t="n">
        <v>99782.8405498285</v>
      </c>
      <c r="P122" s="47" t="n">
        <v>95492.9243935492</v>
      </c>
      <c r="Q122" s="47" t="n">
        <v>93253.3197433489</v>
      </c>
      <c r="R122" s="47" t="n">
        <v>90438.4843336052</v>
      </c>
      <c r="S122" s="47" t="n">
        <v>88653.5528851795</v>
      </c>
      <c r="T122" s="47" t="n">
        <v>86641.2478313852</v>
      </c>
      <c r="U122" s="47" t="n">
        <v>85206.415163768</v>
      </c>
      <c r="V122" s="47" t="n">
        <v>83681.5152280257</v>
      </c>
      <c r="W122" s="47" t="n">
        <v>82510.4135031818</v>
      </c>
      <c r="X122" s="47" t="n">
        <v>81301.9861393774</v>
      </c>
      <c r="Y122" s="47" t="n">
        <v>80328.6113313018</v>
      </c>
      <c r="Z122" s="47" t="n">
        <v>79333.6777144368</v>
      </c>
      <c r="AA122" s="47" t="n">
        <v>78506.77836921241</v>
      </c>
    </row>
    <row r="123">
      <c r="A123" s="10" t="n">
        <v>4</v>
      </c>
      <c r="B123" s="14" t="inlineStr">
        <is>
          <t>Package A: carbon tax to $50 by 2030 + feebates (transport, industry)</t>
        </is>
      </c>
      <c r="C123" s="14" t="inlineStr">
        <is>
          <t>mit.ener.tra.all.e</t>
        </is>
      </c>
      <c r="D123" s="14" t="inlineStr">
        <is>
          <t>egy.mit.ener.tra.all.e.4</t>
        </is>
      </c>
      <c r="E123" s="14" t="inlineStr">
        <is>
          <t>Fuel use | Transport | All fuels</t>
        </is>
      </c>
      <c r="F123" s="14" t="inlineStr">
        <is>
          <t>ktoe</t>
        </is>
      </c>
      <c r="G123" s="14" t="inlineStr">
        <is>
          <t>build (Python emulation of RunAllScenarios)</t>
        </is>
      </c>
      <c r="H123" s="47" t="n">
        <v>18617.341993175</v>
      </c>
      <c r="I123" s="47" t="n">
        <v>23541.5980250719</v>
      </c>
      <c r="J123" s="47" t="n">
        <v>26128.5026364968</v>
      </c>
      <c r="K123" s="47" t="n">
        <v>26687.5832788854</v>
      </c>
      <c r="L123" s="47" t="n">
        <v>27233.1950818668</v>
      </c>
      <c r="M123" s="47" t="n">
        <v>26031.41296433</v>
      </c>
      <c r="N123" s="47" t="n">
        <v>24753.4776692963</v>
      </c>
      <c r="O123" s="47" t="n">
        <v>23748.9007576781</v>
      </c>
      <c r="P123" s="47" t="n">
        <v>22912.2429548849</v>
      </c>
      <c r="Q123" s="47" t="n">
        <v>22233.9395322876</v>
      </c>
      <c r="R123" s="47" t="n">
        <v>21675.2056887011</v>
      </c>
      <c r="S123" s="47" t="n">
        <v>21209.4892825936</v>
      </c>
      <c r="T123" s="47" t="n">
        <v>20817.8231036074</v>
      </c>
      <c r="U123" s="47" t="n">
        <v>20486.2014051961</v>
      </c>
      <c r="V123" s="47" t="n">
        <v>20204.0011190876</v>
      </c>
      <c r="W123" s="47" t="n">
        <v>19962.9834800315</v>
      </c>
      <c r="X123" s="47" t="n">
        <v>19756.6370651778</v>
      </c>
      <c r="Y123" s="47" t="n">
        <v>19579.7310863526</v>
      </c>
      <c r="Z123" s="47" t="n">
        <v>19428.003152842</v>
      </c>
      <c r="AA123" s="47" t="n">
        <v>19297.9358194316</v>
      </c>
    </row>
    <row r="124">
      <c r="A124" s="10" t="n">
        <v>4</v>
      </c>
      <c r="B124" s="14" t="inlineStr">
        <is>
          <t>Package A: carbon tax to $50 by 2030 + feebates (transport, industry)</t>
        </is>
      </c>
      <c r="C124" s="14" t="inlineStr">
        <is>
          <t>mit.ener.bld.all.e</t>
        </is>
      </c>
      <c r="D124" s="14" t="inlineStr">
        <is>
          <t>egy.mit.ener.bld.all.e.4</t>
        </is>
      </c>
      <c r="E124" s="14" t="inlineStr">
        <is>
          <t>Fuel use | Buildings | All fuels</t>
        </is>
      </c>
      <c r="F124" s="14" t="inlineStr">
        <is>
          <t>ktoe</t>
        </is>
      </c>
      <c r="G124" s="14" t="inlineStr">
        <is>
          <t>build (Python emulation of RunAllScenarios)</t>
        </is>
      </c>
      <c r="H124" s="47" t="n">
        <v>7729.35502080619</v>
      </c>
      <c r="I124" s="47" t="n">
        <v>9899.418530253681</v>
      </c>
      <c r="J124" s="47" t="n">
        <v>11107.7261932975</v>
      </c>
      <c r="K124" s="47" t="n">
        <v>11246.4000341881</v>
      </c>
      <c r="L124" s="47" t="n">
        <v>11380.7975527416</v>
      </c>
      <c r="M124" s="47" t="n">
        <v>10451.8384430035</v>
      </c>
      <c r="N124" s="47" t="n">
        <v>9556.33205377893</v>
      </c>
      <c r="O124" s="47" t="n">
        <v>8902.083975332</v>
      </c>
      <c r="P124" s="47" t="n">
        <v>8394.78457970936</v>
      </c>
      <c r="Q124" s="47" t="n">
        <v>7994.14472907614</v>
      </c>
      <c r="R124" s="47" t="n">
        <v>7669.18937318773</v>
      </c>
      <c r="S124" s="47" t="n">
        <v>7400.12415548678</v>
      </c>
      <c r="T124" s="47" t="n">
        <v>7173.63393252066</v>
      </c>
      <c r="U124" s="47" t="n">
        <v>6980.39567168549</v>
      </c>
      <c r="V124" s="47" t="n">
        <v>6813.66476661366</v>
      </c>
      <c r="W124" s="47" t="n">
        <v>6668.42796417524</v>
      </c>
      <c r="X124" s="47" t="n">
        <v>6540.87279984396</v>
      </c>
      <c r="Y124" s="47" t="n">
        <v>6428.04273106989</v>
      </c>
      <c r="Z124" s="47" t="n">
        <v>6327.6058064879</v>
      </c>
      <c r="AA124" s="47" t="n">
        <v>6237.69523355945</v>
      </c>
    </row>
    <row r="125">
      <c r="A125" s="10" t="n">
        <v>4</v>
      </c>
      <c r="B125" s="14" t="inlineStr">
        <is>
          <t>Package A: carbon tax to $50 by 2030 + feebates (transport, industry)</t>
        </is>
      </c>
      <c r="C125" s="14" t="inlineStr">
        <is>
          <t>mit.ener.ind.all.e</t>
        </is>
      </c>
      <c r="D125" s="14" t="inlineStr">
        <is>
          <t>egy.mit.ener.ind.all.e.4</t>
        </is>
      </c>
      <c r="E125" s="14" t="inlineStr">
        <is>
          <t>Fuel use | Industry | All fuels</t>
        </is>
      </c>
      <c r="F125" s="14" t="inlineStr">
        <is>
          <t>ktoe</t>
        </is>
      </c>
      <c r="G125" s="14" t="inlineStr">
        <is>
          <t>build (Python emulation of RunAllScenarios)</t>
        </is>
      </c>
      <c r="H125" s="47" t="n">
        <v>23298.5358761906</v>
      </c>
      <c r="I125" s="47" t="n">
        <v>28697.8277413008</v>
      </c>
      <c r="J125" s="47" t="n">
        <v>30736.6696835399</v>
      </c>
      <c r="K125" s="47" t="n">
        <v>31758.5646495629</v>
      </c>
      <c r="L125" s="47" t="n">
        <v>32651.5642048823</v>
      </c>
      <c r="M125" s="47" t="n">
        <v>30235.8620020841</v>
      </c>
      <c r="N125" s="47" t="n">
        <v>27768.4467245569</v>
      </c>
      <c r="O125" s="47" t="n">
        <v>25917.777609113</v>
      </c>
      <c r="P125" s="47" t="n">
        <v>24449.7205480335</v>
      </c>
      <c r="Q125" s="47" t="n">
        <v>23298.2000591549</v>
      </c>
      <c r="R125" s="47" t="n">
        <v>22376.6318655784</v>
      </c>
      <c r="S125" s="47" t="n">
        <v>21630.6419216779</v>
      </c>
      <c r="T125" s="47" t="n">
        <v>21021.0119982184</v>
      </c>
      <c r="U125" s="47" t="n">
        <v>20519.6114907624</v>
      </c>
      <c r="V125" s="47" t="n">
        <v>20105.6813521045</v>
      </c>
      <c r="W125" s="47" t="n">
        <v>19763.5323567785</v>
      </c>
      <c r="X125" s="47" t="n">
        <v>19481.0620827204</v>
      </c>
      <c r="Y125" s="47" t="n">
        <v>19248.7673865109</v>
      </c>
      <c r="Z125" s="47" t="n">
        <v>19059.0681267663</v>
      </c>
      <c r="AA125" s="47" t="n">
        <v>18905.832696857</v>
      </c>
    </row>
    <row r="126">
      <c r="A126" s="10" t="n">
        <v>4</v>
      </c>
      <c r="B126" s="14" t="inlineStr">
        <is>
          <t>Package A: carbon tax to $50 by 2030 + feebates (transport, industry)</t>
        </is>
      </c>
      <c r="C126" s="14" t="inlineStr">
        <is>
          <t>mit.ener.oen.all.e</t>
        </is>
      </c>
      <c r="D126" s="14" t="inlineStr">
        <is>
          <t>egy.mit.ener.oen.all.e.4</t>
        </is>
      </c>
      <c r="E126" s="14" t="inlineStr">
        <is>
          <t>Fuel use | Other energy use | All fuels</t>
        </is>
      </c>
      <c r="F126" s="14" t="inlineStr">
        <is>
          <t>ktoe</t>
        </is>
      </c>
      <c r="G126" s="14" t="inlineStr">
        <is>
          <t>build (Python emulation of RunAllScenarios)</t>
        </is>
      </c>
      <c r="H126" s="47" t="n">
        <v>100.678839675172</v>
      </c>
      <c r="I126" s="47" t="n">
        <v>119.663547924256</v>
      </c>
      <c r="J126" s="47" t="n">
        <v>131.840162278901</v>
      </c>
      <c r="K126" s="47" t="n">
        <v>136.04517836169</v>
      </c>
      <c r="L126" s="47" t="n">
        <v>140.220031248098</v>
      </c>
      <c r="M126" s="47" t="n">
        <v>141.854116558012</v>
      </c>
      <c r="N126" s="47" t="n">
        <v>143.616981704228</v>
      </c>
      <c r="O126" s="47" t="n">
        <v>145.47977649941</v>
      </c>
      <c r="P126" s="47" t="n">
        <v>147.279494301288</v>
      </c>
      <c r="Q126" s="47" t="n">
        <v>149.329859097434</v>
      </c>
      <c r="R126" s="47" t="n">
        <v>151.594185344457</v>
      </c>
      <c r="S126" s="47" t="n">
        <v>154.044449433306</v>
      </c>
      <c r="T126" s="47" t="n">
        <v>156.658721679966</v>
      </c>
      <c r="U126" s="47" t="n">
        <v>159.41946327377</v>
      </c>
      <c r="V126" s="47" t="n">
        <v>162.312362988952</v>
      </c>
      <c r="W126" s="47" t="n">
        <v>165.325522070597</v>
      </c>
      <c r="X126" s="47" t="n">
        <v>168.448870252384</v>
      </c>
      <c r="Y126" s="47" t="n">
        <v>171.673739117631</v>
      </c>
      <c r="Z126" s="47" t="n">
        <v>174.99254498256</v>
      </c>
      <c r="AA126" s="47" t="n">
        <v>178.39854954411</v>
      </c>
    </row>
    <row r="127">
      <c r="A127" s="10" t="n">
        <v>4</v>
      </c>
      <c r="B127" s="14" t="inlineStr">
        <is>
          <t>Package A: carbon tax to $50 by 2030 + feebates (transport, industry)</t>
        </is>
      </c>
      <c r="C127" s="14" t="inlineStr">
        <is>
          <t>mit.ener.pct.all.all.e</t>
        </is>
      </c>
      <c r="D127" s="14" t="inlineStr">
        <is>
          <t>egy.mit.ener.pct.all.all.e.4</t>
        </is>
      </c>
      <c r="E127" s="14" t="inlineStr">
        <is>
          <t>Change in fuel use vs scenario 1 | All sectors | All fuels</t>
        </is>
      </c>
      <c r="F127" s="14" t="inlineStr">
        <is>
          <t>%</t>
        </is>
      </c>
      <c r="G127" s="14" t="inlineStr">
        <is>
          <t>build (Python emulation of RunAllScenarios)</t>
        </is>
      </c>
      <c r="H127" s="13" t="n">
        <v>0</v>
      </c>
      <c r="I127" s="13" t="n">
        <v>-0.00180304833140732</v>
      </c>
      <c r="J127" s="13" t="n">
        <v>-0.00166999048819838</v>
      </c>
      <c r="K127" s="13" t="n">
        <v>-0.0015604496753443</v>
      </c>
      <c r="L127" s="13" t="n">
        <v>-0.00154204703808891</v>
      </c>
      <c r="M127" s="13" t="n">
        <v>-0.0608272968930522</v>
      </c>
      <c r="N127" s="13" t="n">
        <v>-0.141311789877224</v>
      </c>
      <c r="O127" s="13" t="n">
        <v>-0.196672103688603</v>
      </c>
      <c r="P127" s="13" t="n">
        <v>-0.249130303180131</v>
      </c>
      <c r="Q127" s="13" t="n">
        <v>-0.287643334728164</v>
      </c>
      <c r="R127" s="13" t="n">
        <v>-0.32602635905478</v>
      </c>
      <c r="S127" s="13" t="n">
        <v>-0.356766185869899</v>
      </c>
      <c r="T127" s="13" t="n">
        <v>-0.387113975396414</v>
      </c>
      <c r="U127" s="13" t="n">
        <v>-0.41269646513243</v>
      </c>
      <c r="V127" s="13" t="n">
        <v>-0.437645235062632</v>
      </c>
      <c r="W127" s="13" t="n">
        <v>-0.45942145348897</v>
      </c>
      <c r="X127" s="13" t="n">
        <v>-0.480514223681721</v>
      </c>
      <c r="Y127" s="13" t="n">
        <v>-0.4993491403965</v>
      </c>
      <c r="Z127" s="13" t="n">
        <v>-0.51749998210441</v>
      </c>
      <c r="AA127" s="13" t="n">
        <v>-0.533903643360367</v>
      </c>
    </row>
    <row r="128">
      <c r="A128" s="10" t="n">
        <v>4</v>
      </c>
      <c r="B128" s="14" t="inlineStr">
        <is>
          <t>Package A: carbon tax to $50 by 2030 + feebates (transport, industry)</t>
        </is>
      </c>
      <c r="C128" s="14" t="inlineStr">
        <is>
          <t>mit.co2.all.all.e</t>
        </is>
      </c>
      <c r="D128" s="14" t="inlineStr">
        <is>
          <t>egy.mit.co2.all.all.e.4</t>
        </is>
      </c>
      <c r="E128" s="14" t="inlineStr">
        <is>
          <t>CO2 emissions from fuel combustion | All sectors | All fuels</t>
        </is>
      </c>
      <c r="F128" s="14" t="inlineStr">
        <is>
          <t>MtCO2</t>
        </is>
      </c>
      <c r="G128" s="14" t="inlineStr">
        <is>
          <t>build (Python emulation of RunAllScenarios)</t>
        </is>
      </c>
      <c r="H128" s="44" t="n">
        <v>224.854684204376</v>
      </c>
      <c r="I128" s="44" t="n">
        <v>280.096117557223</v>
      </c>
      <c r="J128" s="44" t="n">
        <v>296.778156582131</v>
      </c>
      <c r="K128" s="44" t="n">
        <v>309.772606838782</v>
      </c>
      <c r="L128" s="44" t="n">
        <v>306.313386849595</v>
      </c>
      <c r="M128" s="44" t="n">
        <v>293.474139642598</v>
      </c>
      <c r="N128" s="44" t="n">
        <v>272.424807803185</v>
      </c>
      <c r="O128" s="44" t="n">
        <v>263.382517121319</v>
      </c>
      <c r="P128" s="44" t="n">
        <v>251.779454040167</v>
      </c>
      <c r="Q128" s="44" t="n">
        <v>245.24827399137</v>
      </c>
      <c r="R128" s="44" t="n">
        <v>237.584852663871</v>
      </c>
      <c r="S128" s="44" t="n">
        <v>232.488122371818</v>
      </c>
      <c r="T128" s="44" t="n">
        <v>226.98835692948</v>
      </c>
      <c r="U128" s="44" t="n">
        <v>222.93899565502</v>
      </c>
      <c r="V128" s="44" t="n">
        <v>218.762828534669</v>
      </c>
      <c r="W128" s="44" t="n">
        <v>215.482011908463</v>
      </c>
      <c r="X128" s="44" t="n">
        <v>212.172198476134</v>
      </c>
      <c r="Y128" s="44" t="n">
        <v>209.460754374658</v>
      </c>
      <c r="Z128" s="44" t="n">
        <v>206.741341309567</v>
      </c>
      <c r="AA128" s="44" t="n">
        <v>204.451115229022</v>
      </c>
    </row>
    <row r="129">
      <c r="A129" s="10" t="n">
        <v>4</v>
      </c>
      <c r="B129" s="14" t="inlineStr">
        <is>
          <t>Package A: carbon tax to $50 by 2030 + feebates (transport, industry)</t>
        </is>
      </c>
      <c r="C129" s="14" t="inlineStr">
        <is>
          <t>mit.co2.tra.all.e</t>
        </is>
      </c>
      <c r="D129" s="14" t="inlineStr">
        <is>
          <t>egy.mit.co2.tra.all.e.4</t>
        </is>
      </c>
      <c r="E129" s="14" t="inlineStr">
        <is>
          <t>CO2 emissions from fuel combustion | Transport | All fuels</t>
        </is>
      </c>
      <c r="F129" s="14" t="inlineStr">
        <is>
          <t>MtCO2</t>
        </is>
      </c>
      <c r="G129" s="14" t="inlineStr">
        <is>
          <t>build (Python emulation of RunAllScenarios)</t>
        </is>
      </c>
      <c r="H129" s="44" t="n">
        <v>53.3839807233738</v>
      </c>
      <c r="I129" s="44" t="n">
        <v>67.4347151975622</v>
      </c>
      <c r="J129" s="44" t="n">
        <v>74.69987967755689</v>
      </c>
      <c r="K129" s="44" t="n">
        <v>76.29428948234271</v>
      </c>
      <c r="L129" s="44" t="n">
        <v>77.85009088208371</v>
      </c>
      <c r="M129" s="44" t="n">
        <v>74.44625321273151</v>
      </c>
      <c r="N129" s="44" t="n">
        <v>70.8139770673735</v>
      </c>
      <c r="O129" s="44" t="n">
        <v>67.95298824384911</v>
      </c>
      <c r="P129" s="44" t="n">
        <v>65.56754180259151</v>
      </c>
      <c r="Q129" s="44" t="n">
        <v>63.6324455379632</v>
      </c>
      <c r="R129" s="44" t="n">
        <v>62.0378408066355</v>
      </c>
      <c r="S129" s="44" t="n">
        <v>60.7083379689754</v>
      </c>
      <c r="T129" s="44" t="n">
        <v>59.5899982976992</v>
      </c>
      <c r="U129" s="44" t="n">
        <v>58.6429489087106</v>
      </c>
      <c r="V129" s="44" t="n">
        <v>57.8369233261591</v>
      </c>
      <c r="W129" s="44" t="n">
        <v>57.1484346490673</v>
      </c>
      <c r="X129" s="44" t="n">
        <v>56.5589121065015</v>
      </c>
      <c r="Y129" s="44" t="n">
        <v>56.0534322908547</v>
      </c>
      <c r="Z129" s="44" t="n">
        <v>55.6198314079801</v>
      </c>
      <c r="AA129" s="44" t="n">
        <v>55.2480694469631</v>
      </c>
    </row>
    <row r="130">
      <c r="A130" s="10" t="n">
        <v>4</v>
      </c>
      <c r="B130" s="14" t="inlineStr">
        <is>
          <t>Package A: carbon tax to $50 by 2030 + feebates (transport, industry)</t>
        </is>
      </c>
      <c r="C130" s="14" t="inlineStr">
        <is>
          <t>mit.co2.bld.all.e</t>
        </is>
      </c>
      <c r="D130" s="14" t="inlineStr">
        <is>
          <t>egy.mit.co2.bld.all.e.4</t>
        </is>
      </c>
      <c r="E130" s="14" t="inlineStr">
        <is>
          <t>CO2 emissions from fuel combustion | Buildings | All fuels</t>
        </is>
      </c>
      <c r="F130" s="14" t="inlineStr">
        <is>
          <t>MtCO2</t>
        </is>
      </c>
      <c r="G130" s="14" t="inlineStr">
        <is>
          <t>build (Python emulation of RunAllScenarios)</t>
        </is>
      </c>
      <c r="H130" s="44" t="n">
        <v>16.7595941809113</v>
      </c>
      <c r="I130" s="44" t="n">
        <v>22.7269362675372</v>
      </c>
      <c r="J130" s="44" t="n">
        <v>25.869713488342</v>
      </c>
      <c r="K130" s="44" t="n">
        <v>26.2573345733167</v>
      </c>
      <c r="L130" s="44" t="n">
        <v>26.6338045696755</v>
      </c>
      <c r="M130" s="44" t="n">
        <v>24.1840728019683</v>
      </c>
      <c r="N130" s="44" t="n">
        <v>21.8048759550935</v>
      </c>
      <c r="O130" s="44" t="n">
        <v>20.0583223663147</v>
      </c>
      <c r="P130" s="44" t="n">
        <v>18.6993616754103</v>
      </c>
      <c r="Q130" s="44" t="n">
        <v>17.6232312490616</v>
      </c>
      <c r="R130" s="44" t="n">
        <v>16.7485149137918</v>
      </c>
      <c r="S130" s="44" t="n">
        <v>16.0229925322778</v>
      </c>
      <c r="T130" s="44" t="n">
        <v>15.4114231420719</v>
      </c>
      <c r="U130" s="44" t="n">
        <v>14.889065560489</v>
      </c>
      <c r="V130" s="44" t="n">
        <v>14.4379799265045</v>
      </c>
      <c r="W130" s="44" t="n">
        <v>14.0448048054678</v>
      </c>
      <c r="X130" s="44" t="n">
        <v>13.6993611483164</v>
      </c>
      <c r="Y130" s="44" t="n">
        <v>13.3937427219238</v>
      </c>
      <c r="Z130" s="44" t="n">
        <v>13.1217047023312</v>
      </c>
      <c r="AA130" s="44" t="n">
        <v>12.8782415017109</v>
      </c>
    </row>
    <row r="131">
      <c r="A131" s="10" t="n">
        <v>4</v>
      </c>
      <c r="B131" s="14" t="inlineStr">
        <is>
          <t>Package A: carbon tax to $50 by 2030 + feebates (transport, industry)</t>
        </is>
      </c>
      <c r="C131" s="14" t="inlineStr">
        <is>
          <t>mit.co2.ind.all.e</t>
        </is>
      </c>
      <c r="D131" s="14" t="inlineStr">
        <is>
          <t>egy.mit.co2.ind.all.e.4</t>
        </is>
      </c>
      <c r="E131" s="14" t="inlineStr">
        <is>
          <t>CO2 emissions from fuel combustion | Industry | All fuels</t>
        </is>
      </c>
      <c r="F131" s="14" t="inlineStr">
        <is>
          <t>MtCO2</t>
        </is>
      </c>
      <c r="G131" s="14" t="inlineStr">
        <is>
          <t>build (Python emulation of RunAllScenarios)</t>
        </is>
      </c>
      <c r="H131" s="44" t="n">
        <v>64.33222890849839</v>
      </c>
      <c r="I131" s="44" t="n">
        <v>80.2273620913227</v>
      </c>
      <c r="J131" s="44" t="n">
        <v>86.5141895930134</v>
      </c>
      <c r="K131" s="44" t="n">
        <v>89.3966824035958</v>
      </c>
      <c r="L131" s="44" t="n">
        <v>91.7467432409538</v>
      </c>
      <c r="M131" s="44" t="n">
        <v>84.71352021308449</v>
      </c>
      <c r="N131" s="44" t="n">
        <v>77.5828313282873</v>
      </c>
      <c r="O131" s="44" t="n">
        <v>72.2445437767182</v>
      </c>
      <c r="P131" s="44" t="n">
        <v>68.0191276925564</v>
      </c>
      <c r="Q131" s="44" t="n">
        <v>64.70028126186411</v>
      </c>
      <c r="R131" s="44" t="n">
        <v>62.0362328414068</v>
      </c>
      <c r="S131" s="44" t="n">
        <v>59.873286786583</v>
      </c>
      <c r="T131" s="44" t="n">
        <v>58.0987666026736</v>
      </c>
      <c r="U131" s="44" t="n">
        <v>56.6320189823404</v>
      </c>
      <c r="V131" s="44" t="n">
        <v>55.4136322940711</v>
      </c>
      <c r="W131" s="44" t="n">
        <v>54.3987758459341</v>
      </c>
      <c r="X131" s="44" t="n">
        <v>53.5529178536164</v>
      </c>
      <c r="Y131" s="44" t="n">
        <v>52.8489795383061</v>
      </c>
      <c r="Z131" s="44" t="n">
        <v>52.2653894448482</v>
      </c>
      <c r="AA131" s="44" t="n">
        <v>51.7847203747516</v>
      </c>
    </row>
    <row r="132">
      <c r="A132" s="10" t="n">
        <v>4</v>
      </c>
      <c r="B132" s="14" t="inlineStr">
        <is>
          <t>Package A: carbon tax to $50 by 2030 + feebates (transport, industry)</t>
        </is>
      </c>
      <c r="C132" s="14" t="inlineStr">
        <is>
          <t>mit.co2.chg.all.all</t>
        </is>
      </c>
      <c r="D132" s="14" t="inlineStr">
        <is>
          <t>egy.mit.co2.chg.all.all.4</t>
        </is>
      </c>
      <c r="E132" s="14" t="inlineStr">
        <is>
          <t>Change in CO2 emissions vs scenario 1 | All sectors | All fuels</t>
        </is>
      </c>
      <c r="F132" s="14" t="inlineStr">
        <is>
          <t>MtCO2</t>
        </is>
      </c>
      <c r="G132" s="14" t="inlineStr">
        <is>
          <t>build (Python emulation of RunAllScenarios)</t>
        </is>
      </c>
      <c r="H132" s="44" t="n">
        <v>0</v>
      </c>
      <c r="I132" s="44" t="n">
        <v>-0.45060663896794</v>
      </c>
      <c r="J132" s="44" t="n">
        <v>-0.438447129169163</v>
      </c>
      <c r="K132" s="44" t="n">
        <v>-0.426929678147701</v>
      </c>
      <c r="L132" s="44" t="n">
        <v>-0.413804331787389</v>
      </c>
      <c r="M132" s="44" t="n">
        <v>-19.8238802598023</v>
      </c>
      <c r="N132" s="44" t="n">
        <v>-45.883572745715</v>
      </c>
      <c r="O132" s="44" t="n">
        <v>-66.1441103205827</v>
      </c>
      <c r="P132" s="44" t="n">
        <v>-85.41451209942279</v>
      </c>
      <c r="Q132" s="44" t="n">
        <v>-101.420461672408</v>
      </c>
      <c r="R132" s="44" t="n">
        <v>-117.50955961104</v>
      </c>
      <c r="S132" s="44" t="n">
        <v>-131.88583468816</v>
      </c>
      <c r="T132" s="44" t="n">
        <v>-146.456394081157</v>
      </c>
      <c r="U132" s="44" t="n">
        <v>-159.996903336862</v>
      </c>
      <c r="V132" s="44" t="n">
        <v>-173.703258425176</v>
      </c>
      <c r="W132" s="44" t="n">
        <v>-186.769632840749</v>
      </c>
      <c r="X132" s="44" t="n">
        <v>-199.98015826471</v>
      </c>
      <c r="Y132" s="44" t="n">
        <v>-212.774982622672</v>
      </c>
      <c r="Z132" s="44" t="n">
        <v>-225.660978342869</v>
      </c>
      <c r="AA132" s="44" t="n">
        <v>-238.220568771098</v>
      </c>
    </row>
    <row r="133">
      <c r="A133" s="10" t="n">
        <v>4</v>
      </c>
      <c r="B133" s="14" t="inlineStr">
        <is>
          <t>Package A: carbon tax to $50 by 2030 + feebates (transport, industry)</t>
        </is>
      </c>
      <c r="C133" s="14" t="inlineStr">
        <is>
          <t>mit.co2.pct.all.all</t>
        </is>
      </c>
      <c r="D133" s="14" t="inlineStr">
        <is>
          <t>egy.mit.co2.pct.all.all.4</t>
        </is>
      </c>
      <c r="E133" s="14" t="inlineStr">
        <is>
          <t>Change in CO2 emissions vs scenario 1 | All sectors | All fuels</t>
        </is>
      </c>
      <c r="F133" s="14" t="inlineStr">
        <is>
          <t>%</t>
        </is>
      </c>
      <c r="G133" s="14" t="inlineStr">
        <is>
          <t>build (Python emulation of RunAllScenarios)</t>
        </is>
      </c>
      <c r="H133" s="13" t="n">
        <v>0</v>
      </c>
      <c r="I133" s="13" t="n">
        <v>-0.00160617323285095</v>
      </c>
      <c r="J133" s="13" t="n">
        <v>-0.00147517710549927</v>
      </c>
      <c r="K133" s="13" t="n">
        <v>-0.00137630662811905</v>
      </c>
      <c r="L133" s="13" t="n">
        <v>-0.00134909569051767</v>
      </c>
      <c r="M133" s="13" t="n">
        <v>-0.0632748341849651</v>
      </c>
      <c r="N133" s="13" t="n">
        <v>-0.144148176892459</v>
      </c>
      <c r="O133" s="13" t="n">
        <v>-0.20072462985482</v>
      </c>
      <c r="P133" s="13" t="n">
        <v>-0.253309728751384</v>
      </c>
      <c r="Q133" s="13" t="n">
        <v>-0.292557277996861</v>
      </c>
      <c r="R133" s="13" t="n">
        <v>-0.330924834491806</v>
      </c>
      <c r="S133" s="13" t="n">
        <v>-0.361951868767753</v>
      </c>
      <c r="T133" s="13" t="n">
        <v>-0.392176871370688</v>
      </c>
      <c r="U133" s="13" t="n">
        <v>-0.417816411984538</v>
      </c>
      <c r="V133" s="13" t="n">
        <v>-0.442594313742446</v>
      </c>
      <c r="W133" s="13" t="n">
        <v>-0.464310426765793</v>
      </c>
      <c r="X133" s="13" t="n">
        <v>-0.485209304263314</v>
      </c>
      <c r="Y133" s="13" t="n">
        <v>-0.5039246183560659</v>
      </c>
      <c r="Z133" s="13" t="n">
        <v>-0.5218773537668679</v>
      </c>
      <c r="AA133" s="13" t="n">
        <v>-0.538142775744006</v>
      </c>
    </row>
    <row r="134">
      <c r="A134" s="10" t="n">
        <v>4</v>
      </c>
      <c r="B134" s="14" t="inlineStr">
        <is>
          <t>Package A: carbon tax to $50 by 2030 + feebates (transport, industry)</t>
        </is>
      </c>
      <c r="C134" s="14" t="inlineStr">
        <is>
          <t>mit.rtx.all.all</t>
        </is>
      </c>
      <c r="D134" s="14" t="inlineStr">
        <is>
          <t>egy.mit.rtx.all.all.4</t>
        </is>
      </c>
      <c r="E134" s="14" t="inlineStr">
        <is>
          <t>Revenue from existing taxes (excise and other taxes + VAT; incl. the change in existing carbon pricing) | All sectors | All fuels</t>
        </is>
      </c>
      <c r="F134" s="14" t="inlineStr">
        <is>
          <t>USD m real</t>
        </is>
      </c>
      <c r="G134" s="14" t="inlineStr">
        <is>
          <t>build (Python emulation of RunAllScenarios)</t>
        </is>
      </c>
      <c r="H134" s="47" t="n">
        <v>24.7499116507651</v>
      </c>
      <c r="I134" s="47" t="n">
        <v>18.5902691501866</v>
      </c>
      <c r="J134" s="47" t="n">
        <v>15.551422727851</v>
      </c>
      <c r="K134" s="47" t="n">
        <v>16.3839035831061</v>
      </c>
      <c r="L134" s="47" t="n">
        <v>16.3521637616865</v>
      </c>
      <c r="M134" s="47" t="n">
        <v>15.2271600558411</v>
      </c>
      <c r="N134" s="47" t="n">
        <v>14.1469089305397</v>
      </c>
      <c r="O134" s="47" t="n">
        <v>13.3130116720562</v>
      </c>
      <c r="P134" s="47" t="n">
        <v>12.6382937658403</v>
      </c>
      <c r="Q134" s="47" t="n">
        <v>12.0914672358893</v>
      </c>
      <c r="R134" s="47" t="n">
        <v>11.6286219429364</v>
      </c>
      <c r="S134" s="47" t="n">
        <v>11.241457334513</v>
      </c>
      <c r="T134" s="47" t="n">
        <v>10.9133933900707</v>
      </c>
      <c r="U134" s="47" t="n">
        <v>10.6324438226922</v>
      </c>
      <c r="V134" s="47" t="n">
        <v>10.3897023994393</v>
      </c>
      <c r="W134" s="47" t="n">
        <v>10.1783967716816</v>
      </c>
      <c r="X134" s="47" t="n">
        <v>9.99327439158929</v>
      </c>
      <c r="Y134" s="47" t="n">
        <v>9.830191068247361</v>
      </c>
      <c r="Z134" s="47" t="n">
        <v>9.68582765609786</v>
      </c>
      <c r="AA134" s="47" t="n">
        <v>9.55749028575381</v>
      </c>
    </row>
    <row r="135">
      <c r="A135" s="10" t="n">
        <v>4</v>
      </c>
      <c r="B135" s="14" t="inlineStr">
        <is>
          <t>Package A: carbon tax to $50 by 2030 + feebates (transport, industry)</t>
        </is>
      </c>
      <c r="C135" s="14" t="inlineStr">
        <is>
          <t>mit.rsub.all.all</t>
        </is>
      </c>
      <c r="D135" s="14" t="inlineStr">
        <is>
          <t>egy.mit.rsub.all.all.4</t>
        </is>
      </c>
      <c r="E135" s="14" t="inlineStr">
        <is>
          <t>Cost of existing consumer subsidies (positive = cost) | All sectors | All fuels</t>
        </is>
      </c>
      <c r="F135" s="14" t="inlineStr">
        <is>
          <t>USD m real</t>
        </is>
      </c>
      <c r="G135" s="14" t="inlineStr">
        <is>
          <t>build (Python emulation of RunAllScenarios)</t>
        </is>
      </c>
      <c r="H135" s="47" t="n">
        <v>46393.0558158373</v>
      </c>
      <c r="I135" s="47" t="n">
        <v>52620.895128255</v>
      </c>
      <c r="J135" s="47" t="n">
        <v>55367.5836427948</v>
      </c>
      <c r="K135" s="47" t="n">
        <v>53270.7554131146</v>
      </c>
      <c r="L135" s="47" t="n">
        <v>60383.918086677</v>
      </c>
      <c r="M135" s="47" t="n">
        <v>50544.0682829804</v>
      </c>
      <c r="N135" s="47" t="n">
        <v>42599.9142207976</v>
      </c>
      <c r="O135" s="47" t="n">
        <v>39496.2417522595</v>
      </c>
      <c r="P135" s="47" t="n">
        <v>37263.2267557105</v>
      </c>
      <c r="Q135" s="47" t="n">
        <v>35830.7071053401</v>
      </c>
      <c r="R135" s="47" t="n">
        <v>35040.9403345264</v>
      </c>
      <c r="S135" s="47" t="n">
        <v>34569.5966169172</v>
      </c>
      <c r="T135" s="47" t="n">
        <v>34096.4413789088</v>
      </c>
      <c r="U135" s="47" t="n">
        <v>33810.3367110912</v>
      </c>
      <c r="V135" s="47" t="n">
        <v>33542.0041451285</v>
      </c>
      <c r="W135" s="47" t="n">
        <v>33396.1365732468</v>
      </c>
      <c r="X135" s="47" t="n">
        <v>33273.2486645384</v>
      </c>
      <c r="Y135" s="47" t="n">
        <v>33237.8043079974</v>
      </c>
      <c r="Z135" s="47" t="n">
        <v>33224.6883732454</v>
      </c>
      <c r="AA135" s="47" t="n">
        <v>33279.3140495231</v>
      </c>
    </row>
    <row r="136">
      <c r="A136" s="10" t="n">
        <v>4</v>
      </c>
      <c r="B136" s="14" t="inlineStr">
        <is>
          <t>Package A: carbon tax to $50 by 2030 + feebates (transport, industry)</t>
        </is>
      </c>
      <c r="C136" s="14" t="inlineStr">
        <is>
          <t>mit.rnew.all.all</t>
        </is>
      </c>
      <c r="D136" s="14" t="inlineStr">
        <is>
          <t>egy.mit.rnew.all.all.4</t>
        </is>
      </c>
      <c r="E136" s="14" t="inlineStr">
        <is>
          <t>Revenue from new policies (carbon tax, excise, auctioned ETS, VAT on them) | All sectors | All fuels</t>
        </is>
      </c>
      <c r="F136" s="14" t="inlineStr">
        <is>
          <t>USD m real</t>
        </is>
      </c>
      <c r="G136" s="14" t="inlineStr">
        <is>
          <t>build (Python emulation of RunAllScenarios)</t>
        </is>
      </c>
      <c r="H136" s="47" t="n">
        <v>0</v>
      </c>
      <c r="I136" s="47" t="n">
        <v>0</v>
      </c>
      <c r="J136" s="47" t="n">
        <v>0</v>
      </c>
      <c r="K136" s="47" t="n">
        <v>0</v>
      </c>
      <c r="L136" s="47" t="n">
        <v>0</v>
      </c>
      <c r="M136" s="47" t="n">
        <v>2930.19827071309</v>
      </c>
      <c r="N136" s="47" t="n">
        <v>6345.84510230283</v>
      </c>
      <c r="O136" s="47" t="n">
        <v>9640.27087909848</v>
      </c>
      <c r="P136" s="47" t="n">
        <v>12565.380047052</v>
      </c>
      <c r="Q136" s="47" t="n">
        <v>15502.0876755054</v>
      </c>
      <c r="R136" s="47" t="n">
        <v>18177.5963914147</v>
      </c>
      <c r="S136" s="47" t="n">
        <v>20879.5012476379</v>
      </c>
      <c r="T136" s="47" t="n">
        <v>23403.5816464851</v>
      </c>
      <c r="U136" s="47" t="n">
        <v>25949.9363324628</v>
      </c>
      <c r="V136" s="47" t="n">
        <v>28371.5313794052</v>
      </c>
      <c r="W136" s="47" t="n">
        <v>30809.7921698856</v>
      </c>
      <c r="X136" s="47" t="n">
        <v>33155.707965492</v>
      </c>
      <c r="Y136" s="47" t="n">
        <v>35514.7617434524</v>
      </c>
      <c r="Z136" s="47" t="n">
        <v>37799.7177041348</v>
      </c>
      <c r="AA136" s="47" t="n">
        <v>40096.2233012534</v>
      </c>
    </row>
    <row r="137">
      <c r="A137" s="10" t="n">
        <v>4</v>
      </c>
      <c r="B137" s="14" t="inlineStr">
        <is>
          <t>Package A: carbon tax to $50 by 2030 + feebates (transport, industry)</t>
        </is>
      </c>
      <c r="C137" s="14" t="inlineStr">
        <is>
          <t>mit.rtot.all.all</t>
        </is>
      </c>
      <c r="D137" s="14" t="inlineStr">
        <is>
          <t>egy.mit.rtot.all.all.4</t>
        </is>
      </c>
      <c r="E137" s="14" t="inlineStr">
        <is>
          <t>Total revenue (net existing + new policies) | All sectors | All fuels</t>
        </is>
      </c>
      <c r="F137" s="14" t="inlineStr">
        <is>
          <t>USD m real</t>
        </is>
      </c>
      <c r="G137" s="14" t="inlineStr">
        <is>
          <t>build (Python emulation of RunAllScenarios)</t>
        </is>
      </c>
      <c r="H137" s="47" t="n">
        <v>-46368.3059041866</v>
      </c>
      <c r="I137" s="47" t="n">
        <v>-52602.3048591048</v>
      </c>
      <c r="J137" s="47" t="n">
        <v>-55352.032220067</v>
      </c>
      <c r="K137" s="47" t="n">
        <v>-53254.3715095315</v>
      </c>
      <c r="L137" s="47" t="n">
        <v>-60367.5659229153</v>
      </c>
      <c r="M137" s="47" t="n">
        <v>-47598.6428522114</v>
      </c>
      <c r="N137" s="47" t="n">
        <v>-36239.9222095642</v>
      </c>
      <c r="O137" s="47" t="n">
        <v>-29842.657861489</v>
      </c>
      <c r="P137" s="47" t="n">
        <v>-24685.2084148927</v>
      </c>
      <c r="Q137" s="47" t="n">
        <v>-20316.5279625987</v>
      </c>
      <c r="R137" s="47" t="n">
        <v>-16851.7153211688</v>
      </c>
      <c r="S137" s="47" t="n">
        <v>-13678.8539119448</v>
      </c>
      <c r="T137" s="47" t="n">
        <v>-10681.9463390336</v>
      </c>
      <c r="U137" s="47" t="n">
        <v>-7849.76793480573</v>
      </c>
      <c r="V137" s="47" t="n">
        <v>-5160.08306332386</v>
      </c>
      <c r="W137" s="47" t="n">
        <v>-2576.16600658945</v>
      </c>
      <c r="X137" s="47" t="n">
        <v>-107.547424654862</v>
      </c>
      <c r="Y137" s="47" t="n">
        <v>2286.78762652328</v>
      </c>
      <c r="Z137" s="47" t="n">
        <v>4584.71515854549</v>
      </c>
      <c r="AA137" s="47" t="n">
        <v>6826.46674201598</v>
      </c>
    </row>
    <row r="138">
      <c r="A138" s="10" t="n">
        <v>4</v>
      </c>
      <c r="B138" s="14" t="inlineStr">
        <is>
          <t>Package A: carbon tax to $50 by 2030 + feebates (transport, industry)</t>
        </is>
      </c>
      <c r="C138" s="14" t="inlineStr">
        <is>
          <t>mit.rtot.chg.all.all</t>
        </is>
      </c>
      <c r="D138" s="14" t="inlineStr">
        <is>
          <t>egy.mit.rtot.chg.all.all.4</t>
        </is>
      </c>
      <c r="E138" s="14" t="inlineStr">
        <is>
          <t>Change in total revenue vs scenario 1 (fiscal effect) | All sectors | All fuels</t>
        </is>
      </c>
      <c r="F138" s="14" t="inlineStr">
        <is>
          <t>USD m real</t>
        </is>
      </c>
      <c r="G138" s="14" t="inlineStr">
        <is>
          <t>build (Python emulation of RunAllScenarios)</t>
        </is>
      </c>
      <c r="H138" s="47" t="n">
        <v>0</v>
      </c>
      <c r="I138" s="47" t="n">
        <v>54.5326661944418</v>
      </c>
      <c r="J138" s="47" t="n">
        <v>19.1532945462095</v>
      </c>
      <c r="K138" s="47" t="n">
        <v>18.6907336388249</v>
      </c>
      <c r="L138" s="47" t="n">
        <v>26.478762843697</v>
      </c>
      <c r="M138" s="47" t="n">
        <v>5779.94338155133</v>
      </c>
      <c r="N138" s="47" t="n">
        <v>12449.7904572173</v>
      </c>
      <c r="O138" s="47" t="n">
        <v>18275.2368229604</v>
      </c>
      <c r="P138" s="47" t="n">
        <v>23597.5456941413</v>
      </c>
      <c r="Q138" s="47" t="n">
        <v>28463.142546725</v>
      </c>
      <c r="R138" s="47" t="n">
        <v>33254.4634972899</v>
      </c>
      <c r="S138" s="47" t="n">
        <v>37852.1703642803</v>
      </c>
      <c r="T138" s="47" t="n">
        <v>42253.9508330295</v>
      </c>
      <c r="U138" s="47" t="n">
        <v>46542.7204690455</v>
      </c>
      <c r="V138" s="47" t="n">
        <v>50699.2600759089</v>
      </c>
      <c r="W138" s="47" t="n">
        <v>54784.6909974732</v>
      </c>
      <c r="X138" s="47" t="n">
        <v>58774.6730938496</v>
      </c>
      <c r="Y138" s="47" t="n">
        <v>62717.7906557715</v>
      </c>
      <c r="Z138" s="47" t="n">
        <v>66583.7652718835</v>
      </c>
      <c r="AA138" s="47" t="n">
        <v>70415.06956775091</v>
      </c>
    </row>
    <row r="139">
      <c r="A139" s="10" t="n">
        <v>4</v>
      </c>
      <c r="B139" s="14" t="inlineStr">
        <is>
          <t>Package A: carbon tax to $50 by 2030 + feebates (transport, industry)</t>
        </is>
      </c>
      <c r="C139" s="14" t="inlineStr">
        <is>
          <t>mit.ener.pow.all.e</t>
        </is>
      </c>
      <c r="D139" s="14" t="inlineStr">
        <is>
          <t>egy.mit.ener.pow.all.e.4</t>
        </is>
      </c>
      <c r="E139" s="14" t="inlineStr">
        <is>
          <t>Fuel use | Power | All fuels</t>
        </is>
      </c>
      <c r="F139" s="14" t="inlineStr">
        <is>
          <t>ktoe</t>
        </is>
      </c>
      <c r="G139" s="14" t="inlineStr">
        <is>
          <t>build (Python emulation of RunAllScenarios)</t>
        </is>
      </c>
      <c r="H139" s="47" t="n">
        <v>36693.328730215</v>
      </c>
      <c r="I139" s="47" t="n">
        <v>44989.8070915302</v>
      </c>
      <c r="J139" s="47" t="n">
        <v>44578.231895926</v>
      </c>
      <c r="K139" s="47" t="n">
        <v>47617.1449573441</v>
      </c>
      <c r="L139" s="47" t="n">
        <v>43810.0152187126</v>
      </c>
      <c r="M139" s="47" t="n">
        <v>43909.8065288559</v>
      </c>
      <c r="N139" s="47" t="n">
        <v>40599.9713970813</v>
      </c>
      <c r="O139" s="47" t="n">
        <v>41068.5984312059</v>
      </c>
      <c r="P139" s="47" t="n">
        <v>39588.8968166202</v>
      </c>
      <c r="Q139" s="47" t="n">
        <v>39577.7055637328</v>
      </c>
      <c r="R139" s="47" t="n">
        <v>38565.8632207936</v>
      </c>
      <c r="S139" s="47" t="n">
        <v>38259.2530759879</v>
      </c>
      <c r="T139" s="47" t="n">
        <v>37472.1200753589</v>
      </c>
      <c r="U139" s="47" t="n">
        <v>37060.7871328502</v>
      </c>
      <c r="V139" s="47" t="n">
        <v>36395.855627231</v>
      </c>
      <c r="W139" s="47" t="n">
        <v>35950.144180126</v>
      </c>
      <c r="X139" s="47" t="n">
        <v>35354.9653213829</v>
      </c>
      <c r="Y139" s="47" t="n">
        <v>34900.3963882508</v>
      </c>
      <c r="Z139" s="47" t="n">
        <v>34344.0080833581</v>
      </c>
      <c r="AA139" s="47" t="n">
        <v>33886.9160698203</v>
      </c>
    </row>
    <row r="140">
      <c r="A140" s="10" t="n">
        <v>4</v>
      </c>
      <c r="B140" s="14" t="inlineStr">
        <is>
          <t>Package A: carbon tax to $50 by 2030 + feebates (transport, industry)</t>
        </is>
      </c>
      <c r="C140" s="14" t="inlineStr">
        <is>
          <t>mit.rtx.pow.all</t>
        </is>
      </c>
      <c r="D140" s="14" t="inlineStr">
        <is>
          <t>egy.mit.rtx.pow.all.4</t>
        </is>
      </c>
      <c r="E140" s="14" t="inlineStr">
        <is>
          <t>Revenue from existing taxes (excise and other taxes + VAT; incl. the change in existing carbon pricing) | Power | All fuels</t>
        </is>
      </c>
      <c r="F140" s="14" t="inlineStr">
        <is>
          <t>USD m real</t>
        </is>
      </c>
      <c r="G140" s="14" t="inlineStr">
        <is>
          <t>build (Python emulation of RunAllScenarios)</t>
        </is>
      </c>
      <c r="H140" s="47" t="n">
        <v>0</v>
      </c>
      <c r="I140" s="47" t="n">
        <v>0</v>
      </c>
      <c r="J140" s="47" t="n">
        <v>0</v>
      </c>
      <c r="K140" s="47" t="n">
        <v>0</v>
      </c>
      <c r="L140" s="47" t="n">
        <v>0</v>
      </c>
      <c r="M140" s="47" t="n">
        <v>0</v>
      </c>
      <c r="N140" s="47" t="n">
        <v>0</v>
      </c>
      <c r="O140" s="47" t="n">
        <v>0</v>
      </c>
      <c r="P140" s="47" t="n">
        <v>0</v>
      </c>
      <c r="Q140" s="47" t="n">
        <v>0</v>
      </c>
      <c r="R140" s="47" t="n">
        <v>0</v>
      </c>
      <c r="S140" s="47" t="n">
        <v>0</v>
      </c>
      <c r="T140" s="47" t="n">
        <v>0</v>
      </c>
      <c r="U140" s="47" t="n">
        <v>0</v>
      </c>
      <c r="V140" s="47" t="n">
        <v>0</v>
      </c>
      <c r="W140" s="47" t="n">
        <v>0</v>
      </c>
      <c r="X140" s="47" t="n">
        <v>0</v>
      </c>
      <c r="Y140" s="47" t="n">
        <v>0</v>
      </c>
      <c r="Z140" s="47" t="n">
        <v>0</v>
      </c>
      <c r="AA140" s="47" t="n">
        <v>0</v>
      </c>
    </row>
    <row r="141">
      <c r="A141" s="10" t="n">
        <v>4</v>
      </c>
      <c r="B141" s="14" t="inlineStr">
        <is>
          <t>Package A: carbon tax to $50 by 2030 + feebates (transport, industry)</t>
        </is>
      </c>
      <c r="C141" s="14" t="inlineStr">
        <is>
          <t>mit.rsub.pow.all</t>
        </is>
      </c>
      <c r="D141" s="14" t="inlineStr">
        <is>
          <t>egy.mit.rsub.pow.all.4</t>
        </is>
      </c>
      <c r="E141" s="14" t="inlineStr">
        <is>
          <t>Cost of existing consumer subsidies (positive = cost) | Power | All fuels</t>
        </is>
      </c>
      <c r="F141" s="14" t="inlineStr">
        <is>
          <t>USD m real</t>
        </is>
      </c>
      <c r="G141" s="14" t="inlineStr">
        <is>
          <t>build (Python emulation of RunAllScenarios)</t>
        </is>
      </c>
      <c r="H141" s="47" t="n">
        <v>20315.8859505738</v>
      </c>
      <c r="I141" s="47" t="n">
        <v>21923.1640363993</v>
      </c>
      <c r="J141" s="47" t="n">
        <v>22895.5032951739</v>
      </c>
      <c r="K141" s="47" t="n">
        <v>25389.0127423349</v>
      </c>
      <c r="L141" s="47" t="n">
        <v>26946.8764335138</v>
      </c>
      <c r="M141" s="47" t="n">
        <v>24339.7359107076</v>
      </c>
      <c r="N141" s="47" t="n">
        <v>20481.7843565957</v>
      </c>
      <c r="O141" s="47" t="n">
        <v>19596.3228673312</v>
      </c>
      <c r="P141" s="47" t="n">
        <v>18911.8090176662</v>
      </c>
      <c r="Q141" s="47" t="n">
        <v>18762.0301454651</v>
      </c>
      <c r="R141" s="47" t="n">
        <v>18615.5447556628</v>
      </c>
      <c r="S141" s="47" t="n">
        <v>18673.9580943437</v>
      </c>
      <c r="T141" s="47" t="n">
        <v>18642.5973361135</v>
      </c>
      <c r="U141" s="47" t="n">
        <v>18728.5844576565</v>
      </c>
      <c r="V141" s="47" t="n">
        <v>18776.0847818827</v>
      </c>
      <c r="W141" s="47" t="n">
        <v>18899.9407502908</v>
      </c>
      <c r="X141" s="47" t="n">
        <v>19008.4942589972</v>
      </c>
      <c r="Y141" s="47" t="n">
        <v>19172.3570033259</v>
      </c>
      <c r="Z141" s="47" t="n">
        <v>19331.320337001</v>
      </c>
      <c r="AA141" s="47" t="n">
        <v>19534.7688686631</v>
      </c>
    </row>
    <row r="142">
      <c r="A142" s="10" t="n">
        <v>4</v>
      </c>
      <c r="B142" s="14" t="inlineStr">
        <is>
          <t>Package A: carbon tax to $50 by 2030 + feebates (transport, industry)</t>
        </is>
      </c>
      <c r="C142" s="14" t="inlineStr">
        <is>
          <t>mit.rnew.pow.all</t>
        </is>
      </c>
      <c r="D142" s="14" t="inlineStr">
        <is>
          <t>egy.mit.rnew.pow.all.4</t>
        </is>
      </c>
      <c r="E142" s="14" t="inlineStr">
        <is>
          <t>Revenue from new policies (carbon tax, excise, auctioned ETS, VAT on them) | Power | All fuels</t>
        </is>
      </c>
      <c r="F142" s="14" t="inlineStr">
        <is>
          <t>USD m real</t>
        </is>
      </c>
      <c r="G142" s="14" t="inlineStr">
        <is>
          <t>build (Python emulation of RunAllScenarios)</t>
        </is>
      </c>
      <c r="H142" s="47" t="n">
        <v>0</v>
      </c>
      <c r="I142" s="47" t="n">
        <v>0</v>
      </c>
      <c r="J142" s="47" t="n">
        <v>0</v>
      </c>
      <c r="K142" s="47" t="n">
        <v>0</v>
      </c>
      <c r="L142" s="47" t="n">
        <v>0</v>
      </c>
      <c r="M142" s="47" t="n">
        <v>1096.74760751552</v>
      </c>
      <c r="N142" s="47" t="n">
        <v>2374.44502734457</v>
      </c>
      <c r="O142" s="47" t="n">
        <v>3764.18119285525</v>
      </c>
      <c r="P142" s="47" t="n">
        <v>4951.02339115895</v>
      </c>
      <c r="Q142" s="47" t="n">
        <v>6258.14251860864</v>
      </c>
      <c r="R142" s="47" t="n">
        <v>7381.11809350459</v>
      </c>
      <c r="S142" s="47" t="n">
        <v>8584.994331198121</v>
      </c>
      <c r="T142" s="47" t="n">
        <v>9649.79310417964</v>
      </c>
      <c r="U142" s="47" t="n">
        <v>10764.0192766055</v>
      </c>
      <c r="V142" s="47" t="n">
        <v>11771.8982234217</v>
      </c>
      <c r="W142" s="47" t="n">
        <v>12808.1363469839</v>
      </c>
      <c r="X142" s="47" t="n">
        <v>13758.4778872603</v>
      </c>
      <c r="Y142" s="47" t="n">
        <v>14724.2623827773</v>
      </c>
      <c r="Z142" s="47" t="n">
        <v>15614.9521851626</v>
      </c>
      <c r="AA142" s="47" t="n">
        <v>16513.5487426194</v>
      </c>
    </row>
    <row r="143">
      <c r="A143" s="10" t="n">
        <v>4</v>
      </c>
      <c r="B143" s="14" t="inlineStr">
        <is>
          <t>Package A: carbon tax to $50 by 2030 + feebates (transport, industry)</t>
        </is>
      </c>
      <c r="C143" s="14" t="inlineStr">
        <is>
          <t>mit.rxcp.all.all</t>
        </is>
      </c>
      <c r="D143" s="14" t="inlineStr">
        <is>
          <t>egy.mit.rxcp.all.all.4</t>
        </is>
      </c>
      <c r="E143" s="14" t="inlineStr">
        <is>
          <t>Revenue from existing carbon pricing (memo: level; the part embedded in the price data is in rtx) | All sectors | All fuels</t>
        </is>
      </c>
      <c r="F143" s="14" t="inlineStr">
        <is>
          <t>USD m real</t>
        </is>
      </c>
      <c r="G143" s="14" t="inlineStr">
        <is>
          <t>build (Python emulation of RunAllScenarios)</t>
        </is>
      </c>
      <c r="H143" s="47" t="n">
        <v>0</v>
      </c>
      <c r="I143" s="47" t="n">
        <v>0</v>
      </c>
      <c r="J143" s="47" t="n">
        <v>0</v>
      </c>
      <c r="K143" s="47" t="n">
        <v>0</v>
      </c>
      <c r="L143" s="47" t="n">
        <v>0</v>
      </c>
      <c r="M143" s="47" t="n">
        <v>0</v>
      </c>
      <c r="N143" s="47" t="n">
        <v>0</v>
      </c>
      <c r="O143" s="47" t="n">
        <v>0</v>
      </c>
      <c r="P143" s="47" t="n">
        <v>0</v>
      </c>
      <c r="Q143" s="47" t="n">
        <v>0</v>
      </c>
      <c r="R143" s="47" t="n">
        <v>0</v>
      </c>
      <c r="S143" s="47" t="n">
        <v>0</v>
      </c>
      <c r="T143" s="47" t="n">
        <v>0</v>
      </c>
      <c r="U143" s="47" t="n">
        <v>0</v>
      </c>
      <c r="V143" s="47" t="n">
        <v>0</v>
      </c>
      <c r="W143" s="47" t="n">
        <v>0</v>
      </c>
      <c r="X143" s="47" t="n">
        <v>0</v>
      </c>
      <c r="Y143" s="47" t="n">
        <v>0</v>
      </c>
      <c r="Z143" s="47" t="n">
        <v>0</v>
      </c>
      <c r="AA143" s="47" t="n">
        <v>0</v>
      </c>
    </row>
    <row r="144">
      <c r="A144" s="10" t="n">
        <v>4</v>
      </c>
      <c r="B144" s="14" t="inlineStr">
        <is>
          <t>Package A: carbon tax to $50 by 2030 + feebates (transport, industry)</t>
        </is>
      </c>
      <c r="C144" s="14" t="inlineStr">
        <is>
          <t>mit.xct.p</t>
        </is>
      </c>
      <c r="D144" s="14" t="inlineStr">
        <is>
          <t>egy.mit.xct.p.4</t>
        </is>
      </c>
      <c r="E144" s="14" t="inlineStr">
        <is>
          <t>Existing carbon tax rate used</t>
        </is>
      </c>
      <c r="F144" s="14" t="inlineStr">
        <is>
          <t>USD/tCO2 real</t>
        </is>
      </c>
      <c r="G144" s="14" t="inlineStr">
        <is>
          <t>build (Python emulation of RunAllScenarios)</t>
        </is>
      </c>
      <c r="H144" s="24" t="n">
        <v>0</v>
      </c>
      <c r="I144" s="24" t="n">
        <v>0</v>
      </c>
      <c r="J144" s="24" t="n">
        <v>0</v>
      </c>
      <c r="K144" s="24" t="n">
        <v>0</v>
      </c>
      <c r="L144" s="24" t="n">
        <v>0</v>
      </c>
      <c r="M144" s="24" t="n">
        <v>0</v>
      </c>
      <c r="N144" s="24" t="n">
        <v>0</v>
      </c>
      <c r="O144" s="24" t="n">
        <v>0</v>
      </c>
      <c r="P144" s="24" t="n">
        <v>0</v>
      </c>
      <c r="Q144" s="24" t="n">
        <v>0</v>
      </c>
      <c r="R144" s="24" t="n">
        <v>0</v>
      </c>
      <c r="S144" s="24" t="n">
        <v>0</v>
      </c>
      <c r="T144" s="24" t="n">
        <v>0</v>
      </c>
      <c r="U144" s="24" t="n">
        <v>0</v>
      </c>
      <c r="V144" s="24" t="n">
        <v>0</v>
      </c>
      <c r="W144" s="24" t="n">
        <v>0</v>
      </c>
      <c r="X144" s="24" t="n">
        <v>0</v>
      </c>
      <c r="Y144" s="24" t="n">
        <v>0</v>
      </c>
      <c r="Z144" s="24" t="n">
        <v>0</v>
      </c>
      <c r="AA144" s="24" t="n">
        <v>0</v>
      </c>
    </row>
    <row r="145">
      <c r="A145" s="10" t="n">
        <v>4</v>
      </c>
      <c r="B145" s="14" t="inlineStr">
        <is>
          <t>Package A: carbon tax to $50 by 2030 + feebates (transport, industry)</t>
        </is>
      </c>
      <c r="C145" s="14" t="inlineStr">
        <is>
          <t>mit.xets.p</t>
        </is>
      </c>
      <c r="D145" s="14" t="inlineStr">
        <is>
          <t>egy.mit.xets.p.4</t>
        </is>
      </c>
      <c r="E145" s="14" t="inlineStr">
        <is>
          <t>Existing ETS permit price used</t>
        </is>
      </c>
      <c r="F145" s="14" t="inlineStr">
        <is>
          <t>USD/tCO2 real</t>
        </is>
      </c>
      <c r="G145" s="14" t="inlineStr">
        <is>
          <t>build (Python emulation of RunAllScenarios)</t>
        </is>
      </c>
      <c r="H145" s="24" t="n">
        <v>0</v>
      </c>
      <c r="I145" s="24" t="n">
        <v>0</v>
      </c>
      <c r="J145" s="24" t="n">
        <v>0</v>
      </c>
      <c r="K145" s="24" t="n">
        <v>0</v>
      </c>
      <c r="L145" s="24" t="n">
        <v>0</v>
      </c>
      <c r="M145" s="24" t="n">
        <v>0</v>
      </c>
      <c r="N145" s="24" t="n">
        <v>0</v>
      </c>
      <c r="O145" s="24" t="n">
        <v>0</v>
      </c>
      <c r="P145" s="24" t="n">
        <v>0</v>
      </c>
      <c r="Q145" s="24" t="n">
        <v>0</v>
      </c>
      <c r="R145" s="24" t="n">
        <v>0</v>
      </c>
      <c r="S145" s="24" t="n">
        <v>0</v>
      </c>
      <c r="T145" s="24" t="n">
        <v>0</v>
      </c>
      <c r="U145" s="24" t="n">
        <v>0</v>
      </c>
      <c r="V145" s="24" t="n">
        <v>0</v>
      </c>
      <c r="W145" s="24" t="n">
        <v>0</v>
      </c>
      <c r="X145" s="24" t="n">
        <v>0</v>
      </c>
      <c r="Y145" s="24" t="n">
        <v>0</v>
      </c>
      <c r="Z145" s="24" t="n">
        <v>0</v>
      </c>
      <c r="AA145" s="24" t="n">
        <v>0</v>
      </c>
    </row>
    <row r="146">
      <c r="A146" s="10" t="n">
        <v>4</v>
      </c>
      <c r="B146" s="14" t="inlineStr">
        <is>
          <t>Package A: carbon tax to $50 by 2030 + feebates (transport, industry)</t>
        </is>
      </c>
      <c r="C146" s="14" t="inlineStr">
        <is>
          <t>mit.cptraj</t>
        </is>
      </c>
      <c r="D146" s="14" t="inlineStr">
        <is>
          <t>egy.mit.cptraj.4</t>
        </is>
      </c>
      <c r="E146" s="14" t="inlineStr">
        <is>
          <t>Carbon price trajectory used</t>
        </is>
      </c>
      <c r="F146" s="14" t="inlineStr">
        <is>
          <t>$/tCO2 real</t>
        </is>
      </c>
      <c r="G146" s="14" t="inlineStr">
        <is>
          <t>build (Python emulation of RunAllScenarios)</t>
        </is>
      </c>
      <c r="H146" s="24" t="n">
        <v>0</v>
      </c>
      <c r="I146" s="24" t="n">
        <v>0</v>
      </c>
      <c r="J146" s="24" t="n">
        <v>0</v>
      </c>
      <c r="K146" s="24" t="n">
        <v>0</v>
      </c>
      <c r="L146" s="24" t="n">
        <v>0</v>
      </c>
      <c r="M146" s="24" t="n">
        <v>10</v>
      </c>
      <c r="N146" s="24" t="n">
        <v>23.3333333333333</v>
      </c>
      <c r="O146" s="24" t="n">
        <v>36.6666666666667</v>
      </c>
      <c r="P146" s="24" t="n">
        <v>50</v>
      </c>
      <c r="Q146" s="24" t="n">
        <v>63.3333333333333</v>
      </c>
      <c r="R146" s="24" t="n">
        <v>76.6666666666667</v>
      </c>
      <c r="S146" s="24" t="n">
        <v>90</v>
      </c>
      <c r="T146" s="24" t="n">
        <v>103.333333333333</v>
      </c>
      <c r="U146" s="24" t="n">
        <v>116.666666666667</v>
      </c>
      <c r="V146" s="24" t="n">
        <v>130</v>
      </c>
      <c r="W146" s="24" t="n">
        <v>143.333333333333</v>
      </c>
      <c r="X146" s="24" t="n">
        <v>156.666666666667</v>
      </c>
      <c r="Y146" s="24" t="n">
        <v>170</v>
      </c>
      <c r="Z146" s="24" t="n">
        <v>183.333333333333</v>
      </c>
      <c r="AA146" s="24" t="n">
        <v>196.666666666667</v>
      </c>
    </row>
    <row r="147">
      <c r="A147" s="10" t="n">
        <v>4</v>
      </c>
      <c r="B147" s="14" t="inlineStr">
        <is>
          <t>Package A: carbon tax to $50 by 2030 + feebates (transport, industry)</t>
        </is>
      </c>
      <c r="C147" s="14" t="inlineStr">
        <is>
          <t>mit.ets.p</t>
        </is>
      </c>
      <c r="D147" s="14" t="inlineStr">
        <is>
          <t>egy.mit.ets.p.4</t>
        </is>
      </c>
      <c r="E147" s="14" t="inlineStr">
        <is>
          <t>ETS permit price used</t>
        </is>
      </c>
      <c r="F147" s="14" t="inlineStr">
        <is>
          <t>$/tCO2 real</t>
        </is>
      </c>
      <c r="G147" s="14" t="inlineStr">
        <is>
          <t>build (Python emulation of RunAllScenarios)</t>
        </is>
      </c>
      <c r="H147" s="24" t="n">
        <v>0</v>
      </c>
      <c r="I147" s="24" t="n">
        <v>0</v>
      </c>
      <c r="J147" s="24" t="n">
        <v>0</v>
      </c>
      <c r="K147" s="24" t="n">
        <v>0</v>
      </c>
      <c r="L147" s="24" t="n">
        <v>0</v>
      </c>
      <c r="M147" s="24" t="n">
        <v>0</v>
      </c>
      <c r="N147" s="24" t="n">
        <v>0</v>
      </c>
      <c r="O147" s="24" t="n">
        <v>0</v>
      </c>
      <c r="P147" s="24" t="n">
        <v>0</v>
      </c>
      <c r="Q147" s="24" t="n">
        <v>0</v>
      </c>
      <c r="R147" s="24" t="n">
        <v>0</v>
      </c>
      <c r="S147" s="24" t="n">
        <v>0</v>
      </c>
      <c r="T147" s="24" t="n">
        <v>0</v>
      </c>
      <c r="U147" s="24" t="n">
        <v>0</v>
      </c>
      <c r="V147" s="24" t="n">
        <v>0</v>
      </c>
      <c r="W147" s="24" t="n">
        <v>0</v>
      </c>
      <c r="X147" s="24" t="n">
        <v>0</v>
      </c>
      <c r="Y147" s="24" t="n">
        <v>0</v>
      </c>
      <c r="Z147" s="24" t="n">
        <v>0</v>
      </c>
      <c r="AA147" s="24" t="n">
        <v>0</v>
      </c>
    </row>
    <row r="148">
      <c r="A148" s="10" t="n">
        <v>4</v>
      </c>
      <c r="B148" s="14" t="inlineStr">
        <is>
          <t>Package A: carbon tax to $50 by 2030 + feebates (transport, industry)</t>
        </is>
      </c>
      <c r="C148" s="14" t="inlineStr">
        <is>
          <t>mit.co2.ets.all.all</t>
        </is>
      </c>
      <c r="D148" s="14" t="inlineStr">
        <is>
          <t>egy.mit.co2.ets.all.all.4</t>
        </is>
      </c>
      <c r="E148" s="14" t="inlineStr">
        <is>
          <t>CO2 emissions covered by the new ETS | All sectors | All fuels</t>
        </is>
      </c>
      <c r="F148" s="14" t="inlineStr">
        <is>
          <t>MtCO2</t>
        </is>
      </c>
      <c r="G148" s="14" t="inlineStr">
        <is>
          <t>build (Python emulation of RunAllScenarios)</t>
        </is>
      </c>
      <c r="H148" s="44" t="n">
        <v>0</v>
      </c>
      <c r="I148" s="44" t="n">
        <v>0</v>
      </c>
      <c r="J148" s="44" t="n">
        <v>0</v>
      </c>
      <c r="K148" s="44" t="n">
        <v>0</v>
      </c>
      <c r="L148" s="44" t="n">
        <v>0</v>
      </c>
      <c r="M148" s="44" t="n">
        <v>0</v>
      </c>
      <c r="N148" s="44" t="n">
        <v>0</v>
      </c>
      <c r="O148" s="44" t="n">
        <v>0</v>
      </c>
      <c r="P148" s="44" t="n">
        <v>0</v>
      </c>
      <c r="Q148" s="44" t="n">
        <v>0</v>
      </c>
      <c r="R148" s="44" t="n">
        <v>0</v>
      </c>
      <c r="S148" s="44" t="n">
        <v>0</v>
      </c>
      <c r="T148" s="44" t="n">
        <v>0</v>
      </c>
      <c r="U148" s="44" t="n">
        <v>0</v>
      </c>
      <c r="V148" s="44" t="n">
        <v>0</v>
      </c>
      <c r="W148" s="44" t="n">
        <v>0</v>
      </c>
      <c r="X148" s="44" t="n">
        <v>0</v>
      </c>
      <c r="Y148" s="44" t="n">
        <v>0</v>
      </c>
      <c r="Z148" s="44" t="n">
        <v>0</v>
      </c>
      <c r="AA148" s="44" t="n">
        <v>0</v>
      </c>
    </row>
    <row r="149">
      <c r="A149" s="10" t="n">
        <v>4</v>
      </c>
      <c r="B149" s="14" t="inlineStr">
        <is>
          <t>Package A: carbon tax to $50 by 2030 + feebates (transport, industry)</t>
        </is>
      </c>
      <c r="C149" s="14" t="inlineStr">
        <is>
          <t>mit.co2.cap.all.all</t>
        </is>
      </c>
      <c r="D149" s="14" t="inlineStr">
        <is>
          <t>egy.mit.co2.cap.all.all.4</t>
        </is>
      </c>
      <c r="E149" s="14" t="inlineStr">
        <is>
          <t>ETS cap | All sectors | All fuels</t>
        </is>
      </c>
      <c r="F149" s="14" t="inlineStr">
        <is>
          <t>MtCO2</t>
        </is>
      </c>
      <c r="G149" s="14" t="inlineStr">
        <is>
          <t>build (Python emulation of RunAllScenarios)</t>
        </is>
      </c>
      <c r="H149" s="44" t="n">
        <v>0</v>
      </c>
      <c r="I149" s="44" t="n">
        <v>0</v>
      </c>
      <c r="J149" s="44" t="n">
        <v>0</v>
      </c>
      <c r="K149" s="44" t="n">
        <v>0</v>
      </c>
      <c r="L149" s="44" t="n">
        <v>0</v>
      </c>
      <c r="M149" s="44" t="n">
        <v>0</v>
      </c>
      <c r="N149" s="44" t="n">
        <v>0</v>
      </c>
      <c r="O149" s="44" t="n">
        <v>0</v>
      </c>
      <c r="P149" s="44" t="n">
        <v>0</v>
      </c>
      <c r="Q149" s="44" t="n">
        <v>0</v>
      </c>
      <c r="R149" s="44" t="n">
        <v>0</v>
      </c>
      <c r="S149" s="44" t="n">
        <v>0</v>
      </c>
      <c r="T149" s="44" t="n">
        <v>0</v>
      </c>
      <c r="U149" s="44" t="n">
        <v>0</v>
      </c>
      <c r="V149" s="44" t="n">
        <v>0</v>
      </c>
      <c r="W149" s="44" t="n">
        <v>0</v>
      </c>
      <c r="X149" s="44" t="n">
        <v>0</v>
      </c>
      <c r="Y149" s="44" t="n">
        <v>0</v>
      </c>
      <c r="Z149" s="44" t="n">
        <v>0</v>
      </c>
      <c r="AA149" s="44" t="n">
        <v>0</v>
      </c>
    </row>
    <row r="150">
      <c r="A150" s="10" t="n">
        <v>4</v>
      </c>
      <c r="B150" s="14" t="inlineStr">
        <is>
          <t>Package A: carbon tax to $50 by 2030 + feebates (transport, industry)</t>
        </is>
      </c>
      <c r="C150" s="14" t="inlineStr">
        <is>
          <t>mit.rpb.all.gso.a</t>
        </is>
      </c>
      <c r="D150" s="14" t="inlineStr">
        <is>
          <t>egy.mit.rpb.all.gso.a.4</t>
        </is>
      </c>
      <c r="E150" s="14" t="inlineStr">
        <is>
          <t>Retail price before new policies | All sectors | Gasoline</t>
        </is>
      </c>
      <c r="F150" s="14" t="inlineStr">
        <is>
          <t>$/GJ real</t>
        </is>
      </c>
      <c r="G150" s="14" t="inlineStr">
        <is>
          <t>build (Python emulation of RunAllScenarios)</t>
        </is>
      </c>
      <c r="H150" s="24" t="n">
        <v>17.1645453257496</v>
      </c>
      <c r="I150" s="24" t="n">
        <v>11.7387816845338</v>
      </c>
      <c r="J150" s="24" t="n">
        <v>9.58268059228592</v>
      </c>
      <c r="K150" s="24" t="n">
        <v>9.58268059228592</v>
      </c>
      <c r="L150" s="24" t="n">
        <v>9.58268059228592</v>
      </c>
      <c r="M150" s="24" t="n">
        <v>9.58268059228592</v>
      </c>
      <c r="N150" s="24" t="n">
        <v>9.58268059228592</v>
      </c>
      <c r="O150" s="24" t="n">
        <v>9.58268059228592</v>
      </c>
      <c r="P150" s="24" t="n">
        <v>9.58268059228592</v>
      </c>
      <c r="Q150" s="24" t="n">
        <v>9.58268059228592</v>
      </c>
      <c r="R150" s="24" t="n">
        <v>9.58268059228592</v>
      </c>
      <c r="S150" s="24" t="n">
        <v>9.58268059228592</v>
      </c>
      <c r="T150" s="24" t="n">
        <v>9.58268059228592</v>
      </c>
      <c r="U150" s="24" t="n">
        <v>9.58268059228592</v>
      </c>
      <c r="V150" s="24" t="n">
        <v>9.58268059228592</v>
      </c>
      <c r="W150" s="24" t="n">
        <v>9.58268059228592</v>
      </c>
      <c r="X150" s="24" t="n">
        <v>9.58268059228592</v>
      </c>
      <c r="Y150" s="24" t="n">
        <v>9.58268059228592</v>
      </c>
      <c r="Z150" s="24" t="n">
        <v>9.58268059228592</v>
      </c>
      <c r="AA150" s="24" t="n">
        <v>9.58268059228592</v>
      </c>
    </row>
    <row r="151">
      <c r="A151" s="10" t="n">
        <v>4</v>
      </c>
      <c r="B151" s="14" t="inlineStr">
        <is>
          <t>Package A: carbon tax to $50 by 2030 + feebates (transport, industry)</t>
        </is>
      </c>
      <c r="C151" s="14" t="inlineStr">
        <is>
          <t>mit.rpb.all.die.a</t>
        </is>
      </c>
      <c r="D151" s="14" t="inlineStr">
        <is>
          <t>egy.mit.rpb.all.die.a.4</t>
        </is>
      </c>
      <c r="E151" s="14" t="inlineStr">
        <is>
          <t>Retail price before new policies | All sectors | Diesel</t>
        </is>
      </c>
      <c r="F151" s="14" t="inlineStr">
        <is>
          <t>$/GJ real</t>
        </is>
      </c>
      <c r="G151" s="14" t="inlineStr">
        <is>
          <t>build (Python emulation of RunAllScenarios)</t>
        </is>
      </c>
      <c r="H151" s="24" t="n">
        <v>11.0953075337741</v>
      </c>
      <c r="I151" s="24" t="n">
        <v>7.52329139696042</v>
      </c>
      <c r="J151" s="24" t="n">
        <v>6.68201385154289</v>
      </c>
      <c r="K151" s="24" t="n">
        <v>6.68201385154289</v>
      </c>
      <c r="L151" s="24" t="n">
        <v>6.68201385154289</v>
      </c>
      <c r="M151" s="24" t="n">
        <v>6.68201385154289</v>
      </c>
      <c r="N151" s="24" t="n">
        <v>6.68201385154289</v>
      </c>
      <c r="O151" s="24" t="n">
        <v>6.68201385154289</v>
      </c>
      <c r="P151" s="24" t="n">
        <v>6.68201385154289</v>
      </c>
      <c r="Q151" s="24" t="n">
        <v>6.68201385154289</v>
      </c>
      <c r="R151" s="24" t="n">
        <v>6.68201385154289</v>
      </c>
      <c r="S151" s="24" t="n">
        <v>6.68201385154289</v>
      </c>
      <c r="T151" s="24" t="n">
        <v>6.68201385154289</v>
      </c>
      <c r="U151" s="24" t="n">
        <v>6.68201385154289</v>
      </c>
      <c r="V151" s="24" t="n">
        <v>6.68201385154289</v>
      </c>
      <c r="W151" s="24" t="n">
        <v>6.68201385154289</v>
      </c>
      <c r="X151" s="24" t="n">
        <v>6.68201385154289</v>
      </c>
      <c r="Y151" s="24" t="n">
        <v>6.68201385154289</v>
      </c>
      <c r="Z151" s="24" t="n">
        <v>6.68201385154289</v>
      </c>
      <c r="AA151" s="24" t="n">
        <v>6.68201385154289</v>
      </c>
    </row>
    <row r="152">
      <c r="A152" s="10" t="n">
        <v>4</v>
      </c>
      <c r="B152" s="14" t="inlineStr">
        <is>
          <t>Package A: carbon tax to $50 by 2030 + feebates (transport, industry)</t>
        </is>
      </c>
      <c r="C152" s="14" t="inlineStr">
        <is>
          <t>mit.rpb.res.nga.a</t>
        </is>
      </c>
      <c r="D152" s="14" t="inlineStr">
        <is>
          <t>egy.mit.rpb.res.nga.a.4</t>
        </is>
      </c>
      <c r="E152" s="14" t="inlineStr">
        <is>
          <t>Retail price before new policies | Residential | Natural gas</t>
        </is>
      </c>
      <c r="F152" s="14" t="inlineStr">
        <is>
          <t>$/GJ real</t>
        </is>
      </c>
      <c r="G152" s="14" t="inlineStr">
        <is>
          <t>build (Python emulation of RunAllScenarios)</t>
        </is>
      </c>
      <c r="H152" s="24" t="n">
        <v>4.63366849483039</v>
      </c>
      <c r="I152" s="24" t="n">
        <v>3.20868563703672</v>
      </c>
      <c r="J152" s="24" t="n">
        <v>2.33088056865822</v>
      </c>
      <c r="K152" s="24" t="n">
        <v>2.33088056865822</v>
      </c>
      <c r="L152" s="24" t="n">
        <v>2.33088056865822</v>
      </c>
      <c r="M152" s="24" t="n">
        <v>2.33088056865822</v>
      </c>
      <c r="N152" s="24" t="n">
        <v>2.33088056865822</v>
      </c>
      <c r="O152" s="24" t="n">
        <v>2.33088056865822</v>
      </c>
      <c r="P152" s="24" t="n">
        <v>2.33088056865822</v>
      </c>
      <c r="Q152" s="24" t="n">
        <v>2.33088056865822</v>
      </c>
      <c r="R152" s="24" t="n">
        <v>2.33088056865822</v>
      </c>
      <c r="S152" s="24" t="n">
        <v>2.33088056865822</v>
      </c>
      <c r="T152" s="24" t="n">
        <v>2.33088056865822</v>
      </c>
      <c r="U152" s="24" t="n">
        <v>2.33088056865822</v>
      </c>
      <c r="V152" s="24" t="n">
        <v>2.33088056865822</v>
      </c>
      <c r="W152" s="24" t="n">
        <v>2.33088056865822</v>
      </c>
      <c r="X152" s="24" t="n">
        <v>2.33088056865822</v>
      </c>
      <c r="Y152" s="24" t="n">
        <v>2.33088056865822</v>
      </c>
      <c r="Z152" s="24" t="n">
        <v>2.33088056865822</v>
      </c>
      <c r="AA152" s="24" t="n">
        <v>2.33088056865822</v>
      </c>
    </row>
    <row r="153">
      <c r="A153" s="10" t="n">
        <v>4</v>
      </c>
      <c r="B153" s="14" t="inlineStr">
        <is>
          <t>Package A: carbon tax to $50 by 2030 + feebates (transport, industry)</t>
        </is>
      </c>
      <c r="C153" s="14" t="inlineStr">
        <is>
          <t>mit.atp.rod.gso.e</t>
        </is>
      </c>
      <c r="D153" s="14" t="inlineStr">
        <is>
          <t>egy.mit.atp.rod.gso.e.4</t>
        </is>
      </c>
      <c r="E153" s="14" t="inlineStr">
        <is>
          <t>After-tax price | Road | Gasoline</t>
        </is>
      </c>
      <c r="F153" s="14" t="inlineStr">
        <is>
          <t>$/GJ real</t>
        </is>
      </c>
      <c r="G153" s="14" t="inlineStr">
        <is>
          <t>build (Python emulation of RunAllScenarios)</t>
        </is>
      </c>
      <c r="H153" s="24" t="n">
        <v>17.1645453257496</v>
      </c>
      <c r="I153" s="24" t="n">
        <v>11.7387816845338</v>
      </c>
      <c r="J153" s="24" t="n">
        <v>9.58268059228592</v>
      </c>
      <c r="K153" s="24" t="n">
        <v>9.58268059228592</v>
      </c>
      <c r="L153" s="24" t="n">
        <v>9.58268059228592</v>
      </c>
      <c r="M153" s="24" t="n">
        <v>10.2444605922859</v>
      </c>
      <c r="N153" s="24" t="n">
        <v>11.1268339256193</v>
      </c>
      <c r="O153" s="24" t="n">
        <v>12.0092072589526</v>
      </c>
      <c r="P153" s="24" t="n">
        <v>12.8915805922859</v>
      </c>
      <c r="Q153" s="24" t="n">
        <v>13.7739539256193</v>
      </c>
      <c r="R153" s="24" t="n">
        <v>14.6563272589526</v>
      </c>
      <c r="S153" s="24" t="n">
        <v>15.5387005922859</v>
      </c>
      <c r="T153" s="24" t="n">
        <v>16.4210739256193</v>
      </c>
      <c r="U153" s="24" t="n">
        <v>17.3034472589526</v>
      </c>
      <c r="V153" s="24" t="n">
        <v>18.1858205922859</v>
      </c>
      <c r="W153" s="24" t="n">
        <v>19.0681939256193</v>
      </c>
      <c r="X153" s="24" t="n">
        <v>19.9505672589526</v>
      </c>
      <c r="Y153" s="24" t="n">
        <v>20.8329405922859</v>
      </c>
      <c r="Z153" s="24" t="n">
        <v>21.7153139256193</v>
      </c>
      <c r="AA153" s="24" t="n">
        <v>22.5976872589526</v>
      </c>
    </row>
    <row r="154">
      <c r="A154" s="10" t="n">
        <v>4</v>
      </c>
      <c r="B154" s="14" t="inlineStr">
        <is>
          <t>Package A: carbon tax to $50 by 2030 + feebates (transport, industry)</t>
        </is>
      </c>
      <c r="C154" s="14" t="inlineStr">
        <is>
          <t>mit.rp.res.ecy</t>
        </is>
      </c>
      <c r="D154" s="14" t="inlineStr">
        <is>
          <t>egy.mit.rp.res.ecy.4</t>
        </is>
      </c>
      <c r="E154" s="14" t="inlineStr">
        <is>
          <t>End-user electricity price | Residential | Electricity</t>
        </is>
      </c>
      <c r="F154" s="14" t="inlineStr">
        <is>
          <t>$/kWh real</t>
        </is>
      </c>
      <c r="G154" s="14" t="inlineStr">
        <is>
          <t>build (Python emulation of RunAllScenarios)</t>
        </is>
      </c>
      <c r="H154" s="16" t="n">
        <v>0.0613881498333761</v>
      </c>
      <c r="I154" s="16" t="n">
        <v>0.0524045289478607</v>
      </c>
      <c r="J154" s="16" t="n">
        <v>0.0455995743641052</v>
      </c>
      <c r="K154" s="16" t="n">
        <v>0.0487257753995943</v>
      </c>
      <c r="L154" s="16" t="n">
        <v>0.0504030865501137</v>
      </c>
      <c r="M154" s="16" t="n">
        <v>0.0585545765797833</v>
      </c>
      <c r="N154" s="16" t="n">
        <v>0.06328732481522691</v>
      </c>
      <c r="O154" s="16" t="n">
        <v>0.0695511573921191</v>
      </c>
      <c r="P154" s="16" t="n">
        <v>0.0736731508304334</v>
      </c>
      <c r="Q154" s="16" t="n">
        <v>0.07870238812418739</v>
      </c>
      <c r="R154" s="16" t="n">
        <v>0.0825183459832966</v>
      </c>
      <c r="S154" s="16" t="n">
        <v>0.0867129968886504</v>
      </c>
      <c r="T154" s="16" t="n">
        <v>0.0900969343864671</v>
      </c>
      <c r="U154" s="16" t="n">
        <v>0.09356641129912641</v>
      </c>
      <c r="V154" s="16" t="n">
        <v>0.096422324266302</v>
      </c>
      <c r="W154" s="16" t="n">
        <v>0.09922051976777641</v>
      </c>
      <c r="X154" s="16" t="n">
        <v>0.101522396740197</v>
      </c>
      <c r="Y154" s="16" t="n">
        <v>0.103704094704339</v>
      </c>
      <c r="Z154" s="16" t="n">
        <v>0.105458933673032</v>
      </c>
      <c r="AA154" s="16" t="n">
        <v>0.107052716967211</v>
      </c>
    </row>
    <row r="155">
      <c r="A155" s="10" t="n">
        <v>4</v>
      </c>
      <c r="B155" s="14" t="inlineStr">
        <is>
          <t>Package A: carbon tax to $50 by 2030 + feebates (transport, industry)</t>
        </is>
      </c>
      <c r="C155" s="14" t="inlineStr">
        <is>
          <t>mit.rp.ind.ecy</t>
        </is>
      </c>
      <c r="D155" s="14" t="inlineStr">
        <is>
          <t>egy.mit.rp.ind.ecy.4</t>
        </is>
      </c>
      <c r="E155" s="14" t="inlineStr">
        <is>
          <t>End-user electricity price | Industry | Electricity</t>
        </is>
      </c>
      <c r="F155" s="14" t="inlineStr">
        <is>
          <t>$/kWh real</t>
        </is>
      </c>
      <c r="G155" s="14" t="inlineStr">
        <is>
          <t>build (Python emulation of RunAllScenarios)</t>
        </is>
      </c>
      <c r="H155" s="16" t="n">
        <v>0.0636617850123901</v>
      </c>
      <c r="I155" s="16" t="n">
        <v>0.0622303781255846</v>
      </c>
      <c r="J155" s="16" t="n">
        <v>0.0519623056707246</v>
      </c>
      <c r="K155" s="16" t="n">
        <v>0.0550885067062136</v>
      </c>
      <c r="L155" s="16" t="n">
        <v>0.0567658178567331</v>
      </c>
      <c r="M155" s="16" t="n">
        <v>0.06491730788640269</v>
      </c>
      <c r="N155" s="16" t="n">
        <v>0.0696500561218462</v>
      </c>
      <c r="O155" s="16" t="n">
        <v>0.0759138886987384</v>
      </c>
      <c r="P155" s="16" t="n">
        <v>0.0800358821370528</v>
      </c>
      <c r="Q155" s="16" t="n">
        <v>0.0850651194308068</v>
      </c>
      <c r="R155" s="16" t="n">
        <v>0.0888810772899159</v>
      </c>
      <c r="S155" s="16" t="n">
        <v>0.0930757281952697</v>
      </c>
      <c r="T155" s="16" t="n">
        <v>0.0964596656930865</v>
      </c>
      <c r="U155" s="16" t="n">
        <v>0.0999291426057458</v>
      </c>
      <c r="V155" s="16" t="n">
        <v>0.102785055572921</v>
      </c>
      <c r="W155" s="16" t="n">
        <v>0.105583251074396</v>
      </c>
      <c r="X155" s="16" t="n">
        <v>0.107885128046816</v>
      </c>
      <c r="Y155" s="16" t="n">
        <v>0.110066826010958</v>
      </c>
      <c r="Z155" s="16" t="n">
        <v>0.111821664979651</v>
      </c>
      <c r="AA155" s="16" t="n">
        <v>0.11341544827383</v>
      </c>
    </row>
    <row r="156">
      <c r="A156" s="10" t="n">
        <v>4</v>
      </c>
      <c r="B156" s="14" t="inlineStr">
        <is>
          <t>Package A: carbon tax to $50 by 2030 + feebates (transport, industry)</t>
        </is>
      </c>
      <c r="C156" s="14" t="inlineStr">
        <is>
          <t>mit.gncav</t>
        </is>
      </c>
      <c r="D156" s="14" t="inlineStr">
        <is>
          <t>egy.mit.gncav.4</t>
        </is>
      </c>
      <c r="E156" s="14" t="inlineStr">
        <is>
          <t>Average generation cost (weighted by generation shares)</t>
        </is>
      </c>
      <c r="F156" s="14" t="inlineStr">
        <is>
          <t>$/kWh</t>
        </is>
      </c>
      <c r="G156" s="14" t="inlineStr">
        <is>
          <t>build (Python emulation of RunAllScenarios)</t>
        </is>
      </c>
      <c r="H156" s="16" t="n">
        <v>0.0702944291961073</v>
      </c>
      <c r="I156" s="16" t="n">
        <v>0.0675691813943177</v>
      </c>
      <c r="J156" s="16" t="n">
        <v>0.0706953824298068</v>
      </c>
      <c r="K156" s="16" t="n">
        <v>0.0723726935803263</v>
      </c>
      <c r="L156" s="16" t="n">
        <v>0.0764516933594846</v>
      </c>
      <c r="M156" s="16" t="n">
        <v>0.0761932291644053</v>
      </c>
      <c r="N156" s="16" t="n">
        <v>0.0772036860474197</v>
      </c>
      <c r="O156" s="16" t="n">
        <v>0.076655310336497</v>
      </c>
      <c r="P156" s="16" t="n">
        <v>0.07688067157950269</v>
      </c>
      <c r="Q156" s="16" t="n">
        <v>0.0765395657590441</v>
      </c>
      <c r="R156" s="16" t="n">
        <v>0.0765801290049916</v>
      </c>
      <c r="S156" s="16" t="n">
        <v>0.0763719207380254</v>
      </c>
      <c r="T156" s="16" t="n">
        <v>0.07634574495047459</v>
      </c>
      <c r="U156" s="16" t="n">
        <v>0.0761938422527482</v>
      </c>
      <c r="V156" s="16" t="n">
        <v>0.0761347151037112</v>
      </c>
      <c r="W156" s="16" t="n">
        <v>0.07600780869745249</v>
      </c>
      <c r="X156" s="16" t="n">
        <v>0.0759317755949054</v>
      </c>
      <c r="Y156" s="16" t="n">
        <v>0.0758124940097861</v>
      </c>
      <c r="Z156" s="16" t="n">
        <v>0.07570430504711551</v>
      </c>
      <c r="AA156" s="16" t="n">
        <v>0.075546600436375</v>
      </c>
    </row>
    <row r="157">
      <c r="A157" s="10" t="n">
        <v>4</v>
      </c>
      <c r="B157" s="14" t="inlineStr">
        <is>
          <t>Package A: carbon tax to $50 by 2030 + feebates (transport, industry)</t>
        </is>
      </c>
      <c r="C157" s="14" t="inlineStr">
        <is>
          <t>mit.co2.pow.all.e</t>
        </is>
      </c>
      <c r="D157" s="14" t="inlineStr">
        <is>
          <t>egy.mit.co2.pow.all.e.4</t>
        </is>
      </c>
      <c r="E157" s="14" t="inlineStr">
        <is>
          <t>CO2 emissions from fuel combustion | Power | All fuels</t>
        </is>
      </c>
      <c r="F157" s="14" t="inlineStr">
        <is>
          <t>MtCO2</t>
        </is>
      </c>
      <c r="G157" s="14" t="inlineStr">
        <is>
          <t>build (Python emulation of RunAllScenarios)</t>
        </is>
      </c>
      <c r="H157" s="44" t="n">
        <v>90.0555728903077</v>
      </c>
      <c r="I157" s="44" t="n">
        <v>109.322831369143</v>
      </c>
      <c r="J157" s="44" t="n">
        <v>109.270998726992</v>
      </c>
      <c r="K157" s="44" t="n">
        <v>117.387421817756</v>
      </c>
      <c r="L157" s="44" t="n">
        <v>109.632462991904</v>
      </c>
      <c r="M157" s="44" t="n">
        <v>109.674760751552</v>
      </c>
      <c r="N157" s="44" t="n">
        <v>101.761929743339</v>
      </c>
      <c r="O157" s="44" t="n">
        <v>102.65948707787</v>
      </c>
      <c r="P157" s="44" t="n">
        <v>99.0204678231791</v>
      </c>
      <c r="Q157" s="44" t="n">
        <v>98.8127766096102</v>
      </c>
      <c r="R157" s="44" t="n">
        <v>96.2754533935382</v>
      </c>
      <c r="S157" s="44" t="n">
        <v>95.3888259022014</v>
      </c>
      <c r="T157" s="44" t="n">
        <v>93.3850945565772</v>
      </c>
      <c r="U157" s="44" t="n">
        <v>92.263022370904</v>
      </c>
      <c r="V157" s="44" t="n">
        <v>90.5530632570899</v>
      </c>
      <c r="W157" s="44" t="n">
        <v>89.3590907929112</v>
      </c>
      <c r="X157" s="44" t="n">
        <v>87.8200716208102</v>
      </c>
      <c r="Y157" s="44" t="n">
        <v>86.61330813398411</v>
      </c>
      <c r="Z157" s="44" t="n">
        <v>85.1724664645235</v>
      </c>
      <c r="AA157" s="44" t="n">
        <v>83.96719699636979</v>
      </c>
    </row>
    <row r="158">
      <c r="A158" s="10" t="n">
        <v>4</v>
      </c>
      <c r="B158" s="14" t="inlineStr">
        <is>
          <t>Package A: carbon tax to $50 by 2030 + feebates (transport, industry)</t>
        </is>
      </c>
      <c r="C158" s="14" t="inlineStr">
        <is>
          <t>mit.gtot</t>
        </is>
      </c>
      <c r="D158" s="14" t="inlineStr">
        <is>
          <t>egy.mit.gtot.4</t>
        </is>
      </c>
      <c r="E158" s="14" t="inlineStr">
        <is>
          <t>Generation, total</t>
        </is>
      </c>
      <c r="F158" s="14" t="inlineStr">
        <is>
          <t>MWy</t>
        </is>
      </c>
      <c r="G158" s="14" t="inlineStr">
        <is>
          <t>build (Python emulation of RunAllScenarios)</t>
        </is>
      </c>
      <c r="H158" s="47" t="n">
        <v>25122.5095205354</v>
      </c>
      <c r="I158" s="47" t="n">
        <v>30746.5374802134</v>
      </c>
      <c r="J158" s="47" t="n">
        <v>32478.0797087984</v>
      </c>
      <c r="K158" s="47" t="n">
        <v>36617.9829695121</v>
      </c>
      <c r="L158" s="47" t="n">
        <v>36706.7366650005</v>
      </c>
      <c r="M158" s="47" t="n">
        <v>37542.0680150962</v>
      </c>
      <c r="N158" s="47" t="n">
        <v>36519.7687041852</v>
      </c>
      <c r="O158" s="47" t="n">
        <v>36651.1552196136</v>
      </c>
      <c r="P158" s="47" t="n">
        <v>36349.6255437275</v>
      </c>
      <c r="Q158" s="47" t="n">
        <v>36668.9433334329</v>
      </c>
      <c r="R158" s="47" t="n">
        <v>36816.0296742065</v>
      </c>
      <c r="S158" s="47" t="n">
        <v>37279.7548013425</v>
      </c>
      <c r="T158" s="47" t="n">
        <v>37686.5845937644</v>
      </c>
      <c r="U158" s="47" t="n">
        <v>38288.4445434364</v>
      </c>
      <c r="V158" s="47" t="n">
        <v>38888.8646483923</v>
      </c>
      <c r="W158" s="47" t="n">
        <v>39628.7642163654</v>
      </c>
      <c r="X158" s="47" t="n">
        <v>40391.7676511124</v>
      </c>
      <c r="Y158" s="47" t="n">
        <v>41265.0617503294</v>
      </c>
      <c r="Z158" s="47" t="n">
        <v>42172.3177318347</v>
      </c>
      <c r="AA158" s="47" t="n">
        <v>43175.5578686844</v>
      </c>
    </row>
    <row r="159">
      <c r="A159" s="10" t="n">
        <v>4</v>
      </c>
      <c r="B159" s="14" t="inlineStr">
        <is>
          <t>Package A: carbon tax to $50 by 2030 + feebates (transport, industry)</t>
        </is>
      </c>
      <c r="C159" s="14" t="inlineStr">
        <is>
          <t>mit.vre</t>
        </is>
      </c>
      <c r="D159" s="14" t="inlineStr">
        <is>
          <t>egy.mit.vre.4</t>
        </is>
      </c>
      <c r="E159" s="14" t="inlineStr">
        <is>
          <t>Variable renewable share of generation (wind, solar, other renewables)</t>
        </is>
      </c>
      <c r="F159" s="14" t="inlineStr">
        <is>
          <t>share</t>
        </is>
      </c>
      <c r="G159" s="14" t="inlineStr">
        <is>
          <t>build (Python emulation of RunAllScenarios)</t>
        </is>
      </c>
      <c r="H159" s="13" t="n">
        <v>0.0523422150659333</v>
      </c>
      <c r="I159" s="13" t="n">
        <v>0.0522945854792178</v>
      </c>
      <c r="J159" s="13" t="n">
        <v>0.07866018417179201</v>
      </c>
      <c r="K159" s="13" t="n">
        <v>0.0982218616746779</v>
      </c>
      <c r="L159" s="13" t="n">
        <v>0.129358919496901</v>
      </c>
      <c r="M159" s="13" t="n">
        <v>0.141554260195427</v>
      </c>
      <c r="N159" s="13" t="n">
        <v>0.167507447357872</v>
      </c>
      <c r="O159" s="13" t="n">
        <v>0.161117101033584</v>
      </c>
      <c r="P159" s="13" t="n">
        <v>0.174918333970758</v>
      </c>
      <c r="Q159" s="13" t="n">
        <v>0.17884186033787</v>
      </c>
      <c r="R159" s="13" t="n">
        <v>0.194046787479911</v>
      </c>
      <c r="S159" s="13" t="n">
        <v>0.204396958256204</v>
      </c>
      <c r="T159" s="13" t="n">
        <v>0.220283243458063</v>
      </c>
      <c r="U159" s="13" t="n">
        <v>0.233635060213052</v>
      </c>
      <c r="V159" s="13" t="n">
        <v>0.249972235999363</v>
      </c>
      <c r="W159" s="13" t="n">
        <v>0.264826012632594</v>
      </c>
      <c r="X159" s="13" t="n">
        <v>0.281375633563599</v>
      </c>
      <c r="Y159" s="13" t="n">
        <v>0.296891810439025</v>
      </c>
      <c r="Z159" s="13" t="n">
        <v>0.313499519541483</v>
      </c>
      <c r="AA159" s="13" t="n">
        <v>0.329334084315167</v>
      </c>
    </row>
    <row r="160">
      <c r="A160" s="10" t="n">
        <v>4</v>
      </c>
      <c r="B160" s="14" t="inlineStr">
        <is>
          <t>Package A: carbon tax to $50 by 2030 + feebates (transport, industry)</t>
        </is>
      </c>
      <c r="C160" s="14" t="inlineStr">
        <is>
          <t>mit.shr.pow.nga</t>
        </is>
      </c>
      <c r="D160" s="14" t="inlineStr">
        <is>
          <t>egy.mit.shr.pow.nga.4</t>
        </is>
      </c>
      <c r="E160" s="14" t="inlineStr">
        <is>
          <t>Generation share | Power | Natural gas</t>
        </is>
      </c>
      <c r="F160" s="14" t="inlineStr">
        <is>
          <t>share</t>
        </is>
      </c>
      <c r="G160" s="14" t="inlineStr">
        <is>
          <t>build (Python emulation of RunAllScenarios)</t>
        </is>
      </c>
      <c r="H160" s="13" t="n">
        <v>0.796805951196797</v>
      </c>
      <c r="I160" s="13" t="n">
        <v>0.823919758999534</v>
      </c>
      <c r="J160" s="13" t="n">
        <v>0.751816152442463</v>
      </c>
      <c r="K160" s="13" t="n">
        <v>0.6991411424283061</v>
      </c>
      <c r="L160" s="13" t="n">
        <v>0.609675646706613</v>
      </c>
      <c r="M160" s="13" t="n">
        <v>0.6014496368501731</v>
      </c>
      <c r="N160" s="13" t="n">
        <v>0.564690490577672</v>
      </c>
      <c r="O160" s="13" t="n">
        <v>0.574608069923491</v>
      </c>
      <c r="P160" s="13" t="n">
        <v>0.557314096664614</v>
      </c>
      <c r="Q160" s="13" t="n">
        <v>0.555836442546337</v>
      </c>
      <c r="R160" s="13" t="n">
        <v>0.5396789254327951</v>
      </c>
      <c r="S160" s="13" t="n">
        <v>0.531071708022624</v>
      </c>
      <c r="T160" s="13" t="n">
        <v>0.5153190975593001</v>
      </c>
      <c r="U160" s="13" t="n">
        <v>0.503476345879718</v>
      </c>
      <c r="V160" s="13" t="n">
        <v>0.487821228378178</v>
      </c>
      <c r="W160" s="13" t="n">
        <v>0.47439729516042</v>
      </c>
      <c r="X160" s="13" t="n">
        <v>0.458794008814598</v>
      </c>
      <c r="Y160" s="13" t="n">
        <v>0.444666374811099</v>
      </c>
      <c r="Z160" s="13" t="n">
        <v>0.429189736874064</v>
      </c>
      <c r="AA160" s="13" t="n">
        <v>0.414834121796279</v>
      </c>
    </row>
    <row r="161">
      <c r="A161" s="10" t="n">
        <v>4</v>
      </c>
      <c r="B161" s="14" t="inlineStr">
        <is>
          <t>Package A: carbon tax to $50 by 2030 + feebates (transport, industry)</t>
        </is>
      </c>
      <c r="C161" s="14" t="inlineStr">
        <is>
          <t>mit.usdtot</t>
        </is>
      </c>
      <c r="D161" s="14" t="inlineStr">
        <is>
          <t>egy.mit.usdtot.4</t>
        </is>
      </c>
      <c r="E161" s="14" t="inlineStr">
        <is>
          <t>New investment, total</t>
        </is>
      </c>
      <c r="F161" s="14" t="inlineStr">
        <is>
          <t>USD m real</t>
        </is>
      </c>
      <c r="G161" s="14" t="inlineStr">
        <is>
          <t>build (Python emulation of RunAllScenarios)</t>
        </is>
      </c>
      <c r="H161" s="47" t="n">
        <v>3209.35690426746</v>
      </c>
      <c r="I161" s="47" t="n">
        <v>23118.2511509123</v>
      </c>
      <c r="J161" s="47" t="n">
        <v>25914.5092291433</v>
      </c>
      <c r="K161" s="47" t="n">
        <v>29069.8290991108</v>
      </c>
      <c r="L161" s="47" t="n">
        <v>6090.88822982728</v>
      </c>
      <c r="M161" s="47" t="n">
        <v>7927.93132499248</v>
      </c>
      <c r="N161" s="47" t="n">
        <v>74.1723245931888</v>
      </c>
      <c r="O161" s="47" t="n">
        <v>4827.0574083247</v>
      </c>
      <c r="P161" s="47" t="n">
        <v>2967.70731598752</v>
      </c>
      <c r="Q161" s="47" t="n">
        <v>5546.61256272883</v>
      </c>
      <c r="R161" s="47" t="n">
        <v>4862.90400878192</v>
      </c>
      <c r="S161" s="47" t="n">
        <v>6222.29084449248</v>
      </c>
      <c r="T161" s="47" t="n">
        <v>6035.49439756475</v>
      </c>
      <c r="U161" s="47" t="n">
        <v>6903.42330320573</v>
      </c>
      <c r="V161" s="47" t="n">
        <v>6965.16130478986</v>
      </c>
      <c r="W161" s="47" t="n">
        <v>7610.66320612884</v>
      </c>
      <c r="X161" s="47" t="n">
        <v>7779.04181514827</v>
      </c>
      <c r="Y161" s="47" t="n">
        <v>8242.45049805175</v>
      </c>
      <c r="Z161" s="47" t="n">
        <v>8391.040955627321</v>
      </c>
      <c r="AA161" s="47" t="n">
        <v>8777.07640378062</v>
      </c>
    </row>
    <row r="162">
      <c r="A162" s="10" t="n">
        <v>4</v>
      </c>
      <c r="B162" s="14" t="inlineStr">
        <is>
          <t>Package A: carbon tax to $50 by 2030 + feebates (transport, industry)</t>
        </is>
      </c>
      <c r="C162" s="14" t="inlineStr">
        <is>
          <t>mit.demtot</t>
        </is>
      </c>
      <c r="D162" s="14" t="inlineStr">
        <is>
          <t>egy.mit.demtot.4</t>
        </is>
      </c>
      <c r="E162" s="14" t="inlineStr">
        <is>
          <t>Electricity demand, total</t>
        </is>
      </c>
      <c r="F162" s="14" t="inlineStr">
        <is>
          <t>ktoe</t>
        </is>
      </c>
      <c r="G162" s="14" t="inlineStr">
        <is>
          <t>build (Python emulation of RunAllScenarios)</t>
        </is>
      </c>
      <c r="H162" s="47" t="n">
        <v>15495.7198104268</v>
      </c>
      <c r="I162" s="47" t="n">
        <v>18964.655164912</v>
      </c>
      <c r="J162" s="47" t="n">
        <v>20032.681159375</v>
      </c>
      <c r="K162" s="47" t="n">
        <v>22586.199187415</v>
      </c>
      <c r="L162" s="47" t="n">
        <v>22640.943017696</v>
      </c>
      <c r="M162" s="47" t="n">
        <v>23156.180579428</v>
      </c>
      <c r="N162" s="47" t="n">
        <v>22525.6200189346</v>
      </c>
      <c r="O162" s="47" t="n">
        <v>22606.6600371813</v>
      </c>
      <c r="P162" s="47" t="n">
        <v>22420.6746614671</v>
      </c>
      <c r="Q162" s="47" t="n">
        <v>22617.6318561978</v>
      </c>
      <c r="R162" s="47" t="n">
        <v>22708.3556241679</v>
      </c>
      <c r="S162" s="47" t="n">
        <v>22994.384160978</v>
      </c>
      <c r="T162" s="47" t="n">
        <v>23245.3193021808</v>
      </c>
      <c r="U162" s="47" t="n">
        <v>23616.5502549489</v>
      </c>
      <c r="V162" s="47" t="n">
        <v>23986.8931025588</v>
      </c>
      <c r="W162" s="47" t="n">
        <v>24443.2677487221</v>
      </c>
      <c r="X162" s="47" t="n">
        <v>24913.8930033197</v>
      </c>
      <c r="Y162" s="47" t="n">
        <v>25452.5462243486</v>
      </c>
      <c r="Z162" s="47" t="n">
        <v>26012.1473451781</v>
      </c>
      <c r="AA162" s="47" t="n">
        <v>26630.952088808</v>
      </c>
    </row>
    <row r="163">
      <c r="A163" s="10" t="n">
        <v>4</v>
      </c>
      <c r="B163" s="14" t="inlineStr">
        <is>
          <t>Package A: carbon tax to $50 by 2030 + feebates (transport, industry)</t>
        </is>
      </c>
      <c r="C163" s="14" t="inlineStr">
        <is>
          <t>mit.eldem.tra.ecy.e</t>
        </is>
      </c>
      <c r="D163" s="14" t="inlineStr">
        <is>
          <t>egy.mit.eldem.tra.ecy.e.4</t>
        </is>
      </c>
      <c r="E163" s="14" t="inlineStr">
        <is>
          <t>Electricity demand (memo: power model H; not in the fuel totals; sector policies do not act on it) | Transport | Electricity</t>
        </is>
      </c>
      <c r="F163" s="14" t="inlineStr">
        <is>
          <t>ktoe</t>
        </is>
      </c>
      <c r="G163" s="14" t="inlineStr">
        <is>
          <t>build (Python emulation of RunAllScenarios)</t>
        </is>
      </c>
      <c r="H163" s="47" t="n">
        <v>47.6318696194386</v>
      </c>
      <c r="I163" s="47" t="n">
        <v>56.1578666775528</v>
      </c>
      <c r="J163" s="47" t="n">
        <v>59.1776119843666</v>
      </c>
      <c r="K163" s="47" t="n">
        <v>65.56989481179821</v>
      </c>
      <c r="L163" s="47" t="n">
        <v>66.8869576592426</v>
      </c>
      <c r="M163" s="47" t="n">
        <v>69.42393811679869</v>
      </c>
      <c r="N163" s="47" t="n">
        <v>69.78498276049611</v>
      </c>
      <c r="O163" s="47" t="n">
        <v>71.5802951411965</v>
      </c>
      <c r="P163" s="47" t="n">
        <v>72.6380016099798</v>
      </c>
      <c r="Q163" s="47" t="n">
        <v>74.5749119865791</v>
      </c>
      <c r="R163" s="47" t="n">
        <v>76.2804022817936</v>
      </c>
      <c r="S163" s="47" t="n">
        <v>78.4711657893247</v>
      </c>
      <c r="T163" s="47" t="n">
        <v>80.60290151599681</v>
      </c>
      <c r="U163" s="47" t="n">
        <v>83.0583301544951</v>
      </c>
      <c r="V163" s="47" t="n">
        <v>85.5433781074742</v>
      </c>
      <c r="W163" s="47" t="n">
        <v>88.2792853716452</v>
      </c>
      <c r="X163" s="47" t="n">
        <v>91.08785400984971</v>
      </c>
      <c r="Y163" s="47" t="n">
        <v>94.109923233983</v>
      </c>
      <c r="Z163" s="47" t="n">
        <v>97.2261842917959</v>
      </c>
      <c r="AA163" s="47" t="n">
        <v>100.539158964076</v>
      </c>
    </row>
    <row r="164">
      <c r="A164" s="10" t="n">
        <v>4</v>
      </c>
      <c r="B164" s="14" t="inlineStr">
        <is>
          <t>Package A: carbon tax to $50 by 2030 + feebates (transport, industry)</t>
        </is>
      </c>
      <c r="C164" s="14" t="inlineStr">
        <is>
          <t>mit.eldem.bld.ecy.e</t>
        </is>
      </c>
      <c r="D164" s="14" t="inlineStr">
        <is>
          <t>egy.mit.eldem.bld.ecy.e.4</t>
        </is>
      </c>
      <c r="E164" s="14" t="inlineStr">
        <is>
          <t>Electricity demand (memo: power model H; not in the fuel totals; sector policies do not act on it) | Buildings | Electricity</t>
        </is>
      </c>
      <c r="F164" s="14" t="inlineStr">
        <is>
          <t>ktoe</t>
        </is>
      </c>
      <c r="G164" s="14" t="inlineStr">
        <is>
          <t>build (Python emulation of RunAllScenarios)</t>
        </is>
      </c>
      <c r="H164" s="47" t="n">
        <v>11660.9678190786</v>
      </c>
      <c r="I164" s="47" t="n">
        <v>14469.3803845704</v>
      </c>
      <c r="J164" s="47" t="n">
        <v>15418.0538874128</v>
      </c>
      <c r="K164" s="47" t="n">
        <v>17431.2228698156</v>
      </c>
      <c r="L164" s="47" t="n">
        <v>17462.8413862851</v>
      </c>
      <c r="M164" s="47" t="n">
        <v>17866.7079300723</v>
      </c>
      <c r="N164" s="47" t="n">
        <v>17338.023266839</v>
      </c>
      <c r="O164" s="47" t="n">
        <v>17388.967182988</v>
      </c>
      <c r="P164" s="47" t="n">
        <v>17225.9658840257</v>
      </c>
      <c r="Q164" s="47" t="n">
        <v>17373.0021600541</v>
      </c>
      <c r="R164" s="47" t="n">
        <v>17434.6066499453</v>
      </c>
      <c r="S164" s="47" t="n">
        <v>17654.0370268523</v>
      </c>
      <c r="T164" s="47" t="n">
        <v>17845.3698929269</v>
      </c>
      <c r="U164" s="47" t="n">
        <v>18133.8795852627</v>
      </c>
      <c r="V164" s="47" t="n">
        <v>18421.8538113463</v>
      </c>
      <c r="W164" s="47" t="n">
        <v>18779.3877607962</v>
      </c>
      <c r="X164" s="47" t="n">
        <v>19148.6251362686</v>
      </c>
      <c r="Y164" s="47" t="n">
        <v>19572.983925823</v>
      </c>
      <c r="Z164" s="47" t="n">
        <v>20014.5208429868</v>
      </c>
      <c r="AA164" s="47" t="n">
        <v>20504.1777476123</v>
      </c>
    </row>
    <row r="165">
      <c r="A165" s="10" t="n">
        <v>4</v>
      </c>
      <c r="B165" s="14" t="inlineStr">
        <is>
          <t>Package A: carbon tax to $50 by 2030 + feebates (transport, industry)</t>
        </is>
      </c>
      <c r="C165" s="14" t="inlineStr">
        <is>
          <t>mit.eldem.ind.ecy.e</t>
        </is>
      </c>
      <c r="D165" s="14" t="inlineStr">
        <is>
          <t>egy.mit.eldem.ind.ecy.e.4</t>
        </is>
      </c>
      <c r="E165" s="14" t="inlineStr">
        <is>
          <t>Electricity demand (memo: power model H; not in the fuel totals; sector policies do not act on it) | Industry | Electricity</t>
        </is>
      </c>
      <c r="F165" s="14" t="inlineStr">
        <is>
          <t>ktoe</t>
        </is>
      </c>
      <c r="G165" s="14" t="inlineStr">
        <is>
          <t>build (Python emulation of RunAllScenarios)</t>
        </is>
      </c>
      <c r="H165" s="47" t="n">
        <v>3787.12012172875</v>
      </c>
      <c r="I165" s="47" t="n">
        <v>4439.11691366402</v>
      </c>
      <c r="J165" s="47" t="n">
        <v>4555.44965997782</v>
      </c>
      <c r="K165" s="47" t="n">
        <v>5089.40642278754</v>
      </c>
      <c r="L165" s="47" t="n">
        <v>5111.21467375172</v>
      </c>
      <c r="M165" s="47" t="n">
        <v>5220.04871123892</v>
      </c>
      <c r="N165" s="47" t="n">
        <v>5117.81176933508</v>
      </c>
      <c r="O165" s="47" t="n">
        <v>5146.11255905216</v>
      </c>
      <c r="P165" s="47" t="n">
        <v>5122.07077583145</v>
      </c>
      <c r="Q165" s="47" t="n">
        <v>5170.05478415716</v>
      </c>
      <c r="R165" s="47" t="n">
        <v>5197.46857194082</v>
      </c>
      <c r="S165" s="47" t="n">
        <v>5261.87596833635</v>
      </c>
      <c r="T165" s="47" t="n">
        <v>5319.3465077379</v>
      </c>
      <c r="U165" s="47" t="n">
        <v>5399.61233953163</v>
      </c>
      <c r="V165" s="47" t="n">
        <v>5479.49591310509</v>
      </c>
      <c r="W165" s="47" t="n">
        <v>5575.60070255425</v>
      </c>
      <c r="X165" s="47" t="n">
        <v>5674.18001304119</v>
      </c>
      <c r="Y165" s="47" t="n">
        <v>5785.45237529158</v>
      </c>
      <c r="Z165" s="47" t="n">
        <v>5900.40031789943</v>
      </c>
      <c r="AA165" s="47" t="n">
        <v>6026.23518223167</v>
      </c>
    </row>
    <row r="166">
      <c r="A166" s="10" t="n">
        <v>4</v>
      </c>
      <c r="B166" s="14" t="inlineStr">
        <is>
          <t>Package A: carbon tax to $50 by 2030 + feebates (transport, industry)</t>
        </is>
      </c>
      <c r="C166" s="14" t="inlineStr">
        <is>
          <t>mit.eldem.oen.ecy.e</t>
        </is>
      </c>
      <c r="D166" s="14" t="inlineStr">
        <is>
          <t>egy.mit.eldem.oen.ecy.e.4</t>
        </is>
      </c>
      <c r="E166" s="14" t="inlineStr">
        <is>
          <t>Electricity demand (memo: power model H; not in the fuel totals; sector policies do not act on it) | Other energy use | Electricity</t>
        </is>
      </c>
      <c r="F166" s="14" t="inlineStr">
        <is>
          <t>ktoe</t>
        </is>
      </c>
      <c r="G166" s="14" t="inlineStr">
        <is>
          <t>build (Python emulation of RunAllScenarios)</t>
        </is>
      </c>
      <c r="H166" s="47" t="n">
        <v>0</v>
      </c>
      <c r="I166" s="47" t="n">
        <v>0</v>
      </c>
      <c r="J166" s="47" t="n">
        <v>0</v>
      </c>
      <c r="K166" s="47" t="n">
        <v>0</v>
      </c>
      <c r="L166" s="47" t="n">
        <v>0</v>
      </c>
      <c r="M166" s="47" t="n">
        <v>0</v>
      </c>
      <c r="N166" s="47" t="n">
        <v>0</v>
      </c>
      <c r="O166" s="47" t="n">
        <v>0</v>
      </c>
      <c r="P166" s="47" t="n">
        <v>0</v>
      </c>
      <c r="Q166" s="47" t="n">
        <v>0</v>
      </c>
      <c r="R166" s="47" t="n">
        <v>0</v>
      </c>
      <c r="S166" s="47" t="n">
        <v>0</v>
      </c>
      <c r="T166" s="47" t="n">
        <v>0</v>
      </c>
      <c r="U166" s="47" t="n">
        <v>0</v>
      </c>
      <c r="V166" s="47" t="n">
        <v>0</v>
      </c>
      <c r="W166" s="47" t="n">
        <v>0</v>
      </c>
      <c r="X166" s="47" t="n">
        <v>0</v>
      </c>
      <c r="Y166" s="47" t="n">
        <v>0</v>
      </c>
      <c r="Z166" s="47" t="n">
        <v>0</v>
      </c>
      <c r="AA166" s="47" t="n">
        <v>0</v>
      </c>
    </row>
    <row r="167">
      <c r="A167" s="10" t="n">
        <v>4</v>
      </c>
      <c r="B167" s="14" t="inlineStr">
        <is>
          <t>Package A: carbon tax to $50 by 2030 + feebates (transport, industry)</t>
        </is>
      </c>
      <c r="C167" s="14" t="inlineStr">
        <is>
          <t>mit.req</t>
        </is>
      </c>
      <c r="D167" s="14" t="inlineStr">
        <is>
          <t>egy.mit.req.4</t>
        </is>
      </c>
      <c r="E167" s="14" t="inlineStr">
        <is>
          <t>Required generation (incl. net exports, transmission and statistical differences, own use)</t>
        </is>
      </c>
      <c r="F167" s="14" t="inlineStr">
        <is>
          <t>MWy</t>
        </is>
      </c>
      <c r="G167" s="14" t="inlineStr">
        <is>
          <t>build (Python emulation of RunAllScenarios)</t>
        </is>
      </c>
      <c r="H167" s="47" t="n">
        <v>25122.5095205354</v>
      </c>
      <c r="I167" s="47" t="n">
        <v>30746.5374802134</v>
      </c>
      <c r="J167" s="47" t="n">
        <v>32478.0797087984</v>
      </c>
      <c r="K167" s="47" t="n">
        <v>36617.9829695121</v>
      </c>
      <c r="L167" s="47" t="n">
        <v>36706.7366650005</v>
      </c>
      <c r="M167" s="47" t="n">
        <v>37542.0680150962</v>
      </c>
      <c r="N167" s="47" t="n">
        <v>36519.7687041852</v>
      </c>
      <c r="O167" s="47" t="n">
        <v>36651.1552196136</v>
      </c>
      <c r="P167" s="47" t="n">
        <v>36349.6255437275</v>
      </c>
      <c r="Q167" s="47" t="n">
        <v>36668.9433334329</v>
      </c>
      <c r="R167" s="47" t="n">
        <v>36816.0296742065</v>
      </c>
      <c r="S167" s="47" t="n">
        <v>37279.7548013425</v>
      </c>
      <c r="T167" s="47" t="n">
        <v>37686.5845937644</v>
      </c>
      <c r="U167" s="47" t="n">
        <v>38288.4445434364</v>
      </c>
      <c r="V167" s="47" t="n">
        <v>38888.8646483923</v>
      </c>
      <c r="W167" s="47" t="n">
        <v>39628.7642163654</v>
      </c>
      <c r="X167" s="47" t="n">
        <v>40391.7676511124</v>
      </c>
      <c r="Y167" s="47" t="n">
        <v>41265.0617503294</v>
      </c>
      <c r="Z167" s="47" t="n">
        <v>42172.3177318347</v>
      </c>
      <c r="AA167" s="47" t="n">
        <v>43175.5578686844</v>
      </c>
    </row>
    <row r="168">
      <c r="A168" s="10" t="n">
        <v>4</v>
      </c>
      <c r="B168" s="14" t="inlineStr">
        <is>
          <t>Package A: carbon tax to $50 by 2030 + feebates (transport, industry)</t>
        </is>
      </c>
      <c r="C168" s="14" t="inlineStr">
        <is>
          <t>mit.captot</t>
        </is>
      </c>
      <c r="D168" s="14" t="inlineStr">
        <is>
          <t>egy.mit.captot.4</t>
        </is>
      </c>
      <c r="E168" s="14" t="inlineStr">
        <is>
          <t>Nameplate capacity, total</t>
        </is>
      </c>
      <c r="F168" s="14" t="inlineStr">
        <is>
          <t>MW</t>
        </is>
      </c>
      <c r="G168" s="14" t="inlineStr">
        <is>
          <t>build (Python emulation of RunAllScenarios)</t>
        </is>
      </c>
      <c r="H168" s="47" t="n">
        <v>60726.1845893258</v>
      </c>
      <c r="I168" s="47" t="n">
        <v>61057.1521959417</v>
      </c>
      <c r="J168" s="47" t="n">
        <v>72546.06058399141</v>
      </c>
      <c r="K168" s="47" t="n">
        <v>85470.662479953</v>
      </c>
      <c r="L168" s="47" t="n">
        <v>100035.774258548</v>
      </c>
      <c r="M168" s="47" t="n">
        <v>101620.425784877</v>
      </c>
      <c r="N168" s="47" t="n">
        <v>104595.942828397</v>
      </c>
      <c r="O168" s="47" t="n">
        <v>101679.672332623</v>
      </c>
      <c r="P168" s="47" t="n">
        <v>102572.821419574</v>
      </c>
      <c r="Q168" s="47" t="n">
        <v>102061.596865365</v>
      </c>
      <c r="R168" s="47" t="n">
        <v>103693.404417912</v>
      </c>
      <c r="S168" s="47" t="n">
        <v>104746.568305208</v>
      </c>
      <c r="T168" s="47" t="n">
        <v>106927.901788443</v>
      </c>
      <c r="U168" s="47" t="n">
        <v>108927.397952212</v>
      </c>
      <c r="V168" s="47" t="n">
        <v>111645.376496148</v>
      </c>
      <c r="W168" s="47" t="n">
        <v>114376.482052723</v>
      </c>
      <c r="X168" s="47" t="n">
        <v>117636.550571804</v>
      </c>
      <c r="Y168" s="47" t="n">
        <v>120999.835661793</v>
      </c>
      <c r="Z168" s="47" t="n">
        <v>124817.687093109</v>
      </c>
      <c r="AA168" s="47" t="n">
        <v>128806.716431092</v>
      </c>
    </row>
    <row r="169">
      <c r="A169" s="10" t="n">
        <v>4</v>
      </c>
      <c r="B169" s="14" t="inlineStr">
        <is>
          <t>Package A: carbon tax to $50 by 2030 + feebates (transport, industry)</t>
        </is>
      </c>
      <c r="C169" s="14" t="inlineStr">
        <is>
          <t>mit.cap.pow.wnd</t>
        </is>
      </c>
      <c r="D169" s="14" t="inlineStr">
        <is>
          <t>egy.mit.cap.pow.wnd.4</t>
        </is>
      </c>
      <c r="E169" s="14" t="inlineStr">
        <is>
          <t>Nameplate capacity | Power | Wind</t>
        </is>
      </c>
      <c r="F169" s="14" t="inlineStr">
        <is>
          <t>MW</t>
        </is>
      </c>
      <c r="G169" s="14" t="inlineStr">
        <is>
          <t>build (Python emulation of RunAllScenarios)</t>
        </is>
      </c>
      <c r="H169" s="47" t="n">
        <v>2387.25143730845</v>
      </c>
      <c r="I169" s="47" t="n">
        <v>3134.50773388646</v>
      </c>
      <c r="J169" s="47" t="n">
        <v>4704.85811079261</v>
      </c>
      <c r="K169" s="47" t="n">
        <v>6439.25330648775</v>
      </c>
      <c r="L169" s="47" t="n">
        <v>8362.35534112668</v>
      </c>
      <c r="M169" s="47" t="n">
        <v>9673.91056357983</v>
      </c>
      <c r="N169" s="47" t="n">
        <v>11417.455795244</v>
      </c>
      <c r="O169" s="47" t="n">
        <v>11056.2941911635</v>
      </c>
      <c r="P169" s="47" t="n">
        <v>11992.489839856</v>
      </c>
      <c r="Q169" s="47" t="n">
        <v>12407.9143057123</v>
      </c>
      <c r="R169" s="47" t="n">
        <v>13544.6841621283</v>
      </c>
      <c r="S169" s="47" t="n">
        <v>14465.3109673914</v>
      </c>
      <c r="T169" s="47" t="n">
        <v>15760.5581362402</v>
      </c>
      <c r="U169" s="47" t="n">
        <v>16974.4464534453</v>
      </c>
      <c r="V169" s="47" t="n">
        <v>18418.4069237814</v>
      </c>
      <c r="W169" s="47" t="n">
        <v>19846.7626832733</v>
      </c>
      <c r="X169" s="47" t="n">
        <v>21437.0452469582</v>
      </c>
      <c r="Y169" s="47" t="n">
        <v>23043.0603307323</v>
      </c>
      <c r="Z169" s="47" t="n">
        <v>24763.8073009679</v>
      </c>
      <c r="AA169" s="47" t="n">
        <v>26499.1127621569</v>
      </c>
    </row>
    <row r="170">
      <c r="A170" s="10" t="n">
        <v>4</v>
      </c>
      <c r="B170" s="14" t="inlineStr">
        <is>
          <t>Package A: carbon tax to $50 by 2030 + feebates (transport, industry)</t>
        </is>
      </c>
      <c r="C170" s="14" t="inlineStr">
        <is>
          <t>mit.cap.pow.sol</t>
        </is>
      </c>
      <c r="D170" s="14" t="inlineStr">
        <is>
          <t>egy.mit.cap.pow.sol.4</t>
        </is>
      </c>
      <c r="E170" s="14" t="inlineStr">
        <is>
          <t>Nameplate capacity | Power | Solar</t>
        </is>
      </c>
      <c r="F170" s="14" t="inlineStr">
        <is>
          <t>MW</t>
        </is>
      </c>
      <c r="G170" s="14" t="inlineStr">
        <is>
          <t>build (Python emulation of RunAllScenarios)</t>
        </is>
      </c>
      <c r="H170" s="47" t="n">
        <v>3326.62425070716</v>
      </c>
      <c r="I170" s="47" t="n">
        <v>3708.47284601696</v>
      </c>
      <c r="J170" s="47" t="n">
        <v>6351.52387890244</v>
      </c>
      <c r="K170" s="47" t="n">
        <v>9249.50258939338</v>
      </c>
      <c r="L170" s="47" t="n">
        <v>12442.4288383541</v>
      </c>
      <c r="M170" s="47" t="n">
        <v>13400.3694167188</v>
      </c>
      <c r="N170" s="47" t="n">
        <v>14956.0916398042</v>
      </c>
      <c r="O170" s="47" t="n">
        <v>14379.1090064834</v>
      </c>
      <c r="P170" s="47" t="n">
        <v>15335.9388256274</v>
      </c>
      <c r="Q170" s="47" t="n">
        <v>15753.1541703411</v>
      </c>
      <c r="R170" s="47" t="n">
        <v>17114.5946522574</v>
      </c>
      <c r="S170" s="47" t="n">
        <v>18223.7510873005</v>
      </c>
      <c r="T170" s="47" t="n">
        <v>19853.0869349948</v>
      </c>
      <c r="U170" s="47" t="n">
        <v>21406.6061685349</v>
      </c>
      <c r="V170" s="47" t="n">
        <v>23308.9687472267</v>
      </c>
      <c r="W170" s="47" t="n">
        <v>25226.1044888627</v>
      </c>
      <c r="X170" s="47" t="n">
        <v>27411.9202194331</v>
      </c>
      <c r="Y170" s="47" t="n">
        <v>29657.4488428541</v>
      </c>
      <c r="Z170" s="47" t="n">
        <v>32176.995314392</v>
      </c>
      <c r="AA170" s="47" t="n">
        <v>34830.2721490701</v>
      </c>
    </row>
    <row r="171">
      <c r="A171" s="10" t="n">
        <v>4</v>
      </c>
      <c r="B171" s="14" t="inlineStr">
        <is>
          <t>Package A: carbon tax to $50 by 2030 + feebates (transport, industry)</t>
        </is>
      </c>
      <c r="C171" s="14" t="inlineStr">
        <is>
          <t>mit.nimtot</t>
        </is>
      </c>
      <c r="D171" s="14" t="inlineStr">
        <is>
          <t>egy.mit.nimtot.4</t>
        </is>
      </c>
      <c r="E171" s="14" t="inlineStr">
        <is>
          <t>New nameplate investment, total</t>
        </is>
      </c>
      <c r="F171" s="14" t="inlineStr">
        <is>
          <t>MW</t>
        </is>
      </c>
      <c r="G171" s="14" t="inlineStr">
        <is>
          <t>build (Python emulation of RunAllScenarios)</t>
        </is>
      </c>
      <c r="H171" s="47" t="n">
        <v>2172.95119910718</v>
      </c>
      <c r="I171" s="47" t="n">
        <v>13340.8834415295</v>
      </c>
      <c r="J171" s="47" t="n">
        <v>15064.5357993761</v>
      </c>
      <c r="K171" s="47" t="n">
        <v>17028.1899947449</v>
      </c>
      <c r="L171" s="47" t="n">
        <v>4411.1428894688</v>
      </c>
      <c r="M171" s="47" t="n">
        <v>5852.02835078537</v>
      </c>
      <c r="N171" s="47" t="n">
        <v>55.9699188898127</v>
      </c>
      <c r="O171" s="47" t="n">
        <v>3767.58940414081</v>
      </c>
      <c r="P171" s="47" t="n">
        <v>2392.02906045259</v>
      </c>
      <c r="Q171" s="47" t="n">
        <v>4517.44341475964</v>
      </c>
      <c r="R171" s="47" t="n">
        <v>3993.03988607227</v>
      </c>
      <c r="S171" s="47" t="n">
        <v>5155.74509088658</v>
      </c>
      <c r="T171" s="47" t="n">
        <v>5046.22966864983</v>
      </c>
      <c r="U171" s="47" t="n">
        <v>5830.63723343809</v>
      </c>
      <c r="V171" s="47" t="n">
        <v>5933.74648565443</v>
      </c>
      <c r="W171" s="47" t="n">
        <v>6552.84101143063</v>
      </c>
      <c r="X171" s="47" t="n">
        <v>6763.8916918621</v>
      </c>
      <c r="Y171" s="47" t="n">
        <v>7329.52375017152</v>
      </c>
      <c r="Z171" s="47" t="n">
        <v>7627.49992659524</v>
      </c>
      <c r="AA171" s="47" t="n">
        <v>8169.79109400669</v>
      </c>
    </row>
    <row r="172">
      <c r="A172" s="10" t="n">
        <v>4</v>
      </c>
      <c r="B172" s="14" t="inlineStr">
        <is>
          <t>Package A: carbon tax to $50 by 2030 + feebates (transport, industry)</t>
        </is>
      </c>
      <c r="C172" s="14" t="inlineStr">
        <is>
          <t>mit.shr.pow.coa</t>
        </is>
      </c>
      <c r="D172" s="14" t="inlineStr">
        <is>
          <t>egy.mit.shr.pow.coa.4</t>
        </is>
      </c>
      <c r="E172" s="14" t="inlineStr">
        <is>
          <t>Generation share | Power | Coal</t>
        </is>
      </c>
      <c r="F172" s="14" t="inlineStr">
        <is>
          <t>share</t>
        </is>
      </c>
      <c r="G172" s="14" t="inlineStr">
        <is>
          <t>build (Python emulation of RunAllScenarios)</t>
        </is>
      </c>
      <c r="H172" s="13" t="n">
        <v>0</v>
      </c>
      <c r="I172" s="13" t="n">
        <v>0</v>
      </c>
      <c r="J172" s="13" t="n">
        <v>0</v>
      </c>
      <c r="K172" s="13" t="n">
        <v>0</v>
      </c>
      <c r="L172" s="13" t="n">
        <v>0</v>
      </c>
      <c r="M172" s="13" t="n">
        <v>0</v>
      </c>
      <c r="N172" s="13" t="n">
        <v>0</v>
      </c>
      <c r="O172" s="13" t="n">
        <v>0</v>
      </c>
      <c r="P172" s="13" t="n">
        <v>0</v>
      </c>
      <c r="Q172" s="13" t="n">
        <v>0</v>
      </c>
      <c r="R172" s="13" t="n">
        <v>0</v>
      </c>
      <c r="S172" s="13" t="n">
        <v>0</v>
      </c>
      <c r="T172" s="13" t="n">
        <v>0</v>
      </c>
      <c r="U172" s="13" t="n">
        <v>0</v>
      </c>
      <c r="V172" s="13" t="n">
        <v>0</v>
      </c>
      <c r="W172" s="13" t="n">
        <v>0</v>
      </c>
      <c r="X172" s="13" t="n">
        <v>0</v>
      </c>
      <c r="Y172" s="13" t="n">
        <v>0</v>
      </c>
      <c r="Z172" s="13" t="n">
        <v>0</v>
      </c>
      <c r="AA172" s="13" t="n">
        <v>0</v>
      </c>
    </row>
    <row r="173">
      <c r="A173" s="10" t="n">
        <v>4</v>
      </c>
      <c r="B173" s="14" t="inlineStr">
        <is>
          <t>Package A: carbon tax to $50 by 2030 + feebates (transport, industry)</t>
        </is>
      </c>
      <c r="C173" s="14" t="inlineStr">
        <is>
          <t>mit.shr.pow.oop</t>
        </is>
      </c>
      <c r="D173" s="14" t="inlineStr">
        <is>
          <t>egy.mit.shr.pow.oop.4</t>
        </is>
      </c>
      <c r="E173" s="14" t="inlineStr">
        <is>
          <t>Generation share | Power | Other oil products</t>
        </is>
      </c>
      <c r="F173" s="14" t="inlineStr">
        <is>
          <t>share</t>
        </is>
      </c>
      <c r="G173" s="14" t="inlineStr">
        <is>
          <t>build (Python emulation of RunAllScenarios)</t>
        </is>
      </c>
      <c r="H173" s="13" t="n">
        <v>0.0840906621921125</v>
      </c>
      <c r="I173" s="13" t="n">
        <v>0.06688076348708</v>
      </c>
      <c r="J173" s="13" t="n">
        <v>0.076976508544304</v>
      </c>
      <c r="K173" s="13" t="n">
        <v>0.0818173503969476</v>
      </c>
      <c r="L173" s="13" t="n">
        <v>0.09675907475796861</v>
      </c>
      <c r="M173" s="13" t="n">
        <v>0.0921268055868484</v>
      </c>
      <c r="N173" s="13" t="n">
        <v>0.0922979881150046</v>
      </c>
      <c r="O173" s="13" t="n">
        <v>0.08934199547004611</v>
      </c>
      <c r="P173" s="13" t="n">
        <v>0.0876398392643829</v>
      </c>
      <c r="Q173" s="13" t="n">
        <v>0.0844618960306044</v>
      </c>
      <c r="R173" s="13" t="n">
        <v>0.08182695924084279</v>
      </c>
      <c r="S173" s="13" t="n">
        <v>0.07858085300822711</v>
      </c>
      <c r="T173" s="13" t="n">
        <v>0.0755996771145872</v>
      </c>
      <c r="U173" s="13" t="n">
        <v>0.0723591158772036</v>
      </c>
      <c r="V173" s="13" t="n">
        <v>0.0692788443358249</v>
      </c>
      <c r="W173" s="13" t="n">
        <v>0.0661061431124372</v>
      </c>
      <c r="X173" s="13" t="n">
        <v>0.0630637219103002</v>
      </c>
      <c r="Y173" s="13" t="n">
        <v>0.0600178076324356</v>
      </c>
      <c r="Z173" s="13" t="n">
        <v>0.0570960603821345</v>
      </c>
      <c r="AA173" s="13" t="n">
        <v>0.0542172543476983</v>
      </c>
    </row>
    <row r="174">
      <c r="A174" s="10" t="n">
        <v>4</v>
      </c>
      <c r="B174" s="14" t="inlineStr">
        <is>
          <t>Package A: carbon tax to $50 by 2030 + feebates (transport, industry)</t>
        </is>
      </c>
      <c r="C174" s="14" t="inlineStr">
        <is>
          <t>mit.shr.pow.wnd</t>
        </is>
      </c>
      <c r="D174" s="14" t="inlineStr">
        <is>
          <t>egy.mit.shr.pow.wnd.4</t>
        </is>
      </c>
      <c r="E174" s="14" t="inlineStr">
        <is>
          <t>Generation share | Power | Wind</t>
        </is>
      </c>
      <c r="F174" s="14" t="inlineStr">
        <is>
          <t>share</t>
        </is>
      </c>
      <c r="G174" s="14" t="inlineStr">
        <is>
          <t>build (Python emulation of RunAllScenarios)</t>
        </is>
      </c>
      <c r="H174" s="13" t="n">
        <v>0.0285073205209505</v>
      </c>
      <c r="I174" s="13" t="n">
        <v>0.0305840070860367</v>
      </c>
      <c r="J174" s="13" t="n">
        <v>0.0434587711432772</v>
      </c>
      <c r="K174" s="13" t="n">
        <v>0.05275484434942</v>
      </c>
      <c r="L174" s="13" t="n">
        <v>0.068344582773277</v>
      </c>
      <c r="M174" s="13" t="n">
        <v>0.0773045631878069</v>
      </c>
      <c r="N174" s="13" t="n">
        <v>0.0937913042746263</v>
      </c>
      <c r="O174" s="13" t="n">
        <v>0.09049887343179951</v>
      </c>
      <c r="P174" s="13" t="n">
        <v>0.0989761764568612</v>
      </c>
      <c r="Q174" s="13" t="n">
        <v>0.101512995830447</v>
      </c>
      <c r="R174" s="13" t="n">
        <v>0.110370544694702</v>
      </c>
      <c r="S174" s="13" t="n">
        <v>0.116406165044335</v>
      </c>
      <c r="T174" s="13" t="n">
        <v>0.125460226545824</v>
      </c>
      <c r="U174" s="13" t="n">
        <v>0.13299923767487</v>
      </c>
      <c r="V174" s="13" t="n">
        <v>0.142084941977416</v>
      </c>
      <c r="W174" s="13" t="n">
        <v>0.150245129332677</v>
      </c>
      <c r="X174" s="13" t="n">
        <v>0.159218423655949</v>
      </c>
      <c r="Y174" s="13" t="n">
        <v>0.167524724452024</v>
      </c>
      <c r="Z174" s="13" t="n">
        <v>0.176161581574216</v>
      </c>
      <c r="AA174" s="13" t="n">
        <v>0.184125792950393</v>
      </c>
    </row>
    <row r="175">
      <c r="A175" s="10" t="n">
        <v>4</v>
      </c>
      <c r="B175" s="14" t="inlineStr">
        <is>
          <t>Package A: carbon tax to $50 by 2030 + feebates (transport, industry)</t>
        </is>
      </c>
      <c r="C175" s="14" t="inlineStr">
        <is>
          <t>mit.shr.pow.sol</t>
        </is>
      </c>
      <c r="D175" s="14" t="inlineStr">
        <is>
          <t>egy.mit.shr.pow.sol.4</t>
        </is>
      </c>
      <c r="E175" s="14" t="inlineStr">
        <is>
          <t>Generation share | Power | Solar</t>
        </is>
      </c>
      <c r="F175" s="14" t="inlineStr">
        <is>
          <t>share</t>
        </is>
      </c>
      <c r="G175" s="14" t="inlineStr">
        <is>
          <t>build (Python emulation of RunAllScenarios)</t>
        </is>
      </c>
      <c r="H175" s="13" t="n">
        <v>0.0238348945449828</v>
      </c>
      <c r="I175" s="13" t="n">
        <v>0.0217105783931811</v>
      </c>
      <c r="J175" s="13" t="n">
        <v>0.0352014130285148</v>
      </c>
      <c r="K175" s="13" t="n">
        <v>0.045467017325258</v>
      </c>
      <c r="L175" s="13" t="n">
        <v>0.061014336723624</v>
      </c>
      <c r="M175" s="13" t="n">
        <v>0.0642496970076197</v>
      </c>
      <c r="N175" s="13" t="n">
        <v>0.0737161430832456</v>
      </c>
      <c r="O175" s="13" t="n">
        <v>0.0706182276017845</v>
      </c>
      <c r="P175" s="13" t="n">
        <v>0.0759421575138972</v>
      </c>
      <c r="Q175" s="13" t="n">
        <v>0.0773288645074226</v>
      </c>
      <c r="R175" s="13" t="n">
        <v>0.08367624278520849</v>
      </c>
      <c r="S175" s="13" t="n">
        <v>0.0879907932118683</v>
      </c>
      <c r="T175" s="13" t="n">
        <v>0.0948230169122395</v>
      </c>
      <c r="U175" s="13" t="n">
        <v>0.100635822538182</v>
      </c>
      <c r="V175" s="13" t="n">
        <v>0.107887294021947</v>
      </c>
      <c r="W175" s="13" t="n">
        <v>0.114580883299917</v>
      </c>
      <c r="X175" s="13" t="n">
        <v>0.12215720990765</v>
      </c>
      <c r="Y175" s="13" t="n">
        <v>0.129367085987</v>
      </c>
      <c r="Z175" s="13" t="n">
        <v>0.137337937967266</v>
      </c>
      <c r="AA175" s="13" t="n">
        <v>0.145208291364775</v>
      </c>
    </row>
    <row r="176">
      <c r="A176" s="10" t="n">
        <v>4</v>
      </c>
      <c r="B176" s="14" t="inlineStr">
        <is>
          <t>Package A: carbon tax to $50 by 2030 + feebates (transport, industry)</t>
        </is>
      </c>
      <c r="C176" s="14" t="inlineStr">
        <is>
          <t>mit.shr.pow.hyd</t>
        </is>
      </c>
      <c r="D176" s="14" t="inlineStr">
        <is>
          <t>egy.mit.shr.pow.hyd.4</t>
        </is>
      </c>
      <c r="E176" s="14" t="inlineStr">
        <is>
          <t>Generation share | Power | Hydro</t>
        </is>
      </c>
      <c r="F176" s="14" t="inlineStr">
        <is>
          <t>share</t>
        </is>
      </c>
      <c r="G176" s="14" t="inlineStr">
        <is>
          <t>build (Python emulation of RunAllScenarios)</t>
        </is>
      </c>
      <c r="H176" s="13" t="n">
        <v>0.066761171545157</v>
      </c>
      <c r="I176" s="13" t="n">
        <v>0.0569048920341683</v>
      </c>
      <c r="J176" s="13" t="n">
        <v>0.0925471548414408</v>
      </c>
      <c r="K176" s="13" t="n">
        <v>0.120819645500068</v>
      </c>
      <c r="L176" s="13" t="n">
        <v>0.164206359038518</v>
      </c>
      <c r="M176" s="13" t="n">
        <v>0.164869297367552</v>
      </c>
      <c r="N176" s="13" t="n">
        <v>0.175504073949451</v>
      </c>
      <c r="O176" s="13" t="n">
        <v>0.174932833572879</v>
      </c>
      <c r="P176" s="13" t="n">
        <v>0.180127730100244</v>
      </c>
      <c r="Q176" s="13" t="n">
        <v>0.180859801085189</v>
      </c>
      <c r="R176" s="13" t="n">
        <v>0.184447327846451</v>
      </c>
      <c r="S176" s="13" t="n">
        <v>0.185950480712945</v>
      </c>
      <c r="T176" s="13" t="n">
        <v>0.18879798186805</v>
      </c>
      <c r="U176" s="13" t="n">
        <v>0.190529478030026</v>
      </c>
      <c r="V176" s="13" t="n">
        <v>0.192927691286634</v>
      </c>
      <c r="W176" s="13" t="n">
        <v>0.194670549094549</v>
      </c>
      <c r="X176" s="13" t="n">
        <v>0.196766635711503</v>
      </c>
      <c r="Y176" s="13" t="n">
        <v>0.19842400711744</v>
      </c>
      <c r="Z176" s="13" t="n">
        <v>0.200214683202319</v>
      </c>
      <c r="AA176" s="13" t="n">
        <v>0.201614539540856</v>
      </c>
    </row>
    <row r="177">
      <c r="A177" s="10" t="n">
        <v>4</v>
      </c>
      <c r="B177" s="14" t="inlineStr">
        <is>
          <t>Package A: carbon tax to $50 by 2030 + feebates (transport, industry)</t>
        </is>
      </c>
      <c r="C177" s="14" t="inlineStr">
        <is>
          <t>mit.ccpav</t>
        </is>
      </c>
      <c r="D177" s="14" t="inlineStr">
        <is>
          <t>egy.mit.ccpav.4</t>
        </is>
      </c>
      <c r="E177" s="14" t="inlineStr">
        <is>
          <t>Average new policy cost per kWh consumed</t>
        </is>
      </c>
      <c r="F177" s="14" t="inlineStr">
        <is>
          <t>$/kWh</t>
        </is>
      </c>
      <c r="G177" s="14" t="inlineStr">
        <is>
          <t>build (Python emulation of RunAllScenarios)</t>
        </is>
      </c>
      <c r="H177" s="16" t="n">
        <v>0</v>
      </c>
      <c r="I177" s="16" t="n">
        <v>0</v>
      </c>
      <c r="J177" s="16" t="n">
        <v>0</v>
      </c>
      <c r="K177" s="16" t="n">
        <v>0</v>
      </c>
      <c r="L177" s="16" t="n">
        <v>0</v>
      </c>
      <c r="M177" s="16" t="n">
        <v>0.00407249025051121</v>
      </c>
      <c r="N177" s="16" t="n">
        <v>0.00906370268103408</v>
      </c>
      <c r="O177" s="16" t="n">
        <v>0.0143170783749119</v>
      </c>
      <c r="P177" s="16" t="n">
        <v>0.018987447524149</v>
      </c>
      <c r="Q177" s="16" t="n">
        <v>0.0237913235748972</v>
      </c>
      <c r="R177" s="16" t="n">
        <v>0.027948387254465</v>
      </c>
      <c r="S177" s="16" t="n">
        <v>0.0321024749138713</v>
      </c>
      <c r="T177" s="16" t="n">
        <v>0.0356946206786542</v>
      </c>
      <c r="U177" s="16" t="n">
        <v>0.0391902733788643</v>
      </c>
      <c r="V177" s="16" t="n">
        <v>0.0421980890437663</v>
      </c>
      <c r="W177" s="16" t="n">
        <v>0.0450554116942777</v>
      </c>
      <c r="X177" s="16" t="n">
        <v>0.0474841950729571</v>
      </c>
      <c r="Y177" s="16" t="n">
        <v>0.0497419261396457</v>
      </c>
      <c r="Z177" s="16" t="n">
        <v>0.0516160466934585</v>
      </c>
      <c r="AA177" s="16" t="n">
        <v>0.0533180189503077</v>
      </c>
    </row>
    <row r="178">
      <c r="A178" s="10" t="n">
        <v>4</v>
      </c>
      <c r="B178" s="14" t="inlineStr">
        <is>
          <t>Package A: carbon tax to $50 by 2030 + feebates (transport, industry)</t>
        </is>
      </c>
      <c r="C178" s="14" t="inlineStr">
        <is>
          <t>mit.rcarb.res.ecy</t>
        </is>
      </c>
      <c r="D178" s="14" t="inlineStr">
        <is>
          <t>egy.mit.rcarb.res.ecy.4</t>
        </is>
      </c>
      <c r="E178" s="14" t="inlineStr">
        <is>
          <t>New-policy cost per user group (carbon tax, ETS at the tax-equivalent price, fuel price reform; memo, revenue: prnew in M) | Residential | Electricity</t>
        </is>
      </c>
      <c r="F178" s="14" t="inlineStr">
        <is>
          <t>USD m real</t>
        </is>
      </c>
      <c r="G178" s="14" t="inlineStr">
        <is>
          <t>build (Python emulation of RunAllScenarios)</t>
        </is>
      </c>
      <c r="H178" s="47" t="n">
        <v>0</v>
      </c>
      <c r="I178" s="47" t="n">
        <v>0</v>
      </c>
      <c r="J178" s="47" t="n">
        <v>0</v>
      </c>
      <c r="K178" s="47" t="n">
        <v>0</v>
      </c>
      <c r="L178" s="47" t="n">
        <v>0</v>
      </c>
      <c r="M178" s="47" t="n">
        <v>452.556339782726</v>
      </c>
      <c r="N178" s="47" t="n">
        <v>980.669695833183</v>
      </c>
      <c r="O178" s="47" t="n">
        <v>1552.60404245828</v>
      </c>
      <c r="P178" s="47" t="n">
        <v>2042.02255425063</v>
      </c>
      <c r="Q178" s="47" t="n">
        <v>2577.29369904725</v>
      </c>
      <c r="R178" s="47" t="n">
        <v>3036.86549622492</v>
      </c>
      <c r="S178" s="47" t="n">
        <v>3526.09443163777</v>
      </c>
      <c r="T178" s="47" t="n">
        <v>3957.42768841097</v>
      </c>
      <c r="U178" s="47" t="n">
        <v>4405.56431578651</v>
      </c>
      <c r="V178" s="47" t="n">
        <v>4808.68247982774</v>
      </c>
      <c r="W178" s="47" t="n">
        <v>5220.00140752427</v>
      </c>
      <c r="X178" s="47" t="n">
        <v>5594.3584705164</v>
      </c>
      <c r="Y178" s="47" t="n">
        <v>5971.68298404745</v>
      </c>
      <c r="Z178" s="47" t="n">
        <v>6316.34437036442</v>
      </c>
      <c r="AA178" s="47" t="n">
        <v>6660.94369667909</v>
      </c>
    </row>
    <row r="179">
      <c r="A179" s="10" t="n">
        <v>4</v>
      </c>
      <c r="B179" s="14" t="inlineStr">
        <is>
          <t>Package A: carbon tax to $50 by 2030 + feebates (transport, industry)</t>
        </is>
      </c>
      <c r="C179" s="14" t="inlineStr">
        <is>
          <t>mit.rcarb.ind.ecy</t>
        </is>
      </c>
      <c r="D179" s="14" t="inlineStr">
        <is>
          <t>egy.mit.rcarb.ind.ecy.4</t>
        </is>
      </c>
      <c r="E179" s="14" t="inlineStr">
        <is>
          <t>New-policy cost per user group (carbon tax, ETS at the tax-equivalent price, fuel price reform; memo, revenue: prnew in M) | Industry | Electricity</t>
        </is>
      </c>
      <c r="F179" s="14" t="inlineStr">
        <is>
          <t>USD m real</t>
        </is>
      </c>
      <c r="G179" s="14" t="inlineStr">
        <is>
          <t>build (Python emulation of RunAllScenarios)</t>
        </is>
      </c>
      <c r="H179" s="47" t="n">
        <v>0</v>
      </c>
      <c r="I179" s="47" t="n">
        <v>0</v>
      </c>
      <c r="J179" s="47" t="n">
        <v>0</v>
      </c>
      <c r="K179" s="47" t="n">
        <v>0</v>
      </c>
      <c r="L179" s="47" t="n">
        <v>0</v>
      </c>
      <c r="M179" s="47" t="n">
        <v>644.19126773279</v>
      </c>
      <c r="N179" s="47" t="n">
        <v>1393.77533151138</v>
      </c>
      <c r="O179" s="47" t="n">
        <v>2211.57715039697</v>
      </c>
      <c r="P179" s="47" t="n">
        <v>2909.00083690832</v>
      </c>
      <c r="Q179" s="47" t="n">
        <v>3680.8488195614</v>
      </c>
      <c r="R179" s="47" t="n">
        <v>4344.25259727967</v>
      </c>
      <c r="S179" s="47" t="n">
        <v>5058.89989956035</v>
      </c>
      <c r="T179" s="47" t="n">
        <v>5692.36541576867</v>
      </c>
      <c r="U179" s="47" t="n">
        <v>6358.45496081895</v>
      </c>
      <c r="V179" s="47" t="n">
        <v>6963.21574359395</v>
      </c>
      <c r="W179" s="47" t="n">
        <v>7588.13493945967</v>
      </c>
      <c r="X179" s="47" t="n">
        <v>8164.11941674388</v>
      </c>
      <c r="Y179" s="47" t="n">
        <v>8752.579398729849</v>
      </c>
      <c r="Z179" s="47" t="n">
        <v>9298.60781479823</v>
      </c>
      <c r="AA179" s="47" t="n">
        <v>9852.60504594031</v>
      </c>
    </row>
    <row r="180">
      <c r="A180" s="10" t="n">
        <v>5</v>
      </c>
      <c r="B180" s="14" t="inlineStr">
        <is>
          <t>Package B: ETS on power and industry (cap -5% 2027 to -20% 2035) + carbon tax $25 elsewhere</t>
        </is>
      </c>
      <c r="C180" s="14" t="inlineStr">
        <is>
          <t>mit.ener.all.all.e</t>
        </is>
      </c>
      <c r="D180" s="14" t="inlineStr">
        <is>
          <t>egy.mit.ener.all.all.e.5</t>
        </is>
      </c>
      <c r="E180" s="14" t="inlineStr">
        <is>
          <t>Fuel use | All sectors | All fuels</t>
        </is>
      </c>
      <c r="F180" s="14" t="inlineStr">
        <is>
          <t>ktoe</t>
        </is>
      </c>
      <c r="G180" s="14" t="inlineStr">
        <is>
          <t>build (Python emulation of RunAllScenarios)</t>
        </is>
      </c>
      <c r="H180" s="47" t="n">
        <v>86439.2404600619</v>
      </c>
      <c r="I180" s="47" t="n">
        <v>107226.312550064</v>
      </c>
      <c r="J180" s="47" t="n">
        <v>112662.035770044</v>
      </c>
      <c r="K180" s="47" t="n">
        <v>117425.867654539</v>
      </c>
      <c r="L180" s="47" t="n">
        <v>115195.383516813</v>
      </c>
      <c r="M180" s="47" t="n">
        <v>104869.816544279</v>
      </c>
      <c r="N180" s="47" t="n">
        <v>105352.780478626</v>
      </c>
      <c r="O180" s="47" t="n">
        <v>108073.102094811</v>
      </c>
      <c r="P180" s="47" t="n">
        <v>109553.980705842</v>
      </c>
      <c r="Q180" s="47" t="n">
        <v>111578.123089371</v>
      </c>
      <c r="R180" s="47" t="n">
        <v>113274.61639189</v>
      </c>
      <c r="S180" s="47" t="n">
        <v>115201.997619226</v>
      </c>
      <c r="T180" s="47" t="n">
        <v>116858.644099391</v>
      </c>
      <c r="U180" s="47" t="n">
        <v>118642.9384644</v>
      </c>
      <c r="V180" s="47" t="n">
        <v>120357.583257703</v>
      </c>
      <c r="W180" s="47" t="n">
        <v>122342.918175222</v>
      </c>
      <c r="X180" s="47" t="n">
        <v>124062.246829013</v>
      </c>
      <c r="Y180" s="47" t="n">
        <v>126038.767412184</v>
      </c>
      <c r="Z180" s="47" t="n">
        <v>127871.094793743</v>
      </c>
      <c r="AA180" s="47" t="n">
        <v>129920.21366962</v>
      </c>
    </row>
    <row r="181">
      <c r="A181" s="10" t="n">
        <v>5</v>
      </c>
      <c r="B181" s="14" t="inlineStr">
        <is>
          <t>Package B: ETS on power and industry (cap -5% 2027 to -20% 2035) + carbon tax $25 elsewhere</t>
        </is>
      </c>
      <c r="C181" s="14" t="inlineStr">
        <is>
          <t>mit.ener.tra.all.e</t>
        </is>
      </c>
      <c r="D181" s="14" t="inlineStr">
        <is>
          <t>egy.mit.ener.tra.all.e.5</t>
        </is>
      </c>
      <c r="E181" s="14" t="inlineStr">
        <is>
          <t>Fuel use | Transport | All fuels</t>
        </is>
      </c>
      <c r="F181" s="14" t="inlineStr">
        <is>
          <t>ktoe</t>
        </is>
      </c>
      <c r="G181" s="14" t="inlineStr">
        <is>
          <t>build (Python emulation of RunAllScenarios)</t>
        </is>
      </c>
      <c r="H181" s="47" t="n">
        <v>18617.341993175</v>
      </c>
      <c r="I181" s="47" t="n">
        <v>23541.5980250719</v>
      </c>
      <c r="J181" s="47" t="n">
        <v>26128.5026364968</v>
      </c>
      <c r="K181" s="47" t="n">
        <v>26687.5832788854</v>
      </c>
      <c r="L181" s="47" t="n">
        <v>27233.1950818668</v>
      </c>
      <c r="M181" s="47" t="n">
        <v>24744.9715512868</v>
      </c>
      <c r="N181" s="47" t="n">
        <v>25454.2196379219</v>
      </c>
      <c r="O181" s="47" t="n">
        <v>26134.6848227739</v>
      </c>
      <c r="P181" s="47" t="n">
        <v>26770.3006603472</v>
      </c>
      <c r="Q181" s="47" t="n">
        <v>27412.6600041747</v>
      </c>
      <c r="R181" s="47" t="n">
        <v>28061.4996388727</v>
      </c>
      <c r="S181" s="47" t="n">
        <v>28716.5430454461</v>
      </c>
      <c r="T181" s="47" t="n">
        <v>29377.5004320985</v>
      </c>
      <c r="U181" s="47" t="n">
        <v>30044.0687885198</v>
      </c>
      <c r="V181" s="47" t="n">
        <v>30715.9319641688</v>
      </c>
      <c r="W181" s="47" t="n">
        <v>31392.7607710216</v>
      </c>
      <c r="X181" s="47" t="n">
        <v>32074.2131112116</v>
      </c>
      <c r="Y181" s="47" t="n">
        <v>32759.9341299374</v>
      </c>
      <c r="Z181" s="47" t="n">
        <v>33449.5563939644</v>
      </c>
      <c r="AA181" s="47" t="n">
        <v>34142.700095992</v>
      </c>
    </row>
    <row r="182">
      <c r="A182" s="10" t="n">
        <v>5</v>
      </c>
      <c r="B182" s="14" t="inlineStr">
        <is>
          <t>Package B: ETS on power and industry (cap -5% 2027 to -20% 2035) + carbon tax $25 elsewhere</t>
        </is>
      </c>
      <c r="C182" s="14" t="inlineStr">
        <is>
          <t>mit.ener.bld.all.e</t>
        </is>
      </c>
      <c r="D182" s="14" t="inlineStr">
        <is>
          <t>egy.mit.ener.bld.all.e.5</t>
        </is>
      </c>
      <c r="E182" s="14" t="inlineStr">
        <is>
          <t>Fuel use | Buildings | All fuels</t>
        </is>
      </c>
      <c r="F182" s="14" t="inlineStr">
        <is>
          <t>ktoe</t>
        </is>
      </c>
      <c r="G182" s="14" t="inlineStr">
        <is>
          <t>build (Python emulation of RunAllScenarios)</t>
        </is>
      </c>
      <c r="H182" s="47" t="n">
        <v>7729.35502080619</v>
      </c>
      <c r="I182" s="47" t="n">
        <v>9899.418530253681</v>
      </c>
      <c r="J182" s="47" t="n">
        <v>11107.7261932975</v>
      </c>
      <c r="K182" s="47" t="n">
        <v>11246.4000341881</v>
      </c>
      <c r="L182" s="47" t="n">
        <v>11380.7975527416</v>
      </c>
      <c r="M182" s="47" t="n">
        <v>9290.82475416884</v>
      </c>
      <c r="N182" s="47" t="n">
        <v>9445.079517336</v>
      </c>
      <c r="O182" s="47" t="n">
        <v>9591.88432604065</v>
      </c>
      <c r="P182" s="47" t="n">
        <v>9727.97196133806</v>
      </c>
      <c r="Q182" s="47" t="n">
        <v>9864.65045214055</v>
      </c>
      <c r="R182" s="47" t="n">
        <v>10001.8660405332</v>
      </c>
      <c r="S182" s="47" t="n">
        <v>10139.5714492707</v>
      </c>
      <c r="T182" s="47" t="n">
        <v>10277.713933077</v>
      </c>
      <c r="U182" s="47" t="n">
        <v>10416.2393000441</v>
      </c>
      <c r="V182" s="47" t="n">
        <v>10555.0919339926</v>
      </c>
      <c r="W182" s="47" t="n">
        <v>10694.2148191267</v>
      </c>
      <c r="X182" s="47" t="n">
        <v>10833.5495669963</v>
      </c>
      <c r="Y182" s="47" t="n">
        <v>10973.0364457754</v>
      </c>
      <c r="Z182" s="47" t="n">
        <v>11112.614411862</v>
      </c>
      <c r="AA182" s="47" t="n">
        <v>11252.2211438003</v>
      </c>
    </row>
    <row r="183">
      <c r="A183" s="10" t="n">
        <v>5</v>
      </c>
      <c r="B183" s="14" t="inlineStr">
        <is>
          <t>Package B: ETS on power and industry (cap -5% 2027 to -20% 2035) + carbon tax $25 elsewhere</t>
        </is>
      </c>
      <c r="C183" s="14" t="inlineStr">
        <is>
          <t>mit.ener.ind.all.e</t>
        </is>
      </c>
      <c r="D183" s="14" t="inlineStr">
        <is>
          <t>egy.mit.ener.ind.all.e.5</t>
        </is>
      </c>
      <c r="E183" s="14" t="inlineStr">
        <is>
          <t>Fuel use | Industry | All fuels</t>
        </is>
      </c>
      <c r="F183" s="14" t="inlineStr">
        <is>
          <t>ktoe</t>
        </is>
      </c>
      <c r="G183" s="14" t="inlineStr">
        <is>
          <t>build (Python emulation of RunAllScenarios)</t>
        </is>
      </c>
      <c r="H183" s="47" t="n">
        <v>23298.5358761906</v>
      </c>
      <c r="I183" s="47" t="n">
        <v>28697.8277413008</v>
      </c>
      <c r="J183" s="47" t="n">
        <v>30736.6696835399</v>
      </c>
      <c r="K183" s="47" t="n">
        <v>31758.5646495629</v>
      </c>
      <c r="L183" s="47" t="n">
        <v>32651.5642048823</v>
      </c>
      <c r="M183" s="47" t="n">
        <v>26909.551660456</v>
      </c>
      <c r="N183" s="47" t="n">
        <v>27844.618496748</v>
      </c>
      <c r="O183" s="47" t="n">
        <v>28934.2728601528</v>
      </c>
      <c r="P183" s="47" t="n">
        <v>29925.2657865747</v>
      </c>
      <c r="Q183" s="47" t="n">
        <v>30931.7411945705</v>
      </c>
      <c r="R183" s="47" t="n">
        <v>31942.2184179265</v>
      </c>
      <c r="S183" s="47" t="n">
        <v>32981.6977778791</v>
      </c>
      <c r="T183" s="47" t="n">
        <v>34051.7321679183</v>
      </c>
      <c r="U183" s="47" t="n">
        <v>35119.1006266356</v>
      </c>
      <c r="V183" s="47" t="n">
        <v>36207.9721030308</v>
      </c>
      <c r="W183" s="47" t="n">
        <v>37192.4222029864</v>
      </c>
      <c r="X183" s="47" t="n">
        <v>38253.5868688384</v>
      </c>
      <c r="Y183" s="47" t="n">
        <v>39277.8259094747</v>
      </c>
      <c r="Z183" s="47" t="n">
        <v>40346.7246042554</v>
      </c>
      <c r="AA183" s="47" t="n">
        <v>41431.9940067786</v>
      </c>
    </row>
    <row r="184">
      <c r="A184" s="10" t="n">
        <v>5</v>
      </c>
      <c r="B184" s="14" t="inlineStr">
        <is>
          <t>Package B: ETS on power and industry (cap -5% 2027 to -20% 2035) + carbon tax $25 elsewhere</t>
        </is>
      </c>
      <c r="C184" s="14" t="inlineStr">
        <is>
          <t>mit.ener.oen.all.e</t>
        </is>
      </c>
      <c r="D184" s="14" t="inlineStr">
        <is>
          <t>egy.mit.ener.oen.all.e.5</t>
        </is>
      </c>
      <c r="E184" s="14" t="inlineStr">
        <is>
          <t>Fuel use | Other energy use | All fuels</t>
        </is>
      </c>
      <c r="F184" s="14" t="inlineStr">
        <is>
          <t>ktoe</t>
        </is>
      </c>
      <c r="G184" s="14" t="inlineStr">
        <is>
          <t>build (Python emulation of RunAllScenarios)</t>
        </is>
      </c>
      <c r="H184" s="47" t="n">
        <v>100.678839675172</v>
      </c>
      <c r="I184" s="47" t="n">
        <v>119.663547924256</v>
      </c>
      <c r="J184" s="47" t="n">
        <v>131.840162278901</v>
      </c>
      <c r="K184" s="47" t="n">
        <v>136.04517836169</v>
      </c>
      <c r="L184" s="47" t="n">
        <v>140.220031248098</v>
      </c>
      <c r="M184" s="47" t="n">
        <v>145.176492445302</v>
      </c>
      <c r="N184" s="47" t="n">
        <v>151.117553569281</v>
      </c>
      <c r="O184" s="47" t="n">
        <v>156.933524108294</v>
      </c>
      <c r="P184" s="47" t="n">
        <v>162.496466038354</v>
      </c>
      <c r="Q184" s="47" t="n">
        <v>168.188371221638</v>
      </c>
      <c r="R184" s="47" t="n">
        <v>174.009024009831</v>
      </c>
      <c r="S184" s="47" t="n">
        <v>179.958038182814</v>
      </c>
      <c r="T184" s="47" t="n">
        <v>186.034851517533</v>
      </c>
      <c r="U184" s="47" t="n">
        <v>192.238720534055</v>
      </c>
      <c r="V184" s="47" t="n">
        <v>198.56871543846</v>
      </c>
      <c r="W184" s="47" t="n">
        <v>205.023715282307</v>
      </c>
      <c r="X184" s="47" t="n">
        <v>211.602403358506</v>
      </c>
      <c r="Y184" s="47" t="n">
        <v>218.303262853388</v>
      </c>
      <c r="Z184" s="47" t="n">
        <v>225.124572774735</v>
      </c>
      <c r="AA184" s="47" t="n">
        <v>232.064404175348</v>
      </c>
    </row>
    <row r="185">
      <c r="A185" s="10" t="n">
        <v>5</v>
      </c>
      <c r="B185" s="14" t="inlineStr">
        <is>
          <t>Package B: ETS on power and industry (cap -5% 2027 to -20% 2035) + carbon tax $25 elsewhere</t>
        </is>
      </c>
      <c r="C185" s="14" t="inlineStr">
        <is>
          <t>mit.ener.pct.all.all.e</t>
        </is>
      </c>
      <c r="D185" s="14" t="inlineStr">
        <is>
          <t>egy.mit.ener.pct.all.all.e.5</t>
        </is>
      </c>
      <c r="E185" s="14" t="inlineStr">
        <is>
          <t>Change in fuel use vs scenario 1 | All sectors | All fuels</t>
        </is>
      </c>
      <c r="F185" s="14" t="inlineStr">
        <is>
          <t>%</t>
        </is>
      </c>
      <c r="G185" s="14" t="inlineStr">
        <is>
          <t>build (Python emulation of RunAllScenarios)</t>
        </is>
      </c>
      <c r="H185" s="13" t="n">
        <v>0</v>
      </c>
      <c r="I185" s="13" t="n">
        <v>-0.00200783210506905</v>
      </c>
      <c r="J185" s="13" t="n">
        <v>-0.0018554651918723</v>
      </c>
      <c r="K185" s="13" t="n">
        <v>-0.00172937395728434</v>
      </c>
      <c r="L185" s="13" t="n">
        <v>-0.00171890735636493</v>
      </c>
      <c r="M185" s="13" t="n">
        <v>-0.110858708728823</v>
      </c>
      <c r="N185" s="13" t="n">
        <v>-0.120175380500406</v>
      </c>
      <c r="O185" s="13" t="n">
        <v>-0.12992918145764</v>
      </c>
      <c r="P185" s="13" t="n">
        <v>-0.138566916864026</v>
      </c>
      <c r="Q185" s="13" t="n">
        <v>-0.147661231793269</v>
      </c>
      <c r="R185" s="13" t="n">
        <v>-0.155844923774917</v>
      </c>
      <c r="S185" s="13" t="n">
        <v>-0.164141561026946</v>
      </c>
      <c r="T185" s="13" t="n">
        <v>-0.173361053593955</v>
      </c>
      <c r="U185" s="13" t="n">
        <v>-0.182228039833706</v>
      </c>
      <c r="V185" s="13" t="n">
        <v>-0.191175491303155</v>
      </c>
      <c r="W185" s="13" t="n">
        <v>-0.198453212447794</v>
      </c>
      <c r="X185" s="13" t="n">
        <v>-0.207293995311819</v>
      </c>
      <c r="Y185" s="13" t="n">
        <v>-0.214459005297324</v>
      </c>
      <c r="Z185" s="13" t="n">
        <v>-0.222299944944035</v>
      </c>
      <c r="AA185" s="13" t="n">
        <v>-0.228661021339269</v>
      </c>
    </row>
    <row r="186">
      <c r="A186" s="10" t="n">
        <v>5</v>
      </c>
      <c r="B186" s="14" t="inlineStr">
        <is>
          <t>Package B: ETS on power and industry (cap -5% 2027 to -20% 2035) + carbon tax $25 elsewhere</t>
        </is>
      </c>
      <c r="C186" s="14" t="inlineStr">
        <is>
          <t>mit.co2.all.all.e</t>
        </is>
      </c>
      <c r="D186" s="14" t="inlineStr">
        <is>
          <t>egy.mit.co2.all.all.e.5</t>
        </is>
      </c>
      <c r="E186" s="14" t="inlineStr">
        <is>
          <t>CO2 emissions from fuel combustion | All sectors | All fuels</t>
        </is>
      </c>
      <c r="F186" s="14" t="inlineStr">
        <is>
          <t>MtCO2</t>
        </is>
      </c>
      <c r="G186" s="14" t="inlineStr">
        <is>
          <t>build (Python emulation of RunAllScenarios)</t>
        </is>
      </c>
      <c r="H186" s="44" t="n">
        <v>224.854684204376</v>
      </c>
      <c r="I186" s="44" t="n">
        <v>280.039212317024</v>
      </c>
      <c r="J186" s="44" t="n">
        <v>296.723902684162</v>
      </c>
      <c r="K186" s="44" t="n">
        <v>309.72098283705</v>
      </c>
      <c r="L186" s="44" t="n">
        <v>306.260634200129</v>
      </c>
      <c r="M186" s="44" t="n">
        <v>276.815827826117</v>
      </c>
      <c r="N186" s="44" t="n">
        <v>278.476136184573</v>
      </c>
      <c r="O186" s="44" t="n">
        <v>285.464289331542</v>
      </c>
      <c r="P186" s="44" t="n">
        <v>289.480602437305</v>
      </c>
      <c r="Q186" s="44" t="n">
        <v>294.774924984996</v>
      </c>
      <c r="R186" s="44" t="n">
        <v>299.302372898779</v>
      </c>
      <c r="S186" s="44" t="n">
        <v>304.386806828186</v>
      </c>
      <c r="T186" s="44" t="n">
        <v>308.856709301855</v>
      </c>
      <c r="U186" s="44" t="n">
        <v>313.622453591842</v>
      </c>
      <c r="V186" s="44" t="n">
        <v>318.228830465664</v>
      </c>
      <c r="W186" s="44" t="n">
        <v>323.407614055341</v>
      </c>
      <c r="X186" s="44" t="n">
        <v>328.00956053758</v>
      </c>
      <c r="Y186" s="44" t="n">
        <v>333.192863515512</v>
      </c>
      <c r="Z186" s="44" t="n">
        <v>338.064966836106</v>
      </c>
      <c r="AA186" s="44" t="n">
        <v>343.453305380994</v>
      </c>
    </row>
    <row r="187">
      <c r="A187" s="10" t="n">
        <v>5</v>
      </c>
      <c r="B187" s="14" t="inlineStr">
        <is>
          <t>Package B: ETS on power and industry (cap -5% 2027 to -20% 2035) + carbon tax $25 elsewhere</t>
        </is>
      </c>
      <c r="C187" s="14" t="inlineStr">
        <is>
          <t>mit.co2.tra.all.e</t>
        </is>
      </c>
      <c r="D187" s="14" t="inlineStr">
        <is>
          <t>egy.mit.co2.tra.all.e.5</t>
        </is>
      </c>
      <c r="E187" s="14" t="inlineStr">
        <is>
          <t>CO2 emissions from fuel combustion | Transport | All fuels</t>
        </is>
      </c>
      <c r="F187" s="14" t="inlineStr">
        <is>
          <t>MtCO2</t>
        </is>
      </c>
      <c r="G187" s="14" t="inlineStr">
        <is>
          <t>build (Python emulation of RunAllScenarios)</t>
        </is>
      </c>
      <c r="H187" s="44" t="n">
        <v>53.3839807233738</v>
      </c>
      <c r="I187" s="44" t="n">
        <v>67.4347151975622</v>
      </c>
      <c r="J187" s="44" t="n">
        <v>74.69987967755689</v>
      </c>
      <c r="K187" s="44" t="n">
        <v>76.29428948234271</v>
      </c>
      <c r="L187" s="44" t="n">
        <v>77.85009088208371</v>
      </c>
      <c r="M187" s="44" t="n">
        <v>70.7943994703507</v>
      </c>
      <c r="N187" s="44" t="n">
        <v>72.81860045155859</v>
      </c>
      <c r="O187" s="44" t="n">
        <v>74.7603566446013</v>
      </c>
      <c r="P187" s="44" t="n">
        <v>76.5737897012803</v>
      </c>
      <c r="Q187" s="44" t="n">
        <v>78.4063057953079</v>
      </c>
      <c r="R187" s="44" t="n">
        <v>80.2571507081102</v>
      </c>
      <c r="S187" s="44" t="n">
        <v>82.1255324340604</v>
      </c>
      <c r="T187" s="44" t="n">
        <v>84.01062127780121</v>
      </c>
      <c r="U187" s="44" t="n">
        <v>85.91155001836491</v>
      </c>
      <c r="V187" s="44" t="n">
        <v>87.8274141415327</v>
      </c>
      <c r="W187" s="44" t="n">
        <v>89.7572721417534</v>
      </c>
      <c r="X187" s="44" t="n">
        <v>91.7001458948061</v>
      </c>
      <c r="Y187" s="44" t="n">
        <v>93.6550211022542</v>
      </c>
      <c r="Z187" s="44" t="n">
        <v>95.6208478085909</v>
      </c>
      <c r="AA187" s="44" t="n">
        <v>97.5965409918266</v>
      </c>
    </row>
    <row r="188">
      <c r="A188" s="10" t="n">
        <v>5</v>
      </c>
      <c r="B188" s="14" t="inlineStr">
        <is>
          <t>Package B: ETS on power and industry (cap -5% 2027 to -20% 2035) + carbon tax $25 elsewhere</t>
        </is>
      </c>
      <c r="C188" s="14" t="inlineStr">
        <is>
          <t>mit.co2.bld.all.e</t>
        </is>
      </c>
      <c r="D188" s="14" t="inlineStr">
        <is>
          <t>egy.mit.co2.bld.all.e.5</t>
        </is>
      </c>
      <c r="E188" s="14" t="inlineStr">
        <is>
          <t>CO2 emissions from fuel combustion | Buildings | All fuels</t>
        </is>
      </c>
      <c r="F188" s="14" t="inlineStr">
        <is>
          <t>MtCO2</t>
        </is>
      </c>
      <c r="G188" s="14" t="inlineStr">
        <is>
          <t>build (Python emulation of RunAllScenarios)</t>
        </is>
      </c>
      <c r="H188" s="44" t="n">
        <v>16.7595941809113</v>
      </c>
      <c r="I188" s="44" t="n">
        <v>22.7269362675372</v>
      </c>
      <c r="J188" s="44" t="n">
        <v>25.869713488342</v>
      </c>
      <c r="K188" s="44" t="n">
        <v>26.2573345733167</v>
      </c>
      <c r="L188" s="44" t="n">
        <v>26.6338045696755</v>
      </c>
      <c r="M188" s="44" t="n">
        <v>21.0792550341355</v>
      </c>
      <c r="N188" s="44" t="n">
        <v>21.5063494369284</v>
      </c>
      <c r="O188" s="44" t="n">
        <v>21.914173965863</v>
      </c>
      <c r="P188" s="44" t="n">
        <v>22.2938943462473</v>
      </c>
      <c r="Q188" s="44" t="n">
        <v>22.6757009249942</v>
      </c>
      <c r="R188" s="44" t="n">
        <v>23.0594385017452</v>
      </c>
      <c r="S188" s="44" t="n">
        <v>23.4449789333151</v>
      </c>
      <c r="T188" s="44" t="n">
        <v>23.8321739364318</v>
      </c>
      <c r="U188" s="44" t="n">
        <v>24.2208709405364</v>
      </c>
      <c r="V188" s="44" t="n">
        <v>24.6109131494295</v>
      </c>
      <c r="W188" s="44" t="n">
        <v>25.0021396096196</v>
      </c>
      <c r="X188" s="44" t="n">
        <v>25.394385285415</v>
      </c>
      <c r="Y188" s="44" t="n">
        <v>25.7874811407902</v>
      </c>
      <c r="Z188" s="44" t="n">
        <v>26.1812542280429</v>
      </c>
      <c r="AA188" s="44" t="n">
        <v>26.5755277832497</v>
      </c>
    </row>
    <row r="189">
      <c r="A189" s="10" t="n">
        <v>5</v>
      </c>
      <c r="B189" s="14" t="inlineStr">
        <is>
          <t>Package B: ETS on power and industry (cap -5% 2027 to -20% 2035) + carbon tax $25 elsewhere</t>
        </is>
      </c>
      <c r="C189" s="14" t="inlineStr">
        <is>
          <t>mit.co2.ind.all.e</t>
        </is>
      </c>
      <c r="D189" s="14" t="inlineStr">
        <is>
          <t>egy.mit.co2.ind.all.e.5</t>
        </is>
      </c>
      <c r="E189" s="14" t="inlineStr">
        <is>
          <t>CO2 emissions from fuel combustion | Industry | All fuels</t>
        </is>
      </c>
      <c r="F189" s="14" t="inlineStr">
        <is>
          <t>MtCO2</t>
        </is>
      </c>
      <c r="G189" s="14" t="inlineStr">
        <is>
          <t>build (Python emulation of RunAllScenarios)</t>
        </is>
      </c>
      <c r="H189" s="44" t="n">
        <v>64.33222890849839</v>
      </c>
      <c r="I189" s="44" t="n">
        <v>80.2273620913227</v>
      </c>
      <c r="J189" s="44" t="n">
        <v>86.5141895930134</v>
      </c>
      <c r="K189" s="44" t="n">
        <v>89.3966824035958</v>
      </c>
      <c r="L189" s="44" t="n">
        <v>91.7467432409538</v>
      </c>
      <c r="M189" s="44" t="n">
        <v>75.1266884926992</v>
      </c>
      <c r="N189" s="44" t="n">
        <v>77.6052508444707</v>
      </c>
      <c r="O189" s="44" t="n">
        <v>80.55737732184051</v>
      </c>
      <c r="P189" s="44" t="n">
        <v>83.22330534514209</v>
      </c>
      <c r="Q189" s="44" t="n">
        <v>85.9246142920759</v>
      </c>
      <c r="R189" s="44" t="n">
        <v>88.6242283056263</v>
      </c>
      <c r="S189" s="44" t="n">
        <v>91.4002468747713</v>
      </c>
      <c r="T189" s="44" t="n">
        <v>94.2569955825454</v>
      </c>
      <c r="U189" s="44" t="n">
        <v>97.09703273412271</v>
      </c>
      <c r="V189" s="44" t="n">
        <v>99.98300143731539</v>
      </c>
      <c r="W189" s="44" t="n">
        <v>102.557872621517</v>
      </c>
      <c r="X189" s="44" t="n">
        <v>105.349661833384</v>
      </c>
      <c r="Y189" s="44" t="n">
        <v>108.029053109469</v>
      </c>
      <c r="Z189" s="44" t="n">
        <v>110.83204190951</v>
      </c>
      <c r="AA189" s="44" t="n">
        <v>113.676904035026</v>
      </c>
    </row>
    <row r="190">
      <c r="A190" s="10" t="n">
        <v>5</v>
      </c>
      <c r="B190" s="14" t="inlineStr">
        <is>
          <t>Package B: ETS on power and industry (cap -5% 2027 to -20% 2035) + carbon tax $25 elsewhere</t>
        </is>
      </c>
      <c r="C190" s="14" t="inlineStr">
        <is>
          <t>mit.co2.chg.all.all</t>
        </is>
      </c>
      <c r="D190" s="14" t="inlineStr">
        <is>
          <t>egy.mit.co2.chg.all.all.5</t>
        </is>
      </c>
      <c r="E190" s="14" t="inlineStr">
        <is>
          <t>Change in CO2 emissions vs scenario 1 | All sectors | All fuels</t>
        </is>
      </c>
      <c r="F190" s="14" t="inlineStr">
        <is>
          <t>MtCO2</t>
        </is>
      </c>
      <c r="G190" s="14" t="inlineStr">
        <is>
          <t>build (Python emulation of RunAllScenarios)</t>
        </is>
      </c>
      <c r="H190" s="44" t="n">
        <v>0</v>
      </c>
      <c r="I190" s="44" t="n">
        <v>-0.507511879167112</v>
      </c>
      <c r="J190" s="44" t="n">
        <v>-0.492701027138082</v>
      </c>
      <c r="K190" s="44" t="n">
        <v>-0.47855367987961</v>
      </c>
      <c r="L190" s="44" t="n">
        <v>-0.466556981253802</v>
      </c>
      <c r="M190" s="44" t="n">
        <v>-36.4821920762836</v>
      </c>
      <c r="N190" s="44" t="n">
        <v>-39.8322443643272</v>
      </c>
      <c r="O190" s="44" t="n">
        <v>-44.0623381103594</v>
      </c>
      <c r="P190" s="44" t="n">
        <v>-47.7133637022851</v>
      </c>
      <c r="Q190" s="44" t="n">
        <v>-51.8938106787822</v>
      </c>
      <c r="R190" s="44" t="n">
        <v>-55.7920393761315</v>
      </c>
      <c r="S190" s="44" t="n">
        <v>-59.9871502317918</v>
      </c>
      <c r="T190" s="44" t="n">
        <v>-64.5880417087818</v>
      </c>
      <c r="U190" s="44" t="n">
        <v>-69.3134454000397</v>
      </c>
      <c r="V190" s="44" t="n">
        <v>-74.2372564941813</v>
      </c>
      <c r="W190" s="44" t="n">
        <v>-78.84403069387049</v>
      </c>
      <c r="X190" s="44" t="n">
        <v>-84.1427962032635</v>
      </c>
      <c r="Y190" s="44" t="n">
        <v>-89.04287348181811</v>
      </c>
      <c r="Z190" s="44" t="n">
        <v>-94.3373528163294</v>
      </c>
      <c r="AA190" s="44" t="n">
        <v>-99.2183786191266</v>
      </c>
    </row>
    <row r="191">
      <c r="A191" s="10" t="n">
        <v>5</v>
      </c>
      <c r="B191" s="14" t="inlineStr">
        <is>
          <t>Package B: ETS on power and industry (cap -5% 2027 to -20% 2035) + carbon tax $25 elsewhere</t>
        </is>
      </c>
      <c r="C191" s="14" t="inlineStr">
        <is>
          <t>mit.co2.pct.all.all</t>
        </is>
      </c>
      <c r="D191" s="14" t="inlineStr">
        <is>
          <t>egy.mit.co2.pct.all.all.5</t>
        </is>
      </c>
      <c r="E191" s="14" t="inlineStr">
        <is>
          <t>Change in CO2 emissions vs scenario 1 | All sectors | All fuels</t>
        </is>
      </c>
      <c r="F191" s="14" t="inlineStr">
        <is>
          <t>%</t>
        </is>
      </c>
      <c r="G191" s="14" t="inlineStr">
        <is>
          <t>build (Python emulation of RunAllScenarios)</t>
        </is>
      </c>
      <c r="H191" s="13" t="n">
        <v>0</v>
      </c>
      <c r="I191" s="13" t="n">
        <v>-0.00180901017690083</v>
      </c>
      <c r="J191" s="13" t="n">
        <v>-0.00165771703527262</v>
      </c>
      <c r="K191" s="13" t="n">
        <v>-0.00154272854580328</v>
      </c>
      <c r="L191" s="13" t="n">
        <v>-0.00152108125613781</v>
      </c>
      <c r="M191" s="13" t="n">
        <v>-0.116445651611998</v>
      </c>
      <c r="N191" s="13" t="n">
        <v>-0.125137278181741</v>
      </c>
      <c r="O191" s="13" t="n">
        <v>-0.133714044453443</v>
      </c>
      <c r="P191" s="13" t="n">
        <v>-0.141501238140581</v>
      </c>
      <c r="Q191" s="13" t="n">
        <v>-0.1496927912447</v>
      </c>
      <c r="R191" s="13" t="n">
        <v>-0.157118888519535</v>
      </c>
      <c r="S191" s="13" t="n">
        <v>-0.164630729143789</v>
      </c>
      <c r="T191" s="13" t="n">
        <v>-0.172952067297746</v>
      </c>
      <c r="U191" s="13" t="n">
        <v>-0.181005347324485</v>
      </c>
      <c r="V191" s="13" t="n">
        <v>-0.18915585055831</v>
      </c>
      <c r="W191" s="13" t="n">
        <v>-0.196006732907274</v>
      </c>
      <c r="X191" s="13" t="n">
        <v>-0.204154591929633</v>
      </c>
      <c r="Y191" s="13" t="n">
        <v>-0.210884266014606</v>
      </c>
      <c r="Z191" s="13" t="n">
        <v>-0.218170320853407</v>
      </c>
      <c r="AA191" s="13" t="n">
        <v>-0.224135363081185</v>
      </c>
    </row>
    <row r="192">
      <c r="A192" s="10" t="n">
        <v>5</v>
      </c>
      <c r="B192" s="14" t="inlineStr">
        <is>
          <t>Package B: ETS on power and industry (cap -5% 2027 to -20% 2035) + carbon tax $25 elsewhere</t>
        </is>
      </c>
      <c r="C192" s="14" t="inlineStr">
        <is>
          <t>mit.rtx.all.all</t>
        </is>
      </c>
      <c r="D192" s="14" t="inlineStr">
        <is>
          <t>egy.mit.rtx.all.all.5</t>
        </is>
      </c>
      <c r="E192" s="14" t="inlineStr">
        <is>
          <t>Revenue from existing taxes (excise and other taxes + VAT; incl. the change in existing carbon pricing) | All sectors | All fuels</t>
        </is>
      </c>
      <c r="F192" s="14" t="inlineStr">
        <is>
          <t>USD m real</t>
        </is>
      </c>
      <c r="G192" s="14" t="inlineStr">
        <is>
          <t>build (Python emulation of RunAllScenarios)</t>
        </is>
      </c>
      <c r="H192" s="47" t="n">
        <v>24.7499116507651</v>
      </c>
      <c r="I192" s="47" t="n">
        <v>18.5902691501866</v>
      </c>
      <c r="J192" s="47" t="n">
        <v>15.551422727851</v>
      </c>
      <c r="K192" s="47" t="n">
        <v>16.3839035831061</v>
      </c>
      <c r="L192" s="47" t="n">
        <v>16.3521637616865</v>
      </c>
      <c r="M192" s="47" t="n">
        <v>12.8561104990555</v>
      </c>
      <c r="N192" s="47" t="n">
        <v>12.8474663563355</v>
      </c>
      <c r="O192" s="47" t="n">
        <v>13.2971065224025</v>
      </c>
      <c r="P192" s="47" t="n">
        <v>13.5869142456642</v>
      </c>
      <c r="Q192" s="47" t="n">
        <v>13.8545113904837</v>
      </c>
      <c r="R192" s="47" t="n">
        <v>14.0612270406189</v>
      </c>
      <c r="S192" s="47" t="n">
        <v>14.2820447987645</v>
      </c>
      <c r="T192" s="47" t="n">
        <v>14.5198205252648</v>
      </c>
      <c r="U192" s="47" t="n">
        <v>14.6991298944359</v>
      </c>
      <c r="V192" s="47" t="n">
        <v>14.8437923295211</v>
      </c>
      <c r="W192" s="47" t="n">
        <v>14.7143645930857</v>
      </c>
      <c r="X192" s="47" t="n">
        <v>14.7110897449196</v>
      </c>
      <c r="Y192" s="47" t="n">
        <v>14.590822012318</v>
      </c>
      <c r="Z192" s="47" t="n">
        <v>14.5270891686546</v>
      </c>
      <c r="AA192" s="47" t="n">
        <v>14.4606427591357</v>
      </c>
    </row>
    <row r="193">
      <c r="A193" s="10" t="n">
        <v>5</v>
      </c>
      <c r="B193" s="14" t="inlineStr">
        <is>
          <t>Package B: ETS on power and industry (cap -5% 2027 to -20% 2035) + carbon tax $25 elsewhere</t>
        </is>
      </c>
      <c r="C193" s="14" t="inlineStr">
        <is>
          <t>mit.rsub.all.all</t>
        </is>
      </c>
      <c r="D193" s="14" t="inlineStr">
        <is>
          <t>egy.mit.rsub.all.all.5</t>
        </is>
      </c>
      <c r="E193" s="14" t="inlineStr">
        <is>
          <t>Cost of existing consumer subsidies (positive = cost) | All sectors | All fuels</t>
        </is>
      </c>
      <c r="F193" s="14" t="inlineStr">
        <is>
          <t>USD m real</t>
        </is>
      </c>
      <c r="G193" s="14" t="inlineStr">
        <is>
          <t>build (Python emulation of RunAllScenarios)</t>
        </is>
      </c>
      <c r="H193" s="47" t="n">
        <v>46393.0558158373</v>
      </c>
      <c r="I193" s="47" t="n">
        <v>52613.4790361048</v>
      </c>
      <c r="J193" s="47" t="n">
        <v>55357.5513598892</v>
      </c>
      <c r="K193" s="47" t="n">
        <v>53260.848015935</v>
      </c>
      <c r="L193" s="47" t="n">
        <v>60372.3805375219</v>
      </c>
      <c r="M193" s="47" t="n">
        <v>48183.8624312135</v>
      </c>
      <c r="N193" s="47" t="n">
        <v>43694.6546688001</v>
      </c>
      <c r="O193" s="47" t="n">
        <v>42849.4108027123</v>
      </c>
      <c r="P193" s="47" t="n">
        <v>42724.4199727909</v>
      </c>
      <c r="Q193" s="47" t="n">
        <v>42880.7953438483</v>
      </c>
      <c r="R193" s="47" t="n">
        <v>43770.2157801581</v>
      </c>
      <c r="S193" s="47" t="n">
        <v>44729.6031447463</v>
      </c>
      <c r="T193" s="47" t="n">
        <v>45649.3970536328</v>
      </c>
      <c r="U193" s="47" t="n">
        <v>46620.5596670163</v>
      </c>
      <c r="V193" s="47" t="n">
        <v>47571.0462288774</v>
      </c>
      <c r="W193" s="47" t="n">
        <v>48648.7605537849</v>
      </c>
      <c r="X193" s="47" t="n">
        <v>49623.5133070606</v>
      </c>
      <c r="Y193" s="47" t="n">
        <v>50698.8047271005</v>
      </c>
      <c r="Z193" s="47" t="n">
        <v>51717.6469707462</v>
      </c>
      <c r="AA193" s="47" t="n">
        <v>52807.2148560447</v>
      </c>
    </row>
    <row r="194">
      <c r="A194" s="10" t="n">
        <v>5</v>
      </c>
      <c r="B194" s="14" t="inlineStr">
        <is>
          <t>Package B: ETS on power and industry (cap -5% 2027 to -20% 2035) + carbon tax $25 elsewhere</t>
        </is>
      </c>
      <c r="C194" s="14" t="inlineStr">
        <is>
          <t>mit.rnew.all.all</t>
        </is>
      </c>
      <c r="D194" s="14" t="inlineStr">
        <is>
          <t>egy.mit.rnew.all.all.5</t>
        </is>
      </c>
      <c r="E194" s="14" t="inlineStr">
        <is>
          <t>Revenue from new policies (carbon tax, excise, auctioned ETS, VAT on them) | All sectors | All fuels</t>
        </is>
      </c>
      <c r="F194" s="14" t="inlineStr">
        <is>
          <t>USD m real</t>
        </is>
      </c>
      <c r="G194" s="14" t="inlineStr">
        <is>
          <t>build (Python emulation of RunAllScenarios)</t>
        </is>
      </c>
      <c r="H194" s="47" t="n">
        <v>0</v>
      </c>
      <c r="I194" s="47" t="n">
        <v>0</v>
      </c>
      <c r="J194" s="47" t="n">
        <v>0</v>
      </c>
      <c r="K194" s="47" t="n">
        <v>0</v>
      </c>
      <c r="L194" s="47" t="n">
        <v>0</v>
      </c>
      <c r="M194" s="47" t="n">
        <v>3787.32964413707</v>
      </c>
      <c r="N194" s="47" t="n">
        <v>4323.39921743845</v>
      </c>
      <c r="O194" s="47" t="n">
        <v>4776.34008069793</v>
      </c>
      <c r="P194" s="47" t="n">
        <v>5202.17705008741</v>
      </c>
      <c r="Q194" s="47" t="n">
        <v>5625.92446548282</v>
      </c>
      <c r="R194" s="47" t="n">
        <v>6050.81334896163</v>
      </c>
      <c r="S194" s="47" t="n">
        <v>6467.25158845964</v>
      </c>
      <c r="T194" s="47" t="n">
        <v>6853.47382200735</v>
      </c>
      <c r="U194" s="47" t="n">
        <v>7283.25318898748</v>
      </c>
      <c r="V194" s="47" t="n">
        <v>7505.09627685685</v>
      </c>
      <c r="W194" s="47" t="n">
        <v>7975.80307259333</v>
      </c>
      <c r="X194" s="47" t="n">
        <v>8332.60430851361</v>
      </c>
      <c r="Y194" s="47" t="n">
        <v>8823.36934299421</v>
      </c>
      <c r="Z194" s="47" t="n">
        <v>9263.4754139413</v>
      </c>
      <c r="AA194" s="47" t="n">
        <v>9733.687451446391</v>
      </c>
    </row>
    <row r="195">
      <c r="A195" s="10" t="n">
        <v>5</v>
      </c>
      <c r="B195" s="14" t="inlineStr">
        <is>
          <t>Package B: ETS on power and industry (cap -5% 2027 to -20% 2035) + carbon tax $25 elsewhere</t>
        </is>
      </c>
      <c r="C195" s="14" t="inlineStr">
        <is>
          <t>mit.rtot.all.all</t>
        </is>
      </c>
      <c r="D195" s="14" t="inlineStr">
        <is>
          <t>egy.mit.rtot.all.all.5</t>
        </is>
      </c>
      <c r="E195" s="14" t="inlineStr">
        <is>
          <t>Total revenue (net existing + new policies) | All sectors | All fuels</t>
        </is>
      </c>
      <c r="F195" s="14" t="inlineStr">
        <is>
          <t>USD m real</t>
        </is>
      </c>
      <c r="G195" s="14" t="inlineStr">
        <is>
          <t>build (Python emulation of RunAllScenarios)</t>
        </is>
      </c>
      <c r="H195" s="47" t="n">
        <v>-46368.3059041866</v>
      </c>
      <c r="I195" s="47" t="n">
        <v>-52594.8887669547</v>
      </c>
      <c r="J195" s="47" t="n">
        <v>-55341.9999371613</v>
      </c>
      <c r="K195" s="47" t="n">
        <v>-53244.4641123519</v>
      </c>
      <c r="L195" s="47" t="n">
        <v>-60356.0283737602</v>
      </c>
      <c r="M195" s="47" t="n">
        <v>-44383.6766765774</v>
      </c>
      <c r="N195" s="47" t="n">
        <v>-39358.4079850053</v>
      </c>
      <c r="O195" s="47" t="n">
        <v>-38059.773615492</v>
      </c>
      <c r="P195" s="47" t="n">
        <v>-37508.6560084578</v>
      </c>
      <c r="Q195" s="47" t="n">
        <v>-37241.016366975</v>
      </c>
      <c r="R195" s="47" t="n">
        <v>-37705.3412041559</v>
      </c>
      <c r="S195" s="47" t="n">
        <v>-38248.0695114879</v>
      </c>
      <c r="T195" s="47" t="n">
        <v>-38781.4034111001</v>
      </c>
      <c r="U195" s="47" t="n">
        <v>-39322.6073481344</v>
      </c>
      <c r="V195" s="47" t="n">
        <v>-40051.1061596911</v>
      </c>
      <c r="W195" s="47" t="n">
        <v>-40658.2431165985</v>
      </c>
      <c r="X195" s="47" t="n">
        <v>-41276.197908802</v>
      </c>
      <c r="Y195" s="47" t="n">
        <v>-41860.844562094</v>
      </c>
      <c r="Z195" s="47" t="n">
        <v>-42439.6444676362</v>
      </c>
      <c r="AA195" s="47" t="n">
        <v>-43059.0667618392</v>
      </c>
    </row>
    <row r="196">
      <c r="A196" s="10" t="n">
        <v>5</v>
      </c>
      <c r="B196" s="14" t="inlineStr">
        <is>
          <t>Package B: ETS on power and industry (cap -5% 2027 to -20% 2035) + carbon tax $25 elsewhere</t>
        </is>
      </c>
      <c r="C196" s="14" t="inlineStr">
        <is>
          <t>mit.rtot.chg.all.all</t>
        </is>
      </c>
      <c r="D196" s="14" t="inlineStr">
        <is>
          <t>egy.mit.rtot.chg.all.all.5</t>
        </is>
      </c>
      <c r="E196" s="14" t="inlineStr">
        <is>
          <t>Change in total revenue vs scenario 1 (fiscal effect) | All sectors | All fuels</t>
        </is>
      </c>
      <c r="F196" s="14" t="inlineStr">
        <is>
          <t>USD m real</t>
        </is>
      </c>
      <c r="G196" s="14" t="inlineStr">
        <is>
          <t>build (Python emulation of RunAllScenarios)</t>
        </is>
      </c>
      <c r="H196" s="47" t="n">
        <v>0</v>
      </c>
      <c r="I196" s="47" t="n">
        <v>61.9487583445589</v>
      </c>
      <c r="J196" s="47" t="n">
        <v>29.1855774518481</v>
      </c>
      <c r="K196" s="47" t="n">
        <v>28.5981308183691</v>
      </c>
      <c r="L196" s="47" t="n">
        <v>38.0163119987919</v>
      </c>
      <c r="M196" s="47" t="n">
        <v>8994.90955718537</v>
      </c>
      <c r="N196" s="47" t="n">
        <v>9331.304681776121</v>
      </c>
      <c r="O196" s="47" t="n">
        <v>10058.1210689574</v>
      </c>
      <c r="P196" s="47" t="n">
        <v>10774.0981005762</v>
      </c>
      <c r="Q196" s="47" t="n">
        <v>11538.6541423487</v>
      </c>
      <c r="R196" s="47" t="n">
        <v>12400.8376143028</v>
      </c>
      <c r="S196" s="47" t="n">
        <v>13282.9547647372</v>
      </c>
      <c r="T196" s="47" t="n">
        <v>14154.493760963</v>
      </c>
      <c r="U196" s="47" t="n">
        <v>15069.8810557168</v>
      </c>
      <c r="V196" s="47" t="n">
        <v>15808.2369795417</v>
      </c>
      <c r="W196" s="47" t="n">
        <v>16702.6138874641</v>
      </c>
      <c r="X196" s="47" t="n">
        <v>17606.0226097024</v>
      </c>
      <c r="Y196" s="47" t="n">
        <v>18570.1584671542</v>
      </c>
      <c r="Z196" s="47" t="n">
        <v>19559.4056457018</v>
      </c>
      <c r="AA196" s="47" t="n">
        <v>20529.5360638957</v>
      </c>
    </row>
    <row r="197">
      <c r="A197" s="10" t="n">
        <v>5</v>
      </c>
      <c r="B197" s="14" t="inlineStr">
        <is>
          <t>Package B: ETS on power and industry (cap -5% 2027 to -20% 2035) + carbon tax $25 elsewhere</t>
        </is>
      </c>
      <c r="C197" s="14" t="inlineStr">
        <is>
          <t>mit.ener.pow.all.e</t>
        </is>
      </c>
      <c r="D197" s="14" t="inlineStr">
        <is>
          <t>egy.mit.ener.pow.all.e.5</t>
        </is>
      </c>
      <c r="E197" s="14" t="inlineStr">
        <is>
          <t>Fuel use | Power | All fuels</t>
        </is>
      </c>
      <c r="F197" s="14" t="inlineStr">
        <is>
          <t>ktoe</t>
        </is>
      </c>
      <c r="G197" s="14" t="inlineStr">
        <is>
          <t>build (Python emulation of RunAllScenarios)</t>
        </is>
      </c>
      <c r="H197" s="47" t="n">
        <v>36693.328730215</v>
      </c>
      <c r="I197" s="47" t="n">
        <v>44967.8047055133</v>
      </c>
      <c r="J197" s="47" t="n">
        <v>44557.2970944307</v>
      </c>
      <c r="K197" s="47" t="n">
        <v>47597.2745135413</v>
      </c>
      <c r="L197" s="47" t="n">
        <v>43789.6066460743</v>
      </c>
      <c r="M197" s="47" t="n">
        <v>43779.2920859225</v>
      </c>
      <c r="N197" s="47" t="n">
        <v>42457.7452730508</v>
      </c>
      <c r="O197" s="47" t="n">
        <v>43255.3265617349</v>
      </c>
      <c r="P197" s="47" t="n">
        <v>42967.945831544</v>
      </c>
      <c r="Q197" s="47" t="n">
        <v>43200.8830672632</v>
      </c>
      <c r="R197" s="47" t="n">
        <v>43095.0232705483</v>
      </c>
      <c r="S197" s="47" t="n">
        <v>43184.2273084468</v>
      </c>
      <c r="T197" s="47" t="n">
        <v>42965.66271478</v>
      </c>
      <c r="U197" s="47" t="n">
        <v>42871.2910286662</v>
      </c>
      <c r="V197" s="47" t="n">
        <v>42680.0185410727</v>
      </c>
      <c r="W197" s="47" t="n">
        <v>42858.4966668054</v>
      </c>
      <c r="X197" s="47" t="n">
        <v>42689.2948786082</v>
      </c>
      <c r="Y197" s="47" t="n">
        <v>42809.6676641431</v>
      </c>
      <c r="Z197" s="47" t="n">
        <v>42737.0748108865</v>
      </c>
      <c r="AA197" s="47" t="n">
        <v>42861.2340188741</v>
      </c>
    </row>
    <row r="198">
      <c r="A198" s="10" t="n">
        <v>5</v>
      </c>
      <c r="B198" s="14" t="inlineStr">
        <is>
          <t>Package B: ETS on power and industry (cap -5% 2027 to -20% 2035) + carbon tax $25 elsewhere</t>
        </is>
      </c>
      <c r="C198" s="14" t="inlineStr">
        <is>
          <t>mit.rtx.pow.all</t>
        </is>
      </c>
      <c r="D198" s="14" t="inlineStr">
        <is>
          <t>egy.mit.rtx.pow.all.5</t>
        </is>
      </c>
      <c r="E198" s="14" t="inlineStr">
        <is>
          <t>Revenue from existing taxes (excise and other taxes + VAT; incl. the change in existing carbon pricing) | Power | All fuels</t>
        </is>
      </c>
      <c r="F198" s="14" t="inlineStr">
        <is>
          <t>USD m real</t>
        </is>
      </c>
      <c r="G198" s="14" t="inlineStr">
        <is>
          <t>build (Python emulation of RunAllScenarios)</t>
        </is>
      </c>
      <c r="H198" s="47" t="n">
        <v>0</v>
      </c>
      <c r="I198" s="47" t="n">
        <v>0</v>
      </c>
      <c r="J198" s="47" t="n">
        <v>0</v>
      </c>
      <c r="K198" s="47" t="n">
        <v>0</v>
      </c>
      <c r="L198" s="47" t="n">
        <v>0</v>
      </c>
      <c r="M198" s="47" t="n">
        <v>0</v>
      </c>
      <c r="N198" s="47" t="n">
        <v>0</v>
      </c>
      <c r="O198" s="47" t="n">
        <v>0</v>
      </c>
      <c r="P198" s="47" t="n">
        <v>0</v>
      </c>
      <c r="Q198" s="47" t="n">
        <v>0</v>
      </c>
      <c r="R198" s="47" t="n">
        <v>0</v>
      </c>
      <c r="S198" s="47" t="n">
        <v>0</v>
      </c>
      <c r="T198" s="47" t="n">
        <v>0</v>
      </c>
      <c r="U198" s="47" t="n">
        <v>0</v>
      </c>
      <c r="V198" s="47" t="n">
        <v>0</v>
      </c>
      <c r="W198" s="47" t="n">
        <v>0</v>
      </c>
      <c r="X198" s="47" t="n">
        <v>0</v>
      </c>
      <c r="Y198" s="47" t="n">
        <v>0</v>
      </c>
      <c r="Z198" s="47" t="n">
        <v>0</v>
      </c>
      <c r="AA198" s="47" t="n">
        <v>0</v>
      </c>
    </row>
    <row r="199">
      <c r="A199" s="10" t="n">
        <v>5</v>
      </c>
      <c r="B199" s="14" t="inlineStr">
        <is>
          <t>Package B: ETS on power and industry (cap -5% 2027 to -20% 2035) + carbon tax $25 elsewhere</t>
        </is>
      </c>
      <c r="C199" s="14" t="inlineStr">
        <is>
          <t>mit.rsub.pow.all</t>
        </is>
      </c>
      <c r="D199" s="14" t="inlineStr">
        <is>
          <t>egy.mit.rsub.pow.all.5</t>
        </is>
      </c>
      <c r="E199" s="14" t="inlineStr">
        <is>
          <t>Cost of existing consumer subsidies (positive = cost) | Power | All fuels</t>
        </is>
      </c>
      <c r="F199" s="14" t="inlineStr">
        <is>
          <t>USD m real</t>
        </is>
      </c>
      <c r="G199" s="14" t="inlineStr">
        <is>
          <t>build (Python emulation of RunAllScenarios)</t>
        </is>
      </c>
      <c r="H199" s="47" t="n">
        <v>20315.8859505738</v>
      </c>
      <c r="I199" s="47" t="n">
        <v>21915.7479442491</v>
      </c>
      <c r="J199" s="47" t="n">
        <v>22885.4710122682</v>
      </c>
      <c r="K199" s="47" t="n">
        <v>25379.1053451553</v>
      </c>
      <c r="L199" s="47" t="n">
        <v>26935.3388843587</v>
      </c>
      <c r="M199" s="47" t="n">
        <v>24297.76715059</v>
      </c>
      <c r="N199" s="47" t="n">
        <v>21218.5247116963</v>
      </c>
      <c r="O199" s="47" t="n">
        <v>20679.4488944667</v>
      </c>
      <c r="P199" s="47" t="n">
        <v>20589.0555396142</v>
      </c>
      <c r="Q199" s="47" t="n">
        <v>20793.7706952466</v>
      </c>
      <c r="R199" s="47" t="n">
        <v>21139.3462336982</v>
      </c>
      <c r="S199" s="47" t="n">
        <v>21547.3316757164</v>
      </c>
      <c r="T199" s="47" t="n">
        <v>21908.2222294438</v>
      </c>
      <c r="U199" s="47" t="n">
        <v>22315.2012955603</v>
      </c>
      <c r="V199" s="47" t="n">
        <v>22694.5094003502</v>
      </c>
      <c r="W199" s="47" t="n">
        <v>23202.6150430282</v>
      </c>
      <c r="X199" s="47" t="n">
        <v>23598.196169672</v>
      </c>
      <c r="Y199" s="47" t="n">
        <v>24092.1700365574</v>
      </c>
      <c r="Z199" s="47" t="n">
        <v>24522.5743352109</v>
      </c>
      <c r="AA199" s="47" t="n">
        <v>25018.6201318952</v>
      </c>
    </row>
    <row r="200">
      <c r="A200" s="10" t="n">
        <v>5</v>
      </c>
      <c r="B200" s="14" t="inlineStr">
        <is>
          <t>Package B: ETS on power and industry (cap -5% 2027 to -20% 2035) + carbon tax $25 elsewhere</t>
        </is>
      </c>
      <c r="C200" s="14" t="inlineStr">
        <is>
          <t>mit.rnew.pow.all</t>
        </is>
      </c>
      <c r="D200" s="14" t="inlineStr">
        <is>
          <t>egy.mit.rnew.pow.all.5</t>
        </is>
      </c>
      <c r="E200" s="14" t="inlineStr">
        <is>
          <t>Revenue from new policies (carbon tax, excise, auctioned ETS, VAT on them) | Power | All fuels</t>
        </is>
      </c>
      <c r="F200" s="14" t="inlineStr">
        <is>
          <t>USD m real</t>
        </is>
      </c>
      <c r="G200" s="14" t="inlineStr">
        <is>
          <t>build (Python emulation of RunAllScenarios)</t>
        </is>
      </c>
      <c r="H200" s="47" t="n">
        <v>0</v>
      </c>
      <c r="I200" s="47" t="n">
        <v>0</v>
      </c>
      <c r="J200" s="47" t="n">
        <v>0</v>
      </c>
      <c r="K200" s="47" t="n">
        <v>0</v>
      </c>
      <c r="L200" s="47" t="n">
        <v>0</v>
      </c>
      <c r="M200" s="47" t="n">
        <v>0</v>
      </c>
      <c r="N200" s="47" t="n">
        <v>363.206004950316</v>
      </c>
      <c r="O200" s="47" t="n">
        <v>654.942168954015</v>
      </c>
      <c r="P200" s="47" t="n">
        <v>925.256147132318</v>
      </c>
      <c r="Q200" s="47" t="n">
        <v>1191.45228881524</v>
      </c>
      <c r="R200" s="47" t="n">
        <v>1454.41801915647</v>
      </c>
      <c r="S200" s="47" t="n">
        <v>1707.24750918034</v>
      </c>
      <c r="T200" s="47" t="n">
        <v>1928.68962804159</v>
      </c>
      <c r="U200" s="47" t="n">
        <v>2185.41696952487</v>
      </c>
      <c r="V200" s="47" t="n">
        <v>2262.59406185156</v>
      </c>
      <c r="W200" s="47" t="n">
        <v>2557.39358450279</v>
      </c>
      <c r="X200" s="47" t="n">
        <v>2747.76706370965</v>
      </c>
      <c r="Y200" s="47" t="n">
        <v>3055.33783323986</v>
      </c>
      <c r="Z200" s="47" t="n">
        <v>3314.66009897967</v>
      </c>
      <c r="AA200" s="47" t="n">
        <v>3599.94197000021</v>
      </c>
    </row>
    <row r="201">
      <c r="A201" s="10" t="n">
        <v>5</v>
      </c>
      <c r="B201" s="14" t="inlineStr">
        <is>
          <t>Package B: ETS on power and industry (cap -5% 2027 to -20% 2035) + carbon tax $25 elsewhere</t>
        </is>
      </c>
      <c r="C201" s="14" t="inlineStr">
        <is>
          <t>mit.rxcp.all.all</t>
        </is>
      </c>
      <c r="D201" s="14" t="inlineStr">
        <is>
          <t>egy.mit.rxcp.all.all.5</t>
        </is>
      </c>
      <c r="E201" s="14" t="inlineStr">
        <is>
          <t>Revenue from existing carbon pricing (memo: level; the part embedded in the price data is in rtx) | All sectors | All fuels</t>
        </is>
      </c>
      <c r="F201" s="14" t="inlineStr">
        <is>
          <t>USD m real</t>
        </is>
      </c>
      <c r="G201" s="14" t="inlineStr">
        <is>
          <t>build (Python emulation of RunAllScenarios)</t>
        </is>
      </c>
      <c r="H201" s="47" t="n">
        <v>0</v>
      </c>
      <c r="I201" s="47" t="n">
        <v>0</v>
      </c>
      <c r="J201" s="47" t="n">
        <v>0</v>
      </c>
      <c r="K201" s="47" t="n">
        <v>0</v>
      </c>
      <c r="L201" s="47" t="n">
        <v>0</v>
      </c>
      <c r="M201" s="47" t="n">
        <v>0</v>
      </c>
      <c r="N201" s="47" t="n">
        <v>0</v>
      </c>
      <c r="O201" s="47" t="n">
        <v>0</v>
      </c>
      <c r="P201" s="47" t="n">
        <v>0</v>
      </c>
      <c r="Q201" s="47" t="n">
        <v>0</v>
      </c>
      <c r="R201" s="47" t="n">
        <v>0</v>
      </c>
      <c r="S201" s="47" t="n">
        <v>0</v>
      </c>
      <c r="T201" s="47" t="n">
        <v>0</v>
      </c>
      <c r="U201" s="47" t="n">
        <v>0</v>
      </c>
      <c r="V201" s="47" t="n">
        <v>0</v>
      </c>
      <c r="W201" s="47" t="n">
        <v>0</v>
      </c>
      <c r="X201" s="47" t="n">
        <v>0</v>
      </c>
      <c r="Y201" s="47" t="n">
        <v>0</v>
      </c>
      <c r="Z201" s="47" t="n">
        <v>0</v>
      </c>
      <c r="AA201" s="47" t="n">
        <v>0</v>
      </c>
    </row>
    <row r="202">
      <c r="A202" s="10" t="n">
        <v>5</v>
      </c>
      <c r="B202" s="14" t="inlineStr">
        <is>
          <t>Package B: ETS on power and industry (cap -5% 2027 to -20% 2035) + carbon tax $25 elsewhere</t>
        </is>
      </c>
      <c r="C202" s="14" t="inlineStr">
        <is>
          <t>mit.xct.p</t>
        </is>
      </c>
      <c r="D202" s="14" t="inlineStr">
        <is>
          <t>egy.mit.xct.p.5</t>
        </is>
      </c>
      <c r="E202" s="14" t="inlineStr">
        <is>
          <t>Existing carbon tax rate used</t>
        </is>
      </c>
      <c r="F202" s="14" t="inlineStr">
        <is>
          <t>USD/tCO2 real</t>
        </is>
      </c>
      <c r="G202" s="14" t="inlineStr">
        <is>
          <t>build (Python emulation of RunAllScenarios)</t>
        </is>
      </c>
      <c r="H202" s="24" t="n">
        <v>0</v>
      </c>
      <c r="I202" s="24" t="n">
        <v>0</v>
      </c>
      <c r="J202" s="24" t="n">
        <v>0</v>
      </c>
      <c r="K202" s="24" t="n">
        <v>0</v>
      </c>
      <c r="L202" s="24" t="n">
        <v>0</v>
      </c>
      <c r="M202" s="24" t="n">
        <v>0</v>
      </c>
      <c r="N202" s="24" t="n">
        <v>0</v>
      </c>
      <c r="O202" s="24" t="n">
        <v>0</v>
      </c>
      <c r="P202" s="24" t="n">
        <v>0</v>
      </c>
      <c r="Q202" s="24" t="n">
        <v>0</v>
      </c>
      <c r="R202" s="24" t="n">
        <v>0</v>
      </c>
      <c r="S202" s="24" t="n">
        <v>0</v>
      </c>
      <c r="T202" s="24" t="n">
        <v>0</v>
      </c>
      <c r="U202" s="24" t="n">
        <v>0</v>
      </c>
      <c r="V202" s="24" t="n">
        <v>0</v>
      </c>
      <c r="W202" s="24" t="n">
        <v>0</v>
      </c>
      <c r="X202" s="24" t="n">
        <v>0</v>
      </c>
      <c r="Y202" s="24" t="n">
        <v>0</v>
      </c>
      <c r="Z202" s="24" t="n">
        <v>0</v>
      </c>
      <c r="AA202" s="24" t="n">
        <v>0</v>
      </c>
    </row>
    <row r="203">
      <c r="A203" s="10" t="n">
        <v>5</v>
      </c>
      <c r="B203" s="14" t="inlineStr">
        <is>
          <t>Package B: ETS on power and industry (cap -5% 2027 to -20% 2035) + carbon tax $25 elsewhere</t>
        </is>
      </c>
      <c r="C203" s="14" t="inlineStr">
        <is>
          <t>mit.xets.p</t>
        </is>
      </c>
      <c r="D203" s="14" t="inlineStr">
        <is>
          <t>egy.mit.xets.p.5</t>
        </is>
      </c>
      <c r="E203" s="14" t="inlineStr">
        <is>
          <t>Existing ETS permit price used</t>
        </is>
      </c>
      <c r="F203" s="14" t="inlineStr">
        <is>
          <t>USD/tCO2 real</t>
        </is>
      </c>
      <c r="G203" s="14" t="inlineStr">
        <is>
          <t>build (Python emulation of RunAllScenarios)</t>
        </is>
      </c>
      <c r="H203" s="24" t="n">
        <v>0</v>
      </c>
      <c r="I203" s="24" t="n">
        <v>0</v>
      </c>
      <c r="J203" s="24" t="n">
        <v>0</v>
      </c>
      <c r="K203" s="24" t="n">
        <v>0</v>
      </c>
      <c r="L203" s="24" t="n">
        <v>0</v>
      </c>
      <c r="M203" s="24" t="n">
        <v>0</v>
      </c>
      <c r="N203" s="24" t="n">
        <v>0</v>
      </c>
      <c r="O203" s="24" t="n">
        <v>0</v>
      </c>
      <c r="P203" s="24" t="n">
        <v>0</v>
      </c>
      <c r="Q203" s="24" t="n">
        <v>0</v>
      </c>
      <c r="R203" s="24" t="n">
        <v>0</v>
      </c>
      <c r="S203" s="24" t="n">
        <v>0</v>
      </c>
      <c r="T203" s="24" t="n">
        <v>0</v>
      </c>
      <c r="U203" s="24" t="n">
        <v>0</v>
      </c>
      <c r="V203" s="24" t="n">
        <v>0</v>
      </c>
      <c r="W203" s="24" t="n">
        <v>0</v>
      </c>
      <c r="X203" s="24" t="n">
        <v>0</v>
      </c>
      <c r="Y203" s="24" t="n">
        <v>0</v>
      </c>
      <c r="Z203" s="24" t="n">
        <v>0</v>
      </c>
      <c r="AA203" s="24" t="n">
        <v>0</v>
      </c>
    </row>
    <row r="204">
      <c r="A204" s="10" t="n">
        <v>5</v>
      </c>
      <c r="B204" s="14" t="inlineStr">
        <is>
          <t>Package B: ETS on power and industry (cap -5% 2027 to -20% 2035) + carbon tax $25 elsewhere</t>
        </is>
      </c>
      <c r="C204" s="14" t="inlineStr">
        <is>
          <t>mit.cptraj</t>
        </is>
      </c>
      <c r="D204" s="14" t="inlineStr">
        <is>
          <t>egy.mit.cptraj.5</t>
        </is>
      </c>
      <c r="E204" s="14" t="inlineStr">
        <is>
          <t>Carbon price trajectory used</t>
        </is>
      </c>
      <c r="F204" s="14" t="inlineStr">
        <is>
          <t>$/tCO2 real</t>
        </is>
      </c>
      <c r="G204" s="14" t="inlineStr">
        <is>
          <t>build (Python emulation of RunAllScenarios)</t>
        </is>
      </c>
      <c r="H204" s="24" t="n">
        <v>0</v>
      </c>
      <c r="I204" s="24" t="n">
        <v>0</v>
      </c>
      <c r="J204" s="24" t="n">
        <v>0</v>
      </c>
      <c r="K204" s="24" t="n">
        <v>0</v>
      </c>
      <c r="L204" s="24" t="n">
        <v>0</v>
      </c>
      <c r="M204" s="24" t="n">
        <v>25</v>
      </c>
      <c r="N204" s="24" t="n">
        <v>25</v>
      </c>
      <c r="O204" s="24" t="n">
        <v>25</v>
      </c>
      <c r="P204" s="24" t="n">
        <v>25</v>
      </c>
      <c r="Q204" s="24" t="n">
        <v>25</v>
      </c>
      <c r="R204" s="24" t="n">
        <v>25</v>
      </c>
      <c r="S204" s="24" t="n">
        <v>25</v>
      </c>
      <c r="T204" s="24" t="n">
        <v>25</v>
      </c>
      <c r="U204" s="24" t="n">
        <v>25</v>
      </c>
      <c r="V204" s="24" t="n">
        <v>25</v>
      </c>
      <c r="W204" s="24" t="n">
        <v>25</v>
      </c>
      <c r="X204" s="24" t="n">
        <v>25</v>
      </c>
      <c r="Y204" s="24" t="n">
        <v>25</v>
      </c>
      <c r="Z204" s="24" t="n">
        <v>25</v>
      </c>
      <c r="AA204" s="24" t="n">
        <v>25</v>
      </c>
    </row>
    <row r="205">
      <c r="A205" s="10" t="n">
        <v>5</v>
      </c>
      <c r="B205" s="14" t="inlineStr">
        <is>
          <t>Package B: ETS on power and industry (cap -5% 2027 to -20% 2035) + carbon tax $25 elsewhere</t>
        </is>
      </c>
      <c r="C205" s="14" t="inlineStr">
        <is>
          <t>mit.ets.p</t>
        </is>
      </c>
      <c r="D205" s="14" t="inlineStr">
        <is>
          <t>egy.mit.ets.p.5</t>
        </is>
      </c>
      <c r="E205" s="14" t="inlineStr">
        <is>
          <t>ETS permit price used</t>
        </is>
      </c>
      <c r="F205" s="14" t="inlineStr">
        <is>
          <t>$/tCO2 real</t>
        </is>
      </c>
      <c r="G205" s="14" t="inlineStr">
        <is>
          <t>build (Python emulation of RunAllScenarios)</t>
        </is>
      </c>
      <c r="H205" s="24" t="n">
        <v>0</v>
      </c>
      <c r="I205" s="24" t="n">
        <v>0</v>
      </c>
      <c r="J205" s="24" t="n">
        <v>0</v>
      </c>
      <c r="K205" s="24" t="n">
        <v>0</v>
      </c>
      <c r="L205" s="24" t="n">
        <v>0</v>
      </c>
      <c r="M205" s="24" t="n">
        <v>126.523479701607</v>
      </c>
      <c r="N205" s="24" t="n">
        <v>136.980486793728</v>
      </c>
      <c r="O205" s="24" t="n">
        <v>121.591338845058</v>
      </c>
      <c r="P205" s="24" t="n">
        <v>115.439351605065</v>
      </c>
      <c r="Q205" s="24" t="n">
        <v>111.113702918273</v>
      </c>
      <c r="R205" s="24" t="n">
        <v>108.942350070579</v>
      </c>
      <c r="S205" s="24" t="n">
        <v>106.531699247373</v>
      </c>
      <c r="T205" s="24" t="n">
        <v>103.816263458806</v>
      </c>
      <c r="U205" s="24" t="n">
        <v>103.304332785958</v>
      </c>
      <c r="V205" s="24" t="n">
        <v>107.56857670321</v>
      </c>
      <c r="W205" s="24" t="n">
        <v>121.281726168912</v>
      </c>
      <c r="X205" s="24" t="n">
        <v>130.98844895772</v>
      </c>
      <c r="Y205" s="24" t="n">
        <v>145.464187639014</v>
      </c>
      <c r="Z205" s="24" t="n">
        <v>158.281301943536</v>
      </c>
      <c r="AA205" s="24" t="n">
        <v>171.656138243491</v>
      </c>
    </row>
    <row r="206">
      <c r="A206" s="10" t="n">
        <v>5</v>
      </c>
      <c r="B206" s="14" t="inlineStr">
        <is>
          <t>Package B: ETS on power and industry (cap -5% 2027 to -20% 2035) + carbon tax $25 elsewhere</t>
        </is>
      </c>
      <c r="C206" s="14" t="inlineStr">
        <is>
          <t>mit.co2.ets.all.all</t>
        </is>
      </c>
      <c r="D206" s="14" t="inlineStr">
        <is>
          <t>egy.mit.co2.ets.all.all.5</t>
        </is>
      </c>
      <c r="E206" s="14" t="inlineStr">
        <is>
          <t>CO2 emissions covered by the new ETS | All sectors | All fuels</t>
        </is>
      </c>
      <c r="F206" s="14" t="inlineStr">
        <is>
          <t>MtCO2</t>
        </is>
      </c>
      <c r="G206" s="14" t="inlineStr">
        <is>
          <t>build (Python emulation of RunAllScenarios)</t>
        </is>
      </c>
      <c r="H206" s="44" t="n">
        <v>0</v>
      </c>
      <c r="I206" s="44" t="n">
        <v>0</v>
      </c>
      <c r="J206" s="44" t="n">
        <v>0</v>
      </c>
      <c r="K206" s="44" t="n">
        <v>0</v>
      </c>
      <c r="L206" s="44" t="n">
        <v>0</v>
      </c>
      <c r="M206" s="44" t="n">
        <v>124.857592563738</v>
      </c>
      <c r="N206" s="44" t="n">
        <v>121.730800538058</v>
      </c>
      <c r="O206" s="44" t="n">
        <v>124.08267008318</v>
      </c>
      <c r="P206" s="44" t="n">
        <v>123.719034802376</v>
      </c>
      <c r="Q206" s="44" t="n">
        <v>124.560635904583</v>
      </c>
      <c r="R206" s="44" t="n">
        <v>124.563450773494</v>
      </c>
      <c r="S206" s="44" t="n">
        <v>125.052279521342</v>
      </c>
      <c r="T206" s="44" t="n">
        <v>124.856671969586</v>
      </c>
      <c r="U206" s="44" t="n">
        <v>124.888183172537</v>
      </c>
      <c r="V206" s="44" t="n">
        <v>124.692902490999</v>
      </c>
      <c r="W206" s="44" t="n">
        <v>125.004021635916</v>
      </c>
      <c r="X206" s="44" t="n">
        <v>124.673835364689</v>
      </c>
      <c r="Y206" s="44" t="n">
        <v>124.862198709066</v>
      </c>
      <c r="Z206" s="44" t="n">
        <v>124.678341457275</v>
      </c>
      <c r="AA206" s="44" t="n">
        <v>124.95161041675</v>
      </c>
    </row>
    <row r="207">
      <c r="A207" s="10" t="n">
        <v>5</v>
      </c>
      <c r="B207" s="14" t="inlineStr">
        <is>
          <t>Package B: ETS on power and industry (cap -5% 2027 to -20% 2035) + carbon tax $25 elsewhere</t>
        </is>
      </c>
      <c r="C207" s="14" t="inlineStr">
        <is>
          <t>mit.co2.cap.all.all</t>
        </is>
      </c>
      <c r="D207" s="14" t="inlineStr">
        <is>
          <t>egy.mit.co2.cap.all.all.5</t>
        </is>
      </c>
      <c r="E207" s="14" t="inlineStr">
        <is>
          <t>ETS cap | All sectors | All fuels</t>
        </is>
      </c>
      <c r="F207" s="14" t="inlineStr">
        <is>
          <t>MtCO2</t>
        </is>
      </c>
      <c r="G207" s="14" t="inlineStr">
        <is>
          <t>build (Python emulation of RunAllScenarios)</t>
        </is>
      </c>
      <c r="H207" s="44" t="n">
        <v>0</v>
      </c>
      <c r="I207" s="44" t="n">
        <v>0</v>
      </c>
      <c r="J207" s="44" t="n">
        <v>0</v>
      </c>
      <c r="K207" s="44" t="n">
        <v>0</v>
      </c>
      <c r="L207" s="44" t="n">
        <v>0</v>
      </c>
      <c r="M207" s="44" t="n">
        <v>124.289290912905</v>
      </c>
      <c r="N207" s="44" t="n">
        <v>121.158940592375</v>
      </c>
      <c r="O207" s="44" t="n">
        <v>123.884344793694</v>
      </c>
      <c r="P207" s="44" t="n">
        <v>123.497071908328</v>
      </c>
      <c r="Q207" s="44" t="n">
        <v>124.523886729857</v>
      </c>
      <c r="R207" s="44" t="n">
        <v>124.423022557364</v>
      </c>
      <c r="S207" s="44" t="n">
        <v>124.853020605729</v>
      </c>
      <c r="T207" s="44" t="n">
        <v>124.901676360304</v>
      </c>
      <c r="U207" s="44" t="n">
        <v>125.089877160256</v>
      </c>
      <c r="V207" s="44" t="n">
        <v>125.089877160256</v>
      </c>
      <c r="W207" s="44" t="n">
        <v>125.089877160256</v>
      </c>
      <c r="X207" s="44" t="n">
        <v>125.089877160256</v>
      </c>
      <c r="Y207" s="44" t="n">
        <v>125.089877160256</v>
      </c>
      <c r="Z207" s="44" t="n">
        <v>125.089877160256</v>
      </c>
      <c r="AA207" s="44" t="n">
        <v>125.089877160256</v>
      </c>
    </row>
    <row r="208">
      <c r="A208" s="10" t="n">
        <v>5</v>
      </c>
      <c r="B208" s="14" t="inlineStr">
        <is>
          <t>Package B: ETS on power and industry (cap -5% 2027 to -20% 2035) + carbon tax $25 elsewhere</t>
        </is>
      </c>
      <c r="C208" s="14" t="inlineStr">
        <is>
          <t>mit.rpb.all.gso.a</t>
        </is>
      </c>
      <c r="D208" s="14" t="inlineStr">
        <is>
          <t>egy.mit.rpb.all.gso.a.5</t>
        </is>
      </c>
      <c r="E208" s="14" t="inlineStr">
        <is>
          <t>Retail price before new policies | All sectors | Gasoline</t>
        </is>
      </c>
      <c r="F208" s="14" t="inlineStr">
        <is>
          <t>$/GJ real</t>
        </is>
      </c>
      <c r="G208" s="14" t="inlineStr">
        <is>
          <t>build (Python emulation of RunAllScenarios)</t>
        </is>
      </c>
      <c r="H208" s="24" t="n">
        <v>17.1645453257496</v>
      </c>
      <c r="I208" s="24" t="n">
        <v>11.7387816845338</v>
      </c>
      <c r="J208" s="24" t="n">
        <v>9.58268059228592</v>
      </c>
      <c r="K208" s="24" t="n">
        <v>9.58268059228592</v>
      </c>
      <c r="L208" s="24" t="n">
        <v>9.58268059228592</v>
      </c>
      <c r="M208" s="24" t="n">
        <v>9.58268059228592</v>
      </c>
      <c r="N208" s="24" t="n">
        <v>9.58268059228592</v>
      </c>
      <c r="O208" s="24" t="n">
        <v>9.58268059228592</v>
      </c>
      <c r="P208" s="24" t="n">
        <v>9.58268059228592</v>
      </c>
      <c r="Q208" s="24" t="n">
        <v>9.58268059228592</v>
      </c>
      <c r="R208" s="24" t="n">
        <v>9.58268059228592</v>
      </c>
      <c r="S208" s="24" t="n">
        <v>9.58268059228592</v>
      </c>
      <c r="T208" s="24" t="n">
        <v>9.58268059228592</v>
      </c>
      <c r="U208" s="24" t="n">
        <v>9.58268059228592</v>
      </c>
      <c r="V208" s="24" t="n">
        <v>9.58268059228592</v>
      </c>
      <c r="W208" s="24" t="n">
        <v>9.58268059228592</v>
      </c>
      <c r="X208" s="24" t="n">
        <v>9.58268059228592</v>
      </c>
      <c r="Y208" s="24" t="n">
        <v>9.58268059228592</v>
      </c>
      <c r="Z208" s="24" t="n">
        <v>9.58268059228592</v>
      </c>
      <c r="AA208" s="24" t="n">
        <v>9.58268059228592</v>
      </c>
    </row>
    <row r="209">
      <c r="A209" s="10" t="n">
        <v>5</v>
      </c>
      <c r="B209" s="14" t="inlineStr">
        <is>
          <t>Package B: ETS on power and industry (cap -5% 2027 to -20% 2035) + carbon tax $25 elsewhere</t>
        </is>
      </c>
      <c r="C209" s="14" t="inlineStr">
        <is>
          <t>mit.rpb.all.die.a</t>
        </is>
      </c>
      <c r="D209" s="14" t="inlineStr">
        <is>
          <t>egy.mit.rpb.all.die.a.5</t>
        </is>
      </c>
      <c r="E209" s="14" t="inlineStr">
        <is>
          <t>Retail price before new policies | All sectors | Diesel</t>
        </is>
      </c>
      <c r="F209" s="14" t="inlineStr">
        <is>
          <t>$/GJ real</t>
        </is>
      </c>
      <c r="G209" s="14" t="inlineStr">
        <is>
          <t>build (Python emulation of RunAllScenarios)</t>
        </is>
      </c>
      <c r="H209" s="24" t="n">
        <v>11.0953075337741</v>
      </c>
      <c r="I209" s="24" t="n">
        <v>7.52329139696042</v>
      </c>
      <c r="J209" s="24" t="n">
        <v>6.68201385154289</v>
      </c>
      <c r="K209" s="24" t="n">
        <v>6.68201385154289</v>
      </c>
      <c r="L209" s="24" t="n">
        <v>6.68201385154289</v>
      </c>
      <c r="M209" s="24" t="n">
        <v>6.68201385154289</v>
      </c>
      <c r="N209" s="24" t="n">
        <v>6.68201385154289</v>
      </c>
      <c r="O209" s="24" t="n">
        <v>6.68201385154289</v>
      </c>
      <c r="P209" s="24" t="n">
        <v>6.68201385154289</v>
      </c>
      <c r="Q209" s="24" t="n">
        <v>6.68201385154289</v>
      </c>
      <c r="R209" s="24" t="n">
        <v>6.68201385154289</v>
      </c>
      <c r="S209" s="24" t="n">
        <v>6.68201385154289</v>
      </c>
      <c r="T209" s="24" t="n">
        <v>6.68201385154289</v>
      </c>
      <c r="U209" s="24" t="n">
        <v>6.68201385154289</v>
      </c>
      <c r="V209" s="24" t="n">
        <v>6.68201385154289</v>
      </c>
      <c r="W209" s="24" t="n">
        <v>6.68201385154289</v>
      </c>
      <c r="X209" s="24" t="n">
        <v>6.68201385154289</v>
      </c>
      <c r="Y209" s="24" t="n">
        <v>6.68201385154289</v>
      </c>
      <c r="Z209" s="24" t="n">
        <v>6.68201385154289</v>
      </c>
      <c r="AA209" s="24" t="n">
        <v>6.68201385154289</v>
      </c>
    </row>
    <row r="210">
      <c r="A210" s="10" t="n">
        <v>5</v>
      </c>
      <c r="B210" s="14" t="inlineStr">
        <is>
          <t>Package B: ETS on power and industry (cap -5% 2027 to -20% 2035) + carbon tax $25 elsewhere</t>
        </is>
      </c>
      <c r="C210" s="14" t="inlineStr">
        <is>
          <t>mit.rpb.res.nga.a</t>
        </is>
      </c>
      <c r="D210" s="14" t="inlineStr">
        <is>
          <t>egy.mit.rpb.res.nga.a.5</t>
        </is>
      </c>
      <c r="E210" s="14" t="inlineStr">
        <is>
          <t>Retail price before new policies | Residential | Natural gas</t>
        </is>
      </c>
      <c r="F210" s="14" t="inlineStr">
        <is>
          <t>$/GJ real</t>
        </is>
      </c>
      <c r="G210" s="14" t="inlineStr">
        <is>
          <t>build (Python emulation of RunAllScenarios)</t>
        </is>
      </c>
      <c r="H210" s="24" t="n">
        <v>4.63366849483039</v>
      </c>
      <c r="I210" s="24" t="n">
        <v>3.20868563703672</v>
      </c>
      <c r="J210" s="24" t="n">
        <v>2.33088056865822</v>
      </c>
      <c r="K210" s="24" t="n">
        <v>2.33088056865822</v>
      </c>
      <c r="L210" s="24" t="n">
        <v>2.33088056865822</v>
      </c>
      <c r="M210" s="24" t="n">
        <v>2.33088056865822</v>
      </c>
      <c r="N210" s="24" t="n">
        <v>2.33088056865822</v>
      </c>
      <c r="O210" s="24" t="n">
        <v>2.33088056865822</v>
      </c>
      <c r="P210" s="24" t="n">
        <v>2.33088056865822</v>
      </c>
      <c r="Q210" s="24" t="n">
        <v>2.33088056865822</v>
      </c>
      <c r="R210" s="24" t="n">
        <v>2.33088056865822</v>
      </c>
      <c r="S210" s="24" t="n">
        <v>2.33088056865822</v>
      </c>
      <c r="T210" s="24" t="n">
        <v>2.33088056865822</v>
      </c>
      <c r="U210" s="24" t="n">
        <v>2.33088056865822</v>
      </c>
      <c r="V210" s="24" t="n">
        <v>2.33088056865822</v>
      </c>
      <c r="W210" s="24" t="n">
        <v>2.33088056865822</v>
      </c>
      <c r="X210" s="24" t="n">
        <v>2.33088056865822</v>
      </c>
      <c r="Y210" s="24" t="n">
        <v>2.33088056865822</v>
      </c>
      <c r="Z210" s="24" t="n">
        <v>2.33088056865822</v>
      </c>
      <c r="AA210" s="24" t="n">
        <v>2.33088056865822</v>
      </c>
    </row>
    <row r="211">
      <c r="A211" s="10" t="n">
        <v>5</v>
      </c>
      <c r="B211" s="14" t="inlineStr">
        <is>
          <t>Package B: ETS on power and industry (cap -5% 2027 to -20% 2035) + carbon tax $25 elsewhere</t>
        </is>
      </c>
      <c r="C211" s="14" t="inlineStr">
        <is>
          <t>mit.atp.rod.gso.e</t>
        </is>
      </c>
      <c r="D211" s="14" t="inlineStr">
        <is>
          <t>egy.mit.atp.rod.gso.e.5</t>
        </is>
      </c>
      <c r="E211" s="14" t="inlineStr">
        <is>
          <t>After-tax price | Road | Gasoline</t>
        </is>
      </c>
      <c r="F211" s="14" t="inlineStr">
        <is>
          <t>$/GJ real</t>
        </is>
      </c>
      <c r="G211" s="14" t="inlineStr">
        <is>
          <t>build (Python emulation of RunAllScenarios)</t>
        </is>
      </c>
      <c r="H211" s="24" t="n">
        <v>17.1645453257496</v>
      </c>
      <c r="I211" s="24" t="n">
        <v>11.7387816845338</v>
      </c>
      <c r="J211" s="24" t="n">
        <v>9.58268059228592</v>
      </c>
      <c r="K211" s="24" t="n">
        <v>9.58268059228592</v>
      </c>
      <c r="L211" s="24" t="n">
        <v>9.58268059228592</v>
      </c>
      <c r="M211" s="24" t="n">
        <v>11.2371305922859</v>
      </c>
      <c r="N211" s="24" t="n">
        <v>11.2371305922859</v>
      </c>
      <c r="O211" s="24" t="n">
        <v>11.2371305922859</v>
      </c>
      <c r="P211" s="24" t="n">
        <v>11.2371305922859</v>
      </c>
      <c r="Q211" s="24" t="n">
        <v>11.2371305922859</v>
      </c>
      <c r="R211" s="24" t="n">
        <v>11.2371305922859</v>
      </c>
      <c r="S211" s="24" t="n">
        <v>11.2371305922859</v>
      </c>
      <c r="T211" s="24" t="n">
        <v>11.2371305922859</v>
      </c>
      <c r="U211" s="24" t="n">
        <v>11.2371305922859</v>
      </c>
      <c r="V211" s="24" t="n">
        <v>11.2371305922859</v>
      </c>
      <c r="W211" s="24" t="n">
        <v>11.2371305922859</v>
      </c>
      <c r="X211" s="24" t="n">
        <v>11.2371305922859</v>
      </c>
      <c r="Y211" s="24" t="n">
        <v>11.2371305922859</v>
      </c>
      <c r="Z211" s="24" t="n">
        <v>11.2371305922859</v>
      </c>
      <c r="AA211" s="24" t="n">
        <v>11.2371305922859</v>
      </c>
    </row>
    <row r="212">
      <c r="A212" s="10" t="n">
        <v>5</v>
      </c>
      <c r="B212" s="14" t="inlineStr">
        <is>
          <t>Package B: ETS on power and industry (cap -5% 2027 to -20% 2035) + carbon tax $25 elsewhere</t>
        </is>
      </c>
      <c r="C212" s="14" t="inlineStr">
        <is>
          <t>mit.rp.res.ecy</t>
        </is>
      </c>
      <c r="D212" s="14" t="inlineStr">
        <is>
          <t>egy.mit.rp.res.ecy.5</t>
        </is>
      </c>
      <c r="E212" s="14" t="inlineStr">
        <is>
          <t>End-user electricity price | Residential | Electricity</t>
        </is>
      </c>
      <c r="F212" s="14" t="inlineStr">
        <is>
          <t>$/kWh real</t>
        </is>
      </c>
      <c r="G212" s="14" t="inlineStr">
        <is>
          <t>build (Python emulation of RunAllScenarios)</t>
        </is>
      </c>
      <c r="H212" s="16" t="n">
        <v>0.0613881498333761</v>
      </c>
      <c r="I212" s="16" t="n">
        <v>0.0524045289478607</v>
      </c>
      <c r="J212" s="16" t="n">
        <v>0.0455995743641052</v>
      </c>
      <c r="K212" s="16" t="n">
        <v>0.0487286016104842</v>
      </c>
      <c r="L212" s="16" t="n">
        <v>0.0504089657803599</v>
      </c>
      <c r="M212" s="16" t="n">
        <v>0.0544900080417272</v>
      </c>
      <c r="N212" s="16" t="n">
        <v>0.0554393369654807</v>
      </c>
      <c r="O212" s="16" t="n">
        <v>0.056575245650036</v>
      </c>
      <c r="P212" s="16" t="n">
        <v>0.0568236014229331</v>
      </c>
      <c r="Q212" s="16" t="n">
        <v>0.057418289862716</v>
      </c>
      <c r="R212" s="16" t="n">
        <v>0.0577854945750579</v>
      </c>
      <c r="S212" s="16" t="n">
        <v>0.0582227132956925</v>
      </c>
      <c r="T212" s="16" t="n">
        <v>0.0584950389003628</v>
      </c>
      <c r="U212" s="16" t="n">
        <v>0.058943126867206</v>
      </c>
      <c r="V212" s="16" t="n">
        <v>0.0588701942554955</v>
      </c>
      <c r="W212" s="16" t="n">
        <v>0.0593417802565288</v>
      </c>
      <c r="X212" s="16" t="n">
        <v>0.0594549660873053</v>
      </c>
      <c r="Y212" s="16" t="n">
        <v>0.0598874502282459</v>
      </c>
      <c r="Z212" s="16" t="n">
        <v>0.06011320804831</v>
      </c>
      <c r="AA212" s="16" t="n">
        <v>0.0603719938637924</v>
      </c>
    </row>
    <row r="213">
      <c r="A213" s="10" t="n">
        <v>5</v>
      </c>
      <c r="B213" s="14" t="inlineStr">
        <is>
          <t>Package B: ETS on power and industry (cap -5% 2027 to -20% 2035) + carbon tax $25 elsewhere</t>
        </is>
      </c>
      <c r="C213" s="14" t="inlineStr">
        <is>
          <t>mit.rp.ind.ecy</t>
        </is>
      </c>
      <c r="D213" s="14" t="inlineStr">
        <is>
          <t>egy.mit.rp.ind.ecy.5</t>
        </is>
      </c>
      <c r="E213" s="14" t="inlineStr">
        <is>
          <t>End-user electricity price | Industry | Electricity</t>
        </is>
      </c>
      <c r="F213" s="14" t="inlineStr">
        <is>
          <t>$/kWh real</t>
        </is>
      </c>
      <c r="G213" s="14" t="inlineStr">
        <is>
          <t>build (Python emulation of RunAllScenarios)</t>
        </is>
      </c>
      <c r="H213" s="16" t="n">
        <v>0.0636617850123901</v>
      </c>
      <c r="I213" s="16" t="n">
        <v>0.0622303781255846</v>
      </c>
      <c r="J213" s="16" t="n">
        <v>0.0519623056707246</v>
      </c>
      <c r="K213" s="16" t="n">
        <v>0.0550913329171036</v>
      </c>
      <c r="L213" s="16" t="n">
        <v>0.0567716970869792</v>
      </c>
      <c r="M213" s="16" t="n">
        <v>0.0608527393483466</v>
      </c>
      <c r="N213" s="16" t="n">
        <v>0.0618020682721001</v>
      </c>
      <c r="O213" s="16" t="n">
        <v>0.0629379769566554</v>
      </c>
      <c r="P213" s="16" t="n">
        <v>0.0631863327295525</v>
      </c>
      <c r="Q213" s="16" t="n">
        <v>0.0637810211693354</v>
      </c>
      <c r="R213" s="16" t="n">
        <v>0.06414822588167721</v>
      </c>
      <c r="S213" s="16" t="n">
        <v>0.0645854446023119</v>
      </c>
      <c r="T213" s="16" t="n">
        <v>0.06485777020698209</v>
      </c>
      <c r="U213" s="16" t="n">
        <v>0.0653058581738253</v>
      </c>
      <c r="V213" s="16" t="n">
        <v>0.0652329255621148</v>
      </c>
      <c r="W213" s="16" t="n">
        <v>0.0657045115631481</v>
      </c>
      <c r="X213" s="16" t="n">
        <v>0.0658176973939246</v>
      </c>
      <c r="Y213" s="16" t="n">
        <v>0.0662501815348652</v>
      </c>
      <c r="Z213" s="16" t="n">
        <v>0.0664759393549294</v>
      </c>
      <c r="AA213" s="16" t="n">
        <v>0.0667347251704118</v>
      </c>
    </row>
    <row r="214">
      <c r="A214" s="10" t="n">
        <v>5</v>
      </c>
      <c r="B214" s="14" t="inlineStr">
        <is>
          <t>Package B: ETS on power and industry (cap -5% 2027 to -20% 2035) + carbon tax $25 elsewhere</t>
        </is>
      </c>
      <c r="C214" s="14" t="inlineStr">
        <is>
          <t>mit.gncav</t>
        </is>
      </c>
      <c r="D214" s="14" t="inlineStr">
        <is>
          <t>egy.mit.gncav.5</t>
        </is>
      </c>
      <c r="E214" s="14" t="inlineStr">
        <is>
          <t>Average generation cost (weighted by generation shares)</t>
        </is>
      </c>
      <c r="F214" s="14" t="inlineStr">
        <is>
          <t>$/kWh</t>
        </is>
      </c>
      <c r="G214" s="14" t="inlineStr">
        <is>
          <t>build (Python emulation of RunAllScenarios)</t>
        </is>
      </c>
      <c r="H214" s="16" t="n">
        <v>0.0702944291961073</v>
      </c>
      <c r="I214" s="16" t="n">
        <v>0.0675546811530508</v>
      </c>
      <c r="J214" s="16" t="n">
        <v>0.07068370839942981</v>
      </c>
      <c r="K214" s="16" t="n">
        <v>0.0723640725693054</v>
      </c>
      <c r="L214" s="16" t="n">
        <v>0.0764451148306728</v>
      </c>
      <c r="M214" s="16" t="n">
        <v>0.076176814365619</v>
      </c>
      <c r="N214" s="16" t="n">
        <v>0.0764055592696285</v>
      </c>
      <c r="O214" s="16" t="n">
        <v>0.0758591174267461</v>
      </c>
      <c r="P214" s="16" t="n">
        <v>0.07574221228330121</v>
      </c>
      <c r="Q214" s="16" t="n">
        <v>0.0754446930816728</v>
      </c>
      <c r="R214" s="16" t="n">
        <v>0.0752977244309264</v>
      </c>
      <c r="S214" s="16" t="n">
        <v>0.0751092005325659</v>
      </c>
      <c r="T214" s="16" t="n">
        <v>0.0750406252616741</v>
      </c>
      <c r="U214" s="16" t="n">
        <v>0.07494426177966</v>
      </c>
      <c r="V214" s="16" t="n">
        <v>0.0748753596110838</v>
      </c>
      <c r="W214" s="16" t="n">
        <v>0.07471185335243551</v>
      </c>
      <c r="X214" s="16" t="n">
        <v>0.0746299791887457</v>
      </c>
      <c r="Y214" s="16" t="n">
        <v>0.07446772188031479</v>
      </c>
      <c r="Z214" s="16" t="n">
        <v>0.0743189142497994</v>
      </c>
      <c r="AA214" s="16" t="n">
        <v>0.0740948586756791</v>
      </c>
    </row>
    <row r="215">
      <c r="A215" s="10" t="n">
        <v>5</v>
      </c>
      <c r="B215" s="14" t="inlineStr">
        <is>
          <t>Package B: ETS on power and industry (cap -5% 2027 to -20% 2035) + carbon tax $25 elsewhere</t>
        </is>
      </c>
      <c r="C215" s="14" t="inlineStr">
        <is>
          <t>mit.co2.pow.all.e</t>
        </is>
      </c>
      <c r="D215" s="14" t="inlineStr">
        <is>
          <t>egy.mit.co2.pow.all.e.5</t>
        </is>
      </c>
      <c r="E215" s="14" t="inlineStr">
        <is>
          <t>CO2 emissions from fuel combustion | Power | All fuels</t>
        </is>
      </c>
      <c r="F215" s="14" t="inlineStr">
        <is>
          <t>MtCO2</t>
        </is>
      </c>
      <c r="G215" s="14" t="inlineStr">
        <is>
          <t>build (Python emulation of RunAllScenarios)</t>
        </is>
      </c>
      <c r="H215" s="44" t="n">
        <v>90.0555728903077</v>
      </c>
      <c r="I215" s="44" t="n">
        <v>109.265926128943</v>
      </c>
      <c r="J215" s="44" t="n">
        <v>109.216744829024</v>
      </c>
      <c r="K215" s="44" t="n">
        <v>117.335797816024</v>
      </c>
      <c r="L215" s="44" t="n">
        <v>109.579710342437</v>
      </c>
      <c r="M215" s="44" t="n">
        <v>109.349283101048</v>
      </c>
      <c r="N215" s="44" t="n">
        <v>106.060655339107</v>
      </c>
      <c r="O215" s="44" t="n">
        <v>107.728424602446</v>
      </c>
      <c r="P215" s="44" t="n">
        <v>106.86779210816</v>
      </c>
      <c r="Q215" s="44" t="n">
        <v>107.228204759911</v>
      </c>
      <c r="R215" s="44" t="n">
        <v>106.802764450315</v>
      </c>
      <c r="S215" s="44" t="n">
        <v>106.838153728999</v>
      </c>
      <c r="T215" s="44" t="n">
        <v>106.159509325649</v>
      </c>
      <c r="U215" s="44" t="n">
        <v>105.775668386192</v>
      </c>
      <c r="V215" s="44" t="n">
        <v>105.169842866575</v>
      </c>
      <c r="W215" s="44" t="n">
        <v>105.431942028144</v>
      </c>
      <c r="X215" s="44" t="n">
        <v>104.885853889169</v>
      </c>
      <c r="Y215" s="44" t="n">
        <v>105.020276221596</v>
      </c>
      <c r="Z215" s="44" t="n">
        <v>104.707885842451</v>
      </c>
      <c r="AA215" s="44" t="n">
        <v>104.859109812134</v>
      </c>
    </row>
    <row r="216">
      <c r="A216" s="10" t="n">
        <v>5</v>
      </c>
      <c r="B216" s="14" t="inlineStr">
        <is>
          <t>Package B: ETS on power and industry (cap -5% 2027 to -20% 2035) + carbon tax $25 elsewhere</t>
        </is>
      </c>
      <c r="C216" s="14" t="inlineStr">
        <is>
          <t>mit.gtot</t>
        </is>
      </c>
      <c r="D216" s="14" t="inlineStr">
        <is>
          <t>egy.mit.gtot.5</t>
        </is>
      </c>
      <c r="E216" s="14" t="inlineStr">
        <is>
          <t>Generation, total</t>
        </is>
      </c>
      <c r="F216" s="14" t="inlineStr">
        <is>
          <t>MWy</t>
        </is>
      </c>
      <c r="G216" s="14" t="inlineStr">
        <is>
          <t>build (Python emulation of RunAllScenarios)</t>
        </is>
      </c>
      <c r="H216" s="47" t="n">
        <v>25122.5095205354</v>
      </c>
      <c r="I216" s="47" t="n">
        <v>30746.5374802134</v>
      </c>
      <c r="J216" s="47" t="n">
        <v>32478.0797087984</v>
      </c>
      <c r="K216" s="47" t="n">
        <v>36617.9829695121</v>
      </c>
      <c r="L216" s="47" t="n">
        <v>36705.7253680313</v>
      </c>
      <c r="M216" s="47" t="n">
        <v>37539.9817285749</v>
      </c>
      <c r="N216" s="47" t="n">
        <v>37802.172804869</v>
      </c>
      <c r="O216" s="47" t="n">
        <v>39062.9607073796</v>
      </c>
      <c r="P216" s="47" t="n">
        <v>40162.3262259005</v>
      </c>
      <c r="Q216" s="47" t="n">
        <v>41582.1767722185</v>
      </c>
      <c r="R216" s="47" t="n">
        <v>42905.5141384335</v>
      </c>
      <c r="S216" s="47" t="n">
        <v>44335.0311338622</v>
      </c>
      <c r="T216" s="47" t="n">
        <v>45763.9066578196</v>
      </c>
      <c r="U216" s="47" t="n">
        <v>47281.6737192969</v>
      </c>
      <c r="V216" s="47" t="n">
        <v>48756.3772389924</v>
      </c>
      <c r="W216" s="47" t="n">
        <v>50470.5565321877</v>
      </c>
      <c r="X216" s="47" t="n">
        <v>51987.5560218719</v>
      </c>
      <c r="Y216" s="47" t="n">
        <v>53684.3365010549</v>
      </c>
      <c r="Z216" s="47" t="n">
        <v>55267.5725626584</v>
      </c>
      <c r="AA216" s="47" t="n">
        <v>56969.2092383848</v>
      </c>
    </row>
    <row r="217">
      <c r="A217" s="10" t="n">
        <v>5</v>
      </c>
      <c r="B217" s="14" t="inlineStr">
        <is>
          <t>Package B: ETS on power and industry (cap -5% 2027 to -20% 2035) + carbon tax $25 elsewhere</t>
        </is>
      </c>
      <c r="C217" s="14" t="inlineStr">
        <is>
          <t>mit.vre</t>
        </is>
      </c>
      <c r="D217" s="14" t="inlineStr">
        <is>
          <t>egy.mit.vre.5</t>
        </is>
      </c>
      <c r="E217" s="14" t="inlineStr">
        <is>
          <t>Variable renewable share of generation (wind, solar, other renewables)</t>
        </is>
      </c>
      <c r="F217" s="14" t="inlineStr">
        <is>
          <t>share</t>
        </is>
      </c>
      <c r="G217" s="14" t="inlineStr">
        <is>
          <t>build (Python emulation of RunAllScenarios)</t>
        </is>
      </c>
      <c r="H217" s="13" t="n">
        <v>0.0523422150659333</v>
      </c>
      <c r="I217" s="13" t="n">
        <v>0.0529586588798598</v>
      </c>
      <c r="J217" s="13" t="n">
        <v>0.079269251783818</v>
      </c>
      <c r="K217" s="13" t="n">
        <v>0.0987449656227519</v>
      </c>
      <c r="L217" s="13" t="n">
        <v>0.129867513513872</v>
      </c>
      <c r="M217" s="13" t="n">
        <v>0.144797163926529</v>
      </c>
      <c r="N217" s="13" t="n">
        <v>0.167560044786998</v>
      </c>
      <c r="O217" s="13" t="n">
        <v>0.177635222908714</v>
      </c>
      <c r="P217" s="13" t="n">
        <v>0.198928599960138</v>
      </c>
      <c r="Q217" s="13" t="n">
        <v>0.217517752019861</v>
      </c>
      <c r="R217" s="13" t="n">
        <v>0.237407319211847</v>
      </c>
      <c r="S217" s="13" t="n">
        <v>0.255161881723716</v>
      </c>
      <c r="T217" s="13" t="n">
        <v>0.275771309912998</v>
      </c>
      <c r="U217" s="13" t="n">
        <v>0.294734706855886</v>
      </c>
      <c r="V217" s="13" t="n">
        <v>0.31301104822462</v>
      </c>
      <c r="W217" s="13" t="n">
        <v>0.328885794145586</v>
      </c>
      <c r="X217" s="13" t="n">
        <v>0.345211397830509</v>
      </c>
      <c r="Y217" s="13" t="n">
        <v>0.359759716033754</v>
      </c>
      <c r="Z217" s="13" t="n">
        <v>0.374374530731996</v>
      </c>
      <c r="AA217" s="13" t="n">
        <v>0.387673400301992</v>
      </c>
    </row>
    <row r="218">
      <c r="A218" s="10" t="n">
        <v>5</v>
      </c>
      <c r="B218" s="14" t="inlineStr">
        <is>
          <t>Package B: ETS on power and industry (cap -5% 2027 to -20% 2035) + carbon tax $25 elsewhere</t>
        </is>
      </c>
      <c r="C218" s="14" t="inlineStr">
        <is>
          <t>mit.shr.pow.nga</t>
        </is>
      </c>
      <c r="D218" s="14" t="inlineStr">
        <is>
          <t>egy.mit.shr.pow.nga.5</t>
        </is>
      </c>
      <c r="E218" s="14" t="inlineStr">
        <is>
          <t>Generation share | Power | Natural gas</t>
        </is>
      </c>
      <c r="F218" s="14" t="inlineStr">
        <is>
          <t>share</t>
        </is>
      </c>
      <c r="G218" s="14" t="inlineStr">
        <is>
          <t>build (Python emulation of RunAllScenarios)</t>
        </is>
      </c>
      <c r="H218" s="13" t="n">
        <v>0.796805951196797</v>
      </c>
      <c r="I218" s="13" t="n">
        <v>0.823597463013434</v>
      </c>
      <c r="J218" s="13" t="n">
        <v>0.751528279698371</v>
      </c>
      <c r="K218" s="13" t="n">
        <v>0.69890132488893</v>
      </c>
      <c r="L218" s="13" t="n">
        <v>0.6094414309032971</v>
      </c>
      <c r="M218" s="13" t="n">
        <v>0.59968542815109</v>
      </c>
      <c r="N218" s="13" t="n">
        <v>0.577315613270881</v>
      </c>
      <c r="O218" s="13" t="n">
        <v>0.575165997659383</v>
      </c>
      <c r="P218" s="13" t="n">
        <v>0.558305373249486</v>
      </c>
      <c r="Q218" s="13" t="n">
        <v>0.545959427978804</v>
      </c>
      <c r="R218" s="13" t="n">
        <v>0.53055639452362</v>
      </c>
      <c r="S218" s="13" t="n">
        <v>0.517530520190485</v>
      </c>
      <c r="T218" s="13" t="n">
        <v>0.501006026626121</v>
      </c>
      <c r="U218" s="13" t="n">
        <v>0.486154822129886</v>
      </c>
      <c r="V218" s="13" t="n">
        <v>0.471326196182322</v>
      </c>
      <c r="W218" s="13" t="n">
        <v>0.459759456878336</v>
      </c>
      <c r="X218" s="13" t="n">
        <v>0.446381560110403</v>
      </c>
      <c r="Y218" s="13" t="n">
        <v>0.435657539369155</v>
      </c>
      <c r="Z218" s="13" t="n">
        <v>0.424211075816009</v>
      </c>
      <c r="AA218" s="13" t="n">
        <v>0.414670849454691</v>
      </c>
    </row>
    <row r="219">
      <c r="A219" s="10" t="n">
        <v>5</v>
      </c>
      <c r="B219" s="14" t="inlineStr">
        <is>
          <t>Package B: ETS on power and industry (cap -5% 2027 to -20% 2035) + carbon tax $25 elsewhere</t>
        </is>
      </c>
      <c r="C219" s="14" t="inlineStr">
        <is>
          <t>mit.usdtot</t>
        </is>
      </c>
      <c r="D219" s="14" t="inlineStr">
        <is>
          <t>egy.mit.usdtot.5</t>
        </is>
      </c>
      <c r="E219" s="14" t="inlineStr">
        <is>
          <t>New investment, total</t>
        </is>
      </c>
      <c r="F219" s="14" t="inlineStr">
        <is>
          <t>USD m real</t>
        </is>
      </c>
      <c r="G219" s="14" t="inlineStr">
        <is>
          <t>build (Python emulation of RunAllScenarios)</t>
        </is>
      </c>
      <c r="H219" s="47" t="n">
        <v>3175.70944366793</v>
      </c>
      <c r="I219" s="47" t="n">
        <v>23118.2511509123</v>
      </c>
      <c r="J219" s="47" t="n">
        <v>25914.2994752612</v>
      </c>
      <c r="K219" s="47" t="n">
        <v>29069.3851486411</v>
      </c>
      <c r="L219" s="47" t="n">
        <v>6006.68013043519</v>
      </c>
      <c r="M219" s="47" t="n">
        <v>7645.54375217629</v>
      </c>
      <c r="N219" s="47" t="n">
        <v>5443.10213073692</v>
      </c>
      <c r="O219" s="47" t="n">
        <v>9146.140114699559</v>
      </c>
      <c r="P219" s="47" t="n">
        <v>8701.52108469499</v>
      </c>
      <c r="Q219" s="47" t="n">
        <v>9911.084467291021</v>
      </c>
      <c r="R219" s="47" t="n">
        <v>9772.80948304821</v>
      </c>
      <c r="S219" s="47" t="n">
        <v>10587.1236080025</v>
      </c>
      <c r="T219" s="47" t="n">
        <v>10741.5138969894</v>
      </c>
      <c r="U219" s="47" t="n">
        <v>11125.9561127575</v>
      </c>
      <c r="V219" s="47" t="n">
        <v>11149.5900789734</v>
      </c>
      <c r="W219" s="47" t="n">
        <v>11898.5552139438</v>
      </c>
      <c r="X219" s="47" t="n">
        <v>11495.1231384612</v>
      </c>
      <c r="Y219" s="47" t="n">
        <v>11934.3083523347</v>
      </c>
      <c r="Z219" s="47" t="n">
        <v>11614.2542198834</v>
      </c>
      <c r="AA219" s="47" t="n">
        <v>11859.1805859204</v>
      </c>
    </row>
    <row r="220">
      <c r="A220" s="10" t="n">
        <v>5</v>
      </c>
      <c r="B220" s="14" t="inlineStr">
        <is>
          <t>Package B: ETS on power and industry (cap -5% 2027 to -20% 2035) + carbon tax $25 elsewhere</t>
        </is>
      </c>
      <c r="C220" s="14" t="inlineStr">
        <is>
          <t>mit.demtot</t>
        </is>
      </c>
      <c r="D220" s="14" t="inlineStr">
        <is>
          <t>egy.mit.demtot.5</t>
        </is>
      </c>
      <c r="E220" s="14" t="inlineStr">
        <is>
          <t>Electricity demand, total</t>
        </is>
      </c>
      <c r="F220" s="14" t="inlineStr">
        <is>
          <t>ktoe</t>
        </is>
      </c>
      <c r="G220" s="14" t="inlineStr">
        <is>
          <t>build (Python emulation of RunAllScenarios)</t>
        </is>
      </c>
      <c r="H220" s="47" t="n">
        <v>15495.7198104268</v>
      </c>
      <c r="I220" s="47" t="n">
        <v>18964.655164912</v>
      </c>
      <c r="J220" s="47" t="n">
        <v>20032.681159375</v>
      </c>
      <c r="K220" s="47" t="n">
        <v>22586.199187415</v>
      </c>
      <c r="L220" s="47" t="n">
        <v>22640.3192434482</v>
      </c>
      <c r="M220" s="47" t="n">
        <v>23154.8937449519</v>
      </c>
      <c r="N220" s="47" t="n">
        <v>23316.6148282587</v>
      </c>
      <c r="O220" s="47" t="n">
        <v>24094.2766323755</v>
      </c>
      <c r="P220" s="47" t="n">
        <v>24772.372108081</v>
      </c>
      <c r="Q220" s="47" t="n">
        <v>25648.1447382174</v>
      </c>
      <c r="R220" s="47" t="n">
        <v>26464.3874397984</v>
      </c>
      <c r="S220" s="47" t="n">
        <v>27346.1223957469</v>
      </c>
      <c r="T220" s="47" t="n">
        <v>28227.4616881103</v>
      </c>
      <c r="U220" s="47" t="n">
        <v>29163.6298325754</v>
      </c>
      <c r="V220" s="47" t="n">
        <v>30073.2361171694</v>
      </c>
      <c r="W220" s="47" t="n">
        <v>31130.5525453103</v>
      </c>
      <c r="X220" s="47" t="n">
        <v>32066.2472467291</v>
      </c>
      <c r="Y220" s="47" t="n">
        <v>33112.8319783909</v>
      </c>
      <c r="Z220" s="47" t="n">
        <v>34089.3818085072</v>
      </c>
      <c r="AA220" s="47" t="n">
        <v>35138.9618723399</v>
      </c>
    </row>
    <row r="221">
      <c r="A221" s="10" t="n">
        <v>5</v>
      </c>
      <c r="B221" s="14" t="inlineStr">
        <is>
          <t>Package B: ETS on power and industry (cap -5% 2027 to -20% 2035) + carbon tax $25 elsewhere</t>
        </is>
      </c>
      <c r="C221" s="14" t="inlineStr">
        <is>
          <t>mit.eldem.tra.ecy.e</t>
        </is>
      </c>
      <c r="D221" s="14" t="inlineStr">
        <is>
          <t>egy.mit.eldem.tra.ecy.e.5</t>
        </is>
      </c>
      <c r="E221" s="14" t="inlineStr">
        <is>
          <t>Electricity demand (memo: power model H; not in the fuel totals; sector policies do not act on it) | Transport | Electricity</t>
        </is>
      </c>
      <c r="F221" s="14" t="inlineStr">
        <is>
          <t>ktoe</t>
        </is>
      </c>
      <c r="G221" s="14" t="inlineStr">
        <is>
          <t>build (Python emulation of RunAllScenarios)</t>
        </is>
      </c>
      <c r="H221" s="47" t="n">
        <v>47.6318696194386</v>
      </c>
      <c r="I221" s="47" t="n">
        <v>56.1578666775528</v>
      </c>
      <c r="J221" s="47" t="n">
        <v>59.1776119843666</v>
      </c>
      <c r="K221" s="47" t="n">
        <v>65.56989481179821</v>
      </c>
      <c r="L221" s="47" t="n">
        <v>66.8856466513073</v>
      </c>
      <c r="M221" s="47" t="n">
        <v>69.4211961574036</v>
      </c>
      <c r="N221" s="47" t="n">
        <v>71.51711357413581</v>
      </c>
      <c r="O221" s="47" t="n">
        <v>74.8923195820125</v>
      </c>
      <c r="P221" s="47" t="n">
        <v>77.96276918888771</v>
      </c>
      <c r="Q221" s="47" t="n">
        <v>81.52416117050581</v>
      </c>
      <c r="R221" s="47" t="n">
        <v>85.0109572551806</v>
      </c>
      <c r="S221" s="47" t="n">
        <v>88.70516250098549</v>
      </c>
      <c r="T221" s="47" t="n">
        <v>92.4577585238607</v>
      </c>
      <c r="U221" s="47" t="n">
        <v>96.3965214504709</v>
      </c>
      <c r="V221" s="47" t="n">
        <v>100.332706395172</v>
      </c>
      <c r="W221" s="47" t="n">
        <v>104.675968894936</v>
      </c>
      <c r="X221" s="47" t="n">
        <v>108.791919046415</v>
      </c>
      <c r="Y221" s="47" t="n">
        <v>113.230746142978</v>
      </c>
      <c r="Z221" s="47" t="n">
        <v>117.560294586289</v>
      </c>
      <c r="AA221" s="47" t="n">
        <v>122.123729518227</v>
      </c>
    </row>
    <row r="222">
      <c r="A222" s="10" t="n">
        <v>5</v>
      </c>
      <c r="B222" s="14" t="inlineStr">
        <is>
          <t>Package B: ETS on power and industry (cap -5% 2027 to -20% 2035) + carbon tax $25 elsewhere</t>
        </is>
      </c>
      <c r="C222" s="14" t="inlineStr">
        <is>
          <t>mit.eldem.bld.ecy.e</t>
        </is>
      </c>
      <c r="D222" s="14" t="inlineStr">
        <is>
          <t>egy.mit.eldem.bld.ecy.e.5</t>
        </is>
      </c>
      <c r="E222" s="14" t="inlineStr">
        <is>
          <t>Electricity demand (memo: power model H; not in the fuel totals; sector policies do not act on it) | Buildings | Electricity</t>
        </is>
      </c>
      <c r="F222" s="14" t="inlineStr">
        <is>
          <t>ktoe</t>
        </is>
      </c>
      <c r="G222" s="14" t="inlineStr">
        <is>
          <t>build (Python emulation of RunAllScenarios)</t>
        </is>
      </c>
      <c r="H222" s="47" t="n">
        <v>11660.9678190786</v>
      </c>
      <c r="I222" s="47" t="n">
        <v>14469.3803845704</v>
      </c>
      <c r="J222" s="47" t="n">
        <v>15418.0538874128</v>
      </c>
      <c r="K222" s="47" t="n">
        <v>17431.2228698156</v>
      </c>
      <c r="L222" s="47" t="n">
        <v>17462.3342960815</v>
      </c>
      <c r="M222" s="47" t="n">
        <v>17865.661701391</v>
      </c>
      <c r="N222" s="47" t="n">
        <v>17979.5970649277</v>
      </c>
      <c r="O222" s="47" t="n">
        <v>18595.3378123382</v>
      </c>
      <c r="P222" s="47" t="n">
        <v>19131.9698767452</v>
      </c>
      <c r="Q222" s="47" t="n">
        <v>19829.8663688214</v>
      </c>
      <c r="R222" s="47" t="n">
        <v>20479.8345414898</v>
      </c>
      <c r="S222" s="47" t="n">
        <v>21183.6875798065</v>
      </c>
      <c r="T222" s="47" t="n">
        <v>21887.7800650178</v>
      </c>
      <c r="U222" s="47" t="n">
        <v>22637.2266000573</v>
      </c>
      <c r="V222" s="47" t="n">
        <v>23365.5700893129</v>
      </c>
      <c r="W222" s="47" t="n">
        <v>24215.4324162329</v>
      </c>
      <c r="X222" s="47" t="n">
        <v>24966.3951745247</v>
      </c>
      <c r="Y222" s="47" t="n">
        <v>25808.9266084462</v>
      </c>
      <c r="Z222" s="47" t="n">
        <v>26594.6819336768</v>
      </c>
      <c r="AA222" s="47" t="n">
        <v>27441.0970466474</v>
      </c>
    </row>
    <row r="223">
      <c r="A223" s="10" t="n">
        <v>5</v>
      </c>
      <c r="B223" s="14" t="inlineStr">
        <is>
          <t>Package B: ETS on power and industry (cap -5% 2027 to -20% 2035) + carbon tax $25 elsewhere</t>
        </is>
      </c>
      <c r="C223" s="14" t="inlineStr">
        <is>
          <t>mit.eldem.ind.ecy.e</t>
        </is>
      </c>
      <c r="D223" s="14" t="inlineStr">
        <is>
          <t>egy.mit.eldem.ind.ecy.e.5</t>
        </is>
      </c>
      <c r="E223" s="14" t="inlineStr">
        <is>
          <t>Electricity demand (memo: power model H; not in the fuel totals; sector policies do not act on it) | Industry | Electricity</t>
        </is>
      </c>
      <c r="F223" s="14" t="inlineStr">
        <is>
          <t>ktoe</t>
        </is>
      </c>
      <c r="G223" s="14" t="inlineStr">
        <is>
          <t>build (Python emulation of RunAllScenarios)</t>
        </is>
      </c>
      <c r="H223" s="47" t="n">
        <v>3787.12012172875</v>
      </c>
      <c r="I223" s="47" t="n">
        <v>4439.11691366402</v>
      </c>
      <c r="J223" s="47" t="n">
        <v>4555.44965997782</v>
      </c>
      <c r="K223" s="47" t="n">
        <v>5089.40642278754</v>
      </c>
      <c r="L223" s="47" t="n">
        <v>5111.09930071543</v>
      </c>
      <c r="M223" s="47" t="n">
        <v>5219.81084740344</v>
      </c>
      <c r="N223" s="47" t="n">
        <v>5265.50064975681</v>
      </c>
      <c r="O223" s="47" t="n">
        <v>5424.04650045523</v>
      </c>
      <c r="P223" s="47" t="n">
        <v>5562.43946214698</v>
      </c>
      <c r="Q223" s="47" t="n">
        <v>5736.75420822544</v>
      </c>
      <c r="R223" s="47" t="n">
        <v>5899.54194105343</v>
      </c>
      <c r="S223" s="47" t="n">
        <v>6073.72965343945</v>
      </c>
      <c r="T223" s="47" t="n">
        <v>6247.22386456862</v>
      </c>
      <c r="U223" s="47" t="n">
        <v>6430.00671106767</v>
      </c>
      <c r="V223" s="47" t="n">
        <v>6607.33332146134</v>
      </c>
      <c r="W223" s="47" t="n">
        <v>6810.4441601825</v>
      </c>
      <c r="X223" s="47" t="n">
        <v>6991.06015315801</v>
      </c>
      <c r="Y223" s="47" t="n">
        <v>7190.67462380172</v>
      </c>
      <c r="Z223" s="47" t="n">
        <v>7377.13958024411</v>
      </c>
      <c r="AA223" s="47" t="n">
        <v>7575.74109617428</v>
      </c>
    </row>
    <row r="224">
      <c r="A224" s="10" t="n">
        <v>5</v>
      </c>
      <c r="B224" s="14" t="inlineStr">
        <is>
          <t>Package B: ETS on power and industry (cap -5% 2027 to -20% 2035) + carbon tax $25 elsewhere</t>
        </is>
      </c>
      <c r="C224" s="14" t="inlineStr">
        <is>
          <t>mit.eldem.oen.ecy.e</t>
        </is>
      </c>
      <c r="D224" s="14" t="inlineStr">
        <is>
          <t>egy.mit.eldem.oen.ecy.e.5</t>
        </is>
      </c>
      <c r="E224" s="14" t="inlineStr">
        <is>
          <t>Electricity demand (memo: power model H; not in the fuel totals; sector policies do not act on it) | Other energy use | Electricity</t>
        </is>
      </c>
      <c r="F224" s="14" t="inlineStr">
        <is>
          <t>ktoe</t>
        </is>
      </c>
      <c r="G224" s="14" t="inlineStr">
        <is>
          <t>build (Python emulation of RunAllScenarios)</t>
        </is>
      </c>
      <c r="H224" s="47" t="n">
        <v>0</v>
      </c>
      <c r="I224" s="47" t="n">
        <v>0</v>
      </c>
      <c r="J224" s="47" t="n">
        <v>0</v>
      </c>
      <c r="K224" s="47" t="n">
        <v>0</v>
      </c>
      <c r="L224" s="47" t="n">
        <v>0</v>
      </c>
      <c r="M224" s="47" t="n">
        <v>0</v>
      </c>
      <c r="N224" s="47" t="n">
        <v>0</v>
      </c>
      <c r="O224" s="47" t="n">
        <v>0</v>
      </c>
      <c r="P224" s="47" t="n">
        <v>0</v>
      </c>
      <c r="Q224" s="47" t="n">
        <v>0</v>
      </c>
      <c r="R224" s="47" t="n">
        <v>0</v>
      </c>
      <c r="S224" s="47" t="n">
        <v>0</v>
      </c>
      <c r="T224" s="47" t="n">
        <v>0</v>
      </c>
      <c r="U224" s="47" t="n">
        <v>0</v>
      </c>
      <c r="V224" s="47" t="n">
        <v>0</v>
      </c>
      <c r="W224" s="47" t="n">
        <v>0</v>
      </c>
      <c r="X224" s="47" t="n">
        <v>0</v>
      </c>
      <c r="Y224" s="47" t="n">
        <v>0</v>
      </c>
      <c r="Z224" s="47" t="n">
        <v>0</v>
      </c>
      <c r="AA224" s="47" t="n">
        <v>0</v>
      </c>
    </row>
    <row r="225">
      <c r="A225" s="10" t="n">
        <v>5</v>
      </c>
      <c r="B225" s="14" t="inlineStr">
        <is>
          <t>Package B: ETS on power and industry (cap -5% 2027 to -20% 2035) + carbon tax $25 elsewhere</t>
        </is>
      </c>
      <c r="C225" s="14" t="inlineStr">
        <is>
          <t>mit.req</t>
        </is>
      </c>
      <c r="D225" s="14" t="inlineStr">
        <is>
          <t>egy.mit.req.5</t>
        </is>
      </c>
      <c r="E225" s="14" t="inlineStr">
        <is>
          <t>Required generation (incl. net exports, transmission and statistical differences, own use)</t>
        </is>
      </c>
      <c r="F225" s="14" t="inlineStr">
        <is>
          <t>MWy</t>
        </is>
      </c>
      <c r="G225" s="14" t="inlineStr">
        <is>
          <t>build (Python emulation of RunAllScenarios)</t>
        </is>
      </c>
      <c r="H225" s="47" t="n">
        <v>25122.5095205354</v>
      </c>
      <c r="I225" s="47" t="n">
        <v>30746.5374802134</v>
      </c>
      <c r="J225" s="47" t="n">
        <v>32478.0797087984</v>
      </c>
      <c r="K225" s="47" t="n">
        <v>36617.9829695121</v>
      </c>
      <c r="L225" s="47" t="n">
        <v>36705.7253680313</v>
      </c>
      <c r="M225" s="47" t="n">
        <v>37539.9817285749</v>
      </c>
      <c r="N225" s="47" t="n">
        <v>37802.172804869</v>
      </c>
      <c r="O225" s="47" t="n">
        <v>39062.9607073796</v>
      </c>
      <c r="P225" s="47" t="n">
        <v>40162.3262259005</v>
      </c>
      <c r="Q225" s="47" t="n">
        <v>41582.1767722185</v>
      </c>
      <c r="R225" s="47" t="n">
        <v>42905.5141384335</v>
      </c>
      <c r="S225" s="47" t="n">
        <v>44335.0311338622</v>
      </c>
      <c r="T225" s="47" t="n">
        <v>45763.9066578196</v>
      </c>
      <c r="U225" s="47" t="n">
        <v>47281.6737192969</v>
      </c>
      <c r="V225" s="47" t="n">
        <v>48756.3772389924</v>
      </c>
      <c r="W225" s="47" t="n">
        <v>50470.5565321877</v>
      </c>
      <c r="X225" s="47" t="n">
        <v>51987.5560218719</v>
      </c>
      <c r="Y225" s="47" t="n">
        <v>53684.3365010549</v>
      </c>
      <c r="Z225" s="47" t="n">
        <v>55267.5725626584</v>
      </c>
      <c r="AA225" s="47" t="n">
        <v>56969.2092383848</v>
      </c>
    </row>
    <row r="226">
      <c r="A226" s="10" t="n">
        <v>5</v>
      </c>
      <c r="B226" s="14" t="inlineStr">
        <is>
          <t>Package B: ETS on power and industry (cap -5% 2027 to -20% 2035) + carbon tax $25 elsewhere</t>
        </is>
      </c>
      <c r="C226" s="14" t="inlineStr">
        <is>
          <t>mit.captot</t>
        </is>
      </c>
      <c r="D226" s="14" t="inlineStr">
        <is>
          <t>egy.mit.captot.5</t>
        </is>
      </c>
      <c r="E226" s="14" t="inlineStr">
        <is>
          <t>Nameplate capacity, total</t>
        </is>
      </c>
      <c r="F226" s="14" t="inlineStr">
        <is>
          <t>MW</t>
        </is>
      </c>
      <c r="G226" s="14" t="inlineStr">
        <is>
          <t>build (Python emulation of RunAllScenarios)</t>
        </is>
      </c>
      <c r="H226" s="47" t="n">
        <v>60726.1845893258</v>
      </c>
      <c r="I226" s="47" t="n">
        <v>61054.913006055</v>
      </c>
      <c r="J226" s="47" t="n">
        <v>72543.44168750651</v>
      </c>
      <c r="K226" s="47" t="n">
        <v>85467.5475502983</v>
      </c>
      <c r="L226" s="47" t="n">
        <v>100032.034096128</v>
      </c>
      <c r="M226" s="47" t="n">
        <v>101684.235421743</v>
      </c>
      <c r="N226" s="47" t="n">
        <v>104679.428730808</v>
      </c>
      <c r="O226" s="47" t="n">
        <v>105991.244756125</v>
      </c>
      <c r="P226" s="47" t="n">
        <v>110398.823814616</v>
      </c>
      <c r="Q226" s="47" t="n">
        <v>114538.771240745</v>
      </c>
      <c r="R226" s="47" t="n">
        <v>119600.907099246</v>
      </c>
      <c r="S226" s="47" t="n">
        <v>124433.730635807</v>
      </c>
      <c r="T226" s="47" t="n">
        <v>130150.003446571</v>
      </c>
      <c r="U226" s="47" t="n">
        <v>135892.218280794</v>
      </c>
      <c r="V226" s="47" t="n">
        <v>141832.640033822</v>
      </c>
      <c r="W226" s="47" t="n">
        <v>147732.202967515</v>
      </c>
      <c r="X226" s="47" t="n">
        <v>154094.22467232</v>
      </c>
      <c r="Y226" s="47" t="n">
        <v>160153.242923867</v>
      </c>
      <c r="Z226" s="47" t="n">
        <v>166563.132262917</v>
      </c>
      <c r="AA226" s="47" t="n">
        <v>172812.661571994</v>
      </c>
    </row>
    <row r="227">
      <c r="A227" s="10" t="n">
        <v>5</v>
      </c>
      <c r="B227" s="14" t="inlineStr">
        <is>
          <t>Package B: ETS on power and industry (cap -5% 2027 to -20% 2035) + carbon tax $25 elsewhere</t>
        </is>
      </c>
      <c r="C227" s="14" t="inlineStr">
        <is>
          <t>mit.cap.pow.wnd</t>
        </is>
      </c>
      <c r="D227" s="14" t="inlineStr">
        <is>
          <t>egy.mit.cap.pow.wnd.5</t>
        </is>
      </c>
      <c r="E227" s="14" t="inlineStr">
        <is>
          <t>Nameplate capacity | Power | Wind</t>
        </is>
      </c>
      <c r="F227" s="14" t="inlineStr">
        <is>
          <t>MW</t>
        </is>
      </c>
      <c r="G227" s="14" t="inlineStr">
        <is>
          <t>build (Python emulation of RunAllScenarios)</t>
        </is>
      </c>
      <c r="H227" s="47" t="n">
        <v>2387.25143730845</v>
      </c>
      <c r="I227" s="47" t="n">
        <v>3224.56126242444</v>
      </c>
      <c r="J227" s="47" t="n">
        <v>4791.90985504598</v>
      </c>
      <c r="K227" s="47" t="n">
        <v>6523.38801823264</v>
      </c>
      <c r="L227" s="47" t="n">
        <v>8443.652915147821</v>
      </c>
      <c r="M227" s="47" t="n">
        <v>10142.2788819492</v>
      </c>
      <c r="N227" s="47" t="n">
        <v>12251.2512770863</v>
      </c>
      <c r="O227" s="47" t="n">
        <v>13688.8009779207</v>
      </c>
      <c r="P227" s="47" t="n">
        <v>15752.652465648</v>
      </c>
      <c r="Q227" s="47" t="n">
        <v>17831.7614306183</v>
      </c>
      <c r="R227" s="47" t="n">
        <v>19914.8577979911</v>
      </c>
      <c r="S227" s="47" t="n">
        <v>22023.1743228726</v>
      </c>
      <c r="T227" s="47" t="n">
        <v>24149.4361213391</v>
      </c>
      <c r="U227" s="47" t="n">
        <v>26300.123659552</v>
      </c>
      <c r="V227" s="47" t="n">
        <v>28474.3799814215</v>
      </c>
      <c r="W227" s="47" t="n">
        <v>30677.3455633273</v>
      </c>
      <c r="X227" s="47" t="n">
        <v>32905.1925271492</v>
      </c>
      <c r="Y227" s="47" t="n">
        <v>35173.0565450567</v>
      </c>
      <c r="Z227" s="47" t="n">
        <v>37466.458395013</v>
      </c>
      <c r="AA227" s="47" t="n">
        <v>39796.5322152495</v>
      </c>
    </row>
    <row r="228">
      <c r="A228" s="10" t="n">
        <v>5</v>
      </c>
      <c r="B228" s="14" t="inlineStr">
        <is>
          <t>Package B: ETS on power and industry (cap -5% 2027 to -20% 2035) + carbon tax $25 elsewhere</t>
        </is>
      </c>
      <c r="C228" s="14" t="inlineStr">
        <is>
          <t>mit.cap.pow.sol</t>
        </is>
      </c>
      <c r="D228" s="14" t="inlineStr">
        <is>
          <t>egy.mit.cap.pow.sol.5</t>
        </is>
      </c>
      <c r="E228" s="14" t="inlineStr">
        <is>
          <t>Nameplate capacity | Power | Solar</t>
        </is>
      </c>
      <c r="F228" s="14" t="inlineStr">
        <is>
          <t>MW</t>
        </is>
      </c>
      <c r="G228" s="14" t="inlineStr">
        <is>
          <t>build (Python emulation of RunAllScenarios)</t>
        </is>
      </c>
      <c r="H228" s="47" t="n">
        <v>3326.62425070716</v>
      </c>
      <c r="I228" s="47" t="n">
        <v>3671.81673013396</v>
      </c>
      <c r="J228" s="47" t="n">
        <v>6316.33400765476</v>
      </c>
      <c r="K228" s="47" t="n">
        <v>9215.69480016222</v>
      </c>
      <c r="L228" s="47" t="n">
        <v>12409.9189484717</v>
      </c>
      <c r="M228" s="47" t="n">
        <v>13294.4401309255</v>
      </c>
      <c r="N228" s="47" t="n">
        <v>14770.8799172431</v>
      </c>
      <c r="O228" s="47" t="n">
        <v>15735.0968852973</v>
      </c>
      <c r="P228" s="47" t="n">
        <v>18131.3310420353</v>
      </c>
      <c r="Q228" s="47" t="n">
        <v>20529.628813333</v>
      </c>
      <c r="R228" s="47" t="n">
        <v>23397.920842301</v>
      </c>
      <c r="S228" s="47" t="n">
        <v>26142.5426307445</v>
      </c>
      <c r="T228" s="47" t="n">
        <v>29864.1202742296</v>
      </c>
      <c r="U228" s="47" t="n">
        <v>33586.1841413724</v>
      </c>
      <c r="V228" s="47" t="n">
        <v>37327.615293253</v>
      </c>
      <c r="W228" s="47" t="n">
        <v>41088.029983667</v>
      </c>
      <c r="X228" s="47" t="n">
        <v>44861.8840330972</v>
      </c>
      <c r="Y228" s="47" t="n">
        <v>48675.2482864609</v>
      </c>
      <c r="Z228" s="47" t="n">
        <v>52504.6334685438</v>
      </c>
      <c r="AA228" s="47" t="n">
        <v>56369.374407697</v>
      </c>
    </row>
    <row r="229">
      <c r="A229" s="10" t="n">
        <v>5</v>
      </c>
      <c r="B229" s="14" t="inlineStr">
        <is>
          <t>Package B: ETS on power and industry (cap -5% 2027 to -20% 2035) + carbon tax $25 elsewhere</t>
        </is>
      </c>
      <c r="C229" s="14" t="inlineStr">
        <is>
          <t>mit.nimtot</t>
        </is>
      </c>
      <c r="D229" s="14" t="inlineStr">
        <is>
          <t>egy.mit.nimtot.5</t>
        </is>
      </c>
      <c r="E229" s="14" t="inlineStr">
        <is>
          <t>New nameplate investment, total</t>
        </is>
      </c>
      <c r="F229" s="14" t="inlineStr">
        <is>
          <t>MW</t>
        </is>
      </c>
      <c r="G229" s="14" t="inlineStr">
        <is>
          <t>build (Python emulation of RunAllScenarios)</t>
        </is>
      </c>
      <c r="H229" s="47" t="n">
        <v>2170.71200922051</v>
      </c>
      <c r="I229" s="47" t="n">
        <v>13340.8834415295</v>
      </c>
      <c r="J229" s="47" t="n">
        <v>15064.4138659512</v>
      </c>
      <c r="K229" s="47" t="n">
        <v>17027.9299425471</v>
      </c>
      <c r="L229" s="47" t="n">
        <v>4479.04534087015</v>
      </c>
      <c r="M229" s="47" t="n">
        <v>5877.03005988934</v>
      </c>
      <c r="N229" s="47" t="n">
        <v>4295.23616356847</v>
      </c>
      <c r="O229" s="47" t="n">
        <v>7436.25910768233</v>
      </c>
      <c r="P229" s="47" t="n">
        <v>7320.45703060714</v>
      </c>
      <c r="Q229" s="47" t="n">
        <v>8386.34517721066</v>
      </c>
      <c r="R229" s="47" t="n">
        <v>8331.98921701333</v>
      </c>
      <c r="S229" s="47" t="n">
        <v>9381.91076602762</v>
      </c>
      <c r="T229" s="47" t="n">
        <v>9609.169320511181</v>
      </c>
      <c r="U229" s="47" t="n">
        <v>10009.152714952</v>
      </c>
      <c r="V229" s="47" t="n">
        <v>10176.0738851271</v>
      </c>
      <c r="W229" s="47" t="n">
        <v>10845.3738004837</v>
      </c>
      <c r="X229" s="47" t="n">
        <v>10763.6328222411</v>
      </c>
      <c r="Y229" s="47" t="n">
        <v>11327.480758082</v>
      </c>
      <c r="Z229" s="47" t="n">
        <v>11391.9442159271</v>
      </c>
      <c r="AA229" s="47" t="n">
        <v>11855.023288119</v>
      </c>
    </row>
    <row r="230">
      <c r="A230" s="10" t="n">
        <v>5</v>
      </c>
      <c r="B230" s="14" t="inlineStr">
        <is>
          <t>Package B: ETS on power and industry (cap -5% 2027 to -20% 2035) + carbon tax $25 elsewhere</t>
        </is>
      </c>
      <c r="C230" s="14" t="inlineStr">
        <is>
          <t>mit.shr.pow.coa</t>
        </is>
      </c>
      <c r="D230" s="14" t="inlineStr">
        <is>
          <t>egy.mit.shr.pow.coa.5</t>
        </is>
      </c>
      <c r="E230" s="14" t="inlineStr">
        <is>
          <t>Generation share | Power | Coal</t>
        </is>
      </c>
      <c r="F230" s="14" t="inlineStr">
        <is>
          <t>share</t>
        </is>
      </c>
      <c r="G230" s="14" t="inlineStr">
        <is>
          <t>build (Python emulation of RunAllScenarios)</t>
        </is>
      </c>
      <c r="H230" s="13" t="n">
        <v>0</v>
      </c>
      <c r="I230" s="13" t="n">
        <v>0</v>
      </c>
      <c r="J230" s="13" t="n">
        <v>0</v>
      </c>
      <c r="K230" s="13" t="n">
        <v>0</v>
      </c>
      <c r="L230" s="13" t="n">
        <v>0</v>
      </c>
      <c r="M230" s="13" t="n">
        <v>0</v>
      </c>
      <c r="N230" s="13" t="n">
        <v>0</v>
      </c>
      <c r="O230" s="13" t="n">
        <v>0</v>
      </c>
      <c r="P230" s="13" t="n">
        <v>0</v>
      </c>
      <c r="Q230" s="13" t="n">
        <v>0</v>
      </c>
      <c r="R230" s="13" t="n">
        <v>0</v>
      </c>
      <c r="S230" s="13" t="n">
        <v>0</v>
      </c>
      <c r="T230" s="13" t="n">
        <v>0</v>
      </c>
      <c r="U230" s="13" t="n">
        <v>0</v>
      </c>
      <c r="V230" s="13" t="n">
        <v>0</v>
      </c>
      <c r="W230" s="13" t="n">
        <v>0</v>
      </c>
      <c r="X230" s="13" t="n">
        <v>0</v>
      </c>
      <c r="Y230" s="13" t="n">
        <v>0</v>
      </c>
      <c r="Z230" s="13" t="n">
        <v>0</v>
      </c>
      <c r="AA230" s="13" t="n">
        <v>0</v>
      </c>
    </row>
    <row r="231">
      <c r="A231" s="10" t="n">
        <v>5</v>
      </c>
      <c r="B231" s="14" t="inlineStr">
        <is>
          <t>Package B: ETS on power and industry (cap -5% 2027 to -20% 2035) + carbon tax $25 elsewhere</t>
        </is>
      </c>
      <c r="C231" s="14" t="inlineStr">
        <is>
          <t>mit.shr.pow.oop</t>
        </is>
      </c>
      <c r="D231" s="14" t="inlineStr">
        <is>
          <t>egy.mit.shr.pow.oop.5</t>
        </is>
      </c>
      <c r="E231" s="14" t="inlineStr">
        <is>
          <t>Generation share | Power | Other oil products</t>
        </is>
      </c>
      <c r="F231" s="14" t="inlineStr">
        <is>
          <t>share</t>
        </is>
      </c>
      <c r="G231" s="14" t="inlineStr">
        <is>
          <t>build (Python emulation of RunAllScenarios)</t>
        </is>
      </c>
      <c r="H231" s="13" t="n">
        <v>0.0840906621921125</v>
      </c>
      <c r="I231" s="13" t="n">
        <v>0.0667934761065888</v>
      </c>
      <c r="J231" s="13" t="n">
        <v>0.07689623578261701</v>
      </c>
      <c r="K231" s="13" t="n">
        <v>0.0817480617977914</v>
      </c>
      <c r="L231" s="13" t="n">
        <v>0.0966943257554006</v>
      </c>
      <c r="M231" s="13" t="n">
        <v>0.0918647305533295</v>
      </c>
      <c r="N231" s="13" t="n">
        <v>0.0886318059270548</v>
      </c>
      <c r="O231" s="13" t="n">
        <v>0.08332929649316551</v>
      </c>
      <c r="P231" s="13" t="n">
        <v>0.07875010984357241</v>
      </c>
      <c r="Q231" s="13" t="n">
        <v>0.07390544847493399</v>
      </c>
      <c r="R231" s="13" t="n">
        <v>0.06960107828416599</v>
      </c>
      <c r="S231" s="13" t="n">
        <v>0.0654535535038869</v>
      </c>
      <c r="T231" s="13" t="n">
        <v>0.0616191378134708</v>
      </c>
      <c r="U231" s="13" t="n">
        <v>0.0579559080536103</v>
      </c>
      <c r="V231" s="13" t="n">
        <v>0.0546127013544337</v>
      </c>
      <c r="W231" s="13" t="n">
        <v>0.0512612261726011</v>
      </c>
      <c r="X231" s="13" t="n">
        <v>0.0483507059666122</v>
      </c>
      <c r="Y231" s="13" t="n">
        <v>0.0454888112451545</v>
      </c>
      <c r="Z231" s="13" t="n">
        <v>0.0429255208960124</v>
      </c>
      <c r="AA231" s="13" t="n">
        <v>0.040454681929778</v>
      </c>
    </row>
    <row r="232">
      <c r="A232" s="10" t="n">
        <v>5</v>
      </c>
      <c r="B232" s="14" t="inlineStr">
        <is>
          <t>Package B: ETS on power and industry (cap -5% 2027 to -20% 2035) + carbon tax $25 elsewhere</t>
        </is>
      </c>
      <c r="C232" s="14" t="inlineStr">
        <is>
          <t>mit.shr.pow.wnd</t>
        </is>
      </c>
      <c r="D232" s="14" t="inlineStr">
        <is>
          <t>egy.mit.shr.pow.wnd.5</t>
        </is>
      </c>
      <c r="E232" s="14" t="inlineStr">
        <is>
          <t>Generation share | Power | Wind</t>
        </is>
      </c>
      <c r="F232" s="14" t="inlineStr">
        <is>
          <t>share</t>
        </is>
      </c>
      <c r="G232" s="14" t="inlineStr">
        <is>
          <t>build (Python emulation of RunAllScenarios)</t>
        </is>
      </c>
      <c r="H232" s="13" t="n">
        <v>0.0285073205209505</v>
      </c>
      <c r="I232" s="13" t="n">
        <v>0.0314626770363938</v>
      </c>
      <c r="J232" s="13" t="n">
        <v>0.0442628680452543</v>
      </c>
      <c r="K232" s="13" t="n">
        <v>0.0534441344598142</v>
      </c>
      <c r="L232" s="13" t="n">
        <v>0.0690109199354098</v>
      </c>
      <c r="M232" s="13" t="n">
        <v>0.0810518152774891</v>
      </c>
      <c r="N232" s="13" t="n">
        <v>0.0972265642532725</v>
      </c>
      <c r="O232" s="13" t="n">
        <v>0.105128751610484</v>
      </c>
      <c r="P232" s="13" t="n">
        <v>0.117667380945846</v>
      </c>
      <c r="Q232" s="13" t="n">
        <v>0.128649552390908</v>
      </c>
      <c r="R232" s="13" t="n">
        <v>0.139246841795693</v>
      </c>
      <c r="S232" s="13" t="n">
        <v>0.149023292143705</v>
      </c>
      <c r="T232" s="13" t="n">
        <v>0.158308836930639</v>
      </c>
      <c r="U232" s="13" t="n">
        <v>0.166873049898939</v>
      </c>
      <c r="V232" s="13" t="n">
        <v>0.175204034388241</v>
      </c>
      <c r="W232" s="13" t="n">
        <v>0.182347972785456</v>
      </c>
      <c r="X232" s="13" t="n">
        <v>0.189883089599204</v>
      </c>
      <c r="Y232" s="13" t="n">
        <v>0.196554854753764</v>
      </c>
      <c r="Z232" s="13" t="n">
        <v>0.203373099221263</v>
      </c>
      <c r="AA232" s="13" t="n">
        <v>0.2095686393437</v>
      </c>
    </row>
    <row r="233">
      <c r="A233" s="10" t="n">
        <v>5</v>
      </c>
      <c r="B233" s="14" t="inlineStr">
        <is>
          <t>Package B: ETS on power and industry (cap -5% 2027 to -20% 2035) + carbon tax $25 elsewhere</t>
        </is>
      </c>
      <c r="C233" s="14" t="inlineStr">
        <is>
          <t>mit.shr.pow.sol</t>
        </is>
      </c>
      <c r="D233" s="14" t="inlineStr">
        <is>
          <t>egy.mit.shr.pow.sol.5</t>
        </is>
      </c>
      <c r="E233" s="14" t="inlineStr">
        <is>
          <t>Generation share | Power | Solar</t>
        </is>
      </c>
      <c r="F233" s="14" t="inlineStr">
        <is>
          <t>share</t>
        </is>
      </c>
      <c r="G233" s="14" t="inlineStr">
        <is>
          <t>build (Python emulation of RunAllScenarios)</t>
        </is>
      </c>
      <c r="H233" s="13" t="n">
        <v>0.0238348945449828</v>
      </c>
      <c r="I233" s="13" t="n">
        <v>0.021495981843466</v>
      </c>
      <c r="J233" s="13" t="n">
        <v>0.0350063837385637</v>
      </c>
      <c r="K233" s="13" t="n">
        <v>0.0453008311629377</v>
      </c>
      <c r="L233" s="13" t="n">
        <v>0.0608565935784617</v>
      </c>
      <c r="M233" s="13" t="n">
        <v>0.0637453486490397</v>
      </c>
      <c r="N233" s="13" t="n">
        <v>0.0703334805337251</v>
      </c>
      <c r="O233" s="13" t="n">
        <v>0.07250647129823019</v>
      </c>
      <c r="P233" s="13" t="n">
        <v>0.08126121901429199</v>
      </c>
      <c r="Q233" s="13" t="n">
        <v>0.0888681996289534</v>
      </c>
      <c r="R233" s="13" t="n">
        <v>0.09816047741615409</v>
      </c>
      <c r="S233" s="13" t="n">
        <v>0.106138589580011</v>
      </c>
      <c r="T233" s="13" t="n">
        <v>0.117462472982359</v>
      </c>
      <c r="U233" s="13" t="n">
        <v>0.127861656956947</v>
      </c>
      <c r="V233" s="13" t="n">
        <v>0.137807013836379</v>
      </c>
      <c r="W233" s="13" t="n">
        <v>0.14653782136013</v>
      </c>
      <c r="X233" s="13" t="n">
        <v>0.155328308231304</v>
      </c>
      <c r="Y233" s="13" t="n">
        <v>0.16320486127999</v>
      </c>
      <c r="Z233" s="13" t="n">
        <v>0.171001431510733</v>
      </c>
      <c r="AA233" s="13" t="n">
        <v>0.178104760958292</v>
      </c>
    </row>
    <row r="234">
      <c r="A234" s="10" t="n">
        <v>5</v>
      </c>
      <c r="B234" s="14" t="inlineStr">
        <is>
          <t>Package B: ETS on power and industry (cap -5% 2027 to -20% 2035) + carbon tax $25 elsewhere</t>
        </is>
      </c>
      <c r="C234" s="14" t="inlineStr">
        <is>
          <t>mit.shr.pow.hyd</t>
        </is>
      </c>
      <c r="D234" s="14" t="inlineStr">
        <is>
          <t>egy.mit.shr.pow.hyd.5</t>
        </is>
      </c>
      <c r="E234" s="14" t="inlineStr">
        <is>
          <t>Generation share | Power | Hydro</t>
        </is>
      </c>
      <c r="F234" s="14" t="inlineStr">
        <is>
          <t>share</t>
        </is>
      </c>
      <c r="G234" s="14" t="inlineStr">
        <is>
          <t>build (Python emulation of RunAllScenarios)</t>
        </is>
      </c>
      <c r="H234" s="13" t="n">
        <v>0.066761171545157</v>
      </c>
      <c r="I234" s="13" t="n">
        <v>0.0566504020001176</v>
      </c>
      <c r="J234" s="13" t="n">
        <v>0.09230623273519439</v>
      </c>
      <c r="K234" s="13" t="n">
        <v>0.120605647690527</v>
      </c>
      <c r="L234" s="13" t="n">
        <v>0.163996729827431</v>
      </c>
      <c r="M234" s="13" t="n">
        <v>0.163652677369052</v>
      </c>
      <c r="N234" s="13" t="n">
        <v>0.166492536015067</v>
      </c>
      <c r="O234" s="13" t="n">
        <v>0.163869482938737</v>
      </c>
      <c r="P234" s="13" t="n">
        <v>0.164015916946803</v>
      </c>
      <c r="Q234" s="13" t="n">
        <v>0.162617371526401</v>
      </c>
      <c r="R234" s="13" t="n">
        <v>0.162435207980367</v>
      </c>
      <c r="S234" s="13" t="n">
        <v>0.161854044581913</v>
      </c>
      <c r="T234" s="13" t="n">
        <v>0.161603525647411</v>
      </c>
      <c r="U234" s="13" t="n">
        <v>0.161154562960618</v>
      </c>
      <c r="V234" s="13" t="n">
        <v>0.161050054238624</v>
      </c>
      <c r="W234" s="13" t="n">
        <v>0.160093522803477</v>
      </c>
      <c r="X234" s="13" t="n">
        <v>0.160056336092477</v>
      </c>
      <c r="Y234" s="13" t="n">
        <v>0.159093933351937</v>
      </c>
      <c r="Z234" s="13" t="n">
        <v>0.158488872555983</v>
      </c>
      <c r="AA234" s="13" t="n">
        <v>0.157201068313538</v>
      </c>
    </row>
    <row r="235">
      <c r="A235" s="10" t="n">
        <v>5</v>
      </c>
      <c r="B235" s="14" t="inlineStr">
        <is>
          <t>Package B: ETS on power and industry (cap -5% 2027 to -20% 2035) + carbon tax $25 elsewhere</t>
        </is>
      </c>
      <c r="C235" s="14" t="inlineStr">
        <is>
          <t>mit.ccpav</t>
        </is>
      </c>
      <c r="D235" s="14" t="inlineStr">
        <is>
          <t>egy.mit.ccpav.5</t>
        </is>
      </c>
      <c r="E235" s="14" t="inlineStr">
        <is>
          <t>Average new policy cost per kWh consumed</t>
        </is>
      </c>
      <c r="F235" s="14" t="inlineStr">
        <is>
          <t>$/kWh</t>
        </is>
      </c>
      <c r="G235" s="14" t="inlineStr">
        <is>
          <t>build (Python emulation of RunAllScenarios)</t>
        </is>
      </c>
      <c r="H235" s="16" t="n">
        <v>0</v>
      </c>
      <c r="I235" s="16" t="n">
        <v>0</v>
      </c>
      <c r="J235" s="16" t="n">
        <v>0</v>
      </c>
      <c r="K235" s="16" t="n">
        <v>0</v>
      </c>
      <c r="L235" s="16" t="n">
        <v>0</v>
      </c>
      <c r="M235" s="16" t="n">
        <v>0</v>
      </c>
      <c r="N235" s="16" t="n">
        <v>0.00121762938880726</v>
      </c>
      <c r="O235" s="16" t="n">
        <v>0.00212479316935308</v>
      </c>
      <c r="P235" s="16" t="n">
        <v>0.00291959078513258</v>
      </c>
      <c r="Q235" s="16" t="n">
        <v>0.00363118436836038</v>
      </c>
      <c r="R235" s="16" t="n">
        <v>0.00429590828233066</v>
      </c>
      <c r="S235" s="16" t="n">
        <v>0.00488009565371163</v>
      </c>
      <c r="T235" s="16" t="n">
        <v>0.0053409451567424</v>
      </c>
      <c r="U235" s="16" t="n">
        <v>0.00585760839447748</v>
      </c>
      <c r="V235" s="16" t="n">
        <v>0.00588103926478101</v>
      </c>
      <c r="W235" s="16" t="n">
        <v>0.00642152743439054</v>
      </c>
      <c r="X235" s="16" t="n">
        <v>0.00669821952381534</v>
      </c>
      <c r="Y235" s="16" t="n">
        <v>0.00721257782844575</v>
      </c>
      <c r="Z235" s="16" t="n">
        <v>0.0076005929569408</v>
      </c>
      <c r="AA235" s="16" t="n">
        <v>0.0080081864029386</v>
      </c>
    </row>
    <row r="236">
      <c r="A236" s="10" t="n">
        <v>5</v>
      </c>
      <c r="B236" s="14" t="inlineStr">
        <is>
          <t>Package B: ETS on power and industry (cap -5% 2027 to -20% 2035) + carbon tax $25 elsewhere</t>
        </is>
      </c>
      <c r="C236" s="14" t="inlineStr">
        <is>
          <t>mit.rcarb.res.ecy</t>
        </is>
      </c>
      <c r="D236" s="14" t="inlineStr">
        <is>
          <t>egy.mit.rcarb.res.ecy.5</t>
        </is>
      </c>
      <c r="E236" s="14" t="inlineStr">
        <is>
          <t>New-policy cost per user group (carbon tax, ETS at the tax-equivalent price, fuel price reform; memo, revenue: prnew in M) | Residential | Electricity</t>
        </is>
      </c>
      <c r="F236" s="14" t="inlineStr">
        <is>
          <t>USD m real</t>
        </is>
      </c>
      <c r="G236" s="14" t="inlineStr">
        <is>
          <t>build (Python emulation of RunAllScenarios)</t>
        </is>
      </c>
      <c r="H236" s="47" t="n">
        <v>0</v>
      </c>
      <c r="I236" s="47" t="n">
        <v>0</v>
      </c>
      <c r="J236" s="47" t="n">
        <v>0</v>
      </c>
      <c r="K236" s="47" t="n">
        <v>0</v>
      </c>
      <c r="L236" s="47" t="n">
        <v>0</v>
      </c>
      <c r="M236" s="47" t="n">
        <v>0</v>
      </c>
      <c r="N236" s="47" t="n">
        <v>135.981420654506</v>
      </c>
      <c r="O236" s="47" t="n">
        <v>244.243156744177</v>
      </c>
      <c r="P236" s="47" t="n">
        <v>343.854105461524</v>
      </c>
      <c r="Q236" s="47" t="n">
        <v>440.978101585288</v>
      </c>
      <c r="R236" s="47" t="n">
        <v>536.2611990010799</v>
      </c>
      <c r="S236" s="47" t="n">
        <v>626.9973383660071</v>
      </c>
      <c r="T236" s="47" t="n">
        <v>705.577474915885</v>
      </c>
      <c r="U236" s="47" t="n">
        <v>796.312655542484</v>
      </c>
      <c r="V236" s="47" t="n">
        <v>821.276864364914</v>
      </c>
      <c r="W236" s="47" t="n">
        <v>924.370625159184</v>
      </c>
      <c r="X236" s="47" t="n">
        <v>989.4334654193721</v>
      </c>
      <c r="Y236" s="47" t="n">
        <v>1095.7439924573</v>
      </c>
      <c r="Z236" s="47" t="n">
        <v>1184.27066633035</v>
      </c>
      <c r="AA236" s="47" t="n">
        <v>1281.16733838122</v>
      </c>
    </row>
    <row r="237">
      <c r="A237" s="10" t="n">
        <v>5</v>
      </c>
      <c r="B237" s="14" t="inlineStr">
        <is>
          <t>Package B: ETS on power and industry (cap -5% 2027 to -20% 2035) + carbon tax $25 elsewhere</t>
        </is>
      </c>
      <c r="C237" s="14" t="inlineStr">
        <is>
          <t>mit.rcarb.ind.ecy</t>
        </is>
      </c>
      <c r="D237" s="14" t="inlineStr">
        <is>
          <t>egy.mit.rcarb.ind.ecy.5</t>
        </is>
      </c>
      <c r="E237" s="14" t="inlineStr">
        <is>
          <t>New-policy cost per user group (carbon tax, ETS at the tax-equivalent price, fuel price reform; memo, revenue: prnew in M) | Industry | Electricity</t>
        </is>
      </c>
      <c r="F237" s="14" t="inlineStr">
        <is>
          <t>USD m real</t>
        </is>
      </c>
      <c r="G237" s="14" t="inlineStr">
        <is>
          <t>build (Python emulation of RunAllScenarios)</t>
        </is>
      </c>
      <c r="H237" s="47" t="n">
        <v>0</v>
      </c>
      <c r="I237" s="47" t="n">
        <v>0</v>
      </c>
      <c r="J237" s="47" t="n">
        <v>0</v>
      </c>
      <c r="K237" s="47" t="n">
        <v>0</v>
      </c>
      <c r="L237" s="47" t="n">
        <v>0</v>
      </c>
      <c r="M237" s="47" t="n">
        <v>0</v>
      </c>
      <c r="N237" s="47" t="n">
        <v>194.205856573055</v>
      </c>
      <c r="O237" s="47" t="n">
        <v>351.1588150322</v>
      </c>
      <c r="P237" s="47" t="n">
        <v>497.287846476947</v>
      </c>
      <c r="Q237" s="47" t="n">
        <v>642.160342792207</v>
      </c>
      <c r="R237" s="47" t="n">
        <v>785.937000232078</v>
      </c>
      <c r="S237" s="47" t="n">
        <v>925.045851797943</v>
      </c>
      <c r="T237" s="47" t="n">
        <v>1047.77673239466</v>
      </c>
      <c r="U237" s="47" t="n">
        <v>1190.43004402558</v>
      </c>
      <c r="V237" s="47" t="n">
        <v>1235.62682822741</v>
      </c>
      <c r="W237" s="47" t="n">
        <v>1400.53263347972</v>
      </c>
      <c r="X237" s="47" t="n">
        <v>1508.53659249849</v>
      </c>
      <c r="Y237" s="47" t="n">
        <v>1681.83585594258</v>
      </c>
      <c r="Z237" s="47" t="n">
        <v>1829.05669637843</v>
      </c>
      <c r="AA237" s="47" t="n">
        <v>1991.50717980079</v>
      </c>
    </row>
  </sheetData>
  <pageMargins left="0.75" right="0.75" top="1" bottom="1" header="0.5" footer="0.5"/>
</worksheet>
</file>

<file path=xl/worksheets/sheet4.xml><?xml version="1.0" encoding="utf-8"?>
<worksheet xmlns="http://schemas.openxmlformats.org/spreadsheetml/2006/main">
  <sheetPr codeName="Sheet4">
    <outlinePr summaryBelow="1" summaryRight="1"/>
    <pageSetUpPr/>
  </sheetPr>
  <dimension ref="A2:L174"/>
  <sheetViews>
    <sheetView tabSelected="0" zoomScale="85"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22" customWidth="1" min="1" max="1"/>
    <col width="52" customWidth="1" min="2" max="2"/>
    <col width="12" customWidth="1" min="3" max="3"/>
    <col width="16" customWidth="1" min="4" max="4"/>
    <col width="16" customWidth="1" min="5" max="5"/>
    <col width="16" customWidth="1" min="6" max="6"/>
    <col width="16" customWidth="1" min="7" max="7"/>
    <col width="16" customWidth="1" min="8" max="8"/>
    <col width="16" customWidth="1" min="9" max="9"/>
    <col width="16" customWidth="1" min="10" max="10"/>
    <col width="16" customWidth="1" min="11" max="11"/>
    <col width="16" customWidth="1" min="12" max="12"/>
  </cols>
  <sheetData>
    <row r="2">
      <c r="A2" s="2" t="inlineStr">
        <is>
          <t>ScenarioCompare - stored scenarios vs the baseline in one year (from StoredResults)</t>
        </is>
      </c>
      <c r="B2" s="3" t="n"/>
      <c r="C2" s="3" t="n"/>
      <c r="D2" s="3" t="n"/>
      <c r="E2" s="3" t="n"/>
      <c r="F2" s="3" t="n"/>
      <c r="G2" s="3" t="n"/>
      <c r="H2" s="3" t="n"/>
      <c r="I2" s="3" t="n"/>
      <c r="J2" s="3" t="n"/>
      <c r="K2" s="3" t="n"/>
      <c r="L2" s="3" t="n"/>
    </row>
    <row r="3">
      <c r="A3" s="14" t="inlineStr">
        <is>
          <t>Choose the year (C4) and the stored scenario IDs (row 6, E onwards); the baseline is ID 1. Values come from StoredResults (run the macro RunAllScenarios to refresh them).</t>
        </is>
      </c>
    </row>
    <row r="4">
      <c r="B4" s="1" t="inlineStr">
        <is>
          <t>Year</t>
        </is>
      </c>
      <c r="C4" s="8" t="n">
        <v>2030</v>
      </c>
    </row>
    <row r="5">
      <c r="B5" s="1" t="inlineStr">
        <is>
          <t>Year column in StoredResults</t>
        </is>
      </c>
      <c r="C5" s="10">
        <f>MATCH($C$4,SRYear,0)</f>
        <v/>
      </c>
    </row>
    <row r="6">
      <c r="C6" s="1" t="inlineStr">
        <is>
          <t>Scenario ID</t>
        </is>
      </c>
      <c r="D6" s="6" t="n">
        <v>1</v>
      </c>
      <c r="E6" s="8" t="n">
        <v>3</v>
      </c>
      <c r="F6" s="8" t="n">
        <v>4</v>
      </c>
      <c r="G6" s="8" t="n">
        <v>5</v>
      </c>
      <c r="H6" s="8" t="n"/>
      <c r="I6" s="8" t="n"/>
      <c r="J6" s="8" t="n"/>
      <c r="K6" s="8" t="n"/>
      <c r="L6" s="8" t="n"/>
    </row>
    <row r="7" ht="48" customHeight="1">
      <c r="C7" s="1" t="inlineStr">
        <is>
          <t>Scenario name</t>
        </is>
      </c>
      <c r="D7" s="87">
        <f>IF(D$6="","",IFERROR(INDEX(SRName,MATCH(D$6,SRScen,0)),"not stored"))</f>
        <v/>
      </c>
      <c r="E7" s="87">
        <f>IF(E$6="","",IFERROR(INDEX(SRName,MATCH(E$6,SRScen,0)),"not stored"))</f>
        <v/>
      </c>
      <c r="F7" s="87">
        <f>IF(F$6="","",IFERROR(INDEX(SRName,MATCH(F$6,SRScen,0)),"not stored"))</f>
        <v/>
      </c>
      <c r="G7" s="87">
        <f>IF(G$6="","",IFERROR(INDEX(SRName,MATCH(G$6,SRScen,0)),"not stored"))</f>
        <v/>
      </c>
      <c r="H7" s="87">
        <f>IF(H$6="","",IFERROR(INDEX(SRName,MATCH(H$6,SRScen,0)),"not stored"))</f>
        <v/>
      </c>
      <c r="I7" s="87">
        <f>IF(I$6="","",IFERROR(INDEX(SRName,MATCH(I$6,SRScen,0)),"not stored"))</f>
        <v/>
      </c>
      <c r="J7" s="87">
        <f>IF(J$6="","",IFERROR(INDEX(SRName,MATCH(J$6,SRScen,0)),"not stored"))</f>
        <v/>
      </c>
      <c r="K7" s="87">
        <f>IF(K$6="","",IFERROR(INDEX(SRName,MATCH(K$6,SRScen,0)),"not stored"))</f>
        <v/>
      </c>
      <c r="L7" s="87">
        <f>IF(L$6="","",IFERROR(INDEX(SRName,MATCH(L$6,SRScen,0)),"not stored"))</f>
        <v/>
      </c>
    </row>
    <row r="8">
      <c r="A8" s="4" t="inlineStr">
        <is>
          <t>Level in the year</t>
        </is>
      </c>
      <c r="B8" s="5" t="n"/>
      <c r="C8" s="5" t="n"/>
      <c r="D8" s="5" t="n"/>
      <c r="E8" s="5" t="n"/>
      <c r="F8" s="5" t="n"/>
      <c r="G8" s="5" t="n"/>
      <c r="H8" s="5" t="n"/>
      <c r="I8" s="5" t="n"/>
      <c r="J8" s="5" t="n"/>
      <c r="K8" s="5" t="n"/>
      <c r="L8" s="5" t="n"/>
    </row>
    <row r="9">
      <c r="A9" s="22" t="inlineStr">
        <is>
          <t>mit.ener.all.all.e</t>
        </is>
      </c>
      <c r="B9" s="14">
        <f>IFERROR(INDEX(SRDesc,MATCH($A9,SRCode,0)),"")</f>
        <v/>
      </c>
      <c r="C9" s="14">
        <f>IFERROR(INDEX(SRUnit,MATCH($A9,SRCode,0)),"")</f>
        <v/>
      </c>
      <c r="D9" s="46">
        <f>IF(COUNTIFS(SRScen,D$6,SRCode,$A9)=0,"",SUMIFS(INDEX(SRVal,0,$C$5),SRScen,D$6,SRCode,$A9))</f>
        <v/>
      </c>
      <c r="E9" s="47">
        <f>IF(COUNTIFS(SRScen,E$6,SRCode,$A9)=0,"",SUMIFS(INDEX(SRVal,0,$C$5),SRScen,E$6,SRCode,$A9))</f>
        <v/>
      </c>
      <c r="F9" s="47">
        <f>IF(COUNTIFS(SRScen,F$6,SRCode,$A9)=0,"",SUMIFS(INDEX(SRVal,0,$C$5),SRScen,F$6,SRCode,$A9))</f>
        <v/>
      </c>
      <c r="G9" s="47">
        <f>IF(COUNTIFS(SRScen,G$6,SRCode,$A9)=0,"",SUMIFS(INDEX(SRVal,0,$C$5),SRScen,G$6,SRCode,$A9))</f>
        <v/>
      </c>
      <c r="H9" s="47">
        <f>IF(COUNTIFS(SRScen,H$6,SRCode,$A9)=0,"",SUMIFS(INDEX(SRVal,0,$C$5),SRScen,H$6,SRCode,$A9))</f>
        <v/>
      </c>
      <c r="I9" s="47">
        <f>IF(COUNTIFS(SRScen,I$6,SRCode,$A9)=0,"",SUMIFS(INDEX(SRVal,0,$C$5),SRScen,I$6,SRCode,$A9))</f>
        <v/>
      </c>
      <c r="J9" s="47">
        <f>IF(COUNTIFS(SRScen,J$6,SRCode,$A9)=0,"",SUMIFS(INDEX(SRVal,0,$C$5),SRScen,J$6,SRCode,$A9))</f>
        <v/>
      </c>
      <c r="K9" s="47">
        <f>IF(COUNTIFS(SRScen,K$6,SRCode,$A9)=0,"",SUMIFS(INDEX(SRVal,0,$C$5),SRScen,K$6,SRCode,$A9))</f>
        <v/>
      </c>
      <c r="L9" s="47">
        <f>IF(COUNTIFS(SRScen,L$6,SRCode,$A9)=0,"",SUMIFS(INDEX(SRVal,0,$C$5),SRScen,L$6,SRCode,$A9))</f>
        <v/>
      </c>
    </row>
    <row r="10">
      <c r="A10" s="22" t="inlineStr">
        <is>
          <t>mit.ener.tra.all.e</t>
        </is>
      </c>
      <c r="B10" s="14">
        <f>IFERROR(INDEX(SRDesc,MATCH($A10,SRCode,0)),"")</f>
        <v/>
      </c>
      <c r="C10" s="14">
        <f>IFERROR(INDEX(SRUnit,MATCH($A10,SRCode,0)),"")</f>
        <v/>
      </c>
      <c r="D10" s="46">
        <f>IF(COUNTIFS(SRScen,D$6,SRCode,$A10)=0,"",SUMIFS(INDEX(SRVal,0,$C$5),SRScen,D$6,SRCode,$A10))</f>
        <v/>
      </c>
      <c r="E10" s="47">
        <f>IF(COUNTIFS(SRScen,E$6,SRCode,$A10)=0,"",SUMIFS(INDEX(SRVal,0,$C$5),SRScen,E$6,SRCode,$A10))</f>
        <v/>
      </c>
      <c r="F10" s="47">
        <f>IF(COUNTIFS(SRScen,F$6,SRCode,$A10)=0,"",SUMIFS(INDEX(SRVal,0,$C$5),SRScen,F$6,SRCode,$A10))</f>
        <v/>
      </c>
      <c r="G10" s="47">
        <f>IF(COUNTIFS(SRScen,G$6,SRCode,$A10)=0,"",SUMIFS(INDEX(SRVal,0,$C$5),SRScen,G$6,SRCode,$A10))</f>
        <v/>
      </c>
      <c r="H10" s="47">
        <f>IF(COUNTIFS(SRScen,H$6,SRCode,$A10)=0,"",SUMIFS(INDEX(SRVal,0,$C$5),SRScen,H$6,SRCode,$A10))</f>
        <v/>
      </c>
      <c r="I10" s="47">
        <f>IF(COUNTIFS(SRScen,I$6,SRCode,$A10)=0,"",SUMIFS(INDEX(SRVal,0,$C$5),SRScen,I$6,SRCode,$A10))</f>
        <v/>
      </c>
      <c r="J10" s="47">
        <f>IF(COUNTIFS(SRScen,J$6,SRCode,$A10)=0,"",SUMIFS(INDEX(SRVal,0,$C$5),SRScen,J$6,SRCode,$A10))</f>
        <v/>
      </c>
      <c r="K10" s="47">
        <f>IF(COUNTIFS(SRScen,K$6,SRCode,$A10)=0,"",SUMIFS(INDEX(SRVal,0,$C$5),SRScen,K$6,SRCode,$A10))</f>
        <v/>
      </c>
      <c r="L10" s="47">
        <f>IF(COUNTIFS(SRScen,L$6,SRCode,$A10)=0,"",SUMIFS(INDEX(SRVal,0,$C$5),SRScen,L$6,SRCode,$A10))</f>
        <v/>
      </c>
    </row>
    <row r="11">
      <c r="A11" s="22" t="inlineStr">
        <is>
          <t>mit.ener.bld.all.e</t>
        </is>
      </c>
      <c r="B11" s="14">
        <f>IFERROR(INDEX(SRDesc,MATCH($A11,SRCode,0)),"")</f>
        <v/>
      </c>
      <c r="C11" s="14">
        <f>IFERROR(INDEX(SRUnit,MATCH($A11,SRCode,0)),"")</f>
        <v/>
      </c>
      <c r="D11" s="46">
        <f>IF(COUNTIFS(SRScen,D$6,SRCode,$A11)=0,"",SUMIFS(INDEX(SRVal,0,$C$5),SRScen,D$6,SRCode,$A11))</f>
        <v/>
      </c>
      <c r="E11" s="47">
        <f>IF(COUNTIFS(SRScen,E$6,SRCode,$A11)=0,"",SUMIFS(INDEX(SRVal,0,$C$5),SRScen,E$6,SRCode,$A11))</f>
        <v/>
      </c>
      <c r="F11" s="47">
        <f>IF(COUNTIFS(SRScen,F$6,SRCode,$A11)=0,"",SUMIFS(INDEX(SRVal,0,$C$5),SRScen,F$6,SRCode,$A11))</f>
        <v/>
      </c>
      <c r="G11" s="47">
        <f>IF(COUNTIFS(SRScen,G$6,SRCode,$A11)=0,"",SUMIFS(INDEX(SRVal,0,$C$5),SRScen,G$6,SRCode,$A11))</f>
        <v/>
      </c>
      <c r="H11" s="47">
        <f>IF(COUNTIFS(SRScen,H$6,SRCode,$A11)=0,"",SUMIFS(INDEX(SRVal,0,$C$5),SRScen,H$6,SRCode,$A11))</f>
        <v/>
      </c>
      <c r="I11" s="47">
        <f>IF(COUNTIFS(SRScen,I$6,SRCode,$A11)=0,"",SUMIFS(INDEX(SRVal,0,$C$5),SRScen,I$6,SRCode,$A11))</f>
        <v/>
      </c>
      <c r="J11" s="47">
        <f>IF(COUNTIFS(SRScen,J$6,SRCode,$A11)=0,"",SUMIFS(INDEX(SRVal,0,$C$5),SRScen,J$6,SRCode,$A11))</f>
        <v/>
      </c>
      <c r="K11" s="47">
        <f>IF(COUNTIFS(SRScen,K$6,SRCode,$A11)=0,"",SUMIFS(INDEX(SRVal,0,$C$5),SRScen,K$6,SRCode,$A11))</f>
        <v/>
      </c>
      <c r="L11" s="47">
        <f>IF(COUNTIFS(SRScen,L$6,SRCode,$A11)=0,"",SUMIFS(INDEX(SRVal,0,$C$5),SRScen,L$6,SRCode,$A11))</f>
        <v/>
      </c>
    </row>
    <row r="12">
      <c r="A12" s="22" t="inlineStr">
        <is>
          <t>mit.ener.ind.all.e</t>
        </is>
      </c>
      <c r="B12" s="14">
        <f>IFERROR(INDEX(SRDesc,MATCH($A12,SRCode,0)),"")</f>
        <v/>
      </c>
      <c r="C12" s="14">
        <f>IFERROR(INDEX(SRUnit,MATCH($A12,SRCode,0)),"")</f>
        <v/>
      </c>
      <c r="D12" s="46">
        <f>IF(COUNTIFS(SRScen,D$6,SRCode,$A12)=0,"",SUMIFS(INDEX(SRVal,0,$C$5),SRScen,D$6,SRCode,$A12))</f>
        <v/>
      </c>
      <c r="E12" s="47">
        <f>IF(COUNTIFS(SRScen,E$6,SRCode,$A12)=0,"",SUMIFS(INDEX(SRVal,0,$C$5),SRScen,E$6,SRCode,$A12))</f>
        <v/>
      </c>
      <c r="F12" s="47">
        <f>IF(COUNTIFS(SRScen,F$6,SRCode,$A12)=0,"",SUMIFS(INDEX(SRVal,0,$C$5),SRScen,F$6,SRCode,$A12))</f>
        <v/>
      </c>
      <c r="G12" s="47">
        <f>IF(COUNTIFS(SRScen,G$6,SRCode,$A12)=0,"",SUMIFS(INDEX(SRVal,0,$C$5),SRScen,G$6,SRCode,$A12))</f>
        <v/>
      </c>
      <c r="H12" s="47">
        <f>IF(COUNTIFS(SRScen,H$6,SRCode,$A12)=0,"",SUMIFS(INDEX(SRVal,0,$C$5),SRScen,H$6,SRCode,$A12))</f>
        <v/>
      </c>
      <c r="I12" s="47">
        <f>IF(COUNTIFS(SRScen,I$6,SRCode,$A12)=0,"",SUMIFS(INDEX(SRVal,0,$C$5),SRScen,I$6,SRCode,$A12))</f>
        <v/>
      </c>
      <c r="J12" s="47">
        <f>IF(COUNTIFS(SRScen,J$6,SRCode,$A12)=0,"",SUMIFS(INDEX(SRVal,0,$C$5),SRScen,J$6,SRCode,$A12))</f>
        <v/>
      </c>
      <c r="K12" s="47">
        <f>IF(COUNTIFS(SRScen,K$6,SRCode,$A12)=0,"",SUMIFS(INDEX(SRVal,0,$C$5),SRScen,K$6,SRCode,$A12))</f>
        <v/>
      </c>
      <c r="L12" s="47">
        <f>IF(COUNTIFS(SRScen,L$6,SRCode,$A12)=0,"",SUMIFS(INDEX(SRVal,0,$C$5),SRScen,L$6,SRCode,$A12))</f>
        <v/>
      </c>
    </row>
    <row r="13">
      <c r="A13" s="22" t="inlineStr">
        <is>
          <t>mit.ener.oen.all.e</t>
        </is>
      </c>
      <c r="B13" s="14">
        <f>IFERROR(INDEX(SRDesc,MATCH($A13,SRCode,0)),"")</f>
        <v/>
      </c>
      <c r="C13" s="14">
        <f>IFERROR(INDEX(SRUnit,MATCH($A13,SRCode,0)),"")</f>
        <v/>
      </c>
      <c r="D13" s="46">
        <f>IF(COUNTIFS(SRScen,D$6,SRCode,$A13)=0,"",SUMIFS(INDEX(SRVal,0,$C$5),SRScen,D$6,SRCode,$A13))</f>
        <v/>
      </c>
      <c r="E13" s="47">
        <f>IF(COUNTIFS(SRScen,E$6,SRCode,$A13)=0,"",SUMIFS(INDEX(SRVal,0,$C$5),SRScen,E$6,SRCode,$A13))</f>
        <v/>
      </c>
      <c r="F13" s="47">
        <f>IF(COUNTIFS(SRScen,F$6,SRCode,$A13)=0,"",SUMIFS(INDEX(SRVal,0,$C$5),SRScen,F$6,SRCode,$A13))</f>
        <v/>
      </c>
      <c r="G13" s="47">
        <f>IF(COUNTIFS(SRScen,G$6,SRCode,$A13)=0,"",SUMIFS(INDEX(SRVal,0,$C$5),SRScen,G$6,SRCode,$A13))</f>
        <v/>
      </c>
      <c r="H13" s="47">
        <f>IF(COUNTIFS(SRScen,H$6,SRCode,$A13)=0,"",SUMIFS(INDEX(SRVal,0,$C$5),SRScen,H$6,SRCode,$A13))</f>
        <v/>
      </c>
      <c r="I13" s="47">
        <f>IF(COUNTIFS(SRScen,I$6,SRCode,$A13)=0,"",SUMIFS(INDEX(SRVal,0,$C$5),SRScen,I$6,SRCode,$A13))</f>
        <v/>
      </c>
      <c r="J13" s="47">
        <f>IF(COUNTIFS(SRScen,J$6,SRCode,$A13)=0,"",SUMIFS(INDEX(SRVal,0,$C$5),SRScen,J$6,SRCode,$A13))</f>
        <v/>
      </c>
      <c r="K13" s="47">
        <f>IF(COUNTIFS(SRScen,K$6,SRCode,$A13)=0,"",SUMIFS(INDEX(SRVal,0,$C$5),SRScen,K$6,SRCode,$A13))</f>
        <v/>
      </c>
      <c r="L13" s="47">
        <f>IF(COUNTIFS(SRScen,L$6,SRCode,$A13)=0,"",SUMIFS(INDEX(SRVal,0,$C$5),SRScen,L$6,SRCode,$A13))</f>
        <v/>
      </c>
    </row>
    <row r="14">
      <c r="A14" s="22" t="inlineStr">
        <is>
          <t>mit.co2.all.all.e</t>
        </is>
      </c>
      <c r="B14" s="14">
        <f>IFERROR(INDEX(SRDesc,MATCH($A14,SRCode,0)),"")</f>
        <v/>
      </c>
      <c r="C14" s="14">
        <f>IFERROR(INDEX(SRUnit,MATCH($A14,SRCode,0)),"")</f>
        <v/>
      </c>
      <c r="D14" s="43">
        <f>IF(COUNTIFS(SRScen,D$6,SRCode,$A14)=0,"",SUMIFS(INDEX(SRVal,0,$C$5),SRScen,D$6,SRCode,$A14))</f>
        <v/>
      </c>
      <c r="E14" s="44">
        <f>IF(COUNTIFS(SRScen,E$6,SRCode,$A14)=0,"",SUMIFS(INDEX(SRVal,0,$C$5),SRScen,E$6,SRCode,$A14))</f>
        <v/>
      </c>
      <c r="F14" s="44">
        <f>IF(COUNTIFS(SRScen,F$6,SRCode,$A14)=0,"",SUMIFS(INDEX(SRVal,0,$C$5),SRScen,F$6,SRCode,$A14))</f>
        <v/>
      </c>
      <c r="G14" s="44">
        <f>IF(COUNTIFS(SRScen,G$6,SRCode,$A14)=0,"",SUMIFS(INDEX(SRVal,0,$C$5),SRScen,G$6,SRCode,$A14))</f>
        <v/>
      </c>
      <c r="H14" s="44">
        <f>IF(COUNTIFS(SRScen,H$6,SRCode,$A14)=0,"",SUMIFS(INDEX(SRVal,0,$C$5),SRScen,H$6,SRCode,$A14))</f>
        <v/>
      </c>
      <c r="I14" s="44">
        <f>IF(COUNTIFS(SRScen,I$6,SRCode,$A14)=0,"",SUMIFS(INDEX(SRVal,0,$C$5),SRScen,I$6,SRCode,$A14))</f>
        <v/>
      </c>
      <c r="J14" s="44">
        <f>IF(COUNTIFS(SRScen,J$6,SRCode,$A14)=0,"",SUMIFS(INDEX(SRVal,0,$C$5),SRScen,J$6,SRCode,$A14))</f>
        <v/>
      </c>
      <c r="K14" s="44">
        <f>IF(COUNTIFS(SRScen,K$6,SRCode,$A14)=0,"",SUMIFS(INDEX(SRVal,0,$C$5),SRScen,K$6,SRCode,$A14))</f>
        <v/>
      </c>
      <c r="L14" s="44">
        <f>IF(COUNTIFS(SRScen,L$6,SRCode,$A14)=0,"",SUMIFS(INDEX(SRVal,0,$C$5),SRScen,L$6,SRCode,$A14))</f>
        <v/>
      </c>
    </row>
    <row r="15">
      <c r="A15" s="22" t="inlineStr">
        <is>
          <t>mit.co2.tra.all.e</t>
        </is>
      </c>
      <c r="B15" s="14">
        <f>IFERROR(INDEX(SRDesc,MATCH($A15,SRCode,0)),"")</f>
        <v/>
      </c>
      <c r="C15" s="14">
        <f>IFERROR(INDEX(SRUnit,MATCH($A15,SRCode,0)),"")</f>
        <v/>
      </c>
      <c r="D15" s="43">
        <f>IF(COUNTIFS(SRScen,D$6,SRCode,$A15)=0,"",SUMIFS(INDEX(SRVal,0,$C$5),SRScen,D$6,SRCode,$A15))</f>
        <v/>
      </c>
      <c r="E15" s="44">
        <f>IF(COUNTIFS(SRScen,E$6,SRCode,$A15)=0,"",SUMIFS(INDEX(SRVal,0,$C$5),SRScen,E$6,SRCode,$A15))</f>
        <v/>
      </c>
      <c r="F15" s="44">
        <f>IF(COUNTIFS(SRScen,F$6,SRCode,$A15)=0,"",SUMIFS(INDEX(SRVal,0,$C$5),SRScen,F$6,SRCode,$A15))</f>
        <v/>
      </c>
      <c r="G15" s="44">
        <f>IF(COUNTIFS(SRScen,G$6,SRCode,$A15)=0,"",SUMIFS(INDEX(SRVal,0,$C$5),SRScen,G$6,SRCode,$A15))</f>
        <v/>
      </c>
      <c r="H15" s="44">
        <f>IF(COUNTIFS(SRScen,H$6,SRCode,$A15)=0,"",SUMIFS(INDEX(SRVal,0,$C$5),SRScen,H$6,SRCode,$A15))</f>
        <v/>
      </c>
      <c r="I15" s="44">
        <f>IF(COUNTIFS(SRScen,I$6,SRCode,$A15)=0,"",SUMIFS(INDEX(SRVal,0,$C$5),SRScen,I$6,SRCode,$A15))</f>
        <v/>
      </c>
      <c r="J15" s="44">
        <f>IF(COUNTIFS(SRScen,J$6,SRCode,$A15)=0,"",SUMIFS(INDEX(SRVal,0,$C$5),SRScen,J$6,SRCode,$A15))</f>
        <v/>
      </c>
      <c r="K15" s="44">
        <f>IF(COUNTIFS(SRScen,K$6,SRCode,$A15)=0,"",SUMIFS(INDEX(SRVal,0,$C$5),SRScen,K$6,SRCode,$A15))</f>
        <v/>
      </c>
      <c r="L15" s="44">
        <f>IF(COUNTIFS(SRScen,L$6,SRCode,$A15)=0,"",SUMIFS(INDEX(SRVal,0,$C$5),SRScen,L$6,SRCode,$A15))</f>
        <v/>
      </c>
    </row>
    <row r="16">
      <c r="A16" s="22" t="inlineStr">
        <is>
          <t>mit.co2.bld.all.e</t>
        </is>
      </c>
      <c r="B16" s="14">
        <f>IFERROR(INDEX(SRDesc,MATCH($A16,SRCode,0)),"")</f>
        <v/>
      </c>
      <c r="C16" s="14">
        <f>IFERROR(INDEX(SRUnit,MATCH($A16,SRCode,0)),"")</f>
        <v/>
      </c>
      <c r="D16" s="43">
        <f>IF(COUNTIFS(SRScen,D$6,SRCode,$A16)=0,"",SUMIFS(INDEX(SRVal,0,$C$5),SRScen,D$6,SRCode,$A16))</f>
        <v/>
      </c>
      <c r="E16" s="44">
        <f>IF(COUNTIFS(SRScen,E$6,SRCode,$A16)=0,"",SUMIFS(INDEX(SRVal,0,$C$5),SRScen,E$6,SRCode,$A16))</f>
        <v/>
      </c>
      <c r="F16" s="44">
        <f>IF(COUNTIFS(SRScen,F$6,SRCode,$A16)=0,"",SUMIFS(INDEX(SRVal,0,$C$5),SRScen,F$6,SRCode,$A16))</f>
        <v/>
      </c>
      <c r="G16" s="44">
        <f>IF(COUNTIFS(SRScen,G$6,SRCode,$A16)=0,"",SUMIFS(INDEX(SRVal,0,$C$5),SRScen,G$6,SRCode,$A16))</f>
        <v/>
      </c>
      <c r="H16" s="44">
        <f>IF(COUNTIFS(SRScen,H$6,SRCode,$A16)=0,"",SUMIFS(INDEX(SRVal,0,$C$5),SRScen,H$6,SRCode,$A16))</f>
        <v/>
      </c>
      <c r="I16" s="44">
        <f>IF(COUNTIFS(SRScen,I$6,SRCode,$A16)=0,"",SUMIFS(INDEX(SRVal,0,$C$5),SRScen,I$6,SRCode,$A16))</f>
        <v/>
      </c>
      <c r="J16" s="44">
        <f>IF(COUNTIFS(SRScen,J$6,SRCode,$A16)=0,"",SUMIFS(INDEX(SRVal,0,$C$5),SRScen,J$6,SRCode,$A16))</f>
        <v/>
      </c>
      <c r="K16" s="44">
        <f>IF(COUNTIFS(SRScen,K$6,SRCode,$A16)=0,"",SUMIFS(INDEX(SRVal,0,$C$5),SRScen,K$6,SRCode,$A16))</f>
        <v/>
      </c>
      <c r="L16" s="44">
        <f>IF(COUNTIFS(SRScen,L$6,SRCode,$A16)=0,"",SUMIFS(INDEX(SRVal,0,$C$5),SRScen,L$6,SRCode,$A16))</f>
        <v/>
      </c>
    </row>
    <row r="17">
      <c r="A17" s="22" t="inlineStr">
        <is>
          <t>mit.co2.ind.all.e</t>
        </is>
      </c>
      <c r="B17" s="14">
        <f>IFERROR(INDEX(SRDesc,MATCH($A17,SRCode,0)),"")</f>
        <v/>
      </c>
      <c r="C17" s="14">
        <f>IFERROR(INDEX(SRUnit,MATCH($A17,SRCode,0)),"")</f>
        <v/>
      </c>
      <c r="D17" s="43">
        <f>IF(COUNTIFS(SRScen,D$6,SRCode,$A17)=0,"",SUMIFS(INDEX(SRVal,0,$C$5),SRScen,D$6,SRCode,$A17))</f>
        <v/>
      </c>
      <c r="E17" s="44">
        <f>IF(COUNTIFS(SRScen,E$6,SRCode,$A17)=0,"",SUMIFS(INDEX(SRVal,0,$C$5),SRScen,E$6,SRCode,$A17))</f>
        <v/>
      </c>
      <c r="F17" s="44">
        <f>IF(COUNTIFS(SRScen,F$6,SRCode,$A17)=0,"",SUMIFS(INDEX(SRVal,0,$C$5),SRScen,F$6,SRCode,$A17))</f>
        <v/>
      </c>
      <c r="G17" s="44">
        <f>IF(COUNTIFS(SRScen,G$6,SRCode,$A17)=0,"",SUMIFS(INDEX(SRVal,0,$C$5),SRScen,G$6,SRCode,$A17))</f>
        <v/>
      </c>
      <c r="H17" s="44">
        <f>IF(COUNTIFS(SRScen,H$6,SRCode,$A17)=0,"",SUMIFS(INDEX(SRVal,0,$C$5),SRScen,H$6,SRCode,$A17))</f>
        <v/>
      </c>
      <c r="I17" s="44">
        <f>IF(COUNTIFS(SRScen,I$6,SRCode,$A17)=0,"",SUMIFS(INDEX(SRVal,0,$C$5),SRScen,I$6,SRCode,$A17))</f>
        <v/>
      </c>
      <c r="J17" s="44">
        <f>IF(COUNTIFS(SRScen,J$6,SRCode,$A17)=0,"",SUMIFS(INDEX(SRVal,0,$C$5),SRScen,J$6,SRCode,$A17))</f>
        <v/>
      </c>
      <c r="K17" s="44">
        <f>IF(COUNTIFS(SRScen,K$6,SRCode,$A17)=0,"",SUMIFS(INDEX(SRVal,0,$C$5),SRScen,K$6,SRCode,$A17))</f>
        <v/>
      </c>
      <c r="L17" s="44">
        <f>IF(COUNTIFS(SRScen,L$6,SRCode,$A17)=0,"",SUMIFS(INDEX(SRVal,0,$C$5),SRScen,L$6,SRCode,$A17))</f>
        <v/>
      </c>
    </row>
    <row r="18">
      <c r="A18" s="22" t="inlineStr">
        <is>
          <t>mit.rtx.all.all</t>
        </is>
      </c>
      <c r="B18" s="14">
        <f>IFERROR(INDEX(SRDesc,MATCH($A18,SRCode,0)),"")</f>
        <v/>
      </c>
      <c r="C18" s="14">
        <f>IFERROR(INDEX(SRUnit,MATCH($A18,SRCode,0)),"")</f>
        <v/>
      </c>
      <c r="D18" s="46">
        <f>IF(COUNTIFS(SRScen,D$6,SRCode,$A18)=0,"",SUMIFS(INDEX(SRVal,0,$C$5),SRScen,D$6,SRCode,$A18))</f>
        <v/>
      </c>
      <c r="E18" s="47">
        <f>IF(COUNTIFS(SRScen,E$6,SRCode,$A18)=0,"",SUMIFS(INDEX(SRVal,0,$C$5),SRScen,E$6,SRCode,$A18))</f>
        <v/>
      </c>
      <c r="F18" s="47">
        <f>IF(COUNTIFS(SRScen,F$6,SRCode,$A18)=0,"",SUMIFS(INDEX(SRVal,0,$C$5),SRScen,F$6,SRCode,$A18))</f>
        <v/>
      </c>
      <c r="G18" s="47">
        <f>IF(COUNTIFS(SRScen,G$6,SRCode,$A18)=0,"",SUMIFS(INDEX(SRVal,0,$C$5),SRScen,G$6,SRCode,$A18))</f>
        <v/>
      </c>
      <c r="H18" s="47">
        <f>IF(COUNTIFS(SRScen,H$6,SRCode,$A18)=0,"",SUMIFS(INDEX(SRVal,0,$C$5),SRScen,H$6,SRCode,$A18))</f>
        <v/>
      </c>
      <c r="I18" s="47">
        <f>IF(COUNTIFS(SRScen,I$6,SRCode,$A18)=0,"",SUMIFS(INDEX(SRVal,0,$C$5),SRScen,I$6,SRCode,$A18))</f>
        <v/>
      </c>
      <c r="J18" s="47">
        <f>IF(COUNTIFS(SRScen,J$6,SRCode,$A18)=0,"",SUMIFS(INDEX(SRVal,0,$C$5),SRScen,J$6,SRCode,$A18))</f>
        <v/>
      </c>
      <c r="K18" s="47">
        <f>IF(COUNTIFS(SRScen,K$6,SRCode,$A18)=0,"",SUMIFS(INDEX(SRVal,0,$C$5),SRScen,K$6,SRCode,$A18))</f>
        <v/>
      </c>
      <c r="L18" s="47">
        <f>IF(COUNTIFS(SRScen,L$6,SRCode,$A18)=0,"",SUMIFS(INDEX(SRVal,0,$C$5),SRScen,L$6,SRCode,$A18))</f>
        <v/>
      </c>
    </row>
    <row r="19">
      <c r="A19" s="22" t="inlineStr">
        <is>
          <t>mit.rsub.all.all</t>
        </is>
      </c>
      <c r="B19" s="14">
        <f>IFERROR(INDEX(SRDesc,MATCH($A19,SRCode,0)),"")</f>
        <v/>
      </c>
      <c r="C19" s="14">
        <f>IFERROR(INDEX(SRUnit,MATCH($A19,SRCode,0)),"")</f>
        <v/>
      </c>
      <c r="D19" s="46">
        <f>IF(COUNTIFS(SRScen,D$6,SRCode,$A19)=0,"",SUMIFS(INDEX(SRVal,0,$C$5),SRScen,D$6,SRCode,$A19))</f>
        <v/>
      </c>
      <c r="E19" s="47">
        <f>IF(COUNTIFS(SRScen,E$6,SRCode,$A19)=0,"",SUMIFS(INDEX(SRVal,0,$C$5),SRScen,E$6,SRCode,$A19))</f>
        <v/>
      </c>
      <c r="F19" s="47">
        <f>IF(COUNTIFS(SRScen,F$6,SRCode,$A19)=0,"",SUMIFS(INDEX(SRVal,0,$C$5),SRScen,F$6,SRCode,$A19))</f>
        <v/>
      </c>
      <c r="G19" s="47">
        <f>IF(COUNTIFS(SRScen,G$6,SRCode,$A19)=0,"",SUMIFS(INDEX(SRVal,0,$C$5),SRScen,G$6,SRCode,$A19))</f>
        <v/>
      </c>
      <c r="H19" s="47">
        <f>IF(COUNTIFS(SRScen,H$6,SRCode,$A19)=0,"",SUMIFS(INDEX(SRVal,0,$C$5),SRScen,H$6,SRCode,$A19))</f>
        <v/>
      </c>
      <c r="I19" s="47">
        <f>IF(COUNTIFS(SRScen,I$6,SRCode,$A19)=0,"",SUMIFS(INDEX(SRVal,0,$C$5),SRScen,I$6,SRCode,$A19))</f>
        <v/>
      </c>
      <c r="J19" s="47">
        <f>IF(COUNTIFS(SRScen,J$6,SRCode,$A19)=0,"",SUMIFS(INDEX(SRVal,0,$C$5),SRScen,J$6,SRCode,$A19))</f>
        <v/>
      </c>
      <c r="K19" s="47">
        <f>IF(COUNTIFS(SRScen,K$6,SRCode,$A19)=0,"",SUMIFS(INDEX(SRVal,0,$C$5),SRScen,K$6,SRCode,$A19))</f>
        <v/>
      </c>
      <c r="L19" s="47">
        <f>IF(COUNTIFS(SRScen,L$6,SRCode,$A19)=0,"",SUMIFS(INDEX(SRVal,0,$C$5),SRScen,L$6,SRCode,$A19))</f>
        <v/>
      </c>
    </row>
    <row r="20">
      <c r="A20" s="22" t="inlineStr">
        <is>
          <t>mit.rnew.all.all</t>
        </is>
      </c>
      <c r="B20" s="14">
        <f>IFERROR(INDEX(SRDesc,MATCH($A20,SRCode,0)),"")</f>
        <v/>
      </c>
      <c r="C20" s="14">
        <f>IFERROR(INDEX(SRUnit,MATCH($A20,SRCode,0)),"")</f>
        <v/>
      </c>
      <c r="D20" s="46">
        <f>IF(COUNTIFS(SRScen,D$6,SRCode,$A20)=0,"",SUMIFS(INDEX(SRVal,0,$C$5),SRScen,D$6,SRCode,$A20))</f>
        <v/>
      </c>
      <c r="E20" s="47">
        <f>IF(COUNTIFS(SRScen,E$6,SRCode,$A20)=0,"",SUMIFS(INDEX(SRVal,0,$C$5),SRScen,E$6,SRCode,$A20))</f>
        <v/>
      </c>
      <c r="F20" s="47">
        <f>IF(COUNTIFS(SRScen,F$6,SRCode,$A20)=0,"",SUMIFS(INDEX(SRVal,0,$C$5),SRScen,F$6,SRCode,$A20))</f>
        <v/>
      </c>
      <c r="G20" s="47">
        <f>IF(COUNTIFS(SRScen,G$6,SRCode,$A20)=0,"",SUMIFS(INDEX(SRVal,0,$C$5),SRScen,G$6,SRCode,$A20))</f>
        <v/>
      </c>
      <c r="H20" s="47">
        <f>IF(COUNTIFS(SRScen,H$6,SRCode,$A20)=0,"",SUMIFS(INDEX(SRVal,0,$C$5),SRScen,H$6,SRCode,$A20))</f>
        <v/>
      </c>
      <c r="I20" s="47">
        <f>IF(COUNTIFS(SRScen,I$6,SRCode,$A20)=0,"",SUMIFS(INDEX(SRVal,0,$C$5),SRScen,I$6,SRCode,$A20))</f>
        <v/>
      </c>
      <c r="J20" s="47">
        <f>IF(COUNTIFS(SRScen,J$6,SRCode,$A20)=0,"",SUMIFS(INDEX(SRVal,0,$C$5),SRScen,J$6,SRCode,$A20))</f>
        <v/>
      </c>
      <c r="K20" s="47">
        <f>IF(COUNTIFS(SRScen,K$6,SRCode,$A20)=0,"",SUMIFS(INDEX(SRVal,0,$C$5),SRScen,K$6,SRCode,$A20))</f>
        <v/>
      </c>
      <c r="L20" s="47">
        <f>IF(COUNTIFS(SRScen,L$6,SRCode,$A20)=0,"",SUMIFS(INDEX(SRVal,0,$C$5),SRScen,L$6,SRCode,$A20))</f>
        <v/>
      </c>
    </row>
    <row r="21">
      <c r="A21" s="22" t="inlineStr">
        <is>
          <t>mit.rtot.all.all</t>
        </is>
      </c>
      <c r="B21" s="14">
        <f>IFERROR(INDEX(SRDesc,MATCH($A21,SRCode,0)),"")</f>
        <v/>
      </c>
      <c r="C21" s="14">
        <f>IFERROR(INDEX(SRUnit,MATCH($A21,SRCode,0)),"")</f>
        <v/>
      </c>
      <c r="D21" s="46">
        <f>IF(COUNTIFS(SRScen,D$6,SRCode,$A21)=0,"",SUMIFS(INDEX(SRVal,0,$C$5),SRScen,D$6,SRCode,$A21))</f>
        <v/>
      </c>
      <c r="E21" s="47">
        <f>IF(COUNTIFS(SRScen,E$6,SRCode,$A21)=0,"",SUMIFS(INDEX(SRVal,0,$C$5),SRScen,E$6,SRCode,$A21))</f>
        <v/>
      </c>
      <c r="F21" s="47">
        <f>IF(COUNTIFS(SRScen,F$6,SRCode,$A21)=0,"",SUMIFS(INDEX(SRVal,0,$C$5),SRScen,F$6,SRCode,$A21))</f>
        <v/>
      </c>
      <c r="G21" s="47">
        <f>IF(COUNTIFS(SRScen,G$6,SRCode,$A21)=0,"",SUMIFS(INDEX(SRVal,0,$C$5),SRScen,G$6,SRCode,$A21))</f>
        <v/>
      </c>
      <c r="H21" s="47">
        <f>IF(COUNTIFS(SRScen,H$6,SRCode,$A21)=0,"",SUMIFS(INDEX(SRVal,0,$C$5),SRScen,H$6,SRCode,$A21))</f>
        <v/>
      </c>
      <c r="I21" s="47">
        <f>IF(COUNTIFS(SRScen,I$6,SRCode,$A21)=0,"",SUMIFS(INDEX(SRVal,0,$C$5),SRScen,I$6,SRCode,$A21))</f>
        <v/>
      </c>
      <c r="J21" s="47">
        <f>IF(COUNTIFS(SRScen,J$6,SRCode,$A21)=0,"",SUMIFS(INDEX(SRVal,0,$C$5),SRScen,J$6,SRCode,$A21))</f>
        <v/>
      </c>
      <c r="K21" s="47">
        <f>IF(COUNTIFS(SRScen,K$6,SRCode,$A21)=0,"",SUMIFS(INDEX(SRVal,0,$C$5),SRScen,K$6,SRCode,$A21))</f>
        <v/>
      </c>
      <c r="L21" s="47">
        <f>IF(COUNTIFS(SRScen,L$6,SRCode,$A21)=0,"",SUMIFS(INDEX(SRVal,0,$C$5),SRScen,L$6,SRCode,$A21))</f>
        <v/>
      </c>
    </row>
    <row r="22">
      <c r="A22" s="22" t="inlineStr">
        <is>
          <t>mit.ener.pow.all.e</t>
        </is>
      </c>
      <c r="B22" s="14">
        <f>IFERROR(INDEX(SRDesc,MATCH($A22,SRCode,0)),"")</f>
        <v/>
      </c>
      <c r="C22" s="14">
        <f>IFERROR(INDEX(SRUnit,MATCH($A22,SRCode,0)),"")</f>
        <v/>
      </c>
      <c r="D22" s="46">
        <f>IF(COUNTIFS(SRScen,D$6,SRCode,$A22)=0,"",SUMIFS(INDEX(SRVal,0,$C$5),SRScen,D$6,SRCode,$A22))</f>
        <v/>
      </c>
      <c r="E22" s="47">
        <f>IF(COUNTIFS(SRScen,E$6,SRCode,$A22)=0,"",SUMIFS(INDEX(SRVal,0,$C$5),SRScen,E$6,SRCode,$A22))</f>
        <v/>
      </c>
      <c r="F22" s="47">
        <f>IF(COUNTIFS(SRScen,F$6,SRCode,$A22)=0,"",SUMIFS(INDEX(SRVal,0,$C$5),SRScen,F$6,SRCode,$A22))</f>
        <v/>
      </c>
      <c r="G22" s="47">
        <f>IF(COUNTIFS(SRScen,G$6,SRCode,$A22)=0,"",SUMIFS(INDEX(SRVal,0,$C$5),SRScen,G$6,SRCode,$A22))</f>
        <v/>
      </c>
      <c r="H22" s="47">
        <f>IF(COUNTIFS(SRScen,H$6,SRCode,$A22)=0,"",SUMIFS(INDEX(SRVal,0,$C$5),SRScen,H$6,SRCode,$A22))</f>
        <v/>
      </c>
      <c r="I22" s="47">
        <f>IF(COUNTIFS(SRScen,I$6,SRCode,$A22)=0,"",SUMIFS(INDEX(SRVal,0,$C$5),SRScen,I$6,SRCode,$A22))</f>
        <v/>
      </c>
      <c r="J22" s="47">
        <f>IF(COUNTIFS(SRScen,J$6,SRCode,$A22)=0,"",SUMIFS(INDEX(SRVal,0,$C$5),SRScen,J$6,SRCode,$A22))</f>
        <v/>
      </c>
      <c r="K22" s="47">
        <f>IF(COUNTIFS(SRScen,K$6,SRCode,$A22)=0,"",SUMIFS(INDEX(SRVal,0,$C$5),SRScen,K$6,SRCode,$A22))</f>
        <v/>
      </c>
      <c r="L22" s="47">
        <f>IF(COUNTIFS(SRScen,L$6,SRCode,$A22)=0,"",SUMIFS(INDEX(SRVal,0,$C$5),SRScen,L$6,SRCode,$A22))</f>
        <v/>
      </c>
    </row>
    <row r="23">
      <c r="A23" s="22" t="inlineStr">
        <is>
          <t>mit.rtx.pow.all</t>
        </is>
      </c>
      <c r="B23" s="14">
        <f>IFERROR(INDEX(SRDesc,MATCH($A23,SRCode,0)),"")</f>
        <v/>
      </c>
      <c r="C23" s="14">
        <f>IFERROR(INDEX(SRUnit,MATCH($A23,SRCode,0)),"")</f>
        <v/>
      </c>
      <c r="D23" s="46">
        <f>IF(COUNTIFS(SRScen,D$6,SRCode,$A23)=0,"",SUMIFS(INDEX(SRVal,0,$C$5),SRScen,D$6,SRCode,$A23))</f>
        <v/>
      </c>
      <c r="E23" s="47">
        <f>IF(COUNTIFS(SRScen,E$6,SRCode,$A23)=0,"",SUMIFS(INDEX(SRVal,0,$C$5),SRScen,E$6,SRCode,$A23))</f>
        <v/>
      </c>
      <c r="F23" s="47">
        <f>IF(COUNTIFS(SRScen,F$6,SRCode,$A23)=0,"",SUMIFS(INDEX(SRVal,0,$C$5),SRScen,F$6,SRCode,$A23))</f>
        <v/>
      </c>
      <c r="G23" s="47">
        <f>IF(COUNTIFS(SRScen,G$6,SRCode,$A23)=0,"",SUMIFS(INDEX(SRVal,0,$C$5),SRScen,G$6,SRCode,$A23))</f>
        <v/>
      </c>
      <c r="H23" s="47">
        <f>IF(COUNTIFS(SRScen,H$6,SRCode,$A23)=0,"",SUMIFS(INDEX(SRVal,0,$C$5),SRScen,H$6,SRCode,$A23))</f>
        <v/>
      </c>
      <c r="I23" s="47">
        <f>IF(COUNTIFS(SRScen,I$6,SRCode,$A23)=0,"",SUMIFS(INDEX(SRVal,0,$C$5),SRScen,I$6,SRCode,$A23))</f>
        <v/>
      </c>
      <c r="J23" s="47">
        <f>IF(COUNTIFS(SRScen,J$6,SRCode,$A23)=0,"",SUMIFS(INDEX(SRVal,0,$C$5),SRScen,J$6,SRCode,$A23))</f>
        <v/>
      </c>
      <c r="K23" s="47">
        <f>IF(COUNTIFS(SRScen,K$6,SRCode,$A23)=0,"",SUMIFS(INDEX(SRVal,0,$C$5),SRScen,K$6,SRCode,$A23))</f>
        <v/>
      </c>
      <c r="L23" s="47">
        <f>IF(COUNTIFS(SRScen,L$6,SRCode,$A23)=0,"",SUMIFS(INDEX(SRVal,0,$C$5),SRScen,L$6,SRCode,$A23))</f>
        <v/>
      </c>
    </row>
    <row r="24">
      <c r="A24" s="22" t="inlineStr">
        <is>
          <t>mit.rsub.pow.all</t>
        </is>
      </c>
      <c r="B24" s="14">
        <f>IFERROR(INDEX(SRDesc,MATCH($A24,SRCode,0)),"")</f>
        <v/>
      </c>
      <c r="C24" s="14">
        <f>IFERROR(INDEX(SRUnit,MATCH($A24,SRCode,0)),"")</f>
        <v/>
      </c>
      <c r="D24" s="46">
        <f>IF(COUNTIFS(SRScen,D$6,SRCode,$A24)=0,"",SUMIFS(INDEX(SRVal,0,$C$5),SRScen,D$6,SRCode,$A24))</f>
        <v/>
      </c>
      <c r="E24" s="47">
        <f>IF(COUNTIFS(SRScen,E$6,SRCode,$A24)=0,"",SUMIFS(INDEX(SRVal,0,$C$5),SRScen,E$6,SRCode,$A24))</f>
        <v/>
      </c>
      <c r="F24" s="47">
        <f>IF(COUNTIFS(SRScen,F$6,SRCode,$A24)=0,"",SUMIFS(INDEX(SRVal,0,$C$5),SRScen,F$6,SRCode,$A24))</f>
        <v/>
      </c>
      <c r="G24" s="47">
        <f>IF(COUNTIFS(SRScen,G$6,SRCode,$A24)=0,"",SUMIFS(INDEX(SRVal,0,$C$5),SRScen,G$6,SRCode,$A24))</f>
        <v/>
      </c>
      <c r="H24" s="47">
        <f>IF(COUNTIFS(SRScen,H$6,SRCode,$A24)=0,"",SUMIFS(INDEX(SRVal,0,$C$5),SRScen,H$6,SRCode,$A24))</f>
        <v/>
      </c>
      <c r="I24" s="47">
        <f>IF(COUNTIFS(SRScen,I$6,SRCode,$A24)=0,"",SUMIFS(INDEX(SRVal,0,$C$5),SRScen,I$6,SRCode,$A24))</f>
        <v/>
      </c>
      <c r="J24" s="47">
        <f>IF(COUNTIFS(SRScen,J$6,SRCode,$A24)=0,"",SUMIFS(INDEX(SRVal,0,$C$5),SRScen,J$6,SRCode,$A24))</f>
        <v/>
      </c>
      <c r="K24" s="47">
        <f>IF(COUNTIFS(SRScen,K$6,SRCode,$A24)=0,"",SUMIFS(INDEX(SRVal,0,$C$5),SRScen,K$6,SRCode,$A24))</f>
        <v/>
      </c>
      <c r="L24" s="47">
        <f>IF(COUNTIFS(SRScen,L$6,SRCode,$A24)=0,"",SUMIFS(INDEX(SRVal,0,$C$5),SRScen,L$6,SRCode,$A24))</f>
        <v/>
      </c>
    </row>
    <row r="25">
      <c r="A25" s="22" t="inlineStr">
        <is>
          <t>mit.rnew.pow.all</t>
        </is>
      </c>
      <c r="B25" s="14">
        <f>IFERROR(INDEX(SRDesc,MATCH($A25,SRCode,0)),"")</f>
        <v/>
      </c>
      <c r="C25" s="14">
        <f>IFERROR(INDEX(SRUnit,MATCH($A25,SRCode,0)),"")</f>
        <v/>
      </c>
      <c r="D25" s="46">
        <f>IF(COUNTIFS(SRScen,D$6,SRCode,$A25)=0,"",SUMIFS(INDEX(SRVal,0,$C$5),SRScen,D$6,SRCode,$A25))</f>
        <v/>
      </c>
      <c r="E25" s="47">
        <f>IF(COUNTIFS(SRScen,E$6,SRCode,$A25)=0,"",SUMIFS(INDEX(SRVal,0,$C$5),SRScen,E$6,SRCode,$A25))</f>
        <v/>
      </c>
      <c r="F25" s="47">
        <f>IF(COUNTIFS(SRScen,F$6,SRCode,$A25)=0,"",SUMIFS(INDEX(SRVal,0,$C$5),SRScen,F$6,SRCode,$A25))</f>
        <v/>
      </c>
      <c r="G25" s="47">
        <f>IF(COUNTIFS(SRScen,G$6,SRCode,$A25)=0,"",SUMIFS(INDEX(SRVal,0,$C$5),SRScen,G$6,SRCode,$A25))</f>
        <v/>
      </c>
      <c r="H25" s="47">
        <f>IF(COUNTIFS(SRScen,H$6,SRCode,$A25)=0,"",SUMIFS(INDEX(SRVal,0,$C$5),SRScen,H$6,SRCode,$A25))</f>
        <v/>
      </c>
      <c r="I25" s="47">
        <f>IF(COUNTIFS(SRScen,I$6,SRCode,$A25)=0,"",SUMIFS(INDEX(SRVal,0,$C$5),SRScen,I$6,SRCode,$A25))</f>
        <v/>
      </c>
      <c r="J25" s="47">
        <f>IF(COUNTIFS(SRScen,J$6,SRCode,$A25)=0,"",SUMIFS(INDEX(SRVal,0,$C$5),SRScen,J$6,SRCode,$A25))</f>
        <v/>
      </c>
      <c r="K25" s="47">
        <f>IF(COUNTIFS(SRScen,K$6,SRCode,$A25)=0,"",SUMIFS(INDEX(SRVal,0,$C$5),SRScen,K$6,SRCode,$A25))</f>
        <v/>
      </c>
      <c r="L25" s="47">
        <f>IF(COUNTIFS(SRScen,L$6,SRCode,$A25)=0,"",SUMIFS(INDEX(SRVal,0,$C$5),SRScen,L$6,SRCode,$A25))</f>
        <v/>
      </c>
    </row>
    <row r="26">
      <c r="A26" s="22" t="inlineStr">
        <is>
          <t>mit.rxcp.all.all</t>
        </is>
      </c>
      <c r="B26" s="14">
        <f>IFERROR(INDEX(SRDesc,MATCH($A26,SRCode,0)),"")</f>
        <v/>
      </c>
      <c r="C26" s="14">
        <f>IFERROR(INDEX(SRUnit,MATCH($A26,SRCode,0)),"")</f>
        <v/>
      </c>
      <c r="D26" s="46">
        <f>IF(COUNTIFS(SRScen,D$6,SRCode,$A26)=0,"",SUMIFS(INDEX(SRVal,0,$C$5),SRScen,D$6,SRCode,$A26))</f>
        <v/>
      </c>
      <c r="E26" s="47">
        <f>IF(COUNTIFS(SRScen,E$6,SRCode,$A26)=0,"",SUMIFS(INDEX(SRVal,0,$C$5),SRScen,E$6,SRCode,$A26))</f>
        <v/>
      </c>
      <c r="F26" s="47">
        <f>IF(COUNTIFS(SRScen,F$6,SRCode,$A26)=0,"",SUMIFS(INDEX(SRVal,0,$C$5),SRScen,F$6,SRCode,$A26))</f>
        <v/>
      </c>
      <c r="G26" s="47">
        <f>IF(COUNTIFS(SRScen,G$6,SRCode,$A26)=0,"",SUMIFS(INDEX(SRVal,0,$C$5),SRScen,G$6,SRCode,$A26))</f>
        <v/>
      </c>
      <c r="H26" s="47">
        <f>IF(COUNTIFS(SRScen,H$6,SRCode,$A26)=0,"",SUMIFS(INDEX(SRVal,0,$C$5),SRScen,H$6,SRCode,$A26))</f>
        <v/>
      </c>
      <c r="I26" s="47">
        <f>IF(COUNTIFS(SRScen,I$6,SRCode,$A26)=0,"",SUMIFS(INDEX(SRVal,0,$C$5),SRScen,I$6,SRCode,$A26))</f>
        <v/>
      </c>
      <c r="J26" s="47">
        <f>IF(COUNTIFS(SRScen,J$6,SRCode,$A26)=0,"",SUMIFS(INDEX(SRVal,0,$C$5),SRScen,J$6,SRCode,$A26))</f>
        <v/>
      </c>
      <c r="K26" s="47">
        <f>IF(COUNTIFS(SRScen,K$6,SRCode,$A26)=0,"",SUMIFS(INDEX(SRVal,0,$C$5),SRScen,K$6,SRCode,$A26))</f>
        <v/>
      </c>
      <c r="L26" s="47">
        <f>IF(COUNTIFS(SRScen,L$6,SRCode,$A26)=0,"",SUMIFS(INDEX(SRVal,0,$C$5),SRScen,L$6,SRCode,$A26))</f>
        <v/>
      </c>
    </row>
    <row r="27">
      <c r="A27" s="22" t="inlineStr">
        <is>
          <t>mit.xct.p</t>
        </is>
      </c>
      <c r="B27" s="14">
        <f>IFERROR(INDEX(SRDesc,MATCH($A27,SRCode,0)),"")</f>
        <v/>
      </c>
      <c r="C27" s="14">
        <f>IFERROR(INDEX(SRUnit,MATCH($A27,SRCode,0)),"")</f>
        <v/>
      </c>
      <c r="D27" s="23">
        <f>IF(COUNTIFS(SRScen,D$6,SRCode,$A27)=0,"",SUMIFS(INDEX(SRVal,0,$C$5),SRScen,D$6,SRCode,$A27))</f>
        <v/>
      </c>
      <c r="E27" s="24">
        <f>IF(COUNTIFS(SRScen,E$6,SRCode,$A27)=0,"",SUMIFS(INDEX(SRVal,0,$C$5),SRScen,E$6,SRCode,$A27))</f>
        <v/>
      </c>
      <c r="F27" s="24">
        <f>IF(COUNTIFS(SRScen,F$6,SRCode,$A27)=0,"",SUMIFS(INDEX(SRVal,0,$C$5),SRScen,F$6,SRCode,$A27))</f>
        <v/>
      </c>
      <c r="G27" s="24">
        <f>IF(COUNTIFS(SRScen,G$6,SRCode,$A27)=0,"",SUMIFS(INDEX(SRVal,0,$C$5),SRScen,G$6,SRCode,$A27))</f>
        <v/>
      </c>
      <c r="H27" s="24">
        <f>IF(COUNTIFS(SRScen,H$6,SRCode,$A27)=0,"",SUMIFS(INDEX(SRVal,0,$C$5),SRScen,H$6,SRCode,$A27))</f>
        <v/>
      </c>
      <c r="I27" s="24">
        <f>IF(COUNTIFS(SRScen,I$6,SRCode,$A27)=0,"",SUMIFS(INDEX(SRVal,0,$C$5),SRScen,I$6,SRCode,$A27))</f>
        <v/>
      </c>
      <c r="J27" s="24">
        <f>IF(COUNTIFS(SRScen,J$6,SRCode,$A27)=0,"",SUMIFS(INDEX(SRVal,0,$C$5),SRScen,J$6,SRCode,$A27))</f>
        <v/>
      </c>
      <c r="K27" s="24">
        <f>IF(COUNTIFS(SRScen,K$6,SRCode,$A27)=0,"",SUMIFS(INDEX(SRVal,0,$C$5),SRScen,K$6,SRCode,$A27))</f>
        <v/>
      </c>
      <c r="L27" s="24">
        <f>IF(COUNTIFS(SRScen,L$6,SRCode,$A27)=0,"",SUMIFS(INDEX(SRVal,0,$C$5),SRScen,L$6,SRCode,$A27))</f>
        <v/>
      </c>
    </row>
    <row r="28">
      <c r="A28" s="22" t="inlineStr">
        <is>
          <t>mit.xets.p</t>
        </is>
      </c>
      <c r="B28" s="14">
        <f>IFERROR(INDEX(SRDesc,MATCH($A28,SRCode,0)),"")</f>
        <v/>
      </c>
      <c r="C28" s="14">
        <f>IFERROR(INDEX(SRUnit,MATCH($A28,SRCode,0)),"")</f>
        <v/>
      </c>
      <c r="D28" s="23">
        <f>IF(COUNTIFS(SRScen,D$6,SRCode,$A28)=0,"",SUMIFS(INDEX(SRVal,0,$C$5),SRScen,D$6,SRCode,$A28))</f>
        <v/>
      </c>
      <c r="E28" s="24">
        <f>IF(COUNTIFS(SRScen,E$6,SRCode,$A28)=0,"",SUMIFS(INDEX(SRVal,0,$C$5),SRScen,E$6,SRCode,$A28))</f>
        <v/>
      </c>
      <c r="F28" s="24">
        <f>IF(COUNTIFS(SRScen,F$6,SRCode,$A28)=0,"",SUMIFS(INDEX(SRVal,0,$C$5),SRScen,F$6,SRCode,$A28))</f>
        <v/>
      </c>
      <c r="G28" s="24">
        <f>IF(COUNTIFS(SRScen,G$6,SRCode,$A28)=0,"",SUMIFS(INDEX(SRVal,0,$C$5),SRScen,G$6,SRCode,$A28))</f>
        <v/>
      </c>
      <c r="H28" s="24">
        <f>IF(COUNTIFS(SRScen,H$6,SRCode,$A28)=0,"",SUMIFS(INDEX(SRVal,0,$C$5),SRScen,H$6,SRCode,$A28))</f>
        <v/>
      </c>
      <c r="I28" s="24">
        <f>IF(COUNTIFS(SRScen,I$6,SRCode,$A28)=0,"",SUMIFS(INDEX(SRVal,0,$C$5),SRScen,I$6,SRCode,$A28))</f>
        <v/>
      </c>
      <c r="J28" s="24">
        <f>IF(COUNTIFS(SRScen,J$6,SRCode,$A28)=0,"",SUMIFS(INDEX(SRVal,0,$C$5),SRScen,J$6,SRCode,$A28))</f>
        <v/>
      </c>
      <c r="K28" s="24">
        <f>IF(COUNTIFS(SRScen,K$6,SRCode,$A28)=0,"",SUMIFS(INDEX(SRVal,0,$C$5),SRScen,K$6,SRCode,$A28))</f>
        <v/>
      </c>
      <c r="L28" s="24">
        <f>IF(COUNTIFS(SRScen,L$6,SRCode,$A28)=0,"",SUMIFS(INDEX(SRVal,0,$C$5),SRScen,L$6,SRCode,$A28))</f>
        <v/>
      </c>
    </row>
    <row r="29">
      <c r="A29" s="22" t="inlineStr">
        <is>
          <t>mit.cptraj</t>
        </is>
      </c>
      <c r="B29" s="14">
        <f>IFERROR(INDEX(SRDesc,MATCH($A29,SRCode,0)),"")</f>
        <v/>
      </c>
      <c r="C29" s="14">
        <f>IFERROR(INDEX(SRUnit,MATCH($A29,SRCode,0)),"")</f>
        <v/>
      </c>
      <c r="D29" s="23">
        <f>IF(COUNTIFS(SRScen,D$6,SRCode,$A29)=0,"",SUMIFS(INDEX(SRVal,0,$C$5),SRScen,D$6,SRCode,$A29))</f>
        <v/>
      </c>
      <c r="E29" s="24">
        <f>IF(COUNTIFS(SRScen,E$6,SRCode,$A29)=0,"",SUMIFS(INDEX(SRVal,0,$C$5),SRScen,E$6,SRCode,$A29))</f>
        <v/>
      </c>
      <c r="F29" s="24">
        <f>IF(COUNTIFS(SRScen,F$6,SRCode,$A29)=0,"",SUMIFS(INDEX(SRVal,0,$C$5),SRScen,F$6,SRCode,$A29))</f>
        <v/>
      </c>
      <c r="G29" s="24">
        <f>IF(COUNTIFS(SRScen,G$6,SRCode,$A29)=0,"",SUMIFS(INDEX(SRVal,0,$C$5),SRScen,G$6,SRCode,$A29))</f>
        <v/>
      </c>
      <c r="H29" s="24">
        <f>IF(COUNTIFS(SRScen,H$6,SRCode,$A29)=0,"",SUMIFS(INDEX(SRVal,0,$C$5),SRScen,H$6,SRCode,$A29))</f>
        <v/>
      </c>
      <c r="I29" s="24">
        <f>IF(COUNTIFS(SRScen,I$6,SRCode,$A29)=0,"",SUMIFS(INDEX(SRVal,0,$C$5),SRScen,I$6,SRCode,$A29))</f>
        <v/>
      </c>
      <c r="J29" s="24">
        <f>IF(COUNTIFS(SRScen,J$6,SRCode,$A29)=0,"",SUMIFS(INDEX(SRVal,0,$C$5),SRScen,J$6,SRCode,$A29))</f>
        <v/>
      </c>
      <c r="K29" s="24">
        <f>IF(COUNTIFS(SRScen,K$6,SRCode,$A29)=0,"",SUMIFS(INDEX(SRVal,0,$C$5),SRScen,K$6,SRCode,$A29))</f>
        <v/>
      </c>
      <c r="L29" s="24">
        <f>IF(COUNTIFS(SRScen,L$6,SRCode,$A29)=0,"",SUMIFS(INDEX(SRVal,0,$C$5),SRScen,L$6,SRCode,$A29))</f>
        <v/>
      </c>
    </row>
    <row r="30">
      <c r="A30" s="22" t="inlineStr">
        <is>
          <t>mit.ets.p</t>
        </is>
      </c>
      <c r="B30" s="14">
        <f>IFERROR(INDEX(SRDesc,MATCH($A30,SRCode,0)),"")</f>
        <v/>
      </c>
      <c r="C30" s="14">
        <f>IFERROR(INDEX(SRUnit,MATCH($A30,SRCode,0)),"")</f>
        <v/>
      </c>
      <c r="D30" s="23">
        <f>IF(COUNTIFS(SRScen,D$6,SRCode,$A30)=0,"",SUMIFS(INDEX(SRVal,0,$C$5),SRScen,D$6,SRCode,$A30))</f>
        <v/>
      </c>
      <c r="E30" s="24">
        <f>IF(COUNTIFS(SRScen,E$6,SRCode,$A30)=0,"",SUMIFS(INDEX(SRVal,0,$C$5),SRScen,E$6,SRCode,$A30))</f>
        <v/>
      </c>
      <c r="F30" s="24">
        <f>IF(COUNTIFS(SRScen,F$6,SRCode,$A30)=0,"",SUMIFS(INDEX(SRVal,0,$C$5),SRScen,F$6,SRCode,$A30))</f>
        <v/>
      </c>
      <c r="G30" s="24">
        <f>IF(COUNTIFS(SRScen,G$6,SRCode,$A30)=0,"",SUMIFS(INDEX(SRVal,0,$C$5),SRScen,G$6,SRCode,$A30))</f>
        <v/>
      </c>
      <c r="H30" s="24">
        <f>IF(COUNTIFS(SRScen,H$6,SRCode,$A30)=0,"",SUMIFS(INDEX(SRVal,0,$C$5),SRScen,H$6,SRCode,$A30))</f>
        <v/>
      </c>
      <c r="I30" s="24">
        <f>IF(COUNTIFS(SRScen,I$6,SRCode,$A30)=0,"",SUMIFS(INDEX(SRVal,0,$C$5),SRScen,I$6,SRCode,$A30))</f>
        <v/>
      </c>
      <c r="J30" s="24">
        <f>IF(COUNTIFS(SRScen,J$6,SRCode,$A30)=0,"",SUMIFS(INDEX(SRVal,0,$C$5),SRScen,J$6,SRCode,$A30))</f>
        <v/>
      </c>
      <c r="K30" s="24">
        <f>IF(COUNTIFS(SRScen,K$6,SRCode,$A30)=0,"",SUMIFS(INDEX(SRVal,0,$C$5),SRScen,K$6,SRCode,$A30))</f>
        <v/>
      </c>
      <c r="L30" s="24">
        <f>IF(COUNTIFS(SRScen,L$6,SRCode,$A30)=0,"",SUMIFS(INDEX(SRVal,0,$C$5),SRScen,L$6,SRCode,$A30))</f>
        <v/>
      </c>
    </row>
    <row r="31">
      <c r="A31" s="22" t="inlineStr">
        <is>
          <t>mit.co2.ets.all.all</t>
        </is>
      </c>
      <c r="B31" s="14">
        <f>IFERROR(INDEX(SRDesc,MATCH($A31,SRCode,0)),"")</f>
        <v/>
      </c>
      <c r="C31" s="14">
        <f>IFERROR(INDEX(SRUnit,MATCH($A31,SRCode,0)),"")</f>
        <v/>
      </c>
      <c r="D31" s="43">
        <f>IF(COUNTIFS(SRScen,D$6,SRCode,$A31)=0,"",SUMIFS(INDEX(SRVal,0,$C$5),SRScen,D$6,SRCode,$A31))</f>
        <v/>
      </c>
      <c r="E31" s="44">
        <f>IF(COUNTIFS(SRScen,E$6,SRCode,$A31)=0,"",SUMIFS(INDEX(SRVal,0,$C$5),SRScen,E$6,SRCode,$A31))</f>
        <v/>
      </c>
      <c r="F31" s="44">
        <f>IF(COUNTIFS(SRScen,F$6,SRCode,$A31)=0,"",SUMIFS(INDEX(SRVal,0,$C$5),SRScen,F$6,SRCode,$A31))</f>
        <v/>
      </c>
      <c r="G31" s="44">
        <f>IF(COUNTIFS(SRScen,G$6,SRCode,$A31)=0,"",SUMIFS(INDEX(SRVal,0,$C$5),SRScen,G$6,SRCode,$A31))</f>
        <v/>
      </c>
      <c r="H31" s="44">
        <f>IF(COUNTIFS(SRScen,H$6,SRCode,$A31)=0,"",SUMIFS(INDEX(SRVal,0,$C$5),SRScen,H$6,SRCode,$A31))</f>
        <v/>
      </c>
      <c r="I31" s="44">
        <f>IF(COUNTIFS(SRScen,I$6,SRCode,$A31)=0,"",SUMIFS(INDEX(SRVal,0,$C$5),SRScen,I$6,SRCode,$A31))</f>
        <v/>
      </c>
      <c r="J31" s="44">
        <f>IF(COUNTIFS(SRScen,J$6,SRCode,$A31)=0,"",SUMIFS(INDEX(SRVal,0,$C$5),SRScen,J$6,SRCode,$A31))</f>
        <v/>
      </c>
      <c r="K31" s="44">
        <f>IF(COUNTIFS(SRScen,K$6,SRCode,$A31)=0,"",SUMIFS(INDEX(SRVal,0,$C$5),SRScen,K$6,SRCode,$A31))</f>
        <v/>
      </c>
      <c r="L31" s="44">
        <f>IF(COUNTIFS(SRScen,L$6,SRCode,$A31)=0,"",SUMIFS(INDEX(SRVal,0,$C$5),SRScen,L$6,SRCode,$A31))</f>
        <v/>
      </c>
    </row>
    <row r="32">
      <c r="A32" s="22" t="inlineStr">
        <is>
          <t>mit.co2.cap.all.all</t>
        </is>
      </c>
      <c r="B32" s="14">
        <f>IFERROR(INDEX(SRDesc,MATCH($A32,SRCode,0)),"")</f>
        <v/>
      </c>
      <c r="C32" s="14">
        <f>IFERROR(INDEX(SRUnit,MATCH($A32,SRCode,0)),"")</f>
        <v/>
      </c>
      <c r="D32" s="43">
        <f>IF(COUNTIFS(SRScen,D$6,SRCode,$A32)=0,"",SUMIFS(INDEX(SRVal,0,$C$5),SRScen,D$6,SRCode,$A32))</f>
        <v/>
      </c>
      <c r="E32" s="44">
        <f>IF(COUNTIFS(SRScen,E$6,SRCode,$A32)=0,"",SUMIFS(INDEX(SRVal,0,$C$5),SRScen,E$6,SRCode,$A32))</f>
        <v/>
      </c>
      <c r="F32" s="44">
        <f>IF(COUNTIFS(SRScen,F$6,SRCode,$A32)=0,"",SUMIFS(INDEX(SRVal,0,$C$5),SRScen,F$6,SRCode,$A32))</f>
        <v/>
      </c>
      <c r="G32" s="44">
        <f>IF(COUNTIFS(SRScen,G$6,SRCode,$A32)=0,"",SUMIFS(INDEX(SRVal,0,$C$5),SRScen,G$6,SRCode,$A32))</f>
        <v/>
      </c>
      <c r="H32" s="44">
        <f>IF(COUNTIFS(SRScen,H$6,SRCode,$A32)=0,"",SUMIFS(INDEX(SRVal,0,$C$5),SRScen,H$6,SRCode,$A32))</f>
        <v/>
      </c>
      <c r="I32" s="44">
        <f>IF(COUNTIFS(SRScen,I$6,SRCode,$A32)=0,"",SUMIFS(INDEX(SRVal,0,$C$5),SRScen,I$6,SRCode,$A32))</f>
        <v/>
      </c>
      <c r="J32" s="44">
        <f>IF(COUNTIFS(SRScen,J$6,SRCode,$A32)=0,"",SUMIFS(INDEX(SRVal,0,$C$5),SRScen,J$6,SRCode,$A32))</f>
        <v/>
      </c>
      <c r="K32" s="44">
        <f>IF(COUNTIFS(SRScen,K$6,SRCode,$A32)=0,"",SUMIFS(INDEX(SRVal,0,$C$5),SRScen,K$6,SRCode,$A32))</f>
        <v/>
      </c>
      <c r="L32" s="44">
        <f>IF(COUNTIFS(SRScen,L$6,SRCode,$A32)=0,"",SUMIFS(INDEX(SRVal,0,$C$5),SRScen,L$6,SRCode,$A32))</f>
        <v/>
      </c>
    </row>
    <row r="33">
      <c r="A33" s="22" t="inlineStr">
        <is>
          <t>mit.rpb.all.gso.a</t>
        </is>
      </c>
      <c r="B33" s="14">
        <f>IFERROR(INDEX(SRDesc,MATCH($A33,SRCode,0)),"")</f>
        <v/>
      </c>
      <c r="C33" s="14">
        <f>IFERROR(INDEX(SRUnit,MATCH($A33,SRCode,0)),"")</f>
        <v/>
      </c>
      <c r="D33" s="23">
        <f>IF(COUNTIFS(SRScen,D$6,SRCode,$A33)=0,"",SUMIFS(INDEX(SRVal,0,$C$5),SRScen,D$6,SRCode,$A33))</f>
        <v/>
      </c>
      <c r="E33" s="24">
        <f>IF(COUNTIFS(SRScen,E$6,SRCode,$A33)=0,"",SUMIFS(INDEX(SRVal,0,$C$5),SRScen,E$6,SRCode,$A33))</f>
        <v/>
      </c>
      <c r="F33" s="24">
        <f>IF(COUNTIFS(SRScen,F$6,SRCode,$A33)=0,"",SUMIFS(INDEX(SRVal,0,$C$5),SRScen,F$6,SRCode,$A33))</f>
        <v/>
      </c>
      <c r="G33" s="24">
        <f>IF(COUNTIFS(SRScen,G$6,SRCode,$A33)=0,"",SUMIFS(INDEX(SRVal,0,$C$5),SRScen,G$6,SRCode,$A33))</f>
        <v/>
      </c>
      <c r="H33" s="24">
        <f>IF(COUNTIFS(SRScen,H$6,SRCode,$A33)=0,"",SUMIFS(INDEX(SRVal,0,$C$5),SRScen,H$6,SRCode,$A33))</f>
        <v/>
      </c>
      <c r="I33" s="24">
        <f>IF(COUNTIFS(SRScen,I$6,SRCode,$A33)=0,"",SUMIFS(INDEX(SRVal,0,$C$5),SRScen,I$6,SRCode,$A33))</f>
        <v/>
      </c>
      <c r="J33" s="24">
        <f>IF(COUNTIFS(SRScen,J$6,SRCode,$A33)=0,"",SUMIFS(INDEX(SRVal,0,$C$5),SRScen,J$6,SRCode,$A33))</f>
        <v/>
      </c>
      <c r="K33" s="24">
        <f>IF(COUNTIFS(SRScen,K$6,SRCode,$A33)=0,"",SUMIFS(INDEX(SRVal,0,$C$5),SRScen,K$6,SRCode,$A33))</f>
        <v/>
      </c>
      <c r="L33" s="24">
        <f>IF(COUNTIFS(SRScen,L$6,SRCode,$A33)=0,"",SUMIFS(INDEX(SRVal,0,$C$5),SRScen,L$6,SRCode,$A33))</f>
        <v/>
      </c>
    </row>
    <row r="34">
      <c r="A34" s="22" t="inlineStr">
        <is>
          <t>mit.rpb.all.die.a</t>
        </is>
      </c>
      <c r="B34" s="14">
        <f>IFERROR(INDEX(SRDesc,MATCH($A34,SRCode,0)),"")</f>
        <v/>
      </c>
      <c r="C34" s="14">
        <f>IFERROR(INDEX(SRUnit,MATCH($A34,SRCode,0)),"")</f>
        <v/>
      </c>
      <c r="D34" s="23">
        <f>IF(COUNTIFS(SRScen,D$6,SRCode,$A34)=0,"",SUMIFS(INDEX(SRVal,0,$C$5),SRScen,D$6,SRCode,$A34))</f>
        <v/>
      </c>
      <c r="E34" s="24">
        <f>IF(COUNTIFS(SRScen,E$6,SRCode,$A34)=0,"",SUMIFS(INDEX(SRVal,0,$C$5),SRScen,E$6,SRCode,$A34))</f>
        <v/>
      </c>
      <c r="F34" s="24">
        <f>IF(COUNTIFS(SRScen,F$6,SRCode,$A34)=0,"",SUMIFS(INDEX(SRVal,0,$C$5),SRScen,F$6,SRCode,$A34))</f>
        <v/>
      </c>
      <c r="G34" s="24">
        <f>IF(COUNTIFS(SRScen,G$6,SRCode,$A34)=0,"",SUMIFS(INDEX(SRVal,0,$C$5),SRScen,G$6,SRCode,$A34))</f>
        <v/>
      </c>
      <c r="H34" s="24">
        <f>IF(COUNTIFS(SRScen,H$6,SRCode,$A34)=0,"",SUMIFS(INDEX(SRVal,0,$C$5),SRScen,H$6,SRCode,$A34))</f>
        <v/>
      </c>
      <c r="I34" s="24">
        <f>IF(COUNTIFS(SRScen,I$6,SRCode,$A34)=0,"",SUMIFS(INDEX(SRVal,0,$C$5),SRScen,I$6,SRCode,$A34))</f>
        <v/>
      </c>
      <c r="J34" s="24">
        <f>IF(COUNTIFS(SRScen,J$6,SRCode,$A34)=0,"",SUMIFS(INDEX(SRVal,0,$C$5),SRScen,J$6,SRCode,$A34))</f>
        <v/>
      </c>
      <c r="K34" s="24">
        <f>IF(COUNTIFS(SRScen,K$6,SRCode,$A34)=0,"",SUMIFS(INDEX(SRVal,0,$C$5),SRScen,K$6,SRCode,$A34))</f>
        <v/>
      </c>
      <c r="L34" s="24">
        <f>IF(COUNTIFS(SRScen,L$6,SRCode,$A34)=0,"",SUMIFS(INDEX(SRVal,0,$C$5),SRScen,L$6,SRCode,$A34))</f>
        <v/>
      </c>
    </row>
    <row r="35">
      <c r="A35" s="22" t="inlineStr">
        <is>
          <t>mit.rpb.res.nga.a</t>
        </is>
      </c>
      <c r="B35" s="14">
        <f>IFERROR(INDEX(SRDesc,MATCH($A35,SRCode,0)),"")</f>
        <v/>
      </c>
      <c r="C35" s="14">
        <f>IFERROR(INDEX(SRUnit,MATCH($A35,SRCode,0)),"")</f>
        <v/>
      </c>
      <c r="D35" s="23">
        <f>IF(COUNTIFS(SRScen,D$6,SRCode,$A35)=0,"",SUMIFS(INDEX(SRVal,0,$C$5),SRScen,D$6,SRCode,$A35))</f>
        <v/>
      </c>
      <c r="E35" s="24">
        <f>IF(COUNTIFS(SRScen,E$6,SRCode,$A35)=0,"",SUMIFS(INDEX(SRVal,0,$C$5),SRScen,E$6,SRCode,$A35))</f>
        <v/>
      </c>
      <c r="F35" s="24">
        <f>IF(COUNTIFS(SRScen,F$6,SRCode,$A35)=0,"",SUMIFS(INDEX(SRVal,0,$C$5),SRScen,F$6,SRCode,$A35))</f>
        <v/>
      </c>
      <c r="G35" s="24">
        <f>IF(COUNTIFS(SRScen,G$6,SRCode,$A35)=0,"",SUMIFS(INDEX(SRVal,0,$C$5),SRScen,G$6,SRCode,$A35))</f>
        <v/>
      </c>
      <c r="H35" s="24">
        <f>IF(COUNTIFS(SRScen,H$6,SRCode,$A35)=0,"",SUMIFS(INDEX(SRVal,0,$C$5),SRScen,H$6,SRCode,$A35))</f>
        <v/>
      </c>
      <c r="I35" s="24">
        <f>IF(COUNTIFS(SRScen,I$6,SRCode,$A35)=0,"",SUMIFS(INDEX(SRVal,0,$C$5),SRScen,I$6,SRCode,$A35))</f>
        <v/>
      </c>
      <c r="J35" s="24">
        <f>IF(COUNTIFS(SRScen,J$6,SRCode,$A35)=0,"",SUMIFS(INDEX(SRVal,0,$C$5),SRScen,J$6,SRCode,$A35))</f>
        <v/>
      </c>
      <c r="K35" s="24">
        <f>IF(COUNTIFS(SRScen,K$6,SRCode,$A35)=0,"",SUMIFS(INDEX(SRVal,0,$C$5),SRScen,K$6,SRCode,$A35))</f>
        <v/>
      </c>
      <c r="L35" s="24">
        <f>IF(COUNTIFS(SRScen,L$6,SRCode,$A35)=0,"",SUMIFS(INDEX(SRVal,0,$C$5),SRScen,L$6,SRCode,$A35))</f>
        <v/>
      </c>
    </row>
    <row r="36">
      <c r="A36" s="22" t="inlineStr">
        <is>
          <t>mit.atp.rod.gso.e</t>
        </is>
      </c>
      <c r="B36" s="14">
        <f>IFERROR(INDEX(SRDesc,MATCH($A36,SRCode,0)),"")</f>
        <v/>
      </c>
      <c r="C36" s="14">
        <f>IFERROR(INDEX(SRUnit,MATCH($A36,SRCode,0)),"")</f>
        <v/>
      </c>
      <c r="D36" s="23">
        <f>IF(COUNTIFS(SRScen,D$6,SRCode,$A36)=0,"",SUMIFS(INDEX(SRVal,0,$C$5),SRScen,D$6,SRCode,$A36))</f>
        <v/>
      </c>
      <c r="E36" s="24">
        <f>IF(COUNTIFS(SRScen,E$6,SRCode,$A36)=0,"",SUMIFS(INDEX(SRVal,0,$C$5),SRScen,E$6,SRCode,$A36))</f>
        <v/>
      </c>
      <c r="F36" s="24">
        <f>IF(COUNTIFS(SRScen,F$6,SRCode,$A36)=0,"",SUMIFS(INDEX(SRVal,0,$C$5),SRScen,F$6,SRCode,$A36))</f>
        <v/>
      </c>
      <c r="G36" s="24">
        <f>IF(COUNTIFS(SRScen,G$6,SRCode,$A36)=0,"",SUMIFS(INDEX(SRVal,0,$C$5),SRScen,G$6,SRCode,$A36))</f>
        <v/>
      </c>
      <c r="H36" s="24">
        <f>IF(COUNTIFS(SRScen,H$6,SRCode,$A36)=0,"",SUMIFS(INDEX(SRVal,0,$C$5),SRScen,H$6,SRCode,$A36))</f>
        <v/>
      </c>
      <c r="I36" s="24">
        <f>IF(COUNTIFS(SRScen,I$6,SRCode,$A36)=0,"",SUMIFS(INDEX(SRVal,0,$C$5),SRScen,I$6,SRCode,$A36))</f>
        <v/>
      </c>
      <c r="J36" s="24">
        <f>IF(COUNTIFS(SRScen,J$6,SRCode,$A36)=0,"",SUMIFS(INDEX(SRVal,0,$C$5),SRScen,J$6,SRCode,$A36))</f>
        <v/>
      </c>
      <c r="K36" s="24">
        <f>IF(COUNTIFS(SRScen,K$6,SRCode,$A36)=0,"",SUMIFS(INDEX(SRVal,0,$C$5),SRScen,K$6,SRCode,$A36))</f>
        <v/>
      </c>
      <c r="L36" s="24">
        <f>IF(COUNTIFS(SRScen,L$6,SRCode,$A36)=0,"",SUMIFS(INDEX(SRVal,0,$C$5),SRScen,L$6,SRCode,$A36))</f>
        <v/>
      </c>
    </row>
    <row r="37">
      <c r="A37" s="22" t="inlineStr">
        <is>
          <t>mit.rp.res.ecy</t>
        </is>
      </c>
      <c r="B37" s="14">
        <f>IFERROR(INDEX(SRDesc,MATCH($A37,SRCode,0)),"")</f>
        <v/>
      </c>
      <c r="C37" s="14">
        <f>IFERROR(INDEX(SRUnit,MATCH($A37,SRCode,0)),"")</f>
        <v/>
      </c>
      <c r="D37" s="15">
        <f>IF(COUNTIFS(SRScen,D$6,SRCode,$A37)=0,"",SUMIFS(INDEX(SRVal,0,$C$5),SRScen,D$6,SRCode,$A37))</f>
        <v/>
      </c>
      <c r="E37" s="16">
        <f>IF(COUNTIFS(SRScen,E$6,SRCode,$A37)=0,"",SUMIFS(INDEX(SRVal,0,$C$5),SRScen,E$6,SRCode,$A37))</f>
        <v/>
      </c>
      <c r="F37" s="16">
        <f>IF(COUNTIFS(SRScen,F$6,SRCode,$A37)=0,"",SUMIFS(INDEX(SRVal,0,$C$5),SRScen,F$6,SRCode,$A37))</f>
        <v/>
      </c>
      <c r="G37" s="16">
        <f>IF(COUNTIFS(SRScen,G$6,SRCode,$A37)=0,"",SUMIFS(INDEX(SRVal,0,$C$5),SRScen,G$6,SRCode,$A37))</f>
        <v/>
      </c>
      <c r="H37" s="16">
        <f>IF(COUNTIFS(SRScen,H$6,SRCode,$A37)=0,"",SUMIFS(INDEX(SRVal,0,$C$5),SRScen,H$6,SRCode,$A37))</f>
        <v/>
      </c>
      <c r="I37" s="16">
        <f>IF(COUNTIFS(SRScen,I$6,SRCode,$A37)=0,"",SUMIFS(INDEX(SRVal,0,$C$5),SRScen,I$6,SRCode,$A37))</f>
        <v/>
      </c>
      <c r="J37" s="16">
        <f>IF(COUNTIFS(SRScen,J$6,SRCode,$A37)=0,"",SUMIFS(INDEX(SRVal,0,$C$5),SRScen,J$6,SRCode,$A37))</f>
        <v/>
      </c>
      <c r="K37" s="16">
        <f>IF(COUNTIFS(SRScen,K$6,SRCode,$A37)=0,"",SUMIFS(INDEX(SRVal,0,$C$5),SRScen,K$6,SRCode,$A37))</f>
        <v/>
      </c>
      <c r="L37" s="16">
        <f>IF(COUNTIFS(SRScen,L$6,SRCode,$A37)=0,"",SUMIFS(INDEX(SRVal,0,$C$5),SRScen,L$6,SRCode,$A37))</f>
        <v/>
      </c>
    </row>
    <row r="38">
      <c r="A38" s="22" t="inlineStr">
        <is>
          <t>mit.rp.ind.ecy</t>
        </is>
      </c>
      <c r="B38" s="14">
        <f>IFERROR(INDEX(SRDesc,MATCH($A38,SRCode,0)),"")</f>
        <v/>
      </c>
      <c r="C38" s="14">
        <f>IFERROR(INDEX(SRUnit,MATCH($A38,SRCode,0)),"")</f>
        <v/>
      </c>
      <c r="D38" s="15">
        <f>IF(COUNTIFS(SRScen,D$6,SRCode,$A38)=0,"",SUMIFS(INDEX(SRVal,0,$C$5),SRScen,D$6,SRCode,$A38))</f>
        <v/>
      </c>
      <c r="E38" s="16">
        <f>IF(COUNTIFS(SRScen,E$6,SRCode,$A38)=0,"",SUMIFS(INDEX(SRVal,0,$C$5),SRScen,E$6,SRCode,$A38))</f>
        <v/>
      </c>
      <c r="F38" s="16">
        <f>IF(COUNTIFS(SRScen,F$6,SRCode,$A38)=0,"",SUMIFS(INDEX(SRVal,0,$C$5),SRScen,F$6,SRCode,$A38))</f>
        <v/>
      </c>
      <c r="G38" s="16">
        <f>IF(COUNTIFS(SRScen,G$6,SRCode,$A38)=0,"",SUMIFS(INDEX(SRVal,0,$C$5),SRScen,G$6,SRCode,$A38))</f>
        <v/>
      </c>
      <c r="H38" s="16">
        <f>IF(COUNTIFS(SRScen,H$6,SRCode,$A38)=0,"",SUMIFS(INDEX(SRVal,0,$C$5),SRScen,H$6,SRCode,$A38))</f>
        <v/>
      </c>
      <c r="I38" s="16">
        <f>IF(COUNTIFS(SRScen,I$6,SRCode,$A38)=0,"",SUMIFS(INDEX(SRVal,0,$C$5),SRScen,I$6,SRCode,$A38))</f>
        <v/>
      </c>
      <c r="J38" s="16">
        <f>IF(COUNTIFS(SRScen,J$6,SRCode,$A38)=0,"",SUMIFS(INDEX(SRVal,0,$C$5),SRScen,J$6,SRCode,$A38))</f>
        <v/>
      </c>
      <c r="K38" s="16">
        <f>IF(COUNTIFS(SRScen,K$6,SRCode,$A38)=0,"",SUMIFS(INDEX(SRVal,0,$C$5),SRScen,K$6,SRCode,$A38))</f>
        <v/>
      </c>
      <c r="L38" s="16">
        <f>IF(COUNTIFS(SRScen,L$6,SRCode,$A38)=0,"",SUMIFS(INDEX(SRVal,0,$C$5),SRScen,L$6,SRCode,$A38))</f>
        <v/>
      </c>
    </row>
    <row r="39">
      <c r="A39" s="22" t="inlineStr">
        <is>
          <t>mit.gncav</t>
        </is>
      </c>
      <c r="B39" s="14">
        <f>IFERROR(INDEX(SRDesc,MATCH($A39,SRCode,0)),"")</f>
        <v/>
      </c>
      <c r="C39" s="14">
        <f>IFERROR(INDEX(SRUnit,MATCH($A39,SRCode,0)),"")</f>
        <v/>
      </c>
      <c r="D39" s="15">
        <f>IF(COUNTIFS(SRScen,D$6,SRCode,$A39)=0,"",SUMIFS(INDEX(SRVal,0,$C$5),SRScen,D$6,SRCode,$A39))</f>
        <v/>
      </c>
      <c r="E39" s="16">
        <f>IF(COUNTIFS(SRScen,E$6,SRCode,$A39)=0,"",SUMIFS(INDEX(SRVal,0,$C$5),SRScen,E$6,SRCode,$A39))</f>
        <v/>
      </c>
      <c r="F39" s="16">
        <f>IF(COUNTIFS(SRScen,F$6,SRCode,$A39)=0,"",SUMIFS(INDEX(SRVal,0,$C$5),SRScen,F$6,SRCode,$A39))</f>
        <v/>
      </c>
      <c r="G39" s="16">
        <f>IF(COUNTIFS(SRScen,G$6,SRCode,$A39)=0,"",SUMIFS(INDEX(SRVal,0,$C$5),SRScen,G$6,SRCode,$A39))</f>
        <v/>
      </c>
      <c r="H39" s="16">
        <f>IF(COUNTIFS(SRScen,H$6,SRCode,$A39)=0,"",SUMIFS(INDEX(SRVal,0,$C$5),SRScen,H$6,SRCode,$A39))</f>
        <v/>
      </c>
      <c r="I39" s="16">
        <f>IF(COUNTIFS(SRScen,I$6,SRCode,$A39)=0,"",SUMIFS(INDEX(SRVal,0,$C$5),SRScen,I$6,SRCode,$A39))</f>
        <v/>
      </c>
      <c r="J39" s="16">
        <f>IF(COUNTIFS(SRScen,J$6,SRCode,$A39)=0,"",SUMIFS(INDEX(SRVal,0,$C$5),SRScen,J$6,SRCode,$A39))</f>
        <v/>
      </c>
      <c r="K39" s="16">
        <f>IF(COUNTIFS(SRScen,K$6,SRCode,$A39)=0,"",SUMIFS(INDEX(SRVal,0,$C$5),SRScen,K$6,SRCode,$A39))</f>
        <v/>
      </c>
      <c r="L39" s="16">
        <f>IF(COUNTIFS(SRScen,L$6,SRCode,$A39)=0,"",SUMIFS(INDEX(SRVal,0,$C$5),SRScen,L$6,SRCode,$A39))</f>
        <v/>
      </c>
    </row>
    <row r="40">
      <c r="A40" s="22" t="inlineStr">
        <is>
          <t>mit.co2.pow.all.e</t>
        </is>
      </c>
      <c r="B40" s="14">
        <f>IFERROR(INDEX(SRDesc,MATCH($A40,SRCode,0)),"")</f>
        <v/>
      </c>
      <c r="C40" s="14">
        <f>IFERROR(INDEX(SRUnit,MATCH($A40,SRCode,0)),"")</f>
        <v/>
      </c>
      <c r="D40" s="43">
        <f>IF(COUNTIFS(SRScen,D$6,SRCode,$A40)=0,"",SUMIFS(INDEX(SRVal,0,$C$5),SRScen,D$6,SRCode,$A40))</f>
        <v/>
      </c>
      <c r="E40" s="44">
        <f>IF(COUNTIFS(SRScen,E$6,SRCode,$A40)=0,"",SUMIFS(INDEX(SRVal,0,$C$5),SRScen,E$6,SRCode,$A40))</f>
        <v/>
      </c>
      <c r="F40" s="44">
        <f>IF(COUNTIFS(SRScen,F$6,SRCode,$A40)=0,"",SUMIFS(INDEX(SRVal,0,$C$5),SRScen,F$6,SRCode,$A40))</f>
        <v/>
      </c>
      <c r="G40" s="44">
        <f>IF(COUNTIFS(SRScen,G$6,SRCode,$A40)=0,"",SUMIFS(INDEX(SRVal,0,$C$5),SRScen,G$6,SRCode,$A40))</f>
        <v/>
      </c>
      <c r="H40" s="44">
        <f>IF(COUNTIFS(SRScen,H$6,SRCode,$A40)=0,"",SUMIFS(INDEX(SRVal,0,$C$5),SRScen,H$6,SRCode,$A40))</f>
        <v/>
      </c>
      <c r="I40" s="44">
        <f>IF(COUNTIFS(SRScen,I$6,SRCode,$A40)=0,"",SUMIFS(INDEX(SRVal,0,$C$5),SRScen,I$6,SRCode,$A40))</f>
        <v/>
      </c>
      <c r="J40" s="44">
        <f>IF(COUNTIFS(SRScen,J$6,SRCode,$A40)=0,"",SUMIFS(INDEX(SRVal,0,$C$5),SRScen,J$6,SRCode,$A40))</f>
        <v/>
      </c>
      <c r="K40" s="44">
        <f>IF(COUNTIFS(SRScen,K$6,SRCode,$A40)=0,"",SUMIFS(INDEX(SRVal,0,$C$5),SRScen,K$6,SRCode,$A40))</f>
        <v/>
      </c>
      <c r="L40" s="44">
        <f>IF(COUNTIFS(SRScen,L$6,SRCode,$A40)=0,"",SUMIFS(INDEX(SRVal,0,$C$5),SRScen,L$6,SRCode,$A40))</f>
        <v/>
      </c>
    </row>
    <row r="41">
      <c r="A41" s="22" t="inlineStr">
        <is>
          <t>mit.gtot</t>
        </is>
      </c>
      <c r="B41" s="14">
        <f>IFERROR(INDEX(SRDesc,MATCH($A41,SRCode,0)),"")</f>
        <v/>
      </c>
      <c r="C41" s="14">
        <f>IFERROR(INDEX(SRUnit,MATCH($A41,SRCode,0)),"")</f>
        <v/>
      </c>
      <c r="D41" s="46">
        <f>IF(COUNTIFS(SRScen,D$6,SRCode,$A41)=0,"",SUMIFS(INDEX(SRVal,0,$C$5),SRScen,D$6,SRCode,$A41))</f>
        <v/>
      </c>
      <c r="E41" s="47">
        <f>IF(COUNTIFS(SRScen,E$6,SRCode,$A41)=0,"",SUMIFS(INDEX(SRVal,0,$C$5),SRScen,E$6,SRCode,$A41))</f>
        <v/>
      </c>
      <c r="F41" s="47">
        <f>IF(COUNTIFS(SRScen,F$6,SRCode,$A41)=0,"",SUMIFS(INDEX(SRVal,0,$C$5),SRScen,F$6,SRCode,$A41))</f>
        <v/>
      </c>
      <c r="G41" s="47">
        <f>IF(COUNTIFS(SRScen,G$6,SRCode,$A41)=0,"",SUMIFS(INDEX(SRVal,0,$C$5),SRScen,G$6,SRCode,$A41))</f>
        <v/>
      </c>
      <c r="H41" s="47">
        <f>IF(COUNTIFS(SRScen,H$6,SRCode,$A41)=0,"",SUMIFS(INDEX(SRVal,0,$C$5),SRScen,H$6,SRCode,$A41))</f>
        <v/>
      </c>
      <c r="I41" s="47">
        <f>IF(COUNTIFS(SRScen,I$6,SRCode,$A41)=0,"",SUMIFS(INDEX(SRVal,0,$C$5),SRScen,I$6,SRCode,$A41))</f>
        <v/>
      </c>
      <c r="J41" s="47">
        <f>IF(COUNTIFS(SRScen,J$6,SRCode,$A41)=0,"",SUMIFS(INDEX(SRVal,0,$C$5),SRScen,J$6,SRCode,$A41))</f>
        <v/>
      </c>
      <c r="K41" s="47">
        <f>IF(COUNTIFS(SRScen,K$6,SRCode,$A41)=0,"",SUMIFS(INDEX(SRVal,0,$C$5),SRScen,K$6,SRCode,$A41))</f>
        <v/>
      </c>
      <c r="L41" s="47">
        <f>IF(COUNTIFS(SRScen,L$6,SRCode,$A41)=0,"",SUMIFS(INDEX(SRVal,0,$C$5),SRScen,L$6,SRCode,$A41))</f>
        <v/>
      </c>
    </row>
    <row r="42">
      <c r="A42" s="22" t="inlineStr">
        <is>
          <t>mit.vre</t>
        </is>
      </c>
      <c r="B42" s="14">
        <f>IFERROR(INDEX(SRDesc,MATCH($A42,SRCode,0)),"")</f>
        <v/>
      </c>
      <c r="C42" s="14">
        <f>IFERROR(INDEX(SRUnit,MATCH($A42,SRCode,0)),"")</f>
        <v/>
      </c>
      <c r="D42" s="12">
        <f>IF(COUNTIFS(SRScen,D$6,SRCode,$A42)=0,"",SUMIFS(INDEX(SRVal,0,$C$5),SRScen,D$6,SRCode,$A42))</f>
        <v/>
      </c>
      <c r="E42" s="13">
        <f>IF(COUNTIFS(SRScen,E$6,SRCode,$A42)=0,"",SUMIFS(INDEX(SRVal,0,$C$5),SRScen,E$6,SRCode,$A42))</f>
        <v/>
      </c>
      <c r="F42" s="13">
        <f>IF(COUNTIFS(SRScen,F$6,SRCode,$A42)=0,"",SUMIFS(INDEX(SRVal,0,$C$5),SRScen,F$6,SRCode,$A42))</f>
        <v/>
      </c>
      <c r="G42" s="13">
        <f>IF(COUNTIFS(SRScen,G$6,SRCode,$A42)=0,"",SUMIFS(INDEX(SRVal,0,$C$5),SRScen,G$6,SRCode,$A42))</f>
        <v/>
      </c>
      <c r="H42" s="13">
        <f>IF(COUNTIFS(SRScen,H$6,SRCode,$A42)=0,"",SUMIFS(INDEX(SRVal,0,$C$5),SRScen,H$6,SRCode,$A42))</f>
        <v/>
      </c>
      <c r="I42" s="13">
        <f>IF(COUNTIFS(SRScen,I$6,SRCode,$A42)=0,"",SUMIFS(INDEX(SRVal,0,$C$5),SRScen,I$6,SRCode,$A42))</f>
        <v/>
      </c>
      <c r="J42" s="13">
        <f>IF(COUNTIFS(SRScen,J$6,SRCode,$A42)=0,"",SUMIFS(INDEX(SRVal,0,$C$5),SRScen,J$6,SRCode,$A42))</f>
        <v/>
      </c>
      <c r="K42" s="13">
        <f>IF(COUNTIFS(SRScen,K$6,SRCode,$A42)=0,"",SUMIFS(INDEX(SRVal,0,$C$5),SRScen,K$6,SRCode,$A42))</f>
        <v/>
      </c>
      <c r="L42" s="13">
        <f>IF(COUNTIFS(SRScen,L$6,SRCode,$A42)=0,"",SUMIFS(INDEX(SRVal,0,$C$5),SRScen,L$6,SRCode,$A42))</f>
        <v/>
      </c>
    </row>
    <row r="43">
      <c r="A43" s="22" t="inlineStr">
        <is>
          <t>mit.shr.pow.nga</t>
        </is>
      </c>
      <c r="B43" s="14">
        <f>IFERROR(INDEX(SRDesc,MATCH($A43,SRCode,0)),"")</f>
        <v/>
      </c>
      <c r="C43" s="14">
        <f>IFERROR(INDEX(SRUnit,MATCH($A43,SRCode,0)),"")</f>
        <v/>
      </c>
      <c r="D43" s="12">
        <f>IF(COUNTIFS(SRScen,D$6,SRCode,$A43)=0,"",SUMIFS(INDEX(SRVal,0,$C$5),SRScen,D$6,SRCode,$A43))</f>
        <v/>
      </c>
      <c r="E43" s="13">
        <f>IF(COUNTIFS(SRScen,E$6,SRCode,$A43)=0,"",SUMIFS(INDEX(SRVal,0,$C$5),SRScen,E$6,SRCode,$A43))</f>
        <v/>
      </c>
      <c r="F43" s="13">
        <f>IF(COUNTIFS(SRScen,F$6,SRCode,$A43)=0,"",SUMIFS(INDEX(SRVal,0,$C$5),SRScen,F$6,SRCode,$A43))</f>
        <v/>
      </c>
      <c r="G43" s="13">
        <f>IF(COUNTIFS(SRScen,G$6,SRCode,$A43)=0,"",SUMIFS(INDEX(SRVal,0,$C$5),SRScen,G$6,SRCode,$A43))</f>
        <v/>
      </c>
      <c r="H43" s="13">
        <f>IF(COUNTIFS(SRScen,H$6,SRCode,$A43)=0,"",SUMIFS(INDEX(SRVal,0,$C$5),SRScen,H$6,SRCode,$A43))</f>
        <v/>
      </c>
      <c r="I43" s="13">
        <f>IF(COUNTIFS(SRScen,I$6,SRCode,$A43)=0,"",SUMIFS(INDEX(SRVal,0,$C$5),SRScen,I$6,SRCode,$A43))</f>
        <v/>
      </c>
      <c r="J43" s="13">
        <f>IF(COUNTIFS(SRScen,J$6,SRCode,$A43)=0,"",SUMIFS(INDEX(SRVal,0,$C$5),SRScen,J$6,SRCode,$A43))</f>
        <v/>
      </c>
      <c r="K43" s="13">
        <f>IF(COUNTIFS(SRScen,K$6,SRCode,$A43)=0,"",SUMIFS(INDEX(SRVal,0,$C$5),SRScen,K$6,SRCode,$A43))</f>
        <v/>
      </c>
      <c r="L43" s="13">
        <f>IF(COUNTIFS(SRScen,L$6,SRCode,$A43)=0,"",SUMIFS(INDEX(SRVal,0,$C$5),SRScen,L$6,SRCode,$A43))</f>
        <v/>
      </c>
    </row>
    <row r="44">
      <c r="A44" s="22" t="inlineStr">
        <is>
          <t>mit.usdtot</t>
        </is>
      </c>
      <c r="B44" s="14">
        <f>IFERROR(INDEX(SRDesc,MATCH($A44,SRCode,0)),"")</f>
        <v/>
      </c>
      <c r="C44" s="14">
        <f>IFERROR(INDEX(SRUnit,MATCH($A44,SRCode,0)),"")</f>
        <v/>
      </c>
      <c r="D44" s="46">
        <f>IF(COUNTIFS(SRScen,D$6,SRCode,$A44)=0,"",SUMIFS(INDEX(SRVal,0,$C$5),SRScen,D$6,SRCode,$A44))</f>
        <v/>
      </c>
      <c r="E44" s="47">
        <f>IF(COUNTIFS(SRScen,E$6,SRCode,$A44)=0,"",SUMIFS(INDEX(SRVal,0,$C$5),SRScen,E$6,SRCode,$A44))</f>
        <v/>
      </c>
      <c r="F44" s="47">
        <f>IF(COUNTIFS(SRScen,F$6,SRCode,$A44)=0,"",SUMIFS(INDEX(SRVal,0,$C$5),SRScen,F$6,SRCode,$A44))</f>
        <v/>
      </c>
      <c r="G44" s="47">
        <f>IF(COUNTIFS(SRScen,G$6,SRCode,$A44)=0,"",SUMIFS(INDEX(SRVal,0,$C$5),SRScen,G$6,SRCode,$A44))</f>
        <v/>
      </c>
      <c r="H44" s="47">
        <f>IF(COUNTIFS(SRScen,H$6,SRCode,$A44)=0,"",SUMIFS(INDEX(SRVal,0,$C$5),SRScen,H$6,SRCode,$A44))</f>
        <v/>
      </c>
      <c r="I44" s="47">
        <f>IF(COUNTIFS(SRScen,I$6,SRCode,$A44)=0,"",SUMIFS(INDEX(SRVal,0,$C$5),SRScen,I$6,SRCode,$A44))</f>
        <v/>
      </c>
      <c r="J44" s="47">
        <f>IF(COUNTIFS(SRScen,J$6,SRCode,$A44)=0,"",SUMIFS(INDEX(SRVal,0,$C$5),SRScen,J$6,SRCode,$A44))</f>
        <v/>
      </c>
      <c r="K44" s="47">
        <f>IF(COUNTIFS(SRScen,K$6,SRCode,$A44)=0,"",SUMIFS(INDEX(SRVal,0,$C$5),SRScen,K$6,SRCode,$A44))</f>
        <v/>
      </c>
      <c r="L44" s="47">
        <f>IF(COUNTIFS(SRScen,L$6,SRCode,$A44)=0,"",SUMIFS(INDEX(SRVal,0,$C$5),SRScen,L$6,SRCode,$A44))</f>
        <v/>
      </c>
    </row>
    <row r="45">
      <c r="A45" s="22" t="inlineStr">
        <is>
          <t>mit.demtot</t>
        </is>
      </c>
      <c r="B45" s="14">
        <f>IFERROR(INDEX(SRDesc,MATCH($A45,SRCode,0)),"")</f>
        <v/>
      </c>
      <c r="C45" s="14">
        <f>IFERROR(INDEX(SRUnit,MATCH($A45,SRCode,0)),"")</f>
        <v/>
      </c>
      <c r="D45" s="46">
        <f>IF(COUNTIFS(SRScen,D$6,SRCode,$A45)=0,"",SUMIFS(INDEX(SRVal,0,$C$5),SRScen,D$6,SRCode,$A45))</f>
        <v/>
      </c>
      <c r="E45" s="47">
        <f>IF(COUNTIFS(SRScen,E$6,SRCode,$A45)=0,"",SUMIFS(INDEX(SRVal,0,$C$5),SRScen,E$6,SRCode,$A45))</f>
        <v/>
      </c>
      <c r="F45" s="47">
        <f>IF(COUNTIFS(SRScen,F$6,SRCode,$A45)=0,"",SUMIFS(INDEX(SRVal,0,$C$5),SRScen,F$6,SRCode,$A45))</f>
        <v/>
      </c>
      <c r="G45" s="47">
        <f>IF(COUNTIFS(SRScen,G$6,SRCode,$A45)=0,"",SUMIFS(INDEX(SRVal,0,$C$5),SRScen,G$6,SRCode,$A45))</f>
        <v/>
      </c>
      <c r="H45" s="47">
        <f>IF(COUNTIFS(SRScen,H$6,SRCode,$A45)=0,"",SUMIFS(INDEX(SRVal,0,$C$5),SRScen,H$6,SRCode,$A45))</f>
        <v/>
      </c>
      <c r="I45" s="47">
        <f>IF(COUNTIFS(SRScen,I$6,SRCode,$A45)=0,"",SUMIFS(INDEX(SRVal,0,$C$5),SRScen,I$6,SRCode,$A45))</f>
        <v/>
      </c>
      <c r="J45" s="47">
        <f>IF(COUNTIFS(SRScen,J$6,SRCode,$A45)=0,"",SUMIFS(INDEX(SRVal,0,$C$5),SRScen,J$6,SRCode,$A45))</f>
        <v/>
      </c>
      <c r="K45" s="47">
        <f>IF(COUNTIFS(SRScen,K$6,SRCode,$A45)=0,"",SUMIFS(INDEX(SRVal,0,$C$5),SRScen,K$6,SRCode,$A45))</f>
        <v/>
      </c>
      <c r="L45" s="47">
        <f>IF(COUNTIFS(SRScen,L$6,SRCode,$A45)=0,"",SUMIFS(INDEX(SRVal,0,$C$5),SRScen,L$6,SRCode,$A45))</f>
        <v/>
      </c>
    </row>
    <row r="46">
      <c r="A46" s="22" t="inlineStr">
        <is>
          <t>mit.eldem.tra.ecy.e</t>
        </is>
      </c>
      <c r="B46" s="14">
        <f>IFERROR(INDEX(SRDesc,MATCH($A46,SRCode,0)),"")</f>
        <v/>
      </c>
      <c r="C46" s="14">
        <f>IFERROR(INDEX(SRUnit,MATCH($A46,SRCode,0)),"")</f>
        <v/>
      </c>
      <c r="D46" s="46">
        <f>IF(COUNTIFS(SRScen,D$6,SRCode,$A46)=0,"",SUMIFS(INDEX(SRVal,0,$C$5),SRScen,D$6,SRCode,$A46))</f>
        <v/>
      </c>
      <c r="E46" s="47">
        <f>IF(COUNTIFS(SRScen,E$6,SRCode,$A46)=0,"",SUMIFS(INDEX(SRVal,0,$C$5),SRScen,E$6,SRCode,$A46))</f>
        <v/>
      </c>
      <c r="F46" s="47">
        <f>IF(COUNTIFS(SRScen,F$6,SRCode,$A46)=0,"",SUMIFS(INDEX(SRVal,0,$C$5),SRScen,F$6,SRCode,$A46))</f>
        <v/>
      </c>
      <c r="G46" s="47">
        <f>IF(COUNTIFS(SRScen,G$6,SRCode,$A46)=0,"",SUMIFS(INDEX(SRVal,0,$C$5),SRScen,G$6,SRCode,$A46))</f>
        <v/>
      </c>
      <c r="H46" s="47">
        <f>IF(COUNTIFS(SRScen,H$6,SRCode,$A46)=0,"",SUMIFS(INDEX(SRVal,0,$C$5),SRScen,H$6,SRCode,$A46))</f>
        <v/>
      </c>
      <c r="I46" s="47">
        <f>IF(COUNTIFS(SRScen,I$6,SRCode,$A46)=0,"",SUMIFS(INDEX(SRVal,0,$C$5),SRScen,I$6,SRCode,$A46))</f>
        <v/>
      </c>
      <c r="J46" s="47">
        <f>IF(COUNTIFS(SRScen,J$6,SRCode,$A46)=0,"",SUMIFS(INDEX(SRVal,0,$C$5),SRScen,J$6,SRCode,$A46))</f>
        <v/>
      </c>
      <c r="K46" s="47">
        <f>IF(COUNTIFS(SRScen,K$6,SRCode,$A46)=0,"",SUMIFS(INDEX(SRVal,0,$C$5),SRScen,K$6,SRCode,$A46))</f>
        <v/>
      </c>
      <c r="L46" s="47">
        <f>IF(COUNTIFS(SRScen,L$6,SRCode,$A46)=0,"",SUMIFS(INDEX(SRVal,0,$C$5),SRScen,L$6,SRCode,$A46))</f>
        <v/>
      </c>
    </row>
    <row r="47">
      <c r="A47" s="22" t="inlineStr">
        <is>
          <t>mit.eldem.bld.ecy.e</t>
        </is>
      </c>
      <c r="B47" s="14">
        <f>IFERROR(INDEX(SRDesc,MATCH($A47,SRCode,0)),"")</f>
        <v/>
      </c>
      <c r="C47" s="14">
        <f>IFERROR(INDEX(SRUnit,MATCH($A47,SRCode,0)),"")</f>
        <v/>
      </c>
      <c r="D47" s="46">
        <f>IF(COUNTIFS(SRScen,D$6,SRCode,$A47)=0,"",SUMIFS(INDEX(SRVal,0,$C$5),SRScen,D$6,SRCode,$A47))</f>
        <v/>
      </c>
      <c r="E47" s="47">
        <f>IF(COUNTIFS(SRScen,E$6,SRCode,$A47)=0,"",SUMIFS(INDEX(SRVal,0,$C$5),SRScen,E$6,SRCode,$A47))</f>
        <v/>
      </c>
      <c r="F47" s="47">
        <f>IF(COUNTIFS(SRScen,F$6,SRCode,$A47)=0,"",SUMIFS(INDEX(SRVal,0,$C$5),SRScen,F$6,SRCode,$A47))</f>
        <v/>
      </c>
      <c r="G47" s="47">
        <f>IF(COUNTIFS(SRScen,G$6,SRCode,$A47)=0,"",SUMIFS(INDEX(SRVal,0,$C$5),SRScen,G$6,SRCode,$A47))</f>
        <v/>
      </c>
      <c r="H47" s="47">
        <f>IF(COUNTIFS(SRScen,H$6,SRCode,$A47)=0,"",SUMIFS(INDEX(SRVal,0,$C$5),SRScen,H$6,SRCode,$A47))</f>
        <v/>
      </c>
      <c r="I47" s="47">
        <f>IF(COUNTIFS(SRScen,I$6,SRCode,$A47)=0,"",SUMIFS(INDEX(SRVal,0,$C$5),SRScen,I$6,SRCode,$A47))</f>
        <v/>
      </c>
      <c r="J47" s="47">
        <f>IF(COUNTIFS(SRScen,J$6,SRCode,$A47)=0,"",SUMIFS(INDEX(SRVal,0,$C$5),SRScen,J$6,SRCode,$A47))</f>
        <v/>
      </c>
      <c r="K47" s="47">
        <f>IF(COUNTIFS(SRScen,K$6,SRCode,$A47)=0,"",SUMIFS(INDEX(SRVal,0,$C$5),SRScen,K$6,SRCode,$A47))</f>
        <v/>
      </c>
      <c r="L47" s="47">
        <f>IF(COUNTIFS(SRScen,L$6,SRCode,$A47)=0,"",SUMIFS(INDEX(SRVal,0,$C$5),SRScen,L$6,SRCode,$A47))</f>
        <v/>
      </c>
    </row>
    <row r="48">
      <c r="A48" s="22" t="inlineStr">
        <is>
          <t>mit.eldem.ind.ecy.e</t>
        </is>
      </c>
      <c r="B48" s="14">
        <f>IFERROR(INDEX(SRDesc,MATCH($A48,SRCode,0)),"")</f>
        <v/>
      </c>
      <c r="C48" s="14">
        <f>IFERROR(INDEX(SRUnit,MATCH($A48,SRCode,0)),"")</f>
        <v/>
      </c>
      <c r="D48" s="46">
        <f>IF(COUNTIFS(SRScen,D$6,SRCode,$A48)=0,"",SUMIFS(INDEX(SRVal,0,$C$5),SRScen,D$6,SRCode,$A48))</f>
        <v/>
      </c>
      <c r="E48" s="47">
        <f>IF(COUNTIFS(SRScen,E$6,SRCode,$A48)=0,"",SUMIFS(INDEX(SRVal,0,$C$5),SRScen,E$6,SRCode,$A48))</f>
        <v/>
      </c>
      <c r="F48" s="47">
        <f>IF(COUNTIFS(SRScen,F$6,SRCode,$A48)=0,"",SUMIFS(INDEX(SRVal,0,$C$5),SRScen,F$6,SRCode,$A48))</f>
        <v/>
      </c>
      <c r="G48" s="47">
        <f>IF(COUNTIFS(SRScen,G$6,SRCode,$A48)=0,"",SUMIFS(INDEX(SRVal,0,$C$5),SRScen,G$6,SRCode,$A48))</f>
        <v/>
      </c>
      <c r="H48" s="47">
        <f>IF(COUNTIFS(SRScen,H$6,SRCode,$A48)=0,"",SUMIFS(INDEX(SRVal,0,$C$5),SRScen,H$6,SRCode,$A48))</f>
        <v/>
      </c>
      <c r="I48" s="47">
        <f>IF(COUNTIFS(SRScen,I$6,SRCode,$A48)=0,"",SUMIFS(INDEX(SRVal,0,$C$5),SRScen,I$6,SRCode,$A48))</f>
        <v/>
      </c>
      <c r="J48" s="47">
        <f>IF(COUNTIFS(SRScen,J$6,SRCode,$A48)=0,"",SUMIFS(INDEX(SRVal,0,$C$5),SRScen,J$6,SRCode,$A48))</f>
        <v/>
      </c>
      <c r="K48" s="47">
        <f>IF(COUNTIFS(SRScen,K$6,SRCode,$A48)=0,"",SUMIFS(INDEX(SRVal,0,$C$5),SRScen,K$6,SRCode,$A48))</f>
        <v/>
      </c>
      <c r="L48" s="47">
        <f>IF(COUNTIFS(SRScen,L$6,SRCode,$A48)=0,"",SUMIFS(INDEX(SRVal,0,$C$5),SRScen,L$6,SRCode,$A48))</f>
        <v/>
      </c>
    </row>
    <row r="49">
      <c r="A49" s="22" t="inlineStr">
        <is>
          <t>mit.eldem.oen.ecy.e</t>
        </is>
      </c>
      <c r="B49" s="14">
        <f>IFERROR(INDEX(SRDesc,MATCH($A49,SRCode,0)),"")</f>
        <v/>
      </c>
      <c r="C49" s="14">
        <f>IFERROR(INDEX(SRUnit,MATCH($A49,SRCode,0)),"")</f>
        <v/>
      </c>
      <c r="D49" s="46">
        <f>IF(COUNTIFS(SRScen,D$6,SRCode,$A49)=0,"",SUMIFS(INDEX(SRVal,0,$C$5),SRScen,D$6,SRCode,$A49))</f>
        <v/>
      </c>
      <c r="E49" s="47">
        <f>IF(COUNTIFS(SRScen,E$6,SRCode,$A49)=0,"",SUMIFS(INDEX(SRVal,0,$C$5),SRScen,E$6,SRCode,$A49))</f>
        <v/>
      </c>
      <c r="F49" s="47">
        <f>IF(COUNTIFS(SRScen,F$6,SRCode,$A49)=0,"",SUMIFS(INDEX(SRVal,0,$C$5),SRScen,F$6,SRCode,$A49))</f>
        <v/>
      </c>
      <c r="G49" s="47">
        <f>IF(COUNTIFS(SRScen,G$6,SRCode,$A49)=0,"",SUMIFS(INDEX(SRVal,0,$C$5),SRScen,G$6,SRCode,$A49))</f>
        <v/>
      </c>
      <c r="H49" s="47">
        <f>IF(COUNTIFS(SRScen,H$6,SRCode,$A49)=0,"",SUMIFS(INDEX(SRVal,0,$C$5),SRScen,H$6,SRCode,$A49))</f>
        <v/>
      </c>
      <c r="I49" s="47">
        <f>IF(COUNTIFS(SRScen,I$6,SRCode,$A49)=0,"",SUMIFS(INDEX(SRVal,0,$C$5),SRScen,I$6,SRCode,$A49))</f>
        <v/>
      </c>
      <c r="J49" s="47">
        <f>IF(COUNTIFS(SRScen,J$6,SRCode,$A49)=0,"",SUMIFS(INDEX(SRVal,0,$C$5),SRScen,J$6,SRCode,$A49))</f>
        <v/>
      </c>
      <c r="K49" s="47">
        <f>IF(COUNTIFS(SRScen,K$6,SRCode,$A49)=0,"",SUMIFS(INDEX(SRVal,0,$C$5),SRScen,K$6,SRCode,$A49))</f>
        <v/>
      </c>
      <c r="L49" s="47">
        <f>IF(COUNTIFS(SRScen,L$6,SRCode,$A49)=0,"",SUMIFS(INDEX(SRVal,0,$C$5),SRScen,L$6,SRCode,$A49))</f>
        <v/>
      </c>
    </row>
    <row r="50">
      <c r="A50" s="22" t="inlineStr">
        <is>
          <t>mit.req</t>
        </is>
      </c>
      <c r="B50" s="14">
        <f>IFERROR(INDEX(SRDesc,MATCH($A50,SRCode,0)),"")</f>
        <v/>
      </c>
      <c r="C50" s="14">
        <f>IFERROR(INDEX(SRUnit,MATCH($A50,SRCode,0)),"")</f>
        <v/>
      </c>
      <c r="D50" s="46">
        <f>IF(COUNTIFS(SRScen,D$6,SRCode,$A50)=0,"",SUMIFS(INDEX(SRVal,0,$C$5),SRScen,D$6,SRCode,$A50))</f>
        <v/>
      </c>
      <c r="E50" s="47">
        <f>IF(COUNTIFS(SRScen,E$6,SRCode,$A50)=0,"",SUMIFS(INDEX(SRVal,0,$C$5),SRScen,E$6,SRCode,$A50))</f>
        <v/>
      </c>
      <c r="F50" s="47">
        <f>IF(COUNTIFS(SRScen,F$6,SRCode,$A50)=0,"",SUMIFS(INDEX(SRVal,0,$C$5),SRScen,F$6,SRCode,$A50))</f>
        <v/>
      </c>
      <c r="G50" s="47">
        <f>IF(COUNTIFS(SRScen,G$6,SRCode,$A50)=0,"",SUMIFS(INDEX(SRVal,0,$C$5),SRScen,G$6,SRCode,$A50))</f>
        <v/>
      </c>
      <c r="H50" s="47">
        <f>IF(COUNTIFS(SRScen,H$6,SRCode,$A50)=0,"",SUMIFS(INDEX(SRVal,0,$C$5),SRScen,H$6,SRCode,$A50))</f>
        <v/>
      </c>
      <c r="I50" s="47">
        <f>IF(COUNTIFS(SRScen,I$6,SRCode,$A50)=0,"",SUMIFS(INDEX(SRVal,0,$C$5),SRScen,I$6,SRCode,$A50))</f>
        <v/>
      </c>
      <c r="J50" s="47">
        <f>IF(COUNTIFS(SRScen,J$6,SRCode,$A50)=0,"",SUMIFS(INDEX(SRVal,0,$C$5),SRScen,J$6,SRCode,$A50))</f>
        <v/>
      </c>
      <c r="K50" s="47">
        <f>IF(COUNTIFS(SRScen,K$6,SRCode,$A50)=0,"",SUMIFS(INDEX(SRVal,0,$C$5),SRScen,K$6,SRCode,$A50))</f>
        <v/>
      </c>
      <c r="L50" s="47">
        <f>IF(COUNTIFS(SRScen,L$6,SRCode,$A50)=0,"",SUMIFS(INDEX(SRVal,0,$C$5),SRScen,L$6,SRCode,$A50))</f>
        <v/>
      </c>
    </row>
    <row r="51">
      <c r="A51" s="22" t="inlineStr">
        <is>
          <t>mit.captot</t>
        </is>
      </c>
      <c r="B51" s="14">
        <f>IFERROR(INDEX(SRDesc,MATCH($A51,SRCode,0)),"")</f>
        <v/>
      </c>
      <c r="C51" s="14">
        <f>IFERROR(INDEX(SRUnit,MATCH($A51,SRCode,0)),"")</f>
        <v/>
      </c>
      <c r="D51" s="46">
        <f>IF(COUNTIFS(SRScen,D$6,SRCode,$A51)=0,"",SUMIFS(INDEX(SRVal,0,$C$5),SRScen,D$6,SRCode,$A51))</f>
        <v/>
      </c>
      <c r="E51" s="47">
        <f>IF(COUNTIFS(SRScen,E$6,SRCode,$A51)=0,"",SUMIFS(INDEX(SRVal,0,$C$5),SRScen,E$6,SRCode,$A51))</f>
        <v/>
      </c>
      <c r="F51" s="47">
        <f>IF(COUNTIFS(SRScen,F$6,SRCode,$A51)=0,"",SUMIFS(INDEX(SRVal,0,$C$5),SRScen,F$6,SRCode,$A51))</f>
        <v/>
      </c>
      <c r="G51" s="47">
        <f>IF(COUNTIFS(SRScen,G$6,SRCode,$A51)=0,"",SUMIFS(INDEX(SRVal,0,$C$5),SRScen,G$6,SRCode,$A51))</f>
        <v/>
      </c>
      <c r="H51" s="47">
        <f>IF(COUNTIFS(SRScen,H$6,SRCode,$A51)=0,"",SUMIFS(INDEX(SRVal,0,$C$5),SRScen,H$6,SRCode,$A51))</f>
        <v/>
      </c>
      <c r="I51" s="47">
        <f>IF(COUNTIFS(SRScen,I$6,SRCode,$A51)=0,"",SUMIFS(INDEX(SRVal,0,$C$5),SRScen,I$6,SRCode,$A51))</f>
        <v/>
      </c>
      <c r="J51" s="47">
        <f>IF(COUNTIFS(SRScen,J$6,SRCode,$A51)=0,"",SUMIFS(INDEX(SRVal,0,$C$5),SRScen,J$6,SRCode,$A51))</f>
        <v/>
      </c>
      <c r="K51" s="47">
        <f>IF(COUNTIFS(SRScen,K$6,SRCode,$A51)=0,"",SUMIFS(INDEX(SRVal,0,$C$5),SRScen,K$6,SRCode,$A51))</f>
        <v/>
      </c>
      <c r="L51" s="47">
        <f>IF(COUNTIFS(SRScen,L$6,SRCode,$A51)=0,"",SUMIFS(INDEX(SRVal,0,$C$5),SRScen,L$6,SRCode,$A51))</f>
        <v/>
      </c>
    </row>
    <row r="52">
      <c r="A52" s="22" t="inlineStr">
        <is>
          <t>mit.cap.pow.wnd</t>
        </is>
      </c>
      <c r="B52" s="14">
        <f>IFERROR(INDEX(SRDesc,MATCH($A52,SRCode,0)),"")</f>
        <v/>
      </c>
      <c r="C52" s="14">
        <f>IFERROR(INDEX(SRUnit,MATCH($A52,SRCode,0)),"")</f>
        <v/>
      </c>
      <c r="D52" s="46">
        <f>IF(COUNTIFS(SRScen,D$6,SRCode,$A52)=0,"",SUMIFS(INDEX(SRVal,0,$C$5),SRScen,D$6,SRCode,$A52))</f>
        <v/>
      </c>
      <c r="E52" s="47">
        <f>IF(COUNTIFS(SRScen,E$6,SRCode,$A52)=0,"",SUMIFS(INDEX(SRVal,0,$C$5),SRScen,E$6,SRCode,$A52))</f>
        <v/>
      </c>
      <c r="F52" s="47">
        <f>IF(COUNTIFS(SRScen,F$6,SRCode,$A52)=0,"",SUMIFS(INDEX(SRVal,0,$C$5),SRScen,F$6,SRCode,$A52))</f>
        <v/>
      </c>
      <c r="G52" s="47">
        <f>IF(COUNTIFS(SRScen,G$6,SRCode,$A52)=0,"",SUMIFS(INDEX(SRVal,0,$C$5),SRScen,G$6,SRCode,$A52))</f>
        <v/>
      </c>
      <c r="H52" s="47">
        <f>IF(COUNTIFS(SRScen,H$6,SRCode,$A52)=0,"",SUMIFS(INDEX(SRVal,0,$C$5),SRScen,H$6,SRCode,$A52))</f>
        <v/>
      </c>
      <c r="I52" s="47">
        <f>IF(COUNTIFS(SRScen,I$6,SRCode,$A52)=0,"",SUMIFS(INDEX(SRVal,0,$C$5),SRScen,I$6,SRCode,$A52))</f>
        <v/>
      </c>
      <c r="J52" s="47">
        <f>IF(COUNTIFS(SRScen,J$6,SRCode,$A52)=0,"",SUMIFS(INDEX(SRVal,0,$C$5),SRScen,J$6,SRCode,$A52))</f>
        <v/>
      </c>
      <c r="K52" s="47">
        <f>IF(COUNTIFS(SRScen,K$6,SRCode,$A52)=0,"",SUMIFS(INDEX(SRVal,0,$C$5),SRScen,K$6,SRCode,$A52))</f>
        <v/>
      </c>
      <c r="L52" s="47">
        <f>IF(COUNTIFS(SRScen,L$6,SRCode,$A52)=0,"",SUMIFS(INDEX(SRVal,0,$C$5),SRScen,L$6,SRCode,$A52))</f>
        <v/>
      </c>
    </row>
    <row r="53">
      <c r="A53" s="22" t="inlineStr">
        <is>
          <t>mit.cap.pow.sol</t>
        </is>
      </c>
      <c r="B53" s="14">
        <f>IFERROR(INDEX(SRDesc,MATCH($A53,SRCode,0)),"")</f>
        <v/>
      </c>
      <c r="C53" s="14">
        <f>IFERROR(INDEX(SRUnit,MATCH($A53,SRCode,0)),"")</f>
        <v/>
      </c>
      <c r="D53" s="46">
        <f>IF(COUNTIFS(SRScen,D$6,SRCode,$A53)=0,"",SUMIFS(INDEX(SRVal,0,$C$5),SRScen,D$6,SRCode,$A53))</f>
        <v/>
      </c>
      <c r="E53" s="47">
        <f>IF(COUNTIFS(SRScen,E$6,SRCode,$A53)=0,"",SUMIFS(INDEX(SRVal,0,$C$5),SRScen,E$6,SRCode,$A53))</f>
        <v/>
      </c>
      <c r="F53" s="47">
        <f>IF(COUNTIFS(SRScen,F$6,SRCode,$A53)=0,"",SUMIFS(INDEX(SRVal,0,$C$5),SRScen,F$6,SRCode,$A53))</f>
        <v/>
      </c>
      <c r="G53" s="47">
        <f>IF(COUNTIFS(SRScen,G$6,SRCode,$A53)=0,"",SUMIFS(INDEX(SRVal,0,$C$5),SRScen,G$6,SRCode,$A53))</f>
        <v/>
      </c>
      <c r="H53" s="47">
        <f>IF(COUNTIFS(SRScen,H$6,SRCode,$A53)=0,"",SUMIFS(INDEX(SRVal,0,$C$5),SRScen,H$6,SRCode,$A53))</f>
        <v/>
      </c>
      <c r="I53" s="47">
        <f>IF(COUNTIFS(SRScen,I$6,SRCode,$A53)=0,"",SUMIFS(INDEX(SRVal,0,$C$5),SRScen,I$6,SRCode,$A53))</f>
        <v/>
      </c>
      <c r="J53" s="47">
        <f>IF(COUNTIFS(SRScen,J$6,SRCode,$A53)=0,"",SUMIFS(INDEX(SRVal,0,$C$5),SRScen,J$6,SRCode,$A53))</f>
        <v/>
      </c>
      <c r="K53" s="47">
        <f>IF(COUNTIFS(SRScen,K$6,SRCode,$A53)=0,"",SUMIFS(INDEX(SRVal,0,$C$5),SRScen,K$6,SRCode,$A53))</f>
        <v/>
      </c>
      <c r="L53" s="47">
        <f>IF(COUNTIFS(SRScen,L$6,SRCode,$A53)=0,"",SUMIFS(INDEX(SRVal,0,$C$5),SRScen,L$6,SRCode,$A53))</f>
        <v/>
      </c>
    </row>
    <row r="54">
      <c r="A54" s="22" t="inlineStr">
        <is>
          <t>mit.nimtot</t>
        </is>
      </c>
      <c r="B54" s="14">
        <f>IFERROR(INDEX(SRDesc,MATCH($A54,SRCode,0)),"")</f>
        <v/>
      </c>
      <c r="C54" s="14">
        <f>IFERROR(INDEX(SRUnit,MATCH($A54,SRCode,0)),"")</f>
        <v/>
      </c>
      <c r="D54" s="46">
        <f>IF(COUNTIFS(SRScen,D$6,SRCode,$A54)=0,"",SUMIFS(INDEX(SRVal,0,$C$5),SRScen,D$6,SRCode,$A54))</f>
        <v/>
      </c>
      <c r="E54" s="47">
        <f>IF(COUNTIFS(SRScen,E$6,SRCode,$A54)=0,"",SUMIFS(INDEX(SRVal,0,$C$5),SRScen,E$6,SRCode,$A54))</f>
        <v/>
      </c>
      <c r="F54" s="47">
        <f>IF(COUNTIFS(SRScen,F$6,SRCode,$A54)=0,"",SUMIFS(INDEX(SRVal,0,$C$5),SRScen,F$6,SRCode,$A54))</f>
        <v/>
      </c>
      <c r="G54" s="47">
        <f>IF(COUNTIFS(SRScen,G$6,SRCode,$A54)=0,"",SUMIFS(INDEX(SRVal,0,$C$5),SRScen,G$6,SRCode,$A54))</f>
        <v/>
      </c>
      <c r="H54" s="47">
        <f>IF(COUNTIFS(SRScen,H$6,SRCode,$A54)=0,"",SUMIFS(INDEX(SRVal,0,$C$5),SRScen,H$6,SRCode,$A54))</f>
        <v/>
      </c>
      <c r="I54" s="47">
        <f>IF(COUNTIFS(SRScen,I$6,SRCode,$A54)=0,"",SUMIFS(INDEX(SRVal,0,$C$5),SRScen,I$6,SRCode,$A54))</f>
        <v/>
      </c>
      <c r="J54" s="47">
        <f>IF(COUNTIFS(SRScen,J$6,SRCode,$A54)=0,"",SUMIFS(INDEX(SRVal,0,$C$5),SRScen,J$6,SRCode,$A54))</f>
        <v/>
      </c>
      <c r="K54" s="47">
        <f>IF(COUNTIFS(SRScen,K$6,SRCode,$A54)=0,"",SUMIFS(INDEX(SRVal,0,$C$5),SRScen,K$6,SRCode,$A54))</f>
        <v/>
      </c>
      <c r="L54" s="47">
        <f>IF(COUNTIFS(SRScen,L$6,SRCode,$A54)=0,"",SUMIFS(INDEX(SRVal,0,$C$5),SRScen,L$6,SRCode,$A54))</f>
        <v/>
      </c>
    </row>
    <row r="55">
      <c r="A55" s="22" t="inlineStr">
        <is>
          <t>mit.shr.pow.coa</t>
        </is>
      </c>
      <c r="B55" s="14">
        <f>IFERROR(INDEX(SRDesc,MATCH($A55,SRCode,0)),"")</f>
        <v/>
      </c>
      <c r="C55" s="14">
        <f>IFERROR(INDEX(SRUnit,MATCH($A55,SRCode,0)),"")</f>
        <v/>
      </c>
      <c r="D55" s="12">
        <f>IF(COUNTIFS(SRScen,D$6,SRCode,$A55)=0,"",SUMIFS(INDEX(SRVal,0,$C$5),SRScen,D$6,SRCode,$A55))</f>
        <v/>
      </c>
      <c r="E55" s="13">
        <f>IF(COUNTIFS(SRScen,E$6,SRCode,$A55)=0,"",SUMIFS(INDEX(SRVal,0,$C$5),SRScen,E$6,SRCode,$A55))</f>
        <v/>
      </c>
      <c r="F55" s="13">
        <f>IF(COUNTIFS(SRScen,F$6,SRCode,$A55)=0,"",SUMIFS(INDEX(SRVal,0,$C$5),SRScen,F$6,SRCode,$A55))</f>
        <v/>
      </c>
      <c r="G55" s="13">
        <f>IF(COUNTIFS(SRScen,G$6,SRCode,$A55)=0,"",SUMIFS(INDEX(SRVal,0,$C$5),SRScen,G$6,SRCode,$A55))</f>
        <v/>
      </c>
      <c r="H55" s="13">
        <f>IF(COUNTIFS(SRScen,H$6,SRCode,$A55)=0,"",SUMIFS(INDEX(SRVal,0,$C$5),SRScen,H$6,SRCode,$A55))</f>
        <v/>
      </c>
      <c r="I55" s="13">
        <f>IF(COUNTIFS(SRScen,I$6,SRCode,$A55)=0,"",SUMIFS(INDEX(SRVal,0,$C$5),SRScen,I$6,SRCode,$A55))</f>
        <v/>
      </c>
      <c r="J55" s="13">
        <f>IF(COUNTIFS(SRScen,J$6,SRCode,$A55)=0,"",SUMIFS(INDEX(SRVal,0,$C$5),SRScen,J$6,SRCode,$A55))</f>
        <v/>
      </c>
      <c r="K55" s="13">
        <f>IF(COUNTIFS(SRScen,K$6,SRCode,$A55)=0,"",SUMIFS(INDEX(SRVal,0,$C$5),SRScen,K$6,SRCode,$A55))</f>
        <v/>
      </c>
      <c r="L55" s="13">
        <f>IF(COUNTIFS(SRScen,L$6,SRCode,$A55)=0,"",SUMIFS(INDEX(SRVal,0,$C$5),SRScen,L$6,SRCode,$A55))</f>
        <v/>
      </c>
    </row>
    <row r="56">
      <c r="A56" s="22" t="inlineStr">
        <is>
          <t>mit.shr.pow.oop</t>
        </is>
      </c>
      <c r="B56" s="14">
        <f>IFERROR(INDEX(SRDesc,MATCH($A56,SRCode,0)),"")</f>
        <v/>
      </c>
      <c r="C56" s="14">
        <f>IFERROR(INDEX(SRUnit,MATCH($A56,SRCode,0)),"")</f>
        <v/>
      </c>
      <c r="D56" s="12">
        <f>IF(COUNTIFS(SRScen,D$6,SRCode,$A56)=0,"",SUMIFS(INDEX(SRVal,0,$C$5),SRScen,D$6,SRCode,$A56))</f>
        <v/>
      </c>
      <c r="E56" s="13">
        <f>IF(COUNTIFS(SRScen,E$6,SRCode,$A56)=0,"",SUMIFS(INDEX(SRVal,0,$C$5),SRScen,E$6,SRCode,$A56))</f>
        <v/>
      </c>
      <c r="F56" s="13">
        <f>IF(COUNTIFS(SRScen,F$6,SRCode,$A56)=0,"",SUMIFS(INDEX(SRVal,0,$C$5),SRScen,F$6,SRCode,$A56))</f>
        <v/>
      </c>
      <c r="G56" s="13">
        <f>IF(COUNTIFS(SRScen,G$6,SRCode,$A56)=0,"",SUMIFS(INDEX(SRVal,0,$C$5),SRScen,G$6,SRCode,$A56))</f>
        <v/>
      </c>
      <c r="H56" s="13">
        <f>IF(COUNTIFS(SRScen,H$6,SRCode,$A56)=0,"",SUMIFS(INDEX(SRVal,0,$C$5),SRScen,H$6,SRCode,$A56))</f>
        <v/>
      </c>
      <c r="I56" s="13">
        <f>IF(COUNTIFS(SRScen,I$6,SRCode,$A56)=0,"",SUMIFS(INDEX(SRVal,0,$C$5),SRScen,I$6,SRCode,$A56))</f>
        <v/>
      </c>
      <c r="J56" s="13">
        <f>IF(COUNTIFS(SRScen,J$6,SRCode,$A56)=0,"",SUMIFS(INDEX(SRVal,0,$C$5),SRScen,J$6,SRCode,$A56))</f>
        <v/>
      </c>
      <c r="K56" s="13">
        <f>IF(COUNTIFS(SRScen,K$6,SRCode,$A56)=0,"",SUMIFS(INDEX(SRVal,0,$C$5),SRScen,K$6,SRCode,$A56))</f>
        <v/>
      </c>
      <c r="L56" s="13">
        <f>IF(COUNTIFS(SRScen,L$6,SRCode,$A56)=0,"",SUMIFS(INDEX(SRVal,0,$C$5),SRScen,L$6,SRCode,$A56))</f>
        <v/>
      </c>
    </row>
    <row r="57">
      <c r="A57" s="22" t="inlineStr">
        <is>
          <t>mit.shr.pow.wnd</t>
        </is>
      </c>
      <c r="B57" s="14">
        <f>IFERROR(INDEX(SRDesc,MATCH($A57,SRCode,0)),"")</f>
        <v/>
      </c>
      <c r="C57" s="14">
        <f>IFERROR(INDEX(SRUnit,MATCH($A57,SRCode,0)),"")</f>
        <v/>
      </c>
      <c r="D57" s="12">
        <f>IF(COUNTIFS(SRScen,D$6,SRCode,$A57)=0,"",SUMIFS(INDEX(SRVal,0,$C$5),SRScen,D$6,SRCode,$A57))</f>
        <v/>
      </c>
      <c r="E57" s="13">
        <f>IF(COUNTIFS(SRScen,E$6,SRCode,$A57)=0,"",SUMIFS(INDEX(SRVal,0,$C$5),SRScen,E$6,SRCode,$A57))</f>
        <v/>
      </c>
      <c r="F57" s="13">
        <f>IF(COUNTIFS(SRScen,F$6,SRCode,$A57)=0,"",SUMIFS(INDEX(SRVal,0,$C$5),SRScen,F$6,SRCode,$A57))</f>
        <v/>
      </c>
      <c r="G57" s="13">
        <f>IF(COUNTIFS(SRScen,G$6,SRCode,$A57)=0,"",SUMIFS(INDEX(SRVal,0,$C$5),SRScen,G$6,SRCode,$A57))</f>
        <v/>
      </c>
      <c r="H57" s="13">
        <f>IF(COUNTIFS(SRScen,H$6,SRCode,$A57)=0,"",SUMIFS(INDEX(SRVal,0,$C$5),SRScen,H$6,SRCode,$A57))</f>
        <v/>
      </c>
      <c r="I57" s="13">
        <f>IF(COUNTIFS(SRScen,I$6,SRCode,$A57)=0,"",SUMIFS(INDEX(SRVal,0,$C$5),SRScen,I$6,SRCode,$A57))</f>
        <v/>
      </c>
      <c r="J57" s="13">
        <f>IF(COUNTIFS(SRScen,J$6,SRCode,$A57)=0,"",SUMIFS(INDEX(SRVal,0,$C$5),SRScen,J$6,SRCode,$A57))</f>
        <v/>
      </c>
      <c r="K57" s="13">
        <f>IF(COUNTIFS(SRScen,K$6,SRCode,$A57)=0,"",SUMIFS(INDEX(SRVal,0,$C$5),SRScen,K$6,SRCode,$A57))</f>
        <v/>
      </c>
      <c r="L57" s="13">
        <f>IF(COUNTIFS(SRScen,L$6,SRCode,$A57)=0,"",SUMIFS(INDEX(SRVal,0,$C$5),SRScen,L$6,SRCode,$A57))</f>
        <v/>
      </c>
    </row>
    <row r="58">
      <c r="A58" s="22" t="inlineStr">
        <is>
          <t>mit.shr.pow.sol</t>
        </is>
      </c>
      <c r="B58" s="14">
        <f>IFERROR(INDEX(SRDesc,MATCH($A58,SRCode,0)),"")</f>
        <v/>
      </c>
      <c r="C58" s="14">
        <f>IFERROR(INDEX(SRUnit,MATCH($A58,SRCode,0)),"")</f>
        <v/>
      </c>
      <c r="D58" s="12">
        <f>IF(COUNTIFS(SRScen,D$6,SRCode,$A58)=0,"",SUMIFS(INDEX(SRVal,0,$C$5),SRScen,D$6,SRCode,$A58))</f>
        <v/>
      </c>
      <c r="E58" s="13">
        <f>IF(COUNTIFS(SRScen,E$6,SRCode,$A58)=0,"",SUMIFS(INDEX(SRVal,0,$C$5),SRScen,E$6,SRCode,$A58))</f>
        <v/>
      </c>
      <c r="F58" s="13">
        <f>IF(COUNTIFS(SRScen,F$6,SRCode,$A58)=0,"",SUMIFS(INDEX(SRVal,0,$C$5),SRScen,F$6,SRCode,$A58))</f>
        <v/>
      </c>
      <c r="G58" s="13">
        <f>IF(COUNTIFS(SRScen,G$6,SRCode,$A58)=0,"",SUMIFS(INDEX(SRVal,0,$C$5),SRScen,G$6,SRCode,$A58))</f>
        <v/>
      </c>
      <c r="H58" s="13">
        <f>IF(COUNTIFS(SRScen,H$6,SRCode,$A58)=0,"",SUMIFS(INDEX(SRVal,0,$C$5),SRScen,H$6,SRCode,$A58))</f>
        <v/>
      </c>
      <c r="I58" s="13">
        <f>IF(COUNTIFS(SRScen,I$6,SRCode,$A58)=0,"",SUMIFS(INDEX(SRVal,0,$C$5),SRScen,I$6,SRCode,$A58))</f>
        <v/>
      </c>
      <c r="J58" s="13">
        <f>IF(COUNTIFS(SRScen,J$6,SRCode,$A58)=0,"",SUMIFS(INDEX(SRVal,0,$C$5),SRScen,J$6,SRCode,$A58))</f>
        <v/>
      </c>
      <c r="K58" s="13">
        <f>IF(COUNTIFS(SRScen,K$6,SRCode,$A58)=0,"",SUMIFS(INDEX(SRVal,0,$C$5),SRScen,K$6,SRCode,$A58))</f>
        <v/>
      </c>
      <c r="L58" s="13">
        <f>IF(COUNTIFS(SRScen,L$6,SRCode,$A58)=0,"",SUMIFS(INDEX(SRVal,0,$C$5),SRScen,L$6,SRCode,$A58))</f>
        <v/>
      </c>
    </row>
    <row r="59">
      <c r="A59" s="22" t="inlineStr">
        <is>
          <t>mit.shr.pow.hyd</t>
        </is>
      </c>
      <c r="B59" s="14">
        <f>IFERROR(INDEX(SRDesc,MATCH($A59,SRCode,0)),"")</f>
        <v/>
      </c>
      <c r="C59" s="14">
        <f>IFERROR(INDEX(SRUnit,MATCH($A59,SRCode,0)),"")</f>
        <v/>
      </c>
      <c r="D59" s="12">
        <f>IF(COUNTIFS(SRScen,D$6,SRCode,$A59)=0,"",SUMIFS(INDEX(SRVal,0,$C$5),SRScen,D$6,SRCode,$A59))</f>
        <v/>
      </c>
      <c r="E59" s="13">
        <f>IF(COUNTIFS(SRScen,E$6,SRCode,$A59)=0,"",SUMIFS(INDEX(SRVal,0,$C$5),SRScen,E$6,SRCode,$A59))</f>
        <v/>
      </c>
      <c r="F59" s="13">
        <f>IF(COUNTIFS(SRScen,F$6,SRCode,$A59)=0,"",SUMIFS(INDEX(SRVal,0,$C$5),SRScen,F$6,SRCode,$A59))</f>
        <v/>
      </c>
      <c r="G59" s="13">
        <f>IF(COUNTIFS(SRScen,G$6,SRCode,$A59)=0,"",SUMIFS(INDEX(SRVal,0,$C$5),SRScen,G$6,SRCode,$A59))</f>
        <v/>
      </c>
      <c r="H59" s="13">
        <f>IF(COUNTIFS(SRScen,H$6,SRCode,$A59)=0,"",SUMIFS(INDEX(SRVal,0,$C$5),SRScen,H$6,SRCode,$A59))</f>
        <v/>
      </c>
      <c r="I59" s="13">
        <f>IF(COUNTIFS(SRScen,I$6,SRCode,$A59)=0,"",SUMIFS(INDEX(SRVal,0,$C$5),SRScen,I$6,SRCode,$A59))</f>
        <v/>
      </c>
      <c r="J59" s="13">
        <f>IF(COUNTIFS(SRScen,J$6,SRCode,$A59)=0,"",SUMIFS(INDEX(SRVal,0,$C$5),SRScen,J$6,SRCode,$A59))</f>
        <v/>
      </c>
      <c r="K59" s="13">
        <f>IF(COUNTIFS(SRScen,K$6,SRCode,$A59)=0,"",SUMIFS(INDEX(SRVal,0,$C$5),SRScen,K$6,SRCode,$A59))</f>
        <v/>
      </c>
      <c r="L59" s="13">
        <f>IF(COUNTIFS(SRScen,L$6,SRCode,$A59)=0,"",SUMIFS(INDEX(SRVal,0,$C$5),SRScen,L$6,SRCode,$A59))</f>
        <v/>
      </c>
    </row>
    <row r="60">
      <c r="A60" s="22" t="inlineStr">
        <is>
          <t>mit.ccpav</t>
        </is>
      </c>
      <c r="B60" s="14">
        <f>IFERROR(INDEX(SRDesc,MATCH($A60,SRCode,0)),"")</f>
        <v/>
      </c>
      <c r="C60" s="14">
        <f>IFERROR(INDEX(SRUnit,MATCH($A60,SRCode,0)),"")</f>
        <v/>
      </c>
      <c r="D60" s="15">
        <f>IF(COUNTIFS(SRScen,D$6,SRCode,$A60)=0,"",SUMIFS(INDEX(SRVal,0,$C$5),SRScen,D$6,SRCode,$A60))</f>
        <v/>
      </c>
      <c r="E60" s="16">
        <f>IF(COUNTIFS(SRScen,E$6,SRCode,$A60)=0,"",SUMIFS(INDEX(SRVal,0,$C$5),SRScen,E$6,SRCode,$A60))</f>
        <v/>
      </c>
      <c r="F60" s="16">
        <f>IF(COUNTIFS(SRScen,F$6,SRCode,$A60)=0,"",SUMIFS(INDEX(SRVal,0,$C$5),SRScen,F$6,SRCode,$A60))</f>
        <v/>
      </c>
      <c r="G60" s="16">
        <f>IF(COUNTIFS(SRScen,G$6,SRCode,$A60)=0,"",SUMIFS(INDEX(SRVal,0,$C$5),SRScen,G$6,SRCode,$A60))</f>
        <v/>
      </c>
      <c r="H60" s="16">
        <f>IF(COUNTIFS(SRScen,H$6,SRCode,$A60)=0,"",SUMIFS(INDEX(SRVal,0,$C$5),SRScen,H$6,SRCode,$A60))</f>
        <v/>
      </c>
      <c r="I60" s="16">
        <f>IF(COUNTIFS(SRScen,I$6,SRCode,$A60)=0,"",SUMIFS(INDEX(SRVal,0,$C$5),SRScen,I$6,SRCode,$A60))</f>
        <v/>
      </c>
      <c r="J60" s="16">
        <f>IF(COUNTIFS(SRScen,J$6,SRCode,$A60)=0,"",SUMIFS(INDEX(SRVal,0,$C$5),SRScen,J$6,SRCode,$A60))</f>
        <v/>
      </c>
      <c r="K60" s="16">
        <f>IF(COUNTIFS(SRScen,K$6,SRCode,$A60)=0,"",SUMIFS(INDEX(SRVal,0,$C$5),SRScen,K$6,SRCode,$A60))</f>
        <v/>
      </c>
      <c r="L60" s="16">
        <f>IF(COUNTIFS(SRScen,L$6,SRCode,$A60)=0,"",SUMIFS(INDEX(SRVal,0,$C$5),SRScen,L$6,SRCode,$A60))</f>
        <v/>
      </c>
    </row>
    <row r="61">
      <c r="A61" s="22" t="inlineStr">
        <is>
          <t>mit.rcarb.res.ecy</t>
        </is>
      </c>
      <c r="B61" s="14">
        <f>IFERROR(INDEX(SRDesc,MATCH($A61,SRCode,0)),"")</f>
        <v/>
      </c>
      <c r="C61" s="14">
        <f>IFERROR(INDEX(SRUnit,MATCH($A61,SRCode,0)),"")</f>
        <v/>
      </c>
      <c r="D61" s="46">
        <f>IF(COUNTIFS(SRScen,D$6,SRCode,$A61)=0,"",SUMIFS(INDEX(SRVal,0,$C$5),SRScen,D$6,SRCode,$A61))</f>
        <v/>
      </c>
      <c r="E61" s="47">
        <f>IF(COUNTIFS(SRScen,E$6,SRCode,$A61)=0,"",SUMIFS(INDEX(SRVal,0,$C$5),SRScen,E$6,SRCode,$A61))</f>
        <v/>
      </c>
      <c r="F61" s="47">
        <f>IF(COUNTIFS(SRScen,F$6,SRCode,$A61)=0,"",SUMIFS(INDEX(SRVal,0,$C$5),SRScen,F$6,SRCode,$A61))</f>
        <v/>
      </c>
      <c r="G61" s="47">
        <f>IF(COUNTIFS(SRScen,G$6,SRCode,$A61)=0,"",SUMIFS(INDEX(SRVal,0,$C$5),SRScen,G$6,SRCode,$A61))</f>
        <v/>
      </c>
      <c r="H61" s="47">
        <f>IF(COUNTIFS(SRScen,H$6,SRCode,$A61)=0,"",SUMIFS(INDEX(SRVal,0,$C$5),SRScen,H$6,SRCode,$A61))</f>
        <v/>
      </c>
      <c r="I61" s="47">
        <f>IF(COUNTIFS(SRScen,I$6,SRCode,$A61)=0,"",SUMIFS(INDEX(SRVal,0,$C$5),SRScen,I$6,SRCode,$A61))</f>
        <v/>
      </c>
      <c r="J61" s="47">
        <f>IF(COUNTIFS(SRScen,J$6,SRCode,$A61)=0,"",SUMIFS(INDEX(SRVal,0,$C$5),SRScen,J$6,SRCode,$A61))</f>
        <v/>
      </c>
      <c r="K61" s="47">
        <f>IF(COUNTIFS(SRScen,K$6,SRCode,$A61)=0,"",SUMIFS(INDEX(SRVal,0,$C$5),SRScen,K$6,SRCode,$A61))</f>
        <v/>
      </c>
      <c r="L61" s="47">
        <f>IF(COUNTIFS(SRScen,L$6,SRCode,$A61)=0,"",SUMIFS(INDEX(SRVal,0,$C$5),SRScen,L$6,SRCode,$A61))</f>
        <v/>
      </c>
    </row>
    <row r="62">
      <c r="A62" s="22" t="inlineStr">
        <is>
          <t>mit.rcarb.ind.ecy</t>
        </is>
      </c>
      <c r="B62" s="14">
        <f>IFERROR(INDEX(SRDesc,MATCH($A62,SRCode,0)),"")</f>
        <v/>
      </c>
      <c r="C62" s="14">
        <f>IFERROR(INDEX(SRUnit,MATCH($A62,SRCode,0)),"")</f>
        <v/>
      </c>
      <c r="D62" s="46">
        <f>IF(COUNTIFS(SRScen,D$6,SRCode,$A62)=0,"",SUMIFS(INDEX(SRVal,0,$C$5),SRScen,D$6,SRCode,$A62))</f>
        <v/>
      </c>
      <c r="E62" s="47">
        <f>IF(COUNTIFS(SRScen,E$6,SRCode,$A62)=0,"",SUMIFS(INDEX(SRVal,0,$C$5),SRScen,E$6,SRCode,$A62))</f>
        <v/>
      </c>
      <c r="F62" s="47">
        <f>IF(COUNTIFS(SRScen,F$6,SRCode,$A62)=0,"",SUMIFS(INDEX(SRVal,0,$C$5),SRScen,F$6,SRCode,$A62))</f>
        <v/>
      </c>
      <c r="G62" s="47">
        <f>IF(COUNTIFS(SRScen,G$6,SRCode,$A62)=0,"",SUMIFS(INDEX(SRVal,0,$C$5),SRScen,G$6,SRCode,$A62))</f>
        <v/>
      </c>
      <c r="H62" s="47">
        <f>IF(COUNTIFS(SRScen,H$6,SRCode,$A62)=0,"",SUMIFS(INDEX(SRVal,0,$C$5),SRScen,H$6,SRCode,$A62))</f>
        <v/>
      </c>
      <c r="I62" s="47">
        <f>IF(COUNTIFS(SRScen,I$6,SRCode,$A62)=0,"",SUMIFS(INDEX(SRVal,0,$C$5),SRScen,I$6,SRCode,$A62))</f>
        <v/>
      </c>
      <c r="J62" s="47">
        <f>IF(COUNTIFS(SRScen,J$6,SRCode,$A62)=0,"",SUMIFS(INDEX(SRVal,0,$C$5),SRScen,J$6,SRCode,$A62))</f>
        <v/>
      </c>
      <c r="K62" s="47">
        <f>IF(COUNTIFS(SRScen,K$6,SRCode,$A62)=0,"",SUMIFS(INDEX(SRVal,0,$C$5),SRScen,K$6,SRCode,$A62))</f>
        <v/>
      </c>
      <c r="L62" s="47">
        <f>IF(COUNTIFS(SRScen,L$6,SRCode,$A62)=0,"",SUMIFS(INDEX(SRVal,0,$C$5),SRScen,L$6,SRCode,$A62))</f>
        <v/>
      </c>
    </row>
    <row r="64">
      <c r="A64" s="4" t="inlineStr">
        <is>
          <t>Difference vs baseline (scenario - baseline)</t>
        </is>
      </c>
      <c r="B64" s="5" t="n"/>
      <c r="C64" s="5" t="n"/>
      <c r="D64" s="5" t="n"/>
      <c r="E64" s="5" t="n"/>
      <c r="F64" s="5" t="n"/>
      <c r="G64" s="5" t="n"/>
      <c r="H64" s="5" t="n"/>
      <c r="I64" s="5" t="n"/>
      <c r="J64" s="5" t="n"/>
      <c r="K64" s="5" t="n"/>
      <c r="L64" s="5" t="n"/>
    </row>
    <row r="65">
      <c r="A65" s="22" t="inlineStr">
        <is>
          <t>mit.ener.all.all.e</t>
        </is>
      </c>
      <c r="B65" s="14">
        <f>IFERROR(INDEX(SRDesc,MATCH($A65,SRCode,0)),"")</f>
        <v/>
      </c>
      <c r="C65" s="14">
        <f>IFERROR(INDEX(SRUnit,MATCH($A65,SRCode,0)),"")</f>
        <v/>
      </c>
      <c r="E65" s="47">
        <f>IF(OR(E9="",$D9=""),"",E9-$D9)</f>
        <v/>
      </c>
      <c r="F65" s="47">
        <f>IF(OR(F9="",$D9=""),"",F9-$D9)</f>
        <v/>
      </c>
      <c r="G65" s="47">
        <f>IF(OR(G9="",$D9=""),"",G9-$D9)</f>
        <v/>
      </c>
      <c r="H65" s="47">
        <f>IF(OR(H9="",$D9=""),"",H9-$D9)</f>
        <v/>
      </c>
      <c r="I65" s="47">
        <f>IF(OR(I9="",$D9=""),"",I9-$D9)</f>
        <v/>
      </c>
      <c r="J65" s="47">
        <f>IF(OR(J9="",$D9=""),"",J9-$D9)</f>
        <v/>
      </c>
      <c r="K65" s="47">
        <f>IF(OR(K9="",$D9=""),"",K9-$D9)</f>
        <v/>
      </c>
      <c r="L65" s="47">
        <f>IF(OR(L9="",$D9=""),"",L9-$D9)</f>
        <v/>
      </c>
    </row>
    <row r="66">
      <c r="A66" s="22" t="inlineStr">
        <is>
          <t>mit.ener.tra.all.e</t>
        </is>
      </c>
      <c r="B66" s="14">
        <f>IFERROR(INDEX(SRDesc,MATCH($A66,SRCode,0)),"")</f>
        <v/>
      </c>
      <c r="C66" s="14">
        <f>IFERROR(INDEX(SRUnit,MATCH($A66,SRCode,0)),"")</f>
        <v/>
      </c>
      <c r="E66" s="47">
        <f>IF(OR(E10="",$D10=""),"",E10-$D10)</f>
        <v/>
      </c>
      <c r="F66" s="47">
        <f>IF(OR(F10="",$D10=""),"",F10-$D10)</f>
        <v/>
      </c>
      <c r="G66" s="47">
        <f>IF(OR(G10="",$D10=""),"",G10-$D10)</f>
        <v/>
      </c>
      <c r="H66" s="47">
        <f>IF(OR(H10="",$D10=""),"",H10-$D10)</f>
        <v/>
      </c>
      <c r="I66" s="47">
        <f>IF(OR(I10="",$D10=""),"",I10-$D10)</f>
        <v/>
      </c>
      <c r="J66" s="47">
        <f>IF(OR(J10="",$D10=""),"",J10-$D10)</f>
        <v/>
      </c>
      <c r="K66" s="47">
        <f>IF(OR(K10="",$D10=""),"",K10-$D10)</f>
        <v/>
      </c>
      <c r="L66" s="47">
        <f>IF(OR(L10="",$D10=""),"",L10-$D10)</f>
        <v/>
      </c>
    </row>
    <row r="67">
      <c r="A67" s="22" t="inlineStr">
        <is>
          <t>mit.ener.bld.all.e</t>
        </is>
      </c>
      <c r="B67" s="14">
        <f>IFERROR(INDEX(SRDesc,MATCH($A67,SRCode,0)),"")</f>
        <v/>
      </c>
      <c r="C67" s="14">
        <f>IFERROR(INDEX(SRUnit,MATCH($A67,SRCode,0)),"")</f>
        <v/>
      </c>
      <c r="E67" s="47">
        <f>IF(OR(E11="",$D11=""),"",E11-$D11)</f>
        <v/>
      </c>
      <c r="F67" s="47">
        <f>IF(OR(F11="",$D11=""),"",F11-$D11)</f>
        <v/>
      </c>
      <c r="G67" s="47">
        <f>IF(OR(G11="",$D11=""),"",G11-$D11)</f>
        <v/>
      </c>
      <c r="H67" s="47">
        <f>IF(OR(H11="",$D11=""),"",H11-$D11)</f>
        <v/>
      </c>
      <c r="I67" s="47">
        <f>IF(OR(I11="",$D11=""),"",I11-$D11)</f>
        <v/>
      </c>
      <c r="J67" s="47">
        <f>IF(OR(J11="",$D11=""),"",J11-$D11)</f>
        <v/>
      </c>
      <c r="K67" s="47">
        <f>IF(OR(K11="",$D11=""),"",K11-$D11)</f>
        <v/>
      </c>
      <c r="L67" s="47">
        <f>IF(OR(L11="",$D11=""),"",L11-$D11)</f>
        <v/>
      </c>
    </row>
    <row r="68">
      <c r="A68" s="22" t="inlineStr">
        <is>
          <t>mit.ener.ind.all.e</t>
        </is>
      </c>
      <c r="B68" s="14">
        <f>IFERROR(INDEX(SRDesc,MATCH($A68,SRCode,0)),"")</f>
        <v/>
      </c>
      <c r="C68" s="14">
        <f>IFERROR(INDEX(SRUnit,MATCH($A68,SRCode,0)),"")</f>
        <v/>
      </c>
      <c r="E68" s="47">
        <f>IF(OR(E12="",$D12=""),"",E12-$D12)</f>
        <v/>
      </c>
      <c r="F68" s="47">
        <f>IF(OR(F12="",$D12=""),"",F12-$D12)</f>
        <v/>
      </c>
      <c r="G68" s="47">
        <f>IF(OR(G12="",$D12=""),"",G12-$D12)</f>
        <v/>
      </c>
      <c r="H68" s="47">
        <f>IF(OR(H12="",$D12=""),"",H12-$D12)</f>
        <v/>
      </c>
      <c r="I68" s="47">
        <f>IF(OR(I12="",$D12=""),"",I12-$D12)</f>
        <v/>
      </c>
      <c r="J68" s="47">
        <f>IF(OR(J12="",$D12=""),"",J12-$D12)</f>
        <v/>
      </c>
      <c r="K68" s="47">
        <f>IF(OR(K12="",$D12=""),"",K12-$D12)</f>
        <v/>
      </c>
      <c r="L68" s="47">
        <f>IF(OR(L12="",$D12=""),"",L12-$D12)</f>
        <v/>
      </c>
    </row>
    <row r="69">
      <c r="A69" s="22" t="inlineStr">
        <is>
          <t>mit.ener.oen.all.e</t>
        </is>
      </c>
      <c r="B69" s="14">
        <f>IFERROR(INDEX(SRDesc,MATCH($A69,SRCode,0)),"")</f>
        <v/>
      </c>
      <c r="C69" s="14">
        <f>IFERROR(INDEX(SRUnit,MATCH($A69,SRCode,0)),"")</f>
        <v/>
      </c>
      <c r="E69" s="47">
        <f>IF(OR(E13="",$D13=""),"",E13-$D13)</f>
        <v/>
      </c>
      <c r="F69" s="47">
        <f>IF(OR(F13="",$D13=""),"",F13-$D13)</f>
        <v/>
      </c>
      <c r="G69" s="47">
        <f>IF(OR(G13="",$D13=""),"",G13-$D13)</f>
        <v/>
      </c>
      <c r="H69" s="47">
        <f>IF(OR(H13="",$D13=""),"",H13-$D13)</f>
        <v/>
      </c>
      <c r="I69" s="47">
        <f>IF(OR(I13="",$D13=""),"",I13-$D13)</f>
        <v/>
      </c>
      <c r="J69" s="47">
        <f>IF(OR(J13="",$D13=""),"",J13-$D13)</f>
        <v/>
      </c>
      <c r="K69" s="47">
        <f>IF(OR(K13="",$D13=""),"",K13-$D13)</f>
        <v/>
      </c>
      <c r="L69" s="47">
        <f>IF(OR(L13="",$D13=""),"",L13-$D13)</f>
        <v/>
      </c>
    </row>
    <row r="70">
      <c r="A70" s="22" t="inlineStr">
        <is>
          <t>mit.co2.all.all.e</t>
        </is>
      </c>
      <c r="B70" s="14">
        <f>IFERROR(INDEX(SRDesc,MATCH($A70,SRCode,0)),"")</f>
        <v/>
      </c>
      <c r="C70" s="14">
        <f>IFERROR(INDEX(SRUnit,MATCH($A70,SRCode,0)),"")</f>
        <v/>
      </c>
      <c r="E70" s="44">
        <f>IF(OR(E14="",$D14=""),"",E14-$D14)</f>
        <v/>
      </c>
      <c r="F70" s="44">
        <f>IF(OR(F14="",$D14=""),"",F14-$D14)</f>
        <v/>
      </c>
      <c r="G70" s="44">
        <f>IF(OR(G14="",$D14=""),"",G14-$D14)</f>
        <v/>
      </c>
      <c r="H70" s="44">
        <f>IF(OR(H14="",$D14=""),"",H14-$D14)</f>
        <v/>
      </c>
      <c r="I70" s="44">
        <f>IF(OR(I14="",$D14=""),"",I14-$D14)</f>
        <v/>
      </c>
      <c r="J70" s="44">
        <f>IF(OR(J14="",$D14=""),"",J14-$D14)</f>
        <v/>
      </c>
      <c r="K70" s="44">
        <f>IF(OR(K14="",$D14=""),"",K14-$D14)</f>
        <v/>
      </c>
      <c r="L70" s="44">
        <f>IF(OR(L14="",$D14=""),"",L14-$D14)</f>
        <v/>
      </c>
    </row>
    <row r="71">
      <c r="A71" s="22" t="inlineStr">
        <is>
          <t>mit.co2.tra.all.e</t>
        </is>
      </c>
      <c r="B71" s="14">
        <f>IFERROR(INDEX(SRDesc,MATCH($A71,SRCode,0)),"")</f>
        <v/>
      </c>
      <c r="C71" s="14">
        <f>IFERROR(INDEX(SRUnit,MATCH($A71,SRCode,0)),"")</f>
        <v/>
      </c>
      <c r="E71" s="44">
        <f>IF(OR(E15="",$D15=""),"",E15-$D15)</f>
        <v/>
      </c>
      <c r="F71" s="44">
        <f>IF(OR(F15="",$D15=""),"",F15-$D15)</f>
        <v/>
      </c>
      <c r="G71" s="44">
        <f>IF(OR(G15="",$D15=""),"",G15-$D15)</f>
        <v/>
      </c>
      <c r="H71" s="44">
        <f>IF(OR(H15="",$D15=""),"",H15-$D15)</f>
        <v/>
      </c>
      <c r="I71" s="44">
        <f>IF(OR(I15="",$D15=""),"",I15-$D15)</f>
        <v/>
      </c>
      <c r="J71" s="44">
        <f>IF(OR(J15="",$D15=""),"",J15-$D15)</f>
        <v/>
      </c>
      <c r="K71" s="44">
        <f>IF(OR(K15="",$D15=""),"",K15-$D15)</f>
        <v/>
      </c>
      <c r="L71" s="44">
        <f>IF(OR(L15="",$D15=""),"",L15-$D15)</f>
        <v/>
      </c>
    </row>
    <row r="72">
      <c r="A72" s="22" t="inlineStr">
        <is>
          <t>mit.co2.bld.all.e</t>
        </is>
      </c>
      <c r="B72" s="14">
        <f>IFERROR(INDEX(SRDesc,MATCH($A72,SRCode,0)),"")</f>
        <v/>
      </c>
      <c r="C72" s="14">
        <f>IFERROR(INDEX(SRUnit,MATCH($A72,SRCode,0)),"")</f>
        <v/>
      </c>
      <c r="E72" s="44">
        <f>IF(OR(E16="",$D16=""),"",E16-$D16)</f>
        <v/>
      </c>
      <c r="F72" s="44">
        <f>IF(OR(F16="",$D16=""),"",F16-$D16)</f>
        <v/>
      </c>
      <c r="G72" s="44">
        <f>IF(OR(G16="",$D16=""),"",G16-$D16)</f>
        <v/>
      </c>
      <c r="H72" s="44">
        <f>IF(OR(H16="",$D16=""),"",H16-$D16)</f>
        <v/>
      </c>
      <c r="I72" s="44">
        <f>IF(OR(I16="",$D16=""),"",I16-$D16)</f>
        <v/>
      </c>
      <c r="J72" s="44">
        <f>IF(OR(J16="",$D16=""),"",J16-$D16)</f>
        <v/>
      </c>
      <c r="K72" s="44">
        <f>IF(OR(K16="",$D16=""),"",K16-$D16)</f>
        <v/>
      </c>
      <c r="L72" s="44">
        <f>IF(OR(L16="",$D16=""),"",L16-$D16)</f>
        <v/>
      </c>
    </row>
    <row r="73">
      <c r="A73" s="22" t="inlineStr">
        <is>
          <t>mit.co2.ind.all.e</t>
        </is>
      </c>
      <c r="B73" s="14">
        <f>IFERROR(INDEX(SRDesc,MATCH($A73,SRCode,0)),"")</f>
        <v/>
      </c>
      <c r="C73" s="14">
        <f>IFERROR(INDEX(SRUnit,MATCH($A73,SRCode,0)),"")</f>
        <v/>
      </c>
      <c r="E73" s="44">
        <f>IF(OR(E17="",$D17=""),"",E17-$D17)</f>
        <v/>
      </c>
      <c r="F73" s="44">
        <f>IF(OR(F17="",$D17=""),"",F17-$D17)</f>
        <v/>
      </c>
      <c r="G73" s="44">
        <f>IF(OR(G17="",$D17=""),"",G17-$D17)</f>
        <v/>
      </c>
      <c r="H73" s="44">
        <f>IF(OR(H17="",$D17=""),"",H17-$D17)</f>
        <v/>
      </c>
      <c r="I73" s="44">
        <f>IF(OR(I17="",$D17=""),"",I17-$D17)</f>
        <v/>
      </c>
      <c r="J73" s="44">
        <f>IF(OR(J17="",$D17=""),"",J17-$D17)</f>
        <v/>
      </c>
      <c r="K73" s="44">
        <f>IF(OR(K17="",$D17=""),"",K17-$D17)</f>
        <v/>
      </c>
      <c r="L73" s="44">
        <f>IF(OR(L17="",$D17=""),"",L17-$D17)</f>
        <v/>
      </c>
    </row>
    <row r="74">
      <c r="A74" s="22" t="inlineStr">
        <is>
          <t>mit.rtx.all.all</t>
        </is>
      </c>
      <c r="B74" s="14">
        <f>IFERROR(INDEX(SRDesc,MATCH($A74,SRCode,0)),"")</f>
        <v/>
      </c>
      <c r="C74" s="14">
        <f>IFERROR(INDEX(SRUnit,MATCH($A74,SRCode,0)),"")</f>
        <v/>
      </c>
      <c r="E74" s="47">
        <f>IF(OR(E18="",$D18=""),"",E18-$D18)</f>
        <v/>
      </c>
      <c r="F74" s="47">
        <f>IF(OR(F18="",$D18=""),"",F18-$D18)</f>
        <v/>
      </c>
      <c r="G74" s="47">
        <f>IF(OR(G18="",$D18=""),"",G18-$D18)</f>
        <v/>
      </c>
      <c r="H74" s="47">
        <f>IF(OR(H18="",$D18=""),"",H18-$D18)</f>
        <v/>
      </c>
      <c r="I74" s="47">
        <f>IF(OR(I18="",$D18=""),"",I18-$D18)</f>
        <v/>
      </c>
      <c r="J74" s="47">
        <f>IF(OR(J18="",$D18=""),"",J18-$D18)</f>
        <v/>
      </c>
      <c r="K74" s="47">
        <f>IF(OR(K18="",$D18=""),"",K18-$D18)</f>
        <v/>
      </c>
      <c r="L74" s="47">
        <f>IF(OR(L18="",$D18=""),"",L18-$D18)</f>
        <v/>
      </c>
    </row>
    <row r="75">
      <c r="A75" s="22" t="inlineStr">
        <is>
          <t>mit.rsub.all.all</t>
        </is>
      </c>
      <c r="B75" s="14">
        <f>IFERROR(INDEX(SRDesc,MATCH($A75,SRCode,0)),"")</f>
        <v/>
      </c>
      <c r="C75" s="14">
        <f>IFERROR(INDEX(SRUnit,MATCH($A75,SRCode,0)),"")</f>
        <v/>
      </c>
      <c r="E75" s="47">
        <f>IF(OR(E19="",$D19=""),"",E19-$D19)</f>
        <v/>
      </c>
      <c r="F75" s="47">
        <f>IF(OR(F19="",$D19=""),"",F19-$D19)</f>
        <v/>
      </c>
      <c r="G75" s="47">
        <f>IF(OR(G19="",$D19=""),"",G19-$D19)</f>
        <v/>
      </c>
      <c r="H75" s="47">
        <f>IF(OR(H19="",$D19=""),"",H19-$D19)</f>
        <v/>
      </c>
      <c r="I75" s="47">
        <f>IF(OR(I19="",$D19=""),"",I19-$D19)</f>
        <v/>
      </c>
      <c r="J75" s="47">
        <f>IF(OR(J19="",$D19=""),"",J19-$D19)</f>
        <v/>
      </c>
      <c r="K75" s="47">
        <f>IF(OR(K19="",$D19=""),"",K19-$D19)</f>
        <v/>
      </c>
      <c r="L75" s="47">
        <f>IF(OR(L19="",$D19=""),"",L19-$D19)</f>
        <v/>
      </c>
    </row>
    <row r="76">
      <c r="A76" s="22" t="inlineStr">
        <is>
          <t>mit.rnew.all.all</t>
        </is>
      </c>
      <c r="B76" s="14">
        <f>IFERROR(INDEX(SRDesc,MATCH($A76,SRCode,0)),"")</f>
        <v/>
      </c>
      <c r="C76" s="14">
        <f>IFERROR(INDEX(SRUnit,MATCH($A76,SRCode,0)),"")</f>
        <v/>
      </c>
      <c r="E76" s="47">
        <f>IF(OR(E20="",$D20=""),"",E20-$D20)</f>
        <v/>
      </c>
      <c r="F76" s="47">
        <f>IF(OR(F20="",$D20=""),"",F20-$D20)</f>
        <v/>
      </c>
      <c r="G76" s="47">
        <f>IF(OR(G20="",$D20=""),"",G20-$D20)</f>
        <v/>
      </c>
      <c r="H76" s="47">
        <f>IF(OR(H20="",$D20=""),"",H20-$D20)</f>
        <v/>
      </c>
      <c r="I76" s="47">
        <f>IF(OR(I20="",$D20=""),"",I20-$D20)</f>
        <v/>
      </c>
      <c r="J76" s="47">
        <f>IF(OR(J20="",$D20=""),"",J20-$D20)</f>
        <v/>
      </c>
      <c r="K76" s="47">
        <f>IF(OR(K20="",$D20=""),"",K20-$D20)</f>
        <v/>
      </c>
      <c r="L76" s="47">
        <f>IF(OR(L20="",$D20=""),"",L20-$D20)</f>
        <v/>
      </c>
    </row>
    <row r="77">
      <c r="A77" s="22" t="inlineStr">
        <is>
          <t>mit.rtot.all.all</t>
        </is>
      </c>
      <c r="B77" s="14">
        <f>IFERROR(INDEX(SRDesc,MATCH($A77,SRCode,0)),"")</f>
        <v/>
      </c>
      <c r="C77" s="14">
        <f>IFERROR(INDEX(SRUnit,MATCH($A77,SRCode,0)),"")</f>
        <v/>
      </c>
      <c r="E77" s="47">
        <f>IF(OR(E21="",$D21=""),"",E21-$D21)</f>
        <v/>
      </c>
      <c r="F77" s="47">
        <f>IF(OR(F21="",$D21=""),"",F21-$D21)</f>
        <v/>
      </c>
      <c r="G77" s="47">
        <f>IF(OR(G21="",$D21=""),"",G21-$D21)</f>
        <v/>
      </c>
      <c r="H77" s="47">
        <f>IF(OR(H21="",$D21=""),"",H21-$D21)</f>
        <v/>
      </c>
      <c r="I77" s="47">
        <f>IF(OR(I21="",$D21=""),"",I21-$D21)</f>
        <v/>
      </c>
      <c r="J77" s="47">
        <f>IF(OR(J21="",$D21=""),"",J21-$D21)</f>
        <v/>
      </c>
      <c r="K77" s="47">
        <f>IF(OR(K21="",$D21=""),"",K21-$D21)</f>
        <v/>
      </c>
      <c r="L77" s="47">
        <f>IF(OR(L21="",$D21=""),"",L21-$D21)</f>
        <v/>
      </c>
    </row>
    <row r="78">
      <c r="A78" s="22" t="inlineStr">
        <is>
          <t>mit.ener.pow.all.e</t>
        </is>
      </c>
      <c r="B78" s="14">
        <f>IFERROR(INDEX(SRDesc,MATCH($A78,SRCode,0)),"")</f>
        <v/>
      </c>
      <c r="C78" s="14">
        <f>IFERROR(INDEX(SRUnit,MATCH($A78,SRCode,0)),"")</f>
        <v/>
      </c>
      <c r="E78" s="47">
        <f>IF(OR(E22="",$D22=""),"",E22-$D22)</f>
        <v/>
      </c>
      <c r="F78" s="47">
        <f>IF(OR(F22="",$D22=""),"",F22-$D22)</f>
        <v/>
      </c>
      <c r="G78" s="47">
        <f>IF(OR(G22="",$D22=""),"",G22-$D22)</f>
        <v/>
      </c>
      <c r="H78" s="47">
        <f>IF(OR(H22="",$D22=""),"",H22-$D22)</f>
        <v/>
      </c>
      <c r="I78" s="47">
        <f>IF(OR(I22="",$D22=""),"",I22-$D22)</f>
        <v/>
      </c>
      <c r="J78" s="47">
        <f>IF(OR(J22="",$D22=""),"",J22-$D22)</f>
        <v/>
      </c>
      <c r="K78" s="47">
        <f>IF(OR(K22="",$D22=""),"",K22-$D22)</f>
        <v/>
      </c>
      <c r="L78" s="47">
        <f>IF(OR(L22="",$D22=""),"",L22-$D22)</f>
        <v/>
      </c>
    </row>
    <row r="79">
      <c r="A79" s="22" t="inlineStr">
        <is>
          <t>mit.rtx.pow.all</t>
        </is>
      </c>
      <c r="B79" s="14">
        <f>IFERROR(INDEX(SRDesc,MATCH($A79,SRCode,0)),"")</f>
        <v/>
      </c>
      <c r="C79" s="14">
        <f>IFERROR(INDEX(SRUnit,MATCH($A79,SRCode,0)),"")</f>
        <v/>
      </c>
      <c r="E79" s="47">
        <f>IF(OR(E23="",$D23=""),"",E23-$D23)</f>
        <v/>
      </c>
      <c r="F79" s="47">
        <f>IF(OR(F23="",$D23=""),"",F23-$D23)</f>
        <v/>
      </c>
      <c r="G79" s="47">
        <f>IF(OR(G23="",$D23=""),"",G23-$D23)</f>
        <v/>
      </c>
      <c r="H79" s="47">
        <f>IF(OR(H23="",$D23=""),"",H23-$D23)</f>
        <v/>
      </c>
      <c r="I79" s="47">
        <f>IF(OR(I23="",$D23=""),"",I23-$D23)</f>
        <v/>
      </c>
      <c r="J79" s="47">
        <f>IF(OR(J23="",$D23=""),"",J23-$D23)</f>
        <v/>
      </c>
      <c r="K79" s="47">
        <f>IF(OR(K23="",$D23=""),"",K23-$D23)</f>
        <v/>
      </c>
      <c r="L79" s="47">
        <f>IF(OR(L23="",$D23=""),"",L23-$D23)</f>
        <v/>
      </c>
    </row>
    <row r="80">
      <c r="A80" s="22" t="inlineStr">
        <is>
          <t>mit.rsub.pow.all</t>
        </is>
      </c>
      <c r="B80" s="14">
        <f>IFERROR(INDEX(SRDesc,MATCH($A80,SRCode,0)),"")</f>
        <v/>
      </c>
      <c r="C80" s="14">
        <f>IFERROR(INDEX(SRUnit,MATCH($A80,SRCode,0)),"")</f>
        <v/>
      </c>
      <c r="E80" s="47">
        <f>IF(OR(E24="",$D24=""),"",E24-$D24)</f>
        <v/>
      </c>
      <c r="F80" s="47">
        <f>IF(OR(F24="",$D24=""),"",F24-$D24)</f>
        <v/>
      </c>
      <c r="G80" s="47">
        <f>IF(OR(G24="",$D24=""),"",G24-$D24)</f>
        <v/>
      </c>
      <c r="H80" s="47">
        <f>IF(OR(H24="",$D24=""),"",H24-$D24)</f>
        <v/>
      </c>
      <c r="I80" s="47">
        <f>IF(OR(I24="",$D24=""),"",I24-$D24)</f>
        <v/>
      </c>
      <c r="J80" s="47">
        <f>IF(OR(J24="",$D24=""),"",J24-$D24)</f>
        <v/>
      </c>
      <c r="K80" s="47">
        <f>IF(OR(K24="",$D24=""),"",K24-$D24)</f>
        <v/>
      </c>
      <c r="L80" s="47">
        <f>IF(OR(L24="",$D24=""),"",L24-$D24)</f>
        <v/>
      </c>
    </row>
    <row r="81">
      <c r="A81" s="22" t="inlineStr">
        <is>
          <t>mit.rnew.pow.all</t>
        </is>
      </c>
      <c r="B81" s="14">
        <f>IFERROR(INDEX(SRDesc,MATCH($A81,SRCode,0)),"")</f>
        <v/>
      </c>
      <c r="C81" s="14">
        <f>IFERROR(INDEX(SRUnit,MATCH($A81,SRCode,0)),"")</f>
        <v/>
      </c>
      <c r="E81" s="47">
        <f>IF(OR(E25="",$D25=""),"",E25-$D25)</f>
        <v/>
      </c>
      <c r="F81" s="47">
        <f>IF(OR(F25="",$D25=""),"",F25-$D25)</f>
        <v/>
      </c>
      <c r="G81" s="47">
        <f>IF(OR(G25="",$D25=""),"",G25-$D25)</f>
        <v/>
      </c>
      <c r="H81" s="47">
        <f>IF(OR(H25="",$D25=""),"",H25-$D25)</f>
        <v/>
      </c>
      <c r="I81" s="47">
        <f>IF(OR(I25="",$D25=""),"",I25-$D25)</f>
        <v/>
      </c>
      <c r="J81" s="47">
        <f>IF(OR(J25="",$D25=""),"",J25-$D25)</f>
        <v/>
      </c>
      <c r="K81" s="47">
        <f>IF(OR(K25="",$D25=""),"",K25-$D25)</f>
        <v/>
      </c>
      <c r="L81" s="47">
        <f>IF(OR(L25="",$D25=""),"",L25-$D25)</f>
        <v/>
      </c>
    </row>
    <row r="82">
      <c r="A82" s="22" t="inlineStr">
        <is>
          <t>mit.rxcp.all.all</t>
        </is>
      </c>
      <c r="B82" s="14">
        <f>IFERROR(INDEX(SRDesc,MATCH($A82,SRCode,0)),"")</f>
        <v/>
      </c>
      <c r="C82" s="14">
        <f>IFERROR(INDEX(SRUnit,MATCH($A82,SRCode,0)),"")</f>
        <v/>
      </c>
      <c r="E82" s="47">
        <f>IF(OR(E26="",$D26=""),"",E26-$D26)</f>
        <v/>
      </c>
      <c r="F82" s="47">
        <f>IF(OR(F26="",$D26=""),"",F26-$D26)</f>
        <v/>
      </c>
      <c r="G82" s="47">
        <f>IF(OR(G26="",$D26=""),"",G26-$D26)</f>
        <v/>
      </c>
      <c r="H82" s="47">
        <f>IF(OR(H26="",$D26=""),"",H26-$D26)</f>
        <v/>
      </c>
      <c r="I82" s="47">
        <f>IF(OR(I26="",$D26=""),"",I26-$D26)</f>
        <v/>
      </c>
      <c r="J82" s="47">
        <f>IF(OR(J26="",$D26=""),"",J26-$D26)</f>
        <v/>
      </c>
      <c r="K82" s="47">
        <f>IF(OR(K26="",$D26=""),"",K26-$D26)</f>
        <v/>
      </c>
      <c r="L82" s="47">
        <f>IF(OR(L26="",$D26=""),"",L26-$D26)</f>
        <v/>
      </c>
    </row>
    <row r="83">
      <c r="A83" s="22" t="inlineStr">
        <is>
          <t>mit.xct.p</t>
        </is>
      </c>
      <c r="B83" s="14">
        <f>IFERROR(INDEX(SRDesc,MATCH($A83,SRCode,0)),"")</f>
        <v/>
      </c>
      <c r="C83" s="14">
        <f>IFERROR(INDEX(SRUnit,MATCH($A83,SRCode,0)),"")</f>
        <v/>
      </c>
      <c r="E83" s="24">
        <f>IF(OR(E27="",$D27=""),"",E27-$D27)</f>
        <v/>
      </c>
      <c r="F83" s="24">
        <f>IF(OR(F27="",$D27=""),"",F27-$D27)</f>
        <v/>
      </c>
      <c r="G83" s="24">
        <f>IF(OR(G27="",$D27=""),"",G27-$D27)</f>
        <v/>
      </c>
      <c r="H83" s="24">
        <f>IF(OR(H27="",$D27=""),"",H27-$D27)</f>
        <v/>
      </c>
      <c r="I83" s="24">
        <f>IF(OR(I27="",$D27=""),"",I27-$D27)</f>
        <v/>
      </c>
      <c r="J83" s="24">
        <f>IF(OR(J27="",$D27=""),"",J27-$D27)</f>
        <v/>
      </c>
      <c r="K83" s="24">
        <f>IF(OR(K27="",$D27=""),"",K27-$D27)</f>
        <v/>
      </c>
      <c r="L83" s="24">
        <f>IF(OR(L27="",$D27=""),"",L27-$D27)</f>
        <v/>
      </c>
    </row>
    <row r="84">
      <c r="A84" s="22" t="inlineStr">
        <is>
          <t>mit.xets.p</t>
        </is>
      </c>
      <c r="B84" s="14">
        <f>IFERROR(INDEX(SRDesc,MATCH($A84,SRCode,0)),"")</f>
        <v/>
      </c>
      <c r="C84" s="14">
        <f>IFERROR(INDEX(SRUnit,MATCH($A84,SRCode,0)),"")</f>
        <v/>
      </c>
      <c r="E84" s="24">
        <f>IF(OR(E28="",$D28=""),"",E28-$D28)</f>
        <v/>
      </c>
      <c r="F84" s="24">
        <f>IF(OR(F28="",$D28=""),"",F28-$D28)</f>
        <v/>
      </c>
      <c r="G84" s="24">
        <f>IF(OR(G28="",$D28=""),"",G28-$D28)</f>
        <v/>
      </c>
      <c r="H84" s="24">
        <f>IF(OR(H28="",$D28=""),"",H28-$D28)</f>
        <v/>
      </c>
      <c r="I84" s="24">
        <f>IF(OR(I28="",$D28=""),"",I28-$D28)</f>
        <v/>
      </c>
      <c r="J84" s="24">
        <f>IF(OR(J28="",$D28=""),"",J28-$D28)</f>
        <v/>
      </c>
      <c r="K84" s="24">
        <f>IF(OR(K28="",$D28=""),"",K28-$D28)</f>
        <v/>
      </c>
      <c r="L84" s="24">
        <f>IF(OR(L28="",$D28=""),"",L28-$D28)</f>
        <v/>
      </c>
    </row>
    <row r="85">
      <c r="A85" s="22" t="inlineStr">
        <is>
          <t>mit.cptraj</t>
        </is>
      </c>
      <c r="B85" s="14">
        <f>IFERROR(INDEX(SRDesc,MATCH($A85,SRCode,0)),"")</f>
        <v/>
      </c>
      <c r="C85" s="14">
        <f>IFERROR(INDEX(SRUnit,MATCH($A85,SRCode,0)),"")</f>
        <v/>
      </c>
      <c r="E85" s="24">
        <f>IF(OR(E29="",$D29=""),"",E29-$D29)</f>
        <v/>
      </c>
      <c r="F85" s="24">
        <f>IF(OR(F29="",$D29=""),"",F29-$D29)</f>
        <v/>
      </c>
      <c r="G85" s="24">
        <f>IF(OR(G29="",$D29=""),"",G29-$D29)</f>
        <v/>
      </c>
      <c r="H85" s="24">
        <f>IF(OR(H29="",$D29=""),"",H29-$D29)</f>
        <v/>
      </c>
      <c r="I85" s="24">
        <f>IF(OR(I29="",$D29=""),"",I29-$D29)</f>
        <v/>
      </c>
      <c r="J85" s="24">
        <f>IF(OR(J29="",$D29=""),"",J29-$D29)</f>
        <v/>
      </c>
      <c r="K85" s="24">
        <f>IF(OR(K29="",$D29=""),"",K29-$D29)</f>
        <v/>
      </c>
      <c r="L85" s="24">
        <f>IF(OR(L29="",$D29=""),"",L29-$D29)</f>
        <v/>
      </c>
    </row>
    <row r="86">
      <c r="A86" s="22" t="inlineStr">
        <is>
          <t>mit.ets.p</t>
        </is>
      </c>
      <c r="B86" s="14">
        <f>IFERROR(INDEX(SRDesc,MATCH($A86,SRCode,0)),"")</f>
        <v/>
      </c>
      <c r="C86" s="14">
        <f>IFERROR(INDEX(SRUnit,MATCH($A86,SRCode,0)),"")</f>
        <v/>
      </c>
      <c r="E86" s="24">
        <f>IF(OR(E30="",$D30=""),"",E30-$D30)</f>
        <v/>
      </c>
      <c r="F86" s="24">
        <f>IF(OR(F30="",$D30=""),"",F30-$D30)</f>
        <v/>
      </c>
      <c r="G86" s="24">
        <f>IF(OR(G30="",$D30=""),"",G30-$D30)</f>
        <v/>
      </c>
      <c r="H86" s="24">
        <f>IF(OR(H30="",$D30=""),"",H30-$D30)</f>
        <v/>
      </c>
      <c r="I86" s="24">
        <f>IF(OR(I30="",$D30=""),"",I30-$D30)</f>
        <v/>
      </c>
      <c r="J86" s="24">
        <f>IF(OR(J30="",$D30=""),"",J30-$D30)</f>
        <v/>
      </c>
      <c r="K86" s="24">
        <f>IF(OR(K30="",$D30=""),"",K30-$D30)</f>
        <v/>
      </c>
      <c r="L86" s="24">
        <f>IF(OR(L30="",$D30=""),"",L30-$D30)</f>
        <v/>
      </c>
    </row>
    <row r="87">
      <c r="A87" s="22" t="inlineStr">
        <is>
          <t>mit.co2.ets.all.all</t>
        </is>
      </c>
      <c r="B87" s="14">
        <f>IFERROR(INDEX(SRDesc,MATCH($A87,SRCode,0)),"")</f>
        <v/>
      </c>
      <c r="C87" s="14">
        <f>IFERROR(INDEX(SRUnit,MATCH($A87,SRCode,0)),"")</f>
        <v/>
      </c>
      <c r="E87" s="44">
        <f>IF(OR(E31="",$D31=""),"",E31-$D31)</f>
        <v/>
      </c>
      <c r="F87" s="44">
        <f>IF(OR(F31="",$D31=""),"",F31-$D31)</f>
        <v/>
      </c>
      <c r="G87" s="44">
        <f>IF(OR(G31="",$D31=""),"",G31-$D31)</f>
        <v/>
      </c>
      <c r="H87" s="44">
        <f>IF(OR(H31="",$D31=""),"",H31-$D31)</f>
        <v/>
      </c>
      <c r="I87" s="44">
        <f>IF(OR(I31="",$D31=""),"",I31-$D31)</f>
        <v/>
      </c>
      <c r="J87" s="44">
        <f>IF(OR(J31="",$D31=""),"",J31-$D31)</f>
        <v/>
      </c>
      <c r="K87" s="44">
        <f>IF(OR(K31="",$D31=""),"",K31-$D31)</f>
        <v/>
      </c>
      <c r="L87" s="44">
        <f>IF(OR(L31="",$D31=""),"",L31-$D31)</f>
        <v/>
      </c>
    </row>
    <row r="88">
      <c r="A88" s="22" t="inlineStr">
        <is>
          <t>mit.co2.cap.all.all</t>
        </is>
      </c>
      <c r="B88" s="14">
        <f>IFERROR(INDEX(SRDesc,MATCH($A88,SRCode,0)),"")</f>
        <v/>
      </c>
      <c r="C88" s="14">
        <f>IFERROR(INDEX(SRUnit,MATCH($A88,SRCode,0)),"")</f>
        <v/>
      </c>
      <c r="E88" s="44">
        <f>IF(OR(E32="",$D32=""),"",E32-$D32)</f>
        <v/>
      </c>
      <c r="F88" s="44">
        <f>IF(OR(F32="",$D32=""),"",F32-$D32)</f>
        <v/>
      </c>
      <c r="G88" s="44">
        <f>IF(OR(G32="",$D32=""),"",G32-$D32)</f>
        <v/>
      </c>
      <c r="H88" s="44">
        <f>IF(OR(H32="",$D32=""),"",H32-$D32)</f>
        <v/>
      </c>
      <c r="I88" s="44">
        <f>IF(OR(I32="",$D32=""),"",I32-$D32)</f>
        <v/>
      </c>
      <c r="J88" s="44">
        <f>IF(OR(J32="",$D32=""),"",J32-$D32)</f>
        <v/>
      </c>
      <c r="K88" s="44">
        <f>IF(OR(K32="",$D32=""),"",K32-$D32)</f>
        <v/>
      </c>
      <c r="L88" s="44">
        <f>IF(OR(L32="",$D32=""),"",L32-$D32)</f>
        <v/>
      </c>
    </row>
    <row r="89">
      <c r="A89" s="22" t="inlineStr">
        <is>
          <t>mit.rpb.all.gso.a</t>
        </is>
      </c>
      <c r="B89" s="14">
        <f>IFERROR(INDEX(SRDesc,MATCH($A89,SRCode,0)),"")</f>
        <v/>
      </c>
      <c r="C89" s="14">
        <f>IFERROR(INDEX(SRUnit,MATCH($A89,SRCode,0)),"")</f>
        <v/>
      </c>
      <c r="E89" s="24">
        <f>IF(OR(E33="",$D33=""),"",E33-$D33)</f>
        <v/>
      </c>
      <c r="F89" s="24">
        <f>IF(OR(F33="",$D33=""),"",F33-$D33)</f>
        <v/>
      </c>
      <c r="G89" s="24">
        <f>IF(OR(G33="",$D33=""),"",G33-$D33)</f>
        <v/>
      </c>
      <c r="H89" s="24">
        <f>IF(OR(H33="",$D33=""),"",H33-$D33)</f>
        <v/>
      </c>
      <c r="I89" s="24">
        <f>IF(OR(I33="",$D33=""),"",I33-$D33)</f>
        <v/>
      </c>
      <c r="J89" s="24">
        <f>IF(OR(J33="",$D33=""),"",J33-$D33)</f>
        <v/>
      </c>
      <c r="K89" s="24">
        <f>IF(OR(K33="",$D33=""),"",K33-$D33)</f>
        <v/>
      </c>
      <c r="L89" s="24">
        <f>IF(OR(L33="",$D33=""),"",L33-$D33)</f>
        <v/>
      </c>
    </row>
    <row r="90">
      <c r="A90" s="22" t="inlineStr">
        <is>
          <t>mit.rpb.all.die.a</t>
        </is>
      </c>
      <c r="B90" s="14">
        <f>IFERROR(INDEX(SRDesc,MATCH($A90,SRCode,0)),"")</f>
        <v/>
      </c>
      <c r="C90" s="14">
        <f>IFERROR(INDEX(SRUnit,MATCH($A90,SRCode,0)),"")</f>
        <v/>
      </c>
      <c r="E90" s="24">
        <f>IF(OR(E34="",$D34=""),"",E34-$D34)</f>
        <v/>
      </c>
      <c r="F90" s="24">
        <f>IF(OR(F34="",$D34=""),"",F34-$D34)</f>
        <v/>
      </c>
      <c r="G90" s="24">
        <f>IF(OR(G34="",$D34=""),"",G34-$D34)</f>
        <v/>
      </c>
      <c r="H90" s="24">
        <f>IF(OR(H34="",$D34=""),"",H34-$D34)</f>
        <v/>
      </c>
      <c r="I90" s="24">
        <f>IF(OR(I34="",$D34=""),"",I34-$D34)</f>
        <v/>
      </c>
      <c r="J90" s="24">
        <f>IF(OR(J34="",$D34=""),"",J34-$D34)</f>
        <v/>
      </c>
      <c r="K90" s="24">
        <f>IF(OR(K34="",$D34=""),"",K34-$D34)</f>
        <v/>
      </c>
      <c r="L90" s="24">
        <f>IF(OR(L34="",$D34=""),"",L34-$D34)</f>
        <v/>
      </c>
    </row>
    <row r="91">
      <c r="A91" s="22" t="inlineStr">
        <is>
          <t>mit.rpb.res.nga.a</t>
        </is>
      </c>
      <c r="B91" s="14">
        <f>IFERROR(INDEX(SRDesc,MATCH($A91,SRCode,0)),"")</f>
        <v/>
      </c>
      <c r="C91" s="14">
        <f>IFERROR(INDEX(SRUnit,MATCH($A91,SRCode,0)),"")</f>
        <v/>
      </c>
      <c r="E91" s="24">
        <f>IF(OR(E35="",$D35=""),"",E35-$D35)</f>
        <v/>
      </c>
      <c r="F91" s="24">
        <f>IF(OR(F35="",$D35=""),"",F35-$D35)</f>
        <v/>
      </c>
      <c r="G91" s="24">
        <f>IF(OR(G35="",$D35=""),"",G35-$D35)</f>
        <v/>
      </c>
      <c r="H91" s="24">
        <f>IF(OR(H35="",$D35=""),"",H35-$D35)</f>
        <v/>
      </c>
      <c r="I91" s="24">
        <f>IF(OR(I35="",$D35=""),"",I35-$D35)</f>
        <v/>
      </c>
      <c r="J91" s="24">
        <f>IF(OR(J35="",$D35=""),"",J35-$D35)</f>
        <v/>
      </c>
      <c r="K91" s="24">
        <f>IF(OR(K35="",$D35=""),"",K35-$D35)</f>
        <v/>
      </c>
      <c r="L91" s="24">
        <f>IF(OR(L35="",$D35=""),"",L35-$D35)</f>
        <v/>
      </c>
    </row>
    <row r="92">
      <c r="A92" s="22" t="inlineStr">
        <is>
          <t>mit.atp.rod.gso.e</t>
        </is>
      </c>
      <c r="B92" s="14">
        <f>IFERROR(INDEX(SRDesc,MATCH($A92,SRCode,0)),"")</f>
        <v/>
      </c>
      <c r="C92" s="14">
        <f>IFERROR(INDEX(SRUnit,MATCH($A92,SRCode,0)),"")</f>
        <v/>
      </c>
      <c r="E92" s="24">
        <f>IF(OR(E36="",$D36=""),"",E36-$D36)</f>
        <v/>
      </c>
      <c r="F92" s="24">
        <f>IF(OR(F36="",$D36=""),"",F36-$D36)</f>
        <v/>
      </c>
      <c r="G92" s="24">
        <f>IF(OR(G36="",$D36=""),"",G36-$D36)</f>
        <v/>
      </c>
      <c r="H92" s="24">
        <f>IF(OR(H36="",$D36=""),"",H36-$D36)</f>
        <v/>
      </c>
      <c r="I92" s="24">
        <f>IF(OR(I36="",$D36=""),"",I36-$D36)</f>
        <v/>
      </c>
      <c r="J92" s="24">
        <f>IF(OR(J36="",$D36=""),"",J36-$D36)</f>
        <v/>
      </c>
      <c r="K92" s="24">
        <f>IF(OR(K36="",$D36=""),"",K36-$D36)</f>
        <v/>
      </c>
      <c r="L92" s="24">
        <f>IF(OR(L36="",$D36=""),"",L36-$D36)</f>
        <v/>
      </c>
    </row>
    <row r="93">
      <c r="A93" s="22" t="inlineStr">
        <is>
          <t>mit.rp.res.ecy</t>
        </is>
      </c>
      <c r="B93" s="14">
        <f>IFERROR(INDEX(SRDesc,MATCH($A93,SRCode,0)),"")</f>
        <v/>
      </c>
      <c r="C93" s="14">
        <f>IFERROR(INDEX(SRUnit,MATCH($A93,SRCode,0)),"")</f>
        <v/>
      </c>
      <c r="E93" s="16">
        <f>IF(OR(E37="",$D37=""),"",E37-$D37)</f>
        <v/>
      </c>
      <c r="F93" s="16">
        <f>IF(OR(F37="",$D37=""),"",F37-$D37)</f>
        <v/>
      </c>
      <c r="G93" s="16">
        <f>IF(OR(G37="",$D37=""),"",G37-$D37)</f>
        <v/>
      </c>
      <c r="H93" s="16">
        <f>IF(OR(H37="",$D37=""),"",H37-$D37)</f>
        <v/>
      </c>
      <c r="I93" s="16">
        <f>IF(OR(I37="",$D37=""),"",I37-$D37)</f>
        <v/>
      </c>
      <c r="J93" s="16">
        <f>IF(OR(J37="",$D37=""),"",J37-$D37)</f>
        <v/>
      </c>
      <c r="K93" s="16">
        <f>IF(OR(K37="",$D37=""),"",K37-$D37)</f>
        <v/>
      </c>
      <c r="L93" s="16">
        <f>IF(OR(L37="",$D37=""),"",L37-$D37)</f>
        <v/>
      </c>
    </row>
    <row r="94">
      <c r="A94" s="22" t="inlineStr">
        <is>
          <t>mit.rp.ind.ecy</t>
        </is>
      </c>
      <c r="B94" s="14">
        <f>IFERROR(INDEX(SRDesc,MATCH($A94,SRCode,0)),"")</f>
        <v/>
      </c>
      <c r="C94" s="14">
        <f>IFERROR(INDEX(SRUnit,MATCH($A94,SRCode,0)),"")</f>
        <v/>
      </c>
      <c r="E94" s="16">
        <f>IF(OR(E38="",$D38=""),"",E38-$D38)</f>
        <v/>
      </c>
      <c r="F94" s="16">
        <f>IF(OR(F38="",$D38=""),"",F38-$D38)</f>
        <v/>
      </c>
      <c r="G94" s="16">
        <f>IF(OR(G38="",$D38=""),"",G38-$D38)</f>
        <v/>
      </c>
      <c r="H94" s="16">
        <f>IF(OR(H38="",$D38=""),"",H38-$D38)</f>
        <v/>
      </c>
      <c r="I94" s="16">
        <f>IF(OR(I38="",$D38=""),"",I38-$D38)</f>
        <v/>
      </c>
      <c r="J94" s="16">
        <f>IF(OR(J38="",$D38=""),"",J38-$D38)</f>
        <v/>
      </c>
      <c r="K94" s="16">
        <f>IF(OR(K38="",$D38=""),"",K38-$D38)</f>
        <v/>
      </c>
      <c r="L94" s="16">
        <f>IF(OR(L38="",$D38=""),"",L38-$D38)</f>
        <v/>
      </c>
    </row>
    <row r="95">
      <c r="A95" s="22" t="inlineStr">
        <is>
          <t>mit.gncav</t>
        </is>
      </c>
      <c r="B95" s="14">
        <f>IFERROR(INDEX(SRDesc,MATCH($A95,SRCode,0)),"")</f>
        <v/>
      </c>
      <c r="C95" s="14">
        <f>IFERROR(INDEX(SRUnit,MATCH($A95,SRCode,0)),"")</f>
        <v/>
      </c>
      <c r="E95" s="16">
        <f>IF(OR(E39="",$D39=""),"",E39-$D39)</f>
        <v/>
      </c>
      <c r="F95" s="16">
        <f>IF(OR(F39="",$D39=""),"",F39-$D39)</f>
        <v/>
      </c>
      <c r="G95" s="16">
        <f>IF(OR(G39="",$D39=""),"",G39-$D39)</f>
        <v/>
      </c>
      <c r="H95" s="16">
        <f>IF(OR(H39="",$D39=""),"",H39-$D39)</f>
        <v/>
      </c>
      <c r="I95" s="16">
        <f>IF(OR(I39="",$D39=""),"",I39-$D39)</f>
        <v/>
      </c>
      <c r="J95" s="16">
        <f>IF(OR(J39="",$D39=""),"",J39-$D39)</f>
        <v/>
      </c>
      <c r="K95" s="16">
        <f>IF(OR(K39="",$D39=""),"",K39-$D39)</f>
        <v/>
      </c>
      <c r="L95" s="16">
        <f>IF(OR(L39="",$D39=""),"",L39-$D39)</f>
        <v/>
      </c>
    </row>
    <row r="96">
      <c r="A96" s="22" t="inlineStr">
        <is>
          <t>mit.co2.pow.all.e</t>
        </is>
      </c>
      <c r="B96" s="14">
        <f>IFERROR(INDEX(SRDesc,MATCH($A96,SRCode,0)),"")</f>
        <v/>
      </c>
      <c r="C96" s="14">
        <f>IFERROR(INDEX(SRUnit,MATCH($A96,SRCode,0)),"")</f>
        <v/>
      </c>
      <c r="E96" s="44">
        <f>IF(OR(E40="",$D40=""),"",E40-$D40)</f>
        <v/>
      </c>
      <c r="F96" s="44">
        <f>IF(OR(F40="",$D40=""),"",F40-$D40)</f>
        <v/>
      </c>
      <c r="G96" s="44">
        <f>IF(OR(G40="",$D40=""),"",G40-$D40)</f>
        <v/>
      </c>
      <c r="H96" s="44">
        <f>IF(OR(H40="",$D40=""),"",H40-$D40)</f>
        <v/>
      </c>
      <c r="I96" s="44">
        <f>IF(OR(I40="",$D40=""),"",I40-$D40)</f>
        <v/>
      </c>
      <c r="J96" s="44">
        <f>IF(OR(J40="",$D40=""),"",J40-$D40)</f>
        <v/>
      </c>
      <c r="K96" s="44">
        <f>IF(OR(K40="",$D40=""),"",K40-$D40)</f>
        <v/>
      </c>
      <c r="L96" s="44">
        <f>IF(OR(L40="",$D40=""),"",L40-$D40)</f>
        <v/>
      </c>
    </row>
    <row r="97">
      <c r="A97" s="22" t="inlineStr">
        <is>
          <t>mit.gtot</t>
        </is>
      </c>
      <c r="B97" s="14">
        <f>IFERROR(INDEX(SRDesc,MATCH($A97,SRCode,0)),"")</f>
        <v/>
      </c>
      <c r="C97" s="14">
        <f>IFERROR(INDEX(SRUnit,MATCH($A97,SRCode,0)),"")</f>
        <v/>
      </c>
      <c r="E97" s="47">
        <f>IF(OR(E41="",$D41=""),"",E41-$D41)</f>
        <v/>
      </c>
      <c r="F97" s="47">
        <f>IF(OR(F41="",$D41=""),"",F41-$D41)</f>
        <v/>
      </c>
      <c r="G97" s="47">
        <f>IF(OR(G41="",$D41=""),"",G41-$D41)</f>
        <v/>
      </c>
      <c r="H97" s="47">
        <f>IF(OR(H41="",$D41=""),"",H41-$D41)</f>
        <v/>
      </c>
      <c r="I97" s="47">
        <f>IF(OR(I41="",$D41=""),"",I41-$D41)</f>
        <v/>
      </c>
      <c r="J97" s="47">
        <f>IF(OR(J41="",$D41=""),"",J41-$D41)</f>
        <v/>
      </c>
      <c r="K97" s="47">
        <f>IF(OR(K41="",$D41=""),"",K41-$D41)</f>
        <v/>
      </c>
      <c r="L97" s="47">
        <f>IF(OR(L41="",$D41=""),"",L41-$D41)</f>
        <v/>
      </c>
    </row>
    <row r="98">
      <c r="A98" s="22" t="inlineStr">
        <is>
          <t>mit.vre</t>
        </is>
      </c>
      <c r="B98" s="14">
        <f>IFERROR(INDEX(SRDesc,MATCH($A98,SRCode,0)),"")</f>
        <v/>
      </c>
      <c r="C98" s="14">
        <f>IFERROR(INDEX(SRUnit,MATCH($A98,SRCode,0)),"")</f>
        <v/>
      </c>
      <c r="E98" s="13">
        <f>IF(OR(E42="",$D42=""),"",E42-$D42)</f>
        <v/>
      </c>
      <c r="F98" s="13">
        <f>IF(OR(F42="",$D42=""),"",F42-$D42)</f>
        <v/>
      </c>
      <c r="G98" s="13">
        <f>IF(OR(G42="",$D42=""),"",G42-$D42)</f>
        <v/>
      </c>
      <c r="H98" s="13">
        <f>IF(OR(H42="",$D42=""),"",H42-$D42)</f>
        <v/>
      </c>
      <c r="I98" s="13">
        <f>IF(OR(I42="",$D42=""),"",I42-$D42)</f>
        <v/>
      </c>
      <c r="J98" s="13">
        <f>IF(OR(J42="",$D42=""),"",J42-$D42)</f>
        <v/>
      </c>
      <c r="K98" s="13">
        <f>IF(OR(K42="",$D42=""),"",K42-$D42)</f>
        <v/>
      </c>
      <c r="L98" s="13">
        <f>IF(OR(L42="",$D42=""),"",L42-$D42)</f>
        <v/>
      </c>
    </row>
    <row r="99">
      <c r="A99" s="22" t="inlineStr">
        <is>
          <t>mit.shr.pow.nga</t>
        </is>
      </c>
      <c r="B99" s="14">
        <f>IFERROR(INDEX(SRDesc,MATCH($A99,SRCode,0)),"")</f>
        <v/>
      </c>
      <c r="C99" s="14">
        <f>IFERROR(INDEX(SRUnit,MATCH($A99,SRCode,0)),"")</f>
        <v/>
      </c>
      <c r="E99" s="13">
        <f>IF(OR(E43="",$D43=""),"",E43-$D43)</f>
        <v/>
      </c>
      <c r="F99" s="13">
        <f>IF(OR(F43="",$D43=""),"",F43-$D43)</f>
        <v/>
      </c>
      <c r="G99" s="13">
        <f>IF(OR(G43="",$D43=""),"",G43-$D43)</f>
        <v/>
      </c>
      <c r="H99" s="13">
        <f>IF(OR(H43="",$D43=""),"",H43-$D43)</f>
        <v/>
      </c>
      <c r="I99" s="13">
        <f>IF(OR(I43="",$D43=""),"",I43-$D43)</f>
        <v/>
      </c>
      <c r="J99" s="13">
        <f>IF(OR(J43="",$D43=""),"",J43-$D43)</f>
        <v/>
      </c>
      <c r="K99" s="13">
        <f>IF(OR(K43="",$D43=""),"",K43-$D43)</f>
        <v/>
      </c>
      <c r="L99" s="13">
        <f>IF(OR(L43="",$D43=""),"",L43-$D43)</f>
        <v/>
      </c>
    </row>
    <row r="100">
      <c r="A100" s="22" t="inlineStr">
        <is>
          <t>mit.usdtot</t>
        </is>
      </c>
      <c r="B100" s="14">
        <f>IFERROR(INDEX(SRDesc,MATCH($A100,SRCode,0)),"")</f>
        <v/>
      </c>
      <c r="C100" s="14">
        <f>IFERROR(INDEX(SRUnit,MATCH($A100,SRCode,0)),"")</f>
        <v/>
      </c>
      <c r="E100" s="47">
        <f>IF(OR(E44="",$D44=""),"",E44-$D44)</f>
        <v/>
      </c>
      <c r="F100" s="47">
        <f>IF(OR(F44="",$D44=""),"",F44-$D44)</f>
        <v/>
      </c>
      <c r="G100" s="47">
        <f>IF(OR(G44="",$D44=""),"",G44-$D44)</f>
        <v/>
      </c>
      <c r="H100" s="47">
        <f>IF(OR(H44="",$D44=""),"",H44-$D44)</f>
        <v/>
      </c>
      <c r="I100" s="47">
        <f>IF(OR(I44="",$D44=""),"",I44-$D44)</f>
        <v/>
      </c>
      <c r="J100" s="47">
        <f>IF(OR(J44="",$D44=""),"",J44-$D44)</f>
        <v/>
      </c>
      <c r="K100" s="47">
        <f>IF(OR(K44="",$D44=""),"",K44-$D44)</f>
        <v/>
      </c>
      <c r="L100" s="47">
        <f>IF(OR(L44="",$D44=""),"",L44-$D44)</f>
        <v/>
      </c>
    </row>
    <row r="101">
      <c r="A101" s="22" t="inlineStr">
        <is>
          <t>mit.demtot</t>
        </is>
      </c>
      <c r="B101" s="14">
        <f>IFERROR(INDEX(SRDesc,MATCH($A101,SRCode,0)),"")</f>
        <v/>
      </c>
      <c r="C101" s="14">
        <f>IFERROR(INDEX(SRUnit,MATCH($A101,SRCode,0)),"")</f>
        <v/>
      </c>
      <c r="E101" s="47">
        <f>IF(OR(E45="",$D45=""),"",E45-$D45)</f>
        <v/>
      </c>
      <c r="F101" s="47">
        <f>IF(OR(F45="",$D45=""),"",F45-$D45)</f>
        <v/>
      </c>
      <c r="G101" s="47">
        <f>IF(OR(G45="",$D45=""),"",G45-$D45)</f>
        <v/>
      </c>
      <c r="H101" s="47">
        <f>IF(OR(H45="",$D45=""),"",H45-$D45)</f>
        <v/>
      </c>
      <c r="I101" s="47">
        <f>IF(OR(I45="",$D45=""),"",I45-$D45)</f>
        <v/>
      </c>
      <c r="J101" s="47">
        <f>IF(OR(J45="",$D45=""),"",J45-$D45)</f>
        <v/>
      </c>
      <c r="K101" s="47">
        <f>IF(OR(K45="",$D45=""),"",K45-$D45)</f>
        <v/>
      </c>
      <c r="L101" s="47">
        <f>IF(OR(L45="",$D45=""),"",L45-$D45)</f>
        <v/>
      </c>
    </row>
    <row r="102">
      <c r="A102" s="22" t="inlineStr">
        <is>
          <t>mit.eldem.tra.ecy.e</t>
        </is>
      </c>
      <c r="B102" s="14">
        <f>IFERROR(INDEX(SRDesc,MATCH($A102,SRCode,0)),"")</f>
        <v/>
      </c>
      <c r="C102" s="14">
        <f>IFERROR(INDEX(SRUnit,MATCH($A102,SRCode,0)),"")</f>
        <v/>
      </c>
      <c r="E102" s="47">
        <f>IF(OR(E46="",$D46=""),"",E46-$D46)</f>
        <v/>
      </c>
      <c r="F102" s="47">
        <f>IF(OR(F46="",$D46=""),"",F46-$D46)</f>
        <v/>
      </c>
      <c r="G102" s="47">
        <f>IF(OR(G46="",$D46=""),"",G46-$D46)</f>
        <v/>
      </c>
      <c r="H102" s="47">
        <f>IF(OR(H46="",$D46=""),"",H46-$D46)</f>
        <v/>
      </c>
      <c r="I102" s="47">
        <f>IF(OR(I46="",$D46=""),"",I46-$D46)</f>
        <v/>
      </c>
      <c r="J102" s="47">
        <f>IF(OR(J46="",$D46=""),"",J46-$D46)</f>
        <v/>
      </c>
      <c r="K102" s="47">
        <f>IF(OR(K46="",$D46=""),"",K46-$D46)</f>
        <v/>
      </c>
      <c r="L102" s="47">
        <f>IF(OR(L46="",$D46=""),"",L46-$D46)</f>
        <v/>
      </c>
    </row>
    <row r="103">
      <c r="A103" s="22" t="inlineStr">
        <is>
          <t>mit.eldem.bld.ecy.e</t>
        </is>
      </c>
      <c r="B103" s="14">
        <f>IFERROR(INDEX(SRDesc,MATCH($A103,SRCode,0)),"")</f>
        <v/>
      </c>
      <c r="C103" s="14">
        <f>IFERROR(INDEX(SRUnit,MATCH($A103,SRCode,0)),"")</f>
        <v/>
      </c>
      <c r="E103" s="47">
        <f>IF(OR(E47="",$D47=""),"",E47-$D47)</f>
        <v/>
      </c>
      <c r="F103" s="47">
        <f>IF(OR(F47="",$D47=""),"",F47-$D47)</f>
        <v/>
      </c>
      <c r="G103" s="47">
        <f>IF(OR(G47="",$D47=""),"",G47-$D47)</f>
        <v/>
      </c>
      <c r="H103" s="47">
        <f>IF(OR(H47="",$D47=""),"",H47-$D47)</f>
        <v/>
      </c>
      <c r="I103" s="47">
        <f>IF(OR(I47="",$D47=""),"",I47-$D47)</f>
        <v/>
      </c>
      <c r="J103" s="47">
        <f>IF(OR(J47="",$D47=""),"",J47-$D47)</f>
        <v/>
      </c>
      <c r="K103" s="47">
        <f>IF(OR(K47="",$D47=""),"",K47-$D47)</f>
        <v/>
      </c>
      <c r="L103" s="47">
        <f>IF(OR(L47="",$D47=""),"",L47-$D47)</f>
        <v/>
      </c>
    </row>
    <row r="104">
      <c r="A104" s="22" t="inlineStr">
        <is>
          <t>mit.eldem.ind.ecy.e</t>
        </is>
      </c>
      <c r="B104" s="14">
        <f>IFERROR(INDEX(SRDesc,MATCH($A104,SRCode,0)),"")</f>
        <v/>
      </c>
      <c r="C104" s="14">
        <f>IFERROR(INDEX(SRUnit,MATCH($A104,SRCode,0)),"")</f>
        <v/>
      </c>
      <c r="E104" s="47">
        <f>IF(OR(E48="",$D48=""),"",E48-$D48)</f>
        <v/>
      </c>
      <c r="F104" s="47">
        <f>IF(OR(F48="",$D48=""),"",F48-$D48)</f>
        <v/>
      </c>
      <c r="G104" s="47">
        <f>IF(OR(G48="",$D48=""),"",G48-$D48)</f>
        <v/>
      </c>
      <c r="H104" s="47">
        <f>IF(OR(H48="",$D48=""),"",H48-$D48)</f>
        <v/>
      </c>
      <c r="I104" s="47">
        <f>IF(OR(I48="",$D48=""),"",I48-$D48)</f>
        <v/>
      </c>
      <c r="J104" s="47">
        <f>IF(OR(J48="",$D48=""),"",J48-$D48)</f>
        <v/>
      </c>
      <c r="K104" s="47">
        <f>IF(OR(K48="",$D48=""),"",K48-$D48)</f>
        <v/>
      </c>
      <c r="L104" s="47">
        <f>IF(OR(L48="",$D48=""),"",L48-$D48)</f>
        <v/>
      </c>
    </row>
    <row r="105">
      <c r="A105" s="22" t="inlineStr">
        <is>
          <t>mit.eldem.oen.ecy.e</t>
        </is>
      </c>
      <c r="B105" s="14">
        <f>IFERROR(INDEX(SRDesc,MATCH($A105,SRCode,0)),"")</f>
        <v/>
      </c>
      <c r="C105" s="14">
        <f>IFERROR(INDEX(SRUnit,MATCH($A105,SRCode,0)),"")</f>
        <v/>
      </c>
      <c r="E105" s="47">
        <f>IF(OR(E49="",$D49=""),"",E49-$D49)</f>
        <v/>
      </c>
      <c r="F105" s="47">
        <f>IF(OR(F49="",$D49=""),"",F49-$D49)</f>
        <v/>
      </c>
      <c r="G105" s="47">
        <f>IF(OR(G49="",$D49=""),"",G49-$D49)</f>
        <v/>
      </c>
      <c r="H105" s="47">
        <f>IF(OR(H49="",$D49=""),"",H49-$D49)</f>
        <v/>
      </c>
      <c r="I105" s="47">
        <f>IF(OR(I49="",$D49=""),"",I49-$D49)</f>
        <v/>
      </c>
      <c r="J105" s="47">
        <f>IF(OR(J49="",$D49=""),"",J49-$D49)</f>
        <v/>
      </c>
      <c r="K105" s="47">
        <f>IF(OR(K49="",$D49=""),"",K49-$D49)</f>
        <v/>
      </c>
      <c r="L105" s="47">
        <f>IF(OR(L49="",$D49=""),"",L49-$D49)</f>
        <v/>
      </c>
    </row>
    <row r="106">
      <c r="A106" s="22" t="inlineStr">
        <is>
          <t>mit.req</t>
        </is>
      </c>
      <c r="B106" s="14">
        <f>IFERROR(INDEX(SRDesc,MATCH($A106,SRCode,0)),"")</f>
        <v/>
      </c>
      <c r="C106" s="14">
        <f>IFERROR(INDEX(SRUnit,MATCH($A106,SRCode,0)),"")</f>
        <v/>
      </c>
      <c r="E106" s="47">
        <f>IF(OR(E50="",$D50=""),"",E50-$D50)</f>
        <v/>
      </c>
      <c r="F106" s="47">
        <f>IF(OR(F50="",$D50=""),"",F50-$D50)</f>
        <v/>
      </c>
      <c r="G106" s="47">
        <f>IF(OR(G50="",$D50=""),"",G50-$D50)</f>
        <v/>
      </c>
      <c r="H106" s="47">
        <f>IF(OR(H50="",$D50=""),"",H50-$D50)</f>
        <v/>
      </c>
      <c r="I106" s="47">
        <f>IF(OR(I50="",$D50=""),"",I50-$D50)</f>
        <v/>
      </c>
      <c r="J106" s="47">
        <f>IF(OR(J50="",$D50=""),"",J50-$D50)</f>
        <v/>
      </c>
      <c r="K106" s="47">
        <f>IF(OR(K50="",$D50=""),"",K50-$D50)</f>
        <v/>
      </c>
      <c r="L106" s="47">
        <f>IF(OR(L50="",$D50=""),"",L50-$D50)</f>
        <v/>
      </c>
    </row>
    <row r="107">
      <c r="A107" s="22" t="inlineStr">
        <is>
          <t>mit.captot</t>
        </is>
      </c>
      <c r="B107" s="14">
        <f>IFERROR(INDEX(SRDesc,MATCH($A107,SRCode,0)),"")</f>
        <v/>
      </c>
      <c r="C107" s="14">
        <f>IFERROR(INDEX(SRUnit,MATCH($A107,SRCode,0)),"")</f>
        <v/>
      </c>
      <c r="E107" s="47">
        <f>IF(OR(E51="",$D51=""),"",E51-$D51)</f>
        <v/>
      </c>
      <c r="F107" s="47">
        <f>IF(OR(F51="",$D51=""),"",F51-$D51)</f>
        <v/>
      </c>
      <c r="G107" s="47">
        <f>IF(OR(G51="",$D51=""),"",G51-$D51)</f>
        <v/>
      </c>
      <c r="H107" s="47">
        <f>IF(OR(H51="",$D51=""),"",H51-$D51)</f>
        <v/>
      </c>
      <c r="I107" s="47">
        <f>IF(OR(I51="",$D51=""),"",I51-$D51)</f>
        <v/>
      </c>
      <c r="J107" s="47">
        <f>IF(OR(J51="",$D51=""),"",J51-$D51)</f>
        <v/>
      </c>
      <c r="K107" s="47">
        <f>IF(OR(K51="",$D51=""),"",K51-$D51)</f>
        <v/>
      </c>
      <c r="L107" s="47">
        <f>IF(OR(L51="",$D51=""),"",L51-$D51)</f>
        <v/>
      </c>
    </row>
    <row r="108">
      <c r="A108" s="22" t="inlineStr">
        <is>
          <t>mit.cap.pow.wnd</t>
        </is>
      </c>
      <c r="B108" s="14">
        <f>IFERROR(INDEX(SRDesc,MATCH($A108,SRCode,0)),"")</f>
        <v/>
      </c>
      <c r="C108" s="14">
        <f>IFERROR(INDEX(SRUnit,MATCH($A108,SRCode,0)),"")</f>
        <v/>
      </c>
      <c r="E108" s="47">
        <f>IF(OR(E52="",$D52=""),"",E52-$D52)</f>
        <v/>
      </c>
      <c r="F108" s="47">
        <f>IF(OR(F52="",$D52=""),"",F52-$D52)</f>
        <v/>
      </c>
      <c r="G108" s="47">
        <f>IF(OR(G52="",$D52=""),"",G52-$D52)</f>
        <v/>
      </c>
      <c r="H108" s="47">
        <f>IF(OR(H52="",$D52=""),"",H52-$D52)</f>
        <v/>
      </c>
      <c r="I108" s="47">
        <f>IF(OR(I52="",$D52=""),"",I52-$D52)</f>
        <v/>
      </c>
      <c r="J108" s="47">
        <f>IF(OR(J52="",$D52=""),"",J52-$D52)</f>
        <v/>
      </c>
      <c r="K108" s="47">
        <f>IF(OR(K52="",$D52=""),"",K52-$D52)</f>
        <v/>
      </c>
      <c r="L108" s="47">
        <f>IF(OR(L52="",$D52=""),"",L52-$D52)</f>
        <v/>
      </c>
    </row>
    <row r="109">
      <c r="A109" s="22" t="inlineStr">
        <is>
          <t>mit.cap.pow.sol</t>
        </is>
      </c>
      <c r="B109" s="14">
        <f>IFERROR(INDEX(SRDesc,MATCH($A109,SRCode,0)),"")</f>
        <v/>
      </c>
      <c r="C109" s="14">
        <f>IFERROR(INDEX(SRUnit,MATCH($A109,SRCode,0)),"")</f>
        <v/>
      </c>
      <c r="E109" s="47">
        <f>IF(OR(E53="",$D53=""),"",E53-$D53)</f>
        <v/>
      </c>
      <c r="F109" s="47">
        <f>IF(OR(F53="",$D53=""),"",F53-$D53)</f>
        <v/>
      </c>
      <c r="G109" s="47">
        <f>IF(OR(G53="",$D53=""),"",G53-$D53)</f>
        <v/>
      </c>
      <c r="H109" s="47">
        <f>IF(OR(H53="",$D53=""),"",H53-$D53)</f>
        <v/>
      </c>
      <c r="I109" s="47">
        <f>IF(OR(I53="",$D53=""),"",I53-$D53)</f>
        <v/>
      </c>
      <c r="J109" s="47">
        <f>IF(OR(J53="",$D53=""),"",J53-$D53)</f>
        <v/>
      </c>
      <c r="K109" s="47">
        <f>IF(OR(K53="",$D53=""),"",K53-$D53)</f>
        <v/>
      </c>
      <c r="L109" s="47">
        <f>IF(OR(L53="",$D53=""),"",L53-$D53)</f>
        <v/>
      </c>
    </row>
    <row r="110">
      <c r="A110" s="22" t="inlineStr">
        <is>
          <t>mit.nimtot</t>
        </is>
      </c>
      <c r="B110" s="14">
        <f>IFERROR(INDEX(SRDesc,MATCH($A110,SRCode,0)),"")</f>
        <v/>
      </c>
      <c r="C110" s="14">
        <f>IFERROR(INDEX(SRUnit,MATCH($A110,SRCode,0)),"")</f>
        <v/>
      </c>
      <c r="E110" s="47">
        <f>IF(OR(E54="",$D54=""),"",E54-$D54)</f>
        <v/>
      </c>
      <c r="F110" s="47">
        <f>IF(OR(F54="",$D54=""),"",F54-$D54)</f>
        <v/>
      </c>
      <c r="G110" s="47">
        <f>IF(OR(G54="",$D54=""),"",G54-$D54)</f>
        <v/>
      </c>
      <c r="H110" s="47">
        <f>IF(OR(H54="",$D54=""),"",H54-$D54)</f>
        <v/>
      </c>
      <c r="I110" s="47">
        <f>IF(OR(I54="",$D54=""),"",I54-$D54)</f>
        <v/>
      </c>
      <c r="J110" s="47">
        <f>IF(OR(J54="",$D54=""),"",J54-$D54)</f>
        <v/>
      </c>
      <c r="K110" s="47">
        <f>IF(OR(K54="",$D54=""),"",K54-$D54)</f>
        <v/>
      </c>
      <c r="L110" s="47">
        <f>IF(OR(L54="",$D54=""),"",L54-$D54)</f>
        <v/>
      </c>
    </row>
    <row r="111">
      <c r="A111" s="22" t="inlineStr">
        <is>
          <t>mit.shr.pow.coa</t>
        </is>
      </c>
      <c r="B111" s="14">
        <f>IFERROR(INDEX(SRDesc,MATCH($A111,SRCode,0)),"")</f>
        <v/>
      </c>
      <c r="C111" s="14">
        <f>IFERROR(INDEX(SRUnit,MATCH($A111,SRCode,0)),"")</f>
        <v/>
      </c>
      <c r="E111" s="13">
        <f>IF(OR(E55="",$D55=""),"",E55-$D55)</f>
        <v/>
      </c>
      <c r="F111" s="13">
        <f>IF(OR(F55="",$D55=""),"",F55-$D55)</f>
        <v/>
      </c>
      <c r="G111" s="13">
        <f>IF(OR(G55="",$D55=""),"",G55-$D55)</f>
        <v/>
      </c>
      <c r="H111" s="13">
        <f>IF(OR(H55="",$D55=""),"",H55-$D55)</f>
        <v/>
      </c>
      <c r="I111" s="13">
        <f>IF(OR(I55="",$D55=""),"",I55-$D55)</f>
        <v/>
      </c>
      <c r="J111" s="13">
        <f>IF(OR(J55="",$D55=""),"",J55-$D55)</f>
        <v/>
      </c>
      <c r="K111" s="13">
        <f>IF(OR(K55="",$D55=""),"",K55-$D55)</f>
        <v/>
      </c>
      <c r="L111" s="13">
        <f>IF(OR(L55="",$D55=""),"",L55-$D55)</f>
        <v/>
      </c>
    </row>
    <row r="112">
      <c r="A112" s="22" t="inlineStr">
        <is>
          <t>mit.shr.pow.oop</t>
        </is>
      </c>
      <c r="B112" s="14">
        <f>IFERROR(INDEX(SRDesc,MATCH($A112,SRCode,0)),"")</f>
        <v/>
      </c>
      <c r="C112" s="14">
        <f>IFERROR(INDEX(SRUnit,MATCH($A112,SRCode,0)),"")</f>
        <v/>
      </c>
      <c r="E112" s="13">
        <f>IF(OR(E56="",$D56=""),"",E56-$D56)</f>
        <v/>
      </c>
      <c r="F112" s="13">
        <f>IF(OR(F56="",$D56=""),"",F56-$D56)</f>
        <v/>
      </c>
      <c r="G112" s="13">
        <f>IF(OR(G56="",$D56=""),"",G56-$D56)</f>
        <v/>
      </c>
      <c r="H112" s="13">
        <f>IF(OR(H56="",$D56=""),"",H56-$D56)</f>
        <v/>
      </c>
      <c r="I112" s="13">
        <f>IF(OR(I56="",$D56=""),"",I56-$D56)</f>
        <v/>
      </c>
      <c r="J112" s="13">
        <f>IF(OR(J56="",$D56=""),"",J56-$D56)</f>
        <v/>
      </c>
      <c r="K112" s="13">
        <f>IF(OR(K56="",$D56=""),"",K56-$D56)</f>
        <v/>
      </c>
      <c r="L112" s="13">
        <f>IF(OR(L56="",$D56=""),"",L56-$D56)</f>
        <v/>
      </c>
    </row>
    <row r="113">
      <c r="A113" s="22" t="inlineStr">
        <is>
          <t>mit.shr.pow.wnd</t>
        </is>
      </c>
      <c r="B113" s="14">
        <f>IFERROR(INDEX(SRDesc,MATCH($A113,SRCode,0)),"")</f>
        <v/>
      </c>
      <c r="C113" s="14">
        <f>IFERROR(INDEX(SRUnit,MATCH($A113,SRCode,0)),"")</f>
        <v/>
      </c>
      <c r="E113" s="13">
        <f>IF(OR(E57="",$D57=""),"",E57-$D57)</f>
        <v/>
      </c>
      <c r="F113" s="13">
        <f>IF(OR(F57="",$D57=""),"",F57-$D57)</f>
        <v/>
      </c>
      <c r="G113" s="13">
        <f>IF(OR(G57="",$D57=""),"",G57-$D57)</f>
        <v/>
      </c>
      <c r="H113" s="13">
        <f>IF(OR(H57="",$D57=""),"",H57-$D57)</f>
        <v/>
      </c>
      <c r="I113" s="13">
        <f>IF(OR(I57="",$D57=""),"",I57-$D57)</f>
        <v/>
      </c>
      <c r="J113" s="13">
        <f>IF(OR(J57="",$D57=""),"",J57-$D57)</f>
        <v/>
      </c>
      <c r="K113" s="13">
        <f>IF(OR(K57="",$D57=""),"",K57-$D57)</f>
        <v/>
      </c>
      <c r="L113" s="13">
        <f>IF(OR(L57="",$D57=""),"",L57-$D57)</f>
        <v/>
      </c>
    </row>
    <row r="114">
      <c r="A114" s="22" t="inlineStr">
        <is>
          <t>mit.shr.pow.sol</t>
        </is>
      </c>
      <c r="B114" s="14">
        <f>IFERROR(INDEX(SRDesc,MATCH($A114,SRCode,0)),"")</f>
        <v/>
      </c>
      <c r="C114" s="14">
        <f>IFERROR(INDEX(SRUnit,MATCH($A114,SRCode,0)),"")</f>
        <v/>
      </c>
      <c r="E114" s="13">
        <f>IF(OR(E58="",$D58=""),"",E58-$D58)</f>
        <v/>
      </c>
      <c r="F114" s="13">
        <f>IF(OR(F58="",$D58=""),"",F58-$D58)</f>
        <v/>
      </c>
      <c r="G114" s="13">
        <f>IF(OR(G58="",$D58=""),"",G58-$D58)</f>
        <v/>
      </c>
      <c r="H114" s="13">
        <f>IF(OR(H58="",$D58=""),"",H58-$D58)</f>
        <v/>
      </c>
      <c r="I114" s="13">
        <f>IF(OR(I58="",$D58=""),"",I58-$D58)</f>
        <v/>
      </c>
      <c r="J114" s="13">
        <f>IF(OR(J58="",$D58=""),"",J58-$D58)</f>
        <v/>
      </c>
      <c r="K114" s="13">
        <f>IF(OR(K58="",$D58=""),"",K58-$D58)</f>
        <v/>
      </c>
      <c r="L114" s="13">
        <f>IF(OR(L58="",$D58=""),"",L58-$D58)</f>
        <v/>
      </c>
    </row>
    <row r="115">
      <c r="A115" s="22" t="inlineStr">
        <is>
          <t>mit.shr.pow.hyd</t>
        </is>
      </c>
      <c r="B115" s="14">
        <f>IFERROR(INDEX(SRDesc,MATCH($A115,SRCode,0)),"")</f>
        <v/>
      </c>
      <c r="C115" s="14">
        <f>IFERROR(INDEX(SRUnit,MATCH($A115,SRCode,0)),"")</f>
        <v/>
      </c>
      <c r="E115" s="13">
        <f>IF(OR(E59="",$D59=""),"",E59-$D59)</f>
        <v/>
      </c>
      <c r="F115" s="13">
        <f>IF(OR(F59="",$D59=""),"",F59-$D59)</f>
        <v/>
      </c>
      <c r="G115" s="13">
        <f>IF(OR(G59="",$D59=""),"",G59-$D59)</f>
        <v/>
      </c>
      <c r="H115" s="13">
        <f>IF(OR(H59="",$D59=""),"",H59-$D59)</f>
        <v/>
      </c>
      <c r="I115" s="13">
        <f>IF(OR(I59="",$D59=""),"",I59-$D59)</f>
        <v/>
      </c>
      <c r="J115" s="13">
        <f>IF(OR(J59="",$D59=""),"",J59-$D59)</f>
        <v/>
      </c>
      <c r="K115" s="13">
        <f>IF(OR(K59="",$D59=""),"",K59-$D59)</f>
        <v/>
      </c>
      <c r="L115" s="13">
        <f>IF(OR(L59="",$D59=""),"",L59-$D59)</f>
        <v/>
      </c>
    </row>
    <row r="116">
      <c r="A116" s="22" t="inlineStr">
        <is>
          <t>mit.ccpav</t>
        </is>
      </c>
      <c r="B116" s="14">
        <f>IFERROR(INDEX(SRDesc,MATCH($A116,SRCode,0)),"")</f>
        <v/>
      </c>
      <c r="C116" s="14">
        <f>IFERROR(INDEX(SRUnit,MATCH($A116,SRCode,0)),"")</f>
        <v/>
      </c>
      <c r="E116" s="16">
        <f>IF(OR(E60="",$D60=""),"",E60-$D60)</f>
        <v/>
      </c>
      <c r="F116" s="16">
        <f>IF(OR(F60="",$D60=""),"",F60-$D60)</f>
        <v/>
      </c>
      <c r="G116" s="16">
        <f>IF(OR(G60="",$D60=""),"",G60-$D60)</f>
        <v/>
      </c>
      <c r="H116" s="16">
        <f>IF(OR(H60="",$D60=""),"",H60-$D60)</f>
        <v/>
      </c>
      <c r="I116" s="16">
        <f>IF(OR(I60="",$D60=""),"",I60-$D60)</f>
        <v/>
      </c>
      <c r="J116" s="16">
        <f>IF(OR(J60="",$D60=""),"",J60-$D60)</f>
        <v/>
      </c>
      <c r="K116" s="16">
        <f>IF(OR(K60="",$D60=""),"",K60-$D60)</f>
        <v/>
      </c>
      <c r="L116" s="16">
        <f>IF(OR(L60="",$D60=""),"",L60-$D60)</f>
        <v/>
      </c>
    </row>
    <row r="117">
      <c r="A117" s="22" t="inlineStr">
        <is>
          <t>mit.rcarb.res.ecy</t>
        </is>
      </c>
      <c r="B117" s="14">
        <f>IFERROR(INDEX(SRDesc,MATCH($A117,SRCode,0)),"")</f>
        <v/>
      </c>
      <c r="C117" s="14">
        <f>IFERROR(INDEX(SRUnit,MATCH($A117,SRCode,0)),"")</f>
        <v/>
      </c>
      <c r="E117" s="47">
        <f>IF(OR(E61="",$D61=""),"",E61-$D61)</f>
        <v/>
      </c>
      <c r="F117" s="47">
        <f>IF(OR(F61="",$D61=""),"",F61-$D61)</f>
        <v/>
      </c>
      <c r="G117" s="47">
        <f>IF(OR(G61="",$D61=""),"",G61-$D61)</f>
        <v/>
      </c>
      <c r="H117" s="47">
        <f>IF(OR(H61="",$D61=""),"",H61-$D61)</f>
        <v/>
      </c>
      <c r="I117" s="47">
        <f>IF(OR(I61="",$D61=""),"",I61-$D61)</f>
        <v/>
      </c>
      <c r="J117" s="47">
        <f>IF(OR(J61="",$D61=""),"",J61-$D61)</f>
        <v/>
      </c>
      <c r="K117" s="47">
        <f>IF(OR(K61="",$D61=""),"",K61-$D61)</f>
        <v/>
      </c>
      <c r="L117" s="47">
        <f>IF(OR(L61="",$D61=""),"",L61-$D61)</f>
        <v/>
      </c>
    </row>
    <row r="118">
      <c r="A118" s="22" t="inlineStr">
        <is>
          <t>mit.rcarb.ind.ecy</t>
        </is>
      </c>
      <c r="B118" s="14">
        <f>IFERROR(INDEX(SRDesc,MATCH($A118,SRCode,0)),"")</f>
        <v/>
      </c>
      <c r="C118" s="14">
        <f>IFERROR(INDEX(SRUnit,MATCH($A118,SRCode,0)),"")</f>
        <v/>
      </c>
      <c r="E118" s="47">
        <f>IF(OR(E62="",$D62=""),"",E62-$D62)</f>
        <v/>
      </c>
      <c r="F118" s="47">
        <f>IF(OR(F62="",$D62=""),"",F62-$D62)</f>
        <v/>
      </c>
      <c r="G118" s="47">
        <f>IF(OR(G62="",$D62=""),"",G62-$D62)</f>
        <v/>
      </c>
      <c r="H118" s="47">
        <f>IF(OR(H62="",$D62=""),"",H62-$D62)</f>
        <v/>
      </c>
      <c r="I118" s="47">
        <f>IF(OR(I62="",$D62=""),"",I62-$D62)</f>
        <v/>
      </c>
      <c r="J118" s="47">
        <f>IF(OR(J62="",$D62=""),"",J62-$D62)</f>
        <v/>
      </c>
      <c r="K118" s="47">
        <f>IF(OR(K62="",$D62=""),"",K62-$D62)</f>
        <v/>
      </c>
      <c r="L118" s="47">
        <f>IF(OR(L62="",$D62=""),"",L62-$D62)</f>
        <v/>
      </c>
    </row>
    <row r="120">
      <c r="A120" s="4" t="inlineStr">
        <is>
          <t>% difference vs baseline</t>
        </is>
      </c>
      <c r="B120" s="5" t="n"/>
      <c r="C120" s="5" t="n"/>
      <c r="D120" s="5" t="n"/>
      <c r="E120" s="5" t="n"/>
      <c r="F120" s="5" t="n"/>
      <c r="G120" s="5" t="n"/>
      <c r="H120" s="5" t="n"/>
      <c r="I120" s="5" t="n"/>
      <c r="J120" s="5" t="n"/>
      <c r="K120" s="5" t="n"/>
      <c r="L120" s="5" t="n"/>
    </row>
    <row r="121">
      <c r="A121" s="22" t="inlineStr">
        <is>
          <t>mit.ener.all.all.e</t>
        </is>
      </c>
      <c r="B121" s="14">
        <f>IFERROR(INDEX(SRDesc,MATCH($A121,SRCode,0)),"")</f>
        <v/>
      </c>
      <c r="C121" s="14">
        <f>IFERROR(INDEX(SRUnit,MATCH($A121,SRCode,0)),"")</f>
        <v/>
      </c>
      <c r="E121" s="13">
        <f>IF(OR(E9="",$D9="",$D9=0),"",E9/$D9-1)</f>
        <v/>
      </c>
      <c r="F121" s="13">
        <f>IF(OR(F9="",$D9="",$D9=0),"",F9/$D9-1)</f>
        <v/>
      </c>
      <c r="G121" s="13">
        <f>IF(OR(G9="",$D9="",$D9=0),"",G9/$D9-1)</f>
        <v/>
      </c>
      <c r="H121" s="13">
        <f>IF(OR(H9="",$D9="",$D9=0),"",H9/$D9-1)</f>
        <v/>
      </c>
      <c r="I121" s="13">
        <f>IF(OR(I9="",$D9="",$D9=0),"",I9/$D9-1)</f>
        <v/>
      </c>
      <c r="J121" s="13">
        <f>IF(OR(J9="",$D9="",$D9=0),"",J9/$D9-1)</f>
        <v/>
      </c>
      <c r="K121" s="13">
        <f>IF(OR(K9="",$D9="",$D9=0),"",K9/$D9-1)</f>
        <v/>
      </c>
      <c r="L121" s="13">
        <f>IF(OR(L9="",$D9="",$D9=0),"",L9/$D9-1)</f>
        <v/>
      </c>
    </row>
    <row r="122">
      <c r="A122" s="22" t="inlineStr">
        <is>
          <t>mit.ener.tra.all.e</t>
        </is>
      </c>
      <c r="B122" s="14">
        <f>IFERROR(INDEX(SRDesc,MATCH($A122,SRCode,0)),"")</f>
        <v/>
      </c>
      <c r="C122" s="14">
        <f>IFERROR(INDEX(SRUnit,MATCH($A122,SRCode,0)),"")</f>
        <v/>
      </c>
      <c r="E122" s="13">
        <f>IF(OR(E10="",$D10="",$D10=0),"",E10/$D10-1)</f>
        <v/>
      </c>
      <c r="F122" s="13">
        <f>IF(OR(F10="",$D10="",$D10=0),"",F10/$D10-1)</f>
        <v/>
      </c>
      <c r="G122" s="13">
        <f>IF(OR(G10="",$D10="",$D10=0),"",G10/$D10-1)</f>
        <v/>
      </c>
      <c r="H122" s="13">
        <f>IF(OR(H10="",$D10="",$D10=0),"",H10/$D10-1)</f>
        <v/>
      </c>
      <c r="I122" s="13">
        <f>IF(OR(I10="",$D10="",$D10=0),"",I10/$D10-1)</f>
        <v/>
      </c>
      <c r="J122" s="13">
        <f>IF(OR(J10="",$D10="",$D10=0),"",J10/$D10-1)</f>
        <v/>
      </c>
      <c r="K122" s="13">
        <f>IF(OR(K10="",$D10="",$D10=0),"",K10/$D10-1)</f>
        <v/>
      </c>
      <c r="L122" s="13">
        <f>IF(OR(L10="",$D10="",$D10=0),"",L10/$D10-1)</f>
        <v/>
      </c>
    </row>
    <row r="123">
      <c r="A123" s="22" t="inlineStr">
        <is>
          <t>mit.ener.bld.all.e</t>
        </is>
      </c>
      <c r="B123" s="14">
        <f>IFERROR(INDEX(SRDesc,MATCH($A123,SRCode,0)),"")</f>
        <v/>
      </c>
      <c r="C123" s="14">
        <f>IFERROR(INDEX(SRUnit,MATCH($A123,SRCode,0)),"")</f>
        <v/>
      </c>
      <c r="E123" s="13">
        <f>IF(OR(E11="",$D11="",$D11=0),"",E11/$D11-1)</f>
        <v/>
      </c>
      <c r="F123" s="13">
        <f>IF(OR(F11="",$D11="",$D11=0),"",F11/$D11-1)</f>
        <v/>
      </c>
      <c r="G123" s="13">
        <f>IF(OR(G11="",$D11="",$D11=0),"",G11/$D11-1)</f>
        <v/>
      </c>
      <c r="H123" s="13">
        <f>IF(OR(H11="",$D11="",$D11=0),"",H11/$D11-1)</f>
        <v/>
      </c>
      <c r="I123" s="13">
        <f>IF(OR(I11="",$D11="",$D11=0),"",I11/$D11-1)</f>
        <v/>
      </c>
      <c r="J123" s="13">
        <f>IF(OR(J11="",$D11="",$D11=0),"",J11/$D11-1)</f>
        <v/>
      </c>
      <c r="K123" s="13">
        <f>IF(OR(K11="",$D11="",$D11=0),"",K11/$D11-1)</f>
        <v/>
      </c>
      <c r="L123" s="13">
        <f>IF(OR(L11="",$D11="",$D11=0),"",L11/$D11-1)</f>
        <v/>
      </c>
    </row>
    <row r="124">
      <c r="A124" s="22" t="inlineStr">
        <is>
          <t>mit.ener.ind.all.e</t>
        </is>
      </c>
      <c r="B124" s="14">
        <f>IFERROR(INDEX(SRDesc,MATCH($A124,SRCode,0)),"")</f>
        <v/>
      </c>
      <c r="C124" s="14">
        <f>IFERROR(INDEX(SRUnit,MATCH($A124,SRCode,0)),"")</f>
        <v/>
      </c>
      <c r="E124" s="13">
        <f>IF(OR(E12="",$D12="",$D12=0),"",E12/$D12-1)</f>
        <v/>
      </c>
      <c r="F124" s="13">
        <f>IF(OR(F12="",$D12="",$D12=0),"",F12/$D12-1)</f>
        <v/>
      </c>
      <c r="G124" s="13">
        <f>IF(OR(G12="",$D12="",$D12=0),"",G12/$D12-1)</f>
        <v/>
      </c>
      <c r="H124" s="13">
        <f>IF(OR(H12="",$D12="",$D12=0),"",H12/$D12-1)</f>
        <v/>
      </c>
      <c r="I124" s="13">
        <f>IF(OR(I12="",$D12="",$D12=0),"",I12/$D12-1)</f>
        <v/>
      </c>
      <c r="J124" s="13">
        <f>IF(OR(J12="",$D12="",$D12=0),"",J12/$D12-1)</f>
        <v/>
      </c>
      <c r="K124" s="13">
        <f>IF(OR(K12="",$D12="",$D12=0),"",K12/$D12-1)</f>
        <v/>
      </c>
      <c r="L124" s="13">
        <f>IF(OR(L12="",$D12="",$D12=0),"",L12/$D12-1)</f>
        <v/>
      </c>
    </row>
    <row r="125">
      <c r="A125" s="22" t="inlineStr">
        <is>
          <t>mit.ener.oen.all.e</t>
        </is>
      </c>
      <c r="B125" s="14">
        <f>IFERROR(INDEX(SRDesc,MATCH($A125,SRCode,0)),"")</f>
        <v/>
      </c>
      <c r="C125" s="14">
        <f>IFERROR(INDEX(SRUnit,MATCH($A125,SRCode,0)),"")</f>
        <v/>
      </c>
      <c r="E125" s="13">
        <f>IF(OR(E13="",$D13="",$D13=0),"",E13/$D13-1)</f>
        <v/>
      </c>
      <c r="F125" s="13">
        <f>IF(OR(F13="",$D13="",$D13=0),"",F13/$D13-1)</f>
        <v/>
      </c>
      <c r="G125" s="13">
        <f>IF(OR(G13="",$D13="",$D13=0),"",G13/$D13-1)</f>
        <v/>
      </c>
      <c r="H125" s="13">
        <f>IF(OR(H13="",$D13="",$D13=0),"",H13/$D13-1)</f>
        <v/>
      </c>
      <c r="I125" s="13">
        <f>IF(OR(I13="",$D13="",$D13=0),"",I13/$D13-1)</f>
        <v/>
      </c>
      <c r="J125" s="13">
        <f>IF(OR(J13="",$D13="",$D13=0),"",J13/$D13-1)</f>
        <v/>
      </c>
      <c r="K125" s="13">
        <f>IF(OR(K13="",$D13="",$D13=0),"",K13/$D13-1)</f>
        <v/>
      </c>
      <c r="L125" s="13">
        <f>IF(OR(L13="",$D13="",$D13=0),"",L13/$D13-1)</f>
        <v/>
      </c>
    </row>
    <row r="126">
      <c r="A126" s="22" t="inlineStr">
        <is>
          <t>mit.co2.all.all.e</t>
        </is>
      </c>
      <c r="B126" s="14">
        <f>IFERROR(INDEX(SRDesc,MATCH($A126,SRCode,0)),"")</f>
        <v/>
      </c>
      <c r="C126" s="14">
        <f>IFERROR(INDEX(SRUnit,MATCH($A126,SRCode,0)),"")</f>
        <v/>
      </c>
      <c r="E126" s="13">
        <f>IF(OR(E14="",$D14="",$D14=0),"",E14/$D14-1)</f>
        <v/>
      </c>
      <c r="F126" s="13">
        <f>IF(OR(F14="",$D14="",$D14=0),"",F14/$D14-1)</f>
        <v/>
      </c>
      <c r="G126" s="13">
        <f>IF(OR(G14="",$D14="",$D14=0),"",G14/$D14-1)</f>
        <v/>
      </c>
      <c r="H126" s="13">
        <f>IF(OR(H14="",$D14="",$D14=0),"",H14/$D14-1)</f>
        <v/>
      </c>
      <c r="I126" s="13">
        <f>IF(OR(I14="",$D14="",$D14=0),"",I14/$D14-1)</f>
        <v/>
      </c>
      <c r="J126" s="13">
        <f>IF(OR(J14="",$D14="",$D14=0),"",J14/$D14-1)</f>
        <v/>
      </c>
      <c r="K126" s="13">
        <f>IF(OR(K14="",$D14="",$D14=0),"",K14/$D14-1)</f>
        <v/>
      </c>
      <c r="L126" s="13">
        <f>IF(OR(L14="",$D14="",$D14=0),"",L14/$D14-1)</f>
        <v/>
      </c>
    </row>
    <row r="127">
      <c r="A127" s="22" t="inlineStr">
        <is>
          <t>mit.co2.tra.all.e</t>
        </is>
      </c>
      <c r="B127" s="14">
        <f>IFERROR(INDEX(SRDesc,MATCH($A127,SRCode,0)),"")</f>
        <v/>
      </c>
      <c r="C127" s="14">
        <f>IFERROR(INDEX(SRUnit,MATCH($A127,SRCode,0)),"")</f>
        <v/>
      </c>
      <c r="E127" s="13">
        <f>IF(OR(E15="",$D15="",$D15=0),"",E15/$D15-1)</f>
        <v/>
      </c>
      <c r="F127" s="13">
        <f>IF(OR(F15="",$D15="",$D15=0),"",F15/$D15-1)</f>
        <v/>
      </c>
      <c r="G127" s="13">
        <f>IF(OR(G15="",$D15="",$D15=0),"",G15/$D15-1)</f>
        <v/>
      </c>
      <c r="H127" s="13">
        <f>IF(OR(H15="",$D15="",$D15=0),"",H15/$D15-1)</f>
        <v/>
      </c>
      <c r="I127" s="13">
        <f>IF(OR(I15="",$D15="",$D15=0),"",I15/$D15-1)</f>
        <v/>
      </c>
      <c r="J127" s="13">
        <f>IF(OR(J15="",$D15="",$D15=0),"",J15/$D15-1)</f>
        <v/>
      </c>
      <c r="K127" s="13">
        <f>IF(OR(K15="",$D15="",$D15=0),"",K15/$D15-1)</f>
        <v/>
      </c>
      <c r="L127" s="13">
        <f>IF(OR(L15="",$D15="",$D15=0),"",L15/$D15-1)</f>
        <v/>
      </c>
    </row>
    <row r="128">
      <c r="A128" s="22" t="inlineStr">
        <is>
          <t>mit.co2.bld.all.e</t>
        </is>
      </c>
      <c r="B128" s="14">
        <f>IFERROR(INDEX(SRDesc,MATCH($A128,SRCode,0)),"")</f>
        <v/>
      </c>
      <c r="C128" s="14">
        <f>IFERROR(INDEX(SRUnit,MATCH($A128,SRCode,0)),"")</f>
        <v/>
      </c>
      <c r="E128" s="13">
        <f>IF(OR(E16="",$D16="",$D16=0),"",E16/$D16-1)</f>
        <v/>
      </c>
      <c r="F128" s="13">
        <f>IF(OR(F16="",$D16="",$D16=0),"",F16/$D16-1)</f>
        <v/>
      </c>
      <c r="G128" s="13">
        <f>IF(OR(G16="",$D16="",$D16=0),"",G16/$D16-1)</f>
        <v/>
      </c>
      <c r="H128" s="13">
        <f>IF(OR(H16="",$D16="",$D16=0),"",H16/$D16-1)</f>
        <v/>
      </c>
      <c r="I128" s="13">
        <f>IF(OR(I16="",$D16="",$D16=0),"",I16/$D16-1)</f>
        <v/>
      </c>
      <c r="J128" s="13">
        <f>IF(OR(J16="",$D16="",$D16=0),"",J16/$D16-1)</f>
        <v/>
      </c>
      <c r="K128" s="13">
        <f>IF(OR(K16="",$D16="",$D16=0),"",K16/$D16-1)</f>
        <v/>
      </c>
      <c r="L128" s="13">
        <f>IF(OR(L16="",$D16="",$D16=0),"",L16/$D16-1)</f>
        <v/>
      </c>
    </row>
    <row r="129">
      <c r="A129" s="22" t="inlineStr">
        <is>
          <t>mit.co2.ind.all.e</t>
        </is>
      </c>
      <c r="B129" s="14">
        <f>IFERROR(INDEX(SRDesc,MATCH($A129,SRCode,0)),"")</f>
        <v/>
      </c>
      <c r="C129" s="14">
        <f>IFERROR(INDEX(SRUnit,MATCH($A129,SRCode,0)),"")</f>
        <v/>
      </c>
      <c r="E129" s="13">
        <f>IF(OR(E17="",$D17="",$D17=0),"",E17/$D17-1)</f>
        <v/>
      </c>
      <c r="F129" s="13">
        <f>IF(OR(F17="",$D17="",$D17=0),"",F17/$D17-1)</f>
        <v/>
      </c>
      <c r="G129" s="13">
        <f>IF(OR(G17="",$D17="",$D17=0),"",G17/$D17-1)</f>
        <v/>
      </c>
      <c r="H129" s="13">
        <f>IF(OR(H17="",$D17="",$D17=0),"",H17/$D17-1)</f>
        <v/>
      </c>
      <c r="I129" s="13">
        <f>IF(OR(I17="",$D17="",$D17=0),"",I17/$D17-1)</f>
        <v/>
      </c>
      <c r="J129" s="13">
        <f>IF(OR(J17="",$D17="",$D17=0),"",J17/$D17-1)</f>
        <v/>
      </c>
      <c r="K129" s="13">
        <f>IF(OR(K17="",$D17="",$D17=0),"",K17/$D17-1)</f>
        <v/>
      </c>
      <c r="L129" s="13">
        <f>IF(OR(L17="",$D17="",$D17=0),"",L17/$D17-1)</f>
        <v/>
      </c>
    </row>
    <row r="130">
      <c r="A130" s="22" t="inlineStr">
        <is>
          <t>mit.rtx.all.all</t>
        </is>
      </c>
      <c r="B130" s="14">
        <f>IFERROR(INDEX(SRDesc,MATCH($A130,SRCode,0)),"")</f>
        <v/>
      </c>
      <c r="C130" s="14">
        <f>IFERROR(INDEX(SRUnit,MATCH($A130,SRCode,0)),"")</f>
        <v/>
      </c>
      <c r="E130" s="13">
        <f>IF(OR(E18="",$D18="",$D18=0),"",E18/$D18-1)</f>
        <v/>
      </c>
      <c r="F130" s="13">
        <f>IF(OR(F18="",$D18="",$D18=0),"",F18/$D18-1)</f>
        <v/>
      </c>
      <c r="G130" s="13">
        <f>IF(OR(G18="",$D18="",$D18=0),"",G18/$D18-1)</f>
        <v/>
      </c>
      <c r="H130" s="13">
        <f>IF(OR(H18="",$D18="",$D18=0),"",H18/$D18-1)</f>
        <v/>
      </c>
      <c r="I130" s="13">
        <f>IF(OR(I18="",$D18="",$D18=0),"",I18/$D18-1)</f>
        <v/>
      </c>
      <c r="J130" s="13">
        <f>IF(OR(J18="",$D18="",$D18=0),"",J18/$D18-1)</f>
        <v/>
      </c>
      <c r="K130" s="13">
        <f>IF(OR(K18="",$D18="",$D18=0),"",K18/$D18-1)</f>
        <v/>
      </c>
      <c r="L130" s="13">
        <f>IF(OR(L18="",$D18="",$D18=0),"",L18/$D18-1)</f>
        <v/>
      </c>
    </row>
    <row r="131">
      <c r="A131" s="22" t="inlineStr">
        <is>
          <t>mit.rsub.all.all</t>
        </is>
      </c>
      <c r="B131" s="14">
        <f>IFERROR(INDEX(SRDesc,MATCH($A131,SRCode,0)),"")</f>
        <v/>
      </c>
      <c r="C131" s="14">
        <f>IFERROR(INDEX(SRUnit,MATCH($A131,SRCode,0)),"")</f>
        <v/>
      </c>
      <c r="E131" s="13">
        <f>IF(OR(E19="",$D19="",$D19=0),"",E19/$D19-1)</f>
        <v/>
      </c>
      <c r="F131" s="13">
        <f>IF(OR(F19="",$D19="",$D19=0),"",F19/$D19-1)</f>
        <v/>
      </c>
      <c r="G131" s="13">
        <f>IF(OR(G19="",$D19="",$D19=0),"",G19/$D19-1)</f>
        <v/>
      </c>
      <c r="H131" s="13">
        <f>IF(OR(H19="",$D19="",$D19=0),"",H19/$D19-1)</f>
        <v/>
      </c>
      <c r="I131" s="13">
        <f>IF(OR(I19="",$D19="",$D19=0),"",I19/$D19-1)</f>
        <v/>
      </c>
      <c r="J131" s="13">
        <f>IF(OR(J19="",$D19="",$D19=0),"",J19/$D19-1)</f>
        <v/>
      </c>
      <c r="K131" s="13">
        <f>IF(OR(K19="",$D19="",$D19=0),"",K19/$D19-1)</f>
        <v/>
      </c>
      <c r="L131" s="13">
        <f>IF(OR(L19="",$D19="",$D19=0),"",L19/$D19-1)</f>
        <v/>
      </c>
    </row>
    <row r="132">
      <c r="A132" s="22" t="inlineStr">
        <is>
          <t>mit.rnew.all.all</t>
        </is>
      </c>
      <c r="B132" s="14">
        <f>IFERROR(INDEX(SRDesc,MATCH($A132,SRCode,0)),"")</f>
        <v/>
      </c>
      <c r="C132" s="14">
        <f>IFERROR(INDEX(SRUnit,MATCH($A132,SRCode,0)),"")</f>
        <v/>
      </c>
      <c r="E132" s="13">
        <f>IF(OR(E20="",$D20="",$D20=0),"",E20/$D20-1)</f>
        <v/>
      </c>
      <c r="F132" s="13">
        <f>IF(OR(F20="",$D20="",$D20=0),"",F20/$D20-1)</f>
        <v/>
      </c>
      <c r="G132" s="13">
        <f>IF(OR(G20="",$D20="",$D20=0),"",G20/$D20-1)</f>
        <v/>
      </c>
      <c r="H132" s="13">
        <f>IF(OR(H20="",$D20="",$D20=0),"",H20/$D20-1)</f>
        <v/>
      </c>
      <c r="I132" s="13">
        <f>IF(OR(I20="",$D20="",$D20=0),"",I20/$D20-1)</f>
        <v/>
      </c>
      <c r="J132" s="13">
        <f>IF(OR(J20="",$D20="",$D20=0),"",J20/$D20-1)</f>
        <v/>
      </c>
      <c r="K132" s="13">
        <f>IF(OR(K20="",$D20="",$D20=0),"",K20/$D20-1)</f>
        <v/>
      </c>
      <c r="L132" s="13">
        <f>IF(OR(L20="",$D20="",$D20=0),"",L20/$D20-1)</f>
        <v/>
      </c>
    </row>
    <row r="133">
      <c r="A133" s="22" t="inlineStr">
        <is>
          <t>mit.rtot.all.all</t>
        </is>
      </c>
      <c r="B133" s="14">
        <f>IFERROR(INDEX(SRDesc,MATCH($A133,SRCode,0)),"")</f>
        <v/>
      </c>
      <c r="C133" s="14">
        <f>IFERROR(INDEX(SRUnit,MATCH($A133,SRCode,0)),"")</f>
        <v/>
      </c>
      <c r="E133" s="13">
        <f>IF(OR(E21="",$D21="",$D21=0),"",E21/$D21-1)</f>
        <v/>
      </c>
      <c r="F133" s="13">
        <f>IF(OR(F21="",$D21="",$D21=0),"",F21/$D21-1)</f>
        <v/>
      </c>
      <c r="G133" s="13">
        <f>IF(OR(G21="",$D21="",$D21=0),"",G21/$D21-1)</f>
        <v/>
      </c>
      <c r="H133" s="13">
        <f>IF(OR(H21="",$D21="",$D21=0),"",H21/$D21-1)</f>
        <v/>
      </c>
      <c r="I133" s="13">
        <f>IF(OR(I21="",$D21="",$D21=0),"",I21/$D21-1)</f>
        <v/>
      </c>
      <c r="J133" s="13">
        <f>IF(OR(J21="",$D21="",$D21=0),"",J21/$D21-1)</f>
        <v/>
      </c>
      <c r="K133" s="13">
        <f>IF(OR(K21="",$D21="",$D21=0),"",K21/$D21-1)</f>
        <v/>
      </c>
      <c r="L133" s="13">
        <f>IF(OR(L21="",$D21="",$D21=0),"",L21/$D21-1)</f>
        <v/>
      </c>
    </row>
    <row r="134">
      <c r="A134" s="22" t="inlineStr">
        <is>
          <t>mit.ener.pow.all.e</t>
        </is>
      </c>
      <c r="B134" s="14">
        <f>IFERROR(INDEX(SRDesc,MATCH($A134,SRCode,0)),"")</f>
        <v/>
      </c>
      <c r="C134" s="14">
        <f>IFERROR(INDEX(SRUnit,MATCH($A134,SRCode,0)),"")</f>
        <v/>
      </c>
      <c r="E134" s="13">
        <f>IF(OR(E22="",$D22="",$D22=0),"",E22/$D22-1)</f>
        <v/>
      </c>
      <c r="F134" s="13">
        <f>IF(OR(F22="",$D22="",$D22=0),"",F22/$D22-1)</f>
        <v/>
      </c>
      <c r="G134" s="13">
        <f>IF(OR(G22="",$D22="",$D22=0),"",G22/$D22-1)</f>
        <v/>
      </c>
      <c r="H134" s="13">
        <f>IF(OR(H22="",$D22="",$D22=0),"",H22/$D22-1)</f>
        <v/>
      </c>
      <c r="I134" s="13">
        <f>IF(OR(I22="",$D22="",$D22=0),"",I22/$D22-1)</f>
        <v/>
      </c>
      <c r="J134" s="13">
        <f>IF(OR(J22="",$D22="",$D22=0),"",J22/$D22-1)</f>
        <v/>
      </c>
      <c r="K134" s="13">
        <f>IF(OR(K22="",$D22="",$D22=0),"",K22/$D22-1)</f>
        <v/>
      </c>
      <c r="L134" s="13">
        <f>IF(OR(L22="",$D22="",$D22=0),"",L22/$D22-1)</f>
        <v/>
      </c>
    </row>
    <row r="135">
      <c r="A135" s="22" t="inlineStr">
        <is>
          <t>mit.rtx.pow.all</t>
        </is>
      </c>
      <c r="B135" s="14">
        <f>IFERROR(INDEX(SRDesc,MATCH($A135,SRCode,0)),"")</f>
        <v/>
      </c>
      <c r="C135" s="14">
        <f>IFERROR(INDEX(SRUnit,MATCH($A135,SRCode,0)),"")</f>
        <v/>
      </c>
      <c r="E135" s="13">
        <f>IF(OR(E23="",$D23="",$D23=0),"",E23/$D23-1)</f>
        <v/>
      </c>
      <c r="F135" s="13">
        <f>IF(OR(F23="",$D23="",$D23=0),"",F23/$D23-1)</f>
        <v/>
      </c>
      <c r="G135" s="13">
        <f>IF(OR(G23="",$D23="",$D23=0),"",G23/$D23-1)</f>
        <v/>
      </c>
      <c r="H135" s="13">
        <f>IF(OR(H23="",$D23="",$D23=0),"",H23/$D23-1)</f>
        <v/>
      </c>
      <c r="I135" s="13">
        <f>IF(OR(I23="",$D23="",$D23=0),"",I23/$D23-1)</f>
        <v/>
      </c>
      <c r="J135" s="13">
        <f>IF(OR(J23="",$D23="",$D23=0),"",J23/$D23-1)</f>
        <v/>
      </c>
      <c r="K135" s="13">
        <f>IF(OR(K23="",$D23="",$D23=0),"",K23/$D23-1)</f>
        <v/>
      </c>
      <c r="L135" s="13">
        <f>IF(OR(L23="",$D23="",$D23=0),"",L23/$D23-1)</f>
        <v/>
      </c>
    </row>
    <row r="136">
      <c r="A136" s="22" t="inlineStr">
        <is>
          <t>mit.rsub.pow.all</t>
        </is>
      </c>
      <c r="B136" s="14">
        <f>IFERROR(INDEX(SRDesc,MATCH($A136,SRCode,0)),"")</f>
        <v/>
      </c>
      <c r="C136" s="14">
        <f>IFERROR(INDEX(SRUnit,MATCH($A136,SRCode,0)),"")</f>
        <v/>
      </c>
      <c r="E136" s="13">
        <f>IF(OR(E24="",$D24="",$D24=0),"",E24/$D24-1)</f>
        <v/>
      </c>
      <c r="F136" s="13">
        <f>IF(OR(F24="",$D24="",$D24=0),"",F24/$D24-1)</f>
        <v/>
      </c>
      <c r="G136" s="13">
        <f>IF(OR(G24="",$D24="",$D24=0),"",G24/$D24-1)</f>
        <v/>
      </c>
      <c r="H136" s="13">
        <f>IF(OR(H24="",$D24="",$D24=0),"",H24/$D24-1)</f>
        <v/>
      </c>
      <c r="I136" s="13">
        <f>IF(OR(I24="",$D24="",$D24=0),"",I24/$D24-1)</f>
        <v/>
      </c>
      <c r="J136" s="13">
        <f>IF(OR(J24="",$D24="",$D24=0),"",J24/$D24-1)</f>
        <v/>
      </c>
      <c r="K136" s="13">
        <f>IF(OR(K24="",$D24="",$D24=0),"",K24/$D24-1)</f>
        <v/>
      </c>
      <c r="L136" s="13">
        <f>IF(OR(L24="",$D24="",$D24=0),"",L24/$D24-1)</f>
        <v/>
      </c>
    </row>
    <row r="137">
      <c r="A137" s="22" t="inlineStr">
        <is>
          <t>mit.rnew.pow.all</t>
        </is>
      </c>
      <c r="B137" s="14">
        <f>IFERROR(INDEX(SRDesc,MATCH($A137,SRCode,0)),"")</f>
        <v/>
      </c>
      <c r="C137" s="14">
        <f>IFERROR(INDEX(SRUnit,MATCH($A137,SRCode,0)),"")</f>
        <v/>
      </c>
      <c r="E137" s="13">
        <f>IF(OR(E25="",$D25="",$D25=0),"",E25/$D25-1)</f>
        <v/>
      </c>
      <c r="F137" s="13">
        <f>IF(OR(F25="",$D25="",$D25=0),"",F25/$D25-1)</f>
        <v/>
      </c>
      <c r="G137" s="13">
        <f>IF(OR(G25="",$D25="",$D25=0),"",G25/$D25-1)</f>
        <v/>
      </c>
      <c r="H137" s="13">
        <f>IF(OR(H25="",$D25="",$D25=0),"",H25/$D25-1)</f>
        <v/>
      </c>
      <c r="I137" s="13">
        <f>IF(OR(I25="",$D25="",$D25=0),"",I25/$D25-1)</f>
        <v/>
      </c>
      <c r="J137" s="13">
        <f>IF(OR(J25="",$D25="",$D25=0),"",J25/$D25-1)</f>
        <v/>
      </c>
      <c r="K137" s="13">
        <f>IF(OR(K25="",$D25="",$D25=0),"",K25/$D25-1)</f>
        <v/>
      </c>
      <c r="L137" s="13">
        <f>IF(OR(L25="",$D25="",$D25=0),"",L25/$D25-1)</f>
        <v/>
      </c>
    </row>
    <row r="138">
      <c r="A138" s="22" t="inlineStr">
        <is>
          <t>mit.rxcp.all.all</t>
        </is>
      </c>
      <c r="B138" s="14">
        <f>IFERROR(INDEX(SRDesc,MATCH($A138,SRCode,0)),"")</f>
        <v/>
      </c>
      <c r="C138" s="14">
        <f>IFERROR(INDEX(SRUnit,MATCH($A138,SRCode,0)),"")</f>
        <v/>
      </c>
      <c r="E138" s="13">
        <f>IF(OR(E26="",$D26="",$D26=0),"",E26/$D26-1)</f>
        <v/>
      </c>
      <c r="F138" s="13">
        <f>IF(OR(F26="",$D26="",$D26=0),"",F26/$D26-1)</f>
        <v/>
      </c>
      <c r="G138" s="13">
        <f>IF(OR(G26="",$D26="",$D26=0),"",G26/$D26-1)</f>
        <v/>
      </c>
      <c r="H138" s="13">
        <f>IF(OR(H26="",$D26="",$D26=0),"",H26/$D26-1)</f>
        <v/>
      </c>
      <c r="I138" s="13">
        <f>IF(OR(I26="",$D26="",$D26=0),"",I26/$D26-1)</f>
        <v/>
      </c>
      <c r="J138" s="13">
        <f>IF(OR(J26="",$D26="",$D26=0),"",J26/$D26-1)</f>
        <v/>
      </c>
      <c r="K138" s="13">
        <f>IF(OR(K26="",$D26="",$D26=0),"",K26/$D26-1)</f>
        <v/>
      </c>
      <c r="L138" s="13">
        <f>IF(OR(L26="",$D26="",$D26=0),"",L26/$D26-1)</f>
        <v/>
      </c>
    </row>
    <row r="139">
      <c r="A139" s="22" t="inlineStr">
        <is>
          <t>mit.xct.p</t>
        </is>
      </c>
      <c r="B139" s="14">
        <f>IFERROR(INDEX(SRDesc,MATCH($A139,SRCode,0)),"")</f>
        <v/>
      </c>
      <c r="C139" s="14">
        <f>IFERROR(INDEX(SRUnit,MATCH($A139,SRCode,0)),"")</f>
        <v/>
      </c>
      <c r="E139" s="13">
        <f>IF(OR(E27="",$D27="",$D27=0),"",E27/$D27-1)</f>
        <v/>
      </c>
      <c r="F139" s="13">
        <f>IF(OR(F27="",$D27="",$D27=0),"",F27/$D27-1)</f>
        <v/>
      </c>
      <c r="G139" s="13">
        <f>IF(OR(G27="",$D27="",$D27=0),"",G27/$D27-1)</f>
        <v/>
      </c>
      <c r="H139" s="13">
        <f>IF(OR(H27="",$D27="",$D27=0),"",H27/$D27-1)</f>
        <v/>
      </c>
      <c r="I139" s="13">
        <f>IF(OR(I27="",$D27="",$D27=0),"",I27/$D27-1)</f>
        <v/>
      </c>
      <c r="J139" s="13">
        <f>IF(OR(J27="",$D27="",$D27=0),"",J27/$D27-1)</f>
        <v/>
      </c>
      <c r="K139" s="13">
        <f>IF(OR(K27="",$D27="",$D27=0),"",K27/$D27-1)</f>
        <v/>
      </c>
      <c r="L139" s="13">
        <f>IF(OR(L27="",$D27="",$D27=0),"",L27/$D27-1)</f>
        <v/>
      </c>
    </row>
    <row r="140">
      <c r="A140" s="22" t="inlineStr">
        <is>
          <t>mit.xets.p</t>
        </is>
      </c>
      <c r="B140" s="14">
        <f>IFERROR(INDEX(SRDesc,MATCH($A140,SRCode,0)),"")</f>
        <v/>
      </c>
      <c r="C140" s="14">
        <f>IFERROR(INDEX(SRUnit,MATCH($A140,SRCode,0)),"")</f>
        <v/>
      </c>
      <c r="E140" s="13">
        <f>IF(OR(E28="",$D28="",$D28=0),"",E28/$D28-1)</f>
        <v/>
      </c>
      <c r="F140" s="13">
        <f>IF(OR(F28="",$D28="",$D28=0),"",F28/$D28-1)</f>
        <v/>
      </c>
      <c r="G140" s="13">
        <f>IF(OR(G28="",$D28="",$D28=0),"",G28/$D28-1)</f>
        <v/>
      </c>
      <c r="H140" s="13">
        <f>IF(OR(H28="",$D28="",$D28=0),"",H28/$D28-1)</f>
        <v/>
      </c>
      <c r="I140" s="13">
        <f>IF(OR(I28="",$D28="",$D28=0),"",I28/$D28-1)</f>
        <v/>
      </c>
      <c r="J140" s="13">
        <f>IF(OR(J28="",$D28="",$D28=0),"",J28/$D28-1)</f>
        <v/>
      </c>
      <c r="K140" s="13">
        <f>IF(OR(K28="",$D28="",$D28=0),"",K28/$D28-1)</f>
        <v/>
      </c>
      <c r="L140" s="13">
        <f>IF(OR(L28="",$D28="",$D28=0),"",L28/$D28-1)</f>
        <v/>
      </c>
    </row>
    <row r="141">
      <c r="A141" s="22" t="inlineStr">
        <is>
          <t>mit.cptraj</t>
        </is>
      </c>
      <c r="B141" s="14">
        <f>IFERROR(INDEX(SRDesc,MATCH($A141,SRCode,0)),"")</f>
        <v/>
      </c>
      <c r="C141" s="14">
        <f>IFERROR(INDEX(SRUnit,MATCH($A141,SRCode,0)),"")</f>
        <v/>
      </c>
      <c r="E141" s="13">
        <f>IF(OR(E29="",$D29="",$D29=0),"",E29/$D29-1)</f>
        <v/>
      </c>
      <c r="F141" s="13">
        <f>IF(OR(F29="",$D29="",$D29=0),"",F29/$D29-1)</f>
        <v/>
      </c>
      <c r="G141" s="13">
        <f>IF(OR(G29="",$D29="",$D29=0),"",G29/$D29-1)</f>
        <v/>
      </c>
      <c r="H141" s="13">
        <f>IF(OR(H29="",$D29="",$D29=0),"",H29/$D29-1)</f>
        <v/>
      </c>
      <c r="I141" s="13">
        <f>IF(OR(I29="",$D29="",$D29=0),"",I29/$D29-1)</f>
        <v/>
      </c>
      <c r="J141" s="13">
        <f>IF(OR(J29="",$D29="",$D29=0),"",J29/$D29-1)</f>
        <v/>
      </c>
      <c r="K141" s="13">
        <f>IF(OR(K29="",$D29="",$D29=0),"",K29/$D29-1)</f>
        <v/>
      </c>
      <c r="L141" s="13">
        <f>IF(OR(L29="",$D29="",$D29=0),"",L29/$D29-1)</f>
        <v/>
      </c>
    </row>
    <row r="142">
      <c r="A142" s="22" t="inlineStr">
        <is>
          <t>mit.ets.p</t>
        </is>
      </c>
      <c r="B142" s="14">
        <f>IFERROR(INDEX(SRDesc,MATCH($A142,SRCode,0)),"")</f>
        <v/>
      </c>
      <c r="C142" s="14">
        <f>IFERROR(INDEX(SRUnit,MATCH($A142,SRCode,0)),"")</f>
        <v/>
      </c>
      <c r="E142" s="13">
        <f>IF(OR(E30="",$D30="",$D30=0),"",E30/$D30-1)</f>
        <v/>
      </c>
      <c r="F142" s="13">
        <f>IF(OR(F30="",$D30="",$D30=0),"",F30/$D30-1)</f>
        <v/>
      </c>
      <c r="G142" s="13">
        <f>IF(OR(G30="",$D30="",$D30=0),"",G30/$D30-1)</f>
        <v/>
      </c>
      <c r="H142" s="13">
        <f>IF(OR(H30="",$D30="",$D30=0),"",H30/$D30-1)</f>
        <v/>
      </c>
      <c r="I142" s="13">
        <f>IF(OR(I30="",$D30="",$D30=0),"",I30/$D30-1)</f>
        <v/>
      </c>
      <c r="J142" s="13">
        <f>IF(OR(J30="",$D30="",$D30=0),"",J30/$D30-1)</f>
        <v/>
      </c>
      <c r="K142" s="13">
        <f>IF(OR(K30="",$D30="",$D30=0),"",K30/$D30-1)</f>
        <v/>
      </c>
      <c r="L142" s="13">
        <f>IF(OR(L30="",$D30="",$D30=0),"",L30/$D30-1)</f>
        <v/>
      </c>
    </row>
    <row r="143">
      <c r="A143" s="22" t="inlineStr">
        <is>
          <t>mit.co2.ets.all.all</t>
        </is>
      </c>
      <c r="B143" s="14">
        <f>IFERROR(INDEX(SRDesc,MATCH($A143,SRCode,0)),"")</f>
        <v/>
      </c>
      <c r="C143" s="14">
        <f>IFERROR(INDEX(SRUnit,MATCH($A143,SRCode,0)),"")</f>
        <v/>
      </c>
      <c r="E143" s="13">
        <f>IF(OR(E31="",$D31="",$D31=0),"",E31/$D31-1)</f>
        <v/>
      </c>
      <c r="F143" s="13">
        <f>IF(OR(F31="",$D31="",$D31=0),"",F31/$D31-1)</f>
        <v/>
      </c>
      <c r="G143" s="13">
        <f>IF(OR(G31="",$D31="",$D31=0),"",G31/$D31-1)</f>
        <v/>
      </c>
      <c r="H143" s="13">
        <f>IF(OR(H31="",$D31="",$D31=0),"",H31/$D31-1)</f>
        <v/>
      </c>
      <c r="I143" s="13">
        <f>IF(OR(I31="",$D31="",$D31=0),"",I31/$D31-1)</f>
        <v/>
      </c>
      <c r="J143" s="13">
        <f>IF(OR(J31="",$D31="",$D31=0),"",J31/$D31-1)</f>
        <v/>
      </c>
      <c r="K143" s="13">
        <f>IF(OR(K31="",$D31="",$D31=0),"",K31/$D31-1)</f>
        <v/>
      </c>
      <c r="L143" s="13">
        <f>IF(OR(L31="",$D31="",$D31=0),"",L31/$D31-1)</f>
        <v/>
      </c>
    </row>
    <row r="144">
      <c r="A144" s="22" t="inlineStr">
        <is>
          <t>mit.co2.cap.all.all</t>
        </is>
      </c>
      <c r="B144" s="14">
        <f>IFERROR(INDEX(SRDesc,MATCH($A144,SRCode,0)),"")</f>
        <v/>
      </c>
      <c r="C144" s="14">
        <f>IFERROR(INDEX(SRUnit,MATCH($A144,SRCode,0)),"")</f>
        <v/>
      </c>
      <c r="E144" s="13">
        <f>IF(OR(E32="",$D32="",$D32=0),"",E32/$D32-1)</f>
        <v/>
      </c>
      <c r="F144" s="13">
        <f>IF(OR(F32="",$D32="",$D32=0),"",F32/$D32-1)</f>
        <v/>
      </c>
      <c r="G144" s="13">
        <f>IF(OR(G32="",$D32="",$D32=0),"",G32/$D32-1)</f>
        <v/>
      </c>
      <c r="H144" s="13">
        <f>IF(OR(H32="",$D32="",$D32=0),"",H32/$D32-1)</f>
        <v/>
      </c>
      <c r="I144" s="13">
        <f>IF(OR(I32="",$D32="",$D32=0),"",I32/$D32-1)</f>
        <v/>
      </c>
      <c r="J144" s="13">
        <f>IF(OR(J32="",$D32="",$D32=0),"",J32/$D32-1)</f>
        <v/>
      </c>
      <c r="K144" s="13">
        <f>IF(OR(K32="",$D32="",$D32=0),"",K32/$D32-1)</f>
        <v/>
      </c>
      <c r="L144" s="13">
        <f>IF(OR(L32="",$D32="",$D32=0),"",L32/$D32-1)</f>
        <v/>
      </c>
    </row>
    <row r="145">
      <c r="A145" s="22" t="inlineStr">
        <is>
          <t>mit.rpb.all.gso.a</t>
        </is>
      </c>
      <c r="B145" s="14">
        <f>IFERROR(INDEX(SRDesc,MATCH($A145,SRCode,0)),"")</f>
        <v/>
      </c>
      <c r="C145" s="14">
        <f>IFERROR(INDEX(SRUnit,MATCH($A145,SRCode,0)),"")</f>
        <v/>
      </c>
      <c r="E145" s="13">
        <f>IF(OR(E33="",$D33="",$D33=0),"",E33/$D33-1)</f>
        <v/>
      </c>
      <c r="F145" s="13">
        <f>IF(OR(F33="",$D33="",$D33=0),"",F33/$D33-1)</f>
        <v/>
      </c>
      <c r="G145" s="13">
        <f>IF(OR(G33="",$D33="",$D33=0),"",G33/$D33-1)</f>
        <v/>
      </c>
      <c r="H145" s="13">
        <f>IF(OR(H33="",$D33="",$D33=0),"",H33/$D33-1)</f>
        <v/>
      </c>
      <c r="I145" s="13">
        <f>IF(OR(I33="",$D33="",$D33=0),"",I33/$D33-1)</f>
        <v/>
      </c>
      <c r="J145" s="13">
        <f>IF(OR(J33="",$D33="",$D33=0),"",J33/$D33-1)</f>
        <v/>
      </c>
      <c r="K145" s="13">
        <f>IF(OR(K33="",$D33="",$D33=0),"",K33/$D33-1)</f>
        <v/>
      </c>
      <c r="L145" s="13">
        <f>IF(OR(L33="",$D33="",$D33=0),"",L33/$D33-1)</f>
        <v/>
      </c>
    </row>
    <row r="146">
      <c r="A146" s="22" t="inlineStr">
        <is>
          <t>mit.rpb.all.die.a</t>
        </is>
      </c>
      <c r="B146" s="14">
        <f>IFERROR(INDEX(SRDesc,MATCH($A146,SRCode,0)),"")</f>
        <v/>
      </c>
      <c r="C146" s="14">
        <f>IFERROR(INDEX(SRUnit,MATCH($A146,SRCode,0)),"")</f>
        <v/>
      </c>
      <c r="E146" s="13">
        <f>IF(OR(E34="",$D34="",$D34=0),"",E34/$D34-1)</f>
        <v/>
      </c>
      <c r="F146" s="13">
        <f>IF(OR(F34="",$D34="",$D34=0),"",F34/$D34-1)</f>
        <v/>
      </c>
      <c r="G146" s="13">
        <f>IF(OR(G34="",$D34="",$D34=0),"",G34/$D34-1)</f>
        <v/>
      </c>
      <c r="H146" s="13">
        <f>IF(OR(H34="",$D34="",$D34=0),"",H34/$D34-1)</f>
        <v/>
      </c>
      <c r="I146" s="13">
        <f>IF(OR(I34="",$D34="",$D34=0),"",I34/$D34-1)</f>
        <v/>
      </c>
      <c r="J146" s="13">
        <f>IF(OR(J34="",$D34="",$D34=0),"",J34/$D34-1)</f>
        <v/>
      </c>
      <c r="K146" s="13">
        <f>IF(OR(K34="",$D34="",$D34=0),"",K34/$D34-1)</f>
        <v/>
      </c>
      <c r="L146" s="13">
        <f>IF(OR(L34="",$D34="",$D34=0),"",L34/$D34-1)</f>
        <v/>
      </c>
    </row>
    <row r="147">
      <c r="A147" s="22" t="inlineStr">
        <is>
          <t>mit.rpb.res.nga.a</t>
        </is>
      </c>
      <c r="B147" s="14">
        <f>IFERROR(INDEX(SRDesc,MATCH($A147,SRCode,0)),"")</f>
        <v/>
      </c>
      <c r="C147" s="14">
        <f>IFERROR(INDEX(SRUnit,MATCH($A147,SRCode,0)),"")</f>
        <v/>
      </c>
      <c r="E147" s="13">
        <f>IF(OR(E35="",$D35="",$D35=0),"",E35/$D35-1)</f>
        <v/>
      </c>
      <c r="F147" s="13">
        <f>IF(OR(F35="",$D35="",$D35=0),"",F35/$D35-1)</f>
        <v/>
      </c>
      <c r="G147" s="13">
        <f>IF(OR(G35="",$D35="",$D35=0),"",G35/$D35-1)</f>
        <v/>
      </c>
      <c r="H147" s="13">
        <f>IF(OR(H35="",$D35="",$D35=0),"",H35/$D35-1)</f>
        <v/>
      </c>
      <c r="I147" s="13">
        <f>IF(OR(I35="",$D35="",$D35=0),"",I35/$D35-1)</f>
        <v/>
      </c>
      <c r="J147" s="13">
        <f>IF(OR(J35="",$D35="",$D35=0),"",J35/$D35-1)</f>
        <v/>
      </c>
      <c r="K147" s="13">
        <f>IF(OR(K35="",$D35="",$D35=0),"",K35/$D35-1)</f>
        <v/>
      </c>
      <c r="L147" s="13">
        <f>IF(OR(L35="",$D35="",$D35=0),"",L35/$D35-1)</f>
        <v/>
      </c>
    </row>
    <row r="148">
      <c r="A148" s="22" t="inlineStr">
        <is>
          <t>mit.atp.rod.gso.e</t>
        </is>
      </c>
      <c r="B148" s="14">
        <f>IFERROR(INDEX(SRDesc,MATCH($A148,SRCode,0)),"")</f>
        <v/>
      </c>
      <c r="C148" s="14">
        <f>IFERROR(INDEX(SRUnit,MATCH($A148,SRCode,0)),"")</f>
        <v/>
      </c>
      <c r="E148" s="13">
        <f>IF(OR(E36="",$D36="",$D36=0),"",E36/$D36-1)</f>
        <v/>
      </c>
      <c r="F148" s="13">
        <f>IF(OR(F36="",$D36="",$D36=0),"",F36/$D36-1)</f>
        <v/>
      </c>
      <c r="G148" s="13">
        <f>IF(OR(G36="",$D36="",$D36=0),"",G36/$D36-1)</f>
        <v/>
      </c>
      <c r="H148" s="13">
        <f>IF(OR(H36="",$D36="",$D36=0),"",H36/$D36-1)</f>
        <v/>
      </c>
      <c r="I148" s="13">
        <f>IF(OR(I36="",$D36="",$D36=0),"",I36/$D36-1)</f>
        <v/>
      </c>
      <c r="J148" s="13">
        <f>IF(OR(J36="",$D36="",$D36=0),"",J36/$D36-1)</f>
        <v/>
      </c>
      <c r="K148" s="13">
        <f>IF(OR(K36="",$D36="",$D36=0),"",K36/$D36-1)</f>
        <v/>
      </c>
      <c r="L148" s="13">
        <f>IF(OR(L36="",$D36="",$D36=0),"",L36/$D36-1)</f>
        <v/>
      </c>
    </row>
    <row r="149">
      <c r="A149" s="22" t="inlineStr">
        <is>
          <t>mit.rp.res.ecy</t>
        </is>
      </c>
      <c r="B149" s="14">
        <f>IFERROR(INDEX(SRDesc,MATCH($A149,SRCode,0)),"")</f>
        <v/>
      </c>
      <c r="C149" s="14">
        <f>IFERROR(INDEX(SRUnit,MATCH($A149,SRCode,0)),"")</f>
        <v/>
      </c>
      <c r="E149" s="13">
        <f>IF(OR(E37="",$D37="",$D37=0),"",E37/$D37-1)</f>
        <v/>
      </c>
      <c r="F149" s="13">
        <f>IF(OR(F37="",$D37="",$D37=0),"",F37/$D37-1)</f>
        <v/>
      </c>
      <c r="G149" s="13">
        <f>IF(OR(G37="",$D37="",$D37=0),"",G37/$D37-1)</f>
        <v/>
      </c>
      <c r="H149" s="13">
        <f>IF(OR(H37="",$D37="",$D37=0),"",H37/$D37-1)</f>
        <v/>
      </c>
      <c r="I149" s="13">
        <f>IF(OR(I37="",$D37="",$D37=0),"",I37/$D37-1)</f>
        <v/>
      </c>
      <c r="J149" s="13">
        <f>IF(OR(J37="",$D37="",$D37=0),"",J37/$D37-1)</f>
        <v/>
      </c>
      <c r="K149" s="13">
        <f>IF(OR(K37="",$D37="",$D37=0),"",K37/$D37-1)</f>
        <v/>
      </c>
      <c r="L149" s="13">
        <f>IF(OR(L37="",$D37="",$D37=0),"",L37/$D37-1)</f>
        <v/>
      </c>
    </row>
    <row r="150">
      <c r="A150" s="22" t="inlineStr">
        <is>
          <t>mit.rp.ind.ecy</t>
        </is>
      </c>
      <c r="B150" s="14">
        <f>IFERROR(INDEX(SRDesc,MATCH($A150,SRCode,0)),"")</f>
        <v/>
      </c>
      <c r="C150" s="14">
        <f>IFERROR(INDEX(SRUnit,MATCH($A150,SRCode,0)),"")</f>
        <v/>
      </c>
      <c r="E150" s="13">
        <f>IF(OR(E38="",$D38="",$D38=0),"",E38/$D38-1)</f>
        <v/>
      </c>
      <c r="F150" s="13">
        <f>IF(OR(F38="",$D38="",$D38=0),"",F38/$D38-1)</f>
        <v/>
      </c>
      <c r="G150" s="13">
        <f>IF(OR(G38="",$D38="",$D38=0),"",G38/$D38-1)</f>
        <v/>
      </c>
      <c r="H150" s="13">
        <f>IF(OR(H38="",$D38="",$D38=0),"",H38/$D38-1)</f>
        <v/>
      </c>
      <c r="I150" s="13">
        <f>IF(OR(I38="",$D38="",$D38=0),"",I38/$D38-1)</f>
        <v/>
      </c>
      <c r="J150" s="13">
        <f>IF(OR(J38="",$D38="",$D38=0),"",J38/$D38-1)</f>
        <v/>
      </c>
      <c r="K150" s="13">
        <f>IF(OR(K38="",$D38="",$D38=0),"",K38/$D38-1)</f>
        <v/>
      </c>
      <c r="L150" s="13">
        <f>IF(OR(L38="",$D38="",$D38=0),"",L38/$D38-1)</f>
        <v/>
      </c>
    </row>
    <row r="151">
      <c r="A151" s="22" t="inlineStr">
        <is>
          <t>mit.gncav</t>
        </is>
      </c>
      <c r="B151" s="14">
        <f>IFERROR(INDEX(SRDesc,MATCH($A151,SRCode,0)),"")</f>
        <v/>
      </c>
      <c r="C151" s="14">
        <f>IFERROR(INDEX(SRUnit,MATCH($A151,SRCode,0)),"")</f>
        <v/>
      </c>
      <c r="E151" s="13">
        <f>IF(OR(E39="",$D39="",$D39=0),"",E39/$D39-1)</f>
        <v/>
      </c>
      <c r="F151" s="13">
        <f>IF(OR(F39="",$D39="",$D39=0),"",F39/$D39-1)</f>
        <v/>
      </c>
      <c r="G151" s="13">
        <f>IF(OR(G39="",$D39="",$D39=0),"",G39/$D39-1)</f>
        <v/>
      </c>
      <c r="H151" s="13">
        <f>IF(OR(H39="",$D39="",$D39=0),"",H39/$D39-1)</f>
        <v/>
      </c>
      <c r="I151" s="13">
        <f>IF(OR(I39="",$D39="",$D39=0),"",I39/$D39-1)</f>
        <v/>
      </c>
      <c r="J151" s="13">
        <f>IF(OR(J39="",$D39="",$D39=0),"",J39/$D39-1)</f>
        <v/>
      </c>
      <c r="K151" s="13">
        <f>IF(OR(K39="",$D39="",$D39=0),"",K39/$D39-1)</f>
        <v/>
      </c>
      <c r="L151" s="13">
        <f>IF(OR(L39="",$D39="",$D39=0),"",L39/$D39-1)</f>
        <v/>
      </c>
    </row>
    <row r="152">
      <c r="A152" s="22" t="inlineStr">
        <is>
          <t>mit.co2.pow.all.e</t>
        </is>
      </c>
      <c r="B152" s="14">
        <f>IFERROR(INDEX(SRDesc,MATCH($A152,SRCode,0)),"")</f>
        <v/>
      </c>
      <c r="C152" s="14">
        <f>IFERROR(INDEX(SRUnit,MATCH($A152,SRCode,0)),"")</f>
        <v/>
      </c>
      <c r="E152" s="13">
        <f>IF(OR(E40="",$D40="",$D40=0),"",E40/$D40-1)</f>
        <v/>
      </c>
      <c r="F152" s="13">
        <f>IF(OR(F40="",$D40="",$D40=0),"",F40/$D40-1)</f>
        <v/>
      </c>
      <c r="G152" s="13">
        <f>IF(OR(G40="",$D40="",$D40=0),"",G40/$D40-1)</f>
        <v/>
      </c>
      <c r="H152" s="13">
        <f>IF(OR(H40="",$D40="",$D40=0),"",H40/$D40-1)</f>
        <v/>
      </c>
      <c r="I152" s="13">
        <f>IF(OR(I40="",$D40="",$D40=0),"",I40/$D40-1)</f>
        <v/>
      </c>
      <c r="J152" s="13">
        <f>IF(OR(J40="",$D40="",$D40=0),"",J40/$D40-1)</f>
        <v/>
      </c>
      <c r="K152" s="13">
        <f>IF(OR(K40="",$D40="",$D40=0),"",K40/$D40-1)</f>
        <v/>
      </c>
      <c r="L152" s="13">
        <f>IF(OR(L40="",$D40="",$D40=0),"",L40/$D40-1)</f>
        <v/>
      </c>
    </row>
    <row r="153">
      <c r="A153" s="22" t="inlineStr">
        <is>
          <t>mit.gtot</t>
        </is>
      </c>
      <c r="B153" s="14">
        <f>IFERROR(INDEX(SRDesc,MATCH($A153,SRCode,0)),"")</f>
        <v/>
      </c>
      <c r="C153" s="14">
        <f>IFERROR(INDEX(SRUnit,MATCH($A153,SRCode,0)),"")</f>
        <v/>
      </c>
      <c r="E153" s="13">
        <f>IF(OR(E41="",$D41="",$D41=0),"",E41/$D41-1)</f>
        <v/>
      </c>
      <c r="F153" s="13">
        <f>IF(OR(F41="",$D41="",$D41=0),"",F41/$D41-1)</f>
        <v/>
      </c>
      <c r="G153" s="13">
        <f>IF(OR(G41="",$D41="",$D41=0),"",G41/$D41-1)</f>
        <v/>
      </c>
      <c r="H153" s="13">
        <f>IF(OR(H41="",$D41="",$D41=0),"",H41/$D41-1)</f>
        <v/>
      </c>
      <c r="I153" s="13">
        <f>IF(OR(I41="",$D41="",$D41=0),"",I41/$D41-1)</f>
        <v/>
      </c>
      <c r="J153" s="13">
        <f>IF(OR(J41="",$D41="",$D41=0),"",J41/$D41-1)</f>
        <v/>
      </c>
      <c r="K153" s="13">
        <f>IF(OR(K41="",$D41="",$D41=0),"",K41/$D41-1)</f>
        <v/>
      </c>
      <c r="L153" s="13">
        <f>IF(OR(L41="",$D41="",$D41=0),"",L41/$D41-1)</f>
        <v/>
      </c>
    </row>
    <row r="154">
      <c r="A154" s="22" t="inlineStr">
        <is>
          <t>mit.vre</t>
        </is>
      </c>
      <c r="B154" s="14">
        <f>IFERROR(INDEX(SRDesc,MATCH($A154,SRCode,0)),"")</f>
        <v/>
      </c>
      <c r="C154" s="14">
        <f>IFERROR(INDEX(SRUnit,MATCH($A154,SRCode,0)),"")</f>
        <v/>
      </c>
      <c r="E154" s="13">
        <f>IF(OR(E42="",$D42="",$D42=0),"",E42/$D42-1)</f>
        <v/>
      </c>
      <c r="F154" s="13">
        <f>IF(OR(F42="",$D42="",$D42=0),"",F42/$D42-1)</f>
        <v/>
      </c>
      <c r="G154" s="13">
        <f>IF(OR(G42="",$D42="",$D42=0),"",G42/$D42-1)</f>
        <v/>
      </c>
      <c r="H154" s="13">
        <f>IF(OR(H42="",$D42="",$D42=0),"",H42/$D42-1)</f>
        <v/>
      </c>
      <c r="I154" s="13">
        <f>IF(OR(I42="",$D42="",$D42=0),"",I42/$D42-1)</f>
        <v/>
      </c>
      <c r="J154" s="13">
        <f>IF(OR(J42="",$D42="",$D42=0),"",J42/$D42-1)</f>
        <v/>
      </c>
      <c r="K154" s="13">
        <f>IF(OR(K42="",$D42="",$D42=0),"",K42/$D42-1)</f>
        <v/>
      </c>
      <c r="L154" s="13">
        <f>IF(OR(L42="",$D42="",$D42=0),"",L42/$D42-1)</f>
        <v/>
      </c>
    </row>
    <row r="155">
      <c r="A155" s="22" t="inlineStr">
        <is>
          <t>mit.shr.pow.nga</t>
        </is>
      </c>
      <c r="B155" s="14">
        <f>IFERROR(INDEX(SRDesc,MATCH($A155,SRCode,0)),"")</f>
        <v/>
      </c>
      <c r="C155" s="14">
        <f>IFERROR(INDEX(SRUnit,MATCH($A155,SRCode,0)),"")</f>
        <v/>
      </c>
      <c r="E155" s="13">
        <f>IF(OR(E43="",$D43="",$D43=0),"",E43/$D43-1)</f>
        <v/>
      </c>
      <c r="F155" s="13">
        <f>IF(OR(F43="",$D43="",$D43=0),"",F43/$D43-1)</f>
        <v/>
      </c>
      <c r="G155" s="13">
        <f>IF(OR(G43="",$D43="",$D43=0),"",G43/$D43-1)</f>
        <v/>
      </c>
      <c r="H155" s="13">
        <f>IF(OR(H43="",$D43="",$D43=0),"",H43/$D43-1)</f>
        <v/>
      </c>
      <c r="I155" s="13">
        <f>IF(OR(I43="",$D43="",$D43=0),"",I43/$D43-1)</f>
        <v/>
      </c>
      <c r="J155" s="13">
        <f>IF(OR(J43="",$D43="",$D43=0),"",J43/$D43-1)</f>
        <v/>
      </c>
      <c r="K155" s="13">
        <f>IF(OR(K43="",$D43="",$D43=0),"",K43/$D43-1)</f>
        <v/>
      </c>
      <c r="L155" s="13">
        <f>IF(OR(L43="",$D43="",$D43=0),"",L43/$D43-1)</f>
        <v/>
      </c>
    </row>
    <row r="156">
      <c r="A156" s="22" t="inlineStr">
        <is>
          <t>mit.usdtot</t>
        </is>
      </c>
      <c r="B156" s="14">
        <f>IFERROR(INDEX(SRDesc,MATCH($A156,SRCode,0)),"")</f>
        <v/>
      </c>
      <c r="C156" s="14">
        <f>IFERROR(INDEX(SRUnit,MATCH($A156,SRCode,0)),"")</f>
        <v/>
      </c>
      <c r="E156" s="13">
        <f>IF(OR(E44="",$D44="",$D44=0),"",E44/$D44-1)</f>
        <v/>
      </c>
      <c r="F156" s="13">
        <f>IF(OR(F44="",$D44="",$D44=0),"",F44/$D44-1)</f>
        <v/>
      </c>
      <c r="G156" s="13">
        <f>IF(OR(G44="",$D44="",$D44=0),"",G44/$D44-1)</f>
        <v/>
      </c>
      <c r="H156" s="13">
        <f>IF(OR(H44="",$D44="",$D44=0),"",H44/$D44-1)</f>
        <v/>
      </c>
      <c r="I156" s="13">
        <f>IF(OR(I44="",$D44="",$D44=0),"",I44/$D44-1)</f>
        <v/>
      </c>
      <c r="J156" s="13">
        <f>IF(OR(J44="",$D44="",$D44=0),"",J44/$D44-1)</f>
        <v/>
      </c>
      <c r="K156" s="13">
        <f>IF(OR(K44="",$D44="",$D44=0),"",K44/$D44-1)</f>
        <v/>
      </c>
      <c r="L156" s="13">
        <f>IF(OR(L44="",$D44="",$D44=0),"",L44/$D44-1)</f>
        <v/>
      </c>
    </row>
    <row r="157">
      <c r="A157" s="22" t="inlineStr">
        <is>
          <t>mit.demtot</t>
        </is>
      </c>
      <c r="B157" s="14">
        <f>IFERROR(INDEX(SRDesc,MATCH($A157,SRCode,0)),"")</f>
        <v/>
      </c>
      <c r="C157" s="14">
        <f>IFERROR(INDEX(SRUnit,MATCH($A157,SRCode,0)),"")</f>
        <v/>
      </c>
      <c r="E157" s="13">
        <f>IF(OR(E45="",$D45="",$D45=0),"",E45/$D45-1)</f>
        <v/>
      </c>
      <c r="F157" s="13">
        <f>IF(OR(F45="",$D45="",$D45=0),"",F45/$D45-1)</f>
        <v/>
      </c>
      <c r="G157" s="13">
        <f>IF(OR(G45="",$D45="",$D45=0),"",G45/$D45-1)</f>
        <v/>
      </c>
      <c r="H157" s="13">
        <f>IF(OR(H45="",$D45="",$D45=0),"",H45/$D45-1)</f>
        <v/>
      </c>
      <c r="I157" s="13">
        <f>IF(OR(I45="",$D45="",$D45=0),"",I45/$D45-1)</f>
        <v/>
      </c>
      <c r="J157" s="13">
        <f>IF(OR(J45="",$D45="",$D45=0),"",J45/$D45-1)</f>
        <v/>
      </c>
      <c r="K157" s="13">
        <f>IF(OR(K45="",$D45="",$D45=0),"",K45/$D45-1)</f>
        <v/>
      </c>
      <c r="L157" s="13">
        <f>IF(OR(L45="",$D45="",$D45=0),"",L45/$D45-1)</f>
        <v/>
      </c>
    </row>
    <row r="158">
      <c r="A158" s="22" t="inlineStr">
        <is>
          <t>mit.eldem.tra.ecy.e</t>
        </is>
      </c>
      <c r="B158" s="14">
        <f>IFERROR(INDEX(SRDesc,MATCH($A158,SRCode,0)),"")</f>
        <v/>
      </c>
      <c r="C158" s="14">
        <f>IFERROR(INDEX(SRUnit,MATCH($A158,SRCode,0)),"")</f>
        <v/>
      </c>
      <c r="E158" s="13">
        <f>IF(OR(E46="",$D46="",$D46=0),"",E46/$D46-1)</f>
        <v/>
      </c>
      <c r="F158" s="13">
        <f>IF(OR(F46="",$D46="",$D46=0),"",F46/$D46-1)</f>
        <v/>
      </c>
      <c r="G158" s="13">
        <f>IF(OR(G46="",$D46="",$D46=0),"",G46/$D46-1)</f>
        <v/>
      </c>
      <c r="H158" s="13">
        <f>IF(OR(H46="",$D46="",$D46=0),"",H46/$D46-1)</f>
        <v/>
      </c>
      <c r="I158" s="13">
        <f>IF(OR(I46="",$D46="",$D46=0),"",I46/$D46-1)</f>
        <v/>
      </c>
      <c r="J158" s="13">
        <f>IF(OR(J46="",$D46="",$D46=0),"",J46/$D46-1)</f>
        <v/>
      </c>
      <c r="K158" s="13">
        <f>IF(OR(K46="",$D46="",$D46=0),"",K46/$D46-1)</f>
        <v/>
      </c>
      <c r="L158" s="13">
        <f>IF(OR(L46="",$D46="",$D46=0),"",L46/$D46-1)</f>
        <v/>
      </c>
    </row>
    <row r="159">
      <c r="A159" s="22" t="inlineStr">
        <is>
          <t>mit.eldem.bld.ecy.e</t>
        </is>
      </c>
      <c r="B159" s="14">
        <f>IFERROR(INDEX(SRDesc,MATCH($A159,SRCode,0)),"")</f>
        <v/>
      </c>
      <c r="C159" s="14">
        <f>IFERROR(INDEX(SRUnit,MATCH($A159,SRCode,0)),"")</f>
        <v/>
      </c>
      <c r="E159" s="13">
        <f>IF(OR(E47="",$D47="",$D47=0),"",E47/$D47-1)</f>
        <v/>
      </c>
      <c r="F159" s="13">
        <f>IF(OR(F47="",$D47="",$D47=0),"",F47/$D47-1)</f>
        <v/>
      </c>
      <c r="G159" s="13">
        <f>IF(OR(G47="",$D47="",$D47=0),"",G47/$D47-1)</f>
        <v/>
      </c>
      <c r="H159" s="13">
        <f>IF(OR(H47="",$D47="",$D47=0),"",H47/$D47-1)</f>
        <v/>
      </c>
      <c r="I159" s="13">
        <f>IF(OR(I47="",$D47="",$D47=0),"",I47/$D47-1)</f>
        <v/>
      </c>
      <c r="J159" s="13">
        <f>IF(OR(J47="",$D47="",$D47=0),"",J47/$D47-1)</f>
        <v/>
      </c>
      <c r="K159" s="13">
        <f>IF(OR(K47="",$D47="",$D47=0),"",K47/$D47-1)</f>
        <v/>
      </c>
      <c r="L159" s="13">
        <f>IF(OR(L47="",$D47="",$D47=0),"",L47/$D47-1)</f>
        <v/>
      </c>
    </row>
    <row r="160">
      <c r="A160" s="22" t="inlineStr">
        <is>
          <t>mit.eldem.ind.ecy.e</t>
        </is>
      </c>
      <c r="B160" s="14">
        <f>IFERROR(INDEX(SRDesc,MATCH($A160,SRCode,0)),"")</f>
        <v/>
      </c>
      <c r="C160" s="14">
        <f>IFERROR(INDEX(SRUnit,MATCH($A160,SRCode,0)),"")</f>
        <v/>
      </c>
      <c r="E160" s="13">
        <f>IF(OR(E48="",$D48="",$D48=0),"",E48/$D48-1)</f>
        <v/>
      </c>
      <c r="F160" s="13">
        <f>IF(OR(F48="",$D48="",$D48=0),"",F48/$D48-1)</f>
        <v/>
      </c>
      <c r="G160" s="13">
        <f>IF(OR(G48="",$D48="",$D48=0),"",G48/$D48-1)</f>
        <v/>
      </c>
      <c r="H160" s="13">
        <f>IF(OR(H48="",$D48="",$D48=0),"",H48/$D48-1)</f>
        <v/>
      </c>
      <c r="I160" s="13">
        <f>IF(OR(I48="",$D48="",$D48=0),"",I48/$D48-1)</f>
        <v/>
      </c>
      <c r="J160" s="13">
        <f>IF(OR(J48="",$D48="",$D48=0),"",J48/$D48-1)</f>
        <v/>
      </c>
      <c r="K160" s="13">
        <f>IF(OR(K48="",$D48="",$D48=0),"",K48/$D48-1)</f>
        <v/>
      </c>
      <c r="L160" s="13">
        <f>IF(OR(L48="",$D48="",$D48=0),"",L48/$D48-1)</f>
        <v/>
      </c>
    </row>
    <row r="161">
      <c r="A161" s="22" t="inlineStr">
        <is>
          <t>mit.eldem.oen.ecy.e</t>
        </is>
      </c>
      <c r="B161" s="14">
        <f>IFERROR(INDEX(SRDesc,MATCH($A161,SRCode,0)),"")</f>
        <v/>
      </c>
      <c r="C161" s="14">
        <f>IFERROR(INDEX(SRUnit,MATCH($A161,SRCode,0)),"")</f>
        <v/>
      </c>
      <c r="E161" s="13">
        <f>IF(OR(E49="",$D49="",$D49=0),"",E49/$D49-1)</f>
        <v/>
      </c>
      <c r="F161" s="13">
        <f>IF(OR(F49="",$D49="",$D49=0),"",F49/$D49-1)</f>
        <v/>
      </c>
      <c r="G161" s="13">
        <f>IF(OR(G49="",$D49="",$D49=0),"",G49/$D49-1)</f>
        <v/>
      </c>
      <c r="H161" s="13">
        <f>IF(OR(H49="",$D49="",$D49=0),"",H49/$D49-1)</f>
        <v/>
      </c>
      <c r="I161" s="13">
        <f>IF(OR(I49="",$D49="",$D49=0),"",I49/$D49-1)</f>
        <v/>
      </c>
      <c r="J161" s="13">
        <f>IF(OR(J49="",$D49="",$D49=0),"",J49/$D49-1)</f>
        <v/>
      </c>
      <c r="K161" s="13">
        <f>IF(OR(K49="",$D49="",$D49=0),"",K49/$D49-1)</f>
        <v/>
      </c>
      <c r="L161" s="13">
        <f>IF(OR(L49="",$D49="",$D49=0),"",L49/$D49-1)</f>
        <v/>
      </c>
    </row>
    <row r="162">
      <c r="A162" s="22" t="inlineStr">
        <is>
          <t>mit.req</t>
        </is>
      </c>
      <c r="B162" s="14">
        <f>IFERROR(INDEX(SRDesc,MATCH($A162,SRCode,0)),"")</f>
        <v/>
      </c>
      <c r="C162" s="14">
        <f>IFERROR(INDEX(SRUnit,MATCH($A162,SRCode,0)),"")</f>
        <v/>
      </c>
      <c r="E162" s="13">
        <f>IF(OR(E50="",$D50="",$D50=0),"",E50/$D50-1)</f>
        <v/>
      </c>
      <c r="F162" s="13">
        <f>IF(OR(F50="",$D50="",$D50=0),"",F50/$D50-1)</f>
        <v/>
      </c>
      <c r="G162" s="13">
        <f>IF(OR(G50="",$D50="",$D50=0),"",G50/$D50-1)</f>
        <v/>
      </c>
      <c r="H162" s="13">
        <f>IF(OR(H50="",$D50="",$D50=0),"",H50/$D50-1)</f>
        <v/>
      </c>
      <c r="I162" s="13">
        <f>IF(OR(I50="",$D50="",$D50=0),"",I50/$D50-1)</f>
        <v/>
      </c>
      <c r="J162" s="13">
        <f>IF(OR(J50="",$D50="",$D50=0),"",J50/$D50-1)</f>
        <v/>
      </c>
      <c r="K162" s="13">
        <f>IF(OR(K50="",$D50="",$D50=0),"",K50/$D50-1)</f>
        <v/>
      </c>
      <c r="L162" s="13">
        <f>IF(OR(L50="",$D50="",$D50=0),"",L50/$D50-1)</f>
        <v/>
      </c>
    </row>
    <row r="163">
      <c r="A163" s="22" t="inlineStr">
        <is>
          <t>mit.captot</t>
        </is>
      </c>
      <c r="B163" s="14">
        <f>IFERROR(INDEX(SRDesc,MATCH($A163,SRCode,0)),"")</f>
        <v/>
      </c>
      <c r="C163" s="14">
        <f>IFERROR(INDEX(SRUnit,MATCH($A163,SRCode,0)),"")</f>
        <v/>
      </c>
      <c r="E163" s="13">
        <f>IF(OR(E51="",$D51="",$D51=0),"",E51/$D51-1)</f>
        <v/>
      </c>
      <c r="F163" s="13">
        <f>IF(OR(F51="",$D51="",$D51=0),"",F51/$D51-1)</f>
        <v/>
      </c>
      <c r="G163" s="13">
        <f>IF(OR(G51="",$D51="",$D51=0),"",G51/$D51-1)</f>
        <v/>
      </c>
      <c r="H163" s="13">
        <f>IF(OR(H51="",$D51="",$D51=0),"",H51/$D51-1)</f>
        <v/>
      </c>
      <c r="I163" s="13">
        <f>IF(OR(I51="",$D51="",$D51=0),"",I51/$D51-1)</f>
        <v/>
      </c>
      <c r="J163" s="13">
        <f>IF(OR(J51="",$D51="",$D51=0),"",J51/$D51-1)</f>
        <v/>
      </c>
      <c r="K163" s="13">
        <f>IF(OR(K51="",$D51="",$D51=0),"",K51/$D51-1)</f>
        <v/>
      </c>
      <c r="L163" s="13">
        <f>IF(OR(L51="",$D51="",$D51=0),"",L51/$D51-1)</f>
        <v/>
      </c>
    </row>
    <row r="164">
      <c r="A164" s="22" t="inlineStr">
        <is>
          <t>mit.cap.pow.wnd</t>
        </is>
      </c>
      <c r="B164" s="14">
        <f>IFERROR(INDEX(SRDesc,MATCH($A164,SRCode,0)),"")</f>
        <v/>
      </c>
      <c r="C164" s="14">
        <f>IFERROR(INDEX(SRUnit,MATCH($A164,SRCode,0)),"")</f>
        <v/>
      </c>
      <c r="E164" s="13">
        <f>IF(OR(E52="",$D52="",$D52=0),"",E52/$D52-1)</f>
        <v/>
      </c>
      <c r="F164" s="13">
        <f>IF(OR(F52="",$D52="",$D52=0),"",F52/$D52-1)</f>
        <v/>
      </c>
      <c r="G164" s="13">
        <f>IF(OR(G52="",$D52="",$D52=0),"",G52/$D52-1)</f>
        <v/>
      </c>
      <c r="H164" s="13">
        <f>IF(OR(H52="",$D52="",$D52=0),"",H52/$D52-1)</f>
        <v/>
      </c>
      <c r="I164" s="13">
        <f>IF(OR(I52="",$D52="",$D52=0),"",I52/$D52-1)</f>
        <v/>
      </c>
      <c r="J164" s="13">
        <f>IF(OR(J52="",$D52="",$D52=0),"",J52/$D52-1)</f>
        <v/>
      </c>
      <c r="K164" s="13">
        <f>IF(OR(K52="",$D52="",$D52=0),"",K52/$D52-1)</f>
        <v/>
      </c>
      <c r="L164" s="13">
        <f>IF(OR(L52="",$D52="",$D52=0),"",L52/$D52-1)</f>
        <v/>
      </c>
    </row>
    <row r="165">
      <c r="A165" s="22" t="inlineStr">
        <is>
          <t>mit.cap.pow.sol</t>
        </is>
      </c>
      <c r="B165" s="14">
        <f>IFERROR(INDEX(SRDesc,MATCH($A165,SRCode,0)),"")</f>
        <v/>
      </c>
      <c r="C165" s="14">
        <f>IFERROR(INDEX(SRUnit,MATCH($A165,SRCode,0)),"")</f>
        <v/>
      </c>
      <c r="E165" s="13">
        <f>IF(OR(E53="",$D53="",$D53=0),"",E53/$D53-1)</f>
        <v/>
      </c>
      <c r="F165" s="13">
        <f>IF(OR(F53="",$D53="",$D53=0),"",F53/$D53-1)</f>
        <v/>
      </c>
      <c r="G165" s="13">
        <f>IF(OR(G53="",$D53="",$D53=0),"",G53/$D53-1)</f>
        <v/>
      </c>
      <c r="H165" s="13">
        <f>IF(OR(H53="",$D53="",$D53=0),"",H53/$D53-1)</f>
        <v/>
      </c>
      <c r="I165" s="13">
        <f>IF(OR(I53="",$D53="",$D53=0),"",I53/$D53-1)</f>
        <v/>
      </c>
      <c r="J165" s="13">
        <f>IF(OR(J53="",$D53="",$D53=0),"",J53/$D53-1)</f>
        <v/>
      </c>
      <c r="K165" s="13">
        <f>IF(OR(K53="",$D53="",$D53=0),"",K53/$D53-1)</f>
        <v/>
      </c>
      <c r="L165" s="13">
        <f>IF(OR(L53="",$D53="",$D53=0),"",L53/$D53-1)</f>
        <v/>
      </c>
    </row>
    <row r="166">
      <c r="A166" s="22" t="inlineStr">
        <is>
          <t>mit.nimtot</t>
        </is>
      </c>
      <c r="B166" s="14">
        <f>IFERROR(INDEX(SRDesc,MATCH($A166,SRCode,0)),"")</f>
        <v/>
      </c>
      <c r="C166" s="14">
        <f>IFERROR(INDEX(SRUnit,MATCH($A166,SRCode,0)),"")</f>
        <v/>
      </c>
      <c r="E166" s="13">
        <f>IF(OR(E54="",$D54="",$D54=0),"",E54/$D54-1)</f>
        <v/>
      </c>
      <c r="F166" s="13">
        <f>IF(OR(F54="",$D54="",$D54=0),"",F54/$D54-1)</f>
        <v/>
      </c>
      <c r="G166" s="13">
        <f>IF(OR(G54="",$D54="",$D54=0),"",G54/$D54-1)</f>
        <v/>
      </c>
      <c r="H166" s="13">
        <f>IF(OR(H54="",$D54="",$D54=0),"",H54/$D54-1)</f>
        <v/>
      </c>
      <c r="I166" s="13">
        <f>IF(OR(I54="",$D54="",$D54=0),"",I54/$D54-1)</f>
        <v/>
      </c>
      <c r="J166" s="13">
        <f>IF(OR(J54="",$D54="",$D54=0),"",J54/$D54-1)</f>
        <v/>
      </c>
      <c r="K166" s="13">
        <f>IF(OR(K54="",$D54="",$D54=0),"",K54/$D54-1)</f>
        <v/>
      </c>
      <c r="L166" s="13">
        <f>IF(OR(L54="",$D54="",$D54=0),"",L54/$D54-1)</f>
        <v/>
      </c>
    </row>
    <row r="167">
      <c r="A167" s="22" t="inlineStr">
        <is>
          <t>mit.shr.pow.coa</t>
        </is>
      </c>
      <c r="B167" s="14">
        <f>IFERROR(INDEX(SRDesc,MATCH($A167,SRCode,0)),"")</f>
        <v/>
      </c>
      <c r="C167" s="14">
        <f>IFERROR(INDEX(SRUnit,MATCH($A167,SRCode,0)),"")</f>
        <v/>
      </c>
      <c r="E167" s="13">
        <f>IF(OR(E55="",$D55="",$D55=0),"",E55/$D55-1)</f>
        <v/>
      </c>
      <c r="F167" s="13">
        <f>IF(OR(F55="",$D55="",$D55=0),"",F55/$D55-1)</f>
        <v/>
      </c>
      <c r="G167" s="13">
        <f>IF(OR(G55="",$D55="",$D55=0),"",G55/$D55-1)</f>
        <v/>
      </c>
      <c r="H167" s="13">
        <f>IF(OR(H55="",$D55="",$D55=0),"",H55/$D55-1)</f>
        <v/>
      </c>
      <c r="I167" s="13">
        <f>IF(OR(I55="",$D55="",$D55=0),"",I55/$D55-1)</f>
        <v/>
      </c>
      <c r="J167" s="13">
        <f>IF(OR(J55="",$D55="",$D55=0),"",J55/$D55-1)</f>
        <v/>
      </c>
      <c r="K167" s="13">
        <f>IF(OR(K55="",$D55="",$D55=0),"",K55/$D55-1)</f>
        <v/>
      </c>
      <c r="L167" s="13">
        <f>IF(OR(L55="",$D55="",$D55=0),"",L55/$D55-1)</f>
        <v/>
      </c>
    </row>
    <row r="168">
      <c r="A168" s="22" t="inlineStr">
        <is>
          <t>mit.shr.pow.oop</t>
        </is>
      </c>
      <c r="B168" s="14">
        <f>IFERROR(INDEX(SRDesc,MATCH($A168,SRCode,0)),"")</f>
        <v/>
      </c>
      <c r="C168" s="14">
        <f>IFERROR(INDEX(SRUnit,MATCH($A168,SRCode,0)),"")</f>
        <v/>
      </c>
      <c r="E168" s="13">
        <f>IF(OR(E56="",$D56="",$D56=0),"",E56/$D56-1)</f>
        <v/>
      </c>
      <c r="F168" s="13">
        <f>IF(OR(F56="",$D56="",$D56=0),"",F56/$D56-1)</f>
        <v/>
      </c>
      <c r="G168" s="13">
        <f>IF(OR(G56="",$D56="",$D56=0),"",G56/$D56-1)</f>
        <v/>
      </c>
      <c r="H168" s="13">
        <f>IF(OR(H56="",$D56="",$D56=0),"",H56/$D56-1)</f>
        <v/>
      </c>
      <c r="I168" s="13">
        <f>IF(OR(I56="",$D56="",$D56=0),"",I56/$D56-1)</f>
        <v/>
      </c>
      <c r="J168" s="13">
        <f>IF(OR(J56="",$D56="",$D56=0),"",J56/$D56-1)</f>
        <v/>
      </c>
      <c r="K168" s="13">
        <f>IF(OR(K56="",$D56="",$D56=0),"",K56/$D56-1)</f>
        <v/>
      </c>
      <c r="L168" s="13">
        <f>IF(OR(L56="",$D56="",$D56=0),"",L56/$D56-1)</f>
        <v/>
      </c>
    </row>
    <row r="169">
      <c r="A169" s="22" t="inlineStr">
        <is>
          <t>mit.shr.pow.wnd</t>
        </is>
      </c>
      <c r="B169" s="14">
        <f>IFERROR(INDEX(SRDesc,MATCH($A169,SRCode,0)),"")</f>
        <v/>
      </c>
      <c r="C169" s="14">
        <f>IFERROR(INDEX(SRUnit,MATCH($A169,SRCode,0)),"")</f>
        <v/>
      </c>
      <c r="E169" s="13">
        <f>IF(OR(E57="",$D57="",$D57=0),"",E57/$D57-1)</f>
        <v/>
      </c>
      <c r="F169" s="13">
        <f>IF(OR(F57="",$D57="",$D57=0),"",F57/$D57-1)</f>
        <v/>
      </c>
      <c r="G169" s="13">
        <f>IF(OR(G57="",$D57="",$D57=0),"",G57/$D57-1)</f>
        <v/>
      </c>
      <c r="H169" s="13">
        <f>IF(OR(H57="",$D57="",$D57=0),"",H57/$D57-1)</f>
        <v/>
      </c>
      <c r="I169" s="13">
        <f>IF(OR(I57="",$D57="",$D57=0),"",I57/$D57-1)</f>
        <v/>
      </c>
      <c r="J169" s="13">
        <f>IF(OR(J57="",$D57="",$D57=0),"",J57/$D57-1)</f>
        <v/>
      </c>
      <c r="K169" s="13">
        <f>IF(OR(K57="",$D57="",$D57=0),"",K57/$D57-1)</f>
        <v/>
      </c>
      <c r="L169" s="13">
        <f>IF(OR(L57="",$D57="",$D57=0),"",L57/$D57-1)</f>
        <v/>
      </c>
    </row>
    <row r="170">
      <c r="A170" s="22" t="inlineStr">
        <is>
          <t>mit.shr.pow.sol</t>
        </is>
      </c>
      <c r="B170" s="14">
        <f>IFERROR(INDEX(SRDesc,MATCH($A170,SRCode,0)),"")</f>
        <v/>
      </c>
      <c r="C170" s="14">
        <f>IFERROR(INDEX(SRUnit,MATCH($A170,SRCode,0)),"")</f>
        <v/>
      </c>
      <c r="E170" s="13">
        <f>IF(OR(E58="",$D58="",$D58=0),"",E58/$D58-1)</f>
        <v/>
      </c>
      <c r="F170" s="13">
        <f>IF(OR(F58="",$D58="",$D58=0),"",F58/$D58-1)</f>
        <v/>
      </c>
      <c r="G170" s="13">
        <f>IF(OR(G58="",$D58="",$D58=0),"",G58/$D58-1)</f>
        <v/>
      </c>
      <c r="H170" s="13">
        <f>IF(OR(H58="",$D58="",$D58=0),"",H58/$D58-1)</f>
        <v/>
      </c>
      <c r="I170" s="13">
        <f>IF(OR(I58="",$D58="",$D58=0),"",I58/$D58-1)</f>
        <v/>
      </c>
      <c r="J170" s="13">
        <f>IF(OR(J58="",$D58="",$D58=0),"",J58/$D58-1)</f>
        <v/>
      </c>
      <c r="K170" s="13">
        <f>IF(OR(K58="",$D58="",$D58=0),"",K58/$D58-1)</f>
        <v/>
      </c>
      <c r="L170" s="13">
        <f>IF(OR(L58="",$D58="",$D58=0),"",L58/$D58-1)</f>
        <v/>
      </c>
    </row>
    <row r="171">
      <c r="A171" s="22" t="inlineStr">
        <is>
          <t>mit.shr.pow.hyd</t>
        </is>
      </c>
      <c r="B171" s="14">
        <f>IFERROR(INDEX(SRDesc,MATCH($A171,SRCode,0)),"")</f>
        <v/>
      </c>
      <c r="C171" s="14">
        <f>IFERROR(INDEX(SRUnit,MATCH($A171,SRCode,0)),"")</f>
        <v/>
      </c>
      <c r="E171" s="13">
        <f>IF(OR(E59="",$D59="",$D59=0),"",E59/$D59-1)</f>
        <v/>
      </c>
      <c r="F171" s="13">
        <f>IF(OR(F59="",$D59="",$D59=0),"",F59/$D59-1)</f>
        <v/>
      </c>
      <c r="G171" s="13">
        <f>IF(OR(G59="",$D59="",$D59=0),"",G59/$D59-1)</f>
        <v/>
      </c>
      <c r="H171" s="13">
        <f>IF(OR(H59="",$D59="",$D59=0),"",H59/$D59-1)</f>
        <v/>
      </c>
      <c r="I171" s="13">
        <f>IF(OR(I59="",$D59="",$D59=0),"",I59/$D59-1)</f>
        <v/>
      </c>
      <c r="J171" s="13">
        <f>IF(OR(J59="",$D59="",$D59=0),"",J59/$D59-1)</f>
        <v/>
      </c>
      <c r="K171" s="13">
        <f>IF(OR(K59="",$D59="",$D59=0),"",K59/$D59-1)</f>
        <v/>
      </c>
      <c r="L171" s="13">
        <f>IF(OR(L59="",$D59="",$D59=0),"",L59/$D59-1)</f>
        <v/>
      </c>
    </row>
    <row r="172">
      <c r="A172" s="22" t="inlineStr">
        <is>
          <t>mit.ccpav</t>
        </is>
      </c>
      <c r="B172" s="14">
        <f>IFERROR(INDEX(SRDesc,MATCH($A172,SRCode,0)),"")</f>
        <v/>
      </c>
      <c r="C172" s="14">
        <f>IFERROR(INDEX(SRUnit,MATCH($A172,SRCode,0)),"")</f>
        <v/>
      </c>
      <c r="E172" s="13">
        <f>IF(OR(E60="",$D60="",$D60=0),"",E60/$D60-1)</f>
        <v/>
      </c>
      <c r="F172" s="13">
        <f>IF(OR(F60="",$D60="",$D60=0),"",F60/$D60-1)</f>
        <v/>
      </c>
      <c r="G172" s="13">
        <f>IF(OR(G60="",$D60="",$D60=0),"",G60/$D60-1)</f>
        <v/>
      </c>
      <c r="H172" s="13">
        <f>IF(OR(H60="",$D60="",$D60=0),"",H60/$D60-1)</f>
        <v/>
      </c>
      <c r="I172" s="13">
        <f>IF(OR(I60="",$D60="",$D60=0),"",I60/$D60-1)</f>
        <v/>
      </c>
      <c r="J172" s="13">
        <f>IF(OR(J60="",$D60="",$D60=0),"",J60/$D60-1)</f>
        <v/>
      </c>
      <c r="K172" s="13">
        <f>IF(OR(K60="",$D60="",$D60=0),"",K60/$D60-1)</f>
        <v/>
      </c>
      <c r="L172" s="13">
        <f>IF(OR(L60="",$D60="",$D60=0),"",L60/$D60-1)</f>
        <v/>
      </c>
    </row>
    <row r="173">
      <c r="A173" s="22" t="inlineStr">
        <is>
          <t>mit.rcarb.res.ecy</t>
        </is>
      </c>
      <c r="B173" s="14">
        <f>IFERROR(INDEX(SRDesc,MATCH($A173,SRCode,0)),"")</f>
        <v/>
      </c>
      <c r="C173" s="14">
        <f>IFERROR(INDEX(SRUnit,MATCH($A173,SRCode,0)),"")</f>
        <v/>
      </c>
      <c r="E173" s="13">
        <f>IF(OR(E61="",$D61="",$D61=0),"",E61/$D61-1)</f>
        <v/>
      </c>
      <c r="F173" s="13">
        <f>IF(OR(F61="",$D61="",$D61=0),"",F61/$D61-1)</f>
        <v/>
      </c>
      <c r="G173" s="13">
        <f>IF(OR(G61="",$D61="",$D61=0),"",G61/$D61-1)</f>
        <v/>
      </c>
      <c r="H173" s="13">
        <f>IF(OR(H61="",$D61="",$D61=0),"",H61/$D61-1)</f>
        <v/>
      </c>
      <c r="I173" s="13">
        <f>IF(OR(I61="",$D61="",$D61=0),"",I61/$D61-1)</f>
        <v/>
      </c>
      <c r="J173" s="13">
        <f>IF(OR(J61="",$D61="",$D61=0),"",J61/$D61-1)</f>
        <v/>
      </c>
      <c r="K173" s="13">
        <f>IF(OR(K61="",$D61="",$D61=0),"",K61/$D61-1)</f>
        <v/>
      </c>
      <c r="L173" s="13">
        <f>IF(OR(L61="",$D61="",$D61=0),"",L61/$D61-1)</f>
        <v/>
      </c>
    </row>
    <row r="174">
      <c r="A174" s="22" t="inlineStr">
        <is>
          <t>mit.rcarb.ind.ecy</t>
        </is>
      </c>
      <c r="B174" s="14">
        <f>IFERROR(INDEX(SRDesc,MATCH($A174,SRCode,0)),"")</f>
        <v/>
      </c>
      <c r="C174" s="14">
        <f>IFERROR(INDEX(SRUnit,MATCH($A174,SRCode,0)),"")</f>
        <v/>
      </c>
      <c r="E174" s="13">
        <f>IF(OR(E62="",$D62="",$D62=0),"",E62/$D62-1)</f>
        <v/>
      </c>
      <c r="F174" s="13">
        <f>IF(OR(F62="",$D62="",$D62=0),"",F62/$D62-1)</f>
        <v/>
      </c>
      <c r="G174" s="13">
        <f>IF(OR(G62="",$D62="",$D62=0),"",G62/$D62-1)</f>
        <v/>
      </c>
      <c r="H174" s="13">
        <f>IF(OR(H62="",$D62="",$D62=0),"",H62/$D62-1)</f>
        <v/>
      </c>
      <c r="I174" s="13">
        <f>IF(OR(I62="",$D62="",$D62=0),"",I62/$D62-1)</f>
        <v/>
      </c>
      <c r="J174" s="13">
        <f>IF(OR(J62="",$D62="",$D62=0),"",J62/$D62-1)</f>
        <v/>
      </c>
      <c r="K174" s="13">
        <f>IF(OR(K62="",$D62="",$D62=0),"",K62/$D62-1)</f>
        <v/>
      </c>
      <c r="L174" s="13">
        <f>IF(OR(L62="",$D62="",$D62=0),"",L62/$D62-1)</f>
        <v/>
      </c>
    </row>
  </sheetData>
  <dataValidations count="1">
    <dataValidation sqref="C4" showDropDown="0" showInputMessage="0" showErrorMessage="0" allowBlank="0" type="list">
      <formula1>"2022,2023,2024,2025,2026,2027,2028,2029,2030,2031,2032,2033,2034,2035,2036,2037,2038,2039,2040,2041"</formula1>
    </dataValidation>
  </dataValidations>
  <pageMargins left="0.75" right="0.75" top="1" bottom="1" header="0.5" footer="0.5"/>
</worksheet>
</file>

<file path=xl/worksheets/sheet5.xml><?xml version="1.0" encoding="utf-8"?>
<worksheet xmlns="http://schemas.openxmlformats.org/spreadsheetml/2006/main">
  <sheetPr codeName="Sheet5">
    <outlinePr summaryBelow="1" summaryRight="1"/>
    <pageSetUpPr/>
  </sheetPr>
  <dimension ref="A2:B6"/>
  <sheetViews>
    <sheetView tabSelected="0" workbookViewId="0">
      <selection activeCell="A1" sqref="A1"/>
    </sheetView>
  </sheetViews>
  <sheetFormatPr baseColWidth="8" defaultRowHeight="15" outlineLevelCol="0"/>
  <cols>
    <col width="62" customWidth="1" min="1" max="1"/>
    <col width="70" customWidth="1" min="2" max="2"/>
  </cols>
  <sheetData>
    <row r="2">
      <c r="A2" s="2" t="inlineStr">
        <is>
          <t>MacroCheck - first-run test of the scenario macros (macro CheckBatchRun)</t>
        </is>
      </c>
      <c r="B2" s="3" t="n"/>
    </row>
    <row r="3" ht="54" customHeight="1">
      <c r="A3" s="88" t="inlineStr">
        <is>
          <t>Run the macro CheckBatchRun (Alt+F8) once after opening the file in Excel with macros enabled. It checks the lookups the macros use, compares Excel's recalculation of the baseline with the stored baseline, reruns RunAllScenarios and compares every stored value with the values stored before. Expected: Result PASS (no value differs by more than 1e-6, relative).</t>
        </is>
      </c>
    </row>
    <row r="5">
      <c r="A5" s="83" t="inlineStr">
        <is>
          <t>Check</t>
        </is>
      </c>
      <c r="B5" s="83" t="inlineStr">
        <is>
          <t>Result</t>
        </is>
      </c>
    </row>
    <row r="6">
      <c r="A6" s="1" t="inlineStr">
        <is>
          <t>Result</t>
        </is>
      </c>
      <c r="B6" s="1" t="inlineStr">
        <is>
          <t>not run yet</t>
        </is>
      </c>
    </row>
  </sheetData>
  <mergeCells count="1">
    <mergeCell ref="A3:B3"/>
  </mergeCells>
  <pageMargins left="0.75" right="0.75" top="1" bottom="1" header="0.5" footer="0.5"/>
</worksheet>
</file>

<file path=xl/worksheets/sheet6.xml><?xml version="1.0" encoding="utf-8"?>
<worksheet xmlns="http://schemas.openxmlformats.org/spreadsheetml/2006/main">
  <sheetPr codeName="Sheet6">
    <outlinePr summaryBelow="1" summaryRight="1"/>
    <pageSetUpPr/>
  </sheetPr>
  <dimension ref="A2:T3"/>
  <sheetViews>
    <sheetView tabSelected="0" workbookViewId="0">
      <selection activeCell="A1" sqref="A1"/>
    </sheetView>
  </sheetViews>
  <sheetFormatPr baseColWidth="8" defaultRowHeight="15"/>
  <sheetData>
    <row r="2">
      <c r="A2" s="2" t="inlineStr">
        <is>
          <t>Charts - key results by scenario (from MTOutputs)</t>
        </is>
      </c>
      <c r="B2" s="3" t="n"/>
      <c r="C2" s="3" t="n"/>
      <c r="D2" s="3" t="n"/>
      <c r="E2" s="3" t="n"/>
      <c r="F2" s="3" t="n"/>
      <c r="G2" s="3" t="n"/>
      <c r="H2" s="3" t="n"/>
      <c r="I2" s="3" t="n"/>
      <c r="J2" s="3" t="n"/>
      <c r="K2" s="3" t="n"/>
      <c r="L2" s="3" t="n"/>
      <c r="M2" s="3" t="n"/>
      <c r="N2" s="3" t="n"/>
      <c r="O2" s="3" t="n"/>
      <c r="P2" s="3" t="n"/>
      <c r="Q2" s="3" t="n"/>
      <c r="R2" s="3" t="n"/>
      <c r="S2" s="3" t="n"/>
      <c r="T2" s="3" t="n"/>
    </row>
    <row r="3">
      <c r="A3" s="14" t="inlineStr">
        <is>
          <t>One series per scenario block on MTOutputs. After adding a scenario block, add its row as a new series (Select Data). Values in real 2026 USD where monetary.</t>
        </is>
      </c>
    </row>
  </sheetData>
  <pageMargins left="0.75" right="0.75" top="1" bottom="1" header="0.5" footer="0.5"/>
  <drawing xmlns:r="http://schemas.openxmlformats.org/officeDocument/2006/relationships" r:id="rId1"/>
</worksheet>
</file>

<file path=xl/worksheets/sheet7.xml><?xml version="1.0" encoding="utf-8"?>
<worksheet xmlns="http://schemas.openxmlformats.org/spreadsheetml/2006/main">
  <sheetPr codeName="Sheet7">
    <outlinePr summaryBelow="1" summaryRight="1"/>
    <pageSetUpPr/>
  </sheetPr>
  <dimension ref="A2:C41"/>
  <sheetViews>
    <sheetView tabSelected="0" workbookViewId="0">
      <selection activeCell="A1" sqref="A1"/>
    </sheetView>
  </sheetViews>
  <sheetFormatPr baseColWidth="8" defaultRowHeight="15" outlineLevelCol="0"/>
  <cols>
    <col width="24" customWidth="1" min="1" max="1"/>
    <col width="120" customWidth="1" min="2" max="2"/>
  </cols>
  <sheetData>
    <row r="2">
      <c r="A2" s="2" t="inlineStr">
        <is>
          <t>CPAT-AI-Mitigation-MVP v2.3 - AI-generated, copy-pasteable CPAT mitigation module</t>
        </is>
      </c>
      <c r="B2" s="3" t="n"/>
      <c r="C2" s="3" t="n"/>
    </row>
    <row r="4">
      <c r="A4" s="89" t="inlineStr">
        <is>
          <t>Purpose</t>
        </is>
      </c>
      <c r="B4" s="88" t="inlineStr">
        <is>
          <t>Auditable, copy-pasteable replacement of the CPAT mitigation price -&gt; fuel-use chain. Each variable has one formula across all subsectors, fuels and years, and a whole scenario group copies to a new scenario and keeps working.</t>
        </is>
      </c>
    </row>
    <row r="5">
      <c r="A5" s="89" t="inlineStr">
        <is>
          <t>Status</t>
        </is>
      </c>
      <c r="B5" s="88" t="inlineStr">
        <is>
          <t>v2.3 prototype to 2041: policies (carbon tax, new ETS, fuel price reform, feebates with sectoral shadow prices), domestic prices with existing taxes and subsidies, and price -&gt; fuel use for transport, buildings, industry and other energy use, revenues (section 12), CO2 (section 13), and the power sector (section 3: engineer model with demand, dispatch, retirement and investment, generation costs and electricity prices, power CO2). Differences with legacy: sheet LegacyDiff.</t>
        </is>
      </c>
    </row>
    <row r="6">
      <c r="A6" s="89" t="inlineStr">
        <is>
          <t>Layout (as legacy CPAT)</t>
        </is>
      </c>
      <c r="B6" s="88" t="inlineStr">
        <is>
          <t>Sections: 1. Policies (row 11), 2. Retail energy prices (row 327), 3. Power sector (row 447), 5. Transport (row 1003), 6. Buildings (row 1518), 7. Industrial (row 1905), 8. Other energy use (row 2932), 11. Results - energy consumption (row 3063). Numbers follow the legacy Mitigation sheet.</t>
        </is>
      </c>
    </row>
    <row r="7">
      <c r="A7" s="89" t="inlineStr">
        <is>
          <t>Nesting</t>
        </is>
      </c>
      <c r="B7" s="88" t="inlineStr">
        <is>
          <t>Across: scenario (outer) &gt; year (inner). Down: sector section &gt; subsector &gt; variable &gt; fuel. Each subsector: a heading line (its total fuel use), then ctxnew, ets, ntx, nce, xcp, xcpd, atp, shp, ener, co2, rtx, rsub, rnew, rxcp, each over the 8 fuels with one blank row (128 rows per subsector). Section 2: sp, txo, rpb over the 12 price fuels (coal and gas x power / residential / industry; gasoline, diesel, LPG, kerosene, other oil products, biomass for all sectors).</t>
        </is>
      </c>
    </row>
    <row r="8">
      <c r="A8" s="89" t="inlineStr">
        <is>
          <t>ASSUMPTIONS: units</t>
        </is>
      </c>
      <c r="B8" s="88" t="inlineStr">
        <is>
          <t>All prices, taxes and policy values are in REAL US DOLLARS OF THE RESULTS YEAR (MTInputs ResultsYear, 2026; Settings C8), per GJ. There is no inflation after the conversion: a constant real price is a constant number. Fuel use is in ktoe.</t>
        </is>
      </c>
    </row>
    <row r="9">
      <c r="A9" s="89" t="inlineStr">
        <is>
          <t>ASSUMPTIONS: two indices</t>
        </is>
      </c>
      <c r="B9" s="88" t="inlineStr">
        <is>
          <t>Row 8 infl = US CPI(ResultsYear) / US CPI(year) converts nominal DOMESTIC data (IMF price dataset: supply cost, taxes, retail price, margin, production cost) and nominal policy inputs. Row 9 defl = US GDP deflator(ResultsYear) / deflator(year) converts nominal INTERNATIONAL prices (legacy uses the deflator there). The two differ by up to 1.2% before 2030 (2022: 1.137 vs 1.124), so both are kept. The CPI is held flat after 2031 in the legacy data (WEO horizon); results after 2030 are not compared with legacy.</t>
        </is>
      </c>
    </row>
    <row r="10">
      <c r="A10" s="89" t="inlineStr">
        <is>
          <t>ASSUMPTIONS: inputs</t>
        </is>
      </c>
      <c r="B10" s="88" t="inlineStr">
        <is>
          <t>Domestic price data are nominal USD of their year -&gt; x infl of that year. International prices are nominal -&gt; x defl; only their year-on-year ratios move the supply cost, so their units and level drop out. MTInputs policy values are REAL (ResultsYear USD): carbon price, feebate rates and fuel price reform increases. Only the carbon price has a switch: NomorReal = Nominal makes it nominal, then x infl (legacy row 2249). Margins and production costs are base-year (2022) nominal values -&gt; x infl(2022), held constant in real terms.</t>
        </is>
      </c>
    </row>
    <row r="11">
      <c r="A11" s="89" t="inlineStr">
        <is>
          <t>ASSUMPTIONS: history</t>
        </is>
      </c>
      <c r="B11" s="88" t="inlineStr">
        <is>
          <t>Years up to the last historical price year (Settings C10, 2024) take prices from data (Inputs_prices); later years are projected. Base-year (2022) fuel use is data; fuel use from 2023 on is modelled with these prices (also in 2023-2024).</t>
        </is>
      </c>
    </row>
    <row r="12">
      <c r="A12" s="89" t="inlineStr">
        <is>
          <t>ASSUMPTIONS: global vs scenario</t>
        </is>
      </c>
      <c r="B12" s="88" t="inlineStr">
        <is>
          <t>Global (Settings, from MTInputs scenario 1): ResultsYear, government price controls (pass-through), last historical year, gas market of the country. Per scenario (MTInputs column): international price source and adjustment, carbon price and its nominal/real switch, fuel price reform, feebates, coverage.</t>
        </is>
      </c>
    </row>
    <row r="13">
      <c r="A13" s="89" t="inlineStr">
        <is>
          <t>ASSUMPTIONS: legacy quirk</t>
        </is>
      </c>
      <c r="B13" s="88" t="inlineStr">
        <is>
          <t>Legacy rule kept: with pass-through 0.5 or 0.8 txo jumps in the first projected year. See PriceProjection_Method_v2_3.md.</t>
        </is>
      </c>
    </row>
    <row r="14">
      <c r="A14" s="89" t="inlineStr">
        <is>
          <t>DATA CHANGED (v0.14)</t>
        </is>
      </c>
      <c r="B14" s="88" t="inlineStr">
        <is>
          <t>Egypt price block replaced by the corrected block supplied by the user (data/source/Egypt_Price_Data_2026-10-09.xlsx): changed cells are bright yellow in Prices_dom (list: data/prices_dom_changes.csv). Its VAT rates are explicit (0 for gas and oil products), so the v0.10 VAT assumption no longer applies to Egypt.</t>
        </is>
      </c>
    </row>
    <row r="15">
      <c r="A15" s="89" t="inlineStr">
        <is>
          <t>ASSUMPTIONS: DATA CHANGED (v0.10)</t>
        </is>
      </c>
      <c r="B15" s="88" t="inlineStr">
        <is>
          <t>Bright yellow cells with red text in Inputs_prices: (1) other oil products take pass-through and margin from the dataset like the other oil products (legacy hardcodes 1 and 0, which drove their retail price to the 0.01 floor); (2) VAT rate: dataset rate where filled, else the general VAT rate VAT_WEO (Egypt 14%) for residential coal and gas and all-sector oil products; power, industry and biomass 0. New policies pay this VAT.</t>
        </is>
      </c>
    </row>
    <row r="16">
      <c r="A16" s="89" t="inlineStr">
        <is>
          <t>Price projection</t>
        </is>
      </c>
      <c r="B16" s="88" t="inlineStr">
        <is>
          <t>gp = international price (source, gas market, High/Low factor after the last historical year). sp = fixsp + (sp(t-1) - fixsp) x gp(t) / gp(t-1), fixsp = margin + pass-through x production cost (coal, gas). txo = txo_L x pcc + cs, cs = (sp_L - sp + txo_L(1 - pcc)) x (1 - pcc), not below txo_L(1 - pcc) if that is &gt;= 0. rpb = (sp + txo) x (1 + VAT rate). atp = max(rpb + nce x (1 + VAT rate), 0.01): new policies are fully passed through and pay VAT. Pass-through 0 keeps rpb at its last historical value (Egypt gas and oil products); 1 passes supply-cost changes on in full.</t>
        </is>
      </c>
    </row>
    <row r="17">
      <c r="A17" s="89" t="inlineStr">
        <is>
          <t>Variables</t>
        </is>
      </c>
      <c r="B17" s="88" t="inlineStr">
        <is>
          <t>ctxnew new carbon tax = carbon price x EF x fuel coverage x sector coverage x (1 - ETS coverage); ets new ETS = tax-equivalent permit price x EF x effective ETS coverage x (1 - OBR share); ntx new excise = fuel price reform path / GJ per unit; nce = ctxnew + ets + ntx; atp after-tax price; shp shadow price = (sector shadow price x share impacting efficiency + ETS tax-equivalent price x ETS coverage x OBR share) x EF; ener fuel use (CPAT eq. 3.3.3): the usage term uses atp, the efficiency term (atp + shp), as legacy.</t>
        </is>
      </c>
    </row>
    <row r="18">
      <c r="A18" s="89" t="inlineStr">
        <is>
          <t>ETS (v1.02)</t>
        </is>
      </c>
      <c r="B18" s="88" t="inlineStr">
        <is>
          <t>MTInputs rows 84-115 per scenario; in covered sectors the ETS replaces the carbon tax. Cap = baseline covered emissions (bco2 data from scenario 1 x coverage) x (1 + change path). Price: fast estimate LN(cap / baseline) / (effective semi-elasticity x volatility adjustment), or the override row ets.ovr when D_ETSPriceOverride = Yes (blank cell: carbon price path). Benchmarks by sector group (typed rows) give the OBR share; the permit price splits into a tax-equivalent part in the fuel price (x (1 - OBR)) and a shadow price on the efficiency margin (x OBR). Tax-equivalent price = permit price x volatility adjustment; revenue uses the permit price on the auctioned part. Section 13: covered emissions vs cap and the next price (ets.next); ets_goalseek_v2_3.py iterates until the cap is met. See ETS_Legacy_Algorithm_v2_3.md.</t>
        </is>
      </c>
    </row>
    <row r="19">
      <c r="A19" s="89" t="inlineStr">
        <is>
          <t>Version 2.3</t>
        </is>
      </c>
      <c r="B19" s="88" t="inlineStr">
        <is>
          <t>The last year is 2041 (legacy horizon) and it is the LAMBDA year: every calculated cell of 2041 calls its named LAMBDA (Excel 365), as a full year of the flow; 2022-2040 hold plain formulas and calculate in any Excel from 2019 and in LibreOffice (there 2041 shows errors, and the power model uses last year's values for 2041 in its look-ahead). Fuel prices for power as legacy: centred 5-year moving average of the price before new policies (row fpp; Settings C21 = Yes for spot prices). The levelised variable cost window runs to 2041 as legacy.</t>
        </is>
      </c>
    </row>
    <row r="20">
      <c r="A20" s="89" t="inlineStr">
        <is>
          <t>Version 2.2</t>
        </is>
      </c>
      <c r="B20" s="88" t="inlineStr">
        <is>
          <t>One version number (2.2) for every current file of the MVP: workbook, builder and check scripts, method notes, VBA module, Word documentation, the register of bugs, issues and upgrades (CPAT-AI-Mitigation-MVP_BugsIssuesUpgrades_v2.3.docx) and the deck. Results as v1.09.</t>
        </is>
      </c>
    </row>
    <row r="21">
      <c r="A21" s="89" t="inlineStr">
        <is>
          <t>Version 1.09</t>
        </is>
      </c>
      <c r="B21" s="88" t="inlineStr">
        <is>
          <t>Existing carbon pricing and power in the main thread. Sheet ECP: the legacy existing carbon tax and ETS data (prices by year, sector and fuel coverage; 52 countries, none for Egypt) and the values of the country in Settings C4. Section 1 (MTInputs 208-214): price used = data x switch, growing after the last data year; the level embedded in the price data. Per subsector and fuel: xcp (level), xcpd (change against the price data: in the after-tax price and existing-tax revenue), rxcp (revenue memo); power: xck in the variable cost. Section 11 counts power generation fuel use (row ener.pow; totals by fuel include it); section 12 has power rows (fuel taxes and subsidies, electricity VAT and subsidy gap, new policies with the ETS at the permit price; sub-table M of section 3) in every total; checks ener.chk, rev.chk, co2.chk.</t>
        </is>
      </c>
    </row>
    <row r="22">
      <c r="A22" s="89" t="inlineStr">
        <is>
          <t>Version 1.08</t>
        </is>
      </c>
      <c r="B22" s="88" t="inlineStr">
        <is>
          <t>The workbook calculates without LAMBDA support (any Excel version from 2019 with MINIFS, LibreOffice): every cell holds a plain formula of at most 100 characters, the right column (2040) included, so every column of a row has the same formula and can be dragged. Column H reads the member labels from a table on Mapping. The named LAMBDAs remain in the Name Manager as an optional library: sheet Lambdas gives, for every calculated row, the LAMBDA formula that can replace its plain formulas (same results, tested).</t>
        </is>
      </c>
    </row>
    <row r="23">
      <c r="A23" s="89" t="inlineStr">
        <is>
          <t>Version 1.07</t>
        </is>
      </c>
      <c r="B23" s="88" t="inlineStr">
        <is>
          <t>Short formulas: every cell formula has at most 100 characters; longer logic sits in the named LAMBDAs (Name Manager), lookups use defined names for the data tables (WEOVal, PDomVal, PPathVal, ...), and multi-step formulas show their steps in helper rows (section 1: carbon-price path years and nominal factor, ETS on/off, volatility, impact, cap change, policy rates by sector ctr, etr, shpx; section 2: gp.src, gp.adj, gpn, txf; section 3: ecmin, ecshr; section 13: ets.lr) or helper columns (Inputs_prices by year, MTOutputs, ScenarioCompare). Planned retirement: PowerTech planned_retirement = Yes uses the data rows pret|&lt;type&gt; of PowerPaths instead of capacity x 1/lifetime (Egypt: no data). Memo lines eldem: electricity demand by subsector in each sector block and by sector in section 11 (not in the fuel totals; sector policies do not act on power demand). MTOutputs: 18 more power indicators; Charts: 6 power charts.</t>
        </is>
      </c>
    </row>
    <row r="24">
      <c r="A24" s="89" t="inlineStr">
        <is>
          <t>Power engineer model (v1.06)</t>
        </is>
      </c>
      <c r="B24" s="88" t="inlineStr">
        <is>
          <t>Section 3 continues with legacy H-L. H demand by subsector: last year's demand x group multiple (efficiency, GDP with income factor, price of the previous year); required generation = total demand x balance factor. I dispatch: wind, solar, hydro, other renewables, oil, nuclear, biomass at their capacity factor; coal and gas fill the rest (minimum of each if the other runs at 90%, the remainder by a logit on variable cost). K: capacity = last year less retirements plus new investment; cost-based early coal retirement. L: investment needed = this year's required generation less capacity after retirements (available next year), allocated by a logit on levelised investment cost within scale-up limits, the rest to the cheapest remaining space. Power CO2 = fuel use x EF, in section 13. Ten legacy bugs fixed: CPAT-AI-Mitigation-MVP_BugsIssuesUpgrades_v2.3.docx. Method: PowerModel_Method_v2_3.md.</t>
        </is>
      </c>
    </row>
    <row r="25">
      <c r="A25" s="89" t="inlineStr">
        <is>
          <t>Power prices (v1.05)</t>
        </is>
      </c>
      <c r="B25" s="88" t="inlineStr">
        <is>
          <t>Section 3, legacy sub-tables: A inputs (capex factor, storage cost paths); B amortised fixed cost of the stock = caxav x acap + afix + stoav (vintage averages with last year's investment share); C levelised fixed cost of new plants (for investment only); D variable cost = O&amp;M + section 2 fuel price x 0.0036/efficiency, and the new policy cost per kWh ccp (carbon tax, ETS, fuel price reform on power fuels); E generation cost gnc = fix + vbc and the average gncav; G supply cost sc = gncav of the previous year + T&amp;D, price before new policies = data to 2024, then + pass-through x change in sc x (1 + VAT), end-user price rp = rppre + ccpav x pass-through x (1 + VAT), subsidy gap and revenues; J storage cost of variable renewables from the VRE share. Constants per type: Inputs_power. Method: PowerPrices_Method_v2_3.md.</t>
        </is>
      </c>
    </row>
    <row r="26">
      <c r="A26" s="89" t="inlineStr">
        <is>
          <t>Emissions (v0.13)</t>
        </is>
      </c>
      <c r="B26" s="88" t="inlineStr">
        <is>
          <t>co2 per subsector and fuel = fuel use x PJ/ktoe x EF (tCO2/GJ), MtCO2. Section 13: total, by sector, by fuel, change vs scenario 1. Fuel combustion incl. power generation (v1.06; no process emissions, CH4, N2O or local pollutants yet).</t>
        </is>
      </c>
    </row>
    <row r="27">
      <c r="A27" s="89" t="inlineStr">
        <is>
          <t>First run in Excel (v1.04)</t>
        </is>
      </c>
      <c r="B27" s="88" t="inlineStr">
        <is>
          <t>Enable macros (if the file came from the internet: file Properties &gt; Unblock first), then run the macro CheckBatchRun (Alt+F8). Sheet MacroCheck shows Result PASS when the macros find everything they need, Excel's own recalculation of the baseline matches the stored baseline, and the batch rerun reproduces every stored value to 1e-6 (relative). If Excel reports that it cannot load the VBA project, import CPATScenarios_v2_3.bas (Alt+F11 &gt; File &gt; Import) and save as .xlsm.</t>
        </is>
      </c>
    </row>
    <row r="28">
      <c r="A28" s="89" t="inlineStr">
        <is>
          <t>Scenarios and batch runs (v1.03)</t>
        </is>
      </c>
      <c r="B28" s="88" t="inlineStr">
        <is>
          <t>MTInputs: J = scenario 1 (baseline), K = scenario 2 (live policy scenario, Mitigation group 2), L onwards = scenario definitions (row 4 Run? = Yes/No). Macro RunAllScenarios (Alt+F8; module CPATScenarios, enable macros) stores the baseline once, then copies each definition into K, recalculates, runs the ETS goal seek if the definition applies a new ETS, and stores the MTOutputs block as values in StoredResults (K is restored at the end). Other macros: StoreBaseline, StoreLiveScenario, SolveETSLive, ClearStoredScenarios. ScenarioCompare: choose a year and up to 8 stored scenario IDs; levels, differences and % differences vs the baseline. StoredResults ships filled by a Python emulation of the macro.</t>
        </is>
      </c>
    </row>
    <row r="29">
      <c r="A29" s="89" t="inlineStr">
        <is>
          <t>MTOutputs and Charts (v1.01)</t>
        </is>
      </c>
      <c r="B29" s="88" t="inlineStr">
        <is>
          <t>MTOutputs collects key results (fuel use, CO2, revenues, prices) for every scenario by output code: one row block per scenario, the scenario number in column E of the block header. Copy the last block below to add a scenario. Charts plots them, one series per scenario.</t>
        </is>
      </c>
    </row>
    <row r="30">
      <c r="A30" s="89" t="inlineStr">
        <is>
          <t>Revenues (v0.12, v1.09)</t>
        </is>
      </c>
      <c r="B30" s="88" t="inlineStr">
        <is>
          <t>Three separate calculations per subsector and fuel, USD million real: rtx existing tax revenue = fuel use x PJ/ktoe x (etx + vat + xcpd x (1 + VAT rate)); rsub existing subsidy cost = fuel use x PJ/ktoe x esub; rnew new-policy revenue = fuel use x PJ/ktoe x (ctxnew + ntx + ets x revenue factor + nce x VAT rate); rxcp existing carbon pricing (memo). Power (section 3 M and G): fuel taxes and subsidies on generation, electricity VAT and subsidy gap, new policies with the ETS at the permit price. Section 12: totals = sectors + power, net existing (rtx - rsub), total, change vs scenario 1, check rev.chk. Feebates are revenue-neutral.</t>
        </is>
      </c>
    </row>
    <row r="31">
      <c r="A31" s="89" t="inlineStr">
        <is>
          <t>Existing carbon pricing (v1.09)</t>
        </is>
      </c>
      <c r="B31" s="88" t="inlineStr">
        <is>
          <t>Sheet ECP holds the legacy data (all countries) and the values of the country in Settings C4 (real prices; coverage of the last data year). MTInputs 208-214: apply the existing carbon tax / ETS (Yes/No), real growth after the last data year, new carbon tax complementary to the existing ETS. The IMF retail prices already contain existing carbon pricing, so only its change against the level in the price data (xcpd, power xck) enters prices and existing-tax revenue; rxcp shows the level.</t>
        </is>
      </c>
    </row>
    <row r="32">
      <c r="A32" s="89" t="inlineStr">
        <is>
          <t>Existing taxes and subsidies</t>
        </is>
      </c>
      <c r="B32" s="88" t="inlineStr">
        <is>
          <t>Section 2 by price fuel: vat = (sp + txo) x VAT rate; etx = max(txo, 0) existing excise and other taxes; esub = max(-txo, 0) existing consumer subsidy; esubpu = esub in MTInputs price units ($/liter, $/bbl, $/GJ), ready as a per-fuel policy input (subsidy reform) later. (a) For revenue: fuel use x (etx + vat - esub) plus new policies; see section 12.</t>
        </is>
      </c>
    </row>
    <row r="33">
      <c r="A33" s="89" t="inlineStr">
        <is>
          <t>Roll-up</t>
        </is>
      </c>
      <c r="B33" s="88" t="inlineStr">
        <is>
          <t>Mitigation opens fully rolled up (zoom 75%): section bands, sector totals, the carbon price, retail prices, revenue and CO2 totals. Row groups have their + button BELOW the group: level 1 shows subsector headings and inputs, level 2 the variables of each subsector (buttons 1 / 2 / 3 at the top left set all levels). Columns (one level): B:G (fuel, sector, parameters), I:K (unit, source, scenario-1 code) and 2030-2039 in each scenario group; button 2 above the columns opens them.</t>
        </is>
      </c>
    </row>
    <row r="34">
      <c r="A34" s="89" t="inlineStr">
        <is>
          <t>Section 1 (policies)</t>
        </is>
      </c>
      <c r="B34" s="88" t="inlineStr">
        <is>
          <t>Each input row reads MTInputs by its row number (column D, hidden) and the scenario number (row 5). Paths: carbon price as legacy (0 before CPIntro, linear to CPLevelTarget by CPOutro, linear continuation if Linear*); fuel price reform and feebates: 0 before the start year, linear from the starting to the final/target value, continuing linearly afterwards (one default). New ETS: cap-based permit price (fast estimate or override), benchmarks give the OBR share, replaces the carbon tax in covered sectors. Shadow prices by sector ($/tCO2) = feebates + regulations (placeholder 0); share impacting efficiency = feebate coverage x adjustment (1.0).</t>
        </is>
      </c>
    </row>
    <row r="35">
      <c r="A35" s="89" t="inlineStr">
        <is>
          <t>Data step vs formulas</t>
        </is>
      </c>
      <c r="B35" s="88" t="inlineStr">
        <is>
          <t>Lookups happen in Inputs (one row per fuel|subsector), Inputs_prices (one row per price fuel), in Mitigation D:G (hidden; labels per variable in Variables G:J), the base-year column, the top rows, the Section-1 input rows and the gp rows (source is a scenario input). Historical sp and txo read Inputs_prices by position and year. ctxnew, ntx, shp, atp and sp pick a row by position with INDEX(range, position).</t>
        </is>
      </c>
    </row>
    <row r="36">
      <c r="A36" s="89" t="inlineStr">
        <is>
          <t>LAMBDAs (year 2041)</t>
        </is>
      </c>
      <c r="B36" s="88" t="inlineStr">
        <is>
          <t>The last year (2041, light beige, dark red text) is the LAMBDA year: every calculated cell calls its named LAMBDA (Formulas &gt; Name Manager; Excel 365) and feeds the results like any year. 2022-2040 hold plain formulas (at most 100 characters), so they work without LAMBDA support. Prices with history have separate blocks: data up to 2024, projection after; changing the last historical year (Settings C10) needs the blocks re-dragged, or copy the LAMBDA of the row (it holds the IF between history and projection, e.g. SUPPLYCOST) left over the row: sheet Lambdas lists every calculated row with its LAMBDA. PATH(year, y0, y1, start, target, cont) = IF(year&lt;y0,0,start+(target-start)/MAX(y1-y0,1)*IF(OR(year&lt;=y1,cont),year-y0,y1-y0)); PATHYEARS(year, y0, y1, cont) = IF(cont,year,MIN(year,y1))-y0; NOMFACTOR(basis, cpi_index) = IF(LEFT(basis,7)="Nominal",cpi_index,1); ETSON(apply, year, start_year) = IF(AND(LEFT(apply,3)="Yes",year&gt;=start_year),1,0); ETSPRICE(ets_on, override, override_price, estimate, carbon_price) = IF(ets_on=1,IF(LEFT(override,3)="Yes",IF(override_price="",carbon_price,override_price),estimate),0); OBRSHARE(benchmark) = MIN(1,MAX(0,benchmark)); VOLPICK(label, values) = INDEX(values,MATCH(SUBSTITUTE(label,"*",""),Settings!$C$16:$F$16,0)); VOLADJ(volatility, impact, ct_risk) = (1+ct_risk*impact)/(1+volatility*impact); COVERED(emissions, coverage) = SUMPRODUCT(emissions,coverage); CAPCHANGE(year, y0, y1, change_start, change_target) = change_start+(change_target-change_start)/MAX(y1-y0,1)*(MIN(year,y1)-y0); ETSCAP(ets_on, year, y1, cont, base, change, cap_prev) = IF(ets_on=1,IF(AND(year&gt;y1,LEFT(cont,8)="Constant"),cap_prev,base*(1+change)),0); ETSSEMI(emissions, coverage, semi, obr, obr_eff, base) = IF(base&gt;0,SUMPRODUCT(emissions,coverage,semi,1-(1-obr_eff)*obr)/base,0); ETSESTIMATE(ets_on, cap, base, semi, vadj) = IF(AND(ets_on=1,cap&gt;0,cap&lt;base,semi&lt;0,vadj&gt;0),LN(cap/base)/(semi*vadj),0); TAXEQUIV(price, vadj) = price*vadj; REVFACTOR(vadj) = IF(vadj&gt;0,1/vadj,0); ETSCOVER(ets_on, covered) = IF(ets_on=1,IF(covered,1,0),0); SHADOWSECTOR(feebate, regulation) = feebate+regulation; SHADOWSHARE(coverage, adjustment) = IF(coverage,1,0)*adjustment; SUPPLYCOST(year, pos, fix_sp, sp_prev, gp_now, gp_prev) = IF(year&lt;=Settings!$C$10,IFERROR(INDEX(Inputs_prices!$U$7:$X$18,pos,MATCH(year,Inputs_prices!$U$6:$X$6,0)),0),fix_sp+(sp_prev-fix_sp)*gp_now/gp_prev); OTHERTAX(year, pos, txo_last, sp_last, sp_now, pcc) = IF(year&lt;=Settings!$C$10,IFERROR(INDEX(Inputs_prices!$Y$7:$AB$18,pos,MATCH(year,Inputs_prices!$Y$6:$AB$6,0)),0),txo_last*pcc+IF(txo_last*(1-pcc)&gt;=0,MAX(txo_last*(1-pcc),(sp_last-sp_now+txo_last*(1-pcc))*(1-pcc)),(sp_last-sp_now+txo_last*(1-pcc))*(1-pcc))); RETAILPRICE(sp, txo, vat_rate) = (sp+txo)*(1+vat_rate); VATPAY(sp, txo, vat_rate) = (sp+txo)*vat_rate; TAXPART(txo) = MAX(txo,0); SUBSIDYPART(txo) = MAX(-txo,0); PERUNIT(value_gj, gj_per_unit) = value_gj*gj_per_unit; SECTORTAX(price, sector_cov, ets_cov, complement, xets_cov) = price*IF(LEFT(complement,3)="Yes",1-xets_cov,sector_cov)*(1-ets_cov); ECPPRICE(apply, data, growth, year) = IF(LEFT(apply,3)="Yes",data*(1+growth)^MAX(0,year-ECPLast),0); XCARBON(ef, ct_cov, ct_price, ets_cov, ets_price) = ef*(ct_cov*ct_price+ets_cov*ets_price); SECTORETS(price, ets_cov, obr) = price*ets_cov*(1-obr); CARBONTAX(rate, ef, fuel_cov) = rate*ef*fuel_cov; ETSCOST(rate, ef) = rate*ef; NEWEXCISE(increase, gj_per_unit) = increase/gj_per_unit; NEWPOLICY(carbon_tax, ets, excise) = carbon_tax+ets+excise; POSTTAX(pre_policy_p, new_policy, vat_rate) = MAX(pre_policy_p+new_policy*(1+vat_rate),0.01); SHADOWTOTAL(sector_price, share, ets_price, ets_cov, obr) = sector_price*share+ets_price*ets_cov*obr; SHADOWGJ(shadow_price, ef) = shadow_price*ef; KWHPOLICY(tco2_kwh, ct_rate, fuel_cov, ets_rate, reform, reform_factor) = tco2_kwh*(ct_rate*fuel_cov+ets_rate)+reform*reform_factor; FLOATTAX(txo_last, sp_last, sp_now, pcc) = (sp_last-sp_now+txo_last*(1-pcc))*(1-pcc); REVENUE(fuel_use, pj_per_ktoe, rate) = fuel_use*pj_per_ktoe*rate; EMISSIONS(fuel_use, pj_per_ktoe, ef) = fuel_use*pj_per_ktoe*ef; NEWREVRATE(carbon_tax, excise, ets, rev_factor, new_policy, vat_rate) = carbon_tax+excise+ets*rev_factor+new_policy*vat_rate; FUELUSE(f_prev, p_now, p_prev, shp_now, shp_prev, gdp_g, eps_y, eps_u, eff_exp, aeei_factor) = f_prev*aeei_factor*(1+gdp_g)^eps_y*(p_now/p_prev)^eps_u*((p_now+shp_now)/(p_prev+shp_prev))^eff_exp; CAPEX(capex_base, time_factor) = capex_base*time_factor; VINTAGE(avg_prev, new_value, share_prev) = avg_prev*(1-share_prev)+new_value*share_prev; AMORTISED(capex_avg, capex_factor, other_fixed, storage_avg) = capex_avg*capex_factor+other_fixed+storage_avg; LEVELISED(capex, capex_factor, other_fixed, vre_flag, storage) = capex*capex_factor+other_fixed+vre_flag*storage; VARCOST(fixed_part, fuel_price, gj_per_kwh, xcarbon) = fixed_part+fuel_price*gj_per_kwh+xcarbon; POWFUELPRICE(spot, price_now, prices_t2) = IF(spot="Yes",price_now,_xlfn.AGGREGATE(1,6,prices_t2)); PNEWREV(gen, policy_cost, co2, ets_rate, rev_factor) = gen*8.76*policy_cost-co2*ets_rate*(1-rev_factor); GENCOST(fixed_cost, variable_cost) = fixed_cost+variable_cost; WEIGHTED(shares, values, factor) = SUMPRODUCT(shares,values)*factor; STORAGEHOUR(battery, interface, opex, kwh_per_kw, dlf) = (battery+interface/kwh_per_kw)/(dlf*8760)+opex/8760; STORAGECOST(alloc, hours, vre, cph, lt_start, lt_cost, lt_alloc) = alloc*hours*vre*cph+2*MAX(0,vre-lt_start)/(1-lt_start)^2*lt_cost*lt_alloc; POWERSUPPLY(gen_cost, tmc) = gen_cost+tmc; POWERPRICE(year, pos, price_prev, pass, sc_now, sc_prev, vat_rate) = IF(year&lt;=Settings!$C$10,IFERROR(INDEX(Inputs_power!$J$19:$M$20,pos,MATCH(year,Inputs_power!$J$18:$M$18,0)),0),price_prev+pass*(sc_now-sc_prev)*(1+vat_rate)); ENDUSERPOWER(pre_policy_p, policy_cost, pass, vat_rate) = pre_policy_p+policy_cost*pass*(1+vat_rate); SUBSIDYGAP(supply_cost, pre_policy_p, vat_rate) = supply_cost-pre_policy_p/(1+vat_rate); POWERREV(unit_value, factor, consumption) = unit_value*factor*consumption; REBATE(fees, shares) = -SUMPRODUCT(fees,shares); VARTOTAL(base_cost, policy_cost, shadow, rebate) = base_cost+policy_cost+shadow+rebate; INVCOST(levelised_fixed, levelised_var, minimum) = MAX(levelised_fixed+levelised_var,minimum); CONSUMPTION(total, res, w_total, w_res, gwh_per_ktoe) = (w_total*total+w_res*res)*gwh_per_ktoe; PRICEMIX(w_res, p_res, p_ind) = w_res*p_res+(1-w_res)*p_ind; DEMANDMULT(eff_mult, gdp_g, eps_y, income, p_now, p_prev, eps_p, shock, shock_on) = eff_mult*(1+gdp_g)^(eps_y*income)*(p_now/p_prev)^eps_p*(1+shock*shock_on); GROW(prev, multiple) = prev*multiple; SCALE(value, factor) = value*factor; RESIDUAL(total, part) = MAX(total-part,0); FLOORMIN(values, flags, min_value) = MAX(_xlfn.MINIFS(values,flags,1),min_value); MINDISPATCH(flag, required, max_all, max_own) = flag*MIN(MAX(required-(max_all-max_own),0),max_own); LOGITW(flag, k, cost, lowest) = flag*EXP(-k*cost/lowest); DISPATCH(flag, fixed_output, max_gen, min_gen, remainder, weight, weight_sum) = IF(flag=1,MIN(max_gen,min_gen+remainder*weight/weight_sum),fixed_output); INCREASE(value_now, value_prev) = MAX(0,value_now-value_prev); SHARE(part, total) = IF(total=0,0,part/total); CARRY(cap_prev, ret_prev, inv_prev) = cap_prev-ret_prev+inv_prev; RETIRE(cap, ret_rate, early_flag, early, planned_on, planned) = MIN(IF(planned_on=1,planned,cap*ret_rate)+early_flag*early,cap); EARLYROOM(add_wind, add_solar, demand_increase, retirements) = MAX(0,add_wind+add_solar-demand_increase-(retirements)); LOWEST3(a, b, c) = MIN(a,b,c); COALSHARE(k, c_coal, c_wind, c_solar, lowest) = 1/(1+EXP(-k*(c_wind-c_coal)/lowest)+EXP(-k*(c_solar-c_coal)/lowest)); EARLYRET(coal_eff, max_share, room, coal_share, factor, cf_coal) = MAX(0,MIN(coal_eff*max_share,room)*(1-coal_share))/cf_coal*factor; DIFF(minuend, subtrahend) = minuend-subtrahend; PERMITTED(outcome, start, year) = IF(AND(outcome="Yes",year&gt;=start),1,0); SCALEUP(up_rate, capacity, permit) = up_rate*capacity*permit; FIRSTROUND(max_inv, need, share) = MIN(max_inv,need*share); SPACE(max_inv, first, permit) = (max_inv-first)*permit; CHEAPFILL(permit, space, deficit, cheaper_space) = permit*MAX(0,MIN(space,deficit-cheaper_space)); ADDED(round_1, round_2) = round_1+round_2; INVSPEND(nameplate, capex) = nameplate*capex/1000; VINTSHARE(new, cap, ret) = IF(cap+new-ret=0,0,new/(cap+new-ret)).</t>
        </is>
      </c>
    </row>
    <row r="37">
      <c r="A37" s="89" t="inlineStr">
        <is>
          <t>Codes</t>
        </is>
      </c>
      <c r="B37" s="88" t="inlineStr">
        <is>
          <t>Code column before each scenario group: country.mit.&lt;variable&gt;.&lt;sector&gt;.&lt;fuel&gt;.&lt;suffix&gt;.&lt;scenario&gt; (e.g. egy.mit.ener.rod.gso.e.1). Scenario number at the top (row 5).</t>
        </is>
      </c>
    </row>
    <row r="38">
      <c r="A38" s="89" t="inlineStr">
        <is>
          <t>Add a scenario</t>
        </is>
      </c>
      <c r="B38" s="88" t="inlineStr">
        <is>
          <t>MTInputs: copy the last scenario column one column right (its number updates) and edit its inputs. Mitigation: copy columns AG:BB and paste at BC; numbers, names, codes and all policy paths follow.</t>
        </is>
      </c>
    </row>
    <row r="39">
      <c r="A39" s="89" t="inlineStr">
        <is>
          <t>Example</t>
        </is>
      </c>
      <c r="B39" s="88" t="inlineStr">
        <is>
          <t>Road (heading row 1005): atp rows 1061-1068, ener rows 1079-1086.</t>
        </is>
      </c>
    </row>
    <row r="40">
      <c r="A40" s="89" t="inlineStr">
        <is>
          <t>Colours</t>
        </is>
      </c>
      <c r="B40" s="88" t="inlineStr">
        <is>
          <t>Green bands with white text = sections; green = input; beige (darker) = base year; LIGHT BEIGE = a block that is copy-pasteable within itself but not draggable into white or base-year cells: the LAMBDA column (dark red text) and the 2023-2024 history block of supply cost and taxes; light blue = codes; grey = unused parameter slot; pale yellow = check; BRIGHT YELLOW with red text = data changed by assumption or correction.</t>
        </is>
      </c>
    </row>
    <row r="41">
      <c r="A41" s="89" t="inlineStr">
        <is>
          <t>Data</t>
        </is>
      </c>
      <c r="B41" s="88" t="inlineStr">
        <is>
          <t>Countries, Elasticities, Prices_dom, Prices_int, PriceAssump, EnergyCons, WEO, EF_GHG, PowerTech, PowerPaths, PowerParams, PowerDemand; Mapping; Variables; MTInputs. Built by build_v2_3.py; checked by check_v2_3.py.</t>
        </is>
      </c>
    </row>
  </sheetData>
  <pageMargins left="0.75" right="0.75" top="1" bottom="1" header="0.5" footer="0.5"/>
</worksheet>
</file>

<file path=xl/worksheets/sheet8.xml><?xml version="1.0" encoding="utf-8"?>
<worksheet xmlns="http://schemas.openxmlformats.org/spreadsheetml/2006/main">
  <sheetPr codeName="Sheet8">
    <outlinePr summaryBelow="1" summaryRight="1"/>
    <pageSetUpPr/>
  </sheetPr>
  <dimension ref="A2:G44"/>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4" customWidth="1" min="1" max="1"/>
    <col width="26" customWidth="1" min="2" max="2"/>
    <col width="36" customWidth="1" min="3" max="3"/>
    <col width="44" customWidth="1" min="4" max="4"/>
    <col width="40" customWidth="1" min="5" max="5"/>
    <col width="26" customWidth="1" min="6" max="6"/>
    <col width="14" customWidth="1" min="7" max="7"/>
  </cols>
  <sheetData>
    <row r="2">
      <c r="A2" s="2" t="inlineStr">
        <is>
          <t>Differences with legacy CPAT (decisions, assumptions, simplifications, not yet modelled)</t>
        </is>
      </c>
      <c r="B2" s="3" t="n"/>
      <c r="C2" s="3" t="n"/>
      <c r="D2" s="3" t="n"/>
      <c r="E2" s="3" t="n"/>
      <c r="F2" s="3" t="n"/>
      <c r="G2" s="3" t="n"/>
    </row>
    <row r="3">
      <c r="A3" s="14" t="inlineStr">
        <is>
          <t>Keep this list current with each version. Type: Decision = user decision; Assumption = data assumption (bright yellow in Inputs_prices); Simplification; Not yet; Data; Design; Same; Bug fix. Rows of type Not yet, Simplification and To check appear as LD&lt;#&gt; in the register of bugs, issues and upgrades (CPAT-AI-Mitigation-MVP_BugsIssuesUpgrades_v2.3.docx).</t>
        </is>
      </c>
    </row>
    <row r="4">
      <c r="A4" s="90" t="inlineStr">
        <is>
          <t>#</t>
        </is>
      </c>
      <c r="B4" s="90" t="inlineStr">
        <is>
          <t>Area</t>
        </is>
      </c>
      <c r="C4" s="90" t="inlineStr">
        <is>
          <t>Legacy CPAT</t>
        </is>
      </c>
      <c r="D4" s="90" t="inlineStr">
        <is>
          <t>This model</t>
        </is>
      </c>
      <c r="E4" s="90" t="inlineStr">
        <is>
          <t>Why</t>
        </is>
      </c>
      <c r="F4" s="90" t="inlineStr">
        <is>
          <t>Effect</t>
        </is>
      </c>
      <c r="G4" s="90" t="inlineStr">
        <is>
          <t>Type</t>
        </is>
      </c>
    </row>
    <row r="5">
      <c r="A5" s="88" t="n">
        <v>1</v>
      </c>
      <c r="B5" s="88" t="inlineStr">
        <is>
          <t>Elasticities: food &amp; forestry</t>
        </is>
      </c>
      <c r="C5" s="88" t="inlineStr">
        <is>
          <t>Industry elasticities (cpat_coded EC_SECTORS)</t>
        </is>
      </c>
      <c r="D5" s="88" t="inlineStr">
        <is>
          <t>Services (buildings) elasticities</t>
        </is>
      </c>
      <c r="E5" s="88" t="inlineStr">
        <is>
          <t>User decision v0.11; legacy groups food &amp; forestry with services as Commercial</t>
        </is>
      </c>
      <c r="F5" s="88" t="inlineStr">
        <is>
          <t>Food &amp; forestry fuel response</t>
        </is>
      </c>
      <c r="G5" s="88" t="inlineStr">
        <is>
          <t>Decision</t>
        </is>
      </c>
    </row>
    <row r="6">
      <c r="A6" s="88" t="n">
        <v>2</v>
      </c>
      <c r="B6" s="88" t="inlineStr">
        <is>
          <t>Other oil products: pass-through and margin</t>
        </is>
      </c>
      <c r="C6" s="88" t="inlineStr">
        <is>
          <t>Hardcoded 1 and 0</t>
        </is>
      </c>
      <c r="D6" s="88" t="inlineStr">
        <is>
          <t>From the IMF dataset like the other oil products (Egypt 0 and 7.95 $/bbl)</t>
        </is>
      </c>
      <c r="E6" s="88" t="inlineStr">
        <is>
          <t>User decision v0.10: the legacy rule drove the retail price to the 0.01 floor and fuel use 10x by 2030</t>
        </is>
      </c>
      <c r="F6" s="88" t="inlineStr">
        <is>
          <t>Large: other oil products, total fuel use</t>
        </is>
      </c>
      <c r="G6" s="88" t="inlineStr">
        <is>
          <t>Decision</t>
        </is>
      </c>
    </row>
    <row r="7">
      <c r="A7" s="88" t="n">
        <v>3</v>
      </c>
      <c r="B7" s="88" t="inlineStr">
        <is>
          <t>VAT rate where the dataset is blank</t>
        </is>
      </c>
      <c r="C7" s="88" t="inlineStr">
        <is>
          <t>0</t>
        </is>
      </c>
      <c r="D7" s="88" t="inlineStr">
        <is>
          <t>General VAT rate VAT_WEO for residential coal and gas and all-sector oil products; 0 for power, industry, biomass. Only for blank cells (v0.14)</t>
        </is>
      </c>
      <c r="E7" s="88" t="inlineStr">
        <is>
          <t>User decision v0.10</t>
        </is>
      </c>
      <c r="F7" s="88" t="inlineStr">
        <is>
          <t>None for Egypt since v0.14 (corrected data fill every VAT cell)</t>
        </is>
      </c>
      <c r="G7" s="91" t="inlineStr">
        <is>
          <t>Assumption</t>
        </is>
      </c>
    </row>
    <row r="8">
      <c r="A8" s="88" t="n">
        <v>4</v>
      </c>
      <c r="B8" s="88" t="inlineStr">
        <is>
          <t>Egypt price data</t>
        </is>
      </c>
      <c r="C8" s="88" t="inlineStr">
        <is>
          <t>Price block in the legacy release</t>
        </is>
      </c>
      <c r="D8" s="88" t="inlineStr">
        <is>
          <t>Corrected Egypt block supplied by the user (2026-10-09; 291 cells, years 2019-2020 added); changed cells bright yellow in Prices_dom</t>
        </is>
      </c>
      <c r="E8" s="88" t="inlineStr">
        <is>
          <t>User data correction</t>
        </is>
      </c>
      <c r="F8" s="88" t="inlineStr">
        <is>
          <t>Taxes and subsidies of gas and oil products; small supply-cost changes</t>
        </is>
      </c>
      <c r="G8" s="88" t="inlineStr">
        <is>
          <t>Data</t>
        </is>
      </c>
    </row>
    <row r="9">
      <c r="A9" s="88" t="n">
        <v>5</v>
      </c>
      <c r="B9" s="88" t="inlineStr">
        <is>
          <t>Oil-product share in the VAT of transport fuels</t>
        </is>
      </c>
      <c r="C9" s="88" t="inlineStr">
        <is>
          <t>VAT rate x oil-product share</t>
        </is>
      </c>
      <c r="D9" s="88" t="inlineStr">
        <is>
          <t>Share = 1</t>
        </is>
      </c>
      <c r="E9" s="88" t="inlineStr">
        <is>
          <t>Not yet extracted</t>
        </is>
      </c>
      <c r="F9" s="88" t="inlineStr">
        <is>
          <t>None for Egypt today</t>
        </is>
      </c>
      <c r="G9" s="88" t="inlineStr">
        <is>
          <t>Simplification</t>
        </is>
      </c>
    </row>
    <row r="10">
      <c r="A10" s="88" t="n">
        <v>6</v>
      </c>
      <c r="B10" s="88" t="inlineStr">
        <is>
          <t>New ETS price</t>
        </is>
      </c>
      <c r="C10" s="88" t="inlineStr">
        <is>
          <t>Cap relative to baseline; quick estimate (linear in the semi-elasticity) and a VBA goal seek on an override row</t>
        </is>
      </c>
      <c r="D10" s="88" t="inlineStr">
        <is>
          <t>Same cap; fast estimate in log form LN(cap/baseline)/(semi x effectiveness x volatility adjustment); override row pasted from ets_goalseek_v2_3.py (Python, same damped log-space step, no VBA); baseline covered emissions are data from scenario 1 (bco2)</t>
        </is>
      </c>
      <c r="E10" s="88" t="inlineStr">
        <is>
          <t>No circular reference; legacy note "arguably exp/ln"</t>
        </is>
      </c>
      <c r="F10" s="88" t="inlineStr">
        <is>
          <t>ETS scenarios</t>
        </is>
      </c>
      <c r="G10" s="88" t="inlineStr">
        <is>
          <t>Method</t>
        </is>
      </c>
    </row>
    <row r="11">
      <c r="A11" s="88" t="n">
        <v>7</v>
      </c>
      <c r="B11" s="88" t="inlineStr">
        <is>
          <t>ETS allocation</t>
        </is>
      </c>
      <c r="C11" s="88" t="inlineStr">
        <is>
          <t>One auctioned proportion for all sectors (MTInputs 90-92)</t>
        </is>
      </c>
      <c r="D11" s="88" t="inlineStr">
        <is>
          <t>Benchmarks by sector group (pow, tra, res, ind; typed rows); OBR share = benchmark; MTInputs 90-92 not used</t>
        </is>
      </c>
      <c r="E11" s="88" t="inlineStr">
        <is>
          <t>User decision v1.02 (benchmarks); the split afterwards is as legacy</t>
        </is>
      </c>
      <c r="F11" s="88" t="inlineStr">
        <is>
          <t>ETS scenarios</t>
        </is>
      </c>
      <c r="G11" s="88" t="inlineStr">
        <is>
          <t>Decision</t>
        </is>
      </c>
    </row>
    <row r="12">
      <c r="A12" s="88" t="n">
        <v>8</v>
      </c>
      <c r="B12" s="88" t="inlineStr">
        <is>
          <t>ETS volatility</t>
        </is>
      </c>
      <c r="C12" s="88" t="inlineStr">
        <is>
          <t>Relative price ETS vs tax hardcoded 1.1 (row 1843); volatility inputs feed a factor not used</t>
        </is>
      </c>
      <c r="D12" s="88" t="inlineStr">
        <is>
          <t>Volatility adjustment (1 + policy risk x impact)/(1 + volatility x impact) from MTInputs 95-97 (1/1.1 at Medium) on the tax-equivalent price and in the fast estimate</t>
        </is>
      </c>
      <c r="E12" s="88" t="inlineStr">
        <is>
          <t>User suggestion v1.02 (volatility-dependent effectiveness)</t>
        </is>
      </c>
      <c r="F12" s="88" t="inlineStr">
        <is>
          <t>ETS scenarios</t>
        </is>
      </c>
      <c r="G12" s="88" t="inlineStr">
        <is>
          <t>Method</t>
        </is>
      </c>
    </row>
    <row r="13">
      <c r="A13" s="88" t="n">
        <v>9</v>
      </c>
      <c r="B13" s="88" t="inlineStr">
        <is>
          <t>Sectoral shadow prices</t>
        </is>
      </c>
      <c r="C13" s="88" t="inlineStr">
        <is>
          <t>Feebates + non-auctioned ETS + regulations</t>
        </is>
      </c>
      <c r="D13" s="88" t="inlineStr">
        <is>
          <t>Feebates + regulations (placeholder 0) + OBR part of the ETS</t>
        </is>
      </c>
      <c r="E13" s="88" t="inlineStr">
        <is>
          <t>Regulations not yet</t>
        </is>
      </c>
      <c r="F13" s="88" t="inlineStr">
        <is>
          <t>Regulation scenarios</t>
        </is>
      </c>
      <c r="G13" s="88" t="inlineStr">
        <is>
          <t>Not yet</t>
        </is>
      </c>
    </row>
    <row r="14">
      <c r="A14" s="88" t="n">
        <v>10</v>
      </c>
      <c r="B14" s="88" t="inlineStr">
        <is>
          <t>Policy paths after the target year</t>
        </is>
      </c>
      <c r="C14" s="88" t="inlineStr">
        <is>
          <t>Per instrument (carbon price: MTInputs switch)</t>
        </is>
      </c>
      <c r="D14" s="88" t="inlineStr">
        <is>
          <t>Linear continuation for fuel price reform and feebates; carbon price keeps the switch; ETS benchmarks constant; ETS cap per MTInputs switch</t>
        </is>
      </c>
      <c r="E14" s="88" t="inlineStr">
        <is>
          <t>User decision v0.8 (one default)</t>
        </is>
      </c>
      <c r="F14" s="88" t="inlineStr">
        <is>
          <t>Post-target years</t>
        </is>
      </c>
      <c r="G14" s="88" t="inlineStr">
        <is>
          <t>Decision</t>
        </is>
      </c>
    </row>
    <row r="15">
      <c r="A15" s="88" t="n">
        <v>11</v>
      </c>
      <c r="B15" s="88" t="inlineStr">
        <is>
          <t>Scenario batch runs</t>
        </is>
      </c>
      <c r="C15" s="88" t="inlineStr">
        <is>
          <t>Macros copy each MTInputs scenario column into the column used for calculation and store the outputs</t>
        </is>
      </c>
      <c r="D15" s="88" t="inlineStr">
        <is>
          <t>Same idea: RunAllScenarios copies each definition (MTInputs L onwards, Run? = Yes) into the live column K, runs the ETS goal seek when needed, stores MTOutputs values in StoredResults; ScenarioCompare compares one year</t>
        </is>
      </c>
      <c r="E15" s="88" t="inlineStr">
        <is>
          <t>User request v1.03</t>
        </is>
      </c>
      <c r="F15" s="88" t="inlineStr">
        <is>
          <t>Multi-scenario analysis</t>
        </is>
      </c>
      <c r="G15" s="88" t="inlineStr">
        <is>
          <t>Same</t>
        </is>
      </c>
    </row>
    <row r="16">
      <c r="A16" s="88" t="n">
        <v>12</v>
      </c>
      <c r="B16" s="88" t="inlineStr">
        <is>
          <t>Feebate grouping</t>
        </is>
      </c>
      <c r="C16" s="88" t="inlineStr">
        <is>
          <t>Main grouping (buildings = residential rate)</t>
        </is>
      </c>
      <c r="D16" s="88" t="inlineStr">
        <is>
          <t>Same: food &amp; forestry and services take the residential rate; other energy use the industry rate</t>
        </is>
      </c>
      <c r="E16" s="88" t="inlineStr">
        <is>
          <t>User decision v0.8</t>
        </is>
      </c>
      <c r="F16" s="88" t="inlineStr">
        <is>
          <t>None</t>
        </is>
      </c>
      <c r="G16" s="88" t="inlineStr">
        <is>
          <t>Same</t>
        </is>
      </c>
    </row>
    <row r="17">
      <c r="A17" s="88" t="n">
        <v>13</v>
      </c>
      <c r="B17" s="88" t="inlineStr">
        <is>
          <t>Biomass carbon-tax coverage</t>
        </is>
      </c>
      <c r="C17" s="88" t="inlineStr">
        <is>
          <t>No switch</t>
        </is>
      </c>
      <c r="D17" s="88" t="inlineStr">
        <is>
          <t>TRUE (EF 0)</t>
        </is>
      </c>
      <c r="E17" s="88" t="inlineStr">
        <is>
          <t>User decision v0.8</t>
        </is>
      </c>
      <c r="F17" s="88" t="inlineStr">
        <is>
          <t>None</t>
        </is>
      </c>
      <c r="G17" s="88" t="inlineStr">
        <is>
          <t>Decision</t>
        </is>
      </c>
    </row>
    <row r="18">
      <c r="A18" s="88" t="n">
        <v>14</v>
      </c>
      <c r="B18" s="88" t="inlineStr">
        <is>
          <t>Margins and production costs</t>
        </is>
      </c>
      <c r="C18" s="88" t="inlineStr">
        <is>
          <t>cpat_coded applies no inflation conversion</t>
        </is>
      </c>
      <c r="D18" s="88" t="inlineStr">
        <is>
          <t>x CPI index of the base year</t>
        </is>
      </c>
      <c r="E18" s="88" t="inlineStr">
        <is>
          <t>Consistent real terms (assumption A4)</t>
        </is>
      </c>
      <c r="F18" s="88" t="inlineStr">
        <is>
          <t>Coal and gas supply cost level</t>
        </is>
      </c>
      <c r="G18" s="88" t="inlineStr">
        <is>
          <t>To check (bucket 5)</t>
        </is>
      </c>
    </row>
    <row r="19">
      <c r="A19" s="88" t="n">
        <v>15</v>
      </c>
      <c r="B19" s="88" t="inlineStr">
        <is>
          <t>Existing taxes and subsidies</t>
        </is>
      </c>
      <c r="C19" s="88" t="inlineStr">
        <is>
          <t>txo = fixed tax (fadtx) + fixed subsidy (fixs) + floating part (cs)</t>
        </is>
      </c>
      <c r="D19" s="88" t="inlineStr">
        <is>
          <t>Split by the sign of txo: etx = max(txo, 0), esub = max(-txo, 0)</t>
        </is>
      </c>
      <c r="E19" s="88" t="inlineStr">
        <is>
          <t>Simple and revenue-ready; same totals</t>
        </is>
      </c>
      <c r="F19" s="88" t="inlineStr">
        <is>
          <t>Presentation only</t>
        </is>
      </c>
      <c r="G19" s="88" t="inlineStr">
        <is>
          <t>Simplification</t>
        </is>
      </c>
    </row>
    <row r="20">
      <c r="A20" s="88" t="n">
        <v>16</v>
      </c>
      <c r="B20" s="88" t="inlineStr">
        <is>
          <t>Subsidy and price-control phase-outs</t>
        </is>
      </c>
      <c r="C20" s="88" t="inlineStr">
        <is>
          <t>MTInputs 123-138, 191-195</t>
        </is>
      </c>
      <c r="D20" s="88" t="inlineStr">
        <is>
          <t>Not yet (phase-out factors 1)</t>
        </is>
      </c>
      <c r="E20" s="88" t="inlineStr">
        <is>
          <t>Later per-fuel policy input; esubpu prepared</t>
        </is>
      </c>
      <c r="F20" s="88" t="inlineStr">
        <is>
          <t>Reform scenarios</t>
        </is>
      </c>
      <c r="G20" s="88" t="inlineStr">
        <is>
          <t>Not yet</t>
        </is>
      </c>
    </row>
    <row r="21">
      <c r="A21" s="88" t="n">
        <v>17</v>
      </c>
      <c r="B21" s="88" t="inlineStr">
        <is>
          <t>Producer subsidies</t>
        </is>
      </c>
      <c r="C21" s="88" t="inlineStr">
        <is>
          <t>In the supply cost</t>
        </is>
      </c>
      <c r="D21" s="88" t="inlineStr">
        <is>
          <t>Left out</t>
        </is>
      </c>
      <c r="E21" s="88" t="inlineStr">
        <is>
          <t>Zero for Egypt</t>
        </is>
      </c>
      <c r="F21" s="88" t="inlineStr">
        <is>
          <t>Other countries</t>
        </is>
      </c>
      <c r="G21" s="88" t="inlineStr">
        <is>
          <t>Not yet</t>
        </is>
      </c>
    </row>
    <row r="22">
      <c r="A22" s="88" t="n">
        <v>18</v>
      </c>
      <c r="B22" s="88" t="inlineStr">
        <is>
          <t>Ad-valorem baseline taxes; Europe LNG shift</t>
        </is>
      </c>
      <c r="C22" s="88" t="inlineStr">
        <is>
          <t>Per Prices_int assumptions</t>
        </is>
      </c>
      <c r="D22" s="88" t="inlineStr">
        <is>
          <t>Fixed taxes only; no shift</t>
        </is>
      </c>
      <c r="E22" s="88" t="inlineStr">
        <is>
          <t>Egypt: Fixed taxes, Global gas market</t>
        </is>
      </c>
      <c r="F22" s="88" t="inlineStr">
        <is>
          <t>Other countries</t>
        </is>
      </c>
      <c r="G22" s="88" t="inlineStr">
        <is>
          <t>Not yet</t>
        </is>
      </c>
    </row>
    <row r="23">
      <c r="A23" s="88" t="n">
        <v>19</v>
      </c>
      <c r="B23" s="88" t="inlineStr">
        <is>
          <t>Fuel-use equation</t>
        </is>
      </c>
      <c r="C23" s="88" t="inlineStr">
        <is>
          <t>Includes Covid factor and additional policy efficiency gains (MTInputs 242-245)</t>
        </is>
      </c>
      <c r="D23" s="88" t="inlineStr">
        <is>
          <t>CPAT eq. 3.3.3 without them</t>
        </is>
      </c>
      <c r="E23" s="88" t="inlineStr">
        <is>
          <t>Not yet</t>
        </is>
      </c>
      <c r="F23" s="88" t="inlineStr">
        <is>
          <t>Small</t>
        </is>
      </c>
      <c r="G23" s="88" t="inlineStr">
        <is>
          <t>Not yet</t>
        </is>
      </c>
    </row>
    <row r="24">
      <c r="A24" s="88" t="n">
        <v>20</v>
      </c>
      <c r="B24" s="88" t="inlineStr">
        <is>
          <t>Power engineer model (v1.06)</t>
        </is>
      </c>
      <c r="C24" s="88" t="inlineStr">
        <is>
          <t>Tables H (demand), I (dispatch), K (retirement, capacity), L (investment)</t>
        </is>
      </c>
      <c r="D24" s="88" t="inlineStr">
        <is>
          <t>Same method, year by year (method test: 208 legacy rows of the baseline and the carbon-tax run reproduced to 1e-13 with the bugs switched on)</t>
        </is>
      </c>
      <c r="E24" s="88" t="inlineStr">
        <is>
          <t>User request v1.06: align except for bugs</t>
        </is>
      </c>
      <c r="F24" s="88" t="inlineStr">
        <is>
          <t>Generation mix, capacity, investment and power CO2 now respond to each scenario</t>
        </is>
      </c>
      <c r="G24" s="88" t="inlineStr">
        <is>
          <t>Same</t>
        </is>
      </c>
    </row>
    <row r="25">
      <c r="A25" s="88" t="n">
        <v>21</v>
      </c>
      <c r="B25" s="88" t="inlineStr">
        <is>
          <t>Power: bug fixes (v1.06)</t>
        </is>
      </c>
      <c r="C25" s="88" t="inlineStr">
        <is>
          <t>Ten defects (CPAT-AI-Mitigation-MVP_BugsIssuesUpgrades_v2.3.docx): services demand with the industrial multiple from 2024; efficiency exponent with eps_F; income factor twice; LT storage allocation twice; investment spending at base capital cost; investment logit normalised by non-permitted types; early-retirement units; coal effective retirement uncapped; feebate rebate x 1.22; capacity check on the plan</t>
        </is>
      </c>
      <c r="D25" s="88" t="inlineStr">
        <is>
          <t>Fixed</t>
        </is>
      </c>
      <c r="E25" s="88" t="inlineStr">
        <is>
          <t>User request v1.06</t>
        </is>
      </c>
      <c r="F25" s="88" t="inlineStr">
        <is>
          <t>Legacy Egypt inputs: generation 2040 +12.6% (baseline), +9.2% (carbon tax); power CO2 2040 +10.8%; the last six are latent for Egypt</t>
        </is>
      </c>
      <c r="G25" s="88" t="inlineStr">
        <is>
          <t>Bug fix</t>
        </is>
      </c>
    </row>
    <row r="26">
      <c r="A26" s="88" t="n">
        <v>22</v>
      </c>
      <c r="B26" s="88" t="inlineStr">
        <is>
          <t>Power demand: 2023-2024 demand shock</t>
        </is>
      </c>
      <c r="C26" s="88" t="inlineStr">
        <is>
          <t>Exogenous shock -20.8% (2023), +9.2% (2024) on power demand</t>
        </is>
      </c>
      <c r="D26" s="88" t="inlineStr">
        <is>
          <t>Switch Settings C19, off by default (the fuel blocks do not apply it either); the resulting 2023 demand jump (USD electricity prices after the devaluation) is accepted</t>
        </is>
      </c>
      <c r="E26" s="88" t="inlineStr">
        <is>
          <t>User decision v1.07 (consistency with the fuel blocks)</t>
        </is>
      </c>
      <c r="F26" s="88" t="inlineStr">
        <is>
          <t>Power demand 2023-2040 higher than legacy</t>
        </is>
      </c>
      <c r="G26" s="88" t="inlineStr">
        <is>
          <t>Decision</t>
        </is>
      </c>
    </row>
    <row r="27">
      <c r="A27" s="88" t="n">
        <v>23</v>
      </c>
      <c r="B27" s="88" t="inlineStr">
        <is>
          <t>Power demand and sector policies</t>
        </is>
      </c>
      <c r="C27" s="88" t="inlineStr">
        <is>
          <t>Power demand from its own elasticities (H); sector policies act on fuels only</t>
        </is>
      </c>
      <c r="D27" s="88" t="inlineStr">
        <is>
          <t>Same; electricity demand shown as memo lines in the sector blocks and section 11 (not in the fuel totals)</t>
        </is>
      </c>
      <c r="E27" s="88" t="inlineStr">
        <is>
          <t>User decision v1.07: keep sector policies separate</t>
        </is>
      </c>
      <c r="F27" s="88" t="inlineStr">
        <is>
          <t>None</t>
        </is>
      </c>
      <c r="G27" s="88" t="inlineStr">
        <is>
          <t>Same</t>
        </is>
      </c>
    </row>
    <row r="28">
      <c r="A28" s="88" t="n">
        <v>24</v>
      </c>
      <c r="B28" s="88" t="inlineStr">
        <is>
          <t>Power: planned retirement</t>
        </is>
      </c>
      <c r="C28" s="88" t="inlineStr">
        <is>
          <t>Coal only (K5), data from sheet Power when Use Data = Yes; else the rate</t>
        </is>
      </c>
      <c r="D28" s="88" t="inlineStr">
        <is>
          <t>Every type: switch planned_retirement (PowerTech) and data rows pret|&lt;type&gt; (PowerPaths); retirement = MIN(planned or rate-based + early coal, capacity)</t>
        </is>
      </c>
      <c r="E28" s="88" t="inlineStr">
        <is>
          <t>User request v1.07</t>
        </is>
      </c>
      <c r="F28" s="88" t="inlineStr">
        <is>
          <t>None for Egypt (no data, switches No)</t>
        </is>
      </c>
      <c r="G28" s="88" t="inlineStr">
        <is>
          <t>Design</t>
        </is>
      </c>
    </row>
    <row r="29">
      <c r="A29" s="88" t="n">
        <v>25</v>
      </c>
      <c r="B29" s="88" t="inlineStr">
        <is>
          <t>Power demand: road electricity</t>
        </is>
      </c>
      <c r="C29" s="88" t="inlineStr">
        <is>
          <t>From the road module (EV electricity)</t>
        </is>
      </c>
      <c r="D29" s="88" t="inlineStr">
        <is>
          <t>Grows with the transport multiple (legacy fallback)</t>
        </is>
      </c>
      <c r="E29" s="88" t="inlineStr">
        <is>
          <t>No road module in the MVP</t>
        </is>
      </c>
      <c r="F29" s="88" t="inlineStr">
        <is>
          <t>None for Egypt (0)</t>
        </is>
      </c>
      <c r="G29" s="88" t="inlineStr">
        <is>
          <t>Not yet</t>
        </is>
      </c>
    </row>
    <row r="30">
      <c r="A30" s="88" t="n">
        <v>26</v>
      </c>
      <c r="B30" s="88" t="inlineStr">
        <is>
          <t>Power: features not built</t>
        </is>
      </c>
      <c r="C30" s="88" t="inlineStr">
        <is>
          <t>PPAs, manual capacity and investment, power demand from the elasticity model, carbon price on power use (feebates), apply final deficit to gas</t>
        </is>
      </c>
      <c r="D30" s="88" t="inlineStr">
        <is>
          <t>Not built (all off or 0 in the Egypt runs)</t>
        </is>
      </c>
      <c r="E30" s="88" t="inlineStr">
        <is>
          <t>Scope</t>
        </is>
      </c>
      <c r="F30" s="88" t="inlineStr">
        <is>
          <t>None for Egypt</t>
        </is>
      </c>
      <c r="G30" s="88" t="inlineStr">
        <is>
          <t>Not yet</t>
        </is>
      </c>
    </row>
    <row r="31">
      <c r="A31" s="88" t="n">
        <v>27</v>
      </c>
      <c r="B31" s="88" t="inlineStr">
        <is>
          <t>Power: levelised variable cost window</t>
        </is>
      </c>
      <c r="C31" s="88" t="inlineStr">
        <is>
          <t>To the last model year 2041</t>
        </is>
      </c>
      <c r="D31" s="88" t="inlineStr">
        <is>
          <t>To the last model year 2041 (v2.3); without LAMBDA support the 2041 cost is last year's (tvcx)</t>
        </is>
      </c>
      <c r="E31" s="88" t="inlineStr">
        <is>
          <t>Same horizon as legacy</t>
        </is>
      </c>
      <c r="F31" s="88" t="inlineStr">
        <is>
          <t>None in Excel 365</t>
        </is>
      </c>
      <c r="G31" s="88" t="inlineStr">
        <is>
          <t>Same</t>
        </is>
      </c>
    </row>
    <row r="32">
      <c r="A32" s="88" t="n">
        <v>28</v>
      </c>
      <c r="B32" s="88" t="inlineStr">
        <is>
          <t>Power: generation costs (v1.05)</t>
        </is>
      </c>
      <c r="C32" s="88" t="inlineStr">
        <is>
          <t>Tables B3-B8 (amortised), C1-C7 (levelised), A5-A6 discount factors</t>
        </is>
      </c>
      <c r="D32" s="88" t="inlineStr">
        <is>
          <t>One row per type for amortised and for levelised fixed cost; discounted lifetime in closed form; constants derived in Inputs_power</t>
        </is>
      </c>
      <c r="E32" s="88" t="inlineStr">
        <is>
          <t>Fewer, readable rows (PowerPrices_Method_v2_3.md S1-S3)</t>
        </is>
      </c>
      <c r="F32" s="88" t="inlineStr">
        <is>
          <t>None (method test: legacy rows reproduced to 1e-15)</t>
        </is>
      </c>
      <c r="G32" s="88" t="inlineStr">
        <is>
          <t>Simplification</t>
        </is>
      </c>
    </row>
    <row r="33">
      <c r="A33" s="88" t="n">
        <v>29</v>
      </c>
      <c r="B33" s="88" t="inlineStr">
        <is>
          <t>Power: fuel prices</t>
        </is>
      </c>
      <c r="C33" s="88" t="inlineStr">
        <is>
          <t>5-year moving average of fuel prices (A18; spot prices a dashboard option)</t>
        </is>
      </c>
      <c r="D33" s="88" t="inlineStr">
        <is>
          <t>Same (v2.3): centred average of the price before new policies over t-2 .. t+2 within 2022-2041 (row fpp); Settings C21 SpotPow = Yes for spot prices</t>
        </is>
      </c>
      <c r="E33" s="88" t="inlineStr">
        <is>
          <t>User decision v2.3: as legacy</t>
        </is>
      </c>
      <c r="F33" s="88" t="inlineStr">
        <is>
          <t>None</t>
        </is>
      </c>
      <c r="G33" s="88" t="inlineStr">
        <is>
          <t>Same</t>
        </is>
      </c>
    </row>
    <row r="34">
      <c r="A34" s="88" t="n">
        <v>30</v>
      </c>
      <c r="B34" s="88" t="inlineStr">
        <is>
          <t>Power: end-user prices</t>
        </is>
      </c>
      <c r="C34" s="88" t="inlineStr">
        <is>
          <t>Supply cost + producer subsidy + other tax + over/under-estimate residual (held at the last historical year), then VAT</t>
        </is>
      </c>
      <c r="D34" s="88" t="inlineStr">
        <is>
          <t>Telescoped: price(t) = price(t-1) + pass-through x change in supply cost x (1 + VAT) after the last historical year</t>
        </is>
      </c>
      <c r="E34" s="88" t="inlineStr">
        <is>
          <t>Simplification S4: the held components cancel</t>
        </is>
      </c>
      <c r="F34" s="88" t="inlineStr">
        <is>
          <t>None (same numbers)</t>
        </is>
      </c>
      <c r="G34" s="88" t="inlineStr">
        <is>
          <t>Simplification</t>
        </is>
      </c>
    </row>
    <row r="35">
      <c r="A35" s="88" t="n">
        <v>31</v>
      </c>
      <c r="B35" s="88" t="inlineStr">
        <is>
          <t>Power: historical electricity prices and VAT</t>
        </is>
      </c>
      <c r="C35" s="88" t="inlineStr">
        <is>
          <t>Legacy vintage (residential 0.112 $/kWh incl. 15.6% VAT in 2022)</t>
        </is>
      </c>
      <c r="D35" s="88" t="inlineStr">
        <is>
          <t>Corrected Egypt block (residential 0.054, 0.048, 0.043 $/kWh nominal 2022-2024; VAT 0)</t>
        </is>
      </c>
      <c r="E35" s="88" t="inlineStr">
        <is>
          <t>User data (2026-10-09)</t>
        </is>
      </c>
      <c r="F35" s="88" t="inlineStr">
        <is>
          <t>Electricity price levels</t>
        </is>
      </c>
      <c r="G35" s="88" t="inlineStr">
        <is>
          <t>Data</t>
        </is>
      </c>
    </row>
    <row r="36">
      <c r="A36" s="88" t="n">
        <v>32</v>
      </c>
      <c r="B36" s="88" t="inlineStr">
        <is>
          <t>Power: coal implicit cost</t>
        </is>
      </c>
      <c r="C36" s="88" t="inlineStr">
        <is>
          <t>D3 (calibrated on the coal share)</t>
        </is>
      </c>
      <c r="D36" s="88" t="inlineStr">
        <is>
          <t>Not built (D6 shadow price and rebate built in v1.06)</t>
        </is>
      </c>
      <c r="E36" s="88" t="inlineStr">
        <is>
          <t>0 for Egypt (no coal in the mix)</t>
        </is>
      </c>
      <c r="F36" s="88" t="inlineStr">
        <is>
          <t>Other countries with coal</t>
        </is>
      </c>
      <c r="G36" s="88" t="inlineStr">
        <is>
          <t>Not yet</t>
        </is>
      </c>
    </row>
    <row r="37">
      <c r="A37" s="88" t="n">
        <v>33</v>
      </c>
      <c r="B37" s="88" t="inlineStr">
        <is>
          <t>Power: new-policy revenue</t>
        </is>
      </c>
      <c r="C37" s="88" t="inlineStr">
        <is>
          <t>Carbon revenue from power</t>
        </is>
      </c>
      <c r="D37" s="88" t="inlineStr">
        <is>
          <t>v1.09: by generation type (prnew): policy cost x generation, the ETS part at the permit price (as the subsectors); rcarb (ccpav x consumption) kept as a memo</t>
        </is>
      </c>
      <c r="E37" s="88" t="inlineStr">
        <is>
          <t>Consistency with the subsectors</t>
        </is>
      </c>
      <c r="F37" s="88" t="inlineStr">
        <is>
          <t>None (fixed in v1.09)</t>
        </is>
      </c>
      <c r="G37" s="88" t="inlineStr">
        <is>
          <t>Same</t>
        </is>
      </c>
    </row>
    <row r="38">
      <c r="A38" s="88" t="n">
        <v>34</v>
      </c>
      <c r="B38" s="88" t="inlineStr">
        <is>
          <t>Emissions</t>
        </is>
      </c>
      <c r="C38" s="88" t="inlineStr">
        <is>
          <t>All GHGs and local pollutants; inventory-adjusted EFs; power and process emissions</t>
        </is>
      </c>
      <c r="D38" s="88" t="inlineStr">
        <is>
          <t>CO2 from fuel combustion only, IIASA EFs without inventory adjustment; power from v1.06; no process emissions</t>
        </is>
      </c>
      <c r="E38" s="88" t="inlineStr">
        <is>
          <t>User decision v0.13: CO2 first</t>
        </is>
      </c>
      <c r="F38" s="88" t="inlineStr">
        <is>
          <t>Emission levels</t>
        </is>
      </c>
      <c r="G38" s="88" t="inlineStr">
        <is>
          <t>Not yet</t>
        </is>
      </c>
    </row>
    <row r="39">
      <c r="A39" s="88" t="n">
        <v>35</v>
      </c>
      <c r="B39" s="88" t="inlineStr">
        <is>
          <t>Revenue structure</t>
        </is>
      </c>
      <c r="C39" s="88" t="inlineStr">
        <is>
          <t>Revenue by instrument incl. electricity, producer subsidies, ETS allowances, GDP feedback</t>
        </is>
      </c>
      <c r="D39" s="88" t="inlineStr">
        <is>
          <t>Three separate calculations per subsector and fuel: existing taxes (txo positive part + VAT), existing consumer subsidies, new policies (carbon tax, excise, auctioned ETS, VAT on them); power (v1.09): fuel taxes and subsidies on generation, electricity VAT, electricity subsidy gap (signed: negative when the price is above cost), new policies; no producer subsidies, no GDP feedback</t>
        </is>
      </c>
      <c r="E39" s="88" t="inlineStr">
        <is>
          <t>User request v0.12; scope of the prototype</t>
        </is>
      </c>
      <c r="F39" s="88" t="inlineStr">
        <is>
          <t>Revenue levels</t>
        </is>
      </c>
      <c r="G39" s="88" t="inlineStr">
        <is>
          <t>Simplification</t>
        </is>
      </c>
    </row>
    <row r="40">
      <c r="A40" s="88" t="n">
        <v>36</v>
      </c>
      <c r="B40" s="88" t="inlineStr">
        <is>
          <t>Existing carbon pricing</t>
        </is>
      </c>
      <c r="C40" s="88" t="inlineStr">
        <is>
          <t>ECP data by country (national and regional ETS blocks, carbon tax with fuel-specific rates), coverage by year; ctx and ets inside txo; free allocation and revenue data</t>
        </is>
      </c>
      <c r="D40" s="88" t="inlineStr">
        <is>
          <t>One ETS per country (national, else regional EU ETS); carbon tax single rate; coverage of the last data year; only the change against the level in the price data enters prices and revenue (the IMF data contain the level); existing ETS revenue at full price; existing and new ETS add up where both cover a sector</t>
        </is>
      </c>
      <c r="E40" s="88" t="inlineStr">
        <is>
          <t>Simplicity; IMF retail prices include existing pricing</t>
        </is>
      </c>
      <c r="F40" s="88" t="inlineStr">
        <is>
          <t>None for Egypt (no existing pricing)</t>
        </is>
      </c>
      <c r="G40" s="88" t="inlineStr">
        <is>
          <t>Simplification</t>
        </is>
      </c>
    </row>
    <row r="41">
      <c r="A41" s="88" t="n">
        <v>37</v>
      </c>
      <c r="B41" s="88" t="inlineStr">
        <is>
          <t>Power in the totals</t>
        </is>
      </c>
      <c r="C41" s="88" t="inlineStr">
        <is>
          <t>Total energy and revenue include power</t>
        </is>
      </c>
      <c r="D41" s="88" t="inlineStr">
        <is>
          <t>v1.09: generation fuel use (coal, gas, oil, biomass) in the fuel totals of section 11; power revenues in section 12; electricity final demand a memo</t>
        </is>
      </c>
      <c r="E41" s="88" t="inlineStr">
        <is>
          <t>Main thread</t>
        </is>
      </c>
      <c r="F41" s="88" t="inlineStr">
        <is>
          <t>Totals now include power (36.7 Mtoe of 86.4 in 2022)</t>
        </is>
      </c>
      <c r="G41" s="88" t="inlineStr">
        <is>
          <t>Same</t>
        </is>
      </c>
    </row>
    <row r="42">
      <c r="A42" s="88" t="n">
        <v>38</v>
      </c>
      <c r="B42" s="88" t="inlineStr">
        <is>
          <t>Horizon and indices</t>
        </is>
      </c>
      <c r="C42" s="88" t="inlineStr">
        <is>
          <t>To 2050 (power block to 2041); CPI held flat after 2031</t>
        </is>
      </c>
      <c r="D42" s="88" t="inlineStr">
        <is>
          <t>To 2041 (v2.3; the last year is the LAMBDA year); same indices; values after 2030 not a legacy target</t>
        </is>
      </c>
      <c r="E42" s="88" t="inlineStr">
        <is>
          <t>User decisions v0.9 / v0.11 / v2.3</t>
        </is>
      </c>
      <c r="F42" s="88" t="inlineStr">
        <is>
          <t>Post-2030</t>
        </is>
      </c>
      <c r="G42" s="88" t="inlineStr">
        <is>
          <t>Decision</t>
        </is>
      </c>
    </row>
    <row r="43">
      <c r="A43" s="88" t="n">
        <v>39</v>
      </c>
      <c r="B43" s="88" t="inlineStr">
        <is>
          <t>Data vintage</t>
        </is>
      </c>
      <c r="C43" s="88" t="inlineStr">
        <is>
          <t>Proprietary price forecasts; IEA balances</t>
        </is>
      </c>
      <c r="D43" s="88" t="inlineStr">
        <is>
          <t>NoPropData extracts; energy use via kernel v1.6; IIASA EFs without inventory adjustment</t>
        </is>
      </c>
      <c r="E43" s="88" t="inlineStr">
        <is>
          <t>No proprietary data</t>
        </is>
      </c>
      <c r="F43" s="88" t="inlineStr">
        <is>
          <t>Levels; legacy price forecasts #N/A</t>
        </is>
      </c>
      <c r="G43" s="88" t="inlineStr">
        <is>
          <t>Data</t>
        </is>
      </c>
    </row>
    <row r="44">
      <c r="A44" s="88" t="n">
        <v>40</v>
      </c>
      <c r="B44" s="88" t="inlineStr">
        <is>
          <t>Formula structure</t>
        </is>
      </c>
      <c r="C44" s="88" t="inlineStr">
        <is>
          <t>Different formulas by block and year</t>
        </is>
      </c>
      <c r="D44" s="88" t="inlineStr">
        <is>
          <t>One plain formula per variable block for 2022-2040 (at most 100 characters, no LAMBDA needed); the last year 2041 calls the named LAMBDA of each calculated row (v2.3); sheet Lambdas lists them</t>
        </is>
      </c>
      <c r="E44" s="88" t="inlineStr">
        <is>
          <t>Auditability and copy-paste</t>
        </is>
      </c>
      <c r="F44" s="88" t="inlineStr">
        <is>
          <t>None (numerically identical)</t>
        </is>
      </c>
      <c r="G44" s="88" t="inlineStr">
        <is>
          <t>Design</t>
        </is>
      </c>
    </row>
  </sheetData>
  <pageMargins left="0.75" right="0.75" top="1" bottom="1" header="0.5" footer="0.5"/>
</worksheet>
</file>

<file path=xl/worksheets/sheet9.xml><?xml version="1.0" encoding="utf-8"?>
<worksheet xmlns="http://schemas.openxmlformats.org/spreadsheetml/2006/main">
  <sheetPr codeName="Sheet9">
    <outlinePr summaryBelow="1" summaryRight="1"/>
    <pageSetUpPr/>
  </sheetPr>
  <dimension ref="A2:F56"/>
  <sheetViews>
    <sheetView tabSelected="0" workbookViewId="0">
      <selection activeCell="A1" sqref="A1"/>
    </sheetView>
  </sheetViews>
  <sheetFormatPr baseColWidth="8" defaultRowHeight="15" outlineLevelCol="0"/>
  <cols>
    <col width="60" customWidth="1" min="2" max="2"/>
    <col width="14" customWidth="1" min="3" max="3"/>
    <col width="100" customWidth="1" min="4" max="4"/>
    <col width="26" customWidth="1" min="5" max="5"/>
  </cols>
  <sheetData>
    <row r="2">
      <c r="A2" s="2" t="inlineStr">
        <is>
          <t>Settings</t>
        </is>
      </c>
      <c r="B2" s="3" t="n"/>
      <c r="C2" s="3" t="n"/>
      <c r="D2" s="3" t="n"/>
      <c r="E2" s="3" t="n"/>
      <c r="F2" s="3" t="n"/>
    </row>
    <row r="4">
      <c r="B4" s="14" t="inlineStr">
        <is>
          <t>Country code</t>
        </is>
      </c>
      <c r="C4" s="22" t="inlineStr">
        <is>
          <t>EGY</t>
        </is>
      </c>
    </row>
    <row r="5">
      <c r="B5" s="14" t="inlineStr">
        <is>
          <t>Country name</t>
        </is>
      </c>
      <c r="C5" s="14">
        <f>INDEX(Countries!$B$4:$B$1000,MATCH($C$4,Countries!$A$4:$A$1000,0))</f>
        <v/>
      </c>
    </row>
    <row r="6">
      <c r="B6" s="14" t="inlineStr">
        <is>
          <t>Income group (selects elasticities)</t>
        </is>
      </c>
      <c r="C6" s="14">
        <f>INDEX(Countries!$D$4:$D$1000,MATCH($C$4,Countries!$A$4:$A$1000,0))</f>
        <v/>
      </c>
    </row>
    <row r="7">
      <c r="B7" s="14" t="inlineStr">
        <is>
          <t>Base year</t>
        </is>
      </c>
      <c r="C7" s="22" t="n">
        <v>2022</v>
      </c>
    </row>
    <row r="8">
      <c r="B8" s="14" t="inlineStr">
        <is>
          <t>Results in real USD of year (MTInputs ResultsYear, scenario 1)</t>
        </is>
      </c>
      <c r="C8" s="14">
        <f>INDEX(MTInputs!$J$8:$J$415,MATCH("ResultsYear",MTInputs!$H$8:$H$415,0))</f>
        <v/>
      </c>
    </row>
    <row r="9">
      <c r="B9" s="14" t="inlineStr">
        <is>
          <t>Government energy price controls (MTInputs GovPriceControls, scenario 1)</t>
        </is>
      </c>
      <c r="C9" s="14">
        <f>INDEX(MTInputs!$J$8:$J$415,MATCH("GovPriceControls",MTInputs!$H$8:$H$415,0))</f>
        <v/>
      </c>
    </row>
    <row r="10">
      <c r="B10" s="14" t="inlineStr">
        <is>
          <t>Last historical price year (IMF price dataset)</t>
        </is>
      </c>
      <c r="C10" s="22" t="n">
        <v>2024</v>
      </c>
    </row>
    <row r="11">
      <c r="B11" s="14" t="inlineStr">
        <is>
          <t>Gas market (PriceAssump, by country name)</t>
        </is>
      </c>
      <c r="C11" s="14">
        <f>INDEX(PriceAssump!$C$4:$C$400,MATCH($C$5,PriceAssump!$A$4:$A$400,0))</f>
        <v/>
      </c>
    </row>
    <row r="12">
      <c r="B12" s="14" t="inlineStr">
        <is>
          <t>Gas price commodity key (Prices_int)</t>
        </is>
      </c>
      <c r="C12" s="14">
        <f>IF($C$11="LNG","lng",IF($C$11="Europe","eur",IF($C$11="North Am","nam","glo")))</f>
        <v/>
      </c>
    </row>
    <row r="13">
      <c r="B13" s="14" t="inlineStr">
        <is>
          <t>PJ per ktoe (ktoe x PJ/ktoe x $/GJ = USD million; x tCO2/GJ = MtCO2)</t>
        </is>
      </c>
      <c r="C13" s="22" t="n">
        <v>0.041868</v>
      </c>
    </row>
    <row r="14">
      <c r="B14" s="14" t="inlineStr">
        <is>
          <t>ETS: relative effectiveness of output-based allocation (fast estimate; auctioned = 1; legacy hardcoded)</t>
        </is>
      </c>
      <c r="C14" s="22" t="n">
        <v>0.5</v>
      </c>
    </row>
    <row r="15">
      <c r="B15" s="14" t="inlineStr">
        <is>
          <t>ETS: convergence exponent of the next-price proposal (legacy convergence factor, row 1966)</t>
        </is>
      </c>
      <c r="C15" s="22" t="n">
        <v>0.5</v>
      </c>
    </row>
    <row r="16">
      <c r="B16" s="1" t="inlineStr">
        <is>
          <t>ETS volatility table (legacy ETS+LTS rows 5-8; MTInputs labels D_ETSVolatility, D_ETSVolImpact)</t>
        </is>
      </c>
      <c r="C16" s="83" t="inlineStr">
        <is>
          <t>Medium</t>
        </is>
      </c>
      <c r="D16" s="83" t="inlineStr">
        <is>
          <t>High</t>
        </is>
      </c>
      <c r="E16" s="83" t="inlineStr">
        <is>
          <t>Low</t>
        </is>
      </c>
      <c r="F16" s="83" t="inlineStr">
        <is>
          <t>Zero</t>
        </is>
      </c>
    </row>
    <row r="17">
      <c r="B17" s="14" t="inlineStr">
        <is>
          <t>Assumed annual price volatility of the ETS</t>
        </is>
      </c>
      <c r="C17" s="25" t="n">
        <v>0.42</v>
      </c>
      <c r="D17" s="25" t="n">
        <v>0.63</v>
      </c>
      <c r="E17" s="25" t="n">
        <v>0.28</v>
      </c>
      <c r="F17" s="25" t="n">
        <v>0</v>
      </c>
    </row>
    <row r="18">
      <c r="B18" s="14" t="inlineStr">
        <is>
          <t>Abatement cost increase per unit of volatility (impact)</t>
        </is>
      </c>
      <c r="C18" s="25" t="n">
        <v>0.5</v>
      </c>
      <c r="D18" s="25" t="n">
        <v>0.75</v>
      </c>
      <c r="E18" s="25" t="n">
        <v>0.3333333333333333</v>
      </c>
      <c r="F18" s="25" t="n">
        <v>0</v>
      </c>
    </row>
    <row r="19">
      <c r="B19" s="14" t="inlineStr">
        <is>
          <t>Power demand: apply the legacy 2023-2024 energy demand shock (1 = yes; legacy row 2439; the fuel blocks do not apply it)</t>
        </is>
      </c>
      <c r="C19" s="26" t="n">
        <v>0</v>
      </c>
    </row>
    <row r="20">
      <c r="B20" s="14" t="inlineStr">
        <is>
          <t>Output code prefix (country.mit.; defined name CodePrefix)</t>
        </is>
      </c>
      <c r="C20" s="38">
        <f>LOWER($C$4)&amp;".mit."</f>
        <v/>
      </c>
    </row>
    <row r="21">
      <c r="B21" s="14" t="inlineStr">
        <is>
          <t>Power: use spot fuel prices (Yes / No; legacy option; No = centred 5-year moving average of the price before new policies, as legacy A18; defined name SpotPow)</t>
        </is>
      </c>
      <c r="C21" s="22" t="inlineStr">
        <is>
          <t>No</t>
        </is>
      </c>
    </row>
    <row r="22">
      <c r="B22" s="14" t="inlineStr">
        <is>
          <t>US CPI of ResultsYear (WEO USA|pcpi; CPIRes, base of the real-price index)</t>
        </is>
      </c>
      <c r="C22" s="35">
        <f>INDEX(WEOVal,MATCH("USA|pcpi",WEOKey,0),MATCH($C$8,WEOYear,0))</f>
        <v/>
      </c>
    </row>
    <row r="23">
      <c r="B23" s="14" t="inlineStr">
        <is>
          <t>US GDP deflator of ResultsYear (WEO USA|ngdp_d; DeflRes)</t>
        </is>
      </c>
      <c r="C23" s="35">
        <f>INDEX(WEOVal,MATCH("USA|ngdp_d",WEOKey,0),MATCH($C$8,WEOYear,0))</f>
        <v/>
      </c>
    </row>
    <row r="24">
      <c r="B24" s="14" t="inlineStr">
        <is>
          <t>Prices_dom row of the country and base year (PDomBase)</t>
        </is>
      </c>
      <c r="C24" s="10">
        <f>MATCH($C$4&amp;$C$7,PDomKey,0)</f>
        <v/>
      </c>
    </row>
    <row r="25">
      <c r="B25" s="14" t="inlineStr">
        <is>
          <t>Prices_dom row of the country and last historical price year (PDomLast)</t>
        </is>
      </c>
      <c r="C25" s="10">
        <f>MATCH($C$4&amp;$C$10,PDomKey,0)</f>
        <v/>
      </c>
    </row>
    <row r="27">
      <c r="B27" s="1" t="inlineStr">
        <is>
          <t>Version log</t>
        </is>
      </c>
    </row>
    <row r="28">
      <c r="B28" s="83" t="inlineStr">
        <is>
          <t>Version</t>
        </is>
      </c>
      <c r="C28" s="83" t="inlineStr">
        <is>
          <t>Date</t>
        </is>
      </c>
      <c r="D28" s="83" t="inlineStr">
        <is>
          <t>Description</t>
        </is>
      </c>
      <c r="E28" s="83" t="inlineStr">
        <is>
          <t>Max abs regression diff</t>
        </is>
      </c>
    </row>
    <row r="29">
      <c r="B29" s="14" t="inlineStr">
        <is>
          <t>0.1</t>
        </is>
      </c>
      <c r="C29" s="14" t="inlineStr">
        <is>
          <t>2026-10-08</t>
        </is>
      </c>
      <c r="D29" s="14" t="inlineStr">
        <is>
          <t>First build: design 2 price -&gt; fuel-use prototype, Egypt base data, 2 scenarios.</t>
        </is>
      </c>
      <c r="E29" s="14" t="inlineStr">
        <is>
          <t>n/a (first version)</t>
        </is>
      </c>
    </row>
    <row r="30">
      <c r="B30" s="14" t="inlineStr">
        <is>
          <t>0.2</t>
        </is>
      </c>
      <c r="C30" s="14" t="inlineStr">
        <is>
          <t>2026-10-08</t>
        </is>
      </c>
      <c r="D30" s="14" t="inlineStr">
        <is>
          <t>Inputs sheet by fuel|subsector (lookups separated from formulas); 4 hidden parameter columns D:G, global parameters; base year 2022 in column L; named LAMBDAs in 2035.</t>
        </is>
      </c>
      <c r="E30" s="14" t="inlineStr">
        <is>
          <t>0 (vs v0.1)</t>
        </is>
      </c>
    </row>
    <row r="31">
      <c r="B31" s="14" t="inlineStr">
        <is>
          <t>0.3</t>
        </is>
      </c>
      <c r="C31" s="14" t="inlineStr">
        <is>
          <t>2026-10-08</t>
        </is>
      </c>
      <c r="D31" s="14" t="inlineStr">
        <is>
          <t>Variable codes in column A; labels from Variables; code column per scenario with full CPAT codes (auto-numbered).</t>
        </is>
      </c>
      <c r="E31" s="14" t="inlineStr">
        <is>
          <t>0 (vs v0.2)</t>
        </is>
      </c>
    </row>
    <row r="32">
      <c r="B32" s="14" t="inlineStr">
        <is>
          <t>0.4</t>
        </is>
      </c>
      <c r="C32" s="14" t="inlineStr">
        <is>
          <t>2026-10-08</t>
        </is>
      </c>
      <c r="D32" s="14" t="inlineStr">
        <is>
          <t>Row outline: blocks roll up.</t>
        </is>
      </c>
      <c r="E32" s="14" t="inlineStr">
        <is>
          <t>0 (vs v0.3)</t>
        </is>
      </c>
    </row>
    <row r="33">
      <c r="B33" s="14" t="inlineStr">
        <is>
          <t>0.5</t>
        </is>
      </c>
      <c r="C33" s="14" t="inlineStr">
        <is>
          <t>2026-10-08</t>
        </is>
      </c>
      <c r="D33" s="14" t="inlineStr">
        <is>
          <t>White band text; summary lines under bands.</t>
        </is>
      </c>
      <c r="E33" s="14" t="inlineStr">
        <is>
          <t>0 (vs v0.4)</t>
        </is>
      </c>
    </row>
    <row r="34">
      <c r="B34" s="14" t="inlineStr">
        <is>
          <t>0.6</t>
        </is>
      </c>
      <c r="C34" s="14" t="inlineStr">
        <is>
          <t>2026-10-08</t>
        </is>
      </c>
      <c r="D34" s="14" t="inlineStr">
        <is>
          <t>MTInputs sheet per scenario; carbon price from MTInputs.</t>
        </is>
      </c>
      <c r="E34" s="14" t="inlineStr">
        <is>
          <t>0 (vs v0.5)</t>
        </is>
      </c>
    </row>
    <row r="35">
      <c r="B35" s="14" t="inlineStr">
        <is>
          <t>0.7</t>
        </is>
      </c>
      <c r="C35" s="14" t="inlineStr">
        <is>
          <t>2026-10-08</t>
        </is>
      </c>
      <c r="D35" s="14" t="inlineStr">
        <is>
          <t>Legacy CPAT section layout (1 Policies, 3 Power, 5-8 sectors, 11 Results; subsector &gt; variable &gt; fuel); policy wedges: new carbon tax with MTInputs coverage, new excise (fuel price reform), total new policy; feebate shadow price (not yet used).</t>
        </is>
      </c>
      <c r="E35" s="14" t="inlineStr">
        <is>
          <t>0 (common codes vs v0.6)</t>
        </is>
      </c>
    </row>
    <row r="36">
      <c r="B36" s="14" t="inlineStr">
        <is>
          <t>0.8</t>
        </is>
      </c>
      <c r="C36" s="14" t="inlineStr">
        <is>
          <t>2026-10-08</t>
        </is>
      </c>
      <c r="D36" s="14" t="inlineStr">
        <is>
          <t>Shadow price on the efficiency margin of fuel use; shadow prices by sector and share impacting efficiency in section 1; all policy paths continue linearly; biomass carbon-tax coverage TRUE.</t>
        </is>
      </c>
      <c r="E36" s="14" t="inlineStr">
        <is>
          <t>0 (common codes vs v0.7, no feebate)</t>
        </is>
      </c>
    </row>
    <row r="37">
      <c r="B37" s="14" t="inlineStr">
        <is>
          <t>0.9</t>
        </is>
      </c>
      <c r="C37" s="14" t="inlineStr">
        <is>
          <t>2026-10-08</t>
        </is>
      </c>
      <c r="D37" s="14" t="inlineStr">
        <is>
          <t>Domestic price projection (legacy method) in section 2: international prices by source, supply cost, excise and other taxes with pass-through, retail price before new policies; real USD of ResultsYear (CPI and deflator indices); historical prices 2022-2024 from data; per subsector atp = rpb + nce x (1 + VAT).</t>
        </is>
      </c>
      <c r="E37" s="14" t="inlineStr">
        <is>
          <t>intended change: all prices and fuel use (see check report)</t>
        </is>
      </c>
    </row>
    <row r="38">
      <c r="B38" s="14" t="inlineStr">
        <is>
          <t>0.10</t>
        </is>
      </c>
      <c r="C38" s="14" t="inlineStr">
        <is>
          <t>2026-10-08</t>
        </is>
      </c>
      <c r="D38" s="14" t="inlineStr">
        <is>
          <t>Other oil products treated like the other oil products (pass-through and margin from data); VAT-rate assumption where data blank (VAT_WEO for residential and oil products); changed data marked bright yellow.</t>
        </is>
      </c>
      <c r="E38" s="14" t="inlineStr">
        <is>
          <t>intended change: prices with VAT, other oil products, fuel use</t>
        </is>
      </c>
    </row>
    <row r="39">
      <c r="B39" s="14" t="inlineStr">
        <is>
          <t>0.11</t>
        </is>
      </c>
      <c r="C39" s="14" t="inlineStr">
        <is>
          <t>2026-10-09</t>
        </is>
      </c>
      <c r="D39" s="14" t="inlineStr">
        <is>
          <t>Horizon 2040; food &amp; forestry with services elasticities; new ETS (price = carbon price inputs, replaces the carbon tax where it covers); sectoral shadow prices (feebates + regulations placeholder); section 2: VAT payment, existing taxes and subsidies, subsidy per price unit; LAMBDA in the right column of every calculated row; separate history / projection column blocks; LegacyDiff sheet; 12. Revenues prepared.</t>
        </is>
      </c>
      <c r="E39" s="14" t="inlineStr">
        <is>
          <t>0 to 2035 on unaffected codes (see check report); foo and horizon changes intended</t>
        </is>
      </c>
    </row>
    <row r="40">
      <c r="B40" s="14" t="inlineStr">
        <is>
          <t>0.12</t>
        </is>
      </c>
      <c r="C40" s="14" t="inlineStr">
        <is>
          <t>2026-10-09</t>
        </is>
      </c>
      <c r="D40" s="14" t="inlineStr">
        <is>
          <t>Revenues: existing tax revenue, existing subsidy cost and new-policy revenue as separate calculations per subsector and fuel; section 12 totals by sector, net existing, total and change vs scenario 1.</t>
        </is>
      </c>
      <c r="E40" s="14" t="inlineStr">
        <is>
          <t>0 on all v0.11 codes</t>
        </is>
      </c>
    </row>
    <row r="41">
      <c r="B41" s="14" t="inlineStr">
        <is>
          <t>0.13</t>
        </is>
      </c>
      <c r="C41" s="14" t="inlineStr">
        <is>
          <t>2026-10-09</t>
        </is>
      </c>
      <c r="D41" s="14" t="inlineStr">
        <is>
          <t>CO2 emissions from fuel combustion per subsector and fuel (fuel use x EF); section 13 totals by sector and fuel, change vs scenario 1.</t>
        </is>
      </c>
      <c r="E41" s="14" t="inlineStr">
        <is>
          <t>0 on all v0.12 codes</t>
        </is>
      </c>
    </row>
    <row r="42">
      <c r="B42" s="14" t="inlineStr">
        <is>
          <t>0.14</t>
        </is>
      </c>
      <c r="C42" s="14" t="inlineStr">
        <is>
          <t>2026-10-09</t>
        </is>
      </c>
      <c r="D42" s="14" t="inlineStr">
        <is>
          <t>Corrected Egypt price block (user); changed cells bright yellow in Prices_dom; VAT assumption only where the data cell is blank.</t>
        </is>
      </c>
      <c r="E42" s="14" t="inlineStr">
        <is>
          <t>intended: prices, taxes, subsidies, fuel use, revenue, CO2 (see check report)</t>
        </is>
      </c>
    </row>
    <row r="43">
      <c r="B43" s="14" t="inlineStr">
        <is>
          <t>0.15</t>
        </is>
      </c>
      <c r="C43" s="14" t="inlineStr">
        <is>
          <t>2026-10-09</t>
        </is>
      </c>
      <c r="D43" s="14" t="inlineStr">
        <is>
          <t>Layout: columns B:C and I:K grouped (D:G nested), row group buttons below, opens rolled up; Mitigation first tab at 75% zoom.</t>
        </is>
      </c>
      <c r="E43" s="14" t="inlineStr">
        <is>
          <t>0 (all codes vs v0.14)</t>
        </is>
      </c>
    </row>
    <row r="44">
      <c r="B44" s="14" t="inlineStr">
        <is>
          <t>0.16</t>
        </is>
      </c>
      <c r="C44" s="14" t="inlineStr">
        <is>
          <t>2026-10-09</t>
        </is>
      </c>
      <c r="D44" s="14" t="inlineStr">
        <is>
          <t>Layout: one level of column groups (B:G, I:K, 2030-2039 per scenario); light beige for the LAMBDA column and the 2023-2024 price history block; blank column between scenario groups.</t>
        </is>
      </c>
      <c r="E44" s="14" t="inlineStr">
        <is>
          <t>0 (all codes vs v0.15)</t>
        </is>
      </c>
    </row>
    <row r="45">
      <c r="B45" s="14" t="inlineStr">
        <is>
          <t>1.00</t>
        </is>
      </c>
      <c r="C45" s="14" t="inlineStr">
        <is>
          <t>2026-10-09</t>
        </is>
      </c>
      <c r="D45" s="14" t="inlineStr">
        <is>
          <t>Renamed CPAT-AI-Mitigation-MVP and upgraded to v1.00 (content as v0.16).</t>
        </is>
      </c>
      <c r="E45" s="14" t="inlineStr">
        <is>
          <t>0 (all codes vs v0.16)</t>
        </is>
      </c>
    </row>
    <row r="46">
      <c r="B46" s="14" t="inlineStr">
        <is>
          <t>1.01</t>
        </is>
      </c>
      <c r="C46" s="14" t="inlineStr">
        <is>
          <t>2026-10-09</t>
        </is>
      </c>
      <c r="D46" s="14" t="inlineStr">
        <is>
          <t>MTOutputs sheet: key results per scenario by output code (copy-pasteable row blocks); Charts sheet.</t>
        </is>
      </c>
      <c r="E46" s="14" t="inlineStr">
        <is>
          <t>0 (all Mitigation codes vs v1.00)</t>
        </is>
      </c>
    </row>
    <row r="47">
      <c r="B47" s="14" t="inlineStr">
        <is>
          <t>1.02</t>
        </is>
      </c>
      <c r="C47" s="14" t="inlineStr">
        <is>
          <t>2026-10-09</t>
        </is>
      </c>
      <c r="D47" s="14" t="inlineStr">
        <is>
          <t>New ETS with a cap: baseline covered emissions (data from scenario 1), fast price estimate, override row and goal-seek script; benchmarks replace the auction share (OBR part as a shadow price on the efficiency margin); volatility adjustment; cap check in section 13.</t>
        </is>
      </c>
      <c r="E47" s="14" t="inlineStr">
        <is>
          <t>0 (all codes shared with v1.01; ETS scenarios change)</t>
        </is>
      </c>
    </row>
    <row r="48">
      <c r="B48" s="14" t="inlineStr">
        <is>
          <t>1.03</t>
        </is>
      </c>
      <c r="C48" s="14" t="inlineStr">
        <is>
          <t>2026-10-09</t>
        </is>
      </c>
      <c r="D48" s="14" t="inlineStr">
        <is>
          <t>Multiple scenarios: scenario definitions on MTInputs (combined packages), VBA module CPATScenarios (batch run with ETS goal seek, results stored as values), sheets StoredResults and ScenarioCompare; workbook is .xlsm.</t>
        </is>
      </c>
      <c r="E48" s="14" t="inlineStr">
        <is>
          <t>0 (all codes vs v1.02)</t>
        </is>
      </c>
    </row>
    <row r="49">
      <c r="B49" s="14" t="inlineStr">
        <is>
          <t>1.04</t>
        </is>
      </c>
      <c r="C49" s="14" t="inlineStr">
        <is>
          <t>2026-10-10</t>
        </is>
      </c>
      <c r="D49" s="14" t="inlineStr">
        <is>
          <t>First-run test for Excel: macro CheckBatchRun (lookups, baseline recalculated by the host vs stored, batch rerun vs stored values) with its report on the new sheet MacroCheck.</t>
        </is>
      </c>
      <c r="E49" s="14" t="inlineStr">
        <is>
          <t>0 (all codes vs v1.03)</t>
        </is>
      </c>
    </row>
    <row r="50">
      <c r="B50" s="14" t="inlineStr">
        <is>
          <t>1.05</t>
        </is>
      </c>
      <c r="C50" s="14" t="inlineStr">
        <is>
          <t>2026-10-10</t>
        </is>
      </c>
      <c r="D50" s="14" t="inlineStr">
        <is>
          <t>Power sector, price side: section 3 with legacy sub-tables A, B, C, D, E, G, J (generation costs by type, average generation cost, storage cost of variable renewables, residential and industrial electricity prices, power revenues); sheets Inputs_power, PowerTech, PowerPaths, PowerParams; generation and investment shares and consumption interim data; 3 MTOutputs indicators added.</t>
        </is>
      </c>
      <c r="E50" s="14" t="inlineStr">
        <is>
          <t>0 (all codes vs v1.04)</t>
        </is>
      </c>
    </row>
    <row r="51">
      <c r="B51" s="14" t="inlineStr">
        <is>
          <t>1.06</t>
        </is>
      </c>
      <c r="C51" s="14" t="inlineStr">
        <is>
          <t>2026-10-10</t>
        </is>
      </c>
      <c r="D51" s="14" t="inlineStr">
        <is>
          <t>Power engineer model: demand, dispatch, retirement and capacity, investment (legacy H, I, K, L) with D6, D9, E1; generation and investment shares and consumption modelled; power CO2 in section 13; ten legacy bugs fixed (separate Word report); demand-shock switch (Settings C19); 5 MTOutputs indicators added.</t>
        </is>
      </c>
      <c r="E51" s="14" t="inlineStr">
        <is>
          <t>intended: power block, CO2 totals, ETS with power (see check report)</t>
        </is>
      </c>
    </row>
    <row r="52">
      <c r="B52" s="14" t="inlineStr">
        <is>
          <t>1.07</t>
        </is>
      </c>
      <c r="C52" s="14" t="inlineStr">
        <is>
          <t>2026-10-11</t>
        </is>
      </c>
      <c r="D52" s="14" t="inlineStr">
        <is>
          <t>Short formulas: every cell formula has at most 100 characters (defined names for the data tables, helper rows and columns, policy rates by sector in section 1, LAMBDA ROWLABEL for descriptions); planned retirement by generation type (data rows, switch per type, off for Egypt); memo lines of electricity demand by subsector and sector; 18 power indicators on MTOutputs, 6 power charts. Decisions: 2023 demand jump accepted; sector policies kept separate from power demand.</t>
        </is>
      </c>
      <c r="E52" s="14" t="inlineStr">
        <is>
          <t>0 on all v1.06 codes (see check report)</t>
        </is>
      </c>
    </row>
    <row r="53">
      <c r="B53" s="14" t="inlineStr">
        <is>
          <t>1.08</t>
        </is>
      </c>
      <c r="C53" s="14" t="inlineStr">
        <is>
          <t>2026-10-11</t>
        </is>
      </c>
      <c r="D53" s="14" t="inlineStr">
        <is>
          <t>Works without LAMBDA support: plain formulas (at most 100 characters) in every cell, the right column (2040) included; descriptions from a member-label table on Mapping; the named LAMBDAs kept as an optional library (sheet Lambdas: the LAMBDA formula of every calculated row).</t>
        </is>
      </c>
      <c r="E53" s="14" t="inlineStr">
        <is>
          <t>0 on all v1.07 codes (see check report)</t>
        </is>
      </c>
    </row>
    <row r="54">
      <c r="B54" s="14" t="inlineStr">
        <is>
          <t>1.09</t>
        </is>
      </c>
      <c r="C54" s="14" t="inlineStr">
        <is>
          <t>2026-10-11</t>
        </is>
      </c>
      <c r="D54" s="14" t="inlineStr">
        <is>
          <t>Existing carbon pricing (sheet ECP: legacy data for 52 countries, none for Egypt; MTInputs 208-214; change against the price data in prices and revenue; complementary carbon tax); power in the main thread: generation fuel use in the fuel totals, power revenues (fuel taxes and subsidies, electricity VAT and subsidy gap, new policies with the ETS at the permit price) in the revenue totals; check rows rev.chk, co2.chk.</t>
        </is>
      </c>
      <c r="E54" s="14" t="inlineStr">
        <is>
          <t>Fuel and revenue totals now include power (intended); all other v1.08 codes 0 (see check report)</t>
        </is>
      </c>
    </row>
    <row r="55">
      <c r="B55" s="14" t="inlineStr">
        <is>
          <t>2.2</t>
        </is>
      </c>
      <c r="C55" s="14" t="inlineStr">
        <is>
          <t>2026-10-11</t>
        </is>
      </c>
      <c r="D55" s="14" t="inlineStr">
        <is>
          <t>One version number (2.2) for the workbook, scripts, method notes, VBA module, documents and deck; LegacyDiff updated; bugs, issues and upgrades in one Word register; Word documentation opens with a quick start and a guide to the repository.</t>
        </is>
      </c>
      <c r="E55" s="14" t="inlineStr">
        <is>
          <t>0 on all v1.09 codes (see check report)</t>
        </is>
      </c>
    </row>
    <row r="56">
      <c r="B56" s="14" t="inlineStr">
        <is>
          <t>2.3</t>
        </is>
      </c>
      <c r="C56" s="14" t="inlineStr">
        <is>
          <t>2026-10-12</t>
        </is>
      </c>
      <c r="D56" s="14" t="inlineStr">
        <is>
          <t>Last year 2041 (legacy horizon) as the LAMBDA year: every calculated cell of 2041 calls its named LAMBDA; fuel prices for power as legacy (centred 5-year moving average, SpotPow switch); levelised variable cost window to 2041 as legacy.</t>
        </is>
      </c>
      <c r="E56" s="14" t="inlineStr">
        <is>
          <t>Price and subsector rows 0; power and the totals that include it change (intended; see check report)</t>
        </is>
      </c>
    </row>
  </sheetData>
  <pageMargins left="0.75" right="0.75" top="1" bottom="1" header="0.5" footer="0.5"/>
</worksheet>
</file>

<file path=xl/worksheets/sheet10.xml><?xml version="1.0" encoding="utf-8"?>
<worksheet xmlns="http://schemas.openxmlformats.org/spreadsheetml/2006/main">
  <sheetPr codeName="Sheet10">
    <outlinePr summaryBelow="1" summaryRight="1"/>
    <pageSetUpPr/>
  </sheetPr>
  <dimension ref="A2:F2448"/>
  <sheetViews>
    <sheetView tabSelected="0" workbookViewId="0">
      <pane ySplit="4" topLeftCell="A5" activePane="bottomLeft" state="frozen"/>
      <selection pane="bottomLeft" activeCell="A1" sqref="A1"/>
    </sheetView>
  </sheetViews>
  <sheetFormatPr baseColWidth="8" defaultRowHeight="15" outlineLevelCol="0"/>
  <cols>
    <col width="10" customWidth="1" min="1" max="1"/>
    <col width="12" customWidth="1" min="2" max="2"/>
    <col width="8" customWidth="1" min="3" max="3"/>
    <col width="8" customWidth="1" min="4" max="4"/>
    <col width="14" customWidth="1" min="5" max="5"/>
    <col width="120" customWidth="1" min="6" max="6"/>
  </cols>
  <sheetData>
    <row r="2">
      <c r="A2" s="2" t="inlineStr">
        <is>
          <t>Lambdas - the LAMBDA formula of every calculated row (used in the LAMBDA year 2041)</t>
        </is>
      </c>
      <c r="B2" s="3" t="n"/>
      <c r="C2" s="3" t="n"/>
      <c r="D2" s="3" t="n"/>
      <c r="E2" s="3" t="n"/>
      <c r="F2" s="3" t="n"/>
    </row>
    <row r="3">
      <c r="A3" s="14" t="inlineStr">
        <is>
          <t>The named LAMBDAs (Name Manager, 88) calculate the last year 2041 (Excel 365). Column F is the formula of 2041 (AE) of scenario 1. Copied left over a row it gives the same results as the plain formulas of 2022-2040 (the base year keeps its own formula where it differs).</t>
        </is>
      </c>
    </row>
    <row r="4">
      <c r="A4" s="83" t="inlineStr">
        <is>
          <t>Mitigation row</t>
        </is>
      </c>
      <c r="B4" s="83" t="inlineStr">
        <is>
          <t>Variable</t>
        </is>
      </c>
      <c r="C4" s="83" t="inlineStr">
        <is>
          <t>Fuel / member</t>
        </is>
      </c>
      <c r="D4" s="83" t="inlineStr">
        <is>
          <t>Sector</t>
        </is>
      </c>
      <c r="E4" s="83" t="inlineStr">
        <is>
          <t>LAMBDA</t>
        </is>
      </c>
      <c r="F4" s="83" t="inlineStr">
        <is>
          <t>Formula (without =)</t>
        </is>
      </c>
    </row>
    <row r="5">
      <c r="A5" s="14" t="n">
        <v>12</v>
      </c>
      <c r="B5" s="14" t="inlineStr">
        <is>
          <t>cptraj</t>
        </is>
      </c>
      <c r="C5" s="14" t="inlineStr"/>
      <c r="D5" s="14" t="inlineStr"/>
      <c r="E5" s="14" t="inlineStr">
        <is>
          <t>PATH</t>
        </is>
      </c>
      <c r="F5" s="92" t="inlineStr">
        <is>
          <t>PATH(AE$4,AE$14,AE$17,AE$15,AE$16,AE$18="Linear*")*AE$21</t>
        </is>
      </c>
    </row>
    <row r="6">
      <c r="A6" s="14" t="n">
        <v>20</v>
      </c>
      <c r="B6" s="14" t="inlineStr">
        <is>
          <t>cp.t</t>
        </is>
      </c>
      <c r="C6" s="14" t="inlineStr"/>
      <c r="D6" s="14" t="inlineStr"/>
      <c r="E6" s="14" t="inlineStr">
        <is>
          <t>PATHYEARS</t>
        </is>
      </c>
      <c r="F6" s="92" t="inlineStr">
        <is>
          <t>PATHYEARS(AE$4,AE$14,AE$17,AE$18="Linear*")</t>
        </is>
      </c>
    </row>
    <row r="7">
      <c r="A7" s="14" t="n">
        <v>21</v>
      </c>
      <c r="B7" s="14" t="inlineStr">
        <is>
          <t>cp.nom</t>
        </is>
      </c>
      <c r="C7" s="14" t="inlineStr"/>
      <c r="D7" s="14" t="inlineStr"/>
      <c r="E7" s="14" t="inlineStr">
        <is>
          <t>NOMFACTOR</t>
        </is>
      </c>
      <c r="F7" s="92" t="inlineStr">
        <is>
          <t>NOMFACTOR(AE$19,AE$8)</t>
        </is>
      </c>
    </row>
    <row r="8">
      <c r="A8" s="14" t="n">
        <v>80</v>
      </c>
      <c r="B8" s="14" t="inlineStr">
        <is>
          <t>fpr</t>
        </is>
      </c>
      <c r="C8" s="14" t="inlineStr">
        <is>
          <t>coa</t>
        </is>
      </c>
      <c r="D8" s="14" t="inlineStr">
        <is>
          <t>pow</t>
        </is>
      </c>
      <c r="E8" s="14" t="inlineStr">
        <is>
          <t>PATH</t>
        </is>
      </c>
      <c r="F8" s="92" t="inlineStr">
        <is>
          <t>PATH(AE$4,AE$50,AE$51,AE52,AE66,TRUE)</t>
        </is>
      </c>
    </row>
    <row r="9">
      <c r="A9" s="14" t="n">
        <v>81</v>
      </c>
      <c r="B9" s="14" t="inlineStr">
        <is>
          <t>fpr</t>
        </is>
      </c>
      <c r="C9" s="14" t="inlineStr">
        <is>
          <t>coa</t>
        </is>
      </c>
      <c r="D9" s="14" t="inlineStr">
        <is>
          <t>res</t>
        </is>
      </c>
      <c r="E9" s="14" t="inlineStr">
        <is>
          <t>PATH</t>
        </is>
      </c>
      <c r="F9" s="92" t="inlineStr">
        <is>
          <t>PATH(AE$4,AE$50,AE$51,AE53,AE67,TRUE)</t>
        </is>
      </c>
    </row>
    <row r="10">
      <c r="A10" s="14" t="n">
        <v>82</v>
      </c>
      <c r="B10" s="14" t="inlineStr">
        <is>
          <t>fpr</t>
        </is>
      </c>
      <c r="C10" s="14" t="inlineStr">
        <is>
          <t>coa</t>
        </is>
      </c>
      <c r="D10" s="14" t="inlineStr">
        <is>
          <t>ind</t>
        </is>
      </c>
      <c r="E10" s="14" t="inlineStr">
        <is>
          <t>PATH</t>
        </is>
      </c>
      <c r="F10" s="92" t="inlineStr">
        <is>
          <t>PATH(AE$4,AE$50,AE$51,AE54,AE68,TRUE)</t>
        </is>
      </c>
    </row>
    <row r="11">
      <c r="A11" s="14" t="n">
        <v>83</v>
      </c>
      <c r="B11" s="14" t="inlineStr">
        <is>
          <t>fpr</t>
        </is>
      </c>
      <c r="C11" s="14" t="inlineStr">
        <is>
          <t>nga</t>
        </is>
      </c>
      <c r="D11" s="14" t="inlineStr">
        <is>
          <t>pow</t>
        </is>
      </c>
      <c r="E11" s="14" t="inlineStr">
        <is>
          <t>PATH</t>
        </is>
      </c>
      <c r="F11" s="92" t="inlineStr">
        <is>
          <t>PATH(AE$4,AE$50,AE$51,AE55,AE69,TRUE)</t>
        </is>
      </c>
    </row>
    <row r="12">
      <c r="A12" s="14" t="n">
        <v>84</v>
      </c>
      <c r="B12" s="14" t="inlineStr">
        <is>
          <t>fpr</t>
        </is>
      </c>
      <c r="C12" s="14" t="inlineStr">
        <is>
          <t>nga</t>
        </is>
      </c>
      <c r="D12" s="14" t="inlineStr">
        <is>
          <t>res</t>
        </is>
      </c>
      <c r="E12" s="14" t="inlineStr">
        <is>
          <t>PATH</t>
        </is>
      </c>
      <c r="F12" s="92" t="inlineStr">
        <is>
          <t>PATH(AE$4,AE$50,AE$51,AE56,AE70,TRUE)</t>
        </is>
      </c>
    </row>
    <row r="13">
      <c r="A13" s="14" t="n">
        <v>85</v>
      </c>
      <c r="B13" s="14" t="inlineStr">
        <is>
          <t>fpr</t>
        </is>
      </c>
      <c r="C13" s="14" t="inlineStr">
        <is>
          <t>nga</t>
        </is>
      </c>
      <c r="D13" s="14" t="inlineStr">
        <is>
          <t>ind</t>
        </is>
      </c>
      <c r="E13" s="14" t="inlineStr">
        <is>
          <t>PATH</t>
        </is>
      </c>
      <c r="F13" s="92" t="inlineStr">
        <is>
          <t>PATH(AE$4,AE$50,AE$51,AE57,AE71,TRUE)</t>
        </is>
      </c>
    </row>
    <row r="14">
      <c r="A14" s="14" t="n">
        <v>86</v>
      </c>
      <c r="B14" s="14" t="inlineStr">
        <is>
          <t>fpr</t>
        </is>
      </c>
      <c r="C14" s="14" t="inlineStr">
        <is>
          <t>ecy</t>
        </is>
      </c>
      <c r="D14" s="14" t="inlineStr">
        <is>
          <t>res</t>
        </is>
      </c>
      <c r="E14" s="14" t="inlineStr">
        <is>
          <t>PATH</t>
        </is>
      </c>
      <c r="F14" s="92" t="inlineStr">
        <is>
          <t>PATH(AE$4,AE$50,AE$51,AE58,AE72,TRUE)</t>
        </is>
      </c>
    </row>
    <row r="15">
      <c r="A15" s="14" t="n">
        <v>87</v>
      </c>
      <c r="B15" s="14" t="inlineStr">
        <is>
          <t>fpr</t>
        </is>
      </c>
      <c r="C15" s="14" t="inlineStr">
        <is>
          <t>ecy</t>
        </is>
      </c>
      <c r="D15" s="14" t="inlineStr">
        <is>
          <t>ind</t>
        </is>
      </c>
      <c r="E15" s="14" t="inlineStr">
        <is>
          <t>PATH</t>
        </is>
      </c>
      <c r="F15" s="92" t="inlineStr">
        <is>
          <t>PATH(AE$4,AE$50,AE$51,AE59,AE73,TRUE)</t>
        </is>
      </c>
    </row>
    <row r="16">
      <c r="A16" s="14" t="n">
        <v>88</v>
      </c>
      <c r="B16" s="14" t="inlineStr">
        <is>
          <t>fpr</t>
        </is>
      </c>
      <c r="C16" s="14" t="inlineStr">
        <is>
          <t>gso</t>
        </is>
      </c>
      <c r="D16" s="14" t="inlineStr">
        <is>
          <t>all</t>
        </is>
      </c>
      <c r="E16" s="14" t="inlineStr">
        <is>
          <t>PATH</t>
        </is>
      </c>
      <c r="F16" s="92" t="inlineStr">
        <is>
          <t>PATH(AE$4,AE$50,AE$51,AE60,AE74,TRUE)</t>
        </is>
      </c>
    </row>
    <row r="17">
      <c r="A17" s="14" t="n">
        <v>89</v>
      </c>
      <c r="B17" s="14" t="inlineStr">
        <is>
          <t>fpr</t>
        </is>
      </c>
      <c r="C17" s="14" t="inlineStr">
        <is>
          <t>die</t>
        </is>
      </c>
      <c r="D17" s="14" t="inlineStr">
        <is>
          <t>all</t>
        </is>
      </c>
      <c r="E17" s="14" t="inlineStr">
        <is>
          <t>PATH</t>
        </is>
      </c>
      <c r="F17" s="92" t="inlineStr">
        <is>
          <t>PATH(AE$4,AE$50,AE$51,AE61,AE75,TRUE)</t>
        </is>
      </c>
    </row>
    <row r="18">
      <c r="A18" s="14" t="n">
        <v>90</v>
      </c>
      <c r="B18" s="14" t="inlineStr">
        <is>
          <t>fpr</t>
        </is>
      </c>
      <c r="C18" s="14" t="inlineStr">
        <is>
          <t>lpg</t>
        </is>
      </c>
      <c r="D18" s="14" t="inlineStr">
        <is>
          <t>all</t>
        </is>
      </c>
      <c r="E18" s="14" t="inlineStr">
        <is>
          <t>PATH</t>
        </is>
      </c>
      <c r="F18" s="92" t="inlineStr">
        <is>
          <t>PATH(AE$4,AE$50,AE$51,AE62,AE76,TRUE)</t>
        </is>
      </c>
    </row>
    <row r="19">
      <c r="A19" s="14" t="n">
        <v>91</v>
      </c>
      <c r="B19" s="14" t="inlineStr">
        <is>
          <t>fpr</t>
        </is>
      </c>
      <c r="C19" s="14" t="inlineStr">
        <is>
          <t>ker</t>
        </is>
      </c>
      <c r="D19" s="14" t="inlineStr">
        <is>
          <t>all</t>
        </is>
      </c>
      <c r="E19" s="14" t="inlineStr">
        <is>
          <t>PATH</t>
        </is>
      </c>
      <c r="F19" s="92" t="inlineStr">
        <is>
          <t>PATH(AE$4,AE$50,AE$51,AE63,AE77,TRUE)</t>
        </is>
      </c>
    </row>
    <row r="20">
      <c r="A20" s="14" t="n">
        <v>92</v>
      </c>
      <c r="B20" s="14" t="inlineStr">
        <is>
          <t>fpr</t>
        </is>
      </c>
      <c r="C20" s="14" t="inlineStr">
        <is>
          <t>oop</t>
        </is>
      </c>
      <c r="D20" s="14" t="inlineStr">
        <is>
          <t>all</t>
        </is>
      </c>
      <c r="E20" s="14" t="inlineStr">
        <is>
          <t>PATH</t>
        </is>
      </c>
      <c r="F20" s="92" t="inlineStr">
        <is>
          <t>PATH(AE$4,AE$50,AE$51,AE64,AE78,TRUE)</t>
        </is>
      </c>
    </row>
    <row r="21">
      <c r="A21" s="14" t="n">
        <v>93</v>
      </c>
      <c r="B21" s="14" t="inlineStr">
        <is>
          <t>fpr</t>
        </is>
      </c>
      <c r="C21" s="14" t="inlineStr">
        <is>
          <t>bio</t>
        </is>
      </c>
      <c r="D21" s="14" t="inlineStr">
        <is>
          <t>all</t>
        </is>
      </c>
      <c r="E21" s="14" t="inlineStr">
        <is>
          <t>PATH</t>
        </is>
      </c>
      <c r="F21" s="92" t="inlineStr">
        <is>
          <t>PATH(AE$4,AE$50,AE$51,AE65,AE79,TRUE)</t>
        </is>
      </c>
    </row>
    <row r="22">
      <c r="A22" s="14" t="n">
        <v>105</v>
      </c>
      <c r="B22" s="14" t="inlineStr">
        <is>
          <t>ets.on</t>
        </is>
      </c>
      <c r="C22" s="14" t="inlineStr"/>
      <c r="D22" s="14" t="inlineStr"/>
      <c r="E22" s="14" t="inlineStr">
        <is>
          <t>ETSON</t>
        </is>
      </c>
      <c r="F22" s="92" t="inlineStr">
        <is>
          <t>ETSON(AE$95,AE$4,AE$99)</t>
        </is>
      </c>
    </row>
    <row r="23">
      <c r="A23" s="14" t="n">
        <v>124</v>
      </c>
      <c r="B23" s="14" t="inlineStr">
        <is>
          <t>etsc</t>
        </is>
      </c>
      <c r="C23" s="14" t="inlineStr">
        <is>
          <t>all</t>
        </is>
      </c>
      <c r="D23" s="14" t="inlineStr">
        <is>
          <t>pow</t>
        </is>
      </c>
      <c r="E23" s="14" t="inlineStr">
        <is>
          <t>ETSCOVER</t>
        </is>
      </c>
      <c r="F23" s="92" t="inlineStr">
        <is>
          <t>ETSCOVER(AE$105,AE107)</t>
        </is>
      </c>
    </row>
    <row r="24">
      <c r="A24" s="14" t="n">
        <v>125</v>
      </c>
      <c r="B24" s="14" t="inlineStr">
        <is>
          <t>etsc</t>
        </is>
      </c>
      <c r="C24" s="14" t="inlineStr">
        <is>
          <t>all</t>
        </is>
      </c>
      <c r="D24" s="14" t="inlineStr">
        <is>
          <t>rod</t>
        </is>
      </c>
      <c r="E24" s="14" t="inlineStr">
        <is>
          <t>ETSCOVER</t>
        </is>
      </c>
      <c r="F24" s="92" t="inlineStr">
        <is>
          <t>ETSCOVER(AE$105,AE108)</t>
        </is>
      </c>
    </row>
    <row r="25">
      <c r="A25" s="14" t="n">
        <v>126</v>
      </c>
      <c r="B25" s="14" t="inlineStr">
        <is>
          <t>etsc</t>
        </is>
      </c>
      <c r="C25" s="14" t="inlineStr">
        <is>
          <t>all</t>
        </is>
      </c>
      <c r="D25" s="14" t="inlineStr">
        <is>
          <t>ral</t>
        </is>
      </c>
      <c r="E25" s="14" t="inlineStr">
        <is>
          <t>ETSCOVER</t>
        </is>
      </c>
      <c r="F25" s="92" t="inlineStr">
        <is>
          <t>ETSCOVER(AE$105,AE109)</t>
        </is>
      </c>
    </row>
    <row r="26">
      <c r="A26" s="14" t="n">
        <v>127</v>
      </c>
      <c r="B26" s="14" t="inlineStr">
        <is>
          <t>etsc</t>
        </is>
      </c>
      <c r="C26" s="14" t="inlineStr">
        <is>
          <t>all</t>
        </is>
      </c>
      <c r="D26" s="14" t="inlineStr">
        <is>
          <t>avi</t>
        </is>
      </c>
      <c r="E26" s="14" t="inlineStr">
        <is>
          <t>ETSCOVER</t>
        </is>
      </c>
      <c r="F26" s="92" t="inlineStr">
        <is>
          <t>ETSCOVER(AE$105,AE110)</t>
        </is>
      </c>
    </row>
    <row r="27">
      <c r="A27" s="14" t="n">
        <v>128</v>
      </c>
      <c r="B27" s="14" t="inlineStr">
        <is>
          <t>etsc</t>
        </is>
      </c>
      <c r="C27" s="14" t="inlineStr">
        <is>
          <t>all</t>
        </is>
      </c>
      <c r="D27" s="14" t="inlineStr">
        <is>
          <t>nav</t>
        </is>
      </c>
      <c r="E27" s="14" t="inlineStr">
        <is>
          <t>ETSCOVER</t>
        </is>
      </c>
      <c r="F27" s="92" t="inlineStr">
        <is>
          <t>ETSCOVER(AE$105,AE111)</t>
        </is>
      </c>
    </row>
    <row r="28">
      <c r="A28" s="14" t="n">
        <v>129</v>
      </c>
      <c r="B28" s="14" t="inlineStr">
        <is>
          <t>etsc</t>
        </is>
      </c>
      <c r="C28" s="14" t="inlineStr">
        <is>
          <t>all</t>
        </is>
      </c>
      <c r="D28" s="14" t="inlineStr">
        <is>
          <t>res</t>
        </is>
      </c>
      <c r="E28" s="14" t="inlineStr">
        <is>
          <t>ETSCOVER</t>
        </is>
      </c>
      <c r="F28" s="92" t="inlineStr">
        <is>
          <t>ETSCOVER(AE$105,AE112)</t>
        </is>
      </c>
    </row>
    <row r="29">
      <c r="A29" s="14" t="n">
        <v>130</v>
      </c>
      <c r="B29" s="14" t="inlineStr">
        <is>
          <t>etsc</t>
        </is>
      </c>
      <c r="C29" s="14" t="inlineStr">
        <is>
          <t>all</t>
        </is>
      </c>
      <c r="D29" s="14" t="inlineStr">
        <is>
          <t>foo</t>
        </is>
      </c>
      <c r="E29" s="14" t="inlineStr">
        <is>
          <t>ETSCOVER</t>
        </is>
      </c>
      <c r="F29" s="92" t="inlineStr">
        <is>
          <t>ETSCOVER(AE$105,AE113)</t>
        </is>
      </c>
    </row>
    <row r="30">
      <c r="A30" s="14" t="n">
        <v>131</v>
      </c>
      <c r="B30" s="14" t="inlineStr">
        <is>
          <t>etsc</t>
        </is>
      </c>
      <c r="C30" s="14" t="inlineStr">
        <is>
          <t>all</t>
        </is>
      </c>
      <c r="D30" s="14" t="inlineStr">
        <is>
          <t>srv</t>
        </is>
      </c>
      <c r="E30" s="14" t="inlineStr">
        <is>
          <t>ETSCOVER</t>
        </is>
      </c>
      <c r="F30" s="92" t="inlineStr">
        <is>
          <t>ETSCOVER(AE$105,AE114)</t>
        </is>
      </c>
    </row>
    <row r="31">
      <c r="A31" s="14" t="n">
        <v>132</v>
      </c>
      <c r="B31" s="14" t="inlineStr">
        <is>
          <t>etsc</t>
        </is>
      </c>
      <c r="C31" s="14" t="inlineStr">
        <is>
          <t>all</t>
        </is>
      </c>
      <c r="D31" s="14" t="inlineStr">
        <is>
          <t>mch</t>
        </is>
      </c>
      <c r="E31" s="14" t="inlineStr">
        <is>
          <t>ETSCOVER</t>
        </is>
      </c>
      <c r="F31" s="92" t="inlineStr">
        <is>
          <t>ETSCOVER(AE$105,AE115)</t>
        </is>
      </c>
    </row>
    <row r="32">
      <c r="A32" s="14" t="n">
        <v>133</v>
      </c>
      <c r="B32" s="14" t="inlineStr">
        <is>
          <t>etsc</t>
        </is>
      </c>
      <c r="C32" s="14" t="inlineStr">
        <is>
          <t>all</t>
        </is>
      </c>
      <c r="D32" s="14" t="inlineStr">
        <is>
          <t>irn</t>
        </is>
      </c>
      <c r="E32" s="14" t="inlineStr">
        <is>
          <t>ETSCOVER</t>
        </is>
      </c>
      <c r="F32" s="92" t="inlineStr">
        <is>
          <t>ETSCOVER(AE$105,AE116)</t>
        </is>
      </c>
    </row>
    <row r="33">
      <c r="A33" s="14" t="n">
        <v>134</v>
      </c>
      <c r="B33" s="14" t="inlineStr">
        <is>
          <t>etsc</t>
        </is>
      </c>
      <c r="C33" s="14" t="inlineStr">
        <is>
          <t>all</t>
        </is>
      </c>
      <c r="D33" s="14" t="inlineStr">
        <is>
          <t>nfm</t>
        </is>
      </c>
      <c r="E33" s="14" t="inlineStr">
        <is>
          <t>ETSCOVER</t>
        </is>
      </c>
      <c r="F33" s="92" t="inlineStr">
        <is>
          <t>ETSCOVER(AE$105,AE117)</t>
        </is>
      </c>
    </row>
    <row r="34">
      <c r="A34" s="14" t="n">
        <v>135</v>
      </c>
      <c r="B34" s="14" t="inlineStr">
        <is>
          <t>etsc</t>
        </is>
      </c>
      <c r="C34" s="14" t="inlineStr">
        <is>
          <t>all</t>
        </is>
      </c>
      <c r="D34" s="14" t="inlineStr">
        <is>
          <t>mac</t>
        </is>
      </c>
      <c r="E34" s="14" t="inlineStr">
        <is>
          <t>ETSCOVER</t>
        </is>
      </c>
      <c r="F34" s="92" t="inlineStr">
        <is>
          <t>ETSCOVER(AE$105,AE118)</t>
        </is>
      </c>
    </row>
    <row r="35">
      <c r="A35" s="14" t="n">
        <v>136</v>
      </c>
      <c r="B35" s="14" t="inlineStr">
        <is>
          <t>etsc</t>
        </is>
      </c>
      <c r="C35" s="14" t="inlineStr">
        <is>
          <t>all</t>
        </is>
      </c>
      <c r="D35" s="14" t="inlineStr">
        <is>
          <t>cem</t>
        </is>
      </c>
      <c r="E35" s="14" t="inlineStr">
        <is>
          <t>ETSCOVER</t>
        </is>
      </c>
      <c r="F35" s="92" t="inlineStr">
        <is>
          <t>ETSCOVER(AE$105,AE119)</t>
        </is>
      </c>
    </row>
    <row r="36">
      <c r="A36" s="14" t="n">
        <v>137</v>
      </c>
      <c r="B36" s="14" t="inlineStr">
        <is>
          <t>etsc</t>
        </is>
      </c>
      <c r="C36" s="14" t="inlineStr">
        <is>
          <t>all</t>
        </is>
      </c>
      <c r="D36" s="14" t="inlineStr">
        <is>
          <t>omn</t>
        </is>
      </c>
      <c r="E36" s="14" t="inlineStr">
        <is>
          <t>ETSCOVER</t>
        </is>
      </c>
      <c r="F36" s="92" t="inlineStr">
        <is>
          <t>ETSCOVER(AE$105,AE120)</t>
        </is>
      </c>
    </row>
    <row r="37">
      <c r="A37" s="14" t="n">
        <v>138</v>
      </c>
      <c r="B37" s="14" t="inlineStr">
        <is>
          <t>etsc</t>
        </is>
      </c>
      <c r="C37" s="14" t="inlineStr">
        <is>
          <t>all</t>
        </is>
      </c>
      <c r="D37" s="14" t="inlineStr">
        <is>
          <t>cst</t>
        </is>
      </c>
      <c r="E37" s="14" t="inlineStr">
        <is>
          <t>ETSCOVER</t>
        </is>
      </c>
      <c r="F37" s="92" t="inlineStr">
        <is>
          <t>ETSCOVER(AE$105,AE121)</t>
        </is>
      </c>
    </row>
    <row r="38">
      <c r="A38" s="14" t="n">
        <v>139</v>
      </c>
      <c r="B38" s="14" t="inlineStr">
        <is>
          <t>etsc</t>
        </is>
      </c>
      <c r="C38" s="14" t="inlineStr">
        <is>
          <t>all</t>
        </is>
      </c>
      <c r="D38" s="14" t="inlineStr">
        <is>
          <t>ftr</t>
        </is>
      </c>
      <c r="E38" s="14" t="inlineStr">
        <is>
          <t>ETSCOVER</t>
        </is>
      </c>
      <c r="F38" s="92" t="inlineStr">
        <is>
          <t>ETSCOVER(AE$105,AE122)</t>
        </is>
      </c>
    </row>
    <row r="39">
      <c r="A39" s="14" t="n">
        <v>140</v>
      </c>
      <c r="B39" s="14" t="inlineStr">
        <is>
          <t>etsc</t>
        </is>
      </c>
      <c r="C39" s="14" t="inlineStr">
        <is>
          <t>all</t>
        </is>
      </c>
      <c r="D39" s="14" t="inlineStr">
        <is>
          <t>oen</t>
        </is>
      </c>
      <c r="E39" s="14" t="inlineStr">
        <is>
          <t>ETSCOVER</t>
        </is>
      </c>
      <c r="F39" s="92" t="inlineStr">
        <is>
          <t>ETSCOVER(AE$105,AE123)</t>
        </is>
      </c>
    </row>
    <row r="40">
      <c r="A40" s="14" t="n">
        <v>150</v>
      </c>
      <c r="B40" s="14" t="inlineStr">
        <is>
          <t>etsb</t>
        </is>
      </c>
      <c r="C40" s="14" t="inlineStr">
        <is>
          <t>all</t>
        </is>
      </c>
      <c r="D40" s="14" t="inlineStr">
        <is>
          <t>pow</t>
        </is>
      </c>
      <c r="E40" s="14" t="inlineStr">
        <is>
          <t>PATH</t>
        </is>
      </c>
      <c r="F40" s="92" t="inlineStr">
        <is>
          <t>PATH(AE$4,AE$99,AE$100,AE142,AE146,FALSE)</t>
        </is>
      </c>
    </row>
    <row r="41">
      <c r="A41" s="14" t="n">
        <v>151</v>
      </c>
      <c r="B41" s="14" t="inlineStr">
        <is>
          <t>etsb</t>
        </is>
      </c>
      <c r="C41" s="14" t="inlineStr">
        <is>
          <t>all</t>
        </is>
      </c>
      <c r="D41" s="14" t="inlineStr">
        <is>
          <t>tra</t>
        </is>
      </c>
      <c r="E41" s="14" t="inlineStr">
        <is>
          <t>PATH</t>
        </is>
      </c>
      <c r="F41" s="92" t="inlineStr">
        <is>
          <t>PATH(AE$4,AE$99,AE$100,AE143,AE147,FALSE)</t>
        </is>
      </c>
    </row>
    <row r="42">
      <c r="A42" s="14" t="n">
        <v>152</v>
      </c>
      <c r="B42" s="14" t="inlineStr">
        <is>
          <t>etsb</t>
        </is>
      </c>
      <c r="C42" s="14" t="inlineStr">
        <is>
          <t>all</t>
        </is>
      </c>
      <c r="D42" s="14" t="inlineStr">
        <is>
          <t>res</t>
        </is>
      </c>
      <c r="E42" s="14" t="inlineStr">
        <is>
          <t>PATH</t>
        </is>
      </c>
      <c r="F42" s="92" t="inlineStr">
        <is>
          <t>PATH(AE$4,AE$99,AE$100,AE144,AE148,FALSE)</t>
        </is>
      </c>
    </row>
    <row r="43">
      <c r="A43" s="14" t="n">
        <v>153</v>
      </c>
      <c r="B43" s="14" t="inlineStr">
        <is>
          <t>etsb</t>
        </is>
      </c>
      <c r="C43" s="14" t="inlineStr">
        <is>
          <t>all</t>
        </is>
      </c>
      <c r="D43" s="14" t="inlineStr">
        <is>
          <t>ind</t>
        </is>
      </c>
      <c r="E43" s="14" t="inlineStr">
        <is>
          <t>PATH</t>
        </is>
      </c>
      <c r="F43" s="92" t="inlineStr">
        <is>
          <t>PATH(AE$4,AE$99,AE$100,AE145,AE149,FALSE)</t>
        </is>
      </c>
    </row>
    <row r="44">
      <c r="A44" s="14" t="n">
        <v>154</v>
      </c>
      <c r="B44" s="14" t="inlineStr">
        <is>
          <t>obr</t>
        </is>
      </c>
      <c r="C44" s="14" t="inlineStr">
        <is>
          <t>all</t>
        </is>
      </c>
      <c r="D44" s="14" t="inlineStr">
        <is>
          <t>pow</t>
        </is>
      </c>
      <c r="E44" s="14" t="inlineStr">
        <is>
          <t>OBRSHARE</t>
        </is>
      </c>
      <c r="F44" s="92" t="inlineStr">
        <is>
          <t>OBRSHARE(INDEX(AE$150:AE$153,$D154))</t>
        </is>
      </c>
    </row>
    <row r="45">
      <c r="A45" s="14" t="n">
        <v>155</v>
      </c>
      <c r="B45" s="14" t="inlineStr">
        <is>
          <t>obr</t>
        </is>
      </c>
      <c r="C45" s="14" t="inlineStr">
        <is>
          <t>all</t>
        </is>
      </c>
      <c r="D45" s="14" t="inlineStr">
        <is>
          <t>rod</t>
        </is>
      </c>
      <c r="E45" s="14" t="inlineStr">
        <is>
          <t>OBRSHARE</t>
        </is>
      </c>
      <c r="F45" s="92" t="inlineStr">
        <is>
          <t>OBRSHARE(INDEX(AE$150:AE$153,$D155))</t>
        </is>
      </c>
    </row>
    <row r="46">
      <c r="A46" s="14" t="n">
        <v>156</v>
      </c>
      <c r="B46" s="14" t="inlineStr">
        <is>
          <t>obr</t>
        </is>
      </c>
      <c r="C46" s="14" t="inlineStr">
        <is>
          <t>all</t>
        </is>
      </c>
      <c r="D46" s="14" t="inlineStr">
        <is>
          <t>ral</t>
        </is>
      </c>
      <c r="E46" s="14" t="inlineStr">
        <is>
          <t>OBRSHARE</t>
        </is>
      </c>
      <c r="F46" s="92" t="inlineStr">
        <is>
          <t>OBRSHARE(INDEX(AE$150:AE$153,$D156))</t>
        </is>
      </c>
    </row>
    <row r="47">
      <c r="A47" s="14" t="n">
        <v>157</v>
      </c>
      <c r="B47" s="14" t="inlineStr">
        <is>
          <t>obr</t>
        </is>
      </c>
      <c r="C47" s="14" t="inlineStr">
        <is>
          <t>all</t>
        </is>
      </c>
      <c r="D47" s="14" t="inlineStr">
        <is>
          <t>avi</t>
        </is>
      </c>
      <c r="E47" s="14" t="inlineStr">
        <is>
          <t>OBRSHARE</t>
        </is>
      </c>
      <c r="F47" s="92" t="inlineStr">
        <is>
          <t>OBRSHARE(INDEX(AE$150:AE$153,$D157))</t>
        </is>
      </c>
    </row>
    <row r="48">
      <c r="A48" s="14" t="n">
        <v>158</v>
      </c>
      <c r="B48" s="14" t="inlineStr">
        <is>
          <t>obr</t>
        </is>
      </c>
      <c r="C48" s="14" t="inlineStr">
        <is>
          <t>all</t>
        </is>
      </c>
      <c r="D48" s="14" t="inlineStr">
        <is>
          <t>nav</t>
        </is>
      </c>
      <c r="E48" s="14" t="inlineStr">
        <is>
          <t>OBRSHARE</t>
        </is>
      </c>
      <c r="F48" s="92" t="inlineStr">
        <is>
          <t>OBRSHARE(INDEX(AE$150:AE$153,$D158))</t>
        </is>
      </c>
    </row>
    <row r="49">
      <c r="A49" s="14" t="n">
        <v>159</v>
      </c>
      <c r="B49" s="14" t="inlineStr">
        <is>
          <t>obr</t>
        </is>
      </c>
      <c r="C49" s="14" t="inlineStr">
        <is>
          <t>all</t>
        </is>
      </c>
      <c r="D49" s="14" t="inlineStr">
        <is>
          <t>res</t>
        </is>
      </c>
      <c r="E49" s="14" t="inlineStr">
        <is>
          <t>OBRSHARE</t>
        </is>
      </c>
      <c r="F49" s="92" t="inlineStr">
        <is>
          <t>OBRSHARE(INDEX(AE$150:AE$153,$D159))</t>
        </is>
      </c>
    </row>
    <row r="50">
      <c r="A50" s="14" t="n">
        <v>160</v>
      </c>
      <c r="B50" s="14" t="inlineStr">
        <is>
          <t>obr</t>
        </is>
      </c>
      <c r="C50" s="14" t="inlineStr">
        <is>
          <t>all</t>
        </is>
      </c>
      <c r="D50" s="14" t="inlineStr">
        <is>
          <t>foo</t>
        </is>
      </c>
      <c r="E50" s="14" t="inlineStr">
        <is>
          <t>OBRSHARE</t>
        </is>
      </c>
      <c r="F50" s="92" t="inlineStr">
        <is>
          <t>OBRSHARE(INDEX(AE$150:AE$153,$D160))</t>
        </is>
      </c>
    </row>
    <row r="51">
      <c r="A51" s="14" t="n">
        <v>161</v>
      </c>
      <c r="B51" s="14" t="inlineStr">
        <is>
          <t>obr</t>
        </is>
      </c>
      <c r="C51" s="14" t="inlineStr">
        <is>
          <t>all</t>
        </is>
      </c>
      <c r="D51" s="14" t="inlineStr">
        <is>
          <t>srv</t>
        </is>
      </c>
      <c r="E51" s="14" t="inlineStr">
        <is>
          <t>OBRSHARE</t>
        </is>
      </c>
      <c r="F51" s="92" t="inlineStr">
        <is>
          <t>OBRSHARE(INDEX(AE$150:AE$153,$D161))</t>
        </is>
      </c>
    </row>
    <row r="52">
      <c r="A52" s="14" t="n">
        <v>162</v>
      </c>
      <c r="B52" s="14" t="inlineStr">
        <is>
          <t>obr</t>
        </is>
      </c>
      <c r="C52" s="14" t="inlineStr">
        <is>
          <t>all</t>
        </is>
      </c>
      <c r="D52" s="14" t="inlineStr">
        <is>
          <t>mch</t>
        </is>
      </c>
      <c r="E52" s="14" t="inlineStr">
        <is>
          <t>OBRSHARE</t>
        </is>
      </c>
      <c r="F52" s="92" t="inlineStr">
        <is>
          <t>OBRSHARE(INDEX(AE$150:AE$153,$D162))</t>
        </is>
      </c>
    </row>
    <row r="53">
      <c r="A53" s="14" t="n">
        <v>163</v>
      </c>
      <c r="B53" s="14" t="inlineStr">
        <is>
          <t>obr</t>
        </is>
      </c>
      <c r="C53" s="14" t="inlineStr">
        <is>
          <t>all</t>
        </is>
      </c>
      <c r="D53" s="14" t="inlineStr">
        <is>
          <t>irn</t>
        </is>
      </c>
      <c r="E53" s="14" t="inlineStr">
        <is>
          <t>OBRSHARE</t>
        </is>
      </c>
      <c r="F53" s="92" t="inlineStr">
        <is>
          <t>OBRSHARE(INDEX(AE$150:AE$153,$D163))</t>
        </is>
      </c>
    </row>
    <row r="54">
      <c r="A54" s="14" t="n">
        <v>164</v>
      </c>
      <c r="B54" s="14" t="inlineStr">
        <is>
          <t>obr</t>
        </is>
      </c>
      <c r="C54" s="14" t="inlineStr">
        <is>
          <t>all</t>
        </is>
      </c>
      <c r="D54" s="14" t="inlineStr">
        <is>
          <t>nfm</t>
        </is>
      </c>
      <c r="E54" s="14" t="inlineStr">
        <is>
          <t>OBRSHARE</t>
        </is>
      </c>
      <c r="F54" s="92" t="inlineStr">
        <is>
          <t>OBRSHARE(INDEX(AE$150:AE$153,$D164))</t>
        </is>
      </c>
    </row>
    <row r="55">
      <c r="A55" s="14" t="n">
        <v>165</v>
      </c>
      <c r="B55" s="14" t="inlineStr">
        <is>
          <t>obr</t>
        </is>
      </c>
      <c r="C55" s="14" t="inlineStr">
        <is>
          <t>all</t>
        </is>
      </c>
      <c r="D55" s="14" t="inlineStr">
        <is>
          <t>mac</t>
        </is>
      </c>
      <c r="E55" s="14" t="inlineStr">
        <is>
          <t>OBRSHARE</t>
        </is>
      </c>
      <c r="F55" s="92" t="inlineStr">
        <is>
          <t>OBRSHARE(INDEX(AE$150:AE$153,$D165))</t>
        </is>
      </c>
    </row>
    <row r="56">
      <c r="A56" s="14" t="n">
        <v>166</v>
      </c>
      <c r="B56" s="14" t="inlineStr">
        <is>
          <t>obr</t>
        </is>
      </c>
      <c r="C56" s="14" t="inlineStr">
        <is>
          <t>all</t>
        </is>
      </c>
      <c r="D56" s="14" t="inlineStr">
        <is>
          <t>cem</t>
        </is>
      </c>
      <c r="E56" s="14" t="inlineStr">
        <is>
          <t>OBRSHARE</t>
        </is>
      </c>
      <c r="F56" s="92" t="inlineStr">
        <is>
          <t>OBRSHARE(INDEX(AE$150:AE$153,$D166))</t>
        </is>
      </c>
    </row>
    <row r="57">
      <c r="A57" s="14" t="n">
        <v>167</v>
      </c>
      <c r="B57" s="14" t="inlineStr">
        <is>
          <t>obr</t>
        </is>
      </c>
      <c r="C57" s="14" t="inlineStr">
        <is>
          <t>all</t>
        </is>
      </c>
      <c r="D57" s="14" t="inlineStr">
        <is>
          <t>omn</t>
        </is>
      </c>
      <c r="E57" s="14" t="inlineStr">
        <is>
          <t>OBRSHARE</t>
        </is>
      </c>
      <c r="F57" s="92" t="inlineStr">
        <is>
          <t>OBRSHARE(INDEX(AE$150:AE$153,$D167))</t>
        </is>
      </c>
    </row>
    <row r="58">
      <c r="A58" s="14" t="n">
        <v>168</v>
      </c>
      <c r="B58" s="14" t="inlineStr">
        <is>
          <t>obr</t>
        </is>
      </c>
      <c r="C58" s="14" t="inlineStr">
        <is>
          <t>all</t>
        </is>
      </c>
      <c r="D58" s="14" t="inlineStr">
        <is>
          <t>cst</t>
        </is>
      </c>
      <c r="E58" s="14" t="inlineStr">
        <is>
          <t>OBRSHARE</t>
        </is>
      </c>
      <c r="F58" s="92" t="inlineStr">
        <is>
          <t>OBRSHARE(INDEX(AE$150:AE$153,$D168))</t>
        </is>
      </c>
    </row>
    <row r="59">
      <c r="A59" s="14" t="n">
        <v>169</v>
      </c>
      <c r="B59" s="14" t="inlineStr">
        <is>
          <t>obr</t>
        </is>
      </c>
      <c r="C59" s="14" t="inlineStr">
        <is>
          <t>all</t>
        </is>
      </c>
      <c r="D59" s="14" t="inlineStr">
        <is>
          <t>ftr</t>
        </is>
      </c>
      <c r="E59" s="14" t="inlineStr">
        <is>
          <t>OBRSHARE</t>
        </is>
      </c>
      <c r="F59" s="92" t="inlineStr">
        <is>
          <t>OBRSHARE(INDEX(AE$150:AE$153,$D169))</t>
        </is>
      </c>
    </row>
    <row r="60">
      <c r="A60" s="14" t="n">
        <v>170</v>
      </c>
      <c r="B60" s="14" t="inlineStr">
        <is>
          <t>obr</t>
        </is>
      </c>
      <c r="C60" s="14" t="inlineStr">
        <is>
          <t>all</t>
        </is>
      </c>
      <c r="D60" s="14" t="inlineStr">
        <is>
          <t>oen</t>
        </is>
      </c>
      <c r="E60" s="14" t="inlineStr">
        <is>
          <t>OBRSHARE</t>
        </is>
      </c>
      <c r="F60" s="92" t="inlineStr">
        <is>
          <t>OBRSHARE(INDEX(AE$150:AE$153,$D170))</t>
        </is>
      </c>
    </row>
    <row r="61">
      <c r="A61" s="14" t="n">
        <v>190</v>
      </c>
      <c r="B61" s="14" t="inlineStr">
        <is>
          <t>ets.vol</t>
        </is>
      </c>
      <c r="C61" s="14" t="inlineStr"/>
      <c r="D61" s="14" t="inlineStr"/>
      <c r="E61" s="14" t="inlineStr">
        <is>
          <t>VOLPICK</t>
        </is>
      </c>
      <c r="F61" s="92" t="inlineStr">
        <is>
          <t>VOLPICK(AE$102,Settings!$C$17:$F$17)</t>
        </is>
      </c>
    </row>
    <row r="62">
      <c r="A62" s="14" t="n">
        <v>191</v>
      </c>
      <c r="B62" s="14" t="inlineStr">
        <is>
          <t>ets.imp</t>
        </is>
      </c>
      <c r="C62" s="14" t="inlineStr"/>
      <c r="D62" s="14" t="inlineStr"/>
      <c r="E62" s="14" t="inlineStr">
        <is>
          <t>VOLPICK</t>
        </is>
      </c>
      <c r="F62" s="92" t="inlineStr">
        <is>
          <t>VOLPICK(AE$103,Settings!$C$18:$F$18)</t>
        </is>
      </c>
    </row>
    <row r="63">
      <c r="A63" s="14" t="n">
        <v>192</v>
      </c>
      <c r="B63" s="14" t="inlineStr">
        <is>
          <t>ets.vadj</t>
        </is>
      </c>
      <c r="C63" s="14" t="inlineStr"/>
      <c r="D63" s="14" t="inlineStr"/>
      <c r="E63" s="14" t="inlineStr">
        <is>
          <t>VOLADJ</t>
        </is>
      </c>
      <c r="F63" s="92" t="inlineStr">
        <is>
          <t>VOLADJ(AE$190,AE$191,AE$104)</t>
        </is>
      </c>
    </row>
    <row r="64">
      <c r="A64" s="14" t="n">
        <v>193</v>
      </c>
      <c r="B64" s="14" t="inlineStr">
        <is>
          <t>ets.bce</t>
        </is>
      </c>
      <c r="C64" s="14" t="inlineStr"/>
      <c r="D64" s="14" t="inlineStr"/>
      <c r="E64" s="14" t="inlineStr">
        <is>
          <t>COVERED</t>
        </is>
      </c>
      <c r="F64" s="92" t="inlineStr">
        <is>
          <t>COVERED(AE$172:AE$188,AE$124:AE$140)</t>
        </is>
      </c>
    </row>
    <row r="65">
      <c r="A65" s="14" t="n">
        <v>194</v>
      </c>
      <c r="B65" s="14" t="inlineStr">
        <is>
          <t>ets.chg</t>
        </is>
      </c>
      <c r="C65" s="14" t="inlineStr"/>
      <c r="D65" s="14" t="inlineStr"/>
      <c r="E65" s="14" t="inlineStr">
        <is>
          <t>CAPCHANGE</t>
        </is>
      </c>
      <c r="F65" s="92" t="inlineStr">
        <is>
          <t>CAPCHANGE(AE$4,AE$99,AE$100,AE$96,AE$97)</t>
        </is>
      </c>
    </row>
    <row r="66">
      <c r="A66" s="14" t="n">
        <v>195</v>
      </c>
      <c r="B66" s="14" t="inlineStr">
        <is>
          <t>ets.cap</t>
        </is>
      </c>
      <c r="C66" s="14" t="inlineStr"/>
      <c r="D66" s="14" t="inlineStr"/>
      <c r="E66" s="14" t="inlineStr">
        <is>
          <t>ETSCAP</t>
        </is>
      </c>
      <c r="F66" s="92" t="inlineStr">
        <is>
          <t>ETSCAP(AE$105,AE$4,AE$100,AE$98,AE$193,AE$194,AD$195)</t>
        </is>
      </c>
    </row>
    <row r="67">
      <c r="A67" s="14" t="n">
        <v>196</v>
      </c>
      <c r="B67" s="14" t="inlineStr">
        <is>
          <t>ets.se</t>
        </is>
      </c>
      <c r="C67" s="14" t="inlineStr"/>
      <c r="D67" s="14" t="inlineStr"/>
      <c r="E67" s="14" t="inlineStr">
        <is>
          <t>ETSSEMI</t>
        </is>
      </c>
      <c r="F67" s="92" t="inlineStr">
        <is>
          <t>ETSSEMI(AE$172:AE$188,AE$124:AE$140,SemiEl,AE$154:AE$170,OBREff,AE$193)</t>
        </is>
      </c>
    </row>
    <row r="68">
      <c r="A68" s="14" t="n">
        <v>197</v>
      </c>
      <c r="B68" s="14" t="inlineStr">
        <is>
          <t>ets.est</t>
        </is>
      </c>
      <c r="C68" s="14" t="inlineStr"/>
      <c r="D68" s="14" t="inlineStr"/>
      <c r="E68" s="14" t="inlineStr">
        <is>
          <t>ETSESTIMATE</t>
        </is>
      </c>
      <c r="F68" s="92" t="inlineStr">
        <is>
          <t>ETSESTIMATE(AE$105,AE$195,AE$193,AE$196,AE$192)</t>
        </is>
      </c>
    </row>
    <row r="69">
      <c r="A69" s="14" t="n">
        <v>199</v>
      </c>
      <c r="B69" s="14" t="inlineStr">
        <is>
          <t>ets.p</t>
        </is>
      </c>
      <c r="C69" s="14" t="inlineStr"/>
      <c r="D69" s="14" t="inlineStr"/>
      <c r="E69" s="14" t="inlineStr">
        <is>
          <t>ETSPRICE</t>
        </is>
      </c>
      <c r="F69" s="92" t="inlineStr">
        <is>
          <t>ETSPRICE(AE$105,AE$101,AE$198,AE$197,AE$12)</t>
        </is>
      </c>
    </row>
    <row r="70">
      <c r="A70" s="14" t="n">
        <v>200</v>
      </c>
      <c r="B70" s="14" t="inlineStr">
        <is>
          <t>ets.pe</t>
        </is>
      </c>
      <c r="C70" s="14" t="inlineStr"/>
      <c r="D70" s="14" t="inlineStr"/>
      <c r="E70" s="14" t="inlineStr">
        <is>
          <t>TAXEQUIV</t>
        </is>
      </c>
      <c r="F70" s="92" t="inlineStr">
        <is>
          <t>TAXEQUIV(AE$199,AE$192)</t>
        </is>
      </c>
    </row>
    <row r="71">
      <c r="A71" s="14" t="n">
        <v>201</v>
      </c>
      <c r="B71" s="14" t="inlineStr">
        <is>
          <t>ets.rf</t>
        </is>
      </c>
      <c r="C71" s="14" t="inlineStr"/>
      <c r="D71" s="14" t="inlineStr"/>
      <c r="E71" s="14" t="inlineStr">
        <is>
          <t>REVFACTOR</t>
        </is>
      </c>
      <c r="F71" s="92" t="inlineStr">
        <is>
          <t>REVFACTOR(AE$192)</t>
        </is>
      </c>
    </row>
    <row r="72">
      <c r="A72" s="14" t="n">
        <v>213</v>
      </c>
      <c r="B72" s="14" t="inlineStr">
        <is>
          <t>fb</t>
        </is>
      </c>
      <c r="C72" s="14" t="inlineStr">
        <is>
          <t>all</t>
        </is>
      </c>
      <c r="D72" s="14" t="inlineStr">
        <is>
          <t>pow</t>
        </is>
      </c>
      <c r="E72" s="14" t="inlineStr">
        <is>
          <t>PATH</t>
        </is>
      </c>
      <c r="F72" s="92" t="inlineStr">
        <is>
          <t>PATH(AE$4,AE$203,AE$204,AE205,AE209,TRUE)</t>
        </is>
      </c>
    </row>
    <row r="73">
      <c r="A73" s="14" t="n">
        <v>214</v>
      </c>
      <c r="B73" s="14" t="inlineStr">
        <is>
          <t>fb</t>
        </is>
      </c>
      <c r="C73" s="14" t="inlineStr">
        <is>
          <t>all</t>
        </is>
      </c>
      <c r="D73" s="14" t="inlineStr">
        <is>
          <t>tra</t>
        </is>
      </c>
      <c r="E73" s="14" t="inlineStr">
        <is>
          <t>PATH</t>
        </is>
      </c>
      <c r="F73" s="92" t="inlineStr">
        <is>
          <t>PATH(AE$4,AE$203,AE$204,AE206,AE210,TRUE)</t>
        </is>
      </c>
    </row>
    <row r="74">
      <c r="A74" s="14" t="n">
        <v>215</v>
      </c>
      <c r="B74" s="14" t="inlineStr">
        <is>
          <t>fb</t>
        </is>
      </c>
      <c r="C74" s="14" t="inlineStr">
        <is>
          <t>all</t>
        </is>
      </c>
      <c r="D74" s="14" t="inlineStr">
        <is>
          <t>res</t>
        </is>
      </c>
      <c r="E74" s="14" t="inlineStr">
        <is>
          <t>PATH</t>
        </is>
      </c>
      <c r="F74" s="92" t="inlineStr">
        <is>
          <t>PATH(AE$4,AE$203,AE$204,AE207,AE211,TRUE)</t>
        </is>
      </c>
    </row>
    <row r="75">
      <c r="A75" s="14" t="n">
        <v>216</v>
      </c>
      <c r="B75" s="14" t="inlineStr">
        <is>
          <t>fb</t>
        </is>
      </c>
      <c r="C75" s="14" t="inlineStr">
        <is>
          <t>all</t>
        </is>
      </c>
      <c r="D75" s="14" t="inlineStr">
        <is>
          <t>ind</t>
        </is>
      </c>
      <c r="E75" s="14" t="inlineStr">
        <is>
          <t>PATH</t>
        </is>
      </c>
      <c r="F75" s="92" t="inlineStr">
        <is>
          <t>PATH(AE$4,AE$203,AE$204,AE208,AE212,TRUE)</t>
        </is>
      </c>
    </row>
    <row r="76">
      <c r="A76" s="14" t="n">
        <v>241</v>
      </c>
      <c r="B76" s="14" t="inlineStr">
        <is>
          <t>shps</t>
        </is>
      </c>
      <c r="C76" s="14" t="inlineStr">
        <is>
          <t>all</t>
        </is>
      </c>
      <c r="D76" s="14" t="inlineStr">
        <is>
          <t>pow</t>
        </is>
      </c>
      <c r="E76" s="14" t="inlineStr">
        <is>
          <t>SHADOWSECTOR</t>
        </is>
      </c>
      <c r="F76" s="92" t="inlineStr">
        <is>
          <t>SHADOWSECTOR(AE213,AE237)</t>
        </is>
      </c>
    </row>
    <row r="77">
      <c r="A77" s="14" t="n">
        <v>242</v>
      </c>
      <c r="B77" s="14" t="inlineStr">
        <is>
          <t>shps</t>
        </is>
      </c>
      <c r="C77" s="14" t="inlineStr">
        <is>
          <t>all</t>
        </is>
      </c>
      <c r="D77" s="14" t="inlineStr">
        <is>
          <t>tra</t>
        </is>
      </c>
      <c r="E77" s="14" t="inlineStr">
        <is>
          <t>SHADOWSECTOR</t>
        </is>
      </c>
      <c r="F77" s="92" t="inlineStr">
        <is>
          <t>SHADOWSECTOR(AE214,AE238)</t>
        </is>
      </c>
    </row>
    <row r="78">
      <c r="A78" s="14" t="n">
        <v>243</v>
      </c>
      <c r="B78" s="14" t="inlineStr">
        <is>
          <t>shps</t>
        </is>
      </c>
      <c r="C78" s="14" t="inlineStr">
        <is>
          <t>all</t>
        </is>
      </c>
      <c r="D78" s="14" t="inlineStr">
        <is>
          <t>res</t>
        </is>
      </c>
      <c r="E78" s="14" t="inlineStr">
        <is>
          <t>SHADOWSECTOR</t>
        </is>
      </c>
      <c r="F78" s="92" t="inlineStr">
        <is>
          <t>SHADOWSECTOR(AE215,AE239)</t>
        </is>
      </c>
    </row>
    <row r="79">
      <c r="A79" s="14" t="n">
        <v>244</v>
      </c>
      <c r="B79" s="14" t="inlineStr">
        <is>
          <t>shps</t>
        </is>
      </c>
      <c r="C79" s="14" t="inlineStr">
        <is>
          <t>all</t>
        </is>
      </c>
      <c r="D79" s="14" t="inlineStr">
        <is>
          <t>ind</t>
        </is>
      </c>
      <c r="E79" s="14" t="inlineStr">
        <is>
          <t>SHADOWSECTOR</t>
        </is>
      </c>
      <c r="F79" s="92" t="inlineStr">
        <is>
          <t>SHADOWSECTOR(AE216,AE240)</t>
        </is>
      </c>
    </row>
    <row r="80">
      <c r="A80" s="14" t="n">
        <v>245</v>
      </c>
      <c r="B80" s="14" t="inlineStr">
        <is>
          <t>ssc</t>
        </is>
      </c>
      <c r="C80" s="14" t="inlineStr">
        <is>
          <t>all</t>
        </is>
      </c>
      <c r="D80" s="14" t="inlineStr">
        <is>
          <t>pow</t>
        </is>
      </c>
      <c r="E80" s="14" t="inlineStr">
        <is>
          <t>SHADOWSHARE</t>
        </is>
      </c>
      <c r="F80" s="92" t="inlineStr">
        <is>
          <t>SHADOWSHARE(AE218,AE$236)</t>
        </is>
      </c>
    </row>
    <row r="81">
      <c r="A81" s="14" t="n">
        <v>246</v>
      </c>
      <c r="B81" s="14" t="inlineStr">
        <is>
          <t>ssc</t>
        </is>
      </c>
      <c r="C81" s="14" t="inlineStr">
        <is>
          <t>all</t>
        </is>
      </c>
      <c r="D81" s="14" t="inlineStr">
        <is>
          <t>rod</t>
        </is>
      </c>
      <c r="E81" s="14" t="inlineStr">
        <is>
          <t>SHADOWSHARE</t>
        </is>
      </c>
      <c r="F81" s="92" t="inlineStr">
        <is>
          <t>SHADOWSHARE(AE219,AE$236)</t>
        </is>
      </c>
    </row>
    <row r="82">
      <c r="A82" s="14" t="n">
        <v>247</v>
      </c>
      <c r="B82" s="14" t="inlineStr">
        <is>
          <t>ssc</t>
        </is>
      </c>
      <c r="C82" s="14" t="inlineStr">
        <is>
          <t>all</t>
        </is>
      </c>
      <c r="D82" s="14" t="inlineStr">
        <is>
          <t>ral</t>
        </is>
      </c>
      <c r="E82" s="14" t="inlineStr">
        <is>
          <t>SHADOWSHARE</t>
        </is>
      </c>
      <c r="F82" s="92" t="inlineStr">
        <is>
          <t>SHADOWSHARE(AE220,AE$236)</t>
        </is>
      </c>
    </row>
    <row r="83">
      <c r="A83" s="14" t="n">
        <v>248</v>
      </c>
      <c r="B83" s="14" t="inlineStr">
        <is>
          <t>ssc</t>
        </is>
      </c>
      <c r="C83" s="14" t="inlineStr">
        <is>
          <t>all</t>
        </is>
      </c>
      <c r="D83" s="14" t="inlineStr">
        <is>
          <t>avi</t>
        </is>
      </c>
      <c r="E83" s="14" t="inlineStr">
        <is>
          <t>SHADOWSHARE</t>
        </is>
      </c>
      <c r="F83" s="92" t="inlineStr">
        <is>
          <t>SHADOWSHARE(AE221,AE$236)</t>
        </is>
      </c>
    </row>
    <row r="84">
      <c r="A84" s="14" t="n">
        <v>249</v>
      </c>
      <c r="B84" s="14" t="inlineStr">
        <is>
          <t>ssc</t>
        </is>
      </c>
      <c r="C84" s="14" t="inlineStr">
        <is>
          <t>all</t>
        </is>
      </c>
      <c r="D84" s="14" t="inlineStr">
        <is>
          <t>nav</t>
        </is>
      </c>
      <c r="E84" s="14" t="inlineStr">
        <is>
          <t>SHADOWSHARE</t>
        </is>
      </c>
      <c r="F84" s="92" t="inlineStr">
        <is>
          <t>SHADOWSHARE(AE222,AE$236)</t>
        </is>
      </c>
    </row>
    <row r="85">
      <c r="A85" s="14" t="n">
        <v>250</v>
      </c>
      <c r="B85" s="14" t="inlineStr">
        <is>
          <t>ssc</t>
        </is>
      </c>
      <c r="C85" s="14" t="inlineStr">
        <is>
          <t>all</t>
        </is>
      </c>
      <c r="D85" s="14" t="inlineStr">
        <is>
          <t>res</t>
        </is>
      </c>
      <c r="E85" s="14" t="inlineStr">
        <is>
          <t>SHADOWSHARE</t>
        </is>
      </c>
      <c r="F85" s="92" t="inlineStr">
        <is>
          <t>SHADOWSHARE(AE223,AE$236)</t>
        </is>
      </c>
    </row>
    <row r="86">
      <c r="A86" s="14" t="n">
        <v>251</v>
      </c>
      <c r="B86" s="14" t="inlineStr">
        <is>
          <t>ssc</t>
        </is>
      </c>
      <c r="C86" s="14" t="inlineStr">
        <is>
          <t>all</t>
        </is>
      </c>
      <c r="D86" s="14" t="inlineStr">
        <is>
          <t>foo</t>
        </is>
      </c>
      <c r="E86" s="14" t="inlineStr">
        <is>
          <t>SHADOWSHARE</t>
        </is>
      </c>
      <c r="F86" s="92" t="inlineStr">
        <is>
          <t>SHADOWSHARE(AE224,AE$236)</t>
        </is>
      </c>
    </row>
    <row r="87">
      <c r="A87" s="14" t="n">
        <v>252</v>
      </c>
      <c r="B87" s="14" t="inlineStr">
        <is>
          <t>ssc</t>
        </is>
      </c>
      <c r="C87" s="14" t="inlineStr">
        <is>
          <t>all</t>
        </is>
      </c>
      <c r="D87" s="14" t="inlineStr">
        <is>
          <t>srv</t>
        </is>
      </c>
      <c r="E87" s="14" t="inlineStr">
        <is>
          <t>SHADOWSHARE</t>
        </is>
      </c>
      <c r="F87" s="92" t="inlineStr">
        <is>
          <t>SHADOWSHARE(AE225,AE$236)</t>
        </is>
      </c>
    </row>
    <row r="88">
      <c r="A88" s="14" t="n">
        <v>253</v>
      </c>
      <c r="B88" s="14" t="inlineStr">
        <is>
          <t>ssc</t>
        </is>
      </c>
      <c r="C88" s="14" t="inlineStr">
        <is>
          <t>all</t>
        </is>
      </c>
      <c r="D88" s="14" t="inlineStr">
        <is>
          <t>mch</t>
        </is>
      </c>
      <c r="E88" s="14" t="inlineStr">
        <is>
          <t>SHADOWSHARE</t>
        </is>
      </c>
      <c r="F88" s="92" t="inlineStr">
        <is>
          <t>SHADOWSHARE(AE226,AE$236)</t>
        </is>
      </c>
    </row>
    <row r="89">
      <c r="A89" s="14" t="n">
        <v>254</v>
      </c>
      <c r="B89" s="14" t="inlineStr">
        <is>
          <t>ssc</t>
        </is>
      </c>
      <c r="C89" s="14" t="inlineStr">
        <is>
          <t>all</t>
        </is>
      </c>
      <c r="D89" s="14" t="inlineStr">
        <is>
          <t>irn</t>
        </is>
      </c>
      <c r="E89" s="14" t="inlineStr">
        <is>
          <t>SHADOWSHARE</t>
        </is>
      </c>
      <c r="F89" s="92" t="inlineStr">
        <is>
          <t>SHADOWSHARE(AE227,AE$236)</t>
        </is>
      </c>
    </row>
    <row r="90">
      <c r="A90" s="14" t="n">
        <v>255</v>
      </c>
      <c r="B90" s="14" t="inlineStr">
        <is>
          <t>ssc</t>
        </is>
      </c>
      <c r="C90" s="14" t="inlineStr">
        <is>
          <t>all</t>
        </is>
      </c>
      <c r="D90" s="14" t="inlineStr">
        <is>
          <t>nfm</t>
        </is>
      </c>
      <c r="E90" s="14" t="inlineStr">
        <is>
          <t>SHADOWSHARE</t>
        </is>
      </c>
      <c r="F90" s="92" t="inlineStr">
        <is>
          <t>SHADOWSHARE(AE228,AE$236)</t>
        </is>
      </c>
    </row>
    <row r="91">
      <c r="A91" s="14" t="n">
        <v>256</v>
      </c>
      <c r="B91" s="14" t="inlineStr">
        <is>
          <t>ssc</t>
        </is>
      </c>
      <c r="C91" s="14" t="inlineStr">
        <is>
          <t>all</t>
        </is>
      </c>
      <c r="D91" s="14" t="inlineStr">
        <is>
          <t>mac</t>
        </is>
      </c>
      <c r="E91" s="14" t="inlineStr">
        <is>
          <t>SHADOWSHARE</t>
        </is>
      </c>
      <c r="F91" s="92" t="inlineStr">
        <is>
          <t>SHADOWSHARE(AE229,AE$236)</t>
        </is>
      </c>
    </row>
    <row r="92">
      <c r="A92" s="14" t="n">
        <v>257</v>
      </c>
      <c r="B92" s="14" t="inlineStr">
        <is>
          <t>ssc</t>
        </is>
      </c>
      <c r="C92" s="14" t="inlineStr">
        <is>
          <t>all</t>
        </is>
      </c>
      <c r="D92" s="14" t="inlineStr">
        <is>
          <t>cem</t>
        </is>
      </c>
      <c r="E92" s="14" t="inlineStr">
        <is>
          <t>SHADOWSHARE</t>
        </is>
      </c>
      <c r="F92" s="92" t="inlineStr">
        <is>
          <t>SHADOWSHARE(AE230,AE$236)</t>
        </is>
      </c>
    </row>
    <row r="93">
      <c r="A93" s="14" t="n">
        <v>258</v>
      </c>
      <c r="B93" s="14" t="inlineStr">
        <is>
          <t>ssc</t>
        </is>
      </c>
      <c r="C93" s="14" t="inlineStr">
        <is>
          <t>all</t>
        </is>
      </c>
      <c r="D93" s="14" t="inlineStr">
        <is>
          <t>omn</t>
        </is>
      </c>
      <c r="E93" s="14" t="inlineStr">
        <is>
          <t>SHADOWSHARE</t>
        </is>
      </c>
      <c r="F93" s="92" t="inlineStr">
        <is>
          <t>SHADOWSHARE(AE231,AE$236)</t>
        </is>
      </c>
    </row>
    <row r="94">
      <c r="A94" s="14" t="n">
        <v>259</v>
      </c>
      <c r="B94" s="14" t="inlineStr">
        <is>
          <t>ssc</t>
        </is>
      </c>
      <c r="C94" s="14" t="inlineStr">
        <is>
          <t>all</t>
        </is>
      </c>
      <c r="D94" s="14" t="inlineStr">
        <is>
          <t>cst</t>
        </is>
      </c>
      <c r="E94" s="14" t="inlineStr">
        <is>
          <t>SHADOWSHARE</t>
        </is>
      </c>
      <c r="F94" s="92" t="inlineStr">
        <is>
          <t>SHADOWSHARE(AE232,AE$236)</t>
        </is>
      </c>
    </row>
    <row r="95">
      <c r="A95" s="14" t="n">
        <v>260</v>
      </c>
      <c r="B95" s="14" t="inlineStr">
        <is>
          <t>ssc</t>
        </is>
      </c>
      <c r="C95" s="14" t="inlineStr">
        <is>
          <t>all</t>
        </is>
      </c>
      <c r="D95" s="14" t="inlineStr">
        <is>
          <t>ftr</t>
        </is>
      </c>
      <c r="E95" s="14" t="inlineStr">
        <is>
          <t>SHADOWSHARE</t>
        </is>
      </c>
      <c r="F95" s="92" t="inlineStr">
        <is>
          <t>SHADOWSHARE(AE233,AE$236)</t>
        </is>
      </c>
    </row>
    <row r="96">
      <c r="A96" s="14" t="n">
        <v>261</v>
      </c>
      <c r="B96" s="14" t="inlineStr">
        <is>
          <t>ssc</t>
        </is>
      </c>
      <c r="C96" s="14" t="inlineStr">
        <is>
          <t>all</t>
        </is>
      </c>
      <c r="D96" s="14" t="inlineStr">
        <is>
          <t>oen</t>
        </is>
      </c>
      <c r="E96" s="14" t="inlineStr">
        <is>
          <t>SHADOWSHARE</t>
        </is>
      </c>
      <c r="F96" s="92" t="inlineStr">
        <is>
          <t>SHADOWSHARE(AE234,AE$236)</t>
        </is>
      </c>
    </row>
    <row r="97">
      <c r="A97" s="14" t="n">
        <v>263</v>
      </c>
      <c r="B97" s="14" t="inlineStr">
        <is>
          <t>ctr</t>
        </is>
      </c>
      <c r="C97" s="14" t="inlineStr">
        <is>
          <t>all</t>
        </is>
      </c>
      <c r="D97" s="14" t="inlineStr">
        <is>
          <t>pow</t>
        </is>
      </c>
      <c r="E97" s="14" t="inlineStr">
        <is>
          <t>SECTORTAX</t>
        </is>
      </c>
      <c r="F97" s="92" t="inlineStr">
        <is>
          <t>SECTORTAX(AE$12,AE32,AE124,AE$319,$D263)</t>
        </is>
      </c>
    </row>
    <row r="98">
      <c r="A98" s="14" t="n">
        <v>264</v>
      </c>
      <c r="B98" s="14" t="inlineStr">
        <is>
          <t>ctr</t>
        </is>
      </c>
      <c r="C98" s="14" t="inlineStr">
        <is>
          <t>all</t>
        </is>
      </c>
      <c r="D98" s="14" t="inlineStr">
        <is>
          <t>rod</t>
        </is>
      </c>
      <c r="E98" s="14" t="inlineStr">
        <is>
          <t>SECTORTAX</t>
        </is>
      </c>
      <c r="F98" s="92" t="inlineStr">
        <is>
          <t>SECTORTAX(AE$12,AE33,AE125,AE$319,$D264)</t>
        </is>
      </c>
    </row>
    <row r="99">
      <c r="A99" s="14" t="n">
        <v>265</v>
      </c>
      <c r="B99" s="14" t="inlineStr">
        <is>
          <t>ctr</t>
        </is>
      </c>
      <c r="C99" s="14" t="inlineStr">
        <is>
          <t>all</t>
        </is>
      </c>
      <c r="D99" s="14" t="inlineStr">
        <is>
          <t>ral</t>
        </is>
      </c>
      <c r="E99" s="14" t="inlineStr">
        <is>
          <t>SECTORTAX</t>
        </is>
      </c>
      <c r="F99" s="92" t="inlineStr">
        <is>
          <t>SECTORTAX(AE$12,AE34,AE126,AE$319,$D265)</t>
        </is>
      </c>
    </row>
    <row r="100">
      <c r="A100" s="14" t="n">
        <v>266</v>
      </c>
      <c r="B100" s="14" t="inlineStr">
        <is>
          <t>ctr</t>
        </is>
      </c>
      <c r="C100" s="14" t="inlineStr">
        <is>
          <t>all</t>
        </is>
      </c>
      <c r="D100" s="14" t="inlineStr">
        <is>
          <t>avi</t>
        </is>
      </c>
      <c r="E100" s="14" t="inlineStr">
        <is>
          <t>SECTORTAX</t>
        </is>
      </c>
      <c r="F100" s="92" t="inlineStr">
        <is>
          <t>SECTORTAX(AE$12,AE35,AE127,AE$319,$D266)</t>
        </is>
      </c>
    </row>
    <row r="101">
      <c r="A101" s="14" t="n">
        <v>267</v>
      </c>
      <c r="B101" s="14" t="inlineStr">
        <is>
          <t>ctr</t>
        </is>
      </c>
      <c r="C101" s="14" t="inlineStr">
        <is>
          <t>all</t>
        </is>
      </c>
      <c r="D101" s="14" t="inlineStr">
        <is>
          <t>nav</t>
        </is>
      </c>
      <c r="E101" s="14" t="inlineStr">
        <is>
          <t>SECTORTAX</t>
        </is>
      </c>
      <c r="F101" s="92" t="inlineStr">
        <is>
          <t>SECTORTAX(AE$12,AE36,AE128,AE$319,$D267)</t>
        </is>
      </c>
    </row>
    <row r="102">
      <c r="A102" s="14" t="n">
        <v>268</v>
      </c>
      <c r="B102" s="14" t="inlineStr">
        <is>
          <t>ctr</t>
        </is>
      </c>
      <c r="C102" s="14" t="inlineStr">
        <is>
          <t>all</t>
        </is>
      </c>
      <c r="D102" s="14" t="inlineStr">
        <is>
          <t>res</t>
        </is>
      </c>
      <c r="E102" s="14" t="inlineStr">
        <is>
          <t>SECTORTAX</t>
        </is>
      </c>
      <c r="F102" s="92" t="inlineStr">
        <is>
          <t>SECTORTAX(AE$12,AE37,AE129,AE$319,$D268)</t>
        </is>
      </c>
    </row>
    <row r="103">
      <c r="A103" s="14" t="n">
        <v>269</v>
      </c>
      <c r="B103" s="14" t="inlineStr">
        <is>
          <t>ctr</t>
        </is>
      </c>
      <c r="C103" s="14" t="inlineStr">
        <is>
          <t>all</t>
        </is>
      </c>
      <c r="D103" s="14" t="inlineStr">
        <is>
          <t>foo</t>
        </is>
      </c>
      <c r="E103" s="14" t="inlineStr">
        <is>
          <t>SECTORTAX</t>
        </is>
      </c>
      <c r="F103" s="92" t="inlineStr">
        <is>
          <t>SECTORTAX(AE$12,AE38,AE130,AE$319,$D269)</t>
        </is>
      </c>
    </row>
    <row r="104">
      <c r="A104" s="14" t="n">
        <v>270</v>
      </c>
      <c r="B104" s="14" t="inlineStr">
        <is>
          <t>ctr</t>
        </is>
      </c>
      <c r="C104" s="14" t="inlineStr">
        <is>
          <t>all</t>
        </is>
      </c>
      <c r="D104" s="14" t="inlineStr">
        <is>
          <t>srv</t>
        </is>
      </c>
      <c r="E104" s="14" t="inlineStr">
        <is>
          <t>SECTORTAX</t>
        </is>
      </c>
      <c r="F104" s="92" t="inlineStr">
        <is>
          <t>SECTORTAX(AE$12,AE39,AE131,AE$319,$D270)</t>
        </is>
      </c>
    </row>
    <row r="105">
      <c r="A105" s="14" t="n">
        <v>271</v>
      </c>
      <c r="B105" s="14" t="inlineStr">
        <is>
          <t>ctr</t>
        </is>
      </c>
      <c r="C105" s="14" t="inlineStr">
        <is>
          <t>all</t>
        </is>
      </c>
      <c r="D105" s="14" t="inlineStr">
        <is>
          <t>mch</t>
        </is>
      </c>
      <c r="E105" s="14" t="inlineStr">
        <is>
          <t>SECTORTAX</t>
        </is>
      </c>
      <c r="F105" s="92" t="inlineStr">
        <is>
          <t>SECTORTAX(AE$12,AE40,AE132,AE$319,$D271)</t>
        </is>
      </c>
    </row>
    <row r="106">
      <c r="A106" s="14" t="n">
        <v>272</v>
      </c>
      <c r="B106" s="14" t="inlineStr">
        <is>
          <t>ctr</t>
        </is>
      </c>
      <c r="C106" s="14" t="inlineStr">
        <is>
          <t>all</t>
        </is>
      </c>
      <c r="D106" s="14" t="inlineStr">
        <is>
          <t>irn</t>
        </is>
      </c>
      <c r="E106" s="14" t="inlineStr">
        <is>
          <t>SECTORTAX</t>
        </is>
      </c>
      <c r="F106" s="92" t="inlineStr">
        <is>
          <t>SECTORTAX(AE$12,AE41,AE133,AE$319,$D272)</t>
        </is>
      </c>
    </row>
    <row r="107">
      <c r="A107" s="14" t="n">
        <v>273</v>
      </c>
      <c r="B107" s="14" t="inlineStr">
        <is>
          <t>ctr</t>
        </is>
      </c>
      <c r="C107" s="14" t="inlineStr">
        <is>
          <t>all</t>
        </is>
      </c>
      <c r="D107" s="14" t="inlineStr">
        <is>
          <t>nfm</t>
        </is>
      </c>
      <c r="E107" s="14" t="inlineStr">
        <is>
          <t>SECTORTAX</t>
        </is>
      </c>
      <c r="F107" s="92" t="inlineStr">
        <is>
          <t>SECTORTAX(AE$12,AE42,AE134,AE$319,$D273)</t>
        </is>
      </c>
    </row>
    <row r="108">
      <c r="A108" s="14" t="n">
        <v>274</v>
      </c>
      <c r="B108" s="14" t="inlineStr">
        <is>
          <t>ctr</t>
        </is>
      </c>
      <c r="C108" s="14" t="inlineStr">
        <is>
          <t>all</t>
        </is>
      </c>
      <c r="D108" s="14" t="inlineStr">
        <is>
          <t>mac</t>
        </is>
      </c>
      <c r="E108" s="14" t="inlineStr">
        <is>
          <t>SECTORTAX</t>
        </is>
      </c>
      <c r="F108" s="92" t="inlineStr">
        <is>
          <t>SECTORTAX(AE$12,AE43,AE135,AE$319,$D274)</t>
        </is>
      </c>
    </row>
    <row r="109">
      <c r="A109" s="14" t="n">
        <v>275</v>
      </c>
      <c r="B109" s="14" t="inlineStr">
        <is>
          <t>ctr</t>
        </is>
      </c>
      <c r="C109" s="14" t="inlineStr">
        <is>
          <t>all</t>
        </is>
      </c>
      <c r="D109" s="14" t="inlineStr">
        <is>
          <t>cem</t>
        </is>
      </c>
      <c r="E109" s="14" t="inlineStr">
        <is>
          <t>SECTORTAX</t>
        </is>
      </c>
      <c r="F109" s="92" t="inlineStr">
        <is>
          <t>SECTORTAX(AE$12,AE44,AE136,AE$319,$D275)</t>
        </is>
      </c>
    </row>
    <row r="110">
      <c r="A110" s="14" t="n">
        <v>276</v>
      </c>
      <c r="B110" s="14" t="inlineStr">
        <is>
          <t>ctr</t>
        </is>
      </c>
      <c r="C110" s="14" t="inlineStr">
        <is>
          <t>all</t>
        </is>
      </c>
      <c r="D110" s="14" t="inlineStr">
        <is>
          <t>omn</t>
        </is>
      </c>
      <c r="E110" s="14" t="inlineStr">
        <is>
          <t>SECTORTAX</t>
        </is>
      </c>
      <c r="F110" s="92" t="inlineStr">
        <is>
          <t>SECTORTAX(AE$12,AE45,AE137,AE$319,$D276)</t>
        </is>
      </c>
    </row>
    <row r="111">
      <c r="A111" s="14" t="n">
        <v>277</v>
      </c>
      <c r="B111" s="14" t="inlineStr">
        <is>
          <t>ctr</t>
        </is>
      </c>
      <c r="C111" s="14" t="inlineStr">
        <is>
          <t>all</t>
        </is>
      </c>
      <c r="D111" s="14" t="inlineStr">
        <is>
          <t>cst</t>
        </is>
      </c>
      <c r="E111" s="14" t="inlineStr">
        <is>
          <t>SECTORTAX</t>
        </is>
      </c>
      <c r="F111" s="92" t="inlineStr">
        <is>
          <t>SECTORTAX(AE$12,AE46,AE138,AE$319,$D277)</t>
        </is>
      </c>
    </row>
    <row r="112">
      <c r="A112" s="14" t="n">
        <v>278</v>
      </c>
      <c r="B112" s="14" t="inlineStr">
        <is>
          <t>ctr</t>
        </is>
      </c>
      <c r="C112" s="14" t="inlineStr">
        <is>
          <t>all</t>
        </is>
      </c>
      <c r="D112" s="14" t="inlineStr">
        <is>
          <t>ftr</t>
        </is>
      </c>
      <c r="E112" s="14" t="inlineStr">
        <is>
          <t>SECTORTAX</t>
        </is>
      </c>
      <c r="F112" s="92" t="inlineStr">
        <is>
          <t>SECTORTAX(AE$12,AE47,AE139,AE$319,$D278)</t>
        </is>
      </c>
    </row>
    <row r="113">
      <c r="A113" s="14" t="n">
        <v>279</v>
      </c>
      <c r="B113" s="14" t="inlineStr">
        <is>
          <t>ctr</t>
        </is>
      </c>
      <c r="C113" s="14" t="inlineStr">
        <is>
          <t>all</t>
        </is>
      </c>
      <c r="D113" s="14" t="inlineStr">
        <is>
          <t>oen</t>
        </is>
      </c>
      <c r="E113" s="14" t="inlineStr">
        <is>
          <t>SECTORTAX</t>
        </is>
      </c>
      <c r="F113" s="92" t="inlineStr">
        <is>
          <t>SECTORTAX(AE$12,AE48,AE140,AE$319,$D279)</t>
        </is>
      </c>
    </row>
    <row r="114">
      <c r="A114" s="14" t="n">
        <v>280</v>
      </c>
      <c r="B114" s="14" t="inlineStr">
        <is>
          <t>etr</t>
        </is>
      </c>
      <c r="C114" s="14" t="inlineStr">
        <is>
          <t>all</t>
        </is>
      </c>
      <c r="D114" s="14" t="inlineStr">
        <is>
          <t>pow</t>
        </is>
      </c>
      <c r="E114" s="14" t="inlineStr">
        <is>
          <t>SECTORETS</t>
        </is>
      </c>
      <c r="F114" s="92" t="inlineStr">
        <is>
          <t>SECTORETS(AE$200,AE124,AE154)</t>
        </is>
      </c>
    </row>
    <row r="115">
      <c r="A115" s="14" t="n">
        <v>281</v>
      </c>
      <c r="B115" s="14" t="inlineStr">
        <is>
          <t>etr</t>
        </is>
      </c>
      <c r="C115" s="14" t="inlineStr">
        <is>
          <t>all</t>
        </is>
      </c>
      <c r="D115" s="14" t="inlineStr">
        <is>
          <t>rod</t>
        </is>
      </c>
      <c r="E115" s="14" t="inlineStr">
        <is>
          <t>SECTORETS</t>
        </is>
      </c>
      <c r="F115" s="92" t="inlineStr">
        <is>
          <t>SECTORETS(AE$200,AE125,AE155)</t>
        </is>
      </c>
    </row>
    <row r="116">
      <c r="A116" s="14" t="n">
        <v>282</v>
      </c>
      <c r="B116" s="14" t="inlineStr">
        <is>
          <t>etr</t>
        </is>
      </c>
      <c r="C116" s="14" t="inlineStr">
        <is>
          <t>all</t>
        </is>
      </c>
      <c r="D116" s="14" t="inlineStr">
        <is>
          <t>ral</t>
        </is>
      </c>
      <c r="E116" s="14" t="inlineStr">
        <is>
          <t>SECTORETS</t>
        </is>
      </c>
      <c r="F116" s="92" t="inlineStr">
        <is>
          <t>SECTORETS(AE$200,AE126,AE156)</t>
        </is>
      </c>
    </row>
    <row r="117">
      <c r="A117" s="14" t="n">
        <v>283</v>
      </c>
      <c r="B117" s="14" t="inlineStr">
        <is>
          <t>etr</t>
        </is>
      </c>
      <c r="C117" s="14" t="inlineStr">
        <is>
          <t>all</t>
        </is>
      </c>
      <c r="D117" s="14" t="inlineStr">
        <is>
          <t>avi</t>
        </is>
      </c>
      <c r="E117" s="14" t="inlineStr">
        <is>
          <t>SECTORETS</t>
        </is>
      </c>
      <c r="F117" s="92" t="inlineStr">
        <is>
          <t>SECTORETS(AE$200,AE127,AE157)</t>
        </is>
      </c>
    </row>
    <row r="118">
      <c r="A118" s="14" t="n">
        <v>284</v>
      </c>
      <c r="B118" s="14" t="inlineStr">
        <is>
          <t>etr</t>
        </is>
      </c>
      <c r="C118" s="14" t="inlineStr">
        <is>
          <t>all</t>
        </is>
      </c>
      <c r="D118" s="14" t="inlineStr">
        <is>
          <t>nav</t>
        </is>
      </c>
      <c r="E118" s="14" t="inlineStr">
        <is>
          <t>SECTORETS</t>
        </is>
      </c>
      <c r="F118" s="92" t="inlineStr">
        <is>
          <t>SECTORETS(AE$200,AE128,AE158)</t>
        </is>
      </c>
    </row>
    <row r="119">
      <c r="A119" s="14" t="n">
        <v>285</v>
      </c>
      <c r="B119" s="14" t="inlineStr">
        <is>
          <t>etr</t>
        </is>
      </c>
      <c r="C119" s="14" t="inlineStr">
        <is>
          <t>all</t>
        </is>
      </c>
      <c r="D119" s="14" t="inlineStr">
        <is>
          <t>res</t>
        </is>
      </c>
      <c r="E119" s="14" t="inlineStr">
        <is>
          <t>SECTORETS</t>
        </is>
      </c>
      <c r="F119" s="92" t="inlineStr">
        <is>
          <t>SECTORETS(AE$200,AE129,AE159)</t>
        </is>
      </c>
    </row>
    <row r="120">
      <c r="A120" s="14" t="n">
        <v>286</v>
      </c>
      <c r="B120" s="14" t="inlineStr">
        <is>
          <t>etr</t>
        </is>
      </c>
      <c r="C120" s="14" t="inlineStr">
        <is>
          <t>all</t>
        </is>
      </c>
      <c r="D120" s="14" t="inlineStr">
        <is>
          <t>foo</t>
        </is>
      </c>
      <c r="E120" s="14" t="inlineStr">
        <is>
          <t>SECTORETS</t>
        </is>
      </c>
      <c r="F120" s="92" t="inlineStr">
        <is>
          <t>SECTORETS(AE$200,AE130,AE160)</t>
        </is>
      </c>
    </row>
    <row r="121">
      <c r="A121" s="14" t="n">
        <v>287</v>
      </c>
      <c r="B121" s="14" t="inlineStr">
        <is>
          <t>etr</t>
        </is>
      </c>
      <c r="C121" s="14" t="inlineStr">
        <is>
          <t>all</t>
        </is>
      </c>
      <c r="D121" s="14" t="inlineStr">
        <is>
          <t>srv</t>
        </is>
      </c>
      <c r="E121" s="14" t="inlineStr">
        <is>
          <t>SECTORETS</t>
        </is>
      </c>
      <c r="F121" s="92" t="inlineStr">
        <is>
          <t>SECTORETS(AE$200,AE131,AE161)</t>
        </is>
      </c>
    </row>
    <row r="122">
      <c r="A122" s="14" t="n">
        <v>288</v>
      </c>
      <c r="B122" s="14" t="inlineStr">
        <is>
          <t>etr</t>
        </is>
      </c>
      <c r="C122" s="14" t="inlineStr">
        <is>
          <t>all</t>
        </is>
      </c>
      <c r="D122" s="14" t="inlineStr">
        <is>
          <t>mch</t>
        </is>
      </c>
      <c r="E122" s="14" t="inlineStr">
        <is>
          <t>SECTORETS</t>
        </is>
      </c>
      <c r="F122" s="92" t="inlineStr">
        <is>
          <t>SECTORETS(AE$200,AE132,AE162)</t>
        </is>
      </c>
    </row>
    <row r="123">
      <c r="A123" s="14" t="n">
        <v>289</v>
      </c>
      <c r="B123" s="14" t="inlineStr">
        <is>
          <t>etr</t>
        </is>
      </c>
      <c r="C123" s="14" t="inlineStr">
        <is>
          <t>all</t>
        </is>
      </c>
      <c r="D123" s="14" t="inlineStr">
        <is>
          <t>irn</t>
        </is>
      </c>
      <c r="E123" s="14" t="inlineStr">
        <is>
          <t>SECTORETS</t>
        </is>
      </c>
      <c r="F123" s="92" t="inlineStr">
        <is>
          <t>SECTORETS(AE$200,AE133,AE163)</t>
        </is>
      </c>
    </row>
    <row r="124">
      <c r="A124" s="14" t="n">
        <v>290</v>
      </c>
      <c r="B124" s="14" t="inlineStr">
        <is>
          <t>etr</t>
        </is>
      </c>
      <c r="C124" s="14" t="inlineStr">
        <is>
          <t>all</t>
        </is>
      </c>
      <c r="D124" s="14" t="inlineStr">
        <is>
          <t>nfm</t>
        </is>
      </c>
      <c r="E124" s="14" t="inlineStr">
        <is>
          <t>SECTORETS</t>
        </is>
      </c>
      <c r="F124" s="92" t="inlineStr">
        <is>
          <t>SECTORETS(AE$200,AE134,AE164)</t>
        </is>
      </c>
    </row>
    <row r="125">
      <c r="A125" s="14" t="n">
        <v>291</v>
      </c>
      <c r="B125" s="14" t="inlineStr">
        <is>
          <t>etr</t>
        </is>
      </c>
      <c r="C125" s="14" t="inlineStr">
        <is>
          <t>all</t>
        </is>
      </c>
      <c r="D125" s="14" t="inlineStr">
        <is>
          <t>mac</t>
        </is>
      </c>
      <c r="E125" s="14" t="inlineStr">
        <is>
          <t>SECTORETS</t>
        </is>
      </c>
      <c r="F125" s="92" t="inlineStr">
        <is>
          <t>SECTORETS(AE$200,AE135,AE165)</t>
        </is>
      </c>
    </row>
    <row r="126">
      <c r="A126" s="14" t="n">
        <v>292</v>
      </c>
      <c r="B126" s="14" t="inlineStr">
        <is>
          <t>etr</t>
        </is>
      </c>
      <c r="C126" s="14" t="inlineStr">
        <is>
          <t>all</t>
        </is>
      </c>
      <c r="D126" s="14" t="inlineStr">
        <is>
          <t>cem</t>
        </is>
      </c>
      <c r="E126" s="14" t="inlineStr">
        <is>
          <t>SECTORETS</t>
        </is>
      </c>
      <c r="F126" s="92" t="inlineStr">
        <is>
          <t>SECTORETS(AE$200,AE136,AE166)</t>
        </is>
      </c>
    </row>
    <row r="127">
      <c r="A127" s="14" t="n">
        <v>293</v>
      </c>
      <c r="B127" s="14" t="inlineStr">
        <is>
          <t>etr</t>
        </is>
      </c>
      <c r="C127" s="14" t="inlineStr">
        <is>
          <t>all</t>
        </is>
      </c>
      <c r="D127" s="14" t="inlineStr">
        <is>
          <t>omn</t>
        </is>
      </c>
      <c r="E127" s="14" t="inlineStr">
        <is>
          <t>SECTORETS</t>
        </is>
      </c>
      <c r="F127" s="92" t="inlineStr">
        <is>
          <t>SECTORETS(AE$200,AE137,AE167)</t>
        </is>
      </c>
    </row>
    <row r="128">
      <c r="A128" s="14" t="n">
        <v>294</v>
      </c>
      <c r="B128" s="14" t="inlineStr">
        <is>
          <t>etr</t>
        </is>
      </c>
      <c r="C128" s="14" t="inlineStr">
        <is>
          <t>all</t>
        </is>
      </c>
      <c r="D128" s="14" t="inlineStr">
        <is>
          <t>cst</t>
        </is>
      </c>
      <c r="E128" s="14" t="inlineStr">
        <is>
          <t>SECTORETS</t>
        </is>
      </c>
      <c r="F128" s="92" t="inlineStr">
        <is>
          <t>SECTORETS(AE$200,AE138,AE168)</t>
        </is>
      </c>
    </row>
    <row r="129">
      <c r="A129" s="14" t="n">
        <v>295</v>
      </c>
      <c r="B129" s="14" t="inlineStr">
        <is>
          <t>etr</t>
        </is>
      </c>
      <c r="C129" s="14" t="inlineStr">
        <is>
          <t>all</t>
        </is>
      </c>
      <c r="D129" s="14" t="inlineStr">
        <is>
          <t>ftr</t>
        </is>
      </c>
      <c r="E129" s="14" t="inlineStr">
        <is>
          <t>SECTORETS</t>
        </is>
      </c>
      <c r="F129" s="92" t="inlineStr">
        <is>
          <t>SECTORETS(AE$200,AE139,AE169)</t>
        </is>
      </c>
    </row>
    <row r="130">
      <c r="A130" s="14" t="n">
        <v>296</v>
      </c>
      <c r="B130" s="14" t="inlineStr">
        <is>
          <t>etr</t>
        </is>
      </c>
      <c r="C130" s="14" t="inlineStr">
        <is>
          <t>all</t>
        </is>
      </c>
      <c r="D130" s="14" t="inlineStr">
        <is>
          <t>oen</t>
        </is>
      </c>
      <c r="E130" s="14" t="inlineStr">
        <is>
          <t>SECTORETS</t>
        </is>
      </c>
      <c r="F130" s="92" t="inlineStr">
        <is>
          <t>SECTORETS(AE$200,AE140,AE170)</t>
        </is>
      </c>
    </row>
    <row r="131">
      <c r="A131" s="14" t="n">
        <v>297</v>
      </c>
      <c r="B131" s="14" t="inlineStr">
        <is>
          <t>shpx</t>
        </is>
      </c>
      <c r="C131" s="14" t="inlineStr">
        <is>
          <t>all</t>
        </is>
      </c>
      <c r="D131" s="14" t="inlineStr">
        <is>
          <t>pow</t>
        </is>
      </c>
      <c r="E131" s="14" t="inlineStr">
        <is>
          <t>SHADOWTOTAL</t>
        </is>
      </c>
      <c r="F131" s="92" t="inlineStr">
        <is>
          <t>SHADOWTOTAL(INDEX(AE$241:AE$244,$D297),AE245,AE$200,AE124,AE154)</t>
        </is>
      </c>
    </row>
    <row r="132">
      <c r="A132" s="14" t="n">
        <v>298</v>
      </c>
      <c r="B132" s="14" t="inlineStr">
        <is>
          <t>shpx</t>
        </is>
      </c>
      <c r="C132" s="14" t="inlineStr">
        <is>
          <t>all</t>
        </is>
      </c>
      <c r="D132" s="14" t="inlineStr">
        <is>
          <t>rod</t>
        </is>
      </c>
      <c r="E132" s="14" t="inlineStr">
        <is>
          <t>SHADOWTOTAL</t>
        </is>
      </c>
      <c r="F132" s="92" t="inlineStr">
        <is>
          <t>SHADOWTOTAL(INDEX(AE$241:AE$244,$D298),AE246,AE$200,AE125,AE155)</t>
        </is>
      </c>
    </row>
    <row r="133">
      <c r="A133" s="14" t="n">
        <v>299</v>
      </c>
      <c r="B133" s="14" t="inlineStr">
        <is>
          <t>shpx</t>
        </is>
      </c>
      <c r="C133" s="14" t="inlineStr">
        <is>
          <t>all</t>
        </is>
      </c>
      <c r="D133" s="14" t="inlineStr">
        <is>
          <t>ral</t>
        </is>
      </c>
      <c r="E133" s="14" t="inlineStr">
        <is>
          <t>SHADOWTOTAL</t>
        </is>
      </c>
      <c r="F133" s="92" t="inlineStr">
        <is>
          <t>SHADOWTOTAL(INDEX(AE$241:AE$244,$D299),AE247,AE$200,AE126,AE156)</t>
        </is>
      </c>
    </row>
    <row r="134">
      <c r="A134" s="14" t="n">
        <v>300</v>
      </c>
      <c r="B134" s="14" t="inlineStr">
        <is>
          <t>shpx</t>
        </is>
      </c>
      <c r="C134" s="14" t="inlineStr">
        <is>
          <t>all</t>
        </is>
      </c>
      <c r="D134" s="14" t="inlineStr">
        <is>
          <t>avi</t>
        </is>
      </c>
      <c r="E134" s="14" t="inlineStr">
        <is>
          <t>SHADOWTOTAL</t>
        </is>
      </c>
      <c r="F134" s="92" t="inlineStr">
        <is>
          <t>SHADOWTOTAL(INDEX(AE$241:AE$244,$D300),AE248,AE$200,AE127,AE157)</t>
        </is>
      </c>
    </row>
    <row r="135">
      <c r="A135" s="14" t="n">
        <v>301</v>
      </c>
      <c r="B135" s="14" t="inlineStr">
        <is>
          <t>shpx</t>
        </is>
      </c>
      <c r="C135" s="14" t="inlineStr">
        <is>
          <t>all</t>
        </is>
      </c>
      <c r="D135" s="14" t="inlineStr">
        <is>
          <t>nav</t>
        </is>
      </c>
      <c r="E135" s="14" t="inlineStr">
        <is>
          <t>SHADOWTOTAL</t>
        </is>
      </c>
      <c r="F135" s="92" t="inlineStr">
        <is>
          <t>SHADOWTOTAL(INDEX(AE$241:AE$244,$D301),AE249,AE$200,AE128,AE158)</t>
        </is>
      </c>
    </row>
    <row r="136">
      <c r="A136" s="14" t="n">
        <v>302</v>
      </c>
      <c r="B136" s="14" t="inlineStr">
        <is>
          <t>shpx</t>
        </is>
      </c>
      <c r="C136" s="14" t="inlineStr">
        <is>
          <t>all</t>
        </is>
      </c>
      <c r="D136" s="14" t="inlineStr">
        <is>
          <t>res</t>
        </is>
      </c>
      <c r="E136" s="14" t="inlineStr">
        <is>
          <t>SHADOWTOTAL</t>
        </is>
      </c>
      <c r="F136" s="92" t="inlineStr">
        <is>
          <t>SHADOWTOTAL(INDEX(AE$241:AE$244,$D302),AE250,AE$200,AE129,AE159)</t>
        </is>
      </c>
    </row>
    <row r="137">
      <c r="A137" s="14" t="n">
        <v>303</v>
      </c>
      <c r="B137" s="14" t="inlineStr">
        <is>
          <t>shpx</t>
        </is>
      </c>
      <c r="C137" s="14" t="inlineStr">
        <is>
          <t>all</t>
        </is>
      </c>
      <c r="D137" s="14" t="inlineStr">
        <is>
          <t>foo</t>
        </is>
      </c>
      <c r="E137" s="14" t="inlineStr">
        <is>
          <t>SHADOWTOTAL</t>
        </is>
      </c>
      <c r="F137" s="92" t="inlineStr">
        <is>
          <t>SHADOWTOTAL(INDEX(AE$241:AE$244,$D303),AE251,AE$200,AE130,AE160)</t>
        </is>
      </c>
    </row>
    <row r="138">
      <c r="A138" s="14" t="n">
        <v>304</v>
      </c>
      <c r="B138" s="14" t="inlineStr">
        <is>
          <t>shpx</t>
        </is>
      </c>
      <c r="C138" s="14" t="inlineStr">
        <is>
          <t>all</t>
        </is>
      </c>
      <c r="D138" s="14" t="inlineStr">
        <is>
          <t>srv</t>
        </is>
      </c>
      <c r="E138" s="14" t="inlineStr">
        <is>
          <t>SHADOWTOTAL</t>
        </is>
      </c>
      <c r="F138" s="92" t="inlineStr">
        <is>
          <t>SHADOWTOTAL(INDEX(AE$241:AE$244,$D304),AE252,AE$200,AE131,AE161)</t>
        </is>
      </c>
    </row>
    <row r="139">
      <c r="A139" s="14" t="n">
        <v>305</v>
      </c>
      <c r="B139" s="14" t="inlineStr">
        <is>
          <t>shpx</t>
        </is>
      </c>
      <c r="C139" s="14" t="inlineStr">
        <is>
          <t>all</t>
        </is>
      </c>
      <c r="D139" s="14" t="inlineStr">
        <is>
          <t>mch</t>
        </is>
      </c>
      <c r="E139" s="14" t="inlineStr">
        <is>
          <t>SHADOWTOTAL</t>
        </is>
      </c>
      <c r="F139" s="92" t="inlineStr">
        <is>
          <t>SHADOWTOTAL(INDEX(AE$241:AE$244,$D305),AE253,AE$200,AE132,AE162)</t>
        </is>
      </c>
    </row>
    <row r="140">
      <c r="A140" s="14" t="n">
        <v>306</v>
      </c>
      <c r="B140" s="14" t="inlineStr">
        <is>
          <t>shpx</t>
        </is>
      </c>
      <c r="C140" s="14" t="inlineStr">
        <is>
          <t>all</t>
        </is>
      </c>
      <c r="D140" s="14" t="inlineStr">
        <is>
          <t>irn</t>
        </is>
      </c>
      <c r="E140" s="14" t="inlineStr">
        <is>
          <t>SHADOWTOTAL</t>
        </is>
      </c>
      <c r="F140" s="92" t="inlineStr">
        <is>
          <t>SHADOWTOTAL(INDEX(AE$241:AE$244,$D306),AE254,AE$200,AE133,AE163)</t>
        </is>
      </c>
    </row>
    <row r="141">
      <c r="A141" s="14" t="n">
        <v>307</v>
      </c>
      <c r="B141" s="14" t="inlineStr">
        <is>
          <t>shpx</t>
        </is>
      </c>
      <c r="C141" s="14" t="inlineStr">
        <is>
          <t>all</t>
        </is>
      </c>
      <c r="D141" s="14" t="inlineStr">
        <is>
          <t>nfm</t>
        </is>
      </c>
      <c r="E141" s="14" t="inlineStr">
        <is>
          <t>SHADOWTOTAL</t>
        </is>
      </c>
      <c r="F141" s="92" t="inlineStr">
        <is>
          <t>SHADOWTOTAL(INDEX(AE$241:AE$244,$D307),AE255,AE$200,AE134,AE164)</t>
        </is>
      </c>
    </row>
    <row r="142">
      <c r="A142" s="14" t="n">
        <v>308</v>
      </c>
      <c r="B142" s="14" t="inlineStr">
        <is>
          <t>shpx</t>
        </is>
      </c>
      <c r="C142" s="14" t="inlineStr">
        <is>
          <t>all</t>
        </is>
      </c>
      <c r="D142" s="14" t="inlineStr">
        <is>
          <t>mac</t>
        </is>
      </c>
      <c r="E142" s="14" t="inlineStr">
        <is>
          <t>SHADOWTOTAL</t>
        </is>
      </c>
      <c r="F142" s="92" t="inlineStr">
        <is>
          <t>SHADOWTOTAL(INDEX(AE$241:AE$244,$D308),AE256,AE$200,AE135,AE165)</t>
        </is>
      </c>
    </row>
    <row r="143">
      <c r="A143" s="14" t="n">
        <v>309</v>
      </c>
      <c r="B143" s="14" t="inlineStr">
        <is>
          <t>shpx</t>
        </is>
      </c>
      <c r="C143" s="14" t="inlineStr">
        <is>
          <t>all</t>
        </is>
      </c>
      <c r="D143" s="14" t="inlineStr">
        <is>
          <t>cem</t>
        </is>
      </c>
      <c r="E143" s="14" t="inlineStr">
        <is>
          <t>SHADOWTOTAL</t>
        </is>
      </c>
      <c r="F143" s="92" t="inlineStr">
        <is>
          <t>SHADOWTOTAL(INDEX(AE$241:AE$244,$D309),AE257,AE$200,AE136,AE166)</t>
        </is>
      </c>
    </row>
    <row r="144">
      <c r="A144" s="14" t="n">
        <v>310</v>
      </c>
      <c r="B144" s="14" t="inlineStr">
        <is>
          <t>shpx</t>
        </is>
      </c>
      <c r="C144" s="14" t="inlineStr">
        <is>
          <t>all</t>
        </is>
      </c>
      <c r="D144" s="14" t="inlineStr">
        <is>
          <t>omn</t>
        </is>
      </c>
      <c r="E144" s="14" t="inlineStr">
        <is>
          <t>SHADOWTOTAL</t>
        </is>
      </c>
      <c r="F144" s="92" t="inlineStr">
        <is>
          <t>SHADOWTOTAL(INDEX(AE$241:AE$244,$D310),AE258,AE$200,AE137,AE167)</t>
        </is>
      </c>
    </row>
    <row r="145">
      <c r="A145" s="14" t="n">
        <v>311</v>
      </c>
      <c r="B145" s="14" t="inlineStr">
        <is>
          <t>shpx</t>
        </is>
      </c>
      <c r="C145" s="14" t="inlineStr">
        <is>
          <t>all</t>
        </is>
      </c>
      <c r="D145" s="14" t="inlineStr">
        <is>
          <t>cst</t>
        </is>
      </c>
      <c r="E145" s="14" t="inlineStr">
        <is>
          <t>SHADOWTOTAL</t>
        </is>
      </c>
      <c r="F145" s="92" t="inlineStr">
        <is>
          <t>SHADOWTOTAL(INDEX(AE$241:AE$244,$D311),AE259,AE$200,AE138,AE168)</t>
        </is>
      </c>
    </row>
    <row r="146">
      <c r="A146" s="14" t="n">
        <v>312</v>
      </c>
      <c r="B146" s="14" t="inlineStr">
        <is>
          <t>shpx</t>
        </is>
      </c>
      <c r="C146" s="14" t="inlineStr">
        <is>
          <t>all</t>
        </is>
      </c>
      <c r="D146" s="14" t="inlineStr">
        <is>
          <t>ftr</t>
        </is>
      </c>
      <c r="E146" s="14" t="inlineStr">
        <is>
          <t>SHADOWTOTAL</t>
        </is>
      </c>
      <c r="F146" s="92" t="inlineStr">
        <is>
          <t>SHADOWTOTAL(INDEX(AE$241:AE$244,$D312),AE260,AE$200,AE139,AE169)</t>
        </is>
      </c>
    </row>
    <row r="147">
      <c r="A147" s="14" t="n">
        <v>313</v>
      </c>
      <c r="B147" s="14" t="inlineStr">
        <is>
          <t>shpx</t>
        </is>
      </c>
      <c r="C147" s="14" t="inlineStr">
        <is>
          <t>all</t>
        </is>
      </c>
      <c r="D147" s="14" t="inlineStr">
        <is>
          <t>oen</t>
        </is>
      </c>
      <c r="E147" s="14" t="inlineStr">
        <is>
          <t>SHADOWTOTAL</t>
        </is>
      </c>
      <c r="F147" s="92" t="inlineStr">
        <is>
          <t>SHADOWTOTAL(INDEX(AE$241:AE$244,$D313),AE261,AE$200,AE140,AE170)</t>
        </is>
      </c>
    </row>
    <row r="148">
      <c r="A148" s="14" t="n">
        <v>321</v>
      </c>
      <c r="B148" s="14" t="inlineStr">
        <is>
          <t>xct.p</t>
        </is>
      </c>
      <c r="C148" s="14" t="inlineStr"/>
      <c r="D148" s="14" t="inlineStr"/>
      <c r="E148" s="14" t="inlineStr">
        <is>
          <t>ECPPRICE</t>
        </is>
      </c>
      <c r="F148" s="92" t="inlineStr">
        <is>
          <t>ECPPRICE(AE$315,AE$320,AE$316,AE$4)</t>
        </is>
      </c>
    </row>
    <row r="149">
      <c r="A149" s="14" t="n">
        <v>324</v>
      </c>
      <c r="B149" s="14" t="inlineStr">
        <is>
          <t>xets.p</t>
        </is>
      </c>
      <c r="C149" s="14" t="inlineStr"/>
      <c r="D149" s="14" t="inlineStr"/>
      <c r="E149" s="14" t="inlineStr">
        <is>
          <t>ECPPRICE</t>
        </is>
      </c>
      <c r="F149" s="92" t="inlineStr">
        <is>
          <t>ECPPRICE(AE$317,AE$323,AE$318,AE$4)</t>
        </is>
      </c>
    </row>
    <row r="150">
      <c r="A150" s="14" t="n">
        <v>342</v>
      </c>
      <c r="B150" s="14" t="inlineStr">
        <is>
          <t>sp</t>
        </is>
      </c>
      <c r="C150" s="14" t="inlineStr">
        <is>
          <t>coa</t>
        </is>
      </c>
      <c r="D150" s="14" t="inlineStr">
        <is>
          <t>pow</t>
        </is>
      </c>
      <c r="E150" s="14" t="inlineStr">
        <is>
          <t>SUPPLYCOST</t>
        </is>
      </c>
      <c r="F150" s="92" t="inlineStr">
        <is>
          <t>SUPPLYCOST(AE$4,$F342,$D342,AD342,INDEX(AE$337:AE$340,$E342),INDEX(AD$337:AD$340,$E342))</t>
        </is>
      </c>
    </row>
    <row r="151">
      <c r="A151" s="14" t="n">
        <v>343</v>
      </c>
      <c r="B151" s="14" t="inlineStr">
        <is>
          <t>sp</t>
        </is>
      </c>
      <c r="C151" s="14" t="inlineStr">
        <is>
          <t>coa</t>
        </is>
      </c>
      <c r="D151" s="14" t="inlineStr">
        <is>
          <t>res</t>
        </is>
      </c>
      <c r="E151" s="14" t="inlineStr">
        <is>
          <t>SUPPLYCOST</t>
        </is>
      </c>
      <c r="F151" s="92" t="inlineStr">
        <is>
          <t>SUPPLYCOST(AE$4,$F343,$D343,AD343,INDEX(AE$337:AE$340,$E343),INDEX(AD$337:AD$340,$E343))</t>
        </is>
      </c>
    </row>
    <row r="152">
      <c r="A152" s="14" t="n">
        <v>344</v>
      </c>
      <c r="B152" s="14" t="inlineStr">
        <is>
          <t>sp</t>
        </is>
      </c>
      <c r="C152" s="14" t="inlineStr">
        <is>
          <t>coa</t>
        </is>
      </c>
      <c r="D152" s="14" t="inlineStr">
        <is>
          <t>ind</t>
        </is>
      </c>
      <c r="E152" s="14" t="inlineStr">
        <is>
          <t>SUPPLYCOST</t>
        </is>
      </c>
      <c r="F152" s="92" t="inlineStr">
        <is>
          <t>SUPPLYCOST(AE$4,$F344,$D344,AD344,INDEX(AE$337:AE$340,$E344),INDEX(AD$337:AD$340,$E344))</t>
        </is>
      </c>
    </row>
    <row r="153">
      <c r="A153" s="14" t="n">
        <v>345</v>
      </c>
      <c r="B153" s="14" t="inlineStr">
        <is>
          <t>sp</t>
        </is>
      </c>
      <c r="C153" s="14" t="inlineStr">
        <is>
          <t>nga</t>
        </is>
      </c>
      <c r="D153" s="14" t="inlineStr">
        <is>
          <t>pow</t>
        </is>
      </c>
      <c r="E153" s="14" t="inlineStr">
        <is>
          <t>SUPPLYCOST</t>
        </is>
      </c>
      <c r="F153" s="92" t="inlineStr">
        <is>
          <t>SUPPLYCOST(AE$4,$F345,$D345,AD345,INDEX(AE$337:AE$340,$E345),INDEX(AD$337:AD$340,$E345))</t>
        </is>
      </c>
    </row>
    <row r="154">
      <c r="A154" s="14" t="n">
        <v>346</v>
      </c>
      <c r="B154" s="14" t="inlineStr">
        <is>
          <t>sp</t>
        </is>
      </c>
      <c r="C154" s="14" t="inlineStr">
        <is>
          <t>nga</t>
        </is>
      </c>
      <c r="D154" s="14" t="inlineStr">
        <is>
          <t>res</t>
        </is>
      </c>
      <c r="E154" s="14" t="inlineStr">
        <is>
          <t>SUPPLYCOST</t>
        </is>
      </c>
      <c r="F154" s="92" t="inlineStr">
        <is>
          <t>SUPPLYCOST(AE$4,$F346,$D346,AD346,INDEX(AE$337:AE$340,$E346),INDEX(AD$337:AD$340,$E346))</t>
        </is>
      </c>
    </row>
    <row r="155">
      <c r="A155" s="14" t="n">
        <v>347</v>
      </c>
      <c r="B155" s="14" t="inlineStr">
        <is>
          <t>sp</t>
        </is>
      </c>
      <c r="C155" s="14" t="inlineStr">
        <is>
          <t>nga</t>
        </is>
      </c>
      <c r="D155" s="14" t="inlineStr">
        <is>
          <t>ind</t>
        </is>
      </c>
      <c r="E155" s="14" t="inlineStr">
        <is>
          <t>SUPPLYCOST</t>
        </is>
      </c>
      <c r="F155" s="92" t="inlineStr">
        <is>
          <t>SUPPLYCOST(AE$4,$F347,$D347,AD347,INDEX(AE$337:AE$340,$E347),INDEX(AD$337:AD$340,$E347))</t>
        </is>
      </c>
    </row>
    <row r="156">
      <c r="A156" s="14" t="n">
        <v>348</v>
      </c>
      <c r="B156" s="14" t="inlineStr">
        <is>
          <t>sp</t>
        </is>
      </c>
      <c r="C156" s="14" t="inlineStr">
        <is>
          <t>gso</t>
        </is>
      </c>
      <c r="D156" s="14" t="inlineStr">
        <is>
          <t>all</t>
        </is>
      </c>
      <c r="E156" s="14" t="inlineStr">
        <is>
          <t>SUPPLYCOST</t>
        </is>
      </c>
      <c r="F156" s="92" t="inlineStr">
        <is>
          <t>SUPPLYCOST(AE$4,$F348,$D348,AD348,INDEX(AE$337:AE$340,$E348),INDEX(AD$337:AD$340,$E348))</t>
        </is>
      </c>
    </row>
    <row r="157">
      <c r="A157" s="14" t="n">
        <v>349</v>
      </c>
      <c r="B157" s="14" t="inlineStr">
        <is>
          <t>sp</t>
        </is>
      </c>
      <c r="C157" s="14" t="inlineStr">
        <is>
          <t>die</t>
        </is>
      </c>
      <c r="D157" s="14" t="inlineStr">
        <is>
          <t>all</t>
        </is>
      </c>
      <c r="E157" s="14" t="inlineStr">
        <is>
          <t>SUPPLYCOST</t>
        </is>
      </c>
      <c r="F157" s="92" t="inlineStr">
        <is>
          <t>SUPPLYCOST(AE$4,$F349,$D349,AD349,INDEX(AE$337:AE$340,$E349),INDEX(AD$337:AD$340,$E349))</t>
        </is>
      </c>
    </row>
    <row r="158">
      <c r="A158" s="14" t="n">
        <v>350</v>
      </c>
      <c r="B158" s="14" t="inlineStr">
        <is>
          <t>sp</t>
        </is>
      </c>
      <c r="C158" s="14" t="inlineStr">
        <is>
          <t>lpg</t>
        </is>
      </c>
      <c r="D158" s="14" t="inlineStr">
        <is>
          <t>all</t>
        </is>
      </c>
      <c r="E158" s="14" t="inlineStr">
        <is>
          <t>SUPPLYCOST</t>
        </is>
      </c>
      <c r="F158" s="92" t="inlineStr">
        <is>
          <t>SUPPLYCOST(AE$4,$F350,$D350,AD350,INDEX(AE$337:AE$340,$E350),INDEX(AD$337:AD$340,$E350))</t>
        </is>
      </c>
    </row>
    <row r="159">
      <c r="A159" s="14" t="n">
        <v>351</v>
      </c>
      <c r="B159" s="14" t="inlineStr">
        <is>
          <t>sp</t>
        </is>
      </c>
      <c r="C159" s="14" t="inlineStr">
        <is>
          <t>ker</t>
        </is>
      </c>
      <c r="D159" s="14" t="inlineStr">
        <is>
          <t>all</t>
        </is>
      </c>
      <c r="E159" s="14" t="inlineStr">
        <is>
          <t>SUPPLYCOST</t>
        </is>
      </c>
      <c r="F159" s="92" t="inlineStr">
        <is>
          <t>SUPPLYCOST(AE$4,$F351,$D351,AD351,INDEX(AE$337:AE$340,$E351),INDEX(AD$337:AD$340,$E351))</t>
        </is>
      </c>
    </row>
    <row r="160">
      <c r="A160" s="14" t="n">
        <v>352</v>
      </c>
      <c r="B160" s="14" t="inlineStr">
        <is>
          <t>sp</t>
        </is>
      </c>
      <c r="C160" s="14" t="inlineStr">
        <is>
          <t>oop</t>
        </is>
      </c>
      <c r="D160" s="14" t="inlineStr">
        <is>
          <t>all</t>
        </is>
      </c>
      <c r="E160" s="14" t="inlineStr">
        <is>
          <t>SUPPLYCOST</t>
        </is>
      </c>
      <c r="F160" s="92" t="inlineStr">
        <is>
          <t>SUPPLYCOST(AE$4,$F352,$D352,AD352,INDEX(AE$337:AE$340,$E352),INDEX(AD$337:AD$340,$E352))</t>
        </is>
      </c>
    </row>
    <row r="161">
      <c r="A161" s="14" t="n">
        <v>353</v>
      </c>
      <c r="B161" s="14" t="inlineStr">
        <is>
          <t>sp</t>
        </is>
      </c>
      <c r="C161" s="14" t="inlineStr">
        <is>
          <t>bio</t>
        </is>
      </c>
      <c r="D161" s="14" t="inlineStr">
        <is>
          <t>all</t>
        </is>
      </c>
      <c r="E161" s="14" t="inlineStr">
        <is>
          <t>SUPPLYCOST</t>
        </is>
      </c>
      <c r="F161" s="92" t="inlineStr">
        <is>
          <t>SUPPLYCOST(AE$4,$F353,$D353,AD353,INDEX(AE$337:AE$340,$E353),INDEX(AD$337:AD$340,$E353))</t>
        </is>
      </c>
    </row>
    <row r="162">
      <c r="A162" s="14" t="n">
        <v>355</v>
      </c>
      <c r="B162" s="14" t="inlineStr">
        <is>
          <t>txf</t>
        </is>
      </c>
      <c r="C162" s="14" t="inlineStr">
        <is>
          <t>coa</t>
        </is>
      </c>
      <c r="D162" s="14" t="inlineStr">
        <is>
          <t>pow</t>
        </is>
      </c>
      <c r="E162" s="14" t="inlineStr">
        <is>
          <t>FLOATTAX</t>
        </is>
      </c>
      <c r="F162" s="92" t="inlineStr">
        <is>
          <t>FLOATTAX($D355,$E355,AE342,$F355)</t>
        </is>
      </c>
    </row>
    <row r="163">
      <c r="A163" s="14" t="n">
        <v>356</v>
      </c>
      <c r="B163" s="14" t="inlineStr">
        <is>
          <t>txf</t>
        </is>
      </c>
      <c r="C163" s="14" t="inlineStr">
        <is>
          <t>coa</t>
        </is>
      </c>
      <c r="D163" s="14" t="inlineStr">
        <is>
          <t>res</t>
        </is>
      </c>
      <c r="E163" s="14" t="inlineStr">
        <is>
          <t>FLOATTAX</t>
        </is>
      </c>
      <c r="F163" s="92" t="inlineStr">
        <is>
          <t>FLOATTAX($D356,$E356,AE343,$F356)</t>
        </is>
      </c>
    </row>
    <row r="164">
      <c r="A164" s="14" t="n">
        <v>357</v>
      </c>
      <c r="B164" s="14" t="inlineStr">
        <is>
          <t>txf</t>
        </is>
      </c>
      <c r="C164" s="14" t="inlineStr">
        <is>
          <t>coa</t>
        </is>
      </c>
      <c r="D164" s="14" t="inlineStr">
        <is>
          <t>ind</t>
        </is>
      </c>
      <c r="E164" s="14" t="inlineStr">
        <is>
          <t>FLOATTAX</t>
        </is>
      </c>
      <c r="F164" s="92" t="inlineStr">
        <is>
          <t>FLOATTAX($D357,$E357,AE344,$F357)</t>
        </is>
      </c>
    </row>
    <row r="165">
      <c r="A165" s="14" t="n">
        <v>358</v>
      </c>
      <c r="B165" s="14" t="inlineStr">
        <is>
          <t>txf</t>
        </is>
      </c>
      <c r="C165" s="14" t="inlineStr">
        <is>
          <t>nga</t>
        </is>
      </c>
      <c r="D165" s="14" t="inlineStr">
        <is>
          <t>pow</t>
        </is>
      </c>
      <c r="E165" s="14" t="inlineStr">
        <is>
          <t>FLOATTAX</t>
        </is>
      </c>
      <c r="F165" s="92" t="inlineStr">
        <is>
          <t>FLOATTAX($D358,$E358,AE345,$F358)</t>
        </is>
      </c>
    </row>
    <row r="166">
      <c r="A166" s="14" t="n">
        <v>359</v>
      </c>
      <c r="B166" s="14" t="inlineStr">
        <is>
          <t>txf</t>
        </is>
      </c>
      <c r="C166" s="14" t="inlineStr">
        <is>
          <t>nga</t>
        </is>
      </c>
      <c r="D166" s="14" t="inlineStr">
        <is>
          <t>res</t>
        </is>
      </c>
      <c r="E166" s="14" t="inlineStr">
        <is>
          <t>FLOATTAX</t>
        </is>
      </c>
      <c r="F166" s="92" t="inlineStr">
        <is>
          <t>FLOATTAX($D359,$E359,AE346,$F359)</t>
        </is>
      </c>
    </row>
    <row r="167">
      <c r="A167" s="14" t="n">
        <v>360</v>
      </c>
      <c r="B167" s="14" t="inlineStr">
        <is>
          <t>txf</t>
        </is>
      </c>
      <c r="C167" s="14" t="inlineStr">
        <is>
          <t>nga</t>
        </is>
      </c>
      <c r="D167" s="14" t="inlineStr">
        <is>
          <t>ind</t>
        </is>
      </c>
      <c r="E167" s="14" t="inlineStr">
        <is>
          <t>FLOATTAX</t>
        </is>
      </c>
      <c r="F167" s="92" t="inlineStr">
        <is>
          <t>FLOATTAX($D360,$E360,AE347,$F360)</t>
        </is>
      </c>
    </row>
    <row r="168">
      <c r="A168" s="14" t="n">
        <v>361</v>
      </c>
      <c r="B168" s="14" t="inlineStr">
        <is>
          <t>txf</t>
        </is>
      </c>
      <c r="C168" s="14" t="inlineStr">
        <is>
          <t>gso</t>
        </is>
      </c>
      <c r="D168" s="14" t="inlineStr">
        <is>
          <t>all</t>
        </is>
      </c>
      <c r="E168" s="14" t="inlineStr">
        <is>
          <t>FLOATTAX</t>
        </is>
      </c>
      <c r="F168" s="92" t="inlineStr">
        <is>
          <t>FLOATTAX($D361,$E361,AE348,$F361)</t>
        </is>
      </c>
    </row>
    <row r="169">
      <c r="A169" s="14" t="n">
        <v>362</v>
      </c>
      <c r="B169" s="14" t="inlineStr">
        <is>
          <t>txf</t>
        </is>
      </c>
      <c r="C169" s="14" t="inlineStr">
        <is>
          <t>die</t>
        </is>
      </c>
      <c r="D169" s="14" t="inlineStr">
        <is>
          <t>all</t>
        </is>
      </c>
      <c r="E169" s="14" t="inlineStr">
        <is>
          <t>FLOATTAX</t>
        </is>
      </c>
      <c r="F169" s="92" t="inlineStr">
        <is>
          <t>FLOATTAX($D362,$E362,AE349,$F362)</t>
        </is>
      </c>
    </row>
    <row r="170">
      <c r="A170" s="14" t="n">
        <v>363</v>
      </c>
      <c r="B170" s="14" t="inlineStr">
        <is>
          <t>txf</t>
        </is>
      </c>
      <c r="C170" s="14" t="inlineStr">
        <is>
          <t>lpg</t>
        </is>
      </c>
      <c r="D170" s="14" t="inlineStr">
        <is>
          <t>all</t>
        </is>
      </c>
      <c r="E170" s="14" t="inlineStr">
        <is>
          <t>FLOATTAX</t>
        </is>
      </c>
      <c r="F170" s="92" t="inlineStr">
        <is>
          <t>FLOATTAX($D363,$E363,AE350,$F363)</t>
        </is>
      </c>
    </row>
    <row r="171">
      <c r="A171" s="14" t="n">
        <v>364</v>
      </c>
      <c r="B171" s="14" t="inlineStr">
        <is>
          <t>txf</t>
        </is>
      </c>
      <c r="C171" s="14" t="inlineStr">
        <is>
          <t>ker</t>
        </is>
      </c>
      <c r="D171" s="14" t="inlineStr">
        <is>
          <t>all</t>
        </is>
      </c>
      <c r="E171" s="14" t="inlineStr">
        <is>
          <t>FLOATTAX</t>
        </is>
      </c>
      <c r="F171" s="92" t="inlineStr">
        <is>
          <t>FLOATTAX($D364,$E364,AE351,$F364)</t>
        </is>
      </c>
    </row>
    <row r="172">
      <c r="A172" s="14" t="n">
        <v>365</v>
      </c>
      <c r="B172" s="14" t="inlineStr">
        <is>
          <t>txf</t>
        </is>
      </c>
      <c r="C172" s="14" t="inlineStr">
        <is>
          <t>oop</t>
        </is>
      </c>
      <c r="D172" s="14" t="inlineStr">
        <is>
          <t>all</t>
        </is>
      </c>
      <c r="E172" s="14" t="inlineStr">
        <is>
          <t>FLOATTAX</t>
        </is>
      </c>
      <c r="F172" s="92" t="inlineStr">
        <is>
          <t>FLOATTAX($D365,$E365,AE352,$F365)</t>
        </is>
      </c>
    </row>
    <row r="173">
      <c r="A173" s="14" t="n">
        <v>366</v>
      </c>
      <c r="B173" s="14" t="inlineStr">
        <is>
          <t>txf</t>
        </is>
      </c>
      <c r="C173" s="14" t="inlineStr">
        <is>
          <t>bio</t>
        </is>
      </c>
      <c r="D173" s="14" t="inlineStr">
        <is>
          <t>all</t>
        </is>
      </c>
      <c r="E173" s="14" t="inlineStr">
        <is>
          <t>FLOATTAX</t>
        </is>
      </c>
      <c r="F173" s="92" t="inlineStr">
        <is>
          <t>FLOATTAX($D366,$E366,AE353,$F366)</t>
        </is>
      </c>
    </row>
    <row r="174">
      <c r="A174" s="14" t="n">
        <v>368</v>
      </c>
      <c r="B174" s="14" t="inlineStr">
        <is>
          <t>txo</t>
        </is>
      </c>
      <c r="C174" s="14" t="inlineStr">
        <is>
          <t>coa</t>
        </is>
      </c>
      <c r="D174" s="14" t="inlineStr">
        <is>
          <t>pow</t>
        </is>
      </c>
      <c r="E174" s="14" t="inlineStr">
        <is>
          <t>OTHERTAX</t>
        </is>
      </c>
      <c r="F174" s="92" t="inlineStr">
        <is>
          <t>OTHERTAX(AE$4,$G368,$D368,$E368,AE342,$F368)</t>
        </is>
      </c>
    </row>
    <row r="175">
      <c r="A175" s="14" t="n">
        <v>369</v>
      </c>
      <c r="B175" s="14" t="inlineStr">
        <is>
          <t>txo</t>
        </is>
      </c>
      <c r="C175" s="14" t="inlineStr">
        <is>
          <t>coa</t>
        </is>
      </c>
      <c r="D175" s="14" t="inlineStr">
        <is>
          <t>res</t>
        </is>
      </c>
      <c r="E175" s="14" t="inlineStr">
        <is>
          <t>OTHERTAX</t>
        </is>
      </c>
      <c r="F175" s="92" t="inlineStr">
        <is>
          <t>OTHERTAX(AE$4,$G369,$D369,$E369,AE343,$F369)</t>
        </is>
      </c>
    </row>
    <row r="176">
      <c r="A176" s="14" t="n">
        <v>370</v>
      </c>
      <c r="B176" s="14" t="inlineStr">
        <is>
          <t>txo</t>
        </is>
      </c>
      <c r="C176" s="14" t="inlineStr">
        <is>
          <t>coa</t>
        </is>
      </c>
      <c r="D176" s="14" t="inlineStr">
        <is>
          <t>ind</t>
        </is>
      </c>
      <c r="E176" s="14" t="inlineStr">
        <is>
          <t>OTHERTAX</t>
        </is>
      </c>
      <c r="F176" s="92" t="inlineStr">
        <is>
          <t>OTHERTAX(AE$4,$G370,$D370,$E370,AE344,$F370)</t>
        </is>
      </c>
    </row>
    <row r="177">
      <c r="A177" s="14" t="n">
        <v>371</v>
      </c>
      <c r="B177" s="14" t="inlineStr">
        <is>
          <t>txo</t>
        </is>
      </c>
      <c r="C177" s="14" t="inlineStr">
        <is>
          <t>nga</t>
        </is>
      </c>
      <c r="D177" s="14" t="inlineStr">
        <is>
          <t>pow</t>
        </is>
      </c>
      <c r="E177" s="14" t="inlineStr">
        <is>
          <t>OTHERTAX</t>
        </is>
      </c>
      <c r="F177" s="92" t="inlineStr">
        <is>
          <t>OTHERTAX(AE$4,$G371,$D371,$E371,AE345,$F371)</t>
        </is>
      </c>
    </row>
    <row r="178">
      <c r="A178" s="14" t="n">
        <v>372</v>
      </c>
      <c r="B178" s="14" t="inlineStr">
        <is>
          <t>txo</t>
        </is>
      </c>
      <c r="C178" s="14" t="inlineStr">
        <is>
          <t>nga</t>
        </is>
      </c>
      <c r="D178" s="14" t="inlineStr">
        <is>
          <t>res</t>
        </is>
      </c>
      <c r="E178" s="14" t="inlineStr">
        <is>
          <t>OTHERTAX</t>
        </is>
      </c>
      <c r="F178" s="92" t="inlineStr">
        <is>
          <t>OTHERTAX(AE$4,$G372,$D372,$E372,AE346,$F372)</t>
        </is>
      </c>
    </row>
    <row r="179">
      <c r="A179" s="14" t="n">
        <v>373</v>
      </c>
      <c r="B179" s="14" t="inlineStr">
        <is>
          <t>txo</t>
        </is>
      </c>
      <c r="C179" s="14" t="inlineStr">
        <is>
          <t>nga</t>
        </is>
      </c>
      <c r="D179" s="14" t="inlineStr">
        <is>
          <t>ind</t>
        </is>
      </c>
      <c r="E179" s="14" t="inlineStr">
        <is>
          <t>OTHERTAX</t>
        </is>
      </c>
      <c r="F179" s="92" t="inlineStr">
        <is>
          <t>OTHERTAX(AE$4,$G373,$D373,$E373,AE347,$F373)</t>
        </is>
      </c>
    </row>
    <row r="180">
      <c r="A180" s="14" t="n">
        <v>374</v>
      </c>
      <c r="B180" s="14" t="inlineStr">
        <is>
          <t>txo</t>
        </is>
      </c>
      <c r="C180" s="14" t="inlineStr">
        <is>
          <t>gso</t>
        </is>
      </c>
      <c r="D180" s="14" t="inlineStr">
        <is>
          <t>all</t>
        </is>
      </c>
      <c r="E180" s="14" t="inlineStr">
        <is>
          <t>OTHERTAX</t>
        </is>
      </c>
      <c r="F180" s="92" t="inlineStr">
        <is>
          <t>OTHERTAX(AE$4,$G374,$D374,$E374,AE348,$F374)</t>
        </is>
      </c>
    </row>
    <row r="181">
      <c r="A181" s="14" t="n">
        <v>375</v>
      </c>
      <c r="B181" s="14" t="inlineStr">
        <is>
          <t>txo</t>
        </is>
      </c>
      <c r="C181" s="14" t="inlineStr">
        <is>
          <t>die</t>
        </is>
      </c>
      <c r="D181" s="14" t="inlineStr">
        <is>
          <t>all</t>
        </is>
      </c>
      <c r="E181" s="14" t="inlineStr">
        <is>
          <t>OTHERTAX</t>
        </is>
      </c>
      <c r="F181" s="92" t="inlineStr">
        <is>
          <t>OTHERTAX(AE$4,$G375,$D375,$E375,AE349,$F375)</t>
        </is>
      </c>
    </row>
    <row r="182">
      <c r="A182" s="14" t="n">
        <v>376</v>
      </c>
      <c r="B182" s="14" t="inlineStr">
        <is>
          <t>txo</t>
        </is>
      </c>
      <c r="C182" s="14" t="inlineStr">
        <is>
          <t>lpg</t>
        </is>
      </c>
      <c r="D182" s="14" t="inlineStr">
        <is>
          <t>all</t>
        </is>
      </c>
      <c r="E182" s="14" t="inlineStr">
        <is>
          <t>OTHERTAX</t>
        </is>
      </c>
      <c r="F182" s="92" t="inlineStr">
        <is>
          <t>OTHERTAX(AE$4,$G376,$D376,$E376,AE350,$F376)</t>
        </is>
      </c>
    </row>
    <row r="183">
      <c r="A183" s="14" t="n">
        <v>377</v>
      </c>
      <c r="B183" s="14" t="inlineStr">
        <is>
          <t>txo</t>
        </is>
      </c>
      <c r="C183" s="14" t="inlineStr">
        <is>
          <t>ker</t>
        </is>
      </c>
      <c r="D183" s="14" t="inlineStr">
        <is>
          <t>all</t>
        </is>
      </c>
      <c r="E183" s="14" t="inlineStr">
        <is>
          <t>OTHERTAX</t>
        </is>
      </c>
      <c r="F183" s="92" t="inlineStr">
        <is>
          <t>OTHERTAX(AE$4,$G377,$D377,$E377,AE351,$F377)</t>
        </is>
      </c>
    </row>
    <row r="184">
      <c r="A184" s="14" t="n">
        <v>378</v>
      </c>
      <c r="B184" s="14" t="inlineStr">
        <is>
          <t>txo</t>
        </is>
      </c>
      <c r="C184" s="14" t="inlineStr">
        <is>
          <t>oop</t>
        </is>
      </c>
      <c r="D184" s="14" t="inlineStr">
        <is>
          <t>all</t>
        </is>
      </c>
      <c r="E184" s="14" t="inlineStr">
        <is>
          <t>OTHERTAX</t>
        </is>
      </c>
      <c r="F184" s="92" t="inlineStr">
        <is>
          <t>OTHERTAX(AE$4,$G378,$D378,$E378,AE352,$F378)</t>
        </is>
      </c>
    </row>
    <row r="185">
      <c r="A185" s="14" t="n">
        <v>379</v>
      </c>
      <c r="B185" s="14" t="inlineStr">
        <is>
          <t>txo</t>
        </is>
      </c>
      <c r="C185" s="14" t="inlineStr">
        <is>
          <t>bio</t>
        </is>
      </c>
      <c r="D185" s="14" t="inlineStr">
        <is>
          <t>all</t>
        </is>
      </c>
      <c r="E185" s="14" t="inlineStr">
        <is>
          <t>OTHERTAX</t>
        </is>
      </c>
      <c r="F185" s="92" t="inlineStr">
        <is>
          <t>OTHERTAX(AE$4,$G379,$D379,$E379,AE353,$F379)</t>
        </is>
      </c>
    </row>
    <row r="186">
      <c r="A186" s="14" t="n">
        <v>381</v>
      </c>
      <c r="B186" s="14" t="inlineStr">
        <is>
          <t>rpb</t>
        </is>
      </c>
      <c r="C186" s="14" t="inlineStr">
        <is>
          <t>coa</t>
        </is>
      </c>
      <c r="D186" s="14" t="inlineStr">
        <is>
          <t>pow</t>
        </is>
      </c>
      <c r="E186" s="14" t="inlineStr">
        <is>
          <t>RETAILPRICE</t>
        </is>
      </c>
      <c r="F186" s="92" t="inlineStr">
        <is>
          <t>RETAILPRICE(AE342,AE368,$D381)</t>
        </is>
      </c>
    </row>
    <row r="187">
      <c r="A187" s="14" t="n">
        <v>382</v>
      </c>
      <c r="B187" s="14" t="inlineStr">
        <is>
          <t>rpb</t>
        </is>
      </c>
      <c r="C187" s="14" t="inlineStr">
        <is>
          <t>coa</t>
        </is>
      </c>
      <c r="D187" s="14" t="inlineStr">
        <is>
          <t>res</t>
        </is>
      </c>
      <c r="E187" s="14" t="inlineStr">
        <is>
          <t>RETAILPRICE</t>
        </is>
      </c>
      <c r="F187" s="92" t="inlineStr">
        <is>
          <t>RETAILPRICE(AE343,AE369,$D382)</t>
        </is>
      </c>
    </row>
    <row r="188">
      <c r="A188" s="14" t="n">
        <v>383</v>
      </c>
      <c r="B188" s="14" t="inlineStr">
        <is>
          <t>rpb</t>
        </is>
      </c>
      <c r="C188" s="14" t="inlineStr">
        <is>
          <t>coa</t>
        </is>
      </c>
      <c r="D188" s="14" t="inlineStr">
        <is>
          <t>ind</t>
        </is>
      </c>
      <c r="E188" s="14" t="inlineStr">
        <is>
          <t>RETAILPRICE</t>
        </is>
      </c>
      <c r="F188" s="92" t="inlineStr">
        <is>
          <t>RETAILPRICE(AE344,AE370,$D383)</t>
        </is>
      </c>
    </row>
    <row r="189">
      <c r="A189" s="14" t="n">
        <v>384</v>
      </c>
      <c r="B189" s="14" t="inlineStr">
        <is>
          <t>rpb</t>
        </is>
      </c>
      <c r="C189" s="14" t="inlineStr">
        <is>
          <t>nga</t>
        </is>
      </c>
      <c r="D189" s="14" t="inlineStr">
        <is>
          <t>pow</t>
        </is>
      </c>
      <c r="E189" s="14" t="inlineStr">
        <is>
          <t>RETAILPRICE</t>
        </is>
      </c>
      <c r="F189" s="92" t="inlineStr">
        <is>
          <t>RETAILPRICE(AE345,AE371,$D384)</t>
        </is>
      </c>
    </row>
    <row r="190">
      <c r="A190" s="14" t="n">
        <v>385</v>
      </c>
      <c r="B190" s="14" t="inlineStr">
        <is>
          <t>rpb</t>
        </is>
      </c>
      <c r="C190" s="14" t="inlineStr">
        <is>
          <t>nga</t>
        </is>
      </c>
      <c r="D190" s="14" t="inlineStr">
        <is>
          <t>res</t>
        </is>
      </c>
      <c r="E190" s="14" t="inlineStr">
        <is>
          <t>RETAILPRICE</t>
        </is>
      </c>
      <c r="F190" s="92" t="inlineStr">
        <is>
          <t>RETAILPRICE(AE346,AE372,$D385)</t>
        </is>
      </c>
    </row>
    <row r="191">
      <c r="A191" s="14" t="n">
        <v>386</v>
      </c>
      <c r="B191" s="14" t="inlineStr">
        <is>
          <t>rpb</t>
        </is>
      </c>
      <c r="C191" s="14" t="inlineStr">
        <is>
          <t>nga</t>
        </is>
      </c>
      <c r="D191" s="14" t="inlineStr">
        <is>
          <t>ind</t>
        </is>
      </c>
      <c r="E191" s="14" t="inlineStr">
        <is>
          <t>RETAILPRICE</t>
        </is>
      </c>
      <c r="F191" s="92" t="inlineStr">
        <is>
          <t>RETAILPRICE(AE347,AE373,$D386)</t>
        </is>
      </c>
    </row>
    <row r="192">
      <c r="A192" s="14" t="n">
        <v>387</v>
      </c>
      <c r="B192" s="14" t="inlineStr">
        <is>
          <t>rpb</t>
        </is>
      </c>
      <c r="C192" s="14" t="inlineStr">
        <is>
          <t>gso</t>
        </is>
      </c>
      <c r="D192" s="14" t="inlineStr">
        <is>
          <t>all</t>
        </is>
      </c>
      <c r="E192" s="14" t="inlineStr">
        <is>
          <t>RETAILPRICE</t>
        </is>
      </c>
      <c r="F192" s="92" t="inlineStr">
        <is>
          <t>RETAILPRICE(AE348,AE374,$D387)</t>
        </is>
      </c>
    </row>
    <row r="193">
      <c r="A193" s="14" t="n">
        <v>388</v>
      </c>
      <c r="B193" s="14" t="inlineStr">
        <is>
          <t>rpb</t>
        </is>
      </c>
      <c r="C193" s="14" t="inlineStr">
        <is>
          <t>die</t>
        </is>
      </c>
      <c r="D193" s="14" t="inlineStr">
        <is>
          <t>all</t>
        </is>
      </c>
      <c r="E193" s="14" t="inlineStr">
        <is>
          <t>RETAILPRICE</t>
        </is>
      </c>
      <c r="F193" s="92" t="inlineStr">
        <is>
          <t>RETAILPRICE(AE349,AE375,$D388)</t>
        </is>
      </c>
    </row>
    <row r="194">
      <c r="A194" s="14" t="n">
        <v>389</v>
      </c>
      <c r="B194" s="14" t="inlineStr">
        <is>
          <t>rpb</t>
        </is>
      </c>
      <c r="C194" s="14" t="inlineStr">
        <is>
          <t>lpg</t>
        </is>
      </c>
      <c r="D194" s="14" t="inlineStr">
        <is>
          <t>all</t>
        </is>
      </c>
      <c r="E194" s="14" t="inlineStr">
        <is>
          <t>RETAILPRICE</t>
        </is>
      </c>
      <c r="F194" s="92" t="inlineStr">
        <is>
          <t>RETAILPRICE(AE350,AE376,$D389)</t>
        </is>
      </c>
    </row>
    <row r="195">
      <c r="A195" s="14" t="n">
        <v>390</v>
      </c>
      <c r="B195" s="14" t="inlineStr">
        <is>
          <t>rpb</t>
        </is>
      </c>
      <c r="C195" s="14" t="inlineStr">
        <is>
          <t>ker</t>
        </is>
      </c>
      <c r="D195" s="14" t="inlineStr">
        <is>
          <t>all</t>
        </is>
      </c>
      <c r="E195" s="14" t="inlineStr">
        <is>
          <t>RETAILPRICE</t>
        </is>
      </c>
      <c r="F195" s="92" t="inlineStr">
        <is>
          <t>RETAILPRICE(AE351,AE377,$D390)</t>
        </is>
      </c>
    </row>
    <row r="196">
      <c r="A196" s="14" t="n">
        <v>391</v>
      </c>
      <c r="B196" s="14" t="inlineStr">
        <is>
          <t>rpb</t>
        </is>
      </c>
      <c r="C196" s="14" t="inlineStr">
        <is>
          <t>oop</t>
        </is>
      </c>
      <c r="D196" s="14" t="inlineStr">
        <is>
          <t>all</t>
        </is>
      </c>
      <c r="E196" s="14" t="inlineStr">
        <is>
          <t>RETAILPRICE</t>
        </is>
      </c>
      <c r="F196" s="92" t="inlineStr">
        <is>
          <t>RETAILPRICE(AE352,AE378,$D391)</t>
        </is>
      </c>
    </row>
    <row r="197">
      <c r="A197" s="14" t="n">
        <v>392</v>
      </c>
      <c r="B197" s="14" t="inlineStr">
        <is>
          <t>rpb</t>
        </is>
      </c>
      <c r="C197" s="14" t="inlineStr">
        <is>
          <t>bio</t>
        </is>
      </c>
      <c r="D197" s="14" t="inlineStr">
        <is>
          <t>all</t>
        </is>
      </c>
      <c r="E197" s="14" t="inlineStr">
        <is>
          <t>RETAILPRICE</t>
        </is>
      </c>
      <c r="F197" s="92" t="inlineStr">
        <is>
          <t>RETAILPRICE(AE353,AE379,$D392)</t>
        </is>
      </c>
    </row>
    <row r="198">
      <c r="A198" s="14" t="n">
        <v>394</v>
      </c>
      <c r="B198" s="14" t="inlineStr">
        <is>
          <t>vat</t>
        </is>
      </c>
      <c r="C198" s="14" t="inlineStr">
        <is>
          <t>coa</t>
        </is>
      </c>
      <c r="D198" s="14" t="inlineStr">
        <is>
          <t>pow</t>
        </is>
      </c>
      <c r="E198" s="14" t="inlineStr">
        <is>
          <t>VATPAY</t>
        </is>
      </c>
      <c r="F198" s="92" t="inlineStr">
        <is>
          <t>VATPAY(AE342,AE368,$D394)</t>
        </is>
      </c>
    </row>
    <row r="199">
      <c r="A199" s="14" t="n">
        <v>395</v>
      </c>
      <c r="B199" s="14" t="inlineStr">
        <is>
          <t>vat</t>
        </is>
      </c>
      <c r="C199" s="14" t="inlineStr">
        <is>
          <t>coa</t>
        </is>
      </c>
      <c r="D199" s="14" t="inlineStr">
        <is>
          <t>res</t>
        </is>
      </c>
      <c r="E199" s="14" t="inlineStr">
        <is>
          <t>VATPAY</t>
        </is>
      </c>
      <c r="F199" s="92" t="inlineStr">
        <is>
          <t>VATPAY(AE343,AE369,$D395)</t>
        </is>
      </c>
    </row>
    <row r="200">
      <c r="A200" s="14" t="n">
        <v>396</v>
      </c>
      <c r="B200" s="14" t="inlineStr">
        <is>
          <t>vat</t>
        </is>
      </c>
      <c r="C200" s="14" t="inlineStr">
        <is>
          <t>coa</t>
        </is>
      </c>
      <c r="D200" s="14" t="inlineStr">
        <is>
          <t>ind</t>
        </is>
      </c>
      <c r="E200" s="14" t="inlineStr">
        <is>
          <t>VATPAY</t>
        </is>
      </c>
      <c r="F200" s="92" t="inlineStr">
        <is>
          <t>VATPAY(AE344,AE370,$D396)</t>
        </is>
      </c>
    </row>
    <row r="201">
      <c r="A201" s="14" t="n">
        <v>397</v>
      </c>
      <c r="B201" s="14" t="inlineStr">
        <is>
          <t>vat</t>
        </is>
      </c>
      <c r="C201" s="14" t="inlineStr">
        <is>
          <t>nga</t>
        </is>
      </c>
      <c r="D201" s="14" t="inlineStr">
        <is>
          <t>pow</t>
        </is>
      </c>
      <c r="E201" s="14" t="inlineStr">
        <is>
          <t>VATPAY</t>
        </is>
      </c>
      <c r="F201" s="92" t="inlineStr">
        <is>
          <t>VATPAY(AE345,AE371,$D397)</t>
        </is>
      </c>
    </row>
    <row r="202">
      <c r="A202" s="14" t="n">
        <v>398</v>
      </c>
      <c r="B202" s="14" t="inlineStr">
        <is>
          <t>vat</t>
        </is>
      </c>
      <c r="C202" s="14" t="inlineStr">
        <is>
          <t>nga</t>
        </is>
      </c>
      <c r="D202" s="14" t="inlineStr">
        <is>
          <t>res</t>
        </is>
      </c>
      <c r="E202" s="14" t="inlineStr">
        <is>
          <t>VATPAY</t>
        </is>
      </c>
      <c r="F202" s="92" t="inlineStr">
        <is>
          <t>VATPAY(AE346,AE372,$D398)</t>
        </is>
      </c>
    </row>
    <row r="203">
      <c r="A203" s="14" t="n">
        <v>399</v>
      </c>
      <c r="B203" s="14" t="inlineStr">
        <is>
          <t>vat</t>
        </is>
      </c>
      <c r="C203" s="14" t="inlineStr">
        <is>
          <t>nga</t>
        </is>
      </c>
      <c r="D203" s="14" t="inlineStr">
        <is>
          <t>ind</t>
        </is>
      </c>
      <c r="E203" s="14" t="inlineStr">
        <is>
          <t>VATPAY</t>
        </is>
      </c>
      <c r="F203" s="92" t="inlineStr">
        <is>
          <t>VATPAY(AE347,AE373,$D399)</t>
        </is>
      </c>
    </row>
    <row r="204">
      <c r="A204" s="14" t="n">
        <v>400</v>
      </c>
      <c r="B204" s="14" t="inlineStr">
        <is>
          <t>vat</t>
        </is>
      </c>
      <c r="C204" s="14" t="inlineStr">
        <is>
          <t>gso</t>
        </is>
      </c>
      <c r="D204" s="14" t="inlineStr">
        <is>
          <t>all</t>
        </is>
      </c>
      <c r="E204" s="14" t="inlineStr">
        <is>
          <t>VATPAY</t>
        </is>
      </c>
      <c r="F204" s="92" t="inlineStr">
        <is>
          <t>VATPAY(AE348,AE374,$D400)</t>
        </is>
      </c>
    </row>
    <row r="205">
      <c r="A205" s="14" t="n">
        <v>401</v>
      </c>
      <c r="B205" s="14" t="inlineStr">
        <is>
          <t>vat</t>
        </is>
      </c>
      <c r="C205" s="14" t="inlineStr">
        <is>
          <t>die</t>
        </is>
      </c>
      <c r="D205" s="14" t="inlineStr">
        <is>
          <t>all</t>
        </is>
      </c>
      <c r="E205" s="14" t="inlineStr">
        <is>
          <t>VATPAY</t>
        </is>
      </c>
      <c r="F205" s="92" t="inlineStr">
        <is>
          <t>VATPAY(AE349,AE375,$D401)</t>
        </is>
      </c>
    </row>
    <row r="206">
      <c r="A206" s="14" t="n">
        <v>402</v>
      </c>
      <c r="B206" s="14" t="inlineStr">
        <is>
          <t>vat</t>
        </is>
      </c>
      <c r="C206" s="14" t="inlineStr">
        <is>
          <t>lpg</t>
        </is>
      </c>
      <c r="D206" s="14" t="inlineStr">
        <is>
          <t>all</t>
        </is>
      </c>
      <c r="E206" s="14" t="inlineStr">
        <is>
          <t>VATPAY</t>
        </is>
      </c>
      <c r="F206" s="92" t="inlineStr">
        <is>
          <t>VATPAY(AE350,AE376,$D402)</t>
        </is>
      </c>
    </row>
    <row r="207">
      <c r="A207" s="14" t="n">
        <v>403</v>
      </c>
      <c r="B207" s="14" t="inlineStr">
        <is>
          <t>vat</t>
        </is>
      </c>
      <c r="C207" s="14" t="inlineStr">
        <is>
          <t>ker</t>
        </is>
      </c>
      <c r="D207" s="14" t="inlineStr">
        <is>
          <t>all</t>
        </is>
      </c>
      <c r="E207" s="14" t="inlineStr">
        <is>
          <t>VATPAY</t>
        </is>
      </c>
      <c r="F207" s="92" t="inlineStr">
        <is>
          <t>VATPAY(AE351,AE377,$D403)</t>
        </is>
      </c>
    </row>
    <row r="208">
      <c r="A208" s="14" t="n">
        <v>404</v>
      </c>
      <c r="B208" s="14" t="inlineStr">
        <is>
          <t>vat</t>
        </is>
      </c>
      <c r="C208" s="14" t="inlineStr">
        <is>
          <t>oop</t>
        </is>
      </c>
      <c r="D208" s="14" t="inlineStr">
        <is>
          <t>all</t>
        </is>
      </c>
      <c r="E208" s="14" t="inlineStr">
        <is>
          <t>VATPAY</t>
        </is>
      </c>
      <c r="F208" s="92" t="inlineStr">
        <is>
          <t>VATPAY(AE352,AE378,$D404)</t>
        </is>
      </c>
    </row>
    <row r="209">
      <c r="A209" s="14" t="n">
        <v>405</v>
      </c>
      <c r="B209" s="14" t="inlineStr">
        <is>
          <t>vat</t>
        </is>
      </c>
      <c r="C209" s="14" t="inlineStr">
        <is>
          <t>bio</t>
        </is>
      </c>
      <c r="D209" s="14" t="inlineStr">
        <is>
          <t>all</t>
        </is>
      </c>
      <c r="E209" s="14" t="inlineStr">
        <is>
          <t>VATPAY</t>
        </is>
      </c>
      <c r="F209" s="92" t="inlineStr">
        <is>
          <t>VATPAY(AE353,AE379,$D405)</t>
        </is>
      </c>
    </row>
    <row r="210">
      <c r="A210" s="14" t="n">
        <v>407</v>
      </c>
      <c r="B210" s="14" t="inlineStr">
        <is>
          <t>etx</t>
        </is>
      </c>
      <c r="C210" s="14" t="inlineStr">
        <is>
          <t>coa</t>
        </is>
      </c>
      <c r="D210" s="14" t="inlineStr">
        <is>
          <t>pow</t>
        </is>
      </c>
      <c r="E210" s="14" t="inlineStr">
        <is>
          <t>TAXPART</t>
        </is>
      </c>
      <c r="F210" s="92" t="inlineStr">
        <is>
          <t>TAXPART(AE368)</t>
        </is>
      </c>
    </row>
    <row r="211">
      <c r="A211" s="14" t="n">
        <v>408</v>
      </c>
      <c r="B211" s="14" t="inlineStr">
        <is>
          <t>etx</t>
        </is>
      </c>
      <c r="C211" s="14" t="inlineStr">
        <is>
          <t>coa</t>
        </is>
      </c>
      <c r="D211" s="14" t="inlineStr">
        <is>
          <t>res</t>
        </is>
      </c>
      <c r="E211" s="14" t="inlineStr">
        <is>
          <t>TAXPART</t>
        </is>
      </c>
      <c r="F211" s="92" t="inlineStr">
        <is>
          <t>TAXPART(AE369)</t>
        </is>
      </c>
    </row>
    <row r="212">
      <c r="A212" s="14" t="n">
        <v>409</v>
      </c>
      <c r="B212" s="14" t="inlineStr">
        <is>
          <t>etx</t>
        </is>
      </c>
      <c r="C212" s="14" t="inlineStr">
        <is>
          <t>coa</t>
        </is>
      </c>
      <c r="D212" s="14" t="inlineStr">
        <is>
          <t>ind</t>
        </is>
      </c>
      <c r="E212" s="14" t="inlineStr">
        <is>
          <t>TAXPART</t>
        </is>
      </c>
      <c r="F212" s="92" t="inlineStr">
        <is>
          <t>TAXPART(AE370)</t>
        </is>
      </c>
    </row>
    <row r="213">
      <c r="A213" s="14" t="n">
        <v>410</v>
      </c>
      <c r="B213" s="14" t="inlineStr">
        <is>
          <t>etx</t>
        </is>
      </c>
      <c r="C213" s="14" t="inlineStr">
        <is>
          <t>nga</t>
        </is>
      </c>
      <c r="D213" s="14" t="inlineStr">
        <is>
          <t>pow</t>
        </is>
      </c>
      <c r="E213" s="14" t="inlineStr">
        <is>
          <t>TAXPART</t>
        </is>
      </c>
      <c r="F213" s="92" t="inlineStr">
        <is>
          <t>TAXPART(AE371)</t>
        </is>
      </c>
    </row>
    <row r="214">
      <c r="A214" s="14" t="n">
        <v>411</v>
      </c>
      <c r="B214" s="14" t="inlineStr">
        <is>
          <t>etx</t>
        </is>
      </c>
      <c r="C214" s="14" t="inlineStr">
        <is>
          <t>nga</t>
        </is>
      </c>
      <c r="D214" s="14" t="inlineStr">
        <is>
          <t>res</t>
        </is>
      </c>
      <c r="E214" s="14" t="inlineStr">
        <is>
          <t>TAXPART</t>
        </is>
      </c>
      <c r="F214" s="92" t="inlineStr">
        <is>
          <t>TAXPART(AE372)</t>
        </is>
      </c>
    </row>
    <row r="215">
      <c r="A215" s="14" t="n">
        <v>412</v>
      </c>
      <c r="B215" s="14" t="inlineStr">
        <is>
          <t>etx</t>
        </is>
      </c>
      <c r="C215" s="14" t="inlineStr">
        <is>
          <t>nga</t>
        </is>
      </c>
      <c r="D215" s="14" t="inlineStr">
        <is>
          <t>ind</t>
        </is>
      </c>
      <c r="E215" s="14" t="inlineStr">
        <is>
          <t>TAXPART</t>
        </is>
      </c>
      <c r="F215" s="92" t="inlineStr">
        <is>
          <t>TAXPART(AE373)</t>
        </is>
      </c>
    </row>
    <row r="216">
      <c r="A216" s="14" t="n">
        <v>413</v>
      </c>
      <c r="B216" s="14" t="inlineStr">
        <is>
          <t>etx</t>
        </is>
      </c>
      <c r="C216" s="14" t="inlineStr">
        <is>
          <t>gso</t>
        </is>
      </c>
      <c r="D216" s="14" t="inlineStr">
        <is>
          <t>all</t>
        </is>
      </c>
      <c r="E216" s="14" t="inlineStr">
        <is>
          <t>TAXPART</t>
        </is>
      </c>
      <c r="F216" s="92" t="inlineStr">
        <is>
          <t>TAXPART(AE374)</t>
        </is>
      </c>
    </row>
    <row r="217">
      <c r="A217" s="14" t="n">
        <v>414</v>
      </c>
      <c r="B217" s="14" t="inlineStr">
        <is>
          <t>etx</t>
        </is>
      </c>
      <c r="C217" s="14" t="inlineStr">
        <is>
          <t>die</t>
        </is>
      </c>
      <c r="D217" s="14" t="inlineStr">
        <is>
          <t>all</t>
        </is>
      </c>
      <c r="E217" s="14" t="inlineStr">
        <is>
          <t>TAXPART</t>
        </is>
      </c>
      <c r="F217" s="92" t="inlineStr">
        <is>
          <t>TAXPART(AE375)</t>
        </is>
      </c>
    </row>
    <row r="218">
      <c r="A218" s="14" t="n">
        <v>415</v>
      </c>
      <c r="B218" s="14" t="inlineStr">
        <is>
          <t>etx</t>
        </is>
      </c>
      <c r="C218" s="14" t="inlineStr">
        <is>
          <t>lpg</t>
        </is>
      </c>
      <c r="D218" s="14" t="inlineStr">
        <is>
          <t>all</t>
        </is>
      </c>
      <c r="E218" s="14" t="inlineStr">
        <is>
          <t>TAXPART</t>
        </is>
      </c>
      <c r="F218" s="92" t="inlineStr">
        <is>
          <t>TAXPART(AE376)</t>
        </is>
      </c>
    </row>
    <row r="219">
      <c r="A219" s="14" t="n">
        <v>416</v>
      </c>
      <c r="B219" s="14" t="inlineStr">
        <is>
          <t>etx</t>
        </is>
      </c>
      <c r="C219" s="14" t="inlineStr">
        <is>
          <t>ker</t>
        </is>
      </c>
      <c r="D219" s="14" t="inlineStr">
        <is>
          <t>all</t>
        </is>
      </c>
      <c r="E219" s="14" t="inlineStr">
        <is>
          <t>TAXPART</t>
        </is>
      </c>
      <c r="F219" s="92" t="inlineStr">
        <is>
          <t>TAXPART(AE377)</t>
        </is>
      </c>
    </row>
    <row r="220">
      <c r="A220" s="14" t="n">
        <v>417</v>
      </c>
      <c r="B220" s="14" t="inlineStr">
        <is>
          <t>etx</t>
        </is>
      </c>
      <c r="C220" s="14" t="inlineStr">
        <is>
          <t>oop</t>
        </is>
      </c>
      <c r="D220" s="14" t="inlineStr">
        <is>
          <t>all</t>
        </is>
      </c>
      <c r="E220" s="14" t="inlineStr">
        <is>
          <t>TAXPART</t>
        </is>
      </c>
      <c r="F220" s="92" t="inlineStr">
        <is>
          <t>TAXPART(AE378)</t>
        </is>
      </c>
    </row>
    <row r="221">
      <c r="A221" s="14" t="n">
        <v>418</v>
      </c>
      <c r="B221" s="14" t="inlineStr">
        <is>
          <t>etx</t>
        </is>
      </c>
      <c r="C221" s="14" t="inlineStr">
        <is>
          <t>bio</t>
        </is>
      </c>
      <c r="D221" s="14" t="inlineStr">
        <is>
          <t>all</t>
        </is>
      </c>
      <c r="E221" s="14" t="inlineStr">
        <is>
          <t>TAXPART</t>
        </is>
      </c>
      <c r="F221" s="92" t="inlineStr">
        <is>
          <t>TAXPART(AE379)</t>
        </is>
      </c>
    </row>
    <row r="222">
      <c r="A222" s="14" t="n">
        <v>420</v>
      </c>
      <c r="B222" s="14" t="inlineStr">
        <is>
          <t>esub</t>
        </is>
      </c>
      <c r="C222" s="14" t="inlineStr">
        <is>
          <t>coa</t>
        </is>
      </c>
      <c r="D222" s="14" t="inlineStr">
        <is>
          <t>pow</t>
        </is>
      </c>
      <c r="E222" s="14" t="inlineStr">
        <is>
          <t>SUBSIDYPART</t>
        </is>
      </c>
      <c r="F222" s="92" t="inlineStr">
        <is>
          <t>SUBSIDYPART(AE368)</t>
        </is>
      </c>
    </row>
    <row r="223">
      <c r="A223" s="14" t="n">
        <v>421</v>
      </c>
      <c r="B223" s="14" t="inlineStr">
        <is>
          <t>esub</t>
        </is>
      </c>
      <c r="C223" s="14" t="inlineStr">
        <is>
          <t>coa</t>
        </is>
      </c>
      <c r="D223" s="14" t="inlineStr">
        <is>
          <t>res</t>
        </is>
      </c>
      <c r="E223" s="14" t="inlineStr">
        <is>
          <t>SUBSIDYPART</t>
        </is>
      </c>
      <c r="F223" s="92" t="inlineStr">
        <is>
          <t>SUBSIDYPART(AE369)</t>
        </is>
      </c>
    </row>
    <row r="224">
      <c r="A224" s="14" t="n">
        <v>422</v>
      </c>
      <c r="B224" s="14" t="inlineStr">
        <is>
          <t>esub</t>
        </is>
      </c>
      <c r="C224" s="14" t="inlineStr">
        <is>
          <t>coa</t>
        </is>
      </c>
      <c r="D224" s="14" t="inlineStr">
        <is>
          <t>ind</t>
        </is>
      </c>
      <c r="E224" s="14" t="inlineStr">
        <is>
          <t>SUBSIDYPART</t>
        </is>
      </c>
      <c r="F224" s="92" t="inlineStr">
        <is>
          <t>SUBSIDYPART(AE370)</t>
        </is>
      </c>
    </row>
    <row r="225">
      <c r="A225" s="14" t="n">
        <v>423</v>
      </c>
      <c r="B225" s="14" t="inlineStr">
        <is>
          <t>esub</t>
        </is>
      </c>
      <c r="C225" s="14" t="inlineStr">
        <is>
          <t>nga</t>
        </is>
      </c>
      <c r="D225" s="14" t="inlineStr">
        <is>
          <t>pow</t>
        </is>
      </c>
      <c r="E225" s="14" t="inlineStr">
        <is>
          <t>SUBSIDYPART</t>
        </is>
      </c>
      <c r="F225" s="92" t="inlineStr">
        <is>
          <t>SUBSIDYPART(AE371)</t>
        </is>
      </c>
    </row>
    <row r="226">
      <c r="A226" s="14" t="n">
        <v>424</v>
      </c>
      <c r="B226" s="14" t="inlineStr">
        <is>
          <t>esub</t>
        </is>
      </c>
      <c r="C226" s="14" t="inlineStr">
        <is>
          <t>nga</t>
        </is>
      </c>
      <c r="D226" s="14" t="inlineStr">
        <is>
          <t>res</t>
        </is>
      </c>
      <c r="E226" s="14" t="inlineStr">
        <is>
          <t>SUBSIDYPART</t>
        </is>
      </c>
      <c r="F226" s="92" t="inlineStr">
        <is>
          <t>SUBSIDYPART(AE372)</t>
        </is>
      </c>
    </row>
    <row r="227">
      <c r="A227" s="14" t="n">
        <v>425</v>
      </c>
      <c r="B227" s="14" t="inlineStr">
        <is>
          <t>esub</t>
        </is>
      </c>
      <c r="C227" s="14" t="inlineStr">
        <is>
          <t>nga</t>
        </is>
      </c>
      <c r="D227" s="14" t="inlineStr">
        <is>
          <t>ind</t>
        </is>
      </c>
      <c r="E227" s="14" t="inlineStr">
        <is>
          <t>SUBSIDYPART</t>
        </is>
      </c>
      <c r="F227" s="92" t="inlineStr">
        <is>
          <t>SUBSIDYPART(AE373)</t>
        </is>
      </c>
    </row>
    <row r="228">
      <c r="A228" s="14" t="n">
        <v>426</v>
      </c>
      <c r="B228" s="14" t="inlineStr">
        <is>
          <t>esub</t>
        </is>
      </c>
      <c r="C228" s="14" t="inlineStr">
        <is>
          <t>gso</t>
        </is>
      </c>
      <c r="D228" s="14" t="inlineStr">
        <is>
          <t>all</t>
        </is>
      </c>
      <c r="E228" s="14" t="inlineStr">
        <is>
          <t>SUBSIDYPART</t>
        </is>
      </c>
      <c r="F228" s="92" t="inlineStr">
        <is>
          <t>SUBSIDYPART(AE374)</t>
        </is>
      </c>
    </row>
    <row r="229">
      <c r="A229" s="14" t="n">
        <v>427</v>
      </c>
      <c r="B229" s="14" t="inlineStr">
        <is>
          <t>esub</t>
        </is>
      </c>
      <c r="C229" s="14" t="inlineStr">
        <is>
          <t>die</t>
        </is>
      </c>
      <c r="D229" s="14" t="inlineStr">
        <is>
          <t>all</t>
        </is>
      </c>
      <c r="E229" s="14" t="inlineStr">
        <is>
          <t>SUBSIDYPART</t>
        </is>
      </c>
      <c r="F229" s="92" t="inlineStr">
        <is>
          <t>SUBSIDYPART(AE375)</t>
        </is>
      </c>
    </row>
    <row r="230">
      <c r="A230" s="14" t="n">
        <v>428</v>
      </c>
      <c r="B230" s="14" t="inlineStr">
        <is>
          <t>esub</t>
        </is>
      </c>
      <c r="C230" s="14" t="inlineStr">
        <is>
          <t>lpg</t>
        </is>
      </c>
      <c r="D230" s="14" t="inlineStr">
        <is>
          <t>all</t>
        </is>
      </c>
      <c r="E230" s="14" t="inlineStr">
        <is>
          <t>SUBSIDYPART</t>
        </is>
      </c>
      <c r="F230" s="92" t="inlineStr">
        <is>
          <t>SUBSIDYPART(AE376)</t>
        </is>
      </c>
    </row>
    <row r="231">
      <c r="A231" s="14" t="n">
        <v>429</v>
      </c>
      <c r="B231" s="14" t="inlineStr">
        <is>
          <t>esub</t>
        </is>
      </c>
      <c r="C231" s="14" t="inlineStr">
        <is>
          <t>ker</t>
        </is>
      </c>
      <c r="D231" s="14" t="inlineStr">
        <is>
          <t>all</t>
        </is>
      </c>
      <c r="E231" s="14" t="inlineStr">
        <is>
          <t>SUBSIDYPART</t>
        </is>
      </c>
      <c r="F231" s="92" t="inlineStr">
        <is>
          <t>SUBSIDYPART(AE377)</t>
        </is>
      </c>
    </row>
    <row r="232">
      <c r="A232" s="14" t="n">
        <v>430</v>
      </c>
      <c r="B232" s="14" t="inlineStr">
        <is>
          <t>esub</t>
        </is>
      </c>
      <c r="C232" s="14" t="inlineStr">
        <is>
          <t>oop</t>
        </is>
      </c>
      <c r="D232" s="14" t="inlineStr">
        <is>
          <t>all</t>
        </is>
      </c>
      <c r="E232" s="14" t="inlineStr">
        <is>
          <t>SUBSIDYPART</t>
        </is>
      </c>
      <c r="F232" s="92" t="inlineStr">
        <is>
          <t>SUBSIDYPART(AE378)</t>
        </is>
      </c>
    </row>
    <row r="233">
      <c r="A233" s="14" t="n">
        <v>431</v>
      </c>
      <c r="B233" s="14" t="inlineStr">
        <is>
          <t>esub</t>
        </is>
      </c>
      <c r="C233" s="14" t="inlineStr">
        <is>
          <t>bio</t>
        </is>
      </c>
      <c r="D233" s="14" t="inlineStr">
        <is>
          <t>all</t>
        </is>
      </c>
      <c r="E233" s="14" t="inlineStr">
        <is>
          <t>SUBSIDYPART</t>
        </is>
      </c>
      <c r="F233" s="92" t="inlineStr">
        <is>
          <t>SUBSIDYPART(AE379)</t>
        </is>
      </c>
    </row>
    <row r="234">
      <c r="A234" s="14" t="n">
        <v>433</v>
      </c>
      <c r="B234" s="14" t="inlineStr">
        <is>
          <t>esubpu</t>
        </is>
      </c>
      <c r="C234" s="14" t="inlineStr">
        <is>
          <t>coa</t>
        </is>
      </c>
      <c r="D234" s="14" t="inlineStr">
        <is>
          <t>pow</t>
        </is>
      </c>
      <c r="E234" s="14" t="inlineStr">
        <is>
          <t>PERUNIT</t>
        </is>
      </c>
      <c r="F234" s="92" t="inlineStr">
        <is>
          <t>PERUNIT(AE420,$D433)</t>
        </is>
      </c>
    </row>
    <row r="235">
      <c r="A235" s="14" t="n">
        <v>434</v>
      </c>
      <c r="B235" s="14" t="inlineStr">
        <is>
          <t>esubpu</t>
        </is>
      </c>
      <c r="C235" s="14" t="inlineStr">
        <is>
          <t>coa</t>
        </is>
      </c>
      <c r="D235" s="14" t="inlineStr">
        <is>
          <t>res</t>
        </is>
      </c>
      <c r="E235" s="14" t="inlineStr">
        <is>
          <t>PERUNIT</t>
        </is>
      </c>
      <c r="F235" s="92" t="inlineStr">
        <is>
          <t>PERUNIT(AE421,$D434)</t>
        </is>
      </c>
    </row>
    <row r="236">
      <c r="A236" s="14" t="n">
        <v>435</v>
      </c>
      <c r="B236" s="14" t="inlineStr">
        <is>
          <t>esubpu</t>
        </is>
      </c>
      <c r="C236" s="14" t="inlineStr">
        <is>
          <t>coa</t>
        </is>
      </c>
      <c r="D236" s="14" t="inlineStr">
        <is>
          <t>ind</t>
        </is>
      </c>
      <c r="E236" s="14" t="inlineStr">
        <is>
          <t>PERUNIT</t>
        </is>
      </c>
      <c r="F236" s="92" t="inlineStr">
        <is>
          <t>PERUNIT(AE422,$D435)</t>
        </is>
      </c>
    </row>
    <row r="237">
      <c r="A237" s="14" t="n">
        <v>436</v>
      </c>
      <c r="B237" s="14" t="inlineStr">
        <is>
          <t>esubpu</t>
        </is>
      </c>
      <c r="C237" s="14" t="inlineStr">
        <is>
          <t>nga</t>
        </is>
      </c>
      <c r="D237" s="14" t="inlineStr">
        <is>
          <t>pow</t>
        </is>
      </c>
      <c r="E237" s="14" t="inlineStr">
        <is>
          <t>PERUNIT</t>
        </is>
      </c>
      <c r="F237" s="92" t="inlineStr">
        <is>
          <t>PERUNIT(AE423,$D436)</t>
        </is>
      </c>
    </row>
    <row r="238">
      <c r="A238" s="14" t="n">
        <v>437</v>
      </c>
      <c r="B238" s="14" t="inlineStr">
        <is>
          <t>esubpu</t>
        </is>
      </c>
      <c r="C238" s="14" t="inlineStr">
        <is>
          <t>nga</t>
        </is>
      </c>
      <c r="D238" s="14" t="inlineStr">
        <is>
          <t>res</t>
        </is>
      </c>
      <c r="E238" s="14" t="inlineStr">
        <is>
          <t>PERUNIT</t>
        </is>
      </c>
      <c r="F238" s="92" t="inlineStr">
        <is>
          <t>PERUNIT(AE424,$D437)</t>
        </is>
      </c>
    </row>
    <row r="239">
      <c r="A239" s="14" t="n">
        <v>438</v>
      </c>
      <c r="B239" s="14" t="inlineStr">
        <is>
          <t>esubpu</t>
        </is>
      </c>
      <c r="C239" s="14" t="inlineStr">
        <is>
          <t>nga</t>
        </is>
      </c>
      <c r="D239" s="14" t="inlineStr">
        <is>
          <t>ind</t>
        </is>
      </c>
      <c r="E239" s="14" t="inlineStr">
        <is>
          <t>PERUNIT</t>
        </is>
      </c>
      <c r="F239" s="92" t="inlineStr">
        <is>
          <t>PERUNIT(AE425,$D438)</t>
        </is>
      </c>
    </row>
    <row r="240">
      <c r="A240" s="14" t="n">
        <v>439</v>
      </c>
      <c r="B240" s="14" t="inlineStr">
        <is>
          <t>esubpu</t>
        </is>
      </c>
      <c r="C240" s="14" t="inlineStr">
        <is>
          <t>gso</t>
        </is>
      </c>
      <c r="D240" s="14" t="inlineStr">
        <is>
          <t>all</t>
        </is>
      </c>
      <c r="E240" s="14" t="inlineStr">
        <is>
          <t>PERUNIT</t>
        </is>
      </c>
      <c r="F240" s="92" t="inlineStr">
        <is>
          <t>PERUNIT(AE426,$D439)</t>
        </is>
      </c>
    </row>
    <row r="241">
      <c r="A241" s="14" t="n">
        <v>440</v>
      </c>
      <c r="B241" s="14" t="inlineStr">
        <is>
          <t>esubpu</t>
        </is>
      </c>
      <c r="C241" s="14" t="inlineStr">
        <is>
          <t>die</t>
        </is>
      </c>
      <c r="D241" s="14" t="inlineStr">
        <is>
          <t>all</t>
        </is>
      </c>
      <c r="E241" s="14" t="inlineStr">
        <is>
          <t>PERUNIT</t>
        </is>
      </c>
      <c r="F241" s="92" t="inlineStr">
        <is>
          <t>PERUNIT(AE427,$D440)</t>
        </is>
      </c>
    </row>
    <row r="242">
      <c r="A242" s="14" t="n">
        <v>441</v>
      </c>
      <c r="B242" s="14" t="inlineStr">
        <is>
          <t>esubpu</t>
        </is>
      </c>
      <c r="C242" s="14" t="inlineStr">
        <is>
          <t>lpg</t>
        </is>
      </c>
      <c r="D242" s="14" t="inlineStr">
        <is>
          <t>all</t>
        </is>
      </c>
      <c r="E242" s="14" t="inlineStr">
        <is>
          <t>PERUNIT</t>
        </is>
      </c>
      <c r="F242" s="92" t="inlineStr">
        <is>
          <t>PERUNIT(AE428,$D441)</t>
        </is>
      </c>
    </row>
    <row r="243">
      <c r="A243" s="14" t="n">
        <v>442</v>
      </c>
      <c r="B243" s="14" t="inlineStr">
        <is>
          <t>esubpu</t>
        </is>
      </c>
      <c r="C243" s="14" t="inlineStr">
        <is>
          <t>ker</t>
        </is>
      </c>
      <c r="D243" s="14" t="inlineStr">
        <is>
          <t>all</t>
        </is>
      </c>
      <c r="E243" s="14" t="inlineStr">
        <is>
          <t>PERUNIT</t>
        </is>
      </c>
      <c r="F243" s="92" t="inlineStr">
        <is>
          <t>PERUNIT(AE429,$D442)</t>
        </is>
      </c>
    </row>
    <row r="244">
      <c r="A244" s="14" t="n">
        <v>443</v>
      </c>
      <c r="B244" s="14" t="inlineStr">
        <is>
          <t>esubpu</t>
        </is>
      </c>
      <c r="C244" s="14" t="inlineStr">
        <is>
          <t>oop</t>
        </is>
      </c>
      <c r="D244" s="14" t="inlineStr">
        <is>
          <t>all</t>
        </is>
      </c>
      <c r="E244" s="14" t="inlineStr">
        <is>
          <t>PERUNIT</t>
        </is>
      </c>
      <c r="F244" s="92" t="inlineStr">
        <is>
          <t>PERUNIT(AE430,$D443)</t>
        </is>
      </c>
    </row>
    <row r="245">
      <c r="A245" s="14" t="n">
        <v>444</v>
      </c>
      <c r="B245" s="14" t="inlineStr">
        <is>
          <t>esubpu</t>
        </is>
      </c>
      <c r="C245" s="14" t="inlineStr">
        <is>
          <t>bio</t>
        </is>
      </c>
      <c r="D245" s="14" t="inlineStr">
        <is>
          <t>all</t>
        </is>
      </c>
      <c r="E245" s="14" t="inlineStr">
        <is>
          <t>PERUNIT</t>
        </is>
      </c>
      <c r="F245" s="92" t="inlineStr">
        <is>
          <t>PERUNIT(AE431,$D444)</t>
        </is>
      </c>
    </row>
    <row r="246">
      <c r="A246" s="14" t="n">
        <v>467</v>
      </c>
      <c r="B246" s="14" t="inlineStr">
        <is>
          <t>cax</t>
        </is>
      </c>
      <c r="C246" s="14" t="inlineStr">
        <is>
          <t>coa</t>
        </is>
      </c>
      <c r="D246" s="14" t="inlineStr">
        <is>
          <t>pow</t>
        </is>
      </c>
      <c r="E246" s="14" t="inlineStr">
        <is>
          <t>CAPEX</t>
        </is>
      </c>
      <c r="F246" s="92" t="inlineStr">
        <is>
          <t>CAPEX($D467,AE449)</t>
        </is>
      </c>
    </row>
    <row r="247">
      <c r="A247" s="14" t="n">
        <v>468</v>
      </c>
      <c r="B247" s="14" t="inlineStr">
        <is>
          <t>cax</t>
        </is>
      </c>
      <c r="C247" s="14" t="inlineStr">
        <is>
          <t>nga</t>
        </is>
      </c>
      <c r="D247" s="14" t="inlineStr">
        <is>
          <t>pow</t>
        </is>
      </c>
      <c r="E247" s="14" t="inlineStr">
        <is>
          <t>CAPEX</t>
        </is>
      </c>
      <c r="F247" s="92" t="inlineStr">
        <is>
          <t>CAPEX($D468,AE450)</t>
        </is>
      </c>
    </row>
    <row r="248">
      <c r="A248" s="14" t="n">
        <v>469</v>
      </c>
      <c r="B248" s="14" t="inlineStr">
        <is>
          <t>cax</t>
        </is>
      </c>
      <c r="C248" s="14" t="inlineStr">
        <is>
          <t>oop</t>
        </is>
      </c>
      <c r="D248" s="14" t="inlineStr">
        <is>
          <t>pow</t>
        </is>
      </c>
      <c r="E248" s="14" t="inlineStr">
        <is>
          <t>CAPEX</t>
        </is>
      </c>
      <c r="F248" s="92" t="inlineStr">
        <is>
          <t>CAPEX($D469,AE451)</t>
        </is>
      </c>
    </row>
    <row r="249">
      <c r="A249" s="14" t="n">
        <v>470</v>
      </c>
      <c r="B249" s="14" t="inlineStr">
        <is>
          <t>cax</t>
        </is>
      </c>
      <c r="C249" s="14" t="inlineStr">
        <is>
          <t>nuc</t>
        </is>
      </c>
      <c r="D249" s="14" t="inlineStr">
        <is>
          <t>pow</t>
        </is>
      </c>
      <c r="E249" s="14" t="inlineStr">
        <is>
          <t>CAPEX</t>
        </is>
      </c>
      <c r="F249" s="92" t="inlineStr">
        <is>
          <t>CAPEX($D470,AE452)</t>
        </is>
      </c>
    </row>
    <row r="250">
      <c r="A250" s="14" t="n">
        <v>471</v>
      </c>
      <c r="B250" s="14" t="inlineStr">
        <is>
          <t>cax</t>
        </is>
      </c>
      <c r="C250" s="14" t="inlineStr">
        <is>
          <t>wnd</t>
        </is>
      </c>
      <c r="D250" s="14" t="inlineStr">
        <is>
          <t>pow</t>
        </is>
      </c>
      <c r="E250" s="14" t="inlineStr">
        <is>
          <t>CAPEX</t>
        </is>
      </c>
      <c r="F250" s="92" t="inlineStr">
        <is>
          <t>CAPEX($D471,AE453)</t>
        </is>
      </c>
    </row>
    <row r="251">
      <c r="A251" s="14" t="n">
        <v>472</v>
      </c>
      <c r="B251" s="14" t="inlineStr">
        <is>
          <t>cax</t>
        </is>
      </c>
      <c r="C251" s="14" t="inlineStr">
        <is>
          <t>sol</t>
        </is>
      </c>
      <c r="D251" s="14" t="inlineStr">
        <is>
          <t>pow</t>
        </is>
      </c>
      <c r="E251" s="14" t="inlineStr">
        <is>
          <t>CAPEX</t>
        </is>
      </c>
      <c r="F251" s="92" t="inlineStr">
        <is>
          <t>CAPEX($D472,AE454)</t>
        </is>
      </c>
    </row>
    <row r="252">
      <c r="A252" s="14" t="n">
        <v>473</v>
      </c>
      <c r="B252" s="14" t="inlineStr">
        <is>
          <t>cax</t>
        </is>
      </c>
      <c r="C252" s="14" t="inlineStr">
        <is>
          <t>hyd</t>
        </is>
      </c>
      <c r="D252" s="14" t="inlineStr">
        <is>
          <t>pow</t>
        </is>
      </c>
      <c r="E252" s="14" t="inlineStr">
        <is>
          <t>CAPEX</t>
        </is>
      </c>
      <c r="F252" s="92" t="inlineStr">
        <is>
          <t>CAPEX($D473,AE455)</t>
        </is>
      </c>
    </row>
    <row r="253">
      <c r="A253" s="14" t="n">
        <v>474</v>
      </c>
      <c r="B253" s="14" t="inlineStr">
        <is>
          <t>cax</t>
        </is>
      </c>
      <c r="C253" s="14" t="inlineStr">
        <is>
          <t>ore</t>
        </is>
      </c>
      <c r="D253" s="14" t="inlineStr">
        <is>
          <t>pow</t>
        </is>
      </c>
      <c r="E253" s="14" t="inlineStr">
        <is>
          <t>CAPEX</t>
        </is>
      </c>
      <c r="F253" s="92" t="inlineStr">
        <is>
          <t>CAPEX($D474,AE456)</t>
        </is>
      </c>
    </row>
    <row r="254">
      <c r="A254" s="14" t="n">
        <v>475</v>
      </c>
      <c r="B254" s="14" t="inlineStr">
        <is>
          <t>cax</t>
        </is>
      </c>
      <c r="C254" s="14" t="inlineStr">
        <is>
          <t>bio</t>
        </is>
      </c>
      <c r="D254" s="14" t="inlineStr">
        <is>
          <t>pow</t>
        </is>
      </c>
      <c r="E254" s="14" t="inlineStr">
        <is>
          <t>CAPEX</t>
        </is>
      </c>
      <c r="F254" s="92" t="inlineStr">
        <is>
          <t>CAPEX($D475,AE457)</t>
        </is>
      </c>
    </row>
    <row r="255">
      <c r="A255" s="14" t="n">
        <v>477</v>
      </c>
      <c r="B255" s="14" t="inlineStr">
        <is>
          <t>caxav</t>
        </is>
      </c>
      <c r="C255" s="14" t="inlineStr">
        <is>
          <t>coa</t>
        </is>
      </c>
      <c r="D255" s="14" t="inlineStr">
        <is>
          <t>pow</t>
        </is>
      </c>
      <c r="E255" s="14" t="inlineStr">
        <is>
          <t>VINTAGE</t>
        </is>
      </c>
      <c r="F255" s="92" t="inlineStr">
        <is>
          <t>VINTAGE(AD477,AD467,AD939)</t>
        </is>
      </c>
    </row>
    <row r="256">
      <c r="A256" s="14" t="n">
        <v>478</v>
      </c>
      <c r="B256" s="14" t="inlineStr">
        <is>
          <t>caxav</t>
        </is>
      </c>
      <c r="C256" s="14" t="inlineStr">
        <is>
          <t>nga</t>
        </is>
      </c>
      <c r="D256" s="14" t="inlineStr">
        <is>
          <t>pow</t>
        </is>
      </c>
      <c r="E256" s="14" t="inlineStr">
        <is>
          <t>VINTAGE</t>
        </is>
      </c>
      <c r="F256" s="92" t="inlineStr">
        <is>
          <t>VINTAGE(AD478,AD468,AD940)</t>
        </is>
      </c>
    </row>
    <row r="257">
      <c r="A257" s="14" t="n">
        <v>479</v>
      </c>
      <c r="B257" s="14" t="inlineStr">
        <is>
          <t>caxav</t>
        </is>
      </c>
      <c r="C257" s="14" t="inlineStr">
        <is>
          <t>oop</t>
        </is>
      </c>
      <c r="D257" s="14" t="inlineStr">
        <is>
          <t>pow</t>
        </is>
      </c>
      <c r="E257" s="14" t="inlineStr">
        <is>
          <t>VINTAGE</t>
        </is>
      </c>
      <c r="F257" s="92" t="inlineStr">
        <is>
          <t>VINTAGE(AD479,AD469,AD941)</t>
        </is>
      </c>
    </row>
    <row r="258">
      <c r="A258" s="14" t="n">
        <v>480</v>
      </c>
      <c r="B258" s="14" t="inlineStr">
        <is>
          <t>caxav</t>
        </is>
      </c>
      <c r="C258" s="14" t="inlineStr">
        <is>
          <t>nuc</t>
        </is>
      </c>
      <c r="D258" s="14" t="inlineStr">
        <is>
          <t>pow</t>
        </is>
      </c>
      <c r="E258" s="14" t="inlineStr">
        <is>
          <t>VINTAGE</t>
        </is>
      </c>
      <c r="F258" s="92" t="inlineStr">
        <is>
          <t>VINTAGE(AD480,AD470,AD942)</t>
        </is>
      </c>
    </row>
    <row r="259">
      <c r="A259" s="14" t="n">
        <v>481</v>
      </c>
      <c r="B259" s="14" t="inlineStr">
        <is>
          <t>caxav</t>
        </is>
      </c>
      <c r="C259" s="14" t="inlineStr">
        <is>
          <t>wnd</t>
        </is>
      </c>
      <c r="D259" s="14" t="inlineStr">
        <is>
          <t>pow</t>
        </is>
      </c>
      <c r="E259" s="14" t="inlineStr">
        <is>
          <t>VINTAGE</t>
        </is>
      </c>
      <c r="F259" s="92" t="inlineStr">
        <is>
          <t>VINTAGE(AD481,AD471,AD943)</t>
        </is>
      </c>
    </row>
    <row r="260">
      <c r="A260" s="14" t="n">
        <v>482</v>
      </c>
      <c r="B260" s="14" t="inlineStr">
        <is>
          <t>caxav</t>
        </is>
      </c>
      <c r="C260" s="14" t="inlineStr">
        <is>
          <t>sol</t>
        </is>
      </c>
      <c r="D260" s="14" t="inlineStr">
        <is>
          <t>pow</t>
        </is>
      </c>
      <c r="E260" s="14" t="inlineStr">
        <is>
          <t>VINTAGE</t>
        </is>
      </c>
      <c r="F260" s="92" t="inlineStr">
        <is>
          <t>VINTAGE(AD482,AD472,AD944)</t>
        </is>
      </c>
    </row>
    <row r="261">
      <c r="A261" s="14" t="n">
        <v>483</v>
      </c>
      <c r="B261" s="14" t="inlineStr">
        <is>
          <t>caxav</t>
        </is>
      </c>
      <c r="C261" s="14" t="inlineStr">
        <is>
          <t>hyd</t>
        </is>
      </c>
      <c r="D261" s="14" t="inlineStr">
        <is>
          <t>pow</t>
        </is>
      </c>
      <c r="E261" s="14" t="inlineStr">
        <is>
          <t>VINTAGE</t>
        </is>
      </c>
      <c r="F261" s="92" t="inlineStr">
        <is>
          <t>VINTAGE(AD483,AD473,AD945)</t>
        </is>
      </c>
    </row>
    <row r="262">
      <c r="A262" s="14" t="n">
        <v>484</v>
      </c>
      <c r="B262" s="14" t="inlineStr">
        <is>
          <t>caxav</t>
        </is>
      </c>
      <c r="C262" s="14" t="inlineStr">
        <is>
          <t>ore</t>
        </is>
      </c>
      <c r="D262" s="14" t="inlineStr">
        <is>
          <t>pow</t>
        </is>
      </c>
      <c r="E262" s="14" t="inlineStr">
        <is>
          <t>VINTAGE</t>
        </is>
      </c>
      <c r="F262" s="92" t="inlineStr">
        <is>
          <t>VINTAGE(AD484,AD474,AD946)</t>
        </is>
      </c>
    </row>
    <row r="263">
      <c r="A263" s="14" t="n">
        <v>485</v>
      </c>
      <c r="B263" s="14" t="inlineStr">
        <is>
          <t>caxav</t>
        </is>
      </c>
      <c r="C263" s="14" t="inlineStr">
        <is>
          <t>bio</t>
        </is>
      </c>
      <c r="D263" s="14" t="inlineStr">
        <is>
          <t>pow</t>
        </is>
      </c>
      <c r="E263" s="14" t="inlineStr">
        <is>
          <t>VINTAGE</t>
        </is>
      </c>
      <c r="F263" s="92" t="inlineStr">
        <is>
          <t>VINTAGE(AD485,AD475,AD947)</t>
        </is>
      </c>
    </row>
    <row r="264">
      <c r="A264" s="14" t="n">
        <v>487</v>
      </c>
      <c r="B264" s="14" t="inlineStr">
        <is>
          <t>stoav</t>
        </is>
      </c>
      <c r="C264" s="14" t="inlineStr">
        <is>
          <t>coa</t>
        </is>
      </c>
      <c r="D264" s="14" t="inlineStr">
        <is>
          <t>pow</t>
        </is>
      </c>
      <c r="E264" s="14" t="inlineStr">
        <is>
          <t>VINTAGE</t>
        </is>
      </c>
      <c r="F264" s="92" t="inlineStr">
        <is>
          <t>VINTAGE(AD487,$D487*AE$769,AD939)</t>
        </is>
      </c>
    </row>
    <row r="265">
      <c r="A265" s="14" t="n">
        <v>488</v>
      </c>
      <c r="B265" s="14" t="inlineStr">
        <is>
          <t>stoav</t>
        </is>
      </c>
      <c r="C265" s="14" t="inlineStr">
        <is>
          <t>nga</t>
        </is>
      </c>
      <c r="D265" s="14" t="inlineStr">
        <is>
          <t>pow</t>
        </is>
      </c>
      <c r="E265" s="14" t="inlineStr">
        <is>
          <t>VINTAGE</t>
        </is>
      </c>
      <c r="F265" s="92" t="inlineStr">
        <is>
          <t>VINTAGE(AD488,$D488*AE$769,AD940)</t>
        </is>
      </c>
    </row>
    <row r="266">
      <c r="A266" s="14" t="n">
        <v>489</v>
      </c>
      <c r="B266" s="14" t="inlineStr">
        <is>
          <t>stoav</t>
        </is>
      </c>
      <c r="C266" s="14" t="inlineStr">
        <is>
          <t>oop</t>
        </is>
      </c>
      <c r="D266" s="14" t="inlineStr">
        <is>
          <t>pow</t>
        </is>
      </c>
      <c r="E266" s="14" t="inlineStr">
        <is>
          <t>VINTAGE</t>
        </is>
      </c>
      <c r="F266" s="92" t="inlineStr">
        <is>
          <t>VINTAGE(AD489,$D489*AE$769,AD941)</t>
        </is>
      </c>
    </row>
    <row r="267">
      <c r="A267" s="14" t="n">
        <v>490</v>
      </c>
      <c r="B267" s="14" t="inlineStr">
        <is>
          <t>stoav</t>
        </is>
      </c>
      <c r="C267" s="14" t="inlineStr">
        <is>
          <t>nuc</t>
        </is>
      </c>
      <c r="D267" s="14" t="inlineStr">
        <is>
          <t>pow</t>
        </is>
      </c>
      <c r="E267" s="14" t="inlineStr">
        <is>
          <t>VINTAGE</t>
        </is>
      </c>
      <c r="F267" s="92" t="inlineStr">
        <is>
          <t>VINTAGE(AD490,$D490*AE$769,AD942)</t>
        </is>
      </c>
    </row>
    <row r="268">
      <c r="A268" s="14" t="n">
        <v>491</v>
      </c>
      <c r="B268" s="14" t="inlineStr">
        <is>
          <t>stoav</t>
        </is>
      </c>
      <c r="C268" s="14" t="inlineStr">
        <is>
          <t>wnd</t>
        </is>
      </c>
      <c r="D268" s="14" t="inlineStr">
        <is>
          <t>pow</t>
        </is>
      </c>
      <c r="E268" s="14" t="inlineStr">
        <is>
          <t>VINTAGE</t>
        </is>
      </c>
      <c r="F268" s="92" t="inlineStr">
        <is>
          <t>VINTAGE(AD491,$D491*AE$769,AD943)</t>
        </is>
      </c>
    </row>
    <row r="269">
      <c r="A269" s="14" t="n">
        <v>492</v>
      </c>
      <c r="B269" s="14" t="inlineStr">
        <is>
          <t>stoav</t>
        </is>
      </c>
      <c r="C269" s="14" t="inlineStr">
        <is>
          <t>sol</t>
        </is>
      </c>
      <c r="D269" s="14" t="inlineStr">
        <is>
          <t>pow</t>
        </is>
      </c>
      <c r="E269" s="14" t="inlineStr">
        <is>
          <t>VINTAGE</t>
        </is>
      </c>
      <c r="F269" s="92" t="inlineStr">
        <is>
          <t>VINTAGE(AD492,$D492*AE$769,AD944)</t>
        </is>
      </c>
    </row>
    <row r="270">
      <c r="A270" s="14" t="n">
        <v>493</v>
      </c>
      <c r="B270" s="14" t="inlineStr">
        <is>
          <t>stoav</t>
        </is>
      </c>
      <c r="C270" s="14" t="inlineStr">
        <is>
          <t>hyd</t>
        </is>
      </c>
      <c r="D270" s="14" t="inlineStr">
        <is>
          <t>pow</t>
        </is>
      </c>
      <c r="E270" s="14" t="inlineStr">
        <is>
          <t>VINTAGE</t>
        </is>
      </c>
      <c r="F270" s="92" t="inlineStr">
        <is>
          <t>VINTAGE(AD493,$D493*AE$769,AD945)</t>
        </is>
      </c>
    </row>
    <row r="271">
      <c r="A271" s="14" t="n">
        <v>494</v>
      </c>
      <c r="B271" s="14" t="inlineStr">
        <is>
          <t>stoav</t>
        </is>
      </c>
      <c r="C271" s="14" t="inlineStr">
        <is>
          <t>ore</t>
        </is>
      </c>
      <c r="D271" s="14" t="inlineStr">
        <is>
          <t>pow</t>
        </is>
      </c>
      <c r="E271" s="14" t="inlineStr">
        <is>
          <t>VINTAGE</t>
        </is>
      </c>
      <c r="F271" s="92" t="inlineStr">
        <is>
          <t>VINTAGE(AD494,$D494*AE$769,AD946)</t>
        </is>
      </c>
    </row>
    <row r="272">
      <c r="A272" s="14" t="n">
        <v>495</v>
      </c>
      <c r="B272" s="14" t="inlineStr">
        <is>
          <t>stoav</t>
        </is>
      </c>
      <c r="C272" s="14" t="inlineStr">
        <is>
          <t>bio</t>
        </is>
      </c>
      <c r="D272" s="14" t="inlineStr">
        <is>
          <t>pow</t>
        </is>
      </c>
      <c r="E272" s="14" t="inlineStr">
        <is>
          <t>VINTAGE</t>
        </is>
      </c>
      <c r="F272" s="92" t="inlineStr">
        <is>
          <t>VINTAGE(AD495,$D495*AE$769,AD947)</t>
        </is>
      </c>
    </row>
    <row r="273">
      <c r="A273" s="14" t="n">
        <v>497</v>
      </c>
      <c r="B273" s="14" t="inlineStr">
        <is>
          <t>fix</t>
        </is>
      </c>
      <c r="C273" s="14" t="inlineStr">
        <is>
          <t>coa</t>
        </is>
      </c>
      <c r="D273" s="14" t="inlineStr">
        <is>
          <t>pow</t>
        </is>
      </c>
      <c r="E273" s="14" t="inlineStr">
        <is>
          <t>AMORTISED</t>
        </is>
      </c>
      <c r="F273" s="92" t="inlineStr">
        <is>
          <t>AMORTISED(AE477,$D497,$E497,AE487)</t>
        </is>
      </c>
    </row>
    <row r="274">
      <c r="A274" s="14" t="n">
        <v>498</v>
      </c>
      <c r="B274" s="14" t="inlineStr">
        <is>
          <t>fix</t>
        </is>
      </c>
      <c r="C274" s="14" t="inlineStr">
        <is>
          <t>nga</t>
        </is>
      </c>
      <c r="D274" s="14" t="inlineStr">
        <is>
          <t>pow</t>
        </is>
      </c>
      <c r="E274" s="14" t="inlineStr">
        <is>
          <t>AMORTISED</t>
        </is>
      </c>
      <c r="F274" s="92" t="inlineStr">
        <is>
          <t>AMORTISED(AE478,$D498,$E498,AE488)</t>
        </is>
      </c>
    </row>
    <row r="275">
      <c r="A275" s="14" t="n">
        <v>499</v>
      </c>
      <c r="B275" s="14" t="inlineStr">
        <is>
          <t>fix</t>
        </is>
      </c>
      <c r="C275" s="14" t="inlineStr">
        <is>
          <t>oop</t>
        </is>
      </c>
      <c r="D275" s="14" t="inlineStr">
        <is>
          <t>pow</t>
        </is>
      </c>
      <c r="E275" s="14" t="inlineStr">
        <is>
          <t>AMORTISED</t>
        </is>
      </c>
      <c r="F275" s="92" t="inlineStr">
        <is>
          <t>AMORTISED(AE479,$D499,$E499,AE489)</t>
        </is>
      </c>
    </row>
    <row r="276">
      <c r="A276" s="14" t="n">
        <v>500</v>
      </c>
      <c r="B276" s="14" t="inlineStr">
        <is>
          <t>fix</t>
        </is>
      </c>
      <c r="C276" s="14" t="inlineStr">
        <is>
          <t>nuc</t>
        </is>
      </c>
      <c r="D276" s="14" t="inlineStr">
        <is>
          <t>pow</t>
        </is>
      </c>
      <c r="E276" s="14" t="inlineStr">
        <is>
          <t>AMORTISED</t>
        </is>
      </c>
      <c r="F276" s="92" t="inlineStr">
        <is>
          <t>AMORTISED(AE480,$D500,$E500,AE490)</t>
        </is>
      </c>
    </row>
    <row r="277">
      <c r="A277" s="14" t="n">
        <v>501</v>
      </c>
      <c r="B277" s="14" t="inlineStr">
        <is>
          <t>fix</t>
        </is>
      </c>
      <c r="C277" s="14" t="inlineStr">
        <is>
          <t>wnd</t>
        </is>
      </c>
      <c r="D277" s="14" t="inlineStr">
        <is>
          <t>pow</t>
        </is>
      </c>
      <c r="E277" s="14" t="inlineStr">
        <is>
          <t>AMORTISED</t>
        </is>
      </c>
      <c r="F277" s="92" t="inlineStr">
        <is>
          <t>AMORTISED(AE481,$D501,$E501,AE491)</t>
        </is>
      </c>
    </row>
    <row r="278">
      <c r="A278" s="14" t="n">
        <v>502</v>
      </c>
      <c r="B278" s="14" t="inlineStr">
        <is>
          <t>fix</t>
        </is>
      </c>
      <c r="C278" s="14" t="inlineStr">
        <is>
          <t>sol</t>
        </is>
      </c>
      <c r="D278" s="14" t="inlineStr">
        <is>
          <t>pow</t>
        </is>
      </c>
      <c r="E278" s="14" t="inlineStr">
        <is>
          <t>AMORTISED</t>
        </is>
      </c>
      <c r="F278" s="92" t="inlineStr">
        <is>
          <t>AMORTISED(AE482,$D502,$E502,AE492)</t>
        </is>
      </c>
    </row>
    <row r="279">
      <c r="A279" s="14" t="n">
        <v>503</v>
      </c>
      <c r="B279" s="14" t="inlineStr">
        <is>
          <t>fix</t>
        </is>
      </c>
      <c r="C279" s="14" t="inlineStr">
        <is>
          <t>hyd</t>
        </is>
      </c>
      <c r="D279" s="14" t="inlineStr">
        <is>
          <t>pow</t>
        </is>
      </c>
      <c r="E279" s="14" t="inlineStr">
        <is>
          <t>AMORTISED</t>
        </is>
      </c>
      <c r="F279" s="92" t="inlineStr">
        <is>
          <t>AMORTISED(AE483,$D503,$E503,AE493)</t>
        </is>
      </c>
    </row>
    <row r="280">
      <c r="A280" s="14" t="n">
        <v>504</v>
      </c>
      <c r="B280" s="14" t="inlineStr">
        <is>
          <t>fix</t>
        </is>
      </c>
      <c r="C280" s="14" t="inlineStr">
        <is>
          <t>ore</t>
        </is>
      </c>
      <c r="D280" s="14" t="inlineStr">
        <is>
          <t>pow</t>
        </is>
      </c>
      <c r="E280" s="14" t="inlineStr">
        <is>
          <t>AMORTISED</t>
        </is>
      </c>
      <c r="F280" s="92" t="inlineStr">
        <is>
          <t>AMORTISED(AE484,$D504,$E504,AE494)</t>
        </is>
      </c>
    </row>
    <row r="281">
      <c r="A281" s="14" t="n">
        <v>505</v>
      </c>
      <c r="B281" s="14" t="inlineStr">
        <is>
          <t>fix</t>
        </is>
      </c>
      <c r="C281" s="14" t="inlineStr">
        <is>
          <t>bio</t>
        </is>
      </c>
      <c r="D281" s="14" t="inlineStr">
        <is>
          <t>pow</t>
        </is>
      </c>
      <c r="E281" s="14" t="inlineStr">
        <is>
          <t>AMORTISED</t>
        </is>
      </c>
      <c r="F281" s="92" t="inlineStr">
        <is>
          <t>AMORTISED(AE485,$D505,$E505,AE495)</t>
        </is>
      </c>
    </row>
    <row r="282">
      <c r="A282" s="14" t="n">
        <v>508</v>
      </c>
      <c r="B282" s="14" t="inlineStr">
        <is>
          <t>lfx</t>
        </is>
      </c>
      <c r="C282" s="14" t="inlineStr">
        <is>
          <t>coa</t>
        </is>
      </c>
      <c r="D282" s="14" t="inlineStr">
        <is>
          <t>pow</t>
        </is>
      </c>
      <c r="E282" s="14" t="inlineStr">
        <is>
          <t>LEVELISED</t>
        </is>
      </c>
      <c r="F282" s="92" t="inlineStr">
        <is>
          <t>LEVELISED(AE467,$D508,$E508,$F508,AE$769)</t>
        </is>
      </c>
    </row>
    <row r="283">
      <c r="A283" s="14" t="n">
        <v>509</v>
      </c>
      <c r="B283" s="14" t="inlineStr">
        <is>
          <t>lfx</t>
        </is>
      </c>
      <c r="C283" s="14" t="inlineStr">
        <is>
          <t>nga</t>
        </is>
      </c>
      <c r="D283" s="14" t="inlineStr">
        <is>
          <t>pow</t>
        </is>
      </c>
      <c r="E283" s="14" t="inlineStr">
        <is>
          <t>LEVELISED</t>
        </is>
      </c>
      <c r="F283" s="92" t="inlineStr">
        <is>
          <t>LEVELISED(AE468,$D509,$E509,$F509,AE$769)</t>
        </is>
      </c>
    </row>
    <row r="284">
      <c r="A284" s="14" t="n">
        <v>510</v>
      </c>
      <c r="B284" s="14" t="inlineStr">
        <is>
          <t>lfx</t>
        </is>
      </c>
      <c r="C284" s="14" t="inlineStr">
        <is>
          <t>oop</t>
        </is>
      </c>
      <c r="D284" s="14" t="inlineStr">
        <is>
          <t>pow</t>
        </is>
      </c>
      <c r="E284" s="14" t="inlineStr">
        <is>
          <t>LEVELISED</t>
        </is>
      </c>
      <c r="F284" s="92" t="inlineStr">
        <is>
          <t>LEVELISED(AE469,$D510,$E510,$F510,AE$769)</t>
        </is>
      </c>
    </row>
    <row r="285">
      <c r="A285" s="14" t="n">
        <v>511</v>
      </c>
      <c r="B285" s="14" t="inlineStr">
        <is>
          <t>lfx</t>
        </is>
      </c>
      <c r="C285" s="14" t="inlineStr">
        <is>
          <t>nuc</t>
        </is>
      </c>
      <c r="D285" s="14" t="inlineStr">
        <is>
          <t>pow</t>
        </is>
      </c>
      <c r="E285" s="14" t="inlineStr">
        <is>
          <t>LEVELISED</t>
        </is>
      </c>
      <c r="F285" s="92" t="inlineStr">
        <is>
          <t>LEVELISED(AE470,$D511,$E511,$F511,AE$769)</t>
        </is>
      </c>
    </row>
    <row r="286">
      <c r="A286" s="14" t="n">
        <v>512</v>
      </c>
      <c r="B286" s="14" t="inlineStr">
        <is>
          <t>lfx</t>
        </is>
      </c>
      <c r="C286" s="14" t="inlineStr">
        <is>
          <t>wnd</t>
        </is>
      </c>
      <c r="D286" s="14" t="inlineStr">
        <is>
          <t>pow</t>
        </is>
      </c>
      <c r="E286" s="14" t="inlineStr">
        <is>
          <t>LEVELISED</t>
        </is>
      </c>
      <c r="F286" s="92" t="inlineStr">
        <is>
          <t>LEVELISED(AE471,$D512,$E512,$F512,AE$769)</t>
        </is>
      </c>
    </row>
    <row r="287">
      <c r="A287" s="14" t="n">
        <v>513</v>
      </c>
      <c r="B287" s="14" t="inlineStr">
        <is>
          <t>lfx</t>
        </is>
      </c>
      <c r="C287" s="14" t="inlineStr">
        <is>
          <t>sol</t>
        </is>
      </c>
      <c r="D287" s="14" t="inlineStr">
        <is>
          <t>pow</t>
        </is>
      </c>
      <c r="E287" s="14" t="inlineStr">
        <is>
          <t>LEVELISED</t>
        </is>
      </c>
      <c r="F287" s="92" t="inlineStr">
        <is>
          <t>LEVELISED(AE472,$D513,$E513,$F513,AE$769)</t>
        </is>
      </c>
    </row>
    <row r="288">
      <c r="A288" s="14" t="n">
        <v>514</v>
      </c>
      <c r="B288" s="14" t="inlineStr">
        <is>
          <t>lfx</t>
        </is>
      </c>
      <c r="C288" s="14" t="inlineStr">
        <is>
          <t>hyd</t>
        </is>
      </c>
      <c r="D288" s="14" t="inlineStr">
        <is>
          <t>pow</t>
        </is>
      </c>
      <c r="E288" s="14" t="inlineStr">
        <is>
          <t>LEVELISED</t>
        </is>
      </c>
      <c r="F288" s="92" t="inlineStr">
        <is>
          <t>LEVELISED(AE473,$D514,$E514,$F514,AE$769)</t>
        </is>
      </c>
    </row>
    <row r="289">
      <c r="A289" s="14" t="n">
        <v>515</v>
      </c>
      <c r="B289" s="14" t="inlineStr">
        <is>
          <t>lfx</t>
        </is>
      </c>
      <c r="C289" s="14" t="inlineStr">
        <is>
          <t>ore</t>
        </is>
      </c>
      <c r="D289" s="14" t="inlineStr">
        <is>
          <t>pow</t>
        </is>
      </c>
      <c r="E289" s="14" t="inlineStr">
        <is>
          <t>LEVELISED</t>
        </is>
      </c>
      <c r="F289" s="92" t="inlineStr">
        <is>
          <t>LEVELISED(AE474,$D515,$E515,$F515,AE$769)</t>
        </is>
      </c>
    </row>
    <row r="290">
      <c r="A290" s="14" t="n">
        <v>516</v>
      </c>
      <c r="B290" s="14" t="inlineStr">
        <is>
          <t>lfx</t>
        </is>
      </c>
      <c r="C290" s="14" t="inlineStr">
        <is>
          <t>bio</t>
        </is>
      </c>
      <c r="D290" s="14" t="inlineStr">
        <is>
          <t>pow</t>
        </is>
      </c>
      <c r="E290" s="14" t="inlineStr">
        <is>
          <t>LEVELISED</t>
        </is>
      </c>
      <c r="F290" s="92" t="inlineStr">
        <is>
          <t>LEVELISED(AE475,$D516,$E516,$F516,AE$769)</t>
        </is>
      </c>
    </row>
    <row r="291">
      <c r="A291" s="14" t="n">
        <v>519</v>
      </c>
      <c r="B291" s="14" t="inlineStr">
        <is>
          <t>fpp</t>
        </is>
      </c>
      <c r="C291" s="14" t="inlineStr">
        <is>
          <t>coa</t>
        </is>
      </c>
      <c r="D291" s="14" t="inlineStr">
        <is>
          <t>pow</t>
        </is>
      </c>
      <c r="E291" s="14" t="inlineStr">
        <is>
          <t>POWFUELPRICE</t>
        </is>
      </c>
      <c r="F291" s="92" t="inlineStr">
        <is>
          <t>POWFUELPRICE(SpotPow,INDEX(AE$381:AE$392,$D519),INDEX(AC$381:AG$392,$D519,0))</t>
        </is>
      </c>
    </row>
    <row r="292">
      <c r="A292" s="14" t="n">
        <v>520</v>
      </c>
      <c r="B292" s="14" t="inlineStr">
        <is>
          <t>fpp</t>
        </is>
      </c>
      <c r="C292" s="14" t="inlineStr">
        <is>
          <t>nga</t>
        </is>
      </c>
      <c r="D292" s="14" t="inlineStr">
        <is>
          <t>pow</t>
        </is>
      </c>
      <c r="E292" s="14" t="inlineStr">
        <is>
          <t>POWFUELPRICE</t>
        </is>
      </c>
      <c r="F292" s="92" t="inlineStr">
        <is>
          <t>POWFUELPRICE(SpotPow,INDEX(AE$381:AE$392,$D520),INDEX(AC$381:AG$392,$D520,0))</t>
        </is>
      </c>
    </row>
    <row r="293">
      <c r="A293" s="14" t="n">
        <v>521</v>
      </c>
      <c r="B293" s="14" t="inlineStr">
        <is>
          <t>fpp</t>
        </is>
      </c>
      <c r="C293" s="14" t="inlineStr">
        <is>
          <t>oop</t>
        </is>
      </c>
      <c r="D293" s="14" t="inlineStr">
        <is>
          <t>pow</t>
        </is>
      </c>
      <c r="E293" s="14" t="inlineStr">
        <is>
          <t>POWFUELPRICE</t>
        </is>
      </c>
      <c r="F293" s="92" t="inlineStr">
        <is>
          <t>POWFUELPRICE(SpotPow,INDEX(AE$381:AE$392,$D521),INDEX(AC$381:AG$392,$D521,0))</t>
        </is>
      </c>
    </row>
    <row r="294">
      <c r="A294" s="14" t="n">
        <v>522</v>
      </c>
      <c r="B294" s="14" t="inlineStr">
        <is>
          <t>fpp</t>
        </is>
      </c>
      <c r="C294" s="14" t="inlineStr">
        <is>
          <t>nuc</t>
        </is>
      </c>
      <c r="D294" s="14" t="inlineStr">
        <is>
          <t>pow</t>
        </is>
      </c>
      <c r="E294" s="14" t="inlineStr">
        <is>
          <t>POWFUELPRICE</t>
        </is>
      </c>
      <c r="F294" s="92" t="inlineStr">
        <is>
          <t>POWFUELPRICE(SpotPow,INDEX(AE$381:AE$392,$D522),INDEX(AC$381:AG$392,$D522,0))</t>
        </is>
      </c>
    </row>
    <row r="295">
      <c r="A295" s="14" t="n">
        <v>523</v>
      </c>
      <c r="B295" s="14" t="inlineStr">
        <is>
          <t>fpp</t>
        </is>
      </c>
      <c r="C295" s="14" t="inlineStr">
        <is>
          <t>wnd</t>
        </is>
      </c>
      <c r="D295" s="14" t="inlineStr">
        <is>
          <t>pow</t>
        </is>
      </c>
      <c r="E295" s="14" t="inlineStr">
        <is>
          <t>POWFUELPRICE</t>
        </is>
      </c>
      <c r="F295" s="92" t="inlineStr">
        <is>
          <t>POWFUELPRICE(SpotPow,INDEX(AE$381:AE$392,$D523),INDEX(AC$381:AG$392,$D523,0))</t>
        </is>
      </c>
    </row>
    <row r="296">
      <c r="A296" s="14" t="n">
        <v>524</v>
      </c>
      <c r="B296" s="14" t="inlineStr">
        <is>
          <t>fpp</t>
        </is>
      </c>
      <c r="C296" s="14" t="inlineStr">
        <is>
          <t>sol</t>
        </is>
      </c>
      <c r="D296" s="14" t="inlineStr">
        <is>
          <t>pow</t>
        </is>
      </c>
      <c r="E296" s="14" t="inlineStr">
        <is>
          <t>POWFUELPRICE</t>
        </is>
      </c>
      <c r="F296" s="92" t="inlineStr">
        <is>
          <t>POWFUELPRICE(SpotPow,INDEX(AE$381:AE$392,$D524),INDEX(AC$381:AG$392,$D524,0))</t>
        </is>
      </c>
    </row>
    <row r="297">
      <c r="A297" s="14" t="n">
        <v>525</v>
      </c>
      <c r="B297" s="14" t="inlineStr">
        <is>
          <t>fpp</t>
        </is>
      </c>
      <c r="C297" s="14" t="inlineStr">
        <is>
          <t>hyd</t>
        </is>
      </c>
      <c r="D297" s="14" t="inlineStr">
        <is>
          <t>pow</t>
        </is>
      </c>
      <c r="E297" s="14" t="inlineStr">
        <is>
          <t>POWFUELPRICE</t>
        </is>
      </c>
      <c r="F297" s="92" t="inlineStr">
        <is>
          <t>POWFUELPRICE(SpotPow,INDEX(AE$381:AE$392,$D525),INDEX(AC$381:AG$392,$D525,0))</t>
        </is>
      </c>
    </row>
    <row r="298">
      <c r="A298" s="14" t="n">
        <v>526</v>
      </c>
      <c r="B298" s="14" t="inlineStr">
        <is>
          <t>fpp</t>
        </is>
      </c>
      <c r="C298" s="14" t="inlineStr">
        <is>
          <t>ore</t>
        </is>
      </c>
      <c r="D298" s="14" t="inlineStr">
        <is>
          <t>pow</t>
        </is>
      </c>
      <c r="E298" s="14" t="inlineStr">
        <is>
          <t>POWFUELPRICE</t>
        </is>
      </c>
      <c r="F298" s="92" t="inlineStr">
        <is>
          <t>POWFUELPRICE(SpotPow,INDEX(AE$381:AE$392,$D526),INDEX(AC$381:AG$392,$D526,0))</t>
        </is>
      </c>
    </row>
    <row r="299">
      <c r="A299" s="14" t="n">
        <v>527</v>
      </c>
      <c r="B299" s="14" t="inlineStr">
        <is>
          <t>fpp</t>
        </is>
      </c>
      <c r="C299" s="14" t="inlineStr">
        <is>
          <t>bio</t>
        </is>
      </c>
      <c r="D299" s="14" t="inlineStr">
        <is>
          <t>pow</t>
        </is>
      </c>
      <c r="E299" s="14" t="inlineStr">
        <is>
          <t>POWFUELPRICE</t>
        </is>
      </c>
      <c r="F299" s="92" t="inlineStr">
        <is>
          <t>POWFUELPRICE(SpotPow,INDEX(AE$381:AE$392,$D527),INDEX(AC$381:AG$392,$D527,0))</t>
        </is>
      </c>
    </row>
    <row r="300">
      <c r="A300" s="14" t="n">
        <v>529</v>
      </c>
      <c r="B300" s="14" t="inlineStr">
        <is>
          <t>xck</t>
        </is>
      </c>
      <c r="C300" s="14" t="inlineStr">
        <is>
          <t>coa</t>
        </is>
      </c>
      <c r="D300" s="14" t="inlineStr">
        <is>
          <t>pow</t>
        </is>
      </c>
      <c r="E300" s="14" t="inlineStr">
        <is>
          <t>XCARBON</t>
        </is>
      </c>
      <c r="F300" s="92" t="inlineStr">
        <is>
          <t>XCARBON($D529,$E529,(AE$321-AE$322),$F529,(AE$324-AE$325))</t>
        </is>
      </c>
    </row>
    <row r="301">
      <c r="A301" s="14" t="n">
        <v>530</v>
      </c>
      <c r="B301" s="14" t="inlineStr">
        <is>
          <t>xck</t>
        </is>
      </c>
      <c r="C301" s="14" t="inlineStr">
        <is>
          <t>nga</t>
        </is>
      </c>
      <c r="D301" s="14" t="inlineStr">
        <is>
          <t>pow</t>
        </is>
      </c>
      <c r="E301" s="14" t="inlineStr">
        <is>
          <t>XCARBON</t>
        </is>
      </c>
      <c r="F301" s="92" t="inlineStr">
        <is>
          <t>XCARBON($D530,$E530,(AE$321-AE$322),$F530,(AE$324-AE$325))</t>
        </is>
      </c>
    </row>
    <row r="302">
      <c r="A302" s="14" t="n">
        <v>531</v>
      </c>
      <c r="B302" s="14" t="inlineStr">
        <is>
          <t>xck</t>
        </is>
      </c>
      <c r="C302" s="14" t="inlineStr">
        <is>
          <t>oop</t>
        </is>
      </c>
      <c r="D302" s="14" t="inlineStr">
        <is>
          <t>pow</t>
        </is>
      </c>
      <c r="E302" s="14" t="inlineStr">
        <is>
          <t>XCARBON</t>
        </is>
      </c>
      <c r="F302" s="92" t="inlineStr">
        <is>
          <t>XCARBON($D531,$E531,(AE$321-AE$322),$F531,(AE$324-AE$325))</t>
        </is>
      </c>
    </row>
    <row r="303">
      <c r="A303" s="14" t="n">
        <v>532</v>
      </c>
      <c r="B303" s="14" t="inlineStr">
        <is>
          <t>xck</t>
        </is>
      </c>
      <c r="C303" s="14" t="inlineStr">
        <is>
          <t>nuc</t>
        </is>
      </c>
      <c r="D303" s="14" t="inlineStr">
        <is>
          <t>pow</t>
        </is>
      </c>
      <c r="E303" s="14" t="inlineStr">
        <is>
          <t>XCARBON</t>
        </is>
      </c>
      <c r="F303" s="92" t="inlineStr">
        <is>
          <t>XCARBON($D532,$E532,(AE$321-AE$322),$F532,(AE$324-AE$325))</t>
        </is>
      </c>
    </row>
    <row r="304">
      <c r="A304" s="14" t="n">
        <v>533</v>
      </c>
      <c r="B304" s="14" t="inlineStr">
        <is>
          <t>xck</t>
        </is>
      </c>
      <c r="C304" s="14" t="inlineStr">
        <is>
          <t>wnd</t>
        </is>
      </c>
      <c r="D304" s="14" t="inlineStr">
        <is>
          <t>pow</t>
        </is>
      </c>
      <c r="E304" s="14" t="inlineStr">
        <is>
          <t>XCARBON</t>
        </is>
      </c>
      <c r="F304" s="92" t="inlineStr">
        <is>
          <t>XCARBON($D533,$E533,(AE$321-AE$322),$F533,(AE$324-AE$325))</t>
        </is>
      </c>
    </row>
    <row r="305">
      <c r="A305" s="14" t="n">
        <v>534</v>
      </c>
      <c r="B305" s="14" t="inlineStr">
        <is>
          <t>xck</t>
        </is>
      </c>
      <c r="C305" s="14" t="inlineStr">
        <is>
          <t>sol</t>
        </is>
      </c>
      <c r="D305" s="14" t="inlineStr">
        <is>
          <t>pow</t>
        </is>
      </c>
      <c r="E305" s="14" t="inlineStr">
        <is>
          <t>XCARBON</t>
        </is>
      </c>
      <c r="F305" s="92" t="inlineStr">
        <is>
          <t>XCARBON($D534,$E534,(AE$321-AE$322),$F534,(AE$324-AE$325))</t>
        </is>
      </c>
    </row>
    <row r="306">
      <c r="A306" s="14" t="n">
        <v>535</v>
      </c>
      <c r="B306" s="14" t="inlineStr">
        <is>
          <t>xck</t>
        </is>
      </c>
      <c r="C306" s="14" t="inlineStr">
        <is>
          <t>hyd</t>
        </is>
      </c>
      <c r="D306" s="14" t="inlineStr">
        <is>
          <t>pow</t>
        </is>
      </c>
      <c r="E306" s="14" t="inlineStr">
        <is>
          <t>XCARBON</t>
        </is>
      </c>
      <c r="F306" s="92" t="inlineStr">
        <is>
          <t>XCARBON($D535,$E535,(AE$321-AE$322),$F535,(AE$324-AE$325))</t>
        </is>
      </c>
    </row>
    <row r="307">
      <c r="A307" s="14" t="n">
        <v>536</v>
      </c>
      <c r="B307" s="14" t="inlineStr">
        <is>
          <t>xck</t>
        </is>
      </c>
      <c r="C307" s="14" t="inlineStr">
        <is>
          <t>ore</t>
        </is>
      </c>
      <c r="D307" s="14" t="inlineStr">
        <is>
          <t>pow</t>
        </is>
      </c>
      <c r="E307" s="14" t="inlineStr">
        <is>
          <t>XCARBON</t>
        </is>
      </c>
      <c r="F307" s="92" t="inlineStr">
        <is>
          <t>XCARBON($D536,$E536,(AE$321-AE$322),$F536,(AE$324-AE$325))</t>
        </is>
      </c>
    </row>
    <row r="308">
      <c r="A308" s="14" t="n">
        <v>537</v>
      </c>
      <c r="B308" s="14" t="inlineStr">
        <is>
          <t>xck</t>
        </is>
      </c>
      <c r="C308" s="14" t="inlineStr">
        <is>
          <t>bio</t>
        </is>
      </c>
      <c r="D308" s="14" t="inlineStr">
        <is>
          <t>pow</t>
        </is>
      </c>
      <c r="E308" s="14" t="inlineStr">
        <is>
          <t>XCARBON</t>
        </is>
      </c>
      <c r="F308" s="92" t="inlineStr">
        <is>
          <t>XCARBON($D537,$E537,(AE$321-AE$322),$F537,(AE$324-AE$325))</t>
        </is>
      </c>
    </row>
    <row r="309">
      <c r="A309" s="14" t="n">
        <v>539</v>
      </c>
      <c r="B309" s="14" t="inlineStr">
        <is>
          <t>vbc</t>
        </is>
      </c>
      <c r="C309" s="14" t="inlineStr">
        <is>
          <t>coa</t>
        </is>
      </c>
      <c r="D309" s="14" t="inlineStr">
        <is>
          <t>pow</t>
        </is>
      </c>
      <c r="E309" s="14" t="inlineStr">
        <is>
          <t>VARCOST</t>
        </is>
      </c>
      <c r="F309" s="92" t="inlineStr">
        <is>
          <t>VARCOST($D539,AE519,$F539,AE529)</t>
        </is>
      </c>
    </row>
    <row r="310">
      <c r="A310" s="14" t="n">
        <v>540</v>
      </c>
      <c r="B310" s="14" t="inlineStr">
        <is>
          <t>vbc</t>
        </is>
      </c>
      <c r="C310" s="14" t="inlineStr">
        <is>
          <t>nga</t>
        </is>
      </c>
      <c r="D310" s="14" t="inlineStr">
        <is>
          <t>pow</t>
        </is>
      </c>
      <c r="E310" s="14" t="inlineStr">
        <is>
          <t>VARCOST</t>
        </is>
      </c>
      <c r="F310" s="92" t="inlineStr">
        <is>
          <t>VARCOST($D540,AE520,$F540,AE530)</t>
        </is>
      </c>
    </row>
    <row r="311">
      <c r="A311" s="14" t="n">
        <v>541</v>
      </c>
      <c r="B311" s="14" t="inlineStr">
        <is>
          <t>vbc</t>
        </is>
      </c>
      <c r="C311" s="14" t="inlineStr">
        <is>
          <t>oop</t>
        </is>
      </c>
      <c r="D311" s="14" t="inlineStr">
        <is>
          <t>pow</t>
        </is>
      </c>
      <c r="E311" s="14" t="inlineStr">
        <is>
          <t>VARCOST</t>
        </is>
      </c>
      <c r="F311" s="92" t="inlineStr">
        <is>
          <t>VARCOST($D541,AE521,$F541,AE531)</t>
        </is>
      </c>
    </row>
    <row r="312">
      <c r="A312" s="14" t="n">
        <v>542</v>
      </c>
      <c r="B312" s="14" t="inlineStr">
        <is>
          <t>vbc</t>
        </is>
      </c>
      <c r="C312" s="14" t="inlineStr">
        <is>
          <t>nuc</t>
        </is>
      </c>
      <c r="D312" s="14" t="inlineStr">
        <is>
          <t>pow</t>
        </is>
      </c>
      <c r="E312" s="14" t="inlineStr">
        <is>
          <t>VARCOST</t>
        </is>
      </c>
      <c r="F312" s="92" t="inlineStr">
        <is>
          <t>VARCOST($D542,AE522,$F542,AE532)</t>
        </is>
      </c>
    </row>
    <row r="313">
      <c r="A313" s="14" t="n">
        <v>543</v>
      </c>
      <c r="B313" s="14" t="inlineStr">
        <is>
          <t>vbc</t>
        </is>
      </c>
      <c r="C313" s="14" t="inlineStr">
        <is>
          <t>wnd</t>
        </is>
      </c>
      <c r="D313" s="14" t="inlineStr">
        <is>
          <t>pow</t>
        </is>
      </c>
      <c r="E313" s="14" t="inlineStr">
        <is>
          <t>VARCOST</t>
        </is>
      </c>
      <c r="F313" s="92" t="inlineStr">
        <is>
          <t>VARCOST($D543,AE523,$F543,AE533)</t>
        </is>
      </c>
    </row>
    <row r="314">
      <c r="A314" s="14" t="n">
        <v>544</v>
      </c>
      <c r="B314" s="14" t="inlineStr">
        <is>
          <t>vbc</t>
        </is>
      </c>
      <c r="C314" s="14" t="inlineStr">
        <is>
          <t>sol</t>
        </is>
      </c>
      <c r="D314" s="14" t="inlineStr">
        <is>
          <t>pow</t>
        </is>
      </c>
      <c r="E314" s="14" t="inlineStr">
        <is>
          <t>VARCOST</t>
        </is>
      </c>
      <c r="F314" s="92" t="inlineStr">
        <is>
          <t>VARCOST($D544,AE524,$F544,AE534)</t>
        </is>
      </c>
    </row>
    <row r="315">
      <c r="A315" s="14" t="n">
        <v>545</v>
      </c>
      <c r="B315" s="14" t="inlineStr">
        <is>
          <t>vbc</t>
        </is>
      </c>
      <c r="C315" s="14" t="inlineStr">
        <is>
          <t>hyd</t>
        </is>
      </c>
      <c r="D315" s="14" t="inlineStr">
        <is>
          <t>pow</t>
        </is>
      </c>
      <c r="E315" s="14" t="inlineStr">
        <is>
          <t>VARCOST</t>
        </is>
      </c>
      <c r="F315" s="92" t="inlineStr">
        <is>
          <t>VARCOST($D545,AE525,$F545,AE535)</t>
        </is>
      </c>
    </row>
    <row r="316">
      <c r="A316" s="14" t="n">
        <v>546</v>
      </c>
      <c r="B316" s="14" t="inlineStr">
        <is>
          <t>vbc</t>
        </is>
      </c>
      <c r="C316" s="14" t="inlineStr">
        <is>
          <t>ore</t>
        </is>
      </c>
      <c r="D316" s="14" t="inlineStr">
        <is>
          <t>pow</t>
        </is>
      </c>
      <c r="E316" s="14" t="inlineStr">
        <is>
          <t>VARCOST</t>
        </is>
      </c>
      <c r="F316" s="92" t="inlineStr">
        <is>
          <t>VARCOST($D546,AE526,$F546,AE536)</t>
        </is>
      </c>
    </row>
    <row r="317">
      <c r="A317" s="14" t="n">
        <v>547</v>
      </c>
      <c r="B317" s="14" t="inlineStr">
        <is>
          <t>vbc</t>
        </is>
      </c>
      <c r="C317" s="14" t="inlineStr">
        <is>
          <t>bio</t>
        </is>
      </c>
      <c r="D317" s="14" t="inlineStr">
        <is>
          <t>pow</t>
        </is>
      </c>
      <c r="E317" s="14" t="inlineStr">
        <is>
          <t>VARCOST</t>
        </is>
      </c>
      <c r="F317" s="92" t="inlineStr">
        <is>
          <t>VARCOST($D547,AE527,$F547,AE537)</t>
        </is>
      </c>
    </row>
    <row r="318">
      <c r="A318" s="14" t="n">
        <v>549</v>
      </c>
      <c r="B318" s="14" t="inlineStr">
        <is>
          <t>ccp</t>
        </is>
      </c>
      <c r="C318" s="14" t="inlineStr">
        <is>
          <t>coa</t>
        </is>
      </c>
      <c r="D318" s="14" t="inlineStr">
        <is>
          <t>pow</t>
        </is>
      </c>
      <c r="E318" s="14" t="inlineStr">
        <is>
          <t>KWHPOLICY</t>
        </is>
      </c>
      <c r="F318" s="92" t="inlineStr">
        <is>
          <t>KWHPOLICY($D549,AE$263,INDEX(AE$23:AE$30,$E549),AE$280,INDEX(AE$80:AE$93,$F549),$G549)</t>
        </is>
      </c>
    </row>
    <row r="319">
      <c r="A319" s="14" t="n">
        <v>550</v>
      </c>
      <c r="B319" s="14" t="inlineStr">
        <is>
          <t>ccp</t>
        </is>
      </c>
      <c r="C319" s="14" t="inlineStr">
        <is>
          <t>nga</t>
        </is>
      </c>
      <c r="D319" s="14" t="inlineStr">
        <is>
          <t>pow</t>
        </is>
      </c>
      <c r="E319" s="14" t="inlineStr">
        <is>
          <t>KWHPOLICY</t>
        </is>
      </c>
      <c r="F319" s="92" t="inlineStr">
        <is>
          <t>KWHPOLICY($D550,AE$263,INDEX(AE$23:AE$30,$E550),AE$280,INDEX(AE$80:AE$93,$F550),$G550)</t>
        </is>
      </c>
    </row>
    <row r="320">
      <c r="A320" s="14" t="n">
        <v>551</v>
      </c>
      <c r="B320" s="14" t="inlineStr">
        <is>
          <t>ccp</t>
        </is>
      </c>
      <c r="C320" s="14" t="inlineStr">
        <is>
          <t>oop</t>
        </is>
      </c>
      <c r="D320" s="14" t="inlineStr">
        <is>
          <t>pow</t>
        </is>
      </c>
      <c r="E320" s="14" t="inlineStr">
        <is>
          <t>KWHPOLICY</t>
        </is>
      </c>
      <c r="F320" s="92" t="inlineStr">
        <is>
          <t>KWHPOLICY($D551,AE$263,INDEX(AE$23:AE$30,$E551),AE$280,INDEX(AE$80:AE$93,$F551),$G551)</t>
        </is>
      </c>
    </row>
    <row r="321">
      <c r="A321" s="14" t="n">
        <v>552</v>
      </c>
      <c r="B321" s="14" t="inlineStr">
        <is>
          <t>ccp</t>
        </is>
      </c>
      <c r="C321" s="14" t="inlineStr">
        <is>
          <t>nuc</t>
        </is>
      </c>
      <c r="D321" s="14" t="inlineStr">
        <is>
          <t>pow</t>
        </is>
      </c>
      <c r="E321" s="14" t="inlineStr">
        <is>
          <t>KWHPOLICY</t>
        </is>
      </c>
      <c r="F321" s="92" t="inlineStr">
        <is>
          <t>KWHPOLICY($D552,AE$263,INDEX(AE$23:AE$30,$E552),AE$280,INDEX(AE$80:AE$93,$F552),$G552)</t>
        </is>
      </c>
    </row>
    <row r="322">
      <c r="A322" s="14" t="n">
        <v>553</v>
      </c>
      <c r="B322" s="14" t="inlineStr">
        <is>
          <t>ccp</t>
        </is>
      </c>
      <c r="C322" s="14" t="inlineStr">
        <is>
          <t>wnd</t>
        </is>
      </c>
      <c r="D322" s="14" t="inlineStr">
        <is>
          <t>pow</t>
        </is>
      </c>
      <c r="E322" s="14" t="inlineStr">
        <is>
          <t>KWHPOLICY</t>
        </is>
      </c>
      <c r="F322" s="92" t="inlineStr">
        <is>
          <t>KWHPOLICY($D553,AE$263,INDEX(AE$23:AE$30,$E553),AE$280,INDEX(AE$80:AE$93,$F553),$G553)</t>
        </is>
      </c>
    </row>
    <row r="323">
      <c r="A323" s="14" t="n">
        <v>554</v>
      </c>
      <c r="B323" s="14" t="inlineStr">
        <is>
          <t>ccp</t>
        </is>
      </c>
      <c r="C323" s="14" t="inlineStr">
        <is>
          <t>sol</t>
        </is>
      </c>
      <c r="D323" s="14" t="inlineStr">
        <is>
          <t>pow</t>
        </is>
      </c>
      <c r="E323" s="14" t="inlineStr">
        <is>
          <t>KWHPOLICY</t>
        </is>
      </c>
      <c r="F323" s="92" t="inlineStr">
        <is>
          <t>KWHPOLICY($D554,AE$263,INDEX(AE$23:AE$30,$E554),AE$280,INDEX(AE$80:AE$93,$F554),$G554)</t>
        </is>
      </c>
    </row>
    <row r="324">
      <c r="A324" s="14" t="n">
        <v>555</v>
      </c>
      <c r="B324" s="14" t="inlineStr">
        <is>
          <t>ccp</t>
        </is>
      </c>
      <c r="C324" s="14" t="inlineStr">
        <is>
          <t>hyd</t>
        </is>
      </c>
      <c r="D324" s="14" t="inlineStr">
        <is>
          <t>pow</t>
        </is>
      </c>
      <c r="E324" s="14" t="inlineStr">
        <is>
          <t>KWHPOLICY</t>
        </is>
      </c>
      <c r="F324" s="92" t="inlineStr">
        <is>
          <t>KWHPOLICY($D555,AE$263,INDEX(AE$23:AE$30,$E555),AE$280,INDEX(AE$80:AE$93,$F555),$G555)</t>
        </is>
      </c>
    </row>
    <row r="325">
      <c r="A325" s="14" t="n">
        <v>556</v>
      </c>
      <c r="B325" s="14" t="inlineStr">
        <is>
          <t>ccp</t>
        </is>
      </c>
      <c r="C325" s="14" t="inlineStr">
        <is>
          <t>ore</t>
        </is>
      </c>
      <c r="D325" s="14" t="inlineStr">
        <is>
          <t>pow</t>
        </is>
      </c>
      <c r="E325" s="14" t="inlineStr">
        <is>
          <t>KWHPOLICY</t>
        </is>
      </c>
      <c r="F325" s="92" t="inlineStr">
        <is>
          <t>KWHPOLICY($D556,AE$263,INDEX(AE$23:AE$30,$E556),AE$280,INDEX(AE$80:AE$93,$F556),$G556)</t>
        </is>
      </c>
    </row>
    <row r="326">
      <c r="A326" s="14" t="n">
        <v>557</v>
      </c>
      <c r="B326" s="14" t="inlineStr">
        <is>
          <t>ccp</t>
        </is>
      </c>
      <c r="C326" s="14" t="inlineStr">
        <is>
          <t>bio</t>
        </is>
      </c>
      <c r="D326" s="14" t="inlineStr">
        <is>
          <t>pow</t>
        </is>
      </c>
      <c r="E326" s="14" t="inlineStr">
        <is>
          <t>KWHPOLICY</t>
        </is>
      </c>
      <c r="F326" s="92" t="inlineStr">
        <is>
          <t>KWHPOLICY($D557,AE$263,INDEX(AE$23:AE$30,$E557),AE$280,INDEX(AE$80:AE$93,$F557),$G557)</t>
        </is>
      </c>
    </row>
    <row r="327">
      <c r="A327" s="14" t="n">
        <v>559</v>
      </c>
      <c r="B327" s="14" t="inlineStr">
        <is>
          <t>shk</t>
        </is>
      </c>
      <c r="C327" s="14" t="inlineStr">
        <is>
          <t>coa</t>
        </is>
      </c>
      <c r="D327" s="14" t="inlineStr">
        <is>
          <t>pow</t>
        </is>
      </c>
      <c r="E327" s="14" t="inlineStr">
        <is>
          <t>SHADOWGJ</t>
        </is>
      </c>
      <c r="F327" s="92" t="inlineStr">
        <is>
          <t>SHADOWGJ(AE$297,$D559)</t>
        </is>
      </c>
    </row>
    <row r="328">
      <c r="A328" s="14" t="n">
        <v>560</v>
      </c>
      <c r="B328" s="14" t="inlineStr">
        <is>
          <t>shk</t>
        </is>
      </c>
      <c r="C328" s="14" t="inlineStr">
        <is>
          <t>nga</t>
        </is>
      </c>
      <c r="D328" s="14" t="inlineStr">
        <is>
          <t>pow</t>
        </is>
      </c>
      <c r="E328" s="14" t="inlineStr">
        <is>
          <t>SHADOWGJ</t>
        </is>
      </c>
      <c r="F328" s="92" t="inlineStr">
        <is>
          <t>SHADOWGJ(AE$297,$D560)</t>
        </is>
      </c>
    </row>
    <row r="329">
      <c r="A329" s="14" t="n">
        <v>561</v>
      </c>
      <c r="B329" s="14" t="inlineStr">
        <is>
          <t>shk</t>
        </is>
      </c>
      <c r="C329" s="14" t="inlineStr">
        <is>
          <t>oop</t>
        </is>
      </c>
      <c r="D329" s="14" t="inlineStr">
        <is>
          <t>pow</t>
        </is>
      </c>
      <c r="E329" s="14" t="inlineStr">
        <is>
          <t>SHADOWGJ</t>
        </is>
      </c>
      <c r="F329" s="92" t="inlineStr">
        <is>
          <t>SHADOWGJ(AE$297,$D561)</t>
        </is>
      </c>
    </row>
    <row r="330">
      <c r="A330" s="14" t="n">
        <v>562</v>
      </c>
      <c r="B330" s="14" t="inlineStr">
        <is>
          <t>shk</t>
        </is>
      </c>
      <c r="C330" s="14" t="inlineStr">
        <is>
          <t>nuc</t>
        </is>
      </c>
      <c r="D330" s="14" t="inlineStr">
        <is>
          <t>pow</t>
        </is>
      </c>
      <c r="E330" s="14" t="inlineStr">
        <is>
          <t>SHADOWGJ</t>
        </is>
      </c>
      <c r="F330" s="92" t="inlineStr">
        <is>
          <t>SHADOWGJ(AE$297,$D562)</t>
        </is>
      </c>
    </row>
    <row r="331">
      <c r="A331" s="14" t="n">
        <v>563</v>
      </c>
      <c r="B331" s="14" t="inlineStr">
        <is>
          <t>shk</t>
        </is>
      </c>
      <c r="C331" s="14" t="inlineStr">
        <is>
          <t>wnd</t>
        </is>
      </c>
      <c r="D331" s="14" t="inlineStr">
        <is>
          <t>pow</t>
        </is>
      </c>
      <c r="E331" s="14" t="inlineStr">
        <is>
          <t>SHADOWGJ</t>
        </is>
      </c>
      <c r="F331" s="92" t="inlineStr">
        <is>
          <t>SHADOWGJ(AE$297,$D563)</t>
        </is>
      </c>
    </row>
    <row r="332">
      <c r="A332" s="14" t="n">
        <v>564</v>
      </c>
      <c r="B332" s="14" t="inlineStr">
        <is>
          <t>shk</t>
        </is>
      </c>
      <c r="C332" s="14" t="inlineStr">
        <is>
          <t>sol</t>
        </is>
      </c>
      <c r="D332" s="14" t="inlineStr">
        <is>
          <t>pow</t>
        </is>
      </c>
      <c r="E332" s="14" t="inlineStr">
        <is>
          <t>SHADOWGJ</t>
        </is>
      </c>
      <c r="F332" s="92" t="inlineStr">
        <is>
          <t>SHADOWGJ(AE$297,$D564)</t>
        </is>
      </c>
    </row>
    <row r="333">
      <c r="A333" s="14" t="n">
        <v>565</v>
      </c>
      <c r="B333" s="14" t="inlineStr">
        <is>
          <t>shk</t>
        </is>
      </c>
      <c r="C333" s="14" t="inlineStr">
        <is>
          <t>hyd</t>
        </is>
      </c>
      <c r="D333" s="14" t="inlineStr">
        <is>
          <t>pow</t>
        </is>
      </c>
      <c r="E333" s="14" t="inlineStr">
        <is>
          <t>SHADOWGJ</t>
        </is>
      </c>
      <c r="F333" s="92" t="inlineStr">
        <is>
          <t>SHADOWGJ(AE$297,$D565)</t>
        </is>
      </c>
    </row>
    <row r="334">
      <c r="A334" s="14" t="n">
        <v>566</v>
      </c>
      <c r="B334" s="14" t="inlineStr">
        <is>
          <t>shk</t>
        </is>
      </c>
      <c r="C334" s="14" t="inlineStr">
        <is>
          <t>ore</t>
        </is>
      </c>
      <c r="D334" s="14" t="inlineStr">
        <is>
          <t>pow</t>
        </is>
      </c>
      <c r="E334" s="14" t="inlineStr">
        <is>
          <t>SHADOWGJ</t>
        </is>
      </c>
      <c r="F334" s="92" t="inlineStr">
        <is>
          <t>SHADOWGJ(AE$297,$D566)</t>
        </is>
      </c>
    </row>
    <row r="335">
      <c r="A335" s="14" t="n">
        <v>567</v>
      </c>
      <c r="B335" s="14" t="inlineStr">
        <is>
          <t>shk</t>
        </is>
      </c>
      <c r="C335" s="14" t="inlineStr">
        <is>
          <t>bio</t>
        </is>
      </c>
      <c r="D335" s="14" t="inlineStr">
        <is>
          <t>pow</t>
        </is>
      </c>
      <c r="E335" s="14" t="inlineStr">
        <is>
          <t>SHADOWGJ</t>
        </is>
      </c>
      <c r="F335" s="92" t="inlineStr">
        <is>
          <t>SHADOWGJ(AE$297,$D567)</t>
        </is>
      </c>
    </row>
    <row r="336">
      <c r="A336" s="14" t="n">
        <v>569</v>
      </c>
      <c r="B336" s="14" t="inlineStr">
        <is>
          <t>reb</t>
        </is>
      </c>
      <c r="C336" s="14" t="inlineStr"/>
      <c r="D336" s="14" t="inlineStr"/>
      <c r="E336" s="14" t="inlineStr">
        <is>
          <t>REBATE</t>
        </is>
      </c>
      <c r="F336" s="92" t="inlineStr">
        <is>
          <t>REBATE(AE$559:AE$567,$E$559:$E$567)</t>
        </is>
      </c>
    </row>
    <row r="337">
      <c r="A337" s="14" t="n">
        <v>571</v>
      </c>
      <c r="B337" s="14" t="inlineStr">
        <is>
          <t>tvc</t>
        </is>
      </c>
      <c r="C337" s="14" t="inlineStr">
        <is>
          <t>coa</t>
        </is>
      </c>
      <c r="D337" s="14" t="inlineStr">
        <is>
          <t>pow</t>
        </is>
      </c>
      <c r="E337" s="14" t="inlineStr">
        <is>
          <t>VARTOTAL</t>
        </is>
      </c>
      <c r="F337" s="92" t="inlineStr">
        <is>
          <t>VARTOTAL(AE539,AE549,AE559,AE$569)</t>
        </is>
      </c>
    </row>
    <row r="338">
      <c r="A338" s="14" t="n">
        <v>572</v>
      </c>
      <c r="B338" s="14" t="inlineStr">
        <is>
          <t>tvc</t>
        </is>
      </c>
      <c r="C338" s="14" t="inlineStr">
        <is>
          <t>nga</t>
        </is>
      </c>
      <c r="D338" s="14" t="inlineStr">
        <is>
          <t>pow</t>
        </is>
      </c>
      <c r="E338" s="14" t="inlineStr">
        <is>
          <t>VARTOTAL</t>
        </is>
      </c>
      <c r="F338" s="92" t="inlineStr">
        <is>
          <t>VARTOTAL(AE540,AE550,AE560,AE$569)</t>
        </is>
      </c>
    </row>
    <row r="339">
      <c r="A339" s="14" t="n">
        <v>573</v>
      </c>
      <c r="B339" s="14" t="inlineStr">
        <is>
          <t>tvc</t>
        </is>
      </c>
      <c r="C339" s="14" t="inlineStr">
        <is>
          <t>oop</t>
        </is>
      </c>
      <c r="D339" s="14" t="inlineStr">
        <is>
          <t>pow</t>
        </is>
      </c>
      <c r="E339" s="14" t="inlineStr">
        <is>
          <t>VARTOTAL</t>
        </is>
      </c>
      <c r="F339" s="92" t="inlineStr">
        <is>
          <t>VARTOTAL(AE541,AE551,AE561,AE$569)</t>
        </is>
      </c>
    </row>
    <row r="340">
      <c r="A340" s="14" t="n">
        <v>574</v>
      </c>
      <c r="B340" s="14" t="inlineStr">
        <is>
          <t>tvc</t>
        </is>
      </c>
      <c r="C340" s="14" t="inlineStr">
        <is>
          <t>nuc</t>
        </is>
      </c>
      <c r="D340" s="14" t="inlineStr">
        <is>
          <t>pow</t>
        </is>
      </c>
      <c r="E340" s="14" t="inlineStr">
        <is>
          <t>VARTOTAL</t>
        </is>
      </c>
      <c r="F340" s="92" t="inlineStr">
        <is>
          <t>VARTOTAL(AE542,AE552,AE562,AE$569)</t>
        </is>
      </c>
    </row>
    <row r="341">
      <c r="A341" s="14" t="n">
        <v>575</v>
      </c>
      <c r="B341" s="14" t="inlineStr">
        <is>
          <t>tvc</t>
        </is>
      </c>
      <c r="C341" s="14" t="inlineStr">
        <is>
          <t>wnd</t>
        </is>
      </c>
      <c r="D341" s="14" t="inlineStr">
        <is>
          <t>pow</t>
        </is>
      </c>
      <c r="E341" s="14" t="inlineStr">
        <is>
          <t>VARTOTAL</t>
        </is>
      </c>
      <c r="F341" s="92" t="inlineStr">
        <is>
          <t>VARTOTAL(AE543,AE553,AE563,AE$569)</t>
        </is>
      </c>
    </row>
    <row r="342">
      <c r="A342" s="14" t="n">
        <v>576</v>
      </c>
      <c r="B342" s="14" t="inlineStr">
        <is>
          <t>tvc</t>
        </is>
      </c>
      <c r="C342" s="14" t="inlineStr">
        <is>
          <t>sol</t>
        </is>
      </c>
      <c r="D342" s="14" t="inlineStr">
        <is>
          <t>pow</t>
        </is>
      </c>
      <c r="E342" s="14" t="inlineStr">
        <is>
          <t>VARTOTAL</t>
        </is>
      </c>
      <c r="F342" s="92" t="inlineStr">
        <is>
          <t>VARTOTAL(AE544,AE554,AE564,AE$569)</t>
        </is>
      </c>
    </row>
    <row r="343">
      <c r="A343" s="14" t="n">
        <v>577</v>
      </c>
      <c r="B343" s="14" t="inlineStr">
        <is>
          <t>tvc</t>
        </is>
      </c>
      <c r="C343" s="14" t="inlineStr">
        <is>
          <t>hyd</t>
        </is>
      </c>
      <c r="D343" s="14" t="inlineStr">
        <is>
          <t>pow</t>
        </is>
      </c>
      <c r="E343" s="14" t="inlineStr">
        <is>
          <t>VARTOTAL</t>
        </is>
      </c>
      <c r="F343" s="92" t="inlineStr">
        <is>
          <t>VARTOTAL(AE545,AE555,AE565,AE$569)</t>
        </is>
      </c>
    </row>
    <row r="344">
      <c r="A344" s="14" t="n">
        <v>578</v>
      </c>
      <c r="B344" s="14" t="inlineStr">
        <is>
          <t>tvc</t>
        </is>
      </c>
      <c r="C344" s="14" t="inlineStr">
        <is>
          <t>ore</t>
        </is>
      </c>
      <c r="D344" s="14" t="inlineStr">
        <is>
          <t>pow</t>
        </is>
      </c>
      <c r="E344" s="14" t="inlineStr">
        <is>
          <t>VARTOTAL</t>
        </is>
      </c>
      <c r="F344" s="92" t="inlineStr">
        <is>
          <t>VARTOTAL(AE546,AE556,AE566,AE$569)</t>
        </is>
      </c>
    </row>
    <row r="345">
      <c r="A345" s="14" t="n">
        <v>579</v>
      </c>
      <c r="B345" s="14" t="inlineStr">
        <is>
          <t>tvc</t>
        </is>
      </c>
      <c r="C345" s="14" t="inlineStr">
        <is>
          <t>bio</t>
        </is>
      </c>
      <c r="D345" s="14" t="inlineStr">
        <is>
          <t>pow</t>
        </is>
      </c>
      <c r="E345" s="14" t="inlineStr">
        <is>
          <t>VARTOTAL</t>
        </is>
      </c>
      <c r="F345" s="92" t="inlineStr">
        <is>
          <t>VARTOTAL(AE547,AE557,AE567,AE$569)</t>
        </is>
      </c>
    </row>
    <row r="346">
      <c r="A346" s="14" t="n">
        <v>612</v>
      </c>
      <c r="B346" s="14" t="inlineStr">
        <is>
          <t>gnc</t>
        </is>
      </c>
      <c r="C346" s="14" t="inlineStr">
        <is>
          <t>coa</t>
        </is>
      </c>
      <c r="D346" s="14" t="inlineStr">
        <is>
          <t>pow</t>
        </is>
      </c>
      <c r="E346" s="14" t="inlineStr">
        <is>
          <t>GENCOST</t>
        </is>
      </c>
      <c r="F346" s="92" t="inlineStr">
        <is>
          <t>GENCOST(AE497,AE539)</t>
        </is>
      </c>
    </row>
    <row r="347">
      <c r="A347" s="14" t="n">
        <v>613</v>
      </c>
      <c r="B347" s="14" t="inlineStr">
        <is>
          <t>gnc</t>
        </is>
      </c>
      <c r="C347" s="14" t="inlineStr">
        <is>
          <t>nga</t>
        </is>
      </c>
      <c r="D347" s="14" t="inlineStr">
        <is>
          <t>pow</t>
        </is>
      </c>
      <c r="E347" s="14" t="inlineStr">
        <is>
          <t>GENCOST</t>
        </is>
      </c>
      <c r="F347" s="92" t="inlineStr">
        <is>
          <t>GENCOST(AE498,AE540)</t>
        </is>
      </c>
    </row>
    <row r="348">
      <c r="A348" s="14" t="n">
        <v>614</v>
      </c>
      <c r="B348" s="14" t="inlineStr">
        <is>
          <t>gnc</t>
        </is>
      </c>
      <c r="C348" s="14" t="inlineStr">
        <is>
          <t>oop</t>
        </is>
      </c>
      <c r="D348" s="14" t="inlineStr">
        <is>
          <t>pow</t>
        </is>
      </c>
      <c r="E348" s="14" t="inlineStr">
        <is>
          <t>GENCOST</t>
        </is>
      </c>
      <c r="F348" s="92" t="inlineStr">
        <is>
          <t>GENCOST(AE499,AE541)</t>
        </is>
      </c>
    </row>
    <row r="349">
      <c r="A349" s="14" t="n">
        <v>615</v>
      </c>
      <c r="B349" s="14" t="inlineStr">
        <is>
          <t>gnc</t>
        </is>
      </c>
      <c r="C349" s="14" t="inlineStr">
        <is>
          <t>nuc</t>
        </is>
      </c>
      <c r="D349" s="14" t="inlineStr">
        <is>
          <t>pow</t>
        </is>
      </c>
      <c r="E349" s="14" t="inlineStr">
        <is>
          <t>GENCOST</t>
        </is>
      </c>
      <c r="F349" s="92" t="inlineStr">
        <is>
          <t>GENCOST(AE500,AE542)</t>
        </is>
      </c>
    </row>
    <row r="350">
      <c r="A350" s="14" t="n">
        <v>616</v>
      </c>
      <c r="B350" s="14" t="inlineStr">
        <is>
          <t>gnc</t>
        </is>
      </c>
      <c r="C350" s="14" t="inlineStr">
        <is>
          <t>wnd</t>
        </is>
      </c>
      <c r="D350" s="14" t="inlineStr">
        <is>
          <t>pow</t>
        </is>
      </c>
      <c r="E350" s="14" t="inlineStr">
        <is>
          <t>GENCOST</t>
        </is>
      </c>
      <c r="F350" s="92" t="inlineStr">
        <is>
          <t>GENCOST(AE501,AE543)</t>
        </is>
      </c>
    </row>
    <row r="351">
      <c r="A351" s="14" t="n">
        <v>617</v>
      </c>
      <c r="B351" s="14" t="inlineStr">
        <is>
          <t>gnc</t>
        </is>
      </c>
      <c r="C351" s="14" t="inlineStr">
        <is>
          <t>sol</t>
        </is>
      </c>
      <c r="D351" s="14" t="inlineStr">
        <is>
          <t>pow</t>
        </is>
      </c>
      <c r="E351" s="14" t="inlineStr">
        <is>
          <t>GENCOST</t>
        </is>
      </c>
      <c r="F351" s="92" t="inlineStr">
        <is>
          <t>GENCOST(AE502,AE544)</t>
        </is>
      </c>
    </row>
    <row r="352">
      <c r="A352" s="14" t="n">
        <v>618</v>
      </c>
      <c r="B352" s="14" t="inlineStr">
        <is>
          <t>gnc</t>
        </is>
      </c>
      <c r="C352" s="14" t="inlineStr">
        <is>
          <t>hyd</t>
        </is>
      </c>
      <c r="D352" s="14" t="inlineStr">
        <is>
          <t>pow</t>
        </is>
      </c>
      <c r="E352" s="14" t="inlineStr">
        <is>
          <t>GENCOST</t>
        </is>
      </c>
      <c r="F352" s="92" t="inlineStr">
        <is>
          <t>GENCOST(AE503,AE545)</t>
        </is>
      </c>
    </row>
    <row r="353">
      <c r="A353" s="14" t="n">
        <v>619</v>
      </c>
      <c r="B353" s="14" t="inlineStr">
        <is>
          <t>gnc</t>
        </is>
      </c>
      <c r="C353" s="14" t="inlineStr">
        <is>
          <t>ore</t>
        </is>
      </c>
      <c r="D353" s="14" t="inlineStr">
        <is>
          <t>pow</t>
        </is>
      </c>
      <c r="E353" s="14" t="inlineStr">
        <is>
          <t>GENCOST</t>
        </is>
      </c>
      <c r="F353" s="92" t="inlineStr">
        <is>
          <t>GENCOST(AE504,AE546)</t>
        </is>
      </c>
    </row>
    <row r="354">
      <c r="A354" s="14" t="n">
        <v>620</v>
      </c>
      <c r="B354" s="14" t="inlineStr">
        <is>
          <t>gnc</t>
        </is>
      </c>
      <c r="C354" s="14" t="inlineStr">
        <is>
          <t>bio</t>
        </is>
      </c>
      <c r="D354" s="14" t="inlineStr">
        <is>
          <t>pow</t>
        </is>
      </c>
      <c r="E354" s="14" t="inlineStr">
        <is>
          <t>GENCOST</t>
        </is>
      </c>
      <c r="F354" s="92" t="inlineStr">
        <is>
          <t>GENCOST(AE505,AE547)</t>
        </is>
      </c>
    </row>
    <row r="355">
      <c r="A355" s="14" t="n">
        <v>622</v>
      </c>
      <c r="B355" s="14" t="inlineStr">
        <is>
          <t>gncav</t>
        </is>
      </c>
      <c r="C355" s="14" t="inlineStr"/>
      <c r="D355" s="14" t="inlineStr"/>
      <c r="E355" s="14" t="inlineStr">
        <is>
          <t>WEIGHTED</t>
        </is>
      </c>
      <c r="F355" s="92" t="inlineStr">
        <is>
          <t>WEIGHTED(AE$736:AE$744,AE$612:AE$620,$D622)</t>
        </is>
      </c>
    </row>
    <row r="356">
      <c r="A356" s="14" t="n">
        <v>623</v>
      </c>
      <c r="B356" s="14" t="inlineStr">
        <is>
          <t>ccpav</t>
        </is>
      </c>
      <c r="C356" s="14" t="inlineStr"/>
      <c r="D356" s="14" t="inlineStr"/>
      <c r="E356" s="14" t="inlineStr">
        <is>
          <t>WEIGHTED</t>
        </is>
      </c>
      <c r="F356" s="92" t="inlineStr">
        <is>
          <t>WEIGHTED(AE$736:AE$744,AE$549:AE$557,$D623)</t>
        </is>
      </c>
    </row>
    <row r="357">
      <c r="A357" s="14" t="n">
        <v>625</v>
      </c>
      <c r="B357" s="14" t="inlineStr">
        <is>
          <t>tic</t>
        </is>
      </c>
      <c r="C357" s="14" t="inlineStr">
        <is>
          <t>coa</t>
        </is>
      </c>
      <c r="D357" s="14" t="inlineStr">
        <is>
          <t>pow</t>
        </is>
      </c>
      <c r="E357" s="14" t="inlineStr">
        <is>
          <t>INVCOST</t>
        </is>
      </c>
      <c r="F357" s="92" t="inlineStr">
        <is>
          <t>INVCOST(AE508,AE601,$D625)</t>
        </is>
      </c>
    </row>
    <row r="358">
      <c r="A358" s="14" t="n">
        <v>626</v>
      </c>
      <c r="B358" s="14" t="inlineStr">
        <is>
          <t>tic</t>
        </is>
      </c>
      <c r="C358" s="14" t="inlineStr">
        <is>
          <t>nga</t>
        </is>
      </c>
      <c r="D358" s="14" t="inlineStr">
        <is>
          <t>pow</t>
        </is>
      </c>
      <c r="E358" s="14" t="inlineStr">
        <is>
          <t>INVCOST</t>
        </is>
      </c>
      <c r="F358" s="92" t="inlineStr">
        <is>
          <t>INVCOST(AE509,AE602,$D626)</t>
        </is>
      </c>
    </row>
    <row r="359">
      <c r="A359" s="14" t="n">
        <v>627</v>
      </c>
      <c r="B359" s="14" t="inlineStr">
        <is>
          <t>tic</t>
        </is>
      </c>
      <c r="C359" s="14" t="inlineStr">
        <is>
          <t>oop</t>
        </is>
      </c>
      <c r="D359" s="14" t="inlineStr">
        <is>
          <t>pow</t>
        </is>
      </c>
      <c r="E359" s="14" t="inlineStr">
        <is>
          <t>INVCOST</t>
        </is>
      </c>
      <c r="F359" s="92" t="inlineStr">
        <is>
          <t>INVCOST(AE510,AE603,$D627)</t>
        </is>
      </c>
    </row>
    <row r="360">
      <c r="A360" s="14" t="n">
        <v>628</v>
      </c>
      <c r="B360" s="14" t="inlineStr">
        <is>
          <t>tic</t>
        </is>
      </c>
      <c r="C360" s="14" t="inlineStr">
        <is>
          <t>nuc</t>
        </is>
      </c>
      <c r="D360" s="14" t="inlineStr">
        <is>
          <t>pow</t>
        </is>
      </c>
      <c r="E360" s="14" t="inlineStr">
        <is>
          <t>INVCOST</t>
        </is>
      </c>
      <c r="F360" s="92" t="inlineStr">
        <is>
          <t>INVCOST(AE511,AE604,$D628)</t>
        </is>
      </c>
    </row>
    <row r="361">
      <c r="A361" s="14" t="n">
        <v>629</v>
      </c>
      <c r="B361" s="14" t="inlineStr">
        <is>
          <t>tic</t>
        </is>
      </c>
      <c r="C361" s="14" t="inlineStr">
        <is>
          <t>wnd</t>
        </is>
      </c>
      <c r="D361" s="14" t="inlineStr">
        <is>
          <t>pow</t>
        </is>
      </c>
      <c r="E361" s="14" t="inlineStr">
        <is>
          <t>INVCOST</t>
        </is>
      </c>
      <c r="F361" s="92" t="inlineStr">
        <is>
          <t>INVCOST(AE512,AE605,$D629)</t>
        </is>
      </c>
    </row>
    <row r="362">
      <c r="A362" s="14" t="n">
        <v>630</v>
      </c>
      <c r="B362" s="14" t="inlineStr">
        <is>
          <t>tic</t>
        </is>
      </c>
      <c r="C362" s="14" t="inlineStr">
        <is>
          <t>sol</t>
        </is>
      </c>
      <c r="D362" s="14" t="inlineStr">
        <is>
          <t>pow</t>
        </is>
      </c>
      <c r="E362" s="14" t="inlineStr">
        <is>
          <t>INVCOST</t>
        </is>
      </c>
      <c r="F362" s="92" t="inlineStr">
        <is>
          <t>INVCOST(AE513,AE606,$D630)</t>
        </is>
      </c>
    </row>
    <row r="363">
      <c r="A363" s="14" t="n">
        <v>631</v>
      </c>
      <c r="B363" s="14" t="inlineStr">
        <is>
          <t>tic</t>
        </is>
      </c>
      <c r="C363" s="14" t="inlineStr">
        <is>
          <t>hyd</t>
        </is>
      </c>
      <c r="D363" s="14" t="inlineStr">
        <is>
          <t>pow</t>
        </is>
      </c>
      <c r="E363" s="14" t="inlineStr">
        <is>
          <t>INVCOST</t>
        </is>
      </c>
      <c r="F363" s="92" t="inlineStr">
        <is>
          <t>INVCOST(AE514,AE607,$D631)</t>
        </is>
      </c>
    </row>
    <row r="364">
      <c r="A364" s="14" t="n">
        <v>632</v>
      </c>
      <c r="B364" s="14" t="inlineStr">
        <is>
          <t>tic</t>
        </is>
      </c>
      <c r="C364" s="14" t="inlineStr">
        <is>
          <t>ore</t>
        </is>
      </c>
      <c r="D364" s="14" t="inlineStr">
        <is>
          <t>pow</t>
        </is>
      </c>
      <c r="E364" s="14" t="inlineStr">
        <is>
          <t>INVCOST</t>
        </is>
      </c>
      <c r="F364" s="92" t="inlineStr">
        <is>
          <t>INVCOST(AE515,AE608,$D632)</t>
        </is>
      </c>
    </row>
    <row r="365">
      <c r="A365" s="14" t="n">
        <v>633</v>
      </c>
      <c r="B365" s="14" t="inlineStr">
        <is>
          <t>tic</t>
        </is>
      </c>
      <c r="C365" s="14" t="inlineStr">
        <is>
          <t>bio</t>
        </is>
      </c>
      <c r="D365" s="14" t="inlineStr">
        <is>
          <t>pow</t>
        </is>
      </c>
      <c r="E365" s="14" t="inlineStr">
        <is>
          <t>INVCOST</t>
        </is>
      </c>
      <c r="F365" s="92" t="inlineStr">
        <is>
          <t>INVCOST(AE516,AE609,$D633)</t>
        </is>
      </c>
    </row>
    <row r="366">
      <c r="A366" s="14" t="n">
        <v>636</v>
      </c>
      <c r="B366" s="14" t="inlineStr">
        <is>
          <t>cons</t>
        </is>
      </c>
      <c r="C366" s="14" t="inlineStr">
        <is>
          <t>ecy</t>
        </is>
      </c>
      <c r="D366" s="14" t="inlineStr">
        <is>
          <t>res</t>
        </is>
      </c>
      <c r="E366" s="14" t="inlineStr">
        <is>
          <t>CONSUMPTION</t>
        </is>
      </c>
      <c r="F366" s="92" t="inlineStr">
        <is>
          <t>CONSUMPTION(AE$695,AE$678,$D636,$E636,$F636)</t>
        </is>
      </c>
    </row>
    <row r="367">
      <c r="A367" s="14" t="n">
        <v>637</v>
      </c>
      <c r="B367" s="14" t="inlineStr">
        <is>
          <t>cons</t>
        </is>
      </c>
      <c r="C367" s="14" t="inlineStr">
        <is>
          <t>ecy</t>
        </is>
      </c>
      <c r="D367" s="14" t="inlineStr">
        <is>
          <t>ind</t>
        </is>
      </c>
      <c r="E367" s="14" t="inlineStr">
        <is>
          <t>CONSUMPTION</t>
        </is>
      </c>
      <c r="F367" s="92" t="inlineStr">
        <is>
          <t>CONSUMPTION(AE$695,AE$678,$D637,$E637,$F637)</t>
        </is>
      </c>
    </row>
    <row r="368">
      <c r="A368" s="14" t="n">
        <v>639</v>
      </c>
      <c r="B368" s="14" t="inlineStr">
        <is>
          <t>sc</t>
        </is>
      </c>
      <c r="C368" s="14" t="inlineStr">
        <is>
          <t>ecy</t>
        </is>
      </c>
      <c r="D368" s="14" t="inlineStr">
        <is>
          <t>res</t>
        </is>
      </c>
      <c r="E368" s="14" t="inlineStr">
        <is>
          <t>POWERSUPPLY</t>
        </is>
      </c>
      <c r="F368" s="92" t="inlineStr">
        <is>
          <t>POWERSUPPLY(AD$622,$D639)</t>
        </is>
      </c>
    </row>
    <row r="369">
      <c r="A369" s="14" t="n">
        <v>640</v>
      </c>
      <c r="B369" s="14" t="inlineStr">
        <is>
          <t>sc</t>
        </is>
      </c>
      <c r="C369" s="14" t="inlineStr">
        <is>
          <t>ecy</t>
        </is>
      </c>
      <c r="D369" s="14" t="inlineStr">
        <is>
          <t>ind</t>
        </is>
      </c>
      <c r="E369" s="14" t="inlineStr">
        <is>
          <t>POWERSUPPLY</t>
        </is>
      </c>
      <c r="F369" s="92" t="inlineStr">
        <is>
          <t>POWERSUPPLY(AD$622,$D640)</t>
        </is>
      </c>
    </row>
    <row r="370">
      <c r="A370" s="14" t="n">
        <v>642</v>
      </c>
      <c r="B370" s="14" t="inlineStr">
        <is>
          <t>rppre</t>
        </is>
      </c>
      <c r="C370" s="14" t="inlineStr">
        <is>
          <t>ecy</t>
        </is>
      </c>
      <c r="D370" s="14" t="inlineStr">
        <is>
          <t>res</t>
        </is>
      </c>
      <c r="E370" s="14" t="inlineStr">
        <is>
          <t>POWERPRICE</t>
        </is>
      </c>
      <c r="F370" s="92" t="inlineStr">
        <is>
          <t>POWERPRICE(AE$4,$E642,AD642,$D642,AE639,AD639,$F642)</t>
        </is>
      </c>
    </row>
    <row r="371">
      <c r="A371" s="14" t="n">
        <v>643</v>
      </c>
      <c r="B371" s="14" t="inlineStr">
        <is>
          <t>rppre</t>
        </is>
      </c>
      <c r="C371" s="14" t="inlineStr">
        <is>
          <t>ecy</t>
        </is>
      </c>
      <c r="D371" s="14" t="inlineStr">
        <is>
          <t>ind</t>
        </is>
      </c>
      <c r="E371" s="14" t="inlineStr">
        <is>
          <t>POWERPRICE</t>
        </is>
      </c>
      <c r="F371" s="92" t="inlineStr">
        <is>
          <t>POWERPRICE(AE$4,$E643,AD643,$D643,AE640,AD640,$F643)</t>
        </is>
      </c>
    </row>
    <row r="372">
      <c r="A372" s="14" t="n">
        <v>645</v>
      </c>
      <c r="B372" s="14" t="inlineStr">
        <is>
          <t>rp</t>
        </is>
      </c>
      <c r="C372" s="14" t="inlineStr">
        <is>
          <t>ecy</t>
        </is>
      </c>
      <c r="D372" s="14" t="inlineStr">
        <is>
          <t>res</t>
        </is>
      </c>
      <c r="E372" s="14" t="inlineStr">
        <is>
          <t>ENDUSERPOWER</t>
        </is>
      </c>
      <c r="F372" s="92" t="inlineStr">
        <is>
          <t>ENDUSERPOWER(AE642,AE$623,$D645,$E645)</t>
        </is>
      </c>
    </row>
    <row r="373">
      <c r="A373" s="14" t="n">
        <v>646</v>
      </c>
      <c r="B373" s="14" t="inlineStr">
        <is>
          <t>rp</t>
        </is>
      </c>
      <c r="C373" s="14" t="inlineStr">
        <is>
          <t>ecy</t>
        </is>
      </c>
      <c r="D373" s="14" t="inlineStr">
        <is>
          <t>ind</t>
        </is>
      </c>
      <c r="E373" s="14" t="inlineStr">
        <is>
          <t>ENDUSERPOWER</t>
        </is>
      </c>
      <c r="F373" s="92" t="inlineStr">
        <is>
          <t>ENDUSERPOWER(AE643,AE$623,$D646,$E646)</t>
        </is>
      </c>
    </row>
    <row r="374">
      <c r="A374" s="14" t="n">
        <v>648</v>
      </c>
      <c r="B374" s="14" t="inlineStr">
        <is>
          <t>sgap</t>
        </is>
      </c>
      <c r="C374" s="14" t="inlineStr">
        <is>
          <t>ecy</t>
        </is>
      </c>
      <c r="D374" s="14" t="inlineStr">
        <is>
          <t>res</t>
        </is>
      </c>
      <c r="E374" s="14" t="inlineStr">
        <is>
          <t>SUBSIDYGAP</t>
        </is>
      </c>
      <c r="F374" s="92" t="inlineStr">
        <is>
          <t>SUBSIDYGAP(AE639,AE642,$D648)</t>
        </is>
      </c>
    </row>
    <row r="375">
      <c r="A375" s="14" t="n">
        <v>649</v>
      </c>
      <c r="B375" s="14" t="inlineStr">
        <is>
          <t>sgap</t>
        </is>
      </c>
      <c r="C375" s="14" t="inlineStr">
        <is>
          <t>ecy</t>
        </is>
      </c>
      <c r="D375" s="14" t="inlineStr">
        <is>
          <t>ind</t>
        </is>
      </c>
      <c r="E375" s="14" t="inlineStr">
        <is>
          <t>SUBSIDYGAP</t>
        </is>
      </c>
      <c r="F375" s="92" t="inlineStr">
        <is>
          <t>SUBSIDYGAP(AE640,AE643,$D649)</t>
        </is>
      </c>
    </row>
    <row r="376">
      <c r="A376" s="14" t="n">
        <v>651</v>
      </c>
      <c r="B376" s="14" t="inlineStr">
        <is>
          <t>rvat</t>
        </is>
      </c>
      <c r="C376" s="14" t="inlineStr">
        <is>
          <t>ecy</t>
        </is>
      </c>
      <c r="D376" s="14" t="inlineStr">
        <is>
          <t>res</t>
        </is>
      </c>
      <c r="E376" s="14" t="inlineStr">
        <is>
          <t>POWERREV</t>
        </is>
      </c>
      <c r="F376" s="92" t="inlineStr">
        <is>
          <t>POWERREV(AE642,$D651,AE636)</t>
        </is>
      </c>
    </row>
    <row r="377">
      <c r="A377" s="14" t="n">
        <v>652</v>
      </c>
      <c r="B377" s="14" t="inlineStr">
        <is>
          <t>rvat</t>
        </is>
      </c>
      <c r="C377" s="14" t="inlineStr">
        <is>
          <t>ecy</t>
        </is>
      </c>
      <c r="D377" s="14" t="inlineStr">
        <is>
          <t>ind</t>
        </is>
      </c>
      <c r="E377" s="14" t="inlineStr">
        <is>
          <t>POWERREV</t>
        </is>
      </c>
      <c r="F377" s="92" t="inlineStr">
        <is>
          <t>POWERREV(AE643,$D652,AE637)</t>
        </is>
      </c>
    </row>
    <row r="378">
      <c r="A378" s="14" t="n">
        <v>654</v>
      </c>
      <c r="B378" s="14" t="inlineStr">
        <is>
          <t>rcarb</t>
        </is>
      </c>
      <c r="C378" s="14" t="inlineStr">
        <is>
          <t>ecy</t>
        </is>
      </c>
      <c r="D378" s="14" t="inlineStr">
        <is>
          <t>res</t>
        </is>
      </c>
      <c r="E378" s="14" t="inlineStr">
        <is>
          <t>POWERREV</t>
        </is>
      </c>
      <c r="F378" s="92" t="inlineStr">
        <is>
          <t>POWERREV(AE$623,$D654,AE636)</t>
        </is>
      </c>
    </row>
    <row r="379">
      <c r="A379" s="14" t="n">
        <v>655</v>
      </c>
      <c r="B379" s="14" t="inlineStr">
        <is>
          <t>rcarb</t>
        </is>
      </c>
      <c r="C379" s="14" t="inlineStr">
        <is>
          <t>ecy</t>
        </is>
      </c>
      <c r="D379" s="14" t="inlineStr">
        <is>
          <t>ind</t>
        </is>
      </c>
      <c r="E379" s="14" t="inlineStr">
        <is>
          <t>POWERREV</t>
        </is>
      </c>
      <c r="F379" s="92" t="inlineStr">
        <is>
          <t>POWERREV(AE$623,$D655,AE637)</t>
        </is>
      </c>
    </row>
    <row r="380">
      <c r="A380" s="14" t="n">
        <v>657</v>
      </c>
      <c r="B380" s="14" t="inlineStr">
        <is>
          <t>rnvat</t>
        </is>
      </c>
      <c r="C380" s="14" t="inlineStr">
        <is>
          <t>ecy</t>
        </is>
      </c>
      <c r="D380" s="14" t="inlineStr">
        <is>
          <t>res</t>
        </is>
      </c>
      <c r="E380" s="14" t="inlineStr">
        <is>
          <t>POWERREV</t>
        </is>
      </c>
      <c r="F380" s="92" t="inlineStr">
        <is>
          <t>POWERREV(AE$623*$D657,$E657,AE636)</t>
        </is>
      </c>
    </row>
    <row r="381">
      <c r="A381" s="14" t="n">
        <v>658</v>
      </c>
      <c r="B381" s="14" t="inlineStr">
        <is>
          <t>rnvat</t>
        </is>
      </c>
      <c r="C381" s="14" t="inlineStr">
        <is>
          <t>ecy</t>
        </is>
      </c>
      <c r="D381" s="14" t="inlineStr">
        <is>
          <t>ind</t>
        </is>
      </c>
      <c r="E381" s="14" t="inlineStr">
        <is>
          <t>POWERREV</t>
        </is>
      </c>
      <c r="F381" s="92" t="inlineStr">
        <is>
          <t>POWERREV(AE$623*$D658,$E658,AE637)</t>
        </is>
      </c>
    </row>
    <row r="382">
      <c r="A382" s="14" t="n">
        <v>660</v>
      </c>
      <c r="B382" s="14" t="inlineStr">
        <is>
          <t>rgap</t>
        </is>
      </c>
      <c r="C382" s="14" t="inlineStr">
        <is>
          <t>ecy</t>
        </is>
      </c>
      <c r="D382" s="14" t="inlineStr">
        <is>
          <t>res</t>
        </is>
      </c>
      <c r="E382" s="14" t="inlineStr">
        <is>
          <t>POWERREV</t>
        </is>
      </c>
      <c r="F382" s="92" t="inlineStr">
        <is>
          <t>POWERREV(AE648,$D660,AE636)</t>
        </is>
      </c>
    </row>
    <row r="383">
      <c r="A383" s="14" t="n">
        <v>661</v>
      </c>
      <c r="B383" s="14" t="inlineStr">
        <is>
          <t>rgap</t>
        </is>
      </c>
      <c r="C383" s="14" t="inlineStr">
        <is>
          <t>ecy</t>
        </is>
      </c>
      <c r="D383" s="14" t="inlineStr">
        <is>
          <t>ind</t>
        </is>
      </c>
      <c r="E383" s="14" t="inlineStr">
        <is>
          <t>POWERREV</t>
        </is>
      </c>
      <c r="F383" s="92" t="inlineStr">
        <is>
          <t>POWERREV(AE649,$D661,AE637)</t>
        </is>
      </c>
    </row>
    <row r="384">
      <c r="A384" s="14" t="n">
        <v>664</v>
      </c>
      <c r="B384" s="14" t="inlineStr">
        <is>
          <t>pdem</t>
        </is>
      </c>
      <c r="C384" s="14" t="inlineStr">
        <is>
          <t>ecy</t>
        </is>
      </c>
      <c r="D384" s="14" t="inlineStr">
        <is>
          <t>tra</t>
        </is>
      </c>
      <c r="E384" s="14" t="inlineStr">
        <is>
          <t>PRICEMIX</t>
        </is>
      </c>
      <c r="F384" s="92" t="inlineStr">
        <is>
          <t>PRICEMIX($D664,AD$645,AD$646)</t>
        </is>
      </c>
    </row>
    <row r="385">
      <c r="A385" s="14" t="n">
        <v>665</v>
      </c>
      <c r="B385" s="14" t="inlineStr">
        <is>
          <t>pdem</t>
        </is>
      </c>
      <c r="C385" s="14" t="inlineStr">
        <is>
          <t>ecy</t>
        </is>
      </c>
      <c r="D385" s="14" t="inlineStr">
        <is>
          <t>res</t>
        </is>
      </c>
      <c r="E385" s="14" t="inlineStr">
        <is>
          <t>PRICEMIX</t>
        </is>
      </c>
      <c r="F385" s="92" t="inlineStr">
        <is>
          <t>PRICEMIX($D665,AD$645,AD$646)</t>
        </is>
      </c>
    </row>
    <row r="386">
      <c r="A386" s="14" t="n">
        <v>666</v>
      </c>
      <c r="B386" s="14" t="inlineStr">
        <is>
          <t>pdem</t>
        </is>
      </c>
      <c r="C386" s="14" t="inlineStr">
        <is>
          <t>ecy</t>
        </is>
      </c>
      <c r="D386" s="14" t="inlineStr">
        <is>
          <t>ind</t>
        </is>
      </c>
      <c r="E386" s="14" t="inlineStr">
        <is>
          <t>PRICEMIX</t>
        </is>
      </c>
      <c r="F386" s="92" t="inlineStr">
        <is>
          <t>PRICEMIX($D666,AD$645,AD$646)</t>
        </is>
      </c>
    </row>
    <row r="387">
      <c r="A387" s="14" t="n">
        <v>667</v>
      </c>
      <c r="B387" s="14" t="inlineStr">
        <is>
          <t>pdem</t>
        </is>
      </c>
      <c r="C387" s="14" t="inlineStr">
        <is>
          <t>ecy</t>
        </is>
      </c>
      <c r="D387" s="14" t="inlineStr">
        <is>
          <t>srv</t>
        </is>
      </c>
      <c r="E387" s="14" t="inlineStr">
        <is>
          <t>PRICEMIX</t>
        </is>
      </c>
      <c r="F387" s="92" t="inlineStr">
        <is>
          <t>PRICEMIX($D667,AD$645,AD$646)</t>
        </is>
      </c>
    </row>
    <row r="388">
      <c r="A388" s="14" t="n">
        <v>669</v>
      </c>
      <c r="B388" s="14" t="inlineStr">
        <is>
          <t>mult</t>
        </is>
      </c>
      <c r="C388" s="14" t="inlineStr">
        <is>
          <t>ecy</t>
        </is>
      </c>
      <c r="D388" s="14" t="inlineStr">
        <is>
          <t>tra</t>
        </is>
      </c>
      <c r="E388" s="14" t="inlineStr">
        <is>
          <t>DEMANDMULT</t>
        </is>
      </c>
      <c r="F388" s="92" t="inlineStr">
        <is>
          <t>DEMANDMULT($D669,AE$7,$E669,AE$463,AE664,AD664,$F669,AE$464,Settings!$C$19)</t>
        </is>
      </c>
    </row>
    <row r="389">
      <c r="A389" s="14" t="n">
        <v>670</v>
      </c>
      <c r="B389" s="14" t="inlineStr">
        <is>
          <t>mult</t>
        </is>
      </c>
      <c r="C389" s="14" t="inlineStr">
        <is>
          <t>ecy</t>
        </is>
      </c>
      <c r="D389" s="14" t="inlineStr">
        <is>
          <t>res</t>
        </is>
      </c>
      <c r="E389" s="14" t="inlineStr">
        <is>
          <t>DEMANDMULT</t>
        </is>
      </c>
      <c r="F389" s="92" t="inlineStr">
        <is>
          <t>DEMANDMULT($D670,AE$7,$E670,AE$463,AE665,AD665,$F670,AE$464,Settings!$C$19)</t>
        </is>
      </c>
    </row>
    <row r="390">
      <c r="A390" s="14" t="n">
        <v>671</v>
      </c>
      <c r="B390" s="14" t="inlineStr">
        <is>
          <t>mult</t>
        </is>
      </c>
      <c r="C390" s="14" t="inlineStr">
        <is>
          <t>ecy</t>
        </is>
      </c>
      <c r="D390" s="14" t="inlineStr">
        <is>
          <t>ind</t>
        </is>
      </c>
      <c r="E390" s="14" t="inlineStr">
        <is>
          <t>DEMANDMULT</t>
        </is>
      </c>
      <c r="F390" s="92" t="inlineStr">
        <is>
          <t>DEMANDMULT($D671,AE$7,$E671,AE$463,AE666,AD666,$F671,AE$464,Settings!$C$19)</t>
        </is>
      </c>
    </row>
    <row r="391">
      <c r="A391" s="14" t="n">
        <v>672</v>
      </c>
      <c r="B391" s="14" t="inlineStr">
        <is>
          <t>mult</t>
        </is>
      </c>
      <c r="C391" s="14" t="inlineStr">
        <is>
          <t>ecy</t>
        </is>
      </c>
      <c r="D391" s="14" t="inlineStr">
        <is>
          <t>srv</t>
        </is>
      </c>
      <c r="E391" s="14" t="inlineStr">
        <is>
          <t>DEMANDMULT</t>
        </is>
      </c>
      <c r="F391" s="92" t="inlineStr">
        <is>
          <t>DEMANDMULT($D672,AE$7,$E672,AE$463,AE667,AD667,$F672,AE$464,Settings!$C$19)</t>
        </is>
      </c>
    </row>
    <row r="392">
      <c r="A392" s="14" t="n">
        <v>674</v>
      </c>
      <c r="B392" s="14" t="inlineStr">
        <is>
          <t>dem</t>
        </is>
      </c>
      <c r="C392" s="14" t="inlineStr">
        <is>
          <t>ecy</t>
        </is>
      </c>
      <c r="D392" s="14" t="inlineStr">
        <is>
          <t>rod</t>
        </is>
      </c>
      <c r="E392" s="14" t="inlineStr">
        <is>
          <t>GROW</t>
        </is>
      </c>
      <c r="F392" s="92" t="inlineStr">
        <is>
          <t>GROW(AD674,INDEX(AE$669:AE$672,$D674))</t>
        </is>
      </c>
    </row>
    <row r="393">
      <c r="A393" s="14" t="n">
        <v>675</v>
      </c>
      <c r="B393" s="14" t="inlineStr">
        <is>
          <t>dem</t>
        </is>
      </c>
      <c r="C393" s="14" t="inlineStr">
        <is>
          <t>ecy</t>
        </is>
      </c>
      <c r="D393" s="14" t="inlineStr">
        <is>
          <t>ral</t>
        </is>
      </c>
      <c r="E393" s="14" t="inlineStr">
        <is>
          <t>GROW</t>
        </is>
      </c>
      <c r="F393" s="92" t="inlineStr">
        <is>
          <t>GROW(AD675,INDEX(AE$669:AE$672,$D675))</t>
        </is>
      </c>
    </row>
    <row r="394">
      <c r="A394" s="14" t="n">
        <v>676</v>
      </c>
      <c r="B394" s="14" t="inlineStr">
        <is>
          <t>dem</t>
        </is>
      </c>
      <c r="C394" s="14" t="inlineStr">
        <is>
          <t>ecy</t>
        </is>
      </c>
      <c r="D394" s="14" t="inlineStr">
        <is>
          <t>avi</t>
        </is>
      </c>
      <c r="E394" s="14" t="inlineStr">
        <is>
          <t>GROW</t>
        </is>
      </c>
      <c r="F394" s="92" t="inlineStr">
        <is>
          <t>GROW(AD676,INDEX(AE$669:AE$672,$D676))</t>
        </is>
      </c>
    </row>
    <row r="395">
      <c r="A395" s="14" t="n">
        <v>677</v>
      </c>
      <c r="B395" s="14" t="inlineStr">
        <is>
          <t>dem</t>
        </is>
      </c>
      <c r="C395" s="14" t="inlineStr">
        <is>
          <t>ecy</t>
        </is>
      </c>
      <c r="D395" s="14" t="inlineStr">
        <is>
          <t>nav</t>
        </is>
      </c>
      <c r="E395" s="14" t="inlineStr">
        <is>
          <t>GROW</t>
        </is>
      </c>
      <c r="F395" s="92" t="inlineStr">
        <is>
          <t>GROW(AD677,INDEX(AE$669:AE$672,$D677))</t>
        </is>
      </c>
    </row>
    <row r="396">
      <c r="A396" s="14" t="n">
        <v>678</v>
      </c>
      <c r="B396" s="14" t="inlineStr">
        <is>
          <t>dem</t>
        </is>
      </c>
      <c r="C396" s="14" t="inlineStr">
        <is>
          <t>ecy</t>
        </is>
      </c>
      <c r="D396" s="14" t="inlineStr">
        <is>
          <t>res</t>
        </is>
      </c>
      <c r="E396" s="14" t="inlineStr">
        <is>
          <t>GROW</t>
        </is>
      </c>
      <c r="F396" s="92" t="inlineStr">
        <is>
          <t>GROW(AD678,INDEX(AE$669:AE$672,$D678))</t>
        </is>
      </c>
    </row>
    <row r="397">
      <c r="A397" s="14" t="n">
        <v>679</v>
      </c>
      <c r="B397" s="14" t="inlineStr">
        <is>
          <t>dem</t>
        </is>
      </c>
      <c r="C397" s="14" t="inlineStr">
        <is>
          <t>ecy</t>
        </is>
      </c>
      <c r="D397" s="14" t="inlineStr">
        <is>
          <t>foo</t>
        </is>
      </c>
      <c r="E397" s="14" t="inlineStr">
        <is>
          <t>GROW</t>
        </is>
      </c>
      <c r="F397" s="92" t="inlineStr">
        <is>
          <t>GROW(AD679,INDEX(AE$669:AE$672,$D679))</t>
        </is>
      </c>
    </row>
    <row r="398">
      <c r="A398" s="14" t="n">
        <v>680</v>
      </c>
      <c r="B398" s="14" t="inlineStr">
        <is>
          <t>dem</t>
        </is>
      </c>
      <c r="C398" s="14" t="inlineStr">
        <is>
          <t>ecy</t>
        </is>
      </c>
      <c r="D398" s="14" t="inlineStr">
        <is>
          <t>srv</t>
        </is>
      </c>
      <c r="E398" s="14" t="inlineStr">
        <is>
          <t>GROW</t>
        </is>
      </c>
      <c r="F398" s="92" t="inlineStr">
        <is>
          <t>GROW(AD680,INDEX(AE$669:AE$672,$D680))</t>
        </is>
      </c>
    </row>
    <row r="399">
      <c r="A399" s="14" t="n">
        <v>681</v>
      </c>
      <c r="B399" s="14" t="inlineStr">
        <is>
          <t>dem</t>
        </is>
      </c>
      <c r="C399" s="14" t="inlineStr">
        <is>
          <t>ecy</t>
        </is>
      </c>
      <c r="D399" s="14" t="inlineStr">
        <is>
          <t>mch</t>
        </is>
      </c>
      <c r="E399" s="14" t="inlineStr">
        <is>
          <t>GROW</t>
        </is>
      </c>
      <c r="F399" s="92" t="inlineStr">
        <is>
          <t>GROW(AD681,INDEX(AE$669:AE$672,$D681))</t>
        </is>
      </c>
    </row>
    <row r="400">
      <c r="A400" s="14" t="n">
        <v>682</v>
      </c>
      <c r="B400" s="14" t="inlineStr">
        <is>
          <t>dem</t>
        </is>
      </c>
      <c r="C400" s="14" t="inlineStr">
        <is>
          <t>ecy</t>
        </is>
      </c>
      <c r="D400" s="14" t="inlineStr">
        <is>
          <t>irn</t>
        </is>
      </c>
      <c r="E400" s="14" t="inlineStr">
        <is>
          <t>GROW</t>
        </is>
      </c>
      <c r="F400" s="92" t="inlineStr">
        <is>
          <t>GROW(AD682,INDEX(AE$669:AE$672,$D682))</t>
        </is>
      </c>
    </row>
    <row r="401">
      <c r="A401" s="14" t="n">
        <v>683</v>
      </c>
      <c r="B401" s="14" t="inlineStr">
        <is>
          <t>dem</t>
        </is>
      </c>
      <c r="C401" s="14" t="inlineStr">
        <is>
          <t>ecy</t>
        </is>
      </c>
      <c r="D401" s="14" t="inlineStr">
        <is>
          <t>nfm</t>
        </is>
      </c>
      <c r="E401" s="14" t="inlineStr">
        <is>
          <t>GROW</t>
        </is>
      </c>
      <c r="F401" s="92" t="inlineStr">
        <is>
          <t>GROW(AD683,INDEX(AE$669:AE$672,$D683))</t>
        </is>
      </c>
    </row>
    <row r="402">
      <c r="A402" s="14" t="n">
        <v>684</v>
      </c>
      <c r="B402" s="14" t="inlineStr">
        <is>
          <t>dem</t>
        </is>
      </c>
      <c r="C402" s="14" t="inlineStr">
        <is>
          <t>ecy</t>
        </is>
      </c>
      <c r="D402" s="14" t="inlineStr">
        <is>
          <t>mac</t>
        </is>
      </c>
      <c r="E402" s="14" t="inlineStr">
        <is>
          <t>GROW</t>
        </is>
      </c>
      <c r="F402" s="92" t="inlineStr">
        <is>
          <t>GROW(AD684,INDEX(AE$669:AE$672,$D684))</t>
        </is>
      </c>
    </row>
    <row r="403">
      <c r="A403" s="14" t="n">
        <v>685</v>
      </c>
      <c r="B403" s="14" t="inlineStr">
        <is>
          <t>dem</t>
        </is>
      </c>
      <c r="C403" s="14" t="inlineStr">
        <is>
          <t>ecy</t>
        </is>
      </c>
      <c r="D403" s="14" t="inlineStr">
        <is>
          <t>cem</t>
        </is>
      </c>
      <c r="E403" s="14" t="inlineStr">
        <is>
          <t>GROW</t>
        </is>
      </c>
      <c r="F403" s="92" t="inlineStr">
        <is>
          <t>GROW(AD685,INDEX(AE$669:AE$672,$D685))</t>
        </is>
      </c>
    </row>
    <row r="404">
      <c r="A404" s="14" t="n">
        <v>686</v>
      </c>
      <c r="B404" s="14" t="inlineStr">
        <is>
          <t>dem</t>
        </is>
      </c>
      <c r="C404" s="14" t="inlineStr">
        <is>
          <t>ecy</t>
        </is>
      </c>
      <c r="D404" s="14" t="inlineStr">
        <is>
          <t>omn</t>
        </is>
      </c>
      <c r="E404" s="14" t="inlineStr">
        <is>
          <t>GROW</t>
        </is>
      </c>
      <c r="F404" s="92" t="inlineStr">
        <is>
          <t>GROW(AD686,INDEX(AE$669:AE$672,$D686))</t>
        </is>
      </c>
    </row>
    <row r="405">
      <c r="A405" s="14" t="n">
        <v>687</v>
      </c>
      <c r="B405" s="14" t="inlineStr">
        <is>
          <t>dem</t>
        </is>
      </c>
      <c r="C405" s="14" t="inlineStr">
        <is>
          <t>ecy</t>
        </is>
      </c>
      <c r="D405" s="14" t="inlineStr">
        <is>
          <t>cst</t>
        </is>
      </c>
      <c r="E405" s="14" t="inlineStr">
        <is>
          <t>GROW</t>
        </is>
      </c>
      <c r="F405" s="92" t="inlineStr">
        <is>
          <t>GROW(AD687,INDEX(AE$669:AE$672,$D687))</t>
        </is>
      </c>
    </row>
    <row r="406">
      <c r="A406" s="14" t="n">
        <v>688</v>
      </c>
      <c r="B406" s="14" t="inlineStr">
        <is>
          <t>dem</t>
        </is>
      </c>
      <c r="C406" s="14" t="inlineStr">
        <is>
          <t>ecy</t>
        </is>
      </c>
      <c r="D406" s="14" t="inlineStr">
        <is>
          <t>oen</t>
        </is>
      </c>
      <c r="E406" s="14" t="inlineStr">
        <is>
          <t>GROW</t>
        </is>
      </c>
      <c r="F406" s="92" t="inlineStr">
        <is>
          <t>GROW(AD688,INDEX(AE$669:AE$672,$D688))</t>
        </is>
      </c>
    </row>
    <row r="407">
      <c r="A407" s="14" t="n">
        <v>696</v>
      </c>
      <c r="B407" s="14" t="inlineStr">
        <is>
          <t>req</t>
        </is>
      </c>
      <c r="C407" s="14" t="inlineStr"/>
      <c r="D407" s="14" t="inlineStr"/>
      <c r="E407" s="14" t="inlineStr">
        <is>
          <t>SCALE</t>
        </is>
      </c>
      <c r="F407" s="92" t="inlineStr">
        <is>
          <t>SCALE(AE$695,$D696)</t>
        </is>
      </c>
    </row>
    <row r="408">
      <c r="A408" s="14" t="n">
        <v>699</v>
      </c>
      <c r="B408" s="14" t="inlineStr">
        <is>
          <t>reqcg</t>
        </is>
      </c>
      <c r="C408" s="14" t="inlineStr"/>
      <c r="D408" s="14" t="inlineStr"/>
      <c r="E408" s="14" t="inlineStr">
        <is>
          <t>RESIDUAL</t>
        </is>
      </c>
      <c r="F408" s="92" t="inlineStr">
        <is>
          <t>RESIDUAL(AE$696,SUMPRODUCT(AE$784:AE$792,1-$D$723:$D$731))</t>
        </is>
      </c>
    </row>
    <row r="409">
      <c r="A409" s="14" t="n">
        <v>700</v>
      </c>
      <c r="B409" s="14" t="inlineStr">
        <is>
          <t>vcmin</t>
        </is>
      </c>
      <c r="C409" s="14" t="inlineStr"/>
      <c r="D409" s="14" t="inlineStr"/>
      <c r="E409" s="14" t="inlineStr">
        <is>
          <t>FLOORMIN</t>
        </is>
      </c>
      <c r="F409" s="92" t="inlineStr">
        <is>
          <t>FLOORMIN(AE$571:AE$579,$D$723:$D$731,$D700)</t>
        </is>
      </c>
    </row>
    <row r="410">
      <c r="A410" s="14" t="n">
        <v>701</v>
      </c>
      <c r="B410" s="14" t="inlineStr">
        <is>
          <t>rem</t>
        </is>
      </c>
      <c r="C410" s="14" t="inlineStr"/>
      <c r="D410" s="14" t="inlineStr"/>
      <c r="E410" s="14" t="inlineStr">
        <is>
          <t>RESIDUAL</t>
        </is>
      </c>
      <c r="F410" s="92" t="inlineStr">
        <is>
          <t>RESIDUAL(AE$699,SUM(AE$703:AE$711))</t>
        </is>
      </c>
    </row>
    <row r="411">
      <c r="A411" s="14" t="n">
        <v>703</v>
      </c>
      <c r="B411" s="14" t="inlineStr">
        <is>
          <t>gmin</t>
        </is>
      </c>
      <c r="C411" s="14" t="inlineStr">
        <is>
          <t>coa</t>
        </is>
      </c>
      <c r="D411" s="14" t="inlineStr">
        <is>
          <t>pow</t>
        </is>
      </c>
      <c r="E411" s="14" t="inlineStr">
        <is>
          <t>MINDISPATCH</t>
        </is>
      </c>
      <c r="F411" s="92" t="inlineStr">
        <is>
          <t>MINDISPATCH($D703,AE$699,SUMPRODUCT(AE$772:AE$780,$D$723:$D$731)*$E703,AE772*$E703)</t>
        </is>
      </c>
    </row>
    <row r="412">
      <c r="A412" s="14" t="n">
        <v>704</v>
      </c>
      <c r="B412" s="14" t="inlineStr">
        <is>
          <t>gmin</t>
        </is>
      </c>
      <c r="C412" s="14" t="inlineStr">
        <is>
          <t>nga</t>
        </is>
      </c>
      <c r="D412" s="14" t="inlineStr">
        <is>
          <t>pow</t>
        </is>
      </c>
      <c r="E412" s="14" t="inlineStr">
        <is>
          <t>MINDISPATCH</t>
        </is>
      </c>
      <c r="F412" s="92" t="inlineStr">
        <is>
          <t>MINDISPATCH($D704,AE$699,SUMPRODUCT(AE$772:AE$780,$D$723:$D$731)*$E704,AE773*$E704)</t>
        </is>
      </c>
    </row>
    <row r="413">
      <c r="A413" s="14" t="n">
        <v>705</v>
      </c>
      <c r="B413" s="14" t="inlineStr">
        <is>
          <t>gmin</t>
        </is>
      </c>
      <c r="C413" s="14" t="inlineStr">
        <is>
          <t>oop</t>
        </is>
      </c>
      <c r="D413" s="14" t="inlineStr">
        <is>
          <t>pow</t>
        </is>
      </c>
      <c r="E413" s="14" t="inlineStr">
        <is>
          <t>MINDISPATCH</t>
        </is>
      </c>
      <c r="F413" s="92" t="inlineStr">
        <is>
          <t>MINDISPATCH($D705,AE$699,SUMPRODUCT(AE$772:AE$780,$D$723:$D$731)*$E705,AE774*$E705)</t>
        </is>
      </c>
    </row>
    <row r="414">
      <c r="A414" s="14" t="n">
        <v>706</v>
      </c>
      <c r="B414" s="14" t="inlineStr">
        <is>
          <t>gmin</t>
        </is>
      </c>
      <c r="C414" s="14" t="inlineStr">
        <is>
          <t>nuc</t>
        </is>
      </c>
      <c r="D414" s="14" t="inlineStr">
        <is>
          <t>pow</t>
        </is>
      </c>
      <c r="E414" s="14" t="inlineStr">
        <is>
          <t>MINDISPATCH</t>
        </is>
      </c>
      <c r="F414" s="92" t="inlineStr">
        <is>
          <t>MINDISPATCH($D706,AE$699,SUMPRODUCT(AE$772:AE$780,$D$723:$D$731)*$E706,AE775*$E706)</t>
        </is>
      </c>
    </row>
    <row r="415">
      <c r="A415" s="14" t="n">
        <v>707</v>
      </c>
      <c r="B415" s="14" t="inlineStr">
        <is>
          <t>gmin</t>
        </is>
      </c>
      <c r="C415" s="14" t="inlineStr">
        <is>
          <t>wnd</t>
        </is>
      </c>
      <c r="D415" s="14" t="inlineStr">
        <is>
          <t>pow</t>
        </is>
      </c>
      <c r="E415" s="14" t="inlineStr">
        <is>
          <t>MINDISPATCH</t>
        </is>
      </c>
      <c r="F415" s="92" t="inlineStr">
        <is>
          <t>MINDISPATCH($D707,AE$699,SUMPRODUCT(AE$772:AE$780,$D$723:$D$731)*$E707,AE776*$E707)</t>
        </is>
      </c>
    </row>
    <row r="416">
      <c r="A416" s="14" t="n">
        <v>708</v>
      </c>
      <c r="B416" s="14" t="inlineStr">
        <is>
          <t>gmin</t>
        </is>
      </c>
      <c r="C416" s="14" t="inlineStr">
        <is>
          <t>sol</t>
        </is>
      </c>
      <c r="D416" s="14" t="inlineStr">
        <is>
          <t>pow</t>
        </is>
      </c>
      <c r="E416" s="14" t="inlineStr">
        <is>
          <t>MINDISPATCH</t>
        </is>
      </c>
      <c r="F416" s="92" t="inlineStr">
        <is>
          <t>MINDISPATCH($D708,AE$699,SUMPRODUCT(AE$772:AE$780,$D$723:$D$731)*$E708,AE777*$E708)</t>
        </is>
      </c>
    </row>
    <row r="417">
      <c r="A417" s="14" t="n">
        <v>709</v>
      </c>
      <c r="B417" s="14" t="inlineStr">
        <is>
          <t>gmin</t>
        </is>
      </c>
      <c r="C417" s="14" t="inlineStr">
        <is>
          <t>hyd</t>
        </is>
      </c>
      <c r="D417" s="14" t="inlineStr">
        <is>
          <t>pow</t>
        </is>
      </c>
      <c r="E417" s="14" t="inlineStr">
        <is>
          <t>MINDISPATCH</t>
        </is>
      </c>
      <c r="F417" s="92" t="inlineStr">
        <is>
          <t>MINDISPATCH($D709,AE$699,SUMPRODUCT(AE$772:AE$780,$D$723:$D$731)*$E709,AE778*$E709)</t>
        </is>
      </c>
    </row>
    <row r="418">
      <c r="A418" s="14" t="n">
        <v>710</v>
      </c>
      <c r="B418" s="14" t="inlineStr">
        <is>
          <t>gmin</t>
        </is>
      </c>
      <c r="C418" s="14" t="inlineStr">
        <is>
          <t>ore</t>
        </is>
      </c>
      <c r="D418" s="14" t="inlineStr">
        <is>
          <t>pow</t>
        </is>
      </c>
      <c r="E418" s="14" t="inlineStr">
        <is>
          <t>MINDISPATCH</t>
        </is>
      </c>
      <c r="F418" s="92" t="inlineStr">
        <is>
          <t>MINDISPATCH($D710,AE$699,SUMPRODUCT(AE$772:AE$780,$D$723:$D$731)*$E710,AE779*$E710)</t>
        </is>
      </c>
    </row>
    <row r="419">
      <c r="A419" s="14" t="n">
        <v>711</v>
      </c>
      <c r="B419" s="14" t="inlineStr">
        <is>
          <t>gmin</t>
        </is>
      </c>
      <c r="C419" s="14" t="inlineStr">
        <is>
          <t>bio</t>
        </is>
      </c>
      <c r="D419" s="14" t="inlineStr">
        <is>
          <t>pow</t>
        </is>
      </c>
      <c r="E419" s="14" t="inlineStr">
        <is>
          <t>MINDISPATCH</t>
        </is>
      </c>
      <c r="F419" s="92" t="inlineStr">
        <is>
          <t>MINDISPATCH($D711,AE$699,SUMPRODUCT(AE$772:AE$780,$D$723:$D$731)*$E711,AE780*$E711)</t>
        </is>
      </c>
    </row>
    <row r="420">
      <c r="A420" s="14" t="n">
        <v>713</v>
      </c>
      <c r="B420" s="14" t="inlineStr">
        <is>
          <t>lgd</t>
        </is>
      </c>
      <c r="C420" s="14" t="inlineStr">
        <is>
          <t>coa</t>
        </is>
      </c>
      <c r="D420" s="14" t="inlineStr">
        <is>
          <t>pow</t>
        </is>
      </c>
      <c r="E420" s="14" t="inlineStr">
        <is>
          <t>LOGITW</t>
        </is>
      </c>
      <c r="F420" s="92" t="inlineStr">
        <is>
          <t>LOGITW($D713,$E713,MAX(AE571,$F713),AE$700)</t>
        </is>
      </c>
    </row>
    <row r="421">
      <c r="A421" s="14" t="n">
        <v>714</v>
      </c>
      <c r="B421" s="14" t="inlineStr">
        <is>
          <t>lgd</t>
        </is>
      </c>
      <c r="C421" s="14" t="inlineStr">
        <is>
          <t>nga</t>
        </is>
      </c>
      <c r="D421" s="14" t="inlineStr">
        <is>
          <t>pow</t>
        </is>
      </c>
      <c r="E421" s="14" t="inlineStr">
        <is>
          <t>LOGITW</t>
        </is>
      </c>
      <c r="F421" s="92" t="inlineStr">
        <is>
          <t>LOGITW($D714,$E714,MAX(AE572,$F714),AE$700)</t>
        </is>
      </c>
    </row>
    <row r="422">
      <c r="A422" s="14" t="n">
        <v>715</v>
      </c>
      <c r="B422" s="14" t="inlineStr">
        <is>
          <t>lgd</t>
        </is>
      </c>
      <c r="C422" s="14" t="inlineStr">
        <is>
          <t>oop</t>
        </is>
      </c>
      <c r="D422" s="14" t="inlineStr">
        <is>
          <t>pow</t>
        </is>
      </c>
      <c r="E422" s="14" t="inlineStr">
        <is>
          <t>LOGITW</t>
        </is>
      </c>
      <c r="F422" s="92" t="inlineStr">
        <is>
          <t>LOGITW($D715,$E715,MAX(AE573,$F715),AE$700)</t>
        </is>
      </c>
    </row>
    <row r="423">
      <c r="A423" s="14" t="n">
        <v>716</v>
      </c>
      <c r="B423" s="14" t="inlineStr">
        <is>
          <t>lgd</t>
        </is>
      </c>
      <c r="C423" s="14" t="inlineStr">
        <is>
          <t>nuc</t>
        </is>
      </c>
      <c r="D423" s="14" t="inlineStr">
        <is>
          <t>pow</t>
        </is>
      </c>
      <c r="E423" s="14" t="inlineStr">
        <is>
          <t>LOGITW</t>
        </is>
      </c>
      <c r="F423" s="92" t="inlineStr">
        <is>
          <t>LOGITW($D716,$E716,MAX(AE574,$F716),AE$700)</t>
        </is>
      </c>
    </row>
    <row r="424">
      <c r="A424" s="14" t="n">
        <v>717</v>
      </c>
      <c r="B424" s="14" t="inlineStr">
        <is>
          <t>lgd</t>
        </is>
      </c>
      <c r="C424" s="14" t="inlineStr">
        <is>
          <t>wnd</t>
        </is>
      </c>
      <c r="D424" s="14" t="inlineStr">
        <is>
          <t>pow</t>
        </is>
      </c>
      <c r="E424" s="14" t="inlineStr">
        <is>
          <t>LOGITW</t>
        </is>
      </c>
      <c r="F424" s="92" t="inlineStr">
        <is>
          <t>LOGITW($D717,$E717,MAX(AE575,$F717),AE$700)</t>
        </is>
      </c>
    </row>
    <row r="425">
      <c r="A425" s="14" t="n">
        <v>718</v>
      </c>
      <c r="B425" s="14" t="inlineStr">
        <is>
          <t>lgd</t>
        </is>
      </c>
      <c r="C425" s="14" t="inlineStr">
        <is>
          <t>sol</t>
        </is>
      </c>
      <c r="D425" s="14" t="inlineStr">
        <is>
          <t>pow</t>
        </is>
      </c>
      <c r="E425" s="14" t="inlineStr">
        <is>
          <t>LOGITW</t>
        </is>
      </c>
      <c r="F425" s="92" t="inlineStr">
        <is>
          <t>LOGITW($D718,$E718,MAX(AE576,$F718),AE$700)</t>
        </is>
      </c>
    </row>
    <row r="426">
      <c r="A426" s="14" t="n">
        <v>719</v>
      </c>
      <c r="B426" s="14" t="inlineStr">
        <is>
          <t>lgd</t>
        </is>
      </c>
      <c r="C426" s="14" t="inlineStr">
        <is>
          <t>hyd</t>
        </is>
      </c>
      <c r="D426" s="14" t="inlineStr">
        <is>
          <t>pow</t>
        </is>
      </c>
      <c r="E426" s="14" t="inlineStr">
        <is>
          <t>LOGITW</t>
        </is>
      </c>
      <c r="F426" s="92" t="inlineStr">
        <is>
          <t>LOGITW($D719,$E719,MAX(AE577,$F719),AE$700)</t>
        </is>
      </c>
    </row>
    <row r="427">
      <c r="A427" s="14" t="n">
        <v>720</v>
      </c>
      <c r="B427" s="14" t="inlineStr">
        <is>
          <t>lgd</t>
        </is>
      </c>
      <c r="C427" s="14" t="inlineStr">
        <is>
          <t>ore</t>
        </is>
      </c>
      <c r="D427" s="14" t="inlineStr">
        <is>
          <t>pow</t>
        </is>
      </c>
      <c r="E427" s="14" t="inlineStr">
        <is>
          <t>LOGITW</t>
        </is>
      </c>
      <c r="F427" s="92" t="inlineStr">
        <is>
          <t>LOGITW($D720,$E720,MAX(AE578,$F720),AE$700)</t>
        </is>
      </c>
    </row>
    <row r="428">
      <c r="A428" s="14" t="n">
        <v>721</v>
      </c>
      <c r="B428" s="14" t="inlineStr">
        <is>
          <t>lgd</t>
        </is>
      </c>
      <c r="C428" s="14" t="inlineStr">
        <is>
          <t>bio</t>
        </is>
      </c>
      <c r="D428" s="14" t="inlineStr">
        <is>
          <t>pow</t>
        </is>
      </c>
      <c r="E428" s="14" t="inlineStr">
        <is>
          <t>LOGITW</t>
        </is>
      </c>
      <c r="F428" s="92" t="inlineStr">
        <is>
          <t>LOGITW($D721,$E721,MAX(AE579,$F721),AE$700)</t>
        </is>
      </c>
    </row>
    <row r="429">
      <c r="A429" s="14" t="n">
        <v>723</v>
      </c>
      <c r="B429" s="14" t="inlineStr">
        <is>
          <t>gen</t>
        </is>
      </c>
      <c r="C429" s="14" t="inlineStr">
        <is>
          <t>coa</t>
        </is>
      </c>
      <c r="D429" s="14" t="inlineStr">
        <is>
          <t>pow</t>
        </is>
      </c>
      <c r="E429" s="14" t="inlineStr">
        <is>
          <t>DISPATCH</t>
        </is>
      </c>
      <c r="F429" s="92" t="inlineStr">
        <is>
          <t>DISPATCH($D723,AE784,AE772*$E723,AE703,AE$701,AE713,SUM(AE$713:AE$721))</t>
        </is>
      </c>
    </row>
    <row r="430">
      <c r="A430" s="14" t="n">
        <v>724</v>
      </c>
      <c r="B430" s="14" t="inlineStr">
        <is>
          <t>gen</t>
        </is>
      </c>
      <c r="C430" s="14" t="inlineStr">
        <is>
          <t>nga</t>
        </is>
      </c>
      <c r="D430" s="14" t="inlineStr">
        <is>
          <t>pow</t>
        </is>
      </c>
      <c r="E430" s="14" t="inlineStr">
        <is>
          <t>DISPATCH</t>
        </is>
      </c>
      <c r="F430" s="92" t="inlineStr">
        <is>
          <t>DISPATCH($D724,AE785,AE773*$E724,AE704,AE$701,AE714,SUM(AE$713:AE$721))</t>
        </is>
      </c>
    </row>
    <row r="431">
      <c r="A431" s="14" t="n">
        <v>725</v>
      </c>
      <c r="B431" s="14" t="inlineStr">
        <is>
          <t>gen</t>
        </is>
      </c>
      <c r="C431" s="14" t="inlineStr">
        <is>
          <t>oop</t>
        </is>
      </c>
      <c r="D431" s="14" t="inlineStr">
        <is>
          <t>pow</t>
        </is>
      </c>
      <c r="E431" s="14" t="inlineStr">
        <is>
          <t>DISPATCH</t>
        </is>
      </c>
      <c r="F431" s="92" t="inlineStr">
        <is>
          <t>DISPATCH($D725,AE786,AE774*$E725,AE705,AE$701,AE715,SUM(AE$713:AE$721))</t>
        </is>
      </c>
    </row>
    <row r="432">
      <c r="A432" s="14" t="n">
        <v>726</v>
      </c>
      <c r="B432" s="14" t="inlineStr">
        <is>
          <t>gen</t>
        </is>
      </c>
      <c r="C432" s="14" t="inlineStr">
        <is>
          <t>nuc</t>
        </is>
      </c>
      <c r="D432" s="14" t="inlineStr">
        <is>
          <t>pow</t>
        </is>
      </c>
      <c r="E432" s="14" t="inlineStr">
        <is>
          <t>DISPATCH</t>
        </is>
      </c>
      <c r="F432" s="92" t="inlineStr">
        <is>
          <t>DISPATCH($D726,AE787,AE775*$E726,AE706,AE$701,AE716,SUM(AE$713:AE$721))</t>
        </is>
      </c>
    </row>
    <row r="433">
      <c r="A433" s="14" t="n">
        <v>727</v>
      </c>
      <c r="B433" s="14" t="inlineStr">
        <is>
          <t>gen</t>
        </is>
      </c>
      <c r="C433" s="14" t="inlineStr">
        <is>
          <t>wnd</t>
        </is>
      </c>
      <c r="D433" s="14" t="inlineStr">
        <is>
          <t>pow</t>
        </is>
      </c>
      <c r="E433" s="14" t="inlineStr">
        <is>
          <t>DISPATCH</t>
        </is>
      </c>
      <c r="F433" s="92" t="inlineStr">
        <is>
          <t>DISPATCH($D727,AE788,AE776*$E727,AE707,AE$701,AE717,SUM(AE$713:AE$721))</t>
        </is>
      </c>
    </row>
    <row r="434">
      <c r="A434" s="14" t="n">
        <v>728</v>
      </c>
      <c r="B434" s="14" t="inlineStr">
        <is>
          <t>gen</t>
        </is>
      </c>
      <c r="C434" s="14" t="inlineStr">
        <is>
          <t>sol</t>
        </is>
      </c>
      <c r="D434" s="14" t="inlineStr">
        <is>
          <t>pow</t>
        </is>
      </c>
      <c r="E434" s="14" t="inlineStr">
        <is>
          <t>DISPATCH</t>
        </is>
      </c>
      <c r="F434" s="92" t="inlineStr">
        <is>
          <t>DISPATCH($D728,AE789,AE777*$E728,AE708,AE$701,AE718,SUM(AE$713:AE$721))</t>
        </is>
      </c>
    </row>
    <row r="435">
      <c r="A435" s="14" t="n">
        <v>729</v>
      </c>
      <c r="B435" s="14" t="inlineStr">
        <is>
          <t>gen</t>
        </is>
      </c>
      <c r="C435" s="14" t="inlineStr">
        <is>
          <t>hyd</t>
        </is>
      </c>
      <c r="D435" s="14" t="inlineStr">
        <is>
          <t>pow</t>
        </is>
      </c>
      <c r="E435" s="14" t="inlineStr">
        <is>
          <t>DISPATCH</t>
        </is>
      </c>
      <c r="F435" s="92" t="inlineStr">
        <is>
          <t>DISPATCH($D729,AE790,AE778*$E729,AE709,AE$701,AE719,SUM(AE$713:AE$721))</t>
        </is>
      </c>
    </row>
    <row r="436">
      <c r="A436" s="14" t="n">
        <v>730</v>
      </c>
      <c r="B436" s="14" t="inlineStr">
        <is>
          <t>gen</t>
        </is>
      </c>
      <c r="C436" s="14" t="inlineStr">
        <is>
          <t>ore</t>
        </is>
      </c>
      <c r="D436" s="14" t="inlineStr">
        <is>
          <t>pow</t>
        </is>
      </c>
      <c r="E436" s="14" t="inlineStr">
        <is>
          <t>DISPATCH</t>
        </is>
      </c>
      <c r="F436" s="92" t="inlineStr">
        <is>
          <t>DISPATCH($D730,AE791,AE779*$E730,AE710,AE$701,AE720,SUM(AE$713:AE$721))</t>
        </is>
      </c>
    </row>
    <row r="437">
      <c r="A437" s="14" t="n">
        <v>731</v>
      </c>
      <c r="B437" s="14" t="inlineStr">
        <is>
          <t>gen</t>
        </is>
      </c>
      <c r="C437" s="14" t="inlineStr">
        <is>
          <t>bio</t>
        </is>
      </c>
      <c r="D437" s="14" t="inlineStr">
        <is>
          <t>pow</t>
        </is>
      </c>
      <c r="E437" s="14" t="inlineStr">
        <is>
          <t>DISPATCH</t>
        </is>
      </c>
      <c r="F437" s="92" t="inlineStr">
        <is>
          <t>DISPATCH($D731,AE792,AE780*$E731,AE711,AE$701,AE721,SUM(AE$713:AE$721))</t>
        </is>
      </c>
    </row>
    <row r="438">
      <c r="A438" s="14" t="n">
        <v>734</v>
      </c>
      <c r="B438" s="14" t="inlineStr">
        <is>
          <t>dgen</t>
        </is>
      </c>
      <c r="C438" s="14" t="inlineStr"/>
      <c r="D438" s="14" t="inlineStr"/>
      <c r="E438" s="14" t="inlineStr">
        <is>
          <t>INCREASE</t>
        </is>
      </c>
      <c r="F438" s="92" t="inlineStr">
        <is>
          <t>INCREASE(AE$733,AD$733)</t>
        </is>
      </c>
    </row>
    <row r="439">
      <c r="A439" s="14" t="n">
        <v>736</v>
      </c>
      <c r="B439" s="14" t="inlineStr">
        <is>
          <t>shr</t>
        </is>
      </c>
      <c r="C439" s="14" t="inlineStr">
        <is>
          <t>coa</t>
        </is>
      </c>
      <c r="D439" s="14" t="inlineStr">
        <is>
          <t>pow</t>
        </is>
      </c>
      <c r="E439" s="14" t="inlineStr">
        <is>
          <t>SHARE</t>
        </is>
      </c>
      <c r="F439" s="92" t="inlineStr">
        <is>
          <t>SHARE(AE723,AE$733)</t>
        </is>
      </c>
    </row>
    <row r="440">
      <c r="A440" s="14" t="n">
        <v>737</v>
      </c>
      <c r="B440" s="14" t="inlineStr">
        <is>
          <t>shr</t>
        </is>
      </c>
      <c r="C440" s="14" t="inlineStr">
        <is>
          <t>nga</t>
        </is>
      </c>
      <c r="D440" s="14" t="inlineStr">
        <is>
          <t>pow</t>
        </is>
      </c>
      <c r="E440" s="14" t="inlineStr">
        <is>
          <t>SHARE</t>
        </is>
      </c>
      <c r="F440" s="92" t="inlineStr">
        <is>
          <t>SHARE(AE724,AE$733)</t>
        </is>
      </c>
    </row>
    <row r="441">
      <c r="A441" s="14" t="n">
        <v>738</v>
      </c>
      <c r="B441" s="14" t="inlineStr">
        <is>
          <t>shr</t>
        </is>
      </c>
      <c r="C441" s="14" t="inlineStr">
        <is>
          <t>oop</t>
        </is>
      </c>
      <c r="D441" s="14" t="inlineStr">
        <is>
          <t>pow</t>
        </is>
      </c>
      <c r="E441" s="14" t="inlineStr">
        <is>
          <t>SHARE</t>
        </is>
      </c>
      <c r="F441" s="92" t="inlineStr">
        <is>
          <t>SHARE(AE725,AE$733)</t>
        </is>
      </c>
    </row>
    <row r="442">
      <c r="A442" s="14" t="n">
        <v>739</v>
      </c>
      <c r="B442" s="14" t="inlineStr">
        <is>
          <t>shr</t>
        </is>
      </c>
      <c r="C442" s="14" t="inlineStr">
        <is>
          <t>nuc</t>
        </is>
      </c>
      <c r="D442" s="14" t="inlineStr">
        <is>
          <t>pow</t>
        </is>
      </c>
      <c r="E442" s="14" t="inlineStr">
        <is>
          <t>SHARE</t>
        </is>
      </c>
      <c r="F442" s="92" t="inlineStr">
        <is>
          <t>SHARE(AE726,AE$733)</t>
        </is>
      </c>
    </row>
    <row r="443">
      <c r="A443" s="14" t="n">
        <v>740</v>
      </c>
      <c r="B443" s="14" t="inlineStr">
        <is>
          <t>shr</t>
        </is>
      </c>
      <c r="C443" s="14" t="inlineStr">
        <is>
          <t>wnd</t>
        </is>
      </c>
      <c r="D443" s="14" t="inlineStr">
        <is>
          <t>pow</t>
        </is>
      </c>
      <c r="E443" s="14" t="inlineStr">
        <is>
          <t>SHARE</t>
        </is>
      </c>
      <c r="F443" s="92" t="inlineStr">
        <is>
          <t>SHARE(AE727,AE$733)</t>
        </is>
      </c>
    </row>
    <row r="444">
      <c r="A444" s="14" t="n">
        <v>741</v>
      </c>
      <c r="B444" s="14" t="inlineStr">
        <is>
          <t>shr</t>
        </is>
      </c>
      <c r="C444" s="14" t="inlineStr">
        <is>
          <t>sol</t>
        </is>
      </c>
      <c r="D444" s="14" t="inlineStr">
        <is>
          <t>pow</t>
        </is>
      </c>
      <c r="E444" s="14" t="inlineStr">
        <is>
          <t>SHARE</t>
        </is>
      </c>
      <c r="F444" s="92" t="inlineStr">
        <is>
          <t>SHARE(AE728,AE$733)</t>
        </is>
      </c>
    </row>
    <row r="445">
      <c r="A445" s="14" t="n">
        <v>742</v>
      </c>
      <c r="B445" s="14" t="inlineStr">
        <is>
          <t>shr</t>
        </is>
      </c>
      <c r="C445" s="14" t="inlineStr">
        <is>
          <t>hyd</t>
        </is>
      </c>
      <c r="D445" s="14" t="inlineStr">
        <is>
          <t>pow</t>
        </is>
      </c>
      <c r="E445" s="14" t="inlineStr">
        <is>
          <t>SHARE</t>
        </is>
      </c>
      <c r="F445" s="92" t="inlineStr">
        <is>
          <t>SHARE(AE729,AE$733)</t>
        </is>
      </c>
    </row>
    <row r="446">
      <c r="A446" s="14" t="n">
        <v>743</v>
      </c>
      <c r="B446" s="14" t="inlineStr">
        <is>
          <t>shr</t>
        </is>
      </c>
      <c r="C446" s="14" t="inlineStr">
        <is>
          <t>ore</t>
        </is>
      </c>
      <c r="D446" s="14" t="inlineStr">
        <is>
          <t>pow</t>
        </is>
      </c>
      <c r="E446" s="14" t="inlineStr">
        <is>
          <t>SHARE</t>
        </is>
      </c>
      <c r="F446" s="92" t="inlineStr">
        <is>
          <t>SHARE(AE730,AE$733)</t>
        </is>
      </c>
    </row>
    <row r="447">
      <c r="A447" s="14" t="n">
        <v>744</v>
      </c>
      <c r="B447" s="14" t="inlineStr">
        <is>
          <t>shr</t>
        </is>
      </c>
      <c r="C447" s="14" t="inlineStr">
        <is>
          <t>bio</t>
        </is>
      </c>
      <c r="D447" s="14" t="inlineStr">
        <is>
          <t>pow</t>
        </is>
      </c>
      <c r="E447" s="14" t="inlineStr">
        <is>
          <t>SHARE</t>
        </is>
      </c>
      <c r="F447" s="92" t="inlineStr">
        <is>
          <t>SHARE(AE731,AE$733)</t>
        </is>
      </c>
    </row>
    <row r="448">
      <c r="A448" s="14" t="n">
        <v>746</v>
      </c>
      <c r="B448" s="14" t="inlineStr">
        <is>
          <t>pe</t>
        </is>
      </c>
      <c r="C448" s="14" t="inlineStr">
        <is>
          <t>coa</t>
        </is>
      </c>
      <c r="D448" s="14" t="inlineStr">
        <is>
          <t>pow</t>
        </is>
      </c>
      <c r="E448" s="14" t="inlineStr">
        <is>
          <t>SCALE</t>
        </is>
      </c>
      <c r="F448" s="92" t="inlineStr">
        <is>
          <t>SCALE(AE723,$D746)</t>
        </is>
      </c>
    </row>
    <row r="449">
      <c r="A449" s="14" t="n">
        <v>747</v>
      </c>
      <c r="B449" s="14" t="inlineStr">
        <is>
          <t>pe</t>
        </is>
      </c>
      <c r="C449" s="14" t="inlineStr">
        <is>
          <t>nga</t>
        </is>
      </c>
      <c r="D449" s="14" t="inlineStr">
        <is>
          <t>pow</t>
        </is>
      </c>
      <c r="E449" s="14" t="inlineStr">
        <is>
          <t>SCALE</t>
        </is>
      </c>
      <c r="F449" s="92" t="inlineStr">
        <is>
          <t>SCALE(AE724,$D747)</t>
        </is>
      </c>
    </row>
    <row r="450">
      <c r="A450" s="14" t="n">
        <v>748</v>
      </c>
      <c r="B450" s="14" t="inlineStr">
        <is>
          <t>pe</t>
        </is>
      </c>
      <c r="C450" s="14" t="inlineStr">
        <is>
          <t>oop</t>
        </is>
      </c>
      <c r="D450" s="14" t="inlineStr">
        <is>
          <t>pow</t>
        </is>
      </c>
      <c r="E450" s="14" t="inlineStr">
        <is>
          <t>SCALE</t>
        </is>
      </c>
      <c r="F450" s="92" t="inlineStr">
        <is>
          <t>SCALE(AE725,$D748)</t>
        </is>
      </c>
    </row>
    <row r="451">
      <c r="A451" s="14" t="n">
        <v>749</v>
      </c>
      <c r="B451" s="14" t="inlineStr">
        <is>
          <t>pe</t>
        </is>
      </c>
      <c r="C451" s="14" t="inlineStr">
        <is>
          <t>nuc</t>
        </is>
      </c>
      <c r="D451" s="14" t="inlineStr">
        <is>
          <t>pow</t>
        </is>
      </c>
      <c r="E451" s="14" t="inlineStr">
        <is>
          <t>SCALE</t>
        </is>
      </c>
      <c r="F451" s="92" t="inlineStr">
        <is>
          <t>SCALE(AE726,$D749)</t>
        </is>
      </c>
    </row>
    <row r="452">
      <c r="A452" s="14" t="n">
        <v>750</v>
      </c>
      <c r="B452" s="14" t="inlineStr">
        <is>
          <t>pe</t>
        </is>
      </c>
      <c r="C452" s="14" t="inlineStr">
        <is>
          <t>wnd</t>
        </is>
      </c>
      <c r="D452" s="14" t="inlineStr">
        <is>
          <t>pow</t>
        </is>
      </c>
      <c r="E452" s="14" t="inlineStr">
        <is>
          <t>SCALE</t>
        </is>
      </c>
      <c r="F452" s="92" t="inlineStr">
        <is>
          <t>SCALE(AE727,$D750)</t>
        </is>
      </c>
    </row>
    <row r="453">
      <c r="A453" s="14" t="n">
        <v>751</v>
      </c>
      <c r="B453" s="14" t="inlineStr">
        <is>
          <t>pe</t>
        </is>
      </c>
      <c r="C453" s="14" t="inlineStr">
        <is>
          <t>sol</t>
        </is>
      </c>
      <c r="D453" s="14" t="inlineStr">
        <is>
          <t>pow</t>
        </is>
      </c>
      <c r="E453" s="14" t="inlineStr">
        <is>
          <t>SCALE</t>
        </is>
      </c>
      <c r="F453" s="92" t="inlineStr">
        <is>
          <t>SCALE(AE728,$D751)</t>
        </is>
      </c>
    </row>
    <row r="454">
      <c r="A454" s="14" t="n">
        <v>752</v>
      </c>
      <c r="B454" s="14" t="inlineStr">
        <is>
          <t>pe</t>
        </is>
      </c>
      <c r="C454" s="14" t="inlineStr">
        <is>
          <t>hyd</t>
        </is>
      </c>
      <c r="D454" s="14" t="inlineStr">
        <is>
          <t>pow</t>
        </is>
      </c>
      <c r="E454" s="14" t="inlineStr">
        <is>
          <t>SCALE</t>
        </is>
      </c>
      <c r="F454" s="92" t="inlineStr">
        <is>
          <t>SCALE(AE729,$D752)</t>
        </is>
      </c>
    </row>
    <row r="455">
      <c r="A455" s="14" t="n">
        <v>753</v>
      </c>
      <c r="B455" s="14" t="inlineStr">
        <is>
          <t>pe</t>
        </is>
      </c>
      <c r="C455" s="14" t="inlineStr">
        <is>
          <t>ore</t>
        </is>
      </c>
      <c r="D455" s="14" t="inlineStr">
        <is>
          <t>pow</t>
        </is>
      </c>
      <c r="E455" s="14" t="inlineStr">
        <is>
          <t>SCALE</t>
        </is>
      </c>
      <c r="F455" s="92" t="inlineStr">
        <is>
          <t>SCALE(AE730,$D753)</t>
        </is>
      </c>
    </row>
    <row r="456">
      <c r="A456" s="14" t="n">
        <v>754</v>
      </c>
      <c r="B456" s="14" t="inlineStr">
        <is>
          <t>pe</t>
        </is>
      </c>
      <c r="C456" s="14" t="inlineStr">
        <is>
          <t>bio</t>
        </is>
      </c>
      <c r="D456" s="14" t="inlineStr">
        <is>
          <t>pow</t>
        </is>
      </c>
      <c r="E456" s="14" t="inlineStr">
        <is>
          <t>SCALE</t>
        </is>
      </c>
      <c r="F456" s="92" t="inlineStr">
        <is>
          <t>SCALE(AE731,$D754)</t>
        </is>
      </c>
    </row>
    <row r="457">
      <c r="A457" s="14" t="n">
        <v>756</v>
      </c>
      <c r="B457" s="14" t="inlineStr">
        <is>
          <t>co2</t>
        </is>
      </c>
      <c r="C457" s="14" t="inlineStr">
        <is>
          <t>coa</t>
        </is>
      </c>
      <c r="D457" s="14" t="inlineStr">
        <is>
          <t>pow</t>
        </is>
      </c>
      <c r="E457" s="14" t="inlineStr">
        <is>
          <t>SCALE</t>
        </is>
      </c>
      <c r="F457" s="92" t="inlineStr">
        <is>
          <t>SCALE(AE746,$D756)</t>
        </is>
      </c>
    </row>
    <row r="458">
      <c r="A458" s="14" t="n">
        <v>757</v>
      </c>
      <c r="B458" s="14" t="inlineStr">
        <is>
          <t>co2</t>
        </is>
      </c>
      <c r="C458" s="14" t="inlineStr">
        <is>
          <t>nga</t>
        </is>
      </c>
      <c r="D458" s="14" t="inlineStr">
        <is>
          <t>pow</t>
        </is>
      </c>
      <c r="E458" s="14" t="inlineStr">
        <is>
          <t>SCALE</t>
        </is>
      </c>
      <c r="F458" s="92" t="inlineStr">
        <is>
          <t>SCALE(AE747,$D757)</t>
        </is>
      </c>
    </row>
    <row r="459">
      <c r="A459" s="14" t="n">
        <v>758</v>
      </c>
      <c r="B459" s="14" t="inlineStr">
        <is>
          <t>co2</t>
        </is>
      </c>
      <c r="C459" s="14" t="inlineStr">
        <is>
          <t>oop</t>
        </is>
      </c>
      <c r="D459" s="14" t="inlineStr">
        <is>
          <t>pow</t>
        </is>
      </c>
      <c r="E459" s="14" t="inlineStr">
        <is>
          <t>SCALE</t>
        </is>
      </c>
      <c r="F459" s="92" t="inlineStr">
        <is>
          <t>SCALE(AE748,$D758)</t>
        </is>
      </c>
    </row>
    <row r="460">
      <c r="A460" s="14" t="n">
        <v>759</v>
      </c>
      <c r="B460" s="14" t="inlineStr">
        <is>
          <t>co2</t>
        </is>
      </c>
      <c r="C460" s="14" t="inlineStr">
        <is>
          <t>nuc</t>
        </is>
      </c>
      <c r="D460" s="14" t="inlineStr">
        <is>
          <t>pow</t>
        </is>
      </c>
      <c r="E460" s="14" t="inlineStr">
        <is>
          <t>SCALE</t>
        </is>
      </c>
      <c r="F460" s="92" t="inlineStr">
        <is>
          <t>SCALE(AE749,$D759)</t>
        </is>
      </c>
    </row>
    <row r="461">
      <c r="A461" s="14" t="n">
        <v>760</v>
      </c>
      <c r="B461" s="14" t="inlineStr">
        <is>
          <t>co2</t>
        </is>
      </c>
      <c r="C461" s="14" t="inlineStr">
        <is>
          <t>wnd</t>
        </is>
      </c>
      <c r="D461" s="14" t="inlineStr">
        <is>
          <t>pow</t>
        </is>
      </c>
      <c r="E461" s="14" t="inlineStr">
        <is>
          <t>SCALE</t>
        </is>
      </c>
      <c r="F461" s="92" t="inlineStr">
        <is>
          <t>SCALE(AE750,$D760)</t>
        </is>
      </c>
    </row>
    <row r="462">
      <c r="A462" s="14" t="n">
        <v>761</v>
      </c>
      <c r="B462" s="14" t="inlineStr">
        <is>
          <t>co2</t>
        </is>
      </c>
      <c r="C462" s="14" t="inlineStr">
        <is>
          <t>sol</t>
        </is>
      </c>
      <c r="D462" s="14" t="inlineStr">
        <is>
          <t>pow</t>
        </is>
      </c>
      <c r="E462" s="14" t="inlineStr">
        <is>
          <t>SCALE</t>
        </is>
      </c>
      <c r="F462" s="92" t="inlineStr">
        <is>
          <t>SCALE(AE751,$D761)</t>
        </is>
      </c>
    </row>
    <row r="463">
      <c r="A463" s="14" t="n">
        <v>762</v>
      </c>
      <c r="B463" s="14" t="inlineStr">
        <is>
          <t>co2</t>
        </is>
      </c>
      <c r="C463" s="14" t="inlineStr">
        <is>
          <t>hyd</t>
        </is>
      </c>
      <c r="D463" s="14" t="inlineStr">
        <is>
          <t>pow</t>
        </is>
      </c>
      <c r="E463" s="14" t="inlineStr">
        <is>
          <t>SCALE</t>
        </is>
      </c>
      <c r="F463" s="92" t="inlineStr">
        <is>
          <t>SCALE(AE752,$D762)</t>
        </is>
      </c>
    </row>
    <row r="464">
      <c r="A464" s="14" t="n">
        <v>763</v>
      </c>
      <c r="B464" s="14" t="inlineStr">
        <is>
          <t>co2</t>
        </is>
      </c>
      <c r="C464" s="14" t="inlineStr">
        <is>
          <t>ore</t>
        </is>
      </c>
      <c r="D464" s="14" t="inlineStr">
        <is>
          <t>pow</t>
        </is>
      </c>
      <c r="E464" s="14" t="inlineStr">
        <is>
          <t>SCALE</t>
        </is>
      </c>
      <c r="F464" s="92" t="inlineStr">
        <is>
          <t>SCALE(AE753,$D763)</t>
        </is>
      </c>
    </row>
    <row r="465">
      <c r="A465" s="14" t="n">
        <v>764</v>
      </c>
      <c r="B465" s="14" t="inlineStr">
        <is>
          <t>co2</t>
        </is>
      </c>
      <c r="C465" s="14" t="inlineStr">
        <is>
          <t>bio</t>
        </is>
      </c>
      <c r="D465" s="14" t="inlineStr">
        <is>
          <t>pow</t>
        </is>
      </c>
      <c r="E465" s="14" t="inlineStr">
        <is>
          <t>SCALE</t>
        </is>
      </c>
      <c r="F465" s="92" t="inlineStr">
        <is>
          <t>SCALE(AE754,$D764)</t>
        </is>
      </c>
    </row>
    <row r="466">
      <c r="A466" s="14" t="n">
        <v>767</v>
      </c>
      <c r="B466" s="14" t="inlineStr">
        <is>
          <t>vre</t>
        </is>
      </c>
      <c r="C466" s="14" t="inlineStr"/>
      <c r="D466" s="14" t="inlineStr"/>
      <c r="E466" s="14" t="inlineStr">
        <is>
          <t>WEIGHTED</t>
        </is>
      </c>
      <c r="F466" s="92" t="inlineStr">
        <is>
          <t>WEIGHTED(AE$736:AE$744,$D$736:$D$744,$D767)</t>
        </is>
      </c>
    </row>
    <row r="467">
      <c r="A467" s="14" t="n">
        <v>768</v>
      </c>
      <c r="B467" s="14" t="inlineStr">
        <is>
          <t>cph</t>
        </is>
      </c>
      <c r="C467" s="14" t="inlineStr"/>
      <c r="D467" s="14" t="inlineStr"/>
      <c r="E467" s="14" t="inlineStr">
        <is>
          <t>STORAGEHOUR</t>
        </is>
      </c>
      <c r="F467" s="92" t="inlineStr">
        <is>
          <t>STORAGEHOUR(AE$459,AE$460,AE$461,$D768,$E768)</t>
        </is>
      </c>
    </row>
    <row r="468">
      <c r="A468" s="14" t="n">
        <v>769</v>
      </c>
      <c r="B468" s="14" t="inlineStr">
        <is>
          <t>msc</t>
        </is>
      </c>
      <c r="C468" s="14" t="inlineStr"/>
      <c r="D468" s="14" t="inlineStr"/>
      <c r="E468" s="14" t="inlineStr">
        <is>
          <t>STORAGECOST</t>
        </is>
      </c>
      <c r="F468" s="92" t="inlineStr">
        <is>
          <t>STORAGECOST($D769,$E769,AE$767,AE$768,$F769,AE$462,$G769)</t>
        </is>
      </c>
    </row>
    <row r="469">
      <c r="A469" s="14" t="n">
        <v>772</v>
      </c>
      <c r="B469" s="14" t="inlineStr">
        <is>
          <t>cap</t>
        </is>
      </c>
      <c r="C469" s="14" t="inlineStr">
        <is>
          <t>coa</t>
        </is>
      </c>
      <c r="D469" s="14" t="inlineStr">
        <is>
          <t>pow</t>
        </is>
      </c>
      <c r="E469" s="14" t="inlineStr">
        <is>
          <t>CARRY</t>
        </is>
      </c>
      <c r="F469" s="92" t="inlineStr">
        <is>
          <t>CARRY(AD772,AD804,AD915)</t>
        </is>
      </c>
    </row>
    <row r="470">
      <c r="A470" s="14" t="n">
        <v>773</v>
      </c>
      <c r="B470" s="14" t="inlineStr">
        <is>
          <t>cap</t>
        </is>
      </c>
      <c r="C470" s="14" t="inlineStr">
        <is>
          <t>nga</t>
        </is>
      </c>
      <c r="D470" s="14" t="inlineStr">
        <is>
          <t>pow</t>
        </is>
      </c>
      <c r="E470" s="14" t="inlineStr">
        <is>
          <t>CARRY</t>
        </is>
      </c>
      <c r="F470" s="92" t="inlineStr">
        <is>
          <t>CARRY(AD773,AD805,AD916)</t>
        </is>
      </c>
    </row>
    <row r="471">
      <c r="A471" s="14" t="n">
        <v>774</v>
      </c>
      <c r="B471" s="14" t="inlineStr">
        <is>
          <t>cap</t>
        </is>
      </c>
      <c r="C471" s="14" t="inlineStr">
        <is>
          <t>oop</t>
        </is>
      </c>
      <c r="D471" s="14" t="inlineStr">
        <is>
          <t>pow</t>
        </is>
      </c>
      <c r="E471" s="14" t="inlineStr">
        <is>
          <t>CARRY</t>
        </is>
      </c>
      <c r="F471" s="92" t="inlineStr">
        <is>
          <t>CARRY(AD774,AD806,AD917)</t>
        </is>
      </c>
    </row>
    <row r="472">
      <c r="A472" s="14" t="n">
        <v>775</v>
      </c>
      <c r="B472" s="14" t="inlineStr">
        <is>
          <t>cap</t>
        </is>
      </c>
      <c r="C472" s="14" t="inlineStr">
        <is>
          <t>nuc</t>
        </is>
      </c>
      <c r="D472" s="14" t="inlineStr">
        <is>
          <t>pow</t>
        </is>
      </c>
      <c r="E472" s="14" t="inlineStr">
        <is>
          <t>CARRY</t>
        </is>
      </c>
      <c r="F472" s="92" t="inlineStr">
        <is>
          <t>CARRY(AD775,AD807,AD918)</t>
        </is>
      </c>
    </row>
    <row r="473">
      <c r="A473" s="14" t="n">
        <v>776</v>
      </c>
      <c r="B473" s="14" t="inlineStr">
        <is>
          <t>cap</t>
        </is>
      </c>
      <c r="C473" s="14" t="inlineStr">
        <is>
          <t>wnd</t>
        </is>
      </c>
      <c r="D473" s="14" t="inlineStr">
        <is>
          <t>pow</t>
        </is>
      </c>
      <c r="E473" s="14" t="inlineStr">
        <is>
          <t>CARRY</t>
        </is>
      </c>
      <c r="F473" s="92" t="inlineStr">
        <is>
          <t>CARRY(AD776,AD808,AD919)</t>
        </is>
      </c>
    </row>
    <row r="474">
      <c r="A474" s="14" t="n">
        <v>777</v>
      </c>
      <c r="B474" s="14" t="inlineStr">
        <is>
          <t>cap</t>
        </is>
      </c>
      <c r="C474" s="14" t="inlineStr">
        <is>
          <t>sol</t>
        </is>
      </c>
      <c r="D474" s="14" t="inlineStr">
        <is>
          <t>pow</t>
        </is>
      </c>
      <c r="E474" s="14" t="inlineStr">
        <is>
          <t>CARRY</t>
        </is>
      </c>
      <c r="F474" s="92" t="inlineStr">
        <is>
          <t>CARRY(AD777,AD809,AD920)</t>
        </is>
      </c>
    </row>
    <row r="475">
      <c r="A475" s="14" t="n">
        <v>778</v>
      </c>
      <c r="B475" s="14" t="inlineStr">
        <is>
          <t>cap</t>
        </is>
      </c>
      <c r="C475" s="14" t="inlineStr">
        <is>
          <t>hyd</t>
        </is>
      </c>
      <c r="D475" s="14" t="inlineStr">
        <is>
          <t>pow</t>
        </is>
      </c>
      <c r="E475" s="14" t="inlineStr">
        <is>
          <t>CARRY</t>
        </is>
      </c>
      <c r="F475" s="92" t="inlineStr">
        <is>
          <t>CARRY(AD778,AD810,AD921)</t>
        </is>
      </c>
    </row>
    <row r="476">
      <c r="A476" s="14" t="n">
        <v>779</v>
      </c>
      <c r="B476" s="14" t="inlineStr">
        <is>
          <t>cap</t>
        </is>
      </c>
      <c r="C476" s="14" t="inlineStr">
        <is>
          <t>ore</t>
        </is>
      </c>
      <c r="D476" s="14" t="inlineStr">
        <is>
          <t>pow</t>
        </is>
      </c>
      <c r="E476" s="14" t="inlineStr">
        <is>
          <t>CARRY</t>
        </is>
      </c>
      <c r="F476" s="92" t="inlineStr">
        <is>
          <t>CARRY(AD779,AD811,AD922)</t>
        </is>
      </c>
    </row>
    <row r="477">
      <c r="A477" s="14" t="n">
        <v>780</v>
      </c>
      <c r="B477" s="14" t="inlineStr">
        <is>
          <t>cap</t>
        </is>
      </c>
      <c r="C477" s="14" t="inlineStr">
        <is>
          <t>bio</t>
        </is>
      </c>
      <c r="D477" s="14" t="inlineStr">
        <is>
          <t>pow</t>
        </is>
      </c>
      <c r="E477" s="14" t="inlineStr">
        <is>
          <t>CARRY</t>
        </is>
      </c>
      <c r="F477" s="92" t="inlineStr">
        <is>
          <t>CARRY(AD780,AD812,AD923)</t>
        </is>
      </c>
    </row>
    <row r="478">
      <c r="A478" s="14" t="n">
        <v>784</v>
      </c>
      <c r="B478" s="14" t="inlineStr">
        <is>
          <t>effcap</t>
        </is>
      </c>
      <c r="C478" s="14" t="inlineStr">
        <is>
          <t>coa</t>
        </is>
      </c>
      <c r="D478" s="14" t="inlineStr">
        <is>
          <t>pow</t>
        </is>
      </c>
      <c r="E478" s="14" t="inlineStr">
        <is>
          <t>SCALE</t>
        </is>
      </c>
      <c r="F478" s="92" t="inlineStr">
        <is>
          <t>SCALE(AE772,$D784)</t>
        </is>
      </c>
    </row>
    <row r="479">
      <c r="A479" s="14" t="n">
        <v>785</v>
      </c>
      <c r="B479" s="14" t="inlineStr">
        <is>
          <t>effcap</t>
        </is>
      </c>
      <c r="C479" s="14" t="inlineStr">
        <is>
          <t>nga</t>
        </is>
      </c>
      <c r="D479" s="14" t="inlineStr">
        <is>
          <t>pow</t>
        </is>
      </c>
      <c r="E479" s="14" t="inlineStr">
        <is>
          <t>SCALE</t>
        </is>
      </c>
      <c r="F479" s="92" t="inlineStr">
        <is>
          <t>SCALE(AE773,$D785)</t>
        </is>
      </c>
    </row>
    <row r="480">
      <c r="A480" s="14" t="n">
        <v>786</v>
      </c>
      <c r="B480" s="14" t="inlineStr">
        <is>
          <t>effcap</t>
        </is>
      </c>
      <c r="C480" s="14" t="inlineStr">
        <is>
          <t>oop</t>
        </is>
      </c>
      <c r="D480" s="14" t="inlineStr">
        <is>
          <t>pow</t>
        </is>
      </c>
      <c r="E480" s="14" t="inlineStr">
        <is>
          <t>SCALE</t>
        </is>
      </c>
      <c r="F480" s="92" t="inlineStr">
        <is>
          <t>SCALE(AE774,$D786)</t>
        </is>
      </c>
    </row>
    <row r="481">
      <c r="A481" s="14" t="n">
        <v>787</v>
      </c>
      <c r="B481" s="14" t="inlineStr">
        <is>
          <t>effcap</t>
        </is>
      </c>
      <c r="C481" s="14" t="inlineStr">
        <is>
          <t>nuc</t>
        </is>
      </c>
      <c r="D481" s="14" t="inlineStr">
        <is>
          <t>pow</t>
        </is>
      </c>
      <c r="E481" s="14" t="inlineStr">
        <is>
          <t>SCALE</t>
        </is>
      </c>
      <c r="F481" s="92" t="inlineStr">
        <is>
          <t>SCALE(AE775,$D787)</t>
        </is>
      </c>
    </row>
    <row r="482">
      <c r="A482" s="14" t="n">
        <v>788</v>
      </c>
      <c r="B482" s="14" t="inlineStr">
        <is>
          <t>effcap</t>
        </is>
      </c>
      <c r="C482" s="14" t="inlineStr">
        <is>
          <t>wnd</t>
        </is>
      </c>
      <c r="D482" s="14" t="inlineStr">
        <is>
          <t>pow</t>
        </is>
      </c>
      <c r="E482" s="14" t="inlineStr">
        <is>
          <t>SCALE</t>
        </is>
      </c>
      <c r="F482" s="92" t="inlineStr">
        <is>
          <t>SCALE(AE776,$D788)</t>
        </is>
      </c>
    </row>
    <row r="483">
      <c r="A483" s="14" t="n">
        <v>789</v>
      </c>
      <c r="B483" s="14" t="inlineStr">
        <is>
          <t>effcap</t>
        </is>
      </c>
      <c r="C483" s="14" t="inlineStr">
        <is>
          <t>sol</t>
        </is>
      </c>
      <c r="D483" s="14" t="inlineStr">
        <is>
          <t>pow</t>
        </is>
      </c>
      <c r="E483" s="14" t="inlineStr">
        <is>
          <t>SCALE</t>
        </is>
      </c>
      <c r="F483" s="92" t="inlineStr">
        <is>
          <t>SCALE(AE777,$D789)</t>
        </is>
      </c>
    </row>
    <row r="484">
      <c r="A484" s="14" t="n">
        <v>790</v>
      </c>
      <c r="B484" s="14" t="inlineStr">
        <is>
          <t>effcap</t>
        </is>
      </c>
      <c r="C484" s="14" t="inlineStr">
        <is>
          <t>hyd</t>
        </is>
      </c>
      <c r="D484" s="14" t="inlineStr">
        <is>
          <t>pow</t>
        </is>
      </c>
      <c r="E484" s="14" t="inlineStr">
        <is>
          <t>SCALE</t>
        </is>
      </c>
      <c r="F484" s="92" t="inlineStr">
        <is>
          <t>SCALE(AE778,$D790)</t>
        </is>
      </c>
    </row>
    <row r="485">
      <c r="A485" s="14" t="n">
        <v>791</v>
      </c>
      <c r="B485" s="14" t="inlineStr">
        <is>
          <t>effcap</t>
        </is>
      </c>
      <c r="C485" s="14" t="inlineStr">
        <is>
          <t>ore</t>
        </is>
      </c>
      <c r="D485" s="14" t="inlineStr">
        <is>
          <t>pow</t>
        </is>
      </c>
      <c r="E485" s="14" t="inlineStr">
        <is>
          <t>SCALE</t>
        </is>
      </c>
      <c r="F485" s="92" t="inlineStr">
        <is>
          <t>SCALE(AE779,$D791)</t>
        </is>
      </c>
    </row>
    <row r="486">
      <c r="A486" s="14" t="n">
        <v>792</v>
      </c>
      <c r="B486" s="14" t="inlineStr">
        <is>
          <t>effcap</t>
        </is>
      </c>
      <c r="C486" s="14" t="inlineStr">
        <is>
          <t>bio</t>
        </is>
      </c>
      <c r="D486" s="14" t="inlineStr">
        <is>
          <t>pow</t>
        </is>
      </c>
      <c r="E486" s="14" t="inlineStr">
        <is>
          <t>SCALE</t>
        </is>
      </c>
      <c r="F486" s="92" t="inlineStr">
        <is>
          <t>SCALE(AE780,$D792)</t>
        </is>
      </c>
    </row>
    <row r="487">
      <c r="A487" s="14" t="n">
        <v>804</v>
      </c>
      <c r="B487" s="14" t="inlineStr">
        <is>
          <t>ret</t>
        </is>
      </c>
      <c r="C487" s="14" t="inlineStr">
        <is>
          <t>coa</t>
        </is>
      </c>
      <c r="D487" s="14" t="inlineStr">
        <is>
          <t>pow</t>
        </is>
      </c>
      <c r="E487" s="14" t="inlineStr">
        <is>
          <t>RETIRE</t>
        </is>
      </c>
      <c r="F487" s="92" t="inlineStr">
        <is>
          <t>RETIRE(AE772,$D804,$E804,AE$827,$F804,AE794)</t>
        </is>
      </c>
    </row>
    <row r="488">
      <c r="A488" s="14" t="n">
        <v>805</v>
      </c>
      <c r="B488" s="14" t="inlineStr">
        <is>
          <t>ret</t>
        </is>
      </c>
      <c r="C488" s="14" t="inlineStr">
        <is>
          <t>nga</t>
        </is>
      </c>
      <c r="D488" s="14" t="inlineStr">
        <is>
          <t>pow</t>
        </is>
      </c>
      <c r="E488" s="14" t="inlineStr">
        <is>
          <t>RETIRE</t>
        </is>
      </c>
      <c r="F488" s="92" t="inlineStr">
        <is>
          <t>RETIRE(AE773,$D805,$E805,AE$827,$F805,AE795)</t>
        </is>
      </c>
    </row>
    <row r="489">
      <c r="A489" s="14" t="n">
        <v>806</v>
      </c>
      <c r="B489" s="14" t="inlineStr">
        <is>
          <t>ret</t>
        </is>
      </c>
      <c r="C489" s="14" t="inlineStr">
        <is>
          <t>oop</t>
        </is>
      </c>
      <c r="D489" s="14" t="inlineStr">
        <is>
          <t>pow</t>
        </is>
      </c>
      <c r="E489" s="14" t="inlineStr">
        <is>
          <t>RETIRE</t>
        </is>
      </c>
      <c r="F489" s="92" t="inlineStr">
        <is>
          <t>RETIRE(AE774,$D806,$E806,AE$827,$F806,AE796)</t>
        </is>
      </c>
    </row>
    <row r="490">
      <c r="A490" s="14" t="n">
        <v>807</v>
      </c>
      <c r="B490" s="14" t="inlineStr">
        <is>
          <t>ret</t>
        </is>
      </c>
      <c r="C490" s="14" t="inlineStr">
        <is>
          <t>nuc</t>
        </is>
      </c>
      <c r="D490" s="14" t="inlineStr">
        <is>
          <t>pow</t>
        </is>
      </c>
      <c r="E490" s="14" t="inlineStr">
        <is>
          <t>RETIRE</t>
        </is>
      </c>
      <c r="F490" s="92" t="inlineStr">
        <is>
          <t>RETIRE(AE775,$D807,$E807,AE$827,$F807,AE797)</t>
        </is>
      </c>
    </row>
    <row r="491">
      <c r="A491" s="14" t="n">
        <v>808</v>
      </c>
      <c r="B491" s="14" t="inlineStr">
        <is>
          <t>ret</t>
        </is>
      </c>
      <c r="C491" s="14" t="inlineStr">
        <is>
          <t>wnd</t>
        </is>
      </c>
      <c r="D491" s="14" t="inlineStr">
        <is>
          <t>pow</t>
        </is>
      </c>
      <c r="E491" s="14" t="inlineStr">
        <is>
          <t>RETIRE</t>
        </is>
      </c>
      <c r="F491" s="92" t="inlineStr">
        <is>
          <t>RETIRE(AE776,$D808,$E808,AE$827,$F808,AE798)</t>
        </is>
      </c>
    </row>
    <row r="492">
      <c r="A492" s="14" t="n">
        <v>809</v>
      </c>
      <c r="B492" s="14" t="inlineStr">
        <is>
          <t>ret</t>
        </is>
      </c>
      <c r="C492" s="14" t="inlineStr">
        <is>
          <t>sol</t>
        </is>
      </c>
      <c r="D492" s="14" t="inlineStr">
        <is>
          <t>pow</t>
        </is>
      </c>
      <c r="E492" s="14" t="inlineStr">
        <is>
          <t>RETIRE</t>
        </is>
      </c>
      <c r="F492" s="92" t="inlineStr">
        <is>
          <t>RETIRE(AE777,$D809,$E809,AE$827,$F809,AE799)</t>
        </is>
      </c>
    </row>
    <row r="493">
      <c r="A493" s="14" t="n">
        <v>810</v>
      </c>
      <c r="B493" s="14" t="inlineStr">
        <is>
          <t>ret</t>
        </is>
      </c>
      <c r="C493" s="14" t="inlineStr">
        <is>
          <t>hyd</t>
        </is>
      </c>
      <c r="D493" s="14" t="inlineStr">
        <is>
          <t>pow</t>
        </is>
      </c>
      <c r="E493" s="14" t="inlineStr">
        <is>
          <t>RETIRE</t>
        </is>
      </c>
      <c r="F493" s="92" t="inlineStr">
        <is>
          <t>RETIRE(AE778,$D810,$E810,AE$827,$F810,AE800)</t>
        </is>
      </c>
    </row>
    <row r="494">
      <c r="A494" s="14" t="n">
        <v>811</v>
      </c>
      <c r="B494" s="14" t="inlineStr">
        <is>
          <t>ret</t>
        </is>
      </c>
      <c r="C494" s="14" t="inlineStr">
        <is>
          <t>ore</t>
        </is>
      </c>
      <c r="D494" s="14" t="inlineStr">
        <is>
          <t>pow</t>
        </is>
      </c>
      <c r="E494" s="14" t="inlineStr">
        <is>
          <t>RETIRE</t>
        </is>
      </c>
      <c r="F494" s="92" t="inlineStr">
        <is>
          <t>RETIRE(AE779,$D811,$E811,AE$827,$F811,AE801)</t>
        </is>
      </c>
    </row>
    <row r="495">
      <c r="A495" s="14" t="n">
        <v>812</v>
      </c>
      <c r="B495" s="14" t="inlineStr">
        <is>
          <t>ret</t>
        </is>
      </c>
      <c r="C495" s="14" t="inlineStr">
        <is>
          <t>bio</t>
        </is>
      </c>
      <c r="D495" s="14" t="inlineStr">
        <is>
          <t>pow</t>
        </is>
      </c>
      <c r="E495" s="14" t="inlineStr">
        <is>
          <t>RETIRE</t>
        </is>
      </c>
      <c r="F495" s="92" t="inlineStr">
        <is>
          <t>RETIRE(AE780,$D812,$E812,AE$827,$F812,AE802)</t>
        </is>
      </c>
    </row>
    <row r="496">
      <c r="A496" s="14" t="n">
        <v>814</v>
      </c>
      <c r="B496" s="14" t="inlineStr">
        <is>
          <t>reteff</t>
        </is>
      </c>
      <c r="C496" s="14" t="inlineStr">
        <is>
          <t>coa</t>
        </is>
      </c>
      <c r="D496" s="14" t="inlineStr">
        <is>
          <t>pow</t>
        </is>
      </c>
      <c r="E496" s="14" t="inlineStr">
        <is>
          <t>SCALE</t>
        </is>
      </c>
      <c r="F496" s="92" t="inlineStr">
        <is>
          <t>SCALE(AE804,$D814)</t>
        </is>
      </c>
    </row>
    <row r="497">
      <c r="A497" s="14" t="n">
        <v>815</v>
      </c>
      <c r="B497" s="14" t="inlineStr">
        <is>
          <t>reteff</t>
        </is>
      </c>
      <c r="C497" s="14" t="inlineStr">
        <is>
          <t>nga</t>
        </is>
      </c>
      <c r="D497" s="14" t="inlineStr">
        <is>
          <t>pow</t>
        </is>
      </c>
      <c r="E497" s="14" t="inlineStr">
        <is>
          <t>SCALE</t>
        </is>
      </c>
      <c r="F497" s="92" t="inlineStr">
        <is>
          <t>SCALE(AE805,$D815)</t>
        </is>
      </c>
    </row>
    <row r="498">
      <c r="A498" s="14" t="n">
        <v>816</v>
      </c>
      <c r="B498" s="14" t="inlineStr">
        <is>
          <t>reteff</t>
        </is>
      </c>
      <c r="C498" s="14" t="inlineStr">
        <is>
          <t>oop</t>
        </is>
      </c>
      <c r="D498" s="14" t="inlineStr">
        <is>
          <t>pow</t>
        </is>
      </c>
      <c r="E498" s="14" t="inlineStr">
        <is>
          <t>SCALE</t>
        </is>
      </c>
      <c r="F498" s="92" t="inlineStr">
        <is>
          <t>SCALE(AE806,$D816)</t>
        </is>
      </c>
    </row>
    <row r="499">
      <c r="A499" s="14" t="n">
        <v>817</v>
      </c>
      <c r="B499" s="14" t="inlineStr">
        <is>
          <t>reteff</t>
        </is>
      </c>
      <c r="C499" s="14" t="inlineStr">
        <is>
          <t>nuc</t>
        </is>
      </c>
      <c r="D499" s="14" t="inlineStr">
        <is>
          <t>pow</t>
        </is>
      </c>
      <c r="E499" s="14" t="inlineStr">
        <is>
          <t>SCALE</t>
        </is>
      </c>
      <c r="F499" s="92" t="inlineStr">
        <is>
          <t>SCALE(AE807,$D817)</t>
        </is>
      </c>
    </row>
    <row r="500">
      <c r="A500" s="14" t="n">
        <v>818</v>
      </c>
      <c r="B500" s="14" t="inlineStr">
        <is>
          <t>reteff</t>
        </is>
      </c>
      <c r="C500" s="14" t="inlineStr">
        <is>
          <t>wnd</t>
        </is>
      </c>
      <c r="D500" s="14" t="inlineStr">
        <is>
          <t>pow</t>
        </is>
      </c>
      <c r="E500" s="14" t="inlineStr">
        <is>
          <t>SCALE</t>
        </is>
      </c>
      <c r="F500" s="92" t="inlineStr">
        <is>
          <t>SCALE(AE808,$D818)</t>
        </is>
      </c>
    </row>
    <row r="501">
      <c r="A501" s="14" t="n">
        <v>819</v>
      </c>
      <c r="B501" s="14" t="inlineStr">
        <is>
          <t>reteff</t>
        </is>
      </c>
      <c r="C501" s="14" t="inlineStr">
        <is>
          <t>sol</t>
        </is>
      </c>
      <c r="D501" s="14" t="inlineStr">
        <is>
          <t>pow</t>
        </is>
      </c>
      <c r="E501" s="14" t="inlineStr">
        <is>
          <t>SCALE</t>
        </is>
      </c>
      <c r="F501" s="92" t="inlineStr">
        <is>
          <t>SCALE(AE809,$D819)</t>
        </is>
      </c>
    </row>
    <row r="502">
      <c r="A502" s="14" t="n">
        <v>820</v>
      </c>
      <c r="B502" s="14" t="inlineStr">
        <is>
          <t>reteff</t>
        </is>
      </c>
      <c r="C502" s="14" t="inlineStr">
        <is>
          <t>hyd</t>
        </is>
      </c>
      <c r="D502" s="14" t="inlineStr">
        <is>
          <t>pow</t>
        </is>
      </c>
      <c r="E502" s="14" t="inlineStr">
        <is>
          <t>SCALE</t>
        </is>
      </c>
      <c r="F502" s="92" t="inlineStr">
        <is>
          <t>SCALE(AE810,$D820)</t>
        </is>
      </c>
    </row>
    <row r="503">
      <c r="A503" s="14" t="n">
        <v>821</v>
      </c>
      <c r="B503" s="14" t="inlineStr">
        <is>
          <t>reteff</t>
        </is>
      </c>
      <c r="C503" s="14" t="inlineStr">
        <is>
          <t>ore</t>
        </is>
      </c>
      <c r="D503" s="14" t="inlineStr">
        <is>
          <t>pow</t>
        </is>
      </c>
      <c r="E503" s="14" t="inlineStr">
        <is>
          <t>SCALE</t>
        </is>
      </c>
      <c r="F503" s="92" t="inlineStr">
        <is>
          <t>SCALE(AE811,$D821)</t>
        </is>
      </c>
    </row>
    <row r="504">
      <c r="A504" s="14" t="n">
        <v>822</v>
      </c>
      <c r="B504" s="14" t="inlineStr">
        <is>
          <t>reteff</t>
        </is>
      </c>
      <c r="C504" s="14" t="inlineStr">
        <is>
          <t>bio</t>
        </is>
      </c>
      <c r="D504" s="14" t="inlineStr">
        <is>
          <t>pow</t>
        </is>
      </c>
      <c r="E504" s="14" t="inlineStr">
        <is>
          <t>SCALE</t>
        </is>
      </c>
      <c r="F504" s="92" t="inlineStr">
        <is>
          <t>SCALE(AE812,$D822)</t>
        </is>
      </c>
    </row>
    <row r="505">
      <c r="A505" s="14" t="n">
        <v>824</v>
      </c>
      <c r="B505" s="14" t="inlineStr">
        <is>
          <t>egrow</t>
        </is>
      </c>
      <c r="C505" s="14" t="inlineStr"/>
      <c r="D505" s="14" t="inlineStr"/>
      <c r="E505" s="14" t="inlineStr">
        <is>
          <t>EARLYROOM</t>
        </is>
      </c>
      <c r="F505" s="92" t="inlineStr">
        <is>
          <t>EARLYROOM(AE$849,AE$850,AD$734,SUM(AD$814:AD$822)-AD$814)</t>
        </is>
      </c>
    </row>
    <row r="506">
      <c r="A506" s="14" t="n">
        <v>825</v>
      </c>
      <c r="B506" s="14" t="inlineStr">
        <is>
          <t>ecmin</t>
        </is>
      </c>
      <c r="C506" s="14" t="inlineStr"/>
      <c r="D506" s="14" t="inlineStr"/>
      <c r="E506" s="14" t="inlineStr">
        <is>
          <t>LOWEST3</t>
        </is>
      </c>
      <c r="F506" s="92" t="inlineStr">
        <is>
          <t>LOWEST3(AE$571,AE$629,AE$630)</t>
        </is>
      </c>
    </row>
    <row r="507">
      <c r="A507" s="14" t="n">
        <v>826</v>
      </c>
      <c r="B507" s="14" t="inlineStr">
        <is>
          <t>ecshr</t>
        </is>
      </c>
      <c r="C507" s="14" t="inlineStr"/>
      <c r="D507" s="14" t="inlineStr"/>
      <c r="E507" s="14" t="inlineStr">
        <is>
          <t>COALSHARE</t>
        </is>
      </c>
      <c r="F507" s="92" t="inlineStr">
        <is>
          <t>COALSHARE($D826,AE$571,AE$629,AE$630,AE$825)</t>
        </is>
      </c>
    </row>
    <row r="508">
      <c r="A508" s="14" t="n">
        <v>827</v>
      </c>
      <c r="B508" s="14" t="inlineStr">
        <is>
          <t>early</t>
        </is>
      </c>
      <c r="C508" s="14" t="inlineStr"/>
      <c r="D508" s="14" t="inlineStr"/>
      <c r="E508" s="14" t="inlineStr">
        <is>
          <t>EARLYRET</t>
        </is>
      </c>
      <c r="F508" s="92" t="inlineStr">
        <is>
          <t>EARLYRET(AE$784,$D827,AE$824,AE$826,$E827,$F827)</t>
        </is>
      </c>
    </row>
    <row r="509">
      <c r="A509" s="14" t="n">
        <v>828</v>
      </c>
      <c r="B509" s="14" t="inlineStr">
        <is>
          <t>kafter</t>
        </is>
      </c>
      <c r="C509" s="14" t="inlineStr"/>
      <c r="D509" s="14" t="inlineStr"/>
      <c r="E509" s="14" t="inlineStr">
        <is>
          <t>DIFF</t>
        </is>
      </c>
      <c r="F509" s="92" t="inlineStr">
        <is>
          <t>DIFF(SUM(AE$784:AE$792),SUM(AE$814:AE$822))</t>
        </is>
      </c>
    </row>
    <row r="510">
      <c r="A510" s="14" t="n">
        <v>829</v>
      </c>
      <c r="B510" s="14" t="inlineStr">
        <is>
          <t>need</t>
        </is>
      </c>
      <c r="C510" s="14" t="inlineStr"/>
      <c r="D510" s="14" t="inlineStr"/>
      <c r="E510" s="14" t="inlineStr">
        <is>
          <t>RESIDUAL</t>
        </is>
      </c>
      <c r="F510" s="92" t="inlineStr">
        <is>
          <t>RESIDUAL(AE$696,AE$828)</t>
        </is>
      </c>
    </row>
    <row r="511">
      <c r="A511" s="14" t="n">
        <v>832</v>
      </c>
      <c r="B511" s="14" t="inlineStr">
        <is>
          <t>cmin</t>
        </is>
      </c>
      <c r="C511" s="14" t="inlineStr"/>
      <c r="D511" s="14" t="inlineStr"/>
      <c r="E511" s="14" t="inlineStr">
        <is>
          <t>FLOORMIN</t>
        </is>
      </c>
      <c r="F511" s="92" t="inlineStr">
        <is>
          <t>FLOORMIN(AE$625:AE$633,AE$835:AE$843,$D832)</t>
        </is>
      </c>
    </row>
    <row r="512">
      <c r="A512" s="14" t="n">
        <v>833</v>
      </c>
      <c r="B512" s="14" t="inlineStr">
        <is>
          <t>deficit</t>
        </is>
      </c>
      <c r="C512" s="14" t="inlineStr"/>
      <c r="D512" s="14" t="inlineStr"/>
      <c r="E512" s="14" t="inlineStr">
        <is>
          <t>RESIDUAL</t>
        </is>
      </c>
      <c r="F512" s="92" t="inlineStr">
        <is>
          <t>RESIDUAL(AE$829,SUM(AE$875:AE$883))</t>
        </is>
      </c>
    </row>
    <row r="513">
      <c r="A513" s="14" t="n">
        <v>835</v>
      </c>
      <c r="B513" s="14" t="inlineStr">
        <is>
          <t>permit</t>
        </is>
      </c>
      <c r="C513" s="14" t="inlineStr">
        <is>
          <t>coa</t>
        </is>
      </c>
      <c r="D513" s="14" t="inlineStr">
        <is>
          <t>pow</t>
        </is>
      </c>
      <c r="E513" s="14" t="inlineStr">
        <is>
          <t>PERMITTED</t>
        </is>
      </c>
      <c r="F513" s="92" t="inlineStr">
        <is>
          <t>PERMITTED($D835,$E835,AE$4)</t>
        </is>
      </c>
    </row>
    <row r="514">
      <c r="A514" s="14" t="n">
        <v>836</v>
      </c>
      <c r="B514" s="14" t="inlineStr">
        <is>
          <t>permit</t>
        </is>
      </c>
      <c r="C514" s="14" t="inlineStr">
        <is>
          <t>nga</t>
        </is>
      </c>
      <c r="D514" s="14" t="inlineStr">
        <is>
          <t>pow</t>
        </is>
      </c>
      <c r="E514" s="14" t="inlineStr">
        <is>
          <t>PERMITTED</t>
        </is>
      </c>
      <c r="F514" s="92" t="inlineStr">
        <is>
          <t>PERMITTED($D836,$E836,AE$4)</t>
        </is>
      </c>
    </row>
    <row r="515">
      <c r="A515" s="14" t="n">
        <v>837</v>
      </c>
      <c r="B515" s="14" t="inlineStr">
        <is>
          <t>permit</t>
        </is>
      </c>
      <c r="C515" s="14" t="inlineStr">
        <is>
          <t>oop</t>
        </is>
      </c>
      <c r="D515" s="14" t="inlineStr">
        <is>
          <t>pow</t>
        </is>
      </c>
      <c r="E515" s="14" t="inlineStr">
        <is>
          <t>PERMITTED</t>
        </is>
      </c>
      <c r="F515" s="92" t="inlineStr">
        <is>
          <t>PERMITTED($D837,$E837,AE$4)</t>
        </is>
      </c>
    </row>
    <row r="516">
      <c r="A516" s="14" t="n">
        <v>838</v>
      </c>
      <c r="B516" s="14" t="inlineStr">
        <is>
          <t>permit</t>
        </is>
      </c>
      <c r="C516" s="14" t="inlineStr">
        <is>
          <t>nuc</t>
        </is>
      </c>
      <c r="D516" s="14" t="inlineStr">
        <is>
          <t>pow</t>
        </is>
      </c>
      <c r="E516" s="14" t="inlineStr">
        <is>
          <t>PERMITTED</t>
        </is>
      </c>
      <c r="F516" s="92" t="inlineStr">
        <is>
          <t>PERMITTED($D838,$E838,AE$4)</t>
        </is>
      </c>
    </row>
    <row r="517">
      <c r="A517" s="14" t="n">
        <v>839</v>
      </c>
      <c r="B517" s="14" t="inlineStr">
        <is>
          <t>permit</t>
        </is>
      </c>
      <c r="C517" s="14" t="inlineStr">
        <is>
          <t>wnd</t>
        </is>
      </c>
      <c r="D517" s="14" t="inlineStr">
        <is>
          <t>pow</t>
        </is>
      </c>
      <c r="E517" s="14" t="inlineStr">
        <is>
          <t>PERMITTED</t>
        </is>
      </c>
      <c r="F517" s="92" t="inlineStr">
        <is>
          <t>PERMITTED($D839,$E839,AE$4)</t>
        </is>
      </c>
    </row>
    <row r="518">
      <c r="A518" s="14" t="n">
        <v>840</v>
      </c>
      <c r="B518" s="14" t="inlineStr">
        <is>
          <t>permit</t>
        </is>
      </c>
      <c r="C518" s="14" t="inlineStr">
        <is>
          <t>sol</t>
        </is>
      </c>
      <c r="D518" s="14" t="inlineStr">
        <is>
          <t>pow</t>
        </is>
      </c>
      <c r="E518" s="14" t="inlineStr">
        <is>
          <t>PERMITTED</t>
        </is>
      </c>
      <c r="F518" s="92" t="inlineStr">
        <is>
          <t>PERMITTED($D840,$E840,AE$4)</t>
        </is>
      </c>
    </row>
    <row r="519">
      <c r="A519" s="14" t="n">
        <v>841</v>
      </c>
      <c r="B519" s="14" t="inlineStr">
        <is>
          <t>permit</t>
        </is>
      </c>
      <c r="C519" s="14" t="inlineStr">
        <is>
          <t>hyd</t>
        </is>
      </c>
      <c r="D519" s="14" t="inlineStr">
        <is>
          <t>pow</t>
        </is>
      </c>
      <c r="E519" s="14" t="inlineStr">
        <is>
          <t>PERMITTED</t>
        </is>
      </c>
      <c r="F519" s="92" t="inlineStr">
        <is>
          <t>PERMITTED($D841,$E841,AE$4)</t>
        </is>
      </c>
    </row>
    <row r="520">
      <c r="A520" s="14" t="n">
        <v>842</v>
      </c>
      <c r="B520" s="14" t="inlineStr">
        <is>
          <t>permit</t>
        </is>
      </c>
      <c r="C520" s="14" t="inlineStr">
        <is>
          <t>ore</t>
        </is>
      </c>
      <c r="D520" s="14" t="inlineStr">
        <is>
          <t>pow</t>
        </is>
      </c>
      <c r="E520" s="14" t="inlineStr">
        <is>
          <t>PERMITTED</t>
        </is>
      </c>
      <c r="F520" s="92" t="inlineStr">
        <is>
          <t>PERMITTED($D842,$E842,AE$4)</t>
        </is>
      </c>
    </row>
    <row r="521">
      <c r="A521" s="14" t="n">
        <v>843</v>
      </c>
      <c r="B521" s="14" t="inlineStr">
        <is>
          <t>permit</t>
        </is>
      </c>
      <c r="C521" s="14" t="inlineStr">
        <is>
          <t>bio</t>
        </is>
      </c>
      <c r="D521" s="14" t="inlineStr">
        <is>
          <t>pow</t>
        </is>
      </c>
      <c r="E521" s="14" t="inlineStr">
        <is>
          <t>PERMITTED</t>
        </is>
      </c>
      <c r="F521" s="92" t="inlineStr">
        <is>
          <t>PERMITTED($D843,$E843,AE$4)</t>
        </is>
      </c>
    </row>
    <row r="522">
      <c r="A522" s="14" t="n">
        <v>845</v>
      </c>
      <c r="B522" s="14" t="inlineStr">
        <is>
          <t>maxinv</t>
        </is>
      </c>
      <c r="C522" s="14" t="inlineStr">
        <is>
          <t>coa</t>
        </is>
      </c>
      <c r="D522" s="14" t="inlineStr">
        <is>
          <t>pow</t>
        </is>
      </c>
      <c r="E522" s="14" t="inlineStr">
        <is>
          <t>SCALEUP</t>
        </is>
      </c>
      <c r="F522" s="92" t="inlineStr">
        <is>
          <t>SCALEUP($D845,SUM(AE$784:AE$792),AE835)</t>
        </is>
      </c>
    </row>
    <row r="523">
      <c r="A523" s="14" t="n">
        <v>846</v>
      </c>
      <c r="B523" s="14" t="inlineStr">
        <is>
          <t>maxinv</t>
        </is>
      </c>
      <c r="C523" s="14" t="inlineStr">
        <is>
          <t>nga</t>
        </is>
      </c>
      <c r="D523" s="14" t="inlineStr">
        <is>
          <t>pow</t>
        </is>
      </c>
      <c r="E523" s="14" t="inlineStr">
        <is>
          <t>SCALEUP</t>
        </is>
      </c>
      <c r="F523" s="92" t="inlineStr">
        <is>
          <t>SCALEUP($D846,SUM(AE$784:AE$792),AE836)</t>
        </is>
      </c>
    </row>
    <row r="524">
      <c r="A524" s="14" t="n">
        <v>847</v>
      </c>
      <c r="B524" s="14" t="inlineStr">
        <is>
          <t>maxinv</t>
        </is>
      </c>
      <c r="C524" s="14" t="inlineStr">
        <is>
          <t>oop</t>
        </is>
      </c>
      <c r="D524" s="14" t="inlineStr">
        <is>
          <t>pow</t>
        </is>
      </c>
      <c r="E524" s="14" t="inlineStr">
        <is>
          <t>SCALEUP</t>
        </is>
      </c>
      <c r="F524" s="92" t="inlineStr">
        <is>
          <t>SCALEUP($D847,SUM(AE$784:AE$792),AE837)</t>
        </is>
      </c>
    </row>
    <row r="525">
      <c r="A525" s="14" t="n">
        <v>848</v>
      </c>
      <c r="B525" s="14" t="inlineStr">
        <is>
          <t>maxinv</t>
        </is>
      </c>
      <c r="C525" s="14" t="inlineStr">
        <is>
          <t>nuc</t>
        </is>
      </c>
      <c r="D525" s="14" t="inlineStr">
        <is>
          <t>pow</t>
        </is>
      </c>
      <c r="E525" s="14" t="inlineStr">
        <is>
          <t>SCALEUP</t>
        </is>
      </c>
      <c r="F525" s="92" t="inlineStr">
        <is>
          <t>SCALEUP($D848,SUM(AE$784:AE$792),AE838)</t>
        </is>
      </c>
    </row>
    <row r="526">
      <c r="A526" s="14" t="n">
        <v>849</v>
      </c>
      <c r="B526" s="14" t="inlineStr">
        <is>
          <t>maxinv</t>
        </is>
      </c>
      <c r="C526" s="14" t="inlineStr">
        <is>
          <t>wnd</t>
        </is>
      </c>
      <c r="D526" s="14" t="inlineStr">
        <is>
          <t>pow</t>
        </is>
      </c>
      <c r="E526" s="14" t="inlineStr">
        <is>
          <t>SCALEUP</t>
        </is>
      </c>
      <c r="F526" s="92" t="inlineStr">
        <is>
          <t>SCALEUP($D849,SUM(AE$784:AE$792),AE839)</t>
        </is>
      </c>
    </row>
    <row r="527">
      <c r="A527" s="14" t="n">
        <v>850</v>
      </c>
      <c r="B527" s="14" t="inlineStr">
        <is>
          <t>maxinv</t>
        </is>
      </c>
      <c r="C527" s="14" t="inlineStr">
        <is>
          <t>sol</t>
        </is>
      </c>
      <c r="D527" s="14" t="inlineStr">
        <is>
          <t>pow</t>
        </is>
      </c>
      <c r="E527" s="14" t="inlineStr">
        <is>
          <t>SCALEUP</t>
        </is>
      </c>
      <c r="F527" s="92" t="inlineStr">
        <is>
          <t>SCALEUP($D850,SUM(AE$784:AE$792),AE840)</t>
        </is>
      </c>
    </row>
    <row r="528">
      <c r="A528" s="14" t="n">
        <v>851</v>
      </c>
      <c r="B528" s="14" t="inlineStr">
        <is>
          <t>maxinv</t>
        </is>
      </c>
      <c r="C528" s="14" t="inlineStr">
        <is>
          <t>hyd</t>
        </is>
      </c>
      <c r="D528" s="14" t="inlineStr">
        <is>
          <t>pow</t>
        </is>
      </c>
      <c r="E528" s="14" t="inlineStr">
        <is>
          <t>SCALEUP</t>
        </is>
      </c>
      <c r="F528" s="92" t="inlineStr">
        <is>
          <t>SCALEUP($D851,SUM(AE$784:AE$792),AE841)</t>
        </is>
      </c>
    </row>
    <row r="529">
      <c r="A529" s="14" t="n">
        <v>852</v>
      </c>
      <c r="B529" s="14" t="inlineStr">
        <is>
          <t>maxinv</t>
        </is>
      </c>
      <c r="C529" s="14" t="inlineStr">
        <is>
          <t>ore</t>
        </is>
      </c>
      <c r="D529" s="14" t="inlineStr">
        <is>
          <t>pow</t>
        </is>
      </c>
      <c r="E529" s="14" t="inlineStr">
        <is>
          <t>SCALEUP</t>
        </is>
      </c>
      <c r="F529" s="92" t="inlineStr">
        <is>
          <t>SCALEUP($D852,SUM(AE$784:AE$792),AE842)</t>
        </is>
      </c>
    </row>
    <row r="530">
      <c r="A530" s="14" t="n">
        <v>853</v>
      </c>
      <c r="B530" s="14" t="inlineStr">
        <is>
          <t>maxinv</t>
        </is>
      </c>
      <c r="C530" s="14" t="inlineStr">
        <is>
          <t>bio</t>
        </is>
      </c>
      <c r="D530" s="14" t="inlineStr">
        <is>
          <t>pow</t>
        </is>
      </c>
      <c r="E530" s="14" t="inlineStr">
        <is>
          <t>SCALEUP</t>
        </is>
      </c>
      <c r="F530" s="92" t="inlineStr">
        <is>
          <t>SCALEUP($D853,SUM(AE$784:AE$792),AE843)</t>
        </is>
      </c>
    </row>
    <row r="531">
      <c r="A531" s="14" t="n">
        <v>855</v>
      </c>
      <c r="B531" s="14" t="inlineStr">
        <is>
          <t>lgi</t>
        </is>
      </c>
      <c r="C531" s="14" t="inlineStr">
        <is>
          <t>coa</t>
        </is>
      </c>
      <c r="D531" s="14" t="inlineStr">
        <is>
          <t>pow</t>
        </is>
      </c>
      <c r="E531" s="14" t="inlineStr">
        <is>
          <t>LOGITW</t>
        </is>
      </c>
      <c r="F531" s="92" t="inlineStr">
        <is>
          <t>LOGITW(AE835,$D855,AE625,AE$832)</t>
        </is>
      </c>
    </row>
    <row r="532">
      <c r="A532" s="14" t="n">
        <v>856</v>
      </c>
      <c r="B532" s="14" t="inlineStr">
        <is>
          <t>lgi</t>
        </is>
      </c>
      <c r="C532" s="14" t="inlineStr">
        <is>
          <t>nga</t>
        </is>
      </c>
      <c r="D532" s="14" t="inlineStr">
        <is>
          <t>pow</t>
        </is>
      </c>
      <c r="E532" s="14" t="inlineStr">
        <is>
          <t>LOGITW</t>
        </is>
      </c>
      <c r="F532" s="92" t="inlineStr">
        <is>
          <t>LOGITW(AE836,$D856,AE626,AE$832)</t>
        </is>
      </c>
    </row>
    <row r="533">
      <c r="A533" s="14" t="n">
        <v>857</v>
      </c>
      <c r="B533" s="14" t="inlineStr">
        <is>
          <t>lgi</t>
        </is>
      </c>
      <c r="C533" s="14" t="inlineStr">
        <is>
          <t>oop</t>
        </is>
      </c>
      <c r="D533" s="14" t="inlineStr">
        <is>
          <t>pow</t>
        </is>
      </c>
      <c r="E533" s="14" t="inlineStr">
        <is>
          <t>LOGITW</t>
        </is>
      </c>
      <c r="F533" s="92" t="inlineStr">
        <is>
          <t>LOGITW(AE837,$D857,AE627,AE$832)</t>
        </is>
      </c>
    </row>
    <row r="534">
      <c r="A534" s="14" t="n">
        <v>858</v>
      </c>
      <c r="B534" s="14" t="inlineStr">
        <is>
          <t>lgi</t>
        </is>
      </c>
      <c r="C534" s="14" t="inlineStr">
        <is>
          <t>nuc</t>
        </is>
      </c>
      <c r="D534" s="14" t="inlineStr">
        <is>
          <t>pow</t>
        </is>
      </c>
      <c r="E534" s="14" t="inlineStr">
        <is>
          <t>LOGITW</t>
        </is>
      </c>
      <c r="F534" s="92" t="inlineStr">
        <is>
          <t>LOGITW(AE838,$D858,AE628,AE$832)</t>
        </is>
      </c>
    </row>
    <row r="535">
      <c r="A535" s="14" t="n">
        <v>859</v>
      </c>
      <c r="B535" s="14" t="inlineStr">
        <is>
          <t>lgi</t>
        </is>
      </c>
      <c r="C535" s="14" t="inlineStr">
        <is>
          <t>wnd</t>
        </is>
      </c>
      <c r="D535" s="14" t="inlineStr">
        <is>
          <t>pow</t>
        </is>
      </c>
      <c r="E535" s="14" t="inlineStr">
        <is>
          <t>LOGITW</t>
        </is>
      </c>
      <c r="F535" s="92" t="inlineStr">
        <is>
          <t>LOGITW(AE839,$D859,AE629,AE$832)</t>
        </is>
      </c>
    </row>
    <row r="536">
      <c r="A536" s="14" t="n">
        <v>860</v>
      </c>
      <c r="B536" s="14" t="inlineStr">
        <is>
          <t>lgi</t>
        </is>
      </c>
      <c r="C536" s="14" t="inlineStr">
        <is>
          <t>sol</t>
        </is>
      </c>
      <c r="D536" s="14" t="inlineStr">
        <is>
          <t>pow</t>
        </is>
      </c>
      <c r="E536" s="14" t="inlineStr">
        <is>
          <t>LOGITW</t>
        </is>
      </c>
      <c r="F536" s="92" t="inlineStr">
        <is>
          <t>LOGITW(AE840,$D860,AE630,AE$832)</t>
        </is>
      </c>
    </row>
    <row r="537">
      <c r="A537" s="14" t="n">
        <v>861</v>
      </c>
      <c r="B537" s="14" t="inlineStr">
        <is>
          <t>lgi</t>
        </is>
      </c>
      <c r="C537" s="14" t="inlineStr">
        <is>
          <t>hyd</t>
        </is>
      </c>
      <c r="D537" s="14" t="inlineStr">
        <is>
          <t>pow</t>
        </is>
      </c>
      <c r="E537" s="14" t="inlineStr">
        <is>
          <t>LOGITW</t>
        </is>
      </c>
      <c r="F537" s="92" t="inlineStr">
        <is>
          <t>LOGITW(AE841,$D861,AE631,AE$832)</t>
        </is>
      </c>
    </row>
    <row r="538">
      <c r="A538" s="14" t="n">
        <v>862</v>
      </c>
      <c r="B538" s="14" t="inlineStr">
        <is>
          <t>lgi</t>
        </is>
      </c>
      <c r="C538" s="14" t="inlineStr">
        <is>
          <t>ore</t>
        </is>
      </c>
      <c r="D538" s="14" t="inlineStr">
        <is>
          <t>pow</t>
        </is>
      </c>
      <c r="E538" s="14" t="inlineStr">
        <is>
          <t>LOGITW</t>
        </is>
      </c>
      <c r="F538" s="92" t="inlineStr">
        <is>
          <t>LOGITW(AE842,$D862,AE632,AE$832)</t>
        </is>
      </c>
    </row>
    <row r="539">
      <c r="A539" s="14" t="n">
        <v>863</v>
      </c>
      <c r="B539" s="14" t="inlineStr">
        <is>
          <t>lgi</t>
        </is>
      </c>
      <c r="C539" s="14" t="inlineStr">
        <is>
          <t>bio</t>
        </is>
      </c>
      <c r="D539" s="14" t="inlineStr">
        <is>
          <t>pow</t>
        </is>
      </c>
      <c r="E539" s="14" t="inlineStr">
        <is>
          <t>LOGITW</t>
        </is>
      </c>
      <c r="F539" s="92" t="inlineStr">
        <is>
          <t>LOGITW(AE843,$D863,AE633,AE$832)</t>
        </is>
      </c>
    </row>
    <row r="540">
      <c r="A540" s="14" t="n">
        <v>865</v>
      </c>
      <c r="B540" s="14" t="inlineStr">
        <is>
          <t>pni</t>
        </is>
      </c>
      <c r="C540" s="14" t="inlineStr">
        <is>
          <t>coa</t>
        </is>
      </c>
      <c r="D540" s="14" t="inlineStr">
        <is>
          <t>pow</t>
        </is>
      </c>
      <c r="E540" s="14" t="inlineStr">
        <is>
          <t>SHARE</t>
        </is>
      </c>
      <c r="F540" s="92" t="inlineStr">
        <is>
          <t>SHARE(AE855,SUM(AE$855:AE$863))</t>
        </is>
      </c>
    </row>
    <row r="541">
      <c r="A541" s="14" t="n">
        <v>866</v>
      </c>
      <c r="B541" s="14" t="inlineStr">
        <is>
          <t>pni</t>
        </is>
      </c>
      <c r="C541" s="14" t="inlineStr">
        <is>
          <t>nga</t>
        </is>
      </c>
      <c r="D541" s="14" t="inlineStr">
        <is>
          <t>pow</t>
        </is>
      </c>
      <c r="E541" s="14" t="inlineStr">
        <is>
          <t>SHARE</t>
        </is>
      </c>
      <c r="F541" s="92" t="inlineStr">
        <is>
          <t>SHARE(AE856,SUM(AE$855:AE$863))</t>
        </is>
      </c>
    </row>
    <row r="542">
      <c r="A542" s="14" t="n">
        <v>867</v>
      </c>
      <c r="B542" s="14" t="inlineStr">
        <is>
          <t>pni</t>
        </is>
      </c>
      <c r="C542" s="14" t="inlineStr">
        <is>
          <t>oop</t>
        </is>
      </c>
      <c r="D542" s="14" t="inlineStr">
        <is>
          <t>pow</t>
        </is>
      </c>
      <c r="E542" s="14" t="inlineStr">
        <is>
          <t>SHARE</t>
        </is>
      </c>
      <c r="F542" s="92" t="inlineStr">
        <is>
          <t>SHARE(AE857,SUM(AE$855:AE$863))</t>
        </is>
      </c>
    </row>
    <row r="543">
      <c r="A543" s="14" t="n">
        <v>868</v>
      </c>
      <c r="B543" s="14" t="inlineStr">
        <is>
          <t>pni</t>
        </is>
      </c>
      <c r="C543" s="14" t="inlineStr">
        <is>
          <t>nuc</t>
        </is>
      </c>
      <c r="D543" s="14" t="inlineStr">
        <is>
          <t>pow</t>
        </is>
      </c>
      <c r="E543" s="14" t="inlineStr">
        <is>
          <t>SHARE</t>
        </is>
      </c>
      <c r="F543" s="92" t="inlineStr">
        <is>
          <t>SHARE(AE858,SUM(AE$855:AE$863))</t>
        </is>
      </c>
    </row>
    <row r="544">
      <c r="A544" s="14" t="n">
        <v>869</v>
      </c>
      <c r="B544" s="14" t="inlineStr">
        <is>
          <t>pni</t>
        </is>
      </c>
      <c r="C544" s="14" t="inlineStr">
        <is>
          <t>wnd</t>
        </is>
      </c>
      <c r="D544" s="14" t="inlineStr">
        <is>
          <t>pow</t>
        </is>
      </c>
      <c r="E544" s="14" t="inlineStr">
        <is>
          <t>SHARE</t>
        </is>
      </c>
      <c r="F544" s="92" t="inlineStr">
        <is>
          <t>SHARE(AE859,SUM(AE$855:AE$863))</t>
        </is>
      </c>
    </row>
    <row r="545">
      <c r="A545" s="14" t="n">
        <v>870</v>
      </c>
      <c r="B545" s="14" t="inlineStr">
        <is>
          <t>pni</t>
        </is>
      </c>
      <c r="C545" s="14" t="inlineStr">
        <is>
          <t>sol</t>
        </is>
      </c>
      <c r="D545" s="14" t="inlineStr">
        <is>
          <t>pow</t>
        </is>
      </c>
      <c r="E545" s="14" t="inlineStr">
        <is>
          <t>SHARE</t>
        </is>
      </c>
      <c r="F545" s="92" t="inlineStr">
        <is>
          <t>SHARE(AE860,SUM(AE$855:AE$863))</t>
        </is>
      </c>
    </row>
    <row r="546">
      <c r="A546" s="14" t="n">
        <v>871</v>
      </c>
      <c r="B546" s="14" t="inlineStr">
        <is>
          <t>pni</t>
        </is>
      </c>
      <c r="C546" s="14" t="inlineStr">
        <is>
          <t>hyd</t>
        </is>
      </c>
      <c r="D546" s="14" t="inlineStr">
        <is>
          <t>pow</t>
        </is>
      </c>
      <c r="E546" s="14" t="inlineStr">
        <is>
          <t>SHARE</t>
        </is>
      </c>
      <c r="F546" s="92" t="inlineStr">
        <is>
          <t>SHARE(AE861,SUM(AE$855:AE$863))</t>
        </is>
      </c>
    </row>
    <row r="547">
      <c r="A547" s="14" t="n">
        <v>872</v>
      </c>
      <c r="B547" s="14" t="inlineStr">
        <is>
          <t>pni</t>
        </is>
      </c>
      <c r="C547" s="14" t="inlineStr">
        <is>
          <t>ore</t>
        </is>
      </c>
      <c r="D547" s="14" t="inlineStr">
        <is>
          <t>pow</t>
        </is>
      </c>
      <c r="E547" s="14" t="inlineStr">
        <is>
          <t>SHARE</t>
        </is>
      </c>
      <c r="F547" s="92" t="inlineStr">
        <is>
          <t>SHARE(AE862,SUM(AE$855:AE$863))</t>
        </is>
      </c>
    </row>
    <row r="548">
      <c r="A548" s="14" t="n">
        <v>873</v>
      </c>
      <c r="B548" s="14" t="inlineStr">
        <is>
          <t>pni</t>
        </is>
      </c>
      <c r="C548" s="14" t="inlineStr">
        <is>
          <t>bio</t>
        </is>
      </c>
      <c r="D548" s="14" t="inlineStr">
        <is>
          <t>pow</t>
        </is>
      </c>
      <c r="E548" s="14" t="inlineStr">
        <is>
          <t>SHARE</t>
        </is>
      </c>
      <c r="F548" s="92" t="inlineStr">
        <is>
          <t>SHARE(AE863,SUM(AE$855:AE$863))</t>
        </is>
      </c>
    </row>
    <row r="549">
      <c r="A549" s="14" t="n">
        <v>875</v>
      </c>
      <c r="B549" s="14" t="inlineStr">
        <is>
          <t>first</t>
        </is>
      </c>
      <c r="C549" s="14" t="inlineStr">
        <is>
          <t>coa</t>
        </is>
      </c>
      <c r="D549" s="14" t="inlineStr">
        <is>
          <t>pow</t>
        </is>
      </c>
      <c r="E549" s="14" t="inlineStr">
        <is>
          <t>FIRSTROUND</t>
        </is>
      </c>
      <c r="F549" s="92" t="inlineStr">
        <is>
          <t>FIRSTROUND(AE845,AE$829,AE865)</t>
        </is>
      </c>
    </row>
    <row r="550">
      <c r="A550" s="14" t="n">
        <v>876</v>
      </c>
      <c r="B550" s="14" t="inlineStr">
        <is>
          <t>first</t>
        </is>
      </c>
      <c r="C550" s="14" t="inlineStr">
        <is>
          <t>nga</t>
        </is>
      </c>
      <c r="D550" s="14" t="inlineStr">
        <is>
          <t>pow</t>
        </is>
      </c>
      <c r="E550" s="14" t="inlineStr">
        <is>
          <t>FIRSTROUND</t>
        </is>
      </c>
      <c r="F550" s="92" t="inlineStr">
        <is>
          <t>FIRSTROUND(AE846,AE$829,AE866)</t>
        </is>
      </c>
    </row>
    <row r="551">
      <c r="A551" s="14" t="n">
        <v>877</v>
      </c>
      <c r="B551" s="14" t="inlineStr">
        <is>
          <t>first</t>
        </is>
      </c>
      <c r="C551" s="14" t="inlineStr">
        <is>
          <t>oop</t>
        </is>
      </c>
      <c r="D551" s="14" t="inlineStr">
        <is>
          <t>pow</t>
        </is>
      </c>
      <c r="E551" s="14" t="inlineStr">
        <is>
          <t>FIRSTROUND</t>
        </is>
      </c>
      <c r="F551" s="92" t="inlineStr">
        <is>
          <t>FIRSTROUND(AE847,AE$829,AE867)</t>
        </is>
      </c>
    </row>
    <row r="552">
      <c r="A552" s="14" t="n">
        <v>878</v>
      </c>
      <c r="B552" s="14" t="inlineStr">
        <is>
          <t>first</t>
        </is>
      </c>
      <c r="C552" s="14" t="inlineStr">
        <is>
          <t>nuc</t>
        </is>
      </c>
      <c r="D552" s="14" t="inlineStr">
        <is>
          <t>pow</t>
        </is>
      </c>
      <c r="E552" s="14" t="inlineStr">
        <is>
          <t>FIRSTROUND</t>
        </is>
      </c>
      <c r="F552" s="92" t="inlineStr">
        <is>
          <t>FIRSTROUND(AE848,AE$829,AE868)</t>
        </is>
      </c>
    </row>
    <row r="553">
      <c r="A553" s="14" t="n">
        <v>879</v>
      </c>
      <c r="B553" s="14" t="inlineStr">
        <is>
          <t>first</t>
        </is>
      </c>
      <c r="C553" s="14" t="inlineStr">
        <is>
          <t>wnd</t>
        </is>
      </c>
      <c r="D553" s="14" t="inlineStr">
        <is>
          <t>pow</t>
        </is>
      </c>
      <c r="E553" s="14" t="inlineStr">
        <is>
          <t>FIRSTROUND</t>
        </is>
      </c>
      <c r="F553" s="92" t="inlineStr">
        <is>
          <t>FIRSTROUND(AE849,AE$829,AE869)</t>
        </is>
      </c>
    </row>
    <row r="554">
      <c r="A554" s="14" t="n">
        <v>880</v>
      </c>
      <c r="B554" s="14" t="inlineStr">
        <is>
          <t>first</t>
        </is>
      </c>
      <c r="C554" s="14" t="inlineStr">
        <is>
          <t>sol</t>
        </is>
      </c>
      <c r="D554" s="14" t="inlineStr">
        <is>
          <t>pow</t>
        </is>
      </c>
      <c r="E554" s="14" t="inlineStr">
        <is>
          <t>FIRSTROUND</t>
        </is>
      </c>
      <c r="F554" s="92" t="inlineStr">
        <is>
          <t>FIRSTROUND(AE850,AE$829,AE870)</t>
        </is>
      </c>
    </row>
    <row r="555">
      <c r="A555" s="14" t="n">
        <v>881</v>
      </c>
      <c r="B555" s="14" t="inlineStr">
        <is>
          <t>first</t>
        </is>
      </c>
      <c r="C555" s="14" t="inlineStr">
        <is>
          <t>hyd</t>
        </is>
      </c>
      <c r="D555" s="14" t="inlineStr">
        <is>
          <t>pow</t>
        </is>
      </c>
      <c r="E555" s="14" t="inlineStr">
        <is>
          <t>FIRSTROUND</t>
        </is>
      </c>
      <c r="F555" s="92" t="inlineStr">
        <is>
          <t>FIRSTROUND(AE851,AE$829,AE871)</t>
        </is>
      </c>
    </row>
    <row r="556">
      <c r="A556" s="14" t="n">
        <v>882</v>
      </c>
      <c r="B556" s="14" t="inlineStr">
        <is>
          <t>first</t>
        </is>
      </c>
      <c r="C556" s="14" t="inlineStr">
        <is>
          <t>ore</t>
        </is>
      </c>
      <c r="D556" s="14" t="inlineStr">
        <is>
          <t>pow</t>
        </is>
      </c>
      <c r="E556" s="14" t="inlineStr">
        <is>
          <t>FIRSTROUND</t>
        </is>
      </c>
      <c r="F556" s="92" t="inlineStr">
        <is>
          <t>FIRSTROUND(AE852,AE$829,AE872)</t>
        </is>
      </c>
    </row>
    <row r="557">
      <c r="A557" s="14" t="n">
        <v>883</v>
      </c>
      <c r="B557" s="14" t="inlineStr">
        <is>
          <t>first</t>
        </is>
      </c>
      <c r="C557" s="14" t="inlineStr">
        <is>
          <t>bio</t>
        </is>
      </c>
      <c r="D557" s="14" t="inlineStr">
        <is>
          <t>pow</t>
        </is>
      </c>
      <c r="E557" s="14" t="inlineStr">
        <is>
          <t>FIRSTROUND</t>
        </is>
      </c>
      <c r="F557" s="92" t="inlineStr">
        <is>
          <t>FIRSTROUND(AE853,AE$829,AE873)</t>
        </is>
      </c>
    </row>
    <row r="558">
      <c r="A558" s="14" t="n">
        <v>885</v>
      </c>
      <c r="B558" s="14" t="inlineStr">
        <is>
          <t>space</t>
        </is>
      </c>
      <c r="C558" s="14" t="inlineStr">
        <is>
          <t>coa</t>
        </is>
      </c>
      <c r="D558" s="14" t="inlineStr">
        <is>
          <t>pow</t>
        </is>
      </c>
      <c r="E558" s="14" t="inlineStr">
        <is>
          <t>SPACE</t>
        </is>
      </c>
      <c r="F558" s="92" t="inlineStr">
        <is>
          <t>SPACE(AE845,AE875,AE835)</t>
        </is>
      </c>
    </row>
    <row r="559">
      <c r="A559" s="14" t="n">
        <v>886</v>
      </c>
      <c r="B559" s="14" t="inlineStr">
        <is>
          <t>space</t>
        </is>
      </c>
      <c r="C559" s="14" t="inlineStr">
        <is>
          <t>nga</t>
        </is>
      </c>
      <c r="D559" s="14" t="inlineStr">
        <is>
          <t>pow</t>
        </is>
      </c>
      <c r="E559" s="14" t="inlineStr">
        <is>
          <t>SPACE</t>
        </is>
      </c>
      <c r="F559" s="92" t="inlineStr">
        <is>
          <t>SPACE(AE846,AE876,AE836)</t>
        </is>
      </c>
    </row>
    <row r="560">
      <c r="A560" s="14" t="n">
        <v>887</v>
      </c>
      <c r="B560" s="14" t="inlineStr">
        <is>
          <t>space</t>
        </is>
      </c>
      <c r="C560" s="14" t="inlineStr">
        <is>
          <t>oop</t>
        </is>
      </c>
      <c r="D560" s="14" t="inlineStr">
        <is>
          <t>pow</t>
        </is>
      </c>
      <c r="E560" s="14" t="inlineStr">
        <is>
          <t>SPACE</t>
        </is>
      </c>
      <c r="F560" s="92" t="inlineStr">
        <is>
          <t>SPACE(AE847,AE877,AE837)</t>
        </is>
      </c>
    </row>
    <row r="561">
      <c r="A561" s="14" t="n">
        <v>888</v>
      </c>
      <c r="B561" s="14" t="inlineStr">
        <is>
          <t>space</t>
        </is>
      </c>
      <c r="C561" s="14" t="inlineStr">
        <is>
          <t>nuc</t>
        </is>
      </c>
      <c r="D561" s="14" t="inlineStr">
        <is>
          <t>pow</t>
        </is>
      </c>
      <c r="E561" s="14" t="inlineStr">
        <is>
          <t>SPACE</t>
        </is>
      </c>
      <c r="F561" s="92" t="inlineStr">
        <is>
          <t>SPACE(AE848,AE878,AE838)</t>
        </is>
      </c>
    </row>
    <row r="562">
      <c r="A562" s="14" t="n">
        <v>889</v>
      </c>
      <c r="B562" s="14" t="inlineStr">
        <is>
          <t>space</t>
        </is>
      </c>
      <c r="C562" s="14" t="inlineStr">
        <is>
          <t>wnd</t>
        </is>
      </c>
      <c r="D562" s="14" t="inlineStr">
        <is>
          <t>pow</t>
        </is>
      </c>
      <c r="E562" s="14" t="inlineStr">
        <is>
          <t>SPACE</t>
        </is>
      </c>
      <c r="F562" s="92" t="inlineStr">
        <is>
          <t>SPACE(AE849,AE879,AE839)</t>
        </is>
      </c>
    </row>
    <row r="563">
      <c r="A563" s="14" t="n">
        <v>890</v>
      </c>
      <c r="B563" s="14" t="inlineStr">
        <is>
          <t>space</t>
        </is>
      </c>
      <c r="C563" s="14" t="inlineStr">
        <is>
          <t>sol</t>
        </is>
      </c>
      <c r="D563" s="14" t="inlineStr">
        <is>
          <t>pow</t>
        </is>
      </c>
      <c r="E563" s="14" t="inlineStr">
        <is>
          <t>SPACE</t>
        </is>
      </c>
      <c r="F563" s="92" t="inlineStr">
        <is>
          <t>SPACE(AE850,AE880,AE840)</t>
        </is>
      </c>
    </row>
    <row r="564">
      <c r="A564" s="14" t="n">
        <v>891</v>
      </c>
      <c r="B564" s="14" t="inlineStr">
        <is>
          <t>space</t>
        </is>
      </c>
      <c r="C564" s="14" t="inlineStr">
        <is>
          <t>hyd</t>
        </is>
      </c>
      <c r="D564" s="14" t="inlineStr">
        <is>
          <t>pow</t>
        </is>
      </c>
      <c r="E564" s="14" t="inlineStr">
        <is>
          <t>SPACE</t>
        </is>
      </c>
      <c r="F564" s="92" t="inlineStr">
        <is>
          <t>SPACE(AE851,AE881,AE841)</t>
        </is>
      </c>
    </row>
    <row r="565">
      <c r="A565" s="14" t="n">
        <v>892</v>
      </c>
      <c r="B565" s="14" t="inlineStr">
        <is>
          <t>space</t>
        </is>
      </c>
      <c r="C565" s="14" t="inlineStr">
        <is>
          <t>ore</t>
        </is>
      </c>
      <c r="D565" s="14" t="inlineStr">
        <is>
          <t>pow</t>
        </is>
      </c>
      <c r="E565" s="14" t="inlineStr">
        <is>
          <t>SPACE</t>
        </is>
      </c>
      <c r="F565" s="92" t="inlineStr">
        <is>
          <t>SPACE(AE852,AE882,AE842)</t>
        </is>
      </c>
    </row>
    <row r="566">
      <c r="A566" s="14" t="n">
        <v>893</v>
      </c>
      <c r="B566" s="14" t="inlineStr">
        <is>
          <t>space</t>
        </is>
      </c>
      <c r="C566" s="14" t="inlineStr">
        <is>
          <t>bio</t>
        </is>
      </c>
      <c r="D566" s="14" t="inlineStr">
        <is>
          <t>pow</t>
        </is>
      </c>
      <c r="E566" s="14" t="inlineStr">
        <is>
          <t>SPACE</t>
        </is>
      </c>
      <c r="F566" s="92" t="inlineStr">
        <is>
          <t>SPACE(AE853,AE883,AE843)</t>
        </is>
      </c>
    </row>
    <row r="567">
      <c r="A567" s="14" t="n">
        <v>895</v>
      </c>
      <c r="B567" s="14" t="inlineStr">
        <is>
          <t>second</t>
        </is>
      </c>
      <c r="C567" s="14" t="inlineStr">
        <is>
          <t>coa</t>
        </is>
      </c>
      <c r="D567" s="14" t="inlineStr">
        <is>
          <t>pow</t>
        </is>
      </c>
      <c r="E567" s="14" t="inlineStr">
        <is>
          <t>CHEAPFILL</t>
        </is>
      </c>
      <c r="F567" s="92" t="inlineStr">
        <is>
          <t>CHEAPFILL(AE835,AE885,AE$833,SUMPRODUCT((AE$625:AE$633+$D$895:$D$903&lt;AE625+$D895)*AE$885:AE$893))</t>
        </is>
      </c>
    </row>
    <row r="568">
      <c r="A568" s="14" t="n">
        <v>896</v>
      </c>
      <c r="B568" s="14" t="inlineStr">
        <is>
          <t>second</t>
        </is>
      </c>
      <c r="C568" s="14" t="inlineStr">
        <is>
          <t>nga</t>
        </is>
      </c>
      <c r="D568" s="14" t="inlineStr">
        <is>
          <t>pow</t>
        </is>
      </c>
      <c r="E568" s="14" t="inlineStr">
        <is>
          <t>CHEAPFILL</t>
        </is>
      </c>
      <c r="F568" s="92" t="inlineStr">
        <is>
          <t>CHEAPFILL(AE836,AE886,AE$833,SUMPRODUCT((AE$625:AE$633+$D$895:$D$903&lt;AE626+$D896)*AE$885:AE$893))</t>
        </is>
      </c>
    </row>
    <row r="569">
      <c r="A569" s="14" t="n">
        <v>897</v>
      </c>
      <c r="B569" s="14" t="inlineStr">
        <is>
          <t>second</t>
        </is>
      </c>
      <c r="C569" s="14" t="inlineStr">
        <is>
          <t>oop</t>
        </is>
      </c>
      <c r="D569" s="14" t="inlineStr">
        <is>
          <t>pow</t>
        </is>
      </c>
      <c r="E569" s="14" t="inlineStr">
        <is>
          <t>CHEAPFILL</t>
        </is>
      </c>
      <c r="F569" s="92" t="inlineStr">
        <is>
          <t>CHEAPFILL(AE837,AE887,AE$833,SUMPRODUCT((AE$625:AE$633+$D$895:$D$903&lt;AE627+$D897)*AE$885:AE$893))</t>
        </is>
      </c>
    </row>
    <row r="570">
      <c r="A570" s="14" t="n">
        <v>898</v>
      </c>
      <c r="B570" s="14" t="inlineStr">
        <is>
          <t>second</t>
        </is>
      </c>
      <c r="C570" s="14" t="inlineStr">
        <is>
          <t>nuc</t>
        </is>
      </c>
      <c r="D570" s="14" t="inlineStr">
        <is>
          <t>pow</t>
        </is>
      </c>
      <c r="E570" s="14" t="inlineStr">
        <is>
          <t>CHEAPFILL</t>
        </is>
      </c>
      <c r="F570" s="92" t="inlineStr">
        <is>
          <t>CHEAPFILL(AE838,AE888,AE$833,SUMPRODUCT((AE$625:AE$633+$D$895:$D$903&lt;AE628+$D898)*AE$885:AE$893))</t>
        </is>
      </c>
    </row>
    <row r="571">
      <c r="A571" s="14" t="n">
        <v>899</v>
      </c>
      <c r="B571" s="14" t="inlineStr">
        <is>
          <t>second</t>
        </is>
      </c>
      <c r="C571" s="14" t="inlineStr">
        <is>
          <t>wnd</t>
        </is>
      </c>
      <c r="D571" s="14" t="inlineStr">
        <is>
          <t>pow</t>
        </is>
      </c>
      <c r="E571" s="14" t="inlineStr">
        <is>
          <t>CHEAPFILL</t>
        </is>
      </c>
      <c r="F571" s="92" t="inlineStr">
        <is>
          <t>CHEAPFILL(AE839,AE889,AE$833,SUMPRODUCT((AE$625:AE$633+$D$895:$D$903&lt;AE629+$D899)*AE$885:AE$893))</t>
        </is>
      </c>
    </row>
    <row r="572">
      <c r="A572" s="14" t="n">
        <v>900</v>
      </c>
      <c r="B572" s="14" t="inlineStr">
        <is>
          <t>second</t>
        </is>
      </c>
      <c r="C572" s="14" t="inlineStr">
        <is>
          <t>sol</t>
        </is>
      </c>
      <c r="D572" s="14" t="inlineStr">
        <is>
          <t>pow</t>
        </is>
      </c>
      <c r="E572" s="14" t="inlineStr">
        <is>
          <t>CHEAPFILL</t>
        </is>
      </c>
      <c r="F572" s="92" t="inlineStr">
        <is>
          <t>CHEAPFILL(AE840,AE890,AE$833,SUMPRODUCT((AE$625:AE$633+$D$895:$D$903&lt;AE630+$D900)*AE$885:AE$893))</t>
        </is>
      </c>
    </row>
    <row r="573">
      <c r="A573" s="14" t="n">
        <v>901</v>
      </c>
      <c r="B573" s="14" t="inlineStr">
        <is>
          <t>second</t>
        </is>
      </c>
      <c r="C573" s="14" t="inlineStr">
        <is>
          <t>hyd</t>
        </is>
      </c>
      <c r="D573" s="14" t="inlineStr">
        <is>
          <t>pow</t>
        </is>
      </c>
      <c r="E573" s="14" t="inlineStr">
        <is>
          <t>CHEAPFILL</t>
        </is>
      </c>
      <c r="F573" s="92" t="inlineStr">
        <is>
          <t>CHEAPFILL(AE841,AE891,AE$833,SUMPRODUCT((AE$625:AE$633+$D$895:$D$903&lt;AE631+$D901)*AE$885:AE$893))</t>
        </is>
      </c>
    </row>
    <row r="574">
      <c r="A574" s="14" t="n">
        <v>902</v>
      </c>
      <c r="B574" s="14" t="inlineStr">
        <is>
          <t>second</t>
        </is>
      </c>
      <c r="C574" s="14" t="inlineStr">
        <is>
          <t>ore</t>
        </is>
      </c>
      <c r="D574" s="14" t="inlineStr">
        <is>
          <t>pow</t>
        </is>
      </c>
      <c r="E574" s="14" t="inlineStr">
        <is>
          <t>CHEAPFILL</t>
        </is>
      </c>
      <c r="F574" s="92" t="inlineStr">
        <is>
          <t>CHEAPFILL(AE842,AE892,AE$833,SUMPRODUCT((AE$625:AE$633+$D$895:$D$903&lt;AE632+$D902)*AE$885:AE$893))</t>
        </is>
      </c>
    </row>
    <row r="575">
      <c r="A575" s="14" t="n">
        <v>903</v>
      </c>
      <c r="B575" s="14" t="inlineStr">
        <is>
          <t>second</t>
        </is>
      </c>
      <c r="C575" s="14" t="inlineStr">
        <is>
          <t>bio</t>
        </is>
      </c>
      <c r="D575" s="14" t="inlineStr">
        <is>
          <t>pow</t>
        </is>
      </c>
      <c r="E575" s="14" t="inlineStr">
        <is>
          <t>CHEAPFILL</t>
        </is>
      </c>
      <c r="F575" s="92" t="inlineStr">
        <is>
          <t>CHEAPFILL(AE843,AE893,AE$833,SUMPRODUCT((AE$625:AE$633+$D$895:$D$903&lt;AE633+$D903)*AE$885:AE$893))</t>
        </is>
      </c>
    </row>
    <row r="576">
      <c r="A576" s="14" t="n">
        <v>905</v>
      </c>
      <c r="B576" s="14" t="inlineStr">
        <is>
          <t>nei</t>
        </is>
      </c>
      <c r="C576" s="14" t="inlineStr">
        <is>
          <t>coa</t>
        </is>
      </c>
      <c r="D576" s="14" t="inlineStr">
        <is>
          <t>pow</t>
        </is>
      </c>
      <c r="E576" s="14" t="inlineStr">
        <is>
          <t>ADDED</t>
        </is>
      </c>
      <c r="F576" s="92" t="inlineStr">
        <is>
          <t>ADDED(AE875,AE895)</t>
        </is>
      </c>
    </row>
    <row r="577">
      <c r="A577" s="14" t="n">
        <v>906</v>
      </c>
      <c r="B577" s="14" t="inlineStr">
        <is>
          <t>nei</t>
        </is>
      </c>
      <c r="C577" s="14" t="inlineStr">
        <is>
          <t>nga</t>
        </is>
      </c>
      <c r="D577" s="14" t="inlineStr">
        <is>
          <t>pow</t>
        </is>
      </c>
      <c r="E577" s="14" t="inlineStr">
        <is>
          <t>ADDED</t>
        </is>
      </c>
      <c r="F577" s="92" t="inlineStr">
        <is>
          <t>ADDED(AE876,AE896)</t>
        </is>
      </c>
    </row>
    <row r="578">
      <c r="A578" s="14" t="n">
        <v>907</v>
      </c>
      <c r="B578" s="14" t="inlineStr">
        <is>
          <t>nei</t>
        </is>
      </c>
      <c r="C578" s="14" t="inlineStr">
        <is>
          <t>oop</t>
        </is>
      </c>
      <c r="D578" s="14" t="inlineStr">
        <is>
          <t>pow</t>
        </is>
      </c>
      <c r="E578" s="14" t="inlineStr">
        <is>
          <t>ADDED</t>
        </is>
      </c>
      <c r="F578" s="92" t="inlineStr">
        <is>
          <t>ADDED(AE877,AE897)</t>
        </is>
      </c>
    </row>
    <row r="579">
      <c r="A579" s="14" t="n">
        <v>908</v>
      </c>
      <c r="B579" s="14" t="inlineStr">
        <is>
          <t>nei</t>
        </is>
      </c>
      <c r="C579" s="14" t="inlineStr">
        <is>
          <t>nuc</t>
        </is>
      </c>
      <c r="D579" s="14" t="inlineStr">
        <is>
          <t>pow</t>
        </is>
      </c>
      <c r="E579" s="14" t="inlineStr">
        <is>
          <t>ADDED</t>
        </is>
      </c>
      <c r="F579" s="92" t="inlineStr">
        <is>
          <t>ADDED(AE878,AE898)</t>
        </is>
      </c>
    </row>
    <row r="580">
      <c r="A580" s="14" t="n">
        <v>909</v>
      </c>
      <c r="B580" s="14" t="inlineStr">
        <is>
          <t>nei</t>
        </is>
      </c>
      <c r="C580" s="14" t="inlineStr">
        <is>
          <t>wnd</t>
        </is>
      </c>
      <c r="D580" s="14" t="inlineStr">
        <is>
          <t>pow</t>
        </is>
      </c>
      <c r="E580" s="14" t="inlineStr">
        <is>
          <t>ADDED</t>
        </is>
      </c>
      <c r="F580" s="92" t="inlineStr">
        <is>
          <t>ADDED(AE879,AE899)</t>
        </is>
      </c>
    </row>
    <row r="581">
      <c r="A581" s="14" t="n">
        <v>910</v>
      </c>
      <c r="B581" s="14" t="inlineStr">
        <is>
          <t>nei</t>
        </is>
      </c>
      <c r="C581" s="14" t="inlineStr">
        <is>
          <t>sol</t>
        </is>
      </c>
      <c r="D581" s="14" t="inlineStr">
        <is>
          <t>pow</t>
        </is>
      </c>
      <c r="E581" s="14" t="inlineStr">
        <is>
          <t>ADDED</t>
        </is>
      </c>
      <c r="F581" s="92" t="inlineStr">
        <is>
          <t>ADDED(AE880,AE900)</t>
        </is>
      </c>
    </row>
    <row r="582">
      <c r="A582" s="14" t="n">
        <v>911</v>
      </c>
      <c r="B582" s="14" t="inlineStr">
        <is>
          <t>nei</t>
        </is>
      </c>
      <c r="C582" s="14" t="inlineStr">
        <is>
          <t>hyd</t>
        </is>
      </c>
      <c r="D582" s="14" t="inlineStr">
        <is>
          <t>pow</t>
        </is>
      </c>
      <c r="E582" s="14" t="inlineStr">
        <is>
          <t>ADDED</t>
        </is>
      </c>
      <c r="F582" s="92" t="inlineStr">
        <is>
          <t>ADDED(AE881,AE901)</t>
        </is>
      </c>
    </row>
    <row r="583">
      <c r="A583" s="14" t="n">
        <v>912</v>
      </c>
      <c r="B583" s="14" t="inlineStr">
        <is>
          <t>nei</t>
        </is>
      </c>
      <c r="C583" s="14" t="inlineStr">
        <is>
          <t>ore</t>
        </is>
      </c>
      <c r="D583" s="14" t="inlineStr">
        <is>
          <t>pow</t>
        </is>
      </c>
      <c r="E583" s="14" t="inlineStr">
        <is>
          <t>ADDED</t>
        </is>
      </c>
      <c r="F583" s="92" t="inlineStr">
        <is>
          <t>ADDED(AE882,AE902)</t>
        </is>
      </c>
    </row>
    <row r="584">
      <c r="A584" s="14" t="n">
        <v>913</v>
      </c>
      <c r="B584" s="14" t="inlineStr">
        <is>
          <t>nei</t>
        </is>
      </c>
      <c r="C584" s="14" t="inlineStr">
        <is>
          <t>bio</t>
        </is>
      </c>
      <c r="D584" s="14" t="inlineStr">
        <is>
          <t>pow</t>
        </is>
      </c>
      <c r="E584" s="14" t="inlineStr">
        <is>
          <t>ADDED</t>
        </is>
      </c>
      <c r="F584" s="92" t="inlineStr">
        <is>
          <t>ADDED(AE883,AE903)</t>
        </is>
      </c>
    </row>
    <row r="585">
      <c r="A585" s="14" t="n">
        <v>915</v>
      </c>
      <c r="B585" s="14" t="inlineStr">
        <is>
          <t>nim</t>
        </is>
      </c>
      <c r="C585" s="14" t="inlineStr">
        <is>
          <t>coa</t>
        </is>
      </c>
      <c r="D585" s="14" t="inlineStr">
        <is>
          <t>pow</t>
        </is>
      </c>
      <c r="E585" s="14" t="inlineStr">
        <is>
          <t>SCALE</t>
        </is>
      </c>
      <c r="F585" s="92" t="inlineStr">
        <is>
          <t>SCALE(AE905,$D915)</t>
        </is>
      </c>
    </row>
    <row r="586">
      <c r="A586" s="14" t="n">
        <v>916</v>
      </c>
      <c r="B586" s="14" t="inlineStr">
        <is>
          <t>nim</t>
        </is>
      </c>
      <c r="C586" s="14" t="inlineStr">
        <is>
          <t>nga</t>
        </is>
      </c>
      <c r="D586" s="14" t="inlineStr">
        <is>
          <t>pow</t>
        </is>
      </c>
      <c r="E586" s="14" t="inlineStr">
        <is>
          <t>SCALE</t>
        </is>
      </c>
      <c r="F586" s="92" t="inlineStr">
        <is>
          <t>SCALE(AE906,$D916)</t>
        </is>
      </c>
    </row>
    <row r="587">
      <c r="A587" s="14" t="n">
        <v>917</v>
      </c>
      <c r="B587" s="14" t="inlineStr">
        <is>
          <t>nim</t>
        </is>
      </c>
      <c r="C587" s="14" t="inlineStr">
        <is>
          <t>oop</t>
        </is>
      </c>
      <c r="D587" s="14" t="inlineStr">
        <is>
          <t>pow</t>
        </is>
      </c>
      <c r="E587" s="14" t="inlineStr">
        <is>
          <t>SCALE</t>
        </is>
      </c>
      <c r="F587" s="92" t="inlineStr">
        <is>
          <t>SCALE(AE907,$D917)</t>
        </is>
      </c>
    </row>
    <row r="588">
      <c r="A588" s="14" t="n">
        <v>918</v>
      </c>
      <c r="B588" s="14" t="inlineStr">
        <is>
          <t>nim</t>
        </is>
      </c>
      <c r="C588" s="14" t="inlineStr">
        <is>
          <t>nuc</t>
        </is>
      </c>
      <c r="D588" s="14" t="inlineStr">
        <is>
          <t>pow</t>
        </is>
      </c>
      <c r="E588" s="14" t="inlineStr">
        <is>
          <t>SCALE</t>
        </is>
      </c>
      <c r="F588" s="92" t="inlineStr">
        <is>
          <t>SCALE(AE908,$D918)</t>
        </is>
      </c>
    </row>
    <row r="589">
      <c r="A589" s="14" t="n">
        <v>919</v>
      </c>
      <c r="B589" s="14" t="inlineStr">
        <is>
          <t>nim</t>
        </is>
      </c>
      <c r="C589" s="14" t="inlineStr">
        <is>
          <t>wnd</t>
        </is>
      </c>
      <c r="D589" s="14" t="inlineStr">
        <is>
          <t>pow</t>
        </is>
      </c>
      <c r="E589" s="14" t="inlineStr">
        <is>
          <t>SCALE</t>
        </is>
      </c>
      <c r="F589" s="92" t="inlineStr">
        <is>
          <t>SCALE(AE909,$D919)</t>
        </is>
      </c>
    </row>
    <row r="590">
      <c r="A590" s="14" t="n">
        <v>920</v>
      </c>
      <c r="B590" s="14" t="inlineStr">
        <is>
          <t>nim</t>
        </is>
      </c>
      <c r="C590" s="14" t="inlineStr">
        <is>
          <t>sol</t>
        </is>
      </c>
      <c r="D590" s="14" t="inlineStr">
        <is>
          <t>pow</t>
        </is>
      </c>
      <c r="E590" s="14" t="inlineStr">
        <is>
          <t>SCALE</t>
        </is>
      </c>
      <c r="F590" s="92" t="inlineStr">
        <is>
          <t>SCALE(AE910,$D920)</t>
        </is>
      </c>
    </row>
    <row r="591">
      <c r="A591" s="14" t="n">
        <v>921</v>
      </c>
      <c r="B591" s="14" t="inlineStr">
        <is>
          <t>nim</t>
        </is>
      </c>
      <c r="C591" s="14" t="inlineStr">
        <is>
          <t>hyd</t>
        </is>
      </c>
      <c r="D591" s="14" t="inlineStr">
        <is>
          <t>pow</t>
        </is>
      </c>
      <c r="E591" s="14" t="inlineStr">
        <is>
          <t>SCALE</t>
        </is>
      </c>
      <c r="F591" s="92" t="inlineStr">
        <is>
          <t>SCALE(AE911,$D921)</t>
        </is>
      </c>
    </row>
    <row r="592">
      <c r="A592" s="14" t="n">
        <v>922</v>
      </c>
      <c r="B592" s="14" t="inlineStr">
        <is>
          <t>nim</t>
        </is>
      </c>
      <c r="C592" s="14" t="inlineStr">
        <is>
          <t>ore</t>
        </is>
      </c>
      <c r="D592" s="14" t="inlineStr">
        <is>
          <t>pow</t>
        </is>
      </c>
      <c r="E592" s="14" t="inlineStr">
        <is>
          <t>SCALE</t>
        </is>
      </c>
      <c r="F592" s="92" t="inlineStr">
        <is>
          <t>SCALE(AE912,$D922)</t>
        </is>
      </c>
    </row>
    <row r="593">
      <c r="A593" s="14" t="n">
        <v>923</v>
      </c>
      <c r="B593" s="14" t="inlineStr">
        <is>
          <t>nim</t>
        </is>
      </c>
      <c r="C593" s="14" t="inlineStr">
        <is>
          <t>bio</t>
        </is>
      </c>
      <c r="D593" s="14" t="inlineStr">
        <is>
          <t>pow</t>
        </is>
      </c>
      <c r="E593" s="14" t="inlineStr">
        <is>
          <t>SCALE</t>
        </is>
      </c>
      <c r="F593" s="92" t="inlineStr">
        <is>
          <t>SCALE(AE913,$D923)</t>
        </is>
      </c>
    </row>
    <row r="594">
      <c r="A594" s="14" t="n">
        <v>927</v>
      </c>
      <c r="B594" s="14" t="inlineStr">
        <is>
          <t>usd</t>
        </is>
      </c>
      <c r="C594" s="14" t="inlineStr">
        <is>
          <t>coa</t>
        </is>
      </c>
      <c r="D594" s="14" t="inlineStr">
        <is>
          <t>pow</t>
        </is>
      </c>
      <c r="E594" s="14" t="inlineStr">
        <is>
          <t>INVSPEND</t>
        </is>
      </c>
      <c r="F594" s="92" t="inlineStr">
        <is>
          <t>INVSPEND(AE915,AE467)</t>
        </is>
      </c>
    </row>
    <row r="595">
      <c r="A595" s="14" t="n">
        <v>928</v>
      </c>
      <c r="B595" s="14" t="inlineStr">
        <is>
          <t>usd</t>
        </is>
      </c>
      <c r="C595" s="14" t="inlineStr">
        <is>
          <t>nga</t>
        </is>
      </c>
      <c r="D595" s="14" t="inlineStr">
        <is>
          <t>pow</t>
        </is>
      </c>
      <c r="E595" s="14" t="inlineStr">
        <is>
          <t>INVSPEND</t>
        </is>
      </c>
      <c r="F595" s="92" t="inlineStr">
        <is>
          <t>INVSPEND(AE916,AE468)</t>
        </is>
      </c>
    </row>
    <row r="596">
      <c r="A596" s="14" t="n">
        <v>929</v>
      </c>
      <c r="B596" s="14" t="inlineStr">
        <is>
          <t>usd</t>
        </is>
      </c>
      <c r="C596" s="14" t="inlineStr">
        <is>
          <t>oop</t>
        </is>
      </c>
      <c r="D596" s="14" t="inlineStr">
        <is>
          <t>pow</t>
        </is>
      </c>
      <c r="E596" s="14" t="inlineStr">
        <is>
          <t>INVSPEND</t>
        </is>
      </c>
      <c r="F596" s="92" t="inlineStr">
        <is>
          <t>INVSPEND(AE917,AE469)</t>
        </is>
      </c>
    </row>
    <row r="597">
      <c r="A597" s="14" t="n">
        <v>930</v>
      </c>
      <c r="B597" s="14" t="inlineStr">
        <is>
          <t>usd</t>
        </is>
      </c>
      <c r="C597" s="14" t="inlineStr">
        <is>
          <t>nuc</t>
        </is>
      </c>
      <c r="D597" s="14" t="inlineStr">
        <is>
          <t>pow</t>
        </is>
      </c>
      <c r="E597" s="14" t="inlineStr">
        <is>
          <t>INVSPEND</t>
        </is>
      </c>
      <c r="F597" s="92" t="inlineStr">
        <is>
          <t>INVSPEND(AE918,AE470)</t>
        </is>
      </c>
    </row>
    <row r="598">
      <c r="A598" s="14" t="n">
        <v>931</v>
      </c>
      <c r="B598" s="14" t="inlineStr">
        <is>
          <t>usd</t>
        </is>
      </c>
      <c r="C598" s="14" t="inlineStr">
        <is>
          <t>wnd</t>
        </is>
      </c>
      <c r="D598" s="14" t="inlineStr">
        <is>
          <t>pow</t>
        </is>
      </c>
      <c r="E598" s="14" t="inlineStr">
        <is>
          <t>INVSPEND</t>
        </is>
      </c>
      <c r="F598" s="92" t="inlineStr">
        <is>
          <t>INVSPEND(AE919,AE471)</t>
        </is>
      </c>
    </row>
    <row r="599">
      <c r="A599" s="14" t="n">
        <v>932</v>
      </c>
      <c r="B599" s="14" t="inlineStr">
        <is>
          <t>usd</t>
        </is>
      </c>
      <c r="C599" s="14" t="inlineStr">
        <is>
          <t>sol</t>
        </is>
      </c>
      <c r="D599" s="14" t="inlineStr">
        <is>
          <t>pow</t>
        </is>
      </c>
      <c r="E599" s="14" t="inlineStr">
        <is>
          <t>INVSPEND</t>
        </is>
      </c>
      <c r="F599" s="92" t="inlineStr">
        <is>
          <t>INVSPEND(AE920,AE472)</t>
        </is>
      </c>
    </row>
    <row r="600">
      <c r="A600" s="14" t="n">
        <v>933</v>
      </c>
      <c r="B600" s="14" t="inlineStr">
        <is>
          <t>usd</t>
        </is>
      </c>
      <c r="C600" s="14" t="inlineStr">
        <is>
          <t>hyd</t>
        </is>
      </c>
      <c r="D600" s="14" t="inlineStr">
        <is>
          <t>pow</t>
        </is>
      </c>
      <c r="E600" s="14" t="inlineStr">
        <is>
          <t>INVSPEND</t>
        </is>
      </c>
      <c r="F600" s="92" t="inlineStr">
        <is>
          <t>INVSPEND(AE921,AE473)</t>
        </is>
      </c>
    </row>
    <row r="601">
      <c r="A601" s="14" t="n">
        <v>934</v>
      </c>
      <c r="B601" s="14" t="inlineStr">
        <is>
          <t>usd</t>
        </is>
      </c>
      <c r="C601" s="14" t="inlineStr">
        <is>
          <t>ore</t>
        </is>
      </c>
      <c r="D601" s="14" t="inlineStr">
        <is>
          <t>pow</t>
        </is>
      </c>
      <c r="E601" s="14" t="inlineStr">
        <is>
          <t>INVSPEND</t>
        </is>
      </c>
      <c r="F601" s="92" t="inlineStr">
        <is>
          <t>INVSPEND(AE922,AE474)</t>
        </is>
      </c>
    </row>
    <row r="602">
      <c r="A602" s="14" t="n">
        <v>935</v>
      </c>
      <c r="B602" s="14" t="inlineStr">
        <is>
          <t>usd</t>
        </is>
      </c>
      <c r="C602" s="14" t="inlineStr">
        <is>
          <t>bio</t>
        </is>
      </c>
      <c r="D602" s="14" t="inlineStr">
        <is>
          <t>pow</t>
        </is>
      </c>
      <c r="E602" s="14" t="inlineStr">
        <is>
          <t>INVSPEND</t>
        </is>
      </c>
      <c r="F602" s="92" t="inlineStr">
        <is>
          <t>INVSPEND(AE923,AE475)</t>
        </is>
      </c>
    </row>
    <row r="603">
      <c r="A603" s="14" t="n">
        <v>939</v>
      </c>
      <c r="B603" s="14" t="inlineStr">
        <is>
          <t>phi</t>
        </is>
      </c>
      <c r="C603" s="14" t="inlineStr">
        <is>
          <t>coa</t>
        </is>
      </c>
      <c r="D603" s="14" t="inlineStr">
        <is>
          <t>pow</t>
        </is>
      </c>
      <c r="E603" s="14" t="inlineStr">
        <is>
          <t>VINTSHARE</t>
        </is>
      </c>
      <c r="F603" s="92" t="inlineStr">
        <is>
          <t>VINTSHARE(AE915,AE772,AE804)</t>
        </is>
      </c>
    </row>
    <row r="604">
      <c r="A604" s="14" t="n">
        <v>940</v>
      </c>
      <c r="B604" s="14" t="inlineStr">
        <is>
          <t>phi</t>
        </is>
      </c>
      <c r="C604" s="14" t="inlineStr">
        <is>
          <t>nga</t>
        </is>
      </c>
      <c r="D604" s="14" t="inlineStr">
        <is>
          <t>pow</t>
        </is>
      </c>
      <c r="E604" s="14" t="inlineStr">
        <is>
          <t>VINTSHARE</t>
        </is>
      </c>
      <c r="F604" s="92" t="inlineStr">
        <is>
          <t>VINTSHARE(AE916,AE773,AE805)</t>
        </is>
      </c>
    </row>
    <row r="605">
      <c r="A605" s="14" t="n">
        <v>941</v>
      </c>
      <c r="B605" s="14" t="inlineStr">
        <is>
          <t>phi</t>
        </is>
      </c>
      <c r="C605" s="14" t="inlineStr">
        <is>
          <t>oop</t>
        </is>
      </c>
      <c r="D605" s="14" t="inlineStr">
        <is>
          <t>pow</t>
        </is>
      </c>
      <c r="E605" s="14" t="inlineStr">
        <is>
          <t>VINTSHARE</t>
        </is>
      </c>
      <c r="F605" s="92" t="inlineStr">
        <is>
          <t>VINTSHARE(AE917,AE774,AE806)</t>
        </is>
      </c>
    </row>
    <row r="606">
      <c r="A606" s="14" t="n">
        <v>942</v>
      </c>
      <c r="B606" s="14" t="inlineStr">
        <is>
          <t>phi</t>
        </is>
      </c>
      <c r="C606" s="14" t="inlineStr">
        <is>
          <t>nuc</t>
        </is>
      </c>
      <c r="D606" s="14" t="inlineStr">
        <is>
          <t>pow</t>
        </is>
      </c>
      <c r="E606" s="14" t="inlineStr">
        <is>
          <t>VINTSHARE</t>
        </is>
      </c>
      <c r="F606" s="92" t="inlineStr">
        <is>
          <t>VINTSHARE(AE918,AE775,AE807)</t>
        </is>
      </c>
    </row>
    <row r="607">
      <c r="A607" s="14" t="n">
        <v>943</v>
      </c>
      <c r="B607" s="14" t="inlineStr">
        <is>
          <t>phi</t>
        </is>
      </c>
      <c r="C607" s="14" t="inlineStr">
        <is>
          <t>wnd</t>
        </is>
      </c>
      <c r="D607" s="14" t="inlineStr">
        <is>
          <t>pow</t>
        </is>
      </c>
      <c r="E607" s="14" t="inlineStr">
        <is>
          <t>VINTSHARE</t>
        </is>
      </c>
      <c r="F607" s="92" t="inlineStr">
        <is>
          <t>VINTSHARE(AE919,AE776,AE808)</t>
        </is>
      </c>
    </row>
    <row r="608">
      <c r="A608" s="14" t="n">
        <v>944</v>
      </c>
      <c r="B608" s="14" t="inlineStr">
        <is>
          <t>phi</t>
        </is>
      </c>
      <c r="C608" s="14" t="inlineStr">
        <is>
          <t>sol</t>
        </is>
      </c>
      <c r="D608" s="14" t="inlineStr">
        <is>
          <t>pow</t>
        </is>
      </c>
      <c r="E608" s="14" t="inlineStr">
        <is>
          <t>VINTSHARE</t>
        </is>
      </c>
      <c r="F608" s="92" t="inlineStr">
        <is>
          <t>VINTSHARE(AE920,AE777,AE809)</t>
        </is>
      </c>
    </row>
    <row r="609">
      <c r="A609" s="14" t="n">
        <v>945</v>
      </c>
      <c r="B609" s="14" t="inlineStr">
        <is>
          <t>phi</t>
        </is>
      </c>
      <c r="C609" s="14" t="inlineStr">
        <is>
          <t>hyd</t>
        </is>
      </c>
      <c r="D609" s="14" t="inlineStr">
        <is>
          <t>pow</t>
        </is>
      </c>
      <c r="E609" s="14" t="inlineStr">
        <is>
          <t>VINTSHARE</t>
        </is>
      </c>
      <c r="F609" s="92" t="inlineStr">
        <is>
          <t>VINTSHARE(AE921,AE778,AE810)</t>
        </is>
      </c>
    </row>
    <row r="610">
      <c r="A610" s="14" t="n">
        <v>946</v>
      </c>
      <c r="B610" s="14" t="inlineStr">
        <is>
          <t>phi</t>
        </is>
      </c>
      <c r="C610" s="14" t="inlineStr">
        <is>
          <t>ore</t>
        </is>
      </c>
      <c r="D610" s="14" t="inlineStr">
        <is>
          <t>pow</t>
        </is>
      </c>
      <c r="E610" s="14" t="inlineStr">
        <is>
          <t>VINTSHARE</t>
        </is>
      </c>
      <c r="F610" s="92" t="inlineStr">
        <is>
          <t>VINTSHARE(AE922,AE779,AE811)</t>
        </is>
      </c>
    </row>
    <row r="611">
      <c r="A611" s="14" t="n">
        <v>947</v>
      </c>
      <c r="B611" s="14" t="inlineStr">
        <is>
          <t>phi</t>
        </is>
      </c>
      <c r="C611" s="14" t="inlineStr">
        <is>
          <t>bio</t>
        </is>
      </c>
      <c r="D611" s="14" t="inlineStr">
        <is>
          <t>pow</t>
        </is>
      </c>
      <c r="E611" s="14" t="inlineStr">
        <is>
          <t>VINTSHARE</t>
        </is>
      </c>
      <c r="F611" s="92" t="inlineStr">
        <is>
          <t>VINTSHARE(AE923,AE780,AE812)</t>
        </is>
      </c>
    </row>
    <row r="612">
      <c r="A612" s="14" t="n">
        <v>950</v>
      </c>
      <c r="B612" s="14" t="inlineStr">
        <is>
          <t>prtx</t>
        </is>
      </c>
      <c r="C612" s="14" t="inlineStr">
        <is>
          <t>coa</t>
        </is>
      </c>
      <c r="D612" s="14" t="inlineStr">
        <is>
          <t>pow</t>
        </is>
      </c>
      <c r="E612" s="14" t="inlineStr">
        <is>
          <t>REVENUE</t>
        </is>
      </c>
      <c r="F612" s="92" t="inlineStr">
        <is>
          <t>REVENUE($E950*AE746,Settings!$C$13,INDEX(AE$407:AE$418,$D950)+INDEX(AE$394:AE$405,$D950))</t>
        </is>
      </c>
    </row>
    <row r="613">
      <c r="A613" s="14" t="n">
        <v>951</v>
      </c>
      <c r="B613" s="14" t="inlineStr">
        <is>
          <t>prtx</t>
        </is>
      </c>
      <c r="C613" s="14" t="inlineStr">
        <is>
          <t>nga</t>
        </is>
      </c>
      <c r="D613" s="14" t="inlineStr">
        <is>
          <t>pow</t>
        </is>
      </c>
      <c r="E613" s="14" t="inlineStr">
        <is>
          <t>REVENUE</t>
        </is>
      </c>
      <c r="F613" s="92" t="inlineStr">
        <is>
          <t>REVENUE($E951*AE747,Settings!$C$13,INDEX(AE$407:AE$418,$D951)+INDEX(AE$394:AE$405,$D951))</t>
        </is>
      </c>
    </row>
    <row r="614">
      <c r="A614" s="14" t="n">
        <v>952</v>
      </c>
      <c r="B614" s="14" t="inlineStr">
        <is>
          <t>prtx</t>
        </is>
      </c>
      <c r="C614" s="14" t="inlineStr">
        <is>
          <t>oop</t>
        </is>
      </c>
      <c r="D614" s="14" t="inlineStr">
        <is>
          <t>pow</t>
        </is>
      </c>
      <c r="E614" s="14" t="inlineStr">
        <is>
          <t>REVENUE</t>
        </is>
      </c>
      <c r="F614" s="92" t="inlineStr">
        <is>
          <t>REVENUE($E952*AE748,Settings!$C$13,INDEX(AE$407:AE$418,$D952)+INDEX(AE$394:AE$405,$D952))</t>
        </is>
      </c>
    </row>
    <row r="615">
      <c r="A615" s="14" t="n">
        <v>953</v>
      </c>
      <c r="B615" s="14" t="inlineStr">
        <is>
          <t>prtx</t>
        </is>
      </c>
      <c r="C615" s="14" t="inlineStr">
        <is>
          <t>nuc</t>
        </is>
      </c>
      <c r="D615" s="14" t="inlineStr">
        <is>
          <t>pow</t>
        </is>
      </c>
      <c r="E615" s="14" t="inlineStr">
        <is>
          <t>REVENUE</t>
        </is>
      </c>
      <c r="F615" s="92" t="inlineStr">
        <is>
          <t>REVENUE($E953*AE749,Settings!$C$13,INDEX(AE$407:AE$418,$D953)+INDEX(AE$394:AE$405,$D953))</t>
        </is>
      </c>
    </row>
    <row r="616">
      <c r="A616" s="14" t="n">
        <v>954</v>
      </c>
      <c r="B616" s="14" t="inlineStr">
        <is>
          <t>prtx</t>
        </is>
      </c>
      <c r="C616" s="14" t="inlineStr">
        <is>
          <t>wnd</t>
        </is>
      </c>
      <c r="D616" s="14" t="inlineStr">
        <is>
          <t>pow</t>
        </is>
      </c>
      <c r="E616" s="14" t="inlineStr">
        <is>
          <t>REVENUE</t>
        </is>
      </c>
      <c r="F616" s="92" t="inlineStr">
        <is>
          <t>REVENUE($E954*AE750,Settings!$C$13,INDEX(AE$407:AE$418,$D954)+INDEX(AE$394:AE$405,$D954))</t>
        </is>
      </c>
    </row>
    <row r="617">
      <c r="A617" s="14" t="n">
        <v>955</v>
      </c>
      <c r="B617" s="14" t="inlineStr">
        <is>
          <t>prtx</t>
        </is>
      </c>
      <c r="C617" s="14" t="inlineStr">
        <is>
          <t>sol</t>
        </is>
      </c>
      <c r="D617" s="14" t="inlineStr">
        <is>
          <t>pow</t>
        </is>
      </c>
      <c r="E617" s="14" t="inlineStr">
        <is>
          <t>REVENUE</t>
        </is>
      </c>
      <c r="F617" s="92" t="inlineStr">
        <is>
          <t>REVENUE($E955*AE751,Settings!$C$13,INDEX(AE$407:AE$418,$D955)+INDEX(AE$394:AE$405,$D955))</t>
        </is>
      </c>
    </row>
    <row r="618">
      <c r="A618" s="14" t="n">
        <v>956</v>
      </c>
      <c r="B618" s="14" t="inlineStr">
        <is>
          <t>prtx</t>
        </is>
      </c>
      <c r="C618" s="14" t="inlineStr">
        <is>
          <t>hyd</t>
        </is>
      </c>
      <c r="D618" s="14" t="inlineStr">
        <is>
          <t>pow</t>
        </is>
      </c>
      <c r="E618" s="14" t="inlineStr">
        <is>
          <t>REVENUE</t>
        </is>
      </c>
      <c r="F618" s="92" t="inlineStr">
        <is>
          <t>REVENUE($E956*AE752,Settings!$C$13,INDEX(AE$407:AE$418,$D956)+INDEX(AE$394:AE$405,$D956))</t>
        </is>
      </c>
    </row>
    <row r="619">
      <c r="A619" s="14" t="n">
        <v>957</v>
      </c>
      <c r="B619" s="14" t="inlineStr">
        <is>
          <t>prtx</t>
        </is>
      </c>
      <c r="C619" s="14" t="inlineStr">
        <is>
          <t>ore</t>
        </is>
      </c>
      <c r="D619" s="14" t="inlineStr">
        <is>
          <t>pow</t>
        </is>
      </c>
      <c r="E619" s="14" t="inlineStr">
        <is>
          <t>REVENUE</t>
        </is>
      </c>
      <c r="F619" s="92" t="inlineStr">
        <is>
          <t>REVENUE($E957*AE753,Settings!$C$13,INDEX(AE$407:AE$418,$D957)+INDEX(AE$394:AE$405,$D957))</t>
        </is>
      </c>
    </row>
    <row r="620">
      <c r="A620" s="14" t="n">
        <v>958</v>
      </c>
      <c r="B620" s="14" t="inlineStr">
        <is>
          <t>prtx</t>
        </is>
      </c>
      <c r="C620" s="14" t="inlineStr">
        <is>
          <t>bio</t>
        </is>
      </c>
      <c r="D620" s="14" t="inlineStr">
        <is>
          <t>pow</t>
        </is>
      </c>
      <c r="E620" s="14" t="inlineStr">
        <is>
          <t>REVENUE</t>
        </is>
      </c>
      <c r="F620" s="92" t="inlineStr">
        <is>
          <t>REVENUE($E958*AE754,Settings!$C$13,INDEX(AE$407:AE$418,$D958)+INDEX(AE$394:AE$405,$D958))</t>
        </is>
      </c>
    </row>
    <row r="621">
      <c r="A621" s="14" t="n">
        <v>960</v>
      </c>
      <c r="B621" s="14" t="inlineStr">
        <is>
          <t>prsub</t>
        </is>
      </c>
      <c r="C621" s="14" t="inlineStr">
        <is>
          <t>coa</t>
        </is>
      </c>
      <c r="D621" s="14" t="inlineStr">
        <is>
          <t>pow</t>
        </is>
      </c>
      <c r="E621" s="14" t="inlineStr">
        <is>
          <t>REVENUE</t>
        </is>
      </c>
      <c r="F621" s="92" t="inlineStr">
        <is>
          <t>REVENUE($E960*AE746,Settings!$C$13,INDEX(AE$420:AE$431,$D960))</t>
        </is>
      </c>
    </row>
    <row r="622">
      <c r="A622" s="14" t="n">
        <v>961</v>
      </c>
      <c r="B622" s="14" t="inlineStr">
        <is>
          <t>prsub</t>
        </is>
      </c>
      <c r="C622" s="14" t="inlineStr">
        <is>
          <t>nga</t>
        </is>
      </c>
      <c r="D622" s="14" t="inlineStr">
        <is>
          <t>pow</t>
        </is>
      </c>
      <c r="E622" s="14" t="inlineStr">
        <is>
          <t>REVENUE</t>
        </is>
      </c>
      <c r="F622" s="92" t="inlineStr">
        <is>
          <t>REVENUE($E961*AE747,Settings!$C$13,INDEX(AE$420:AE$431,$D961))</t>
        </is>
      </c>
    </row>
    <row r="623">
      <c r="A623" s="14" t="n">
        <v>962</v>
      </c>
      <c r="B623" s="14" t="inlineStr">
        <is>
          <t>prsub</t>
        </is>
      </c>
      <c r="C623" s="14" t="inlineStr">
        <is>
          <t>oop</t>
        </is>
      </c>
      <c r="D623" s="14" t="inlineStr">
        <is>
          <t>pow</t>
        </is>
      </c>
      <c r="E623" s="14" t="inlineStr">
        <is>
          <t>REVENUE</t>
        </is>
      </c>
      <c r="F623" s="92" t="inlineStr">
        <is>
          <t>REVENUE($E962*AE748,Settings!$C$13,INDEX(AE$420:AE$431,$D962))</t>
        </is>
      </c>
    </row>
    <row r="624">
      <c r="A624" s="14" t="n">
        <v>963</v>
      </c>
      <c r="B624" s="14" t="inlineStr">
        <is>
          <t>prsub</t>
        </is>
      </c>
      <c r="C624" s="14" t="inlineStr">
        <is>
          <t>nuc</t>
        </is>
      </c>
      <c r="D624" s="14" t="inlineStr">
        <is>
          <t>pow</t>
        </is>
      </c>
      <c r="E624" s="14" t="inlineStr">
        <is>
          <t>REVENUE</t>
        </is>
      </c>
      <c r="F624" s="92" t="inlineStr">
        <is>
          <t>REVENUE($E963*AE749,Settings!$C$13,INDEX(AE$420:AE$431,$D963))</t>
        </is>
      </c>
    </row>
    <row r="625">
      <c r="A625" s="14" t="n">
        <v>964</v>
      </c>
      <c r="B625" s="14" t="inlineStr">
        <is>
          <t>prsub</t>
        </is>
      </c>
      <c r="C625" s="14" t="inlineStr">
        <is>
          <t>wnd</t>
        </is>
      </c>
      <c r="D625" s="14" t="inlineStr">
        <is>
          <t>pow</t>
        </is>
      </c>
      <c r="E625" s="14" t="inlineStr">
        <is>
          <t>REVENUE</t>
        </is>
      </c>
      <c r="F625" s="92" t="inlineStr">
        <is>
          <t>REVENUE($E964*AE750,Settings!$C$13,INDEX(AE$420:AE$431,$D964))</t>
        </is>
      </c>
    </row>
    <row r="626">
      <c r="A626" s="14" t="n">
        <v>965</v>
      </c>
      <c r="B626" s="14" t="inlineStr">
        <is>
          <t>prsub</t>
        </is>
      </c>
      <c r="C626" s="14" t="inlineStr">
        <is>
          <t>sol</t>
        </is>
      </c>
      <c r="D626" s="14" t="inlineStr">
        <is>
          <t>pow</t>
        </is>
      </c>
      <c r="E626" s="14" t="inlineStr">
        <is>
          <t>REVENUE</t>
        </is>
      </c>
      <c r="F626" s="92" t="inlineStr">
        <is>
          <t>REVENUE($E965*AE751,Settings!$C$13,INDEX(AE$420:AE$431,$D965))</t>
        </is>
      </c>
    </row>
    <row r="627">
      <c r="A627" s="14" t="n">
        <v>966</v>
      </c>
      <c r="B627" s="14" t="inlineStr">
        <is>
          <t>prsub</t>
        </is>
      </c>
      <c r="C627" s="14" t="inlineStr">
        <is>
          <t>hyd</t>
        </is>
      </c>
      <c r="D627" s="14" t="inlineStr">
        <is>
          <t>pow</t>
        </is>
      </c>
      <c r="E627" s="14" t="inlineStr">
        <is>
          <t>REVENUE</t>
        </is>
      </c>
      <c r="F627" s="92" t="inlineStr">
        <is>
          <t>REVENUE($E966*AE752,Settings!$C$13,INDEX(AE$420:AE$431,$D966))</t>
        </is>
      </c>
    </row>
    <row r="628">
      <c r="A628" s="14" t="n">
        <v>967</v>
      </c>
      <c r="B628" s="14" t="inlineStr">
        <is>
          <t>prsub</t>
        </is>
      </c>
      <c r="C628" s="14" t="inlineStr">
        <is>
          <t>ore</t>
        </is>
      </c>
      <c r="D628" s="14" t="inlineStr">
        <is>
          <t>pow</t>
        </is>
      </c>
      <c r="E628" s="14" t="inlineStr">
        <is>
          <t>REVENUE</t>
        </is>
      </c>
      <c r="F628" s="92" t="inlineStr">
        <is>
          <t>REVENUE($E967*AE753,Settings!$C$13,INDEX(AE$420:AE$431,$D967))</t>
        </is>
      </c>
    </row>
    <row r="629">
      <c r="A629" s="14" t="n">
        <v>968</v>
      </c>
      <c r="B629" s="14" t="inlineStr">
        <is>
          <t>prsub</t>
        </is>
      </c>
      <c r="C629" s="14" t="inlineStr">
        <is>
          <t>bio</t>
        </is>
      </c>
      <c r="D629" s="14" t="inlineStr">
        <is>
          <t>pow</t>
        </is>
      </c>
      <c r="E629" s="14" t="inlineStr">
        <is>
          <t>REVENUE</t>
        </is>
      </c>
      <c r="F629" s="92" t="inlineStr">
        <is>
          <t>REVENUE($E968*AE754,Settings!$C$13,INDEX(AE$420:AE$431,$D968))</t>
        </is>
      </c>
    </row>
    <row r="630">
      <c r="A630" s="14" t="n">
        <v>970</v>
      </c>
      <c r="B630" s="14" t="inlineStr">
        <is>
          <t>prxc</t>
        </is>
      </c>
      <c r="C630" s="14" t="inlineStr">
        <is>
          <t>coa</t>
        </is>
      </c>
      <c r="D630" s="14" t="inlineStr">
        <is>
          <t>pow</t>
        </is>
      </c>
      <c r="E630" s="14" t="inlineStr">
        <is>
          <t>POWERREV</t>
        </is>
      </c>
      <c r="F630" s="92" t="inlineStr">
        <is>
          <t>POWERREV(AE529,8.76,AE723)</t>
        </is>
      </c>
    </row>
    <row r="631">
      <c r="A631" s="14" t="n">
        <v>971</v>
      </c>
      <c r="B631" s="14" t="inlineStr">
        <is>
          <t>prxc</t>
        </is>
      </c>
      <c r="C631" s="14" t="inlineStr">
        <is>
          <t>nga</t>
        </is>
      </c>
      <c r="D631" s="14" t="inlineStr">
        <is>
          <t>pow</t>
        </is>
      </c>
      <c r="E631" s="14" t="inlineStr">
        <is>
          <t>POWERREV</t>
        </is>
      </c>
      <c r="F631" s="92" t="inlineStr">
        <is>
          <t>POWERREV(AE530,8.76,AE724)</t>
        </is>
      </c>
    </row>
    <row r="632">
      <c r="A632" s="14" t="n">
        <v>972</v>
      </c>
      <c r="B632" s="14" t="inlineStr">
        <is>
          <t>prxc</t>
        </is>
      </c>
      <c r="C632" s="14" t="inlineStr">
        <is>
          <t>oop</t>
        </is>
      </c>
      <c r="D632" s="14" t="inlineStr">
        <is>
          <t>pow</t>
        </is>
      </c>
      <c r="E632" s="14" t="inlineStr">
        <is>
          <t>POWERREV</t>
        </is>
      </c>
      <c r="F632" s="92" t="inlineStr">
        <is>
          <t>POWERREV(AE531,8.76,AE725)</t>
        </is>
      </c>
    </row>
    <row r="633">
      <c r="A633" s="14" t="n">
        <v>973</v>
      </c>
      <c r="B633" s="14" t="inlineStr">
        <is>
          <t>prxc</t>
        </is>
      </c>
      <c r="C633" s="14" t="inlineStr">
        <is>
          <t>nuc</t>
        </is>
      </c>
      <c r="D633" s="14" t="inlineStr">
        <is>
          <t>pow</t>
        </is>
      </c>
      <c r="E633" s="14" t="inlineStr">
        <is>
          <t>POWERREV</t>
        </is>
      </c>
      <c r="F633" s="92" t="inlineStr">
        <is>
          <t>POWERREV(AE532,8.76,AE726)</t>
        </is>
      </c>
    </row>
    <row r="634">
      <c r="A634" s="14" t="n">
        <v>974</v>
      </c>
      <c r="B634" s="14" t="inlineStr">
        <is>
          <t>prxc</t>
        </is>
      </c>
      <c r="C634" s="14" t="inlineStr">
        <is>
          <t>wnd</t>
        </is>
      </c>
      <c r="D634" s="14" t="inlineStr">
        <is>
          <t>pow</t>
        </is>
      </c>
      <c r="E634" s="14" t="inlineStr">
        <is>
          <t>POWERREV</t>
        </is>
      </c>
      <c r="F634" s="92" t="inlineStr">
        <is>
          <t>POWERREV(AE533,8.76,AE727)</t>
        </is>
      </c>
    </row>
    <row r="635">
      <c r="A635" s="14" t="n">
        <v>975</v>
      </c>
      <c r="B635" s="14" t="inlineStr">
        <is>
          <t>prxc</t>
        </is>
      </c>
      <c r="C635" s="14" t="inlineStr">
        <is>
          <t>sol</t>
        </is>
      </c>
      <c r="D635" s="14" t="inlineStr">
        <is>
          <t>pow</t>
        </is>
      </c>
      <c r="E635" s="14" t="inlineStr">
        <is>
          <t>POWERREV</t>
        </is>
      </c>
      <c r="F635" s="92" t="inlineStr">
        <is>
          <t>POWERREV(AE534,8.76,AE728)</t>
        </is>
      </c>
    </row>
    <row r="636">
      <c r="A636" s="14" t="n">
        <v>976</v>
      </c>
      <c r="B636" s="14" t="inlineStr">
        <is>
          <t>prxc</t>
        </is>
      </c>
      <c r="C636" s="14" t="inlineStr">
        <is>
          <t>hyd</t>
        </is>
      </c>
      <c r="D636" s="14" t="inlineStr">
        <is>
          <t>pow</t>
        </is>
      </c>
      <c r="E636" s="14" t="inlineStr">
        <is>
          <t>POWERREV</t>
        </is>
      </c>
      <c r="F636" s="92" t="inlineStr">
        <is>
          <t>POWERREV(AE535,8.76,AE729)</t>
        </is>
      </c>
    </row>
    <row r="637">
      <c r="A637" s="14" t="n">
        <v>977</v>
      </c>
      <c r="B637" s="14" t="inlineStr">
        <is>
          <t>prxc</t>
        </is>
      </c>
      <c r="C637" s="14" t="inlineStr">
        <is>
          <t>ore</t>
        </is>
      </c>
      <c r="D637" s="14" t="inlineStr">
        <is>
          <t>pow</t>
        </is>
      </c>
      <c r="E637" s="14" t="inlineStr">
        <is>
          <t>POWERREV</t>
        </is>
      </c>
      <c r="F637" s="92" t="inlineStr">
        <is>
          <t>POWERREV(AE536,8.76,AE730)</t>
        </is>
      </c>
    </row>
    <row r="638">
      <c r="A638" s="14" t="n">
        <v>978</v>
      </c>
      <c r="B638" s="14" t="inlineStr">
        <is>
          <t>prxc</t>
        </is>
      </c>
      <c r="C638" s="14" t="inlineStr">
        <is>
          <t>bio</t>
        </is>
      </c>
      <c r="D638" s="14" t="inlineStr">
        <is>
          <t>pow</t>
        </is>
      </c>
      <c r="E638" s="14" t="inlineStr">
        <is>
          <t>POWERREV</t>
        </is>
      </c>
      <c r="F638" s="92" t="inlineStr">
        <is>
          <t>POWERREV(AE537,8.76,AE731)</t>
        </is>
      </c>
    </row>
    <row r="639">
      <c r="A639" s="14" t="n">
        <v>980</v>
      </c>
      <c r="B639" s="14" t="inlineStr">
        <is>
          <t>prnew</t>
        </is>
      </c>
      <c r="C639" s="14" t="inlineStr">
        <is>
          <t>coa</t>
        </is>
      </c>
      <c r="D639" s="14" t="inlineStr">
        <is>
          <t>pow</t>
        </is>
      </c>
      <c r="E639" s="14" t="inlineStr">
        <is>
          <t>PNEWREV</t>
        </is>
      </c>
      <c r="F639" s="92" t="inlineStr">
        <is>
          <t>PNEWREV(AE723,AE549,AE756,AE$280,AE$201)</t>
        </is>
      </c>
    </row>
    <row r="640">
      <c r="A640" s="14" t="n">
        <v>981</v>
      </c>
      <c r="B640" s="14" t="inlineStr">
        <is>
          <t>prnew</t>
        </is>
      </c>
      <c r="C640" s="14" t="inlineStr">
        <is>
          <t>nga</t>
        </is>
      </c>
      <c r="D640" s="14" t="inlineStr">
        <is>
          <t>pow</t>
        </is>
      </c>
      <c r="E640" s="14" t="inlineStr">
        <is>
          <t>PNEWREV</t>
        </is>
      </c>
      <c r="F640" s="92" t="inlineStr">
        <is>
          <t>PNEWREV(AE724,AE550,AE757,AE$280,AE$201)</t>
        </is>
      </c>
    </row>
    <row r="641">
      <c r="A641" s="14" t="n">
        <v>982</v>
      </c>
      <c r="B641" s="14" t="inlineStr">
        <is>
          <t>prnew</t>
        </is>
      </c>
      <c r="C641" s="14" t="inlineStr">
        <is>
          <t>oop</t>
        </is>
      </c>
      <c r="D641" s="14" t="inlineStr">
        <is>
          <t>pow</t>
        </is>
      </c>
      <c r="E641" s="14" t="inlineStr">
        <is>
          <t>PNEWREV</t>
        </is>
      </c>
      <c r="F641" s="92" t="inlineStr">
        <is>
          <t>PNEWREV(AE725,AE551,AE758,AE$280,AE$201)</t>
        </is>
      </c>
    </row>
    <row r="642">
      <c r="A642" s="14" t="n">
        <v>983</v>
      </c>
      <c r="B642" s="14" t="inlineStr">
        <is>
          <t>prnew</t>
        </is>
      </c>
      <c r="C642" s="14" t="inlineStr">
        <is>
          <t>nuc</t>
        </is>
      </c>
      <c r="D642" s="14" t="inlineStr">
        <is>
          <t>pow</t>
        </is>
      </c>
      <c r="E642" s="14" t="inlineStr">
        <is>
          <t>PNEWREV</t>
        </is>
      </c>
      <c r="F642" s="92" t="inlineStr">
        <is>
          <t>PNEWREV(AE726,AE552,AE759,AE$280,AE$201)</t>
        </is>
      </c>
    </row>
    <row r="643">
      <c r="A643" s="14" t="n">
        <v>984</v>
      </c>
      <c r="B643" s="14" t="inlineStr">
        <is>
          <t>prnew</t>
        </is>
      </c>
      <c r="C643" s="14" t="inlineStr">
        <is>
          <t>wnd</t>
        </is>
      </c>
      <c r="D643" s="14" t="inlineStr">
        <is>
          <t>pow</t>
        </is>
      </c>
      <c r="E643" s="14" t="inlineStr">
        <is>
          <t>PNEWREV</t>
        </is>
      </c>
      <c r="F643" s="92" t="inlineStr">
        <is>
          <t>PNEWREV(AE727,AE553,AE760,AE$280,AE$201)</t>
        </is>
      </c>
    </row>
    <row r="644">
      <c r="A644" s="14" t="n">
        <v>985</v>
      </c>
      <c r="B644" s="14" t="inlineStr">
        <is>
          <t>prnew</t>
        </is>
      </c>
      <c r="C644" s="14" t="inlineStr">
        <is>
          <t>sol</t>
        </is>
      </c>
      <c r="D644" s="14" t="inlineStr">
        <is>
          <t>pow</t>
        </is>
      </c>
      <c r="E644" s="14" t="inlineStr">
        <is>
          <t>PNEWREV</t>
        </is>
      </c>
      <c r="F644" s="92" t="inlineStr">
        <is>
          <t>PNEWREV(AE728,AE554,AE761,AE$280,AE$201)</t>
        </is>
      </c>
    </row>
    <row r="645">
      <c r="A645" s="14" t="n">
        <v>986</v>
      </c>
      <c r="B645" s="14" t="inlineStr">
        <is>
          <t>prnew</t>
        </is>
      </c>
      <c r="C645" s="14" t="inlineStr">
        <is>
          <t>hyd</t>
        </is>
      </c>
      <c r="D645" s="14" t="inlineStr">
        <is>
          <t>pow</t>
        </is>
      </c>
      <c r="E645" s="14" t="inlineStr">
        <is>
          <t>PNEWREV</t>
        </is>
      </c>
      <c r="F645" s="92" t="inlineStr">
        <is>
          <t>PNEWREV(AE729,AE555,AE762,AE$280,AE$201)</t>
        </is>
      </c>
    </row>
    <row r="646">
      <c r="A646" s="14" t="n">
        <v>987</v>
      </c>
      <c r="B646" s="14" t="inlineStr">
        <is>
          <t>prnew</t>
        </is>
      </c>
      <c r="C646" s="14" t="inlineStr">
        <is>
          <t>ore</t>
        </is>
      </c>
      <c r="D646" s="14" t="inlineStr">
        <is>
          <t>pow</t>
        </is>
      </c>
      <c r="E646" s="14" t="inlineStr">
        <is>
          <t>PNEWREV</t>
        </is>
      </c>
      <c r="F646" s="92" t="inlineStr">
        <is>
          <t>PNEWREV(AE730,AE556,AE763,AE$280,AE$201)</t>
        </is>
      </c>
    </row>
    <row r="647">
      <c r="A647" s="14" t="n">
        <v>988</v>
      </c>
      <c r="B647" s="14" t="inlineStr">
        <is>
          <t>prnew</t>
        </is>
      </c>
      <c r="C647" s="14" t="inlineStr">
        <is>
          <t>bio</t>
        </is>
      </c>
      <c r="D647" s="14" t="inlineStr">
        <is>
          <t>pow</t>
        </is>
      </c>
      <c r="E647" s="14" t="inlineStr">
        <is>
          <t>PNEWREV</t>
        </is>
      </c>
      <c r="F647" s="92" t="inlineStr">
        <is>
          <t>PNEWREV(AE731,AE557,AE764,AE$280,AE$201)</t>
        </is>
      </c>
    </row>
    <row r="648">
      <c r="A648" s="14" t="n">
        <v>990</v>
      </c>
      <c r="B648" s="14" t="inlineStr">
        <is>
          <t>prxl</t>
        </is>
      </c>
      <c r="C648" s="14" t="inlineStr">
        <is>
          <t>coa</t>
        </is>
      </c>
      <c r="D648" s="14" t="inlineStr">
        <is>
          <t>pow</t>
        </is>
      </c>
      <c r="E648" s="14" t="inlineStr">
        <is>
          <t>XCARBON</t>
        </is>
      </c>
      <c r="F648" s="92" t="inlineStr">
        <is>
          <t>XCARBON(AE756,$D990,AE$321,$E990,AE$324)</t>
        </is>
      </c>
    </row>
    <row r="649">
      <c r="A649" s="14" t="n">
        <v>991</v>
      </c>
      <c r="B649" s="14" t="inlineStr">
        <is>
          <t>prxl</t>
        </is>
      </c>
      <c r="C649" s="14" t="inlineStr">
        <is>
          <t>nga</t>
        </is>
      </c>
      <c r="D649" s="14" t="inlineStr">
        <is>
          <t>pow</t>
        </is>
      </c>
      <c r="E649" s="14" t="inlineStr">
        <is>
          <t>XCARBON</t>
        </is>
      </c>
      <c r="F649" s="92" t="inlineStr">
        <is>
          <t>XCARBON(AE757,$D991,AE$321,$E991,AE$324)</t>
        </is>
      </c>
    </row>
    <row r="650">
      <c r="A650" s="14" t="n">
        <v>992</v>
      </c>
      <c r="B650" s="14" t="inlineStr">
        <is>
          <t>prxl</t>
        </is>
      </c>
      <c r="C650" s="14" t="inlineStr">
        <is>
          <t>oop</t>
        </is>
      </c>
      <c r="D650" s="14" t="inlineStr">
        <is>
          <t>pow</t>
        </is>
      </c>
      <c r="E650" s="14" t="inlineStr">
        <is>
          <t>XCARBON</t>
        </is>
      </c>
      <c r="F650" s="92" t="inlineStr">
        <is>
          <t>XCARBON(AE758,$D992,AE$321,$E992,AE$324)</t>
        </is>
      </c>
    </row>
    <row r="651">
      <c r="A651" s="14" t="n">
        <v>993</v>
      </c>
      <c r="B651" s="14" t="inlineStr">
        <is>
          <t>prxl</t>
        </is>
      </c>
      <c r="C651" s="14" t="inlineStr">
        <is>
          <t>nuc</t>
        </is>
      </c>
      <c r="D651" s="14" t="inlineStr">
        <is>
          <t>pow</t>
        </is>
      </c>
      <c r="E651" s="14" t="inlineStr">
        <is>
          <t>XCARBON</t>
        </is>
      </c>
      <c r="F651" s="92" t="inlineStr">
        <is>
          <t>XCARBON(AE759,$D993,AE$321,$E993,AE$324)</t>
        </is>
      </c>
    </row>
    <row r="652">
      <c r="A652" s="14" t="n">
        <v>994</v>
      </c>
      <c r="B652" s="14" t="inlineStr">
        <is>
          <t>prxl</t>
        </is>
      </c>
      <c r="C652" s="14" t="inlineStr">
        <is>
          <t>wnd</t>
        </is>
      </c>
      <c r="D652" s="14" t="inlineStr">
        <is>
          <t>pow</t>
        </is>
      </c>
      <c r="E652" s="14" t="inlineStr">
        <is>
          <t>XCARBON</t>
        </is>
      </c>
      <c r="F652" s="92" t="inlineStr">
        <is>
          <t>XCARBON(AE760,$D994,AE$321,$E994,AE$324)</t>
        </is>
      </c>
    </row>
    <row r="653">
      <c r="A653" s="14" t="n">
        <v>995</v>
      </c>
      <c r="B653" s="14" t="inlineStr">
        <is>
          <t>prxl</t>
        </is>
      </c>
      <c r="C653" s="14" t="inlineStr">
        <is>
          <t>sol</t>
        </is>
      </c>
      <c r="D653" s="14" t="inlineStr">
        <is>
          <t>pow</t>
        </is>
      </c>
      <c r="E653" s="14" t="inlineStr">
        <is>
          <t>XCARBON</t>
        </is>
      </c>
      <c r="F653" s="92" t="inlineStr">
        <is>
          <t>XCARBON(AE761,$D995,AE$321,$E995,AE$324)</t>
        </is>
      </c>
    </row>
    <row r="654">
      <c r="A654" s="14" t="n">
        <v>996</v>
      </c>
      <c r="B654" s="14" t="inlineStr">
        <is>
          <t>prxl</t>
        </is>
      </c>
      <c r="C654" s="14" t="inlineStr">
        <is>
          <t>hyd</t>
        </is>
      </c>
      <c r="D654" s="14" t="inlineStr">
        <is>
          <t>pow</t>
        </is>
      </c>
      <c r="E654" s="14" t="inlineStr">
        <is>
          <t>XCARBON</t>
        </is>
      </c>
      <c r="F654" s="92" t="inlineStr">
        <is>
          <t>XCARBON(AE762,$D996,AE$321,$E996,AE$324)</t>
        </is>
      </c>
    </row>
    <row r="655">
      <c r="A655" s="14" t="n">
        <v>997</v>
      </c>
      <c r="B655" s="14" t="inlineStr">
        <is>
          <t>prxl</t>
        </is>
      </c>
      <c r="C655" s="14" t="inlineStr">
        <is>
          <t>ore</t>
        </is>
      </c>
      <c r="D655" s="14" t="inlineStr">
        <is>
          <t>pow</t>
        </is>
      </c>
      <c r="E655" s="14" t="inlineStr">
        <is>
          <t>XCARBON</t>
        </is>
      </c>
      <c r="F655" s="92" t="inlineStr">
        <is>
          <t>XCARBON(AE763,$D997,AE$321,$E997,AE$324)</t>
        </is>
      </c>
    </row>
    <row r="656">
      <c r="A656" s="14" t="n">
        <v>998</v>
      </c>
      <c r="B656" s="14" t="inlineStr">
        <is>
          <t>prxl</t>
        </is>
      </c>
      <c r="C656" s="14" t="inlineStr">
        <is>
          <t>bio</t>
        </is>
      </c>
      <c r="D656" s="14" t="inlineStr">
        <is>
          <t>pow</t>
        </is>
      </c>
      <c r="E656" s="14" t="inlineStr">
        <is>
          <t>XCARBON</t>
        </is>
      </c>
      <c r="F656" s="92" t="inlineStr">
        <is>
          <t>XCARBON(AE764,$D998,AE$321,$E998,AE$324)</t>
        </is>
      </c>
    </row>
    <row r="657">
      <c r="A657" s="14" t="n">
        <v>1007</v>
      </c>
      <c r="B657" s="14" t="inlineStr">
        <is>
          <t>ctxnew</t>
        </is>
      </c>
      <c r="C657" s="14" t="inlineStr">
        <is>
          <t>coa</t>
        </is>
      </c>
      <c r="D657" s="14" t="inlineStr">
        <is>
          <t>rod</t>
        </is>
      </c>
      <c r="E657" s="14" t="inlineStr">
        <is>
          <t>CARBONTAX</t>
        </is>
      </c>
      <c r="F657" s="92" t="inlineStr">
        <is>
          <t>CARBONTAX(INDEX(AE$263:AE$279,$F1007),$D1007,INDEX(AE$23:AE$30,$E1007))</t>
        </is>
      </c>
    </row>
    <row r="658">
      <c r="A658" s="14" t="n">
        <v>1008</v>
      </c>
      <c r="B658" s="14" t="inlineStr">
        <is>
          <t>ctxnew</t>
        </is>
      </c>
      <c r="C658" s="14" t="inlineStr">
        <is>
          <t>nga</t>
        </is>
      </c>
      <c r="D658" s="14" t="inlineStr">
        <is>
          <t>rod</t>
        </is>
      </c>
      <c r="E658" s="14" t="inlineStr">
        <is>
          <t>CARBONTAX</t>
        </is>
      </c>
      <c r="F658" s="92" t="inlineStr">
        <is>
          <t>CARBONTAX(INDEX(AE$263:AE$279,$F1008),$D1008,INDEX(AE$23:AE$30,$E1008))</t>
        </is>
      </c>
    </row>
    <row r="659">
      <c r="A659" s="14" t="n">
        <v>1009</v>
      </c>
      <c r="B659" s="14" t="inlineStr">
        <is>
          <t>ctxnew</t>
        </is>
      </c>
      <c r="C659" s="14" t="inlineStr">
        <is>
          <t>gso</t>
        </is>
      </c>
      <c r="D659" s="14" t="inlineStr">
        <is>
          <t>rod</t>
        </is>
      </c>
      <c r="E659" s="14" t="inlineStr">
        <is>
          <t>CARBONTAX</t>
        </is>
      </c>
      <c r="F659" s="92" t="inlineStr">
        <is>
          <t>CARBONTAX(INDEX(AE$263:AE$279,$F1009),$D1009,INDEX(AE$23:AE$30,$E1009))</t>
        </is>
      </c>
    </row>
    <row r="660">
      <c r="A660" s="14" t="n">
        <v>1010</v>
      </c>
      <c r="B660" s="14" t="inlineStr">
        <is>
          <t>ctxnew</t>
        </is>
      </c>
      <c r="C660" s="14" t="inlineStr">
        <is>
          <t>die</t>
        </is>
      </c>
      <c r="D660" s="14" t="inlineStr">
        <is>
          <t>rod</t>
        </is>
      </c>
      <c r="E660" s="14" t="inlineStr">
        <is>
          <t>CARBONTAX</t>
        </is>
      </c>
      <c r="F660" s="92" t="inlineStr">
        <is>
          <t>CARBONTAX(INDEX(AE$263:AE$279,$F1010),$D1010,INDEX(AE$23:AE$30,$E1010))</t>
        </is>
      </c>
    </row>
    <row r="661">
      <c r="A661" s="14" t="n">
        <v>1011</v>
      </c>
      <c r="B661" s="14" t="inlineStr">
        <is>
          <t>ctxnew</t>
        </is>
      </c>
      <c r="C661" s="14" t="inlineStr">
        <is>
          <t>lpg</t>
        </is>
      </c>
      <c r="D661" s="14" t="inlineStr">
        <is>
          <t>rod</t>
        </is>
      </c>
      <c r="E661" s="14" t="inlineStr">
        <is>
          <t>CARBONTAX</t>
        </is>
      </c>
      <c r="F661" s="92" t="inlineStr">
        <is>
          <t>CARBONTAX(INDEX(AE$263:AE$279,$F1011),$D1011,INDEX(AE$23:AE$30,$E1011))</t>
        </is>
      </c>
    </row>
    <row r="662">
      <c r="A662" s="14" t="n">
        <v>1012</v>
      </c>
      <c r="B662" s="14" t="inlineStr">
        <is>
          <t>ctxnew</t>
        </is>
      </c>
      <c r="C662" s="14" t="inlineStr">
        <is>
          <t>ker</t>
        </is>
      </c>
      <c r="D662" s="14" t="inlineStr">
        <is>
          <t>rod</t>
        </is>
      </c>
      <c r="E662" s="14" t="inlineStr">
        <is>
          <t>CARBONTAX</t>
        </is>
      </c>
      <c r="F662" s="92" t="inlineStr">
        <is>
          <t>CARBONTAX(INDEX(AE$263:AE$279,$F1012),$D1012,INDEX(AE$23:AE$30,$E1012))</t>
        </is>
      </c>
    </row>
    <row r="663">
      <c r="A663" s="14" t="n">
        <v>1013</v>
      </c>
      <c r="B663" s="14" t="inlineStr">
        <is>
          <t>ctxnew</t>
        </is>
      </c>
      <c r="C663" s="14" t="inlineStr">
        <is>
          <t>oop</t>
        </is>
      </c>
      <c r="D663" s="14" t="inlineStr">
        <is>
          <t>rod</t>
        </is>
      </c>
      <c r="E663" s="14" t="inlineStr">
        <is>
          <t>CARBONTAX</t>
        </is>
      </c>
      <c r="F663" s="92" t="inlineStr">
        <is>
          <t>CARBONTAX(INDEX(AE$263:AE$279,$F1013),$D1013,INDEX(AE$23:AE$30,$E1013))</t>
        </is>
      </c>
    </row>
    <row r="664">
      <c r="A664" s="14" t="n">
        <v>1014</v>
      </c>
      <c r="B664" s="14" t="inlineStr">
        <is>
          <t>ctxnew</t>
        </is>
      </c>
      <c r="C664" s="14" t="inlineStr">
        <is>
          <t>bio</t>
        </is>
      </c>
      <c r="D664" s="14" t="inlineStr">
        <is>
          <t>rod</t>
        </is>
      </c>
      <c r="E664" s="14" t="inlineStr">
        <is>
          <t>CARBONTAX</t>
        </is>
      </c>
      <c r="F664" s="92" t="inlineStr">
        <is>
          <t>CARBONTAX(INDEX(AE$263:AE$279,$F1014),$D1014,INDEX(AE$23:AE$30,$E1014))</t>
        </is>
      </c>
    </row>
    <row r="665">
      <c r="A665" s="14" t="n">
        <v>1016</v>
      </c>
      <c r="B665" s="14" t="inlineStr">
        <is>
          <t>ets</t>
        </is>
      </c>
      <c r="C665" s="14" t="inlineStr">
        <is>
          <t>coa</t>
        </is>
      </c>
      <c r="D665" s="14" t="inlineStr">
        <is>
          <t>rod</t>
        </is>
      </c>
      <c r="E665" s="14" t="inlineStr">
        <is>
          <t>ETSCOST</t>
        </is>
      </c>
      <c r="F665" s="92" t="inlineStr">
        <is>
          <t>ETSCOST(INDEX(AE$280:AE$296,$E1016),$D1016)</t>
        </is>
      </c>
    </row>
    <row r="666">
      <c r="A666" s="14" t="n">
        <v>1017</v>
      </c>
      <c r="B666" s="14" t="inlineStr">
        <is>
          <t>ets</t>
        </is>
      </c>
      <c r="C666" s="14" t="inlineStr">
        <is>
          <t>nga</t>
        </is>
      </c>
      <c r="D666" s="14" t="inlineStr">
        <is>
          <t>rod</t>
        </is>
      </c>
      <c r="E666" s="14" t="inlineStr">
        <is>
          <t>ETSCOST</t>
        </is>
      </c>
      <c r="F666" s="92" t="inlineStr">
        <is>
          <t>ETSCOST(INDEX(AE$280:AE$296,$E1017),$D1017)</t>
        </is>
      </c>
    </row>
    <row r="667">
      <c r="A667" s="14" t="n">
        <v>1018</v>
      </c>
      <c r="B667" s="14" t="inlineStr">
        <is>
          <t>ets</t>
        </is>
      </c>
      <c r="C667" s="14" t="inlineStr">
        <is>
          <t>gso</t>
        </is>
      </c>
      <c r="D667" s="14" t="inlineStr">
        <is>
          <t>rod</t>
        </is>
      </c>
      <c r="E667" s="14" t="inlineStr">
        <is>
          <t>ETSCOST</t>
        </is>
      </c>
      <c r="F667" s="92" t="inlineStr">
        <is>
          <t>ETSCOST(INDEX(AE$280:AE$296,$E1018),$D1018)</t>
        </is>
      </c>
    </row>
    <row r="668">
      <c r="A668" s="14" t="n">
        <v>1019</v>
      </c>
      <c r="B668" s="14" t="inlineStr">
        <is>
          <t>ets</t>
        </is>
      </c>
      <c r="C668" s="14" t="inlineStr">
        <is>
          <t>die</t>
        </is>
      </c>
      <c r="D668" s="14" t="inlineStr">
        <is>
          <t>rod</t>
        </is>
      </c>
      <c r="E668" s="14" t="inlineStr">
        <is>
          <t>ETSCOST</t>
        </is>
      </c>
      <c r="F668" s="92" t="inlineStr">
        <is>
          <t>ETSCOST(INDEX(AE$280:AE$296,$E1019),$D1019)</t>
        </is>
      </c>
    </row>
    <row r="669">
      <c r="A669" s="14" t="n">
        <v>1020</v>
      </c>
      <c r="B669" s="14" t="inlineStr">
        <is>
          <t>ets</t>
        </is>
      </c>
      <c r="C669" s="14" t="inlineStr">
        <is>
          <t>lpg</t>
        </is>
      </c>
      <c r="D669" s="14" t="inlineStr">
        <is>
          <t>rod</t>
        </is>
      </c>
      <c r="E669" s="14" t="inlineStr">
        <is>
          <t>ETSCOST</t>
        </is>
      </c>
      <c r="F669" s="92" t="inlineStr">
        <is>
          <t>ETSCOST(INDEX(AE$280:AE$296,$E1020),$D1020)</t>
        </is>
      </c>
    </row>
    <row r="670">
      <c r="A670" s="14" t="n">
        <v>1021</v>
      </c>
      <c r="B670" s="14" t="inlineStr">
        <is>
          <t>ets</t>
        </is>
      </c>
      <c r="C670" s="14" t="inlineStr">
        <is>
          <t>ker</t>
        </is>
      </c>
      <c r="D670" s="14" t="inlineStr">
        <is>
          <t>rod</t>
        </is>
      </c>
      <c r="E670" s="14" t="inlineStr">
        <is>
          <t>ETSCOST</t>
        </is>
      </c>
      <c r="F670" s="92" t="inlineStr">
        <is>
          <t>ETSCOST(INDEX(AE$280:AE$296,$E1021),$D1021)</t>
        </is>
      </c>
    </row>
    <row r="671">
      <c r="A671" s="14" t="n">
        <v>1022</v>
      </c>
      <c r="B671" s="14" t="inlineStr">
        <is>
          <t>ets</t>
        </is>
      </c>
      <c r="C671" s="14" t="inlineStr">
        <is>
          <t>oop</t>
        </is>
      </c>
      <c r="D671" s="14" t="inlineStr">
        <is>
          <t>rod</t>
        </is>
      </c>
      <c r="E671" s="14" t="inlineStr">
        <is>
          <t>ETSCOST</t>
        </is>
      </c>
      <c r="F671" s="92" t="inlineStr">
        <is>
          <t>ETSCOST(INDEX(AE$280:AE$296,$E1022),$D1022)</t>
        </is>
      </c>
    </row>
    <row r="672">
      <c r="A672" s="14" t="n">
        <v>1023</v>
      </c>
      <c r="B672" s="14" t="inlineStr">
        <is>
          <t>ets</t>
        </is>
      </c>
      <c r="C672" s="14" t="inlineStr">
        <is>
          <t>bio</t>
        </is>
      </c>
      <c r="D672" s="14" t="inlineStr">
        <is>
          <t>rod</t>
        </is>
      </c>
      <c r="E672" s="14" t="inlineStr">
        <is>
          <t>ETSCOST</t>
        </is>
      </c>
      <c r="F672" s="92" t="inlineStr">
        <is>
          <t>ETSCOST(INDEX(AE$280:AE$296,$E1023),$D1023)</t>
        </is>
      </c>
    </row>
    <row r="673">
      <c r="A673" s="14" t="n">
        <v>1025</v>
      </c>
      <c r="B673" s="14" t="inlineStr">
        <is>
          <t>ntx</t>
        </is>
      </c>
      <c r="C673" s="14" t="inlineStr">
        <is>
          <t>coa</t>
        </is>
      </c>
      <c r="D673" s="14" t="inlineStr">
        <is>
          <t>rod</t>
        </is>
      </c>
      <c r="E673" s="14" t="inlineStr">
        <is>
          <t>NEWEXCISE</t>
        </is>
      </c>
      <c r="F673" s="92" t="inlineStr">
        <is>
          <t>NEWEXCISE(INDEX(AE$80:AE$93,$D1025),$E1025)</t>
        </is>
      </c>
    </row>
    <row r="674">
      <c r="A674" s="14" t="n">
        <v>1026</v>
      </c>
      <c r="B674" s="14" t="inlineStr">
        <is>
          <t>ntx</t>
        </is>
      </c>
      <c r="C674" s="14" t="inlineStr">
        <is>
          <t>nga</t>
        </is>
      </c>
      <c r="D674" s="14" t="inlineStr">
        <is>
          <t>rod</t>
        </is>
      </c>
      <c r="E674" s="14" t="inlineStr">
        <is>
          <t>NEWEXCISE</t>
        </is>
      </c>
      <c r="F674" s="92" t="inlineStr">
        <is>
          <t>NEWEXCISE(INDEX(AE$80:AE$93,$D1026),$E1026)</t>
        </is>
      </c>
    </row>
    <row r="675">
      <c r="A675" s="14" t="n">
        <v>1027</v>
      </c>
      <c r="B675" s="14" t="inlineStr">
        <is>
          <t>ntx</t>
        </is>
      </c>
      <c r="C675" s="14" t="inlineStr">
        <is>
          <t>gso</t>
        </is>
      </c>
      <c r="D675" s="14" t="inlineStr">
        <is>
          <t>rod</t>
        </is>
      </c>
      <c r="E675" s="14" t="inlineStr">
        <is>
          <t>NEWEXCISE</t>
        </is>
      </c>
      <c r="F675" s="92" t="inlineStr">
        <is>
          <t>NEWEXCISE(INDEX(AE$80:AE$93,$D1027),$E1027)</t>
        </is>
      </c>
    </row>
    <row r="676">
      <c r="A676" s="14" t="n">
        <v>1028</v>
      </c>
      <c r="B676" s="14" t="inlineStr">
        <is>
          <t>ntx</t>
        </is>
      </c>
      <c r="C676" s="14" t="inlineStr">
        <is>
          <t>die</t>
        </is>
      </c>
      <c r="D676" s="14" t="inlineStr">
        <is>
          <t>rod</t>
        </is>
      </c>
      <c r="E676" s="14" t="inlineStr">
        <is>
          <t>NEWEXCISE</t>
        </is>
      </c>
      <c r="F676" s="92" t="inlineStr">
        <is>
          <t>NEWEXCISE(INDEX(AE$80:AE$93,$D1028),$E1028)</t>
        </is>
      </c>
    </row>
    <row r="677">
      <c r="A677" s="14" t="n">
        <v>1029</v>
      </c>
      <c r="B677" s="14" t="inlineStr">
        <is>
          <t>ntx</t>
        </is>
      </c>
      <c r="C677" s="14" t="inlineStr">
        <is>
          <t>lpg</t>
        </is>
      </c>
      <c r="D677" s="14" t="inlineStr">
        <is>
          <t>rod</t>
        </is>
      </c>
      <c r="E677" s="14" t="inlineStr">
        <is>
          <t>NEWEXCISE</t>
        </is>
      </c>
      <c r="F677" s="92" t="inlineStr">
        <is>
          <t>NEWEXCISE(INDEX(AE$80:AE$93,$D1029),$E1029)</t>
        </is>
      </c>
    </row>
    <row r="678">
      <c r="A678" s="14" t="n">
        <v>1030</v>
      </c>
      <c r="B678" s="14" t="inlineStr">
        <is>
          <t>ntx</t>
        </is>
      </c>
      <c r="C678" s="14" t="inlineStr">
        <is>
          <t>ker</t>
        </is>
      </c>
      <c r="D678" s="14" t="inlineStr">
        <is>
          <t>rod</t>
        </is>
      </c>
      <c r="E678" s="14" t="inlineStr">
        <is>
          <t>NEWEXCISE</t>
        </is>
      </c>
      <c r="F678" s="92" t="inlineStr">
        <is>
          <t>NEWEXCISE(INDEX(AE$80:AE$93,$D1030),$E1030)</t>
        </is>
      </c>
    </row>
    <row r="679">
      <c r="A679" s="14" t="n">
        <v>1031</v>
      </c>
      <c r="B679" s="14" t="inlineStr">
        <is>
          <t>ntx</t>
        </is>
      </c>
      <c r="C679" s="14" t="inlineStr">
        <is>
          <t>oop</t>
        </is>
      </c>
      <c r="D679" s="14" t="inlineStr">
        <is>
          <t>rod</t>
        </is>
      </c>
      <c r="E679" s="14" t="inlineStr">
        <is>
          <t>NEWEXCISE</t>
        </is>
      </c>
      <c r="F679" s="92" t="inlineStr">
        <is>
          <t>NEWEXCISE(INDEX(AE$80:AE$93,$D1031),$E1031)</t>
        </is>
      </c>
    </row>
    <row r="680">
      <c r="A680" s="14" t="n">
        <v>1032</v>
      </c>
      <c r="B680" s="14" t="inlineStr">
        <is>
          <t>ntx</t>
        </is>
      </c>
      <c r="C680" s="14" t="inlineStr">
        <is>
          <t>bio</t>
        </is>
      </c>
      <c r="D680" s="14" t="inlineStr">
        <is>
          <t>rod</t>
        </is>
      </c>
      <c r="E680" s="14" t="inlineStr">
        <is>
          <t>NEWEXCISE</t>
        </is>
      </c>
      <c r="F680" s="92" t="inlineStr">
        <is>
          <t>NEWEXCISE(INDEX(AE$80:AE$93,$D1032),$E1032)</t>
        </is>
      </c>
    </row>
    <row r="681">
      <c r="A681" s="14" t="n">
        <v>1034</v>
      </c>
      <c r="B681" s="14" t="inlineStr">
        <is>
          <t>nce</t>
        </is>
      </c>
      <c r="C681" s="14" t="inlineStr">
        <is>
          <t>coa</t>
        </is>
      </c>
      <c r="D681" s="14" t="inlineStr">
        <is>
          <t>rod</t>
        </is>
      </c>
      <c r="E681" s="14" t="inlineStr">
        <is>
          <t>NEWPOLICY</t>
        </is>
      </c>
      <c r="F681" s="92" t="inlineStr">
        <is>
          <t>NEWPOLICY(AE1007,AE1016,AE1025)</t>
        </is>
      </c>
    </row>
    <row r="682">
      <c r="A682" s="14" t="n">
        <v>1035</v>
      </c>
      <c r="B682" s="14" t="inlineStr">
        <is>
          <t>nce</t>
        </is>
      </c>
      <c r="C682" s="14" t="inlineStr">
        <is>
          <t>nga</t>
        </is>
      </c>
      <c r="D682" s="14" t="inlineStr">
        <is>
          <t>rod</t>
        </is>
      </c>
      <c r="E682" s="14" t="inlineStr">
        <is>
          <t>NEWPOLICY</t>
        </is>
      </c>
      <c r="F682" s="92" t="inlineStr">
        <is>
          <t>NEWPOLICY(AE1008,AE1017,AE1026)</t>
        </is>
      </c>
    </row>
    <row r="683">
      <c r="A683" s="14" t="n">
        <v>1036</v>
      </c>
      <c r="B683" s="14" t="inlineStr">
        <is>
          <t>nce</t>
        </is>
      </c>
      <c r="C683" s="14" t="inlineStr">
        <is>
          <t>gso</t>
        </is>
      </c>
      <c r="D683" s="14" t="inlineStr">
        <is>
          <t>rod</t>
        </is>
      </c>
      <c r="E683" s="14" t="inlineStr">
        <is>
          <t>NEWPOLICY</t>
        </is>
      </c>
      <c r="F683" s="92" t="inlineStr">
        <is>
          <t>NEWPOLICY(AE1009,AE1018,AE1027)</t>
        </is>
      </c>
    </row>
    <row r="684">
      <c r="A684" s="14" t="n">
        <v>1037</v>
      </c>
      <c r="B684" s="14" t="inlineStr">
        <is>
          <t>nce</t>
        </is>
      </c>
      <c r="C684" s="14" t="inlineStr">
        <is>
          <t>die</t>
        </is>
      </c>
      <c r="D684" s="14" t="inlineStr">
        <is>
          <t>rod</t>
        </is>
      </c>
      <c r="E684" s="14" t="inlineStr">
        <is>
          <t>NEWPOLICY</t>
        </is>
      </c>
      <c r="F684" s="92" t="inlineStr">
        <is>
          <t>NEWPOLICY(AE1010,AE1019,AE1028)</t>
        </is>
      </c>
    </row>
    <row r="685">
      <c r="A685" s="14" t="n">
        <v>1038</v>
      </c>
      <c r="B685" s="14" t="inlineStr">
        <is>
          <t>nce</t>
        </is>
      </c>
      <c r="C685" s="14" t="inlineStr">
        <is>
          <t>lpg</t>
        </is>
      </c>
      <c r="D685" s="14" t="inlineStr">
        <is>
          <t>rod</t>
        </is>
      </c>
      <c r="E685" s="14" t="inlineStr">
        <is>
          <t>NEWPOLICY</t>
        </is>
      </c>
      <c r="F685" s="92" t="inlineStr">
        <is>
          <t>NEWPOLICY(AE1011,AE1020,AE1029)</t>
        </is>
      </c>
    </row>
    <row r="686">
      <c r="A686" s="14" t="n">
        <v>1039</v>
      </c>
      <c r="B686" s="14" t="inlineStr">
        <is>
          <t>nce</t>
        </is>
      </c>
      <c r="C686" s="14" t="inlineStr">
        <is>
          <t>ker</t>
        </is>
      </c>
      <c r="D686" s="14" t="inlineStr">
        <is>
          <t>rod</t>
        </is>
      </c>
      <c r="E686" s="14" t="inlineStr">
        <is>
          <t>NEWPOLICY</t>
        </is>
      </c>
      <c r="F686" s="92" t="inlineStr">
        <is>
          <t>NEWPOLICY(AE1012,AE1021,AE1030)</t>
        </is>
      </c>
    </row>
    <row r="687">
      <c r="A687" s="14" t="n">
        <v>1040</v>
      </c>
      <c r="B687" s="14" t="inlineStr">
        <is>
          <t>nce</t>
        </is>
      </c>
      <c r="C687" s="14" t="inlineStr">
        <is>
          <t>oop</t>
        </is>
      </c>
      <c r="D687" s="14" t="inlineStr">
        <is>
          <t>rod</t>
        </is>
      </c>
      <c r="E687" s="14" t="inlineStr">
        <is>
          <t>NEWPOLICY</t>
        </is>
      </c>
      <c r="F687" s="92" t="inlineStr">
        <is>
          <t>NEWPOLICY(AE1013,AE1022,AE1031)</t>
        </is>
      </c>
    </row>
    <row r="688">
      <c r="A688" s="14" t="n">
        <v>1041</v>
      </c>
      <c r="B688" s="14" t="inlineStr">
        <is>
          <t>nce</t>
        </is>
      </c>
      <c r="C688" s="14" t="inlineStr">
        <is>
          <t>bio</t>
        </is>
      </c>
      <c r="D688" s="14" t="inlineStr">
        <is>
          <t>rod</t>
        </is>
      </c>
      <c r="E688" s="14" t="inlineStr">
        <is>
          <t>NEWPOLICY</t>
        </is>
      </c>
      <c r="F688" s="92" t="inlineStr">
        <is>
          <t>NEWPOLICY(AE1014,AE1023,AE1032)</t>
        </is>
      </c>
    </row>
    <row r="689">
      <c r="A689" s="14" t="n">
        <v>1043</v>
      </c>
      <c r="B689" s="14" t="inlineStr">
        <is>
          <t>xcp</t>
        </is>
      </c>
      <c r="C689" s="14" t="inlineStr">
        <is>
          <t>coa</t>
        </is>
      </c>
      <c r="D689" s="14" t="inlineStr">
        <is>
          <t>rod</t>
        </is>
      </c>
      <c r="E689" s="14" t="inlineStr">
        <is>
          <t>XCARBON</t>
        </is>
      </c>
      <c r="F689" s="92" t="inlineStr">
        <is>
          <t>XCARBON($D1043,$E1043,AE$321,$F1043,AE$324)</t>
        </is>
      </c>
    </row>
    <row r="690">
      <c r="A690" s="14" t="n">
        <v>1044</v>
      </c>
      <c r="B690" s="14" t="inlineStr">
        <is>
          <t>xcp</t>
        </is>
      </c>
      <c r="C690" s="14" t="inlineStr">
        <is>
          <t>nga</t>
        </is>
      </c>
      <c r="D690" s="14" t="inlineStr">
        <is>
          <t>rod</t>
        </is>
      </c>
      <c r="E690" s="14" t="inlineStr">
        <is>
          <t>XCARBON</t>
        </is>
      </c>
      <c r="F690" s="92" t="inlineStr">
        <is>
          <t>XCARBON($D1044,$E1044,AE$321,$F1044,AE$324)</t>
        </is>
      </c>
    </row>
    <row r="691">
      <c r="A691" s="14" t="n">
        <v>1045</v>
      </c>
      <c r="B691" s="14" t="inlineStr">
        <is>
          <t>xcp</t>
        </is>
      </c>
      <c r="C691" s="14" t="inlineStr">
        <is>
          <t>gso</t>
        </is>
      </c>
      <c r="D691" s="14" t="inlineStr">
        <is>
          <t>rod</t>
        </is>
      </c>
      <c r="E691" s="14" t="inlineStr">
        <is>
          <t>XCARBON</t>
        </is>
      </c>
      <c r="F691" s="92" t="inlineStr">
        <is>
          <t>XCARBON($D1045,$E1045,AE$321,$F1045,AE$324)</t>
        </is>
      </c>
    </row>
    <row r="692">
      <c r="A692" s="14" t="n">
        <v>1046</v>
      </c>
      <c r="B692" s="14" t="inlineStr">
        <is>
          <t>xcp</t>
        </is>
      </c>
      <c r="C692" s="14" t="inlineStr">
        <is>
          <t>die</t>
        </is>
      </c>
      <c r="D692" s="14" t="inlineStr">
        <is>
          <t>rod</t>
        </is>
      </c>
      <c r="E692" s="14" t="inlineStr">
        <is>
          <t>XCARBON</t>
        </is>
      </c>
      <c r="F692" s="92" t="inlineStr">
        <is>
          <t>XCARBON($D1046,$E1046,AE$321,$F1046,AE$324)</t>
        </is>
      </c>
    </row>
    <row r="693">
      <c r="A693" s="14" t="n">
        <v>1047</v>
      </c>
      <c r="B693" s="14" t="inlineStr">
        <is>
          <t>xcp</t>
        </is>
      </c>
      <c r="C693" s="14" t="inlineStr">
        <is>
          <t>lpg</t>
        </is>
      </c>
      <c r="D693" s="14" t="inlineStr">
        <is>
          <t>rod</t>
        </is>
      </c>
      <c r="E693" s="14" t="inlineStr">
        <is>
          <t>XCARBON</t>
        </is>
      </c>
      <c r="F693" s="92" t="inlineStr">
        <is>
          <t>XCARBON($D1047,$E1047,AE$321,$F1047,AE$324)</t>
        </is>
      </c>
    </row>
    <row r="694">
      <c r="A694" s="14" t="n">
        <v>1048</v>
      </c>
      <c r="B694" s="14" t="inlineStr">
        <is>
          <t>xcp</t>
        </is>
      </c>
      <c r="C694" s="14" t="inlineStr">
        <is>
          <t>ker</t>
        </is>
      </c>
      <c r="D694" s="14" t="inlineStr">
        <is>
          <t>rod</t>
        </is>
      </c>
      <c r="E694" s="14" t="inlineStr">
        <is>
          <t>XCARBON</t>
        </is>
      </c>
      <c r="F694" s="92" t="inlineStr">
        <is>
          <t>XCARBON($D1048,$E1048,AE$321,$F1048,AE$324)</t>
        </is>
      </c>
    </row>
    <row r="695">
      <c r="A695" s="14" t="n">
        <v>1049</v>
      </c>
      <c r="B695" s="14" t="inlineStr">
        <is>
          <t>xcp</t>
        </is>
      </c>
      <c r="C695" s="14" t="inlineStr">
        <is>
          <t>oop</t>
        </is>
      </c>
      <c r="D695" s="14" t="inlineStr">
        <is>
          <t>rod</t>
        </is>
      </c>
      <c r="E695" s="14" t="inlineStr">
        <is>
          <t>XCARBON</t>
        </is>
      </c>
      <c r="F695" s="92" t="inlineStr">
        <is>
          <t>XCARBON($D1049,$E1049,AE$321,$F1049,AE$324)</t>
        </is>
      </c>
    </row>
    <row r="696">
      <c r="A696" s="14" t="n">
        <v>1050</v>
      </c>
      <c r="B696" s="14" t="inlineStr">
        <is>
          <t>xcp</t>
        </is>
      </c>
      <c r="C696" s="14" t="inlineStr">
        <is>
          <t>bio</t>
        </is>
      </c>
      <c r="D696" s="14" t="inlineStr">
        <is>
          <t>rod</t>
        </is>
      </c>
      <c r="E696" s="14" t="inlineStr">
        <is>
          <t>XCARBON</t>
        </is>
      </c>
      <c r="F696" s="92" t="inlineStr">
        <is>
          <t>XCARBON($D1050,$E1050,AE$321,$F1050,AE$324)</t>
        </is>
      </c>
    </row>
    <row r="697">
      <c r="A697" s="14" t="n">
        <v>1052</v>
      </c>
      <c r="B697" s="14" t="inlineStr">
        <is>
          <t>xcpd</t>
        </is>
      </c>
      <c r="C697" s="14" t="inlineStr">
        <is>
          <t>coa</t>
        </is>
      </c>
      <c r="D697" s="14" t="inlineStr">
        <is>
          <t>rod</t>
        </is>
      </c>
      <c r="E697" s="14" t="inlineStr">
        <is>
          <t>XCARBON</t>
        </is>
      </c>
      <c r="F697" s="92" t="inlineStr">
        <is>
          <t>XCARBON($D1052,$E1052,(AE$321-AE$322),$F1052,(AE$324-AE$325))</t>
        </is>
      </c>
    </row>
    <row r="698">
      <c r="A698" s="14" t="n">
        <v>1053</v>
      </c>
      <c r="B698" s="14" t="inlineStr">
        <is>
          <t>xcpd</t>
        </is>
      </c>
      <c r="C698" s="14" t="inlineStr">
        <is>
          <t>nga</t>
        </is>
      </c>
      <c r="D698" s="14" t="inlineStr">
        <is>
          <t>rod</t>
        </is>
      </c>
      <c r="E698" s="14" t="inlineStr">
        <is>
          <t>XCARBON</t>
        </is>
      </c>
      <c r="F698" s="92" t="inlineStr">
        <is>
          <t>XCARBON($D1053,$E1053,(AE$321-AE$322),$F1053,(AE$324-AE$325))</t>
        </is>
      </c>
    </row>
    <row r="699">
      <c r="A699" s="14" t="n">
        <v>1054</v>
      </c>
      <c r="B699" s="14" t="inlineStr">
        <is>
          <t>xcpd</t>
        </is>
      </c>
      <c r="C699" s="14" t="inlineStr">
        <is>
          <t>gso</t>
        </is>
      </c>
      <c r="D699" s="14" t="inlineStr">
        <is>
          <t>rod</t>
        </is>
      </c>
      <c r="E699" s="14" t="inlineStr">
        <is>
          <t>XCARBON</t>
        </is>
      </c>
      <c r="F699" s="92" t="inlineStr">
        <is>
          <t>XCARBON($D1054,$E1054,(AE$321-AE$322),$F1054,(AE$324-AE$325))</t>
        </is>
      </c>
    </row>
    <row r="700">
      <c r="A700" s="14" t="n">
        <v>1055</v>
      </c>
      <c r="B700" s="14" t="inlineStr">
        <is>
          <t>xcpd</t>
        </is>
      </c>
      <c r="C700" s="14" t="inlineStr">
        <is>
          <t>die</t>
        </is>
      </c>
      <c r="D700" s="14" t="inlineStr">
        <is>
          <t>rod</t>
        </is>
      </c>
      <c r="E700" s="14" t="inlineStr">
        <is>
          <t>XCARBON</t>
        </is>
      </c>
      <c r="F700" s="92" t="inlineStr">
        <is>
          <t>XCARBON($D1055,$E1055,(AE$321-AE$322),$F1055,(AE$324-AE$325))</t>
        </is>
      </c>
    </row>
    <row r="701">
      <c r="A701" s="14" t="n">
        <v>1056</v>
      </c>
      <c r="B701" s="14" t="inlineStr">
        <is>
          <t>xcpd</t>
        </is>
      </c>
      <c r="C701" s="14" t="inlineStr">
        <is>
          <t>lpg</t>
        </is>
      </c>
      <c r="D701" s="14" t="inlineStr">
        <is>
          <t>rod</t>
        </is>
      </c>
      <c r="E701" s="14" t="inlineStr">
        <is>
          <t>XCARBON</t>
        </is>
      </c>
      <c r="F701" s="92" t="inlineStr">
        <is>
          <t>XCARBON($D1056,$E1056,(AE$321-AE$322),$F1056,(AE$324-AE$325))</t>
        </is>
      </c>
    </row>
    <row r="702">
      <c r="A702" s="14" t="n">
        <v>1057</v>
      </c>
      <c r="B702" s="14" t="inlineStr">
        <is>
          <t>xcpd</t>
        </is>
      </c>
      <c r="C702" s="14" t="inlineStr">
        <is>
          <t>ker</t>
        </is>
      </c>
      <c r="D702" s="14" t="inlineStr">
        <is>
          <t>rod</t>
        </is>
      </c>
      <c r="E702" s="14" t="inlineStr">
        <is>
          <t>XCARBON</t>
        </is>
      </c>
      <c r="F702" s="92" t="inlineStr">
        <is>
          <t>XCARBON($D1057,$E1057,(AE$321-AE$322),$F1057,(AE$324-AE$325))</t>
        </is>
      </c>
    </row>
    <row r="703">
      <c r="A703" s="14" t="n">
        <v>1058</v>
      </c>
      <c r="B703" s="14" t="inlineStr">
        <is>
          <t>xcpd</t>
        </is>
      </c>
      <c r="C703" s="14" t="inlineStr">
        <is>
          <t>oop</t>
        </is>
      </c>
      <c r="D703" s="14" t="inlineStr">
        <is>
          <t>rod</t>
        </is>
      </c>
      <c r="E703" s="14" t="inlineStr">
        <is>
          <t>XCARBON</t>
        </is>
      </c>
      <c r="F703" s="92" t="inlineStr">
        <is>
          <t>XCARBON($D1058,$E1058,(AE$321-AE$322),$F1058,(AE$324-AE$325))</t>
        </is>
      </c>
    </row>
    <row r="704">
      <c r="A704" s="14" t="n">
        <v>1059</v>
      </c>
      <c r="B704" s="14" t="inlineStr">
        <is>
          <t>xcpd</t>
        </is>
      </c>
      <c r="C704" s="14" t="inlineStr">
        <is>
          <t>bio</t>
        </is>
      </c>
      <c r="D704" s="14" t="inlineStr">
        <is>
          <t>rod</t>
        </is>
      </c>
      <c r="E704" s="14" t="inlineStr">
        <is>
          <t>XCARBON</t>
        </is>
      </c>
      <c r="F704" s="92" t="inlineStr">
        <is>
          <t>XCARBON($D1059,$E1059,(AE$321-AE$322),$F1059,(AE$324-AE$325))</t>
        </is>
      </c>
    </row>
    <row r="705">
      <c r="A705" s="14" t="n">
        <v>1061</v>
      </c>
      <c r="B705" s="14" t="inlineStr">
        <is>
          <t>atp</t>
        </is>
      </c>
      <c r="C705" s="14" t="inlineStr">
        <is>
          <t>coa</t>
        </is>
      </c>
      <c r="D705" s="14" t="inlineStr">
        <is>
          <t>rod</t>
        </is>
      </c>
      <c r="E705" s="14" t="inlineStr">
        <is>
          <t>POSTTAX</t>
        </is>
      </c>
      <c r="F705" s="92" t="inlineStr">
        <is>
          <t>POSTTAX(INDEX(AE$381:AE$392,$D1061),AE1034+AE1052,$E1061)</t>
        </is>
      </c>
    </row>
    <row r="706">
      <c r="A706" s="14" t="n">
        <v>1062</v>
      </c>
      <c r="B706" s="14" t="inlineStr">
        <is>
          <t>atp</t>
        </is>
      </c>
      <c r="C706" s="14" t="inlineStr">
        <is>
          <t>nga</t>
        </is>
      </c>
      <c r="D706" s="14" t="inlineStr">
        <is>
          <t>rod</t>
        </is>
      </c>
      <c r="E706" s="14" t="inlineStr">
        <is>
          <t>POSTTAX</t>
        </is>
      </c>
      <c r="F706" s="92" t="inlineStr">
        <is>
          <t>POSTTAX(INDEX(AE$381:AE$392,$D1062),AE1035+AE1053,$E1062)</t>
        </is>
      </c>
    </row>
    <row r="707">
      <c r="A707" s="14" t="n">
        <v>1063</v>
      </c>
      <c r="B707" s="14" t="inlineStr">
        <is>
          <t>atp</t>
        </is>
      </c>
      <c r="C707" s="14" t="inlineStr">
        <is>
          <t>gso</t>
        </is>
      </c>
      <c r="D707" s="14" t="inlineStr">
        <is>
          <t>rod</t>
        </is>
      </c>
      <c r="E707" s="14" t="inlineStr">
        <is>
          <t>POSTTAX</t>
        </is>
      </c>
      <c r="F707" s="92" t="inlineStr">
        <is>
          <t>POSTTAX(INDEX(AE$381:AE$392,$D1063),AE1036+AE1054,$E1063)</t>
        </is>
      </c>
    </row>
    <row r="708">
      <c r="A708" s="14" t="n">
        <v>1064</v>
      </c>
      <c r="B708" s="14" t="inlineStr">
        <is>
          <t>atp</t>
        </is>
      </c>
      <c r="C708" s="14" t="inlineStr">
        <is>
          <t>die</t>
        </is>
      </c>
      <c r="D708" s="14" t="inlineStr">
        <is>
          <t>rod</t>
        </is>
      </c>
      <c r="E708" s="14" t="inlineStr">
        <is>
          <t>POSTTAX</t>
        </is>
      </c>
      <c r="F708" s="92" t="inlineStr">
        <is>
          <t>POSTTAX(INDEX(AE$381:AE$392,$D1064),AE1037+AE1055,$E1064)</t>
        </is>
      </c>
    </row>
    <row r="709">
      <c r="A709" s="14" t="n">
        <v>1065</v>
      </c>
      <c r="B709" s="14" t="inlineStr">
        <is>
          <t>atp</t>
        </is>
      </c>
      <c r="C709" s="14" t="inlineStr">
        <is>
          <t>lpg</t>
        </is>
      </c>
      <c r="D709" s="14" t="inlineStr">
        <is>
          <t>rod</t>
        </is>
      </c>
      <c r="E709" s="14" t="inlineStr">
        <is>
          <t>POSTTAX</t>
        </is>
      </c>
      <c r="F709" s="92" t="inlineStr">
        <is>
          <t>POSTTAX(INDEX(AE$381:AE$392,$D1065),AE1038+AE1056,$E1065)</t>
        </is>
      </c>
    </row>
    <row r="710">
      <c r="A710" s="14" t="n">
        <v>1066</v>
      </c>
      <c r="B710" s="14" t="inlineStr">
        <is>
          <t>atp</t>
        </is>
      </c>
      <c r="C710" s="14" t="inlineStr">
        <is>
          <t>ker</t>
        </is>
      </c>
      <c r="D710" s="14" t="inlineStr">
        <is>
          <t>rod</t>
        </is>
      </c>
      <c r="E710" s="14" t="inlineStr">
        <is>
          <t>POSTTAX</t>
        </is>
      </c>
      <c r="F710" s="92" t="inlineStr">
        <is>
          <t>POSTTAX(INDEX(AE$381:AE$392,$D1066),AE1039+AE1057,$E1066)</t>
        </is>
      </c>
    </row>
    <row r="711">
      <c r="A711" s="14" t="n">
        <v>1067</v>
      </c>
      <c r="B711" s="14" t="inlineStr">
        <is>
          <t>atp</t>
        </is>
      </c>
      <c r="C711" s="14" t="inlineStr">
        <is>
          <t>oop</t>
        </is>
      </c>
      <c r="D711" s="14" t="inlineStr">
        <is>
          <t>rod</t>
        </is>
      </c>
      <c r="E711" s="14" t="inlineStr">
        <is>
          <t>POSTTAX</t>
        </is>
      </c>
      <c r="F711" s="92" t="inlineStr">
        <is>
          <t>POSTTAX(INDEX(AE$381:AE$392,$D1067),AE1040+AE1058,$E1067)</t>
        </is>
      </c>
    </row>
    <row r="712">
      <c r="A712" s="14" t="n">
        <v>1068</v>
      </c>
      <c r="B712" s="14" t="inlineStr">
        <is>
          <t>atp</t>
        </is>
      </c>
      <c r="C712" s="14" t="inlineStr">
        <is>
          <t>bio</t>
        </is>
      </c>
      <c r="D712" s="14" t="inlineStr">
        <is>
          <t>rod</t>
        </is>
      </c>
      <c r="E712" s="14" t="inlineStr">
        <is>
          <t>POSTTAX</t>
        </is>
      </c>
      <c r="F712" s="92" t="inlineStr">
        <is>
          <t>POSTTAX(INDEX(AE$381:AE$392,$D1068),AE1041+AE1059,$E1068)</t>
        </is>
      </c>
    </row>
    <row r="713">
      <c r="A713" s="14" t="n">
        <v>1070</v>
      </c>
      <c r="B713" s="14" t="inlineStr">
        <is>
          <t>shp</t>
        </is>
      </c>
      <c r="C713" s="14" t="inlineStr">
        <is>
          <t>coa</t>
        </is>
      </c>
      <c r="D713" s="14" t="inlineStr">
        <is>
          <t>rod</t>
        </is>
      </c>
      <c r="E713" s="14" t="inlineStr">
        <is>
          <t>SHADOWGJ</t>
        </is>
      </c>
      <c r="F713" s="92" t="inlineStr">
        <is>
          <t>SHADOWGJ(INDEX(AE$297:AE$313,$E1070),$D1070)</t>
        </is>
      </c>
    </row>
    <row r="714">
      <c r="A714" s="14" t="n">
        <v>1071</v>
      </c>
      <c r="B714" s="14" t="inlineStr">
        <is>
          <t>shp</t>
        </is>
      </c>
      <c r="C714" s="14" t="inlineStr">
        <is>
          <t>nga</t>
        </is>
      </c>
      <c r="D714" s="14" t="inlineStr">
        <is>
          <t>rod</t>
        </is>
      </c>
      <c r="E714" s="14" t="inlineStr">
        <is>
          <t>SHADOWGJ</t>
        </is>
      </c>
      <c r="F714" s="92" t="inlineStr">
        <is>
          <t>SHADOWGJ(INDEX(AE$297:AE$313,$E1071),$D1071)</t>
        </is>
      </c>
    </row>
    <row r="715">
      <c r="A715" s="14" t="n">
        <v>1072</v>
      </c>
      <c r="B715" s="14" t="inlineStr">
        <is>
          <t>shp</t>
        </is>
      </c>
      <c r="C715" s="14" t="inlineStr">
        <is>
          <t>gso</t>
        </is>
      </c>
      <c r="D715" s="14" t="inlineStr">
        <is>
          <t>rod</t>
        </is>
      </c>
      <c r="E715" s="14" t="inlineStr">
        <is>
          <t>SHADOWGJ</t>
        </is>
      </c>
      <c r="F715" s="92" t="inlineStr">
        <is>
          <t>SHADOWGJ(INDEX(AE$297:AE$313,$E1072),$D1072)</t>
        </is>
      </c>
    </row>
    <row r="716">
      <c r="A716" s="14" t="n">
        <v>1073</v>
      </c>
      <c r="B716" s="14" t="inlineStr">
        <is>
          <t>shp</t>
        </is>
      </c>
      <c r="C716" s="14" t="inlineStr">
        <is>
          <t>die</t>
        </is>
      </c>
      <c r="D716" s="14" t="inlineStr">
        <is>
          <t>rod</t>
        </is>
      </c>
      <c r="E716" s="14" t="inlineStr">
        <is>
          <t>SHADOWGJ</t>
        </is>
      </c>
      <c r="F716" s="92" t="inlineStr">
        <is>
          <t>SHADOWGJ(INDEX(AE$297:AE$313,$E1073),$D1073)</t>
        </is>
      </c>
    </row>
    <row r="717">
      <c r="A717" s="14" t="n">
        <v>1074</v>
      </c>
      <c r="B717" s="14" t="inlineStr">
        <is>
          <t>shp</t>
        </is>
      </c>
      <c r="C717" s="14" t="inlineStr">
        <is>
          <t>lpg</t>
        </is>
      </c>
      <c r="D717" s="14" t="inlineStr">
        <is>
          <t>rod</t>
        </is>
      </c>
      <c r="E717" s="14" t="inlineStr">
        <is>
          <t>SHADOWGJ</t>
        </is>
      </c>
      <c r="F717" s="92" t="inlineStr">
        <is>
          <t>SHADOWGJ(INDEX(AE$297:AE$313,$E1074),$D1074)</t>
        </is>
      </c>
    </row>
    <row r="718">
      <c r="A718" s="14" t="n">
        <v>1075</v>
      </c>
      <c r="B718" s="14" t="inlineStr">
        <is>
          <t>shp</t>
        </is>
      </c>
      <c r="C718" s="14" t="inlineStr">
        <is>
          <t>ker</t>
        </is>
      </c>
      <c r="D718" s="14" t="inlineStr">
        <is>
          <t>rod</t>
        </is>
      </c>
      <c r="E718" s="14" t="inlineStr">
        <is>
          <t>SHADOWGJ</t>
        </is>
      </c>
      <c r="F718" s="92" t="inlineStr">
        <is>
          <t>SHADOWGJ(INDEX(AE$297:AE$313,$E1075),$D1075)</t>
        </is>
      </c>
    </row>
    <row r="719">
      <c r="A719" s="14" t="n">
        <v>1076</v>
      </c>
      <c r="B719" s="14" t="inlineStr">
        <is>
          <t>shp</t>
        </is>
      </c>
      <c r="C719" s="14" t="inlineStr">
        <is>
          <t>oop</t>
        </is>
      </c>
      <c r="D719" s="14" t="inlineStr">
        <is>
          <t>rod</t>
        </is>
      </c>
      <c r="E719" s="14" t="inlineStr">
        <is>
          <t>SHADOWGJ</t>
        </is>
      </c>
      <c r="F719" s="92" t="inlineStr">
        <is>
          <t>SHADOWGJ(INDEX(AE$297:AE$313,$E1076),$D1076)</t>
        </is>
      </c>
    </row>
    <row r="720">
      <c r="A720" s="14" t="n">
        <v>1077</v>
      </c>
      <c r="B720" s="14" t="inlineStr">
        <is>
          <t>shp</t>
        </is>
      </c>
      <c r="C720" s="14" t="inlineStr">
        <is>
          <t>bio</t>
        </is>
      </c>
      <c r="D720" s="14" t="inlineStr">
        <is>
          <t>rod</t>
        </is>
      </c>
      <c r="E720" s="14" t="inlineStr">
        <is>
          <t>SHADOWGJ</t>
        </is>
      </c>
      <c r="F720" s="92" t="inlineStr">
        <is>
          <t>SHADOWGJ(INDEX(AE$297:AE$313,$E1077),$D1077)</t>
        </is>
      </c>
    </row>
    <row r="721">
      <c r="A721" s="14" t="n">
        <v>1079</v>
      </c>
      <c r="B721" s="14" t="inlineStr">
        <is>
          <t>ener</t>
        </is>
      </c>
      <c r="C721" s="14" t="inlineStr">
        <is>
          <t>coa</t>
        </is>
      </c>
      <c r="D721" s="14" t="inlineStr">
        <is>
          <t>rod</t>
        </is>
      </c>
      <c r="E721" s="14" t="inlineStr">
        <is>
          <t>FUELUSE</t>
        </is>
      </c>
      <c r="F721" s="92" t="inlineStr">
        <is>
          <t>FUELUSE(AD1079,AE1061,AD1061,AE1070,AD1070,AE$7,$D1079,$E1079,$F1079,$G1079)</t>
        </is>
      </c>
    </row>
    <row r="722">
      <c r="A722" s="14" t="n">
        <v>1080</v>
      </c>
      <c r="B722" s="14" t="inlineStr">
        <is>
          <t>ener</t>
        </is>
      </c>
      <c r="C722" s="14" t="inlineStr">
        <is>
          <t>nga</t>
        </is>
      </c>
      <c r="D722" s="14" t="inlineStr">
        <is>
          <t>rod</t>
        </is>
      </c>
      <c r="E722" s="14" t="inlineStr">
        <is>
          <t>FUELUSE</t>
        </is>
      </c>
      <c r="F722" s="92" t="inlineStr">
        <is>
          <t>FUELUSE(AD1080,AE1062,AD1062,AE1071,AD1071,AE$7,$D1080,$E1080,$F1080,$G1080)</t>
        </is>
      </c>
    </row>
    <row r="723">
      <c r="A723" s="14" t="n">
        <v>1081</v>
      </c>
      <c r="B723" s="14" t="inlineStr">
        <is>
          <t>ener</t>
        </is>
      </c>
      <c r="C723" s="14" t="inlineStr">
        <is>
          <t>gso</t>
        </is>
      </c>
      <c r="D723" s="14" t="inlineStr">
        <is>
          <t>rod</t>
        </is>
      </c>
      <c r="E723" s="14" t="inlineStr">
        <is>
          <t>FUELUSE</t>
        </is>
      </c>
      <c r="F723" s="92" t="inlineStr">
        <is>
          <t>FUELUSE(AD1081,AE1063,AD1063,AE1072,AD1072,AE$7,$D1081,$E1081,$F1081,$G1081)</t>
        </is>
      </c>
    </row>
    <row r="724">
      <c r="A724" s="14" t="n">
        <v>1082</v>
      </c>
      <c r="B724" s="14" t="inlineStr">
        <is>
          <t>ener</t>
        </is>
      </c>
      <c r="C724" s="14" t="inlineStr">
        <is>
          <t>die</t>
        </is>
      </c>
      <c r="D724" s="14" t="inlineStr">
        <is>
          <t>rod</t>
        </is>
      </c>
      <c r="E724" s="14" t="inlineStr">
        <is>
          <t>FUELUSE</t>
        </is>
      </c>
      <c r="F724" s="92" t="inlineStr">
        <is>
          <t>FUELUSE(AD1082,AE1064,AD1064,AE1073,AD1073,AE$7,$D1082,$E1082,$F1082,$G1082)</t>
        </is>
      </c>
    </row>
    <row r="725">
      <c r="A725" s="14" t="n">
        <v>1083</v>
      </c>
      <c r="B725" s="14" t="inlineStr">
        <is>
          <t>ener</t>
        </is>
      </c>
      <c r="C725" s="14" t="inlineStr">
        <is>
          <t>lpg</t>
        </is>
      </c>
      <c r="D725" s="14" t="inlineStr">
        <is>
          <t>rod</t>
        </is>
      </c>
      <c r="E725" s="14" t="inlineStr">
        <is>
          <t>FUELUSE</t>
        </is>
      </c>
      <c r="F725" s="92" t="inlineStr">
        <is>
          <t>FUELUSE(AD1083,AE1065,AD1065,AE1074,AD1074,AE$7,$D1083,$E1083,$F1083,$G1083)</t>
        </is>
      </c>
    </row>
    <row r="726">
      <c r="A726" s="14" t="n">
        <v>1084</v>
      </c>
      <c r="B726" s="14" t="inlineStr">
        <is>
          <t>ener</t>
        </is>
      </c>
      <c r="C726" s="14" t="inlineStr">
        <is>
          <t>ker</t>
        </is>
      </c>
      <c r="D726" s="14" t="inlineStr">
        <is>
          <t>rod</t>
        </is>
      </c>
      <c r="E726" s="14" t="inlineStr">
        <is>
          <t>FUELUSE</t>
        </is>
      </c>
      <c r="F726" s="92" t="inlineStr">
        <is>
          <t>FUELUSE(AD1084,AE1066,AD1066,AE1075,AD1075,AE$7,$D1084,$E1084,$F1084,$G1084)</t>
        </is>
      </c>
    </row>
    <row r="727">
      <c r="A727" s="14" t="n">
        <v>1085</v>
      </c>
      <c r="B727" s="14" t="inlineStr">
        <is>
          <t>ener</t>
        </is>
      </c>
      <c r="C727" s="14" t="inlineStr">
        <is>
          <t>oop</t>
        </is>
      </c>
      <c r="D727" s="14" t="inlineStr">
        <is>
          <t>rod</t>
        </is>
      </c>
      <c r="E727" s="14" t="inlineStr">
        <is>
          <t>FUELUSE</t>
        </is>
      </c>
      <c r="F727" s="92" t="inlineStr">
        <is>
          <t>FUELUSE(AD1085,AE1067,AD1067,AE1076,AD1076,AE$7,$D1085,$E1085,$F1085,$G1085)</t>
        </is>
      </c>
    </row>
    <row r="728">
      <c r="A728" s="14" t="n">
        <v>1086</v>
      </c>
      <c r="B728" s="14" t="inlineStr">
        <is>
          <t>ener</t>
        </is>
      </c>
      <c r="C728" s="14" t="inlineStr">
        <is>
          <t>bio</t>
        </is>
      </c>
      <c r="D728" s="14" t="inlineStr">
        <is>
          <t>rod</t>
        </is>
      </c>
      <c r="E728" s="14" t="inlineStr">
        <is>
          <t>FUELUSE</t>
        </is>
      </c>
      <c r="F728" s="92" t="inlineStr">
        <is>
          <t>FUELUSE(AD1086,AE1068,AD1068,AE1077,AD1077,AE$7,$D1086,$E1086,$F1086,$G1086)</t>
        </is>
      </c>
    </row>
    <row r="729">
      <c r="A729" s="14" t="n">
        <v>1088</v>
      </c>
      <c r="B729" s="14" t="inlineStr">
        <is>
          <t>co2</t>
        </is>
      </c>
      <c r="C729" s="14" t="inlineStr">
        <is>
          <t>coa</t>
        </is>
      </c>
      <c r="D729" s="14" t="inlineStr">
        <is>
          <t>rod</t>
        </is>
      </c>
      <c r="E729" s="14" t="inlineStr">
        <is>
          <t>EMISSIONS</t>
        </is>
      </c>
      <c r="F729" s="92" t="inlineStr">
        <is>
          <t>EMISSIONS(AE1079,Settings!$C$13,$D1088)</t>
        </is>
      </c>
    </row>
    <row r="730">
      <c r="A730" s="14" t="n">
        <v>1089</v>
      </c>
      <c r="B730" s="14" t="inlineStr">
        <is>
          <t>co2</t>
        </is>
      </c>
      <c r="C730" s="14" t="inlineStr">
        <is>
          <t>nga</t>
        </is>
      </c>
      <c r="D730" s="14" t="inlineStr">
        <is>
          <t>rod</t>
        </is>
      </c>
      <c r="E730" s="14" t="inlineStr">
        <is>
          <t>EMISSIONS</t>
        </is>
      </c>
      <c r="F730" s="92" t="inlineStr">
        <is>
          <t>EMISSIONS(AE1080,Settings!$C$13,$D1089)</t>
        </is>
      </c>
    </row>
    <row r="731">
      <c r="A731" s="14" t="n">
        <v>1090</v>
      </c>
      <c r="B731" s="14" t="inlineStr">
        <is>
          <t>co2</t>
        </is>
      </c>
      <c r="C731" s="14" t="inlineStr">
        <is>
          <t>gso</t>
        </is>
      </c>
      <c r="D731" s="14" t="inlineStr">
        <is>
          <t>rod</t>
        </is>
      </c>
      <c r="E731" s="14" t="inlineStr">
        <is>
          <t>EMISSIONS</t>
        </is>
      </c>
      <c r="F731" s="92" t="inlineStr">
        <is>
          <t>EMISSIONS(AE1081,Settings!$C$13,$D1090)</t>
        </is>
      </c>
    </row>
    <row r="732">
      <c r="A732" s="14" t="n">
        <v>1091</v>
      </c>
      <c r="B732" s="14" t="inlineStr">
        <is>
          <t>co2</t>
        </is>
      </c>
      <c r="C732" s="14" t="inlineStr">
        <is>
          <t>die</t>
        </is>
      </c>
      <c r="D732" s="14" t="inlineStr">
        <is>
          <t>rod</t>
        </is>
      </c>
      <c r="E732" s="14" t="inlineStr">
        <is>
          <t>EMISSIONS</t>
        </is>
      </c>
      <c r="F732" s="92" t="inlineStr">
        <is>
          <t>EMISSIONS(AE1082,Settings!$C$13,$D1091)</t>
        </is>
      </c>
    </row>
    <row r="733">
      <c r="A733" s="14" t="n">
        <v>1092</v>
      </c>
      <c r="B733" s="14" t="inlineStr">
        <is>
          <t>co2</t>
        </is>
      </c>
      <c r="C733" s="14" t="inlineStr">
        <is>
          <t>lpg</t>
        </is>
      </c>
      <c r="D733" s="14" t="inlineStr">
        <is>
          <t>rod</t>
        </is>
      </c>
      <c r="E733" s="14" t="inlineStr">
        <is>
          <t>EMISSIONS</t>
        </is>
      </c>
      <c r="F733" s="92" t="inlineStr">
        <is>
          <t>EMISSIONS(AE1083,Settings!$C$13,$D1092)</t>
        </is>
      </c>
    </row>
    <row r="734">
      <c r="A734" s="14" t="n">
        <v>1093</v>
      </c>
      <c r="B734" s="14" t="inlineStr">
        <is>
          <t>co2</t>
        </is>
      </c>
      <c r="C734" s="14" t="inlineStr">
        <is>
          <t>ker</t>
        </is>
      </c>
      <c r="D734" s="14" t="inlineStr">
        <is>
          <t>rod</t>
        </is>
      </c>
      <c r="E734" s="14" t="inlineStr">
        <is>
          <t>EMISSIONS</t>
        </is>
      </c>
      <c r="F734" s="92" t="inlineStr">
        <is>
          <t>EMISSIONS(AE1084,Settings!$C$13,$D1093)</t>
        </is>
      </c>
    </row>
    <row r="735">
      <c r="A735" s="14" t="n">
        <v>1094</v>
      </c>
      <c r="B735" s="14" t="inlineStr">
        <is>
          <t>co2</t>
        </is>
      </c>
      <c r="C735" s="14" t="inlineStr">
        <is>
          <t>oop</t>
        </is>
      </c>
      <c r="D735" s="14" t="inlineStr">
        <is>
          <t>rod</t>
        </is>
      </c>
      <c r="E735" s="14" t="inlineStr">
        <is>
          <t>EMISSIONS</t>
        </is>
      </c>
      <c r="F735" s="92" t="inlineStr">
        <is>
          <t>EMISSIONS(AE1085,Settings!$C$13,$D1094)</t>
        </is>
      </c>
    </row>
    <row r="736">
      <c r="A736" s="14" t="n">
        <v>1095</v>
      </c>
      <c r="B736" s="14" t="inlineStr">
        <is>
          <t>co2</t>
        </is>
      </c>
      <c r="C736" s="14" t="inlineStr">
        <is>
          <t>bio</t>
        </is>
      </c>
      <c r="D736" s="14" t="inlineStr">
        <is>
          <t>rod</t>
        </is>
      </c>
      <c r="E736" s="14" t="inlineStr">
        <is>
          <t>EMISSIONS</t>
        </is>
      </c>
      <c r="F736" s="92" t="inlineStr">
        <is>
          <t>EMISSIONS(AE1086,Settings!$C$13,$D1095)</t>
        </is>
      </c>
    </row>
    <row r="737">
      <c r="A737" s="14" t="n">
        <v>1097</v>
      </c>
      <c r="B737" s="14" t="inlineStr">
        <is>
          <t>rtx</t>
        </is>
      </c>
      <c r="C737" s="14" t="inlineStr">
        <is>
          <t>coa</t>
        </is>
      </c>
      <c r="D737" s="14" t="inlineStr">
        <is>
          <t>rod</t>
        </is>
      </c>
      <c r="E737" s="14" t="inlineStr">
        <is>
          <t>REVENUE</t>
        </is>
      </c>
      <c r="F737" s="92" t="inlineStr">
        <is>
          <t>REVENUE(AE1079,Settings!$C$13,INDEX(AE$407:AE$418,$D1097)+INDEX(AE$394:AE$405,$D1097)+AE1052*(1+$E1097))</t>
        </is>
      </c>
    </row>
    <row r="738">
      <c r="A738" s="14" t="n">
        <v>1098</v>
      </c>
      <c r="B738" s="14" t="inlineStr">
        <is>
          <t>rtx</t>
        </is>
      </c>
      <c r="C738" s="14" t="inlineStr">
        <is>
          <t>nga</t>
        </is>
      </c>
      <c r="D738" s="14" t="inlineStr">
        <is>
          <t>rod</t>
        </is>
      </c>
      <c r="E738" s="14" t="inlineStr">
        <is>
          <t>REVENUE</t>
        </is>
      </c>
      <c r="F738" s="92" t="inlineStr">
        <is>
          <t>REVENUE(AE1080,Settings!$C$13,INDEX(AE$407:AE$418,$D1098)+INDEX(AE$394:AE$405,$D1098)+AE1053*(1+$E1098))</t>
        </is>
      </c>
    </row>
    <row r="739">
      <c r="A739" s="14" t="n">
        <v>1099</v>
      </c>
      <c r="B739" s="14" t="inlineStr">
        <is>
          <t>rtx</t>
        </is>
      </c>
      <c r="C739" s="14" t="inlineStr">
        <is>
          <t>gso</t>
        </is>
      </c>
      <c r="D739" s="14" t="inlineStr">
        <is>
          <t>rod</t>
        </is>
      </c>
      <c r="E739" s="14" t="inlineStr">
        <is>
          <t>REVENUE</t>
        </is>
      </c>
      <c r="F739" s="92" t="inlineStr">
        <is>
          <t>REVENUE(AE1081,Settings!$C$13,INDEX(AE$407:AE$418,$D1099)+INDEX(AE$394:AE$405,$D1099)+AE1054*(1+$E1099))</t>
        </is>
      </c>
    </row>
    <row r="740">
      <c r="A740" s="14" t="n">
        <v>1100</v>
      </c>
      <c r="B740" s="14" t="inlineStr">
        <is>
          <t>rtx</t>
        </is>
      </c>
      <c r="C740" s="14" t="inlineStr">
        <is>
          <t>die</t>
        </is>
      </c>
      <c r="D740" s="14" t="inlineStr">
        <is>
          <t>rod</t>
        </is>
      </c>
      <c r="E740" s="14" t="inlineStr">
        <is>
          <t>REVENUE</t>
        </is>
      </c>
      <c r="F740" s="92" t="inlineStr">
        <is>
          <t>REVENUE(AE1082,Settings!$C$13,INDEX(AE$407:AE$418,$D1100)+INDEX(AE$394:AE$405,$D1100)+AE1055*(1+$E1100))</t>
        </is>
      </c>
    </row>
    <row r="741">
      <c r="A741" s="14" t="n">
        <v>1101</v>
      </c>
      <c r="B741" s="14" t="inlineStr">
        <is>
          <t>rtx</t>
        </is>
      </c>
      <c r="C741" s="14" t="inlineStr">
        <is>
          <t>lpg</t>
        </is>
      </c>
      <c r="D741" s="14" t="inlineStr">
        <is>
          <t>rod</t>
        </is>
      </c>
      <c r="E741" s="14" t="inlineStr">
        <is>
          <t>REVENUE</t>
        </is>
      </c>
      <c r="F741" s="92" t="inlineStr">
        <is>
          <t>REVENUE(AE1083,Settings!$C$13,INDEX(AE$407:AE$418,$D1101)+INDEX(AE$394:AE$405,$D1101)+AE1056*(1+$E1101))</t>
        </is>
      </c>
    </row>
    <row r="742">
      <c r="A742" s="14" t="n">
        <v>1102</v>
      </c>
      <c r="B742" s="14" t="inlineStr">
        <is>
          <t>rtx</t>
        </is>
      </c>
      <c r="C742" s="14" t="inlineStr">
        <is>
          <t>ker</t>
        </is>
      </c>
      <c r="D742" s="14" t="inlineStr">
        <is>
          <t>rod</t>
        </is>
      </c>
      <c r="E742" s="14" t="inlineStr">
        <is>
          <t>REVENUE</t>
        </is>
      </c>
      <c r="F742" s="92" t="inlineStr">
        <is>
          <t>REVENUE(AE1084,Settings!$C$13,INDEX(AE$407:AE$418,$D1102)+INDEX(AE$394:AE$405,$D1102)+AE1057*(1+$E1102))</t>
        </is>
      </c>
    </row>
    <row r="743">
      <c r="A743" s="14" t="n">
        <v>1103</v>
      </c>
      <c r="B743" s="14" t="inlineStr">
        <is>
          <t>rtx</t>
        </is>
      </c>
      <c r="C743" s="14" t="inlineStr">
        <is>
          <t>oop</t>
        </is>
      </c>
      <c r="D743" s="14" t="inlineStr">
        <is>
          <t>rod</t>
        </is>
      </c>
      <c r="E743" s="14" t="inlineStr">
        <is>
          <t>REVENUE</t>
        </is>
      </c>
      <c r="F743" s="92" t="inlineStr">
        <is>
          <t>REVENUE(AE1085,Settings!$C$13,INDEX(AE$407:AE$418,$D1103)+INDEX(AE$394:AE$405,$D1103)+AE1058*(1+$E1103))</t>
        </is>
      </c>
    </row>
    <row r="744">
      <c r="A744" s="14" t="n">
        <v>1104</v>
      </c>
      <c r="B744" s="14" t="inlineStr">
        <is>
          <t>rtx</t>
        </is>
      </c>
      <c r="C744" s="14" t="inlineStr">
        <is>
          <t>bio</t>
        </is>
      </c>
      <c r="D744" s="14" t="inlineStr">
        <is>
          <t>rod</t>
        </is>
      </c>
      <c r="E744" s="14" t="inlineStr">
        <is>
          <t>REVENUE</t>
        </is>
      </c>
      <c r="F744" s="92" t="inlineStr">
        <is>
          <t>REVENUE(AE1086,Settings!$C$13,INDEX(AE$407:AE$418,$D1104)+INDEX(AE$394:AE$405,$D1104)+AE1059*(1+$E1104))</t>
        </is>
      </c>
    </row>
    <row r="745">
      <c r="A745" s="14" t="n">
        <v>1106</v>
      </c>
      <c r="B745" s="14" t="inlineStr">
        <is>
          <t>rsub</t>
        </is>
      </c>
      <c r="C745" s="14" t="inlineStr">
        <is>
          <t>coa</t>
        </is>
      </c>
      <c r="D745" s="14" t="inlineStr">
        <is>
          <t>rod</t>
        </is>
      </c>
      <c r="E745" s="14" t="inlineStr">
        <is>
          <t>REVENUE</t>
        </is>
      </c>
      <c r="F745" s="92" t="inlineStr">
        <is>
          <t>REVENUE(AE1079,Settings!$C$13,INDEX(AE$420:AE$431,$D1106))</t>
        </is>
      </c>
    </row>
    <row r="746">
      <c r="A746" s="14" t="n">
        <v>1107</v>
      </c>
      <c r="B746" s="14" t="inlineStr">
        <is>
          <t>rsub</t>
        </is>
      </c>
      <c r="C746" s="14" t="inlineStr">
        <is>
          <t>nga</t>
        </is>
      </c>
      <c r="D746" s="14" t="inlineStr">
        <is>
          <t>rod</t>
        </is>
      </c>
      <c r="E746" s="14" t="inlineStr">
        <is>
          <t>REVENUE</t>
        </is>
      </c>
      <c r="F746" s="92" t="inlineStr">
        <is>
          <t>REVENUE(AE1080,Settings!$C$13,INDEX(AE$420:AE$431,$D1107))</t>
        </is>
      </c>
    </row>
    <row r="747">
      <c r="A747" s="14" t="n">
        <v>1108</v>
      </c>
      <c r="B747" s="14" t="inlineStr">
        <is>
          <t>rsub</t>
        </is>
      </c>
      <c r="C747" s="14" t="inlineStr">
        <is>
          <t>gso</t>
        </is>
      </c>
      <c r="D747" s="14" t="inlineStr">
        <is>
          <t>rod</t>
        </is>
      </c>
      <c r="E747" s="14" t="inlineStr">
        <is>
          <t>REVENUE</t>
        </is>
      </c>
      <c r="F747" s="92" t="inlineStr">
        <is>
          <t>REVENUE(AE1081,Settings!$C$13,INDEX(AE$420:AE$431,$D1108))</t>
        </is>
      </c>
    </row>
    <row r="748">
      <c r="A748" s="14" t="n">
        <v>1109</v>
      </c>
      <c r="B748" s="14" t="inlineStr">
        <is>
          <t>rsub</t>
        </is>
      </c>
      <c r="C748" s="14" t="inlineStr">
        <is>
          <t>die</t>
        </is>
      </c>
      <c r="D748" s="14" t="inlineStr">
        <is>
          <t>rod</t>
        </is>
      </c>
      <c r="E748" s="14" t="inlineStr">
        <is>
          <t>REVENUE</t>
        </is>
      </c>
      <c r="F748" s="92" t="inlineStr">
        <is>
          <t>REVENUE(AE1082,Settings!$C$13,INDEX(AE$420:AE$431,$D1109))</t>
        </is>
      </c>
    </row>
    <row r="749">
      <c r="A749" s="14" t="n">
        <v>1110</v>
      </c>
      <c r="B749" s="14" t="inlineStr">
        <is>
          <t>rsub</t>
        </is>
      </c>
      <c r="C749" s="14" t="inlineStr">
        <is>
          <t>lpg</t>
        </is>
      </c>
      <c r="D749" s="14" t="inlineStr">
        <is>
          <t>rod</t>
        </is>
      </c>
      <c r="E749" s="14" t="inlineStr">
        <is>
          <t>REVENUE</t>
        </is>
      </c>
      <c r="F749" s="92" t="inlineStr">
        <is>
          <t>REVENUE(AE1083,Settings!$C$13,INDEX(AE$420:AE$431,$D1110))</t>
        </is>
      </c>
    </row>
    <row r="750">
      <c r="A750" s="14" t="n">
        <v>1111</v>
      </c>
      <c r="B750" s="14" t="inlineStr">
        <is>
          <t>rsub</t>
        </is>
      </c>
      <c r="C750" s="14" t="inlineStr">
        <is>
          <t>ker</t>
        </is>
      </c>
      <c r="D750" s="14" t="inlineStr">
        <is>
          <t>rod</t>
        </is>
      </c>
      <c r="E750" s="14" t="inlineStr">
        <is>
          <t>REVENUE</t>
        </is>
      </c>
      <c r="F750" s="92" t="inlineStr">
        <is>
          <t>REVENUE(AE1084,Settings!$C$13,INDEX(AE$420:AE$431,$D1111))</t>
        </is>
      </c>
    </row>
    <row r="751">
      <c r="A751" s="14" t="n">
        <v>1112</v>
      </c>
      <c r="B751" s="14" t="inlineStr">
        <is>
          <t>rsub</t>
        </is>
      </c>
      <c r="C751" s="14" t="inlineStr">
        <is>
          <t>oop</t>
        </is>
      </c>
      <c r="D751" s="14" t="inlineStr">
        <is>
          <t>rod</t>
        </is>
      </c>
      <c r="E751" s="14" t="inlineStr">
        <is>
          <t>REVENUE</t>
        </is>
      </c>
      <c r="F751" s="92" t="inlineStr">
        <is>
          <t>REVENUE(AE1085,Settings!$C$13,INDEX(AE$420:AE$431,$D1112))</t>
        </is>
      </c>
    </row>
    <row r="752">
      <c r="A752" s="14" t="n">
        <v>1113</v>
      </c>
      <c r="B752" s="14" t="inlineStr">
        <is>
          <t>rsub</t>
        </is>
      </c>
      <c r="C752" s="14" t="inlineStr">
        <is>
          <t>bio</t>
        </is>
      </c>
      <c r="D752" s="14" t="inlineStr">
        <is>
          <t>rod</t>
        </is>
      </c>
      <c r="E752" s="14" t="inlineStr">
        <is>
          <t>REVENUE</t>
        </is>
      </c>
      <c r="F752" s="92" t="inlineStr">
        <is>
          <t>REVENUE(AE1086,Settings!$C$13,INDEX(AE$420:AE$431,$D1113))</t>
        </is>
      </c>
    </row>
    <row r="753">
      <c r="A753" s="14" t="n">
        <v>1115</v>
      </c>
      <c r="B753" s="14" t="inlineStr">
        <is>
          <t>rnew</t>
        </is>
      </c>
      <c r="C753" s="14" t="inlineStr">
        <is>
          <t>coa</t>
        </is>
      </c>
      <c r="D753" s="14" t="inlineStr">
        <is>
          <t>rod</t>
        </is>
      </c>
      <c r="E753" s="14" t="inlineStr">
        <is>
          <t>REVENUE</t>
        </is>
      </c>
      <c r="F753" s="92" t="inlineStr">
        <is>
          <t>REVENUE(AE1079,Settings!$C$13,NEWREVRATE(AE1007,AE1025,AE1016,AE$201,AE1034,$D1115))</t>
        </is>
      </c>
    </row>
    <row r="754">
      <c r="A754" s="14" t="n">
        <v>1116</v>
      </c>
      <c r="B754" s="14" t="inlineStr">
        <is>
          <t>rnew</t>
        </is>
      </c>
      <c r="C754" s="14" t="inlineStr">
        <is>
          <t>nga</t>
        </is>
      </c>
      <c r="D754" s="14" t="inlineStr">
        <is>
          <t>rod</t>
        </is>
      </c>
      <c r="E754" s="14" t="inlineStr">
        <is>
          <t>REVENUE</t>
        </is>
      </c>
      <c r="F754" s="92" t="inlineStr">
        <is>
          <t>REVENUE(AE1080,Settings!$C$13,NEWREVRATE(AE1008,AE1026,AE1017,AE$201,AE1035,$D1116))</t>
        </is>
      </c>
    </row>
    <row r="755">
      <c r="A755" s="14" t="n">
        <v>1117</v>
      </c>
      <c r="B755" s="14" t="inlineStr">
        <is>
          <t>rnew</t>
        </is>
      </c>
      <c r="C755" s="14" t="inlineStr">
        <is>
          <t>gso</t>
        </is>
      </c>
      <c r="D755" s="14" t="inlineStr">
        <is>
          <t>rod</t>
        </is>
      </c>
      <c r="E755" s="14" t="inlineStr">
        <is>
          <t>REVENUE</t>
        </is>
      </c>
      <c r="F755" s="92" t="inlineStr">
        <is>
          <t>REVENUE(AE1081,Settings!$C$13,NEWREVRATE(AE1009,AE1027,AE1018,AE$201,AE1036,$D1117))</t>
        </is>
      </c>
    </row>
    <row r="756">
      <c r="A756" s="14" t="n">
        <v>1118</v>
      </c>
      <c r="B756" s="14" t="inlineStr">
        <is>
          <t>rnew</t>
        </is>
      </c>
      <c r="C756" s="14" t="inlineStr">
        <is>
          <t>die</t>
        </is>
      </c>
      <c r="D756" s="14" t="inlineStr">
        <is>
          <t>rod</t>
        </is>
      </c>
      <c r="E756" s="14" t="inlineStr">
        <is>
          <t>REVENUE</t>
        </is>
      </c>
      <c r="F756" s="92" t="inlineStr">
        <is>
          <t>REVENUE(AE1082,Settings!$C$13,NEWREVRATE(AE1010,AE1028,AE1019,AE$201,AE1037,$D1118))</t>
        </is>
      </c>
    </row>
    <row r="757">
      <c r="A757" s="14" t="n">
        <v>1119</v>
      </c>
      <c r="B757" s="14" t="inlineStr">
        <is>
          <t>rnew</t>
        </is>
      </c>
      <c r="C757" s="14" t="inlineStr">
        <is>
          <t>lpg</t>
        </is>
      </c>
      <c r="D757" s="14" t="inlineStr">
        <is>
          <t>rod</t>
        </is>
      </c>
      <c r="E757" s="14" t="inlineStr">
        <is>
          <t>REVENUE</t>
        </is>
      </c>
      <c r="F757" s="92" t="inlineStr">
        <is>
          <t>REVENUE(AE1083,Settings!$C$13,NEWREVRATE(AE1011,AE1029,AE1020,AE$201,AE1038,$D1119))</t>
        </is>
      </c>
    </row>
    <row r="758">
      <c r="A758" s="14" t="n">
        <v>1120</v>
      </c>
      <c r="B758" s="14" t="inlineStr">
        <is>
          <t>rnew</t>
        </is>
      </c>
      <c r="C758" s="14" t="inlineStr">
        <is>
          <t>ker</t>
        </is>
      </c>
      <c r="D758" s="14" t="inlineStr">
        <is>
          <t>rod</t>
        </is>
      </c>
      <c r="E758" s="14" t="inlineStr">
        <is>
          <t>REVENUE</t>
        </is>
      </c>
      <c r="F758" s="92" t="inlineStr">
        <is>
          <t>REVENUE(AE1084,Settings!$C$13,NEWREVRATE(AE1012,AE1030,AE1021,AE$201,AE1039,$D1120))</t>
        </is>
      </c>
    </row>
    <row r="759">
      <c r="A759" s="14" t="n">
        <v>1121</v>
      </c>
      <c r="B759" s="14" t="inlineStr">
        <is>
          <t>rnew</t>
        </is>
      </c>
      <c r="C759" s="14" t="inlineStr">
        <is>
          <t>oop</t>
        </is>
      </c>
      <c r="D759" s="14" t="inlineStr">
        <is>
          <t>rod</t>
        </is>
      </c>
      <c r="E759" s="14" t="inlineStr">
        <is>
          <t>REVENUE</t>
        </is>
      </c>
      <c r="F759" s="92" t="inlineStr">
        <is>
          <t>REVENUE(AE1085,Settings!$C$13,NEWREVRATE(AE1013,AE1031,AE1022,AE$201,AE1040,$D1121))</t>
        </is>
      </c>
    </row>
    <row r="760">
      <c r="A760" s="14" t="n">
        <v>1122</v>
      </c>
      <c r="B760" s="14" t="inlineStr">
        <is>
          <t>rnew</t>
        </is>
      </c>
      <c r="C760" s="14" t="inlineStr">
        <is>
          <t>bio</t>
        </is>
      </c>
      <c r="D760" s="14" t="inlineStr">
        <is>
          <t>rod</t>
        </is>
      </c>
      <c r="E760" s="14" t="inlineStr">
        <is>
          <t>REVENUE</t>
        </is>
      </c>
      <c r="F760" s="92" t="inlineStr">
        <is>
          <t>REVENUE(AE1086,Settings!$C$13,NEWREVRATE(AE1014,AE1032,AE1023,AE$201,AE1041,$D1122))</t>
        </is>
      </c>
    </row>
    <row r="761">
      <c r="A761" s="14" t="n">
        <v>1124</v>
      </c>
      <c r="B761" s="14" t="inlineStr">
        <is>
          <t>rxcp</t>
        </is>
      </c>
      <c r="C761" s="14" t="inlineStr">
        <is>
          <t>coa</t>
        </is>
      </c>
      <c r="D761" s="14" t="inlineStr">
        <is>
          <t>rod</t>
        </is>
      </c>
      <c r="E761" s="14" t="inlineStr">
        <is>
          <t>REVENUE</t>
        </is>
      </c>
      <c r="F761" s="92" t="inlineStr">
        <is>
          <t>REVENUE(AE1079,Settings!$C$13,AE1043)</t>
        </is>
      </c>
    </row>
    <row r="762">
      <c r="A762" s="14" t="n">
        <v>1125</v>
      </c>
      <c r="B762" s="14" t="inlineStr">
        <is>
          <t>rxcp</t>
        </is>
      </c>
      <c r="C762" s="14" t="inlineStr">
        <is>
          <t>nga</t>
        </is>
      </c>
      <c r="D762" s="14" t="inlineStr">
        <is>
          <t>rod</t>
        </is>
      </c>
      <c r="E762" s="14" t="inlineStr">
        <is>
          <t>REVENUE</t>
        </is>
      </c>
      <c r="F762" s="92" t="inlineStr">
        <is>
          <t>REVENUE(AE1080,Settings!$C$13,AE1044)</t>
        </is>
      </c>
    </row>
    <row r="763">
      <c r="A763" s="14" t="n">
        <v>1126</v>
      </c>
      <c r="B763" s="14" t="inlineStr">
        <is>
          <t>rxcp</t>
        </is>
      </c>
      <c r="C763" s="14" t="inlineStr">
        <is>
          <t>gso</t>
        </is>
      </c>
      <c r="D763" s="14" t="inlineStr">
        <is>
          <t>rod</t>
        </is>
      </c>
      <c r="E763" s="14" t="inlineStr">
        <is>
          <t>REVENUE</t>
        </is>
      </c>
      <c r="F763" s="92" t="inlineStr">
        <is>
          <t>REVENUE(AE1081,Settings!$C$13,AE1045)</t>
        </is>
      </c>
    </row>
    <row r="764">
      <c r="A764" s="14" t="n">
        <v>1127</v>
      </c>
      <c r="B764" s="14" t="inlineStr">
        <is>
          <t>rxcp</t>
        </is>
      </c>
      <c r="C764" s="14" t="inlineStr">
        <is>
          <t>die</t>
        </is>
      </c>
      <c r="D764" s="14" t="inlineStr">
        <is>
          <t>rod</t>
        </is>
      </c>
      <c r="E764" s="14" t="inlineStr">
        <is>
          <t>REVENUE</t>
        </is>
      </c>
      <c r="F764" s="92" t="inlineStr">
        <is>
          <t>REVENUE(AE1082,Settings!$C$13,AE1046)</t>
        </is>
      </c>
    </row>
    <row r="765">
      <c r="A765" s="14" t="n">
        <v>1128</v>
      </c>
      <c r="B765" s="14" t="inlineStr">
        <is>
          <t>rxcp</t>
        </is>
      </c>
      <c r="C765" s="14" t="inlineStr">
        <is>
          <t>lpg</t>
        </is>
      </c>
      <c r="D765" s="14" t="inlineStr">
        <is>
          <t>rod</t>
        </is>
      </c>
      <c r="E765" s="14" t="inlineStr">
        <is>
          <t>REVENUE</t>
        </is>
      </c>
      <c r="F765" s="92" t="inlineStr">
        <is>
          <t>REVENUE(AE1083,Settings!$C$13,AE1047)</t>
        </is>
      </c>
    </row>
    <row r="766">
      <c r="A766" s="14" t="n">
        <v>1129</v>
      </c>
      <c r="B766" s="14" t="inlineStr">
        <is>
          <t>rxcp</t>
        </is>
      </c>
      <c r="C766" s="14" t="inlineStr">
        <is>
          <t>ker</t>
        </is>
      </c>
      <c r="D766" s="14" t="inlineStr">
        <is>
          <t>rod</t>
        </is>
      </c>
      <c r="E766" s="14" t="inlineStr">
        <is>
          <t>REVENUE</t>
        </is>
      </c>
      <c r="F766" s="92" t="inlineStr">
        <is>
          <t>REVENUE(AE1084,Settings!$C$13,AE1048)</t>
        </is>
      </c>
    </row>
    <row r="767">
      <c r="A767" s="14" t="n">
        <v>1130</v>
      </c>
      <c r="B767" s="14" t="inlineStr">
        <is>
          <t>rxcp</t>
        </is>
      </c>
      <c r="C767" s="14" t="inlineStr">
        <is>
          <t>oop</t>
        </is>
      </c>
      <c r="D767" s="14" t="inlineStr">
        <is>
          <t>rod</t>
        </is>
      </c>
      <c r="E767" s="14" t="inlineStr">
        <is>
          <t>REVENUE</t>
        </is>
      </c>
      <c r="F767" s="92" t="inlineStr">
        <is>
          <t>REVENUE(AE1085,Settings!$C$13,AE1049)</t>
        </is>
      </c>
    </row>
    <row r="768">
      <c r="A768" s="14" t="n">
        <v>1131</v>
      </c>
      <c r="B768" s="14" t="inlineStr">
        <is>
          <t>rxcp</t>
        </is>
      </c>
      <c r="C768" s="14" t="inlineStr">
        <is>
          <t>bio</t>
        </is>
      </c>
      <c r="D768" s="14" t="inlineStr">
        <is>
          <t>rod</t>
        </is>
      </c>
      <c r="E768" s="14" t="inlineStr">
        <is>
          <t>REVENUE</t>
        </is>
      </c>
      <c r="F768" s="92" t="inlineStr">
        <is>
          <t>REVENUE(AE1086,Settings!$C$13,AE1050)</t>
        </is>
      </c>
    </row>
    <row r="769">
      <c r="A769" s="14" t="n">
        <v>1135</v>
      </c>
      <c r="B769" s="14" t="inlineStr">
        <is>
          <t>ctxnew</t>
        </is>
      </c>
      <c r="C769" s="14" t="inlineStr">
        <is>
          <t>coa</t>
        </is>
      </c>
      <c r="D769" s="14" t="inlineStr">
        <is>
          <t>ral</t>
        </is>
      </c>
      <c r="E769" s="14" t="inlineStr">
        <is>
          <t>CARBONTAX</t>
        </is>
      </c>
      <c r="F769" s="92" t="inlineStr">
        <is>
          <t>CARBONTAX(INDEX(AE$263:AE$279,$F1135),$D1135,INDEX(AE$23:AE$30,$E1135))</t>
        </is>
      </c>
    </row>
    <row r="770">
      <c r="A770" s="14" t="n">
        <v>1136</v>
      </c>
      <c r="B770" s="14" t="inlineStr">
        <is>
          <t>ctxnew</t>
        </is>
      </c>
      <c r="C770" s="14" t="inlineStr">
        <is>
          <t>nga</t>
        </is>
      </c>
      <c r="D770" s="14" t="inlineStr">
        <is>
          <t>ral</t>
        </is>
      </c>
      <c r="E770" s="14" t="inlineStr">
        <is>
          <t>CARBONTAX</t>
        </is>
      </c>
      <c r="F770" s="92" t="inlineStr">
        <is>
          <t>CARBONTAX(INDEX(AE$263:AE$279,$F1136),$D1136,INDEX(AE$23:AE$30,$E1136))</t>
        </is>
      </c>
    </row>
    <row r="771">
      <c r="A771" s="14" t="n">
        <v>1137</v>
      </c>
      <c r="B771" s="14" t="inlineStr">
        <is>
          <t>ctxnew</t>
        </is>
      </c>
      <c r="C771" s="14" t="inlineStr">
        <is>
          <t>gso</t>
        </is>
      </c>
      <c r="D771" s="14" t="inlineStr">
        <is>
          <t>ral</t>
        </is>
      </c>
      <c r="E771" s="14" t="inlineStr">
        <is>
          <t>CARBONTAX</t>
        </is>
      </c>
      <c r="F771" s="92" t="inlineStr">
        <is>
          <t>CARBONTAX(INDEX(AE$263:AE$279,$F1137),$D1137,INDEX(AE$23:AE$30,$E1137))</t>
        </is>
      </c>
    </row>
    <row r="772">
      <c r="A772" s="14" t="n">
        <v>1138</v>
      </c>
      <c r="B772" s="14" t="inlineStr">
        <is>
          <t>ctxnew</t>
        </is>
      </c>
      <c r="C772" s="14" t="inlineStr">
        <is>
          <t>die</t>
        </is>
      </c>
      <c r="D772" s="14" t="inlineStr">
        <is>
          <t>ral</t>
        </is>
      </c>
      <c r="E772" s="14" t="inlineStr">
        <is>
          <t>CARBONTAX</t>
        </is>
      </c>
      <c r="F772" s="92" t="inlineStr">
        <is>
          <t>CARBONTAX(INDEX(AE$263:AE$279,$F1138),$D1138,INDEX(AE$23:AE$30,$E1138))</t>
        </is>
      </c>
    </row>
    <row r="773">
      <c r="A773" s="14" t="n">
        <v>1139</v>
      </c>
      <c r="B773" s="14" t="inlineStr">
        <is>
          <t>ctxnew</t>
        </is>
      </c>
      <c r="C773" s="14" t="inlineStr">
        <is>
          <t>lpg</t>
        </is>
      </c>
      <c r="D773" s="14" t="inlineStr">
        <is>
          <t>ral</t>
        </is>
      </c>
      <c r="E773" s="14" t="inlineStr">
        <is>
          <t>CARBONTAX</t>
        </is>
      </c>
      <c r="F773" s="92" t="inlineStr">
        <is>
          <t>CARBONTAX(INDEX(AE$263:AE$279,$F1139),$D1139,INDEX(AE$23:AE$30,$E1139))</t>
        </is>
      </c>
    </row>
    <row r="774">
      <c r="A774" s="14" t="n">
        <v>1140</v>
      </c>
      <c r="B774" s="14" t="inlineStr">
        <is>
          <t>ctxnew</t>
        </is>
      </c>
      <c r="C774" s="14" t="inlineStr">
        <is>
          <t>ker</t>
        </is>
      </c>
      <c r="D774" s="14" t="inlineStr">
        <is>
          <t>ral</t>
        </is>
      </c>
      <c r="E774" s="14" t="inlineStr">
        <is>
          <t>CARBONTAX</t>
        </is>
      </c>
      <c r="F774" s="92" t="inlineStr">
        <is>
          <t>CARBONTAX(INDEX(AE$263:AE$279,$F1140),$D1140,INDEX(AE$23:AE$30,$E1140))</t>
        </is>
      </c>
    </row>
    <row r="775">
      <c r="A775" s="14" t="n">
        <v>1141</v>
      </c>
      <c r="B775" s="14" t="inlineStr">
        <is>
          <t>ctxnew</t>
        </is>
      </c>
      <c r="C775" s="14" t="inlineStr">
        <is>
          <t>oop</t>
        </is>
      </c>
      <c r="D775" s="14" t="inlineStr">
        <is>
          <t>ral</t>
        </is>
      </c>
      <c r="E775" s="14" t="inlineStr">
        <is>
          <t>CARBONTAX</t>
        </is>
      </c>
      <c r="F775" s="92" t="inlineStr">
        <is>
          <t>CARBONTAX(INDEX(AE$263:AE$279,$F1141),$D1141,INDEX(AE$23:AE$30,$E1141))</t>
        </is>
      </c>
    </row>
    <row r="776">
      <c r="A776" s="14" t="n">
        <v>1142</v>
      </c>
      <c r="B776" s="14" t="inlineStr">
        <is>
          <t>ctxnew</t>
        </is>
      </c>
      <c r="C776" s="14" t="inlineStr">
        <is>
          <t>bio</t>
        </is>
      </c>
      <c r="D776" s="14" t="inlineStr">
        <is>
          <t>ral</t>
        </is>
      </c>
      <c r="E776" s="14" t="inlineStr">
        <is>
          <t>CARBONTAX</t>
        </is>
      </c>
      <c r="F776" s="92" t="inlineStr">
        <is>
          <t>CARBONTAX(INDEX(AE$263:AE$279,$F1142),$D1142,INDEX(AE$23:AE$30,$E1142))</t>
        </is>
      </c>
    </row>
    <row r="777">
      <c r="A777" s="14" t="n">
        <v>1144</v>
      </c>
      <c r="B777" s="14" t="inlineStr">
        <is>
          <t>ets</t>
        </is>
      </c>
      <c r="C777" s="14" t="inlineStr">
        <is>
          <t>coa</t>
        </is>
      </c>
      <c r="D777" s="14" t="inlineStr">
        <is>
          <t>ral</t>
        </is>
      </c>
      <c r="E777" s="14" t="inlineStr">
        <is>
          <t>ETSCOST</t>
        </is>
      </c>
      <c r="F777" s="92" t="inlineStr">
        <is>
          <t>ETSCOST(INDEX(AE$280:AE$296,$E1144),$D1144)</t>
        </is>
      </c>
    </row>
    <row r="778">
      <c r="A778" s="14" t="n">
        <v>1145</v>
      </c>
      <c r="B778" s="14" t="inlineStr">
        <is>
          <t>ets</t>
        </is>
      </c>
      <c r="C778" s="14" t="inlineStr">
        <is>
          <t>nga</t>
        </is>
      </c>
      <c r="D778" s="14" t="inlineStr">
        <is>
          <t>ral</t>
        </is>
      </c>
      <c r="E778" s="14" t="inlineStr">
        <is>
          <t>ETSCOST</t>
        </is>
      </c>
      <c r="F778" s="92" t="inlineStr">
        <is>
          <t>ETSCOST(INDEX(AE$280:AE$296,$E1145),$D1145)</t>
        </is>
      </c>
    </row>
    <row r="779">
      <c r="A779" s="14" t="n">
        <v>1146</v>
      </c>
      <c r="B779" s="14" t="inlineStr">
        <is>
          <t>ets</t>
        </is>
      </c>
      <c r="C779" s="14" t="inlineStr">
        <is>
          <t>gso</t>
        </is>
      </c>
      <c r="D779" s="14" t="inlineStr">
        <is>
          <t>ral</t>
        </is>
      </c>
      <c r="E779" s="14" t="inlineStr">
        <is>
          <t>ETSCOST</t>
        </is>
      </c>
      <c r="F779" s="92" t="inlineStr">
        <is>
          <t>ETSCOST(INDEX(AE$280:AE$296,$E1146),$D1146)</t>
        </is>
      </c>
    </row>
    <row r="780">
      <c r="A780" s="14" t="n">
        <v>1147</v>
      </c>
      <c r="B780" s="14" t="inlineStr">
        <is>
          <t>ets</t>
        </is>
      </c>
      <c r="C780" s="14" t="inlineStr">
        <is>
          <t>die</t>
        </is>
      </c>
      <c r="D780" s="14" t="inlineStr">
        <is>
          <t>ral</t>
        </is>
      </c>
      <c r="E780" s="14" t="inlineStr">
        <is>
          <t>ETSCOST</t>
        </is>
      </c>
      <c r="F780" s="92" t="inlineStr">
        <is>
          <t>ETSCOST(INDEX(AE$280:AE$296,$E1147),$D1147)</t>
        </is>
      </c>
    </row>
    <row r="781">
      <c r="A781" s="14" t="n">
        <v>1148</v>
      </c>
      <c r="B781" s="14" t="inlineStr">
        <is>
          <t>ets</t>
        </is>
      </c>
      <c r="C781" s="14" t="inlineStr">
        <is>
          <t>lpg</t>
        </is>
      </c>
      <c r="D781" s="14" t="inlineStr">
        <is>
          <t>ral</t>
        </is>
      </c>
      <c r="E781" s="14" t="inlineStr">
        <is>
          <t>ETSCOST</t>
        </is>
      </c>
      <c r="F781" s="92" t="inlineStr">
        <is>
          <t>ETSCOST(INDEX(AE$280:AE$296,$E1148),$D1148)</t>
        </is>
      </c>
    </row>
    <row r="782">
      <c r="A782" s="14" t="n">
        <v>1149</v>
      </c>
      <c r="B782" s="14" t="inlineStr">
        <is>
          <t>ets</t>
        </is>
      </c>
      <c r="C782" s="14" t="inlineStr">
        <is>
          <t>ker</t>
        </is>
      </c>
      <c r="D782" s="14" t="inlineStr">
        <is>
          <t>ral</t>
        </is>
      </c>
      <c r="E782" s="14" t="inlineStr">
        <is>
          <t>ETSCOST</t>
        </is>
      </c>
      <c r="F782" s="92" t="inlineStr">
        <is>
          <t>ETSCOST(INDEX(AE$280:AE$296,$E1149),$D1149)</t>
        </is>
      </c>
    </row>
    <row r="783">
      <c r="A783" s="14" t="n">
        <v>1150</v>
      </c>
      <c r="B783" s="14" t="inlineStr">
        <is>
          <t>ets</t>
        </is>
      </c>
      <c r="C783" s="14" t="inlineStr">
        <is>
          <t>oop</t>
        </is>
      </c>
      <c r="D783" s="14" t="inlineStr">
        <is>
          <t>ral</t>
        </is>
      </c>
      <c r="E783" s="14" t="inlineStr">
        <is>
          <t>ETSCOST</t>
        </is>
      </c>
      <c r="F783" s="92" t="inlineStr">
        <is>
          <t>ETSCOST(INDEX(AE$280:AE$296,$E1150),$D1150)</t>
        </is>
      </c>
    </row>
    <row r="784">
      <c r="A784" s="14" t="n">
        <v>1151</v>
      </c>
      <c r="B784" s="14" t="inlineStr">
        <is>
          <t>ets</t>
        </is>
      </c>
      <c r="C784" s="14" t="inlineStr">
        <is>
          <t>bio</t>
        </is>
      </c>
      <c r="D784" s="14" t="inlineStr">
        <is>
          <t>ral</t>
        </is>
      </c>
      <c r="E784" s="14" t="inlineStr">
        <is>
          <t>ETSCOST</t>
        </is>
      </c>
      <c r="F784" s="92" t="inlineStr">
        <is>
          <t>ETSCOST(INDEX(AE$280:AE$296,$E1151),$D1151)</t>
        </is>
      </c>
    </row>
    <row r="785">
      <c r="A785" s="14" t="n">
        <v>1153</v>
      </c>
      <c r="B785" s="14" t="inlineStr">
        <is>
          <t>ntx</t>
        </is>
      </c>
      <c r="C785" s="14" t="inlineStr">
        <is>
          <t>coa</t>
        </is>
      </c>
      <c r="D785" s="14" t="inlineStr">
        <is>
          <t>ral</t>
        </is>
      </c>
      <c r="E785" s="14" t="inlineStr">
        <is>
          <t>NEWEXCISE</t>
        </is>
      </c>
      <c r="F785" s="92" t="inlineStr">
        <is>
          <t>NEWEXCISE(INDEX(AE$80:AE$93,$D1153),$E1153)</t>
        </is>
      </c>
    </row>
    <row r="786">
      <c r="A786" s="14" t="n">
        <v>1154</v>
      </c>
      <c r="B786" s="14" t="inlineStr">
        <is>
          <t>ntx</t>
        </is>
      </c>
      <c r="C786" s="14" t="inlineStr">
        <is>
          <t>nga</t>
        </is>
      </c>
      <c r="D786" s="14" t="inlineStr">
        <is>
          <t>ral</t>
        </is>
      </c>
      <c r="E786" s="14" t="inlineStr">
        <is>
          <t>NEWEXCISE</t>
        </is>
      </c>
      <c r="F786" s="92" t="inlineStr">
        <is>
          <t>NEWEXCISE(INDEX(AE$80:AE$93,$D1154),$E1154)</t>
        </is>
      </c>
    </row>
    <row r="787">
      <c r="A787" s="14" t="n">
        <v>1155</v>
      </c>
      <c r="B787" s="14" t="inlineStr">
        <is>
          <t>ntx</t>
        </is>
      </c>
      <c r="C787" s="14" t="inlineStr">
        <is>
          <t>gso</t>
        </is>
      </c>
      <c r="D787" s="14" t="inlineStr">
        <is>
          <t>ral</t>
        </is>
      </c>
      <c r="E787" s="14" t="inlineStr">
        <is>
          <t>NEWEXCISE</t>
        </is>
      </c>
      <c r="F787" s="92" t="inlineStr">
        <is>
          <t>NEWEXCISE(INDEX(AE$80:AE$93,$D1155),$E1155)</t>
        </is>
      </c>
    </row>
    <row r="788">
      <c r="A788" s="14" t="n">
        <v>1156</v>
      </c>
      <c r="B788" s="14" t="inlineStr">
        <is>
          <t>ntx</t>
        </is>
      </c>
      <c r="C788" s="14" t="inlineStr">
        <is>
          <t>die</t>
        </is>
      </c>
      <c r="D788" s="14" t="inlineStr">
        <is>
          <t>ral</t>
        </is>
      </c>
      <c r="E788" s="14" t="inlineStr">
        <is>
          <t>NEWEXCISE</t>
        </is>
      </c>
      <c r="F788" s="92" t="inlineStr">
        <is>
          <t>NEWEXCISE(INDEX(AE$80:AE$93,$D1156),$E1156)</t>
        </is>
      </c>
    </row>
    <row r="789">
      <c r="A789" s="14" t="n">
        <v>1157</v>
      </c>
      <c r="B789" s="14" t="inlineStr">
        <is>
          <t>ntx</t>
        </is>
      </c>
      <c r="C789" s="14" t="inlineStr">
        <is>
          <t>lpg</t>
        </is>
      </c>
      <c r="D789" s="14" t="inlineStr">
        <is>
          <t>ral</t>
        </is>
      </c>
      <c r="E789" s="14" t="inlineStr">
        <is>
          <t>NEWEXCISE</t>
        </is>
      </c>
      <c r="F789" s="92" t="inlineStr">
        <is>
          <t>NEWEXCISE(INDEX(AE$80:AE$93,$D1157),$E1157)</t>
        </is>
      </c>
    </row>
    <row r="790">
      <c r="A790" s="14" t="n">
        <v>1158</v>
      </c>
      <c r="B790" s="14" t="inlineStr">
        <is>
          <t>ntx</t>
        </is>
      </c>
      <c r="C790" s="14" t="inlineStr">
        <is>
          <t>ker</t>
        </is>
      </c>
      <c r="D790" s="14" t="inlineStr">
        <is>
          <t>ral</t>
        </is>
      </c>
      <c r="E790" s="14" t="inlineStr">
        <is>
          <t>NEWEXCISE</t>
        </is>
      </c>
      <c r="F790" s="92" t="inlineStr">
        <is>
          <t>NEWEXCISE(INDEX(AE$80:AE$93,$D1158),$E1158)</t>
        </is>
      </c>
    </row>
    <row r="791">
      <c r="A791" s="14" t="n">
        <v>1159</v>
      </c>
      <c r="B791" s="14" t="inlineStr">
        <is>
          <t>ntx</t>
        </is>
      </c>
      <c r="C791" s="14" t="inlineStr">
        <is>
          <t>oop</t>
        </is>
      </c>
      <c r="D791" s="14" t="inlineStr">
        <is>
          <t>ral</t>
        </is>
      </c>
      <c r="E791" s="14" t="inlineStr">
        <is>
          <t>NEWEXCISE</t>
        </is>
      </c>
      <c r="F791" s="92" t="inlineStr">
        <is>
          <t>NEWEXCISE(INDEX(AE$80:AE$93,$D1159),$E1159)</t>
        </is>
      </c>
    </row>
    <row r="792">
      <c r="A792" s="14" t="n">
        <v>1160</v>
      </c>
      <c r="B792" s="14" t="inlineStr">
        <is>
          <t>ntx</t>
        </is>
      </c>
      <c r="C792" s="14" t="inlineStr">
        <is>
          <t>bio</t>
        </is>
      </c>
      <c r="D792" s="14" t="inlineStr">
        <is>
          <t>ral</t>
        </is>
      </c>
      <c r="E792" s="14" t="inlineStr">
        <is>
          <t>NEWEXCISE</t>
        </is>
      </c>
      <c r="F792" s="92" t="inlineStr">
        <is>
          <t>NEWEXCISE(INDEX(AE$80:AE$93,$D1160),$E1160)</t>
        </is>
      </c>
    </row>
    <row r="793">
      <c r="A793" s="14" t="n">
        <v>1162</v>
      </c>
      <c r="B793" s="14" t="inlineStr">
        <is>
          <t>nce</t>
        </is>
      </c>
      <c r="C793" s="14" t="inlineStr">
        <is>
          <t>coa</t>
        </is>
      </c>
      <c r="D793" s="14" t="inlineStr">
        <is>
          <t>ral</t>
        </is>
      </c>
      <c r="E793" s="14" t="inlineStr">
        <is>
          <t>NEWPOLICY</t>
        </is>
      </c>
      <c r="F793" s="92" t="inlineStr">
        <is>
          <t>NEWPOLICY(AE1135,AE1144,AE1153)</t>
        </is>
      </c>
    </row>
    <row r="794">
      <c r="A794" s="14" t="n">
        <v>1163</v>
      </c>
      <c r="B794" s="14" t="inlineStr">
        <is>
          <t>nce</t>
        </is>
      </c>
      <c r="C794" s="14" t="inlineStr">
        <is>
          <t>nga</t>
        </is>
      </c>
      <c r="D794" s="14" t="inlineStr">
        <is>
          <t>ral</t>
        </is>
      </c>
      <c r="E794" s="14" t="inlineStr">
        <is>
          <t>NEWPOLICY</t>
        </is>
      </c>
      <c r="F794" s="92" t="inlineStr">
        <is>
          <t>NEWPOLICY(AE1136,AE1145,AE1154)</t>
        </is>
      </c>
    </row>
    <row r="795">
      <c r="A795" s="14" t="n">
        <v>1164</v>
      </c>
      <c r="B795" s="14" t="inlineStr">
        <is>
          <t>nce</t>
        </is>
      </c>
      <c r="C795" s="14" t="inlineStr">
        <is>
          <t>gso</t>
        </is>
      </c>
      <c r="D795" s="14" t="inlineStr">
        <is>
          <t>ral</t>
        </is>
      </c>
      <c r="E795" s="14" t="inlineStr">
        <is>
          <t>NEWPOLICY</t>
        </is>
      </c>
      <c r="F795" s="92" t="inlineStr">
        <is>
          <t>NEWPOLICY(AE1137,AE1146,AE1155)</t>
        </is>
      </c>
    </row>
    <row r="796">
      <c r="A796" s="14" t="n">
        <v>1165</v>
      </c>
      <c r="B796" s="14" t="inlineStr">
        <is>
          <t>nce</t>
        </is>
      </c>
      <c r="C796" s="14" t="inlineStr">
        <is>
          <t>die</t>
        </is>
      </c>
      <c r="D796" s="14" t="inlineStr">
        <is>
          <t>ral</t>
        </is>
      </c>
      <c r="E796" s="14" t="inlineStr">
        <is>
          <t>NEWPOLICY</t>
        </is>
      </c>
      <c r="F796" s="92" t="inlineStr">
        <is>
          <t>NEWPOLICY(AE1138,AE1147,AE1156)</t>
        </is>
      </c>
    </row>
    <row r="797">
      <c r="A797" s="14" t="n">
        <v>1166</v>
      </c>
      <c r="B797" s="14" t="inlineStr">
        <is>
          <t>nce</t>
        </is>
      </c>
      <c r="C797" s="14" t="inlineStr">
        <is>
          <t>lpg</t>
        </is>
      </c>
      <c r="D797" s="14" t="inlineStr">
        <is>
          <t>ral</t>
        </is>
      </c>
      <c r="E797" s="14" t="inlineStr">
        <is>
          <t>NEWPOLICY</t>
        </is>
      </c>
      <c r="F797" s="92" t="inlineStr">
        <is>
          <t>NEWPOLICY(AE1139,AE1148,AE1157)</t>
        </is>
      </c>
    </row>
    <row r="798">
      <c r="A798" s="14" t="n">
        <v>1167</v>
      </c>
      <c r="B798" s="14" t="inlineStr">
        <is>
          <t>nce</t>
        </is>
      </c>
      <c r="C798" s="14" t="inlineStr">
        <is>
          <t>ker</t>
        </is>
      </c>
      <c r="D798" s="14" t="inlineStr">
        <is>
          <t>ral</t>
        </is>
      </c>
      <c r="E798" s="14" t="inlineStr">
        <is>
          <t>NEWPOLICY</t>
        </is>
      </c>
      <c r="F798" s="92" t="inlineStr">
        <is>
          <t>NEWPOLICY(AE1140,AE1149,AE1158)</t>
        </is>
      </c>
    </row>
    <row r="799">
      <c r="A799" s="14" t="n">
        <v>1168</v>
      </c>
      <c r="B799" s="14" t="inlineStr">
        <is>
          <t>nce</t>
        </is>
      </c>
      <c r="C799" s="14" t="inlineStr">
        <is>
          <t>oop</t>
        </is>
      </c>
      <c r="D799" s="14" t="inlineStr">
        <is>
          <t>ral</t>
        </is>
      </c>
      <c r="E799" s="14" t="inlineStr">
        <is>
          <t>NEWPOLICY</t>
        </is>
      </c>
      <c r="F799" s="92" t="inlineStr">
        <is>
          <t>NEWPOLICY(AE1141,AE1150,AE1159)</t>
        </is>
      </c>
    </row>
    <row r="800">
      <c r="A800" s="14" t="n">
        <v>1169</v>
      </c>
      <c r="B800" s="14" t="inlineStr">
        <is>
          <t>nce</t>
        </is>
      </c>
      <c r="C800" s="14" t="inlineStr">
        <is>
          <t>bio</t>
        </is>
      </c>
      <c r="D800" s="14" t="inlineStr">
        <is>
          <t>ral</t>
        </is>
      </c>
      <c r="E800" s="14" t="inlineStr">
        <is>
          <t>NEWPOLICY</t>
        </is>
      </c>
      <c r="F800" s="92" t="inlineStr">
        <is>
          <t>NEWPOLICY(AE1142,AE1151,AE1160)</t>
        </is>
      </c>
    </row>
    <row r="801">
      <c r="A801" s="14" t="n">
        <v>1171</v>
      </c>
      <c r="B801" s="14" t="inlineStr">
        <is>
          <t>xcp</t>
        </is>
      </c>
      <c r="C801" s="14" t="inlineStr">
        <is>
          <t>coa</t>
        </is>
      </c>
      <c r="D801" s="14" t="inlineStr">
        <is>
          <t>ral</t>
        </is>
      </c>
      <c r="E801" s="14" t="inlineStr">
        <is>
          <t>XCARBON</t>
        </is>
      </c>
      <c r="F801" s="92" t="inlineStr">
        <is>
          <t>XCARBON($D1171,$E1171,AE$321,$F1171,AE$324)</t>
        </is>
      </c>
    </row>
    <row r="802">
      <c r="A802" s="14" t="n">
        <v>1172</v>
      </c>
      <c r="B802" s="14" t="inlineStr">
        <is>
          <t>xcp</t>
        </is>
      </c>
      <c r="C802" s="14" t="inlineStr">
        <is>
          <t>nga</t>
        </is>
      </c>
      <c r="D802" s="14" t="inlineStr">
        <is>
          <t>ral</t>
        </is>
      </c>
      <c r="E802" s="14" t="inlineStr">
        <is>
          <t>XCARBON</t>
        </is>
      </c>
      <c r="F802" s="92" t="inlineStr">
        <is>
          <t>XCARBON($D1172,$E1172,AE$321,$F1172,AE$324)</t>
        </is>
      </c>
    </row>
    <row r="803">
      <c r="A803" s="14" t="n">
        <v>1173</v>
      </c>
      <c r="B803" s="14" t="inlineStr">
        <is>
          <t>xcp</t>
        </is>
      </c>
      <c r="C803" s="14" t="inlineStr">
        <is>
          <t>gso</t>
        </is>
      </c>
      <c r="D803" s="14" t="inlineStr">
        <is>
          <t>ral</t>
        </is>
      </c>
      <c r="E803" s="14" t="inlineStr">
        <is>
          <t>XCARBON</t>
        </is>
      </c>
      <c r="F803" s="92" t="inlineStr">
        <is>
          <t>XCARBON($D1173,$E1173,AE$321,$F1173,AE$324)</t>
        </is>
      </c>
    </row>
    <row r="804">
      <c r="A804" s="14" t="n">
        <v>1174</v>
      </c>
      <c r="B804" s="14" t="inlineStr">
        <is>
          <t>xcp</t>
        </is>
      </c>
      <c r="C804" s="14" t="inlineStr">
        <is>
          <t>die</t>
        </is>
      </c>
      <c r="D804" s="14" t="inlineStr">
        <is>
          <t>ral</t>
        </is>
      </c>
      <c r="E804" s="14" t="inlineStr">
        <is>
          <t>XCARBON</t>
        </is>
      </c>
      <c r="F804" s="92" t="inlineStr">
        <is>
          <t>XCARBON($D1174,$E1174,AE$321,$F1174,AE$324)</t>
        </is>
      </c>
    </row>
    <row r="805">
      <c r="A805" s="14" t="n">
        <v>1175</v>
      </c>
      <c r="B805" s="14" t="inlineStr">
        <is>
          <t>xcp</t>
        </is>
      </c>
      <c r="C805" s="14" t="inlineStr">
        <is>
          <t>lpg</t>
        </is>
      </c>
      <c r="D805" s="14" t="inlineStr">
        <is>
          <t>ral</t>
        </is>
      </c>
      <c r="E805" s="14" t="inlineStr">
        <is>
          <t>XCARBON</t>
        </is>
      </c>
      <c r="F805" s="92" t="inlineStr">
        <is>
          <t>XCARBON($D1175,$E1175,AE$321,$F1175,AE$324)</t>
        </is>
      </c>
    </row>
    <row r="806">
      <c r="A806" s="14" t="n">
        <v>1176</v>
      </c>
      <c r="B806" s="14" t="inlineStr">
        <is>
          <t>xcp</t>
        </is>
      </c>
      <c r="C806" s="14" t="inlineStr">
        <is>
          <t>ker</t>
        </is>
      </c>
      <c r="D806" s="14" t="inlineStr">
        <is>
          <t>ral</t>
        </is>
      </c>
      <c r="E806" s="14" t="inlineStr">
        <is>
          <t>XCARBON</t>
        </is>
      </c>
      <c r="F806" s="92" t="inlineStr">
        <is>
          <t>XCARBON($D1176,$E1176,AE$321,$F1176,AE$324)</t>
        </is>
      </c>
    </row>
    <row r="807">
      <c r="A807" s="14" t="n">
        <v>1177</v>
      </c>
      <c r="B807" s="14" t="inlineStr">
        <is>
          <t>xcp</t>
        </is>
      </c>
      <c r="C807" s="14" t="inlineStr">
        <is>
          <t>oop</t>
        </is>
      </c>
      <c r="D807" s="14" t="inlineStr">
        <is>
          <t>ral</t>
        </is>
      </c>
      <c r="E807" s="14" t="inlineStr">
        <is>
          <t>XCARBON</t>
        </is>
      </c>
      <c r="F807" s="92" t="inlineStr">
        <is>
          <t>XCARBON($D1177,$E1177,AE$321,$F1177,AE$324)</t>
        </is>
      </c>
    </row>
    <row r="808">
      <c r="A808" s="14" t="n">
        <v>1178</v>
      </c>
      <c r="B808" s="14" t="inlineStr">
        <is>
          <t>xcp</t>
        </is>
      </c>
      <c r="C808" s="14" t="inlineStr">
        <is>
          <t>bio</t>
        </is>
      </c>
      <c r="D808" s="14" t="inlineStr">
        <is>
          <t>ral</t>
        </is>
      </c>
      <c r="E808" s="14" t="inlineStr">
        <is>
          <t>XCARBON</t>
        </is>
      </c>
      <c r="F808" s="92" t="inlineStr">
        <is>
          <t>XCARBON($D1178,$E1178,AE$321,$F1178,AE$324)</t>
        </is>
      </c>
    </row>
    <row r="809">
      <c r="A809" s="14" t="n">
        <v>1180</v>
      </c>
      <c r="B809" s="14" t="inlineStr">
        <is>
          <t>xcpd</t>
        </is>
      </c>
      <c r="C809" s="14" t="inlineStr">
        <is>
          <t>coa</t>
        </is>
      </c>
      <c r="D809" s="14" t="inlineStr">
        <is>
          <t>ral</t>
        </is>
      </c>
      <c r="E809" s="14" t="inlineStr">
        <is>
          <t>XCARBON</t>
        </is>
      </c>
      <c r="F809" s="92" t="inlineStr">
        <is>
          <t>XCARBON($D1180,$E1180,(AE$321-AE$322),$F1180,(AE$324-AE$325))</t>
        </is>
      </c>
    </row>
    <row r="810">
      <c r="A810" s="14" t="n">
        <v>1181</v>
      </c>
      <c r="B810" s="14" t="inlineStr">
        <is>
          <t>xcpd</t>
        </is>
      </c>
      <c r="C810" s="14" t="inlineStr">
        <is>
          <t>nga</t>
        </is>
      </c>
      <c r="D810" s="14" t="inlineStr">
        <is>
          <t>ral</t>
        </is>
      </c>
      <c r="E810" s="14" t="inlineStr">
        <is>
          <t>XCARBON</t>
        </is>
      </c>
      <c r="F810" s="92" t="inlineStr">
        <is>
          <t>XCARBON($D1181,$E1181,(AE$321-AE$322),$F1181,(AE$324-AE$325))</t>
        </is>
      </c>
    </row>
    <row r="811">
      <c r="A811" s="14" t="n">
        <v>1182</v>
      </c>
      <c r="B811" s="14" t="inlineStr">
        <is>
          <t>xcpd</t>
        </is>
      </c>
      <c r="C811" s="14" t="inlineStr">
        <is>
          <t>gso</t>
        </is>
      </c>
      <c r="D811" s="14" t="inlineStr">
        <is>
          <t>ral</t>
        </is>
      </c>
      <c r="E811" s="14" t="inlineStr">
        <is>
          <t>XCARBON</t>
        </is>
      </c>
      <c r="F811" s="92" t="inlineStr">
        <is>
          <t>XCARBON($D1182,$E1182,(AE$321-AE$322),$F1182,(AE$324-AE$325))</t>
        </is>
      </c>
    </row>
    <row r="812">
      <c r="A812" s="14" t="n">
        <v>1183</v>
      </c>
      <c r="B812" s="14" t="inlineStr">
        <is>
          <t>xcpd</t>
        </is>
      </c>
      <c r="C812" s="14" t="inlineStr">
        <is>
          <t>die</t>
        </is>
      </c>
      <c r="D812" s="14" t="inlineStr">
        <is>
          <t>ral</t>
        </is>
      </c>
      <c r="E812" s="14" t="inlineStr">
        <is>
          <t>XCARBON</t>
        </is>
      </c>
      <c r="F812" s="92" t="inlineStr">
        <is>
          <t>XCARBON($D1183,$E1183,(AE$321-AE$322),$F1183,(AE$324-AE$325))</t>
        </is>
      </c>
    </row>
    <row r="813">
      <c r="A813" s="14" t="n">
        <v>1184</v>
      </c>
      <c r="B813" s="14" t="inlineStr">
        <is>
          <t>xcpd</t>
        </is>
      </c>
      <c r="C813" s="14" t="inlineStr">
        <is>
          <t>lpg</t>
        </is>
      </c>
      <c r="D813" s="14" t="inlineStr">
        <is>
          <t>ral</t>
        </is>
      </c>
      <c r="E813" s="14" t="inlineStr">
        <is>
          <t>XCARBON</t>
        </is>
      </c>
      <c r="F813" s="92" t="inlineStr">
        <is>
          <t>XCARBON($D1184,$E1184,(AE$321-AE$322),$F1184,(AE$324-AE$325))</t>
        </is>
      </c>
    </row>
    <row r="814">
      <c r="A814" s="14" t="n">
        <v>1185</v>
      </c>
      <c r="B814" s="14" t="inlineStr">
        <is>
          <t>xcpd</t>
        </is>
      </c>
      <c r="C814" s="14" t="inlineStr">
        <is>
          <t>ker</t>
        </is>
      </c>
      <c r="D814" s="14" t="inlineStr">
        <is>
          <t>ral</t>
        </is>
      </c>
      <c r="E814" s="14" t="inlineStr">
        <is>
          <t>XCARBON</t>
        </is>
      </c>
      <c r="F814" s="92" t="inlineStr">
        <is>
          <t>XCARBON($D1185,$E1185,(AE$321-AE$322),$F1185,(AE$324-AE$325))</t>
        </is>
      </c>
    </row>
    <row r="815">
      <c r="A815" s="14" t="n">
        <v>1186</v>
      </c>
      <c r="B815" s="14" t="inlineStr">
        <is>
          <t>xcpd</t>
        </is>
      </c>
      <c r="C815" s="14" t="inlineStr">
        <is>
          <t>oop</t>
        </is>
      </c>
      <c r="D815" s="14" t="inlineStr">
        <is>
          <t>ral</t>
        </is>
      </c>
      <c r="E815" s="14" t="inlineStr">
        <is>
          <t>XCARBON</t>
        </is>
      </c>
      <c r="F815" s="92" t="inlineStr">
        <is>
          <t>XCARBON($D1186,$E1186,(AE$321-AE$322),$F1186,(AE$324-AE$325))</t>
        </is>
      </c>
    </row>
    <row r="816">
      <c r="A816" s="14" t="n">
        <v>1187</v>
      </c>
      <c r="B816" s="14" t="inlineStr">
        <is>
          <t>xcpd</t>
        </is>
      </c>
      <c r="C816" s="14" t="inlineStr">
        <is>
          <t>bio</t>
        </is>
      </c>
      <c r="D816" s="14" t="inlineStr">
        <is>
          <t>ral</t>
        </is>
      </c>
      <c r="E816" s="14" t="inlineStr">
        <is>
          <t>XCARBON</t>
        </is>
      </c>
      <c r="F816" s="92" t="inlineStr">
        <is>
          <t>XCARBON($D1187,$E1187,(AE$321-AE$322),$F1187,(AE$324-AE$325))</t>
        </is>
      </c>
    </row>
    <row r="817">
      <c r="A817" s="14" t="n">
        <v>1189</v>
      </c>
      <c r="B817" s="14" t="inlineStr">
        <is>
          <t>atp</t>
        </is>
      </c>
      <c r="C817" s="14" t="inlineStr">
        <is>
          <t>coa</t>
        </is>
      </c>
      <c r="D817" s="14" t="inlineStr">
        <is>
          <t>ral</t>
        </is>
      </c>
      <c r="E817" s="14" t="inlineStr">
        <is>
          <t>POSTTAX</t>
        </is>
      </c>
      <c r="F817" s="92" t="inlineStr">
        <is>
          <t>POSTTAX(INDEX(AE$381:AE$392,$D1189),AE1162+AE1180,$E1189)</t>
        </is>
      </c>
    </row>
    <row r="818">
      <c r="A818" s="14" t="n">
        <v>1190</v>
      </c>
      <c r="B818" s="14" t="inlineStr">
        <is>
          <t>atp</t>
        </is>
      </c>
      <c r="C818" s="14" t="inlineStr">
        <is>
          <t>nga</t>
        </is>
      </c>
      <c r="D818" s="14" t="inlineStr">
        <is>
          <t>ral</t>
        </is>
      </c>
      <c r="E818" s="14" t="inlineStr">
        <is>
          <t>POSTTAX</t>
        </is>
      </c>
      <c r="F818" s="92" t="inlineStr">
        <is>
          <t>POSTTAX(INDEX(AE$381:AE$392,$D1190),AE1163+AE1181,$E1190)</t>
        </is>
      </c>
    </row>
    <row r="819">
      <c r="A819" s="14" t="n">
        <v>1191</v>
      </c>
      <c r="B819" s="14" t="inlineStr">
        <is>
          <t>atp</t>
        </is>
      </c>
      <c r="C819" s="14" t="inlineStr">
        <is>
          <t>gso</t>
        </is>
      </c>
      <c r="D819" s="14" t="inlineStr">
        <is>
          <t>ral</t>
        </is>
      </c>
      <c r="E819" s="14" t="inlineStr">
        <is>
          <t>POSTTAX</t>
        </is>
      </c>
      <c r="F819" s="92" t="inlineStr">
        <is>
          <t>POSTTAX(INDEX(AE$381:AE$392,$D1191),AE1164+AE1182,$E1191)</t>
        </is>
      </c>
    </row>
    <row r="820">
      <c r="A820" s="14" t="n">
        <v>1192</v>
      </c>
      <c r="B820" s="14" t="inlineStr">
        <is>
          <t>atp</t>
        </is>
      </c>
      <c r="C820" s="14" t="inlineStr">
        <is>
          <t>die</t>
        </is>
      </c>
      <c r="D820" s="14" t="inlineStr">
        <is>
          <t>ral</t>
        </is>
      </c>
      <c r="E820" s="14" t="inlineStr">
        <is>
          <t>POSTTAX</t>
        </is>
      </c>
      <c r="F820" s="92" t="inlineStr">
        <is>
          <t>POSTTAX(INDEX(AE$381:AE$392,$D1192),AE1165+AE1183,$E1192)</t>
        </is>
      </c>
    </row>
    <row r="821">
      <c r="A821" s="14" t="n">
        <v>1193</v>
      </c>
      <c r="B821" s="14" t="inlineStr">
        <is>
          <t>atp</t>
        </is>
      </c>
      <c r="C821" s="14" t="inlineStr">
        <is>
          <t>lpg</t>
        </is>
      </c>
      <c r="D821" s="14" t="inlineStr">
        <is>
          <t>ral</t>
        </is>
      </c>
      <c r="E821" s="14" t="inlineStr">
        <is>
          <t>POSTTAX</t>
        </is>
      </c>
      <c r="F821" s="92" t="inlineStr">
        <is>
          <t>POSTTAX(INDEX(AE$381:AE$392,$D1193),AE1166+AE1184,$E1193)</t>
        </is>
      </c>
    </row>
    <row r="822">
      <c r="A822" s="14" t="n">
        <v>1194</v>
      </c>
      <c r="B822" s="14" t="inlineStr">
        <is>
          <t>atp</t>
        </is>
      </c>
      <c r="C822" s="14" t="inlineStr">
        <is>
          <t>ker</t>
        </is>
      </c>
      <c r="D822" s="14" t="inlineStr">
        <is>
          <t>ral</t>
        </is>
      </c>
      <c r="E822" s="14" t="inlineStr">
        <is>
          <t>POSTTAX</t>
        </is>
      </c>
      <c r="F822" s="92" t="inlineStr">
        <is>
          <t>POSTTAX(INDEX(AE$381:AE$392,$D1194),AE1167+AE1185,$E1194)</t>
        </is>
      </c>
    </row>
    <row r="823">
      <c r="A823" s="14" t="n">
        <v>1195</v>
      </c>
      <c r="B823" s="14" t="inlineStr">
        <is>
          <t>atp</t>
        </is>
      </c>
      <c r="C823" s="14" t="inlineStr">
        <is>
          <t>oop</t>
        </is>
      </c>
      <c r="D823" s="14" t="inlineStr">
        <is>
          <t>ral</t>
        </is>
      </c>
      <c r="E823" s="14" t="inlineStr">
        <is>
          <t>POSTTAX</t>
        </is>
      </c>
      <c r="F823" s="92" t="inlineStr">
        <is>
          <t>POSTTAX(INDEX(AE$381:AE$392,$D1195),AE1168+AE1186,$E1195)</t>
        </is>
      </c>
    </row>
    <row r="824">
      <c r="A824" s="14" t="n">
        <v>1196</v>
      </c>
      <c r="B824" s="14" t="inlineStr">
        <is>
          <t>atp</t>
        </is>
      </c>
      <c r="C824" s="14" t="inlineStr">
        <is>
          <t>bio</t>
        </is>
      </c>
      <c r="D824" s="14" t="inlineStr">
        <is>
          <t>ral</t>
        </is>
      </c>
      <c r="E824" s="14" t="inlineStr">
        <is>
          <t>POSTTAX</t>
        </is>
      </c>
      <c r="F824" s="92" t="inlineStr">
        <is>
          <t>POSTTAX(INDEX(AE$381:AE$392,$D1196),AE1169+AE1187,$E1196)</t>
        </is>
      </c>
    </row>
    <row r="825">
      <c r="A825" s="14" t="n">
        <v>1198</v>
      </c>
      <c r="B825" s="14" t="inlineStr">
        <is>
          <t>shp</t>
        </is>
      </c>
      <c r="C825" s="14" t="inlineStr">
        <is>
          <t>coa</t>
        </is>
      </c>
      <c r="D825" s="14" t="inlineStr">
        <is>
          <t>ral</t>
        </is>
      </c>
      <c r="E825" s="14" t="inlineStr">
        <is>
          <t>SHADOWGJ</t>
        </is>
      </c>
      <c r="F825" s="92" t="inlineStr">
        <is>
          <t>SHADOWGJ(INDEX(AE$297:AE$313,$E1198),$D1198)</t>
        </is>
      </c>
    </row>
    <row r="826">
      <c r="A826" s="14" t="n">
        <v>1199</v>
      </c>
      <c r="B826" s="14" t="inlineStr">
        <is>
          <t>shp</t>
        </is>
      </c>
      <c r="C826" s="14" t="inlineStr">
        <is>
          <t>nga</t>
        </is>
      </c>
      <c r="D826" s="14" t="inlineStr">
        <is>
          <t>ral</t>
        </is>
      </c>
      <c r="E826" s="14" t="inlineStr">
        <is>
          <t>SHADOWGJ</t>
        </is>
      </c>
      <c r="F826" s="92" t="inlineStr">
        <is>
          <t>SHADOWGJ(INDEX(AE$297:AE$313,$E1199),$D1199)</t>
        </is>
      </c>
    </row>
    <row r="827">
      <c r="A827" s="14" t="n">
        <v>1200</v>
      </c>
      <c r="B827" s="14" t="inlineStr">
        <is>
          <t>shp</t>
        </is>
      </c>
      <c r="C827" s="14" t="inlineStr">
        <is>
          <t>gso</t>
        </is>
      </c>
      <c r="D827" s="14" t="inlineStr">
        <is>
          <t>ral</t>
        </is>
      </c>
      <c r="E827" s="14" t="inlineStr">
        <is>
          <t>SHADOWGJ</t>
        </is>
      </c>
      <c r="F827" s="92" t="inlineStr">
        <is>
          <t>SHADOWGJ(INDEX(AE$297:AE$313,$E1200),$D1200)</t>
        </is>
      </c>
    </row>
    <row r="828">
      <c r="A828" s="14" t="n">
        <v>1201</v>
      </c>
      <c r="B828" s="14" t="inlineStr">
        <is>
          <t>shp</t>
        </is>
      </c>
      <c r="C828" s="14" t="inlineStr">
        <is>
          <t>die</t>
        </is>
      </c>
      <c r="D828" s="14" t="inlineStr">
        <is>
          <t>ral</t>
        </is>
      </c>
      <c r="E828" s="14" t="inlineStr">
        <is>
          <t>SHADOWGJ</t>
        </is>
      </c>
      <c r="F828" s="92" t="inlineStr">
        <is>
          <t>SHADOWGJ(INDEX(AE$297:AE$313,$E1201),$D1201)</t>
        </is>
      </c>
    </row>
    <row r="829">
      <c r="A829" s="14" t="n">
        <v>1202</v>
      </c>
      <c r="B829" s="14" t="inlineStr">
        <is>
          <t>shp</t>
        </is>
      </c>
      <c r="C829" s="14" t="inlineStr">
        <is>
          <t>lpg</t>
        </is>
      </c>
      <c r="D829" s="14" t="inlineStr">
        <is>
          <t>ral</t>
        </is>
      </c>
      <c r="E829" s="14" t="inlineStr">
        <is>
          <t>SHADOWGJ</t>
        </is>
      </c>
      <c r="F829" s="92" t="inlineStr">
        <is>
          <t>SHADOWGJ(INDEX(AE$297:AE$313,$E1202),$D1202)</t>
        </is>
      </c>
    </row>
    <row r="830">
      <c r="A830" s="14" t="n">
        <v>1203</v>
      </c>
      <c r="B830" s="14" t="inlineStr">
        <is>
          <t>shp</t>
        </is>
      </c>
      <c r="C830" s="14" t="inlineStr">
        <is>
          <t>ker</t>
        </is>
      </c>
      <c r="D830" s="14" t="inlineStr">
        <is>
          <t>ral</t>
        </is>
      </c>
      <c r="E830" s="14" t="inlineStr">
        <is>
          <t>SHADOWGJ</t>
        </is>
      </c>
      <c r="F830" s="92" t="inlineStr">
        <is>
          <t>SHADOWGJ(INDEX(AE$297:AE$313,$E1203),$D1203)</t>
        </is>
      </c>
    </row>
    <row r="831">
      <c r="A831" s="14" t="n">
        <v>1204</v>
      </c>
      <c r="B831" s="14" t="inlineStr">
        <is>
          <t>shp</t>
        </is>
      </c>
      <c r="C831" s="14" t="inlineStr">
        <is>
          <t>oop</t>
        </is>
      </c>
      <c r="D831" s="14" t="inlineStr">
        <is>
          <t>ral</t>
        </is>
      </c>
      <c r="E831" s="14" t="inlineStr">
        <is>
          <t>SHADOWGJ</t>
        </is>
      </c>
      <c r="F831" s="92" t="inlineStr">
        <is>
          <t>SHADOWGJ(INDEX(AE$297:AE$313,$E1204),$D1204)</t>
        </is>
      </c>
    </row>
    <row r="832">
      <c r="A832" s="14" t="n">
        <v>1205</v>
      </c>
      <c r="B832" s="14" t="inlineStr">
        <is>
          <t>shp</t>
        </is>
      </c>
      <c r="C832" s="14" t="inlineStr">
        <is>
          <t>bio</t>
        </is>
      </c>
      <c r="D832" s="14" t="inlineStr">
        <is>
          <t>ral</t>
        </is>
      </c>
      <c r="E832" s="14" t="inlineStr">
        <is>
          <t>SHADOWGJ</t>
        </is>
      </c>
      <c r="F832" s="92" t="inlineStr">
        <is>
          <t>SHADOWGJ(INDEX(AE$297:AE$313,$E1205),$D1205)</t>
        </is>
      </c>
    </row>
    <row r="833">
      <c r="A833" s="14" t="n">
        <v>1207</v>
      </c>
      <c r="B833" s="14" t="inlineStr">
        <is>
          <t>ener</t>
        </is>
      </c>
      <c r="C833" s="14" t="inlineStr">
        <is>
          <t>coa</t>
        </is>
      </c>
      <c r="D833" s="14" t="inlineStr">
        <is>
          <t>ral</t>
        </is>
      </c>
      <c r="E833" s="14" t="inlineStr">
        <is>
          <t>FUELUSE</t>
        </is>
      </c>
      <c r="F833" s="92" t="inlineStr">
        <is>
          <t>FUELUSE(AD1207,AE1189,AD1189,AE1198,AD1198,AE$7,$D1207,$E1207,$F1207,$G1207)</t>
        </is>
      </c>
    </row>
    <row r="834">
      <c r="A834" s="14" t="n">
        <v>1208</v>
      </c>
      <c r="B834" s="14" t="inlineStr">
        <is>
          <t>ener</t>
        </is>
      </c>
      <c r="C834" s="14" t="inlineStr">
        <is>
          <t>nga</t>
        </is>
      </c>
      <c r="D834" s="14" t="inlineStr">
        <is>
          <t>ral</t>
        </is>
      </c>
      <c r="E834" s="14" t="inlineStr">
        <is>
          <t>FUELUSE</t>
        </is>
      </c>
      <c r="F834" s="92" t="inlineStr">
        <is>
          <t>FUELUSE(AD1208,AE1190,AD1190,AE1199,AD1199,AE$7,$D1208,$E1208,$F1208,$G1208)</t>
        </is>
      </c>
    </row>
    <row r="835">
      <c r="A835" s="14" t="n">
        <v>1209</v>
      </c>
      <c r="B835" s="14" t="inlineStr">
        <is>
          <t>ener</t>
        </is>
      </c>
      <c r="C835" s="14" t="inlineStr">
        <is>
          <t>gso</t>
        </is>
      </c>
      <c r="D835" s="14" t="inlineStr">
        <is>
          <t>ral</t>
        </is>
      </c>
      <c r="E835" s="14" t="inlineStr">
        <is>
          <t>FUELUSE</t>
        </is>
      </c>
      <c r="F835" s="92" t="inlineStr">
        <is>
          <t>FUELUSE(AD1209,AE1191,AD1191,AE1200,AD1200,AE$7,$D1209,$E1209,$F1209,$G1209)</t>
        </is>
      </c>
    </row>
    <row r="836">
      <c r="A836" s="14" t="n">
        <v>1210</v>
      </c>
      <c r="B836" s="14" t="inlineStr">
        <is>
          <t>ener</t>
        </is>
      </c>
      <c r="C836" s="14" t="inlineStr">
        <is>
          <t>die</t>
        </is>
      </c>
      <c r="D836" s="14" t="inlineStr">
        <is>
          <t>ral</t>
        </is>
      </c>
      <c r="E836" s="14" t="inlineStr">
        <is>
          <t>FUELUSE</t>
        </is>
      </c>
      <c r="F836" s="92" t="inlineStr">
        <is>
          <t>FUELUSE(AD1210,AE1192,AD1192,AE1201,AD1201,AE$7,$D1210,$E1210,$F1210,$G1210)</t>
        </is>
      </c>
    </row>
    <row r="837">
      <c r="A837" s="14" t="n">
        <v>1211</v>
      </c>
      <c r="B837" s="14" t="inlineStr">
        <is>
          <t>ener</t>
        </is>
      </c>
      <c r="C837" s="14" t="inlineStr">
        <is>
          <t>lpg</t>
        </is>
      </c>
      <c r="D837" s="14" t="inlineStr">
        <is>
          <t>ral</t>
        </is>
      </c>
      <c r="E837" s="14" t="inlineStr">
        <is>
          <t>FUELUSE</t>
        </is>
      </c>
      <c r="F837" s="92" t="inlineStr">
        <is>
          <t>FUELUSE(AD1211,AE1193,AD1193,AE1202,AD1202,AE$7,$D1211,$E1211,$F1211,$G1211)</t>
        </is>
      </c>
    </row>
    <row r="838">
      <c r="A838" s="14" t="n">
        <v>1212</v>
      </c>
      <c r="B838" s="14" t="inlineStr">
        <is>
          <t>ener</t>
        </is>
      </c>
      <c r="C838" s="14" t="inlineStr">
        <is>
          <t>ker</t>
        </is>
      </c>
      <c r="D838" s="14" t="inlineStr">
        <is>
          <t>ral</t>
        </is>
      </c>
      <c r="E838" s="14" t="inlineStr">
        <is>
          <t>FUELUSE</t>
        </is>
      </c>
      <c r="F838" s="92" t="inlineStr">
        <is>
          <t>FUELUSE(AD1212,AE1194,AD1194,AE1203,AD1203,AE$7,$D1212,$E1212,$F1212,$G1212)</t>
        </is>
      </c>
    </row>
    <row r="839">
      <c r="A839" s="14" t="n">
        <v>1213</v>
      </c>
      <c r="B839" s="14" t="inlineStr">
        <is>
          <t>ener</t>
        </is>
      </c>
      <c r="C839" s="14" t="inlineStr">
        <is>
          <t>oop</t>
        </is>
      </c>
      <c r="D839" s="14" t="inlineStr">
        <is>
          <t>ral</t>
        </is>
      </c>
      <c r="E839" s="14" t="inlineStr">
        <is>
          <t>FUELUSE</t>
        </is>
      </c>
      <c r="F839" s="92" t="inlineStr">
        <is>
          <t>FUELUSE(AD1213,AE1195,AD1195,AE1204,AD1204,AE$7,$D1213,$E1213,$F1213,$G1213)</t>
        </is>
      </c>
    </row>
    <row r="840">
      <c r="A840" s="14" t="n">
        <v>1214</v>
      </c>
      <c r="B840" s="14" t="inlineStr">
        <is>
          <t>ener</t>
        </is>
      </c>
      <c r="C840" s="14" t="inlineStr">
        <is>
          <t>bio</t>
        </is>
      </c>
      <c r="D840" s="14" t="inlineStr">
        <is>
          <t>ral</t>
        </is>
      </c>
      <c r="E840" s="14" t="inlineStr">
        <is>
          <t>FUELUSE</t>
        </is>
      </c>
      <c r="F840" s="92" t="inlineStr">
        <is>
          <t>FUELUSE(AD1214,AE1196,AD1196,AE1205,AD1205,AE$7,$D1214,$E1214,$F1214,$G1214)</t>
        </is>
      </c>
    </row>
    <row r="841">
      <c r="A841" s="14" t="n">
        <v>1216</v>
      </c>
      <c r="B841" s="14" t="inlineStr">
        <is>
          <t>co2</t>
        </is>
      </c>
      <c r="C841" s="14" t="inlineStr">
        <is>
          <t>coa</t>
        </is>
      </c>
      <c r="D841" s="14" t="inlineStr">
        <is>
          <t>ral</t>
        </is>
      </c>
      <c r="E841" s="14" t="inlineStr">
        <is>
          <t>EMISSIONS</t>
        </is>
      </c>
      <c r="F841" s="92" t="inlineStr">
        <is>
          <t>EMISSIONS(AE1207,Settings!$C$13,$D1216)</t>
        </is>
      </c>
    </row>
    <row r="842">
      <c r="A842" s="14" t="n">
        <v>1217</v>
      </c>
      <c r="B842" s="14" t="inlineStr">
        <is>
          <t>co2</t>
        </is>
      </c>
      <c r="C842" s="14" t="inlineStr">
        <is>
          <t>nga</t>
        </is>
      </c>
      <c r="D842" s="14" t="inlineStr">
        <is>
          <t>ral</t>
        </is>
      </c>
      <c r="E842" s="14" t="inlineStr">
        <is>
          <t>EMISSIONS</t>
        </is>
      </c>
      <c r="F842" s="92" t="inlineStr">
        <is>
          <t>EMISSIONS(AE1208,Settings!$C$13,$D1217)</t>
        </is>
      </c>
    </row>
    <row r="843">
      <c r="A843" s="14" t="n">
        <v>1218</v>
      </c>
      <c r="B843" s="14" t="inlineStr">
        <is>
          <t>co2</t>
        </is>
      </c>
      <c r="C843" s="14" t="inlineStr">
        <is>
          <t>gso</t>
        </is>
      </c>
      <c r="D843" s="14" t="inlineStr">
        <is>
          <t>ral</t>
        </is>
      </c>
      <c r="E843" s="14" t="inlineStr">
        <is>
          <t>EMISSIONS</t>
        </is>
      </c>
      <c r="F843" s="92" t="inlineStr">
        <is>
          <t>EMISSIONS(AE1209,Settings!$C$13,$D1218)</t>
        </is>
      </c>
    </row>
    <row r="844">
      <c r="A844" s="14" t="n">
        <v>1219</v>
      </c>
      <c r="B844" s="14" t="inlineStr">
        <is>
          <t>co2</t>
        </is>
      </c>
      <c r="C844" s="14" t="inlineStr">
        <is>
          <t>die</t>
        </is>
      </c>
      <c r="D844" s="14" t="inlineStr">
        <is>
          <t>ral</t>
        </is>
      </c>
      <c r="E844" s="14" t="inlineStr">
        <is>
          <t>EMISSIONS</t>
        </is>
      </c>
      <c r="F844" s="92" t="inlineStr">
        <is>
          <t>EMISSIONS(AE1210,Settings!$C$13,$D1219)</t>
        </is>
      </c>
    </row>
    <row r="845">
      <c r="A845" s="14" t="n">
        <v>1220</v>
      </c>
      <c r="B845" s="14" t="inlineStr">
        <is>
          <t>co2</t>
        </is>
      </c>
      <c r="C845" s="14" t="inlineStr">
        <is>
          <t>lpg</t>
        </is>
      </c>
      <c r="D845" s="14" t="inlineStr">
        <is>
          <t>ral</t>
        </is>
      </c>
      <c r="E845" s="14" t="inlineStr">
        <is>
          <t>EMISSIONS</t>
        </is>
      </c>
      <c r="F845" s="92" t="inlineStr">
        <is>
          <t>EMISSIONS(AE1211,Settings!$C$13,$D1220)</t>
        </is>
      </c>
    </row>
    <row r="846">
      <c r="A846" s="14" t="n">
        <v>1221</v>
      </c>
      <c r="B846" s="14" t="inlineStr">
        <is>
          <t>co2</t>
        </is>
      </c>
      <c r="C846" s="14" t="inlineStr">
        <is>
          <t>ker</t>
        </is>
      </c>
      <c r="D846" s="14" t="inlineStr">
        <is>
          <t>ral</t>
        </is>
      </c>
      <c r="E846" s="14" t="inlineStr">
        <is>
          <t>EMISSIONS</t>
        </is>
      </c>
      <c r="F846" s="92" t="inlineStr">
        <is>
          <t>EMISSIONS(AE1212,Settings!$C$13,$D1221)</t>
        </is>
      </c>
    </row>
    <row r="847">
      <c r="A847" s="14" t="n">
        <v>1222</v>
      </c>
      <c r="B847" s="14" t="inlineStr">
        <is>
          <t>co2</t>
        </is>
      </c>
      <c r="C847" s="14" t="inlineStr">
        <is>
          <t>oop</t>
        </is>
      </c>
      <c r="D847" s="14" t="inlineStr">
        <is>
          <t>ral</t>
        </is>
      </c>
      <c r="E847" s="14" t="inlineStr">
        <is>
          <t>EMISSIONS</t>
        </is>
      </c>
      <c r="F847" s="92" t="inlineStr">
        <is>
          <t>EMISSIONS(AE1213,Settings!$C$13,$D1222)</t>
        </is>
      </c>
    </row>
    <row r="848">
      <c r="A848" s="14" t="n">
        <v>1223</v>
      </c>
      <c r="B848" s="14" t="inlineStr">
        <is>
          <t>co2</t>
        </is>
      </c>
      <c r="C848" s="14" t="inlineStr">
        <is>
          <t>bio</t>
        </is>
      </c>
      <c r="D848" s="14" t="inlineStr">
        <is>
          <t>ral</t>
        </is>
      </c>
      <c r="E848" s="14" t="inlineStr">
        <is>
          <t>EMISSIONS</t>
        </is>
      </c>
      <c r="F848" s="92" t="inlineStr">
        <is>
          <t>EMISSIONS(AE1214,Settings!$C$13,$D1223)</t>
        </is>
      </c>
    </row>
    <row r="849">
      <c r="A849" s="14" t="n">
        <v>1225</v>
      </c>
      <c r="B849" s="14" t="inlineStr">
        <is>
          <t>rtx</t>
        </is>
      </c>
      <c r="C849" s="14" t="inlineStr">
        <is>
          <t>coa</t>
        </is>
      </c>
      <c r="D849" s="14" t="inlineStr">
        <is>
          <t>ral</t>
        </is>
      </c>
      <c r="E849" s="14" t="inlineStr">
        <is>
          <t>REVENUE</t>
        </is>
      </c>
      <c r="F849" s="92" t="inlineStr">
        <is>
          <t>REVENUE(AE1207,Settings!$C$13,INDEX(AE$407:AE$418,$D1225)+INDEX(AE$394:AE$405,$D1225)+AE1180*(1+$E1225))</t>
        </is>
      </c>
    </row>
    <row r="850">
      <c r="A850" s="14" t="n">
        <v>1226</v>
      </c>
      <c r="B850" s="14" t="inlineStr">
        <is>
          <t>rtx</t>
        </is>
      </c>
      <c r="C850" s="14" t="inlineStr">
        <is>
          <t>nga</t>
        </is>
      </c>
      <c r="D850" s="14" t="inlineStr">
        <is>
          <t>ral</t>
        </is>
      </c>
      <c r="E850" s="14" t="inlineStr">
        <is>
          <t>REVENUE</t>
        </is>
      </c>
      <c r="F850" s="92" t="inlineStr">
        <is>
          <t>REVENUE(AE1208,Settings!$C$13,INDEX(AE$407:AE$418,$D1226)+INDEX(AE$394:AE$405,$D1226)+AE1181*(1+$E1226))</t>
        </is>
      </c>
    </row>
    <row r="851">
      <c r="A851" s="14" t="n">
        <v>1227</v>
      </c>
      <c r="B851" s="14" t="inlineStr">
        <is>
          <t>rtx</t>
        </is>
      </c>
      <c r="C851" s="14" t="inlineStr">
        <is>
          <t>gso</t>
        </is>
      </c>
      <c r="D851" s="14" t="inlineStr">
        <is>
          <t>ral</t>
        </is>
      </c>
      <c r="E851" s="14" t="inlineStr">
        <is>
          <t>REVENUE</t>
        </is>
      </c>
      <c r="F851" s="92" t="inlineStr">
        <is>
          <t>REVENUE(AE1209,Settings!$C$13,INDEX(AE$407:AE$418,$D1227)+INDEX(AE$394:AE$405,$D1227)+AE1182*(1+$E1227))</t>
        </is>
      </c>
    </row>
    <row r="852">
      <c r="A852" s="14" t="n">
        <v>1228</v>
      </c>
      <c r="B852" s="14" t="inlineStr">
        <is>
          <t>rtx</t>
        </is>
      </c>
      <c r="C852" s="14" t="inlineStr">
        <is>
          <t>die</t>
        </is>
      </c>
      <c r="D852" s="14" t="inlineStr">
        <is>
          <t>ral</t>
        </is>
      </c>
      <c r="E852" s="14" t="inlineStr">
        <is>
          <t>REVENUE</t>
        </is>
      </c>
      <c r="F852" s="92" t="inlineStr">
        <is>
          <t>REVENUE(AE1210,Settings!$C$13,INDEX(AE$407:AE$418,$D1228)+INDEX(AE$394:AE$405,$D1228)+AE1183*(1+$E1228))</t>
        </is>
      </c>
    </row>
    <row r="853">
      <c r="A853" s="14" t="n">
        <v>1229</v>
      </c>
      <c r="B853" s="14" t="inlineStr">
        <is>
          <t>rtx</t>
        </is>
      </c>
      <c r="C853" s="14" t="inlineStr">
        <is>
          <t>lpg</t>
        </is>
      </c>
      <c r="D853" s="14" t="inlineStr">
        <is>
          <t>ral</t>
        </is>
      </c>
      <c r="E853" s="14" t="inlineStr">
        <is>
          <t>REVENUE</t>
        </is>
      </c>
      <c r="F853" s="92" t="inlineStr">
        <is>
          <t>REVENUE(AE1211,Settings!$C$13,INDEX(AE$407:AE$418,$D1229)+INDEX(AE$394:AE$405,$D1229)+AE1184*(1+$E1229))</t>
        </is>
      </c>
    </row>
    <row r="854">
      <c r="A854" s="14" t="n">
        <v>1230</v>
      </c>
      <c r="B854" s="14" t="inlineStr">
        <is>
          <t>rtx</t>
        </is>
      </c>
      <c r="C854" s="14" t="inlineStr">
        <is>
          <t>ker</t>
        </is>
      </c>
      <c r="D854" s="14" t="inlineStr">
        <is>
          <t>ral</t>
        </is>
      </c>
      <c r="E854" s="14" t="inlineStr">
        <is>
          <t>REVENUE</t>
        </is>
      </c>
      <c r="F854" s="92" t="inlineStr">
        <is>
          <t>REVENUE(AE1212,Settings!$C$13,INDEX(AE$407:AE$418,$D1230)+INDEX(AE$394:AE$405,$D1230)+AE1185*(1+$E1230))</t>
        </is>
      </c>
    </row>
    <row r="855">
      <c r="A855" s="14" t="n">
        <v>1231</v>
      </c>
      <c r="B855" s="14" t="inlineStr">
        <is>
          <t>rtx</t>
        </is>
      </c>
      <c r="C855" s="14" t="inlineStr">
        <is>
          <t>oop</t>
        </is>
      </c>
      <c r="D855" s="14" t="inlineStr">
        <is>
          <t>ral</t>
        </is>
      </c>
      <c r="E855" s="14" t="inlineStr">
        <is>
          <t>REVENUE</t>
        </is>
      </c>
      <c r="F855" s="92" t="inlineStr">
        <is>
          <t>REVENUE(AE1213,Settings!$C$13,INDEX(AE$407:AE$418,$D1231)+INDEX(AE$394:AE$405,$D1231)+AE1186*(1+$E1231))</t>
        </is>
      </c>
    </row>
    <row r="856">
      <c r="A856" s="14" t="n">
        <v>1232</v>
      </c>
      <c r="B856" s="14" t="inlineStr">
        <is>
          <t>rtx</t>
        </is>
      </c>
      <c r="C856" s="14" t="inlineStr">
        <is>
          <t>bio</t>
        </is>
      </c>
      <c r="D856" s="14" t="inlineStr">
        <is>
          <t>ral</t>
        </is>
      </c>
      <c r="E856" s="14" t="inlineStr">
        <is>
          <t>REVENUE</t>
        </is>
      </c>
      <c r="F856" s="92" t="inlineStr">
        <is>
          <t>REVENUE(AE1214,Settings!$C$13,INDEX(AE$407:AE$418,$D1232)+INDEX(AE$394:AE$405,$D1232)+AE1187*(1+$E1232))</t>
        </is>
      </c>
    </row>
    <row r="857">
      <c r="A857" s="14" t="n">
        <v>1234</v>
      </c>
      <c r="B857" s="14" t="inlineStr">
        <is>
          <t>rsub</t>
        </is>
      </c>
      <c r="C857" s="14" t="inlineStr">
        <is>
          <t>coa</t>
        </is>
      </c>
      <c r="D857" s="14" t="inlineStr">
        <is>
          <t>ral</t>
        </is>
      </c>
      <c r="E857" s="14" t="inlineStr">
        <is>
          <t>REVENUE</t>
        </is>
      </c>
      <c r="F857" s="92" t="inlineStr">
        <is>
          <t>REVENUE(AE1207,Settings!$C$13,INDEX(AE$420:AE$431,$D1234))</t>
        </is>
      </c>
    </row>
    <row r="858">
      <c r="A858" s="14" t="n">
        <v>1235</v>
      </c>
      <c r="B858" s="14" t="inlineStr">
        <is>
          <t>rsub</t>
        </is>
      </c>
      <c r="C858" s="14" t="inlineStr">
        <is>
          <t>nga</t>
        </is>
      </c>
      <c r="D858" s="14" t="inlineStr">
        <is>
          <t>ral</t>
        </is>
      </c>
      <c r="E858" s="14" t="inlineStr">
        <is>
          <t>REVENUE</t>
        </is>
      </c>
      <c r="F858" s="92" t="inlineStr">
        <is>
          <t>REVENUE(AE1208,Settings!$C$13,INDEX(AE$420:AE$431,$D1235))</t>
        </is>
      </c>
    </row>
    <row r="859">
      <c r="A859" s="14" t="n">
        <v>1236</v>
      </c>
      <c r="B859" s="14" t="inlineStr">
        <is>
          <t>rsub</t>
        </is>
      </c>
      <c r="C859" s="14" t="inlineStr">
        <is>
          <t>gso</t>
        </is>
      </c>
      <c r="D859" s="14" t="inlineStr">
        <is>
          <t>ral</t>
        </is>
      </c>
      <c r="E859" s="14" t="inlineStr">
        <is>
          <t>REVENUE</t>
        </is>
      </c>
      <c r="F859" s="92" t="inlineStr">
        <is>
          <t>REVENUE(AE1209,Settings!$C$13,INDEX(AE$420:AE$431,$D1236))</t>
        </is>
      </c>
    </row>
    <row r="860">
      <c r="A860" s="14" t="n">
        <v>1237</v>
      </c>
      <c r="B860" s="14" t="inlineStr">
        <is>
          <t>rsub</t>
        </is>
      </c>
      <c r="C860" s="14" t="inlineStr">
        <is>
          <t>die</t>
        </is>
      </c>
      <c r="D860" s="14" t="inlineStr">
        <is>
          <t>ral</t>
        </is>
      </c>
      <c r="E860" s="14" t="inlineStr">
        <is>
          <t>REVENUE</t>
        </is>
      </c>
      <c r="F860" s="92" t="inlineStr">
        <is>
          <t>REVENUE(AE1210,Settings!$C$13,INDEX(AE$420:AE$431,$D1237))</t>
        </is>
      </c>
    </row>
    <row r="861">
      <c r="A861" s="14" t="n">
        <v>1238</v>
      </c>
      <c r="B861" s="14" t="inlineStr">
        <is>
          <t>rsub</t>
        </is>
      </c>
      <c r="C861" s="14" t="inlineStr">
        <is>
          <t>lpg</t>
        </is>
      </c>
      <c r="D861" s="14" t="inlineStr">
        <is>
          <t>ral</t>
        </is>
      </c>
      <c r="E861" s="14" t="inlineStr">
        <is>
          <t>REVENUE</t>
        </is>
      </c>
      <c r="F861" s="92" t="inlineStr">
        <is>
          <t>REVENUE(AE1211,Settings!$C$13,INDEX(AE$420:AE$431,$D1238))</t>
        </is>
      </c>
    </row>
    <row r="862">
      <c r="A862" s="14" t="n">
        <v>1239</v>
      </c>
      <c r="B862" s="14" t="inlineStr">
        <is>
          <t>rsub</t>
        </is>
      </c>
      <c r="C862" s="14" t="inlineStr">
        <is>
          <t>ker</t>
        </is>
      </c>
      <c r="D862" s="14" t="inlineStr">
        <is>
          <t>ral</t>
        </is>
      </c>
      <c r="E862" s="14" t="inlineStr">
        <is>
          <t>REVENUE</t>
        </is>
      </c>
      <c r="F862" s="92" t="inlineStr">
        <is>
          <t>REVENUE(AE1212,Settings!$C$13,INDEX(AE$420:AE$431,$D1239))</t>
        </is>
      </c>
    </row>
    <row r="863">
      <c r="A863" s="14" t="n">
        <v>1240</v>
      </c>
      <c r="B863" s="14" t="inlineStr">
        <is>
          <t>rsub</t>
        </is>
      </c>
      <c r="C863" s="14" t="inlineStr">
        <is>
          <t>oop</t>
        </is>
      </c>
      <c r="D863" s="14" t="inlineStr">
        <is>
          <t>ral</t>
        </is>
      </c>
      <c r="E863" s="14" t="inlineStr">
        <is>
          <t>REVENUE</t>
        </is>
      </c>
      <c r="F863" s="92" t="inlineStr">
        <is>
          <t>REVENUE(AE1213,Settings!$C$13,INDEX(AE$420:AE$431,$D1240))</t>
        </is>
      </c>
    </row>
    <row r="864">
      <c r="A864" s="14" t="n">
        <v>1241</v>
      </c>
      <c r="B864" s="14" t="inlineStr">
        <is>
          <t>rsub</t>
        </is>
      </c>
      <c r="C864" s="14" t="inlineStr">
        <is>
          <t>bio</t>
        </is>
      </c>
      <c r="D864" s="14" t="inlineStr">
        <is>
          <t>ral</t>
        </is>
      </c>
      <c r="E864" s="14" t="inlineStr">
        <is>
          <t>REVENUE</t>
        </is>
      </c>
      <c r="F864" s="92" t="inlineStr">
        <is>
          <t>REVENUE(AE1214,Settings!$C$13,INDEX(AE$420:AE$431,$D1241))</t>
        </is>
      </c>
    </row>
    <row r="865">
      <c r="A865" s="14" t="n">
        <v>1243</v>
      </c>
      <c r="B865" s="14" t="inlineStr">
        <is>
          <t>rnew</t>
        </is>
      </c>
      <c r="C865" s="14" t="inlineStr">
        <is>
          <t>coa</t>
        </is>
      </c>
      <c r="D865" s="14" t="inlineStr">
        <is>
          <t>ral</t>
        </is>
      </c>
      <c r="E865" s="14" t="inlineStr">
        <is>
          <t>REVENUE</t>
        </is>
      </c>
      <c r="F865" s="92" t="inlineStr">
        <is>
          <t>REVENUE(AE1207,Settings!$C$13,NEWREVRATE(AE1135,AE1153,AE1144,AE$201,AE1162,$D1243))</t>
        </is>
      </c>
    </row>
    <row r="866">
      <c r="A866" s="14" t="n">
        <v>1244</v>
      </c>
      <c r="B866" s="14" t="inlineStr">
        <is>
          <t>rnew</t>
        </is>
      </c>
      <c r="C866" s="14" t="inlineStr">
        <is>
          <t>nga</t>
        </is>
      </c>
      <c r="D866" s="14" t="inlineStr">
        <is>
          <t>ral</t>
        </is>
      </c>
      <c r="E866" s="14" t="inlineStr">
        <is>
          <t>REVENUE</t>
        </is>
      </c>
      <c r="F866" s="92" t="inlineStr">
        <is>
          <t>REVENUE(AE1208,Settings!$C$13,NEWREVRATE(AE1136,AE1154,AE1145,AE$201,AE1163,$D1244))</t>
        </is>
      </c>
    </row>
    <row r="867">
      <c r="A867" s="14" t="n">
        <v>1245</v>
      </c>
      <c r="B867" s="14" t="inlineStr">
        <is>
          <t>rnew</t>
        </is>
      </c>
      <c r="C867" s="14" t="inlineStr">
        <is>
          <t>gso</t>
        </is>
      </c>
      <c r="D867" s="14" t="inlineStr">
        <is>
          <t>ral</t>
        </is>
      </c>
      <c r="E867" s="14" t="inlineStr">
        <is>
          <t>REVENUE</t>
        </is>
      </c>
      <c r="F867" s="92" t="inlineStr">
        <is>
          <t>REVENUE(AE1209,Settings!$C$13,NEWREVRATE(AE1137,AE1155,AE1146,AE$201,AE1164,$D1245))</t>
        </is>
      </c>
    </row>
    <row r="868">
      <c r="A868" s="14" t="n">
        <v>1246</v>
      </c>
      <c r="B868" s="14" t="inlineStr">
        <is>
          <t>rnew</t>
        </is>
      </c>
      <c r="C868" s="14" t="inlineStr">
        <is>
          <t>die</t>
        </is>
      </c>
      <c r="D868" s="14" t="inlineStr">
        <is>
          <t>ral</t>
        </is>
      </c>
      <c r="E868" s="14" t="inlineStr">
        <is>
          <t>REVENUE</t>
        </is>
      </c>
      <c r="F868" s="92" t="inlineStr">
        <is>
          <t>REVENUE(AE1210,Settings!$C$13,NEWREVRATE(AE1138,AE1156,AE1147,AE$201,AE1165,$D1246))</t>
        </is>
      </c>
    </row>
    <row r="869">
      <c r="A869" s="14" t="n">
        <v>1247</v>
      </c>
      <c r="B869" s="14" t="inlineStr">
        <is>
          <t>rnew</t>
        </is>
      </c>
      <c r="C869" s="14" t="inlineStr">
        <is>
          <t>lpg</t>
        </is>
      </c>
      <c r="D869" s="14" t="inlineStr">
        <is>
          <t>ral</t>
        </is>
      </c>
      <c r="E869" s="14" t="inlineStr">
        <is>
          <t>REVENUE</t>
        </is>
      </c>
      <c r="F869" s="92" t="inlineStr">
        <is>
          <t>REVENUE(AE1211,Settings!$C$13,NEWREVRATE(AE1139,AE1157,AE1148,AE$201,AE1166,$D1247))</t>
        </is>
      </c>
    </row>
    <row r="870">
      <c r="A870" s="14" t="n">
        <v>1248</v>
      </c>
      <c r="B870" s="14" t="inlineStr">
        <is>
          <t>rnew</t>
        </is>
      </c>
      <c r="C870" s="14" t="inlineStr">
        <is>
          <t>ker</t>
        </is>
      </c>
      <c r="D870" s="14" t="inlineStr">
        <is>
          <t>ral</t>
        </is>
      </c>
      <c r="E870" s="14" t="inlineStr">
        <is>
          <t>REVENUE</t>
        </is>
      </c>
      <c r="F870" s="92" t="inlineStr">
        <is>
          <t>REVENUE(AE1212,Settings!$C$13,NEWREVRATE(AE1140,AE1158,AE1149,AE$201,AE1167,$D1248))</t>
        </is>
      </c>
    </row>
    <row r="871">
      <c r="A871" s="14" t="n">
        <v>1249</v>
      </c>
      <c r="B871" s="14" t="inlineStr">
        <is>
          <t>rnew</t>
        </is>
      </c>
      <c r="C871" s="14" t="inlineStr">
        <is>
          <t>oop</t>
        </is>
      </c>
      <c r="D871" s="14" t="inlineStr">
        <is>
          <t>ral</t>
        </is>
      </c>
      <c r="E871" s="14" t="inlineStr">
        <is>
          <t>REVENUE</t>
        </is>
      </c>
      <c r="F871" s="92" t="inlineStr">
        <is>
          <t>REVENUE(AE1213,Settings!$C$13,NEWREVRATE(AE1141,AE1159,AE1150,AE$201,AE1168,$D1249))</t>
        </is>
      </c>
    </row>
    <row r="872">
      <c r="A872" s="14" t="n">
        <v>1250</v>
      </c>
      <c r="B872" s="14" t="inlineStr">
        <is>
          <t>rnew</t>
        </is>
      </c>
      <c r="C872" s="14" t="inlineStr">
        <is>
          <t>bio</t>
        </is>
      </c>
      <c r="D872" s="14" t="inlineStr">
        <is>
          <t>ral</t>
        </is>
      </c>
      <c r="E872" s="14" t="inlineStr">
        <is>
          <t>REVENUE</t>
        </is>
      </c>
      <c r="F872" s="92" t="inlineStr">
        <is>
          <t>REVENUE(AE1214,Settings!$C$13,NEWREVRATE(AE1142,AE1160,AE1151,AE$201,AE1169,$D1250))</t>
        </is>
      </c>
    </row>
    <row r="873">
      <c r="A873" s="14" t="n">
        <v>1252</v>
      </c>
      <c r="B873" s="14" t="inlineStr">
        <is>
          <t>rxcp</t>
        </is>
      </c>
      <c r="C873" s="14" t="inlineStr">
        <is>
          <t>coa</t>
        </is>
      </c>
      <c r="D873" s="14" t="inlineStr">
        <is>
          <t>ral</t>
        </is>
      </c>
      <c r="E873" s="14" t="inlineStr">
        <is>
          <t>REVENUE</t>
        </is>
      </c>
      <c r="F873" s="92" t="inlineStr">
        <is>
          <t>REVENUE(AE1207,Settings!$C$13,AE1171)</t>
        </is>
      </c>
    </row>
    <row r="874">
      <c r="A874" s="14" t="n">
        <v>1253</v>
      </c>
      <c r="B874" s="14" t="inlineStr">
        <is>
          <t>rxcp</t>
        </is>
      </c>
      <c r="C874" s="14" t="inlineStr">
        <is>
          <t>nga</t>
        </is>
      </c>
      <c r="D874" s="14" t="inlineStr">
        <is>
          <t>ral</t>
        </is>
      </c>
      <c r="E874" s="14" t="inlineStr">
        <is>
          <t>REVENUE</t>
        </is>
      </c>
      <c r="F874" s="92" t="inlineStr">
        <is>
          <t>REVENUE(AE1208,Settings!$C$13,AE1172)</t>
        </is>
      </c>
    </row>
    <row r="875">
      <c r="A875" s="14" t="n">
        <v>1254</v>
      </c>
      <c r="B875" s="14" t="inlineStr">
        <is>
          <t>rxcp</t>
        </is>
      </c>
      <c r="C875" s="14" t="inlineStr">
        <is>
          <t>gso</t>
        </is>
      </c>
      <c r="D875" s="14" t="inlineStr">
        <is>
          <t>ral</t>
        </is>
      </c>
      <c r="E875" s="14" t="inlineStr">
        <is>
          <t>REVENUE</t>
        </is>
      </c>
      <c r="F875" s="92" t="inlineStr">
        <is>
          <t>REVENUE(AE1209,Settings!$C$13,AE1173)</t>
        </is>
      </c>
    </row>
    <row r="876">
      <c r="A876" s="14" t="n">
        <v>1255</v>
      </c>
      <c r="B876" s="14" t="inlineStr">
        <is>
          <t>rxcp</t>
        </is>
      </c>
      <c r="C876" s="14" t="inlineStr">
        <is>
          <t>die</t>
        </is>
      </c>
      <c r="D876" s="14" t="inlineStr">
        <is>
          <t>ral</t>
        </is>
      </c>
      <c r="E876" s="14" t="inlineStr">
        <is>
          <t>REVENUE</t>
        </is>
      </c>
      <c r="F876" s="92" t="inlineStr">
        <is>
          <t>REVENUE(AE1210,Settings!$C$13,AE1174)</t>
        </is>
      </c>
    </row>
    <row r="877">
      <c r="A877" s="14" t="n">
        <v>1256</v>
      </c>
      <c r="B877" s="14" t="inlineStr">
        <is>
          <t>rxcp</t>
        </is>
      </c>
      <c r="C877" s="14" t="inlineStr">
        <is>
          <t>lpg</t>
        </is>
      </c>
      <c r="D877" s="14" t="inlineStr">
        <is>
          <t>ral</t>
        </is>
      </c>
      <c r="E877" s="14" t="inlineStr">
        <is>
          <t>REVENUE</t>
        </is>
      </c>
      <c r="F877" s="92" t="inlineStr">
        <is>
          <t>REVENUE(AE1211,Settings!$C$13,AE1175)</t>
        </is>
      </c>
    </row>
    <row r="878">
      <c r="A878" s="14" t="n">
        <v>1257</v>
      </c>
      <c r="B878" s="14" t="inlineStr">
        <is>
          <t>rxcp</t>
        </is>
      </c>
      <c r="C878" s="14" t="inlineStr">
        <is>
          <t>ker</t>
        </is>
      </c>
      <c r="D878" s="14" t="inlineStr">
        <is>
          <t>ral</t>
        </is>
      </c>
      <c r="E878" s="14" t="inlineStr">
        <is>
          <t>REVENUE</t>
        </is>
      </c>
      <c r="F878" s="92" t="inlineStr">
        <is>
          <t>REVENUE(AE1212,Settings!$C$13,AE1176)</t>
        </is>
      </c>
    </row>
    <row r="879">
      <c r="A879" s="14" t="n">
        <v>1258</v>
      </c>
      <c r="B879" s="14" t="inlineStr">
        <is>
          <t>rxcp</t>
        </is>
      </c>
      <c r="C879" s="14" t="inlineStr">
        <is>
          <t>oop</t>
        </is>
      </c>
      <c r="D879" s="14" t="inlineStr">
        <is>
          <t>ral</t>
        </is>
      </c>
      <c r="E879" s="14" t="inlineStr">
        <is>
          <t>REVENUE</t>
        </is>
      </c>
      <c r="F879" s="92" t="inlineStr">
        <is>
          <t>REVENUE(AE1213,Settings!$C$13,AE1177)</t>
        </is>
      </c>
    </row>
    <row r="880">
      <c r="A880" s="14" t="n">
        <v>1259</v>
      </c>
      <c r="B880" s="14" t="inlineStr">
        <is>
          <t>rxcp</t>
        </is>
      </c>
      <c r="C880" s="14" t="inlineStr">
        <is>
          <t>bio</t>
        </is>
      </c>
      <c r="D880" s="14" t="inlineStr">
        <is>
          <t>ral</t>
        </is>
      </c>
      <c r="E880" s="14" t="inlineStr">
        <is>
          <t>REVENUE</t>
        </is>
      </c>
      <c r="F880" s="92" t="inlineStr">
        <is>
          <t>REVENUE(AE1214,Settings!$C$13,AE1178)</t>
        </is>
      </c>
    </row>
    <row r="881">
      <c r="A881" s="14" t="n">
        <v>1263</v>
      </c>
      <c r="B881" s="14" t="inlineStr">
        <is>
          <t>ctxnew</t>
        </is>
      </c>
      <c r="C881" s="14" t="inlineStr">
        <is>
          <t>coa</t>
        </is>
      </c>
      <c r="D881" s="14" t="inlineStr">
        <is>
          <t>avi</t>
        </is>
      </c>
      <c r="E881" s="14" t="inlineStr">
        <is>
          <t>CARBONTAX</t>
        </is>
      </c>
      <c r="F881" s="92" t="inlineStr">
        <is>
          <t>CARBONTAX(INDEX(AE$263:AE$279,$F1263),$D1263,INDEX(AE$23:AE$30,$E1263))</t>
        </is>
      </c>
    </row>
    <row r="882">
      <c r="A882" s="14" t="n">
        <v>1264</v>
      </c>
      <c r="B882" s="14" t="inlineStr">
        <is>
          <t>ctxnew</t>
        </is>
      </c>
      <c r="C882" s="14" t="inlineStr">
        <is>
          <t>nga</t>
        </is>
      </c>
      <c r="D882" s="14" t="inlineStr">
        <is>
          <t>avi</t>
        </is>
      </c>
      <c r="E882" s="14" t="inlineStr">
        <is>
          <t>CARBONTAX</t>
        </is>
      </c>
      <c r="F882" s="92" t="inlineStr">
        <is>
          <t>CARBONTAX(INDEX(AE$263:AE$279,$F1264),$D1264,INDEX(AE$23:AE$30,$E1264))</t>
        </is>
      </c>
    </row>
    <row r="883">
      <c r="A883" s="14" t="n">
        <v>1265</v>
      </c>
      <c r="B883" s="14" t="inlineStr">
        <is>
          <t>ctxnew</t>
        </is>
      </c>
      <c r="C883" s="14" t="inlineStr">
        <is>
          <t>gso</t>
        </is>
      </c>
      <c r="D883" s="14" t="inlineStr">
        <is>
          <t>avi</t>
        </is>
      </c>
      <c r="E883" s="14" t="inlineStr">
        <is>
          <t>CARBONTAX</t>
        </is>
      </c>
      <c r="F883" s="92" t="inlineStr">
        <is>
          <t>CARBONTAX(INDEX(AE$263:AE$279,$F1265),$D1265,INDEX(AE$23:AE$30,$E1265))</t>
        </is>
      </c>
    </row>
    <row r="884">
      <c r="A884" s="14" t="n">
        <v>1266</v>
      </c>
      <c r="B884" s="14" t="inlineStr">
        <is>
          <t>ctxnew</t>
        </is>
      </c>
      <c r="C884" s="14" t="inlineStr">
        <is>
          <t>die</t>
        </is>
      </c>
      <c r="D884" s="14" t="inlineStr">
        <is>
          <t>avi</t>
        </is>
      </c>
      <c r="E884" s="14" t="inlineStr">
        <is>
          <t>CARBONTAX</t>
        </is>
      </c>
      <c r="F884" s="92" t="inlineStr">
        <is>
          <t>CARBONTAX(INDEX(AE$263:AE$279,$F1266),$D1266,INDEX(AE$23:AE$30,$E1266))</t>
        </is>
      </c>
    </row>
    <row r="885">
      <c r="A885" s="14" t="n">
        <v>1267</v>
      </c>
      <c r="B885" s="14" t="inlineStr">
        <is>
          <t>ctxnew</t>
        </is>
      </c>
      <c r="C885" s="14" t="inlineStr">
        <is>
          <t>lpg</t>
        </is>
      </c>
      <c r="D885" s="14" t="inlineStr">
        <is>
          <t>avi</t>
        </is>
      </c>
      <c r="E885" s="14" t="inlineStr">
        <is>
          <t>CARBONTAX</t>
        </is>
      </c>
      <c r="F885" s="92" t="inlineStr">
        <is>
          <t>CARBONTAX(INDEX(AE$263:AE$279,$F1267),$D1267,INDEX(AE$23:AE$30,$E1267))</t>
        </is>
      </c>
    </row>
    <row r="886">
      <c r="A886" s="14" t="n">
        <v>1268</v>
      </c>
      <c r="B886" s="14" t="inlineStr">
        <is>
          <t>ctxnew</t>
        </is>
      </c>
      <c r="C886" s="14" t="inlineStr">
        <is>
          <t>ker</t>
        </is>
      </c>
      <c r="D886" s="14" t="inlineStr">
        <is>
          <t>avi</t>
        </is>
      </c>
      <c r="E886" s="14" t="inlineStr">
        <is>
          <t>CARBONTAX</t>
        </is>
      </c>
      <c r="F886" s="92" t="inlineStr">
        <is>
          <t>CARBONTAX(INDEX(AE$263:AE$279,$F1268),$D1268,INDEX(AE$23:AE$30,$E1268))</t>
        </is>
      </c>
    </row>
    <row r="887">
      <c r="A887" s="14" t="n">
        <v>1269</v>
      </c>
      <c r="B887" s="14" t="inlineStr">
        <is>
          <t>ctxnew</t>
        </is>
      </c>
      <c r="C887" s="14" t="inlineStr">
        <is>
          <t>oop</t>
        </is>
      </c>
      <c r="D887" s="14" t="inlineStr">
        <is>
          <t>avi</t>
        </is>
      </c>
      <c r="E887" s="14" t="inlineStr">
        <is>
          <t>CARBONTAX</t>
        </is>
      </c>
      <c r="F887" s="92" t="inlineStr">
        <is>
          <t>CARBONTAX(INDEX(AE$263:AE$279,$F1269),$D1269,INDEX(AE$23:AE$30,$E1269))</t>
        </is>
      </c>
    </row>
    <row r="888">
      <c r="A888" s="14" t="n">
        <v>1270</v>
      </c>
      <c r="B888" s="14" t="inlineStr">
        <is>
          <t>ctxnew</t>
        </is>
      </c>
      <c r="C888" s="14" t="inlineStr">
        <is>
          <t>bio</t>
        </is>
      </c>
      <c r="D888" s="14" t="inlineStr">
        <is>
          <t>avi</t>
        </is>
      </c>
      <c r="E888" s="14" t="inlineStr">
        <is>
          <t>CARBONTAX</t>
        </is>
      </c>
      <c r="F888" s="92" t="inlineStr">
        <is>
          <t>CARBONTAX(INDEX(AE$263:AE$279,$F1270),$D1270,INDEX(AE$23:AE$30,$E1270))</t>
        </is>
      </c>
    </row>
    <row r="889">
      <c r="A889" s="14" t="n">
        <v>1272</v>
      </c>
      <c r="B889" s="14" t="inlineStr">
        <is>
          <t>ets</t>
        </is>
      </c>
      <c r="C889" s="14" t="inlineStr">
        <is>
          <t>coa</t>
        </is>
      </c>
      <c r="D889" s="14" t="inlineStr">
        <is>
          <t>avi</t>
        </is>
      </c>
      <c r="E889" s="14" t="inlineStr">
        <is>
          <t>ETSCOST</t>
        </is>
      </c>
      <c r="F889" s="92" t="inlineStr">
        <is>
          <t>ETSCOST(INDEX(AE$280:AE$296,$E1272),$D1272)</t>
        </is>
      </c>
    </row>
    <row r="890">
      <c r="A890" s="14" t="n">
        <v>1273</v>
      </c>
      <c r="B890" s="14" t="inlineStr">
        <is>
          <t>ets</t>
        </is>
      </c>
      <c r="C890" s="14" t="inlineStr">
        <is>
          <t>nga</t>
        </is>
      </c>
      <c r="D890" s="14" t="inlineStr">
        <is>
          <t>avi</t>
        </is>
      </c>
      <c r="E890" s="14" t="inlineStr">
        <is>
          <t>ETSCOST</t>
        </is>
      </c>
      <c r="F890" s="92" t="inlineStr">
        <is>
          <t>ETSCOST(INDEX(AE$280:AE$296,$E1273),$D1273)</t>
        </is>
      </c>
    </row>
    <row r="891">
      <c r="A891" s="14" t="n">
        <v>1274</v>
      </c>
      <c r="B891" s="14" t="inlineStr">
        <is>
          <t>ets</t>
        </is>
      </c>
      <c r="C891" s="14" t="inlineStr">
        <is>
          <t>gso</t>
        </is>
      </c>
      <c r="D891" s="14" t="inlineStr">
        <is>
          <t>avi</t>
        </is>
      </c>
      <c r="E891" s="14" t="inlineStr">
        <is>
          <t>ETSCOST</t>
        </is>
      </c>
      <c r="F891" s="92" t="inlineStr">
        <is>
          <t>ETSCOST(INDEX(AE$280:AE$296,$E1274),$D1274)</t>
        </is>
      </c>
    </row>
    <row r="892">
      <c r="A892" s="14" t="n">
        <v>1275</v>
      </c>
      <c r="B892" s="14" t="inlineStr">
        <is>
          <t>ets</t>
        </is>
      </c>
      <c r="C892" s="14" t="inlineStr">
        <is>
          <t>die</t>
        </is>
      </c>
      <c r="D892" s="14" t="inlineStr">
        <is>
          <t>avi</t>
        </is>
      </c>
      <c r="E892" s="14" t="inlineStr">
        <is>
          <t>ETSCOST</t>
        </is>
      </c>
      <c r="F892" s="92" t="inlineStr">
        <is>
          <t>ETSCOST(INDEX(AE$280:AE$296,$E1275),$D1275)</t>
        </is>
      </c>
    </row>
    <row r="893">
      <c r="A893" s="14" t="n">
        <v>1276</v>
      </c>
      <c r="B893" s="14" t="inlineStr">
        <is>
          <t>ets</t>
        </is>
      </c>
      <c r="C893" s="14" t="inlineStr">
        <is>
          <t>lpg</t>
        </is>
      </c>
      <c r="D893" s="14" t="inlineStr">
        <is>
          <t>avi</t>
        </is>
      </c>
      <c r="E893" s="14" t="inlineStr">
        <is>
          <t>ETSCOST</t>
        </is>
      </c>
      <c r="F893" s="92" t="inlineStr">
        <is>
          <t>ETSCOST(INDEX(AE$280:AE$296,$E1276),$D1276)</t>
        </is>
      </c>
    </row>
    <row r="894">
      <c r="A894" s="14" t="n">
        <v>1277</v>
      </c>
      <c r="B894" s="14" t="inlineStr">
        <is>
          <t>ets</t>
        </is>
      </c>
      <c r="C894" s="14" t="inlineStr">
        <is>
          <t>ker</t>
        </is>
      </c>
      <c r="D894" s="14" t="inlineStr">
        <is>
          <t>avi</t>
        </is>
      </c>
      <c r="E894" s="14" t="inlineStr">
        <is>
          <t>ETSCOST</t>
        </is>
      </c>
      <c r="F894" s="92" t="inlineStr">
        <is>
          <t>ETSCOST(INDEX(AE$280:AE$296,$E1277),$D1277)</t>
        </is>
      </c>
    </row>
    <row r="895">
      <c r="A895" s="14" t="n">
        <v>1278</v>
      </c>
      <c r="B895" s="14" t="inlineStr">
        <is>
          <t>ets</t>
        </is>
      </c>
      <c r="C895" s="14" t="inlineStr">
        <is>
          <t>oop</t>
        </is>
      </c>
      <c r="D895" s="14" t="inlineStr">
        <is>
          <t>avi</t>
        </is>
      </c>
      <c r="E895" s="14" t="inlineStr">
        <is>
          <t>ETSCOST</t>
        </is>
      </c>
      <c r="F895" s="92" t="inlineStr">
        <is>
          <t>ETSCOST(INDEX(AE$280:AE$296,$E1278),$D1278)</t>
        </is>
      </c>
    </row>
    <row r="896">
      <c r="A896" s="14" t="n">
        <v>1279</v>
      </c>
      <c r="B896" s="14" t="inlineStr">
        <is>
          <t>ets</t>
        </is>
      </c>
      <c r="C896" s="14" t="inlineStr">
        <is>
          <t>bio</t>
        </is>
      </c>
      <c r="D896" s="14" t="inlineStr">
        <is>
          <t>avi</t>
        </is>
      </c>
      <c r="E896" s="14" t="inlineStr">
        <is>
          <t>ETSCOST</t>
        </is>
      </c>
      <c r="F896" s="92" t="inlineStr">
        <is>
          <t>ETSCOST(INDEX(AE$280:AE$296,$E1279),$D1279)</t>
        </is>
      </c>
    </row>
    <row r="897">
      <c r="A897" s="14" t="n">
        <v>1281</v>
      </c>
      <c r="B897" s="14" t="inlineStr">
        <is>
          <t>ntx</t>
        </is>
      </c>
      <c r="C897" s="14" t="inlineStr">
        <is>
          <t>coa</t>
        </is>
      </c>
      <c r="D897" s="14" t="inlineStr">
        <is>
          <t>avi</t>
        </is>
      </c>
      <c r="E897" s="14" t="inlineStr">
        <is>
          <t>NEWEXCISE</t>
        </is>
      </c>
      <c r="F897" s="92" t="inlineStr">
        <is>
          <t>NEWEXCISE(INDEX(AE$80:AE$93,$D1281),$E1281)</t>
        </is>
      </c>
    </row>
    <row r="898">
      <c r="A898" s="14" t="n">
        <v>1282</v>
      </c>
      <c r="B898" s="14" t="inlineStr">
        <is>
          <t>ntx</t>
        </is>
      </c>
      <c r="C898" s="14" t="inlineStr">
        <is>
          <t>nga</t>
        </is>
      </c>
      <c r="D898" s="14" t="inlineStr">
        <is>
          <t>avi</t>
        </is>
      </c>
      <c r="E898" s="14" t="inlineStr">
        <is>
          <t>NEWEXCISE</t>
        </is>
      </c>
      <c r="F898" s="92" t="inlineStr">
        <is>
          <t>NEWEXCISE(INDEX(AE$80:AE$93,$D1282),$E1282)</t>
        </is>
      </c>
    </row>
    <row r="899">
      <c r="A899" s="14" t="n">
        <v>1283</v>
      </c>
      <c r="B899" s="14" t="inlineStr">
        <is>
          <t>ntx</t>
        </is>
      </c>
      <c r="C899" s="14" t="inlineStr">
        <is>
          <t>gso</t>
        </is>
      </c>
      <c r="D899" s="14" t="inlineStr">
        <is>
          <t>avi</t>
        </is>
      </c>
      <c r="E899" s="14" t="inlineStr">
        <is>
          <t>NEWEXCISE</t>
        </is>
      </c>
      <c r="F899" s="92" t="inlineStr">
        <is>
          <t>NEWEXCISE(INDEX(AE$80:AE$93,$D1283),$E1283)</t>
        </is>
      </c>
    </row>
    <row r="900">
      <c r="A900" s="14" t="n">
        <v>1284</v>
      </c>
      <c r="B900" s="14" t="inlineStr">
        <is>
          <t>ntx</t>
        </is>
      </c>
      <c r="C900" s="14" t="inlineStr">
        <is>
          <t>die</t>
        </is>
      </c>
      <c r="D900" s="14" t="inlineStr">
        <is>
          <t>avi</t>
        </is>
      </c>
      <c r="E900" s="14" t="inlineStr">
        <is>
          <t>NEWEXCISE</t>
        </is>
      </c>
      <c r="F900" s="92" t="inlineStr">
        <is>
          <t>NEWEXCISE(INDEX(AE$80:AE$93,$D1284),$E1284)</t>
        </is>
      </c>
    </row>
    <row r="901">
      <c r="A901" s="14" t="n">
        <v>1285</v>
      </c>
      <c r="B901" s="14" t="inlineStr">
        <is>
          <t>ntx</t>
        </is>
      </c>
      <c r="C901" s="14" t="inlineStr">
        <is>
          <t>lpg</t>
        </is>
      </c>
      <c r="D901" s="14" t="inlineStr">
        <is>
          <t>avi</t>
        </is>
      </c>
      <c r="E901" s="14" t="inlineStr">
        <is>
          <t>NEWEXCISE</t>
        </is>
      </c>
      <c r="F901" s="92" t="inlineStr">
        <is>
          <t>NEWEXCISE(INDEX(AE$80:AE$93,$D1285),$E1285)</t>
        </is>
      </c>
    </row>
    <row r="902">
      <c r="A902" s="14" t="n">
        <v>1286</v>
      </c>
      <c r="B902" s="14" t="inlineStr">
        <is>
          <t>ntx</t>
        </is>
      </c>
      <c r="C902" s="14" t="inlineStr">
        <is>
          <t>ker</t>
        </is>
      </c>
      <c r="D902" s="14" t="inlineStr">
        <is>
          <t>avi</t>
        </is>
      </c>
      <c r="E902" s="14" t="inlineStr">
        <is>
          <t>NEWEXCISE</t>
        </is>
      </c>
      <c r="F902" s="92" t="inlineStr">
        <is>
          <t>NEWEXCISE(INDEX(AE$80:AE$93,$D1286),$E1286)</t>
        </is>
      </c>
    </row>
    <row r="903">
      <c r="A903" s="14" t="n">
        <v>1287</v>
      </c>
      <c r="B903" s="14" t="inlineStr">
        <is>
          <t>ntx</t>
        </is>
      </c>
      <c r="C903" s="14" t="inlineStr">
        <is>
          <t>oop</t>
        </is>
      </c>
      <c r="D903" s="14" t="inlineStr">
        <is>
          <t>avi</t>
        </is>
      </c>
      <c r="E903" s="14" t="inlineStr">
        <is>
          <t>NEWEXCISE</t>
        </is>
      </c>
      <c r="F903" s="92" t="inlineStr">
        <is>
          <t>NEWEXCISE(INDEX(AE$80:AE$93,$D1287),$E1287)</t>
        </is>
      </c>
    </row>
    <row r="904">
      <c r="A904" s="14" t="n">
        <v>1288</v>
      </c>
      <c r="B904" s="14" t="inlineStr">
        <is>
          <t>ntx</t>
        </is>
      </c>
      <c r="C904" s="14" t="inlineStr">
        <is>
          <t>bio</t>
        </is>
      </c>
      <c r="D904" s="14" t="inlineStr">
        <is>
          <t>avi</t>
        </is>
      </c>
      <c r="E904" s="14" t="inlineStr">
        <is>
          <t>NEWEXCISE</t>
        </is>
      </c>
      <c r="F904" s="92" t="inlineStr">
        <is>
          <t>NEWEXCISE(INDEX(AE$80:AE$93,$D1288),$E1288)</t>
        </is>
      </c>
    </row>
    <row r="905">
      <c r="A905" s="14" t="n">
        <v>1290</v>
      </c>
      <c r="B905" s="14" t="inlineStr">
        <is>
          <t>nce</t>
        </is>
      </c>
      <c r="C905" s="14" t="inlineStr">
        <is>
          <t>coa</t>
        </is>
      </c>
      <c r="D905" s="14" t="inlineStr">
        <is>
          <t>avi</t>
        </is>
      </c>
      <c r="E905" s="14" t="inlineStr">
        <is>
          <t>NEWPOLICY</t>
        </is>
      </c>
      <c r="F905" s="92" t="inlineStr">
        <is>
          <t>NEWPOLICY(AE1263,AE1272,AE1281)</t>
        </is>
      </c>
    </row>
    <row r="906">
      <c r="A906" s="14" t="n">
        <v>1291</v>
      </c>
      <c r="B906" s="14" t="inlineStr">
        <is>
          <t>nce</t>
        </is>
      </c>
      <c r="C906" s="14" t="inlineStr">
        <is>
          <t>nga</t>
        </is>
      </c>
      <c r="D906" s="14" t="inlineStr">
        <is>
          <t>avi</t>
        </is>
      </c>
      <c r="E906" s="14" t="inlineStr">
        <is>
          <t>NEWPOLICY</t>
        </is>
      </c>
      <c r="F906" s="92" t="inlineStr">
        <is>
          <t>NEWPOLICY(AE1264,AE1273,AE1282)</t>
        </is>
      </c>
    </row>
    <row r="907">
      <c r="A907" s="14" t="n">
        <v>1292</v>
      </c>
      <c r="B907" s="14" t="inlineStr">
        <is>
          <t>nce</t>
        </is>
      </c>
      <c r="C907" s="14" t="inlineStr">
        <is>
          <t>gso</t>
        </is>
      </c>
      <c r="D907" s="14" t="inlineStr">
        <is>
          <t>avi</t>
        </is>
      </c>
      <c r="E907" s="14" t="inlineStr">
        <is>
          <t>NEWPOLICY</t>
        </is>
      </c>
      <c r="F907" s="92" t="inlineStr">
        <is>
          <t>NEWPOLICY(AE1265,AE1274,AE1283)</t>
        </is>
      </c>
    </row>
    <row r="908">
      <c r="A908" s="14" t="n">
        <v>1293</v>
      </c>
      <c r="B908" s="14" t="inlineStr">
        <is>
          <t>nce</t>
        </is>
      </c>
      <c r="C908" s="14" t="inlineStr">
        <is>
          <t>die</t>
        </is>
      </c>
      <c r="D908" s="14" t="inlineStr">
        <is>
          <t>avi</t>
        </is>
      </c>
      <c r="E908" s="14" t="inlineStr">
        <is>
          <t>NEWPOLICY</t>
        </is>
      </c>
      <c r="F908" s="92" t="inlineStr">
        <is>
          <t>NEWPOLICY(AE1266,AE1275,AE1284)</t>
        </is>
      </c>
    </row>
    <row r="909">
      <c r="A909" s="14" t="n">
        <v>1294</v>
      </c>
      <c r="B909" s="14" t="inlineStr">
        <is>
          <t>nce</t>
        </is>
      </c>
      <c r="C909" s="14" t="inlineStr">
        <is>
          <t>lpg</t>
        </is>
      </c>
      <c r="D909" s="14" t="inlineStr">
        <is>
          <t>avi</t>
        </is>
      </c>
      <c r="E909" s="14" t="inlineStr">
        <is>
          <t>NEWPOLICY</t>
        </is>
      </c>
      <c r="F909" s="92" t="inlineStr">
        <is>
          <t>NEWPOLICY(AE1267,AE1276,AE1285)</t>
        </is>
      </c>
    </row>
    <row r="910">
      <c r="A910" s="14" t="n">
        <v>1295</v>
      </c>
      <c r="B910" s="14" t="inlineStr">
        <is>
          <t>nce</t>
        </is>
      </c>
      <c r="C910" s="14" t="inlineStr">
        <is>
          <t>ker</t>
        </is>
      </c>
      <c r="D910" s="14" t="inlineStr">
        <is>
          <t>avi</t>
        </is>
      </c>
      <c r="E910" s="14" t="inlineStr">
        <is>
          <t>NEWPOLICY</t>
        </is>
      </c>
      <c r="F910" s="92" t="inlineStr">
        <is>
          <t>NEWPOLICY(AE1268,AE1277,AE1286)</t>
        </is>
      </c>
    </row>
    <row r="911">
      <c r="A911" s="14" t="n">
        <v>1296</v>
      </c>
      <c r="B911" s="14" t="inlineStr">
        <is>
          <t>nce</t>
        </is>
      </c>
      <c r="C911" s="14" t="inlineStr">
        <is>
          <t>oop</t>
        </is>
      </c>
      <c r="D911" s="14" t="inlineStr">
        <is>
          <t>avi</t>
        </is>
      </c>
      <c r="E911" s="14" t="inlineStr">
        <is>
          <t>NEWPOLICY</t>
        </is>
      </c>
      <c r="F911" s="92" t="inlineStr">
        <is>
          <t>NEWPOLICY(AE1269,AE1278,AE1287)</t>
        </is>
      </c>
    </row>
    <row r="912">
      <c r="A912" s="14" t="n">
        <v>1297</v>
      </c>
      <c r="B912" s="14" t="inlineStr">
        <is>
          <t>nce</t>
        </is>
      </c>
      <c r="C912" s="14" t="inlineStr">
        <is>
          <t>bio</t>
        </is>
      </c>
      <c r="D912" s="14" t="inlineStr">
        <is>
          <t>avi</t>
        </is>
      </c>
      <c r="E912" s="14" t="inlineStr">
        <is>
          <t>NEWPOLICY</t>
        </is>
      </c>
      <c r="F912" s="92" t="inlineStr">
        <is>
          <t>NEWPOLICY(AE1270,AE1279,AE1288)</t>
        </is>
      </c>
    </row>
    <row r="913">
      <c r="A913" s="14" t="n">
        <v>1299</v>
      </c>
      <c r="B913" s="14" t="inlineStr">
        <is>
          <t>xcp</t>
        </is>
      </c>
      <c r="C913" s="14" t="inlineStr">
        <is>
          <t>coa</t>
        </is>
      </c>
      <c r="D913" s="14" t="inlineStr">
        <is>
          <t>avi</t>
        </is>
      </c>
      <c r="E913" s="14" t="inlineStr">
        <is>
          <t>XCARBON</t>
        </is>
      </c>
      <c r="F913" s="92" t="inlineStr">
        <is>
          <t>XCARBON($D1299,$E1299,AE$321,$F1299,AE$324)</t>
        </is>
      </c>
    </row>
    <row r="914">
      <c r="A914" s="14" t="n">
        <v>1300</v>
      </c>
      <c r="B914" s="14" t="inlineStr">
        <is>
          <t>xcp</t>
        </is>
      </c>
      <c r="C914" s="14" t="inlineStr">
        <is>
          <t>nga</t>
        </is>
      </c>
      <c r="D914" s="14" t="inlineStr">
        <is>
          <t>avi</t>
        </is>
      </c>
      <c r="E914" s="14" t="inlineStr">
        <is>
          <t>XCARBON</t>
        </is>
      </c>
      <c r="F914" s="92" t="inlineStr">
        <is>
          <t>XCARBON($D1300,$E1300,AE$321,$F1300,AE$324)</t>
        </is>
      </c>
    </row>
    <row r="915">
      <c r="A915" s="14" t="n">
        <v>1301</v>
      </c>
      <c r="B915" s="14" t="inlineStr">
        <is>
          <t>xcp</t>
        </is>
      </c>
      <c r="C915" s="14" t="inlineStr">
        <is>
          <t>gso</t>
        </is>
      </c>
      <c r="D915" s="14" t="inlineStr">
        <is>
          <t>avi</t>
        </is>
      </c>
      <c r="E915" s="14" t="inlineStr">
        <is>
          <t>XCARBON</t>
        </is>
      </c>
      <c r="F915" s="92" t="inlineStr">
        <is>
          <t>XCARBON($D1301,$E1301,AE$321,$F1301,AE$324)</t>
        </is>
      </c>
    </row>
    <row r="916">
      <c r="A916" s="14" t="n">
        <v>1302</v>
      </c>
      <c r="B916" s="14" t="inlineStr">
        <is>
          <t>xcp</t>
        </is>
      </c>
      <c r="C916" s="14" t="inlineStr">
        <is>
          <t>die</t>
        </is>
      </c>
      <c r="D916" s="14" t="inlineStr">
        <is>
          <t>avi</t>
        </is>
      </c>
      <c r="E916" s="14" t="inlineStr">
        <is>
          <t>XCARBON</t>
        </is>
      </c>
      <c r="F916" s="92" t="inlineStr">
        <is>
          <t>XCARBON($D1302,$E1302,AE$321,$F1302,AE$324)</t>
        </is>
      </c>
    </row>
    <row r="917">
      <c r="A917" s="14" t="n">
        <v>1303</v>
      </c>
      <c r="B917" s="14" t="inlineStr">
        <is>
          <t>xcp</t>
        </is>
      </c>
      <c r="C917" s="14" t="inlineStr">
        <is>
          <t>lpg</t>
        </is>
      </c>
      <c r="D917" s="14" t="inlineStr">
        <is>
          <t>avi</t>
        </is>
      </c>
      <c r="E917" s="14" t="inlineStr">
        <is>
          <t>XCARBON</t>
        </is>
      </c>
      <c r="F917" s="92" t="inlineStr">
        <is>
          <t>XCARBON($D1303,$E1303,AE$321,$F1303,AE$324)</t>
        </is>
      </c>
    </row>
    <row r="918">
      <c r="A918" s="14" t="n">
        <v>1304</v>
      </c>
      <c r="B918" s="14" t="inlineStr">
        <is>
          <t>xcp</t>
        </is>
      </c>
      <c r="C918" s="14" t="inlineStr">
        <is>
          <t>ker</t>
        </is>
      </c>
      <c r="D918" s="14" t="inlineStr">
        <is>
          <t>avi</t>
        </is>
      </c>
      <c r="E918" s="14" t="inlineStr">
        <is>
          <t>XCARBON</t>
        </is>
      </c>
      <c r="F918" s="92" t="inlineStr">
        <is>
          <t>XCARBON($D1304,$E1304,AE$321,$F1304,AE$324)</t>
        </is>
      </c>
    </row>
    <row r="919">
      <c r="A919" s="14" t="n">
        <v>1305</v>
      </c>
      <c r="B919" s="14" t="inlineStr">
        <is>
          <t>xcp</t>
        </is>
      </c>
      <c r="C919" s="14" t="inlineStr">
        <is>
          <t>oop</t>
        </is>
      </c>
      <c r="D919" s="14" t="inlineStr">
        <is>
          <t>avi</t>
        </is>
      </c>
      <c r="E919" s="14" t="inlineStr">
        <is>
          <t>XCARBON</t>
        </is>
      </c>
      <c r="F919" s="92" t="inlineStr">
        <is>
          <t>XCARBON($D1305,$E1305,AE$321,$F1305,AE$324)</t>
        </is>
      </c>
    </row>
    <row r="920">
      <c r="A920" s="14" t="n">
        <v>1306</v>
      </c>
      <c r="B920" s="14" t="inlineStr">
        <is>
          <t>xcp</t>
        </is>
      </c>
      <c r="C920" s="14" t="inlineStr">
        <is>
          <t>bio</t>
        </is>
      </c>
      <c r="D920" s="14" t="inlineStr">
        <is>
          <t>avi</t>
        </is>
      </c>
      <c r="E920" s="14" t="inlineStr">
        <is>
          <t>XCARBON</t>
        </is>
      </c>
      <c r="F920" s="92" t="inlineStr">
        <is>
          <t>XCARBON($D1306,$E1306,AE$321,$F1306,AE$324)</t>
        </is>
      </c>
    </row>
    <row r="921">
      <c r="A921" s="14" t="n">
        <v>1308</v>
      </c>
      <c r="B921" s="14" t="inlineStr">
        <is>
          <t>xcpd</t>
        </is>
      </c>
      <c r="C921" s="14" t="inlineStr">
        <is>
          <t>coa</t>
        </is>
      </c>
      <c r="D921" s="14" t="inlineStr">
        <is>
          <t>avi</t>
        </is>
      </c>
      <c r="E921" s="14" t="inlineStr">
        <is>
          <t>XCARBON</t>
        </is>
      </c>
      <c r="F921" s="92" t="inlineStr">
        <is>
          <t>XCARBON($D1308,$E1308,(AE$321-AE$322),$F1308,(AE$324-AE$325))</t>
        </is>
      </c>
    </row>
    <row r="922">
      <c r="A922" s="14" t="n">
        <v>1309</v>
      </c>
      <c r="B922" s="14" t="inlineStr">
        <is>
          <t>xcpd</t>
        </is>
      </c>
      <c r="C922" s="14" t="inlineStr">
        <is>
          <t>nga</t>
        </is>
      </c>
      <c r="D922" s="14" t="inlineStr">
        <is>
          <t>avi</t>
        </is>
      </c>
      <c r="E922" s="14" t="inlineStr">
        <is>
          <t>XCARBON</t>
        </is>
      </c>
      <c r="F922" s="92" t="inlineStr">
        <is>
          <t>XCARBON($D1309,$E1309,(AE$321-AE$322),$F1309,(AE$324-AE$325))</t>
        </is>
      </c>
    </row>
    <row r="923">
      <c r="A923" s="14" t="n">
        <v>1310</v>
      </c>
      <c r="B923" s="14" t="inlineStr">
        <is>
          <t>xcpd</t>
        </is>
      </c>
      <c r="C923" s="14" t="inlineStr">
        <is>
          <t>gso</t>
        </is>
      </c>
      <c r="D923" s="14" t="inlineStr">
        <is>
          <t>avi</t>
        </is>
      </c>
      <c r="E923" s="14" t="inlineStr">
        <is>
          <t>XCARBON</t>
        </is>
      </c>
      <c r="F923" s="92" t="inlineStr">
        <is>
          <t>XCARBON($D1310,$E1310,(AE$321-AE$322),$F1310,(AE$324-AE$325))</t>
        </is>
      </c>
    </row>
    <row r="924">
      <c r="A924" s="14" t="n">
        <v>1311</v>
      </c>
      <c r="B924" s="14" t="inlineStr">
        <is>
          <t>xcpd</t>
        </is>
      </c>
      <c r="C924" s="14" t="inlineStr">
        <is>
          <t>die</t>
        </is>
      </c>
      <c r="D924" s="14" t="inlineStr">
        <is>
          <t>avi</t>
        </is>
      </c>
      <c r="E924" s="14" t="inlineStr">
        <is>
          <t>XCARBON</t>
        </is>
      </c>
      <c r="F924" s="92" t="inlineStr">
        <is>
          <t>XCARBON($D1311,$E1311,(AE$321-AE$322),$F1311,(AE$324-AE$325))</t>
        </is>
      </c>
    </row>
    <row r="925">
      <c r="A925" s="14" t="n">
        <v>1312</v>
      </c>
      <c r="B925" s="14" t="inlineStr">
        <is>
          <t>xcpd</t>
        </is>
      </c>
      <c r="C925" s="14" t="inlineStr">
        <is>
          <t>lpg</t>
        </is>
      </c>
      <c r="D925" s="14" t="inlineStr">
        <is>
          <t>avi</t>
        </is>
      </c>
      <c r="E925" s="14" t="inlineStr">
        <is>
          <t>XCARBON</t>
        </is>
      </c>
      <c r="F925" s="92" t="inlineStr">
        <is>
          <t>XCARBON($D1312,$E1312,(AE$321-AE$322),$F1312,(AE$324-AE$325))</t>
        </is>
      </c>
    </row>
    <row r="926">
      <c r="A926" s="14" t="n">
        <v>1313</v>
      </c>
      <c r="B926" s="14" t="inlineStr">
        <is>
          <t>xcpd</t>
        </is>
      </c>
      <c r="C926" s="14" t="inlineStr">
        <is>
          <t>ker</t>
        </is>
      </c>
      <c r="D926" s="14" t="inlineStr">
        <is>
          <t>avi</t>
        </is>
      </c>
      <c r="E926" s="14" t="inlineStr">
        <is>
          <t>XCARBON</t>
        </is>
      </c>
      <c r="F926" s="92" t="inlineStr">
        <is>
          <t>XCARBON($D1313,$E1313,(AE$321-AE$322),$F1313,(AE$324-AE$325))</t>
        </is>
      </c>
    </row>
    <row r="927">
      <c r="A927" s="14" t="n">
        <v>1314</v>
      </c>
      <c r="B927" s="14" t="inlineStr">
        <is>
          <t>xcpd</t>
        </is>
      </c>
      <c r="C927" s="14" t="inlineStr">
        <is>
          <t>oop</t>
        </is>
      </c>
      <c r="D927" s="14" t="inlineStr">
        <is>
          <t>avi</t>
        </is>
      </c>
      <c r="E927" s="14" t="inlineStr">
        <is>
          <t>XCARBON</t>
        </is>
      </c>
      <c r="F927" s="92" t="inlineStr">
        <is>
          <t>XCARBON($D1314,$E1314,(AE$321-AE$322),$F1314,(AE$324-AE$325))</t>
        </is>
      </c>
    </row>
    <row r="928">
      <c r="A928" s="14" t="n">
        <v>1315</v>
      </c>
      <c r="B928" s="14" t="inlineStr">
        <is>
          <t>xcpd</t>
        </is>
      </c>
      <c r="C928" s="14" t="inlineStr">
        <is>
          <t>bio</t>
        </is>
      </c>
      <c r="D928" s="14" t="inlineStr">
        <is>
          <t>avi</t>
        </is>
      </c>
      <c r="E928" s="14" t="inlineStr">
        <is>
          <t>XCARBON</t>
        </is>
      </c>
      <c r="F928" s="92" t="inlineStr">
        <is>
          <t>XCARBON($D1315,$E1315,(AE$321-AE$322),$F1315,(AE$324-AE$325))</t>
        </is>
      </c>
    </row>
    <row r="929">
      <c r="A929" s="14" t="n">
        <v>1317</v>
      </c>
      <c r="B929" s="14" t="inlineStr">
        <is>
          <t>atp</t>
        </is>
      </c>
      <c r="C929" s="14" t="inlineStr">
        <is>
          <t>coa</t>
        </is>
      </c>
      <c r="D929" s="14" t="inlineStr">
        <is>
          <t>avi</t>
        </is>
      </c>
      <c r="E929" s="14" t="inlineStr">
        <is>
          <t>POSTTAX</t>
        </is>
      </c>
      <c r="F929" s="92" t="inlineStr">
        <is>
          <t>POSTTAX(INDEX(AE$381:AE$392,$D1317),AE1290+AE1308,$E1317)</t>
        </is>
      </c>
    </row>
    <row r="930">
      <c r="A930" s="14" t="n">
        <v>1318</v>
      </c>
      <c r="B930" s="14" t="inlineStr">
        <is>
          <t>atp</t>
        </is>
      </c>
      <c r="C930" s="14" t="inlineStr">
        <is>
          <t>nga</t>
        </is>
      </c>
      <c r="D930" s="14" t="inlineStr">
        <is>
          <t>avi</t>
        </is>
      </c>
      <c r="E930" s="14" t="inlineStr">
        <is>
          <t>POSTTAX</t>
        </is>
      </c>
      <c r="F930" s="92" t="inlineStr">
        <is>
          <t>POSTTAX(INDEX(AE$381:AE$392,$D1318),AE1291+AE1309,$E1318)</t>
        </is>
      </c>
    </row>
    <row r="931">
      <c r="A931" s="14" t="n">
        <v>1319</v>
      </c>
      <c r="B931" s="14" t="inlineStr">
        <is>
          <t>atp</t>
        </is>
      </c>
      <c r="C931" s="14" t="inlineStr">
        <is>
          <t>gso</t>
        </is>
      </c>
      <c r="D931" s="14" t="inlineStr">
        <is>
          <t>avi</t>
        </is>
      </c>
      <c r="E931" s="14" t="inlineStr">
        <is>
          <t>POSTTAX</t>
        </is>
      </c>
      <c r="F931" s="92" t="inlineStr">
        <is>
          <t>POSTTAX(INDEX(AE$381:AE$392,$D1319),AE1292+AE1310,$E1319)</t>
        </is>
      </c>
    </row>
    <row r="932">
      <c r="A932" s="14" t="n">
        <v>1320</v>
      </c>
      <c r="B932" s="14" t="inlineStr">
        <is>
          <t>atp</t>
        </is>
      </c>
      <c r="C932" s="14" t="inlineStr">
        <is>
          <t>die</t>
        </is>
      </c>
      <c r="D932" s="14" t="inlineStr">
        <is>
          <t>avi</t>
        </is>
      </c>
      <c r="E932" s="14" t="inlineStr">
        <is>
          <t>POSTTAX</t>
        </is>
      </c>
      <c r="F932" s="92" t="inlineStr">
        <is>
          <t>POSTTAX(INDEX(AE$381:AE$392,$D1320),AE1293+AE1311,$E1320)</t>
        </is>
      </c>
    </row>
    <row r="933">
      <c r="A933" s="14" t="n">
        <v>1321</v>
      </c>
      <c r="B933" s="14" t="inlineStr">
        <is>
          <t>atp</t>
        </is>
      </c>
      <c r="C933" s="14" t="inlineStr">
        <is>
          <t>lpg</t>
        </is>
      </c>
      <c r="D933" s="14" t="inlineStr">
        <is>
          <t>avi</t>
        </is>
      </c>
      <c r="E933" s="14" t="inlineStr">
        <is>
          <t>POSTTAX</t>
        </is>
      </c>
      <c r="F933" s="92" t="inlineStr">
        <is>
          <t>POSTTAX(INDEX(AE$381:AE$392,$D1321),AE1294+AE1312,$E1321)</t>
        </is>
      </c>
    </row>
    <row r="934">
      <c r="A934" s="14" t="n">
        <v>1322</v>
      </c>
      <c r="B934" s="14" t="inlineStr">
        <is>
          <t>atp</t>
        </is>
      </c>
      <c r="C934" s="14" t="inlineStr">
        <is>
          <t>ker</t>
        </is>
      </c>
      <c r="D934" s="14" t="inlineStr">
        <is>
          <t>avi</t>
        </is>
      </c>
      <c r="E934" s="14" t="inlineStr">
        <is>
          <t>POSTTAX</t>
        </is>
      </c>
      <c r="F934" s="92" t="inlineStr">
        <is>
          <t>POSTTAX(INDEX(AE$381:AE$392,$D1322),AE1295+AE1313,$E1322)</t>
        </is>
      </c>
    </row>
    <row r="935">
      <c r="A935" s="14" t="n">
        <v>1323</v>
      </c>
      <c r="B935" s="14" t="inlineStr">
        <is>
          <t>atp</t>
        </is>
      </c>
      <c r="C935" s="14" t="inlineStr">
        <is>
          <t>oop</t>
        </is>
      </c>
      <c r="D935" s="14" t="inlineStr">
        <is>
          <t>avi</t>
        </is>
      </c>
      <c r="E935" s="14" t="inlineStr">
        <is>
          <t>POSTTAX</t>
        </is>
      </c>
      <c r="F935" s="92" t="inlineStr">
        <is>
          <t>POSTTAX(INDEX(AE$381:AE$392,$D1323),AE1296+AE1314,$E1323)</t>
        </is>
      </c>
    </row>
    <row r="936">
      <c r="A936" s="14" t="n">
        <v>1324</v>
      </c>
      <c r="B936" s="14" t="inlineStr">
        <is>
          <t>atp</t>
        </is>
      </c>
      <c r="C936" s="14" t="inlineStr">
        <is>
          <t>bio</t>
        </is>
      </c>
      <c r="D936" s="14" t="inlineStr">
        <is>
          <t>avi</t>
        </is>
      </c>
      <c r="E936" s="14" t="inlineStr">
        <is>
          <t>POSTTAX</t>
        </is>
      </c>
      <c r="F936" s="92" t="inlineStr">
        <is>
          <t>POSTTAX(INDEX(AE$381:AE$392,$D1324),AE1297+AE1315,$E1324)</t>
        </is>
      </c>
    </row>
    <row r="937">
      <c r="A937" s="14" t="n">
        <v>1326</v>
      </c>
      <c r="B937" s="14" t="inlineStr">
        <is>
          <t>shp</t>
        </is>
      </c>
      <c r="C937" s="14" t="inlineStr">
        <is>
          <t>coa</t>
        </is>
      </c>
      <c r="D937" s="14" t="inlineStr">
        <is>
          <t>avi</t>
        </is>
      </c>
      <c r="E937" s="14" t="inlineStr">
        <is>
          <t>SHADOWGJ</t>
        </is>
      </c>
      <c r="F937" s="92" t="inlineStr">
        <is>
          <t>SHADOWGJ(INDEX(AE$297:AE$313,$E1326),$D1326)</t>
        </is>
      </c>
    </row>
    <row r="938">
      <c r="A938" s="14" t="n">
        <v>1327</v>
      </c>
      <c r="B938" s="14" t="inlineStr">
        <is>
          <t>shp</t>
        </is>
      </c>
      <c r="C938" s="14" t="inlineStr">
        <is>
          <t>nga</t>
        </is>
      </c>
      <c r="D938" s="14" t="inlineStr">
        <is>
          <t>avi</t>
        </is>
      </c>
      <c r="E938" s="14" t="inlineStr">
        <is>
          <t>SHADOWGJ</t>
        </is>
      </c>
      <c r="F938" s="92" t="inlineStr">
        <is>
          <t>SHADOWGJ(INDEX(AE$297:AE$313,$E1327),$D1327)</t>
        </is>
      </c>
    </row>
    <row r="939">
      <c r="A939" s="14" t="n">
        <v>1328</v>
      </c>
      <c r="B939" s="14" t="inlineStr">
        <is>
          <t>shp</t>
        </is>
      </c>
      <c r="C939" s="14" t="inlineStr">
        <is>
          <t>gso</t>
        </is>
      </c>
      <c r="D939" s="14" t="inlineStr">
        <is>
          <t>avi</t>
        </is>
      </c>
      <c r="E939" s="14" t="inlineStr">
        <is>
          <t>SHADOWGJ</t>
        </is>
      </c>
      <c r="F939" s="92" t="inlineStr">
        <is>
          <t>SHADOWGJ(INDEX(AE$297:AE$313,$E1328),$D1328)</t>
        </is>
      </c>
    </row>
    <row r="940">
      <c r="A940" s="14" t="n">
        <v>1329</v>
      </c>
      <c r="B940" s="14" t="inlineStr">
        <is>
          <t>shp</t>
        </is>
      </c>
      <c r="C940" s="14" t="inlineStr">
        <is>
          <t>die</t>
        </is>
      </c>
      <c r="D940" s="14" t="inlineStr">
        <is>
          <t>avi</t>
        </is>
      </c>
      <c r="E940" s="14" t="inlineStr">
        <is>
          <t>SHADOWGJ</t>
        </is>
      </c>
      <c r="F940" s="92" t="inlineStr">
        <is>
          <t>SHADOWGJ(INDEX(AE$297:AE$313,$E1329),$D1329)</t>
        </is>
      </c>
    </row>
    <row r="941">
      <c r="A941" s="14" t="n">
        <v>1330</v>
      </c>
      <c r="B941" s="14" t="inlineStr">
        <is>
          <t>shp</t>
        </is>
      </c>
      <c r="C941" s="14" t="inlineStr">
        <is>
          <t>lpg</t>
        </is>
      </c>
      <c r="D941" s="14" t="inlineStr">
        <is>
          <t>avi</t>
        </is>
      </c>
      <c r="E941" s="14" t="inlineStr">
        <is>
          <t>SHADOWGJ</t>
        </is>
      </c>
      <c r="F941" s="92" t="inlineStr">
        <is>
          <t>SHADOWGJ(INDEX(AE$297:AE$313,$E1330),$D1330)</t>
        </is>
      </c>
    </row>
    <row r="942">
      <c r="A942" s="14" t="n">
        <v>1331</v>
      </c>
      <c r="B942" s="14" t="inlineStr">
        <is>
          <t>shp</t>
        </is>
      </c>
      <c r="C942" s="14" t="inlineStr">
        <is>
          <t>ker</t>
        </is>
      </c>
      <c r="D942" s="14" t="inlineStr">
        <is>
          <t>avi</t>
        </is>
      </c>
      <c r="E942" s="14" t="inlineStr">
        <is>
          <t>SHADOWGJ</t>
        </is>
      </c>
      <c r="F942" s="92" t="inlineStr">
        <is>
          <t>SHADOWGJ(INDEX(AE$297:AE$313,$E1331),$D1331)</t>
        </is>
      </c>
    </row>
    <row r="943">
      <c r="A943" s="14" t="n">
        <v>1332</v>
      </c>
      <c r="B943" s="14" t="inlineStr">
        <is>
          <t>shp</t>
        </is>
      </c>
      <c r="C943" s="14" t="inlineStr">
        <is>
          <t>oop</t>
        </is>
      </c>
      <c r="D943" s="14" t="inlineStr">
        <is>
          <t>avi</t>
        </is>
      </c>
      <c r="E943" s="14" t="inlineStr">
        <is>
          <t>SHADOWGJ</t>
        </is>
      </c>
      <c r="F943" s="92" t="inlineStr">
        <is>
          <t>SHADOWGJ(INDEX(AE$297:AE$313,$E1332),$D1332)</t>
        </is>
      </c>
    </row>
    <row r="944">
      <c r="A944" s="14" t="n">
        <v>1333</v>
      </c>
      <c r="B944" s="14" t="inlineStr">
        <is>
          <t>shp</t>
        </is>
      </c>
      <c r="C944" s="14" t="inlineStr">
        <is>
          <t>bio</t>
        </is>
      </c>
      <c r="D944" s="14" t="inlineStr">
        <is>
          <t>avi</t>
        </is>
      </c>
      <c r="E944" s="14" t="inlineStr">
        <is>
          <t>SHADOWGJ</t>
        </is>
      </c>
      <c r="F944" s="92" t="inlineStr">
        <is>
          <t>SHADOWGJ(INDEX(AE$297:AE$313,$E1333),$D1333)</t>
        </is>
      </c>
    </row>
    <row r="945">
      <c r="A945" s="14" t="n">
        <v>1335</v>
      </c>
      <c r="B945" s="14" t="inlineStr">
        <is>
          <t>ener</t>
        </is>
      </c>
      <c r="C945" s="14" t="inlineStr">
        <is>
          <t>coa</t>
        </is>
      </c>
      <c r="D945" s="14" t="inlineStr">
        <is>
          <t>avi</t>
        </is>
      </c>
      <c r="E945" s="14" t="inlineStr">
        <is>
          <t>FUELUSE</t>
        </is>
      </c>
      <c r="F945" s="92" t="inlineStr">
        <is>
          <t>FUELUSE(AD1335,AE1317,AD1317,AE1326,AD1326,AE$7,$D1335,$E1335,$F1335,$G1335)</t>
        </is>
      </c>
    </row>
    <row r="946">
      <c r="A946" s="14" t="n">
        <v>1336</v>
      </c>
      <c r="B946" s="14" t="inlineStr">
        <is>
          <t>ener</t>
        </is>
      </c>
      <c r="C946" s="14" t="inlineStr">
        <is>
          <t>nga</t>
        </is>
      </c>
      <c r="D946" s="14" t="inlineStr">
        <is>
          <t>avi</t>
        </is>
      </c>
      <c r="E946" s="14" t="inlineStr">
        <is>
          <t>FUELUSE</t>
        </is>
      </c>
      <c r="F946" s="92" t="inlineStr">
        <is>
          <t>FUELUSE(AD1336,AE1318,AD1318,AE1327,AD1327,AE$7,$D1336,$E1336,$F1336,$G1336)</t>
        </is>
      </c>
    </row>
    <row r="947">
      <c r="A947" s="14" t="n">
        <v>1337</v>
      </c>
      <c r="B947" s="14" t="inlineStr">
        <is>
          <t>ener</t>
        </is>
      </c>
      <c r="C947" s="14" t="inlineStr">
        <is>
          <t>gso</t>
        </is>
      </c>
      <c r="D947" s="14" t="inlineStr">
        <is>
          <t>avi</t>
        </is>
      </c>
      <c r="E947" s="14" t="inlineStr">
        <is>
          <t>FUELUSE</t>
        </is>
      </c>
      <c r="F947" s="92" t="inlineStr">
        <is>
          <t>FUELUSE(AD1337,AE1319,AD1319,AE1328,AD1328,AE$7,$D1337,$E1337,$F1337,$G1337)</t>
        </is>
      </c>
    </row>
    <row r="948">
      <c r="A948" s="14" t="n">
        <v>1338</v>
      </c>
      <c r="B948" s="14" t="inlineStr">
        <is>
          <t>ener</t>
        </is>
      </c>
      <c r="C948" s="14" t="inlineStr">
        <is>
          <t>die</t>
        </is>
      </c>
      <c r="D948" s="14" t="inlineStr">
        <is>
          <t>avi</t>
        </is>
      </c>
      <c r="E948" s="14" t="inlineStr">
        <is>
          <t>FUELUSE</t>
        </is>
      </c>
      <c r="F948" s="92" t="inlineStr">
        <is>
          <t>FUELUSE(AD1338,AE1320,AD1320,AE1329,AD1329,AE$7,$D1338,$E1338,$F1338,$G1338)</t>
        </is>
      </c>
    </row>
    <row r="949">
      <c r="A949" s="14" t="n">
        <v>1339</v>
      </c>
      <c r="B949" s="14" t="inlineStr">
        <is>
          <t>ener</t>
        </is>
      </c>
      <c r="C949" s="14" t="inlineStr">
        <is>
          <t>lpg</t>
        </is>
      </c>
      <c r="D949" s="14" t="inlineStr">
        <is>
          <t>avi</t>
        </is>
      </c>
      <c r="E949" s="14" t="inlineStr">
        <is>
          <t>FUELUSE</t>
        </is>
      </c>
      <c r="F949" s="92" t="inlineStr">
        <is>
          <t>FUELUSE(AD1339,AE1321,AD1321,AE1330,AD1330,AE$7,$D1339,$E1339,$F1339,$G1339)</t>
        </is>
      </c>
    </row>
    <row r="950">
      <c r="A950" s="14" t="n">
        <v>1340</v>
      </c>
      <c r="B950" s="14" t="inlineStr">
        <is>
          <t>ener</t>
        </is>
      </c>
      <c r="C950" s="14" t="inlineStr">
        <is>
          <t>ker</t>
        </is>
      </c>
      <c r="D950" s="14" t="inlineStr">
        <is>
          <t>avi</t>
        </is>
      </c>
      <c r="E950" s="14" t="inlineStr">
        <is>
          <t>FUELUSE</t>
        </is>
      </c>
      <c r="F950" s="92" t="inlineStr">
        <is>
          <t>FUELUSE(AD1340,AE1322,AD1322,AE1331,AD1331,AE$7,$D1340,$E1340,$F1340,$G1340)</t>
        </is>
      </c>
    </row>
    <row r="951">
      <c r="A951" s="14" t="n">
        <v>1341</v>
      </c>
      <c r="B951" s="14" t="inlineStr">
        <is>
          <t>ener</t>
        </is>
      </c>
      <c r="C951" s="14" t="inlineStr">
        <is>
          <t>oop</t>
        </is>
      </c>
      <c r="D951" s="14" t="inlineStr">
        <is>
          <t>avi</t>
        </is>
      </c>
      <c r="E951" s="14" t="inlineStr">
        <is>
          <t>FUELUSE</t>
        </is>
      </c>
      <c r="F951" s="92" t="inlineStr">
        <is>
          <t>FUELUSE(AD1341,AE1323,AD1323,AE1332,AD1332,AE$7,$D1341,$E1341,$F1341,$G1341)</t>
        </is>
      </c>
    </row>
    <row r="952">
      <c r="A952" s="14" t="n">
        <v>1342</v>
      </c>
      <c r="B952" s="14" t="inlineStr">
        <is>
          <t>ener</t>
        </is>
      </c>
      <c r="C952" s="14" t="inlineStr">
        <is>
          <t>bio</t>
        </is>
      </c>
      <c r="D952" s="14" t="inlineStr">
        <is>
          <t>avi</t>
        </is>
      </c>
      <c r="E952" s="14" t="inlineStr">
        <is>
          <t>FUELUSE</t>
        </is>
      </c>
      <c r="F952" s="92" t="inlineStr">
        <is>
          <t>FUELUSE(AD1342,AE1324,AD1324,AE1333,AD1333,AE$7,$D1342,$E1342,$F1342,$G1342)</t>
        </is>
      </c>
    </row>
    <row r="953">
      <c r="A953" s="14" t="n">
        <v>1344</v>
      </c>
      <c r="B953" s="14" t="inlineStr">
        <is>
          <t>co2</t>
        </is>
      </c>
      <c r="C953" s="14" t="inlineStr">
        <is>
          <t>coa</t>
        </is>
      </c>
      <c r="D953" s="14" t="inlineStr">
        <is>
          <t>avi</t>
        </is>
      </c>
      <c r="E953" s="14" t="inlineStr">
        <is>
          <t>EMISSIONS</t>
        </is>
      </c>
      <c r="F953" s="92" t="inlineStr">
        <is>
          <t>EMISSIONS(AE1335,Settings!$C$13,$D1344)</t>
        </is>
      </c>
    </row>
    <row r="954">
      <c r="A954" s="14" t="n">
        <v>1345</v>
      </c>
      <c r="B954" s="14" t="inlineStr">
        <is>
          <t>co2</t>
        </is>
      </c>
      <c r="C954" s="14" t="inlineStr">
        <is>
          <t>nga</t>
        </is>
      </c>
      <c r="D954" s="14" t="inlineStr">
        <is>
          <t>avi</t>
        </is>
      </c>
      <c r="E954" s="14" t="inlineStr">
        <is>
          <t>EMISSIONS</t>
        </is>
      </c>
      <c r="F954" s="92" t="inlineStr">
        <is>
          <t>EMISSIONS(AE1336,Settings!$C$13,$D1345)</t>
        </is>
      </c>
    </row>
    <row r="955">
      <c r="A955" s="14" t="n">
        <v>1346</v>
      </c>
      <c r="B955" s="14" t="inlineStr">
        <is>
          <t>co2</t>
        </is>
      </c>
      <c r="C955" s="14" t="inlineStr">
        <is>
          <t>gso</t>
        </is>
      </c>
      <c r="D955" s="14" t="inlineStr">
        <is>
          <t>avi</t>
        </is>
      </c>
      <c r="E955" s="14" t="inlineStr">
        <is>
          <t>EMISSIONS</t>
        </is>
      </c>
      <c r="F955" s="92" t="inlineStr">
        <is>
          <t>EMISSIONS(AE1337,Settings!$C$13,$D1346)</t>
        </is>
      </c>
    </row>
    <row r="956">
      <c r="A956" s="14" t="n">
        <v>1347</v>
      </c>
      <c r="B956" s="14" t="inlineStr">
        <is>
          <t>co2</t>
        </is>
      </c>
      <c r="C956" s="14" t="inlineStr">
        <is>
          <t>die</t>
        </is>
      </c>
      <c r="D956" s="14" t="inlineStr">
        <is>
          <t>avi</t>
        </is>
      </c>
      <c r="E956" s="14" t="inlineStr">
        <is>
          <t>EMISSIONS</t>
        </is>
      </c>
      <c r="F956" s="92" t="inlineStr">
        <is>
          <t>EMISSIONS(AE1338,Settings!$C$13,$D1347)</t>
        </is>
      </c>
    </row>
    <row r="957">
      <c r="A957" s="14" t="n">
        <v>1348</v>
      </c>
      <c r="B957" s="14" t="inlineStr">
        <is>
          <t>co2</t>
        </is>
      </c>
      <c r="C957" s="14" t="inlineStr">
        <is>
          <t>lpg</t>
        </is>
      </c>
      <c r="D957" s="14" t="inlineStr">
        <is>
          <t>avi</t>
        </is>
      </c>
      <c r="E957" s="14" t="inlineStr">
        <is>
          <t>EMISSIONS</t>
        </is>
      </c>
      <c r="F957" s="92" t="inlineStr">
        <is>
          <t>EMISSIONS(AE1339,Settings!$C$13,$D1348)</t>
        </is>
      </c>
    </row>
    <row r="958">
      <c r="A958" s="14" t="n">
        <v>1349</v>
      </c>
      <c r="B958" s="14" t="inlineStr">
        <is>
          <t>co2</t>
        </is>
      </c>
      <c r="C958" s="14" t="inlineStr">
        <is>
          <t>ker</t>
        </is>
      </c>
      <c r="D958" s="14" t="inlineStr">
        <is>
          <t>avi</t>
        </is>
      </c>
      <c r="E958" s="14" t="inlineStr">
        <is>
          <t>EMISSIONS</t>
        </is>
      </c>
      <c r="F958" s="92" t="inlineStr">
        <is>
          <t>EMISSIONS(AE1340,Settings!$C$13,$D1349)</t>
        </is>
      </c>
    </row>
    <row r="959">
      <c r="A959" s="14" t="n">
        <v>1350</v>
      </c>
      <c r="B959" s="14" t="inlineStr">
        <is>
          <t>co2</t>
        </is>
      </c>
      <c r="C959" s="14" t="inlineStr">
        <is>
          <t>oop</t>
        </is>
      </c>
      <c r="D959" s="14" t="inlineStr">
        <is>
          <t>avi</t>
        </is>
      </c>
      <c r="E959" s="14" t="inlineStr">
        <is>
          <t>EMISSIONS</t>
        </is>
      </c>
      <c r="F959" s="92" t="inlineStr">
        <is>
          <t>EMISSIONS(AE1341,Settings!$C$13,$D1350)</t>
        </is>
      </c>
    </row>
    <row r="960">
      <c r="A960" s="14" t="n">
        <v>1351</v>
      </c>
      <c r="B960" s="14" t="inlineStr">
        <is>
          <t>co2</t>
        </is>
      </c>
      <c r="C960" s="14" t="inlineStr">
        <is>
          <t>bio</t>
        </is>
      </c>
      <c r="D960" s="14" t="inlineStr">
        <is>
          <t>avi</t>
        </is>
      </c>
      <c r="E960" s="14" t="inlineStr">
        <is>
          <t>EMISSIONS</t>
        </is>
      </c>
      <c r="F960" s="92" t="inlineStr">
        <is>
          <t>EMISSIONS(AE1342,Settings!$C$13,$D1351)</t>
        </is>
      </c>
    </row>
    <row r="961">
      <c r="A961" s="14" t="n">
        <v>1353</v>
      </c>
      <c r="B961" s="14" t="inlineStr">
        <is>
          <t>rtx</t>
        </is>
      </c>
      <c r="C961" s="14" t="inlineStr">
        <is>
          <t>coa</t>
        </is>
      </c>
      <c r="D961" s="14" t="inlineStr">
        <is>
          <t>avi</t>
        </is>
      </c>
      <c r="E961" s="14" t="inlineStr">
        <is>
          <t>REVENUE</t>
        </is>
      </c>
      <c r="F961" s="92" t="inlineStr">
        <is>
          <t>REVENUE(AE1335,Settings!$C$13,INDEX(AE$407:AE$418,$D1353)+INDEX(AE$394:AE$405,$D1353)+AE1308*(1+$E1353))</t>
        </is>
      </c>
    </row>
    <row r="962">
      <c r="A962" s="14" t="n">
        <v>1354</v>
      </c>
      <c r="B962" s="14" t="inlineStr">
        <is>
          <t>rtx</t>
        </is>
      </c>
      <c r="C962" s="14" t="inlineStr">
        <is>
          <t>nga</t>
        </is>
      </c>
      <c r="D962" s="14" t="inlineStr">
        <is>
          <t>avi</t>
        </is>
      </c>
      <c r="E962" s="14" t="inlineStr">
        <is>
          <t>REVENUE</t>
        </is>
      </c>
      <c r="F962" s="92" t="inlineStr">
        <is>
          <t>REVENUE(AE1336,Settings!$C$13,INDEX(AE$407:AE$418,$D1354)+INDEX(AE$394:AE$405,$D1354)+AE1309*(1+$E1354))</t>
        </is>
      </c>
    </row>
    <row r="963">
      <c r="A963" s="14" t="n">
        <v>1355</v>
      </c>
      <c r="B963" s="14" t="inlineStr">
        <is>
          <t>rtx</t>
        </is>
      </c>
      <c r="C963" s="14" t="inlineStr">
        <is>
          <t>gso</t>
        </is>
      </c>
      <c r="D963" s="14" t="inlineStr">
        <is>
          <t>avi</t>
        </is>
      </c>
      <c r="E963" s="14" t="inlineStr">
        <is>
          <t>REVENUE</t>
        </is>
      </c>
      <c r="F963" s="92" t="inlineStr">
        <is>
          <t>REVENUE(AE1337,Settings!$C$13,INDEX(AE$407:AE$418,$D1355)+INDEX(AE$394:AE$405,$D1355)+AE1310*(1+$E1355))</t>
        </is>
      </c>
    </row>
    <row r="964">
      <c r="A964" s="14" t="n">
        <v>1356</v>
      </c>
      <c r="B964" s="14" t="inlineStr">
        <is>
          <t>rtx</t>
        </is>
      </c>
      <c r="C964" s="14" t="inlineStr">
        <is>
          <t>die</t>
        </is>
      </c>
      <c r="D964" s="14" t="inlineStr">
        <is>
          <t>avi</t>
        </is>
      </c>
      <c r="E964" s="14" t="inlineStr">
        <is>
          <t>REVENUE</t>
        </is>
      </c>
      <c r="F964" s="92" t="inlineStr">
        <is>
          <t>REVENUE(AE1338,Settings!$C$13,INDEX(AE$407:AE$418,$D1356)+INDEX(AE$394:AE$405,$D1356)+AE1311*(1+$E1356))</t>
        </is>
      </c>
    </row>
    <row r="965">
      <c r="A965" s="14" t="n">
        <v>1357</v>
      </c>
      <c r="B965" s="14" t="inlineStr">
        <is>
          <t>rtx</t>
        </is>
      </c>
      <c r="C965" s="14" t="inlineStr">
        <is>
          <t>lpg</t>
        </is>
      </c>
      <c r="D965" s="14" t="inlineStr">
        <is>
          <t>avi</t>
        </is>
      </c>
      <c r="E965" s="14" t="inlineStr">
        <is>
          <t>REVENUE</t>
        </is>
      </c>
      <c r="F965" s="92" t="inlineStr">
        <is>
          <t>REVENUE(AE1339,Settings!$C$13,INDEX(AE$407:AE$418,$D1357)+INDEX(AE$394:AE$405,$D1357)+AE1312*(1+$E1357))</t>
        </is>
      </c>
    </row>
    <row r="966">
      <c r="A966" s="14" t="n">
        <v>1358</v>
      </c>
      <c r="B966" s="14" t="inlineStr">
        <is>
          <t>rtx</t>
        </is>
      </c>
      <c r="C966" s="14" t="inlineStr">
        <is>
          <t>ker</t>
        </is>
      </c>
      <c r="D966" s="14" t="inlineStr">
        <is>
          <t>avi</t>
        </is>
      </c>
      <c r="E966" s="14" t="inlineStr">
        <is>
          <t>REVENUE</t>
        </is>
      </c>
      <c r="F966" s="92" t="inlineStr">
        <is>
          <t>REVENUE(AE1340,Settings!$C$13,INDEX(AE$407:AE$418,$D1358)+INDEX(AE$394:AE$405,$D1358)+AE1313*(1+$E1358))</t>
        </is>
      </c>
    </row>
    <row r="967">
      <c r="A967" s="14" t="n">
        <v>1359</v>
      </c>
      <c r="B967" s="14" t="inlineStr">
        <is>
          <t>rtx</t>
        </is>
      </c>
      <c r="C967" s="14" t="inlineStr">
        <is>
          <t>oop</t>
        </is>
      </c>
      <c r="D967" s="14" t="inlineStr">
        <is>
          <t>avi</t>
        </is>
      </c>
      <c r="E967" s="14" t="inlineStr">
        <is>
          <t>REVENUE</t>
        </is>
      </c>
      <c r="F967" s="92" t="inlineStr">
        <is>
          <t>REVENUE(AE1341,Settings!$C$13,INDEX(AE$407:AE$418,$D1359)+INDEX(AE$394:AE$405,$D1359)+AE1314*(1+$E1359))</t>
        </is>
      </c>
    </row>
    <row r="968">
      <c r="A968" s="14" t="n">
        <v>1360</v>
      </c>
      <c r="B968" s="14" t="inlineStr">
        <is>
          <t>rtx</t>
        </is>
      </c>
      <c r="C968" s="14" t="inlineStr">
        <is>
          <t>bio</t>
        </is>
      </c>
      <c r="D968" s="14" t="inlineStr">
        <is>
          <t>avi</t>
        </is>
      </c>
      <c r="E968" s="14" t="inlineStr">
        <is>
          <t>REVENUE</t>
        </is>
      </c>
      <c r="F968" s="92" t="inlineStr">
        <is>
          <t>REVENUE(AE1342,Settings!$C$13,INDEX(AE$407:AE$418,$D1360)+INDEX(AE$394:AE$405,$D1360)+AE1315*(1+$E1360))</t>
        </is>
      </c>
    </row>
    <row r="969">
      <c r="A969" s="14" t="n">
        <v>1362</v>
      </c>
      <c r="B969" s="14" t="inlineStr">
        <is>
          <t>rsub</t>
        </is>
      </c>
      <c r="C969" s="14" t="inlineStr">
        <is>
          <t>coa</t>
        </is>
      </c>
      <c r="D969" s="14" t="inlineStr">
        <is>
          <t>avi</t>
        </is>
      </c>
      <c r="E969" s="14" t="inlineStr">
        <is>
          <t>REVENUE</t>
        </is>
      </c>
      <c r="F969" s="92" t="inlineStr">
        <is>
          <t>REVENUE(AE1335,Settings!$C$13,INDEX(AE$420:AE$431,$D1362))</t>
        </is>
      </c>
    </row>
    <row r="970">
      <c r="A970" s="14" t="n">
        <v>1363</v>
      </c>
      <c r="B970" s="14" t="inlineStr">
        <is>
          <t>rsub</t>
        </is>
      </c>
      <c r="C970" s="14" t="inlineStr">
        <is>
          <t>nga</t>
        </is>
      </c>
      <c r="D970" s="14" t="inlineStr">
        <is>
          <t>avi</t>
        </is>
      </c>
      <c r="E970" s="14" t="inlineStr">
        <is>
          <t>REVENUE</t>
        </is>
      </c>
      <c r="F970" s="92" t="inlineStr">
        <is>
          <t>REVENUE(AE1336,Settings!$C$13,INDEX(AE$420:AE$431,$D1363))</t>
        </is>
      </c>
    </row>
    <row r="971">
      <c r="A971" s="14" t="n">
        <v>1364</v>
      </c>
      <c r="B971" s="14" t="inlineStr">
        <is>
          <t>rsub</t>
        </is>
      </c>
      <c r="C971" s="14" t="inlineStr">
        <is>
          <t>gso</t>
        </is>
      </c>
      <c r="D971" s="14" t="inlineStr">
        <is>
          <t>avi</t>
        </is>
      </c>
      <c r="E971" s="14" t="inlineStr">
        <is>
          <t>REVENUE</t>
        </is>
      </c>
      <c r="F971" s="92" t="inlineStr">
        <is>
          <t>REVENUE(AE1337,Settings!$C$13,INDEX(AE$420:AE$431,$D1364))</t>
        </is>
      </c>
    </row>
    <row r="972">
      <c r="A972" s="14" t="n">
        <v>1365</v>
      </c>
      <c r="B972" s="14" t="inlineStr">
        <is>
          <t>rsub</t>
        </is>
      </c>
      <c r="C972" s="14" t="inlineStr">
        <is>
          <t>die</t>
        </is>
      </c>
      <c r="D972" s="14" t="inlineStr">
        <is>
          <t>avi</t>
        </is>
      </c>
      <c r="E972" s="14" t="inlineStr">
        <is>
          <t>REVENUE</t>
        </is>
      </c>
      <c r="F972" s="92" t="inlineStr">
        <is>
          <t>REVENUE(AE1338,Settings!$C$13,INDEX(AE$420:AE$431,$D1365))</t>
        </is>
      </c>
    </row>
    <row r="973">
      <c r="A973" s="14" t="n">
        <v>1366</v>
      </c>
      <c r="B973" s="14" t="inlineStr">
        <is>
          <t>rsub</t>
        </is>
      </c>
      <c r="C973" s="14" t="inlineStr">
        <is>
          <t>lpg</t>
        </is>
      </c>
      <c r="D973" s="14" t="inlineStr">
        <is>
          <t>avi</t>
        </is>
      </c>
      <c r="E973" s="14" t="inlineStr">
        <is>
          <t>REVENUE</t>
        </is>
      </c>
      <c r="F973" s="92" t="inlineStr">
        <is>
          <t>REVENUE(AE1339,Settings!$C$13,INDEX(AE$420:AE$431,$D1366))</t>
        </is>
      </c>
    </row>
    <row r="974">
      <c r="A974" s="14" t="n">
        <v>1367</v>
      </c>
      <c r="B974" s="14" t="inlineStr">
        <is>
          <t>rsub</t>
        </is>
      </c>
      <c r="C974" s="14" t="inlineStr">
        <is>
          <t>ker</t>
        </is>
      </c>
      <c r="D974" s="14" t="inlineStr">
        <is>
          <t>avi</t>
        </is>
      </c>
      <c r="E974" s="14" t="inlineStr">
        <is>
          <t>REVENUE</t>
        </is>
      </c>
      <c r="F974" s="92" t="inlineStr">
        <is>
          <t>REVENUE(AE1340,Settings!$C$13,INDEX(AE$420:AE$431,$D1367))</t>
        </is>
      </c>
    </row>
    <row r="975">
      <c r="A975" s="14" t="n">
        <v>1368</v>
      </c>
      <c r="B975" s="14" t="inlineStr">
        <is>
          <t>rsub</t>
        </is>
      </c>
      <c r="C975" s="14" t="inlineStr">
        <is>
          <t>oop</t>
        </is>
      </c>
      <c r="D975" s="14" t="inlineStr">
        <is>
          <t>avi</t>
        </is>
      </c>
      <c r="E975" s="14" t="inlineStr">
        <is>
          <t>REVENUE</t>
        </is>
      </c>
      <c r="F975" s="92" t="inlineStr">
        <is>
          <t>REVENUE(AE1341,Settings!$C$13,INDEX(AE$420:AE$431,$D1368))</t>
        </is>
      </c>
    </row>
    <row r="976">
      <c r="A976" s="14" t="n">
        <v>1369</v>
      </c>
      <c r="B976" s="14" t="inlineStr">
        <is>
          <t>rsub</t>
        </is>
      </c>
      <c r="C976" s="14" t="inlineStr">
        <is>
          <t>bio</t>
        </is>
      </c>
      <c r="D976" s="14" t="inlineStr">
        <is>
          <t>avi</t>
        </is>
      </c>
      <c r="E976" s="14" t="inlineStr">
        <is>
          <t>REVENUE</t>
        </is>
      </c>
      <c r="F976" s="92" t="inlineStr">
        <is>
          <t>REVENUE(AE1342,Settings!$C$13,INDEX(AE$420:AE$431,$D1369))</t>
        </is>
      </c>
    </row>
    <row r="977">
      <c r="A977" s="14" t="n">
        <v>1371</v>
      </c>
      <c r="B977" s="14" t="inlineStr">
        <is>
          <t>rnew</t>
        </is>
      </c>
      <c r="C977" s="14" t="inlineStr">
        <is>
          <t>coa</t>
        </is>
      </c>
      <c r="D977" s="14" t="inlineStr">
        <is>
          <t>avi</t>
        </is>
      </c>
      <c r="E977" s="14" t="inlineStr">
        <is>
          <t>REVENUE</t>
        </is>
      </c>
      <c r="F977" s="92" t="inlineStr">
        <is>
          <t>REVENUE(AE1335,Settings!$C$13,NEWREVRATE(AE1263,AE1281,AE1272,AE$201,AE1290,$D1371))</t>
        </is>
      </c>
    </row>
    <row r="978">
      <c r="A978" s="14" t="n">
        <v>1372</v>
      </c>
      <c r="B978" s="14" t="inlineStr">
        <is>
          <t>rnew</t>
        </is>
      </c>
      <c r="C978" s="14" t="inlineStr">
        <is>
          <t>nga</t>
        </is>
      </c>
      <c r="D978" s="14" t="inlineStr">
        <is>
          <t>avi</t>
        </is>
      </c>
      <c r="E978" s="14" t="inlineStr">
        <is>
          <t>REVENUE</t>
        </is>
      </c>
      <c r="F978" s="92" t="inlineStr">
        <is>
          <t>REVENUE(AE1336,Settings!$C$13,NEWREVRATE(AE1264,AE1282,AE1273,AE$201,AE1291,$D1372))</t>
        </is>
      </c>
    </row>
    <row r="979">
      <c r="A979" s="14" t="n">
        <v>1373</v>
      </c>
      <c r="B979" s="14" t="inlineStr">
        <is>
          <t>rnew</t>
        </is>
      </c>
      <c r="C979" s="14" t="inlineStr">
        <is>
          <t>gso</t>
        </is>
      </c>
      <c r="D979" s="14" t="inlineStr">
        <is>
          <t>avi</t>
        </is>
      </c>
      <c r="E979" s="14" t="inlineStr">
        <is>
          <t>REVENUE</t>
        </is>
      </c>
      <c r="F979" s="92" t="inlineStr">
        <is>
          <t>REVENUE(AE1337,Settings!$C$13,NEWREVRATE(AE1265,AE1283,AE1274,AE$201,AE1292,$D1373))</t>
        </is>
      </c>
    </row>
    <row r="980">
      <c r="A980" s="14" t="n">
        <v>1374</v>
      </c>
      <c r="B980" s="14" t="inlineStr">
        <is>
          <t>rnew</t>
        </is>
      </c>
      <c r="C980" s="14" t="inlineStr">
        <is>
          <t>die</t>
        </is>
      </c>
      <c r="D980" s="14" t="inlineStr">
        <is>
          <t>avi</t>
        </is>
      </c>
      <c r="E980" s="14" t="inlineStr">
        <is>
          <t>REVENUE</t>
        </is>
      </c>
      <c r="F980" s="92" t="inlineStr">
        <is>
          <t>REVENUE(AE1338,Settings!$C$13,NEWREVRATE(AE1266,AE1284,AE1275,AE$201,AE1293,$D1374))</t>
        </is>
      </c>
    </row>
    <row r="981">
      <c r="A981" s="14" t="n">
        <v>1375</v>
      </c>
      <c r="B981" s="14" t="inlineStr">
        <is>
          <t>rnew</t>
        </is>
      </c>
      <c r="C981" s="14" t="inlineStr">
        <is>
          <t>lpg</t>
        </is>
      </c>
      <c r="D981" s="14" t="inlineStr">
        <is>
          <t>avi</t>
        </is>
      </c>
      <c r="E981" s="14" t="inlineStr">
        <is>
          <t>REVENUE</t>
        </is>
      </c>
      <c r="F981" s="92" t="inlineStr">
        <is>
          <t>REVENUE(AE1339,Settings!$C$13,NEWREVRATE(AE1267,AE1285,AE1276,AE$201,AE1294,$D1375))</t>
        </is>
      </c>
    </row>
    <row r="982">
      <c r="A982" s="14" t="n">
        <v>1376</v>
      </c>
      <c r="B982" s="14" t="inlineStr">
        <is>
          <t>rnew</t>
        </is>
      </c>
      <c r="C982" s="14" t="inlineStr">
        <is>
          <t>ker</t>
        </is>
      </c>
      <c r="D982" s="14" t="inlineStr">
        <is>
          <t>avi</t>
        </is>
      </c>
      <c r="E982" s="14" t="inlineStr">
        <is>
          <t>REVENUE</t>
        </is>
      </c>
      <c r="F982" s="92" t="inlineStr">
        <is>
          <t>REVENUE(AE1340,Settings!$C$13,NEWREVRATE(AE1268,AE1286,AE1277,AE$201,AE1295,$D1376))</t>
        </is>
      </c>
    </row>
    <row r="983">
      <c r="A983" s="14" t="n">
        <v>1377</v>
      </c>
      <c r="B983" s="14" t="inlineStr">
        <is>
          <t>rnew</t>
        </is>
      </c>
      <c r="C983" s="14" t="inlineStr">
        <is>
          <t>oop</t>
        </is>
      </c>
      <c r="D983" s="14" t="inlineStr">
        <is>
          <t>avi</t>
        </is>
      </c>
      <c r="E983" s="14" t="inlineStr">
        <is>
          <t>REVENUE</t>
        </is>
      </c>
      <c r="F983" s="92" t="inlineStr">
        <is>
          <t>REVENUE(AE1341,Settings!$C$13,NEWREVRATE(AE1269,AE1287,AE1278,AE$201,AE1296,$D1377))</t>
        </is>
      </c>
    </row>
    <row r="984">
      <c r="A984" s="14" t="n">
        <v>1378</v>
      </c>
      <c r="B984" s="14" t="inlineStr">
        <is>
          <t>rnew</t>
        </is>
      </c>
      <c r="C984" s="14" t="inlineStr">
        <is>
          <t>bio</t>
        </is>
      </c>
      <c r="D984" s="14" t="inlineStr">
        <is>
          <t>avi</t>
        </is>
      </c>
      <c r="E984" s="14" t="inlineStr">
        <is>
          <t>REVENUE</t>
        </is>
      </c>
      <c r="F984" s="92" t="inlineStr">
        <is>
          <t>REVENUE(AE1342,Settings!$C$13,NEWREVRATE(AE1270,AE1288,AE1279,AE$201,AE1297,$D1378))</t>
        </is>
      </c>
    </row>
    <row r="985">
      <c r="A985" s="14" t="n">
        <v>1380</v>
      </c>
      <c r="B985" s="14" t="inlineStr">
        <is>
          <t>rxcp</t>
        </is>
      </c>
      <c r="C985" s="14" t="inlineStr">
        <is>
          <t>coa</t>
        </is>
      </c>
      <c r="D985" s="14" t="inlineStr">
        <is>
          <t>avi</t>
        </is>
      </c>
      <c r="E985" s="14" t="inlineStr">
        <is>
          <t>REVENUE</t>
        </is>
      </c>
      <c r="F985" s="92" t="inlineStr">
        <is>
          <t>REVENUE(AE1335,Settings!$C$13,AE1299)</t>
        </is>
      </c>
    </row>
    <row r="986">
      <c r="A986" s="14" t="n">
        <v>1381</v>
      </c>
      <c r="B986" s="14" t="inlineStr">
        <is>
          <t>rxcp</t>
        </is>
      </c>
      <c r="C986" s="14" t="inlineStr">
        <is>
          <t>nga</t>
        </is>
      </c>
      <c r="D986" s="14" t="inlineStr">
        <is>
          <t>avi</t>
        </is>
      </c>
      <c r="E986" s="14" t="inlineStr">
        <is>
          <t>REVENUE</t>
        </is>
      </c>
      <c r="F986" s="92" t="inlineStr">
        <is>
          <t>REVENUE(AE1336,Settings!$C$13,AE1300)</t>
        </is>
      </c>
    </row>
    <row r="987">
      <c r="A987" s="14" t="n">
        <v>1382</v>
      </c>
      <c r="B987" s="14" t="inlineStr">
        <is>
          <t>rxcp</t>
        </is>
      </c>
      <c r="C987" s="14" t="inlineStr">
        <is>
          <t>gso</t>
        </is>
      </c>
      <c r="D987" s="14" t="inlineStr">
        <is>
          <t>avi</t>
        </is>
      </c>
      <c r="E987" s="14" t="inlineStr">
        <is>
          <t>REVENUE</t>
        </is>
      </c>
      <c r="F987" s="92" t="inlineStr">
        <is>
          <t>REVENUE(AE1337,Settings!$C$13,AE1301)</t>
        </is>
      </c>
    </row>
    <row r="988">
      <c r="A988" s="14" t="n">
        <v>1383</v>
      </c>
      <c r="B988" s="14" t="inlineStr">
        <is>
          <t>rxcp</t>
        </is>
      </c>
      <c r="C988" s="14" t="inlineStr">
        <is>
          <t>die</t>
        </is>
      </c>
      <c r="D988" s="14" t="inlineStr">
        <is>
          <t>avi</t>
        </is>
      </c>
      <c r="E988" s="14" t="inlineStr">
        <is>
          <t>REVENUE</t>
        </is>
      </c>
      <c r="F988" s="92" t="inlineStr">
        <is>
          <t>REVENUE(AE1338,Settings!$C$13,AE1302)</t>
        </is>
      </c>
    </row>
    <row r="989">
      <c r="A989" s="14" t="n">
        <v>1384</v>
      </c>
      <c r="B989" s="14" t="inlineStr">
        <is>
          <t>rxcp</t>
        </is>
      </c>
      <c r="C989" s="14" t="inlineStr">
        <is>
          <t>lpg</t>
        </is>
      </c>
      <c r="D989" s="14" t="inlineStr">
        <is>
          <t>avi</t>
        </is>
      </c>
      <c r="E989" s="14" t="inlineStr">
        <is>
          <t>REVENUE</t>
        </is>
      </c>
      <c r="F989" s="92" t="inlineStr">
        <is>
          <t>REVENUE(AE1339,Settings!$C$13,AE1303)</t>
        </is>
      </c>
    </row>
    <row r="990">
      <c r="A990" s="14" t="n">
        <v>1385</v>
      </c>
      <c r="B990" s="14" t="inlineStr">
        <is>
          <t>rxcp</t>
        </is>
      </c>
      <c r="C990" s="14" t="inlineStr">
        <is>
          <t>ker</t>
        </is>
      </c>
      <c r="D990" s="14" t="inlineStr">
        <is>
          <t>avi</t>
        </is>
      </c>
      <c r="E990" s="14" t="inlineStr">
        <is>
          <t>REVENUE</t>
        </is>
      </c>
      <c r="F990" s="92" t="inlineStr">
        <is>
          <t>REVENUE(AE1340,Settings!$C$13,AE1304)</t>
        </is>
      </c>
    </row>
    <row r="991">
      <c r="A991" s="14" t="n">
        <v>1386</v>
      </c>
      <c r="B991" s="14" t="inlineStr">
        <is>
          <t>rxcp</t>
        </is>
      </c>
      <c r="C991" s="14" t="inlineStr">
        <is>
          <t>oop</t>
        </is>
      </c>
      <c r="D991" s="14" t="inlineStr">
        <is>
          <t>avi</t>
        </is>
      </c>
      <c r="E991" s="14" t="inlineStr">
        <is>
          <t>REVENUE</t>
        </is>
      </c>
      <c r="F991" s="92" t="inlineStr">
        <is>
          <t>REVENUE(AE1341,Settings!$C$13,AE1305)</t>
        </is>
      </c>
    </row>
    <row r="992">
      <c r="A992" s="14" t="n">
        <v>1387</v>
      </c>
      <c r="B992" s="14" t="inlineStr">
        <is>
          <t>rxcp</t>
        </is>
      </c>
      <c r="C992" s="14" t="inlineStr">
        <is>
          <t>bio</t>
        </is>
      </c>
      <c r="D992" s="14" t="inlineStr">
        <is>
          <t>avi</t>
        </is>
      </c>
      <c r="E992" s="14" t="inlineStr">
        <is>
          <t>REVENUE</t>
        </is>
      </c>
      <c r="F992" s="92" t="inlineStr">
        <is>
          <t>REVENUE(AE1342,Settings!$C$13,AE1306)</t>
        </is>
      </c>
    </row>
    <row r="993">
      <c r="A993" s="14" t="n">
        <v>1391</v>
      </c>
      <c r="B993" s="14" t="inlineStr">
        <is>
          <t>ctxnew</t>
        </is>
      </c>
      <c r="C993" s="14" t="inlineStr">
        <is>
          <t>coa</t>
        </is>
      </c>
      <c r="D993" s="14" t="inlineStr">
        <is>
          <t>nav</t>
        </is>
      </c>
      <c r="E993" s="14" t="inlineStr">
        <is>
          <t>CARBONTAX</t>
        </is>
      </c>
      <c r="F993" s="92" t="inlineStr">
        <is>
          <t>CARBONTAX(INDEX(AE$263:AE$279,$F1391),$D1391,INDEX(AE$23:AE$30,$E1391))</t>
        </is>
      </c>
    </row>
    <row r="994">
      <c r="A994" s="14" t="n">
        <v>1392</v>
      </c>
      <c r="B994" s="14" t="inlineStr">
        <is>
          <t>ctxnew</t>
        </is>
      </c>
      <c r="C994" s="14" t="inlineStr">
        <is>
          <t>nga</t>
        </is>
      </c>
      <c r="D994" s="14" t="inlineStr">
        <is>
          <t>nav</t>
        </is>
      </c>
      <c r="E994" s="14" t="inlineStr">
        <is>
          <t>CARBONTAX</t>
        </is>
      </c>
      <c r="F994" s="92" t="inlineStr">
        <is>
          <t>CARBONTAX(INDEX(AE$263:AE$279,$F1392),$D1392,INDEX(AE$23:AE$30,$E1392))</t>
        </is>
      </c>
    </row>
    <row r="995">
      <c r="A995" s="14" t="n">
        <v>1393</v>
      </c>
      <c r="B995" s="14" t="inlineStr">
        <is>
          <t>ctxnew</t>
        </is>
      </c>
      <c r="C995" s="14" t="inlineStr">
        <is>
          <t>gso</t>
        </is>
      </c>
      <c r="D995" s="14" t="inlineStr">
        <is>
          <t>nav</t>
        </is>
      </c>
      <c r="E995" s="14" t="inlineStr">
        <is>
          <t>CARBONTAX</t>
        </is>
      </c>
      <c r="F995" s="92" t="inlineStr">
        <is>
          <t>CARBONTAX(INDEX(AE$263:AE$279,$F1393),$D1393,INDEX(AE$23:AE$30,$E1393))</t>
        </is>
      </c>
    </row>
    <row r="996">
      <c r="A996" s="14" t="n">
        <v>1394</v>
      </c>
      <c r="B996" s="14" t="inlineStr">
        <is>
          <t>ctxnew</t>
        </is>
      </c>
      <c r="C996" s="14" t="inlineStr">
        <is>
          <t>die</t>
        </is>
      </c>
      <c r="D996" s="14" t="inlineStr">
        <is>
          <t>nav</t>
        </is>
      </c>
      <c r="E996" s="14" t="inlineStr">
        <is>
          <t>CARBONTAX</t>
        </is>
      </c>
      <c r="F996" s="92" t="inlineStr">
        <is>
          <t>CARBONTAX(INDEX(AE$263:AE$279,$F1394),$D1394,INDEX(AE$23:AE$30,$E1394))</t>
        </is>
      </c>
    </row>
    <row r="997">
      <c r="A997" s="14" t="n">
        <v>1395</v>
      </c>
      <c r="B997" s="14" t="inlineStr">
        <is>
          <t>ctxnew</t>
        </is>
      </c>
      <c r="C997" s="14" t="inlineStr">
        <is>
          <t>lpg</t>
        </is>
      </c>
      <c r="D997" s="14" t="inlineStr">
        <is>
          <t>nav</t>
        </is>
      </c>
      <c r="E997" s="14" t="inlineStr">
        <is>
          <t>CARBONTAX</t>
        </is>
      </c>
      <c r="F997" s="92" t="inlineStr">
        <is>
          <t>CARBONTAX(INDEX(AE$263:AE$279,$F1395),$D1395,INDEX(AE$23:AE$30,$E1395))</t>
        </is>
      </c>
    </row>
    <row r="998">
      <c r="A998" s="14" t="n">
        <v>1396</v>
      </c>
      <c r="B998" s="14" t="inlineStr">
        <is>
          <t>ctxnew</t>
        </is>
      </c>
      <c r="C998" s="14" t="inlineStr">
        <is>
          <t>ker</t>
        </is>
      </c>
      <c r="D998" s="14" t="inlineStr">
        <is>
          <t>nav</t>
        </is>
      </c>
      <c r="E998" s="14" t="inlineStr">
        <is>
          <t>CARBONTAX</t>
        </is>
      </c>
      <c r="F998" s="92" t="inlineStr">
        <is>
          <t>CARBONTAX(INDEX(AE$263:AE$279,$F1396),$D1396,INDEX(AE$23:AE$30,$E1396))</t>
        </is>
      </c>
    </row>
    <row r="999">
      <c r="A999" s="14" t="n">
        <v>1397</v>
      </c>
      <c r="B999" s="14" t="inlineStr">
        <is>
          <t>ctxnew</t>
        </is>
      </c>
      <c r="C999" s="14" t="inlineStr">
        <is>
          <t>oop</t>
        </is>
      </c>
      <c r="D999" s="14" t="inlineStr">
        <is>
          <t>nav</t>
        </is>
      </c>
      <c r="E999" s="14" t="inlineStr">
        <is>
          <t>CARBONTAX</t>
        </is>
      </c>
      <c r="F999" s="92" t="inlineStr">
        <is>
          <t>CARBONTAX(INDEX(AE$263:AE$279,$F1397),$D1397,INDEX(AE$23:AE$30,$E1397))</t>
        </is>
      </c>
    </row>
    <row r="1000">
      <c r="A1000" s="14" t="n">
        <v>1398</v>
      </c>
      <c r="B1000" s="14" t="inlineStr">
        <is>
          <t>ctxnew</t>
        </is>
      </c>
      <c r="C1000" s="14" t="inlineStr">
        <is>
          <t>bio</t>
        </is>
      </c>
      <c r="D1000" s="14" t="inlineStr">
        <is>
          <t>nav</t>
        </is>
      </c>
      <c r="E1000" s="14" t="inlineStr">
        <is>
          <t>CARBONTAX</t>
        </is>
      </c>
      <c r="F1000" s="92" t="inlineStr">
        <is>
          <t>CARBONTAX(INDEX(AE$263:AE$279,$F1398),$D1398,INDEX(AE$23:AE$30,$E1398))</t>
        </is>
      </c>
    </row>
    <row r="1001">
      <c r="A1001" s="14" t="n">
        <v>1400</v>
      </c>
      <c r="B1001" s="14" t="inlineStr">
        <is>
          <t>ets</t>
        </is>
      </c>
      <c r="C1001" s="14" t="inlineStr">
        <is>
          <t>coa</t>
        </is>
      </c>
      <c r="D1001" s="14" t="inlineStr">
        <is>
          <t>nav</t>
        </is>
      </c>
      <c r="E1001" s="14" t="inlineStr">
        <is>
          <t>ETSCOST</t>
        </is>
      </c>
      <c r="F1001" s="92" t="inlineStr">
        <is>
          <t>ETSCOST(INDEX(AE$280:AE$296,$E1400),$D1400)</t>
        </is>
      </c>
    </row>
    <row r="1002">
      <c r="A1002" s="14" t="n">
        <v>1401</v>
      </c>
      <c r="B1002" s="14" t="inlineStr">
        <is>
          <t>ets</t>
        </is>
      </c>
      <c r="C1002" s="14" t="inlineStr">
        <is>
          <t>nga</t>
        </is>
      </c>
      <c r="D1002" s="14" t="inlineStr">
        <is>
          <t>nav</t>
        </is>
      </c>
      <c r="E1002" s="14" t="inlineStr">
        <is>
          <t>ETSCOST</t>
        </is>
      </c>
      <c r="F1002" s="92" t="inlineStr">
        <is>
          <t>ETSCOST(INDEX(AE$280:AE$296,$E1401),$D1401)</t>
        </is>
      </c>
    </row>
    <row r="1003">
      <c r="A1003" s="14" t="n">
        <v>1402</v>
      </c>
      <c r="B1003" s="14" t="inlineStr">
        <is>
          <t>ets</t>
        </is>
      </c>
      <c r="C1003" s="14" t="inlineStr">
        <is>
          <t>gso</t>
        </is>
      </c>
      <c r="D1003" s="14" t="inlineStr">
        <is>
          <t>nav</t>
        </is>
      </c>
      <c r="E1003" s="14" t="inlineStr">
        <is>
          <t>ETSCOST</t>
        </is>
      </c>
      <c r="F1003" s="92" t="inlineStr">
        <is>
          <t>ETSCOST(INDEX(AE$280:AE$296,$E1402),$D1402)</t>
        </is>
      </c>
    </row>
    <row r="1004">
      <c r="A1004" s="14" t="n">
        <v>1403</v>
      </c>
      <c r="B1004" s="14" t="inlineStr">
        <is>
          <t>ets</t>
        </is>
      </c>
      <c r="C1004" s="14" t="inlineStr">
        <is>
          <t>die</t>
        </is>
      </c>
      <c r="D1004" s="14" t="inlineStr">
        <is>
          <t>nav</t>
        </is>
      </c>
      <c r="E1004" s="14" t="inlineStr">
        <is>
          <t>ETSCOST</t>
        </is>
      </c>
      <c r="F1004" s="92" t="inlineStr">
        <is>
          <t>ETSCOST(INDEX(AE$280:AE$296,$E1403),$D1403)</t>
        </is>
      </c>
    </row>
    <row r="1005">
      <c r="A1005" s="14" t="n">
        <v>1404</v>
      </c>
      <c r="B1005" s="14" t="inlineStr">
        <is>
          <t>ets</t>
        </is>
      </c>
      <c r="C1005" s="14" t="inlineStr">
        <is>
          <t>lpg</t>
        </is>
      </c>
      <c r="D1005" s="14" t="inlineStr">
        <is>
          <t>nav</t>
        </is>
      </c>
      <c r="E1005" s="14" t="inlineStr">
        <is>
          <t>ETSCOST</t>
        </is>
      </c>
      <c r="F1005" s="92" t="inlineStr">
        <is>
          <t>ETSCOST(INDEX(AE$280:AE$296,$E1404),$D1404)</t>
        </is>
      </c>
    </row>
    <row r="1006">
      <c r="A1006" s="14" t="n">
        <v>1405</v>
      </c>
      <c r="B1006" s="14" t="inlineStr">
        <is>
          <t>ets</t>
        </is>
      </c>
      <c r="C1006" s="14" t="inlineStr">
        <is>
          <t>ker</t>
        </is>
      </c>
      <c r="D1006" s="14" t="inlineStr">
        <is>
          <t>nav</t>
        </is>
      </c>
      <c r="E1006" s="14" t="inlineStr">
        <is>
          <t>ETSCOST</t>
        </is>
      </c>
      <c r="F1006" s="92" t="inlineStr">
        <is>
          <t>ETSCOST(INDEX(AE$280:AE$296,$E1405),$D1405)</t>
        </is>
      </c>
    </row>
    <row r="1007">
      <c r="A1007" s="14" t="n">
        <v>1406</v>
      </c>
      <c r="B1007" s="14" t="inlineStr">
        <is>
          <t>ets</t>
        </is>
      </c>
      <c r="C1007" s="14" t="inlineStr">
        <is>
          <t>oop</t>
        </is>
      </c>
      <c r="D1007" s="14" t="inlineStr">
        <is>
          <t>nav</t>
        </is>
      </c>
      <c r="E1007" s="14" t="inlineStr">
        <is>
          <t>ETSCOST</t>
        </is>
      </c>
      <c r="F1007" s="92" t="inlineStr">
        <is>
          <t>ETSCOST(INDEX(AE$280:AE$296,$E1406),$D1406)</t>
        </is>
      </c>
    </row>
    <row r="1008">
      <c r="A1008" s="14" t="n">
        <v>1407</v>
      </c>
      <c r="B1008" s="14" t="inlineStr">
        <is>
          <t>ets</t>
        </is>
      </c>
      <c r="C1008" s="14" t="inlineStr">
        <is>
          <t>bio</t>
        </is>
      </c>
      <c r="D1008" s="14" t="inlineStr">
        <is>
          <t>nav</t>
        </is>
      </c>
      <c r="E1008" s="14" t="inlineStr">
        <is>
          <t>ETSCOST</t>
        </is>
      </c>
      <c r="F1008" s="92" t="inlineStr">
        <is>
          <t>ETSCOST(INDEX(AE$280:AE$296,$E1407),$D1407)</t>
        </is>
      </c>
    </row>
    <row r="1009">
      <c r="A1009" s="14" t="n">
        <v>1409</v>
      </c>
      <c r="B1009" s="14" t="inlineStr">
        <is>
          <t>ntx</t>
        </is>
      </c>
      <c r="C1009" s="14" t="inlineStr">
        <is>
          <t>coa</t>
        </is>
      </c>
      <c r="D1009" s="14" t="inlineStr">
        <is>
          <t>nav</t>
        </is>
      </c>
      <c r="E1009" s="14" t="inlineStr">
        <is>
          <t>NEWEXCISE</t>
        </is>
      </c>
      <c r="F1009" s="92" t="inlineStr">
        <is>
          <t>NEWEXCISE(INDEX(AE$80:AE$93,$D1409),$E1409)</t>
        </is>
      </c>
    </row>
    <row r="1010">
      <c r="A1010" s="14" t="n">
        <v>1410</v>
      </c>
      <c r="B1010" s="14" t="inlineStr">
        <is>
          <t>ntx</t>
        </is>
      </c>
      <c r="C1010" s="14" t="inlineStr">
        <is>
          <t>nga</t>
        </is>
      </c>
      <c r="D1010" s="14" t="inlineStr">
        <is>
          <t>nav</t>
        </is>
      </c>
      <c r="E1010" s="14" t="inlineStr">
        <is>
          <t>NEWEXCISE</t>
        </is>
      </c>
      <c r="F1010" s="92" t="inlineStr">
        <is>
          <t>NEWEXCISE(INDEX(AE$80:AE$93,$D1410),$E1410)</t>
        </is>
      </c>
    </row>
    <row r="1011">
      <c r="A1011" s="14" t="n">
        <v>1411</v>
      </c>
      <c r="B1011" s="14" t="inlineStr">
        <is>
          <t>ntx</t>
        </is>
      </c>
      <c r="C1011" s="14" t="inlineStr">
        <is>
          <t>gso</t>
        </is>
      </c>
      <c r="D1011" s="14" t="inlineStr">
        <is>
          <t>nav</t>
        </is>
      </c>
      <c r="E1011" s="14" t="inlineStr">
        <is>
          <t>NEWEXCISE</t>
        </is>
      </c>
      <c r="F1011" s="92" t="inlineStr">
        <is>
          <t>NEWEXCISE(INDEX(AE$80:AE$93,$D1411),$E1411)</t>
        </is>
      </c>
    </row>
    <row r="1012">
      <c r="A1012" s="14" t="n">
        <v>1412</v>
      </c>
      <c r="B1012" s="14" t="inlineStr">
        <is>
          <t>ntx</t>
        </is>
      </c>
      <c r="C1012" s="14" t="inlineStr">
        <is>
          <t>die</t>
        </is>
      </c>
      <c r="D1012" s="14" t="inlineStr">
        <is>
          <t>nav</t>
        </is>
      </c>
      <c r="E1012" s="14" t="inlineStr">
        <is>
          <t>NEWEXCISE</t>
        </is>
      </c>
      <c r="F1012" s="92" t="inlineStr">
        <is>
          <t>NEWEXCISE(INDEX(AE$80:AE$93,$D1412),$E1412)</t>
        </is>
      </c>
    </row>
    <row r="1013">
      <c r="A1013" s="14" t="n">
        <v>1413</v>
      </c>
      <c r="B1013" s="14" t="inlineStr">
        <is>
          <t>ntx</t>
        </is>
      </c>
      <c r="C1013" s="14" t="inlineStr">
        <is>
          <t>lpg</t>
        </is>
      </c>
      <c r="D1013" s="14" t="inlineStr">
        <is>
          <t>nav</t>
        </is>
      </c>
      <c r="E1013" s="14" t="inlineStr">
        <is>
          <t>NEWEXCISE</t>
        </is>
      </c>
      <c r="F1013" s="92" t="inlineStr">
        <is>
          <t>NEWEXCISE(INDEX(AE$80:AE$93,$D1413),$E1413)</t>
        </is>
      </c>
    </row>
    <row r="1014">
      <c r="A1014" s="14" t="n">
        <v>1414</v>
      </c>
      <c r="B1014" s="14" t="inlineStr">
        <is>
          <t>ntx</t>
        </is>
      </c>
      <c r="C1014" s="14" t="inlineStr">
        <is>
          <t>ker</t>
        </is>
      </c>
      <c r="D1014" s="14" t="inlineStr">
        <is>
          <t>nav</t>
        </is>
      </c>
      <c r="E1014" s="14" t="inlineStr">
        <is>
          <t>NEWEXCISE</t>
        </is>
      </c>
      <c r="F1014" s="92" t="inlineStr">
        <is>
          <t>NEWEXCISE(INDEX(AE$80:AE$93,$D1414),$E1414)</t>
        </is>
      </c>
    </row>
    <row r="1015">
      <c r="A1015" s="14" t="n">
        <v>1415</v>
      </c>
      <c r="B1015" s="14" t="inlineStr">
        <is>
          <t>ntx</t>
        </is>
      </c>
      <c r="C1015" s="14" t="inlineStr">
        <is>
          <t>oop</t>
        </is>
      </c>
      <c r="D1015" s="14" t="inlineStr">
        <is>
          <t>nav</t>
        </is>
      </c>
      <c r="E1015" s="14" t="inlineStr">
        <is>
          <t>NEWEXCISE</t>
        </is>
      </c>
      <c r="F1015" s="92" t="inlineStr">
        <is>
          <t>NEWEXCISE(INDEX(AE$80:AE$93,$D1415),$E1415)</t>
        </is>
      </c>
    </row>
    <row r="1016">
      <c r="A1016" s="14" t="n">
        <v>1416</v>
      </c>
      <c r="B1016" s="14" t="inlineStr">
        <is>
          <t>ntx</t>
        </is>
      </c>
      <c r="C1016" s="14" t="inlineStr">
        <is>
          <t>bio</t>
        </is>
      </c>
      <c r="D1016" s="14" t="inlineStr">
        <is>
          <t>nav</t>
        </is>
      </c>
      <c r="E1016" s="14" t="inlineStr">
        <is>
          <t>NEWEXCISE</t>
        </is>
      </c>
      <c r="F1016" s="92" t="inlineStr">
        <is>
          <t>NEWEXCISE(INDEX(AE$80:AE$93,$D1416),$E1416)</t>
        </is>
      </c>
    </row>
    <row r="1017">
      <c r="A1017" s="14" t="n">
        <v>1418</v>
      </c>
      <c r="B1017" s="14" t="inlineStr">
        <is>
          <t>nce</t>
        </is>
      </c>
      <c r="C1017" s="14" t="inlineStr">
        <is>
          <t>coa</t>
        </is>
      </c>
      <c r="D1017" s="14" t="inlineStr">
        <is>
          <t>nav</t>
        </is>
      </c>
      <c r="E1017" s="14" t="inlineStr">
        <is>
          <t>NEWPOLICY</t>
        </is>
      </c>
      <c r="F1017" s="92" t="inlineStr">
        <is>
          <t>NEWPOLICY(AE1391,AE1400,AE1409)</t>
        </is>
      </c>
    </row>
    <row r="1018">
      <c r="A1018" s="14" t="n">
        <v>1419</v>
      </c>
      <c r="B1018" s="14" t="inlineStr">
        <is>
          <t>nce</t>
        </is>
      </c>
      <c r="C1018" s="14" t="inlineStr">
        <is>
          <t>nga</t>
        </is>
      </c>
      <c r="D1018" s="14" t="inlineStr">
        <is>
          <t>nav</t>
        </is>
      </c>
      <c r="E1018" s="14" t="inlineStr">
        <is>
          <t>NEWPOLICY</t>
        </is>
      </c>
      <c r="F1018" s="92" t="inlineStr">
        <is>
          <t>NEWPOLICY(AE1392,AE1401,AE1410)</t>
        </is>
      </c>
    </row>
    <row r="1019">
      <c r="A1019" s="14" t="n">
        <v>1420</v>
      </c>
      <c r="B1019" s="14" t="inlineStr">
        <is>
          <t>nce</t>
        </is>
      </c>
      <c r="C1019" s="14" t="inlineStr">
        <is>
          <t>gso</t>
        </is>
      </c>
      <c r="D1019" s="14" t="inlineStr">
        <is>
          <t>nav</t>
        </is>
      </c>
      <c r="E1019" s="14" t="inlineStr">
        <is>
          <t>NEWPOLICY</t>
        </is>
      </c>
      <c r="F1019" s="92" t="inlineStr">
        <is>
          <t>NEWPOLICY(AE1393,AE1402,AE1411)</t>
        </is>
      </c>
    </row>
    <row r="1020">
      <c r="A1020" s="14" t="n">
        <v>1421</v>
      </c>
      <c r="B1020" s="14" t="inlineStr">
        <is>
          <t>nce</t>
        </is>
      </c>
      <c r="C1020" s="14" t="inlineStr">
        <is>
          <t>die</t>
        </is>
      </c>
      <c r="D1020" s="14" t="inlineStr">
        <is>
          <t>nav</t>
        </is>
      </c>
      <c r="E1020" s="14" t="inlineStr">
        <is>
          <t>NEWPOLICY</t>
        </is>
      </c>
      <c r="F1020" s="92" t="inlineStr">
        <is>
          <t>NEWPOLICY(AE1394,AE1403,AE1412)</t>
        </is>
      </c>
    </row>
    <row r="1021">
      <c r="A1021" s="14" t="n">
        <v>1422</v>
      </c>
      <c r="B1021" s="14" t="inlineStr">
        <is>
          <t>nce</t>
        </is>
      </c>
      <c r="C1021" s="14" t="inlineStr">
        <is>
          <t>lpg</t>
        </is>
      </c>
      <c r="D1021" s="14" t="inlineStr">
        <is>
          <t>nav</t>
        </is>
      </c>
      <c r="E1021" s="14" t="inlineStr">
        <is>
          <t>NEWPOLICY</t>
        </is>
      </c>
      <c r="F1021" s="92" t="inlineStr">
        <is>
          <t>NEWPOLICY(AE1395,AE1404,AE1413)</t>
        </is>
      </c>
    </row>
    <row r="1022">
      <c r="A1022" s="14" t="n">
        <v>1423</v>
      </c>
      <c r="B1022" s="14" t="inlineStr">
        <is>
          <t>nce</t>
        </is>
      </c>
      <c r="C1022" s="14" t="inlineStr">
        <is>
          <t>ker</t>
        </is>
      </c>
      <c r="D1022" s="14" t="inlineStr">
        <is>
          <t>nav</t>
        </is>
      </c>
      <c r="E1022" s="14" t="inlineStr">
        <is>
          <t>NEWPOLICY</t>
        </is>
      </c>
      <c r="F1022" s="92" t="inlineStr">
        <is>
          <t>NEWPOLICY(AE1396,AE1405,AE1414)</t>
        </is>
      </c>
    </row>
    <row r="1023">
      <c r="A1023" s="14" t="n">
        <v>1424</v>
      </c>
      <c r="B1023" s="14" t="inlineStr">
        <is>
          <t>nce</t>
        </is>
      </c>
      <c r="C1023" s="14" t="inlineStr">
        <is>
          <t>oop</t>
        </is>
      </c>
      <c r="D1023" s="14" t="inlineStr">
        <is>
          <t>nav</t>
        </is>
      </c>
      <c r="E1023" s="14" t="inlineStr">
        <is>
          <t>NEWPOLICY</t>
        </is>
      </c>
      <c r="F1023" s="92" t="inlineStr">
        <is>
          <t>NEWPOLICY(AE1397,AE1406,AE1415)</t>
        </is>
      </c>
    </row>
    <row r="1024">
      <c r="A1024" s="14" t="n">
        <v>1425</v>
      </c>
      <c r="B1024" s="14" t="inlineStr">
        <is>
          <t>nce</t>
        </is>
      </c>
      <c r="C1024" s="14" t="inlineStr">
        <is>
          <t>bio</t>
        </is>
      </c>
      <c r="D1024" s="14" t="inlineStr">
        <is>
          <t>nav</t>
        </is>
      </c>
      <c r="E1024" s="14" t="inlineStr">
        <is>
          <t>NEWPOLICY</t>
        </is>
      </c>
      <c r="F1024" s="92" t="inlineStr">
        <is>
          <t>NEWPOLICY(AE1398,AE1407,AE1416)</t>
        </is>
      </c>
    </row>
    <row r="1025">
      <c r="A1025" s="14" t="n">
        <v>1427</v>
      </c>
      <c r="B1025" s="14" t="inlineStr">
        <is>
          <t>xcp</t>
        </is>
      </c>
      <c r="C1025" s="14" t="inlineStr">
        <is>
          <t>coa</t>
        </is>
      </c>
      <c r="D1025" s="14" t="inlineStr">
        <is>
          <t>nav</t>
        </is>
      </c>
      <c r="E1025" s="14" t="inlineStr">
        <is>
          <t>XCARBON</t>
        </is>
      </c>
      <c r="F1025" s="92" t="inlineStr">
        <is>
          <t>XCARBON($D1427,$E1427,AE$321,$F1427,AE$324)</t>
        </is>
      </c>
    </row>
    <row r="1026">
      <c r="A1026" s="14" t="n">
        <v>1428</v>
      </c>
      <c r="B1026" s="14" t="inlineStr">
        <is>
          <t>xcp</t>
        </is>
      </c>
      <c r="C1026" s="14" t="inlineStr">
        <is>
          <t>nga</t>
        </is>
      </c>
      <c r="D1026" s="14" t="inlineStr">
        <is>
          <t>nav</t>
        </is>
      </c>
      <c r="E1026" s="14" t="inlineStr">
        <is>
          <t>XCARBON</t>
        </is>
      </c>
      <c r="F1026" s="92" t="inlineStr">
        <is>
          <t>XCARBON($D1428,$E1428,AE$321,$F1428,AE$324)</t>
        </is>
      </c>
    </row>
    <row r="1027">
      <c r="A1027" s="14" t="n">
        <v>1429</v>
      </c>
      <c r="B1027" s="14" t="inlineStr">
        <is>
          <t>xcp</t>
        </is>
      </c>
      <c r="C1027" s="14" t="inlineStr">
        <is>
          <t>gso</t>
        </is>
      </c>
      <c r="D1027" s="14" t="inlineStr">
        <is>
          <t>nav</t>
        </is>
      </c>
      <c r="E1027" s="14" t="inlineStr">
        <is>
          <t>XCARBON</t>
        </is>
      </c>
      <c r="F1027" s="92" t="inlineStr">
        <is>
          <t>XCARBON($D1429,$E1429,AE$321,$F1429,AE$324)</t>
        </is>
      </c>
    </row>
    <row r="1028">
      <c r="A1028" s="14" t="n">
        <v>1430</v>
      </c>
      <c r="B1028" s="14" t="inlineStr">
        <is>
          <t>xcp</t>
        </is>
      </c>
      <c r="C1028" s="14" t="inlineStr">
        <is>
          <t>die</t>
        </is>
      </c>
      <c r="D1028" s="14" t="inlineStr">
        <is>
          <t>nav</t>
        </is>
      </c>
      <c r="E1028" s="14" t="inlineStr">
        <is>
          <t>XCARBON</t>
        </is>
      </c>
      <c r="F1028" s="92" t="inlineStr">
        <is>
          <t>XCARBON($D1430,$E1430,AE$321,$F1430,AE$324)</t>
        </is>
      </c>
    </row>
    <row r="1029">
      <c r="A1029" s="14" t="n">
        <v>1431</v>
      </c>
      <c r="B1029" s="14" t="inlineStr">
        <is>
          <t>xcp</t>
        </is>
      </c>
      <c r="C1029" s="14" t="inlineStr">
        <is>
          <t>lpg</t>
        </is>
      </c>
      <c r="D1029" s="14" t="inlineStr">
        <is>
          <t>nav</t>
        </is>
      </c>
      <c r="E1029" s="14" t="inlineStr">
        <is>
          <t>XCARBON</t>
        </is>
      </c>
      <c r="F1029" s="92" t="inlineStr">
        <is>
          <t>XCARBON($D1431,$E1431,AE$321,$F1431,AE$324)</t>
        </is>
      </c>
    </row>
    <row r="1030">
      <c r="A1030" s="14" t="n">
        <v>1432</v>
      </c>
      <c r="B1030" s="14" t="inlineStr">
        <is>
          <t>xcp</t>
        </is>
      </c>
      <c r="C1030" s="14" t="inlineStr">
        <is>
          <t>ker</t>
        </is>
      </c>
      <c r="D1030" s="14" t="inlineStr">
        <is>
          <t>nav</t>
        </is>
      </c>
      <c r="E1030" s="14" t="inlineStr">
        <is>
          <t>XCARBON</t>
        </is>
      </c>
      <c r="F1030" s="92" t="inlineStr">
        <is>
          <t>XCARBON($D1432,$E1432,AE$321,$F1432,AE$324)</t>
        </is>
      </c>
    </row>
    <row r="1031">
      <c r="A1031" s="14" t="n">
        <v>1433</v>
      </c>
      <c r="B1031" s="14" t="inlineStr">
        <is>
          <t>xcp</t>
        </is>
      </c>
      <c r="C1031" s="14" t="inlineStr">
        <is>
          <t>oop</t>
        </is>
      </c>
      <c r="D1031" s="14" t="inlineStr">
        <is>
          <t>nav</t>
        </is>
      </c>
      <c r="E1031" s="14" t="inlineStr">
        <is>
          <t>XCARBON</t>
        </is>
      </c>
      <c r="F1031" s="92" t="inlineStr">
        <is>
          <t>XCARBON($D1433,$E1433,AE$321,$F1433,AE$324)</t>
        </is>
      </c>
    </row>
    <row r="1032">
      <c r="A1032" s="14" t="n">
        <v>1434</v>
      </c>
      <c r="B1032" s="14" t="inlineStr">
        <is>
          <t>xcp</t>
        </is>
      </c>
      <c r="C1032" s="14" t="inlineStr">
        <is>
          <t>bio</t>
        </is>
      </c>
      <c r="D1032" s="14" t="inlineStr">
        <is>
          <t>nav</t>
        </is>
      </c>
      <c r="E1032" s="14" t="inlineStr">
        <is>
          <t>XCARBON</t>
        </is>
      </c>
      <c r="F1032" s="92" t="inlineStr">
        <is>
          <t>XCARBON($D1434,$E1434,AE$321,$F1434,AE$324)</t>
        </is>
      </c>
    </row>
    <row r="1033">
      <c r="A1033" s="14" t="n">
        <v>1436</v>
      </c>
      <c r="B1033" s="14" t="inlineStr">
        <is>
          <t>xcpd</t>
        </is>
      </c>
      <c r="C1033" s="14" t="inlineStr">
        <is>
          <t>coa</t>
        </is>
      </c>
      <c r="D1033" s="14" t="inlineStr">
        <is>
          <t>nav</t>
        </is>
      </c>
      <c r="E1033" s="14" t="inlineStr">
        <is>
          <t>XCARBON</t>
        </is>
      </c>
      <c r="F1033" s="92" t="inlineStr">
        <is>
          <t>XCARBON($D1436,$E1436,(AE$321-AE$322),$F1436,(AE$324-AE$325))</t>
        </is>
      </c>
    </row>
    <row r="1034">
      <c r="A1034" s="14" t="n">
        <v>1437</v>
      </c>
      <c r="B1034" s="14" t="inlineStr">
        <is>
          <t>xcpd</t>
        </is>
      </c>
      <c r="C1034" s="14" t="inlineStr">
        <is>
          <t>nga</t>
        </is>
      </c>
      <c r="D1034" s="14" t="inlineStr">
        <is>
          <t>nav</t>
        </is>
      </c>
      <c r="E1034" s="14" t="inlineStr">
        <is>
          <t>XCARBON</t>
        </is>
      </c>
      <c r="F1034" s="92" t="inlineStr">
        <is>
          <t>XCARBON($D1437,$E1437,(AE$321-AE$322),$F1437,(AE$324-AE$325))</t>
        </is>
      </c>
    </row>
    <row r="1035">
      <c r="A1035" s="14" t="n">
        <v>1438</v>
      </c>
      <c r="B1035" s="14" t="inlineStr">
        <is>
          <t>xcpd</t>
        </is>
      </c>
      <c r="C1035" s="14" t="inlineStr">
        <is>
          <t>gso</t>
        </is>
      </c>
      <c r="D1035" s="14" t="inlineStr">
        <is>
          <t>nav</t>
        </is>
      </c>
      <c r="E1035" s="14" t="inlineStr">
        <is>
          <t>XCARBON</t>
        </is>
      </c>
      <c r="F1035" s="92" t="inlineStr">
        <is>
          <t>XCARBON($D1438,$E1438,(AE$321-AE$322),$F1438,(AE$324-AE$325))</t>
        </is>
      </c>
    </row>
    <row r="1036">
      <c r="A1036" s="14" t="n">
        <v>1439</v>
      </c>
      <c r="B1036" s="14" t="inlineStr">
        <is>
          <t>xcpd</t>
        </is>
      </c>
      <c r="C1036" s="14" t="inlineStr">
        <is>
          <t>die</t>
        </is>
      </c>
      <c r="D1036" s="14" t="inlineStr">
        <is>
          <t>nav</t>
        </is>
      </c>
      <c r="E1036" s="14" t="inlineStr">
        <is>
          <t>XCARBON</t>
        </is>
      </c>
      <c r="F1036" s="92" t="inlineStr">
        <is>
          <t>XCARBON($D1439,$E1439,(AE$321-AE$322),$F1439,(AE$324-AE$325))</t>
        </is>
      </c>
    </row>
    <row r="1037">
      <c r="A1037" s="14" t="n">
        <v>1440</v>
      </c>
      <c r="B1037" s="14" t="inlineStr">
        <is>
          <t>xcpd</t>
        </is>
      </c>
      <c r="C1037" s="14" t="inlineStr">
        <is>
          <t>lpg</t>
        </is>
      </c>
      <c r="D1037" s="14" t="inlineStr">
        <is>
          <t>nav</t>
        </is>
      </c>
      <c r="E1037" s="14" t="inlineStr">
        <is>
          <t>XCARBON</t>
        </is>
      </c>
      <c r="F1037" s="92" t="inlineStr">
        <is>
          <t>XCARBON($D1440,$E1440,(AE$321-AE$322),$F1440,(AE$324-AE$325))</t>
        </is>
      </c>
    </row>
    <row r="1038">
      <c r="A1038" s="14" t="n">
        <v>1441</v>
      </c>
      <c r="B1038" s="14" t="inlineStr">
        <is>
          <t>xcpd</t>
        </is>
      </c>
      <c r="C1038" s="14" t="inlineStr">
        <is>
          <t>ker</t>
        </is>
      </c>
      <c r="D1038" s="14" t="inlineStr">
        <is>
          <t>nav</t>
        </is>
      </c>
      <c r="E1038" s="14" t="inlineStr">
        <is>
          <t>XCARBON</t>
        </is>
      </c>
      <c r="F1038" s="92" t="inlineStr">
        <is>
          <t>XCARBON($D1441,$E1441,(AE$321-AE$322),$F1441,(AE$324-AE$325))</t>
        </is>
      </c>
    </row>
    <row r="1039">
      <c r="A1039" s="14" t="n">
        <v>1442</v>
      </c>
      <c r="B1039" s="14" t="inlineStr">
        <is>
          <t>xcpd</t>
        </is>
      </c>
      <c r="C1039" s="14" t="inlineStr">
        <is>
          <t>oop</t>
        </is>
      </c>
      <c r="D1039" s="14" t="inlineStr">
        <is>
          <t>nav</t>
        </is>
      </c>
      <c r="E1039" s="14" t="inlineStr">
        <is>
          <t>XCARBON</t>
        </is>
      </c>
      <c r="F1039" s="92" t="inlineStr">
        <is>
          <t>XCARBON($D1442,$E1442,(AE$321-AE$322),$F1442,(AE$324-AE$325))</t>
        </is>
      </c>
    </row>
    <row r="1040">
      <c r="A1040" s="14" t="n">
        <v>1443</v>
      </c>
      <c r="B1040" s="14" t="inlineStr">
        <is>
          <t>xcpd</t>
        </is>
      </c>
      <c r="C1040" s="14" t="inlineStr">
        <is>
          <t>bio</t>
        </is>
      </c>
      <c r="D1040" s="14" t="inlineStr">
        <is>
          <t>nav</t>
        </is>
      </c>
      <c r="E1040" s="14" t="inlineStr">
        <is>
          <t>XCARBON</t>
        </is>
      </c>
      <c r="F1040" s="92" t="inlineStr">
        <is>
          <t>XCARBON($D1443,$E1443,(AE$321-AE$322),$F1443,(AE$324-AE$325))</t>
        </is>
      </c>
    </row>
    <row r="1041">
      <c r="A1041" s="14" t="n">
        <v>1445</v>
      </c>
      <c r="B1041" s="14" t="inlineStr">
        <is>
          <t>atp</t>
        </is>
      </c>
      <c r="C1041" s="14" t="inlineStr">
        <is>
          <t>coa</t>
        </is>
      </c>
      <c r="D1041" s="14" t="inlineStr">
        <is>
          <t>nav</t>
        </is>
      </c>
      <c r="E1041" s="14" t="inlineStr">
        <is>
          <t>POSTTAX</t>
        </is>
      </c>
      <c r="F1041" s="92" t="inlineStr">
        <is>
          <t>POSTTAX(INDEX(AE$381:AE$392,$D1445),AE1418+AE1436,$E1445)</t>
        </is>
      </c>
    </row>
    <row r="1042">
      <c r="A1042" s="14" t="n">
        <v>1446</v>
      </c>
      <c r="B1042" s="14" t="inlineStr">
        <is>
          <t>atp</t>
        </is>
      </c>
      <c r="C1042" s="14" t="inlineStr">
        <is>
          <t>nga</t>
        </is>
      </c>
      <c r="D1042" s="14" t="inlineStr">
        <is>
          <t>nav</t>
        </is>
      </c>
      <c r="E1042" s="14" t="inlineStr">
        <is>
          <t>POSTTAX</t>
        </is>
      </c>
      <c r="F1042" s="92" t="inlineStr">
        <is>
          <t>POSTTAX(INDEX(AE$381:AE$392,$D1446),AE1419+AE1437,$E1446)</t>
        </is>
      </c>
    </row>
    <row r="1043">
      <c r="A1043" s="14" t="n">
        <v>1447</v>
      </c>
      <c r="B1043" s="14" t="inlineStr">
        <is>
          <t>atp</t>
        </is>
      </c>
      <c r="C1043" s="14" t="inlineStr">
        <is>
          <t>gso</t>
        </is>
      </c>
      <c r="D1043" s="14" t="inlineStr">
        <is>
          <t>nav</t>
        </is>
      </c>
      <c r="E1043" s="14" t="inlineStr">
        <is>
          <t>POSTTAX</t>
        </is>
      </c>
      <c r="F1043" s="92" t="inlineStr">
        <is>
          <t>POSTTAX(INDEX(AE$381:AE$392,$D1447),AE1420+AE1438,$E1447)</t>
        </is>
      </c>
    </row>
    <row r="1044">
      <c r="A1044" s="14" t="n">
        <v>1448</v>
      </c>
      <c r="B1044" s="14" t="inlineStr">
        <is>
          <t>atp</t>
        </is>
      </c>
      <c r="C1044" s="14" t="inlineStr">
        <is>
          <t>die</t>
        </is>
      </c>
      <c r="D1044" s="14" t="inlineStr">
        <is>
          <t>nav</t>
        </is>
      </c>
      <c r="E1044" s="14" t="inlineStr">
        <is>
          <t>POSTTAX</t>
        </is>
      </c>
      <c r="F1044" s="92" t="inlineStr">
        <is>
          <t>POSTTAX(INDEX(AE$381:AE$392,$D1448),AE1421+AE1439,$E1448)</t>
        </is>
      </c>
    </row>
    <row r="1045">
      <c r="A1045" s="14" t="n">
        <v>1449</v>
      </c>
      <c r="B1045" s="14" t="inlineStr">
        <is>
          <t>atp</t>
        </is>
      </c>
      <c r="C1045" s="14" t="inlineStr">
        <is>
          <t>lpg</t>
        </is>
      </c>
      <c r="D1045" s="14" t="inlineStr">
        <is>
          <t>nav</t>
        </is>
      </c>
      <c r="E1045" s="14" t="inlineStr">
        <is>
          <t>POSTTAX</t>
        </is>
      </c>
      <c r="F1045" s="92" t="inlineStr">
        <is>
          <t>POSTTAX(INDEX(AE$381:AE$392,$D1449),AE1422+AE1440,$E1449)</t>
        </is>
      </c>
    </row>
    <row r="1046">
      <c r="A1046" s="14" t="n">
        <v>1450</v>
      </c>
      <c r="B1046" s="14" t="inlineStr">
        <is>
          <t>atp</t>
        </is>
      </c>
      <c r="C1046" s="14" t="inlineStr">
        <is>
          <t>ker</t>
        </is>
      </c>
      <c r="D1046" s="14" t="inlineStr">
        <is>
          <t>nav</t>
        </is>
      </c>
      <c r="E1046" s="14" t="inlineStr">
        <is>
          <t>POSTTAX</t>
        </is>
      </c>
      <c r="F1046" s="92" t="inlineStr">
        <is>
          <t>POSTTAX(INDEX(AE$381:AE$392,$D1450),AE1423+AE1441,$E1450)</t>
        </is>
      </c>
    </row>
    <row r="1047">
      <c r="A1047" s="14" t="n">
        <v>1451</v>
      </c>
      <c r="B1047" s="14" t="inlineStr">
        <is>
          <t>atp</t>
        </is>
      </c>
      <c r="C1047" s="14" t="inlineStr">
        <is>
          <t>oop</t>
        </is>
      </c>
      <c r="D1047" s="14" t="inlineStr">
        <is>
          <t>nav</t>
        </is>
      </c>
      <c r="E1047" s="14" t="inlineStr">
        <is>
          <t>POSTTAX</t>
        </is>
      </c>
      <c r="F1047" s="92" t="inlineStr">
        <is>
          <t>POSTTAX(INDEX(AE$381:AE$392,$D1451),AE1424+AE1442,$E1451)</t>
        </is>
      </c>
    </row>
    <row r="1048">
      <c r="A1048" s="14" t="n">
        <v>1452</v>
      </c>
      <c r="B1048" s="14" t="inlineStr">
        <is>
          <t>atp</t>
        </is>
      </c>
      <c r="C1048" s="14" t="inlineStr">
        <is>
          <t>bio</t>
        </is>
      </c>
      <c r="D1048" s="14" t="inlineStr">
        <is>
          <t>nav</t>
        </is>
      </c>
      <c r="E1048" s="14" t="inlineStr">
        <is>
          <t>POSTTAX</t>
        </is>
      </c>
      <c r="F1048" s="92" t="inlineStr">
        <is>
          <t>POSTTAX(INDEX(AE$381:AE$392,$D1452),AE1425+AE1443,$E1452)</t>
        </is>
      </c>
    </row>
    <row r="1049">
      <c r="A1049" s="14" t="n">
        <v>1454</v>
      </c>
      <c r="B1049" s="14" t="inlineStr">
        <is>
          <t>shp</t>
        </is>
      </c>
      <c r="C1049" s="14" t="inlineStr">
        <is>
          <t>coa</t>
        </is>
      </c>
      <c r="D1049" s="14" t="inlineStr">
        <is>
          <t>nav</t>
        </is>
      </c>
      <c r="E1049" s="14" t="inlineStr">
        <is>
          <t>SHADOWGJ</t>
        </is>
      </c>
      <c r="F1049" s="92" t="inlineStr">
        <is>
          <t>SHADOWGJ(INDEX(AE$297:AE$313,$E1454),$D1454)</t>
        </is>
      </c>
    </row>
    <row r="1050">
      <c r="A1050" s="14" t="n">
        <v>1455</v>
      </c>
      <c r="B1050" s="14" t="inlineStr">
        <is>
          <t>shp</t>
        </is>
      </c>
      <c r="C1050" s="14" t="inlineStr">
        <is>
          <t>nga</t>
        </is>
      </c>
      <c r="D1050" s="14" t="inlineStr">
        <is>
          <t>nav</t>
        </is>
      </c>
      <c r="E1050" s="14" t="inlineStr">
        <is>
          <t>SHADOWGJ</t>
        </is>
      </c>
      <c r="F1050" s="92" t="inlineStr">
        <is>
          <t>SHADOWGJ(INDEX(AE$297:AE$313,$E1455),$D1455)</t>
        </is>
      </c>
    </row>
    <row r="1051">
      <c r="A1051" s="14" t="n">
        <v>1456</v>
      </c>
      <c r="B1051" s="14" t="inlineStr">
        <is>
          <t>shp</t>
        </is>
      </c>
      <c r="C1051" s="14" t="inlineStr">
        <is>
          <t>gso</t>
        </is>
      </c>
      <c r="D1051" s="14" t="inlineStr">
        <is>
          <t>nav</t>
        </is>
      </c>
      <c r="E1051" s="14" t="inlineStr">
        <is>
          <t>SHADOWGJ</t>
        </is>
      </c>
      <c r="F1051" s="92" t="inlineStr">
        <is>
          <t>SHADOWGJ(INDEX(AE$297:AE$313,$E1456),$D1456)</t>
        </is>
      </c>
    </row>
    <row r="1052">
      <c r="A1052" s="14" t="n">
        <v>1457</v>
      </c>
      <c r="B1052" s="14" t="inlineStr">
        <is>
          <t>shp</t>
        </is>
      </c>
      <c r="C1052" s="14" t="inlineStr">
        <is>
          <t>die</t>
        </is>
      </c>
      <c r="D1052" s="14" t="inlineStr">
        <is>
          <t>nav</t>
        </is>
      </c>
      <c r="E1052" s="14" t="inlineStr">
        <is>
          <t>SHADOWGJ</t>
        </is>
      </c>
      <c r="F1052" s="92" t="inlineStr">
        <is>
          <t>SHADOWGJ(INDEX(AE$297:AE$313,$E1457),$D1457)</t>
        </is>
      </c>
    </row>
    <row r="1053">
      <c r="A1053" s="14" t="n">
        <v>1458</v>
      </c>
      <c r="B1053" s="14" t="inlineStr">
        <is>
          <t>shp</t>
        </is>
      </c>
      <c r="C1053" s="14" t="inlineStr">
        <is>
          <t>lpg</t>
        </is>
      </c>
      <c r="D1053" s="14" t="inlineStr">
        <is>
          <t>nav</t>
        </is>
      </c>
      <c r="E1053" s="14" t="inlineStr">
        <is>
          <t>SHADOWGJ</t>
        </is>
      </c>
      <c r="F1053" s="92" t="inlineStr">
        <is>
          <t>SHADOWGJ(INDEX(AE$297:AE$313,$E1458),$D1458)</t>
        </is>
      </c>
    </row>
    <row r="1054">
      <c r="A1054" s="14" t="n">
        <v>1459</v>
      </c>
      <c r="B1054" s="14" t="inlineStr">
        <is>
          <t>shp</t>
        </is>
      </c>
      <c r="C1054" s="14" t="inlineStr">
        <is>
          <t>ker</t>
        </is>
      </c>
      <c r="D1054" s="14" t="inlineStr">
        <is>
          <t>nav</t>
        </is>
      </c>
      <c r="E1054" s="14" t="inlineStr">
        <is>
          <t>SHADOWGJ</t>
        </is>
      </c>
      <c r="F1054" s="92" t="inlineStr">
        <is>
          <t>SHADOWGJ(INDEX(AE$297:AE$313,$E1459),$D1459)</t>
        </is>
      </c>
    </row>
    <row r="1055">
      <c r="A1055" s="14" t="n">
        <v>1460</v>
      </c>
      <c r="B1055" s="14" t="inlineStr">
        <is>
          <t>shp</t>
        </is>
      </c>
      <c r="C1055" s="14" t="inlineStr">
        <is>
          <t>oop</t>
        </is>
      </c>
      <c r="D1055" s="14" t="inlineStr">
        <is>
          <t>nav</t>
        </is>
      </c>
      <c r="E1055" s="14" t="inlineStr">
        <is>
          <t>SHADOWGJ</t>
        </is>
      </c>
      <c r="F1055" s="92" t="inlineStr">
        <is>
          <t>SHADOWGJ(INDEX(AE$297:AE$313,$E1460),$D1460)</t>
        </is>
      </c>
    </row>
    <row r="1056">
      <c r="A1056" s="14" t="n">
        <v>1461</v>
      </c>
      <c r="B1056" s="14" t="inlineStr">
        <is>
          <t>shp</t>
        </is>
      </c>
      <c r="C1056" s="14" t="inlineStr">
        <is>
          <t>bio</t>
        </is>
      </c>
      <c r="D1056" s="14" t="inlineStr">
        <is>
          <t>nav</t>
        </is>
      </c>
      <c r="E1056" s="14" t="inlineStr">
        <is>
          <t>SHADOWGJ</t>
        </is>
      </c>
      <c r="F1056" s="92" t="inlineStr">
        <is>
          <t>SHADOWGJ(INDEX(AE$297:AE$313,$E1461),$D1461)</t>
        </is>
      </c>
    </row>
    <row r="1057">
      <c r="A1057" s="14" t="n">
        <v>1463</v>
      </c>
      <c r="B1057" s="14" t="inlineStr">
        <is>
          <t>ener</t>
        </is>
      </c>
      <c r="C1057" s="14" t="inlineStr">
        <is>
          <t>coa</t>
        </is>
      </c>
      <c r="D1057" s="14" t="inlineStr">
        <is>
          <t>nav</t>
        </is>
      </c>
      <c r="E1057" s="14" t="inlineStr">
        <is>
          <t>FUELUSE</t>
        </is>
      </c>
      <c r="F1057" s="92" t="inlineStr">
        <is>
          <t>FUELUSE(AD1463,AE1445,AD1445,AE1454,AD1454,AE$7,$D1463,$E1463,$F1463,$G1463)</t>
        </is>
      </c>
    </row>
    <row r="1058">
      <c r="A1058" s="14" t="n">
        <v>1464</v>
      </c>
      <c r="B1058" s="14" t="inlineStr">
        <is>
          <t>ener</t>
        </is>
      </c>
      <c r="C1058" s="14" t="inlineStr">
        <is>
          <t>nga</t>
        </is>
      </c>
      <c r="D1058" s="14" t="inlineStr">
        <is>
          <t>nav</t>
        </is>
      </c>
      <c r="E1058" s="14" t="inlineStr">
        <is>
          <t>FUELUSE</t>
        </is>
      </c>
      <c r="F1058" s="92" t="inlineStr">
        <is>
          <t>FUELUSE(AD1464,AE1446,AD1446,AE1455,AD1455,AE$7,$D1464,$E1464,$F1464,$G1464)</t>
        </is>
      </c>
    </row>
    <row r="1059">
      <c r="A1059" s="14" t="n">
        <v>1465</v>
      </c>
      <c r="B1059" s="14" t="inlineStr">
        <is>
          <t>ener</t>
        </is>
      </c>
      <c r="C1059" s="14" t="inlineStr">
        <is>
          <t>gso</t>
        </is>
      </c>
      <c r="D1059" s="14" t="inlineStr">
        <is>
          <t>nav</t>
        </is>
      </c>
      <c r="E1059" s="14" t="inlineStr">
        <is>
          <t>FUELUSE</t>
        </is>
      </c>
      <c r="F1059" s="92" t="inlineStr">
        <is>
          <t>FUELUSE(AD1465,AE1447,AD1447,AE1456,AD1456,AE$7,$D1465,$E1465,$F1465,$G1465)</t>
        </is>
      </c>
    </row>
    <row r="1060">
      <c r="A1060" s="14" t="n">
        <v>1466</v>
      </c>
      <c r="B1060" s="14" t="inlineStr">
        <is>
          <t>ener</t>
        </is>
      </c>
      <c r="C1060" s="14" t="inlineStr">
        <is>
          <t>die</t>
        </is>
      </c>
      <c r="D1060" s="14" t="inlineStr">
        <is>
          <t>nav</t>
        </is>
      </c>
      <c r="E1060" s="14" t="inlineStr">
        <is>
          <t>FUELUSE</t>
        </is>
      </c>
      <c r="F1060" s="92" t="inlineStr">
        <is>
          <t>FUELUSE(AD1466,AE1448,AD1448,AE1457,AD1457,AE$7,$D1466,$E1466,$F1466,$G1466)</t>
        </is>
      </c>
    </row>
    <row r="1061">
      <c r="A1061" s="14" t="n">
        <v>1467</v>
      </c>
      <c r="B1061" s="14" t="inlineStr">
        <is>
          <t>ener</t>
        </is>
      </c>
      <c r="C1061" s="14" t="inlineStr">
        <is>
          <t>lpg</t>
        </is>
      </c>
      <c r="D1061" s="14" t="inlineStr">
        <is>
          <t>nav</t>
        </is>
      </c>
      <c r="E1061" s="14" t="inlineStr">
        <is>
          <t>FUELUSE</t>
        </is>
      </c>
      <c r="F1061" s="92" t="inlineStr">
        <is>
          <t>FUELUSE(AD1467,AE1449,AD1449,AE1458,AD1458,AE$7,$D1467,$E1467,$F1467,$G1467)</t>
        </is>
      </c>
    </row>
    <row r="1062">
      <c r="A1062" s="14" t="n">
        <v>1468</v>
      </c>
      <c r="B1062" s="14" t="inlineStr">
        <is>
          <t>ener</t>
        </is>
      </c>
      <c r="C1062" s="14" t="inlineStr">
        <is>
          <t>ker</t>
        </is>
      </c>
      <c r="D1062" s="14" t="inlineStr">
        <is>
          <t>nav</t>
        </is>
      </c>
      <c r="E1062" s="14" t="inlineStr">
        <is>
          <t>FUELUSE</t>
        </is>
      </c>
      <c r="F1062" s="92" t="inlineStr">
        <is>
          <t>FUELUSE(AD1468,AE1450,AD1450,AE1459,AD1459,AE$7,$D1468,$E1468,$F1468,$G1468)</t>
        </is>
      </c>
    </row>
    <row r="1063">
      <c r="A1063" s="14" t="n">
        <v>1469</v>
      </c>
      <c r="B1063" s="14" t="inlineStr">
        <is>
          <t>ener</t>
        </is>
      </c>
      <c r="C1063" s="14" t="inlineStr">
        <is>
          <t>oop</t>
        </is>
      </c>
      <c r="D1063" s="14" t="inlineStr">
        <is>
          <t>nav</t>
        </is>
      </c>
      <c r="E1063" s="14" t="inlineStr">
        <is>
          <t>FUELUSE</t>
        </is>
      </c>
      <c r="F1063" s="92" t="inlineStr">
        <is>
          <t>FUELUSE(AD1469,AE1451,AD1451,AE1460,AD1460,AE$7,$D1469,$E1469,$F1469,$G1469)</t>
        </is>
      </c>
    </row>
    <row r="1064">
      <c r="A1064" s="14" t="n">
        <v>1470</v>
      </c>
      <c r="B1064" s="14" t="inlineStr">
        <is>
          <t>ener</t>
        </is>
      </c>
      <c r="C1064" s="14" t="inlineStr">
        <is>
          <t>bio</t>
        </is>
      </c>
      <c r="D1064" s="14" t="inlineStr">
        <is>
          <t>nav</t>
        </is>
      </c>
      <c r="E1064" s="14" t="inlineStr">
        <is>
          <t>FUELUSE</t>
        </is>
      </c>
      <c r="F1064" s="92" t="inlineStr">
        <is>
          <t>FUELUSE(AD1470,AE1452,AD1452,AE1461,AD1461,AE$7,$D1470,$E1470,$F1470,$G1470)</t>
        </is>
      </c>
    </row>
    <row r="1065">
      <c r="A1065" s="14" t="n">
        <v>1472</v>
      </c>
      <c r="B1065" s="14" t="inlineStr">
        <is>
          <t>co2</t>
        </is>
      </c>
      <c r="C1065" s="14" t="inlineStr">
        <is>
          <t>coa</t>
        </is>
      </c>
      <c r="D1065" s="14" t="inlineStr">
        <is>
          <t>nav</t>
        </is>
      </c>
      <c r="E1065" s="14" t="inlineStr">
        <is>
          <t>EMISSIONS</t>
        </is>
      </c>
      <c r="F1065" s="92" t="inlineStr">
        <is>
          <t>EMISSIONS(AE1463,Settings!$C$13,$D1472)</t>
        </is>
      </c>
    </row>
    <row r="1066">
      <c r="A1066" s="14" t="n">
        <v>1473</v>
      </c>
      <c r="B1066" s="14" t="inlineStr">
        <is>
          <t>co2</t>
        </is>
      </c>
      <c r="C1066" s="14" t="inlineStr">
        <is>
          <t>nga</t>
        </is>
      </c>
      <c r="D1066" s="14" t="inlineStr">
        <is>
          <t>nav</t>
        </is>
      </c>
      <c r="E1066" s="14" t="inlineStr">
        <is>
          <t>EMISSIONS</t>
        </is>
      </c>
      <c r="F1066" s="92" t="inlineStr">
        <is>
          <t>EMISSIONS(AE1464,Settings!$C$13,$D1473)</t>
        </is>
      </c>
    </row>
    <row r="1067">
      <c r="A1067" s="14" t="n">
        <v>1474</v>
      </c>
      <c r="B1067" s="14" t="inlineStr">
        <is>
          <t>co2</t>
        </is>
      </c>
      <c r="C1067" s="14" t="inlineStr">
        <is>
          <t>gso</t>
        </is>
      </c>
      <c r="D1067" s="14" t="inlineStr">
        <is>
          <t>nav</t>
        </is>
      </c>
      <c r="E1067" s="14" t="inlineStr">
        <is>
          <t>EMISSIONS</t>
        </is>
      </c>
      <c r="F1067" s="92" t="inlineStr">
        <is>
          <t>EMISSIONS(AE1465,Settings!$C$13,$D1474)</t>
        </is>
      </c>
    </row>
    <row r="1068">
      <c r="A1068" s="14" t="n">
        <v>1475</v>
      </c>
      <c r="B1068" s="14" t="inlineStr">
        <is>
          <t>co2</t>
        </is>
      </c>
      <c r="C1068" s="14" t="inlineStr">
        <is>
          <t>die</t>
        </is>
      </c>
      <c r="D1068" s="14" t="inlineStr">
        <is>
          <t>nav</t>
        </is>
      </c>
      <c r="E1068" s="14" t="inlineStr">
        <is>
          <t>EMISSIONS</t>
        </is>
      </c>
      <c r="F1068" s="92" t="inlineStr">
        <is>
          <t>EMISSIONS(AE1466,Settings!$C$13,$D1475)</t>
        </is>
      </c>
    </row>
    <row r="1069">
      <c r="A1069" s="14" t="n">
        <v>1476</v>
      </c>
      <c r="B1069" s="14" t="inlineStr">
        <is>
          <t>co2</t>
        </is>
      </c>
      <c r="C1069" s="14" t="inlineStr">
        <is>
          <t>lpg</t>
        </is>
      </c>
      <c r="D1069" s="14" t="inlineStr">
        <is>
          <t>nav</t>
        </is>
      </c>
      <c r="E1069" s="14" t="inlineStr">
        <is>
          <t>EMISSIONS</t>
        </is>
      </c>
      <c r="F1069" s="92" t="inlineStr">
        <is>
          <t>EMISSIONS(AE1467,Settings!$C$13,$D1476)</t>
        </is>
      </c>
    </row>
    <row r="1070">
      <c r="A1070" s="14" t="n">
        <v>1477</v>
      </c>
      <c r="B1070" s="14" t="inlineStr">
        <is>
          <t>co2</t>
        </is>
      </c>
      <c r="C1070" s="14" t="inlineStr">
        <is>
          <t>ker</t>
        </is>
      </c>
      <c r="D1070" s="14" t="inlineStr">
        <is>
          <t>nav</t>
        </is>
      </c>
      <c r="E1070" s="14" t="inlineStr">
        <is>
          <t>EMISSIONS</t>
        </is>
      </c>
      <c r="F1070" s="92" t="inlineStr">
        <is>
          <t>EMISSIONS(AE1468,Settings!$C$13,$D1477)</t>
        </is>
      </c>
    </row>
    <row r="1071">
      <c r="A1071" s="14" t="n">
        <v>1478</v>
      </c>
      <c r="B1071" s="14" t="inlineStr">
        <is>
          <t>co2</t>
        </is>
      </c>
      <c r="C1071" s="14" t="inlineStr">
        <is>
          <t>oop</t>
        </is>
      </c>
      <c r="D1071" s="14" t="inlineStr">
        <is>
          <t>nav</t>
        </is>
      </c>
      <c r="E1071" s="14" t="inlineStr">
        <is>
          <t>EMISSIONS</t>
        </is>
      </c>
      <c r="F1071" s="92" t="inlineStr">
        <is>
          <t>EMISSIONS(AE1469,Settings!$C$13,$D1478)</t>
        </is>
      </c>
    </row>
    <row r="1072">
      <c r="A1072" s="14" t="n">
        <v>1479</v>
      </c>
      <c r="B1072" s="14" t="inlineStr">
        <is>
          <t>co2</t>
        </is>
      </c>
      <c r="C1072" s="14" t="inlineStr">
        <is>
          <t>bio</t>
        </is>
      </c>
      <c r="D1072" s="14" t="inlineStr">
        <is>
          <t>nav</t>
        </is>
      </c>
      <c r="E1072" s="14" t="inlineStr">
        <is>
          <t>EMISSIONS</t>
        </is>
      </c>
      <c r="F1072" s="92" t="inlineStr">
        <is>
          <t>EMISSIONS(AE1470,Settings!$C$13,$D1479)</t>
        </is>
      </c>
    </row>
    <row r="1073">
      <c r="A1073" s="14" t="n">
        <v>1481</v>
      </c>
      <c r="B1073" s="14" t="inlineStr">
        <is>
          <t>rtx</t>
        </is>
      </c>
      <c r="C1073" s="14" t="inlineStr">
        <is>
          <t>coa</t>
        </is>
      </c>
      <c r="D1073" s="14" t="inlineStr">
        <is>
          <t>nav</t>
        </is>
      </c>
      <c r="E1073" s="14" t="inlineStr">
        <is>
          <t>REVENUE</t>
        </is>
      </c>
      <c r="F1073" s="92" t="inlineStr">
        <is>
          <t>REVENUE(AE1463,Settings!$C$13,INDEX(AE$407:AE$418,$D1481)+INDEX(AE$394:AE$405,$D1481)+AE1436*(1+$E1481))</t>
        </is>
      </c>
    </row>
    <row r="1074">
      <c r="A1074" s="14" t="n">
        <v>1482</v>
      </c>
      <c r="B1074" s="14" t="inlineStr">
        <is>
          <t>rtx</t>
        </is>
      </c>
      <c r="C1074" s="14" t="inlineStr">
        <is>
          <t>nga</t>
        </is>
      </c>
      <c r="D1074" s="14" t="inlineStr">
        <is>
          <t>nav</t>
        </is>
      </c>
      <c r="E1074" s="14" t="inlineStr">
        <is>
          <t>REVENUE</t>
        </is>
      </c>
      <c r="F1074" s="92" t="inlineStr">
        <is>
          <t>REVENUE(AE1464,Settings!$C$13,INDEX(AE$407:AE$418,$D1482)+INDEX(AE$394:AE$405,$D1482)+AE1437*(1+$E1482))</t>
        </is>
      </c>
    </row>
    <row r="1075">
      <c r="A1075" s="14" t="n">
        <v>1483</v>
      </c>
      <c r="B1075" s="14" t="inlineStr">
        <is>
          <t>rtx</t>
        </is>
      </c>
      <c r="C1075" s="14" t="inlineStr">
        <is>
          <t>gso</t>
        </is>
      </c>
      <c r="D1075" s="14" t="inlineStr">
        <is>
          <t>nav</t>
        </is>
      </c>
      <c r="E1075" s="14" t="inlineStr">
        <is>
          <t>REVENUE</t>
        </is>
      </c>
      <c r="F1075" s="92" t="inlineStr">
        <is>
          <t>REVENUE(AE1465,Settings!$C$13,INDEX(AE$407:AE$418,$D1483)+INDEX(AE$394:AE$405,$D1483)+AE1438*(1+$E1483))</t>
        </is>
      </c>
    </row>
    <row r="1076">
      <c r="A1076" s="14" t="n">
        <v>1484</v>
      </c>
      <c r="B1076" s="14" t="inlineStr">
        <is>
          <t>rtx</t>
        </is>
      </c>
      <c r="C1076" s="14" t="inlineStr">
        <is>
          <t>die</t>
        </is>
      </c>
      <c r="D1076" s="14" t="inlineStr">
        <is>
          <t>nav</t>
        </is>
      </c>
      <c r="E1076" s="14" t="inlineStr">
        <is>
          <t>REVENUE</t>
        </is>
      </c>
      <c r="F1076" s="92" t="inlineStr">
        <is>
          <t>REVENUE(AE1466,Settings!$C$13,INDEX(AE$407:AE$418,$D1484)+INDEX(AE$394:AE$405,$D1484)+AE1439*(1+$E1484))</t>
        </is>
      </c>
    </row>
    <row r="1077">
      <c r="A1077" s="14" t="n">
        <v>1485</v>
      </c>
      <c r="B1077" s="14" t="inlineStr">
        <is>
          <t>rtx</t>
        </is>
      </c>
      <c r="C1077" s="14" t="inlineStr">
        <is>
          <t>lpg</t>
        </is>
      </c>
      <c r="D1077" s="14" t="inlineStr">
        <is>
          <t>nav</t>
        </is>
      </c>
      <c r="E1077" s="14" t="inlineStr">
        <is>
          <t>REVENUE</t>
        </is>
      </c>
      <c r="F1077" s="92" t="inlineStr">
        <is>
          <t>REVENUE(AE1467,Settings!$C$13,INDEX(AE$407:AE$418,$D1485)+INDEX(AE$394:AE$405,$D1485)+AE1440*(1+$E1485))</t>
        </is>
      </c>
    </row>
    <row r="1078">
      <c r="A1078" s="14" t="n">
        <v>1486</v>
      </c>
      <c r="B1078" s="14" t="inlineStr">
        <is>
          <t>rtx</t>
        </is>
      </c>
      <c r="C1078" s="14" t="inlineStr">
        <is>
          <t>ker</t>
        </is>
      </c>
      <c r="D1078" s="14" t="inlineStr">
        <is>
          <t>nav</t>
        </is>
      </c>
      <c r="E1078" s="14" t="inlineStr">
        <is>
          <t>REVENUE</t>
        </is>
      </c>
      <c r="F1078" s="92" t="inlineStr">
        <is>
          <t>REVENUE(AE1468,Settings!$C$13,INDEX(AE$407:AE$418,$D1486)+INDEX(AE$394:AE$405,$D1486)+AE1441*(1+$E1486))</t>
        </is>
      </c>
    </row>
    <row r="1079">
      <c r="A1079" s="14" t="n">
        <v>1487</v>
      </c>
      <c r="B1079" s="14" t="inlineStr">
        <is>
          <t>rtx</t>
        </is>
      </c>
      <c r="C1079" s="14" t="inlineStr">
        <is>
          <t>oop</t>
        </is>
      </c>
      <c r="D1079" s="14" t="inlineStr">
        <is>
          <t>nav</t>
        </is>
      </c>
      <c r="E1079" s="14" t="inlineStr">
        <is>
          <t>REVENUE</t>
        </is>
      </c>
      <c r="F1079" s="92" t="inlineStr">
        <is>
          <t>REVENUE(AE1469,Settings!$C$13,INDEX(AE$407:AE$418,$D1487)+INDEX(AE$394:AE$405,$D1487)+AE1442*(1+$E1487))</t>
        </is>
      </c>
    </row>
    <row r="1080">
      <c r="A1080" s="14" t="n">
        <v>1488</v>
      </c>
      <c r="B1080" s="14" t="inlineStr">
        <is>
          <t>rtx</t>
        </is>
      </c>
      <c r="C1080" s="14" t="inlineStr">
        <is>
          <t>bio</t>
        </is>
      </c>
      <c r="D1080" s="14" t="inlineStr">
        <is>
          <t>nav</t>
        </is>
      </c>
      <c r="E1080" s="14" t="inlineStr">
        <is>
          <t>REVENUE</t>
        </is>
      </c>
      <c r="F1080" s="92" t="inlineStr">
        <is>
          <t>REVENUE(AE1470,Settings!$C$13,INDEX(AE$407:AE$418,$D1488)+INDEX(AE$394:AE$405,$D1488)+AE1443*(1+$E1488))</t>
        </is>
      </c>
    </row>
    <row r="1081">
      <c r="A1081" s="14" t="n">
        <v>1490</v>
      </c>
      <c r="B1081" s="14" t="inlineStr">
        <is>
          <t>rsub</t>
        </is>
      </c>
      <c r="C1081" s="14" t="inlineStr">
        <is>
          <t>coa</t>
        </is>
      </c>
      <c r="D1081" s="14" t="inlineStr">
        <is>
          <t>nav</t>
        </is>
      </c>
      <c r="E1081" s="14" t="inlineStr">
        <is>
          <t>REVENUE</t>
        </is>
      </c>
      <c r="F1081" s="92" t="inlineStr">
        <is>
          <t>REVENUE(AE1463,Settings!$C$13,INDEX(AE$420:AE$431,$D1490))</t>
        </is>
      </c>
    </row>
    <row r="1082">
      <c r="A1082" s="14" t="n">
        <v>1491</v>
      </c>
      <c r="B1082" s="14" t="inlineStr">
        <is>
          <t>rsub</t>
        </is>
      </c>
      <c r="C1082" s="14" t="inlineStr">
        <is>
          <t>nga</t>
        </is>
      </c>
      <c r="D1082" s="14" t="inlineStr">
        <is>
          <t>nav</t>
        </is>
      </c>
      <c r="E1082" s="14" t="inlineStr">
        <is>
          <t>REVENUE</t>
        </is>
      </c>
      <c r="F1082" s="92" t="inlineStr">
        <is>
          <t>REVENUE(AE1464,Settings!$C$13,INDEX(AE$420:AE$431,$D1491))</t>
        </is>
      </c>
    </row>
    <row r="1083">
      <c r="A1083" s="14" t="n">
        <v>1492</v>
      </c>
      <c r="B1083" s="14" t="inlineStr">
        <is>
          <t>rsub</t>
        </is>
      </c>
      <c r="C1083" s="14" t="inlineStr">
        <is>
          <t>gso</t>
        </is>
      </c>
      <c r="D1083" s="14" t="inlineStr">
        <is>
          <t>nav</t>
        </is>
      </c>
      <c r="E1083" s="14" t="inlineStr">
        <is>
          <t>REVENUE</t>
        </is>
      </c>
      <c r="F1083" s="92" t="inlineStr">
        <is>
          <t>REVENUE(AE1465,Settings!$C$13,INDEX(AE$420:AE$431,$D1492))</t>
        </is>
      </c>
    </row>
    <row r="1084">
      <c r="A1084" s="14" t="n">
        <v>1493</v>
      </c>
      <c r="B1084" s="14" t="inlineStr">
        <is>
          <t>rsub</t>
        </is>
      </c>
      <c r="C1084" s="14" t="inlineStr">
        <is>
          <t>die</t>
        </is>
      </c>
      <c r="D1084" s="14" t="inlineStr">
        <is>
          <t>nav</t>
        </is>
      </c>
      <c r="E1084" s="14" t="inlineStr">
        <is>
          <t>REVENUE</t>
        </is>
      </c>
      <c r="F1084" s="92" t="inlineStr">
        <is>
          <t>REVENUE(AE1466,Settings!$C$13,INDEX(AE$420:AE$431,$D1493))</t>
        </is>
      </c>
    </row>
    <row r="1085">
      <c r="A1085" s="14" t="n">
        <v>1494</v>
      </c>
      <c r="B1085" s="14" t="inlineStr">
        <is>
          <t>rsub</t>
        </is>
      </c>
      <c r="C1085" s="14" t="inlineStr">
        <is>
          <t>lpg</t>
        </is>
      </c>
      <c r="D1085" s="14" t="inlineStr">
        <is>
          <t>nav</t>
        </is>
      </c>
      <c r="E1085" s="14" t="inlineStr">
        <is>
          <t>REVENUE</t>
        </is>
      </c>
      <c r="F1085" s="92" t="inlineStr">
        <is>
          <t>REVENUE(AE1467,Settings!$C$13,INDEX(AE$420:AE$431,$D1494))</t>
        </is>
      </c>
    </row>
    <row r="1086">
      <c r="A1086" s="14" t="n">
        <v>1495</v>
      </c>
      <c r="B1086" s="14" t="inlineStr">
        <is>
          <t>rsub</t>
        </is>
      </c>
      <c r="C1086" s="14" t="inlineStr">
        <is>
          <t>ker</t>
        </is>
      </c>
      <c r="D1086" s="14" t="inlineStr">
        <is>
          <t>nav</t>
        </is>
      </c>
      <c r="E1086" s="14" t="inlineStr">
        <is>
          <t>REVENUE</t>
        </is>
      </c>
      <c r="F1086" s="92" t="inlineStr">
        <is>
          <t>REVENUE(AE1468,Settings!$C$13,INDEX(AE$420:AE$431,$D1495))</t>
        </is>
      </c>
    </row>
    <row r="1087">
      <c r="A1087" s="14" t="n">
        <v>1496</v>
      </c>
      <c r="B1087" s="14" t="inlineStr">
        <is>
          <t>rsub</t>
        </is>
      </c>
      <c r="C1087" s="14" t="inlineStr">
        <is>
          <t>oop</t>
        </is>
      </c>
      <c r="D1087" s="14" t="inlineStr">
        <is>
          <t>nav</t>
        </is>
      </c>
      <c r="E1087" s="14" t="inlineStr">
        <is>
          <t>REVENUE</t>
        </is>
      </c>
      <c r="F1087" s="92" t="inlineStr">
        <is>
          <t>REVENUE(AE1469,Settings!$C$13,INDEX(AE$420:AE$431,$D1496))</t>
        </is>
      </c>
    </row>
    <row r="1088">
      <c r="A1088" s="14" t="n">
        <v>1497</v>
      </c>
      <c r="B1088" s="14" t="inlineStr">
        <is>
          <t>rsub</t>
        </is>
      </c>
      <c r="C1088" s="14" t="inlineStr">
        <is>
          <t>bio</t>
        </is>
      </c>
      <c r="D1088" s="14" t="inlineStr">
        <is>
          <t>nav</t>
        </is>
      </c>
      <c r="E1088" s="14" t="inlineStr">
        <is>
          <t>REVENUE</t>
        </is>
      </c>
      <c r="F1088" s="92" t="inlineStr">
        <is>
          <t>REVENUE(AE1470,Settings!$C$13,INDEX(AE$420:AE$431,$D1497))</t>
        </is>
      </c>
    </row>
    <row r="1089">
      <c r="A1089" s="14" t="n">
        <v>1499</v>
      </c>
      <c r="B1089" s="14" t="inlineStr">
        <is>
          <t>rnew</t>
        </is>
      </c>
      <c r="C1089" s="14" t="inlineStr">
        <is>
          <t>coa</t>
        </is>
      </c>
      <c r="D1089" s="14" t="inlineStr">
        <is>
          <t>nav</t>
        </is>
      </c>
      <c r="E1089" s="14" t="inlineStr">
        <is>
          <t>REVENUE</t>
        </is>
      </c>
      <c r="F1089" s="92" t="inlineStr">
        <is>
          <t>REVENUE(AE1463,Settings!$C$13,NEWREVRATE(AE1391,AE1409,AE1400,AE$201,AE1418,$D1499))</t>
        </is>
      </c>
    </row>
    <row r="1090">
      <c r="A1090" s="14" t="n">
        <v>1500</v>
      </c>
      <c r="B1090" s="14" t="inlineStr">
        <is>
          <t>rnew</t>
        </is>
      </c>
      <c r="C1090" s="14" t="inlineStr">
        <is>
          <t>nga</t>
        </is>
      </c>
      <c r="D1090" s="14" t="inlineStr">
        <is>
          <t>nav</t>
        </is>
      </c>
      <c r="E1090" s="14" t="inlineStr">
        <is>
          <t>REVENUE</t>
        </is>
      </c>
      <c r="F1090" s="92" t="inlineStr">
        <is>
          <t>REVENUE(AE1464,Settings!$C$13,NEWREVRATE(AE1392,AE1410,AE1401,AE$201,AE1419,$D1500))</t>
        </is>
      </c>
    </row>
    <row r="1091">
      <c r="A1091" s="14" t="n">
        <v>1501</v>
      </c>
      <c r="B1091" s="14" t="inlineStr">
        <is>
          <t>rnew</t>
        </is>
      </c>
      <c r="C1091" s="14" t="inlineStr">
        <is>
          <t>gso</t>
        </is>
      </c>
      <c r="D1091" s="14" t="inlineStr">
        <is>
          <t>nav</t>
        </is>
      </c>
      <c r="E1091" s="14" t="inlineStr">
        <is>
          <t>REVENUE</t>
        </is>
      </c>
      <c r="F1091" s="92" t="inlineStr">
        <is>
          <t>REVENUE(AE1465,Settings!$C$13,NEWREVRATE(AE1393,AE1411,AE1402,AE$201,AE1420,$D1501))</t>
        </is>
      </c>
    </row>
    <row r="1092">
      <c r="A1092" s="14" t="n">
        <v>1502</v>
      </c>
      <c r="B1092" s="14" t="inlineStr">
        <is>
          <t>rnew</t>
        </is>
      </c>
      <c r="C1092" s="14" t="inlineStr">
        <is>
          <t>die</t>
        </is>
      </c>
      <c r="D1092" s="14" t="inlineStr">
        <is>
          <t>nav</t>
        </is>
      </c>
      <c r="E1092" s="14" t="inlineStr">
        <is>
          <t>REVENUE</t>
        </is>
      </c>
      <c r="F1092" s="92" t="inlineStr">
        <is>
          <t>REVENUE(AE1466,Settings!$C$13,NEWREVRATE(AE1394,AE1412,AE1403,AE$201,AE1421,$D1502))</t>
        </is>
      </c>
    </row>
    <row r="1093">
      <c r="A1093" s="14" t="n">
        <v>1503</v>
      </c>
      <c r="B1093" s="14" t="inlineStr">
        <is>
          <t>rnew</t>
        </is>
      </c>
      <c r="C1093" s="14" t="inlineStr">
        <is>
          <t>lpg</t>
        </is>
      </c>
      <c r="D1093" s="14" t="inlineStr">
        <is>
          <t>nav</t>
        </is>
      </c>
      <c r="E1093" s="14" t="inlineStr">
        <is>
          <t>REVENUE</t>
        </is>
      </c>
      <c r="F1093" s="92" t="inlineStr">
        <is>
          <t>REVENUE(AE1467,Settings!$C$13,NEWREVRATE(AE1395,AE1413,AE1404,AE$201,AE1422,$D1503))</t>
        </is>
      </c>
    </row>
    <row r="1094">
      <c r="A1094" s="14" t="n">
        <v>1504</v>
      </c>
      <c r="B1094" s="14" t="inlineStr">
        <is>
          <t>rnew</t>
        </is>
      </c>
      <c r="C1094" s="14" t="inlineStr">
        <is>
          <t>ker</t>
        </is>
      </c>
      <c r="D1094" s="14" t="inlineStr">
        <is>
          <t>nav</t>
        </is>
      </c>
      <c r="E1094" s="14" t="inlineStr">
        <is>
          <t>REVENUE</t>
        </is>
      </c>
      <c r="F1094" s="92" t="inlineStr">
        <is>
          <t>REVENUE(AE1468,Settings!$C$13,NEWREVRATE(AE1396,AE1414,AE1405,AE$201,AE1423,$D1504))</t>
        </is>
      </c>
    </row>
    <row r="1095">
      <c r="A1095" s="14" t="n">
        <v>1505</v>
      </c>
      <c r="B1095" s="14" t="inlineStr">
        <is>
          <t>rnew</t>
        </is>
      </c>
      <c r="C1095" s="14" t="inlineStr">
        <is>
          <t>oop</t>
        </is>
      </c>
      <c r="D1095" s="14" t="inlineStr">
        <is>
          <t>nav</t>
        </is>
      </c>
      <c r="E1095" s="14" t="inlineStr">
        <is>
          <t>REVENUE</t>
        </is>
      </c>
      <c r="F1095" s="92" t="inlineStr">
        <is>
          <t>REVENUE(AE1469,Settings!$C$13,NEWREVRATE(AE1397,AE1415,AE1406,AE$201,AE1424,$D1505))</t>
        </is>
      </c>
    </row>
    <row r="1096">
      <c r="A1096" s="14" t="n">
        <v>1506</v>
      </c>
      <c r="B1096" s="14" t="inlineStr">
        <is>
          <t>rnew</t>
        </is>
      </c>
      <c r="C1096" s="14" t="inlineStr">
        <is>
          <t>bio</t>
        </is>
      </c>
      <c r="D1096" s="14" t="inlineStr">
        <is>
          <t>nav</t>
        </is>
      </c>
      <c r="E1096" s="14" t="inlineStr">
        <is>
          <t>REVENUE</t>
        </is>
      </c>
      <c r="F1096" s="92" t="inlineStr">
        <is>
          <t>REVENUE(AE1470,Settings!$C$13,NEWREVRATE(AE1398,AE1416,AE1407,AE$201,AE1425,$D1506))</t>
        </is>
      </c>
    </row>
    <row r="1097">
      <c r="A1097" s="14" t="n">
        <v>1508</v>
      </c>
      <c r="B1097" s="14" t="inlineStr">
        <is>
          <t>rxcp</t>
        </is>
      </c>
      <c r="C1097" s="14" t="inlineStr">
        <is>
          <t>coa</t>
        </is>
      </c>
      <c r="D1097" s="14" t="inlineStr">
        <is>
          <t>nav</t>
        </is>
      </c>
      <c r="E1097" s="14" t="inlineStr">
        <is>
          <t>REVENUE</t>
        </is>
      </c>
      <c r="F1097" s="92" t="inlineStr">
        <is>
          <t>REVENUE(AE1463,Settings!$C$13,AE1427)</t>
        </is>
      </c>
    </row>
    <row r="1098">
      <c r="A1098" s="14" t="n">
        <v>1509</v>
      </c>
      <c r="B1098" s="14" t="inlineStr">
        <is>
          <t>rxcp</t>
        </is>
      </c>
      <c r="C1098" s="14" t="inlineStr">
        <is>
          <t>nga</t>
        </is>
      </c>
      <c r="D1098" s="14" t="inlineStr">
        <is>
          <t>nav</t>
        </is>
      </c>
      <c r="E1098" s="14" t="inlineStr">
        <is>
          <t>REVENUE</t>
        </is>
      </c>
      <c r="F1098" s="92" t="inlineStr">
        <is>
          <t>REVENUE(AE1464,Settings!$C$13,AE1428)</t>
        </is>
      </c>
    </row>
    <row r="1099">
      <c r="A1099" s="14" t="n">
        <v>1510</v>
      </c>
      <c r="B1099" s="14" t="inlineStr">
        <is>
          <t>rxcp</t>
        </is>
      </c>
      <c r="C1099" s="14" t="inlineStr">
        <is>
          <t>gso</t>
        </is>
      </c>
      <c r="D1099" s="14" t="inlineStr">
        <is>
          <t>nav</t>
        </is>
      </c>
      <c r="E1099" s="14" t="inlineStr">
        <is>
          <t>REVENUE</t>
        </is>
      </c>
      <c r="F1099" s="92" t="inlineStr">
        <is>
          <t>REVENUE(AE1465,Settings!$C$13,AE1429)</t>
        </is>
      </c>
    </row>
    <row r="1100">
      <c r="A1100" s="14" t="n">
        <v>1511</v>
      </c>
      <c r="B1100" s="14" t="inlineStr">
        <is>
          <t>rxcp</t>
        </is>
      </c>
      <c r="C1100" s="14" t="inlineStr">
        <is>
          <t>die</t>
        </is>
      </c>
      <c r="D1100" s="14" t="inlineStr">
        <is>
          <t>nav</t>
        </is>
      </c>
      <c r="E1100" s="14" t="inlineStr">
        <is>
          <t>REVENUE</t>
        </is>
      </c>
      <c r="F1100" s="92" t="inlineStr">
        <is>
          <t>REVENUE(AE1466,Settings!$C$13,AE1430)</t>
        </is>
      </c>
    </row>
    <row r="1101">
      <c r="A1101" s="14" t="n">
        <v>1512</v>
      </c>
      <c r="B1101" s="14" t="inlineStr">
        <is>
          <t>rxcp</t>
        </is>
      </c>
      <c r="C1101" s="14" t="inlineStr">
        <is>
          <t>lpg</t>
        </is>
      </c>
      <c r="D1101" s="14" t="inlineStr">
        <is>
          <t>nav</t>
        </is>
      </c>
      <c r="E1101" s="14" t="inlineStr">
        <is>
          <t>REVENUE</t>
        </is>
      </c>
      <c r="F1101" s="92" t="inlineStr">
        <is>
          <t>REVENUE(AE1467,Settings!$C$13,AE1431)</t>
        </is>
      </c>
    </row>
    <row r="1102">
      <c r="A1102" s="14" t="n">
        <v>1513</v>
      </c>
      <c r="B1102" s="14" t="inlineStr">
        <is>
          <t>rxcp</t>
        </is>
      </c>
      <c r="C1102" s="14" t="inlineStr">
        <is>
          <t>ker</t>
        </is>
      </c>
      <c r="D1102" s="14" t="inlineStr">
        <is>
          <t>nav</t>
        </is>
      </c>
      <c r="E1102" s="14" t="inlineStr">
        <is>
          <t>REVENUE</t>
        </is>
      </c>
      <c r="F1102" s="92" t="inlineStr">
        <is>
          <t>REVENUE(AE1468,Settings!$C$13,AE1432)</t>
        </is>
      </c>
    </row>
    <row r="1103">
      <c r="A1103" s="14" t="n">
        <v>1514</v>
      </c>
      <c r="B1103" s="14" t="inlineStr">
        <is>
          <t>rxcp</t>
        </is>
      </c>
      <c r="C1103" s="14" t="inlineStr">
        <is>
          <t>oop</t>
        </is>
      </c>
      <c r="D1103" s="14" t="inlineStr">
        <is>
          <t>nav</t>
        </is>
      </c>
      <c r="E1103" s="14" t="inlineStr">
        <is>
          <t>REVENUE</t>
        </is>
      </c>
      <c r="F1103" s="92" t="inlineStr">
        <is>
          <t>REVENUE(AE1469,Settings!$C$13,AE1433)</t>
        </is>
      </c>
    </row>
    <row r="1104">
      <c r="A1104" s="14" t="n">
        <v>1515</v>
      </c>
      <c r="B1104" s="14" t="inlineStr">
        <is>
          <t>rxcp</t>
        </is>
      </c>
      <c r="C1104" s="14" t="inlineStr">
        <is>
          <t>bio</t>
        </is>
      </c>
      <c r="D1104" s="14" t="inlineStr">
        <is>
          <t>nav</t>
        </is>
      </c>
      <c r="E1104" s="14" t="inlineStr">
        <is>
          <t>REVENUE</t>
        </is>
      </c>
      <c r="F1104" s="92" t="inlineStr">
        <is>
          <t>REVENUE(AE1470,Settings!$C$13,AE1434)</t>
        </is>
      </c>
    </row>
    <row r="1105">
      <c r="A1105" s="14" t="n">
        <v>1522</v>
      </c>
      <c r="B1105" s="14" t="inlineStr">
        <is>
          <t>ctxnew</t>
        </is>
      </c>
      <c r="C1105" s="14" t="inlineStr">
        <is>
          <t>coa</t>
        </is>
      </c>
      <c r="D1105" s="14" t="inlineStr">
        <is>
          <t>res</t>
        </is>
      </c>
      <c r="E1105" s="14" t="inlineStr">
        <is>
          <t>CARBONTAX</t>
        </is>
      </c>
      <c r="F1105" s="92" t="inlineStr">
        <is>
          <t>CARBONTAX(INDEX(AE$263:AE$279,$F1522),$D1522,INDEX(AE$23:AE$30,$E1522))</t>
        </is>
      </c>
    </row>
    <row r="1106">
      <c r="A1106" s="14" t="n">
        <v>1523</v>
      </c>
      <c r="B1106" s="14" t="inlineStr">
        <is>
          <t>ctxnew</t>
        </is>
      </c>
      <c r="C1106" s="14" t="inlineStr">
        <is>
          <t>nga</t>
        </is>
      </c>
      <c r="D1106" s="14" t="inlineStr">
        <is>
          <t>res</t>
        </is>
      </c>
      <c r="E1106" s="14" t="inlineStr">
        <is>
          <t>CARBONTAX</t>
        </is>
      </c>
      <c r="F1106" s="92" t="inlineStr">
        <is>
          <t>CARBONTAX(INDEX(AE$263:AE$279,$F1523),$D1523,INDEX(AE$23:AE$30,$E1523))</t>
        </is>
      </c>
    </row>
    <row r="1107">
      <c r="A1107" s="14" t="n">
        <v>1524</v>
      </c>
      <c r="B1107" s="14" t="inlineStr">
        <is>
          <t>ctxnew</t>
        </is>
      </c>
      <c r="C1107" s="14" t="inlineStr">
        <is>
          <t>gso</t>
        </is>
      </c>
      <c r="D1107" s="14" t="inlineStr">
        <is>
          <t>res</t>
        </is>
      </c>
      <c r="E1107" s="14" t="inlineStr">
        <is>
          <t>CARBONTAX</t>
        </is>
      </c>
      <c r="F1107" s="92" t="inlineStr">
        <is>
          <t>CARBONTAX(INDEX(AE$263:AE$279,$F1524),$D1524,INDEX(AE$23:AE$30,$E1524))</t>
        </is>
      </c>
    </row>
    <row r="1108">
      <c r="A1108" s="14" t="n">
        <v>1525</v>
      </c>
      <c r="B1108" s="14" t="inlineStr">
        <is>
          <t>ctxnew</t>
        </is>
      </c>
      <c r="C1108" s="14" t="inlineStr">
        <is>
          <t>die</t>
        </is>
      </c>
      <c r="D1108" s="14" t="inlineStr">
        <is>
          <t>res</t>
        </is>
      </c>
      <c r="E1108" s="14" t="inlineStr">
        <is>
          <t>CARBONTAX</t>
        </is>
      </c>
      <c r="F1108" s="92" t="inlineStr">
        <is>
          <t>CARBONTAX(INDEX(AE$263:AE$279,$F1525),$D1525,INDEX(AE$23:AE$30,$E1525))</t>
        </is>
      </c>
    </row>
    <row r="1109">
      <c r="A1109" s="14" t="n">
        <v>1526</v>
      </c>
      <c r="B1109" s="14" t="inlineStr">
        <is>
          <t>ctxnew</t>
        </is>
      </c>
      <c r="C1109" s="14" t="inlineStr">
        <is>
          <t>lpg</t>
        </is>
      </c>
      <c r="D1109" s="14" t="inlineStr">
        <is>
          <t>res</t>
        </is>
      </c>
      <c r="E1109" s="14" t="inlineStr">
        <is>
          <t>CARBONTAX</t>
        </is>
      </c>
      <c r="F1109" s="92" t="inlineStr">
        <is>
          <t>CARBONTAX(INDEX(AE$263:AE$279,$F1526),$D1526,INDEX(AE$23:AE$30,$E1526))</t>
        </is>
      </c>
    </row>
    <row r="1110">
      <c r="A1110" s="14" t="n">
        <v>1527</v>
      </c>
      <c r="B1110" s="14" t="inlineStr">
        <is>
          <t>ctxnew</t>
        </is>
      </c>
      <c r="C1110" s="14" t="inlineStr">
        <is>
          <t>ker</t>
        </is>
      </c>
      <c r="D1110" s="14" t="inlineStr">
        <is>
          <t>res</t>
        </is>
      </c>
      <c r="E1110" s="14" t="inlineStr">
        <is>
          <t>CARBONTAX</t>
        </is>
      </c>
      <c r="F1110" s="92" t="inlineStr">
        <is>
          <t>CARBONTAX(INDEX(AE$263:AE$279,$F1527),$D1527,INDEX(AE$23:AE$30,$E1527))</t>
        </is>
      </c>
    </row>
    <row r="1111">
      <c r="A1111" s="14" t="n">
        <v>1528</v>
      </c>
      <c r="B1111" s="14" t="inlineStr">
        <is>
          <t>ctxnew</t>
        </is>
      </c>
      <c r="C1111" s="14" t="inlineStr">
        <is>
          <t>oop</t>
        </is>
      </c>
      <c r="D1111" s="14" t="inlineStr">
        <is>
          <t>res</t>
        </is>
      </c>
      <c r="E1111" s="14" t="inlineStr">
        <is>
          <t>CARBONTAX</t>
        </is>
      </c>
      <c r="F1111" s="92" t="inlineStr">
        <is>
          <t>CARBONTAX(INDEX(AE$263:AE$279,$F1528),$D1528,INDEX(AE$23:AE$30,$E1528))</t>
        </is>
      </c>
    </row>
    <row r="1112">
      <c r="A1112" s="14" t="n">
        <v>1529</v>
      </c>
      <c r="B1112" s="14" t="inlineStr">
        <is>
          <t>ctxnew</t>
        </is>
      </c>
      <c r="C1112" s="14" t="inlineStr">
        <is>
          <t>bio</t>
        </is>
      </c>
      <c r="D1112" s="14" t="inlineStr">
        <is>
          <t>res</t>
        </is>
      </c>
      <c r="E1112" s="14" t="inlineStr">
        <is>
          <t>CARBONTAX</t>
        </is>
      </c>
      <c r="F1112" s="92" t="inlineStr">
        <is>
          <t>CARBONTAX(INDEX(AE$263:AE$279,$F1529),$D1529,INDEX(AE$23:AE$30,$E1529))</t>
        </is>
      </c>
    </row>
    <row r="1113">
      <c r="A1113" s="14" t="n">
        <v>1531</v>
      </c>
      <c r="B1113" s="14" t="inlineStr">
        <is>
          <t>ets</t>
        </is>
      </c>
      <c r="C1113" s="14" t="inlineStr">
        <is>
          <t>coa</t>
        </is>
      </c>
      <c r="D1113" s="14" t="inlineStr">
        <is>
          <t>res</t>
        </is>
      </c>
      <c r="E1113" s="14" t="inlineStr">
        <is>
          <t>ETSCOST</t>
        </is>
      </c>
      <c r="F1113" s="92" t="inlineStr">
        <is>
          <t>ETSCOST(INDEX(AE$280:AE$296,$E1531),$D1531)</t>
        </is>
      </c>
    </row>
    <row r="1114">
      <c r="A1114" s="14" t="n">
        <v>1532</v>
      </c>
      <c r="B1114" s="14" t="inlineStr">
        <is>
          <t>ets</t>
        </is>
      </c>
      <c r="C1114" s="14" t="inlineStr">
        <is>
          <t>nga</t>
        </is>
      </c>
      <c r="D1114" s="14" t="inlineStr">
        <is>
          <t>res</t>
        </is>
      </c>
      <c r="E1114" s="14" t="inlineStr">
        <is>
          <t>ETSCOST</t>
        </is>
      </c>
      <c r="F1114" s="92" t="inlineStr">
        <is>
          <t>ETSCOST(INDEX(AE$280:AE$296,$E1532),$D1532)</t>
        </is>
      </c>
    </row>
    <row r="1115">
      <c r="A1115" s="14" t="n">
        <v>1533</v>
      </c>
      <c r="B1115" s="14" t="inlineStr">
        <is>
          <t>ets</t>
        </is>
      </c>
      <c r="C1115" s="14" t="inlineStr">
        <is>
          <t>gso</t>
        </is>
      </c>
      <c r="D1115" s="14" t="inlineStr">
        <is>
          <t>res</t>
        </is>
      </c>
      <c r="E1115" s="14" t="inlineStr">
        <is>
          <t>ETSCOST</t>
        </is>
      </c>
      <c r="F1115" s="92" t="inlineStr">
        <is>
          <t>ETSCOST(INDEX(AE$280:AE$296,$E1533),$D1533)</t>
        </is>
      </c>
    </row>
    <row r="1116">
      <c r="A1116" s="14" t="n">
        <v>1534</v>
      </c>
      <c r="B1116" s="14" t="inlineStr">
        <is>
          <t>ets</t>
        </is>
      </c>
      <c r="C1116" s="14" t="inlineStr">
        <is>
          <t>die</t>
        </is>
      </c>
      <c r="D1116" s="14" t="inlineStr">
        <is>
          <t>res</t>
        </is>
      </c>
      <c r="E1116" s="14" t="inlineStr">
        <is>
          <t>ETSCOST</t>
        </is>
      </c>
      <c r="F1116" s="92" t="inlineStr">
        <is>
          <t>ETSCOST(INDEX(AE$280:AE$296,$E1534),$D1534)</t>
        </is>
      </c>
    </row>
    <row r="1117">
      <c r="A1117" s="14" t="n">
        <v>1535</v>
      </c>
      <c r="B1117" s="14" t="inlineStr">
        <is>
          <t>ets</t>
        </is>
      </c>
      <c r="C1117" s="14" t="inlineStr">
        <is>
          <t>lpg</t>
        </is>
      </c>
      <c r="D1117" s="14" t="inlineStr">
        <is>
          <t>res</t>
        </is>
      </c>
      <c r="E1117" s="14" t="inlineStr">
        <is>
          <t>ETSCOST</t>
        </is>
      </c>
      <c r="F1117" s="92" t="inlineStr">
        <is>
          <t>ETSCOST(INDEX(AE$280:AE$296,$E1535),$D1535)</t>
        </is>
      </c>
    </row>
    <row r="1118">
      <c r="A1118" s="14" t="n">
        <v>1536</v>
      </c>
      <c r="B1118" s="14" t="inlineStr">
        <is>
          <t>ets</t>
        </is>
      </c>
      <c r="C1118" s="14" t="inlineStr">
        <is>
          <t>ker</t>
        </is>
      </c>
      <c r="D1118" s="14" t="inlineStr">
        <is>
          <t>res</t>
        </is>
      </c>
      <c r="E1118" s="14" t="inlineStr">
        <is>
          <t>ETSCOST</t>
        </is>
      </c>
      <c r="F1118" s="92" t="inlineStr">
        <is>
          <t>ETSCOST(INDEX(AE$280:AE$296,$E1536),$D1536)</t>
        </is>
      </c>
    </row>
    <row r="1119">
      <c r="A1119" s="14" t="n">
        <v>1537</v>
      </c>
      <c r="B1119" s="14" t="inlineStr">
        <is>
          <t>ets</t>
        </is>
      </c>
      <c r="C1119" s="14" t="inlineStr">
        <is>
          <t>oop</t>
        </is>
      </c>
      <c r="D1119" s="14" t="inlineStr">
        <is>
          <t>res</t>
        </is>
      </c>
      <c r="E1119" s="14" t="inlineStr">
        <is>
          <t>ETSCOST</t>
        </is>
      </c>
      <c r="F1119" s="92" t="inlineStr">
        <is>
          <t>ETSCOST(INDEX(AE$280:AE$296,$E1537),$D1537)</t>
        </is>
      </c>
    </row>
    <row r="1120">
      <c r="A1120" s="14" t="n">
        <v>1538</v>
      </c>
      <c r="B1120" s="14" t="inlineStr">
        <is>
          <t>ets</t>
        </is>
      </c>
      <c r="C1120" s="14" t="inlineStr">
        <is>
          <t>bio</t>
        </is>
      </c>
      <c r="D1120" s="14" t="inlineStr">
        <is>
          <t>res</t>
        </is>
      </c>
      <c r="E1120" s="14" t="inlineStr">
        <is>
          <t>ETSCOST</t>
        </is>
      </c>
      <c r="F1120" s="92" t="inlineStr">
        <is>
          <t>ETSCOST(INDEX(AE$280:AE$296,$E1538),$D1538)</t>
        </is>
      </c>
    </row>
    <row r="1121">
      <c r="A1121" s="14" t="n">
        <v>1540</v>
      </c>
      <c r="B1121" s="14" t="inlineStr">
        <is>
          <t>ntx</t>
        </is>
      </c>
      <c r="C1121" s="14" t="inlineStr">
        <is>
          <t>coa</t>
        </is>
      </c>
      <c r="D1121" s="14" t="inlineStr">
        <is>
          <t>res</t>
        </is>
      </c>
      <c r="E1121" s="14" t="inlineStr">
        <is>
          <t>NEWEXCISE</t>
        </is>
      </c>
      <c r="F1121" s="92" t="inlineStr">
        <is>
          <t>NEWEXCISE(INDEX(AE$80:AE$93,$D1540),$E1540)</t>
        </is>
      </c>
    </row>
    <row r="1122">
      <c r="A1122" s="14" t="n">
        <v>1541</v>
      </c>
      <c r="B1122" s="14" t="inlineStr">
        <is>
          <t>ntx</t>
        </is>
      </c>
      <c r="C1122" s="14" t="inlineStr">
        <is>
          <t>nga</t>
        </is>
      </c>
      <c r="D1122" s="14" t="inlineStr">
        <is>
          <t>res</t>
        </is>
      </c>
      <c r="E1122" s="14" t="inlineStr">
        <is>
          <t>NEWEXCISE</t>
        </is>
      </c>
      <c r="F1122" s="92" t="inlineStr">
        <is>
          <t>NEWEXCISE(INDEX(AE$80:AE$93,$D1541),$E1541)</t>
        </is>
      </c>
    </row>
    <row r="1123">
      <c r="A1123" s="14" t="n">
        <v>1542</v>
      </c>
      <c r="B1123" s="14" t="inlineStr">
        <is>
          <t>ntx</t>
        </is>
      </c>
      <c r="C1123" s="14" t="inlineStr">
        <is>
          <t>gso</t>
        </is>
      </c>
      <c r="D1123" s="14" t="inlineStr">
        <is>
          <t>res</t>
        </is>
      </c>
      <c r="E1123" s="14" t="inlineStr">
        <is>
          <t>NEWEXCISE</t>
        </is>
      </c>
      <c r="F1123" s="92" t="inlineStr">
        <is>
          <t>NEWEXCISE(INDEX(AE$80:AE$93,$D1542),$E1542)</t>
        </is>
      </c>
    </row>
    <row r="1124">
      <c r="A1124" s="14" t="n">
        <v>1543</v>
      </c>
      <c r="B1124" s="14" t="inlineStr">
        <is>
          <t>ntx</t>
        </is>
      </c>
      <c r="C1124" s="14" t="inlineStr">
        <is>
          <t>die</t>
        </is>
      </c>
      <c r="D1124" s="14" t="inlineStr">
        <is>
          <t>res</t>
        </is>
      </c>
      <c r="E1124" s="14" t="inlineStr">
        <is>
          <t>NEWEXCISE</t>
        </is>
      </c>
      <c r="F1124" s="92" t="inlineStr">
        <is>
          <t>NEWEXCISE(INDEX(AE$80:AE$93,$D1543),$E1543)</t>
        </is>
      </c>
    </row>
    <row r="1125">
      <c r="A1125" s="14" t="n">
        <v>1544</v>
      </c>
      <c r="B1125" s="14" t="inlineStr">
        <is>
          <t>ntx</t>
        </is>
      </c>
      <c r="C1125" s="14" t="inlineStr">
        <is>
          <t>lpg</t>
        </is>
      </c>
      <c r="D1125" s="14" t="inlineStr">
        <is>
          <t>res</t>
        </is>
      </c>
      <c r="E1125" s="14" t="inlineStr">
        <is>
          <t>NEWEXCISE</t>
        </is>
      </c>
      <c r="F1125" s="92" t="inlineStr">
        <is>
          <t>NEWEXCISE(INDEX(AE$80:AE$93,$D1544),$E1544)</t>
        </is>
      </c>
    </row>
    <row r="1126">
      <c r="A1126" s="14" t="n">
        <v>1545</v>
      </c>
      <c r="B1126" s="14" t="inlineStr">
        <is>
          <t>ntx</t>
        </is>
      </c>
      <c r="C1126" s="14" t="inlineStr">
        <is>
          <t>ker</t>
        </is>
      </c>
      <c r="D1126" s="14" t="inlineStr">
        <is>
          <t>res</t>
        </is>
      </c>
      <c r="E1126" s="14" t="inlineStr">
        <is>
          <t>NEWEXCISE</t>
        </is>
      </c>
      <c r="F1126" s="92" t="inlineStr">
        <is>
          <t>NEWEXCISE(INDEX(AE$80:AE$93,$D1545),$E1545)</t>
        </is>
      </c>
    </row>
    <row r="1127">
      <c r="A1127" s="14" t="n">
        <v>1546</v>
      </c>
      <c r="B1127" s="14" t="inlineStr">
        <is>
          <t>ntx</t>
        </is>
      </c>
      <c r="C1127" s="14" t="inlineStr">
        <is>
          <t>oop</t>
        </is>
      </c>
      <c r="D1127" s="14" t="inlineStr">
        <is>
          <t>res</t>
        </is>
      </c>
      <c r="E1127" s="14" t="inlineStr">
        <is>
          <t>NEWEXCISE</t>
        </is>
      </c>
      <c r="F1127" s="92" t="inlineStr">
        <is>
          <t>NEWEXCISE(INDEX(AE$80:AE$93,$D1546),$E1546)</t>
        </is>
      </c>
    </row>
    <row r="1128">
      <c r="A1128" s="14" t="n">
        <v>1547</v>
      </c>
      <c r="B1128" s="14" t="inlineStr">
        <is>
          <t>ntx</t>
        </is>
      </c>
      <c r="C1128" s="14" t="inlineStr">
        <is>
          <t>bio</t>
        </is>
      </c>
      <c r="D1128" s="14" t="inlineStr">
        <is>
          <t>res</t>
        </is>
      </c>
      <c r="E1128" s="14" t="inlineStr">
        <is>
          <t>NEWEXCISE</t>
        </is>
      </c>
      <c r="F1128" s="92" t="inlineStr">
        <is>
          <t>NEWEXCISE(INDEX(AE$80:AE$93,$D1547),$E1547)</t>
        </is>
      </c>
    </row>
    <row r="1129">
      <c r="A1129" s="14" t="n">
        <v>1549</v>
      </c>
      <c r="B1129" s="14" t="inlineStr">
        <is>
          <t>nce</t>
        </is>
      </c>
      <c r="C1129" s="14" t="inlineStr">
        <is>
          <t>coa</t>
        </is>
      </c>
      <c r="D1129" s="14" t="inlineStr">
        <is>
          <t>res</t>
        </is>
      </c>
      <c r="E1129" s="14" t="inlineStr">
        <is>
          <t>NEWPOLICY</t>
        </is>
      </c>
      <c r="F1129" s="92" t="inlineStr">
        <is>
          <t>NEWPOLICY(AE1522,AE1531,AE1540)</t>
        </is>
      </c>
    </row>
    <row r="1130">
      <c r="A1130" s="14" t="n">
        <v>1550</v>
      </c>
      <c r="B1130" s="14" t="inlineStr">
        <is>
          <t>nce</t>
        </is>
      </c>
      <c r="C1130" s="14" t="inlineStr">
        <is>
          <t>nga</t>
        </is>
      </c>
      <c r="D1130" s="14" t="inlineStr">
        <is>
          <t>res</t>
        </is>
      </c>
      <c r="E1130" s="14" t="inlineStr">
        <is>
          <t>NEWPOLICY</t>
        </is>
      </c>
      <c r="F1130" s="92" t="inlineStr">
        <is>
          <t>NEWPOLICY(AE1523,AE1532,AE1541)</t>
        </is>
      </c>
    </row>
    <row r="1131">
      <c r="A1131" s="14" t="n">
        <v>1551</v>
      </c>
      <c r="B1131" s="14" t="inlineStr">
        <is>
          <t>nce</t>
        </is>
      </c>
      <c r="C1131" s="14" t="inlineStr">
        <is>
          <t>gso</t>
        </is>
      </c>
      <c r="D1131" s="14" t="inlineStr">
        <is>
          <t>res</t>
        </is>
      </c>
      <c r="E1131" s="14" t="inlineStr">
        <is>
          <t>NEWPOLICY</t>
        </is>
      </c>
      <c r="F1131" s="92" t="inlineStr">
        <is>
          <t>NEWPOLICY(AE1524,AE1533,AE1542)</t>
        </is>
      </c>
    </row>
    <row r="1132">
      <c r="A1132" s="14" t="n">
        <v>1552</v>
      </c>
      <c r="B1132" s="14" t="inlineStr">
        <is>
          <t>nce</t>
        </is>
      </c>
      <c r="C1132" s="14" t="inlineStr">
        <is>
          <t>die</t>
        </is>
      </c>
      <c r="D1132" s="14" t="inlineStr">
        <is>
          <t>res</t>
        </is>
      </c>
      <c r="E1132" s="14" t="inlineStr">
        <is>
          <t>NEWPOLICY</t>
        </is>
      </c>
      <c r="F1132" s="92" t="inlineStr">
        <is>
          <t>NEWPOLICY(AE1525,AE1534,AE1543)</t>
        </is>
      </c>
    </row>
    <row r="1133">
      <c r="A1133" s="14" t="n">
        <v>1553</v>
      </c>
      <c r="B1133" s="14" t="inlineStr">
        <is>
          <t>nce</t>
        </is>
      </c>
      <c r="C1133" s="14" t="inlineStr">
        <is>
          <t>lpg</t>
        </is>
      </c>
      <c r="D1133" s="14" t="inlineStr">
        <is>
          <t>res</t>
        </is>
      </c>
      <c r="E1133" s="14" t="inlineStr">
        <is>
          <t>NEWPOLICY</t>
        </is>
      </c>
      <c r="F1133" s="92" t="inlineStr">
        <is>
          <t>NEWPOLICY(AE1526,AE1535,AE1544)</t>
        </is>
      </c>
    </row>
    <row r="1134">
      <c r="A1134" s="14" t="n">
        <v>1554</v>
      </c>
      <c r="B1134" s="14" t="inlineStr">
        <is>
          <t>nce</t>
        </is>
      </c>
      <c r="C1134" s="14" t="inlineStr">
        <is>
          <t>ker</t>
        </is>
      </c>
      <c r="D1134" s="14" t="inlineStr">
        <is>
          <t>res</t>
        </is>
      </c>
      <c r="E1134" s="14" t="inlineStr">
        <is>
          <t>NEWPOLICY</t>
        </is>
      </c>
      <c r="F1134" s="92" t="inlineStr">
        <is>
          <t>NEWPOLICY(AE1527,AE1536,AE1545)</t>
        </is>
      </c>
    </row>
    <row r="1135">
      <c r="A1135" s="14" t="n">
        <v>1555</v>
      </c>
      <c r="B1135" s="14" t="inlineStr">
        <is>
          <t>nce</t>
        </is>
      </c>
      <c r="C1135" s="14" t="inlineStr">
        <is>
          <t>oop</t>
        </is>
      </c>
      <c r="D1135" s="14" t="inlineStr">
        <is>
          <t>res</t>
        </is>
      </c>
      <c r="E1135" s="14" t="inlineStr">
        <is>
          <t>NEWPOLICY</t>
        </is>
      </c>
      <c r="F1135" s="92" t="inlineStr">
        <is>
          <t>NEWPOLICY(AE1528,AE1537,AE1546)</t>
        </is>
      </c>
    </row>
    <row r="1136">
      <c r="A1136" s="14" t="n">
        <v>1556</v>
      </c>
      <c r="B1136" s="14" t="inlineStr">
        <is>
          <t>nce</t>
        </is>
      </c>
      <c r="C1136" s="14" t="inlineStr">
        <is>
          <t>bio</t>
        </is>
      </c>
      <c r="D1136" s="14" t="inlineStr">
        <is>
          <t>res</t>
        </is>
      </c>
      <c r="E1136" s="14" t="inlineStr">
        <is>
          <t>NEWPOLICY</t>
        </is>
      </c>
      <c r="F1136" s="92" t="inlineStr">
        <is>
          <t>NEWPOLICY(AE1529,AE1538,AE1547)</t>
        </is>
      </c>
    </row>
    <row r="1137">
      <c r="A1137" s="14" t="n">
        <v>1558</v>
      </c>
      <c r="B1137" s="14" t="inlineStr">
        <is>
          <t>xcp</t>
        </is>
      </c>
      <c r="C1137" s="14" t="inlineStr">
        <is>
          <t>coa</t>
        </is>
      </c>
      <c r="D1137" s="14" t="inlineStr">
        <is>
          <t>res</t>
        </is>
      </c>
      <c r="E1137" s="14" t="inlineStr">
        <is>
          <t>XCARBON</t>
        </is>
      </c>
      <c r="F1137" s="92" t="inlineStr">
        <is>
          <t>XCARBON($D1558,$E1558,AE$321,$F1558,AE$324)</t>
        </is>
      </c>
    </row>
    <row r="1138">
      <c r="A1138" s="14" t="n">
        <v>1559</v>
      </c>
      <c r="B1138" s="14" t="inlineStr">
        <is>
          <t>xcp</t>
        </is>
      </c>
      <c r="C1138" s="14" t="inlineStr">
        <is>
          <t>nga</t>
        </is>
      </c>
      <c r="D1138" s="14" t="inlineStr">
        <is>
          <t>res</t>
        </is>
      </c>
      <c r="E1138" s="14" t="inlineStr">
        <is>
          <t>XCARBON</t>
        </is>
      </c>
      <c r="F1138" s="92" t="inlineStr">
        <is>
          <t>XCARBON($D1559,$E1559,AE$321,$F1559,AE$324)</t>
        </is>
      </c>
    </row>
    <row r="1139">
      <c r="A1139" s="14" t="n">
        <v>1560</v>
      </c>
      <c r="B1139" s="14" t="inlineStr">
        <is>
          <t>xcp</t>
        </is>
      </c>
      <c r="C1139" s="14" t="inlineStr">
        <is>
          <t>gso</t>
        </is>
      </c>
      <c r="D1139" s="14" t="inlineStr">
        <is>
          <t>res</t>
        </is>
      </c>
      <c r="E1139" s="14" t="inlineStr">
        <is>
          <t>XCARBON</t>
        </is>
      </c>
      <c r="F1139" s="92" t="inlineStr">
        <is>
          <t>XCARBON($D1560,$E1560,AE$321,$F1560,AE$324)</t>
        </is>
      </c>
    </row>
    <row r="1140">
      <c r="A1140" s="14" t="n">
        <v>1561</v>
      </c>
      <c r="B1140" s="14" t="inlineStr">
        <is>
          <t>xcp</t>
        </is>
      </c>
      <c r="C1140" s="14" t="inlineStr">
        <is>
          <t>die</t>
        </is>
      </c>
      <c r="D1140" s="14" t="inlineStr">
        <is>
          <t>res</t>
        </is>
      </c>
      <c r="E1140" s="14" t="inlineStr">
        <is>
          <t>XCARBON</t>
        </is>
      </c>
      <c r="F1140" s="92" t="inlineStr">
        <is>
          <t>XCARBON($D1561,$E1561,AE$321,$F1561,AE$324)</t>
        </is>
      </c>
    </row>
    <row r="1141">
      <c r="A1141" s="14" t="n">
        <v>1562</v>
      </c>
      <c r="B1141" s="14" t="inlineStr">
        <is>
          <t>xcp</t>
        </is>
      </c>
      <c r="C1141" s="14" t="inlineStr">
        <is>
          <t>lpg</t>
        </is>
      </c>
      <c r="D1141" s="14" t="inlineStr">
        <is>
          <t>res</t>
        </is>
      </c>
      <c r="E1141" s="14" t="inlineStr">
        <is>
          <t>XCARBON</t>
        </is>
      </c>
      <c r="F1141" s="92" t="inlineStr">
        <is>
          <t>XCARBON($D1562,$E1562,AE$321,$F1562,AE$324)</t>
        </is>
      </c>
    </row>
    <row r="1142">
      <c r="A1142" s="14" t="n">
        <v>1563</v>
      </c>
      <c r="B1142" s="14" t="inlineStr">
        <is>
          <t>xcp</t>
        </is>
      </c>
      <c r="C1142" s="14" t="inlineStr">
        <is>
          <t>ker</t>
        </is>
      </c>
      <c r="D1142" s="14" t="inlineStr">
        <is>
          <t>res</t>
        </is>
      </c>
      <c r="E1142" s="14" t="inlineStr">
        <is>
          <t>XCARBON</t>
        </is>
      </c>
      <c r="F1142" s="92" t="inlineStr">
        <is>
          <t>XCARBON($D1563,$E1563,AE$321,$F1563,AE$324)</t>
        </is>
      </c>
    </row>
    <row r="1143">
      <c r="A1143" s="14" t="n">
        <v>1564</v>
      </c>
      <c r="B1143" s="14" t="inlineStr">
        <is>
          <t>xcp</t>
        </is>
      </c>
      <c r="C1143" s="14" t="inlineStr">
        <is>
          <t>oop</t>
        </is>
      </c>
      <c r="D1143" s="14" t="inlineStr">
        <is>
          <t>res</t>
        </is>
      </c>
      <c r="E1143" s="14" t="inlineStr">
        <is>
          <t>XCARBON</t>
        </is>
      </c>
      <c r="F1143" s="92" t="inlineStr">
        <is>
          <t>XCARBON($D1564,$E1564,AE$321,$F1564,AE$324)</t>
        </is>
      </c>
    </row>
    <row r="1144">
      <c r="A1144" s="14" t="n">
        <v>1565</v>
      </c>
      <c r="B1144" s="14" t="inlineStr">
        <is>
          <t>xcp</t>
        </is>
      </c>
      <c r="C1144" s="14" t="inlineStr">
        <is>
          <t>bio</t>
        </is>
      </c>
      <c r="D1144" s="14" t="inlineStr">
        <is>
          <t>res</t>
        </is>
      </c>
      <c r="E1144" s="14" t="inlineStr">
        <is>
          <t>XCARBON</t>
        </is>
      </c>
      <c r="F1144" s="92" t="inlineStr">
        <is>
          <t>XCARBON($D1565,$E1565,AE$321,$F1565,AE$324)</t>
        </is>
      </c>
    </row>
    <row r="1145">
      <c r="A1145" s="14" t="n">
        <v>1567</v>
      </c>
      <c r="B1145" s="14" t="inlineStr">
        <is>
          <t>xcpd</t>
        </is>
      </c>
      <c r="C1145" s="14" t="inlineStr">
        <is>
          <t>coa</t>
        </is>
      </c>
      <c r="D1145" s="14" t="inlineStr">
        <is>
          <t>res</t>
        </is>
      </c>
      <c r="E1145" s="14" t="inlineStr">
        <is>
          <t>XCARBON</t>
        </is>
      </c>
      <c r="F1145" s="92" t="inlineStr">
        <is>
          <t>XCARBON($D1567,$E1567,(AE$321-AE$322),$F1567,(AE$324-AE$325))</t>
        </is>
      </c>
    </row>
    <row r="1146">
      <c r="A1146" s="14" t="n">
        <v>1568</v>
      </c>
      <c r="B1146" s="14" t="inlineStr">
        <is>
          <t>xcpd</t>
        </is>
      </c>
      <c r="C1146" s="14" t="inlineStr">
        <is>
          <t>nga</t>
        </is>
      </c>
      <c r="D1146" s="14" t="inlineStr">
        <is>
          <t>res</t>
        </is>
      </c>
      <c r="E1146" s="14" t="inlineStr">
        <is>
          <t>XCARBON</t>
        </is>
      </c>
      <c r="F1146" s="92" t="inlineStr">
        <is>
          <t>XCARBON($D1568,$E1568,(AE$321-AE$322),$F1568,(AE$324-AE$325))</t>
        </is>
      </c>
    </row>
    <row r="1147">
      <c r="A1147" s="14" t="n">
        <v>1569</v>
      </c>
      <c r="B1147" s="14" t="inlineStr">
        <is>
          <t>xcpd</t>
        </is>
      </c>
      <c r="C1147" s="14" t="inlineStr">
        <is>
          <t>gso</t>
        </is>
      </c>
      <c r="D1147" s="14" t="inlineStr">
        <is>
          <t>res</t>
        </is>
      </c>
      <c r="E1147" s="14" t="inlineStr">
        <is>
          <t>XCARBON</t>
        </is>
      </c>
      <c r="F1147" s="92" t="inlineStr">
        <is>
          <t>XCARBON($D1569,$E1569,(AE$321-AE$322),$F1569,(AE$324-AE$325))</t>
        </is>
      </c>
    </row>
    <row r="1148">
      <c r="A1148" s="14" t="n">
        <v>1570</v>
      </c>
      <c r="B1148" s="14" t="inlineStr">
        <is>
          <t>xcpd</t>
        </is>
      </c>
      <c r="C1148" s="14" t="inlineStr">
        <is>
          <t>die</t>
        </is>
      </c>
      <c r="D1148" s="14" t="inlineStr">
        <is>
          <t>res</t>
        </is>
      </c>
      <c r="E1148" s="14" t="inlineStr">
        <is>
          <t>XCARBON</t>
        </is>
      </c>
      <c r="F1148" s="92" t="inlineStr">
        <is>
          <t>XCARBON($D1570,$E1570,(AE$321-AE$322),$F1570,(AE$324-AE$325))</t>
        </is>
      </c>
    </row>
    <row r="1149">
      <c r="A1149" s="14" t="n">
        <v>1571</v>
      </c>
      <c r="B1149" s="14" t="inlineStr">
        <is>
          <t>xcpd</t>
        </is>
      </c>
      <c r="C1149" s="14" t="inlineStr">
        <is>
          <t>lpg</t>
        </is>
      </c>
      <c r="D1149" s="14" t="inlineStr">
        <is>
          <t>res</t>
        </is>
      </c>
      <c r="E1149" s="14" t="inlineStr">
        <is>
          <t>XCARBON</t>
        </is>
      </c>
      <c r="F1149" s="92" t="inlineStr">
        <is>
          <t>XCARBON($D1571,$E1571,(AE$321-AE$322),$F1571,(AE$324-AE$325))</t>
        </is>
      </c>
    </row>
    <row r="1150">
      <c r="A1150" s="14" t="n">
        <v>1572</v>
      </c>
      <c r="B1150" s="14" t="inlineStr">
        <is>
          <t>xcpd</t>
        </is>
      </c>
      <c r="C1150" s="14" t="inlineStr">
        <is>
          <t>ker</t>
        </is>
      </c>
      <c r="D1150" s="14" t="inlineStr">
        <is>
          <t>res</t>
        </is>
      </c>
      <c r="E1150" s="14" t="inlineStr">
        <is>
          <t>XCARBON</t>
        </is>
      </c>
      <c r="F1150" s="92" t="inlineStr">
        <is>
          <t>XCARBON($D1572,$E1572,(AE$321-AE$322),$F1572,(AE$324-AE$325))</t>
        </is>
      </c>
    </row>
    <row r="1151">
      <c r="A1151" s="14" t="n">
        <v>1573</v>
      </c>
      <c r="B1151" s="14" t="inlineStr">
        <is>
          <t>xcpd</t>
        </is>
      </c>
      <c r="C1151" s="14" t="inlineStr">
        <is>
          <t>oop</t>
        </is>
      </c>
      <c r="D1151" s="14" t="inlineStr">
        <is>
          <t>res</t>
        </is>
      </c>
      <c r="E1151" s="14" t="inlineStr">
        <is>
          <t>XCARBON</t>
        </is>
      </c>
      <c r="F1151" s="92" t="inlineStr">
        <is>
          <t>XCARBON($D1573,$E1573,(AE$321-AE$322),$F1573,(AE$324-AE$325))</t>
        </is>
      </c>
    </row>
    <row r="1152">
      <c r="A1152" s="14" t="n">
        <v>1574</v>
      </c>
      <c r="B1152" s="14" t="inlineStr">
        <is>
          <t>xcpd</t>
        </is>
      </c>
      <c r="C1152" s="14" t="inlineStr">
        <is>
          <t>bio</t>
        </is>
      </c>
      <c r="D1152" s="14" t="inlineStr">
        <is>
          <t>res</t>
        </is>
      </c>
      <c r="E1152" s="14" t="inlineStr">
        <is>
          <t>XCARBON</t>
        </is>
      </c>
      <c r="F1152" s="92" t="inlineStr">
        <is>
          <t>XCARBON($D1574,$E1574,(AE$321-AE$322),$F1574,(AE$324-AE$325))</t>
        </is>
      </c>
    </row>
    <row r="1153">
      <c r="A1153" s="14" t="n">
        <v>1576</v>
      </c>
      <c r="B1153" s="14" t="inlineStr">
        <is>
          <t>atp</t>
        </is>
      </c>
      <c r="C1153" s="14" t="inlineStr">
        <is>
          <t>coa</t>
        </is>
      </c>
      <c r="D1153" s="14" t="inlineStr">
        <is>
          <t>res</t>
        </is>
      </c>
      <c r="E1153" s="14" t="inlineStr">
        <is>
          <t>POSTTAX</t>
        </is>
      </c>
      <c r="F1153" s="92" t="inlineStr">
        <is>
          <t>POSTTAX(INDEX(AE$381:AE$392,$D1576),AE1549+AE1567,$E1576)</t>
        </is>
      </c>
    </row>
    <row r="1154">
      <c r="A1154" s="14" t="n">
        <v>1577</v>
      </c>
      <c r="B1154" s="14" t="inlineStr">
        <is>
          <t>atp</t>
        </is>
      </c>
      <c r="C1154" s="14" t="inlineStr">
        <is>
          <t>nga</t>
        </is>
      </c>
      <c r="D1154" s="14" t="inlineStr">
        <is>
          <t>res</t>
        </is>
      </c>
      <c r="E1154" s="14" t="inlineStr">
        <is>
          <t>POSTTAX</t>
        </is>
      </c>
      <c r="F1154" s="92" t="inlineStr">
        <is>
          <t>POSTTAX(INDEX(AE$381:AE$392,$D1577),AE1550+AE1568,$E1577)</t>
        </is>
      </c>
    </row>
    <row r="1155">
      <c r="A1155" s="14" t="n">
        <v>1578</v>
      </c>
      <c r="B1155" s="14" t="inlineStr">
        <is>
          <t>atp</t>
        </is>
      </c>
      <c r="C1155" s="14" t="inlineStr">
        <is>
          <t>gso</t>
        </is>
      </c>
      <c r="D1155" s="14" t="inlineStr">
        <is>
          <t>res</t>
        </is>
      </c>
      <c r="E1155" s="14" t="inlineStr">
        <is>
          <t>POSTTAX</t>
        </is>
      </c>
      <c r="F1155" s="92" t="inlineStr">
        <is>
          <t>POSTTAX(INDEX(AE$381:AE$392,$D1578),AE1551+AE1569,$E1578)</t>
        </is>
      </c>
    </row>
    <row r="1156">
      <c r="A1156" s="14" t="n">
        <v>1579</v>
      </c>
      <c r="B1156" s="14" t="inlineStr">
        <is>
          <t>atp</t>
        </is>
      </c>
      <c r="C1156" s="14" t="inlineStr">
        <is>
          <t>die</t>
        </is>
      </c>
      <c r="D1156" s="14" t="inlineStr">
        <is>
          <t>res</t>
        </is>
      </c>
      <c r="E1156" s="14" t="inlineStr">
        <is>
          <t>POSTTAX</t>
        </is>
      </c>
      <c r="F1156" s="92" t="inlineStr">
        <is>
          <t>POSTTAX(INDEX(AE$381:AE$392,$D1579),AE1552+AE1570,$E1579)</t>
        </is>
      </c>
    </row>
    <row r="1157">
      <c r="A1157" s="14" t="n">
        <v>1580</v>
      </c>
      <c r="B1157" s="14" t="inlineStr">
        <is>
          <t>atp</t>
        </is>
      </c>
      <c r="C1157" s="14" t="inlineStr">
        <is>
          <t>lpg</t>
        </is>
      </c>
      <c r="D1157" s="14" t="inlineStr">
        <is>
          <t>res</t>
        </is>
      </c>
      <c r="E1157" s="14" t="inlineStr">
        <is>
          <t>POSTTAX</t>
        </is>
      </c>
      <c r="F1157" s="92" t="inlineStr">
        <is>
          <t>POSTTAX(INDEX(AE$381:AE$392,$D1580),AE1553+AE1571,$E1580)</t>
        </is>
      </c>
    </row>
    <row r="1158">
      <c r="A1158" s="14" t="n">
        <v>1581</v>
      </c>
      <c r="B1158" s="14" t="inlineStr">
        <is>
          <t>atp</t>
        </is>
      </c>
      <c r="C1158" s="14" t="inlineStr">
        <is>
          <t>ker</t>
        </is>
      </c>
      <c r="D1158" s="14" t="inlineStr">
        <is>
          <t>res</t>
        </is>
      </c>
      <c r="E1158" s="14" t="inlineStr">
        <is>
          <t>POSTTAX</t>
        </is>
      </c>
      <c r="F1158" s="92" t="inlineStr">
        <is>
          <t>POSTTAX(INDEX(AE$381:AE$392,$D1581),AE1554+AE1572,$E1581)</t>
        </is>
      </c>
    </row>
    <row r="1159">
      <c r="A1159" s="14" t="n">
        <v>1582</v>
      </c>
      <c r="B1159" s="14" t="inlineStr">
        <is>
          <t>atp</t>
        </is>
      </c>
      <c r="C1159" s="14" t="inlineStr">
        <is>
          <t>oop</t>
        </is>
      </c>
      <c r="D1159" s="14" t="inlineStr">
        <is>
          <t>res</t>
        </is>
      </c>
      <c r="E1159" s="14" t="inlineStr">
        <is>
          <t>POSTTAX</t>
        </is>
      </c>
      <c r="F1159" s="92" t="inlineStr">
        <is>
          <t>POSTTAX(INDEX(AE$381:AE$392,$D1582),AE1555+AE1573,$E1582)</t>
        </is>
      </c>
    </row>
    <row r="1160">
      <c r="A1160" s="14" t="n">
        <v>1583</v>
      </c>
      <c r="B1160" s="14" t="inlineStr">
        <is>
          <t>atp</t>
        </is>
      </c>
      <c r="C1160" s="14" t="inlineStr">
        <is>
          <t>bio</t>
        </is>
      </c>
      <c r="D1160" s="14" t="inlineStr">
        <is>
          <t>res</t>
        </is>
      </c>
      <c r="E1160" s="14" t="inlineStr">
        <is>
          <t>POSTTAX</t>
        </is>
      </c>
      <c r="F1160" s="92" t="inlineStr">
        <is>
          <t>POSTTAX(INDEX(AE$381:AE$392,$D1583),AE1556+AE1574,$E1583)</t>
        </is>
      </c>
    </row>
    <row r="1161">
      <c r="A1161" s="14" t="n">
        <v>1585</v>
      </c>
      <c r="B1161" s="14" t="inlineStr">
        <is>
          <t>shp</t>
        </is>
      </c>
      <c r="C1161" s="14" t="inlineStr">
        <is>
          <t>coa</t>
        </is>
      </c>
      <c r="D1161" s="14" t="inlineStr">
        <is>
          <t>res</t>
        </is>
      </c>
      <c r="E1161" s="14" t="inlineStr">
        <is>
          <t>SHADOWGJ</t>
        </is>
      </c>
      <c r="F1161" s="92" t="inlineStr">
        <is>
          <t>SHADOWGJ(INDEX(AE$297:AE$313,$E1585),$D1585)</t>
        </is>
      </c>
    </row>
    <row r="1162">
      <c r="A1162" s="14" t="n">
        <v>1586</v>
      </c>
      <c r="B1162" s="14" t="inlineStr">
        <is>
          <t>shp</t>
        </is>
      </c>
      <c r="C1162" s="14" t="inlineStr">
        <is>
          <t>nga</t>
        </is>
      </c>
      <c r="D1162" s="14" t="inlineStr">
        <is>
          <t>res</t>
        </is>
      </c>
      <c r="E1162" s="14" t="inlineStr">
        <is>
          <t>SHADOWGJ</t>
        </is>
      </c>
      <c r="F1162" s="92" t="inlineStr">
        <is>
          <t>SHADOWGJ(INDEX(AE$297:AE$313,$E1586),$D1586)</t>
        </is>
      </c>
    </row>
    <row r="1163">
      <c r="A1163" s="14" t="n">
        <v>1587</v>
      </c>
      <c r="B1163" s="14" t="inlineStr">
        <is>
          <t>shp</t>
        </is>
      </c>
      <c r="C1163" s="14" t="inlineStr">
        <is>
          <t>gso</t>
        </is>
      </c>
      <c r="D1163" s="14" t="inlineStr">
        <is>
          <t>res</t>
        </is>
      </c>
      <c r="E1163" s="14" t="inlineStr">
        <is>
          <t>SHADOWGJ</t>
        </is>
      </c>
      <c r="F1163" s="92" t="inlineStr">
        <is>
          <t>SHADOWGJ(INDEX(AE$297:AE$313,$E1587),$D1587)</t>
        </is>
      </c>
    </row>
    <row r="1164">
      <c r="A1164" s="14" t="n">
        <v>1588</v>
      </c>
      <c r="B1164" s="14" t="inlineStr">
        <is>
          <t>shp</t>
        </is>
      </c>
      <c r="C1164" s="14" t="inlineStr">
        <is>
          <t>die</t>
        </is>
      </c>
      <c r="D1164" s="14" t="inlineStr">
        <is>
          <t>res</t>
        </is>
      </c>
      <c r="E1164" s="14" t="inlineStr">
        <is>
          <t>SHADOWGJ</t>
        </is>
      </c>
      <c r="F1164" s="92" t="inlineStr">
        <is>
          <t>SHADOWGJ(INDEX(AE$297:AE$313,$E1588),$D1588)</t>
        </is>
      </c>
    </row>
    <row r="1165">
      <c r="A1165" s="14" t="n">
        <v>1589</v>
      </c>
      <c r="B1165" s="14" t="inlineStr">
        <is>
          <t>shp</t>
        </is>
      </c>
      <c r="C1165" s="14" t="inlineStr">
        <is>
          <t>lpg</t>
        </is>
      </c>
      <c r="D1165" s="14" t="inlineStr">
        <is>
          <t>res</t>
        </is>
      </c>
      <c r="E1165" s="14" t="inlineStr">
        <is>
          <t>SHADOWGJ</t>
        </is>
      </c>
      <c r="F1165" s="92" t="inlineStr">
        <is>
          <t>SHADOWGJ(INDEX(AE$297:AE$313,$E1589),$D1589)</t>
        </is>
      </c>
    </row>
    <row r="1166">
      <c r="A1166" s="14" t="n">
        <v>1590</v>
      </c>
      <c r="B1166" s="14" t="inlineStr">
        <is>
          <t>shp</t>
        </is>
      </c>
      <c r="C1166" s="14" t="inlineStr">
        <is>
          <t>ker</t>
        </is>
      </c>
      <c r="D1166" s="14" t="inlineStr">
        <is>
          <t>res</t>
        </is>
      </c>
      <c r="E1166" s="14" t="inlineStr">
        <is>
          <t>SHADOWGJ</t>
        </is>
      </c>
      <c r="F1166" s="92" t="inlineStr">
        <is>
          <t>SHADOWGJ(INDEX(AE$297:AE$313,$E1590),$D1590)</t>
        </is>
      </c>
    </row>
    <row r="1167">
      <c r="A1167" s="14" t="n">
        <v>1591</v>
      </c>
      <c r="B1167" s="14" t="inlineStr">
        <is>
          <t>shp</t>
        </is>
      </c>
      <c r="C1167" s="14" t="inlineStr">
        <is>
          <t>oop</t>
        </is>
      </c>
      <c r="D1167" s="14" t="inlineStr">
        <is>
          <t>res</t>
        </is>
      </c>
      <c r="E1167" s="14" t="inlineStr">
        <is>
          <t>SHADOWGJ</t>
        </is>
      </c>
      <c r="F1167" s="92" t="inlineStr">
        <is>
          <t>SHADOWGJ(INDEX(AE$297:AE$313,$E1591),$D1591)</t>
        </is>
      </c>
    </row>
    <row r="1168">
      <c r="A1168" s="14" t="n">
        <v>1592</v>
      </c>
      <c r="B1168" s="14" t="inlineStr">
        <is>
          <t>shp</t>
        </is>
      </c>
      <c r="C1168" s="14" t="inlineStr">
        <is>
          <t>bio</t>
        </is>
      </c>
      <c r="D1168" s="14" t="inlineStr">
        <is>
          <t>res</t>
        </is>
      </c>
      <c r="E1168" s="14" t="inlineStr">
        <is>
          <t>SHADOWGJ</t>
        </is>
      </c>
      <c r="F1168" s="92" t="inlineStr">
        <is>
          <t>SHADOWGJ(INDEX(AE$297:AE$313,$E1592),$D1592)</t>
        </is>
      </c>
    </row>
    <row r="1169">
      <c r="A1169" s="14" t="n">
        <v>1594</v>
      </c>
      <c r="B1169" s="14" t="inlineStr">
        <is>
          <t>ener</t>
        </is>
      </c>
      <c r="C1169" s="14" t="inlineStr">
        <is>
          <t>coa</t>
        </is>
      </c>
      <c r="D1169" s="14" t="inlineStr">
        <is>
          <t>res</t>
        </is>
      </c>
      <c r="E1169" s="14" t="inlineStr">
        <is>
          <t>FUELUSE</t>
        </is>
      </c>
      <c r="F1169" s="92" t="inlineStr">
        <is>
          <t>FUELUSE(AD1594,AE1576,AD1576,AE1585,AD1585,AE$7,$D1594,$E1594,$F1594,$G1594)</t>
        </is>
      </c>
    </row>
    <row r="1170">
      <c r="A1170" s="14" t="n">
        <v>1595</v>
      </c>
      <c r="B1170" s="14" t="inlineStr">
        <is>
          <t>ener</t>
        </is>
      </c>
      <c r="C1170" s="14" t="inlineStr">
        <is>
          <t>nga</t>
        </is>
      </c>
      <c r="D1170" s="14" t="inlineStr">
        <is>
          <t>res</t>
        </is>
      </c>
      <c r="E1170" s="14" t="inlineStr">
        <is>
          <t>FUELUSE</t>
        </is>
      </c>
      <c r="F1170" s="92" t="inlineStr">
        <is>
          <t>FUELUSE(AD1595,AE1577,AD1577,AE1586,AD1586,AE$7,$D1595,$E1595,$F1595,$G1595)</t>
        </is>
      </c>
    </row>
    <row r="1171">
      <c r="A1171" s="14" t="n">
        <v>1596</v>
      </c>
      <c r="B1171" s="14" t="inlineStr">
        <is>
          <t>ener</t>
        </is>
      </c>
      <c r="C1171" s="14" t="inlineStr">
        <is>
          <t>gso</t>
        </is>
      </c>
      <c r="D1171" s="14" t="inlineStr">
        <is>
          <t>res</t>
        </is>
      </c>
      <c r="E1171" s="14" t="inlineStr">
        <is>
          <t>FUELUSE</t>
        </is>
      </c>
      <c r="F1171" s="92" t="inlineStr">
        <is>
          <t>FUELUSE(AD1596,AE1578,AD1578,AE1587,AD1587,AE$7,$D1596,$E1596,$F1596,$G1596)</t>
        </is>
      </c>
    </row>
    <row r="1172">
      <c r="A1172" s="14" t="n">
        <v>1597</v>
      </c>
      <c r="B1172" s="14" t="inlineStr">
        <is>
          <t>ener</t>
        </is>
      </c>
      <c r="C1172" s="14" t="inlineStr">
        <is>
          <t>die</t>
        </is>
      </c>
      <c r="D1172" s="14" t="inlineStr">
        <is>
          <t>res</t>
        </is>
      </c>
      <c r="E1172" s="14" t="inlineStr">
        <is>
          <t>FUELUSE</t>
        </is>
      </c>
      <c r="F1172" s="92" t="inlineStr">
        <is>
          <t>FUELUSE(AD1597,AE1579,AD1579,AE1588,AD1588,AE$7,$D1597,$E1597,$F1597,$G1597)</t>
        </is>
      </c>
    </row>
    <row r="1173">
      <c r="A1173" s="14" t="n">
        <v>1598</v>
      </c>
      <c r="B1173" s="14" t="inlineStr">
        <is>
          <t>ener</t>
        </is>
      </c>
      <c r="C1173" s="14" t="inlineStr">
        <is>
          <t>lpg</t>
        </is>
      </c>
      <c r="D1173" s="14" t="inlineStr">
        <is>
          <t>res</t>
        </is>
      </c>
      <c r="E1173" s="14" t="inlineStr">
        <is>
          <t>FUELUSE</t>
        </is>
      </c>
      <c r="F1173" s="92" t="inlineStr">
        <is>
          <t>FUELUSE(AD1598,AE1580,AD1580,AE1589,AD1589,AE$7,$D1598,$E1598,$F1598,$G1598)</t>
        </is>
      </c>
    </row>
    <row r="1174">
      <c r="A1174" s="14" t="n">
        <v>1599</v>
      </c>
      <c r="B1174" s="14" t="inlineStr">
        <is>
          <t>ener</t>
        </is>
      </c>
      <c r="C1174" s="14" t="inlineStr">
        <is>
          <t>ker</t>
        </is>
      </c>
      <c r="D1174" s="14" t="inlineStr">
        <is>
          <t>res</t>
        </is>
      </c>
      <c r="E1174" s="14" t="inlineStr">
        <is>
          <t>FUELUSE</t>
        </is>
      </c>
      <c r="F1174" s="92" t="inlineStr">
        <is>
          <t>FUELUSE(AD1599,AE1581,AD1581,AE1590,AD1590,AE$7,$D1599,$E1599,$F1599,$G1599)</t>
        </is>
      </c>
    </row>
    <row r="1175">
      <c r="A1175" s="14" t="n">
        <v>1600</v>
      </c>
      <c r="B1175" s="14" t="inlineStr">
        <is>
          <t>ener</t>
        </is>
      </c>
      <c r="C1175" s="14" t="inlineStr">
        <is>
          <t>oop</t>
        </is>
      </c>
      <c r="D1175" s="14" t="inlineStr">
        <is>
          <t>res</t>
        </is>
      </c>
      <c r="E1175" s="14" t="inlineStr">
        <is>
          <t>FUELUSE</t>
        </is>
      </c>
      <c r="F1175" s="92" t="inlineStr">
        <is>
          <t>FUELUSE(AD1600,AE1582,AD1582,AE1591,AD1591,AE$7,$D1600,$E1600,$F1600,$G1600)</t>
        </is>
      </c>
    </row>
    <row r="1176">
      <c r="A1176" s="14" t="n">
        <v>1601</v>
      </c>
      <c r="B1176" s="14" t="inlineStr">
        <is>
          <t>ener</t>
        </is>
      </c>
      <c r="C1176" s="14" t="inlineStr">
        <is>
          <t>bio</t>
        </is>
      </c>
      <c r="D1176" s="14" t="inlineStr">
        <is>
          <t>res</t>
        </is>
      </c>
      <c r="E1176" s="14" t="inlineStr">
        <is>
          <t>FUELUSE</t>
        </is>
      </c>
      <c r="F1176" s="92" t="inlineStr">
        <is>
          <t>FUELUSE(AD1601,AE1583,AD1583,AE1592,AD1592,AE$7,$D1601,$E1601,$F1601,$G1601)</t>
        </is>
      </c>
    </row>
    <row r="1177">
      <c r="A1177" s="14" t="n">
        <v>1603</v>
      </c>
      <c r="B1177" s="14" t="inlineStr">
        <is>
          <t>co2</t>
        </is>
      </c>
      <c r="C1177" s="14" t="inlineStr">
        <is>
          <t>coa</t>
        </is>
      </c>
      <c r="D1177" s="14" t="inlineStr">
        <is>
          <t>res</t>
        </is>
      </c>
      <c r="E1177" s="14" t="inlineStr">
        <is>
          <t>EMISSIONS</t>
        </is>
      </c>
      <c r="F1177" s="92" t="inlineStr">
        <is>
          <t>EMISSIONS(AE1594,Settings!$C$13,$D1603)</t>
        </is>
      </c>
    </row>
    <row r="1178">
      <c r="A1178" s="14" t="n">
        <v>1604</v>
      </c>
      <c r="B1178" s="14" t="inlineStr">
        <is>
          <t>co2</t>
        </is>
      </c>
      <c r="C1178" s="14" t="inlineStr">
        <is>
          <t>nga</t>
        </is>
      </c>
      <c r="D1178" s="14" t="inlineStr">
        <is>
          <t>res</t>
        </is>
      </c>
      <c r="E1178" s="14" t="inlineStr">
        <is>
          <t>EMISSIONS</t>
        </is>
      </c>
      <c r="F1178" s="92" t="inlineStr">
        <is>
          <t>EMISSIONS(AE1595,Settings!$C$13,$D1604)</t>
        </is>
      </c>
    </row>
    <row r="1179">
      <c r="A1179" s="14" t="n">
        <v>1605</v>
      </c>
      <c r="B1179" s="14" t="inlineStr">
        <is>
          <t>co2</t>
        </is>
      </c>
      <c r="C1179" s="14" t="inlineStr">
        <is>
          <t>gso</t>
        </is>
      </c>
      <c r="D1179" s="14" t="inlineStr">
        <is>
          <t>res</t>
        </is>
      </c>
      <c r="E1179" s="14" t="inlineStr">
        <is>
          <t>EMISSIONS</t>
        </is>
      </c>
      <c r="F1179" s="92" t="inlineStr">
        <is>
          <t>EMISSIONS(AE1596,Settings!$C$13,$D1605)</t>
        </is>
      </c>
    </row>
    <row r="1180">
      <c r="A1180" s="14" t="n">
        <v>1606</v>
      </c>
      <c r="B1180" s="14" t="inlineStr">
        <is>
          <t>co2</t>
        </is>
      </c>
      <c r="C1180" s="14" t="inlineStr">
        <is>
          <t>die</t>
        </is>
      </c>
      <c r="D1180" s="14" t="inlineStr">
        <is>
          <t>res</t>
        </is>
      </c>
      <c r="E1180" s="14" t="inlineStr">
        <is>
          <t>EMISSIONS</t>
        </is>
      </c>
      <c r="F1180" s="92" t="inlineStr">
        <is>
          <t>EMISSIONS(AE1597,Settings!$C$13,$D1606)</t>
        </is>
      </c>
    </row>
    <row r="1181">
      <c r="A1181" s="14" t="n">
        <v>1607</v>
      </c>
      <c r="B1181" s="14" t="inlineStr">
        <is>
          <t>co2</t>
        </is>
      </c>
      <c r="C1181" s="14" t="inlineStr">
        <is>
          <t>lpg</t>
        </is>
      </c>
      <c r="D1181" s="14" t="inlineStr">
        <is>
          <t>res</t>
        </is>
      </c>
      <c r="E1181" s="14" t="inlineStr">
        <is>
          <t>EMISSIONS</t>
        </is>
      </c>
      <c r="F1181" s="92" t="inlineStr">
        <is>
          <t>EMISSIONS(AE1598,Settings!$C$13,$D1607)</t>
        </is>
      </c>
    </row>
    <row r="1182">
      <c r="A1182" s="14" t="n">
        <v>1608</v>
      </c>
      <c r="B1182" s="14" t="inlineStr">
        <is>
          <t>co2</t>
        </is>
      </c>
      <c r="C1182" s="14" t="inlineStr">
        <is>
          <t>ker</t>
        </is>
      </c>
      <c r="D1182" s="14" t="inlineStr">
        <is>
          <t>res</t>
        </is>
      </c>
      <c r="E1182" s="14" t="inlineStr">
        <is>
          <t>EMISSIONS</t>
        </is>
      </c>
      <c r="F1182" s="92" t="inlineStr">
        <is>
          <t>EMISSIONS(AE1599,Settings!$C$13,$D1608)</t>
        </is>
      </c>
    </row>
    <row r="1183">
      <c r="A1183" s="14" t="n">
        <v>1609</v>
      </c>
      <c r="B1183" s="14" t="inlineStr">
        <is>
          <t>co2</t>
        </is>
      </c>
      <c r="C1183" s="14" t="inlineStr">
        <is>
          <t>oop</t>
        </is>
      </c>
      <c r="D1183" s="14" t="inlineStr">
        <is>
          <t>res</t>
        </is>
      </c>
      <c r="E1183" s="14" t="inlineStr">
        <is>
          <t>EMISSIONS</t>
        </is>
      </c>
      <c r="F1183" s="92" t="inlineStr">
        <is>
          <t>EMISSIONS(AE1600,Settings!$C$13,$D1609)</t>
        </is>
      </c>
    </row>
    <row r="1184">
      <c r="A1184" s="14" t="n">
        <v>1610</v>
      </c>
      <c r="B1184" s="14" t="inlineStr">
        <is>
          <t>co2</t>
        </is>
      </c>
      <c r="C1184" s="14" t="inlineStr">
        <is>
          <t>bio</t>
        </is>
      </c>
      <c r="D1184" s="14" t="inlineStr">
        <is>
          <t>res</t>
        </is>
      </c>
      <c r="E1184" s="14" t="inlineStr">
        <is>
          <t>EMISSIONS</t>
        </is>
      </c>
      <c r="F1184" s="92" t="inlineStr">
        <is>
          <t>EMISSIONS(AE1601,Settings!$C$13,$D1610)</t>
        </is>
      </c>
    </row>
    <row r="1185">
      <c r="A1185" s="14" t="n">
        <v>1612</v>
      </c>
      <c r="B1185" s="14" t="inlineStr">
        <is>
          <t>rtx</t>
        </is>
      </c>
      <c r="C1185" s="14" t="inlineStr">
        <is>
          <t>coa</t>
        </is>
      </c>
      <c r="D1185" s="14" t="inlineStr">
        <is>
          <t>res</t>
        </is>
      </c>
      <c r="E1185" s="14" t="inlineStr">
        <is>
          <t>REVENUE</t>
        </is>
      </c>
      <c r="F1185" s="92" t="inlineStr">
        <is>
          <t>REVENUE(AE1594,Settings!$C$13,INDEX(AE$407:AE$418,$D1612)+INDEX(AE$394:AE$405,$D1612)+AE1567*(1+$E1612))</t>
        </is>
      </c>
    </row>
    <row r="1186">
      <c r="A1186" s="14" t="n">
        <v>1613</v>
      </c>
      <c r="B1186" s="14" t="inlineStr">
        <is>
          <t>rtx</t>
        </is>
      </c>
      <c r="C1186" s="14" t="inlineStr">
        <is>
          <t>nga</t>
        </is>
      </c>
      <c r="D1186" s="14" t="inlineStr">
        <is>
          <t>res</t>
        </is>
      </c>
      <c r="E1186" s="14" t="inlineStr">
        <is>
          <t>REVENUE</t>
        </is>
      </c>
      <c r="F1186" s="92" t="inlineStr">
        <is>
          <t>REVENUE(AE1595,Settings!$C$13,INDEX(AE$407:AE$418,$D1613)+INDEX(AE$394:AE$405,$D1613)+AE1568*(1+$E1613))</t>
        </is>
      </c>
    </row>
    <row r="1187">
      <c r="A1187" s="14" t="n">
        <v>1614</v>
      </c>
      <c r="B1187" s="14" t="inlineStr">
        <is>
          <t>rtx</t>
        </is>
      </c>
      <c r="C1187" s="14" t="inlineStr">
        <is>
          <t>gso</t>
        </is>
      </c>
      <c r="D1187" s="14" t="inlineStr">
        <is>
          <t>res</t>
        </is>
      </c>
      <c r="E1187" s="14" t="inlineStr">
        <is>
          <t>REVENUE</t>
        </is>
      </c>
      <c r="F1187" s="92" t="inlineStr">
        <is>
          <t>REVENUE(AE1596,Settings!$C$13,INDEX(AE$407:AE$418,$D1614)+INDEX(AE$394:AE$405,$D1614)+AE1569*(1+$E1614))</t>
        </is>
      </c>
    </row>
    <row r="1188">
      <c r="A1188" s="14" t="n">
        <v>1615</v>
      </c>
      <c r="B1188" s="14" t="inlineStr">
        <is>
          <t>rtx</t>
        </is>
      </c>
      <c r="C1188" s="14" t="inlineStr">
        <is>
          <t>die</t>
        </is>
      </c>
      <c r="D1188" s="14" t="inlineStr">
        <is>
          <t>res</t>
        </is>
      </c>
      <c r="E1188" s="14" t="inlineStr">
        <is>
          <t>REVENUE</t>
        </is>
      </c>
      <c r="F1188" s="92" t="inlineStr">
        <is>
          <t>REVENUE(AE1597,Settings!$C$13,INDEX(AE$407:AE$418,$D1615)+INDEX(AE$394:AE$405,$D1615)+AE1570*(1+$E1615))</t>
        </is>
      </c>
    </row>
    <row r="1189">
      <c r="A1189" s="14" t="n">
        <v>1616</v>
      </c>
      <c r="B1189" s="14" t="inlineStr">
        <is>
          <t>rtx</t>
        </is>
      </c>
      <c r="C1189" s="14" t="inlineStr">
        <is>
          <t>lpg</t>
        </is>
      </c>
      <c r="D1189" s="14" t="inlineStr">
        <is>
          <t>res</t>
        </is>
      </c>
      <c r="E1189" s="14" t="inlineStr">
        <is>
          <t>REVENUE</t>
        </is>
      </c>
      <c r="F1189" s="92" t="inlineStr">
        <is>
          <t>REVENUE(AE1598,Settings!$C$13,INDEX(AE$407:AE$418,$D1616)+INDEX(AE$394:AE$405,$D1616)+AE1571*(1+$E1616))</t>
        </is>
      </c>
    </row>
    <row r="1190">
      <c r="A1190" s="14" t="n">
        <v>1617</v>
      </c>
      <c r="B1190" s="14" t="inlineStr">
        <is>
          <t>rtx</t>
        </is>
      </c>
      <c r="C1190" s="14" t="inlineStr">
        <is>
          <t>ker</t>
        </is>
      </c>
      <c r="D1190" s="14" t="inlineStr">
        <is>
          <t>res</t>
        </is>
      </c>
      <c r="E1190" s="14" t="inlineStr">
        <is>
          <t>REVENUE</t>
        </is>
      </c>
      <c r="F1190" s="92" t="inlineStr">
        <is>
          <t>REVENUE(AE1599,Settings!$C$13,INDEX(AE$407:AE$418,$D1617)+INDEX(AE$394:AE$405,$D1617)+AE1572*(1+$E1617))</t>
        </is>
      </c>
    </row>
    <row r="1191">
      <c r="A1191" s="14" t="n">
        <v>1618</v>
      </c>
      <c r="B1191" s="14" t="inlineStr">
        <is>
          <t>rtx</t>
        </is>
      </c>
      <c r="C1191" s="14" t="inlineStr">
        <is>
          <t>oop</t>
        </is>
      </c>
      <c r="D1191" s="14" t="inlineStr">
        <is>
          <t>res</t>
        </is>
      </c>
      <c r="E1191" s="14" t="inlineStr">
        <is>
          <t>REVENUE</t>
        </is>
      </c>
      <c r="F1191" s="92" t="inlineStr">
        <is>
          <t>REVENUE(AE1600,Settings!$C$13,INDEX(AE$407:AE$418,$D1618)+INDEX(AE$394:AE$405,$D1618)+AE1573*(1+$E1618))</t>
        </is>
      </c>
    </row>
    <row r="1192">
      <c r="A1192" s="14" t="n">
        <v>1619</v>
      </c>
      <c r="B1192" s="14" t="inlineStr">
        <is>
          <t>rtx</t>
        </is>
      </c>
      <c r="C1192" s="14" t="inlineStr">
        <is>
          <t>bio</t>
        </is>
      </c>
      <c r="D1192" s="14" t="inlineStr">
        <is>
          <t>res</t>
        </is>
      </c>
      <c r="E1192" s="14" t="inlineStr">
        <is>
          <t>REVENUE</t>
        </is>
      </c>
      <c r="F1192" s="92" t="inlineStr">
        <is>
          <t>REVENUE(AE1601,Settings!$C$13,INDEX(AE$407:AE$418,$D1619)+INDEX(AE$394:AE$405,$D1619)+AE1574*(1+$E1619))</t>
        </is>
      </c>
    </row>
    <row r="1193">
      <c r="A1193" s="14" t="n">
        <v>1621</v>
      </c>
      <c r="B1193" s="14" t="inlineStr">
        <is>
          <t>rsub</t>
        </is>
      </c>
      <c r="C1193" s="14" t="inlineStr">
        <is>
          <t>coa</t>
        </is>
      </c>
      <c r="D1193" s="14" t="inlineStr">
        <is>
          <t>res</t>
        </is>
      </c>
      <c r="E1193" s="14" t="inlineStr">
        <is>
          <t>REVENUE</t>
        </is>
      </c>
      <c r="F1193" s="92" t="inlineStr">
        <is>
          <t>REVENUE(AE1594,Settings!$C$13,INDEX(AE$420:AE$431,$D1621))</t>
        </is>
      </c>
    </row>
    <row r="1194">
      <c r="A1194" s="14" t="n">
        <v>1622</v>
      </c>
      <c r="B1194" s="14" t="inlineStr">
        <is>
          <t>rsub</t>
        </is>
      </c>
      <c r="C1194" s="14" t="inlineStr">
        <is>
          <t>nga</t>
        </is>
      </c>
      <c r="D1194" s="14" t="inlineStr">
        <is>
          <t>res</t>
        </is>
      </c>
      <c r="E1194" s="14" t="inlineStr">
        <is>
          <t>REVENUE</t>
        </is>
      </c>
      <c r="F1194" s="92" t="inlineStr">
        <is>
          <t>REVENUE(AE1595,Settings!$C$13,INDEX(AE$420:AE$431,$D1622))</t>
        </is>
      </c>
    </row>
    <row r="1195">
      <c r="A1195" s="14" t="n">
        <v>1623</v>
      </c>
      <c r="B1195" s="14" t="inlineStr">
        <is>
          <t>rsub</t>
        </is>
      </c>
      <c r="C1195" s="14" t="inlineStr">
        <is>
          <t>gso</t>
        </is>
      </c>
      <c r="D1195" s="14" t="inlineStr">
        <is>
          <t>res</t>
        </is>
      </c>
      <c r="E1195" s="14" t="inlineStr">
        <is>
          <t>REVENUE</t>
        </is>
      </c>
      <c r="F1195" s="92" t="inlineStr">
        <is>
          <t>REVENUE(AE1596,Settings!$C$13,INDEX(AE$420:AE$431,$D1623))</t>
        </is>
      </c>
    </row>
    <row r="1196">
      <c r="A1196" s="14" t="n">
        <v>1624</v>
      </c>
      <c r="B1196" s="14" t="inlineStr">
        <is>
          <t>rsub</t>
        </is>
      </c>
      <c r="C1196" s="14" t="inlineStr">
        <is>
          <t>die</t>
        </is>
      </c>
      <c r="D1196" s="14" t="inlineStr">
        <is>
          <t>res</t>
        </is>
      </c>
      <c r="E1196" s="14" t="inlineStr">
        <is>
          <t>REVENUE</t>
        </is>
      </c>
      <c r="F1196" s="92" t="inlineStr">
        <is>
          <t>REVENUE(AE1597,Settings!$C$13,INDEX(AE$420:AE$431,$D1624))</t>
        </is>
      </c>
    </row>
    <row r="1197">
      <c r="A1197" s="14" t="n">
        <v>1625</v>
      </c>
      <c r="B1197" s="14" t="inlineStr">
        <is>
          <t>rsub</t>
        </is>
      </c>
      <c r="C1197" s="14" t="inlineStr">
        <is>
          <t>lpg</t>
        </is>
      </c>
      <c r="D1197" s="14" t="inlineStr">
        <is>
          <t>res</t>
        </is>
      </c>
      <c r="E1197" s="14" t="inlineStr">
        <is>
          <t>REVENUE</t>
        </is>
      </c>
      <c r="F1197" s="92" t="inlineStr">
        <is>
          <t>REVENUE(AE1598,Settings!$C$13,INDEX(AE$420:AE$431,$D1625))</t>
        </is>
      </c>
    </row>
    <row r="1198">
      <c r="A1198" s="14" t="n">
        <v>1626</v>
      </c>
      <c r="B1198" s="14" t="inlineStr">
        <is>
          <t>rsub</t>
        </is>
      </c>
      <c r="C1198" s="14" t="inlineStr">
        <is>
          <t>ker</t>
        </is>
      </c>
      <c r="D1198" s="14" t="inlineStr">
        <is>
          <t>res</t>
        </is>
      </c>
      <c r="E1198" s="14" t="inlineStr">
        <is>
          <t>REVENUE</t>
        </is>
      </c>
      <c r="F1198" s="92" t="inlineStr">
        <is>
          <t>REVENUE(AE1599,Settings!$C$13,INDEX(AE$420:AE$431,$D1626))</t>
        </is>
      </c>
    </row>
    <row r="1199">
      <c r="A1199" s="14" t="n">
        <v>1627</v>
      </c>
      <c r="B1199" s="14" t="inlineStr">
        <is>
          <t>rsub</t>
        </is>
      </c>
      <c r="C1199" s="14" t="inlineStr">
        <is>
          <t>oop</t>
        </is>
      </c>
      <c r="D1199" s="14" t="inlineStr">
        <is>
          <t>res</t>
        </is>
      </c>
      <c r="E1199" s="14" t="inlineStr">
        <is>
          <t>REVENUE</t>
        </is>
      </c>
      <c r="F1199" s="92" t="inlineStr">
        <is>
          <t>REVENUE(AE1600,Settings!$C$13,INDEX(AE$420:AE$431,$D1627))</t>
        </is>
      </c>
    </row>
    <row r="1200">
      <c r="A1200" s="14" t="n">
        <v>1628</v>
      </c>
      <c r="B1200" s="14" t="inlineStr">
        <is>
          <t>rsub</t>
        </is>
      </c>
      <c r="C1200" s="14" t="inlineStr">
        <is>
          <t>bio</t>
        </is>
      </c>
      <c r="D1200" s="14" t="inlineStr">
        <is>
          <t>res</t>
        </is>
      </c>
      <c r="E1200" s="14" t="inlineStr">
        <is>
          <t>REVENUE</t>
        </is>
      </c>
      <c r="F1200" s="92" t="inlineStr">
        <is>
          <t>REVENUE(AE1601,Settings!$C$13,INDEX(AE$420:AE$431,$D1628))</t>
        </is>
      </c>
    </row>
    <row r="1201">
      <c r="A1201" s="14" t="n">
        <v>1630</v>
      </c>
      <c r="B1201" s="14" t="inlineStr">
        <is>
          <t>rnew</t>
        </is>
      </c>
      <c r="C1201" s="14" t="inlineStr">
        <is>
          <t>coa</t>
        </is>
      </c>
      <c r="D1201" s="14" t="inlineStr">
        <is>
          <t>res</t>
        </is>
      </c>
      <c r="E1201" s="14" t="inlineStr">
        <is>
          <t>REVENUE</t>
        </is>
      </c>
      <c r="F1201" s="92" t="inlineStr">
        <is>
          <t>REVENUE(AE1594,Settings!$C$13,NEWREVRATE(AE1522,AE1540,AE1531,AE$201,AE1549,$D1630))</t>
        </is>
      </c>
    </row>
    <row r="1202">
      <c r="A1202" s="14" t="n">
        <v>1631</v>
      </c>
      <c r="B1202" s="14" t="inlineStr">
        <is>
          <t>rnew</t>
        </is>
      </c>
      <c r="C1202" s="14" t="inlineStr">
        <is>
          <t>nga</t>
        </is>
      </c>
      <c r="D1202" s="14" t="inlineStr">
        <is>
          <t>res</t>
        </is>
      </c>
      <c r="E1202" s="14" t="inlineStr">
        <is>
          <t>REVENUE</t>
        </is>
      </c>
      <c r="F1202" s="92" t="inlineStr">
        <is>
          <t>REVENUE(AE1595,Settings!$C$13,NEWREVRATE(AE1523,AE1541,AE1532,AE$201,AE1550,$D1631))</t>
        </is>
      </c>
    </row>
    <row r="1203">
      <c r="A1203" s="14" t="n">
        <v>1632</v>
      </c>
      <c r="B1203" s="14" t="inlineStr">
        <is>
          <t>rnew</t>
        </is>
      </c>
      <c r="C1203" s="14" t="inlineStr">
        <is>
          <t>gso</t>
        </is>
      </c>
      <c r="D1203" s="14" t="inlineStr">
        <is>
          <t>res</t>
        </is>
      </c>
      <c r="E1203" s="14" t="inlineStr">
        <is>
          <t>REVENUE</t>
        </is>
      </c>
      <c r="F1203" s="92" t="inlineStr">
        <is>
          <t>REVENUE(AE1596,Settings!$C$13,NEWREVRATE(AE1524,AE1542,AE1533,AE$201,AE1551,$D1632))</t>
        </is>
      </c>
    </row>
    <row r="1204">
      <c r="A1204" s="14" t="n">
        <v>1633</v>
      </c>
      <c r="B1204" s="14" t="inlineStr">
        <is>
          <t>rnew</t>
        </is>
      </c>
      <c r="C1204" s="14" t="inlineStr">
        <is>
          <t>die</t>
        </is>
      </c>
      <c r="D1204" s="14" t="inlineStr">
        <is>
          <t>res</t>
        </is>
      </c>
      <c r="E1204" s="14" t="inlineStr">
        <is>
          <t>REVENUE</t>
        </is>
      </c>
      <c r="F1204" s="92" t="inlineStr">
        <is>
          <t>REVENUE(AE1597,Settings!$C$13,NEWREVRATE(AE1525,AE1543,AE1534,AE$201,AE1552,$D1633))</t>
        </is>
      </c>
    </row>
    <row r="1205">
      <c r="A1205" s="14" t="n">
        <v>1634</v>
      </c>
      <c r="B1205" s="14" t="inlineStr">
        <is>
          <t>rnew</t>
        </is>
      </c>
      <c r="C1205" s="14" t="inlineStr">
        <is>
          <t>lpg</t>
        </is>
      </c>
      <c r="D1205" s="14" t="inlineStr">
        <is>
          <t>res</t>
        </is>
      </c>
      <c r="E1205" s="14" t="inlineStr">
        <is>
          <t>REVENUE</t>
        </is>
      </c>
      <c r="F1205" s="92" t="inlineStr">
        <is>
          <t>REVENUE(AE1598,Settings!$C$13,NEWREVRATE(AE1526,AE1544,AE1535,AE$201,AE1553,$D1634))</t>
        </is>
      </c>
    </row>
    <row r="1206">
      <c r="A1206" s="14" t="n">
        <v>1635</v>
      </c>
      <c r="B1206" s="14" t="inlineStr">
        <is>
          <t>rnew</t>
        </is>
      </c>
      <c r="C1206" s="14" t="inlineStr">
        <is>
          <t>ker</t>
        </is>
      </c>
      <c r="D1206" s="14" t="inlineStr">
        <is>
          <t>res</t>
        </is>
      </c>
      <c r="E1206" s="14" t="inlineStr">
        <is>
          <t>REVENUE</t>
        </is>
      </c>
      <c r="F1206" s="92" t="inlineStr">
        <is>
          <t>REVENUE(AE1599,Settings!$C$13,NEWREVRATE(AE1527,AE1545,AE1536,AE$201,AE1554,$D1635))</t>
        </is>
      </c>
    </row>
    <row r="1207">
      <c r="A1207" s="14" t="n">
        <v>1636</v>
      </c>
      <c r="B1207" s="14" t="inlineStr">
        <is>
          <t>rnew</t>
        </is>
      </c>
      <c r="C1207" s="14" t="inlineStr">
        <is>
          <t>oop</t>
        </is>
      </c>
      <c r="D1207" s="14" t="inlineStr">
        <is>
          <t>res</t>
        </is>
      </c>
      <c r="E1207" s="14" t="inlineStr">
        <is>
          <t>REVENUE</t>
        </is>
      </c>
      <c r="F1207" s="92" t="inlineStr">
        <is>
          <t>REVENUE(AE1600,Settings!$C$13,NEWREVRATE(AE1528,AE1546,AE1537,AE$201,AE1555,$D1636))</t>
        </is>
      </c>
    </row>
    <row r="1208">
      <c r="A1208" s="14" t="n">
        <v>1637</v>
      </c>
      <c r="B1208" s="14" t="inlineStr">
        <is>
          <t>rnew</t>
        </is>
      </c>
      <c r="C1208" s="14" t="inlineStr">
        <is>
          <t>bio</t>
        </is>
      </c>
      <c r="D1208" s="14" t="inlineStr">
        <is>
          <t>res</t>
        </is>
      </c>
      <c r="E1208" s="14" t="inlineStr">
        <is>
          <t>REVENUE</t>
        </is>
      </c>
      <c r="F1208" s="92" t="inlineStr">
        <is>
          <t>REVENUE(AE1601,Settings!$C$13,NEWREVRATE(AE1529,AE1547,AE1538,AE$201,AE1556,$D1637))</t>
        </is>
      </c>
    </row>
    <row r="1209">
      <c r="A1209" s="14" t="n">
        <v>1639</v>
      </c>
      <c r="B1209" s="14" t="inlineStr">
        <is>
          <t>rxcp</t>
        </is>
      </c>
      <c r="C1209" s="14" t="inlineStr">
        <is>
          <t>coa</t>
        </is>
      </c>
      <c r="D1209" s="14" t="inlineStr">
        <is>
          <t>res</t>
        </is>
      </c>
      <c r="E1209" s="14" t="inlineStr">
        <is>
          <t>REVENUE</t>
        </is>
      </c>
      <c r="F1209" s="92" t="inlineStr">
        <is>
          <t>REVENUE(AE1594,Settings!$C$13,AE1558)</t>
        </is>
      </c>
    </row>
    <row r="1210">
      <c r="A1210" s="14" t="n">
        <v>1640</v>
      </c>
      <c r="B1210" s="14" t="inlineStr">
        <is>
          <t>rxcp</t>
        </is>
      </c>
      <c r="C1210" s="14" t="inlineStr">
        <is>
          <t>nga</t>
        </is>
      </c>
      <c r="D1210" s="14" t="inlineStr">
        <is>
          <t>res</t>
        </is>
      </c>
      <c r="E1210" s="14" t="inlineStr">
        <is>
          <t>REVENUE</t>
        </is>
      </c>
      <c r="F1210" s="92" t="inlineStr">
        <is>
          <t>REVENUE(AE1595,Settings!$C$13,AE1559)</t>
        </is>
      </c>
    </row>
    <row r="1211">
      <c r="A1211" s="14" t="n">
        <v>1641</v>
      </c>
      <c r="B1211" s="14" t="inlineStr">
        <is>
          <t>rxcp</t>
        </is>
      </c>
      <c r="C1211" s="14" t="inlineStr">
        <is>
          <t>gso</t>
        </is>
      </c>
      <c r="D1211" s="14" t="inlineStr">
        <is>
          <t>res</t>
        </is>
      </c>
      <c r="E1211" s="14" t="inlineStr">
        <is>
          <t>REVENUE</t>
        </is>
      </c>
      <c r="F1211" s="92" t="inlineStr">
        <is>
          <t>REVENUE(AE1596,Settings!$C$13,AE1560)</t>
        </is>
      </c>
    </row>
    <row r="1212">
      <c r="A1212" s="14" t="n">
        <v>1642</v>
      </c>
      <c r="B1212" s="14" t="inlineStr">
        <is>
          <t>rxcp</t>
        </is>
      </c>
      <c r="C1212" s="14" t="inlineStr">
        <is>
          <t>die</t>
        </is>
      </c>
      <c r="D1212" s="14" t="inlineStr">
        <is>
          <t>res</t>
        </is>
      </c>
      <c r="E1212" s="14" t="inlineStr">
        <is>
          <t>REVENUE</t>
        </is>
      </c>
      <c r="F1212" s="92" t="inlineStr">
        <is>
          <t>REVENUE(AE1597,Settings!$C$13,AE1561)</t>
        </is>
      </c>
    </row>
    <row r="1213">
      <c r="A1213" s="14" t="n">
        <v>1643</v>
      </c>
      <c r="B1213" s="14" t="inlineStr">
        <is>
          <t>rxcp</t>
        </is>
      </c>
      <c r="C1213" s="14" t="inlineStr">
        <is>
          <t>lpg</t>
        </is>
      </c>
      <c r="D1213" s="14" t="inlineStr">
        <is>
          <t>res</t>
        </is>
      </c>
      <c r="E1213" s="14" t="inlineStr">
        <is>
          <t>REVENUE</t>
        </is>
      </c>
      <c r="F1213" s="92" t="inlineStr">
        <is>
          <t>REVENUE(AE1598,Settings!$C$13,AE1562)</t>
        </is>
      </c>
    </row>
    <row r="1214">
      <c r="A1214" s="14" t="n">
        <v>1644</v>
      </c>
      <c r="B1214" s="14" t="inlineStr">
        <is>
          <t>rxcp</t>
        </is>
      </c>
      <c r="C1214" s="14" t="inlineStr">
        <is>
          <t>ker</t>
        </is>
      </c>
      <c r="D1214" s="14" t="inlineStr">
        <is>
          <t>res</t>
        </is>
      </c>
      <c r="E1214" s="14" t="inlineStr">
        <is>
          <t>REVENUE</t>
        </is>
      </c>
      <c r="F1214" s="92" t="inlineStr">
        <is>
          <t>REVENUE(AE1599,Settings!$C$13,AE1563)</t>
        </is>
      </c>
    </row>
    <row r="1215">
      <c r="A1215" s="14" t="n">
        <v>1645</v>
      </c>
      <c r="B1215" s="14" t="inlineStr">
        <is>
          <t>rxcp</t>
        </is>
      </c>
      <c r="C1215" s="14" t="inlineStr">
        <is>
          <t>oop</t>
        </is>
      </c>
      <c r="D1215" s="14" t="inlineStr">
        <is>
          <t>res</t>
        </is>
      </c>
      <c r="E1215" s="14" t="inlineStr">
        <is>
          <t>REVENUE</t>
        </is>
      </c>
      <c r="F1215" s="92" t="inlineStr">
        <is>
          <t>REVENUE(AE1600,Settings!$C$13,AE1564)</t>
        </is>
      </c>
    </row>
    <row r="1216">
      <c r="A1216" s="14" t="n">
        <v>1646</v>
      </c>
      <c r="B1216" s="14" t="inlineStr">
        <is>
          <t>rxcp</t>
        </is>
      </c>
      <c r="C1216" s="14" t="inlineStr">
        <is>
          <t>bio</t>
        </is>
      </c>
      <c r="D1216" s="14" t="inlineStr">
        <is>
          <t>res</t>
        </is>
      </c>
      <c r="E1216" s="14" t="inlineStr">
        <is>
          <t>REVENUE</t>
        </is>
      </c>
      <c r="F1216" s="92" t="inlineStr">
        <is>
          <t>REVENUE(AE1601,Settings!$C$13,AE1565)</t>
        </is>
      </c>
    </row>
    <row r="1217">
      <c r="A1217" s="14" t="n">
        <v>1650</v>
      </c>
      <c r="B1217" s="14" t="inlineStr">
        <is>
          <t>ctxnew</t>
        </is>
      </c>
      <c r="C1217" s="14" t="inlineStr">
        <is>
          <t>coa</t>
        </is>
      </c>
      <c r="D1217" s="14" t="inlineStr">
        <is>
          <t>foo</t>
        </is>
      </c>
      <c r="E1217" s="14" t="inlineStr">
        <is>
          <t>CARBONTAX</t>
        </is>
      </c>
      <c r="F1217" s="92" t="inlineStr">
        <is>
          <t>CARBONTAX(INDEX(AE$263:AE$279,$F1650),$D1650,INDEX(AE$23:AE$30,$E1650))</t>
        </is>
      </c>
    </row>
    <row r="1218">
      <c r="A1218" s="14" t="n">
        <v>1651</v>
      </c>
      <c r="B1218" s="14" t="inlineStr">
        <is>
          <t>ctxnew</t>
        </is>
      </c>
      <c r="C1218" s="14" t="inlineStr">
        <is>
          <t>nga</t>
        </is>
      </c>
      <c r="D1218" s="14" t="inlineStr">
        <is>
          <t>foo</t>
        </is>
      </c>
      <c r="E1218" s="14" t="inlineStr">
        <is>
          <t>CARBONTAX</t>
        </is>
      </c>
      <c r="F1218" s="92" t="inlineStr">
        <is>
          <t>CARBONTAX(INDEX(AE$263:AE$279,$F1651),$D1651,INDEX(AE$23:AE$30,$E1651))</t>
        </is>
      </c>
    </row>
    <row r="1219">
      <c r="A1219" s="14" t="n">
        <v>1652</v>
      </c>
      <c r="B1219" s="14" t="inlineStr">
        <is>
          <t>ctxnew</t>
        </is>
      </c>
      <c r="C1219" s="14" t="inlineStr">
        <is>
          <t>gso</t>
        </is>
      </c>
      <c r="D1219" s="14" t="inlineStr">
        <is>
          <t>foo</t>
        </is>
      </c>
      <c r="E1219" s="14" t="inlineStr">
        <is>
          <t>CARBONTAX</t>
        </is>
      </c>
      <c r="F1219" s="92" t="inlineStr">
        <is>
          <t>CARBONTAX(INDEX(AE$263:AE$279,$F1652),$D1652,INDEX(AE$23:AE$30,$E1652))</t>
        </is>
      </c>
    </row>
    <row r="1220">
      <c r="A1220" s="14" t="n">
        <v>1653</v>
      </c>
      <c r="B1220" s="14" t="inlineStr">
        <is>
          <t>ctxnew</t>
        </is>
      </c>
      <c r="C1220" s="14" t="inlineStr">
        <is>
          <t>die</t>
        </is>
      </c>
      <c r="D1220" s="14" t="inlineStr">
        <is>
          <t>foo</t>
        </is>
      </c>
      <c r="E1220" s="14" t="inlineStr">
        <is>
          <t>CARBONTAX</t>
        </is>
      </c>
      <c r="F1220" s="92" t="inlineStr">
        <is>
          <t>CARBONTAX(INDEX(AE$263:AE$279,$F1653),$D1653,INDEX(AE$23:AE$30,$E1653))</t>
        </is>
      </c>
    </row>
    <row r="1221">
      <c r="A1221" s="14" t="n">
        <v>1654</v>
      </c>
      <c r="B1221" s="14" t="inlineStr">
        <is>
          <t>ctxnew</t>
        </is>
      </c>
      <c r="C1221" s="14" t="inlineStr">
        <is>
          <t>lpg</t>
        </is>
      </c>
      <c r="D1221" s="14" t="inlineStr">
        <is>
          <t>foo</t>
        </is>
      </c>
      <c r="E1221" s="14" t="inlineStr">
        <is>
          <t>CARBONTAX</t>
        </is>
      </c>
      <c r="F1221" s="92" t="inlineStr">
        <is>
          <t>CARBONTAX(INDEX(AE$263:AE$279,$F1654),$D1654,INDEX(AE$23:AE$30,$E1654))</t>
        </is>
      </c>
    </row>
    <row r="1222">
      <c r="A1222" s="14" t="n">
        <v>1655</v>
      </c>
      <c r="B1222" s="14" t="inlineStr">
        <is>
          <t>ctxnew</t>
        </is>
      </c>
      <c r="C1222" s="14" t="inlineStr">
        <is>
          <t>ker</t>
        </is>
      </c>
      <c r="D1222" s="14" t="inlineStr">
        <is>
          <t>foo</t>
        </is>
      </c>
      <c r="E1222" s="14" t="inlineStr">
        <is>
          <t>CARBONTAX</t>
        </is>
      </c>
      <c r="F1222" s="92" t="inlineStr">
        <is>
          <t>CARBONTAX(INDEX(AE$263:AE$279,$F1655),$D1655,INDEX(AE$23:AE$30,$E1655))</t>
        </is>
      </c>
    </row>
    <row r="1223">
      <c r="A1223" s="14" t="n">
        <v>1656</v>
      </c>
      <c r="B1223" s="14" t="inlineStr">
        <is>
          <t>ctxnew</t>
        </is>
      </c>
      <c r="C1223" s="14" t="inlineStr">
        <is>
          <t>oop</t>
        </is>
      </c>
      <c r="D1223" s="14" t="inlineStr">
        <is>
          <t>foo</t>
        </is>
      </c>
      <c r="E1223" s="14" t="inlineStr">
        <is>
          <t>CARBONTAX</t>
        </is>
      </c>
      <c r="F1223" s="92" t="inlineStr">
        <is>
          <t>CARBONTAX(INDEX(AE$263:AE$279,$F1656),$D1656,INDEX(AE$23:AE$30,$E1656))</t>
        </is>
      </c>
    </row>
    <row r="1224">
      <c r="A1224" s="14" t="n">
        <v>1657</v>
      </c>
      <c r="B1224" s="14" t="inlineStr">
        <is>
          <t>ctxnew</t>
        </is>
      </c>
      <c r="C1224" s="14" t="inlineStr">
        <is>
          <t>bio</t>
        </is>
      </c>
      <c r="D1224" s="14" t="inlineStr">
        <is>
          <t>foo</t>
        </is>
      </c>
      <c r="E1224" s="14" t="inlineStr">
        <is>
          <t>CARBONTAX</t>
        </is>
      </c>
      <c r="F1224" s="92" t="inlineStr">
        <is>
          <t>CARBONTAX(INDEX(AE$263:AE$279,$F1657),$D1657,INDEX(AE$23:AE$30,$E1657))</t>
        </is>
      </c>
    </row>
    <row r="1225">
      <c r="A1225" s="14" t="n">
        <v>1659</v>
      </c>
      <c r="B1225" s="14" t="inlineStr">
        <is>
          <t>ets</t>
        </is>
      </c>
      <c r="C1225" s="14" t="inlineStr">
        <is>
          <t>coa</t>
        </is>
      </c>
      <c r="D1225" s="14" t="inlineStr">
        <is>
          <t>foo</t>
        </is>
      </c>
      <c r="E1225" s="14" t="inlineStr">
        <is>
          <t>ETSCOST</t>
        </is>
      </c>
      <c r="F1225" s="92" t="inlineStr">
        <is>
          <t>ETSCOST(INDEX(AE$280:AE$296,$E1659),$D1659)</t>
        </is>
      </c>
    </row>
    <row r="1226">
      <c r="A1226" s="14" t="n">
        <v>1660</v>
      </c>
      <c r="B1226" s="14" t="inlineStr">
        <is>
          <t>ets</t>
        </is>
      </c>
      <c r="C1226" s="14" t="inlineStr">
        <is>
          <t>nga</t>
        </is>
      </c>
      <c r="D1226" s="14" t="inlineStr">
        <is>
          <t>foo</t>
        </is>
      </c>
      <c r="E1226" s="14" t="inlineStr">
        <is>
          <t>ETSCOST</t>
        </is>
      </c>
      <c r="F1226" s="92" t="inlineStr">
        <is>
          <t>ETSCOST(INDEX(AE$280:AE$296,$E1660),$D1660)</t>
        </is>
      </c>
    </row>
    <row r="1227">
      <c r="A1227" s="14" t="n">
        <v>1661</v>
      </c>
      <c r="B1227" s="14" t="inlineStr">
        <is>
          <t>ets</t>
        </is>
      </c>
      <c r="C1227" s="14" t="inlineStr">
        <is>
          <t>gso</t>
        </is>
      </c>
      <c r="D1227" s="14" t="inlineStr">
        <is>
          <t>foo</t>
        </is>
      </c>
      <c r="E1227" s="14" t="inlineStr">
        <is>
          <t>ETSCOST</t>
        </is>
      </c>
      <c r="F1227" s="92" t="inlineStr">
        <is>
          <t>ETSCOST(INDEX(AE$280:AE$296,$E1661),$D1661)</t>
        </is>
      </c>
    </row>
    <row r="1228">
      <c r="A1228" s="14" t="n">
        <v>1662</v>
      </c>
      <c r="B1228" s="14" t="inlineStr">
        <is>
          <t>ets</t>
        </is>
      </c>
      <c r="C1228" s="14" t="inlineStr">
        <is>
          <t>die</t>
        </is>
      </c>
      <c r="D1228" s="14" t="inlineStr">
        <is>
          <t>foo</t>
        </is>
      </c>
      <c r="E1228" s="14" t="inlineStr">
        <is>
          <t>ETSCOST</t>
        </is>
      </c>
      <c r="F1228" s="92" t="inlineStr">
        <is>
          <t>ETSCOST(INDEX(AE$280:AE$296,$E1662),$D1662)</t>
        </is>
      </c>
    </row>
    <row r="1229">
      <c r="A1229" s="14" t="n">
        <v>1663</v>
      </c>
      <c r="B1229" s="14" t="inlineStr">
        <is>
          <t>ets</t>
        </is>
      </c>
      <c r="C1229" s="14" t="inlineStr">
        <is>
          <t>lpg</t>
        </is>
      </c>
      <c r="D1229" s="14" t="inlineStr">
        <is>
          <t>foo</t>
        </is>
      </c>
      <c r="E1229" s="14" t="inlineStr">
        <is>
          <t>ETSCOST</t>
        </is>
      </c>
      <c r="F1229" s="92" t="inlineStr">
        <is>
          <t>ETSCOST(INDEX(AE$280:AE$296,$E1663),$D1663)</t>
        </is>
      </c>
    </row>
    <row r="1230">
      <c r="A1230" s="14" t="n">
        <v>1664</v>
      </c>
      <c r="B1230" s="14" t="inlineStr">
        <is>
          <t>ets</t>
        </is>
      </c>
      <c r="C1230" s="14" t="inlineStr">
        <is>
          <t>ker</t>
        </is>
      </c>
      <c r="D1230" s="14" t="inlineStr">
        <is>
          <t>foo</t>
        </is>
      </c>
      <c r="E1230" s="14" t="inlineStr">
        <is>
          <t>ETSCOST</t>
        </is>
      </c>
      <c r="F1230" s="92" t="inlineStr">
        <is>
          <t>ETSCOST(INDEX(AE$280:AE$296,$E1664),$D1664)</t>
        </is>
      </c>
    </row>
    <row r="1231">
      <c r="A1231" s="14" t="n">
        <v>1665</v>
      </c>
      <c r="B1231" s="14" t="inlineStr">
        <is>
          <t>ets</t>
        </is>
      </c>
      <c r="C1231" s="14" t="inlineStr">
        <is>
          <t>oop</t>
        </is>
      </c>
      <c r="D1231" s="14" t="inlineStr">
        <is>
          <t>foo</t>
        </is>
      </c>
      <c r="E1231" s="14" t="inlineStr">
        <is>
          <t>ETSCOST</t>
        </is>
      </c>
      <c r="F1231" s="92" t="inlineStr">
        <is>
          <t>ETSCOST(INDEX(AE$280:AE$296,$E1665),$D1665)</t>
        </is>
      </c>
    </row>
    <row r="1232">
      <c r="A1232" s="14" t="n">
        <v>1666</v>
      </c>
      <c r="B1232" s="14" t="inlineStr">
        <is>
          <t>ets</t>
        </is>
      </c>
      <c r="C1232" s="14" t="inlineStr">
        <is>
          <t>bio</t>
        </is>
      </c>
      <c r="D1232" s="14" t="inlineStr">
        <is>
          <t>foo</t>
        </is>
      </c>
      <c r="E1232" s="14" t="inlineStr">
        <is>
          <t>ETSCOST</t>
        </is>
      </c>
      <c r="F1232" s="92" t="inlineStr">
        <is>
          <t>ETSCOST(INDEX(AE$280:AE$296,$E1666),$D1666)</t>
        </is>
      </c>
    </row>
    <row r="1233">
      <c r="A1233" s="14" t="n">
        <v>1668</v>
      </c>
      <c r="B1233" s="14" t="inlineStr">
        <is>
          <t>ntx</t>
        </is>
      </c>
      <c r="C1233" s="14" t="inlineStr">
        <is>
          <t>coa</t>
        </is>
      </c>
      <c r="D1233" s="14" t="inlineStr">
        <is>
          <t>foo</t>
        </is>
      </c>
      <c r="E1233" s="14" t="inlineStr">
        <is>
          <t>NEWEXCISE</t>
        </is>
      </c>
      <c r="F1233" s="92" t="inlineStr">
        <is>
          <t>NEWEXCISE(INDEX(AE$80:AE$93,$D1668),$E1668)</t>
        </is>
      </c>
    </row>
    <row r="1234">
      <c r="A1234" s="14" t="n">
        <v>1669</v>
      </c>
      <c r="B1234" s="14" t="inlineStr">
        <is>
          <t>ntx</t>
        </is>
      </c>
      <c r="C1234" s="14" t="inlineStr">
        <is>
          <t>nga</t>
        </is>
      </c>
      <c r="D1234" s="14" t="inlineStr">
        <is>
          <t>foo</t>
        </is>
      </c>
      <c r="E1234" s="14" t="inlineStr">
        <is>
          <t>NEWEXCISE</t>
        </is>
      </c>
      <c r="F1234" s="92" t="inlineStr">
        <is>
          <t>NEWEXCISE(INDEX(AE$80:AE$93,$D1669),$E1669)</t>
        </is>
      </c>
    </row>
    <row r="1235">
      <c r="A1235" s="14" t="n">
        <v>1670</v>
      </c>
      <c r="B1235" s="14" t="inlineStr">
        <is>
          <t>ntx</t>
        </is>
      </c>
      <c r="C1235" s="14" t="inlineStr">
        <is>
          <t>gso</t>
        </is>
      </c>
      <c r="D1235" s="14" t="inlineStr">
        <is>
          <t>foo</t>
        </is>
      </c>
      <c r="E1235" s="14" t="inlineStr">
        <is>
          <t>NEWEXCISE</t>
        </is>
      </c>
      <c r="F1235" s="92" t="inlineStr">
        <is>
          <t>NEWEXCISE(INDEX(AE$80:AE$93,$D1670),$E1670)</t>
        </is>
      </c>
    </row>
    <row r="1236">
      <c r="A1236" s="14" t="n">
        <v>1671</v>
      </c>
      <c r="B1236" s="14" t="inlineStr">
        <is>
          <t>ntx</t>
        </is>
      </c>
      <c r="C1236" s="14" t="inlineStr">
        <is>
          <t>die</t>
        </is>
      </c>
      <c r="D1236" s="14" t="inlineStr">
        <is>
          <t>foo</t>
        </is>
      </c>
      <c r="E1236" s="14" t="inlineStr">
        <is>
          <t>NEWEXCISE</t>
        </is>
      </c>
      <c r="F1236" s="92" t="inlineStr">
        <is>
          <t>NEWEXCISE(INDEX(AE$80:AE$93,$D1671),$E1671)</t>
        </is>
      </c>
    </row>
    <row r="1237">
      <c r="A1237" s="14" t="n">
        <v>1672</v>
      </c>
      <c r="B1237" s="14" t="inlineStr">
        <is>
          <t>ntx</t>
        </is>
      </c>
      <c r="C1237" s="14" t="inlineStr">
        <is>
          <t>lpg</t>
        </is>
      </c>
      <c r="D1237" s="14" t="inlineStr">
        <is>
          <t>foo</t>
        </is>
      </c>
      <c r="E1237" s="14" t="inlineStr">
        <is>
          <t>NEWEXCISE</t>
        </is>
      </c>
      <c r="F1237" s="92" t="inlineStr">
        <is>
          <t>NEWEXCISE(INDEX(AE$80:AE$93,$D1672),$E1672)</t>
        </is>
      </c>
    </row>
    <row r="1238">
      <c r="A1238" s="14" t="n">
        <v>1673</v>
      </c>
      <c r="B1238" s="14" t="inlineStr">
        <is>
          <t>ntx</t>
        </is>
      </c>
      <c r="C1238" s="14" t="inlineStr">
        <is>
          <t>ker</t>
        </is>
      </c>
      <c r="D1238" s="14" t="inlineStr">
        <is>
          <t>foo</t>
        </is>
      </c>
      <c r="E1238" s="14" t="inlineStr">
        <is>
          <t>NEWEXCISE</t>
        </is>
      </c>
      <c r="F1238" s="92" t="inlineStr">
        <is>
          <t>NEWEXCISE(INDEX(AE$80:AE$93,$D1673),$E1673)</t>
        </is>
      </c>
    </row>
    <row r="1239">
      <c r="A1239" s="14" t="n">
        <v>1674</v>
      </c>
      <c r="B1239" s="14" t="inlineStr">
        <is>
          <t>ntx</t>
        </is>
      </c>
      <c r="C1239" s="14" t="inlineStr">
        <is>
          <t>oop</t>
        </is>
      </c>
      <c r="D1239" s="14" t="inlineStr">
        <is>
          <t>foo</t>
        </is>
      </c>
      <c r="E1239" s="14" t="inlineStr">
        <is>
          <t>NEWEXCISE</t>
        </is>
      </c>
      <c r="F1239" s="92" t="inlineStr">
        <is>
          <t>NEWEXCISE(INDEX(AE$80:AE$93,$D1674),$E1674)</t>
        </is>
      </c>
    </row>
    <row r="1240">
      <c r="A1240" s="14" t="n">
        <v>1675</v>
      </c>
      <c r="B1240" s="14" t="inlineStr">
        <is>
          <t>ntx</t>
        </is>
      </c>
      <c r="C1240" s="14" t="inlineStr">
        <is>
          <t>bio</t>
        </is>
      </c>
      <c r="D1240" s="14" t="inlineStr">
        <is>
          <t>foo</t>
        </is>
      </c>
      <c r="E1240" s="14" t="inlineStr">
        <is>
          <t>NEWEXCISE</t>
        </is>
      </c>
      <c r="F1240" s="92" t="inlineStr">
        <is>
          <t>NEWEXCISE(INDEX(AE$80:AE$93,$D1675),$E1675)</t>
        </is>
      </c>
    </row>
    <row r="1241">
      <c r="A1241" s="14" t="n">
        <v>1677</v>
      </c>
      <c r="B1241" s="14" t="inlineStr">
        <is>
          <t>nce</t>
        </is>
      </c>
      <c r="C1241" s="14" t="inlineStr">
        <is>
          <t>coa</t>
        </is>
      </c>
      <c r="D1241" s="14" t="inlineStr">
        <is>
          <t>foo</t>
        </is>
      </c>
      <c r="E1241" s="14" t="inlineStr">
        <is>
          <t>NEWPOLICY</t>
        </is>
      </c>
      <c r="F1241" s="92" t="inlineStr">
        <is>
          <t>NEWPOLICY(AE1650,AE1659,AE1668)</t>
        </is>
      </c>
    </row>
    <row r="1242">
      <c r="A1242" s="14" t="n">
        <v>1678</v>
      </c>
      <c r="B1242" s="14" t="inlineStr">
        <is>
          <t>nce</t>
        </is>
      </c>
      <c r="C1242" s="14" t="inlineStr">
        <is>
          <t>nga</t>
        </is>
      </c>
      <c r="D1242" s="14" t="inlineStr">
        <is>
          <t>foo</t>
        </is>
      </c>
      <c r="E1242" s="14" t="inlineStr">
        <is>
          <t>NEWPOLICY</t>
        </is>
      </c>
      <c r="F1242" s="92" t="inlineStr">
        <is>
          <t>NEWPOLICY(AE1651,AE1660,AE1669)</t>
        </is>
      </c>
    </row>
    <row r="1243">
      <c r="A1243" s="14" t="n">
        <v>1679</v>
      </c>
      <c r="B1243" s="14" t="inlineStr">
        <is>
          <t>nce</t>
        </is>
      </c>
      <c r="C1243" s="14" t="inlineStr">
        <is>
          <t>gso</t>
        </is>
      </c>
      <c r="D1243" s="14" t="inlineStr">
        <is>
          <t>foo</t>
        </is>
      </c>
      <c r="E1243" s="14" t="inlineStr">
        <is>
          <t>NEWPOLICY</t>
        </is>
      </c>
      <c r="F1243" s="92" t="inlineStr">
        <is>
          <t>NEWPOLICY(AE1652,AE1661,AE1670)</t>
        </is>
      </c>
    </row>
    <row r="1244">
      <c r="A1244" s="14" t="n">
        <v>1680</v>
      </c>
      <c r="B1244" s="14" t="inlineStr">
        <is>
          <t>nce</t>
        </is>
      </c>
      <c r="C1244" s="14" t="inlineStr">
        <is>
          <t>die</t>
        </is>
      </c>
      <c r="D1244" s="14" t="inlineStr">
        <is>
          <t>foo</t>
        </is>
      </c>
      <c r="E1244" s="14" t="inlineStr">
        <is>
          <t>NEWPOLICY</t>
        </is>
      </c>
      <c r="F1244" s="92" t="inlineStr">
        <is>
          <t>NEWPOLICY(AE1653,AE1662,AE1671)</t>
        </is>
      </c>
    </row>
    <row r="1245">
      <c r="A1245" s="14" t="n">
        <v>1681</v>
      </c>
      <c r="B1245" s="14" t="inlineStr">
        <is>
          <t>nce</t>
        </is>
      </c>
      <c r="C1245" s="14" t="inlineStr">
        <is>
          <t>lpg</t>
        </is>
      </c>
      <c r="D1245" s="14" t="inlineStr">
        <is>
          <t>foo</t>
        </is>
      </c>
      <c r="E1245" s="14" t="inlineStr">
        <is>
          <t>NEWPOLICY</t>
        </is>
      </c>
      <c r="F1245" s="92" t="inlineStr">
        <is>
          <t>NEWPOLICY(AE1654,AE1663,AE1672)</t>
        </is>
      </c>
    </row>
    <row r="1246">
      <c r="A1246" s="14" t="n">
        <v>1682</v>
      </c>
      <c r="B1246" s="14" t="inlineStr">
        <is>
          <t>nce</t>
        </is>
      </c>
      <c r="C1246" s="14" t="inlineStr">
        <is>
          <t>ker</t>
        </is>
      </c>
      <c r="D1246" s="14" t="inlineStr">
        <is>
          <t>foo</t>
        </is>
      </c>
      <c r="E1246" s="14" t="inlineStr">
        <is>
          <t>NEWPOLICY</t>
        </is>
      </c>
      <c r="F1246" s="92" t="inlineStr">
        <is>
          <t>NEWPOLICY(AE1655,AE1664,AE1673)</t>
        </is>
      </c>
    </row>
    <row r="1247">
      <c r="A1247" s="14" t="n">
        <v>1683</v>
      </c>
      <c r="B1247" s="14" t="inlineStr">
        <is>
          <t>nce</t>
        </is>
      </c>
      <c r="C1247" s="14" t="inlineStr">
        <is>
          <t>oop</t>
        </is>
      </c>
      <c r="D1247" s="14" t="inlineStr">
        <is>
          <t>foo</t>
        </is>
      </c>
      <c r="E1247" s="14" t="inlineStr">
        <is>
          <t>NEWPOLICY</t>
        </is>
      </c>
      <c r="F1247" s="92" t="inlineStr">
        <is>
          <t>NEWPOLICY(AE1656,AE1665,AE1674)</t>
        </is>
      </c>
    </row>
    <row r="1248">
      <c r="A1248" s="14" t="n">
        <v>1684</v>
      </c>
      <c r="B1248" s="14" t="inlineStr">
        <is>
          <t>nce</t>
        </is>
      </c>
      <c r="C1248" s="14" t="inlineStr">
        <is>
          <t>bio</t>
        </is>
      </c>
      <c r="D1248" s="14" t="inlineStr">
        <is>
          <t>foo</t>
        </is>
      </c>
      <c r="E1248" s="14" t="inlineStr">
        <is>
          <t>NEWPOLICY</t>
        </is>
      </c>
      <c r="F1248" s="92" t="inlineStr">
        <is>
          <t>NEWPOLICY(AE1657,AE1666,AE1675)</t>
        </is>
      </c>
    </row>
    <row r="1249">
      <c r="A1249" s="14" t="n">
        <v>1686</v>
      </c>
      <c r="B1249" s="14" t="inlineStr">
        <is>
          <t>xcp</t>
        </is>
      </c>
      <c r="C1249" s="14" t="inlineStr">
        <is>
          <t>coa</t>
        </is>
      </c>
      <c r="D1249" s="14" t="inlineStr">
        <is>
          <t>foo</t>
        </is>
      </c>
      <c r="E1249" s="14" t="inlineStr">
        <is>
          <t>XCARBON</t>
        </is>
      </c>
      <c r="F1249" s="92" t="inlineStr">
        <is>
          <t>XCARBON($D1686,$E1686,AE$321,$F1686,AE$324)</t>
        </is>
      </c>
    </row>
    <row r="1250">
      <c r="A1250" s="14" t="n">
        <v>1687</v>
      </c>
      <c r="B1250" s="14" t="inlineStr">
        <is>
          <t>xcp</t>
        </is>
      </c>
      <c r="C1250" s="14" t="inlineStr">
        <is>
          <t>nga</t>
        </is>
      </c>
      <c r="D1250" s="14" t="inlineStr">
        <is>
          <t>foo</t>
        </is>
      </c>
      <c r="E1250" s="14" t="inlineStr">
        <is>
          <t>XCARBON</t>
        </is>
      </c>
      <c r="F1250" s="92" t="inlineStr">
        <is>
          <t>XCARBON($D1687,$E1687,AE$321,$F1687,AE$324)</t>
        </is>
      </c>
    </row>
    <row r="1251">
      <c r="A1251" s="14" t="n">
        <v>1688</v>
      </c>
      <c r="B1251" s="14" t="inlineStr">
        <is>
          <t>xcp</t>
        </is>
      </c>
      <c r="C1251" s="14" t="inlineStr">
        <is>
          <t>gso</t>
        </is>
      </c>
      <c r="D1251" s="14" t="inlineStr">
        <is>
          <t>foo</t>
        </is>
      </c>
      <c r="E1251" s="14" t="inlineStr">
        <is>
          <t>XCARBON</t>
        </is>
      </c>
      <c r="F1251" s="92" t="inlineStr">
        <is>
          <t>XCARBON($D1688,$E1688,AE$321,$F1688,AE$324)</t>
        </is>
      </c>
    </row>
    <row r="1252">
      <c r="A1252" s="14" t="n">
        <v>1689</v>
      </c>
      <c r="B1252" s="14" t="inlineStr">
        <is>
          <t>xcp</t>
        </is>
      </c>
      <c r="C1252" s="14" t="inlineStr">
        <is>
          <t>die</t>
        </is>
      </c>
      <c r="D1252" s="14" t="inlineStr">
        <is>
          <t>foo</t>
        </is>
      </c>
      <c r="E1252" s="14" t="inlineStr">
        <is>
          <t>XCARBON</t>
        </is>
      </c>
      <c r="F1252" s="92" t="inlineStr">
        <is>
          <t>XCARBON($D1689,$E1689,AE$321,$F1689,AE$324)</t>
        </is>
      </c>
    </row>
    <row r="1253">
      <c r="A1253" s="14" t="n">
        <v>1690</v>
      </c>
      <c r="B1253" s="14" t="inlineStr">
        <is>
          <t>xcp</t>
        </is>
      </c>
      <c r="C1253" s="14" t="inlineStr">
        <is>
          <t>lpg</t>
        </is>
      </c>
      <c r="D1253" s="14" t="inlineStr">
        <is>
          <t>foo</t>
        </is>
      </c>
      <c r="E1253" s="14" t="inlineStr">
        <is>
          <t>XCARBON</t>
        </is>
      </c>
      <c r="F1253" s="92" t="inlineStr">
        <is>
          <t>XCARBON($D1690,$E1690,AE$321,$F1690,AE$324)</t>
        </is>
      </c>
    </row>
    <row r="1254">
      <c r="A1254" s="14" t="n">
        <v>1691</v>
      </c>
      <c r="B1254" s="14" t="inlineStr">
        <is>
          <t>xcp</t>
        </is>
      </c>
      <c r="C1254" s="14" t="inlineStr">
        <is>
          <t>ker</t>
        </is>
      </c>
      <c r="D1254" s="14" t="inlineStr">
        <is>
          <t>foo</t>
        </is>
      </c>
      <c r="E1254" s="14" t="inlineStr">
        <is>
          <t>XCARBON</t>
        </is>
      </c>
      <c r="F1254" s="92" t="inlineStr">
        <is>
          <t>XCARBON($D1691,$E1691,AE$321,$F1691,AE$324)</t>
        </is>
      </c>
    </row>
    <row r="1255">
      <c r="A1255" s="14" t="n">
        <v>1692</v>
      </c>
      <c r="B1255" s="14" t="inlineStr">
        <is>
          <t>xcp</t>
        </is>
      </c>
      <c r="C1255" s="14" t="inlineStr">
        <is>
          <t>oop</t>
        </is>
      </c>
      <c r="D1255" s="14" t="inlineStr">
        <is>
          <t>foo</t>
        </is>
      </c>
      <c r="E1255" s="14" t="inlineStr">
        <is>
          <t>XCARBON</t>
        </is>
      </c>
      <c r="F1255" s="92" t="inlineStr">
        <is>
          <t>XCARBON($D1692,$E1692,AE$321,$F1692,AE$324)</t>
        </is>
      </c>
    </row>
    <row r="1256">
      <c r="A1256" s="14" t="n">
        <v>1693</v>
      </c>
      <c r="B1256" s="14" t="inlineStr">
        <is>
          <t>xcp</t>
        </is>
      </c>
      <c r="C1256" s="14" t="inlineStr">
        <is>
          <t>bio</t>
        </is>
      </c>
      <c r="D1256" s="14" t="inlineStr">
        <is>
          <t>foo</t>
        </is>
      </c>
      <c r="E1256" s="14" t="inlineStr">
        <is>
          <t>XCARBON</t>
        </is>
      </c>
      <c r="F1256" s="92" t="inlineStr">
        <is>
          <t>XCARBON($D1693,$E1693,AE$321,$F1693,AE$324)</t>
        </is>
      </c>
    </row>
    <row r="1257">
      <c r="A1257" s="14" t="n">
        <v>1695</v>
      </c>
      <c r="B1257" s="14" t="inlineStr">
        <is>
          <t>xcpd</t>
        </is>
      </c>
      <c r="C1257" s="14" t="inlineStr">
        <is>
          <t>coa</t>
        </is>
      </c>
      <c r="D1257" s="14" t="inlineStr">
        <is>
          <t>foo</t>
        </is>
      </c>
      <c r="E1257" s="14" t="inlineStr">
        <is>
          <t>XCARBON</t>
        </is>
      </c>
      <c r="F1257" s="92" t="inlineStr">
        <is>
          <t>XCARBON($D1695,$E1695,(AE$321-AE$322),$F1695,(AE$324-AE$325))</t>
        </is>
      </c>
    </row>
    <row r="1258">
      <c r="A1258" s="14" t="n">
        <v>1696</v>
      </c>
      <c r="B1258" s="14" t="inlineStr">
        <is>
          <t>xcpd</t>
        </is>
      </c>
      <c r="C1258" s="14" t="inlineStr">
        <is>
          <t>nga</t>
        </is>
      </c>
      <c r="D1258" s="14" t="inlineStr">
        <is>
          <t>foo</t>
        </is>
      </c>
      <c r="E1258" s="14" t="inlineStr">
        <is>
          <t>XCARBON</t>
        </is>
      </c>
      <c r="F1258" s="92" t="inlineStr">
        <is>
          <t>XCARBON($D1696,$E1696,(AE$321-AE$322),$F1696,(AE$324-AE$325))</t>
        </is>
      </c>
    </row>
    <row r="1259">
      <c r="A1259" s="14" t="n">
        <v>1697</v>
      </c>
      <c r="B1259" s="14" t="inlineStr">
        <is>
          <t>xcpd</t>
        </is>
      </c>
      <c r="C1259" s="14" t="inlineStr">
        <is>
          <t>gso</t>
        </is>
      </c>
      <c r="D1259" s="14" t="inlineStr">
        <is>
          <t>foo</t>
        </is>
      </c>
      <c r="E1259" s="14" t="inlineStr">
        <is>
          <t>XCARBON</t>
        </is>
      </c>
      <c r="F1259" s="92" t="inlineStr">
        <is>
          <t>XCARBON($D1697,$E1697,(AE$321-AE$322),$F1697,(AE$324-AE$325))</t>
        </is>
      </c>
    </row>
    <row r="1260">
      <c r="A1260" s="14" t="n">
        <v>1698</v>
      </c>
      <c r="B1260" s="14" t="inlineStr">
        <is>
          <t>xcpd</t>
        </is>
      </c>
      <c r="C1260" s="14" t="inlineStr">
        <is>
          <t>die</t>
        </is>
      </c>
      <c r="D1260" s="14" t="inlineStr">
        <is>
          <t>foo</t>
        </is>
      </c>
      <c r="E1260" s="14" t="inlineStr">
        <is>
          <t>XCARBON</t>
        </is>
      </c>
      <c r="F1260" s="92" t="inlineStr">
        <is>
          <t>XCARBON($D1698,$E1698,(AE$321-AE$322),$F1698,(AE$324-AE$325))</t>
        </is>
      </c>
    </row>
    <row r="1261">
      <c r="A1261" s="14" t="n">
        <v>1699</v>
      </c>
      <c r="B1261" s="14" t="inlineStr">
        <is>
          <t>xcpd</t>
        </is>
      </c>
      <c r="C1261" s="14" t="inlineStr">
        <is>
          <t>lpg</t>
        </is>
      </c>
      <c r="D1261" s="14" t="inlineStr">
        <is>
          <t>foo</t>
        </is>
      </c>
      <c r="E1261" s="14" t="inlineStr">
        <is>
          <t>XCARBON</t>
        </is>
      </c>
      <c r="F1261" s="92" t="inlineStr">
        <is>
          <t>XCARBON($D1699,$E1699,(AE$321-AE$322),$F1699,(AE$324-AE$325))</t>
        </is>
      </c>
    </row>
    <row r="1262">
      <c r="A1262" s="14" t="n">
        <v>1700</v>
      </c>
      <c r="B1262" s="14" t="inlineStr">
        <is>
          <t>xcpd</t>
        </is>
      </c>
      <c r="C1262" s="14" t="inlineStr">
        <is>
          <t>ker</t>
        </is>
      </c>
      <c r="D1262" s="14" t="inlineStr">
        <is>
          <t>foo</t>
        </is>
      </c>
      <c r="E1262" s="14" t="inlineStr">
        <is>
          <t>XCARBON</t>
        </is>
      </c>
      <c r="F1262" s="92" t="inlineStr">
        <is>
          <t>XCARBON($D1700,$E1700,(AE$321-AE$322),$F1700,(AE$324-AE$325))</t>
        </is>
      </c>
    </row>
    <row r="1263">
      <c r="A1263" s="14" t="n">
        <v>1701</v>
      </c>
      <c r="B1263" s="14" t="inlineStr">
        <is>
          <t>xcpd</t>
        </is>
      </c>
      <c r="C1263" s="14" t="inlineStr">
        <is>
          <t>oop</t>
        </is>
      </c>
      <c r="D1263" s="14" t="inlineStr">
        <is>
          <t>foo</t>
        </is>
      </c>
      <c r="E1263" s="14" t="inlineStr">
        <is>
          <t>XCARBON</t>
        </is>
      </c>
      <c r="F1263" s="92" t="inlineStr">
        <is>
          <t>XCARBON($D1701,$E1701,(AE$321-AE$322),$F1701,(AE$324-AE$325))</t>
        </is>
      </c>
    </row>
    <row r="1264">
      <c r="A1264" s="14" t="n">
        <v>1702</v>
      </c>
      <c r="B1264" s="14" t="inlineStr">
        <is>
          <t>xcpd</t>
        </is>
      </c>
      <c r="C1264" s="14" t="inlineStr">
        <is>
          <t>bio</t>
        </is>
      </c>
      <c r="D1264" s="14" t="inlineStr">
        <is>
          <t>foo</t>
        </is>
      </c>
      <c r="E1264" s="14" t="inlineStr">
        <is>
          <t>XCARBON</t>
        </is>
      </c>
      <c r="F1264" s="92" t="inlineStr">
        <is>
          <t>XCARBON($D1702,$E1702,(AE$321-AE$322),$F1702,(AE$324-AE$325))</t>
        </is>
      </c>
    </row>
    <row r="1265">
      <c r="A1265" s="14" t="n">
        <v>1704</v>
      </c>
      <c r="B1265" s="14" t="inlineStr">
        <is>
          <t>atp</t>
        </is>
      </c>
      <c r="C1265" s="14" t="inlineStr">
        <is>
          <t>coa</t>
        </is>
      </c>
      <c r="D1265" s="14" t="inlineStr">
        <is>
          <t>foo</t>
        </is>
      </c>
      <c r="E1265" s="14" t="inlineStr">
        <is>
          <t>POSTTAX</t>
        </is>
      </c>
      <c r="F1265" s="92" t="inlineStr">
        <is>
          <t>POSTTAX(INDEX(AE$381:AE$392,$D1704),AE1677+AE1695,$E1704)</t>
        </is>
      </c>
    </row>
    <row r="1266">
      <c r="A1266" s="14" t="n">
        <v>1705</v>
      </c>
      <c r="B1266" s="14" t="inlineStr">
        <is>
          <t>atp</t>
        </is>
      </c>
      <c r="C1266" s="14" t="inlineStr">
        <is>
          <t>nga</t>
        </is>
      </c>
      <c r="D1266" s="14" t="inlineStr">
        <is>
          <t>foo</t>
        </is>
      </c>
      <c r="E1266" s="14" t="inlineStr">
        <is>
          <t>POSTTAX</t>
        </is>
      </c>
      <c r="F1266" s="92" t="inlineStr">
        <is>
          <t>POSTTAX(INDEX(AE$381:AE$392,$D1705),AE1678+AE1696,$E1705)</t>
        </is>
      </c>
    </row>
    <row r="1267">
      <c r="A1267" s="14" t="n">
        <v>1706</v>
      </c>
      <c r="B1267" s="14" t="inlineStr">
        <is>
          <t>atp</t>
        </is>
      </c>
      <c r="C1267" s="14" t="inlineStr">
        <is>
          <t>gso</t>
        </is>
      </c>
      <c r="D1267" s="14" t="inlineStr">
        <is>
          <t>foo</t>
        </is>
      </c>
      <c r="E1267" s="14" t="inlineStr">
        <is>
          <t>POSTTAX</t>
        </is>
      </c>
      <c r="F1267" s="92" t="inlineStr">
        <is>
          <t>POSTTAX(INDEX(AE$381:AE$392,$D1706),AE1679+AE1697,$E1706)</t>
        </is>
      </c>
    </row>
    <row r="1268">
      <c r="A1268" s="14" t="n">
        <v>1707</v>
      </c>
      <c r="B1268" s="14" t="inlineStr">
        <is>
          <t>atp</t>
        </is>
      </c>
      <c r="C1268" s="14" t="inlineStr">
        <is>
          <t>die</t>
        </is>
      </c>
      <c r="D1268" s="14" t="inlineStr">
        <is>
          <t>foo</t>
        </is>
      </c>
      <c r="E1268" s="14" t="inlineStr">
        <is>
          <t>POSTTAX</t>
        </is>
      </c>
      <c r="F1268" s="92" t="inlineStr">
        <is>
          <t>POSTTAX(INDEX(AE$381:AE$392,$D1707),AE1680+AE1698,$E1707)</t>
        </is>
      </c>
    </row>
    <row r="1269">
      <c r="A1269" s="14" t="n">
        <v>1708</v>
      </c>
      <c r="B1269" s="14" t="inlineStr">
        <is>
          <t>atp</t>
        </is>
      </c>
      <c r="C1269" s="14" t="inlineStr">
        <is>
          <t>lpg</t>
        </is>
      </c>
      <c r="D1269" s="14" t="inlineStr">
        <is>
          <t>foo</t>
        </is>
      </c>
      <c r="E1269" s="14" t="inlineStr">
        <is>
          <t>POSTTAX</t>
        </is>
      </c>
      <c r="F1269" s="92" t="inlineStr">
        <is>
          <t>POSTTAX(INDEX(AE$381:AE$392,$D1708),AE1681+AE1699,$E1708)</t>
        </is>
      </c>
    </row>
    <row r="1270">
      <c r="A1270" s="14" t="n">
        <v>1709</v>
      </c>
      <c r="B1270" s="14" t="inlineStr">
        <is>
          <t>atp</t>
        </is>
      </c>
      <c r="C1270" s="14" t="inlineStr">
        <is>
          <t>ker</t>
        </is>
      </c>
      <c r="D1270" s="14" t="inlineStr">
        <is>
          <t>foo</t>
        </is>
      </c>
      <c r="E1270" s="14" t="inlineStr">
        <is>
          <t>POSTTAX</t>
        </is>
      </c>
      <c r="F1270" s="92" t="inlineStr">
        <is>
          <t>POSTTAX(INDEX(AE$381:AE$392,$D1709),AE1682+AE1700,$E1709)</t>
        </is>
      </c>
    </row>
    <row r="1271">
      <c r="A1271" s="14" t="n">
        <v>1710</v>
      </c>
      <c r="B1271" s="14" t="inlineStr">
        <is>
          <t>atp</t>
        </is>
      </c>
      <c r="C1271" s="14" t="inlineStr">
        <is>
          <t>oop</t>
        </is>
      </c>
      <c r="D1271" s="14" t="inlineStr">
        <is>
          <t>foo</t>
        </is>
      </c>
      <c r="E1271" s="14" t="inlineStr">
        <is>
          <t>POSTTAX</t>
        </is>
      </c>
      <c r="F1271" s="92" t="inlineStr">
        <is>
          <t>POSTTAX(INDEX(AE$381:AE$392,$D1710),AE1683+AE1701,$E1710)</t>
        </is>
      </c>
    </row>
    <row r="1272">
      <c r="A1272" s="14" t="n">
        <v>1711</v>
      </c>
      <c r="B1272" s="14" t="inlineStr">
        <is>
          <t>atp</t>
        </is>
      </c>
      <c r="C1272" s="14" t="inlineStr">
        <is>
          <t>bio</t>
        </is>
      </c>
      <c r="D1272" s="14" t="inlineStr">
        <is>
          <t>foo</t>
        </is>
      </c>
      <c r="E1272" s="14" t="inlineStr">
        <is>
          <t>POSTTAX</t>
        </is>
      </c>
      <c r="F1272" s="92" t="inlineStr">
        <is>
          <t>POSTTAX(INDEX(AE$381:AE$392,$D1711),AE1684+AE1702,$E1711)</t>
        </is>
      </c>
    </row>
    <row r="1273">
      <c r="A1273" s="14" t="n">
        <v>1713</v>
      </c>
      <c r="B1273" s="14" t="inlineStr">
        <is>
          <t>shp</t>
        </is>
      </c>
      <c r="C1273" s="14" t="inlineStr">
        <is>
          <t>coa</t>
        </is>
      </c>
      <c r="D1273" s="14" t="inlineStr">
        <is>
          <t>foo</t>
        </is>
      </c>
      <c r="E1273" s="14" t="inlineStr">
        <is>
          <t>SHADOWGJ</t>
        </is>
      </c>
      <c r="F1273" s="92" t="inlineStr">
        <is>
          <t>SHADOWGJ(INDEX(AE$297:AE$313,$E1713),$D1713)</t>
        </is>
      </c>
    </row>
    <row r="1274">
      <c r="A1274" s="14" t="n">
        <v>1714</v>
      </c>
      <c r="B1274" s="14" t="inlineStr">
        <is>
          <t>shp</t>
        </is>
      </c>
      <c r="C1274" s="14" t="inlineStr">
        <is>
          <t>nga</t>
        </is>
      </c>
      <c r="D1274" s="14" t="inlineStr">
        <is>
          <t>foo</t>
        </is>
      </c>
      <c r="E1274" s="14" t="inlineStr">
        <is>
          <t>SHADOWGJ</t>
        </is>
      </c>
      <c r="F1274" s="92" t="inlineStr">
        <is>
          <t>SHADOWGJ(INDEX(AE$297:AE$313,$E1714),$D1714)</t>
        </is>
      </c>
    </row>
    <row r="1275">
      <c r="A1275" s="14" t="n">
        <v>1715</v>
      </c>
      <c r="B1275" s="14" t="inlineStr">
        <is>
          <t>shp</t>
        </is>
      </c>
      <c r="C1275" s="14" t="inlineStr">
        <is>
          <t>gso</t>
        </is>
      </c>
      <c r="D1275" s="14" t="inlineStr">
        <is>
          <t>foo</t>
        </is>
      </c>
      <c r="E1275" s="14" t="inlineStr">
        <is>
          <t>SHADOWGJ</t>
        </is>
      </c>
      <c r="F1275" s="92" t="inlineStr">
        <is>
          <t>SHADOWGJ(INDEX(AE$297:AE$313,$E1715),$D1715)</t>
        </is>
      </c>
    </row>
    <row r="1276">
      <c r="A1276" s="14" t="n">
        <v>1716</v>
      </c>
      <c r="B1276" s="14" t="inlineStr">
        <is>
          <t>shp</t>
        </is>
      </c>
      <c r="C1276" s="14" t="inlineStr">
        <is>
          <t>die</t>
        </is>
      </c>
      <c r="D1276" s="14" t="inlineStr">
        <is>
          <t>foo</t>
        </is>
      </c>
      <c r="E1276" s="14" t="inlineStr">
        <is>
          <t>SHADOWGJ</t>
        </is>
      </c>
      <c r="F1276" s="92" t="inlineStr">
        <is>
          <t>SHADOWGJ(INDEX(AE$297:AE$313,$E1716),$D1716)</t>
        </is>
      </c>
    </row>
    <row r="1277">
      <c r="A1277" s="14" t="n">
        <v>1717</v>
      </c>
      <c r="B1277" s="14" t="inlineStr">
        <is>
          <t>shp</t>
        </is>
      </c>
      <c r="C1277" s="14" t="inlineStr">
        <is>
          <t>lpg</t>
        </is>
      </c>
      <c r="D1277" s="14" t="inlineStr">
        <is>
          <t>foo</t>
        </is>
      </c>
      <c r="E1277" s="14" t="inlineStr">
        <is>
          <t>SHADOWGJ</t>
        </is>
      </c>
      <c r="F1277" s="92" t="inlineStr">
        <is>
          <t>SHADOWGJ(INDEX(AE$297:AE$313,$E1717),$D1717)</t>
        </is>
      </c>
    </row>
    <row r="1278">
      <c r="A1278" s="14" t="n">
        <v>1718</v>
      </c>
      <c r="B1278" s="14" t="inlineStr">
        <is>
          <t>shp</t>
        </is>
      </c>
      <c r="C1278" s="14" t="inlineStr">
        <is>
          <t>ker</t>
        </is>
      </c>
      <c r="D1278" s="14" t="inlineStr">
        <is>
          <t>foo</t>
        </is>
      </c>
      <c r="E1278" s="14" t="inlineStr">
        <is>
          <t>SHADOWGJ</t>
        </is>
      </c>
      <c r="F1278" s="92" t="inlineStr">
        <is>
          <t>SHADOWGJ(INDEX(AE$297:AE$313,$E1718),$D1718)</t>
        </is>
      </c>
    </row>
    <row r="1279">
      <c r="A1279" s="14" t="n">
        <v>1719</v>
      </c>
      <c r="B1279" s="14" t="inlineStr">
        <is>
          <t>shp</t>
        </is>
      </c>
      <c r="C1279" s="14" t="inlineStr">
        <is>
          <t>oop</t>
        </is>
      </c>
      <c r="D1279" s="14" t="inlineStr">
        <is>
          <t>foo</t>
        </is>
      </c>
      <c r="E1279" s="14" t="inlineStr">
        <is>
          <t>SHADOWGJ</t>
        </is>
      </c>
      <c r="F1279" s="92" t="inlineStr">
        <is>
          <t>SHADOWGJ(INDEX(AE$297:AE$313,$E1719),$D1719)</t>
        </is>
      </c>
    </row>
    <row r="1280">
      <c r="A1280" s="14" t="n">
        <v>1720</v>
      </c>
      <c r="B1280" s="14" t="inlineStr">
        <is>
          <t>shp</t>
        </is>
      </c>
      <c r="C1280" s="14" t="inlineStr">
        <is>
          <t>bio</t>
        </is>
      </c>
      <c r="D1280" s="14" t="inlineStr">
        <is>
          <t>foo</t>
        </is>
      </c>
      <c r="E1280" s="14" t="inlineStr">
        <is>
          <t>SHADOWGJ</t>
        </is>
      </c>
      <c r="F1280" s="92" t="inlineStr">
        <is>
          <t>SHADOWGJ(INDEX(AE$297:AE$313,$E1720),$D1720)</t>
        </is>
      </c>
    </row>
    <row r="1281">
      <c r="A1281" s="14" t="n">
        <v>1722</v>
      </c>
      <c r="B1281" s="14" t="inlineStr">
        <is>
          <t>ener</t>
        </is>
      </c>
      <c r="C1281" s="14" t="inlineStr">
        <is>
          <t>coa</t>
        </is>
      </c>
      <c r="D1281" s="14" t="inlineStr">
        <is>
          <t>foo</t>
        </is>
      </c>
      <c r="E1281" s="14" t="inlineStr">
        <is>
          <t>FUELUSE</t>
        </is>
      </c>
      <c r="F1281" s="92" t="inlineStr">
        <is>
          <t>FUELUSE(AD1722,AE1704,AD1704,AE1713,AD1713,AE$7,$D1722,$E1722,$F1722,$G1722)</t>
        </is>
      </c>
    </row>
    <row r="1282">
      <c r="A1282" s="14" t="n">
        <v>1723</v>
      </c>
      <c r="B1282" s="14" t="inlineStr">
        <is>
          <t>ener</t>
        </is>
      </c>
      <c r="C1282" s="14" t="inlineStr">
        <is>
          <t>nga</t>
        </is>
      </c>
      <c r="D1282" s="14" t="inlineStr">
        <is>
          <t>foo</t>
        </is>
      </c>
      <c r="E1282" s="14" t="inlineStr">
        <is>
          <t>FUELUSE</t>
        </is>
      </c>
      <c r="F1282" s="92" t="inlineStr">
        <is>
          <t>FUELUSE(AD1723,AE1705,AD1705,AE1714,AD1714,AE$7,$D1723,$E1723,$F1723,$G1723)</t>
        </is>
      </c>
    </row>
    <row r="1283">
      <c r="A1283" s="14" t="n">
        <v>1724</v>
      </c>
      <c r="B1283" s="14" t="inlineStr">
        <is>
          <t>ener</t>
        </is>
      </c>
      <c r="C1283" s="14" t="inlineStr">
        <is>
          <t>gso</t>
        </is>
      </c>
      <c r="D1283" s="14" t="inlineStr">
        <is>
          <t>foo</t>
        </is>
      </c>
      <c r="E1283" s="14" t="inlineStr">
        <is>
          <t>FUELUSE</t>
        </is>
      </c>
      <c r="F1283" s="92" t="inlineStr">
        <is>
          <t>FUELUSE(AD1724,AE1706,AD1706,AE1715,AD1715,AE$7,$D1724,$E1724,$F1724,$G1724)</t>
        </is>
      </c>
    </row>
    <row r="1284">
      <c r="A1284" s="14" t="n">
        <v>1725</v>
      </c>
      <c r="B1284" s="14" t="inlineStr">
        <is>
          <t>ener</t>
        </is>
      </c>
      <c r="C1284" s="14" t="inlineStr">
        <is>
          <t>die</t>
        </is>
      </c>
      <c r="D1284" s="14" t="inlineStr">
        <is>
          <t>foo</t>
        </is>
      </c>
      <c r="E1284" s="14" t="inlineStr">
        <is>
          <t>FUELUSE</t>
        </is>
      </c>
      <c r="F1284" s="92" t="inlineStr">
        <is>
          <t>FUELUSE(AD1725,AE1707,AD1707,AE1716,AD1716,AE$7,$D1725,$E1725,$F1725,$G1725)</t>
        </is>
      </c>
    </row>
    <row r="1285">
      <c r="A1285" s="14" t="n">
        <v>1726</v>
      </c>
      <c r="B1285" s="14" t="inlineStr">
        <is>
          <t>ener</t>
        </is>
      </c>
      <c r="C1285" s="14" t="inlineStr">
        <is>
          <t>lpg</t>
        </is>
      </c>
      <c r="D1285" s="14" t="inlineStr">
        <is>
          <t>foo</t>
        </is>
      </c>
      <c r="E1285" s="14" t="inlineStr">
        <is>
          <t>FUELUSE</t>
        </is>
      </c>
      <c r="F1285" s="92" t="inlineStr">
        <is>
          <t>FUELUSE(AD1726,AE1708,AD1708,AE1717,AD1717,AE$7,$D1726,$E1726,$F1726,$G1726)</t>
        </is>
      </c>
    </row>
    <row r="1286">
      <c r="A1286" s="14" t="n">
        <v>1727</v>
      </c>
      <c r="B1286" s="14" t="inlineStr">
        <is>
          <t>ener</t>
        </is>
      </c>
      <c r="C1286" s="14" t="inlineStr">
        <is>
          <t>ker</t>
        </is>
      </c>
      <c r="D1286" s="14" t="inlineStr">
        <is>
          <t>foo</t>
        </is>
      </c>
      <c r="E1286" s="14" t="inlineStr">
        <is>
          <t>FUELUSE</t>
        </is>
      </c>
      <c r="F1286" s="92" t="inlineStr">
        <is>
          <t>FUELUSE(AD1727,AE1709,AD1709,AE1718,AD1718,AE$7,$D1727,$E1727,$F1727,$G1727)</t>
        </is>
      </c>
    </row>
    <row r="1287">
      <c r="A1287" s="14" t="n">
        <v>1728</v>
      </c>
      <c r="B1287" s="14" t="inlineStr">
        <is>
          <t>ener</t>
        </is>
      </c>
      <c r="C1287" s="14" t="inlineStr">
        <is>
          <t>oop</t>
        </is>
      </c>
      <c r="D1287" s="14" t="inlineStr">
        <is>
          <t>foo</t>
        </is>
      </c>
      <c r="E1287" s="14" t="inlineStr">
        <is>
          <t>FUELUSE</t>
        </is>
      </c>
      <c r="F1287" s="92" t="inlineStr">
        <is>
          <t>FUELUSE(AD1728,AE1710,AD1710,AE1719,AD1719,AE$7,$D1728,$E1728,$F1728,$G1728)</t>
        </is>
      </c>
    </row>
    <row r="1288">
      <c r="A1288" s="14" t="n">
        <v>1729</v>
      </c>
      <c r="B1288" s="14" t="inlineStr">
        <is>
          <t>ener</t>
        </is>
      </c>
      <c r="C1288" s="14" t="inlineStr">
        <is>
          <t>bio</t>
        </is>
      </c>
      <c r="D1288" s="14" t="inlineStr">
        <is>
          <t>foo</t>
        </is>
      </c>
      <c r="E1288" s="14" t="inlineStr">
        <is>
          <t>FUELUSE</t>
        </is>
      </c>
      <c r="F1288" s="92" t="inlineStr">
        <is>
          <t>FUELUSE(AD1729,AE1711,AD1711,AE1720,AD1720,AE$7,$D1729,$E1729,$F1729,$G1729)</t>
        </is>
      </c>
    </row>
    <row r="1289">
      <c r="A1289" s="14" t="n">
        <v>1731</v>
      </c>
      <c r="B1289" s="14" t="inlineStr">
        <is>
          <t>co2</t>
        </is>
      </c>
      <c r="C1289" s="14" t="inlineStr">
        <is>
          <t>coa</t>
        </is>
      </c>
      <c r="D1289" s="14" t="inlineStr">
        <is>
          <t>foo</t>
        </is>
      </c>
      <c r="E1289" s="14" t="inlineStr">
        <is>
          <t>EMISSIONS</t>
        </is>
      </c>
      <c r="F1289" s="92" t="inlineStr">
        <is>
          <t>EMISSIONS(AE1722,Settings!$C$13,$D1731)</t>
        </is>
      </c>
    </row>
    <row r="1290">
      <c r="A1290" s="14" t="n">
        <v>1732</v>
      </c>
      <c r="B1290" s="14" t="inlineStr">
        <is>
          <t>co2</t>
        </is>
      </c>
      <c r="C1290" s="14" t="inlineStr">
        <is>
          <t>nga</t>
        </is>
      </c>
      <c r="D1290" s="14" t="inlineStr">
        <is>
          <t>foo</t>
        </is>
      </c>
      <c r="E1290" s="14" t="inlineStr">
        <is>
          <t>EMISSIONS</t>
        </is>
      </c>
      <c r="F1290" s="92" t="inlineStr">
        <is>
          <t>EMISSIONS(AE1723,Settings!$C$13,$D1732)</t>
        </is>
      </c>
    </row>
    <row r="1291">
      <c r="A1291" s="14" t="n">
        <v>1733</v>
      </c>
      <c r="B1291" s="14" t="inlineStr">
        <is>
          <t>co2</t>
        </is>
      </c>
      <c r="C1291" s="14" t="inlineStr">
        <is>
          <t>gso</t>
        </is>
      </c>
      <c r="D1291" s="14" t="inlineStr">
        <is>
          <t>foo</t>
        </is>
      </c>
      <c r="E1291" s="14" t="inlineStr">
        <is>
          <t>EMISSIONS</t>
        </is>
      </c>
      <c r="F1291" s="92" t="inlineStr">
        <is>
          <t>EMISSIONS(AE1724,Settings!$C$13,$D1733)</t>
        </is>
      </c>
    </row>
    <row r="1292">
      <c r="A1292" s="14" t="n">
        <v>1734</v>
      </c>
      <c r="B1292" s="14" t="inlineStr">
        <is>
          <t>co2</t>
        </is>
      </c>
      <c r="C1292" s="14" t="inlineStr">
        <is>
          <t>die</t>
        </is>
      </c>
      <c r="D1292" s="14" t="inlineStr">
        <is>
          <t>foo</t>
        </is>
      </c>
      <c r="E1292" s="14" t="inlineStr">
        <is>
          <t>EMISSIONS</t>
        </is>
      </c>
      <c r="F1292" s="92" t="inlineStr">
        <is>
          <t>EMISSIONS(AE1725,Settings!$C$13,$D1734)</t>
        </is>
      </c>
    </row>
    <row r="1293">
      <c r="A1293" s="14" t="n">
        <v>1735</v>
      </c>
      <c r="B1293" s="14" t="inlineStr">
        <is>
          <t>co2</t>
        </is>
      </c>
      <c r="C1293" s="14" t="inlineStr">
        <is>
          <t>lpg</t>
        </is>
      </c>
      <c r="D1293" s="14" t="inlineStr">
        <is>
          <t>foo</t>
        </is>
      </c>
      <c r="E1293" s="14" t="inlineStr">
        <is>
          <t>EMISSIONS</t>
        </is>
      </c>
      <c r="F1293" s="92" t="inlineStr">
        <is>
          <t>EMISSIONS(AE1726,Settings!$C$13,$D1735)</t>
        </is>
      </c>
    </row>
    <row r="1294">
      <c r="A1294" s="14" t="n">
        <v>1736</v>
      </c>
      <c r="B1294" s="14" t="inlineStr">
        <is>
          <t>co2</t>
        </is>
      </c>
      <c r="C1294" s="14" t="inlineStr">
        <is>
          <t>ker</t>
        </is>
      </c>
      <c r="D1294" s="14" t="inlineStr">
        <is>
          <t>foo</t>
        </is>
      </c>
      <c r="E1294" s="14" t="inlineStr">
        <is>
          <t>EMISSIONS</t>
        </is>
      </c>
      <c r="F1294" s="92" t="inlineStr">
        <is>
          <t>EMISSIONS(AE1727,Settings!$C$13,$D1736)</t>
        </is>
      </c>
    </row>
    <row r="1295">
      <c r="A1295" s="14" t="n">
        <v>1737</v>
      </c>
      <c r="B1295" s="14" t="inlineStr">
        <is>
          <t>co2</t>
        </is>
      </c>
      <c r="C1295" s="14" t="inlineStr">
        <is>
          <t>oop</t>
        </is>
      </c>
      <c r="D1295" s="14" t="inlineStr">
        <is>
          <t>foo</t>
        </is>
      </c>
      <c r="E1295" s="14" t="inlineStr">
        <is>
          <t>EMISSIONS</t>
        </is>
      </c>
      <c r="F1295" s="92" t="inlineStr">
        <is>
          <t>EMISSIONS(AE1728,Settings!$C$13,$D1737)</t>
        </is>
      </c>
    </row>
    <row r="1296">
      <c r="A1296" s="14" t="n">
        <v>1738</v>
      </c>
      <c r="B1296" s="14" t="inlineStr">
        <is>
          <t>co2</t>
        </is>
      </c>
      <c r="C1296" s="14" t="inlineStr">
        <is>
          <t>bio</t>
        </is>
      </c>
      <c r="D1296" s="14" t="inlineStr">
        <is>
          <t>foo</t>
        </is>
      </c>
      <c r="E1296" s="14" t="inlineStr">
        <is>
          <t>EMISSIONS</t>
        </is>
      </c>
      <c r="F1296" s="92" t="inlineStr">
        <is>
          <t>EMISSIONS(AE1729,Settings!$C$13,$D1738)</t>
        </is>
      </c>
    </row>
    <row r="1297">
      <c r="A1297" s="14" t="n">
        <v>1740</v>
      </c>
      <c r="B1297" s="14" t="inlineStr">
        <is>
          <t>rtx</t>
        </is>
      </c>
      <c r="C1297" s="14" t="inlineStr">
        <is>
          <t>coa</t>
        </is>
      </c>
      <c r="D1297" s="14" t="inlineStr">
        <is>
          <t>foo</t>
        </is>
      </c>
      <c r="E1297" s="14" t="inlineStr">
        <is>
          <t>REVENUE</t>
        </is>
      </c>
      <c r="F1297" s="92" t="inlineStr">
        <is>
          <t>REVENUE(AE1722,Settings!$C$13,INDEX(AE$407:AE$418,$D1740)+INDEX(AE$394:AE$405,$D1740)+AE1695*(1+$E1740))</t>
        </is>
      </c>
    </row>
    <row r="1298">
      <c r="A1298" s="14" t="n">
        <v>1741</v>
      </c>
      <c r="B1298" s="14" t="inlineStr">
        <is>
          <t>rtx</t>
        </is>
      </c>
      <c r="C1298" s="14" t="inlineStr">
        <is>
          <t>nga</t>
        </is>
      </c>
      <c r="D1298" s="14" t="inlineStr">
        <is>
          <t>foo</t>
        </is>
      </c>
      <c r="E1298" s="14" t="inlineStr">
        <is>
          <t>REVENUE</t>
        </is>
      </c>
      <c r="F1298" s="92" t="inlineStr">
        <is>
          <t>REVENUE(AE1723,Settings!$C$13,INDEX(AE$407:AE$418,$D1741)+INDEX(AE$394:AE$405,$D1741)+AE1696*(1+$E1741))</t>
        </is>
      </c>
    </row>
    <row r="1299">
      <c r="A1299" s="14" t="n">
        <v>1742</v>
      </c>
      <c r="B1299" s="14" t="inlineStr">
        <is>
          <t>rtx</t>
        </is>
      </c>
      <c r="C1299" s="14" t="inlineStr">
        <is>
          <t>gso</t>
        </is>
      </c>
      <c r="D1299" s="14" t="inlineStr">
        <is>
          <t>foo</t>
        </is>
      </c>
      <c r="E1299" s="14" t="inlineStr">
        <is>
          <t>REVENUE</t>
        </is>
      </c>
      <c r="F1299" s="92" t="inlineStr">
        <is>
          <t>REVENUE(AE1724,Settings!$C$13,INDEX(AE$407:AE$418,$D1742)+INDEX(AE$394:AE$405,$D1742)+AE1697*(1+$E1742))</t>
        </is>
      </c>
    </row>
    <row r="1300">
      <c r="A1300" s="14" t="n">
        <v>1743</v>
      </c>
      <c r="B1300" s="14" t="inlineStr">
        <is>
          <t>rtx</t>
        </is>
      </c>
      <c r="C1300" s="14" t="inlineStr">
        <is>
          <t>die</t>
        </is>
      </c>
      <c r="D1300" s="14" t="inlineStr">
        <is>
          <t>foo</t>
        </is>
      </c>
      <c r="E1300" s="14" t="inlineStr">
        <is>
          <t>REVENUE</t>
        </is>
      </c>
      <c r="F1300" s="92" t="inlineStr">
        <is>
          <t>REVENUE(AE1725,Settings!$C$13,INDEX(AE$407:AE$418,$D1743)+INDEX(AE$394:AE$405,$D1743)+AE1698*(1+$E1743))</t>
        </is>
      </c>
    </row>
    <row r="1301">
      <c r="A1301" s="14" t="n">
        <v>1744</v>
      </c>
      <c r="B1301" s="14" t="inlineStr">
        <is>
          <t>rtx</t>
        </is>
      </c>
      <c r="C1301" s="14" t="inlineStr">
        <is>
          <t>lpg</t>
        </is>
      </c>
      <c r="D1301" s="14" t="inlineStr">
        <is>
          <t>foo</t>
        </is>
      </c>
      <c r="E1301" s="14" t="inlineStr">
        <is>
          <t>REVENUE</t>
        </is>
      </c>
      <c r="F1301" s="92" t="inlineStr">
        <is>
          <t>REVENUE(AE1726,Settings!$C$13,INDEX(AE$407:AE$418,$D1744)+INDEX(AE$394:AE$405,$D1744)+AE1699*(1+$E1744))</t>
        </is>
      </c>
    </row>
    <row r="1302">
      <c r="A1302" s="14" t="n">
        <v>1745</v>
      </c>
      <c r="B1302" s="14" t="inlineStr">
        <is>
          <t>rtx</t>
        </is>
      </c>
      <c r="C1302" s="14" t="inlineStr">
        <is>
          <t>ker</t>
        </is>
      </c>
      <c r="D1302" s="14" t="inlineStr">
        <is>
          <t>foo</t>
        </is>
      </c>
      <c r="E1302" s="14" t="inlineStr">
        <is>
          <t>REVENUE</t>
        </is>
      </c>
      <c r="F1302" s="92" t="inlineStr">
        <is>
          <t>REVENUE(AE1727,Settings!$C$13,INDEX(AE$407:AE$418,$D1745)+INDEX(AE$394:AE$405,$D1745)+AE1700*(1+$E1745))</t>
        </is>
      </c>
    </row>
    <row r="1303">
      <c r="A1303" s="14" t="n">
        <v>1746</v>
      </c>
      <c r="B1303" s="14" t="inlineStr">
        <is>
          <t>rtx</t>
        </is>
      </c>
      <c r="C1303" s="14" t="inlineStr">
        <is>
          <t>oop</t>
        </is>
      </c>
      <c r="D1303" s="14" t="inlineStr">
        <is>
          <t>foo</t>
        </is>
      </c>
      <c r="E1303" s="14" t="inlineStr">
        <is>
          <t>REVENUE</t>
        </is>
      </c>
      <c r="F1303" s="92" t="inlineStr">
        <is>
          <t>REVENUE(AE1728,Settings!$C$13,INDEX(AE$407:AE$418,$D1746)+INDEX(AE$394:AE$405,$D1746)+AE1701*(1+$E1746))</t>
        </is>
      </c>
    </row>
    <row r="1304">
      <c r="A1304" s="14" t="n">
        <v>1747</v>
      </c>
      <c r="B1304" s="14" t="inlineStr">
        <is>
          <t>rtx</t>
        </is>
      </c>
      <c r="C1304" s="14" t="inlineStr">
        <is>
          <t>bio</t>
        </is>
      </c>
      <c r="D1304" s="14" t="inlineStr">
        <is>
          <t>foo</t>
        </is>
      </c>
      <c r="E1304" s="14" t="inlineStr">
        <is>
          <t>REVENUE</t>
        </is>
      </c>
      <c r="F1304" s="92" t="inlineStr">
        <is>
          <t>REVENUE(AE1729,Settings!$C$13,INDEX(AE$407:AE$418,$D1747)+INDEX(AE$394:AE$405,$D1747)+AE1702*(1+$E1747))</t>
        </is>
      </c>
    </row>
    <row r="1305">
      <c r="A1305" s="14" t="n">
        <v>1749</v>
      </c>
      <c r="B1305" s="14" t="inlineStr">
        <is>
          <t>rsub</t>
        </is>
      </c>
      <c r="C1305" s="14" t="inlineStr">
        <is>
          <t>coa</t>
        </is>
      </c>
      <c r="D1305" s="14" t="inlineStr">
        <is>
          <t>foo</t>
        </is>
      </c>
      <c r="E1305" s="14" t="inlineStr">
        <is>
          <t>REVENUE</t>
        </is>
      </c>
      <c r="F1305" s="92" t="inlineStr">
        <is>
          <t>REVENUE(AE1722,Settings!$C$13,INDEX(AE$420:AE$431,$D1749))</t>
        </is>
      </c>
    </row>
    <row r="1306">
      <c r="A1306" s="14" t="n">
        <v>1750</v>
      </c>
      <c r="B1306" s="14" t="inlineStr">
        <is>
          <t>rsub</t>
        </is>
      </c>
      <c r="C1306" s="14" t="inlineStr">
        <is>
          <t>nga</t>
        </is>
      </c>
      <c r="D1306" s="14" t="inlineStr">
        <is>
          <t>foo</t>
        </is>
      </c>
      <c r="E1306" s="14" t="inlineStr">
        <is>
          <t>REVENUE</t>
        </is>
      </c>
      <c r="F1306" s="92" t="inlineStr">
        <is>
          <t>REVENUE(AE1723,Settings!$C$13,INDEX(AE$420:AE$431,$D1750))</t>
        </is>
      </c>
    </row>
    <row r="1307">
      <c r="A1307" s="14" t="n">
        <v>1751</v>
      </c>
      <c r="B1307" s="14" t="inlineStr">
        <is>
          <t>rsub</t>
        </is>
      </c>
      <c r="C1307" s="14" t="inlineStr">
        <is>
          <t>gso</t>
        </is>
      </c>
      <c r="D1307" s="14" t="inlineStr">
        <is>
          <t>foo</t>
        </is>
      </c>
      <c r="E1307" s="14" t="inlineStr">
        <is>
          <t>REVENUE</t>
        </is>
      </c>
      <c r="F1307" s="92" t="inlineStr">
        <is>
          <t>REVENUE(AE1724,Settings!$C$13,INDEX(AE$420:AE$431,$D1751))</t>
        </is>
      </c>
    </row>
    <row r="1308">
      <c r="A1308" s="14" t="n">
        <v>1752</v>
      </c>
      <c r="B1308" s="14" t="inlineStr">
        <is>
          <t>rsub</t>
        </is>
      </c>
      <c r="C1308" s="14" t="inlineStr">
        <is>
          <t>die</t>
        </is>
      </c>
      <c r="D1308" s="14" t="inlineStr">
        <is>
          <t>foo</t>
        </is>
      </c>
      <c r="E1308" s="14" t="inlineStr">
        <is>
          <t>REVENUE</t>
        </is>
      </c>
      <c r="F1308" s="92" t="inlineStr">
        <is>
          <t>REVENUE(AE1725,Settings!$C$13,INDEX(AE$420:AE$431,$D1752))</t>
        </is>
      </c>
    </row>
    <row r="1309">
      <c r="A1309" s="14" t="n">
        <v>1753</v>
      </c>
      <c r="B1309" s="14" t="inlineStr">
        <is>
          <t>rsub</t>
        </is>
      </c>
      <c r="C1309" s="14" t="inlineStr">
        <is>
          <t>lpg</t>
        </is>
      </c>
      <c r="D1309" s="14" t="inlineStr">
        <is>
          <t>foo</t>
        </is>
      </c>
      <c r="E1309" s="14" t="inlineStr">
        <is>
          <t>REVENUE</t>
        </is>
      </c>
      <c r="F1309" s="92" t="inlineStr">
        <is>
          <t>REVENUE(AE1726,Settings!$C$13,INDEX(AE$420:AE$431,$D1753))</t>
        </is>
      </c>
    </row>
    <row r="1310">
      <c r="A1310" s="14" t="n">
        <v>1754</v>
      </c>
      <c r="B1310" s="14" t="inlineStr">
        <is>
          <t>rsub</t>
        </is>
      </c>
      <c r="C1310" s="14" t="inlineStr">
        <is>
          <t>ker</t>
        </is>
      </c>
      <c r="D1310" s="14" t="inlineStr">
        <is>
          <t>foo</t>
        </is>
      </c>
      <c r="E1310" s="14" t="inlineStr">
        <is>
          <t>REVENUE</t>
        </is>
      </c>
      <c r="F1310" s="92" t="inlineStr">
        <is>
          <t>REVENUE(AE1727,Settings!$C$13,INDEX(AE$420:AE$431,$D1754))</t>
        </is>
      </c>
    </row>
    <row r="1311">
      <c r="A1311" s="14" t="n">
        <v>1755</v>
      </c>
      <c r="B1311" s="14" t="inlineStr">
        <is>
          <t>rsub</t>
        </is>
      </c>
      <c r="C1311" s="14" t="inlineStr">
        <is>
          <t>oop</t>
        </is>
      </c>
      <c r="D1311" s="14" t="inlineStr">
        <is>
          <t>foo</t>
        </is>
      </c>
      <c r="E1311" s="14" t="inlineStr">
        <is>
          <t>REVENUE</t>
        </is>
      </c>
      <c r="F1311" s="92" t="inlineStr">
        <is>
          <t>REVENUE(AE1728,Settings!$C$13,INDEX(AE$420:AE$431,$D1755))</t>
        </is>
      </c>
    </row>
    <row r="1312">
      <c r="A1312" s="14" t="n">
        <v>1756</v>
      </c>
      <c r="B1312" s="14" t="inlineStr">
        <is>
          <t>rsub</t>
        </is>
      </c>
      <c r="C1312" s="14" t="inlineStr">
        <is>
          <t>bio</t>
        </is>
      </c>
      <c r="D1312" s="14" t="inlineStr">
        <is>
          <t>foo</t>
        </is>
      </c>
      <c r="E1312" s="14" t="inlineStr">
        <is>
          <t>REVENUE</t>
        </is>
      </c>
      <c r="F1312" s="92" t="inlineStr">
        <is>
          <t>REVENUE(AE1729,Settings!$C$13,INDEX(AE$420:AE$431,$D1756))</t>
        </is>
      </c>
    </row>
    <row r="1313">
      <c r="A1313" s="14" t="n">
        <v>1758</v>
      </c>
      <c r="B1313" s="14" t="inlineStr">
        <is>
          <t>rnew</t>
        </is>
      </c>
      <c r="C1313" s="14" t="inlineStr">
        <is>
          <t>coa</t>
        </is>
      </c>
      <c r="D1313" s="14" t="inlineStr">
        <is>
          <t>foo</t>
        </is>
      </c>
      <c r="E1313" s="14" t="inlineStr">
        <is>
          <t>REVENUE</t>
        </is>
      </c>
      <c r="F1313" s="92" t="inlineStr">
        <is>
          <t>REVENUE(AE1722,Settings!$C$13,NEWREVRATE(AE1650,AE1668,AE1659,AE$201,AE1677,$D1758))</t>
        </is>
      </c>
    </row>
    <row r="1314">
      <c r="A1314" s="14" t="n">
        <v>1759</v>
      </c>
      <c r="B1314" s="14" t="inlineStr">
        <is>
          <t>rnew</t>
        </is>
      </c>
      <c r="C1314" s="14" t="inlineStr">
        <is>
          <t>nga</t>
        </is>
      </c>
      <c r="D1314" s="14" t="inlineStr">
        <is>
          <t>foo</t>
        </is>
      </c>
      <c r="E1314" s="14" t="inlineStr">
        <is>
          <t>REVENUE</t>
        </is>
      </c>
      <c r="F1314" s="92" t="inlineStr">
        <is>
          <t>REVENUE(AE1723,Settings!$C$13,NEWREVRATE(AE1651,AE1669,AE1660,AE$201,AE1678,$D1759))</t>
        </is>
      </c>
    </row>
    <row r="1315">
      <c r="A1315" s="14" t="n">
        <v>1760</v>
      </c>
      <c r="B1315" s="14" t="inlineStr">
        <is>
          <t>rnew</t>
        </is>
      </c>
      <c r="C1315" s="14" t="inlineStr">
        <is>
          <t>gso</t>
        </is>
      </c>
      <c r="D1315" s="14" t="inlineStr">
        <is>
          <t>foo</t>
        </is>
      </c>
      <c r="E1315" s="14" t="inlineStr">
        <is>
          <t>REVENUE</t>
        </is>
      </c>
      <c r="F1315" s="92" t="inlineStr">
        <is>
          <t>REVENUE(AE1724,Settings!$C$13,NEWREVRATE(AE1652,AE1670,AE1661,AE$201,AE1679,$D1760))</t>
        </is>
      </c>
    </row>
    <row r="1316">
      <c r="A1316" s="14" t="n">
        <v>1761</v>
      </c>
      <c r="B1316" s="14" t="inlineStr">
        <is>
          <t>rnew</t>
        </is>
      </c>
      <c r="C1316" s="14" t="inlineStr">
        <is>
          <t>die</t>
        </is>
      </c>
      <c r="D1316" s="14" t="inlineStr">
        <is>
          <t>foo</t>
        </is>
      </c>
      <c r="E1316" s="14" t="inlineStr">
        <is>
          <t>REVENUE</t>
        </is>
      </c>
      <c r="F1316" s="92" t="inlineStr">
        <is>
          <t>REVENUE(AE1725,Settings!$C$13,NEWREVRATE(AE1653,AE1671,AE1662,AE$201,AE1680,$D1761))</t>
        </is>
      </c>
    </row>
    <row r="1317">
      <c r="A1317" s="14" t="n">
        <v>1762</v>
      </c>
      <c r="B1317" s="14" t="inlineStr">
        <is>
          <t>rnew</t>
        </is>
      </c>
      <c r="C1317" s="14" t="inlineStr">
        <is>
          <t>lpg</t>
        </is>
      </c>
      <c r="D1317" s="14" t="inlineStr">
        <is>
          <t>foo</t>
        </is>
      </c>
      <c r="E1317" s="14" t="inlineStr">
        <is>
          <t>REVENUE</t>
        </is>
      </c>
      <c r="F1317" s="92" t="inlineStr">
        <is>
          <t>REVENUE(AE1726,Settings!$C$13,NEWREVRATE(AE1654,AE1672,AE1663,AE$201,AE1681,$D1762))</t>
        </is>
      </c>
    </row>
    <row r="1318">
      <c r="A1318" s="14" t="n">
        <v>1763</v>
      </c>
      <c r="B1318" s="14" t="inlineStr">
        <is>
          <t>rnew</t>
        </is>
      </c>
      <c r="C1318" s="14" t="inlineStr">
        <is>
          <t>ker</t>
        </is>
      </c>
      <c r="D1318" s="14" t="inlineStr">
        <is>
          <t>foo</t>
        </is>
      </c>
      <c r="E1318" s="14" t="inlineStr">
        <is>
          <t>REVENUE</t>
        </is>
      </c>
      <c r="F1318" s="92" t="inlineStr">
        <is>
          <t>REVENUE(AE1727,Settings!$C$13,NEWREVRATE(AE1655,AE1673,AE1664,AE$201,AE1682,$D1763))</t>
        </is>
      </c>
    </row>
    <row r="1319">
      <c r="A1319" s="14" t="n">
        <v>1764</v>
      </c>
      <c r="B1319" s="14" t="inlineStr">
        <is>
          <t>rnew</t>
        </is>
      </c>
      <c r="C1319" s="14" t="inlineStr">
        <is>
          <t>oop</t>
        </is>
      </c>
      <c r="D1319" s="14" t="inlineStr">
        <is>
          <t>foo</t>
        </is>
      </c>
      <c r="E1319" s="14" t="inlineStr">
        <is>
          <t>REVENUE</t>
        </is>
      </c>
      <c r="F1319" s="92" t="inlineStr">
        <is>
          <t>REVENUE(AE1728,Settings!$C$13,NEWREVRATE(AE1656,AE1674,AE1665,AE$201,AE1683,$D1764))</t>
        </is>
      </c>
    </row>
    <row r="1320">
      <c r="A1320" s="14" t="n">
        <v>1765</v>
      </c>
      <c r="B1320" s="14" t="inlineStr">
        <is>
          <t>rnew</t>
        </is>
      </c>
      <c r="C1320" s="14" t="inlineStr">
        <is>
          <t>bio</t>
        </is>
      </c>
      <c r="D1320" s="14" t="inlineStr">
        <is>
          <t>foo</t>
        </is>
      </c>
      <c r="E1320" s="14" t="inlineStr">
        <is>
          <t>REVENUE</t>
        </is>
      </c>
      <c r="F1320" s="92" t="inlineStr">
        <is>
          <t>REVENUE(AE1729,Settings!$C$13,NEWREVRATE(AE1657,AE1675,AE1666,AE$201,AE1684,$D1765))</t>
        </is>
      </c>
    </row>
    <row r="1321">
      <c r="A1321" s="14" t="n">
        <v>1767</v>
      </c>
      <c r="B1321" s="14" t="inlineStr">
        <is>
          <t>rxcp</t>
        </is>
      </c>
      <c r="C1321" s="14" t="inlineStr">
        <is>
          <t>coa</t>
        </is>
      </c>
      <c r="D1321" s="14" t="inlineStr">
        <is>
          <t>foo</t>
        </is>
      </c>
      <c r="E1321" s="14" t="inlineStr">
        <is>
          <t>REVENUE</t>
        </is>
      </c>
      <c r="F1321" s="92" t="inlineStr">
        <is>
          <t>REVENUE(AE1722,Settings!$C$13,AE1686)</t>
        </is>
      </c>
    </row>
    <row r="1322">
      <c r="A1322" s="14" t="n">
        <v>1768</v>
      </c>
      <c r="B1322" s="14" t="inlineStr">
        <is>
          <t>rxcp</t>
        </is>
      </c>
      <c r="C1322" s="14" t="inlineStr">
        <is>
          <t>nga</t>
        </is>
      </c>
      <c r="D1322" s="14" t="inlineStr">
        <is>
          <t>foo</t>
        </is>
      </c>
      <c r="E1322" s="14" t="inlineStr">
        <is>
          <t>REVENUE</t>
        </is>
      </c>
      <c r="F1322" s="92" t="inlineStr">
        <is>
          <t>REVENUE(AE1723,Settings!$C$13,AE1687)</t>
        </is>
      </c>
    </row>
    <row r="1323">
      <c r="A1323" s="14" t="n">
        <v>1769</v>
      </c>
      <c r="B1323" s="14" t="inlineStr">
        <is>
          <t>rxcp</t>
        </is>
      </c>
      <c r="C1323" s="14" t="inlineStr">
        <is>
          <t>gso</t>
        </is>
      </c>
      <c r="D1323" s="14" t="inlineStr">
        <is>
          <t>foo</t>
        </is>
      </c>
      <c r="E1323" s="14" t="inlineStr">
        <is>
          <t>REVENUE</t>
        </is>
      </c>
      <c r="F1323" s="92" t="inlineStr">
        <is>
          <t>REVENUE(AE1724,Settings!$C$13,AE1688)</t>
        </is>
      </c>
    </row>
    <row r="1324">
      <c r="A1324" s="14" t="n">
        <v>1770</v>
      </c>
      <c r="B1324" s="14" t="inlineStr">
        <is>
          <t>rxcp</t>
        </is>
      </c>
      <c r="C1324" s="14" t="inlineStr">
        <is>
          <t>die</t>
        </is>
      </c>
      <c r="D1324" s="14" t="inlineStr">
        <is>
          <t>foo</t>
        </is>
      </c>
      <c r="E1324" s="14" t="inlineStr">
        <is>
          <t>REVENUE</t>
        </is>
      </c>
      <c r="F1324" s="92" t="inlineStr">
        <is>
          <t>REVENUE(AE1725,Settings!$C$13,AE1689)</t>
        </is>
      </c>
    </row>
    <row r="1325">
      <c r="A1325" s="14" t="n">
        <v>1771</v>
      </c>
      <c r="B1325" s="14" t="inlineStr">
        <is>
          <t>rxcp</t>
        </is>
      </c>
      <c r="C1325" s="14" t="inlineStr">
        <is>
          <t>lpg</t>
        </is>
      </c>
      <c r="D1325" s="14" t="inlineStr">
        <is>
          <t>foo</t>
        </is>
      </c>
      <c r="E1325" s="14" t="inlineStr">
        <is>
          <t>REVENUE</t>
        </is>
      </c>
      <c r="F1325" s="92" t="inlineStr">
        <is>
          <t>REVENUE(AE1726,Settings!$C$13,AE1690)</t>
        </is>
      </c>
    </row>
    <row r="1326">
      <c r="A1326" s="14" t="n">
        <v>1772</v>
      </c>
      <c r="B1326" s="14" t="inlineStr">
        <is>
          <t>rxcp</t>
        </is>
      </c>
      <c r="C1326" s="14" t="inlineStr">
        <is>
          <t>ker</t>
        </is>
      </c>
      <c r="D1326" s="14" t="inlineStr">
        <is>
          <t>foo</t>
        </is>
      </c>
      <c r="E1326" s="14" t="inlineStr">
        <is>
          <t>REVENUE</t>
        </is>
      </c>
      <c r="F1326" s="92" t="inlineStr">
        <is>
          <t>REVENUE(AE1727,Settings!$C$13,AE1691)</t>
        </is>
      </c>
    </row>
    <row r="1327">
      <c r="A1327" s="14" t="n">
        <v>1773</v>
      </c>
      <c r="B1327" s="14" t="inlineStr">
        <is>
          <t>rxcp</t>
        </is>
      </c>
      <c r="C1327" s="14" t="inlineStr">
        <is>
          <t>oop</t>
        </is>
      </c>
      <c r="D1327" s="14" t="inlineStr">
        <is>
          <t>foo</t>
        </is>
      </c>
      <c r="E1327" s="14" t="inlineStr">
        <is>
          <t>REVENUE</t>
        </is>
      </c>
      <c r="F1327" s="92" t="inlineStr">
        <is>
          <t>REVENUE(AE1728,Settings!$C$13,AE1692)</t>
        </is>
      </c>
    </row>
    <row r="1328">
      <c r="A1328" s="14" t="n">
        <v>1774</v>
      </c>
      <c r="B1328" s="14" t="inlineStr">
        <is>
          <t>rxcp</t>
        </is>
      </c>
      <c r="C1328" s="14" t="inlineStr">
        <is>
          <t>bio</t>
        </is>
      </c>
      <c r="D1328" s="14" t="inlineStr">
        <is>
          <t>foo</t>
        </is>
      </c>
      <c r="E1328" s="14" t="inlineStr">
        <is>
          <t>REVENUE</t>
        </is>
      </c>
      <c r="F1328" s="92" t="inlineStr">
        <is>
          <t>REVENUE(AE1729,Settings!$C$13,AE1693)</t>
        </is>
      </c>
    </row>
    <row r="1329">
      <c r="A1329" s="14" t="n">
        <v>1778</v>
      </c>
      <c r="B1329" s="14" t="inlineStr">
        <is>
          <t>ctxnew</t>
        </is>
      </c>
      <c r="C1329" s="14" t="inlineStr">
        <is>
          <t>coa</t>
        </is>
      </c>
      <c r="D1329" s="14" t="inlineStr">
        <is>
          <t>srv</t>
        </is>
      </c>
      <c r="E1329" s="14" t="inlineStr">
        <is>
          <t>CARBONTAX</t>
        </is>
      </c>
      <c r="F1329" s="92" t="inlineStr">
        <is>
          <t>CARBONTAX(INDEX(AE$263:AE$279,$F1778),$D1778,INDEX(AE$23:AE$30,$E1778))</t>
        </is>
      </c>
    </row>
    <row r="1330">
      <c r="A1330" s="14" t="n">
        <v>1779</v>
      </c>
      <c r="B1330" s="14" t="inlineStr">
        <is>
          <t>ctxnew</t>
        </is>
      </c>
      <c r="C1330" s="14" t="inlineStr">
        <is>
          <t>nga</t>
        </is>
      </c>
      <c r="D1330" s="14" t="inlineStr">
        <is>
          <t>srv</t>
        </is>
      </c>
      <c r="E1330" s="14" t="inlineStr">
        <is>
          <t>CARBONTAX</t>
        </is>
      </c>
      <c r="F1330" s="92" t="inlineStr">
        <is>
          <t>CARBONTAX(INDEX(AE$263:AE$279,$F1779),$D1779,INDEX(AE$23:AE$30,$E1779))</t>
        </is>
      </c>
    </row>
    <row r="1331">
      <c r="A1331" s="14" t="n">
        <v>1780</v>
      </c>
      <c r="B1331" s="14" t="inlineStr">
        <is>
          <t>ctxnew</t>
        </is>
      </c>
      <c r="C1331" s="14" t="inlineStr">
        <is>
          <t>gso</t>
        </is>
      </c>
      <c r="D1331" s="14" t="inlineStr">
        <is>
          <t>srv</t>
        </is>
      </c>
      <c r="E1331" s="14" t="inlineStr">
        <is>
          <t>CARBONTAX</t>
        </is>
      </c>
      <c r="F1331" s="92" t="inlineStr">
        <is>
          <t>CARBONTAX(INDEX(AE$263:AE$279,$F1780),$D1780,INDEX(AE$23:AE$30,$E1780))</t>
        </is>
      </c>
    </row>
    <row r="1332">
      <c r="A1332" s="14" t="n">
        <v>1781</v>
      </c>
      <c r="B1332" s="14" t="inlineStr">
        <is>
          <t>ctxnew</t>
        </is>
      </c>
      <c r="C1332" s="14" t="inlineStr">
        <is>
          <t>die</t>
        </is>
      </c>
      <c r="D1332" s="14" t="inlineStr">
        <is>
          <t>srv</t>
        </is>
      </c>
      <c r="E1332" s="14" t="inlineStr">
        <is>
          <t>CARBONTAX</t>
        </is>
      </c>
      <c r="F1332" s="92" t="inlineStr">
        <is>
          <t>CARBONTAX(INDEX(AE$263:AE$279,$F1781),$D1781,INDEX(AE$23:AE$30,$E1781))</t>
        </is>
      </c>
    </row>
    <row r="1333">
      <c r="A1333" s="14" t="n">
        <v>1782</v>
      </c>
      <c r="B1333" s="14" t="inlineStr">
        <is>
          <t>ctxnew</t>
        </is>
      </c>
      <c r="C1333" s="14" t="inlineStr">
        <is>
          <t>lpg</t>
        </is>
      </c>
      <c r="D1333" s="14" t="inlineStr">
        <is>
          <t>srv</t>
        </is>
      </c>
      <c r="E1333" s="14" t="inlineStr">
        <is>
          <t>CARBONTAX</t>
        </is>
      </c>
      <c r="F1333" s="92" t="inlineStr">
        <is>
          <t>CARBONTAX(INDEX(AE$263:AE$279,$F1782),$D1782,INDEX(AE$23:AE$30,$E1782))</t>
        </is>
      </c>
    </row>
    <row r="1334">
      <c r="A1334" s="14" t="n">
        <v>1783</v>
      </c>
      <c r="B1334" s="14" t="inlineStr">
        <is>
          <t>ctxnew</t>
        </is>
      </c>
      <c r="C1334" s="14" t="inlineStr">
        <is>
          <t>ker</t>
        </is>
      </c>
      <c r="D1334" s="14" t="inlineStr">
        <is>
          <t>srv</t>
        </is>
      </c>
      <c r="E1334" s="14" t="inlineStr">
        <is>
          <t>CARBONTAX</t>
        </is>
      </c>
      <c r="F1334" s="92" t="inlineStr">
        <is>
          <t>CARBONTAX(INDEX(AE$263:AE$279,$F1783),$D1783,INDEX(AE$23:AE$30,$E1783))</t>
        </is>
      </c>
    </row>
    <row r="1335">
      <c r="A1335" s="14" t="n">
        <v>1784</v>
      </c>
      <c r="B1335" s="14" t="inlineStr">
        <is>
          <t>ctxnew</t>
        </is>
      </c>
      <c r="C1335" s="14" t="inlineStr">
        <is>
          <t>oop</t>
        </is>
      </c>
      <c r="D1335" s="14" t="inlineStr">
        <is>
          <t>srv</t>
        </is>
      </c>
      <c r="E1335" s="14" t="inlineStr">
        <is>
          <t>CARBONTAX</t>
        </is>
      </c>
      <c r="F1335" s="92" t="inlineStr">
        <is>
          <t>CARBONTAX(INDEX(AE$263:AE$279,$F1784),$D1784,INDEX(AE$23:AE$30,$E1784))</t>
        </is>
      </c>
    </row>
    <row r="1336">
      <c r="A1336" s="14" t="n">
        <v>1785</v>
      </c>
      <c r="B1336" s="14" t="inlineStr">
        <is>
          <t>ctxnew</t>
        </is>
      </c>
      <c r="C1336" s="14" t="inlineStr">
        <is>
          <t>bio</t>
        </is>
      </c>
      <c r="D1336" s="14" t="inlineStr">
        <is>
          <t>srv</t>
        </is>
      </c>
      <c r="E1336" s="14" t="inlineStr">
        <is>
          <t>CARBONTAX</t>
        </is>
      </c>
      <c r="F1336" s="92" t="inlineStr">
        <is>
          <t>CARBONTAX(INDEX(AE$263:AE$279,$F1785),$D1785,INDEX(AE$23:AE$30,$E1785))</t>
        </is>
      </c>
    </row>
    <row r="1337">
      <c r="A1337" s="14" t="n">
        <v>1787</v>
      </c>
      <c r="B1337" s="14" t="inlineStr">
        <is>
          <t>ets</t>
        </is>
      </c>
      <c r="C1337" s="14" t="inlineStr">
        <is>
          <t>coa</t>
        </is>
      </c>
      <c r="D1337" s="14" t="inlineStr">
        <is>
          <t>srv</t>
        </is>
      </c>
      <c r="E1337" s="14" t="inlineStr">
        <is>
          <t>ETSCOST</t>
        </is>
      </c>
      <c r="F1337" s="92" t="inlineStr">
        <is>
          <t>ETSCOST(INDEX(AE$280:AE$296,$E1787),$D1787)</t>
        </is>
      </c>
    </row>
    <row r="1338">
      <c r="A1338" s="14" t="n">
        <v>1788</v>
      </c>
      <c r="B1338" s="14" t="inlineStr">
        <is>
          <t>ets</t>
        </is>
      </c>
      <c r="C1338" s="14" t="inlineStr">
        <is>
          <t>nga</t>
        </is>
      </c>
      <c r="D1338" s="14" t="inlineStr">
        <is>
          <t>srv</t>
        </is>
      </c>
      <c r="E1338" s="14" t="inlineStr">
        <is>
          <t>ETSCOST</t>
        </is>
      </c>
      <c r="F1338" s="92" t="inlineStr">
        <is>
          <t>ETSCOST(INDEX(AE$280:AE$296,$E1788),$D1788)</t>
        </is>
      </c>
    </row>
    <row r="1339">
      <c r="A1339" s="14" t="n">
        <v>1789</v>
      </c>
      <c r="B1339" s="14" t="inlineStr">
        <is>
          <t>ets</t>
        </is>
      </c>
      <c r="C1339" s="14" t="inlineStr">
        <is>
          <t>gso</t>
        </is>
      </c>
      <c r="D1339" s="14" t="inlineStr">
        <is>
          <t>srv</t>
        </is>
      </c>
      <c r="E1339" s="14" t="inlineStr">
        <is>
          <t>ETSCOST</t>
        </is>
      </c>
      <c r="F1339" s="92" t="inlineStr">
        <is>
          <t>ETSCOST(INDEX(AE$280:AE$296,$E1789),$D1789)</t>
        </is>
      </c>
    </row>
    <row r="1340">
      <c r="A1340" s="14" t="n">
        <v>1790</v>
      </c>
      <c r="B1340" s="14" t="inlineStr">
        <is>
          <t>ets</t>
        </is>
      </c>
      <c r="C1340" s="14" t="inlineStr">
        <is>
          <t>die</t>
        </is>
      </c>
      <c r="D1340" s="14" t="inlineStr">
        <is>
          <t>srv</t>
        </is>
      </c>
      <c r="E1340" s="14" t="inlineStr">
        <is>
          <t>ETSCOST</t>
        </is>
      </c>
      <c r="F1340" s="92" t="inlineStr">
        <is>
          <t>ETSCOST(INDEX(AE$280:AE$296,$E1790),$D1790)</t>
        </is>
      </c>
    </row>
    <row r="1341">
      <c r="A1341" s="14" t="n">
        <v>1791</v>
      </c>
      <c r="B1341" s="14" t="inlineStr">
        <is>
          <t>ets</t>
        </is>
      </c>
      <c r="C1341" s="14" t="inlineStr">
        <is>
          <t>lpg</t>
        </is>
      </c>
      <c r="D1341" s="14" t="inlineStr">
        <is>
          <t>srv</t>
        </is>
      </c>
      <c r="E1341" s="14" t="inlineStr">
        <is>
          <t>ETSCOST</t>
        </is>
      </c>
      <c r="F1341" s="92" t="inlineStr">
        <is>
          <t>ETSCOST(INDEX(AE$280:AE$296,$E1791),$D1791)</t>
        </is>
      </c>
    </row>
    <row r="1342">
      <c r="A1342" s="14" t="n">
        <v>1792</v>
      </c>
      <c r="B1342" s="14" t="inlineStr">
        <is>
          <t>ets</t>
        </is>
      </c>
      <c r="C1342" s="14" t="inlineStr">
        <is>
          <t>ker</t>
        </is>
      </c>
      <c r="D1342" s="14" t="inlineStr">
        <is>
          <t>srv</t>
        </is>
      </c>
      <c r="E1342" s="14" t="inlineStr">
        <is>
          <t>ETSCOST</t>
        </is>
      </c>
      <c r="F1342" s="92" t="inlineStr">
        <is>
          <t>ETSCOST(INDEX(AE$280:AE$296,$E1792),$D1792)</t>
        </is>
      </c>
    </row>
    <row r="1343">
      <c r="A1343" s="14" t="n">
        <v>1793</v>
      </c>
      <c r="B1343" s="14" t="inlineStr">
        <is>
          <t>ets</t>
        </is>
      </c>
      <c r="C1343" s="14" t="inlineStr">
        <is>
          <t>oop</t>
        </is>
      </c>
      <c r="D1343" s="14" t="inlineStr">
        <is>
          <t>srv</t>
        </is>
      </c>
      <c r="E1343" s="14" t="inlineStr">
        <is>
          <t>ETSCOST</t>
        </is>
      </c>
      <c r="F1343" s="92" t="inlineStr">
        <is>
          <t>ETSCOST(INDEX(AE$280:AE$296,$E1793),$D1793)</t>
        </is>
      </c>
    </row>
    <row r="1344">
      <c r="A1344" s="14" t="n">
        <v>1794</v>
      </c>
      <c r="B1344" s="14" t="inlineStr">
        <is>
          <t>ets</t>
        </is>
      </c>
      <c r="C1344" s="14" t="inlineStr">
        <is>
          <t>bio</t>
        </is>
      </c>
      <c r="D1344" s="14" t="inlineStr">
        <is>
          <t>srv</t>
        </is>
      </c>
      <c r="E1344" s="14" t="inlineStr">
        <is>
          <t>ETSCOST</t>
        </is>
      </c>
      <c r="F1344" s="92" t="inlineStr">
        <is>
          <t>ETSCOST(INDEX(AE$280:AE$296,$E1794),$D1794)</t>
        </is>
      </c>
    </row>
    <row r="1345">
      <c r="A1345" s="14" t="n">
        <v>1796</v>
      </c>
      <c r="B1345" s="14" t="inlineStr">
        <is>
          <t>ntx</t>
        </is>
      </c>
      <c r="C1345" s="14" t="inlineStr">
        <is>
          <t>coa</t>
        </is>
      </c>
      <c r="D1345" s="14" t="inlineStr">
        <is>
          <t>srv</t>
        </is>
      </c>
      <c r="E1345" s="14" t="inlineStr">
        <is>
          <t>NEWEXCISE</t>
        </is>
      </c>
      <c r="F1345" s="92" t="inlineStr">
        <is>
          <t>NEWEXCISE(INDEX(AE$80:AE$93,$D1796),$E1796)</t>
        </is>
      </c>
    </row>
    <row r="1346">
      <c r="A1346" s="14" t="n">
        <v>1797</v>
      </c>
      <c r="B1346" s="14" t="inlineStr">
        <is>
          <t>ntx</t>
        </is>
      </c>
      <c r="C1346" s="14" t="inlineStr">
        <is>
          <t>nga</t>
        </is>
      </c>
      <c r="D1346" s="14" t="inlineStr">
        <is>
          <t>srv</t>
        </is>
      </c>
      <c r="E1346" s="14" t="inlineStr">
        <is>
          <t>NEWEXCISE</t>
        </is>
      </c>
      <c r="F1346" s="92" t="inlineStr">
        <is>
          <t>NEWEXCISE(INDEX(AE$80:AE$93,$D1797),$E1797)</t>
        </is>
      </c>
    </row>
    <row r="1347">
      <c r="A1347" s="14" t="n">
        <v>1798</v>
      </c>
      <c r="B1347" s="14" t="inlineStr">
        <is>
          <t>ntx</t>
        </is>
      </c>
      <c r="C1347" s="14" t="inlineStr">
        <is>
          <t>gso</t>
        </is>
      </c>
      <c r="D1347" s="14" t="inlineStr">
        <is>
          <t>srv</t>
        </is>
      </c>
      <c r="E1347" s="14" t="inlineStr">
        <is>
          <t>NEWEXCISE</t>
        </is>
      </c>
      <c r="F1347" s="92" t="inlineStr">
        <is>
          <t>NEWEXCISE(INDEX(AE$80:AE$93,$D1798),$E1798)</t>
        </is>
      </c>
    </row>
    <row r="1348">
      <c r="A1348" s="14" t="n">
        <v>1799</v>
      </c>
      <c r="B1348" s="14" t="inlineStr">
        <is>
          <t>ntx</t>
        </is>
      </c>
      <c r="C1348" s="14" t="inlineStr">
        <is>
          <t>die</t>
        </is>
      </c>
      <c r="D1348" s="14" t="inlineStr">
        <is>
          <t>srv</t>
        </is>
      </c>
      <c r="E1348" s="14" t="inlineStr">
        <is>
          <t>NEWEXCISE</t>
        </is>
      </c>
      <c r="F1348" s="92" t="inlineStr">
        <is>
          <t>NEWEXCISE(INDEX(AE$80:AE$93,$D1799),$E1799)</t>
        </is>
      </c>
    </row>
    <row r="1349">
      <c r="A1349" s="14" t="n">
        <v>1800</v>
      </c>
      <c r="B1349" s="14" t="inlineStr">
        <is>
          <t>ntx</t>
        </is>
      </c>
      <c r="C1349" s="14" t="inlineStr">
        <is>
          <t>lpg</t>
        </is>
      </c>
      <c r="D1349" s="14" t="inlineStr">
        <is>
          <t>srv</t>
        </is>
      </c>
      <c r="E1349" s="14" t="inlineStr">
        <is>
          <t>NEWEXCISE</t>
        </is>
      </c>
      <c r="F1349" s="92" t="inlineStr">
        <is>
          <t>NEWEXCISE(INDEX(AE$80:AE$93,$D1800),$E1800)</t>
        </is>
      </c>
    </row>
    <row r="1350">
      <c r="A1350" s="14" t="n">
        <v>1801</v>
      </c>
      <c r="B1350" s="14" t="inlineStr">
        <is>
          <t>ntx</t>
        </is>
      </c>
      <c r="C1350" s="14" t="inlineStr">
        <is>
          <t>ker</t>
        </is>
      </c>
      <c r="D1350" s="14" t="inlineStr">
        <is>
          <t>srv</t>
        </is>
      </c>
      <c r="E1350" s="14" t="inlineStr">
        <is>
          <t>NEWEXCISE</t>
        </is>
      </c>
      <c r="F1350" s="92" t="inlineStr">
        <is>
          <t>NEWEXCISE(INDEX(AE$80:AE$93,$D1801),$E1801)</t>
        </is>
      </c>
    </row>
    <row r="1351">
      <c r="A1351" s="14" t="n">
        <v>1802</v>
      </c>
      <c r="B1351" s="14" t="inlineStr">
        <is>
          <t>ntx</t>
        </is>
      </c>
      <c r="C1351" s="14" t="inlineStr">
        <is>
          <t>oop</t>
        </is>
      </c>
      <c r="D1351" s="14" t="inlineStr">
        <is>
          <t>srv</t>
        </is>
      </c>
      <c r="E1351" s="14" t="inlineStr">
        <is>
          <t>NEWEXCISE</t>
        </is>
      </c>
      <c r="F1351" s="92" t="inlineStr">
        <is>
          <t>NEWEXCISE(INDEX(AE$80:AE$93,$D1802),$E1802)</t>
        </is>
      </c>
    </row>
    <row r="1352">
      <c r="A1352" s="14" t="n">
        <v>1803</v>
      </c>
      <c r="B1352" s="14" t="inlineStr">
        <is>
          <t>ntx</t>
        </is>
      </c>
      <c r="C1352" s="14" t="inlineStr">
        <is>
          <t>bio</t>
        </is>
      </c>
      <c r="D1352" s="14" t="inlineStr">
        <is>
          <t>srv</t>
        </is>
      </c>
      <c r="E1352" s="14" t="inlineStr">
        <is>
          <t>NEWEXCISE</t>
        </is>
      </c>
      <c r="F1352" s="92" t="inlineStr">
        <is>
          <t>NEWEXCISE(INDEX(AE$80:AE$93,$D1803),$E1803)</t>
        </is>
      </c>
    </row>
    <row r="1353">
      <c r="A1353" s="14" t="n">
        <v>1805</v>
      </c>
      <c r="B1353" s="14" t="inlineStr">
        <is>
          <t>nce</t>
        </is>
      </c>
      <c r="C1353" s="14" t="inlineStr">
        <is>
          <t>coa</t>
        </is>
      </c>
      <c r="D1353" s="14" t="inlineStr">
        <is>
          <t>srv</t>
        </is>
      </c>
      <c r="E1353" s="14" t="inlineStr">
        <is>
          <t>NEWPOLICY</t>
        </is>
      </c>
      <c r="F1353" s="92" t="inlineStr">
        <is>
          <t>NEWPOLICY(AE1778,AE1787,AE1796)</t>
        </is>
      </c>
    </row>
    <row r="1354">
      <c r="A1354" s="14" t="n">
        <v>1806</v>
      </c>
      <c r="B1354" s="14" t="inlineStr">
        <is>
          <t>nce</t>
        </is>
      </c>
      <c r="C1354" s="14" t="inlineStr">
        <is>
          <t>nga</t>
        </is>
      </c>
      <c r="D1354" s="14" t="inlineStr">
        <is>
          <t>srv</t>
        </is>
      </c>
      <c r="E1354" s="14" t="inlineStr">
        <is>
          <t>NEWPOLICY</t>
        </is>
      </c>
      <c r="F1354" s="92" t="inlineStr">
        <is>
          <t>NEWPOLICY(AE1779,AE1788,AE1797)</t>
        </is>
      </c>
    </row>
    <row r="1355">
      <c r="A1355" s="14" t="n">
        <v>1807</v>
      </c>
      <c r="B1355" s="14" t="inlineStr">
        <is>
          <t>nce</t>
        </is>
      </c>
      <c r="C1355" s="14" t="inlineStr">
        <is>
          <t>gso</t>
        </is>
      </c>
      <c r="D1355" s="14" t="inlineStr">
        <is>
          <t>srv</t>
        </is>
      </c>
      <c r="E1355" s="14" t="inlineStr">
        <is>
          <t>NEWPOLICY</t>
        </is>
      </c>
      <c r="F1355" s="92" t="inlineStr">
        <is>
          <t>NEWPOLICY(AE1780,AE1789,AE1798)</t>
        </is>
      </c>
    </row>
    <row r="1356">
      <c r="A1356" s="14" t="n">
        <v>1808</v>
      </c>
      <c r="B1356" s="14" t="inlineStr">
        <is>
          <t>nce</t>
        </is>
      </c>
      <c r="C1356" s="14" t="inlineStr">
        <is>
          <t>die</t>
        </is>
      </c>
      <c r="D1356" s="14" t="inlineStr">
        <is>
          <t>srv</t>
        </is>
      </c>
      <c r="E1356" s="14" t="inlineStr">
        <is>
          <t>NEWPOLICY</t>
        </is>
      </c>
      <c r="F1356" s="92" t="inlineStr">
        <is>
          <t>NEWPOLICY(AE1781,AE1790,AE1799)</t>
        </is>
      </c>
    </row>
    <row r="1357">
      <c r="A1357" s="14" t="n">
        <v>1809</v>
      </c>
      <c r="B1357" s="14" t="inlineStr">
        <is>
          <t>nce</t>
        </is>
      </c>
      <c r="C1357" s="14" t="inlineStr">
        <is>
          <t>lpg</t>
        </is>
      </c>
      <c r="D1357" s="14" t="inlineStr">
        <is>
          <t>srv</t>
        </is>
      </c>
      <c r="E1357" s="14" t="inlineStr">
        <is>
          <t>NEWPOLICY</t>
        </is>
      </c>
      <c r="F1357" s="92" t="inlineStr">
        <is>
          <t>NEWPOLICY(AE1782,AE1791,AE1800)</t>
        </is>
      </c>
    </row>
    <row r="1358">
      <c r="A1358" s="14" t="n">
        <v>1810</v>
      </c>
      <c r="B1358" s="14" t="inlineStr">
        <is>
          <t>nce</t>
        </is>
      </c>
      <c r="C1358" s="14" t="inlineStr">
        <is>
          <t>ker</t>
        </is>
      </c>
      <c r="D1358" s="14" t="inlineStr">
        <is>
          <t>srv</t>
        </is>
      </c>
      <c r="E1358" s="14" t="inlineStr">
        <is>
          <t>NEWPOLICY</t>
        </is>
      </c>
      <c r="F1358" s="92" t="inlineStr">
        <is>
          <t>NEWPOLICY(AE1783,AE1792,AE1801)</t>
        </is>
      </c>
    </row>
    <row r="1359">
      <c r="A1359" s="14" t="n">
        <v>1811</v>
      </c>
      <c r="B1359" s="14" t="inlineStr">
        <is>
          <t>nce</t>
        </is>
      </c>
      <c r="C1359" s="14" t="inlineStr">
        <is>
          <t>oop</t>
        </is>
      </c>
      <c r="D1359" s="14" t="inlineStr">
        <is>
          <t>srv</t>
        </is>
      </c>
      <c r="E1359" s="14" t="inlineStr">
        <is>
          <t>NEWPOLICY</t>
        </is>
      </c>
      <c r="F1359" s="92" t="inlineStr">
        <is>
          <t>NEWPOLICY(AE1784,AE1793,AE1802)</t>
        </is>
      </c>
    </row>
    <row r="1360">
      <c r="A1360" s="14" t="n">
        <v>1812</v>
      </c>
      <c r="B1360" s="14" t="inlineStr">
        <is>
          <t>nce</t>
        </is>
      </c>
      <c r="C1360" s="14" t="inlineStr">
        <is>
          <t>bio</t>
        </is>
      </c>
      <c r="D1360" s="14" t="inlineStr">
        <is>
          <t>srv</t>
        </is>
      </c>
      <c r="E1360" s="14" t="inlineStr">
        <is>
          <t>NEWPOLICY</t>
        </is>
      </c>
      <c r="F1360" s="92" t="inlineStr">
        <is>
          <t>NEWPOLICY(AE1785,AE1794,AE1803)</t>
        </is>
      </c>
    </row>
    <row r="1361">
      <c r="A1361" s="14" t="n">
        <v>1814</v>
      </c>
      <c r="B1361" s="14" t="inlineStr">
        <is>
          <t>xcp</t>
        </is>
      </c>
      <c r="C1361" s="14" t="inlineStr">
        <is>
          <t>coa</t>
        </is>
      </c>
      <c r="D1361" s="14" t="inlineStr">
        <is>
          <t>srv</t>
        </is>
      </c>
      <c r="E1361" s="14" t="inlineStr">
        <is>
          <t>XCARBON</t>
        </is>
      </c>
      <c r="F1361" s="92" t="inlineStr">
        <is>
          <t>XCARBON($D1814,$E1814,AE$321,$F1814,AE$324)</t>
        </is>
      </c>
    </row>
    <row r="1362">
      <c r="A1362" s="14" t="n">
        <v>1815</v>
      </c>
      <c r="B1362" s="14" t="inlineStr">
        <is>
          <t>xcp</t>
        </is>
      </c>
      <c r="C1362" s="14" t="inlineStr">
        <is>
          <t>nga</t>
        </is>
      </c>
      <c r="D1362" s="14" t="inlineStr">
        <is>
          <t>srv</t>
        </is>
      </c>
      <c r="E1362" s="14" t="inlineStr">
        <is>
          <t>XCARBON</t>
        </is>
      </c>
      <c r="F1362" s="92" t="inlineStr">
        <is>
          <t>XCARBON($D1815,$E1815,AE$321,$F1815,AE$324)</t>
        </is>
      </c>
    </row>
    <row r="1363">
      <c r="A1363" s="14" t="n">
        <v>1816</v>
      </c>
      <c r="B1363" s="14" t="inlineStr">
        <is>
          <t>xcp</t>
        </is>
      </c>
      <c r="C1363" s="14" t="inlineStr">
        <is>
          <t>gso</t>
        </is>
      </c>
      <c r="D1363" s="14" t="inlineStr">
        <is>
          <t>srv</t>
        </is>
      </c>
      <c r="E1363" s="14" t="inlineStr">
        <is>
          <t>XCARBON</t>
        </is>
      </c>
      <c r="F1363" s="92" t="inlineStr">
        <is>
          <t>XCARBON($D1816,$E1816,AE$321,$F1816,AE$324)</t>
        </is>
      </c>
    </row>
    <row r="1364">
      <c r="A1364" s="14" t="n">
        <v>1817</v>
      </c>
      <c r="B1364" s="14" t="inlineStr">
        <is>
          <t>xcp</t>
        </is>
      </c>
      <c r="C1364" s="14" t="inlineStr">
        <is>
          <t>die</t>
        </is>
      </c>
      <c r="D1364" s="14" t="inlineStr">
        <is>
          <t>srv</t>
        </is>
      </c>
      <c r="E1364" s="14" t="inlineStr">
        <is>
          <t>XCARBON</t>
        </is>
      </c>
      <c r="F1364" s="92" t="inlineStr">
        <is>
          <t>XCARBON($D1817,$E1817,AE$321,$F1817,AE$324)</t>
        </is>
      </c>
    </row>
    <row r="1365">
      <c r="A1365" s="14" t="n">
        <v>1818</v>
      </c>
      <c r="B1365" s="14" t="inlineStr">
        <is>
          <t>xcp</t>
        </is>
      </c>
      <c r="C1365" s="14" t="inlineStr">
        <is>
          <t>lpg</t>
        </is>
      </c>
      <c r="D1365" s="14" t="inlineStr">
        <is>
          <t>srv</t>
        </is>
      </c>
      <c r="E1365" s="14" t="inlineStr">
        <is>
          <t>XCARBON</t>
        </is>
      </c>
      <c r="F1365" s="92" t="inlineStr">
        <is>
          <t>XCARBON($D1818,$E1818,AE$321,$F1818,AE$324)</t>
        </is>
      </c>
    </row>
    <row r="1366">
      <c r="A1366" s="14" t="n">
        <v>1819</v>
      </c>
      <c r="B1366" s="14" t="inlineStr">
        <is>
          <t>xcp</t>
        </is>
      </c>
      <c r="C1366" s="14" t="inlineStr">
        <is>
          <t>ker</t>
        </is>
      </c>
      <c r="D1366" s="14" t="inlineStr">
        <is>
          <t>srv</t>
        </is>
      </c>
      <c r="E1366" s="14" t="inlineStr">
        <is>
          <t>XCARBON</t>
        </is>
      </c>
      <c r="F1366" s="92" t="inlineStr">
        <is>
          <t>XCARBON($D1819,$E1819,AE$321,$F1819,AE$324)</t>
        </is>
      </c>
    </row>
    <row r="1367">
      <c r="A1367" s="14" t="n">
        <v>1820</v>
      </c>
      <c r="B1367" s="14" t="inlineStr">
        <is>
          <t>xcp</t>
        </is>
      </c>
      <c r="C1367" s="14" t="inlineStr">
        <is>
          <t>oop</t>
        </is>
      </c>
      <c r="D1367" s="14" t="inlineStr">
        <is>
          <t>srv</t>
        </is>
      </c>
      <c r="E1367" s="14" t="inlineStr">
        <is>
          <t>XCARBON</t>
        </is>
      </c>
      <c r="F1367" s="92" t="inlineStr">
        <is>
          <t>XCARBON($D1820,$E1820,AE$321,$F1820,AE$324)</t>
        </is>
      </c>
    </row>
    <row r="1368">
      <c r="A1368" s="14" t="n">
        <v>1821</v>
      </c>
      <c r="B1368" s="14" t="inlineStr">
        <is>
          <t>xcp</t>
        </is>
      </c>
      <c r="C1368" s="14" t="inlineStr">
        <is>
          <t>bio</t>
        </is>
      </c>
      <c r="D1368" s="14" t="inlineStr">
        <is>
          <t>srv</t>
        </is>
      </c>
      <c r="E1368" s="14" t="inlineStr">
        <is>
          <t>XCARBON</t>
        </is>
      </c>
      <c r="F1368" s="92" t="inlineStr">
        <is>
          <t>XCARBON($D1821,$E1821,AE$321,$F1821,AE$324)</t>
        </is>
      </c>
    </row>
    <row r="1369">
      <c r="A1369" s="14" t="n">
        <v>1823</v>
      </c>
      <c r="B1369" s="14" t="inlineStr">
        <is>
          <t>xcpd</t>
        </is>
      </c>
      <c r="C1369" s="14" t="inlineStr">
        <is>
          <t>coa</t>
        </is>
      </c>
      <c r="D1369" s="14" t="inlineStr">
        <is>
          <t>srv</t>
        </is>
      </c>
      <c r="E1369" s="14" t="inlineStr">
        <is>
          <t>XCARBON</t>
        </is>
      </c>
      <c r="F1369" s="92" t="inlineStr">
        <is>
          <t>XCARBON($D1823,$E1823,(AE$321-AE$322),$F1823,(AE$324-AE$325))</t>
        </is>
      </c>
    </row>
    <row r="1370">
      <c r="A1370" s="14" t="n">
        <v>1824</v>
      </c>
      <c r="B1370" s="14" t="inlineStr">
        <is>
          <t>xcpd</t>
        </is>
      </c>
      <c r="C1370" s="14" t="inlineStr">
        <is>
          <t>nga</t>
        </is>
      </c>
      <c r="D1370" s="14" t="inlineStr">
        <is>
          <t>srv</t>
        </is>
      </c>
      <c r="E1370" s="14" t="inlineStr">
        <is>
          <t>XCARBON</t>
        </is>
      </c>
      <c r="F1370" s="92" t="inlineStr">
        <is>
          <t>XCARBON($D1824,$E1824,(AE$321-AE$322),$F1824,(AE$324-AE$325))</t>
        </is>
      </c>
    </row>
    <row r="1371">
      <c r="A1371" s="14" t="n">
        <v>1825</v>
      </c>
      <c r="B1371" s="14" t="inlineStr">
        <is>
          <t>xcpd</t>
        </is>
      </c>
      <c r="C1371" s="14" t="inlineStr">
        <is>
          <t>gso</t>
        </is>
      </c>
      <c r="D1371" s="14" t="inlineStr">
        <is>
          <t>srv</t>
        </is>
      </c>
      <c r="E1371" s="14" t="inlineStr">
        <is>
          <t>XCARBON</t>
        </is>
      </c>
      <c r="F1371" s="92" t="inlineStr">
        <is>
          <t>XCARBON($D1825,$E1825,(AE$321-AE$322),$F1825,(AE$324-AE$325))</t>
        </is>
      </c>
    </row>
    <row r="1372">
      <c r="A1372" s="14" t="n">
        <v>1826</v>
      </c>
      <c r="B1372" s="14" t="inlineStr">
        <is>
          <t>xcpd</t>
        </is>
      </c>
      <c r="C1372" s="14" t="inlineStr">
        <is>
          <t>die</t>
        </is>
      </c>
      <c r="D1372" s="14" t="inlineStr">
        <is>
          <t>srv</t>
        </is>
      </c>
      <c r="E1372" s="14" t="inlineStr">
        <is>
          <t>XCARBON</t>
        </is>
      </c>
      <c r="F1372" s="92" t="inlineStr">
        <is>
          <t>XCARBON($D1826,$E1826,(AE$321-AE$322),$F1826,(AE$324-AE$325))</t>
        </is>
      </c>
    </row>
    <row r="1373">
      <c r="A1373" s="14" t="n">
        <v>1827</v>
      </c>
      <c r="B1373" s="14" t="inlineStr">
        <is>
          <t>xcpd</t>
        </is>
      </c>
      <c r="C1373" s="14" t="inlineStr">
        <is>
          <t>lpg</t>
        </is>
      </c>
      <c r="D1373" s="14" t="inlineStr">
        <is>
          <t>srv</t>
        </is>
      </c>
      <c r="E1373" s="14" t="inlineStr">
        <is>
          <t>XCARBON</t>
        </is>
      </c>
      <c r="F1373" s="92" t="inlineStr">
        <is>
          <t>XCARBON($D1827,$E1827,(AE$321-AE$322),$F1827,(AE$324-AE$325))</t>
        </is>
      </c>
    </row>
    <row r="1374">
      <c r="A1374" s="14" t="n">
        <v>1828</v>
      </c>
      <c r="B1374" s="14" t="inlineStr">
        <is>
          <t>xcpd</t>
        </is>
      </c>
      <c r="C1374" s="14" t="inlineStr">
        <is>
          <t>ker</t>
        </is>
      </c>
      <c r="D1374" s="14" t="inlineStr">
        <is>
          <t>srv</t>
        </is>
      </c>
      <c r="E1374" s="14" t="inlineStr">
        <is>
          <t>XCARBON</t>
        </is>
      </c>
      <c r="F1374" s="92" t="inlineStr">
        <is>
          <t>XCARBON($D1828,$E1828,(AE$321-AE$322),$F1828,(AE$324-AE$325))</t>
        </is>
      </c>
    </row>
    <row r="1375">
      <c r="A1375" s="14" t="n">
        <v>1829</v>
      </c>
      <c r="B1375" s="14" t="inlineStr">
        <is>
          <t>xcpd</t>
        </is>
      </c>
      <c r="C1375" s="14" t="inlineStr">
        <is>
          <t>oop</t>
        </is>
      </c>
      <c r="D1375" s="14" t="inlineStr">
        <is>
          <t>srv</t>
        </is>
      </c>
      <c r="E1375" s="14" t="inlineStr">
        <is>
          <t>XCARBON</t>
        </is>
      </c>
      <c r="F1375" s="92" t="inlineStr">
        <is>
          <t>XCARBON($D1829,$E1829,(AE$321-AE$322),$F1829,(AE$324-AE$325))</t>
        </is>
      </c>
    </row>
    <row r="1376">
      <c r="A1376" s="14" t="n">
        <v>1830</v>
      </c>
      <c r="B1376" s="14" t="inlineStr">
        <is>
          <t>xcpd</t>
        </is>
      </c>
      <c r="C1376" s="14" t="inlineStr">
        <is>
          <t>bio</t>
        </is>
      </c>
      <c r="D1376" s="14" t="inlineStr">
        <is>
          <t>srv</t>
        </is>
      </c>
      <c r="E1376" s="14" t="inlineStr">
        <is>
          <t>XCARBON</t>
        </is>
      </c>
      <c r="F1376" s="92" t="inlineStr">
        <is>
          <t>XCARBON($D1830,$E1830,(AE$321-AE$322),$F1830,(AE$324-AE$325))</t>
        </is>
      </c>
    </row>
    <row r="1377">
      <c r="A1377" s="14" t="n">
        <v>1832</v>
      </c>
      <c r="B1377" s="14" t="inlineStr">
        <is>
          <t>atp</t>
        </is>
      </c>
      <c r="C1377" s="14" t="inlineStr">
        <is>
          <t>coa</t>
        </is>
      </c>
      <c r="D1377" s="14" t="inlineStr">
        <is>
          <t>srv</t>
        </is>
      </c>
      <c r="E1377" s="14" t="inlineStr">
        <is>
          <t>POSTTAX</t>
        </is>
      </c>
      <c r="F1377" s="92" t="inlineStr">
        <is>
          <t>POSTTAX(INDEX(AE$381:AE$392,$D1832),AE1805+AE1823,$E1832)</t>
        </is>
      </c>
    </row>
    <row r="1378">
      <c r="A1378" s="14" t="n">
        <v>1833</v>
      </c>
      <c r="B1378" s="14" t="inlineStr">
        <is>
          <t>atp</t>
        </is>
      </c>
      <c r="C1378" s="14" t="inlineStr">
        <is>
          <t>nga</t>
        </is>
      </c>
      <c r="D1378" s="14" t="inlineStr">
        <is>
          <t>srv</t>
        </is>
      </c>
      <c r="E1378" s="14" t="inlineStr">
        <is>
          <t>POSTTAX</t>
        </is>
      </c>
      <c r="F1378" s="92" t="inlineStr">
        <is>
          <t>POSTTAX(INDEX(AE$381:AE$392,$D1833),AE1806+AE1824,$E1833)</t>
        </is>
      </c>
    </row>
    <row r="1379">
      <c r="A1379" s="14" t="n">
        <v>1834</v>
      </c>
      <c r="B1379" s="14" t="inlineStr">
        <is>
          <t>atp</t>
        </is>
      </c>
      <c r="C1379" s="14" t="inlineStr">
        <is>
          <t>gso</t>
        </is>
      </c>
      <c r="D1379" s="14" t="inlineStr">
        <is>
          <t>srv</t>
        </is>
      </c>
      <c r="E1379" s="14" t="inlineStr">
        <is>
          <t>POSTTAX</t>
        </is>
      </c>
      <c r="F1379" s="92" t="inlineStr">
        <is>
          <t>POSTTAX(INDEX(AE$381:AE$392,$D1834),AE1807+AE1825,$E1834)</t>
        </is>
      </c>
    </row>
    <row r="1380">
      <c r="A1380" s="14" t="n">
        <v>1835</v>
      </c>
      <c r="B1380" s="14" t="inlineStr">
        <is>
          <t>atp</t>
        </is>
      </c>
      <c r="C1380" s="14" t="inlineStr">
        <is>
          <t>die</t>
        </is>
      </c>
      <c r="D1380" s="14" t="inlineStr">
        <is>
          <t>srv</t>
        </is>
      </c>
      <c r="E1380" s="14" t="inlineStr">
        <is>
          <t>POSTTAX</t>
        </is>
      </c>
      <c r="F1380" s="92" t="inlineStr">
        <is>
          <t>POSTTAX(INDEX(AE$381:AE$392,$D1835),AE1808+AE1826,$E1835)</t>
        </is>
      </c>
    </row>
    <row r="1381">
      <c r="A1381" s="14" t="n">
        <v>1836</v>
      </c>
      <c r="B1381" s="14" t="inlineStr">
        <is>
          <t>atp</t>
        </is>
      </c>
      <c r="C1381" s="14" t="inlineStr">
        <is>
          <t>lpg</t>
        </is>
      </c>
      <c r="D1381" s="14" t="inlineStr">
        <is>
          <t>srv</t>
        </is>
      </c>
      <c r="E1381" s="14" t="inlineStr">
        <is>
          <t>POSTTAX</t>
        </is>
      </c>
      <c r="F1381" s="92" t="inlineStr">
        <is>
          <t>POSTTAX(INDEX(AE$381:AE$392,$D1836),AE1809+AE1827,$E1836)</t>
        </is>
      </c>
    </row>
    <row r="1382">
      <c r="A1382" s="14" t="n">
        <v>1837</v>
      </c>
      <c r="B1382" s="14" t="inlineStr">
        <is>
          <t>atp</t>
        </is>
      </c>
      <c r="C1382" s="14" t="inlineStr">
        <is>
          <t>ker</t>
        </is>
      </c>
      <c r="D1382" s="14" t="inlineStr">
        <is>
          <t>srv</t>
        </is>
      </c>
      <c r="E1382" s="14" t="inlineStr">
        <is>
          <t>POSTTAX</t>
        </is>
      </c>
      <c r="F1382" s="92" t="inlineStr">
        <is>
          <t>POSTTAX(INDEX(AE$381:AE$392,$D1837),AE1810+AE1828,$E1837)</t>
        </is>
      </c>
    </row>
    <row r="1383">
      <c r="A1383" s="14" t="n">
        <v>1838</v>
      </c>
      <c r="B1383" s="14" t="inlineStr">
        <is>
          <t>atp</t>
        </is>
      </c>
      <c r="C1383" s="14" t="inlineStr">
        <is>
          <t>oop</t>
        </is>
      </c>
      <c r="D1383" s="14" t="inlineStr">
        <is>
          <t>srv</t>
        </is>
      </c>
      <c r="E1383" s="14" t="inlineStr">
        <is>
          <t>POSTTAX</t>
        </is>
      </c>
      <c r="F1383" s="92" t="inlineStr">
        <is>
          <t>POSTTAX(INDEX(AE$381:AE$392,$D1838),AE1811+AE1829,$E1838)</t>
        </is>
      </c>
    </row>
    <row r="1384">
      <c r="A1384" s="14" t="n">
        <v>1839</v>
      </c>
      <c r="B1384" s="14" t="inlineStr">
        <is>
          <t>atp</t>
        </is>
      </c>
      <c r="C1384" s="14" t="inlineStr">
        <is>
          <t>bio</t>
        </is>
      </c>
      <c r="D1384" s="14" t="inlineStr">
        <is>
          <t>srv</t>
        </is>
      </c>
      <c r="E1384" s="14" t="inlineStr">
        <is>
          <t>POSTTAX</t>
        </is>
      </c>
      <c r="F1384" s="92" t="inlineStr">
        <is>
          <t>POSTTAX(INDEX(AE$381:AE$392,$D1839),AE1812+AE1830,$E1839)</t>
        </is>
      </c>
    </row>
    <row r="1385">
      <c r="A1385" s="14" t="n">
        <v>1841</v>
      </c>
      <c r="B1385" s="14" t="inlineStr">
        <is>
          <t>shp</t>
        </is>
      </c>
      <c r="C1385" s="14" t="inlineStr">
        <is>
          <t>coa</t>
        </is>
      </c>
      <c r="D1385" s="14" t="inlineStr">
        <is>
          <t>srv</t>
        </is>
      </c>
      <c r="E1385" s="14" t="inlineStr">
        <is>
          <t>SHADOWGJ</t>
        </is>
      </c>
      <c r="F1385" s="92" t="inlineStr">
        <is>
          <t>SHADOWGJ(INDEX(AE$297:AE$313,$E1841),$D1841)</t>
        </is>
      </c>
    </row>
    <row r="1386">
      <c r="A1386" s="14" t="n">
        <v>1842</v>
      </c>
      <c r="B1386" s="14" t="inlineStr">
        <is>
          <t>shp</t>
        </is>
      </c>
      <c r="C1386" s="14" t="inlineStr">
        <is>
          <t>nga</t>
        </is>
      </c>
      <c r="D1386" s="14" t="inlineStr">
        <is>
          <t>srv</t>
        </is>
      </c>
      <c r="E1386" s="14" t="inlineStr">
        <is>
          <t>SHADOWGJ</t>
        </is>
      </c>
      <c r="F1386" s="92" t="inlineStr">
        <is>
          <t>SHADOWGJ(INDEX(AE$297:AE$313,$E1842),$D1842)</t>
        </is>
      </c>
    </row>
    <row r="1387">
      <c r="A1387" s="14" t="n">
        <v>1843</v>
      </c>
      <c r="B1387" s="14" t="inlineStr">
        <is>
          <t>shp</t>
        </is>
      </c>
      <c r="C1387" s="14" t="inlineStr">
        <is>
          <t>gso</t>
        </is>
      </c>
      <c r="D1387" s="14" t="inlineStr">
        <is>
          <t>srv</t>
        </is>
      </c>
      <c r="E1387" s="14" t="inlineStr">
        <is>
          <t>SHADOWGJ</t>
        </is>
      </c>
      <c r="F1387" s="92" t="inlineStr">
        <is>
          <t>SHADOWGJ(INDEX(AE$297:AE$313,$E1843),$D1843)</t>
        </is>
      </c>
    </row>
    <row r="1388">
      <c r="A1388" s="14" t="n">
        <v>1844</v>
      </c>
      <c r="B1388" s="14" t="inlineStr">
        <is>
          <t>shp</t>
        </is>
      </c>
      <c r="C1388" s="14" t="inlineStr">
        <is>
          <t>die</t>
        </is>
      </c>
      <c r="D1388" s="14" t="inlineStr">
        <is>
          <t>srv</t>
        </is>
      </c>
      <c r="E1388" s="14" t="inlineStr">
        <is>
          <t>SHADOWGJ</t>
        </is>
      </c>
      <c r="F1388" s="92" t="inlineStr">
        <is>
          <t>SHADOWGJ(INDEX(AE$297:AE$313,$E1844),$D1844)</t>
        </is>
      </c>
    </row>
    <row r="1389">
      <c r="A1389" s="14" t="n">
        <v>1845</v>
      </c>
      <c r="B1389" s="14" t="inlineStr">
        <is>
          <t>shp</t>
        </is>
      </c>
      <c r="C1389" s="14" t="inlineStr">
        <is>
          <t>lpg</t>
        </is>
      </c>
      <c r="D1389" s="14" t="inlineStr">
        <is>
          <t>srv</t>
        </is>
      </c>
      <c r="E1389" s="14" t="inlineStr">
        <is>
          <t>SHADOWGJ</t>
        </is>
      </c>
      <c r="F1389" s="92" t="inlineStr">
        <is>
          <t>SHADOWGJ(INDEX(AE$297:AE$313,$E1845),$D1845)</t>
        </is>
      </c>
    </row>
    <row r="1390">
      <c r="A1390" s="14" t="n">
        <v>1846</v>
      </c>
      <c r="B1390" s="14" t="inlineStr">
        <is>
          <t>shp</t>
        </is>
      </c>
      <c r="C1390" s="14" t="inlineStr">
        <is>
          <t>ker</t>
        </is>
      </c>
      <c r="D1390" s="14" t="inlineStr">
        <is>
          <t>srv</t>
        </is>
      </c>
      <c r="E1390" s="14" t="inlineStr">
        <is>
          <t>SHADOWGJ</t>
        </is>
      </c>
      <c r="F1390" s="92" t="inlineStr">
        <is>
          <t>SHADOWGJ(INDEX(AE$297:AE$313,$E1846),$D1846)</t>
        </is>
      </c>
    </row>
    <row r="1391">
      <c r="A1391" s="14" t="n">
        <v>1847</v>
      </c>
      <c r="B1391" s="14" t="inlineStr">
        <is>
          <t>shp</t>
        </is>
      </c>
      <c r="C1391" s="14" t="inlineStr">
        <is>
          <t>oop</t>
        </is>
      </c>
      <c r="D1391" s="14" t="inlineStr">
        <is>
          <t>srv</t>
        </is>
      </c>
      <c r="E1391" s="14" t="inlineStr">
        <is>
          <t>SHADOWGJ</t>
        </is>
      </c>
      <c r="F1391" s="92" t="inlineStr">
        <is>
          <t>SHADOWGJ(INDEX(AE$297:AE$313,$E1847),$D1847)</t>
        </is>
      </c>
    </row>
    <row r="1392">
      <c r="A1392" s="14" t="n">
        <v>1848</v>
      </c>
      <c r="B1392" s="14" t="inlineStr">
        <is>
          <t>shp</t>
        </is>
      </c>
      <c r="C1392" s="14" t="inlineStr">
        <is>
          <t>bio</t>
        </is>
      </c>
      <c r="D1392" s="14" t="inlineStr">
        <is>
          <t>srv</t>
        </is>
      </c>
      <c r="E1392" s="14" t="inlineStr">
        <is>
          <t>SHADOWGJ</t>
        </is>
      </c>
      <c r="F1392" s="92" t="inlineStr">
        <is>
          <t>SHADOWGJ(INDEX(AE$297:AE$313,$E1848),$D1848)</t>
        </is>
      </c>
    </row>
    <row r="1393">
      <c r="A1393" s="14" t="n">
        <v>1850</v>
      </c>
      <c r="B1393" s="14" t="inlineStr">
        <is>
          <t>ener</t>
        </is>
      </c>
      <c r="C1393" s="14" t="inlineStr">
        <is>
          <t>coa</t>
        </is>
      </c>
      <c r="D1393" s="14" t="inlineStr">
        <is>
          <t>srv</t>
        </is>
      </c>
      <c r="E1393" s="14" t="inlineStr">
        <is>
          <t>FUELUSE</t>
        </is>
      </c>
      <c r="F1393" s="92" t="inlineStr">
        <is>
          <t>FUELUSE(AD1850,AE1832,AD1832,AE1841,AD1841,AE$7,$D1850,$E1850,$F1850,$G1850)</t>
        </is>
      </c>
    </row>
    <row r="1394">
      <c r="A1394" s="14" t="n">
        <v>1851</v>
      </c>
      <c r="B1394" s="14" t="inlineStr">
        <is>
          <t>ener</t>
        </is>
      </c>
      <c r="C1394" s="14" t="inlineStr">
        <is>
          <t>nga</t>
        </is>
      </c>
      <c r="D1394" s="14" t="inlineStr">
        <is>
          <t>srv</t>
        </is>
      </c>
      <c r="E1394" s="14" t="inlineStr">
        <is>
          <t>FUELUSE</t>
        </is>
      </c>
      <c r="F1394" s="92" t="inlineStr">
        <is>
          <t>FUELUSE(AD1851,AE1833,AD1833,AE1842,AD1842,AE$7,$D1851,$E1851,$F1851,$G1851)</t>
        </is>
      </c>
    </row>
    <row r="1395">
      <c r="A1395" s="14" t="n">
        <v>1852</v>
      </c>
      <c r="B1395" s="14" t="inlineStr">
        <is>
          <t>ener</t>
        </is>
      </c>
      <c r="C1395" s="14" t="inlineStr">
        <is>
          <t>gso</t>
        </is>
      </c>
      <c r="D1395" s="14" t="inlineStr">
        <is>
          <t>srv</t>
        </is>
      </c>
      <c r="E1395" s="14" t="inlineStr">
        <is>
          <t>FUELUSE</t>
        </is>
      </c>
      <c r="F1395" s="92" t="inlineStr">
        <is>
          <t>FUELUSE(AD1852,AE1834,AD1834,AE1843,AD1843,AE$7,$D1852,$E1852,$F1852,$G1852)</t>
        </is>
      </c>
    </row>
    <row r="1396">
      <c r="A1396" s="14" t="n">
        <v>1853</v>
      </c>
      <c r="B1396" s="14" t="inlineStr">
        <is>
          <t>ener</t>
        </is>
      </c>
      <c r="C1396" s="14" t="inlineStr">
        <is>
          <t>die</t>
        </is>
      </c>
      <c r="D1396" s="14" t="inlineStr">
        <is>
          <t>srv</t>
        </is>
      </c>
      <c r="E1396" s="14" t="inlineStr">
        <is>
          <t>FUELUSE</t>
        </is>
      </c>
      <c r="F1396" s="92" t="inlineStr">
        <is>
          <t>FUELUSE(AD1853,AE1835,AD1835,AE1844,AD1844,AE$7,$D1853,$E1853,$F1853,$G1853)</t>
        </is>
      </c>
    </row>
    <row r="1397">
      <c r="A1397" s="14" t="n">
        <v>1854</v>
      </c>
      <c r="B1397" s="14" t="inlineStr">
        <is>
          <t>ener</t>
        </is>
      </c>
      <c r="C1397" s="14" t="inlineStr">
        <is>
          <t>lpg</t>
        </is>
      </c>
      <c r="D1397" s="14" t="inlineStr">
        <is>
          <t>srv</t>
        </is>
      </c>
      <c r="E1397" s="14" t="inlineStr">
        <is>
          <t>FUELUSE</t>
        </is>
      </c>
      <c r="F1397" s="92" t="inlineStr">
        <is>
          <t>FUELUSE(AD1854,AE1836,AD1836,AE1845,AD1845,AE$7,$D1854,$E1854,$F1854,$G1854)</t>
        </is>
      </c>
    </row>
    <row r="1398">
      <c r="A1398" s="14" t="n">
        <v>1855</v>
      </c>
      <c r="B1398" s="14" t="inlineStr">
        <is>
          <t>ener</t>
        </is>
      </c>
      <c r="C1398" s="14" t="inlineStr">
        <is>
          <t>ker</t>
        </is>
      </c>
      <c r="D1398" s="14" t="inlineStr">
        <is>
          <t>srv</t>
        </is>
      </c>
      <c r="E1398" s="14" t="inlineStr">
        <is>
          <t>FUELUSE</t>
        </is>
      </c>
      <c r="F1398" s="92" t="inlineStr">
        <is>
          <t>FUELUSE(AD1855,AE1837,AD1837,AE1846,AD1846,AE$7,$D1855,$E1855,$F1855,$G1855)</t>
        </is>
      </c>
    </row>
    <row r="1399">
      <c r="A1399" s="14" t="n">
        <v>1856</v>
      </c>
      <c r="B1399" s="14" t="inlineStr">
        <is>
          <t>ener</t>
        </is>
      </c>
      <c r="C1399" s="14" t="inlineStr">
        <is>
          <t>oop</t>
        </is>
      </c>
      <c r="D1399" s="14" t="inlineStr">
        <is>
          <t>srv</t>
        </is>
      </c>
      <c r="E1399" s="14" t="inlineStr">
        <is>
          <t>FUELUSE</t>
        </is>
      </c>
      <c r="F1399" s="92" t="inlineStr">
        <is>
          <t>FUELUSE(AD1856,AE1838,AD1838,AE1847,AD1847,AE$7,$D1856,$E1856,$F1856,$G1856)</t>
        </is>
      </c>
    </row>
    <row r="1400">
      <c r="A1400" s="14" t="n">
        <v>1857</v>
      </c>
      <c r="B1400" s="14" t="inlineStr">
        <is>
          <t>ener</t>
        </is>
      </c>
      <c r="C1400" s="14" t="inlineStr">
        <is>
          <t>bio</t>
        </is>
      </c>
      <c r="D1400" s="14" t="inlineStr">
        <is>
          <t>srv</t>
        </is>
      </c>
      <c r="E1400" s="14" t="inlineStr">
        <is>
          <t>FUELUSE</t>
        </is>
      </c>
      <c r="F1400" s="92" t="inlineStr">
        <is>
          <t>FUELUSE(AD1857,AE1839,AD1839,AE1848,AD1848,AE$7,$D1857,$E1857,$F1857,$G1857)</t>
        </is>
      </c>
    </row>
    <row r="1401">
      <c r="A1401" s="14" t="n">
        <v>1859</v>
      </c>
      <c r="B1401" s="14" t="inlineStr">
        <is>
          <t>co2</t>
        </is>
      </c>
      <c r="C1401" s="14" t="inlineStr">
        <is>
          <t>coa</t>
        </is>
      </c>
      <c r="D1401" s="14" t="inlineStr">
        <is>
          <t>srv</t>
        </is>
      </c>
      <c r="E1401" s="14" t="inlineStr">
        <is>
          <t>EMISSIONS</t>
        </is>
      </c>
      <c r="F1401" s="92" t="inlineStr">
        <is>
          <t>EMISSIONS(AE1850,Settings!$C$13,$D1859)</t>
        </is>
      </c>
    </row>
    <row r="1402">
      <c r="A1402" s="14" t="n">
        <v>1860</v>
      </c>
      <c r="B1402" s="14" t="inlineStr">
        <is>
          <t>co2</t>
        </is>
      </c>
      <c r="C1402" s="14" t="inlineStr">
        <is>
          <t>nga</t>
        </is>
      </c>
      <c r="D1402" s="14" t="inlineStr">
        <is>
          <t>srv</t>
        </is>
      </c>
      <c r="E1402" s="14" t="inlineStr">
        <is>
          <t>EMISSIONS</t>
        </is>
      </c>
      <c r="F1402" s="92" t="inlineStr">
        <is>
          <t>EMISSIONS(AE1851,Settings!$C$13,$D1860)</t>
        </is>
      </c>
    </row>
    <row r="1403">
      <c r="A1403" s="14" t="n">
        <v>1861</v>
      </c>
      <c r="B1403" s="14" t="inlineStr">
        <is>
          <t>co2</t>
        </is>
      </c>
      <c r="C1403" s="14" t="inlineStr">
        <is>
          <t>gso</t>
        </is>
      </c>
      <c r="D1403" s="14" t="inlineStr">
        <is>
          <t>srv</t>
        </is>
      </c>
      <c r="E1403" s="14" t="inlineStr">
        <is>
          <t>EMISSIONS</t>
        </is>
      </c>
      <c r="F1403" s="92" t="inlineStr">
        <is>
          <t>EMISSIONS(AE1852,Settings!$C$13,$D1861)</t>
        </is>
      </c>
    </row>
    <row r="1404">
      <c r="A1404" s="14" t="n">
        <v>1862</v>
      </c>
      <c r="B1404" s="14" t="inlineStr">
        <is>
          <t>co2</t>
        </is>
      </c>
      <c r="C1404" s="14" t="inlineStr">
        <is>
          <t>die</t>
        </is>
      </c>
      <c r="D1404" s="14" t="inlineStr">
        <is>
          <t>srv</t>
        </is>
      </c>
      <c r="E1404" s="14" t="inlineStr">
        <is>
          <t>EMISSIONS</t>
        </is>
      </c>
      <c r="F1404" s="92" t="inlineStr">
        <is>
          <t>EMISSIONS(AE1853,Settings!$C$13,$D1862)</t>
        </is>
      </c>
    </row>
    <row r="1405">
      <c r="A1405" s="14" t="n">
        <v>1863</v>
      </c>
      <c r="B1405" s="14" t="inlineStr">
        <is>
          <t>co2</t>
        </is>
      </c>
      <c r="C1405" s="14" t="inlineStr">
        <is>
          <t>lpg</t>
        </is>
      </c>
      <c r="D1405" s="14" t="inlineStr">
        <is>
          <t>srv</t>
        </is>
      </c>
      <c r="E1405" s="14" t="inlineStr">
        <is>
          <t>EMISSIONS</t>
        </is>
      </c>
      <c r="F1405" s="92" t="inlineStr">
        <is>
          <t>EMISSIONS(AE1854,Settings!$C$13,$D1863)</t>
        </is>
      </c>
    </row>
    <row r="1406">
      <c r="A1406" s="14" t="n">
        <v>1864</v>
      </c>
      <c r="B1406" s="14" t="inlineStr">
        <is>
          <t>co2</t>
        </is>
      </c>
      <c r="C1406" s="14" t="inlineStr">
        <is>
          <t>ker</t>
        </is>
      </c>
      <c r="D1406" s="14" t="inlineStr">
        <is>
          <t>srv</t>
        </is>
      </c>
      <c r="E1406" s="14" t="inlineStr">
        <is>
          <t>EMISSIONS</t>
        </is>
      </c>
      <c r="F1406" s="92" t="inlineStr">
        <is>
          <t>EMISSIONS(AE1855,Settings!$C$13,$D1864)</t>
        </is>
      </c>
    </row>
    <row r="1407">
      <c r="A1407" s="14" t="n">
        <v>1865</v>
      </c>
      <c r="B1407" s="14" t="inlineStr">
        <is>
          <t>co2</t>
        </is>
      </c>
      <c r="C1407" s="14" t="inlineStr">
        <is>
          <t>oop</t>
        </is>
      </c>
      <c r="D1407" s="14" t="inlineStr">
        <is>
          <t>srv</t>
        </is>
      </c>
      <c r="E1407" s="14" t="inlineStr">
        <is>
          <t>EMISSIONS</t>
        </is>
      </c>
      <c r="F1407" s="92" t="inlineStr">
        <is>
          <t>EMISSIONS(AE1856,Settings!$C$13,$D1865)</t>
        </is>
      </c>
    </row>
    <row r="1408">
      <c r="A1408" s="14" t="n">
        <v>1866</v>
      </c>
      <c r="B1408" s="14" t="inlineStr">
        <is>
          <t>co2</t>
        </is>
      </c>
      <c r="C1408" s="14" t="inlineStr">
        <is>
          <t>bio</t>
        </is>
      </c>
      <c r="D1408" s="14" t="inlineStr">
        <is>
          <t>srv</t>
        </is>
      </c>
      <c r="E1408" s="14" t="inlineStr">
        <is>
          <t>EMISSIONS</t>
        </is>
      </c>
      <c r="F1408" s="92" t="inlineStr">
        <is>
          <t>EMISSIONS(AE1857,Settings!$C$13,$D1866)</t>
        </is>
      </c>
    </row>
    <row r="1409">
      <c r="A1409" s="14" t="n">
        <v>1868</v>
      </c>
      <c r="B1409" s="14" t="inlineStr">
        <is>
          <t>rtx</t>
        </is>
      </c>
      <c r="C1409" s="14" t="inlineStr">
        <is>
          <t>coa</t>
        </is>
      </c>
      <c r="D1409" s="14" t="inlineStr">
        <is>
          <t>srv</t>
        </is>
      </c>
      <c r="E1409" s="14" t="inlineStr">
        <is>
          <t>REVENUE</t>
        </is>
      </c>
      <c r="F1409" s="92" t="inlineStr">
        <is>
          <t>REVENUE(AE1850,Settings!$C$13,INDEX(AE$407:AE$418,$D1868)+INDEX(AE$394:AE$405,$D1868)+AE1823*(1+$E1868))</t>
        </is>
      </c>
    </row>
    <row r="1410">
      <c r="A1410" s="14" t="n">
        <v>1869</v>
      </c>
      <c r="B1410" s="14" t="inlineStr">
        <is>
          <t>rtx</t>
        </is>
      </c>
      <c r="C1410" s="14" t="inlineStr">
        <is>
          <t>nga</t>
        </is>
      </c>
      <c r="D1410" s="14" t="inlineStr">
        <is>
          <t>srv</t>
        </is>
      </c>
      <c r="E1410" s="14" t="inlineStr">
        <is>
          <t>REVENUE</t>
        </is>
      </c>
      <c r="F1410" s="92" t="inlineStr">
        <is>
          <t>REVENUE(AE1851,Settings!$C$13,INDEX(AE$407:AE$418,$D1869)+INDEX(AE$394:AE$405,$D1869)+AE1824*(1+$E1869))</t>
        </is>
      </c>
    </row>
    <row r="1411">
      <c r="A1411" s="14" t="n">
        <v>1870</v>
      </c>
      <c r="B1411" s="14" t="inlineStr">
        <is>
          <t>rtx</t>
        </is>
      </c>
      <c r="C1411" s="14" t="inlineStr">
        <is>
          <t>gso</t>
        </is>
      </c>
      <c r="D1411" s="14" t="inlineStr">
        <is>
          <t>srv</t>
        </is>
      </c>
      <c r="E1411" s="14" t="inlineStr">
        <is>
          <t>REVENUE</t>
        </is>
      </c>
      <c r="F1411" s="92" t="inlineStr">
        <is>
          <t>REVENUE(AE1852,Settings!$C$13,INDEX(AE$407:AE$418,$D1870)+INDEX(AE$394:AE$405,$D1870)+AE1825*(1+$E1870))</t>
        </is>
      </c>
    </row>
    <row r="1412">
      <c r="A1412" s="14" t="n">
        <v>1871</v>
      </c>
      <c r="B1412" s="14" t="inlineStr">
        <is>
          <t>rtx</t>
        </is>
      </c>
      <c r="C1412" s="14" t="inlineStr">
        <is>
          <t>die</t>
        </is>
      </c>
      <c r="D1412" s="14" t="inlineStr">
        <is>
          <t>srv</t>
        </is>
      </c>
      <c r="E1412" s="14" t="inlineStr">
        <is>
          <t>REVENUE</t>
        </is>
      </c>
      <c r="F1412" s="92" t="inlineStr">
        <is>
          <t>REVENUE(AE1853,Settings!$C$13,INDEX(AE$407:AE$418,$D1871)+INDEX(AE$394:AE$405,$D1871)+AE1826*(1+$E1871))</t>
        </is>
      </c>
    </row>
    <row r="1413">
      <c r="A1413" s="14" t="n">
        <v>1872</v>
      </c>
      <c r="B1413" s="14" t="inlineStr">
        <is>
          <t>rtx</t>
        </is>
      </c>
      <c r="C1413" s="14" t="inlineStr">
        <is>
          <t>lpg</t>
        </is>
      </c>
      <c r="D1413" s="14" t="inlineStr">
        <is>
          <t>srv</t>
        </is>
      </c>
      <c r="E1413" s="14" t="inlineStr">
        <is>
          <t>REVENUE</t>
        </is>
      </c>
      <c r="F1413" s="92" t="inlineStr">
        <is>
          <t>REVENUE(AE1854,Settings!$C$13,INDEX(AE$407:AE$418,$D1872)+INDEX(AE$394:AE$405,$D1872)+AE1827*(1+$E1872))</t>
        </is>
      </c>
    </row>
    <row r="1414">
      <c r="A1414" s="14" t="n">
        <v>1873</v>
      </c>
      <c r="B1414" s="14" t="inlineStr">
        <is>
          <t>rtx</t>
        </is>
      </c>
      <c r="C1414" s="14" t="inlineStr">
        <is>
          <t>ker</t>
        </is>
      </c>
      <c r="D1414" s="14" t="inlineStr">
        <is>
          <t>srv</t>
        </is>
      </c>
      <c r="E1414" s="14" t="inlineStr">
        <is>
          <t>REVENUE</t>
        </is>
      </c>
      <c r="F1414" s="92" t="inlineStr">
        <is>
          <t>REVENUE(AE1855,Settings!$C$13,INDEX(AE$407:AE$418,$D1873)+INDEX(AE$394:AE$405,$D1873)+AE1828*(1+$E1873))</t>
        </is>
      </c>
    </row>
    <row r="1415">
      <c r="A1415" s="14" t="n">
        <v>1874</v>
      </c>
      <c r="B1415" s="14" t="inlineStr">
        <is>
          <t>rtx</t>
        </is>
      </c>
      <c r="C1415" s="14" t="inlineStr">
        <is>
          <t>oop</t>
        </is>
      </c>
      <c r="D1415" s="14" t="inlineStr">
        <is>
          <t>srv</t>
        </is>
      </c>
      <c r="E1415" s="14" t="inlineStr">
        <is>
          <t>REVENUE</t>
        </is>
      </c>
      <c r="F1415" s="92" t="inlineStr">
        <is>
          <t>REVENUE(AE1856,Settings!$C$13,INDEX(AE$407:AE$418,$D1874)+INDEX(AE$394:AE$405,$D1874)+AE1829*(1+$E1874))</t>
        </is>
      </c>
    </row>
    <row r="1416">
      <c r="A1416" s="14" t="n">
        <v>1875</v>
      </c>
      <c r="B1416" s="14" t="inlineStr">
        <is>
          <t>rtx</t>
        </is>
      </c>
      <c r="C1416" s="14" t="inlineStr">
        <is>
          <t>bio</t>
        </is>
      </c>
      <c r="D1416" s="14" t="inlineStr">
        <is>
          <t>srv</t>
        </is>
      </c>
      <c r="E1416" s="14" t="inlineStr">
        <is>
          <t>REVENUE</t>
        </is>
      </c>
      <c r="F1416" s="92" t="inlineStr">
        <is>
          <t>REVENUE(AE1857,Settings!$C$13,INDEX(AE$407:AE$418,$D1875)+INDEX(AE$394:AE$405,$D1875)+AE1830*(1+$E1875))</t>
        </is>
      </c>
    </row>
    <row r="1417">
      <c r="A1417" s="14" t="n">
        <v>1877</v>
      </c>
      <c r="B1417" s="14" t="inlineStr">
        <is>
          <t>rsub</t>
        </is>
      </c>
      <c r="C1417" s="14" t="inlineStr">
        <is>
          <t>coa</t>
        </is>
      </c>
      <c r="D1417" s="14" t="inlineStr">
        <is>
          <t>srv</t>
        </is>
      </c>
      <c r="E1417" s="14" t="inlineStr">
        <is>
          <t>REVENUE</t>
        </is>
      </c>
      <c r="F1417" s="92" t="inlineStr">
        <is>
          <t>REVENUE(AE1850,Settings!$C$13,INDEX(AE$420:AE$431,$D1877))</t>
        </is>
      </c>
    </row>
    <row r="1418">
      <c r="A1418" s="14" t="n">
        <v>1878</v>
      </c>
      <c r="B1418" s="14" t="inlineStr">
        <is>
          <t>rsub</t>
        </is>
      </c>
      <c r="C1418" s="14" t="inlineStr">
        <is>
          <t>nga</t>
        </is>
      </c>
      <c r="D1418" s="14" t="inlineStr">
        <is>
          <t>srv</t>
        </is>
      </c>
      <c r="E1418" s="14" t="inlineStr">
        <is>
          <t>REVENUE</t>
        </is>
      </c>
      <c r="F1418" s="92" t="inlineStr">
        <is>
          <t>REVENUE(AE1851,Settings!$C$13,INDEX(AE$420:AE$431,$D1878))</t>
        </is>
      </c>
    </row>
    <row r="1419">
      <c r="A1419" s="14" t="n">
        <v>1879</v>
      </c>
      <c r="B1419" s="14" t="inlineStr">
        <is>
          <t>rsub</t>
        </is>
      </c>
      <c r="C1419" s="14" t="inlineStr">
        <is>
          <t>gso</t>
        </is>
      </c>
      <c r="D1419" s="14" t="inlineStr">
        <is>
          <t>srv</t>
        </is>
      </c>
      <c r="E1419" s="14" t="inlineStr">
        <is>
          <t>REVENUE</t>
        </is>
      </c>
      <c r="F1419" s="92" t="inlineStr">
        <is>
          <t>REVENUE(AE1852,Settings!$C$13,INDEX(AE$420:AE$431,$D1879))</t>
        </is>
      </c>
    </row>
    <row r="1420">
      <c r="A1420" s="14" t="n">
        <v>1880</v>
      </c>
      <c r="B1420" s="14" t="inlineStr">
        <is>
          <t>rsub</t>
        </is>
      </c>
      <c r="C1420" s="14" t="inlineStr">
        <is>
          <t>die</t>
        </is>
      </c>
      <c r="D1420" s="14" t="inlineStr">
        <is>
          <t>srv</t>
        </is>
      </c>
      <c r="E1420" s="14" t="inlineStr">
        <is>
          <t>REVENUE</t>
        </is>
      </c>
      <c r="F1420" s="92" t="inlineStr">
        <is>
          <t>REVENUE(AE1853,Settings!$C$13,INDEX(AE$420:AE$431,$D1880))</t>
        </is>
      </c>
    </row>
    <row r="1421">
      <c r="A1421" s="14" t="n">
        <v>1881</v>
      </c>
      <c r="B1421" s="14" t="inlineStr">
        <is>
          <t>rsub</t>
        </is>
      </c>
      <c r="C1421" s="14" t="inlineStr">
        <is>
          <t>lpg</t>
        </is>
      </c>
      <c r="D1421" s="14" t="inlineStr">
        <is>
          <t>srv</t>
        </is>
      </c>
      <c r="E1421" s="14" t="inlineStr">
        <is>
          <t>REVENUE</t>
        </is>
      </c>
      <c r="F1421" s="92" t="inlineStr">
        <is>
          <t>REVENUE(AE1854,Settings!$C$13,INDEX(AE$420:AE$431,$D1881))</t>
        </is>
      </c>
    </row>
    <row r="1422">
      <c r="A1422" s="14" t="n">
        <v>1882</v>
      </c>
      <c r="B1422" s="14" t="inlineStr">
        <is>
          <t>rsub</t>
        </is>
      </c>
      <c r="C1422" s="14" t="inlineStr">
        <is>
          <t>ker</t>
        </is>
      </c>
      <c r="D1422" s="14" t="inlineStr">
        <is>
          <t>srv</t>
        </is>
      </c>
      <c r="E1422" s="14" t="inlineStr">
        <is>
          <t>REVENUE</t>
        </is>
      </c>
      <c r="F1422" s="92" t="inlineStr">
        <is>
          <t>REVENUE(AE1855,Settings!$C$13,INDEX(AE$420:AE$431,$D1882))</t>
        </is>
      </c>
    </row>
    <row r="1423">
      <c r="A1423" s="14" t="n">
        <v>1883</v>
      </c>
      <c r="B1423" s="14" t="inlineStr">
        <is>
          <t>rsub</t>
        </is>
      </c>
      <c r="C1423" s="14" t="inlineStr">
        <is>
          <t>oop</t>
        </is>
      </c>
      <c r="D1423" s="14" t="inlineStr">
        <is>
          <t>srv</t>
        </is>
      </c>
      <c r="E1423" s="14" t="inlineStr">
        <is>
          <t>REVENUE</t>
        </is>
      </c>
      <c r="F1423" s="92" t="inlineStr">
        <is>
          <t>REVENUE(AE1856,Settings!$C$13,INDEX(AE$420:AE$431,$D1883))</t>
        </is>
      </c>
    </row>
    <row r="1424">
      <c r="A1424" s="14" t="n">
        <v>1884</v>
      </c>
      <c r="B1424" s="14" t="inlineStr">
        <is>
          <t>rsub</t>
        </is>
      </c>
      <c r="C1424" s="14" t="inlineStr">
        <is>
          <t>bio</t>
        </is>
      </c>
      <c r="D1424" s="14" t="inlineStr">
        <is>
          <t>srv</t>
        </is>
      </c>
      <c r="E1424" s="14" t="inlineStr">
        <is>
          <t>REVENUE</t>
        </is>
      </c>
      <c r="F1424" s="92" t="inlineStr">
        <is>
          <t>REVENUE(AE1857,Settings!$C$13,INDEX(AE$420:AE$431,$D1884))</t>
        </is>
      </c>
    </row>
    <row r="1425">
      <c r="A1425" s="14" t="n">
        <v>1886</v>
      </c>
      <c r="B1425" s="14" t="inlineStr">
        <is>
          <t>rnew</t>
        </is>
      </c>
      <c r="C1425" s="14" t="inlineStr">
        <is>
          <t>coa</t>
        </is>
      </c>
      <c r="D1425" s="14" t="inlineStr">
        <is>
          <t>srv</t>
        </is>
      </c>
      <c r="E1425" s="14" t="inlineStr">
        <is>
          <t>REVENUE</t>
        </is>
      </c>
      <c r="F1425" s="92" t="inlineStr">
        <is>
          <t>REVENUE(AE1850,Settings!$C$13,NEWREVRATE(AE1778,AE1796,AE1787,AE$201,AE1805,$D1886))</t>
        </is>
      </c>
    </row>
    <row r="1426">
      <c r="A1426" s="14" t="n">
        <v>1887</v>
      </c>
      <c r="B1426" s="14" t="inlineStr">
        <is>
          <t>rnew</t>
        </is>
      </c>
      <c r="C1426" s="14" t="inlineStr">
        <is>
          <t>nga</t>
        </is>
      </c>
      <c r="D1426" s="14" t="inlineStr">
        <is>
          <t>srv</t>
        </is>
      </c>
      <c r="E1426" s="14" t="inlineStr">
        <is>
          <t>REVENUE</t>
        </is>
      </c>
      <c r="F1426" s="92" t="inlineStr">
        <is>
          <t>REVENUE(AE1851,Settings!$C$13,NEWREVRATE(AE1779,AE1797,AE1788,AE$201,AE1806,$D1887))</t>
        </is>
      </c>
    </row>
    <row r="1427">
      <c r="A1427" s="14" t="n">
        <v>1888</v>
      </c>
      <c r="B1427" s="14" t="inlineStr">
        <is>
          <t>rnew</t>
        </is>
      </c>
      <c r="C1427" s="14" t="inlineStr">
        <is>
          <t>gso</t>
        </is>
      </c>
      <c r="D1427" s="14" t="inlineStr">
        <is>
          <t>srv</t>
        </is>
      </c>
      <c r="E1427" s="14" t="inlineStr">
        <is>
          <t>REVENUE</t>
        </is>
      </c>
      <c r="F1427" s="92" t="inlineStr">
        <is>
          <t>REVENUE(AE1852,Settings!$C$13,NEWREVRATE(AE1780,AE1798,AE1789,AE$201,AE1807,$D1888))</t>
        </is>
      </c>
    </row>
    <row r="1428">
      <c r="A1428" s="14" t="n">
        <v>1889</v>
      </c>
      <c r="B1428" s="14" t="inlineStr">
        <is>
          <t>rnew</t>
        </is>
      </c>
      <c r="C1428" s="14" t="inlineStr">
        <is>
          <t>die</t>
        </is>
      </c>
      <c r="D1428" s="14" t="inlineStr">
        <is>
          <t>srv</t>
        </is>
      </c>
      <c r="E1428" s="14" t="inlineStr">
        <is>
          <t>REVENUE</t>
        </is>
      </c>
      <c r="F1428" s="92" t="inlineStr">
        <is>
          <t>REVENUE(AE1853,Settings!$C$13,NEWREVRATE(AE1781,AE1799,AE1790,AE$201,AE1808,$D1889))</t>
        </is>
      </c>
    </row>
    <row r="1429">
      <c r="A1429" s="14" t="n">
        <v>1890</v>
      </c>
      <c r="B1429" s="14" t="inlineStr">
        <is>
          <t>rnew</t>
        </is>
      </c>
      <c r="C1429" s="14" t="inlineStr">
        <is>
          <t>lpg</t>
        </is>
      </c>
      <c r="D1429" s="14" t="inlineStr">
        <is>
          <t>srv</t>
        </is>
      </c>
      <c r="E1429" s="14" t="inlineStr">
        <is>
          <t>REVENUE</t>
        </is>
      </c>
      <c r="F1429" s="92" t="inlineStr">
        <is>
          <t>REVENUE(AE1854,Settings!$C$13,NEWREVRATE(AE1782,AE1800,AE1791,AE$201,AE1809,$D1890))</t>
        </is>
      </c>
    </row>
    <row r="1430">
      <c r="A1430" s="14" t="n">
        <v>1891</v>
      </c>
      <c r="B1430" s="14" t="inlineStr">
        <is>
          <t>rnew</t>
        </is>
      </c>
      <c r="C1430" s="14" t="inlineStr">
        <is>
          <t>ker</t>
        </is>
      </c>
      <c r="D1430" s="14" t="inlineStr">
        <is>
          <t>srv</t>
        </is>
      </c>
      <c r="E1430" s="14" t="inlineStr">
        <is>
          <t>REVENUE</t>
        </is>
      </c>
      <c r="F1430" s="92" t="inlineStr">
        <is>
          <t>REVENUE(AE1855,Settings!$C$13,NEWREVRATE(AE1783,AE1801,AE1792,AE$201,AE1810,$D1891))</t>
        </is>
      </c>
    </row>
    <row r="1431">
      <c r="A1431" s="14" t="n">
        <v>1892</v>
      </c>
      <c r="B1431" s="14" t="inlineStr">
        <is>
          <t>rnew</t>
        </is>
      </c>
      <c r="C1431" s="14" t="inlineStr">
        <is>
          <t>oop</t>
        </is>
      </c>
      <c r="D1431" s="14" t="inlineStr">
        <is>
          <t>srv</t>
        </is>
      </c>
      <c r="E1431" s="14" t="inlineStr">
        <is>
          <t>REVENUE</t>
        </is>
      </c>
      <c r="F1431" s="92" t="inlineStr">
        <is>
          <t>REVENUE(AE1856,Settings!$C$13,NEWREVRATE(AE1784,AE1802,AE1793,AE$201,AE1811,$D1892))</t>
        </is>
      </c>
    </row>
    <row r="1432">
      <c r="A1432" s="14" t="n">
        <v>1893</v>
      </c>
      <c r="B1432" s="14" t="inlineStr">
        <is>
          <t>rnew</t>
        </is>
      </c>
      <c r="C1432" s="14" t="inlineStr">
        <is>
          <t>bio</t>
        </is>
      </c>
      <c r="D1432" s="14" t="inlineStr">
        <is>
          <t>srv</t>
        </is>
      </c>
      <c r="E1432" s="14" t="inlineStr">
        <is>
          <t>REVENUE</t>
        </is>
      </c>
      <c r="F1432" s="92" t="inlineStr">
        <is>
          <t>REVENUE(AE1857,Settings!$C$13,NEWREVRATE(AE1785,AE1803,AE1794,AE$201,AE1812,$D1893))</t>
        </is>
      </c>
    </row>
    <row r="1433">
      <c r="A1433" s="14" t="n">
        <v>1895</v>
      </c>
      <c r="B1433" s="14" t="inlineStr">
        <is>
          <t>rxcp</t>
        </is>
      </c>
      <c r="C1433" s="14" t="inlineStr">
        <is>
          <t>coa</t>
        </is>
      </c>
      <c r="D1433" s="14" t="inlineStr">
        <is>
          <t>srv</t>
        </is>
      </c>
      <c r="E1433" s="14" t="inlineStr">
        <is>
          <t>REVENUE</t>
        </is>
      </c>
      <c r="F1433" s="92" t="inlineStr">
        <is>
          <t>REVENUE(AE1850,Settings!$C$13,AE1814)</t>
        </is>
      </c>
    </row>
    <row r="1434">
      <c r="A1434" s="14" t="n">
        <v>1896</v>
      </c>
      <c r="B1434" s="14" t="inlineStr">
        <is>
          <t>rxcp</t>
        </is>
      </c>
      <c r="C1434" s="14" t="inlineStr">
        <is>
          <t>nga</t>
        </is>
      </c>
      <c r="D1434" s="14" t="inlineStr">
        <is>
          <t>srv</t>
        </is>
      </c>
      <c r="E1434" s="14" t="inlineStr">
        <is>
          <t>REVENUE</t>
        </is>
      </c>
      <c r="F1434" s="92" t="inlineStr">
        <is>
          <t>REVENUE(AE1851,Settings!$C$13,AE1815)</t>
        </is>
      </c>
    </row>
    <row r="1435">
      <c r="A1435" s="14" t="n">
        <v>1897</v>
      </c>
      <c r="B1435" s="14" t="inlineStr">
        <is>
          <t>rxcp</t>
        </is>
      </c>
      <c r="C1435" s="14" t="inlineStr">
        <is>
          <t>gso</t>
        </is>
      </c>
      <c r="D1435" s="14" t="inlineStr">
        <is>
          <t>srv</t>
        </is>
      </c>
      <c r="E1435" s="14" t="inlineStr">
        <is>
          <t>REVENUE</t>
        </is>
      </c>
      <c r="F1435" s="92" t="inlineStr">
        <is>
          <t>REVENUE(AE1852,Settings!$C$13,AE1816)</t>
        </is>
      </c>
    </row>
    <row r="1436">
      <c r="A1436" s="14" t="n">
        <v>1898</v>
      </c>
      <c r="B1436" s="14" t="inlineStr">
        <is>
          <t>rxcp</t>
        </is>
      </c>
      <c r="C1436" s="14" t="inlineStr">
        <is>
          <t>die</t>
        </is>
      </c>
      <c r="D1436" s="14" t="inlineStr">
        <is>
          <t>srv</t>
        </is>
      </c>
      <c r="E1436" s="14" t="inlineStr">
        <is>
          <t>REVENUE</t>
        </is>
      </c>
      <c r="F1436" s="92" t="inlineStr">
        <is>
          <t>REVENUE(AE1853,Settings!$C$13,AE1817)</t>
        </is>
      </c>
    </row>
    <row r="1437">
      <c r="A1437" s="14" t="n">
        <v>1899</v>
      </c>
      <c r="B1437" s="14" t="inlineStr">
        <is>
          <t>rxcp</t>
        </is>
      </c>
      <c r="C1437" s="14" t="inlineStr">
        <is>
          <t>lpg</t>
        </is>
      </c>
      <c r="D1437" s="14" t="inlineStr">
        <is>
          <t>srv</t>
        </is>
      </c>
      <c r="E1437" s="14" t="inlineStr">
        <is>
          <t>REVENUE</t>
        </is>
      </c>
      <c r="F1437" s="92" t="inlineStr">
        <is>
          <t>REVENUE(AE1854,Settings!$C$13,AE1818)</t>
        </is>
      </c>
    </row>
    <row r="1438">
      <c r="A1438" s="14" t="n">
        <v>1900</v>
      </c>
      <c r="B1438" s="14" t="inlineStr">
        <is>
          <t>rxcp</t>
        </is>
      </c>
      <c r="C1438" s="14" t="inlineStr">
        <is>
          <t>ker</t>
        </is>
      </c>
      <c r="D1438" s="14" t="inlineStr">
        <is>
          <t>srv</t>
        </is>
      </c>
      <c r="E1438" s="14" t="inlineStr">
        <is>
          <t>REVENUE</t>
        </is>
      </c>
      <c r="F1438" s="92" t="inlineStr">
        <is>
          <t>REVENUE(AE1855,Settings!$C$13,AE1819)</t>
        </is>
      </c>
    </row>
    <row r="1439">
      <c r="A1439" s="14" t="n">
        <v>1901</v>
      </c>
      <c r="B1439" s="14" t="inlineStr">
        <is>
          <t>rxcp</t>
        </is>
      </c>
      <c r="C1439" s="14" t="inlineStr">
        <is>
          <t>oop</t>
        </is>
      </c>
      <c r="D1439" s="14" t="inlineStr">
        <is>
          <t>srv</t>
        </is>
      </c>
      <c r="E1439" s="14" t="inlineStr">
        <is>
          <t>REVENUE</t>
        </is>
      </c>
      <c r="F1439" s="92" t="inlineStr">
        <is>
          <t>REVENUE(AE1856,Settings!$C$13,AE1820)</t>
        </is>
      </c>
    </row>
    <row r="1440">
      <c r="A1440" s="14" t="n">
        <v>1902</v>
      </c>
      <c r="B1440" s="14" t="inlineStr">
        <is>
          <t>rxcp</t>
        </is>
      </c>
      <c r="C1440" s="14" t="inlineStr">
        <is>
          <t>bio</t>
        </is>
      </c>
      <c r="D1440" s="14" t="inlineStr">
        <is>
          <t>srv</t>
        </is>
      </c>
      <c r="E1440" s="14" t="inlineStr">
        <is>
          <t>REVENUE</t>
        </is>
      </c>
      <c r="F1440" s="92" t="inlineStr">
        <is>
          <t>REVENUE(AE1857,Settings!$C$13,AE1821)</t>
        </is>
      </c>
    </row>
    <row r="1441">
      <c r="A1441" s="14" t="n">
        <v>1909</v>
      </c>
      <c r="B1441" s="14" t="inlineStr">
        <is>
          <t>ctxnew</t>
        </is>
      </c>
      <c r="C1441" s="14" t="inlineStr">
        <is>
          <t>coa</t>
        </is>
      </c>
      <c r="D1441" s="14" t="inlineStr">
        <is>
          <t>mch</t>
        </is>
      </c>
      <c r="E1441" s="14" t="inlineStr">
        <is>
          <t>CARBONTAX</t>
        </is>
      </c>
      <c r="F1441" s="92" t="inlineStr">
        <is>
          <t>CARBONTAX(INDEX(AE$263:AE$279,$F1909),$D1909,INDEX(AE$23:AE$30,$E1909))</t>
        </is>
      </c>
    </row>
    <row r="1442">
      <c r="A1442" s="14" t="n">
        <v>1910</v>
      </c>
      <c r="B1442" s="14" t="inlineStr">
        <is>
          <t>ctxnew</t>
        </is>
      </c>
      <c r="C1442" s="14" t="inlineStr">
        <is>
          <t>nga</t>
        </is>
      </c>
      <c r="D1442" s="14" t="inlineStr">
        <is>
          <t>mch</t>
        </is>
      </c>
      <c r="E1442" s="14" t="inlineStr">
        <is>
          <t>CARBONTAX</t>
        </is>
      </c>
      <c r="F1442" s="92" t="inlineStr">
        <is>
          <t>CARBONTAX(INDEX(AE$263:AE$279,$F1910),$D1910,INDEX(AE$23:AE$30,$E1910))</t>
        </is>
      </c>
    </row>
    <row r="1443">
      <c r="A1443" s="14" t="n">
        <v>1911</v>
      </c>
      <c r="B1443" s="14" t="inlineStr">
        <is>
          <t>ctxnew</t>
        </is>
      </c>
      <c r="C1443" s="14" t="inlineStr">
        <is>
          <t>gso</t>
        </is>
      </c>
      <c r="D1443" s="14" t="inlineStr">
        <is>
          <t>mch</t>
        </is>
      </c>
      <c r="E1443" s="14" t="inlineStr">
        <is>
          <t>CARBONTAX</t>
        </is>
      </c>
      <c r="F1443" s="92" t="inlineStr">
        <is>
          <t>CARBONTAX(INDEX(AE$263:AE$279,$F1911),$D1911,INDEX(AE$23:AE$30,$E1911))</t>
        </is>
      </c>
    </row>
    <row r="1444">
      <c r="A1444" s="14" t="n">
        <v>1912</v>
      </c>
      <c r="B1444" s="14" t="inlineStr">
        <is>
          <t>ctxnew</t>
        </is>
      </c>
      <c r="C1444" s="14" t="inlineStr">
        <is>
          <t>die</t>
        </is>
      </c>
      <c r="D1444" s="14" t="inlineStr">
        <is>
          <t>mch</t>
        </is>
      </c>
      <c r="E1444" s="14" t="inlineStr">
        <is>
          <t>CARBONTAX</t>
        </is>
      </c>
      <c r="F1444" s="92" t="inlineStr">
        <is>
          <t>CARBONTAX(INDEX(AE$263:AE$279,$F1912),$D1912,INDEX(AE$23:AE$30,$E1912))</t>
        </is>
      </c>
    </row>
    <row r="1445">
      <c r="A1445" s="14" t="n">
        <v>1913</v>
      </c>
      <c r="B1445" s="14" t="inlineStr">
        <is>
          <t>ctxnew</t>
        </is>
      </c>
      <c r="C1445" s="14" t="inlineStr">
        <is>
          <t>lpg</t>
        </is>
      </c>
      <c r="D1445" s="14" t="inlineStr">
        <is>
          <t>mch</t>
        </is>
      </c>
      <c r="E1445" s="14" t="inlineStr">
        <is>
          <t>CARBONTAX</t>
        </is>
      </c>
      <c r="F1445" s="92" t="inlineStr">
        <is>
          <t>CARBONTAX(INDEX(AE$263:AE$279,$F1913),$D1913,INDEX(AE$23:AE$30,$E1913))</t>
        </is>
      </c>
    </row>
    <row r="1446">
      <c r="A1446" s="14" t="n">
        <v>1914</v>
      </c>
      <c r="B1446" s="14" t="inlineStr">
        <is>
          <t>ctxnew</t>
        </is>
      </c>
      <c r="C1446" s="14" t="inlineStr">
        <is>
          <t>ker</t>
        </is>
      </c>
      <c r="D1446" s="14" t="inlineStr">
        <is>
          <t>mch</t>
        </is>
      </c>
      <c r="E1446" s="14" t="inlineStr">
        <is>
          <t>CARBONTAX</t>
        </is>
      </c>
      <c r="F1446" s="92" t="inlineStr">
        <is>
          <t>CARBONTAX(INDEX(AE$263:AE$279,$F1914),$D1914,INDEX(AE$23:AE$30,$E1914))</t>
        </is>
      </c>
    </row>
    <row r="1447">
      <c r="A1447" s="14" t="n">
        <v>1915</v>
      </c>
      <c r="B1447" s="14" t="inlineStr">
        <is>
          <t>ctxnew</t>
        </is>
      </c>
      <c r="C1447" s="14" t="inlineStr">
        <is>
          <t>oop</t>
        </is>
      </c>
      <c r="D1447" s="14" t="inlineStr">
        <is>
          <t>mch</t>
        </is>
      </c>
      <c r="E1447" s="14" t="inlineStr">
        <is>
          <t>CARBONTAX</t>
        </is>
      </c>
      <c r="F1447" s="92" t="inlineStr">
        <is>
          <t>CARBONTAX(INDEX(AE$263:AE$279,$F1915),$D1915,INDEX(AE$23:AE$30,$E1915))</t>
        </is>
      </c>
    </row>
    <row r="1448">
      <c r="A1448" s="14" t="n">
        <v>1916</v>
      </c>
      <c r="B1448" s="14" t="inlineStr">
        <is>
          <t>ctxnew</t>
        </is>
      </c>
      <c r="C1448" s="14" t="inlineStr">
        <is>
          <t>bio</t>
        </is>
      </c>
      <c r="D1448" s="14" t="inlineStr">
        <is>
          <t>mch</t>
        </is>
      </c>
      <c r="E1448" s="14" t="inlineStr">
        <is>
          <t>CARBONTAX</t>
        </is>
      </c>
      <c r="F1448" s="92" t="inlineStr">
        <is>
          <t>CARBONTAX(INDEX(AE$263:AE$279,$F1916),$D1916,INDEX(AE$23:AE$30,$E1916))</t>
        </is>
      </c>
    </row>
    <row r="1449">
      <c r="A1449" s="14" t="n">
        <v>1918</v>
      </c>
      <c r="B1449" s="14" t="inlineStr">
        <is>
          <t>ets</t>
        </is>
      </c>
      <c r="C1449" s="14" t="inlineStr">
        <is>
          <t>coa</t>
        </is>
      </c>
      <c r="D1449" s="14" t="inlineStr">
        <is>
          <t>mch</t>
        </is>
      </c>
      <c r="E1449" s="14" t="inlineStr">
        <is>
          <t>ETSCOST</t>
        </is>
      </c>
      <c r="F1449" s="92" t="inlineStr">
        <is>
          <t>ETSCOST(INDEX(AE$280:AE$296,$E1918),$D1918)</t>
        </is>
      </c>
    </row>
    <row r="1450">
      <c r="A1450" s="14" t="n">
        <v>1919</v>
      </c>
      <c r="B1450" s="14" t="inlineStr">
        <is>
          <t>ets</t>
        </is>
      </c>
      <c r="C1450" s="14" t="inlineStr">
        <is>
          <t>nga</t>
        </is>
      </c>
      <c r="D1450" s="14" t="inlineStr">
        <is>
          <t>mch</t>
        </is>
      </c>
      <c r="E1450" s="14" t="inlineStr">
        <is>
          <t>ETSCOST</t>
        </is>
      </c>
      <c r="F1450" s="92" t="inlineStr">
        <is>
          <t>ETSCOST(INDEX(AE$280:AE$296,$E1919),$D1919)</t>
        </is>
      </c>
    </row>
    <row r="1451">
      <c r="A1451" s="14" t="n">
        <v>1920</v>
      </c>
      <c r="B1451" s="14" t="inlineStr">
        <is>
          <t>ets</t>
        </is>
      </c>
      <c r="C1451" s="14" t="inlineStr">
        <is>
          <t>gso</t>
        </is>
      </c>
      <c r="D1451" s="14" t="inlineStr">
        <is>
          <t>mch</t>
        </is>
      </c>
      <c r="E1451" s="14" t="inlineStr">
        <is>
          <t>ETSCOST</t>
        </is>
      </c>
      <c r="F1451" s="92" t="inlineStr">
        <is>
          <t>ETSCOST(INDEX(AE$280:AE$296,$E1920),$D1920)</t>
        </is>
      </c>
    </row>
    <row r="1452">
      <c r="A1452" s="14" t="n">
        <v>1921</v>
      </c>
      <c r="B1452" s="14" t="inlineStr">
        <is>
          <t>ets</t>
        </is>
      </c>
      <c r="C1452" s="14" t="inlineStr">
        <is>
          <t>die</t>
        </is>
      </c>
      <c r="D1452" s="14" t="inlineStr">
        <is>
          <t>mch</t>
        </is>
      </c>
      <c r="E1452" s="14" t="inlineStr">
        <is>
          <t>ETSCOST</t>
        </is>
      </c>
      <c r="F1452" s="92" t="inlineStr">
        <is>
          <t>ETSCOST(INDEX(AE$280:AE$296,$E1921),$D1921)</t>
        </is>
      </c>
    </row>
    <row r="1453">
      <c r="A1453" s="14" t="n">
        <v>1922</v>
      </c>
      <c r="B1453" s="14" t="inlineStr">
        <is>
          <t>ets</t>
        </is>
      </c>
      <c r="C1453" s="14" t="inlineStr">
        <is>
          <t>lpg</t>
        </is>
      </c>
      <c r="D1453" s="14" t="inlineStr">
        <is>
          <t>mch</t>
        </is>
      </c>
      <c r="E1453" s="14" t="inlineStr">
        <is>
          <t>ETSCOST</t>
        </is>
      </c>
      <c r="F1453" s="92" t="inlineStr">
        <is>
          <t>ETSCOST(INDEX(AE$280:AE$296,$E1922),$D1922)</t>
        </is>
      </c>
    </row>
    <row r="1454">
      <c r="A1454" s="14" t="n">
        <v>1923</v>
      </c>
      <c r="B1454" s="14" t="inlineStr">
        <is>
          <t>ets</t>
        </is>
      </c>
      <c r="C1454" s="14" t="inlineStr">
        <is>
          <t>ker</t>
        </is>
      </c>
      <c r="D1454" s="14" t="inlineStr">
        <is>
          <t>mch</t>
        </is>
      </c>
      <c r="E1454" s="14" t="inlineStr">
        <is>
          <t>ETSCOST</t>
        </is>
      </c>
      <c r="F1454" s="92" t="inlineStr">
        <is>
          <t>ETSCOST(INDEX(AE$280:AE$296,$E1923),$D1923)</t>
        </is>
      </c>
    </row>
    <row r="1455">
      <c r="A1455" s="14" t="n">
        <v>1924</v>
      </c>
      <c r="B1455" s="14" t="inlineStr">
        <is>
          <t>ets</t>
        </is>
      </c>
      <c r="C1455" s="14" t="inlineStr">
        <is>
          <t>oop</t>
        </is>
      </c>
      <c r="D1455" s="14" t="inlineStr">
        <is>
          <t>mch</t>
        </is>
      </c>
      <c r="E1455" s="14" t="inlineStr">
        <is>
          <t>ETSCOST</t>
        </is>
      </c>
      <c r="F1455" s="92" t="inlineStr">
        <is>
          <t>ETSCOST(INDEX(AE$280:AE$296,$E1924),$D1924)</t>
        </is>
      </c>
    </row>
    <row r="1456">
      <c r="A1456" s="14" t="n">
        <v>1925</v>
      </c>
      <c r="B1456" s="14" t="inlineStr">
        <is>
          <t>ets</t>
        </is>
      </c>
      <c r="C1456" s="14" t="inlineStr">
        <is>
          <t>bio</t>
        </is>
      </c>
      <c r="D1456" s="14" t="inlineStr">
        <is>
          <t>mch</t>
        </is>
      </c>
      <c r="E1456" s="14" t="inlineStr">
        <is>
          <t>ETSCOST</t>
        </is>
      </c>
      <c r="F1456" s="92" t="inlineStr">
        <is>
          <t>ETSCOST(INDEX(AE$280:AE$296,$E1925),$D1925)</t>
        </is>
      </c>
    </row>
    <row r="1457">
      <c r="A1457" s="14" t="n">
        <v>1927</v>
      </c>
      <c r="B1457" s="14" t="inlineStr">
        <is>
          <t>ntx</t>
        </is>
      </c>
      <c r="C1457" s="14" t="inlineStr">
        <is>
          <t>coa</t>
        </is>
      </c>
      <c r="D1457" s="14" t="inlineStr">
        <is>
          <t>mch</t>
        </is>
      </c>
      <c r="E1457" s="14" t="inlineStr">
        <is>
          <t>NEWEXCISE</t>
        </is>
      </c>
      <c r="F1457" s="92" t="inlineStr">
        <is>
          <t>NEWEXCISE(INDEX(AE$80:AE$93,$D1927),$E1927)</t>
        </is>
      </c>
    </row>
    <row r="1458">
      <c r="A1458" s="14" t="n">
        <v>1928</v>
      </c>
      <c r="B1458" s="14" t="inlineStr">
        <is>
          <t>ntx</t>
        </is>
      </c>
      <c r="C1458" s="14" t="inlineStr">
        <is>
          <t>nga</t>
        </is>
      </c>
      <c r="D1458" s="14" t="inlineStr">
        <is>
          <t>mch</t>
        </is>
      </c>
      <c r="E1458" s="14" t="inlineStr">
        <is>
          <t>NEWEXCISE</t>
        </is>
      </c>
      <c r="F1458" s="92" t="inlineStr">
        <is>
          <t>NEWEXCISE(INDEX(AE$80:AE$93,$D1928),$E1928)</t>
        </is>
      </c>
    </row>
    <row r="1459">
      <c r="A1459" s="14" t="n">
        <v>1929</v>
      </c>
      <c r="B1459" s="14" t="inlineStr">
        <is>
          <t>ntx</t>
        </is>
      </c>
      <c r="C1459" s="14" t="inlineStr">
        <is>
          <t>gso</t>
        </is>
      </c>
      <c r="D1459" s="14" t="inlineStr">
        <is>
          <t>mch</t>
        </is>
      </c>
      <c r="E1459" s="14" t="inlineStr">
        <is>
          <t>NEWEXCISE</t>
        </is>
      </c>
      <c r="F1459" s="92" t="inlineStr">
        <is>
          <t>NEWEXCISE(INDEX(AE$80:AE$93,$D1929),$E1929)</t>
        </is>
      </c>
    </row>
    <row r="1460">
      <c r="A1460" s="14" t="n">
        <v>1930</v>
      </c>
      <c r="B1460" s="14" t="inlineStr">
        <is>
          <t>ntx</t>
        </is>
      </c>
      <c r="C1460" s="14" t="inlineStr">
        <is>
          <t>die</t>
        </is>
      </c>
      <c r="D1460" s="14" t="inlineStr">
        <is>
          <t>mch</t>
        </is>
      </c>
      <c r="E1460" s="14" t="inlineStr">
        <is>
          <t>NEWEXCISE</t>
        </is>
      </c>
      <c r="F1460" s="92" t="inlineStr">
        <is>
          <t>NEWEXCISE(INDEX(AE$80:AE$93,$D1930),$E1930)</t>
        </is>
      </c>
    </row>
    <row r="1461">
      <c r="A1461" s="14" t="n">
        <v>1931</v>
      </c>
      <c r="B1461" s="14" t="inlineStr">
        <is>
          <t>ntx</t>
        </is>
      </c>
      <c r="C1461" s="14" t="inlineStr">
        <is>
          <t>lpg</t>
        </is>
      </c>
      <c r="D1461" s="14" t="inlineStr">
        <is>
          <t>mch</t>
        </is>
      </c>
      <c r="E1461" s="14" t="inlineStr">
        <is>
          <t>NEWEXCISE</t>
        </is>
      </c>
      <c r="F1461" s="92" t="inlineStr">
        <is>
          <t>NEWEXCISE(INDEX(AE$80:AE$93,$D1931),$E1931)</t>
        </is>
      </c>
    </row>
    <row r="1462">
      <c r="A1462" s="14" t="n">
        <v>1932</v>
      </c>
      <c r="B1462" s="14" t="inlineStr">
        <is>
          <t>ntx</t>
        </is>
      </c>
      <c r="C1462" s="14" t="inlineStr">
        <is>
          <t>ker</t>
        </is>
      </c>
      <c r="D1462" s="14" t="inlineStr">
        <is>
          <t>mch</t>
        </is>
      </c>
      <c r="E1462" s="14" t="inlineStr">
        <is>
          <t>NEWEXCISE</t>
        </is>
      </c>
      <c r="F1462" s="92" t="inlineStr">
        <is>
          <t>NEWEXCISE(INDEX(AE$80:AE$93,$D1932),$E1932)</t>
        </is>
      </c>
    </row>
    <row r="1463">
      <c r="A1463" s="14" t="n">
        <v>1933</v>
      </c>
      <c r="B1463" s="14" t="inlineStr">
        <is>
          <t>ntx</t>
        </is>
      </c>
      <c r="C1463" s="14" t="inlineStr">
        <is>
          <t>oop</t>
        </is>
      </c>
      <c r="D1463" s="14" t="inlineStr">
        <is>
          <t>mch</t>
        </is>
      </c>
      <c r="E1463" s="14" t="inlineStr">
        <is>
          <t>NEWEXCISE</t>
        </is>
      </c>
      <c r="F1463" s="92" t="inlineStr">
        <is>
          <t>NEWEXCISE(INDEX(AE$80:AE$93,$D1933),$E1933)</t>
        </is>
      </c>
    </row>
    <row r="1464">
      <c r="A1464" s="14" t="n">
        <v>1934</v>
      </c>
      <c r="B1464" s="14" t="inlineStr">
        <is>
          <t>ntx</t>
        </is>
      </c>
      <c r="C1464" s="14" t="inlineStr">
        <is>
          <t>bio</t>
        </is>
      </c>
      <c r="D1464" s="14" t="inlineStr">
        <is>
          <t>mch</t>
        </is>
      </c>
      <c r="E1464" s="14" t="inlineStr">
        <is>
          <t>NEWEXCISE</t>
        </is>
      </c>
      <c r="F1464" s="92" t="inlineStr">
        <is>
          <t>NEWEXCISE(INDEX(AE$80:AE$93,$D1934),$E1934)</t>
        </is>
      </c>
    </row>
    <row r="1465">
      <c r="A1465" s="14" t="n">
        <v>1936</v>
      </c>
      <c r="B1465" s="14" t="inlineStr">
        <is>
          <t>nce</t>
        </is>
      </c>
      <c r="C1465" s="14" t="inlineStr">
        <is>
          <t>coa</t>
        </is>
      </c>
      <c r="D1465" s="14" t="inlineStr">
        <is>
          <t>mch</t>
        </is>
      </c>
      <c r="E1465" s="14" t="inlineStr">
        <is>
          <t>NEWPOLICY</t>
        </is>
      </c>
      <c r="F1465" s="92" t="inlineStr">
        <is>
          <t>NEWPOLICY(AE1909,AE1918,AE1927)</t>
        </is>
      </c>
    </row>
    <row r="1466">
      <c r="A1466" s="14" t="n">
        <v>1937</v>
      </c>
      <c r="B1466" s="14" t="inlineStr">
        <is>
          <t>nce</t>
        </is>
      </c>
      <c r="C1466" s="14" t="inlineStr">
        <is>
          <t>nga</t>
        </is>
      </c>
      <c r="D1466" s="14" t="inlineStr">
        <is>
          <t>mch</t>
        </is>
      </c>
      <c r="E1466" s="14" t="inlineStr">
        <is>
          <t>NEWPOLICY</t>
        </is>
      </c>
      <c r="F1466" s="92" t="inlineStr">
        <is>
          <t>NEWPOLICY(AE1910,AE1919,AE1928)</t>
        </is>
      </c>
    </row>
    <row r="1467">
      <c r="A1467" s="14" t="n">
        <v>1938</v>
      </c>
      <c r="B1467" s="14" t="inlineStr">
        <is>
          <t>nce</t>
        </is>
      </c>
      <c r="C1467" s="14" t="inlineStr">
        <is>
          <t>gso</t>
        </is>
      </c>
      <c r="D1467" s="14" t="inlineStr">
        <is>
          <t>mch</t>
        </is>
      </c>
      <c r="E1467" s="14" t="inlineStr">
        <is>
          <t>NEWPOLICY</t>
        </is>
      </c>
      <c r="F1467" s="92" t="inlineStr">
        <is>
          <t>NEWPOLICY(AE1911,AE1920,AE1929)</t>
        </is>
      </c>
    </row>
    <row r="1468">
      <c r="A1468" s="14" t="n">
        <v>1939</v>
      </c>
      <c r="B1468" s="14" t="inlineStr">
        <is>
          <t>nce</t>
        </is>
      </c>
      <c r="C1468" s="14" t="inlineStr">
        <is>
          <t>die</t>
        </is>
      </c>
      <c r="D1468" s="14" t="inlineStr">
        <is>
          <t>mch</t>
        </is>
      </c>
      <c r="E1468" s="14" t="inlineStr">
        <is>
          <t>NEWPOLICY</t>
        </is>
      </c>
      <c r="F1468" s="92" t="inlineStr">
        <is>
          <t>NEWPOLICY(AE1912,AE1921,AE1930)</t>
        </is>
      </c>
    </row>
    <row r="1469">
      <c r="A1469" s="14" t="n">
        <v>1940</v>
      </c>
      <c r="B1469" s="14" t="inlineStr">
        <is>
          <t>nce</t>
        </is>
      </c>
      <c r="C1469" s="14" t="inlineStr">
        <is>
          <t>lpg</t>
        </is>
      </c>
      <c r="D1469" s="14" t="inlineStr">
        <is>
          <t>mch</t>
        </is>
      </c>
      <c r="E1469" s="14" t="inlineStr">
        <is>
          <t>NEWPOLICY</t>
        </is>
      </c>
      <c r="F1469" s="92" t="inlineStr">
        <is>
          <t>NEWPOLICY(AE1913,AE1922,AE1931)</t>
        </is>
      </c>
    </row>
    <row r="1470">
      <c r="A1470" s="14" t="n">
        <v>1941</v>
      </c>
      <c r="B1470" s="14" t="inlineStr">
        <is>
          <t>nce</t>
        </is>
      </c>
      <c r="C1470" s="14" t="inlineStr">
        <is>
          <t>ker</t>
        </is>
      </c>
      <c r="D1470" s="14" t="inlineStr">
        <is>
          <t>mch</t>
        </is>
      </c>
      <c r="E1470" s="14" t="inlineStr">
        <is>
          <t>NEWPOLICY</t>
        </is>
      </c>
      <c r="F1470" s="92" t="inlineStr">
        <is>
          <t>NEWPOLICY(AE1914,AE1923,AE1932)</t>
        </is>
      </c>
    </row>
    <row r="1471">
      <c r="A1471" s="14" t="n">
        <v>1942</v>
      </c>
      <c r="B1471" s="14" t="inlineStr">
        <is>
          <t>nce</t>
        </is>
      </c>
      <c r="C1471" s="14" t="inlineStr">
        <is>
          <t>oop</t>
        </is>
      </c>
      <c r="D1471" s="14" t="inlineStr">
        <is>
          <t>mch</t>
        </is>
      </c>
      <c r="E1471" s="14" t="inlineStr">
        <is>
          <t>NEWPOLICY</t>
        </is>
      </c>
      <c r="F1471" s="92" t="inlineStr">
        <is>
          <t>NEWPOLICY(AE1915,AE1924,AE1933)</t>
        </is>
      </c>
    </row>
    <row r="1472">
      <c r="A1472" s="14" t="n">
        <v>1943</v>
      </c>
      <c r="B1472" s="14" t="inlineStr">
        <is>
          <t>nce</t>
        </is>
      </c>
      <c r="C1472" s="14" t="inlineStr">
        <is>
          <t>bio</t>
        </is>
      </c>
      <c r="D1472" s="14" t="inlineStr">
        <is>
          <t>mch</t>
        </is>
      </c>
      <c r="E1472" s="14" t="inlineStr">
        <is>
          <t>NEWPOLICY</t>
        </is>
      </c>
      <c r="F1472" s="92" t="inlineStr">
        <is>
          <t>NEWPOLICY(AE1916,AE1925,AE1934)</t>
        </is>
      </c>
    </row>
    <row r="1473">
      <c r="A1473" s="14" t="n">
        <v>1945</v>
      </c>
      <c r="B1473" s="14" t="inlineStr">
        <is>
          <t>xcp</t>
        </is>
      </c>
      <c r="C1473" s="14" t="inlineStr">
        <is>
          <t>coa</t>
        </is>
      </c>
      <c r="D1473" s="14" t="inlineStr">
        <is>
          <t>mch</t>
        </is>
      </c>
      <c r="E1473" s="14" t="inlineStr">
        <is>
          <t>XCARBON</t>
        </is>
      </c>
      <c r="F1473" s="92" t="inlineStr">
        <is>
          <t>XCARBON($D1945,$E1945,AE$321,$F1945,AE$324)</t>
        </is>
      </c>
    </row>
    <row r="1474">
      <c r="A1474" s="14" t="n">
        <v>1946</v>
      </c>
      <c r="B1474" s="14" t="inlineStr">
        <is>
          <t>xcp</t>
        </is>
      </c>
      <c r="C1474" s="14" t="inlineStr">
        <is>
          <t>nga</t>
        </is>
      </c>
      <c r="D1474" s="14" t="inlineStr">
        <is>
          <t>mch</t>
        </is>
      </c>
      <c r="E1474" s="14" t="inlineStr">
        <is>
          <t>XCARBON</t>
        </is>
      </c>
      <c r="F1474" s="92" t="inlineStr">
        <is>
          <t>XCARBON($D1946,$E1946,AE$321,$F1946,AE$324)</t>
        </is>
      </c>
    </row>
    <row r="1475">
      <c r="A1475" s="14" t="n">
        <v>1947</v>
      </c>
      <c r="B1475" s="14" t="inlineStr">
        <is>
          <t>xcp</t>
        </is>
      </c>
      <c r="C1475" s="14" t="inlineStr">
        <is>
          <t>gso</t>
        </is>
      </c>
      <c r="D1475" s="14" t="inlineStr">
        <is>
          <t>mch</t>
        </is>
      </c>
      <c r="E1475" s="14" t="inlineStr">
        <is>
          <t>XCARBON</t>
        </is>
      </c>
      <c r="F1475" s="92" t="inlineStr">
        <is>
          <t>XCARBON($D1947,$E1947,AE$321,$F1947,AE$324)</t>
        </is>
      </c>
    </row>
    <row r="1476">
      <c r="A1476" s="14" t="n">
        <v>1948</v>
      </c>
      <c r="B1476" s="14" t="inlineStr">
        <is>
          <t>xcp</t>
        </is>
      </c>
      <c r="C1476" s="14" t="inlineStr">
        <is>
          <t>die</t>
        </is>
      </c>
      <c r="D1476" s="14" t="inlineStr">
        <is>
          <t>mch</t>
        </is>
      </c>
      <c r="E1476" s="14" t="inlineStr">
        <is>
          <t>XCARBON</t>
        </is>
      </c>
      <c r="F1476" s="92" t="inlineStr">
        <is>
          <t>XCARBON($D1948,$E1948,AE$321,$F1948,AE$324)</t>
        </is>
      </c>
    </row>
    <row r="1477">
      <c r="A1477" s="14" t="n">
        <v>1949</v>
      </c>
      <c r="B1477" s="14" t="inlineStr">
        <is>
          <t>xcp</t>
        </is>
      </c>
      <c r="C1477" s="14" t="inlineStr">
        <is>
          <t>lpg</t>
        </is>
      </c>
      <c r="D1477" s="14" t="inlineStr">
        <is>
          <t>mch</t>
        </is>
      </c>
      <c r="E1477" s="14" t="inlineStr">
        <is>
          <t>XCARBON</t>
        </is>
      </c>
      <c r="F1477" s="92" t="inlineStr">
        <is>
          <t>XCARBON($D1949,$E1949,AE$321,$F1949,AE$324)</t>
        </is>
      </c>
    </row>
    <row r="1478">
      <c r="A1478" s="14" t="n">
        <v>1950</v>
      </c>
      <c r="B1478" s="14" t="inlineStr">
        <is>
          <t>xcp</t>
        </is>
      </c>
      <c r="C1478" s="14" t="inlineStr">
        <is>
          <t>ker</t>
        </is>
      </c>
      <c r="D1478" s="14" t="inlineStr">
        <is>
          <t>mch</t>
        </is>
      </c>
      <c r="E1478" s="14" t="inlineStr">
        <is>
          <t>XCARBON</t>
        </is>
      </c>
      <c r="F1478" s="92" t="inlineStr">
        <is>
          <t>XCARBON($D1950,$E1950,AE$321,$F1950,AE$324)</t>
        </is>
      </c>
    </row>
    <row r="1479">
      <c r="A1479" s="14" t="n">
        <v>1951</v>
      </c>
      <c r="B1479" s="14" t="inlineStr">
        <is>
          <t>xcp</t>
        </is>
      </c>
      <c r="C1479" s="14" t="inlineStr">
        <is>
          <t>oop</t>
        </is>
      </c>
      <c r="D1479" s="14" t="inlineStr">
        <is>
          <t>mch</t>
        </is>
      </c>
      <c r="E1479" s="14" t="inlineStr">
        <is>
          <t>XCARBON</t>
        </is>
      </c>
      <c r="F1479" s="92" t="inlineStr">
        <is>
          <t>XCARBON($D1951,$E1951,AE$321,$F1951,AE$324)</t>
        </is>
      </c>
    </row>
    <row r="1480">
      <c r="A1480" s="14" t="n">
        <v>1952</v>
      </c>
      <c r="B1480" s="14" t="inlineStr">
        <is>
          <t>xcp</t>
        </is>
      </c>
      <c r="C1480" s="14" t="inlineStr">
        <is>
          <t>bio</t>
        </is>
      </c>
      <c r="D1480" s="14" t="inlineStr">
        <is>
          <t>mch</t>
        </is>
      </c>
      <c r="E1480" s="14" t="inlineStr">
        <is>
          <t>XCARBON</t>
        </is>
      </c>
      <c r="F1480" s="92" t="inlineStr">
        <is>
          <t>XCARBON($D1952,$E1952,AE$321,$F1952,AE$324)</t>
        </is>
      </c>
    </row>
    <row r="1481">
      <c r="A1481" s="14" t="n">
        <v>1954</v>
      </c>
      <c r="B1481" s="14" t="inlineStr">
        <is>
          <t>xcpd</t>
        </is>
      </c>
      <c r="C1481" s="14" t="inlineStr">
        <is>
          <t>coa</t>
        </is>
      </c>
      <c r="D1481" s="14" t="inlineStr">
        <is>
          <t>mch</t>
        </is>
      </c>
      <c r="E1481" s="14" t="inlineStr">
        <is>
          <t>XCARBON</t>
        </is>
      </c>
      <c r="F1481" s="92" t="inlineStr">
        <is>
          <t>XCARBON($D1954,$E1954,(AE$321-AE$322),$F1954,(AE$324-AE$325))</t>
        </is>
      </c>
    </row>
    <row r="1482">
      <c r="A1482" s="14" t="n">
        <v>1955</v>
      </c>
      <c r="B1482" s="14" t="inlineStr">
        <is>
          <t>xcpd</t>
        </is>
      </c>
      <c r="C1482" s="14" t="inlineStr">
        <is>
          <t>nga</t>
        </is>
      </c>
      <c r="D1482" s="14" t="inlineStr">
        <is>
          <t>mch</t>
        </is>
      </c>
      <c r="E1482" s="14" t="inlineStr">
        <is>
          <t>XCARBON</t>
        </is>
      </c>
      <c r="F1482" s="92" t="inlineStr">
        <is>
          <t>XCARBON($D1955,$E1955,(AE$321-AE$322),$F1955,(AE$324-AE$325))</t>
        </is>
      </c>
    </row>
    <row r="1483">
      <c r="A1483" s="14" t="n">
        <v>1956</v>
      </c>
      <c r="B1483" s="14" t="inlineStr">
        <is>
          <t>xcpd</t>
        </is>
      </c>
      <c r="C1483" s="14" t="inlineStr">
        <is>
          <t>gso</t>
        </is>
      </c>
      <c r="D1483" s="14" t="inlineStr">
        <is>
          <t>mch</t>
        </is>
      </c>
      <c r="E1483" s="14" t="inlineStr">
        <is>
          <t>XCARBON</t>
        </is>
      </c>
      <c r="F1483" s="92" t="inlineStr">
        <is>
          <t>XCARBON($D1956,$E1956,(AE$321-AE$322),$F1956,(AE$324-AE$325))</t>
        </is>
      </c>
    </row>
    <row r="1484">
      <c r="A1484" s="14" t="n">
        <v>1957</v>
      </c>
      <c r="B1484" s="14" t="inlineStr">
        <is>
          <t>xcpd</t>
        </is>
      </c>
      <c r="C1484" s="14" t="inlineStr">
        <is>
          <t>die</t>
        </is>
      </c>
      <c r="D1484" s="14" t="inlineStr">
        <is>
          <t>mch</t>
        </is>
      </c>
      <c r="E1484" s="14" t="inlineStr">
        <is>
          <t>XCARBON</t>
        </is>
      </c>
      <c r="F1484" s="92" t="inlineStr">
        <is>
          <t>XCARBON($D1957,$E1957,(AE$321-AE$322),$F1957,(AE$324-AE$325))</t>
        </is>
      </c>
    </row>
    <row r="1485">
      <c r="A1485" s="14" t="n">
        <v>1958</v>
      </c>
      <c r="B1485" s="14" t="inlineStr">
        <is>
          <t>xcpd</t>
        </is>
      </c>
      <c r="C1485" s="14" t="inlineStr">
        <is>
          <t>lpg</t>
        </is>
      </c>
      <c r="D1485" s="14" t="inlineStr">
        <is>
          <t>mch</t>
        </is>
      </c>
      <c r="E1485" s="14" t="inlineStr">
        <is>
          <t>XCARBON</t>
        </is>
      </c>
      <c r="F1485" s="92" t="inlineStr">
        <is>
          <t>XCARBON($D1958,$E1958,(AE$321-AE$322),$F1958,(AE$324-AE$325))</t>
        </is>
      </c>
    </row>
    <row r="1486">
      <c r="A1486" s="14" t="n">
        <v>1959</v>
      </c>
      <c r="B1486" s="14" t="inlineStr">
        <is>
          <t>xcpd</t>
        </is>
      </c>
      <c r="C1486" s="14" t="inlineStr">
        <is>
          <t>ker</t>
        </is>
      </c>
      <c r="D1486" s="14" t="inlineStr">
        <is>
          <t>mch</t>
        </is>
      </c>
      <c r="E1486" s="14" t="inlineStr">
        <is>
          <t>XCARBON</t>
        </is>
      </c>
      <c r="F1486" s="92" t="inlineStr">
        <is>
          <t>XCARBON($D1959,$E1959,(AE$321-AE$322),$F1959,(AE$324-AE$325))</t>
        </is>
      </c>
    </row>
    <row r="1487">
      <c r="A1487" s="14" t="n">
        <v>1960</v>
      </c>
      <c r="B1487" s="14" t="inlineStr">
        <is>
          <t>xcpd</t>
        </is>
      </c>
      <c r="C1487" s="14" t="inlineStr">
        <is>
          <t>oop</t>
        </is>
      </c>
      <c r="D1487" s="14" t="inlineStr">
        <is>
          <t>mch</t>
        </is>
      </c>
      <c r="E1487" s="14" t="inlineStr">
        <is>
          <t>XCARBON</t>
        </is>
      </c>
      <c r="F1487" s="92" t="inlineStr">
        <is>
          <t>XCARBON($D1960,$E1960,(AE$321-AE$322),$F1960,(AE$324-AE$325))</t>
        </is>
      </c>
    </row>
    <row r="1488">
      <c r="A1488" s="14" t="n">
        <v>1961</v>
      </c>
      <c r="B1488" s="14" t="inlineStr">
        <is>
          <t>xcpd</t>
        </is>
      </c>
      <c r="C1488" s="14" t="inlineStr">
        <is>
          <t>bio</t>
        </is>
      </c>
      <c r="D1488" s="14" t="inlineStr">
        <is>
          <t>mch</t>
        </is>
      </c>
      <c r="E1488" s="14" t="inlineStr">
        <is>
          <t>XCARBON</t>
        </is>
      </c>
      <c r="F1488" s="92" t="inlineStr">
        <is>
          <t>XCARBON($D1961,$E1961,(AE$321-AE$322),$F1961,(AE$324-AE$325))</t>
        </is>
      </c>
    </row>
    <row r="1489">
      <c r="A1489" s="14" t="n">
        <v>1963</v>
      </c>
      <c r="B1489" s="14" t="inlineStr">
        <is>
          <t>atp</t>
        </is>
      </c>
      <c r="C1489" s="14" t="inlineStr">
        <is>
          <t>coa</t>
        </is>
      </c>
      <c r="D1489" s="14" t="inlineStr">
        <is>
          <t>mch</t>
        </is>
      </c>
      <c r="E1489" s="14" t="inlineStr">
        <is>
          <t>POSTTAX</t>
        </is>
      </c>
      <c r="F1489" s="92" t="inlineStr">
        <is>
          <t>POSTTAX(INDEX(AE$381:AE$392,$D1963),AE1936+AE1954,$E1963)</t>
        </is>
      </c>
    </row>
    <row r="1490">
      <c r="A1490" s="14" t="n">
        <v>1964</v>
      </c>
      <c r="B1490" s="14" t="inlineStr">
        <is>
          <t>atp</t>
        </is>
      </c>
      <c r="C1490" s="14" t="inlineStr">
        <is>
          <t>nga</t>
        </is>
      </c>
      <c r="D1490" s="14" t="inlineStr">
        <is>
          <t>mch</t>
        </is>
      </c>
      <c r="E1490" s="14" t="inlineStr">
        <is>
          <t>POSTTAX</t>
        </is>
      </c>
      <c r="F1490" s="92" t="inlineStr">
        <is>
          <t>POSTTAX(INDEX(AE$381:AE$392,$D1964),AE1937+AE1955,$E1964)</t>
        </is>
      </c>
    </row>
    <row r="1491">
      <c r="A1491" s="14" t="n">
        <v>1965</v>
      </c>
      <c r="B1491" s="14" t="inlineStr">
        <is>
          <t>atp</t>
        </is>
      </c>
      <c r="C1491" s="14" t="inlineStr">
        <is>
          <t>gso</t>
        </is>
      </c>
      <c r="D1491" s="14" t="inlineStr">
        <is>
          <t>mch</t>
        </is>
      </c>
      <c r="E1491" s="14" t="inlineStr">
        <is>
          <t>POSTTAX</t>
        </is>
      </c>
      <c r="F1491" s="92" t="inlineStr">
        <is>
          <t>POSTTAX(INDEX(AE$381:AE$392,$D1965),AE1938+AE1956,$E1965)</t>
        </is>
      </c>
    </row>
    <row r="1492">
      <c r="A1492" s="14" t="n">
        <v>1966</v>
      </c>
      <c r="B1492" s="14" t="inlineStr">
        <is>
          <t>atp</t>
        </is>
      </c>
      <c r="C1492" s="14" t="inlineStr">
        <is>
          <t>die</t>
        </is>
      </c>
      <c r="D1492" s="14" t="inlineStr">
        <is>
          <t>mch</t>
        </is>
      </c>
      <c r="E1492" s="14" t="inlineStr">
        <is>
          <t>POSTTAX</t>
        </is>
      </c>
      <c r="F1492" s="92" t="inlineStr">
        <is>
          <t>POSTTAX(INDEX(AE$381:AE$392,$D1966),AE1939+AE1957,$E1966)</t>
        </is>
      </c>
    </row>
    <row r="1493">
      <c r="A1493" s="14" t="n">
        <v>1967</v>
      </c>
      <c r="B1493" s="14" t="inlineStr">
        <is>
          <t>atp</t>
        </is>
      </c>
      <c r="C1493" s="14" t="inlineStr">
        <is>
          <t>lpg</t>
        </is>
      </c>
      <c r="D1493" s="14" t="inlineStr">
        <is>
          <t>mch</t>
        </is>
      </c>
      <c r="E1493" s="14" t="inlineStr">
        <is>
          <t>POSTTAX</t>
        </is>
      </c>
      <c r="F1493" s="92" t="inlineStr">
        <is>
          <t>POSTTAX(INDEX(AE$381:AE$392,$D1967),AE1940+AE1958,$E1967)</t>
        </is>
      </c>
    </row>
    <row r="1494">
      <c r="A1494" s="14" t="n">
        <v>1968</v>
      </c>
      <c r="B1494" s="14" t="inlineStr">
        <is>
          <t>atp</t>
        </is>
      </c>
      <c r="C1494" s="14" t="inlineStr">
        <is>
          <t>ker</t>
        </is>
      </c>
      <c r="D1494" s="14" t="inlineStr">
        <is>
          <t>mch</t>
        </is>
      </c>
      <c r="E1494" s="14" t="inlineStr">
        <is>
          <t>POSTTAX</t>
        </is>
      </c>
      <c r="F1494" s="92" t="inlineStr">
        <is>
          <t>POSTTAX(INDEX(AE$381:AE$392,$D1968),AE1941+AE1959,$E1968)</t>
        </is>
      </c>
    </row>
    <row r="1495">
      <c r="A1495" s="14" t="n">
        <v>1969</v>
      </c>
      <c r="B1495" s="14" t="inlineStr">
        <is>
          <t>atp</t>
        </is>
      </c>
      <c r="C1495" s="14" t="inlineStr">
        <is>
          <t>oop</t>
        </is>
      </c>
      <c r="D1495" s="14" t="inlineStr">
        <is>
          <t>mch</t>
        </is>
      </c>
      <c r="E1495" s="14" t="inlineStr">
        <is>
          <t>POSTTAX</t>
        </is>
      </c>
      <c r="F1495" s="92" t="inlineStr">
        <is>
          <t>POSTTAX(INDEX(AE$381:AE$392,$D1969),AE1942+AE1960,$E1969)</t>
        </is>
      </c>
    </row>
    <row r="1496">
      <c r="A1496" s="14" t="n">
        <v>1970</v>
      </c>
      <c r="B1496" s="14" t="inlineStr">
        <is>
          <t>atp</t>
        </is>
      </c>
      <c r="C1496" s="14" t="inlineStr">
        <is>
          <t>bio</t>
        </is>
      </c>
      <c r="D1496" s="14" t="inlineStr">
        <is>
          <t>mch</t>
        </is>
      </c>
      <c r="E1496" s="14" t="inlineStr">
        <is>
          <t>POSTTAX</t>
        </is>
      </c>
      <c r="F1496" s="92" t="inlineStr">
        <is>
          <t>POSTTAX(INDEX(AE$381:AE$392,$D1970),AE1943+AE1961,$E1970)</t>
        </is>
      </c>
    </row>
    <row r="1497">
      <c r="A1497" s="14" t="n">
        <v>1972</v>
      </c>
      <c r="B1497" s="14" t="inlineStr">
        <is>
          <t>shp</t>
        </is>
      </c>
      <c r="C1497" s="14" t="inlineStr">
        <is>
          <t>coa</t>
        </is>
      </c>
      <c r="D1497" s="14" t="inlineStr">
        <is>
          <t>mch</t>
        </is>
      </c>
      <c r="E1497" s="14" t="inlineStr">
        <is>
          <t>SHADOWGJ</t>
        </is>
      </c>
      <c r="F1497" s="92" t="inlineStr">
        <is>
          <t>SHADOWGJ(INDEX(AE$297:AE$313,$E1972),$D1972)</t>
        </is>
      </c>
    </row>
    <row r="1498">
      <c r="A1498" s="14" t="n">
        <v>1973</v>
      </c>
      <c r="B1498" s="14" t="inlineStr">
        <is>
          <t>shp</t>
        </is>
      </c>
      <c r="C1498" s="14" t="inlineStr">
        <is>
          <t>nga</t>
        </is>
      </c>
      <c r="D1498" s="14" t="inlineStr">
        <is>
          <t>mch</t>
        </is>
      </c>
      <c r="E1498" s="14" t="inlineStr">
        <is>
          <t>SHADOWGJ</t>
        </is>
      </c>
      <c r="F1498" s="92" t="inlineStr">
        <is>
          <t>SHADOWGJ(INDEX(AE$297:AE$313,$E1973),$D1973)</t>
        </is>
      </c>
    </row>
    <row r="1499">
      <c r="A1499" s="14" t="n">
        <v>1974</v>
      </c>
      <c r="B1499" s="14" t="inlineStr">
        <is>
          <t>shp</t>
        </is>
      </c>
      <c r="C1499" s="14" t="inlineStr">
        <is>
          <t>gso</t>
        </is>
      </c>
      <c r="D1499" s="14" t="inlineStr">
        <is>
          <t>mch</t>
        </is>
      </c>
      <c r="E1499" s="14" t="inlineStr">
        <is>
          <t>SHADOWGJ</t>
        </is>
      </c>
      <c r="F1499" s="92" t="inlineStr">
        <is>
          <t>SHADOWGJ(INDEX(AE$297:AE$313,$E1974),$D1974)</t>
        </is>
      </c>
    </row>
    <row r="1500">
      <c r="A1500" s="14" t="n">
        <v>1975</v>
      </c>
      <c r="B1500" s="14" t="inlineStr">
        <is>
          <t>shp</t>
        </is>
      </c>
      <c r="C1500" s="14" t="inlineStr">
        <is>
          <t>die</t>
        </is>
      </c>
      <c r="D1500" s="14" t="inlineStr">
        <is>
          <t>mch</t>
        </is>
      </c>
      <c r="E1500" s="14" t="inlineStr">
        <is>
          <t>SHADOWGJ</t>
        </is>
      </c>
      <c r="F1500" s="92" t="inlineStr">
        <is>
          <t>SHADOWGJ(INDEX(AE$297:AE$313,$E1975),$D1975)</t>
        </is>
      </c>
    </row>
    <row r="1501">
      <c r="A1501" s="14" t="n">
        <v>1976</v>
      </c>
      <c r="B1501" s="14" t="inlineStr">
        <is>
          <t>shp</t>
        </is>
      </c>
      <c r="C1501" s="14" t="inlineStr">
        <is>
          <t>lpg</t>
        </is>
      </c>
      <c r="D1501" s="14" t="inlineStr">
        <is>
          <t>mch</t>
        </is>
      </c>
      <c r="E1501" s="14" t="inlineStr">
        <is>
          <t>SHADOWGJ</t>
        </is>
      </c>
      <c r="F1501" s="92" t="inlineStr">
        <is>
          <t>SHADOWGJ(INDEX(AE$297:AE$313,$E1976),$D1976)</t>
        </is>
      </c>
    </row>
    <row r="1502">
      <c r="A1502" s="14" t="n">
        <v>1977</v>
      </c>
      <c r="B1502" s="14" t="inlineStr">
        <is>
          <t>shp</t>
        </is>
      </c>
      <c r="C1502" s="14" t="inlineStr">
        <is>
          <t>ker</t>
        </is>
      </c>
      <c r="D1502" s="14" t="inlineStr">
        <is>
          <t>mch</t>
        </is>
      </c>
      <c r="E1502" s="14" t="inlineStr">
        <is>
          <t>SHADOWGJ</t>
        </is>
      </c>
      <c r="F1502" s="92" t="inlineStr">
        <is>
          <t>SHADOWGJ(INDEX(AE$297:AE$313,$E1977),$D1977)</t>
        </is>
      </c>
    </row>
    <row r="1503">
      <c r="A1503" s="14" t="n">
        <v>1978</v>
      </c>
      <c r="B1503" s="14" t="inlineStr">
        <is>
          <t>shp</t>
        </is>
      </c>
      <c r="C1503" s="14" t="inlineStr">
        <is>
          <t>oop</t>
        </is>
      </c>
      <c r="D1503" s="14" t="inlineStr">
        <is>
          <t>mch</t>
        </is>
      </c>
      <c r="E1503" s="14" t="inlineStr">
        <is>
          <t>SHADOWGJ</t>
        </is>
      </c>
      <c r="F1503" s="92" t="inlineStr">
        <is>
          <t>SHADOWGJ(INDEX(AE$297:AE$313,$E1978),$D1978)</t>
        </is>
      </c>
    </row>
    <row r="1504">
      <c r="A1504" s="14" t="n">
        <v>1979</v>
      </c>
      <c r="B1504" s="14" t="inlineStr">
        <is>
          <t>shp</t>
        </is>
      </c>
      <c r="C1504" s="14" t="inlineStr">
        <is>
          <t>bio</t>
        </is>
      </c>
      <c r="D1504" s="14" t="inlineStr">
        <is>
          <t>mch</t>
        </is>
      </c>
      <c r="E1504" s="14" t="inlineStr">
        <is>
          <t>SHADOWGJ</t>
        </is>
      </c>
      <c r="F1504" s="92" t="inlineStr">
        <is>
          <t>SHADOWGJ(INDEX(AE$297:AE$313,$E1979),$D1979)</t>
        </is>
      </c>
    </row>
    <row r="1505">
      <c r="A1505" s="14" t="n">
        <v>1981</v>
      </c>
      <c r="B1505" s="14" t="inlineStr">
        <is>
          <t>ener</t>
        </is>
      </c>
      <c r="C1505" s="14" t="inlineStr">
        <is>
          <t>coa</t>
        </is>
      </c>
      <c r="D1505" s="14" t="inlineStr">
        <is>
          <t>mch</t>
        </is>
      </c>
      <c r="E1505" s="14" t="inlineStr">
        <is>
          <t>FUELUSE</t>
        </is>
      </c>
      <c r="F1505" s="92" t="inlineStr">
        <is>
          <t>FUELUSE(AD1981,AE1963,AD1963,AE1972,AD1972,AE$7,$D1981,$E1981,$F1981,$G1981)</t>
        </is>
      </c>
    </row>
    <row r="1506">
      <c r="A1506" s="14" t="n">
        <v>1982</v>
      </c>
      <c r="B1506" s="14" t="inlineStr">
        <is>
          <t>ener</t>
        </is>
      </c>
      <c r="C1506" s="14" t="inlineStr">
        <is>
          <t>nga</t>
        </is>
      </c>
      <c r="D1506" s="14" t="inlineStr">
        <is>
          <t>mch</t>
        </is>
      </c>
      <c r="E1506" s="14" t="inlineStr">
        <is>
          <t>FUELUSE</t>
        </is>
      </c>
      <c r="F1506" s="92" t="inlineStr">
        <is>
          <t>FUELUSE(AD1982,AE1964,AD1964,AE1973,AD1973,AE$7,$D1982,$E1982,$F1982,$G1982)</t>
        </is>
      </c>
    </row>
    <row r="1507">
      <c r="A1507" s="14" t="n">
        <v>1983</v>
      </c>
      <c r="B1507" s="14" t="inlineStr">
        <is>
          <t>ener</t>
        </is>
      </c>
      <c r="C1507" s="14" t="inlineStr">
        <is>
          <t>gso</t>
        </is>
      </c>
      <c r="D1507" s="14" t="inlineStr">
        <is>
          <t>mch</t>
        </is>
      </c>
      <c r="E1507" s="14" t="inlineStr">
        <is>
          <t>FUELUSE</t>
        </is>
      </c>
      <c r="F1507" s="92" t="inlineStr">
        <is>
          <t>FUELUSE(AD1983,AE1965,AD1965,AE1974,AD1974,AE$7,$D1983,$E1983,$F1983,$G1983)</t>
        </is>
      </c>
    </row>
    <row r="1508">
      <c r="A1508" s="14" t="n">
        <v>1984</v>
      </c>
      <c r="B1508" s="14" t="inlineStr">
        <is>
          <t>ener</t>
        </is>
      </c>
      <c r="C1508" s="14" t="inlineStr">
        <is>
          <t>die</t>
        </is>
      </c>
      <c r="D1508" s="14" t="inlineStr">
        <is>
          <t>mch</t>
        </is>
      </c>
      <c r="E1508" s="14" t="inlineStr">
        <is>
          <t>FUELUSE</t>
        </is>
      </c>
      <c r="F1508" s="92" t="inlineStr">
        <is>
          <t>FUELUSE(AD1984,AE1966,AD1966,AE1975,AD1975,AE$7,$D1984,$E1984,$F1984,$G1984)</t>
        </is>
      </c>
    </row>
    <row r="1509">
      <c r="A1509" s="14" t="n">
        <v>1985</v>
      </c>
      <c r="B1509" s="14" t="inlineStr">
        <is>
          <t>ener</t>
        </is>
      </c>
      <c r="C1509" s="14" t="inlineStr">
        <is>
          <t>lpg</t>
        </is>
      </c>
      <c r="D1509" s="14" t="inlineStr">
        <is>
          <t>mch</t>
        </is>
      </c>
      <c r="E1509" s="14" t="inlineStr">
        <is>
          <t>FUELUSE</t>
        </is>
      </c>
      <c r="F1509" s="92" t="inlineStr">
        <is>
          <t>FUELUSE(AD1985,AE1967,AD1967,AE1976,AD1976,AE$7,$D1985,$E1985,$F1985,$G1985)</t>
        </is>
      </c>
    </row>
    <row r="1510">
      <c r="A1510" s="14" t="n">
        <v>1986</v>
      </c>
      <c r="B1510" s="14" t="inlineStr">
        <is>
          <t>ener</t>
        </is>
      </c>
      <c r="C1510" s="14" t="inlineStr">
        <is>
          <t>ker</t>
        </is>
      </c>
      <c r="D1510" s="14" t="inlineStr">
        <is>
          <t>mch</t>
        </is>
      </c>
      <c r="E1510" s="14" t="inlineStr">
        <is>
          <t>FUELUSE</t>
        </is>
      </c>
      <c r="F1510" s="92" t="inlineStr">
        <is>
          <t>FUELUSE(AD1986,AE1968,AD1968,AE1977,AD1977,AE$7,$D1986,$E1986,$F1986,$G1986)</t>
        </is>
      </c>
    </row>
    <row r="1511">
      <c r="A1511" s="14" t="n">
        <v>1987</v>
      </c>
      <c r="B1511" s="14" t="inlineStr">
        <is>
          <t>ener</t>
        </is>
      </c>
      <c r="C1511" s="14" t="inlineStr">
        <is>
          <t>oop</t>
        </is>
      </c>
      <c r="D1511" s="14" t="inlineStr">
        <is>
          <t>mch</t>
        </is>
      </c>
      <c r="E1511" s="14" t="inlineStr">
        <is>
          <t>FUELUSE</t>
        </is>
      </c>
      <c r="F1511" s="92" t="inlineStr">
        <is>
          <t>FUELUSE(AD1987,AE1969,AD1969,AE1978,AD1978,AE$7,$D1987,$E1987,$F1987,$G1987)</t>
        </is>
      </c>
    </row>
    <row r="1512">
      <c r="A1512" s="14" t="n">
        <v>1988</v>
      </c>
      <c r="B1512" s="14" t="inlineStr">
        <is>
          <t>ener</t>
        </is>
      </c>
      <c r="C1512" s="14" t="inlineStr">
        <is>
          <t>bio</t>
        </is>
      </c>
      <c r="D1512" s="14" t="inlineStr">
        <is>
          <t>mch</t>
        </is>
      </c>
      <c r="E1512" s="14" t="inlineStr">
        <is>
          <t>FUELUSE</t>
        </is>
      </c>
      <c r="F1512" s="92" t="inlineStr">
        <is>
          <t>FUELUSE(AD1988,AE1970,AD1970,AE1979,AD1979,AE$7,$D1988,$E1988,$F1988,$G1988)</t>
        </is>
      </c>
    </row>
    <row r="1513">
      <c r="A1513" s="14" t="n">
        <v>1990</v>
      </c>
      <c r="B1513" s="14" t="inlineStr">
        <is>
          <t>co2</t>
        </is>
      </c>
      <c r="C1513" s="14" t="inlineStr">
        <is>
          <t>coa</t>
        </is>
      </c>
      <c r="D1513" s="14" t="inlineStr">
        <is>
          <t>mch</t>
        </is>
      </c>
      <c r="E1513" s="14" t="inlineStr">
        <is>
          <t>EMISSIONS</t>
        </is>
      </c>
      <c r="F1513" s="92" t="inlineStr">
        <is>
          <t>EMISSIONS(AE1981,Settings!$C$13,$D1990)</t>
        </is>
      </c>
    </row>
    <row r="1514">
      <c r="A1514" s="14" t="n">
        <v>1991</v>
      </c>
      <c r="B1514" s="14" t="inlineStr">
        <is>
          <t>co2</t>
        </is>
      </c>
      <c r="C1514" s="14" t="inlineStr">
        <is>
          <t>nga</t>
        </is>
      </c>
      <c r="D1514" s="14" t="inlineStr">
        <is>
          <t>mch</t>
        </is>
      </c>
      <c r="E1514" s="14" t="inlineStr">
        <is>
          <t>EMISSIONS</t>
        </is>
      </c>
      <c r="F1514" s="92" t="inlineStr">
        <is>
          <t>EMISSIONS(AE1982,Settings!$C$13,$D1991)</t>
        </is>
      </c>
    </row>
    <row r="1515">
      <c r="A1515" s="14" t="n">
        <v>1992</v>
      </c>
      <c r="B1515" s="14" t="inlineStr">
        <is>
          <t>co2</t>
        </is>
      </c>
      <c r="C1515" s="14" t="inlineStr">
        <is>
          <t>gso</t>
        </is>
      </c>
      <c r="D1515" s="14" t="inlineStr">
        <is>
          <t>mch</t>
        </is>
      </c>
      <c r="E1515" s="14" t="inlineStr">
        <is>
          <t>EMISSIONS</t>
        </is>
      </c>
      <c r="F1515" s="92" t="inlineStr">
        <is>
          <t>EMISSIONS(AE1983,Settings!$C$13,$D1992)</t>
        </is>
      </c>
    </row>
    <row r="1516">
      <c r="A1516" s="14" t="n">
        <v>1993</v>
      </c>
      <c r="B1516" s="14" t="inlineStr">
        <is>
          <t>co2</t>
        </is>
      </c>
      <c r="C1516" s="14" t="inlineStr">
        <is>
          <t>die</t>
        </is>
      </c>
      <c r="D1516" s="14" t="inlineStr">
        <is>
          <t>mch</t>
        </is>
      </c>
      <c r="E1516" s="14" t="inlineStr">
        <is>
          <t>EMISSIONS</t>
        </is>
      </c>
      <c r="F1516" s="92" t="inlineStr">
        <is>
          <t>EMISSIONS(AE1984,Settings!$C$13,$D1993)</t>
        </is>
      </c>
    </row>
    <row r="1517">
      <c r="A1517" s="14" t="n">
        <v>1994</v>
      </c>
      <c r="B1517" s="14" t="inlineStr">
        <is>
          <t>co2</t>
        </is>
      </c>
      <c r="C1517" s="14" t="inlineStr">
        <is>
          <t>lpg</t>
        </is>
      </c>
      <c r="D1517" s="14" t="inlineStr">
        <is>
          <t>mch</t>
        </is>
      </c>
      <c r="E1517" s="14" t="inlineStr">
        <is>
          <t>EMISSIONS</t>
        </is>
      </c>
      <c r="F1517" s="92" t="inlineStr">
        <is>
          <t>EMISSIONS(AE1985,Settings!$C$13,$D1994)</t>
        </is>
      </c>
    </row>
    <row r="1518">
      <c r="A1518" s="14" t="n">
        <v>1995</v>
      </c>
      <c r="B1518" s="14" t="inlineStr">
        <is>
          <t>co2</t>
        </is>
      </c>
      <c r="C1518" s="14" t="inlineStr">
        <is>
          <t>ker</t>
        </is>
      </c>
      <c r="D1518" s="14" t="inlineStr">
        <is>
          <t>mch</t>
        </is>
      </c>
      <c r="E1518" s="14" t="inlineStr">
        <is>
          <t>EMISSIONS</t>
        </is>
      </c>
      <c r="F1518" s="92" t="inlineStr">
        <is>
          <t>EMISSIONS(AE1986,Settings!$C$13,$D1995)</t>
        </is>
      </c>
    </row>
    <row r="1519">
      <c r="A1519" s="14" t="n">
        <v>1996</v>
      </c>
      <c r="B1519" s="14" t="inlineStr">
        <is>
          <t>co2</t>
        </is>
      </c>
      <c r="C1519" s="14" t="inlineStr">
        <is>
          <t>oop</t>
        </is>
      </c>
      <c r="D1519" s="14" t="inlineStr">
        <is>
          <t>mch</t>
        </is>
      </c>
      <c r="E1519" s="14" t="inlineStr">
        <is>
          <t>EMISSIONS</t>
        </is>
      </c>
      <c r="F1519" s="92" t="inlineStr">
        <is>
          <t>EMISSIONS(AE1987,Settings!$C$13,$D1996)</t>
        </is>
      </c>
    </row>
    <row r="1520">
      <c r="A1520" s="14" t="n">
        <v>1997</v>
      </c>
      <c r="B1520" s="14" t="inlineStr">
        <is>
          <t>co2</t>
        </is>
      </c>
      <c r="C1520" s="14" t="inlineStr">
        <is>
          <t>bio</t>
        </is>
      </c>
      <c r="D1520" s="14" t="inlineStr">
        <is>
          <t>mch</t>
        </is>
      </c>
      <c r="E1520" s="14" t="inlineStr">
        <is>
          <t>EMISSIONS</t>
        </is>
      </c>
      <c r="F1520" s="92" t="inlineStr">
        <is>
          <t>EMISSIONS(AE1988,Settings!$C$13,$D1997)</t>
        </is>
      </c>
    </row>
    <row r="1521">
      <c r="A1521" s="14" t="n">
        <v>1999</v>
      </c>
      <c r="B1521" s="14" t="inlineStr">
        <is>
          <t>rtx</t>
        </is>
      </c>
      <c r="C1521" s="14" t="inlineStr">
        <is>
          <t>coa</t>
        </is>
      </c>
      <c r="D1521" s="14" t="inlineStr">
        <is>
          <t>mch</t>
        </is>
      </c>
      <c r="E1521" s="14" t="inlineStr">
        <is>
          <t>REVENUE</t>
        </is>
      </c>
      <c r="F1521" s="92" t="inlineStr">
        <is>
          <t>REVENUE(AE1981,Settings!$C$13,INDEX(AE$407:AE$418,$D1999)+INDEX(AE$394:AE$405,$D1999)+AE1954*(1+$E1999))</t>
        </is>
      </c>
    </row>
    <row r="1522">
      <c r="A1522" s="14" t="n">
        <v>2000</v>
      </c>
      <c r="B1522" s="14" t="inlineStr">
        <is>
          <t>rtx</t>
        </is>
      </c>
      <c r="C1522" s="14" t="inlineStr">
        <is>
          <t>nga</t>
        </is>
      </c>
      <c r="D1522" s="14" t="inlineStr">
        <is>
          <t>mch</t>
        </is>
      </c>
      <c r="E1522" s="14" t="inlineStr">
        <is>
          <t>REVENUE</t>
        </is>
      </c>
      <c r="F1522" s="92" t="inlineStr">
        <is>
          <t>REVENUE(AE1982,Settings!$C$13,INDEX(AE$407:AE$418,$D2000)+INDEX(AE$394:AE$405,$D2000)+AE1955*(1+$E2000))</t>
        </is>
      </c>
    </row>
    <row r="1523">
      <c r="A1523" s="14" t="n">
        <v>2001</v>
      </c>
      <c r="B1523" s="14" t="inlineStr">
        <is>
          <t>rtx</t>
        </is>
      </c>
      <c r="C1523" s="14" t="inlineStr">
        <is>
          <t>gso</t>
        </is>
      </c>
      <c r="D1523" s="14" t="inlineStr">
        <is>
          <t>mch</t>
        </is>
      </c>
      <c r="E1523" s="14" t="inlineStr">
        <is>
          <t>REVENUE</t>
        </is>
      </c>
      <c r="F1523" s="92" t="inlineStr">
        <is>
          <t>REVENUE(AE1983,Settings!$C$13,INDEX(AE$407:AE$418,$D2001)+INDEX(AE$394:AE$405,$D2001)+AE1956*(1+$E2001))</t>
        </is>
      </c>
    </row>
    <row r="1524">
      <c r="A1524" s="14" t="n">
        <v>2002</v>
      </c>
      <c r="B1524" s="14" t="inlineStr">
        <is>
          <t>rtx</t>
        </is>
      </c>
      <c r="C1524" s="14" t="inlineStr">
        <is>
          <t>die</t>
        </is>
      </c>
      <c r="D1524" s="14" t="inlineStr">
        <is>
          <t>mch</t>
        </is>
      </c>
      <c r="E1524" s="14" t="inlineStr">
        <is>
          <t>REVENUE</t>
        </is>
      </c>
      <c r="F1524" s="92" t="inlineStr">
        <is>
          <t>REVENUE(AE1984,Settings!$C$13,INDEX(AE$407:AE$418,$D2002)+INDEX(AE$394:AE$405,$D2002)+AE1957*(1+$E2002))</t>
        </is>
      </c>
    </row>
    <row r="1525">
      <c r="A1525" s="14" t="n">
        <v>2003</v>
      </c>
      <c r="B1525" s="14" t="inlineStr">
        <is>
          <t>rtx</t>
        </is>
      </c>
      <c r="C1525" s="14" t="inlineStr">
        <is>
          <t>lpg</t>
        </is>
      </c>
      <c r="D1525" s="14" t="inlineStr">
        <is>
          <t>mch</t>
        </is>
      </c>
      <c r="E1525" s="14" t="inlineStr">
        <is>
          <t>REVENUE</t>
        </is>
      </c>
      <c r="F1525" s="92" t="inlineStr">
        <is>
          <t>REVENUE(AE1985,Settings!$C$13,INDEX(AE$407:AE$418,$D2003)+INDEX(AE$394:AE$405,$D2003)+AE1958*(1+$E2003))</t>
        </is>
      </c>
    </row>
    <row r="1526">
      <c r="A1526" s="14" t="n">
        <v>2004</v>
      </c>
      <c r="B1526" s="14" t="inlineStr">
        <is>
          <t>rtx</t>
        </is>
      </c>
      <c r="C1526" s="14" t="inlineStr">
        <is>
          <t>ker</t>
        </is>
      </c>
      <c r="D1526" s="14" t="inlineStr">
        <is>
          <t>mch</t>
        </is>
      </c>
      <c r="E1526" s="14" t="inlineStr">
        <is>
          <t>REVENUE</t>
        </is>
      </c>
      <c r="F1526" s="92" t="inlineStr">
        <is>
          <t>REVENUE(AE1986,Settings!$C$13,INDEX(AE$407:AE$418,$D2004)+INDEX(AE$394:AE$405,$D2004)+AE1959*(1+$E2004))</t>
        </is>
      </c>
    </row>
    <row r="1527">
      <c r="A1527" s="14" t="n">
        <v>2005</v>
      </c>
      <c r="B1527" s="14" t="inlineStr">
        <is>
          <t>rtx</t>
        </is>
      </c>
      <c r="C1527" s="14" t="inlineStr">
        <is>
          <t>oop</t>
        </is>
      </c>
      <c r="D1527" s="14" t="inlineStr">
        <is>
          <t>mch</t>
        </is>
      </c>
      <c r="E1527" s="14" t="inlineStr">
        <is>
          <t>REVENUE</t>
        </is>
      </c>
      <c r="F1527" s="92" t="inlineStr">
        <is>
          <t>REVENUE(AE1987,Settings!$C$13,INDEX(AE$407:AE$418,$D2005)+INDEX(AE$394:AE$405,$D2005)+AE1960*(1+$E2005))</t>
        </is>
      </c>
    </row>
    <row r="1528">
      <c r="A1528" s="14" t="n">
        <v>2006</v>
      </c>
      <c r="B1528" s="14" t="inlineStr">
        <is>
          <t>rtx</t>
        </is>
      </c>
      <c r="C1528" s="14" t="inlineStr">
        <is>
          <t>bio</t>
        </is>
      </c>
      <c r="D1528" s="14" t="inlineStr">
        <is>
          <t>mch</t>
        </is>
      </c>
      <c r="E1528" s="14" t="inlineStr">
        <is>
          <t>REVENUE</t>
        </is>
      </c>
      <c r="F1528" s="92" t="inlineStr">
        <is>
          <t>REVENUE(AE1988,Settings!$C$13,INDEX(AE$407:AE$418,$D2006)+INDEX(AE$394:AE$405,$D2006)+AE1961*(1+$E2006))</t>
        </is>
      </c>
    </row>
    <row r="1529">
      <c r="A1529" s="14" t="n">
        <v>2008</v>
      </c>
      <c r="B1529" s="14" t="inlineStr">
        <is>
          <t>rsub</t>
        </is>
      </c>
      <c r="C1529" s="14" t="inlineStr">
        <is>
          <t>coa</t>
        </is>
      </c>
      <c r="D1529" s="14" t="inlineStr">
        <is>
          <t>mch</t>
        </is>
      </c>
      <c r="E1529" s="14" t="inlineStr">
        <is>
          <t>REVENUE</t>
        </is>
      </c>
      <c r="F1529" s="92" t="inlineStr">
        <is>
          <t>REVENUE(AE1981,Settings!$C$13,INDEX(AE$420:AE$431,$D2008))</t>
        </is>
      </c>
    </row>
    <row r="1530">
      <c r="A1530" s="14" t="n">
        <v>2009</v>
      </c>
      <c r="B1530" s="14" t="inlineStr">
        <is>
          <t>rsub</t>
        </is>
      </c>
      <c r="C1530" s="14" t="inlineStr">
        <is>
          <t>nga</t>
        </is>
      </c>
      <c r="D1530" s="14" t="inlineStr">
        <is>
          <t>mch</t>
        </is>
      </c>
      <c r="E1530" s="14" t="inlineStr">
        <is>
          <t>REVENUE</t>
        </is>
      </c>
      <c r="F1530" s="92" t="inlineStr">
        <is>
          <t>REVENUE(AE1982,Settings!$C$13,INDEX(AE$420:AE$431,$D2009))</t>
        </is>
      </c>
    </row>
    <row r="1531">
      <c r="A1531" s="14" t="n">
        <v>2010</v>
      </c>
      <c r="B1531" s="14" t="inlineStr">
        <is>
          <t>rsub</t>
        </is>
      </c>
      <c r="C1531" s="14" t="inlineStr">
        <is>
          <t>gso</t>
        </is>
      </c>
      <c r="D1531" s="14" t="inlineStr">
        <is>
          <t>mch</t>
        </is>
      </c>
      <c r="E1531" s="14" t="inlineStr">
        <is>
          <t>REVENUE</t>
        </is>
      </c>
      <c r="F1531" s="92" t="inlineStr">
        <is>
          <t>REVENUE(AE1983,Settings!$C$13,INDEX(AE$420:AE$431,$D2010))</t>
        </is>
      </c>
    </row>
    <row r="1532">
      <c r="A1532" s="14" t="n">
        <v>2011</v>
      </c>
      <c r="B1532" s="14" t="inlineStr">
        <is>
          <t>rsub</t>
        </is>
      </c>
      <c r="C1532" s="14" t="inlineStr">
        <is>
          <t>die</t>
        </is>
      </c>
      <c r="D1532" s="14" t="inlineStr">
        <is>
          <t>mch</t>
        </is>
      </c>
      <c r="E1532" s="14" t="inlineStr">
        <is>
          <t>REVENUE</t>
        </is>
      </c>
      <c r="F1532" s="92" t="inlineStr">
        <is>
          <t>REVENUE(AE1984,Settings!$C$13,INDEX(AE$420:AE$431,$D2011))</t>
        </is>
      </c>
    </row>
    <row r="1533">
      <c r="A1533" s="14" t="n">
        <v>2012</v>
      </c>
      <c r="B1533" s="14" t="inlineStr">
        <is>
          <t>rsub</t>
        </is>
      </c>
      <c r="C1533" s="14" t="inlineStr">
        <is>
          <t>lpg</t>
        </is>
      </c>
      <c r="D1533" s="14" t="inlineStr">
        <is>
          <t>mch</t>
        </is>
      </c>
      <c r="E1533" s="14" t="inlineStr">
        <is>
          <t>REVENUE</t>
        </is>
      </c>
      <c r="F1533" s="92" t="inlineStr">
        <is>
          <t>REVENUE(AE1985,Settings!$C$13,INDEX(AE$420:AE$431,$D2012))</t>
        </is>
      </c>
    </row>
    <row r="1534">
      <c r="A1534" s="14" t="n">
        <v>2013</v>
      </c>
      <c r="B1534" s="14" t="inlineStr">
        <is>
          <t>rsub</t>
        </is>
      </c>
      <c r="C1534" s="14" t="inlineStr">
        <is>
          <t>ker</t>
        </is>
      </c>
      <c r="D1534" s="14" t="inlineStr">
        <is>
          <t>mch</t>
        </is>
      </c>
      <c r="E1534" s="14" t="inlineStr">
        <is>
          <t>REVENUE</t>
        </is>
      </c>
      <c r="F1534" s="92" t="inlineStr">
        <is>
          <t>REVENUE(AE1986,Settings!$C$13,INDEX(AE$420:AE$431,$D2013))</t>
        </is>
      </c>
    </row>
    <row r="1535">
      <c r="A1535" s="14" t="n">
        <v>2014</v>
      </c>
      <c r="B1535" s="14" t="inlineStr">
        <is>
          <t>rsub</t>
        </is>
      </c>
      <c r="C1535" s="14" t="inlineStr">
        <is>
          <t>oop</t>
        </is>
      </c>
      <c r="D1535" s="14" t="inlineStr">
        <is>
          <t>mch</t>
        </is>
      </c>
      <c r="E1535" s="14" t="inlineStr">
        <is>
          <t>REVENUE</t>
        </is>
      </c>
      <c r="F1535" s="92" t="inlineStr">
        <is>
          <t>REVENUE(AE1987,Settings!$C$13,INDEX(AE$420:AE$431,$D2014))</t>
        </is>
      </c>
    </row>
    <row r="1536">
      <c r="A1536" s="14" t="n">
        <v>2015</v>
      </c>
      <c r="B1536" s="14" t="inlineStr">
        <is>
          <t>rsub</t>
        </is>
      </c>
      <c r="C1536" s="14" t="inlineStr">
        <is>
          <t>bio</t>
        </is>
      </c>
      <c r="D1536" s="14" t="inlineStr">
        <is>
          <t>mch</t>
        </is>
      </c>
      <c r="E1536" s="14" t="inlineStr">
        <is>
          <t>REVENUE</t>
        </is>
      </c>
      <c r="F1536" s="92" t="inlineStr">
        <is>
          <t>REVENUE(AE1988,Settings!$C$13,INDEX(AE$420:AE$431,$D2015))</t>
        </is>
      </c>
    </row>
    <row r="1537">
      <c r="A1537" s="14" t="n">
        <v>2017</v>
      </c>
      <c r="B1537" s="14" t="inlineStr">
        <is>
          <t>rnew</t>
        </is>
      </c>
      <c r="C1537" s="14" t="inlineStr">
        <is>
          <t>coa</t>
        </is>
      </c>
      <c r="D1537" s="14" t="inlineStr">
        <is>
          <t>mch</t>
        </is>
      </c>
      <c r="E1537" s="14" t="inlineStr">
        <is>
          <t>REVENUE</t>
        </is>
      </c>
      <c r="F1537" s="92" t="inlineStr">
        <is>
          <t>REVENUE(AE1981,Settings!$C$13,NEWREVRATE(AE1909,AE1927,AE1918,AE$201,AE1936,$D2017))</t>
        </is>
      </c>
    </row>
    <row r="1538">
      <c r="A1538" s="14" t="n">
        <v>2018</v>
      </c>
      <c r="B1538" s="14" t="inlineStr">
        <is>
          <t>rnew</t>
        </is>
      </c>
      <c r="C1538" s="14" t="inlineStr">
        <is>
          <t>nga</t>
        </is>
      </c>
      <c r="D1538" s="14" t="inlineStr">
        <is>
          <t>mch</t>
        </is>
      </c>
      <c r="E1538" s="14" t="inlineStr">
        <is>
          <t>REVENUE</t>
        </is>
      </c>
      <c r="F1538" s="92" t="inlineStr">
        <is>
          <t>REVENUE(AE1982,Settings!$C$13,NEWREVRATE(AE1910,AE1928,AE1919,AE$201,AE1937,$D2018))</t>
        </is>
      </c>
    </row>
    <row r="1539">
      <c r="A1539" s="14" t="n">
        <v>2019</v>
      </c>
      <c r="B1539" s="14" t="inlineStr">
        <is>
          <t>rnew</t>
        </is>
      </c>
      <c r="C1539" s="14" t="inlineStr">
        <is>
          <t>gso</t>
        </is>
      </c>
      <c r="D1539" s="14" t="inlineStr">
        <is>
          <t>mch</t>
        </is>
      </c>
      <c r="E1539" s="14" t="inlineStr">
        <is>
          <t>REVENUE</t>
        </is>
      </c>
      <c r="F1539" s="92" t="inlineStr">
        <is>
          <t>REVENUE(AE1983,Settings!$C$13,NEWREVRATE(AE1911,AE1929,AE1920,AE$201,AE1938,$D2019))</t>
        </is>
      </c>
    </row>
    <row r="1540">
      <c r="A1540" s="14" t="n">
        <v>2020</v>
      </c>
      <c r="B1540" s="14" t="inlineStr">
        <is>
          <t>rnew</t>
        </is>
      </c>
      <c r="C1540" s="14" t="inlineStr">
        <is>
          <t>die</t>
        </is>
      </c>
      <c r="D1540" s="14" t="inlineStr">
        <is>
          <t>mch</t>
        </is>
      </c>
      <c r="E1540" s="14" t="inlineStr">
        <is>
          <t>REVENUE</t>
        </is>
      </c>
      <c r="F1540" s="92" t="inlineStr">
        <is>
          <t>REVENUE(AE1984,Settings!$C$13,NEWREVRATE(AE1912,AE1930,AE1921,AE$201,AE1939,$D2020))</t>
        </is>
      </c>
    </row>
    <row r="1541">
      <c r="A1541" s="14" t="n">
        <v>2021</v>
      </c>
      <c r="B1541" s="14" t="inlineStr">
        <is>
          <t>rnew</t>
        </is>
      </c>
      <c r="C1541" s="14" t="inlineStr">
        <is>
          <t>lpg</t>
        </is>
      </c>
      <c r="D1541" s="14" t="inlineStr">
        <is>
          <t>mch</t>
        </is>
      </c>
      <c r="E1541" s="14" t="inlineStr">
        <is>
          <t>REVENUE</t>
        </is>
      </c>
      <c r="F1541" s="92" t="inlineStr">
        <is>
          <t>REVENUE(AE1985,Settings!$C$13,NEWREVRATE(AE1913,AE1931,AE1922,AE$201,AE1940,$D2021))</t>
        </is>
      </c>
    </row>
    <row r="1542">
      <c r="A1542" s="14" t="n">
        <v>2022</v>
      </c>
      <c r="B1542" s="14" t="inlineStr">
        <is>
          <t>rnew</t>
        </is>
      </c>
      <c r="C1542" s="14" t="inlineStr">
        <is>
          <t>ker</t>
        </is>
      </c>
      <c r="D1542" s="14" t="inlineStr">
        <is>
          <t>mch</t>
        </is>
      </c>
      <c r="E1542" s="14" t="inlineStr">
        <is>
          <t>REVENUE</t>
        </is>
      </c>
      <c r="F1542" s="92" t="inlineStr">
        <is>
          <t>REVENUE(AE1986,Settings!$C$13,NEWREVRATE(AE1914,AE1932,AE1923,AE$201,AE1941,$D2022))</t>
        </is>
      </c>
    </row>
    <row r="1543">
      <c r="A1543" s="14" t="n">
        <v>2023</v>
      </c>
      <c r="B1543" s="14" t="inlineStr">
        <is>
          <t>rnew</t>
        </is>
      </c>
      <c r="C1543" s="14" t="inlineStr">
        <is>
          <t>oop</t>
        </is>
      </c>
      <c r="D1543" s="14" t="inlineStr">
        <is>
          <t>mch</t>
        </is>
      </c>
      <c r="E1543" s="14" t="inlineStr">
        <is>
          <t>REVENUE</t>
        </is>
      </c>
      <c r="F1543" s="92" t="inlineStr">
        <is>
          <t>REVENUE(AE1987,Settings!$C$13,NEWREVRATE(AE1915,AE1933,AE1924,AE$201,AE1942,$D2023))</t>
        </is>
      </c>
    </row>
    <row r="1544">
      <c r="A1544" s="14" t="n">
        <v>2024</v>
      </c>
      <c r="B1544" s="14" t="inlineStr">
        <is>
          <t>rnew</t>
        </is>
      </c>
      <c r="C1544" s="14" t="inlineStr">
        <is>
          <t>bio</t>
        </is>
      </c>
      <c r="D1544" s="14" t="inlineStr">
        <is>
          <t>mch</t>
        </is>
      </c>
      <c r="E1544" s="14" t="inlineStr">
        <is>
          <t>REVENUE</t>
        </is>
      </c>
      <c r="F1544" s="92" t="inlineStr">
        <is>
          <t>REVENUE(AE1988,Settings!$C$13,NEWREVRATE(AE1916,AE1934,AE1925,AE$201,AE1943,$D2024))</t>
        </is>
      </c>
    </row>
    <row r="1545">
      <c r="A1545" s="14" t="n">
        <v>2026</v>
      </c>
      <c r="B1545" s="14" t="inlineStr">
        <is>
          <t>rxcp</t>
        </is>
      </c>
      <c r="C1545" s="14" t="inlineStr">
        <is>
          <t>coa</t>
        </is>
      </c>
      <c r="D1545" s="14" t="inlineStr">
        <is>
          <t>mch</t>
        </is>
      </c>
      <c r="E1545" s="14" t="inlineStr">
        <is>
          <t>REVENUE</t>
        </is>
      </c>
      <c r="F1545" s="92" t="inlineStr">
        <is>
          <t>REVENUE(AE1981,Settings!$C$13,AE1945)</t>
        </is>
      </c>
    </row>
    <row r="1546">
      <c r="A1546" s="14" t="n">
        <v>2027</v>
      </c>
      <c r="B1546" s="14" t="inlineStr">
        <is>
          <t>rxcp</t>
        </is>
      </c>
      <c r="C1546" s="14" t="inlineStr">
        <is>
          <t>nga</t>
        </is>
      </c>
      <c r="D1546" s="14" t="inlineStr">
        <is>
          <t>mch</t>
        </is>
      </c>
      <c r="E1546" s="14" t="inlineStr">
        <is>
          <t>REVENUE</t>
        </is>
      </c>
      <c r="F1546" s="92" t="inlineStr">
        <is>
          <t>REVENUE(AE1982,Settings!$C$13,AE1946)</t>
        </is>
      </c>
    </row>
    <row r="1547">
      <c r="A1547" s="14" t="n">
        <v>2028</v>
      </c>
      <c r="B1547" s="14" t="inlineStr">
        <is>
          <t>rxcp</t>
        </is>
      </c>
      <c r="C1547" s="14" t="inlineStr">
        <is>
          <t>gso</t>
        </is>
      </c>
      <c r="D1547" s="14" t="inlineStr">
        <is>
          <t>mch</t>
        </is>
      </c>
      <c r="E1547" s="14" t="inlineStr">
        <is>
          <t>REVENUE</t>
        </is>
      </c>
      <c r="F1547" s="92" t="inlineStr">
        <is>
          <t>REVENUE(AE1983,Settings!$C$13,AE1947)</t>
        </is>
      </c>
    </row>
    <row r="1548">
      <c r="A1548" s="14" t="n">
        <v>2029</v>
      </c>
      <c r="B1548" s="14" t="inlineStr">
        <is>
          <t>rxcp</t>
        </is>
      </c>
      <c r="C1548" s="14" t="inlineStr">
        <is>
          <t>die</t>
        </is>
      </c>
      <c r="D1548" s="14" t="inlineStr">
        <is>
          <t>mch</t>
        </is>
      </c>
      <c r="E1548" s="14" t="inlineStr">
        <is>
          <t>REVENUE</t>
        </is>
      </c>
      <c r="F1548" s="92" t="inlineStr">
        <is>
          <t>REVENUE(AE1984,Settings!$C$13,AE1948)</t>
        </is>
      </c>
    </row>
    <row r="1549">
      <c r="A1549" s="14" t="n">
        <v>2030</v>
      </c>
      <c r="B1549" s="14" t="inlineStr">
        <is>
          <t>rxcp</t>
        </is>
      </c>
      <c r="C1549" s="14" t="inlineStr">
        <is>
          <t>lpg</t>
        </is>
      </c>
      <c r="D1549" s="14" t="inlineStr">
        <is>
          <t>mch</t>
        </is>
      </c>
      <c r="E1549" s="14" t="inlineStr">
        <is>
          <t>REVENUE</t>
        </is>
      </c>
      <c r="F1549" s="92" t="inlineStr">
        <is>
          <t>REVENUE(AE1985,Settings!$C$13,AE1949)</t>
        </is>
      </c>
    </row>
    <row r="1550">
      <c r="A1550" s="14" t="n">
        <v>2031</v>
      </c>
      <c r="B1550" s="14" t="inlineStr">
        <is>
          <t>rxcp</t>
        </is>
      </c>
      <c r="C1550" s="14" t="inlineStr">
        <is>
          <t>ker</t>
        </is>
      </c>
      <c r="D1550" s="14" t="inlineStr">
        <is>
          <t>mch</t>
        </is>
      </c>
      <c r="E1550" s="14" t="inlineStr">
        <is>
          <t>REVENUE</t>
        </is>
      </c>
      <c r="F1550" s="92" t="inlineStr">
        <is>
          <t>REVENUE(AE1986,Settings!$C$13,AE1950)</t>
        </is>
      </c>
    </row>
    <row r="1551">
      <c r="A1551" s="14" t="n">
        <v>2032</v>
      </c>
      <c r="B1551" s="14" t="inlineStr">
        <is>
          <t>rxcp</t>
        </is>
      </c>
      <c r="C1551" s="14" t="inlineStr">
        <is>
          <t>oop</t>
        </is>
      </c>
      <c r="D1551" s="14" t="inlineStr">
        <is>
          <t>mch</t>
        </is>
      </c>
      <c r="E1551" s="14" t="inlineStr">
        <is>
          <t>REVENUE</t>
        </is>
      </c>
      <c r="F1551" s="92" t="inlineStr">
        <is>
          <t>REVENUE(AE1987,Settings!$C$13,AE1951)</t>
        </is>
      </c>
    </row>
    <row r="1552">
      <c r="A1552" s="14" t="n">
        <v>2033</v>
      </c>
      <c r="B1552" s="14" t="inlineStr">
        <is>
          <t>rxcp</t>
        </is>
      </c>
      <c r="C1552" s="14" t="inlineStr">
        <is>
          <t>bio</t>
        </is>
      </c>
      <c r="D1552" s="14" t="inlineStr">
        <is>
          <t>mch</t>
        </is>
      </c>
      <c r="E1552" s="14" t="inlineStr">
        <is>
          <t>REVENUE</t>
        </is>
      </c>
      <c r="F1552" s="92" t="inlineStr">
        <is>
          <t>REVENUE(AE1988,Settings!$C$13,AE1952)</t>
        </is>
      </c>
    </row>
    <row r="1553">
      <c r="A1553" s="14" t="n">
        <v>2037</v>
      </c>
      <c r="B1553" s="14" t="inlineStr">
        <is>
          <t>ctxnew</t>
        </is>
      </c>
      <c r="C1553" s="14" t="inlineStr">
        <is>
          <t>coa</t>
        </is>
      </c>
      <c r="D1553" s="14" t="inlineStr">
        <is>
          <t>irn</t>
        </is>
      </c>
      <c r="E1553" s="14" t="inlineStr">
        <is>
          <t>CARBONTAX</t>
        </is>
      </c>
      <c r="F1553" s="92" t="inlineStr">
        <is>
          <t>CARBONTAX(INDEX(AE$263:AE$279,$F2037),$D2037,INDEX(AE$23:AE$30,$E2037))</t>
        </is>
      </c>
    </row>
    <row r="1554">
      <c r="A1554" s="14" t="n">
        <v>2038</v>
      </c>
      <c r="B1554" s="14" t="inlineStr">
        <is>
          <t>ctxnew</t>
        </is>
      </c>
      <c r="C1554" s="14" t="inlineStr">
        <is>
          <t>nga</t>
        </is>
      </c>
      <c r="D1554" s="14" t="inlineStr">
        <is>
          <t>irn</t>
        </is>
      </c>
      <c r="E1554" s="14" t="inlineStr">
        <is>
          <t>CARBONTAX</t>
        </is>
      </c>
      <c r="F1554" s="92" t="inlineStr">
        <is>
          <t>CARBONTAX(INDEX(AE$263:AE$279,$F2038),$D2038,INDEX(AE$23:AE$30,$E2038))</t>
        </is>
      </c>
    </row>
    <row r="1555">
      <c r="A1555" s="14" t="n">
        <v>2039</v>
      </c>
      <c r="B1555" s="14" t="inlineStr">
        <is>
          <t>ctxnew</t>
        </is>
      </c>
      <c r="C1555" s="14" t="inlineStr">
        <is>
          <t>gso</t>
        </is>
      </c>
      <c r="D1555" s="14" t="inlineStr">
        <is>
          <t>irn</t>
        </is>
      </c>
      <c r="E1555" s="14" t="inlineStr">
        <is>
          <t>CARBONTAX</t>
        </is>
      </c>
      <c r="F1555" s="92" t="inlineStr">
        <is>
          <t>CARBONTAX(INDEX(AE$263:AE$279,$F2039),$D2039,INDEX(AE$23:AE$30,$E2039))</t>
        </is>
      </c>
    </row>
    <row r="1556">
      <c r="A1556" s="14" t="n">
        <v>2040</v>
      </c>
      <c r="B1556" s="14" t="inlineStr">
        <is>
          <t>ctxnew</t>
        </is>
      </c>
      <c r="C1556" s="14" t="inlineStr">
        <is>
          <t>die</t>
        </is>
      </c>
      <c r="D1556" s="14" t="inlineStr">
        <is>
          <t>irn</t>
        </is>
      </c>
      <c r="E1556" s="14" t="inlineStr">
        <is>
          <t>CARBONTAX</t>
        </is>
      </c>
      <c r="F1556" s="92" t="inlineStr">
        <is>
          <t>CARBONTAX(INDEX(AE$263:AE$279,$F2040),$D2040,INDEX(AE$23:AE$30,$E2040))</t>
        </is>
      </c>
    </row>
    <row r="1557">
      <c r="A1557" s="14" t="n">
        <v>2041</v>
      </c>
      <c r="B1557" s="14" t="inlineStr">
        <is>
          <t>ctxnew</t>
        </is>
      </c>
      <c r="C1557" s="14" t="inlineStr">
        <is>
          <t>lpg</t>
        </is>
      </c>
      <c r="D1557" s="14" t="inlineStr">
        <is>
          <t>irn</t>
        </is>
      </c>
      <c r="E1557" s="14" t="inlineStr">
        <is>
          <t>CARBONTAX</t>
        </is>
      </c>
      <c r="F1557" s="92" t="inlineStr">
        <is>
          <t>CARBONTAX(INDEX(AE$263:AE$279,$F2041),$D2041,INDEX(AE$23:AE$30,$E2041))</t>
        </is>
      </c>
    </row>
    <row r="1558">
      <c r="A1558" s="14" t="n">
        <v>2042</v>
      </c>
      <c r="B1558" s="14" t="inlineStr">
        <is>
          <t>ctxnew</t>
        </is>
      </c>
      <c r="C1558" s="14" t="inlineStr">
        <is>
          <t>ker</t>
        </is>
      </c>
      <c r="D1558" s="14" t="inlineStr">
        <is>
          <t>irn</t>
        </is>
      </c>
      <c r="E1558" s="14" t="inlineStr">
        <is>
          <t>CARBONTAX</t>
        </is>
      </c>
      <c r="F1558" s="92" t="inlineStr">
        <is>
          <t>CARBONTAX(INDEX(AE$263:AE$279,$F2042),$D2042,INDEX(AE$23:AE$30,$E2042))</t>
        </is>
      </c>
    </row>
    <row r="1559">
      <c r="A1559" s="14" t="n">
        <v>2043</v>
      </c>
      <c r="B1559" s="14" t="inlineStr">
        <is>
          <t>ctxnew</t>
        </is>
      </c>
      <c r="C1559" s="14" t="inlineStr">
        <is>
          <t>oop</t>
        </is>
      </c>
      <c r="D1559" s="14" t="inlineStr">
        <is>
          <t>irn</t>
        </is>
      </c>
      <c r="E1559" s="14" t="inlineStr">
        <is>
          <t>CARBONTAX</t>
        </is>
      </c>
      <c r="F1559" s="92" t="inlineStr">
        <is>
          <t>CARBONTAX(INDEX(AE$263:AE$279,$F2043),$D2043,INDEX(AE$23:AE$30,$E2043))</t>
        </is>
      </c>
    </row>
    <row r="1560">
      <c r="A1560" s="14" t="n">
        <v>2044</v>
      </c>
      <c r="B1560" s="14" t="inlineStr">
        <is>
          <t>ctxnew</t>
        </is>
      </c>
      <c r="C1560" s="14" t="inlineStr">
        <is>
          <t>bio</t>
        </is>
      </c>
      <c r="D1560" s="14" t="inlineStr">
        <is>
          <t>irn</t>
        </is>
      </c>
      <c r="E1560" s="14" t="inlineStr">
        <is>
          <t>CARBONTAX</t>
        </is>
      </c>
      <c r="F1560" s="92" t="inlineStr">
        <is>
          <t>CARBONTAX(INDEX(AE$263:AE$279,$F2044),$D2044,INDEX(AE$23:AE$30,$E2044))</t>
        </is>
      </c>
    </row>
    <row r="1561">
      <c r="A1561" s="14" t="n">
        <v>2046</v>
      </c>
      <c r="B1561" s="14" t="inlineStr">
        <is>
          <t>ets</t>
        </is>
      </c>
      <c r="C1561" s="14" t="inlineStr">
        <is>
          <t>coa</t>
        </is>
      </c>
      <c r="D1561" s="14" t="inlineStr">
        <is>
          <t>irn</t>
        </is>
      </c>
      <c r="E1561" s="14" t="inlineStr">
        <is>
          <t>ETSCOST</t>
        </is>
      </c>
      <c r="F1561" s="92" t="inlineStr">
        <is>
          <t>ETSCOST(INDEX(AE$280:AE$296,$E2046),$D2046)</t>
        </is>
      </c>
    </row>
    <row r="1562">
      <c r="A1562" s="14" t="n">
        <v>2047</v>
      </c>
      <c r="B1562" s="14" t="inlineStr">
        <is>
          <t>ets</t>
        </is>
      </c>
      <c r="C1562" s="14" t="inlineStr">
        <is>
          <t>nga</t>
        </is>
      </c>
      <c r="D1562" s="14" t="inlineStr">
        <is>
          <t>irn</t>
        </is>
      </c>
      <c r="E1562" s="14" t="inlineStr">
        <is>
          <t>ETSCOST</t>
        </is>
      </c>
      <c r="F1562" s="92" t="inlineStr">
        <is>
          <t>ETSCOST(INDEX(AE$280:AE$296,$E2047),$D2047)</t>
        </is>
      </c>
    </row>
    <row r="1563">
      <c r="A1563" s="14" t="n">
        <v>2048</v>
      </c>
      <c r="B1563" s="14" t="inlineStr">
        <is>
          <t>ets</t>
        </is>
      </c>
      <c r="C1563" s="14" t="inlineStr">
        <is>
          <t>gso</t>
        </is>
      </c>
      <c r="D1563" s="14" t="inlineStr">
        <is>
          <t>irn</t>
        </is>
      </c>
      <c r="E1563" s="14" t="inlineStr">
        <is>
          <t>ETSCOST</t>
        </is>
      </c>
      <c r="F1563" s="92" t="inlineStr">
        <is>
          <t>ETSCOST(INDEX(AE$280:AE$296,$E2048),$D2048)</t>
        </is>
      </c>
    </row>
    <row r="1564">
      <c r="A1564" s="14" t="n">
        <v>2049</v>
      </c>
      <c r="B1564" s="14" t="inlineStr">
        <is>
          <t>ets</t>
        </is>
      </c>
      <c r="C1564" s="14" t="inlineStr">
        <is>
          <t>die</t>
        </is>
      </c>
      <c r="D1564" s="14" t="inlineStr">
        <is>
          <t>irn</t>
        </is>
      </c>
      <c r="E1564" s="14" t="inlineStr">
        <is>
          <t>ETSCOST</t>
        </is>
      </c>
      <c r="F1564" s="92" t="inlineStr">
        <is>
          <t>ETSCOST(INDEX(AE$280:AE$296,$E2049),$D2049)</t>
        </is>
      </c>
    </row>
    <row r="1565">
      <c r="A1565" s="14" t="n">
        <v>2050</v>
      </c>
      <c r="B1565" s="14" t="inlineStr">
        <is>
          <t>ets</t>
        </is>
      </c>
      <c r="C1565" s="14" t="inlineStr">
        <is>
          <t>lpg</t>
        </is>
      </c>
      <c r="D1565" s="14" t="inlineStr">
        <is>
          <t>irn</t>
        </is>
      </c>
      <c r="E1565" s="14" t="inlineStr">
        <is>
          <t>ETSCOST</t>
        </is>
      </c>
      <c r="F1565" s="92" t="inlineStr">
        <is>
          <t>ETSCOST(INDEX(AE$280:AE$296,$E2050),$D2050)</t>
        </is>
      </c>
    </row>
    <row r="1566">
      <c r="A1566" s="14" t="n">
        <v>2051</v>
      </c>
      <c r="B1566" s="14" t="inlineStr">
        <is>
          <t>ets</t>
        </is>
      </c>
      <c r="C1566" s="14" t="inlineStr">
        <is>
          <t>ker</t>
        </is>
      </c>
      <c r="D1566" s="14" t="inlineStr">
        <is>
          <t>irn</t>
        </is>
      </c>
      <c r="E1566" s="14" t="inlineStr">
        <is>
          <t>ETSCOST</t>
        </is>
      </c>
      <c r="F1566" s="92" t="inlineStr">
        <is>
          <t>ETSCOST(INDEX(AE$280:AE$296,$E2051),$D2051)</t>
        </is>
      </c>
    </row>
    <row r="1567">
      <c r="A1567" s="14" t="n">
        <v>2052</v>
      </c>
      <c r="B1567" s="14" t="inlineStr">
        <is>
          <t>ets</t>
        </is>
      </c>
      <c r="C1567" s="14" t="inlineStr">
        <is>
          <t>oop</t>
        </is>
      </c>
      <c r="D1567" s="14" t="inlineStr">
        <is>
          <t>irn</t>
        </is>
      </c>
      <c r="E1567" s="14" t="inlineStr">
        <is>
          <t>ETSCOST</t>
        </is>
      </c>
      <c r="F1567" s="92" t="inlineStr">
        <is>
          <t>ETSCOST(INDEX(AE$280:AE$296,$E2052),$D2052)</t>
        </is>
      </c>
    </row>
    <row r="1568">
      <c r="A1568" s="14" t="n">
        <v>2053</v>
      </c>
      <c r="B1568" s="14" t="inlineStr">
        <is>
          <t>ets</t>
        </is>
      </c>
      <c r="C1568" s="14" t="inlineStr">
        <is>
          <t>bio</t>
        </is>
      </c>
      <c r="D1568" s="14" t="inlineStr">
        <is>
          <t>irn</t>
        </is>
      </c>
      <c r="E1568" s="14" t="inlineStr">
        <is>
          <t>ETSCOST</t>
        </is>
      </c>
      <c r="F1568" s="92" t="inlineStr">
        <is>
          <t>ETSCOST(INDEX(AE$280:AE$296,$E2053),$D2053)</t>
        </is>
      </c>
    </row>
    <row r="1569">
      <c r="A1569" s="14" t="n">
        <v>2055</v>
      </c>
      <c r="B1569" s="14" t="inlineStr">
        <is>
          <t>ntx</t>
        </is>
      </c>
      <c r="C1569" s="14" t="inlineStr">
        <is>
          <t>coa</t>
        </is>
      </c>
      <c r="D1569" s="14" t="inlineStr">
        <is>
          <t>irn</t>
        </is>
      </c>
      <c r="E1569" s="14" t="inlineStr">
        <is>
          <t>NEWEXCISE</t>
        </is>
      </c>
      <c r="F1569" s="92" t="inlineStr">
        <is>
          <t>NEWEXCISE(INDEX(AE$80:AE$93,$D2055),$E2055)</t>
        </is>
      </c>
    </row>
    <row r="1570">
      <c r="A1570" s="14" t="n">
        <v>2056</v>
      </c>
      <c r="B1570" s="14" t="inlineStr">
        <is>
          <t>ntx</t>
        </is>
      </c>
      <c r="C1570" s="14" t="inlineStr">
        <is>
          <t>nga</t>
        </is>
      </c>
      <c r="D1570" s="14" t="inlineStr">
        <is>
          <t>irn</t>
        </is>
      </c>
      <c r="E1570" s="14" t="inlineStr">
        <is>
          <t>NEWEXCISE</t>
        </is>
      </c>
      <c r="F1570" s="92" t="inlineStr">
        <is>
          <t>NEWEXCISE(INDEX(AE$80:AE$93,$D2056),$E2056)</t>
        </is>
      </c>
    </row>
    <row r="1571">
      <c r="A1571" s="14" t="n">
        <v>2057</v>
      </c>
      <c r="B1571" s="14" t="inlineStr">
        <is>
          <t>ntx</t>
        </is>
      </c>
      <c r="C1571" s="14" t="inlineStr">
        <is>
          <t>gso</t>
        </is>
      </c>
      <c r="D1571" s="14" t="inlineStr">
        <is>
          <t>irn</t>
        </is>
      </c>
      <c r="E1571" s="14" t="inlineStr">
        <is>
          <t>NEWEXCISE</t>
        </is>
      </c>
      <c r="F1571" s="92" t="inlineStr">
        <is>
          <t>NEWEXCISE(INDEX(AE$80:AE$93,$D2057),$E2057)</t>
        </is>
      </c>
    </row>
    <row r="1572">
      <c r="A1572" s="14" t="n">
        <v>2058</v>
      </c>
      <c r="B1572" s="14" t="inlineStr">
        <is>
          <t>ntx</t>
        </is>
      </c>
      <c r="C1572" s="14" t="inlineStr">
        <is>
          <t>die</t>
        </is>
      </c>
      <c r="D1572" s="14" t="inlineStr">
        <is>
          <t>irn</t>
        </is>
      </c>
      <c r="E1572" s="14" t="inlineStr">
        <is>
          <t>NEWEXCISE</t>
        </is>
      </c>
      <c r="F1572" s="92" t="inlineStr">
        <is>
          <t>NEWEXCISE(INDEX(AE$80:AE$93,$D2058),$E2058)</t>
        </is>
      </c>
    </row>
    <row r="1573">
      <c r="A1573" s="14" t="n">
        <v>2059</v>
      </c>
      <c r="B1573" s="14" t="inlineStr">
        <is>
          <t>ntx</t>
        </is>
      </c>
      <c r="C1573" s="14" t="inlineStr">
        <is>
          <t>lpg</t>
        </is>
      </c>
      <c r="D1573" s="14" t="inlineStr">
        <is>
          <t>irn</t>
        </is>
      </c>
      <c r="E1573" s="14" t="inlineStr">
        <is>
          <t>NEWEXCISE</t>
        </is>
      </c>
      <c r="F1573" s="92" t="inlineStr">
        <is>
          <t>NEWEXCISE(INDEX(AE$80:AE$93,$D2059),$E2059)</t>
        </is>
      </c>
    </row>
    <row r="1574">
      <c r="A1574" s="14" t="n">
        <v>2060</v>
      </c>
      <c r="B1574" s="14" t="inlineStr">
        <is>
          <t>ntx</t>
        </is>
      </c>
      <c r="C1574" s="14" t="inlineStr">
        <is>
          <t>ker</t>
        </is>
      </c>
      <c r="D1574" s="14" t="inlineStr">
        <is>
          <t>irn</t>
        </is>
      </c>
      <c r="E1574" s="14" t="inlineStr">
        <is>
          <t>NEWEXCISE</t>
        </is>
      </c>
      <c r="F1574" s="92" t="inlineStr">
        <is>
          <t>NEWEXCISE(INDEX(AE$80:AE$93,$D2060),$E2060)</t>
        </is>
      </c>
    </row>
    <row r="1575">
      <c r="A1575" s="14" t="n">
        <v>2061</v>
      </c>
      <c r="B1575" s="14" t="inlineStr">
        <is>
          <t>ntx</t>
        </is>
      </c>
      <c r="C1575" s="14" t="inlineStr">
        <is>
          <t>oop</t>
        </is>
      </c>
      <c r="D1575" s="14" t="inlineStr">
        <is>
          <t>irn</t>
        </is>
      </c>
      <c r="E1575" s="14" t="inlineStr">
        <is>
          <t>NEWEXCISE</t>
        </is>
      </c>
      <c r="F1575" s="92" t="inlineStr">
        <is>
          <t>NEWEXCISE(INDEX(AE$80:AE$93,$D2061),$E2061)</t>
        </is>
      </c>
    </row>
    <row r="1576">
      <c r="A1576" s="14" t="n">
        <v>2062</v>
      </c>
      <c r="B1576" s="14" t="inlineStr">
        <is>
          <t>ntx</t>
        </is>
      </c>
      <c r="C1576" s="14" t="inlineStr">
        <is>
          <t>bio</t>
        </is>
      </c>
      <c r="D1576" s="14" t="inlineStr">
        <is>
          <t>irn</t>
        </is>
      </c>
      <c r="E1576" s="14" t="inlineStr">
        <is>
          <t>NEWEXCISE</t>
        </is>
      </c>
      <c r="F1576" s="92" t="inlineStr">
        <is>
          <t>NEWEXCISE(INDEX(AE$80:AE$93,$D2062),$E2062)</t>
        </is>
      </c>
    </row>
    <row r="1577">
      <c r="A1577" s="14" t="n">
        <v>2064</v>
      </c>
      <c r="B1577" s="14" t="inlineStr">
        <is>
          <t>nce</t>
        </is>
      </c>
      <c r="C1577" s="14" t="inlineStr">
        <is>
          <t>coa</t>
        </is>
      </c>
      <c r="D1577" s="14" t="inlineStr">
        <is>
          <t>irn</t>
        </is>
      </c>
      <c r="E1577" s="14" t="inlineStr">
        <is>
          <t>NEWPOLICY</t>
        </is>
      </c>
      <c r="F1577" s="92" t="inlineStr">
        <is>
          <t>NEWPOLICY(AE2037,AE2046,AE2055)</t>
        </is>
      </c>
    </row>
    <row r="1578">
      <c r="A1578" s="14" t="n">
        <v>2065</v>
      </c>
      <c r="B1578" s="14" t="inlineStr">
        <is>
          <t>nce</t>
        </is>
      </c>
      <c r="C1578" s="14" t="inlineStr">
        <is>
          <t>nga</t>
        </is>
      </c>
      <c r="D1578" s="14" t="inlineStr">
        <is>
          <t>irn</t>
        </is>
      </c>
      <c r="E1578" s="14" t="inlineStr">
        <is>
          <t>NEWPOLICY</t>
        </is>
      </c>
      <c r="F1578" s="92" t="inlineStr">
        <is>
          <t>NEWPOLICY(AE2038,AE2047,AE2056)</t>
        </is>
      </c>
    </row>
    <row r="1579">
      <c r="A1579" s="14" t="n">
        <v>2066</v>
      </c>
      <c r="B1579" s="14" t="inlineStr">
        <is>
          <t>nce</t>
        </is>
      </c>
      <c r="C1579" s="14" t="inlineStr">
        <is>
          <t>gso</t>
        </is>
      </c>
      <c r="D1579" s="14" t="inlineStr">
        <is>
          <t>irn</t>
        </is>
      </c>
      <c r="E1579" s="14" t="inlineStr">
        <is>
          <t>NEWPOLICY</t>
        </is>
      </c>
      <c r="F1579" s="92" t="inlineStr">
        <is>
          <t>NEWPOLICY(AE2039,AE2048,AE2057)</t>
        </is>
      </c>
    </row>
    <row r="1580">
      <c r="A1580" s="14" t="n">
        <v>2067</v>
      </c>
      <c r="B1580" s="14" t="inlineStr">
        <is>
          <t>nce</t>
        </is>
      </c>
      <c r="C1580" s="14" t="inlineStr">
        <is>
          <t>die</t>
        </is>
      </c>
      <c r="D1580" s="14" t="inlineStr">
        <is>
          <t>irn</t>
        </is>
      </c>
      <c r="E1580" s="14" t="inlineStr">
        <is>
          <t>NEWPOLICY</t>
        </is>
      </c>
      <c r="F1580" s="92" t="inlineStr">
        <is>
          <t>NEWPOLICY(AE2040,AE2049,AE2058)</t>
        </is>
      </c>
    </row>
    <row r="1581">
      <c r="A1581" s="14" t="n">
        <v>2068</v>
      </c>
      <c r="B1581" s="14" t="inlineStr">
        <is>
          <t>nce</t>
        </is>
      </c>
      <c r="C1581" s="14" t="inlineStr">
        <is>
          <t>lpg</t>
        </is>
      </c>
      <c r="D1581" s="14" t="inlineStr">
        <is>
          <t>irn</t>
        </is>
      </c>
      <c r="E1581" s="14" t="inlineStr">
        <is>
          <t>NEWPOLICY</t>
        </is>
      </c>
      <c r="F1581" s="92" t="inlineStr">
        <is>
          <t>NEWPOLICY(AE2041,AE2050,AE2059)</t>
        </is>
      </c>
    </row>
    <row r="1582">
      <c r="A1582" s="14" t="n">
        <v>2069</v>
      </c>
      <c r="B1582" s="14" t="inlineStr">
        <is>
          <t>nce</t>
        </is>
      </c>
      <c r="C1582" s="14" t="inlineStr">
        <is>
          <t>ker</t>
        </is>
      </c>
      <c r="D1582" s="14" t="inlineStr">
        <is>
          <t>irn</t>
        </is>
      </c>
      <c r="E1582" s="14" t="inlineStr">
        <is>
          <t>NEWPOLICY</t>
        </is>
      </c>
      <c r="F1582" s="92" t="inlineStr">
        <is>
          <t>NEWPOLICY(AE2042,AE2051,AE2060)</t>
        </is>
      </c>
    </row>
    <row r="1583">
      <c r="A1583" s="14" t="n">
        <v>2070</v>
      </c>
      <c r="B1583" s="14" t="inlineStr">
        <is>
          <t>nce</t>
        </is>
      </c>
      <c r="C1583" s="14" t="inlineStr">
        <is>
          <t>oop</t>
        </is>
      </c>
      <c r="D1583" s="14" t="inlineStr">
        <is>
          <t>irn</t>
        </is>
      </c>
      <c r="E1583" s="14" t="inlineStr">
        <is>
          <t>NEWPOLICY</t>
        </is>
      </c>
      <c r="F1583" s="92" t="inlineStr">
        <is>
          <t>NEWPOLICY(AE2043,AE2052,AE2061)</t>
        </is>
      </c>
    </row>
    <row r="1584">
      <c r="A1584" s="14" t="n">
        <v>2071</v>
      </c>
      <c r="B1584" s="14" t="inlineStr">
        <is>
          <t>nce</t>
        </is>
      </c>
      <c r="C1584" s="14" t="inlineStr">
        <is>
          <t>bio</t>
        </is>
      </c>
      <c r="D1584" s="14" t="inlineStr">
        <is>
          <t>irn</t>
        </is>
      </c>
      <c r="E1584" s="14" t="inlineStr">
        <is>
          <t>NEWPOLICY</t>
        </is>
      </c>
      <c r="F1584" s="92" t="inlineStr">
        <is>
          <t>NEWPOLICY(AE2044,AE2053,AE2062)</t>
        </is>
      </c>
    </row>
    <row r="1585">
      <c r="A1585" s="14" t="n">
        <v>2073</v>
      </c>
      <c r="B1585" s="14" t="inlineStr">
        <is>
          <t>xcp</t>
        </is>
      </c>
      <c r="C1585" s="14" t="inlineStr">
        <is>
          <t>coa</t>
        </is>
      </c>
      <c r="D1585" s="14" t="inlineStr">
        <is>
          <t>irn</t>
        </is>
      </c>
      <c r="E1585" s="14" t="inlineStr">
        <is>
          <t>XCARBON</t>
        </is>
      </c>
      <c r="F1585" s="92" t="inlineStr">
        <is>
          <t>XCARBON($D2073,$E2073,AE$321,$F2073,AE$324)</t>
        </is>
      </c>
    </row>
    <row r="1586">
      <c r="A1586" s="14" t="n">
        <v>2074</v>
      </c>
      <c r="B1586" s="14" t="inlineStr">
        <is>
          <t>xcp</t>
        </is>
      </c>
      <c r="C1586" s="14" t="inlineStr">
        <is>
          <t>nga</t>
        </is>
      </c>
      <c r="D1586" s="14" t="inlineStr">
        <is>
          <t>irn</t>
        </is>
      </c>
      <c r="E1586" s="14" t="inlineStr">
        <is>
          <t>XCARBON</t>
        </is>
      </c>
      <c r="F1586" s="92" t="inlineStr">
        <is>
          <t>XCARBON($D2074,$E2074,AE$321,$F2074,AE$324)</t>
        </is>
      </c>
    </row>
    <row r="1587">
      <c r="A1587" s="14" t="n">
        <v>2075</v>
      </c>
      <c r="B1587" s="14" t="inlineStr">
        <is>
          <t>xcp</t>
        </is>
      </c>
      <c r="C1587" s="14" t="inlineStr">
        <is>
          <t>gso</t>
        </is>
      </c>
      <c r="D1587" s="14" t="inlineStr">
        <is>
          <t>irn</t>
        </is>
      </c>
      <c r="E1587" s="14" t="inlineStr">
        <is>
          <t>XCARBON</t>
        </is>
      </c>
      <c r="F1587" s="92" t="inlineStr">
        <is>
          <t>XCARBON($D2075,$E2075,AE$321,$F2075,AE$324)</t>
        </is>
      </c>
    </row>
    <row r="1588">
      <c r="A1588" s="14" t="n">
        <v>2076</v>
      </c>
      <c r="B1588" s="14" t="inlineStr">
        <is>
          <t>xcp</t>
        </is>
      </c>
      <c r="C1588" s="14" t="inlineStr">
        <is>
          <t>die</t>
        </is>
      </c>
      <c r="D1588" s="14" t="inlineStr">
        <is>
          <t>irn</t>
        </is>
      </c>
      <c r="E1588" s="14" t="inlineStr">
        <is>
          <t>XCARBON</t>
        </is>
      </c>
      <c r="F1588" s="92" t="inlineStr">
        <is>
          <t>XCARBON($D2076,$E2076,AE$321,$F2076,AE$324)</t>
        </is>
      </c>
    </row>
    <row r="1589">
      <c r="A1589" s="14" t="n">
        <v>2077</v>
      </c>
      <c r="B1589" s="14" t="inlineStr">
        <is>
          <t>xcp</t>
        </is>
      </c>
      <c r="C1589" s="14" t="inlineStr">
        <is>
          <t>lpg</t>
        </is>
      </c>
      <c r="D1589" s="14" t="inlineStr">
        <is>
          <t>irn</t>
        </is>
      </c>
      <c r="E1589" s="14" t="inlineStr">
        <is>
          <t>XCARBON</t>
        </is>
      </c>
      <c r="F1589" s="92" t="inlineStr">
        <is>
          <t>XCARBON($D2077,$E2077,AE$321,$F2077,AE$324)</t>
        </is>
      </c>
    </row>
    <row r="1590">
      <c r="A1590" s="14" t="n">
        <v>2078</v>
      </c>
      <c r="B1590" s="14" t="inlineStr">
        <is>
          <t>xcp</t>
        </is>
      </c>
      <c r="C1590" s="14" t="inlineStr">
        <is>
          <t>ker</t>
        </is>
      </c>
      <c r="D1590" s="14" t="inlineStr">
        <is>
          <t>irn</t>
        </is>
      </c>
      <c r="E1590" s="14" t="inlineStr">
        <is>
          <t>XCARBON</t>
        </is>
      </c>
      <c r="F1590" s="92" t="inlineStr">
        <is>
          <t>XCARBON($D2078,$E2078,AE$321,$F2078,AE$324)</t>
        </is>
      </c>
    </row>
    <row r="1591">
      <c r="A1591" s="14" t="n">
        <v>2079</v>
      </c>
      <c r="B1591" s="14" t="inlineStr">
        <is>
          <t>xcp</t>
        </is>
      </c>
      <c r="C1591" s="14" t="inlineStr">
        <is>
          <t>oop</t>
        </is>
      </c>
      <c r="D1591" s="14" t="inlineStr">
        <is>
          <t>irn</t>
        </is>
      </c>
      <c r="E1591" s="14" t="inlineStr">
        <is>
          <t>XCARBON</t>
        </is>
      </c>
      <c r="F1591" s="92" t="inlineStr">
        <is>
          <t>XCARBON($D2079,$E2079,AE$321,$F2079,AE$324)</t>
        </is>
      </c>
    </row>
    <row r="1592">
      <c r="A1592" s="14" t="n">
        <v>2080</v>
      </c>
      <c r="B1592" s="14" t="inlineStr">
        <is>
          <t>xcp</t>
        </is>
      </c>
      <c r="C1592" s="14" t="inlineStr">
        <is>
          <t>bio</t>
        </is>
      </c>
      <c r="D1592" s="14" t="inlineStr">
        <is>
          <t>irn</t>
        </is>
      </c>
      <c r="E1592" s="14" t="inlineStr">
        <is>
          <t>XCARBON</t>
        </is>
      </c>
      <c r="F1592" s="92" t="inlineStr">
        <is>
          <t>XCARBON($D2080,$E2080,AE$321,$F2080,AE$324)</t>
        </is>
      </c>
    </row>
    <row r="1593">
      <c r="A1593" s="14" t="n">
        <v>2082</v>
      </c>
      <c r="B1593" s="14" t="inlineStr">
        <is>
          <t>xcpd</t>
        </is>
      </c>
      <c r="C1593" s="14" t="inlineStr">
        <is>
          <t>coa</t>
        </is>
      </c>
      <c r="D1593" s="14" t="inlineStr">
        <is>
          <t>irn</t>
        </is>
      </c>
      <c r="E1593" s="14" t="inlineStr">
        <is>
          <t>XCARBON</t>
        </is>
      </c>
      <c r="F1593" s="92" t="inlineStr">
        <is>
          <t>XCARBON($D2082,$E2082,(AE$321-AE$322),$F2082,(AE$324-AE$325))</t>
        </is>
      </c>
    </row>
    <row r="1594">
      <c r="A1594" s="14" t="n">
        <v>2083</v>
      </c>
      <c r="B1594" s="14" t="inlineStr">
        <is>
          <t>xcpd</t>
        </is>
      </c>
      <c r="C1594" s="14" t="inlineStr">
        <is>
          <t>nga</t>
        </is>
      </c>
      <c r="D1594" s="14" t="inlineStr">
        <is>
          <t>irn</t>
        </is>
      </c>
      <c r="E1594" s="14" t="inlineStr">
        <is>
          <t>XCARBON</t>
        </is>
      </c>
      <c r="F1594" s="92" t="inlineStr">
        <is>
          <t>XCARBON($D2083,$E2083,(AE$321-AE$322),$F2083,(AE$324-AE$325))</t>
        </is>
      </c>
    </row>
    <row r="1595">
      <c r="A1595" s="14" t="n">
        <v>2084</v>
      </c>
      <c r="B1595" s="14" t="inlineStr">
        <is>
          <t>xcpd</t>
        </is>
      </c>
      <c r="C1595" s="14" t="inlineStr">
        <is>
          <t>gso</t>
        </is>
      </c>
      <c r="D1595" s="14" t="inlineStr">
        <is>
          <t>irn</t>
        </is>
      </c>
      <c r="E1595" s="14" t="inlineStr">
        <is>
          <t>XCARBON</t>
        </is>
      </c>
      <c r="F1595" s="92" t="inlineStr">
        <is>
          <t>XCARBON($D2084,$E2084,(AE$321-AE$322),$F2084,(AE$324-AE$325))</t>
        </is>
      </c>
    </row>
    <row r="1596">
      <c r="A1596" s="14" t="n">
        <v>2085</v>
      </c>
      <c r="B1596" s="14" t="inlineStr">
        <is>
          <t>xcpd</t>
        </is>
      </c>
      <c r="C1596" s="14" t="inlineStr">
        <is>
          <t>die</t>
        </is>
      </c>
      <c r="D1596" s="14" t="inlineStr">
        <is>
          <t>irn</t>
        </is>
      </c>
      <c r="E1596" s="14" t="inlineStr">
        <is>
          <t>XCARBON</t>
        </is>
      </c>
      <c r="F1596" s="92" t="inlineStr">
        <is>
          <t>XCARBON($D2085,$E2085,(AE$321-AE$322),$F2085,(AE$324-AE$325))</t>
        </is>
      </c>
    </row>
    <row r="1597">
      <c r="A1597" s="14" t="n">
        <v>2086</v>
      </c>
      <c r="B1597" s="14" t="inlineStr">
        <is>
          <t>xcpd</t>
        </is>
      </c>
      <c r="C1597" s="14" t="inlineStr">
        <is>
          <t>lpg</t>
        </is>
      </c>
      <c r="D1597" s="14" t="inlineStr">
        <is>
          <t>irn</t>
        </is>
      </c>
      <c r="E1597" s="14" t="inlineStr">
        <is>
          <t>XCARBON</t>
        </is>
      </c>
      <c r="F1597" s="92" t="inlineStr">
        <is>
          <t>XCARBON($D2086,$E2086,(AE$321-AE$322),$F2086,(AE$324-AE$325))</t>
        </is>
      </c>
    </row>
    <row r="1598">
      <c r="A1598" s="14" t="n">
        <v>2087</v>
      </c>
      <c r="B1598" s="14" t="inlineStr">
        <is>
          <t>xcpd</t>
        </is>
      </c>
      <c r="C1598" s="14" t="inlineStr">
        <is>
          <t>ker</t>
        </is>
      </c>
      <c r="D1598" s="14" t="inlineStr">
        <is>
          <t>irn</t>
        </is>
      </c>
      <c r="E1598" s="14" t="inlineStr">
        <is>
          <t>XCARBON</t>
        </is>
      </c>
      <c r="F1598" s="92" t="inlineStr">
        <is>
          <t>XCARBON($D2087,$E2087,(AE$321-AE$322),$F2087,(AE$324-AE$325))</t>
        </is>
      </c>
    </row>
    <row r="1599">
      <c r="A1599" s="14" t="n">
        <v>2088</v>
      </c>
      <c r="B1599" s="14" t="inlineStr">
        <is>
          <t>xcpd</t>
        </is>
      </c>
      <c r="C1599" s="14" t="inlineStr">
        <is>
          <t>oop</t>
        </is>
      </c>
      <c r="D1599" s="14" t="inlineStr">
        <is>
          <t>irn</t>
        </is>
      </c>
      <c r="E1599" s="14" t="inlineStr">
        <is>
          <t>XCARBON</t>
        </is>
      </c>
      <c r="F1599" s="92" t="inlineStr">
        <is>
          <t>XCARBON($D2088,$E2088,(AE$321-AE$322),$F2088,(AE$324-AE$325))</t>
        </is>
      </c>
    </row>
    <row r="1600">
      <c r="A1600" s="14" t="n">
        <v>2089</v>
      </c>
      <c r="B1600" s="14" t="inlineStr">
        <is>
          <t>xcpd</t>
        </is>
      </c>
      <c r="C1600" s="14" t="inlineStr">
        <is>
          <t>bio</t>
        </is>
      </c>
      <c r="D1600" s="14" t="inlineStr">
        <is>
          <t>irn</t>
        </is>
      </c>
      <c r="E1600" s="14" t="inlineStr">
        <is>
          <t>XCARBON</t>
        </is>
      </c>
      <c r="F1600" s="92" t="inlineStr">
        <is>
          <t>XCARBON($D2089,$E2089,(AE$321-AE$322),$F2089,(AE$324-AE$325))</t>
        </is>
      </c>
    </row>
    <row r="1601">
      <c r="A1601" s="14" t="n">
        <v>2091</v>
      </c>
      <c r="B1601" s="14" t="inlineStr">
        <is>
          <t>atp</t>
        </is>
      </c>
      <c r="C1601" s="14" t="inlineStr">
        <is>
          <t>coa</t>
        </is>
      </c>
      <c r="D1601" s="14" t="inlineStr">
        <is>
          <t>irn</t>
        </is>
      </c>
      <c r="E1601" s="14" t="inlineStr">
        <is>
          <t>POSTTAX</t>
        </is>
      </c>
      <c r="F1601" s="92" t="inlineStr">
        <is>
          <t>POSTTAX(INDEX(AE$381:AE$392,$D2091),AE2064+AE2082,$E2091)</t>
        </is>
      </c>
    </row>
    <row r="1602">
      <c r="A1602" s="14" t="n">
        <v>2092</v>
      </c>
      <c r="B1602" s="14" t="inlineStr">
        <is>
          <t>atp</t>
        </is>
      </c>
      <c r="C1602" s="14" t="inlineStr">
        <is>
          <t>nga</t>
        </is>
      </c>
      <c r="D1602" s="14" t="inlineStr">
        <is>
          <t>irn</t>
        </is>
      </c>
      <c r="E1602" s="14" t="inlineStr">
        <is>
          <t>POSTTAX</t>
        </is>
      </c>
      <c r="F1602" s="92" t="inlineStr">
        <is>
          <t>POSTTAX(INDEX(AE$381:AE$392,$D2092),AE2065+AE2083,$E2092)</t>
        </is>
      </c>
    </row>
    <row r="1603">
      <c r="A1603" s="14" t="n">
        <v>2093</v>
      </c>
      <c r="B1603" s="14" t="inlineStr">
        <is>
          <t>atp</t>
        </is>
      </c>
      <c r="C1603" s="14" t="inlineStr">
        <is>
          <t>gso</t>
        </is>
      </c>
      <c r="D1603" s="14" t="inlineStr">
        <is>
          <t>irn</t>
        </is>
      </c>
      <c r="E1603" s="14" t="inlineStr">
        <is>
          <t>POSTTAX</t>
        </is>
      </c>
      <c r="F1603" s="92" t="inlineStr">
        <is>
          <t>POSTTAX(INDEX(AE$381:AE$392,$D2093),AE2066+AE2084,$E2093)</t>
        </is>
      </c>
    </row>
    <row r="1604">
      <c r="A1604" s="14" t="n">
        <v>2094</v>
      </c>
      <c r="B1604" s="14" t="inlineStr">
        <is>
          <t>atp</t>
        </is>
      </c>
      <c r="C1604" s="14" t="inlineStr">
        <is>
          <t>die</t>
        </is>
      </c>
      <c r="D1604" s="14" t="inlineStr">
        <is>
          <t>irn</t>
        </is>
      </c>
      <c r="E1604" s="14" t="inlineStr">
        <is>
          <t>POSTTAX</t>
        </is>
      </c>
      <c r="F1604" s="92" t="inlineStr">
        <is>
          <t>POSTTAX(INDEX(AE$381:AE$392,$D2094),AE2067+AE2085,$E2094)</t>
        </is>
      </c>
    </row>
    <row r="1605">
      <c r="A1605" s="14" t="n">
        <v>2095</v>
      </c>
      <c r="B1605" s="14" t="inlineStr">
        <is>
          <t>atp</t>
        </is>
      </c>
      <c r="C1605" s="14" t="inlineStr">
        <is>
          <t>lpg</t>
        </is>
      </c>
      <c r="D1605" s="14" t="inlineStr">
        <is>
          <t>irn</t>
        </is>
      </c>
      <c r="E1605" s="14" t="inlineStr">
        <is>
          <t>POSTTAX</t>
        </is>
      </c>
      <c r="F1605" s="92" t="inlineStr">
        <is>
          <t>POSTTAX(INDEX(AE$381:AE$392,$D2095),AE2068+AE2086,$E2095)</t>
        </is>
      </c>
    </row>
    <row r="1606">
      <c r="A1606" s="14" t="n">
        <v>2096</v>
      </c>
      <c r="B1606" s="14" t="inlineStr">
        <is>
          <t>atp</t>
        </is>
      </c>
      <c r="C1606" s="14" t="inlineStr">
        <is>
          <t>ker</t>
        </is>
      </c>
      <c r="D1606" s="14" t="inlineStr">
        <is>
          <t>irn</t>
        </is>
      </c>
      <c r="E1606" s="14" t="inlineStr">
        <is>
          <t>POSTTAX</t>
        </is>
      </c>
      <c r="F1606" s="92" t="inlineStr">
        <is>
          <t>POSTTAX(INDEX(AE$381:AE$392,$D2096),AE2069+AE2087,$E2096)</t>
        </is>
      </c>
    </row>
    <row r="1607">
      <c r="A1607" s="14" t="n">
        <v>2097</v>
      </c>
      <c r="B1607" s="14" t="inlineStr">
        <is>
          <t>atp</t>
        </is>
      </c>
      <c r="C1607" s="14" t="inlineStr">
        <is>
          <t>oop</t>
        </is>
      </c>
      <c r="D1607" s="14" t="inlineStr">
        <is>
          <t>irn</t>
        </is>
      </c>
      <c r="E1607" s="14" t="inlineStr">
        <is>
          <t>POSTTAX</t>
        </is>
      </c>
      <c r="F1607" s="92" t="inlineStr">
        <is>
          <t>POSTTAX(INDEX(AE$381:AE$392,$D2097),AE2070+AE2088,$E2097)</t>
        </is>
      </c>
    </row>
    <row r="1608">
      <c r="A1608" s="14" t="n">
        <v>2098</v>
      </c>
      <c r="B1608" s="14" t="inlineStr">
        <is>
          <t>atp</t>
        </is>
      </c>
      <c r="C1608" s="14" t="inlineStr">
        <is>
          <t>bio</t>
        </is>
      </c>
      <c r="D1608" s="14" t="inlineStr">
        <is>
          <t>irn</t>
        </is>
      </c>
      <c r="E1608" s="14" t="inlineStr">
        <is>
          <t>POSTTAX</t>
        </is>
      </c>
      <c r="F1608" s="92" t="inlineStr">
        <is>
          <t>POSTTAX(INDEX(AE$381:AE$392,$D2098),AE2071+AE2089,$E2098)</t>
        </is>
      </c>
    </row>
    <row r="1609">
      <c r="A1609" s="14" t="n">
        <v>2100</v>
      </c>
      <c r="B1609" s="14" t="inlineStr">
        <is>
          <t>shp</t>
        </is>
      </c>
      <c r="C1609" s="14" t="inlineStr">
        <is>
          <t>coa</t>
        </is>
      </c>
      <c r="D1609" s="14" t="inlineStr">
        <is>
          <t>irn</t>
        </is>
      </c>
      <c r="E1609" s="14" t="inlineStr">
        <is>
          <t>SHADOWGJ</t>
        </is>
      </c>
      <c r="F1609" s="92" t="inlineStr">
        <is>
          <t>SHADOWGJ(INDEX(AE$297:AE$313,$E2100),$D2100)</t>
        </is>
      </c>
    </row>
    <row r="1610">
      <c r="A1610" s="14" t="n">
        <v>2101</v>
      </c>
      <c r="B1610" s="14" t="inlineStr">
        <is>
          <t>shp</t>
        </is>
      </c>
      <c r="C1610" s="14" t="inlineStr">
        <is>
          <t>nga</t>
        </is>
      </c>
      <c r="D1610" s="14" t="inlineStr">
        <is>
          <t>irn</t>
        </is>
      </c>
      <c r="E1610" s="14" t="inlineStr">
        <is>
          <t>SHADOWGJ</t>
        </is>
      </c>
      <c r="F1610" s="92" t="inlineStr">
        <is>
          <t>SHADOWGJ(INDEX(AE$297:AE$313,$E2101),$D2101)</t>
        </is>
      </c>
    </row>
    <row r="1611">
      <c r="A1611" s="14" t="n">
        <v>2102</v>
      </c>
      <c r="B1611" s="14" t="inlineStr">
        <is>
          <t>shp</t>
        </is>
      </c>
      <c r="C1611" s="14" t="inlineStr">
        <is>
          <t>gso</t>
        </is>
      </c>
      <c r="D1611" s="14" t="inlineStr">
        <is>
          <t>irn</t>
        </is>
      </c>
      <c r="E1611" s="14" t="inlineStr">
        <is>
          <t>SHADOWGJ</t>
        </is>
      </c>
      <c r="F1611" s="92" t="inlineStr">
        <is>
          <t>SHADOWGJ(INDEX(AE$297:AE$313,$E2102),$D2102)</t>
        </is>
      </c>
    </row>
    <row r="1612">
      <c r="A1612" s="14" t="n">
        <v>2103</v>
      </c>
      <c r="B1612" s="14" t="inlineStr">
        <is>
          <t>shp</t>
        </is>
      </c>
      <c r="C1612" s="14" t="inlineStr">
        <is>
          <t>die</t>
        </is>
      </c>
      <c r="D1612" s="14" t="inlineStr">
        <is>
          <t>irn</t>
        </is>
      </c>
      <c r="E1612" s="14" t="inlineStr">
        <is>
          <t>SHADOWGJ</t>
        </is>
      </c>
      <c r="F1612" s="92" t="inlineStr">
        <is>
          <t>SHADOWGJ(INDEX(AE$297:AE$313,$E2103),$D2103)</t>
        </is>
      </c>
    </row>
    <row r="1613">
      <c r="A1613" s="14" t="n">
        <v>2104</v>
      </c>
      <c r="B1613" s="14" t="inlineStr">
        <is>
          <t>shp</t>
        </is>
      </c>
      <c r="C1613" s="14" t="inlineStr">
        <is>
          <t>lpg</t>
        </is>
      </c>
      <c r="D1613" s="14" t="inlineStr">
        <is>
          <t>irn</t>
        </is>
      </c>
      <c r="E1613" s="14" t="inlineStr">
        <is>
          <t>SHADOWGJ</t>
        </is>
      </c>
      <c r="F1613" s="92" t="inlineStr">
        <is>
          <t>SHADOWGJ(INDEX(AE$297:AE$313,$E2104),$D2104)</t>
        </is>
      </c>
    </row>
    <row r="1614">
      <c r="A1614" s="14" t="n">
        <v>2105</v>
      </c>
      <c r="B1614" s="14" t="inlineStr">
        <is>
          <t>shp</t>
        </is>
      </c>
      <c r="C1614" s="14" t="inlineStr">
        <is>
          <t>ker</t>
        </is>
      </c>
      <c r="D1614" s="14" t="inlineStr">
        <is>
          <t>irn</t>
        </is>
      </c>
      <c r="E1614" s="14" t="inlineStr">
        <is>
          <t>SHADOWGJ</t>
        </is>
      </c>
      <c r="F1614" s="92" t="inlineStr">
        <is>
          <t>SHADOWGJ(INDEX(AE$297:AE$313,$E2105),$D2105)</t>
        </is>
      </c>
    </row>
    <row r="1615">
      <c r="A1615" s="14" t="n">
        <v>2106</v>
      </c>
      <c r="B1615" s="14" t="inlineStr">
        <is>
          <t>shp</t>
        </is>
      </c>
      <c r="C1615" s="14" t="inlineStr">
        <is>
          <t>oop</t>
        </is>
      </c>
      <c r="D1615" s="14" t="inlineStr">
        <is>
          <t>irn</t>
        </is>
      </c>
      <c r="E1615" s="14" t="inlineStr">
        <is>
          <t>SHADOWGJ</t>
        </is>
      </c>
      <c r="F1615" s="92" t="inlineStr">
        <is>
          <t>SHADOWGJ(INDEX(AE$297:AE$313,$E2106),$D2106)</t>
        </is>
      </c>
    </row>
    <row r="1616">
      <c r="A1616" s="14" t="n">
        <v>2107</v>
      </c>
      <c r="B1616" s="14" t="inlineStr">
        <is>
          <t>shp</t>
        </is>
      </c>
      <c r="C1616" s="14" t="inlineStr">
        <is>
          <t>bio</t>
        </is>
      </c>
      <c r="D1616" s="14" t="inlineStr">
        <is>
          <t>irn</t>
        </is>
      </c>
      <c r="E1616" s="14" t="inlineStr">
        <is>
          <t>SHADOWGJ</t>
        </is>
      </c>
      <c r="F1616" s="92" t="inlineStr">
        <is>
          <t>SHADOWGJ(INDEX(AE$297:AE$313,$E2107),$D2107)</t>
        </is>
      </c>
    </row>
    <row r="1617">
      <c r="A1617" s="14" t="n">
        <v>2109</v>
      </c>
      <c r="B1617" s="14" t="inlineStr">
        <is>
          <t>ener</t>
        </is>
      </c>
      <c r="C1617" s="14" t="inlineStr">
        <is>
          <t>coa</t>
        </is>
      </c>
      <c r="D1617" s="14" t="inlineStr">
        <is>
          <t>irn</t>
        </is>
      </c>
      <c r="E1617" s="14" t="inlineStr">
        <is>
          <t>FUELUSE</t>
        </is>
      </c>
      <c r="F1617" s="92" t="inlineStr">
        <is>
          <t>FUELUSE(AD2109,AE2091,AD2091,AE2100,AD2100,AE$7,$D2109,$E2109,$F2109,$G2109)</t>
        </is>
      </c>
    </row>
    <row r="1618">
      <c r="A1618" s="14" t="n">
        <v>2110</v>
      </c>
      <c r="B1618" s="14" t="inlineStr">
        <is>
          <t>ener</t>
        </is>
      </c>
      <c r="C1618" s="14" t="inlineStr">
        <is>
          <t>nga</t>
        </is>
      </c>
      <c r="D1618" s="14" t="inlineStr">
        <is>
          <t>irn</t>
        </is>
      </c>
      <c r="E1618" s="14" t="inlineStr">
        <is>
          <t>FUELUSE</t>
        </is>
      </c>
      <c r="F1618" s="92" t="inlineStr">
        <is>
          <t>FUELUSE(AD2110,AE2092,AD2092,AE2101,AD2101,AE$7,$D2110,$E2110,$F2110,$G2110)</t>
        </is>
      </c>
    </row>
    <row r="1619">
      <c r="A1619" s="14" t="n">
        <v>2111</v>
      </c>
      <c r="B1619" s="14" t="inlineStr">
        <is>
          <t>ener</t>
        </is>
      </c>
      <c r="C1619" s="14" t="inlineStr">
        <is>
          <t>gso</t>
        </is>
      </c>
      <c r="D1619" s="14" t="inlineStr">
        <is>
          <t>irn</t>
        </is>
      </c>
      <c r="E1619" s="14" t="inlineStr">
        <is>
          <t>FUELUSE</t>
        </is>
      </c>
      <c r="F1619" s="92" t="inlineStr">
        <is>
          <t>FUELUSE(AD2111,AE2093,AD2093,AE2102,AD2102,AE$7,$D2111,$E2111,$F2111,$G2111)</t>
        </is>
      </c>
    </row>
    <row r="1620">
      <c r="A1620" s="14" t="n">
        <v>2112</v>
      </c>
      <c r="B1620" s="14" t="inlineStr">
        <is>
          <t>ener</t>
        </is>
      </c>
      <c r="C1620" s="14" t="inlineStr">
        <is>
          <t>die</t>
        </is>
      </c>
      <c r="D1620" s="14" t="inlineStr">
        <is>
          <t>irn</t>
        </is>
      </c>
      <c r="E1620" s="14" t="inlineStr">
        <is>
          <t>FUELUSE</t>
        </is>
      </c>
      <c r="F1620" s="92" t="inlineStr">
        <is>
          <t>FUELUSE(AD2112,AE2094,AD2094,AE2103,AD2103,AE$7,$D2112,$E2112,$F2112,$G2112)</t>
        </is>
      </c>
    </row>
    <row r="1621">
      <c r="A1621" s="14" t="n">
        <v>2113</v>
      </c>
      <c r="B1621" s="14" t="inlineStr">
        <is>
          <t>ener</t>
        </is>
      </c>
      <c r="C1621" s="14" t="inlineStr">
        <is>
          <t>lpg</t>
        </is>
      </c>
      <c r="D1621" s="14" t="inlineStr">
        <is>
          <t>irn</t>
        </is>
      </c>
      <c r="E1621" s="14" t="inlineStr">
        <is>
          <t>FUELUSE</t>
        </is>
      </c>
      <c r="F1621" s="92" t="inlineStr">
        <is>
          <t>FUELUSE(AD2113,AE2095,AD2095,AE2104,AD2104,AE$7,$D2113,$E2113,$F2113,$G2113)</t>
        </is>
      </c>
    </row>
    <row r="1622">
      <c r="A1622" s="14" t="n">
        <v>2114</v>
      </c>
      <c r="B1622" s="14" t="inlineStr">
        <is>
          <t>ener</t>
        </is>
      </c>
      <c r="C1622" s="14" t="inlineStr">
        <is>
          <t>ker</t>
        </is>
      </c>
      <c r="D1622" s="14" t="inlineStr">
        <is>
          <t>irn</t>
        </is>
      </c>
      <c r="E1622" s="14" t="inlineStr">
        <is>
          <t>FUELUSE</t>
        </is>
      </c>
      <c r="F1622" s="92" t="inlineStr">
        <is>
          <t>FUELUSE(AD2114,AE2096,AD2096,AE2105,AD2105,AE$7,$D2114,$E2114,$F2114,$G2114)</t>
        </is>
      </c>
    </row>
    <row r="1623">
      <c r="A1623" s="14" t="n">
        <v>2115</v>
      </c>
      <c r="B1623" s="14" t="inlineStr">
        <is>
          <t>ener</t>
        </is>
      </c>
      <c r="C1623" s="14" t="inlineStr">
        <is>
          <t>oop</t>
        </is>
      </c>
      <c r="D1623" s="14" t="inlineStr">
        <is>
          <t>irn</t>
        </is>
      </c>
      <c r="E1623" s="14" t="inlineStr">
        <is>
          <t>FUELUSE</t>
        </is>
      </c>
      <c r="F1623" s="92" t="inlineStr">
        <is>
          <t>FUELUSE(AD2115,AE2097,AD2097,AE2106,AD2106,AE$7,$D2115,$E2115,$F2115,$G2115)</t>
        </is>
      </c>
    </row>
    <row r="1624">
      <c r="A1624" s="14" t="n">
        <v>2116</v>
      </c>
      <c r="B1624" s="14" t="inlineStr">
        <is>
          <t>ener</t>
        </is>
      </c>
      <c r="C1624" s="14" t="inlineStr">
        <is>
          <t>bio</t>
        </is>
      </c>
      <c r="D1624" s="14" t="inlineStr">
        <is>
          <t>irn</t>
        </is>
      </c>
      <c r="E1624" s="14" t="inlineStr">
        <is>
          <t>FUELUSE</t>
        </is>
      </c>
      <c r="F1624" s="92" t="inlineStr">
        <is>
          <t>FUELUSE(AD2116,AE2098,AD2098,AE2107,AD2107,AE$7,$D2116,$E2116,$F2116,$G2116)</t>
        </is>
      </c>
    </row>
    <row r="1625">
      <c r="A1625" s="14" t="n">
        <v>2118</v>
      </c>
      <c r="B1625" s="14" t="inlineStr">
        <is>
          <t>co2</t>
        </is>
      </c>
      <c r="C1625" s="14" t="inlineStr">
        <is>
          <t>coa</t>
        </is>
      </c>
      <c r="D1625" s="14" t="inlineStr">
        <is>
          <t>irn</t>
        </is>
      </c>
      <c r="E1625" s="14" t="inlineStr">
        <is>
          <t>EMISSIONS</t>
        </is>
      </c>
      <c r="F1625" s="92" t="inlineStr">
        <is>
          <t>EMISSIONS(AE2109,Settings!$C$13,$D2118)</t>
        </is>
      </c>
    </row>
    <row r="1626">
      <c r="A1626" s="14" t="n">
        <v>2119</v>
      </c>
      <c r="B1626" s="14" t="inlineStr">
        <is>
          <t>co2</t>
        </is>
      </c>
      <c r="C1626" s="14" t="inlineStr">
        <is>
          <t>nga</t>
        </is>
      </c>
      <c r="D1626" s="14" t="inlineStr">
        <is>
          <t>irn</t>
        </is>
      </c>
      <c r="E1626" s="14" t="inlineStr">
        <is>
          <t>EMISSIONS</t>
        </is>
      </c>
      <c r="F1626" s="92" t="inlineStr">
        <is>
          <t>EMISSIONS(AE2110,Settings!$C$13,$D2119)</t>
        </is>
      </c>
    </row>
    <row r="1627">
      <c r="A1627" s="14" t="n">
        <v>2120</v>
      </c>
      <c r="B1627" s="14" t="inlineStr">
        <is>
          <t>co2</t>
        </is>
      </c>
      <c r="C1627" s="14" t="inlineStr">
        <is>
          <t>gso</t>
        </is>
      </c>
      <c r="D1627" s="14" t="inlineStr">
        <is>
          <t>irn</t>
        </is>
      </c>
      <c r="E1627" s="14" t="inlineStr">
        <is>
          <t>EMISSIONS</t>
        </is>
      </c>
      <c r="F1627" s="92" t="inlineStr">
        <is>
          <t>EMISSIONS(AE2111,Settings!$C$13,$D2120)</t>
        </is>
      </c>
    </row>
    <row r="1628">
      <c r="A1628" s="14" t="n">
        <v>2121</v>
      </c>
      <c r="B1628" s="14" t="inlineStr">
        <is>
          <t>co2</t>
        </is>
      </c>
      <c r="C1628" s="14" t="inlineStr">
        <is>
          <t>die</t>
        </is>
      </c>
      <c r="D1628" s="14" t="inlineStr">
        <is>
          <t>irn</t>
        </is>
      </c>
      <c r="E1628" s="14" t="inlineStr">
        <is>
          <t>EMISSIONS</t>
        </is>
      </c>
      <c r="F1628" s="92" t="inlineStr">
        <is>
          <t>EMISSIONS(AE2112,Settings!$C$13,$D2121)</t>
        </is>
      </c>
    </row>
    <row r="1629">
      <c r="A1629" s="14" t="n">
        <v>2122</v>
      </c>
      <c r="B1629" s="14" t="inlineStr">
        <is>
          <t>co2</t>
        </is>
      </c>
      <c r="C1629" s="14" t="inlineStr">
        <is>
          <t>lpg</t>
        </is>
      </c>
      <c r="D1629" s="14" t="inlineStr">
        <is>
          <t>irn</t>
        </is>
      </c>
      <c r="E1629" s="14" t="inlineStr">
        <is>
          <t>EMISSIONS</t>
        </is>
      </c>
      <c r="F1629" s="92" t="inlineStr">
        <is>
          <t>EMISSIONS(AE2113,Settings!$C$13,$D2122)</t>
        </is>
      </c>
    </row>
    <row r="1630">
      <c r="A1630" s="14" t="n">
        <v>2123</v>
      </c>
      <c r="B1630" s="14" t="inlineStr">
        <is>
          <t>co2</t>
        </is>
      </c>
      <c r="C1630" s="14" t="inlineStr">
        <is>
          <t>ker</t>
        </is>
      </c>
      <c r="D1630" s="14" t="inlineStr">
        <is>
          <t>irn</t>
        </is>
      </c>
      <c r="E1630" s="14" t="inlineStr">
        <is>
          <t>EMISSIONS</t>
        </is>
      </c>
      <c r="F1630" s="92" t="inlineStr">
        <is>
          <t>EMISSIONS(AE2114,Settings!$C$13,$D2123)</t>
        </is>
      </c>
    </row>
    <row r="1631">
      <c r="A1631" s="14" t="n">
        <v>2124</v>
      </c>
      <c r="B1631" s="14" t="inlineStr">
        <is>
          <t>co2</t>
        </is>
      </c>
      <c r="C1631" s="14" t="inlineStr">
        <is>
          <t>oop</t>
        </is>
      </c>
      <c r="D1631" s="14" t="inlineStr">
        <is>
          <t>irn</t>
        </is>
      </c>
      <c r="E1631" s="14" t="inlineStr">
        <is>
          <t>EMISSIONS</t>
        </is>
      </c>
      <c r="F1631" s="92" t="inlineStr">
        <is>
          <t>EMISSIONS(AE2115,Settings!$C$13,$D2124)</t>
        </is>
      </c>
    </row>
    <row r="1632">
      <c r="A1632" s="14" t="n">
        <v>2125</v>
      </c>
      <c r="B1632" s="14" t="inlineStr">
        <is>
          <t>co2</t>
        </is>
      </c>
      <c r="C1632" s="14" t="inlineStr">
        <is>
          <t>bio</t>
        </is>
      </c>
      <c r="D1632" s="14" t="inlineStr">
        <is>
          <t>irn</t>
        </is>
      </c>
      <c r="E1632" s="14" t="inlineStr">
        <is>
          <t>EMISSIONS</t>
        </is>
      </c>
      <c r="F1632" s="92" t="inlineStr">
        <is>
          <t>EMISSIONS(AE2116,Settings!$C$13,$D2125)</t>
        </is>
      </c>
    </row>
    <row r="1633">
      <c r="A1633" s="14" t="n">
        <v>2127</v>
      </c>
      <c r="B1633" s="14" t="inlineStr">
        <is>
          <t>rtx</t>
        </is>
      </c>
      <c r="C1633" s="14" t="inlineStr">
        <is>
          <t>coa</t>
        </is>
      </c>
      <c r="D1633" s="14" t="inlineStr">
        <is>
          <t>irn</t>
        </is>
      </c>
      <c r="E1633" s="14" t="inlineStr">
        <is>
          <t>REVENUE</t>
        </is>
      </c>
      <c r="F1633" s="92" t="inlineStr">
        <is>
          <t>REVENUE(AE2109,Settings!$C$13,INDEX(AE$407:AE$418,$D2127)+INDEX(AE$394:AE$405,$D2127)+AE2082*(1+$E2127))</t>
        </is>
      </c>
    </row>
    <row r="1634">
      <c r="A1634" s="14" t="n">
        <v>2128</v>
      </c>
      <c r="B1634" s="14" t="inlineStr">
        <is>
          <t>rtx</t>
        </is>
      </c>
      <c r="C1634" s="14" t="inlineStr">
        <is>
          <t>nga</t>
        </is>
      </c>
      <c r="D1634" s="14" t="inlineStr">
        <is>
          <t>irn</t>
        </is>
      </c>
      <c r="E1634" s="14" t="inlineStr">
        <is>
          <t>REVENUE</t>
        </is>
      </c>
      <c r="F1634" s="92" t="inlineStr">
        <is>
          <t>REVENUE(AE2110,Settings!$C$13,INDEX(AE$407:AE$418,$D2128)+INDEX(AE$394:AE$405,$D2128)+AE2083*(1+$E2128))</t>
        </is>
      </c>
    </row>
    <row r="1635">
      <c r="A1635" s="14" t="n">
        <v>2129</v>
      </c>
      <c r="B1635" s="14" t="inlineStr">
        <is>
          <t>rtx</t>
        </is>
      </c>
      <c r="C1635" s="14" t="inlineStr">
        <is>
          <t>gso</t>
        </is>
      </c>
      <c r="D1635" s="14" t="inlineStr">
        <is>
          <t>irn</t>
        </is>
      </c>
      <c r="E1635" s="14" t="inlineStr">
        <is>
          <t>REVENUE</t>
        </is>
      </c>
      <c r="F1635" s="92" t="inlineStr">
        <is>
          <t>REVENUE(AE2111,Settings!$C$13,INDEX(AE$407:AE$418,$D2129)+INDEX(AE$394:AE$405,$D2129)+AE2084*(1+$E2129))</t>
        </is>
      </c>
    </row>
    <row r="1636">
      <c r="A1636" s="14" t="n">
        <v>2130</v>
      </c>
      <c r="B1636" s="14" t="inlineStr">
        <is>
          <t>rtx</t>
        </is>
      </c>
      <c r="C1636" s="14" t="inlineStr">
        <is>
          <t>die</t>
        </is>
      </c>
      <c r="D1636" s="14" t="inlineStr">
        <is>
          <t>irn</t>
        </is>
      </c>
      <c r="E1636" s="14" t="inlineStr">
        <is>
          <t>REVENUE</t>
        </is>
      </c>
      <c r="F1636" s="92" t="inlineStr">
        <is>
          <t>REVENUE(AE2112,Settings!$C$13,INDEX(AE$407:AE$418,$D2130)+INDEX(AE$394:AE$405,$D2130)+AE2085*(1+$E2130))</t>
        </is>
      </c>
    </row>
    <row r="1637">
      <c r="A1637" s="14" t="n">
        <v>2131</v>
      </c>
      <c r="B1637" s="14" t="inlineStr">
        <is>
          <t>rtx</t>
        </is>
      </c>
      <c r="C1637" s="14" t="inlineStr">
        <is>
          <t>lpg</t>
        </is>
      </c>
      <c r="D1637" s="14" t="inlineStr">
        <is>
          <t>irn</t>
        </is>
      </c>
      <c r="E1637" s="14" t="inlineStr">
        <is>
          <t>REVENUE</t>
        </is>
      </c>
      <c r="F1637" s="92" t="inlineStr">
        <is>
          <t>REVENUE(AE2113,Settings!$C$13,INDEX(AE$407:AE$418,$D2131)+INDEX(AE$394:AE$405,$D2131)+AE2086*(1+$E2131))</t>
        </is>
      </c>
    </row>
    <row r="1638">
      <c r="A1638" s="14" t="n">
        <v>2132</v>
      </c>
      <c r="B1638" s="14" t="inlineStr">
        <is>
          <t>rtx</t>
        </is>
      </c>
      <c r="C1638" s="14" t="inlineStr">
        <is>
          <t>ker</t>
        </is>
      </c>
      <c r="D1638" s="14" t="inlineStr">
        <is>
          <t>irn</t>
        </is>
      </c>
      <c r="E1638" s="14" t="inlineStr">
        <is>
          <t>REVENUE</t>
        </is>
      </c>
      <c r="F1638" s="92" t="inlineStr">
        <is>
          <t>REVENUE(AE2114,Settings!$C$13,INDEX(AE$407:AE$418,$D2132)+INDEX(AE$394:AE$405,$D2132)+AE2087*(1+$E2132))</t>
        </is>
      </c>
    </row>
    <row r="1639">
      <c r="A1639" s="14" t="n">
        <v>2133</v>
      </c>
      <c r="B1639" s="14" t="inlineStr">
        <is>
          <t>rtx</t>
        </is>
      </c>
      <c r="C1639" s="14" t="inlineStr">
        <is>
          <t>oop</t>
        </is>
      </c>
      <c r="D1639" s="14" t="inlineStr">
        <is>
          <t>irn</t>
        </is>
      </c>
      <c r="E1639" s="14" t="inlineStr">
        <is>
          <t>REVENUE</t>
        </is>
      </c>
      <c r="F1639" s="92" t="inlineStr">
        <is>
          <t>REVENUE(AE2115,Settings!$C$13,INDEX(AE$407:AE$418,$D2133)+INDEX(AE$394:AE$405,$D2133)+AE2088*(1+$E2133))</t>
        </is>
      </c>
    </row>
    <row r="1640">
      <c r="A1640" s="14" t="n">
        <v>2134</v>
      </c>
      <c r="B1640" s="14" t="inlineStr">
        <is>
          <t>rtx</t>
        </is>
      </c>
      <c r="C1640" s="14" t="inlineStr">
        <is>
          <t>bio</t>
        </is>
      </c>
      <c r="D1640" s="14" t="inlineStr">
        <is>
          <t>irn</t>
        </is>
      </c>
      <c r="E1640" s="14" t="inlineStr">
        <is>
          <t>REVENUE</t>
        </is>
      </c>
      <c r="F1640" s="92" t="inlineStr">
        <is>
          <t>REVENUE(AE2116,Settings!$C$13,INDEX(AE$407:AE$418,$D2134)+INDEX(AE$394:AE$405,$D2134)+AE2089*(1+$E2134))</t>
        </is>
      </c>
    </row>
    <row r="1641">
      <c r="A1641" s="14" t="n">
        <v>2136</v>
      </c>
      <c r="B1641" s="14" t="inlineStr">
        <is>
          <t>rsub</t>
        </is>
      </c>
      <c r="C1641" s="14" t="inlineStr">
        <is>
          <t>coa</t>
        </is>
      </c>
      <c r="D1641" s="14" t="inlineStr">
        <is>
          <t>irn</t>
        </is>
      </c>
      <c r="E1641" s="14" t="inlineStr">
        <is>
          <t>REVENUE</t>
        </is>
      </c>
      <c r="F1641" s="92" t="inlineStr">
        <is>
          <t>REVENUE(AE2109,Settings!$C$13,INDEX(AE$420:AE$431,$D2136))</t>
        </is>
      </c>
    </row>
    <row r="1642">
      <c r="A1642" s="14" t="n">
        <v>2137</v>
      </c>
      <c r="B1642" s="14" t="inlineStr">
        <is>
          <t>rsub</t>
        </is>
      </c>
      <c r="C1642" s="14" t="inlineStr">
        <is>
          <t>nga</t>
        </is>
      </c>
      <c r="D1642" s="14" t="inlineStr">
        <is>
          <t>irn</t>
        </is>
      </c>
      <c r="E1642" s="14" t="inlineStr">
        <is>
          <t>REVENUE</t>
        </is>
      </c>
      <c r="F1642" s="92" t="inlineStr">
        <is>
          <t>REVENUE(AE2110,Settings!$C$13,INDEX(AE$420:AE$431,$D2137))</t>
        </is>
      </c>
    </row>
    <row r="1643">
      <c r="A1643" s="14" t="n">
        <v>2138</v>
      </c>
      <c r="B1643" s="14" t="inlineStr">
        <is>
          <t>rsub</t>
        </is>
      </c>
      <c r="C1643" s="14" t="inlineStr">
        <is>
          <t>gso</t>
        </is>
      </c>
      <c r="D1643" s="14" t="inlineStr">
        <is>
          <t>irn</t>
        </is>
      </c>
      <c r="E1643" s="14" t="inlineStr">
        <is>
          <t>REVENUE</t>
        </is>
      </c>
      <c r="F1643" s="92" t="inlineStr">
        <is>
          <t>REVENUE(AE2111,Settings!$C$13,INDEX(AE$420:AE$431,$D2138))</t>
        </is>
      </c>
    </row>
    <row r="1644">
      <c r="A1644" s="14" t="n">
        <v>2139</v>
      </c>
      <c r="B1644" s="14" t="inlineStr">
        <is>
          <t>rsub</t>
        </is>
      </c>
      <c r="C1644" s="14" t="inlineStr">
        <is>
          <t>die</t>
        </is>
      </c>
      <c r="D1644" s="14" t="inlineStr">
        <is>
          <t>irn</t>
        </is>
      </c>
      <c r="E1644" s="14" t="inlineStr">
        <is>
          <t>REVENUE</t>
        </is>
      </c>
      <c r="F1644" s="92" t="inlineStr">
        <is>
          <t>REVENUE(AE2112,Settings!$C$13,INDEX(AE$420:AE$431,$D2139))</t>
        </is>
      </c>
    </row>
    <row r="1645">
      <c r="A1645" s="14" t="n">
        <v>2140</v>
      </c>
      <c r="B1645" s="14" t="inlineStr">
        <is>
          <t>rsub</t>
        </is>
      </c>
      <c r="C1645" s="14" t="inlineStr">
        <is>
          <t>lpg</t>
        </is>
      </c>
      <c r="D1645" s="14" t="inlineStr">
        <is>
          <t>irn</t>
        </is>
      </c>
      <c r="E1645" s="14" t="inlineStr">
        <is>
          <t>REVENUE</t>
        </is>
      </c>
      <c r="F1645" s="92" t="inlineStr">
        <is>
          <t>REVENUE(AE2113,Settings!$C$13,INDEX(AE$420:AE$431,$D2140))</t>
        </is>
      </c>
    </row>
    <row r="1646">
      <c r="A1646" s="14" t="n">
        <v>2141</v>
      </c>
      <c r="B1646" s="14" t="inlineStr">
        <is>
          <t>rsub</t>
        </is>
      </c>
      <c r="C1646" s="14" t="inlineStr">
        <is>
          <t>ker</t>
        </is>
      </c>
      <c r="D1646" s="14" t="inlineStr">
        <is>
          <t>irn</t>
        </is>
      </c>
      <c r="E1646" s="14" t="inlineStr">
        <is>
          <t>REVENUE</t>
        </is>
      </c>
      <c r="F1646" s="92" t="inlineStr">
        <is>
          <t>REVENUE(AE2114,Settings!$C$13,INDEX(AE$420:AE$431,$D2141))</t>
        </is>
      </c>
    </row>
    <row r="1647">
      <c r="A1647" s="14" t="n">
        <v>2142</v>
      </c>
      <c r="B1647" s="14" t="inlineStr">
        <is>
          <t>rsub</t>
        </is>
      </c>
      <c r="C1647" s="14" t="inlineStr">
        <is>
          <t>oop</t>
        </is>
      </c>
      <c r="D1647" s="14" t="inlineStr">
        <is>
          <t>irn</t>
        </is>
      </c>
      <c r="E1647" s="14" t="inlineStr">
        <is>
          <t>REVENUE</t>
        </is>
      </c>
      <c r="F1647" s="92" t="inlineStr">
        <is>
          <t>REVENUE(AE2115,Settings!$C$13,INDEX(AE$420:AE$431,$D2142))</t>
        </is>
      </c>
    </row>
    <row r="1648">
      <c r="A1648" s="14" t="n">
        <v>2143</v>
      </c>
      <c r="B1648" s="14" t="inlineStr">
        <is>
          <t>rsub</t>
        </is>
      </c>
      <c r="C1648" s="14" t="inlineStr">
        <is>
          <t>bio</t>
        </is>
      </c>
      <c r="D1648" s="14" t="inlineStr">
        <is>
          <t>irn</t>
        </is>
      </c>
      <c r="E1648" s="14" t="inlineStr">
        <is>
          <t>REVENUE</t>
        </is>
      </c>
      <c r="F1648" s="92" t="inlineStr">
        <is>
          <t>REVENUE(AE2116,Settings!$C$13,INDEX(AE$420:AE$431,$D2143))</t>
        </is>
      </c>
    </row>
    <row r="1649">
      <c r="A1649" s="14" t="n">
        <v>2145</v>
      </c>
      <c r="B1649" s="14" t="inlineStr">
        <is>
          <t>rnew</t>
        </is>
      </c>
      <c r="C1649" s="14" t="inlineStr">
        <is>
          <t>coa</t>
        </is>
      </c>
      <c r="D1649" s="14" t="inlineStr">
        <is>
          <t>irn</t>
        </is>
      </c>
      <c r="E1649" s="14" t="inlineStr">
        <is>
          <t>REVENUE</t>
        </is>
      </c>
      <c r="F1649" s="92" t="inlineStr">
        <is>
          <t>REVENUE(AE2109,Settings!$C$13,NEWREVRATE(AE2037,AE2055,AE2046,AE$201,AE2064,$D2145))</t>
        </is>
      </c>
    </row>
    <row r="1650">
      <c r="A1650" s="14" t="n">
        <v>2146</v>
      </c>
      <c r="B1650" s="14" t="inlineStr">
        <is>
          <t>rnew</t>
        </is>
      </c>
      <c r="C1650" s="14" t="inlineStr">
        <is>
          <t>nga</t>
        </is>
      </c>
      <c r="D1650" s="14" t="inlineStr">
        <is>
          <t>irn</t>
        </is>
      </c>
      <c r="E1650" s="14" t="inlineStr">
        <is>
          <t>REVENUE</t>
        </is>
      </c>
      <c r="F1650" s="92" t="inlineStr">
        <is>
          <t>REVENUE(AE2110,Settings!$C$13,NEWREVRATE(AE2038,AE2056,AE2047,AE$201,AE2065,$D2146))</t>
        </is>
      </c>
    </row>
    <row r="1651">
      <c r="A1651" s="14" t="n">
        <v>2147</v>
      </c>
      <c r="B1651" s="14" t="inlineStr">
        <is>
          <t>rnew</t>
        </is>
      </c>
      <c r="C1651" s="14" t="inlineStr">
        <is>
          <t>gso</t>
        </is>
      </c>
      <c r="D1651" s="14" t="inlineStr">
        <is>
          <t>irn</t>
        </is>
      </c>
      <c r="E1651" s="14" t="inlineStr">
        <is>
          <t>REVENUE</t>
        </is>
      </c>
      <c r="F1651" s="92" t="inlineStr">
        <is>
          <t>REVENUE(AE2111,Settings!$C$13,NEWREVRATE(AE2039,AE2057,AE2048,AE$201,AE2066,$D2147))</t>
        </is>
      </c>
    </row>
    <row r="1652">
      <c r="A1652" s="14" t="n">
        <v>2148</v>
      </c>
      <c r="B1652" s="14" t="inlineStr">
        <is>
          <t>rnew</t>
        </is>
      </c>
      <c r="C1652" s="14" t="inlineStr">
        <is>
          <t>die</t>
        </is>
      </c>
      <c r="D1652" s="14" t="inlineStr">
        <is>
          <t>irn</t>
        </is>
      </c>
      <c r="E1652" s="14" t="inlineStr">
        <is>
          <t>REVENUE</t>
        </is>
      </c>
      <c r="F1652" s="92" t="inlineStr">
        <is>
          <t>REVENUE(AE2112,Settings!$C$13,NEWREVRATE(AE2040,AE2058,AE2049,AE$201,AE2067,$D2148))</t>
        </is>
      </c>
    </row>
    <row r="1653">
      <c r="A1653" s="14" t="n">
        <v>2149</v>
      </c>
      <c r="B1653" s="14" t="inlineStr">
        <is>
          <t>rnew</t>
        </is>
      </c>
      <c r="C1653" s="14" t="inlineStr">
        <is>
          <t>lpg</t>
        </is>
      </c>
      <c r="D1653" s="14" t="inlineStr">
        <is>
          <t>irn</t>
        </is>
      </c>
      <c r="E1653" s="14" t="inlineStr">
        <is>
          <t>REVENUE</t>
        </is>
      </c>
      <c r="F1653" s="92" t="inlineStr">
        <is>
          <t>REVENUE(AE2113,Settings!$C$13,NEWREVRATE(AE2041,AE2059,AE2050,AE$201,AE2068,$D2149))</t>
        </is>
      </c>
    </row>
    <row r="1654">
      <c r="A1654" s="14" t="n">
        <v>2150</v>
      </c>
      <c r="B1654" s="14" t="inlineStr">
        <is>
          <t>rnew</t>
        </is>
      </c>
      <c r="C1654" s="14" t="inlineStr">
        <is>
          <t>ker</t>
        </is>
      </c>
      <c r="D1654" s="14" t="inlineStr">
        <is>
          <t>irn</t>
        </is>
      </c>
      <c r="E1654" s="14" t="inlineStr">
        <is>
          <t>REVENUE</t>
        </is>
      </c>
      <c r="F1654" s="92" t="inlineStr">
        <is>
          <t>REVENUE(AE2114,Settings!$C$13,NEWREVRATE(AE2042,AE2060,AE2051,AE$201,AE2069,$D2150))</t>
        </is>
      </c>
    </row>
    <row r="1655">
      <c r="A1655" s="14" t="n">
        <v>2151</v>
      </c>
      <c r="B1655" s="14" t="inlineStr">
        <is>
          <t>rnew</t>
        </is>
      </c>
      <c r="C1655" s="14" t="inlineStr">
        <is>
          <t>oop</t>
        </is>
      </c>
      <c r="D1655" s="14" t="inlineStr">
        <is>
          <t>irn</t>
        </is>
      </c>
      <c r="E1655" s="14" t="inlineStr">
        <is>
          <t>REVENUE</t>
        </is>
      </c>
      <c r="F1655" s="92" t="inlineStr">
        <is>
          <t>REVENUE(AE2115,Settings!$C$13,NEWREVRATE(AE2043,AE2061,AE2052,AE$201,AE2070,$D2151))</t>
        </is>
      </c>
    </row>
    <row r="1656">
      <c r="A1656" s="14" t="n">
        <v>2152</v>
      </c>
      <c r="B1656" s="14" t="inlineStr">
        <is>
          <t>rnew</t>
        </is>
      </c>
      <c r="C1656" s="14" t="inlineStr">
        <is>
          <t>bio</t>
        </is>
      </c>
      <c r="D1656" s="14" t="inlineStr">
        <is>
          <t>irn</t>
        </is>
      </c>
      <c r="E1656" s="14" t="inlineStr">
        <is>
          <t>REVENUE</t>
        </is>
      </c>
      <c r="F1656" s="92" t="inlineStr">
        <is>
          <t>REVENUE(AE2116,Settings!$C$13,NEWREVRATE(AE2044,AE2062,AE2053,AE$201,AE2071,$D2152))</t>
        </is>
      </c>
    </row>
    <row r="1657">
      <c r="A1657" s="14" t="n">
        <v>2154</v>
      </c>
      <c r="B1657" s="14" t="inlineStr">
        <is>
          <t>rxcp</t>
        </is>
      </c>
      <c r="C1657" s="14" t="inlineStr">
        <is>
          <t>coa</t>
        </is>
      </c>
      <c r="D1657" s="14" t="inlineStr">
        <is>
          <t>irn</t>
        </is>
      </c>
      <c r="E1657" s="14" t="inlineStr">
        <is>
          <t>REVENUE</t>
        </is>
      </c>
      <c r="F1657" s="92" t="inlineStr">
        <is>
          <t>REVENUE(AE2109,Settings!$C$13,AE2073)</t>
        </is>
      </c>
    </row>
    <row r="1658">
      <c r="A1658" s="14" t="n">
        <v>2155</v>
      </c>
      <c r="B1658" s="14" t="inlineStr">
        <is>
          <t>rxcp</t>
        </is>
      </c>
      <c r="C1658" s="14" t="inlineStr">
        <is>
          <t>nga</t>
        </is>
      </c>
      <c r="D1658" s="14" t="inlineStr">
        <is>
          <t>irn</t>
        </is>
      </c>
      <c r="E1658" s="14" t="inlineStr">
        <is>
          <t>REVENUE</t>
        </is>
      </c>
      <c r="F1658" s="92" t="inlineStr">
        <is>
          <t>REVENUE(AE2110,Settings!$C$13,AE2074)</t>
        </is>
      </c>
    </row>
    <row r="1659">
      <c r="A1659" s="14" t="n">
        <v>2156</v>
      </c>
      <c r="B1659" s="14" t="inlineStr">
        <is>
          <t>rxcp</t>
        </is>
      </c>
      <c r="C1659" s="14" t="inlineStr">
        <is>
          <t>gso</t>
        </is>
      </c>
      <c r="D1659" s="14" t="inlineStr">
        <is>
          <t>irn</t>
        </is>
      </c>
      <c r="E1659" s="14" t="inlineStr">
        <is>
          <t>REVENUE</t>
        </is>
      </c>
      <c r="F1659" s="92" t="inlineStr">
        <is>
          <t>REVENUE(AE2111,Settings!$C$13,AE2075)</t>
        </is>
      </c>
    </row>
    <row r="1660">
      <c r="A1660" s="14" t="n">
        <v>2157</v>
      </c>
      <c r="B1660" s="14" t="inlineStr">
        <is>
          <t>rxcp</t>
        </is>
      </c>
      <c r="C1660" s="14" t="inlineStr">
        <is>
          <t>die</t>
        </is>
      </c>
      <c r="D1660" s="14" t="inlineStr">
        <is>
          <t>irn</t>
        </is>
      </c>
      <c r="E1660" s="14" t="inlineStr">
        <is>
          <t>REVENUE</t>
        </is>
      </c>
      <c r="F1660" s="92" t="inlineStr">
        <is>
          <t>REVENUE(AE2112,Settings!$C$13,AE2076)</t>
        </is>
      </c>
    </row>
    <row r="1661">
      <c r="A1661" s="14" t="n">
        <v>2158</v>
      </c>
      <c r="B1661" s="14" t="inlineStr">
        <is>
          <t>rxcp</t>
        </is>
      </c>
      <c r="C1661" s="14" t="inlineStr">
        <is>
          <t>lpg</t>
        </is>
      </c>
      <c r="D1661" s="14" t="inlineStr">
        <is>
          <t>irn</t>
        </is>
      </c>
      <c r="E1661" s="14" t="inlineStr">
        <is>
          <t>REVENUE</t>
        </is>
      </c>
      <c r="F1661" s="92" t="inlineStr">
        <is>
          <t>REVENUE(AE2113,Settings!$C$13,AE2077)</t>
        </is>
      </c>
    </row>
    <row r="1662">
      <c r="A1662" s="14" t="n">
        <v>2159</v>
      </c>
      <c r="B1662" s="14" t="inlineStr">
        <is>
          <t>rxcp</t>
        </is>
      </c>
      <c r="C1662" s="14" t="inlineStr">
        <is>
          <t>ker</t>
        </is>
      </c>
      <c r="D1662" s="14" t="inlineStr">
        <is>
          <t>irn</t>
        </is>
      </c>
      <c r="E1662" s="14" t="inlineStr">
        <is>
          <t>REVENUE</t>
        </is>
      </c>
      <c r="F1662" s="92" t="inlineStr">
        <is>
          <t>REVENUE(AE2114,Settings!$C$13,AE2078)</t>
        </is>
      </c>
    </row>
    <row r="1663">
      <c r="A1663" s="14" t="n">
        <v>2160</v>
      </c>
      <c r="B1663" s="14" t="inlineStr">
        <is>
          <t>rxcp</t>
        </is>
      </c>
      <c r="C1663" s="14" t="inlineStr">
        <is>
          <t>oop</t>
        </is>
      </c>
      <c r="D1663" s="14" t="inlineStr">
        <is>
          <t>irn</t>
        </is>
      </c>
      <c r="E1663" s="14" t="inlineStr">
        <is>
          <t>REVENUE</t>
        </is>
      </c>
      <c r="F1663" s="92" t="inlineStr">
        <is>
          <t>REVENUE(AE2115,Settings!$C$13,AE2079)</t>
        </is>
      </c>
    </row>
    <row r="1664">
      <c r="A1664" s="14" t="n">
        <v>2161</v>
      </c>
      <c r="B1664" s="14" t="inlineStr">
        <is>
          <t>rxcp</t>
        </is>
      </c>
      <c r="C1664" s="14" t="inlineStr">
        <is>
          <t>bio</t>
        </is>
      </c>
      <c r="D1664" s="14" t="inlineStr">
        <is>
          <t>irn</t>
        </is>
      </c>
      <c r="E1664" s="14" t="inlineStr">
        <is>
          <t>REVENUE</t>
        </is>
      </c>
      <c r="F1664" s="92" t="inlineStr">
        <is>
          <t>REVENUE(AE2116,Settings!$C$13,AE2080)</t>
        </is>
      </c>
    </row>
    <row r="1665">
      <c r="A1665" s="14" t="n">
        <v>2165</v>
      </c>
      <c r="B1665" s="14" t="inlineStr">
        <is>
          <t>ctxnew</t>
        </is>
      </c>
      <c r="C1665" s="14" t="inlineStr">
        <is>
          <t>coa</t>
        </is>
      </c>
      <c r="D1665" s="14" t="inlineStr">
        <is>
          <t>nfm</t>
        </is>
      </c>
      <c r="E1665" s="14" t="inlineStr">
        <is>
          <t>CARBONTAX</t>
        </is>
      </c>
      <c r="F1665" s="92" t="inlineStr">
        <is>
          <t>CARBONTAX(INDEX(AE$263:AE$279,$F2165),$D2165,INDEX(AE$23:AE$30,$E2165))</t>
        </is>
      </c>
    </row>
    <row r="1666">
      <c r="A1666" s="14" t="n">
        <v>2166</v>
      </c>
      <c r="B1666" s="14" t="inlineStr">
        <is>
          <t>ctxnew</t>
        </is>
      </c>
      <c r="C1666" s="14" t="inlineStr">
        <is>
          <t>nga</t>
        </is>
      </c>
      <c r="D1666" s="14" t="inlineStr">
        <is>
          <t>nfm</t>
        </is>
      </c>
      <c r="E1666" s="14" t="inlineStr">
        <is>
          <t>CARBONTAX</t>
        </is>
      </c>
      <c r="F1666" s="92" t="inlineStr">
        <is>
          <t>CARBONTAX(INDEX(AE$263:AE$279,$F2166),$D2166,INDEX(AE$23:AE$30,$E2166))</t>
        </is>
      </c>
    </row>
    <row r="1667">
      <c r="A1667" s="14" t="n">
        <v>2167</v>
      </c>
      <c r="B1667" s="14" t="inlineStr">
        <is>
          <t>ctxnew</t>
        </is>
      </c>
      <c r="C1667" s="14" t="inlineStr">
        <is>
          <t>gso</t>
        </is>
      </c>
      <c r="D1667" s="14" t="inlineStr">
        <is>
          <t>nfm</t>
        </is>
      </c>
      <c r="E1667" s="14" t="inlineStr">
        <is>
          <t>CARBONTAX</t>
        </is>
      </c>
      <c r="F1667" s="92" t="inlineStr">
        <is>
          <t>CARBONTAX(INDEX(AE$263:AE$279,$F2167),$D2167,INDEX(AE$23:AE$30,$E2167))</t>
        </is>
      </c>
    </row>
    <row r="1668">
      <c r="A1668" s="14" t="n">
        <v>2168</v>
      </c>
      <c r="B1668" s="14" t="inlineStr">
        <is>
          <t>ctxnew</t>
        </is>
      </c>
      <c r="C1668" s="14" t="inlineStr">
        <is>
          <t>die</t>
        </is>
      </c>
      <c r="D1668" s="14" t="inlineStr">
        <is>
          <t>nfm</t>
        </is>
      </c>
      <c r="E1668" s="14" t="inlineStr">
        <is>
          <t>CARBONTAX</t>
        </is>
      </c>
      <c r="F1668" s="92" t="inlineStr">
        <is>
          <t>CARBONTAX(INDEX(AE$263:AE$279,$F2168),$D2168,INDEX(AE$23:AE$30,$E2168))</t>
        </is>
      </c>
    </row>
    <row r="1669">
      <c r="A1669" s="14" t="n">
        <v>2169</v>
      </c>
      <c r="B1669" s="14" t="inlineStr">
        <is>
          <t>ctxnew</t>
        </is>
      </c>
      <c r="C1669" s="14" t="inlineStr">
        <is>
          <t>lpg</t>
        </is>
      </c>
      <c r="D1669" s="14" t="inlineStr">
        <is>
          <t>nfm</t>
        </is>
      </c>
      <c r="E1669" s="14" t="inlineStr">
        <is>
          <t>CARBONTAX</t>
        </is>
      </c>
      <c r="F1669" s="92" t="inlineStr">
        <is>
          <t>CARBONTAX(INDEX(AE$263:AE$279,$F2169),$D2169,INDEX(AE$23:AE$30,$E2169))</t>
        </is>
      </c>
    </row>
    <row r="1670">
      <c r="A1670" s="14" t="n">
        <v>2170</v>
      </c>
      <c r="B1670" s="14" t="inlineStr">
        <is>
          <t>ctxnew</t>
        </is>
      </c>
      <c r="C1670" s="14" t="inlineStr">
        <is>
          <t>ker</t>
        </is>
      </c>
      <c r="D1670" s="14" t="inlineStr">
        <is>
          <t>nfm</t>
        </is>
      </c>
      <c r="E1670" s="14" t="inlineStr">
        <is>
          <t>CARBONTAX</t>
        </is>
      </c>
      <c r="F1670" s="92" t="inlineStr">
        <is>
          <t>CARBONTAX(INDEX(AE$263:AE$279,$F2170),$D2170,INDEX(AE$23:AE$30,$E2170))</t>
        </is>
      </c>
    </row>
    <row r="1671">
      <c r="A1671" s="14" t="n">
        <v>2171</v>
      </c>
      <c r="B1671" s="14" t="inlineStr">
        <is>
          <t>ctxnew</t>
        </is>
      </c>
      <c r="C1671" s="14" t="inlineStr">
        <is>
          <t>oop</t>
        </is>
      </c>
      <c r="D1671" s="14" t="inlineStr">
        <is>
          <t>nfm</t>
        </is>
      </c>
      <c r="E1671" s="14" t="inlineStr">
        <is>
          <t>CARBONTAX</t>
        </is>
      </c>
      <c r="F1671" s="92" t="inlineStr">
        <is>
          <t>CARBONTAX(INDEX(AE$263:AE$279,$F2171),$D2171,INDEX(AE$23:AE$30,$E2171))</t>
        </is>
      </c>
    </row>
    <row r="1672">
      <c r="A1672" s="14" t="n">
        <v>2172</v>
      </c>
      <c r="B1672" s="14" t="inlineStr">
        <is>
          <t>ctxnew</t>
        </is>
      </c>
      <c r="C1672" s="14" t="inlineStr">
        <is>
          <t>bio</t>
        </is>
      </c>
      <c r="D1672" s="14" t="inlineStr">
        <is>
          <t>nfm</t>
        </is>
      </c>
      <c r="E1672" s="14" t="inlineStr">
        <is>
          <t>CARBONTAX</t>
        </is>
      </c>
      <c r="F1672" s="92" t="inlineStr">
        <is>
          <t>CARBONTAX(INDEX(AE$263:AE$279,$F2172),$D2172,INDEX(AE$23:AE$30,$E2172))</t>
        </is>
      </c>
    </row>
    <row r="1673">
      <c r="A1673" s="14" t="n">
        <v>2174</v>
      </c>
      <c r="B1673" s="14" t="inlineStr">
        <is>
          <t>ets</t>
        </is>
      </c>
      <c r="C1673" s="14" t="inlineStr">
        <is>
          <t>coa</t>
        </is>
      </c>
      <c r="D1673" s="14" t="inlineStr">
        <is>
          <t>nfm</t>
        </is>
      </c>
      <c r="E1673" s="14" t="inlineStr">
        <is>
          <t>ETSCOST</t>
        </is>
      </c>
      <c r="F1673" s="92" t="inlineStr">
        <is>
          <t>ETSCOST(INDEX(AE$280:AE$296,$E2174),$D2174)</t>
        </is>
      </c>
    </row>
    <row r="1674">
      <c r="A1674" s="14" t="n">
        <v>2175</v>
      </c>
      <c r="B1674" s="14" t="inlineStr">
        <is>
          <t>ets</t>
        </is>
      </c>
      <c r="C1674" s="14" t="inlineStr">
        <is>
          <t>nga</t>
        </is>
      </c>
      <c r="D1674" s="14" t="inlineStr">
        <is>
          <t>nfm</t>
        </is>
      </c>
      <c r="E1674" s="14" t="inlineStr">
        <is>
          <t>ETSCOST</t>
        </is>
      </c>
      <c r="F1674" s="92" t="inlineStr">
        <is>
          <t>ETSCOST(INDEX(AE$280:AE$296,$E2175),$D2175)</t>
        </is>
      </c>
    </row>
    <row r="1675">
      <c r="A1675" s="14" t="n">
        <v>2176</v>
      </c>
      <c r="B1675" s="14" t="inlineStr">
        <is>
          <t>ets</t>
        </is>
      </c>
      <c r="C1675" s="14" t="inlineStr">
        <is>
          <t>gso</t>
        </is>
      </c>
      <c r="D1675" s="14" t="inlineStr">
        <is>
          <t>nfm</t>
        </is>
      </c>
      <c r="E1675" s="14" t="inlineStr">
        <is>
          <t>ETSCOST</t>
        </is>
      </c>
      <c r="F1675" s="92" t="inlineStr">
        <is>
          <t>ETSCOST(INDEX(AE$280:AE$296,$E2176),$D2176)</t>
        </is>
      </c>
    </row>
    <row r="1676">
      <c r="A1676" s="14" t="n">
        <v>2177</v>
      </c>
      <c r="B1676" s="14" t="inlineStr">
        <is>
          <t>ets</t>
        </is>
      </c>
      <c r="C1676" s="14" t="inlineStr">
        <is>
          <t>die</t>
        </is>
      </c>
      <c r="D1676" s="14" t="inlineStr">
        <is>
          <t>nfm</t>
        </is>
      </c>
      <c r="E1676" s="14" t="inlineStr">
        <is>
          <t>ETSCOST</t>
        </is>
      </c>
      <c r="F1676" s="92" t="inlineStr">
        <is>
          <t>ETSCOST(INDEX(AE$280:AE$296,$E2177),$D2177)</t>
        </is>
      </c>
    </row>
    <row r="1677">
      <c r="A1677" s="14" t="n">
        <v>2178</v>
      </c>
      <c r="B1677" s="14" t="inlineStr">
        <is>
          <t>ets</t>
        </is>
      </c>
      <c r="C1677" s="14" t="inlineStr">
        <is>
          <t>lpg</t>
        </is>
      </c>
      <c r="D1677" s="14" t="inlineStr">
        <is>
          <t>nfm</t>
        </is>
      </c>
      <c r="E1677" s="14" t="inlineStr">
        <is>
          <t>ETSCOST</t>
        </is>
      </c>
      <c r="F1677" s="92" t="inlineStr">
        <is>
          <t>ETSCOST(INDEX(AE$280:AE$296,$E2178),$D2178)</t>
        </is>
      </c>
    </row>
    <row r="1678">
      <c r="A1678" s="14" t="n">
        <v>2179</v>
      </c>
      <c r="B1678" s="14" t="inlineStr">
        <is>
          <t>ets</t>
        </is>
      </c>
      <c r="C1678" s="14" t="inlineStr">
        <is>
          <t>ker</t>
        </is>
      </c>
      <c r="D1678" s="14" t="inlineStr">
        <is>
          <t>nfm</t>
        </is>
      </c>
      <c r="E1678" s="14" t="inlineStr">
        <is>
          <t>ETSCOST</t>
        </is>
      </c>
      <c r="F1678" s="92" t="inlineStr">
        <is>
          <t>ETSCOST(INDEX(AE$280:AE$296,$E2179),$D2179)</t>
        </is>
      </c>
    </row>
    <row r="1679">
      <c r="A1679" s="14" t="n">
        <v>2180</v>
      </c>
      <c r="B1679" s="14" t="inlineStr">
        <is>
          <t>ets</t>
        </is>
      </c>
      <c r="C1679" s="14" t="inlineStr">
        <is>
          <t>oop</t>
        </is>
      </c>
      <c r="D1679" s="14" t="inlineStr">
        <is>
          <t>nfm</t>
        </is>
      </c>
      <c r="E1679" s="14" t="inlineStr">
        <is>
          <t>ETSCOST</t>
        </is>
      </c>
      <c r="F1679" s="92" t="inlineStr">
        <is>
          <t>ETSCOST(INDEX(AE$280:AE$296,$E2180),$D2180)</t>
        </is>
      </c>
    </row>
    <row r="1680">
      <c r="A1680" s="14" t="n">
        <v>2181</v>
      </c>
      <c r="B1680" s="14" t="inlineStr">
        <is>
          <t>ets</t>
        </is>
      </c>
      <c r="C1680" s="14" t="inlineStr">
        <is>
          <t>bio</t>
        </is>
      </c>
      <c r="D1680" s="14" t="inlineStr">
        <is>
          <t>nfm</t>
        </is>
      </c>
      <c r="E1680" s="14" t="inlineStr">
        <is>
          <t>ETSCOST</t>
        </is>
      </c>
      <c r="F1680" s="92" t="inlineStr">
        <is>
          <t>ETSCOST(INDEX(AE$280:AE$296,$E2181),$D2181)</t>
        </is>
      </c>
    </row>
    <row r="1681">
      <c r="A1681" s="14" t="n">
        <v>2183</v>
      </c>
      <c r="B1681" s="14" t="inlineStr">
        <is>
          <t>ntx</t>
        </is>
      </c>
      <c r="C1681" s="14" t="inlineStr">
        <is>
          <t>coa</t>
        </is>
      </c>
      <c r="D1681" s="14" t="inlineStr">
        <is>
          <t>nfm</t>
        </is>
      </c>
      <c r="E1681" s="14" t="inlineStr">
        <is>
          <t>NEWEXCISE</t>
        </is>
      </c>
      <c r="F1681" s="92" t="inlineStr">
        <is>
          <t>NEWEXCISE(INDEX(AE$80:AE$93,$D2183),$E2183)</t>
        </is>
      </c>
    </row>
    <row r="1682">
      <c r="A1682" s="14" t="n">
        <v>2184</v>
      </c>
      <c r="B1682" s="14" t="inlineStr">
        <is>
          <t>ntx</t>
        </is>
      </c>
      <c r="C1682" s="14" t="inlineStr">
        <is>
          <t>nga</t>
        </is>
      </c>
      <c r="D1682" s="14" t="inlineStr">
        <is>
          <t>nfm</t>
        </is>
      </c>
      <c r="E1682" s="14" t="inlineStr">
        <is>
          <t>NEWEXCISE</t>
        </is>
      </c>
      <c r="F1682" s="92" t="inlineStr">
        <is>
          <t>NEWEXCISE(INDEX(AE$80:AE$93,$D2184),$E2184)</t>
        </is>
      </c>
    </row>
    <row r="1683">
      <c r="A1683" s="14" t="n">
        <v>2185</v>
      </c>
      <c r="B1683" s="14" t="inlineStr">
        <is>
          <t>ntx</t>
        </is>
      </c>
      <c r="C1683" s="14" t="inlineStr">
        <is>
          <t>gso</t>
        </is>
      </c>
      <c r="D1683" s="14" t="inlineStr">
        <is>
          <t>nfm</t>
        </is>
      </c>
      <c r="E1683" s="14" t="inlineStr">
        <is>
          <t>NEWEXCISE</t>
        </is>
      </c>
      <c r="F1683" s="92" t="inlineStr">
        <is>
          <t>NEWEXCISE(INDEX(AE$80:AE$93,$D2185),$E2185)</t>
        </is>
      </c>
    </row>
    <row r="1684">
      <c r="A1684" s="14" t="n">
        <v>2186</v>
      </c>
      <c r="B1684" s="14" t="inlineStr">
        <is>
          <t>ntx</t>
        </is>
      </c>
      <c r="C1684" s="14" t="inlineStr">
        <is>
          <t>die</t>
        </is>
      </c>
      <c r="D1684" s="14" t="inlineStr">
        <is>
          <t>nfm</t>
        </is>
      </c>
      <c r="E1684" s="14" t="inlineStr">
        <is>
          <t>NEWEXCISE</t>
        </is>
      </c>
      <c r="F1684" s="92" t="inlineStr">
        <is>
          <t>NEWEXCISE(INDEX(AE$80:AE$93,$D2186),$E2186)</t>
        </is>
      </c>
    </row>
    <row r="1685">
      <c r="A1685" s="14" t="n">
        <v>2187</v>
      </c>
      <c r="B1685" s="14" t="inlineStr">
        <is>
          <t>ntx</t>
        </is>
      </c>
      <c r="C1685" s="14" t="inlineStr">
        <is>
          <t>lpg</t>
        </is>
      </c>
      <c r="D1685" s="14" t="inlineStr">
        <is>
          <t>nfm</t>
        </is>
      </c>
      <c r="E1685" s="14" t="inlineStr">
        <is>
          <t>NEWEXCISE</t>
        </is>
      </c>
      <c r="F1685" s="92" t="inlineStr">
        <is>
          <t>NEWEXCISE(INDEX(AE$80:AE$93,$D2187),$E2187)</t>
        </is>
      </c>
    </row>
    <row r="1686">
      <c r="A1686" s="14" t="n">
        <v>2188</v>
      </c>
      <c r="B1686" s="14" t="inlineStr">
        <is>
          <t>ntx</t>
        </is>
      </c>
      <c r="C1686" s="14" t="inlineStr">
        <is>
          <t>ker</t>
        </is>
      </c>
      <c r="D1686" s="14" t="inlineStr">
        <is>
          <t>nfm</t>
        </is>
      </c>
      <c r="E1686" s="14" t="inlineStr">
        <is>
          <t>NEWEXCISE</t>
        </is>
      </c>
      <c r="F1686" s="92" t="inlineStr">
        <is>
          <t>NEWEXCISE(INDEX(AE$80:AE$93,$D2188),$E2188)</t>
        </is>
      </c>
    </row>
    <row r="1687">
      <c r="A1687" s="14" t="n">
        <v>2189</v>
      </c>
      <c r="B1687" s="14" t="inlineStr">
        <is>
          <t>ntx</t>
        </is>
      </c>
      <c r="C1687" s="14" t="inlineStr">
        <is>
          <t>oop</t>
        </is>
      </c>
      <c r="D1687" s="14" t="inlineStr">
        <is>
          <t>nfm</t>
        </is>
      </c>
      <c r="E1687" s="14" t="inlineStr">
        <is>
          <t>NEWEXCISE</t>
        </is>
      </c>
      <c r="F1687" s="92" t="inlineStr">
        <is>
          <t>NEWEXCISE(INDEX(AE$80:AE$93,$D2189),$E2189)</t>
        </is>
      </c>
    </row>
    <row r="1688">
      <c r="A1688" s="14" t="n">
        <v>2190</v>
      </c>
      <c r="B1688" s="14" t="inlineStr">
        <is>
          <t>ntx</t>
        </is>
      </c>
      <c r="C1688" s="14" t="inlineStr">
        <is>
          <t>bio</t>
        </is>
      </c>
      <c r="D1688" s="14" t="inlineStr">
        <is>
          <t>nfm</t>
        </is>
      </c>
      <c r="E1688" s="14" t="inlineStr">
        <is>
          <t>NEWEXCISE</t>
        </is>
      </c>
      <c r="F1688" s="92" t="inlineStr">
        <is>
          <t>NEWEXCISE(INDEX(AE$80:AE$93,$D2190),$E2190)</t>
        </is>
      </c>
    </row>
    <row r="1689">
      <c r="A1689" s="14" t="n">
        <v>2192</v>
      </c>
      <c r="B1689" s="14" t="inlineStr">
        <is>
          <t>nce</t>
        </is>
      </c>
      <c r="C1689" s="14" t="inlineStr">
        <is>
          <t>coa</t>
        </is>
      </c>
      <c r="D1689" s="14" t="inlineStr">
        <is>
          <t>nfm</t>
        </is>
      </c>
      <c r="E1689" s="14" t="inlineStr">
        <is>
          <t>NEWPOLICY</t>
        </is>
      </c>
      <c r="F1689" s="92" t="inlineStr">
        <is>
          <t>NEWPOLICY(AE2165,AE2174,AE2183)</t>
        </is>
      </c>
    </row>
    <row r="1690">
      <c r="A1690" s="14" t="n">
        <v>2193</v>
      </c>
      <c r="B1690" s="14" t="inlineStr">
        <is>
          <t>nce</t>
        </is>
      </c>
      <c r="C1690" s="14" t="inlineStr">
        <is>
          <t>nga</t>
        </is>
      </c>
      <c r="D1690" s="14" t="inlineStr">
        <is>
          <t>nfm</t>
        </is>
      </c>
      <c r="E1690" s="14" t="inlineStr">
        <is>
          <t>NEWPOLICY</t>
        </is>
      </c>
      <c r="F1690" s="92" t="inlineStr">
        <is>
          <t>NEWPOLICY(AE2166,AE2175,AE2184)</t>
        </is>
      </c>
    </row>
    <row r="1691">
      <c r="A1691" s="14" t="n">
        <v>2194</v>
      </c>
      <c r="B1691" s="14" t="inlineStr">
        <is>
          <t>nce</t>
        </is>
      </c>
      <c r="C1691" s="14" t="inlineStr">
        <is>
          <t>gso</t>
        </is>
      </c>
      <c r="D1691" s="14" t="inlineStr">
        <is>
          <t>nfm</t>
        </is>
      </c>
      <c r="E1691" s="14" t="inlineStr">
        <is>
          <t>NEWPOLICY</t>
        </is>
      </c>
      <c r="F1691" s="92" t="inlineStr">
        <is>
          <t>NEWPOLICY(AE2167,AE2176,AE2185)</t>
        </is>
      </c>
    </row>
    <row r="1692">
      <c r="A1692" s="14" t="n">
        <v>2195</v>
      </c>
      <c r="B1692" s="14" t="inlineStr">
        <is>
          <t>nce</t>
        </is>
      </c>
      <c r="C1692" s="14" t="inlineStr">
        <is>
          <t>die</t>
        </is>
      </c>
      <c r="D1692" s="14" t="inlineStr">
        <is>
          <t>nfm</t>
        </is>
      </c>
      <c r="E1692" s="14" t="inlineStr">
        <is>
          <t>NEWPOLICY</t>
        </is>
      </c>
      <c r="F1692" s="92" t="inlineStr">
        <is>
          <t>NEWPOLICY(AE2168,AE2177,AE2186)</t>
        </is>
      </c>
    </row>
    <row r="1693">
      <c r="A1693" s="14" t="n">
        <v>2196</v>
      </c>
      <c r="B1693" s="14" t="inlineStr">
        <is>
          <t>nce</t>
        </is>
      </c>
      <c r="C1693" s="14" t="inlineStr">
        <is>
          <t>lpg</t>
        </is>
      </c>
      <c r="D1693" s="14" t="inlineStr">
        <is>
          <t>nfm</t>
        </is>
      </c>
      <c r="E1693" s="14" t="inlineStr">
        <is>
          <t>NEWPOLICY</t>
        </is>
      </c>
      <c r="F1693" s="92" t="inlineStr">
        <is>
          <t>NEWPOLICY(AE2169,AE2178,AE2187)</t>
        </is>
      </c>
    </row>
    <row r="1694">
      <c r="A1694" s="14" t="n">
        <v>2197</v>
      </c>
      <c r="B1694" s="14" t="inlineStr">
        <is>
          <t>nce</t>
        </is>
      </c>
      <c r="C1694" s="14" t="inlineStr">
        <is>
          <t>ker</t>
        </is>
      </c>
      <c r="D1694" s="14" t="inlineStr">
        <is>
          <t>nfm</t>
        </is>
      </c>
      <c r="E1694" s="14" t="inlineStr">
        <is>
          <t>NEWPOLICY</t>
        </is>
      </c>
      <c r="F1694" s="92" t="inlineStr">
        <is>
          <t>NEWPOLICY(AE2170,AE2179,AE2188)</t>
        </is>
      </c>
    </row>
    <row r="1695">
      <c r="A1695" s="14" t="n">
        <v>2198</v>
      </c>
      <c r="B1695" s="14" t="inlineStr">
        <is>
          <t>nce</t>
        </is>
      </c>
      <c r="C1695" s="14" t="inlineStr">
        <is>
          <t>oop</t>
        </is>
      </c>
      <c r="D1695" s="14" t="inlineStr">
        <is>
          <t>nfm</t>
        </is>
      </c>
      <c r="E1695" s="14" t="inlineStr">
        <is>
          <t>NEWPOLICY</t>
        </is>
      </c>
      <c r="F1695" s="92" t="inlineStr">
        <is>
          <t>NEWPOLICY(AE2171,AE2180,AE2189)</t>
        </is>
      </c>
    </row>
    <row r="1696">
      <c r="A1696" s="14" t="n">
        <v>2199</v>
      </c>
      <c r="B1696" s="14" t="inlineStr">
        <is>
          <t>nce</t>
        </is>
      </c>
      <c r="C1696" s="14" t="inlineStr">
        <is>
          <t>bio</t>
        </is>
      </c>
      <c r="D1696" s="14" t="inlineStr">
        <is>
          <t>nfm</t>
        </is>
      </c>
      <c r="E1696" s="14" t="inlineStr">
        <is>
          <t>NEWPOLICY</t>
        </is>
      </c>
      <c r="F1696" s="92" t="inlineStr">
        <is>
          <t>NEWPOLICY(AE2172,AE2181,AE2190)</t>
        </is>
      </c>
    </row>
    <row r="1697">
      <c r="A1697" s="14" t="n">
        <v>2201</v>
      </c>
      <c r="B1697" s="14" t="inlineStr">
        <is>
          <t>xcp</t>
        </is>
      </c>
      <c r="C1697" s="14" t="inlineStr">
        <is>
          <t>coa</t>
        </is>
      </c>
      <c r="D1697" s="14" t="inlineStr">
        <is>
          <t>nfm</t>
        </is>
      </c>
      <c r="E1697" s="14" t="inlineStr">
        <is>
          <t>XCARBON</t>
        </is>
      </c>
      <c r="F1697" s="92" t="inlineStr">
        <is>
          <t>XCARBON($D2201,$E2201,AE$321,$F2201,AE$324)</t>
        </is>
      </c>
    </row>
    <row r="1698">
      <c r="A1698" s="14" t="n">
        <v>2202</v>
      </c>
      <c r="B1698" s="14" t="inlineStr">
        <is>
          <t>xcp</t>
        </is>
      </c>
      <c r="C1698" s="14" t="inlineStr">
        <is>
          <t>nga</t>
        </is>
      </c>
      <c r="D1698" s="14" t="inlineStr">
        <is>
          <t>nfm</t>
        </is>
      </c>
      <c r="E1698" s="14" t="inlineStr">
        <is>
          <t>XCARBON</t>
        </is>
      </c>
      <c r="F1698" s="92" t="inlineStr">
        <is>
          <t>XCARBON($D2202,$E2202,AE$321,$F2202,AE$324)</t>
        </is>
      </c>
    </row>
    <row r="1699">
      <c r="A1699" s="14" t="n">
        <v>2203</v>
      </c>
      <c r="B1699" s="14" t="inlineStr">
        <is>
          <t>xcp</t>
        </is>
      </c>
      <c r="C1699" s="14" t="inlineStr">
        <is>
          <t>gso</t>
        </is>
      </c>
      <c r="D1699" s="14" t="inlineStr">
        <is>
          <t>nfm</t>
        </is>
      </c>
      <c r="E1699" s="14" t="inlineStr">
        <is>
          <t>XCARBON</t>
        </is>
      </c>
      <c r="F1699" s="92" t="inlineStr">
        <is>
          <t>XCARBON($D2203,$E2203,AE$321,$F2203,AE$324)</t>
        </is>
      </c>
    </row>
    <row r="1700">
      <c r="A1700" s="14" t="n">
        <v>2204</v>
      </c>
      <c r="B1700" s="14" t="inlineStr">
        <is>
          <t>xcp</t>
        </is>
      </c>
      <c r="C1700" s="14" t="inlineStr">
        <is>
          <t>die</t>
        </is>
      </c>
      <c r="D1700" s="14" t="inlineStr">
        <is>
          <t>nfm</t>
        </is>
      </c>
      <c r="E1700" s="14" t="inlineStr">
        <is>
          <t>XCARBON</t>
        </is>
      </c>
      <c r="F1700" s="92" t="inlineStr">
        <is>
          <t>XCARBON($D2204,$E2204,AE$321,$F2204,AE$324)</t>
        </is>
      </c>
    </row>
    <row r="1701">
      <c r="A1701" s="14" t="n">
        <v>2205</v>
      </c>
      <c r="B1701" s="14" t="inlineStr">
        <is>
          <t>xcp</t>
        </is>
      </c>
      <c r="C1701" s="14" t="inlineStr">
        <is>
          <t>lpg</t>
        </is>
      </c>
      <c r="D1701" s="14" t="inlineStr">
        <is>
          <t>nfm</t>
        </is>
      </c>
      <c r="E1701" s="14" t="inlineStr">
        <is>
          <t>XCARBON</t>
        </is>
      </c>
      <c r="F1701" s="92" t="inlineStr">
        <is>
          <t>XCARBON($D2205,$E2205,AE$321,$F2205,AE$324)</t>
        </is>
      </c>
    </row>
    <row r="1702">
      <c r="A1702" s="14" t="n">
        <v>2206</v>
      </c>
      <c r="B1702" s="14" t="inlineStr">
        <is>
          <t>xcp</t>
        </is>
      </c>
      <c r="C1702" s="14" t="inlineStr">
        <is>
          <t>ker</t>
        </is>
      </c>
      <c r="D1702" s="14" t="inlineStr">
        <is>
          <t>nfm</t>
        </is>
      </c>
      <c r="E1702" s="14" t="inlineStr">
        <is>
          <t>XCARBON</t>
        </is>
      </c>
      <c r="F1702" s="92" t="inlineStr">
        <is>
          <t>XCARBON($D2206,$E2206,AE$321,$F2206,AE$324)</t>
        </is>
      </c>
    </row>
    <row r="1703">
      <c r="A1703" s="14" t="n">
        <v>2207</v>
      </c>
      <c r="B1703" s="14" t="inlineStr">
        <is>
          <t>xcp</t>
        </is>
      </c>
      <c r="C1703" s="14" t="inlineStr">
        <is>
          <t>oop</t>
        </is>
      </c>
      <c r="D1703" s="14" t="inlineStr">
        <is>
          <t>nfm</t>
        </is>
      </c>
      <c r="E1703" s="14" t="inlineStr">
        <is>
          <t>XCARBON</t>
        </is>
      </c>
      <c r="F1703" s="92" t="inlineStr">
        <is>
          <t>XCARBON($D2207,$E2207,AE$321,$F2207,AE$324)</t>
        </is>
      </c>
    </row>
    <row r="1704">
      <c r="A1704" s="14" t="n">
        <v>2208</v>
      </c>
      <c r="B1704" s="14" t="inlineStr">
        <is>
          <t>xcp</t>
        </is>
      </c>
      <c r="C1704" s="14" t="inlineStr">
        <is>
          <t>bio</t>
        </is>
      </c>
      <c r="D1704" s="14" t="inlineStr">
        <is>
          <t>nfm</t>
        </is>
      </c>
      <c r="E1704" s="14" t="inlineStr">
        <is>
          <t>XCARBON</t>
        </is>
      </c>
      <c r="F1704" s="92" t="inlineStr">
        <is>
          <t>XCARBON($D2208,$E2208,AE$321,$F2208,AE$324)</t>
        </is>
      </c>
    </row>
    <row r="1705">
      <c r="A1705" s="14" t="n">
        <v>2210</v>
      </c>
      <c r="B1705" s="14" t="inlineStr">
        <is>
          <t>xcpd</t>
        </is>
      </c>
      <c r="C1705" s="14" t="inlineStr">
        <is>
          <t>coa</t>
        </is>
      </c>
      <c r="D1705" s="14" t="inlineStr">
        <is>
          <t>nfm</t>
        </is>
      </c>
      <c r="E1705" s="14" t="inlineStr">
        <is>
          <t>XCARBON</t>
        </is>
      </c>
      <c r="F1705" s="92" t="inlineStr">
        <is>
          <t>XCARBON($D2210,$E2210,(AE$321-AE$322),$F2210,(AE$324-AE$325))</t>
        </is>
      </c>
    </row>
    <row r="1706">
      <c r="A1706" s="14" t="n">
        <v>2211</v>
      </c>
      <c r="B1706" s="14" t="inlineStr">
        <is>
          <t>xcpd</t>
        </is>
      </c>
      <c r="C1706" s="14" t="inlineStr">
        <is>
          <t>nga</t>
        </is>
      </c>
      <c r="D1706" s="14" t="inlineStr">
        <is>
          <t>nfm</t>
        </is>
      </c>
      <c r="E1706" s="14" t="inlineStr">
        <is>
          <t>XCARBON</t>
        </is>
      </c>
      <c r="F1706" s="92" t="inlineStr">
        <is>
          <t>XCARBON($D2211,$E2211,(AE$321-AE$322),$F2211,(AE$324-AE$325))</t>
        </is>
      </c>
    </row>
    <row r="1707">
      <c r="A1707" s="14" t="n">
        <v>2212</v>
      </c>
      <c r="B1707" s="14" t="inlineStr">
        <is>
          <t>xcpd</t>
        </is>
      </c>
      <c r="C1707" s="14" t="inlineStr">
        <is>
          <t>gso</t>
        </is>
      </c>
      <c r="D1707" s="14" t="inlineStr">
        <is>
          <t>nfm</t>
        </is>
      </c>
      <c r="E1707" s="14" t="inlineStr">
        <is>
          <t>XCARBON</t>
        </is>
      </c>
      <c r="F1707" s="92" t="inlineStr">
        <is>
          <t>XCARBON($D2212,$E2212,(AE$321-AE$322),$F2212,(AE$324-AE$325))</t>
        </is>
      </c>
    </row>
    <row r="1708">
      <c r="A1708" s="14" t="n">
        <v>2213</v>
      </c>
      <c r="B1708" s="14" t="inlineStr">
        <is>
          <t>xcpd</t>
        </is>
      </c>
      <c r="C1708" s="14" t="inlineStr">
        <is>
          <t>die</t>
        </is>
      </c>
      <c r="D1708" s="14" t="inlineStr">
        <is>
          <t>nfm</t>
        </is>
      </c>
      <c r="E1708" s="14" t="inlineStr">
        <is>
          <t>XCARBON</t>
        </is>
      </c>
      <c r="F1708" s="92" t="inlineStr">
        <is>
          <t>XCARBON($D2213,$E2213,(AE$321-AE$322),$F2213,(AE$324-AE$325))</t>
        </is>
      </c>
    </row>
    <row r="1709">
      <c r="A1709" s="14" t="n">
        <v>2214</v>
      </c>
      <c r="B1709" s="14" t="inlineStr">
        <is>
          <t>xcpd</t>
        </is>
      </c>
      <c r="C1709" s="14" t="inlineStr">
        <is>
          <t>lpg</t>
        </is>
      </c>
      <c r="D1709" s="14" t="inlineStr">
        <is>
          <t>nfm</t>
        </is>
      </c>
      <c r="E1709" s="14" t="inlineStr">
        <is>
          <t>XCARBON</t>
        </is>
      </c>
      <c r="F1709" s="92" t="inlineStr">
        <is>
          <t>XCARBON($D2214,$E2214,(AE$321-AE$322),$F2214,(AE$324-AE$325))</t>
        </is>
      </c>
    </row>
    <row r="1710">
      <c r="A1710" s="14" t="n">
        <v>2215</v>
      </c>
      <c r="B1710" s="14" t="inlineStr">
        <is>
          <t>xcpd</t>
        </is>
      </c>
      <c r="C1710" s="14" t="inlineStr">
        <is>
          <t>ker</t>
        </is>
      </c>
      <c r="D1710" s="14" t="inlineStr">
        <is>
          <t>nfm</t>
        </is>
      </c>
      <c r="E1710" s="14" t="inlineStr">
        <is>
          <t>XCARBON</t>
        </is>
      </c>
      <c r="F1710" s="92" t="inlineStr">
        <is>
          <t>XCARBON($D2215,$E2215,(AE$321-AE$322),$F2215,(AE$324-AE$325))</t>
        </is>
      </c>
    </row>
    <row r="1711">
      <c r="A1711" s="14" t="n">
        <v>2216</v>
      </c>
      <c r="B1711" s="14" t="inlineStr">
        <is>
          <t>xcpd</t>
        </is>
      </c>
      <c r="C1711" s="14" t="inlineStr">
        <is>
          <t>oop</t>
        </is>
      </c>
      <c r="D1711" s="14" t="inlineStr">
        <is>
          <t>nfm</t>
        </is>
      </c>
      <c r="E1711" s="14" t="inlineStr">
        <is>
          <t>XCARBON</t>
        </is>
      </c>
      <c r="F1711" s="92" t="inlineStr">
        <is>
          <t>XCARBON($D2216,$E2216,(AE$321-AE$322),$F2216,(AE$324-AE$325))</t>
        </is>
      </c>
    </row>
    <row r="1712">
      <c r="A1712" s="14" t="n">
        <v>2217</v>
      </c>
      <c r="B1712" s="14" t="inlineStr">
        <is>
          <t>xcpd</t>
        </is>
      </c>
      <c r="C1712" s="14" t="inlineStr">
        <is>
          <t>bio</t>
        </is>
      </c>
      <c r="D1712" s="14" t="inlineStr">
        <is>
          <t>nfm</t>
        </is>
      </c>
      <c r="E1712" s="14" t="inlineStr">
        <is>
          <t>XCARBON</t>
        </is>
      </c>
      <c r="F1712" s="92" t="inlineStr">
        <is>
          <t>XCARBON($D2217,$E2217,(AE$321-AE$322),$F2217,(AE$324-AE$325))</t>
        </is>
      </c>
    </row>
    <row r="1713">
      <c r="A1713" s="14" t="n">
        <v>2219</v>
      </c>
      <c r="B1713" s="14" t="inlineStr">
        <is>
          <t>atp</t>
        </is>
      </c>
      <c r="C1713" s="14" t="inlineStr">
        <is>
          <t>coa</t>
        </is>
      </c>
      <c r="D1713" s="14" t="inlineStr">
        <is>
          <t>nfm</t>
        </is>
      </c>
      <c r="E1713" s="14" t="inlineStr">
        <is>
          <t>POSTTAX</t>
        </is>
      </c>
      <c r="F1713" s="92" t="inlineStr">
        <is>
          <t>POSTTAX(INDEX(AE$381:AE$392,$D2219),AE2192+AE2210,$E2219)</t>
        </is>
      </c>
    </row>
    <row r="1714">
      <c r="A1714" s="14" t="n">
        <v>2220</v>
      </c>
      <c r="B1714" s="14" t="inlineStr">
        <is>
          <t>atp</t>
        </is>
      </c>
      <c r="C1714" s="14" t="inlineStr">
        <is>
          <t>nga</t>
        </is>
      </c>
      <c r="D1714" s="14" t="inlineStr">
        <is>
          <t>nfm</t>
        </is>
      </c>
      <c r="E1714" s="14" t="inlineStr">
        <is>
          <t>POSTTAX</t>
        </is>
      </c>
      <c r="F1714" s="92" t="inlineStr">
        <is>
          <t>POSTTAX(INDEX(AE$381:AE$392,$D2220),AE2193+AE2211,$E2220)</t>
        </is>
      </c>
    </row>
    <row r="1715">
      <c r="A1715" s="14" t="n">
        <v>2221</v>
      </c>
      <c r="B1715" s="14" t="inlineStr">
        <is>
          <t>atp</t>
        </is>
      </c>
      <c r="C1715" s="14" t="inlineStr">
        <is>
          <t>gso</t>
        </is>
      </c>
      <c r="D1715" s="14" t="inlineStr">
        <is>
          <t>nfm</t>
        </is>
      </c>
      <c r="E1715" s="14" t="inlineStr">
        <is>
          <t>POSTTAX</t>
        </is>
      </c>
      <c r="F1715" s="92" t="inlineStr">
        <is>
          <t>POSTTAX(INDEX(AE$381:AE$392,$D2221),AE2194+AE2212,$E2221)</t>
        </is>
      </c>
    </row>
    <row r="1716">
      <c r="A1716" s="14" t="n">
        <v>2222</v>
      </c>
      <c r="B1716" s="14" t="inlineStr">
        <is>
          <t>atp</t>
        </is>
      </c>
      <c r="C1716" s="14" t="inlineStr">
        <is>
          <t>die</t>
        </is>
      </c>
      <c r="D1716" s="14" t="inlineStr">
        <is>
          <t>nfm</t>
        </is>
      </c>
      <c r="E1716" s="14" t="inlineStr">
        <is>
          <t>POSTTAX</t>
        </is>
      </c>
      <c r="F1716" s="92" t="inlineStr">
        <is>
          <t>POSTTAX(INDEX(AE$381:AE$392,$D2222),AE2195+AE2213,$E2222)</t>
        </is>
      </c>
    </row>
    <row r="1717">
      <c r="A1717" s="14" t="n">
        <v>2223</v>
      </c>
      <c r="B1717" s="14" t="inlineStr">
        <is>
          <t>atp</t>
        </is>
      </c>
      <c r="C1717" s="14" t="inlineStr">
        <is>
          <t>lpg</t>
        </is>
      </c>
      <c r="D1717" s="14" t="inlineStr">
        <is>
          <t>nfm</t>
        </is>
      </c>
      <c r="E1717" s="14" t="inlineStr">
        <is>
          <t>POSTTAX</t>
        </is>
      </c>
      <c r="F1717" s="92" t="inlineStr">
        <is>
          <t>POSTTAX(INDEX(AE$381:AE$392,$D2223),AE2196+AE2214,$E2223)</t>
        </is>
      </c>
    </row>
    <row r="1718">
      <c r="A1718" s="14" t="n">
        <v>2224</v>
      </c>
      <c r="B1718" s="14" t="inlineStr">
        <is>
          <t>atp</t>
        </is>
      </c>
      <c r="C1718" s="14" t="inlineStr">
        <is>
          <t>ker</t>
        </is>
      </c>
      <c r="D1718" s="14" t="inlineStr">
        <is>
          <t>nfm</t>
        </is>
      </c>
      <c r="E1718" s="14" t="inlineStr">
        <is>
          <t>POSTTAX</t>
        </is>
      </c>
      <c r="F1718" s="92" t="inlineStr">
        <is>
          <t>POSTTAX(INDEX(AE$381:AE$392,$D2224),AE2197+AE2215,$E2224)</t>
        </is>
      </c>
    </row>
    <row r="1719">
      <c r="A1719" s="14" t="n">
        <v>2225</v>
      </c>
      <c r="B1719" s="14" t="inlineStr">
        <is>
          <t>atp</t>
        </is>
      </c>
      <c r="C1719" s="14" t="inlineStr">
        <is>
          <t>oop</t>
        </is>
      </c>
      <c r="D1719" s="14" t="inlineStr">
        <is>
          <t>nfm</t>
        </is>
      </c>
      <c r="E1719" s="14" t="inlineStr">
        <is>
          <t>POSTTAX</t>
        </is>
      </c>
      <c r="F1719" s="92" t="inlineStr">
        <is>
          <t>POSTTAX(INDEX(AE$381:AE$392,$D2225),AE2198+AE2216,$E2225)</t>
        </is>
      </c>
    </row>
    <row r="1720">
      <c r="A1720" s="14" t="n">
        <v>2226</v>
      </c>
      <c r="B1720" s="14" t="inlineStr">
        <is>
          <t>atp</t>
        </is>
      </c>
      <c r="C1720" s="14" t="inlineStr">
        <is>
          <t>bio</t>
        </is>
      </c>
      <c r="D1720" s="14" t="inlineStr">
        <is>
          <t>nfm</t>
        </is>
      </c>
      <c r="E1720" s="14" t="inlineStr">
        <is>
          <t>POSTTAX</t>
        </is>
      </c>
      <c r="F1720" s="92" t="inlineStr">
        <is>
          <t>POSTTAX(INDEX(AE$381:AE$392,$D2226),AE2199+AE2217,$E2226)</t>
        </is>
      </c>
    </row>
    <row r="1721">
      <c r="A1721" s="14" t="n">
        <v>2228</v>
      </c>
      <c r="B1721" s="14" t="inlineStr">
        <is>
          <t>shp</t>
        </is>
      </c>
      <c r="C1721" s="14" t="inlineStr">
        <is>
          <t>coa</t>
        </is>
      </c>
      <c r="D1721" s="14" t="inlineStr">
        <is>
          <t>nfm</t>
        </is>
      </c>
      <c r="E1721" s="14" t="inlineStr">
        <is>
          <t>SHADOWGJ</t>
        </is>
      </c>
      <c r="F1721" s="92" t="inlineStr">
        <is>
          <t>SHADOWGJ(INDEX(AE$297:AE$313,$E2228),$D2228)</t>
        </is>
      </c>
    </row>
    <row r="1722">
      <c r="A1722" s="14" t="n">
        <v>2229</v>
      </c>
      <c r="B1722" s="14" t="inlineStr">
        <is>
          <t>shp</t>
        </is>
      </c>
      <c r="C1722" s="14" t="inlineStr">
        <is>
          <t>nga</t>
        </is>
      </c>
      <c r="D1722" s="14" t="inlineStr">
        <is>
          <t>nfm</t>
        </is>
      </c>
      <c r="E1722" s="14" t="inlineStr">
        <is>
          <t>SHADOWGJ</t>
        </is>
      </c>
      <c r="F1722" s="92" t="inlineStr">
        <is>
          <t>SHADOWGJ(INDEX(AE$297:AE$313,$E2229),$D2229)</t>
        </is>
      </c>
    </row>
    <row r="1723">
      <c r="A1723" s="14" t="n">
        <v>2230</v>
      </c>
      <c r="B1723" s="14" t="inlineStr">
        <is>
          <t>shp</t>
        </is>
      </c>
      <c r="C1723" s="14" t="inlineStr">
        <is>
          <t>gso</t>
        </is>
      </c>
      <c r="D1723" s="14" t="inlineStr">
        <is>
          <t>nfm</t>
        </is>
      </c>
      <c r="E1723" s="14" t="inlineStr">
        <is>
          <t>SHADOWGJ</t>
        </is>
      </c>
      <c r="F1723" s="92" t="inlineStr">
        <is>
          <t>SHADOWGJ(INDEX(AE$297:AE$313,$E2230),$D2230)</t>
        </is>
      </c>
    </row>
    <row r="1724">
      <c r="A1724" s="14" t="n">
        <v>2231</v>
      </c>
      <c r="B1724" s="14" t="inlineStr">
        <is>
          <t>shp</t>
        </is>
      </c>
      <c r="C1724" s="14" t="inlineStr">
        <is>
          <t>die</t>
        </is>
      </c>
      <c r="D1724" s="14" t="inlineStr">
        <is>
          <t>nfm</t>
        </is>
      </c>
      <c r="E1724" s="14" t="inlineStr">
        <is>
          <t>SHADOWGJ</t>
        </is>
      </c>
      <c r="F1724" s="92" t="inlineStr">
        <is>
          <t>SHADOWGJ(INDEX(AE$297:AE$313,$E2231),$D2231)</t>
        </is>
      </c>
    </row>
    <row r="1725">
      <c r="A1725" s="14" t="n">
        <v>2232</v>
      </c>
      <c r="B1725" s="14" t="inlineStr">
        <is>
          <t>shp</t>
        </is>
      </c>
      <c r="C1725" s="14" t="inlineStr">
        <is>
          <t>lpg</t>
        </is>
      </c>
      <c r="D1725" s="14" t="inlineStr">
        <is>
          <t>nfm</t>
        </is>
      </c>
      <c r="E1725" s="14" t="inlineStr">
        <is>
          <t>SHADOWGJ</t>
        </is>
      </c>
      <c r="F1725" s="92" t="inlineStr">
        <is>
          <t>SHADOWGJ(INDEX(AE$297:AE$313,$E2232),$D2232)</t>
        </is>
      </c>
    </row>
    <row r="1726">
      <c r="A1726" s="14" t="n">
        <v>2233</v>
      </c>
      <c r="B1726" s="14" t="inlineStr">
        <is>
          <t>shp</t>
        </is>
      </c>
      <c r="C1726" s="14" t="inlineStr">
        <is>
          <t>ker</t>
        </is>
      </c>
      <c r="D1726" s="14" t="inlineStr">
        <is>
          <t>nfm</t>
        </is>
      </c>
      <c r="E1726" s="14" t="inlineStr">
        <is>
          <t>SHADOWGJ</t>
        </is>
      </c>
      <c r="F1726" s="92" t="inlineStr">
        <is>
          <t>SHADOWGJ(INDEX(AE$297:AE$313,$E2233),$D2233)</t>
        </is>
      </c>
    </row>
    <row r="1727">
      <c r="A1727" s="14" t="n">
        <v>2234</v>
      </c>
      <c r="B1727" s="14" t="inlineStr">
        <is>
          <t>shp</t>
        </is>
      </c>
      <c r="C1727" s="14" t="inlineStr">
        <is>
          <t>oop</t>
        </is>
      </c>
      <c r="D1727" s="14" t="inlineStr">
        <is>
          <t>nfm</t>
        </is>
      </c>
      <c r="E1727" s="14" t="inlineStr">
        <is>
          <t>SHADOWGJ</t>
        </is>
      </c>
      <c r="F1727" s="92" t="inlineStr">
        <is>
          <t>SHADOWGJ(INDEX(AE$297:AE$313,$E2234),$D2234)</t>
        </is>
      </c>
    </row>
    <row r="1728">
      <c r="A1728" s="14" t="n">
        <v>2235</v>
      </c>
      <c r="B1728" s="14" t="inlineStr">
        <is>
          <t>shp</t>
        </is>
      </c>
      <c r="C1728" s="14" t="inlineStr">
        <is>
          <t>bio</t>
        </is>
      </c>
      <c r="D1728" s="14" t="inlineStr">
        <is>
          <t>nfm</t>
        </is>
      </c>
      <c r="E1728" s="14" t="inlineStr">
        <is>
          <t>SHADOWGJ</t>
        </is>
      </c>
      <c r="F1728" s="92" t="inlineStr">
        <is>
          <t>SHADOWGJ(INDEX(AE$297:AE$313,$E2235),$D2235)</t>
        </is>
      </c>
    </row>
    <row r="1729">
      <c r="A1729" s="14" t="n">
        <v>2237</v>
      </c>
      <c r="B1729" s="14" t="inlineStr">
        <is>
          <t>ener</t>
        </is>
      </c>
      <c r="C1729" s="14" t="inlineStr">
        <is>
          <t>coa</t>
        </is>
      </c>
      <c r="D1729" s="14" t="inlineStr">
        <is>
          <t>nfm</t>
        </is>
      </c>
      <c r="E1729" s="14" t="inlineStr">
        <is>
          <t>FUELUSE</t>
        </is>
      </c>
      <c r="F1729" s="92" t="inlineStr">
        <is>
          <t>FUELUSE(AD2237,AE2219,AD2219,AE2228,AD2228,AE$7,$D2237,$E2237,$F2237,$G2237)</t>
        </is>
      </c>
    </row>
    <row r="1730">
      <c r="A1730" s="14" t="n">
        <v>2238</v>
      </c>
      <c r="B1730" s="14" t="inlineStr">
        <is>
          <t>ener</t>
        </is>
      </c>
      <c r="C1730" s="14" t="inlineStr">
        <is>
          <t>nga</t>
        </is>
      </c>
      <c r="D1730" s="14" t="inlineStr">
        <is>
          <t>nfm</t>
        </is>
      </c>
      <c r="E1730" s="14" t="inlineStr">
        <is>
          <t>FUELUSE</t>
        </is>
      </c>
      <c r="F1730" s="92" t="inlineStr">
        <is>
          <t>FUELUSE(AD2238,AE2220,AD2220,AE2229,AD2229,AE$7,$D2238,$E2238,$F2238,$G2238)</t>
        </is>
      </c>
    </row>
    <row r="1731">
      <c r="A1731" s="14" t="n">
        <v>2239</v>
      </c>
      <c r="B1731" s="14" t="inlineStr">
        <is>
          <t>ener</t>
        </is>
      </c>
      <c r="C1731" s="14" t="inlineStr">
        <is>
          <t>gso</t>
        </is>
      </c>
      <c r="D1731" s="14" t="inlineStr">
        <is>
          <t>nfm</t>
        </is>
      </c>
      <c r="E1731" s="14" t="inlineStr">
        <is>
          <t>FUELUSE</t>
        </is>
      </c>
      <c r="F1731" s="92" t="inlineStr">
        <is>
          <t>FUELUSE(AD2239,AE2221,AD2221,AE2230,AD2230,AE$7,$D2239,$E2239,$F2239,$G2239)</t>
        </is>
      </c>
    </row>
    <row r="1732">
      <c r="A1732" s="14" t="n">
        <v>2240</v>
      </c>
      <c r="B1732" s="14" t="inlineStr">
        <is>
          <t>ener</t>
        </is>
      </c>
      <c r="C1732" s="14" t="inlineStr">
        <is>
          <t>die</t>
        </is>
      </c>
      <c r="D1732" s="14" t="inlineStr">
        <is>
          <t>nfm</t>
        </is>
      </c>
      <c r="E1732" s="14" t="inlineStr">
        <is>
          <t>FUELUSE</t>
        </is>
      </c>
      <c r="F1732" s="92" t="inlineStr">
        <is>
          <t>FUELUSE(AD2240,AE2222,AD2222,AE2231,AD2231,AE$7,$D2240,$E2240,$F2240,$G2240)</t>
        </is>
      </c>
    </row>
    <row r="1733">
      <c r="A1733" s="14" t="n">
        <v>2241</v>
      </c>
      <c r="B1733" s="14" t="inlineStr">
        <is>
          <t>ener</t>
        </is>
      </c>
      <c r="C1733" s="14" t="inlineStr">
        <is>
          <t>lpg</t>
        </is>
      </c>
      <c r="D1733" s="14" t="inlineStr">
        <is>
          <t>nfm</t>
        </is>
      </c>
      <c r="E1733" s="14" t="inlineStr">
        <is>
          <t>FUELUSE</t>
        </is>
      </c>
      <c r="F1733" s="92" t="inlineStr">
        <is>
          <t>FUELUSE(AD2241,AE2223,AD2223,AE2232,AD2232,AE$7,$D2241,$E2241,$F2241,$G2241)</t>
        </is>
      </c>
    </row>
    <row r="1734">
      <c r="A1734" s="14" t="n">
        <v>2242</v>
      </c>
      <c r="B1734" s="14" t="inlineStr">
        <is>
          <t>ener</t>
        </is>
      </c>
      <c r="C1734" s="14" t="inlineStr">
        <is>
          <t>ker</t>
        </is>
      </c>
      <c r="D1734" s="14" t="inlineStr">
        <is>
          <t>nfm</t>
        </is>
      </c>
      <c r="E1734" s="14" t="inlineStr">
        <is>
          <t>FUELUSE</t>
        </is>
      </c>
      <c r="F1734" s="92" t="inlineStr">
        <is>
          <t>FUELUSE(AD2242,AE2224,AD2224,AE2233,AD2233,AE$7,$D2242,$E2242,$F2242,$G2242)</t>
        </is>
      </c>
    </row>
    <row r="1735">
      <c r="A1735" s="14" t="n">
        <v>2243</v>
      </c>
      <c r="B1735" s="14" t="inlineStr">
        <is>
          <t>ener</t>
        </is>
      </c>
      <c r="C1735" s="14" t="inlineStr">
        <is>
          <t>oop</t>
        </is>
      </c>
      <c r="D1735" s="14" t="inlineStr">
        <is>
          <t>nfm</t>
        </is>
      </c>
      <c r="E1735" s="14" t="inlineStr">
        <is>
          <t>FUELUSE</t>
        </is>
      </c>
      <c r="F1735" s="92" t="inlineStr">
        <is>
          <t>FUELUSE(AD2243,AE2225,AD2225,AE2234,AD2234,AE$7,$D2243,$E2243,$F2243,$G2243)</t>
        </is>
      </c>
    </row>
    <row r="1736">
      <c r="A1736" s="14" t="n">
        <v>2244</v>
      </c>
      <c r="B1736" s="14" t="inlineStr">
        <is>
          <t>ener</t>
        </is>
      </c>
      <c r="C1736" s="14" t="inlineStr">
        <is>
          <t>bio</t>
        </is>
      </c>
      <c r="D1736" s="14" t="inlineStr">
        <is>
          <t>nfm</t>
        </is>
      </c>
      <c r="E1736" s="14" t="inlineStr">
        <is>
          <t>FUELUSE</t>
        </is>
      </c>
      <c r="F1736" s="92" t="inlineStr">
        <is>
          <t>FUELUSE(AD2244,AE2226,AD2226,AE2235,AD2235,AE$7,$D2244,$E2244,$F2244,$G2244)</t>
        </is>
      </c>
    </row>
    <row r="1737">
      <c r="A1737" s="14" t="n">
        <v>2246</v>
      </c>
      <c r="B1737" s="14" t="inlineStr">
        <is>
          <t>co2</t>
        </is>
      </c>
      <c r="C1737" s="14" t="inlineStr">
        <is>
          <t>coa</t>
        </is>
      </c>
      <c r="D1737" s="14" t="inlineStr">
        <is>
          <t>nfm</t>
        </is>
      </c>
      <c r="E1737" s="14" t="inlineStr">
        <is>
          <t>EMISSIONS</t>
        </is>
      </c>
      <c r="F1737" s="92" t="inlineStr">
        <is>
          <t>EMISSIONS(AE2237,Settings!$C$13,$D2246)</t>
        </is>
      </c>
    </row>
    <row r="1738">
      <c r="A1738" s="14" t="n">
        <v>2247</v>
      </c>
      <c r="B1738" s="14" t="inlineStr">
        <is>
          <t>co2</t>
        </is>
      </c>
      <c r="C1738" s="14" t="inlineStr">
        <is>
          <t>nga</t>
        </is>
      </c>
      <c r="D1738" s="14" t="inlineStr">
        <is>
          <t>nfm</t>
        </is>
      </c>
      <c r="E1738" s="14" t="inlineStr">
        <is>
          <t>EMISSIONS</t>
        </is>
      </c>
      <c r="F1738" s="92" t="inlineStr">
        <is>
          <t>EMISSIONS(AE2238,Settings!$C$13,$D2247)</t>
        </is>
      </c>
    </row>
    <row r="1739">
      <c r="A1739" s="14" t="n">
        <v>2248</v>
      </c>
      <c r="B1739" s="14" t="inlineStr">
        <is>
          <t>co2</t>
        </is>
      </c>
      <c r="C1739" s="14" t="inlineStr">
        <is>
          <t>gso</t>
        </is>
      </c>
      <c r="D1739" s="14" t="inlineStr">
        <is>
          <t>nfm</t>
        </is>
      </c>
      <c r="E1739" s="14" t="inlineStr">
        <is>
          <t>EMISSIONS</t>
        </is>
      </c>
      <c r="F1739" s="92" t="inlineStr">
        <is>
          <t>EMISSIONS(AE2239,Settings!$C$13,$D2248)</t>
        </is>
      </c>
    </row>
    <row r="1740">
      <c r="A1740" s="14" t="n">
        <v>2249</v>
      </c>
      <c r="B1740" s="14" t="inlineStr">
        <is>
          <t>co2</t>
        </is>
      </c>
      <c r="C1740" s="14" t="inlineStr">
        <is>
          <t>die</t>
        </is>
      </c>
      <c r="D1740" s="14" t="inlineStr">
        <is>
          <t>nfm</t>
        </is>
      </c>
      <c r="E1740" s="14" t="inlineStr">
        <is>
          <t>EMISSIONS</t>
        </is>
      </c>
      <c r="F1740" s="92" t="inlineStr">
        <is>
          <t>EMISSIONS(AE2240,Settings!$C$13,$D2249)</t>
        </is>
      </c>
    </row>
    <row r="1741">
      <c r="A1741" s="14" t="n">
        <v>2250</v>
      </c>
      <c r="B1741" s="14" t="inlineStr">
        <is>
          <t>co2</t>
        </is>
      </c>
      <c r="C1741" s="14" t="inlineStr">
        <is>
          <t>lpg</t>
        </is>
      </c>
      <c r="D1741" s="14" t="inlineStr">
        <is>
          <t>nfm</t>
        </is>
      </c>
      <c r="E1741" s="14" t="inlineStr">
        <is>
          <t>EMISSIONS</t>
        </is>
      </c>
      <c r="F1741" s="92" t="inlineStr">
        <is>
          <t>EMISSIONS(AE2241,Settings!$C$13,$D2250)</t>
        </is>
      </c>
    </row>
    <row r="1742">
      <c r="A1742" s="14" t="n">
        <v>2251</v>
      </c>
      <c r="B1742" s="14" t="inlineStr">
        <is>
          <t>co2</t>
        </is>
      </c>
      <c r="C1742" s="14" t="inlineStr">
        <is>
          <t>ker</t>
        </is>
      </c>
      <c r="D1742" s="14" t="inlineStr">
        <is>
          <t>nfm</t>
        </is>
      </c>
      <c r="E1742" s="14" t="inlineStr">
        <is>
          <t>EMISSIONS</t>
        </is>
      </c>
      <c r="F1742" s="92" t="inlineStr">
        <is>
          <t>EMISSIONS(AE2242,Settings!$C$13,$D2251)</t>
        </is>
      </c>
    </row>
    <row r="1743">
      <c r="A1743" s="14" t="n">
        <v>2252</v>
      </c>
      <c r="B1743" s="14" t="inlineStr">
        <is>
          <t>co2</t>
        </is>
      </c>
      <c r="C1743" s="14" t="inlineStr">
        <is>
          <t>oop</t>
        </is>
      </c>
      <c r="D1743" s="14" t="inlineStr">
        <is>
          <t>nfm</t>
        </is>
      </c>
      <c r="E1743" s="14" t="inlineStr">
        <is>
          <t>EMISSIONS</t>
        </is>
      </c>
      <c r="F1743" s="92" t="inlineStr">
        <is>
          <t>EMISSIONS(AE2243,Settings!$C$13,$D2252)</t>
        </is>
      </c>
    </row>
    <row r="1744">
      <c r="A1744" s="14" t="n">
        <v>2253</v>
      </c>
      <c r="B1744" s="14" t="inlineStr">
        <is>
          <t>co2</t>
        </is>
      </c>
      <c r="C1744" s="14" t="inlineStr">
        <is>
          <t>bio</t>
        </is>
      </c>
      <c r="D1744" s="14" t="inlineStr">
        <is>
          <t>nfm</t>
        </is>
      </c>
      <c r="E1744" s="14" t="inlineStr">
        <is>
          <t>EMISSIONS</t>
        </is>
      </c>
      <c r="F1744" s="92" t="inlineStr">
        <is>
          <t>EMISSIONS(AE2244,Settings!$C$13,$D2253)</t>
        </is>
      </c>
    </row>
    <row r="1745">
      <c r="A1745" s="14" t="n">
        <v>2255</v>
      </c>
      <c r="B1745" s="14" t="inlineStr">
        <is>
          <t>rtx</t>
        </is>
      </c>
      <c r="C1745" s="14" t="inlineStr">
        <is>
          <t>coa</t>
        </is>
      </c>
      <c r="D1745" s="14" t="inlineStr">
        <is>
          <t>nfm</t>
        </is>
      </c>
      <c r="E1745" s="14" t="inlineStr">
        <is>
          <t>REVENUE</t>
        </is>
      </c>
      <c r="F1745" s="92" t="inlineStr">
        <is>
          <t>REVENUE(AE2237,Settings!$C$13,INDEX(AE$407:AE$418,$D2255)+INDEX(AE$394:AE$405,$D2255)+AE2210*(1+$E2255))</t>
        </is>
      </c>
    </row>
    <row r="1746">
      <c r="A1746" s="14" t="n">
        <v>2256</v>
      </c>
      <c r="B1746" s="14" t="inlineStr">
        <is>
          <t>rtx</t>
        </is>
      </c>
      <c r="C1746" s="14" t="inlineStr">
        <is>
          <t>nga</t>
        </is>
      </c>
      <c r="D1746" s="14" t="inlineStr">
        <is>
          <t>nfm</t>
        </is>
      </c>
      <c r="E1746" s="14" t="inlineStr">
        <is>
          <t>REVENUE</t>
        </is>
      </c>
      <c r="F1746" s="92" t="inlineStr">
        <is>
          <t>REVENUE(AE2238,Settings!$C$13,INDEX(AE$407:AE$418,$D2256)+INDEX(AE$394:AE$405,$D2256)+AE2211*(1+$E2256))</t>
        </is>
      </c>
    </row>
    <row r="1747">
      <c r="A1747" s="14" t="n">
        <v>2257</v>
      </c>
      <c r="B1747" s="14" t="inlineStr">
        <is>
          <t>rtx</t>
        </is>
      </c>
      <c r="C1747" s="14" t="inlineStr">
        <is>
          <t>gso</t>
        </is>
      </c>
      <c r="D1747" s="14" t="inlineStr">
        <is>
          <t>nfm</t>
        </is>
      </c>
      <c r="E1747" s="14" t="inlineStr">
        <is>
          <t>REVENUE</t>
        </is>
      </c>
      <c r="F1747" s="92" t="inlineStr">
        <is>
          <t>REVENUE(AE2239,Settings!$C$13,INDEX(AE$407:AE$418,$D2257)+INDEX(AE$394:AE$405,$D2257)+AE2212*(1+$E2257))</t>
        </is>
      </c>
    </row>
    <row r="1748">
      <c r="A1748" s="14" t="n">
        <v>2258</v>
      </c>
      <c r="B1748" s="14" t="inlineStr">
        <is>
          <t>rtx</t>
        </is>
      </c>
      <c r="C1748" s="14" t="inlineStr">
        <is>
          <t>die</t>
        </is>
      </c>
      <c r="D1748" s="14" t="inlineStr">
        <is>
          <t>nfm</t>
        </is>
      </c>
      <c r="E1748" s="14" t="inlineStr">
        <is>
          <t>REVENUE</t>
        </is>
      </c>
      <c r="F1748" s="92" t="inlineStr">
        <is>
          <t>REVENUE(AE2240,Settings!$C$13,INDEX(AE$407:AE$418,$D2258)+INDEX(AE$394:AE$405,$D2258)+AE2213*(1+$E2258))</t>
        </is>
      </c>
    </row>
    <row r="1749">
      <c r="A1749" s="14" t="n">
        <v>2259</v>
      </c>
      <c r="B1749" s="14" t="inlineStr">
        <is>
          <t>rtx</t>
        </is>
      </c>
      <c r="C1749" s="14" t="inlineStr">
        <is>
          <t>lpg</t>
        </is>
      </c>
      <c r="D1749" s="14" t="inlineStr">
        <is>
          <t>nfm</t>
        </is>
      </c>
      <c r="E1749" s="14" t="inlineStr">
        <is>
          <t>REVENUE</t>
        </is>
      </c>
      <c r="F1749" s="92" t="inlineStr">
        <is>
          <t>REVENUE(AE2241,Settings!$C$13,INDEX(AE$407:AE$418,$D2259)+INDEX(AE$394:AE$405,$D2259)+AE2214*(1+$E2259))</t>
        </is>
      </c>
    </row>
    <row r="1750">
      <c r="A1750" s="14" t="n">
        <v>2260</v>
      </c>
      <c r="B1750" s="14" t="inlineStr">
        <is>
          <t>rtx</t>
        </is>
      </c>
      <c r="C1750" s="14" t="inlineStr">
        <is>
          <t>ker</t>
        </is>
      </c>
      <c r="D1750" s="14" t="inlineStr">
        <is>
          <t>nfm</t>
        </is>
      </c>
      <c r="E1750" s="14" t="inlineStr">
        <is>
          <t>REVENUE</t>
        </is>
      </c>
      <c r="F1750" s="92" t="inlineStr">
        <is>
          <t>REVENUE(AE2242,Settings!$C$13,INDEX(AE$407:AE$418,$D2260)+INDEX(AE$394:AE$405,$D2260)+AE2215*(1+$E2260))</t>
        </is>
      </c>
    </row>
    <row r="1751">
      <c r="A1751" s="14" t="n">
        <v>2261</v>
      </c>
      <c r="B1751" s="14" t="inlineStr">
        <is>
          <t>rtx</t>
        </is>
      </c>
      <c r="C1751" s="14" t="inlineStr">
        <is>
          <t>oop</t>
        </is>
      </c>
      <c r="D1751" s="14" t="inlineStr">
        <is>
          <t>nfm</t>
        </is>
      </c>
      <c r="E1751" s="14" t="inlineStr">
        <is>
          <t>REVENUE</t>
        </is>
      </c>
      <c r="F1751" s="92" t="inlineStr">
        <is>
          <t>REVENUE(AE2243,Settings!$C$13,INDEX(AE$407:AE$418,$D2261)+INDEX(AE$394:AE$405,$D2261)+AE2216*(1+$E2261))</t>
        </is>
      </c>
    </row>
    <row r="1752">
      <c r="A1752" s="14" t="n">
        <v>2262</v>
      </c>
      <c r="B1752" s="14" t="inlineStr">
        <is>
          <t>rtx</t>
        </is>
      </c>
      <c r="C1752" s="14" t="inlineStr">
        <is>
          <t>bio</t>
        </is>
      </c>
      <c r="D1752" s="14" t="inlineStr">
        <is>
          <t>nfm</t>
        </is>
      </c>
      <c r="E1752" s="14" t="inlineStr">
        <is>
          <t>REVENUE</t>
        </is>
      </c>
      <c r="F1752" s="92" t="inlineStr">
        <is>
          <t>REVENUE(AE2244,Settings!$C$13,INDEX(AE$407:AE$418,$D2262)+INDEX(AE$394:AE$405,$D2262)+AE2217*(1+$E2262))</t>
        </is>
      </c>
    </row>
    <row r="1753">
      <c r="A1753" s="14" t="n">
        <v>2264</v>
      </c>
      <c r="B1753" s="14" t="inlineStr">
        <is>
          <t>rsub</t>
        </is>
      </c>
      <c r="C1753" s="14" t="inlineStr">
        <is>
          <t>coa</t>
        </is>
      </c>
      <c r="D1753" s="14" t="inlineStr">
        <is>
          <t>nfm</t>
        </is>
      </c>
      <c r="E1753" s="14" t="inlineStr">
        <is>
          <t>REVENUE</t>
        </is>
      </c>
      <c r="F1753" s="92" t="inlineStr">
        <is>
          <t>REVENUE(AE2237,Settings!$C$13,INDEX(AE$420:AE$431,$D2264))</t>
        </is>
      </c>
    </row>
    <row r="1754">
      <c r="A1754" s="14" t="n">
        <v>2265</v>
      </c>
      <c r="B1754" s="14" t="inlineStr">
        <is>
          <t>rsub</t>
        </is>
      </c>
      <c r="C1754" s="14" t="inlineStr">
        <is>
          <t>nga</t>
        </is>
      </c>
      <c r="D1754" s="14" t="inlineStr">
        <is>
          <t>nfm</t>
        </is>
      </c>
      <c r="E1754" s="14" t="inlineStr">
        <is>
          <t>REVENUE</t>
        </is>
      </c>
      <c r="F1754" s="92" t="inlineStr">
        <is>
          <t>REVENUE(AE2238,Settings!$C$13,INDEX(AE$420:AE$431,$D2265))</t>
        </is>
      </c>
    </row>
    <row r="1755">
      <c r="A1755" s="14" t="n">
        <v>2266</v>
      </c>
      <c r="B1755" s="14" t="inlineStr">
        <is>
          <t>rsub</t>
        </is>
      </c>
      <c r="C1755" s="14" t="inlineStr">
        <is>
          <t>gso</t>
        </is>
      </c>
      <c r="D1755" s="14" t="inlineStr">
        <is>
          <t>nfm</t>
        </is>
      </c>
      <c r="E1755" s="14" t="inlineStr">
        <is>
          <t>REVENUE</t>
        </is>
      </c>
      <c r="F1755" s="92" t="inlineStr">
        <is>
          <t>REVENUE(AE2239,Settings!$C$13,INDEX(AE$420:AE$431,$D2266))</t>
        </is>
      </c>
    </row>
    <row r="1756">
      <c r="A1756" s="14" t="n">
        <v>2267</v>
      </c>
      <c r="B1756" s="14" t="inlineStr">
        <is>
          <t>rsub</t>
        </is>
      </c>
      <c r="C1756" s="14" t="inlineStr">
        <is>
          <t>die</t>
        </is>
      </c>
      <c r="D1756" s="14" t="inlineStr">
        <is>
          <t>nfm</t>
        </is>
      </c>
      <c r="E1756" s="14" t="inlineStr">
        <is>
          <t>REVENUE</t>
        </is>
      </c>
      <c r="F1756" s="92" t="inlineStr">
        <is>
          <t>REVENUE(AE2240,Settings!$C$13,INDEX(AE$420:AE$431,$D2267))</t>
        </is>
      </c>
    </row>
    <row r="1757">
      <c r="A1757" s="14" t="n">
        <v>2268</v>
      </c>
      <c r="B1757" s="14" t="inlineStr">
        <is>
          <t>rsub</t>
        </is>
      </c>
      <c r="C1757" s="14" t="inlineStr">
        <is>
          <t>lpg</t>
        </is>
      </c>
      <c r="D1757" s="14" t="inlineStr">
        <is>
          <t>nfm</t>
        </is>
      </c>
      <c r="E1757" s="14" t="inlineStr">
        <is>
          <t>REVENUE</t>
        </is>
      </c>
      <c r="F1757" s="92" t="inlineStr">
        <is>
          <t>REVENUE(AE2241,Settings!$C$13,INDEX(AE$420:AE$431,$D2268))</t>
        </is>
      </c>
    </row>
    <row r="1758">
      <c r="A1758" s="14" t="n">
        <v>2269</v>
      </c>
      <c r="B1758" s="14" t="inlineStr">
        <is>
          <t>rsub</t>
        </is>
      </c>
      <c r="C1758" s="14" t="inlineStr">
        <is>
          <t>ker</t>
        </is>
      </c>
      <c r="D1758" s="14" t="inlineStr">
        <is>
          <t>nfm</t>
        </is>
      </c>
      <c r="E1758" s="14" t="inlineStr">
        <is>
          <t>REVENUE</t>
        </is>
      </c>
      <c r="F1758" s="92" t="inlineStr">
        <is>
          <t>REVENUE(AE2242,Settings!$C$13,INDEX(AE$420:AE$431,$D2269))</t>
        </is>
      </c>
    </row>
    <row r="1759">
      <c r="A1759" s="14" t="n">
        <v>2270</v>
      </c>
      <c r="B1759" s="14" t="inlineStr">
        <is>
          <t>rsub</t>
        </is>
      </c>
      <c r="C1759" s="14" t="inlineStr">
        <is>
          <t>oop</t>
        </is>
      </c>
      <c r="D1759" s="14" t="inlineStr">
        <is>
          <t>nfm</t>
        </is>
      </c>
      <c r="E1759" s="14" t="inlineStr">
        <is>
          <t>REVENUE</t>
        </is>
      </c>
      <c r="F1759" s="92" t="inlineStr">
        <is>
          <t>REVENUE(AE2243,Settings!$C$13,INDEX(AE$420:AE$431,$D2270))</t>
        </is>
      </c>
    </row>
    <row r="1760">
      <c r="A1760" s="14" t="n">
        <v>2271</v>
      </c>
      <c r="B1760" s="14" t="inlineStr">
        <is>
          <t>rsub</t>
        </is>
      </c>
      <c r="C1760" s="14" t="inlineStr">
        <is>
          <t>bio</t>
        </is>
      </c>
      <c r="D1760" s="14" t="inlineStr">
        <is>
          <t>nfm</t>
        </is>
      </c>
      <c r="E1760" s="14" t="inlineStr">
        <is>
          <t>REVENUE</t>
        </is>
      </c>
      <c r="F1760" s="92" t="inlineStr">
        <is>
          <t>REVENUE(AE2244,Settings!$C$13,INDEX(AE$420:AE$431,$D2271))</t>
        </is>
      </c>
    </row>
    <row r="1761">
      <c r="A1761" s="14" t="n">
        <v>2273</v>
      </c>
      <c r="B1761" s="14" t="inlineStr">
        <is>
          <t>rnew</t>
        </is>
      </c>
      <c r="C1761" s="14" t="inlineStr">
        <is>
          <t>coa</t>
        </is>
      </c>
      <c r="D1761" s="14" t="inlineStr">
        <is>
          <t>nfm</t>
        </is>
      </c>
      <c r="E1761" s="14" t="inlineStr">
        <is>
          <t>REVENUE</t>
        </is>
      </c>
      <c r="F1761" s="92" t="inlineStr">
        <is>
          <t>REVENUE(AE2237,Settings!$C$13,NEWREVRATE(AE2165,AE2183,AE2174,AE$201,AE2192,$D2273))</t>
        </is>
      </c>
    </row>
    <row r="1762">
      <c r="A1762" s="14" t="n">
        <v>2274</v>
      </c>
      <c r="B1762" s="14" t="inlineStr">
        <is>
          <t>rnew</t>
        </is>
      </c>
      <c r="C1762" s="14" t="inlineStr">
        <is>
          <t>nga</t>
        </is>
      </c>
      <c r="D1762" s="14" t="inlineStr">
        <is>
          <t>nfm</t>
        </is>
      </c>
      <c r="E1762" s="14" t="inlineStr">
        <is>
          <t>REVENUE</t>
        </is>
      </c>
      <c r="F1762" s="92" t="inlineStr">
        <is>
          <t>REVENUE(AE2238,Settings!$C$13,NEWREVRATE(AE2166,AE2184,AE2175,AE$201,AE2193,$D2274))</t>
        </is>
      </c>
    </row>
    <row r="1763">
      <c r="A1763" s="14" t="n">
        <v>2275</v>
      </c>
      <c r="B1763" s="14" t="inlineStr">
        <is>
          <t>rnew</t>
        </is>
      </c>
      <c r="C1763" s="14" t="inlineStr">
        <is>
          <t>gso</t>
        </is>
      </c>
      <c r="D1763" s="14" t="inlineStr">
        <is>
          <t>nfm</t>
        </is>
      </c>
      <c r="E1763" s="14" t="inlineStr">
        <is>
          <t>REVENUE</t>
        </is>
      </c>
      <c r="F1763" s="92" t="inlineStr">
        <is>
          <t>REVENUE(AE2239,Settings!$C$13,NEWREVRATE(AE2167,AE2185,AE2176,AE$201,AE2194,$D2275))</t>
        </is>
      </c>
    </row>
    <row r="1764">
      <c r="A1764" s="14" t="n">
        <v>2276</v>
      </c>
      <c r="B1764" s="14" t="inlineStr">
        <is>
          <t>rnew</t>
        </is>
      </c>
      <c r="C1764" s="14" t="inlineStr">
        <is>
          <t>die</t>
        </is>
      </c>
      <c r="D1764" s="14" t="inlineStr">
        <is>
          <t>nfm</t>
        </is>
      </c>
      <c r="E1764" s="14" t="inlineStr">
        <is>
          <t>REVENUE</t>
        </is>
      </c>
      <c r="F1764" s="92" t="inlineStr">
        <is>
          <t>REVENUE(AE2240,Settings!$C$13,NEWREVRATE(AE2168,AE2186,AE2177,AE$201,AE2195,$D2276))</t>
        </is>
      </c>
    </row>
    <row r="1765">
      <c r="A1765" s="14" t="n">
        <v>2277</v>
      </c>
      <c r="B1765" s="14" t="inlineStr">
        <is>
          <t>rnew</t>
        </is>
      </c>
      <c r="C1765" s="14" t="inlineStr">
        <is>
          <t>lpg</t>
        </is>
      </c>
      <c r="D1765" s="14" t="inlineStr">
        <is>
          <t>nfm</t>
        </is>
      </c>
      <c r="E1765" s="14" t="inlineStr">
        <is>
          <t>REVENUE</t>
        </is>
      </c>
      <c r="F1765" s="92" t="inlineStr">
        <is>
          <t>REVENUE(AE2241,Settings!$C$13,NEWREVRATE(AE2169,AE2187,AE2178,AE$201,AE2196,$D2277))</t>
        </is>
      </c>
    </row>
    <row r="1766">
      <c r="A1766" s="14" t="n">
        <v>2278</v>
      </c>
      <c r="B1766" s="14" t="inlineStr">
        <is>
          <t>rnew</t>
        </is>
      </c>
      <c r="C1766" s="14" t="inlineStr">
        <is>
          <t>ker</t>
        </is>
      </c>
      <c r="D1766" s="14" t="inlineStr">
        <is>
          <t>nfm</t>
        </is>
      </c>
      <c r="E1766" s="14" t="inlineStr">
        <is>
          <t>REVENUE</t>
        </is>
      </c>
      <c r="F1766" s="92" t="inlineStr">
        <is>
          <t>REVENUE(AE2242,Settings!$C$13,NEWREVRATE(AE2170,AE2188,AE2179,AE$201,AE2197,$D2278))</t>
        </is>
      </c>
    </row>
    <row r="1767">
      <c r="A1767" s="14" t="n">
        <v>2279</v>
      </c>
      <c r="B1767" s="14" t="inlineStr">
        <is>
          <t>rnew</t>
        </is>
      </c>
      <c r="C1767" s="14" t="inlineStr">
        <is>
          <t>oop</t>
        </is>
      </c>
      <c r="D1767" s="14" t="inlineStr">
        <is>
          <t>nfm</t>
        </is>
      </c>
      <c r="E1767" s="14" t="inlineStr">
        <is>
          <t>REVENUE</t>
        </is>
      </c>
      <c r="F1767" s="92" t="inlineStr">
        <is>
          <t>REVENUE(AE2243,Settings!$C$13,NEWREVRATE(AE2171,AE2189,AE2180,AE$201,AE2198,$D2279))</t>
        </is>
      </c>
    </row>
    <row r="1768">
      <c r="A1768" s="14" t="n">
        <v>2280</v>
      </c>
      <c r="B1768" s="14" t="inlineStr">
        <is>
          <t>rnew</t>
        </is>
      </c>
      <c r="C1768" s="14" t="inlineStr">
        <is>
          <t>bio</t>
        </is>
      </c>
      <c r="D1768" s="14" t="inlineStr">
        <is>
          <t>nfm</t>
        </is>
      </c>
      <c r="E1768" s="14" t="inlineStr">
        <is>
          <t>REVENUE</t>
        </is>
      </c>
      <c r="F1768" s="92" t="inlineStr">
        <is>
          <t>REVENUE(AE2244,Settings!$C$13,NEWREVRATE(AE2172,AE2190,AE2181,AE$201,AE2199,$D2280))</t>
        </is>
      </c>
    </row>
    <row r="1769">
      <c r="A1769" s="14" t="n">
        <v>2282</v>
      </c>
      <c r="B1769" s="14" t="inlineStr">
        <is>
          <t>rxcp</t>
        </is>
      </c>
      <c r="C1769" s="14" t="inlineStr">
        <is>
          <t>coa</t>
        </is>
      </c>
      <c r="D1769" s="14" t="inlineStr">
        <is>
          <t>nfm</t>
        </is>
      </c>
      <c r="E1769" s="14" t="inlineStr">
        <is>
          <t>REVENUE</t>
        </is>
      </c>
      <c r="F1769" s="92" t="inlineStr">
        <is>
          <t>REVENUE(AE2237,Settings!$C$13,AE2201)</t>
        </is>
      </c>
    </row>
    <row r="1770">
      <c r="A1770" s="14" t="n">
        <v>2283</v>
      </c>
      <c r="B1770" s="14" t="inlineStr">
        <is>
          <t>rxcp</t>
        </is>
      </c>
      <c r="C1770" s="14" t="inlineStr">
        <is>
          <t>nga</t>
        </is>
      </c>
      <c r="D1770" s="14" t="inlineStr">
        <is>
          <t>nfm</t>
        </is>
      </c>
      <c r="E1770" s="14" t="inlineStr">
        <is>
          <t>REVENUE</t>
        </is>
      </c>
      <c r="F1770" s="92" t="inlineStr">
        <is>
          <t>REVENUE(AE2238,Settings!$C$13,AE2202)</t>
        </is>
      </c>
    </row>
    <row r="1771">
      <c r="A1771" s="14" t="n">
        <v>2284</v>
      </c>
      <c r="B1771" s="14" t="inlineStr">
        <is>
          <t>rxcp</t>
        </is>
      </c>
      <c r="C1771" s="14" t="inlineStr">
        <is>
          <t>gso</t>
        </is>
      </c>
      <c r="D1771" s="14" t="inlineStr">
        <is>
          <t>nfm</t>
        </is>
      </c>
      <c r="E1771" s="14" t="inlineStr">
        <is>
          <t>REVENUE</t>
        </is>
      </c>
      <c r="F1771" s="92" t="inlineStr">
        <is>
          <t>REVENUE(AE2239,Settings!$C$13,AE2203)</t>
        </is>
      </c>
    </row>
    <row r="1772">
      <c r="A1772" s="14" t="n">
        <v>2285</v>
      </c>
      <c r="B1772" s="14" t="inlineStr">
        <is>
          <t>rxcp</t>
        </is>
      </c>
      <c r="C1772" s="14" t="inlineStr">
        <is>
          <t>die</t>
        </is>
      </c>
      <c r="D1772" s="14" t="inlineStr">
        <is>
          <t>nfm</t>
        </is>
      </c>
      <c r="E1772" s="14" t="inlineStr">
        <is>
          <t>REVENUE</t>
        </is>
      </c>
      <c r="F1772" s="92" t="inlineStr">
        <is>
          <t>REVENUE(AE2240,Settings!$C$13,AE2204)</t>
        </is>
      </c>
    </row>
    <row r="1773">
      <c r="A1773" s="14" t="n">
        <v>2286</v>
      </c>
      <c r="B1773" s="14" t="inlineStr">
        <is>
          <t>rxcp</t>
        </is>
      </c>
      <c r="C1773" s="14" t="inlineStr">
        <is>
          <t>lpg</t>
        </is>
      </c>
      <c r="D1773" s="14" t="inlineStr">
        <is>
          <t>nfm</t>
        </is>
      </c>
      <c r="E1773" s="14" t="inlineStr">
        <is>
          <t>REVENUE</t>
        </is>
      </c>
      <c r="F1773" s="92" t="inlineStr">
        <is>
          <t>REVENUE(AE2241,Settings!$C$13,AE2205)</t>
        </is>
      </c>
    </row>
    <row r="1774">
      <c r="A1774" s="14" t="n">
        <v>2287</v>
      </c>
      <c r="B1774" s="14" t="inlineStr">
        <is>
          <t>rxcp</t>
        </is>
      </c>
      <c r="C1774" s="14" t="inlineStr">
        <is>
          <t>ker</t>
        </is>
      </c>
      <c r="D1774" s="14" t="inlineStr">
        <is>
          <t>nfm</t>
        </is>
      </c>
      <c r="E1774" s="14" t="inlineStr">
        <is>
          <t>REVENUE</t>
        </is>
      </c>
      <c r="F1774" s="92" t="inlineStr">
        <is>
          <t>REVENUE(AE2242,Settings!$C$13,AE2206)</t>
        </is>
      </c>
    </row>
    <row r="1775">
      <c r="A1775" s="14" t="n">
        <v>2288</v>
      </c>
      <c r="B1775" s="14" t="inlineStr">
        <is>
          <t>rxcp</t>
        </is>
      </c>
      <c r="C1775" s="14" t="inlineStr">
        <is>
          <t>oop</t>
        </is>
      </c>
      <c r="D1775" s="14" t="inlineStr">
        <is>
          <t>nfm</t>
        </is>
      </c>
      <c r="E1775" s="14" t="inlineStr">
        <is>
          <t>REVENUE</t>
        </is>
      </c>
      <c r="F1775" s="92" t="inlineStr">
        <is>
          <t>REVENUE(AE2243,Settings!$C$13,AE2207)</t>
        </is>
      </c>
    </row>
    <row r="1776">
      <c r="A1776" s="14" t="n">
        <v>2289</v>
      </c>
      <c r="B1776" s="14" t="inlineStr">
        <is>
          <t>rxcp</t>
        </is>
      </c>
      <c r="C1776" s="14" t="inlineStr">
        <is>
          <t>bio</t>
        </is>
      </c>
      <c r="D1776" s="14" t="inlineStr">
        <is>
          <t>nfm</t>
        </is>
      </c>
      <c r="E1776" s="14" t="inlineStr">
        <is>
          <t>REVENUE</t>
        </is>
      </c>
      <c r="F1776" s="92" t="inlineStr">
        <is>
          <t>REVENUE(AE2244,Settings!$C$13,AE2208)</t>
        </is>
      </c>
    </row>
    <row r="1777">
      <c r="A1777" s="14" t="n">
        <v>2293</v>
      </c>
      <c r="B1777" s="14" t="inlineStr">
        <is>
          <t>ctxnew</t>
        </is>
      </c>
      <c r="C1777" s="14" t="inlineStr">
        <is>
          <t>coa</t>
        </is>
      </c>
      <c r="D1777" s="14" t="inlineStr">
        <is>
          <t>mac</t>
        </is>
      </c>
      <c r="E1777" s="14" t="inlineStr">
        <is>
          <t>CARBONTAX</t>
        </is>
      </c>
      <c r="F1777" s="92" t="inlineStr">
        <is>
          <t>CARBONTAX(INDEX(AE$263:AE$279,$F2293),$D2293,INDEX(AE$23:AE$30,$E2293))</t>
        </is>
      </c>
    </row>
    <row r="1778">
      <c r="A1778" s="14" t="n">
        <v>2294</v>
      </c>
      <c r="B1778" s="14" t="inlineStr">
        <is>
          <t>ctxnew</t>
        </is>
      </c>
      <c r="C1778" s="14" t="inlineStr">
        <is>
          <t>nga</t>
        </is>
      </c>
      <c r="D1778" s="14" t="inlineStr">
        <is>
          <t>mac</t>
        </is>
      </c>
      <c r="E1778" s="14" t="inlineStr">
        <is>
          <t>CARBONTAX</t>
        </is>
      </c>
      <c r="F1778" s="92" t="inlineStr">
        <is>
          <t>CARBONTAX(INDEX(AE$263:AE$279,$F2294),$D2294,INDEX(AE$23:AE$30,$E2294))</t>
        </is>
      </c>
    </row>
    <row r="1779">
      <c r="A1779" s="14" t="n">
        <v>2295</v>
      </c>
      <c r="B1779" s="14" t="inlineStr">
        <is>
          <t>ctxnew</t>
        </is>
      </c>
      <c r="C1779" s="14" t="inlineStr">
        <is>
          <t>gso</t>
        </is>
      </c>
      <c r="D1779" s="14" t="inlineStr">
        <is>
          <t>mac</t>
        </is>
      </c>
      <c r="E1779" s="14" t="inlineStr">
        <is>
          <t>CARBONTAX</t>
        </is>
      </c>
      <c r="F1779" s="92" t="inlineStr">
        <is>
          <t>CARBONTAX(INDEX(AE$263:AE$279,$F2295),$D2295,INDEX(AE$23:AE$30,$E2295))</t>
        </is>
      </c>
    </row>
    <row r="1780">
      <c r="A1780" s="14" t="n">
        <v>2296</v>
      </c>
      <c r="B1780" s="14" t="inlineStr">
        <is>
          <t>ctxnew</t>
        </is>
      </c>
      <c r="C1780" s="14" t="inlineStr">
        <is>
          <t>die</t>
        </is>
      </c>
      <c r="D1780" s="14" t="inlineStr">
        <is>
          <t>mac</t>
        </is>
      </c>
      <c r="E1780" s="14" t="inlineStr">
        <is>
          <t>CARBONTAX</t>
        </is>
      </c>
      <c r="F1780" s="92" t="inlineStr">
        <is>
          <t>CARBONTAX(INDEX(AE$263:AE$279,$F2296),$D2296,INDEX(AE$23:AE$30,$E2296))</t>
        </is>
      </c>
    </row>
    <row r="1781">
      <c r="A1781" s="14" t="n">
        <v>2297</v>
      </c>
      <c r="B1781" s="14" t="inlineStr">
        <is>
          <t>ctxnew</t>
        </is>
      </c>
      <c r="C1781" s="14" t="inlineStr">
        <is>
          <t>lpg</t>
        </is>
      </c>
      <c r="D1781" s="14" t="inlineStr">
        <is>
          <t>mac</t>
        </is>
      </c>
      <c r="E1781" s="14" t="inlineStr">
        <is>
          <t>CARBONTAX</t>
        </is>
      </c>
      <c r="F1781" s="92" t="inlineStr">
        <is>
          <t>CARBONTAX(INDEX(AE$263:AE$279,$F2297),$D2297,INDEX(AE$23:AE$30,$E2297))</t>
        </is>
      </c>
    </row>
    <row r="1782">
      <c r="A1782" s="14" t="n">
        <v>2298</v>
      </c>
      <c r="B1782" s="14" t="inlineStr">
        <is>
          <t>ctxnew</t>
        </is>
      </c>
      <c r="C1782" s="14" t="inlineStr">
        <is>
          <t>ker</t>
        </is>
      </c>
      <c r="D1782" s="14" t="inlineStr">
        <is>
          <t>mac</t>
        </is>
      </c>
      <c r="E1782" s="14" t="inlineStr">
        <is>
          <t>CARBONTAX</t>
        </is>
      </c>
      <c r="F1782" s="92" t="inlineStr">
        <is>
          <t>CARBONTAX(INDEX(AE$263:AE$279,$F2298),$D2298,INDEX(AE$23:AE$30,$E2298))</t>
        </is>
      </c>
    </row>
    <row r="1783">
      <c r="A1783" s="14" t="n">
        <v>2299</v>
      </c>
      <c r="B1783" s="14" t="inlineStr">
        <is>
          <t>ctxnew</t>
        </is>
      </c>
      <c r="C1783" s="14" t="inlineStr">
        <is>
          <t>oop</t>
        </is>
      </c>
      <c r="D1783" s="14" t="inlineStr">
        <is>
          <t>mac</t>
        </is>
      </c>
      <c r="E1783" s="14" t="inlineStr">
        <is>
          <t>CARBONTAX</t>
        </is>
      </c>
      <c r="F1783" s="92" t="inlineStr">
        <is>
          <t>CARBONTAX(INDEX(AE$263:AE$279,$F2299),$D2299,INDEX(AE$23:AE$30,$E2299))</t>
        </is>
      </c>
    </row>
    <row r="1784">
      <c r="A1784" s="14" t="n">
        <v>2300</v>
      </c>
      <c r="B1784" s="14" t="inlineStr">
        <is>
          <t>ctxnew</t>
        </is>
      </c>
      <c r="C1784" s="14" t="inlineStr">
        <is>
          <t>bio</t>
        </is>
      </c>
      <c r="D1784" s="14" t="inlineStr">
        <is>
          <t>mac</t>
        </is>
      </c>
      <c r="E1784" s="14" t="inlineStr">
        <is>
          <t>CARBONTAX</t>
        </is>
      </c>
      <c r="F1784" s="92" t="inlineStr">
        <is>
          <t>CARBONTAX(INDEX(AE$263:AE$279,$F2300),$D2300,INDEX(AE$23:AE$30,$E2300))</t>
        </is>
      </c>
    </row>
    <row r="1785">
      <c r="A1785" s="14" t="n">
        <v>2302</v>
      </c>
      <c r="B1785" s="14" t="inlineStr">
        <is>
          <t>ets</t>
        </is>
      </c>
      <c r="C1785" s="14" t="inlineStr">
        <is>
          <t>coa</t>
        </is>
      </c>
      <c r="D1785" s="14" t="inlineStr">
        <is>
          <t>mac</t>
        </is>
      </c>
      <c r="E1785" s="14" t="inlineStr">
        <is>
          <t>ETSCOST</t>
        </is>
      </c>
      <c r="F1785" s="92" t="inlineStr">
        <is>
          <t>ETSCOST(INDEX(AE$280:AE$296,$E2302),$D2302)</t>
        </is>
      </c>
    </row>
    <row r="1786">
      <c r="A1786" s="14" t="n">
        <v>2303</v>
      </c>
      <c r="B1786" s="14" t="inlineStr">
        <is>
          <t>ets</t>
        </is>
      </c>
      <c r="C1786" s="14" t="inlineStr">
        <is>
          <t>nga</t>
        </is>
      </c>
      <c r="D1786" s="14" t="inlineStr">
        <is>
          <t>mac</t>
        </is>
      </c>
      <c r="E1786" s="14" t="inlineStr">
        <is>
          <t>ETSCOST</t>
        </is>
      </c>
      <c r="F1786" s="92" t="inlineStr">
        <is>
          <t>ETSCOST(INDEX(AE$280:AE$296,$E2303),$D2303)</t>
        </is>
      </c>
    </row>
    <row r="1787">
      <c r="A1787" s="14" t="n">
        <v>2304</v>
      </c>
      <c r="B1787" s="14" t="inlineStr">
        <is>
          <t>ets</t>
        </is>
      </c>
      <c r="C1787" s="14" t="inlineStr">
        <is>
          <t>gso</t>
        </is>
      </c>
      <c r="D1787" s="14" t="inlineStr">
        <is>
          <t>mac</t>
        </is>
      </c>
      <c r="E1787" s="14" t="inlineStr">
        <is>
          <t>ETSCOST</t>
        </is>
      </c>
      <c r="F1787" s="92" t="inlineStr">
        <is>
          <t>ETSCOST(INDEX(AE$280:AE$296,$E2304),$D2304)</t>
        </is>
      </c>
    </row>
    <row r="1788">
      <c r="A1788" s="14" t="n">
        <v>2305</v>
      </c>
      <c r="B1788" s="14" t="inlineStr">
        <is>
          <t>ets</t>
        </is>
      </c>
      <c r="C1788" s="14" t="inlineStr">
        <is>
          <t>die</t>
        </is>
      </c>
      <c r="D1788" s="14" t="inlineStr">
        <is>
          <t>mac</t>
        </is>
      </c>
      <c r="E1788" s="14" t="inlineStr">
        <is>
          <t>ETSCOST</t>
        </is>
      </c>
      <c r="F1788" s="92" t="inlineStr">
        <is>
          <t>ETSCOST(INDEX(AE$280:AE$296,$E2305),$D2305)</t>
        </is>
      </c>
    </row>
    <row r="1789">
      <c r="A1789" s="14" t="n">
        <v>2306</v>
      </c>
      <c r="B1789" s="14" t="inlineStr">
        <is>
          <t>ets</t>
        </is>
      </c>
      <c r="C1789" s="14" t="inlineStr">
        <is>
          <t>lpg</t>
        </is>
      </c>
      <c r="D1789" s="14" t="inlineStr">
        <is>
          <t>mac</t>
        </is>
      </c>
      <c r="E1789" s="14" t="inlineStr">
        <is>
          <t>ETSCOST</t>
        </is>
      </c>
      <c r="F1789" s="92" t="inlineStr">
        <is>
          <t>ETSCOST(INDEX(AE$280:AE$296,$E2306),$D2306)</t>
        </is>
      </c>
    </row>
    <row r="1790">
      <c r="A1790" s="14" t="n">
        <v>2307</v>
      </c>
      <c r="B1790" s="14" t="inlineStr">
        <is>
          <t>ets</t>
        </is>
      </c>
      <c r="C1790" s="14" t="inlineStr">
        <is>
          <t>ker</t>
        </is>
      </c>
      <c r="D1790" s="14" t="inlineStr">
        <is>
          <t>mac</t>
        </is>
      </c>
      <c r="E1790" s="14" t="inlineStr">
        <is>
          <t>ETSCOST</t>
        </is>
      </c>
      <c r="F1790" s="92" t="inlineStr">
        <is>
          <t>ETSCOST(INDEX(AE$280:AE$296,$E2307),$D2307)</t>
        </is>
      </c>
    </row>
    <row r="1791">
      <c r="A1791" s="14" t="n">
        <v>2308</v>
      </c>
      <c r="B1791" s="14" t="inlineStr">
        <is>
          <t>ets</t>
        </is>
      </c>
      <c r="C1791" s="14" t="inlineStr">
        <is>
          <t>oop</t>
        </is>
      </c>
      <c r="D1791" s="14" t="inlineStr">
        <is>
          <t>mac</t>
        </is>
      </c>
      <c r="E1791" s="14" t="inlineStr">
        <is>
          <t>ETSCOST</t>
        </is>
      </c>
      <c r="F1791" s="92" t="inlineStr">
        <is>
          <t>ETSCOST(INDEX(AE$280:AE$296,$E2308),$D2308)</t>
        </is>
      </c>
    </row>
    <row r="1792">
      <c r="A1792" s="14" t="n">
        <v>2309</v>
      </c>
      <c r="B1792" s="14" t="inlineStr">
        <is>
          <t>ets</t>
        </is>
      </c>
      <c r="C1792" s="14" t="inlineStr">
        <is>
          <t>bio</t>
        </is>
      </c>
      <c r="D1792" s="14" t="inlineStr">
        <is>
          <t>mac</t>
        </is>
      </c>
      <c r="E1792" s="14" t="inlineStr">
        <is>
          <t>ETSCOST</t>
        </is>
      </c>
      <c r="F1792" s="92" t="inlineStr">
        <is>
          <t>ETSCOST(INDEX(AE$280:AE$296,$E2309),$D2309)</t>
        </is>
      </c>
    </row>
    <row r="1793">
      <c r="A1793" s="14" t="n">
        <v>2311</v>
      </c>
      <c r="B1793" s="14" t="inlineStr">
        <is>
          <t>ntx</t>
        </is>
      </c>
      <c r="C1793" s="14" t="inlineStr">
        <is>
          <t>coa</t>
        </is>
      </c>
      <c r="D1793" s="14" t="inlineStr">
        <is>
          <t>mac</t>
        </is>
      </c>
      <c r="E1793" s="14" t="inlineStr">
        <is>
          <t>NEWEXCISE</t>
        </is>
      </c>
      <c r="F1793" s="92" t="inlineStr">
        <is>
          <t>NEWEXCISE(INDEX(AE$80:AE$93,$D2311),$E2311)</t>
        </is>
      </c>
    </row>
    <row r="1794">
      <c r="A1794" s="14" t="n">
        <v>2312</v>
      </c>
      <c r="B1794" s="14" t="inlineStr">
        <is>
          <t>ntx</t>
        </is>
      </c>
      <c r="C1794" s="14" t="inlineStr">
        <is>
          <t>nga</t>
        </is>
      </c>
      <c r="D1794" s="14" t="inlineStr">
        <is>
          <t>mac</t>
        </is>
      </c>
      <c r="E1794" s="14" t="inlineStr">
        <is>
          <t>NEWEXCISE</t>
        </is>
      </c>
      <c r="F1794" s="92" t="inlineStr">
        <is>
          <t>NEWEXCISE(INDEX(AE$80:AE$93,$D2312),$E2312)</t>
        </is>
      </c>
    </row>
    <row r="1795">
      <c r="A1795" s="14" t="n">
        <v>2313</v>
      </c>
      <c r="B1795" s="14" t="inlineStr">
        <is>
          <t>ntx</t>
        </is>
      </c>
      <c r="C1795" s="14" t="inlineStr">
        <is>
          <t>gso</t>
        </is>
      </c>
      <c r="D1795" s="14" t="inlineStr">
        <is>
          <t>mac</t>
        </is>
      </c>
      <c r="E1795" s="14" t="inlineStr">
        <is>
          <t>NEWEXCISE</t>
        </is>
      </c>
      <c r="F1795" s="92" t="inlineStr">
        <is>
          <t>NEWEXCISE(INDEX(AE$80:AE$93,$D2313),$E2313)</t>
        </is>
      </c>
    </row>
    <row r="1796">
      <c r="A1796" s="14" t="n">
        <v>2314</v>
      </c>
      <c r="B1796" s="14" t="inlineStr">
        <is>
          <t>ntx</t>
        </is>
      </c>
      <c r="C1796" s="14" t="inlineStr">
        <is>
          <t>die</t>
        </is>
      </c>
      <c r="D1796" s="14" t="inlineStr">
        <is>
          <t>mac</t>
        </is>
      </c>
      <c r="E1796" s="14" t="inlineStr">
        <is>
          <t>NEWEXCISE</t>
        </is>
      </c>
      <c r="F1796" s="92" t="inlineStr">
        <is>
          <t>NEWEXCISE(INDEX(AE$80:AE$93,$D2314),$E2314)</t>
        </is>
      </c>
    </row>
    <row r="1797">
      <c r="A1797" s="14" t="n">
        <v>2315</v>
      </c>
      <c r="B1797" s="14" t="inlineStr">
        <is>
          <t>ntx</t>
        </is>
      </c>
      <c r="C1797" s="14" t="inlineStr">
        <is>
          <t>lpg</t>
        </is>
      </c>
      <c r="D1797" s="14" t="inlineStr">
        <is>
          <t>mac</t>
        </is>
      </c>
      <c r="E1797" s="14" t="inlineStr">
        <is>
          <t>NEWEXCISE</t>
        </is>
      </c>
      <c r="F1797" s="92" t="inlineStr">
        <is>
          <t>NEWEXCISE(INDEX(AE$80:AE$93,$D2315),$E2315)</t>
        </is>
      </c>
    </row>
    <row r="1798">
      <c r="A1798" s="14" t="n">
        <v>2316</v>
      </c>
      <c r="B1798" s="14" t="inlineStr">
        <is>
          <t>ntx</t>
        </is>
      </c>
      <c r="C1798" s="14" t="inlineStr">
        <is>
          <t>ker</t>
        </is>
      </c>
      <c r="D1798" s="14" t="inlineStr">
        <is>
          <t>mac</t>
        </is>
      </c>
      <c r="E1798" s="14" t="inlineStr">
        <is>
          <t>NEWEXCISE</t>
        </is>
      </c>
      <c r="F1798" s="92" t="inlineStr">
        <is>
          <t>NEWEXCISE(INDEX(AE$80:AE$93,$D2316),$E2316)</t>
        </is>
      </c>
    </row>
    <row r="1799">
      <c r="A1799" s="14" t="n">
        <v>2317</v>
      </c>
      <c r="B1799" s="14" t="inlineStr">
        <is>
          <t>ntx</t>
        </is>
      </c>
      <c r="C1799" s="14" t="inlineStr">
        <is>
          <t>oop</t>
        </is>
      </c>
      <c r="D1799" s="14" t="inlineStr">
        <is>
          <t>mac</t>
        </is>
      </c>
      <c r="E1799" s="14" t="inlineStr">
        <is>
          <t>NEWEXCISE</t>
        </is>
      </c>
      <c r="F1799" s="92" t="inlineStr">
        <is>
          <t>NEWEXCISE(INDEX(AE$80:AE$93,$D2317),$E2317)</t>
        </is>
      </c>
    </row>
    <row r="1800">
      <c r="A1800" s="14" t="n">
        <v>2318</v>
      </c>
      <c r="B1800" s="14" t="inlineStr">
        <is>
          <t>ntx</t>
        </is>
      </c>
      <c r="C1800" s="14" t="inlineStr">
        <is>
          <t>bio</t>
        </is>
      </c>
      <c r="D1800" s="14" t="inlineStr">
        <is>
          <t>mac</t>
        </is>
      </c>
      <c r="E1800" s="14" t="inlineStr">
        <is>
          <t>NEWEXCISE</t>
        </is>
      </c>
      <c r="F1800" s="92" t="inlineStr">
        <is>
          <t>NEWEXCISE(INDEX(AE$80:AE$93,$D2318),$E2318)</t>
        </is>
      </c>
    </row>
    <row r="1801">
      <c r="A1801" s="14" t="n">
        <v>2320</v>
      </c>
      <c r="B1801" s="14" t="inlineStr">
        <is>
          <t>nce</t>
        </is>
      </c>
      <c r="C1801" s="14" t="inlineStr">
        <is>
          <t>coa</t>
        </is>
      </c>
      <c r="D1801" s="14" t="inlineStr">
        <is>
          <t>mac</t>
        </is>
      </c>
      <c r="E1801" s="14" t="inlineStr">
        <is>
          <t>NEWPOLICY</t>
        </is>
      </c>
      <c r="F1801" s="92" t="inlineStr">
        <is>
          <t>NEWPOLICY(AE2293,AE2302,AE2311)</t>
        </is>
      </c>
    </row>
    <row r="1802">
      <c r="A1802" s="14" t="n">
        <v>2321</v>
      </c>
      <c r="B1802" s="14" t="inlineStr">
        <is>
          <t>nce</t>
        </is>
      </c>
      <c r="C1802" s="14" t="inlineStr">
        <is>
          <t>nga</t>
        </is>
      </c>
      <c r="D1802" s="14" t="inlineStr">
        <is>
          <t>mac</t>
        </is>
      </c>
      <c r="E1802" s="14" t="inlineStr">
        <is>
          <t>NEWPOLICY</t>
        </is>
      </c>
      <c r="F1802" s="92" t="inlineStr">
        <is>
          <t>NEWPOLICY(AE2294,AE2303,AE2312)</t>
        </is>
      </c>
    </row>
    <row r="1803">
      <c r="A1803" s="14" t="n">
        <v>2322</v>
      </c>
      <c r="B1803" s="14" t="inlineStr">
        <is>
          <t>nce</t>
        </is>
      </c>
      <c r="C1803" s="14" t="inlineStr">
        <is>
          <t>gso</t>
        </is>
      </c>
      <c r="D1803" s="14" t="inlineStr">
        <is>
          <t>mac</t>
        </is>
      </c>
      <c r="E1803" s="14" t="inlineStr">
        <is>
          <t>NEWPOLICY</t>
        </is>
      </c>
      <c r="F1803" s="92" t="inlineStr">
        <is>
          <t>NEWPOLICY(AE2295,AE2304,AE2313)</t>
        </is>
      </c>
    </row>
    <row r="1804">
      <c r="A1804" s="14" t="n">
        <v>2323</v>
      </c>
      <c r="B1804" s="14" t="inlineStr">
        <is>
          <t>nce</t>
        </is>
      </c>
      <c r="C1804" s="14" t="inlineStr">
        <is>
          <t>die</t>
        </is>
      </c>
      <c r="D1804" s="14" t="inlineStr">
        <is>
          <t>mac</t>
        </is>
      </c>
      <c r="E1804" s="14" t="inlineStr">
        <is>
          <t>NEWPOLICY</t>
        </is>
      </c>
      <c r="F1804" s="92" t="inlineStr">
        <is>
          <t>NEWPOLICY(AE2296,AE2305,AE2314)</t>
        </is>
      </c>
    </row>
    <row r="1805">
      <c r="A1805" s="14" t="n">
        <v>2324</v>
      </c>
      <c r="B1805" s="14" t="inlineStr">
        <is>
          <t>nce</t>
        </is>
      </c>
      <c r="C1805" s="14" t="inlineStr">
        <is>
          <t>lpg</t>
        </is>
      </c>
      <c r="D1805" s="14" t="inlineStr">
        <is>
          <t>mac</t>
        </is>
      </c>
      <c r="E1805" s="14" t="inlineStr">
        <is>
          <t>NEWPOLICY</t>
        </is>
      </c>
      <c r="F1805" s="92" t="inlineStr">
        <is>
          <t>NEWPOLICY(AE2297,AE2306,AE2315)</t>
        </is>
      </c>
    </row>
    <row r="1806">
      <c r="A1806" s="14" t="n">
        <v>2325</v>
      </c>
      <c r="B1806" s="14" t="inlineStr">
        <is>
          <t>nce</t>
        </is>
      </c>
      <c r="C1806" s="14" t="inlineStr">
        <is>
          <t>ker</t>
        </is>
      </c>
      <c r="D1806" s="14" t="inlineStr">
        <is>
          <t>mac</t>
        </is>
      </c>
      <c r="E1806" s="14" t="inlineStr">
        <is>
          <t>NEWPOLICY</t>
        </is>
      </c>
      <c r="F1806" s="92" t="inlineStr">
        <is>
          <t>NEWPOLICY(AE2298,AE2307,AE2316)</t>
        </is>
      </c>
    </row>
    <row r="1807">
      <c r="A1807" s="14" t="n">
        <v>2326</v>
      </c>
      <c r="B1807" s="14" t="inlineStr">
        <is>
          <t>nce</t>
        </is>
      </c>
      <c r="C1807" s="14" t="inlineStr">
        <is>
          <t>oop</t>
        </is>
      </c>
      <c r="D1807" s="14" t="inlineStr">
        <is>
          <t>mac</t>
        </is>
      </c>
      <c r="E1807" s="14" t="inlineStr">
        <is>
          <t>NEWPOLICY</t>
        </is>
      </c>
      <c r="F1807" s="92" t="inlineStr">
        <is>
          <t>NEWPOLICY(AE2299,AE2308,AE2317)</t>
        </is>
      </c>
    </row>
    <row r="1808">
      <c r="A1808" s="14" t="n">
        <v>2327</v>
      </c>
      <c r="B1808" s="14" t="inlineStr">
        <is>
          <t>nce</t>
        </is>
      </c>
      <c r="C1808" s="14" t="inlineStr">
        <is>
          <t>bio</t>
        </is>
      </c>
      <c r="D1808" s="14" t="inlineStr">
        <is>
          <t>mac</t>
        </is>
      </c>
      <c r="E1808" s="14" t="inlineStr">
        <is>
          <t>NEWPOLICY</t>
        </is>
      </c>
      <c r="F1808" s="92" t="inlineStr">
        <is>
          <t>NEWPOLICY(AE2300,AE2309,AE2318)</t>
        </is>
      </c>
    </row>
    <row r="1809">
      <c r="A1809" s="14" t="n">
        <v>2329</v>
      </c>
      <c r="B1809" s="14" t="inlineStr">
        <is>
          <t>xcp</t>
        </is>
      </c>
      <c r="C1809" s="14" t="inlineStr">
        <is>
          <t>coa</t>
        </is>
      </c>
      <c r="D1809" s="14" t="inlineStr">
        <is>
          <t>mac</t>
        </is>
      </c>
      <c r="E1809" s="14" t="inlineStr">
        <is>
          <t>XCARBON</t>
        </is>
      </c>
      <c r="F1809" s="92" t="inlineStr">
        <is>
          <t>XCARBON($D2329,$E2329,AE$321,$F2329,AE$324)</t>
        </is>
      </c>
    </row>
    <row r="1810">
      <c r="A1810" s="14" t="n">
        <v>2330</v>
      </c>
      <c r="B1810" s="14" t="inlineStr">
        <is>
          <t>xcp</t>
        </is>
      </c>
      <c r="C1810" s="14" t="inlineStr">
        <is>
          <t>nga</t>
        </is>
      </c>
      <c r="D1810" s="14" t="inlineStr">
        <is>
          <t>mac</t>
        </is>
      </c>
      <c r="E1810" s="14" t="inlineStr">
        <is>
          <t>XCARBON</t>
        </is>
      </c>
      <c r="F1810" s="92" t="inlineStr">
        <is>
          <t>XCARBON($D2330,$E2330,AE$321,$F2330,AE$324)</t>
        </is>
      </c>
    </row>
    <row r="1811">
      <c r="A1811" s="14" t="n">
        <v>2331</v>
      </c>
      <c r="B1811" s="14" t="inlineStr">
        <is>
          <t>xcp</t>
        </is>
      </c>
      <c r="C1811" s="14" t="inlineStr">
        <is>
          <t>gso</t>
        </is>
      </c>
      <c r="D1811" s="14" t="inlineStr">
        <is>
          <t>mac</t>
        </is>
      </c>
      <c r="E1811" s="14" t="inlineStr">
        <is>
          <t>XCARBON</t>
        </is>
      </c>
      <c r="F1811" s="92" t="inlineStr">
        <is>
          <t>XCARBON($D2331,$E2331,AE$321,$F2331,AE$324)</t>
        </is>
      </c>
    </row>
    <row r="1812">
      <c r="A1812" s="14" t="n">
        <v>2332</v>
      </c>
      <c r="B1812" s="14" t="inlineStr">
        <is>
          <t>xcp</t>
        </is>
      </c>
      <c r="C1812" s="14" t="inlineStr">
        <is>
          <t>die</t>
        </is>
      </c>
      <c r="D1812" s="14" t="inlineStr">
        <is>
          <t>mac</t>
        </is>
      </c>
      <c r="E1812" s="14" t="inlineStr">
        <is>
          <t>XCARBON</t>
        </is>
      </c>
      <c r="F1812" s="92" t="inlineStr">
        <is>
          <t>XCARBON($D2332,$E2332,AE$321,$F2332,AE$324)</t>
        </is>
      </c>
    </row>
    <row r="1813">
      <c r="A1813" s="14" t="n">
        <v>2333</v>
      </c>
      <c r="B1813" s="14" t="inlineStr">
        <is>
          <t>xcp</t>
        </is>
      </c>
      <c r="C1813" s="14" t="inlineStr">
        <is>
          <t>lpg</t>
        </is>
      </c>
      <c r="D1813" s="14" t="inlineStr">
        <is>
          <t>mac</t>
        </is>
      </c>
      <c r="E1813" s="14" t="inlineStr">
        <is>
          <t>XCARBON</t>
        </is>
      </c>
      <c r="F1813" s="92" t="inlineStr">
        <is>
          <t>XCARBON($D2333,$E2333,AE$321,$F2333,AE$324)</t>
        </is>
      </c>
    </row>
    <row r="1814">
      <c r="A1814" s="14" t="n">
        <v>2334</v>
      </c>
      <c r="B1814" s="14" t="inlineStr">
        <is>
          <t>xcp</t>
        </is>
      </c>
      <c r="C1814" s="14" t="inlineStr">
        <is>
          <t>ker</t>
        </is>
      </c>
      <c r="D1814" s="14" t="inlineStr">
        <is>
          <t>mac</t>
        </is>
      </c>
      <c r="E1814" s="14" t="inlineStr">
        <is>
          <t>XCARBON</t>
        </is>
      </c>
      <c r="F1814" s="92" t="inlineStr">
        <is>
          <t>XCARBON($D2334,$E2334,AE$321,$F2334,AE$324)</t>
        </is>
      </c>
    </row>
    <row r="1815">
      <c r="A1815" s="14" t="n">
        <v>2335</v>
      </c>
      <c r="B1815" s="14" t="inlineStr">
        <is>
          <t>xcp</t>
        </is>
      </c>
      <c r="C1815" s="14" t="inlineStr">
        <is>
          <t>oop</t>
        </is>
      </c>
      <c r="D1815" s="14" t="inlineStr">
        <is>
          <t>mac</t>
        </is>
      </c>
      <c r="E1815" s="14" t="inlineStr">
        <is>
          <t>XCARBON</t>
        </is>
      </c>
      <c r="F1815" s="92" t="inlineStr">
        <is>
          <t>XCARBON($D2335,$E2335,AE$321,$F2335,AE$324)</t>
        </is>
      </c>
    </row>
    <row r="1816">
      <c r="A1816" s="14" t="n">
        <v>2336</v>
      </c>
      <c r="B1816" s="14" t="inlineStr">
        <is>
          <t>xcp</t>
        </is>
      </c>
      <c r="C1816" s="14" t="inlineStr">
        <is>
          <t>bio</t>
        </is>
      </c>
      <c r="D1816" s="14" t="inlineStr">
        <is>
          <t>mac</t>
        </is>
      </c>
      <c r="E1816" s="14" t="inlineStr">
        <is>
          <t>XCARBON</t>
        </is>
      </c>
      <c r="F1816" s="92" t="inlineStr">
        <is>
          <t>XCARBON($D2336,$E2336,AE$321,$F2336,AE$324)</t>
        </is>
      </c>
    </row>
    <row r="1817">
      <c r="A1817" s="14" t="n">
        <v>2338</v>
      </c>
      <c r="B1817" s="14" t="inlineStr">
        <is>
          <t>xcpd</t>
        </is>
      </c>
      <c r="C1817" s="14" t="inlineStr">
        <is>
          <t>coa</t>
        </is>
      </c>
      <c r="D1817" s="14" t="inlineStr">
        <is>
          <t>mac</t>
        </is>
      </c>
      <c r="E1817" s="14" t="inlineStr">
        <is>
          <t>XCARBON</t>
        </is>
      </c>
      <c r="F1817" s="92" t="inlineStr">
        <is>
          <t>XCARBON($D2338,$E2338,(AE$321-AE$322),$F2338,(AE$324-AE$325))</t>
        </is>
      </c>
    </row>
    <row r="1818">
      <c r="A1818" s="14" t="n">
        <v>2339</v>
      </c>
      <c r="B1818" s="14" t="inlineStr">
        <is>
          <t>xcpd</t>
        </is>
      </c>
      <c r="C1818" s="14" t="inlineStr">
        <is>
          <t>nga</t>
        </is>
      </c>
      <c r="D1818" s="14" t="inlineStr">
        <is>
          <t>mac</t>
        </is>
      </c>
      <c r="E1818" s="14" t="inlineStr">
        <is>
          <t>XCARBON</t>
        </is>
      </c>
      <c r="F1818" s="92" t="inlineStr">
        <is>
          <t>XCARBON($D2339,$E2339,(AE$321-AE$322),$F2339,(AE$324-AE$325))</t>
        </is>
      </c>
    </row>
    <row r="1819">
      <c r="A1819" s="14" t="n">
        <v>2340</v>
      </c>
      <c r="B1819" s="14" t="inlineStr">
        <is>
          <t>xcpd</t>
        </is>
      </c>
      <c r="C1819" s="14" t="inlineStr">
        <is>
          <t>gso</t>
        </is>
      </c>
      <c r="D1819" s="14" t="inlineStr">
        <is>
          <t>mac</t>
        </is>
      </c>
      <c r="E1819" s="14" t="inlineStr">
        <is>
          <t>XCARBON</t>
        </is>
      </c>
      <c r="F1819" s="92" t="inlineStr">
        <is>
          <t>XCARBON($D2340,$E2340,(AE$321-AE$322),$F2340,(AE$324-AE$325))</t>
        </is>
      </c>
    </row>
    <row r="1820">
      <c r="A1820" s="14" t="n">
        <v>2341</v>
      </c>
      <c r="B1820" s="14" t="inlineStr">
        <is>
          <t>xcpd</t>
        </is>
      </c>
      <c r="C1820" s="14" t="inlineStr">
        <is>
          <t>die</t>
        </is>
      </c>
      <c r="D1820" s="14" t="inlineStr">
        <is>
          <t>mac</t>
        </is>
      </c>
      <c r="E1820" s="14" t="inlineStr">
        <is>
          <t>XCARBON</t>
        </is>
      </c>
      <c r="F1820" s="92" t="inlineStr">
        <is>
          <t>XCARBON($D2341,$E2341,(AE$321-AE$322),$F2341,(AE$324-AE$325))</t>
        </is>
      </c>
    </row>
    <row r="1821">
      <c r="A1821" s="14" t="n">
        <v>2342</v>
      </c>
      <c r="B1821" s="14" t="inlineStr">
        <is>
          <t>xcpd</t>
        </is>
      </c>
      <c r="C1821" s="14" t="inlineStr">
        <is>
          <t>lpg</t>
        </is>
      </c>
      <c r="D1821" s="14" t="inlineStr">
        <is>
          <t>mac</t>
        </is>
      </c>
      <c r="E1821" s="14" t="inlineStr">
        <is>
          <t>XCARBON</t>
        </is>
      </c>
      <c r="F1821" s="92" t="inlineStr">
        <is>
          <t>XCARBON($D2342,$E2342,(AE$321-AE$322),$F2342,(AE$324-AE$325))</t>
        </is>
      </c>
    </row>
    <row r="1822">
      <c r="A1822" s="14" t="n">
        <v>2343</v>
      </c>
      <c r="B1822" s="14" t="inlineStr">
        <is>
          <t>xcpd</t>
        </is>
      </c>
      <c r="C1822" s="14" t="inlineStr">
        <is>
          <t>ker</t>
        </is>
      </c>
      <c r="D1822" s="14" t="inlineStr">
        <is>
          <t>mac</t>
        </is>
      </c>
      <c r="E1822" s="14" t="inlineStr">
        <is>
          <t>XCARBON</t>
        </is>
      </c>
      <c r="F1822" s="92" t="inlineStr">
        <is>
          <t>XCARBON($D2343,$E2343,(AE$321-AE$322),$F2343,(AE$324-AE$325))</t>
        </is>
      </c>
    </row>
    <row r="1823">
      <c r="A1823" s="14" t="n">
        <v>2344</v>
      </c>
      <c r="B1823" s="14" t="inlineStr">
        <is>
          <t>xcpd</t>
        </is>
      </c>
      <c r="C1823" s="14" t="inlineStr">
        <is>
          <t>oop</t>
        </is>
      </c>
      <c r="D1823" s="14" t="inlineStr">
        <is>
          <t>mac</t>
        </is>
      </c>
      <c r="E1823" s="14" t="inlineStr">
        <is>
          <t>XCARBON</t>
        </is>
      </c>
      <c r="F1823" s="92" t="inlineStr">
        <is>
          <t>XCARBON($D2344,$E2344,(AE$321-AE$322),$F2344,(AE$324-AE$325))</t>
        </is>
      </c>
    </row>
    <row r="1824">
      <c r="A1824" s="14" t="n">
        <v>2345</v>
      </c>
      <c r="B1824" s="14" t="inlineStr">
        <is>
          <t>xcpd</t>
        </is>
      </c>
      <c r="C1824" s="14" t="inlineStr">
        <is>
          <t>bio</t>
        </is>
      </c>
      <c r="D1824" s="14" t="inlineStr">
        <is>
          <t>mac</t>
        </is>
      </c>
      <c r="E1824" s="14" t="inlineStr">
        <is>
          <t>XCARBON</t>
        </is>
      </c>
      <c r="F1824" s="92" t="inlineStr">
        <is>
          <t>XCARBON($D2345,$E2345,(AE$321-AE$322),$F2345,(AE$324-AE$325))</t>
        </is>
      </c>
    </row>
    <row r="1825">
      <c r="A1825" s="14" t="n">
        <v>2347</v>
      </c>
      <c r="B1825" s="14" t="inlineStr">
        <is>
          <t>atp</t>
        </is>
      </c>
      <c r="C1825" s="14" t="inlineStr">
        <is>
          <t>coa</t>
        </is>
      </c>
      <c r="D1825" s="14" t="inlineStr">
        <is>
          <t>mac</t>
        </is>
      </c>
      <c r="E1825" s="14" t="inlineStr">
        <is>
          <t>POSTTAX</t>
        </is>
      </c>
      <c r="F1825" s="92" t="inlineStr">
        <is>
          <t>POSTTAX(INDEX(AE$381:AE$392,$D2347),AE2320+AE2338,$E2347)</t>
        </is>
      </c>
    </row>
    <row r="1826">
      <c r="A1826" s="14" t="n">
        <v>2348</v>
      </c>
      <c r="B1826" s="14" t="inlineStr">
        <is>
          <t>atp</t>
        </is>
      </c>
      <c r="C1826" s="14" t="inlineStr">
        <is>
          <t>nga</t>
        </is>
      </c>
      <c r="D1826" s="14" t="inlineStr">
        <is>
          <t>mac</t>
        </is>
      </c>
      <c r="E1826" s="14" t="inlineStr">
        <is>
          <t>POSTTAX</t>
        </is>
      </c>
      <c r="F1826" s="92" t="inlineStr">
        <is>
          <t>POSTTAX(INDEX(AE$381:AE$392,$D2348),AE2321+AE2339,$E2348)</t>
        </is>
      </c>
    </row>
    <row r="1827">
      <c r="A1827" s="14" t="n">
        <v>2349</v>
      </c>
      <c r="B1827" s="14" t="inlineStr">
        <is>
          <t>atp</t>
        </is>
      </c>
      <c r="C1827" s="14" t="inlineStr">
        <is>
          <t>gso</t>
        </is>
      </c>
      <c r="D1827" s="14" t="inlineStr">
        <is>
          <t>mac</t>
        </is>
      </c>
      <c r="E1827" s="14" t="inlineStr">
        <is>
          <t>POSTTAX</t>
        </is>
      </c>
      <c r="F1827" s="92" t="inlineStr">
        <is>
          <t>POSTTAX(INDEX(AE$381:AE$392,$D2349),AE2322+AE2340,$E2349)</t>
        </is>
      </c>
    </row>
    <row r="1828">
      <c r="A1828" s="14" t="n">
        <v>2350</v>
      </c>
      <c r="B1828" s="14" t="inlineStr">
        <is>
          <t>atp</t>
        </is>
      </c>
      <c r="C1828" s="14" t="inlineStr">
        <is>
          <t>die</t>
        </is>
      </c>
      <c r="D1828" s="14" t="inlineStr">
        <is>
          <t>mac</t>
        </is>
      </c>
      <c r="E1828" s="14" t="inlineStr">
        <is>
          <t>POSTTAX</t>
        </is>
      </c>
      <c r="F1828" s="92" t="inlineStr">
        <is>
          <t>POSTTAX(INDEX(AE$381:AE$392,$D2350),AE2323+AE2341,$E2350)</t>
        </is>
      </c>
    </row>
    <row r="1829">
      <c r="A1829" s="14" t="n">
        <v>2351</v>
      </c>
      <c r="B1829" s="14" t="inlineStr">
        <is>
          <t>atp</t>
        </is>
      </c>
      <c r="C1829" s="14" t="inlineStr">
        <is>
          <t>lpg</t>
        </is>
      </c>
      <c r="D1829" s="14" t="inlineStr">
        <is>
          <t>mac</t>
        </is>
      </c>
      <c r="E1829" s="14" t="inlineStr">
        <is>
          <t>POSTTAX</t>
        </is>
      </c>
      <c r="F1829" s="92" t="inlineStr">
        <is>
          <t>POSTTAX(INDEX(AE$381:AE$392,$D2351),AE2324+AE2342,$E2351)</t>
        </is>
      </c>
    </row>
    <row r="1830">
      <c r="A1830" s="14" t="n">
        <v>2352</v>
      </c>
      <c r="B1830" s="14" t="inlineStr">
        <is>
          <t>atp</t>
        </is>
      </c>
      <c r="C1830" s="14" t="inlineStr">
        <is>
          <t>ker</t>
        </is>
      </c>
      <c r="D1830" s="14" t="inlineStr">
        <is>
          <t>mac</t>
        </is>
      </c>
      <c r="E1830" s="14" t="inlineStr">
        <is>
          <t>POSTTAX</t>
        </is>
      </c>
      <c r="F1830" s="92" t="inlineStr">
        <is>
          <t>POSTTAX(INDEX(AE$381:AE$392,$D2352),AE2325+AE2343,$E2352)</t>
        </is>
      </c>
    </row>
    <row r="1831">
      <c r="A1831" s="14" t="n">
        <v>2353</v>
      </c>
      <c r="B1831" s="14" t="inlineStr">
        <is>
          <t>atp</t>
        </is>
      </c>
      <c r="C1831" s="14" t="inlineStr">
        <is>
          <t>oop</t>
        </is>
      </c>
      <c r="D1831" s="14" t="inlineStr">
        <is>
          <t>mac</t>
        </is>
      </c>
      <c r="E1831" s="14" t="inlineStr">
        <is>
          <t>POSTTAX</t>
        </is>
      </c>
      <c r="F1831" s="92" t="inlineStr">
        <is>
          <t>POSTTAX(INDEX(AE$381:AE$392,$D2353),AE2326+AE2344,$E2353)</t>
        </is>
      </c>
    </row>
    <row r="1832">
      <c r="A1832" s="14" t="n">
        <v>2354</v>
      </c>
      <c r="B1832" s="14" t="inlineStr">
        <is>
          <t>atp</t>
        </is>
      </c>
      <c r="C1832" s="14" t="inlineStr">
        <is>
          <t>bio</t>
        </is>
      </c>
      <c r="D1832" s="14" t="inlineStr">
        <is>
          <t>mac</t>
        </is>
      </c>
      <c r="E1832" s="14" t="inlineStr">
        <is>
          <t>POSTTAX</t>
        </is>
      </c>
      <c r="F1832" s="92" t="inlineStr">
        <is>
          <t>POSTTAX(INDEX(AE$381:AE$392,$D2354),AE2327+AE2345,$E2354)</t>
        </is>
      </c>
    </row>
    <row r="1833">
      <c r="A1833" s="14" t="n">
        <v>2356</v>
      </c>
      <c r="B1833" s="14" t="inlineStr">
        <is>
          <t>shp</t>
        </is>
      </c>
      <c r="C1833" s="14" t="inlineStr">
        <is>
          <t>coa</t>
        </is>
      </c>
      <c r="D1833" s="14" t="inlineStr">
        <is>
          <t>mac</t>
        </is>
      </c>
      <c r="E1833" s="14" t="inlineStr">
        <is>
          <t>SHADOWGJ</t>
        </is>
      </c>
      <c r="F1833" s="92" t="inlineStr">
        <is>
          <t>SHADOWGJ(INDEX(AE$297:AE$313,$E2356),$D2356)</t>
        </is>
      </c>
    </row>
    <row r="1834">
      <c r="A1834" s="14" t="n">
        <v>2357</v>
      </c>
      <c r="B1834" s="14" t="inlineStr">
        <is>
          <t>shp</t>
        </is>
      </c>
      <c r="C1834" s="14" t="inlineStr">
        <is>
          <t>nga</t>
        </is>
      </c>
      <c r="D1834" s="14" t="inlineStr">
        <is>
          <t>mac</t>
        </is>
      </c>
      <c r="E1834" s="14" t="inlineStr">
        <is>
          <t>SHADOWGJ</t>
        </is>
      </c>
      <c r="F1834" s="92" t="inlineStr">
        <is>
          <t>SHADOWGJ(INDEX(AE$297:AE$313,$E2357),$D2357)</t>
        </is>
      </c>
    </row>
    <row r="1835">
      <c r="A1835" s="14" t="n">
        <v>2358</v>
      </c>
      <c r="B1835" s="14" t="inlineStr">
        <is>
          <t>shp</t>
        </is>
      </c>
      <c r="C1835" s="14" t="inlineStr">
        <is>
          <t>gso</t>
        </is>
      </c>
      <c r="D1835" s="14" t="inlineStr">
        <is>
          <t>mac</t>
        </is>
      </c>
      <c r="E1835" s="14" t="inlineStr">
        <is>
          <t>SHADOWGJ</t>
        </is>
      </c>
      <c r="F1835" s="92" t="inlineStr">
        <is>
          <t>SHADOWGJ(INDEX(AE$297:AE$313,$E2358),$D2358)</t>
        </is>
      </c>
    </row>
    <row r="1836">
      <c r="A1836" s="14" t="n">
        <v>2359</v>
      </c>
      <c r="B1836" s="14" t="inlineStr">
        <is>
          <t>shp</t>
        </is>
      </c>
      <c r="C1836" s="14" t="inlineStr">
        <is>
          <t>die</t>
        </is>
      </c>
      <c r="D1836" s="14" t="inlineStr">
        <is>
          <t>mac</t>
        </is>
      </c>
      <c r="E1836" s="14" t="inlineStr">
        <is>
          <t>SHADOWGJ</t>
        </is>
      </c>
      <c r="F1836" s="92" t="inlineStr">
        <is>
          <t>SHADOWGJ(INDEX(AE$297:AE$313,$E2359),$D2359)</t>
        </is>
      </c>
    </row>
    <row r="1837">
      <c r="A1837" s="14" t="n">
        <v>2360</v>
      </c>
      <c r="B1837" s="14" t="inlineStr">
        <is>
          <t>shp</t>
        </is>
      </c>
      <c r="C1837" s="14" t="inlineStr">
        <is>
          <t>lpg</t>
        </is>
      </c>
      <c r="D1837" s="14" t="inlineStr">
        <is>
          <t>mac</t>
        </is>
      </c>
      <c r="E1837" s="14" t="inlineStr">
        <is>
          <t>SHADOWGJ</t>
        </is>
      </c>
      <c r="F1837" s="92" t="inlineStr">
        <is>
          <t>SHADOWGJ(INDEX(AE$297:AE$313,$E2360),$D2360)</t>
        </is>
      </c>
    </row>
    <row r="1838">
      <c r="A1838" s="14" t="n">
        <v>2361</v>
      </c>
      <c r="B1838" s="14" t="inlineStr">
        <is>
          <t>shp</t>
        </is>
      </c>
      <c r="C1838" s="14" t="inlineStr">
        <is>
          <t>ker</t>
        </is>
      </c>
      <c r="D1838" s="14" t="inlineStr">
        <is>
          <t>mac</t>
        </is>
      </c>
      <c r="E1838" s="14" t="inlineStr">
        <is>
          <t>SHADOWGJ</t>
        </is>
      </c>
      <c r="F1838" s="92" t="inlineStr">
        <is>
          <t>SHADOWGJ(INDEX(AE$297:AE$313,$E2361),$D2361)</t>
        </is>
      </c>
    </row>
    <row r="1839">
      <c r="A1839" s="14" t="n">
        <v>2362</v>
      </c>
      <c r="B1839" s="14" t="inlineStr">
        <is>
          <t>shp</t>
        </is>
      </c>
      <c r="C1839" s="14" t="inlineStr">
        <is>
          <t>oop</t>
        </is>
      </c>
      <c r="D1839" s="14" t="inlineStr">
        <is>
          <t>mac</t>
        </is>
      </c>
      <c r="E1839" s="14" t="inlineStr">
        <is>
          <t>SHADOWGJ</t>
        </is>
      </c>
      <c r="F1839" s="92" t="inlineStr">
        <is>
          <t>SHADOWGJ(INDEX(AE$297:AE$313,$E2362),$D2362)</t>
        </is>
      </c>
    </row>
    <row r="1840">
      <c r="A1840" s="14" t="n">
        <v>2363</v>
      </c>
      <c r="B1840" s="14" t="inlineStr">
        <is>
          <t>shp</t>
        </is>
      </c>
      <c r="C1840" s="14" t="inlineStr">
        <is>
          <t>bio</t>
        </is>
      </c>
      <c r="D1840" s="14" t="inlineStr">
        <is>
          <t>mac</t>
        </is>
      </c>
      <c r="E1840" s="14" t="inlineStr">
        <is>
          <t>SHADOWGJ</t>
        </is>
      </c>
      <c r="F1840" s="92" t="inlineStr">
        <is>
          <t>SHADOWGJ(INDEX(AE$297:AE$313,$E2363),$D2363)</t>
        </is>
      </c>
    </row>
    <row r="1841">
      <c r="A1841" s="14" t="n">
        <v>2365</v>
      </c>
      <c r="B1841" s="14" t="inlineStr">
        <is>
          <t>ener</t>
        </is>
      </c>
      <c r="C1841" s="14" t="inlineStr">
        <is>
          <t>coa</t>
        </is>
      </c>
      <c r="D1841" s="14" t="inlineStr">
        <is>
          <t>mac</t>
        </is>
      </c>
      <c r="E1841" s="14" t="inlineStr">
        <is>
          <t>FUELUSE</t>
        </is>
      </c>
      <c r="F1841" s="92" t="inlineStr">
        <is>
          <t>FUELUSE(AD2365,AE2347,AD2347,AE2356,AD2356,AE$7,$D2365,$E2365,$F2365,$G2365)</t>
        </is>
      </c>
    </row>
    <row r="1842">
      <c r="A1842" s="14" t="n">
        <v>2366</v>
      </c>
      <c r="B1842" s="14" t="inlineStr">
        <is>
          <t>ener</t>
        </is>
      </c>
      <c r="C1842" s="14" t="inlineStr">
        <is>
          <t>nga</t>
        </is>
      </c>
      <c r="D1842" s="14" t="inlineStr">
        <is>
          <t>mac</t>
        </is>
      </c>
      <c r="E1842" s="14" t="inlineStr">
        <is>
          <t>FUELUSE</t>
        </is>
      </c>
      <c r="F1842" s="92" t="inlineStr">
        <is>
          <t>FUELUSE(AD2366,AE2348,AD2348,AE2357,AD2357,AE$7,$D2366,$E2366,$F2366,$G2366)</t>
        </is>
      </c>
    </row>
    <row r="1843">
      <c r="A1843" s="14" t="n">
        <v>2367</v>
      </c>
      <c r="B1843" s="14" t="inlineStr">
        <is>
          <t>ener</t>
        </is>
      </c>
      <c r="C1843" s="14" t="inlineStr">
        <is>
          <t>gso</t>
        </is>
      </c>
      <c r="D1843" s="14" t="inlineStr">
        <is>
          <t>mac</t>
        </is>
      </c>
      <c r="E1843" s="14" t="inlineStr">
        <is>
          <t>FUELUSE</t>
        </is>
      </c>
      <c r="F1843" s="92" t="inlineStr">
        <is>
          <t>FUELUSE(AD2367,AE2349,AD2349,AE2358,AD2358,AE$7,$D2367,$E2367,$F2367,$G2367)</t>
        </is>
      </c>
    </row>
    <row r="1844">
      <c r="A1844" s="14" t="n">
        <v>2368</v>
      </c>
      <c r="B1844" s="14" t="inlineStr">
        <is>
          <t>ener</t>
        </is>
      </c>
      <c r="C1844" s="14" t="inlineStr">
        <is>
          <t>die</t>
        </is>
      </c>
      <c r="D1844" s="14" t="inlineStr">
        <is>
          <t>mac</t>
        </is>
      </c>
      <c r="E1844" s="14" t="inlineStr">
        <is>
          <t>FUELUSE</t>
        </is>
      </c>
      <c r="F1844" s="92" t="inlineStr">
        <is>
          <t>FUELUSE(AD2368,AE2350,AD2350,AE2359,AD2359,AE$7,$D2368,$E2368,$F2368,$G2368)</t>
        </is>
      </c>
    </row>
    <row r="1845">
      <c r="A1845" s="14" t="n">
        <v>2369</v>
      </c>
      <c r="B1845" s="14" t="inlineStr">
        <is>
          <t>ener</t>
        </is>
      </c>
      <c r="C1845" s="14" t="inlineStr">
        <is>
          <t>lpg</t>
        </is>
      </c>
      <c r="D1845" s="14" t="inlineStr">
        <is>
          <t>mac</t>
        </is>
      </c>
      <c r="E1845" s="14" t="inlineStr">
        <is>
          <t>FUELUSE</t>
        </is>
      </c>
      <c r="F1845" s="92" t="inlineStr">
        <is>
          <t>FUELUSE(AD2369,AE2351,AD2351,AE2360,AD2360,AE$7,$D2369,$E2369,$F2369,$G2369)</t>
        </is>
      </c>
    </row>
    <row r="1846">
      <c r="A1846" s="14" t="n">
        <v>2370</v>
      </c>
      <c r="B1846" s="14" t="inlineStr">
        <is>
          <t>ener</t>
        </is>
      </c>
      <c r="C1846" s="14" t="inlineStr">
        <is>
          <t>ker</t>
        </is>
      </c>
      <c r="D1846" s="14" t="inlineStr">
        <is>
          <t>mac</t>
        </is>
      </c>
      <c r="E1846" s="14" t="inlineStr">
        <is>
          <t>FUELUSE</t>
        </is>
      </c>
      <c r="F1846" s="92" t="inlineStr">
        <is>
          <t>FUELUSE(AD2370,AE2352,AD2352,AE2361,AD2361,AE$7,$D2370,$E2370,$F2370,$G2370)</t>
        </is>
      </c>
    </row>
    <row r="1847">
      <c r="A1847" s="14" t="n">
        <v>2371</v>
      </c>
      <c r="B1847" s="14" t="inlineStr">
        <is>
          <t>ener</t>
        </is>
      </c>
      <c r="C1847" s="14" t="inlineStr">
        <is>
          <t>oop</t>
        </is>
      </c>
      <c r="D1847" s="14" t="inlineStr">
        <is>
          <t>mac</t>
        </is>
      </c>
      <c r="E1847" s="14" t="inlineStr">
        <is>
          <t>FUELUSE</t>
        </is>
      </c>
      <c r="F1847" s="92" t="inlineStr">
        <is>
          <t>FUELUSE(AD2371,AE2353,AD2353,AE2362,AD2362,AE$7,$D2371,$E2371,$F2371,$G2371)</t>
        </is>
      </c>
    </row>
    <row r="1848">
      <c r="A1848" s="14" t="n">
        <v>2372</v>
      </c>
      <c r="B1848" s="14" t="inlineStr">
        <is>
          <t>ener</t>
        </is>
      </c>
      <c r="C1848" s="14" t="inlineStr">
        <is>
          <t>bio</t>
        </is>
      </c>
      <c r="D1848" s="14" t="inlineStr">
        <is>
          <t>mac</t>
        </is>
      </c>
      <c r="E1848" s="14" t="inlineStr">
        <is>
          <t>FUELUSE</t>
        </is>
      </c>
      <c r="F1848" s="92" t="inlineStr">
        <is>
          <t>FUELUSE(AD2372,AE2354,AD2354,AE2363,AD2363,AE$7,$D2372,$E2372,$F2372,$G2372)</t>
        </is>
      </c>
    </row>
    <row r="1849">
      <c r="A1849" s="14" t="n">
        <v>2374</v>
      </c>
      <c r="B1849" s="14" t="inlineStr">
        <is>
          <t>co2</t>
        </is>
      </c>
      <c r="C1849" s="14" t="inlineStr">
        <is>
          <t>coa</t>
        </is>
      </c>
      <c r="D1849" s="14" t="inlineStr">
        <is>
          <t>mac</t>
        </is>
      </c>
      <c r="E1849" s="14" t="inlineStr">
        <is>
          <t>EMISSIONS</t>
        </is>
      </c>
      <c r="F1849" s="92" t="inlineStr">
        <is>
          <t>EMISSIONS(AE2365,Settings!$C$13,$D2374)</t>
        </is>
      </c>
    </row>
    <row r="1850">
      <c r="A1850" s="14" t="n">
        <v>2375</v>
      </c>
      <c r="B1850" s="14" t="inlineStr">
        <is>
          <t>co2</t>
        </is>
      </c>
      <c r="C1850" s="14" t="inlineStr">
        <is>
          <t>nga</t>
        </is>
      </c>
      <c r="D1850" s="14" t="inlineStr">
        <is>
          <t>mac</t>
        </is>
      </c>
      <c r="E1850" s="14" t="inlineStr">
        <is>
          <t>EMISSIONS</t>
        </is>
      </c>
      <c r="F1850" s="92" t="inlineStr">
        <is>
          <t>EMISSIONS(AE2366,Settings!$C$13,$D2375)</t>
        </is>
      </c>
    </row>
    <row r="1851">
      <c r="A1851" s="14" t="n">
        <v>2376</v>
      </c>
      <c r="B1851" s="14" t="inlineStr">
        <is>
          <t>co2</t>
        </is>
      </c>
      <c r="C1851" s="14" t="inlineStr">
        <is>
          <t>gso</t>
        </is>
      </c>
      <c r="D1851" s="14" t="inlineStr">
        <is>
          <t>mac</t>
        </is>
      </c>
      <c r="E1851" s="14" t="inlineStr">
        <is>
          <t>EMISSIONS</t>
        </is>
      </c>
      <c r="F1851" s="92" t="inlineStr">
        <is>
          <t>EMISSIONS(AE2367,Settings!$C$13,$D2376)</t>
        </is>
      </c>
    </row>
    <row r="1852">
      <c r="A1852" s="14" t="n">
        <v>2377</v>
      </c>
      <c r="B1852" s="14" t="inlineStr">
        <is>
          <t>co2</t>
        </is>
      </c>
      <c r="C1852" s="14" t="inlineStr">
        <is>
          <t>die</t>
        </is>
      </c>
      <c r="D1852" s="14" t="inlineStr">
        <is>
          <t>mac</t>
        </is>
      </c>
      <c r="E1852" s="14" t="inlineStr">
        <is>
          <t>EMISSIONS</t>
        </is>
      </c>
      <c r="F1852" s="92" t="inlineStr">
        <is>
          <t>EMISSIONS(AE2368,Settings!$C$13,$D2377)</t>
        </is>
      </c>
    </row>
    <row r="1853">
      <c r="A1853" s="14" t="n">
        <v>2378</v>
      </c>
      <c r="B1853" s="14" t="inlineStr">
        <is>
          <t>co2</t>
        </is>
      </c>
      <c r="C1853" s="14" t="inlineStr">
        <is>
          <t>lpg</t>
        </is>
      </c>
      <c r="D1853" s="14" t="inlineStr">
        <is>
          <t>mac</t>
        </is>
      </c>
      <c r="E1853" s="14" t="inlineStr">
        <is>
          <t>EMISSIONS</t>
        </is>
      </c>
      <c r="F1853" s="92" t="inlineStr">
        <is>
          <t>EMISSIONS(AE2369,Settings!$C$13,$D2378)</t>
        </is>
      </c>
    </row>
    <row r="1854">
      <c r="A1854" s="14" t="n">
        <v>2379</v>
      </c>
      <c r="B1854" s="14" t="inlineStr">
        <is>
          <t>co2</t>
        </is>
      </c>
      <c r="C1854" s="14" t="inlineStr">
        <is>
          <t>ker</t>
        </is>
      </c>
      <c r="D1854" s="14" t="inlineStr">
        <is>
          <t>mac</t>
        </is>
      </c>
      <c r="E1854" s="14" t="inlineStr">
        <is>
          <t>EMISSIONS</t>
        </is>
      </c>
      <c r="F1854" s="92" t="inlineStr">
        <is>
          <t>EMISSIONS(AE2370,Settings!$C$13,$D2379)</t>
        </is>
      </c>
    </row>
    <row r="1855">
      <c r="A1855" s="14" t="n">
        <v>2380</v>
      </c>
      <c r="B1855" s="14" t="inlineStr">
        <is>
          <t>co2</t>
        </is>
      </c>
      <c r="C1855" s="14" t="inlineStr">
        <is>
          <t>oop</t>
        </is>
      </c>
      <c r="D1855" s="14" t="inlineStr">
        <is>
          <t>mac</t>
        </is>
      </c>
      <c r="E1855" s="14" t="inlineStr">
        <is>
          <t>EMISSIONS</t>
        </is>
      </c>
      <c r="F1855" s="92" t="inlineStr">
        <is>
          <t>EMISSIONS(AE2371,Settings!$C$13,$D2380)</t>
        </is>
      </c>
    </row>
    <row r="1856">
      <c r="A1856" s="14" t="n">
        <v>2381</v>
      </c>
      <c r="B1856" s="14" t="inlineStr">
        <is>
          <t>co2</t>
        </is>
      </c>
      <c r="C1856" s="14" t="inlineStr">
        <is>
          <t>bio</t>
        </is>
      </c>
      <c r="D1856" s="14" t="inlineStr">
        <is>
          <t>mac</t>
        </is>
      </c>
      <c r="E1856" s="14" t="inlineStr">
        <is>
          <t>EMISSIONS</t>
        </is>
      </c>
      <c r="F1856" s="92" t="inlineStr">
        <is>
          <t>EMISSIONS(AE2372,Settings!$C$13,$D2381)</t>
        </is>
      </c>
    </row>
    <row r="1857">
      <c r="A1857" s="14" t="n">
        <v>2383</v>
      </c>
      <c r="B1857" s="14" t="inlineStr">
        <is>
          <t>rtx</t>
        </is>
      </c>
      <c r="C1857" s="14" t="inlineStr">
        <is>
          <t>coa</t>
        </is>
      </c>
      <c r="D1857" s="14" t="inlineStr">
        <is>
          <t>mac</t>
        </is>
      </c>
      <c r="E1857" s="14" t="inlineStr">
        <is>
          <t>REVENUE</t>
        </is>
      </c>
      <c r="F1857" s="92" t="inlineStr">
        <is>
          <t>REVENUE(AE2365,Settings!$C$13,INDEX(AE$407:AE$418,$D2383)+INDEX(AE$394:AE$405,$D2383)+AE2338*(1+$E2383))</t>
        </is>
      </c>
    </row>
    <row r="1858">
      <c r="A1858" s="14" t="n">
        <v>2384</v>
      </c>
      <c r="B1858" s="14" t="inlineStr">
        <is>
          <t>rtx</t>
        </is>
      </c>
      <c r="C1858" s="14" t="inlineStr">
        <is>
          <t>nga</t>
        </is>
      </c>
      <c r="D1858" s="14" t="inlineStr">
        <is>
          <t>mac</t>
        </is>
      </c>
      <c r="E1858" s="14" t="inlineStr">
        <is>
          <t>REVENUE</t>
        </is>
      </c>
      <c r="F1858" s="92" t="inlineStr">
        <is>
          <t>REVENUE(AE2366,Settings!$C$13,INDEX(AE$407:AE$418,$D2384)+INDEX(AE$394:AE$405,$D2384)+AE2339*(1+$E2384))</t>
        </is>
      </c>
    </row>
    <row r="1859">
      <c r="A1859" s="14" t="n">
        <v>2385</v>
      </c>
      <c r="B1859" s="14" t="inlineStr">
        <is>
          <t>rtx</t>
        </is>
      </c>
      <c r="C1859" s="14" t="inlineStr">
        <is>
          <t>gso</t>
        </is>
      </c>
      <c r="D1859" s="14" t="inlineStr">
        <is>
          <t>mac</t>
        </is>
      </c>
      <c r="E1859" s="14" t="inlineStr">
        <is>
          <t>REVENUE</t>
        </is>
      </c>
      <c r="F1859" s="92" t="inlineStr">
        <is>
          <t>REVENUE(AE2367,Settings!$C$13,INDEX(AE$407:AE$418,$D2385)+INDEX(AE$394:AE$405,$D2385)+AE2340*(1+$E2385))</t>
        </is>
      </c>
    </row>
    <row r="1860">
      <c r="A1860" s="14" t="n">
        <v>2386</v>
      </c>
      <c r="B1860" s="14" t="inlineStr">
        <is>
          <t>rtx</t>
        </is>
      </c>
      <c r="C1860" s="14" t="inlineStr">
        <is>
          <t>die</t>
        </is>
      </c>
      <c r="D1860" s="14" t="inlineStr">
        <is>
          <t>mac</t>
        </is>
      </c>
      <c r="E1860" s="14" t="inlineStr">
        <is>
          <t>REVENUE</t>
        </is>
      </c>
      <c r="F1860" s="92" t="inlineStr">
        <is>
          <t>REVENUE(AE2368,Settings!$C$13,INDEX(AE$407:AE$418,$D2386)+INDEX(AE$394:AE$405,$D2386)+AE2341*(1+$E2386))</t>
        </is>
      </c>
    </row>
    <row r="1861">
      <c r="A1861" s="14" t="n">
        <v>2387</v>
      </c>
      <c r="B1861" s="14" t="inlineStr">
        <is>
          <t>rtx</t>
        </is>
      </c>
      <c r="C1861" s="14" t="inlineStr">
        <is>
          <t>lpg</t>
        </is>
      </c>
      <c r="D1861" s="14" t="inlineStr">
        <is>
          <t>mac</t>
        </is>
      </c>
      <c r="E1861" s="14" t="inlineStr">
        <is>
          <t>REVENUE</t>
        </is>
      </c>
      <c r="F1861" s="92" t="inlineStr">
        <is>
          <t>REVENUE(AE2369,Settings!$C$13,INDEX(AE$407:AE$418,$D2387)+INDEX(AE$394:AE$405,$D2387)+AE2342*(1+$E2387))</t>
        </is>
      </c>
    </row>
    <row r="1862">
      <c r="A1862" s="14" t="n">
        <v>2388</v>
      </c>
      <c r="B1862" s="14" t="inlineStr">
        <is>
          <t>rtx</t>
        </is>
      </c>
      <c r="C1862" s="14" t="inlineStr">
        <is>
          <t>ker</t>
        </is>
      </c>
      <c r="D1862" s="14" t="inlineStr">
        <is>
          <t>mac</t>
        </is>
      </c>
      <c r="E1862" s="14" t="inlineStr">
        <is>
          <t>REVENUE</t>
        </is>
      </c>
      <c r="F1862" s="92" t="inlineStr">
        <is>
          <t>REVENUE(AE2370,Settings!$C$13,INDEX(AE$407:AE$418,$D2388)+INDEX(AE$394:AE$405,$D2388)+AE2343*(1+$E2388))</t>
        </is>
      </c>
    </row>
    <row r="1863">
      <c r="A1863" s="14" t="n">
        <v>2389</v>
      </c>
      <c r="B1863" s="14" t="inlineStr">
        <is>
          <t>rtx</t>
        </is>
      </c>
      <c r="C1863" s="14" t="inlineStr">
        <is>
          <t>oop</t>
        </is>
      </c>
      <c r="D1863" s="14" t="inlineStr">
        <is>
          <t>mac</t>
        </is>
      </c>
      <c r="E1863" s="14" t="inlineStr">
        <is>
          <t>REVENUE</t>
        </is>
      </c>
      <c r="F1863" s="92" t="inlineStr">
        <is>
          <t>REVENUE(AE2371,Settings!$C$13,INDEX(AE$407:AE$418,$D2389)+INDEX(AE$394:AE$405,$D2389)+AE2344*(1+$E2389))</t>
        </is>
      </c>
    </row>
    <row r="1864">
      <c r="A1864" s="14" t="n">
        <v>2390</v>
      </c>
      <c r="B1864" s="14" t="inlineStr">
        <is>
          <t>rtx</t>
        </is>
      </c>
      <c r="C1864" s="14" t="inlineStr">
        <is>
          <t>bio</t>
        </is>
      </c>
      <c r="D1864" s="14" t="inlineStr">
        <is>
          <t>mac</t>
        </is>
      </c>
      <c r="E1864" s="14" t="inlineStr">
        <is>
          <t>REVENUE</t>
        </is>
      </c>
      <c r="F1864" s="92" t="inlineStr">
        <is>
          <t>REVENUE(AE2372,Settings!$C$13,INDEX(AE$407:AE$418,$D2390)+INDEX(AE$394:AE$405,$D2390)+AE2345*(1+$E2390))</t>
        </is>
      </c>
    </row>
    <row r="1865">
      <c r="A1865" s="14" t="n">
        <v>2392</v>
      </c>
      <c r="B1865" s="14" t="inlineStr">
        <is>
          <t>rsub</t>
        </is>
      </c>
      <c r="C1865" s="14" t="inlineStr">
        <is>
          <t>coa</t>
        </is>
      </c>
      <c r="D1865" s="14" t="inlineStr">
        <is>
          <t>mac</t>
        </is>
      </c>
      <c r="E1865" s="14" t="inlineStr">
        <is>
          <t>REVENUE</t>
        </is>
      </c>
      <c r="F1865" s="92" t="inlineStr">
        <is>
          <t>REVENUE(AE2365,Settings!$C$13,INDEX(AE$420:AE$431,$D2392))</t>
        </is>
      </c>
    </row>
    <row r="1866">
      <c r="A1866" s="14" t="n">
        <v>2393</v>
      </c>
      <c r="B1866" s="14" t="inlineStr">
        <is>
          <t>rsub</t>
        </is>
      </c>
      <c r="C1866" s="14" t="inlineStr">
        <is>
          <t>nga</t>
        </is>
      </c>
      <c r="D1866" s="14" t="inlineStr">
        <is>
          <t>mac</t>
        </is>
      </c>
      <c r="E1866" s="14" t="inlineStr">
        <is>
          <t>REVENUE</t>
        </is>
      </c>
      <c r="F1866" s="92" t="inlineStr">
        <is>
          <t>REVENUE(AE2366,Settings!$C$13,INDEX(AE$420:AE$431,$D2393))</t>
        </is>
      </c>
    </row>
    <row r="1867">
      <c r="A1867" s="14" t="n">
        <v>2394</v>
      </c>
      <c r="B1867" s="14" t="inlineStr">
        <is>
          <t>rsub</t>
        </is>
      </c>
      <c r="C1867" s="14" t="inlineStr">
        <is>
          <t>gso</t>
        </is>
      </c>
      <c r="D1867" s="14" t="inlineStr">
        <is>
          <t>mac</t>
        </is>
      </c>
      <c r="E1867" s="14" t="inlineStr">
        <is>
          <t>REVENUE</t>
        </is>
      </c>
      <c r="F1867" s="92" t="inlineStr">
        <is>
          <t>REVENUE(AE2367,Settings!$C$13,INDEX(AE$420:AE$431,$D2394))</t>
        </is>
      </c>
    </row>
    <row r="1868">
      <c r="A1868" s="14" t="n">
        <v>2395</v>
      </c>
      <c r="B1868" s="14" t="inlineStr">
        <is>
          <t>rsub</t>
        </is>
      </c>
      <c r="C1868" s="14" t="inlineStr">
        <is>
          <t>die</t>
        </is>
      </c>
      <c r="D1868" s="14" t="inlineStr">
        <is>
          <t>mac</t>
        </is>
      </c>
      <c r="E1868" s="14" t="inlineStr">
        <is>
          <t>REVENUE</t>
        </is>
      </c>
      <c r="F1868" s="92" t="inlineStr">
        <is>
          <t>REVENUE(AE2368,Settings!$C$13,INDEX(AE$420:AE$431,$D2395))</t>
        </is>
      </c>
    </row>
    <row r="1869">
      <c r="A1869" s="14" t="n">
        <v>2396</v>
      </c>
      <c r="B1869" s="14" t="inlineStr">
        <is>
          <t>rsub</t>
        </is>
      </c>
      <c r="C1869" s="14" t="inlineStr">
        <is>
          <t>lpg</t>
        </is>
      </c>
      <c r="D1869" s="14" t="inlineStr">
        <is>
          <t>mac</t>
        </is>
      </c>
      <c r="E1869" s="14" t="inlineStr">
        <is>
          <t>REVENUE</t>
        </is>
      </c>
      <c r="F1869" s="92" t="inlineStr">
        <is>
          <t>REVENUE(AE2369,Settings!$C$13,INDEX(AE$420:AE$431,$D2396))</t>
        </is>
      </c>
    </row>
    <row r="1870">
      <c r="A1870" s="14" t="n">
        <v>2397</v>
      </c>
      <c r="B1870" s="14" t="inlineStr">
        <is>
          <t>rsub</t>
        </is>
      </c>
      <c r="C1870" s="14" t="inlineStr">
        <is>
          <t>ker</t>
        </is>
      </c>
      <c r="D1870" s="14" t="inlineStr">
        <is>
          <t>mac</t>
        </is>
      </c>
      <c r="E1870" s="14" t="inlineStr">
        <is>
          <t>REVENUE</t>
        </is>
      </c>
      <c r="F1870" s="92" t="inlineStr">
        <is>
          <t>REVENUE(AE2370,Settings!$C$13,INDEX(AE$420:AE$431,$D2397))</t>
        </is>
      </c>
    </row>
    <row r="1871">
      <c r="A1871" s="14" t="n">
        <v>2398</v>
      </c>
      <c r="B1871" s="14" t="inlineStr">
        <is>
          <t>rsub</t>
        </is>
      </c>
      <c r="C1871" s="14" t="inlineStr">
        <is>
          <t>oop</t>
        </is>
      </c>
      <c r="D1871" s="14" t="inlineStr">
        <is>
          <t>mac</t>
        </is>
      </c>
      <c r="E1871" s="14" t="inlineStr">
        <is>
          <t>REVENUE</t>
        </is>
      </c>
      <c r="F1871" s="92" t="inlineStr">
        <is>
          <t>REVENUE(AE2371,Settings!$C$13,INDEX(AE$420:AE$431,$D2398))</t>
        </is>
      </c>
    </row>
    <row r="1872">
      <c r="A1872" s="14" t="n">
        <v>2399</v>
      </c>
      <c r="B1872" s="14" t="inlineStr">
        <is>
          <t>rsub</t>
        </is>
      </c>
      <c r="C1872" s="14" t="inlineStr">
        <is>
          <t>bio</t>
        </is>
      </c>
      <c r="D1872" s="14" t="inlineStr">
        <is>
          <t>mac</t>
        </is>
      </c>
      <c r="E1872" s="14" t="inlineStr">
        <is>
          <t>REVENUE</t>
        </is>
      </c>
      <c r="F1872" s="92" t="inlineStr">
        <is>
          <t>REVENUE(AE2372,Settings!$C$13,INDEX(AE$420:AE$431,$D2399))</t>
        </is>
      </c>
    </row>
    <row r="1873">
      <c r="A1873" s="14" t="n">
        <v>2401</v>
      </c>
      <c r="B1873" s="14" t="inlineStr">
        <is>
          <t>rnew</t>
        </is>
      </c>
      <c r="C1873" s="14" t="inlineStr">
        <is>
          <t>coa</t>
        </is>
      </c>
      <c r="D1873" s="14" t="inlineStr">
        <is>
          <t>mac</t>
        </is>
      </c>
      <c r="E1873" s="14" t="inlineStr">
        <is>
          <t>REVENUE</t>
        </is>
      </c>
      <c r="F1873" s="92" t="inlineStr">
        <is>
          <t>REVENUE(AE2365,Settings!$C$13,NEWREVRATE(AE2293,AE2311,AE2302,AE$201,AE2320,$D2401))</t>
        </is>
      </c>
    </row>
    <row r="1874">
      <c r="A1874" s="14" t="n">
        <v>2402</v>
      </c>
      <c r="B1874" s="14" t="inlineStr">
        <is>
          <t>rnew</t>
        </is>
      </c>
      <c r="C1874" s="14" t="inlineStr">
        <is>
          <t>nga</t>
        </is>
      </c>
      <c r="D1874" s="14" t="inlineStr">
        <is>
          <t>mac</t>
        </is>
      </c>
      <c r="E1874" s="14" t="inlineStr">
        <is>
          <t>REVENUE</t>
        </is>
      </c>
      <c r="F1874" s="92" t="inlineStr">
        <is>
          <t>REVENUE(AE2366,Settings!$C$13,NEWREVRATE(AE2294,AE2312,AE2303,AE$201,AE2321,$D2402))</t>
        </is>
      </c>
    </row>
    <row r="1875">
      <c r="A1875" s="14" t="n">
        <v>2403</v>
      </c>
      <c r="B1875" s="14" t="inlineStr">
        <is>
          <t>rnew</t>
        </is>
      </c>
      <c r="C1875" s="14" t="inlineStr">
        <is>
          <t>gso</t>
        </is>
      </c>
      <c r="D1875" s="14" t="inlineStr">
        <is>
          <t>mac</t>
        </is>
      </c>
      <c r="E1875" s="14" t="inlineStr">
        <is>
          <t>REVENUE</t>
        </is>
      </c>
      <c r="F1875" s="92" t="inlineStr">
        <is>
          <t>REVENUE(AE2367,Settings!$C$13,NEWREVRATE(AE2295,AE2313,AE2304,AE$201,AE2322,$D2403))</t>
        </is>
      </c>
    </row>
    <row r="1876">
      <c r="A1876" s="14" t="n">
        <v>2404</v>
      </c>
      <c r="B1876" s="14" t="inlineStr">
        <is>
          <t>rnew</t>
        </is>
      </c>
      <c r="C1876" s="14" t="inlineStr">
        <is>
          <t>die</t>
        </is>
      </c>
      <c r="D1876" s="14" t="inlineStr">
        <is>
          <t>mac</t>
        </is>
      </c>
      <c r="E1876" s="14" t="inlineStr">
        <is>
          <t>REVENUE</t>
        </is>
      </c>
      <c r="F1876" s="92" t="inlineStr">
        <is>
          <t>REVENUE(AE2368,Settings!$C$13,NEWREVRATE(AE2296,AE2314,AE2305,AE$201,AE2323,$D2404))</t>
        </is>
      </c>
    </row>
    <row r="1877">
      <c r="A1877" s="14" t="n">
        <v>2405</v>
      </c>
      <c r="B1877" s="14" t="inlineStr">
        <is>
          <t>rnew</t>
        </is>
      </c>
      <c r="C1877" s="14" t="inlineStr">
        <is>
          <t>lpg</t>
        </is>
      </c>
      <c r="D1877" s="14" t="inlineStr">
        <is>
          <t>mac</t>
        </is>
      </c>
      <c r="E1877" s="14" t="inlineStr">
        <is>
          <t>REVENUE</t>
        </is>
      </c>
      <c r="F1877" s="92" t="inlineStr">
        <is>
          <t>REVENUE(AE2369,Settings!$C$13,NEWREVRATE(AE2297,AE2315,AE2306,AE$201,AE2324,$D2405))</t>
        </is>
      </c>
    </row>
    <row r="1878">
      <c r="A1878" s="14" t="n">
        <v>2406</v>
      </c>
      <c r="B1878" s="14" t="inlineStr">
        <is>
          <t>rnew</t>
        </is>
      </c>
      <c r="C1878" s="14" t="inlineStr">
        <is>
          <t>ker</t>
        </is>
      </c>
      <c r="D1878" s="14" t="inlineStr">
        <is>
          <t>mac</t>
        </is>
      </c>
      <c r="E1878" s="14" t="inlineStr">
        <is>
          <t>REVENUE</t>
        </is>
      </c>
      <c r="F1878" s="92" t="inlineStr">
        <is>
          <t>REVENUE(AE2370,Settings!$C$13,NEWREVRATE(AE2298,AE2316,AE2307,AE$201,AE2325,$D2406))</t>
        </is>
      </c>
    </row>
    <row r="1879">
      <c r="A1879" s="14" t="n">
        <v>2407</v>
      </c>
      <c r="B1879" s="14" t="inlineStr">
        <is>
          <t>rnew</t>
        </is>
      </c>
      <c r="C1879" s="14" t="inlineStr">
        <is>
          <t>oop</t>
        </is>
      </c>
      <c r="D1879" s="14" t="inlineStr">
        <is>
          <t>mac</t>
        </is>
      </c>
      <c r="E1879" s="14" t="inlineStr">
        <is>
          <t>REVENUE</t>
        </is>
      </c>
      <c r="F1879" s="92" t="inlineStr">
        <is>
          <t>REVENUE(AE2371,Settings!$C$13,NEWREVRATE(AE2299,AE2317,AE2308,AE$201,AE2326,$D2407))</t>
        </is>
      </c>
    </row>
    <row r="1880">
      <c r="A1880" s="14" t="n">
        <v>2408</v>
      </c>
      <c r="B1880" s="14" t="inlineStr">
        <is>
          <t>rnew</t>
        </is>
      </c>
      <c r="C1880" s="14" t="inlineStr">
        <is>
          <t>bio</t>
        </is>
      </c>
      <c r="D1880" s="14" t="inlineStr">
        <is>
          <t>mac</t>
        </is>
      </c>
      <c r="E1880" s="14" t="inlineStr">
        <is>
          <t>REVENUE</t>
        </is>
      </c>
      <c r="F1880" s="92" t="inlineStr">
        <is>
          <t>REVENUE(AE2372,Settings!$C$13,NEWREVRATE(AE2300,AE2318,AE2309,AE$201,AE2327,$D2408))</t>
        </is>
      </c>
    </row>
    <row r="1881">
      <c r="A1881" s="14" t="n">
        <v>2410</v>
      </c>
      <c r="B1881" s="14" t="inlineStr">
        <is>
          <t>rxcp</t>
        </is>
      </c>
      <c r="C1881" s="14" t="inlineStr">
        <is>
          <t>coa</t>
        </is>
      </c>
      <c r="D1881" s="14" t="inlineStr">
        <is>
          <t>mac</t>
        </is>
      </c>
      <c r="E1881" s="14" t="inlineStr">
        <is>
          <t>REVENUE</t>
        </is>
      </c>
      <c r="F1881" s="92" t="inlineStr">
        <is>
          <t>REVENUE(AE2365,Settings!$C$13,AE2329)</t>
        </is>
      </c>
    </row>
    <row r="1882">
      <c r="A1882" s="14" t="n">
        <v>2411</v>
      </c>
      <c r="B1882" s="14" t="inlineStr">
        <is>
          <t>rxcp</t>
        </is>
      </c>
      <c r="C1882" s="14" t="inlineStr">
        <is>
          <t>nga</t>
        </is>
      </c>
      <c r="D1882" s="14" t="inlineStr">
        <is>
          <t>mac</t>
        </is>
      </c>
      <c r="E1882" s="14" t="inlineStr">
        <is>
          <t>REVENUE</t>
        </is>
      </c>
      <c r="F1882" s="92" t="inlineStr">
        <is>
          <t>REVENUE(AE2366,Settings!$C$13,AE2330)</t>
        </is>
      </c>
    </row>
    <row r="1883">
      <c r="A1883" s="14" t="n">
        <v>2412</v>
      </c>
      <c r="B1883" s="14" t="inlineStr">
        <is>
          <t>rxcp</t>
        </is>
      </c>
      <c r="C1883" s="14" t="inlineStr">
        <is>
          <t>gso</t>
        </is>
      </c>
      <c r="D1883" s="14" t="inlineStr">
        <is>
          <t>mac</t>
        </is>
      </c>
      <c r="E1883" s="14" t="inlineStr">
        <is>
          <t>REVENUE</t>
        </is>
      </c>
      <c r="F1883" s="92" t="inlineStr">
        <is>
          <t>REVENUE(AE2367,Settings!$C$13,AE2331)</t>
        </is>
      </c>
    </row>
    <row r="1884">
      <c r="A1884" s="14" t="n">
        <v>2413</v>
      </c>
      <c r="B1884" s="14" t="inlineStr">
        <is>
          <t>rxcp</t>
        </is>
      </c>
      <c r="C1884" s="14" t="inlineStr">
        <is>
          <t>die</t>
        </is>
      </c>
      <c r="D1884" s="14" t="inlineStr">
        <is>
          <t>mac</t>
        </is>
      </c>
      <c r="E1884" s="14" t="inlineStr">
        <is>
          <t>REVENUE</t>
        </is>
      </c>
      <c r="F1884" s="92" t="inlineStr">
        <is>
          <t>REVENUE(AE2368,Settings!$C$13,AE2332)</t>
        </is>
      </c>
    </row>
    <row r="1885">
      <c r="A1885" s="14" t="n">
        <v>2414</v>
      </c>
      <c r="B1885" s="14" t="inlineStr">
        <is>
          <t>rxcp</t>
        </is>
      </c>
      <c r="C1885" s="14" t="inlineStr">
        <is>
          <t>lpg</t>
        </is>
      </c>
      <c r="D1885" s="14" t="inlineStr">
        <is>
          <t>mac</t>
        </is>
      </c>
      <c r="E1885" s="14" t="inlineStr">
        <is>
          <t>REVENUE</t>
        </is>
      </c>
      <c r="F1885" s="92" t="inlineStr">
        <is>
          <t>REVENUE(AE2369,Settings!$C$13,AE2333)</t>
        </is>
      </c>
    </row>
    <row r="1886">
      <c r="A1886" s="14" t="n">
        <v>2415</v>
      </c>
      <c r="B1886" s="14" t="inlineStr">
        <is>
          <t>rxcp</t>
        </is>
      </c>
      <c r="C1886" s="14" t="inlineStr">
        <is>
          <t>ker</t>
        </is>
      </c>
      <c r="D1886" s="14" t="inlineStr">
        <is>
          <t>mac</t>
        </is>
      </c>
      <c r="E1886" s="14" t="inlineStr">
        <is>
          <t>REVENUE</t>
        </is>
      </c>
      <c r="F1886" s="92" t="inlineStr">
        <is>
          <t>REVENUE(AE2370,Settings!$C$13,AE2334)</t>
        </is>
      </c>
    </row>
    <row r="1887">
      <c r="A1887" s="14" t="n">
        <v>2416</v>
      </c>
      <c r="B1887" s="14" t="inlineStr">
        <is>
          <t>rxcp</t>
        </is>
      </c>
      <c r="C1887" s="14" t="inlineStr">
        <is>
          <t>oop</t>
        </is>
      </c>
      <c r="D1887" s="14" t="inlineStr">
        <is>
          <t>mac</t>
        </is>
      </c>
      <c r="E1887" s="14" t="inlineStr">
        <is>
          <t>REVENUE</t>
        </is>
      </c>
      <c r="F1887" s="92" t="inlineStr">
        <is>
          <t>REVENUE(AE2371,Settings!$C$13,AE2335)</t>
        </is>
      </c>
    </row>
    <row r="1888">
      <c r="A1888" s="14" t="n">
        <v>2417</v>
      </c>
      <c r="B1888" s="14" t="inlineStr">
        <is>
          <t>rxcp</t>
        </is>
      </c>
      <c r="C1888" s="14" t="inlineStr">
        <is>
          <t>bio</t>
        </is>
      </c>
      <c r="D1888" s="14" t="inlineStr">
        <is>
          <t>mac</t>
        </is>
      </c>
      <c r="E1888" s="14" t="inlineStr">
        <is>
          <t>REVENUE</t>
        </is>
      </c>
      <c r="F1888" s="92" t="inlineStr">
        <is>
          <t>REVENUE(AE2372,Settings!$C$13,AE2336)</t>
        </is>
      </c>
    </row>
    <row r="1889">
      <c r="A1889" s="14" t="n">
        <v>2421</v>
      </c>
      <c r="B1889" s="14" t="inlineStr">
        <is>
          <t>ctxnew</t>
        </is>
      </c>
      <c r="C1889" s="14" t="inlineStr">
        <is>
          <t>coa</t>
        </is>
      </c>
      <c r="D1889" s="14" t="inlineStr">
        <is>
          <t>cem</t>
        </is>
      </c>
      <c r="E1889" s="14" t="inlineStr">
        <is>
          <t>CARBONTAX</t>
        </is>
      </c>
      <c r="F1889" s="92" t="inlineStr">
        <is>
          <t>CARBONTAX(INDEX(AE$263:AE$279,$F2421),$D2421,INDEX(AE$23:AE$30,$E2421))</t>
        </is>
      </c>
    </row>
    <row r="1890">
      <c r="A1890" s="14" t="n">
        <v>2422</v>
      </c>
      <c r="B1890" s="14" t="inlineStr">
        <is>
          <t>ctxnew</t>
        </is>
      </c>
      <c r="C1890" s="14" t="inlineStr">
        <is>
          <t>nga</t>
        </is>
      </c>
      <c r="D1890" s="14" t="inlineStr">
        <is>
          <t>cem</t>
        </is>
      </c>
      <c r="E1890" s="14" t="inlineStr">
        <is>
          <t>CARBONTAX</t>
        </is>
      </c>
      <c r="F1890" s="92" t="inlineStr">
        <is>
          <t>CARBONTAX(INDEX(AE$263:AE$279,$F2422),$D2422,INDEX(AE$23:AE$30,$E2422))</t>
        </is>
      </c>
    </row>
    <row r="1891">
      <c r="A1891" s="14" t="n">
        <v>2423</v>
      </c>
      <c r="B1891" s="14" t="inlineStr">
        <is>
          <t>ctxnew</t>
        </is>
      </c>
      <c r="C1891" s="14" t="inlineStr">
        <is>
          <t>gso</t>
        </is>
      </c>
      <c r="D1891" s="14" t="inlineStr">
        <is>
          <t>cem</t>
        </is>
      </c>
      <c r="E1891" s="14" t="inlineStr">
        <is>
          <t>CARBONTAX</t>
        </is>
      </c>
      <c r="F1891" s="92" t="inlineStr">
        <is>
          <t>CARBONTAX(INDEX(AE$263:AE$279,$F2423),$D2423,INDEX(AE$23:AE$30,$E2423))</t>
        </is>
      </c>
    </row>
    <row r="1892">
      <c r="A1892" s="14" t="n">
        <v>2424</v>
      </c>
      <c r="B1892" s="14" t="inlineStr">
        <is>
          <t>ctxnew</t>
        </is>
      </c>
      <c r="C1892" s="14" t="inlineStr">
        <is>
          <t>die</t>
        </is>
      </c>
      <c r="D1892" s="14" t="inlineStr">
        <is>
          <t>cem</t>
        </is>
      </c>
      <c r="E1892" s="14" t="inlineStr">
        <is>
          <t>CARBONTAX</t>
        </is>
      </c>
      <c r="F1892" s="92" t="inlineStr">
        <is>
          <t>CARBONTAX(INDEX(AE$263:AE$279,$F2424),$D2424,INDEX(AE$23:AE$30,$E2424))</t>
        </is>
      </c>
    </row>
    <row r="1893">
      <c r="A1893" s="14" t="n">
        <v>2425</v>
      </c>
      <c r="B1893" s="14" t="inlineStr">
        <is>
          <t>ctxnew</t>
        </is>
      </c>
      <c r="C1893" s="14" t="inlineStr">
        <is>
          <t>lpg</t>
        </is>
      </c>
      <c r="D1893" s="14" t="inlineStr">
        <is>
          <t>cem</t>
        </is>
      </c>
      <c r="E1893" s="14" t="inlineStr">
        <is>
          <t>CARBONTAX</t>
        </is>
      </c>
      <c r="F1893" s="92" t="inlineStr">
        <is>
          <t>CARBONTAX(INDEX(AE$263:AE$279,$F2425),$D2425,INDEX(AE$23:AE$30,$E2425))</t>
        </is>
      </c>
    </row>
    <row r="1894">
      <c r="A1894" s="14" t="n">
        <v>2426</v>
      </c>
      <c r="B1894" s="14" t="inlineStr">
        <is>
          <t>ctxnew</t>
        </is>
      </c>
      <c r="C1894" s="14" t="inlineStr">
        <is>
          <t>ker</t>
        </is>
      </c>
      <c r="D1894" s="14" t="inlineStr">
        <is>
          <t>cem</t>
        </is>
      </c>
      <c r="E1894" s="14" t="inlineStr">
        <is>
          <t>CARBONTAX</t>
        </is>
      </c>
      <c r="F1894" s="92" t="inlineStr">
        <is>
          <t>CARBONTAX(INDEX(AE$263:AE$279,$F2426),$D2426,INDEX(AE$23:AE$30,$E2426))</t>
        </is>
      </c>
    </row>
    <row r="1895">
      <c r="A1895" s="14" t="n">
        <v>2427</v>
      </c>
      <c r="B1895" s="14" t="inlineStr">
        <is>
          <t>ctxnew</t>
        </is>
      </c>
      <c r="C1895" s="14" t="inlineStr">
        <is>
          <t>oop</t>
        </is>
      </c>
      <c r="D1895" s="14" t="inlineStr">
        <is>
          <t>cem</t>
        </is>
      </c>
      <c r="E1895" s="14" t="inlineStr">
        <is>
          <t>CARBONTAX</t>
        </is>
      </c>
      <c r="F1895" s="92" t="inlineStr">
        <is>
          <t>CARBONTAX(INDEX(AE$263:AE$279,$F2427),$D2427,INDEX(AE$23:AE$30,$E2427))</t>
        </is>
      </c>
    </row>
    <row r="1896">
      <c r="A1896" s="14" t="n">
        <v>2428</v>
      </c>
      <c r="B1896" s="14" t="inlineStr">
        <is>
          <t>ctxnew</t>
        </is>
      </c>
      <c r="C1896" s="14" t="inlineStr">
        <is>
          <t>bio</t>
        </is>
      </c>
      <c r="D1896" s="14" t="inlineStr">
        <is>
          <t>cem</t>
        </is>
      </c>
      <c r="E1896" s="14" t="inlineStr">
        <is>
          <t>CARBONTAX</t>
        </is>
      </c>
      <c r="F1896" s="92" t="inlineStr">
        <is>
          <t>CARBONTAX(INDEX(AE$263:AE$279,$F2428),$D2428,INDEX(AE$23:AE$30,$E2428))</t>
        </is>
      </c>
    </row>
    <row r="1897">
      <c r="A1897" s="14" t="n">
        <v>2430</v>
      </c>
      <c r="B1897" s="14" t="inlineStr">
        <is>
          <t>ets</t>
        </is>
      </c>
      <c r="C1897" s="14" t="inlineStr">
        <is>
          <t>coa</t>
        </is>
      </c>
      <c r="D1897" s="14" t="inlineStr">
        <is>
          <t>cem</t>
        </is>
      </c>
      <c r="E1897" s="14" t="inlineStr">
        <is>
          <t>ETSCOST</t>
        </is>
      </c>
      <c r="F1897" s="92" t="inlineStr">
        <is>
          <t>ETSCOST(INDEX(AE$280:AE$296,$E2430),$D2430)</t>
        </is>
      </c>
    </row>
    <row r="1898">
      <c r="A1898" s="14" t="n">
        <v>2431</v>
      </c>
      <c r="B1898" s="14" t="inlineStr">
        <is>
          <t>ets</t>
        </is>
      </c>
      <c r="C1898" s="14" t="inlineStr">
        <is>
          <t>nga</t>
        </is>
      </c>
      <c r="D1898" s="14" t="inlineStr">
        <is>
          <t>cem</t>
        </is>
      </c>
      <c r="E1898" s="14" t="inlineStr">
        <is>
          <t>ETSCOST</t>
        </is>
      </c>
      <c r="F1898" s="92" t="inlineStr">
        <is>
          <t>ETSCOST(INDEX(AE$280:AE$296,$E2431),$D2431)</t>
        </is>
      </c>
    </row>
    <row r="1899">
      <c r="A1899" s="14" t="n">
        <v>2432</v>
      </c>
      <c r="B1899" s="14" t="inlineStr">
        <is>
          <t>ets</t>
        </is>
      </c>
      <c r="C1899" s="14" t="inlineStr">
        <is>
          <t>gso</t>
        </is>
      </c>
      <c r="D1899" s="14" t="inlineStr">
        <is>
          <t>cem</t>
        </is>
      </c>
      <c r="E1899" s="14" t="inlineStr">
        <is>
          <t>ETSCOST</t>
        </is>
      </c>
      <c r="F1899" s="92" t="inlineStr">
        <is>
          <t>ETSCOST(INDEX(AE$280:AE$296,$E2432),$D2432)</t>
        </is>
      </c>
    </row>
    <row r="1900">
      <c r="A1900" s="14" t="n">
        <v>2433</v>
      </c>
      <c r="B1900" s="14" t="inlineStr">
        <is>
          <t>ets</t>
        </is>
      </c>
      <c r="C1900" s="14" t="inlineStr">
        <is>
          <t>die</t>
        </is>
      </c>
      <c r="D1900" s="14" t="inlineStr">
        <is>
          <t>cem</t>
        </is>
      </c>
      <c r="E1900" s="14" t="inlineStr">
        <is>
          <t>ETSCOST</t>
        </is>
      </c>
      <c r="F1900" s="92" t="inlineStr">
        <is>
          <t>ETSCOST(INDEX(AE$280:AE$296,$E2433),$D2433)</t>
        </is>
      </c>
    </row>
    <row r="1901">
      <c r="A1901" s="14" t="n">
        <v>2434</v>
      </c>
      <c r="B1901" s="14" t="inlineStr">
        <is>
          <t>ets</t>
        </is>
      </c>
      <c r="C1901" s="14" t="inlineStr">
        <is>
          <t>lpg</t>
        </is>
      </c>
      <c r="D1901" s="14" t="inlineStr">
        <is>
          <t>cem</t>
        </is>
      </c>
      <c r="E1901" s="14" t="inlineStr">
        <is>
          <t>ETSCOST</t>
        </is>
      </c>
      <c r="F1901" s="92" t="inlineStr">
        <is>
          <t>ETSCOST(INDEX(AE$280:AE$296,$E2434),$D2434)</t>
        </is>
      </c>
    </row>
    <row r="1902">
      <c r="A1902" s="14" t="n">
        <v>2435</v>
      </c>
      <c r="B1902" s="14" t="inlineStr">
        <is>
          <t>ets</t>
        </is>
      </c>
      <c r="C1902" s="14" t="inlineStr">
        <is>
          <t>ker</t>
        </is>
      </c>
      <c r="D1902" s="14" t="inlineStr">
        <is>
          <t>cem</t>
        </is>
      </c>
      <c r="E1902" s="14" t="inlineStr">
        <is>
          <t>ETSCOST</t>
        </is>
      </c>
      <c r="F1902" s="92" t="inlineStr">
        <is>
          <t>ETSCOST(INDEX(AE$280:AE$296,$E2435),$D2435)</t>
        </is>
      </c>
    </row>
    <row r="1903">
      <c r="A1903" s="14" t="n">
        <v>2436</v>
      </c>
      <c r="B1903" s="14" t="inlineStr">
        <is>
          <t>ets</t>
        </is>
      </c>
      <c r="C1903" s="14" t="inlineStr">
        <is>
          <t>oop</t>
        </is>
      </c>
      <c r="D1903" s="14" t="inlineStr">
        <is>
          <t>cem</t>
        </is>
      </c>
      <c r="E1903" s="14" t="inlineStr">
        <is>
          <t>ETSCOST</t>
        </is>
      </c>
      <c r="F1903" s="92" t="inlineStr">
        <is>
          <t>ETSCOST(INDEX(AE$280:AE$296,$E2436),$D2436)</t>
        </is>
      </c>
    </row>
    <row r="1904">
      <c r="A1904" s="14" t="n">
        <v>2437</v>
      </c>
      <c r="B1904" s="14" t="inlineStr">
        <is>
          <t>ets</t>
        </is>
      </c>
      <c r="C1904" s="14" t="inlineStr">
        <is>
          <t>bio</t>
        </is>
      </c>
      <c r="D1904" s="14" t="inlineStr">
        <is>
          <t>cem</t>
        </is>
      </c>
      <c r="E1904" s="14" t="inlineStr">
        <is>
          <t>ETSCOST</t>
        </is>
      </c>
      <c r="F1904" s="92" t="inlineStr">
        <is>
          <t>ETSCOST(INDEX(AE$280:AE$296,$E2437),$D2437)</t>
        </is>
      </c>
    </row>
    <row r="1905">
      <c r="A1905" s="14" t="n">
        <v>2439</v>
      </c>
      <c r="B1905" s="14" t="inlineStr">
        <is>
          <t>ntx</t>
        </is>
      </c>
      <c r="C1905" s="14" t="inlineStr">
        <is>
          <t>coa</t>
        </is>
      </c>
      <c r="D1905" s="14" t="inlineStr">
        <is>
          <t>cem</t>
        </is>
      </c>
      <c r="E1905" s="14" t="inlineStr">
        <is>
          <t>NEWEXCISE</t>
        </is>
      </c>
      <c r="F1905" s="92" t="inlineStr">
        <is>
          <t>NEWEXCISE(INDEX(AE$80:AE$93,$D2439),$E2439)</t>
        </is>
      </c>
    </row>
    <row r="1906">
      <c r="A1906" s="14" t="n">
        <v>2440</v>
      </c>
      <c r="B1906" s="14" t="inlineStr">
        <is>
          <t>ntx</t>
        </is>
      </c>
      <c r="C1906" s="14" t="inlineStr">
        <is>
          <t>nga</t>
        </is>
      </c>
      <c r="D1906" s="14" t="inlineStr">
        <is>
          <t>cem</t>
        </is>
      </c>
      <c r="E1906" s="14" t="inlineStr">
        <is>
          <t>NEWEXCISE</t>
        </is>
      </c>
      <c r="F1906" s="92" t="inlineStr">
        <is>
          <t>NEWEXCISE(INDEX(AE$80:AE$93,$D2440),$E2440)</t>
        </is>
      </c>
    </row>
    <row r="1907">
      <c r="A1907" s="14" t="n">
        <v>2441</v>
      </c>
      <c r="B1907" s="14" t="inlineStr">
        <is>
          <t>ntx</t>
        </is>
      </c>
      <c r="C1907" s="14" t="inlineStr">
        <is>
          <t>gso</t>
        </is>
      </c>
      <c r="D1907" s="14" t="inlineStr">
        <is>
          <t>cem</t>
        </is>
      </c>
      <c r="E1907" s="14" t="inlineStr">
        <is>
          <t>NEWEXCISE</t>
        </is>
      </c>
      <c r="F1907" s="92" t="inlineStr">
        <is>
          <t>NEWEXCISE(INDEX(AE$80:AE$93,$D2441),$E2441)</t>
        </is>
      </c>
    </row>
    <row r="1908">
      <c r="A1908" s="14" t="n">
        <v>2442</v>
      </c>
      <c r="B1908" s="14" t="inlineStr">
        <is>
          <t>ntx</t>
        </is>
      </c>
      <c r="C1908" s="14" t="inlineStr">
        <is>
          <t>die</t>
        </is>
      </c>
      <c r="D1908" s="14" t="inlineStr">
        <is>
          <t>cem</t>
        </is>
      </c>
      <c r="E1908" s="14" t="inlineStr">
        <is>
          <t>NEWEXCISE</t>
        </is>
      </c>
      <c r="F1908" s="92" t="inlineStr">
        <is>
          <t>NEWEXCISE(INDEX(AE$80:AE$93,$D2442),$E2442)</t>
        </is>
      </c>
    </row>
    <row r="1909">
      <c r="A1909" s="14" t="n">
        <v>2443</v>
      </c>
      <c r="B1909" s="14" t="inlineStr">
        <is>
          <t>ntx</t>
        </is>
      </c>
      <c r="C1909" s="14" t="inlineStr">
        <is>
          <t>lpg</t>
        </is>
      </c>
      <c r="D1909" s="14" t="inlineStr">
        <is>
          <t>cem</t>
        </is>
      </c>
      <c r="E1909" s="14" t="inlineStr">
        <is>
          <t>NEWEXCISE</t>
        </is>
      </c>
      <c r="F1909" s="92" t="inlineStr">
        <is>
          <t>NEWEXCISE(INDEX(AE$80:AE$93,$D2443),$E2443)</t>
        </is>
      </c>
    </row>
    <row r="1910">
      <c r="A1910" s="14" t="n">
        <v>2444</v>
      </c>
      <c r="B1910" s="14" t="inlineStr">
        <is>
          <t>ntx</t>
        </is>
      </c>
      <c r="C1910" s="14" t="inlineStr">
        <is>
          <t>ker</t>
        </is>
      </c>
      <c r="D1910" s="14" t="inlineStr">
        <is>
          <t>cem</t>
        </is>
      </c>
      <c r="E1910" s="14" t="inlineStr">
        <is>
          <t>NEWEXCISE</t>
        </is>
      </c>
      <c r="F1910" s="92" t="inlineStr">
        <is>
          <t>NEWEXCISE(INDEX(AE$80:AE$93,$D2444),$E2444)</t>
        </is>
      </c>
    </row>
    <row r="1911">
      <c r="A1911" s="14" t="n">
        <v>2445</v>
      </c>
      <c r="B1911" s="14" t="inlineStr">
        <is>
          <t>ntx</t>
        </is>
      </c>
      <c r="C1911" s="14" t="inlineStr">
        <is>
          <t>oop</t>
        </is>
      </c>
      <c r="D1911" s="14" t="inlineStr">
        <is>
          <t>cem</t>
        </is>
      </c>
      <c r="E1911" s="14" t="inlineStr">
        <is>
          <t>NEWEXCISE</t>
        </is>
      </c>
      <c r="F1911" s="92" t="inlineStr">
        <is>
          <t>NEWEXCISE(INDEX(AE$80:AE$93,$D2445),$E2445)</t>
        </is>
      </c>
    </row>
    <row r="1912">
      <c r="A1912" s="14" t="n">
        <v>2446</v>
      </c>
      <c r="B1912" s="14" t="inlineStr">
        <is>
          <t>ntx</t>
        </is>
      </c>
      <c r="C1912" s="14" t="inlineStr">
        <is>
          <t>bio</t>
        </is>
      </c>
      <c r="D1912" s="14" t="inlineStr">
        <is>
          <t>cem</t>
        </is>
      </c>
      <c r="E1912" s="14" t="inlineStr">
        <is>
          <t>NEWEXCISE</t>
        </is>
      </c>
      <c r="F1912" s="92" t="inlineStr">
        <is>
          <t>NEWEXCISE(INDEX(AE$80:AE$93,$D2446),$E2446)</t>
        </is>
      </c>
    </row>
    <row r="1913">
      <c r="A1913" s="14" t="n">
        <v>2448</v>
      </c>
      <c r="B1913" s="14" t="inlineStr">
        <is>
          <t>nce</t>
        </is>
      </c>
      <c r="C1913" s="14" t="inlineStr">
        <is>
          <t>coa</t>
        </is>
      </c>
      <c r="D1913" s="14" t="inlineStr">
        <is>
          <t>cem</t>
        </is>
      </c>
      <c r="E1913" s="14" t="inlineStr">
        <is>
          <t>NEWPOLICY</t>
        </is>
      </c>
      <c r="F1913" s="92" t="inlineStr">
        <is>
          <t>NEWPOLICY(AE2421,AE2430,AE2439)</t>
        </is>
      </c>
    </row>
    <row r="1914">
      <c r="A1914" s="14" t="n">
        <v>2449</v>
      </c>
      <c r="B1914" s="14" t="inlineStr">
        <is>
          <t>nce</t>
        </is>
      </c>
      <c r="C1914" s="14" t="inlineStr">
        <is>
          <t>nga</t>
        </is>
      </c>
      <c r="D1914" s="14" t="inlineStr">
        <is>
          <t>cem</t>
        </is>
      </c>
      <c r="E1914" s="14" t="inlineStr">
        <is>
          <t>NEWPOLICY</t>
        </is>
      </c>
      <c r="F1914" s="92" t="inlineStr">
        <is>
          <t>NEWPOLICY(AE2422,AE2431,AE2440)</t>
        </is>
      </c>
    </row>
    <row r="1915">
      <c r="A1915" s="14" t="n">
        <v>2450</v>
      </c>
      <c r="B1915" s="14" t="inlineStr">
        <is>
          <t>nce</t>
        </is>
      </c>
      <c r="C1915" s="14" t="inlineStr">
        <is>
          <t>gso</t>
        </is>
      </c>
      <c r="D1915" s="14" t="inlineStr">
        <is>
          <t>cem</t>
        </is>
      </c>
      <c r="E1915" s="14" t="inlineStr">
        <is>
          <t>NEWPOLICY</t>
        </is>
      </c>
      <c r="F1915" s="92" t="inlineStr">
        <is>
          <t>NEWPOLICY(AE2423,AE2432,AE2441)</t>
        </is>
      </c>
    </row>
    <row r="1916">
      <c r="A1916" s="14" t="n">
        <v>2451</v>
      </c>
      <c r="B1916" s="14" t="inlineStr">
        <is>
          <t>nce</t>
        </is>
      </c>
      <c r="C1916" s="14" t="inlineStr">
        <is>
          <t>die</t>
        </is>
      </c>
      <c r="D1916" s="14" t="inlineStr">
        <is>
          <t>cem</t>
        </is>
      </c>
      <c r="E1916" s="14" t="inlineStr">
        <is>
          <t>NEWPOLICY</t>
        </is>
      </c>
      <c r="F1916" s="92" t="inlineStr">
        <is>
          <t>NEWPOLICY(AE2424,AE2433,AE2442)</t>
        </is>
      </c>
    </row>
    <row r="1917">
      <c r="A1917" s="14" t="n">
        <v>2452</v>
      </c>
      <c r="B1917" s="14" t="inlineStr">
        <is>
          <t>nce</t>
        </is>
      </c>
      <c r="C1917" s="14" t="inlineStr">
        <is>
          <t>lpg</t>
        </is>
      </c>
      <c r="D1917" s="14" t="inlineStr">
        <is>
          <t>cem</t>
        </is>
      </c>
      <c r="E1917" s="14" t="inlineStr">
        <is>
          <t>NEWPOLICY</t>
        </is>
      </c>
      <c r="F1917" s="92" t="inlineStr">
        <is>
          <t>NEWPOLICY(AE2425,AE2434,AE2443)</t>
        </is>
      </c>
    </row>
    <row r="1918">
      <c r="A1918" s="14" t="n">
        <v>2453</v>
      </c>
      <c r="B1918" s="14" t="inlineStr">
        <is>
          <t>nce</t>
        </is>
      </c>
      <c r="C1918" s="14" t="inlineStr">
        <is>
          <t>ker</t>
        </is>
      </c>
      <c r="D1918" s="14" t="inlineStr">
        <is>
          <t>cem</t>
        </is>
      </c>
      <c r="E1918" s="14" t="inlineStr">
        <is>
          <t>NEWPOLICY</t>
        </is>
      </c>
      <c r="F1918" s="92" t="inlineStr">
        <is>
          <t>NEWPOLICY(AE2426,AE2435,AE2444)</t>
        </is>
      </c>
    </row>
    <row r="1919">
      <c r="A1919" s="14" t="n">
        <v>2454</v>
      </c>
      <c r="B1919" s="14" t="inlineStr">
        <is>
          <t>nce</t>
        </is>
      </c>
      <c r="C1919" s="14" t="inlineStr">
        <is>
          <t>oop</t>
        </is>
      </c>
      <c r="D1919" s="14" t="inlineStr">
        <is>
          <t>cem</t>
        </is>
      </c>
      <c r="E1919" s="14" t="inlineStr">
        <is>
          <t>NEWPOLICY</t>
        </is>
      </c>
      <c r="F1919" s="92" t="inlineStr">
        <is>
          <t>NEWPOLICY(AE2427,AE2436,AE2445)</t>
        </is>
      </c>
    </row>
    <row r="1920">
      <c r="A1920" s="14" t="n">
        <v>2455</v>
      </c>
      <c r="B1920" s="14" t="inlineStr">
        <is>
          <t>nce</t>
        </is>
      </c>
      <c r="C1920" s="14" t="inlineStr">
        <is>
          <t>bio</t>
        </is>
      </c>
      <c r="D1920" s="14" t="inlineStr">
        <is>
          <t>cem</t>
        </is>
      </c>
      <c r="E1920" s="14" t="inlineStr">
        <is>
          <t>NEWPOLICY</t>
        </is>
      </c>
      <c r="F1920" s="92" t="inlineStr">
        <is>
          <t>NEWPOLICY(AE2428,AE2437,AE2446)</t>
        </is>
      </c>
    </row>
    <row r="1921">
      <c r="A1921" s="14" t="n">
        <v>2457</v>
      </c>
      <c r="B1921" s="14" t="inlineStr">
        <is>
          <t>xcp</t>
        </is>
      </c>
      <c r="C1921" s="14" t="inlineStr">
        <is>
          <t>coa</t>
        </is>
      </c>
      <c r="D1921" s="14" t="inlineStr">
        <is>
          <t>cem</t>
        </is>
      </c>
      <c r="E1921" s="14" t="inlineStr">
        <is>
          <t>XCARBON</t>
        </is>
      </c>
      <c r="F1921" s="92" t="inlineStr">
        <is>
          <t>XCARBON($D2457,$E2457,AE$321,$F2457,AE$324)</t>
        </is>
      </c>
    </row>
    <row r="1922">
      <c r="A1922" s="14" t="n">
        <v>2458</v>
      </c>
      <c r="B1922" s="14" t="inlineStr">
        <is>
          <t>xcp</t>
        </is>
      </c>
      <c r="C1922" s="14" t="inlineStr">
        <is>
          <t>nga</t>
        </is>
      </c>
      <c r="D1922" s="14" t="inlineStr">
        <is>
          <t>cem</t>
        </is>
      </c>
      <c r="E1922" s="14" t="inlineStr">
        <is>
          <t>XCARBON</t>
        </is>
      </c>
      <c r="F1922" s="92" t="inlineStr">
        <is>
          <t>XCARBON($D2458,$E2458,AE$321,$F2458,AE$324)</t>
        </is>
      </c>
    </row>
    <row r="1923">
      <c r="A1923" s="14" t="n">
        <v>2459</v>
      </c>
      <c r="B1923" s="14" t="inlineStr">
        <is>
          <t>xcp</t>
        </is>
      </c>
      <c r="C1923" s="14" t="inlineStr">
        <is>
          <t>gso</t>
        </is>
      </c>
      <c r="D1923" s="14" t="inlineStr">
        <is>
          <t>cem</t>
        </is>
      </c>
      <c r="E1923" s="14" t="inlineStr">
        <is>
          <t>XCARBON</t>
        </is>
      </c>
      <c r="F1923" s="92" t="inlineStr">
        <is>
          <t>XCARBON($D2459,$E2459,AE$321,$F2459,AE$324)</t>
        </is>
      </c>
    </row>
    <row r="1924">
      <c r="A1924" s="14" t="n">
        <v>2460</v>
      </c>
      <c r="B1924" s="14" t="inlineStr">
        <is>
          <t>xcp</t>
        </is>
      </c>
      <c r="C1924" s="14" t="inlineStr">
        <is>
          <t>die</t>
        </is>
      </c>
      <c r="D1924" s="14" t="inlineStr">
        <is>
          <t>cem</t>
        </is>
      </c>
      <c r="E1924" s="14" t="inlineStr">
        <is>
          <t>XCARBON</t>
        </is>
      </c>
      <c r="F1924" s="92" t="inlineStr">
        <is>
          <t>XCARBON($D2460,$E2460,AE$321,$F2460,AE$324)</t>
        </is>
      </c>
    </row>
    <row r="1925">
      <c r="A1925" s="14" t="n">
        <v>2461</v>
      </c>
      <c r="B1925" s="14" t="inlineStr">
        <is>
          <t>xcp</t>
        </is>
      </c>
      <c r="C1925" s="14" t="inlineStr">
        <is>
          <t>lpg</t>
        </is>
      </c>
      <c r="D1925" s="14" t="inlineStr">
        <is>
          <t>cem</t>
        </is>
      </c>
      <c r="E1925" s="14" t="inlineStr">
        <is>
          <t>XCARBON</t>
        </is>
      </c>
      <c r="F1925" s="92" t="inlineStr">
        <is>
          <t>XCARBON($D2461,$E2461,AE$321,$F2461,AE$324)</t>
        </is>
      </c>
    </row>
    <row r="1926">
      <c r="A1926" s="14" t="n">
        <v>2462</v>
      </c>
      <c r="B1926" s="14" t="inlineStr">
        <is>
          <t>xcp</t>
        </is>
      </c>
      <c r="C1926" s="14" t="inlineStr">
        <is>
          <t>ker</t>
        </is>
      </c>
      <c r="D1926" s="14" t="inlineStr">
        <is>
          <t>cem</t>
        </is>
      </c>
      <c r="E1926" s="14" t="inlineStr">
        <is>
          <t>XCARBON</t>
        </is>
      </c>
      <c r="F1926" s="92" t="inlineStr">
        <is>
          <t>XCARBON($D2462,$E2462,AE$321,$F2462,AE$324)</t>
        </is>
      </c>
    </row>
    <row r="1927">
      <c r="A1927" s="14" t="n">
        <v>2463</v>
      </c>
      <c r="B1927" s="14" t="inlineStr">
        <is>
          <t>xcp</t>
        </is>
      </c>
      <c r="C1927" s="14" t="inlineStr">
        <is>
          <t>oop</t>
        </is>
      </c>
      <c r="D1927" s="14" t="inlineStr">
        <is>
          <t>cem</t>
        </is>
      </c>
      <c r="E1927" s="14" t="inlineStr">
        <is>
          <t>XCARBON</t>
        </is>
      </c>
      <c r="F1927" s="92" t="inlineStr">
        <is>
          <t>XCARBON($D2463,$E2463,AE$321,$F2463,AE$324)</t>
        </is>
      </c>
    </row>
    <row r="1928">
      <c r="A1928" s="14" t="n">
        <v>2464</v>
      </c>
      <c r="B1928" s="14" t="inlineStr">
        <is>
          <t>xcp</t>
        </is>
      </c>
      <c r="C1928" s="14" t="inlineStr">
        <is>
          <t>bio</t>
        </is>
      </c>
      <c r="D1928" s="14" t="inlineStr">
        <is>
          <t>cem</t>
        </is>
      </c>
      <c r="E1928" s="14" t="inlineStr">
        <is>
          <t>XCARBON</t>
        </is>
      </c>
      <c r="F1928" s="92" t="inlineStr">
        <is>
          <t>XCARBON($D2464,$E2464,AE$321,$F2464,AE$324)</t>
        </is>
      </c>
    </row>
    <row r="1929">
      <c r="A1929" s="14" t="n">
        <v>2466</v>
      </c>
      <c r="B1929" s="14" t="inlineStr">
        <is>
          <t>xcpd</t>
        </is>
      </c>
      <c r="C1929" s="14" t="inlineStr">
        <is>
          <t>coa</t>
        </is>
      </c>
      <c r="D1929" s="14" t="inlineStr">
        <is>
          <t>cem</t>
        </is>
      </c>
      <c r="E1929" s="14" t="inlineStr">
        <is>
          <t>XCARBON</t>
        </is>
      </c>
      <c r="F1929" s="92" t="inlineStr">
        <is>
          <t>XCARBON($D2466,$E2466,(AE$321-AE$322),$F2466,(AE$324-AE$325))</t>
        </is>
      </c>
    </row>
    <row r="1930">
      <c r="A1930" s="14" t="n">
        <v>2467</v>
      </c>
      <c r="B1930" s="14" t="inlineStr">
        <is>
          <t>xcpd</t>
        </is>
      </c>
      <c r="C1930" s="14" t="inlineStr">
        <is>
          <t>nga</t>
        </is>
      </c>
      <c r="D1930" s="14" t="inlineStr">
        <is>
          <t>cem</t>
        </is>
      </c>
      <c r="E1930" s="14" t="inlineStr">
        <is>
          <t>XCARBON</t>
        </is>
      </c>
      <c r="F1930" s="92" t="inlineStr">
        <is>
          <t>XCARBON($D2467,$E2467,(AE$321-AE$322),$F2467,(AE$324-AE$325))</t>
        </is>
      </c>
    </row>
    <row r="1931">
      <c r="A1931" s="14" t="n">
        <v>2468</v>
      </c>
      <c r="B1931" s="14" t="inlineStr">
        <is>
          <t>xcpd</t>
        </is>
      </c>
      <c r="C1931" s="14" t="inlineStr">
        <is>
          <t>gso</t>
        </is>
      </c>
      <c r="D1931" s="14" t="inlineStr">
        <is>
          <t>cem</t>
        </is>
      </c>
      <c r="E1931" s="14" t="inlineStr">
        <is>
          <t>XCARBON</t>
        </is>
      </c>
      <c r="F1931" s="92" t="inlineStr">
        <is>
          <t>XCARBON($D2468,$E2468,(AE$321-AE$322),$F2468,(AE$324-AE$325))</t>
        </is>
      </c>
    </row>
    <row r="1932">
      <c r="A1932" s="14" t="n">
        <v>2469</v>
      </c>
      <c r="B1932" s="14" t="inlineStr">
        <is>
          <t>xcpd</t>
        </is>
      </c>
      <c r="C1932" s="14" t="inlineStr">
        <is>
          <t>die</t>
        </is>
      </c>
      <c r="D1932" s="14" t="inlineStr">
        <is>
          <t>cem</t>
        </is>
      </c>
      <c r="E1932" s="14" t="inlineStr">
        <is>
          <t>XCARBON</t>
        </is>
      </c>
      <c r="F1932" s="92" t="inlineStr">
        <is>
          <t>XCARBON($D2469,$E2469,(AE$321-AE$322),$F2469,(AE$324-AE$325))</t>
        </is>
      </c>
    </row>
    <row r="1933">
      <c r="A1933" s="14" t="n">
        <v>2470</v>
      </c>
      <c r="B1933" s="14" t="inlineStr">
        <is>
          <t>xcpd</t>
        </is>
      </c>
      <c r="C1933" s="14" t="inlineStr">
        <is>
          <t>lpg</t>
        </is>
      </c>
      <c r="D1933" s="14" t="inlineStr">
        <is>
          <t>cem</t>
        </is>
      </c>
      <c r="E1933" s="14" t="inlineStr">
        <is>
          <t>XCARBON</t>
        </is>
      </c>
      <c r="F1933" s="92" t="inlineStr">
        <is>
          <t>XCARBON($D2470,$E2470,(AE$321-AE$322),$F2470,(AE$324-AE$325))</t>
        </is>
      </c>
    </row>
    <row r="1934">
      <c r="A1934" s="14" t="n">
        <v>2471</v>
      </c>
      <c r="B1934" s="14" t="inlineStr">
        <is>
          <t>xcpd</t>
        </is>
      </c>
      <c r="C1934" s="14" t="inlineStr">
        <is>
          <t>ker</t>
        </is>
      </c>
      <c r="D1934" s="14" t="inlineStr">
        <is>
          <t>cem</t>
        </is>
      </c>
      <c r="E1934" s="14" t="inlineStr">
        <is>
          <t>XCARBON</t>
        </is>
      </c>
      <c r="F1934" s="92" t="inlineStr">
        <is>
          <t>XCARBON($D2471,$E2471,(AE$321-AE$322),$F2471,(AE$324-AE$325))</t>
        </is>
      </c>
    </row>
    <row r="1935">
      <c r="A1935" s="14" t="n">
        <v>2472</v>
      </c>
      <c r="B1935" s="14" t="inlineStr">
        <is>
          <t>xcpd</t>
        </is>
      </c>
      <c r="C1935" s="14" t="inlineStr">
        <is>
          <t>oop</t>
        </is>
      </c>
      <c r="D1935" s="14" t="inlineStr">
        <is>
          <t>cem</t>
        </is>
      </c>
      <c r="E1935" s="14" t="inlineStr">
        <is>
          <t>XCARBON</t>
        </is>
      </c>
      <c r="F1935" s="92" t="inlineStr">
        <is>
          <t>XCARBON($D2472,$E2472,(AE$321-AE$322),$F2472,(AE$324-AE$325))</t>
        </is>
      </c>
    </row>
    <row r="1936">
      <c r="A1936" s="14" t="n">
        <v>2473</v>
      </c>
      <c r="B1936" s="14" t="inlineStr">
        <is>
          <t>xcpd</t>
        </is>
      </c>
      <c r="C1936" s="14" t="inlineStr">
        <is>
          <t>bio</t>
        </is>
      </c>
      <c r="D1936" s="14" t="inlineStr">
        <is>
          <t>cem</t>
        </is>
      </c>
      <c r="E1936" s="14" t="inlineStr">
        <is>
          <t>XCARBON</t>
        </is>
      </c>
      <c r="F1936" s="92" t="inlineStr">
        <is>
          <t>XCARBON($D2473,$E2473,(AE$321-AE$322),$F2473,(AE$324-AE$325))</t>
        </is>
      </c>
    </row>
    <row r="1937">
      <c r="A1937" s="14" t="n">
        <v>2475</v>
      </c>
      <c r="B1937" s="14" t="inlineStr">
        <is>
          <t>atp</t>
        </is>
      </c>
      <c r="C1937" s="14" t="inlineStr">
        <is>
          <t>coa</t>
        </is>
      </c>
      <c r="D1937" s="14" t="inlineStr">
        <is>
          <t>cem</t>
        </is>
      </c>
      <c r="E1937" s="14" t="inlineStr">
        <is>
          <t>POSTTAX</t>
        </is>
      </c>
      <c r="F1937" s="92" t="inlineStr">
        <is>
          <t>POSTTAX(INDEX(AE$381:AE$392,$D2475),AE2448+AE2466,$E2475)</t>
        </is>
      </c>
    </row>
    <row r="1938">
      <c r="A1938" s="14" t="n">
        <v>2476</v>
      </c>
      <c r="B1938" s="14" t="inlineStr">
        <is>
          <t>atp</t>
        </is>
      </c>
      <c r="C1938" s="14" t="inlineStr">
        <is>
          <t>nga</t>
        </is>
      </c>
      <c r="D1938" s="14" t="inlineStr">
        <is>
          <t>cem</t>
        </is>
      </c>
      <c r="E1938" s="14" t="inlineStr">
        <is>
          <t>POSTTAX</t>
        </is>
      </c>
      <c r="F1938" s="92" t="inlineStr">
        <is>
          <t>POSTTAX(INDEX(AE$381:AE$392,$D2476),AE2449+AE2467,$E2476)</t>
        </is>
      </c>
    </row>
    <row r="1939">
      <c r="A1939" s="14" t="n">
        <v>2477</v>
      </c>
      <c r="B1939" s="14" t="inlineStr">
        <is>
          <t>atp</t>
        </is>
      </c>
      <c r="C1939" s="14" t="inlineStr">
        <is>
          <t>gso</t>
        </is>
      </c>
      <c r="D1939" s="14" t="inlineStr">
        <is>
          <t>cem</t>
        </is>
      </c>
      <c r="E1939" s="14" t="inlineStr">
        <is>
          <t>POSTTAX</t>
        </is>
      </c>
      <c r="F1939" s="92" t="inlineStr">
        <is>
          <t>POSTTAX(INDEX(AE$381:AE$392,$D2477),AE2450+AE2468,$E2477)</t>
        </is>
      </c>
    </row>
    <row r="1940">
      <c r="A1940" s="14" t="n">
        <v>2478</v>
      </c>
      <c r="B1940" s="14" t="inlineStr">
        <is>
          <t>atp</t>
        </is>
      </c>
      <c r="C1940" s="14" t="inlineStr">
        <is>
          <t>die</t>
        </is>
      </c>
      <c r="D1940" s="14" t="inlineStr">
        <is>
          <t>cem</t>
        </is>
      </c>
      <c r="E1940" s="14" t="inlineStr">
        <is>
          <t>POSTTAX</t>
        </is>
      </c>
      <c r="F1940" s="92" t="inlineStr">
        <is>
          <t>POSTTAX(INDEX(AE$381:AE$392,$D2478),AE2451+AE2469,$E2478)</t>
        </is>
      </c>
    </row>
    <row r="1941">
      <c r="A1941" s="14" t="n">
        <v>2479</v>
      </c>
      <c r="B1941" s="14" t="inlineStr">
        <is>
          <t>atp</t>
        </is>
      </c>
      <c r="C1941" s="14" t="inlineStr">
        <is>
          <t>lpg</t>
        </is>
      </c>
      <c r="D1941" s="14" t="inlineStr">
        <is>
          <t>cem</t>
        </is>
      </c>
      <c r="E1941" s="14" t="inlineStr">
        <is>
          <t>POSTTAX</t>
        </is>
      </c>
      <c r="F1941" s="92" t="inlineStr">
        <is>
          <t>POSTTAX(INDEX(AE$381:AE$392,$D2479),AE2452+AE2470,$E2479)</t>
        </is>
      </c>
    </row>
    <row r="1942">
      <c r="A1942" s="14" t="n">
        <v>2480</v>
      </c>
      <c r="B1942" s="14" t="inlineStr">
        <is>
          <t>atp</t>
        </is>
      </c>
      <c r="C1942" s="14" t="inlineStr">
        <is>
          <t>ker</t>
        </is>
      </c>
      <c r="D1942" s="14" t="inlineStr">
        <is>
          <t>cem</t>
        </is>
      </c>
      <c r="E1942" s="14" t="inlineStr">
        <is>
          <t>POSTTAX</t>
        </is>
      </c>
      <c r="F1942" s="92" t="inlineStr">
        <is>
          <t>POSTTAX(INDEX(AE$381:AE$392,$D2480),AE2453+AE2471,$E2480)</t>
        </is>
      </c>
    </row>
    <row r="1943">
      <c r="A1943" s="14" t="n">
        <v>2481</v>
      </c>
      <c r="B1943" s="14" t="inlineStr">
        <is>
          <t>atp</t>
        </is>
      </c>
      <c r="C1943" s="14" t="inlineStr">
        <is>
          <t>oop</t>
        </is>
      </c>
      <c r="D1943" s="14" t="inlineStr">
        <is>
          <t>cem</t>
        </is>
      </c>
      <c r="E1943" s="14" t="inlineStr">
        <is>
          <t>POSTTAX</t>
        </is>
      </c>
      <c r="F1943" s="92" t="inlineStr">
        <is>
          <t>POSTTAX(INDEX(AE$381:AE$392,$D2481),AE2454+AE2472,$E2481)</t>
        </is>
      </c>
    </row>
    <row r="1944">
      <c r="A1944" s="14" t="n">
        <v>2482</v>
      </c>
      <c r="B1944" s="14" t="inlineStr">
        <is>
          <t>atp</t>
        </is>
      </c>
      <c r="C1944" s="14" t="inlineStr">
        <is>
          <t>bio</t>
        </is>
      </c>
      <c r="D1944" s="14" t="inlineStr">
        <is>
          <t>cem</t>
        </is>
      </c>
      <c r="E1944" s="14" t="inlineStr">
        <is>
          <t>POSTTAX</t>
        </is>
      </c>
      <c r="F1944" s="92" t="inlineStr">
        <is>
          <t>POSTTAX(INDEX(AE$381:AE$392,$D2482),AE2455+AE2473,$E2482)</t>
        </is>
      </c>
    </row>
    <row r="1945">
      <c r="A1945" s="14" t="n">
        <v>2484</v>
      </c>
      <c r="B1945" s="14" t="inlineStr">
        <is>
          <t>shp</t>
        </is>
      </c>
      <c r="C1945" s="14" t="inlineStr">
        <is>
          <t>coa</t>
        </is>
      </c>
      <c r="D1945" s="14" t="inlineStr">
        <is>
          <t>cem</t>
        </is>
      </c>
      <c r="E1945" s="14" t="inlineStr">
        <is>
          <t>SHADOWGJ</t>
        </is>
      </c>
      <c r="F1945" s="92" t="inlineStr">
        <is>
          <t>SHADOWGJ(INDEX(AE$297:AE$313,$E2484),$D2484)</t>
        </is>
      </c>
    </row>
    <row r="1946">
      <c r="A1946" s="14" t="n">
        <v>2485</v>
      </c>
      <c r="B1946" s="14" t="inlineStr">
        <is>
          <t>shp</t>
        </is>
      </c>
      <c r="C1946" s="14" t="inlineStr">
        <is>
          <t>nga</t>
        </is>
      </c>
      <c r="D1946" s="14" t="inlineStr">
        <is>
          <t>cem</t>
        </is>
      </c>
      <c r="E1946" s="14" t="inlineStr">
        <is>
          <t>SHADOWGJ</t>
        </is>
      </c>
      <c r="F1946" s="92" t="inlineStr">
        <is>
          <t>SHADOWGJ(INDEX(AE$297:AE$313,$E2485),$D2485)</t>
        </is>
      </c>
    </row>
    <row r="1947">
      <c r="A1947" s="14" t="n">
        <v>2486</v>
      </c>
      <c r="B1947" s="14" t="inlineStr">
        <is>
          <t>shp</t>
        </is>
      </c>
      <c r="C1947" s="14" t="inlineStr">
        <is>
          <t>gso</t>
        </is>
      </c>
      <c r="D1947" s="14" t="inlineStr">
        <is>
          <t>cem</t>
        </is>
      </c>
      <c r="E1947" s="14" t="inlineStr">
        <is>
          <t>SHADOWGJ</t>
        </is>
      </c>
      <c r="F1947" s="92" t="inlineStr">
        <is>
          <t>SHADOWGJ(INDEX(AE$297:AE$313,$E2486),$D2486)</t>
        </is>
      </c>
    </row>
    <row r="1948">
      <c r="A1948" s="14" t="n">
        <v>2487</v>
      </c>
      <c r="B1948" s="14" t="inlineStr">
        <is>
          <t>shp</t>
        </is>
      </c>
      <c r="C1948" s="14" t="inlineStr">
        <is>
          <t>die</t>
        </is>
      </c>
      <c r="D1948" s="14" t="inlineStr">
        <is>
          <t>cem</t>
        </is>
      </c>
      <c r="E1948" s="14" t="inlineStr">
        <is>
          <t>SHADOWGJ</t>
        </is>
      </c>
      <c r="F1948" s="92" t="inlineStr">
        <is>
          <t>SHADOWGJ(INDEX(AE$297:AE$313,$E2487),$D2487)</t>
        </is>
      </c>
    </row>
    <row r="1949">
      <c r="A1949" s="14" t="n">
        <v>2488</v>
      </c>
      <c r="B1949" s="14" t="inlineStr">
        <is>
          <t>shp</t>
        </is>
      </c>
      <c r="C1949" s="14" t="inlineStr">
        <is>
          <t>lpg</t>
        </is>
      </c>
      <c r="D1949" s="14" t="inlineStr">
        <is>
          <t>cem</t>
        </is>
      </c>
      <c r="E1949" s="14" t="inlineStr">
        <is>
          <t>SHADOWGJ</t>
        </is>
      </c>
      <c r="F1949" s="92" t="inlineStr">
        <is>
          <t>SHADOWGJ(INDEX(AE$297:AE$313,$E2488),$D2488)</t>
        </is>
      </c>
    </row>
    <row r="1950">
      <c r="A1950" s="14" t="n">
        <v>2489</v>
      </c>
      <c r="B1950" s="14" t="inlineStr">
        <is>
          <t>shp</t>
        </is>
      </c>
      <c r="C1950" s="14" t="inlineStr">
        <is>
          <t>ker</t>
        </is>
      </c>
      <c r="D1950" s="14" t="inlineStr">
        <is>
          <t>cem</t>
        </is>
      </c>
      <c r="E1950" s="14" t="inlineStr">
        <is>
          <t>SHADOWGJ</t>
        </is>
      </c>
      <c r="F1950" s="92" t="inlineStr">
        <is>
          <t>SHADOWGJ(INDEX(AE$297:AE$313,$E2489),$D2489)</t>
        </is>
      </c>
    </row>
    <row r="1951">
      <c r="A1951" s="14" t="n">
        <v>2490</v>
      </c>
      <c r="B1951" s="14" t="inlineStr">
        <is>
          <t>shp</t>
        </is>
      </c>
      <c r="C1951" s="14" t="inlineStr">
        <is>
          <t>oop</t>
        </is>
      </c>
      <c r="D1951" s="14" t="inlineStr">
        <is>
          <t>cem</t>
        </is>
      </c>
      <c r="E1951" s="14" t="inlineStr">
        <is>
          <t>SHADOWGJ</t>
        </is>
      </c>
      <c r="F1951" s="92" t="inlineStr">
        <is>
          <t>SHADOWGJ(INDEX(AE$297:AE$313,$E2490),$D2490)</t>
        </is>
      </c>
    </row>
    <row r="1952">
      <c r="A1952" s="14" t="n">
        <v>2491</v>
      </c>
      <c r="B1952" s="14" t="inlineStr">
        <is>
          <t>shp</t>
        </is>
      </c>
      <c r="C1952" s="14" t="inlineStr">
        <is>
          <t>bio</t>
        </is>
      </c>
      <c r="D1952" s="14" t="inlineStr">
        <is>
          <t>cem</t>
        </is>
      </c>
      <c r="E1952" s="14" t="inlineStr">
        <is>
          <t>SHADOWGJ</t>
        </is>
      </c>
      <c r="F1952" s="92" t="inlineStr">
        <is>
          <t>SHADOWGJ(INDEX(AE$297:AE$313,$E2491),$D2491)</t>
        </is>
      </c>
    </row>
    <row r="1953">
      <c r="A1953" s="14" t="n">
        <v>2493</v>
      </c>
      <c r="B1953" s="14" t="inlineStr">
        <is>
          <t>ener</t>
        </is>
      </c>
      <c r="C1953" s="14" t="inlineStr">
        <is>
          <t>coa</t>
        </is>
      </c>
      <c r="D1953" s="14" t="inlineStr">
        <is>
          <t>cem</t>
        </is>
      </c>
      <c r="E1953" s="14" t="inlineStr">
        <is>
          <t>FUELUSE</t>
        </is>
      </c>
      <c r="F1953" s="92" t="inlineStr">
        <is>
          <t>FUELUSE(AD2493,AE2475,AD2475,AE2484,AD2484,AE$7,$D2493,$E2493,$F2493,$G2493)</t>
        </is>
      </c>
    </row>
    <row r="1954">
      <c r="A1954" s="14" t="n">
        <v>2494</v>
      </c>
      <c r="B1954" s="14" t="inlineStr">
        <is>
          <t>ener</t>
        </is>
      </c>
      <c r="C1954" s="14" t="inlineStr">
        <is>
          <t>nga</t>
        </is>
      </c>
      <c r="D1954" s="14" t="inlineStr">
        <is>
          <t>cem</t>
        </is>
      </c>
      <c r="E1954" s="14" t="inlineStr">
        <is>
          <t>FUELUSE</t>
        </is>
      </c>
      <c r="F1954" s="92" t="inlineStr">
        <is>
          <t>FUELUSE(AD2494,AE2476,AD2476,AE2485,AD2485,AE$7,$D2494,$E2494,$F2494,$G2494)</t>
        </is>
      </c>
    </row>
    <row r="1955">
      <c r="A1955" s="14" t="n">
        <v>2495</v>
      </c>
      <c r="B1955" s="14" t="inlineStr">
        <is>
          <t>ener</t>
        </is>
      </c>
      <c r="C1955" s="14" t="inlineStr">
        <is>
          <t>gso</t>
        </is>
      </c>
      <c r="D1955" s="14" t="inlineStr">
        <is>
          <t>cem</t>
        </is>
      </c>
      <c r="E1955" s="14" t="inlineStr">
        <is>
          <t>FUELUSE</t>
        </is>
      </c>
      <c r="F1955" s="92" t="inlineStr">
        <is>
          <t>FUELUSE(AD2495,AE2477,AD2477,AE2486,AD2486,AE$7,$D2495,$E2495,$F2495,$G2495)</t>
        </is>
      </c>
    </row>
    <row r="1956">
      <c r="A1956" s="14" t="n">
        <v>2496</v>
      </c>
      <c r="B1956" s="14" t="inlineStr">
        <is>
          <t>ener</t>
        </is>
      </c>
      <c r="C1956" s="14" t="inlineStr">
        <is>
          <t>die</t>
        </is>
      </c>
      <c r="D1956" s="14" t="inlineStr">
        <is>
          <t>cem</t>
        </is>
      </c>
      <c r="E1956" s="14" t="inlineStr">
        <is>
          <t>FUELUSE</t>
        </is>
      </c>
      <c r="F1956" s="92" t="inlineStr">
        <is>
          <t>FUELUSE(AD2496,AE2478,AD2478,AE2487,AD2487,AE$7,$D2496,$E2496,$F2496,$G2496)</t>
        </is>
      </c>
    </row>
    <row r="1957">
      <c r="A1957" s="14" t="n">
        <v>2497</v>
      </c>
      <c r="B1957" s="14" t="inlineStr">
        <is>
          <t>ener</t>
        </is>
      </c>
      <c r="C1957" s="14" t="inlineStr">
        <is>
          <t>lpg</t>
        </is>
      </c>
      <c r="D1957" s="14" t="inlineStr">
        <is>
          <t>cem</t>
        </is>
      </c>
      <c r="E1957" s="14" t="inlineStr">
        <is>
          <t>FUELUSE</t>
        </is>
      </c>
      <c r="F1957" s="92" t="inlineStr">
        <is>
          <t>FUELUSE(AD2497,AE2479,AD2479,AE2488,AD2488,AE$7,$D2497,$E2497,$F2497,$G2497)</t>
        </is>
      </c>
    </row>
    <row r="1958">
      <c r="A1958" s="14" t="n">
        <v>2498</v>
      </c>
      <c r="B1958" s="14" t="inlineStr">
        <is>
          <t>ener</t>
        </is>
      </c>
      <c r="C1958" s="14" t="inlineStr">
        <is>
          <t>ker</t>
        </is>
      </c>
      <c r="D1958" s="14" t="inlineStr">
        <is>
          <t>cem</t>
        </is>
      </c>
      <c r="E1958" s="14" t="inlineStr">
        <is>
          <t>FUELUSE</t>
        </is>
      </c>
      <c r="F1958" s="92" t="inlineStr">
        <is>
          <t>FUELUSE(AD2498,AE2480,AD2480,AE2489,AD2489,AE$7,$D2498,$E2498,$F2498,$G2498)</t>
        </is>
      </c>
    </row>
    <row r="1959">
      <c r="A1959" s="14" t="n">
        <v>2499</v>
      </c>
      <c r="B1959" s="14" t="inlineStr">
        <is>
          <t>ener</t>
        </is>
      </c>
      <c r="C1959" s="14" t="inlineStr">
        <is>
          <t>oop</t>
        </is>
      </c>
      <c r="D1959" s="14" t="inlineStr">
        <is>
          <t>cem</t>
        </is>
      </c>
      <c r="E1959" s="14" t="inlineStr">
        <is>
          <t>FUELUSE</t>
        </is>
      </c>
      <c r="F1959" s="92" t="inlineStr">
        <is>
          <t>FUELUSE(AD2499,AE2481,AD2481,AE2490,AD2490,AE$7,$D2499,$E2499,$F2499,$G2499)</t>
        </is>
      </c>
    </row>
    <row r="1960">
      <c r="A1960" s="14" t="n">
        <v>2500</v>
      </c>
      <c r="B1960" s="14" t="inlineStr">
        <is>
          <t>ener</t>
        </is>
      </c>
      <c r="C1960" s="14" t="inlineStr">
        <is>
          <t>bio</t>
        </is>
      </c>
      <c r="D1960" s="14" t="inlineStr">
        <is>
          <t>cem</t>
        </is>
      </c>
      <c r="E1960" s="14" t="inlineStr">
        <is>
          <t>FUELUSE</t>
        </is>
      </c>
      <c r="F1960" s="92" t="inlineStr">
        <is>
          <t>FUELUSE(AD2500,AE2482,AD2482,AE2491,AD2491,AE$7,$D2500,$E2500,$F2500,$G2500)</t>
        </is>
      </c>
    </row>
    <row r="1961">
      <c r="A1961" s="14" t="n">
        <v>2502</v>
      </c>
      <c r="B1961" s="14" t="inlineStr">
        <is>
          <t>co2</t>
        </is>
      </c>
      <c r="C1961" s="14" t="inlineStr">
        <is>
          <t>coa</t>
        </is>
      </c>
      <c r="D1961" s="14" t="inlineStr">
        <is>
          <t>cem</t>
        </is>
      </c>
      <c r="E1961" s="14" t="inlineStr">
        <is>
          <t>EMISSIONS</t>
        </is>
      </c>
      <c r="F1961" s="92" t="inlineStr">
        <is>
          <t>EMISSIONS(AE2493,Settings!$C$13,$D2502)</t>
        </is>
      </c>
    </row>
    <row r="1962">
      <c r="A1962" s="14" t="n">
        <v>2503</v>
      </c>
      <c r="B1962" s="14" t="inlineStr">
        <is>
          <t>co2</t>
        </is>
      </c>
      <c r="C1962" s="14" t="inlineStr">
        <is>
          <t>nga</t>
        </is>
      </c>
      <c r="D1962" s="14" t="inlineStr">
        <is>
          <t>cem</t>
        </is>
      </c>
      <c r="E1962" s="14" t="inlineStr">
        <is>
          <t>EMISSIONS</t>
        </is>
      </c>
      <c r="F1962" s="92" t="inlineStr">
        <is>
          <t>EMISSIONS(AE2494,Settings!$C$13,$D2503)</t>
        </is>
      </c>
    </row>
    <row r="1963">
      <c r="A1963" s="14" t="n">
        <v>2504</v>
      </c>
      <c r="B1963" s="14" t="inlineStr">
        <is>
          <t>co2</t>
        </is>
      </c>
      <c r="C1963" s="14" t="inlineStr">
        <is>
          <t>gso</t>
        </is>
      </c>
      <c r="D1963" s="14" t="inlineStr">
        <is>
          <t>cem</t>
        </is>
      </c>
      <c r="E1963" s="14" t="inlineStr">
        <is>
          <t>EMISSIONS</t>
        </is>
      </c>
      <c r="F1963" s="92" t="inlineStr">
        <is>
          <t>EMISSIONS(AE2495,Settings!$C$13,$D2504)</t>
        </is>
      </c>
    </row>
    <row r="1964">
      <c r="A1964" s="14" t="n">
        <v>2505</v>
      </c>
      <c r="B1964" s="14" t="inlineStr">
        <is>
          <t>co2</t>
        </is>
      </c>
      <c r="C1964" s="14" t="inlineStr">
        <is>
          <t>die</t>
        </is>
      </c>
      <c r="D1964" s="14" t="inlineStr">
        <is>
          <t>cem</t>
        </is>
      </c>
      <c r="E1964" s="14" t="inlineStr">
        <is>
          <t>EMISSIONS</t>
        </is>
      </c>
      <c r="F1964" s="92" t="inlineStr">
        <is>
          <t>EMISSIONS(AE2496,Settings!$C$13,$D2505)</t>
        </is>
      </c>
    </row>
    <row r="1965">
      <c r="A1965" s="14" t="n">
        <v>2506</v>
      </c>
      <c r="B1965" s="14" t="inlineStr">
        <is>
          <t>co2</t>
        </is>
      </c>
      <c r="C1965" s="14" t="inlineStr">
        <is>
          <t>lpg</t>
        </is>
      </c>
      <c r="D1965" s="14" t="inlineStr">
        <is>
          <t>cem</t>
        </is>
      </c>
      <c r="E1965" s="14" t="inlineStr">
        <is>
          <t>EMISSIONS</t>
        </is>
      </c>
      <c r="F1965" s="92" t="inlineStr">
        <is>
          <t>EMISSIONS(AE2497,Settings!$C$13,$D2506)</t>
        </is>
      </c>
    </row>
    <row r="1966">
      <c r="A1966" s="14" t="n">
        <v>2507</v>
      </c>
      <c r="B1966" s="14" t="inlineStr">
        <is>
          <t>co2</t>
        </is>
      </c>
      <c r="C1966" s="14" t="inlineStr">
        <is>
          <t>ker</t>
        </is>
      </c>
      <c r="D1966" s="14" t="inlineStr">
        <is>
          <t>cem</t>
        </is>
      </c>
      <c r="E1966" s="14" t="inlineStr">
        <is>
          <t>EMISSIONS</t>
        </is>
      </c>
      <c r="F1966" s="92" t="inlineStr">
        <is>
          <t>EMISSIONS(AE2498,Settings!$C$13,$D2507)</t>
        </is>
      </c>
    </row>
    <row r="1967">
      <c r="A1967" s="14" t="n">
        <v>2508</v>
      </c>
      <c r="B1967" s="14" t="inlineStr">
        <is>
          <t>co2</t>
        </is>
      </c>
      <c r="C1967" s="14" t="inlineStr">
        <is>
          <t>oop</t>
        </is>
      </c>
      <c r="D1967" s="14" t="inlineStr">
        <is>
          <t>cem</t>
        </is>
      </c>
      <c r="E1967" s="14" t="inlineStr">
        <is>
          <t>EMISSIONS</t>
        </is>
      </c>
      <c r="F1967" s="92" t="inlineStr">
        <is>
          <t>EMISSIONS(AE2499,Settings!$C$13,$D2508)</t>
        </is>
      </c>
    </row>
    <row r="1968">
      <c r="A1968" s="14" t="n">
        <v>2509</v>
      </c>
      <c r="B1968" s="14" t="inlineStr">
        <is>
          <t>co2</t>
        </is>
      </c>
      <c r="C1968" s="14" t="inlineStr">
        <is>
          <t>bio</t>
        </is>
      </c>
      <c r="D1968" s="14" t="inlineStr">
        <is>
          <t>cem</t>
        </is>
      </c>
      <c r="E1968" s="14" t="inlineStr">
        <is>
          <t>EMISSIONS</t>
        </is>
      </c>
      <c r="F1968" s="92" t="inlineStr">
        <is>
          <t>EMISSIONS(AE2500,Settings!$C$13,$D2509)</t>
        </is>
      </c>
    </row>
    <row r="1969">
      <c r="A1969" s="14" t="n">
        <v>2511</v>
      </c>
      <c r="B1969" s="14" t="inlineStr">
        <is>
          <t>rtx</t>
        </is>
      </c>
      <c r="C1969" s="14" t="inlineStr">
        <is>
          <t>coa</t>
        </is>
      </c>
      <c r="D1969" s="14" t="inlineStr">
        <is>
          <t>cem</t>
        </is>
      </c>
      <c r="E1969" s="14" t="inlineStr">
        <is>
          <t>REVENUE</t>
        </is>
      </c>
      <c r="F1969" s="92" t="inlineStr">
        <is>
          <t>REVENUE(AE2493,Settings!$C$13,INDEX(AE$407:AE$418,$D2511)+INDEX(AE$394:AE$405,$D2511)+AE2466*(1+$E2511))</t>
        </is>
      </c>
    </row>
    <row r="1970">
      <c r="A1970" s="14" t="n">
        <v>2512</v>
      </c>
      <c r="B1970" s="14" t="inlineStr">
        <is>
          <t>rtx</t>
        </is>
      </c>
      <c r="C1970" s="14" t="inlineStr">
        <is>
          <t>nga</t>
        </is>
      </c>
      <c r="D1970" s="14" t="inlineStr">
        <is>
          <t>cem</t>
        </is>
      </c>
      <c r="E1970" s="14" t="inlineStr">
        <is>
          <t>REVENUE</t>
        </is>
      </c>
      <c r="F1970" s="92" t="inlineStr">
        <is>
          <t>REVENUE(AE2494,Settings!$C$13,INDEX(AE$407:AE$418,$D2512)+INDEX(AE$394:AE$405,$D2512)+AE2467*(1+$E2512))</t>
        </is>
      </c>
    </row>
    <row r="1971">
      <c r="A1971" s="14" t="n">
        <v>2513</v>
      </c>
      <c r="B1971" s="14" t="inlineStr">
        <is>
          <t>rtx</t>
        </is>
      </c>
      <c r="C1971" s="14" t="inlineStr">
        <is>
          <t>gso</t>
        </is>
      </c>
      <c r="D1971" s="14" t="inlineStr">
        <is>
          <t>cem</t>
        </is>
      </c>
      <c r="E1971" s="14" t="inlineStr">
        <is>
          <t>REVENUE</t>
        </is>
      </c>
      <c r="F1971" s="92" t="inlineStr">
        <is>
          <t>REVENUE(AE2495,Settings!$C$13,INDEX(AE$407:AE$418,$D2513)+INDEX(AE$394:AE$405,$D2513)+AE2468*(1+$E2513))</t>
        </is>
      </c>
    </row>
    <row r="1972">
      <c r="A1972" s="14" t="n">
        <v>2514</v>
      </c>
      <c r="B1972" s="14" t="inlineStr">
        <is>
          <t>rtx</t>
        </is>
      </c>
      <c r="C1972" s="14" t="inlineStr">
        <is>
          <t>die</t>
        </is>
      </c>
      <c r="D1972" s="14" t="inlineStr">
        <is>
          <t>cem</t>
        </is>
      </c>
      <c r="E1972" s="14" t="inlineStr">
        <is>
          <t>REVENUE</t>
        </is>
      </c>
      <c r="F1972" s="92" t="inlineStr">
        <is>
          <t>REVENUE(AE2496,Settings!$C$13,INDEX(AE$407:AE$418,$D2514)+INDEX(AE$394:AE$405,$D2514)+AE2469*(1+$E2514))</t>
        </is>
      </c>
    </row>
    <row r="1973">
      <c r="A1973" s="14" t="n">
        <v>2515</v>
      </c>
      <c r="B1973" s="14" t="inlineStr">
        <is>
          <t>rtx</t>
        </is>
      </c>
      <c r="C1973" s="14" t="inlineStr">
        <is>
          <t>lpg</t>
        </is>
      </c>
      <c r="D1973" s="14" t="inlineStr">
        <is>
          <t>cem</t>
        </is>
      </c>
      <c r="E1973" s="14" t="inlineStr">
        <is>
          <t>REVENUE</t>
        </is>
      </c>
      <c r="F1973" s="92" t="inlineStr">
        <is>
          <t>REVENUE(AE2497,Settings!$C$13,INDEX(AE$407:AE$418,$D2515)+INDEX(AE$394:AE$405,$D2515)+AE2470*(1+$E2515))</t>
        </is>
      </c>
    </row>
    <row r="1974">
      <c r="A1974" s="14" t="n">
        <v>2516</v>
      </c>
      <c r="B1974" s="14" t="inlineStr">
        <is>
          <t>rtx</t>
        </is>
      </c>
      <c r="C1974" s="14" t="inlineStr">
        <is>
          <t>ker</t>
        </is>
      </c>
      <c r="D1974" s="14" t="inlineStr">
        <is>
          <t>cem</t>
        </is>
      </c>
      <c r="E1974" s="14" t="inlineStr">
        <is>
          <t>REVENUE</t>
        </is>
      </c>
      <c r="F1974" s="92" t="inlineStr">
        <is>
          <t>REVENUE(AE2498,Settings!$C$13,INDEX(AE$407:AE$418,$D2516)+INDEX(AE$394:AE$405,$D2516)+AE2471*(1+$E2516))</t>
        </is>
      </c>
    </row>
    <row r="1975">
      <c r="A1975" s="14" t="n">
        <v>2517</v>
      </c>
      <c r="B1975" s="14" t="inlineStr">
        <is>
          <t>rtx</t>
        </is>
      </c>
      <c r="C1975" s="14" t="inlineStr">
        <is>
          <t>oop</t>
        </is>
      </c>
      <c r="D1975" s="14" t="inlineStr">
        <is>
          <t>cem</t>
        </is>
      </c>
      <c r="E1975" s="14" t="inlineStr">
        <is>
          <t>REVENUE</t>
        </is>
      </c>
      <c r="F1975" s="92" t="inlineStr">
        <is>
          <t>REVENUE(AE2499,Settings!$C$13,INDEX(AE$407:AE$418,$D2517)+INDEX(AE$394:AE$405,$D2517)+AE2472*(1+$E2517))</t>
        </is>
      </c>
    </row>
    <row r="1976">
      <c r="A1976" s="14" t="n">
        <v>2518</v>
      </c>
      <c r="B1976" s="14" t="inlineStr">
        <is>
          <t>rtx</t>
        </is>
      </c>
      <c r="C1976" s="14" t="inlineStr">
        <is>
          <t>bio</t>
        </is>
      </c>
      <c r="D1976" s="14" t="inlineStr">
        <is>
          <t>cem</t>
        </is>
      </c>
      <c r="E1976" s="14" t="inlineStr">
        <is>
          <t>REVENUE</t>
        </is>
      </c>
      <c r="F1976" s="92" t="inlineStr">
        <is>
          <t>REVENUE(AE2500,Settings!$C$13,INDEX(AE$407:AE$418,$D2518)+INDEX(AE$394:AE$405,$D2518)+AE2473*(1+$E2518))</t>
        </is>
      </c>
    </row>
    <row r="1977">
      <c r="A1977" s="14" t="n">
        <v>2520</v>
      </c>
      <c r="B1977" s="14" t="inlineStr">
        <is>
          <t>rsub</t>
        </is>
      </c>
      <c r="C1977" s="14" t="inlineStr">
        <is>
          <t>coa</t>
        </is>
      </c>
      <c r="D1977" s="14" t="inlineStr">
        <is>
          <t>cem</t>
        </is>
      </c>
      <c r="E1977" s="14" t="inlineStr">
        <is>
          <t>REVENUE</t>
        </is>
      </c>
      <c r="F1977" s="92" t="inlineStr">
        <is>
          <t>REVENUE(AE2493,Settings!$C$13,INDEX(AE$420:AE$431,$D2520))</t>
        </is>
      </c>
    </row>
    <row r="1978">
      <c r="A1978" s="14" t="n">
        <v>2521</v>
      </c>
      <c r="B1978" s="14" t="inlineStr">
        <is>
          <t>rsub</t>
        </is>
      </c>
      <c r="C1978" s="14" t="inlineStr">
        <is>
          <t>nga</t>
        </is>
      </c>
      <c r="D1978" s="14" t="inlineStr">
        <is>
          <t>cem</t>
        </is>
      </c>
      <c r="E1978" s="14" t="inlineStr">
        <is>
          <t>REVENUE</t>
        </is>
      </c>
      <c r="F1978" s="92" t="inlineStr">
        <is>
          <t>REVENUE(AE2494,Settings!$C$13,INDEX(AE$420:AE$431,$D2521))</t>
        </is>
      </c>
    </row>
    <row r="1979">
      <c r="A1979" s="14" t="n">
        <v>2522</v>
      </c>
      <c r="B1979" s="14" t="inlineStr">
        <is>
          <t>rsub</t>
        </is>
      </c>
      <c r="C1979" s="14" t="inlineStr">
        <is>
          <t>gso</t>
        </is>
      </c>
      <c r="D1979" s="14" t="inlineStr">
        <is>
          <t>cem</t>
        </is>
      </c>
      <c r="E1979" s="14" t="inlineStr">
        <is>
          <t>REVENUE</t>
        </is>
      </c>
      <c r="F1979" s="92" t="inlineStr">
        <is>
          <t>REVENUE(AE2495,Settings!$C$13,INDEX(AE$420:AE$431,$D2522))</t>
        </is>
      </c>
    </row>
    <row r="1980">
      <c r="A1980" s="14" t="n">
        <v>2523</v>
      </c>
      <c r="B1980" s="14" t="inlineStr">
        <is>
          <t>rsub</t>
        </is>
      </c>
      <c r="C1980" s="14" t="inlineStr">
        <is>
          <t>die</t>
        </is>
      </c>
      <c r="D1980" s="14" t="inlineStr">
        <is>
          <t>cem</t>
        </is>
      </c>
      <c r="E1980" s="14" t="inlineStr">
        <is>
          <t>REVENUE</t>
        </is>
      </c>
      <c r="F1980" s="92" t="inlineStr">
        <is>
          <t>REVENUE(AE2496,Settings!$C$13,INDEX(AE$420:AE$431,$D2523))</t>
        </is>
      </c>
    </row>
    <row r="1981">
      <c r="A1981" s="14" t="n">
        <v>2524</v>
      </c>
      <c r="B1981" s="14" t="inlineStr">
        <is>
          <t>rsub</t>
        </is>
      </c>
      <c r="C1981" s="14" t="inlineStr">
        <is>
          <t>lpg</t>
        </is>
      </c>
      <c r="D1981" s="14" t="inlineStr">
        <is>
          <t>cem</t>
        </is>
      </c>
      <c r="E1981" s="14" t="inlineStr">
        <is>
          <t>REVENUE</t>
        </is>
      </c>
      <c r="F1981" s="92" t="inlineStr">
        <is>
          <t>REVENUE(AE2497,Settings!$C$13,INDEX(AE$420:AE$431,$D2524))</t>
        </is>
      </c>
    </row>
    <row r="1982">
      <c r="A1982" s="14" t="n">
        <v>2525</v>
      </c>
      <c r="B1982" s="14" t="inlineStr">
        <is>
          <t>rsub</t>
        </is>
      </c>
      <c r="C1982" s="14" t="inlineStr">
        <is>
          <t>ker</t>
        </is>
      </c>
      <c r="D1982" s="14" t="inlineStr">
        <is>
          <t>cem</t>
        </is>
      </c>
      <c r="E1982" s="14" t="inlineStr">
        <is>
          <t>REVENUE</t>
        </is>
      </c>
      <c r="F1982" s="92" t="inlineStr">
        <is>
          <t>REVENUE(AE2498,Settings!$C$13,INDEX(AE$420:AE$431,$D2525))</t>
        </is>
      </c>
    </row>
    <row r="1983">
      <c r="A1983" s="14" t="n">
        <v>2526</v>
      </c>
      <c r="B1983" s="14" t="inlineStr">
        <is>
          <t>rsub</t>
        </is>
      </c>
      <c r="C1983" s="14" t="inlineStr">
        <is>
          <t>oop</t>
        </is>
      </c>
      <c r="D1983" s="14" t="inlineStr">
        <is>
          <t>cem</t>
        </is>
      </c>
      <c r="E1983" s="14" t="inlineStr">
        <is>
          <t>REVENUE</t>
        </is>
      </c>
      <c r="F1983" s="92" t="inlineStr">
        <is>
          <t>REVENUE(AE2499,Settings!$C$13,INDEX(AE$420:AE$431,$D2526))</t>
        </is>
      </c>
    </row>
    <row r="1984">
      <c r="A1984" s="14" t="n">
        <v>2527</v>
      </c>
      <c r="B1984" s="14" t="inlineStr">
        <is>
          <t>rsub</t>
        </is>
      </c>
      <c r="C1984" s="14" t="inlineStr">
        <is>
          <t>bio</t>
        </is>
      </c>
      <c r="D1984" s="14" t="inlineStr">
        <is>
          <t>cem</t>
        </is>
      </c>
      <c r="E1984" s="14" t="inlineStr">
        <is>
          <t>REVENUE</t>
        </is>
      </c>
      <c r="F1984" s="92" t="inlineStr">
        <is>
          <t>REVENUE(AE2500,Settings!$C$13,INDEX(AE$420:AE$431,$D2527))</t>
        </is>
      </c>
    </row>
    <row r="1985">
      <c r="A1985" s="14" t="n">
        <v>2529</v>
      </c>
      <c r="B1985" s="14" t="inlineStr">
        <is>
          <t>rnew</t>
        </is>
      </c>
      <c r="C1985" s="14" t="inlineStr">
        <is>
          <t>coa</t>
        </is>
      </c>
      <c r="D1985" s="14" t="inlineStr">
        <is>
          <t>cem</t>
        </is>
      </c>
      <c r="E1985" s="14" t="inlineStr">
        <is>
          <t>REVENUE</t>
        </is>
      </c>
      <c r="F1985" s="92" t="inlineStr">
        <is>
          <t>REVENUE(AE2493,Settings!$C$13,NEWREVRATE(AE2421,AE2439,AE2430,AE$201,AE2448,$D2529))</t>
        </is>
      </c>
    </row>
    <row r="1986">
      <c r="A1986" s="14" t="n">
        <v>2530</v>
      </c>
      <c r="B1986" s="14" t="inlineStr">
        <is>
          <t>rnew</t>
        </is>
      </c>
      <c r="C1986" s="14" t="inlineStr">
        <is>
          <t>nga</t>
        </is>
      </c>
      <c r="D1986" s="14" t="inlineStr">
        <is>
          <t>cem</t>
        </is>
      </c>
      <c r="E1986" s="14" t="inlineStr">
        <is>
          <t>REVENUE</t>
        </is>
      </c>
      <c r="F1986" s="92" t="inlineStr">
        <is>
          <t>REVENUE(AE2494,Settings!$C$13,NEWREVRATE(AE2422,AE2440,AE2431,AE$201,AE2449,$D2530))</t>
        </is>
      </c>
    </row>
    <row r="1987">
      <c r="A1987" s="14" t="n">
        <v>2531</v>
      </c>
      <c r="B1987" s="14" t="inlineStr">
        <is>
          <t>rnew</t>
        </is>
      </c>
      <c r="C1987" s="14" t="inlineStr">
        <is>
          <t>gso</t>
        </is>
      </c>
      <c r="D1987" s="14" t="inlineStr">
        <is>
          <t>cem</t>
        </is>
      </c>
      <c r="E1987" s="14" t="inlineStr">
        <is>
          <t>REVENUE</t>
        </is>
      </c>
      <c r="F1987" s="92" t="inlineStr">
        <is>
          <t>REVENUE(AE2495,Settings!$C$13,NEWREVRATE(AE2423,AE2441,AE2432,AE$201,AE2450,$D2531))</t>
        </is>
      </c>
    </row>
    <row r="1988">
      <c r="A1988" s="14" t="n">
        <v>2532</v>
      </c>
      <c r="B1988" s="14" t="inlineStr">
        <is>
          <t>rnew</t>
        </is>
      </c>
      <c r="C1988" s="14" t="inlineStr">
        <is>
          <t>die</t>
        </is>
      </c>
      <c r="D1988" s="14" t="inlineStr">
        <is>
          <t>cem</t>
        </is>
      </c>
      <c r="E1988" s="14" t="inlineStr">
        <is>
          <t>REVENUE</t>
        </is>
      </c>
      <c r="F1988" s="92" t="inlineStr">
        <is>
          <t>REVENUE(AE2496,Settings!$C$13,NEWREVRATE(AE2424,AE2442,AE2433,AE$201,AE2451,$D2532))</t>
        </is>
      </c>
    </row>
    <row r="1989">
      <c r="A1989" s="14" t="n">
        <v>2533</v>
      </c>
      <c r="B1989" s="14" t="inlineStr">
        <is>
          <t>rnew</t>
        </is>
      </c>
      <c r="C1989" s="14" t="inlineStr">
        <is>
          <t>lpg</t>
        </is>
      </c>
      <c r="D1989" s="14" t="inlineStr">
        <is>
          <t>cem</t>
        </is>
      </c>
      <c r="E1989" s="14" t="inlineStr">
        <is>
          <t>REVENUE</t>
        </is>
      </c>
      <c r="F1989" s="92" t="inlineStr">
        <is>
          <t>REVENUE(AE2497,Settings!$C$13,NEWREVRATE(AE2425,AE2443,AE2434,AE$201,AE2452,$D2533))</t>
        </is>
      </c>
    </row>
    <row r="1990">
      <c r="A1990" s="14" t="n">
        <v>2534</v>
      </c>
      <c r="B1990" s="14" t="inlineStr">
        <is>
          <t>rnew</t>
        </is>
      </c>
      <c r="C1990" s="14" t="inlineStr">
        <is>
          <t>ker</t>
        </is>
      </c>
      <c r="D1990" s="14" t="inlineStr">
        <is>
          <t>cem</t>
        </is>
      </c>
      <c r="E1990" s="14" t="inlineStr">
        <is>
          <t>REVENUE</t>
        </is>
      </c>
      <c r="F1990" s="92" t="inlineStr">
        <is>
          <t>REVENUE(AE2498,Settings!$C$13,NEWREVRATE(AE2426,AE2444,AE2435,AE$201,AE2453,$D2534))</t>
        </is>
      </c>
    </row>
    <row r="1991">
      <c r="A1991" s="14" t="n">
        <v>2535</v>
      </c>
      <c r="B1991" s="14" t="inlineStr">
        <is>
          <t>rnew</t>
        </is>
      </c>
      <c r="C1991" s="14" t="inlineStr">
        <is>
          <t>oop</t>
        </is>
      </c>
      <c r="D1991" s="14" t="inlineStr">
        <is>
          <t>cem</t>
        </is>
      </c>
      <c r="E1991" s="14" t="inlineStr">
        <is>
          <t>REVENUE</t>
        </is>
      </c>
      <c r="F1991" s="92" t="inlineStr">
        <is>
          <t>REVENUE(AE2499,Settings!$C$13,NEWREVRATE(AE2427,AE2445,AE2436,AE$201,AE2454,$D2535))</t>
        </is>
      </c>
    </row>
    <row r="1992">
      <c r="A1992" s="14" t="n">
        <v>2536</v>
      </c>
      <c r="B1992" s="14" t="inlineStr">
        <is>
          <t>rnew</t>
        </is>
      </c>
      <c r="C1992" s="14" t="inlineStr">
        <is>
          <t>bio</t>
        </is>
      </c>
      <c r="D1992" s="14" t="inlineStr">
        <is>
          <t>cem</t>
        </is>
      </c>
      <c r="E1992" s="14" t="inlineStr">
        <is>
          <t>REVENUE</t>
        </is>
      </c>
      <c r="F1992" s="92" t="inlineStr">
        <is>
          <t>REVENUE(AE2500,Settings!$C$13,NEWREVRATE(AE2428,AE2446,AE2437,AE$201,AE2455,$D2536))</t>
        </is>
      </c>
    </row>
    <row r="1993">
      <c r="A1993" s="14" t="n">
        <v>2538</v>
      </c>
      <c r="B1993" s="14" t="inlineStr">
        <is>
          <t>rxcp</t>
        </is>
      </c>
      <c r="C1993" s="14" t="inlineStr">
        <is>
          <t>coa</t>
        </is>
      </c>
      <c r="D1993" s="14" t="inlineStr">
        <is>
          <t>cem</t>
        </is>
      </c>
      <c r="E1993" s="14" t="inlineStr">
        <is>
          <t>REVENUE</t>
        </is>
      </c>
      <c r="F1993" s="92" t="inlineStr">
        <is>
          <t>REVENUE(AE2493,Settings!$C$13,AE2457)</t>
        </is>
      </c>
    </row>
    <row r="1994">
      <c r="A1994" s="14" t="n">
        <v>2539</v>
      </c>
      <c r="B1994" s="14" t="inlineStr">
        <is>
          <t>rxcp</t>
        </is>
      </c>
      <c r="C1994" s="14" t="inlineStr">
        <is>
          <t>nga</t>
        </is>
      </c>
      <c r="D1994" s="14" t="inlineStr">
        <is>
          <t>cem</t>
        </is>
      </c>
      <c r="E1994" s="14" t="inlineStr">
        <is>
          <t>REVENUE</t>
        </is>
      </c>
      <c r="F1994" s="92" t="inlineStr">
        <is>
          <t>REVENUE(AE2494,Settings!$C$13,AE2458)</t>
        </is>
      </c>
    </row>
    <row r="1995">
      <c r="A1995" s="14" t="n">
        <v>2540</v>
      </c>
      <c r="B1995" s="14" t="inlineStr">
        <is>
          <t>rxcp</t>
        </is>
      </c>
      <c r="C1995" s="14" t="inlineStr">
        <is>
          <t>gso</t>
        </is>
      </c>
      <c r="D1995" s="14" t="inlineStr">
        <is>
          <t>cem</t>
        </is>
      </c>
      <c r="E1995" s="14" t="inlineStr">
        <is>
          <t>REVENUE</t>
        </is>
      </c>
      <c r="F1995" s="92" t="inlineStr">
        <is>
          <t>REVENUE(AE2495,Settings!$C$13,AE2459)</t>
        </is>
      </c>
    </row>
    <row r="1996">
      <c r="A1996" s="14" t="n">
        <v>2541</v>
      </c>
      <c r="B1996" s="14" t="inlineStr">
        <is>
          <t>rxcp</t>
        </is>
      </c>
      <c r="C1996" s="14" t="inlineStr">
        <is>
          <t>die</t>
        </is>
      </c>
      <c r="D1996" s="14" t="inlineStr">
        <is>
          <t>cem</t>
        </is>
      </c>
      <c r="E1996" s="14" t="inlineStr">
        <is>
          <t>REVENUE</t>
        </is>
      </c>
      <c r="F1996" s="92" t="inlineStr">
        <is>
          <t>REVENUE(AE2496,Settings!$C$13,AE2460)</t>
        </is>
      </c>
    </row>
    <row r="1997">
      <c r="A1997" s="14" t="n">
        <v>2542</v>
      </c>
      <c r="B1997" s="14" t="inlineStr">
        <is>
          <t>rxcp</t>
        </is>
      </c>
      <c r="C1997" s="14" t="inlineStr">
        <is>
          <t>lpg</t>
        </is>
      </c>
      <c r="D1997" s="14" t="inlineStr">
        <is>
          <t>cem</t>
        </is>
      </c>
      <c r="E1997" s="14" t="inlineStr">
        <is>
          <t>REVENUE</t>
        </is>
      </c>
      <c r="F1997" s="92" t="inlineStr">
        <is>
          <t>REVENUE(AE2497,Settings!$C$13,AE2461)</t>
        </is>
      </c>
    </row>
    <row r="1998">
      <c r="A1998" s="14" t="n">
        <v>2543</v>
      </c>
      <c r="B1998" s="14" t="inlineStr">
        <is>
          <t>rxcp</t>
        </is>
      </c>
      <c r="C1998" s="14" t="inlineStr">
        <is>
          <t>ker</t>
        </is>
      </c>
      <c r="D1998" s="14" t="inlineStr">
        <is>
          <t>cem</t>
        </is>
      </c>
      <c r="E1998" s="14" t="inlineStr">
        <is>
          <t>REVENUE</t>
        </is>
      </c>
      <c r="F1998" s="92" t="inlineStr">
        <is>
          <t>REVENUE(AE2498,Settings!$C$13,AE2462)</t>
        </is>
      </c>
    </row>
    <row r="1999">
      <c r="A1999" s="14" t="n">
        <v>2544</v>
      </c>
      <c r="B1999" s="14" t="inlineStr">
        <is>
          <t>rxcp</t>
        </is>
      </c>
      <c r="C1999" s="14" t="inlineStr">
        <is>
          <t>oop</t>
        </is>
      </c>
      <c r="D1999" s="14" t="inlineStr">
        <is>
          <t>cem</t>
        </is>
      </c>
      <c r="E1999" s="14" t="inlineStr">
        <is>
          <t>REVENUE</t>
        </is>
      </c>
      <c r="F1999" s="92" t="inlineStr">
        <is>
          <t>REVENUE(AE2499,Settings!$C$13,AE2463)</t>
        </is>
      </c>
    </row>
    <row r="2000">
      <c r="A2000" s="14" t="n">
        <v>2545</v>
      </c>
      <c r="B2000" s="14" t="inlineStr">
        <is>
          <t>rxcp</t>
        </is>
      </c>
      <c r="C2000" s="14" t="inlineStr">
        <is>
          <t>bio</t>
        </is>
      </c>
      <c r="D2000" s="14" t="inlineStr">
        <is>
          <t>cem</t>
        </is>
      </c>
      <c r="E2000" s="14" t="inlineStr">
        <is>
          <t>REVENUE</t>
        </is>
      </c>
      <c r="F2000" s="92" t="inlineStr">
        <is>
          <t>REVENUE(AE2500,Settings!$C$13,AE2464)</t>
        </is>
      </c>
    </row>
    <row r="2001">
      <c r="A2001" s="14" t="n">
        <v>2549</v>
      </c>
      <c r="B2001" s="14" t="inlineStr">
        <is>
          <t>ctxnew</t>
        </is>
      </c>
      <c r="C2001" s="14" t="inlineStr">
        <is>
          <t>coa</t>
        </is>
      </c>
      <c r="D2001" s="14" t="inlineStr">
        <is>
          <t>omn</t>
        </is>
      </c>
      <c r="E2001" s="14" t="inlineStr">
        <is>
          <t>CARBONTAX</t>
        </is>
      </c>
      <c r="F2001" s="92" t="inlineStr">
        <is>
          <t>CARBONTAX(INDEX(AE$263:AE$279,$F2549),$D2549,INDEX(AE$23:AE$30,$E2549))</t>
        </is>
      </c>
    </row>
    <row r="2002">
      <c r="A2002" s="14" t="n">
        <v>2550</v>
      </c>
      <c r="B2002" s="14" t="inlineStr">
        <is>
          <t>ctxnew</t>
        </is>
      </c>
      <c r="C2002" s="14" t="inlineStr">
        <is>
          <t>nga</t>
        </is>
      </c>
      <c r="D2002" s="14" t="inlineStr">
        <is>
          <t>omn</t>
        </is>
      </c>
      <c r="E2002" s="14" t="inlineStr">
        <is>
          <t>CARBONTAX</t>
        </is>
      </c>
      <c r="F2002" s="92" t="inlineStr">
        <is>
          <t>CARBONTAX(INDEX(AE$263:AE$279,$F2550),$D2550,INDEX(AE$23:AE$30,$E2550))</t>
        </is>
      </c>
    </row>
    <row r="2003">
      <c r="A2003" s="14" t="n">
        <v>2551</v>
      </c>
      <c r="B2003" s="14" t="inlineStr">
        <is>
          <t>ctxnew</t>
        </is>
      </c>
      <c r="C2003" s="14" t="inlineStr">
        <is>
          <t>gso</t>
        </is>
      </c>
      <c r="D2003" s="14" t="inlineStr">
        <is>
          <t>omn</t>
        </is>
      </c>
      <c r="E2003" s="14" t="inlineStr">
        <is>
          <t>CARBONTAX</t>
        </is>
      </c>
      <c r="F2003" s="92" t="inlineStr">
        <is>
          <t>CARBONTAX(INDEX(AE$263:AE$279,$F2551),$D2551,INDEX(AE$23:AE$30,$E2551))</t>
        </is>
      </c>
    </row>
    <row r="2004">
      <c r="A2004" s="14" t="n">
        <v>2552</v>
      </c>
      <c r="B2004" s="14" t="inlineStr">
        <is>
          <t>ctxnew</t>
        </is>
      </c>
      <c r="C2004" s="14" t="inlineStr">
        <is>
          <t>die</t>
        </is>
      </c>
      <c r="D2004" s="14" t="inlineStr">
        <is>
          <t>omn</t>
        </is>
      </c>
      <c r="E2004" s="14" t="inlineStr">
        <is>
          <t>CARBONTAX</t>
        </is>
      </c>
      <c r="F2004" s="92" t="inlineStr">
        <is>
          <t>CARBONTAX(INDEX(AE$263:AE$279,$F2552),$D2552,INDEX(AE$23:AE$30,$E2552))</t>
        </is>
      </c>
    </row>
    <row r="2005">
      <c r="A2005" s="14" t="n">
        <v>2553</v>
      </c>
      <c r="B2005" s="14" t="inlineStr">
        <is>
          <t>ctxnew</t>
        </is>
      </c>
      <c r="C2005" s="14" t="inlineStr">
        <is>
          <t>lpg</t>
        </is>
      </c>
      <c r="D2005" s="14" t="inlineStr">
        <is>
          <t>omn</t>
        </is>
      </c>
      <c r="E2005" s="14" t="inlineStr">
        <is>
          <t>CARBONTAX</t>
        </is>
      </c>
      <c r="F2005" s="92" t="inlineStr">
        <is>
          <t>CARBONTAX(INDEX(AE$263:AE$279,$F2553),$D2553,INDEX(AE$23:AE$30,$E2553))</t>
        </is>
      </c>
    </row>
    <row r="2006">
      <c r="A2006" s="14" t="n">
        <v>2554</v>
      </c>
      <c r="B2006" s="14" t="inlineStr">
        <is>
          <t>ctxnew</t>
        </is>
      </c>
      <c r="C2006" s="14" t="inlineStr">
        <is>
          <t>ker</t>
        </is>
      </c>
      <c r="D2006" s="14" t="inlineStr">
        <is>
          <t>omn</t>
        </is>
      </c>
      <c r="E2006" s="14" t="inlineStr">
        <is>
          <t>CARBONTAX</t>
        </is>
      </c>
      <c r="F2006" s="92" t="inlineStr">
        <is>
          <t>CARBONTAX(INDEX(AE$263:AE$279,$F2554),$D2554,INDEX(AE$23:AE$30,$E2554))</t>
        </is>
      </c>
    </row>
    <row r="2007">
      <c r="A2007" s="14" t="n">
        <v>2555</v>
      </c>
      <c r="B2007" s="14" t="inlineStr">
        <is>
          <t>ctxnew</t>
        </is>
      </c>
      <c r="C2007" s="14" t="inlineStr">
        <is>
          <t>oop</t>
        </is>
      </c>
      <c r="D2007" s="14" t="inlineStr">
        <is>
          <t>omn</t>
        </is>
      </c>
      <c r="E2007" s="14" t="inlineStr">
        <is>
          <t>CARBONTAX</t>
        </is>
      </c>
      <c r="F2007" s="92" t="inlineStr">
        <is>
          <t>CARBONTAX(INDEX(AE$263:AE$279,$F2555),$D2555,INDEX(AE$23:AE$30,$E2555))</t>
        </is>
      </c>
    </row>
    <row r="2008">
      <c r="A2008" s="14" t="n">
        <v>2556</v>
      </c>
      <c r="B2008" s="14" t="inlineStr">
        <is>
          <t>ctxnew</t>
        </is>
      </c>
      <c r="C2008" s="14" t="inlineStr">
        <is>
          <t>bio</t>
        </is>
      </c>
      <c r="D2008" s="14" t="inlineStr">
        <is>
          <t>omn</t>
        </is>
      </c>
      <c r="E2008" s="14" t="inlineStr">
        <is>
          <t>CARBONTAX</t>
        </is>
      </c>
      <c r="F2008" s="92" t="inlineStr">
        <is>
          <t>CARBONTAX(INDEX(AE$263:AE$279,$F2556),$D2556,INDEX(AE$23:AE$30,$E2556))</t>
        </is>
      </c>
    </row>
    <row r="2009">
      <c r="A2009" s="14" t="n">
        <v>2558</v>
      </c>
      <c r="B2009" s="14" t="inlineStr">
        <is>
          <t>ets</t>
        </is>
      </c>
      <c r="C2009" s="14" t="inlineStr">
        <is>
          <t>coa</t>
        </is>
      </c>
      <c r="D2009" s="14" t="inlineStr">
        <is>
          <t>omn</t>
        </is>
      </c>
      <c r="E2009" s="14" t="inlineStr">
        <is>
          <t>ETSCOST</t>
        </is>
      </c>
      <c r="F2009" s="92" t="inlineStr">
        <is>
          <t>ETSCOST(INDEX(AE$280:AE$296,$E2558),$D2558)</t>
        </is>
      </c>
    </row>
    <row r="2010">
      <c r="A2010" s="14" t="n">
        <v>2559</v>
      </c>
      <c r="B2010" s="14" t="inlineStr">
        <is>
          <t>ets</t>
        </is>
      </c>
      <c r="C2010" s="14" t="inlineStr">
        <is>
          <t>nga</t>
        </is>
      </c>
      <c r="D2010" s="14" t="inlineStr">
        <is>
          <t>omn</t>
        </is>
      </c>
      <c r="E2010" s="14" t="inlineStr">
        <is>
          <t>ETSCOST</t>
        </is>
      </c>
      <c r="F2010" s="92" t="inlineStr">
        <is>
          <t>ETSCOST(INDEX(AE$280:AE$296,$E2559),$D2559)</t>
        </is>
      </c>
    </row>
    <row r="2011">
      <c r="A2011" s="14" t="n">
        <v>2560</v>
      </c>
      <c r="B2011" s="14" t="inlineStr">
        <is>
          <t>ets</t>
        </is>
      </c>
      <c r="C2011" s="14" t="inlineStr">
        <is>
          <t>gso</t>
        </is>
      </c>
      <c r="D2011" s="14" t="inlineStr">
        <is>
          <t>omn</t>
        </is>
      </c>
      <c r="E2011" s="14" t="inlineStr">
        <is>
          <t>ETSCOST</t>
        </is>
      </c>
      <c r="F2011" s="92" t="inlineStr">
        <is>
          <t>ETSCOST(INDEX(AE$280:AE$296,$E2560),$D2560)</t>
        </is>
      </c>
    </row>
    <row r="2012">
      <c r="A2012" s="14" t="n">
        <v>2561</v>
      </c>
      <c r="B2012" s="14" t="inlineStr">
        <is>
          <t>ets</t>
        </is>
      </c>
      <c r="C2012" s="14" t="inlineStr">
        <is>
          <t>die</t>
        </is>
      </c>
      <c r="D2012" s="14" t="inlineStr">
        <is>
          <t>omn</t>
        </is>
      </c>
      <c r="E2012" s="14" t="inlineStr">
        <is>
          <t>ETSCOST</t>
        </is>
      </c>
      <c r="F2012" s="92" t="inlineStr">
        <is>
          <t>ETSCOST(INDEX(AE$280:AE$296,$E2561),$D2561)</t>
        </is>
      </c>
    </row>
    <row r="2013">
      <c r="A2013" s="14" t="n">
        <v>2562</v>
      </c>
      <c r="B2013" s="14" t="inlineStr">
        <is>
          <t>ets</t>
        </is>
      </c>
      <c r="C2013" s="14" t="inlineStr">
        <is>
          <t>lpg</t>
        </is>
      </c>
      <c r="D2013" s="14" t="inlineStr">
        <is>
          <t>omn</t>
        </is>
      </c>
      <c r="E2013" s="14" t="inlineStr">
        <is>
          <t>ETSCOST</t>
        </is>
      </c>
      <c r="F2013" s="92" t="inlineStr">
        <is>
          <t>ETSCOST(INDEX(AE$280:AE$296,$E2562),$D2562)</t>
        </is>
      </c>
    </row>
    <row r="2014">
      <c r="A2014" s="14" t="n">
        <v>2563</v>
      </c>
      <c r="B2014" s="14" t="inlineStr">
        <is>
          <t>ets</t>
        </is>
      </c>
      <c r="C2014" s="14" t="inlineStr">
        <is>
          <t>ker</t>
        </is>
      </c>
      <c r="D2014" s="14" t="inlineStr">
        <is>
          <t>omn</t>
        </is>
      </c>
      <c r="E2014" s="14" t="inlineStr">
        <is>
          <t>ETSCOST</t>
        </is>
      </c>
      <c r="F2014" s="92" t="inlineStr">
        <is>
          <t>ETSCOST(INDEX(AE$280:AE$296,$E2563),$D2563)</t>
        </is>
      </c>
    </row>
    <row r="2015">
      <c r="A2015" s="14" t="n">
        <v>2564</v>
      </c>
      <c r="B2015" s="14" t="inlineStr">
        <is>
          <t>ets</t>
        </is>
      </c>
      <c r="C2015" s="14" t="inlineStr">
        <is>
          <t>oop</t>
        </is>
      </c>
      <c r="D2015" s="14" t="inlineStr">
        <is>
          <t>omn</t>
        </is>
      </c>
      <c r="E2015" s="14" t="inlineStr">
        <is>
          <t>ETSCOST</t>
        </is>
      </c>
      <c r="F2015" s="92" t="inlineStr">
        <is>
          <t>ETSCOST(INDEX(AE$280:AE$296,$E2564),$D2564)</t>
        </is>
      </c>
    </row>
    <row r="2016">
      <c r="A2016" s="14" t="n">
        <v>2565</v>
      </c>
      <c r="B2016" s="14" t="inlineStr">
        <is>
          <t>ets</t>
        </is>
      </c>
      <c r="C2016" s="14" t="inlineStr">
        <is>
          <t>bio</t>
        </is>
      </c>
      <c r="D2016" s="14" t="inlineStr">
        <is>
          <t>omn</t>
        </is>
      </c>
      <c r="E2016" s="14" t="inlineStr">
        <is>
          <t>ETSCOST</t>
        </is>
      </c>
      <c r="F2016" s="92" t="inlineStr">
        <is>
          <t>ETSCOST(INDEX(AE$280:AE$296,$E2565),$D2565)</t>
        </is>
      </c>
    </row>
    <row r="2017">
      <c r="A2017" s="14" t="n">
        <v>2567</v>
      </c>
      <c r="B2017" s="14" t="inlineStr">
        <is>
          <t>ntx</t>
        </is>
      </c>
      <c r="C2017" s="14" t="inlineStr">
        <is>
          <t>coa</t>
        </is>
      </c>
      <c r="D2017" s="14" t="inlineStr">
        <is>
          <t>omn</t>
        </is>
      </c>
      <c r="E2017" s="14" t="inlineStr">
        <is>
          <t>NEWEXCISE</t>
        </is>
      </c>
      <c r="F2017" s="92" t="inlineStr">
        <is>
          <t>NEWEXCISE(INDEX(AE$80:AE$93,$D2567),$E2567)</t>
        </is>
      </c>
    </row>
    <row r="2018">
      <c r="A2018" s="14" t="n">
        <v>2568</v>
      </c>
      <c r="B2018" s="14" t="inlineStr">
        <is>
          <t>ntx</t>
        </is>
      </c>
      <c r="C2018" s="14" t="inlineStr">
        <is>
          <t>nga</t>
        </is>
      </c>
      <c r="D2018" s="14" t="inlineStr">
        <is>
          <t>omn</t>
        </is>
      </c>
      <c r="E2018" s="14" t="inlineStr">
        <is>
          <t>NEWEXCISE</t>
        </is>
      </c>
      <c r="F2018" s="92" t="inlineStr">
        <is>
          <t>NEWEXCISE(INDEX(AE$80:AE$93,$D2568),$E2568)</t>
        </is>
      </c>
    </row>
    <row r="2019">
      <c r="A2019" s="14" t="n">
        <v>2569</v>
      </c>
      <c r="B2019" s="14" t="inlineStr">
        <is>
          <t>ntx</t>
        </is>
      </c>
      <c r="C2019" s="14" t="inlineStr">
        <is>
          <t>gso</t>
        </is>
      </c>
      <c r="D2019" s="14" t="inlineStr">
        <is>
          <t>omn</t>
        </is>
      </c>
      <c r="E2019" s="14" t="inlineStr">
        <is>
          <t>NEWEXCISE</t>
        </is>
      </c>
      <c r="F2019" s="92" t="inlineStr">
        <is>
          <t>NEWEXCISE(INDEX(AE$80:AE$93,$D2569),$E2569)</t>
        </is>
      </c>
    </row>
    <row r="2020">
      <c r="A2020" s="14" t="n">
        <v>2570</v>
      </c>
      <c r="B2020" s="14" t="inlineStr">
        <is>
          <t>ntx</t>
        </is>
      </c>
      <c r="C2020" s="14" t="inlineStr">
        <is>
          <t>die</t>
        </is>
      </c>
      <c r="D2020" s="14" t="inlineStr">
        <is>
          <t>omn</t>
        </is>
      </c>
      <c r="E2020" s="14" t="inlineStr">
        <is>
          <t>NEWEXCISE</t>
        </is>
      </c>
      <c r="F2020" s="92" t="inlineStr">
        <is>
          <t>NEWEXCISE(INDEX(AE$80:AE$93,$D2570),$E2570)</t>
        </is>
      </c>
    </row>
    <row r="2021">
      <c r="A2021" s="14" t="n">
        <v>2571</v>
      </c>
      <c r="B2021" s="14" t="inlineStr">
        <is>
          <t>ntx</t>
        </is>
      </c>
      <c r="C2021" s="14" t="inlineStr">
        <is>
          <t>lpg</t>
        </is>
      </c>
      <c r="D2021" s="14" t="inlineStr">
        <is>
          <t>omn</t>
        </is>
      </c>
      <c r="E2021" s="14" t="inlineStr">
        <is>
          <t>NEWEXCISE</t>
        </is>
      </c>
      <c r="F2021" s="92" t="inlineStr">
        <is>
          <t>NEWEXCISE(INDEX(AE$80:AE$93,$D2571),$E2571)</t>
        </is>
      </c>
    </row>
    <row r="2022">
      <c r="A2022" s="14" t="n">
        <v>2572</v>
      </c>
      <c r="B2022" s="14" t="inlineStr">
        <is>
          <t>ntx</t>
        </is>
      </c>
      <c r="C2022" s="14" t="inlineStr">
        <is>
          <t>ker</t>
        </is>
      </c>
      <c r="D2022" s="14" t="inlineStr">
        <is>
          <t>omn</t>
        </is>
      </c>
      <c r="E2022" s="14" t="inlineStr">
        <is>
          <t>NEWEXCISE</t>
        </is>
      </c>
      <c r="F2022" s="92" t="inlineStr">
        <is>
          <t>NEWEXCISE(INDEX(AE$80:AE$93,$D2572),$E2572)</t>
        </is>
      </c>
    </row>
    <row r="2023">
      <c r="A2023" s="14" t="n">
        <v>2573</v>
      </c>
      <c r="B2023" s="14" t="inlineStr">
        <is>
          <t>ntx</t>
        </is>
      </c>
      <c r="C2023" s="14" t="inlineStr">
        <is>
          <t>oop</t>
        </is>
      </c>
      <c r="D2023" s="14" t="inlineStr">
        <is>
          <t>omn</t>
        </is>
      </c>
      <c r="E2023" s="14" t="inlineStr">
        <is>
          <t>NEWEXCISE</t>
        </is>
      </c>
      <c r="F2023" s="92" t="inlineStr">
        <is>
          <t>NEWEXCISE(INDEX(AE$80:AE$93,$D2573),$E2573)</t>
        </is>
      </c>
    </row>
    <row r="2024">
      <c r="A2024" s="14" t="n">
        <v>2574</v>
      </c>
      <c r="B2024" s="14" t="inlineStr">
        <is>
          <t>ntx</t>
        </is>
      </c>
      <c r="C2024" s="14" t="inlineStr">
        <is>
          <t>bio</t>
        </is>
      </c>
      <c r="D2024" s="14" t="inlineStr">
        <is>
          <t>omn</t>
        </is>
      </c>
      <c r="E2024" s="14" t="inlineStr">
        <is>
          <t>NEWEXCISE</t>
        </is>
      </c>
      <c r="F2024" s="92" t="inlineStr">
        <is>
          <t>NEWEXCISE(INDEX(AE$80:AE$93,$D2574),$E2574)</t>
        </is>
      </c>
    </row>
    <row r="2025">
      <c r="A2025" s="14" t="n">
        <v>2576</v>
      </c>
      <c r="B2025" s="14" t="inlineStr">
        <is>
          <t>nce</t>
        </is>
      </c>
      <c r="C2025" s="14" t="inlineStr">
        <is>
          <t>coa</t>
        </is>
      </c>
      <c r="D2025" s="14" t="inlineStr">
        <is>
          <t>omn</t>
        </is>
      </c>
      <c r="E2025" s="14" t="inlineStr">
        <is>
          <t>NEWPOLICY</t>
        </is>
      </c>
      <c r="F2025" s="92" t="inlineStr">
        <is>
          <t>NEWPOLICY(AE2549,AE2558,AE2567)</t>
        </is>
      </c>
    </row>
    <row r="2026">
      <c r="A2026" s="14" t="n">
        <v>2577</v>
      </c>
      <c r="B2026" s="14" t="inlineStr">
        <is>
          <t>nce</t>
        </is>
      </c>
      <c r="C2026" s="14" t="inlineStr">
        <is>
          <t>nga</t>
        </is>
      </c>
      <c r="D2026" s="14" t="inlineStr">
        <is>
          <t>omn</t>
        </is>
      </c>
      <c r="E2026" s="14" t="inlineStr">
        <is>
          <t>NEWPOLICY</t>
        </is>
      </c>
      <c r="F2026" s="92" t="inlineStr">
        <is>
          <t>NEWPOLICY(AE2550,AE2559,AE2568)</t>
        </is>
      </c>
    </row>
    <row r="2027">
      <c r="A2027" s="14" t="n">
        <v>2578</v>
      </c>
      <c r="B2027" s="14" t="inlineStr">
        <is>
          <t>nce</t>
        </is>
      </c>
      <c r="C2027" s="14" t="inlineStr">
        <is>
          <t>gso</t>
        </is>
      </c>
      <c r="D2027" s="14" t="inlineStr">
        <is>
          <t>omn</t>
        </is>
      </c>
      <c r="E2027" s="14" t="inlineStr">
        <is>
          <t>NEWPOLICY</t>
        </is>
      </c>
      <c r="F2027" s="92" t="inlineStr">
        <is>
          <t>NEWPOLICY(AE2551,AE2560,AE2569)</t>
        </is>
      </c>
    </row>
    <row r="2028">
      <c r="A2028" s="14" t="n">
        <v>2579</v>
      </c>
      <c r="B2028" s="14" t="inlineStr">
        <is>
          <t>nce</t>
        </is>
      </c>
      <c r="C2028" s="14" t="inlineStr">
        <is>
          <t>die</t>
        </is>
      </c>
      <c r="D2028" s="14" t="inlineStr">
        <is>
          <t>omn</t>
        </is>
      </c>
      <c r="E2028" s="14" t="inlineStr">
        <is>
          <t>NEWPOLICY</t>
        </is>
      </c>
      <c r="F2028" s="92" t="inlineStr">
        <is>
          <t>NEWPOLICY(AE2552,AE2561,AE2570)</t>
        </is>
      </c>
    </row>
    <row r="2029">
      <c r="A2029" s="14" t="n">
        <v>2580</v>
      </c>
      <c r="B2029" s="14" t="inlineStr">
        <is>
          <t>nce</t>
        </is>
      </c>
      <c r="C2029" s="14" t="inlineStr">
        <is>
          <t>lpg</t>
        </is>
      </c>
      <c r="D2029" s="14" t="inlineStr">
        <is>
          <t>omn</t>
        </is>
      </c>
      <c r="E2029" s="14" t="inlineStr">
        <is>
          <t>NEWPOLICY</t>
        </is>
      </c>
      <c r="F2029" s="92" t="inlineStr">
        <is>
          <t>NEWPOLICY(AE2553,AE2562,AE2571)</t>
        </is>
      </c>
    </row>
    <row r="2030">
      <c r="A2030" s="14" t="n">
        <v>2581</v>
      </c>
      <c r="B2030" s="14" t="inlineStr">
        <is>
          <t>nce</t>
        </is>
      </c>
      <c r="C2030" s="14" t="inlineStr">
        <is>
          <t>ker</t>
        </is>
      </c>
      <c r="D2030" s="14" t="inlineStr">
        <is>
          <t>omn</t>
        </is>
      </c>
      <c r="E2030" s="14" t="inlineStr">
        <is>
          <t>NEWPOLICY</t>
        </is>
      </c>
      <c r="F2030" s="92" t="inlineStr">
        <is>
          <t>NEWPOLICY(AE2554,AE2563,AE2572)</t>
        </is>
      </c>
    </row>
    <row r="2031">
      <c r="A2031" s="14" t="n">
        <v>2582</v>
      </c>
      <c r="B2031" s="14" t="inlineStr">
        <is>
          <t>nce</t>
        </is>
      </c>
      <c r="C2031" s="14" t="inlineStr">
        <is>
          <t>oop</t>
        </is>
      </c>
      <c r="D2031" s="14" t="inlineStr">
        <is>
          <t>omn</t>
        </is>
      </c>
      <c r="E2031" s="14" t="inlineStr">
        <is>
          <t>NEWPOLICY</t>
        </is>
      </c>
      <c r="F2031" s="92" t="inlineStr">
        <is>
          <t>NEWPOLICY(AE2555,AE2564,AE2573)</t>
        </is>
      </c>
    </row>
    <row r="2032">
      <c r="A2032" s="14" t="n">
        <v>2583</v>
      </c>
      <c r="B2032" s="14" t="inlineStr">
        <is>
          <t>nce</t>
        </is>
      </c>
      <c r="C2032" s="14" t="inlineStr">
        <is>
          <t>bio</t>
        </is>
      </c>
      <c r="D2032" s="14" t="inlineStr">
        <is>
          <t>omn</t>
        </is>
      </c>
      <c r="E2032" s="14" t="inlineStr">
        <is>
          <t>NEWPOLICY</t>
        </is>
      </c>
      <c r="F2032" s="92" t="inlineStr">
        <is>
          <t>NEWPOLICY(AE2556,AE2565,AE2574)</t>
        </is>
      </c>
    </row>
    <row r="2033">
      <c r="A2033" s="14" t="n">
        <v>2585</v>
      </c>
      <c r="B2033" s="14" t="inlineStr">
        <is>
          <t>xcp</t>
        </is>
      </c>
      <c r="C2033" s="14" t="inlineStr">
        <is>
          <t>coa</t>
        </is>
      </c>
      <c r="D2033" s="14" t="inlineStr">
        <is>
          <t>omn</t>
        </is>
      </c>
      <c r="E2033" s="14" t="inlineStr">
        <is>
          <t>XCARBON</t>
        </is>
      </c>
      <c r="F2033" s="92" t="inlineStr">
        <is>
          <t>XCARBON($D2585,$E2585,AE$321,$F2585,AE$324)</t>
        </is>
      </c>
    </row>
    <row r="2034">
      <c r="A2034" s="14" t="n">
        <v>2586</v>
      </c>
      <c r="B2034" s="14" t="inlineStr">
        <is>
          <t>xcp</t>
        </is>
      </c>
      <c r="C2034" s="14" t="inlineStr">
        <is>
          <t>nga</t>
        </is>
      </c>
      <c r="D2034" s="14" t="inlineStr">
        <is>
          <t>omn</t>
        </is>
      </c>
      <c r="E2034" s="14" t="inlineStr">
        <is>
          <t>XCARBON</t>
        </is>
      </c>
      <c r="F2034" s="92" t="inlineStr">
        <is>
          <t>XCARBON($D2586,$E2586,AE$321,$F2586,AE$324)</t>
        </is>
      </c>
    </row>
    <row r="2035">
      <c r="A2035" s="14" t="n">
        <v>2587</v>
      </c>
      <c r="B2035" s="14" t="inlineStr">
        <is>
          <t>xcp</t>
        </is>
      </c>
      <c r="C2035" s="14" t="inlineStr">
        <is>
          <t>gso</t>
        </is>
      </c>
      <c r="D2035" s="14" t="inlineStr">
        <is>
          <t>omn</t>
        </is>
      </c>
      <c r="E2035" s="14" t="inlineStr">
        <is>
          <t>XCARBON</t>
        </is>
      </c>
      <c r="F2035" s="92" t="inlineStr">
        <is>
          <t>XCARBON($D2587,$E2587,AE$321,$F2587,AE$324)</t>
        </is>
      </c>
    </row>
    <row r="2036">
      <c r="A2036" s="14" t="n">
        <v>2588</v>
      </c>
      <c r="B2036" s="14" t="inlineStr">
        <is>
          <t>xcp</t>
        </is>
      </c>
      <c r="C2036" s="14" t="inlineStr">
        <is>
          <t>die</t>
        </is>
      </c>
      <c r="D2036" s="14" t="inlineStr">
        <is>
          <t>omn</t>
        </is>
      </c>
      <c r="E2036" s="14" t="inlineStr">
        <is>
          <t>XCARBON</t>
        </is>
      </c>
      <c r="F2036" s="92" t="inlineStr">
        <is>
          <t>XCARBON($D2588,$E2588,AE$321,$F2588,AE$324)</t>
        </is>
      </c>
    </row>
    <row r="2037">
      <c r="A2037" s="14" t="n">
        <v>2589</v>
      </c>
      <c r="B2037" s="14" t="inlineStr">
        <is>
          <t>xcp</t>
        </is>
      </c>
      <c r="C2037" s="14" t="inlineStr">
        <is>
          <t>lpg</t>
        </is>
      </c>
      <c r="D2037" s="14" t="inlineStr">
        <is>
          <t>omn</t>
        </is>
      </c>
      <c r="E2037" s="14" t="inlineStr">
        <is>
          <t>XCARBON</t>
        </is>
      </c>
      <c r="F2037" s="92" t="inlineStr">
        <is>
          <t>XCARBON($D2589,$E2589,AE$321,$F2589,AE$324)</t>
        </is>
      </c>
    </row>
    <row r="2038">
      <c r="A2038" s="14" t="n">
        <v>2590</v>
      </c>
      <c r="B2038" s="14" t="inlineStr">
        <is>
          <t>xcp</t>
        </is>
      </c>
      <c r="C2038" s="14" t="inlineStr">
        <is>
          <t>ker</t>
        </is>
      </c>
      <c r="D2038" s="14" t="inlineStr">
        <is>
          <t>omn</t>
        </is>
      </c>
      <c r="E2038" s="14" t="inlineStr">
        <is>
          <t>XCARBON</t>
        </is>
      </c>
      <c r="F2038" s="92" t="inlineStr">
        <is>
          <t>XCARBON($D2590,$E2590,AE$321,$F2590,AE$324)</t>
        </is>
      </c>
    </row>
    <row r="2039">
      <c r="A2039" s="14" t="n">
        <v>2591</v>
      </c>
      <c r="B2039" s="14" t="inlineStr">
        <is>
          <t>xcp</t>
        </is>
      </c>
      <c r="C2039" s="14" t="inlineStr">
        <is>
          <t>oop</t>
        </is>
      </c>
      <c r="D2039" s="14" t="inlineStr">
        <is>
          <t>omn</t>
        </is>
      </c>
      <c r="E2039" s="14" t="inlineStr">
        <is>
          <t>XCARBON</t>
        </is>
      </c>
      <c r="F2039" s="92" t="inlineStr">
        <is>
          <t>XCARBON($D2591,$E2591,AE$321,$F2591,AE$324)</t>
        </is>
      </c>
    </row>
    <row r="2040">
      <c r="A2040" s="14" t="n">
        <v>2592</v>
      </c>
      <c r="B2040" s="14" t="inlineStr">
        <is>
          <t>xcp</t>
        </is>
      </c>
      <c r="C2040" s="14" t="inlineStr">
        <is>
          <t>bio</t>
        </is>
      </c>
      <c r="D2040" s="14" t="inlineStr">
        <is>
          <t>omn</t>
        </is>
      </c>
      <c r="E2040" s="14" t="inlineStr">
        <is>
          <t>XCARBON</t>
        </is>
      </c>
      <c r="F2040" s="92" t="inlineStr">
        <is>
          <t>XCARBON($D2592,$E2592,AE$321,$F2592,AE$324)</t>
        </is>
      </c>
    </row>
    <row r="2041">
      <c r="A2041" s="14" t="n">
        <v>2594</v>
      </c>
      <c r="B2041" s="14" t="inlineStr">
        <is>
          <t>xcpd</t>
        </is>
      </c>
      <c r="C2041" s="14" t="inlineStr">
        <is>
          <t>coa</t>
        </is>
      </c>
      <c r="D2041" s="14" t="inlineStr">
        <is>
          <t>omn</t>
        </is>
      </c>
      <c r="E2041" s="14" t="inlineStr">
        <is>
          <t>XCARBON</t>
        </is>
      </c>
      <c r="F2041" s="92" t="inlineStr">
        <is>
          <t>XCARBON($D2594,$E2594,(AE$321-AE$322),$F2594,(AE$324-AE$325))</t>
        </is>
      </c>
    </row>
    <row r="2042">
      <c r="A2042" s="14" t="n">
        <v>2595</v>
      </c>
      <c r="B2042" s="14" t="inlineStr">
        <is>
          <t>xcpd</t>
        </is>
      </c>
      <c r="C2042" s="14" t="inlineStr">
        <is>
          <t>nga</t>
        </is>
      </c>
      <c r="D2042" s="14" t="inlineStr">
        <is>
          <t>omn</t>
        </is>
      </c>
      <c r="E2042" s="14" t="inlineStr">
        <is>
          <t>XCARBON</t>
        </is>
      </c>
      <c r="F2042" s="92" t="inlineStr">
        <is>
          <t>XCARBON($D2595,$E2595,(AE$321-AE$322),$F2595,(AE$324-AE$325))</t>
        </is>
      </c>
    </row>
    <row r="2043">
      <c r="A2043" s="14" t="n">
        <v>2596</v>
      </c>
      <c r="B2043" s="14" t="inlineStr">
        <is>
          <t>xcpd</t>
        </is>
      </c>
      <c r="C2043" s="14" t="inlineStr">
        <is>
          <t>gso</t>
        </is>
      </c>
      <c r="D2043" s="14" t="inlineStr">
        <is>
          <t>omn</t>
        </is>
      </c>
      <c r="E2043" s="14" t="inlineStr">
        <is>
          <t>XCARBON</t>
        </is>
      </c>
      <c r="F2043" s="92" t="inlineStr">
        <is>
          <t>XCARBON($D2596,$E2596,(AE$321-AE$322),$F2596,(AE$324-AE$325))</t>
        </is>
      </c>
    </row>
    <row r="2044">
      <c r="A2044" s="14" t="n">
        <v>2597</v>
      </c>
      <c r="B2044" s="14" t="inlineStr">
        <is>
          <t>xcpd</t>
        </is>
      </c>
      <c r="C2044" s="14" t="inlineStr">
        <is>
          <t>die</t>
        </is>
      </c>
      <c r="D2044" s="14" t="inlineStr">
        <is>
          <t>omn</t>
        </is>
      </c>
      <c r="E2044" s="14" t="inlineStr">
        <is>
          <t>XCARBON</t>
        </is>
      </c>
      <c r="F2044" s="92" t="inlineStr">
        <is>
          <t>XCARBON($D2597,$E2597,(AE$321-AE$322),$F2597,(AE$324-AE$325))</t>
        </is>
      </c>
    </row>
    <row r="2045">
      <c r="A2045" s="14" t="n">
        <v>2598</v>
      </c>
      <c r="B2045" s="14" t="inlineStr">
        <is>
          <t>xcpd</t>
        </is>
      </c>
      <c r="C2045" s="14" t="inlineStr">
        <is>
          <t>lpg</t>
        </is>
      </c>
      <c r="D2045" s="14" t="inlineStr">
        <is>
          <t>omn</t>
        </is>
      </c>
      <c r="E2045" s="14" t="inlineStr">
        <is>
          <t>XCARBON</t>
        </is>
      </c>
      <c r="F2045" s="92" t="inlineStr">
        <is>
          <t>XCARBON($D2598,$E2598,(AE$321-AE$322),$F2598,(AE$324-AE$325))</t>
        </is>
      </c>
    </row>
    <row r="2046">
      <c r="A2046" s="14" t="n">
        <v>2599</v>
      </c>
      <c r="B2046" s="14" t="inlineStr">
        <is>
          <t>xcpd</t>
        </is>
      </c>
      <c r="C2046" s="14" t="inlineStr">
        <is>
          <t>ker</t>
        </is>
      </c>
      <c r="D2046" s="14" t="inlineStr">
        <is>
          <t>omn</t>
        </is>
      </c>
      <c r="E2046" s="14" t="inlineStr">
        <is>
          <t>XCARBON</t>
        </is>
      </c>
      <c r="F2046" s="92" t="inlineStr">
        <is>
          <t>XCARBON($D2599,$E2599,(AE$321-AE$322),$F2599,(AE$324-AE$325))</t>
        </is>
      </c>
    </row>
    <row r="2047">
      <c r="A2047" s="14" t="n">
        <v>2600</v>
      </c>
      <c r="B2047" s="14" t="inlineStr">
        <is>
          <t>xcpd</t>
        </is>
      </c>
      <c r="C2047" s="14" t="inlineStr">
        <is>
          <t>oop</t>
        </is>
      </c>
      <c r="D2047" s="14" t="inlineStr">
        <is>
          <t>omn</t>
        </is>
      </c>
      <c r="E2047" s="14" t="inlineStr">
        <is>
          <t>XCARBON</t>
        </is>
      </c>
      <c r="F2047" s="92" t="inlineStr">
        <is>
          <t>XCARBON($D2600,$E2600,(AE$321-AE$322),$F2600,(AE$324-AE$325))</t>
        </is>
      </c>
    </row>
    <row r="2048">
      <c r="A2048" s="14" t="n">
        <v>2601</v>
      </c>
      <c r="B2048" s="14" t="inlineStr">
        <is>
          <t>xcpd</t>
        </is>
      </c>
      <c r="C2048" s="14" t="inlineStr">
        <is>
          <t>bio</t>
        </is>
      </c>
      <c r="D2048" s="14" t="inlineStr">
        <is>
          <t>omn</t>
        </is>
      </c>
      <c r="E2048" s="14" t="inlineStr">
        <is>
          <t>XCARBON</t>
        </is>
      </c>
      <c r="F2048" s="92" t="inlineStr">
        <is>
          <t>XCARBON($D2601,$E2601,(AE$321-AE$322),$F2601,(AE$324-AE$325))</t>
        </is>
      </c>
    </row>
    <row r="2049">
      <c r="A2049" s="14" t="n">
        <v>2603</v>
      </c>
      <c r="B2049" s="14" t="inlineStr">
        <is>
          <t>atp</t>
        </is>
      </c>
      <c r="C2049" s="14" t="inlineStr">
        <is>
          <t>coa</t>
        </is>
      </c>
      <c r="D2049" s="14" t="inlineStr">
        <is>
          <t>omn</t>
        </is>
      </c>
      <c r="E2049" s="14" t="inlineStr">
        <is>
          <t>POSTTAX</t>
        </is>
      </c>
      <c r="F2049" s="92" t="inlineStr">
        <is>
          <t>POSTTAX(INDEX(AE$381:AE$392,$D2603),AE2576+AE2594,$E2603)</t>
        </is>
      </c>
    </row>
    <row r="2050">
      <c r="A2050" s="14" t="n">
        <v>2604</v>
      </c>
      <c r="B2050" s="14" t="inlineStr">
        <is>
          <t>atp</t>
        </is>
      </c>
      <c r="C2050" s="14" t="inlineStr">
        <is>
          <t>nga</t>
        </is>
      </c>
      <c r="D2050" s="14" t="inlineStr">
        <is>
          <t>omn</t>
        </is>
      </c>
      <c r="E2050" s="14" t="inlineStr">
        <is>
          <t>POSTTAX</t>
        </is>
      </c>
      <c r="F2050" s="92" t="inlineStr">
        <is>
          <t>POSTTAX(INDEX(AE$381:AE$392,$D2604),AE2577+AE2595,$E2604)</t>
        </is>
      </c>
    </row>
    <row r="2051">
      <c r="A2051" s="14" t="n">
        <v>2605</v>
      </c>
      <c r="B2051" s="14" t="inlineStr">
        <is>
          <t>atp</t>
        </is>
      </c>
      <c r="C2051" s="14" t="inlineStr">
        <is>
          <t>gso</t>
        </is>
      </c>
      <c r="D2051" s="14" t="inlineStr">
        <is>
          <t>omn</t>
        </is>
      </c>
      <c r="E2051" s="14" t="inlineStr">
        <is>
          <t>POSTTAX</t>
        </is>
      </c>
      <c r="F2051" s="92" t="inlineStr">
        <is>
          <t>POSTTAX(INDEX(AE$381:AE$392,$D2605),AE2578+AE2596,$E2605)</t>
        </is>
      </c>
    </row>
    <row r="2052">
      <c r="A2052" s="14" t="n">
        <v>2606</v>
      </c>
      <c r="B2052" s="14" t="inlineStr">
        <is>
          <t>atp</t>
        </is>
      </c>
      <c r="C2052" s="14" t="inlineStr">
        <is>
          <t>die</t>
        </is>
      </c>
      <c r="D2052" s="14" t="inlineStr">
        <is>
          <t>omn</t>
        </is>
      </c>
      <c r="E2052" s="14" t="inlineStr">
        <is>
          <t>POSTTAX</t>
        </is>
      </c>
      <c r="F2052" s="92" t="inlineStr">
        <is>
          <t>POSTTAX(INDEX(AE$381:AE$392,$D2606),AE2579+AE2597,$E2606)</t>
        </is>
      </c>
    </row>
    <row r="2053">
      <c r="A2053" s="14" t="n">
        <v>2607</v>
      </c>
      <c r="B2053" s="14" t="inlineStr">
        <is>
          <t>atp</t>
        </is>
      </c>
      <c r="C2053" s="14" t="inlineStr">
        <is>
          <t>lpg</t>
        </is>
      </c>
      <c r="D2053" s="14" t="inlineStr">
        <is>
          <t>omn</t>
        </is>
      </c>
      <c r="E2053" s="14" t="inlineStr">
        <is>
          <t>POSTTAX</t>
        </is>
      </c>
      <c r="F2053" s="92" t="inlineStr">
        <is>
          <t>POSTTAX(INDEX(AE$381:AE$392,$D2607),AE2580+AE2598,$E2607)</t>
        </is>
      </c>
    </row>
    <row r="2054">
      <c r="A2054" s="14" t="n">
        <v>2608</v>
      </c>
      <c r="B2054" s="14" t="inlineStr">
        <is>
          <t>atp</t>
        </is>
      </c>
      <c r="C2054" s="14" t="inlineStr">
        <is>
          <t>ker</t>
        </is>
      </c>
      <c r="D2054" s="14" t="inlineStr">
        <is>
          <t>omn</t>
        </is>
      </c>
      <c r="E2054" s="14" t="inlineStr">
        <is>
          <t>POSTTAX</t>
        </is>
      </c>
      <c r="F2054" s="92" t="inlineStr">
        <is>
          <t>POSTTAX(INDEX(AE$381:AE$392,$D2608),AE2581+AE2599,$E2608)</t>
        </is>
      </c>
    </row>
    <row r="2055">
      <c r="A2055" s="14" t="n">
        <v>2609</v>
      </c>
      <c r="B2055" s="14" t="inlineStr">
        <is>
          <t>atp</t>
        </is>
      </c>
      <c r="C2055" s="14" t="inlineStr">
        <is>
          <t>oop</t>
        </is>
      </c>
      <c r="D2055" s="14" t="inlineStr">
        <is>
          <t>omn</t>
        </is>
      </c>
      <c r="E2055" s="14" t="inlineStr">
        <is>
          <t>POSTTAX</t>
        </is>
      </c>
      <c r="F2055" s="92" t="inlineStr">
        <is>
          <t>POSTTAX(INDEX(AE$381:AE$392,$D2609),AE2582+AE2600,$E2609)</t>
        </is>
      </c>
    </row>
    <row r="2056">
      <c r="A2056" s="14" t="n">
        <v>2610</v>
      </c>
      <c r="B2056" s="14" t="inlineStr">
        <is>
          <t>atp</t>
        </is>
      </c>
      <c r="C2056" s="14" t="inlineStr">
        <is>
          <t>bio</t>
        </is>
      </c>
      <c r="D2056" s="14" t="inlineStr">
        <is>
          <t>omn</t>
        </is>
      </c>
      <c r="E2056" s="14" t="inlineStr">
        <is>
          <t>POSTTAX</t>
        </is>
      </c>
      <c r="F2056" s="92" t="inlineStr">
        <is>
          <t>POSTTAX(INDEX(AE$381:AE$392,$D2610),AE2583+AE2601,$E2610)</t>
        </is>
      </c>
    </row>
    <row r="2057">
      <c r="A2057" s="14" t="n">
        <v>2612</v>
      </c>
      <c r="B2057" s="14" t="inlineStr">
        <is>
          <t>shp</t>
        </is>
      </c>
      <c r="C2057" s="14" t="inlineStr">
        <is>
          <t>coa</t>
        </is>
      </c>
      <c r="D2057" s="14" t="inlineStr">
        <is>
          <t>omn</t>
        </is>
      </c>
      <c r="E2057" s="14" t="inlineStr">
        <is>
          <t>SHADOWGJ</t>
        </is>
      </c>
      <c r="F2057" s="92" t="inlineStr">
        <is>
          <t>SHADOWGJ(INDEX(AE$297:AE$313,$E2612),$D2612)</t>
        </is>
      </c>
    </row>
    <row r="2058">
      <c r="A2058" s="14" t="n">
        <v>2613</v>
      </c>
      <c r="B2058" s="14" t="inlineStr">
        <is>
          <t>shp</t>
        </is>
      </c>
      <c r="C2058" s="14" t="inlineStr">
        <is>
          <t>nga</t>
        </is>
      </c>
      <c r="D2058" s="14" t="inlineStr">
        <is>
          <t>omn</t>
        </is>
      </c>
      <c r="E2058" s="14" t="inlineStr">
        <is>
          <t>SHADOWGJ</t>
        </is>
      </c>
      <c r="F2058" s="92" t="inlineStr">
        <is>
          <t>SHADOWGJ(INDEX(AE$297:AE$313,$E2613),$D2613)</t>
        </is>
      </c>
    </row>
    <row r="2059">
      <c r="A2059" s="14" t="n">
        <v>2614</v>
      </c>
      <c r="B2059" s="14" t="inlineStr">
        <is>
          <t>shp</t>
        </is>
      </c>
      <c r="C2059" s="14" t="inlineStr">
        <is>
          <t>gso</t>
        </is>
      </c>
      <c r="D2059" s="14" t="inlineStr">
        <is>
          <t>omn</t>
        </is>
      </c>
      <c r="E2059" s="14" t="inlineStr">
        <is>
          <t>SHADOWGJ</t>
        </is>
      </c>
      <c r="F2059" s="92" t="inlineStr">
        <is>
          <t>SHADOWGJ(INDEX(AE$297:AE$313,$E2614),$D2614)</t>
        </is>
      </c>
    </row>
    <row r="2060">
      <c r="A2060" s="14" t="n">
        <v>2615</v>
      </c>
      <c r="B2060" s="14" t="inlineStr">
        <is>
          <t>shp</t>
        </is>
      </c>
      <c r="C2060" s="14" t="inlineStr">
        <is>
          <t>die</t>
        </is>
      </c>
      <c r="D2060" s="14" t="inlineStr">
        <is>
          <t>omn</t>
        </is>
      </c>
      <c r="E2060" s="14" t="inlineStr">
        <is>
          <t>SHADOWGJ</t>
        </is>
      </c>
      <c r="F2060" s="92" t="inlineStr">
        <is>
          <t>SHADOWGJ(INDEX(AE$297:AE$313,$E2615),$D2615)</t>
        </is>
      </c>
    </row>
    <row r="2061">
      <c r="A2061" s="14" t="n">
        <v>2616</v>
      </c>
      <c r="B2061" s="14" t="inlineStr">
        <is>
          <t>shp</t>
        </is>
      </c>
      <c r="C2061" s="14" t="inlineStr">
        <is>
          <t>lpg</t>
        </is>
      </c>
      <c r="D2061" s="14" t="inlineStr">
        <is>
          <t>omn</t>
        </is>
      </c>
      <c r="E2061" s="14" t="inlineStr">
        <is>
          <t>SHADOWGJ</t>
        </is>
      </c>
      <c r="F2061" s="92" t="inlineStr">
        <is>
          <t>SHADOWGJ(INDEX(AE$297:AE$313,$E2616),$D2616)</t>
        </is>
      </c>
    </row>
    <row r="2062">
      <c r="A2062" s="14" t="n">
        <v>2617</v>
      </c>
      <c r="B2062" s="14" t="inlineStr">
        <is>
          <t>shp</t>
        </is>
      </c>
      <c r="C2062" s="14" t="inlineStr">
        <is>
          <t>ker</t>
        </is>
      </c>
      <c r="D2062" s="14" t="inlineStr">
        <is>
          <t>omn</t>
        </is>
      </c>
      <c r="E2062" s="14" t="inlineStr">
        <is>
          <t>SHADOWGJ</t>
        </is>
      </c>
      <c r="F2062" s="92" t="inlineStr">
        <is>
          <t>SHADOWGJ(INDEX(AE$297:AE$313,$E2617),$D2617)</t>
        </is>
      </c>
    </row>
    <row r="2063">
      <c r="A2063" s="14" t="n">
        <v>2618</v>
      </c>
      <c r="B2063" s="14" t="inlineStr">
        <is>
          <t>shp</t>
        </is>
      </c>
      <c r="C2063" s="14" t="inlineStr">
        <is>
          <t>oop</t>
        </is>
      </c>
      <c r="D2063" s="14" t="inlineStr">
        <is>
          <t>omn</t>
        </is>
      </c>
      <c r="E2063" s="14" t="inlineStr">
        <is>
          <t>SHADOWGJ</t>
        </is>
      </c>
      <c r="F2063" s="92" t="inlineStr">
        <is>
          <t>SHADOWGJ(INDEX(AE$297:AE$313,$E2618),$D2618)</t>
        </is>
      </c>
    </row>
    <row r="2064">
      <c r="A2064" s="14" t="n">
        <v>2619</v>
      </c>
      <c r="B2064" s="14" t="inlineStr">
        <is>
          <t>shp</t>
        </is>
      </c>
      <c r="C2064" s="14" t="inlineStr">
        <is>
          <t>bio</t>
        </is>
      </c>
      <c r="D2064" s="14" t="inlineStr">
        <is>
          <t>omn</t>
        </is>
      </c>
      <c r="E2064" s="14" t="inlineStr">
        <is>
          <t>SHADOWGJ</t>
        </is>
      </c>
      <c r="F2064" s="92" t="inlineStr">
        <is>
          <t>SHADOWGJ(INDEX(AE$297:AE$313,$E2619),$D2619)</t>
        </is>
      </c>
    </row>
    <row r="2065">
      <c r="A2065" s="14" t="n">
        <v>2621</v>
      </c>
      <c r="B2065" s="14" t="inlineStr">
        <is>
          <t>ener</t>
        </is>
      </c>
      <c r="C2065" s="14" t="inlineStr">
        <is>
          <t>coa</t>
        </is>
      </c>
      <c r="D2065" s="14" t="inlineStr">
        <is>
          <t>omn</t>
        </is>
      </c>
      <c r="E2065" s="14" t="inlineStr">
        <is>
          <t>FUELUSE</t>
        </is>
      </c>
      <c r="F2065" s="92" t="inlineStr">
        <is>
          <t>FUELUSE(AD2621,AE2603,AD2603,AE2612,AD2612,AE$7,$D2621,$E2621,$F2621,$G2621)</t>
        </is>
      </c>
    </row>
    <row r="2066">
      <c r="A2066" s="14" t="n">
        <v>2622</v>
      </c>
      <c r="B2066" s="14" t="inlineStr">
        <is>
          <t>ener</t>
        </is>
      </c>
      <c r="C2066" s="14" t="inlineStr">
        <is>
          <t>nga</t>
        </is>
      </c>
      <c r="D2066" s="14" t="inlineStr">
        <is>
          <t>omn</t>
        </is>
      </c>
      <c r="E2066" s="14" t="inlineStr">
        <is>
          <t>FUELUSE</t>
        </is>
      </c>
      <c r="F2066" s="92" t="inlineStr">
        <is>
          <t>FUELUSE(AD2622,AE2604,AD2604,AE2613,AD2613,AE$7,$D2622,$E2622,$F2622,$G2622)</t>
        </is>
      </c>
    </row>
    <row r="2067">
      <c r="A2067" s="14" t="n">
        <v>2623</v>
      </c>
      <c r="B2067" s="14" t="inlineStr">
        <is>
          <t>ener</t>
        </is>
      </c>
      <c r="C2067" s="14" t="inlineStr">
        <is>
          <t>gso</t>
        </is>
      </c>
      <c r="D2067" s="14" t="inlineStr">
        <is>
          <t>omn</t>
        </is>
      </c>
      <c r="E2067" s="14" t="inlineStr">
        <is>
          <t>FUELUSE</t>
        </is>
      </c>
      <c r="F2067" s="92" t="inlineStr">
        <is>
          <t>FUELUSE(AD2623,AE2605,AD2605,AE2614,AD2614,AE$7,$D2623,$E2623,$F2623,$G2623)</t>
        </is>
      </c>
    </row>
    <row r="2068">
      <c r="A2068" s="14" t="n">
        <v>2624</v>
      </c>
      <c r="B2068" s="14" t="inlineStr">
        <is>
          <t>ener</t>
        </is>
      </c>
      <c r="C2068" s="14" t="inlineStr">
        <is>
          <t>die</t>
        </is>
      </c>
      <c r="D2068" s="14" t="inlineStr">
        <is>
          <t>omn</t>
        </is>
      </c>
      <c r="E2068" s="14" t="inlineStr">
        <is>
          <t>FUELUSE</t>
        </is>
      </c>
      <c r="F2068" s="92" t="inlineStr">
        <is>
          <t>FUELUSE(AD2624,AE2606,AD2606,AE2615,AD2615,AE$7,$D2624,$E2624,$F2624,$G2624)</t>
        </is>
      </c>
    </row>
    <row r="2069">
      <c r="A2069" s="14" t="n">
        <v>2625</v>
      </c>
      <c r="B2069" s="14" t="inlineStr">
        <is>
          <t>ener</t>
        </is>
      </c>
      <c r="C2069" s="14" t="inlineStr">
        <is>
          <t>lpg</t>
        </is>
      </c>
      <c r="D2069" s="14" t="inlineStr">
        <is>
          <t>omn</t>
        </is>
      </c>
      <c r="E2069" s="14" t="inlineStr">
        <is>
          <t>FUELUSE</t>
        </is>
      </c>
      <c r="F2069" s="92" t="inlineStr">
        <is>
          <t>FUELUSE(AD2625,AE2607,AD2607,AE2616,AD2616,AE$7,$D2625,$E2625,$F2625,$G2625)</t>
        </is>
      </c>
    </row>
    <row r="2070">
      <c r="A2070" s="14" t="n">
        <v>2626</v>
      </c>
      <c r="B2070" s="14" t="inlineStr">
        <is>
          <t>ener</t>
        </is>
      </c>
      <c r="C2070" s="14" t="inlineStr">
        <is>
          <t>ker</t>
        </is>
      </c>
      <c r="D2070" s="14" t="inlineStr">
        <is>
          <t>omn</t>
        </is>
      </c>
      <c r="E2070" s="14" t="inlineStr">
        <is>
          <t>FUELUSE</t>
        </is>
      </c>
      <c r="F2070" s="92" t="inlineStr">
        <is>
          <t>FUELUSE(AD2626,AE2608,AD2608,AE2617,AD2617,AE$7,$D2626,$E2626,$F2626,$G2626)</t>
        </is>
      </c>
    </row>
    <row r="2071">
      <c r="A2071" s="14" t="n">
        <v>2627</v>
      </c>
      <c r="B2071" s="14" t="inlineStr">
        <is>
          <t>ener</t>
        </is>
      </c>
      <c r="C2071" s="14" t="inlineStr">
        <is>
          <t>oop</t>
        </is>
      </c>
      <c r="D2071" s="14" t="inlineStr">
        <is>
          <t>omn</t>
        </is>
      </c>
      <c r="E2071" s="14" t="inlineStr">
        <is>
          <t>FUELUSE</t>
        </is>
      </c>
      <c r="F2071" s="92" t="inlineStr">
        <is>
          <t>FUELUSE(AD2627,AE2609,AD2609,AE2618,AD2618,AE$7,$D2627,$E2627,$F2627,$G2627)</t>
        </is>
      </c>
    </row>
    <row r="2072">
      <c r="A2072" s="14" t="n">
        <v>2628</v>
      </c>
      <c r="B2072" s="14" t="inlineStr">
        <is>
          <t>ener</t>
        </is>
      </c>
      <c r="C2072" s="14" t="inlineStr">
        <is>
          <t>bio</t>
        </is>
      </c>
      <c r="D2072" s="14" t="inlineStr">
        <is>
          <t>omn</t>
        </is>
      </c>
      <c r="E2072" s="14" t="inlineStr">
        <is>
          <t>FUELUSE</t>
        </is>
      </c>
      <c r="F2072" s="92" t="inlineStr">
        <is>
          <t>FUELUSE(AD2628,AE2610,AD2610,AE2619,AD2619,AE$7,$D2628,$E2628,$F2628,$G2628)</t>
        </is>
      </c>
    </row>
    <row r="2073">
      <c r="A2073" s="14" t="n">
        <v>2630</v>
      </c>
      <c r="B2073" s="14" t="inlineStr">
        <is>
          <t>co2</t>
        </is>
      </c>
      <c r="C2073" s="14" t="inlineStr">
        <is>
          <t>coa</t>
        </is>
      </c>
      <c r="D2073" s="14" t="inlineStr">
        <is>
          <t>omn</t>
        </is>
      </c>
      <c r="E2073" s="14" t="inlineStr">
        <is>
          <t>EMISSIONS</t>
        </is>
      </c>
      <c r="F2073" s="92" t="inlineStr">
        <is>
          <t>EMISSIONS(AE2621,Settings!$C$13,$D2630)</t>
        </is>
      </c>
    </row>
    <row r="2074">
      <c r="A2074" s="14" t="n">
        <v>2631</v>
      </c>
      <c r="B2074" s="14" t="inlineStr">
        <is>
          <t>co2</t>
        </is>
      </c>
      <c r="C2074" s="14" t="inlineStr">
        <is>
          <t>nga</t>
        </is>
      </c>
      <c r="D2074" s="14" t="inlineStr">
        <is>
          <t>omn</t>
        </is>
      </c>
      <c r="E2074" s="14" t="inlineStr">
        <is>
          <t>EMISSIONS</t>
        </is>
      </c>
      <c r="F2074" s="92" t="inlineStr">
        <is>
          <t>EMISSIONS(AE2622,Settings!$C$13,$D2631)</t>
        </is>
      </c>
    </row>
    <row r="2075">
      <c r="A2075" s="14" t="n">
        <v>2632</v>
      </c>
      <c r="B2075" s="14" t="inlineStr">
        <is>
          <t>co2</t>
        </is>
      </c>
      <c r="C2075" s="14" t="inlineStr">
        <is>
          <t>gso</t>
        </is>
      </c>
      <c r="D2075" s="14" t="inlineStr">
        <is>
          <t>omn</t>
        </is>
      </c>
      <c r="E2075" s="14" t="inlineStr">
        <is>
          <t>EMISSIONS</t>
        </is>
      </c>
      <c r="F2075" s="92" t="inlineStr">
        <is>
          <t>EMISSIONS(AE2623,Settings!$C$13,$D2632)</t>
        </is>
      </c>
    </row>
    <row r="2076">
      <c r="A2076" s="14" t="n">
        <v>2633</v>
      </c>
      <c r="B2076" s="14" t="inlineStr">
        <is>
          <t>co2</t>
        </is>
      </c>
      <c r="C2076" s="14" t="inlineStr">
        <is>
          <t>die</t>
        </is>
      </c>
      <c r="D2076" s="14" t="inlineStr">
        <is>
          <t>omn</t>
        </is>
      </c>
      <c r="E2076" s="14" t="inlineStr">
        <is>
          <t>EMISSIONS</t>
        </is>
      </c>
      <c r="F2076" s="92" t="inlineStr">
        <is>
          <t>EMISSIONS(AE2624,Settings!$C$13,$D2633)</t>
        </is>
      </c>
    </row>
    <row r="2077">
      <c r="A2077" s="14" t="n">
        <v>2634</v>
      </c>
      <c r="B2077" s="14" t="inlineStr">
        <is>
          <t>co2</t>
        </is>
      </c>
      <c r="C2077" s="14" t="inlineStr">
        <is>
          <t>lpg</t>
        </is>
      </c>
      <c r="D2077" s="14" t="inlineStr">
        <is>
          <t>omn</t>
        </is>
      </c>
      <c r="E2077" s="14" t="inlineStr">
        <is>
          <t>EMISSIONS</t>
        </is>
      </c>
      <c r="F2077" s="92" t="inlineStr">
        <is>
          <t>EMISSIONS(AE2625,Settings!$C$13,$D2634)</t>
        </is>
      </c>
    </row>
    <row r="2078">
      <c r="A2078" s="14" t="n">
        <v>2635</v>
      </c>
      <c r="B2078" s="14" t="inlineStr">
        <is>
          <t>co2</t>
        </is>
      </c>
      <c r="C2078" s="14" t="inlineStr">
        <is>
          <t>ker</t>
        </is>
      </c>
      <c r="D2078" s="14" t="inlineStr">
        <is>
          <t>omn</t>
        </is>
      </c>
      <c r="E2078" s="14" t="inlineStr">
        <is>
          <t>EMISSIONS</t>
        </is>
      </c>
      <c r="F2078" s="92" t="inlineStr">
        <is>
          <t>EMISSIONS(AE2626,Settings!$C$13,$D2635)</t>
        </is>
      </c>
    </row>
    <row r="2079">
      <c r="A2079" s="14" t="n">
        <v>2636</v>
      </c>
      <c r="B2079" s="14" t="inlineStr">
        <is>
          <t>co2</t>
        </is>
      </c>
      <c r="C2079" s="14" t="inlineStr">
        <is>
          <t>oop</t>
        </is>
      </c>
      <c r="D2079" s="14" t="inlineStr">
        <is>
          <t>omn</t>
        </is>
      </c>
      <c r="E2079" s="14" t="inlineStr">
        <is>
          <t>EMISSIONS</t>
        </is>
      </c>
      <c r="F2079" s="92" t="inlineStr">
        <is>
          <t>EMISSIONS(AE2627,Settings!$C$13,$D2636)</t>
        </is>
      </c>
    </row>
    <row r="2080">
      <c r="A2080" s="14" t="n">
        <v>2637</v>
      </c>
      <c r="B2080" s="14" t="inlineStr">
        <is>
          <t>co2</t>
        </is>
      </c>
      <c r="C2080" s="14" t="inlineStr">
        <is>
          <t>bio</t>
        </is>
      </c>
      <c r="D2080" s="14" t="inlineStr">
        <is>
          <t>omn</t>
        </is>
      </c>
      <c r="E2080" s="14" t="inlineStr">
        <is>
          <t>EMISSIONS</t>
        </is>
      </c>
      <c r="F2080" s="92" t="inlineStr">
        <is>
          <t>EMISSIONS(AE2628,Settings!$C$13,$D2637)</t>
        </is>
      </c>
    </row>
    <row r="2081">
      <c r="A2081" s="14" t="n">
        <v>2639</v>
      </c>
      <c r="B2081" s="14" t="inlineStr">
        <is>
          <t>rtx</t>
        </is>
      </c>
      <c r="C2081" s="14" t="inlineStr">
        <is>
          <t>coa</t>
        </is>
      </c>
      <c r="D2081" s="14" t="inlineStr">
        <is>
          <t>omn</t>
        </is>
      </c>
      <c r="E2081" s="14" t="inlineStr">
        <is>
          <t>REVENUE</t>
        </is>
      </c>
      <c r="F2081" s="92" t="inlineStr">
        <is>
          <t>REVENUE(AE2621,Settings!$C$13,INDEX(AE$407:AE$418,$D2639)+INDEX(AE$394:AE$405,$D2639)+AE2594*(1+$E2639))</t>
        </is>
      </c>
    </row>
    <row r="2082">
      <c r="A2082" s="14" t="n">
        <v>2640</v>
      </c>
      <c r="B2082" s="14" t="inlineStr">
        <is>
          <t>rtx</t>
        </is>
      </c>
      <c r="C2082" s="14" t="inlineStr">
        <is>
          <t>nga</t>
        </is>
      </c>
      <c r="D2082" s="14" t="inlineStr">
        <is>
          <t>omn</t>
        </is>
      </c>
      <c r="E2082" s="14" t="inlineStr">
        <is>
          <t>REVENUE</t>
        </is>
      </c>
      <c r="F2082" s="92" t="inlineStr">
        <is>
          <t>REVENUE(AE2622,Settings!$C$13,INDEX(AE$407:AE$418,$D2640)+INDEX(AE$394:AE$405,$D2640)+AE2595*(1+$E2640))</t>
        </is>
      </c>
    </row>
    <row r="2083">
      <c r="A2083" s="14" t="n">
        <v>2641</v>
      </c>
      <c r="B2083" s="14" t="inlineStr">
        <is>
          <t>rtx</t>
        </is>
      </c>
      <c r="C2083" s="14" t="inlineStr">
        <is>
          <t>gso</t>
        </is>
      </c>
      <c r="D2083" s="14" t="inlineStr">
        <is>
          <t>omn</t>
        </is>
      </c>
      <c r="E2083" s="14" t="inlineStr">
        <is>
          <t>REVENUE</t>
        </is>
      </c>
      <c r="F2083" s="92" t="inlineStr">
        <is>
          <t>REVENUE(AE2623,Settings!$C$13,INDEX(AE$407:AE$418,$D2641)+INDEX(AE$394:AE$405,$D2641)+AE2596*(1+$E2641))</t>
        </is>
      </c>
    </row>
    <row r="2084">
      <c r="A2084" s="14" t="n">
        <v>2642</v>
      </c>
      <c r="B2084" s="14" t="inlineStr">
        <is>
          <t>rtx</t>
        </is>
      </c>
      <c r="C2084" s="14" t="inlineStr">
        <is>
          <t>die</t>
        </is>
      </c>
      <c r="D2084" s="14" t="inlineStr">
        <is>
          <t>omn</t>
        </is>
      </c>
      <c r="E2084" s="14" t="inlineStr">
        <is>
          <t>REVENUE</t>
        </is>
      </c>
      <c r="F2084" s="92" t="inlineStr">
        <is>
          <t>REVENUE(AE2624,Settings!$C$13,INDEX(AE$407:AE$418,$D2642)+INDEX(AE$394:AE$405,$D2642)+AE2597*(1+$E2642))</t>
        </is>
      </c>
    </row>
    <row r="2085">
      <c r="A2085" s="14" t="n">
        <v>2643</v>
      </c>
      <c r="B2085" s="14" t="inlineStr">
        <is>
          <t>rtx</t>
        </is>
      </c>
      <c r="C2085" s="14" t="inlineStr">
        <is>
          <t>lpg</t>
        </is>
      </c>
      <c r="D2085" s="14" t="inlineStr">
        <is>
          <t>omn</t>
        </is>
      </c>
      <c r="E2085" s="14" t="inlineStr">
        <is>
          <t>REVENUE</t>
        </is>
      </c>
      <c r="F2085" s="92" t="inlineStr">
        <is>
          <t>REVENUE(AE2625,Settings!$C$13,INDEX(AE$407:AE$418,$D2643)+INDEX(AE$394:AE$405,$D2643)+AE2598*(1+$E2643))</t>
        </is>
      </c>
    </row>
    <row r="2086">
      <c r="A2086" s="14" t="n">
        <v>2644</v>
      </c>
      <c r="B2086" s="14" t="inlineStr">
        <is>
          <t>rtx</t>
        </is>
      </c>
      <c r="C2086" s="14" t="inlineStr">
        <is>
          <t>ker</t>
        </is>
      </c>
      <c r="D2086" s="14" t="inlineStr">
        <is>
          <t>omn</t>
        </is>
      </c>
      <c r="E2086" s="14" t="inlineStr">
        <is>
          <t>REVENUE</t>
        </is>
      </c>
      <c r="F2086" s="92" t="inlineStr">
        <is>
          <t>REVENUE(AE2626,Settings!$C$13,INDEX(AE$407:AE$418,$D2644)+INDEX(AE$394:AE$405,$D2644)+AE2599*(1+$E2644))</t>
        </is>
      </c>
    </row>
    <row r="2087">
      <c r="A2087" s="14" t="n">
        <v>2645</v>
      </c>
      <c r="B2087" s="14" t="inlineStr">
        <is>
          <t>rtx</t>
        </is>
      </c>
      <c r="C2087" s="14" t="inlineStr">
        <is>
          <t>oop</t>
        </is>
      </c>
      <c r="D2087" s="14" t="inlineStr">
        <is>
          <t>omn</t>
        </is>
      </c>
      <c r="E2087" s="14" t="inlineStr">
        <is>
          <t>REVENUE</t>
        </is>
      </c>
      <c r="F2087" s="92" t="inlineStr">
        <is>
          <t>REVENUE(AE2627,Settings!$C$13,INDEX(AE$407:AE$418,$D2645)+INDEX(AE$394:AE$405,$D2645)+AE2600*(1+$E2645))</t>
        </is>
      </c>
    </row>
    <row r="2088">
      <c r="A2088" s="14" t="n">
        <v>2646</v>
      </c>
      <c r="B2088" s="14" t="inlineStr">
        <is>
          <t>rtx</t>
        </is>
      </c>
      <c r="C2088" s="14" t="inlineStr">
        <is>
          <t>bio</t>
        </is>
      </c>
      <c r="D2088" s="14" t="inlineStr">
        <is>
          <t>omn</t>
        </is>
      </c>
      <c r="E2088" s="14" t="inlineStr">
        <is>
          <t>REVENUE</t>
        </is>
      </c>
      <c r="F2088" s="92" t="inlineStr">
        <is>
          <t>REVENUE(AE2628,Settings!$C$13,INDEX(AE$407:AE$418,$D2646)+INDEX(AE$394:AE$405,$D2646)+AE2601*(1+$E2646))</t>
        </is>
      </c>
    </row>
    <row r="2089">
      <c r="A2089" s="14" t="n">
        <v>2648</v>
      </c>
      <c r="B2089" s="14" t="inlineStr">
        <is>
          <t>rsub</t>
        </is>
      </c>
      <c r="C2089" s="14" t="inlineStr">
        <is>
          <t>coa</t>
        </is>
      </c>
      <c r="D2089" s="14" t="inlineStr">
        <is>
          <t>omn</t>
        </is>
      </c>
      <c r="E2089" s="14" t="inlineStr">
        <is>
          <t>REVENUE</t>
        </is>
      </c>
      <c r="F2089" s="92" t="inlineStr">
        <is>
          <t>REVENUE(AE2621,Settings!$C$13,INDEX(AE$420:AE$431,$D2648))</t>
        </is>
      </c>
    </row>
    <row r="2090">
      <c r="A2090" s="14" t="n">
        <v>2649</v>
      </c>
      <c r="B2090" s="14" t="inlineStr">
        <is>
          <t>rsub</t>
        </is>
      </c>
      <c r="C2090" s="14" t="inlineStr">
        <is>
          <t>nga</t>
        </is>
      </c>
      <c r="D2090" s="14" t="inlineStr">
        <is>
          <t>omn</t>
        </is>
      </c>
      <c r="E2090" s="14" t="inlineStr">
        <is>
          <t>REVENUE</t>
        </is>
      </c>
      <c r="F2090" s="92" t="inlineStr">
        <is>
          <t>REVENUE(AE2622,Settings!$C$13,INDEX(AE$420:AE$431,$D2649))</t>
        </is>
      </c>
    </row>
    <row r="2091">
      <c r="A2091" s="14" t="n">
        <v>2650</v>
      </c>
      <c r="B2091" s="14" t="inlineStr">
        <is>
          <t>rsub</t>
        </is>
      </c>
      <c r="C2091" s="14" t="inlineStr">
        <is>
          <t>gso</t>
        </is>
      </c>
      <c r="D2091" s="14" t="inlineStr">
        <is>
          <t>omn</t>
        </is>
      </c>
      <c r="E2091" s="14" t="inlineStr">
        <is>
          <t>REVENUE</t>
        </is>
      </c>
      <c r="F2091" s="92" t="inlineStr">
        <is>
          <t>REVENUE(AE2623,Settings!$C$13,INDEX(AE$420:AE$431,$D2650))</t>
        </is>
      </c>
    </row>
    <row r="2092">
      <c r="A2092" s="14" t="n">
        <v>2651</v>
      </c>
      <c r="B2092" s="14" t="inlineStr">
        <is>
          <t>rsub</t>
        </is>
      </c>
      <c r="C2092" s="14" t="inlineStr">
        <is>
          <t>die</t>
        </is>
      </c>
      <c r="D2092" s="14" t="inlineStr">
        <is>
          <t>omn</t>
        </is>
      </c>
      <c r="E2092" s="14" t="inlineStr">
        <is>
          <t>REVENUE</t>
        </is>
      </c>
      <c r="F2092" s="92" t="inlineStr">
        <is>
          <t>REVENUE(AE2624,Settings!$C$13,INDEX(AE$420:AE$431,$D2651))</t>
        </is>
      </c>
    </row>
    <row r="2093">
      <c r="A2093" s="14" t="n">
        <v>2652</v>
      </c>
      <c r="B2093" s="14" t="inlineStr">
        <is>
          <t>rsub</t>
        </is>
      </c>
      <c r="C2093" s="14" t="inlineStr">
        <is>
          <t>lpg</t>
        </is>
      </c>
      <c r="D2093" s="14" t="inlineStr">
        <is>
          <t>omn</t>
        </is>
      </c>
      <c r="E2093" s="14" t="inlineStr">
        <is>
          <t>REVENUE</t>
        </is>
      </c>
      <c r="F2093" s="92" t="inlineStr">
        <is>
          <t>REVENUE(AE2625,Settings!$C$13,INDEX(AE$420:AE$431,$D2652))</t>
        </is>
      </c>
    </row>
    <row r="2094">
      <c r="A2094" s="14" t="n">
        <v>2653</v>
      </c>
      <c r="B2094" s="14" t="inlineStr">
        <is>
          <t>rsub</t>
        </is>
      </c>
      <c r="C2094" s="14" t="inlineStr">
        <is>
          <t>ker</t>
        </is>
      </c>
      <c r="D2094" s="14" t="inlineStr">
        <is>
          <t>omn</t>
        </is>
      </c>
      <c r="E2094" s="14" t="inlineStr">
        <is>
          <t>REVENUE</t>
        </is>
      </c>
      <c r="F2094" s="92" t="inlineStr">
        <is>
          <t>REVENUE(AE2626,Settings!$C$13,INDEX(AE$420:AE$431,$D2653))</t>
        </is>
      </c>
    </row>
    <row r="2095">
      <c r="A2095" s="14" t="n">
        <v>2654</v>
      </c>
      <c r="B2095" s="14" t="inlineStr">
        <is>
          <t>rsub</t>
        </is>
      </c>
      <c r="C2095" s="14" t="inlineStr">
        <is>
          <t>oop</t>
        </is>
      </c>
      <c r="D2095" s="14" t="inlineStr">
        <is>
          <t>omn</t>
        </is>
      </c>
      <c r="E2095" s="14" t="inlineStr">
        <is>
          <t>REVENUE</t>
        </is>
      </c>
      <c r="F2095" s="92" t="inlineStr">
        <is>
          <t>REVENUE(AE2627,Settings!$C$13,INDEX(AE$420:AE$431,$D2654))</t>
        </is>
      </c>
    </row>
    <row r="2096">
      <c r="A2096" s="14" t="n">
        <v>2655</v>
      </c>
      <c r="B2096" s="14" t="inlineStr">
        <is>
          <t>rsub</t>
        </is>
      </c>
      <c r="C2096" s="14" t="inlineStr">
        <is>
          <t>bio</t>
        </is>
      </c>
      <c r="D2096" s="14" t="inlineStr">
        <is>
          <t>omn</t>
        </is>
      </c>
      <c r="E2096" s="14" t="inlineStr">
        <is>
          <t>REVENUE</t>
        </is>
      </c>
      <c r="F2096" s="92" t="inlineStr">
        <is>
          <t>REVENUE(AE2628,Settings!$C$13,INDEX(AE$420:AE$431,$D2655))</t>
        </is>
      </c>
    </row>
    <row r="2097">
      <c r="A2097" s="14" t="n">
        <v>2657</v>
      </c>
      <c r="B2097" s="14" t="inlineStr">
        <is>
          <t>rnew</t>
        </is>
      </c>
      <c r="C2097" s="14" t="inlineStr">
        <is>
          <t>coa</t>
        </is>
      </c>
      <c r="D2097" s="14" t="inlineStr">
        <is>
          <t>omn</t>
        </is>
      </c>
      <c r="E2097" s="14" t="inlineStr">
        <is>
          <t>REVENUE</t>
        </is>
      </c>
      <c r="F2097" s="92" t="inlineStr">
        <is>
          <t>REVENUE(AE2621,Settings!$C$13,NEWREVRATE(AE2549,AE2567,AE2558,AE$201,AE2576,$D2657))</t>
        </is>
      </c>
    </row>
    <row r="2098">
      <c r="A2098" s="14" t="n">
        <v>2658</v>
      </c>
      <c r="B2098" s="14" t="inlineStr">
        <is>
          <t>rnew</t>
        </is>
      </c>
      <c r="C2098" s="14" t="inlineStr">
        <is>
          <t>nga</t>
        </is>
      </c>
      <c r="D2098" s="14" t="inlineStr">
        <is>
          <t>omn</t>
        </is>
      </c>
      <c r="E2098" s="14" t="inlineStr">
        <is>
          <t>REVENUE</t>
        </is>
      </c>
      <c r="F2098" s="92" t="inlineStr">
        <is>
          <t>REVENUE(AE2622,Settings!$C$13,NEWREVRATE(AE2550,AE2568,AE2559,AE$201,AE2577,$D2658))</t>
        </is>
      </c>
    </row>
    <row r="2099">
      <c r="A2099" s="14" t="n">
        <v>2659</v>
      </c>
      <c r="B2099" s="14" t="inlineStr">
        <is>
          <t>rnew</t>
        </is>
      </c>
      <c r="C2099" s="14" t="inlineStr">
        <is>
          <t>gso</t>
        </is>
      </c>
      <c r="D2099" s="14" t="inlineStr">
        <is>
          <t>omn</t>
        </is>
      </c>
      <c r="E2099" s="14" t="inlineStr">
        <is>
          <t>REVENUE</t>
        </is>
      </c>
      <c r="F2099" s="92" t="inlineStr">
        <is>
          <t>REVENUE(AE2623,Settings!$C$13,NEWREVRATE(AE2551,AE2569,AE2560,AE$201,AE2578,$D2659))</t>
        </is>
      </c>
    </row>
    <row r="2100">
      <c r="A2100" s="14" t="n">
        <v>2660</v>
      </c>
      <c r="B2100" s="14" t="inlineStr">
        <is>
          <t>rnew</t>
        </is>
      </c>
      <c r="C2100" s="14" t="inlineStr">
        <is>
          <t>die</t>
        </is>
      </c>
      <c r="D2100" s="14" t="inlineStr">
        <is>
          <t>omn</t>
        </is>
      </c>
      <c r="E2100" s="14" t="inlineStr">
        <is>
          <t>REVENUE</t>
        </is>
      </c>
      <c r="F2100" s="92" t="inlineStr">
        <is>
          <t>REVENUE(AE2624,Settings!$C$13,NEWREVRATE(AE2552,AE2570,AE2561,AE$201,AE2579,$D2660))</t>
        </is>
      </c>
    </row>
    <row r="2101">
      <c r="A2101" s="14" t="n">
        <v>2661</v>
      </c>
      <c r="B2101" s="14" t="inlineStr">
        <is>
          <t>rnew</t>
        </is>
      </c>
      <c r="C2101" s="14" t="inlineStr">
        <is>
          <t>lpg</t>
        </is>
      </c>
      <c r="D2101" s="14" t="inlineStr">
        <is>
          <t>omn</t>
        </is>
      </c>
      <c r="E2101" s="14" t="inlineStr">
        <is>
          <t>REVENUE</t>
        </is>
      </c>
      <c r="F2101" s="92" t="inlineStr">
        <is>
          <t>REVENUE(AE2625,Settings!$C$13,NEWREVRATE(AE2553,AE2571,AE2562,AE$201,AE2580,$D2661))</t>
        </is>
      </c>
    </row>
    <row r="2102">
      <c r="A2102" s="14" t="n">
        <v>2662</v>
      </c>
      <c r="B2102" s="14" t="inlineStr">
        <is>
          <t>rnew</t>
        </is>
      </c>
      <c r="C2102" s="14" t="inlineStr">
        <is>
          <t>ker</t>
        </is>
      </c>
      <c r="D2102" s="14" t="inlineStr">
        <is>
          <t>omn</t>
        </is>
      </c>
      <c r="E2102" s="14" t="inlineStr">
        <is>
          <t>REVENUE</t>
        </is>
      </c>
      <c r="F2102" s="92" t="inlineStr">
        <is>
          <t>REVENUE(AE2626,Settings!$C$13,NEWREVRATE(AE2554,AE2572,AE2563,AE$201,AE2581,$D2662))</t>
        </is>
      </c>
    </row>
    <row r="2103">
      <c r="A2103" s="14" t="n">
        <v>2663</v>
      </c>
      <c r="B2103" s="14" t="inlineStr">
        <is>
          <t>rnew</t>
        </is>
      </c>
      <c r="C2103" s="14" t="inlineStr">
        <is>
          <t>oop</t>
        </is>
      </c>
      <c r="D2103" s="14" t="inlineStr">
        <is>
          <t>omn</t>
        </is>
      </c>
      <c r="E2103" s="14" t="inlineStr">
        <is>
          <t>REVENUE</t>
        </is>
      </c>
      <c r="F2103" s="92" t="inlineStr">
        <is>
          <t>REVENUE(AE2627,Settings!$C$13,NEWREVRATE(AE2555,AE2573,AE2564,AE$201,AE2582,$D2663))</t>
        </is>
      </c>
    </row>
    <row r="2104">
      <c r="A2104" s="14" t="n">
        <v>2664</v>
      </c>
      <c r="B2104" s="14" t="inlineStr">
        <is>
          <t>rnew</t>
        </is>
      </c>
      <c r="C2104" s="14" t="inlineStr">
        <is>
          <t>bio</t>
        </is>
      </c>
      <c r="D2104" s="14" t="inlineStr">
        <is>
          <t>omn</t>
        </is>
      </c>
      <c r="E2104" s="14" t="inlineStr">
        <is>
          <t>REVENUE</t>
        </is>
      </c>
      <c r="F2104" s="92" t="inlineStr">
        <is>
          <t>REVENUE(AE2628,Settings!$C$13,NEWREVRATE(AE2556,AE2574,AE2565,AE$201,AE2583,$D2664))</t>
        </is>
      </c>
    </row>
    <row r="2105">
      <c r="A2105" s="14" t="n">
        <v>2666</v>
      </c>
      <c r="B2105" s="14" t="inlineStr">
        <is>
          <t>rxcp</t>
        </is>
      </c>
      <c r="C2105" s="14" t="inlineStr">
        <is>
          <t>coa</t>
        </is>
      </c>
      <c r="D2105" s="14" t="inlineStr">
        <is>
          <t>omn</t>
        </is>
      </c>
      <c r="E2105" s="14" t="inlineStr">
        <is>
          <t>REVENUE</t>
        </is>
      </c>
      <c r="F2105" s="92" t="inlineStr">
        <is>
          <t>REVENUE(AE2621,Settings!$C$13,AE2585)</t>
        </is>
      </c>
    </row>
    <row r="2106">
      <c r="A2106" s="14" t="n">
        <v>2667</v>
      </c>
      <c r="B2106" s="14" t="inlineStr">
        <is>
          <t>rxcp</t>
        </is>
      </c>
      <c r="C2106" s="14" t="inlineStr">
        <is>
          <t>nga</t>
        </is>
      </c>
      <c r="D2106" s="14" t="inlineStr">
        <is>
          <t>omn</t>
        </is>
      </c>
      <c r="E2106" s="14" t="inlineStr">
        <is>
          <t>REVENUE</t>
        </is>
      </c>
      <c r="F2106" s="92" t="inlineStr">
        <is>
          <t>REVENUE(AE2622,Settings!$C$13,AE2586)</t>
        </is>
      </c>
    </row>
    <row r="2107">
      <c r="A2107" s="14" t="n">
        <v>2668</v>
      </c>
      <c r="B2107" s="14" t="inlineStr">
        <is>
          <t>rxcp</t>
        </is>
      </c>
      <c r="C2107" s="14" t="inlineStr">
        <is>
          <t>gso</t>
        </is>
      </c>
      <c r="D2107" s="14" t="inlineStr">
        <is>
          <t>omn</t>
        </is>
      </c>
      <c r="E2107" s="14" t="inlineStr">
        <is>
          <t>REVENUE</t>
        </is>
      </c>
      <c r="F2107" s="92" t="inlineStr">
        <is>
          <t>REVENUE(AE2623,Settings!$C$13,AE2587)</t>
        </is>
      </c>
    </row>
    <row r="2108">
      <c r="A2108" s="14" t="n">
        <v>2669</v>
      </c>
      <c r="B2108" s="14" t="inlineStr">
        <is>
          <t>rxcp</t>
        </is>
      </c>
      <c r="C2108" s="14" t="inlineStr">
        <is>
          <t>die</t>
        </is>
      </c>
      <c r="D2108" s="14" t="inlineStr">
        <is>
          <t>omn</t>
        </is>
      </c>
      <c r="E2108" s="14" t="inlineStr">
        <is>
          <t>REVENUE</t>
        </is>
      </c>
      <c r="F2108" s="92" t="inlineStr">
        <is>
          <t>REVENUE(AE2624,Settings!$C$13,AE2588)</t>
        </is>
      </c>
    </row>
    <row r="2109">
      <c r="A2109" s="14" t="n">
        <v>2670</v>
      </c>
      <c r="B2109" s="14" t="inlineStr">
        <is>
          <t>rxcp</t>
        </is>
      </c>
      <c r="C2109" s="14" t="inlineStr">
        <is>
          <t>lpg</t>
        </is>
      </c>
      <c r="D2109" s="14" t="inlineStr">
        <is>
          <t>omn</t>
        </is>
      </c>
      <c r="E2109" s="14" t="inlineStr">
        <is>
          <t>REVENUE</t>
        </is>
      </c>
      <c r="F2109" s="92" t="inlineStr">
        <is>
          <t>REVENUE(AE2625,Settings!$C$13,AE2589)</t>
        </is>
      </c>
    </row>
    <row r="2110">
      <c r="A2110" s="14" t="n">
        <v>2671</v>
      </c>
      <c r="B2110" s="14" t="inlineStr">
        <is>
          <t>rxcp</t>
        </is>
      </c>
      <c r="C2110" s="14" t="inlineStr">
        <is>
          <t>ker</t>
        </is>
      </c>
      <c r="D2110" s="14" t="inlineStr">
        <is>
          <t>omn</t>
        </is>
      </c>
      <c r="E2110" s="14" t="inlineStr">
        <is>
          <t>REVENUE</t>
        </is>
      </c>
      <c r="F2110" s="92" t="inlineStr">
        <is>
          <t>REVENUE(AE2626,Settings!$C$13,AE2590)</t>
        </is>
      </c>
    </row>
    <row r="2111">
      <c r="A2111" s="14" t="n">
        <v>2672</v>
      </c>
      <c r="B2111" s="14" t="inlineStr">
        <is>
          <t>rxcp</t>
        </is>
      </c>
      <c r="C2111" s="14" t="inlineStr">
        <is>
          <t>oop</t>
        </is>
      </c>
      <c r="D2111" s="14" t="inlineStr">
        <is>
          <t>omn</t>
        </is>
      </c>
      <c r="E2111" s="14" t="inlineStr">
        <is>
          <t>REVENUE</t>
        </is>
      </c>
      <c r="F2111" s="92" t="inlineStr">
        <is>
          <t>REVENUE(AE2627,Settings!$C$13,AE2591)</t>
        </is>
      </c>
    </row>
    <row r="2112">
      <c r="A2112" s="14" t="n">
        <v>2673</v>
      </c>
      <c r="B2112" s="14" t="inlineStr">
        <is>
          <t>rxcp</t>
        </is>
      </c>
      <c r="C2112" s="14" t="inlineStr">
        <is>
          <t>bio</t>
        </is>
      </c>
      <c r="D2112" s="14" t="inlineStr">
        <is>
          <t>omn</t>
        </is>
      </c>
      <c r="E2112" s="14" t="inlineStr">
        <is>
          <t>REVENUE</t>
        </is>
      </c>
      <c r="F2112" s="92" t="inlineStr">
        <is>
          <t>REVENUE(AE2628,Settings!$C$13,AE2592)</t>
        </is>
      </c>
    </row>
    <row r="2113">
      <c r="A2113" s="14" t="n">
        <v>2677</v>
      </c>
      <c r="B2113" s="14" t="inlineStr">
        <is>
          <t>ctxnew</t>
        </is>
      </c>
      <c r="C2113" s="14" t="inlineStr">
        <is>
          <t>coa</t>
        </is>
      </c>
      <c r="D2113" s="14" t="inlineStr">
        <is>
          <t>cst</t>
        </is>
      </c>
      <c r="E2113" s="14" t="inlineStr">
        <is>
          <t>CARBONTAX</t>
        </is>
      </c>
      <c r="F2113" s="92" t="inlineStr">
        <is>
          <t>CARBONTAX(INDEX(AE$263:AE$279,$F2677),$D2677,INDEX(AE$23:AE$30,$E2677))</t>
        </is>
      </c>
    </row>
    <row r="2114">
      <c r="A2114" s="14" t="n">
        <v>2678</v>
      </c>
      <c r="B2114" s="14" t="inlineStr">
        <is>
          <t>ctxnew</t>
        </is>
      </c>
      <c r="C2114" s="14" t="inlineStr">
        <is>
          <t>nga</t>
        </is>
      </c>
      <c r="D2114" s="14" t="inlineStr">
        <is>
          <t>cst</t>
        </is>
      </c>
      <c r="E2114" s="14" t="inlineStr">
        <is>
          <t>CARBONTAX</t>
        </is>
      </c>
      <c r="F2114" s="92" t="inlineStr">
        <is>
          <t>CARBONTAX(INDEX(AE$263:AE$279,$F2678),$D2678,INDEX(AE$23:AE$30,$E2678))</t>
        </is>
      </c>
    </row>
    <row r="2115">
      <c r="A2115" s="14" t="n">
        <v>2679</v>
      </c>
      <c r="B2115" s="14" t="inlineStr">
        <is>
          <t>ctxnew</t>
        </is>
      </c>
      <c r="C2115" s="14" t="inlineStr">
        <is>
          <t>gso</t>
        </is>
      </c>
      <c r="D2115" s="14" t="inlineStr">
        <is>
          <t>cst</t>
        </is>
      </c>
      <c r="E2115" s="14" t="inlineStr">
        <is>
          <t>CARBONTAX</t>
        </is>
      </c>
      <c r="F2115" s="92" t="inlineStr">
        <is>
          <t>CARBONTAX(INDEX(AE$263:AE$279,$F2679),$D2679,INDEX(AE$23:AE$30,$E2679))</t>
        </is>
      </c>
    </row>
    <row r="2116">
      <c r="A2116" s="14" t="n">
        <v>2680</v>
      </c>
      <c r="B2116" s="14" t="inlineStr">
        <is>
          <t>ctxnew</t>
        </is>
      </c>
      <c r="C2116" s="14" t="inlineStr">
        <is>
          <t>die</t>
        </is>
      </c>
      <c r="D2116" s="14" t="inlineStr">
        <is>
          <t>cst</t>
        </is>
      </c>
      <c r="E2116" s="14" t="inlineStr">
        <is>
          <t>CARBONTAX</t>
        </is>
      </c>
      <c r="F2116" s="92" t="inlineStr">
        <is>
          <t>CARBONTAX(INDEX(AE$263:AE$279,$F2680),$D2680,INDEX(AE$23:AE$30,$E2680))</t>
        </is>
      </c>
    </row>
    <row r="2117">
      <c r="A2117" s="14" t="n">
        <v>2681</v>
      </c>
      <c r="B2117" s="14" t="inlineStr">
        <is>
          <t>ctxnew</t>
        </is>
      </c>
      <c r="C2117" s="14" t="inlineStr">
        <is>
          <t>lpg</t>
        </is>
      </c>
      <c r="D2117" s="14" t="inlineStr">
        <is>
          <t>cst</t>
        </is>
      </c>
      <c r="E2117" s="14" t="inlineStr">
        <is>
          <t>CARBONTAX</t>
        </is>
      </c>
      <c r="F2117" s="92" t="inlineStr">
        <is>
          <t>CARBONTAX(INDEX(AE$263:AE$279,$F2681),$D2681,INDEX(AE$23:AE$30,$E2681))</t>
        </is>
      </c>
    </row>
    <row r="2118">
      <c r="A2118" s="14" t="n">
        <v>2682</v>
      </c>
      <c r="B2118" s="14" t="inlineStr">
        <is>
          <t>ctxnew</t>
        </is>
      </c>
      <c r="C2118" s="14" t="inlineStr">
        <is>
          <t>ker</t>
        </is>
      </c>
      <c r="D2118" s="14" t="inlineStr">
        <is>
          <t>cst</t>
        </is>
      </c>
      <c r="E2118" s="14" t="inlineStr">
        <is>
          <t>CARBONTAX</t>
        </is>
      </c>
      <c r="F2118" s="92" t="inlineStr">
        <is>
          <t>CARBONTAX(INDEX(AE$263:AE$279,$F2682),$D2682,INDEX(AE$23:AE$30,$E2682))</t>
        </is>
      </c>
    </row>
    <row r="2119">
      <c r="A2119" s="14" t="n">
        <v>2683</v>
      </c>
      <c r="B2119" s="14" t="inlineStr">
        <is>
          <t>ctxnew</t>
        </is>
      </c>
      <c r="C2119" s="14" t="inlineStr">
        <is>
          <t>oop</t>
        </is>
      </c>
      <c r="D2119" s="14" t="inlineStr">
        <is>
          <t>cst</t>
        </is>
      </c>
      <c r="E2119" s="14" t="inlineStr">
        <is>
          <t>CARBONTAX</t>
        </is>
      </c>
      <c r="F2119" s="92" t="inlineStr">
        <is>
          <t>CARBONTAX(INDEX(AE$263:AE$279,$F2683),$D2683,INDEX(AE$23:AE$30,$E2683))</t>
        </is>
      </c>
    </row>
    <row r="2120">
      <c r="A2120" s="14" t="n">
        <v>2684</v>
      </c>
      <c r="B2120" s="14" t="inlineStr">
        <is>
          <t>ctxnew</t>
        </is>
      </c>
      <c r="C2120" s="14" t="inlineStr">
        <is>
          <t>bio</t>
        </is>
      </c>
      <c r="D2120" s="14" t="inlineStr">
        <is>
          <t>cst</t>
        </is>
      </c>
      <c r="E2120" s="14" t="inlineStr">
        <is>
          <t>CARBONTAX</t>
        </is>
      </c>
      <c r="F2120" s="92" t="inlineStr">
        <is>
          <t>CARBONTAX(INDEX(AE$263:AE$279,$F2684),$D2684,INDEX(AE$23:AE$30,$E2684))</t>
        </is>
      </c>
    </row>
    <row r="2121">
      <c r="A2121" s="14" t="n">
        <v>2686</v>
      </c>
      <c r="B2121" s="14" t="inlineStr">
        <is>
          <t>ets</t>
        </is>
      </c>
      <c r="C2121" s="14" t="inlineStr">
        <is>
          <t>coa</t>
        </is>
      </c>
      <c r="D2121" s="14" t="inlineStr">
        <is>
          <t>cst</t>
        </is>
      </c>
      <c r="E2121" s="14" t="inlineStr">
        <is>
          <t>ETSCOST</t>
        </is>
      </c>
      <c r="F2121" s="92" t="inlineStr">
        <is>
          <t>ETSCOST(INDEX(AE$280:AE$296,$E2686),$D2686)</t>
        </is>
      </c>
    </row>
    <row r="2122">
      <c r="A2122" s="14" t="n">
        <v>2687</v>
      </c>
      <c r="B2122" s="14" t="inlineStr">
        <is>
          <t>ets</t>
        </is>
      </c>
      <c r="C2122" s="14" t="inlineStr">
        <is>
          <t>nga</t>
        </is>
      </c>
      <c r="D2122" s="14" t="inlineStr">
        <is>
          <t>cst</t>
        </is>
      </c>
      <c r="E2122" s="14" t="inlineStr">
        <is>
          <t>ETSCOST</t>
        </is>
      </c>
      <c r="F2122" s="92" t="inlineStr">
        <is>
          <t>ETSCOST(INDEX(AE$280:AE$296,$E2687),$D2687)</t>
        </is>
      </c>
    </row>
    <row r="2123">
      <c r="A2123" s="14" t="n">
        <v>2688</v>
      </c>
      <c r="B2123" s="14" t="inlineStr">
        <is>
          <t>ets</t>
        </is>
      </c>
      <c r="C2123" s="14" t="inlineStr">
        <is>
          <t>gso</t>
        </is>
      </c>
      <c r="D2123" s="14" t="inlineStr">
        <is>
          <t>cst</t>
        </is>
      </c>
      <c r="E2123" s="14" t="inlineStr">
        <is>
          <t>ETSCOST</t>
        </is>
      </c>
      <c r="F2123" s="92" t="inlineStr">
        <is>
          <t>ETSCOST(INDEX(AE$280:AE$296,$E2688),$D2688)</t>
        </is>
      </c>
    </row>
    <row r="2124">
      <c r="A2124" s="14" t="n">
        <v>2689</v>
      </c>
      <c r="B2124" s="14" t="inlineStr">
        <is>
          <t>ets</t>
        </is>
      </c>
      <c r="C2124" s="14" t="inlineStr">
        <is>
          <t>die</t>
        </is>
      </c>
      <c r="D2124" s="14" t="inlineStr">
        <is>
          <t>cst</t>
        </is>
      </c>
      <c r="E2124" s="14" t="inlineStr">
        <is>
          <t>ETSCOST</t>
        </is>
      </c>
      <c r="F2124" s="92" t="inlineStr">
        <is>
          <t>ETSCOST(INDEX(AE$280:AE$296,$E2689),$D2689)</t>
        </is>
      </c>
    </row>
    <row r="2125">
      <c r="A2125" s="14" t="n">
        <v>2690</v>
      </c>
      <c r="B2125" s="14" t="inlineStr">
        <is>
          <t>ets</t>
        </is>
      </c>
      <c r="C2125" s="14" t="inlineStr">
        <is>
          <t>lpg</t>
        </is>
      </c>
      <c r="D2125" s="14" t="inlineStr">
        <is>
          <t>cst</t>
        </is>
      </c>
      <c r="E2125" s="14" t="inlineStr">
        <is>
          <t>ETSCOST</t>
        </is>
      </c>
      <c r="F2125" s="92" t="inlineStr">
        <is>
          <t>ETSCOST(INDEX(AE$280:AE$296,$E2690),$D2690)</t>
        </is>
      </c>
    </row>
    <row r="2126">
      <c r="A2126" s="14" t="n">
        <v>2691</v>
      </c>
      <c r="B2126" s="14" t="inlineStr">
        <is>
          <t>ets</t>
        </is>
      </c>
      <c r="C2126" s="14" t="inlineStr">
        <is>
          <t>ker</t>
        </is>
      </c>
      <c r="D2126" s="14" t="inlineStr">
        <is>
          <t>cst</t>
        </is>
      </c>
      <c r="E2126" s="14" t="inlineStr">
        <is>
          <t>ETSCOST</t>
        </is>
      </c>
      <c r="F2126" s="92" t="inlineStr">
        <is>
          <t>ETSCOST(INDEX(AE$280:AE$296,$E2691),$D2691)</t>
        </is>
      </c>
    </row>
    <row r="2127">
      <c r="A2127" s="14" t="n">
        <v>2692</v>
      </c>
      <c r="B2127" s="14" t="inlineStr">
        <is>
          <t>ets</t>
        </is>
      </c>
      <c r="C2127" s="14" t="inlineStr">
        <is>
          <t>oop</t>
        </is>
      </c>
      <c r="D2127" s="14" t="inlineStr">
        <is>
          <t>cst</t>
        </is>
      </c>
      <c r="E2127" s="14" t="inlineStr">
        <is>
          <t>ETSCOST</t>
        </is>
      </c>
      <c r="F2127" s="92" t="inlineStr">
        <is>
          <t>ETSCOST(INDEX(AE$280:AE$296,$E2692),$D2692)</t>
        </is>
      </c>
    </row>
    <row r="2128">
      <c r="A2128" s="14" t="n">
        <v>2693</v>
      </c>
      <c r="B2128" s="14" t="inlineStr">
        <is>
          <t>ets</t>
        </is>
      </c>
      <c r="C2128" s="14" t="inlineStr">
        <is>
          <t>bio</t>
        </is>
      </c>
      <c r="D2128" s="14" t="inlineStr">
        <is>
          <t>cst</t>
        </is>
      </c>
      <c r="E2128" s="14" t="inlineStr">
        <is>
          <t>ETSCOST</t>
        </is>
      </c>
      <c r="F2128" s="92" t="inlineStr">
        <is>
          <t>ETSCOST(INDEX(AE$280:AE$296,$E2693),$D2693)</t>
        </is>
      </c>
    </row>
    <row r="2129">
      <c r="A2129" s="14" t="n">
        <v>2695</v>
      </c>
      <c r="B2129" s="14" t="inlineStr">
        <is>
          <t>ntx</t>
        </is>
      </c>
      <c r="C2129" s="14" t="inlineStr">
        <is>
          <t>coa</t>
        </is>
      </c>
      <c r="D2129" s="14" t="inlineStr">
        <is>
          <t>cst</t>
        </is>
      </c>
      <c r="E2129" s="14" t="inlineStr">
        <is>
          <t>NEWEXCISE</t>
        </is>
      </c>
      <c r="F2129" s="92" t="inlineStr">
        <is>
          <t>NEWEXCISE(INDEX(AE$80:AE$93,$D2695),$E2695)</t>
        </is>
      </c>
    </row>
    <row r="2130">
      <c r="A2130" s="14" t="n">
        <v>2696</v>
      </c>
      <c r="B2130" s="14" t="inlineStr">
        <is>
          <t>ntx</t>
        </is>
      </c>
      <c r="C2130" s="14" t="inlineStr">
        <is>
          <t>nga</t>
        </is>
      </c>
      <c r="D2130" s="14" t="inlineStr">
        <is>
          <t>cst</t>
        </is>
      </c>
      <c r="E2130" s="14" t="inlineStr">
        <is>
          <t>NEWEXCISE</t>
        </is>
      </c>
      <c r="F2130" s="92" t="inlineStr">
        <is>
          <t>NEWEXCISE(INDEX(AE$80:AE$93,$D2696),$E2696)</t>
        </is>
      </c>
    </row>
    <row r="2131">
      <c r="A2131" s="14" t="n">
        <v>2697</v>
      </c>
      <c r="B2131" s="14" t="inlineStr">
        <is>
          <t>ntx</t>
        </is>
      </c>
      <c r="C2131" s="14" t="inlineStr">
        <is>
          <t>gso</t>
        </is>
      </c>
      <c r="D2131" s="14" t="inlineStr">
        <is>
          <t>cst</t>
        </is>
      </c>
      <c r="E2131" s="14" t="inlineStr">
        <is>
          <t>NEWEXCISE</t>
        </is>
      </c>
      <c r="F2131" s="92" t="inlineStr">
        <is>
          <t>NEWEXCISE(INDEX(AE$80:AE$93,$D2697),$E2697)</t>
        </is>
      </c>
    </row>
    <row r="2132">
      <c r="A2132" s="14" t="n">
        <v>2698</v>
      </c>
      <c r="B2132" s="14" t="inlineStr">
        <is>
          <t>ntx</t>
        </is>
      </c>
      <c r="C2132" s="14" t="inlineStr">
        <is>
          <t>die</t>
        </is>
      </c>
      <c r="D2132" s="14" t="inlineStr">
        <is>
          <t>cst</t>
        </is>
      </c>
      <c r="E2132" s="14" t="inlineStr">
        <is>
          <t>NEWEXCISE</t>
        </is>
      </c>
      <c r="F2132" s="92" t="inlineStr">
        <is>
          <t>NEWEXCISE(INDEX(AE$80:AE$93,$D2698),$E2698)</t>
        </is>
      </c>
    </row>
    <row r="2133">
      <c r="A2133" s="14" t="n">
        <v>2699</v>
      </c>
      <c r="B2133" s="14" t="inlineStr">
        <is>
          <t>ntx</t>
        </is>
      </c>
      <c r="C2133" s="14" t="inlineStr">
        <is>
          <t>lpg</t>
        </is>
      </c>
      <c r="D2133" s="14" t="inlineStr">
        <is>
          <t>cst</t>
        </is>
      </c>
      <c r="E2133" s="14" t="inlineStr">
        <is>
          <t>NEWEXCISE</t>
        </is>
      </c>
      <c r="F2133" s="92" t="inlineStr">
        <is>
          <t>NEWEXCISE(INDEX(AE$80:AE$93,$D2699),$E2699)</t>
        </is>
      </c>
    </row>
    <row r="2134">
      <c r="A2134" s="14" t="n">
        <v>2700</v>
      </c>
      <c r="B2134" s="14" t="inlineStr">
        <is>
          <t>ntx</t>
        </is>
      </c>
      <c r="C2134" s="14" t="inlineStr">
        <is>
          <t>ker</t>
        </is>
      </c>
      <c r="D2134" s="14" t="inlineStr">
        <is>
          <t>cst</t>
        </is>
      </c>
      <c r="E2134" s="14" t="inlineStr">
        <is>
          <t>NEWEXCISE</t>
        </is>
      </c>
      <c r="F2134" s="92" t="inlineStr">
        <is>
          <t>NEWEXCISE(INDEX(AE$80:AE$93,$D2700),$E2700)</t>
        </is>
      </c>
    </row>
    <row r="2135">
      <c r="A2135" s="14" t="n">
        <v>2701</v>
      </c>
      <c r="B2135" s="14" t="inlineStr">
        <is>
          <t>ntx</t>
        </is>
      </c>
      <c r="C2135" s="14" t="inlineStr">
        <is>
          <t>oop</t>
        </is>
      </c>
      <c r="D2135" s="14" t="inlineStr">
        <is>
          <t>cst</t>
        </is>
      </c>
      <c r="E2135" s="14" t="inlineStr">
        <is>
          <t>NEWEXCISE</t>
        </is>
      </c>
      <c r="F2135" s="92" t="inlineStr">
        <is>
          <t>NEWEXCISE(INDEX(AE$80:AE$93,$D2701),$E2701)</t>
        </is>
      </c>
    </row>
    <row r="2136">
      <c r="A2136" s="14" t="n">
        <v>2702</v>
      </c>
      <c r="B2136" s="14" t="inlineStr">
        <is>
          <t>ntx</t>
        </is>
      </c>
      <c r="C2136" s="14" t="inlineStr">
        <is>
          <t>bio</t>
        </is>
      </c>
      <c r="D2136" s="14" t="inlineStr">
        <is>
          <t>cst</t>
        </is>
      </c>
      <c r="E2136" s="14" t="inlineStr">
        <is>
          <t>NEWEXCISE</t>
        </is>
      </c>
      <c r="F2136" s="92" t="inlineStr">
        <is>
          <t>NEWEXCISE(INDEX(AE$80:AE$93,$D2702),$E2702)</t>
        </is>
      </c>
    </row>
    <row r="2137">
      <c r="A2137" s="14" t="n">
        <v>2704</v>
      </c>
      <c r="B2137" s="14" t="inlineStr">
        <is>
          <t>nce</t>
        </is>
      </c>
      <c r="C2137" s="14" t="inlineStr">
        <is>
          <t>coa</t>
        </is>
      </c>
      <c r="D2137" s="14" t="inlineStr">
        <is>
          <t>cst</t>
        </is>
      </c>
      <c r="E2137" s="14" t="inlineStr">
        <is>
          <t>NEWPOLICY</t>
        </is>
      </c>
      <c r="F2137" s="92" t="inlineStr">
        <is>
          <t>NEWPOLICY(AE2677,AE2686,AE2695)</t>
        </is>
      </c>
    </row>
    <row r="2138">
      <c r="A2138" s="14" t="n">
        <v>2705</v>
      </c>
      <c r="B2138" s="14" t="inlineStr">
        <is>
          <t>nce</t>
        </is>
      </c>
      <c r="C2138" s="14" t="inlineStr">
        <is>
          <t>nga</t>
        </is>
      </c>
      <c r="D2138" s="14" t="inlineStr">
        <is>
          <t>cst</t>
        </is>
      </c>
      <c r="E2138" s="14" t="inlineStr">
        <is>
          <t>NEWPOLICY</t>
        </is>
      </c>
      <c r="F2138" s="92" t="inlineStr">
        <is>
          <t>NEWPOLICY(AE2678,AE2687,AE2696)</t>
        </is>
      </c>
    </row>
    <row r="2139">
      <c r="A2139" s="14" t="n">
        <v>2706</v>
      </c>
      <c r="B2139" s="14" t="inlineStr">
        <is>
          <t>nce</t>
        </is>
      </c>
      <c r="C2139" s="14" t="inlineStr">
        <is>
          <t>gso</t>
        </is>
      </c>
      <c r="D2139" s="14" t="inlineStr">
        <is>
          <t>cst</t>
        </is>
      </c>
      <c r="E2139" s="14" t="inlineStr">
        <is>
          <t>NEWPOLICY</t>
        </is>
      </c>
      <c r="F2139" s="92" t="inlineStr">
        <is>
          <t>NEWPOLICY(AE2679,AE2688,AE2697)</t>
        </is>
      </c>
    </row>
    <row r="2140">
      <c r="A2140" s="14" t="n">
        <v>2707</v>
      </c>
      <c r="B2140" s="14" t="inlineStr">
        <is>
          <t>nce</t>
        </is>
      </c>
      <c r="C2140" s="14" t="inlineStr">
        <is>
          <t>die</t>
        </is>
      </c>
      <c r="D2140" s="14" t="inlineStr">
        <is>
          <t>cst</t>
        </is>
      </c>
      <c r="E2140" s="14" t="inlineStr">
        <is>
          <t>NEWPOLICY</t>
        </is>
      </c>
      <c r="F2140" s="92" t="inlineStr">
        <is>
          <t>NEWPOLICY(AE2680,AE2689,AE2698)</t>
        </is>
      </c>
    </row>
    <row r="2141">
      <c r="A2141" s="14" t="n">
        <v>2708</v>
      </c>
      <c r="B2141" s="14" t="inlineStr">
        <is>
          <t>nce</t>
        </is>
      </c>
      <c r="C2141" s="14" t="inlineStr">
        <is>
          <t>lpg</t>
        </is>
      </c>
      <c r="D2141" s="14" t="inlineStr">
        <is>
          <t>cst</t>
        </is>
      </c>
      <c r="E2141" s="14" t="inlineStr">
        <is>
          <t>NEWPOLICY</t>
        </is>
      </c>
      <c r="F2141" s="92" t="inlineStr">
        <is>
          <t>NEWPOLICY(AE2681,AE2690,AE2699)</t>
        </is>
      </c>
    </row>
    <row r="2142">
      <c r="A2142" s="14" t="n">
        <v>2709</v>
      </c>
      <c r="B2142" s="14" t="inlineStr">
        <is>
          <t>nce</t>
        </is>
      </c>
      <c r="C2142" s="14" t="inlineStr">
        <is>
          <t>ker</t>
        </is>
      </c>
      <c r="D2142" s="14" t="inlineStr">
        <is>
          <t>cst</t>
        </is>
      </c>
      <c r="E2142" s="14" t="inlineStr">
        <is>
          <t>NEWPOLICY</t>
        </is>
      </c>
      <c r="F2142" s="92" t="inlineStr">
        <is>
          <t>NEWPOLICY(AE2682,AE2691,AE2700)</t>
        </is>
      </c>
    </row>
    <row r="2143">
      <c r="A2143" s="14" t="n">
        <v>2710</v>
      </c>
      <c r="B2143" s="14" t="inlineStr">
        <is>
          <t>nce</t>
        </is>
      </c>
      <c r="C2143" s="14" t="inlineStr">
        <is>
          <t>oop</t>
        </is>
      </c>
      <c r="D2143" s="14" t="inlineStr">
        <is>
          <t>cst</t>
        </is>
      </c>
      <c r="E2143" s="14" t="inlineStr">
        <is>
          <t>NEWPOLICY</t>
        </is>
      </c>
      <c r="F2143" s="92" t="inlineStr">
        <is>
          <t>NEWPOLICY(AE2683,AE2692,AE2701)</t>
        </is>
      </c>
    </row>
    <row r="2144">
      <c r="A2144" s="14" t="n">
        <v>2711</v>
      </c>
      <c r="B2144" s="14" t="inlineStr">
        <is>
          <t>nce</t>
        </is>
      </c>
      <c r="C2144" s="14" t="inlineStr">
        <is>
          <t>bio</t>
        </is>
      </c>
      <c r="D2144" s="14" t="inlineStr">
        <is>
          <t>cst</t>
        </is>
      </c>
      <c r="E2144" s="14" t="inlineStr">
        <is>
          <t>NEWPOLICY</t>
        </is>
      </c>
      <c r="F2144" s="92" t="inlineStr">
        <is>
          <t>NEWPOLICY(AE2684,AE2693,AE2702)</t>
        </is>
      </c>
    </row>
    <row r="2145">
      <c r="A2145" s="14" t="n">
        <v>2713</v>
      </c>
      <c r="B2145" s="14" t="inlineStr">
        <is>
          <t>xcp</t>
        </is>
      </c>
      <c r="C2145" s="14" t="inlineStr">
        <is>
          <t>coa</t>
        </is>
      </c>
      <c r="D2145" s="14" t="inlineStr">
        <is>
          <t>cst</t>
        </is>
      </c>
      <c r="E2145" s="14" t="inlineStr">
        <is>
          <t>XCARBON</t>
        </is>
      </c>
      <c r="F2145" s="92" t="inlineStr">
        <is>
          <t>XCARBON($D2713,$E2713,AE$321,$F2713,AE$324)</t>
        </is>
      </c>
    </row>
    <row r="2146">
      <c r="A2146" s="14" t="n">
        <v>2714</v>
      </c>
      <c r="B2146" s="14" t="inlineStr">
        <is>
          <t>xcp</t>
        </is>
      </c>
      <c r="C2146" s="14" t="inlineStr">
        <is>
          <t>nga</t>
        </is>
      </c>
      <c r="D2146" s="14" t="inlineStr">
        <is>
          <t>cst</t>
        </is>
      </c>
      <c r="E2146" s="14" t="inlineStr">
        <is>
          <t>XCARBON</t>
        </is>
      </c>
      <c r="F2146" s="92" t="inlineStr">
        <is>
          <t>XCARBON($D2714,$E2714,AE$321,$F2714,AE$324)</t>
        </is>
      </c>
    </row>
    <row r="2147">
      <c r="A2147" s="14" t="n">
        <v>2715</v>
      </c>
      <c r="B2147" s="14" t="inlineStr">
        <is>
          <t>xcp</t>
        </is>
      </c>
      <c r="C2147" s="14" t="inlineStr">
        <is>
          <t>gso</t>
        </is>
      </c>
      <c r="D2147" s="14" t="inlineStr">
        <is>
          <t>cst</t>
        </is>
      </c>
      <c r="E2147" s="14" t="inlineStr">
        <is>
          <t>XCARBON</t>
        </is>
      </c>
      <c r="F2147" s="92" t="inlineStr">
        <is>
          <t>XCARBON($D2715,$E2715,AE$321,$F2715,AE$324)</t>
        </is>
      </c>
    </row>
    <row r="2148">
      <c r="A2148" s="14" t="n">
        <v>2716</v>
      </c>
      <c r="B2148" s="14" t="inlineStr">
        <is>
          <t>xcp</t>
        </is>
      </c>
      <c r="C2148" s="14" t="inlineStr">
        <is>
          <t>die</t>
        </is>
      </c>
      <c r="D2148" s="14" t="inlineStr">
        <is>
          <t>cst</t>
        </is>
      </c>
      <c r="E2148" s="14" t="inlineStr">
        <is>
          <t>XCARBON</t>
        </is>
      </c>
      <c r="F2148" s="92" t="inlineStr">
        <is>
          <t>XCARBON($D2716,$E2716,AE$321,$F2716,AE$324)</t>
        </is>
      </c>
    </row>
    <row r="2149">
      <c r="A2149" s="14" t="n">
        <v>2717</v>
      </c>
      <c r="B2149" s="14" t="inlineStr">
        <is>
          <t>xcp</t>
        </is>
      </c>
      <c r="C2149" s="14" t="inlineStr">
        <is>
          <t>lpg</t>
        </is>
      </c>
      <c r="D2149" s="14" t="inlineStr">
        <is>
          <t>cst</t>
        </is>
      </c>
      <c r="E2149" s="14" t="inlineStr">
        <is>
          <t>XCARBON</t>
        </is>
      </c>
      <c r="F2149" s="92" t="inlineStr">
        <is>
          <t>XCARBON($D2717,$E2717,AE$321,$F2717,AE$324)</t>
        </is>
      </c>
    </row>
    <row r="2150">
      <c r="A2150" s="14" t="n">
        <v>2718</v>
      </c>
      <c r="B2150" s="14" t="inlineStr">
        <is>
          <t>xcp</t>
        </is>
      </c>
      <c r="C2150" s="14" t="inlineStr">
        <is>
          <t>ker</t>
        </is>
      </c>
      <c r="D2150" s="14" t="inlineStr">
        <is>
          <t>cst</t>
        </is>
      </c>
      <c r="E2150" s="14" t="inlineStr">
        <is>
          <t>XCARBON</t>
        </is>
      </c>
      <c r="F2150" s="92" t="inlineStr">
        <is>
          <t>XCARBON($D2718,$E2718,AE$321,$F2718,AE$324)</t>
        </is>
      </c>
    </row>
    <row r="2151">
      <c r="A2151" s="14" t="n">
        <v>2719</v>
      </c>
      <c r="B2151" s="14" t="inlineStr">
        <is>
          <t>xcp</t>
        </is>
      </c>
      <c r="C2151" s="14" t="inlineStr">
        <is>
          <t>oop</t>
        </is>
      </c>
      <c r="D2151" s="14" t="inlineStr">
        <is>
          <t>cst</t>
        </is>
      </c>
      <c r="E2151" s="14" t="inlineStr">
        <is>
          <t>XCARBON</t>
        </is>
      </c>
      <c r="F2151" s="92" t="inlineStr">
        <is>
          <t>XCARBON($D2719,$E2719,AE$321,$F2719,AE$324)</t>
        </is>
      </c>
    </row>
    <row r="2152">
      <c r="A2152" s="14" t="n">
        <v>2720</v>
      </c>
      <c r="B2152" s="14" t="inlineStr">
        <is>
          <t>xcp</t>
        </is>
      </c>
      <c r="C2152" s="14" t="inlineStr">
        <is>
          <t>bio</t>
        </is>
      </c>
      <c r="D2152" s="14" t="inlineStr">
        <is>
          <t>cst</t>
        </is>
      </c>
      <c r="E2152" s="14" t="inlineStr">
        <is>
          <t>XCARBON</t>
        </is>
      </c>
      <c r="F2152" s="92" t="inlineStr">
        <is>
          <t>XCARBON($D2720,$E2720,AE$321,$F2720,AE$324)</t>
        </is>
      </c>
    </row>
    <row r="2153">
      <c r="A2153" s="14" t="n">
        <v>2722</v>
      </c>
      <c r="B2153" s="14" t="inlineStr">
        <is>
          <t>xcpd</t>
        </is>
      </c>
      <c r="C2153" s="14" t="inlineStr">
        <is>
          <t>coa</t>
        </is>
      </c>
      <c r="D2153" s="14" t="inlineStr">
        <is>
          <t>cst</t>
        </is>
      </c>
      <c r="E2153" s="14" t="inlineStr">
        <is>
          <t>XCARBON</t>
        </is>
      </c>
      <c r="F2153" s="92" t="inlineStr">
        <is>
          <t>XCARBON($D2722,$E2722,(AE$321-AE$322),$F2722,(AE$324-AE$325))</t>
        </is>
      </c>
    </row>
    <row r="2154">
      <c r="A2154" s="14" t="n">
        <v>2723</v>
      </c>
      <c r="B2154" s="14" t="inlineStr">
        <is>
          <t>xcpd</t>
        </is>
      </c>
      <c r="C2154" s="14" t="inlineStr">
        <is>
          <t>nga</t>
        </is>
      </c>
      <c r="D2154" s="14" t="inlineStr">
        <is>
          <t>cst</t>
        </is>
      </c>
      <c r="E2154" s="14" t="inlineStr">
        <is>
          <t>XCARBON</t>
        </is>
      </c>
      <c r="F2154" s="92" t="inlineStr">
        <is>
          <t>XCARBON($D2723,$E2723,(AE$321-AE$322),$F2723,(AE$324-AE$325))</t>
        </is>
      </c>
    </row>
    <row r="2155">
      <c r="A2155" s="14" t="n">
        <v>2724</v>
      </c>
      <c r="B2155" s="14" t="inlineStr">
        <is>
          <t>xcpd</t>
        </is>
      </c>
      <c r="C2155" s="14" t="inlineStr">
        <is>
          <t>gso</t>
        </is>
      </c>
      <c r="D2155" s="14" t="inlineStr">
        <is>
          <t>cst</t>
        </is>
      </c>
      <c r="E2155" s="14" t="inlineStr">
        <is>
          <t>XCARBON</t>
        </is>
      </c>
      <c r="F2155" s="92" t="inlineStr">
        <is>
          <t>XCARBON($D2724,$E2724,(AE$321-AE$322),$F2724,(AE$324-AE$325))</t>
        </is>
      </c>
    </row>
    <row r="2156">
      <c r="A2156" s="14" t="n">
        <v>2725</v>
      </c>
      <c r="B2156" s="14" t="inlineStr">
        <is>
          <t>xcpd</t>
        </is>
      </c>
      <c r="C2156" s="14" t="inlineStr">
        <is>
          <t>die</t>
        </is>
      </c>
      <c r="D2156" s="14" t="inlineStr">
        <is>
          <t>cst</t>
        </is>
      </c>
      <c r="E2156" s="14" t="inlineStr">
        <is>
          <t>XCARBON</t>
        </is>
      </c>
      <c r="F2156" s="92" t="inlineStr">
        <is>
          <t>XCARBON($D2725,$E2725,(AE$321-AE$322),$F2725,(AE$324-AE$325))</t>
        </is>
      </c>
    </row>
    <row r="2157">
      <c r="A2157" s="14" t="n">
        <v>2726</v>
      </c>
      <c r="B2157" s="14" t="inlineStr">
        <is>
          <t>xcpd</t>
        </is>
      </c>
      <c r="C2157" s="14" t="inlineStr">
        <is>
          <t>lpg</t>
        </is>
      </c>
      <c r="D2157" s="14" t="inlineStr">
        <is>
          <t>cst</t>
        </is>
      </c>
      <c r="E2157" s="14" t="inlineStr">
        <is>
          <t>XCARBON</t>
        </is>
      </c>
      <c r="F2157" s="92" t="inlineStr">
        <is>
          <t>XCARBON($D2726,$E2726,(AE$321-AE$322),$F2726,(AE$324-AE$325))</t>
        </is>
      </c>
    </row>
    <row r="2158">
      <c r="A2158" s="14" t="n">
        <v>2727</v>
      </c>
      <c r="B2158" s="14" t="inlineStr">
        <is>
          <t>xcpd</t>
        </is>
      </c>
      <c r="C2158" s="14" t="inlineStr">
        <is>
          <t>ker</t>
        </is>
      </c>
      <c r="D2158" s="14" t="inlineStr">
        <is>
          <t>cst</t>
        </is>
      </c>
      <c r="E2158" s="14" t="inlineStr">
        <is>
          <t>XCARBON</t>
        </is>
      </c>
      <c r="F2158" s="92" t="inlineStr">
        <is>
          <t>XCARBON($D2727,$E2727,(AE$321-AE$322),$F2727,(AE$324-AE$325))</t>
        </is>
      </c>
    </row>
    <row r="2159">
      <c r="A2159" s="14" t="n">
        <v>2728</v>
      </c>
      <c r="B2159" s="14" t="inlineStr">
        <is>
          <t>xcpd</t>
        </is>
      </c>
      <c r="C2159" s="14" t="inlineStr">
        <is>
          <t>oop</t>
        </is>
      </c>
      <c r="D2159" s="14" t="inlineStr">
        <is>
          <t>cst</t>
        </is>
      </c>
      <c r="E2159" s="14" t="inlineStr">
        <is>
          <t>XCARBON</t>
        </is>
      </c>
      <c r="F2159" s="92" t="inlineStr">
        <is>
          <t>XCARBON($D2728,$E2728,(AE$321-AE$322),$F2728,(AE$324-AE$325))</t>
        </is>
      </c>
    </row>
    <row r="2160">
      <c r="A2160" s="14" t="n">
        <v>2729</v>
      </c>
      <c r="B2160" s="14" t="inlineStr">
        <is>
          <t>xcpd</t>
        </is>
      </c>
      <c r="C2160" s="14" t="inlineStr">
        <is>
          <t>bio</t>
        </is>
      </c>
      <c r="D2160" s="14" t="inlineStr">
        <is>
          <t>cst</t>
        </is>
      </c>
      <c r="E2160" s="14" t="inlineStr">
        <is>
          <t>XCARBON</t>
        </is>
      </c>
      <c r="F2160" s="92" t="inlineStr">
        <is>
          <t>XCARBON($D2729,$E2729,(AE$321-AE$322),$F2729,(AE$324-AE$325))</t>
        </is>
      </c>
    </row>
    <row r="2161">
      <c r="A2161" s="14" t="n">
        <v>2731</v>
      </c>
      <c r="B2161" s="14" t="inlineStr">
        <is>
          <t>atp</t>
        </is>
      </c>
      <c r="C2161" s="14" t="inlineStr">
        <is>
          <t>coa</t>
        </is>
      </c>
      <c r="D2161" s="14" t="inlineStr">
        <is>
          <t>cst</t>
        </is>
      </c>
      <c r="E2161" s="14" t="inlineStr">
        <is>
          <t>POSTTAX</t>
        </is>
      </c>
      <c r="F2161" s="92" t="inlineStr">
        <is>
          <t>POSTTAX(INDEX(AE$381:AE$392,$D2731),AE2704+AE2722,$E2731)</t>
        </is>
      </c>
    </row>
    <row r="2162">
      <c r="A2162" s="14" t="n">
        <v>2732</v>
      </c>
      <c r="B2162" s="14" t="inlineStr">
        <is>
          <t>atp</t>
        </is>
      </c>
      <c r="C2162" s="14" t="inlineStr">
        <is>
          <t>nga</t>
        </is>
      </c>
      <c r="D2162" s="14" t="inlineStr">
        <is>
          <t>cst</t>
        </is>
      </c>
      <c r="E2162" s="14" t="inlineStr">
        <is>
          <t>POSTTAX</t>
        </is>
      </c>
      <c r="F2162" s="92" t="inlineStr">
        <is>
          <t>POSTTAX(INDEX(AE$381:AE$392,$D2732),AE2705+AE2723,$E2732)</t>
        </is>
      </c>
    </row>
    <row r="2163">
      <c r="A2163" s="14" t="n">
        <v>2733</v>
      </c>
      <c r="B2163" s="14" t="inlineStr">
        <is>
          <t>atp</t>
        </is>
      </c>
      <c r="C2163" s="14" t="inlineStr">
        <is>
          <t>gso</t>
        </is>
      </c>
      <c r="D2163" s="14" t="inlineStr">
        <is>
          <t>cst</t>
        </is>
      </c>
      <c r="E2163" s="14" t="inlineStr">
        <is>
          <t>POSTTAX</t>
        </is>
      </c>
      <c r="F2163" s="92" t="inlineStr">
        <is>
          <t>POSTTAX(INDEX(AE$381:AE$392,$D2733),AE2706+AE2724,$E2733)</t>
        </is>
      </c>
    </row>
    <row r="2164">
      <c r="A2164" s="14" t="n">
        <v>2734</v>
      </c>
      <c r="B2164" s="14" t="inlineStr">
        <is>
          <t>atp</t>
        </is>
      </c>
      <c r="C2164" s="14" t="inlineStr">
        <is>
          <t>die</t>
        </is>
      </c>
      <c r="D2164" s="14" t="inlineStr">
        <is>
          <t>cst</t>
        </is>
      </c>
      <c r="E2164" s="14" t="inlineStr">
        <is>
          <t>POSTTAX</t>
        </is>
      </c>
      <c r="F2164" s="92" t="inlineStr">
        <is>
          <t>POSTTAX(INDEX(AE$381:AE$392,$D2734),AE2707+AE2725,$E2734)</t>
        </is>
      </c>
    </row>
    <row r="2165">
      <c r="A2165" s="14" t="n">
        <v>2735</v>
      </c>
      <c r="B2165" s="14" t="inlineStr">
        <is>
          <t>atp</t>
        </is>
      </c>
      <c r="C2165" s="14" t="inlineStr">
        <is>
          <t>lpg</t>
        </is>
      </c>
      <c r="D2165" s="14" t="inlineStr">
        <is>
          <t>cst</t>
        </is>
      </c>
      <c r="E2165" s="14" t="inlineStr">
        <is>
          <t>POSTTAX</t>
        </is>
      </c>
      <c r="F2165" s="92" t="inlineStr">
        <is>
          <t>POSTTAX(INDEX(AE$381:AE$392,$D2735),AE2708+AE2726,$E2735)</t>
        </is>
      </c>
    </row>
    <row r="2166">
      <c r="A2166" s="14" t="n">
        <v>2736</v>
      </c>
      <c r="B2166" s="14" t="inlineStr">
        <is>
          <t>atp</t>
        </is>
      </c>
      <c r="C2166" s="14" t="inlineStr">
        <is>
          <t>ker</t>
        </is>
      </c>
      <c r="D2166" s="14" t="inlineStr">
        <is>
          <t>cst</t>
        </is>
      </c>
      <c r="E2166" s="14" t="inlineStr">
        <is>
          <t>POSTTAX</t>
        </is>
      </c>
      <c r="F2166" s="92" t="inlineStr">
        <is>
          <t>POSTTAX(INDEX(AE$381:AE$392,$D2736),AE2709+AE2727,$E2736)</t>
        </is>
      </c>
    </row>
    <row r="2167">
      <c r="A2167" s="14" t="n">
        <v>2737</v>
      </c>
      <c r="B2167" s="14" t="inlineStr">
        <is>
          <t>atp</t>
        </is>
      </c>
      <c r="C2167" s="14" t="inlineStr">
        <is>
          <t>oop</t>
        </is>
      </c>
      <c r="D2167" s="14" t="inlineStr">
        <is>
          <t>cst</t>
        </is>
      </c>
      <c r="E2167" s="14" t="inlineStr">
        <is>
          <t>POSTTAX</t>
        </is>
      </c>
      <c r="F2167" s="92" t="inlineStr">
        <is>
          <t>POSTTAX(INDEX(AE$381:AE$392,$D2737),AE2710+AE2728,$E2737)</t>
        </is>
      </c>
    </row>
    <row r="2168">
      <c r="A2168" s="14" t="n">
        <v>2738</v>
      </c>
      <c r="B2168" s="14" t="inlineStr">
        <is>
          <t>atp</t>
        </is>
      </c>
      <c r="C2168" s="14" t="inlineStr">
        <is>
          <t>bio</t>
        </is>
      </c>
      <c r="D2168" s="14" t="inlineStr">
        <is>
          <t>cst</t>
        </is>
      </c>
      <c r="E2168" s="14" t="inlineStr">
        <is>
          <t>POSTTAX</t>
        </is>
      </c>
      <c r="F2168" s="92" t="inlineStr">
        <is>
          <t>POSTTAX(INDEX(AE$381:AE$392,$D2738),AE2711+AE2729,$E2738)</t>
        </is>
      </c>
    </row>
    <row r="2169">
      <c r="A2169" s="14" t="n">
        <v>2740</v>
      </c>
      <c r="B2169" s="14" t="inlineStr">
        <is>
          <t>shp</t>
        </is>
      </c>
      <c r="C2169" s="14" t="inlineStr">
        <is>
          <t>coa</t>
        </is>
      </c>
      <c r="D2169" s="14" t="inlineStr">
        <is>
          <t>cst</t>
        </is>
      </c>
      <c r="E2169" s="14" t="inlineStr">
        <is>
          <t>SHADOWGJ</t>
        </is>
      </c>
      <c r="F2169" s="92" t="inlineStr">
        <is>
          <t>SHADOWGJ(INDEX(AE$297:AE$313,$E2740),$D2740)</t>
        </is>
      </c>
    </row>
    <row r="2170">
      <c r="A2170" s="14" t="n">
        <v>2741</v>
      </c>
      <c r="B2170" s="14" t="inlineStr">
        <is>
          <t>shp</t>
        </is>
      </c>
      <c r="C2170" s="14" t="inlineStr">
        <is>
          <t>nga</t>
        </is>
      </c>
      <c r="D2170" s="14" t="inlineStr">
        <is>
          <t>cst</t>
        </is>
      </c>
      <c r="E2170" s="14" t="inlineStr">
        <is>
          <t>SHADOWGJ</t>
        </is>
      </c>
      <c r="F2170" s="92" t="inlineStr">
        <is>
          <t>SHADOWGJ(INDEX(AE$297:AE$313,$E2741),$D2741)</t>
        </is>
      </c>
    </row>
    <row r="2171">
      <c r="A2171" s="14" t="n">
        <v>2742</v>
      </c>
      <c r="B2171" s="14" t="inlineStr">
        <is>
          <t>shp</t>
        </is>
      </c>
      <c r="C2171" s="14" t="inlineStr">
        <is>
          <t>gso</t>
        </is>
      </c>
      <c r="D2171" s="14" t="inlineStr">
        <is>
          <t>cst</t>
        </is>
      </c>
      <c r="E2171" s="14" t="inlineStr">
        <is>
          <t>SHADOWGJ</t>
        </is>
      </c>
      <c r="F2171" s="92" t="inlineStr">
        <is>
          <t>SHADOWGJ(INDEX(AE$297:AE$313,$E2742),$D2742)</t>
        </is>
      </c>
    </row>
    <row r="2172">
      <c r="A2172" s="14" t="n">
        <v>2743</v>
      </c>
      <c r="B2172" s="14" t="inlineStr">
        <is>
          <t>shp</t>
        </is>
      </c>
      <c r="C2172" s="14" t="inlineStr">
        <is>
          <t>die</t>
        </is>
      </c>
      <c r="D2172" s="14" t="inlineStr">
        <is>
          <t>cst</t>
        </is>
      </c>
      <c r="E2172" s="14" t="inlineStr">
        <is>
          <t>SHADOWGJ</t>
        </is>
      </c>
      <c r="F2172" s="92" t="inlineStr">
        <is>
          <t>SHADOWGJ(INDEX(AE$297:AE$313,$E2743),$D2743)</t>
        </is>
      </c>
    </row>
    <row r="2173">
      <c r="A2173" s="14" t="n">
        <v>2744</v>
      </c>
      <c r="B2173" s="14" t="inlineStr">
        <is>
          <t>shp</t>
        </is>
      </c>
      <c r="C2173" s="14" t="inlineStr">
        <is>
          <t>lpg</t>
        </is>
      </c>
      <c r="D2173" s="14" t="inlineStr">
        <is>
          <t>cst</t>
        </is>
      </c>
      <c r="E2173" s="14" t="inlineStr">
        <is>
          <t>SHADOWGJ</t>
        </is>
      </c>
      <c r="F2173" s="92" t="inlineStr">
        <is>
          <t>SHADOWGJ(INDEX(AE$297:AE$313,$E2744),$D2744)</t>
        </is>
      </c>
    </row>
    <row r="2174">
      <c r="A2174" s="14" t="n">
        <v>2745</v>
      </c>
      <c r="B2174" s="14" t="inlineStr">
        <is>
          <t>shp</t>
        </is>
      </c>
      <c r="C2174" s="14" t="inlineStr">
        <is>
          <t>ker</t>
        </is>
      </c>
      <c r="D2174" s="14" t="inlineStr">
        <is>
          <t>cst</t>
        </is>
      </c>
      <c r="E2174" s="14" t="inlineStr">
        <is>
          <t>SHADOWGJ</t>
        </is>
      </c>
      <c r="F2174" s="92" t="inlineStr">
        <is>
          <t>SHADOWGJ(INDEX(AE$297:AE$313,$E2745),$D2745)</t>
        </is>
      </c>
    </row>
    <row r="2175">
      <c r="A2175" s="14" t="n">
        <v>2746</v>
      </c>
      <c r="B2175" s="14" t="inlineStr">
        <is>
          <t>shp</t>
        </is>
      </c>
      <c r="C2175" s="14" t="inlineStr">
        <is>
          <t>oop</t>
        </is>
      </c>
      <c r="D2175" s="14" t="inlineStr">
        <is>
          <t>cst</t>
        </is>
      </c>
      <c r="E2175" s="14" t="inlineStr">
        <is>
          <t>SHADOWGJ</t>
        </is>
      </c>
      <c r="F2175" s="92" t="inlineStr">
        <is>
          <t>SHADOWGJ(INDEX(AE$297:AE$313,$E2746),$D2746)</t>
        </is>
      </c>
    </row>
    <row r="2176">
      <c r="A2176" s="14" t="n">
        <v>2747</v>
      </c>
      <c r="B2176" s="14" t="inlineStr">
        <is>
          <t>shp</t>
        </is>
      </c>
      <c r="C2176" s="14" t="inlineStr">
        <is>
          <t>bio</t>
        </is>
      </c>
      <c r="D2176" s="14" t="inlineStr">
        <is>
          <t>cst</t>
        </is>
      </c>
      <c r="E2176" s="14" t="inlineStr">
        <is>
          <t>SHADOWGJ</t>
        </is>
      </c>
      <c r="F2176" s="92" t="inlineStr">
        <is>
          <t>SHADOWGJ(INDEX(AE$297:AE$313,$E2747),$D2747)</t>
        </is>
      </c>
    </row>
    <row r="2177">
      <c r="A2177" s="14" t="n">
        <v>2749</v>
      </c>
      <c r="B2177" s="14" t="inlineStr">
        <is>
          <t>ener</t>
        </is>
      </c>
      <c r="C2177" s="14" t="inlineStr">
        <is>
          <t>coa</t>
        </is>
      </c>
      <c r="D2177" s="14" t="inlineStr">
        <is>
          <t>cst</t>
        </is>
      </c>
      <c r="E2177" s="14" t="inlineStr">
        <is>
          <t>FUELUSE</t>
        </is>
      </c>
      <c r="F2177" s="92" t="inlineStr">
        <is>
          <t>FUELUSE(AD2749,AE2731,AD2731,AE2740,AD2740,AE$7,$D2749,$E2749,$F2749,$G2749)</t>
        </is>
      </c>
    </row>
    <row r="2178">
      <c r="A2178" s="14" t="n">
        <v>2750</v>
      </c>
      <c r="B2178" s="14" t="inlineStr">
        <is>
          <t>ener</t>
        </is>
      </c>
      <c r="C2178" s="14" t="inlineStr">
        <is>
          <t>nga</t>
        </is>
      </c>
      <c r="D2178" s="14" t="inlineStr">
        <is>
          <t>cst</t>
        </is>
      </c>
      <c r="E2178" s="14" t="inlineStr">
        <is>
          <t>FUELUSE</t>
        </is>
      </c>
      <c r="F2178" s="92" t="inlineStr">
        <is>
          <t>FUELUSE(AD2750,AE2732,AD2732,AE2741,AD2741,AE$7,$D2750,$E2750,$F2750,$G2750)</t>
        </is>
      </c>
    </row>
    <row r="2179">
      <c r="A2179" s="14" t="n">
        <v>2751</v>
      </c>
      <c r="B2179" s="14" t="inlineStr">
        <is>
          <t>ener</t>
        </is>
      </c>
      <c r="C2179" s="14" t="inlineStr">
        <is>
          <t>gso</t>
        </is>
      </c>
      <c r="D2179" s="14" t="inlineStr">
        <is>
          <t>cst</t>
        </is>
      </c>
      <c r="E2179" s="14" t="inlineStr">
        <is>
          <t>FUELUSE</t>
        </is>
      </c>
      <c r="F2179" s="92" t="inlineStr">
        <is>
          <t>FUELUSE(AD2751,AE2733,AD2733,AE2742,AD2742,AE$7,$D2751,$E2751,$F2751,$G2751)</t>
        </is>
      </c>
    </row>
    <row r="2180">
      <c r="A2180" s="14" t="n">
        <v>2752</v>
      </c>
      <c r="B2180" s="14" t="inlineStr">
        <is>
          <t>ener</t>
        </is>
      </c>
      <c r="C2180" s="14" t="inlineStr">
        <is>
          <t>die</t>
        </is>
      </c>
      <c r="D2180" s="14" t="inlineStr">
        <is>
          <t>cst</t>
        </is>
      </c>
      <c r="E2180" s="14" t="inlineStr">
        <is>
          <t>FUELUSE</t>
        </is>
      </c>
      <c r="F2180" s="92" t="inlineStr">
        <is>
          <t>FUELUSE(AD2752,AE2734,AD2734,AE2743,AD2743,AE$7,$D2752,$E2752,$F2752,$G2752)</t>
        </is>
      </c>
    </row>
    <row r="2181">
      <c r="A2181" s="14" t="n">
        <v>2753</v>
      </c>
      <c r="B2181" s="14" t="inlineStr">
        <is>
          <t>ener</t>
        </is>
      </c>
      <c r="C2181" s="14" t="inlineStr">
        <is>
          <t>lpg</t>
        </is>
      </c>
      <c r="D2181" s="14" t="inlineStr">
        <is>
          <t>cst</t>
        </is>
      </c>
      <c r="E2181" s="14" t="inlineStr">
        <is>
          <t>FUELUSE</t>
        </is>
      </c>
      <c r="F2181" s="92" t="inlineStr">
        <is>
          <t>FUELUSE(AD2753,AE2735,AD2735,AE2744,AD2744,AE$7,$D2753,$E2753,$F2753,$G2753)</t>
        </is>
      </c>
    </row>
    <row r="2182">
      <c r="A2182" s="14" t="n">
        <v>2754</v>
      </c>
      <c r="B2182" s="14" t="inlineStr">
        <is>
          <t>ener</t>
        </is>
      </c>
      <c r="C2182" s="14" t="inlineStr">
        <is>
          <t>ker</t>
        </is>
      </c>
      <c r="D2182" s="14" t="inlineStr">
        <is>
          <t>cst</t>
        </is>
      </c>
      <c r="E2182" s="14" t="inlineStr">
        <is>
          <t>FUELUSE</t>
        </is>
      </c>
      <c r="F2182" s="92" t="inlineStr">
        <is>
          <t>FUELUSE(AD2754,AE2736,AD2736,AE2745,AD2745,AE$7,$D2754,$E2754,$F2754,$G2754)</t>
        </is>
      </c>
    </row>
    <row r="2183">
      <c r="A2183" s="14" t="n">
        <v>2755</v>
      </c>
      <c r="B2183" s="14" t="inlineStr">
        <is>
          <t>ener</t>
        </is>
      </c>
      <c r="C2183" s="14" t="inlineStr">
        <is>
          <t>oop</t>
        </is>
      </c>
      <c r="D2183" s="14" t="inlineStr">
        <is>
          <t>cst</t>
        </is>
      </c>
      <c r="E2183" s="14" t="inlineStr">
        <is>
          <t>FUELUSE</t>
        </is>
      </c>
      <c r="F2183" s="92" t="inlineStr">
        <is>
          <t>FUELUSE(AD2755,AE2737,AD2737,AE2746,AD2746,AE$7,$D2755,$E2755,$F2755,$G2755)</t>
        </is>
      </c>
    </row>
    <row r="2184">
      <c r="A2184" s="14" t="n">
        <v>2756</v>
      </c>
      <c r="B2184" s="14" t="inlineStr">
        <is>
          <t>ener</t>
        </is>
      </c>
      <c r="C2184" s="14" t="inlineStr">
        <is>
          <t>bio</t>
        </is>
      </c>
      <c r="D2184" s="14" t="inlineStr">
        <is>
          <t>cst</t>
        </is>
      </c>
      <c r="E2184" s="14" t="inlineStr">
        <is>
          <t>FUELUSE</t>
        </is>
      </c>
      <c r="F2184" s="92" t="inlineStr">
        <is>
          <t>FUELUSE(AD2756,AE2738,AD2738,AE2747,AD2747,AE$7,$D2756,$E2756,$F2756,$G2756)</t>
        </is>
      </c>
    </row>
    <row r="2185">
      <c r="A2185" s="14" t="n">
        <v>2758</v>
      </c>
      <c r="B2185" s="14" t="inlineStr">
        <is>
          <t>co2</t>
        </is>
      </c>
      <c r="C2185" s="14" t="inlineStr">
        <is>
          <t>coa</t>
        </is>
      </c>
      <c r="D2185" s="14" t="inlineStr">
        <is>
          <t>cst</t>
        </is>
      </c>
      <c r="E2185" s="14" t="inlineStr">
        <is>
          <t>EMISSIONS</t>
        </is>
      </c>
      <c r="F2185" s="92" t="inlineStr">
        <is>
          <t>EMISSIONS(AE2749,Settings!$C$13,$D2758)</t>
        </is>
      </c>
    </row>
    <row r="2186">
      <c r="A2186" s="14" t="n">
        <v>2759</v>
      </c>
      <c r="B2186" s="14" t="inlineStr">
        <is>
          <t>co2</t>
        </is>
      </c>
      <c r="C2186" s="14" t="inlineStr">
        <is>
          <t>nga</t>
        </is>
      </c>
      <c r="D2186" s="14" t="inlineStr">
        <is>
          <t>cst</t>
        </is>
      </c>
      <c r="E2186" s="14" t="inlineStr">
        <is>
          <t>EMISSIONS</t>
        </is>
      </c>
      <c r="F2186" s="92" t="inlineStr">
        <is>
          <t>EMISSIONS(AE2750,Settings!$C$13,$D2759)</t>
        </is>
      </c>
    </row>
    <row r="2187">
      <c r="A2187" s="14" t="n">
        <v>2760</v>
      </c>
      <c r="B2187" s="14" t="inlineStr">
        <is>
          <t>co2</t>
        </is>
      </c>
      <c r="C2187" s="14" t="inlineStr">
        <is>
          <t>gso</t>
        </is>
      </c>
      <c r="D2187" s="14" t="inlineStr">
        <is>
          <t>cst</t>
        </is>
      </c>
      <c r="E2187" s="14" t="inlineStr">
        <is>
          <t>EMISSIONS</t>
        </is>
      </c>
      <c r="F2187" s="92" t="inlineStr">
        <is>
          <t>EMISSIONS(AE2751,Settings!$C$13,$D2760)</t>
        </is>
      </c>
    </row>
    <row r="2188">
      <c r="A2188" s="14" t="n">
        <v>2761</v>
      </c>
      <c r="B2188" s="14" t="inlineStr">
        <is>
          <t>co2</t>
        </is>
      </c>
      <c r="C2188" s="14" t="inlineStr">
        <is>
          <t>die</t>
        </is>
      </c>
      <c r="D2188" s="14" t="inlineStr">
        <is>
          <t>cst</t>
        </is>
      </c>
      <c r="E2188" s="14" t="inlineStr">
        <is>
          <t>EMISSIONS</t>
        </is>
      </c>
      <c r="F2188" s="92" t="inlineStr">
        <is>
          <t>EMISSIONS(AE2752,Settings!$C$13,$D2761)</t>
        </is>
      </c>
    </row>
    <row r="2189">
      <c r="A2189" s="14" t="n">
        <v>2762</v>
      </c>
      <c r="B2189" s="14" t="inlineStr">
        <is>
          <t>co2</t>
        </is>
      </c>
      <c r="C2189" s="14" t="inlineStr">
        <is>
          <t>lpg</t>
        </is>
      </c>
      <c r="D2189" s="14" t="inlineStr">
        <is>
          <t>cst</t>
        </is>
      </c>
      <c r="E2189" s="14" t="inlineStr">
        <is>
          <t>EMISSIONS</t>
        </is>
      </c>
      <c r="F2189" s="92" t="inlineStr">
        <is>
          <t>EMISSIONS(AE2753,Settings!$C$13,$D2762)</t>
        </is>
      </c>
    </row>
    <row r="2190">
      <c r="A2190" s="14" t="n">
        <v>2763</v>
      </c>
      <c r="B2190" s="14" t="inlineStr">
        <is>
          <t>co2</t>
        </is>
      </c>
      <c r="C2190" s="14" t="inlineStr">
        <is>
          <t>ker</t>
        </is>
      </c>
      <c r="D2190" s="14" t="inlineStr">
        <is>
          <t>cst</t>
        </is>
      </c>
      <c r="E2190" s="14" t="inlineStr">
        <is>
          <t>EMISSIONS</t>
        </is>
      </c>
      <c r="F2190" s="92" t="inlineStr">
        <is>
          <t>EMISSIONS(AE2754,Settings!$C$13,$D2763)</t>
        </is>
      </c>
    </row>
    <row r="2191">
      <c r="A2191" s="14" t="n">
        <v>2764</v>
      </c>
      <c r="B2191" s="14" t="inlineStr">
        <is>
          <t>co2</t>
        </is>
      </c>
      <c r="C2191" s="14" t="inlineStr">
        <is>
          <t>oop</t>
        </is>
      </c>
      <c r="D2191" s="14" t="inlineStr">
        <is>
          <t>cst</t>
        </is>
      </c>
      <c r="E2191" s="14" t="inlineStr">
        <is>
          <t>EMISSIONS</t>
        </is>
      </c>
      <c r="F2191" s="92" t="inlineStr">
        <is>
          <t>EMISSIONS(AE2755,Settings!$C$13,$D2764)</t>
        </is>
      </c>
    </row>
    <row r="2192">
      <c r="A2192" s="14" t="n">
        <v>2765</v>
      </c>
      <c r="B2192" s="14" t="inlineStr">
        <is>
          <t>co2</t>
        </is>
      </c>
      <c r="C2192" s="14" t="inlineStr">
        <is>
          <t>bio</t>
        </is>
      </c>
      <c r="D2192" s="14" t="inlineStr">
        <is>
          <t>cst</t>
        </is>
      </c>
      <c r="E2192" s="14" t="inlineStr">
        <is>
          <t>EMISSIONS</t>
        </is>
      </c>
      <c r="F2192" s="92" t="inlineStr">
        <is>
          <t>EMISSIONS(AE2756,Settings!$C$13,$D2765)</t>
        </is>
      </c>
    </row>
    <row r="2193">
      <c r="A2193" s="14" t="n">
        <v>2767</v>
      </c>
      <c r="B2193" s="14" t="inlineStr">
        <is>
          <t>rtx</t>
        </is>
      </c>
      <c r="C2193" s="14" t="inlineStr">
        <is>
          <t>coa</t>
        </is>
      </c>
      <c r="D2193" s="14" t="inlineStr">
        <is>
          <t>cst</t>
        </is>
      </c>
      <c r="E2193" s="14" t="inlineStr">
        <is>
          <t>REVENUE</t>
        </is>
      </c>
      <c r="F2193" s="92" t="inlineStr">
        <is>
          <t>REVENUE(AE2749,Settings!$C$13,INDEX(AE$407:AE$418,$D2767)+INDEX(AE$394:AE$405,$D2767)+AE2722*(1+$E2767))</t>
        </is>
      </c>
    </row>
    <row r="2194">
      <c r="A2194" s="14" t="n">
        <v>2768</v>
      </c>
      <c r="B2194" s="14" t="inlineStr">
        <is>
          <t>rtx</t>
        </is>
      </c>
      <c r="C2194" s="14" t="inlineStr">
        <is>
          <t>nga</t>
        </is>
      </c>
      <c r="D2194" s="14" t="inlineStr">
        <is>
          <t>cst</t>
        </is>
      </c>
      <c r="E2194" s="14" t="inlineStr">
        <is>
          <t>REVENUE</t>
        </is>
      </c>
      <c r="F2194" s="92" t="inlineStr">
        <is>
          <t>REVENUE(AE2750,Settings!$C$13,INDEX(AE$407:AE$418,$D2768)+INDEX(AE$394:AE$405,$D2768)+AE2723*(1+$E2768))</t>
        </is>
      </c>
    </row>
    <row r="2195">
      <c r="A2195" s="14" t="n">
        <v>2769</v>
      </c>
      <c r="B2195" s="14" t="inlineStr">
        <is>
          <t>rtx</t>
        </is>
      </c>
      <c r="C2195" s="14" t="inlineStr">
        <is>
          <t>gso</t>
        </is>
      </c>
      <c r="D2195" s="14" t="inlineStr">
        <is>
          <t>cst</t>
        </is>
      </c>
      <c r="E2195" s="14" t="inlineStr">
        <is>
          <t>REVENUE</t>
        </is>
      </c>
      <c r="F2195" s="92" t="inlineStr">
        <is>
          <t>REVENUE(AE2751,Settings!$C$13,INDEX(AE$407:AE$418,$D2769)+INDEX(AE$394:AE$405,$D2769)+AE2724*(1+$E2769))</t>
        </is>
      </c>
    </row>
    <row r="2196">
      <c r="A2196" s="14" t="n">
        <v>2770</v>
      </c>
      <c r="B2196" s="14" t="inlineStr">
        <is>
          <t>rtx</t>
        </is>
      </c>
      <c r="C2196" s="14" t="inlineStr">
        <is>
          <t>die</t>
        </is>
      </c>
      <c r="D2196" s="14" t="inlineStr">
        <is>
          <t>cst</t>
        </is>
      </c>
      <c r="E2196" s="14" t="inlineStr">
        <is>
          <t>REVENUE</t>
        </is>
      </c>
      <c r="F2196" s="92" t="inlineStr">
        <is>
          <t>REVENUE(AE2752,Settings!$C$13,INDEX(AE$407:AE$418,$D2770)+INDEX(AE$394:AE$405,$D2770)+AE2725*(1+$E2770))</t>
        </is>
      </c>
    </row>
    <row r="2197">
      <c r="A2197" s="14" t="n">
        <v>2771</v>
      </c>
      <c r="B2197" s="14" t="inlineStr">
        <is>
          <t>rtx</t>
        </is>
      </c>
      <c r="C2197" s="14" t="inlineStr">
        <is>
          <t>lpg</t>
        </is>
      </c>
      <c r="D2197" s="14" t="inlineStr">
        <is>
          <t>cst</t>
        </is>
      </c>
      <c r="E2197" s="14" t="inlineStr">
        <is>
          <t>REVENUE</t>
        </is>
      </c>
      <c r="F2197" s="92" t="inlineStr">
        <is>
          <t>REVENUE(AE2753,Settings!$C$13,INDEX(AE$407:AE$418,$D2771)+INDEX(AE$394:AE$405,$D2771)+AE2726*(1+$E2771))</t>
        </is>
      </c>
    </row>
    <row r="2198">
      <c r="A2198" s="14" t="n">
        <v>2772</v>
      </c>
      <c r="B2198" s="14" t="inlineStr">
        <is>
          <t>rtx</t>
        </is>
      </c>
      <c r="C2198" s="14" t="inlineStr">
        <is>
          <t>ker</t>
        </is>
      </c>
      <c r="D2198" s="14" t="inlineStr">
        <is>
          <t>cst</t>
        </is>
      </c>
      <c r="E2198" s="14" t="inlineStr">
        <is>
          <t>REVENUE</t>
        </is>
      </c>
      <c r="F2198" s="92" t="inlineStr">
        <is>
          <t>REVENUE(AE2754,Settings!$C$13,INDEX(AE$407:AE$418,$D2772)+INDEX(AE$394:AE$405,$D2772)+AE2727*(1+$E2772))</t>
        </is>
      </c>
    </row>
    <row r="2199">
      <c r="A2199" s="14" t="n">
        <v>2773</v>
      </c>
      <c r="B2199" s="14" t="inlineStr">
        <is>
          <t>rtx</t>
        </is>
      </c>
      <c r="C2199" s="14" t="inlineStr">
        <is>
          <t>oop</t>
        </is>
      </c>
      <c r="D2199" s="14" t="inlineStr">
        <is>
          <t>cst</t>
        </is>
      </c>
      <c r="E2199" s="14" t="inlineStr">
        <is>
          <t>REVENUE</t>
        </is>
      </c>
      <c r="F2199" s="92" t="inlineStr">
        <is>
          <t>REVENUE(AE2755,Settings!$C$13,INDEX(AE$407:AE$418,$D2773)+INDEX(AE$394:AE$405,$D2773)+AE2728*(1+$E2773))</t>
        </is>
      </c>
    </row>
    <row r="2200">
      <c r="A2200" s="14" t="n">
        <v>2774</v>
      </c>
      <c r="B2200" s="14" t="inlineStr">
        <is>
          <t>rtx</t>
        </is>
      </c>
      <c r="C2200" s="14" t="inlineStr">
        <is>
          <t>bio</t>
        </is>
      </c>
      <c r="D2200" s="14" t="inlineStr">
        <is>
          <t>cst</t>
        </is>
      </c>
      <c r="E2200" s="14" t="inlineStr">
        <is>
          <t>REVENUE</t>
        </is>
      </c>
      <c r="F2200" s="92" t="inlineStr">
        <is>
          <t>REVENUE(AE2756,Settings!$C$13,INDEX(AE$407:AE$418,$D2774)+INDEX(AE$394:AE$405,$D2774)+AE2729*(1+$E2774))</t>
        </is>
      </c>
    </row>
    <row r="2201">
      <c r="A2201" s="14" t="n">
        <v>2776</v>
      </c>
      <c r="B2201" s="14" t="inlineStr">
        <is>
          <t>rsub</t>
        </is>
      </c>
      <c r="C2201" s="14" t="inlineStr">
        <is>
          <t>coa</t>
        </is>
      </c>
      <c r="D2201" s="14" t="inlineStr">
        <is>
          <t>cst</t>
        </is>
      </c>
      <c r="E2201" s="14" t="inlineStr">
        <is>
          <t>REVENUE</t>
        </is>
      </c>
      <c r="F2201" s="92" t="inlineStr">
        <is>
          <t>REVENUE(AE2749,Settings!$C$13,INDEX(AE$420:AE$431,$D2776))</t>
        </is>
      </c>
    </row>
    <row r="2202">
      <c r="A2202" s="14" t="n">
        <v>2777</v>
      </c>
      <c r="B2202" s="14" t="inlineStr">
        <is>
          <t>rsub</t>
        </is>
      </c>
      <c r="C2202" s="14" t="inlineStr">
        <is>
          <t>nga</t>
        </is>
      </c>
      <c r="D2202" s="14" t="inlineStr">
        <is>
          <t>cst</t>
        </is>
      </c>
      <c r="E2202" s="14" t="inlineStr">
        <is>
          <t>REVENUE</t>
        </is>
      </c>
      <c r="F2202" s="92" t="inlineStr">
        <is>
          <t>REVENUE(AE2750,Settings!$C$13,INDEX(AE$420:AE$431,$D2777))</t>
        </is>
      </c>
    </row>
    <row r="2203">
      <c r="A2203" s="14" t="n">
        <v>2778</v>
      </c>
      <c r="B2203" s="14" t="inlineStr">
        <is>
          <t>rsub</t>
        </is>
      </c>
      <c r="C2203" s="14" t="inlineStr">
        <is>
          <t>gso</t>
        </is>
      </c>
      <c r="D2203" s="14" t="inlineStr">
        <is>
          <t>cst</t>
        </is>
      </c>
      <c r="E2203" s="14" t="inlineStr">
        <is>
          <t>REVENUE</t>
        </is>
      </c>
      <c r="F2203" s="92" t="inlineStr">
        <is>
          <t>REVENUE(AE2751,Settings!$C$13,INDEX(AE$420:AE$431,$D2778))</t>
        </is>
      </c>
    </row>
    <row r="2204">
      <c r="A2204" s="14" t="n">
        <v>2779</v>
      </c>
      <c r="B2204" s="14" t="inlineStr">
        <is>
          <t>rsub</t>
        </is>
      </c>
      <c r="C2204" s="14" t="inlineStr">
        <is>
          <t>die</t>
        </is>
      </c>
      <c r="D2204" s="14" t="inlineStr">
        <is>
          <t>cst</t>
        </is>
      </c>
      <c r="E2204" s="14" t="inlineStr">
        <is>
          <t>REVENUE</t>
        </is>
      </c>
      <c r="F2204" s="92" t="inlineStr">
        <is>
          <t>REVENUE(AE2752,Settings!$C$13,INDEX(AE$420:AE$431,$D2779))</t>
        </is>
      </c>
    </row>
    <row r="2205">
      <c r="A2205" s="14" t="n">
        <v>2780</v>
      </c>
      <c r="B2205" s="14" t="inlineStr">
        <is>
          <t>rsub</t>
        </is>
      </c>
      <c r="C2205" s="14" t="inlineStr">
        <is>
          <t>lpg</t>
        </is>
      </c>
      <c r="D2205" s="14" t="inlineStr">
        <is>
          <t>cst</t>
        </is>
      </c>
      <c r="E2205" s="14" t="inlineStr">
        <is>
          <t>REVENUE</t>
        </is>
      </c>
      <c r="F2205" s="92" t="inlineStr">
        <is>
          <t>REVENUE(AE2753,Settings!$C$13,INDEX(AE$420:AE$431,$D2780))</t>
        </is>
      </c>
    </row>
    <row r="2206">
      <c r="A2206" s="14" t="n">
        <v>2781</v>
      </c>
      <c r="B2206" s="14" t="inlineStr">
        <is>
          <t>rsub</t>
        </is>
      </c>
      <c r="C2206" s="14" t="inlineStr">
        <is>
          <t>ker</t>
        </is>
      </c>
      <c r="D2206" s="14" t="inlineStr">
        <is>
          <t>cst</t>
        </is>
      </c>
      <c r="E2206" s="14" t="inlineStr">
        <is>
          <t>REVENUE</t>
        </is>
      </c>
      <c r="F2206" s="92" t="inlineStr">
        <is>
          <t>REVENUE(AE2754,Settings!$C$13,INDEX(AE$420:AE$431,$D2781))</t>
        </is>
      </c>
    </row>
    <row r="2207">
      <c r="A2207" s="14" t="n">
        <v>2782</v>
      </c>
      <c r="B2207" s="14" t="inlineStr">
        <is>
          <t>rsub</t>
        </is>
      </c>
      <c r="C2207" s="14" t="inlineStr">
        <is>
          <t>oop</t>
        </is>
      </c>
      <c r="D2207" s="14" t="inlineStr">
        <is>
          <t>cst</t>
        </is>
      </c>
      <c r="E2207" s="14" t="inlineStr">
        <is>
          <t>REVENUE</t>
        </is>
      </c>
      <c r="F2207" s="92" t="inlineStr">
        <is>
          <t>REVENUE(AE2755,Settings!$C$13,INDEX(AE$420:AE$431,$D2782))</t>
        </is>
      </c>
    </row>
    <row r="2208">
      <c r="A2208" s="14" t="n">
        <v>2783</v>
      </c>
      <c r="B2208" s="14" t="inlineStr">
        <is>
          <t>rsub</t>
        </is>
      </c>
      <c r="C2208" s="14" t="inlineStr">
        <is>
          <t>bio</t>
        </is>
      </c>
      <c r="D2208" s="14" t="inlineStr">
        <is>
          <t>cst</t>
        </is>
      </c>
      <c r="E2208" s="14" t="inlineStr">
        <is>
          <t>REVENUE</t>
        </is>
      </c>
      <c r="F2208" s="92" t="inlineStr">
        <is>
          <t>REVENUE(AE2756,Settings!$C$13,INDEX(AE$420:AE$431,$D2783))</t>
        </is>
      </c>
    </row>
    <row r="2209">
      <c r="A2209" s="14" t="n">
        <v>2785</v>
      </c>
      <c r="B2209" s="14" t="inlineStr">
        <is>
          <t>rnew</t>
        </is>
      </c>
      <c r="C2209" s="14" t="inlineStr">
        <is>
          <t>coa</t>
        </is>
      </c>
      <c r="D2209" s="14" t="inlineStr">
        <is>
          <t>cst</t>
        </is>
      </c>
      <c r="E2209" s="14" t="inlineStr">
        <is>
          <t>REVENUE</t>
        </is>
      </c>
      <c r="F2209" s="92" t="inlineStr">
        <is>
          <t>REVENUE(AE2749,Settings!$C$13,NEWREVRATE(AE2677,AE2695,AE2686,AE$201,AE2704,$D2785))</t>
        </is>
      </c>
    </row>
    <row r="2210">
      <c r="A2210" s="14" t="n">
        <v>2786</v>
      </c>
      <c r="B2210" s="14" t="inlineStr">
        <is>
          <t>rnew</t>
        </is>
      </c>
      <c r="C2210" s="14" t="inlineStr">
        <is>
          <t>nga</t>
        </is>
      </c>
      <c r="D2210" s="14" t="inlineStr">
        <is>
          <t>cst</t>
        </is>
      </c>
      <c r="E2210" s="14" t="inlineStr">
        <is>
          <t>REVENUE</t>
        </is>
      </c>
      <c r="F2210" s="92" t="inlineStr">
        <is>
          <t>REVENUE(AE2750,Settings!$C$13,NEWREVRATE(AE2678,AE2696,AE2687,AE$201,AE2705,$D2786))</t>
        </is>
      </c>
    </row>
    <row r="2211">
      <c r="A2211" s="14" t="n">
        <v>2787</v>
      </c>
      <c r="B2211" s="14" t="inlineStr">
        <is>
          <t>rnew</t>
        </is>
      </c>
      <c r="C2211" s="14" t="inlineStr">
        <is>
          <t>gso</t>
        </is>
      </c>
      <c r="D2211" s="14" t="inlineStr">
        <is>
          <t>cst</t>
        </is>
      </c>
      <c r="E2211" s="14" t="inlineStr">
        <is>
          <t>REVENUE</t>
        </is>
      </c>
      <c r="F2211" s="92" t="inlineStr">
        <is>
          <t>REVENUE(AE2751,Settings!$C$13,NEWREVRATE(AE2679,AE2697,AE2688,AE$201,AE2706,$D2787))</t>
        </is>
      </c>
    </row>
    <row r="2212">
      <c r="A2212" s="14" t="n">
        <v>2788</v>
      </c>
      <c r="B2212" s="14" t="inlineStr">
        <is>
          <t>rnew</t>
        </is>
      </c>
      <c r="C2212" s="14" t="inlineStr">
        <is>
          <t>die</t>
        </is>
      </c>
      <c r="D2212" s="14" t="inlineStr">
        <is>
          <t>cst</t>
        </is>
      </c>
      <c r="E2212" s="14" t="inlineStr">
        <is>
          <t>REVENUE</t>
        </is>
      </c>
      <c r="F2212" s="92" t="inlineStr">
        <is>
          <t>REVENUE(AE2752,Settings!$C$13,NEWREVRATE(AE2680,AE2698,AE2689,AE$201,AE2707,$D2788))</t>
        </is>
      </c>
    </row>
    <row r="2213">
      <c r="A2213" s="14" t="n">
        <v>2789</v>
      </c>
      <c r="B2213" s="14" t="inlineStr">
        <is>
          <t>rnew</t>
        </is>
      </c>
      <c r="C2213" s="14" t="inlineStr">
        <is>
          <t>lpg</t>
        </is>
      </c>
      <c r="D2213" s="14" t="inlineStr">
        <is>
          <t>cst</t>
        </is>
      </c>
      <c r="E2213" s="14" t="inlineStr">
        <is>
          <t>REVENUE</t>
        </is>
      </c>
      <c r="F2213" s="92" t="inlineStr">
        <is>
          <t>REVENUE(AE2753,Settings!$C$13,NEWREVRATE(AE2681,AE2699,AE2690,AE$201,AE2708,$D2789))</t>
        </is>
      </c>
    </row>
    <row r="2214">
      <c r="A2214" s="14" t="n">
        <v>2790</v>
      </c>
      <c r="B2214" s="14" t="inlineStr">
        <is>
          <t>rnew</t>
        </is>
      </c>
      <c r="C2214" s="14" t="inlineStr">
        <is>
          <t>ker</t>
        </is>
      </c>
      <c r="D2214" s="14" t="inlineStr">
        <is>
          <t>cst</t>
        </is>
      </c>
      <c r="E2214" s="14" t="inlineStr">
        <is>
          <t>REVENUE</t>
        </is>
      </c>
      <c r="F2214" s="92" t="inlineStr">
        <is>
          <t>REVENUE(AE2754,Settings!$C$13,NEWREVRATE(AE2682,AE2700,AE2691,AE$201,AE2709,$D2790))</t>
        </is>
      </c>
    </row>
    <row r="2215">
      <c r="A2215" s="14" t="n">
        <v>2791</v>
      </c>
      <c r="B2215" s="14" t="inlineStr">
        <is>
          <t>rnew</t>
        </is>
      </c>
      <c r="C2215" s="14" t="inlineStr">
        <is>
          <t>oop</t>
        </is>
      </c>
      <c r="D2215" s="14" t="inlineStr">
        <is>
          <t>cst</t>
        </is>
      </c>
      <c r="E2215" s="14" t="inlineStr">
        <is>
          <t>REVENUE</t>
        </is>
      </c>
      <c r="F2215" s="92" t="inlineStr">
        <is>
          <t>REVENUE(AE2755,Settings!$C$13,NEWREVRATE(AE2683,AE2701,AE2692,AE$201,AE2710,$D2791))</t>
        </is>
      </c>
    </row>
    <row r="2216">
      <c r="A2216" s="14" t="n">
        <v>2792</v>
      </c>
      <c r="B2216" s="14" t="inlineStr">
        <is>
          <t>rnew</t>
        </is>
      </c>
      <c r="C2216" s="14" t="inlineStr">
        <is>
          <t>bio</t>
        </is>
      </c>
      <c r="D2216" s="14" t="inlineStr">
        <is>
          <t>cst</t>
        </is>
      </c>
      <c r="E2216" s="14" t="inlineStr">
        <is>
          <t>REVENUE</t>
        </is>
      </c>
      <c r="F2216" s="92" t="inlineStr">
        <is>
          <t>REVENUE(AE2756,Settings!$C$13,NEWREVRATE(AE2684,AE2702,AE2693,AE$201,AE2711,$D2792))</t>
        </is>
      </c>
    </row>
    <row r="2217">
      <c r="A2217" s="14" t="n">
        <v>2794</v>
      </c>
      <c r="B2217" s="14" t="inlineStr">
        <is>
          <t>rxcp</t>
        </is>
      </c>
      <c r="C2217" s="14" t="inlineStr">
        <is>
          <t>coa</t>
        </is>
      </c>
      <c r="D2217" s="14" t="inlineStr">
        <is>
          <t>cst</t>
        </is>
      </c>
      <c r="E2217" s="14" t="inlineStr">
        <is>
          <t>REVENUE</t>
        </is>
      </c>
      <c r="F2217" s="92" t="inlineStr">
        <is>
          <t>REVENUE(AE2749,Settings!$C$13,AE2713)</t>
        </is>
      </c>
    </row>
    <row r="2218">
      <c r="A2218" s="14" t="n">
        <v>2795</v>
      </c>
      <c r="B2218" s="14" t="inlineStr">
        <is>
          <t>rxcp</t>
        </is>
      </c>
      <c r="C2218" s="14" t="inlineStr">
        <is>
          <t>nga</t>
        </is>
      </c>
      <c r="D2218" s="14" t="inlineStr">
        <is>
          <t>cst</t>
        </is>
      </c>
      <c r="E2218" s="14" t="inlineStr">
        <is>
          <t>REVENUE</t>
        </is>
      </c>
      <c r="F2218" s="92" t="inlineStr">
        <is>
          <t>REVENUE(AE2750,Settings!$C$13,AE2714)</t>
        </is>
      </c>
    </row>
    <row r="2219">
      <c r="A2219" s="14" t="n">
        <v>2796</v>
      </c>
      <c r="B2219" s="14" t="inlineStr">
        <is>
          <t>rxcp</t>
        </is>
      </c>
      <c r="C2219" s="14" t="inlineStr">
        <is>
          <t>gso</t>
        </is>
      </c>
      <c r="D2219" s="14" t="inlineStr">
        <is>
          <t>cst</t>
        </is>
      </c>
      <c r="E2219" s="14" t="inlineStr">
        <is>
          <t>REVENUE</t>
        </is>
      </c>
      <c r="F2219" s="92" t="inlineStr">
        <is>
          <t>REVENUE(AE2751,Settings!$C$13,AE2715)</t>
        </is>
      </c>
    </row>
    <row r="2220">
      <c r="A2220" s="14" t="n">
        <v>2797</v>
      </c>
      <c r="B2220" s="14" t="inlineStr">
        <is>
          <t>rxcp</t>
        </is>
      </c>
      <c r="C2220" s="14" t="inlineStr">
        <is>
          <t>die</t>
        </is>
      </c>
      <c r="D2220" s="14" t="inlineStr">
        <is>
          <t>cst</t>
        </is>
      </c>
      <c r="E2220" s="14" t="inlineStr">
        <is>
          <t>REVENUE</t>
        </is>
      </c>
      <c r="F2220" s="92" t="inlineStr">
        <is>
          <t>REVENUE(AE2752,Settings!$C$13,AE2716)</t>
        </is>
      </c>
    </row>
    <row r="2221">
      <c r="A2221" s="14" t="n">
        <v>2798</v>
      </c>
      <c r="B2221" s="14" t="inlineStr">
        <is>
          <t>rxcp</t>
        </is>
      </c>
      <c r="C2221" s="14" t="inlineStr">
        <is>
          <t>lpg</t>
        </is>
      </c>
      <c r="D2221" s="14" t="inlineStr">
        <is>
          <t>cst</t>
        </is>
      </c>
      <c r="E2221" s="14" t="inlineStr">
        <is>
          <t>REVENUE</t>
        </is>
      </c>
      <c r="F2221" s="92" t="inlineStr">
        <is>
          <t>REVENUE(AE2753,Settings!$C$13,AE2717)</t>
        </is>
      </c>
    </row>
    <row r="2222">
      <c r="A2222" s="14" t="n">
        <v>2799</v>
      </c>
      <c r="B2222" s="14" t="inlineStr">
        <is>
          <t>rxcp</t>
        </is>
      </c>
      <c r="C2222" s="14" t="inlineStr">
        <is>
          <t>ker</t>
        </is>
      </c>
      <c r="D2222" s="14" t="inlineStr">
        <is>
          <t>cst</t>
        </is>
      </c>
      <c r="E2222" s="14" t="inlineStr">
        <is>
          <t>REVENUE</t>
        </is>
      </c>
      <c r="F2222" s="92" t="inlineStr">
        <is>
          <t>REVENUE(AE2754,Settings!$C$13,AE2718)</t>
        </is>
      </c>
    </row>
    <row r="2223">
      <c r="A2223" s="14" t="n">
        <v>2800</v>
      </c>
      <c r="B2223" s="14" t="inlineStr">
        <is>
          <t>rxcp</t>
        </is>
      </c>
      <c r="C2223" s="14" t="inlineStr">
        <is>
          <t>oop</t>
        </is>
      </c>
      <c r="D2223" s="14" t="inlineStr">
        <is>
          <t>cst</t>
        </is>
      </c>
      <c r="E2223" s="14" t="inlineStr">
        <is>
          <t>REVENUE</t>
        </is>
      </c>
      <c r="F2223" s="92" t="inlineStr">
        <is>
          <t>REVENUE(AE2755,Settings!$C$13,AE2719)</t>
        </is>
      </c>
    </row>
    <row r="2224">
      <c r="A2224" s="14" t="n">
        <v>2801</v>
      </c>
      <c r="B2224" s="14" t="inlineStr">
        <is>
          <t>rxcp</t>
        </is>
      </c>
      <c r="C2224" s="14" t="inlineStr">
        <is>
          <t>bio</t>
        </is>
      </c>
      <c r="D2224" s="14" t="inlineStr">
        <is>
          <t>cst</t>
        </is>
      </c>
      <c r="E2224" s="14" t="inlineStr">
        <is>
          <t>REVENUE</t>
        </is>
      </c>
      <c r="F2224" s="92" t="inlineStr">
        <is>
          <t>REVENUE(AE2756,Settings!$C$13,AE2720)</t>
        </is>
      </c>
    </row>
    <row r="2225">
      <c r="A2225" s="14" t="n">
        <v>2805</v>
      </c>
      <c r="B2225" s="14" t="inlineStr">
        <is>
          <t>ctxnew</t>
        </is>
      </c>
      <c r="C2225" s="14" t="inlineStr">
        <is>
          <t>coa</t>
        </is>
      </c>
      <c r="D2225" s="14" t="inlineStr">
        <is>
          <t>ftr</t>
        </is>
      </c>
      <c r="E2225" s="14" t="inlineStr">
        <is>
          <t>CARBONTAX</t>
        </is>
      </c>
      <c r="F2225" s="92" t="inlineStr">
        <is>
          <t>CARBONTAX(INDEX(AE$263:AE$279,$F2805),$D2805,INDEX(AE$23:AE$30,$E2805))</t>
        </is>
      </c>
    </row>
    <row r="2226">
      <c r="A2226" s="14" t="n">
        <v>2806</v>
      </c>
      <c r="B2226" s="14" t="inlineStr">
        <is>
          <t>ctxnew</t>
        </is>
      </c>
      <c r="C2226" s="14" t="inlineStr">
        <is>
          <t>nga</t>
        </is>
      </c>
      <c r="D2226" s="14" t="inlineStr">
        <is>
          <t>ftr</t>
        </is>
      </c>
      <c r="E2226" s="14" t="inlineStr">
        <is>
          <t>CARBONTAX</t>
        </is>
      </c>
      <c r="F2226" s="92" t="inlineStr">
        <is>
          <t>CARBONTAX(INDEX(AE$263:AE$279,$F2806),$D2806,INDEX(AE$23:AE$30,$E2806))</t>
        </is>
      </c>
    </row>
    <row r="2227">
      <c r="A2227" s="14" t="n">
        <v>2807</v>
      </c>
      <c r="B2227" s="14" t="inlineStr">
        <is>
          <t>ctxnew</t>
        </is>
      </c>
      <c r="C2227" s="14" t="inlineStr">
        <is>
          <t>gso</t>
        </is>
      </c>
      <c r="D2227" s="14" t="inlineStr">
        <is>
          <t>ftr</t>
        </is>
      </c>
      <c r="E2227" s="14" t="inlineStr">
        <is>
          <t>CARBONTAX</t>
        </is>
      </c>
      <c r="F2227" s="92" t="inlineStr">
        <is>
          <t>CARBONTAX(INDEX(AE$263:AE$279,$F2807),$D2807,INDEX(AE$23:AE$30,$E2807))</t>
        </is>
      </c>
    </row>
    <row r="2228">
      <c r="A2228" s="14" t="n">
        <v>2808</v>
      </c>
      <c r="B2228" s="14" t="inlineStr">
        <is>
          <t>ctxnew</t>
        </is>
      </c>
      <c r="C2228" s="14" t="inlineStr">
        <is>
          <t>die</t>
        </is>
      </c>
      <c r="D2228" s="14" t="inlineStr">
        <is>
          <t>ftr</t>
        </is>
      </c>
      <c r="E2228" s="14" t="inlineStr">
        <is>
          <t>CARBONTAX</t>
        </is>
      </c>
      <c r="F2228" s="92" t="inlineStr">
        <is>
          <t>CARBONTAX(INDEX(AE$263:AE$279,$F2808),$D2808,INDEX(AE$23:AE$30,$E2808))</t>
        </is>
      </c>
    </row>
    <row r="2229">
      <c r="A2229" s="14" t="n">
        <v>2809</v>
      </c>
      <c r="B2229" s="14" t="inlineStr">
        <is>
          <t>ctxnew</t>
        </is>
      </c>
      <c r="C2229" s="14" t="inlineStr">
        <is>
          <t>lpg</t>
        </is>
      </c>
      <c r="D2229" s="14" t="inlineStr">
        <is>
          <t>ftr</t>
        </is>
      </c>
      <c r="E2229" s="14" t="inlineStr">
        <is>
          <t>CARBONTAX</t>
        </is>
      </c>
      <c r="F2229" s="92" t="inlineStr">
        <is>
          <t>CARBONTAX(INDEX(AE$263:AE$279,$F2809),$D2809,INDEX(AE$23:AE$30,$E2809))</t>
        </is>
      </c>
    </row>
    <row r="2230">
      <c r="A2230" s="14" t="n">
        <v>2810</v>
      </c>
      <c r="B2230" s="14" t="inlineStr">
        <is>
          <t>ctxnew</t>
        </is>
      </c>
      <c r="C2230" s="14" t="inlineStr">
        <is>
          <t>ker</t>
        </is>
      </c>
      <c r="D2230" s="14" t="inlineStr">
        <is>
          <t>ftr</t>
        </is>
      </c>
      <c r="E2230" s="14" t="inlineStr">
        <is>
          <t>CARBONTAX</t>
        </is>
      </c>
      <c r="F2230" s="92" t="inlineStr">
        <is>
          <t>CARBONTAX(INDEX(AE$263:AE$279,$F2810),$D2810,INDEX(AE$23:AE$30,$E2810))</t>
        </is>
      </c>
    </row>
    <row r="2231">
      <c r="A2231" s="14" t="n">
        <v>2811</v>
      </c>
      <c r="B2231" s="14" t="inlineStr">
        <is>
          <t>ctxnew</t>
        </is>
      </c>
      <c r="C2231" s="14" t="inlineStr">
        <is>
          <t>oop</t>
        </is>
      </c>
      <c r="D2231" s="14" t="inlineStr">
        <is>
          <t>ftr</t>
        </is>
      </c>
      <c r="E2231" s="14" t="inlineStr">
        <is>
          <t>CARBONTAX</t>
        </is>
      </c>
      <c r="F2231" s="92" t="inlineStr">
        <is>
          <t>CARBONTAX(INDEX(AE$263:AE$279,$F2811),$D2811,INDEX(AE$23:AE$30,$E2811))</t>
        </is>
      </c>
    </row>
    <row r="2232">
      <c r="A2232" s="14" t="n">
        <v>2812</v>
      </c>
      <c r="B2232" s="14" t="inlineStr">
        <is>
          <t>ctxnew</t>
        </is>
      </c>
      <c r="C2232" s="14" t="inlineStr">
        <is>
          <t>bio</t>
        </is>
      </c>
      <c r="D2232" s="14" t="inlineStr">
        <is>
          <t>ftr</t>
        </is>
      </c>
      <c r="E2232" s="14" t="inlineStr">
        <is>
          <t>CARBONTAX</t>
        </is>
      </c>
      <c r="F2232" s="92" t="inlineStr">
        <is>
          <t>CARBONTAX(INDEX(AE$263:AE$279,$F2812),$D2812,INDEX(AE$23:AE$30,$E2812))</t>
        </is>
      </c>
    </row>
    <row r="2233">
      <c r="A2233" s="14" t="n">
        <v>2814</v>
      </c>
      <c r="B2233" s="14" t="inlineStr">
        <is>
          <t>ets</t>
        </is>
      </c>
      <c r="C2233" s="14" t="inlineStr">
        <is>
          <t>coa</t>
        </is>
      </c>
      <c r="D2233" s="14" t="inlineStr">
        <is>
          <t>ftr</t>
        </is>
      </c>
      <c r="E2233" s="14" t="inlineStr">
        <is>
          <t>ETSCOST</t>
        </is>
      </c>
      <c r="F2233" s="92" t="inlineStr">
        <is>
          <t>ETSCOST(INDEX(AE$280:AE$296,$E2814),$D2814)</t>
        </is>
      </c>
    </row>
    <row r="2234">
      <c r="A2234" s="14" t="n">
        <v>2815</v>
      </c>
      <c r="B2234" s="14" t="inlineStr">
        <is>
          <t>ets</t>
        </is>
      </c>
      <c r="C2234" s="14" t="inlineStr">
        <is>
          <t>nga</t>
        </is>
      </c>
      <c r="D2234" s="14" t="inlineStr">
        <is>
          <t>ftr</t>
        </is>
      </c>
      <c r="E2234" s="14" t="inlineStr">
        <is>
          <t>ETSCOST</t>
        </is>
      </c>
      <c r="F2234" s="92" t="inlineStr">
        <is>
          <t>ETSCOST(INDEX(AE$280:AE$296,$E2815),$D2815)</t>
        </is>
      </c>
    </row>
    <row r="2235">
      <c r="A2235" s="14" t="n">
        <v>2816</v>
      </c>
      <c r="B2235" s="14" t="inlineStr">
        <is>
          <t>ets</t>
        </is>
      </c>
      <c r="C2235" s="14" t="inlineStr">
        <is>
          <t>gso</t>
        </is>
      </c>
      <c r="D2235" s="14" t="inlineStr">
        <is>
          <t>ftr</t>
        </is>
      </c>
      <c r="E2235" s="14" t="inlineStr">
        <is>
          <t>ETSCOST</t>
        </is>
      </c>
      <c r="F2235" s="92" t="inlineStr">
        <is>
          <t>ETSCOST(INDEX(AE$280:AE$296,$E2816),$D2816)</t>
        </is>
      </c>
    </row>
    <row r="2236">
      <c r="A2236" s="14" t="n">
        <v>2817</v>
      </c>
      <c r="B2236" s="14" t="inlineStr">
        <is>
          <t>ets</t>
        </is>
      </c>
      <c r="C2236" s="14" t="inlineStr">
        <is>
          <t>die</t>
        </is>
      </c>
      <c r="D2236" s="14" t="inlineStr">
        <is>
          <t>ftr</t>
        </is>
      </c>
      <c r="E2236" s="14" t="inlineStr">
        <is>
          <t>ETSCOST</t>
        </is>
      </c>
      <c r="F2236" s="92" t="inlineStr">
        <is>
          <t>ETSCOST(INDEX(AE$280:AE$296,$E2817),$D2817)</t>
        </is>
      </c>
    </row>
    <row r="2237">
      <c r="A2237" s="14" t="n">
        <v>2818</v>
      </c>
      <c r="B2237" s="14" t="inlineStr">
        <is>
          <t>ets</t>
        </is>
      </c>
      <c r="C2237" s="14" t="inlineStr">
        <is>
          <t>lpg</t>
        </is>
      </c>
      <c r="D2237" s="14" t="inlineStr">
        <is>
          <t>ftr</t>
        </is>
      </c>
      <c r="E2237" s="14" t="inlineStr">
        <is>
          <t>ETSCOST</t>
        </is>
      </c>
      <c r="F2237" s="92" t="inlineStr">
        <is>
          <t>ETSCOST(INDEX(AE$280:AE$296,$E2818),$D2818)</t>
        </is>
      </c>
    </row>
    <row r="2238">
      <c r="A2238" s="14" t="n">
        <v>2819</v>
      </c>
      <c r="B2238" s="14" t="inlineStr">
        <is>
          <t>ets</t>
        </is>
      </c>
      <c r="C2238" s="14" t="inlineStr">
        <is>
          <t>ker</t>
        </is>
      </c>
      <c r="D2238" s="14" t="inlineStr">
        <is>
          <t>ftr</t>
        </is>
      </c>
      <c r="E2238" s="14" t="inlineStr">
        <is>
          <t>ETSCOST</t>
        </is>
      </c>
      <c r="F2238" s="92" t="inlineStr">
        <is>
          <t>ETSCOST(INDEX(AE$280:AE$296,$E2819),$D2819)</t>
        </is>
      </c>
    </row>
    <row r="2239">
      <c r="A2239" s="14" t="n">
        <v>2820</v>
      </c>
      <c r="B2239" s="14" t="inlineStr">
        <is>
          <t>ets</t>
        </is>
      </c>
      <c r="C2239" s="14" t="inlineStr">
        <is>
          <t>oop</t>
        </is>
      </c>
      <c r="D2239" s="14" t="inlineStr">
        <is>
          <t>ftr</t>
        </is>
      </c>
      <c r="E2239" s="14" t="inlineStr">
        <is>
          <t>ETSCOST</t>
        </is>
      </c>
      <c r="F2239" s="92" t="inlineStr">
        <is>
          <t>ETSCOST(INDEX(AE$280:AE$296,$E2820),$D2820)</t>
        </is>
      </c>
    </row>
    <row r="2240">
      <c r="A2240" s="14" t="n">
        <v>2821</v>
      </c>
      <c r="B2240" s="14" t="inlineStr">
        <is>
          <t>ets</t>
        </is>
      </c>
      <c r="C2240" s="14" t="inlineStr">
        <is>
          <t>bio</t>
        </is>
      </c>
      <c r="D2240" s="14" t="inlineStr">
        <is>
          <t>ftr</t>
        </is>
      </c>
      <c r="E2240" s="14" t="inlineStr">
        <is>
          <t>ETSCOST</t>
        </is>
      </c>
      <c r="F2240" s="92" t="inlineStr">
        <is>
          <t>ETSCOST(INDEX(AE$280:AE$296,$E2821),$D2821)</t>
        </is>
      </c>
    </row>
    <row r="2241">
      <c r="A2241" s="14" t="n">
        <v>2823</v>
      </c>
      <c r="B2241" s="14" t="inlineStr">
        <is>
          <t>ntx</t>
        </is>
      </c>
      <c r="C2241" s="14" t="inlineStr">
        <is>
          <t>coa</t>
        </is>
      </c>
      <c r="D2241" s="14" t="inlineStr">
        <is>
          <t>ftr</t>
        </is>
      </c>
      <c r="E2241" s="14" t="inlineStr">
        <is>
          <t>NEWEXCISE</t>
        </is>
      </c>
      <c r="F2241" s="92" t="inlineStr">
        <is>
          <t>NEWEXCISE(INDEX(AE$80:AE$93,$D2823),$E2823)</t>
        </is>
      </c>
    </row>
    <row r="2242">
      <c r="A2242" s="14" t="n">
        <v>2824</v>
      </c>
      <c r="B2242" s="14" t="inlineStr">
        <is>
          <t>ntx</t>
        </is>
      </c>
      <c r="C2242" s="14" t="inlineStr">
        <is>
          <t>nga</t>
        </is>
      </c>
      <c r="D2242" s="14" t="inlineStr">
        <is>
          <t>ftr</t>
        </is>
      </c>
      <c r="E2242" s="14" t="inlineStr">
        <is>
          <t>NEWEXCISE</t>
        </is>
      </c>
      <c r="F2242" s="92" t="inlineStr">
        <is>
          <t>NEWEXCISE(INDEX(AE$80:AE$93,$D2824),$E2824)</t>
        </is>
      </c>
    </row>
    <row r="2243">
      <c r="A2243" s="14" t="n">
        <v>2825</v>
      </c>
      <c r="B2243" s="14" t="inlineStr">
        <is>
          <t>ntx</t>
        </is>
      </c>
      <c r="C2243" s="14" t="inlineStr">
        <is>
          <t>gso</t>
        </is>
      </c>
      <c r="D2243" s="14" t="inlineStr">
        <is>
          <t>ftr</t>
        </is>
      </c>
      <c r="E2243" s="14" t="inlineStr">
        <is>
          <t>NEWEXCISE</t>
        </is>
      </c>
      <c r="F2243" s="92" t="inlineStr">
        <is>
          <t>NEWEXCISE(INDEX(AE$80:AE$93,$D2825),$E2825)</t>
        </is>
      </c>
    </row>
    <row r="2244">
      <c r="A2244" s="14" t="n">
        <v>2826</v>
      </c>
      <c r="B2244" s="14" t="inlineStr">
        <is>
          <t>ntx</t>
        </is>
      </c>
      <c r="C2244" s="14" t="inlineStr">
        <is>
          <t>die</t>
        </is>
      </c>
      <c r="D2244" s="14" t="inlineStr">
        <is>
          <t>ftr</t>
        </is>
      </c>
      <c r="E2244" s="14" t="inlineStr">
        <is>
          <t>NEWEXCISE</t>
        </is>
      </c>
      <c r="F2244" s="92" t="inlineStr">
        <is>
          <t>NEWEXCISE(INDEX(AE$80:AE$93,$D2826),$E2826)</t>
        </is>
      </c>
    </row>
    <row r="2245">
      <c r="A2245" s="14" t="n">
        <v>2827</v>
      </c>
      <c r="B2245" s="14" t="inlineStr">
        <is>
          <t>ntx</t>
        </is>
      </c>
      <c r="C2245" s="14" t="inlineStr">
        <is>
          <t>lpg</t>
        </is>
      </c>
      <c r="D2245" s="14" t="inlineStr">
        <is>
          <t>ftr</t>
        </is>
      </c>
      <c r="E2245" s="14" t="inlineStr">
        <is>
          <t>NEWEXCISE</t>
        </is>
      </c>
      <c r="F2245" s="92" t="inlineStr">
        <is>
          <t>NEWEXCISE(INDEX(AE$80:AE$93,$D2827),$E2827)</t>
        </is>
      </c>
    </row>
    <row r="2246">
      <c r="A2246" s="14" t="n">
        <v>2828</v>
      </c>
      <c r="B2246" s="14" t="inlineStr">
        <is>
          <t>ntx</t>
        </is>
      </c>
      <c r="C2246" s="14" t="inlineStr">
        <is>
          <t>ker</t>
        </is>
      </c>
      <c r="D2246" s="14" t="inlineStr">
        <is>
          <t>ftr</t>
        </is>
      </c>
      <c r="E2246" s="14" t="inlineStr">
        <is>
          <t>NEWEXCISE</t>
        </is>
      </c>
      <c r="F2246" s="92" t="inlineStr">
        <is>
          <t>NEWEXCISE(INDEX(AE$80:AE$93,$D2828),$E2828)</t>
        </is>
      </c>
    </row>
    <row r="2247">
      <c r="A2247" s="14" t="n">
        <v>2829</v>
      </c>
      <c r="B2247" s="14" t="inlineStr">
        <is>
          <t>ntx</t>
        </is>
      </c>
      <c r="C2247" s="14" t="inlineStr">
        <is>
          <t>oop</t>
        </is>
      </c>
      <c r="D2247" s="14" t="inlineStr">
        <is>
          <t>ftr</t>
        </is>
      </c>
      <c r="E2247" s="14" t="inlineStr">
        <is>
          <t>NEWEXCISE</t>
        </is>
      </c>
      <c r="F2247" s="92" t="inlineStr">
        <is>
          <t>NEWEXCISE(INDEX(AE$80:AE$93,$D2829),$E2829)</t>
        </is>
      </c>
    </row>
    <row r="2248">
      <c r="A2248" s="14" t="n">
        <v>2830</v>
      </c>
      <c r="B2248" s="14" t="inlineStr">
        <is>
          <t>ntx</t>
        </is>
      </c>
      <c r="C2248" s="14" t="inlineStr">
        <is>
          <t>bio</t>
        </is>
      </c>
      <c r="D2248" s="14" t="inlineStr">
        <is>
          <t>ftr</t>
        </is>
      </c>
      <c r="E2248" s="14" t="inlineStr">
        <is>
          <t>NEWEXCISE</t>
        </is>
      </c>
      <c r="F2248" s="92" t="inlineStr">
        <is>
          <t>NEWEXCISE(INDEX(AE$80:AE$93,$D2830),$E2830)</t>
        </is>
      </c>
    </row>
    <row r="2249">
      <c r="A2249" s="14" t="n">
        <v>2832</v>
      </c>
      <c r="B2249" s="14" t="inlineStr">
        <is>
          <t>nce</t>
        </is>
      </c>
      <c r="C2249" s="14" t="inlineStr">
        <is>
          <t>coa</t>
        </is>
      </c>
      <c r="D2249" s="14" t="inlineStr">
        <is>
          <t>ftr</t>
        </is>
      </c>
      <c r="E2249" s="14" t="inlineStr">
        <is>
          <t>NEWPOLICY</t>
        </is>
      </c>
      <c r="F2249" s="92" t="inlineStr">
        <is>
          <t>NEWPOLICY(AE2805,AE2814,AE2823)</t>
        </is>
      </c>
    </row>
    <row r="2250">
      <c r="A2250" s="14" t="n">
        <v>2833</v>
      </c>
      <c r="B2250" s="14" t="inlineStr">
        <is>
          <t>nce</t>
        </is>
      </c>
      <c r="C2250" s="14" t="inlineStr">
        <is>
          <t>nga</t>
        </is>
      </c>
      <c r="D2250" s="14" t="inlineStr">
        <is>
          <t>ftr</t>
        </is>
      </c>
      <c r="E2250" s="14" t="inlineStr">
        <is>
          <t>NEWPOLICY</t>
        </is>
      </c>
      <c r="F2250" s="92" t="inlineStr">
        <is>
          <t>NEWPOLICY(AE2806,AE2815,AE2824)</t>
        </is>
      </c>
    </row>
    <row r="2251">
      <c r="A2251" s="14" t="n">
        <v>2834</v>
      </c>
      <c r="B2251" s="14" t="inlineStr">
        <is>
          <t>nce</t>
        </is>
      </c>
      <c r="C2251" s="14" t="inlineStr">
        <is>
          <t>gso</t>
        </is>
      </c>
      <c r="D2251" s="14" t="inlineStr">
        <is>
          <t>ftr</t>
        </is>
      </c>
      <c r="E2251" s="14" t="inlineStr">
        <is>
          <t>NEWPOLICY</t>
        </is>
      </c>
      <c r="F2251" s="92" t="inlineStr">
        <is>
          <t>NEWPOLICY(AE2807,AE2816,AE2825)</t>
        </is>
      </c>
    </row>
    <row r="2252">
      <c r="A2252" s="14" t="n">
        <v>2835</v>
      </c>
      <c r="B2252" s="14" t="inlineStr">
        <is>
          <t>nce</t>
        </is>
      </c>
      <c r="C2252" s="14" t="inlineStr">
        <is>
          <t>die</t>
        </is>
      </c>
      <c r="D2252" s="14" t="inlineStr">
        <is>
          <t>ftr</t>
        </is>
      </c>
      <c r="E2252" s="14" t="inlineStr">
        <is>
          <t>NEWPOLICY</t>
        </is>
      </c>
      <c r="F2252" s="92" t="inlineStr">
        <is>
          <t>NEWPOLICY(AE2808,AE2817,AE2826)</t>
        </is>
      </c>
    </row>
    <row r="2253">
      <c r="A2253" s="14" t="n">
        <v>2836</v>
      </c>
      <c r="B2253" s="14" t="inlineStr">
        <is>
          <t>nce</t>
        </is>
      </c>
      <c r="C2253" s="14" t="inlineStr">
        <is>
          <t>lpg</t>
        </is>
      </c>
      <c r="D2253" s="14" t="inlineStr">
        <is>
          <t>ftr</t>
        </is>
      </c>
      <c r="E2253" s="14" t="inlineStr">
        <is>
          <t>NEWPOLICY</t>
        </is>
      </c>
      <c r="F2253" s="92" t="inlineStr">
        <is>
          <t>NEWPOLICY(AE2809,AE2818,AE2827)</t>
        </is>
      </c>
    </row>
    <row r="2254">
      <c r="A2254" s="14" t="n">
        <v>2837</v>
      </c>
      <c r="B2254" s="14" t="inlineStr">
        <is>
          <t>nce</t>
        </is>
      </c>
      <c r="C2254" s="14" t="inlineStr">
        <is>
          <t>ker</t>
        </is>
      </c>
      <c r="D2254" s="14" t="inlineStr">
        <is>
          <t>ftr</t>
        </is>
      </c>
      <c r="E2254" s="14" t="inlineStr">
        <is>
          <t>NEWPOLICY</t>
        </is>
      </c>
      <c r="F2254" s="92" t="inlineStr">
        <is>
          <t>NEWPOLICY(AE2810,AE2819,AE2828)</t>
        </is>
      </c>
    </row>
    <row r="2255">
      <c r="A2255" s="14" t="n">
        <v>2838</v>
      </c>
      <c r="B2255" s="14" t="inlineStr">
        <is>
          <t>nce</t>
        </is>
      </c>
      <c r="C2255" s="14" t="inlineStr">
        <is>
          <t>oop</t>
        </is>
      </c>
      <c r="D2255" s="14" t="inlineStr">
        <is>
          <t>ftr</t>
        </is>
      </c>
      <c r="E2255" s="14" t="inlineStr">
        <is>
          <t>NEWPOLICY</t>
        </is>
      </c>
      <c r="F2255" s="92" t="inlineStr">
        <is>
          <t>NEWPOLICY(AE2811,AE2820,AE2829)</t>
        </is>
      </c>
    </row>
    <row r="2256">
      <c r="A2256" s="14" t="n">
        <v>2839</v>
      </c>
      <c r="B2256" s="14" t="inlineStr">
        <is>
          <t>nce</t>
        </is>
      </c>
      <c r="C2256" s="14" t="inlineStr">
        <is>
          <t>bio</t>
        </is>
      </c>
      <c r="D2256" s="14" t="inlineStr">
        <is>
          <t>ftr</t>
        </is>
      </c>
      <c r="E2256" s="14" t="inlineStr">
        <is>
          <t>NEWPOLICY</t>
        </is>
      </c>
      <c r="F2256" s="92" t="inlineStr">
        <is>
          <t>NEWPOLICY(AE2812,AE2821,AE2830)</t>
        </is>
      </c>
    </row>
    <row r="2257">
      <c r="A2257" s="14" t="n">
        <v>2841</v>
      </c>
      <c r="B2257" s="14" t="inlineStr">
        <is>
          <t>xcp</t>
        </is>
      </c>
      <c r="C2257" s="14" t="inlineStr">
        <is>
          <t>coa</t>
        </is>
      </c>
      <c r="D2257" s="14" t="inlineStr">
        <is>
          <t>ftr</t>
        </is>
      </c>
      <c r="E2257" s="14" t="inlineStr">
        <is>
          <t>XCARBON</t>
        </is>
      </c>
      <c r="F2257" s="92" t="inlineStr">
        <is>
          <t>XCARBON($D2841,$E2841,AE$321,$F2841,AE$324)</t>
        </is>
      </c>
    </row>
    <row r="2258">
      <c r="A2258" s="14" t="n">
        <v>2842</v>
      </c>
      <c r="B2258" s="14" t="inlineStr">
        <is>
          <t>xcp</t>
        </is>
      </c>
      <c r="C2258" s="14" t="inlineStr">
        <is>
          <t>nga</t>
        </is>
      </c>
      <c r="D2258" s="14" t="inlineStr">
        <is>
          <t>ftr</t>
        </is>
      </c>
      <c r="E2258" s="14" t="inlineStr">
        <is>
          <t>XCARBON</t>
        </is>
      </c>
      <c r="F2258" s="92" t="inlineStr">
        <is>
          <t>XCARBON($D2842,$E2842,AE$321,$F2842,AE$324)</t>
        </is>
      </c>
    </row>
    <row r="2259">
      <c r="A2259" s="14" t="n">
        <v>2843</v>
      </c>
      <c r="B2259" s="14" t="inlineStr">
        <is>
          <t>xcp</t>
        </is>
      </c>
      <c r="C2259" s="14" t="inlineStr">
        <is>
          <t>gso</t>
        </is>
      </c>
      <c r="D2259" s="14" t="inlineStr">
        <is>
          <t>ftr</t>
        </is>
      </c>
      <c r="E2259" s="14" t="inlineStr">
        <is>
          <t>XCARBON</t>
        </is>
      </c>
      <c r="F2259" s="92" t="inlineStr">
        <is>
          <t>XCARBON($D2843,$E2843,AE$321,$F2843,AE$324)</t>
        </is>
      </c>
    </row>
    <row r="2260">
      <c r="A2260" s="14" t="n">
        <v>2844</v>
      </c>
      <c r="B2260" s="14" t="inlineStr">
        <is>
          <t>xcp</t>
        </is>
      </c>
      <c r="C2260" s="14" t="inlineStr">
        <is>
          <t>die</t>
        </is>
      </c>
      <c r="D2260" s="14" t="inlineStr">
        <is>
          <t>ftr</t>
        </is>
      </c>
      <c r="E2260" s="14" t="inlineStr">
        <is>
          <t>XCARBON</t>
        </is>
      </c>
      <c r="F2260" s="92" t="inlineStr">
        <is>
          <t>XCARBON($D2844,$E2844,AE$321,$F2844,AE$324)</t>
        </is>
      </c>
    </row>
    <row r="2261">
      <c r="A2261" s="14" t="n">
        <v>2845</v>
      </c>
      <c r="B2261" s="14" t="inlineStr">
        <is>
          <t>xcp</t>
        </is>
      </c>
      <c r="C2261" s="14" t="inlineStr">
        <is>
          <t>lpg</t>
        </is>
      </c>
      <c r="D2261" s="14" t="inlineStr">
        <is>
          <t>ftr</t>
        </is>
      </c>
      <c r="E2261" s="14" t="inlineStr">
        <is>
          <t>XCARBON</t>
        </is>
      </c>
      <c r="F2261" s="92" t="inlineStr">
        <is>
          <t>XCARBON($D2845,$E2845,AE$321,$F2845,AE$324)</t>
        </is>
      </c>
    </row>
    <row r="2262">
      <c r="A2262" s="14" t="n">
        <v>2846</v>
      </c>
      <c r="B2262" s="14" t="inlineStr">
        <is>
          <t>xcp</t>
        </is>
      </c>
      <c r="C2262" s="14" t="inlineStr">
        <is>
          <t>ker</t>
        </is>
      </c>
      <c r="D2262" s="14" t="inlineStr">
        <is>
          <t>ftr</t>
        </is>
      </c>
      <c r="E2262" s="14" t="inlineStr">
        <is>
          <t>XCARBON</t>
        </is>
      </c>
      <c r="F2262" s="92" t="inlineStr">
        <is>
          <t>XCARBON($D2846,$E2846,AE$321,$F2846,AE$324)</t>
        </is>
      </c>
    </row>
    <row r="2263">
      <c r="A2263" s="14" t="n">
        <v>2847</v>
      </c>
      <c r="B2263" s="14" t="inlineStr">
        <is>
          <t>xcp</t>
        </is>
      </c>
      <c r="C2263" s="14" t="inlineStr">
        <is>
          <t>oop</t>
        </is>
      </c>
      <c r="D2263" s="14" t="inlineStr">
        <is>
          <t>ftr</t>
        </is>
      </c>
      <c r="E2263" s="14" t="inlineStr">
        <is>
          <t>XCARBON</t>
        </is>
      </c>
      <c r="F2263" s="92" t="inlineStr">
        <is>
          <t>XCARBON($D2847,$E2847,AE$321,$F2847,AE$324)</t>
        </is>
      </c>
    </row>
    <row r="2264">
      <c r="A2264" s="14" t="n">
        <v>2848</v>
      </c>
      <c r="B2264" s="14" t="inlineStr">
        <is>
          <t>xcp</t>
        </is>
      </c>
      <c r="C2264" s="14" t="inlineStr">
        <is>
          <t>bio</t>
        </is>
      </c>
      <c r="D2264" s="14" t="inlineStr">
        <is>
          <t>ftr</t>
        </is>
      </c>
      <c r="E2264" s="14" t="inlineStr">
        <is>
          <t>XCARBON</t>
        </is>
      </c>
      <c r="F2264" s="92" t="inlineStr">
        <is>
          <t>XCARBON($D2848,$E2848,AE$321,$F2848,AE$324)</t>
        </is>
      </c>
    </row>
    <row r="2265">
      <c r="A2265" s="14" t="n">
        <v>2850</v>
      </c>
      <c r="B2265" s="14" t="inlineStr">
        <is>
          <t>xcpd</t>
        </is>
      </c>
      <c r="C2265" s="14" t="inlineStr">
        <is>
          <t>coa</t>
        </is>
      </c>
      <c r="D2265" s="14" t="inlineStr">
        <is>
          <t>ftr</t>
        </is>
      </c>
      <c r="E2265" s="14" t="inlineStr">
        <is>
          <t>XCARBON</t>
        </is>
      </c>
      <c r="F2265" s="92" t="inlineStr">
        <is>
          <t>XCARBON($D2850,$E2850,(AE$321-AE$322),$F2850,(AE$324-AE$325))</t>
        </is>
      </c>
    </row>
    <row r="2266">
      <c r="A2266" s="14" t="n">
        <v>2851</v>
      </c>
      <c r="B2266" s="14" t="inlineStr">
        <is>
          <t>xcpd</t>
        </is>
      </c>
      <c r="C2266" s="14" t="inlineStr">
        <is>
          <t>nga</t>
        </is>
      </c>
      <c r="D2266" s="14" t="inlineStr">
        <is>
          <t>ftr</t>
        </is>
      </c>
      <c r="E2266" s="14" t="inlineStr">
        <is>
          <t>XCARBON</t>
        </is>
      </c>
      <c r="F2266" s="92" t="inlineStr">
        <is>
          <t>XCARBON($D2851,$E2851,(AE$321-AE$322),$F2851,(AE$324-AE$325))</t>
        </is>
      </c>
    </row>
    <row r="2267">
      <c r="A2267" s="14" t="n">
        <v>2852</v>
      </c>
      <c r="B2267" s="14" t="inlineStr">
        <is>
          <t>xcpd</t>
        </is>
      </c>
      <c r="C2267" s="14" t="inlineStr">
        <is>
          <t>gso</t>
        </is>
      </c>
      <c r="D2267" s="14" t="inlineStr">
        <is>
          <t>ftr</t>
        </is>
      </c>
      <c r="E2267" s="14" t="inlineStr">
        <is>
          <t>XCARBON</t>
        </is>
      </c>
      <c r="F2267" s="92" t="inlineStr">
        <is>
          <t>XCARBON($D2852,$E2852,(AE$321-AE$322),$F2852,(AE$324-AE$325))</t>
        </is>
      </c>
    </row>
    <row r="2268">
      <c r="A2268" s="14" t="n">
        <v>2853</v>
      </c>
      <c r="B2268" s="14" t="inlineStr">
        <is>
          <t>xcpd</t>
        </is>
      </c>
      <c r="C2268" s="14" t="inlineStr">
        <is>
          <t>die</t>
        </is>
      </c>
      <c r="D2268" s="14" t="inlineStr">
        <is>
          <t>ftr</t>
        </is>
      </c>
      <c r="E2268" s="14" t="inlineStr">
        <is>
          <t>XCARBON</t>
        </is>
      </c>
      <c r="F2268" s="92" t="inlineStr">
        <is>
          <t>XCARBON($D2853,$E2853,(AE$321-AE$322),$F2853,(AE$324-AE$325))</t>
        </is>
      </c>
    </row>
    <row r="2269">
      <c r="A2269" s="14" t="n">
        <v>2854</v>
      </c>
      <c r="B2269" s="14" t="inlineStr">
        <is>
          <t>xcpd</t>
        </is>
      </c>
      <c r="C2269" s="14" t="inlineStr">
        <is>
          <t>lpg</t>
        </is>
      </c>
      <c r="D2269" s="14" t="inlineStr">
        <is>
          <t>ftr</t>
        </is>
      </c>
      <c r="E2269" s="14" t="inlineStr">
        <is>
          <t>XCARBON</t>
        </is>
      </c>
      <c r="F2269" s="92" t="inlineStr">
        <is>
          <t>XCARBON($D2854,$E2854,(AE$321-AE$322),$F2854,(AE$324-AE$325))</t>
        </is>
      </c>
    </row>
    <row r="2270">
      <c r="A2270" s="14" t="n">
        <v>2855</v>
      </c>
      <c r="B2270" s="14" t="inlineStr">
        <is>
          <t>xcpd</t>
        </is>
      </c>
      <c r="C2270" s="14" t="inlineStr">
        <is>
          <t>ker</t>
        </is>
      </c>
      <c r="D2270" s="14" t="inlineStr">
        <is>
          <t>ftr</t>
        </is>
      </c>
      <c r="E2270" s="14" t="inlineStr">
        <is>
          <t>XCARBON</t>
        </is>
      </c>
      <c r="F2270" s="92" t="inlineStr">
        <is>
          <t>XCARBON($D2855,$E2855,(AE$321-AE$322),$F2855,(AE$324-AE$325))</t>
        </is>
      </c>
    </row>
    <row r="2271">
      <c r="A2271" s="14" t="n">
        <v>2856</v>
      </c>
      <c r="B2271" s="14" t="inlineStr">
        <is>
          <t>xcpd</t>
        </is>
      </c>
      <c r="C2271" s="14" t="inlineStr">
        <is>
          <t>oop</t>
        </is>
      </c>
      <c r="D2271" s="14" t="inlineStr">
        <is>
          <t>ftr</t>
        </is>
      </c>
      <c r="E2271" s="14" t="inlineStr">
        <is>
          <t>XCARBON</t>
        </is>
      </c>
      <c r="F2271" s="92" t="inlineStr">
        <is>
          <t>XCARBON($D2856,$E2856,(AE$321-AE$322),$F2856,(AE$324-AE$325))</t>
        </is>
      </c>
    </row>
    <row r="2272">
      <c r="A2272" s="14" t="n">
        <v>2857</v>
      </c>
      <c r="B2272" s="14" t="inlineStr">
        <is>
          <t>xcpd</t>
        </is>
      </c>
      <c r="C2272" s="14" t="inlineStr">
        <is>
          <t>bio</t>
        </is>
      </c>
      <c r="D2272" s="14" t="inlineStr">
        <is>
          <t>ftr</t>
        </is>
      </c>
      <c r="E2272" s="14" t="inlineStr">
        <is>
          <t>XCARBON</t>
        </is>
      </c>
      <c r="F2272" s="92" t="inlineStr">
        <is>
          <t>XCARBON($D2857,$E2857,(AE$321-AE$322),$F2857,(AE$324-AE$325))</t>
        </is>
      </c>
    </row>
    <row r="2273">
      <c r="A2273" s="14" t="n">
        <v>2859</v>
      </c>
      <c r="B2273" s="14" t="inlineStr">
        <is>
          <t>atp</t>
        </is>
      </c>
      <c r="C2273" s="14" t="inlineStr">
        <is>
          <t>coa</t>
        </is>
      </c>
      <c r="D2273" s="14" t="inlineStr">
        <is>
          <t>ftr</t>
        </is>
      </c>
      <c r="E2273" s="14" t="inlineStr">
        <is>
          <t>POSTTAX</t>
        </is>
      </c>
      <c r="F2273" s="92" t="inlineStr">
        <is>
          <t>POSTTAX(INDEX(AE$381:AE$392,$D2859),AE2832+AE2850,$E2859)</t>
        </is>
      </c>
    </row>
    <row r="2274">
      <c r="A2274" s="14" t="n">
        <v>2860</v>
      </c>
      <c r="B2274" s="14" t="inlineStr">
        <is>
          <t>atp</t>
        </is>
      </c>
      <c r="C2274" s="14" t="inlineStr">
        <is>
          <t>nga</t>
        </is>
      </c>
      <c r="D2274" s="14" t="inlineStr">
        <is>
          <t>ftr</t>
        </is>
      </c>
      <c r="E2274" s="14" t="inlineStr">
        <is>
          <t>POSTTAX</t>
        </is>
      </c>
      <c r="F2274" s="92" t="inlineStr">
        <is>
          <t>POSTTAX(INDEX(AE$381:AE$392,$D2860),AE2833+AE2851,$E2860)</t>
        </is>
      </c>
    </row>
    <row r="2275">
      <c r="A2275" s="14" t="n">
        <v>2861</v>
      </c>
      <c r="B2275" s="14" t="inlineStr">
        <is>
          <t>atp</t>
        </is>
      </c>
      <c r="C2275" s="14" t="inlineStr">
        <is>
          <t>gso</t>
        </is>
      </c>
      <c r="D2275" s="14" t="inlineStr">
        <is>
          <t>ftr</t>
        </is>
      </c>
      <c r="E2275" s="14" t="inlineStr">
        <is>
          <t>POSTTAX</t>
        </is>
      </c>
      <c r="F2275" s="92" t="inlineStr">
        <is>
          <t>POSTTAX(INDEX(AE$381:AE$392,$D2861),AE2834+AE2852,$E2861)</t>
        </is>
      </c>
    </row>
    <row r="2276">
      <c r="A2276" s="14" t="n">
        <v>2862</v>
      </c>
      <c r="B2276" s="14" t="inlineStr">
        <is>
          <t>atp</t>
        </is>
      </c>
      <c r="C2276" s="14" t="inlineStr">
        <is>
          <t>die</t>
        </is>
      </c>
      <c r="D2276" s="14" t="inlineStr">
        <is>
          <t>ftr</t>
        </is>
      </c>
      <c r="E2276" s="14" t="inlineStr">
        <is>
          <t>POSTTAX</t>
        </is>
      </c>
      <c r="F2276" s="92" t="inlineStr">
        <is>
          <t>POSTTAX(INDEX(AE$381:AE$392,$D2862),AE2835+AE2853,$E2862)</t>
        </is>
      </c>
    </row>
    <row r="2277">
      <c r="A2277" s="14" t="n">
        <v>2863</v>
      </c>
      <c r="B2277" s="14" t="inlineStr">
        <is>
          <t>atp</t>
        </is>
      </c>
      <c r="C2277" s="14" t="inlineStr">
        <is>
          <t>lpg</t>
        </is>
      </c>
      <c r="D2277" s="14" t="inlineStr">
        <is>
          <t>ftr</t>
        </is>
      </c>
      <c r="E2277" s="14" t="inlineStr">
        <is>
          <t>POSTTAX</t>
        </is>
      </c>
      <c r="F2277" s="92" t="inlineStr">
        <is>
          <t>POSTTAX(INDEX(AE$381:AE$392,$D2863),AE2836+AE2854,$E2863)</t>
        </is>
      </c>
    </row>
    <row r="2278">
      <c r="A2278" s="14" t="n">
        <v>2864</v>
      </c>
      <c r="B2278" s="14" t="inlineStr">
        <is>
          <t>atp</t>
        </is>
      </c>
      <c r="C2278" s="14" t="inlineStr">
        <is>
          <t>ker</t>
        </is>
      </c>
      <c r="D2278" s="14" t="inlineStr">
        <is>
          <t>ftr</t>
        </is>
      </c>
      <c r="E2278" s="14" t="inlineStr">
        <is>
          <t>POSTTAX</t>
        </is>
      </c>
      <c r="F2278" s="92" t="inlineStr">
        <is>
          <t>POSTTAX(INDEX(AE$381:AE$392,$D2864),AE2837+AE2855,$E2864)</t>
        </is>
      </c>
    </row>
    <row r="2279">
      <c r="A2279" s="14" t="n">
        <v>2865</v>
      </c>
      <c r="B2279" s="14" t="inlineStr">
        <is>
          <t>atp</t>
        </is>
      </c>
      <c r="C2279" s="14" t="inlineStr">
        <is>
          <t>oop</t>
        </is>
      </c>
      <c r="D2279" s="14" t="inlineStr">
        <is>
          <t>ftr</t>
        </is>
      </c>
      <c r="E2279" s="14" t="inlineStr">
        <is>
          <t>POSTTAX</t>
        </is>
      </c>
      <c r="F2279" s="92" t="inlineStr">
        <is>
          <t>POSTTAX(INDEX(AE$381:AE$392,$D2865),AE2838+AE2856,$E2865)</t>
        </is>
      </c>
    </row>
    <row r="2280">
      <c r="A2280" s="14" t="n">
        <v>2866</v>
      </c>
      <c r="B2280" s="14" t="inlineStr">
        <is>
          <t>atp</t>
        </is>
      </c>
      <c r="C2280" s="14" t="inlineStr">
        <is>
          <t>bio</t>
        </is>
      </c>
      <c r="D2280" s="14" t="inlineStr">
        <is>
          <t>ftr</t>
        </is>
      </c>
      <c r="E2280" s="14" t="inlineStr">
        <is>
          <t>POSTTAX</t>
        </is>
      </c>
      <c r="F2280" s="92" t="inlineStr">
        <is>
          <t>POSTTAX(INDEX(AE$381:AE$392,$D2866),AE2839+AE2857,$E2866)</t>
        </is>
      </c>
    </row>
    <row r="2281">
      <c r="A2281" s="14" t="n">
        <v>2868</v>
      </c>
      <c r="B2281" s="14" t="inlineStr">
        <is>
          <t>shp</t>
        </is>
      </c>
      <c r="C2281" s="14" t="inlineStr">
        <is>
          <t>coa</t>
        </is>
      </c>
      <c r="D2281" s="14" t="inlineStr">
        <is>
          <t>ftr</t>
        </is>
      </c>
      <c r="E2281" s="14" t="inlineStr">
        <is>
          <t>SHADOWGJ</t>
        </is>
      </c>
      <c r="F2281" s="92" t="inlineStr">
        <is>
          <t>SHADOWGJ(INDEX(AE$297:AE$313,$E2868),$D2868)</t>
        </is>
      </c>
    </row>
    <row r="2282">
      <c r="A2282" s="14" t="n">
        <v>2869</v>
      </c>
      <c r="B2282" s="14" t="inlineStr">
        <is>
          <t>shp</t>
        </is>
      </c>
      <c r="C2282" s="14" t="inlineStr">
        <is>
          <t>nga</t>
        </is>
      </c>
      <c r="D2282" s="14" t="inlineStr">
        <is>
          <t>ftr</t>
        </is>
      </c>
      <c r="E2282" s="14" t="inlineStr">
        <is>
          <t>SHADOWGJ</t>
        </is>
      </c>
      <c r="F2282" s="92" t="inlineStr">
        <is>
          <t>SHADOWGJ(INDEX(AE$297:AE$313,$E2869),$D2869)</t>
        </is>
      </c>
    </row>
    <row r="2283">
      <c r="A2283" s="14" t="n">
        <v>2870</v>
      </c>
      <c r="B2283" s="14" t="inlineStr">
        <is>
          <t>shp</t>
        </is>
      </c>
      <c r="C2283" s="14" t="inlineStr">
        <is>
          <t>gso</t>
        </is>
      </c>
      <c r="D2283" s="14" t="inlineStr">
        <is>
          <t>ftr</t>
        </is>
      </c>
      <c r="E2283" s="14" t="inlineStr">
        <is>
          <t>SHADOWGJ</t>
        </is>
      </c>
      <c r="F2283" s="92" t="inlineStr">
        <is>
          <t>SHADOWGJ(INDEX(AE$297:AE$313,$E2870),$D2870)</t>
        </is>
      </c>
    </row>
    <row r="2284">
      <c r="A2284" s="14" t="n">
        <v>2871</v>
      </c>
      <c r="B2284" s="14" t="inlineStr">
        <is>
          <t>shp</t>
        </is>
      </c>
      <c r="C2284" s="14" t="inlineStr">
        <is>
          <t>die</t>
        </is>
      </c>
      <c r="D2284" s="14" t="inlineStr">
        <is>
          <t>ftr</t>
        </is>
      </c>
      <c r="E2284" s="14" t="inlineStr">
        <is>
          <t>SHADOWGJ</t>
        </is>
      </c>
      <c r="F2284" s="92" t="inlineStr">
        <is>
          <t>SHADOWGJ(INDEX(AE$297:AE$313,$E2871),$D2871)</t>
        </is>
      </c>
    </row>
    <row r="2285">
      <c r="A2285" s="14" t="n">
        <v>2872</v>
      </c>
      <c r="B2285" s="14" t="inlineStr">
        <is>
          <t>shp</t>
        </is>
      </c>
      <c r="C2285" s="14" t="inlineStr">
        <is>
          <t>lpg</t>
        </is>
      </c>
      <c r="D2285" s="14" t="inlineStr">
        <is>
          <t>ftr</t>
        </is>
      </c>
      <c r="E2285" s="14" t="inlineStr">
        <is>
          <t>SHADOWGJ</t>
        </is>
      </c>
      <c r="F2285" s="92" t="inlineStr">
        <is>
          <t>SHADOWGJ(INDEX(AE$297:AE$313,$E2872),$D2872)</t>
        </is>
      </c>
    </row>
    <row r="2286">
      <c r="A2286" s="14" t="n">
        <v>2873</v>
      </c>
      <c r="B2286" s="14" t="inlineStr">
        <is>
          <t>shp</t>
        </is>
      </c>
      <c r="C2286" s="14" t="inlineStr">
        <is>
          <t>ker</t>
        </is>
      </c>
      <c r="D2286" s="14" t="inlineStr">
        <is>
          <t>ftr</t>
        </is>
      </c>
      <c r="E2286" s="14" t="inlineStr">
        <is>
          <t>SHADOWGJ</t>
        </is>
      </c>
      <c r="F2286" s="92" t="inlineStr">
        <is>
          <t>SHADOWGJ(INDEX(AE$297:AE$313,$E2873),$D2873)</t>
        </is>
      </c>
    </row>
    <row r="2287">
      <c r="A2287" s="14" t="n">
        <v>2874</v>
      </c>
      <c r="B2287" s="14" t="inlineStr">
        <is>
          <t>shp</t>
        </is>
      </c>
      <c r="C2287" s="14" t="inlineStr">
        <is>
          <t>oop</t>
        </is>
      </c>
      <c r="D2287" s="14" t="inlineStr">
        <is>
          <t>ftr</t>
        </is>
      </c>
      <c r="E2287" s="14" t="inlineStr">
        <is>
          <t>SHADOWGJ</t>
        </is>
      </c>
      <c r="F2287" s="92" t="inlineStr">
        <is>
          <t>SHADOWGJ(INDEX(AE$297:AE$313,$E2874),$D2874)</t>
        </is>
      </c>
    </row>
    <row r="2288">
      <c r="A2288" s="14" t="n">
        <v>2875</v>
      </c>
      <c r="B2288" s="14" t="inlineStr">
        <is>
          <t>shp</t>
        </is>
      </c>
      <c r="C2288" s="14" t="inlineStr">
        <is>
          <t>bio</t>
        </is>
      </c>
      <c r="D2288" s="14" t="inlineStr">
        <is>
          <t>ftr</t>
        </is>
      </c>
      <c r="E2288" s="14" t="inlineStr">
        <is>
          <t>SHADOWGJ</t>
        </is>
      </c>
      <c r="F2288" s="92" t="inlineStr">
        <is>
          <t>SHADOWGJ(INDEX(AE$297:AE$313,$E2875),$D2875)</t>
        </is>
      </c>
    </row>
    <row r="2289">
      <c r="A2289" s="14" t="n">
        <v>2877</v>
      </c>
      <c r="B2289" s="14" t="inlineStr">
        <is>
          <t>ener</t>
        </is>
      </c>
      <c r="C2289" s="14" t="inlineStr">
        <is>
          <t>coa</t>
        </is>
      </c>
      <c r="D2289" s="14" t="inlineStr">
        <is>
          <t>ftr</t>
        </is>
      </c>
      <c r="E2289" s="14" t="inlineStr">
        <is>
          <t>FUELUSE</t>
        </is>
      </c>
      <c r="F2289" s="92" t="inlineStr">
        <is>
          <t>FUELUSE(AD2877,AE2859,AD2859,AE2868,AD2868,AE$7,$D2877,$E2877,$F2877,$G2877)</t>
        </is>
      </c>
    </row>
    <row r="2290">
      <c r="A2290" s="14" t="n">
        <v>2878</v>
      </c>
      <c r="B2290" s="14" t="inlineStr">
        <is>
          <t>ener</t>
        </is>
      </c>
      <c r="C2290" s="14" t="inlineStr">
        <is>
          <t>nga</t>
        </is>
      </c>
      <c r="D2290" s="14" t="inlineStr">
        <is>
          <t>ftr</t>
        </is>
      </c>
      <c r="E2290" s="14" t="inlineStr">
        <is>
          <t>FUELUSE</t>
        </is>
      </c>
      <c r="F2290" s="92" t="inlineStr">
        <is>
          <t>FUELUSE(AD2878,AE2860,AD2860,AE2869,AD2869,AE$7,$D2878,$E2878,$F2878,$G2878)</t>
        </is>
      </c>
    </row>
    <row r="2291">
      <c r="A2291" s="14" t="n">
        <v>2879</v>
      </c>
      <c r="B2291" s="14" t="inlineStr">
        <is>
          <t>ener</t>
        </is>
      </c>
      <c r="C2291" s="14" t="inlineStr">
        <is>
          <t>gso</t>
        </is>
      </c>
      <c r="D2291" s="14" t="inlineStr">
        <is>
          <t>ftr</t>
        </is>
      </c>
      <c r="E2291" s="14" t="inlineStr">
        <is>
          <t>FUELUSE</t>
        </is>
      </c>
      <c r="F2291" s="92" t="inlineStr">
        <is>
          <t>FUELUSE(AD2879,AE2861,AD2861,AE2870,AD2870,AE$7,$D2879,$E2879,$F2879,$G2879)</t>
        </is>
      </c>
    </row>
    <row r="2292">
      <c r="A2292" s="14" t="n">
        <v>2880</v>
      </c>
      <c r="B2292" s="14" t="inlineStr">
        <is>
          <t>ener</t>
        </is>
      </c>
      <c r="C2292" s="14" t="inlineStr">
        <is>
          <t>die</t>
        </is>
      </c>
      <c r="D2292" s="14" t="inlineStr">
        <is>
          <t>ftr</t>
        </is>
      </c>
      <c r="E2292" s="14" t="inlineStr">
        <is>
          <t>FUELUSE</t>
        </is>
      </c>
      <c r="F2292" s="92" t="inlineStr">
        <is>
          <t>FUELUSE(AD2880,AE2862,AD2862,AE2871,AD2871,AE$7,$D2880,$E2880,$F2880,$G2880)</t>
        </is>
      </c>
    </row>
    <row r="2293">
      <c r="A2293" s="14" t="n">
        <v>2881</v>
      </c>
      <c r="B2293" s="14" t="inlineStr">
        <is>
          <t>ener</t>
        </is>
      </c>
      <c r="C2293" s="14" t="inlineStr">
        <is>
          <t>lpg</t>
        </is>
      </c>
      <c r="D2293" s="14" t="inlineStr">
        <is>
          <t>ftr</t>
        </is>
      </c>
      <c r="E2293" s="14" t="inlineStr">
        <is>
          <t>FUELUSE</t>
        </is>
      </c>
      <c r="F2293" s="92" t="inlineStr">
        <is>
          <t>FUELUSE(AD2881,AE2863,AD2863,AE2872,AD2872,AE$7,$D2881,$E2881,$F2881,$G2881)</t>
        </is>
      </c>
    </row>
    <row r="2294">
      <c r="A2294" s="14" t="n">
        <v>2882</v>
      </c>
      <c r="B2294" s="14" t="inlineStr">
        <is>
          <t>ener</t>
        </is>
      </c>
      <c r="C2294" s="14" t="inlineStr">
        <is>
          <t>ker</t>
        </is>
      </c>
      <c r="D2294" s="14" t="inlineStr">
        <is>
          <t>ftr</t>
        </is>
      </c>
      <c r="E2294" s="14" t="inlineStr">
        <is>
          <t>FUELUSE</t>
        </is>
      </c>
      <c r="F2294" s="92" t="inlineStr">
        <is>
          <t>FUELUSE(AD2882,AE2864,AD2864,AE2873,AD2873,AE$7,$D2882,$E2882,$F2882,$G2882)</t>
        </is>
      </c>
    </row>
    <row r="2295">
      <c r="A2295" s="14" t="n">
        <v>2883</v>
      </c>
      <c r="B2295" s="14" t="inlineStr">
        <is>
          <t>ener</t>
        </is>
      </c>
      <c r="C2295" s="14" t="inlineStr">
        <is>
          <t>oop</t>
        </is>
      </c>
      <c r="D2295" s="14" t="inlineStr">
        <is>
          <t>ftr</t>
        </is>
      </c>
      <c r="E2295" s="14" t="inlineStr">
        <is>
          <t>FUELUSE</t>
        </is>
      </c>
      <c r="F2295" s="92" t="inlineStr">
        <is>
          <t>FUELUSE(AD2883,AE2865,AD2865,AE2874,AD2874,AE$7,$D2883,$E2883,$F2883,$G2883)</t>
        </is>
      </c>
    </row>
    <row r="2296">
      <c r="A2296" s="14" t="n">
        <v>2884</v>
      </c>
      <c r="B2296" s="14" t="inlineStr">
        <is>
          <t>ener</t>
        </is>
      </c>
      <c r="C2296" s="14" t="inlineStr">
        <is>
          <t>bio</t>
        </is>
      </c>
      <c r="D2296" s="14" t="inlineStr">
        <is>
          <t>ftr</t>
        </is>
      </c>
      <c r="E2296" s="14" t="inlineStr">
        <is>
          <t>FUELUSE</t>
        </is>
      </c>
      <c r="F2296" s="92" t="inlineStr">
        <is>
          <t>FUELUSE(AD2884,AE2866,AD2866,AE2875,AD2875,AE$7,$D2884,$E2884,$F2884,$G2884)</t>
        </is>
      </c>
    </row>
    <row r="2297">
      <c r="A2297" s="14" t="n">
        <v>2886</v>
      </c>
      <c r="B2297" s="14" t="inlineStr">
        <is>
          <t>co2</t>
        </is>
      </c>
      <c r="C2297" s="14" t="inlineStr">
        <is>
          <t>coa</t>
        </is>
      </c>
      <c r="D2297" s="14" t="inlineStr">
        <is>
          <t>ftr</t>
        </is>
      </c>
      <c r="E2297" s="14" t="inlineStr">
        <is>
          <t>EMISSIONS</t>
        </is>
      </c>
      <c r="F2297" s="92" t="inlineStr">
        <is>
          <t>EMISSIONS(AE2877,Settings!$C$13,$D2886)</t>
        </is>
      </c>
    </row>
    <row r="2298">
      <c r="A2298" s="14" t="n">
        <v>2887</v>
      </c>
      <c r="B2298" s="14" t="inlineStr">
        <is>
          <t>co2</t>
        </is>
      </c>
      <c r="C2298" s="14" t="inlineStr">
        <is>
          <t>nga</t>
        </is>
      </c>
      <c r="D2298" s="14" t="inlineStr">
        <is>
          <t>ftr</t>
        </is>
      </c>
      <c r="E2298" s="14" t="inlineStr">
        <is>
          <t>EMISSIONS</t>
        </is>
      </c>
      <c r="F2298" s="92" t="inlineStr">
        <is>
          <t>EMISSIONS(AE2878,Settings!$C$13,$D2887)</t>
        </is>
      </c>
    </row>
    <row r="2299">
      <c r="A2299" s="14" t="n">
        <v>2888</v>
      </c>
      <c r="B2299" s="14" t="inlineStr">
        <is>
          <t>co2</t>
        </is>
      </c>
      <c r="C2299" s="14" t="inlineStr">
        <is>
          <t>gso</t>
        </is>
      </c>
      <c r="D2299" s="14" t="inlineStr">
        <is>
          <t>ftr</t>
        </is>
      </c>
      <c r="E2299" s="14" t="inlineStr">
        <is>
          <t>EMISSIONS</t>
        </is>
      </c>
      <c r="F2299" s="92" t="inlineStr">
        <is>
          <t>EMISSIONS(AE2879,Settings!$C$13,$D2888)</t>
        </is>
      </c>
    </row>
    <row r="2300">
      <c r="A2300" s="14" t="n">
        <v>2889</v>
      </c>
      <c r="B2300" s="14" t="inlineStr">
        <is>
          <t>co2</t>
        </is>
      </c>
      <c r="C2300" s="14" t="inlineStr">
        <is>
          <t>die</t>
        </is>
      </c>
      <c r="D2300" s="14" t="inlineStr">
        <is>
          <t>ftr</t>
        </is>
      </c>
      <c r="E2300" s="14" t="inlineStr">
        <is>
          <t>EMISSIONS</t>
        </is>
      </c>
      <c r="F2300" s="92" t="inlineStr">
        <is>
          <t>EMISSIONS(AE2880,Settings!$C$13,$D2889)</t>
        </is>
      </c>
    </row>
    <row r="2301">
      <c r="A2301" s="14" t="n">
        <v>2890</v>
      </c>
      <c r="B2301" s="14" t="inlineStr">
        <is>
          <t>co2</t>
        </is>
      </c>
      <c r="C2301" s="14" t="inlineStr">
        <is>
          <t>lpg</t>
        </is>
      </c>
      <c r="D2301" s="14" t="inlineStr">
        <is>
          <t>ftr</t>
        </is>
      </c>
      <c r="E2301" s="14" t="inlineStr">
        <is>
          <t>EMISSIONS</t>
        </is>
      </c>
      <c r="F2301" s="92" t="inlineStr">
        <is>
          <t>EMISSIONS(AE2881,Settings!$C$13,$D2890)</t>
        </is>
      </c>
    </row>
    <row r="2302">
      <c r="A2302" s="14" t="n">
        <v>2891</v>
      </c>
      <c r="B2302" s="14" t="inlineStr">
        <is>
          <t>co2</t>
        </is>
      </c>
      <c r="C2302" s="14" t="inlineStr">
        <is>
          <t>ker</t>
        </is>
      </c>
      <c r="D2302" s="14" t="inlineStr">
        <is>
          <t>ftr</t>
        </is>
      </c>
      <c r="E2302" s="14" t="inlineStr">
        <is>
          <t>EMISSIONS</t>
        </is>
      </c>
      <c r="F2302" s="92" t="inlineStr">
        <is>
          <t>EMISSIONS(AE2882,Settings!$C$13,$D2891)</t>
        </is>
      </c>
    </row>
    <row r="2303">
      <c r="A2303" s="14" t="n">
        <v>2892</v>
      </c>
      <c r="B2303" s="14" t="inlineStr">
        <is>
          <t>co2</t>
        </is>
      </c>
      <c r="C2303" s="14" t="inlineStr">
        <is>
          <t>oop</t>
        </is>
      </c>
      <c r="D2303" s="14" t="inlineStr">
        <is>
          <t>ftr</t>
        </is>
      </c>
      <c r="E2303" s="14" t="inlineStr">
        <is>
          <t>EMISSIONS</t>
        </is>
      </c>
      <c r="F2303" s="92" t="inlineStr">
        <is>
          <t>EMISSIONS(AE2883,Settings!$C$13,$D2892)</t>
        </is>
      </c>
    </row>
    <row r="2304">
      <c r="A2304" s="14" t="n">
        <v>2893</v>
      </c>
      <c r="B2304" s="14" t="inlineStr">
        <is>
          <t>co2</t>
        </is>
      </c>
      <c r="C2304" s="14" t="inlineStr">
        <is>
          <t>bio</t>
        </is>
      </c>
      <c r="D2304" s="14" t="inlineStr">
        <is>
          <t>ftr</t>
        </is>
      </c>
      <c r="E2304" s="14" t="inlineStr">
        <is>
          <t>EMISSIONS</t>
        </is>
      </c>
      <c r="F2304" s="92" t="inlineStr">
        <is>
          <t>EMISSIONS(AE2884,Settings!$C$13,$D2893)</t>
        </is>
      </c>
    </row>
    <row r="2305">
      <c r="A2305" s="14" t="n">
        <v>2895</v>
      </c>
      <c r="B2305" s="14" t="inlineStr">
        <is>
          <t>rtx</t>
        </is>
      </c>
      <c r="C2305" s="14" t="inlineStr">
        <is>
          <t>coa</t>
        </is>
      </c>
      <c r="D2305" s="14" t="inlineStr">
        <is>
          <t>ftr</t>
        </is>
      </c>
      <c r="E2305" s="14" t="inlineStr">
        <is>
          <t>REVENUE</t>
        </is>
      </c>
      <c r="F2305" s="92" t="inlineStr">
        <is>
          <t>REVENUE(AE2877,Settings!$C$13,INDEX(AE$407:AE$418,$D2895)+INDEX(AE$394:AE$405,$D2895)+AE2850*(1+$E2895))</t>
        </is>
      </c>
    </row>
    <row r="2306">
      <c r="A2306" s="14" t="n">
        <v>2896</v>
      </c>
      <c r="B2306" s="14" t="inlineStr">
        <is>
          <t>rtx</t>
        </is>
      </c>
      <c r="C2306" s="14" t="inlineStr">
        <is>
          <t>nga</t>
        </is>
      </c>
      <c r="D2306" s="14" t="inlineStr">
        <is>
          <t>ftr</t>
        </is>
      </c>
      <c r="E2306" s="14" t="inlineStr">
        <is>
          <t>REVENUE</t>
        </is>
      </c>
      <c r="F2306" s="92" t="inlineStr">
        <is>
          <t>REVENUE(AE2878,Settings!$C$13,INDEX(AE$407:AE$418,$D2896)+INDEX(AE$394:AE$405,$D2896)+AE2851*(1+$E2896))</t>
        </is>
      </c>
    </row>
    <row r="2307">
      <c r="A2307" s="14" t="n">
        <v>2897</v>
      </c>
      <c r="B2307" s="14" t="inlineStr">
        <is>
          <t>rtx</t>
        </is>
      </c>
      <c r="C2307" s="14" t="inlineStr">
        <is>
          <t>gso</t>
        </is>
      </c>
      <c r="D2307" s="14" t="inlineStr">
        <is>
          <t>ftr</t>
        </is>
      </c>
      <c r="E2307" s="14" t="inlineStr">
        <is>
          <t>REVENUE</t>
        </is>
      </c>
      <c r="F2307" s="92" t="inlineStr">
        <is>
          <t>REVENUE(AE2879,Settings!$C$13,INDEX(AE$407:AE$418,$D2897)+INDEX(AE$394:AE$405,$D2897)+AE2852*(1+$E2897))</t>
        </is>
      </c>
    </row>
    <row r="2308">
      <c r="A2308" s="14" t="n">
        <v>2898</v>
      </c>
      <c r="B2308" s="14" t="inlineStr">
        <is>
          <t>rtx</t>
        </is>
      </c>
      <c r="C2308" s="14" t="inlineStr">
        <is>
          <t>die</t>
        </is>
      </c>
      <c r="D2308" s="14" t="inlineStr">
        <is>
          <t>ftr</t>
        </is>
      </c>
      <c r="E2308" s="14" t="inlineStr">
        <is>
          <t>REVENUE</t>
        </is>
      </c>
      <c r="F2308" s="92" t="inlineStr">
        <is>
          <t>REVENUE(AE2880,Settings!$C$13,INDEX(AE$407:AE$418,$D2898)+INDEX(AE$394:AE$405,$D2898)+AE2853*(1+$E2898))</t>
        </is>
      </c>
    </row>
    <row r="2309">
      <c r="A2309" s="14" t="n">
        <v>2899</v>
      </c>
      <c r="B2309" s="14" t="inlineStr">
        <is>
          <t>rtx</t>
        </is>
      </c>
      <c r="C2309" s="14" t="inlineStr">
        <is>
          <t>lpg</t>
        </is>
      </c>
      <c r="D2309" s="14" t="inlineStr">
        <is>
          <t>ftr</t>
        </is>
      </c>
      <c r="E2309" s="14" t="inlineStr">
        <is>
          <t>REVENUE</t>
        </is>
      </c>
      <c r="F2309" s="92" t="inlineStr">
        <is>
          <t>REVENUE(AE2881,Settings!$C$13,INDEX(AE$407:AE$418,$D2899)+INDEX(AE$394:AE$405,$D2899)+AE2854*(1+$E2899))</t>
        </is>
      </c>
    </row>
    <row r="2310">
      <c r="A2310" s="14" t="n">
        <v>2900</v>
      </c>
      <c r="B2310" s="14" t="inlineStr">
        <is>
          <t>rtx</t>
        </is>
      </c>
      <c r="C2310" s="14" t="inlineStr">
        <is>
          <t>ker</t>
        </is>
      </c>
      <c r="D2310" s="14" t="inlineStr">
        <is>
          <t>ftr</t>
        </is>
      </c>
      <c r="E2310" s="14" t="inlineStr">
        <is>
          <t>REVENUE</t>
        </is>
      </c>
      <c r="F2310" s="92" t="inlineStr">
        <is>
          <t>REVENUE(AE2882,Settings!$C$13,INDEX(AE$407:AE$418,$D2900)+INDEX(AE$394:AE$405,$D2900)+AE2855*(1+$E2900))</t>
        </is>
      </c>
    </row>
    <row r="2311">
      <c r="A2311" s="14" t="n">
        <v>2901</v>
      </c>
      <c r="B2311" s="14" t="inlineStr">
        <is>
          <t>rtx</t>
        </is>
      </c>
      <c r="C2311" s="14" t="inlineStr">
        <is>
          <t>oop</t>
        </is>
      </c>
      <c r="D2311" s="14" t="inlineStr">
        <is>
          <t>ftr</t>
        </is>
      </c>
      <c r="E2311" s="14" t="inlineStr">
        <is>
          <t>REVENUE</t>
        </is>
      </c>
      <c r="F2311" s="92" t="inlineStr">
        <is>
          <t>REVENUE(AE2883,Settings!$C$13,INDEX(AE$407:AE$418,$D2901)+INDEX(AE$394:AE$405,$D2901)+AE2856*(1+$E2901))</t>
        </is>
      </c>
    </row>
    <row r="2312">
      <c r="A2312" s="14" t="n">
        <v>2902</v>
      </c>
      <c r="B2312" s="14" t="inlineStr">
        <is>
          <t>rtx</t>
        </is>
      </c>
      <c r="C2312" s="14" t="inlineStr">
        <is>
          <t>bio</t>
        </is>
      </c>
      <c r="D2312" s="14" t="inlineStr">
        <is>
          <t>ftr</t>
        </is>
      </c>
      <c r="E2312" s="14" t="inlineStr">
        <is>
          <t>REVENUE</t>
        </is>
      </c>
      <c r="F2312" s="92" t="inlineStr">
        <is>
          <t>REVENUE(AE2884,Settings!$C$13,INDEX(AE$407:AE$418,$D2902)+INDEX(AE$394:AE$405,$D2902)+AE2857*(1+$E2902))</t>
        </is>
      </c>
    </row>
    <row r="2313">
      <c r="A2313" s="14" t="n">
        <v>2904</v>
      </c>
      <c r="B2313" s="14" t="inlineStr">
        <is>
          <t>rsub</t>
        </is>
      </c>
      <c r="C2313" s="14" t="inlineStr">
        <is>
          <t>coa</t>
        </is>
      </c>
      <c r="D2313" s="14" t="inlineStr">
        <is>
          <t>ftr</t>
        </is>
      </c>
      <c r="E2313" s="14" t="inlineStr">
        <is>
          <t>REVENUE</t>
        </is>
      </c>
      <c r="F2313" s="92" t="inlineStr">
        <is>
          <t>REVENUE(AE2877,Settings!$C$13,INDEX(AE$420:AE$431,$D2904))</t>
        </is>
      </c>
    </row>
    <row r="2314">
      <c r="A2314" s="14" t="n">
        <v>2905</v>
      </c>
      <c r="B2314" s="14" t="inlineStr">
        <is>
          <t>rsub</t>
        </is>
      </c>
      <c r="C2314" s="14" t="inlineStr">
        <is>
          <t>nga</t>
        </is>
      </c>
      <c r="D2314" s="14" t="inlineStr">
        <is>
          <t>ftr</t>
        </is>
      </c>
      <c r="E2314" s="14" t="inlineStr">
        <is>
          <t>REVENUE</t>
        </is>
      </c>
      <c r="F2314" s="92" t="inlineStr">
        <is>
          <t>REVENUE(AE2878,Settings!$C$13,INDEX(AE$420:AE$431,$D2905))</t>
        </is>
      </c>
    </row>
    <row r="2315">
      <c r="A2315" s="14" t="n">
        <v>2906</v>
      </c>
      <c r="B2315" s="14" t="inlineStr">
        <is>
          <t>rsub</t>
        </is>
      </c>
      <c r="C2315" s="14" t="inlineStr">
        <is>
          <t>gso</t>
        </is>
      </c>
      <c r="D2315" s="14" t="inlineStr">
        <is>
          <t>ftr</t>
        </is>
      </c>
      <c r="E2315" s="14" t="inlineStr">
        <is>
          <t>REVENUE</t>
        </is>
      </c>
      <c r="F2315" s="92" t="inlineStr">
        <is>
          <t>REVENUE(AE2879,Settings!$C$13,INDEX(AE$420:AE$431,$D2906))</t>
        </is>
      </c>
    </row>
    <row r="2316">
      <c r="A2316" s="14" t="n">
        <v>2907</v>
      </c>
      <c r="B2316" s="14" t="inlineStr">
        <is>
          <t>rsub</t>
        </is>
      </c>
      <c r="C2316" s="14" t="inlineStr">
        <is>
          <t>die</t>
        </is>
      </c>
      <c r="D2316" s="14" t="inlineStr">
        <is>
          <t>ftr</t>
        </is>
      </c>
      <c r="E2316" s="14" t="inlineStr">
        <is>
          <t>REVENUE</t>
        </is>
      </c>
      <c r="F2316" s="92" t="inlineStr">
        <is>
          <t>REVENUE(AE2880,Settings!$C$13,INDEX(AE$420:AE$431,$D2907))</t>
        </is>
      </c>
    </row>
    <row r="2317">
      <c r="A2317" s="14" t="n">
        <v>2908</v>
      </c>
      <c r="B2317" s="14" t="inlineStr">
        <is>
          <t>rsub</t>
        </is>
      </c>
      <c r="C2317" s="14" t="inlineStr">
        <is>
          <t>lpg</t>
        </is>
      </c>
      <c r="D2317" s="14" t="inlineStr">
        <is>
          <t>ftr</t>
        </is>
      </c>
      <c r="E2317" s="14" t="inlineStr">
        <is>
          <t>REVENUE</t>
        </is>
      </c>
      <c r="F2317" s="92" t="inlineStr">
        <is>
          <t>REVENUE(AE2881,Settings!$C$13,INDEX(AE$420:AE$431,$D2908))</t>
        </is>
      </c>
    </row>
    <row r="2318">
      <c r="A2318" s="14" t="n">
        <v>2909</v>
      </c>
      <c r="B2318" s="14" t="inlineStr">
        <is>
          <t>rsub</t>
        </is>
      </c>
      <c r="C2318" s="14" t="inlineStr">
        <is>
          <t>ker</t>
        </is>
      </c>
      <c r="D2318" s="14" t="inlineStr">
        <is>
          <t>ftr</t>
        </is>
      </c>
      <c r="E2318" s="14" t="inlineStr">
        <is>
          <t>REVENUE</t>
        </is>
      </c>
      <c r="F2318" s="92" t="inlineStr">
        <is>
          <t>REVENUE(AE2882,Settings!$C$13,INDEX(AE$420:AE$431,$D2909))</t>
        </is>
      </c>
    </row>
    <row r="2319">
      <c r="A2319" s="14" t="n">
        <v>2910</v>
      </c>
      <c r="B2319" s="14" t="inlineStr">
        <is>
          <t>rsub</t>
        </is>
      </c>
      <c r="C2319" s="14" t="inlineStr">
        <is>
          <t>oop</t>
        </is>
      </c>
      <c r="D2319" s="14" t="inlineStr">
        <is>
          <t>ftr</t>
        </is>
      </c>
      <c r="E2319" s="14" t="inlineStr">
        <is>
          <t>REVENUE</t>
        </is>
      </c>
      <c r="F2319" s="92" t="inlineStr">
        <is>
          <t>REVENUE(AE2883,Settings!$C$13,INDEX(AE$420:AE$431,$D2910))</t>
        </is>
      </c>
    </row>
    <row r="2320">
      <c r="A2320" s="14" t="n">
        <v>2911</v>
      </c>
      <c r="B2320" s="14" t="inlineStr">
        <is>
          <t>rsub</t>
        </is>
      </c>
      <c r="C2320" s="14" t="inlineStr">
        <is>
          <t>bio</t>
        </is>
      </c>
      <c r="D2320" s="14" t="inlineStr">
        <is>
          <t>ftr</t>
        </is>
      </c>
      <c r="E2320" s="14" t="inlineStr">
        <is>
          <t>REVENUE</t>
        </is>
      </c>
      <c r="F2320" s="92" t="inlineStr">
        <is>
          <t>REVENUE(AE2884,Settings!$C$13,INDEX(AE$420:AE$431,$D2911))</t>
        </is>
      </c>
    </row>
    <row r="2321">
      <c r="A2321" s="14" t="n">
        <v>2913</v>
      </c>
      <c r="B2321" s="14" t="inlineStr">
        <is>
          <t>rnew</t>
        </is>
      </c>
      <c r="C2321" s="14" t="inlineStr">
        <is>
          <t>coa</t>
        </is>
      </c>
      <c r="D2321" s="14" t="inlineStr">
        <is>
          <t>ftr</t>
        </is>
      </c>
      <c r="E2321" s="14" t="inlineStr">
        <is>
          <t>REVENUE</t>
        </is>
      </c>
      <c r="F2321" s="92" t="inlineStr">
        <is>
          <t>REVENUE(AE2877,Settings!$C$13,NEWREVRATE(AE2805,AE2823,AE2814,AE$201,AE2832,$D2913))</t>
        </is>
      </c>
    </row>
    <row r="2322">
      <c r="A2322" s="14" t="n">
        <v>2914</v>
      </c>
      <c r="B2322" s="14" t="inlineStr">
        <is>
          <t>rnew</t>
        </is>
      </c>
      <c r="C2322" s="14" t="inlineStr">
        <is>
          <t>nga</t>
        </is>
      </c>
      <c r="D2322" s="14" t="inlineStr">
        <is>
          <t>ftr</t>
        </is>
      </c>
      <c r="E2322" s="14" t="inlineStr">
        <is>
          <t>REVENUE</t>
        </is>
      </c>
      <c r="F2322" s="92" t="inlineStr">
        <is>
          <t>REVENUE(AE2878,Settings!$C$13,NEWREVRATE(AE2806,AE2824,AE2815,AE$201,AE2833,$D2914))</t>
        </is>
      </c>
    </row>
    <row r="2323">
      <c r="A2323" s="14" t="n">
        <v>2915</v>
      </c>
      <c r="B2323" s="14" t="inlineStr">
        <is>
          <t>rnew</t>
        </is>
      </c>
      <c r="C2323" s="14" t="inlineStr">
        <is>
          <t>gso</t>
        </is>
      </c>
      <c r="D2323" s="14" t="inlineStr">
        <is>
          <t>ftr</t>
        </is>
      </c>
      <c r="E2323" s="14" t="inlineStr">
        <is>
          <t>REVENUE</t>
        </is>
      </c>
      <c r="F2323" s="92" t="inlineStr">
        <is>
          <t>REVENUE(AE2879,Settings!$C$13,NEWREVRATE(AE2807,AE2825,AE2816,AE$201,AE2834,$D2915))</t>
        </is>
      </c>
    </row>
    <row r="2324">
      <c r="A2324" s="14" t="n">
        <v>2916</v>
      </c>
      <c r="B2324" s="14" t="inlineStr">
        <is>
          <t>rnew</t>
        </is>
      </c>
      <c r="C2324" s="14" t="inlineStr">
        <is>
          <t>die</t>
        </is>
      </c>
      <c r="D2324" s="14" t="inlineStr">
        <is>
          <t>ftr</t>
        </is>
      </c>
      <c r="E2324" s="14" t="inlineStr">
        <is>
          <t>REVENUE</t>
        </is>
      </c>
      <c r="F2324" s="92" t="inlineStr">
        <is>
          <t>REVENUE(AE2880,Settings!$C$13,NEWREVRATE(AE2808,AE2826,AE2817,AE$201,AE2835,$D2916))</t>
        </is>
      </c>
    </row>
    <row r="2325">
      <c r="A2325" s="14" t="n">
        <v>2917</v>
      </c>
      <c r="B2325" s="14" t="inlineStr">
        <is>
          <t>rnew</t>
        </is>
      </c>
      <c r="C2325" s="14" t="inlineStr">
        <is>
          <t>lpg</t>
        </is>
      </c>
      <c r="D2325" s="14" t="inlineStr">
        <is>
          <t>ftr</t>
        </is>
      </c>
      <c r="E2325" s="14" t="inlineStr">
        <is>
          <t>REVENUE</t>
        </is>
      </c>
      <c r="F2325" s="92" t="inlineStr">
        <is>
          <t>REVENUE(AE2881,Settings!$C$13,NEWREVRATE(AE2809,AE2827,AE2818,AE$201,AE2836,$D2917))</t>
        </is>
      </c>
    </row>
    <row r="2326">
      <c r="A2326" s="14" t="n">
        <v>2918</v>
      </c>
      <c r="B2326" s="14" t="inlineStr">
        <is>
          <t>rnew</t>
        </is>
      </c>
      <c r="C2326" s="14" t="inlineStr">
        <is>
          <t>ker</t>
        </is>
      </c>
      <c r="D2326" s="14" t="inlineStr">
        <is>
          <t>ftr</t>
        </is>
      </c>
      <c r="E2326" s="14" t="inlineStr">
        <is>
          <t>REVENUE</t>
        </is>
      </c>
      <c r="F2326" s="92" t="inlineStr">
        <is>
          <t>REVENUE(AE2882,Settings!$C$13,NEWREVRATE(AE2810,AE2828,AE2819,AE$201,AE2837,$D2918))</t>
        </is>
      </c>
    </row>
    <row r="2327">
      <c r="A2327" s="14" t="n">
        <v>2919</v>
      </c>
      <c r="B2327" s="14" t="inlineStr">
        <is>
          <t>rnew</t>
        </is>
      </c>
      <c r="C2327" s="14" t="inlineStr">
        <is>
          <t>oop</t>
        </is>
      </c>
      <c r="D2327" s="14" t="inlineStr">
        <is>
          <t>ftr</t>
        </is>
      </c>
      <c r="E2327" s="14" t="inlineStr">
        <is>
          <t>REVENUE</t>
        </is>
      </c>
      <c r="F2327" s="92" t="inlineStr">
        <is>
          <t>REVENUE(AE2883,Settings!$C$13,NEWREVRATE(AE2811,AE2829,AE2820,AE$201,AE2838,$D2919))</t>
        </is>
      </c>
    </row>
    <row r="2328">
      <c r="A2328" s="14" t="n">
        <v>2920</v>
      </c>
      <c r="B2328" s="14" t="inlineStr">
        <is>
          <t>rnew</t>
        </is>
      </c>
      <c r="C2328" s="14" t="inlineStr">
        <is>
          <t>bio</t>
        </is>
      </c>
      <c r="D2328" s="14" t="inlineStr">
        <is>
          <t>ftr</t>
        </is>
      </c>
      <c r="E2328" s="14" t="inlineStr">
        <is>
          <t>REVENUE</t>
        </is>
      </c>
      <c r="F2328" s="92" t="inlineStr">
        <is>
          <t>REVENUE(AE2884,Settings!$C$13,NEWREVRATE(AE2812,AE2830,AE2821,AE$201,AE2839,$D2920))</t>
        </is>
      </c>
    </row>
    <row r="2329">
      <c r="A2329" s="14" t="n">
        <v>2922</v>
      </c>
      <c r="B2329" s="14" t="inlineStr">
        <is>
          <t>rxcp</t>
        </is>
      </c>
      <c r="C2329" s="14" t="inlineStr">
        <is>
          <t>coa</t>
        </is>
      </c>
      <c r="D2329" s="14" t="inlineStr">
        <is>
          <t>ftr</t>
        </is>
      </c>
      <c r="E2329" s="14" t="inlineStr">
        <is>
          <t>REVENUE</t>
        </is>
      </c>
      <c r="F2329" s="92" t="inlineStr">
        <is>
          <t>REVENUE(AE2877,Settings!$C$13,AE2841)</t>
        </is>
      </c>
    </row>
    <row r="2330">
      <c r="A2330" s="14" t="n">
        <v>2923</v>
      </c>
      <c r="B2330" s="14" t="inlineStr">
        <is>
          <t>rxcp</t>
        </is>
      </c>
      <c r="C2330" s="14" t="inlineStr">
        <is>
          <t>nga</t>
        </is>
      </c>
      <c r="D2330" s="14" t="inlineStr">
        <is>
          <t>ftr</t>
        </is>
      </c>
      <c r="E2330" s="14" t="inlineStr">
        <is>
          <t>REVENUE</t>
        </is>
      </c>
      <c r="F2330" s="92" t="inlineStr">
        <is>
          <t>REVENUE(AE2878,Settings!$C$13,AE2842)</t>
        </is>
      </c>
    </row>
    <row r="2331">
      <c r="A2331" s="14" t="n">
        <v>2924</v>
      </c>
      <c r="B2331" s="14" t="inlineStr">
        <is>
          <t>rxcp</t>
        </is>
      </c>
      <c r="C2331" s="14" t="inlineStr">
        <is>
          <t>gso</t>
        </is>
      </c>
      <c r="D2331" s="14" t="inlineStr">
        <is>
          <t>ftr</t>
        </is>
      </c>
      <c r="E2331" s="14" t="inlineStr">
        <is>
          <t>REVENUE</t>
        </is>
      </c>
      <c r="F2331" s="92" t="inlineStr">
        <is>
          <t>REVENUE(AE2879,Settings!$C$13,AE2843)</t>
        </is>
      </c>
    </row>
    <row r="2332">
      <c r="A2332" s="14" t="n">
        <v>2925</v>
      </c>
      <c r="B2332" s="14" t="inlineStr">
        <is>
          <t>rxcp</t>
        </is>
      </c>
      <c r="C2332" s="14" t="inlineStr">
        <is>
          <t>die</t>
        </is>
      </c>
      <c r="D2332" s="14" t="inlineStr">
        <is>
          <t>ftr</t>
        </is>
      </c>
      <c r="E2332" s="14" t="inlineStr">
        <is>
          <t>REVENUE</t>
        </is>
      </c>
      <c r="F2332" s="92" t="inlineStr">
        <is>
          <t>REVENUE(AE2880,Settings!$C$13,AE2844)</t>
        </is>
      </c>
    </row>
    <row r="2333">
      <c r="A2333" s="14" t="n">
        <v>2926</v>
      </c>
      <c r="B2333" s="14" t="inlineStr">
        <is>
          <t>rxcp</t>
        </is>
      </c>
      <c r="C2333" s="14" t="inlineStr">
        <is>
          <t>lpg</t>
        </is>
      </c>
      <c r="D2333" s="14" t="inlineStr">
        <is>
          <t>ftr</t>
        </is>
      </c>
      <c r="E2333" s="14" t="inlineStr">
        <is>
          <t>REVENUE</t>
        </is>
      </c>
      <c r="F2333" s="92" t="inlineStr">
        <is>
          <t>REVENUE(AE2881,Settings!$C$13,AE2845)</t>
        </is>
      </c>
    </row>
    <row r="2334">
      <c r="A2334" s="14" t="n">
        <v>2927</v>
      </c>
      <c r="B2334" s="14" t="inlineStr">
        <is>
          <t>rxcp</t>
        </is>
      </c>
      <c r="C2334" s="14" t="inlineStr">
        <is>
          <t>ker</t>
        </is>
      </c>
      <c r="D2334" s="14" t="inlineStr">
        <is>
          <t>ftr</t>
        </is>
      </c>
      <c r="E2334" s="14" t="inlineStr">
        <is>
          <t>REVENUE</t>
        </is>
      </c>
      <c r="F2334" s="92" t="inlineStr">
        <is>
          <t>REVENUE(AE2882,Settings!$C$13,AE2846)</t>
        </is>
      </c>
    </row>
    <row r="2335">
      <c r="A2335" s="14" t="n">
        <v>2928</v>
      </c>
      <c r="B2335" s="14" t="inlineStr">
        <is>
          <t>rxcp</t>
        </is>
      </c>
      <c r="C2335" s="14" t="inlineStr">
        <is>
          <t>oop</t>
        </is>
      </c>
      <c r="D2335" s="14" t="inlineStr">
        <is>
          <t>ftr</t>
        </is>
      </c>
      <c r="E2335" s="14" t="inlineStr">
        <is>
          <t>REVENUE</t>
        </is>
      </c>
      <c r="F2335" s="92" t="inlineStr">
        <is>
          <t>REVENUE(AE2883,Settings!$C$13,AE2847)</t>
        </is>
      </c>
    </row>
    <row r="2336">
      <c r="A2336" s="14" t="n">
        <v>2929</v>
      </c>
      <c r="B2336" s="14" t="inlineStr">
        <is>
          <t>rxcp</t>
        </is>
      </c>
      <c r="C2336" s="14" t="inlineStr">
        <is>
          <t>bio</t>
        </is>
      </c>
      <c r="D2336" s="14" t="inlineStr">
        <is>
          <t>ftr</t>
        </is>
      </c>
      <c r="E2336" s="14" t="inlineStr">
        <is>
          <t>REVENUE</t>
        </is>
      </c>
      <c r="F2336" s="92" t="inlineStr">
        <is>
          <t>REVENUE(AE2884,Settings!$C$13,AE2848)</t>
        </is>
      </c>
    </row>
    <row r="2337">
      <c r="A2337" s="14" t="n">
        <v>2936</v>
      </c>
      <c r="B2337" s="14" t="inlineStr">
        <is>
          <t>ctxnew</t>
        </is>
      </c>
      <c r="C2337" s="14" t="inlineStr">
        <is>
          <t>coa</t>
        </is>
      </c>
      <c r="D2337" s="14" t="inlineStr">
        <is>
          <t>oen</t>
        </is>
      </c>
      <c r="E2337" s="14" t="inlineStr">
        <is>
          <t>CARBONTAX</t>
        </is>
      </c>
      <c r="F2337" s="92" t="inlineStr">
        <is>
          <t>CARBONTAX(INDEX(AE$263:AE$279,$F2936),$D2936,INDEX(AE$23:AE$30,$E2936))</t>
        </is>
      </c>
    </row>
    <row r="2338">
      <c r="A2338" s="14" t="n">
        <v>2937</v>
      </c>
      <c r="B2338" s="14" t="inlineStr">
        <is>
          <t>ctxnew</t>
        </is>
      </c>
      <c r="C2338" s="14" t="inlineStr">
        <is>
          <t>nga</t>
        </is>
      </c>
      <c r="D2338" s="14" t="inlineStr">
        <is>
          <t>oen</t>
        </is>
      </c>
      <c r="E2338" s="14" t="inlineStr">
        <is>
          <t>CARBONTAX</t>
        </is>
      </c>
      <c r="F2338" s="92" t="inlineStr">
        <is>
          <t>CARBONTAX(INDEX(AE$263:AE$279,$F2937),$D2937,INDEX(AE$23:AE$30,$E2937))</t>
        </is>
      </c>
    </row>
    <row r="2339">
      <c r="A2339" s="14" t="n">
        <v>2938</v>
      </c>
      <c r="B2339" s="14" t="inlineStr">
        <is>
          <t>ctxnew</t>
        </is>
      </c>
      <c r="C2339" s="14" t="inlineStr">
        <is>
          <t>gso</t>
        </is>
      </c>
      <c r="D2339" s="14" t="inlineStr">
        <is>
          <t>oen</t>
        </is>
      </c>
      <c r="E2339" s="14" t="inlineStr">
        <is>
          <t>CARBONTAX</t>
        </is>
      </c>
      <c r="F2339" s="92" t="inlineStr">
        <is>
          <t>CARBONTAX(INDEX(AE$263:AE$279,$F2938),$D2938,INDEX(AE$23:AE$30,$E2938))</t>
        </is>
      </c>
    </row>
    <row r="2340">
      <c r="A2340" s="14" t="n">
        <v>2939</v>
      </c>
      <c r="B2340" s="14" t="inlineStr">
        <is>
          <t>ctxnew</t>
        </is>
      </c>
      <c r="C2340" s="14" t="inlineStr">
        <is>
          <t>die</t>
        </is>
      </c>
      <c r="D2340" s="14" t="inlineStr">
        <is>
          <t>oen</t>
        </is>
      </c>
      <c r="E2340" s="14" t="inlineStr">
        <is>
          <t>CARBONTAX</t>
        </is>
      </c>
      <c r="F2340" s="92" t="inlineStr">
        <is>
          <t>CARBONTAX(INDEX(AE$263:AE$279,$F2939),$D2939,INDEX(AE$23:AE$30,$E2939))</t>
        </is>
      </c>
    </row>
    <row r="2341">
      <c r="A2341" s="14" t="n">
        <v>2940</v>
      </c>
      <c r="B2341" s="14" t="inlineStr">
        <is>
          <t>ctxnew</t>
        </is>
      </c>
      <c r="C2341" s="14" t="inlineStr">
        <is>
          <t>lpg</t>
        </is>
      </c>
      <c r="D2341" s="14" t="inlineStr">
        <is>
          <t>oen</t>
        </is>
      </c>
      <c r="E2341" s="14" t="inlineStr">
        <is>
          <t>CARBONTAX</t>
        </is>
      </c>
      <c r="F2341" s="92" t="inlineStr">
        <is>
          <t>CARBONTAX(INDEX(AE$263:AE$279,$F2940),$D2940,INDEX(AE$23:AE$30,$E2940))</t>
        </is>
      </c>
    </row>
    <row r="2342">
      <c r="A2342" s="14" t="n">
        <v>2941</v>
      </c>
      <c r="B2342" s="14" t="inlineStr">
        <is>
          <t>ctxnew</t>
        </is>
      </c>
      <c r="C2342" s="14" t="inlineStr">
        <is>
          <t>ker</t>
        </is>
      </c>
      <c r="D2342" s="14" t="inlineStr">
        <is>
          <t>oen</t>
        </is>
      </c>
      <c r="E2342" s="14" t="inlineStr">
        <is>
          <t>CARBONTAX</t>
        </is>
      </c>
      <c r="F2342" s="92" t="inlineStr">
        <is>
          <t>CARBONTAX(INDEX(AE$263:AE$279,$F2941),$D2941,INDEX(AE$23:AE$30,$E2941))</t>
        </is>
      </c>
    </row>
    <row r="2343">
      <c r="A2343" s="14" t="n">
        <v>2942</v>
      </c>
      <c r="B2343" s="14" t="inlineStr">
        <is>
          <t>ctxnew</t>
        </is>
      </c>
      <c r="C2343" s="14" t="inlineStr">
        <is>
          <t>oop</t>
        </is>
      </c>
      <c r="D2343" s="14" t="inlineStr">
        <is>
          <t>oen</t>
        </is>
      </c>
      <c r="E2343" s="14" t="inlineStr">
        <is>
          <t>CARBONTAX</t>
        </is>
      </c>
      <c r="F2343" s="92" t="inlineStr">
        <is>
          <t>CARBONTAX(INDEX(AE$263:AE$279,$F2942),$D2942,INDEX(AE$23:AE$30,$E2942))</t>
        </is>
      </c>
    </row>
    <row r="2344">
      <c r="A2344" s="14" t="n">
        <v>2943</v>
      </c>
      <c r="B2344" s="14" t="inlineStr">
        <is>
          <t>ctxnew</t>
        </is>
      </c>
      <c r="C2344" s="14" t="inlineStr">
        <is>
          <t>bio</t>
        </is>
      </c>
      <c r="D2344" s="14" t="inlineStr">
        <is>
          <t>oen</t>
        </is>
      </c>
      <c r="E2344" s="14" t="inlineStr">
        <is>
          <t>CARBONTAX</t>
        </is>
      </c>
      <c r="F2344" s="92" t="inlineStr">
        <is>
          <t>CARBONTAX(INDEX(AE$263:AE$279,$F2943),$D2943,INDEX(AE$23:AE$30,$E2943))</t>
        </is>
      </c>
    </row>
    <row r="2345">
      <c r="A2345" s="14" t="n">
        <v>2945</v>
      </c>
      <c r="B2345" s="14" t="inlineStr">
        <is>
          <t>ets</t>
        </is>
      </c>
      <c r="C2345" s="14" t="inlineStr">
        <is>
          <t>coa</t>
        </is>
      </c>
      <c r="D2345" s="14" t="inlineStr">
        <is>
          <t>oen</t>
        </is>
      </c>
      <c r="E2345" s="14" t="inlineStr">
        <is>
          <t>ETSCOST</t>
        </is>
      </c>
      <c r="F2345" s="92" t="inlineStr">
        <is>
          <t>ETSCOST(INDEX(AE$280:AE$296,$E2945),$D2945)</t>
        </is>
      </c>
    </row>
    <row r="2346">
      <c r="A2346" s="14" t="n">
        <v>2946</v>
      </c>
      <c r="B2346" s="14" t="inlineStr">
        <is>
          <t>ets</t>
        </is>
      </c>
      <c r="C2346" s="14" t="inlineStr">
        <is>
          <t>nga</t>
        </is>
      </c>
      <c r="D2346" s="14" t="inlineStr">
        <is>
          <t>oen</t>
        </is>
      </c>
      <c r="E2346" s="14" t="inlineStr">
        <is>
          <t>ETSCOST</t>
        </is>
      </c>
      <c r="F2346" s="92" t="inlineStr">
        <is>
          <t>ETSCOST(INDEX(AE$280:AE$296,$E2946),$D2946)</t>
        </is>
      </c>
    </row>
    <row r="2347">
      <c r="A2347" s="14" t="n">
        <v>2947</v>
      </c>
      <c r="B2347" s="14" t="inlineStr">
        <is>
          <t>ets</t>
        </is>
      </c>
      <c r="C2347" s="14" t="inlineStr">
        <is>
          <t>gso</t>
        </is>
      </c>
      <c r="D2347" s="14" t="inlineStr">
        <is>
          <t>oen</t>
        </is>
      </c>
      <c r="E2347" s="14" t="inlineStr">
        <is>
          <t>ETSCOST</t>
        </is>
      </c>
      <c r="F2347" s="92" t="inlineStr">
        <is>
          <t>ETSCOST(INDEX(AE$280:AE$296,$E2947),$D2947)</t>
        </is>
      </c>
    </row>
    <row r="2348">
      <c r="A2348" s="14" t="n">
        <v>2948</v>
      </c>
      <c r="B2348" s="14" t="inlineStr">
        <is>
          <t>ets</t>
        </is>
      </c>
      <c r="C2348" s="14" t="inlineStr">
        <is>
          <t>die</t>
        </is>
      </c>
      <c r="D2348" s="14" t="inlineStr">
        <is>
          <t>oen</t>
        </is>
      </c>
      <c r="E2348" s="14" t="inlineStr">
        <is>
          <t>ETSCOST</t>
        </is>
      </c>
      <c r="F2348" s="92" t="inlineStr">
        <is>
          <t>ETSCOST(INDEX(AE$280:AE$296,$E2948),$D2948)</t>
        </is>
      </c>
    </row>
    <row r="2349">
      <c r="A2349" s="14" t="n">
        <v>2949</v>
      </c>
      <c r="B2349" s="14" t="inlineStr">
        <is>
          <t>ets</t>
        </is>
      </c>
      <c r="C2349" s="14" t="inlineStr">
        <is>
          <t>lpg</t>
        </is>
      </c>
      <c r="D2349" s="14" t="inlineStr">
        <is>
          <t>oen</t>
        </is>
      </c>
      <c r="E2349" s="14" t="inlineStr">
        <is>
          <t>ETSCOST</t>
        </is>
      </c>
      <c r="F2349" s="92" t="inlineStr">
        <is>
          <t>ETSCOST(INDEX(AE$280:AE$296,$E2949),$D2949)</t>
        </is>
      </c>
    </row>
    <row r="2350">
      <c r="A2350" s="14" t="n">
        <v>2950</v>
      </c>
      <c r="B2350" s="14" t="inlineStr">
        <is>
          <t>ets</t>
        </is>
      </c>
      <c r="C2350" s="14" t="inlineStr">
        <is>
          <t>ker</t>
        </is>
      </c>
      <c r="D2350" s="14" t="inlineStr">
        <is>
          <t>oen</t>
        </is>
      </c>
      <c r="E2350" s="14" t="inlineStr">
        <is>
          <t>ETSCOST</t>
        </is>
      </c>
      <c r="F2350" s="92" t="inlineStr">
        <is>
          <t>ETSCOST(INDEX(AE$280:AE$296,$E2950),$D2950)</t>
        </is>
      </c>
    </row>
    <row r="2351">
      <c r="A2351" s="14" t="n">
        <v>2951</v>
      </c>
      <c r="B2351" s="14" t="inlineStr">
        <is>
          <t>ets</t>
        </is>
      </c>
      <c r="C2351" s="14" t="inlineStr">
        <is>
          <t>oop</t>
        </is>
      </c>
      <c r="D2351" s="14" t="inlineStr">
        <is>
          <t>oen</t>
        </is>
      </c>
      <c r="E2351" s="14" t="inlineStr">
        <is>
          <t>ETSCOST</t>
        </is>
      </c>
      <c r="F2351" s="92" t="inlineStr">
        <is>
          <t>ETSCOST(INDEX(AE$280:AE$296,$E2951),$D2951)</t>
        </is>
      </c>
    </row>
    <row r="2352">
      <c r="A2352" s="14" t="n">
        <v>2952</v>
      </c>
      <c r="B2352" s="14" t="inlineStr">
        <is>
          <t>ets</t>
        </is>
      </c>
      <c r="C2352" s="14" t="inlineStr">
        <is>
          <t>bio</t>
        </is>
      </c>
      <c r="D2352" s="14" t="inlineStr">
        <is>
          <t>oen</t>
        </is>
      </c>
      <c r="E2352" s="14" t="inlineStr">
        <is>
          <t>ETSCOST</t>
        </is>
      </c>
      <c r="F2352" s="92" t="inlineStr">
        <is>
          <t>ETSCOST(INDEX(AE$280:AE$296,$E2952),$D2952)</t>
        </is>
      </c>
    </row>
    <row r="2353">
      <c r="A2353" s="14" t="n">
        <v>2954</v>
      </c>
      <c r="B2353" s="14" t="inlineStr">
        <is>
          <t>ntx</t>
        </is>
      </c>
      <c r="C2353" s="14" t="inlineStr">
        <is>
          <t>coa</t>
        </is>
      </c>
      <c r="D2353" s="14" t="inlineStr">
        <is>
          <t>oen</t>
        </is>
      </c>
      <c r="E2353" s="14" t="inlineStr">
        <is>
          <t>NEWEXCISE</t>
        </is>
      </c>
      <c r="F2353" s="92" t="inlineStr">
        <is>
          <t>NEWEXCISE(INDEX(AE$80:AE$93,$D2954),$E2954)</t>
        </is>
      </c>
    </row>
    <row r="2354">
      <c r="A2354" s="14" t="n">
        <v>2955</v>
      </c>
      <c r="B2354" s="14" t="inlineStr">
        <is>
          <t>ntx</t>
        </is>
      </c>
      <c r="C2354" s="14" t="inlineStr">
        <is>
          <t>nga</t>
        </is>
      </c>
      <c r="D2354" s="14" t="inlineStr">
        <is>
          <t>oen</t>
        </is>
      </c>
      <c r="E2354" s="14" t="inlineStr">
        <is>
          <t>NEWEXCISE</t>
        </is>
      </c>
      <c r="F2354" s="92" t="inlineStr">
        <is>
          <t>NEWEXCISE(INDEX(AE$80:AE$93,$D2955),$E2955)</t>
        </is>
      </c>
    </row>
    <row r="2355">
      <c r="A2355" s="14" t="n">
        <v>2956</v>
      </c>
      <c r="B2355" s="14" t="inlineStr">
        <is>
          <t>ntx</t>
        </is>
      </c>
      <c r="C2355" s="14" t="inlineStr">
        <is>
          <t>gso</t>
        </is>
      </c>
      <c r="D2355" s="14" t="inlineStr">
        <is>
          <t>oen</t>
        </is>
      </c>
      <c r="E2355" s="14" t="inlineStr">
        <is>
          <t>NEWEXCISE</t>
        </is>
      </c>
      <c r="F2355" s="92" t="inlineStr">
        <is>
          <t>NEWEXCISE(INDEX(AE$80:AE$93,$D2956),$E2956)</t>
        </is>
      </c>
    </row>
    <row r="2356">
      <c r="A2356" s="14" t="n">
        <v>2957</v>
      </c>
      <c r="B2356" s="14" t="inlineStr">
        <is>
          <t>ntx</t>
        </is>
      </c>
      <c r="C2356" s="14" t="inlineStr">
        <is>
          <t>die</t>
        </is>
      </c>
      <c r="D2356" s="14" t="inlineStr">
        <is>
          <t>oen</t>
        </is>
      </c>
      <c r="E2356" s="14" t="inlineStr">
        <is>
          <t>NEWEXCISE</t>
        </is>
      </c>
      <c r="F2356" s="92" t="inlineStr">
        <is>
          <t>NEWEXCISE(INDEX(AE$80:AE$93,$D2957),$E2957)</t>
        </is>
      </c>
    </row>
    <row r="2357">
      <c r="A2357" s="14" t="n">
        <v>2958</v>
      </c>
      <c r="B2357" s="14" t="inlineStr">
        <is>
          <t>ntx</t>
        </is>
      </c>
      <c r="C2357" s="14" t="inlineStr">
        <is>
          <t>lpg</t>
        </is>
      </c>
      <c r="D2357" s="14" t="inlineStr">
        <is>
          <t>oen</t>
        </is>
      </c>
      <c r="E2357" s="14" t="inlineStr">
        <is>
          <t>NEWEXCISE</t>
        </is>
      </c>
      <c r="F2357" s="92" t="inlineStr">
        <is>
          <t>NEWEXCISE(INDEX(AE$80:AE$93,$D2958),$E2958)</t>
        </is>
      </c>
    </row>
    <row r="2358">
      <c r="A2358" s="14" t="n">
        <v>2959</v>
      </c>
      <c r="B2358" s="14" t="inlineStr">
        <is>
          <t>ntx</t>
        </is>
      </c>
      <c r="C2358" s="14" t="inlineStr">
        <is>
          <t>ker</t>
        </is>
      </c>
      <c r="D2358" s="14" t="inlineStr">
        <is>
          <t>oen</t>
        </is>
      </c>
      <c r="E2358" s="14" t="inlineStr">
        <is>
          <t>NEWEXCISE</t>
        </is>
      </c>
      <c r="F2358" s="92" t="inlineStr">
        <is>
          <t>NEWEXCISE(INDEX(AE$80:AE$93,$D2959),$E2959)</t>
        </is>
      </c>
    </row>
    <row r="2359">
      <c r="A2359" s="14" t="n">
        <v>2960</v>
      </c>
      <c r="B2359" s="14" t="inlineStr">
        <is>
          <t>ntx</t>
        </is>
      </c>
      <c r="C2359" s="14" t="inlineStr">
        <is>
          <t>oop</t>
        </is>
      </c>
      <c r="D2359" s="14" t="inlineStr">
        <is>
          <t>oen</t>
        </is>
      </c>
      <c r="E2359" s="14" t="inlineStr">
        <is>
          <t>NEWEXCISE</t>
        </is>
      </c>
      <c r="F2359" s="92" t="inlineStr">
        <is>
          <t>NEWEXCISE(INDEX(AE$80:AE$93,$D2960),$E2960)</t>
        </is>
      </c>
    </row>
    <row r="2360">
      <c r="A2360" s="14" t="n">
        <v>2961</v>
      </c>
      <c r="B2360" s="14" t="inlineStr">
        <is>
          <t>ntx</t>
        </is>
      </c>
      <c r="C2360" s="14" t="inlineStr">
        <is>
          <t>bio</t>
        </is>
      </c>
      <c r="D2360" s="14" t="inlineStr">
        <is>
          <t>oen</t>
        </is>
      </c>
      <c r="E2360" s="14" t="inlineStr">
        <is>
          <t>NEWEXCISE</t>
        </is>
      </c>
      <c r="F2360" s="92" t="inlineStr">
        <is>
          <t>NEWEXCISE(INDEX(AE$80:AE$93,$D2961),$E2961)</t>
        </is>
      </c>
    </row>
    <row r="2361">
      <c r="A2361" s="14" t="n">
        <v>2963</v>
      </c>
      <c r="B2361" s="14" t="inlineStr">
        <is>
          <t>nce</t>
        </is>
      </c>
      <c r="C2361" s="14" t="inlineStr">
        <is>
          <t>coa</t>
        </is>
      </c>
      <c r="D2361" s="14" t="inlineStr">
        <is>
          <t>oen</t>
        </is>
      </c>
      <c r="E2361" s="14" t="inlineStr">
        <is>
          <t>NEWPOLICY</t>
        </is>
      </c>
      <c r="F2361" s="92" t="inlineStr">
        <is>
          <t>NEWPOLICY(AE2936,AE2945,AE2954)</t>
        </is>
      </c>
    </row>
    <row r="2362">
      <c r="A2362" s="14" t="n">
        <v>2964</v>
      </c>
      <c r="B2362" s="14" t="inlineStr">
        <is>
          <t>nce</t>
        </is>
      </c>
      <c r="C2362" s="14" t="inlineStr">
        <is>
          <t>nga</t>
        </is>
      </c>
      <c r="D2362" s="14" t="inlineStr">
        <is>
          <t>oen</t>
        </is>
      </c>
      <c r="E2362" s="14" t="inlineStr">
        <is>
          <t>NEWPOLICY</t>
        </is>
      </c>
      <c r="F2362" s="92" t="inlineStr">
        <is>
          <t>NEWPOLICY(AE2937,AE2946,AE2955)</t>
        </is>
      </c>
    </row>
    <row r="2363">
      <c r="A2363" s="14" t="n">
        <v>2965</v>
      </c>
      <c r="B2363" s="14" t="inlineStr">
        <is>
          <t>nce</t>
        </is>
      </c>
      <c r="C2363" s="14" t="inlineStr">
        <is>
          <t>gso</t>
        </is>
      </c>
      <c r="D2363" s="14" t="inlineStr">
        <is>
          <t>oen</t>
        </is>
      </c>
      <c r="E2363" s="14" t="inlineStr">
        <is>
          <t>NEWPOLICY</t>
        </is>
      </c>
      <c r="F2363" s="92" t="inlineStr">
        <is>
          <t>NEWPOLICY(AE2938,AE2947,AE2956)</t>
        </is>
      </c>
    </row>
    <row r="2364">
      <c r="A2364" s="14" t="n">
        <v>2966</v>
      </c>
      <c r="B2364" s="14" t="inlineStr">
        <is>
          <t>nce</t>
        </is>
      </c>
      <c r="C2364" s="14" t="inlineStr">
        <is>
          <t>die</t>
        </is>
      </c>
      <c r="D2364" s="14" t="inlineStr">
        <is>
          <t>oen</t>
        </is>
      </c>
      <c r="E2364" s="14" t="inlineStr">
        <is>
          <t>NEWPOLICY</t>
        </is>
      </c>
      <c r="F2364" s="92" t="inlineStr">
        <is>
          <t>NEWPOLICY(AE2939,AE2948,AE2957)</t>
        </is>
      </c>
    </row>
    <row r="2365">
      <c r="A2365" s="14" t="n">
        <v>2967</v>
      </c>
      <c r="B2365" s="14" t="inlineStr">
        <is>
          <t>nce</t>
        </is>
      </c>
      <c r="C2365" s="14" t="inlineStr">
        <is>
          <t>lpg</t>
        </is>
      </c>
      <c r="D2365" s="14" t="inlineStr">
        <is>
          <t>oen</t>
        </is>
      </c>
      <c r="E2365" s="14" t="inlineStr">
        <is>
          <t>NEWPOLICY</t>
        </is>
      </c>
      <c r="F2365" s="92" t="inlineStr">
        <is>
          <t>NEWPOLICY(AE2940,AE2949,AE2958)</t>
        </is>
      </c>
    </row>
    <row r="2366">
      <c r="A2366" s="14" t="n">
        <v>2968</v>
      </c>
      <c r="B2366" s="14" t="inlineStr">
        <is>
          <t>nce</t>
        </is>
      </c>
      <c r="C2366" s="14" t="inlineStr">
        <is>
          <t>ker</t>
        </is>
      </c>
      <c r="D2366" s="14" t="inlineStr">
        <is>
          <t>oen</t>
        </is>
      </c>
      <c r="E2366" s="14" t="inlineStr">
        <is>
          <t>NEWPOLICY</t>
        </is>
      </c>
      <c r="F2366" s="92" t="inlineStr">
        <is>
          <t>NEWPOLICY(AE2941,AE2950,AE2959)</t>
        </is>
      </c>
    </row>
    <row r="2367">
      <c r="A2367" s="14" t="n">
        <v>2969</v>
      </c>
      <c r="B2367" s="14" t="inlineStr">
        <is>
          <t>nce</t>
        </is>
      </c>
      <c r="C2367" s="14" t="inlineStr">
        <is>
          <t>oop</t>
        </is>
      </c>
      <c r="D2367" s="14" t="inlineStr">
        <is>
          <t>oen</t>
        </is>
      </c>
      <c r="E2367" s="14" t="inlineStr">
        <is>
          <t>NEWPOLICY</t>
        </is>
      </c>
      <c r="F2367" s="92" t="inlineStr">
        <is>
          <t>NEWPOLICY(AE2942,AE2951,AE2960)</t>
        </is>
      </c>
    </row>
    <row r="2368">
      <c r="A2368" s="14" t="n">
        <v>2970</v>
      </c>
      <c r="B2368" s="14" t="inlineStr">
        <is>
          <t>nce</t>
        </is>
      </c>
      <c r="C2368" s="14" t="inlineStr">
        <is>
          <t>bio</t>
        </is>
      </c>
      <c r="D2368" s="14" t="inlineStr">
        <is>
          <t>oen</t>
        </is>
      </c>
      <c r="E2368" s="14" t="inlineStr">
        <is>
          <t>NEWPOLICY</t>
        </is>
      </c>
      <c r="F2368" s="92" t="inlineStr">
        <is>
          <t>NEWPOLICY(AE2943,AE2952,AE2961)</t>
        </is>
      </c>
    </row>
    <row r="2369">
      <c r="A2369" s="14" t="n">
        <v>2972</v>
      </c>
      <c r="B2369" s="14" t="inlineStr">
        <is>
          <t>xcp</t>
        </is>
      </c>
      <c r="C2369" s="14" t="inlineStr">
        <is>
          <t>coa</t>
        </is>
      </c>
      <c r="D2369" s="14" t="inlineStr">
        <is>
          <t>oen</t>
        </is>
      </c>
      <c r="E2369" s="14" t="inlineStr">
        <is>
          <t>XCARBON</t>
        </is>
      </c>
      <c r="F2369" s="92" t="inlineStr">
        <is>
          <t>XCARBON($D2972,$E2972,AE$321,$F2972,AE$324)</t>
        </is>
      </c>
    </row>
    <row r="2370">
      <c r="A2370" s="14" t="n">
        <v>2973</v>
      </c>
      <c r="B2370" s="14" t="inlineStr">
        <is>
          <t>xcp</t>
        </is>
      </c>
      <c r="C2370" s="14" t="inlineStr">
        <is>
          <t>nga</t>
        </is>
      </c>
      <c r="D2370" s="14" t="inlineStr">
        <is>
          <t>oen</t>
        </is>
      </c>
      <c r="E2370" s="14" t="inlineStr">
        <is>
          <t>XCARBON</t>
        </is>
      </c>
      <c r="F2370" s="92" t="inlineStr">
        <is>
          <t>XCARBON($D2973,$E2973,AE$321,$F2973,AE$324)</t>
        </is>
      </c>
    </row>
    <row r="2371">
      <c r="A2371" s="14" t="n">
        <v>2974</v>
      </c>
      <c r="B2371" s="14" t="inlineStr">
        <is>
          <t>xcp</t>
        </is>
      </c>
      <c r="C2371" s="14" t="inlineStr">
        <is>
          <t>gso</t>
        </is>
      </c>
      <c r="D2371" s="14" t="inlineStr">
        <is>
          <t>oen</t>
        </is>
      </c>
      <c r="E2371" s="14" t="inlineStr">
        <is>
          <t>XCARBON</t>
        </is>
      </c>
      <c r="F2371" s="92" t="inlineStr">
        <is>
          <t>XCARBON($D2974,$E2974,AE$321,$F2974,AE$324)</t>
        </is>
      </c>
    </row>
    <row r="2372">
      <c r="A2372" s="14" t="n">
        <v>2975</v>
      </c>
      <c r="B2372" s="14" t="inlineStr">
        <is>
          <t>xcp</t>
        </is>
      </c>
      <c r="C2372" s="14" t="inlineStr">
        <is>
          <t>die</t>
        </is>
      </c>
      <c r="D2372" s="14" t="inlineStr">
        <is>
          <t>oen</t>
        </is>
      </c>
      <c r="E2372" s="14" t="inlineStr">
        <is>
          <t>XCARBON</t>
        </is>
      </c>
      <c r="F2372" s="92" t="inlineStr">
        <is>
          <t>XCARBON($D2975,$E2975,AE$321,$F2975,AE$324)</t>
        </is>
      </c>
    </row>
    <row r="2373">
      <c r="A2373" s="14" t="n">
        <v>2976</v>
      </c>
      <c r="B2373" s="14" t="inlineStr">
        <is>
          <t>xcp</t>
        </is>
      </c>
      <c r="C2373" s="14" t="inlineStr">
        <is>
          <t>lpg</t>
        </is>
      </c>
      <c r="D2373" s="14" t="inlineStr">
        <is>
          <t>oen</t>
        </is>
      </c>
      <c r="E2373" s="14" t="inlineStr">
        <is>
          <t>XCARBON</t>
        </is>
      </c>
      <c r="F2373" s="92" t="inlineStr">
        <is>
          <t>XCARBON($D2976,$E2976,AE$321,$F2976,AE$324)</t>
        </is>
      </c>
    </row>
    <row r="2374">
      <c r="A2374" s="14" t="n">
        <v>2977</v>
      </c>
      <c r="B2374" s="14" t="inlineStr">
        <is>
          <t>xcp</t>
        </is>
      </c>
      <c r="C2374" s="14" t="inlineStr">
        <is>
          <t>ker</t>
        </is>
      </c>
      <c r="D2374" s="14" t="inlineStr">
        <is>
          <t>oen</t>
        </is>
      </c>
      <c r="E2374" s="14" t="inlineStr">
        <is>
          <t>XCARBON</t>
        </is>
      </c>
      <c r="F2374" s="92" t="inlineStr">
        <is>
          <t>XCARBON($D2977,$E2977,AE$321,$F2977,AE$324)</t>
        </is>
      </c>
    </row>
    <row r="2375">
      <c r="A2375" s="14" t="n">
        <v>2978</v>
      </c>
      <c r="B2375" s="14" t="inlineStr">
        <is>
          <t>xcp</t>
        </is>
      </c>
      <c r="C2375" s="14" t="inlineStr">
        <is>
          <t>oop</t>
        </is>
      </c>
      <c r="D2375" s="14" t="inlineStr">
        <is>
          <t>oen</t>
        </is>
      </c>
      <c r="E2375" s="14" t="inlineStr">
        <is>
          <t>XCARBON</t>
        </is>
      </c>
      <c r="F2375" s="92" t="inlineStr">
        <is>
          <t>XCARBON($D2978,$E2978,AE$321,$F2978,AE$324)</t>
        </is>
      </c>
    </row>
    <row r="2376">
      <c r="A2376" s="14" t="n">
        <v>2979</v>
      </c>
      <c r="B2376" s="14" t="inlineStr">
        <is>
          <t>xcp</t>
        </is>
      </c>
      <c r="C2376" s="14" t="inlineStr">
        <is>
          <t>bio</t>
        </is>
      </c>
      <c r="D2376" s="14" t="inlineStr">
        <is>
          <t>oen</t>
        </is>
      </c>
      <c r="E2376" s="14" t="inlineStr">
        <is>
          <t>XCARBON</t>
        </is>
      </c>
      <c r="F2376" s="92" t="inlineStr">
        <is>
          <t>XCARBON($D2979,$E2979,AE$321,$F2979,AE$324)</t>
        </is>
      </c>
    </row>
    <row r="2377">
      <c r="A2377" s="14" t="n">
        <v>2981</v>
      </c>
      <c r="B2377" s="14" t="inlineStr">
        <is>
          <t>xcpd</t>
        </is>
      </c>
      <c r="C2377" s="14" t="inlineStr">
        <is>
          <t>coa</t>
        </is>
      </c>
      <c r="D2377" s="14" t="inlineStr">
        <is>
          <t>oen</t>
        </is>
      </c>
      <c r="E2377" s="14" t="inlineStr">
        <is>
          <t>XCARBON</t>
        </is>
      </c>
      <c r="F2377" s="92" t="inlineStr">
        <is>
          <t>XCARBON($D2981,$E2981,(AE$321-AE$322),$F2981,(AE$324-AE$325))</t>
        </is>
      </c>
    </row>
    <row r="2378">
      <c r="A2378" s="14" t="n">
        <v>2982</v>
      </c>
      <c r="B2378" s="14" t="inlineStr">
        <is>
          <t>xcpd</t>
        </is>
      </c>
      <c r="C2378" s="14" t="inlineStr">
        <is>
          <t>nga</t>
        </is>
      </c>
      <c r="D2378" s="14" t="inlineStr">
        <is>
          <t>oen</t>
        </is>
      </c>
      <c r="E2378" s="14" t="inlineStr">
        <is>
          <t>XCARBON</t>
        </is>
      </c>
      <c r="F2378" s="92" t="inlineStr">
        <is>
          <t>XCARBON($D2982,$E2982,(AE$321-AE$322),$F2982,(AE$324-AE$325))</t>
        </is>
      </c>
    </row>
    <row r="2379">
      <c r="A2379" s="14" t="n">
        <v>2983</v>
      </c>
      <c r="B2379" s="14" t="inlineStr">
        <is>
          <t>xcpd</t>
        </is>
      </c>
      <c r="C2379" s="14" t="inlineStr">
        <is>
          <t>gso</t>
        </is>
      </c>
      <c r="D2379" s="14" t="inlineStr">
        <is>
          <t>oen</t>
        </is>
      </c>
      <c r="E2379" s="14" t="inlineStr">
        <is>
          <t>XCARBON</t>
        </is>
      </c>
      <c r="F2379" s="92" t="inlineStr">
        <is>
          <t>XCARBON($D2983,$E2983,(AE$321-AE$322),$F2983,(AE$324-AE$325))</t>
        </is>
      </c>
    </row>
    <row r="2380">
      <c r="A2380" s="14" t="n">
        <v>2984</v>
      </c>
      <c r="B2380" s="14" t="inlineStr">
        <is>
          <t>xcpd</t>
        </is>
      </c>
      <c r="C2380" s="14" t="inlineStr">
        <is>
          <t>die</t>
        </is>
      </c>
      <c r="D2380" s="14" t="inlineStr">
        <is>
          <t>oen</t>
        </is>
      </c>
      <c r="E2380" s="14" t="inlineStr">
        <is>
          <t>XCARBON</t>
        </is>
      </c>
      <c r="F2380" s="92" t="inlineStr">
        <is>
          <t>XCARBON($D2984,$E2984,(AE$321-AE$322),$F2984,(AE$324-AE$325))</t>
        </is>
      </c>
    </row>
    <row r="2381">
      <c r="A2381" s="14" t="n">
        <v>2985</v>
      </c>
      <c r="B2381" s="14" t="inlineStr">
        <is>
          <t>xcpd</t>
        </is>
      </c>
      <c r="C2381" s="14" t="inlineStr">
        <is>
          <t>lpg</t>
        </is>
      </c>
      <c r="D2381" s="14" t="inlineStr">
        <is>
          <t>oen</t>
        </is>
      </c>
      <c r="E2381" s="14" t="inlineStr">
        <is>
          <t>XCARBON</t>
        </is>
      </c>
      <c r="F2381" s="92" t="inlineStr">
        <is>
          <t>XCARBON($D2985,$E2985,(AE$321-AE$322),$F2985,(AE$324-AE$325))</t>
        </is>
      </c>
    </row>
    <row r="2382">
      <c r="A2382" s="14" t="n">
        <v>2986</v>
      </c>
      <c r="B2382" s="14" t="inlineStr">
        <is>
          <t>xcpd</t>
        </is>
      </c>
      <c r="C2382" s="14" t="inlineStr">
        <is>
          <t>ker</t>
        </is>
      </c>
      <c r="D2382" s="14" t="inlineStr">
        <is>
          <t>oen</t>
        </is>
      </c>
      <c r="E2382" s="14" t="inlineStr">
        <is>
          <t>XCARBON</t>
        </is>
      </c>
      <c r="F2382" s="92" t="inlineStr">
        <is>
          <t>XCARBON($D2986,$E2986,(AE$321-AE$322),$F2986,(AE$324-AE$325))</t>
        </is>
      </c>
    </row>
    <row r="2383">
      <c r="A2383" s="14" t="n">
        <v>2987</v>
      </c>
      <c r="B2383" s="14" t="inlineStr">
        <is>
          <t>xcpd</t>
        </is>
      </c>
      <c r="C2383" s="14" t="inlineStr">
        <is>
          <t>oop</t>
        </is>
      </c>
      <c r="D2383" s="14" t="inlineStr">
        <is>
          <t>oen</t>
        </is>
      </c>
      <c r="E2383" s="14" t="inlineStr">
        <is>
          <t>XCARBON</t>
        </is>
      </c>
      <c r="F2383" s="92" t="inlineStr">
        <is>
          <t>XCARBON($D2987,$E2987,(AE$321-AE$322),$F2987,(AE$324-AE$325))</t>
        </is>
      </c>
    </row>
    <row r="2384">
      <c r="A2384" s="14" t="n">
        <v>2988</v>
      </c>
      <c r="B2384" s="14" t="inlineStr">
        <is>
          <t>xcpd</t>
        </is>
      </c>
      <c r="C2384" s="14" t="inlineStr">
        <is>
          <t>bio</t>
        </is>
      </c>
      <c r="D2384" s="14" t="inlineStr">
        <is>
          <t>oen</t>
        </is>
      </c>
      <c r="E2384" s="14" t="inlineStr">
        <is>
          <t>XCARBON</t>
        </is>
      </c>
      <c r="F2384" s="92" t="inlineStr">
        <is>
          <t>XCARBON($D2988,$E2988,(AE$321-AE$322),$F2988,(AE$324-AE$325))</t>
        </is>
      </c>
    </row>
    <row r="2385">
      <c r="A2385" s="14" t="n">
        <v>2990</v>
      </c>
      <c r="B2385" s="14" t="inlineStr">
        <is>
          <t>atp</t>
        </is>
      </c>
      <c r="C2385" s="14" t="inlineStr">
        <is>
          <t>coa</t>
        </is>
      </c>
      <c r="D2385" s="14" t="inlineStr">
        <is>
          <t>oen</t>
        </is>
      </c>
      <c r="E2385" s="14" t="inlineStr">
        <is>
          <t>POSTTAX</t>
        </is>
      </c>
      <c r="F2385" s="92" t="inlineStr">
        <is>
          <t>POSTTAX(INDEX(AE$381:AE$392,$D2990),AE2963+AE2981,$E2990)</t>
        </is>
      </c>
    </row>
    <row r="2386">
      <c r="A2386" s="14" t="n">
        <v>2991</v>
      </c>
      <c r="B2386" s="14" t="inlineStr">
        <is>
          <t>atp</t>
        </is>
      </c>
      <c r="C2386" s="14" t="inlineStr">
        <is>
          <t>nga</t>
        </is>
      </c>
      <c r="D2386" s="14" t="inlineStr">
        <is>
          <t>oen</t>
        </is>
      </c>
      <c r="E2386" s="14" t="inlineStr">
        <is>
          <t>POSTTAX</t>
        </is>
      </c>
      <c r="F2386" s="92" t="inlineStr">
        <is>
          <t>POSTTAX(INDEX(AE$381:AE$392,$D2991),AE2964+AE2982,$E2991)</t>
        </is>
      </c>
    </row>
    <row r="2387">
      <c r="A2387" s="14" t="n">
        <v>2992</v>
      </c>
      <c r="B2387" s="14" t="inlineStr">
        <is>
          <t>atp</t>
        </is>
      </c>
      <c r="C2387" s="14" t="inlineStr">
        <is>
          <t>gso</t>
        </is>
      </c>
      <c r="D2387" s="14" t="inlineStr">
        <is>
          <t>oen</t>
        </is>
      </c>
      <c r="E2387" s="14" t="inlineStr">
        <is>
          <t>POSTTAX</t>
        </is>
      </c>
      <c r="F2387" s="92" t="inlineStr">
        <is>
          <t>POSTTAX(INDEX(AE$381:AE$392,$D2992),AE2965+AE2983,$E2992)</t>
        </is>
      </c>
    </row>
    <row r="2388">
      <c r="A2388" s="14" t="n">
        <v>2993</v>
      </c>
      <c r="B2388" s="14" t="inlineStr">
        <is>
          <t>atp</t>
        </is>
      </c>
      <c r="C2388" s="14" t="inlineStr">
        <is>
          <t>die</t>
        </is>
      </c>
      <c r="D2388" s="14" t="inlineStr">
        <is>
          <t>oen</t>
        </is>
      </c>
      <c r="E2388" s="14" t="inlineStr">
        <is>
          <t>POSTTAX</t>
        </is>
      </c>
      <c r="F2388" s="92" t="inlineStr">
        <is>
          <t>POSTTAX(INDEX(AE$381:AE$392,$D2993),AE2966+AE2984,$E2993)</t>
        </is>
      </c>
    </row>
    <row r="2389">
      <c r="A2389" s="14" t="n">
        <v>2994</v>
      </c>
      <c r="B2389" s="14" t="inlineStr">
        <is>
          <t>atp</t>
        </is>
      </c>
      <c r="C2389" s="14" t="inlineStr">
        <is>
          <t>lpg</t>
        </is>
      </c>
      <c r="D2389" s="14" t="inlineStr">
        <is>
          <t>oen</t>
        </is>
      </c>
      <c r="E2389" s="14" t="inlineStr">
        <is>
          <t>POSTTAX</t>
        </is>
      </c>
      <c r="F2389" s="92" t="inlineStr">
        <is>
          <t>POSTTAX(INDEX(AE$381:AE$392,$D2994),AE2967+AE2985,$E2994)</t>
        </is>
      </c>
    </row>
    <row r="2390">
      <c r="A2390" s="14" t="n">
        <v>2995</v>
      </c>
      <c r="B2390" s="14" t="inlineStr">
        <is>
          <t>atp</t>
        </is>
      </c>
      <c r="C2390" s="14" t="inlineStr">
        <is>
          <t>ker</t>
        </is>
      </c>
      <c r="D2390" s="14" t="inlineStr">
        <is>
          <t>oen</t>
        </is>
      </c>
      <c r="E2390" s="14" t="inlineStr">
        <is>
          <t>POSTTAX</t>
        </is>
      </c>
      <c r="F2390" s="92" t="inlineStr">
        <is>
          <t>POSTTAX(INDEX(AE$381:AE$392,$D2995),AE2968+AE2986,$E2995)</t>
        </is>
      </c>
    </row>
    <row r="2391">
      <c r="A2391" s="14" t="n">
        <v>2996</v>
      </c>
      <c r="B2391" s="14" t="inlineStr">
        <is>
          <t>atp</t>
        </is>
      </c>
      <c r="C2391" s="14" t="inlineStr">
        <is>
          <t>oop</t>
        </is>
      </c>
      <c r="D2391" s="14" t="inlineStr">
        <is>
          <t>oen</t>
        </is>
      </c>
      <c r="E2391" s="14" t="inlineStr">
        <is>
          <t>POSTTAX</t>
        </is>
      </c>
      <c r="F2391" s="92" t="inlineStr">
        <is>
          <t>POSTTAX(INDEX(AE$381:AE$392,$D2996),AE2969+AE2987,$E2996)</t>
        </is>
      </c>
    </row>
    <row r="2392">
      <c r="A2392" s="14" t="n">
        <v>2997</v>
      </c>
      <c r="B2392" s="14" t="inlineStr">
        <is>
          <t>atp</t>
        </is>
      </c>
      <c r="C2392" s="14" t="inlineStr">
        <is>
          <t>bio</t>
        </is>
      </c>
      <c r="D2392" s="14" t="inlineStr">
        <is>
          <t>oen</t>
        </is>
      </c>
      <c r="E2392" s="14" t="inlineStr">
        <is>
          <t>POSTTAX</t>
        </is>
      </c>
      <c r="F2392" s="92" t="inlineStr">
        <is>
          <t>POSTTAX(INDEX(AE$381:AE$392,$D2997),AE2970+AE2988,$E2997)</t>
        </is>
      </c>
    </row>
    <row r="2393">
      <c r="A2393" s="14" t="n">
        <v>2999</v>
      </c>
      <c r="B2393" s="14" t="inlineStr">
        <is>
          <t>shp</t>
        </is>
      </c>
      <c r="C2393" s="14" t="inlineStr">
        <is>
          <t>coa</t>
        </is>
      </c>
      <c r="D2393" s="14" t="inlineStr">
        <is>
          <t>oen</t>
        </is>
      </c>
      <c r="E2393" s="14" t="inlineStr">
        <is>
          <t>SHADOWGJ</t>
        </is>
      </c>
      <c r="F2393" s="92" t="inlineStr">
        <is>
          <t>SHADOWGJ(INDEX(AE$297:AE$313,$E2999),$D2999)</t>
        </is>
      </c>
    </row>
    <row r="2394">
      <c r="A2394" s="14" t="n">
        <v>3000</v>
      </c>
      <c r="B2394" s="14" t="inlineStr">
        <is>
          <t>shp</t>
        </is>
      </c>
      <c r="C2394" s="14" t="inlineStr">
        <is>
          <t>nga</t>
        </is>
      </c>
      <c r="D2394" s="14" t="inlineStr">
        <is>
          <t>oen</t>
        </is>
      </c>
      <c r="E2394" s="14" t="inlineStr">
        <is>
          <t>SHADOWGJ</t>
        </is>
      </c>
      <c r="F2394" s="92" t="inlineStr">
        <is>
          <t>SHADOWGJ(INDEX(AE$297:AE$313,$E3000),$D3000)</t>
        </is>
      </c>
    </row>
    <row r="2395">
      <c r="A2395" s="14" t="n">
        <v>3001</v>
      </c>
      <c r="B2395" s="14" t="inlineStr">
        <is>
          <t>shp</t>
        </is>
      </c>
      <c r="C2395" s="14" t="inlineStr">
        <is>
          <t>gso</t>
        </is>
      </c>
      <c r="D2395" s="14" t="inlineStr">
        <is>
          <t>oen</t>
        </is>
      </c>
      <c r="E2395" s="14" t="inlineStr">
        <is>
          <t>SHADOWGJ</t>
        </is>
      </c>
      <c r="F2395" s="92" t="inlineStr">
        <is>
          <t>SHADOWGJ(INDEX(AE$297:AE$313,$E3001),$D3001)</t>
        </is>
      </c>
    </row>
    <row r="2396">
      <c r="A2396" s="14" t="n">
        <v>3002</v>
      </c>
      <c r="B2396" s="14" t="inlineStr">
        <is>
          <t>shp</t>
        </is>
      </c>
      <c r="C2396" s="14" t="inlineStr">
        <is>
          <t>die</t>
        </is>
      </c>
      <c r="D2396" s="14" t="inlineStr">
        <is>
          <t>oen</t>
        </is>
      </c>
      <c r="E2396" s="14" t="inlineStr">
        <is>
          <t>SHADOWGJ</t>
        </is>
      </c>
      <c r="F2396" s="92" t="inlineStr">
        <is>
          <t>SHADOWGJ(INDEX(AE$297:AE$313,$E3002),$D3002)</t>
        </is>
      </c>
    </row>
    <row r="2397">
      <c r="A2397" s="14" t="n">
        <v>3003</v>
      </c>
      <c r="B2397" s="14" t="inlineStr">
        <is>
          <t>shp</t>
        </is>
      </c>
      <c r="C2397" s="14" t="inlineStr">
        <is>
          <t>lpg</t>
        </is>
      </c>
      <c r="D2397" s="14" t="inlineStr">
        <is>
          <t>oen</t>
        </is>
      </c>
      <c r="E2397" s="14" t="inlineStr">
        <is>
          <t>SHADOWGJ</t>
        </is>
      </c>
      <c r="F2397" s="92" t="inlineStr">
        <is>
          <t>SHADOWGJ(INDEX(AE$297:AE$313,$E3003),$D3003)</t>
        </is>
      </c>
    </row>
    <row r="2398">
      <c r="A2398" s="14" t="n">
        <v>3004</v>
      </c>
      <c r="B2398" s="14" t="inlineStr">
        <is>
          <t>shp</t>
        </is>
      </c>
      <c r="C2398" s="14" t="inlineStr">
        <is>
          <t>ker</t>
        </is>
      </c>
      <c r="D2398" s="14" t="inlineStr">
        <is>
          <t>oen</t>
        </is>
      </c>
      <c r="E2398" s="14" t="inlineStr">
        <is>
          <t>SHADOWGJ</t>
        </is>
      </c>
      <c r="F2398" s="92" t="inlineStr">
        <is>
          <t>SHADOWGJ(INDEX(AE$297:AE$313,$E3004),$D3004)</t>
        </is>
      </c>
    </row>
    <row r="2399">
      <c r="A2399" s="14" t="n">
        <v>3005</v>
      </c>
      <c r="B2399" s="14" t="inlineStr">
        <is>
          <t>shp</t>
        </is>
      </c>
      <c r="C2399" s="14" t="inlineStr">
        <is>
          <t>oop</t>
        </is>
      </c>
      <c r="D2399" s="14" t="inlineStr">
        <is>
          <t>oen</t>
        </is>
      </c>
      <c r="E2399" s="14" t="inlineStr">
        <is>
          <t>SHADOWGJ</t>
        </is>
      </c>
      <c r="F2399" s="92" t="inlineStr">
        <is>
          <t>SHADOWGJ(INDEX(AE$297:AE$313,$E3005),$D3005)</t>
        </is>
      </c>
    </row>
    <row r="2400">
      <c r="A2400" s="14" t="n">
        <v>3006</v>
      </c>
      <c r="B2400" s="14" t="inlineStr">
        <is>
          <t>shp</t>
        </is>
      </c>
      <c r="C2400" s="14" t="inlineStr">
        <is>
          <t>bio</t>
        </is>
      </c>
      <c r="D2400" s="14" t="inlineStr">
        <is>
          <t>oen</t>
        </is>
      </c>
      <c r="E2400" s="14" t="inlineStr">
        <is>
          <t>SHADOWGJ</t>
        </is>
      </c>
      <c r="F2400" s="92" t="inlineStr">
        <is>
          <t>SHADOWGJ(INDEX(AE$297:AE$313,$E3006),$D3006)</t>
        </is>
      </c>
    </row>
    <row r="2401">
      <c r="A2401" s="14" t="n">
        <v>3008</v>
      </c>
      <c r="B2401" s="14" t="inlineStr">
        <is>
          <t>ener</t>
        </is>
      </c>
      <c r="C2401" s="14" t="inlineStr">
        <is>
          <t>coa</t>
        </is>
      </c>
      <c r="D2401" s="14" t="inlineStr">
        <is>
          <t>oen</t>
        </is>
      </c>
      <c r="E2401" s="14" t="inlineStr">
        <is>
          <t>FUELUSE</t>
        </is>
      </c>
      <c r="F2401" s="92" t="inlineStr">
        <is>
          <t>FUELUSE(AD3008,AE2990,AD2990,AE2999,AD2999,AE$7,$D3008,$E3008,$F3008,$G3008)</t>
        </is>
      </c>
    </row>
    <row r="2402">
      <c r="A2402" s="14" t="n">
        <v>3009</v>
      </c>
      <c r="B2402" s="14" t="inlineStr">
        <is>
          <t>ener</t>
        </is>
      </c>
      <c r="C2402" s="14" t="inlineStr">
        <is>
          <t>nga</t>
        </is>
      </c>
      <c r="D2402" s="14" t="inlineStr">
        <is>
          <t>oen</t>
        </is>
      </c>
      <c r="E2402" s="14" t="inlineStr">
        <is>
          <t>FUELUSE</t>
        </is>
      </c>
      <c r="F2402" s="92" t="inlineStr">
        <is>
          <t>FUELUSE(AD3009,AE2991,AD2991,AE3000,AD3000,AE$7,$D3009,$E3009,$F3009,$G3009)</t>
        </is>
      </c>
    </row>
    <row r="2403">
      <c r="A2403" s="14" t="n">
        <v>3010</v>
      </c>
      <c r="B2403" s="14" t="inlineStr">
        <is>
          <t>ener</t>
        </is>
      </c>
      <c r="C2403" s="14" t="inlineStr">
        <is>
          <t>gso</t>
        </is>
      </c>
      <c r="D2403" s="14" t="inlineStr">
        <is>
          <t>oen</t>
        </is>
      </c>
      <c r="E2403" s="14" t="inlineStr">
        <is>
          <t>FUELUSE</t>
        </is>
      </c>
      <c r="F2403" s="92" t="inlineStr">
        <is>
          <t>FUELUSE(AD3010,AE2992,AD2992,AE3001,AD3001,AE$7,$D3010,$E3010,$F3010,$G3010)</t>
        </is>
      </c>
    </row>
    <row r="2404">
      <c r="A2404" s="14" t="n">
        <v>3011</v>
      </c>
      <c r="B2404" s="14" t="inlineStr">
        <is>
          <t>ener</t>
        </is>
      </c>
      <c r="C2404" s="14" t="inlineStr">
        <is>
          <t>die</t>
        </is>
      </c>
      <c r="D2404" s="14" t="inlineStr">
        <is>
          <t>oen</t>
        </is>
      </c>
      <c r="E2404" s="14" t="inlineStr">
        <is>
          <t>FUELUSE</t>
        </is>
      </c>
      <c r="F2404" s="92" t="inlineStr">
        <is>
          <t>FUELUSE(AD3011,AE2993,AD2993,AE3002,AD3002,AE$7,$D3011,$E3011,$F3011,$G3011)</t>
        </is>
      </c>
    </row>
    <row r="2405">
      <c r="A2405" s="14" t="n">
        <v>3012</v>
      </c>
      <c r="B2405" s="14" t="inlineStr">
        <is>
          <t>ener</t>
        </is>
      </c>
      <c r="C2405" s="14" t="inlineStr">
        <is>
          <t>lpg</t>
        </is>
      </c>
      <c r="D2405" s="14" t="inlineStr">
        <is>
          <t>oen</t>
        </is>
      </c>
      <c r="E2405" s="14" t="inlineStr">
        <is>
          <t>FUELUSE</t>
        </is>
      </c>
      <c r="F2405" s="92" t="inlineStr">
        <is>
          <t>FUELUSE(AD3012,AE2994,AD2994,AE3003,AD3003,AE$7,$D3012,$E3012,$F3012,$G3012)</t>
        </is>
      </c>
    </row>
    <row r="2406">
      <c r="A2406" s="14" t="n">
        <v>3013</v>
      </c>
      <c r="B2406" s="14" t="inlineStr">
        <is>
          <t>ener</t>
        </is>
      </c>
      <c r="C2406" s="14" t="inlineStr">
        <is>
          <t>ker</t>
        </is>
      </c>
      <c r="D2406" s="14" t="inlineStr">
        <is>
          <t>oen</t>
        </is>
      </c>
      <c r="E2406" s="14" t="inlineStr">
        <is>
          <t>FUELUSE</t>
        </is>
      </c>
      <c r="F2406" s="92" t="inlineStr">
        <is>
          <t>FUELUSE(AD3013,AE2995,AD2995,AE3004,AD3004,AE$7,$D3013,$E3013,$F3013,$G3013)</t>
        </is>
      </c>
    </row>
    <row r="2407">
      <c r="A2407" s="14" t="n">
        <v>3014</v>
      </c>
      <c r="B2407" s="14" t="inlineStr">
        <is>
          <t>ener</t>
        </is>
      </c>
      <c r="C2407" s="14" t="inlineStr">
        <is>
          <t>oop</t>
        </is>
      </c>
      <c r="D2407" s="14" t="inlineStr">
        <is>
          <t>oen</t>
        </is>
      </c>
      <c r="E2407" s="14" t="inlineStr">
        <is>
          <t>FUELUSE</t>
        </is>
      </c>
      <c r="F2407" s="92" t="inlineStr">
        <is>
          <t>FUELUSE(AD3014,AE2996,AD2996,AE3005,AD3005,AE$7,$D3014,$E3014,$F3014,$G3014)</t>
        </is>
      </c>
    </row>
    <row r="2408">
      <c r="A2408" s="14" t="n">
        <v>3015</v>
      </c>
      <c r="B2408" s="14" t="inlineStr">
        <is>
          <t>ener</t>
        </is>
      </c>
      <c r="C2408" s="14" t="inlineStr">
        <is>
          <t>bio</t>
        </is>
      </c>
      <c r="D2408" s="14" t="inlineStr">
        <is>
          <t>oen</t>
        </is>
      </c>
      <c r="E2408" s="14" t="inlineStr">
        <is>
          <t>FUELUSE</t>
        </is>
      </c>
      <c r="F2408" s="92" t="inlineStr">
        <is>
          <t>FUELUSE(AD3015,AE2997,AD2997,AE3006,AD3006,AE$7,$D3015,$E3015,$F3015,$G3015)</t>
        </is>
      </c>
    </row>
    <row r="2409">
      <c r="A2409" s="14" t="n">
        <v>3017</v>
      </c>
      <c r="B2409" s="14" t="inlineStr">
        <is>
          <t>co2</t>
        </is>
      </c>
      <c r="C2409" s="14" t="inlineStr">
        <is>
          <t>coa</t>
        </is>
      </c>
      <c r="D2409" s="14" t="inlineStr">
        <is>
          <t>oen</t>
        </is>
      </c>
      <c r="E2409" s="14" t="inlineStr">
        <is>
          <t>EMISSIONS</t>
        </is>
      </c>
      <c r="F2409" s="92" t="inlineStr">
        <is>
          <t>EMISSIONS(AE3008,Settings!$C$13,$D3017)</t>
        </is>
      </c>
    </row>
    <row r="2410">
      <c r="A2410" s="14" t="n">
        <v>3018</v>
      </c>
      <c r="B2410" s="14" t="inlineStr">
        <is>
          <t>co2</t>
        </is>
      </c>
      <c r="C2410" s="14" t="inlineStr">
        <is>
          <t>nga</t>
        </is>
      </c>
      <c r="D2410" s="14" t="inlineStr">
        <is>
          <t>oen</t>
        </is>
      </c>
      <c r="E2410" s="14" t="inlineStr">
        <is>
          <t>EMISSIONS</t>
        </is>
      </c>
      <c r="F2410" s="92" t="inlineStr">
        <is>
          <t>EMISSIONS(AE3009,Settings!$C$13,$D3018)</t>
        </is>
      </c>
    </row>
    <row r="2411">
      <c r="A2411" s="14" t="n">
        <v>3019</v>
      </c>
      <c r="B2411" s="14" t="inlineStr">
        <is>
          <t>co2</t>
        </is>
      </c>
      <c r="C2411" s="14" t="inlineStr">
        <is>
          <t>gso</t>
        </is>
      </c>
      <c r="D2411" s="14" t="inlineStr">
        <is>
          <t>oen</t>
        </is>
      </c>
      <c r="E2411" s="14" t="inlineStr">
        <is>
          <t>EMISSIONS</t>
        </is>
      </c>
      <c r="F2411" s="92" t="inlineStr">
        <is>
          <t>EMISSIONS(AE3010,Settings!$C$13,$D3019)</t>
        </is>
      </c>
    </row>
    <row r="2412">
      <c r="A2412" s="14" t="n">
        <v>3020</v>
      </c>
      <c r="B2412" s="14" t="inlineStr">
        <is>
          <t>co2</t>
        </is>
      </c>
      <c r="C2412" s="14" t="inlineStr">
        <is>
          <t>die</t>
        </is>
      </c>
      <c r="D2412" s="14" t="inlineStr">
        <is>
          <t>oen</t>
        </is>
      </c>
      <c r="E2412" s="14" t="inlineStr">
        <is>
          <t>EMISSIONS</t>
        </is>
      </c>
      <c r="F2412" s="92" t="inlineStr">
        <is>
          <t>EMISSIONS(AE3011,Settings!$C$13,$D3020)</t>
        </is>
      </c>
    </row>
    <row r="2413">
      <c r="A2413" s="14" t="n">
        <v>3021</v>
      </c>
      <c r="B2413" s="14" t="inlineStr">
        <is>
          <t>co2</t>
        </is>
      </c>
      <c r="C2413" s="14" t="inlineStr">
        <is>
          <t>lpg</t>
        </is>
      </c>
      <c r="D2413" s="14" t="inlineStr">
        <is>
          <t>oen</t>
        </is>
      </c>
      <c r="E2413" s="14" t="inlineStr">
        <is>
          <t>EMISSIONS</t>
        </is>
      </c>
      <c r="F2413" s="92" t="inlineStr">
        <is>
          <t>EMISSIONS(AE3012,Settings!$C$13,$D3021)</t>
        </is>
      </c>
    </row>
    <row r="2414">
      <c r="A2414" s="14" t="n">
        <v>3022</v>
      </c>
      <c r="B2414" s="14" t="inlineStr">
        <is>
          <t>co2</t>
        </is>
      </c>
      <c r="C2414" s="14" t="inlineStr">
        <is>
          <t>ker</t>
        </is>
      </c>
      <c r="D2414" s="14" t="inlineStr">
        <is>
          <t>oen</t>
        </is>
      </c>
      <c r="E2414" s="14" t="inlineStr">
        <is>
          <t>EMISSIONS</t>
        </is>
      </c>
      <c r="F2414" s="92" t="inlineStr">
        <is>
          <t>EMISSIONS(AE3013,Settings!$C$13,$D3022)</t>
        </is>
      </c>
    </row>
    <row r="2415">
      <c r="A2415" s="14" t="n">
        <v>3023</v>
      </c>
      <c r="B2415" s="14" t="inlineStr">
        <is>
          <t>co2</t>
        </is>
      </c>
      <c r="C2415" s="14" t="inlineStr">
        <is>
          <t>oop</t>
        </is>
      </c>
      <c r="D2415" s="14" t="inlineStr">
        <is>
          <t>oen</t>
        </is>
      </c>
      <c r="E2415" s="14" t="inlineStr">
        <is>
          <t>EMISSIONS</t>
        </is>
      </c>
      <c r="F2415" s="92" t="inlineStr">
        <is>
          <t>EMISSIONS(AE3014,Settings!$C$13,$D3023)</t>
        </is>
      </c>
    </row>
    <row r="2416">
      <c r="A2416" s="14" t="n">
        <v>3024</v>
      </c>
      <c r="B2416" s="14" t="inlineStr">
        <is>
          <t>co2</t>
        </is>
      </c>
      <c r="C2416" s="14" t="inlineStr">
        <is>
          <t>bio</t>
        </is>
      </c>
      <c r="D2416" s="14" t="inlineStr">
        <is>
          <t>oen</t>
        </is>
      </c>
      <c r="E2416" s="14" t="inlineStr">
        <is>
          <t>EMISSIONS</t>
        </is>
      </c>
      <c r="F2416" s="92" t="inlineStr">
        <is>
          <t>EMISSIONS(AE3015,Settings!$C$13,$D3024)</t>
        </is>
      </c>
    </row>
    <row r="2417">
      <c r="A2417" s="14" t="n">
        <v>3026</v>
      </c>
      <c r="B2417" s="14" t="inlineStr">
        <is>
          <t>rtx</t>
        </is>
      </c>
      <c r="C2417" s="14" t="inlineStr">
        <is>
          <t>coa</t>
        </is>
      </c>
      <c r="D2417" s="14" t="inlineStr">
        <is>
          <t>oen</t>
        </is>
      </c>
      <c r="E2417" s="14" t="inlineStr">
        <is>
          <t>REVENUE</t>
        </is>
      </c>
      <c r="F2417" s="92" t="inlineStr">
        <is>
          <t>REVENUE(AE3008,Settings!$C$13,INDEX(AE$407:AE$418,$D3026)+INDEX(AE$394:AE$405,$D3026)+AE2981*(1+$E3026))</t>
        </is>
      </c>
    </row>
    <row r="2418">
      <c r="A2418" s="14" t="n">
        <v>3027</v>
      </c>
      <c r="B2418" s="14" t="inlineStr">
        <is>
          <t>rtx</t>
        </is>
      </c>
      <c r="C2418" s="14" t="inlineStr">
        <is>
          <t>nga</t>
        </is>
      </c>
      <c r="D2418" s="14" t="inlineStr">
        <is>
          <t>oen</t>
        </is>
      </c>
      <c r="E2418" s="14" t="inlineStr">
        <is>
          <t>REVENUE</t>
        </is>
      </c>
      <c r="F2418" s="92" t="inlineStr">
        <is>
          <t>REVENUE(AE3009,Settings!$C$13,INDEX(AE$407:AE$418,$D3027)+INDEX(AE$394:AE$405,$D3027)+AE2982*(1+$E3027))</t>
        </is>
      </c>
    </row>
    <row r="2419">
      <c r="A2419" s="14" t="n">
        <v>3028</v>
      </c>
      <c r="B2419" s="14" t="inlineStr">
        <is>
          <t>rtx</t>
        </is>
      </c>
      <c r="C2419" s="14" t="inlineStr">
        <is>
          <t>gso</t>
        </is>
      </c>
      <c r="D2419" s="14" t="inlineStr">
        <is>
          <t>oen</t>
        </is>
      </c>
      <c r="E2419" s="14" t="inlineStr">
        <is>
          <t>REVENUE</t>
        </is>
      </c>
      <c r="F2419" s="92" t="inlineStr">
        <is>
          <t>REVENUE(AE3010,Settings!$C$13,INDEX(AE$407:AE$418,$D3028)+INDEX(AE$394:AE$405,$D3028)+AE2983*(1+$E3028))</t>
        </is>
      </c>
    </row>
    <row r="2420">
      <c r="A2420" s="14" t="n">
        <v>3029</v>
      </c>
      <c r="B2420" s="14" t="inlineStr">
        <is>
          <t>rtx</t>
        </is>
      </c>
      <c r="C2420" s="14" t="inlineStr">
        <is>
          <t>die</t>
        </is>
      </c>
      <c r="D2420" s="14" t="inlineStr">
        <is>
          <t>oen</t>
        </is>
      </c>
      <c r="E2420" s="14" t="inlineStr">
        <is>
          <t>REVENUE</t>
        </is>
      </c>
      <c r="F2420" s="92" t="inlineStr">
        <is>
          <t>REVENUE(AE3011,Settings!$C$13,INDEX(AE$407:AE$418,$D3029)+INDEX(AE$394:AE$405,$D3029)+AE2984*(1+$E3029))</t>
        </is>
      </c>
    </row>
    <row r="2421">
      <c r="A2421" s="14" t="n">
        <v>3030</v>
      </c>
      <c r="B2421" s="14" t="inlineStr">
        <is>
          <t>rtx</t>
        </is>
      </c>
      <c r="C2421" s="14" t="inlineStr">
        <is>
          <t>lpg</t>
        </is>
      </c>
      <c r="D2421" s="14" t="inlineStr">
        <is>
          <t>oen</t>
        </is>
      </c>
      <c r="E2421" s="14" t="inlineStr">
        <is>
          <t>REVENUE</t>
        </is>
      </c>
      <c r="F2421" s="92" t="inlineStr">
        <is>
          <t>REVENUE(AE3012,Settings!$C$13,INDEX(AE$407:AE$418,$D3030)+INDEX(AE$394:AE$405,$D3030)+AE2985*(1+$E3030))</t>
        </is>
      </c>
    </row>
    <row r="2422">
      <c r="A2422" s="14" t="n">
        <v>3031</v>
      </c>
      <c r="B2422" s="14" t="inlineStr">
        <is>
          <t>rtx</t>
        </is>
      </c>
      <c r="C2422" s="14" t="inlineStr">
        <is>
          <t>ker</t>
        </is>
      </c>
      <c r="D2422" s="14" t="inlineStr">
        <is>
          <t>oen</t>
        </is>
      </c>
      <c r="E2422" s="14" t="inlineStr">
        <is>
          <t>REVENUE</t>
        </is>
      </c>
      <c r="F2422" s="92" t="inlineStr">
        <is>
          <t>REVENUE(AE3013,Settings!$C$13,INDEX(AE$407:AE$418,$D3031)+INDEX(AE$394:AE$405,$D3031)+AE2986*(1+$E3031))</t>
        </is>
      </c>
    </row>
    <row r="2423">
      <c r="A2423" s="14" t="n">
        <v>3032</v>
      </c>
      <c r="B2423" s="14" t="inlineStr">
        <is>
          <t>rtx</t>
        </is>
      </c>
      <c r="C2423" s="14" t="inlineStr">
        <is>
          <t>oop</t>
        </is>
      </c>
      <c r="D2423" s="14" t="inlineStr">
        <is>
          <t>oen</t>
        </is>
      </c>
      <c r="E2423" s="14" t="inlineStr">
        <is>
          <t>REVENUE</t>
        </is>
      </c>
      <c r="F2423" s="92" t="inlineStr">
        <is>
          <t>REVENUE(AE3014,Settings!$C$13,INDEX(AE$407:AE$418,$D3032)+INDEX(AE$394:AE$405,$D3032)+AE2987*(1+$E3032))</t>
        </is>
      </c>
    </row>
    <row r="2424">
      <c r="A2424" s="14" t="n">
        <v>3033</v>
      </c>
      <c r="B2424" s="14" t="inlineStr">
        <is>
          <t>rtx</t>
        </is>
      </c>
      <c r="C2424" s="14" t="inlineStr">
        <is>
          <t>bio</t>
        </is>
      </c>
      <c r="D2424" s="14" t="inlineStr">
        <is>
          <t>oen</t>
        </is>
      </c>
      <c r="E2424" s="14" t="inlineStr">
        <is>
          <t>REVENUE</t>
        </is>
      </c>
      <c r="F2424" s="92" t="inlineStr">
        <is>
          <t>REVENUE(AE3015,Settings!$C$13,INDEX(AE$407:AE$418,$D3033)+INDEX(AE$394:AE$405,$D3033)+AE2988*(1+$E3033))</t>
        </is>
      </c>
    </row>
    <row r="2425">
      <c r="A2425" s="14" t="n">
        <v>3035</v>
      </c>
      <c r="B2425" s="14" t="inlineStr">
        <is>
          <t>rsub</t>
        </is>
      </c>
      <c r="C2425" s="14" t="inlineStr">
        <is>
          <t>coa</t>
        </is>
      </c>
      <c r="D2425" s="14" t="inlineStr">
        <is>
          <t>oen</t>
        </is>
      </c>
      <c r="E2425" s="14" t="inlineStr">
        <is>
          <t>REVENUE</t>
        </is>
      </c>
      <c r="F2425" s="92" t="inlineStr">
        <is>
          <t>REVENUE(AE3008,Settings!$C$13,INDEX(AE$420:AE$431,$D3035))</t>
        </is>
      </c>
    </row>
    <row r="2426">
      <c r="A2426" s="14" t="n">
        <v>3036</v>
      </c>
      <c r="B2426" s="14" t="inlineStr">
        <is>
          <t>rsub</t>
        </is>
      </c>
      <c r="C2426" s="14" t="inlineStr">
        <is>
          <t>nga</t>
        </is>
      </c>
      <c r="D2426" s="14" t="inlineStr">
        <is>
          <t>oen</t>
        </is>
      </c>
      <c r="E2426" s="14" t="inlineStr">
        <is>
          <t>REVENUE</t>
        </is>
      </c>
      <c r="F2426" s="92" t="inlineStr">
        <is>
          <t>REVENUE(AE3009,Settings!$C$13,INDEX(AE$420:AE$431,$D3036))</t>
        </is>
      </c>
    </row>
    <row r="2427">
      <c r="A2427" s="14" t="n">
        <v>3037</v>
      </c>
      <c r="B2427" s="14" t="inlineStr">
        <is>
          <t>rsub</t>
        </is>
      </c>
      <c r="C2427" s="14" t="inlineStr">
        <is>
          <t>gso</t>
        </is>
      </c>
      <c r="D2427" s="14" t="inlineStr">
        <is>
          <t>oen</t>
        </is>
      </c>
      <c r="E2427" s="14" t="inlineStr">
        <is>
          <t>REVENUE</t>
        </is>
      </c>
      <c r="F2427" s="92" t="inlineStr">
        <is>
          <t>REVENUE(AE3010,Settings!$C$13,INDEX(AE$420:AE$431,$D3037))</t>
        </is>
      </c>
    </row>
    <row r="2428">
      <c r="A2428" s="14" t="n">
        <v>3038</v>
      </c>
      <c r="B2428" s="14" t="inlineStr">
        <is>
          <t>rsub</t>
        </is>
      </c>
      <c r="C2428" s="14" t="inlineStr">
        <is>
          <t>die</t>
        </is>
      </c>
      <c r="D2428" s="14" t="inlineStr">
        <is>
          <t>oen</t>
        </is>
      </c>
      <c r="E2428" s="14" t="inlineStr">
        <is>
          <t>REVENUE</t>
        </is>
      </c>
      <c r="F2428" s="92" t="inlineStr">
        <is>
          <t>REVENUE(AE3011,Settings!$C$13,INDEX(AE$420:AE$431,$D3038))</t>
        </is>
      </c>
    </row>
    <row r="2429">
      <c r="A2429" s="14" t="n">
        <v>3039</v>
      </c>
      <c r="B2429" s="14" t="inlineStr">
        <is>
          <t>rsub</t>
        </is>
      </c>
      <c r="C2429" s="14" t="inlineStr">
        <is>
          <t>lpg</t>
        </is>
      </c>
      <c r="D2429" s="14" t="inlineStr">
        <is>
          <t>oen</t>
        </is>
      </c>
      <c r="E2429" s="14" t="inlineStr">
        <is>
          <t>REVENUE</t>
        </is>
      </c>
      <c r="F2429" s="92" t="inlineStr">
        <is>
          <t>REVENUE(AE3012,Settings!$C$13,INDEX(AE$420:AE$431,$D3039))</t>
        </is>
      </c>
    </row>
    <row r="2430">
      <c r="A2430" s="14" t="n">
        <v>3040</v>
      </c>
      <c r="B2430" s="14" t="inlineStr">
        <is>
          <t>rsub</t>
        </is>
      </c>
      <c r="C2430" s="14" t="inlineStr">
        <is>
          <t>ker</t>
        </is>
      </c>
      <c r="D2430" s="14" t="inlineStr">
        <is>
          <t>oen</t>
        </is>
      </c>
      <c r="E2430" s="14" t="inlineStr">
        <is>
          <t>REVENUE</t>
        </is>
      </c>
      <c r="F2430" s="92" t="inlineStr">
        <is>
          <t>REVENUE(AE3013,Settings!$C$13,INDEX(AE$420:AE$431,$D3040))</t>
        </is>
      </c>
    </row>
    <row r="2431">
      <c r="A2431" s="14" t="n">
        <v>3041</v>
      </c>
      <c r="B2431" s="14" t="inlineStr">
        <is>
          <t>rsub</t>
        </is>
      </c>
      <c r="C2431" s="14" t="inlineStr">
        <is>
          <t>oop</t>
        </is>
      </c>
      <c r="D2431" s="14" t="inlineStr">
        <is>
          <t>oen</t>
        </is>
      </c>
      <c r="E2431" s="14" t="inlineStr">
        <is>
          <t>REVENUE</t>
        </is>
      </c>
      <c r="F2431" s="92" t="inlineStr">
        <is>
          <t>REVENUE(AE3014,Settings!$C$13,INDEX(AE$420:AE$431,$D3041))</t>
        </is>
      </c>
    </row>
    <row r="2432">
      <c r="A2432" s="14" t="n">
        <v>3042</v>
      </c>
      <c r="B2432" s="14" t="inlineStr">
        <is>
          <t>rsub</t>
        </is>
      </c>
      <c r="C2432" s="14" t="inlineStr">
        <is>
          <t>bio</t>
        </is>
      </c>
      <c r="D2432" s="14" t="inlineStr">
        <is>
          <t>oen</t>
        </is>
      </c>
      <c r="E2432" s="14" t="inlineStr">
        <is>
          <t>REVENUE</t>
        </is>
      </c>
      <c r="F2432" s="92" t="inlineStr">
        <is>
          <t>REVENUE(AE3015,Settings!$C$13,INDEX(AE$420:AE$431,$D3042))</t>
        </is>
      </c>
    </row>
    <row r="2433">
      <c r="A2433" s="14" t="n">
        <v>3044</v>
      </c>
      <c r="B2433" s="14" t="inlineStr">
        <is>
          <t>rnew</t>
        </is>
      </c>
      <c r="C2433" s="14" t="inlineStr">
        <is>
          <t>coa</t>
        </is>
      </c>
      <c r="D2433" s="14" t="inlineStr">
        <is>
          <t>oen</t>
        </is>
      </c>
      <c r="E2433" s="14" t="inlineStr">
        <is>
          <t>REVENUE</t>
        </is>
      </c>
      <c r="F2433" s="92" t="inlineStr">
        <is>
          <t>REVENUE(AE3008,Settings!$C$13,NEWREVRATE(AE2936,AE2954,AE2945,AE$201,AE2963,$D3044))</t>
        </is>
      </c>
    </row>
    <row r="2434">
      <c r="A2434" s="14" t="n">
        <v>3045</v>
      </c>
      <c r="B2434" s="14" t="inlineStr">
        <is>
          <t>rnew</t>
        </is>
      </c>
      <c r="C2434" s="14" t="inlineStr">
        <is>
          <t>nga</t>
        </is>
      </c>
      <c r="D2434" s="14" t="inlineStr">
        <is>
          <t>oen</t>
        </is>
      </c>
      <c r="E2434" s="14" t="inlineStr">
        <is>
          <t>REVENUE</t>
        </is>
      </c>
      <c r="F2434" s="92" t="inlineStr">
        <is>
          <t>REVENUE(AE3009,Settings!$C$13,NEWREVRATE(AE2937,AE2955,AE2946,AE$201,AE2964,$D3045))</t>
        </is>
      </c>
    </row>
    <row r="2435">
      <c r="A2435" s="14" t="n">
        <v>3046</v>
      </c>
      <c r="B2435" s="14" t="inlineStr">
        <is>
          <t>rnew</t>
        </is>
      </c>
      <c r="C2435" s="14" t="inlineStr">
        <is>
          <t>gso</t>
        </is>
      </c>
      <c r="D2435" s="14" t="inlineStr">
        <is>
          <t>oen</t>
        </is>
      </c>
      <c r="E2435" s="14" t="inlineStr">
        <is>
          <t>REVENUE</t>
        </is>
      </c>
      <c r="F2435" s="92" t="inlineStr">
        <is>
          <t>REVENUE(AE3010,Settings!$C$13,NEWREVRATE(AE2938,AE2956,AE2947,AE$201,AE2965,$D3046))</t>
        </is>
      </c>
    </row>
    <row r="2436">
      <c r="A2436" s="14" t="n">
        <v>3047</v>
      </c>
      <c r="B2436" s="14" t="inlineStr">
        <is>
          <t>rnew</t>
        </is>
      </c>
      <c r="C2436" s="14" t="inlineStr">
        <is>
          <t>die</t>
        </is>
      </c>
      <c r="D2436" s="14" t="inlineStr">
        <is>
          <t>oen</t>
        </is>
      </c>
      <c r="E2436" s="14" t="inlineStr">
        <is>
          <t>REVENUE</t>
        </is>
      </c>
      <c r="F2436" s="92" t="inlineStr">
        <is>
          <t>REVENUE(AE3011,Settings!$C$13,NEWREVRATE(AE2939,AE2957,AE2948,AE$201,AE2966,$D3047))</t>
        </is>
      </c>
    </row>
    <row r="2437">
      <c r="A2437" s="14" t="n">
        <v>3048</v>
      </c>
      <c r="B2437" s="14" t="inlineStr">
        <is>
          <t>rnew</t>
        </is>
      </c>
      <c r="C2437" s="14" t="inlineStr">
        <is>
          <t>lpg</t>
        </is>
      </c>
      <c r="D2437" s="14" t="inlineStr">
        <is>
          <t>oen</t>
        </is>
      </c>
      <c r="E2437" s="14" t="inlineStr">
        <is>
          <t>REVENUE</t>
        </is>
      </c>
      <c r="F2437" s="92" t="inlineStr">
        <is>
          <t>REVENUE(AE3012,Settings!$C$13,NEWREVRATE(AE2940,AE2958,AE2949,AE$201,AE2967,$D3048))</t>
        </is>
      </c>
    </row>
    <row r="2438">
      <c r="A2438" s="14" t="n">
        <v>3049</v>
      </c>
      <c r="B2438" s="14" t="inlineStr">
        <is>
          <t>rnew</t>
        </is>
      </c>
      <c r="C2438" s="14" t="inlineStr">
        <is>
          <t>ker</t>
        </is>
      </c>
      <c r="D2438" s="14" t="inlineStr">
        <is>
          <t>oen</t>
        </is>
      </c>
      <c r="E2438" s="14" t="inlineStr">
        <is>
          <t>REVENUE</t>
        </is>
      </c>
      <c r="F2438" s="92" t="inlineStr">
        <is>
          <t>REVENUE(AE3013,Settings!$C$13,NEWREVRATE(AE2941,AE2959,AE2950,AE$201,AE2968,$D3049))</t>
        </is>
      </c>
    </row>
    <row r="2439">
      <c r="A2439" s="14" t="n">
        <v>3050</v>
      </c>
      <c r="B2439" s="14" t="inlineStr">
        <is>
          <t>rnew</t>
        </is>
      </c>
      <c r="C2439" s="14" t="inlineStr">
        <is>
          <t>oop</t>
        </is>
      </c>
      <c r="D2439" s="14" t="inlineStr">
        <is>
          <t>oen</t>
        </is>
      </c>
      <c r="E2439" s="14" t="inlineStr">
        <is>
          <t>REVENUE</t>
        </is>
      </c>
      <c r="F2439" s="92" t="inlineStr">
        <is>
          <t>REVENUE(AE3014,Settings!$C$13,NEWREVRATE(AE2942,AE2960,AE2951,AE$201,AE2969,$D3050))</t>
        </is>
      </c>
    </row>
    <row r="2440">
      <c r="A2440" s="14" t="n">
        <v>3051</v>
      </c>
      <c r="B2440" s="14" t="inlineStr">
        <is>
          <t>rnew</t>
        </is>
      </c>
      <c r="C2440" s="14" t="inlineStr">
        <is>
          <t>bio</t>
        </is>
      </c>
      <c r="D2440" s="14" t="inlineStr">
        <is>
          <t>oen</t>
        </is>
      </c>
      <c r="E2440" s="14" t="inlineStr">
        <is>
          <t>REVENUE</t>
        </is>
      </c>
      <c r="F2440" s="92" t="inlineStr">
        <is>
          <t>REVENUE(AE3015,Settings!$C$13,NEWREVRATE(AE2943,AE2961,AE2952,AE$201,AE2970,$D3051))</t>
        </is>
      </c>
    </row>
    <row r="2441">
      <c r="A2441" s="14" t="n">
        <v>3053</v>
      </c>
      <c r="B2441" s="14" t="inlineStr">
        <is>
          <t>rxcp</t>
        </is>
      </c>
      <c r="C2441" s="14" t="inlineStr">
        <is>
          <t>coa</t>
        </is>
      </c>
      <c r="D2441" s="14" t="inlineStr">
        <is>
          <t>oen</t>
        </is>
      </c>
      <c r="E2441" s="14" t="inlineStr">
        <is>
          <t>REVENUE</t>
        </is>
      </c>
      <c r="F2441" s="92" t="inlineStr">
        <is>
          <t>REVENUE(AE3008,Settings!$C$13,AE2972)</t>
        </is>
      </c>
    </row>
    <row r="2442">
      <c r="A2442" s="14" t="n">
        <v>3054</v>
      </c>
      <c r="B2442" s="14" t="inlineStr">
        <is>
          <t>rxcp</t>
        </is>
      </c>
      <c r="C2442" s="14" t="inlineStr">
        <is>
          <t>nga</t>
        </is>
      </c>
      <c r="D2442" s="14" t="inlineStr">
        <is>
          <t>oen</t>
        </is>
      </c>
      <c r="E2442" s="14" t="inlineStr">
        <is>
          <t>REVENUE</t>
        </is>
      </c>
      <c r="F2442" s="92" t="inlineStr">
        <is>
          <t>REVENUE(AE3009,Settings!$C$13,AE2973)</t>
        </is>
      </c>
    </row>
    <row r="2443">
      <c r="A2443" s="14" t="n">
        <v>3055</v>
      </c>
      <c r="B2443" s="14" t="inlineStr">
        <is>
          <t>rxcp</t>
        </is>
      </c>
      <c r="C2443" s="14" t="inlineStr">
        <is>
          <t>gso</t>
        </is>
      </c>
      <c r="D2443" s="14" t="inlineStr">
        <is>
          <t>oen</t>
        </is>
      </c>
      <c r="E2443" s="14" t="inlineStr">
        <is>
          <t>REVENUE</t>
        </is>
      </c>
      <c r="F2443" s="92" t="inlineStr">
        <is>
          <t>REVENUE(AE3010,Settings!$C$13,AE2974)</t>
        </is>
      </c>
    </row>
    <row r="2444">
      <c r="A2444" s="14" t="n">
        <v>3056</v>
      </c>
      <c r="B2444" s="14" t="inlineStr">
        <is>
          <t>rxcp</t>
        </is>
      </c>
      <c r="C2444" s="14" t="inlineStr">
        <is>
          <t>die</t>
        </is>
      </c>
      <c r="D2444" s="14" t="inlineStr">
        <is>
          <t>oen</t>
        </is>
      </c>
      <c r="E2444" s="14" t="inlineStr">
        <is>
          <t>REVENUE</t>
        </is>
      </c>
      <c r="F2444" s="92" t="inlineStr">
        <is>
          <t>REVENUE(AE3011,Settings!$C$13,AE2975)</t>
        </is>
      </c>
    </row>
    <row r="2445">
      <c r="A2445" s="14" t="n">
        <v>3057</v>
      </c>
      <c r="B2445" s="14" t="inlineStr">
        <is>
          <t>rxcp</t>
        </is>
      </c>
      <c r="C2445" s="14" t="inlineStr">
        <is>
          <t>lpg</t>
        </is>
      </c>
      <c r="D2445" s="14" t="inlineStr">
        <is>
          <t>oen</t>
        </is>
      </c>
      <c r="E2445" s="14" t="inlineStr">
        <is>
          <t>REVENUE</t>
        </is>
      </c>
      <c r="F2445" s="92" t="inlineStr">
        <is>
          <t>REVENUE(AE3012,Settings!$C$13,AE2976)</t>
        </is>
      </c>
    </row>
    <row r="2446">
      <c r="A2446" s="14" t="n">
        <v>3058</v>
      </c>
      <c r="B2446" s="14" t="inlineStr">
        <is>
          <t>rxcp</t>
        </is>
      </c>
      <c r="C2446" s="14" t="inlineStr">
        <is>
          <t>ker</t>
        </is>
      </c>
      <c r="D2446" s="14" t="inlineStr">
        <is>
          <t>oen</t>
        </is>
      </c>
      <c r="E2446" s="14" t="inlineStr">
        <is>
          <t>REVENUE</t>
        </is>
      </c>
      <c r="F2446" s="92" t="inlineStr">
        <is>
          <t>REVENUE(AE3013,Settings!$C$13,AE2977)</t>
        </is>
      </c>
    </row>
    <row r="2447">
      <c r="A2447" s="14" t="n">
        <v>3059</v>
      </c>
      <c r="B2447" s="14" t="inlineStr">
        <is>
          <t>rxcp</t>
        </is>
      </c>
      <c r="C2447" s="14" t="inlineStr">
        <is>
          <t>oop</t>
        </is>
      </c>
      <c r="D2447" s="14" t="inlineStr">
        <is>
          <t>oen</t>
        </is>
      </c>
      <c r="E2447" s="14" t="inlineStr">
        <is>
          <t>REVENUE</t>
        </is>
      </c>
      <c r="F2447" s="92" t="inlineStr">
        <is>
          <t>REVENUE(AE3014,Settings!$C$13,AE2978)</t>
        </is>
      </c>
    </row>
    <row r="2448">
      <c r="A2448" s="14" t="n">
        <v>3060</v>
      </c>
      <c r="B2448" s="14" t="inlineStr">
        <is>
          <t>rxcp</t>
        </is>
      </c>
      <c r="C2448" s="14" t="inlineStr">
        <is>
          <t>bio</t>
        </is>
      </c>
      <c r="D2448" s="14" t="inlineStr">
        <is>
          <t>oen</t>
        </is>
      </c>
      <c r="E2448" s="14" t="inlineStr">
        <is>
          <t>REVENUE</t>
        </is>
      </c>
      <c r="F2448" s="92" t="inlineStr">
        <is>
          <t>REVENUE(AE3015,Settings!$C$13,AE2979)</t>
        </is>
      </c>
    </row>
  </sheetData>
  <pageMargins left="0.75" right="0.75" top="1" bottom="1" header="0.5" footer="0.5"/>
</worksheet>
</file>

<file path=xl/worksheets/sheet11.xml><?xml version="1.0" encoding="utf-8"?>
<worksheet xmlns="http://schemas.openxmlformats.org/spreadsheetml/2006/main">
  <sheetPr codeName="Sheet11">
    <outlinePr summaryBelow="1" summaryRight="1"/>
    <pageSetUpPr/>
  </sheetPr>
  <dimension ref="A1:N415"/>
  <sheetViews>
    <sheetView tabSelected="0"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s>
  <sheetData>
    <row r="1">
      <c r="A1" s="93" t="n"/>
      <c r="B1" s="94" t="inlineStr">
        <is>
          <t>MTInputs template - row structure copied exactly from legacy CPAT MTInputs</t>
        </is>
      </c>
      <c r="C1" s="93" t="n"/>
      <c r="D1" s="93" t="n"/>
      <c r="E1" s="93" t="n"/>
      <c r="F1" s="93" t="n"/>
      <c r="G1" s="93" t="n"/>
      <c r="H1" s="93" t="n"/>
    </row>
    <row r="2">
      <c r="A2" s="95" t="n"/>
      <c r="B2" s="95" t="inlineStr">
        <is>
          <t>Do not insert/delete rows. Columns D:E are hidden placeholders (MT values, Dashboard values).</t>
        </is>
      </c>
      <c r="C2" s="95" t="n"/>
      <c r="D2" s="95" t="n"/>
      <c r="E2" s="95" t="n"/>
      <c r="F2" s="95" t="n"/>
      <c r="G2" s="95" t="n"/>
      <c r="H2" s="95" t="n"/>
    </row>
    <row r="3">
      <c r="A3" s="95" t="n"/>
      <c r="B3" s="95" t="inlineStr">
        <is>
          <t>Rows must match legacy exactly. Green (EBF1DE) = used by module; grey (F2F2F2) = unused. See NORMS.md section 4.</t>
        </is>
      </c>
      <c r="C3" s="95" t="n"/>
      <c r="D3" s="95" t="n"/>
      <c r="E3" s="95" t="n"/>
      <c r="F3" s="95" t="n"/>
      <c r="G3" s="95" t="n"/>
      <c r="H3" s="95" t="n"/>
      <c r="J3" s="1" t="inlineStr">
        <is>
          <t>Scenario columns: number in row 5, name in row 6; red = changed from the template value. J = baseline, K = live policy scenario (Mitigation group 2).</t>
        </is>
      </c>
      <c r="L3" s="1" t="inlineStr">
        <is>
          <t>Scenario definitions: row 4 Run? = Yes for the batch run (macro RunAllScenarios copies each into column K, runs it and stores the results in StoredResults). Copy the last definition one column to the right to add one.</t>
        </is>
      </c>
    </row>
    <row r="4">
      <c r="J4" s="1" t="inlineStr">
        <is>
          <t>Baseline (stored once)</t>
        </is>
      </c>
      <c r="K4" s="1" t="inlineStr">
        <is>
          <t>Live (batch target)</t>
        </is>
      </c>
      <c r="L4" s="83" t="inlineStr">
        <is>
          <t>Yes</t>
        </is>
      </c>
      <c r="M4" s="83" t="inlineStr">
        <is>
          <t>Yes</t>
        </is>
      </c>
      <c r="N4" s="83" t="inlineStr">
        <is>
          <t>Yes</t>
        </is>
      </c>
    </row>
    <row r="5">
      <c r="C5" t="b">
        <v>0</v>
      </c>
      <c r="D5" t="inlineStr">
        <is>
          <t>&lt;-- Should normally  be "FALSE"!</t>
        </is>
      </c>
      <c r="J5" s="8" t="n">
        <v>1</v>
      </c>
      <c r="K5" s="7">
        <f>J5+1</f>
        <v/>
      </c>
      <c r="L5" s="7">
        <f>K5+1</f>
        <v/>
      </c>
      <c r="M5" s="7">
        <f>L5+1</f>
        <v/>
      </c>
      <c r="N5" s="7">
        <f>M5+1</f>
        <v/>
      </c>
    </row>
    <row r="6">
      <c r="D6" t="n">
        <v>6</v>
      </c>
      <c r="J6" s="83" t="inlineStr">
        <is>
          <t>Baseline (no carbon price)</t>
        </is>
      </c>
      <c r="K6" s="83" t="inlineStr">
        <is>
          <t>Carbon price $20/tCO2 from 2027</t>
        </is>
      </c>
      <c r="L6" s="83" t="inlineStr">
        <is>
          <t>Carbon price $20/tCO2 from 2027</t>
        </is>
      </c>
      <c r="M6" s="83" t="inlineStr">
        <is>
          <t>Package A: carbon tax to $50 by 2030 + feebates (transport, industry)</t>
        </is>
      </c>
      <c r="N6" s="83" t="inlineStr">
        <is>
          <t>Package B: ETS on power and industry (cap -5% 2027 to -20% 2035) + carbon tax $25 elsewhere</t>
        </is>
      </c>
    </row>
    <row r="7">
      <c r="B7" s="96" t="inlineStr">
        <is>
          <t>Parameters</t>
        </is>
      </c>
      <c r="C7" s="96" t="inlineStr">
        <is>
          <t>unit</t>
        </is>
      </c>
      <c r="D7" s="96" t="inlineStr">
        <is>
          <t>MT values</t>
        </is>
      </c>
      <c r="E7" s="96" t="inlineStr">
        <is>
          <t>"Dashboard" values</t>
        </is>
      </c>
      <c r="F7" s="96" t="inlineStr">
        <is>
          <t>Used for calculation</t>
        </is>
      </c>
      <c r="G7" s="96" t="inlineStr">
        <is>
          <t>Defaults</t>
        </is>
      </c>
      <c r="H7" s="96" t="inlineStr">
        <is>
          <t>NameOfParameter</t>
        </is>
      </c>
      <c r="J7" s="97" t="inlineStr">
        <is>
          <t>Used for calculation</t>
        </is>
      </c>
      <c r="K7" s="97" t="inlineStr">
        <is>
          <t>Used for calculation</t>
        </is>
      </c>
      <c r="L7" s="97" t="inlineStr">
        <is>
          <t>Used for calculation</t>
        </is>
      </c>
      <c r="M7" s="97" t="inlineStr">
        <is>
          <t>Used for calculation</t>
        </is>
      </c>
      <c r="N7" s="97" t="inlineStr">
        <is>
          <t>Used for calculation</t>
        </is>
      </c>
    </row>
    <row r="8">
      <c r="B8" s="98" t="inlineStr">
        <is>
          <t>Country</t>
        </is>
      </c>
      <c r="C8" s="98" t="n"/>
      <c r="D8" s="98" t="n"/>
      <c r="E8" s="98" t="n"/>
      <c r="F8" s="98" t="inlineStr">
        <is>
          <t>Egypt</t>
        </is>
      </c>
      <c r="G8" s="98" t="inlineStr">
        <is>
          <t>Egypt</t>
        </is>
      </c>
      <c r="H8" s="98" t="inlineStr">
        <is>
          <t>Countryname</t>
        </is>
      </c>
      <c r="J8" s="22" t="inlineStr">
        <is>
          <t>Egypt</t>
        </is>
      </c>
      <c r="K8" s="22" t="inlineStr">
        <is>
          <t>Egypt</t>
        </is>
      </c>
      <c r="L8" s="22" t="inlineStr">
        <is>
          <t>Egypt</t>
        </is>
      </c>
      <c r="M8" s="22" t="inlineStr">
        <is>
          <t>Egypt</t>
        </is>
      </c>
      <c r="N8" s="22" t="inlineStr">
        <is>
          <t>Egypt</t>
        </is>
      </c>
    </row>
    <row r="9">
      <c r="B9" s="96" t="inlineStr">
        <is>
          <t>Scenario identification</t>
        </is>
      </c>
    </row>
    <row r="10">
      <c r="B10" s="98" t="inlineStr">
        <is>
          <t>Scenario ID</t>
        </is>
      </c>
      <c r="C10" s="98" t="inlineStr">
        <is>
          <t>#</t>
        </is>
      </c>
      <c r="D10" s="98" t="n"/>
      <c r="E10" s="98" t="n"/>
      <c r="F10" s="98" t="inlineStr">
        <is>
          <t>N/A</t>
        </is>
      </c>
      <c r="G10" s="98" t="inlineStr">
        <is>
          <t>N/A</t>
        </is>
      </c>
      <c r="H10" s="98" t="inlineStr">
        <is>
          <t>MSTScenarioID</t>
        </is>
      </c>
      <c r="J10" s="22">
        <f>J$5</f>
        <v/>
      </c>
      <c r="K10" s="22">
        <f>K$5</f>
        <v/>
      </c>
      <c r="L10" s="22">
        <f>L$5</f>
        <v/>
      </c>
      <c r="M10" s="22">
        <f>M$5</f>
        <v/>
      </c>
      <c r="N10" s="22">
        <f>N$5</f>
        <v/>
      </c>
    </row>
    <row r="11">
      <c r="B11" s="98" t="inlineStr">
        <is>
          <t>Scenario status</t>
        </is>
      </c>
      <c r="C11" s="98" t="inlineStr">
        <is>
          <t>switch</t>
        </is>
      </c>
      <c r="D11" s="98" t="n"/>
      <c r="E11" s="98" t="n"/>
      <c r="F11" s="98" t="inlineStr">
        <is>
          <t>N/A</t>
        </is>
      </c>
      <c r="G11" s="98" t="inlineStr">
        <is>
          <t>N/A</t>
        </is>
      </c>
      <c r="H11" s="98" t="n"/>
      <c r="J11" s="22" t="inlineStr">
        <is>
          <t>N/A</t>
        </is>
      </c>
      <c r="K11" s="22" t="inlineStr">
        <is>
          <t>N/A</t>
        </is>
      </c>
      <c r="L11" s="22" t="inlineStr">
        <is>
          <t>N/A</t>
        </is>
      </c>
      <c r="M11" s="22" t="inlineStr">
        <is>
          <t>N/A</t>
        </is>
      </c>
      <c r="N11" s="22" t="inlineStr">
        <is>
          <t>N/A</t>
        </is>
      </c>
    </row>
    <row r="12">
      <c r="B12" s="98" t="inlineStr">
        <is>
          <t>Scenario name</t>
        </is>
      </c>
      <c r="C12" s="98" t="inlineStr">
        <is>
          <t>name</t>
        </is>
      </c>
      <c r="D12" s="98" t="n"/>
      <c r="E12" s="98" t="n"/>
      <c r="F12" s="98" t="inlineStr">
        <is>
          <t>N/A</t>
        </is>
      </c>
      <c r="G12" s="98" t="inlineStr">
        <is>
          <t>N/A</t>
        </is>
      </c>
      <c r="H12" s="98" t="n"/>
      <c r="J12" s="22">
        <f>J$6</f>
        <v/>
      </c>
      <c r="K12" s="22">
        <f>K$6</f>
        <v/>
      </c>
      <c r="L12" s="22">
        <f>L$6</f>
        <v/>
      </c>
      <c r="M12" s="22">
        <f>M$6</f>
        <v/>
      </c>
      <c r="N12" s="22">
        <f>N$6</f>
        <v/>
      </c>
    </row>
    <row r="13">
      <c r="B13" s="98" t="inlineStr">
        <is>
          <t>Chosen policy</t>
        </is>
      </c>
      <c r="C13" s="98" t="inlineStr">
        <is>
          <t>switch</t>
        </is>
      </c>
      <c r="D13" s="98" t="n"/>
      <c r="E13" s="98" t="n"/>
      <c r="F13" s="98" t="inlineStr">
        <is>
          <t xml:space="preserve"> - Carbon tax</t>
        </is>
      </c>
      <c r="G13" s="98" t="inlineStr">
        <is>
          <t xml:space="preserve"> - Carbon tax</t>
        </is>
      </c>
      <c r="H13" s="98" t="inlineStr">
        <is>
          <t>ScenarioSelected</t>
        </is>
      </c>
      <c r="J13" s="22" t="inlineStr">
        <is>
          <t xml:space="preserve"> - Carbon tax</t>
        </is>
      </c>
      <c r="K13" s="22" t="inlineStr">
        <is>
          <t xml:space="preserve"> - Carbon tax</t>
        </is>
      </c>
      <c r="L13" s="22" t="inlineStr">
        <is>
          <t xml:space="preserve"> - Carbon tax</t>
        </is>
      </c>
      <c r="M13" s="22" t="inlineStr">
        <is>
          <t xml:space="preserve"> - Carbon tax</t>
        </is>
      </c>
      <c r="N13" s="22" t="inlineStr">
        <is>
          <t xml:space="preserve"> - Carbon tax</t>
        </is>
      </c>
    </row>
    <row r="14">
      <c r="B14" s="98" t="inlineStr">
        <is>
          <t>Scenario status for macro</t>
        </is>
      </c>
      <c r="C14" s="98" t="inlineStr">
        <is>
          <t>#</t>
        </is>
      </c>
      <c r="D14" s="98" t="n"/>
      <c r="E14" s="98" t="n"/>
      <c r="F14" s="98" t="inlineStr">
        <is>
          <t>N/A</t>
        </is>
      </c>
      <c r="G14" s="98" t="inlineStr">
        <is>
          <t>N/A</t>
        </is>
      </c>
      <c r="H14" s="98" t="n"/>
      <c r="J14" s="22" t="inlineStr">
        <is>
          <t>N/A</t>
        </is>
      </c>
      <c r="K14" s="22" t="inlineStr">
        <is>
          <t>N/A</t>
        </is>
      </c>
      <c r="L14" s="22" t="inlineStr">
        <is>
          <t>N/A</t>
        </is>
      </c>
      <c r="M14" s="22" t="inlineStr">
        <is>
          <t>N/A</t>
        </is>
      </c>
      <c r="N14" s="22" t="inlineStr">
        <is>
          <t>N/A</t>
        </is>
      </c>
    </row>
    <row r="15">
      <c r="B15" s="98" t="inlineStr">
        <is>
          <t>Scenario parameters override?</t>
        </is>
      </c>
      <c r="C15" s="98" t="inlineStr">
        <is>
          <t>#</t>
        </is>
      </c>
      <c r="D15" s="98" t="n"/>
      <c r="E15" s="98" t="n"/>
      <c r="F15" s="98" t="inlineStr">
        <is>
          <t>N/A</t>
        </is>
      </c>
      <c r="G15" s="98" t="inlineStr">
        <is>
          <t>N/A</t>
        </is>
      </c>
      <c r="H15" s="98" t="n"/>
      <c r="J15" s="22" t="inlineStr">
        <is>
          <t>N/A</t>
        </is>
      </c>
      <c r="K15" s="22" t="inlineStr">
        <is>
          <t>N/A</t>
        </is>
      </c>
      <c r="L15" s="22" t="inlineStr">
        <is>
          <t>N/A</t>
        </is>
      </c>
      <c r="M15" s="22" t="inlineStr">
        <is>
          <t>N/A</t>
        </is>
      </c>
      <c r="N15" s="22" t="inlineStr">
        <is>
          <t>N/A</t>
        </is>
      </c>
    </row>
    <row r="16">
      <c r="B16" s="98" t="inlineStr">
        <is>
          <t>CPAT-side parameters override?</t>
        </is>
      </c>
      <c r="C16" s="98" t="inlineStr">
        <is>
          <t>switch</t>
        </is>
      </c>
      <c r="D16" s="98" t="n"/>
      <c r="E16" s="98" t="n"/>
      <c r="F16" s="98" t="inlineStr">
        <is>
          <t>Manual*</t>
        </is>
      </c>
      <c r="G16" s="98" t="inlineStr">
        <is>
          <t>Manual*</t>
        </is>
      </c>
      <c r="H16" s="98" t="inlineStr">
        <is>
          <t>CPATDefaultsOrUserDefined</t>
        </is>
      </c>
      <c r="J16" s="22" t="inlineStr">
        <is>
          <t>Manual*</t>
        </is>
      </c>
      <c r="K16" s="22" t="inlineStr">
        <is>
          <t>Manual*</t>
        </is>
      </c>
      <c r="L16" s="22" t="inlineStr">
        <is>
          <t>Manual*</t>
        </is>
      </c>
      <c r="M16" s="22" t="inlineStr">
        <is>
          <t>Manual*</t>
        </is>
      </c>
      <c r="N16" s="22" t="inlineStr">
        <is>
          <t>Manual*</t>
        </is>
      </c>
    </row>
    <row r="17">
      <c r="B17" s="96" t="inlineStr">
        <is>
          <t>Carbon pricing: main inputs</t>
        </is>
      </c>
    </row>
    <row r="18">
      <c r="A18" t="inlineStr">
        <is>
          <t>X</t>
        </is>
      </c>
      <c r="B18" s="98" t="inlineStr">
        <is>
          <t>Carbon pricing start year</t>
        </is>
      </c>
      <c r="C18" s="98" t="inlineStr">
        <is>
          <t>year</t>
        </is>
      </c>
      <c r="D18" s="98" t="n"/>
      <c r="E18" s="98" t="n"/>
      <c r="F18" s="98" t="n">
        <v>2026</v>
      </c>
      <c r="G18" s="98" t="n">
        <v>2027</v>
      </c>
      <c r="H18" s="98" t="inlineStr">
        <is>
          <t>CPIntro</t>
        </is>
      </c>
      <c r="J18" s="99" t="n">
        <v>2027</v>
      </c>
      <c r="K18" s="99" t="n">
        <v>2027</v>
      </c>
      <c r="L18" s="99" t="n">
        <v>2027</v>
      </c>
      <c r="M18" s="99" t="n">
        <v>2027</v>
      </c>
      <c r="N18" s="99" t="n">
        <v>2027</v>
      </c>
    </row>
    <row r="19">
      <c r="A19" t="inlineStr">
        <is>
          <t>X</t>
        </is>
      </c>
      <c r="B19" s="98" t="inlineStr">
        <is>
          <t>Starting carbon price</t>
        </is>
      </c>
      <c r="C19" s="98" t="inlineStr">
        <is>
          <t>nom. USD/tCO2</t>
        </is>
      </c>
      <c r="D19" s="98" t="n"/>
      <c r="E19" s="98" t="n"/>
      <c r="F19" s="98" t="n">
        <v>0</v>
      </c>
      <c r="G19" s="98" t="n">
        <v>20</v>
      </c>
      <c r="H19" s="98" t="inlineStr">
        <is>
          <t>CPLevelStart</t>
        </is>
      </c>
      <c r="J19" s="99" t="n">
        <v>0</v>
      </c>
      <c r="K19" s="99" t="n">
        <v>20</v>
      </c>
      <c r="L19" s="99" t="n">
        <v>20</v>
      </c>
      <c r="M19" s="99" t="n">
        <v>10</v>
      </c>
      <c r="N19" s="99" t="n">
        <v>25</v>
      </c>
    </row>
    <row r="20">
      <c r="B20" s="98" t="inlineStr">
        <is>
          <t>Target level of carbon price</t>
        </is>
      </c>
      <c r="C20" s="98" t="inlineStr">
        <is>
          <t>nom. USD/tCO2</t>
        </is>
      </c>
      <c r="D20" s="98" t="n"/>
      <c r="E20" s="98" t="n"/>
      <c r="F20" s="98" t="n">
        <v>50</v>
      </c>
      <c r="G20" s="98" t="n">
        <v>50</v>
      </c>
      <c r="H20" s="98" t="inlineStr">
        <is>
          <t>CPLevelTarget</t>
        </is>
      </c>
      <c r="J20" s="99" t="n">
        <v>0</v>
      </c>
      <c r="K20" s="99" t="n">
        <v>20</v>
      </c>
      <c r="L20" s="99" t="n">
        <v>20</v>
      </c>
      <c r="M20" s="99" t="n">
        <v>50</v>
      </c>
      <c r="N20" s="99" t="n">
        <v>25</v>
      </c>
    </row>
    <row r="21">
      <c r="A21" t="inlineStr">
        <is>
          <t>X</t>
        </is>
      </c>
      <c r="B21" s="98" t="inlineStr">
        <is>
          <t>Year to reach target level</t>
        </is>
      </c>
      <c r="C21" s="98" t="inlineStr">
        <is>
          <t>year</t>
        </is>
      </c>
      <c r="D21" s="98" t="n"/>
      <c r="E21" s="98" t="n"/>
      <c r="F21" s="98" t="n">
        <v>2030</v>
      </c>
      <c r="G21" s="98" t="n">
        <v>2035</v>
      </c>
      <c r="H21" s="98" t="inlineStr">
        <is>
          <t>CPOutro</t>
        </is>
      </c>
      <c r="J21" s="99" t="n">
        <v>2030</v>
      </c>
      <c r="K21" s="99" t="n">
        <v>2030</v>
      </c>
      <c r="L21" s="99" t="n">
        <v>2030</v>
      </c>
      <c r="M21" s="99" t="n">
        <v>2030</v>
      </c>
      <c r="N21" s="99" t="n">
        <v>2030</v>
      </c>
    </row>
    <row r="22">
      <c r="B22" s="96" t="inlineStr">
        <is>
          <t>Carbon pricing: fuel coverage</t>
        </is>
      </c>
    </row>
    <row r="23">
      <c r="B23" s="98" t="inlineStr">
        <is>
          <t>Apply tax to coal?</t>
        </is>
      </c>
      <c r="C23" s="98" t="inlineStr">
        <is>
          <t>switch</t>
        </is>
      </c>
      <c r="D23" s="98" t="n"/>
      <c r="E23" s="98" t="n"/>
      <c r="F23" s="98" t="b">
        <v>1</v>
      </c>
      <c r="G23" s="98" t="b">
        <v>1</v>
      </c>
      <c r="H23" s="98" t="inlineStr">
        <is>
          <t>MCovCoa</t>
        </is>
      </c>
      <c r="J23" s="22" t="b">
        <v>1</v>
      </c>
      <c r="K23" s="22" t="b">
        <v>1</v>
      </c>
      <c r="L23" s="22" t="b">
        <v>1</v>
      </c>
      <c r="M23" s="22" t="b">
        <v>1</v>
      </c>
      <c r="N23" s="22" t="b">
        <v>1</v>
      </c>
    </row>
    <row r="24">
      <c r="B24" s="98" t="inlineStr">
        <is>
          <t>Apply tax to natural gas?</t>
        </is>
      </c>
      <c r="C24" s="98" t="inlineStr">
        <is>
          <t>switch</t>
        </is>
      </c>
      <c r="D24" s="98" t="n"/>
      <c r="E24" s="98" t="n"/>
      <c r="F24" s="98" t="b">
        <v>1</v>
      </c>
      <c r="G24" s="98" t="b">
        <v>1</v>
      </c>
      <c r="H24" s="98" t="inlineStr">
        <is>
          <t>MCovNga</t>
        </is>
      </c>
      <c r="J24" s="22" t="b">
        <v>1</v>
      </c>
      <c r="K24" s="22" t="b">
        <v>1</v>
      </c>
      <c r="L24" s="22" t="b">
        <v>1</v>
      </c>
      <c r="M24" s="22" t="b">
        <v>1</v>
      </c>
      <c r="N24" s="22" t="b">
        <v>1</v>
      </c>
    </row>
    <row r="25">
      <c r="B25" s="98" t="inlineStr">
        <is>
          <t>Apply tax to gasoline?</t>
        </is>
      </c>
      <c r="C25" s="98" t="inlineStr">
        <is>
          <t>switch</t>
        </is>
      </c>
      <c r="D25" s="98" t="n"/>
      <c r="E25" s="98" t="n"/>
      <c r="F25" s="98" t="b">
        <v>1</v>
      </c>
      <c r="G25" s="98" t="b">
        <v>1</v>
      </c>
      <c r="H25" s="98" t="inlineStr">
        <is>
          <t>MCovGso</t>
        </is>
      </c>
      <c r="J25" s="22" t="b">
        <v>1</v>
      </c>
      <c r="K25" s="22" t="b">
        <v>1</v>
      </c>
      <c r="L25" s="22" t="b">
        <v>1</v>
      </c>
      <c r="M25" s="22" t="b">
        <v>1</v>
      </c>
      <c r="N25" s="22" t="b">
        <v>1</v>
      </c>
    </row>
    <row r="26">
      <c r="B26" s="98" t="inlineStr">
        <is>
          <t>Apply tax to diesel?</t>
        </is>
      </c>
      <c r="C26" s="98" t="inlineStr">
        <is>
          <t>switch</t>
        </is>
      </c>
      <c r="D26" s="98" t="n"/>
      <c r="E26" s="98" t="n"/>
      <c r="F26" s="98" t="b">
        <v>1</v>
      </c>
      <c r="G26" s="98" t="b">
        <v>1</v>
      </c>
      <c r="H26" s="98" t="inlineStr">
        <is>
          <t>MCovDie</t>
        </is>
      </c>
      <c r="J26" s="22" t="b">
        <v>1</v>
      </c>
      <c r="K26" s="22" t="b">
        <v>1</v>
      </c>
      <c r="L26" s="22" t="b">
        <v>1</v>
      </c>
      <c r="M26" s="22" t="b">
        <v>1</v>
      </c>
      <c r="N26" s="22" t="b">
        <v>1</v>
      </c>
    </row>
    <row r="27">
      <c r="B27" s="98" t="inlineStr">
        <is>
          <t>Apply tax to LPG?</t>
        </is>
      </c>
      <c r="C27" s="98" t="inlineStr">
        <is>
          <t>switch</t>
        </is>
      </c>
      <c r="D27" s="98" t="n"/>
      <c r="E27" s="98" t="n"/>
      <c r="F27" s="98" t="b">
        <v>1</v>
      </c>
      <c r="G27" s="98" t="b">
        <v>1</v>
      </c>
      <c r="H27" s="98" t="inlineStr">
        <is>
          <t>MCovLpg</t>
        </is>
      </c>
      <c r="J27" s="22" t="b">
        <v>1</v>
      </c>
      <c r="K27" s="22" t="b">
        <v>1</v>
      </c>
      <c r="L27" s="22" t="b">
        <v>1</v>
      </c>
      <c r="M27" s="22" t="b">
        <v>1</v>
      </c>
      <c r="N27" s="22" t="b">
        <v>1</v>
      </c>
    </row>
    <row r="28">
      <c r="B28" s="98" t="inlineStr">
        <is>
          <t>Apply tax to kerosene?</t>
        </is>
      </c>
      <c r="C28" s="98" t="inlineStr">
        <is>
          <t>switch</t>
        </is>
      </c>
      <c r="D28" s="98" t="n"/>
      <c r="E28" s="98" t="n"/>
      <c r="F28" s="98" t="b">
        <v>1</v>
      </c>
      <c r="G28" s="98" t="b">
        <v>1</v>
      </c>
      <c r="H28" s="98" t="inlineStr">
        <is>
          <t>MCovKer</t>
        </is>
      </c>
      <c r="J28" s="22" t="b">
        <v>1</v>
      </c>
      <c r="K28" s="22" t="b">
        <v>1</v>
      </c>
      <c r="L28" s="22" t="b">
        <v>1</v>
      </c>
      <c r="M28" s="22" t="b">
        <v>1</v>
      </c>
      <c r="N28" s="22" t="b">
        <v>1</v>
      </c>
    </row>
    <row r="29">
      <c r="B29" s="98" t="inlineStr">
        <is>
          <t>Apply tax to non-road oil products?</t>
        </is>
      </c>
      <c r="C29" s="98" t="inlineStr">
        <is>
          <t>switch</t>
        </is>
      </c>
      <c r="D29" s="98" t="n"/>
      <c r="E29" s="98" t="n"/>
      <c r="F29" s="98" t="b">
        <v>1</v>
      </c>
      <c r="G29" s="98" t="b">
        <v>1</v>
      </c>
      <c r="H29" s="98" t="inlineStr">
        <is>
          <t>MCovOop</t>
        </is>
      </c>
      <c r="J29" s="22" t="b">
        <v>1</v>
      </c>
      <c r="K29" s="22" t="b">
        <v>1</v>
      </c>
      <c r="L29" s="22" t="b">
        <v>1</v>
      </c>
      <c r="M29" s="22" t="b">
        <v>1</v>
      </c>
      <c r="N29" s="22" t="b">
        <v>1</v>
      </c>
    </row>
    <row r="30">
      <c r="B30" s="96" t="inlineStr">
        <is>
          <t>Carbon pricing: sector coverage</t>
        </is>
      </c>
    </row>
    <row r="31">
      <c r="B31" s="98" t="inlineStr">
        <is>
          <t>Apply tax to power sector?</t>
        </is>
      </c>
      <c r="C31" s="98" t="inlineStr">
        <is>
          <t>switch</t>
        </is>
      </c>
      <c r="D31" s="98" t="n"/>
      <c r="E31" s="98" t="n"/>
      <c r="F31" s="98" t="b">
        <v>1</v>
      </c>
      <c r="G31" s="98" t="b">
        <v>1</v>
      </c>
      <c r="H31" s="98" t="inlineStr">
        <is>
          <t>MCovPow</t>
        </is>
      </c>
      <c r="J31" s="22" t="b">
        <v>1</v>
      </c>
      <c r="K31" s="22" t="b">
        <v>1</v>
      </c>
      <c r="L31" s="22" t="b">
        <v>1</v>
      </c>
      <c r="M31" s="22" t="b">
        <v>1</v>
      </c>
      <c r="N31" s="22" t="b">
        <v>1</v>
      </c>
    </row>
    <row r="32">
      <c r="B32" s="98" t="inlineStr">
        <is>
          <t>Apply tax to road transportation?</t>
        </is>
      </c>
      <c r="C32" s="98" t="inlineStr">
        <is>
          <t>switch</t>
        </is>
      </c>
      <c r="D32" s="98" t="n"/>
      <c r="E32" s="98" t="n"/>
      <c r="F32" s="98" t="b">
        <v>1</v>
      </c>
      <c r="G32" s="98" t="b">
        <v>1</v>
      </c>
      <c r="H32" s="98" t="inlineStr">
        <is>
          <t>MCovRod</t>
        </is>
      </c>
      <c r="J32" s="22" t="b">
        <v>1</v>
      </c>
      <c r="K32" s="22" t="b">
        <v>1</v>
      </c>
      <c r="L32" s="22" t="b">
        <v>1</v>
      </c>
      <c r="M32" s="22" t="b">
        <v>1</v>
      </c>
      <c r="N32" s="22" t="b">
        <v>1</v>
      </c>
    </row>
    <row r="33">
      <c r="B33" s="98" t="inlineStr">
        <is>
          <t>Apply tax to rail transportation?</t>
        </is>
      </c>
      <c r="C33" s="98" t="inlineStr">
        <is>
          <t>switch</t>
        </is>
      </c>
      <c r="D33" s="98" t="n"/>
      <c r="E33" s="98" t="n"/>
      <c r="F33" s="98" t="b">
        <v>1</v>
      </c>
      <c r="G33" s="98" t="b">
        <v>1</v>
      </c>
      <c r="H33" s="98" t="inlineStr">
        <is>
          <t>MCovRal</t>
        </is>
      </c>
      <c r="J33" s="22" t="b">
        <v>1</v>
      </c>
      <c r="K33" s="22" t="b">
        <v>1</v>
      </c>
      <c r="L33" s="22" t="b">
        <v>1</v>
      </c>
      <c r="M33" s="22" t="b">
        <v>1</v>
      </c>
      <c r="N33" s="22" t="b">
        <v>1</v>
      </c>
    </row>
    <row r="34">
      <c r="B34" s="98" t="inlineStr">
        <is>
          <t>Apply tax to domestic aviation?</t>
        </is>
      </c>
      <c r="C34" s="98" t="inlineStr">
        <is>
          <t>switch</t>
        </is>
      </c>
      <c r="D34" s="98" t="n"/>
      <c r="E34" s="98" t="n"/>
      <c r="F34" s="98" t="b">
        <v>1</v>
      </c>
      <c r="G34" s="98" t="b">
        <v>1</v>
      </c>
      <c r="H34" s="98" t="inlineStr">
        <is>
          <t>MCovAvi</t>
        </is>
      </c>
      <c r="J34" s="22" t="b">
        <v>1</v>
      </c>
      <c r="K34" s="22" t="b">
        <v>1</v>
      </c>
      <c r="L34" s="22" t="b">
        <v>1</v>
      </c>
      <c r="M34" s="22" t="b">
        <v>1</v>
      </c>
      <c r="N34" s="22" t="b">
        <v>1</v>
      </c>
    </row>
    <row r="35">
      <c r="B35" s="98" t="inlineStr">
        <is>
          <t>Apply tax to domestic shipping?</t>
        </is>
      </c>
      <c r="C35" s="98" t="inlineStr">
        <is>
          <t>switch</t>
        </is>
      </c>
      <c r="D35" s="98" t="n"/>
      <c r="E35" s="98" t="n"/>
      <c r="F35" s="98" t="b">
        <v>1</v>
      </c>
      <c r="G35" s="98" t="b">
        <v>1</v>
      </c>
      <c r="H35" s="98" t="inlineStr">
        <is>
          <t>MCovNav</t>
        </is>
      </c>
      <c r="J35" s="22" t="b">
        <v>1</v>
      </c>
      <c r="K35" s="22" t="b">
        <v>1</v>
      </c>
      <c r="L35" s="22" t="b">
        <v>1</v>
      </c>
      <c r="M35" s="22" t="b">
        <v>1</v>
      </c>
      <c r="N35" s="22" t="b">
        <v>1</v>
      </c>
    </row>
    <row r="36">
      <c r="B36" s="98" t="inlineStr">
        <is>
          <t>Apply tax to residential sector?</t>
        </is>
      </c>
      <c r="C36" s="98" t="inlineStr">
        <is>
          <t>switch</t>
        </is>
      </c>
      <c r="D36" s="98" t="n"/>
      <c r="E36" s="98" t="n"/>
      <c r="F36" s="98" t="b">
        <v>1</v>
      </c>
      <c r="G36" s="98" t="b">
        <v>1</v>
      </c>
      <c r="H36" s="98" t="inlineStr">
        <is>
          <t>MCovRes</t>
        </is>
      </c>
      <c r="J36" s="22" t="b">
        <v>1</v>
      </c>
      <c r="K36" s="22" t="b">
        <v>1</v>
      </c>
      <c r="L36" s="22" t="b">
        <v>1</v>
      </c>
      <c r="M36" s="22" t="b">
        <v>1</v>
      </c>
      <c r="N36" s="22" t="b">
        <v>1</v>
      </c>
    </row>
    <row r="37">
      <c r="B37" s="98" t="inlineStr">
        <is>
          <t>Apply tax to food &amp; forestry?</t>
        </is>
      </c>
      <c r="C37" s="98" t="inlineStr">
        <is>
          <t>switch</t>
        </is>
      </c>
      <c r="D37" s="98" t="n"/>
      <c r="E37" s="98" t="n"/>
      <c r="F37" s="98" t="b">
        <v>1</v>
      </c>
      <c r="G37" s="98" t="b">
        <v>1</v>
      </c>
      <c r="H37" s="98" t="inlineStr">
        <is>
          <t>MCovFoo</t>
        </is>
      </c>
      <c r="J37" s="22" t="b">
        <v>1</v>
      </c>
      <c r="K37" s="22" t="b">
        <v>1</v>
      </c>
      <c r="L37" s="22" t="b">
        <v>1</v>
      </c>
      <c r="M37" s="22" t="b">
        <v>1</v>
      </c>
      <c r="N37" s="22" t="b">
        <v>1</v>
      </c>
    </row>
    <row r="38">
      <c r="B38" s="98" t="inlineStr">
        <is>
          <t>Apply tax to services (private / public)?</t>
        </is>
      </c>
      <c r="C38" s="98" t="inlineStr">
        <is>
          <t>switch</t>
        </is>
      </c>
      <c r="D38" s="98" t="n"/>
      <c r="E38" s="98" t="n"/>
      <c r="F38" s="98" t="b">
        <v>1</v>
      </c>
      <c r="G38" s="98" t="b">
        <v>1</v>
      </c>
      <c r="H38" s="98" t="inlineStr">
        <is>
          <t>MCovSrv</t>
        </is>
      </c>
      <c r="J38" s="22" t="b">
        <v>1</v>
      </c>
      <c r="K38" s="22" t="b">
        <v>1</v>
      </c>
      <c r="L38" s="22" t="b">
        <v>1</v>
      </c>
      <c r="M38" s="22" t="b">
        <v>1</v>
      </c>
      <c r="N38" s="22" t="b">
        <v>1</v>
      </c>
    </row>
    <row r="39">
      <c r="B39" s="98" t="inlineStr">
        <is>
          <t>Apply tax to mining &amp; chemicals?</t>
        </is>
      </c>
      <c r="C39" s="98" t="inlineStr">
        <is>
          <t>switch</t>
        </is>
      </c>
      <c r="D39" s="98" t="n"/>
      <c r="E39" s="98" t="n"/>
      <c r="F39" s="98" t="b">
        <v>1</v>
      </c>
      <c r="G39" s="98" t="b">
        <v>1</v>
      </c>
      <c r="H39" s="98" t="inlineStr">
        <is>
          <t>MCovMch</t>
        </is>
      </c>
      <c r="J39" s="22" t="b">
        <v>1</v>
      </c>
      <c r="K39" s="22" t="b">
        <v>1</v>
      </c>
      <c r="L39" s="22" t="b">
        <v>1</v>
      </c>
      <c r="M39" s="22" t="b">
        <v>1</v>
      </c>
      <c r="N39" s="22" t="b">
        <v>1</v>
      </c>
    </row>
    <row r="40">
      <c r="B40" s="98" t="inlineStr">
        <is>
          <t>Apply tax to iron and steel?</t>
        </is>
      </c>
      <c r="C40" s="98" t="inlineStr">
        <is>
          <t>switch</t>
        </is>
      </c>
      <c r="D40" s="98" t="n"/>
      <c r="E40" s="98" t="n"/>
      <c r="F40" s="98" t="b">
        <v>1</v>
      </c>
      <c r="G40" s="98" t="b">
        <v>1</v>
      </c>
      <c r="H40" s="98" t="inlineStr">
        <is>
          <t>MCovIrn</t>
        </is>
      </c>
      <c r="J40" s="22" t="b">
        <v>1</v>
      </c>
      <c r="K40" s="22" t="b">
        <v>1</v>
      </c>
      <c r="L40" s="22" t="b">
        <v>1</v>
      </c>
      <c r="M40" s="22" t="b">
        <v>1</v>
      </c>
      <c r="N40" s="22" t="b">
        <v>1</v>
      </c>
    </row>
    <row r="41">
      <c r="B41" s="98" t="inlineStr">
        <is>
          <t>Apply tax to non-ferrous metals?</t>
        </is>
      </c>
      <c r="C41" s="98" t="inlineStr">
        <is>
          <t>switch</t>
        </is>
      </c>
      <c r="D41" s="98" t="n"/>
      <c r="E41" s="98" t="n"/>
      <c r="F41" s="98" t="b">
        <v>1</v>
      </c>
      <c r="G41" s="98" t="b">
        <v>1</v>
      </c>
      <c r="H41" s="98" t="inlineStr">
        <is>
          <t>MCovNfm</t>
        </is>
      </c>
      <c r="J41" s="22" t="b">
        <v>1</v>
      </c>
      <c r="K41" s="22" t="b">
        <v>1</v>
      </c>
      <c r="L41" s="22" t="b">
        <v>1</v>
      </c>
      <c r="M41" s="22" t="b">
        <v>1</v>
      </c>
      <c r="N41" s="22" t="b">
        <v>1</v>
      </c>
    </row>
    <row r="42">
      <c r="B42" s="98" t="inlineStr">
        <is>
          <t>Apply tax to machinery?</t>
        </is>
      </c>
      <c r="C42" s="98" t="inlineStr">
        <is>
          <t>switch</t>
        </is>
      </c>
      <c r="D42" s="98" t="n"/>
      <c r="E42" s="98" t="n"/>
      <c r="F42" s="98" t="b">
        <v>1</v>
      </c>
      <c r="G42" s="98" t="b">
        <v>1</v>
      </c>
      <c r="H42" s="98" t="inlineStr">
        <is>
          <t>MCovMac</t>
        </is>
      </c>
      <c r="J42" s="22" t="b">
        <v>1</v>
      </c>
      <c r="K42" s="22" t="b">
        <v>1</v>
      </c>
      <c r="L42" s="22" t="b">
        <v>1</v>
      </c>
      <c r="M42" s="22" t="b">
        <v>1</v>
      </c>
      <c r="N42" s="22" t="b">
        <v>1</v>
      </c>
    </row>
    <row r="43">
      <c r="B43" s="98" t="inlineStr">
        <is>
          <t>Apply tax to cement?</t>
        </is>
      </c>
      <c r="C43" s="98" t="inlineStr">
        <is>
          <t>switch</t>
        </is>
      </c>
      <c r="D43" s="98" t="n"/>
      <c r="E43" s="98" t="n"/>
      <c r="F43" s="98" t="b">
        <v>1</v>
      </c>
      <c r="G43" s="98" t="b">
        <v>1</v>
      </c>
      <c r="H43" s="98" t="inlineStr">
        <is>
          <t>MCovCem</t>
        </is>
      </c>
      <c r="J43" s="22" t="b">
        <v>1</v>
      </c>
      <c r="K43" s="22" t="b">
        <v>1</v>
      </c>
      <c r="L43" s="22" t="b">
        <v>1</v>
      </c>
      <c r="M43" s="22" t="b">
        <v>1</v>
      </c>
      <c r="N43" s="22" t="b">
        <v>1</v>
      </c>
    </row>
    <row r="44">
      <c r="B44" s="98" t="inlineStr">
        <is>
          <t>Apply tax to other manucfacturing?</t>
        </is>
      </c>
      <c r="C44" s="98" t="inlineStr">
        <is>
          <t>switch</t>
        </is>
      </c>
      <c r="D44" s="98" t="n"/>
      <c r="E44" s="98" t="n"/>
      <c r="F44" s="98" t="b">
        <v>1</v>
      </c>
      <c r="G44" s="98" t="b">
        <v>1</v>
      </c>
      <c r="H44" s="98" t="inlineStr">
        <is>
          <t>MCovOmn</t>
        </is>
      </c>
      <c r="J44" s="22" t="b">
        <v>1</v>
      </c>
      <c r="K44" s="22" t="b">
        <v>1</v>
      </c>
      <c r="L44" s="22" t="b">
        <v>1</v>
      </c>
      <c r="M44" s="22" t="b">
        <v>1</v>
      </c>
      <c r="N44" s="22" t="b">
        <v>1</v>
      </c>
    </row>
    <row r="45">
      <c r="B45" s="98" t="inlineStr">
        <is>
          <t>Apply tax to construction?</t>
        </is>
      </c>
      <c r="C45" s="98" t="inlineStr">
        <is>
          <t>switch</t>
        </is>
      </c>
      <c r="D45" s="98" t="n"/>
      <c r="E45" s="98" t="n"/>
      <c r="F45" s="98" t="b">
        <v>1</v>
      </c>
      <c r="G45" s="98" t="b">
        <v>1</v>
      </c>
      <c r="H45" s="98" t="inlineStr">
        <is>
          <t>MCovCst</t>
        </is>
      </c>
      <c r="J45" s="22" t="b">
        <v>1</v>
      </c>
      <c r="K45" s="22" t="b">
        <v>1</v>
      </c>
      <c r="L45" s="22" t="b">
        <v>1</v>
      </c>
      <c r="M45" s="22" t="b">
        <v>1</v>
      </c>
      <c r="N45" s="22" t="b">
        <v>1</v>
      </c>
    </row>
    <row r="46">
      <c r="B46" s="98" t="inlineStr">
        <is>
          <t>Apply tax to fuel transformation?</t>
        </is>
      </c>
      <c r="C46" s="98" t="inlineStr">
        <is>
          <t>switch</t>
        </is>
      </c>
      <c r="D46" s="98" t="n"/>
      <c r="E46" s="98" t="n"/>
      <c r="F46" s="98" t="b">
        <v>1</v>
      </c>
      <c r="G46" s="98" t="b">
        <v>1</v>
      </c>
      <c r="H46" s="98" t="inlineStr">
        <is>
          <t>MCovFtr</t>
        </is>
      </c>
      <c r="J46" s="22" t="b">
        <v>1</v>
      </c>
      <c r="K46" s="22" t="b">
        <v>1</v>
      </c>
      <c r="L46" s="22" t="b">
        <v>1</v>
      </c>
      <c r="M46" s="22" t="b">
        <v>1</v>
      </c>
      <c r="N46" s="22" t="b">
        <v>1</v>
      </c>
    </row>
    <row r="47">
      <c r="B47" s="98" t="inlineStr">
        <is>
          <t>Apply tax to other energy use?</t>
        </is>
      </c>
      <c r="C47" s="98" t="inlineStr">
        <is>
          <t>switch</t>
        </is>
      </c>
      <c r="D47" s="98" t="n"/>
      <c r="E47" s="98" t="n"/>
      <c r="F47" s="98" t="b">
        <v>1</v>
      </c>
      <c r="G47" s="98" t="b">
        <v>1</v>
      </c>
      <c r="H47" s="98" t="inlineStr">
        <is>
          <t>MCovOen</t>
        </is>
      </c>
      <c r="J47" s="99" t="b">
        <v>0</v>
      </c>
      <c r="K47" s="99" t="b">
        <v>0</v>
      </c>
      <c r="L47" s="99" t="b">
        <v>0</v>
      </c>
      <c r="M47" s="99" t="b">
        <v>0</v>
      </c>
      <c r="N47" s="99" t="b">
        <v>0</v>
      </c>
    </row>
    <row r="48">
      <c r="B48" s="96" t="inlineStr">
        <is>
          <t>Exemptions phaseout</t>
        </is>
      </c>
    </row>
    <row r="49">
      <c r="B49" s="98" t="inlineStr">
        <is>
          <t>Apply exemption phaseout?</t>
        </is>
      </c>
      <c r="C49" s="98" t="inlineStr">
        <is>
          <t>switch</t>
        </is>
      </c>
      <c r="D49" s="98" t="n"/>
      <c r="E49" s="98" t="n"/>
      <c r="F49" s="98" t="b">
        <v>0</v>
      </c>
      <c r="G49" s="98" t="b">
        <v>0</v>
      </c>
      <c r="H49" s="98" t="inlineStr">
        <is>
          <t>ExemptPhaseout</t>
        </is>
      </c>
      <c r="J49" s="22" t="b">
        <v>0</v>
      </c>
      <c r="K49" s="22" t="b">
        <v>0</v>
      </c>
      <c r="L49" s="22" t="b">
        <v>0</v>
      </c>
      <c r="M49" s="22" t="b">
        <v>0</v>
      </c>
      <c r="N49" s="22" t="b">
        <v>0</v>
      </c>
    </row>
    <row r="50">
      <c r="B50" s="98" t="inlineStr">
        <is>
          <t>Year to start exemption phaseout (if applicable)</t>
        </is>
      </c>
      <c r="C50" s="98" t="inlineStr">
        <is>
          <t>year</t>
        </is>
      </c>
      <c r="D50" s="98" t="n"/>
      <c r="E50" s="98" t="n"/>
      <c r="F50" s="98" t="n">
        <v>2027</v>
      </c>
      <c r="G50" s="98" t="n">
        <v>2027</v>
      </c>
      <c r="H50" s="98" t="inlineStr">
        <is>
          <t>YearPha</t>
        </is>
      </c>
      <c r="J50" s="22" t="n">
        <v>2027</v>
      </c>
      <c r="K50" s="22" t="n">
        <v>2027</v>
      </c>
      <c r="L50" s="22" t="n">
        <v>2027</v>
      </c>
      <c r="M50" s="22" t="n">
        <v>2027</v>
      </c>
      <c r="N50" s="22" t="n">
        <v>2027</v>
      </c>
    </row>
    <row r="51">
      <c r="B51" s="98" t="inlineStr">
        <is>
          <t>Period to reach full exemption phaseout (if applicable)</t>
        </is>
      </c>
      <c r="C51" s="98" t="inlineStr">
        <is>
          <t>year</t>
        </is>
      </c>
      <c r="D51" s="98" t="n"/>
      <c r="E51" s="98" t="n"/>
      <c r="F51" s="98" t="n">
        <v>5</v>
      </c>
      <c r="G51" s="98" t="n">
        <v>5</v>
      </c>
      <c r="H51" s="98" t="inlineStr">
        <is>
          <t>ExemptPhaseoutPeriod</t>
        </is>
      </c>
      <c r="J51" s="22" t="n">
        <v>5</v>
      </c>
      <c r="K51" s="22" t="n">
        <v>5</v>
      </c>
      <c r="L51" s="22" t="n">
        <v>5</v>
      </c>
      <c r="M51" s="22" t="n">
        <v>5</v>
      </c>
      <c r="N51" s="22" t="n">
        <v>5</v>
      </c>
    </row>
    <row r="52">
      <c r="B52" s="96" t="inlineStr">
        <is>
          <t>Feebates: Starting and End Date</t>
        </is>
      </c>
    </row>
    <row r="53">
      <c r="B53" s="98" t="inlineStr">
        <is>
          <t>Start date</t>
        </is>
      </c>
      <c r="C53" s="98" t="n"/>
      <c r="D53" s="98" t="n"/>
      <c r="E53" s="98" t="n"/>
      <c r="F53" s="98" t="n">
        <v>2027</v>
      </c>
      <c r="G53" s="98" t="n">
        <v>2027</v>
      </c>
      <c r="H53" s="98" t="inlineStr">
        <is>
          <t>D_FeebateIntro</t>
        </is>
      </c>
      <c r="J53" s="22" t="n">
        <v>2027</v>
      </c>
      <c r="K53" s="22" t="n">
        <v>2027</v>
      </c>
      <c r="L53" s="22" t="n">
        <v>2027</v>
      </c>
      <c r="M53" s="99" t="n">
        <v>2027</v>
      </c>
      <c r="N53" s="22" t="n">
        <v>2027</v>
      </c>
    </row>
    <row r="54">
      <c r="B54" s="98" t="inlineStr">
        <is>
          <t>Target date</t>
        </is>
      </c>
      <c r="C54" s="98" t="n"/>
      <c r="D54" s="98" t="n"/>
      <c r="E54" s="98" t="n"/>
      <c r="F54" s="98" t="n">
        <v>2035</v>
      </c>
      <c r="G54" s="98" t="n">
        <v>2035</v>
      </c>
      <c r="H54" s="98" t="inlineStr">
        <is>
          <t>D_FeebateOutro</t>
        </is>
      </c>
      <c r="J54" s="22" t="n">
        <v>2035</v>
      </c>
      <c r="K54" s="22" t="n">
        <v>2035</v>
      </c>
      <c r="L54" s="22" t="n">
        <v>2035</v>
      </c>
      <c r="M54" s="99" t="n">
        <v>2030</v>
      </c>
      <c r="N54" s="22" t="n">
        <v>2035</v>
      </c>
    </row>
    <row r="55">
      <c r="B55" s="96" t="inlineStr">
        <is>
          <t>Feebates: Feebate starting rate</t>
        </is>
      </c>
    </row>
    <row r="56">
      <c r="B56" s="98" t="inlineStr">
        <is>
          <t>Power sector</t>
        </is>
      </c>
      <c r="C56" s="98" t="inlineStr">
        <is>
          <t>USD/tCO2</t>
        </is>
      </c>
      <c r="D56" s="98" t="n"/>
      <c r="E56" s="98" t="n"/>
      <c r="F56" s="98" t="n">
        <v>0</v>
      </c>
      <c r="G56" s="98" t="n">
        <v>0</v>
      </c>
      <c r="H56" s="98" t="inlineStr">
        <is>
          <t>D_Feb_Level_Start_Pow</t>
        </is>
      </c>
      <c r="J56" s="22" t="n">
        <v>0</v>
      </c>
      <c r="K56" s="22" t="n">
        <v>0</v>
      </c>
      <c r="L56" s="22" t="n">
        <v>0</v>
      </c>
      <c r="M56" s="22" t="n">
        <v>0</v>
      </c>
      <c r="N56" s="22" t="n">
        <v>0</v>
      </c>
    </row>
    <row r="57">
      <c r="B57" s="98" t="inlineStr">
        <is>
          <t>Transport</t>
        </is>
      </c>
      <c r="C57" s="98" t="inlineStr">
        <is>
          <t>USD/tCO2</t>
        </is>
      </c>
      <c r="D57" s="98" t="n"/>
      <c r="E57" s="98" t="n"/>
      <c r="F57" s="98" t="n">
        <v>0</v>
      </c>
      <c r="G57" s="98" t="n">
        <v>0</v>
      </c>
      <c r="H57" s="98" t="inlineStr">
        <is>
          <t>D_Feb_Level_Start_Trans</t>
        </is>
      </c>
      <c r="J57" s="22" t="n">
        <v>0</v>
      </c>
      <c r="K57" s="22" t="n">
        <v>0</v>
      </c>
      <c r="L57" s="22" t="n">
        <v>0</v>
      </c>
      <c r="M57" s="99" t="n">
        <v>10</v>
      </c>
      <c r="N57" s="22" t="n">
        <v>0</v>
      </c>
    </row>
    <row r="58">
      <c r="B58" s="98" t="inlineStr">
        <is>
          <t>Residential</t>
        </is>
      </c>
      <c r="C58" s="98" t="inlineStr">
        <is>
          <t>USD/tCO2</t>
        </is>
      </c>
      <c r="D58" s="98" t="n"/>
      <c r="E58" s="98" t="n"/>
      <c r="F58" s="98" t="n">
        <v>0</v>
      </c>
      <c r="G58" s="98" t="n">
        <v>0</v>
      </c>
      <c r="H58" s="98" t="inlineStr">
        <is>
          <t>D_Feb_Level_Start_Res</t>
        </is>
      </c>
      <c r="J58" s="22" t="n">
        <v>0</v>
      </c>
      <c r="K58" s="22" t="n">
        <v>0</v>
      </c>
      <c r="L58" s="22" t="n">
        <v>0</v>
      </c>
      <c r="M58" s="22" t="n">
        <v>0</v>
      </c>
      <c r="N58" s="22" t="n">
        <v>0</v>
      </c>
    </row>
    <row r="59">
      <c r="B59" s="98" t="inlineStr">
        <is>
          <t>Industry</t>
        </is>
      </c>
      <c r="C59" s="98" t="inlineStr">
        <is>
          <t>USD/tCO2</t>
        </is>
      </c>
      <c r="D59" s="98" t="n"/>
      <c r="E59" s="98" t="n"/>
      <c r="F59" s="98" t="n">
        <v>0</v>
      </c>
      <c r="G59" s="98" t="n">
        <v>0</v>
      </c>
      <c r="H59" s="98" t="inlineStr">
        <is>
          <t>D_Feb_Level_Start_Ind</t>
        </is>
      </c>
      <c r="J59" s="22" t="n">
        <v>0</v>
      </c>
      <c r="K59" s="22" t="n">
        <v>0</v>
      </c>
      <c r="L59" s="22" t="n">
        <v>0</v>
      </c>
      <c r="M59" s="99" t="n">
        <v>5</v>
      </c>
      <c r="N59" s="22" t="n">
        <v>0</v>
      </c>
    </row>
    <row r="60">
      <c r="B60" s="96" t="inlineStr">
        <is>
          <t>Feebates: Feebate target rate</t>
        </is>
      </c>
    </row>
    <row r="61">
      <c r="B61" s="98" t="inlineStr">
        <is>
          <t>Power sector</t>
        </is>
      </c>
      <c r="C61" s="98" t="inlineStr">
        <is>
          <t>USD/tCO2</t>
        </is>
      </c>
      <c r="D61" s="98" t="n"/>
      <c r="E61" s="98" t="n"/>
      <c r="F61" s="98" t="n">
        <v>0</v>
      </c>
      <c r="G61" s="98" t="n">
        <v>0</v>
      </c>
      <c r="H61" s="98" t="inlineStr">
        <is>
          <t>D_Feb_Level_Target_Pow</t>
        </is>
      </c>
      <c r="J61" s="22" t="n">
        <v>0</v>
      </c>
      <c r="K61" s="22" t="n">
        <v>0</v>
      </c>
      <c r="L61" s="22" t="n">
        <v>0</v>
      </c>
      <c r="M61" s="22" t="n">
        <v>0</v>
      </c>
      <c r="N61" s="22" t="n">
        <v>0</v>
      </c>
    </row>
    <row r="62">
      <c r="B62" s="98" t="inlineStr">
        <is>
          <t>Transport</t>
        </is>
      </c>
      <c r="C62" s="98" t="inlineStr">
        <is>
          <t>USD/tCO2</t>
        </is>
      </c>
      <c r="D62" s="98" t="n"/>
      <c r="E62" s="98" t="n"/>
      <c r="F62" s="98" t="n">
        <v>0</v>
      </c>
      <c r="G62" s="98" t="n">
        <v>0</v>
      </c>
      <c r="H62" s="98" t="inlineStr">
        <is>
          <t>D_Feb_Level_Target_Trans</t>
        </is>
      </c>
      <c r="J62" s="22" t="n">
        <v>0</v>
      </c>
      <c r="K62" s="22" t="n">
        <v>0</v>
      </c>
      <c r="L62" s="22" t="n">
        <v>0</v>
      </c>
      <c r="M62" s="99" t="n">
        <v>50</v>
      </c>
      <c r="N62" s="22" t="n">
        <v>0</v>
      </c>
    </row>
    <row r="63">
      <c r="B63" s="98" t="inlineStr">
        <is>
          <t>Residential</t>
        </is>
      </c>
      <c r="C63" s="98" t="inlineStr">
        <is>
          <t>USD/tCO2</t>
        </is>
      </c>
      <c r="D63" s="98" t="n"/>
      <c r="E63" s="98" t="n"/>
      <c r="F63" s="98" t="n">
        <v>0</v>
      </c>
      <c r="G63" s="98" t="n">
        <v>0</v>
      </c>
      <c r="H63" s="98" t="inlineStr">
        <is>
          <t>D_Feb_Level_Target_Res</t>
        </is>
      </c>
      <c r="J63" s="22" t="n">
        <v>0</v>
      </c>
      <c r="K63" s="22" t="n">
        <v>0</v>
      </c>
      <c r="L63" s="22" t="n">
        <v>0</v>
      </c>
      <c r="M63" s="22" t="n">
        <v>0</v>
      </c>
      <c r="N63" s="22" t="n">
        <v>0</v>
      </c>
    </row>
    <row r="64">
      <c r="B64" s="98" t="inlineStr">
        <is>
          <t>Industry</t>
        </is>
      </c>
      <c r="C64" s="98" t="inlineStr">
        <is>
          <t>USD/tCO2</t>
        </is>
      </c>
      <c r="D64" s="98" t="n"/>
      <c r="E64" s="98" t="n"/>
      <c r="F64" s="98" t="n">
        <v>0</v>
      </c>
      <c r="G64" s="98" t="n">
        <v>0</v>
      </c>
      <c r="H64" s="98" t="inlineStr">
        <is>
          <t>D_Feb_Level_Target_Ind</t>
        </is>
      </c>
      <c r="J64" s="22" t="n">
        <v>0</v>
      </c>
      <c r="K64" s="22" t="n">
        <v>0</v>
      </c>
      <c r="L64" s="22" t="n">
        <v>0</v>
      </c>
      <c r="M64" s="99" t="n">
        <v>25</v>
      </c>
      <c r="N64" s="22" t="n">
        <v>0</v>
      </c>
    </row>
    <row r="65">
      <c r="B65" s="96" t="inlineStr">
        <is>
          <t>Feebates sector coverage</t>
        </is>
      </c>
    </row>
    <row r="66">
      <c r="B66" s="98" t="inlineStr">
        <is>
          <t>Apply tax to power sector?</t>
        </is>
      </c>
      <c r="C66" s="98" t="inlineStr">
        <is>
          <t>switch</t>
        </is>
      </c>
      <c r="D66" s="98" t="n"/>
      <c r="E66" s="98" t="n"/>
      <c r="F66" s="98" t="b">
        <v>0</v>
      </c>
      <c r="G66" s="98" t="b">
        <v>1</v>
      </c>
      <c r="H66" s="98" t="n"/>
      <c r="J66" s="22" t="b">
        <v>0</v>
      </c>
      <c r="K66" s="22" t="b">
        <v>0</v>
      </c>
      <c r="L66" s="22" t="b">
        <v>0</v>
      </c>
      <c r="M66" s="22" t="b">
        <v>0</v>
      </c>
      <c r="N66" s="22" t="b">
        <v>0</v>
      </c>
    </row>
    <row r="67">
      <c r="B67" s="98" t="inlineStr">
        <is>
          <t>Apply tax to road transportation?</t>
        </is>
      </c>
      <c r="C67" s="98" t="n"/>
      <c r="D67" s="98" t="n"/>
      <c r="E67" s="98" t="n"/>
      <c r="F67" s="98" t="b">
        <v>0</v>
      </c>
      <c r="G67" s="98" t="b">
        <v>0</v>
      </c>
      <c r="H67" s="98" t="n"/>
      <c r="J67" s="22" t="b">
        <v>0</v>
      </c>
      <c r="K67" s="22" t="b">
        <v>0</v>
      </c>
      <c r="L67" s="22" t="b">
        <v>0</v>
      </c>
      <c r="M67" s="99" t="b">
        <v>1</v>
      </c>
      <c r="N67" s="22" t="b">
        <v>0</v>
      </c>
    </row>
    <row r="68">
      <c r="B68" s="98" t="inlineStr">
        <is>
          <t>Apply tax to rail transportation?</t>
        </is>
      </c>
      <c r="C68" s="98" t="n"/>
      <c r="D68" s="98" t="n"/>
      <c r="E68" s="98" t="n"/>
      <c r="F68" s="98" t="b">
        <v>0</v>
      </c>
      <c r="G68" s="98" t="b">
        <v>0</v>
      </c>
      <c r="H68" s="98" t="n"/>
      <c r="J68" s="22" t="b">
        <v>0</v>
      </c>
      <c r="K68" s="22" t="b">
        <v>0</v>
      </c>
      <c r="L68" s="22" t="b">
        <v>0</v>
      </c>
      <c r="M68" s="22" t="b">
        <v>0</v>
      </c>
      <c r="N68" s="22" t="b">
        <v>0</v>
      </c>
    </row>
    <row r="69">
      <c r="B69" s="98" t="inlineStr">
        <is>
          <t>Apply tax to domestic aviation?</t>
        </is>
      </c>
      <c r="C69" s="98" t="n"/>
      <c r="D69" s="98" t="n"/>
      <c r="E69" s="98" t="n"/>
      <c r="F69" s="98" t="b">
        <v>0</v>
      </c>
      <c r="G69" s="98" t="b">
        <v>0</v>
      </c>
      <c r="H69" s="98" t="n"/>
      <c r="J69" s="22" t="b">
        <v>0</v>
      </c>
      <c r="K69" s="22" t="b">
        <v>0</v>
      </c>
      <c r="L69" s="22" t="b">
        <v>0</v>
      </c>
      <c r="M69" s="22" t="b">
        <v>0</v>
      </c>
      <c r="N69" s="22" t="b">
        <v>0</v>
      </c>
    </row>
    <row r="70">
      <c r="B70" s="98" t="inlineStr">
        <is>
          <t>Apply tax to domestic shipping?</t>
        </is>
      </c>
      <c r="C70" s="98" t="n"/>
      <c r="D70" s="98" t="n"/>
      <c r="E70" s="98" t="n"/>
      <c r="F70" s="98" t="b">
        <v>0</v>
      </c>
      <c r="G70" s="98" t="b">
        <v>0</v>
      </c>
      <c r="H70" s="98" t="n"/>
      <c r="J70" s="22" t="b">
        <v>0</v>
      </c>
      <c r="K70" s="22" t="b">
        <v>0</v>
      </c>
      <c r="L70" s="22" t="b">
        <v>0</v>
      </c>
      <c r="M70" s="22" t="b">
        <v>0</v>
      </c>
      <c r="N70" s="22" t="b">
        <v>0</v>
      </c>
    </row>
    <row r="71">
      <c r="B71" s="98" t="inlineStr">
        <is>
          <t>Apply tax to residential sector?</t>
        </is>
      </c>
      <c r="C71" s="98" t="inlineStr">
        <is>
          <t>switch</t>
        </is>
      </c>
      <c r="D71" s="98" t="n"/>
      <c r="E71" s="98" t="n"/>
      <c r="F71" s="98" t="b">
        <v>0</v>
      </c>
      <c r="G71" s="98" t="b">
        <v>1</v>
      </c>
      <c r="H71" s="98" t="n"/>
      <c r="J71" s="22" t="b">
        <v>0</v>
      </c>
      <c r="K71" s="22" t="b">
        <v>0</v>
      </c>
      <c r="L71" s="22" t="b">
        <v>0</v>
      </c>
      <c r="M71" s="22" t="b">
        <v>0</v>
      </c>
      <c r="N71" s="22" t="b">
        <v>0</v>
      </c>
    </row>
    <row r="72">
      <c r="B72" s="98" t="inlineStr">
        <is>
          <t>Apply tax to food &amp; forestry?</t>
        </is>
      </c>
      <c r="C72" s="98" t="n"/>
      <c r="D72" s="98" t="n"/>
      <c r="E72" s="98" t="n"/>
      <c r="F72" s="98" t="b">
        <v>0</v>
      </c>
      <c r="G72" s="98" t="b">
        <v>1</v>
      </c>
      <c r="H72" s="98" t="n"/>
      <c r="J72" s="22" t="b">
        <v>0</v>
      </c>
      <c r="K72" s="22" t="b">
        <v>0</v>
      </c>
      <c r="L72" s="22" t="b">
        <v>0</v>
      </c>
      <c r="M72" s="22" t="b">
        <v>0</v>
      </c>
      <c r="N72" s="22" t="b">
        <v>0</v>
      </c>
    </row>
    <row r="73">
      <c r="B73" s="98" t="inlineStr">
        <is>
          <t>Apply tax to services (private / public)?</t>
        </is>
      </c>
      <c r="C73" s="98" t="n"/>
      <c r="D73" s="98" t="n"/>
      <c r="E73" s="98" t="n"/>
      <c r="F73" s="98" t="b">
        <v>0</v>
      </c>
      <c r="G73" s="98" t="b">
        <v>1</v>
      </c>
      <c r="H73" s="98" t="n"/>
      <c r="J73" s="22" t="b">
        <v>0</v>
      </c>
      <c r="K73" s="22" t="b">
        <v>0</v>
      </c>
      <c r="L73" s="22" t="b">
        <v>0</v>
      </c>
      <c r="M73" s="22" t="b">
        <v>0</v>
      </c>
      <c r="N73" s="22" t="b">
        <v>0</v>
      </c>
    </row>
    <row r="74">
      <c r="B74" s="98" t="inlineStr">
        <is>
          <t>Apply tax to mining &amp; chemicals?</t>
        </is>
      </c>
      <c r="C74" s="98" t="n"/>
      <c r="D74" s="98" t="n"/>
      <c r="E74" s="98" t="n"/>
      <c r="F74" s="98" t="b">
        <v>1</v>
      </c>
      <c r="G74" s="98" t="b">
        <v>1</v>
      </c>
      <c r="H74" s="98" t="n"/>
      <c r="J74" s="22" t="b">
        <v>1</v>
      </c>
      <c r="K74" s="22" t="b">
        <v>1</v>
      </c>
      <c r="L74" s="22" t="b">
        <v>1</v>
      </c>
      <c r="M74" s="99" t="b">
        <v>1</v>
      </c>
      <c r="N74" s="22" t="b">
        <v>1</v>
      </c>
    </row>
    <row r="75">
      <c r="B75" s="98" t="inlineStr">
        <is>
          <t>Apply tax to iron and steel?</t>
        </is>
      </c>
      <c r="C75" s="98" t="n"/>
      <c r="D75" s="98" t="n"/>
      <c r="E75" s="98" t="n"/>
      <c r="F75" s="98" t="b">
        <v>0</v>
      </c>
      <c r="G75" s="98" t="b">
        <v>1</v>
      </c>
      <c r="H75" s="98" t="n"/>
      <c r="J75" s="22" t="b">
        <v>0</v>
      </c>
      <c r="K75" s="22" t="b">
        <v>0</v>
      </c>
      <c r="L75" s="22" t="b">
        <v>0</v>
      </c>
      <c r="M75" s="99" t="b">
        <v>1</v>
      </c>
      <c r="N75" s="22" t="b">
        <v>0</v>
      </c>
    </row>
    <row r="76">
      <c r="B76" s="98" t="inlineStr">
        <is>
          <t>Apply tax to non-ferrous metals?</t>
        </is>
      </c>
      <c r="C76" s="98" t="n"/>
      <c r="D76" s="98" t="n"/>
      <c r="E76" s="98" t="n"/>
      <c r="F76" s="98" t="b">
        <v>1</v>
      </c>
      <c r="G76" s="98" t="b">
        <v>1</v>
      </c>
      <c r="H76" s="98" t="n"/>
      <c r="J76" s="22" t="b">
        <v>1</v>
      </c>
      <c r="K76" s="22" t="b">
        <v>1</v>
      </c>
      <c r="L76" s="22" t="b">
        <v>1</v>
      </c>
      <c r="M76" s="22" t="b">
        <v>1</v>
      </c>
      <c r="N76" s="22" t="b">
        <v>1</v>
      </c>
    </row>
    <row r="77">
      <c r="B77" s="98" t="inlineStr">
        <is>
          <t>Apply tax to machinery?</t>
        </is>
      </c>
      <c r="C77" s="98" t="n"/>
      <c r="D77" s="98" t="n"/>
      <c r="E77" s="98" t="n"/>
      <c r="F77" s="98" t="b">
        <v>1</v>
      </c>
      <c r="G77" s="98" t="b">
        <v>1</v>
      </c>
      <c r="H77" s="98" t="n"/>
      <c r="J77" s="22" t="b">
        <v>1</v>
      </c>
      <c r="K77" s="22" t="b">
        <v>1</v>
      </c>
      <c r="L77" s="22" t="b">
        <v>1</v>
      </c>
      <c r="M77" s="22" t="b">
        <v>1</v>
      </c>
      <c r="N77" s="22" t="b">
        <v>1</v>
      </c>
    </row>
    <row r="78">
      <c r="B78" s="98" t="inlineStr">
        <is>
          <t>Apply tax to cement?</t>
        </is>
      </c>
      <c r="C78" s="98" t="n"/>
      <c r="D78" s="98" t="n"/>
      <c r="E78" s="98" t="n"/>
      <c r="F78" s="98" t="b">
        <v>1</v>
      </c>
      <c r="G78" s="98" t="b">
        <v>1</v>
      </c>
      <c r="H78" s="98" t="n"/>
      <c r="J78" s="22" t="b">
        <v>1</v>
      </c>
      <c r="K78" s="22" t="b">
        <v>1</v>
      </c>
      <c r="L78" s="22" t="b">
        <v>1</v>
      </c>
      <c r="M78" s="22" t="b">
        <v>1</v>
      </c>
      <c r="N78" s="22" t="b">
        <v>1</v>
      </c>
    </row>
    <row r="79">
      <c r="B79" s="98" t="inlineStr">
        <is>
          <t>Apply tax to other manucfacturing?</t>
        </is>
      </c>
      <c r="C79" s="98" t="n"/>
      <c r="D79" s="98" t="n"/>
      <c r="E79" s="98" t="n"/>
      <c r="F79" s="98" t="b">
        <v>1</v>
      </c>
      <c r="G79" s="98" t="b">
        <v>1</v>
      </c>
      <c r="H79" s="98" t="n"/>
      <c r="J79" s="22" t="b">
        <v>1</v>
      </c>
      <c r="K79" s="22" t="b">
        <v>1</v>
      </c>
      <c r="L79" s="22" t="b">
        <v>1</v>
      </c>
      <c r="M79" s="22" t="b">
        <v>1</v>
      </c>
      <c r="N79" s="22" t="b">
        <v>1</v>
      </c>
    </row>
    <row r="80">
      <c r="B80" s="98" t="inlineStr">
        <is>
          <t>Apply tax to construction?</t>
        </is>
      </c>
      <c r="C80" s="98" t="n"/>
      <c r="D80" s="98" t="n"/>
      <c r="E80" s="98" t="n"/>
      <c r="F80" s="98" t="b">
        <v>1</v>
      </c>
      <c r="G80" s="98" t="b">
        <v>1</v>
      </c>
      <c r="H80" s="98" t="n"/>
      <c r="J80" s="22" t="b">
        <v>1</v>
      </c>
      <c r="K80" s="22" t="b">
        <v>1</v>
      </c>
      <c r="L80" s="22" t="b">
        <v>1</v>
      </c>
      <c r="M80" s="22" t="b">
        <v>1</v>
      </c>
      <c r="N80" s="22" t="b">
        <v>1</v>
      </c>
    </row>
    <row r="81">
      <c r="B81" s="98" t="inlineStr">
        <is>
          <t>Apply tax to fuel transformation?</t>
        </is>
      </c>
      <c r="C81" s="98" t="n"/>
      <c r="D81" s="98" t="n"/>
      <c r="E81" s="98" t="n"/>
      <c r="F81" s="98" t="b">
        <v>1</v>
      </c>
      <c r="G81" s="98" t="b">
        <v>1</v>
      </c>
      <c r="H81" s="98" t="n"/>
      <c r="J81" s="22" t="b">
        <v>1</v>
      </c>
      <c r="K81" s="22" t="b">
        <v>1</v>
      </c>
      <c r="L81" s="22" t="b">
        <v>1</v>
      </c>
      <c r="M81" s="22" t="b">
        <v>1</v>
      </c>
      <c r="N81" s="22" t="b">
        <v>1</v>
      </c>
    </row>
    <row r="82">
      <c r="B82" s="98" t="inlineStr">
        <is>
          <t>Apply tax to other energy use?</t>
        </is>
      </c>
      <c r="C82" s="98" t="n"/>
      <c r="D82" s="98" t="n"/>
      <c r="E82" s="98" t="n"/>
      <c r="F82" s="98" t="b">
        <v>1</v>
      </c>
      <c r="G82" s="98" t="b">
        <v>1</v>
      </c>
      <c r="H82" s="98" t="n"/>
      <c r="J82" s="22" t="b">
        <v>1</v>
      </c>
      <c r="K82" s="22" t="b">
        <v>1</v>
      </c>
      <c r="L82" s="22" t="b">
        <v>1</v>
      </c>
      <c r="M82" s="22" t="b">
        <v>1</v>
      </c>
      <c r="N82" s="22" t="b">
        <v>1</v>
      </c>
    </row>
    <row r="83">
      <c r="B83" s="96" t="inlineStr">
        <is>
          <t>ETS Main Characteristics</t>
        </is>
      </c>
    </row>
    <row r="84">
      <c r="B84" s="98" t="inlineStr">
        <is>
          <t>Apply new ETS?</t>
        </is>
      </c>
      <c r="C84" s="98" t="n"/>
      <c r="D84" s="98" t="n"/>
      <c r="E84" s="98" t="n"/>
      <c r="F84" s="98" t="inlineStr">
        <is>
          <t>No</t>
        </is>
      </c>
      <c r="G84" s="98" t="inlineStr">
        <is>
          <t>No</t>
        </is>
      </c>
      <c r="H84" s="98" t="inlineStr">
        <is>
          <t>D_NewETS</t>
        </is>
      </c>
      <c r="J84" s="22" t="inlineStr">
        <is>
          <t>No</t>
        </is>
      </c>
      <c r="K84" s="22" t="inlineStr">
        <is>
          <t>No</t>
        </is>
      </c>
      <c r="L84" s="22" t="inlineStr">
        <is>
          <t>No</t>
        </is>
      </c>
      <c r="M84" s="22" t="inlineStr">
        <is>
          <t>No</t>
        </is>
      </c>
      <c r="N84" s="99" t="inlineStr">
        <is>
          <t>Yes</t>
        </is>
      </c>
    </row>
    <row r="85">
      <c r="B85" s="98" t="inlineStr">
        <is>
          <t>Change Relative to Baseline in Start Year</t>
        </is>
      </c>
      <c r="C85" s="98" t="n"/>
      <c r="D85" s="98" t="n"/>
      <c r="E85" s="98" t="n"/>
      <c r="F85" s="98" t="n">
        <v>0</v>
      </c>
      <c r="G85" s="98" t="n">
        <v>0</v>
      </c>
      <c r="H85" s="98" t="inlineStr">
        <is>
          <t>D_ETSChangeRelStart</t>
        </is>
      </c>
      <c r="J85" s="22" t="n">
        <v>0</v>
      </c>
      <c r="K85" s="22" t="n">
        <v>0</v>
      </c>
      <c r="L85" s="22" t="n">
        <v>0</v>
      </c>
      <c r="M85" s="22" t="n">
        <v>0</v>
      </c>
      <c r="N85" s="99" t="n">
        <v>-0.05</v>
      </c>
    </row>
    <row r="86">
      <c r="B86" s="98" t="inlineStr">
        <is>
          <t>Change Relative to Baseline in Target Year</t>
        </is>
      </c>
      <c r="C86" s="98" t="n"/>
      <c r="D86" s="98" t="n"/>
      <c r="E86" s="98" t="n"/>
      <c r="F86" s="98" t="n">
        <v>0</v>
      </c>
      <c r="G86" s="98" t="n">
        <v>0</v>
      </c>
      <c r="H86" s="98" t="inlineStr">
        <is>
          <t>D_ETSChangeRelTarget</t>
        </is>
      </c>
      <c r="J86" s="22" t="n">
        <v>0</v>
      </c>
      <c r="K86" s="22" t="n">
        <v>0</v>
      </c>
      <c r="L86" s="22" t="n">
        <v>0</v>
      </c>
      <c r="M86" s="22" t="n">
        <v>0</v>
      </c>
      <c r="N86" s="99" t="n">
        <v>-0.2</v>
      </c>
    </row>
    <row r="87">
      <c r="B87" s="98" t="inlineStr">
        <is>
          <t>Cap continuation after target year?</t>
        </is>
      </c>
      <c r="C87" s="98" t="n"/>
      <c r="D87" s="98" t="n"/>
      <c r="E87" s="98" t="n"/>
      <c r="F87" s="98" t="inlineStr">
        <is>
          <t>Constant</t>
        </is>
      </c>
      <c r="G87" s="98" t="inlineStr">
        <is>
          <t>KeepRelativeCapConstant</t>
        </is>
      </c>
      <c r="H87" s="98" t="inlineStr">
        <is>
          <t>D_ETSCapCont</t>
        </is>
      </c>
      <c r="J87" s="22" t="inlineStr">
        <is>
          <t>Constant</t>
        </is>
      </c>
      <c r="K87" s="22" t="inlineStr">
        <is>
          <t>Constant</t>
        </is>
      </c>
      <c r="L87" s="22" t="inlineStr">
        <is>
          <t>Constant</t>
        </is>
      </c>
      <c r="M87" s="22" t="inlineStr">
        <is>
          <t>Constant</t>
        </is>
      </c>
      <c r="N87" s="99" t="inlineStr">
        <is>
          <t>Constant</t>
        </is>
      </c>
    </row>
    <row r="88">
      <c r="B88" s="98" t="inlineStr">
        <is>
          <t>ETS Start Year</t>
        </is>
      </c>
      <c r="C88" s="98" t="n"/>
      <c r="D88" s="98" t="n"/>
      <c r="E88" s="98" t="n"/>
      <c r="F88" s="98" t="n">
        <v>2027</v>
      </c>
      <c r="G88" s="98" t="n">
        <v>2026</v>
      </c>
      <c r="H88" s="98" t="inlineStr">
        <is>
          <t>D_ETSIntro</t>
        </is>
      </c>
      <c r="J88" s="22" t="n">
        <v>2027</v>
      </c>
      <c r="K88" s="22" t="n">
        <v>2027</v>
      </c>
      <c r="L88" s="22" t="n">
        <v>2027</v>
      </c>
      <c r="M88" s="22" t="n">
        <v>2027</v>
      </c>
      <c r="N88" s="99" t="n">
        <v>2027</v>
      </c>
    </row>
    <row r="89">
      <c r="B89" s="98" t="inlineStr">
        <is>
          <t>ETS Target Year</t>
        </is>
      </c>
      <c r="C89" s="98" t="n"/>
      <c r="D89" s="98" t="n"/>
      <c r="E89" s="98" t="n"/>
      <c r="F89" s="98" t="n">
        <v>2035</v>
      </c>
      <c r="G89" s="98" t="n">
        <v>2035</v>
      </c>
      <c r="H89" s="98" t="inlineStr">
        <is>
          <t>D_ETSOutro</t>
        </is>
      </c>
      <c r="J89" s="22" t="n">
        <v>2035</v>
      </c>
      <c r="K89" s="22" t="n">
        <v>2035</v>
      </c>
      <c r="L89" s="22" t="n">
        <v>2035</v>
      </c>
      <c r="M89" s="22" t="n">
        <v>2035</v>
      </c>
      <c r="N89" s="99" t="n">
        <v>2035</v>
      </c>
    </row>
    <row r="90">
      <c r="B90" s="98" t="inlineStr">
        <is>
          <t>Proportion Auctioned in Starting Year</t>
        </is>
      </c>
      <c r="C90" s="98" t="n"/>
      <c r="D90" s="98" t="n"/>
      <c r="E90" s="98" t="n"/>
      <c r="F90" s="98" t="n">
        <v>0</v>
      </c>
      <c r="G90" s="98" t="n">
        <v>0</v>
      </c>
      <c r="H90" s="98" t="inlineStr">
        <is>
          <t>D_ETSAuctStart</t>
        </is>
      </c>
      <c r="J90" s="22" t="n">
        <v>0</v>
      </c>
      <c r="K90" s="22" t="n">
        <v>0</v>
      </c>
      <c r="L90" s="22" t="n">
        <v>0</v>
      </c>
      <c r="M90" s="22" t="n">
        <v>0</v>
      </c>
      <c r="N90" s="22" t="n">
        <v>0</v>
      </c>
    </row>
    <row r="91">
      <c r="B91" s="98" t="inlineStr">
        <is>
          <t>Proportion Auctioned in Target Year</t>
        </is>
      </c>
      <c r="C91" s="98" t="n"/>
      <c r="D91" s="98" t="n"/>
      <c r="E91" s="98" t="n"/>
      <c r="F91" s="98" t="n">
        <v>0</v>
      </c>
      <c r="G91" s="98" t="n">
        <v>1</v>
      </c>
      <c r="H91" s="98" t="inlineStr">
        <is>
          <t>D_ETSAuctTarget</t>
        </is>
      </c>
      <c r="J91" s="22" t="n">
        <v>0</v>
      </c>
      <c r="K91" s="22" t="n">
        <v>0</v>
      </c>
      <c r="L91" s="22" t="n">
        <v>0</v>
      </c>
      <c r="M91" s="22" t="n">
        <v>0</v>
      </c>
      <c r="N91" s="22" t="n">
        <v>0</v>
      </c>
    </row>
    <row r="92">
      <c r="B92" s="98" t="inlineStr">
        <is>
          <t>Auction proportion continuation after target year?</t>
        </is>
      </c>
      <c r="C92" s="98" t="n"/>
      <c r="D92" s="98" t="n"/>
      <c r="E92" s="98" t="n"/>
      <c r="F92" s="98" t="inlineStr">
        <is>
          <t>Constant</t>
        </is>
      </c>
      <c r="G92" s="98" t="inlineStr">
        <is>
          <t>Constant</t>
        </is>
      </c>
      <c r="H92" s="98" t="inlineStr">
        <is>
          <t>D_ETSAuctCont</t>
        </is>
      </c>
      <c r="J92" s="22" t="inlineStr">
        <is>
          <t>Constant</t>
        </is>
      </c>
      <c r="K92" s="22" t="inlineStr">
        <is>
          <t>Constant</t>
        </is>
      </c>
      <c r="L92" s="22" t="inlineStr">
        <is>
          <t>Constant</t>
        </is>
      </c>
      <c r="M92" s="22" t="inlineStr">
        <is>
          <t>Constant</t>
        </is>
      </c>
      <c r="N92" s="22" t="inlineStr">
        <is>
          <t>Constant</t>
        </is>
      </c>
    </row>
    <row r="93">
      <c r="B93" s="98" t="inlineStr">
        <is>
          <t>Override ETS price</t>
        </is>
      </c>
      <c r="C93" s="98" t="n"/>
      <c r="D93" s="98" t="n"/>
      <c r="E93" s="98" t="n"/>
      <c r="F93" s="98" t="inlineStr">
        <is>
          <t>No</t>
        </is>
      </c>
      <c r="G93" s="98" t="inlineStr">
        <is>
          <t>No</t>
        </is>
      </c>
      <c r="H93" s="98" t="inlineStr">
        <is>
          <t>D_ETSPriceOverride</t>
        </is>
      </c>
      <c r="J93" s="22" t="inlineStr">
        <is>
          <t>No</t>
        </is>
      </c>
      <c r="K93" s="22" t="inlineStr">
        <is>
          <t>No</t>
        </is>
      </c>
      <c r="L93" s="22" t="inlineStr">
        <is>
          <t>No</t>
        </is>
      </c>
      <c r="M93" s="22" t="inlineStr">
        <is>
          <t>No</t>
        </is>
      </c>
      <c r="N93" s="22" t="inlineStr">
        <is>
          <t>No</t>
        </is>
      </c>
    </row>
    <row r="94">
      <c r="B94" s="96" t="inlineStr">
        <is>
          <t>ETS: modelling assumptions</t>
        </is>
      </c>
    </row>
    <row r="95">
      <c r="B95" s="98" t="inlineStr">
        <is>
          <t>ETS Volatility</t>
        </is>
      </c>
      <c r="C95" s="98" t="n"/>
      <c r="D95" s="98" t="n"/>
      <c r="E95" s="98" t="n"/>
      <c r="F95" s="98" t="inlineStr">
        <is>
          <t>Medium*</t>
        </is>
      </c>
      <c r="G95" s="98" t="inlineStr">
        <is>
          <t>Medium*</t>
        </is>
      </c>
      <c r="H95" s="98" t="inlineStr">
        <is>
          <t>D_ETSVolatility</t>
        </is>
      </c>
      <c r="J95" s="22" t="inlineStr">
        <is>
          <t>Medium*</t>
        </is>
      </c>
      <c r="K95" s="22" t="inlineStr">
        <is>
          <t>Medium*</t>
        </is>
      </c>
      <c r="L95" s="22" t="inlineStr">
        <is>
          <t>Medium*</t>
        </is>
      </c>
      <c r="M95" s="22" t="inlineStr">
        <is>
          <t>Medium*</t>
        </is>
      </c>
      <c r="N95" s="22" t="inlineStr">
        <is>
          <t>Medium*</t>
        </is>
      </c>
    </row>
    <row r="96">
      <c r="B96" s="98" t="inlineStr">
        <is>
          <t>Impact of Volatility on Abatement Costs</t>
        </is>
      </c>
      <c r="C96" s="98" t="n"/>
      <c r="D96" s="98" t="n"/>
      <c r="E96" s="98" t="n"/>
      <c r="F96" s="98" t="inlineStr">
        <is>
          <t>Medium*</t>
        </is>
      </c>
      <c r="G96" s="98" t="inlineStr">
        <is>
          <t>Medium*</t>
        </is>
      </c>
      <c r="H96" s="98" t="inlineStr">
        <is>
          <t>D_ETSVolImpact</t>
        </is>
      </c>
      <c r="J96" s="22" t="inlineStr">
        <is>
          <t>Medium*</t>
        </is>
      </c>
      <c r="K96" s="22" t="inlineStr">
        <is>
          <t>Medium*</t>
        </is>
      </c>
      <c r="L96" s="22" t="inlineStr">
        <is>
          <t>Medium*</t>
        </is>
      </c>
      <c r="M96" s="22" t="inlineStr">
        <is>
          <t>Medium*</t>
        </is>
      </c>
      <c r="N96" s="22" t="inlineStr">
        <is>
          <t>Medium*</t>
        </is>
      </c>
    </row>
    <row r="97">
      <c r="B97" s="98" t="inlineStr">
        <is>
          <t>Carbon Tax Policy Risk</t>
        </is>
      </c>
      <c r="C97" s="98" t="n"/>
      <c r="D97" s="98" t="n"/>
      <c r="E97" s="98" t="n"/>
      <c r="F97" s="98" t="n">
        <v>0.2</v>
      </c>
      <c r="G97" s="98" t="n">
        <v>0.2</v>
      </c>
      <c r="H97" s="98" t="inlineStr">
        <is>
          <t>D_ETSCTRisk</t>
        </is>
      </c>
      <c r="J97" s="22" t="n">
        <v>0.2</v>
      </c>
      <c r="K97" s="22" t="n">
        <v>0.2</v>
      </c>
      <c r="L97" s="22" t="n">
        <v>0.2</v>
      </c>
      <c r="M97" s="22" t="n">
        <v>0.2</v>
      </c>
      <c r="N97" s="22" t="n">
        <v>0.2</v>
      </c>
    </row>
    <row r="98">
      <c r="B98" s="96" t="inlineStr">
        <is>
          <t>ETS: sector coverage</t>
        </is>
      </c>
    </row>
    <row r="99">
      <c r="B99" s="98" t="inlineStr">
        <is>
          <t>power sector</t>
        </is>
      </c>
      <c r="C99" s="98" t="inlineStr">
        <is>
          <t>switch</t>
        </is>
      </c>
      <c r="D99" s="98" t="n"/>
      <c r="E99" s="98" t="n"/>
      <c r="F99" s="98" t="b">
        <v>1</v>
      </c>
      <c r="G99" s="98" t="b">
        <v>1</v>
      </c>
      <c r="H99" s="98" t="n"/>
      <c r="J99" s="22" t="b">
        <v>1</v>
      </c>
      <c r="K99" s="22" t="b">
        <v>1</v>
      </c>
      <c r="L99" s="22" t="b">
        <v>1</v>
      </c>
      <c r="M99" s="22" t="b">
        <v>1</v>
      </c>
      <c r="N99" s="22" t="b">
        <v>1</v>
      </c>
    </row>
    <row r="100">
      <c r="B100" s="98" t="inlineStr">
        <is>
          <t>road transportation</t>
        </is>
      </c>
      <c r="C100" s="98" t="n"/>
      <c r="D100" s="98" t="n"/>
      <c r="E100" s="98" t="n"/>
      <c r="F100" s="98" t="b">
        <v>0</v>
      </c>
      <c r="G100" s="98" t="b">
        <v>1</v>
      </c>
      <c r="H100" s="98" t="n"/>
      <c r="J100" s="22" t="b">
        <v>0</v>
      </c>
      <c r="K100" s="22" t="b">
        <v>0</v>
      </c>
      <c r="L100" s="22" t="b">
        <v>0</v>
      </c>
      <c r="M100" s="22" t="b">
        <v>0</v>
      </c>
      <c r="N100" s="22" t="b">
        <v>0</v>
      </c>
    </row>
    <row r="101">
      <c r="B101" s="98" t="inlineStr">
        <is>
          <t>rail transportation</t>
        </is>
      </c>
      <c r="C101" s="98" t="n"/>
      <c r="D101" s="98" t="n"/>
      <c r="E101" s="98" t="n"/>
      <c r="F101" s="98" t="b">
        <v>0</v>
      </c>
      <c r="G101" s="98" t="b">
        <v>1</v>
      </c>
      <c r="H101" s="98" t="n"/>
      <c r="J101" s="22" t="b">
        <v>0</v>
      </c>
      <c r="K101" s="22" t="b">
        <v>0</v>
      </c>
      <c r="L101" s="22" t="b">
        <v>0</v>
      </c>
      <c r="M101" s="22" t="b">
        <v>0</v>
      </c>
      <c r="N101" s="22" t="b">
        <v>0</v>
      </c>
    </row>
    <row r="102">
      <c r="B102" s="98" t="inlineStr">
        <is>
          <t>domestic aviation</t>
        </is>
      </c>
      <c r="C102" s="98" t="n"/>
      <c r="D102" s="98" t="n"/>
      <c r="E102" s="98" t="n"/>
      <c r="F102" s="98" t="b">
        <v>0</v>
      </c>
      <c r="G102" s="98" t="b">
        <v>1</v>
      </c>
      <c r="H102" s="98" t="n"/>
      <c r="J102" s="22" t="b">
        <v>0</v>
      </c>
      <c r="K102" s="22" t="b">
        <v>0</v>
      </c>
      <c r="L102" s="22" t="b">
        <v>0</v>
      </c>
      <c r="M102" s="22" t="b">
        <v>0</v>
      </c>
      <c r="N102" s="22" t="b">
        <v>0</v>
      </c>
    </row>
    <row r="103">
      <c r="B103" s="98" t="inlineStr">
        <is>
          <t>domestic shipping</t>
        </is>
      </c>
      <c r="C103" s="98" t="n"/>
      <c r="D103" s="98" t="n"/>
      <c r="E103" s="98" t="n"/>
      <c r="F103" s="98" t="b">
        <v>0</v>
      </c>
      <c r="G103" s="98" t="b">
        <v>1</v>
      </c>
      <c r="H103" s="98" t="n"/>
      <c r="J103" s="22" t="b">
        <v>0</v>
      </c>
      <c r="K103" s="22" t="b">
        <v>0</v>
      </c>
      <c r="L103" s="22" t="b">
        <v>0</v>
      </c>
      <c r="M103" s="22" t="b">
        <v>0</v>
      </c>
      <c r="N103" s="22" t="b">
        <v>0</v>
      </c>
    </row>
    <row r="104">
      <c r="B104" s="98" t="inlineStr">
        <is>
          <t>residential</t>
        </is>
      </c>
      <c r="C104" s="98" t="inlineStr">
        <is>
          <t>switch</t>
        </is>
      </c>
      <c r="D104" s="98" t="n"/>
      <c r="E104" s="98" t="n"/>
      <c r="F104" s="98" t="b">
        <v>0</v>
      </c>
      <c r="G104" s="98" t="b">
        <v>1</v>
      </c>
      <c r="H104" s="98" t="n"/>
      <c r="J104" s="22" t="b">
        <v>0</v>
      </c>
      <c r="K104" s="22" t="b">
        <v>0</v>
      </c>
      <c r="L104" s="22" t="b">
        <v>0</v>
      </c>
      <c r="M104" s="22" t="b">
        <v>0</v>
      </c>
      <c r="N104" s="22" t="b">
        <v>0</v>
      </c>
    </row>
    <row r="105">
      <c r="B105" s="98" t="inlineStr">
        <is>
          <t>food &amp; forestry</t>
        </is>
      </c>
      <c r="C105" s="98" t="n"/>
      <c r="D105" s="98" t="n"/>
      <c r="E105" s="98" t="n"/>
      <c r="F105" s="98" t="b">
        <v>0</v>
      </c>
      <c r="G105" s="98" t="b">
        <v>1</v>
      </c>
      <c r="H105" s="98" t="n"/>
      <c r="J105" s="22" t="b">
        <v>0</v>
      </c>
      <c r="K105" s="22" t="b">
        <v>0</v>
      </c>
      <c r="L105" s="22" t="b">
        <v>0</v>
      </c>
      <c r="M105" s="22" t="b">
        <v>0</v>
      </c>
      <c r="N105" s="22" t="b">
        <v>0</v>
      </c>
    </row>
    <row r="106">
      <c r="B106" s="98" t="inlineStr">
        <is>
          <t>services (private / public)</t>
        </is>
      </c>
      <c r="C106" s="98" t="n"/>
      <c r="D106" s="98" t="n"/>
      <c r="E106" s="98" t="n"/>
      <c r="F106" s="98" t="b">
        <v>0</v>
      </c>
      <c r="G106" s="98" t="b">
        <v>1</v>
      </c>
      <c r="H106" s="98" t="n"/>
      <c r="J106" s="22" t="b">
        <v>0</v>
      </c>
      <c r="K106" s="22" t="b">
        <v>0</v>
      </c>
      <c r="L106" s="22" t="b">
        <v>0</v>
      </c>
      <c r="M106" s="22" t="b">
        <v>0</v>
      </c>
      <c r="N106" s="22" t="b">
        <v>0</v>
      </c>
    </row>
    <row r="107">
      <c r="B107" s="98" t="inlineStr">
        <is>
          <t>mining &amp; chemicals</t>
        </is>
      </c>
      <c r="C107" s="98" t="n"/>
      <c r="D107" s="98" t="n"/>
      <c r="E107" s="98" t="n"/>
      <c r="F107" s="98" t="b">
        <v>1</v>
      </c>
      <c r="G107" s="98" t="b">
        <v>1</v>
      </c>
      <c r="H107" s="98" t="n"/>
      <c r="J107" s="22" t="b">
        <v>1</v>
      </c>
      <c r="K107" s="22" t="b">
        <v>1</v>
      </c>
      <c r="L107" s="22" t="b">
        <v>1</v>
      </c>
      <c r="M107" s="22" t="b">
        <v>1</v>
      </c>
      <c r="N107" s="22" t="b">
        <v>1</v>
      </c>
    </row>
    <row r="108">
      <c r="B108" s="98" t="inlineStr">
        <is>
          <t>iron and steel</t>
        </is>
      </c>
      <c r="C108" s="98" t="n"/>
      <c r="D108" s="98" t="n"/>
      <c r="E108" s="98" t="n"/>
      <c r="F108" s="98" t="b">
        <v>1</v>
      </c>
      <c r="G108" s="98" t="b">
        <v>1</v>
      </c>
      <c r="H108" s="98" t="n"/>
      <c r="J108" s="22" t="b">
        <v>1</v>
      </c>
      <c r="K108" s="22" t="b">
        <v>1</v>
      </c>
      <c r="L108" s="22" t="b">
        <v>1</v>
      </c>
      <c r="M108" s="22" t="b">
        <v>1</v>
      </c>
      <c r="N108" s="22" t="b">
        <v>1</v>
      </c>
    </row>
    <row r="109">
      <c r="B109" s="98" t="inlineStr">
        <is>
          <t>non-ferrous metals</t>
        </is>
      </c>
      <c r="C109" s="98" t="n"/>
      <c r="D109" s="98" t="n"/>
      <c r="E109" s="98" t="n"/>
      <c r="F109" s="98" t="b">
        <v>1</v>
      </c>
      <c r="G109" s="98" t="b">
        <v>1</v>
      </c>
      <c r="H109" s="98" t="n"/>
      <c r="J109" s="22" t="b">
        <v>1</v>
      </c>
      <c r="K109" s="22" t="b">
        <v>1</v>
      </c>
      <c r="L109" s="22" t="b">
        <v>1</v>
      </c>
      <c r="M109" s="22" t="b">
        <v>1</v>
      </c>
      <c r="N109" s="22" t="b">
        <v>1</v>
      </c>
    </row>
    <row r="110">
      <c r="B110" s="98" t="inlineStr">
        <is>
          <t>machinery</t>
        </is>
      </c>
      <c r="C110" s="98" t="n"/>
      <c r="D110" s="98" t="n"/>
      <c r="E110" s="98" t="n"/>
      <c r="F110" s="98" t="b">
        <v>0</v>
      </c>
      <c r="G110" s="98" t="b">
        <v>1</v>
      </c>
      <c r="H110" s="98" t="n"/>
      <c r="J110" s="22" t="b">
        <v>0</v>
      </c>
      <c r="K110" s="22" t="b">
        <v>0</v>
      </c>
      <c r="L110" s="22" t="b">
        <v>0</v>
      </c>
      <c r="M110" s="22" t="b">
        <v>0</v>
      </c>
      <c r="N110" s="22" t="b">
        <v>0</v>
      </c>
    </row>
    <row r="111">
      <c r="B111" s="98" t="inlineStr">
        <is>
          <t>cement</t>
        </is>
      </c>
      <c r="C111" s="98" t="n"/>
      <c r="D111" s="98" t="n"/>
      <c r="E111" s="98" t="n"/>
      <c r="F111" s="98" t="b">
        <v>1</v>
      </c>
      <c r="G111" s="98" t="b">
        <v>1</v>
      </c>
      <c r="H111" s="98" t="n"/>
      <c r="J111" s="22" t="b">
        <v>1</v>
      </c>
      <c r="K111" s="22" t="b">
        <v>1</v>
      </c>
      <c r="L111" s="22" t="b">
        <v>1</v>
      </c>
      <c r="M111" s="22" t="b">
        <v>1</v>
      </c>
      <c r="N111" s="22" t="b">
        <v>1</v>
      </c>
    </row>
    <row r="112">
      <c r="B112" s="98" t="inlineStr">
        <is>
          <t>other manucfacturing</t>
        </is>
      </c>
      <c r="C112" s="98" t="n"/>
      <c r="D112" s="98" t="n"/>
      <c r="E112" s="98" t="n"/>
      <c r="F112" s="98" t="b">
        <v>0</v>
      </c>
      <c r="G112" s="98" t="b">
        <v>1</v>
      </c>
      <c r="H112" s="98" t="n"/>
      <c r="J112" s="22" t="b">
        <v>0</v>
      </c>
      <c r="K112" s="22" t="b">
        <v>0</v>
      </c>
      <c r="L112" s="22" t="b">
        <v>0</v>
      </c>
      <c r="M112" s="22" t="b">
        <v>0</v>
      </c>
      <c r="N112" s="22" t="b">
        <v>0</v>
      </c>
    </row>
    <row r="113">
      <c r="B113" s="98" t="inlineStr">
        <is>
          <t>construction</t>
        </is>
      </c>
      <c r="C113" s="98" t="n"/>
      <c r="D113" s="98" t="n"/>
      <c r="E113" s="98" t="n"/>
      <c r="F113" s="98" t="b">
        <v>0</v>
      </c>
      <c r="G113" s="98" t="b">
        <v>1</v>
      </c>
      <c r="H113" s="98" t="n"/>
      <c r="J113" s="22" t="b">
        <v>0</v>
      </c>
      <c r="K113" s="22" t="b">
        <v>0</v>
      </c>
      <c r="L113" s="22" t="b">
        <v>0</v>
      </c>
      <c r="M113" s="22" t="b">
        <v>0</v>
      </c>
      <c r="N113" s="22" t="b">
        <v>0</v>
      </c>
    </row>
    <row r="114">
      <c r="B114" s="98" t="inlineStr">
        <is>
          <t>fuel transformation</t>
        </is>
      </c>
      <c r="C114" s="98" t="n"/>
      <c r="D114" s="98" t="n"/>
      <c r="E114" s="98" t="n"/>
      <c r="F114" s="98" t="b">
        <v>0</v>
      </c>
      <c r="G114" s="98" t="b">
        <v>1</v>
      </c>
      <c r="H114" s="98" t="n"/>
      <c r="J114" s="22" t="b">
        <v>0</v>
      </c>
      <c r="K114" s="22" t="b">
        <v>0</v>
      </c>
      <c r="L114" s="22" t="b">
        <v>0</v>
      </c>
      <c r="M114" s="22" t="b">
        <v>0</v>
      </c>
      <c r="N114" s="22" t="b">
        <v>0</v>
      </c>
    </row>
    <row r="115">
      <c r="B115" s="98" t="inlineStr">
        <is>
          <t>other energy use</t>
        </is>
      </c>
      <c r="C115" s="98" t="n"/>
      <c r="D115" s="98" t="n"/>
      <c r="E115" s="98" t="n"/>
      <c r="F115" s="98" t="b">
        <v>0</v>
      </c>
      <c r="G115" s="98" t="b">
        <v>1</v>
      </c>
      <c r="H115" s="98" t="n"/>
      <c r="J115" s="22" t="b">
        <v>0</v>
      </c>
      <c r="K115" s="22" t="b">
        <v>0</v>
      </c>
      <c r="L115" s="22" t="b">
        <v>0</v>
      </c>
      <c r="M115" s="22" t="b">
        <v>0</v>
      </c>
      <c r="N115" s="22" t="b">
        <v>0</v>
      </c>
    </row>
    <row r="116">
      <c r="B116" s="96" t="inlineStr">
        <is>
          <t>CBAM Goods Non-Fuel Process Emissions</t>
        </is>
      </c>
    </row>
    <row r="117">
      <c r="B117" s="98" t="inlineStr">
        <is>
          <t>mining &amp; chemicals</t>
        </is>
      </c>
      <c r="C117" s="98" t="n"/>
      <c r="D117" s="98" t="n"/>
      <c r="E117" s="98" t="n"/>
      <c r="F117" s="98" t="b">
        <v>0</v>
      </c>
      <c r="G117" s="98" t="b">
        <v>1</v>
      </c>
      <c r="H117" s="98" t="n"/>
      <c r="J117" s="22" t="b">
        <v>0</v>
      </c>
      <c r="K117" s="22" t="b">
        <v>0</v>
      </c>
      <c r="L117" s="22" t="b">
        <v>0</v>
      </c>
      <c r="M117" s="22" t="b">
        <v>0</v>
      </c>
      <c r="N117" s="22" t="b">
        <v>0</v>
      </c>
    </row>
    <row r="118">
      <c r="B118" s="98" t="inlineStr">
        <is>
          <t>iron and steel</t>
        </is>
      </c>
      <c r="C118" s="98" t="n"/>
      <c r="D118" s="98" t="n"/>
      <c r="E118" s="98" t="n"/>
      <c r="F118" s="98" t="b">
        <v>0</v>
      </c>
      <c r="G118" s="98" t="b">
        <v>1</v>
      </c>
      <c r="H118" s="98" t="n"/>
      <c r="J118" s="22" t="b">
        <v>0</v>
      </c>
      <c r="K118" s="22" t="b">
        <v>0</v>
      </c>
      <c r="L118" s="22" t="b">
        <v>0</v>
      </c>
      <c r="M118" s="22" t="b">
        <v>0</v>
      </c>
      <c r="N118" s="22" t="b">
        <v>0</v>
      </c>
    </row>
    <row r="119">
      <c r="B119" s="98" t="inlineStr">
        <is>
          <t>non-ferrous metals</t>
        </is>
      </c>
      <c r="C119" s="98" t="n"/>
      <c r="D119" s="98" t="n"/>
      <c r="E119" s="98" t="n"/>
      <c r="F119" s="98" t="b">
        <v>0</v>
      </c>
      <c r="G119" s="98" t="b">
        <v>1</v>
      </c>
      <c r="H119" s="98" t="n"/>
      <c r="J119" s="22" t="b">
        <v>0</v>
      </c>
      <c r="K119" s="22" t="b">
        <v>0</v>
      </c>
      <c r="L119" s="22" t="b">
        <v>0</v>
      </c>
      <c r="M119" s="22" t="b">
        <v>0</v>
      </c>
      <c r="N119" s="22" t="b">
        <v>0</v>
      </c>
    </row>
    <row r="120">
      <c r="B120" s="98" t="inlineStr">
        <is>
          <t>machinery</t>
        </is>
      </c>
      <c r="C120" s="98" t="n"/>
      <c r="D120" s="98" t="n"/>
      <c r="E120" s="98" t="n"/>
      <c r="F120" s="98" t="b">
        <v>0</v>
      </c>
      <c r="G120" s="98" t="b">
        <v>0</v>
      </c>
      <c r="H120" s="98" t="n"/>
      <c r="J120" s="22" t="b">
        <v>0</v>
      </c>
      <c r="K120" s="22" t="b">
        <v>0</v>
      </c>
      <c r="L120" s="22" t="b">
        <v>0</v>
      </c>
      <c r="M120" s="22" t="b">
        <v>0</v>
      </c>
      <c r="N120" s="22" t="b">
        <v>0</v>
      </c>
    </row>
    <row r="121">
      <c r="B121" s="98" t="inlineStr">
        <is>
          <t>cement</t>
        </is>
      </c>
      <c r="C121" s="98" t="n"/>
      <c r="D121" s="98" t="n"/>
      <c r="E121" s="98" t="n"/>
      <c r="F121" s="98" t="b">
        <v>0</v>
      </c>
      <c r="G121" s="98" t="b">
        <v>1</v>
      </c>
      <c r="H121" s="98" t="n"/>
      <c r="J121" s="22" t="b">
        <v>0</v>
      </c>
      <c r="K121" s="22" t="b">
        <v>0</v>
      </c>
      <c r="L121" s="22" t="b">
        <v>0</v>
      </c>
      <c r="M121" s="22" t="b">
        <v>0</v>
      </c>
      <c r="N121" s="22" t="b">
        <v>0</v>
      </c>
    </row>
    <row r="122">
      <c r="B122" s="96" t="inlineStr">
        <is>
          <t>Fossil fuel subsidies (producer-side)</t>
        </is>
      </c>
    </row>
    <row r="123">
      <c r="B123" s="98" t="inlineStr">
        <is>
          <t>Apply producer subsidies phaseout in the policy scenario?</t>
        </is>
      </c>
      <c r="C123" s="98" t="inlineStr">
        <is>
          <t>TRUE/FALSE</t>
        </is>
      </c>
      <c r="D123" s="98" t="n"/>
      <c r="E123" s="98" t="n"/>
      <c r="F123" s="98" t="b">
        <v>0</v>
      </c>
      <c r="G123" s="98" t="b">
        <v>0</v>
      </c>
      <c r="H123" s="98" t="inlineStr">
        <is>
          <t>ProdSubPh</t>
        </is>
      </c>
      <c r="J123" s="22" t="b">
        <v>0</v>
      </c>
      <c r="K123" s="22" t="b">
        <v>0</v>
      </c>
      <c r="L123" s="22" t="b">
        <v>0</v>
      </c>
      <c r="M123" s="22" t="b">
        <v>0</v>
      </c>
      <c r="N123" s="22" t="b">
        <v>0</v>
      </c>
    </row>
    <row r="124">
      <c r="B124" s="98" t="inlineStr">
        <is>
          <t>Year to start producer subsidies phaseout (if applicable)</t>
        </is>
      </c>
      <c r="C124" s="98" t="inlineStr">
        <is>
          <t>year</t>
        </is>
      </c>
      <c r="D124" s="98" t="n"/>
      <c r="E124" s="98" t="n"/>
      <c r="F124" s="98" t="n">
        <v>2027</v>
      </c>
      <c r="G124" s="98" t="n">
        <v>2027</v>
      </c>
      <c r="H124" s="98" t="inlineStr">
        <is>
          <t>YearProdSubPha</t>
        </is>
      </c>
      <c r="J124" s="22" t="n">
        <v>2027</v>
      </c>
      <c r="K124" s="22" t="n">
        <v>2027</v>
      </c>
      <c r="L124" s="22" t="n">
        <v>2027</v>
      </c>
      <c r="M124" s="22" t="n">
        <v>2027</v>
      </c>
      <c r="N124" s="22" t="n">
        <v>2027</v>
      </c>
    </row>
    <row r="125">
      <c r="B125" s="98" t="inlineStr">
        <is>
          <t>Period to reach full producer subsidies phaseout (if applicable)</t>
        </is>
      </c>
      <c r="C125" s="98" t="inlineStr">
        <is>
          <t>year</t>
        </is>
      </c>
      <c r="D125" s="98" t="n"/>
      <c r="E125" s="98" t="n"/>
      <c r="F125" s="98" t="n">
        <v>5</v>
      </c>
      <c r="G125" s="98" t="n">
        <v>5</v>
      </c>
      <c r="H125" s="98" t="inlineStr">
        <is>
          <t>FFSProdPhaseoutPeriod</t>
        </is>
      </c>
      <c r="J125" s="22" t="n">
        <v>5</v>
      </c>
      <c r="K125" s="22" t="n">
        <v>5</v>
      </c>
      <c r="L125" s="22" t="n">
        <v>5</v>
      </c>
      <c r="M125" s="22" t="n">
        <v>5</v>
      </c>
      <c r="N125" s="22" t="n">
        <v>5</v>
      </c>
    </row>
    <row r="126">
      <c r="B126" s="98" t="inlineStr">
        <is>
          <t>Share of producer subsidies to phase-out</t>
        </is>
      </c>
      <c r="C126" s="98" t="inlineStr">
        <is>
          <t>%</t>
        </is>
      </c>
      <c r="D126" s="98" t="n"/>
      <c r="E126" s="98" t="n"/>
      <c r="F126" s="98" t="n">
        <v>1</v>
      </c>
      <c r="G126" s="98" t="n">
        <v>1</v>
      </c>
      <c r="H126" s="98" t="inlineStr">
        <is>
          <t>ShareofProdSubPha</t>
        </is>
      </c>
      <c r="J126" s="22" t="n">
        <v>1</v>
      </c>
      <c r="K126" s="22" t="n">
        <v>1</v>
      </c>
      <c r="L126" s="22" t="n">
        <v>1</v>
      </c>
      <c r="M126" s="22" t="n">
        <v>1</v>
      </c>
      <c r="N126" s="22" t="n">
        <v>1</v>
      </c>
    </row>
    <row r="127">
      <c r="B127" s="98" t="inlineStr">
        <is>
          <t>Apply producer subsidies phaseout in the baseline?</t>
        </is>
      </c>
      <c r="C127" s="98" t="inlineStr">
        <is>
          <t>Yes/No</t>
        </is>
      </c>
      <c r="D127" s="98" t="n"/>
      <c r="E127" s="98" t="n"/>
      <c r="F127" s="98" t="inlineStr">
        <is>
          <t>No</t>
        </is>
      </c>
      <c r="G127" s="98" t="inlineStr">
        <is>
          <t>No</t>
        </is>
      </c>
      <c r="H127" s="98" t="inlineStr">
        <is>
          <t>ProdSubPhaBaseline</t>
        </is>
      </c>
      <c r="J127" s="22" t="inlineStr">
        <is>
          <t>No</t>
        </is>
      </c>
      <c r="K127" s="22" t="inlineStr">
        <is>
          <t>No</t>
        </is>
      </c>
      <c r="L127" s="22" t="inlineStr">
        <is>
          <t>No</t>
        </is>
      </c>
      <c r="M127" s="22" t="inlineStr">
        <is>
          <t>No</t>
        </is>
      </c>
      <c r="N127" s="22" t="inlineStr">
        <is>
          <t>No</t>
        </is>
      </c>
    </row>
    <row r="128">
      <c r="B128" s="98" t="inlineStr">
        <is>
          <t>Period to reach full producer subsidies phaseout (baseline)</t>
        </is>
      </c>
      <c r="C128" s="98" t="inlineStr">
        <is>
          <t>year</t>
        </is>
      </c>
      <c r="D128" s="98" t="n"/>
      <c r="E128" s="98" t="n"/>
      <c r="F128" s="98" t="n">
        <v>5</v>
      </c>
      <c r="G128" s="98" t="n">
        <v>5</v>
      </c>
      <c r="H128" s="98" t="inlineStr">
        <is>
          <t>FFSProdPhaseoutPeriodBA</t>
        </is>
      </c>
      <c r="J128" s="22" t="n">
        <v>5</v>
      </c>
      <c r="K128" s="22" t="n">
        <v>5</v>
      </c>
      <c r="L128" s="22" t="n">
        <v>5</v>
      </c>
      <c r="M128" s="22" t="n">
        <v>5</v>
      </c>
      <c r="N128" s="22" t="n">
        <v>5</v>
      </c>
    </row>
    <row r="129">
      <c r="B129" s="98" t="inlineStr">
        <is>
          <t>Share of producer subsidies to phase-out in the baseline</t>
        </is>
      </c>
      <c r="C129" s="98" t="inlineStr">
        <is>
          <t>%</t>
        </is>
      </c>
      <c r="D129" s="98" t="n"/>
      <c r="E129" s="98" t="n"/>
      <c r="F129" s="98" t="n">
        <v>0</v>
      </c>
      <c r="G129" s="98" t="n">
        <v>0</v>
      </c>
      <c r="H129" s="98" t="inlineStr">
        <is>
          <t>ShareOfProdSubPhaBA</t>
        </is>
      </c>
      <c r="J129" s="22" t="n">
        <v>0</v>
      </c>
      <c r="K129" s="22" t="n">
        <v>0</v>
      </c>
      <c r="L129" s="22" t="n">
        <v>0</v>
      </c>
      <c r="M129" s="22" t="n">
        <v>0</v>
      </c>
      <c r="N129" s="22" t="n">
        <v>0</v>
      </c>
    </row>
    <row r="130">
      <c r="B130" s="96" t="inlineStr">
        <is>
          <t>Fossil fuel subsidies (consumer-side)</t>
        </is>
      </c>
    </row>
    <row r="131">
      <c r="B131" s="98" t="inlineStr">
        <is>
          <t>Apply consumer subsidies phaseout?</t>
        </is>
      </c>
      <c r="C131" s="98" t="inlineStr">
        <is>
          <t>TRUE/FALSE</t>
        </is>
      </c>
      <c r="D131" s="98" t="n"/>
      <c r="E131" s="98" t="n"/>
      <c r="F131" s="98" t="b">
        <v>0</v>
      </c>
      <c r="G131" s="98" t="b">
        <v>0</v>
      </c>
      <c r="H131" s="98" t="inlineStr">
        <is>
          <t>ConsSubPha</t>
        </is>
      </c>
      <c r="J131" s="22" t="b">
        <v>0</v>
      </c>
      <c r="K131" s="22" t="b">
        <v>0</v>
      </c>
      <c r="L131" s="22" t="b">
        <v>0</v>
      </c>
      <c r="M131" s="22" t="b">
        <v>0</v>
      </c>
      <c r="N131" s="22" t="b">
        <v>0</v>
      </c>
    </row>
    <row r="132">
      <c r="B132" s="98" t="inlineStr">
        <is>
          <t>Year to start consumer subsidies phaseout (if applicable)</t>
        </is>
      </c>
      <c r="C132" s="98" t="inlineStr">
        <is>
          <t>year</t>
        </is>
      </c>
      <c r="D132" s="98" t="n"/>
      <c r="E132" s="98" t="n"/>
      <c r="F132" s="98" t="n">
        <v>2027</v>
      </c>
      <c r="G132" s="98" t="n">
        <v>2027</v>
      </c>
      <c r="H132" s="98" t="inlineStr">
        <is>
          <t>YearConsSubPha</t>
        </is>
      </c>
      <c r="J132" s="22" t="n">
        <v>2027</v>
      </c>
      <c r="K132" s="22" t="n">
        <v>2027</v>
      </c>
      <c r="L132" s="22" t="n">
        <v>2027</v>
      </c>
      <c r="M132" s="22" t="n">
        <v>2027</v>
      </c>
      <c r="N132" s="22" t="n">
        <v>2027</v>
      </c>
    </row>
    <row r="133">
      <c r="B133" s="98" t="inlineStr">
        <is>
          <t>Period to reach full consumer subsidies phaseout (if applicable)</t>
        </is>
      </c>
      <c r="C133" s="98" t="inlineStr">
        <is>
          <t>year</t>
        </is>
      </c>
      <c r="D133" s="98" t="n"/>
      <c r="E133" s="98" t="n"/>
      <c r="F133" s="98" t="n">
        <v>5</v>
      </c>
      <c r="G133" s="98" t="n">
        <v>5</v>
      </c>
      <c r="H133" s="98" t="inlineStr">
        <is>
          <t>FFPhaseOut</t>
        </is>
      </c>
      <c r="J133" s="22" t="n">
        <v>5</v>
      </c>
      <c r="K133" s="22" t="n">
        <v>5</v>
      </c>
      <c r="L133" s="22" t="n">
        <v>5</v>
      </c>
      <c r="M133" s="22" t="n">
        <v>5</v>
      </c>
      <c r="N133" s="22" t="n">
        <v>5</v>
      </c>
    </row>
    <row r="134">
      <c r="B134" s="98" t="inlineStr">
        <is>
          <t>Share of consumer subsidies to phase-out</t>
        </is>
      </c>
      <c r="C134" s="98" t="inlineStr">
        <is>
          <t>%</t>
        </is>
      </c>
      <c r="D134" s="98" t="n"/>
      <c r="E134" s="98" t="n"/>
      <c r="F134" s="98" t="n">
        <v>1</v>
      </c>
      <c r="G134" s="98" t="n">
        <v>1</v>
      </c>
      <c r="H134" s="98" t="inlineStr">
        <is>
          <t>ShareOfConsSubPha</t>
        </is>
      </c>
      <c r="J134" s="22" t="n">
        <v>1</v>
      </c>
      <c r="K134" s="22" t="n">
        <v>1</v>
      </c>
      <c r="L134" s="22" t="n">
        <v>1</v>
      </c>
      <c r="M134" s="22" t="n">
        <v>1</v>
      </c>
      <c r="N134" s="22" t="n">
        <v>1</v>
      </c>
    </row>
    <row r="135">
      <c r="B135" s="98" t="inlineStr">
        <is>
          <t>Apply consumer subsidies phaseout in the baseline?</t>
        </is>
      </c>
      <c r="C135" s="98" t="inlineStr">
        <is>
          <t>Yes/No</t>
        </is>
      </c>
      <c r="D135" s="98" t="n"/>
      <c r="E135" s="98" t="n"/>
      <c r="F135" s="98" t="inlineStr">
        <is>
          <t>No</t>
        </is>
      </c>
      <c r="G135" s="98" t="inlineStr">
        <is>
          <t>No</t>
        </is>
      </c>
      <c r="H135" s="98" t="inlineStr">
        <is>
          <t>ConsSubPhaBaseline</t>
        </is>
      </c>
      <c r="J135" s="22" t="inlineStr">
        <is>
          <t>No</t>
        </is>
      </c>
      <c r="K135" s="22" t="inlineStr">
        <is>
          <t>No</t>
        </is>
      </c>
      <c r="L135" s="22" t="inlineStr">
        <is>
          <t>No</t>
        </is>
      </c>
      <c r="M135" s="22" t="inlineStr">
        <is>
          <t>No</t>
        </is>
      </c>
      <c r="N135" s="22" t="inlineStr">
        <is>
          <t>No</t>
        </is>
      </c>
    </row>
    <row r="136">
      <c r="B136" s="98" t="inlineStr">
        <is>
          <t>Period to reach full consumer subsidies phaseout (baseline)</t>
        </is>
      </c>
      <c r="C136" s="98" t="inlineStr">
        <is>
          <t>year</t>
        </is>
      </c>
      <c r="D136" s="98" t="n"/>
      <c r="E136" s="98" t="n"/>
      <c r="F136" s="98" t="n">
        <v>5</v>
      </c>
      <c r="G136" s="98" t="n">
        <v>5</v>
      </c>
      <c r="H136" s="98" t="inlineStr">
        <is>
          <t>FFSConsPhaseoutPeriodBA</t>
        </is>
      </c>
      <c r="J136" s="22" t="n">
        <v>5</v>
      </c>
      <c r="K136" s="22" t="n">
        <v>5</v>
      </c>
      <c r="L136" s="22" t="n">
        <v>5</v>
      </c>
      <c r="M136" s="22" t="n">
        <v>5</v>
      </c>
      <c r="N136" s="22" t="n">
        <v>5</v>
      </c>
    </row>
    <row r="137">
      <c r="B137" s="98" t="inlineStr">
        <is>
          <t>Share of consumer subsidies to phase-out in the baseline</t>
        </is>
      </c>
      <c r="C137" s="98" t="inlineStr">
        <is>
          <t>%</t>
        </is>
      </c>
      <c r="D137" s="98" t="n"/>
      <c r="E137" s="98" t="n"/>
      <c r="F137" s="98" t="n">
        <v>0</v>
      </c>
      <c r="G137" s="98" t="n">
        <v>0</v>
      </c>
      <c r="H137" s="98" t="inlineStr">
        <is>
          <t>ShareofConsSubPhaBA</t>
        </is>
      </c>
      <c r="J137" s="22" t="n">
        <v>0</v>
      </c>
      <c r="K137" s="22" t="n">
        <v>0</v>
      </c>
      <c r="L137" s="22" t="n">
        <v>0</v>
      </c>
      <c r="M137" s="22" t="n">
        <v>0</v>
      </c>
      <c r="N137" s="22" t="n">
        <v>0</v>
      </c>
    </row>
    <row r="138">
      <c r="B138" s="98" t="inlineStr">
        <is>
          <t>Include power subsidies in any phase out?</t>
        </is>
      </c>
      <c r="C138" s="98" t="inlineStr">
        <is>
          <t>Exempt/Include*</t>
        </is>
      </c>
      <c r="D138" s="98" t="n"/>
      <c r="E138" s="98" t="n"/>
      <c r="F138" s="98" t="inlineStr">
        <is>
          <t>DoNotPhaseOut*</t>
        </is>
      </c>
      <c r="G138" s="98" t="inlineStr">
        <is>
          <t>DoNotPhaseOut*</t>
        </is>
      </c>
      <c r="H138" s="98" t="inlineStr">
        <is>
          <t>PowerSubsidyExemptInclude</t>
        </is>
      </c>
      <c r="J138" s="22" t="inlineStr">
        <is>
          <t>DoNotPhaseOut*</t>
        </is>
      </c>
      <c r="K138" s="22" t="inlineStr">
        <is>
          <t>DoNotPhaseOut*</t>
        </is>
      </c>
      <c r="L138" s="22" t="inlineStr">
        <is>
          <t>DoNotPhaseOut*</t>
        </is>
      </c>
      <c r="M138" s="22" t="inlineStr">
        <is>
          <t>DoNotPhaseOut*</t>
        </is>
      </c>
      <c r="N138" s="22" t="inlineStr">
        <is>
          <t>DoNotPhaseOut*</t>
        </is>
      </c>
    </row>
    <row r="139">
      <c r="B139" s="96" t="inlineStr">
        <is>
          <t>Fuel Price Reform</t>
        </is>
      </c>
    </row>
    <row r="140">
      <c r="B140" s="98" t="inlineStr">
        <is>
          <t>Starting year</t>
        </is>
      </c>
      <c r="C140" s="98" t="n"/>
      <c r="D140" s="98" t="n"/>
      <c r="E140" s="98" t="n"/>
      <c r="F140" s="98" t="n">
        <v>2027</v>
      </c>
      <c r="G140" s="98" t="n">
        <v>2027</v>
      </c>
      <c r="H140" s="98" t="n"/>
      <c r="J140" s="22" t="n">
        <v>2027</v>
      </c>
      <c r="K140" s="22" t="n">
        <v>2027</v>
      </c>
      <c r="L140" s="22" t="n">
        <v>2027</v>
      </c>
      <c r="M140" s="22" t="n">
        <v>2027</v>
      </c>
      <c r="N140" s="22" t="n">
        <v>2027</v>
      </c>
    </row>
    <row r="141">
      <c r="B141" s="98" t="inlineStr">
        <is>
          <t>Target year</t>
        </is>
      </c>
      <c r="C141" s="98" t="n"/>
      <c r="D141" s="98" t="n"/>
      <c r="E141" s="98" t="n"/>
      <c r="F141" s="98" t="n">
        <v>2035</v>
      </c>
      <c r="G141" s="98" t="n">
        <v>2035</v>
      </c>
      <c r="H141" s="98" t="n"/>
      <c r="J141" s="22" t="n">
        <v>2035</v>
      </c>
      <c r="K141" s="22" t="n">
        <v>2035</v>
      </c>
      <c r="L141" s="22" t="n">
        <v>2035</v>
      </c>
      <c r="M141" s="22" t="n">
        <v>2035</v>
      </c>
      <c r="N141" s="22" t="n">
        <v>2035</v>
      </c>
    </row>
    <row r="142">
      <c r="B142" s="98" t="inlineStr">
        <is>
          <t>Starting price increase, Coal , Power</t>
        </is>
      </c>
      <c r="C142" s="98" t="n"/>
      <c r="D142" s="98" t="n"/>
      <c r="E142" s="98" t="n"/>
      <c r="F142" s="98" t="n">
        <v>0</v>
      </c>
      <c r="G142" s="98" t="n">
        <v>0</v>
      </c>
      <c r="H142" s="98" t="n"/>
      <c r="J142" s="22" t="n">
        <v>0</v>
      </c>
      <c r="K142" s="22" t="n">
        <v>0</v>
      </c>
      <c r="L142" s="22" t="n">
        <v>0</v>
      </c>
      <c r="M142" s="22" t="n">
        <v>0</v>
      </c>
      <c r="N142" s="22" t="n">
        <v>0</v>
      </c>
    </row>
    <row r="143">
      <c r="B143" s="98" t="inlineStr">
        <is>
          <t>Starting price increase, Coal , Residential</t>
        </is>
      </c>
      <c r="C143" s="98" t="n"/>
      <c r="D143" s="98" t="n"/>
      <c r="E143" s="98" t="n"/>
      <c r="F143" s="98" t="n">
        <v>0</v>
      </c>
      <c r="G143" s="98" t="n">
        <v>0</v>
      </c>
      <c r="H143" s="98" t="n"/>
      <c r="J143" s="22" t="n">
        <v>0</v>
      </c>
      <c r="K143" s="22" t="n">
        <v>0</v>
      </c>
      <c r="L143" s="22" t="n">
        <v>0</v>
      </c>
      <c r="M143" s="22" t="n">
        <v>0</v>
      </c>
      <c r="N143" s="22" t="n">
        <v>0</v>
      </c>
    </row>
    <row r="144">
      <c r="B144" s="98" t="inlineStr">
        <is>
          <t>Starting price increase, Coal , Industry</t>
        </is>
      </c>
      <c r="C144" s="98" t="n"/>
      <c r="D144" s="98" t="n"/>
      <c r="E144" s="98" t="n"/>
      <c r="F144" s="98" t="n">
        <v>0</v>
      </c>
      <c r="G144" s="98" t="n">
        <v>0</v>
      </c>
      <c r="H144" s="98" t="n"/>
      <c r="J144" s="22" t="n">
        <v>0</v>
      </c>
      <c r="K144" s="22" t="n">
        <v>0</v>
      </c>
      <c r="L144" s="22" t="n">
        <v>0</v>
      </c>
      <c r="M144" s="22" t="n">
        <v>0</v>
      </c>
      <c r="N144" s="22" t="n">
        <v>0</v>
      </c>
    </row>
    <row r="145">
      <c r="B145" s="98" t="inlineStr">
        <is>
          <t>Starting price increase, Natural gas , Power</t>
        </is>
      </c>
      <c r="C145" s="98" t="n"/>
      <c r="D145" s="98" t="n"/>
      <c r="E145" s="98" t="n"/>
      <c r="F145" s="98" t="n">
        <v>0</v>
      </c>
      <c r="G145" s="98" t="n">
        <v>0</v>
      </c>
      <c r="H145" s="98" t="n"/>
      <c r="J145" s="22" t="n">
        <v>0</v>
      </c>
      <c r="K145" s="22" t="n">
        <v>0</v>
      </c>
      <c r="L145" s="22" t="n">
        <v>0</v>
      </c>
      <c r="M145" s="22" t="n">
        <v>0</v>
      </c>
      <c r="N145" s="22" t="n">
        <v>0</v>
      </c>
    </row>
    <row r="146">
      <c r="B146" s="98" t="inlineStr">
        <is>
          <t>Starting price increase, Natural gas , Residential</t>
        </is>
      </c>
      <c r="C146" s="98" t="n"/>
      <c r="D146" s="98" t="n"/>
      <c r="E146" s="98" t="n"/>
      <c r="F146" s="98" t="n">
        <v>0</v>
      </c>
      <c r="G146" s="98" t="n">
        <v>0</v>
      </c>
      <c r="H146" s="98" t="n"/>
      <c r="J146" s="22" t="n">
        <v>0</v>
      </c>
      <c r="K146" s="22" t="n">
        <v>0</v>
      </c>
      <c r="L146" s="22" t="n">
        <v>0</v>
      </c>
      <c r="M146" s="22" t="n">
        <v>0</v>
      </c>
      <c r="N146" s="22" t="n">
        <v>0</v>
      </c>
    </row>
    <row r="147">
      <c r="B147" s="98" t="inlineStr">
        <is>
          <t>Starting price increase, Natural gas , Industry</t>
        </is>
      </c>
      <c r="C147" s="98" t="n"/>
      <c r="D147" s="98" t="n"/>
      <c r="E147" s="98" t="n"/>
      <c r="F147" s="98" t="n">
        <v>0</v>
      </c>
      <c r="G147" s="98" t="n">
        <v>0</v>
      </c>
      <c r="H147" s="98" t="n"/>
      <c r="J147" s="22" t="n">
        <v>0</v>
      </c>
      <c r="K147" s="22" t="n">
        <v>0</v>
      </c>
      <c r="L147" s="22" t="n">
        <v>0</v>
      </c>
      <c r="M147" s="22" t="n">
        <v>0</v>
      </c>
      <c r="N147" s="22" t="n">
        <v>0</v>
      </c>
    </row>
    <row r="148">
      <c r="B148" s="98" t="inlineStr">
        <is>
          <t>Starting price increase, Electricity , Residential</t>
        </is>
      </c>
      <c r="C148" s="98" t="n"/>
      <c r="D148" s="98" t="n"/>
      <c r="E148" s="98" t="n"/>
      <c r="F148" s="98" t="n">
        <v>0</v>
      </c>
      <c r="G148" s="98" t="n">
        <v>0</v>
      </c>
      <c r="H148" s="98" t="n"/>
      <c r="J148" s="22" t="n">
        <v>0</v>
      </c>
      <c r="K148" s="22" t="n">
        <v>0</v>
      </c>
      <c r="L148" s="22" t="n">
        <v>0</v>
      </c>
      <c r="M148" s="22" t="n">
        <v>0</v>
      </c>
      <c r="N148" s="22" t="n">
        <v>0</v>
      </c>
    </row>
    <row r="149">
      <c r="B149" s="98" t="inlineStr">
        <is>
          <t>Starting price increase, Electricity , Industry</t>
        </is>
      </c>
      <c r="C149" s="98" t="n"/>
      <c r="D149" s="98" t="n"/>
      <c r="E149" s="98" t="n"/>
      <c r="F149" s="98" t="n">
        <v>0</v>
      </c>
      <c r="G149" s="98" t="n">
        <v>0</v>
      </c>
      <c r="H149" s="98" t="n"/>
      <c r="J149" s="22" t="n">
        <v>0</v>
      </c>
      <c r="K149" s="22" t="n">
        <v>0</v>
      </c>
      <c r="L149" s="22" t="n">
        <v>0</v>
      </c>
      <c r="M149" s="22" t="n">
        <v>0</v>
      </c>
      <c r="N149" s="22" t="n">
        <v>0</v>
      </c>
    </row>
    <row r="150">
      <c r="B150" s="98" t="inlineStr">
        <is>
          <t>Starting price increase, Gasoline , All</t>
        </is>
      </c>
      <c r="C150" s="98" t="n"/>
      <c r="D150" s="98" t="n"/>
      <c r="E150" s="98" t="n"/>
      <c r="F150" s="98" t="n">
        <v>0</v>
      </c>
      <c r="G150" s="98" t="n">
        <v>0</v>
      </c>
      <c r="H150" s="98" t="n"/>
      <c r="J150" s="22" t="n">
        <v>0</v>
      </c>
      <c r="K150" s="22" t="n">
        <v>0</v>
      </c>
      <c r="L150" s="22" t="n">
        <v>0</v>
      </c>
      <c r="M150" s="22" t="n">
        <v>0</v>
      </c>
      <c r="N150" s="22" t="n">
        <v>0</v>
      </c>
    </row>
    <row r="151">
      <c r="B151" s="98" t="inlineStr">
        <is>
          <t>Starting price increase, Diesel  , All</t>
        </is>
      </c>
      <c r="C151" s="98" t="n"/>
      <c r="D151" s="98" t="n"/>
      <c r="E151" s="98" t="n"/>
      <c r="F151" s="98" t="n">
        <v>0</v>
      </c>
      <c r="G151" s="98" t="n">
        <v>0</v>
      </c>
      <c r="H151" s="98" t="n"/>
      <c r="J151" s="22" t="n">
        <v>0</v>
      </c>
      <c r="K151" s="22" t="n">
        <v>0</v>
      </c>
      <c r="L151" s="22" t="n">
        <v>0</v>
      </c>
      <c r="M151" s="22" t="n">
        <v>0</v>
      </c>
      <c r="N151" s="22" t="n">
        <v>0</v>
      </c>
    </row>
    <row r="152">
      <c r="B152" s="98" t="inlineStr">
        <is>
          <t>Starting price increase, LPG , All</t>
        </is>
      </c>
      <c r="C152" s="98" t="n"/>
      <c r="D152" s="98" t="n"/>
      <c r="E152" s="98" t="n"/>
      <c r="F152" s="98" t="n">
        <v>0</v>
      </c>
      <c r="G152" s="98" t="n">
        <v>0</v>
      </c>
      <c r="H152" s="98" t="n"/>
      <c r="J152" s="22" t="n">
        <v>0</v>
      </c>
      <c r="K152" s="22" t="n">
        <v>0</v>
      </c>
      <c r="L152" s="22" t="n">
        <v>0</v>
      </c>
      <c r="M152" s="22" t="n">
        <v>0</v>
      </c>
      <c r="N152" s="22" t="n">
        <v>0</v>
      </c>
    </row>
    <row r="153">
      <c r="B153" s="98" t="inlineStr">
        <is>
          <t>Starting price increase, Kerosene , All</t>
        </is>
      </c>
      <c r="C153" s="98" t="n"/>
      <c r="D153" s="98" t="n"/>
      <c r="E153" s="98" t="n"/>
      <c r="F153" s="98" t="n">
        <v>0</v>
      </c>
      <c r="G153" s="98" t="n">
        <v>0</v>
      </c>
      <c r="H153" s="98" t="n"/>
      <c r="J153" s="22" t="n">
        <v>0</v>
      </c>
      <c r="K153" s="22" t="n">
        <v>0</v>
      </c>
      <c r="L153" s="22" t="n">
        <v>0</v>
      </c>
      <c r="M153" s="22" t="n">
        <v>0</v>
      </c>
      <c r="N153" s="22" t="n">
        <v>0</v>
      </c>
    </row>
    <row r="154">
      <c r="B154" s="98" t="inlineStr">
        <is>
          <t>Starting price increase, Other oil products , All</t>
        </is>
      </c>
      <c r="C154" s="98" t="n"/>
      <c r="D154" s="98" t="n"/>
      <c r="E154" s="98" t="n"/>
      <c r="F154" s="98" t="n">
        <v>0</v>
      </c>
      <c r="G154" s="98" t="n">
        <v>0</v>
      </c>
      <c r="H154" s="98" t="n"/>
      <c r="J154" s="22" t="n">
        <v>0</v>
      </c>
      <c r="K154" s="22" t="n">
        <v>0</v>
      </c>
      <c r="L154" s="22" t="n">
        <v>0</v>
      </c>
      <c r="M154" s="22" t="n">
        <v>0</v>
      </c>
      <c r="N154" s="22" t="n">
        <v>0</v>
      </c>
    </row>
    <row r="155">
      <c r="B155" s="98" t="inlineStr">
        <is>
          <t>Starting price increase, Biomass , All</t>
        </is>
      </c>
      <c r="C155" s="98" t="n"/>
      <c r="D155" s="98" t="n"/>
      <c r="E155" s="98" t="n"/>
      <c r="F155" s="98" t="n">
        <v>0</v>
      </c>
      <c r="G155" s="98" t="n">
        <v>0</v>
      </c>
      <c r="H155" s="98" t="n"/>
      <c r="J155" s="22" t="n">
        <v>0</v>
      </c>
      <c r="K155" s="22" t="n">
        <v>0</v>
      </c>
      <c r="L155" s="22" t="n">
        <v>0</v>
      </c>
      <c r="M155" s="22" t="n">
        <v>0</v>
      </c>
      <c r="N155" s="22" t="n">
        <v>0</v>
      </c>
    </row>
    <row r="156">
      <c r="B156" s="98" t="inlineStr">
        <is>
          <t>Final price increase, Coal , Power</t>
        </is>
      </c>
      <c r="C156" s="98" t="n"/>
      <c r="D156" s="98" t="n"/>
      <c r="E156" s="98" t="n"/>
      <c r="F156" s="98" t="n">
        <v>0</v>
      </c>
      <c r="G156" s="98" t="n">
        <v>0</v>
      </c>
      <c r="H156" s="98" t="n"/>
      <c r="J156" s="22" t="n">
        <v>0</v>
      </c>
      <c r="K156" s="22" t="n">
        <v>0</v>
      </c>
      <c r="L156" s="22" t="n">
        <v>0</v>
      </c>
      <c r="M156" s="22" t="n">
        <v>0</v>
      </c>
      <c r="N156" s="22" t="n">
        <v>0</v>
      </c>
    </row>
    <row r="157">
      <c r="B157" s="98" t="inlineStr">
        <is>
          <t>Final price increase, Coal , Residential</t>
        </is>
      </c>
      <c r="C157" s="98" t="n"/>
      <c r="D157" s="98" t="n"/>
      <c r="E157" s="98" t="n"/>
      <c r="F157" s="98" t="n">
        <v>0</v>
      </c>
      <c r="G157" s="98" t="n">
        <v>0</v>
      </c>
      <c r="H157" s="98" t="n"/>
      <c r="J157" s="22" t="n">
        <v>0</v>
      </c>
      <c r="K157" s="22" t="n">
        <v>0</v>
      </c>
      <c r="L157" s="22" t="n">
        <v>0</v>
      </c>
      <c r="M157" s="22" t="n">
        <v>0</v>
      </c>
      <c r="N157" s="22" t="n">
        <v>0</v>
      </c>
    </row>
    <row r="158">
      <c r="B158" s="98" t="inlineStr">
        <is>
          <t>Final price increase, Coal , Industry</t>
        </is>
      </c>
      <c r="C158" s="98" t="n"/>
      <c r="D158" s="98" t="n"/>
      <c r="E158" s="98" t="n"/>
      <c r="F158" s="98" t="n">
        <v>0</v>
      </c>
      <c r="G158" s="98" t="n">
        <v>0</v>
      </c>
      <c r="H158" s="98" t="n"/>
      <c r="J158" s="22" t="n">
        <v>0</v>
      </c>
      <c r="K158" s="22" t="n">
        <v>0</v>
      </c>
      <c r="L158" s="22" t="n">
        <v>0</v>
      </c>
      <c r="M158" s="22" t="n">
        <v>0</v>
      </c>
      <c r="N158" s="22" t="n">
        <v>0</v>
      </c>
    </row>
    <row r="159">
      <c r="B159" s="98" t="inlineStr">
        <is>
          <t>Final price increase, Natural gas , Power</t>
        </is>
      </c>
      <c r="C159" s="98" t="n"/>
      <c r="D159" s="98" t="n"/>
      <c r="E159" s="98" t="n"/>
      <c r="F159" s="98" t="n">
        <v>0</v>
      </c>
      <c r="G159" s="98" t="n">
        <v>0</v>
      </c>
      <c r="H159" s="98" t="n"/>
      <c r="J159" s="22" t="n">
        <v>0</v>
      </c>
      <c r="K159" s="22" t="n">
        <v>0</v>
      </c>
      <c r="L159" s="22" t="n">
        <v>0</v>
      </c>
      <c r="M159" s="22" t="n">
        <v>0</v>
      </c>
      <c r="N159" s="22" t="n">
        <v>0</v>
      </c>
    </row>
    <row r="160">
      <c r="B160" s="98" t="inlineStr">
        <is>
          <t>Final price increase, Natural gas , Residential</t>
        </is>
      </c>
      <c r="C160" s="98" t="n"/>
      <c r="D160" s="98" t="n"/>
      <c r="E160" s="98" t="n"/>
      <c r="F160" s="98" t="n">
        <v>0</v>
      </c>
      <c r="G160" s="98" t="n">
        <v>0</v>
      </c>
      <c r="H160" s="98" t="n"/>
      <c r="J160" s="22" t="n">
        <v>0</v>
      </c>
      <c r="K160" s="22" t="n">
        <v>0</v>
      </c>
      <c r="L160" s="22" t="n">
        <v>0</v>
      </c>
      <c r="M160" s="22" t="n">
        <v>0</v>
      </c>
      <c r="N160" s="22" t="n">
        <v>0</v>
      </c>
    </row>
    <row r="161">
      <c r="B161" s="98" t="inlineStr">
        <is>
          <t>Final price increase, Natural gas , Industry</t>
        </is>
      </c>
      <c r="C161" s="98" t="n"/>
      <c r="D161" s="98" t="n"/>
      <c r="E161" s="98" t="n"/>
      <c r="F161" s="98" t="n">
        <v>0</v>
      </c>
      <c r="G161" s="98" t="n">
        <v>0</v>
      </c>
      <c r="H161" s="98" t="n"/>
      <c r="J161" s="22" t="n">
        <v>0</v>
      </c>
      <c r="K161" s="22" t="n">
        <v>0</v>
      </c>
      <c r="L161" s="22" t="n">
        <v>0</v>
      </c>
      <c r="M161" s="22" t="n">
        <v>0</v>
      </c>
      <c r="N161" s="22" t="n">
        <v>0</v>
      </c>
    </row>
    <row r="162">
      <c r="B162" s="98" t="inlineStr">
        <is>
          <t>Final price increase, Electricity , Residential</t>
        </is>
      </c>
      <c r="C162" s="98" t="n"/>
      <c r="D162" s="98" t="n"/>
      <c r="E162" s="98" t="n"/>
      <c r="F162" s="98" t="n">
        <v>0</v>
      </c>
      <c r="G162" s="98" t="n">
        <v>0</v>
      </c>
      <c r="H162" s="98" t="n"/>
      <c r="J162" s="22" t="n">
        <v>0</v>
      </c>
      <c r="K162" s="22" t="n">
        <v>0</v>
      </c>
      <c r="L162" s="22" t="n">
        <v>0</v>
      </c>
      <c r="M162" s="22" t="n">
        <v>0</v>
      </c>
      <c r="N162" s="22" t="n">
        <v>0</v>
      </c>
    </row>
    <row r="163">
      <c r="B163" s="98" t="inlineStr">
        <is>
          <t>Final price increase, Electricity , Industry</t>
        </is>
      </c>
      <c r="C163" s="98" t="n"/>
      <c r="D163" s="98" t="n"/>
      <c r="E163" s="98" t="n"/>
      <c r="F163" s="98" t="n">
        <v>0</v>
      </c>
      <c r="G163" s="98" t="n">
        <v>0</v>
      </c>
      <c r="H163" s="98" t="n"/>
      <c r="J163" s="22" t="n">
        <v>0</v>
      </c>
      <c r="K163" s="22" t="n">
        <v>0</v>
      </c>
      <c r="L163" s="22" t="n">
        <v>0</v>
      </c>
      <c r="M163" s="22" t="n">
        <v>0</v>
      </c>
      <c r="N163" s="22" t="n">
        <v>0</v>
      </c>
    </row>
    <row r="164">
      <c r="B164" s="98" t="inlineStr">
        <is>
          <t>Final price increase, Gasoline , All</t>
        </is>
      </c>
      <c r="C164" s="98" t="n"/>
      <c r="D164" s="98" t="n"/>
      <c r="E164" s="98" t="n"/>
      <c r="F164" s="98" t="n">
        <v>0</v>
      </c>
      <c r="G164" s="98" t="n">
        <v>0</v>
      </c>
      <c r="H164" s="98" t="n"/>
      <c r="J164" s="22" t="n">
        <v>0</v>
      </c>
      <c r="K164" s="22" t="n">
        <v>0</v>
      </c>
      <c r="L164" s="22" t="n">
        <v>0</v>
      </c>
      <c r="M164" s="22" t="n">
        <v>0</v>
      </c>
      <c r="N164" s="22" t="n">
        <v>0</v>
      </c>
    </row>
    <row r="165">
      <c r="B165" s="98" t="inlineStr">
        <is>
          <t>Final price increase, Diesel  , All</t>
        </is>
      </c>
      <c r="C165" s="98" t="n"/>
      <c r="D165" s="98" t="n"/>
      <c r="E165" s="98" t="n"/>
      <c r="F165" s="98" t="n">
        <v>0</v>
      </c>
      <c r="G165" s="98" t="n">
        <v>0</v>
      </c>
      <c r="H165" s="98" t="n"/>
      <c r="J165" s="22" t="n">
        <v>0</v>
      </c>
      <c r="K165" s="22" t="n">
        <v>0</v>
      </c>
      <c r="L165" s="22" t="n">
        <v>0</v>
      </c>
      <c r="M165" s="22" t="n">
        <v>0</v>
      </c>
      <c r="N165" s="22" t="n">
        <v>0</v>
      </c>
    </row>
    <row r="166">
      <c r="B166" s="98" t="inlineStr">
        <is>
          <t>Final price increase, LPG , All</t>
        </is>
      </c>
      <c r="C166" s="98" t="n"/>
      <c r="D166" s="98" t="n"/>
      <c r="E166" s="98" t="n"/>
      <c r="F166" s="98" t="n">
        <v>0</v>
      </c>
      <c r="G166" s="98" t="n">
        <v>0</v>
      </c>
      <c r="H166" s="98" t="n"/>
      <c r="J166" s="22" t="n">
        <v>0</v>
      </c>
      <c r="K166" s="22" t="n">
        <v>0</v>
      </c>
      <c r="L166" s="22" t="n">
        <v>0</v>
      </c>
      <c r="M166" s="22" t="n">
        <v>0</v>
      </c>
      <c r="N166" s="22" t="n">
        <v>0</v>
      </c>
    </row>
    <row r="167">
      <c r="B167" s="98" t="inlineStr">
        <is>
          <t>Final price increase, Kerosene , All</t>
        </is>
      </c>
      <c r="C167" s="98" t="n"/>
      <c r="D167" s="98" t="n"/>
      <c r="E167" s="98" t="n"/>
      <c r="F167" s="98" t="n">
        <v>0</v>
      </c>
      <c r="G167" s="98" t="n">
        <v>0</v>
      </c>
      <c r="H167" s="98" t="n"/>
      <c r="J167" s="22" t="n">
        <v>0</v>
      </c>
      <c r="K167" s="22" t="n">
        <v>0</v>
      </c>
      <c r="L167" s="22" t="n">
        <v>0</v>
      </c>
      <c r="M167" s="22" t="n">
        <v>0</v>
      </c>
      <c r="N167" s="22" t="n">
        <v>0</v>
      </c>
    </row>
    <row r="168">
      <c r="B168" s="98" t="inlineStr">
        <is>
          <t>Final price increase, Other oil products , All</t>
        </is>
      </c>
      <c r="C168" s="98" t="n"/>
      <c r="D168" s="98" t="n"/>
      <c r="E168" s="98" t="n"/>
      <c r="F168" s="98" t="n">
        <v>0</v>
      </c>
      <c r="G168" s="98" t="n">
        <v>0</v>
      </c>
      <c r="H168" s="98" t="n"/>
      <c r="J168" s="22" t="n">
        <v>0</v>
      </c>
      <c r="K168" s="22" t="n">
        <v>0</v>
      </c>
      <c r="L168" s="22" t="n">
        <v>0</v>
      </c>
      <c r="M168" s="22" t="n">
        <v>0</v>
      </c>
      <c r="N168" s="22" t="n">
        <v>0</v>
      </c>
    </row>
    <row r="169">
      <c r="B169" s="98" t="inlineStr">
        <is>
          <t>Final price increase, Biomass , All</t>
        </is>
      </c>
      <c r="C169" s="98" t="n"/>
      <c r="D169" s="98" t="n"/>
      <c r="E169" s="98" t="n"/>
      <c r="F169" s="98" t="n">
        <v>0</v>
      </c>
      <c r="G169" s="98" t="n">
        <v>0</v>
      </c>
      <c r="H169" s="98" t="n"/>
      <c r="J169" s="22" t="n">
        <v>0</v>
      </c>
      <c r="K169" s="22" t="n">
        <v>0</v>
      </c>
      <c r="L169" s="22" t="n">
        <v>0</v>
      </c>
      <c r="M169" s="22" t="n">
        <v>0</v>
      </c>
      <c r="N169" s="22" t="n">
        <v>0</v>
      </c>
    </row>
    <row r="170">
      <c r="B170" s="98" t="inlineStr">
        <is>
          <t>Price increase units, Coal , Power</t>
        </is>
      </c>
      <c r="C170" s="98" t="n"/>
      <c r="D170" s="98" t="n"/>
      <c r="E170" s="98" t="n"/>
      <c r="F170" s="98" t="inlineStr">
        <is>
          <t>$/GJ</t>
        </is>
      </c>
      <c r="G170" s="98" t="inlineStr">
        <is>
          <t>$/GJ</t>
        </is>
      </c>
      <c r="H170" s="98" t="n"/>
      <c r="J170" s="22" t="inlineStr">
        <is>
          <t>$/GJ</t>
        </is>
      </c>
      <c r="K170" s="22" t="inlineStr">
        <is>
          <t>$/GJ</t>
        </is>
      </c>
      <c r="L170" s="22" t="inlineStr">
        <is>
          <t>$/GJ</t>
        </is>
      </c>
      <c r="M170" s="22" t="inlineStr">
        <is>
          <t>$/GJ</t>
        </is>
      </c>
      <c r="N170" s="22" t="inlineStr">
        <is>
          <t>$/GJ</t>
        </is>
      </c>
    </row>
    <row r="171">
      <c r="B171" s="98" t="inlineStr">
        <is>
          <t>Price increase units, Coal , Residential</t>
        </is>
      </c>
      <c r="C171" s="98" t="n"/>
      <c r="D171" s="98" t="n"/>
      <c r="E171" s="98" t="n"/>
      <c r="F171" s="98" t="inlineStr">
        <is>
          <t>$/GJ</t>
        </is>
      </c>
      <c r="G171" s="98" t="inlineStr">
        <is>
          <t>$/GJ</t>
        </is>
      </c>
      <c r="H171" s="98" t="n"/>
      <c r="J171" s="22" t="inlineStr">
        <is>
          <t>$/GJ</t>
        </is>
      </c>
      <c r="K171" s="22" t="inlineStr">
        <is>
          <t>$/GJ</t>
        </is>
      </c>
      <c r="L171" s="22" t="inlineStr">
        <is>
          <t>$/GJ</t>
        </is>
      </c>
      <c r="M171" s="22" t="inlineStr">
        <is>
          <t>$/GJ</t>
        </is>
      </c>
      <c r="N171" s="22" t="inlineStr">
        <is>
          <t>$/GJ</t>
        </is>
      </c>
    </row>
    <row r="172">
      <c r="B172" s="98" t="inlineStr">
        <is>
          <t>Price increase units, Coal , Industry</t>
        </is>
      </c>
      <c r="C172" s="98" t="n"/>
      <c r="D172" s="98" t="n"/>
      <c r="E172" s="98" t="n"/>
      <c r="F172" s="98" t="inlineStr">
        <is>
          <t>$/GJ</t>
        </is>
      </c>
      <c r="G172" s="98" t="inlineStr">
        <is>
          <t>$/GJ</t>
        </is>
      </c>
      <c r="H172" s="98" t="n"/>
      <c r="J172" s="22" t="inlineStr">
        <is>
          <t>$/GJ</t>
        </is>
      </c>
      <c r="K172" s="22" t="inlineStr">
        <is>
          <t>$/GJ</t>
        </is>
      </c>
      <c r="L172" s="22" t="inlineStr">
        <is>
          <t>$/GJ</t>
        </is>
      </c>
      <c r="M172" s="22" t="inlineStr">
        <is>
          <t>$/GJ</t>
        </is>
      </c>
      <c r="N172" s="22" t="inlineStr">
        <is>
          <t>$/GJ</t>
        </is>
      </c>
    </row>
    <row r="173">
      <c r="B173" s="98" t="inlineStr">
        <is>
          <t>Price increase units, Natural gas , Power</t>
        </is>
      </c>
      <c r="C173" s="98" t="n"/>
      <c r="D173" s="98" t="n"/>
      <c r="E173" s="98" t="n"/>
      <c r="F173" s="98" t="inlineStr">
        <is>
          <t>$/GJ</t>
        </is>
      </c>
      <c r="G173" s="98" t="inlineStr">
        <is>
          <t>$/GJ</t>
        </is>
      </c>
      <c r="H173" s="98" t="n"/>
      <c r="J173" s="22" t="inlineStr">
        <is>
          <t>$/GJ</t>
        </is>
      </c>
      <c r="K173" s="22" t="inlineStr">
        <is>
          <t>$/GJ</t>
        </is>
      </c>
      <c r="L173" s="22" t="inlineStr">
        <is>
          <t>$/GJ</t>
        </is>
      </c>
      <c r="M173" s="22" t="inlineStr">
        <is>
          <t>$/GJ</t>
        </is>
      </c>
      <c r="N173" s="22" t="inlineStr">
        <is>
          <t>$/GJ</t>
        </is>
      </c>
    </row>
    <row r="174">
      <c r="B174" s="98" t="inlineStr">
        <is>
          <t>Price increase units, Natural gas , Residential</t>
        </is>
      </c>
      <c r="C174" s="98" t="n"/>
      <c r="D174" s="98" t="n"/>
      <c r="E174" s="98" t="n"/>
      <c r="F174" s="98" t="inlineStr">
        <is>
          <t>$/GJ</t>
        </is>
      </c>
      <c r="G174" s="98" t="inlineStr">
        <is>
          <t>$/GJ</t>
        </is>
      </c>
      <c r="H174" s="98" t="n"/>
      <c r="J174" s="22" t="inlineStr">
        <is>
          <t>$/GJ</t>
        </is>
      </c>
      <c r="K174" s="22" t="inlineStr">
        <is>
          <t>$/GJ</t>
        </is>
      </c>
      <c r="L174" s="22" t="inlineStr">
        <is>
          <t>$/GJ</t>
        </is>
      </c>
      <c r="M174" s="22" t="inlineStr">
        <is>
          <t>$/GJ</t>
        </is>
      </c>
      <c r="N174" s="22" t="inlineStr">
        <is>
          <t>$/GJ</t>
        </is>
      </c>
    </row>
    <row r="175">
      <c r="B175" s="98" t="inlineStr">
        <is>
          <t>Price increase units, Natural gas , Industry</t>
        </is>
      </c>
      <c r="C175" s="98" t="n"/>
      <c r="D175" s="98" t="n"/>
      <c r="E175" s="98" t="n"/>
      <c r="F175" s="98" t="inlineStr">
        <is>
          <t>$/GJ</t>
        </is>
      </c>
      <c r="G175" s="98" t="inlineStr">
        <is>
          <t>$/GJ</t>
        </is>
      </c>
      <c r="H175" s="98" t="n"/>
      <c r="J175" s="22" t="inlineStr">
        <is>
          <t>$/GJ</t>
        </is>
      </c>
      <c r="K175" s="22" t="inlineStr">
        <is>
          <t>$/GJ</t>
        </is>
      </c>
      <c r="L175" s="22" t="inlineStr">
        <is>
          <t>$/GJ</t>
        </is>
      </c>
      <c r="M175" s="22" t="inlineStr">
        <is>
          <t>$/GJ</t>
        </is>
      </c>
      <c r="N175" s="22" t="inlineStr">
        <is>
          <t>$/GJ</t>
        </is>
      </c>
    </row>
    <row r="176">
      <c r="B176" s="98" t="inlineStr">
        <is>
          <t>Price increase units, Electricity , Residential</t>
        </is>
      </c>
      <c r="C176" s="98" t="n"/>
      <c r="D176" s="98" t="n"/>
      <c r="E176" s="98" t="n"/>
      <c r="F176" s="98" t="inlineStr">
        <is>
          <t>$/kwh</t>
        </is>
      </c>
      <c r="G176" s="98" t="inlineStr">
        <is>
          <t>$/kwh</t>
        </is>
      </c>
      <c r="H176" s="98" t="n"/>
      <c r="J176" s="22" t="inlineStr">
        <is>
          <t>$/kwh</t>
        </is>
      </c>
      <c r="K176" s="22" t="inlineStr">
        <is>
          <t>$/kwh</t>
        </is>
      </c>
      <c r="L176" s="22" t="inlineStr">
        <is>
          <t>$/kwh</t>
        </is>
      </c>
      <c r="M176" s="22" t="inlineStr">
        <is>
          <t>$/kwh</t>
        </is>
      </c>
      <c r="N176" s="22" t="inlineStr">
        <is>
          <t>$/kwh</t>
        </is>
      </c>
    </row>
    <row r="177">
      <c r="B177" s="98" t="inlineStr">
        <is>
          <t>Price increase units, Electricity , Industry</t>
        </is>
      </c>
      <c r="C177" s="98" t="n"/>
      <c r="D177" s="98" t="n"/>
      <c r="E177" s="98" t="n"/>
      <c r="F177" s="98" t="inlineStr">
        <is>
          <t>$/kwh</t>
        </is>
      </c>
      <c r="G177" s="98" t="inlineStr">
        <is>
          <t>$/kwh</t>
        </is>
      </c>
      <c r="H177" s="98" t="n"/>
      <c r="J177" s="22" t="inlineStr">
        <is>
          <t>$/kwh</t>
        </is>
      </c>
      <c r="K177" s="22" t="inlineStr">
        <is>
          <t>$/kwh</t>
        </is>
      </c>
      <c r="L177" s="22" t="inlineStr">
        <is>
          <t>$/kwh</t>
        </is>
      </c>
      <c r="M177" s="22" t="inlineStr">
        <is>
          <t>$/kwh</t>
        </is>
      </c>
      <c r="N177" s="22" t="inlineStr">
        <is>
          <t>$/kwh</t>
        </is>
      </c>
    </row>
    <row r="178">
      <c r="B178" s="98" t="inlineStr">
        <is>
          <t>Price increase units, Gasoline , All</t>
        </is>
      </c>
      <c r="C178" s="98" t="n"/>
      <c r="D178" s="98" t="n"/>
      <c r="E178" s="98" t="n"/>
      <c r="F178" s="98" t="inlineStr">
        <is>
          <t>$/liter</t>
        </is>
      </c>
      <c r="G178" s="98" t="inlineStr">
        <is>
          <t>$/liter</t>
        </is>
      </c>
      <c r="H178" s="98" t="n"/>
      <c r="J178" s="22" t="inlineStr">
        <is>
          <t>$/liter</t>
        </is>
      </c>
      <c r="K178" s="22" t="inlineStr">
        <is>
          <t>$/liter</t>
        </is>
      </c>
      <c r="L178" s="22" t="inlineStr">
        <is>
          <t>$/liter</t>
        </is>
      </c>
      <c r="M178" s="22" t="inlineStr">
        <is>
          <t>$/liter</t>
        </is>
      </c>
      <c r="N178" s="22" t="inlineStr">
        <is>
          <t>$/liter</t>
        </is>
      </c>
    </row>
    <row r="179">
      <c r="B179" s="98" t="inlineStr">
        <is>
          <t>Price increase units, Diesel  , All</t>
        </is>
      </c>
      <c r="C179" s="98" t="n"/>
      <c r="D179" s="98" t="n"/>
      <c r="E179" s="98" t="n"/>
      <c r="F179" s="98" t="inlineStr">
        <is>
          <t>$/liter</t>
        </is>
      </c>
      <c r="G179" s="98" t="inlineStr">
        <is>
          <t>$/liter</t>
        </is>
      </c>
      <c r="H179" s="98" t="n"/>
      <c r="J179" s="22" t="inlineStr">
        <is>
          <t>$/liter</t>
        </is>
      </c>
      <c r="K179" s="22" t="inlineStr">
        <is>
          <t>$/liter</t>
        </is>
      </c>
      <c r="L179" s="22" t="inlineStr">
        <is>
          <t>$/liter</t>
        </is>
      </c>
      <c r="M179" s="22" t="inlineStr">
        <is>
          <t>$/liter</t>
        </is>
      </c>
      <c r="N179" s="22" t="inlineStr">
        <is>
          <t>$/liter</t>
        </is>
      </c>
    </row>
    <row r="180">
      <c r="B180" s="98" t="inlineStr">
        <is>
          <t>Price increase units, LPG , All</t>
        </is>
      </c>
      <c r="C180" s="98" t="n"/>
      <c r="D180" s="98" t="n"/>
      <c r="E180" s="98" t="n"/>
      <c r="F180" s="98" t="inlineStr">
        <is>
          <t>$/liter</t>
        </is>
      </c>
      <c r="G180" s="98" t="inlineStr">
        <is>
          <t>$/liter</t>
        </is>
      </c>
      <c r="H180" s="98" t="n"/>
      <c r="J180" s="22" t="inlineStr">
        <is>
          <t>$/liter</t>
        </is>
      </c>
      <c r="K180" s="22" t="inlineStr">
        <is>
          <t>$/liter</t>
        </is>
      </c>
      <c r="L180" s="22" t="inlineStr">
        <is>
          <t>$/liter</t>
        </is>
      </c>
      <c r="M180" s="22" t="inlineStr">
        <is>
          <t>$/liter</t>
        </is>
      </c>
      <c r="N180" s="22" t="inlineStr">
        <is>
          <t>$/liter</t>
        </is>
      </c>
    </row>
    <row r="181">
      <c r="B181" s="98" t="inlineStr">
        <is>
          <t>Price increase units, Kerosene , All</t>
        </is>
      </c>
      <c r="C181" s="98" t="n"/>
      <c r="D181" s="98" t="n"/>
      <c r="E181" s="98" t="n"/>
      <c r="F181" s="98" t="inlineStr">
        <is>
          <t>$/liter</t>
        </is>
      </c>
      <c r="G181" s="98" t="inlineStr">
        <is>
          <t>$/liter</t>
        </is>
      </c>
      <c r="H181" s="98" t="n"/>
      <c r="J181" s="22" t="inlineStr">
        <is>
          <t>$/liter</t>
        </is>
      </c>
      <c r="K181" s="22" t="inlineStr">
        <is>
          <t>$/liter</t>
        </is>
      </c>
      <c r="L181" s="22" t="inlineStr">
        <is>
          <t>$/liter</t>
        </is>
      </c>
      <c r="M181" s="22" t="inlineStr">
        <is>
          <t>$/liter</t>
        </is>
      </c>
      <c r="N181" s="22" t="inlineStr">
        <is>
          <t>$/liter</t>
        </is>
      </c>
    </row>
    <row r="182">
      <c r="B182" s="98" t="inlineStr">
        <is>
          <t>Price increase units, Other oil products , All</t>
        </is>
      </c>
      <c r="C182" s="98" t="n"/>
      <c r="D182" s="98" t="n"/>
      <c r="E182" s="98" t="n"/>
      <c r="F182" s="98" t="inlineStr">
        <is>
          <t>$/bbn</t>
        </is>
      </c>
      <c r="G182" s="98" t="inlineStr">
        <is>
          <t>$/liter</t>
        </is>
      </c>
      <c r="H182" s="98" t="n"/>
      <c r="J182" s="22" t="inlineStr">
        <is>
          <t>$/bbn</t>
        </is>
      </c>
      <c r="K182" s="22" t="inlineStr">
        <is>
          <t>$/bbn</t>
        </is>
      </c>
      <c r="L182" s="22" t="inlineStr">
        <is>
          <t>$/bbn</t>
        </is>
      </c>
      <c r="M182" s="22" t="inlineStr">
        <is>
          <t>$/bbn</t>
        </is>
      </c>
      <c r="N182" s="22" t="inlineStr">
        <is>
          <t>$/bbn</t>
        </is>
      </c>
    </row>
    <row r="183">
      <c r="B183" s="98" t="inlineStr">
        <is>
          <t>Price increase units, Biomass , All</t>
        </is>
      </c>
      <c r="C183" s="98" t="n"/>
      <c r="D183" s="98" t="n"/>
      <c r="E183" s="98" t="n"/>
      <c r="F183" s="98" t="inlineStr">
        <is>
          <t>$/GJ</t>
        </is>
      </c>
      <c r="G183" s="98" t="inlineStr">
        <is>
          <t>$/liter</t>
        </is>
      </c>
      <c r="H183" s="98" t="n"/>
      <c r="J183" s="22" t="inlineStr">
        <is>
          <t>$/GJ</t>
        </is>
      </c>
      <c r="K183" s="22" t="inlineStr">
        <is>
          <t>$/GJ</t>
        </is>
      </c>
      <c r="L183" s="22" t="inlineStr">
        <is>
          <t>$/GJ</t>
        </is>
      </c>
      <c r="M183" s="22" t="inlineStr">
        <is>
          <t>$/GJ</t>
        </is>
      </c>
      <c r="N183" s="22" t="inlineStr">
        <is>
          <t>$/GJ</t>
        </is>
      </c>
    </row>
    <row r="184">
      <c r="B184" s="96" t="inlineStr">
        <is>
          <t>Methane tax</t>
        </is>
      </c>
    </row>
    <row r="185">
      <c r="B185" s="98" t="inlineStr">
        <is>
          <t>Apply carbon tax to methane</t>
        </is>
      </c>
      <c r="C185" s="98" t="inlineStr">
        <is>
          <t>switch</t>
        </is>
      </c>
      <c r="D185" s="98" t="n"/>
      <c r="E185" s="98" t="n"/>
      <c r="F185" s="98" t="inlineStr">
        <is>
          <t>No</t>
        </is>
      </c>
      <c r="G185" s="98" t="inlineStr">
        <is>
          <t>No</t>
        </is>
      </c>
      <c r="H185" s="98" t="inlineStr">
        <is>
          <t>CTforMethane</t>
        </is>
      </c>
      <c r="J185" s="22" t="inlineStr">
        <is>
          <t>No</t>
        </is>
      </c>
      <c r="K185" s="22" t="inlineStr">
        <is>
          <t>No</t>
        </is>
      </c>
      <c r="L185" s="22" t="inlineStr">
        <is>
          <t>No</t>
        </is>
      </c>
      <c r="M185" s="22" t="inlineStr">
        <is>
          <t>No</t>
        </is>
      </c>
      <c r="N185" s="22" t="inlineStr">
        <is>
          <t>No</t>
        </is>
      </c>
    </row>
    <row r="186">
      <c r="B186" s="98" t="inlineStr">
        <is>
          <t>Year of methane fee introduction</t>
        </is>
      </c>
      <c r="C186" s="98" t="inlineStr">
        <is>
          <t>year</t>
        </is>
      </c>
      <c r="D186" s="98" t="n"/>
      <c r="E186" s="98" t="n"/>
      <c r="F186" s="98" t="n">
        <v>2027</v>
      </c>
      <c r="G186" s="98" t="n">
        <v>2027</v>
      </c>
      <c r="H186" s="98" t="inlineStr">
        <is>
          <t>MPIntro</t>
        </is>
      </c>
      <c r="J186" s="22" t="n">
        <v>2027</v>
      </c>
      <c r="K186" s="22" t="n">
        <v>2027</v>
      </c>
      <c r="L186" s="22" t="n">
        <v>2027</v>
      </c>
      <c r="M186" s="22" t="n">
        <v>2027</v>
      </c>
      <c r="N186" s="22" t="n">
        <v>2027</v>
      </c>
    </row>
    <row r="187">
      <c r="B187" s="98" t="inlineStr">
        <is>
          <t>Starting methane fee (real USD per ton CO2eq)</t>
        </is>
      </c>
      <c r="C187" s="98" t="inlineStr">
        <is>
          <t>USD per ton of CO2 eq</t>
        </is>
      </c>
      <c r="D187" s="98" t="n"/>
      <c r="E187" s="98" t="n"/>
      <c r="F187" s="98" t="n">
        <v>0</v>
      </c>
      <c r="G187" s="98" t="n">
        <v>0</v>
      </c>
      <c r="H187" s="98" t="inlineStr">
        <is>
          <t>MPLevelStart</t>
        </is>
      </c>
      <c r="J187" s="22" t="n">
        <v>0</v>
      </c>
      <c r="K187" s="22" t="n">
        <v>0</v>
      </c>
      <c r="L187" s="22" t="n">
        <v>0</v>
      </c>
      <c r="M187" s="22" t="n">
        <v>0</v>
      </c>
      <c r="N187" s="22" t="n">
        <v>0</v>
      </c>
    </row>
    <row r="188">
      <c r="B188" s="98" t="inlineStr">
        <is>
          <t>Target level of methane fee</t>
        </is>
      </c>
      <c r="C188" s="98" t="inlineStr">
        <is>
          <t>USD per ton of CO2 eq</t>
        </is>
      </c>
      <c r="D188" s="98" t="n"/>
      <c r="E188" s="98" t="n"/>
      <c r="F188" s="98" t="n">
        <v>0</v>
      </c>
      <c r="G188" s="98" t="n">
        <v>0</v>
      </c>
      <c r="H188" s="98" t="inlineStr">
        <is>
          <t>MPLevelTarget</t>
        </is>
      </c>
      <c r="J188" s="22" t="n">
        <v>0</v>
      </c>
      <c r="K188" s="22" t="n">
        <v>0</v>
      </c>
      <c r="L188" s="22" t="n">
        <v>0</v>
      </c>
      <c r="M188" s="22" t="n">
        <v>0</v>
      </c>
      <c r="N188" s="22" t="n">
        <v>0</v>
      </c>
    </row>
    <row r="189">
      <c r="B189" s="98" t="inlineStr">
        <is>
          <t>Year to reach target methane fee level</t>
        </is>
      </c>
      <c r="C189" s="98" t="inlineStr">
        <is>
          <t>year</t>
        </is>
      </c>
      <c r="D189" s="98" t="n"/>
      <c r="E189" s="98" t="n"/>
      <c r="F189" s="98" t="n">
        <v>2030</v>
      </c>
      <c r="G189" s="98" t="n">
        <v>2030</v>
      </c>
      <c r="H189" s="98" t="inlineStr">
        <is>
          <t>MPOutro</t>
        </is>
      </c>
      <c r="J189" s="22" t="n">
        <v>2030</v>
      </c>
      <c r="K189" s="22" t="n">
        <v>2030</v>
      </c>
      <c r="L189" s="22" t="n">
        <v>2030</v>
      </c>
      <c r="M189" s="22" t="n">
        <v>2030</v>
      </c>
      <c r="N189" s="22" t="n">
        <v>2030</v>
      </c>
    </row>
    <row r="190">
      <c r="B190" s="96" t="inlineStr">
        <is>
          <t>Price liberalization</t>
        </is>
      </c>
    </row>
    <row r="191">
      <c r="B191" s="98" t="inlineStr">
        <is>
          <t>Apply price controls phaseout?</t>
        </is>
      </c>
      <c r="C191" s="98" t="inlineStr">
        <is>
          <t>switch</t>
        </is>
      </c>
      <c r="D191" s="98" t="n"/>
      <c r="E191" s="98" t="n"/>
      <c r="F191" s="98" t="b">
        <v>0</v>
      </c>
      <c r="G191" s="98" t="b">
        <v>0</v>
      </c>
      <c r="H191" s="98" t="inlineStr">
        <is>
          <t>PrcContPha</t>
        </is>
      </c>
      <c r="J191" s="22" t="b">
        <v>0</v>
      </c>
      <c r="K191" s="22" t="b">
        <v>0</v>
      </c>
      <c r="L191" s="22" t="b">
        <v>0</v>
      </c>
      <c r="M191" s="22" t="b">
        <v>0</v>
      </c>
      <c r="N191" s="22" t="b">
        <v>0</v>
      </c>
    </row>
    <row r="192">
      <c r="B192" s="98" t="inlineStr">
        <is>
          <t>Year to start price controls phaseout (if applicable)</t>
        </is>
      </c>
      <c r="C192" s="98" t="inlineStr">
        <is>
          <t>year</t>
        </is>
      </c>
      <c r="D192" s="98" t="n"/>
      <c r="E192" s="98" t="n"/>
      <c r="F192" s="98" t="n">
        <v>2027</v>
      </c>
      <c r="G192" s="98" t="n">
        <v>2027</v>
      </c>
      <c r="H192" s="98" t="inlineStr">
        <is>
          <t>YearPrcContPha</t>
        </is>
      </c>
      <c r="J192" s="22" t="n">
        <v>2027</v>
      </c>
      <c r="K192" s="22" t="n">
        <v>2027</v>
      </c>
      <c r="L192" s="22" t="n">
        <v>2027</v>
      </c>
      <c r="M192" s="22" t="n">
        <v>2027</v>
      </c>
      <c r="N192" s="22" t="n">
        <v>2027</v>
      </c>
    </row>
    <row r="193">
      <c r="B193" s="98" t="inlineStr">
        <is>
          <t>Period to reach full price controls phaseout (if applicable)</t>
        </is>
      </c>
      <c r="C193" s="98" t="inlineStr">
        <is>
          <t>year</t>
        </is>
      </c>
      <c r="D193" s="98" t="n"/>
      <c r="E193" s="98" t="n"/>
      <c r="F193" s="98" t="n">
        <v>5</v>
      </c>
      <c r="G193" s="98" t="n">
        <v>5</v>
      </c>
      <c r="H193" s="98" t="inlineStr">
        <is>
          <t>PrcControlPhaseout</t>
        </is>
      </c>
      <c r="J193" s="22" t="n">
        <v>5</v>
      </c>
      <c r="K193" s="22" t="n">
        <v>5</v>
      </c>
      <c r="L193" s="22" t="n">
        <v>5</v>
      </c>
      <c r="M193" s="22" t="n">
        <v>5</v>
      </c>
      <c r="N193" s="22" t="n">
        <v>5</v>
      </c>
    </row>
    <row r="194">
      <c r="B194" s="98" t="inlineStr">
        <is>
          <t>Government energy price controls</t>
        </is>
      </c>
      <c r="C194" s="98" t="inlineStr">
        <is>
          <t>switch</t>
        </is>
      </c>
      <c r="D194" s="98" t="n"/>
      <c r="E194" s="98" t="n"/>
      <c r="F194" s="98" t="inlineStr">
        <is>
          <t>Bucketed*</t>
        </is>
      </c>
      <c r="G194" s="98" t="inlineStr">
        <is>
          <t>Bucketed*</t>
        </is>
      </c>
      <c r="H194" s="98" t="inlineStr">
        <is>
          <t>GovPriceControls</t>
        </is>
      </c>
      <c r="J194" s="22" t="inlineStr">
        <is>
          <t>Bucketed*</t>
        </is>
      </c>
      <c r="K194" s="22" t="inlineStr">
        <is>
          <t>Bucketed*</t>
        </is>
      </c>
      <c r="L194" s="22" t="inlineStr">
        <is>
          <t>Bucketed*</t>
        </is>
      </c>
      <c r="M194" s="22" t="inlineStr">
        <is>
          <t>Bucketed*</t>
        </is>
      </c>
      <c r="N194" s="22" t="inlineStr">
        <is>
          <t>Bucketed*</t>
        </is>
      </c>
    </row>
    <row r="195">
      <c r="B195" s="98" t="inlineStr">
        <is>
          <t>Apply price controls phaseout in the baseline scenario?</t>
        </is>
      </c>
      <c r="C195" s="98" t="inlineStr">
        <is>
          <t>switch</t>
        </is>
      </c>
      <c r="D195" s="98" t="n"/>
      <c r="E195" s="98" t="n"/>
      <c r="F195" s="98" t="inlineStr">
        <is>
          <t>No</t>
        </is>
      </c>
      <c r="G195" s="98" t="inlineStr">
        <is>
          <t>No</t>
        </is>
      </c>
      <c r="H195" s="98" t="inlineStr">
        <is>
          <t>PrcContPhaBaseline</t>
        </is>
      </c>
      <c r="J195" s="22" t="inlineStr">
        <is>
          <t>No</t>
        </is>
      </c>
      <c r="K195" s="22" t="inlineStr">
        <is>
          <t>No</t>
        </is>
      </c>
      <c r="L195" s="22" t="inlineStr">
        <is>
          <t>No</t>
        </is>
      </c>
      <c r="M195" s="22" t="inlineStr">
        <is>
          <t>No</t>
        </is>
      </c>
      <c r="N195" s="22" t="inlineStr">
        <is>
          <t>No</t>
        </is>
      </c>
    </row>
    <row r="196">
      <c r="B196" s="96" t="inlineStr">
        <is>
          <t>Revenues use</t>
        </is>
      </c>
    </row>
    <row r="197">
      <c r="B197" s="98" t="inlineStr">
        <is>
          <t>Labor tax reductions</t>
        </is>
      </c>
      <c r="C197" s="98" t="inlineStr">
        <is>
          <t>% of revenues</t>
        </is>
      </c>
      <c r="D197" s="98" t="n"/>
      <c r="E197" s="98" t="n"/>
      <c r="F197" s="98" t="n">
        <v>30</v>
      </c>
      <c r="G197" s="98" t="n">
        <v>30</v>
      </c>
      <c r="H197" s="98" t="inlineStr">
        <is>
          <t>EXPLabortax</t>
        </is>
      </c>
      <c r="J197" s="22" t="n">
        <v>30</v>
      </c>
      <c r="K197" s="22" t="n">
        <v>30</v>
      </c>
      <c r="L197" s="22" t="n">
        <v>30</v>
      </c>
      <c r="M197" s="22" t="n">
        <v>30</v>
      </c>
      <c r="N197" s="22" t="n">
        <v>30</v>
      </c>
    </row>
    <row r="198">
      <c r="B198" s="98" t="inlineStr">
        <is>
          <t>Corporate taxes</t>
        </is>
      </c>
      <c r="C198" s="98" t="inlineStr">
        <is>
          <t>% of revenues</t>
        </is>
      </c>
      <c r="D198" s="98" t="n"/>
      <c r="E198" s="98" t="n"/>
      <c r="F198" s="98" t="n">
        <v>0</v>
      </c>
      <c r="G198" s="98" t="n">
        <v>0</v>
      </c>
      <c r="H198" s="98" t="inlineStr">
        <is>
          <t>EXPCIT</t>
        </is>
      </c>
      <c r="J198" s="22" t="n">
        <v>0</v>
      </c>
      <c r="K198" s="22" t="n">
        <v>0</v>
      </c>
      <c r="L198" s="22" t="n">
        <v>0</v>
      </c>
      <c r="M198" s="22" t="n">
        <v>0</v>
      </c>
      <c r="N198" s="22" t="n">
        <v>0</v>
      </c>
    </row>
    <row r="199">
      <c r="B199" s="98" t="inlineStr">
        <is>
          <t>Public investment</t>
        </is>
      </c>
      <c r="C199" s="98" t="inlineStr">
        <is>
          <t>% of revenues</t>
        </is>
      </c>
      <c r="D199" s="98" t="n"/>
      <c r="E199" s="98" t="n"/>
      <c r="F199" s="98" t="n">
        <v>50</v>
      </c>
      <c r="G199" s="98" t="n">
        <v>50</v>
      </c>
      <c r="H199" s="98" t="inlineStr">
        <is>
          <t>EXPCapex</t>
        </is>
      </c>
      <c r="J199" s="22" t="n">
        <v>50</v>
      </c>
      <c r="K199" s="22" t="n">
        <v>50</v>
      </c>
      <c r="L199" s="22" t="n">
        <v>50</v>
      </c>
      <c r="M199" s="22" t="n">
        <v>50</v>
      </c>
      <c r="N199" s="22" t="n">
        <v>50</v>
      </c>
    </row>
    <row r="200">
      <c r="B200" s="98" t="inlineStr">
        <is>
          <t>Current spending</t>
        </is>
      </c>
      <c r="C200" s="98" t="inlineStr">
        <is>
          <t>% of revenues</t>
        </is>
      </c>
      <c r="D200" s="98" t="n"/>
      <c r="E200" s="98" t="n"/>
      <c r="F200" s="98" t="n">
        <v>0</v>
      </c>
      <c r="G200" s="98" t="n">
        <v>0</v>
      </c>
      <c r="H200" s="98" t="inlineStr">
        <is>
          <t>EXPGoodsandserv</t>
        </is>
      </c>
      <c r="J200" s="22" t="n">
        <v>0</v>
      </c>
      <c r="K200" s="22" t="n">
        <v>0</v>
      </c>
      <c r="L200" s="22" t="n">
        <v>0</v>
      </c>
      <c r="M200" s="22" t="n">
        <v>0</v>
      </c>
      <c r="N200" s="22" t="n">
        <v>0</v>
      </c>
    </row>
    <row r="201">
      <c r="B201" s="98" t="inlineStr">
        <is>
          <t>Targeted transfers</t>
        </is>
      </c>
      <c r="C201" s="98" t="inlineStr">
        <is>
          <t>% of revenues</t>
        </is>
      </c>
      <c r="D201" s="98" t="n"/>
      <c r="E201" s="98" t="n"/>
      <c r="F201" s="98" t="n">
        <v>20</v>
      </c>
      <c r="G201" s="98" t="n">
        <v>20</v>
      </c>
      <c r="H201" s="98" t="inlineStr">
        <is>
          <t>EXPTransfers</t>
        </is>
      </c>
      <c r="J201" s="22" t="n">
        <v>20</v>
      </c>
      <c r="K201" s="22" t="n">
        <v>20</v>
      </c>
      <c r="L201" s="22" t="n">
        <v>20</v>
      </c>
      <c r="M201" s="22" t="n">
        <v>20</v>
      </c>
      <c r="N201" s="22" t="n">
        <v>20</v>
      </c>
    </row>
    <row r="202">
      <c r="B202" s="96" t="inlineStr">
        <is>
          <t>of which:</t>
        </is>
      </c>
    </row>
    <row r="203">
      <c r="B203" s="98" t="inlineStr">
        <is>
          <t>targeted percentile</t>
        </is>
      </c>
      <c r="C203" s="98" t="inlineStr">
        <is>
          <t>% bottom targetting (from bottom of distribution)</t>
        </is>
      </c>
      <c r="D203" s="98" t="n"/>
      <c r="E203" s="98" t="n"/>
      <c r="F203" s="98" t="n">
        <v>40</v>
      </c>
      <c r="G203" s="98" t="n">
        <v>40</v>
      </c>
      <c r="H203" s="98" t="inlineStr">
        <is>
          <t>TargettedPercentile</t>
        </is>
      </c>
      <c r="J203" s="22" t="n">
        <v>40</v>
      </c>
      <c r="K203" s="22" t="n">
        <v>40</v>
      </c>
      <c r="L203" s="22" t="n">
        <v>40</v>
      </c>
      <c r="M203" s="22" t="n">
        <v>40</v>
      </c>
      <c r="N203" s="22" t="n">
        <v>40</v>
      </c>
    </row>
    <row r="204">
      <c r="B204" s="98" t="inlineStr">
        <is>
          <t>coverage rate</t>
        </is>
      </c>
      <c r="C204" s="98" t="inlineStr">
        <is>
          <t>% of targeted percentile that receive transfers</t>
        </is>
      </c>
      <c r="D204" s="98" t="n"/>
      <c r="E204" s="98" t="n"/>
      <c r="F204" s="98" t="n">
        <v>100</v>
      </c>
      <c r="G204" s="98" t="n">
        <v>100</v>
      </c>
      <c r="H204" s="98" t="inlineStr">
        <is>
          <t>CoverageRate</t>
        </is>
      </c>
      <c r="J204" s="22" t="n">
        <v>100</v>
      </c>
      <c r="K204" s="22" t="n">
        <v>100</v>
      </c>
      <c r="L204" s="22" t="n">
        <v>100</v>
      </c>
      <c r="M204" s="22" t="n">
        <v>100</v>
      </c>
      <c r="N204" s="22" t="n">
        <v>100</v>
      </c>
    </row>
    <row r="205">
      <c r="B205" s="98" t="inlineStr">
        <is>
          <t>leakage rate</t>
        </is>
      </c>
      <c r="C205" s="98" t="inlineStr">
        <is>
          <t>% of untargeted percentile that receive transfers</t>
        </is>
      </c>
      <c r="D205" s="98" t="n"/>
      <c r="E205" s="98" t="n"/>
      <c r="F205" s="98" t="n">
        <v>0</v>
      </c>
      <c r="G205" s="98" t="n">
        <v>0</v>
      </c>
      <c r="H205" s="98" t="inlineStr">
        <is>
          <t>LeakageRate</t>
        </is>
      </c>
      <c r="J205" s="22" t="n">
        <v>0</v>
      </c>
      <c r="K205" s="22" t="n">
        <v>0</v>
      </c>
      <c r="L205" s="22" t="n">
        <v>0</v>
      </c>
      <c r="M205" s="22" t="n">
        <v>0</v>
      </c>
      <c r="N205" s="22" t="n">
        <v>0</v>
      </c>
    </row>
    <row r="206">
      <c r="B206" s="96" t="inlineStr">
        <is>
          <t>Policy options</t>
        </is>
      </c>
    </row>
    <row r="207">
      <c r="A207" t="inlineStr">
        <is>
          <t>X</t>
        </is>
      </c>
      <c r="B207" s="98" t="inlineStr">
        <is>
          <t>Additional mitigation policies in non-energy sectors?</t>
        </is>
      </c>
      <c r="C207" s="98" t="inlineStr">
        <is>
          <t>switch</t>
        </is>
      </c>
      <c r="D207" s="98" t="n"/>
      <c r="E207" s="98" t="n"/>
      <c r="F207" s="98" t="inlineStr">
        <is>
          <t>No*</t>
        </is>
      </c>
      <c r="G207" s="98" t="inlineStr">
        <is>
          <t>Yes*</t>
        </is>
      </c>
      <c r="H207" s="98" t="inlineStr">
        <is>
          <t>AdditionMitigationPoliciesNonEnergy</t>
        </is>
      </c>
      <c r="J207" s="22" t="inlineStr">
        <is>
          <t>No*</t>
        </is>
      </c>
      <c r="K207" s="22" t="inlineStr">
        <is>
          <t>No*</t>
        </is>
      </c>
      <c r="L207" s="22" t="inlineStr">
        <is>
          <t>No*</t>
        </is>
      </c>
      <c r="M207" s="22" t="inlineStr">
        <is>
          <t>No*</t>
        </is>
      </c>
      <c r="N207" s="22" t="inlineStr">
        <is>
          <t>No*</t>
        </is>
      </c>
    </row>
    <row r="208">
      <c r="B208" s="98" t="inlineStr">
        <is>
          <t>Apply existing ETS (if exists)?</t>
        </is>
      </c>
      <c r="C208" s="98" t="inlineStr">
        <is>
          <t>switch</t>
        </is>
      </c>
      <c r="D208" s="98" t="n"/>
      <c r="E208" s="98" t="n"/>
      <c r="F208" s="98" t="inlineStr">
        <is>
          <t>Yes*</t>
        </is>
      </c>
      <c r="G208" s="98" t="inlineStr">
        <is>
          <t>Yes*</t>
        </is>
      </c>
      <c r="H208" s="98" t="inlineStr">
        <is>
          <t>ExistingETSApply</t>
        </is>
      </c>
      <c r="J208" s="22" t="inlineStr">
        <is>
          <t>Yes*</t>
        </is>
      </c>
      <c r="K208" s="22" t="inlineStr">
        <is>
          <t>Yes*</t>
        </is>
      </c>
      <c r="L208" s="22" t="inlineStr">
        <is>
          <t>Yes*</t>
        </is>
      </c>
      <c r="M208" s="22" t="inlineStr">
        <is>
          <t>Yes*</t>
        </is>
      </c>
      <c r="N208" s="22" t="inlineStr">
        <is>
          <t>Yes*</t>
        </is>
      </c>
    </row>
    <row r="209">
      <c r="B209" s="98" t="inlineStr">
        <is>
          <t>Existing ETS permit price growth per annum (real terms)</t>
        </is>
      </c>
      <c r="C209" s="98" t="inlineStr">
        <is>
          <t>%, real</t>
        </is>
      </c>
      <c r="D209" s="98" t="n"/>
      <c r="E209" s="98" t="n"/>
      <c r="F209" s="98" t="n">
        <v>0</v>
      </c>
      <c r="G209" s="98" t="n">
        <v>0</v>
      </c>
      <c r="H209" s="98" t="inlineStr">
        <is>
          <t>ExistingETSGrowth</t>
        </is>
      </c>
      <c r="J209" s="22" t="n">
        <v>0</v>
      </c>
      <c r="K209" s="22" t="n">
        <v>0</v>
      </c>
      <c r="L209" s="22" t="n">
        <v>0</v>
      </c>
      <c r="M209" s="22" t="n">
        <v>0</v>
      </c>
      <c r="N209" s="22" t="n">
        <v>0</v>
      </c>
    </row>
    <row r="210">
      <c r="B210" s="98" t="inlineStr">
        <is>
          <t>New carbon tax complementary to existing ETS coverage</t>
        </is>
      </c>
      <c r="C210" s="98" t="inlineStr">
        <is>
          <t>switch</t>
        </is>
      </c>
      <c r="D210" s="98" t="n"/>
      <c r="E210" s="98" t="n"/>
      <c r="F210" s="98" t="inlineStr">
        <is>
          <t>No*</t>
        </is>
      </c>
      <c r="G210" s="98" t="inlineStr">
        <is>
          <t>No*</t>
        </is>
      </c>
      <c r="H210" s="98" t="inlineStr">
        <is>
          <t>CTaxComplimentaryToETS</t>
        </is>
      </c>
      <c r="J210" s="22" t="inlineStr">
        <is>
          <t>No*</t>
        </is>
      </c>
      <c r="K210" s="22" t="inlineStr">
        <is>
          <t>No*</t>
        </is>
      </c>
      <c r="L210" s="22" t="inlineStr">
        <is>
          <t>No*</t>
        </is>
      </c>
      <c r="M210" s="22" t="inlineStr">
        <is>
          <t>No*</t>
        </is>
      </c>
      <c r="N210" s="22" t="inlineStr">
        <is>
          <t>No*</t>
        </is>
      </c>
    </row>
    <row r="211">
      <c r="B211" s="98" t="inlineStr">
        <is>
          <t>ETS behavioral responses and revenues adjustment</t>
        </is>
      </c>
      <c r="C211" s="98" t="inlineStr">
        <is>
          <t>%</t>
        </is>
      </c>
      <c r="D211" s="98" t="n"/>
      <c r="E211" s="98" t="n"/>
      <c r="F211" s="98" t="n">
        <v>0.9</v>
      </c>
      <c r="G211" s="98" t="n">
        <v>0.9</v>
      </c>
      <c r="H211" s="98" t="inlineStr">
        <is>
          <t>ETSBehavioralAdjustment</t>
        </is>
      </c>
      <c r="J211" s="22" t="n">
        <v>0.9</v>
      </c>
      <c r="K211" s="22" t="n">
        <v>0.9</v>
      </c>
      <c r="L211" s="22" t="n">
        <v>0.9</v>
      </c>
      <c r="M211" s="22" t="n">
        <v>0.9</v>
      </c>
      <c r="N211" s="22" t="n">
        <v>0.9</v>
      </c>
    </row>
    <row r="212">
      <c r="B212" s="98" t="inlineStr">
        <is>
          <t>Years to phase in Pigouvian tax?</t>
        </is>
      </c>
      <c r="C212" s="98" t="inlineStr">
        <is>
          <t>year</t>
        </is>
      </c>
      <c r="D212" s="98" t="n"/>
      <c r="E212" s="98" t="n"/>
      <c r="F212" s="98" t="n">
        <v>5</v>
      </c>
      <c r="G212" s="98" t="n">
        <v>5</v>
      </c>
      <c r="H212" s="98" t="inlineStr">
        <is>
          <t>AddEfficientTaxesPhaseInYears</t>
        </is>
      </c>
      <c r="J212" s="22" t="n">
        <v>5</v>
      </c>
      <c r="K212" s="22" t="n">
        <v>5</v>
      </c>
      <c r="L212" s="22" t="n">
        <v>5</v>
      </c>
      <c r="M212" s="22" t="n">
        <v>5</v>
      </c>
      <c r="N212" s="22" t="n">
        <v>5</v>
      </c>
    </row>
    <row r="213">
      <c r="B213" s="98" t="inlineStr">
        <is>
          <t>Apply existing carbon tax (if exists)?</t>
        </is>
      </c>
      <c r="C213" s="98" t="inlineStr">
        <is>
          <t>switch</t>
        </is>
      </c>
      <c r="D213" s="98" t="n"/>
      <c r="E213" s="98" t="n"/>
      <c r="F213" s="98" t="inlineStr">
        <is>
          <t>Yes*</t>
        </is>
      </c>
      <c r="G213" s="98" t="inlineStr">
        <is>
          <t>Yes*</t>
        </is>
      </c>
      <c r="H213" s="98" t="inlineStr">
        <is>
          <t>ExistingCTApply</t>
        </is>
      </c>
      <c r="J213" s="22" t="inlineStr">
        <is>
          <t>Yes*</t>
        </is>
      </c>
      <c r="K213" s="22" t="inlineStr">
        <is>
          <t>Yes*</t>
        </is>
      </c>
      <c r="L213" s="22" t="inlineStr">
        <is>
          <t>Yes*</t>
        </is>
      </c>
      <c r="M213" s="22" t="inlineStr">
        <is>
          <t>Yes*</t>
        </is>
      </c>
      <c r="N213" s="22" t="inlineStr">
        <is>
          <t>Yes*</t>
        </is>
      </c>
    </row>
    <row r="214">
      <c r="B214" s="98" t="inlineStr">
        <is>
          <t>Assumed existing carbon tax growth per annum (real terms)</t>
        </is>
      </c>
      <c r="C214" s="98" t="inlineStr">
        <is>
          <t>%, real</t>
        </is>
      </c>
      <c r="D214" s="98" t="n"/>
      <c r="E214" s="98" t="n"/>
      <c r="F214" s="98" t="n">
        <v>0</v>
      </c>
      <c r="G214" s="98" t="n">
        <v>0</v>
      </c>
      <c r="H214" s="98" t="inlineStr">
        <is>
          <t>ExistingCTGrowth</t>
        </is>
      </c>
      <c r="J214" s="22" t="n">
        <v>0</v>
      </c>
      <c r="K214" s="22" t="n">
        <v>0</v>
      </c>
      <c r="L214" s="22" t="n">
        <v>0</v>
      </c>
      <c r="M214" s="22" t="n">
        <v>0</v>
      </c>
      <c r="N214" s="22" t="n">
        <v>0</v>
      </c>
    </row>
    <row r="215">
      <c r="B215" s="98" t="inlineStr">
        <is>
          <t>Add additional excise tax (see 'Manual inputs' tab)?</t>
        </is>
      </c>
      <c r="C215" s="98" t="inlineStr">
        <is>
          <t>switch</t>
        </is>
      </c>
      <c r="D215" s="98" t="n"/>
      <c r="E215" s="98" t="n"/>
      <c r="F215" s="98" t="inlineStr">
        <is>
          <t>No*</t>
        </is>
      </c>
      <c r="G215" s="98" t="inlineStr">
        <is>
          <t>No*</t>
        </is>
      </c>
      <c r="H215" s="98" t="inlineStr">
        <is>
          <t>AdditionalExcise</t>
        </is>
      </c>
      <c r="J215" s="22" t="inlineStr">
        <is>
          <t>No*</t>
        </is>
      </c>
      <c r="K215" s="22" t="inlineStr">
        <is>
          <t>No*</t>
        </is>
      </c>
      <c r="L215" s="22" t="inlineStr">
        <is>
          <t>No*</t>
        </is>
      </c>
      <c r="M215" s="22" t="inlineStr">
        <is>
          <t>No*</t>
        </is>
      </c>
      <c r="N215" s="22" t="inlineStr">
        <is>
          <t>No*</t>
        </is>
      </c>
    </row>
    <row r="216">
      <c r="B216" s="98" t="inlineStr">
        <is>
          <t>Include climate externality in Pigouvian tax?</t>
        </is>
      </c>
      <c r="C216" s="98" t="inlineStr">
        <is>
          <t>switch</t>
        </is>
      </c>
      <c r="D216" s="98" t="n"/>
      <c r="E216" s="98" t="n"/>
      <c r="F216" s="98" t="inlineStr">
        <is>
          <t>Yes*</t>
        </is>
      </c>
      <c r="G216" s="98" t="inlineStr">
        <is>
          <t>Yes*</t>
        </is>
      </c>
      <c r="H216" s="98" t="inlineStr">
        <is>
          <t>ClimateEffTax</t>
        </is>
      </c>
      <c r="J216" s="22" t="inlineStr">
        <is>
          <t>Yes*</t>
        </is>
      </c>
      <c r="K216" s="22" t="inlineStr">
        <is>
          <t>Yes*</t>
        </is>
      </c>
      <c r="L216" s="22" t="inlineStr">
        <is>
          <t>Yes*</t>
        </is>
      </c>
      <c r="M216" s="22" t="inlineStr">
        <is>
          <t>Yes*</t>
        </is>
      </c>
      <c r="N216" s="22" t="inlineStr">
        <is>
          <t>Yes*</t>
        </is>
      </c>
    </row>
    <row r="217">
      <c r="B217" s="98" t="inlineStr">
        <is>
          <t>Add Pigouvian tax on top?</t>
        </is>
      </c>
      <c r="C217" s="98" t="inlineStr">
        <is>
          <t>switch</t>
        </is>
      </c>
      <c r="D217" s="98" t="n"/>
      <c r="E217" s="98" t="n"/>
      <c r="F217" s="98" t="inlineStr">
        <is>
          <t>No*</t>
        </is>
      </c>
      <c r="G217" s="98" t="inlineStr">
        <is>
          <t>No*</t>
        </is>
      </c>
      <c r="H217" s="98" t="inlineStr">
        <is>
          <t>AddEfficientTaxes</t>
        </is>
      </c>
      <c r="J217" s="22" t="inlineStr">
        <is>
          <t>No*</t>
        </is>
      </c>
      <c r="K217" s="22" t="inlineStr">
        <is>
          <t>No*</t>
        </is>
      </c>
      <c r="L217" s="22" t="inlineStr">
        <is>
          <t>No*</t>
        </is>
      </c>
      <c r="M217" s="22" t="inlineStr">
        <is>
          <t>No*</t>
        </is>
      </c>
      <c r="N217" s="22" t="inlineStr">
        <is>
          <t>No*</t>
        </is>
      </c>
    </row>
    <row r="218">
      <c r="B218" s="98" t="inlineStr">
        <is>
          <t>Externalities are part of VAT base for optimal taxes?</t>
        </is>
      </c>
      <c r="C218" s="98" t="inlineStr">
        <is>
          <t>switch</t>
        </is>
      </c>
      <c r="D218" s="98" t="n"/>
      <c r="E218" s="98" t="n"/>
      <c r="F218" s="98" t="inlineStr">
        <is>
          <t>Yes*</t>
        </is>
      </c>
      <c r="G218" s="98" t="inlineStr">
        <is>
          <t>Yes*</t>
        </is>
      </c>
      <c r="H218" s="98" t="inlineStr">
        <is>
          <t>ExternalityAddVAT</t>
        </is>
      </c>
      <c r="J218" s="22" t="inlineStr">
        <is>
          <t>Yes*</t>
        </is>
      </c>
      <c r="K218" s="22" t="inlineStr">
        <is>
          <t>Yes*</t>
        </is>
      </c>
      <c r="L218" s="22" t="inlineStr">
        <is>
          <t>Yes*</t>
        </is>
      </c>
      <c r="M218" s="22" t="inlineStr">
        <is>
          <t>Yes*</t>
        </is>
      </c>
      <c r="N218" s="22" t="inlineStr">
        <is>
          <t>Yes*</t>
        </is>
      </c>
    </row>
    <row r="219">
      <c r="B219" s="96" t="inlineStr">
        <is>
          <t>Sources for key inputs</t>
        </is>
      </c>
    </row>
    <row r="220">
      <c r="A220" t="inlineStr">
        <is>
          <t>X</t>
        </is>
      </c>
      <c r="B220" s="98" t="inlineStr">
        <is>
          <t>International energy price forecasts</t>
        </is>
      </c>
      <c r="C220" s="98" t="inlineStr">
        <is>
          <t>switch</t>
        </is>
      </c>
      <c r="D220" s="98" t="n"/>
      <c r="E220" s="98" t="n"/>
      <c r="F220" s="98" t="inlineStr">
        <is>
          <t>IMF</t>
        </is>
      </c>
      <c r="G220" s="98" t="inlineStr">
        <is>
          <t>IMF-WB*</t>
        </is>
      </c>
      <c r="H220" s="98" t="inlineStr">
        <is>
          <t>IntEnerPricForeSource</t>
        </is>
      </c>
      <c r="J220" s="22" t="inlineStr">
        <is>
          <t>IMF</t>
        </is>
      </c>
      <c r="K220" s="22" t="inlineStr">
        <is>
          <t>IMF</t>
        </is>
      </c>
      <c r="L220" s="22" t="inlineStr">
        <is>
          <t>IMF</t>
        </is>
      </c>
      <c r="M220" s="22" t="inlineStr">
        <is>
          <t>IMF</t>
        </is>
      </c>
      <c r="N220" s="22" t="inlineStr">
        <is>
          <t>IMF</t>
        </is>
      </c>
    </row>
    <row r="221">
      <c r="B221" s="98" t="inlineStr">
        <is>
          <t>Global energy demand scenario</t>
        </is>
      </c>
      <c r="C221" s="98" t="inlineStr">
        <is>
          <t>switch</t>
        </is>
      </c>
      <c r="D221" s="98" t="n"/>
      <c r="E221" s="98" t="n"/>
      <c r="F221" s="98" t="inlineStr">
        <is>
          <t>Stated Policies*</t>
        </is>
      </c>
      <c r="G221" s="98" t="inlineStr">
        <is>
          <t>Stated Policies*</t>
        </is>
      </c>
      <c r="H221" s="98" t="inlineStr">
        <is>
          <t>GlobalEnergyDemand</t>
        </is>
      </c>
      <c r="J221" s="22" t="inlineStr">
        <is>
          <t>Stated Policies*</t>
        </is>
      </c>
      <c r="K221" s="22" t="inlineStr">
        <is>
          <t>Stated Policies*</t>
        </is>
      </c>
      <c r="L221" s="22" t="inlineStr">
        <is>
          <t>Stated Policies*</t>
        </is>
      </c>
      <c r="M221" s="22" t="inlineStr">
        <is>
          <t>Stated Policies*</t>
        </is>
      </c>
      <c r="N221" s="22" t="inlineStr">
        <is>
          <t>Stated Policies*</t>
        </is>
      </c>
    </row>
    <row r="222">
      <c r="B222" s="98" t="inlineStr">
        <is>
          <t>GDP growth forecasts</t>
        </is>
      </c>
      <c r="C222" s="98" t="inlineStr">
        <is>
          <t>switch</t>
        </is>
      </c>
      <c r="D222" s="98" t="n"/>
      <c r="E222" s="98" t="n"/>
      <c r="F222" s="98" t="inlineStr">
        <is>
          <t>WEO*</t>
        </is>
      </c>
      <c r="G222" s="98" t="inlineStr">
        <is>
          <t>WEO*</t>
        </is>
      </c>
      <c r="H222" s="98" t="inlineStr">
        <is>
          <t>GDPScenario</t>
        </is>
      </c>
      <c r="J222" s="22" t="inlineStr">
        <is>
          <t>WEO*</t>
        </is>
      </c>
      <c r="K222" s="22" t="inlineStr">
        <is>
          <t>WEO*</t>
        </is>
      </c>
      <c r="L222" s="22" t="inlineStr">
        <is>
          <t>WEO*</t>
        </is>
      </c>
      <c r="M222" s="22" t="inlineStr">
        <is>
          <t>WEO*</t>
        </is>
      </c>
      <c r="N222" s="22" t="inlineStr">
        <is>
          <t>WEO*</t>
        </is>
      </c>
    </row>
    <row r="223">
      <c r="B223" s="98" t="inlineStr">
        <is>
          <t>Primary source for price elasticities of demand</t>
        </is>
      </c>
      <c r="C223" s="98" t="inlineStr">
        <is>
          <t>switch</t>
        </is>
      </c>
      <c r="D223" s="98" t="n"/>
      <c r="E223" s="98" t="n"/>
      <c r="F223" s="98" t="inlineStr">
        <is>
          <t>Simple*</t>
        </is>
      </c>
      <c r="G223" s="98" t="inlineStr">
        <is>
          <t>Simple*</t>
        </is>
      </c>
      <c r="H223" s="98" t="inlineStr">
        <is>
          <t>ElPrcMainSrc</t>
        </is>
      </c>
      <c r="J223" s="22" t="inlineStr">
        <is>
          <t>Simple*</t>
        </is>
      </c>
      <c r="K223" s="22" t="inlineStr">
        <is>
          <t>Simple*</t>
        </is>
      </c>
      <c r="L223" s="22" t="inlineStr">
        <is>
          <t>Simple*</t>
        </is>
      </c>
      <c r="M223" s="22" t="inlineStr">
        <is>
          <t>Simple*</t>
        </is>
      </c>
      <c r="N223" s="22" t="inlineStr">
        <is>
          <t>Simple*</t>
        </is>
      </c>
    </row>
    <row r="224">
      <c r="B224" s="98" t="inlineStr">
        <is>
          <t>Primary source for income elasticities of demand</t>
        </is>
      </c>
      <c r="C224" s="98" t="inlineStr">
        <is>
          <t>switch</t>
        </is>
      </c>
      <c r="D224" s="98" t="n"/>
      <c r="E224" s="98" t="n"/>
      <c r="F224" s="98" t="inlineStr">
        <is>
          <t>Simple*</t>
        </is>
      </c>
      <c r="G224" s="98" t="inlineStr">
        <is>
          <t>Simple*</t>
        </is>
      </c>
      <c r="H224" s="98" t="inlineStr">
        <is>
          <t>ElIncMainSrc</t>
        </is>
      </c>
      <c r="J224" s="22" t="inlineStr">
        <is>
          <t>Simple*</t>
        </is>
      </c>
      <c r="K224" s="22" t="inlineStr">
        <is>
          <t>Simple*</t>
        </is>
      </c>
      <c r="L224" s="22" t="inlineStr">
        <is>
          <t>Simple*</t>
        </is>
      </c>
      <c r="M224" s="22" t="inlineStr">
        <is>
          <t>Simple*</t>
        </is>
      </c>
      <c r="N224" s="22" t="inlineStr">
        <is>
          <t>Simple*</t>
        </is>
      </c>
    </row>
    <row r="225">
      <c r="B225" s="98" t="inlineStr">
        <is>
          <t>CO2 emissions factors</t>
        </is>
      </c>
      <c r="C225" s="98" t="inlineStr">
        <is>
          <t>switch</t>
        </is>
      </c>
      <c r="D225" s="98" t="n"/>
      <c r="E225" s="98" t="n"/>
      <c r="F225" s="98" t="inlineStr">
        <is>
          <t>IIASA*</t>
        </is>
      </c>
      <c r="G225" s="98" t="inlineStr">
        <is>
          <t>IIASA*</t>
        </is>
      </c>
      <c r="H225" s="98" t="inlineStr">
        <is>
          <t>EmissionsFactCO2</t>
        </is>
      </c>
      <c r="J225" s="22" t="inlineStr">
        <is>
          <t>IIASA*</t>
        </is>
      </c>
      <c r="K225" s="22" t="inlineStr">
        <is>
          <t>IIASA*</t>
        </is>
      </c>
      <c r="L225" s="22" t="inlineStr">
        <is>
          <t>IIASA*</t>
        </is>
      </c>
      <c r="M225" s="22" t="inlineStr">
        <is>
          <t>IIASA*</t>
        </is>
      </c>
      <c r="N225" s="22" t="inlineStr">
        <is>
          <t>IIASA*</t>
        </is>
      </c>
    </row>
    <row r="226">
      <c r="B226" s="98" t="inlineStr">
        <is>
          <t>Fiscal multipliers</t>
        </is>
      </c>
      <c r="C226" s="98" t="inlineStr">
        <is>
          <t>switch</t>
        </is>
      </c>
      <c r="D226" s="98" t="n"/>
      <c r="E226" s="98" t="n"/>
      <c r="F226" s="98" t="inlineStr">
        <is>
          <t>Income-grp*</t>
        </is>
      </c>
      <c r="G226" s="98" t="inlineStr">
        <is>
          <t>Income-grp*</t>
        </is>
      </c>
      <c r="H226" s="98" t="inlineStr">
        <is>
          <t>MultipliersSource</t>
        </is>
      </c>
      <c r="J226" s="22" t="inlineStr">
        <is>
          <t>Income-grp*</t>
        </is>
      </c>
      <c r="K226" s="22" t="inlineStr">
        <is>
          <t>Income-grp*</t>
        </is>
      </c>
      <c r="L226" s="22" t="inlineStr">
        <is>
          <t>Income-grp*</t>
        </is>
      </c>
      <c r="M226" s="22" t="inlineStr">
        <is>
          <t>Income-grp*</t>
        </is>
      </c>
      <c r="N226" s="22" t="inlineStr">
        <is>
          <t>Income-grp*</t>
        </is>
      </c>
    </row>
    <row r="227">
      <c r="B227" s="98" t="inlineStr">
        <is>
          <t>Power sector model (elasticity or engineering)?</t>
        </is>
      </c>
      <c r="C227" s="98" t="inlineStr">
        <is>
          <t>switch</t>
        </is>
      </c>
      <c r="D227" s="98" t="n"/>
      <c r="E227" s="98" t="n"/>
      <c r="F227" s="98" t="inlineStr">
        <is>
          <t>Engineer</t>
        </is>
      </c>
      <c r="G227" s="98" t="inlineStr">
        <is>
          <t>Engineer</t>
        </is>
      </c>
      <c r="H227" s="98" t="inlineStr">
        <is>
          <t>PowModelSelected</t>
        </is>
      </c>
      <c r="J227" s="22" t="inlineStr">
        <is>
          <t>Engineer</t>
        </is>
      </c>
      <c r="K227" s="22" t="inlineStr">
        <is>
          <t>Engineer</t>
        </is>
      </c>
      <c r="L227" s="22" t="inlineStr">
        <is>
          <t>Engineer</t>
        </is>
      </c>
      <c r="M227" s="22" t="inlineStr">
        <is>
          <t>Engineer</t>
        </is>
      </c>
      <c r="N227" s="22" t="inlineStr">
        <is>
          <t>Engineer</t>
        </is>
      </c>
    </row>
    <row r="228">
      <c r="B228" s="98" t="inlineStr">
        <is>
          <t>NDC submission</t>
        </is>
      </c>
      <c r="C228" s="98" t="inlineStr">
        <is>
          <t>switch</t>
        </is>
      </c>
      <c r="D228" s="98" t="n"/>
      <c r="E228" s="98" t="n"/>
      <c r="F228" s="98" t="inlineStr">
        <is>
          <t>Latest*</t>
        </is>
      </c>
      <c r="G228" s="98" t="inlineStr">
        <is>
          <t>Latest*</t>
        </is>
      </c>
      <c r="H228" s="98" t="inlineStr">
        <is>
          <t>NDCs</t>
        </is>
      </c>
      <c r="J228" s="22" t="inlineStr">
        <is>
          <t>Latest*</t>
        </is>
      </c>
      <c r="K228" s="22" t="inlineStr">
        <is>
          <t>Latest*</t>
        </is>
      </c>
      <c r="L228" s="22" t="inlineStr">
        <is>
          <t>Latest*</t>
        </is>
      </c>
      <c r="M228" s="22" t="inlineStr">
        <is>
          <t>Latest*</t>
        </is>
      </c>
      <c r="N228" s="22" t="inlineStr">
        <is>
          <t>Latest*</t>
        </is>
      </c>
    </row>
    <row r="229">
      <c r="B229" s="98" t="inlineStr">
        <is>
          <t>NDC target year</t>
        </is>
      </c>
      <c r="C229" s="98" t="inlineStr">
        <is>
          <t>switch</t>
        </is>
      </c>
      <c r="D229" s="98" t="n"/>
      <c r="E229" s="98" t="n"/>
      <c r="F229" s="98" t="inlineStr">
        <is>
          <t>Main*</t>
        </is>
      </c>
      <c r="G229" s="98" t="inlineStr">
        <is>
          <t>Main*</t>
        </is>
      </c>
      <c r="H229" s="98" t="inlineStr">
        <is>
          <t>NDCTargetYear</t>
        </is>
      </c>
      <c r="J229" s="22" t="inlineStr">
        <is>
          <t>Main*</t>
        </is>
      </c>
      <c r="K229" s="22" t="inlineStr">
        <is>
          <t>Main*</t>
        </is>
      </c>
      <c r="L229" s="22" t="inlineStr">
        <is>
          <t>Main*</t>
        </is>
      </c>
      <c r="M229" s="22" t="inlineStr">
        <is>
          <t>Main*</t>
        </is>
      </c>
      <c r="N229" s="22" t="inlineStr">
        <is>
          <t>Main*</t>
        </is>
      </c>
    </row>
    <row r="230">
      <c r="B230" s="98" t="inlineStr">
        <is>
          <t>If conditional NDC, use:</t>
        </is>
      </c>
      <c r="C230" s="98" t="inlineStr">
        <is>
          <t>switch</t>
        </is>
      </c>
      <c r="D230" s="98" t="n"/>
      <c r="E230" s="98" t="n"/>
      <c r="F230" s="98" t="inlineStr">
        <is>
          <t>Average*</t>
        </is>
      </c>
      <c r="G230" s="98" t="inlineStr">
        <is>
          <t>Average*</t>
        </is>
      </c>
      <c r="H230" s="98" t="inlineStr">
        <is>
          <t>Conditionality</t>
        </is>
      </c>
      <c r="J230" s="22" t="inlineStr">
        <is>
          <t>Average*</t>
        </is>
      </c>
      <c r="K230" s="22" t="inlineStr">
        <is>
          <t>Average*</t>
        </is>
      </c>
      <c r="L230" s="22" t="inlineStr">
        <is>
          <t>Average*</t>
        </is>
      </c>
      <c r="M230" s="22" t="inlineStr">
        <is>
          <t>Average*</t>
        </is>
      </c>
      <c r="N230" s="22" t="inlineStr">
        <is>
          <t>Average*</t>
        </is>
      </c>
    </row>
    <row r="231">
      <c r="B231" s="96" t="inlineStr">
        <is>
          <t>General assumptions</t>
        </is>
      </c>
    </row>
    <row r="232">
      <c r="B232" s="98" t="inlineStr">
        <is>
          <t>First year of model calculations?</t>
        </is>
      </c>
      <c r="C232" s="98" t="inlineStr">
        <is>
          <t>year</t>
        </is>
      </c>
      <c r="D232" s="98" t="n"/>
      <c r="E232" s="98" t="n"/>
      <c r="F232" s="98" t="n">
        <v>2022</v>
      </c>
      <c r="G232" s="98" t="n">
        <v>2022</v>
      </c>
      <c r="H232" s="98" t="inlineStr">
        <is>
          <t>FirstYearCalculations</t>
        </is>
      </c>
      <c r="J232" s="22" t="n">
        <v>2022</v>
      </c>
      <c r="K232" s="22" t="n">
        <v>2022</v>
      </c>
      <c r="L232" s="22" t="n">
        <v>2022</v>
      </c>
      <c r="M232" s="22" t="n">
        <v>2022</v>
      </c>
      <c r="N232" s="22" t="n">
        <v>2022</v>
      </c>
    </row>
    <row r="233">
      <c r="B233" s="98" t="inlineStr">
        <is>
          <t>Nominal results in real terms of which year?</t>
        </is>
      </c>
      <c r="C233" s="98" t="inlineStr">
        <is>
          <t>year</t>
        </is>
      </c>
      <c r="D233" s="98" t="n"/>
      <c r="E233" s="98" t="n"/>
      <c r="F233" s="98" t="n">
        <v>2026</v>
      </c>
      <c r="G233" s="98" t="n">
        <v>2026</v>
      </c>
      <c r="H233" s="98" t="inlineStr">
        <is>
          <t>ResultsYear</t>
        </is>
      </c>
      <c r="J233" s="22" t="n">
        <v>2026</v>
      </c>
      <c r="K233" s="22" t="n">
        <v>2026</v>
      </c>
      <c r="L233" s="22" t="n">
        <v>2026</v>
      </c>
      <c r="M233" s="22" t="n">
        <v>2026</v>
      </c>
      <c r="N233" s="22" t="n">
        <v>2026</v>
      </c>
    </row>
    <row r="234">
      <c r="B234" s="98" t="inlineStr">
        <is>
          <t>Use energy balances or (CPAT) energy consumption data</t>
        </is>
      </c>
      <c r="C234" s="98" t="inlineStr">
        <is>
          <t>year</t>
        </is>
      </c>
      <c r="D234" s="98" t="n"/>
      <c r="E234" s="98" t="n"/>
      <c r="F234" s="98" t="inlineStr">
        <is>
          <t>Balances</t>
        </is>
      </c>
      <c r="G234" s="98" t="inlineStr">
        <is>
          <t>Balances</t>
        </is>
      </c>
      <c r="H234" s="98" t="inlineStr">
        <is>
          <t>BalancesOrConsumption</t>
        </is>
      </c>
      <c r="J234" s="22" t="inlineStr">
        <is>
          <t>Balances</t>
        </is>
      </c>
      <c r="K234" s="22" t="inlineStr">
        <is>
          <t>Balances</t>
        </is>
      </c>
      <c r="L234" s="22" t="inlineStr">
        <is>
          <t>Balances</t>
        </is>
      </c>
      <c r="M234" s="22" t="inlineStr">
        <is>
          <t>Balances</t>
        </is>
      </c>
      <c r="N234" s="22" t="inlineStr">
        <is>
          <t>Balances</t>
        </is>
      </c>
    </row>
    <row r="235">
      <c r="B235" s="98" t="inlineStr">
        <is>
          <t>Generate Matrix of Energy Consumption Projections for Year</t>
        </is>
      </c>
      <c r="C235" s="98" t="inlineStr">
        <is>
          <t>year</t>
        </is>
      </c>
      <c r="D235" s="98" t="n"/>
      <c r="E235" s="98" t="n"/>
      <c r="F235" s="98" t="n">
        <v>2026</v>
      </c>
      <c r="G235" s="98" t="n">
        <v>2026</v>
      </c>
      <c r="H235" s="98" t="inlineStr">
        <is>
          <t>EnergyConsumptionsMatrixProjectionsYear</t>
        </is>
      </c>
      <c r="J235" s="22" t="n">
        <v>2026</v>
      </c>
      <c r="K235" s="22" t="n">
        <v>2026</v>
      </c>
      <c r="L235" s="22" t="n">
        <v>2026</v>
      </c>
      <c r="M235" s="22" t="n">
        <v>2026</v>
      </c>
      <c r="N235" s="22" t="n">
        <v>2026</v>
      </c>
    </row>
    <row r="236">
      <c r="A236" t="inlineStr">
        <is>
          <t>X</t>
        </is>
      </c>
      <c r="B236" s="98" t="inlineStr">
        <is>
          <t>Start year for GDP calculations</t>
        </is>
      </c>
      <c r="C236" s="98" t="inlineStr">
        <is>
          <t>year</t>
        </is>
      </c>
      <c r="D236" s="98" t="n"/>
      <c r="E236" s="98" t="n"/>
      <c r="F236" s="98" t="n">
        <v>2025</v>
      </c>
      <c r="G236" s="98" t="n">
        <v>2024</v>
      </c>
      <c r="H236" s="98" t="inlineStr">
        <is>
          <t>GDPStartYear</t>
        </is>
      </c>
      <c r="J236" s="22" t="n">
        <v>2025</v>
      </c>
      <c r="K236" s="22" t="n">
        <v>2025</v>
      </c>
      <c r="L236" s="22" t="n">
        <v>2025</v>
      </c>
      <c r="M236" s="22" t="n">
        <v>2025</v>
      </c>
      <c r="N236" s="22" t="n">
        <v>2025</v>
      </c>
    </row>
    <row r="237">
      <c r="B237" s="98" t="inlineStr">
        <is>
          <t>Adjust Annex I country energy-related CO2 EFs to match UNFCCC GHG inventories?</t>
        </is>
      </c>
      <c r="C237" s="98" t="inlineStr">
        <is>
          <t>switch</t>
        </is>
      </c>
      <c r="D237" s="98" t="n"/>
      <c r="E237" s="98" t="n"/>
      <c r="F237" s="98" t="inlineStr">
        <is>
          <t>Yes*</t>
        </is>
      </c>
      <c r="G237" s="98" t="inlineStr">
        <is>
          <t>Yes*</t>
        </is>
      </c>
      <c r="H237" s="98" t="inlineStr">
        <is>
          <t>EFsAdjustmentAnnexI</t>
        </is>
      </c>
      <c r="J237" s="22" t="inlineStr">
        <is>
          <t>Yes*</t>
        </is>
      </c>
      <c r="K237" s="22" t="inlineStr">
        <is>
          <t>Yes*</t>
        </is>
      </c>
      <c r="L237" s="22" t="inlineStr">
        <is>
          <t>Yes*</t>
        </is>
      </c>
      <c r="M237" s="22" t="inlineStr">
        <is>
          <t>Yes*</t>
        </is>
      </c>
      <c r="N237" s="22" t="inlineStr">
        <is>
          <t>Yes*</t>
        </is>
      </c>
    </row>
    <row r="238">
      <c r="B238" s="98" t="inlineStr">
        <is>
          <t>Adjust non-Annex I country energy-related CO2 EFs to match CAIT GHG inventories?</t>
        </is>
      </c>
      <c r="C238" s="98" t="inlineStr">
        <is>
          <t>switch</t>
        </is>
      </c>
      <c r="D238" s="98" t="n"/>
      <c r="E238" s="98" t="n"/>
      <c r="F238" s="98" t="inlineStr">
        <is>
          <t>Yes*</t>
        </is>
      </c>
      <c r="G238" s="98" t="inlineStr">
        <is>
          <t>Yes*</t>
        </is>
      </c>
      <c r="H238" s="98" t="inlineStr">
        <is>
          <t>EFsAdjustmentNonAnnexI</t>
        </is>
      </c>
      <c r="J238" s="22" t="inlineStr">
        <is>
          <t>Yes*</t>
        </is>
      </c>
      <c r="K238" s="22" t="inlineStr">
        <is>
          <t>Yes*</t>
        </is>
      </c>
      <c r="L238" s="22" t="inlineStr">
        <is>
          <t>Yes*</t>
        </is>
      </c>
      <c r="M238" s="22" t="inlineStr">
        <is>
          <t>Yes*</t>
        </is>
      </c>
      <c r="N238" s="22" t="inlineStr">
        <is>
          <t>Yes*</t>
        </is>
      </c>
    </row>
    <row r="239">
      <c r="B239" s="98" t="inlineStr">
        <is>
          <t>Industrial process emissions scale with industrial CO2 energy emissions?</t>
        </is>
      </c>
      <c r="C239" s="98" t="inlineStr">
        <is>
          <t>switch</t>
        </is>
      </c>
      <c r="D239" s="98" t="n"/>
      <c r="E239" s="98" t="n"/>
      <c r="F239" s="98" t="inlineStr">
        <is>
          <t>Yes*</t>
        </is>
      </c>
      <c r="G239" s="98" t="inlineStr">
        <is>
          <t>Yes*</t>
        </is>
      </c>
      <c r="H239" s="98" t="inlineStr">
        <is>
          <t>IndustrialProcessEmissionsScaleEner</t>
        </is>
      </c>
      <c r="J239" s="22" t="inlineStr">
        <is>
          <t>Yes*</t>
        </is>
      </c>
      <c r="K239" s="22" t="inlineStr">
        <is>
          <t>Yes*</t>
        </is>
      </c>
      <c r="L239" s="22" t="inlineStr">
        <is>
          <t>Yes*</t>
        </is>
      </c>
      <c r="M239" s="22" t="inlineStr">
        <is>
          <t>Yes*</t>
        </is>
      </c>
      <c r="N239" s="22" t="inlineStr">
        <is>
          <t>Yes*</t>
        </is>
      </c>
    </row>
    <row r="240">
      <c r="B240" s="98" t="inlineStr">
        <is>
          <t>LULUCF emissions decline at % pa (in absolute value of start year)?</t>
        </is>
      </c>
      <c r="C240" s="98" t="inlineStr">
        <is>
          <t>%</t>
        </is>
      </c>
      <c r="D240" s="98" t="n"/>
      <c r="E240" s="98" t="n"/>
      <c r="F240" s="98" t="n">
        <v>0.025</v>
      </c>
      <c r="G240" s="98" t="n">
        <v>0.025</v>
      </c>
      <c r="H240" s="98" t="inlineStr">
        <is>
          <t>LULUCFAnnualEmissionsDecline</t>
        </is>
      </c>
      <c r="J240" s="22" t="n">
        <v>0.025</v>
      </c>
      <c r="K240" s="22" t="n">
        <v>0.025</v>
      </c>
      <c r="L240" s="22" t="n">
        <v>0.025</v>
      </c>
      <c r="M240" s="22" t="n">
        <v>0.025</v>
      </c>
      <c r="N240" s="22" t="n">
        <v>0.025</v>
      </c>
    </row>
    <row r="241">
      <c r="B241" s="96" t="inlineStr">
        <is>
          <t>Additional policy-induced efficiency gains pa by sector:</t>
        </is>
      </c>
    </row>
    <row r="242">
      <c r="B242" s="98" t="inlineStr">
        <is>
          <t>Power</t>
        </is>
      </c>
      <c r="C242" s="98" t="n"/>
      <c r="D242" s="98" t="n"/>
      <c r="E242" s="98" t="n"/>
      <c r="F242" s="98" t="n">
        <v>0</v>
      </c>
      <c r="G242" s="98" t="n">
        <v>0</v>
      </c>
      <c r="H242" s="98" t="inlineStr">
        <is>
          <t>AdditionalEfficiencyPower</t>
        </is>
      </c>
      <c r="J242" s="22" t="n">
        <v>0</v>
      </c>
      <c r="K242" s="22" t="n">
        <v>0</v>
      </c>
      <c r="L242" s="22" t="n">
        <v>0</v>
      </c>
      <c r="M242" s="22" t="n">
        <v>0</v>
      </c>
      <c r="N242" s="22" t="n">
        <v>0</v>
      </c>
    </row>
    <row r="243">
      <c r="B243" s="98" t="inlineStr">
        <is>
          <t>Road vehicles</t>
        </is>
      </c>
      <c r="C243" s="98" t="n"/>
      <c r="D243" s="98" t="n"/>
      <c r="E243" s="98" t="n"/>
      <c r="F243" s="98" t="n">
        <v>0</v>
      </c>
      <c r="G243" s="98" t="n">
        <v>0</v>
      </c>
      <c r="H243" s="98" t="inlineStr">
        <is>
          <t>AdditionalEfficiencyRoadVehicle</t>
        </is>
      </c>
      <c r="J243" s="22" t="n">
        <v>0</v>
      </c>
      <c r="K243" s="22" t="n">
        <v>0</v>
      </c>
      <c r="L243" s="22" t="n">
        <v>0</v>
      </c>
      <c r="M243" s="22" t="n">
        <v>0</v>
      </c>
      <c r="N243" s="22" t="n">
        <v>0</v>
      </c>
    </row>
    <row r="244">
      <c r="B244" s="98" t="inlineStr">
        <is>
          <t>Residential</t>
        </is>
      </c>
      <c r="C244" s="98" t="n"/>
      <c r="D244" s="98" t="n"/>
      <c r="E244" s="98" t="n"/>
      <c r="F244" s="98" t="n">
        <v>0</v>
      </c>
      <c r="G244" s="98" t="n">
        <v>0</v>
      </c>
      <c r="H244" s="98" t="inlineStr">
        <is>
          <t>AdditionalEfficiencyResidential</t>
        </is>
      </c>
      <c r="J244" s="22" t="n">
        <v>0</v>
      </c>
      <c r="K244" s="22" t="n">
        <v>0</v>
      </c>
      <c r="L244" s="22" t="n">
        <v>0</v>
      </c>
      <c r="M244" s="22" t="n">
        <v>0</v>
      </c>
      <c r="N244" s="22" t="n">
        <v>0</v>
      </c>
    </row>
    <row r="245">
      <c r="B245" s="98" t="inlineStr">
        <is>
          <t>Industrial</t>
        </is>
      </c>
      <c r="C245" s="98" t="n"/>
      <c r="D245" s="98" t="n"/>
      <c r="E245" s="98" t="n"/>
      <c r="F245" s="98" t="n">
        <v>0</v>
      </c>
      <c r="G245" s="98" t="n">
        <v>0</v>
      </c>
      <c r="H245" s="98" t="inlineStr">
        <is>
          <t>AdditionalEfficiencyIndustrial</t>
        </is>
      </c>
      <c r="J245" s="22" t="n">
        <v>0</v>
      </c>
      <c r="K245" s="22" t="n">
        <v>0</v>
      </c>
      <c r="L245" s="22" t="n">
        <v>0</v>
      </c>
      <c r="M245" s="22" t="n">
        <v>0</v>
      </c>
      <c r="N245" s="22" t="n">
        <v>0</v>
      </c>
    </row>
    <row r="246">
      <c r="B246" s="96" t="inlineStr">
        <is>
          <t>Adjustment to efficiency margins for shadow pricing policies:</t>
        </is>
      </c>
    </row>
    <row r="247">
      <c r="B247" s="98" t="inlineStr">
        <is>
          <t>Energy efficiency regulations</t>
        </is>
      </c>
      <c r="C247" s="98" t="n"/>
      <c r="D247" s="98" t="n"/>
      <c r="E247" s="98" t="n"/>
      <c r="F247" s="98" t="n">
        <v>0.7</v>
      </c>
      <c r="G247" s="98" t="n">
        <v>0.7</v>
      </c>
      <c r="H247" s="98" t="inlineStr">
        <is>
          <t>SPPEffAdjEnergyEfficiencyRegulations</t>
        </is>
      </c>
      <c r="J247" s="22" t="n">
        <v>0.7</v>
      </c>
      <c r="K247" s="22" t="n">
        <v>0.7</v>
      </c>
      <c r="L247" s="22" t="n">
        <v>0.7</v>
      </c>
      <c r="M247" s="22" t="n">
        <v>0.7</v>
      </c>
      <c r="N247" s="22" t="n">
        <v>0.7</v>
      </c>
    </row>
    <row r="248">
      <c r="B248" s="98" t="inlineStr">
        <is>
          <t>Vehicle fuel economy</t>
        </is>
      </c>
      <c r="C248" s="98" t="n"/>
      <c r="D248" s="98" t="n"/>
      <c r="E248" s="98" t="n"/>
      <c r="F248" s="98" t="n">
        <v>0.7</v>
      </c>
      <c r="G248" s="98" t="n">
        <v>0.7</v>
      </c>
      <c r="H248" s="98" t="inlineStr">
        <is>
          <t>SPPEffAdjVehicleFuelEconomy</t>
        </is>
      </c>
      <c r="J248" s="22" t="n">
        <v>0.7</v>
      </c>
      <c r="K248" s="22" t="n">
        <v>0.7</v>
      </c>
      <c r="L248" s="22" t="n">
        <v>0.7</v>
      </c>
      <c r="M248" s="22" t="n">
        <v>0.7</v>
      </c>
      <c r="N248" s="22" t="n">
        <v>0.7</v>
      </c>
    </row>
    <row r="249">
      <c r="B249" s="98" t="inlineStr">
        <is>
          <t>Residential efficiency regulations</t>
        </is>
      </c>
      <c r="C249" s="98" t="n"/>
      <c r="D249" s="98" t="n"/>
      <c r="E249" s="98" t="n"/>
      <c r="F249" s="98" t="n">
        <v>0.7</v>
      </c>
      <c r="G249" s="98" t="n">
        <v>0.7</v>
      </c>
      <c r="H249" s="98" t="inlineStr">
        <is>
          <t>SPPEffAdjRes</t>
        </is>
      </c>
      <c r="J249" s="22" t="n">
        <v>0.7</v>
      </c>
      <c r="K249" s="22" t="n">
        <v>0.7</v>
      </c>
      <c r="L249" s="22" t="n">
        <v>0.7</v>
      </c>
      <c r="M249" s="22" t="n">
        <v>0.7</v>
      </c>
      <c r="N249" s="22" t="n">
        <v>0.7</v>
      </c>
    </row>
    <row r="250">
      <c r="B250" s="98" t="inlineStr">
        <is>
          <t>Industrial efficiency regulations</t>
        </is>
      </c>
      <c r="C250" s="98" t="n"/>
      <c r="D250" s="98" t="n"/>
      <c r="E250" s="98" t="n"/>
      <c r="F250" s="98" t="n">
        <v>0.7</v>
      </c>
      <c r="G250" s="98" t="n">
        <v>0.7</v>
      </c>
      <c r="H250" s="98" t="inlineStr">
        <is>
          <t>SPPEffAdjInd</t>
        </is>
      </c>
      <c r="J250" s="22" t="n">
        <v>0.7</v>
      </c>
      <c r="K250" s="22" t="n">
        <v>0.7</v>
      </c>
      <c r="L250" s="22" t="n">
        <v>0.7</v>
      </c>
      <c r="M250" s="22" t="n">
        <v>0.7</v>
      </c>
      <c r="N250" s="22" t="n">
        <v>0.7</v>
      </c>
    </row>
    <row r="251">
      <c r="B251" s="98" t="inlineStr">
        <is>
          <t>Feebates</t>
        </is>
      </c>
      <c r="C251" s="98" t="n"/>
      <c r="D251" s="98" t="n"/>
      <c r="E251" s="98" t="n"/>
      <c r="F251" s="98" t="n">
        <v>1</v>
      </c>
      <c r="G251" s="98" t="n">
        <v>1</v>
      </c>
      <c r="H251" s="98" t="inlineStr">
        <is>
          <t>SPPEffAdjFeebates</t>
        </is>
      </c>
      <c r="J251" s="22" t="n">
        <v>1</v>
      </c>
      <c r="K251" s="22" t="n">
        <v>1</v>
      </c>
      <c r="L251" s="22" t="n">
        <v>1</v>
      </c>
      <c r="M251" s="22" t="n">
        <v>1</v>
      </c>
      <c r="N251" s="22" t="n">
        <v>1</v>
      </c>
    </row>
    <row r="252">
      <c r="B252" s="96" t="inlineStr">
        <is>
          <t>Residential Substitution Implicit Efficiencies</t>
        </is>
      </c>
    </row>
    <row r="253">
      <c r="B253" s="98" t="inlineStr">
        <is>
          <t>LPG</t>
        </is>
      </c>
      <c r="C253" s="98" t="n"/>
      <c r="D253" s="98" t="n"/>
      <c r="E253" s="98" t="n"/>
      <c r="F253" s="98" t="n">
        <v>0.5600000000000001</v>
      </c>
      <c r="G253" s="98" t="n">
        <v>0.5600000000000001</v>
      </c>
      <c r="H253" s="98" t="inlineStr">
        <is>
          <t>ResSubstLPGEff</t>
        </is>
      </c>
      <c r="J253" s="22" t="n">
        <v>0.5600000000000001</v>
      </c>
      <c r="K253" s="22" t="n">
        <v>0.5600000000000001</v>
      </c>
      <c r="L253" s="22" t="n">
        <v>0.5600000000000001</v>
      </c>
      <c r="M253" s="22" t="n">
        <v>0.5600000000000001</v>
      </c>
      <c r="N253" s="22" t="n">
        <v>0.5600000000000001</v>
      </c>
    </row>
    <row r="254">
      <c r="B254" s="98" t="inlineStr">
        <is>
          <t>Kerosene</t>
        </is>
      </c>
      <c r="C254" s="98" t="n"/>
      <c r="D254" s="98" t="n"/>
      <c r="E254" s="98" t="n"/>
      <c r="F254" s="98" t="n">
        <v>0.45</v>
      </c>
      <c r="G254" s="98" t="n">
        <v>0.45</v>
      </c>
      <c r="H254" s="98" t="inlineStr">
        <is>
          <t>ResSubstKerEff</t>
        </is>
      </c>
      <c r="J254" s="22" t="n">
        <v>0.45</v>
      </c>
      <c r="K254" s="22" t="n">
        <v>0.45</v>
      </c>
      <c r="L254" s="22" t="n">
        <v>0.45</v>
      </c>
      <c r="M254" s="22" t="n">
        <v>0.45</v>
      </c>
      <c r="N254" s="22" t="n">
        <v>0.45</v>
      </c>
    </row>
    <row r="255">
      <c r="B255" s="98" t="inlineStr">
        <is>
          <t>Biomass</t>
        </is>
      </c>
      <c r="C255" s="98" t="n"/>
      <c r="D255" s="98" t="n"/>
      <c r="E255" s="98" t="n"/>
      <c r="F255" s="98" t="n">
        <v>0.2</v>
      </c>
      <c r="G255" s="98" t="n">
        <v>0.2</v>
      </c>
      <c r="H255" s="98" t="inlineStr">
        <is>
          <t>ResSubstBioEff</t>
        </is>
      </c>
      <c r="J255" s="22" t="n">
        <v>0.2</v>
      </c>
      <c r="K255" s="22" t="n">
        <v>0.2</v>
      </c>
      <c r="L255" s="22" t="n">
        <v>0.2</v>
      </c>
      <c r="M255" s="22" t="n">
        <v>0.2</v>
      </c>
      <c r="N255" s="22" t="n">
        <v>0.2</v>
      </c>
    </row>
    <row r="256">
      <c r="B256" s="98" t="inlineStr">
        <is>
          <t>NatGas</t>
        </is>
      </c>
      <c r="C256" s="98" t="n"/>
      <c r="D256" s="98" t="n"/>
      <c r="E256" s="98" t="n"/>
      <c r="F256" s="98" t="n">
        <v>0.58</v>
      </c>
      <c r="G256" s="98" t="n">
        <v>0.58</v>
      </c>
      <c r="H256" s="98" t="inlineStr">
        <is>
          <t>ResSubstNatGasEff</t>
        </is>
      </c>
      <c r="J256" s="22" t="n">
        <v>0.58</v>
      </c>
      <c r="K256" s="22" t="n">
        <v>0.58</v>
      </c>
      <c r="L256" s="22" t="n">
        <v>0.58</v>
      </c>
      <c r="M256" s="22" t="n">
        <v>0.58</v>
      </c>
      <c r="N256" s="22" t="n">
        <v>0.58</v>
      </c>
    </row>
    <row r="257">
      <c r="B257" s="96" t="inlineStr">
        <is>
          <t>Uncertainty adjustments</t>
        </is>
      </c>
    </row>
    <row r="258">
      <c r="B258" s="98" t="inlineStr">
        <is>
          <t>International energy prices adjustment</t>
        </is>
      </c>
      <c r="C258" s="98" t="inlineStr">
        <is>
          <t>switch</t>
        </is>
      </c>
      <c r="D258" s="98" t="n"/>
      <c r="E258" s="98" t="n"/>
      <c r="F258" s="98" t="inlineStr">
        <is>
          <t>Base*</t>
        </is>
      </c>
      <c r="G258" s="98" t="inlineStr">
        <is>
          <t>Base*</t>
        </is>
      </c>
      <c r="H258" s="98" t="inlineStr">
        <is>
          <t>IntEnerPricForecastAdjustment</t>
        </is>
      </c>
      <c r="J258" s="22" t="inlineStr">
        <is>
          <t>Base*</t>
        </is>
      </c>
      <c r="K258" s="22" t="inlineStr">
        <is>
          <t>Base*</t>
        </is>
      </c>
      <c r="L258" s="22" t="inlineStr">
        <is>
          <t>Base*</t>
        </is>
      </c>
      <c r="M258" s="22" t="inlineStr">
        <is>
          <t>Base*</t>
        </is>
      </c>
      <c r="N258" s="22" t="inlineStr">
        <is>
          <t>Base*</t>
        </is>
      </c>
    </row>
    <row r="259">
      <c r="B259" s="98" t="inlineStr">
        <is>
          <t>GDP growth adjustment</t>
        </is>
      </c>
      <c r="C259" s="98" t="inlineStr">
        <is>
          <t>switch</t>
        </is>
      </c>
      <c r="D259" s="98" t="n"/>
      <c r="E259" s="98" t="n"/>
      <c r="F259" s="98" t="inlineStr">
        <is>
          <t>Base*</t>
        </is>
      </c>
      <c r="G259" s="98" t="inlineStr">
        <is>
          <t>Base*</t>
        </is>
      </c>
      <c r="H259" s="98" t="inlineStr">
        <is>
          <t>GdpAdj</t>
        </is>
      </c>
      <c r="J259" s="22" t="inlineStr">
        <is>
          <t>Base*</t>
        </is>
      </c>
      <c r="K259" s="22" t="inlineStr">
        <is>
          <t>Base*</t>
        </is>
      </c>
      <c r="L259" s="22" t="inlineStr">
        <is>
          <t>Base*</t>
        </is>
      </c>
      <c r="M259" s="22" t="inlineStr">
        <is>
          <t>Base*</t>
        </is>
      </c>
      <c r="N259" s="22" t="inlineStr">
        <is>
          <t>Base*</t>
        </is>
      </c>
    </row>
    <row r="260">
      <c r="B260" s="98" t="inlineStr">
        <is>
          <t>Price elasticities adjustment</t>
        </is>
      </c>
      <c r="C260" s="98" t="inlineStr">
        <is>
          <t>switch</t>
        </is>
      </c>
      <c r="D260" s="98" t="n"/>
      <c r="E260" s="98" t="n"/>
      <c r="F260" s="98" t="inlineStr">
        <is>
          <t>Base*</t>
        </is>
      </c>
      <c r="G260" s="98" t="inlineStr">
        <is>
          <t>Base*</t>
        </is>
      </c>
      <c r="H260" s="98" t="inlineStr">
        <is>
          <t>ElastPriceAdjustment</t>
        </is>
      </c>
      <c r="J260" s="22" t="inlineStr">
        <is>
          <t>Base*</t>
        </is>
      </c>
      <c r="K260" s="22" t="inlineStr">
        <is>
          <t>Base*</t>
        </is>
      </c>
      <c r="L260" s="22" t="inlineStr">
        <is>
          <t>Base*</t>
        </is>
      </c>
      <c r="M260" s="22" t="inlineStr">
        <is>
          <t>Base*</t>
        </is>
      </c>
      <c r="N260" s="22" t="inlineStr">
        <is>
          <t>Base*</t>
        </is>
      </c>
    </row>
    <row r="261">
      <c r="B261" s="98" t="inlineStr">
        <is>
          <t>Income elasticities adjustment</t>
        </is>
      </c>
      <c r="C261" s="98" t="inlineStr">
        <is>
          <t>switch</t>
        </is>
      </c>
      <c r="D261" s="98" t="n"/>
      <c r="E261" s="98" t="n"/>
      <c r="F261" s="98" t="inlineStr">
        <is>
          <t>Base*</t>
        </is>
      </c>
      <c r="G261" s="98" t="inlineStr">
        <is>
          <t>Base*</t>
        </is>
      </c>
      <c r="H261" s="98" t="inlineStr">
        <is>
          <t>ElastIncAdjustment</t>
        </is>
      </c>
      <c r="J261" s="22" t="inlineStr">
        <is>
          <t>Base*</t>
        </is>
      </c>
      <c r="K261" s="22" t="inlineStr">
        <is>
          <t>Base*</t>
        </is>
      </c>
      <c r="L261" s="22" t="inlineStr">
        <is>
          <t>Base*</t>
        </is>
      </c>
      <c r="M261" s="22" t="inlineStr">
        <is>
          <t>Base*</t>
        </is>
      </c>
      <c r="N261" s="22" t="inlineStr">
        <is>
          <t>Base*</t>
        </is>
      </c>
    </row>
    <row r="262">
      <c r="B262" s="98" t="inlineStr">
        <is>
          <t>Adjust income elasticities for GDP levels?</t>
        </is>
      </c>
      <c r="C262" s="98" t="inlineStr">
        <is>
          <t>switch</t>
        </is>
      </c>
      <c r="D262" s="98" t="n"/>
      <c r="E262" s="98" t="n"/>
      <c r="F262" s="98" t="inlineStr">
        <is>
          <t>Yes*</t>
        </is>
      </c>
      <c r="G262" s="98" t="inlineStr">
        <is>
          <t>Yes*</t>
        </is>
      </c>
      <c r="H262" s="98" t="inlineStr">
        <is>
          <t>IncElAdj</t>
        </is>
      </c>
      <c r="J262" s="22" t="inlineStr">
        <is>
          <t>Yes*</t>
        </is>
      </c>
      <c r="K262" s="22" t="inlineStr">
        <is>
          <t>Yes*</t>
        </is>
      </c>
      <c r="L262" s="22" t="inlineStr">
        <is>
          <t>Yes*</t>
        </is>
      </c>
      <c r="M262" s="22" t="inlineStr">
        <is>
          <t>Yes*</t>
        </is>
      </c>
      <c r="N262" s="22" t="inlineStr">
        <is>
          <t>Yes*</t>
        </is>
      </c>
    </row>
    <row r="263">
      <c r="B263" s="98" t="inlineStr">
        <is>
          <t>Fiscal multipliers adjustment</t>
        </is>
      </c>
      <c r="C263" s="98" t="inlineStr">
        <is>
          <t>switch</t>
        </is>
      </c>
      <c r="D263" s="98" t="n"/>
      <c r="E263" s="98" t="n"/>
      <c r="F263" s="98" t="inlineStr">
        <is>
          <t>Base*</t>
        </is>
      </c>
      <c r="G263" s="98" t="inlineStr">
        <is>
          <t>Base*</t>
        </is>
      </c>
      <c r="H263" s="98" t="inlineStr">
        <is>
          <t>FmAdj</t>
        </is>
      </c>
      <c r="J263" s="22" t="inlineStr">
        <is>
          <t>Base*</t>
        </is>
      </c>
      <c r="K263" s="22" t="inlineStr">
        <is>
          <t>Base*</t>
        </is>
      </c>
      <c r="L263" s="22" t="inlineStr">
        <is>
          <t>Base*</t>
        </is>
      </c>
      <c r="M263" s="22" t="inlineStr">
        <is>
          <t>Base*</t>
        </is>
      </c>
      <c r="N263" s="22" t="inlineStr">
        <is>
          <t>Base*</t>
        </is>
      </c>
    </row>
    <row r="264">
      <c r="B264" s="96" t="inlineStr">
        <is>
          <t>Miscellaneous</t>
        </is>
      </c>
    </row>
    <row r="265">
      <c r="B265" s="98" t="inlineStr">
        <is>
          <t>Price pathway continues to rise after target year?</t>
        </is>
      </c>
      <c r="C265" s="98" t="inlineStr">
        <is>
          <t>switch</t>
        </is>
      </c>
      <c r="D265" s="98" t="n"/>
      <c r="E265" s="98" t="n"/>
      <c r="F265" s="98" t="inlineStr">
        <is>
          <t>Linear*</t>
        </is>
      </c>
      <c r="G265" s="98" t="inlineStr">
        <is>
          <t>Linear*</t>
        </is>
      </c>
      <c r="H265" s="98" t="inlineStr">
        <is>
          <t>ExtendCarbonPriceBeyondOutro</t>
        </is>
      </c>
      <c r="J265" s="22" t="inlineStr">
        <is>
          <t>Linear*</t>
        </is>
      </c>
      <c r="K265" s="22" t="inlineStr">
        <is>
          <t>Linear*</t>
        </is>
      </c>
      <c r="L265" s="22" t="inlineStr">
        <is>
          <t>Linear*</t>
        </is>
      </c>
      <c r="M265" s="22" t="inlineStr">
        <is>
          <t>Linear*</t>
        </is>
      </c>
      <c r="N265" s="22" t="inlineStr">
        <is>
          <t>Linear*</t>
        </is>
      </c>
    </row>
    <row r="266">
      <c r="B266" s="98" t="inlineStr">
        <is>
          <t>Tax pathway is in nominal or real terms?</t>
        </is>
      </c>
      <c r="C266" s="98" t="inlineStr">
        <is>
          <t>switch</t>
        </is>
      </c>
      <c r="D266" s="98" t="n"/>
      <c r="E266" s="98" t="n"/>
      <c r="F266" s="98" t="inlineStr">
        <is>
          <t>Real*</t>
        </is>
      </c>
      <c r="G266" s="98" t="inlineStr">
        <is>
          <t>Real*</t>
        </is>
      </c>
      <c r="H266" s="98" t="inlineStr">
        <is>
          <t>NomorReal</t>
        </is>
      </c>
      <c r="J266" s="22" t="inlineStr">
        <is>
          <t>Real*</t>
        </is>
      </c>
      <c r="K266" s="22" t="inlineStr">
        <is>
          <t>Real*</t>
        </is>
      </c>
      <c r="L266" s="22" t="inlineStr">
        <is>
          <t>Real*</t>
        </is>
      </c>
      <c r="M266" s="22" t="inlineStr">
        <is>
          <t>Real*</t>
        </is>
      </c>
      <c r="N266" s="22" t="inlineStr">
        <is>
          <t>Real*</t>
        </is>
      </c>
    </row>
    <row r="267">
      <c r="B267" s="98" t="inlineStr">
        <is>
          <t>Include endogenous GDP effects?</t>
        </is>
      </c>
      <c r="C267" s="98" t="inlineStr">
        <is>
          <t>switch</t>
        </is>
      </c>
      <c r="D267" s="98" t="n"/>
      <c r="E267" s="98" t="n"/>
      <c r="F267" s="98" t="inlineStr">
        <is>
          <t>Yes*</t>
        </is>
      </c>
      <c r="G267" s="98" t="inlineStr">
        <is>
          <t>Yes*</t>
        </is>
      </c>
      <c r="H267" s="98" t="inlineStr">
        <is>
          <t>GDPEndogenous</t>
        </is>
      </c>
      <c r="J267" s="22" t="inlineStr">
        <is>
          <t>Yes*</t>
        </is>
      </c>
      <c r="K267" s="22" t="inlineStr">
        <is>
          <t>Yes*</t>
        </is>
      </c>
      <c r="L267" s="22" t="inlineStr">
        <is>
          <t>Yes*</t>
        </is>
      </c>
      <c r="M267" s="22" t="inlineStr">
        <is>
          <t>Yes*</t>
        </is>
      </c>
      <c r="N267" s="22" t="inlineStr">
        <is>
          <t>Yes*</t>
        </is>
      </c>
    </row>
    <row r="268">
      <c r="B268" s="98" t="inlineStr">
        <is>
          <t>Residential LPG/kerosene always exempted</t>
        </is>
      </c>
      <c r="C268" s="98" t="inlineStr">
        <is>
          <t>switch</t>
        </is>
      </c>
      <c r="D268" s="98" t="n"/>
      <c r="E268" s="98" t="n"/>
      <c r="F268" s="98" t="inlineStr">
        <is>
          <t>No*</t>
        </is>
      </c>
      <c r="G268" s="98" t="inlineStr">
        <is>
          <t>No*</t>
        </is>
      </c>
      <c r="H268" s="98" t="inlineStr">
        <is>
          <t>AlwaysExemptResLPGKer</t>
        </is>
      </c>
      <c r="J268" s="22" t="inlineStr">
        <is>
          <t>No*</t>
        </is>
      </c>
      <c r="K268" s="22" t="inlineStr">
        <is>
          <t>No*</t>
        </is>
      </c>
      <c r="L268" s="22" t="inlineStr">
        <is>
          <t>No*</t>
        </is>
      </c>
      <c r="M268" s="22" t="inlineStr">
        <is>
          <t>No*</t>
        </is>
      </c>
      <c r="N268" s="22" t="inlineStr">
        <is>
          <t>No*</t>
        </is>
      </c>
    </row>
    <row r="269">
      <c r="B269" s="98" t="inlineStr">
        <is>
          <t>National social cost of carbon (NSCC) source</t>
        </is>
      </c>
      <c r="C269" s="98" t="inlineStr">
        <is>
          <t>switch</t>
        </is>
      </c>
      <c r="D269" s="98" t="n"/>
      <c r="E269" s="98" t="n"/>
      <c r="F269" s="98" t="inlineStr">
        <is>
          <t>Target*</t>
        </is>
      </c>
      <c r="G269" s="98" t="inlineStr">
        <is>
          <t>Target*</t>
        </is>
      </c>
      <c r="H269" s="98" t="inlineStr">
        <is>
          <t>NSCCSource</t>
        </is>
      </c>
      <c r="J269" s="22" t="inlineStr">
        <is>
          <t>Target*</t>
        </is>
      </c>
      <c r="K269" s="22" t="inlineStr">
        <is>
          <t>Target*</t>
        </is>
      </c>
      <c r="L269" s="22" t="inlineStr">
        <is>
          <t>Target*</t>
        </is>
      </c>
      <c r="M269" s="22" t="inlineStr">
        <is>
          <t>Target*</t>
        </is>
      </c>
      <c r="N269" s="22" t="inlineStr">
        <is>
          <t>Target*</t>
        </is>
      </c>
    </row>
    <row r="270">
      <c r="B270" s="98" t="inlineStr">
        <is>
          <t>Override dashboard and impose a linear or exponential carbon price trajectory?</t>
        </is>
      </c>
      <c r="C270" s="98" t="n"/>
      <c r="D270" s="98" t="n"/>
      <c r="E270" s="98" t="n"/>
      <c r="F270" s="98" t="inlineStr">
        <is>
          <t>Linear*</t>
        </is>
      </c>
      <c r="G270" s="98" t="inlineStr">
        <is>
          <t>Linear*</t>
        </is>
      </c>
      <c r="H270" s="98" t="inlineStr">
        <is>
          <t>CTaxTrajectoryType</t>
        </is>
      </c>
      <c r="J270" s="22" t="inlineStr">
        <is>
          <t>Linear*</t>
        </is>
      </c>
      <c r="K270" s="22" t="inlineStr">
        <is>
          <t>Linear*</t>
        </is>
      </c>
      <c r="L270" s="22" t="inlineStr">
        <is>
          <t>Linear*</t>
        </is>
      </c>
      <c r="M270" s="22" t="inlineStr">
        <is>
          <t>Linear*</t>
        </is>
      </c>
      <c r="N270" s="22" t="inlineStr">
        <is>
          <t>Linear*</t>
        </is>
      </c>
    </row>
    <row r="271">
      <c r="B271" s="98" t="inlineStr">
        <is>
          <t>If overridden and exponential, what is the real escalation rate per year?</t>
        </is>
      </c>
      <c r="C271" s="98" t="n"/>
      <c r="D271" s="98" t="n"/>
      <c r="E271" s="98" t="n"/>
      <c r="F271" s="98" t="n">
        <v>0</v>
      </c>
      <c r="G271" s="98" t="n">
        <v>0</v>
      </c>
      <c r="H271" s="98" t="inlineStr">
        <is>
          <t>CtaxExponentialEscalationRate</t>
        </is>
      </c>
      <c r="J271" s="22" t="n">
        <v>0</v>
      </c>
      <c r="K271" s="22" t="n">
        <v>0</v>
      </c>
      <c r="L271" s="22" t="n">
        <v>0</v>
      </c>
      <c r="M271" s="22" t="n">
        <v>0</v>
      </c>
      <c r="N271" s="22" t="n">
        <v>0</v>
      </c>
    </row>
    <row r="272">
      <c r="B272" s="96" t="inlineStr">
        <is>
          <t xml:space="preserve">Social cost of carbon </t>
        </is>
      </c>
    </row>
    <row r="273">
      <c r="B273" s="98" t="inlineStr">
        <is>
          <t>NSCC discount rate (ρ)</t>
        </is>
      </c>
      <c r="C273" s="98" t="inlineStr">
        <is>
          <t>%</t>
        </is>
      </c>
      <c r="D273" s="98" t="n"/>
      <c r="E273" s="98" t="n"/>
      <c r="F273" s="98" t="inlineStr">
        <is>
          <t>2%*</t>
        </is>
      </c>
      <c r="G273" s="98" t="inlineStr">
        <is>
          <t>2%*</t>
        </is>
      </c>
      <c r="H273" s="98" t="inlineStr">
        <is>
          <t>NSCCDiscountRate</t>
        </is>
      </c>
      <c r="J273" s="22" t="inlineStr">
        <is>
          <t>2%*</t>
        </is>
      </c>
      <c r="K273" s="22" t="inlineStr">
        <is>
          <t>2%*</t>
        </is>
      </c>
      <c r="L273" s="22" t="inlineStr">
        <is>
          <t>2%*</t>
        </is>
      </c>
      <c r="M273" s="22" t="inlineStr">
        <is>
          <t>2%*</t>
        </is>
      </c>
      <c r="N273" s="22" t="inlineStr">
        <is>
          <t>2%*</t>
        </is>
      </c>
    </row>
    <row r="274">
      <c r="B274" s="98" t="inlineStr">
        <is>
          <t>NSCC elasticity of marginal utility (μ)</t>
        </is>
      </c>
      <c r="C274" s="98" t="inlineStr">
        <is>
          <t>%</t>
        </is>
      </c>
      <c r="D274" s="98" t="n"/>
      <c r="E274" s="98" t="n"/>
      <c r="F274" s="98" t="inlineStr">
        <is>
          <t>1.5%*</t>
        </is>
      </c>
      <c r="G274" s="98" t="inlineStr">
        <is>
          <t>1.5%*</t>
        </is>
      </c>
      <c r="H274" s="98" t="inlineStr">
        <is>
          <t>NSCCMargUtilofCons</t>
        </is>
      </c>
      <c r="J274" s="22" t="inlineStr">
        <is>
          <t>1.5%*</t>
        </is>
      </c>
      <c r="K274" s="22" t="inlineStr">
        <is>
          <t>1.5%*</t>
        </is>
      </c>
      <c r="L274" s="22" t="inlineStr">
        <is>
          <t>1.5%*</t>
        </is>
      </c>
      <c r="M274" s="22" t="inlineStr">
        <is>
          <t>1.5%*</t>
        </is>
      </c>
      <c r="N274" s="22" t="inlineStr">
        <is>
          <t>1.5%*</t>
        </is>
      </c>
    </row>
    <row r="275">
      <c r="B275" s="98" t="inlineStr">
        <is>
          <t>Global social cost of carbon (GSCC) source</t>
        </is>
      </c>
      <c r="C275" s="98" t="inlineStr">
        <is>
          <t>switch</t>
        </is>
      </c>
      <c r="D275" s="98" t="n"/>
      <c r="E275" s="98" t="n"/>
      <c r="F275" s="98" t="inlineStr">
        <is>
          <t>Target*</t>
        </is>
      </c>
      <c r="G275" s="98" t="inlineStr">
        <is>
          <t>Target*</t>
        </is>
      </c>
      <c r="H275" s="98" t="inlineStr">
        <is>
          <t>GSCCSource</t>
        </is>
      </c>
      <c r="J275" s="22" t="inlineStr">
        <is>
          <t>Target*</t>
        </is>
      </c>
      <c r="K275" s="22" t="inlineStr">
        <is>
          <t>Target*</t>
        </is>
      </c>
      <c r="L275" s="22" t="inlineStr">
        <is>
          <t>Target*</t>
        </is>
      </c>
      <c r="M275" s="22" t="inlineStr">
        <is>
          <t>Target*</t>
        </is>
      </c>
      <c r="N275" s="22" t="inlineStr">
        <is>
          <t>Target*</t>
        </is>
      </c>
    </row>
    <row r="276">
      <c r="B276" s="96" t="inlineStr">
        <is>
          <t xml:space="preserve">Manual - assumed starting in year 2021 </t>
        </is>
      </c>
    </row>
    <row r="277">
      <c r="B277" s="98" t="inlineStr">
        <is>
          <t>SCC (both NSCC and GSCC)</t>
        </is>
      </c>
      <c r="C277" s="98" t="inlineStr">
        <is>
          <t>real growth, %</t>
        </is>
      </c>
      <c r="D277" s="98" t="n"/>
      <c r="E277" s="98" t="n"/>
      <c r="F277" s="98" t="n">
        <v>0.04</v>
      </c>
      <c r="G277" s="98" t="n">
        <v>0.04</v>
      </c>
      <c r="H277" s="98" t="inlineStr">
        <is>
          <t>SCCRise</t>
        </is>
      </c>
      <c r="J277" s="22" t="n">
        <v>0.04</v>
      </c>
      <c r="K277" s="22" t="n">
        <v>0.04</v>
      </c>
      <c r="L277" s="22" t="n">
        <v>0.04</v>
      </c>
      <c r="M277" s="22" t="n">
        <v>0.04</v>
      </c>
      <c r="N277" s="22" t="n">
        <v>0.04</v>
      </c>
    </row>
    <row r="278">
      <c r="B278" s="98" t="inlineStr">
        <is>
          <t>Target-consistent carbon price by 2030 (for 'Target' option)</t>
        </is>
      </c>
      <c r="C278" s="98" t="n"/>
      <c r="D278" s="98" t="n"/>
      <c r="E278" s="98" t="n"/>
      <c r="F278" s="98" t="n">
        <v>75</v>
      </c>
      <c r="G278" s="98" t="n">
        <v>75</v>
      </c>
      <c r="H278" s="98" t="inlineStr">
        <is>
          <t>SCCTargetConsistentCP</t>
        </is>
      </c>
      <c r="J278" s="22" t="n">
        <v>75</v>
      </c>
      <c r="K278" s="22" t="n">
        <v>75</v>
      </c>
      <c r="L278" s="22" t="n">
        <v>75</v>
      </c>
      <c r="M278" s="22" t="n">
        <v>75</v>
      </c>
      <c r="N278" s="22" t="n">
        <v>75</v>
      </c>
    </row>
    <row r="279">
      <c r="B279" s="96" t="inlineStr">
        <is>
          <t>Energy pricing assumptions</t>
        </is>
      </c>
    </row>
    <row r="280">
      <c r="B280" s="98" t="inlineStr">
        <is>
          <t>Use manual domestic prices?</t>
        </is>
      </c>
      <c r="C280" s="98" t="inlineStr">
        <is>
          <t>switch</t>
        </is>
      </c>
      <c r="D280" s="98" t="n"/>
      <c r="E280" s="98" t="n"/>
      <c r="F280" s="98" t="inlineStr">
        <is>
          <t>No</t>
        </is>
      </c>
      <c r="G280" s="98" t="inlineStr">
        <is>
          <t>No</t>
        </is>
      </c>
      <c r="H280" s="98" t="inlineStr">
        <is>
          <t>DomPrTax</t>
        </is>
      </c>
      <c r="J280" s="22" t="inlineStr">
        <is>
          <t>No</t>
        </is>
      </c>
      <c r="K280" s="22" t="inlineStr">
        <is>
          <t>No</t>
        </is>
      </c>
      <c r="L280" s="22" t="inlineStr">
        <is>
          <t>No</t>
        </is>
      </c>
      <c r="M280" s="22" t="inlineStr">
        <is>
          <t>No</t>
        </is>
      </c>
      <c r="N280" s="22" t="inlineStr">
        <is>
          <t>No</t>
        </is>
      </c>
    </row>
    <row r="281">
      <c r="B281" s="98" t="inlineStr">
        <is>
          <t>Use uniform global assumption for fuel prices (normally 'No')</t>
        </is>
      </c>
      <c r="C281" s="98" t="inlineStr">
        <is>
          <t>switch</t>
        </is>
      </c>
      <c r="D281" s="98" t="n"/>
      <c r="E281" s="98" t="n"/>
      <c r="F281" s="98" t="inlineStr">
        <is>
          <t>No</t>
        </is>
      </c>
      <c r="G281" s="98" t="inlineStr">
        <is>
          <t>No</t>
        </is>
      </c>
      <c r="H281" s="98" t="inlineStr">
        <is>
          <t>UseGlobalPrices</t>
        </is>
      </c>
      <c r="J281" s="22" t="inlineStr">
        <is>
          <t>No</t>
        </is>
      </c>
      <c r="K281" s="22" t="inlineStr">
        <is>
          <t>No</t>
        </is>
      </c>
      <c r="L281" s="22" t="inlineStr">
        <is>
          <t>No</t>
        </is>
      </c>
      <c r="M281" s="22" t="inlineStr">
        <is>
          <t>No</t>
        </is>
      </c>
      <c r="N281" s="22" t="inlineStr">
        <is>
          <t>No</t>
        </is>
      </c>
    </row>
    <row r="282">
      <c r="A282" t="inlineStr">
        <is>
          <t>X</t>
        </is>
      </c>
      <c r="B282" s="98" t="inlineStr">
        <is>
          <t>Year of interest for energy externalities &amp; prices</t>
        </is>
      </c>
      <c r="C282" s="98" t="inlineStr">
        <is>
          <t>year</t>
        </is>
      </c>
      <c r="D282" s="98" t="n"/>
      <c r="E282" s="98" t="n"/>
      <c r="F282" s="98" t="n">
        <v>2025</v>
      </c>
      <c r="G282" s="98" t="n">
        <v>2030</v>
      </c>
      <c r="H282" s="98" t="inlineStr">
        <is>
          <t>YearFuelPrices</t>
        </is>
      </c>
      <c r="J282" s="22" t="n">
        <v>2025</v>
      </c>
      <c r="K282" s="22" t="n">
        <v>2025</v>
      </c>
      <c r="L282" s="22" t="n">
        <v>2025</v>
      </c>
      <c r="M282" s="22" t="n">
        <v>2025</v>
      </c>
      <c r="N282" s="22" t="n">
        <v>2025</v>
      </c>
    </row>
    <row r="283">
      <c r="B283" s="96" t="inlineStr">
        <is>
          <t>VAT reform</t>
        </is>
      </c>
    </row>
    <row r="284">
      <c r="B284" s="98" t="inlineStr">
        <is>
          <t>Apply general VAT rate on residential and transport consumption?</t>
        </is>
      </c>
      <c r="C284" s="98" t="inlineStr">
        <is>
          <t>switch</t>
        </is>
      </c>
      <c r="D284" s="98" t="n"/>
      <c r="E284" s="98" t="n"/>
      <c r="F284" s="98" t="inlineStr">
        <is>
          <t>No*</t>
        </is>
      </c>
      <c r="G284" s="98" t="inlineStr">
        <is>
          <t>No*</t>
        </is>
      </c>
      <c r="H284" s="98" t="inlineStr">
        <is>
          <t>VatRef</t>
        </is>
      </c>
      <c r="J284" s="22" t="inlineStr">
        <is>
          <t>No*</t>
        </is>
      </c>
      <c r="K284" s="22" t="inlineStr">
        <is>
          <t>No*</t>
        </is>
      </c>
      <c r="L284" s="22" t="inlineStr">
        <is>
          <t>No*</t>
        </is>
      </c>
      <c r="M284" s="22" t="inlineStr">
        <is>
          <t>No*</t>
        </is>
      </c>
      <c r="N284" s="22" t="inlineStr">
        <is>
          <t>No*</t>
        </is>
      </c>
    </row>
    <row r="285">
      <c r="B285" s="96" t="inlineStr">
        <is>
          <t>Existing non-carbon taxes</t>
        </is>
      </c>
    </row>
    <row r="286">
      <c r="B286" s="98" t="inlineStr">
        <is>
          <t>Apply existing non-carbon taxes on coal?</t>
        </is>
      </c>
      <c r="C286" s="98" t="inlineStr">
        <is>
          <t>switch</t>
        </is>
      </c>
      <c r="D286" s="98" t="n"/>
      <c r="E286" s="98" t="n"/>
      <c r="F286" s="98" t="inlineStr">
        <is>
          <t>Yes*</t>
        </is>
      </c>
      <c r="G286" s="98" t="inlineStr">
        <is>
          <t>Yes*</t>
        </is>
      </c>
      <c r="H286" s="98" t="inlineStr">
        <is>
          <t>ApplyExistingNonCarbonTaxCoa</t>
        </is>
      </c>
      <c r="J286" s="22" t="inlineStr">
        <is>
          <t>Yes*</t>
        </is>
      </c>
      <c r="K286" s="22" t="inlineStr">
        <is>
          <t>Yes*</t>
        </is>
      </c>
      <c r="L286" s="22" t="inlineStr">
        <is>
          <t>Yes*</t>
        </is>
      </c>
      <c r="M286" s="22" t="inlineStr">
        <is>
          <t>Yes*</t>
        </is>
      </c>
      <c r="N286" s="22" t="inlineStr">
        <is>
          <t>Yes*</t>
        </is>
      </c>
    </row>
    <row r="287">
      <c r="B287" s="98" t="inlineStr">
        <is>
          <t>Apply existing non-carbon taxes on natural gas?</t>
        </is>
      </c>
      <c r="C287" s="98" t="inlineStr">
        <is>
          <t>switch</t>
        </is>
      </c>
      <c r="D287" s="98" t="n"/>
      <c r="E287" s="98" t="n"/>
      <c r="F287" s="98" t="inlineStr">
        <is>
          <t>Yes*</t>
        </is>
      </c>
      <c r="G287" s="98" t="inlineStr">
        <is>
          <t>Yes*</t>
        </is>
      </c>
      <c r="H287" s="98" t="inlineStr">
        <is>
          <t>ApplyExistingNonCarbonTaxNga</t>
        </is>
      </c>
      <c r="J287" s="22" t="inlineStr">
        <is>
          <t>Yes*</t>
        </is>
      </c>
      <c r="K287" s="22" t="inlineStr">
        <is>
          <t>Yes*</t>
        </is>
      </c>
      <c r="L287" s="22" t="inlineStr">
        <is>
          <t>Yes*</t>
        </is>
      </c>
      <c r="M287" s="22" t="inlineStr">
        <is>
          <t>Yes*</t>
        </is>
      </c>
      <c r="N287" s="22" t="inlineStr">
        <is>
          <t>Yes*</t>
        </is>
      </c>
    </row>
    <row r="288">
      <c r="B288" s="98" t="inlineStr">
        <is>
          <t>Apply existing non-carbon taxes on gasoline?</t>
        </is>
      </c>
      <c r="C288" s="98" t="inlineStr">
        <is>
          <t>switch</t>
        </is>
      </c>
      <c r="D288" s="98" t="n"/>
      <c r="E288" s="98" t="n"/>
      <c r="F288" s="98" t="inlineStr">
        <is>
          <t>Yes*</t>
        </is>
      </c>
      <c r="G288" s="98" t="inlineStr">
        <is>
          <t>Yes*</t>
        </is>
      </c>
      <c r="H288" s="98" t="inlineStr">
        <is>
          <t>ApplyExistingNonCarbonTaxGso</t>
        </is>
      </c>
      <c r="J288" s="22" t="inlineStr">
        <is>
          <t>Yes*</t>
        </is>
      </c>
      <c r="K288" s="22" t="inlineStr">
        <is>
          <t>Yes*</t>
        </is>
      </c>
      <c r="L288" s="22" t="inlineStr">
        <is>
          <t>Yes*</t>
        </is>
      </c>
      <c r="M288" s="22" t="inlineStr">
        <is>
          <t>Yes*</t>
        </is>
      </c>
      <c r="N288" s="22" t="inlineStr">
        <is>
          <t>Yes*</t>
        </is>
      </c>
    </row>
    <row r="289">
      <c r="B289" s="98" t="inlineStr">
        <is>
          <t>Apply existing non-carbon taxes on diesel?</t>
        </is>
      </c>
      <c r="C289" s="98" t="inlineStr">
        <is>
          <t>switch</t>
        </is>
      </c>
      <c r="D289" s="98" t="n"/>
      <c r="E289" s="98" t="n"/>
      <c r="F289" s="98" t="inlineStr">
        <is>
          <t>Yes*</t>
        </is>
      </c>
      <c r="G289" s="98" t="inlineStr">
        <is>
          <t>Yes*</t>
        </is>
      </c>
      <c r="H289" s="98" t="inlineStr">
        <is>
          <t>ApplyExistingNonCarbonTaxDie</t>
        </is>
      </c>
      <c r="J289" s="22" t="inlineStr">
        <is>
          <t>Yes*</t>
        </is>
      </c>
      <c r="K289" s="22" t="inlineStr">
        <is>
          <t>Yes*</t>
        </is>
      </c>
      <c r="L289" s="22" t="inlineStr">
        <is>
          <t>Yes*</t>
        </is>
      </c>
      <c r="M289" s="22" t="inlineStr">
        <is>
          <t>Yes*</t>
        </is>
      </c>
      <c r="N289" s="22" t="inlineStr">
        <is>
          <t>Yes*</t>
        </is>
      </c>
    </row>
    <row r="290">
      <c r="B290" s="98" t="inlineStr">
        <is>
          <t>Apply existing non-carbon taxes on other oil products?</t>
        </is>
      </c>
      <c r="C290" s="98" t="inlineStr">
        <is>
          <t>switch</t>
        </is>
      </c>
      <c r="D290" s="98" t="n"/>
      <c r="E290" s="98" t="n"/>
      <c r="F290" s="98" t="inlineStr">
        <is>
          <t>Yes*</t>
        </is>
      </c>
      <c r="G290" s="98" t="inlineStr">
        <is>
          <t>Yes*</t>
        </is>
      </c>
      <c r="H290" s="98" t="inlineStr">
        <is>
          <t>ApplyExistingNonCarbonTaxOop</t>
        </is>
      </c>
      <c r="J290" s="22" t="inlineStr">
        <is>
          <t>Yes*</t>
        </is>
      </c>
      <c r="K290" s="22" t="inlineStr">
        <is>
          <t>Yes*</t>
        </is>
      </c>
      <c r="L290" s="22" t="inlineStr">
        <is>
          <t>Yes*</t>
        </is>
      </c>
      <c r="M290" s="22" t="inlineStr">
        <is>
          <t>Yes*</t>
        </is>
      </c>
      <c r="N290" s="22" t="inlineStr">
        <is>
          <t>Yes*</t>
        </is>
      </c>
    </row>
    <row r="291">
      <c r="B291" s="98" t="inlineStr">
        <is>
          <t>Apply existing non-carbon taxes on LPG?</t>
        </is>
      </c>
      <c r="C291" s="98" t="inlineStr">
        <is>
          <t>switch</t>
        </is>
      </c>
      <c r="D291" s="98" t="n"/>
      <c r="E291" s="98" t="n"/>
      <c r="F291" s="98" t="inlineStr">
        <is>
          <t>Yes*</t>
        </is>
      </c>
      <c r="G291" s="98" t="inlineStr">
        <is>
          <t>Yes*</t>
        </is>
      </c>
      <c r="H291" s="98" t="inlineStr">
        <is>
          <t>ApplyExistingNonCarbonTaxLpg</t>
        </is>
      </c>
      <c r="J291" s="22" t="inlineStr">
        <is>
          <t>Yes*</t>
        </is>
      </c>
      <c r="K291" s="22" t="inlineStr">
        <is>
          <t>Yes*</t>
        </is>
      </c>
      <c r="L291" s="22" t="inlineStr">
        <is>
          <t>Yes*</t>
        </is>
      </c>
      <c r="M291" s="22" t="inlineStr">
        <is>
          <t>Yes*</t>
        </is>
      </c>
      <c r="N291" s="22" t="inlineStr">
        <is>
          <t>Yes*</t>
        </is>
      </c>
    </row>
    <row r="292">
      <c r="B292" s="98" t="inlineStr">
        <is>
          <t>Apply existing non-carbon taxes on kerosene?</t>
        </is>
      </c>
      <c r="C292" s="98" t="inlineStr">
        <is>
          <t>switch</t>
        </is>
      </c>
      <c r="D292" s="98" t="n"/>
      <c r="E292" s="98" t="n"/>
      <c r="F292" s="98" t="inlineStr">
        <is>
          <t>Yes*</t>
        </is>
      </c>
      <c r="G292" s="98" t="inlineStr">
        <is>
          <t>Yes*</t>
        </is>
      </c>
      <c r="H292" s="98" t="inlineStr">
        <is>
          <t>ApplyExistingNonCarbonTaxKer</t>
        </is>
      </c>
      <c r="J292" s="22" t="inlineStr">
        <is>
          <t>Yes*</t>
        </is>
      </c>
      <c r="K292" s="22" t="inlineStr">
        <is>
          <t>Yes*</t>
        </is>
      </c>
      <c r="L292" s="22" t="inlineStr">
        <is>
          <t>Yes*</t>
        </is>
      </c>
      <c r="M292" s="22" t="inlineStr">
        <is>
          <t>Yes*</t>
        </is>
      </c>
      <c r="N292" s="22" t="inlineStr">
        <is>
          <t>Yes*</t>
        </is>
      </c>
    </row>
    <row r="293">
      <c r="B293" s="98" t="inlineStr">
        <is>
          <t>Apply existing non-carbon taxes on biomass?</t>
        </is>
      </c>
      <c r="C293" s="98" t="inlineStr">
        <is>
          <t>switch</t>
        </is>
      </c>
      <c r="D293" s="98" t="n"/>
      <c r="E293" s="98" t="n"/>
      <c r="F293" s="98" t="inlineStr">
        <is>
          <t>Yes*</t>
        </is>
      </c>
      <c r="G293" s="98" t="inlineStr">
        <is>
          <t>Yes*</t>
        </is>
      </c>
      <c r="H293" s="98" t="inlineStr">
        <is>
          <t>ApplyExistingNonCarbonTaxBio</t>
        </is>
      </c>
      <c r="J293" s="22" t="inlineStr">
        <is>
          <t>Yes*</t>
        </is>
      </c>
      <c r="K293" s="22" t="inlineStr">
        <is>
          <t>Yes*</t>
        </is>
      </c>
      <c r="L293" s="22" t="inlineStr">
        <is>
          <t>Yes*</t>
        </is>
      </c>
      <c r="M293" s="22" t="inlineStr">
        <is>
          <t>Yes*</t>
        </is>
      </c>
      <c r="N293" s="22" t="inlineStr">
        <is>
          <t>Yes*</t>
        </is>
      </c>
    </row>
    <row r="294">
      <c r="B294" s="98" t="inlineStr">
        <is>
          <t>Apply existing non-carbon taxes on electricity?</t>
        </is>
      </c>
      <c r="C294" s="98" t="inlineStr">
        <is>
          <t>switch</t>
        </is>
      </c>
      <c r="D294" s="98" t="n"/>
      <c r="E294" s="98" t="n"/>
      <c r="F294" s="98" t="inlineStr">
        <is>
          <t>Yes*</t>
        </is>
      </c>
      <c r="G294" s="98" t="inlineStr">
        <is>
          <t>Yes*</t>
        </is>
      </c>
      <c r="H294" s="98" t="inlineStr">
        <is>
          <t>ApplyExistingNonCarbonTaxEcy</t>
        </is>
      </c>
      <c r="J294" s="22" t="inlineStr">
        <is>
          <t>Yes*</t>
        </is>
      </c>
      <c r="K294" s="22" t="inlineStr">
        <is>
          <t>Yes*</t>
        </is>
      </c>
      <c r="L294" s="22" t="inlineStr">
        <is>
          <t>Yes*</t>
        </is>
      </c>
      <c r="M294" s="22" t="inlineStr">
        <is>
          <t>Yes*</t>
        </is>
      </c>
      <c r="N294" s="22" t="inlineStr">
        <is>
          <t>Yes*</t>
        </is>
      </c>
    </row>
    <row r="295">
      <c r="B295" s="98" t="inlineStr">
        <is>
          <t>Other assumptions: mitigation module</t>
        </is>
      </c>
      <c r="C295" s="98" t="n"/>
      <c r="D295" s="98" t="n"/>
      <c r="E295" s="98" t="n"/>
      <c r="F295" s="98" t="n">
        <v>0</v>
      </c>
      <c r="G295" s="98" t="n"/>
      <c r="H295" s="98" t="n"/>
      <c r="J295" s="22" t="n">
        <v>0</v>
      </c>
      <c r="K295" s="22" t="n">
        <v>0</v>
      </c>
      <c r="L295" s="22" t="n">
        <v>0</v>
      </c>
      <c r="M295" s="22" t="n">
        <v>0</v>
      </c>
      <c r="N295" s="22" t="n">
        <v>0</v>
      </c>
    </row>
    <row r="296">
      <c r="B296" s="98" t="inlineStr">
        <is>
          <t>Use 'world' (USA) or country-specific discount factors?</t>
        </is>
      </c>
      <c r="C296" s="98" t="inlineStr">
        <is>
          <t>switch</t>
        </is>
      </c>
      <c r="D296" s="98" t="n"/>
      <c r="E296" s="98" t="n"/>
      <c r="F296" s="98" t="inlineStr">
        <is>
          <t>World</t>
        </is>
      </c>
      <c r="G296" s="98" t="inlineStr">
        <is>
          <t>World</t>
        </is>
      </c>
      <c r="H296" s="98" t="inlineStr">
        <is>
          <t>DfSelection</t>
        </is>
      </c>
      <c r="J296" s="22" t="inlineStr">
        <is>
          <t>World</t>
        </is>
      </c>
      <c r="K296" s="22" t="inlineStr">
        <is>
          <t>World</t>
        </is>
      </c>
      <c r="L296" s="22" t="inlineStr">
        <is>
          <t>World</t>
        </is>
      </c>
      <c r="M296" s="22" t="inlineStr">
        <is>
          <t>World</t>
        </is>
      </c>
      <c r="N296" s="22" t="inlineStr">
        <is>
          <t>World</t>
        </is>
      </c>
    </row>
    <row r="297">
      <c r="B297" s="98" t="inlineStr">
        <is>
          <t>Sum all oil products in industrial transformation sector</t>
        </is>
      </c>
      <c r="C297" s="98" t="inlineStr">
        <is>
          <t>switch</t>
        </is>
      </c>
      <c r="D297" s="98" t="n"/>
      <c r="E297" s="98" t="n"/>
      <c r="F297" s="98" t="inlineStr">
        <is>
          <t>Converted</t>
        </is>
      </c>
      <c r="G297" s="98" t="inlineStr">
        <is>
          <t>Converted</t>
        </is>
      </c>
      <c r="H297" s="98" t="inlineStr">
        <is>
          <t>NonEnergyTransformationMethod</t>
        </is>
      </c>
      <c r="J297" s="22" t="inlineStr">
        <is>
          <t>Converted</t>
        </is>
      </c>
      <c r="K297" s="22" t="inlineStr">
        <is>
          <t>Converted</t>
        </is>
      </c>
      <c r="L297" s="22" t="inlineStr">
        <is>
          <t>Converted</t>
        </is>
      </c>
      <c r="M297" s="22" t="inlineStr">
        <is>
          <t>Converted</t>
        </is>
      </c>
      <c r="N297" s="22" t="inlineStr">
        <is>
          <t>Converted</t>
        </is>
      </c>
    </row>
    <row r="298">
      <c r="B298" s="98" t="inlineStr">
        <is>
          <t>LPG in residential implicit (cookstove) efficiency</t>
        </is>
      </c>
      <c r="C298" s="98" t="n"/>
      <c r="D298" s="98" t="n"/>
      <c r="E298" s="98" t="n"/>
      <c r="F298" s="98" t="n">
        <v>0.5600000000000001</v>
      </c>
      <c r="G298" s="98" t="n">
        <v>0.5600000000000001</v>
      </c>
      <c r="H298" s="98" t="inlineStr">
        <is>
          <t>LPGEff</t>
        </is>
      </c>
      <c r="J298" s="22" t="n">
        <v>0.5600000000000001</v>
      </c>
      <c r="K298" s="22" t="n">
        <v>0.5600000000000001</v>
      </c>
      <c r="L298" s="22" t="n">
        <v>0.5600000000000001</v>
      </c>
      <c r="M298" s="22" t="n">
        <v>0.5600000000000001</v>
      </c>
      <c r="N298" s="22" t="n">
        <v>0.5600000000000001</v>
      </c>
    </row>
    <row r="299">
      <c r="B299" s="98" t="inlineStr">
        <is>
          <t>Kerosene in residential implicit (cookstove) efficiency</t>
        </is>
      </c>
      <c r="C299" s="98" t="n"/>
      <c r="D299" s="98" t="n"/>
      <c r="E299" s="98" t="n"/>
      <c r="F299" s="98" t="n">
        <v>0.45</v>
      </c>
      <c r="G299" s="98" t="n">
        <v>0.45</v>
      </c>
      <c r="H299" s="98" t="inlineStr">
        <is>
          <t>KerEff</t>
        </is>
      </c>
      <c r="J299" s="22" t="n">
        <v>0.45</v>
      </c>
      <c r="K299" s="22" t="n">
        <v>0.45</v>
      </c>
      <c r="L299" s="22" t="n">
        <v>0.45</v>
      </c>
      <c r="M299" s="22" t="n">
        <v>0.45</v>
      </c>
      <c r="N299" s="22" t="n">
        <v>0.45</v>
      </c>
    </row>
    <row r="300">
      <c r="B300" s="98" t="inlineStr">
        <is>
          <t>Biomass in residential implicit (cookstove) efficiency</t>
        </is>
      </c>
      <c r="C300" s="98" t="n"/>
      <c r="D300" s="98" t="n"/>
      <c r="E300" s="98" t="n"/>
      <c r="F300" s="98" t="n">
        <v>0.2</v>
      </c>
      <c r="G300" s="98" t="n">
        <v>0.2</v>
      </c>
      <c r="H300" s="98" t="inlineStr">
        <is>
          <t>BioEff</t>
        </is>
      </c>
      <c r="J300" s="22" t="n">
        <v>0.2</v>
      </c>
      <c r="K300" s="22" t="n">
        <v>0.2</v>
      </c>
      <c r="L300" s="22" t="n">
        <v>0.2</v>
      </c>
      <c r="M300" s="22" t="n">
        <v>0.2</v>
      </c>
      <c r="N300" s="22" t="n">
        <v>0.2</v>
      </c>
    </row>
    <row r="301">
      <c r="B301" s="98" t="inlineStr">
        <is>
          <t>Natural gas in residential implicit (cookstove) efficiency</t>
        </is>
      </c>
      <c r="C301" s="98" t="n"/>
      <c r="D301" s="98" t="n"/>
      <c r="E301" s="98" t="n"/>
      <c r="F301" s="98" t="n">
        <v>0.58</v>
      </c>
      <c r="G301" s="98" t="n">
        <v>0.58</v>
      </c>
      <c r="H301" s="98" t="inlineStr">
        <is>
          <t>NatGasEff</t>
        </is>
      </c>
      <c r="J301" s="22" t="n">
        <v>0.58</v>
      </c>
      <c r="K301" s="22" t="n">
        <v>0.58</v>
      </c>
      <c r="L301" s="22" t="n">
        <v>0.58</v>
      </c>
      <c r="M301" s="22" t="n">
        <v>0.58</v>
      </c>
      <c r="N301" s="22" t="n">
        <v>0.58</v>
      </c>
    </row>
    <row r="302">
      <c r="B302" s="98" t="inlineStr">
        <is>
          <t>Include producer-side subsidies as part of TCP measure</t>
        </is>
      </c>
      <c r="C302" s="98" t="inlineStr">
        <is>
          <t>switch</t>
        </is>
      </c>
      <c r="D302" s="98" t="n"/>
      <c r="E302" s="98" t="n"/>
      <c r="F302" s="98" t="inlineStr">
        <is>
          <t>No*</t>
        </is>
      </c>
      <c r="G302" s="98" t="inlineStr">
        <is>
          <t>No*</t>
        </is>
      </c>
      <c r="H302" s="98" t="inlineStr">
        <is>
          <t>PsInTCP</t>
        </is>
      </c>
      <c r="J302" s="22" t="inlineStr">
        <is>
          <t>No*</t>
        </is>
      </c>
      <c r="K302" s="22" t="inlineStr">
        <is>
          <t>No*</t>
        </is>
      </c>
      <c r="L302" s="22" t="inlineStr">
        <is>
          <t>No*</t>
        </is>
      </c>
      <c r="M302" s="22" t="inlineStr">
        <is>
          <t>No*</t>
        </is>
      </c>
      <c r="N302" s="22" t="inlineStr">
        <is>
          <t>No*</t>
        </is>
      </c>
    </row>
    <row r="303">
      <c r="B303" s="96" t="inlineStr">
        <is>
          <t>Distributional module assumptions</t>
        </is>
      </c>
    </row>
    <row r="304">
      <c r="B304" s="98" t="inlineStr">
        <is>
          <t>Analysis year for distributional module</t>
        </is>
      </c>
      <c r="C304" s="98" t="inlineStr">
        <is>
          <t>year</t>
        </is>
      </c>
      <c r="D304" s="98" t="n"/>
      <c r="E304" s="98" t="n"/>
      <c r="F304" s="98" t="n">
        <v>2030</v>
      </c>
      <c r="G304" s="98" t="n">
        <v>2030</v>
      </c>
      <c r="H304" s="98" t="inlineStr">
        <is>
          <t>YearDistn</t>
        </is>
      </c>
      <c r="J304" s="22" t="n">
        <v>2030</v>
      </c>
      <c r="K304" s="22" t="n">
        <v>2030</v>
      </c>
      <c r="L304" s="22" t="n">
        <v>2030</v>
      </c>
      <c r="M304" s="22" t="n">
        <v>2030</v>
      </c>
      <c r="N304" s="22" t="n">
        <v>2030</v>
      </c>
    </row>
    <row r="305">
      <c r="B305" s="98" t="inlineStr">
        <is>
          <t>Targeted transfer type</t>
        </is>
      </c>
      <c r="C305" s="98" t="inlineStr">
        <is>
          <t>switch</t>
        </is>
      </c>
      <c r="D305" s="98" t="n"/>
      <c r="E305" s="98" t="n"/>
      <c r="F305" s="98" t="inlineStr">
        <is>
          <t>Cash</t>
        </is>
      </c>
      <c r="G305" s="98" t="inlineStr">
        <is>
          <t>Cash</t>
        </is>
      </c>
      <c r="H305" s="98" t="inlineStr">
        <is>
          <t>TransferType</t>
        </is>
      </c>
      <c r="J305" s="22" t="inlineStr">
        <is>
          <t>Cash</t>
        </is>
      </c>
      <c r="K305" s="22" t="inlineStr">
        <is>
          <t>Cash</t>
        </is>
      </c>
      <c r="L305" s="22" t="inlineStr">
        <is>
          <t>Cash</t>
        </is>
      </c>
      <c r="M305" s="22" t="inlineStr">
        <is>
          <t>Cash</t>
        </is>
      </c>
      <c r="N305" s="22" t="inlineStr">
        <is>
          <t>Cash</t>
        </is>
      </c>
    </row>
    <row r="306">
      <c r="B306" s="98" t="inlineStr">
        <is>
          <t>Target households below poverty line (2011 PPP$/day)</t>
        </is>
      </c>
      <c r="C306" s="98" t="inlineStr">
        <is>
          <t>number</t>
        </is>
      </c>
      <c r="D306" s="98" t="n"/>
      <c r="E306" s="98" t="n"/>
      <c r="F306" s="98" t="inlineStr">
        <is>
          <t>No</t>
        </is>
      </c>
      <c r="G306" s="98" t="inlineStr">
        <is>
          <t>No</t>
        </is>
      </c>
      <c r="H306" s="98" t="inlineStr">
        <is>
          <t>TargetBelow</t>
        </is>
      </c>
      <c r="J306" s="22" t="inlineStr">
        <is>
          <t>No</t>
        </is>
      </c>
      <c r="K306" s="22" t="inlineStr">
        <is>
          <t>No</t>
        </is>
      </c>
      <c r="L306" s="22" t="inlineStr">
        <is>
          <t>No</t>
        </is>
      </c>
      <c r="M306" s="22" t="inlineStr">
        <is>
          <t>No</t>
        </is>
      </c>
      <c r="N306" s="22" t="inlineStr">
        <is>
          <t>No</t>
        </is>
      </c>
    </row>
    <row r="307">
      <c r="B307" s="98" t="inlineStr">
        <is>
          <t>Public/infrastructure investment type</t>
        </is>
      </c>
      <c r="C307" s="98" t="inlineStr">
        <is>
          <t>switch</t>
        </is>
      </c>
      <c r="D307" s="98" t="n"/>
      <c r="E307" s="98" t="n"/>
      <c r="F307" s="98" t="inlineStr">
        <is>
          <t>All Infr.</t>
        </is>
      </c>
      <c r="G307" s="98" t="inlineStr">
        <is>
          <t>All Infr.</t>
        </is>
      </c>
      <c r="H307" s="98" t="inlineStr">
        <is>
          <t>PublicInfrastructureInvType</t>
        </is>
      </c>
      <c r="J307" s="22" t="inlineStr">
        <is>
          <t>All Infr.</t>
        </is>
      </c>
      <c r="K307" s="22" t="inlineStr">
        <is>
          <t>All Infr.</t>
        </is>
      </c>
      <c r="L307" s="22" t="inlineStr">
        <is>
          <t>All Infr.</t>
        </is>
      </c>
      <c r="M307" s="22" t="inlineStr">
        <is>
          <t>All Infr.</t>
        </is>
      </c>
      <c r="N307" s="22" t="inlineStr">
        <is>
          <t>All Infr.</t>
        </is>
      </c>
    </row>
    <row r="308">
      <c r="B308" s="98" t="inlineStr">
        <is>
          <t>Current spending type</t>
        </is>
      </c>
      <c r="C308" s="98" t="inlineStr">
        <is>
          <t>switch</t>
        </is>
      </c>
      <c r="D308" s="98" t="n"/>
      <c r="E308" s="98" t="n"/>
      <c r="F308" s="98" t="inlineStr">
        <is>
          <t>All Social Protection and Labor</t>
        </is>
      </c>
      <c r="G308" s="98" t="inlineStr">
        <is>
          <t>All Social Protection and Labor</t>
        </is>
      </c>
      <c r="H308" s="98" t="inlineStr">
        <is>
          <t>CurrentSpendingType</t>
        </is>
      </c>
      <c r="J308" s="22" t="inlineStr">
        <is>
          <t>All Social Protection and Labor</t>
        </is>
      </c>
      <c r="K308" s="22" t="inlineStr">
        <is>
          <t>All Social Protection and Labor</t>
        </is>
      </c>
      <c r="L308" s="22" t="inlineStr">
        <is>
          <t>All Social Protection and Labor</t>
        </is>
      </c>
      <c r="M308" s="22" t="inlineStr">
        <is>
          <t>All Social Protection and Labor</t>
        </is>
      </c>
      <c r="N308" s="22" t="inlineStr">
        <is>
          <t>All Social Protection and Labor</t>
        </is>
      </c>
    </row>
    <row r="309">
      <c r="B309" s="98" t="inlineStr">
        <is>
          <t>Personal Income Tax (PIT) reduction type</t>
        </is>
      </c>
      <c r="C309" s="98" t="inlineStr">
        <is>
          <t>switch</t>
        </is>
      </c>
      <c r="D309" s="98" t="n"/>
      <c r="E309" s="98" t="n"/>
      <c r="F309" s="98" t="inlineStr">
        <is>
          <t>Personal Allowance</t>
        </is>
      </c>
      <c r="G309" s="98" t="inlineStr">
        <is>
          <t>Personal Allowance</t>
        </is>
      </c>
      <c r="H309" s="98" t="inlineStr">
        <is>
          <t>PITReductionType</t>
        </is>
      </c>
      <c r="J309" s="22" t="inlineStr">
        <is>
          <t>Personal Allowance</t>
        </is>
      </c>
      <c r="K309" s="22" t="inlineStr">
        <is>
          <t>Personal Allowance</t>
        </is>
      </c>
      <c r="L309" s="22" t="inlineStr">
        <is>
          <t>Personal Allowance</t>
        </is>
      </c>
      <c r="M309" s="22" t="inlineStr">
        <is>
          <t>Personal Allowance</t>
        </is>
      </c>
      <c r="N309" s="22" t="inlineStr">
        <is>
          <t>Personal Allowance</t>
        </is>
      </c>
    </row>
    <row r="310">
      <c r="B310" s="98" t="inlineStr">
        <is>
          <t>"Targeted Exemption" for bottom XX deciles</t>
        </is>
      </c>
      <c r="C310" s="98" t="inlineStr">
        <is>
          <t>number</t>
        </is>
      </c>
      <c r="D310" s="98" t="n"/>
      <c r="E310" s="98" t="n"/>
      <c r="F310" s="98" t="n">
        <v>4</v>
      </c>
      <c r="G310" s="98" t="n">
        <v>4</v>
      </c>
      <c r="H310" s="98" t="inlineStr">
        <is>
          <t>DistExcCfDec</t>
        </is>
      </c>
      <c r="J310" s="22" t="n">
        <v>4</v>
      </c>
      <c r="K310" s="22" t="n">
        <v>4</v>
      </c>
      <c r="L310" s="22" t="n">
        <v>4</v>
      </c>
      <c r="M310" s="22" t="n">
        <v>4</v>
      </c>
      <c r="N310" s="22" t="n">
        <v>4</v>
      </c>
    </row>
    <row r="311">
      <c r="B311" s="98" t="inlineStr">
        <is>
          <t>Replace missing labor tax data, grouping by country</t>
        </is>
      </c>
      <c r="C311" s="98" t="inlineStr">
        <is>
          <t>switch</t>
        </is>
      </c>
      <c r="D311" s="98" t="n"/>
      <c r="E311" s="98" t="n"/>
      <c r="F311" s="98" t="inlineStr">
        <is>
          <t>income</t>
        </is>
      </c>
      <c r="G311" s="98" t="inlineStr">
        <is>
          <t>income</t>
        </is>
      </c>
      <c r="H311" s="98" t="inlineStr">
        <is>
          <t>MissingDataReplacement</t>
        </is>
      </c>
      <c r="J311" s="22" t="inlineStr">
        <is>
          <t>income</t>
        </is>
      </c>
      <c r="K311" s="22" t="inlineStr">
        <is>
          <t>income</t>
        </is>
      </c>
      <c r="L311" s="22" t="inlineStr">
        <is>
          <t>income</t>
        </is>
      </c>
      <c r="M311" s="22" t="inlineStr">
        <is>
          <t>income</t>
        </is>
      </c>
      <c r="N311" s="22" t="inlineStr">
        <is>
          <t>income</t>
        </is>
      </c>
    </row>
    <row r="312">
      <c r="B312" s="98" t="inlineStr">
        <is>
          <t>Exempt most-used cooking fossil fuel?</t>
        </is>
      </c>
      <c r="C312" s="98" t="inlineStr">
        <is>
          <t>switch</t>
        </is>
      </c>
      <c r="D312" s="98" t="n"/>
      <c r="E312" s="98" t="n"/>
      <c r="F312" s="98" t="inlineStr">
        <is>
          <t>No</t>
        </is>
      </c>
      <c r="G312" s="98" t="inlineStr">
        <is>
          <t>No</t>
        </is>
      </c>
      <c r="H312" s="98" t="inlineStr">
        <is>
          <t>ExemptMostCook</t>
        </is>
      </c>
      <c r="J312" s="22" t="inlineStr">
        <is>
          <t>No</t>
        </is>
      </c>
      <c r="K312" s="22" t="inlineStr">
        <is>
          <t>No</t>
        </is>
      </c>
      <c r="L312" s="22" t="inlineStr">
        <is>
          <t>No</t>
        </is>
      </c>
      <c r="M312" s="22" t="inlineStr">
        <is>
          <t>No</t>
        </is>
      </c>
      <c r="N312" s="22" t="inlineStr">
        <is>
          <t>No</t>
        </is>
      </c>
    </row>
    <row r="313">
      <c r="B313" s="98" t="inlineStr">
        <is>
          <t>Exempt cooking fossil fuel for bottom XX deciles:</t>
        </is>
      </c>
      <c r="C313" s="98" t="inlineStr">
        <is>
          <t>switch</t>
        </is>
      </c>
      <c r="D313" s="98" t="n"/>
      <c r="E313" s="98" t="n"/>
      <c r="F313" s="98" t="n">
        <v>4</v>
      </c>
      <c r="G313" s="98" t="n">
        <v>4</v>
      </c>
      <c r="H313" s="98" t="inlineStr">
        <is>
          <t>ExemptCookDeciles</t>
        </is>
      </c>
      <c r="J313" s="22" t="n">
        <v>4</v>
      </c>
      <c r="K313" s="22" t="n">
        <v>4</v>
      </c>
      <c r="L313" s="22" t="n">
        <v>4</v>
      </c>
      <c r="M313" s="22" t="n">
        <v>4</v>
      </c>
      <c r="N313" s="22" t="n">
        <v>4</v>
      </c>
    </row>
    <row r="314">
      <c r="B314" s="98" t="inlineStr">
        <is>
          <t>Adjust for behavioral &amp; structural change?</t>
        </is>
      </c>
      <c r="C314" s="98" t="inlineStr">
        <is>
          <t>switch</t>
        </is>
      </c>
      <c r="D314" s="98" t="n"/>
      <c r="E314" s="98" t="n"/>
      <c r="F314" s="98" t="inlineStr">
        <is>
          <t>No</t>
        </is>
      </c>
      <c r="G314" s="98" t="inlineStr">
        <is>
          <t>No</t>
        </is>
      </c>
      <c r="H314" s="98" t="inlineStr">
        <is>
          <t>InferredDist</t>
        </is>
      </c>
      <c r="J314" s="22" t="inlineStr">
        <is>
          <t>No</t>
        </is>
      </c>
      <c r="K314" s="22" t="inlineStr">
        <is>
          <t>No</t>
        </is>
      </c>
      <c r="L314" s="22" t="inlineStr">
        <is>
          <t>No</t>
        </is>
      </c>
      <c r="M314" s="22" t="inlineStr">
        <is>
          <t>No</t>
        </is>
      </c>
      <c r="N314" s="22" t="inlineStr">
        <is>
          <t>No</t>
        </is>
      </c>
    </row>
    <row r="315">
      <c r="B315" s="98" t="inlineStr">
        <is>
          <t>Include decile-specific price elasticities?</t>
        </is>
      </c>
      <c r="C315" s="98" t="inlineStr">
        <is>
          <t>switch</t>
        </is>
      </c>
      <c r="D315" s="98" t="n"/>
      <c r="E315" s="98" t="n"/>
      <c r="F315" s="98" t="inlineStr">
        <is>
          <t>Yes</t>
        </is>
      </c>
      <c r="G315" s="98" t="inlineStr">
        <is>
          <t>Yes</t>
        </is>
      </c>
      <c r="H315" s="98" t="inlineStr">
        <is>
          <t>PEDs</t>
        </is>
      </c>
      <c r="J315" s="22" t="inlineStr">
        <is>
          <t>Yes</t>
        </is>
      </c>
      <c r="K315" s="22" t="inlineStr">
        <is>
          <t>Yes</t>
        </is>
      </c>
      <c r="L315" s="22" t="inlineStr">
        <is>
          <t>Yes</t>
        </is>
      </c>
      <c r="M315" s="22" t="inlineStr">
        <is>
          <t>Yes</t>
        </is>
      </c>
      <c r="N315" s="22" t="inlineStr">
        <is>
          <t>Yes</t>
        </is>
      </c>
    </row>
    <row r="316">
      <c r="B316" s="98" t="inlineStr">
        <is>
          <t>Adjust GTAP-implied CP revenues to CPAT?</t>
        </is>
      </c>
      <c r="C316" s="98" t="inlineStr">
        <is>
          <t>switch</t>
        </is>
      </c>
      <c r="D316" s="98" t="n"/>
      <c r="E316" s="98" t="n"/>
      <c r="F316" s="98" t="inlineStr">
        <is>
          <t>Yes</t>
        </is>
      </c>
      <c r="G316" s="98" t="inlineStr">
        <is>
          <t>Yes</t>
        </is>
      </c>
      <c r="H316" s="98" t="inlineStr">
        <is>
          <t>ScaleGTAP</t>
        </is>
      </c>
      <c r="J316" s="22" t="inlineStr">
        <is>
          <t>Yes</t>
        </is>
      </c>
      <c r="K316" s="22" t="inlineStr">
        <is>
          <t>Yes</t>
        </is>
      </c>
      <c r="L316" s="22" t="inlineStr">
        <is>
          <t>Yes</t>
        </is>
      </c>
      <c r="M316" s="22" t="inlineStr">
        <is>
          <t>Yes</t>
        </is>
      </c>
      <c r="N316" s="22" t="inlineStr">
        <is>
          <t>Yes</t>
        </is>
      </c>
    </row>
    <row r="317">
      <c r="B317" s="98" t="inlineStr">
        <is>
          <t>Adjust for deadweight losses?</t>
        </is>
      </c>
      <c r="C317" s="98" t="inlineStr">
        <is>
          <t>switch</t>
        </is>
      </c>
      <c r="D317" s="98" t="n"/>
      <c r="E317" s="98" t="n"/>
      <c r="F317" s="98" t="inlineStr">
        <is>
          <t>No</t>
        </is>
      </c>
      <c r="G317" s="98" t="inlineStr">
        <is>
          <t>No</t>
        </is>
      </c>
      <c r="H317" s="98" t="inlineStr">
        <is>
          <t>DWLs</t>
        </is>
      </c>
      <c r="J317" s="22" t="inlineStr">
        <is>
          <t>No</t>
        </is>
      </c>
      <c r="K317" s="22" t="inlineStr">
        <is>
          <t>No</t>
        </is>
      </c>
      <c r="L317" s="22" t="inlineStr">
        <is>
          <t>No</t>
        </is>
      </c>
      <c r="M317" s="22" t="inlineStr">
        <is>
          <t>No</t>
        </is>
      </c>
      <c r="N317" s="22" t="inlineStr">
        <is>
          <t>No</t>
        </is>
      </c>
    </row>
    <row r="318">
      <c r="B318" s="98" t="inlineStr">
        <is>
          <t>Imperfect pass-through?</t>
        </is>
      </c>
      <c r="C318" s="98" t="inlineStr">
        <is>
          <t>switch</t>
        </is>
      </c>
      <c r="D318" s="98" t="n"/>
      <c r="E318" s="98" t="n"/>
      <c r="F318" s="98" t="inlineStr">
        <is>
          <t>No</t>
        </is>
      </c>
      <c r="G318" s="98" t="inlineStr">
        <is>
          <t>No</t>
        </is>
      </c>
      <c r="H318" s="98" t="inlineStr">
        <is>
          <t>PassthroughDist</t>
        </is>
      </c>
      <c r="J318" s="22" t="inlineStr">
        <is>
          <t>No</t>
        </is>
      </c>
      <c r="K318" s="22" t="inlineStr">
        <is>
          <t>No</t>
        </is>
      </c>
      <c r="L318" s="22" t="inlineStr">
        <is>
          <t>No</t>
        </is>
      </c>
      <c r="M318" s="22" t="inlineStr">
        <is>
          <t>No</t>
        </is>
      </c>
      <c r="N318" s="22" t="inlineStr">
        <is>
          <t>No</t>
        </is>
      </c>
    </row>
    <row r="319">
      <c r="B319" s="98" t="inlineStr">
        <is>
          <t>Impacts for average, median, p25, or p75?</t>
        </is>
      </c>
      <c r="C319" s="98" t="inlineStr">
        <is>
          <t>switch</t>
        </is>
      </c>
      <c r="D319" s="98" t="n"/>
      <c r="E319" s="98" t="n"/>
      <c r="F319" s="98" t="inlineStr">
        <is>
          <t>mean</t>
        </is>
      </c>
      <c r="G319" s="98" t="inlineStr">
        <is>
          <t>mean</t>
        </is>
      </c>
      <c r="H319" s="98" t="inlineStr">
        <is>
          <t>QuantilesStatistic</t>
        </is>
      </c>
      <c r="J319" s="22" t="inlineStr">
        <is>
          <t>mean</t>
        </is>
      </c>
      <c r="K319" s="22" t="inlineStr">
        <is>
          <t>mean</t>
        </is>
      </c>
      <c r="L319" s="22" t="inlineStr">
        <is>
          <t>mean</t>
        </is>
      </c>
      <c r="M319" s="22" t="inlineStr">
        <is>
          <t>mean</t>
        </is>
      </c>
      <c r="N319" s="22" t="inlineStr">
        <is>
          <t>mean</t>
        </is>
      </c>
    </row>
    <row r="320">
      <c r="B320" s="98" t="inlineStr">
        <is>
          <t>Quantiles in LCU?</t>
        </is>
      </c>
      <c r="C320" s="98" t="inlineStr">
        <is>
          <t>switch</t>
        </is>
      </c>
      <c r="D320" s="98" t="n"/>
      <c r="E320" s="98" t="n"/>
      <c r="F320" s="98" t="inlineStr">
        <is>
          <t>No</t>
        </is>
      </c>
      <c r="G320" s="98" t="inlineStr">
        <is>
          <t>No</t>
        </is>
      </c>
      <c r="H320" s="98" t="inlineStr">
        <is>
          <t>QuantilesLCU</t>
        </is>
      </c>
      <c r="J320" s="22" t="inlineStr">
        <is>
          <t>No</t>
        </is>
      </c>
      <c r="K320" s="22" t="inlineStr">
        <is>
          <t>No</t>
        </is>
      </c>
      <c r="L320" s="22" t="inlineStr">
        <is>
          <t>No</t>
        </is>
      </c>
      <c r="M320" s="22" t="inlineStr">
        <is>
          <t>No</t>
        </is>
      </c>
      <c r="N320" s="22" t="inlineStr">
        <is>
          <t>No</t>
        </is>
      </c>
    </row>
    <row r="321">
      <c r="B321" s="96" t="inlineStr">
        <is>
          <t>Air pollution module assumptions</t>
        </is>
      </c>
    </row>
    <row r="322">
      <c r="A322" t="inlineStr">
        <is>
          <t>X</t>
        </is>
      </c>
      <c r="B322" s="98" t="inlineStr">
        <is>
          <t>Emissions to concentrations, PM2.5</t>
        </is>
      </c>
      <c r="C322" s="98" t="inlineStr">
        <is>
          <t>switch</t>
        </is>
      </c>
      <c r="D322" s="98" t="n"/>
      <c r="E322" s="98" t="n"/>
      <c r="F322" s="98" t="inlineStr">
        <is>
          <t>Local study-FASST</t>
        </is>
      </c>
      <c r="G322" s="98" t="inlineStr">
        <is>
          <t>Avg. iF and LS FASST*</t>
        </is>
      </c>
      <c r="H322" s="98" t="inlineStr">
        <is>
          <t>SourceAppSel</t>
        </is>
      </c>
      <c r="J322" s="22" t="inlineStr">
        <is>
          <t>Local study-FASST</t>
        </is>
      </c>
      <c r="K322" s="22" t="inlineStr">
        <is>
          <t>Local study-FASST</t>
        </is>
      </c>
      <c r="L322" s="22" t="inlineStr">
        <is>
          <t>Local study-FASST</t>
        </is>
      </c>
      <c r="M322" s="22" t="inlineStr">
        <is>
          <t>Local study-FASST</t>
        </is>
      </c>
      <c r="N322" s="22" t="inlineStr">
        <is>
          <t>Local study-FASST</t>
        </is>
      </c>
    </row>
    <row r="323">
      <c r="B323" s="98" t="inlineStr">
        <is>
          <t>Emissions to concentrations, Ozone</t>
        </is>
      </c>
      <c r="C323" s="98" t="inlineStr">
        <is>
          <t>switch</t>
        </is>
      </c>
      <c r="D323" s="98" t="n"/>
      <c r="E323" s="98" t="n"/>
      <c r="F323" s="98" t="inlineStr">
        <is>
          <t>TM5-FASST</t>
        </is>
      </c>
      <c r="G323" s="98" t="inlineStr">
        <is>
          <t>TM5-FASST</t>
        </is>
      </c>
      <c r="H323" s="98" t="inlineStr">
        <is>
          <t>SourceAppO3</t>
        </is>
      </c>
      <c r="J323" s="22" t="inlineStr">
        <is>
          <t>TM5-FASST</t>
        </is>
      </c>
      <c r="K323" s="22" t="inlineStr">
        <is>
          <t>TM5-FASST</t>
        </is>
      </c>
      <c r="L323" s="22" t="inlineStr">
        <is>
          <t>TM5-FASST</t>
        </is>
      </c>
      <c r="M323" s="22" t="inlineStr">
        <is>
          <t>TM5-FASST</t>
        </is>
      </c>
      <c r="N323" s="22" t="inlineStr">
        <is>
          <t>TM5-FASST</t>
        </is>
      </c>
    </row>
    <row r="324">
      <c r="B324" s="98" t="inlineStr">
        <is>
          <t>Emission factors</t>
        </is>
      </c>
      <c r="C324" s="98" t="inlineStr">
        <is>
          <t>switch</t>
        </is>
      </c>
      <c r="D324" s="98" t="n"/>
      <c r="E324" s="98" t="n"/>
      <c r="F324" s="98" t="inlineStr">
        <is>
          <t>Average</t>
        </is>
      </c>
      <c r="G324" s="98" t="inlineStr">
        <is>
          <t>Average</t>
        </is>
      </c>
      <c r="H324" s="98" t="inlineStr">
        <is>
          <t>EFSel</t>
        </is>
      </c>
      <c r="J324" s="22" t="inlineStr">
        <is>
          <t>Average</t>
        </is>
      </c>
      <c r="K324" s="22" t="inlineStr">
        <is>
          <t>Average</t>
        </is>
      </c>
      <c r="L324" s="22" t="inlineStr">
        <is>
          <t>Average</t>
        </is>
      </c>
      <c r="M324" s="22" t="inlineStr">
        <is>
          <t>Average</t>
        </is>
      </c>
      <c r="N324" s="22" t="inlineStr">
        <is>
          <t>Average</t>
        </is>
      </c>
    </row>
    <row r="325">
      <c r="B325" s="98" t="inlineStr">
        <is>
          <t>Include leakage to biomass in residential sector</t>
        </is>
      </c>
      <c r="C325" s="98" t="inlineStr">
        <is>
          <t>switch</t>
        </is>
      </c>
      <c r="D325" s="98" t="n"/>
      <c r="E325" s="98" t="n"/>
      <c r="F325" s="98" t="inlineStr">
        <is>
          <t>No</t>
        </is>
      </c>
      <c r="G325" s="98" t="inlineStr">
        <is>
          <t>No</t>
        </is>
      </c>
      <c r="H325" s="98" t="inlineStr">
        <is>
          <t>BiomassLeakage</t>
        </is>
      </c>
      <c r="J325" s="22" t="inlineStr">
        <is>
          <t>No</t>
        </is>
      </c>
      <c r="K325" s="22" t="inlineStr">
        <is>
          <t>No</t>
        </is>
      </c>
      <c r="L325" s="22" t="inlineStr">
        <is>
          <t>No</t>
        </is>
      </c>
      <c r="M325" s="22" t="inlineStr">
        <is>
          <t>No</t>
        </is>
      </c>
      <c r="N325" s="22" t="inlineStr">
        <is>
          <t>No</t>
        </is>
      </c>
    </row>
    <row r="326">
      <c r="B326" s="98" t="inlineStr">
        <is>
          <t>Biomass is a normal good</t>
        </is>
      </c>
      <c r="C326" s="98" t="inlineStr">
        <is>
          <t>switch</t>
        </is>
      </c>
      <c r="D326" s="98" t="n"/>
      <c r="E326" s="98" t="n"/>
      <c r="F326" s="98" t="inlineStr">
        <is>
          <t>No</t>
        </is>
      </c>
      <c r="G326" s="98" t="inlineStr">
        <is>
          <t>No</t>
        </is>
      </c>
      <c r="H326" s="98" t="inlineStr">
        <is>
          <t>BiomassNormal</t>
        </is>
      </c>
      <c r="J326" s="22" t="inlineStr">
        <is>
          <t>No</t>
        </is>
      </c>
      <c r="K326" s="22" t="inlineStr">
        <is>
          <t>No</t>
        </is>
      </c>
      <c r="L326" s="22" t="inlineStr">
        <is>
          <t>No</t>
        </is>
      </c>
      <c r="M326" s="22" t="inlineStr">
        <is>
          <t>No</t>
        </is>
      </c>
      <c r="N326" s="22" t="inlineStr">
        <is>
          <t>No</t>
        </is>
      </c>
    </row>
    <row r="327">
      <c r="A327" t="inlineStr">
        <is>
          <t>X</t>
        </is>
      </c>
      <c r="B327" s="98" t="inlineStr">
        <is>
          <t>VSL source</t>
        </is>
      </c>
      <c r="C327" s="98" t="inlineStr">
        <is>
          <t>switch</t>
        </is>
      </c>
      <c r="D327" s="98" t="n"/>
      <c r="E327" s="98" t="n"/>
      <c r="F327" s="98" t="inlineStr">
        <is>
          <t>Transfer from Group</t>
        </is>
      </c>
      <c r="G327" s="98" t="inlineStr">
        <is>
          <t>Transfer from OECD</t>
        </is>
      </c>
      <c r="H327" s="98" t="inlineStr">
        <is>
          <t>VSLMethod</t>
        </is>
      </c>
      <c r="J327" s="22" t="inlineStr">
        <is>
          <t>Transfer from Group</t>
        </is>
      </c>
      <c r="K327" s="22" t="inlineStr">
        <is>
          <t>Transfer from Group</t>
        </is>
      </c>
      <c r="L327" s="22" t="inlineStr">
        <is>
          <t>Transfer from Group</t>
        </is>
      </c>
      <c r="M327" s="22" t="inlineStr">
        <is>
          <t>Transfer from Group</t>
        </is>
      </c>
      <c r="N327" s="22" t="inlineStr">
        <is>
          <t>Transfer from Group</t>
        </is>
      </c>
    </row>
    <row r="328">
      <c r="B328" s="98" t="inlineStr">
        <is>
          <t>VSL (where manual source)</t>
        </is>
      </c>
      <c r="C328" s="98" t="inlineStr">
        <is>
          <t>switch</t>
        </is>
      </c>
      <c r="D328" s="98" t="n"/>
      <c r="E328" s="98" t="n"/>
      <c r="F328" s="98" t="n">
        <v>500000</v>
      </c>
      <c r="G328" s="98" t="n">
        <v>500000</v>
      </c>
      <c r="H328" s="98" t="inlineStr">
        <is>
          <t>VSLManual</t>
        </is>
      </c>
      <c r="J328" s="22" t="n">
        <v>500000</v>
      </c>
      <c r="K328" s="22" t="n">
        <v>500000</v>
      </c>
      <c r="L328" s="22" t="n">
        <v>500000</v>
      </c>
      <c r="M328" s="22" t="n">
        <v>500000</v>
      </c>
      <c r="N328" s="22" t="n">
        <v>500000</v>
      </c>
    </row>
    <row r="329">
      <c r="B329" s="98" t="inlineStr">
        <is>
          <t>VSL elasticity source</t>
        </is>
      </c>
      <c r="C329" s="98" t="inlineStr">
        <is>
          <t>switch</t>
        </is>
      </c>
      <c r="D329" s="98" t="n"/>
      <c r="E329" s="98" t="n"/>
      <c r="F329" s="98" t="inlineStr">
        <is>
          <t>0x17</t>
        </is>
      </c>
      <c r="G329" s="98" t="inlineStr">
        <is>
          <t>Income group</t>
        </is>
      </c>
      <c r="H329" s="98" t="inlineStr">
        <is>
          <t>VslElSource</t>
        </is>
      </c>
      <c r="J329" s="22" t="inlineStr">
        <is>
          <t>0x17</t>
        </is>
      </c>
      <c r="K329" s="22" t="inlineStr">
        <is>
          <t>0x17</t>
        </is>
      </c>
      <c r="L329" s="22" t="inlineStr">
        <is>
          <t>0x17</t>
        </is>
      </c>
      <c r="M329" s="22" t="inlineStr">
        <is>
          <t>0x17</t>
        </is>
      </c>
      <c r="N329" s="22" t="inlineStr">
        <is>
          <t>0x17</t>
        </is>
      </c>
    </row>
    <row r="330">
      <c r="B330" s="98" t="inlineStr">
        <is>
          <t>VSL elasticity (where manual source)</t>
        </is>
      </c>
      <c r="C330" s="98" t="inlineStr">
        <is>
          <t>switch</t>
        </is>
      </c>
      <c r="D330" s="98" t="n"/>
      <c r="E330" s="98" t="n"/>
      <c r="F330" s="98" t="inlineStr">
        <is>
          <t>0x17</t>
        </is>
      </c>
      <c r="G330" s="98" t="n">
        <v>1</v>
      </c>
      <c r="H330" s="98" t="inlineStr">
        <is>
          <t>VslEl</t>
        </is>
      </c>
      <c r="J330" s="22" t="inlineStr">
        <is>
          <t>0x17</t>
        </is>
      </c>
      <c r="K330" s="22" t="inlineStr">
        <is>
          <t>0x17</t>
        </is>
      </c>
      <c r="L330" s="22" t="inlineStr">
        <is>
          <t>0x17</t>
        </is>
      </c>
      <c r="M330" s="22" t="inlineStr">
        <is>
          <t>0x17</t>
        </is>
      </c>
      <c r="N330" s="22" t="inlineStr">
        <is>
          <t>0x17</t>
        </is>
      </c>
    </row>
    <row r="331">
      <c r="B331" s="98" t="inlineStr">
        <is>
          <t>Discount rate selection</t>
        </is>
      </c>
      <c r="C331" s="98" t="inlineStr">
        <is>
          <t>switch</t>
        </is>
      </c>
      <c r="D331" s="98" t="n"/>
      <c r="E331" s="98" t="n"/>
      <c r="F331" s="98" t="inlineStr">
        <is>
          <t>3% (Robinson 2019)</t>
        </is>
      </c>
      <c r="G331" s="98" t="inlineStr">
        <is>
          <t>3% (Robinson 2019)</t>
        </is>
      </c>
      <c r="H331" s="98" t="inlineStr">
        <is>
          <t>DiscSel</t>
        </is>
      </c>
      <c r="J331" s="22" t="inlineStr">
        <is>
          <t>3% (Robinson 2019)</t>
        </is>
      </c>
      <c r="K331" s="22" t="inlineStr">
        <is>
          <t>3% (Robinson 2019)</t>
        </is>
      </c>
      <c r="L331" s="22" t="inlineStr">
        <is>
          <t>3% (Robinson 2019)</t>
        </is>
      </c>
      <c r="M331" s="22" t="inlineStr">
        <is>
          <t>3% (Robinson 2019)</t>
        </is>
      </c>
      <c r="N331" s="22" t="inlineStr">
        <is>
          <t>3% (Robinson 2019)</t>
        </is>
      </c>
    </row>
    <row r="332">
      <c r="B332" s="98" t="inlineStr">
        <is>
          <t>Discount rate (where manual source)</t>
        </is>
      </c>
      <c r="C332" s="98" t="inlineStr">
        <is>
          <t>switch</t>
        </is>
      </c>
      <c r="D332" s="98" t="n"/>
      <c r="E332" s="98" t="n"/>
      <c r="F332" s="98" t="n">
        <v>0.03</v>
      </c>
      <c r="G332" s="98" t="n">
        <v>0.03</v>
      </c>
      <c r="H332" s="98" t="inlineStr">
        <is>
          <t>DiscRate</t>
        </is>
      </c>
      <c r="J332" s="22" t="n">
        <v>0.03</v>
      </c>
      <c r="K332" s="22" t="n">
        <v>0.03</v>
      </c>
      <c r="L332" s="22" t="n">
        <v>0.03</v>
      </c>
      <c r="M332" s="22" t="n">
        <v>0.03</v>
      </c>
      <c r="N332" s="22" t="n">
        <v>0.03</v>
      </c>
    </row>
    <row r="333">
      <c r="B333" s="96" t="inlineStr">
        <is>
          <t>Other assumptions: air pollution module</t>
        </is>
      </c>
    </row>
    <row r="334">
      <c r="B334" s="98" t="inlineStr">
        <is>
          <t>Number of working days per month</t>
        </is>
      </c>
      <c r="C334" s="98" t="inlineStr">
        <is>
          <t>days</t>
        </is>
      </c>
      <c r="D334" s="98" t="n"/>
      <c r="E334" s="98" t="n"/>
      <c r="F334" s="98" t="n">
        <v>20</v>
      </c>
      <c r="G334" s="98" t="n">
        <v>20</v>
      </c>
      <c r="H334" s="98" t="inlineStr">
        <is>
          <t>WorkDays</t>
        </is>
      </c>
      <c r="J334" s="22" t="n">
        <v>20</v>
      </c>
      <c r="K334" s="22" t="n">
        <v>20</v>
      </c>
      <c r="L334" s="22" t="n">
        <v>20</v>
      </c>
      <c r="M334" s="22" t="n">
        <v>20</v>
      </c>
      <c r="N334" s="22" t="n">
        <v>20</v>
      </c>
    </row>
    <row r="335">
      <c r="B335" s="98" t="inlineStr">
        <is>
          <t>Labor share of GDP, default value</t>
        </is>
      </c>
      <c r="C335" s="98" t="inlineStr">
        <is>
          <t>%</t>
        </is>
      </c>
      <c r="D335" s="98" t="n"/>
      <c r="E335" s="98" t="n"/>
      <c r="F335" s="98" t="n">
        <v>0.65</v>
      </c>
      <c r="G335" s="98" t="n">
        <v>0.65</v>
      </c>
      <c r="H335" s="98" t="inlineStr">
        <is>
          <t>ApLabSh</t>
        </is>
      </c>
      <c r="J335" s="22" t="n">
        <v>0.65</v>
      </c>
      <c r="K335" s="22" t="n">
        <v>0.65</v>
      </c>
      <c r="L335" s="22" t="n">
        <v>0.65</v>
      </c>
      <c r="M335" s="22" t="n">
        <v>0.65</v>
      </c>
      <c r="N335" s="22" t="n">
        <v>0.65</v>
      </c>
    </row>
    <row r="336">
      <c r="B336" s="98" t="inlineStr">
        <is>
          <t>Max % of households using solid fuels</t>
        </is>
      </c>
      <c r="C336" s="98" t="inlineStr">
        <is>
          <t>%</t>
        </is>
      </c>
      <c r="D336" s="98" t="n"/>
      <c r="E336" s="98" t="n"/>
      <c r="F336" s="98" t="n">
        <v>0.99</v>
      </c>
      <c r="G336" s="98" t="n">
        <v>0.99</v>
      </c>
      <c r="H336" s="98" t="inlineStr">
        <is>
          <t>ApMaxSs</t>
        </is>
      </c>
      <c r="J336" s="22" t="n">
        <v>0.99</v>
      </c>
      <c r="K336" s="22" t="n">
        <v>0.99</v>
      </c>
      <c r="L336" s="22" t="n">
        <v>0.99</v>
      </c>
      <c r="M336" s="22" t="n">
        <v>0.99</v>
      </c>
      <c r="N336" s="22" t="n">
        <v>0.99</v>
      </c>
    </row>
    <row r="337">
      <c r="B337" s="98" t="inlineStr">
        <is>
          <t>Leakage converted into % HH using solid fuels</t>
        </is>
      </c>
      <c r="C337" s="98" t="inlineStr">
        <is>
          <t>%</t>
        </is>
      </c>
      <c r="D337" s="98" t="n"/>
      <c r="E337" s="98" t="n"/>
      <c r="F337" s="98" t="n">
        <v>0.5</v>
      </c>
      <c r="G337" s="98" t="n">
        <v>0.5</v>
      </c>
      <c r="H337" s="98" t="inlineStr">
        <is>
          <t>ApLeakHh</t>
        </is>
      </c>
      <c r="J337" s="22" t="n">
        <v>0.5</v>
      </c>
      <c r="K337" s="22" t="n">
        <v>0.5</v>
      </c>
      <c r="L337" s="22" t="n">
        <v>0.5</v>
      </c>
      <c r="M337" s="22" t="n">
        <v>0.5</v>
      </c>
      <c r="N337" s="22" t="n">
        <v>0.5</v>
      </c>
    </row>
    <row r="338">
      <c r="B338" s="98" t="inlineStr">
        <is>
          <t>Apply cessation lag when discounting averted deaths</t>
        </is>
      </c>
      <c r="C338" s="98" t="inlineStr">
        <is>
          <t>switch</t>
        </is>
      </c>
      <c r="D338" s="98" t="n"/>
      <c r="E338" s="98" t="n"/>
      <c r="F338" s="98" t="inlineStr">
        <is>
          <t>Yes</t>
        </is>
      </c>
      <c r="G338" s="98" t="inlineStr">
        <is>
          <t>Yes</t>
        </is>
      </c>
      <c r="H338" s="98" t="inlineStr">
        <is>
          <t>ApCessLag</t>
        </is>
      </c>
      <c r="J338" s="22" t="inlineStr">
        <is>
          <t>Yes</t>
        </is>
      </c>
      <c r="K338" s="22" t="inlineStr">
        <is>
          <t>Yes</t>
        </is>
      </c>
      <c r="L338" s="22" t="inlineStr">
        <is>
          <t>Yes</t>
        </is>
      </c>
      <c r="M338" s="22" t="inlineStr">
        <is>
          <t>Yes</t>
        </is>
      </c>
      <c r="N338" s="22" t="inlineStr">
        <is>
          <t>Yes</t>
        </is>
      </c>
    </row>
    <row r="339">
      <c r="B339" s="96" t="inlineStr">
        <is>
          <t>Transportation</t>
        </is>
      </c>
    </row>
    <row r="340">
      <c r="B340" s="98" t="inlineStr">
        <is>
          <t>Engineering or elasticity model</t>
        </is>
      </c>
      <c r="C340" s="98" t="inlineStr">
        <is>
          <t>option</t>
        </is>
      </c>
      <c r="D340" s="98" t="n"/>
      <c r="E340" s="98" t="n"/>
      <c r="F340" s="98" t="inlineStr">
        <is>
          <t>Elasticity</t>
        </is>
      </c>
      <c r="G340" s="98" t="inlineStr">
        <is>
          <t>Engineer</t>
        </is>
      </c>
      <c r="H340" s="98" t="inlineStr">
        <is>
          <t>TrModel</t>
        </is>
      </c>
      <c r="J340" s="22" t="inlineStr">
        <is>
          <t>Elasticity</t>
        </is>
      </c>
      <c r="K340" s="22" t="inlineStr">
        <is>
          <t>Elasticity</t>
        </is>
      </c>
      <c r="L340" s="22" t="inlineStr">
        <is>
          <t>Elasticity</t>
        </is>
      </c>
      <c r="M340" s="22" t="inlineStr">
        <is>
          <t>Elasticity</t>
        </is>
      </c>
      <c r="N340" s="22" t="inlineStr">
        <is>
          <t>Elasticity</t>
        </is>
      </c>
    </row>
    <row r="341">
      <c r="B341" s="96" t="inlineStr">
        <is>
          <t>Power Sector</t>
        </is>
      </c>
    </row>
    <row r="342">
      <c r="B342" s="98" t="inlineStr">
        <is>
          <t>Power Rebate</t>
        </is>
      </c>
      <c r="C342" s="98" t="inlineStr">
        <is>
          <t>switch</t>
        </is>
      </c>
      <c r="D342" s="98" t="n"/>
      <c r="E342" s="98" t="n"/>
      <c r="F342" s="98" t="inlineStr">
        <is>
          <t>No*</t>
        </is>
      </c>
      <c r="G342" s="98" t="inlineStr">
        <is>
          <t>No*</t>
        </is>
      </c>
      <c r="H342" s="98" t="inlineStr">
        <is>
          <t>PowerRebates</t>
        </is>
      </c>
      <c r="J342" s="22" t="inlineStr">
        <is>
          <t>No*</t>
        </is>
      </c>
      <c r="K342" s="22" t="inlineStr">
        <is>
          <t>No*</t>
        </is>
      </c>
      <c r="L342" s="22" t="inlineStr">
        <is>
          <t>No*</t>
        </is>
      </c>
      <c r="M342" s="22" t="inlineStr">
        <is>
          <t>No*</t>
        </is>
      </c>
      <c r="N342" s="22" t="inlineStr">
        <is>
          <t>No*</t>
        </is>
      </c>
    </row>
    <row r="343">
      <c r="B343" s="98" t="inlineStr">
        <is>
          <t>Power price: portion of cost change passed-on:</t>
        </is>
      </c>
      <c r="C343" s="98" t="n"/>
      <c r="D343" s="98" t="n"/>
      <c r="E343" s="98" t="n"/>
      <c r="F343" s="98" t="n">
        <v>1</v>
      </c>
      <c r="G343" s="98" t="n">
        <v>1</v>
      </c>
      <c r="H343" s="98" t="inlineStr">
        <is>
          <t>PowerSectorPriceChangePassOn</t>
        </is>
      </c>
      <c r="J343" s="22" t="n">
        <v>1</v>
      </c>
      <c r="K343" s="22" t="n">
        <v>1</v>
      </c>
      <c r="L343" s="22" t="n">
        <v>1</v>
      </c>
      <c r="M343" s="22" t="n">
        <v>1</v>
      </c>
      <c r="N343" s="22" t="n">
        <v>1</v>
      </c>
    </row>
    <row r="344">
      <c r="B344" s="98" t="inlineStr">
        <is>
          <t>Year of interest for power sector costs</t>
        </is>
      </c>
      <c r="C344" s="98" t="inlineStr">
        <is>
          <t>year</t>
        </is>
      </c>
      <c r="D344" s="98" t="n"/>
      <c r="E344" s="98" t="n"/>
      <c r="F344" s="98" t="n">
        <v>2030</v>
      </c>
      <c r="G344" s="98" t="n">
        <v>2030</v>
      </c>
      <c r="H344" s="98" t="inlineStr">
        <is>
          <t>CostBreakdownYear</t>
        </is>
      </c>
      <c r="J344" s="22" t="n">
        <v>2030</v>
      </c>
      <c r="K344" s="22" t="n">
        <v>2030</v>
      </c>
      <c r="L344" s="22" t="n">
        <v>2030</v>
      </c>
      <c r="M344" s="22" t="n">
        <v>2030</v>
      </c>
      <c r="N344" s="22" t="n">
        <v>2030</v>
      </c>
    </row>
    <row r="345">
      <c r="B345" s="98" t="inlineStr">
        <is>
          <t>Estimate economy-wide or sectoral power demand?</t>
        </is>
      </c>
      <c r="C345" s="98" t="inlineStr">
        <is>
          <t>switch</t>
        </is>
      </c>
      <c r="D345" s="98" t="n"/>
      <c r="E345" s="98" t="n"/>
      <c r="F345" s="98" t="inlineStr">
        <is>
          <t>Economy-wide</t>
        </is>
      </c>
      <c r="G345" s="98" t="inlineStr">
        <is>
          <t>Economy-wide</t>
        </is>
      </c>
      <c r="H345" s="98" t="inlineStr">
        <is>
          <t xml:space="preserve">ElasticityModel </t>
        </is>
      </c>
      <c r="J345" s="22" t="inlineStr">
        <is>
          <t>Economy-wide</t>
        </is>
      </c>
      <c r="K345" s="22" t="inlineStr">
        <is>
          <t>Economy-wide</t>
        </is>
      </c>
      <c r="L345" s="22" t="inlineStr">
        <is>
          <t>Economy-wide</t>
        </is>
      </c>
      <c r="M345" s="22" t="inlineStr">
        <is>
          <t>Economy-wide</t>
        </is>
      </c>
      <c r="N345" s="22" t="inlineStr">
        <is>
          <t>Economy-wide</t>
        </is>
      </c>
    </row>
    <row r="346">
      <c r="B346" s="98" t="inlineStr">
        <is>
          <t>k Parameter dispatch</t>
        </is>
      </c>
      <c r="C346" s="98" t="inlineStr">
        <is>
          <t>coefficient</t>
        </is>
      </c>
      <c r="D346" s="98" t="n"/>
      <c r="E346" s="98" t="n"/>
      <c r="F346" s="98" t="n">
        <v>2</v>
      </c>
      <c r="G346" s="98" t="n">
        <v>2</v>
      </c>
      <c r="H346" s="98" t="inlineStr">
        <is>
          <t>kDispatch</t>
        </is>
      </c>
      <c r="J346" s="22" t="n">
        <v>2</v>
      </c>
      <c r="K346" s="22" t="n">
        <v>2</v>
      </c>
      <c r="L346" s="22" t="n">
        <v>2</v>
      </c>
      <c r="M346" s="22" t="n">
        <v>2</v>
      </c>
      <c r="N346" s="22" t="n">
        <v>2</v>
      </c>
    </row>
    <row r="347">
      <c r="B347" s="98" t="inlineStr">
        <is>
          <t>k Parameter investment</t>
        </is>
      </c>
      <c r="C347" s="98" t="inlineStr">
        <is>
          <t>coefficient</t>
        </is>
      </c>
      <c r="D347" s="98" t="n"/>
      <c r="E347" s="98" t="n"/>
      <c r="F347" s="98" t="n">
        <v>2</v>
      </c>
      <c r="G347" s="98" t="n">
        <v>2</v>
      </c>
      <c r="H347" s="98" t="inlineStr">
        <is>
          <t>kInvestment</t>
        </is>
      </c>
      <c r="J347" s="22" t="n">
        <v>2</v>
      </c>
      <c r="K347" s="22" t="n">
        <v>2</v>
      </c>
      <c r="L347" s="22" t="n">
        <v>2</v>
      </c>
      <c r="M347" s="22" t="n">
        <v>2</v>
      </c>
      <c r="N347" s="22" t="n">
        <v>2</v>
      </c>
    </row>
    <row r="348">
      <c r="B348" s="98" t="inlineStr">
        <is>
          <t>Minimum WACC</t>
        </is>
      </c>
      <c r="C348" s="98" t="n"/>
      <c r="D348" s="98" t="n"/>
      <c r="E348" s="98" t="n"/>
      <c r="F348" s="98" t="n">
        <v>0.01</v>
      </c>
      <c r="G348" s="98" t="n">
        <v>0.01</v>
      </c>
      <c r="H348" s="98" t="inlineStr">
        <is>
          <t>MinimumWACC</t>
        </is>
      </c>
      <c r="J348" s="22" t="n">
        <v>0.01</v>
      </c>
      <c r="K348" s="22" t="n">
        <v>0.01</v>
      </c>
      <c r="L348" s="22" t="n">
        <v>0.01</v>
      </c>
      <c r="M348" s="22" t="n">
        <v>0.01</v>
      </c>
      <c r="N348" s="22" t="n">
        <v>0.01</v>
      </c>
    </row>
    <row r="349">
      <c r="B349" s="98" t="inlineStr">
        <is>
          <t>Use old or new generation costs in elasticity model?</t>
        </is>
      </c>
      <c r="C349" s="98" t="inlineStr">
        <is>
          <t>switch</t>
        </is>
      </c>
      <c r="D349" s="98" t="n"/>
      <c r="E349" s="98" t="n"/>
      <c r="F349" s="98" t="inlineStr">
        <is>
          <t>New*</t>
        </is>
      </c>
      <c r="G349" s="98" t="inlineStr">
        <is>
          <t>New*</t>
        </is>
      </c>
      <c r="H349" s="98" t="inlineStr">
        <is>
          <t>PowGenCostsOldNew</t>
        </is>
      </c>
      <c r="J349" s="22" t="inlineStr">
        <is>
          <t>New*</t>
        </is>
      </c>
      <c r="K349" s="22" t="inlineStr">
        <is>
          <t>New*</t>
        </is>
      </c>
      <c r="L349" s="22" t="inlineStr">
        <is>
          <t>New*</t>
        </is>
      </c>
      <c r="M349" s="22" t="inlineStr">
        <is>
          <t>New*</t>
        </is>
      </c>
      <c r="N349" s="22" t="inlineStr">
        <is>
          <t>New*</t>
        </is>
      </c>
    </row>
    <row r="350">
      <c r="B350" s="98" t="inlineStr">
        <is>
          <t>Hydro retirement rate set to zero</t>
        </is>
      </c>
      <c r="C350" s="98" t="n"/>
      <c r="D350" s="98" t="n"/>
      <c r="E350" s="98" t="n"/>
      <c r="F350" s="98" t="inlineStr">
        <is>
          <t>Yes</t>
        </is>
      </c>
      <c r="G350" s="98" t="inlineStr">
        <is>
          <t>Yes</t>
        </is>
      </c>
      <c r="H350" s="98" t="inlineStr">
        <is>
          <t>HydroDoesntRetire</t>
        </is>
      </c>
      <c r="J350" s="22" t="inlineStr">
        <is>
          <t>Yes</t>
        </is>
      </c>
      <c r="K350" s="22" t="inlineStr">
        <is>
          <t>Yes</t>
        </is>
      </c>
      <c r="L350" s="22" t="inlineStr">
        <is>
          <t>Yes</t>
        </is>
      </c>
      <c r="M350" s="22" t="inlineStr">
        <is>
          <t>Yes</t>
        </is>
      </c>
      <c r="N350" s="22" t="inlineStr">
        <is>
          <t>Yes</t>
        </is>
      </c>
    </row>
    <row r="351">
      <c r="B351" s="98" t="inlineStr">
        <is>
          <t>Minimum (post subsidy) generation cost $/kwh real</t>
        </is>
      </c>
      <c r="C351" s="98" t="n"/>
      <c r="D351" s="98" t="n"/>
      <c r="E351" s="98" t="n"/>
      <c r="F351" s="98" t="n">
        <v>0.01</v>
      </c>
      <c r="G351" s="98" t="n">
        <v>0.01</v>
      </c>
      <c r="H351" s="98" t="inlineStr">
        <is>
          <t>MinPostSubsidyPowerPrice</t>
        </is>
      </c>
      <c r="J351" s="22" t="n">
        <v>0.01</v>
      </c>
      <c r="K351" s="22" t="n">
        <v>0.01</v>
      </c>
      <c r="L351" s="22" t="n">
        <v>0.01</v>
      </c>
      <c r="M351" s="22" t="n">
        <v>0.01</v>
      </c>
      <c r="N351" s="22" t="n">
        <v>0.01</v>
      </c>
    </row>
    <row r="352">
      <c r="B352" s="96" t="inlineStr">
        <is>
          <t>RE Subsidies</t>
        </is>
      </c>
    </row>
    <row r="353">
      <c r="B353" s="98" t="inlineStr">
        <is>
          <t>Treat over/underestimate of supply costs as subsidy/tax</t>
        </is>
      </c>
      <c r="C353" s="98" t="inlineStr">
        <is>
          <t>switch</t>
        </is>
      </c>
      <c r="D353" s="98" t="n"/>
      <c r="E353" s="98" t="n"/>
      <c r="F353" s="98" t="inlineStr">
        <is>
          <t>No</t>
        </is>
      </c>
      <c r="G353" s="98" t="inlineStr">
        <is>
          <t>No</t>
        </is>
      </c>
      <c r="H353" s="98" t="inlineStr">
        <is>
          <t>SupplyCostDeltaSubsidy</t>
        </is>
      </c>
      <c r="J353" s="22" t="inlineStr">
        <is>
          <t>No</t>
        </is>
      </c>
      <c r="K353" s="22" t="inlineStr">
        <is>
          <t>No</t>
        </is>
      </c>
      <c r="L353" s="22" t="inlineStr">
        <is>
          <t>No</t>
        </is>
      </c>
      <c r="M353" s="22" t="inlineStr">
        <is>
          <t>No</t>
        </is>
      </c>
      <c r="N353" s="22" t="inlineStr">
        <is>
          <t>No</t>
        </is>
      </c>
    </row>
    <row r="354">
      <c r="B354" s="98" t="inlineStr">
        <is>
          <t>Baseline renewable energy subsidy, $/kwh nom</t>
        </is>
      </c>
      <c r="C354" s="98" t="inlineStr">
        <is>
          <t>$/kwh nom</t>
        </is>
      </c>
      <c r="D354" s="98" t="n"/>
      <c r="E354" s="98" t="n"/>
      <c r="F354" s="98" t="n">
        <v>0</v>
      </c>
      <c r="G354" s="98" t="n">
        <v>0</v>
      </c>
      <c r="H354" s="98" t="inlineStr">
        <is>
          <t>RenewableSubsidyBL</t>
        </is>
      </c>
      <c r="J354" s="22" t="n">
        <v>0</v>
      </c>
      <c r="K354" s="22" t="n">
        <v>0</v>
      </c>
      <c r="L354" s="22" t="n">
        <v>0</v>
      </c>
      <c r="M354" s="22" t="n">
        <v>0</v>
      </c>
      <c r="N354" s="22" t="n">
        <v>0</v>
      </c>
    </row>
    <row r="355">
      <c r="B355" s="98" t="inlineStr">
        <is>
          <t>New renewable energy subsidy, $/kwh nom</t>
        </is>
      </c>
      <c r="C355" s="98" t="inlineStr">
        <is>
          <t>$/kwh nom</t>
        </is>
      </c>
      <c r="D355" s="98" t="n"/>
      <c r="E355" s="98" t="n"/>
      <c r="F355" s="98" t="n">
        <v>0</v>
      </c>
      <c r="G355" s="98" t="n">
        <v>0</v>
      </c>
      <c r="H355" s="98" t="inlineStr">
        <is>
          <t>RenSubsidyAddUSDkwh</t>
        </is>
      </c>
      <c r="J355" s="22" t="n">
        <v>0</v>
      </c>
      <c r="K355" s="22" t="n">
        <v>0</v>
      </c>
      <c r="L355" s="22" t="n">
        <v>0</v>
      </c>
      <c r="M355" s="22" t="n">
        <v>0</v>
      </c>
      <c r="N355" s="22" t="n">
        <v>0</v>
      </c>
    </row>
    <row r="356">
      <c r="B356" s="98" t="inlineStr">
        <is>
          <t>New renewable energy subsidy, phaseout</t>
        </is>
      </c>
      <c r="C356" s="98" t="inlineStr">
        <is>
          <t>years</t>
        </is>
      </c>
      <c r="D356" s="98" t="n"/>
      <c r="E356" s="98" t="n"/>
      <c r="F356" s="98" t="n">
        <v>10</v>
      </c>
      <c r="G356" s="98" t="n">
        <v>10</v>
      </c>
      <c r="H356" s="98" t="inlineStr">
        <is>
          <t>RenSubsidyAddPhaseoutYrs</t>
        </is>
      </c>
      <c r="J356" s="22" t="n">
        <v>10</v>
      </c>
      <c r="K356" s="22" t="n">
        <v>10</v>
      </c>
      <c r="L356" s="22" t="n">
        <v>10</v>
      </c>
      <c r="M356" s="22" t="n">
        <v>10</v>
      </c>
      <c r="N356" s="22" t="n">
        <v>10</v>
      </c>
    </row>
    <row r="357">
      <c r="B357" s="98" t="inlineStr">
        <is>
          <t>Apply additional RE subsidy to hydroelectric power?</t>
        </is>
      </c>
      <c r="C357" s="98" t="inlineStr">
        <is>
          <t>switch</t>
        </is>
      </c>
      <c r="D357" s="98" t="n"/>
      <c r="E357" s="98" t="n"/>
      <c r="F357" s="98" t="inlineStr">
        <is>
          <t>No</t>
        </is>
      </c>
      <c r="G357" s="98" t="inlineStr">
        <is>
          <t>No</t>
        </is>
      </c>
      <c r="H357" s="98" t="inlineStr">
        <is>
          <t>RenewableSubsidyHydro</t>
        </is>
      </c>
      <c r="J357" s="22" t="inlineStr">
        <is>
          <t>No</t>
        </is>
      </c>
      <c r="K357" s="22" t="inlineStr">
        <is>
          <t>No</t>
        </is>
      </c>
      <c r="L357" s="22" t="inlineStr">
        <is>
          <t>No</t>
        </is>
      </c>
      <c r="M357" s="22" t="inlineStr">
        <is>
          <t>No</t>
        </is>
      </c>
      <c r="N357" s="22" t="inlineStr">
        <is>
          <t>No</t>
        </is>
      </c>
    </row>
    <row r="358">
      <c r="B358" s="96" t="inlineStr">
        <is>
          <t>Electrical Generation Scale-up limits</t>
        </is>
      </c>
    </row>
    <row r="359">
      <c r="B359" s="98" t="inlineStr">
        <is>
          <t>Max new investment in coal/gas/hyd as a percentage of total generation</t>
        </is>
      </c>
      <c r="C359" s="98" t="n"/>
      <c r="D359" s="98" t="n"/>
      <c r="E359" s="98" t="n"/>
      <c r="F359" s="98" t="n">
        <v>0.05</v>
      </c>
      <c r="G359" s="98" t="n">
        <v>0.05</v>
      </c>
      <c r="H359" s="98" t="inlineStr">
        <is>
          <t>MaxNonVREAsPCOfTotalGen</t>
        </is>
      </c>
      <c r="J359" s="22" t="n">
        <v>0.05</v>
      </c>
      <c r="K359" s="22" t="n">
        <v>0.05</v>
      </c>
      <c r="L359" s="22" t="n">
        <v>0.05</v>
      </c>
      <c r="M359" s="22" t="n">
        <v>0.05</v>
      </c>
      <c r="N359" s="22" t="n">
        <v>0.05</v>
      </c>
    </row>
    <row r="360">
      <c r="B360" s="98" t="inlineStr">
        <is>
          <t>Max new investment oil/nucl/ore/bio as a percentage of total generation</t>
        </is>
      </c>
      <c r="C360" s="98" t="n"/>
      <c r="D360" s="98" t="n"/>
      <c r="E360" s="98" t="n"/>
      <c r="F360" s="98" t="n">
        <v>0.02</v>
      </c>
      <c r="G360" s="98" t="n">
        <v>0.02</v>
      </c>
      <c r="H360" s="98" t="inlineStr">
        <is>
          <t>MaxNonNucOreBioAsPCOfTotalGen</t>
        </is>
      </c>
      <c r="J360" s="22" t="n">
        <v>0.02</v>
      </c>
      <c r="K360" s="22" t="n">
        <v>0.02</v>
      </c>
      <c r="L360" s="22" t="n">
        <v>0.02</v>
      </c>
      <c r="M360" s="22" t="n">
        <v>0.02</v>
      </c>
      <c r="N360" s="22" t="n">
        <v>0.02</v>
      </c>
    </row>
    <row r="361">
      <c r="B361" s="98" t="inlineStr">
        <is>
          <t>User-Defined Setting for VRE Max-Scale up (if used)</t>
        </is>
      </c>
      <c r="C361" s="98" t="n"/>
      <c r="D361" s="98" t="n"/>
      <c r="E361" s="98" t="n"/>
      <c r="F361" s="98" t="n">
        <v>0.05</v>
      </c>
      <c r="G361" s="98" t="n">
        <v>0.05</v>
      </c>
      <c r="H361" s="98" t="inlineStr">
        <is>
          <t>MaxWindSolarScaleup</t>
        </is>
      </c>
      <c r="J361" s="22" t="n">
        <v>0.05</v>
      </c>
      <c r="K361" s="22" t="n">
        <v>0.05</v>
      </c>
      <c r="L361" s="22" t="n">
        <v>0.05</v>
      </c>
      <c r="M361" s="22" t="n">
        <v>0.05</v>
      </c>
      <c r="N361" s="22" t="n">
        <v>0.05</v>
      </c>
    </row>
    <row r="362">
      <c r="B362" s="98" t="inlineStr">
        <is>
          <t>Max renewable scaleup rate setting</t>
        </is>
      </c>
      <c r="C362" s="98" t="inlineStr">
        <is>
          <t>switch</t>
        </is>
      </c>
      <c r="D362" s="98" t="n"/>
      <c r="E362" s="98" t="n"/>
      <c r="F362" s="98" t="inlineStr">
        <is>
          <t>CtryDefault*</t>
        </is>
      </c>
      <c r="G362" s="98" t="inlineStr">
        <is>
          <t>CtryDefault*</t>
        </is>
      </c>
      <c r="H362" s="98" t="inlineStr">
        <is>
          <t>MaxScaleUpRateCategory</t>
        </is>
      </c>
      <c r="J362" s="22" t="inlineStr">
        <is>
          <t>CtryDefault*</t>
        </is>
      </c>
      <c r="K362" s="22" t="inlineStr">
        <is>
          <t>CtryDefault*</t>
        </is>
      </c>
      <c r="L362" s="22" t="inlineStr">
        <is>
          <t>CtryDefault*</t>
        </is>
      </c>
      <c r="M362" s="22" t="inlineStr">
        <is>
          <t>CtryDefault*</t>
        </is>
      </c>
      <c r="N362" s="22" t="inlineStr">
        <is>
          <t>CtryDefault*</t>
        </is>
      </c>
    </row>
    <row r="363">
      <c r="B363" s="96" t="inlineStr">
        <is>
          <t>More Power Generation Settings</t>
        </is>
      </c>
    </row>
    <row r="364">
      <c r="B364" s="98" t="inlineStr">
        <is>
          <t>Use Elasticity Model Power Demand In Engineer Model</t>
        </is>
      </c>
      <c r="C364" s="98" t="n"/>
      <c r="D364" s="98" t="n"/>
      <c r="E364" s="98" t="n"/>
      <c r="F364" s="98" t="inlineStr">
        <is>
          <t>No*</t>
        </is>
      </c>
      <c r="G364" s="98" t="inlineStr">
        <is>
          <t>No*</t>
        </is>
      </c>
      <c r="H364" s="98" t="inlineStr">
        <is>
          <t>UseElasticityModelPowerDemandInEngineerModel</t>
        </is>
      </c>
      <c r="J364" s="22" t="inlineStr">
        <is>
          <t>No*</t>
        </is>
      </c>
      <c r="K364" s="22" t="inlineStr">
        <is>
          <t>No*</t>
        </is>
      </c>
      <c r="L364" s="22" t="inlineStr">
        <is>
          <t>No*</t>
        </is>
      </c>
      <c r="M364" s="22" t="inlineStr">
        <is>
          <t>No*</t>
        </is>
      </c>
      <c r="N364" s="22" t="inlineStr">
        <is>
          <t>No*</t>
        </is>
      </c>
    </row>
    <row r="365">
      <c r="A365" t="inlineStr">
        <is>
          <t>X</t>
        </is>
      </c>
      <c r="B365" s="98" t="inlineStr">
        <is>
          <t>Cost of capital: User-defined, Inc-dep,  or Tech-dep?</t>
        </is>
      </c>
      <c r="C365" s="98" t="n"/>
      <c r="D365" s="98" t="n"/>
      <c r="E365" s="98" t="n"/>
      <c r="F365" s="98" t="inlineStr">
        <is>
          <t>Tech</t>
        </is>
      </c>
      <c r="G365" s="98" t="inlineStr">
        <is>
          <t>Income*</t>
        </is>
      </c>
      <c r="H365" s="98" t="inlineStr">
        <is>
          <t>WACCSource</t>
        </is>
      </c>
      <c r="J365" s="22" t="inlineStr">
        <is>
          <t>Tech</t>
        </is>
      </c>
      <c r="K365" s="22" t="inlineStr">
        <is>
          <t>Tech</t>
        </is>
      </c>
      <c r="L365" s="22" t="inlineStr">
        <is>
          <t>Tech</t>
        </is>
      </c>
      <c r="M365" s="22" t="inlineStr">
        <is>
          <t>Tech</t>
        </is>
      </c>
      <c r="N365" s="22" t="inlineStr">
        <is>
          <t>Tech</t>
        </is>
      </c>
    </row>
    <row r="366">
      <c r="B366" s="98" t="inlineStr">
        <is>
          <t>If Global, what Value?</t>
        </is>
      </c>
      <c r="C366" s="98" t="n"/>
      <c r="D366" s="98" t="n"/>
      <c r="E366" s="98" t="n"/>
      <c r="F366" s="98" t="n">
        <v>0.075</v>
      </c>
      <c r="G366" s="98" t="n">
        <v>0.075</v>
      </c>
      <c r="H366" s="98" t="inlineStr">
        <is>
          <t>WACCUserGlobal</t>
        </is>
      </c>
      <c r="J366" s="22" t="n">
        <v>0.075</v>
      </c>
      <c r="K366" s="22" t="n">
        <v>0.075</v>
      </c>
      <c r="L366" s="22" t="n">
        <v>0.075</v>
      </c>
      <c r="M366" s="22" t="n">
        <v>0.075</v>
      </c>
      <c r="N366" s="22" t="n">
        <v>0.075</v>
      </c>
    </row>
    <row r="367">
      <c r="B367" s="98" t="inlineStr">
        <is>
          <t>Renewable Cost Declines</t>
        </is>
      </c>
      <c r="C367" s="98" t="n"/>
      <c r="D367" s="98" t="n"/>
      <c r="E367" s="98" t="n"/>
      <c r="F367" s="98" t="inlineStr">
        <is>
          <t>Medium*</t>
        </is>
      </c>
      <c r="G367" s="98" t="inlineStr">
        <is>
          <t>Medium*</t>
        </is>
      </c>
      <c r="H367" s="98" t="inlineStr">
        <is>
          <t>RenewableCostDeclineRate</t>
        </is>
      </c>
      <c r="J367" s="22" t="inlineStr">
        <is>
          <t>Medium*</t>
        </is>
      </c>
      <c r="K367" s="22" t="inlineStr">
        <is>
          <t>Medium*</t>
        </is>
      </c>
      <c r="L367" s="22" t="inlineStr">
        <is>
          <t>Medium*</t>
        </is>
      </c>
      <c r="M367" s="22" t="inlineStr">
        <is>
          <t>Medium*</t>
        </is>
      </c>
      <c r="N367" s="22" t="inlineStr">
        <is>
          <t>Medium*</t>
        </is>
      </c>
    </row>
    <row r="368">
      <c r="B368" s="98" t="inlineStr">
        <is>
          <t>Use Spot Fuel Prices in Engineer Power Model</t>
        </is>
      </c>
      <c r="C368" s="98" t="n"/>
      <c r="D368" s="98" t="n"/>
      <c r="E368" s="98" t="n"/>
      <c r="F368" s="98" t="inlineStr">
        <is>
          <t>No*</t>
        </is>
      </c>
      <c r="G368" s="98" t="inlineStr">
        <is>
          <t>No*</t>
        </is>
      </c>
      <c r="H368" s="98" t="inlineStr">
        <is>
          <t>UseSpotFuelPricesInEngineerModel</t>
        </is>
      </c>
      <c r="J368" s="22" t="inlineStr">
        <is>
          <t>No*</t>
        </is>
      </c>
      <c r="K368" s="22" t="inlineStr">
        <is>
          <t>No*</t>
        </is>
      </c>
      <c r="L368" s="22" t="inlineStr">
        <is>
          <t>No*</t>
        </is>
      </c>
      <c r="M368" s="22" t="inlineStr">
        <is>
          <t>No*</t>
        </is>
      </c>
      <c r="N368" s="22" t="inlineStr">
        <is>
          <t>No*</t>
        </is>
      </c>
    </row>
    <row r="369">
      <c r="B369" s="98" t="inlineStr">
        <is>
          <t>Use Additional Coal Intangible Cost</t>
        </is>
      </c>
      <c r="C369" s="98" t="n"/>
      <c r="D369" s="98" t="n"/>
      <c r="E369" s="98" t="n"/>
      <c r="F369" s="98" t="inlineStr">
        <is>
          <t>Yes*</t>
        </is>
      </c>
      <c r="G369" s="98" t="inlineStr">
        <is>
          <t>Yes*</t>
        </is>
      </c>
      <c r="H369" s="98" t="inlineStr">
        <is>
          <t>AdditionalCoalIntangibleCost</t>
        </is>
      </c>
      <c r="J369" s="22" t="inlineStr">
        <is>
          <t>Yes*</t>
        </is>
      </c>
      <c r="K369" s="22" t="inlineStr">
        <is>
          <t>Yes*</t>
        </is>
      </c>
      <c r="L369" s="22" t="inlineStr">
        <is>
          <t>Yes*</t>
        </is>
      </c>
      <c r="M369" s="22" t="inlineStr">
        <is>
          <t>Yes*</t>
        </is>
      </c>
      <c r="N369" s="22" t="inlineStr">
        <is>
          <t>Yes*</t>
        </is>
      </c>
    </row>
    <row r="370">
      <c r="B370" s="98" t="inlineStr">
        <is>
          <t>Manual Coal Intangible Cost (short term)</t>
        </is>
      </c>
      <c r="C370" s="98" t="n"/>
      <c r="D370" s="98" t="n"/>
      <c r="E370" s="98" t="n"/>
      <c r="F370" s="98" t="n">
        <v>0</v>
      </c>
      <c r="G370" s="98" t="n">
        <v>0</v>
      </c>
      <c r="H370" s="98" t="inlineStr">
        <is>
          <t>ManualCoalIntangibleCostST</t>
        </is>
      </c>
      <c r="J370" s="22" t="n">
        <v>0</v>
      </c>
      <c r="K370" s="22" t="n">
        <v>0</v>
      </c>
      <c r="L370" s="22" t="n">
        <v>0</v>
      </c>
      <c r="M370" s="22" t="n">
        <v>0</v>
      </c>
      <c r="N370" s="22" t="n">
        <v>0</v>
      </c>
    </row>
    <row r="371">
      <c r="B371" s="98" t="inlineStr">
        <is>
          <t>Manual Coal Intangible Cost (long term)</t>
        </is>
      </c>
      <c r="C371" s="98" t="n"/>
      <c r="D371" s="98" t="n"/>
      <c r="E371" s="98" t="n"/>
      <c r="F371" s="98" t="n">
        <v>0</v>
      </c>
      <c r="G371" s="98" t="n">
        <v>0</v>
      </c>
      <c r="H371" s="98" t="inlineStr">
        <is>
          <t>ManualCoalIntangibleCostLT</t>
        </is>
      </c>
      <c r="J371" s="22" t="n">
        <v>0</v>
      </c>
      <c r="K371" s="22" t="n">
        <v>0</v>
      </c>
      <c r="L371" s="22" t="n">
        <v>0</v>
      </c>
      <c r="M371" s="22" t="n">
        <v>0</v>
      </c>
      <c r="N371" s="22" t="n">
        <v>0</v>
      </c>
    </row>
    <row r="372">
      <c r="B372" s="98" t="inlineStr">
        <is>
          <t>Maximum Coal Capacity Factor</t>
        </is>
      </c>
      <c r="C372" s="98" t="n"/>
      <c r="D372" s="98" t="n"/>
      <c r="E372" s="98" t="n"/>
      <c r="F372" s="98" t="n">
        <v>0.9</v>
      </c>
      <c r="G372" s="98" t="n">
        <v>0.9</v>
      </c>
      <c r="H372" s="98" t="inlineStr">
        <is>
          <t>MaximumCoalCF</t>
        </is>
      </c>
      <c r="J372" s="22" t="n">
        <v>0.9</v>
      </c>
      <c r="K372" s="22" t="n">
        <v>0.9</v>
      </c>
      <c r="L372" s="22" t="n">
        <v>0.9</v>
      </c>
      <c r="M372" s="22" t="n">
        <v>0.9</v>
      </c>
      <c r="N372" s="22" t="n">
        <v>0.9</v>
      </c>
    </row>
    <row r="373">
      <c r="B373" s="98" t="inlineStr">
        <is>
          <t>Maximum Gas Capacity Factor</t>
        </is>
      </c>
      <c r="C373" s="98" t="n"/>
      <c r="D373" s="98" t="n"/>
      <c r="E373" s="98" t="n"/>
      <c r="F373" s="98" t="n">
        <v>0.9</v>
      </c>
      <c r="G373" s="98" t="n">
        <v>0.9</v>
      </c>
      <c r="H373" s="98" t="inlineStr">
        <is>
          <t>MaximumGasCF</t>
        </is>
      </c>
      <c r="J373" s="22" t="n">
        <v>0.9</v>
      </c>
      <c r="K373" s="22" t="n">
        <v>0.9</v>
      </c>
      <c r="L373" s="22" t="n">
        <v>0.9</v>
      </c>
      <c r="M373" s="22" t="n">
        <v>0.9</v>
      </c>
      <c r="N373" s="22" t="n">
        <v>0.9</v>
      </c>
    </row>
    <row r="374">
      <c r="B374" s="98" t="inlineStr">
        <is>
          <t>Proportion of GHG adjustment passed on to engineer model power demand</t>
        </is>
      </c>
      <c r="C374" s="98" t="n"/>
      <c r="D374" s="98" t="n"/>
      <c r="E374" s="98" t="n"/>
      <c r="F374" s="98" t="n">
        <v>1</v>
      </c>
      <c r="G374" s="98" t="n">
        <v>1</v>
      </c>
      <c r="H374" s="98" t="inlineStr">
        <is>
          <t>EngineerModelProportionOfCovidFactor</t>
        </is>
      </c>
      <c r="J374" s="22" t="n">
        <v>1</v>
      </c>
      <c r="K374" s="22" t="n">
        <v>1</v>
      </c>
      <c r="L374" s="22" t="n">
        <v>1</v>
      </c>
      <c r="M374" s="22" t="n">
        <v>1</v>
      </c>
      <c r="N374" s="22" t="n">
        <v>1</v>
      </c>
    </row>
    <row r="375">
      <c r="B375" s="98" t="inlineStr">
        <is>
          <t>Override Capacity Factor if below (Wind and Solar)</t>
        </is>
      </c>
      <c r="C375" s="98" t="n"/>
      <c r="D375" s="98" t="n"/>
      <c r="E375" s="98" t="n"/>
      <c r="F375" s="98" t="n">
        <v>0.1</v>
      </c>
      <c r="G375" s="98" t="n">
        <v>0.1</v>
      </c>
      <c r="H375" s="98" t="inlineStr">
        <is>
          <t>CFOverrideIfBelowWndSol</t>
        </is>
      </c>
      <c r="J375" s="22" t="n">
        <v>0.1</v>
      </c>
      <c r="K375" s="22" t="n">
        <v>0.1</v>
      </c>
      <c r="L375" s="22" t="n">
        <v>0.1</v>
      </c>
      <c r="M375" s="22" t="n">
        <v>0.1</v>
      </c>
      <c r="N375" s="22" t="n">
        <v>0.1</v>
      </c>
    </row>
    <row r="376">
      <c r="B376" s="98" t="inlineStr">
        <is>
          <t>Override Capacity Factor if below (Others)</t>
        </is>
      </c>
      <c r="C376" s="98" t="n"/>
      <c r="D376" s="98" t="n"/>
      <c r="E376" s="98" t="n"/>
      <c r="F376" s="98" t="n">
        <v>0.01</v>
      </c>
      <c r="G376" s="98" t="n">
        <v>0.01</v>
      </c>
      <c r="H376" s="98" t="inlineStr">
        <is>
          <t>CFOverrideIfBelowFosOth</t>
        </is>
      </c>
      <c r="J376" s="22" t="n">
        <v>0.01</v>
      </c>
      <c r="K376" s="22" t="n">
        <v>0.01</v>
      </c>
      <c r="L376" s="22" t="n">
        <v>0.01</v>
      </c>
      <c r="M376" s="22" t="n">
        <v>0.01</v>
      </c>
      <c r="N376" s="22" t="n">
        <v>0.01</v>
      </c>
    </row>
    <row r="377">
      <c r="B377" s="98" t="inlineStr">
        <is>
          <t>Override Capacity Factor if below (All)</t>
        </is>
      </c>
      <c r="C377" s="98" t="n"/>
      <c r="D377" s="98" t="n"/>
      <c r="E377" s="98" t="n"/>
      <c r="F377" s="98" t="n">
        <v>1</v>
      </c>
      <c r="G377" s="98" t="n">
        <v>1</v>
      </c>
      <c r="H377" s="98" t="inlineStr">
        <is>
          <t>CFOverrideIfAbove</t>
        </is>
      </c>
      <c r="J377" s="22" t="n">
        <v>1</v>
      </c>
      <c r="K377" s="22" t="n">
        <v>1</v>
      </c>
      <c r="L377" s="22" t="n">
        <v>1</v>
      </c>
      <c r="M377" s="22" t="n">
        <v>1</v>
      </c>
      <c r="N377" s="22" t="n">
        <v>1</v>
      </c>
    </row>
    <row r="378">
      <c r="B378" s="98" t="inlineStr">
        <is>
          <t>Proportion of coal capacity that can be retired</t>
        </is>
      </c>
      <c r="C378" s="98" t="n"/>
      <c r="D378" s="98" t="n"/>
      <c r="E378" s="98" t="n"/>
      <c r="F378" s="98" t="n">
        <v>0.8</v>
      </c>
      <c r="G378" s="98" t="n">
        <v>0.8</v>
      </c>
      <c r="H378" s="98" t="inlineStr">
        <is>
          <t>MaxCostBasedEarlyRetirement</t>
        </is>
      </c>
      <c r="J378" s="22" t="n">
        <v>0.8</v>
      </c>
      <c r="K378" s="22" t="n">
        <v>0.8</v>
      </c>
      <c r="L378" s="22" t="n">
        <v>0.8</v>
      </c>
      <c r="M378" s="22" t="n">
        <v>0.8</v>
      </c>
      <c r="N378" s="22" t="n">
        <v>0.8</v>
      </c>
    </row>
    <row r="379">
      <c r="B379" s="98" t="inlineStr">
        <is>
          <t>Allow cost-based coal phaseout in baseline?</t>
        </is>
      </c>
      <c r="C379" s="98" t="n"/>
      <c r="D379" s="98" t="n"/>
      <c r="E379" s="98" t="n"/>
      <c r="F379" s="98" t="inlineStr">
        <is>
          <t>Yes</t>
        </is>
      </c>
      <c r="G379" s="98" t="inlineStr">
        <is>
          <t>Yes</t>
        </is>
      </c>
      <c r="H379" s="98" t="inlineStr">
        <is>
          <t>EarlyRetirementInBaseline</t>
        </is>
      </c>
      <c r="J379" s="22" t="inlineStr">
        <is>
          <t>Yes</t>
        </is>
      </c>
      <c r="K379" s="22" t="inlineStr">
        <is>
          <t>Yes</t>
        </is>
      </c>
      <c r="L379" s="22" t="inlineStr">
        <is>
          <t>Yes</t>
        </is>
      </c>
      <c r="M379" s="22" t="inlineStr">
        <is>
          <t>Yes</t>
        </is>
      </c>
      <c r="N379" s="22" t="inlineStr">
        <is>
          <t>Yes</t>
        </is>
      </c>
    </row>
    <row r="380">
      <c r="B380" s="98" t="inlineStr">
        <is>
          <t>Minimum Thermal Efficiency</t>
        </is>
      </c>
      <c r="C380" s="98" t="n"/>
      <c r="D380" s="98" t="n"/>
      <c r="E380" s="98" t="n"/>
      <c r="F380" s="98" t="n">
        <v>0.1</v>
      </c>
      <c r="G380" s="98" t="n">
        <v>0.1</v>
      </c>
      <c r="H380" s="98" t="inlineStr">
        <is>
          <t>MinimumThermalEfficiency</t>
        </is>
      </c>
      <c r="J380" s="22" t="n">
        <v>0.1</v>
      </c>
      <c r="K380" s="22" t="n">
        <v>0.1</v>
      </c>
      <c r="L380" s="22" t="n">
        <v>0.1</v>
      </c>
      <c r="M380" s="22" t="n">
        <v>0.1</v>
      </c>
      <c r="N380" s="22" t="n">
        <v>0.1</v>
      </c>
    </row>
    <row r="381">
      <c r="B381" s="96" t="inlineStr">
        <is>
          <t>Coal and Gas Power Purchase Agreements</t>
        </is>
      </c>
    </row>
    <row r="382">
      <c r="B382" s="98" t="inlineStr">
        <is>
          <t>Proportion of PPAs in Coal and Gas Generation</t>
        </is>
      </c>
      <c r="C382" s="98" t="n"/>
      <c r="D382" s="98" t="n"/>
      <c r="E382" s="98" t="n"/>
      <c r="F382" s="98" t="n">
        <v>0</v>
      </c>
      <c r="G382" s="98" t="n">
        <v>0</v>
      </c>
      <c r="H382" s="98" t="inlineStr">
        <is>
          <t>PPAProportionCoalGas</t>
        </is>
      </c>
      <c r="J382" s="22" t="n">
        <v>0</v>
      </c>
      <c r="K382" s="22" t="n">
        <v>0</v>
      </c>
      <c r="L382" s="22" t="n">
        <v>0</v>
      </c>
      <c r="M382" s="22" t="n">
        <v>0</v>
      </c>
      <c r="N382" s="22" t="n">
        <v>0</v>
      </c>
    </row>
    <row r="383">
      <c r="B383" s="98" t="inlineStr">
        <is>
          <t>Phase out any coal and gas PPAs? (Baseline)</t>
        </is>
      </c>
      <c r="C383" s="98" t="n"/>
      <c r="D383" s="98" t="n"/>
      <c r="E383" s="98" t="n"/>
      <c r="F383" s="98" t="inlineStr">
        <is>
          <t>Yes*</t>
        </is>
      </c>
      <c r="G383" s="98" t="inlineStr">
        <is>
          <t>Yes*</t>
        </is>
      </c>
      <c r="H383" s="98" t="inlineStr">
        <is>
          <t>PhaseOutCoalAndGasPPAsBaseline</t>
        </is>
      </c>
      <c r="J383" s="22" t="inlineStr">
        <is>
          <t>Yes*</t>
        </is>
      </c>
      <c r="K383" s="22" t="inlineStr">
        <is>
          <t>Yes*</t>
        </is>
      </c>
      <c r="L383" s="22" t="inlineStr">
        <is>
          <t>Yes*</t>
        </is>
      </c>
      <c r="M383" s="22" t="inlineStr">
        <is>
          <t>Yes*</t>
        </is>
      </c>
      <c r="N383" s="22" t="inlineStr">
        <is>
          <t>Yes*</t>
        </is>
      </c>
    </row>
    <row r="384">
      <c r="B384" s="98" t="inlineStr">
        <is>
          <t>Phase out any coal and gas PPAs? (Policy)</t>
        </is>
      </c>
      <c r="C384" s="98" t="n"/>
      <c r="D384" s="98" t="n"/>
      <c r="E384" s="98" t="n"/>
      <c r="F384" s="98" t="inlineStr">
        <is>
          <t>Yes*</t>
        </is>
      </c>
      <c r="G384" s="98" t="inlineStr">
        <is>
          <t>Yes*</t>
        </is>
      </c>
      <c r="H384" s="98" t="inlineStr">
        <is>
          <t>PhaseOutCoalAndGasPPAsPolicy</t>
        </is>
      </c>
      <c r="J384" s="22" t="inlineStr">
        <is>
          <t>Yes*</t>
        </is>
      </c>
      <c r="K384" s="22" t="inlineStr">
        <is>
          <t>Yes*</t>
        </is>
      </c>
      <c r="L384" s="22" t="inlineStr">
        <is>
          <t>Yes*</t>
        </is>
      </c>
      <c r="M384" s="22" t="inlineStr">
        <is>
          <t>Yes*</t>
        </is>
      </c>
      <c r="N384" s="22" t="inlineStr">
        <is>
          <t>Yes*</t>
        </is>
      </c>
    </row>
    <row r="385">
      <c r="B385" s="98" t="inlineStr">
        <is>
          <t>Phase begins when?</t>
        </is>
      </c>
      <c r="C385" s="98" t="n"/>
      <c r="D385" s="98" t="n"/>
      <c r="E385" s="98" t="n"/>
      <c r="F385" s="98" t="n">
        <v>2027</v>
      </c>
      <c r="G385" s="98" t="n">
        <v>2027</v>
      </c>
      <c r="H385" s="98" t="inlineStr">
        <is>
          <t>YearPPACoalGas</t>
        </is>
      </c>
      <c r="J385" s="22" t="n">
        <v>2027</v>
      </c>
      <c r="K385" s="22" t="n">
        <v>2027</v>
      </c>
      <c r="L385" s="22" t="n">
        <v>2027</v>
      </c>
      <c r="M385" s="22" t="n">
        <v>2027</v>
      </c>
      <c r="N385" s="22" t="n">
        <v>2027</v>
      </c>
    </row>
    <row r="386">
      <c r="B386" s="98" t="inlineStr">
        <is>
          <t>Phase out coal and gas PPAs over n years?</t>
        </is>
      </c>
      <c r="C386" s="98" t="n"/>
      <c r="D386" s="98" t="n"/>
      <c r="E386" s="98" t="n"/>
      <c r="F386" s="98" t="n">
        <v>5</v>
      </c>
      <c r="G386" s="98" t="n">
        <v>5</v>
      </c>
      <c r="H386" s="98" t="inlineStr">
        <is>
          <t>YearsToPhaseOutPPAs</t>
        </is>
      </c>
      <c r="J386" s="22" t="n">
        <v>5</v>
      </c>
      <c r="K386" s="22" t="n">
        <v>5</v>
      </c>
      <c r="L386" s="22" t="n">
        <v>5</v>
      </c>
      <c r="M386" s="22" t="n">
        <v>5</v>
      </c>
      <c r="N386" s="22" t="n">
        <v>5</v>
      </c>
    </row>
    <row r="387">
      <c r="B387" s="96" t="inlineStr">
        <is>
          <t>Short Term Storage Parameters</t>
        </is>
      </c>
    </row>
    <row r="388">
      <c r="B388" s="98" t="inlineStr">
        <is>
          <t>Percent allocation of ST storage costs to VRE</t>
        </is>
      </c>
      <c r="C388" s="98" t="inlineStr">
        <is>
          <t>%</t>
        </is>
      </c>
      <c r="D388" s="98" t="n"/>
      <c r="E388" s="98" t="n"/>
      <c r="F388" s="98" t="n">
        <v>1</v>
      </c>
      <c r="G388" s="98" t="n">
        <v>1</v>
      </c>
      <c r="H388" s="98" t="inlineStr">
        <is>
          <t>AllocateSTStorageToVRE</t>
        </is>
      </c>
      <c r="J388" s="22" t="n">
        <v>1</v>
      </c>
      <c r="K388" s="22" t="n">
        <v>1</v>
      </c>
      <c r="L388" s="22" t="n">
        <v>1</v>
      </c>
      <c r="M388" s="22" t="n">
        <v>1</v>
      </c>
      <c r="N388" s="22" t="n">
        <v>1</v>
      </c>
    </row>
    <row r="389">
      <c r="B389" s="98" t="inlineStr">
        <is>
          <t>Total hours short term strorage for 100% VRE</t>
        </is>
      </c>
      <c r="C389" s="98" t="n"/>
      <c r="D389" s="98" t="n"/>
      <c r="E389" s="98" t="n"/>
      <c r="F389" s="98" t="n">
        <v>9</v>
      </c>
      <c r="G389" s="98" t="n">
        <v>9</v>
      </c>
      <c r="H389" s="98" t="inlineStr">
        <is>
          <t>TotalHoursStorageFor100pcVRE</t>
        </is>
      </c>
      <c r="J389" s="22" t="n">
        <v>9</v>
      </c>
      <c r="K389" s="22" t="n">
        <v>9</v>
      </c>
      <c r="L389" s="22" t="n">
        <v>9</v>
      </c>
      <c r="M389" s="22" t="n">
        <v>9</v>
      </c>
      <c r="N389" s="22" t="n">
        <v>9</v>
      </c>
    </row>
    <row r="390">
      <c r="B390" s="98" t="inlineStr">
        <is>
          <t>kwh storage to kw interface ratio (hours)</t>
        </is>
      </c>
      <c r="C390" s="98" t="n"/>
      <c r="D390" s="98" t="n"/>
      <c r="E390" s="98" t="n"/>
      <c r="F390" s="98" t="n">
        <v>2</v>
      </c>
      <c r="G390" s="98" t="n">
        <v>2</v>
      </c>
      <c r="H390" s="98" t="inlineStr">
        <is>
          <t>StorageToInterfaceRatioSTStorage</t>
        </is>
      </c>
      <c r="J390" s="22" t="n">
        <v>2</v>
      </c>
      <c r="K390" s="22" t="n">
        <v>2</v>
      </c>
      <c r="L390" s="22" t="n">
        <v>2</v>
      </c>
      <c r="M390" s="22" t="n">
        <v>2</v>
      </c>
      <c r="N390" s="22" t="n">
        <v>2</v>
      </c>
    </row>
    <row r="391">
      <c r="B391" s="96" t="inlineStr">
        <is>
          <t>Long Term Storage Parameters</t>
        </is>
      </c>
    </row>
    <row r="392">
      <c r="B392" s="98" t="inlineStr">
        <is>
          <t>Percent allocation of LT storage costs to VRE</t>
        </is>
      </c>
      <c r="C392" s="98" t="n"/>
      <c r="D392" s="98" t="n"/>
      <c r="E392" s="98" t="n"/>
      <c r="F392" s="98" t="n">
        <v>0.33</v>
      </c>
      <c r="G392" s="98" t="n">
        <v>0.33</v>
      </c>
      <c r="H392" s="98" t="inlineStr">
        <is>
          <t>AllocateLTStorageToVRE</t>
        </is>
      </c>
      <c r="J392" s="22" t="n">
        <v>0.33</v>
      </c>
      <c r="K392" s="22" t="n">
        <v>0.33</v>
      </c>
      <c r="L392" s="22" t="n">
        <v>0.33</v>
      </c>
      <c r="M392" s="22" t="n">
        <v>0.33</v>
      </c>
      <c r="N392" s="22" t="n">
        <v>0.33</v>
      </c>
    </row>
    <row r="393">
      <c r="B393" s="98" t="inlineStr">
        <is>
          <t>Starting point of long term storage requirement (%VRE)</t>
        </is>
      </c>
      <c r="C393" s="98" t="inlineStr">
        <is>
          <t>%</t>
        </is>
      </c>
      <c r="D393" s="98" t="n"/>
      <c r="E393" s="98" t="n"/>
      <c r="F393" s="98" t="n">
        <v>0.75</v>
      </c>
      <c r="G393" s="98" t="n">
        <v>0.75</v>
      </c>
      <c r="H393" s="98" t="inlineStr">
        <is>
          <t>StartingPointWhenLTStorageIsNeeded</t>
        </is>
      </c>
      <c r="J393" s="22" t="n">
        <v>0.75</v>
      </c>
      <c r="K393" s="22" t="n">
        <v>0.75</v>
      </c>
      <c r="L393" s="22" t="n">
        <v>0.75</v>
      </c>
      <c r="M393" s="22" t="n">
        <v>0.75</v>
      </c>
      <c r="N393" s="22" t="n">
        <v>0.75</v>
      </c>
    </row>
    <row r="394">
      <c r="B394" s="98" t="inlineStr">
        <is>
          <t>GW electrolyzer per Gwy/y for 100% VRE (%)</t>
        </is>
      </c>
      <c r="C394" s="98" t="inlineStr">
        <is>
          <t>%</t>
        </is>
      </c>
      <c r="D394" s="98" t="n"/>
      <c r="E394" s="98" t="n"/>
      <c r="F394" s="98" t="n">
        <v>1</v>
      </c>
      <c r="G394" s="98" t="n">
        <v>1</v>
      </c>
      <c r="H394" s="98" t="inlineStr">
        <is>
          <t>LongTermStorageFor100pcVRE</t>
        </is>
      </c>
      <c r="J394" s="22" t="n">
        <v>1</v>
      </c>
      <c r="K394" s="22" t="n">
        <v>1</v>
      </c>
      <c r="L394" s="22" t="n">
        <v>1</v>
      </c>
      <c r="M394" s="22" t="n">
        <v>1</v>
      </c>
      <c r="N394" s="22" t="n">
        <v>1</v>
      </c>
    </row>
    <row r="395">
      <c r="B395" s="98" t="inlineStr">
        <is>
          <t>Storage hours for LT storage</t>
        </is>
      </c>
      <c r="C395" s="98" t="n"/>
      <c r="D395" s="98" t="n"/>
      <c r="E395" s="98" t="n"/>
      <c r="F395" s="98" t="n">
        <v>1000</v>
      </c>
      <c r="G395" s="98" t="n">
        <v>1000</v>
      </c>
      <c r="H395" s="98" t="inlineStr">
        <is>
          <t>StorageHoursForLTStorage</t>
        </is>
      </c>
      <c r="J395" s="22" t="n">
        <v>1000</v>
      </c>
      <c r="K395" s="22" t="n">
        <v>1000</v>
      </c>
      <c r="L395" s="22" t="n">
        <v>1000</v>
      </c>
      <c r="M395" s="22" t="n">
        <v>1000</v>
      </c>
      <c r="N395" s="22" t="n">
        <v>1000</v>
      </c>
    </row>
    <row r="396">
      <c r="B396" s="96" t="inlineStr">
        <is>
          <t>Allowed New Investments Override if selected</t>
        </is>
      </c>
    </row>
    <row r="397">
      <c r="B397" s="98" t="inlineStr">
        <is>
          <t>Coal - New Investment Override</t>
        </is>
      </c>
      <c r="C397" s="98" t="inlineStr">
        <is>
          <t>Switch</t>
        </is>
      </c>
      <c r="D397" s="98" t="n"/>
      <c r="E397" s="98" t="n"/>
      <c r="F397" s="98" t="inlineStr">
        <is>
          <t>If Present*</t>
        </is>
      </c>
      <c r="G397" s="98" t="inlineStr">
        <is>
          <t>If Present*</t>
        </is>
      </c>
      <c r="H397" s="98" t="inlineStr">
        <is>
          <t>NewInvCoa</t>
        </is>
      </c>
      <c r="J397" s="22" t="inlineStr">
        <is>
          <t>If Present*</t>
        </is>
      </c>
      <c r="K397" s="22" t="inlineStr">
        <is>
          <t>If Present*</t>
        </is>
      </c>
      <c r="L397" s="22" t="inlineStr">
        <is>
          <t>If Present*</t>
        </is>
      </c>
      <c r="M397" s="22" t="inlineStr">
        <is>
          <t>If Present*</t>
        </is>
      </c>
      <c r="N397" s="22" t="inlineStr">
        <is>
          <t>If Present*</t>
        </is>
      </c>
    </row>
    <row r="398">
      <c r="B398" s="98" t="inlineStr">
        <is>
          <t>Natural gas - New Investment Override</t>
        </is>
      </c>
      <c r="C398" s="98" t="inlineStr">
        <is>
          <t>Switch</t>
        </is>
      </c>
      <c r="D398" s="98" t="n"/>
      <c r="E398" s="98" t="n"/>
      <c r="F398" s="98" t="inlineStr">
        <is>
          <t>If Present*</t>
        </is>
      </c>
      <c r="G398" s="98" t="inlineStr">
        <is>
          <t>If Present*</t>
        </is>
      </c>
      <c r="H398" s="98" t="inlineStr">
        <is>
          <t>NewInvNga</t>
        </is>
      </c>
      <c r="J398" s="22" t="inlineStr">
        <is>
          <t>If Present*</t>
        </is>
      </c>
      <c r="K398" s="22" t="inlineStr">
        <is>
          <t>If Present*</t>
        </is>
      </c>
      <c r="L398" s="22" t="inlineStr">
        <is>
          <t>If Present*</t>
        </is>
      </c>
      <c r="M398" s="22" t="inlineStr">
        <is>
          <t>If Present*</t>
        </is>
      </c>
      <c r="N398" s="22" t="inlineStr">
        <is>
          <t>If Present*</t>
        </is>
      </c>
    </row>
    <row r="399">
      <c r="B399" s="98" t="inlineStr">
        <is>
          <t>Oil - New Investment Override</t>
        </is>
      </c>
      <c r="C399" s="98" t="inlineStr">
        <is>
          <t>Switch</t>
        </is>
      </c>
      <c r="D399" s="98" t="n"/>
      <c r="E399" s="98" t="n"/>
      <c r="F399" s="98" t="inlineStr">
        <is>
          <t>If Present*</t>
        </is>
      </c>
      <c r="G399" s="98" t="inlineStr">
        <is>
          <t>If Present*</t>
        </is>
      </c>
      <c r="H399" s="98" t="inlineStr">
        <is>
          <t>NewInvOil</t>
        </is>
      </c>
      <c r="J399" s="22" t="inlineStr">
        <is>
          <t>If Present*</t>
        </is>
      </c>
      <c r="K399" s="22" t="inlineStr">
        <is>
          <t>If Present*</t>
        </is>
      </c>
      <c r="L399" s="22" t="inlineStr">
        <is>
          <t>If Present*</t>
        </is>
      </c>
      <c r="M399" s="22" t="inlineStr">
        <is>
          <t>If Present*</t>
        </is>
      </c>
      <c r="N399" s="22" t="inlineStr">
        <is>
          <t>If Present*</t>
        </is>
      </c>
    </row>
    <row r="400">
      <c r="B400" s="98" t="inlineStr">
        <is>
          <t>Nuclear - New Investment Override</t>
        </is>
      </c>
      <c r="C400" s="98" t="inlineStr">
        <is>
          <t>Switch</t>
        </is>
      </c>
      <c r="D400" s="98" t="n"/>
      <c r="E400" s="98" t="n"/>
      <c r="F400" s="98" t="inlineStr">
        <is>
          <t>If Present*</t>
        </is>
      </c>
      <c r="G400" s="98" t="inlineStr">
        <is>
          <t>If Present*</t>
        </is>
      </c>
      <c r="H400" s="98" t="inlineStr">
        <is>
          <t>NewInvNuc</t>
        </is>
      </c>
      <c r="J400" s="22" t="inlineStr">
        <is>
          <t>If Present*</t>
        </is>
      </c>
      <c r="K400" s="22" t="inlineStr">
        <is>
          <t>If Present*</t>
        </is>
      </c>
      <c r="L400" s="22" t="inlineStr">
        <is>
          <t>If Present*</t>
        </is>
      </c>
      <c r="M400" s="22" t="inlineStr">
        <is>
          <t>If Present*</t>
        </is>
      </c>
      <c r="N400" s="22" t="inlineStr">
        <is>
          <t>If Present*</t>
        </is>
      </c>
    </row>
    <row r="401">
      <c r="B401" s="98" t="inlineStr">
        <is>
          <t>Wind - New Investment Override</t>
        </is>
      </c>
      <c r="C401" s="98" t="inlineStr">
        <is>
          <t>Switch</t>
        </is>
      </c>
      <c r="D401" s="98" t="n"/>
      <c r="E401" s="98" t="n"/>
      <c r="F401" s="98" t="inlineStr">
        <is>
          <t>Yes</t>
        </is>
      </c>
      <c r="G401" s="98" t="inlineStr">
        <is>
          <t>Yes</t>
        </is>
      </c>
      <c r="H401" s="98" t="inlineStr">
        <is>
          <t>NewInvWnd</t>
        </is>
      </c>
      <c r="J401" s="22" t="inlineStr">
        <is>
          <t>Yes</t>
        </is>
      </c>
      <c r="K401" s="22" t="inlineStr">
        <is>
          <t>Yes</t>
        </is>
      </c>
      <c r="L401" s="22" t="inlineStr">
        <is>
          <t>Yes</t>
        </is>
      </c>
      <c r="M401" s="22" t="inlineStr">
        <is>
          <t>Yes</t>
        </is>
      </c>
      <c r="N401" s="22" t="inlineStr">
        <is>
          <t>Yes</t>
        </is>
      </c>
    </row>
    <row r="402">
      <c r="B402" s="98" t="inlineStr">
        <is>
          <t>Solar - New Investment Override</t>
        </is>
      </c>
      <c r="C402" s="98" t="inlineStr">
        <is>
          <t>Switch</t>
        </is>
      </c>
      <c r="D402" s="98" t="n"/>
      <c r="E402" s="98" t="n"/>
      <c r="F402" s="98" t="inlineStr">
        <is>
          <t>Yes</t>
        </is>
      </c>
      <c r="G402" s="98" t="inlineStr">
        <is>
          <t>Yes</t>
        </is>
      </c>
      <c r="H402" s="98" t="inlineStr">
        <is>
          <t>NewInvSol</t>
        </is>
      </c>
      <c r="J402" s="22" t="inlineStr">
        <is>
          <t>Yes</t>
        </is>
      </c>
      <c r="K402" s="22" t="inlineStr">
        <is>
          <t>Yes</t>
        </is>
      </c>
      <c r="L402" s="22" t="inlineStr">
        <is>
          <t>Yes</t>
        </is>
      </c>
      <c r="M402" s="22" t="inlineStr">
        <is>
          <t>Yes</t>
        </is>
      </c>
      <c r="N402" s="22" t="inlineStr">
        <is>
          <t>Yes</t>
        </is>
      </c>
    </row>
    <row r="403">
      <c r="B403" s="98" t="inlineStr">
        <is>
          <t>Hydro - New Investment Override</t>
        </is>
      </c>
      <c r="C403" s="98" t="inlineStr">
        <is>
          <t>Switch</t>
        </is>
      </c>
      <c r="D403" s="98" t="n"/>
      <c r="E403" s="98" t="n"/>
      <c r="F403" s="98" t="inlineStr">
        <is>
          <t>If Present*</t>
        </is>
      </c>
      <c r="G403" s="98" t="inlineStr">
        <is>
          <t>If Present*</t>
        </is>
      </c>
      <c r="H403" s="98" t="inlineStr">
        <is>
          <t>NewInvHyd</t>
        </is>
      </c>
      <c r="J403" s="22" t="inlineStr">
        <is>
          <t>If Present*</t>
        </is>
      </c>
      <c r="K403" s="22" t="inlineStr">
        <is>
          <t>If Present*</t>
        </is>
      </c>
      <c r="L403" s="22" t="inlineStr">
        <is>
          <t>If Present*</t>
        </is>
      </c>
      <c r="M403" s="22" t="inlineStr">
        <is>
          <t>If Present*</t>
        </is>
      </c>
      <c r="N403" s="22" t="inlineStr">
        <is>
          <t>If Present*</t>
        </is>
      </c>
    </row>
    <row r="404">
      <c r="B404" s="98" t="inlineStr">
        <is>
          <t>Other renewables - New Investment Override</t>
        </is>
      </c>
      <c r="C404" s="98" t="inlineStr">
        <is>
          <t>Switch</t>
        </is>
      </c>
      <c r="D404" s="98" t="n"/>
      <c r="E404" s="98" t="n"/>
      <c r="F404" s="98" t="inlineStr">
        <is>
          <t>If Present*</t>
        </is>
      </c>
      <c r="G404" s="98" t="inlineStr">
        <is>
          <t>If Present*</t>
        </is>
      </c>
      <c r="H404" s="98" t="inlineStr">
        <is>
          <t>NewInvOre</t>
        </is>
      </c>
      <c r="J404" s="22" t="inlineStr">
        <is>
          <t>If Present*</t>
        </is>
      </c>
      <c r="K404" s="22" t="inlineStr">
        <is>
          <t>If Present*</t>
        </is>
      </c>
      <c r="L404" s="22" t="inlineStr">
        <is>
          <t>If Present*</t>
        </is>
      </c>
      <c r="M404" s="22" t="inlineStr">
        <is>
          <t>If Present*</t>
        </is>
      </c>
      <c r="N404" s="22" t="inlineStr">
        <is>
          <t>If Present*</t>
        </is>
      </c>
    </row>
    <row r="405">
      <c r="B405" s="98" t="inlineStr">
        <is>
          <t>Biomass - New Investment Override</t>
        </is>
      </c>
      <c r="C405" s="98" t="inlineStr">
        <is>
          <t>Switch</t>
        </is>
      </c>
      <c r="D405" s="98" t="n"/>
      <c r="E405" s="98" t="n"/>
      <c r="F405" s="98" t="inlineStr">
        <is>
          <t>If Present*</t>
        </is>
      </c>
      <c r="G405" s="98" t="inlineStr">
        <is>
          <t>If Present*</t>
        </is>
      </c>
      <c r="H405" s="98" t="inlineStr">
        <is>
          <t>NewInvBio</t>
        </is>
      </c>
      <c r="J405" s="22" t="inlineStr">
        <is>
          <t>If Present*</t>
        </is>
      </c>
      <c r="K405" s="22" t="inlineStr">
        <is>
          <t>If Present*</t>
        </is>
      </c>
      <c r="L405" s="22" t="inlineStr">
        <is>
          <t>If Present*</t>
        </is>
      </c>
      <c r="M405" s="22" t="inlineStr">
        <is>
          <t>If Present*</t>
        </is>
      </c>
      <c r="N405" s="22" t="inlineStr">
        <is>
          <t>If Present*</t>
        </is>
      </c>
    </row>
    <row r="406">
      <c r="B406" t="inlineStr">
        <is>
          <t>Allowed New Investments (Date of Coming Online)</t>
        </is>
      </c>
    </row>
    <row r="407">
      <c r="B407" s="98" t="inlineStr">
        <is>
          <t>Coal</t>
        </is>
      </c>
      <c r="C407" s="98" t="inlineStr">
        <is>
          <t>Year</t>
        </is>
      </c>
      <c r="D407" s="98" t="n"/>
      <c r="E407" s="98" t="n"/>
      <c r="F407" s="98" t="n">
        <v>2022</v>
      </c>
      <c r="G407" s="98" t="n">
        <v>2022</v>
      </c>
      <c r="H407" s="98" t="inlineStr">
        <is>
          <t>NewInvCoaYear</t>
        </is>
      </c>
      <c r="J407" s="22" t="n">
        <v>2022</v>
      </c>
      <c r="K407" s="22" t="n">
        <v>2022</v>
      </c>
      <c r="L407" s="22" t="n">
        <v>2022</v>
      </c>
      <c r="M407" s="22" t="n">
        <v>2022</v>
      </c>
      <c r="N407" s="22" t="n">
        <v>2022</v>
      </c>
    </row>
    <row r="408">
      <c r="B408" s="98" t="inlineStr">
        <is>
          <t>Natural gas</t>
        </is>
      </c>
      <c r="C408" s="98" t="inlineStr">
        <is>
          <t>Year</t>
        </is>
      </c>
      <c r="D408" s="98" t="n"/>
      <c r="E408" s="98" t="n"/>
      <c r="F408" s="98" t="n">
        <v>2022</v>
      </c>
      <c r="G408" s="98" t="n">
        <v>2022</v>
      </c>
      <c r="H408" s="98" t="inlineStr">
        <is>
          <t>NewInvNgaYear</t>
        </is>
      </c>
      <c r="J408" s="22" t="n">
        <v>2022</v>
      </c>
      <c r="K408" s="22" t="n">
        <v>2022</v>
      </c>
      <c r="L408" s="22" t="n">
        <v>2022</v>
      </c>
      <c r="M408" s="22" t="n">
        <v>2022</v>
      </c>
      <c r="N408" s="22" t="n">
        <v>2022</v>
      </c>
    </row>
    <row r="409">
      <c r="B409" s="98" t="inlineStr">
        <is>
          <t>Oil</t>
        </is>
      </c>
      <c r="C409" s="98" t="inlineStr">
        <is>
          <t>Year</t>
        </is>
      </c>
      <c r="D409" s="98" t="n"/>
      <c r="E409" s="98" t="n"/>
      <c r="F409" s="98" t="n">
        <v>2022</v>
      </c>
      <c r="G409" s="98" t="n">
        <v>2022</v>
      </c>
      <c r="H409" s="98" t="inlineStr">
        <is>
          <t>NewInvOilYear</t>
        </is>
      </c>
      <c r="J409" s="22" t="n">
        <v>2022</v>
      </c>
      <c r="K409" s="22" t="n">
        <v>2022</v>
      </c>
      <c r="L409" s="22" t="n">
        <v>2022</v>
      </c>
      <c r="M409" s="22" t="n">
        <v>2022</v>
      </c>
      <c r="N409" s="22" t="n">
        <v>2022</v>
      </c>
    </row>
    <row r="410">
      <c r="B410" s="98" t="inlineStr">
        <is>
          <t>Nuclear</t>
        </is>
      </c>
      <c r="C410" s="98" t="inlineStr">
        <is>
          <t>Year</t>
        </is>
      </c>
      <c r="D410" s="98" t="n"/>
      <c r="E410" s="98" t="n"/>
      <c r="F410" s="98" t="n">
        <v>2030</v>
      </c>
      <c r="G410" s="98" t="n">
        <v>2030</v>
      </c>
      <c r="H410" s="98" t="inlineStr">
        <is>
          <t>NewInvNucYear</t>
        </is>
      </c>
      <c r="J410" s="22" t="n">
        <v>2030</v>
      </c>
      <c r="K410" s="22" t="n">
        <v>2030</v>
      </c>
      <c r="L410" s="22" t="n">
        <v>2030</v>
      </c>
      <c r="M410" s="22" t="n">
        <v>2030</v>
      </c>
      <c r="N410" s="22" t="n">
        <v>2030</v>
      </c>
    </row>
    <row r="411">
      <c r="B411" s="98" t="inlineStr">
        <is>
          <t>Wind</t>
        </is>
      </c>
      <c r="C411" s="98" t="inlineStr">
        <is>
          <t>Year</t>
        </is>
      </c>
      <c r="D411" s="98" t="n"/>
      <c r="E411" s="98" t="n"/>
      <c r="F411" s="98" t="n">
        <v>2022</v>
      </c>
      <c r="G411" s="98" t="n">
        <v>2022</v>
      </c>
      <c r="H411" s="98" t="inlineStr">
        <is>
          <t>NewInvWndYear</t>
        </is>
      </c>
      <c r="J411" s="22" t="n">
        <v>2022</v>
      </c>
      <c r="K411" s="22" t="n">
        <v>2022</v>
      </c>
      <c r="L411" s="22" t="n">
        <v>2022</v>
      </c>
      <c r="M411" s="22" t="n">
        <v>2022</v>
      </c>
      <c r="N411" s="22" t="n">
        <v>2022</v>
      </c>
    </row>
    <row r="412">
      <c r="B412" s="98" t="inlineStr">
        <is>
          <t>Solar</t>
        </is>
      </c>
      <c r="C412" s="98" t="inlineStr">
        <is>
          <t>Year</t>
        </is>
      </c>
      <c r="D412" s="98" t="n"/>
      <c r="E412" s="98" t="n"/>
      <c r="F412" s="98" t="n">
        <v>2022</v>
      </c>
      <c r="G412" s="98" t="n">
        <v>2022</v>
      </c>
      <c r="H412" s="98" t="inlineStr">
        <is>
          <t>NewInvSolYear</t>
        </is>
      </c>
      <c r="J412" s="22" t="n">
        <v>2022</v>
      </c>
      <c r="K412" s="22" t="n">
        <v>2022</v>
      </c>
      <c r="L412" s="22" t="n">
        <v>2022</v>
      </c>
      <c r="M412" s="22" t="n">
        <v>2022</v>
      </c>
      <c r="N412" s="22" t="n">
        <v>2022</v>
      </c>
    </row>
    <row r="413">
      <c r="B413" s="98" t="inlineStr">
        <is>
          <t>Hydro</t>
        </is>
      </c>
      <c r="C413" s="98" t="inlineStr">
        <is>
          <t>Year</t>
        </is>
      </c>
      <c r="D413" s="98" t="n"/>
      <c r="E413" s="98" t="n"/>
      <c r="F413" s="98" t="n">
        <v>2030</v>
      </c>
      <c r="G413" s="98" t="n">
        <v>2030</v>
      </c>
      <c r="H413" s="98" t="inlineStr">
        <is>
          <t>NewInvHydYear</t>
        </is>
      </c>
      <c r="J413" s="22" t="n">
        <v>2030</v>
      </c>
      <c r="K413" s="22" t="n">
        <v>2030</v>
      </c>
      <c r="L413" s="22" t="n">
        <v>2030</v>
      </c>
      <c r="M413" s="22" t="n">
        <v>2030</v>
      </c>
      <c r="N413" s="22" t="n">
        <v>2030</v>
      </c>
    </row>
    <row r="414">
      <c r="B414" s="98" t="inlineStr">
        <is>
          <t>Other renewables</t>
        </is>
      </c>
      <c r="C414" s="98" t="inlineStr">
        <is>
          <t>Year</t>
        </is>
      </c>
      <c r="D414" s="98" t="n"/>
      <c r="E414" s="98" t="n"/>
      <c r="F414" s="98" t="n">
        <v>2030</v>
      </c>
      <c r="G414" s="98" t="n">
        <v>2030</v>
      </c>
      <c r="H414" s="98" t="inlineStr">
        <is>
          <t>NewInvOreYear</t>
        </is>
      </c>
      <c r="J414" s="22" t="n">
        <v>2030</v>
      </c>
      <c r="K414" s="22" t="n">
        <v>2030</v>
      </c>
      <c r="L414" s="22" t="n">
        <v>2030</v>
      </c>
      <c r="M414" s="22" t="n">
        <v>2030</v>
      </c>
      <c r="N414" s="22" t="n">
        <v>2030</v>
      </c>
    </row>
    <row r="415">
      <c r="B415" s="98" t="inlineStr">
        <is>
          <t>Biomass</t>
        </is>
      </c>
      <c r="C415" s="98" t="inlineStr">
        <is>
          <t>Year</t>
        </is>
      </c>
      <c r="D415" s="98" t="n"/>
      <c r="E415" s="98" t="n"/>
      <c r="F415" s="98" t="n">
        <v>2022</v>
      </c>
      <c r="G415" s="98" t="n">
        <v>2022</v>
      </c>
      <c r="H415" s="98" t="inlineStr">
        <is>
          <t>NewInvBioYear</t>
        </is>
      </c>
      <c r="J415" s="22" t="n">
        <v>2022</v>
      </c>
      <c r="K415" s="22" t="n">
        <v>2022</v>
      </c>
      <c r="L415" s="22" t="n">
        <v>2022</v>
      </c>
      <c r="M415" s="22" t="n">
        <v>2022</v>
      </c>
      <c r="N415" s="22" t="n">
        <v>2022</v>
      </c>
    </row>
  </sheetData>
  <pageMargins left="0.75" right="0.75" top="1" bottom="1" header="0.5" footer="0.5"/>
</worksheet>
</file>

<file path=xl/worksheets/sheet12.xml><?xml version="1.0" encoding="utf-8"?>
<worksheet xmlns="http://schemas.openxmlformats.org/spreadsheetml/2006/main">
  <sheetPr codeName="Sheet12">
    <outlinePr summaryBelow="1" summaryRight="1"/>
    <pageSetUpPr/>
  </sheetPr>
  <dimension ref="A2:AA132"/>
  <sheetViews>
    <sheetView tabSelected="0" workbookViewId="0">
      <pane xSplit="3" ySplit="4" topLeftCell="D5" activePane="bottomRight" state="frozen"/>
      <selection pane="topRight"/>
      <selection pane="bottomLeft"/>
      <selection pane="bottomRight" activeCell="A1" sqref="A1"/>
    </sheetView>
  </sheetViews>
  <sheetFormatPr baseColWidth="8" defaultRowHeight="15" outlineLevelCol="0"/>
  <cols>
    <col width="10" customWidth="1" min="1" max="1"/>
    <col width="10" customWidth="1" min="2" max="2"/>
    <col width="10" customWidth="1" min="3" max="3"/>
    <col width="10" customWidth="1" min="4" max="4"/>
    <col width="10"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10" customWidth="1" min="16" max="16"/>
    <col width="10" customWidth="1" min="17" max="17"/>
    <col width="10" customWidth="1" min="18" max="18"/>
    <col width="10" customWidth="1" min="19" max="19"/>
    <col width="10" customWidth="1" min="20" max="20"/>
    <col width="10" customWidth="1" min="21" max="21"/>
    <col width="10" customWidth="1" min="22" max="22"/>
    <col width="10" customWidth="1" min="23" max="23"/>
    <col width="10" customWidth="1" min="24" max="24"/>
    <col width="10" customWidth="1" min="25" max="25"/>
    <col width="10" customWidth="1" min="26" max="26"/>
    <col width="10" customWidth="1" min="27" max="27"/>
  </cols>
  <sheetData>
    <row r="2">
      <c r="A2" s="2" t="inlineStr">
        <is>
          <t>Inputs by fuel | subsector: every lookup used by Mitigation (data step, no calculations)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row>
    <row r="3">
      <c r="A3" s="14" t="inlineStr">
        <is>
          <t>One row per fuel | subsector (same taxonomy as Mitigation columns B:C). Mitigation reads these columns with INDEX/MATCH on the key. Green = input.</t>
        </is>
      </c>
    </row>
    <row r="4" ht="48" customHeight="1">
      <c r="A4" s="90" t="inlineStr">
        <is>
          <t>Key (fuel|subsector)</t>
        </is>
      </c>
      <c r="B4" s="90" t="inlineStr">
        <is>
          <t>Fuel</t>
        </is>
      </c>
      <c r="C4" s="90" t="inlineStr">
        <is>
          <t>Subsector</t>
        </is>
      </c>
      <c r="D4" s="90" t="inlineStr">
        <is>
          <t>Elasticity sector</t>
        </is>
      </c>
      <c r="E4" s="90" t="inlineStr">
        <is>
          <t>Elasticity fuel</t>
        </is>
      </c>
      <c r="F4" s="90" t="inlineStr">
        <is>
          <t>AEEI fuel</t>
        </is>
      </c>
      <c r="G4" s="90" t="inlineStr">
        <is>
          <t>Price sector rule of the fuel (sub / all)</t>
        </is>
      </c>
      <c r="H4" s="90" t="inlineStr">
        <is>
          <t>Coal/gas price sector of the subsector</t>
        </is>
      </c>
      <c r="I4" s="90" t="inlineStr">
        <is>
          <t>Price code</t>
        </is>
      </c>
      <c r="J4" s="90" t="inlineStr">
        <is>
          <t>EF sector</t>
        </is>
      </c>
      <c r="K4" s="90" t="inlineStr">
        <is>
          <t>GJ per price unit</t>
        </is>
      </c>
      <c r="L4" s="90" t="inlineStr">
        <is>
          <t>Fuel position (coverage)</t>
        </is>
      </c>
      <c r="M4" s="90" t="inlineStr">
        <is>
          <t>Sector position (coverage)</t>
        </is>
      </c>
      <c r="N4" s="90" t="inlineStr">
        <is>
          <t>Price-fuel position (fuel price reform)</t>
        </is>
      </c>
      <c r="O4" s="90" t="inlineStr">
        <is>
          <t>eps_Y GDP</t>
        </is>
      </c>
      <c r="P4" s="90" t="inlineStr">
        <is>
          <t>eps_U usage</t>
        </is>
      </c>
      <c r="Q4" s="90" t="inlineStr">
        <is>
          <t>eps_F efficiency</t>
        </is>
      </c>
      <c r="R4" s="90" t="inlineStr">
        <is>
          <t>alpha AEEI</t>
        </is>
      </c>
      <c r="S4" s="90" t="inlineStr">
        <is>
          <t>AEEI factor (1/(1+alpha))^(1+eps_U)</t>
        </is>
      </c>
      <c r="T4" s="90" t="inlineStr">
        <is>
          <t>Efficiency exponent eps_F x (1+eps_U)</t>
        </is>
      </c>
      <c r="U4" s="90" t="inlineStr">
        <is>
          <t>Price position (section 2)</t>
        </is>
      </c>
      <c r="V4" s="90" t="inlineStr">
        <is>
          <t>VAT rate</t>
        </is>
      </c>
      <c r="W4" s="90" t="inlineStr">
        <is>
          <t>EF (tCO2/GJ)</t>
        </is>
      </c>
      <c r="X4" s="90" t="inlineStr">
        <is>
          <t>Base-year fuel use (ktoe)</t>
        </is>
      </c>
      <c r="Y4" s="90" t="inlineStr">
        <is>
          <t>ECP sector of the subsector (legacy: pow, trs, res, ind)</t>
        </is>
      </c>
      <c r="Z4" s="90" t="inlineStr">
        <is>
          <t>Existing carbon tax coverage: sector x fuel share (sheet ECP)</t>
        </is>
      </c>
      <c r="AA4" s="90" t="inlineStr">
        <is>
          <t>Existing ETS coverage: sector x fuel share (sheet ECP)</t>
        </is>
      </c>
    </row>
    <row r="5">
      <c r="A5" s="14">
        <f>$B5&amp;"|"&amp;$C5</f>
        <v/>
      </c>
      <c r="B5" s="22" t="inlineStr">
        <is>
          <t>coa</t>
        </is>
      </c>
      <c r="C5" s="22" t="inlineStr">
        <is>
          <t>rod</t>
        </is>
      </c>
      <c r="D5" s="14">
        <f>INDEX(Mapping!$D$5:$D$20,MATCH($C5,SubKey,0))</f>
        <v/>
      </c>
      <c r="E5" s="14">
        <f>INDEX(Mapping!$C$30:$C$37,MATCH($B5,FuelKey,0))</f>
        <v/>
      </c>
      <c r="F5" s="14">
        <f>INDEX(Mapping!$D$30:$D$37,MATCH($B5,FuelKey,0))</f>
        <v/>
      </c>
      <c r="G5" s="14">
        <f>INDEX(Mapping!$E$30:$E$37,MATCH($B5,FuelKey,0))</f>
        <v/>
      </c>
      <c r="H5" s="14">
        <f>INDEX(Mapping!$F$5:$F$20,MATCH($C5,SubKey,0))</f>
        <v/>
      </c>
      <c r="I5" s="14">
        <f>$B5&amp;"."&amp;IF($G5="sub",$H5,"all")</f>
        <v/>
      </c>
      <c r="J5" s="14">
        <f>INDEX(Mapping!$E$5:$E$20,MATCH($C5,SubKey,0))</f>
        <v/>
      </c>
      <c r="K5" s="14">
        <f>INDEX(Mapping!$G$30:$G$37,MATCH($B5,FuelKey,0))</f>
        <v/>
      </c>
      <c r="L5" s="14">
        <f>INDEX(Mapping!$H$30:$H$37,MATCH($B5,FuelKey,0))</f>
        <v/>
      </c>
      <c r="M5" s="14">
        <f>INDEX(Mapping!$H$5:$H$20,MATCH($C5,SubKey,0))</f>
        <v/>
      </c>
      <c r="N5" s="14">
        <f>INDEX(Mapping!$E$50:$E$63,MATCH($I5,Mapping!$A$50:$A$63,0))</f>
        <v/>
      </c>
      <c r="O5" s="24">
        <f>INDEX(ElaVal,MATCH("inc|"&amp;$E5&amp;"|"&amp;$D5,ElaKey,0),MATCH(Settings!$C$6,ElaGroup,0))</f>
        <v/>
      </c>
      <c r="P5" s="24">
        <f>INDEX(ElaVal,MATCH("usg|"&amp;$E5&amp;"|"&amp;$D5,ElaKey,0),MATCH(Settings!$C$6,ElaGroup,0))</f>
        <v/>
      </c>
      <c r="Q5" s="24">
        <f>INDEX(ElaVal,MATCH("eff|"&amp;$E5&amp;"|"&amp;$D5,ElaKey,0),MATCH(Settings!$C$6,ElaGroup,0))</f>
        <v/>
      </c>
      <c r="R5" s="13">
        <f>INDEX(ElaVal,MATCH("aei|"&amp;$F5&amp;"|"&amp;$D5,ElaKey,0),MATCH(Settings!$C$6,ElaGroup,0))</f>
        <v/>
      </c>
      <c r="S5" s="16">
        <f>(1/(1+$R5))^(1+$P5)</f>
        <v/>
      </c>
      <c r="T5" s="24">
        <f>$Q5*(1+$P5)</f>
        <v/>
      </c>
      <c r="U5" s="14">
        <f>INDEX(Inputs_prices!$E$7:$E$18,MATCH($I5,Inputs_prices!$A$7:$A$18,0))</f>
        <v/>
      </c>
      <c r="V5" s="13">
        <f>INDEX(Inputs_prices!$R$7:$R$18,MATCH($I5,Inputs_prices!$A$7:$A$18,0))</f>
        <v/>
      </c>
      <c r="W5" s="16">
        <f>INDEX(EFVal,MATCH(Settings!$C$4&amp;"|"&amp;$B5&amp;"|"&amp;$J5,EFKey,0))</f>
        <v/>
      </c>
      <c r="X5" s="44">
        <f>INDEX(ConsVal,MATCH(Settings!$C$4&amp;"|"&amp;Settings!$C$7&amp;"|"&amp;$C5&amp;"|"&amp;$B5,ConsKey,0))</f>
        <v/>
      </c>
      <c r="Y5" s="14">
        <f>INDEX(Mapping!$I$5:$I$20,MATCH($C5,SubKey,0))</f>
        <v/>
      </c>
      <c r="Z5" s="35">
        <f>INDEX(ECPCov,MATCH("ecs."&amp;$Y5,ECPKey,0))*INDEX(ECPCov,MATCH("ecf."&amp;$B5,ECPKey,0))</f>
        <v/>
      </c>
      <c r="AA5" s="35">
        <f>INDEX(ECPCov,MATCH("ees."&amp;$Y5,ECPKey,0))*INDEX(ECPCov,MATCH("eef."&amp;$B5,ECPKey,0))</f>
        <v/>
      </c>
    </row>
    <row r="6">
      <c r="A6" s="14">
        <f>$B6&amp;"|"&amp;$C6</f>
        <v/>
      </c>
      <c r="B6" s="22" t="inlineStr">
        <is>
          <t>nga</t>
        </is>
      </c>
      <c r="C6" s="22" t="inlineStr">
        <is>
          <t>rod</t>
        </is>
      </c>
      <c r="D6" s="14">
        <f>INDEX(Mapping!$D$5:$D$20,MATCH($C6,SubKey,0))</f>
        <v/>
      </c>
      <c r="E6" s="14">
        <f>INDEX(Mapping!$C$30:$C$37,MATCH($B6,FuelKey,0))</f>
        <v/>
      </c>
      <c r="F6" s="14">
        <f>INDEX(Mapping!$D$30:$D$37,MATCH($B6,FuelKey,0))</f>
        <v/>
      </c>
      <c r="G6" s="14">
        <f>INDEX(Mapping!$E$30:$E$37,MATCH($B6,FuelKey,0))</f>
        <v/>
      </c>
      <c r="H6" s="14">
        <f>INDEX(Mapping!$F$5:$F$20,MATCH($C6,SubKey,0))</f>
        <v/>
      </c>
      <c r="I6" s="14">
        <f>$B6&amp;"."&amp;IF($G6="sub",$H6,"all")</f>
        <v/>
      </c>
      <c r="J6" s="14">
        <f>INDEX(Mapping!$E$5:$E$20,MATCH($C6,SubKey,0))</f>
        <v/>
      </c>
      <c r="K6" s="14">
        <f>INDEX(Mapping!$G$30:$G$37,MATCH($B6,FuelKey,0))</f>
        <v/>
      </c>
      <c r="L6" s="14">
        <f>INDEX(Mapping!$H$30:$H$37,MATCH($B6,FuelKey,0))</f>
        <v/>
      </c>
      <c r="M6" s="14">
        <f>INDEX(Mapping!$H$5:$H$20,MATCH($C6,SubKey,0))</f>
        <v/>
      </c>
      <c r="N6" s="14">
        <f>INDEX(Mapping!$E$50:$E$63,MATCH($I6,Mapping!$A$50:$A$63,0))</f>
        <v/>
      </c>
      <c r="O6" s="24">
        <f>INDEX(ElaVal,MATCH("inc|"&amp;$E6&amp;"|"&amp;$D6,ElaKey,0),MATCH(Settings!$C$6,ElaGroup,0))</f>
        <v/>
      </c>
      <c r="P6" s="24">
        <f>INDEX(ElaVal,MATCH("usg|"&amp;$E6&amp;"|"&amp;$D6,ElaKey,0),MATCH(Settings!$C$6,ElaGroup,0))</f>
        <v/>
      </c>
      <c r="Q6" s="24">
        <f>INDEX(ElaVal,MATCH("eff|"&amp;$E6&amp;"|"&amp;$D6,ElaKey,0),MATCH(Settings!$C$6,ElaGroup,0))</f>
        <v/>
      </c>
      <c r="R6" s="13">
        <f>INDEX(ElaVal,MATCH("aei|"&amp;$F6&amp;"|"&amp;$D6,ElaKey,0),MATCH(Settings!$C$6,ElaGroup,0))</f>
        <v/>
      </c>
      <c r="S6" s="16">
        <f>(1/(1+$R6))^(1+$P6)</f>
        <v/>
      </c>
      <c r="T6" s="24">
        <f>$Q6*(1+$P6)</f>
        <v/>
      </c>
      <c r="U6" s="14">
        <f>INDEX(Inputs_prices!$E$7:$E$18,MATCH($I6,Inputs_prices!$A$7:$A$18,0))</f>
        <v/>
      </c>
      <c r="V6" s="13">
        <f>INDEX(Inputs_prices!$R$7:$R$18,MATCH($I6,Inputs_prices!$A$7:$A$18,0))</f>
        <v/>
      </c>
      <c r="W6" s="16">
        <f>INDEX(EFVal,MATCH(Settings!$C$4&amp;"|"&amp;$B6&amp;"|"&amp;$J6,EFKey,0))</f>
        <v/>
      </c>
      <c r="X6" s="44">
        <f>INDEX(ConsVal,MATCH(Settings!$C$4&amp;"|"&amp;Settings!$C$7&amp;"|"&amp;$C6&amp;"|"&amp;$B6,ConsKey,0))</f>
        <v/>
      </c>
      <c r="Y6" s="14">
        <f>INDEX(Mapping!$I$5:$I$20,MATCH($C6,SubKey,0))</f>
        <v/>
      </c>
      <c r="Z6" s="35">
        <f>INDEX(ECPCov,MATCH("ecs."&amp;$Y6,ECPKey,0))*INDEX(ECPCov,MATCH("ecf."&amp;$B6,ECPKey,0))</f>
        <v/>
      </c>
      <c r="AA6" s="35">
        <f>INDEX(ECPCov,MATCH("ees."&amp;$Y6,ECPKey,0))*INDEX(ECPCov,MATCH("eef."&amp;$B6,ECPKey,0))</f>
        <v/>
      </c>
    </row>
    <row r="7">
      <c r="A7" s="14">
        <f>$B7&amp;"|"&amp;$C7</f>
        <v/>
      </c>
      <c r="B7" s="22" t="inlineStr">
        <is>
          <t>gso</t>
        </is>
      </c>
      <c r="C7" s="22" t="inlineStr">
        <is>
          <t>rod</t>
        </is>
      </c>
      <c r="D7" s="14">
        <f>INDEX(Mapping!$D$5:$D$20,MATCH($C7,SubKey,0))</f>
        <v/>
      </c>
      <c r="E7" s="14">
        <f>INDEX(Mapping!$C$30:$C$37,MATCH($B7,FuelKey,0))</f>
        <v/>
      </c>
      <c r="F7" s="14">
        <f>INDEX(Mapping!$D$30:$D$37,MATCH($B7,FuelKey,0))</f>
        <v/>
      </c>
      <c r="G7" s="14">
        <f>INDEX(Mapping!$E$30:$E$37,MATCH($B7,FuelKey,0))</f>
        <v/>
      </c>
      <c r="H7" s="14">
        <f>INDEX(Mapping!$F$5:$F$20,MATCH($C7,SubKey,0))</f>
        <v/>
      </c>
      <c r="I7" s="14">
        <f>$B7&amp;"."&amp;IF($G7="sub",$H7,"all")</f>
        <v/>
      </c>
      <c r="J7" s="14">
        <f>INDEX(Mapping!$E$5:$E$20,MATCH($C7,SubKey,0))</f>
        <v/>
      </c>
      <c r="K7" s="14">
        <f>INDEX(Mapping!$G$30:$G$37,MATCH($B7,FuelKey,0))</f>
        <v/>
      </c>
      <c r="L7" s="14">
        <f>INDEX(Mapping!$H$30:$H$37,MATCH($B7,FuelKey,0))</f>
        <v/>
      </c>
      <c r="M7" s="14">
        <f>INDEX(Mapping!$H$5:$H$20,MATCH($C7,SubKey,0))</f>
        <v/>
      </c>
      <c r="N7" s="14">
        <f>INDEX(Mapping!$E$50:$E$63,MATCH($I7,Mapping!$A$50:$A$63,0))</f>
        <v/>
      </c>
      <c r="O7" s="24">
        <f>INDEX(ElaVal,MATCH("inc|"&amp;$E7&amp;"|"&amp;$D7,ElaKey,0),MATCH(Settings!$C$6,ElaGroup,0))</f>
        <v/>
      </c>
      <c r="P7" s="24">
        <f>INDEX(ElaVal,MATCH("usg|"&amp;$E7&amp;"|"&amp;$D7,ElaKey,0),MATCH(Settings!$C$6,ElaGroup,0))</f>
        <v/>
      </c>
      <c r="Q7" s="24">
        <f>INDEX(ElaVal,MATCH("eff|"&amp;$E7&amp;"|"&amp;$D7,ElaKey,0),MATCH(Settings!$C$6,ElaGroup,0))</f>
        <v/>
      </c>
      <c r="R7" s="13">
        <f>INDEX(ElaVal,MATCH("aei|"&amp;$F7&amp;"|"&amp;$D7,ElaKey,0),MATCH(Settings!$C$6,ElaGroup,0))</f>
        <v/>
      </c>
      <c r="S7" s="16">
        <f>(1/(1+$R7))^(1+$P7)</f>
        <v/>
      </c>
      <c r="T7" s="24">
        <f>$Q7*(1+$P7)</f>
        <v/>
      </c>
      <c r="U7" s="14">
        <f>INDEX(Inputs_prices!$E$7:$E$18,MATCH($I7,Inputs_prices!$A$7:$A$18,0))</f>
        <v/>
      </c>
      <c r="V7" s="13">
        <f>INDEX(Inputs_prices!$R$7:$R$18,MATCH($I7,Inputs_prices!$A$7:$A$18,0))</f>
        <v/>
      </c>
      <c r="W7" s="16">
        <f>INDEX(EFVal,MATCH(Settings!$C$4&amp;"|"&amp;$B7&amp;"|"&amp;$J7,EFKey,0))</f>
        <v/>
      </c>
      <c r="X7" s="44">
        <f>INDEX(ConsVal,MATCH(Settings!$C$4&amp;"|"&amp;Settings!$C$7&amp;"|"&amp;$C7&amp;"|"&amp;$B7,ConsKey,0))</f>
        <v/>
      </c>
      <c r="Y7" s="14">
        <f>INDEX(Mapping!$I$5:$I$20,MATCH($C7,SubKey,0))</f>
        <v/>
      </c>
      <c r="Z7" s="35">
        <f>INDEX(ECPCov,MATCH("ecs."&amp;$Y7,ECPKey,0))*INDEX(ECPCov,MATCH("ecf."&amp;$B7,ECPKey,0))</f>
        <v/>
      </c>
      <c r="AA7" s="35">
        <f>INDEX(ECPCov,MATCH("ees."&amp;$Y7,ECPKey,0))*INDEX(ECPCov,MATCH("eef."&amp;$B7,ECPKey,0))</f>
        <v/>
      </c>
    </row>
    <row r="8">
      <c r="A8" s="14">
        <f>$B8&amp;"|"&amp;$C8</f>
        <v/>
      </c>
      <c r="B8" s="22" t="inlineStr">
        <is>
          <t>die</t>
        </is>
      </c>
      <c r="C8" s="22" t="inlineStr">
        <is>
          <t>rod</t>
        </is>
      </c>
      <c r="D8" s="14">
        <f>INDEX(Mapping!$D$5:$D$20,MATCH($C8,SubKey,0))</f>
        <v/>
      </c>
      <c r="E8" s="14">
        <f>INDEX(Mapping!$C$30:$C$37,MATCH($B8,FuelKey,0))</f>
        <v/>
      </c>
      <c r="F8" s="14">
        <f>INDEX(Mapping!$D$30:$D$37,MATCH($B8,FuelKey,0))</f>
        <v/>
      </c>
      <c r="G8" s="14">
        <f>INDEX(Mapping!$E$30:$E$37,MATCH($B8,FuelKey,0))</f>
        <v/>
      </c>
      <c r="H8" s="14">
        <f>INDEX(Mapping!$F$5:$F$20,MATCH($C8,SubKey,0))</f>
        <v/>
      </c>
      <c r="I8" s="14">
        <f>$B8&amp;"."&amp;IF($G8="sub",$H8,"all")</f>
        <v/>
      </c>
      <c r="J8" s="14">
        <f>INDEX(Mapping!$E$5:$E$20,MATCH($C8,SubKey,0))</f>
        <v/>
      </c>
      <c r="K8" s="14">
        <f>INDEX(Mapping!$G$30:$G$37,MATCH($B8,FuelKey,0))</f>
        <v/>
      </c>
      <c r="L8" s="14">
        <f>INDEX(Mapping!$H$30:$H$37,MATCH($B8,FuelKey,0))</f>
        <v/>
      </c>
      <c r="M8" s="14">
        <f>INDEX(Mapping!$H$5:$H$20,MATCH($C8,SubKey,0))</f>
        <v/>
      </c>
      <c r="N8" s="14">
        <f>INDEX(Mapping!$E$50:$E$63,MATCH($I8,Mapping!$A$50:$A$63,0))</f>
        <v/>
      </c>
      <c r="O8" s="24">
        <f>INDEX(ElaVal,MATCH("inc|"&amp;$E8&amp;"|"&amp;$D8,ElaKey,0),MATCH(Settings!$C$6,ElaGroup,0))</f>
        <v/>
      </c>
      <c r="P8" s="24">
        <f>INDEX(ElaVal,MATCH("usg|"&amp;$E8&amp;"|"&amp;$D8,ElaKey,0),MATCH(Settings!$C$6,ElaGroup,0))</f>
        <v/>
      </c>
      <c r="Q8" s="24">
        <f>INDEX(ElaVal,MATCH("eff|"&amp;$E8&amp;"|"&amp;$D8,ElaKey,0),MATCH(Settings!$C$6,ElaGroup,0))</f>
        <v/>
      </c>
      <c r="R8" s="13">
        <f>INDEX(ElaVal,MATCH("aei|"&amp;$F8&amp;"|"&amp;$D8,ElaKey,0),MATCH(Settings!$C$6,ElaGroup,0))</f>
        <v/>
      </c>
      <c r="S8" s="16">
        <f>(1/(1+$R8))^(1+$P8)</f>
        <v/>
      </c>
      <c r="T8" s="24">
        <f>$Q8*(1+$P8)</f>
        <v/>
      </c>
      <c r="U8" s="14">
        <f>INDEX(Inputs_prices!$E$7:$E$18,MATCH($I8,Inputs_prices!$A$7:$A$18,0))</f>
        <v/>
      </c>
      <c r="V8" s="13">
        <f>INDEX(Inputs_prices!$R$7:$R$18,MATCH($I8,Inputs_prices!$A$7:$A$18,0))</f>
        <v/>
      </c>
      <c r="W8" s="16">
        <f>INDEX(EFVal,MATCH(Settings!$C$4&amp;"|"&amp;$B8&amp;"|"&amp;$J8,EFKey,0))</f>
        <v/>
      </c>
      <c r="X8" s="44">
        <f>INDEX(ConsVal,MATCH(Settings!$C$4&amp;"|"&amp;Settings!$C$7&amp;"|"&amp;$C8&amp;"|"&amp;$B8,ConsKey,0))</f>
        <v/>
      </c>
      <c r="Y8" s="14">
        <f>INDEX(Mapping!$I$5:$I$20,MATCH($C8,SubKey,0))</f>
        <v/>
      </c>
      <c r="Z8" s="35">
        <f>INDEX(ECPCov,MATCH("ecs."&amp;$Y8,ECPKey,0))*INDEX(ECPCov,MATCH("ecf."&amp;$B8,ECPKey,0))</f>
        <v/>
      </c>
      <c r="AA8" s="35">
        <f>INDEX(ECPCov,MATCH("ees."&amp;$Y8,ECPKey,0))*INDEX(ECPCov,MATCH("eef."&amp;$B8,ECPKey,0))</f>
        <v/>
      </c>
    </row>
    <row r="9">
      <c r="A9" s="14">
        <f>$B9&amp;"|"&amp;$C9</f>
        <v/>
      </c>
      <c r="B9" s="22" t="inlineStr">
        <is>
          <t>lpg</t>
        </is>
      </c>
      <c r="C9" s="22" t="inlineStr">
        <is>
          <t>rod</t>
        </is>
      </c>
      <c r="D9" s="14">
        <f>INDEX(Mapping!$D$5:$D$20,MATCH($C9,SubKey,0))</f>
        <v/>
      </c>
      <c r="E9" s="14">
        <f>INDEX(Mapping!$C$30:$C$37,MATCH($B9,FuelKey,0))</f>
        <v/>
      </c>
      <c r="F9" s="14">
        <f>INDEX(Mapping!$D$30:$D$37,MATCH($B9,FuelKey,0))</f>
        <v/>
      </c>
      <c r="G9" s="14">
        <f>INDEX(Mapping!$E$30:$E$37,MATCH($B9,FuelKey,0))</f>
        <v/>
      </c>
      <c r="H9" s="14">
        <f>INDEX(Mapping!$F$5:$F$20,MATCH($C9,SubKey,0))</f>
        <v/>
      </c>
      <c r="I9" s="14">
        <f>$B9&amp;"."&amp;IF($G9="sub",$H9,"all")</f>
        <v/>
      </c>
      <c r="J9" s="14">
        <f>INDEX(Mapping!$E$5:$E$20,MATCH($C9,SubKey,0))</f>
        <v/>
      </c>
      <c r="K9" s="14">
        <f>INDEX(Mapping!$G$30:$G$37,MATCH($B9,FuelKey,0))</f>
        <v/>
      </c>
      <c r="L9" s="14">
        <f>INDEX(Mapping!$H$30:$H$37,MATCH($B9,FuelKey,0))</f>
        <v/>
      </c>
      <c r="M9" s="14">
        <f>INDEX(Mapping!$H$5:$H$20,MATCH($C9,SubKey,0))</f>
        <v/>
      </c>
      <c r="N9" s="14">
        <f>INDEX(Mapping!$E$50:$E$63,MATCH($I9,Mapping!$A$50:$A$63,0))</f>
        <v/>
      </c>
      <c r="O9" s="24">
        <f>INDEX(ElaVal,MATCH("inc|"&amp;$E9&amp;"|"&amp;$D9,ElaKey,0),MATCH(Settings!$C$6,ElaGroup,0))</f>
        <v/>
      </c>
      <c r="P9" s="24">
        <f>INDEX(ElaVal,MATCH("usg|"&amp;$E9&amp;"|"&amp;$D9,ElaKey,0),MATCH(Settings!$C$6,ElaGroup,0))</f>
        <v/>
      </c>
      <c r="Q9" s="24">
        <f>INDEX(ElaVal,MATCH("eff|"&amp;$E9&amp;"|"&amp;$D9,ElaKey,0),MATCH(Settings!$C$6,ElaGroup,0))</f>
        <v/>
      </c>
      <c r="R9" s="13">
        <f>INDEX(ElaVal,MATCH("aei|"&amp;$F9&amp;"|"&amp;$D9,ElaKey,0),MATCH(Settings!$C$6,ElaGroup,0))</f>
        <v/>
      </c>
      <c r="S9" s="16">
        <f>(1/(1+$R9))^(1+$P9)</f>
        <v/>
      </c>
      <c r="T9" s="24">
        <f>$Q9*(1+$P9)</f>
        <v/>
      </c>
      <c r="U9" s="14">
        <f>INDEX(Inputs_prices!$E$7:$E$18,MATCH($I9,Inputs_prices!$A$7:$A$18,0))</f>
        <v/>
      </c>
      <c r="V9" s="13">
        <f>INDEX(Inputs_prices!$R$7:$R$18,MATCH($I9,Inputs_prices!$A$7:$A$18,0))</f>
        <v/>
      </c>
      <c r="W9" s="16">
        <f>INDEX(EFVal,MATCH(Settings!$C$4&amp;"|"&amp;$B9&amp;"|"&amp;$J9,EFKey,0))</f>
        <v/>
      </c>
      <c r="X9" s="44">
        <f>INDEX(ConsVal,MATCH(Settings!$C$4&amp;"|"&amp;Settings!$C$7&amp;"|"&amp;$C9&amp;"|"&amp;$B9,ConsKey,0))</f>
        <v/>
      </c>
      <c r="Y9" s="14">
        <f>INDEX(Mapping!$I$5:$I$20,MATCH($C9,SubKey,0))</f>
        <v/>
      </c>
      <c r="Z9" s="35">
        <f>INDEX(ECPCov,MATCH("ecs."&amp;$Y9,ECPKey,0))*INDEX(ECPCov,MATCH("ecf."&amp;$B9,ECPKey,0))</f>
        <v/>
      </c>
      <c r="AA9" s="35">
        <f>INDEX(ECPCov,MATCH("ees."&amp;$Y9,ECPKey,0))*INDEX(ECPCov,MATCH("eef."&amp;$B9,ECPKey,0))</f>
        <v/>
      </c>
    </row>
    <row r="10">
      <c r="A10" s="14">
        <f>$B10&amp;"|"&amp;$C10</f>
        <v/>
      </c>
      <c r="B10" s="22" t="inlineStr">
        <is>
          <t>ker</t>
        </is>
      </c>
      <c r="C10" s="22" t="inlineStr">
        <is>
          <t>rod</t>
        </is>
      </c>
      <c r="D10" s="14">
        <f>INDEX(Mapping!$D$5:$D$20,MATCH($C10,SubKey,0))</f>
        <v/>
      </c>
      <c r="E10" s="14">
        <f>INDEX(Mapping!$C$30:$C$37,MATCH($B10,FuelKey,0))</f>
        <v/>
      </c>
      <c r="F10" s="14">
        <f>INDEX(Mapping!$D$30:$D$37,MATCH($B10,FuelKey,0))</f>
        <v/>
      </c>
      <c r="G10" s="14">
        <f>INDEX(Mapping!$E$30:$E$37,MATCH($B10,FuelKey,0))</f>
        <v/>
      </c>
      <c r="H10" s="14">
        <f>INDEX(Mapping!$F$5:$F$20,MATCH($C10,SubKey,0))</f>
        <v/>
      </c>
      <c r="I10" s="14">
        <f>$B10&amp;"."&amp;IF($G10="sub",$H10,"all")</f>
        <v/>
      </c>
      <c r="J10" s="14">
        <f>INDEX(Mapping!$E$5:$E$20,MATCH($C10,SubKey,0))</f>
        <v/>
      </c>
      <c r="K10" s="14">
        <f>INDEX(Mapping!$G$30:$G$37,MATCH($B10,FuelKey,0))</f>
        <v/>
      </c>
      <c r="L10" s="14">
        <f>INDEX(Mapping!$H$30:$H$37,MATCH($B10,FuelKey,0))</f>
        <v/>
      </c>
      <c r="M10" s="14">
        <f>INDEX(Mapping!$H$5:$H$20,MATCH($C10,SubKey,0))</f>
        <v/>
      </c>
      <c r="N10" s="14">
        <f>INDEX(Mapping!$E$50:$E$63,MATCH($I10,Mapping!$A$50:$A$63,0))</f>
        <v/>
      </c>
      <c r="O10" s="24">
        <f>INDEX(ElaVal,MATCH("inc|"&amp;$E10&amp;"|"&amp;$D10,ElaKey,0),MATCH(Settings!$C$6,ElaGroup,0))</f>
        <v/>
      </c>
      <c r="P10" s="24">
        <f>INDEX(ElaVal,MATCH("usg|"&amp;$E10&amp;"|"&amp;$D10,ElaKey,0),MATCH(Settings!$C$6,ElaGroup,0))</f>
        <v/>
      </c>
      <c r="Q10" s="24">
        <f>INDEX(ElaVal,MATCH("eff|"&amp;$E10&amp;"|"&amp;$D10,ElaKey,0),MATCH(Settings!$C$6,ElaGroup,0))</f>
        <v/>
      </c>
      <c r="R10" s="13">
        <f>INDEX(ElaVal,MATCH("aei|"&amp;$F10&amp;"|"&amp;$D10,ElaKey,0),MATCH(Settings!$C$6,ElaGroup,0))</f>
        <v/>
      </c>
      <c r="S10" s="16">
        <f>(1/(1+$R10))^(1+$P10)</f>
        <v/>
      </c>
      <c r="T10" s="24">
        <f>$Q10*(1+$P10)</f>
        <v/>
      </c>
      <c r="U10" s="14">
        <f>INDEX(Inputs_prices!$E$7:$E$18,MATCH($I10,Inputs_prices!$A$7:$A$18,0))</f>
        <v/>
      </c>
      <c r="V10" s="13">
        <f>INDEX(Inputs_prices!$R$7:$R$18,MATCH($I10,Inputs_prices!$A$7:$A$18,0))</f>
        <v/>
      </c>
      <c r="W10" s="16">
        <f>INDEX(EFVal,MATCH(Settings!$C$4&amp;"|"&amp;$B10&amp;"|"&amp;$J10,EFKey,0))</f>
        <v/>
      </c>
      <c r="X10" s="44">
        <f>INDEX(ConsVal,MATCH(Settings!$C$4&amp;"|"&amp;Settings!$C$7&amp;"|"&amp;$C10&amp;"|"&amp;$B10,ConsKey,0))</f>
        <v/>
      </c>
      <c r="Y10" s="14">
        <f>INDEX(Mapping!$I$5:$I$20,MATCH($C10,SubKey,0))</f>
        <v/>
      </c>
      <c r="Z10" s="35">
        <f>INDEX(ECPCov,MATCH("ecs."&amp;$Y10,ECPKey,0))*INDEX(ECPCov,MATCH("ecf."&amp;$B10,ECPKey,0))</f>
        <v/>
      </c>
      <c r="AA10" s="35">
        <f>INDEX(ECPCov,MATCH("ees."&amp;$Y10,ECPKey,0))*INDEX(ECPCov,MATCH("eef."&amp;$B10,ECPKey,0))</f>
        <v/>
      </c>
    </row>
    <row r="11">
      <c r="A11" s="14">
        <f>$B11&amp;"|"&amp;$C11</f>
        <v/>
      </c>
      <c r="B11" s="22" t="inlineStr">
        <is>
          <t>oop</t>
        </is>
      </c>
      <c r="C11" s="22" t="inlineStr">
        <is>
          <t>rod</t>
        </is>
      </c>
      <c r="D11" s="14">
        <f>INDEX(Mapping!$D$5:$D$20,MATCH($C11,SubKey,0))</f>
        <v/>
      </c>
      <c r="E11" s="14">
        <f>INDEX(Mapping!$C$30:$C$37,MATCH($B11,FuelKey,0))</f>
        <v/>
      </c>
      <c r="F11" s="14">
        <f>INDEX(Mapping!$D$30:$D$37,MATCH($B11,FuelKey,0))</f>
        <v/>
      </c>
      <c r="G11" s="14">
        <f>INDEX(Mapping!$E$30:$E$37,MATCH($B11,FuelKey,0))</f>
        <v/>
      </c>
      <c r="H11" s="14">
        <f>INDEX(Mapping!$F$5:$F$20,MATCH($C11,SubKey,0))</f>
        <v/>
      </c>
      <c r="I11" s="14">
        <f>$B11&amp;"."&amp;IF($G11="sub",$H11,"all")</f>
        <v/>
      </c>
      <c r="J11" s="14">
        <f>INDEX(Mapping!$E$5:$E$20,MATCH($C11,SubKey,0))</f>
        <v/>
      </c>
      <c r="K11" s="14">
        <f>INDEX(Mapping!$G$30:$G$37,MATCH($B11,FuelKey,0))</f>
        <v/>
      </c>
      <c r="L11" s="14">
        <f>INDEX(Mapping!$H$30:$H$37,MATCH($B11,FuelKey,0))</f>
        <v/>
      </c>
      <c r="M11" s="14">
        <f>INDEX(Mapping!$H$5:$H$20,MATCH($C11,SubKey,0))</f>
        <v/>
      </c>
      <c r="N11" s="14">
        <f>INDEX(Mapping!$E$50:$E$63,MATCH($I11,Mapping!$A$50:$A$63,0))</f>
        <v/>
      </c>
      <c r="O11" s="24">
        <f>INDEX(ElaVal,MATCH("inc|"&amp;$E11&amp;"|"&amp;$D11,ElaKey,0),MATCH(Settings!$C$6,ElaGroup,0))</f>
        <v/>
      </c>
      <c r="P11" s="24">
        <f>INDEX(ElaVal,MATCH("usg|"&amp;$E11&amp;"|"&amp;$D11,ElaKey,0),MATCH(Settings!$C$6,ElaGroup,0))</f>
        <v/>
      </c>
      <c r="Q11" s="24">
        <f>INDEX(ElaVal,MATCH("eff|"&amp;$E11&amp;"|"&amp;$D11,ElaKey,0),MATCH(Settings!$C$6,ElaGroup,0))</f>
        <v/>
      </c>
      <c r="R11" s="13">
        <f>INDEX(ElaVal,MATCH("aei|"&amp;$F11&amp;"|"&amp;$D11,ElaKey,0),MATCH(Settings!$C$6,ElaGroup,0))</f>
        <v/>
      </c>
      <c r="S11" s="16">
        <f>(1/(1+$R11))^(1+$P11)</f>
        <v/>
      </c>
      <c r="T11" s="24">
        <f>$Q11*(1+$P11)</f>
        <v/>
      </c>
      <c r="U11" s="14">
        <f>INDEX(Inputs_prices!$E$7:$E$18,MATCH($I11,Inputs_prices!$A$7:$A$18,0))</f>
        <v/>
      </c>
      <c r="V11" s="13">
        <f>INDEX(Inputs_prices!$R$7:$R$18,MATCH($I11,Inputs_prices!$A$7:$A$18,0))</f>
        <v/>
      </c>
      <c r="W11" s="16">
        <f>INDEX(EFVal,MATCH(Settings!$C$4&amp;"|"&amp;$B11&amp;"|"&amp;$J11,EFKey,0))</f>
        <v/>
      </c>
      <c r="X11" s="44">
        <f>INDEX(ConsVal,MATCH(Settings!$C$4&amp;"|"&amp;Settings!$C$7&amp;"|"&amp;$C11&amp;"|"&amp;$B11,ConsKey,0))</f>
        <v/>
      </c>
      <c r="Y11" s="14">
        <f>INDEX(Mapping!$I$5:$I$20,MATCH($C11,SubKey,0))</f>
        <v/>
      </c>
      <c r="Z11" s="35">
        <f>INDEX(ECPCov,MATCH("ecs."&amp;$Y11,ECPKey,0))*INDEX(ECPCov,MATCH("ecf."&amp;$B11,ECPKey,0))</f>
        <v/>
      </c>
      <c r="AA11" s="35">
        <f>INDEX(ECPCov,MATCH("ees."&amp;$Y11,ECPKey,0))*INDEX(ECPCov,MATCH("eef."&amp;$B11,ECPKey,0))</f>
        <v/>
      </c>
    </row>
    <row r="12">
      <c r="A12" s="14">
        <f>$B12&amp;"|"&amp;$C12</f>
        <v/>
      </c>
      <c r="B12" s="22" t="inlineStr">
        <is>
          <t>bio</t>
        </is>
      </c>
      <c r="C12" s="22" t="inlineStr">
        <is>
          <t>rod</t>
        </is>
      </c>
      <c r="D12" s="14">
        <f>INDEX(Mapping!$D$5:$D$20,MATCH($C12,SubKey,0))</f>
        <v/>
      </c>
      <c r="E12" s="14">
        <f>INDEX(Mapping!$C$30:$C$37,MATCH($B12,FuelKey,0))</f>
        <v/>
      </c>
      <c r="F12" s="14">
        <f>INDEX(Mapping!$D$30:$D$37,MATCH($B12,FuelKey,0))</f>
        <v/>
      </c>
      <c r="G12" s="14">
        <f>INDEX(Mapping!$E$30:$E$37,MATCH($B12,FuelKey,0))</f>
        <v/>
      </c>
      <c r="H12" s="14">
        <f>INDEX(Mapping!$F$5:$F$20,MATCH($C12,SubKey,0))</f>
        <v/>
      </c>
      <c r="I12" s="14">
        <f>$B12&amp;"."&amp;IF($G12="sub",$H12,"all")</f>
        <v/>
      </c>
      <c r="J12" s="14">
        <f>INDEX(Mapping!$E$5:$E$20,MATCH($C12,SubKey,0))</f>
        <v/>
      </c>
      <c r="K12" s="14">
        <f>INDEX(Mapping!$G$30:$G$37,MATCH($B12,FuelKey,0))</f>
        <v/>
      </c>
      <c r="L12" s="14">
        <f>INDEX(Mapping!$H$30:$H$37,MATCH($B12,FuelKey,0))</f>
        <v/>
      </c>
      <c r="M12" s="14">
        <f>INDEX(Mapping!$H$5:$H$20,MATCH($C12,SubKey,0))</f>
        <v/>
      </c>
      <c r="N12" s="14">
        <f>INDEX(Mapping!$E$50:$E$63,MATCH($I12,Mapping!$A$50:$A$63,0))</f>
        <v/>
      </c>
      <c r="O12" s="24">
        <f>INDEX(ElaVal,MATCH("inc|"&amp;$E12&amp;"|"&amp;$D12,ElaKey,0),MATCH(Settings!$C$6,ElaGroup,0))</f>
        <v/>
      </c>
      <c r="P12" s="24">
        <f>INDEX(ElaVal,MATCH("usg|"&amp;$E12&amp;"|"&amp;$D12,ElaKey,0),MATCH(Settings!$C$6,ElaGroup,0))</f>
        <v/>
      </c>
      <c r="Q12" s="24">
        <f>INDEX(ElaVal,MATCH("eff|"&amp;$E12&amp;"|"&amp;$D12,ElaKey,0),MATCH(Settings!$C$6,ElaGroup,0))</f>
        <v/>
      </c>
      <c r="R12" s="13">
        <f>INDEX(ElaVal,MATCH("aei|"&amp;$F12&amp;"|"&amp;$D12,ElaKey,0),MATCH(Settings!$C$6,ElaGroup,0))</f>
        <v/>
      </c>
      <c r="S12" s="16">
        <f>(1/(1+$R12))^(1+$P12)</f>
        <v/>
      </c>
      <c r="T12" s="24">
        <f>$Q12*(1+$P12)</f>
        <v/>
      </c>
      <c r="U12" s="14">
        <f>INDEX(Inputs_prices!$E$7:$E$18,MATCH($I12,Inputs_prices!$A$7:$A$18,0))</f>
        <v/>
      </c>
      <c r="V12" s="13">
        <f>INDEX(Inputs_prices!$R$7:$R$18,MATCH($I12,Inputs_prices!$A$7:$A$18,0))</f>
        <v/>
      </c>
      <c r="W12" s="16">
        <f>INDEX(EFVal,MATCH(Settings!$C$4&amp;"|"&amp;$B12&amp;"|"&amp;$J12,EFKey,0))</f>
        <v/>
      </c>
      <c r="X12" s="44">
        <f>INDEX(ConsVal,MATCH(Settings!$C$4&amp;"|"&amp;Settings!$C$7&amp;"|"&amp;$C12&amp;"|"&amp;$B12,ConsKey,0))</f>
        <v/>
      </c>
      <c r="Y12" s="14">
        <f>INDEX(Mapping!$I$5:$I$20,MATCH($C12,SubKey,0))</f>
        <v/>
      </c>
      <c r="Z12" s="35">
        <f>INDEX(ECPCov,MATCH("ecs."&amp;$Y12,ECPKey,0))*INDEX(ECPCov,MATCH("ecf."&amp;$B12,ECPKey,0))</f>
        <v/>
      </c>
      <c r="AA12" s="35">
        <f>INDEX(ECPCov,MATCH("ees."&amp;$Y12,ECPKey,0))*INDEX(ECPCov,MATCH("eef."&amp;$B12,ECPKey,0))</f>
        <v/>
      </c>
    </row>
    <row r="13">
      <c r="A13" s="14">
        <f>$B13&amp;"|"&amp;$C13</f>
        <v/>
      </c>
      <c r="B13" s="22" t="inlineStr">
        <is>
          <t>coa</t>
        </is>
      </c>
      <c r="C13" s="22" t="inlineStr">
        <is>
          <t>ral</t>
        </is>
      </c>
      <c r="D13" s="14">
        <f>INDEX(Mapping!$D$5:$D$20,MATCH($C13,SubKey,0))</f>
        <v/>
      </c>
      <c r="E13" s="14">
        <f>INDEX(Mapping!$C$30:$C$37,MATCH($B13,FuelKey,0))</f>
        <v/>
      </c>
      <c r="F13" s="14">
        <f>INDEX(Mapping!$D$30:$D$37,MATCH($B13,FuelKey,0))</f>
        <v/>
      </c>
      <c r="G13" s="14">
        <f>INDEX(Mapping!$E$30:$E$37,MATCH($B13,FuelKey,0))</f>
        <v/>
      </c>
      <c r="H13" s="14">
        <f>INDEX(Mapping!$F$5:$F$20,MATCH($C13,SubKey,0))</f>
        <v/>
      </c>
      <c r="I13" s="14">
        <f>$B13&amp;"."&amp;IF($G13="sub",$H13,"all")</f>
        <v/>
      </c>
      <c r="J13" s="14">
        <f>INDEX(Mapping!$E$5:$E$20,MATCH($C13,SubKey,0))</f>
        <v/>
      </c>
      <c r="K13" s="14">
        <f>INDEX(Mapping!$G$30:$G$37,MATCH($B13,FuelKey,0))</f>
        <v/>
      </c>
      <c r="L13" s="14">
        <f>INDEX(Mapping!$H$30:$H$37,MATCH($B13,FuelKey,0))</f>
        <v/>
      </c>
      <c r="M13" s="14">
        <f>INDEX(Mapping!$H$5:$H$20,MATCH($C13,SubKey,0))</f>
        <v/>
      </c>
      <c r="N13" s="14">
        <f>INDEX(Mapping!$E$50:$E$63,MATCH($I13,Mapping!$A$50:$A$63,0))</f>
        <v/>
      </c>
      <c r="O13" s="24">
        <f>INDEX(ElaVal,MATCH("inc|"&amp;$E13&amp;"|"&amp;$D13,ElaKey,0),MATCH(Settings!$C$6,ElaGroup,0))</f>
        <v/>
      </c>
      <c r="P13" s="24">
        <f>INDEX(ElaVal,MATCH("usg|"&amp;$E13&amp;"|"&amp;$D13,ElaKey,0),MATCH(Settings!$C$6,ElaGroup,0))</f>
        <v/>
      </c>
      <c r="Q13" s="24">
        <f>INDEX(ElaVal,MATCH("eff|"&amp;$E13&amp;"|"&amp;$D13,ElaKey,0),MATCH(Settings!$C$6,ElaGroup,0))</f>
        <v/>
      </c>
      <c r="R13" s="13">
        <f>INDEX(ElaVal,MATCH("aei|"&amp;$F13&amp;"|"&amp;$D13,ElaKey,0),MATCH(Settings!$C$6,ElaGroup,0))</f>
        <v/>
      </c>
      <c r="S13" s="16">
        <f>(1/(1+$R13))^(1+$P13)</f>
        <v/>
      </c>
      <c r="T13" s="24">
        <f>$Q13*(1+$P13)</f>
        <v/>
      </c>
      <c r="U13" s="14">
        <f>INDEX(Inputs_prices!$E$7:$E$18,MATCH($I13,Inputs_prices!$A$7:$A$18,0))</f>
        <v/>
      </c>
      <c r="V13" s="13">
        <f>INDEX(Inputs_prices!$R$7:$R$18,MATCH($I13,Inputs_prices!$A$7:$A$18,0))</f>
        <v/>
      </c>
      <c r="W13" s="16">
        <f>INDEX(EFVal,MATCH(Settings!$C$4&amp;"|"&amp;$B13&amp;"|"&amp;$J13,EFKey,0))</f>
        <v/>
      </c>
      <c r="X13" s="44">
        <f>INDEX(ConsVal,MATCH(Settings!$C$4&amp;"|"&amp;Settings!$C$7&amp;"|"&amp;$C13&amp;"|"&amp;$B13,ConsKey,0))</f>
        <v/>
      </c>
      <c r="Y13" s="14">
        <f>INDEX(Mapping!$I$5:$I$20,MATCH($C13,SubKey,0))</f>
        <v/>
      </c>
      <c r="Z13" s="35">
        <f>INDEX(ECPCov,MATCH("ecs."&amp;$Y13,ECPKey,0))*INDEX(ECPCov,MATCH("ecf."&amp;$B13,ECPKey,0))</f>
        <v/>
      </c>
      <c r="AA13" s="35">
        <f>INDEX(ECPCov,MATCH("ees."&amp;$Y13,ECPKey,0))*INDEX(ECPCov,MATCH("eef."&amp;$B13,ECPKey,0))</f>
        <v/>
      </c>
    </row>
    <row r="14">
      <c r="A14" s="14">
        <f>$B14&amp;"|"&amp;$C14</f>
        <v/>
      </c>
      <c r="B14" s="22" t="inlineStr">
        <is>
          <t>nga</t>
        </is>
      </c>
      <c r="C14" s="22" t="inlineStr">
        <is>
          <t>ral</t>
        </is>
      </c>
      <c r="D14" s="14">
        <f>INDEX(Mapping!$D$5:$D$20,MATCH($C14,SubKey,0))</f>
        <v/>
      </c>
      <c r="E14" s="14">
        <f>INDEX(Mapping!$C$30:$C$37,MATCH($B14,FuelKey,0))</f>
        <v/>
      </c>
      <c r="F14" s="14">
        <f>INDEX(Mapping!$D$30:$D$37,MATCH($B14,FuelKey,0))</f>
        <v/>
      </c>
      <c r="G14" s="14">
        <f>INDEX(Mapping!$E$30:$E$37,MATCH($B14,FuelKey,0))</f>
        <v/>
      </c>
      <c r="H14" s="14">
        <f>INDEX(Mapping!$F$5:$F$20,MATCH($C14,SubKey,0))</f>
        <v/>
      </c>
      <c r="I14" s="14">
        <f>$B14&amp;"."&amp;IF($G14="sub",$H14,"all")</f>
        <v/>
      </c>
      <c r="J14" s="14">
        <f>INDEX(Mapping!$E$5:$E$20,MATCH($C14,SubKey,0))</f>
        <v/>
      </c>
      <c r="K14" s="14">
        <f>INDEX(Mapping!$G$30:$G$37,MATCH($B14,FuelKey,0))</f>
        <v/>
      </c>
      <c r="L14" s="14">
        <f>INDEX(Mapping!$H$30:$H$37,MATCH($B14,FuelKey,0))</f>
        <v/>
      </c>
      <c r="M14" s="14">
        <f>INDEX(Mapping!$H$5:$H$20,MATCH($C14,SubKey,0))</f>
        <v/>
      </c>
      <c r="N14" s="14">
        <f>INDEX(Mapping!$E$50:$E$63,MATCH($I14,Mapping!$A$50:$A$63,0))</f>
        <v/>
      </c>
      <c r="O14" s="24">
        <f>INDEX(ElaVal,MATCH("inc|"&amp;$E14&amp;"|"&amp;$D14,ElaKey,0),MATCH(Settings!$C$6,ElaGroup,0))</f>
        <v/>
      </c>
      <c r="P14" s="24">
        <f>INDEX(ElaVal,MATCH("usg|"&amp;$E14&amp;"|"&amp;$D14,ElaKey,0),MATCH(Settings!$C$6,ElaGroup,0))</f>
        <v/>
      </c>
      <c r="Q14" s="24">
        <f>INDEX(ElaVal,MATCH("eff|"&amp;$E14&amp;"|"&amp;$D14,ElaKey,0),MATCH(Settings!$C$6,ElaGroup,0))</f>
        <v/>
      </c>
      <c r="R14" s="13">
        <f>INDEX(ElaVal,MATCH("aei|"&amp;$F14&amp;"|"&amp;$D14,ElaKey,0),MATCH(Settings!$C$6,ElaGroup,0))</f>
        <v/>
      </c>
      <c r="S14" s="16">
        <f>(1/(1+$R14))^(1+$P14)</f>
        <v/>
      </c>
      <c r="T14" s="24">
        <f>$Q14*(1+$P14)</f>
        <v/>
      </c>
      <c r="U14" s="14">
        <f>INDEX(Inputs_prices!$E$7:$E$18,MATCH($I14,Inputs_prices!$A$7:$A$18,0))</f>
        <v/>
      </c>
      <c r="V14" s="13">
        <f>INDEX(Inputs_prices!$R$7:$R$18,MATCH($I14,Inputs_prices!$A$7:$A$18,0))</f>
        <v/>
      </c>
      <c r="W14" s="16">
        <f>INDEX(EFVal,MATCH(Settings!$C$4&amp;"|"&amp;$B14&amp;"|"&amp;$J14,EFKey,0))</f>
        <v/>
      </c>
      <c r="X14" s="44">
        <f>INDEX(ConsVal,MATCH(Settings!$C$4&amp;"|"&amp;Settings!$C$7&amp;"|"&amp;$C14&amp;"|"&amp;$B14,ConsKey,0))</f>
        <v/>
      </c>
      <c r="Y14" s="14">
        <f>INDEX(Mapping!$I$5:$I$20,MATCH($C14,SubKey,0))</f>
        <v/>
      </c>
      <c r="Z14" s="35">
        <f>INDEX(ECPCov,MATCH("ecs."&amp;$Y14,ECPKey,0))*INDEX(ECPCov,MATCH("ecf."&amp;$B14,ECPKey,0))</f>
        <v/>
      </c>
      <c r="AA14" s="35">
        <f>INDEX(ECPCov,MATCH("ees."&amp;$Y14,ECPKey,0))*INDEX(ECPCov,MATCH("eef."&amp;$B14,ECPKey,0))</f>
        <v/>
      </c>
    </row>
    <row r="15">
      <c r="A15" s="14">
        <f>$B15&amp;"|"&amp;$C15</f>
        <v/>
      </c>
      <c r="B15" s="22" t="inlineStr">
        <is>
          <t>gso</t>
        </is>
      </c>
      <c r="C15" s="22" t="inlineStr">
        <is>
          <t>ral</t>
        </is>
      </c>
      <c r="D15" s="14">
        <f>INDEX(Mapping!$D$5:$D$20,MATCH($C15,SubKey,0))</f>
        <v/>
      </c>
      <c r="E15" s="14">
        <f>INDEX(Mapping!$C$30:$C$37,MATCH($B15,FuelKey,0))</f>
        <v/>
      </c>
      <c r="F15" s="14">
        <f>INDEX(Mapping!$D$30:$D$37,MATCH($B15,FuelKey,0))</f>
        <v/>
      </c>
      <c r="G15" s="14">
        <f>INDEX(Mapping!$E$30:$E$37,MATCH($B15,FuelKey,0))</f>
        <v/>
      </c>
      <c r="H15" s="14">
        <f>INDEX(Mapping!$F$5:$F$20,MATCH($C15,SubKey,0))</f>
        <v/>
      </c>
      <c r="I15" s="14">
        <f>$B15&amp;"."&amp;IF($G15="sub",$H15,"all")</f>
        <v/>
      </c>
      <c r="J15" s="14">
        <f>INDEX(Mapping!$E$5:$E$20,MATCH($C15,SubKey,0))</f>
        <v/>
      </c>
      <c r="K15" s="14">
        <f>INDEX(Mapping!$G$30:$G$37,MATCH($B15,FuelKey,0))</f>
        <v/>
      </c>
      <c r="L15" s="14">
        <f>INDEX(Mapping!$H$30:$H$37,MATCH($B15,FuelKey,0))</f>
        <v/>
      </c>
      <c r="M15" s="14">
        <f>INDEX(Mapping!$H$5:$H$20,MATCH($C15,SubKey,0))</f>
        <v/>
      </c>
      <c r="N15" s="14">
        <f>INDEX(Mapping!$E$50:$E$63,MATCH($I15,Mapping!$A$50:$A$63,0))</f>
        <v/>
      </c>
      <c r="O15" s="24">
        <f>INDEX(ElaVal,MATCH("inc|"&amp;$E15&amp;"|"&amp;$D15,ElaKey,0),MATCH(Settings!$C$6,ElaGroup,0))</f>
        <v/>
      </c>
      <c r="P15" s="24">
        <f>INDEX(ElaVal,MATCH("usg|"&amp;$E15&amp;"|"&amp;$D15,ElaKey,0),MATCH(Settings!$C$6,ElaGroup,0))</f>
        <v/>
      </c>
      <c r="Q15" s="24">
        <f>INDEX(ElaVal,MATCH("eff|"&amp;$E15&amp;"|"&amp;$D15,ElaKey,0),MATCH(Settings!$C$6,ElaGroup,0))</f>
        <v/>
      </c>
      <c r="R15" s="13">
        <f>INDEX(ElaVal,MATCH("aei|"&amp;$F15&amp;"|"&amp;$D15,ElaKey,0),MATCH(Settings!$C$6,ElaGroup,0))</f>
        <v/>
      </c>
      <c r="S15" s="16">
        <f>(1/(1+$R15))^(1+$P15)</f>
        <v/>
      </c>
      <c r="T15" s="24">
        <f>$Q15*(1+$P15)</f>
        <v/>
      </c>
      <c r="U15" s="14">
        <f>INDEX(Inputs_prices!$E$7:$E$18,MATCH($I15,Inputs_prices!$A$7:$A$18,0))</f>
        <v/>
      </c>
      <c r="V15" s="13">
        <f>INDEX(Inputs_prices!$R$7:$R$18,MATCH($I15,Inputs_prices!$A$7:$A$18,0))</f>
        <v/>
      </c>
      <c r="W15" s="16">
        <f>INDEX(EFVal,MATCH(Settings!$C$4&amp;"|"&amp;$B15&amp;"|"&amp;$J15,EFKey,0))</f>
        <v/>
      </c>
      <c r="X15" s="44">
        <f>INDEX(ConsVal,MATCH(Settings!$C$4&amp;"|"&amp;Settings!$C$7&amp;"|"&amp;$C15&amp;"|"&amp;$B15,ConsKey,0))</f>
        <v/>
      </c>
      <c r="Y15" s="14">
        <f>INDEX(Mapping!$I$5:$I$20,MATCH($C15,SubKey,0))</f>
        <v/>
      </c>
      <c r="Z15" s="35">
        <f>INDEX(ECPCov,MATCH("ecs."&amp;$Y15,ECPKey,0))*INDEX(ECPCov,MATCH("ecf."&amp;$B15,ECPKey,0))</f>
        <v/>
      </c>
      <c r="AA15" s="35">
        <f>INDEX(ECPCov,MATCH("ees."&amp;$Y15,ECPKey,0))*INDEX(ECPCov,MATCH("eef."&amp;$B15,ECPKey,0))</f>
        <v/>
      </c>
    </row>
    <row r="16">
      <c r="A16" s="14">
        <f>$B16&amp;"|"&amp;$C16</f>
        <v/>
      </c>
      <c r="B16" s="22" t="inlineStr">
        <is>
          <t>die</t>
        </is>
      </c>
      <c r="C16" s="22" t="inlineStr">
        <is>
          <t>ral</t>
        </is>
      </c>
      <c r="D16" s="14">
        <f>INDEX(Mapping!$D$5:$D$20,MATCH($C16,SubKey,0))</f>
        <v/>
      </c>
      <c r="E16" s="14">
        <f>INDEX(Mapping!$C$30:$C$37,MATCH($B16,FuelKey,0))</f>
        <v/>
      </c>
      <c r="F16" s="14">
        <f>INDEX(Mapping!$D$30:$D$37,MATCH($B16,FuelKey,0))</f>
        <v/>
      </c>
      <c r="G16" s="14">
        <f>INDEX(Mapping!$E$30:$E$37,MATCH($B16,FuelKey,0))</f>
        <v/>
      </c>
      <c r="H16" s="14">
        <f>INDEX(Mapping!$F$5:$F$20,MATCH($C16,SubKey,0))</f>
        <v/>
      </c>
      <c r="I16" s="14">
        <f>$B16&amp;"."&amp;IF($G16="sub",$H16,"all")</f>
        <v/>
      </c>
      <c r="J16" s="14">
        <f>INDEX(Mapping!$E$5:$E$20,MATCH($C16,SubKey,0))</f>
        <v/>
      </c>
      <c r="K16" s="14">
        <f>INDEX(Mapping!$G$30:$G$37,MATCH($B16,FuelKey,0))</f>
        <v/>
      </c>
      <c r="L16" s="14">
        <f>INDEX(Mapping!$H$30:$H$37,MATCH($B16,FuelKey,0))</f>
        <v/>
      </c>
      <c r="M16" s="14">
        <f>INDEX(Mapping!$H$5:$H$20,MATCH($C16,SubKey,0))</f>
        <v/>
      </c>
      <c r="N16" s="14">
        <f>INDEX(Mapping!$E$50:$E$63,MATCH($I16,Mapping!$A$50:$A$63,0))</f>
        <v/>
      </c>
      <c r="O16" s="24">
        <f>INDEX(ElaVal,MATCH("inc|"&amp;$E16&amp;"|"&amp;$D16,ElaKey,0),MATCH(Settings!$C$6,ElaGroup,0))</f>
        <v/>
      </c>
      <c r="P16" s="24">
        <f>INDEX(ElaVal,MATCH("usg|"&amp;$E16&amp;"|"&amp;$D16,ElaKey,0),MATCH(Settings!$C$6,ElaGroup,0))</f>
        <v/>
      </c>
      <c r="Q16" s="24">
        <f>INDEX(ElaVal,MATCH("eff|"&amp;$E16&amp;"|"&amp;$D16,ElaKey,0),MATCH(Settings!$C$6,ElaGroup,0))</f>
        <v/>
      </c>
      <c r="R16" s="13">
        <f>INDEX(ElaVal,MATCH("aei|"&amp;$F16&amp;"|"&amp;$D16,ElaKey,0),MATCH(Settings!$C$6,ElaGroup,0))</f>
        <v/>
      </c>
      <c r="S16" s="16">
        <f>(1/(1+$R16))^(1+$P16)</f>
        <v/>
      </c>
      <c r="T16" s="24">
        <f>$Q16*(1+$P16)</f>
        <v/>
      </c>
      <c r="U16" s="14">
        <f>INDEX(Inputs_prices!$E$7:$E$18,MATCH($I16,Inputs_prices!$A$7:$A$18,0))</f>
        <v/>
      </c>
      <c r="V16" s="13">
        <f>INDEX(Inputs_prices!$R$7:$R$18,MATCH($I16,Inputs_prices!$A$7:$A$18,0))</f>
        <v/>
      </c>
      <c r="W16" s="16">
        <f>INDEX(EFVal,MATCH(Settings!$C$4&amp;"|"&amp;$B16&amp;"|"&amp;$J16,EFKey,0))</f>
        <v/>
      </c>
      <c r="X16" s="44">
        <f>INDEX(ConsVal,MATCH(Settings!$C$4&amp;"|"&amp;Settings!$C$7&amp;"|"&amp;$C16&amp;"|"&amp;$B16,ConsKey,0))</f>
        <v/>
      </c>
      <c r="Y16" s="14">
        <f>INDEX(Mapping!$I$5:$I$20,MATCH($C16,SubKey,0))</f>
        <v/>
      </c>
      <c r="Z16" s="35">
        <f>INDEX(ECPCov,MATCH("ecs."&amp;$Y16,ECPKey,0))*INDEX(ECPCov,MATCH("ecf."&amp;$B16,ECPKey,0))</f>
        <v/>
      </c>
      <c r="AA16" s="35">
        <f>INDEX(ECPCov,MATCH("ees."&amp;$Y16,ECPKey,0))*INDEX(ECPCov,MATCH("eef."&amp;$B16,ECPKey,0))</f>
        <v/>
      </c>
    </row>
    <row r="17">
      <c r="A17" s="14">
        <f>$B17&amp;"|"&amp;$C17</f>
        <v/>
      </c>
      <c r="B17" s="22" t="inlineStr">
        <is>
          <t>lpg</t>
        </is>
      </c>
      <c r="C17" s="22" t="inlineStr">
        <is>
          <t>ral</t>
        </is>
      </c>
      <c r="D17" s="14">
        <f>INDEX(Mapping!$D$5:$D$20,MATCH($C17,SubKey,0))</f>
        <v/>
      </c>
      <c r="E17" s="14">
        <f>INDEX(Mapping!$C$30:$C$37,MATCH($B17,FuelKey,0))</f>
        <v/>
      </c>
      <c r="F17" s="14">
        <f>INDEX(Mapping!$D$30:$D$37,MATCH($B17,FuelKey,0))</f>
        <v/>
      </c>
      <c r="G17" s="14">
        <f>INDEX(Mapping!$E$30:$E$37,MATCH($B17,FuelKey,0))</f>
        <v/>
      </c>
      <c r="H17" s="14">
        <f>INDEX(Mapping!$F$5:$F$20,MATCH($C17,SubKey,0))</f>
        <v/>
      </c>
      <c r="I17" s="14">
        <f>$B17&amp;"."&amp;IF($G17="sub",$H17,"all")</f>
        <v/>
      </c>
      <c r="J17" s="14">
        <f>INDEX(Mapping!$E$5:$E$20,MATCH($C17,SubKey,0))</f>
        <v/>
      </c>
      <c r="K17" s="14">
        <f>INDEX(Mapping!$G$30:$G$37,MATCH($B17,FuelKey,0))</f>
        <v/>
      </c>
      <c r="L17" s="14">
        <f>INDEX(Mapping!$H$30:$H$37,MATCH($B17,FuelKey,0))</f>
        <v/>
      </c>
      <c r="M17" s="14">
        <f>INDEX(Mapping!$H$5:$H$20,MATCH($C17,SubKey,0))</f>
        <v/>
      </c>
      <c r="N17" s="14">
        <f>INDEX(Mapping!$E$50:$E$63,MATCH($I17,Mapping!$A$50:$A$63,0))</f>
        <v/>
      </c>
      <c r="O17" s="24">
        <f>INDEX(ElaVal,MATCH("inc|"&amp;$E17&amp;"|"&amp;$D17,ElaKey,0),MATCH(Settings!$C$6,ElaGroup,0))</f>
        <v/>
      </c>
      <c r="P17" s="24">
        <f>INDEX(ElaVal,MATCH("usg|"&amp;$E17&amp;"|"&amp;$D17,ElaKey,0),MATCH(Settings!$C$6,ElaGroup,0))</f>
        <v/>
      </c>
      <c r="Q17" s="24">
        <f>INDEX(ElaVal,MATCH("eff|"&amp;$E17&amp;"|"&amp;$D17,ElaKey,0),MATCH(Settings!$C$6,ElaGroup,0))</f>
        <v/>
      </c>
      <c r="R17" s="13">
        <f>INDEX(ElaVal,MATCH("aei|"&amp;$F17&amp;"|"&amp;$D17,ElaKey,0),MATCH(Settings!$C$6,ElaGroup,0))</f>
        <v/>
      </c>
      <c r="S17" s="16">
        <f>(1/(1+$R17))^(1+$P17)</f>
        <v/>
      </c>
      <c r="T17" s="24">
        <f>$Q17*(1+$P17)</f>
        <v/>
      </c>
      <c r="U17" s="14">
        <f>INDEX(Inputs_prices!$E$7:$E$18,MATCH($I17,Inputs_prices!$A$7:$A$18,0))</f>
        <v/>
      </c>
      <c r="V17" s="13">
        <f>INDEX(Inputs_prices!$R$7:$R$18,MATCH($I17,Inputs_prices!$A$7:$A$18,0))</f>
        <v/>
      </c>
      <c r="W17" s="16">
        <f>INDEX(EFVal,MATCH(Settings!$C$4&amp;"|"&amp;$B17&amp;"|"&amp;$J17,EFKey,0))</f>
        <v/>
      </c>
      <c r="X17" s="44">
        <f>INDEX(ConsVal,MATCH(Settings!$C$4&amp;"|"&amp;Settings!$C$7&amp;"|"&amp;$C17&amp;"|"&amp;$B17,ConsKey,0))</f>
        <v/>
      </c>
      <c r="Y17" s="14">
        <f>INDEX(Mapping!$I$5:$I$20,MATCH($C17,SubKey,0))</f>
        <v/>
      </c>
      <c r="Z17" s="35">
        <f>INDEX(ECPCov,MATCH("ecs."&amp;$Y17,ECPKey,0))*INDEX(ECPCov,MATCH("ecf."&amp;$B17,ECPKey,0))</f>
        <v/>
      </c>
      <c r="AA17" s="35">
        <f>INDEX(ECPCov,MATCH("ees."&amp;$Y17,ECPKey,0))*INDEX(ECPCov,MATCH("eef."&amp;$B17,ECPKey,0))</f>
        <v/>
      </c>
    </row>
    <row r="18">
      <c r="A18" s="14">
        <f>$B18&amp;"|"&amp;$C18</f>
        <v/>
      </c>
      <c r="B18" s="22" t="inlineStr">
        <is>
          <t>ker</t>
        </is>
      </c>
      <c r="C18" s="22" t="inlineStr">
        <is>
          <t>ral</t>
        </is>
      </c>
      <c r="D18" s="14">
        <f>INDEX(Mapping!$D$5:$D$20,MATCH($C18,SubKey,0))</f>
        <v/>
      </c>
      <c r="E18" s="14">
        <f>INDEX(Mapping!$C$30:$C$37,MATCH($B18,FuelKey,0))</f>
        <v/>
      </c>
      <c r="F18" s="14">
        <f>INDEX(Mapping!$D$30:$D$37,MATCH($B18,FuelKey,0))</f>
        <v/>
      </c>
      <c r="G18" s="14">
        <f>INDEX(Mapping!$E$30:$E$37,MATCH($B18,FuelKey,0))</f>
        <v/>
      </c>
      <c r="H18" s="14">
        <f>INDEX(Mapping!$F$5:$F$20,MATCH($C18,SubKey,0))</f>
        <v/>
      </c>
      <c r="I18" s="14">
        <f>$B18&amp;"."&amp;IF($G18="sub",$H18,"all")</f>
        <v/>
      </c>
      <c r="J18" s="14">
        <f>INDEX(Mapping!$E$5:$E$20,MATCH($C18,SubKey,0))</f>
        <v/>
      </c>
      <c r="K18" s="14">
        <f>INDEX(Mapping!$G$30:$G$37,MATCH($B18,FuelKey,0))</f>
        <v/>
      </c>
      <c r="L18" s="14">
        <f>INDEX(Mapping!$H$30:$H$37,MATCH($B18,FuelKey,0))</f>
        <v/>
      </c>
      <c r="M18" s="14">
        <f>INDEX(Mapping!$H$5:$H$20,MATCH($C18,SubKey,0))</f>
        <v/>
      </c>
      <c r="N18" s="14">
        <f>INDEX(Mapping!$E$50:$E$63,MATCH($I18,Mapping!$A$50:$A$63,0))</f>
        <v/>
      </c>
      <c r="O18" s="24">
        <f>INDEX(ElaVal,MATCH("inc|"&amp;$E18&amp;"|"&amp;$D18,ElaKey,0),MATCH(Settings!$C$6,ElaGroup,0))</f>
        <v/>
      </c>
      <c r="P18" s="24">
        <f>INDEX(ElaVal,MATCH("usg|"&amp;$E18&amp;"|"&amp;$D18,ElaKey,0),MATCH(Settings!$C$6,ElaGroup,0))</f>
        <v/>
      </c>
      <c r="Q18" s="24">
        <f>INDEX(ElaVal,MATCH("eff|"&amp;$E18&amp;"|"&amp;$D18,ElaKey,0),MATCH(Settings!$C$6,ElaGroup,0))</f>
        <v/>
      </c>
      <c r="R18" s="13">
        <f>INDEX(ElaVal,MATCH("aei|"&amp;$F18&amp;"|"&amp;$D18,ElaKey,0),MATCH(Settings!$C$6,ElaGroup,0))</f>
        <v/>
      </c>
      <c r="S18" s="16">
        <f>(1/(1+$R18))^(1+$P18)</f>
        <v/>
      </c>
      <c r="T18" s="24">
        <f>$Q18*(1+$P18)</f>
        <v/>
      </c>
      <c r="U18" s="14">
        <f>INDEX(Inputs_prices!$E$7:$E$18,MATCH($I18,Inputs_prices!$A$7:$A$18,0))</f>
        <v/>
      </c>
      <c r="V18" s="13">
        <f>INDEX(Inputs_prices!$R$7:$R$18,MATCH($I18,Inputs_prices!$A$7:$A$18,0))</f>
        <v/>
      </c>
      <c r="W18" s="16">
        <f>INDEX(EFVal,MATCH(Settings!$C$4&amp;"|"&amp;$B18&amp;"|"&amp;$J18,EFKey,0))</f>
        <v/>
      </c>
      <c r="X18" s="44">
        <f>INDEX(ConsVal,MATCH(Settings!$C$4&amp;"|"&amp;Settings!$C$7&amp;"|"&amp;$C18&amp;"|"&amp;$B18,ConsKey,0))</f>
        <v/>
      </c>
      <c r="Y18" s="14">
        <f>INDEX(Mapping!$I$5:$I$20,MATCH($C18,SubKey,0))</f>
        <v/>
      </c>
      <c r="Z18" s="35">
        <f>INDEX(ECPCov,MATCH("ecs."&amp;$Y18,ECPKey,0))*INDEX(ECPCov,MATCH("ecf."&amp;$B18,ECPKey,0))</f>
        <v/>
      </c>
      <c r="AA18" s="35">
        <f>INDEX(ECPCov,MATCH("ees."&amp;$Y18,ECPKey,0))*INDEX(ECPCov,MATCH("eef."&amp;$B18,ECPKey,0))</f>
        <v/>
      </c>
    </row>
    <row r="19">
      <c r="A19" s="14">
        <f>$B19&amp;"|"&amp;$C19</f>
        <v/>
      </c>
      <c r="B19" s="22" t="inlineStr">
        <is>
          <t>oop</t>
        </is>
      </c>
      <c r="C19" s="22" t="inlineStr">
        <is>
          <t>ral</t>
        </is>
      </c>
      <c r="D19" s="14">
        <f>INDEX(Mapping!$D$5:$D$20,MATCH($C19,SubKey,0))</f>
        <v/>
      </c>
      <c r="E19" s="14">
        <f>INDEX(Mapping!$C$30:$C$37,MATCH($B19,FuelKey,0))</f>
        <v/>
      </c>
      <c r="F19" s="14">
        <f>INDEX(Mapping!$D$30:$D$37,MATCH($B19,FuelKey,0))</f>
        <v/>
      </c>
      <c r="G19" s="14">
        <f>INDEX(Mapping!$E$30:$E$37,MATCH($B19,FuelKey,0))</f>
        <v/>
      </c>
      <c r="H19" s="14">
        <f>INDEX(Mapping!$F$5:$F$20,MATCH($C19,SubKey,0))</f>
        <v/>
      </c>
      <c r="I19" s="14">
        <f>$B19&amp;"."&amp;IF($G19="sub",$H19,"all")</f>
        <v/>
      </c>
      <c r="J19" s="14">
        <f>INDEX(Mapping!$E$5:$E$20,MATCH($C19,SubKey,0))</f>
        <v/>
      </c>
      <c r="K19" s="14">
        <f>INDEX(Mapping!$G$30:$G$37,MATCH($B19,FuelKey,0))</f>
        <v/>
      </c>
      <c r="L19" s="14">
        <f>INDEX(Mapping!$H$30:$H$37,MATCH($B19,FuelKey,0))</f>
        <v/>
      </c>
      <c r="M19" s="14">
        <f>INDEX(Mapping!$H$5:$H$20,MATCH($C19,SubKey,0))</f>
        <v/>
      </c>
      <c r="N19" s="14">
        <f>INDEX(Mapping!$E$50:$E$63,MATCH($I19,Mapping!$A$50:$A$63,0))</f>
        <v/>
      </c>
      <c r="O19" s="24">
        <f>INDEX(ElaVal,MATCH("inc|"&amp;$E19&amp;"|"&amp;$D19,ElaKey,0),MATCH(Settings!$C$6,ElaGroup,0))</f>
        <v/>
      </c>
      <c r="P19" s="24">
        <f>INDEX(ElaVal,MATCH("usg|"&amp;$E19&amp;"|"&amp;$D19,ElaKey,0),MATCH(Settings!$C$6,ElaGroup,0))</f>
        <v/>
      </c>
      <c r="Q19" s="24">
        <f>INDEX(ElaVal,MATCH("eff|"&amp;$E19&amp;"|"&amp;$D19,ElaKey,0),MATCH(Settings!$C$6,ElaGroup,0))</f>
        <v/>
      </c>
      <c r="R19" s="13">
        <f>INDEX(ElaVal,MATCH("aei|"&amp;$F19&amp;"|"&amp;$D19,ElaKey,0),MATCH(Settings!$C$6,ElaGroup,0))</f>
        <v/>
      </c>
      <c r="S19" s="16">
        <f>(1/(1+$R19))^(1+$P19)</f>
        <v/>
      </c>
      <c r="T19" s="24">
        <f>$Q19*(1+$P19)</f>
        <v/>
      </c>
      <c r="U19" s="14">
        <f>INDEX(Inputs_prices!$E$7:$E$18,MATCH($I19,Inputs_prices!$A$7:$A$18,0))</f>
        <v/>
      </c>
      <c r="V19" s="13">
        <f>INDEX(Inputs_prices!$R$7:$R$18,MATCH($I19,Inputs_prices!$A$7:$A$18,0))</f>
        <v/>
      </c>
      <c r="W19" s="16">
        <f>INDEX(EFVal,MATCH(Settings!$C$4&amp;"|"&amp;$B19&amp;"|"&amp;$J19,EFKey,0))</f>
        <v/>
      </c>
      <c r="X19" s="44">
        <f>INDEX(ConsVal,MATCH(Settings!$C$4&amp;"|"&amp;Settings!$C$7&amp;"|"&amp;$C19&amp;"|"&amp;$B19,ConsKey,0))</f>
        <v/>
      </c>
      <c r="Y19" s="14">
        <f>INDEX(Mapping!$I$5:$I$20,MATCH($C19,SubKey,0))</f>
        <v/>
      </c>
      <c r="Z19" s="35">
        <f>INDEX(ECPCov,MATCH("ecs."&amp;$Y19,ECPKey,0))*INDEX(ECPCov,MATCH("ecf."&amp;$B19,ECPKey,0))</f>
        <v/>
      </c>
      <c r="AA19" s="35">
        <f>INDEX(ECPCov,MATCH("ees."&amp;$Y19,ECPKey,0))*INDEX(ECPCov,MATCH("eef."&amp;$B19,ECPKey,0))</f>
        <v/>
      </c>
    </row>
    <row r="20">
      <c r="A20" s="14">
        <f>$B20&amp;"|"&amp;$C20</f>
        <v/>
      </c>
      <c r="B20" s="22" t="inlineStr">
        <is>
          <t>bio</t>
        </is>
      </c>
      <c r="C20" s="22" t="inlineStr">
        <is>
          <t>ral</t>
        </is>
      </c>
      <c r="D20" s="14">
        <f>INDEX(Mapping!$D$5:$D$20,MATCH($C20,SubKey,0))</f>
        <v/>
      </c>
      <c r="E20" s="14">
        <f>INDEX(Mapping!$C$30:$C$37,MATCH($B20,FuelKey,0))</f>
        <v/>
      </c>
      <c r="F20" s="14">
        <f>INDEX(Mapping!$D$30:$D$37,MATCH($B20,FuelKey,0))</f>
        <v/>
      </c>
      <c r="G20" s="14">
        <f>INDEX(Mapping!$E$30:$E$37,MATCH($B20,FuelKey,0))</f>
        <v/>
      </c>
      <c r="H20" s="14">
        <f>INDEX(Mapping!$F$5:$F$20,MATCH($C20,SubKey,0))</f>
        <v/>
      </c>
      <c r="I20" s="14">
        <f>$B20&amp;"."&amp;IF($G20="sub",$H20,"all")</f>
        <v/>
      </c>
      <c r="J20" s="14">
        <f>INDEX(Mapping!$E$5:$E$20,MATCH($C20,SubKey,0))</f>
        <v/>
      </c>
      <c r="K20" s="14">
        <f>INDEX(Mapping!$G$30:$G$37,MATCH($B20,FuelKey,0))</f>
        <v/>
      </c>
      <c r="L20" s="14">
        <f>INDEX(Mapping!$H$30:$H$37,MATCH($B20,FuelKey,0))</f>
        <v/>
      </c>
      <c r="M20" s="14">
        <f>INDEX(Mapping!$H$5:$H$20,MATCH($C20,SubKey,0))</f>
        <v/>
      </c>
      <c r="N20" s="14">
        <f>INDEX(Mapping!$E$50:$E$63,MATCH($I20,Mapping!$A$50:$A$63,0))</f>
        <v/>
      </c>
      <c r="O20" s="24">
        <f>INDEX(ElaVal,MATCH("inc|"&amp;$E20&amp;"|"&amp;$D20,ElaKey,0),MATCH(Settings!$C$6,ElaGroup,0))</f>
        <v/>
      </c>
      <c r="P20" s="24">
        <f>INDEX(ElaVal,MATCH("usg|"&amp;$E20&amp;"|"&amp;$D20,ElaKey,0),MATCH(Settings!$C$6,ElaGroup,0))</f>
        <v/>
      </c>
      <c r="Q20" s="24">
        <f>INDEX(ElaVal,MATCH("eff|"&amp;$E20&amp;"|"&amp;$D20,ElaKey,0),MATCH(Settings!$C$6,ElaGroup,0))</f>
        <v/>
      </c>
      <c r="R20" s="13">
        <f>INDEX(ElaVal,MATCH("aei|"&amp;$F20&amp;"|"&amp;$D20,ElaKey,0),MATCH(Settings!$C$6,ElaGroup,0))</f>
        <v/>
      </c>
      <c r="S20" s="16">
        <f>(1/(1+$R20))^(1+$P20)</f>
        <v/>
      </c>
      <c r="T20" s="24">
        <f>$Q20*(1+$P20)</f>
        <v/>
      </c>
      <c r="U20" s="14">
        <f>INDEX(Inputs_prices!$E$7:$E$18,MATCH($I20,Inputs_prices!$A$7:$A$18,0))</f>
        <v/>
      </c>
      <c r="V20" s="13">
        <f>INDEX(Inputs_prices!$R$7:$R$18,MATCH($I20,Inputs_prices!$A$7:$A$18,0))</f>
        <v/>
      </c>
      <c r="W20" s="16">
        <f>INDEX(EFVal,MATCH(Settings!$C$4&amp;"|"&amp;$B20&amp;"|"&amp;$J20,EFKey,0))</f>
        <v/>
      </c>
      <c r="X20" s="44">
        <f>INDEX(ConsVal,MATCH(Settings!$C$4&amp;"|"&amp;Settings!$C$7&amp;"|"&amp;$C20&amp;"|"&amp;$B20,ConsKey,0))</f>
        <v/>
      </c>
      <c r="Y20" s="14">
        <f>INDEX(Mapping!$I$5:$I$20,MATCH($C20,SubKey,0))</f>
        <v/>
      </c>
      <c r="Z20" s="35">
        <f>INDEX(ECPCov,MATCH("ecs."&amp;$Y20,ECPKey,0))*INDEX(ECPCov,MATCH("ecf."&amp;$B20,ECPKey,0))</f>
        <v/>
      </c>
      <c r="AA20" s="35">
        <f>INDEX(ECPCov,MATCH("ees."&amp;$Y20,ECPKey,0))*INDEX(ECPCov,MATCH("eef."&amp;$B20,ECPKey,0))</f>
        <v/>
      </c>
    </row>
    <row r="21">
      <c r="A21" s="14">
        <f>$B21&amp;"|"&amp;$C21</f>
        <v/>
      </c>
      <c r="B21" s="22" t="inlineStr">
        <is>
          <t>coa</t>
        </is>
      </c>
      <c r="C21" s="22" t="inlineStr">
        <is>
          <t>avi</t>
        </is>
      </c>
      <c r="D21" s="14">
        <f>INDEX(Mapping!$D$5:$D$20,MATCH($C21,SubKey,0))</f>
        <v/>
      </c>
      <c r="E21" s="14">
        <f>INDEX(Mapping!$C$30:$C$37,MATCH($B21,FuelKey,0))</f>
        <v/>
      </c>
      <c r="F21" s="14">
        <f>INDEX(Mapping!$D$30:$D$37,MATCH($B21,FuelKey,0))</f>
        <v/>
      </c>
      <c r="G21" s="14">
        <f>INDEX(Mapping!$E$30:$E$37,MATCH($B21,FuelKey,0))</f>
        <v/>
      </c>
      <c r="H21" s="14">
        <f>INDEX(Mapping!$F$5:$F$20,MATCH($C21,SubKey,0))</f>
        <v/>
      </c>
      <c r="I21" s="14">
        <f>$B21&amp;"."&amp;IF($G21="sub",$H21,"all")</f>
        <v/>
      </c>
      <c r="J21" s="14">
        <f>INDEX(Mapping!$E$5:$E$20,MATCH($C21,SubKey,0))</f>
        <v/>
      </c>
      <c r="K21" s="14">
        <f>INDEX(Mapping!$G$30:$G$37,MATCH($B21,FuelKey,0))</f>
        <v/>
      </c>
      <c r="L21" s="14">
        <f>INDEX(Mapping!$H$30:$H$37,MATCH($B21,FuelKey,0))</f>
        <v/>
      </c>
      <c r="M21" s="14">
        <f>INDEX(Mapping!$H$5:$H$20,MATCH($C21,SubKey,0))</f>
        <v/>
      </c>
      <c r="N21" s="14">
        <f>INDEX(Mapping!$E$50:$E$63,MATCH($I21,Mapping!$A$50:$A$63,0))</f>
        <v/>
      </c>
      <c r="O21" s="24">
        <f>INDEX(ElaVal,MATCH("inc|"&amp;$E21&amp;"|"&amp;$D21,ElaKey,0),MATCH(Settings!$C$6,ElaGroup,0))</f>
        <v/>
      </c>
      <c r="P21" s="24">
        <f>INDEX(ElaVal,MATCH("usg|"&amp;$E21&amp;"|"&amp;$D21,ElaKey,0),MATCH(Settings!$C$6,ElaGroup,0))</f>
        <v/>
      </c>
      <c r="Q21" s="24">
        <f>INDEX(ElaVal,MATCH("eff|"&amp;$E21&amp;"|"&amp;$D21,ElaKey,0),MATCH(Settings!$C$6,ElaGroup,0))</f>
        <v/>
      </c>
      <c r="R21" s="13">
        <f>INDEX(ElaVal,MATCH("aei|"&amp;$F21&amp;"|"&amp;$D21,ElaKey,0),MATCH(Settings!$C$6,ElaGroup,0))</f>
        <v/>
      </c>
      <c r="S21" s="16">
        <f>(1/(1+$R21))^(1+$P21)</f>
        <v/>
      </c>
      <c r="T21" s="24">
        <f>$Q21*(1+$P21)</f>
        <v/>
      </c>
      <c r="U21" s="14">
        <f>INDEX(Inputs_prices!$E$7:$E$18,MATCH($I21,Inputs_prices!$A$7:$A$18,0))</f>
        <v/>
      </c>
      <c r="V21" s="13">
        <f>INDEX(Inputs_prices!$R$7:$R$18,MATCH($I21,Inputs_prices!$A$7:$A$18,0))</f>
        <v/>
      </c>
      <c r="W21" s="16">
        <f>INDEX(EFVal,MATCH(Settings!$C$4&amp;"|"&amp;$B21&amp;"|"&amp;$J21,EFKey,0))</f>
        <v/>
      </c>
      <c r="X21" s="44">
        <f>INDEX(ConsVal,MATCH(Settings!$C$4&amp;"|"&amp;Settings!$C$7&amp;"|"&amp;$C21&amp;"|"&amp;$B21,ConsKey,0))</f>
        <v/>
      </c>
      <c r="Y21" s="14">
        <f>INDEX(Mapping!$I$5:$I$20,MATCH($C21,SubKey,0))</f>
        <v/>
      </c>
      <c r="Z21" s="35">
        <f>INDEX(ECPCov,MATCH("ecs."&amp;$Y21,ECPKey,0))*INDEX(ECPCov,MATCH("ecf."&amp;$B21,ECPKey,0))</f>
        <v/>
      </c>
      <c r="AA21" s="35">
        <f>INDEX(ECPCov,MATCH("ees."&amp;$Y21,ECPKey,0))*INDEX(ECPCov,MATCH("eef."&amp;$B21,ECPKey,0))</f>
        <v/>
      </c>
    </row>
    <row r="22">
      <c r="A22" s="14">
        <f>$B22&amp;"|"&amp;$C22</f>
        <v/>
      </c>
      <c r="B22" s="22" t="inlineStr">
        <is>
          <t>nga</t>
        </is>
      </c>
      <c r="C22" s="22" t="inlineStr">
        <is>
          <t>avi</t>
        </is>
      </c>
      <c r="D22" s="14">
        <f>INDEX(Mapping!$D$5:$D$20,MATCH($C22,SubKey,0))</f>
        <v/>
      </c>
      <c r="E22" s="14">
        <f>INDEX(Mapping!$C$30:$C$37,MATCH($B22,FuelKey,0))</f>
        <v/>
      </c>
      <c r="F22" s="14">
        <f>INDEX(Mapping!$D$30:$D$37,MATCH($B22,FuelKey,0))</f>
        <v/>
      </c>
      <c r="G22" s="14">
        <f>INDEX(Mapping!$E$30:$E$37,MATCH($B22,FuelKey,0))</f>
        <v/>
      </c>
      <c r="H22" s="14">
        <f>INDEX(Mapping!$F$5:$F$20,MATCH($C22,SubKey,0))</f>
        <v/>
      </c>
      <c r="I22" s="14">
        <f>$B22&amp;"."&amp;IF($G22="sub",$H22,"all")</f>
        <v/>
      </c>
      <c r="J22" s="14">
        <f>INDEX(Mapping!$E$5:$E$20,MATCH($C22,SubKey,0))</f>
        <v/>
      </c>
      <c r="K22" s="14">
        <f>INDEX(Mapping!$G$30:$G$37,MATCH($B22,FuelKey,0))</f>
        <v/>
      </c>
      <c r="L22" s="14">
        <f>INDEX(Mapping!$H$30:$H$37,MATCH($B22,FuelKey,0))</f>
        <v/>
      </c>
      <c r="M22" s="14">
        <f>INDEX(Mapping!$H$5:$H$20,MATCH($C22,SubKey,0))</f>
        <v/>
      </c>
      <c r="N22" s="14">
        <f>INDEX(Mapping!$E$50:$E$63,MATCH($I22,Mapping!$A$50:$A$63,0))</f>
        <v/>
      </c>
      <c r="O22" s="24">
        <f>INDEX(ElaVal,MATCH("inc|"&amp;$E22&amp;"|"&amp;$D22,ElaKey,0),MATCH(Settings!$C$6,ElaGroup,0))</f>
        <v/>
      </c>
      <c r="P22" s="24">
        <f>INDEX(ElaVal,MATCH("usg|"&amp;$E22&amp;"|"&amp;$D22,ElaKey,0),MATCH(Settings!$C$6,ElaGroup,0))</f>
        <v/>
      </c>
      <c r="Q22" s="24">
        <f>INDEX(ElaVal,MATCH("eff|"&amp;$E22&amp;"|"&amp;$D22,ElaKey,0),MATCH(Settings!$C$6,ElaGroup,0))</f>
        <v/>
      </c>
      <c r="R22" s="13">
        <f>INDEX(ElaVal,MATCH("aei|"&amp;$F22&amp;"|"&amp;$D22,ElaKey,0),MATCH(Settings!$C$6,ElaGroup,0))</f>
        <v/>
      </c>
      <c r="S22" s="16">
        <f>(1/(1+$R22))^(1+$P22)</f>
        <v/>
      </c>
      <c r="T22" s="24">
        <f>$Q22*(1+$P22)</f>
        <v/>
      </c>
      <c r="U22" s="14">
        <f>INDEX(Inputs_prices!$E$7:$E$18,MATCH($I22,Inputs_prices!$A$7:$A$18,0))</f>
        <v/>
      </c>
      <c r="V22" s="13">
        <f>INDEX(Inputs_prices!$R$7:$R$18,MATCH($I22,Inputs_prices!$A$7:$A$18,0))</f>
        <v/>
      </c>
      <c r="W22" s="16">
        <f>INDEX(EFVal,MATCH(Settings!$C$4&amp;"|"&amp;$B22&amp;"|"&amp;$J22,EFKey,0))</f>
        <v/>
      </c>
      <c r="X22" s="44">
        <f>INDEX(ConsVal,MATCH(Settings!$C$4&amp;"|"&amp;Settings!$C$7&amp;"|"&amp;$C22&amp;"|"&amp;$B22,ConsKey,0))</f>
        <v/>
      </c>
      <c r="Y22" s="14">
        <f>INDEX(Mapping!$I$5:$I$20,MATCH($C22,SubKey,0))</f>
        <v/>
      </c>
      <c r="Z22" s="35">
        <f>INDEX(ECPCov,MATCH("ecs."&amp;$Y22,ECPKey,0))*INDEX(ECPCov,MATCH("ecf."&amp;$B22,ECPKey,0))</f>
        <v/>
      </c>
      <c r="AA22" s="35">
        <f>INDEX(ECPCov,MATCH("ees."&amp;$Y22,ECPKey,0))*INDEX(ECPCov,MATCH("eef."&amp;$B22,ECPKey,0))</f>
        <v/>
      </c>
    </row>
    <row r="23">
      <c r="A23" s="14">
        <f>$B23&amp;"|"&amp;$C23</f>
        <v/>
      </c>
      <c r="B23" s="22" t="inlineStr">
        <is>
          <t>gso</t>
        </is>
      </c>
      <c r="C23" s="22" t="inlineStr">
        <is>
          <t>avi</t>
        </is>
      </c>
      <c r="D23" s="14">
        <f>INDEX(Mapping!$D$5:$D$20,MATCH($C23,SubKey,0))</f>
        <v/>
      </c>
      <c r="E23" s="14">
        <f>INDEX(Mapping!$C$30:$C$37,MATCH($B23,FuelKey,0))</f>
        <v/>
      </c>
      <c r="F23" s="14">
        <f>INDEX(Mapping!$D$30:$D$37,MATCH($B23,FuelKey,0))</f>
        <v/>
      </c>
      <c r="G23" s="14">
        <f>INDEX(Mapping!$E$30:$E$37,MATCH($B23,FuelKey,0))</f>
        <v/>
      </c>
      <c r="H23" s="14">
        <f>INDEX(Mapping!$F$5:$F$20,MATCH($C23,SubKey,0))</f>
        <v/>
      </c>
      <c r="I23" s="14">
        <f>$B23&amp;"."&amp;IF($G23="sub",$H23,"all")</f>
        <v/>
      </c>
      <c r="J23" s="14">
        <f>INDEX(Mapping!$E$5:$E$20,MATCH($C23,SubKey,0))</f>
        <v/>
      </c>
      <c r="K23" s="14">
        <f>INDEX(Mapping!$G$30:$G$37,MATCH($B23,FuelKey,0))</f>
        <v/>
      </c>
      <c r="L23" s="14">
        <f>INDEX(Mapping!$H$30:$H$37,MATCH($B23,FuelKey,0))</f>
        <v/>
      </c>
      <c r="M23" s="14">
        <f>INDEX(Mapping!$H$5:$H$20,MATCH($C23,SubKey,0))</f>
        <v/>
      </c>
      <c r="N23" s="14">
        <f>INDEX(Mapping!$E$50:$E$63,MATCH($I23,Mapping!$A$50:$A$63,0))</f>
        <v/>
      </c>
      <c r="O23" s="24">
        <f>INDEX(ElaVal,MATCH("inc|"&amp;$E23&amp;"|"&amp;$D23,ElaKey,0),MATCH(Settings!$C$6,ElaGroup,0))</f>
        <v/>
      </c>
      <c r="P23" s="24">
        <f>INDEX(ElaVal,MATCH("usg|"&amp;$E23&amp;"|"&amp;$D23,ElaKey,0),MATCH(Settings!$C$6,ElaGroup,0))</f>
        <v/>
      </c>
      <c r="Q23" s="24">
        <f>INDEX(ElaVal,MATCH("eff|"&amp;$E23&amp;"|"&amp;$D23,ElaKey,0),MATCH(Settings!$C$6,ElaGroup,0))</f>
        <v/>
      </c>
      <c r="R23" s="13">
        <f>INDEX(ElaVal,MATCH("aei|"&amp;$F23&amp;"|"&amp;$D23,ElaKey,0),MATCH(Settings!$C$6,ElaGroup,0))</f>
        <v/>
      </c>
      <c r="S23" s="16">
        <f>(1/(1+$R23))^(1+$P23)</f>
        <v/>
      </c>
      <c r="T23" s="24">
        <f>$Q23*(1+$P23)</f>
        <v/>
      </c>
      <c r="U23" s="14">
        <f>INDEX(Inputs_prices!$E$7:$E$18,MATCH($I23,Inputs_prices!$A$7:$A$18,0))</f>
        <v/>
      </c>
      <c r="V23" s="13">
        <f>INDEX(Inputs_prices!$R$7:$R$18,MATCH($I23,Inputs_prices!$A$7:$A$18,0))</f>
        <v/>
      </c>
      <c r="W23" s="16">
        <f>INDEX(EFVal,MATCH(Settings!$C$4&amp;"|"&amp;$B23&amp;"|"&amp;$J23,EFKey,0))</f>
        <v/>
      </c>
      <c r="X23" s="44">
        <f>INDEX(ConsVal,MATCH(Settings!$C$4&amp;"|"&amp;Settings!$C$7&amp;"|"&amp;$C23&amp;"|"&amp;$B23,ConsKey,0))</f>
        <v/>
      </c>
      <c r="Y23" s="14">
        <f>INDEX(Mapping!$I$5:$I$20,MATCH($C23,SubKey,0))</f>
        <v/>
      </c>
      <c r="Z23" s="35">
        <f>INDEX(ECPCov,MATCH("ecs."&amp;$Y23,ECPKey,0))*INDEX(ECPCov,MATCH("ecf."&amp;$B23,ECPKey,0))</f>
        <v/>
      </c>
      <c r="AA23" s="35">
        <f>INDEX(ECPCov,MATCH("ees."&amp;$Y23,ECPKey,0))*INDEX(ECPCov,MATCH("eef."&amp;$B23,ECPKey,0))</f>
        <v/>
      </c>
    </row>
    <row r="24">
      <c r="A24" s="14">
        <f>$B24&amp;"|"&amp;$C24</f>
        <v/>
      </c>
      <c r="B24" s="22" t="inlineStr">
        <is>
          <t>die</t>
        </is>
      </c>
      <c r="C24" s="22" t="inlineStr">
        <is>
          <t>avi</t>
        </is>
      </c>
      <c r="D24" s="14">
        <f>INDEX(Mapping!$D$5:$D$20,MATCH($C24,SubKey,0))</f>
        <v/>
      </c>
      <c r="E24" s="14">
        <f>INDEX(Mapping!$C$30:$C$37,MATCH($B24,FuelKey,0))</f>
        <v/>
      </c>
      <c r="F24" s="14">
        <f>INDEX(Mapping!$D$30:$D$37,MATCH($B24,FuelKey,0))</f>
        <v/>
      </c>
      <c r="G24" s="14">
        <f>INDEX(Mapping!$E$30:$E$37,MATCH($B24,FuelKey,0))</f>
        <v/>
      </c>
      <c r="H24" s="14">
        <f>INDEX(Mapping!$F$5:$F$20,MATCH($C24,SubKey,0))</f>
        <v/>
      </c>
      <c r="I24" s="14">
        <f>$B24&amp;"."&amp;IF($G24="sub",$H24,"all")</f>
        <v/>
      </c>
      <c r="J24" s="14">
        <f>INDEX(Mapping!$E$5:$E$20,MATCH($C24,SubKey,0))</f>
        <v/>
      </c>
      <c r="K24" s="14">
        <f>INDEX(Mapping!$G$30:$G$37,MATCH($B24,FuelKey,0))</f>
        <v/>
      </c>
      <c r="L24" s="14">
        <f>INDEX(Mapping!$H$30:$H$37,MATCH($B24,FuelKey,0))</f>
        <v/>
      </c>
      <c r="M24" s="14">
        <f>INDEX(Mapping!$H$5:$H$20,MATCH($C24,SubKey,0))</f>
        <v/>
      </c>
      <c r="N24" s="14">
        <f>INDEX(Mapping!$E$50:$E$63,MATCH($I24,Mapping!$A$50:$A$63,0))</f>
        <v/>
      </c>
      <c r="O24" s="24">
        <f>INDEX(ElaVal,MATCH("inc|"&amp;$E24&amp;"|"&amp;$D24,ElaKey,0),MATCH(Settings!$C$6,ElaGroup,0))</f>
        <v/>
      </c>
      <c r="P24" s="24">
        <f>INDEX(ElaVal,MATCH("usg|"&amp;$E24&amp;"|"&amp;$D24,ElaKey,0),MATCH(Settings!$C$6,ElaGroup,0))</f>
        <v/>
      </c>
      <c r="Q24" s="24">
        <f>INDEX(ElaVal,MATCH("eff|"&amp;$E24&amp;"|"&amp;$D24,ElaKey,0),MATCH(Settings!$C$6,ElaGroup,0))</f>
        <v/>
      </c>
      <c r="R24" s="13">
        <f>INDEX(ElaVal,MATCH("aei|"&amp;$F24&amp;"|"&amp;$D24,ElaKey,0),MATCH(Settings!$C$6,ElaGroup,0))</f>
        <v/>
      </c>
      <c r="S24" s="16">
        <f>(1/(1+$R24))^(1+$P24)</f>
        <v/>
      </c>
      <c r="T24" s="24">
        <f>$Q24*(1+$P24)</f>
        <v/>
      </c>
      <c r="U24" s="14">
        <f>INDEX(Inputs_prices!$E$7:$E$18,MATCH($I24,Inputs_prices!$A$7:$A$18,0))</f>
        <v/>
      </c>
      <c r="V24" s="13">
        <f>INDEX(Inputs_prices!$R$7:$R$18,MATCH($I24,Inputs_prices!$A$7:$A$18,0))</f>
        <v/>
      </c>
      <c r="W24" s="16">
        <f>INDEX(EFVal,MATCH(Settings!$C$4&amp;"|"&amp;$B24&amp;"|"&amp;$J24,EFKey,0))</f>
        <v/>
      </c>
      <c r="X24" s="44">
        <f>INDEX(ConsVal,MATCH(Settings!$C$4&amp;"|"&amp;Settings!$C$7&amp;"|"&amp;$C24&amp;"|"&amp;$B24,ConsKey,0))</f>
        <v/>
      </c>
      <c r="Y24" s="14">
        <f>INDEX(Mapping!$I$5:$I$20,MATCH($C24,SubKey,0))</f>
        <v/>
      </c>
      <c r="Z24" s="35">
        <f>INDEX(ECPCov,MATCH("ecs."&amp;$Y24,ECPKey,0))*INDEX(ECPCov,MATCH("ecf."&amp;$B24,ECPKey,0))</f>
        <v/>
      </c>
      <c r="AA24" s="35">
        <f>INDEX(ECPCov,MATCH("ees."&amp;$Y24,ECPKey,0))*INDEX(ECPCov,MATCH("eef."&amp;$B24,ECPKey,0))</f>
        <v/>
      </c>
    </row>
    <row r="25">
      <c r="A25" s="14">
        <f>$B25&amp;"|"&amp;$C25</f>
        <v/>
      </c>
      <c r="B25" s="22" t="inlineStr">
        <is>
          <t>lpg</t>
        </is>
      </c>
      <c r="C25" s="22" t="inlineStr">
        <is>
          <t>avi</t>
        </is>
      </c>
      <c r="D25" s="14">
        <f>INDEX(Mapping!$D$5:$D$20,MATCH($C25,SubKey,0))</f>
        <v/>
      </c>
      <c r="E25" s="14">
        <f>INDEX(Mapping!$C$30:$C$37,MATCH($B25,FuelKey,0))</f>
        <v/>
      </c>
      <c r="F25" s="14">
        <f>INDEX(Mapping!$D$30:$D$37,MATCH($B25,FuelKey,0))</f>
        <v/>
      </c>
      <c r="G25" s="14">
        <f>INDEX(Mapping!$E$30:$E$37,MATCH($B25,FuelKey,0))</f>
        <v/>
      </c>
      <c r="H25" s="14">
        <f>INDEX(Mapping!$F$5:$F$20,MATCH($C25,SubKey,0))</f>
        <v/>
      </c>
      <c r="I25" s="14">
        <f>$B25&amp;"."&amp;IF($G25="sub",$H25,"all")</f>
        <v/>
      </c>
      <c r="J25" s="14">
        <f>INDEX(Mapping!$E$5:$E$20,MATCH($C25,SubKey,0))</f>
        <v/>
      </c>
      <c r="K25" s="14">
        <f>INDEX(Mapping!$G$30:$G$37,MATCH($B25,FuelKey,0))</f>
        <v/>
      </c>
      <c r="L25" s="14">
        <f>INDEX(Mapping!$H$30:$H$37,MATCH($B25,FuelKey,0))</f>
        <v/>
      </c>
      <c r="M25" s="14">
        <f>INDEX(Mapping!$H$5:$H$20,MATCH($C25,SubKey,0))</f>
        <v/>
      </c>
      <c r="N25" s="14">
        <f>INDEX(Mapping!$E$50:$E$63,MATCH($I25,Mapping!$A$50:$A$63,0))</f>
        <v/>
      </c>
      <c r="O25" s="24">
        <f>INDEX(ElaVal,MATCH("inc|"&amp;$E25&amp;"|"&amp;$D25,ElaKey,0),MATCH(Settings!$C$6,ElaGroup,0))</f>
        <v/>
      </c>
      <c r="P25" s="24">
        <f>INDEX(ElaVal,MATCH("usg|"&amp;$E25&amp;"|"&amp;$D25,ElaKey,0),MATCH(Settings!$C$6,ElaGroup,0))</f>
        <v/>
      </c>
      <c r="Q25" s="24">
        <f>INDEX(ElaVal,MATCH("eff|"&amp;$E25&amp;"|"&amp;$D25,ElaKey,0),MATCH(Settings!$C$6,ElaGroup,0))</f>
        <v/>
      </c>
      <c r="R25" s="13">
        <f>INDEX(ElaVal,MATCH("aei|"&amp;$F25&amp;"|"&amp;$D25,ElaKey,0),MATCH(Settings!$C$6,ElaGroup,0))</f>
        <v/>
      </c>
      <c r="S25" s="16">
        <f>(1/(1+$R25))^(1+$P25)</f>
        <v/>
      </c>
      <c r="T25" s="24">
        <f>$Q25*(1+$P25)</f>
        <v/>
      </c>
      <c r="U25" s="14">
        <f>INDEX(Inputs_prices!$E$7:$E$18,MATCH($I25,Inputs_prices!$A$7:$A$18,0))</f>
        <v/>
      </c>
      <c r="V25" s="13">
        <f>INDEX(Inputs_prices!$R$7:$R$18,MATCH($I25,Inputs_prices!$A$7:$A$18,0))</f>
        <v/>
      </c>
      <c r="W25" s="16">
        <f>INDEX(EFVal,MATCH(Settings!$C$4&amp;"|"&amp;$B25&amp;"|"&amp;$J25,EFKey,0))</f>
        <v/>
      </c>
      <c r="X25" s="44">
        <f>INDEX(ConsVal,MATCH(Settings!$C$4&amp;"|"&amp;Settings!$C$7&amp;"|"&amp;$C25&amp;"|"&amp;$B25,ConsKey,0))</f>
        <v/>
      </c>
      <c r="Y25" s="14">
        <f>INDEX(Mapping!$I$5:$I$20,MATCH($C25,SubKey,0))</f>
        <v/>
      </c>
      <c r="Z25" s="35">
        <f>INDEX(ECPCov,MATCH("ecs."&amp;$Y25,ECPKey,0))*INDEX(ECPCov,MATCH("ecf."&amp;$B25,ECPKey,0))</f>
        <v/>
      </c>
      <c r="AA25" s="35">
        <f>INDEX(ECPCov,MATCH("ees."&amp;$Y25,ECPKey,0))*INDEX(ECPCov,MATCH("eef."&amp;$B25,ECPKey,0))</f>
        <v/>
      </c>
    </row>
    <row r="26">
      <c r="A26" s="14">
        <f>$B26&amp;"|"&amp;$C26</f>
        <v/>
      </c>
      <c r="B26" s="22" t="inlineStr">
        <is>
          <t>ker</t>
        </is>
      </c>
      <c r="C26" s="22" t="inlineStr">
        <is>
          <t>avi</t>
        </is>
      </c>
      <c r="D26" s="14">
        <f>INDEX(Mapping!$D$5:$D$20,MATCH($C26,SubKey,0))</f>
        <v/>
      </c>
      <c r="E26" s="14">
        <f>INDEX(Mapping!$C$30:$C$37,MATCH($B26,FuelKey,0))</f>
        <v/>
      </c>
      <c r="F26" s="14">
        <f>INDEX(Mapping!$D$30:$D$37,MATCH($B26,FuelKey,0))</f>
        <v/>
      </c>
      <c r="G26" s="14">
        <f>INDEX(Mapping!$E$30:$E$37,MATCH($B26,FuelKey,0))</f>
        <v/>
      </c>
      <c r="H26" s="14">
        <f>INDEX(Mapping!$F$5:$F$20,MATCH($C26,SubKey,0))</f>
        <v/>
      </c>
      <c r="I26" s="14">
        <f>$B26&amp;"."&amp;IF($G26="sub",$H26,"all")</f>
        <v/>
      </c>
      <c r="J26" s="14">
        <f>INDEX(Mapping!$E$5:$E$20,MATCH($C26,SubKey,0))</f>
        <v/>
      </c>
      <c r="K26" s="14">
        <f>INDEX(Mapping!$G$30:$G$37,MATCH($B26,FuelKey,0))</f>
        <v/>
      </c>
      <c r="L26" s="14">
        <f>INDEX(Mapping!$H$30:$H$37,MATCH($B26,FuelKey,0))</f>
        <v/>
      </c>
      <c r="M26" s="14">
        <f>INDEX(Mapping!$H$5:$H$20,MATCH($C26,SubKey,0))</f>
        <v/>
      </c>
      <c r="N26" s="14">
        <f>INDEX(Mapping!$E$50:$E$63,MATCH($I26,Mapping!$A$50:$A$63,0))</f>
        <v/>
      </c>
      <c r="O26" s="24">
        <f>INDEX(ElaVal,MATCH("inc|"&amp;$E26&amp;"|"&amp;$D26,ElaKey,0),MATCH(Settings!$C$6,ElaGroup,0))</f>
        <v/>
      </c>
      <c r="P26" s="24">
        <f>INDEX(ElaVal,MATCH("usg|"&amp;$E26&amp;"|"&amp;$D26,ElaKey,0),MATCH(Settings!$C$6,ElaGroup,0))</f>
        <v/>
      </c>
      <c r="Q26" s="24">
        <f>INDEX(ElaVal,MATCH("eff|"&amp;$E26&amp;"|"&amp;$D26,ElaKey,0),MATCH(Settings!$C$6,ElaGroup,0))</f>
        <v/>
      </c>
      <c r="R26" s="13">
        <f>INDEX(ElaVal,MATCH("aei|"&amp;$F26&amp;"|"&amp;$D26,ElaKey,0),MATCH(Settings!$C$6,ElaGroup,0))</f>
        <v/>
      </c>
      <c r="S26" s="16">
        <f>(1/(1+$R26))^(1+$P26)</f>
        <v/>
      </c>
      <c r="T26" s="24">
        <f>$Q26*(1+$P26)</f>
        <v/>
      </c>
      <c r="U26" s="14">
        <f>INDEX(Inputs_prices!$E$7:$E$18,MATCH($I26,Inputs_prices!$A$7:$A$18,0))</f>
        <v/>
      </c>
      <c r="V26" s="13">
        <f>INDEX(Inputs_prices!$R$7:$R$18,MATCH($I26,Inputs_prices!$A$7:$A$18,0))</f>
        <v/>
      </c>
      <c r="W26" s="16">
        <f>INDEX(EFVal,MATCH(Settings!$C$4&amp;"|"&amp;$B26&amp;"|"&amp;$J26,EFKey,0))</f>
        <v/>
      </c>
      <c r="X26" s="44">
        <f>INDEX(ConsVal,MATCH(Settings!$C$4&amp;"|"&amp;Settings!$C$7&amp;"|"&amp;$C26&amp;"|"&amp;$B26,ConsKey,0))</f>
        <v/>
      </c>
      <c r="Y26" s="14">
        <f>INDEX(Mapping!$I$5:$I$20,MATCH($C26,SubKey,0))</f>
        <v/>
      </c>
      <c r="Z26" s="35">
        <f>INDEX(ECPCov,MATCH("ecs."&amp;$Y26,ECPKey,0))*INDEX(ECPCov,MATCH("ecf."&amp;$B26,ECPKey,0))</f>
        <v/>
      </c>
      <c r="AA26" s="35">
        <f>INDEX(ECPCov,MATCH("ees."&amp;$Y26,ECPKey,0))*INDEX(ECPCov,MATCH("eef."&amp;$B26,ECPKey,0))</f>
        <v/>
      </c>
    </row>
    <row r="27">
      <c r="A27" s="14">
        <f>$B27&amp;"|"&amp;$C27</f>
        <v/>
      </c>
      <c r="B27" s="22" t="inlineStr">
        <is>
          <t>oop</t>
        </is>
      </c>
      <c r="C27" s="22" t="inlineStr">
        <is>
          <t>avi</t>
        </is>
      </c>
      <c r="D27" s="14">
        <f>INDEX(Mapping!$D$5:$D$20,MATCH($C27,SubKey,0))</f>
        <v/>
      </c>
      <c r="E27" s="14">
        <f>INDEX(Mapping!$C$30:$C$37,MATCH($B27,FuelKey,0))</f>
        <v/>
      </c>
      <c r="F27" s="14">
        <f>INDEX(Mapping!$D$30:$D$37,MATCH($B27,FuelKey,0))</f>
        <v/>
      </c>
      <c r="G27" s="14">
        <f>INDEX(Mapping!$E$30:$E$37,MATCH($B27,FuelKey,0))</f>
        <v/>
      </c>
      <c r="H27" s="14">
        <f>INDEX(Mapping!$F$5:$F$20,MATCH($C27,SubKey,0))</f>
        <v/>
      </c>
      <c r="I27" s="14">
        <f>$B27&amp;"."&amp;IF($G27="sub",$H27,"all")</f>
        <v/>
      </c>
      <c r="J27" s="14">
        <f>INDEX(Mapping!$E$5:$E$20,MATCH($C27,SubKey,0))</f>
        <v/>
      </c>
      <c r="K27" s="14">
        <f>INDEX(Mapping!$G$30:$G$37,MATCH($B27,FuelKey,0))</f>
        <v/>
      </c>
      <c r="L27" s="14">
        <f>INDEX(Mapping!$H$30:$H$37,MATCH($B27,FuelKey,0))</f>
        <v/>
      </c>
      <c r="M27" s="14">
        <f>INDEX(Mapping!$H$5:$H$20,MATCH($C27,SubKey,0))</f>
        <v/>
      </c>
      <c r="N27" s="14">
        <f>INDEX(Mapping!$E$50:$E$63,MATCH($I27,Mapping!$A$50:$A$63,0))</f>
        <v/>
      </c>
      <c r="O27" s="24">
        <f>INDEX(ElaVal,MATCH("inc|"&amp;$E27&amp;"|"&amp;$D27,ElaKey,0),MATCH(Settings!$C$6,ElaGroup,0))</f>
        <v/>
      </c>
      <c r="P27" s="24">
        <f>INDEX(ElaVal,MATCH("usg|"&amp;$E27&amp;"|"&amp;$D27,ElaKey,0),MATCH(Settings!$C$6,ElaGroup,0))</f>
        <v/>
      </c>
      <c r="Q27" s="24">
        <f>INDEX(ElaVal,MATCH("eff|"&amp;$E27&amp;"|"&amp;$D27,ElaKey,0),MATCH(Settings!$C$6,ElaGroup,0))</f>
        <v/>
      </c>
      <c r="R27" s="13">
        <f>INDEX(ElaVal,MATCH("aei|"&amp;$F27&amp;"|"&amp;$D27,ElaKey,0),MATCH(Settings!$C$6,ElaGroup,0))</f>
        <v/>
      </c>
      <c r="S27" s="16">
        <f>(1/(1+$R27))^(1+$P27)</f>
        <v/>
      </c>
      <c r="T27" s="24">
        <f>$Q27*(1+$P27)</f>
        <v/>
      </c>
      <c r="U27" s="14">
        <f>INDEX(Inputs_prices!$E$7:$E$18,MATCH($I27,Inputs_prices!$A$7:$A$18,0))</f>
        <v/>
      </c>
      <c r="V27" s="13">
        <f>INDEX(Inputs_prices!$R$7:$R$18,MATCH($I27,Inputs_prices!$A$7:$A$18,0))</f>
        <v/>
      </c>
      <c r="W27" s="16">
        <f>INDEX(EFVal,MATCH(Settings!$C$4&amp;"|"&amp;$B27&amp;"|"&amp;$J27,EFKey,0))</f>
        <v/>
      </c>
      <c r="X27" s="44">
        <f>INDEX(ConsVal,MATCH(Settings!$C$4&amp;"|"&amp;Settings!$C$7&amp;"|"&amp;$C27&amp;"|"&amp;$B27,ConsKey,0))</f>
        <v/>
      </c>
      <c r="Y27" s="14">
        <f>INDEX(Mapping!$I$5:$I$20,MATCH($C27,SubKey,0))</f>
        <v/>
      </c>
      <c r="Z27" s="35">
        <f>INDEX(ECPCov,MATCH("ecs."&amp;$Y27,ECPKey,0))*INDEX(ECPCov,MATCH("ecf."&amp;$B27,ECPKey,0))</f>
        <v/>
      </c>
      <c r="AA27" s="35">
        <f>INDEX(ECPCov,MATCH("ees."&amp;$Y27,ECPKey,0))*INDEX(ECPCov,MATCH("eef."&amp;$B27,ECPKey,0))</f>
        <v/>
      </c>
    </row>
    <row r="28">
      <c r="A28" s="14">
        <f>$B28&amp;"|"&amp;$C28</f>
        <v/>
      </c>
      <c r="B28" s="22" t="inlineStr">
        <is>
          <t>bio</t>
        </is>
      </c>
      <c r="C28" s="22" t="inlineStr">
        <is>
          <t>avi</t>
        </is>
      </c>
      <c r="D28" s="14">
        <f>INDEX(Mapping!$D$5:$D$20,MATCH($C28,SubKey,0))</f>
        <v/>
      </c>
      <c r="E28" s="14">
        <f>INDEX(Mapping!$C$30:$C$37,MATCH($B28,FuelKey,0))</f>
        <v/>
      </c>
      <c r="F28" s="14">
        <f>INDEX(Mapping!$D$30:$D$37,MATCH($B28,FuelKey,0))</f>
        <v/>
      </c>
      <c r="G28" s="14">
        <f>INDEX(Mapping!$E$30:$E$37,MATCH($B28,FuelKey,0))</f>
        <v/>
      </c>
      <c r="H28" s="14">
        <f>INDEX(Mapping!$F$5:$F$20,MATCH($C28,SubKey,0))</f>
        <v/>
      </c>
      <c r="I28" s="14">
        <f>$B28&amp;"."&amp;IF($G28="sub",$H28,"all")</f>
        <v/>
      </c>
      <c r="J28" s="14">
        <f>INDEX(Mapping!$E$5:$E$20,MATCH($C28,SubKey,0))</f>
        <v/>
      </c>
      <c r="K28" s="14">
        <f>INDEX(Mapping!$G$30:$G$37,MATCH($B28,FuelKey,0))</f>
        <v/>
      </c>
      <c r="L28" s="14">
        <f>INDEX(Mapping!$H$30:$H$37,MATCH($B28,FuelKey,0))</f>
        <v/>
      </c>
      <c r="M28" s="14">
        <f>INDEX(Mapping!$H$5:$H$20,MATCH($C28,SubKey,0))</f>
        <v/>
      </c>
      <c r="N28" s="14">
        <f>INDEX(Mapping!$E$50:$E$63,MATCH($I28,Mapping!$A$50:$A$63,0))</f>
        <v/>
      </c>
      <c r="O28" s="24">
        <f>INDEX(ElaVal,MATCH("inc|"&amp;$E28&amp;"|"&amp;$D28,ElaKey,0),MATCH(Settings!$C$6,ElaGroup,0))</f>
        <v/>
      </c>
      <c r="P28" s="24">
        <f>INDEX(ElaVal,MATCH("usg|"&amp;$E28&amp;"|"&amp;$D28,ElaKey,0),MATCH(Settings!$C$6,ElaGroup,0))</f>
        <v/>
      </c>
      <c r="Q28" s="24">
        <f>INDEX(ElaVal,MATCH("eff|"&amp;$E28&amp;"|"&amp;$D28,ElaKey,0),MATCH(Settings!$C$6,ElaGroup,0))</f>
        <v/>
      </c>
      <c r="R28" s="13">
        <f>INDEX(ElaVal,MATCH("aei|"&amp;$F28&amp;"|"&amp;$D28,ElaKey,0),MATCH(Settings!$C$6,ElaGroup,0))</f>
        <v/>
      </c>
      <c r="S28" s="16">
        <f>(1/(1+$R28))^(1+$P28)</f>
        <v/>
      </c>
      <c r="T28" s="24">
        <f>$Q28*(1+$P28)</f>
        <v/>
      </c>
      <c r="U28" s="14">
        <f>INDEX(Inputs_prices!$E$7:$E$18,MATCH($I28,Inputs_prices!$A$7:$A$18,0))</f>
        <v/>
      </c>
      <c r="V28" s="13">
        <f>INDEX(Inputs_prices!$R$7:$R$18,MATCH($I28,Inputs_prices!$A$7:$A$18,0))</f>
        <v/>
      </c>
      <c r="W28" s="16">
        <f>INDEX(EFVal,MATCH(Settings!$C$4&amp;"|"&amp;$B28&amp;"|"&amp;$J28,EFKey,0))</f>
        <v/>
      </c>
      <c r="X28" s="44">
        <f>INDEX(ConsVal,MATCH(Settings!$C$4&amp;"|"&amp;Settings!$C$7&amp;"|"&amp;$C28&amp;"|"&amp;$B28,ConsKey,0))</f>
        <v/>
      </c>
      <c r="Y28" s="14">
        <f>INDEX(Mapping!$I$5:$I$20,MATCH($C28,SubKey,0))</f>
        <v/>
      </c>
      <c r="Z28" s="35">
        <f>INDEX(ECPCov,MATCH("ecs."&amp;$Y28,ECPKey,0))*INDEX(ECPCov,MATCH("ecf."&amp;$B28,ECPKey,0))</f>
        <v/>
      </c>
      <c r="AA28" s="35">
        <f>INDEX(ECPCov,MATCH("ees."&amp;$Y28,ECPKey,0))*INDEX(ECPCov,MATCH("eef."&amp;$B28,ECPKey,0))</f>
        <v/>
      </c>
    </row>
    <row r="29">
      <c r="A29" s="14">
        <f>$B29&amp;"|"&amp;$C29</f>
        <v/>
      </c>
      <c r="B29" s="22" t="inlineStr">
        <is>
          <t>coa</t>
        </is>
      </c>
      <c r="C29" s="22" t="inlineStr">
        <is>
          <t>nav</t>
        </is>
      </c>
      <c r="D29" s="14">
        <f>INDEX(Mapping!$D$5:$D$20,MATCH($C29,SubKey,0))</f>
        <v/>
      </c>
      <c r="E29" s="14">
        <f>INDEX(Mapping!$C$30:$C$37,MATCH($B29,FuelKey,0))</f>
        <v/>
      </c>
      <c r="F29" s="14">
        <f>INDEX(Mapping!$D$30:$D$37,MATCH($B29,FuelKey,0))</f>
        <v/>
      </c>
      <c r="G29" s="14">
        <f>INDEX(Mapping!$E$30:$E$37,MATCH($B29,FuelKey,0))</f>
        <v/>
      </c>
      <c r="H29" s="14">
        <f>INDEX(Mapping!$F$5:$F$20,MATCH($C29,SubKey,0))</f>
        <v/>
      </c>
      <c r="I29" s="14">
        <f>$B29&amp;"."&amp;IF($G29="sub",$H29,"all")</f>
        <v/>
      </c>
      <c r="J29" s="14">
        <f>INDEX(Mapping!$E$5:$E$20,MATCH($C29,SubKey,0))</f>
        <v/>
      </c>
      <c r="K29" s="14">
        <f>INDEX(Mapping!$G$30:$G$37,MATCH($B29,FuelKey,0))</f>
        <v/>
      </c>
      <c r="L29" s="14">
        <f>INDEX(Mapping!$H$30:$H$37,MATCH($B29,FuelKey,0))</f>
        <v/>
      </c>
      <c r="M29" s="14">
        <f>INDEX(Mapping!$H$5:$H$20,MATCH($C29,SubKey,0))</f>
        <v/>
      </c>
      <c r="N29" s="14">
        <f>INDEX(Mapping!$E$50:$E$63,MATCH($I29,Mapping!$A$50:$A$63,0))</f>
        <v/>
      </c>
      <c r="O29" s="24">
        <f>INDEX(ElaVal,MATCH("inc|"&amp;$E29&amp;"|"&amp;$D29,ElaKey,0),MATCH(Settings!$C$6,ElaGroup,0))</f>
        <v/>
      </c>
      <c r="P29" s="24">
        <f>INDEX(ElaVal,MATCH("usg|"&amp;$E29&amp;"|"&amp;$D29,ElaKey,0),MATCH(Settings!$C$6,ElaGroup,0))</f>
        <v/>
      </c>
      <c r="Q29" s="24">
        <f>INDEX(ElaVal,MATCH("eff|"&amp;$E29&amp;"|"&amp;$D29,ElaKey,0),MATCH(Settings!$C$6,ElaGroup,0))</f>
        <v/>
      </c>
      <c r="R29" s="13">
        <f>INDEX(ElaVal,MATCH("aei|"&amp;$F29&amp;"|"&amp;$D29,ElaKey,0),MATCH(Settings!$C$6,ElaGroup,0))</f>
        <v/>
      </c>
      <c r="S29" s="16">
        <f>(1/(1+$R29))^(1+$P29)</f>
        <v/>
      </c>
      <c r="T29" s="24">
        <f>$Q29*(1+$P29)</f>
        <v/>
      </c>
      <c r="U29" s="14">
        <f>INDEX(Inputs_prices!$E$7:$E$18,MATCH($I29,Inputs_prices!$A$7:$A$18,0))</f>
        <v/>
      </c>
      <c r="V29" s="13">
        <f>INDEX(Inputs_prices!$R$7:$R$18,MATCH($I29,Inputs_prices!$A$7:$A$18,0))</f>
        <v/>
      </c>
      <c r="W29" s="16">
        <f>INDEX(EFVal,MATCH(Settings!$C$4&amp;"|"&amp;$B29&amp;"|"&amp;$J29,EFKey,0))</f>
        <v/>
      </c>
      <c r="X29" s="44">
        <f>INDEX(ConsVal,MATCH(Settings!$C$4&amp;"|"&amp;Settings!$C$7&amp;"|"&amp;$C29&amp;"|"&amp;$B29,ConsKey,0))</f>
        <v/>
      </c>
      <c r="Y29" s="14">
        <f>INDEX(Mapping!$I$5:$I$20,MATCH($C29,SubKey,0))</f>
        <v/>
      </c>
      <c r="Z29" s="35">
        <f>INDEX(ECPCov,MATCH("ecs."&amp;$Y29,ECPKey,0))*INDEX(ECPCov,MATCH("ecf."&amp;$B29,ECPKey,0))</f>
        <v/>
      </c>
      <c r="AA29" s="35">
        <f>INDEX(ECPCov,MATCH("ees."&amp;$Y29,ECPKey,0))*INDEX(ECPCov,MATCH("eef."&amp;$B29,ECPKey,0))</f>
        <v/>
      </c>
    </row>
    <row r="30">
      <c r="A30" s="14">
        <f>$B30&amp;"|"&amp;$C30</f>
        <v/>
      </c>
      <c r="B30" s="22" t="inlineStr">
        <is>
          <t>nga</t>
        </is>
      </c>
      <c r="C30" s="22" t="inlineStr">
        <is>
          <t>nav</t>
        </is>
      </c>
      <c r="D30" s="14">
        <f>INDEX(Mapping!$D$5:$D$20,MATCH($C30,SubKey,0))</f>
        <v/>
      </c>
      <c r="E30" s="14">
        <f>INDEX(Mapping!$C$30:$C$37,MATCH($B30,FuelKey,0))</f>
        <v/>
      </c>
      <c r="F30" s="14">
        <f>INDEX(Mapping!$D$30:$D$37,MATCH($B30,FuelKey,0))</f>
        <v/>
      </c>
      <c r="G30" s="14">
        <f>INDEX(Mapping!$E$30:$E$37,MATCH($B30,FuelKey,0))</f>
        <v/>
      </c>
      <c r="H30" s="14">
        <f>INDEX(Mapping!$F$5:$F$20,MATCH($C30,SubKey,0))</f>
        <v/>
      </c>
      <c r="I30" s="14">
        <f>$B30&amp;"."&amp;IF($G30="sub",$H30,"all")</f>
        <v/>
      </c>
      <c r="J30" s="14">
        <f>INDEX(Mapping!$E$5:$E$20,MATCH($C30,SubKey,0))</f>
        <v/>
      </c>
      <c r="K30" s="14">
        <f>INDEX(Mapping!$G$30:$G$37,MATCH($B30,FuelKey,0))</f>
        <v/>
      </c>
      <c r="L30" s="14">
        <f>INDEX(Mapping!$H$30:$H$37,MATCH($B30,FuelKey,0))</f>
        <v/>
      </c>
      <c r="M30" s="14">
        <f>INDEX(Mapping!$H$5:$H$20,MATCH($C30,SubKey,0))</f>
        <v/>
      </c>
      <c r="N30" s="14">
        <f>INDEX(Mapping!$E$50:$E$63,MATCH($I30,Mapping!$A$50:$A$63,0))</f>
        <v/>
      </c>
      <c r="O30" s="24">
        <f>INDEX(ElaVal,MATCH("inc|"&amp;$E30&amp;"|"&amp;$D30,ElaKey,0),MATCH(Settings!$C$6,ElaGroup,0))</f>
        <v/>
      </c>
      <c r="P30" s="24">
        <f>INDEX(ElaVal,MATCH("usg|"&amp;$E30&amp;"|"&amp;$D30,ElaKey,0),MATCH(Settings!$C$6,ElaGroup,0))</f>
        <v/>
      </c>
      <c r="Q30" s="24">
        <f>INDEX(ElaVal,MATCH("eff|"&amp;$E30&amp;"|"&amp;$D30,ElaKey,0),MATCH(Settings!$C$6,ElaGroup,0))</f>
        <v/>
      </c>
      <c r="R30" s="13">
        <f>INDEX(ElaVal,MATCH("aei|"&amp;$F30&amp;"|"&amp;$D30,ElaKey,0),MATCH(Settings!$C$6,ElaGroup,0))</f>
        <v/>
      </c>
      <c r="S30" s="16">
        <f>(1/(1+$R30))^(1+$P30)</f>
        <v/>
      </c>
      <c r="T30" s="24">
        <f>$Q30*(1+$P30)</f>
        <v/>
      </c>
      <c r="U30" s="14">
        <f>INDEX(Inputs_prices!$E$7:$E$18,MATCH($I30,Inputs_prices!$A$7:$A$18,0))</f>
        <v/>
      </c>
      <c r="V30" s="13">
        <f>INDEX(Inputs_prices!$R$7:$R$18,MATCH($I30,Inputs_prices!$A$7:$A$18,0))</f>
        <v/>
      </c>
      <c r="W30" s="16">
        <f>INDEX(EFVal,MATCH(Settings!$C$4&amp;"|"&amp;$B30&amp;"|"&amp;$J30,EFKey,0))</f>
        <v/>
      </c>
      <c r="X30" s="44">
        <f>INDEX(ConsVal,MATCH(Settings!$C$4&amp;"|"&amp;Settings!$C$7&amp;"|"&amp;$C30&amp;"|"&amp;$B30,ConsKey,0))</f>
        <v/>
      </c>
      <c r="Y30" s="14">
        <f>INDEX(Mapping!$I$5:$I$20,MATCH($C30,SubKey,0))</f>
        <v/>
      </c>
      <c r="Z30" s="35">
        <f>INDEX(ECPCov,MATCH("ecs."&amp;$Y30,ECPKey,0))*INDEX(ECPCov,MATCH("ecf."&amp;$B30,ECPKey,0))</f>
        <v/>
      </c>
      <c r="AA30" s="35">
        <f>INDEX(ECPCov,MATCH("ees."&amp;$Y30,ECPKey,0))*INDEX(ECPCov,MATCH("eef."&amp;$B30,ECPKey,0))</f>
        <v/>
      </c>
    </row>
    <row r="31">
      <c r="A31" s="14">
        <f>$B31&amp;"|"&amp;$C31</f>
        <v/>
      </c>
      <c r="B31" s="22" t="inlineStr">
        <is>
          <t>gso</t>
        </is>
      </c>
      <c r="C31" s="22" t="inlineStr">
        <is>
          <t>nav</t>
        </is>
      </c>
      <c r="D31" s="14">
        <f>INDEX(Mapping!$D$5:$D$20,MATCH($C31,SubKey,0))</f>
        <v/>
      </c>
      <c r="E31" s="14">
        <f>INDEX(Mapping!$C$30:$C$37,MATCH($B31,FuelKey,0))</f>
        <v/>
      </c>
      <c r="F31" s="14">
        <f>INDEX(Mapping!$D$30:$D$37,MATCH($B31,FuelKey,0))</f>
        <v/>
      </c>
      <c r="G31" s="14">
        <f>INDEX(Mapping!$E$30:$E$37,MATCH($B31,FuelKey,0))</f>
        <v/>
      </c>
      <c r="H31" s="14">
        <f>INDEX(Mapping!$F$5:$F$20,MATCH($C31,SubKey,0))</f>
        <v/>
      </c>
      <c r="I31" s="14">
        <f>$B31&amp;"."&amp;IF($G31="sub",$H31,"all")</f>
        <v/>
      </c>
      <c r="J31" s="14">
        <f>INDEX(Mapping!$E$5:$E$20,MATCH($C31,SubKey,0))</f>
        <v/>
      </c>
      <c r="K31" s="14">
        <f>INDEX(Mapping!$G$30:$G$37,MATCH($B31,FuelKey,0))</f>
        <v/>
      </c>
      <c r="L31" s="14">
        <f>INDEX(Mapping!$H$30:$H$37,MATCH($B31,FuelKey,0))</f>
        <v/>
      </c>
      <c r="M31" s="14">
        <f>INDEX(Mapping!$H$5:$H$20,MATCH($C31,SubKey,0))</f>
        <v/>
      </c>
      <c r="N31" s="14">
        <f>INDEX(Mapping!$E$50:$E$63,MATCH($I31,Mapping!$A$50:$A$63,0))</f>
        <v/>
      </c>
      <c r="O31" s="24">
        <f>INDEX(ElaVal,MATCH("inc|"&amp;$E31&amp;"|"&amp;$D31,ElaKey,0),MATCH(Settings!$C$6,ElaGroup,0))</f>
        <v/>
      </c>
      <c r="P31" s="24">
        <f>INDEX(ElaVal,MATCH("usg|"&amp;$E31&amp;"|"&amp;$D31,ElaKey,0),MATCH(Settings!$C$6,ElaGroup,0))</f>
        <v/>
      </c>
      <c r="Q31" s="24">
        <f>INDEX(ElaVal,MATCH("eff|"&amp;$E31&amp;"|"&amp;$D31,ElaKey,0),MATCH(Settings!$C$6,ElaGroup,0))</f>
        <v/>
      </c>
      <c r="R31" s="13">
        <f>INDEX(ElaVal,MATCH("aei|"&amp;$F31&amp;"|"&amp;$D31,ElaKey,0),MATCH(Settings!$C$6,ElaGroup,0))</f>
        <v/>
      </c>
      <c r="S31" s="16">
        <f>(1/(1+$R31))^(1+$P31)</f>
        <v/>
      </c>
      <c r="T31" s="24">
        <f>$Q31*(1+$P31)</f>
        <v/>
      </c>
      <c r="U31" s="14">
        <f>INDEX(Inputs_prices!$E$7:$E$18,MATCH($I31,Inputs_prices!$A$7:$A$18,0))</f>
        <v/>
      </c>
      <c r="V31" s="13">
        <f>INDEX(Inputs_prices!$R$7:$R$18,MATCH($I31,Inputs_prices!$A$7:$A$18,0))</f>
        <v/>
      </c>
      <c r="W31" s="16">
        <f>INDEX(EFVal,MATCH(Settings!$C$4&amp;"|"&amp;$B31&amp;"|"&amp;$J31,EFKey,0))</f>
        <v/>
      </c>
      <c r="X31" s="44">
        <f>INDEX(ConsVal,MATCH(Settings!$C$4&amp;"|"&amp;Settings!$C$7&amp;"|"&amp;$C31&amp;"|"&amp;$B31,ConsKey,0))</f>
        <v/>
      </c>
      <c r="Y31" s="14">
        <f>INDEX(Mapping!$I$5:$I$20,MATCH($C31,SubKey,0))</f>
        <v/>
      </c>
      <c r="Z31" s="35">
        <f>INDEX(ECPCov,MATCH("ecs."&amp;$Y31,ECPKey,0))*INDEX(ECPCov,MATCH("ecf."&amp;$B31,ECPKey,0))</f>
        <v/>
      </c>
      <c r="AA31" s="35">
        <f>INDEX(ECPCov,MATCH("ees."&amp;$Y31,ECPKey,0))*INDEX(ECPCov,MATCH("eef."&amp;$B31,ECPKey,0))</f>
        <v/>
      </c>
    </row>
    <row r="32">
      <c r="A32" s="14">
        <f>$B32&amp;"|"&amp;$C32</f>
        <v/>
      </c>
      <c r="B32" s="22" t="inlineStr">
        <is>
          <t>die</t>
        </is>
      </c>
      <c r="C32" s="22" t="inlineStr">
        <is>
          <t>nav</t>
        </is>
      </c>
      <c r="D32" s="14">
        <f>INDEX(Mapping!$D$5:$D$20,MATCH($C32,SubKey,0))</f>
        <v/>
      </c>
      <c r="E32" s="14">
        <f>INDEX(Mapping!$C$30:$C$37,MATCH($B32,FuelKey,0))</f>
        <v/>
      </c>
      <c r="F32" s="14">
        <f>INDEX(Mapping!$D$30:$D$37,MATCH($B32,FuelKey,0))</f>
        <v/>
      </c>
      <c r="G32" s="14">
        <f>INDEX(Mapping!$E$30:$E$37,MATCH($B32,FuelKey,0))</f>
        <v/>
      </c>
      <c r="H32" s="14">
        <f>INDEX(Mapping!$F$5:$F$20,MATCH($C32,SubKey,0))</f>
        <v/>
      </c>
      <c r="I32" s="14">
        <f>$B32&amp;"."&amp;IF($G32="sub",$H32,"all")</f>
        <v/>
      </c>
      <c r="J32" s="14">
        <f>INDEX(Mapping!$E$5:$E$20,MATCH($C32,SubKey,0))</f>
        <v/>
      </c>
      <c r="K32" s="14">
        <f>INDEX(Mapping!$G$30:$G$37,MATCH($B32,FuelKey,0))</f>
        <v/>
      </c>
      <c r="L32" s="14">
        <f>INDEX(Mapping!$H$30:$H$37,MATCH($B32,FuelKey,0))</f>
        <v/>
      </c>
      <c r="M32" s="14">
        <f>INDEX(Mapping!$H$5:$H$20,MATCH($C32,SubKey,0))</f>
        <v/>
      </c>
      <c r="N32" s="14">
        <f>INDEX(Mapping!$E$50:$E$63,MATCH($I32,Mapping!$A$50:$A$63,0))</f>
        <v/>
      </c>
      <c r="O32" s="24">
        <f>INDEX(ElaVal,MATCH("inc|"&amp;$E32&amp;"|"&amp;$D32,ElaKey,0),MATCH(Settings!$C$6,ElaGroup,0))</f>
        <v/>
      </c>
      <c r="P32" s="24">
        <f>INDEX(ElaVal,MATCH("usg|"&amp;$E32&amp;"|"&amp;$D32,ElaKey,0),MATCH(Settings!$C$6,ElaGroup,0))</f>
        <v/>
      </c>
      <c r="Q32" s="24">
        <f>INDEX(ElaVal,MATCH("eff|"&amp;$E32&amp;"|"&amp;$D32,ElaKey,0),MATCH(Settings!$C$6,ElaGroup,0))</f>
        <v/>
      </c>
      <c r="R32" s="13">
        <f>INDEX(ElaVal,MATCH("aei|"&amp;$F32&amp;"|"&amp;$D32,ElaKey,0),MATCH(Settings!$C$6,ElaGroup,0))</f>
        <v/>
      </c>
      <c r="S32" s="16">
        <f>(1/(1+$R32))^(1+$P32)</f>
        <v/>
      </c>
      <c r="T32" s="24">
        <f>$Q32*(1+$P32)</f>
        <v/>
      </c>
      <c r="U32" s="14">
        <f>INDEX(Inputs_prices!$E$7:$E$18,MATCH($I32,Inputs_prices!$A$7:$A$18,0))</f>
        <v/>
      </c>
      <c r="V32" s="13">
        <f>INDEX(Inputs_prices!$R$7:$R$18,MATCH($I32,Inputs_prices!$A$7:$A$18,0))</f>
        <v/>
      </c>
      <c r="W32" s="16">
        <f>INDEX(EFVal,MATCH(Settings!$C$4&amp;"|"&amp;$B32&amp;"|"&amp;$J32,EFKey,0))</f>
        <v/>
      </c>
      <c r="X32" s="44">
        <f>INDEX(ConsVal,MATCH(Settings!$C$4&amp;"|"&amp;Settings!$C$7&amp;"|"&amp;$C32&amp;"|"&amp;$B32,ConsKey,0))</f>
        <v/>
      </c>
      <c r="Y32" s="14">
        <f>INDEX(Mapping!$I$5:$I$20,MATCH($C32,SubKey,0))</f>
        <v/>
      </c>
      <c r="Z32" s="35">
        <f>INDEX(ECPCov,MATCH("ecs."&amp;$Y32,ECPKey,0))*INDEX(ECPCov,MATCH("ecf."&amp;$B32,ECPKey,0))</f>
        <v/>
      </c>
      <c r="AA32" s="35">
        <f>INDEX(ECPCov,MATCH("ees."&amp;$Y32,ECPKey,0))*INDEX(ECPCov,MATCH("eef."&amp;$B32,ECPKey,0))</f>
        <v/>
      </c>
    </row>
    <row r="33">
      <c r="A33" s="14">
        <f>$B33&amp;"|"&amp;$C33</f>
        <v/>
      </c>
      <c r="B33" s="22" t="inlineStr">
        <is>
          <t>lpg</t>
        </is>
      </c>
      <c r="C33" s="22" t="inlineStr">
        <is>
          <t>nav</t>
        </is>
      </c>
      <c r="D33" s="14">
        <f>INDEX(Mapping!$D$5:$D$20,MATCH($C33,SubKey,0))</f>
        <v/>
      </c>
      <c r="E33" s="14">
        <f>INDEX(Mapping!$C$30:$C$37,MATCH($B33,FuelKey,0))</f>
        <v/>
      </c>
      <c r="F33" s="14">
        <f>INDEX(Mapping!$D$30:$D$37,MATCH($B33,FuelKey,0))</f>
        <v/>
      </c>
      <c r="G33" s="14">
        <f>INDEX(Mapping!$E$30:$E$37,MATCH($B33,FuelKey,0))</f>
        <v/>
      </c>
      <c r="H33" s="14">
        <f>INDEX(Mapping!$F$5:$F$20,MATCH($C33,SubKey,0))</f>
        <v/>
      </c>
      <c r="I33" s="14">
        <f>$B33&amp;"."&amp;IF($G33="sub",$H33,"all")</f>
        <v/>
      </c>
      <c r="J33" s="14">
        <f>INDEX(Mapping!$E$5:$E$20,MATCH($C33,SubKey,0))</f>
        <v/>
      </c>
      <c r="K33" s="14">
        <f>INDEX(Mapping!$G$30:$G$37,MATCH($B33,FuelKey,0))</f>
        <v/>
      </c>
      <c r="L33" s="14">
        <f>INDEX(Mapping!$H$30:$H$37,MATCH($B33,FuelKey,0))</f>
        <v/>
      </c>
      <c r="M33" s="14">
        <f>INDEX(Mapping!$H$5:$H$20,MATCH($C33,SubKey,0))</f>
        <v/>
      </c>
      <c r="N33" s="14">
        <f>INDEX(Mapping!$E$50:$E$63,MATCH($I33,Mapping!$A$50:$A$63,0))</f>
        <v/>
      </c>
      <c r="O33" s="24">
        <f>INDEX(ElaVal,MATCH("inc|"&amp;$E33&amp;"|"&amp;$D33,ElaKey,0),MATCH(Settings!$C$6,ElaGroup,0))</f>
        <v/>
      </c>
      <c r="P33" s="24">
        <f>INDEX(ElaVal,MATCH("usg|"&amp;$E33&amp;"|"&amp;$D33,ElaKey,0),MATCH(Settings!$C$6,ElaGroup,0))</f>
        <v/>
      </c>
      <c r="Q33" s="24">
        <f>INDEX(ElaVal,MATCH("eff|"&amp;$E33&amp;"|"&amp;$D33,ElaKey,0),MATCH(Settings!$C$6,ElaGroup,0))</f>
        <v/>
      </c>
      <c r="R33" s="13">
        <f>INDEX(ElaVal,MATCH("aei|"&amp;$F33&amp;"|"&amp;$D33,ElaKey,0),MATCH(Settings!$C$6,ElaGroup,0))</f>
        <v/>
      </c>
      <c r="S33" s="16">
        <f>(1/(1+$R33))^(1+$P33)</f>
        <v/>
      </c>
      <c r="T33" s="24">
        <f>$Q33*(1+$P33)</f>
        <v/>
      </c>
      <c r="U33" s="14">
        <f>INDEX(Inputs_prices!$E$7:$E$18,MATCH($I33,Inputs_prices!$A$7:$A$18,0))</f>
        <v/>
      </c>
      <c r="V33" s="13">
        <f>INDEX(Inputs_prices!$R$7:$R$18,MATCH($I33,Inputs_prices!$A$7:$A$18,0))</f>
        <v/>
      </c>
      <c r="W33" s="16">
        <f>INDEX(EFVal,MATCH(Settings!$C$4&amp;"|"&amp;$B33&amp;"|"&amp;$J33,EFKey,0))</f>
        <v/>
      </c>
      <c r="X33" s="44">
        <f>INDEX(ConsVal,MATCH(Settings!$C$4&amp;"|"&amp;Settings!$C$7&amp;"|"&amp;$C33&amp;"|"&amp;$B33,ConsKey,0))</f>
        <v/>
      </c>
      <c r="Y33" s="14">
        <f>INDEX(Mapping!$I$5:$I$20,MATCH($C33,SubKey,0))</f>
        <v/>
      </c>
      <c r="Z33" s="35">
        <f>INDEX(ECPCov,MATCH("ecs."&amp;$Y33,ECPKey,0))*INDEX(ECPCov,MATCH("ecf."&amp;$B33,ECPKey,0))</f>
        <v/>
      </c>
      <c r="AA33" s="35">
        <f>INDEX(ECPCov,MATCH("ees."&amp;$Y33,ECPKey,0))*INDEX(ECPCov,MATCH("eef."&amp;$B33,ECPKey,0))</f>
        <v/>
      </c>
    </row>
    <row r="34">
      <c r="A34" s="14">
        <f>$B34&amp;"|"&amp;$C34</f>
        <v/>
      </c>
      <c r="B34" s="22" t="inlineStr">
        <is>
          <t>ker</t>
        </is>
      </c>
      <c r="C34" s="22" t="inlineStr">
        <is>
          <t>nav</t>
        </is>
      </c>
      <c r="D34" s="14">
        <f>INDEX(Mapping!$D$5:$D$20,MATCH($C34,SubKey,0))</f>
        <v/>
      </c>
      <c r="E34" s="14">
        <f>INDEX(Mapping!$C$30:$C$37,MATCH($B34,FuelKey,0))</f>
        <v/>
      </c>
      <c r="F34" s="14">
        <f>INDEX(Mapping!$D$30:$D$37,MATCH($B34,FuelKey,0))</f>
        <v/>
      </c>
      <c r="G34" s="14">
        <f>INDEX(Mapping!$E$30:$E$37,MATCH($B34,FuelKey,0))</f>
        <v/>
      </c>
      <c r="H34" s="14">
        <f>INDEX(Mapping!$F$5:$F$20,MATCH($C34,SubKey,0))</f>
        <v/>
      </c>
      <c r="I34" s="14">
        <f>$B34&amp;"."&amp;IF($G34="sub",$H34,"all")</f>
        <v/>
      </c>
      <c r="J34" s="14">
        <f>INDEX(Mapping!$E$5:$E$20,MATCH($C34,SubKey,0))</f>
        <v/>
      </c>
      <c r="K34" s="14">
        <f>INDEX(Mapping!$G$30:$G$37,MATCH($B34,FuelKey,0))</f>
        <v/>
      </c>
      <c r="L34" s="14">
        <f>INDEX(Mapping!$H$30:$H$37,MATCH($B34,FuelKey,0))</f>
        <v/>
      </c>
      <c r="M34" s="14">
        <f>INDEX(Mapping!$H$5:$H$20,MATCH($C34,SubKey,0))</f>
        <v/>
      </c>
      <c r="N34" s="14">
        <f>INDEX(Mapping!$E$50:$E$63,MATCH($I34,Mapping!$A$50:$A$63,0))</f>
        <v/>
      </c>
      <c r="O34" s="24">
        <f>INDEX(ElaVal,MATCH("inc|"&amp;$E34&amp;"|"&amp;$D34,ElaKey,0),MATCH(Settings!$C$6,ElaGroup,0))</f>
        <v/>
      </c>
      <c r="P34" s="24">
        <f>INDEX(ElaVal,MATCH("usg|"&amp;$E34&amp;"|"&amp;$D34,ElaKey,0),MATCH(Settings!$C$6,ElaGroup,0))</f>
        <v/>
      </c>
      <c r="Q34" s="24">
        <f>INDEX(ElaVal,MATCH("eff|"&amp;$E34&amp;"|"&amp;$D34,ElaKey,0),MATCH(Settings!$C$6,ElaGroup,0))</f>
        <v/>
      </c>
      <c r="R34" s="13">
        <f>INDEX(ElaVal,MATCH("aei|"&amp;$F34&amp;"|"&amp;$D34,ElaKey,0),MATCH(Settings!$C$6,ElaGroup,0))</f>
        <v/>
      </c>
      <c r="S34" s="16">
        <f>(1/(1+$R34))^(1+$P34)</f>
        <v/>
      </c>
      <c r="T34" s="24">
        <f>$Q34*(1+$P34)</f>
        <v/>
      </c>
      <c r="U34" s="14">
        <f>INDEX(Inputs_prices!$E$7:$E$18,MATCH($I34,Inputs_prices!$A$7:$A$18,0))</f>
        <v/>
      </c>
      <c r="V34" s="13">
        <f>INDEX(Inputs_prices!$R$7:$R$18,MATCH($I34,Inputs_prices!$A$7:$A$18,0))</f>
        <v/>
      </c>
      <c r="W34" s="16">
        <f>INDEX(EFVal,MATCH(Settings!$C$4&amp;"|"&amp;$B34&amp;"|"&amp;$J34,EFKey,0))</f>
        <v/>
      </c>
      <c r="X34" s="44">
        <f>INDEX(ConsVal,MATCH(Settings!$C$4&amp;"|"&amp;Settings!$C$7&amp;"|"&amp;$C34&amp;"|"&amp;$B34,ConsKey,0))</f>
        <v/>
      </c>
      <c r="Y34" s="14">
        <f>INDEX(Mapping!$I$5:$I$20,MATCH($C34,SubKey,0))</f>
        <v/>
      </c>
      <c r="Z34" s="35">
        <f>INDEX(ECPCov,MATCH("ecs."&amp;$Y34,ECPKey,0))*INDEX(ECPCov,MATCH("ecf."&amp;$B34,ECPKey,0))</f>
        <v/>
      </c>
      <c r="AA34" s="35">
        <f>INDEX(ECPCov,MATCH("ees."&amp;$Y34,ECPKey,0))*INDEX(ECPCov,MATCH("eef."&amp;$B34,ECPKey,0))</f>
        <v/>
      </c>
    </row>
    <row r="35">
      <c r="A35" s="14">
        <f>$B35&amp;"|"&amp;$C35</f>
        <v/>
      </c>
      <c r="B35" s="22" t="inlineStr">
        <is>
          <t>oop</t>
        </is>
      </c>
      <c r="C35" s="22" t="inlineStr">
        <is>
          <t>nav</t>
        </is>
      </c>
      <c r="D35" s="14">
        <f>INDEX(Mapping!$D$5:$D$20,MATCH($C35,SubKey,0))</f>
        <v/>
      </c>
      <c r="E35" s="14">
        <f>INDEX(Mapping!$C$30:$C$37,MATCH($B35,FuelKey,0))</f>
        <v/>
      </c>
      <c r="F35" s="14">
        <f>INDEX(Mapping!$D$30:$D$37,MATCH($B35,FuelKey,0))</f>
        <v/>
      </c>
      <c r="G35" s="14">
        <f>INDEX(Mapping!$E$30:$E$37,MATCH($B35,FuelKey,0))</f>
        <v/>
      </c>
      <c r="H35" s="14">
        <f>INDEX(Mapping!$F$5:$F$20,MATCH($C35,SubKey,0))</f>
        <v/>
      </c>
      <c r="I35" s="14">
        <f>$B35&amp;"."&amp;IF($G35="sub",$H35,"all")</f>
        <v/>
      </c>
      <c r="J35" s="14">
        <f>INDEX(Mapping!$E$5:$E$20,MATCH($C35,SubKey,0))</f>
        <v/>
      </c>
      <c r="K35" s="14">
        <f>INDEX(Mapping!$G$30:$G$37,MATCH($B35,FuelKey,0))</f>
        <v/>
      </c>
      <c r="L35" s="14">
        <f>INDEX(Mapping!$H$30:$H$37,MATCH($B35,FuelKey,0))</f>
        <v/>
      </c>
      <c r="M35" s="14">
        <f>INDEX(Mapping!$H$5:$H$20,MATCH($C35,SubKey,0))</f>
        <v/>
      </c>
      <c r="N35" s="14">
        <f>INDEX(Mapping!$E$50:$E$63,MATCH($I35,Mapping!$A$50:$A$63,0))</f>
        <v/>
      </c>
      <c r="O35" s="24">
        <f>INDEX(ElaVal,MATCH("inc|"&amp;$E35&amp;"|"&amp;$D35,ElaKey,0),MATCH(Settings!$C$6,ElaGroup,0))</f>
        <v/>
      </c>
      <c r="P35" s="24">
        <f>INDEX(ElaVal,MATCH("usg|"&amp;$E35&amp;"|"&amp;$D35,ElaKey,0),MATCH(Settings!$C$6,ElaGroup,0))</f>
        <v/>
      </c>
      <c r="Q35" s="24">
        <f>INDEX(ElaVal,MATCH("eff|"&amp;$E35&amp;"|"&amp;$D35,ElaKey,0),MATCH(Settings!$C$6,ElaGroup,0))</f>
        <v/>
      </c>
      <c r="R35" s="13">
        <f>INDEX(ElaVal,MATCH("aei|"&amp;$F35&amp;"|"&amp;$D35,ElaKey,0),MATCH(Settings!$C$6,ElaGroup,0))</f>
        <v/>
      </c>
      <c r="S35" s="16">
        <f>(1/(1+$R35))^(1+$P35)</f>
        <v/>
      </c>
      <c r="T35" s="24">
        <f>$Q35*(1+$P35)</f>
        <v/>
      </c>
      <c r="U35" s="14">
        <f>INDEX(Inputs_prices!$E$7:$E$18,MATCH($I35,Inputs_prices!$A$7:$A$18,0))</f>
        <v/>
      </c>
      <c r="V35" s="13">
        <f>INDEX(Inputs_prices!$R$7:$R$18,MATCH($I35,Inputs_prices!$A$7:$A$18,0))</f>
        <v/>
      </c>
      <c r="W35" s="16">
        <f>INDEX(EFVal,MATCH(Settings!$C$4&amp;"|"&amp;$B35&amp;"|"&amp;$J35,EFKey,0))</f>
        <v/>
      </c>
      <c r="X35" s="44">
        <f>INDEX(ConsVal,MATCH(Settings!$C$4&amp;"|"&amp;Settings!$C$7&amp;"|"&amp;$C35&amp;"|"&amp;$B35,ConsKey,0))</f>
        <v/>
      </c>
      <c r="Y35" s="14">
        <f>INDEX(Mapping!$I$5:$I$20,MATCH($C35,SubKey,0))</f>
        <v/>
      </c>
      <c r="Z35" s="35">
        <f>INDEX(ECPCov,MATCH("ecs."&amp;$Y35,ECPKey,0))*INDEX(ECPCov,MATCH("ecf."&amp;$B35,ECPKey,0))</f>
        <v/>
      </c>
      <c r="AA35" s="35">
        <f>INDEX(ECPCov,MATCH("ees."&amp;$Y35,ECPKey,0))*INDEX(ECPCov,MATCH("eef."&amp;$B35,ECPKey,0))</f>
        <v/>
      </c>
    </row>
    <row r="36">
      <c r="A36" s="14">
        <f>$B36&amp;"|"&amp;$C36</f>
        <v/>
      </c>
      <c r="B36" s="22" t="inlineStr">
        <is>
          <t>bio</t>
        </is>
      </c>
      <c r="C36" s="22" t="inlineStr">
        <is>
          <t>nav</t>
        </is>
      </c>
      <c r="D36" s="14">
        <f>INDEX(Mapping!$D$5:$D$20,MATCH($C36,SubKey,0))</f>
        <v/>
      </c>
      <c r="E36" s="14">
        <f>INDEX(Mapping!$C$30:$C$37,MATCH($B36,FuelKey,0))</f>
        <v/>
      </c>
      <c r="F36" s="14">
        <f>INDEX(Mapping!$D$30:$D$37,MATCH($B36,FuelKey,0))</f>
        <v/>
      </c>
      <c r="G36" s="14">
        <f>INDEX(Mapping!$E$30:$E$37,MATCH($B36,FuelKey,0))</f>
        <v/>
      </c>
      <c r="H36" s="14">
        <f>INDEX(Mapping!$F$5:$F$20,MATCH($C36,SubKey,0))</f>
        <v/>
      </c>
      <c r="I36" s="14">
        <f>$B36&amp;"."&amp;IF($G36="sub",$H36,"all")</f>
        <v/>
      </c>
      <c r="J36" s="14">
        <f>INDEX(Mapping!$E$5:$E$20,MATCH($C36,SubKey,0))</f>
        <v/>
      </c>
      <c r="K36" s="14">
        <f>INDEX(Mapping!$G$30:$G$37,MATCH($B36,FuelKey,0))</f>
        <v/>
      </c>
      <c r="L36" s="14">
        <f>INDEX(Mapping!$H$30:$H$37,MATCH($B36,FuelKey,0))</f>
        <v/>
      </c>
      <c r="M36" s="14">
        <f>INDEX(Mapping!$H$5:$H$20,MATCH($C36,SubKey,0))</f>
        <v/>
      </c>
      <c r="N36" s="14">
        <f>INDEX(Mapping!$E$50:$E$63,MATCH($I36,Mapping!$A$50:$A$63,0))</f>
        <v/>
      </c>
      <c r="O36" s="24">
        <f>INDEX(ElaVal,MATCH("inc|"&amp;$E36&amp;"|"&amp;$D36,ElaKey,0),MATCH(Settings!$C$6,ElaGroup,0))</f>
        <v/>
      </c>
      <c r="P36" s="24">
        <f>INDEX(ElaVal,MATCH("usg|"&amp;$E36&amp;"|"&amp;$D36,ElaKey,0),MATCH(Settings!$C$6,ElaGroup,0))</f>
        <v/>
      </c>
      <c r="Q36" s="24">
        <f>INDEX(ElaVal,MATCH("eff|"&amp;$E36&amp;"|"&amp;$D36,ElaKey,0),MATCH(Settings!$C$6,ElaGroup,0))</f>
        <v/>
      </c>
      <c r="R36" s="13">
        <f>INDEX(ElaVal,MATCH("aei|"&amp;$F36&amp;"|"&amp;$D36,ElaKey,0),MATCH(Settings!$C$6,ElaGroup,0))</f>
        <v/>
      </c>
      <c r="S36" s="16">
        <f>(1/(1+$R36))^(1+$P36)</f>
        <v/>
      </c>
      <c r="T36" s="24">
        <f>$Q36*(1+$P36)</f>
        <v/>
      </c>
      <c r="U36" s="14">
        <f>INDEX(Inputs_prices!$E$7:$E$18,MATCH($I36,Inputs_prices!$A$7:$A$18,0))</f>
        <v/>
      </c>
      <c r="V36" s="13">
        <f>INDEX(Inputs_prices!$R$7:$R$18,MATCH($I36,Inputs_prices!$A$7:$A$18,0))</f>
        <v/>
      </c>
      <c r="W36" s="16">
        <f>INDEX(EFVal,MATCH(Settings!$C$4&amp;"|"&amp;$B36&amp;"|"&amp;$J36,EFKey,0))</f>
        <v/>
      </c>
      <c r="X36" s="44">
        <f>INDEX(ConsVal,MATCH(Settings!$C$4&amp;"|"&amp;Settings!$C$7&amp;"|"&amp;$C36&amp;"|"&amp;$B36,ConsKey,0))</f>
        <v/>
      </c>
      <c r="Y36" s="14">
        <f>INDEX(Mapping!$I$5:$I$20,MATCH($C36,SubKey,0))</f>
        <v/>
      </c>
      <c r="Z36" s="35">
        <f>INDEX(ECPCov,MATCH("ecs."&amp;$Y36,ECPKey,0))*INDEX(ECPCov,MATCH("ecf."&amp;$B36,ECPKey,0))</f>
        <v/>
      </c>
      <c r="AA36" s="35">
        <f>INDEX(ECPCov,MATCH("ees."&amp;$Y36,ECPKey,0))*INDEX(ECPCov,MATCH("eef."&amp;$B36,ECPKey,0))</f>
        <v/>
      </c>
    </row>
    <row r="37">
      <c r="A37" s="14">
        <f>$B37&amp;"|"&amp;$C37</f>
        <v/>
      </c>
      <c r="B37" s="22" t="inlineStr">
        <is>
          <t>coa</t>
        </is>
      </c>
      <c r="C37" s="22" t="inlineStr">
        <is>
          <t>res</t>
        </is>
      </c>
      <c r="D37" s="14">
        <f>INDEX(Mapping!$D$5:$D$20,MATCH($C37,SubKey,0))</f>
        <v/>
      </c>
      <c r="E37" s="14">
        <f>INDEX(Mapping!$C$30:$C$37,MATCH($B37,FuelKey,0))</f>
        <v/>
      </c>
      <c r="F37" s="14">
        <f>INDEX(Mapping!$D$30:$D$37,MATCH($B37,FuelKey,0))</f>
        <v/>
      </c>
      <c r="G37" s="14">
        <f>INDEX(Mapping!$E$30:$E$37,MATCH($B37,FuelKey,0))</f>
        <v/>
      </c>
      <c r="H37" s="14">
        <f>INDEX(Mapping!$F$5:$F$20,MATCH($C37,SubKey,0))</f>
        <v/>
      </c>
      <c r="I37" s="14">
        <f>$B37&amp;"."&amp;IF($G37="sub",$H37,"all")</f>
        <v/>
      </c>
      <c r="J37" s="14">
        <f>INDEX(Mapping!$E$5:$E$20,MATCH($C37,SubKey,0))</f>
        <v/>
      </c>
      <c r="K37" s="14">
        <f>INDEX(Mapping!$G$30:$G$37,MATCH($B37,FuelKey,0))</f>
        <v/>
      </c>
      <c r="L37" s="14">
        <f>INDEX(Mapping!$H$30:$H$37,MATCH($B37,FuelKey,0))</f>
        <v/>
      </c>
      <c r="M37" s="14">
        <f>INDEX(Mapping!$H$5:$H$20,MATCH($C37,SubKey,0))</f>
        <v/>
      </c>
      <c r="N37" s="14">
        <f>INDEX(Mapping!$E$50:$E$63,MATCH($I37,Mapping!$A$50:$A$63,0))</f>
        <v/>
      </c>
      <c r="O37" s="24">
        <f>INDEX(ElaVal,MATCH("inc|"&amp;$E37&amp;"|"&amp;$D37,ElaKey,0),MATCH(Settings!$C$6,ElaGroup,0))</f>
        <v/>
      </c>
      <c r="P37" s="24">
        <f>INDEX(ElaVal,MATCH("usg|"&amp;$E37&amp;"|"&amp;$D37,ElaKey,0),MATCH(Settings!$C$6,ElaGroup,0))</f>
        <v/>
      </c>
      <c r="Q37" s="24">
        <f>INDEX(ElaVal,MATCH("eff|"&amp;$E37&amp;"|"&amp;$D37,ElaKey,0),MATCH(Settings!$C$6,ElaGroup,0))</f>
        <v/>
      </c>
      <c r="R37" s="13">
        <f>INDEX(ElaVal,MATCH("aei|"&amp;$F37&amp;"|"&amp;$D37,ElaKey,0),MATCH(Settings!$C$6,ElaGroup,0))</f>
        <v/>
      </c>
      <c r="S37" s="16">
        <f>(1/(1+$R37))^(1+$P37)</f>
        <v/>
      </c>
      <c r="T37" s="24">
        <f>$Q37*(1+$P37)</f>
        <v/>
      </c>
      <c r="U37" s="14">
        <f>INDEX(Inputs_prices!$E$7:$E$18,MATCH($I37,Inputs_prices!$A$7:$A$18,0))</f>
        <v/>
      </c>
      <c r="V37" s="13">
        <f>INDEX(Inputs_prices!$R$7:$R$18,MATCH($I37,Inputs_prices!$A$7:$A$18,0))</f>
        <v/>
      </c>
      <c r="W37" s="16">
        <f>INDEX(EFVal,MATCH(Settings!$C$4&amp;"|"&amp;$B37&amp;"|"&amp;$J37,EFKey,0))</f>
        <v/>
      </c>
      <c r="X37" s="44">
        <f>INDEX(ConsVal,MATCH(Settings!$C$4&amp;"|"&amp;Settings!$C$7&amp;"|"&amp;$C37&amp;"|"&amp;$B37,ConsKey,0))</f>
        <v/>
      </c>
      <c r="Y37" s="14">
        <f>INDEX(Mapping!$I$5:$I$20,MATCH($C37,SubKey,0))</f>
        <v/>
      </c>
      <c r="Z37" s="35">
        <f>INDEX(ECPCov,MATCH("ecs."&amp;$Y37,ECPKey,0))*INDEX(ECPCov,MATCH("ecf."&amp;$B37,ECPKey,0))</f>
        <v/>
      </c>
      <c r="AA37" s="35">
        <f>INDEX(ECPCov,MATCH("ees."&amp;$Y37,ECPKey,0))*INDEX(ECPCov,MATCH("eef."&amp;$B37,ECPKey,0))</f>
        <v/>
      </c>
    </row>
    <row r="38">
      <c r="A38" s="14">
        <f>$B38&amp;"|"&amp;$C38</f>
        <v/>
      </c>
      <c r="B38" s="22" t="inlineStr">
        <is>
          <t>nga</t>
        </is>
      </c>
      <c r="C38" s="22" t="inlineStr">
        <is>
          <t>res</t>
        </is>
      </c>
      <c r="D38" s="14">
        <f>INDEX(Mapping!$D$5:$D$20,MATCH($C38,SubKey,0))</f>
        <v/>
      </c>
      <c r="E38" s="14">
        <f>INDEX(Mapping!$C$30:$C$37,MATCH($B38,FuelKey,0))</f>
        <v/>
      </c>
      <c r="F38" s="14">
        <f>INDEX(Mapping!$D$30:$D$37,MATCH($B38,FuelKey,0))</f>
        <v/>
      </c>
      <c r="G38" s="14">
        <f>INDEX(Mapping!$E$30:$E$37,MATCH($B38,FuelKey,0))</f>
        <v/>
      </c>
      <c r="H38" s="14">
        <f>INDEX(Mapping!$F$5:$F$20,MATCH($C38,SubKey,0))</f>
        <v/>
      </c>
      <c r="I38" s="14">
        <f>$B38&amp;"."&amp;IF($G38="sub",$H38,"all")</f>
        <v/>
      </c>
      <c r="J38" s="14">
        <f>INDEX(Mapping!$E$5:$E$20,MATCH($C38,SubKey,0))</f>
        <v/>
      </c>
      <c r="K38" s="14">
        <f>INDEX(Mapping!$G$30:$G$37,MATCH($B38,FuelKey,0))</f>
        <v/>
      </c>
      <c r="L38" s="14">
        <f>INDEX(Mapping!$H$30:$H$37,MATCH($B38,FuelKey,0))</f>
        <v/>
      </c>
      <c r="M38" s="14">
        <f>INDEX(Mapping!$H$5:$H$20,MATCH($C38,SubKey,0))</f>
        <v/>
      </c>
      <c r="N38" s="14">
        <f>INDEX(Mapping!$E$50:$E$63,MATCH($I38,Mapping!$A$50:$A$63,0))</f>
        <v/>
      </c>
      <c r="O38" s="24">
        <f>INDEX(ElaVal,MATCH("inc|"&amp;$E38&amp;"|"&amp;$D38,ElaKey,0),MATCH(Settings!$C$6,ElaGroup,0))</f>
        <v/>
      </c>
      <c r="P38" s="24">
        <f>INDEX(ElaVal,MATCH("usg|"&amp;$E38&amp;"|"&amp;$D38,ElaKey,0),MATCH(Settings!$C$6,ElaGroup,0))</f>
        <v/>
      </c>
      <c r="Q38" s="24">
        <f>INDEX(ElaVal,MATCH("eff|"&amp;$E38&amp;"|"&amp;$D38,ElaKey,0),MATCH(Settings!$C$6,ElaGroup,0))</f>
        <v/>
      </c>
      <c r="R38" s="13">
        <f>INDEX(ElaVal,MATCH("aei|"&amp;$F38&amp;"|"&amp;$D38,ElaKey,0),MATCH(Settings!$C$6,ElaGroup,0))</f>
        <v/>
      </c>
      <c r="S38" s="16">
        <f>(1/(1+$R38))^(1+$P38)</f>
        <v/>
      </c>
      <c r="T38" s="24">
        <f>$Q38*(1+$P38)</f>
        <v/>
      </c>
      <c r="U38" s="14">
        <f>INDEX(Inputs_prices!$E$7:$E$18,MATCH($I38,Inputs_prices!$A$7:$A$18,0))</f>
        <v/>
      </c>
      <c r="V38" s="13">
        <f>INDEX(Inputs_prices!$R$7:$R$18,MATCH($I38,Inputs_prices!$A$7:$A$18,0))</f>
        <v/>
      </c>
      <c r="W38" s="16">
        <f>INDEX(EFVal,MATCH(Settings!$C$4&amp;"|"&amp;$B38&amp;"|"&amp;$J38,EFKey,0))</f>
        <v/>
      </c>
      <c r="X38" s="44">
        <f>INDEX(ConsVal,MATCH(Settings!$C$4&amp;"|"&amp;Settings!$C$7&amp;"|"&amp;$C38&amp;"|"&amp;$B38,ConsKey,0))</f>
        <v/>
      </c>
      <c r="Y38" s="14">
        <f>INDEX(Mapping!$I$5:$I$20,MATCH($C38,SubKey,0))</f>
        <v/>
      </c>
      <c r="Z38" s="35">
        <f>INDEX(ECPCov,MATCH("ecs."&amp;$Y38,ECPKey,0))*INDEX(ECPCov,MATCH("ecf."&amp;$B38,ECPKey,0))</f>
        <v/>
      </c>
      <c r="AA38" s="35">
        <f>INDEX(ECPCov,MATCH("ees."&amp;$Y38,ECPKey,0))*INDEX(ECPCov,MATCH("eef."&amp;$B38,ECPKey,0))</f>
        <v/>
      </c>
    </row>
    <row r="39">
      <c r="A39" s="14">
        <f>$B39&amp;"|"&amp;$C39</f>
        <v/>
      </c>
      <c r="B39" s="22" t="inlineStr">
        <is>
          <t>gso</t>
        </is>
      </c>
      <c r="C39" s="22" t="inlineStr">
        <is>
          <t>res</t>
        </is>
      </c>
      <c r="D39" s="14">
        <f>INDEX(Mapping!$D$5:$D$20,MATCH($C39,SubKey,0))</f>
        <v/>
      </c>
      <c r="E39" s="14">
        <f>INDEX(Mapping!$C$30:$C$37,MATCH($B39,FuelKey,0))</f>
        <v/>
      </c>
      <c r="F39" s="14">
        <f>INDEX(Mapping!$D$30:$D$37,MATCH($B39,FuelKey,0))</f>
        <v/>
      </c>
      <c r="G39" s="14">
        <f>INDEX(Mapping!$E$30:$E$37,MATCH($B39,FuelKey,0))</f>
        <v/>
      </c>
      <c r="H39" s="14">
        <f>INDEX(Mapping!$F$5:$F$20,MATCH($C39,SubKey,0))</f>
        <v/>
      </c>
      <c r="I39" s="14">
        <f>$B39&amp;"."&amp;IF($G39="sub",$H39,"all")</f>
        <v/>
      </c>
      <c r="J39" s="14">
        <f>INDEX(Mapping!$E$5:$E$20,MATCH($C39,SubKey,0))</f>
        <v/>
      </c>
      <c r="K39" s="14">
        <f>INDEX(Mapping!$G$30:$G$37,MATCH($B39,FuelKey,0))</f>
        <v/>
      </c>
      <c r="L39" s="14">
        <f>INDEX(Mapping!$H$30:$H$37,MATCH($B39,FuelKey,0))</f>
        <v/>
      </c>
      <c r="M39" s="14">
        <f>INDEX(Mapping!$H$5:$H$20,MATCH($C39,SubKey,0))</f>
        <v/>
      </c>
      <c r="N39" s="14">
        <f>INDEX(Mapping!$E$50:$E$63,MATCH($I39,Mapping!$A$50:$A$63,0))</f>
        <v/>
      </c>
      <c r="O39" s="24">
        <f>INDEX(ElaVal,MATCH("inc|"&amp;$E39&amp;"|"&amp;$D39,ElaKey,0),MATCH(Settings!$C$6,ElaGroup,0))</f>
        <v/>
      </c>
      <c r="P39" s="24">
        <f>INDEX(ElaVal,MATCH("usg|"&amp;$E39&amp;"|"&amp;$D39,ElaKey,0),MATCH(Settings!$C$6,ElaGroup,0))</f>
        <v/>
      </c>
      <c r="Q39" s="24">
        <f>INDEX(ElaVal,MATCH("eff|"&amp;$E39&amp;"|"&amp;$D39,ElaKey,0),MATCH(Settings!$C$6,ElaGroup,0))</f>
        <v/>
      </c>
      <c r="R39" s="13">
        <f>INDEX(ElaVal,MATCH("aei|"&amp;$F39&amp;"|"&amp;$D39,ElaKey,0),MATCH(Settings!$C$6,ElaGroup,0))</f>
        <v/>
      </c>
      <c r="S39" s="16">
        <f>(1/(1+$R39))^(1+$P39)</f>
        <v/>
      </c>
      <c r="T39" s="24">
        <f>$Q39*(1+$P39)</f>
        <v/>
      </c>
      <c r="U39" s="14">
        <f>INDEX(Inputs_prices!$E$7:$E$18,MATCH($I39,Inputs_prices!$A$7:$A$18,0))</f>
        <v/>
      </c>
      <c r="V39" s="13">
        <f>INDEX(Inputs_prices!$R$7:$R$18,MATCH($I39,Inputs_prices!$A$7:$A$18,0))</f>
        <v/>
      </c>
      <c r="W39" s="16">
        <f>INDEX(EFVal,MATCH(Settings!$C$4&amp;"|"&amp;$B39&amp;"|"&amp;$J39,EFKey,0))</f>
        <v/>
      </c>
      <c r="X39" s="44">
        <f>INDEX(ConsVal,MATCH(Settings!$C$4&amp;"|"&amp;Settings!$C$7&amp;"|"&amp;$C39&amp;"|"&amp;$B39,ConsKey,0))</f>
        <v/>
      </c>
      <c r="Y39" s="14">
        <f>INDEX(Mapping!$I$5:$I$20,MATCH($C39,SubKey,0))</f>
        <v/>
      </c>
      <c r="Z39" s="35">
        <f>INDEX(ECPCov,MATCH("ecs."&amp;$Y39,ECPKey,0))*INDEX(ECPCov,MATCH("ecf."&amp;$B39,ECPKey,0))</f>
        <v/>
      </c>
      <c r="AA39" s="35">
        <f>INDEX(ECPCov,MATCH("ees."&amp;$Y39,ECPKey,0))*INDEX(ECPCov,MATCH("eef."&amp;$B39,ECPKey,0))</f>
        <v/>
      </c>
    </row>
    <row r="40">
      <c r="A40" s="14">
        <f>$B40&amp;"|"&amp;$C40</f>
        <v/>
      </c>
      <c r="B40" s="22" t="inlineStr">
        <is>
          <t>die</t>
        </is>
      </c>
      <c r="C40" s="22" t="inlineStr">
        <is>
          <t>res</t>
        </is>
      </c>
      <c r="D40" s="14">
        <f>INDEX(Mapping!$D$5:$D$20,MATCH($C40,SubKey,0))</f>
        <v/>
      </c>
      <c r="E40" s="14">
        <f>INDEX(Mapping!$C$30:$C$37,MATCH($B40,FuelKey,0))</f>
        <v/>
      </c>
      <c r="F40" s="14">
        <f>INDEX(Mapping!$D$30:$D$37,MATCH($B40,FuelKey,0))</f>
        <v/>
      </c>
      <c r="G40" s="14">
        <f>INDEX(Mapping!$E$30:$E$37,MATCH($B40,FuelKey,0))</f>
        <v/>
      </c>
      <c r="H40" s="14">
        <f>INDEX(Mapping!$F$5:$F$20,MATCH($C40,SubKey,0))</f>
        <v/>
      </c>
      <c r="I40" s="14">
        <f>$B40&amp;"."&amp;IF($G40="sub",$H40,"all")</f>
        <v/>
      </c>
      <c r="J40" s="14">
        <f>INDEX(Mapping!$E$5:$E$20,MATCH($C40,SubKey,0))</f>
        <v/>
      </c>
      <c r="K40" s="14">
        <f>INDEX(Mapping!$G$30:$G$37,MATCH($B40,FuelKey,0))</f>
        <v/>
      </c>
      <c r="L40" s="14">
        <f>INDEX(Mapping!$H$30:$H$37,MATCH($B40,FuelKey,0))</f>
        <v/>
      </c>
      <c r="M40" s="14">
        <f>INDEX(Mapping!$H$5:$H$20,MATCH($C40,SubKey,0))</f>
        <v/>
      </c>
      <c r="N40" s="14">
        <f>INDEX(Mapping!$E$50:$E$63,MATCH($I40,Mapping!$A$50:$A$63,0))</f>
        <v/>
      </c>
      <c r="O40" s="24">
        <f>INDEX(ElaVal,MATCH("inc|"&amp;$E40&amp;"|"&amp;$D40,ElaKey,0),MATCH(Settings!$C$6,ElaGroup,0))</f>
        <v/>
      </c>
      <c r="P40" s="24">
        <f>INDEX(ElaVal,MATCH("usg|"&amp;$E40&amp;"|"&amp;$D40,ElaKey,0),MATCH(Settings!$C$6,ElaGroup,0))</f>
        <v/>
      </c>
      <c r="Q40" s="24">
        <f>INDEX(ElaVal,MATCH("eff|"&amp;$E40&amp;"|"&amp;$D40,ElaKey,0),MATCH(Settings!$C$6,ElaGroup,0))</f>
        <v/>
      </c>
      <c r="R40" s="13">
        <f>INDEX(ElaVal,MATCH("aei|"&amp;$F40&amp;"|"&amp;$D40,ElaKey,0),MATCH(Settings!$C$6,ElaGroup,0))</f>
        <v/>
      </c>
      <c r="S40" s="16">
        <f>(1/(1+$R40))^(1+$P40)</f>
        <v/>
      </c>
      <c r="T40" s="24">
        <f>$Q40*(1+$P40)</f>
        <v/>
      </c>
      <c r="U40" s="14">
        <f>INDEX(Inputs_prices!$E$7:$E$18,MATCH($I40,Inputs_prices!$A$7:$A$18,0))</f>
        <v/>
      </c>
      <c r="V40" s="13">
        <f>INDEX(Inputs_prices!$R$7:$R$18,MATCH($I40,Inputs_prices!$A$7:$A$18,0))</f>
        <v/>
      </c>
      <c r="W40" s="16">
        <f>INDEX(EFVal,MATCH(Settings!$C$4&amp;"|"&amp;$B40&amp;"|"&amp;$J40,EFKey,0))</f>
        <v/>
      </c>
      <c r="X40" s="44">
        <f>INDEX(ConsVal,MATCH(Settings!$C$4&amp;"|"&amp;Settings!$C$7&amp;"|"&amp;$C40&amp;"|"&amp;$B40,ConsKey,0))</f>
        <v/>
      </c>
      <c r="Y40" s="14">
        <f>INDEX(Mapping!$I$5:$I$20,MATCH($C40,SubKey,0))</f>
        <v/>
      </c>
      <c r="Z40" s="35">
        <f>INDEX(ECPCov,MATCH("ecs."&amp;$Y40,ECPKey,0))*INDEX(ECPCov,MATCH("ecf."&amp;$B40,ECPKey,0))</f>
        <v/>
      </c>
      <c r="AA40" s="35">
        <f>INDEX(ECPCov,MATCH("ees."&amp;$Y40,ECPKey,0))*INDEX(ECPCov,MATCH("eef."&amp;$B40,ECPKey,0))</f>
        <v/>
      </c>
    </row>
    <row r="41">
      <c r="A41" s="14">
        <f>$B41&amp;"|"&amp;$C41</f>
        <v/>
      </c>
      <c r="B41" s="22" t="inlineStr">
        <is>
          <t>lpg</t>
        </is>
      </c>
      <c r="C41" s="22" t="inlineStr">
        <is>
          <t>res</t>
        </is>
      </c>
      <c r="D41" s="14">
        <f>INDEX(Mapping!$D$5:$D$20,MATCH($C41,SubKey,0))</f>
        <v/>
      </c>
      <c r="E41" s="14">
        <f>INDEX(Mapping!$C$30:$C$37,MATCH($B41,FuelKey,0))</f>
        <v/>
      </c>
      <c r="F41" s="14">
        <f>INDEX(Mapping!$D$30:$D$37,MATCH($B41,FuelKey,0))</f>
        <v/>
      </c>
      <c r="G41" s="14">
        <f>INDEX(Mapping!$E$30:$E$37,MATCH($B41,FuelKey,0))</f>
        <v/>
      </c>
      <c r="H41" s="14">
        <f>INDEX(Mapping!$F$5:$F$20,MATCH($C41,SubKey,0))</f>
        <v/>
      </c>
      <c r="I41" s="14">
        <f>$B41&amp;"."&amp;IF($G41="sub",$H41,"all")</f>
        <v/>
      </c>
      <c r="J41" s="14">
        <f>INDEX(Mapping!$E$5:$E$20,MATCH($C41,SubKey,0))</f>
        <v/>
      </c>
      <c r="K41" s="14">
        <f>INDEX(Mapping!$G$30:$G$37,MATCH($B41,FuelKey,0))</f>
        <v/>
      </c>
      <c r="L41" s="14">
        <f>INDEX(Mapping!$H$30:$H$37,MATCH($B41,FuelKey,0))</f>
        <v/>
      </c>
      <c r="M41" s="14">
        <f>INDEX(Mapping!$H$5:$H$20,MATCH($C41,SubKey,0))</f>
        <v/>
      </c>
      <c r="N41" s="14">
        <f>INDEX(Mapping!$E$50:$E$63,MATCH($I41,Mapping!$A$50:$A$63,0))</f>
        <v/>
      </c>
      <c r="O41" s="24">
        <f>INDEX(ElaVal,MATCH("inc|"&amp;$E41&amp;"|"&amp;$D41,ElaKey,0),MATCH(Settings!$C$6,ElaGroup,0))</f>
        <v/>
      </c>
      <c r="P41" s="24">
        <f>INDEX(ElaVal,MATCH("usg|"&amp;$E41&amp;"|"&amp;$D41,ElaKey,0),MATCH(Settings!$C$6,ElaGroup,0))</f>
        <v/>
      </c>
      <c r="Q41" s="24">
        <f>INDEX(ElaVal,MATCH("eff|"&amp;$E41&amp;"|"&amp;$D41,ElaKey,0),MATCH(Settings!$C$6,ElaGroup,0))</f>
        <v/>
      </c>
      <c r="R41" s="13">
        <f>INDEX(ElaVal,MATCH("aei|"&amp;$F41&amp;"|"&amp;$D41,ElaKey,0),MATCH(Settings!$C$6,ElaGroup,0))</f>
        <v/>
      </c>
      <c r="S41" s="16">
        <f>(1/(1+$R41))^(1+$P41)</f>
        <v/>
      </c>
      <c r="T41" s="24">
        <f>$Q41*(1+$P41)</f>
        <v/>
      </c>
      <c r="U41" s="14">
        <f>INDEX(Inputs_prices!$E$7:$E$18,MATCH($I41,Inputs_prices!$A$7:$A$18,0))</f>
        <v/>
      </c>
      <c r="V41" s="13">
        <f>INDEX(Inputs_prices!$R$7:$R$18,MATCH($I41,Inputs_prices!$A$7:$A$18,0))</f>
        <v/>
      </c>
      <c r="W41" s="16">
        <f>INDEX(EFVal,MATCH(Settings!$C$4&amp;"|"&amp;$B41&amp;"|"&amp;$J41,EFKey,0))</f>
        <v/>
      </c>
      <c r="X41" s="44">
        <f>INDEX(ConsVal,MATCH(Settings!$C$4&amp;"|"&amp;Settings!$C$7&amp;"|"&amp;$C41&amp;"|"&amp;$B41,ConsKey,0))</f>
        <v/>
      </c>
      <c r="Y41" s="14">
        <f>INDEX(Mapping!$I$5:$I$20,MATCH($C41,SubKey,0))</f>
        <v/>
      </c>
      <c r="Z41" s="35">
        <f>INDEX(ECPCov,MATCH("ecs."&amp;$Y41,ECPKey,0))*INDEX(ECPCov,MATCH("ecf."&amp;$B41,ECPKey,0))</f>
        <v/>
      </c>
      <c r="AA41" s="35">
        <f>INDEX(ECPCov,MATCH("ees."&amp;$Y41,ECPKey,0))*INDEX(ECPCov,MATCH("eef."&amp;$B41,ECPKey,0))</f>
        <v/>
      </c>
    </row>
    <row r="42">
      <c r="A42" s="14">
        <f>$B42&amp;"|"&amp;$C42</f>
        <v/>
      </c>
      <c r="B42" s="22" t="inlineStr">
        <is>
          <t>ker</t>
        </is>
      </c>
      <c r="C42" s="22" t="inlineStr">
        <is>
          <t>res</t>
        </is>
      </c>
      <c r="D42" s="14">
        <f>INDEX(Mapping!$D$5:$D$20,MATCH($C42,SubKey,0))</f>
        <v/>
      </c>
      <c r="E42" s="14">
        <f>INDEX(Mapping!$C$30:$C$37,MATCH($B42,FuelKey,0))</f>
        <v/>
      </c>
      <c r="F42" s="14">
        <f>INDEX(Mapping!$D$30:$D$37,MATCH($B42,FuelKey,0))</f>
        <v/>
      </c>
      <c r="G42" s="14">
        <f>INDEX(Mapping!$E$30:$E$37,MATCH($B42,FuelKey,0))</f>
        <v/>
      </c>
      <c r="H42" s="14">
        <f>INDEX(Mapping!$F$5:$F$20,MATCH($C42,SubKey,0))</f>
        <v/>
      </c>
      <c r="I42" s="14">
        <f>$B42&amp;"."&amp;IF($G42="sub",$H42,"all")</f>
        <v/>
      </c>
      <c r="J42" s="14">
        <f>INDEX(Mapping!$E$5:$E$20,MATCH($C42,SubKey,0))</f>
        <v/>
      </c>
      <c r="K42" s="14">
        <f>INDEX(Mapping!$G$30:$G$37,MATCH($B42,FuelKey,0))</f>
        <v/>
      </c>
      <c r="L42" s="14">
        <f>INDEX(Mapping!$H$30:$H$37,MATCH($B42,FuelKey,0))</f>
        <v/>
      </c>
      <c r="M42" s="14">
        <f>INDEX(Mapping!$H$5:$H$20,MATCH($C42,SubKey,0))</f>
        <v/>
      </c>
      <c r="N42" s="14">
        <f>INDEX(Mapping!$E$50:$E$63,MATCH($I42,Mapping!$A$50:$A$63,0))</f>
        <v/>
      </c>
      <c r="O42" s="24">
        <f>INDEX(ElaVal,MATCH("inc|"&amp;$E42&amp;"|"&amp;$D42,ElaKey,0),MATCH(Settings!$C$6,ElaGroup,0))</f>
        <v/>
      </c>
      <c r="P42" s="24">
        <f>INDEX(ElaVal,MATCH("usg|"&amp;$E42&amp;"|"&amp;$D42,ElaKey,0),MATCH(Settings!$C$6,ElaGroup,0))</f>
        <v/>
      </c>
      <c r="Q42" s="24">
        <f>INDEX(ElaVal,MATCH("eff|"&amp;$E42&amp;"|"&amp;$D42,ElaKey,0),MATCH(Settings!$C$6,ElaGroup,0))</f>
        <v/>
      </c>
      <c r="R42" s="13">
        <f>INDEX(ElaVal,MATCH("aei|"&amp;$F42&amp;"|"&amp;$D42,ElaKey,0),MATCH(Settings!$C$6,ElaGroup,0))</f>
        <v/>
      </c>
      <c r="S42" s="16">
        <f>(1/(1+$R42))^(1+$P42)</f>
        <v/>
      </c>
      <c r="T42" s="24">
        <f>$Q42*(1+$P42)</f>
        <v/>
      </c>
      <c r="U42" s="14">
        <f>INDEX(Inputs_prices!$E$7:$E$18,MATCH($I42,Inputs_prices!$A$7:$A$18,0))</f>
        <v/>
      </c>
      <c r="V42" s="13">
        <f>INDEX(Inputs_prices!$R$7:$R$18,MATCH($I42,Inputs_prices!$A$7:$A$18,0))</f>
        <v/>
      </c>
      <c r="W42" s="16">
        <f>INDEX(EFVal,MATCH(Settings!$C$4&amp;"|"&amp;$B42&amp;"|"&amp;$J42,EFKey,0))</f>
        <v/>
      </c>
      <c r="X42" s="44">
        <f>INDEX(ConsVal,MATCH(Settings!$C$4&amp;"|"&amp;Settings!$C$7&amp;"|"&amp;$C42&amp;"|"&amp;$B42,ConsKey,0))</f>
        <v/>
      </c>
      <c r="Y42" s="14">
        <f>INDEX(Mapping!$I$5:$I$20,MATCH($C42,SubKey,0))</f>
        <v/>
      </c>
      <c r="Z42" s="35">
        <f>INDEX(ECPCov,MATCH("ecs."&amp;$Y42,ECPKey,0))*INDEX(ECPCov,MATCH("ecf."&amp;$B42,ECPKey,0))</f>
        <v/>
      </c>
      <c r="AA42" s="35">
        <f>INDEX(ECPCov,MATCH("ees."&amp;$Y42,ECPKey,0))*INDEX(ECPCov,MATCH("eef."&amp;$B42,ECPKey,0))</f>
        <v/>
      </c>
    </row>
    <row r="43">
      <c r="A43" s="14">
        <f>$B43&amp;"|"&amp;$C43</f>
        <v/>
      </c>
      <c r="B43" s="22" t="inlineStr">
        <is>
          <t>oop</t>
        </is>
      </c>
      <c r="C43" s="22" t="inlineStr">
        <is>
          <t>res</t>
        </is>
      </c>
      <c r="D43" s="14">
        <f>INDEX(Mapping!$D$5:$D$20,MATCH($C43,SubKey,0))</f>
        <v/>
      </c>
      <c r="E43" s="14">
        <f>INDEX(Mapping!$C$30:$C$37,MATCH($B43,FuelKey,0))</f>
        <v/>
      </c>
      <c r="F43" s="14">
        <f>INDEX(Mapping!$D$30:$D$37,MATCH($B43,FuelKey,0))</f>
        <v/>
      </c>
      <c r="G43" s="14">
        <f>INDEX(Mapping!$E$30:$E$37,MATCH($B43,FuelKey,0))</f>
        <v/>
      </c>
      <c r="H43" s="14">
        <f>INDEX(Mapping!$F$5:$F$20,MATCH($C43,SubKey,0))</f>
        <v/>
      </c>
      <c r="I43" s="14">
        <f>$B43&amp;"."&amp;IF($G43="sub",$H43,"all")</f>
        <v/>
      </c>
      <c r="J43" s="14">
        <f>INDEX(Mapping!$E$5:$E$20,MATCH($C43,SubKey,0))</f>
        <v/>
      </c>
      <c r="K43" s="14">
        <f>INDEX(Mapping!$G$30:$G$37,MATCH($B43,FuelKey,0))</f>
        <v/>
      </c>
      <c r="L43" s="14">
        <f>INDEX(Mapping!$H$30:$H$37,MATCH($B43,FuelKey,0))</f>
        <v/>
      </c>
      <c r="M43" s="14">
        <f>INDEX(Mapping!$H$5:$H$20,MATCH($C43,SubKey,0))</f>
        <v/>
      </c>
      <c r="N43" s="14">
        <f>INDEX(Mapping!$E$50:$E$63,MATCH($I43,Mapping!$A$50:$A$63,0))</f>
        <v/>
      </c>
      <c r="O43" s="24">
        <f>INDEX(ElaVal,MATCH("inc|"&amp;$E43&amp;"|"&amp;$D43,ElaKey,0),MATCH(Settings!$C$6,ElaGroup,0))</f>
        <v/>
      </c>
      <c r="P43" s="24">
        <f>INDEX(ElaVal,MATCH("usg|"&amp;$E43&amp;"|"&amp;$D43,ElaKey,0),MATCH(Settings!$C$6,ElaGroup,0))</f>
        <v/>
      </c>
      <c r="Q43" s="24">
        <f>INDEX(ElaVal,MATCH("eff|"&amp;$E43&amp;"|"&amp;$D43,ElaKey,0),MATCH(Settings!$C$6,ElaGroup,0))</f>
        <v/>
      </c>
      <c r="R43" s="13">
        <f>INDEX(ElaVal,MATCH("aei|"&amp;$F43&amp;"|"&amp;$D43,ElaKey,0),MATCH(Settings!$C$6,ElaGroup,0))</f>
        <v/>
      </c>
      <c r="S43" s="16">
        <f>(1/(1+$R43))^(1+$P43)</f>
        <v/>
      </c>
      <c r="T43" s="24">
        <f>$Q43*(1+$P43)</f>
        <v/>
      </c>
      <c r="U43" s="14">
        <f>INDEX(Inputs_prices!$E$7:$E$18,MATCH($I43,Inputs_prices!$A$7:$A$18,0))</f>
        <v/>
      </c>
      <c r="V43" s="13">
        <f>INDEX(Inputs_prices!$R$7:$R$18,MATCH($I43,Inputs_prices!$A$7:$A$18,0))</f>
        <v/>
      </c>
      <c r="W43" s="16">
        <f>INDEX(EFVal,MATCH(Settings!$C$4&amp;"|"&amp;$B43&amp;"|"&amp;$J43,EFKey,0))</f>
        <v/>
      </c>
      <c r="X43" s="44">
        <f>INDEX(ConsVal,MATCH(Settings!$C$4&amp;"|"&amp;Settings!$C$7&amp;"|"&amp;$C43&amp;"|"&amp;$B43,ConsKey,0))</f>
        <v/>
      </c>
      <c r="Y43" s="14">
        <f>INDEX(Mapping!$I$5:$I$20,MATCH($C43,SubKey,0))</f>
        <v/>
      </c>
      <c r="Z43" s="35">
        <f>INDEX(ECPCov,MATCH("ecs."&amp;$Y43,ECPKey,0))*INDEX(ECPCov,MATCH("ecf."&amp;$B43,ECPKey,0))</f>
        <v/>
      </c>
      <c r="AA43" s="35">
        <f>INDEX(ECPCov,MATCH("ees."&amp;$Y43,ECPKey,0))*INDEX(ECPCov,MATCH("eef."&amp;$B43,ECPKey,0))</f>
        <v/>
      </c>
    </row>
    <row r="44">
      <c r="A44" s="14">
        <f>$B44&amp;"|"&amp;$C44</f>
        <v/>
      </c>
      <c r="B44" s="22" t="inlineStr">
        <is>
          <t>bio</t>
        </is>
      </c>
      <c r="C44" s="22" t="inlineStr">
        <is>
          <t>res</t>
        </is>
      </c>
      <c r="D44" s="14">
        <f>INDEX(Mapping!$D$5:$D$20,MATCH($C44,SubKey,0))</f>
        <v/>
      </c>
      <c r="E44" s="14">
        <f>INDEX(Mapping!$C$30:$C$37,MATCH($B44,FuelKey,0))</f>
        <v/>
      </c>
      <c r="F44" s="14">
        <f>INDEX(Mapping!$D$30:$D$37,MATCH($B44,FuelKey,0))</f>
        <v/>
      </c>
      <c r="G44" s="14">
        <f>INDEX(Mapping!$E$30:$E$37,MATCH($B44,FuelKey,0))</f>
        <v/>
      </c>
      <c r="H44" s="14">
        <f>INDEX(Mapping!$F$5:$F$20,MATCH($C44,SubKey,0))</f>
        <v/>
      </c>
      <c r="I44" s="14">
        <f>$B44&amp;"."&amp;IF($G44="sub",$H44,"all")</f>
        <v/>
      </c>
      <c r="J44" s="14">
        <f>INDEX(Mapping!$E$5:$E$20,MATCH($C44,SubKey,0))</f>
        <v/>
      </c>
      <c r="K44" s="14">
        <f>INDEX(Mapping!$G$30:$G$37,MATCH($B44,FuelKey,0))</f>
        <v/>
      </c>
      <c r="L44" s="14">
        <f>INDEX(Mapping!$H$30:$H$37,MATCH($B44,FuelKey,0))</f>
        <v/>
      </c>
      <c r="M44" s="14">
        <f>INDEX(Mapping!$H$5:$H$20,MATCH($C44,SubKey,0))</f>
        <v/>
      </c>
      <c r="N44" s="14">
        <f>INDEX(Mapping!$E$50:$E$63,MATCH($I44,Mapping!$A$50:$A$63,0))</f>
        <v/>
      </c>
      <c r="O44" s="24">
        <f>INDEX(ElaVal,MATCH("inc|"&amp;$E44&amp;"|"&amp;$D44,ElaKey,0),MATCH(Settings!$C$6,ElaGroup,0))</f>
        <v/>
      </c>
      <c r="P44" s="24">
        <f>INDEX(ElaVal,MATCH("usg|"&amp;$E44&amp;"|"&amp;$D44,ElaKey,0),MATCH(Settings!$C$6,ElaGroup,0))</f>
        <v/>
      </c>
      <c r="Q44" s="24">
        <f>INDEX(ElaVal,MATCH("eff|"&amp;$E44&amp;"|"&amp;$D44,ElaKey,0),MATCH(Settings!$C$6,ElaGroup,0))</f>
        <v/>
      </c>
      <c r="R44" s="13">
        <f>INDEX(ElaVal,MATCH("aei|"&amp;$F44&amp;"|"&amp;$D44,ElaKey,0),MATCH(Settings!$C$6,ElaGroup,0))</f>
        <v/>
      </c>
      <c r="S44" s="16">
        <f>(1/(1+$R44))^(1+$P44)</f>
        <v/>
      </c>
      <c r="T44" s="24">
        <f>$Q44*(1+$P44)</f>
        <v/>
      </c>
      <c r="U44" s="14">
        <f>INDEX(Inputs_prices!$E$7:$E$18,MATCH($I44,Inputs_prices!$A$7:$A$18,0))</f>
        <v/>
      </c>
      <c r="V44" s="13">
        <f>INDEX(Inputs_prices!$R$7:$R$18,MATCH($I44,Inputs_prices!$A$7:$A$18,0))</f>
        <v/>
      </c>
      <c r="W44" s="16">
        <f>INDEX(EFVal,MATCH(Settings!$C$4&amp;"|"&amp;$B44&amp;"|"&amp;$J44,EFKey,0))</f>
        <v/>
      </c>
      <c r="X44" s="44">
        <f>INDEX(ConsVal,MATCH(Settings!$C$4&amp;"|"&amp;Settings!$C$7&amp;"|"&amp;$C44&amp;"|"&amp;$B44,ConsKey,0))</f>
        <v/>
      </c>
      <c r="Y44" s="14">
        <f>INDEX(Mapping!$I$5:$I$20,MATCH($C44,SubKey,0))</f>
        <v/>
      </c>
      <c r="Z44" s="35">
        <f>INDEX(ECPCov,MATCH("ecs."&amp;$Y44,ECPKey,0))*INDEX(ECPCov,MATCH("ecf."&amp;$B44,ECPKey,0))</f>
        <v/>
      </c>
      <c r="AA44" s="35">
        <f>INDEX(ECPCov,MATCH("ees."&amp;$Y44,ECPKey,0))*INDEX(ECPCov,MATCH("eef."&amp;$B44,ECPKey,0))</f>
        <v/>
      </c>
    </row>
    <row r="45">
      <c r="A45" s="14">
        <f>$B45&amp;"|"&amp;$C45</f>
        <v/>
      </c>
      <c r="B45" s="22" t="inlineStr">
        <is>
          <t>coa</t>
        </is>
      </c>
      <c r="C45" s="22" t="inlineStr">
        <is>
          <t>foo</t>
        </is>
      </c>
      <c r="D45" s="14">
        <f>INDEX(Mapping!$D$5:$D$20,MATCH($C45,SubKey,0))</f>
        <v/>
      </c>
      <c r="E45" s="14">
        <f>INDEX(Mapping!$C$30:$C$37,MATCH($B45,FuelKey,0))</f>
        <v/>
      </c>
      <c r="F45" s="14">
        <f>INDEX(Mapping!$D$30:$D$37,MATCH($B45,FuelKey,0))</f>
        <v/>
      </c>
      <c r="G45" s="14">
        <f>INDEX(Mapping!$E$30:$E$37,MATCH($B45,FuelKey,0))</f>
        <v/>
      </c>
      <c r="H45" s="14">
        <f>INDEX(Mapping!$F$5:$F$20,MATCH($C45,SubKey,0))</f>
        <v/>
      </c>
      <c r="I45" s="14">
        <f>$B45&amp;"."&amp;IF($G45="sub",$H45,"all")</f>
        <v/>
      </c>
      <c r="J45" s="14">
        <f>INDEX(Mapping!$E$5:$E$20,MATCH($C45,SubKey,0))</f>
        <v/>
      </c>
      <c r="K45" s="14">
        <f>INDEX(Mapping!$G$30:$G$37,MATCH($B45,FuelKey,0))</f>
        <v/>
      </c>
      <c r="L45" s="14">
        <f>INDEX(Mapping!$H$30:$H$37,MATCH($B45,FuelKey,0))</f>
        <v/>
      </c>
      <c r="M45" s="14">
        <f>INDEX(Mapping!$H$5:$H$20,MATCH($C45,SubKey,0))</f>
        <v/>
      </c>
      <c r="N45" s="14">
        <f>INDEX(Mapping!$E$50:$E$63,MATCH($I45,Mapping!$A$50:$A$63,0))</f>
        <v/>
      </c>
      <c r="O45" s="24">
        <f>INDEX(ElaVal,MATCH("inc|"&amp;$E45&amp;"|"&amp;$D45,ElaKey,0),MATCH(Settings!$C$6,ElaGroup,0))</f>
        <v/>
      </c>
      <c r="P45" s="24">
        <f>INDEX(ElaVal,MATCH("usg|"&amp;$E45&amp;"|"&amp;$D45,ElaKey,0),MATCH(Settings!$C$6,ElaGroup,0))</f>
        <v/>
      </c>
      <c r="Q45" s="24">
        <f>INDEX(ElaVal,MATCH("eff|"&amp;$E45&amp;"|"&amp;$D45,ElaKey,0),MATCH(Settings!$C$6,ElaGroup,0))</f>
        <v/>
      </c>
      <c r="R45" s="13">
        <f>INDEX(ElaVal,MATCH("aei|"&amp;$F45&amp;"|"&amp;$D45,ElaKey,0),MATCH(Settings!$C$6,ElaGroup,0))</f>
        <v/>
      </c>
      <c r="S45" s="16">
        <f>(1/(1+$R45))^(1+$P45)</f>
        <v/>
      </c>
      <c r="T45" s="24">
        <f>$Q45*(1+$P45)</f>
        <v/>
      </c>
      <c r="U45" s="14">
        <f>INDEX(Inputs_prices!$E$7:$E$18,MATCH($I45,Inputs_prices!$A$7:$A$18,0))</f>
        <v/>
      </c>
      <c r="V45" s="13">
        <f>INDEX(Inputs_prices!$R$7:$R$18,MATCH($I45,Inputs_prices!$A$7:$A$18,0))</f>
        <v/>
      </c>
      <c r="W45" s="16">
        <f>INDEX(EFVal,MATCH(Settings!$C$4&amp;"|"&amp;$B45&amp;"|"&amp;$J45,EFKey,0))</f>
        <v/>
      </c>
      <c r="X45" s="44">
        <f>INDEX(ConsVal,MATCH(Settings!$C$4&amp;"|"&amp;Settings!$C$7&amp;"|"&amp;$C45&amp;"|"&amp;$B45,ConsKey,0))</f>
        <v/>
      </c>
      <c r="Y45" s="14">
        <f>INDEX(Mapping!$I$5:$I$20,MATCH($C45,SubKey,0))</f>
        <v/>
      </c>
      <c r="Z45" s="35">
        <f>INDEX(ECPCov,MATCH("ecs."&amp;$Y45,ECPKey,0))*INDEX(ECPCov,MATCH("ecf."&amp;$B45,ECPKey,0))</f>
        <v/>
      </c>
      <c r="AA45" s="35">
        <f>INDEX(ECPCov,MATCH("ees."&amp;$Y45,ECPKey,0))*INDEX(ECPCov,MATCH("eef."&amp;$B45,ECPKey,0))</f>
        <v/>
      </c>
    </row>
    <row r="46">
      <c r="A46" s="14">
        <f>$B46&amp;"|"&amp;$C46</f>
        <v/>
      </c>
      <c r="B46" s="22" t="inlineStr">
        <is>
          <t>nga</t>
        </is>
      </c>
      <c r="C46" s="22" t="inlineStr">
        <is>
          <t>foo</t>
        </is>
      </c>
      <c r="D46" s="14">
        <f>INDEX(Mapping!$D$5:$D$20,MATCH($C46,SubKey,0))</f>
        <v/>
      </c>
      <c r="E46" s="14">
        <f>INDEX(Mapping!$C$30:$C$37,MATCH($B46,FuelKey,0))</f>
        <v/>
      </c>
      <c r="F46" s="14">
        <f>INDEX(Mapping!$D$30:$D$37,MATCH($B46,FuelKey,0))</f>
        <v/>
      </c>
      <c r="G46" s="14">
        <f>INDEX(Mapping!$E$30:$E$37,MATCH($B46,FuelKey,0))</f>
        <v/>
      </c>
      <c r="H46" s="14">
        <f>INDEX(Mapping!$F$5:$F$20,MATCH($C46,SubKey,0))</f>
        <v/>
      </c>
      <c r="I46" s="14">
        <f>$B46&amp;"."&amp;IF($G46="sub",$H46,"all")</f>
        <v/>
      </c>
      <c r="J46" s="14">
        <f>INDEX(Mapping!$E$5:$E$20,MATCH($C46,SubKey,0))</f>
        <v/>
      </c>
      <c r="K46" s="14">
        <f>INDEX(Mapping!$G$30:$G$37,MATCH($B46,FuelKey,0))</f>
        <v/>
      </c>
      <c r="L46" s="14">
        <f>INDEX(Mapping!$H$30:$H$37,MATCH($B46,FuelKey,0))</f>
        <v/>
      </c>
      <c r="M46" s="14">
        <f>INDEX(Mapping!$H$5:$H$20,MATCH($C46,SubKey,0))</f>
        <v/>
      </c>
      <c r="N46" s="14">
        <f>INDEX(Mapping!$E$50:$E$63,MATCH($I46,Mapping!$A$50:$A$63,0))</f>
        <v/>
      </c>
      <c r="O46" s="24">
        <f>INDEX(ElaVal,MATCH("inc|"&amp;$E46&amp;"|"&amp;$D46,ElaKey,0),MATCH(Settings!$C$6,ElaGroup,0))</f>
        <v/>
      </c>
      <c r="P46" s="24">
        <f>INDEX(ElaVal,MATCH("usg|"&amp;$E46&amp;"|"&amp;$D46,ElaKey,0),MATCH(Settings!$C$6,ElaGroup,0))</f>
        <v/>
      </c>
      <c r="Q46" s="24">
        <f>INDEX(ElaVal,MATCH("eff|"&amp;$E46&amp;"|"&amp;$D46,ElaKey,0),MATCH(Settings!$C$6,ElaGroup,0))</f>
        <v/>
      </c>
      <c r="R46" s="13">
        <f>INDEX(ElaVal,MATCH("aei|"&amp;$F46&amp;"|"&amp;$D46,ElaKey,0),MATCH(Settings!$C$6,ElaGroup,0))</f>
        <v/>
      </c>
      <c r="S46" s="16">
        <f>(1/(1+$R46))^(1+$P46)</f>
        <v/>
      </c>
      <c r="T46" s="24">
        <f>$Q46*(1+$P46)</f>
        <v/>
      </c>
      <c r="U46" s="14">
        <f>INDEX(Inputs_prices!$E$7:$E$18,MATCH($I46,Inputs_prices!$A$7:$A$18,0))</f>
        <v/>
      </c>
      <c r="V46" s="13">
        <f>INDEX(Inputs_prices!$R$7:$R$18,MATCH($I46,Inputs_prices!$A$7:$A$18,0))</f>
        <v/>
      </c>
      <c r="W46" s="16">
        <f>INDEX(EFVal,MATCH(Settings!$C$4&amp;"|"&amp;$B46&amp;"|"&amp;$J46,EFKey,0))</f>
        <v/>
      </c>
      <c r="X46" s="44">
        <f>INDEX(ConsVal,MATCH(Settings!$C$4&amp;"|"&amp;Settings!$C$7&amp;"|"&amp;$C46&amp;"|"&amp;$B46,ConsKey,0))</f>
        <v/>
      </c>
      <c r="Y46" s="14">
        <f>INDEX(Mapping!$I$5:$I$20,MATCH($C46,SubKey,0))</f>
        <v/>
      </c>
      <c r="Z46" s="35">
        <f>INDEX(ECPCov,MATCH("ecs."&amp;$Y46,ECPKey,0))*INDEX(ECPCov,MATCH("ecf."&amp;$B46,ECPKey,0))</f>
        <v/>
      </c>
      <c r="AA46" s="35">
        <f>INDEX(ECPCov,MATCH("ees."&amp;$Y46,ECPKey,0))*INDEX(ECPCov,MATCH("eef."&amp;$B46,ECPKey,0))</f>
        <v/>
      </c>
    </row>
    <row r="47">
      <c r="A47" s="14">
        <f>$B47&amp;"|"&amp;$C47</f>
        <v/>
      </c>
      <c r="B47" s="22" t="inlineStr">
        <is>
          <t>gso</t>
        </is>
      </c>
      <c r="C47" s="22" t="inlineStr">
        <is>
          <t>foo</t>
        </is>
      </c>
      <c r="D47" s="14">
        <f>INDEX(Mapping!$D$5:$D$20,MATCH($C47,SubKey,0))</f>
        <v/>
      </c>
      <c r="E47" s="14">
        <f>INDEX(Mapping!$C$30:$C$37,MATCH($B47,FuelKey,0))</f>
        <v/>
      </c>
      <c r="F47" s="14">
        <f>INDEX(Mapping!$D$30:$D$37,MATCH($B47,FuelKey,0))</f>
        <v/>
      </c>
      <c r="G47" s="14">
        <f>INDEX(Mapping!$E$30:$E$37,MATCH($B47,FuelKey,0))</f>
        <v/>
      </c>
      <c r="H47" s="14">
        <f>INDEX(Mapping!$F$5:$F$20,MATCH($C47,SubKey,0))</f>
        <v/>
      </c>
      <c r="I47" s="14">
        <f>$B47&amp;"."&amp;IF($G47="sub",$H47,"all")</f>
        <v/>
      </c>
      <c r="J47" s="14">
        <f>INDEX(Mapping!$E$5:$E$20,MATCH($C47,SubKey,0))</f>
        <v/>
      </c>
      <c r="K47" s="14">
        <f>INDEX(Mapping!$G$30:$G$37,MATCH($B47,FuelKey,0))</f>
        <v/>
      </c>
      <c r="L47" s="14">
        <f>INDEX(Mapping!$H$30:$H$37,MATCH($B47,FuelKey,0))</f>
        <v/>
      </c>
      <c r="M47" s="14">
        <f>INDEX(Mapping!$H$5:$H$20,MATCH($C47,SubKey,0))</f>
        <v/>
      </c>
      <c r="N47" s="14">
        <f>INDEX(Mapping!$E$50:$E$63,MATCH($I47,Mapping!$A$50:$A$63,0))</f>
        <v/>
      </c>
      <c r="O47" s="24">
        <f>INDEX(ElaVal,MATCH("inc|"&amp;$E47&amp;"|"&amp;$D47,ElaKey,0),MATCH(Settings!$C$6,ElaGroup,0))</f>
        <v/>
      </c>
      <c r="P47" s="24">
        <f>INDEX(ElaVal,MATCH("usg|"&amp;$E47&amp;"|"&amp;$D47,ElaKey,0),MATCH(Settings!$C$6,ElaGroup,0))</f>
        <v/>
      </c>
      <c r="Q47" s="24">
        <f>INDEX(ElaVal,MATCH("eff|"&amp;$E47&amp;"|"&amp;$D47,ElaKey,0),MATCH(Settings!$C$6,ElaGroup,0))</f>
        <v/>
      </c>
      <c r="R47" s="13">
        <f>INDEX(ElaVal,MATCH("aei|"&amp;$F47&amp;"|"&amp;$D47,ElaKey,0),MATCH(Settings!$C$6,ElaGroup,0))</f>
        <v/>
      </c>
      <c r="S47" s="16">
        <f>(1/(1+$R47))^(1+$P47)</f>
        <v/>
      </c>
      <c r="T47" s="24">
        <f>$Q47*(1+$P47)</f>
        <v/>
      </c>
      <c r="U47" s="14">
        <f>INDEX(Inputs_prices!$E$7:$E$18,MATCH($I47,Inputs_prices!$A$7:$A$18,0))</f>
        <v/>
      </c>
      <c r="V47" s="13">
        <f>INDEX(Inputs_prices!$R$7:$R$18,MATCH($I47,Inputs_prices!$A$7:$A$18,0))</f>
        <v/>
      </c>
      <c r="W47" s="16">
        <f>INDEX(EFVal,MATCH(Settings!$C$4&amp;"|"&amp;$B47&amp;"|"&amp;$J47,EFKey,0))</f>
        <v/>
      </c>
      <c r="X47" s="44">
        <f>INDEX(ConsVal,MATCH(Settings!$C$4&amp;"|"&amp;Settings!$C$7&amp;"|"&amp;$C47&amp;"|"&amp;$B47,ConsKey,0))</f>
        <v/>
      </c>
      <c r="Y47" s="14">
        <f>INDEX(Mapping!$I$5:$I$20,MATCH($C47,SubKey,0))</f>
        <v/>
      </c>
      <c r="Z47" s="35">
        <f>INDEX(ECPCov,MATCH("ecs."&amp;$Y47,ECPKey,0))*INDEX(ECPCov,MATCH("ecf."&amp;$B47,ECPKey,0))</f>
        <v/>
      </c>
      <c r="AA47" s="35">
        <f>INDEX(ECPCov,MATCH("ees."&amp;$Y47,ECPKey,0))*INDEX(ECPCov,MATCH("eef."&amp;$B47,ECPKey,0))</f>
        <v/>
      </c>
    </row>
    <row r="48">
      <c r="A48" s="14">
        <f>$B48&amp;"|"&amp;$C48</f>
        <v/>
      </c>
      <c r="B48" s="22" t="inlineStr">
        <is>
          <t>die</t>
        </is>
      </c>
      <c r="C48" s="22" t="inlineStr">
        <is>
          <t>foo</t>
        </is>
      </c>
      <c r="D48" s="14">
        <f>INDEX(Mapping!$D$5:$D$20,MATCH($C48,SubKey,0))</f>
        <v/>
      </c>
      <c r="E48" s="14">
        <f>INDEX(Mapping!$C$30:$C$37,MATCH($B48,FuelKey,0))</f>
        <v/>
      </c>
      <c r="F48" s="14">
        <f>INDEX(Mapping!$D$30:$D$37,MATCH($B48,FuelKey,0))</f>
        <v/>
      </c>
      <c r="G48" s="14">
        <f>INDEX(Mapping!$E$30:$E$37,MATCH($B48,FuelKey,0))</f>
        <v/>
      </c>
      <c r="H48" s="14">
        <f>INDEX(Mapping!$F$5:$F$20,MATCH($C48,SubKey,0))</f>
        <v/>
      </c>
      <c r="I48" s="14">
        <f>$B48&amp;"."&amp;IF($G48="sub",$H48,"all")</f>
        <v/>
      </c>
      <c r="J48" s="14">
        <f>INDEX(Mapping!$E$5:$E$20,MATCH($C48,SubKey,0))</f>
        <v/>
      </c>
      <c r="K48" s="14">
        <f>INDEX(Mapping!$G$30:$G$37,MATCH($B48,FuelKey,0))</f>
        <v/>
      </c>
      <c r="L48" s="14">
        <f>INDEX(Mapping!$H$30:$H$37,MATCH($B48,FuelKey,0))</f>
        <v/>
      </c>
      <c r="M48" s="14">
        <f>INDEX(Mapping!$H$5:$H$20,MATCH($C48,SubKey,0))</f>
        <v/>
      </c>
      <c r="N48" s="14">
        <f>INDEX(Mapping!$E$50:$E$63,MATCH($I48,Mapping!$A$50:$A$63,0))</f>
        <v/>
      </c>
      <c r="O48" s="24">
        <f>INDEX(ElaVal,MATCH("inc|"&amp;$E48&amp;"|"&amp;$D48,ElaKey,0),MATCH(Settings!$C$6,ElaGroup,0))</f>
        <v/>
      </c>
      <c r="P48" s="24">
        <f>INDEX(ElaVal,MATCH("usg|"&amp;$E48&amp;"|"&amp;$D48,ElaKey,0),MATCH(Settings!$C$6,ElaGroup,0))</f>
        <v/>
      </c>
      <c r="Q48" s="24">
        <f>INDEX(ElaVal,MATCH("eff|"&amp;$E48&amp;"|"&amp;$D48,ElaKey,0),MATCH(Settings!$C$6,ElaGroup,0))</f>
        <v/>
      </c>
      <c r="R48" s="13">
        <f>INDEX(ElaVal,MATCH("aei|"&amp;$F48&amp;"|"&amp;$D48,ElaKey,0),MATCH(Settings!$C$6,ElaGroup,0))</f>
        <v/>
      </c>
      <c r="S48" s="16">
        <f>(1/(1+$R48))^(1+$P48)</f>
        <v/>
      </c>
      <c r="T48" s="24">
        <f>$Q48*(1+$P48)</f>
        <v/>
      </c>
      <c r="U48" s="14">
        <f>INDEX(Inputs_prices!$E$7:$E$18,MATCH($I48,Inputs_prices!$A$7:$A$18,0))</f>
        <v/>
      </c>
      <c r="V48" s="13">
        <f>INDEX(Inputs_prices!$R$7:$R$18,MATCH($I48,Inputs_prices!$A$7:$A$18,0))</f>
        <v/>
      </c>
      <c r="W48" s="16">
        <f>INDEX(EFVal,MATCH(Settings!$C$4&amp;"|"&amp;$B48&amp;"|"&amp;$J48,EFKey,0))</f>
        <v/>
      </c>
      <c r="X48" s="44">
        <f>INDEX(ConsVal,MATCH(Settings!$C$4&amp;"|"&amp;Settings!$C$7&amp;"|"&amp;$C48&amp;"|"&amp;$B48,ConsKey,0))</f>
        <v/>
      </c>
      <c r="Y48" s="14">
        <f>INDEX(Mapping!$I$5:$I$20,MATCH($C48,SubKey,0))</f>
        <v/>
      </c>
      <c r="Z48" s="35">
        <f>INDEX(ECPCov,MATCH("ecs."&amp;$Y48,ECPKey,0))*INDEX(ECPCov,MATCH("ecf."&amp;$B48,ECPKey,0))</f>
        <v/>
      </c>
      <c r="AA48" s="35">
        <f>INDEX(ECPCov,MATCH("ees."&amp;$Y48,ECPKey,0))*INDEX(ECPCov,MATCH("eef."&amp;$B48,ECPKey,0))</f>
        <v/>
      </c>
    </row>
    <row r="49">
      <c r="A49" s="14">
        <f>$B49&amp;"|"&amp;$C49</f>
        <v/>
      </c>
      <c r="B49" s="22" t="inlineStr">
        <is>
          <t>lpg</t>
        </is>
      </c>
      <c r="C49" s="22" t="inlineStr">
        <is>
          <t>foo</t>
        </is>
      </c>
      <c r="D49" s="14">
        <f>INDEX(Mapping!$D$5:$D$20,MATCH($C49,SubKey,0))</f>
        <v/>
      </c>
      <c r="E49" s="14">
        <f>INDEX(Mapping!$C$30:$C$37,MATCH($B49,FuelKey,0))</f>
        <v/>
      </c>
      <c r="F49" s="14">
        <f>INDEX(Mapping!$D$30:$D$37,MATCH($B49,FuelKey,0))</f>
        <v/>
      </c>
      <c r="G49" s="14">
        <f>INDEX(Mapping!$E$30:$E$37,MATCH($B49,FuelKey,0))</f>
        <v/>
      </c>
      <c r="H49" s="14">
        <f>INDEX(Mapping!$F$5:$F$20,MATCH($C49,SubKey,0))</f>
        <v/>
      </c>
      <c r="I49" s="14">
        <f>$B49&amp;"."&amp;IF($G49="sub",$H49,"all")</f>
        <v/>
      </c>
      <c r="J49" s="14">
        <f>INDEX(Mapping!$E$5:$E$20,MATCH($C49,SubKey,0))</f>
        <v/>
      </c>
      <c r="K49" s="14">
        <f>INDEX(Mapping!$G$30:$G$37,MATCH($B49,FuelKey,0))</f>
        <v/>
      </c>
      <c r="L49" s="14">
        <f>INDEX(Mapping!$H$30:$H$37,MATCH($B49,FuelKey,0))</f>
        <v/>
      </c>
      <c r="M49" s="14">
        <f>INDEX(Mapping!$H$5:$H$20,MATCH($C49,SubKey,0))</f>
        <v/>
      </c>
      <c r="N49" s="14">
        <f>INDEX(Mapping!$E$50:$E$63,MATCH($I49,Mapping!$A$50:$A$63,0))</f>
        <v/>
      </c>
      <c r="O49" s="24">
        <f>INDEX(ElaVal,MATCH("inc|"&amp;$E49&amp;"|"&amp;$D49,ElaKey,0),MATCH(Settings!$C$6,ElaGroup,0))</f>
        <v/>
      </c>
      <c r="P49" s="24">
        <f>INDEX(ElaVal,MATCH("usg|"&amp;$E49&amp;"|"&amp;$D49,ElaKey,0),MATCH(Settings!$C$6,ElaGroup,0))</f>
        <v/>
      </c>
      <c r="Q49" s="24">
        <f>INDEX(ElaVal,MATCH("eff|"&amp;$E49&amp;"|"&amp;$D49,ElaKey,0),MATCH(Settings!$C$6,ElaGroup,0))</f>
        <v/>
      </c>
      <c r="R49" s="13">
        <f>INDEX(ElaVal,MATCH("aei|"&amp;$F49&amp;"|"&amp;$D49,ElaKey,0),MATCH(Settings!$C$6,ElaGroup,0))</f>
        <v/>
      </c>
      <c r="S49" s="16">
        <f>(1/(1+$R49))^(1+$P49)</f>
        <v/>
      </c>
      <c r="T49" s="24">
        <f>$Q49*(1+$P49)</f>
        <v/>
      </c>
      <c r="U49" s="14">
        <f>INDEX(Inputs_prices!$E$7:$E$18,MATCH($I49,Inputs_prices!$A$7:$A$18,0))</f>
        <v/>
      </c>
      <c r="V49" s="13">
        <f>INDEX(Inputs_prices!$R$7:$R$18,MATCH($I49,Inputs_prices!$A$7:$A$18,0))</f>
        <v/>
      </c>
      <c r="W49" s="16">
        <f>INDEX(EFVal,MATCH(Settings!$C$4&amp;"|"&amp;$B49&amp;"|"&amp;$J49,EFKey,0))</f>
        <v/>
      </c>
      <c r="X49" s="44">
        <f>INDEX(ConsVal,MATCH(Settings!$C$4&amp;"|"&amp;Settings!$C$7&amp;"|"&amp;$C49&amp;"|"&amp;$B49,ConsKey,0))</f>
        <v/>
      </c>
      <c r="Y49" s="14">
        <f>INDEX(Mapping!$I$5:$I$20,MATCH($C49,SubKey,0))</f>
        <v/>
      </c>
      <c r="Z49" s="35">
        <f>INDEX(ECPCov,MATCH("ecs."&amp;$Y49,ECPKey,0))*INDEX(ECPCov,MATCH("ecf."&amp;$B49,ECPKey,0))</f>
        <v/>
      </c>
      <c r="AA49" s="35">
        <f>INDEX(ECPCov,MATCH("ees."&amp;$Y49,ECPKey,0))*INDEX(ECPCov,MATCH("eef."&amp;$B49,ECPKey,0))</f>
        <v/>
      </c>
    </row>
    <row r="50">
      <c r="A50" s="14">
        <f>$B50&amp;"|"&amp;$C50</f>
        <v/>
      </c>
      <c r="B50" s="22" t="inlineStr">
        <is>
          <t>ker</t>
        </is>
      </c>
      <c r="C50" s="22" t="inlineStr">
        <is>
          <t>foo</t>
        </is>
      </c>
      <c r="D50" s="14">
        <f>INDEX(Mapping!$D$5:$D$20,MATCH($C50,SubKey,0))</f>
        <v/>
      </c>
      <c r="E50" s="14">
        <f>INDEX(Mapping!$C$30:$C$37,MATCH($B50,FuelKey,0))</f>
        <v/>
      </c>
      <c r="F50" s="14">
        <f>INDEX(Mapping!$D$30:$D$37,MATCH($B50,FuelKey,0))</f>
        <v/>
      </c>
      <c r="G50" s="14">
        <f>INDEX(Mapping!$E$30:$E$37,MATCH($B50,FuelKey,0))</f>
        <v/>
      </c>
      <c r="H50" s="14">
        <f>INDEX(Mapping!$F$5:$F$20,MATCH($C50,SubKey,0))</f>
        <v/>
      </c>
      <c r="I50" s="14">
        <f>$B50&amp;"."&amp;IF($G50="sub",$H50,"all")</f>
        <v/>
      </c>
      <c r="J50" s="14">
        <f>INDEX(Mapping!$E$5:$E$20,MATCH($C50,SubKey,0))</f>
        <v/>
      </c>
      <c r="K50" s="14">
        <f>INDEX(Mapping!$G$30:$G$37,MATCH($B50,FuelKey,0))</f>
        <v/>
      </c>
      <c r="L50" s="14">
        <f>INDEX(Mapping!$H$30:$H$37,MATCH($B50,FuelKey,0))</f>
        <v/>
      </c>
      <c r="M50" s="14">
        <f>INDEX(Mapping!$H$5:$H$20,MATCH($C50,SubKey,0))</f>
        <v/>
      </c>
      <c r="N50" s="14">
        <f>INDEX(Mapping!$E$50:$E$63,MATCH($I50,Mapping!$A$50:$A$63,0))</f>
        <v/>
      </c>
      <c r="O50" s="24">
        <f>INDEX(ElaVal,MATCH("inc|"&amp;$E50&amp;"|"&amp;$D50,ElaKey,0),MATCH(Settings!$C$6,ElaGroup,0))</f>
        <v/>
      </c>
      <c r="P50" s="24">
        <f>INDEX(ElaVal,MATCH("usg|"&amp;$E50&amp;"|"&amp;$D50,ElaKey,0),MATCH(Settings!$C$6,ElaGroup,0))</f>
        <v/>
      </c>
      <c r="Q50" s="24">
        <f>INDEX(ElaVal,MATCH("eff|"&amp;$E50&amp;"|"&amp;$D50,ElaKey,0),MATCH(Settings!$C$6,ElaGroup,0))</f>
        <v/>
      </c>
      <c r="R50" s="13">
        <f>INDEX(ElaVal,MATCH("aei|"&amp;$F50&amp;"|"&amp;$D50,ElaKey,0),MATCH(Settings!$C$6,ElaGroup,0))</f>
        <v/>
      </c>
      <c r="S50" s="16">
        <f>(1/(1+$R50))^(1+$P50)</f>
        <v/>
      </c>
      <c r="T50" s="24">
        <f>$Q50*(1+$P50)</f>
        <v/>
      </c>
      <c r="U50" s="14">
        <f>INDEX(Inputs_prices!$E$7:$E$18,MATCH($I50,Inputs_prices!$A$7:$A$18,0))</f>
        <v/>
      </c>
      <c r="V50" s="13">
        <f>INDEX(Inputs_prices!$R$7:$R$18,MATCH($I50,Inputs_prices!$A$7:$A$18,0))</f>
        <v/>
      </c>
      <c r="W50" s="16">
        <f>INDEX(EFVal,MATCH(Settings!$C$4&amp;"|"&amp;$B50&amp;"|"&amp;$J50,EFKey,0))</f>
        <v/>
      </c>
      <c r="X50" s="44">
        <f>INDEX(ConsVal,MATCH(Settings!$C$4&amp;"|"&amp;Settings!$C$7&amp;"|"&amp;$C50&amp;"|"&amp;$B50,ConsKey,0))</f>
        <v/>
      </c>
      <c r="Y50" s="14">
        <f>INDEX(Mapping!$I$5:$I$20,MATCH($C50,SubKey,0))</f>
        <v/>
      </c>
      <c r="Z50" s="35">
        <f>INDEX(ECPCov,MATCH("ecs."&amp;$Y50,ECPKey,0))*INDEX(ECPCov,MATCH("ecf."&amp;$B50,ECPKey,0))</f>
        <v/>
      </c>
      <c r="AA50" s="35">
        <f>INDEX(ECPCov,MATCH("ees."&amp;$Y50,ECPKey,0))*INDEX(ECPCov,MATCH("eef."&amp;$B50,ECPKey,0))</f>
        <v/>
      </c>
    </row>
    <row r="51">
      <c r="A51" s="14">
        <f>$B51&amp;"|"&amp;$C51</f>
        <v/>
      </c>
      <c r="B51" s="22" t="inlineStr">
        <is>
          <t>oop</t>
        </is>
      </c>
      <c r="C51" s="22" t="inlineStr">
        <is>
          <t>foo</t>
        </is>
      </c>
      <c r="D51" s="14">
        <f>INDEX(Mapping!$D$5:$D$20,MATCH($C51,SubKey,0))</f>
        <v/>
      </c>
      <c r="E51" s="14">
        <f>INDEX(Mapping!$C$30:$C$37,MATCH($B51,FuelKey,0))</f>
        <v/>
      </c>
      <c r="F51" s="14">
        <f>INDEX(Mapping!$D$30:$D$37,MATCH($B51,FuelKey,0))</f>
        <v/>
      </c>
      <c r="G51" s="14">
        <f>INDEX(Mapping!$E$30:$E$37,MATCH($B51,FuelKey,0))</f>
        <v/>
      </c>
      <c r="H51" s="14">
        <f>INDEX(Mapping!$F$5:$F$20,MATCH($C51,SubKey,0))</f>
        <v/>
      </c>
      <c r="I51" s="14">
        <f>$B51&amp;"."&amp;IF($G51="sub",$H51,"all")</f>
        <v/>
      </c>
      <c r="J51" s="14">
        <f>INDEX(Mapping!$E$5:$E$20,MATCH($C51,SubKey,0))</f>
        <v/>
      </c>
      <c r="K51" s="14">
        <f>INDEX(Mapping!$G$30:$G$37,MATCH($B51,FuelKey,0))</f>
        <v/>
      </c>
      <c r="L51" s="14">
        <f>INDEX(Mapping!$H$30:$H$37,MATCH($B51,FuelKey,0))</f>
        <v/>
      </c>
      <c r="M51" s="14">
        <f>INDEX(Mapping!$H$5:$H$20,MATCH($C51,SubKey,0))</f>
        <v/>
      </c>
      <c r="N51" s="14">
        <f>INDEX(Mapping!$E$50:$E$63,MATCH($I51,Mapping!$A$50:$A$63,0))</f>
        <v/>
      </c>
      <c r="O51" s="24">
        <f>INDEX(ElaVal,MATCH("inc|"&amp;$E51&amp;"|"&amp;$D51,ElaKey,0),MATCH(Settings!$C$6,ElaGroup,0))</f>
        <v/>
      </c>
      <c r="P51" s="24">
        <f>INDEX(ElaVal,MATCH("usg|"&amp;$E51&amp;"|"&amp;$D51,ElaKey,0),MATCH(Settings!$C$6,ElaGroup,0))</f>
        <v/>
      </c>
      <c r="Q51" s="24">
        <f>INDEX(ElaVal,MATCH("eff|"&amp;$E51&amp;"|"&amp;$D51,ElaKey,0),MATCH(Settings!$C$6,ElaGroup,0))</f>
        <v/>
      </c>
      <c r="R51" s="13">
        <f>INDEX(ElaVal,MATCH("aei|"&amp;$F51&amp;"|"&amp;$D51,ElaKey,0),MATCH(Settings!$C$6,ElaGroup,0))</f>
        <v/>
      </c>
      <c r="S51" s="16">
        <f>(1/(1+$R51))^(1+$P51)</f>
        <v/>
      </c>
      <c r="T51" s="24">
        <f>$Q51*(1+$P51)</f>
        <v/>
      </c>
      <c r="U51" s="14">
        <f>INDEX(Inputs_prices!$E$7:$E$18,MATCH($I51,Inputs_prices!$A$7:$A$18,0))</f>
        <v/>
      </c>
      <c r="V51" s="13">
        <f>INDEX(Inputs_prices!$R$7:$R$18,MATCH($I51,Inputs_prices!$A$7:$A$18,0))</f>
        <v/>
      </c>
      <c r="W51" s="16">
        <f>INDEX(EFVal,MATCH(Settings!$C$4&amp;"|"&amp;$B51&amp;"|"&amp;$J51,EFKey,0))</f>
        <v/>
      </c>
      <c r="X51" s="44">
        <f>INDEX(ConsVal,MATCH(Settings!$C$4&amp;"|"&amp;Settings!$C$7&amp;"|"&amp;$C51&amp;"|"&amp;$B51,ConsKey,0))</f>
        <v/>
      </c>
      <c r="Y51" s="14">
        <f>INDEX(Mapping!$I$5:$I$20,MATCH($C51,SubKey,0))</f>
        <v/>
      </c>
      <c r="Z51" s="35">
        <f>INDEX(ECPCov,MATCH("ecs."&amp;$Y51,ECPKey,0))*INDEX(ECPCov,MATCH("ecf."&amp;$B51,ECPKey,0))</f>
        <v/>
      </c>
      <c r="AA51" s="35">
        <f>INDEX(ECPCov,MATCH("ees."&amp;$Y51,ECPKey,0))*INDEX(ECPCov,MATCH("eef."&amp;$B51,ECPKey,0))</f>
        <v/>
      </c>
    </row>
    <row r="52">
      <c r="A52" s="14">
        <f>$B52&amp;"|"&amp;$C52</f>
        <v/>
      </c>
      <c r="B52" s="22" t="inlineStr">
        <is>
          <t>bio</t>
        </is>
      </c>
      <c r="C52" s="22" t="inlineStr">
        <is>
          <t>foo</t>
        </is>
      </c>
      <c r="D52" s="14">
        <f>INDEX(Mapping!$D$5:$D$20,MATCH($C52,SubKey,0))</f>
        <v/>
      </c>
      <c r="E52" s="14">
        <f>INDEX(Mapping!$C$30:$C$37,MATCH($B52,FuelKey,0))</f>
        <v/>
      </c>
      <c r="F52" s="14">
        <f>INDEX(Mapping!$D$30:$D$37,MATCH($B52,FuelKey,0))</f>
        <v/>
      </c>
      <c r="G52" s="14">
        <f>INDEX(Mapping!$E$30:$E$37,MATCH($B52,FuelKey,0))</f>
        <v/>
      </c>
      <c r="H52" s="14">
        <f>INDEX(Mapping!$F$5:$F$20,MATCH($C52,SubKey,0))</f>
        <v/>
      </c>
      <c r="I52" s="14">
        <f>$B52&amp;"."&amp;IF($G52="sub",$H52,"all")</f>
        <v/>
      </c>
      <c r="J52" s="14">
        <f>INDEX(Mapping!$E$5:$E$20,MATCH($C52,SubKey,0))</f>
        <v/>
      </c>
      <c r="K52" s="14">
        <f>INDEX(Mapping!$G$30:$G$37,MATCH($B52,FuelKey,0))</f>
        <v/>
      </c>
      <c r="L52" s="14">
        <f>INDEX(Mapping!$H$30:$H$37,MATCH($B52,FuelKey,0))</f>
        <v/>
      </c>
      <c r="M52" s="14">
        <f>INDEX(Mapping!$H$5:$H$20,MATCH($C52,SubKey,0))</f>
        <v/>
      </c>
      <c r="N52" s="14">
        <f>INDEX(Mapping!$E$50:$E$63,MATCH($I52,Mapping!$A$50:$A$63,0))</f>
        <v/>
      </c>
      <c r="O52" s="24">
        <f>INDEX(ElaVal,MATCH("inc|"&amp;$E52&amp;"|"&amp;$D52,ElaKey,0),MATCH(Settings!$C$6,ElaGroup,0))</f>
        <v/>
      </c>
      <c r="P52" s="24">
        <f>INDEX(ElaVal,MATCH("usg|"&amp;$E52&amp;"|"&amp;$D52,ElaKey,0),MATCH(Settings!$C$6,ElaGroup,0))</f>
        <v/>
      </c>
      <c r="Q52" s="24">
        <f>INDEX(ElaVal,MATCH("eff|"&amp;$E52&amp;"|"&amp;$D52,ElaKey,0),MATCH(Settings!$C$6,ElaGroup,0))</f>
        <v/>
      </c>
      <c r="R52" s="13">
        <f>INDEX(ElaVal,MATCH("aei|"&amp;$F52&amp;"|"&amp;$D52,ElaKey,0),MATCH(Settings!$C$6,ElaGroup,0))</f>
        <v/>
      </c>
      <c r="S52" s="16">
        <f>(1/(1+$R52))^(1+$P52)</f>
        <v/>
      </c>
      <c r="T52" s="24">
        <f>$Q52*(1+$P52)</f>
        <v/>
      </c>
      <c r="U52" s="14">
        <f>INDEX(Inputs_prices!$E$7:$E$18,MATCH($I52,Inputs_prices!$A$7:$A$18,0))</f>
        <v/>
      </c>
      <c r="V52" s="13">
        <f>INDEX(Inputs_prices!$R$7:$R$18,MATCH($I52,Inputs_prices!$A$7:$A$18,0))</f>
        <v/>
      </c>
      <c r="W52" s="16">
        <f>INDEX(EFVal,MATCH(Settings!$C$4&amp;"|"&amp;$B52&amp;"|"&amp;$J52,EFKey,0))</f>
        <v/>
      </c>
      <c r="X52" s="44">
        <f>INDEX(ConsVal,MATCH(Settings!$C$4&amp;"|"&amp;Settings!$C$7&amp;"|"&amp;$C52&amp;"|"&amp;$B52,ConsKey,0))</f>
        <v/>
      </c>
      <c r="Y52" s="14">
        <f>INDEX(Mapping!$I$5:$I$20,MATCH($C52,SubKey,0))</f>
        <v/>
      </c>
      <c r="Z52" s="35">
        <f>INDEX(ECPCov,MATCH("ecs."&amp;$Y52,ECPKey,0))*INDEX(ECPCov,MATCH("ecf."&amp;$B52,ECPKey,0))</f>
        <v/>
      </c>
      <c r="AA52" s="35">
        <f>INDEX(ECPCov,MATCH("ees."&amp;$Y52,ECPKey,0))*INDEX(ECPCov,MATCH("eef."&amp;$B52,ECPKey,0))</f>
        <v/>
      </c>
    </row>
    <row r="53">
      <c r="A53" s="14">
        <f>$B53&amp;"|"&amp;$C53</f>
        <v/>
      </c>
      <c r="B53" s="22" t="inlineStr">
        <is>
          <t>coa</t>
        </is>
      </c>
      <c r="C53" s="22" t="inlineStr">
        <is>
          <t>srv</t>
        </is>
      </c>
      <c r="D53" s="14">
        <f>INDEX(Mapping!$D$5:$D$20,MATCH($C53,SubKey,0))</f>
        <v/>
      </c>
      <c r="E53" s="14">
        <f>INDEX(Mapping!$C$30:$C$37,MATCH($B53,FuelKey,0))</f>
        <v/>
      </c>
      <c r="F53" s="14">
        <f>INDEX(Mapping!$D$30:$D$37,MATCH($B53,FuelKey,0))</f>
        <v/>
      </c>
      <c r="G53" s="14">
        <f>INDEX(Mapping!$E$30:$E$37,MATCH($B53,FuelKey,0))</f>
        <v/>
      </c>
      <c r="H53" s="14">
        <f>INDEX(Mapping!$F$5:$F$20,MATCH($C53,SubKey,0))</f>
        <v/>
      </c>
      <c r="I53" s="14">
        <f>$B53&amp;"."&amp;IF($G53="sub",$H53,"all")</f>
        <v/>
      </c>
      <c r="J53" s="14">
        <f>INDEX(Mapping!$E$5:$E$20,MATCH($C53,SubKey,0))</f>
        <v/>
      </c>
      <c r="K53" s="14">
        <f>INDEX(Mapping!$G$30:$G$37,MATCH($B53,FuelKey,0))</f>
        <v/>
      </c>
      <c r="L53" s="14">
        <f>INDEX(Mapping!$H$30:$H$37,MATCH($B53,FuelKey,0))</f>
        <v/>
      </c>
      <c r="M53" s="14">
        <f>INDEX(Mapping!$H$5:$H$20,MATCH($C53,SubKey,0))</f>
        <v/>
      </c>
      <c r="N53" s="14">
        <f>INDEX(Mapping!$E$50:$E$63,MATCH($I53,Mapping!$A$50:$A$63,0))</f>
        <v/>
      </c>
      <c r="O53" s="24">
        <f>INDEX(ElaVal,MATCH("inc|"&amp;$E53&amp;"|"&amp;$D53,ElaKey,0),MATCH(Settings!$C$6,ElaGroup,0))</f>
        <v/>
      </c>
      <c r="P53" s="24">
        <f>INDEX(ElaVal,MATCH("usg|"&amp;$E53&amp;"|"&amp;$D53,ElaKey,0),MATCH(Settings!$C$6,ElaGroup,0))</f>
        <v/>
      </c>
      <c r="Q53" s="24">
        <f>INDEX(ElaVal,MATCH("eff|"&amp;$E53&amp;"|"&amp;$D53,ElaKey,0),MATCH(Settings!$C$6,ElaGroup,0))</f>
        <v/>
      </c>
      <c r="R53" s="13">
        <f>INDEX(ElaVal,MATCH("aei|"&amp;$F53&amp;"|"&amp;$D53,ElaKey,0),MATCH(Settings!$C$6,ElaGroup,0))</f>
        <v/>
      </c>
      <c r="S53" s="16">
        <f>(1/(1+$R53))^(1+$P53)</f>
        <v/>
      </c>
      <c r="T53" s="24">
        <f>$Q53*(1+$P53)</f>
        <v/>
      </c>
      <c r="U53" s="14">
        <f>INDEX(Inputs_prices!$E$7:$E$18,MATCH($I53,Inputs_prices!$A$7:$A$18,0))</f>
        <v/>
      </c>
      <c r="V53" s="13">
        <f>INDEX(Inputs_prices!$R$7:$R$18,MATCH($I53,Inputs_prices!$A$7:$A$18,0))</f>
        <v/>
      </c>
      <c r="W53" s="16">
        <f>INDEX(EFVal,MATCH(Settings!$C$4&amp;"|"&amp;$B53&amp;"|"&amp;$J53,EFKey,0))</f>
        <v/>
      </c>
      <c r="X53" s="44">
        <f>INDEX(ConsVal,MATCH(Settings!$C$4&amp;"|"&amp;Settings!$C$7&amp;"|"&amp;$C53&amp;"|"&amp;$B53,ConsKey,0))</f>
        <v/>
      </c>
      <c r="Y53" s="14">
        <f>INDEX(Mapping!$I$5:$I$20,MATCH($C53,SubKey,0))</f>
        <v/>
      </c>
      <c r="Z53" s="35">
        <f>INDEX(ECPCov,MATCH("ecs."&amp;$Y53,ECPKey,0))*INDEX(ECPCov,MATCH("ecf."&amp;$B53,ECPKey,0))</f>
        <v/>
      </c>
      <c r="AA53" s="35">
        <f>INDEX(ECPCov,MATCH("ees."&amp;$Y53,ECPKey,0))*INDEX(ECPCov,MATCH("eef."&amp;$B53,ECPKey,0))</f>
        <v/>
      </c>
    </row>
    <row r="54">
      <c r="A54" s="14">
        <f>$B54&amp;"|"&amp;$C54</f>
        <v/>
      </c>
      <c r="B54" s="22" t="inlineStr">
        <is>
          <t>nga</t>
        </is>
      </c>
      <c r="C54" s="22" t="inlineStr">
        <is>
          <t>srv</t>
        </is>
      </c>
      <c r="D54" s="14">
        <f>INDEX(Mapping!$D$5:$D$20,MATCH($C54,SubKey,0))</f>
        <v/>
      </c>
      <c r="E54" s="14">
        <f>INDEX(Mapping!$C$30:$C$37,MATCH($B54,FuelKey,0))</f>
        <v/>
      </c>
      <c r="F54" s="14">
        <f>INDEX(Mapping!$D$30:$D$37,MATCH($B54,FuelKey,0))</f>
        <v/>
      </c>
      <c r="G54" s="14">
        <f>INDEX(Mapping!$E$30:$E$37,MATCH($B54,FuelKey,0))</f>
        <v/>
      </c>
      <c r="H54" s="14">
        <f>INDEX(Mapping!$F$5:$F$20,MATCH($C54,SubKey,0))</f>
        <v/>
      </c>
      <c r="I54" s="14">
        <f>$B54&amp;"."&amp;IF($G54="sub",$H54,"all")</f>
        <v/>
      </c>
      <c r="J54" s="14">
        <f>INDEX(Mapping!$E$5:$E$20,MATCH($C54,SubKey,0))</f>
        <v/>
      </c>
      <c r="K54" s="14">
        <f>INDEX(Mapping!$G$30:$G$37,MATCH($B54,FuelKey,0))</f>
        <v/>
      </c>
      <c r="L54" s="14">
        <f>INDEX(Mapping!$H$30:$H$37,MATCH($B54,FuelKey,0))</f>
        <v/>
      </c>
      <c r="M54" s="14">
        <f>INDEX(Mapping!$H$5:$H$20,MATCH($C54,SubKey,0))</f>
        <v/>
      </c>
      <c r="N54" s="14">
        <f>INDEX(Mapping!$E$50:$E$63,MATCH($I54,Mapping!$A$50:$A$63,0))</f>
        <v/>
      </c>
      <c r="O54" s="24">
        <f>INDEX(ElaVal,MATCH("inc|"&amp;$E54&amp;"|"&amp;$D54,ElaKey,0),MATCH(Settings!$C$6,ElaGroup,0))</f>
        <v/>
      </c>
      <c r="P54" s="24">
        <f>INDEX(ElaVal,MATCH("usg|"&amp;$E54&amp;"|"&amp;$D54,ElaKey,0),MATCH(Settings!$C$6,ElaGroup,0))</f>
        <v/>
      </c>
      <c r="Q54" s="24">
        <f>INDEX(ElaVal,MATCH("eff|"&amp;$E54&amp;"|"&amp;$D54,ElaKey,0),MATCH(Settings!$C$6,ElaGroup,0))</f>
        <v/>
      </c>
      <c r="R54" s="13">
        <f>INDEX(ElaVal,MATCH("aei|"&amp;$F54&amp;"|"&amp;$D54,ElaKey,0),MATCH(Settings!$C$6,ElaGroup,0))</f>
        <v/>
      </c>
      <c r="S54" s="16">
        <f>(1/(1+$R54))^(1+$P54)</f>
        <v/>
      </c>
      <c r="T54" s="24">
        <f>$Q54*(1+$P54)</f>
        <v/>
      </c>
      <c r="U54" s="14">
        <f>INDEX(Inputs_prices!$E$7:$E$18,MATCH($I54,Inputs_prices!$A$7:$A$18,0))</f>
        <v/>
      </c>
      <c r="V54" s="13">
        <f>INDEX(Inputs_prices!$R$7:$R$18,MATCH($I54,Inputs_prices!$A$7:$A$18,0))</f>
        <v/>
      </c>
      <c r="W54" s="16">
        <f>INDEX(EFVal,MATCH(Settings!$C$4&amp;"|"&amp;$B54&amp;"|"&amp;$J54,EFKey,0))</f>
        <v/>
      </c>
      <c r="X54" s="44">
        <f>INDEX(ConsVal,MATCH(Settings!$C$4&amp;"|"&amp;Settings!$C$7&amp;"|"&amp;$C54&amp;"|"&amp;$B54,ConsKey,0))</f>
        <v/>
      </c>
      <c r="Y54" s="14">
        <f>INDEX(Mapping!$I$5:$I$20,MATCH($C54,SubKey,0))</f>
        <v/>
      </c>
      <c r="Z54" s="35">
        <f>INDEX(ECPCov,MATCH("ecs."&amp;$Y54,ECPKey,0))*INDEX(ECPCov,MATCH("ecf."&amp;$B54,ECPKey,0))</f>
        <v/>
      </c>
      <c r="AA54" s="35">
        <f>INDEX(ECPCov,MATCH("ees."&amp;$Y54,ECPKey,0))*INDEX(ECPCov,MATCH("eef."&amp;$B54,ECPKey,0))</f>
        <v/>
      </c>
    </row>
    <row r="55">
      <c r="A55" s="14">
        <f>$B55&amp;"|"&amp;$C55</f>
        <v/>
      </c>
      <c r="B55" s="22" t="inlineStr">
        <is>
          <t>gso</t>
        </is>
      </c>
      <c r="C55" s="22" t="inlineStr">
        <is>
          <t>srv</t>
        </is>
      </c>
      <c r="D55" s="14">
        <f>INDEX(Mapping!$D$5:$D$20,MATCH($C55,SubKey,0))</f>
        <v/>
      </c>
      <c r="E55" s="14">
        <f>INDEX(Mapping!$C$30:$C$37,MATCH($B55,FuelKey,0))</f>
        <v/>
      </c>
      <c r="F55" s="14">
        <f>INDEX(Mapping!$D$30:$D$37,MATCH($B55,FuelKey,0))</f>
        <v/>
      </c>
      <c r="G55" s="14">
        <f>INDEX(Mapping!$E$30:$E$37,MATCH($B55,FuelKey,0))</f>
        <v/>
      </c>
      <c r="H55" s="14">
        <f>INDEX(Mapping!$F$5:$F$20,MATCH($C55,SubKey,0))</f>
        <v/>
      </c>
      <c r="I55" s="14">
        <f>$B55&amp;"."&amp;IF($G55="sub",$H55,"all")</f>
        <v/>
      </c>
      <c r="J55" s="14">
        <f>INDEX(Mapping!$E$5:$E$20,MATCH($C55,SubKey,0))</f>
        <v/>
      </c>
      <c r="K55" s="14">
        <f>INDEX(Mapping!$G$30:$G$37,MATCH($B55,FuelKey,0))</f>
        <v/>
      </c>
      <c r="L55" s="14">
        <f>INDEX(Mapping!$H$30:$H$37,MATCH($B55,FuelKey,0))</f>
        <v/>
      </c>
      <c r="M55" s="14">
        <f>INDEX(Mapping!$H$5:$H$20,MATCH($C55,SubKey,0))</f>
        <v/>
      </c>
      <c r="N55" s="14">
        <f>INDEX(Mapping!$E$50:$E$63,MATCH($I55,Mapping!$A$50:$A$63,0))</f>
        <v/>
      </c>
      <c r="O55" s="24">
        <f>INDEX(ElaVal,MATCH("inc|"&amp;$E55&amp;"|"&amp;$D55,ElaKey,0),MATCH(Settings!$C$6,ElaGroup,0))</f>
        <v/>
      </c>
      <c r="P55" s="24">
        <f>INDEX(ElaVal,MATCH("usg|"&amp;$E55&amp;"|"&amp;$D55,ElaKey,0),MATCH(Settings!$C$6,ElaGroup,0))</f>
        <v/>
      </c>
      <c r="Q55" s="24">
        <f>INDEX(ElaVal,MATCH("eff|"&amp;$E55&amp;"|"&amp;$D55,ElaKey,0),MATCH(Settings!$C$6,ElaGroup,0))</f>
        <v/>
      </c>
      <c r="R55" s="13">
        <f>INDEX(ElaVal,MATCH("aei|"&amp;$F55&amp;"|"&amp;$D55,ElaKey,0),MATCH(Settings!$C$6,ElaGroup,0))</f>
        <v/>
      </c>
      <c r="S55" s="16">
        <f>(1/(1+$R55))^(1+$P55)</f>
        <v/>
      </c>
      <c r="T55" s="24">
        <f>$Q55*(1+$P55)</f>
        <v/>
      </c>
      <c r="U55" s="14">
        <f>INDEX(Inputs_prices!$E$7:$E$18,MATCH($I55,Inputs_prices!$A$7:$A$18,0))</f>
        <v/>
      </c>
      <c r="V55" s="13">
        <f>INDEX(Inputs_prices!$R$7:$R$18,MATCH($I55,Inputs_prices!$A$7:$A$18,0))</f>
        <v/>
      </c>
      <c r="W55" s="16">
        <f>INDEX(EFVal,MATCH(Settings!$C$4&amp;"|"&amp;$B55&amp;"|"&amp;$J55,EFKey,0))</f>
        <v/>
      </c>
      <c r="X55" s="44">
        <f>INDEX(ConsVal,MATCH(Settings!$C$4&amp;"|"&amp;Settings!$C$7&amp;"|"&amp;$C55&amp;"|"&amp;$B55,ConsKey,0))</f>
        <v/>
      </c>
      <c r="Y55" s="14">
        <f>INDEX(Mapping!$I$5:$I$20,MATCH($C55,SubKey,0))</f>
        <v/>
      </c>
      <c r="Z55" s="35">
        <f>INDEX(ECPCov,MATCH("ecs."&amp;$Y55,ECPKey,0))*INDEX(ECPCov,MATCH("ecf."&amp;$B55,ECPKey,0))</f>
        <v/>
      </c>
      <c r="AA55" s="35">
        <f>INDEX(ECPCov,MATCH("ees."&amp;$Y55,ECPKey,0))*INDEX(ECPCov,MATCH("eef."&amp;$B55,ECPKey,0))</f>
        <v/>
      </c>
    </row>
    <row r="56">
      <c r="A56" s="14">
        <f>$B56&amp;"|"&amp;$C56</f>
        <v/>
      </c>
      <c r="B56" s="22" t="inlineStr">
        <is>
          <t>die</t>
        </is>
      </c>
      <c r="C56" s="22" t="inlineStr">
        <is>
          <t>srv</t>
        </is>
      </c>
      <c r="D56" s="14">
        <f>INDEX(Mapping!$D$5:$D$20,MATCH($C56,SubKey,0))</f>
        <v/>
      </c>
      <c r="E56" s="14">
        <f>INDEX(Mapping!$C$30:$C$37,MATCH($B56,FuelKey,0))</f>
        <v/>
      </c>
      <c r="F56" s="14">
        <f>INDEX(Mapping!$D$30:$D$37,MATCH($B56,FuelKey,0))</f>
        <v/>
      </c>
      <c r="G56" s="14">
        <f>INDEX(Mapping!$E$30:$E$37,MATCH($B56,FuelKey,0))</f>
        <v/>
      </c>
      <c r="H56" s="14">
        <f>INDEX(Mapping!$F$5:$F$20,MATCH($C56,SubKey,0))</f>
        <v/>
      </c>
      <c r="I56" s="14">
        <f>$B56&amp;"."&amp;IF($G56="sub",$H56,"all")</f>
        <v/>
      </c>
      <c r="J56" s="14">
        <f>INDEX(Mapping!$E$5:$E$20,MATCH($C56,SubKey,0))</f>
        <v/>
      </c>
      <c r="K56" s="14">
        <f>INDEX(Mapping!$G$30:$G$37,MATCH($B56,FuelKey,0))</f>
        <v/>
      </c>
      <c r="L56" s="14">
        <f>INDEX(Mapping!$H$30:$H$37,MATCH($B56,FuelKey,0))</f>
        <v/>
      </c>
      <c r="M56" s="14">
        <f>INDEX(Mapping!$H$5:$H$20,MATCH($C56,SubKey,0))</f>
        <v/>
      </c>
      <c r="N56" s="14">
        <f>INDEX(Mapping!$E$50:$E$63,MATCH($I56,Mapping!$A$50:$A$63,0))</f>
        <v/>
      </c>
      <c r="O56" s="24">
        <f>INDEX(ElaVal,MATCH("inc|"&amp;$E56&amp;"|"&amp;$D56,ElaKey,0),MATCH(Settings!$C$6,ElaGroup,0))</f>
        <v/>
      </c>
      <c r="P56" s="24">
        <f>INDEX(ElaVal,MATCH("usg|"&amp;$E56&amp;"|"&amp;$D56,ElaKey,0),MATCH(Settings!$C$6,ElaGroup,0))</f>
        <v/>
      </c>
      <c r="Q56" s="24">
        <f>INDEX(ElaVal,MATCH("eff|"&amp;$E56&amp;"|"&amp;$D56,ElaKey,0),MATCH(Settings!$C$6,ElaGroup,0))</f>
        <v/>
      </c>
      <c r="R56" s="13">
        <f>INDEX(ElaVal,MATCH("aei|"&amp;$F56&amp;"|"&amp;$D56,ElaKey,0),MATCH(Settings!$C$6,ElaGroup,0))</f>
        <v/>
      </c>
      <c r="S56" s="16">
        <f>(1/(1+$R56))^(1+$P56)</f>
        <v/>
      </c>
      <c r="T56" s="24">
        <f>$Q56*(1+$P56)</f>
        <v/>
      </c>
      <c r="U56" s="14">
        <f>INDEX(Inputs_prices!$E$7:$E$18,MATCH($I56,Inputs_prices!$A$7:$A$18,0))</f>
        <v/>
      </c>
      <c r="V56" s="13">
        <f>INDEX(Inputs_prices!$R$7:$R$18,MATCH($I56,Inputs_prices!$A$7:$A$18,0))</f>
        <v/>
      </c>
      <c r="W56" s="16">
        <f>INDEX(EFVal,MATCH(Settings!$C$4&amp;"|"&amp;$B56&amp;"|"&amp;$J56,EFKey,0))</f>
        <v/>
      </c>
      <c r="X56" s="44">
        <f>INDEX(ConsVal,MATCH(Settings!$C$4&amp;"|"&amp;Settings!$C$7&amp;"|"&amp;$C56&amp;"|"&amp;$B56,ConsKey,0))</f>
        <v/>
      </c>
      <c r="Y56" s="14">
        <f>INDEX(Mapping!$I$5:$I$20,MATCH($C56,SubKey,0))</f>
        <v/>
      </c>
      <c r="Z56" s="35">
        <f>INDEX(ECPCov,MATCH("ecs."&amp;$Y56,ECPKey,0))*INDEX(ECPCov,MATCH("ecf."&amp;$B56,ECPKey,0))</f>
        <v/>
      </c>
      <c r="AA56" s="35">
        <f>INDEX(ECPCov,MATCH("ees."&amp;$Y56,ECPKey,0))*INDEX(ECPCov,MATCH("eef."&amp;$B56,ECPKey,0))</f>
        <v/>
      </c>
    </row>
    <row r="57">
      <c r="A57" s="14">
        <f>$B57&amp;"|"&amp;$C57</f>
        <v/>
      </c>
      <c r="B57" s="22" t="inlineStr">
        <is>
          <t>lpg</t>
        </is>
      </c>
      <c r="C57" s="22" t="inlineStr">
        <is>
          <t>srv</t>
        </is>
      </c>
      <c r="D57" s="14">
        <f>INDEX(Mapping!$D$5:$D$20,MATCH($C57,SubKey,0))</f>
        <v/>
      </c>
      <c r="E57" s="14">
        <f>INDEX(Mapping!$C$30:$C$37,MATCH($B57,FuelKey,0))</f>
        <v/>
      </c>
      <c r="F57" s="14">
        <f>INDEX(Mapping!$D$30:$D$37,MATCH($B57,FuelKey,0))</f>
        <v/>
      </c>
      <c r="G57" s="14">
        <f>INDEX(Mapping!$E$30:$E$37,MATCH($B57,FuelKey,0))</f>
        <v/>
      </c>
      <c r="H57" s="14">
        <f>INDEX(Mapping!$F$5:$F$20,MATCH($C57,SubKey,0))</f>
        <v/>
      </c>
      <c r="I57" s="14">
        <f>$B57&amp;"."&amp;IF($G57="sub",$H57,"all")</f>
        <v/>
      </c>
      <c r="J57" s="14">
        <f>INDEX(Mapping!$E$5:$E$20,MATCH($C57,SubKey,0))</f>
        <v/>
      </c>
      <c r="K57" s="14">
        <f>INDEX(Mapping!$G$30:$G$37,MATCH($B57,FuelKey,0))</f>
        <v/>
      </c>
      <c r="L57" s="14">
        <f>INDEX(Mapping!$H$30:$H$37,MATCH($B57,FuelKey,0))</f>
        <v/>
      </c>
      <c r="M57" s="14">
        <f>INDEX(Mapping!$H$5:$H$20,MATCH($C57,SubKey,0))</f>
        <v/>
      </c>
      <c r="N57" s="14">
        <f>INDEX(Mapping!$E$50:$E$63,MATCH($I57,Mapping!$A$50:$A$63,0))</f>
        <v/>
      </c>
      <c r="O57" s="24">
        <f>INDEX(ElaVal,MATCH("inc|"&amp;$E57&amp;"|"&amp;$D57,ElaKey,0),MATCH(Settings!$C$6,ElaGroup,0))</f>
        <v/>
      </c>
      <c r="P57" s="24">
        <f>INDEX(ElaVal,MATCH("usg|"&amp;$E57&amp;"|"&amp;$D57,ElaKey,0),MATCH(Settings!$C$6,ElaGroup,0))</f>
        <v/>
      </c>
      <c r="Q57" s="24">
        <f>INDEX(ElaVal,MATCH("eff|"&amp;$E57&amp;"|"&amp;$D57,ElaKey,0),MATCH(Settings!$C$6,ElaGroup,0))</f>
        <v/>
      </c>
      <c r="R57" s="13">
        <f>INDEX(ElaVal,MATCH("aei|"&amp;$F57&amp;"|"&amp;$D57,ElaKey,0),MATCH(Settings!$C$6,ElaGroup,0))</f>
        <v/>
      </c>
      <c r="S57" s="16">
        <f>(1/(1+$R57))^(1+$P57)</f>
        <v/>
      </c>
      <c r="T57" s="24">
        <f>$Q57*(1+$P57)</f>
        <v/>
      </c>
      <c r="U57" s="14">
        <f>INDEX(Inputs_prices!$E$7:$E$18,MATCH($I57,Inputs_prices!$A$7:$A$18,0))</f>
        <v/>
      </c>
      <c r="V57" s="13">
        <f>INDEX(Inputs_prices!$R$7:$R$18,MATCH($I57,Inputs_prices!$A$7:$A$18,0))</f>
        <v/>
      </c>
      <c r="W57" s="16">
        <f>INDEX(EFVal,MATCH(Settings!$C$4&amp;"|"&amp;$B57&amp;"|"&amp;$J57,EFKey,0))</f>
        <v/>
      </c>
      <c r="X57" s="44">
        <f>INDEX(ConsVal,MATCH(Settings!$C$4&amp;"|"&amp;Settings!$C$7&amp;"|"&amp;$C57&amp;"|"&amp;$B57,ConsKey,0))</f>
        <v/>
      </c>
      <c r="Y57" s="14">
        <f>INDEX(Mapping!$I$5:$I$20,MATCH($C57,SubKey,0))</f>
        <v/>
      </c>
      <c r="Z57" s="35">
        <f>INDEX(ECPCov,MATCH("ecs."&amp;$Y57,ECPKey,0))*INDEX(ECPCov,MATCH("ecf."&amp;$B57,ECPKey,0))</f>
        <v/>
      </c>
      <c r="AA57" s="35">
        <f>INDEX(ECPCov,MATCH("ees."&amp;$Y57,ECPKey,0))*INDEX(ECPCov,MATCH("eef."&amp;$B57,ECPKey,0))</f>
        <v/>
      </c>
    </row>
    <row r="58">
      <c r="A58" s="14">
        <f>$B58&amp;"|"&amp;$C58</f>
        <v/>
      </c>
      <c r="B58" s="22" t="inlineStr">
        <is>
          <t>ker</t>
        </is>
      </c>
      <c r="C58" s="22" t="inlineStr">
        <is>
          <t>srv</t>
        </is>
      </c>
      <c r="D58" s="14">
        <f>INDEX(Mapping!$D$5:$D$20,MATCH($C58,SubKey,0))</f>
        <v/>
      </c>
      <c r="E58" s="14">
        <f>INDEX(Mapping!$C$30:$C$37,MATCH($B58,FuelKey,0))</f>
        <v/>
      </c>
      <c r="F58" s="14">
        <f>INDEX(Mapping!$D$30:$D$37,MATCH($B58,FuelKey,0))</f>
        <v/>
      </c>
      <c r="G58" s="14">
        <f>INDEX(Mapping!$E$30:$E$37,MATCH($B58,FuelKey,0))</f>
        <v/>
      </c>
      <c r="H58" s="14">
        <f>INDEX(Mapping!$F$5:$F$20,MATCH($C58,SubKey,0))</f>
        <v/>
      </c>
      <c r="I58" s="14">
        <f>$B58&amp;"."&amp;IF($G58="sub",$H58,"all")</f>
        <v/>
      </c>
      <c r="J58" s="14">
        <f>INDEX(Mapping!$E$5:$E$20,MATCH($C58,SubKey,0))</f>
        <v/>
      </c>
      <c r="K58" s="14">
        <f>INDEX(Mapping!$G$30:$G$37,MATCH($B58,FuelKey,0))</f>
        <v/>
      </c>
      <c r="L58" s="14">
        <f>INDEX(Mapping!$H$30:$H$37,MATCH($B58,FuelKey,0))</f>
        <v/>
      </c>
      <c r="M58" s="14">
        <f>INDEX(Mapping!$H$5:$H$20,MATCH($C58,SubKey,0))</f>
        <v/>
      </c>
      <c r="N58" s="14">
        <f>INDEX(Mapping!$E$50:$E$63,MATCH($I58,Mapping!$A$50:$A$63,0))</f>
        <v/>
      </c>
      <c r="O58" s="24">
        <f>INDEX(ElaVal,MATCH("inc|"&amp;$E58&amp;"|"&amp;$D58,ElaKey,0),MATCH(Settings!$C$6,ElaGroup,0))</f>
        <v/>
      </c>
      <c r="P58" s="24">
        <f>INDEX(ElaVal,MATCH("usg|"&amp;$E58&amp;"|"&amp;$D58,ElaKey,0),MATCH(Settings!$C$6,ElaGroup,0))</f>
        <v/>
      </c>
      <c r="Q58" s="24">
        <f>INDEX(ElaVal,MATCH("eff|"&amp;$E58&amp;"|"&amp;$D58,ElaKey,0),MATCH(Settings!$C$6,ElaGroup,0))</f>
        <v/>
      </c>
      <c r="R58" s="13">
        <f>INDEX(ElaVal,MATCH("aei|"&amp;$F58&amp;"|"&amp;$D58,ElaKey,0),MATCH(Settings!$C$6,ElaGroup,0))</f>
        <v/>
      </c>
      <c r="S58" s="16">
        <f>(1/(1+$R58))^(1+$P58)</f>
        <v/>
      </c>
      <c r="T58" s="24">
        <f>$Q58*(1+$P58)</f>
        <v/>
      </c>
      <c r="U58" s="14">
        <f>INDEX(Inputs_prices!$E$7:$E$18,MATCH($I58,Inputs_prices!$A$7:$A$18,0))</f>
        <v/>
      </c>
      <c r="V58" s="13">
        <f>INDEX(Inputs_prices!$R$7:$R$18,MATCH($I58,Inputs_prices!$A$7:$A$18,0))</f>
        <v/>
      </c>
      <c r="W58" s="16">
        <f>INDEX(EFVal,MATCH(Settings!$C$4&amp;"|"&amp;$B58&amp;"|"&amp;$J58,EFKey,0))</f>
        <v/>
      </c>
      <c r="X58" s="44">
        <f>INDEX(ConsVal,MATCH(Settings!$C$4&amp;"|"&amp;Settings!$C$7&amp;"|"&amp;$C58&amp;"|"&amp;$B58,ConsKey,0))</f>
        <v/>
      </c>
      <c r="Y58" s="14">
        <f>INDEX(Mapping!$I$5:$I$20,MATCH($C58,SubKey,0))</f>
        <v/>
      </c>
      <c r="Z58" s="35">
        <f>INDEX(ECPCov,MATCH("ecs."&amp;$Y58,ECPKey,0))*INDEX(ECPCov,MATCH("ecf."&amp;$B58,ECPKey,0))</f>
        <v/>
      </c>
      <c r="AA58" s="35">
        <f>INDEX(ECPCov,MATCH("ees."&amp;$Y58,ECPKey,0))*INDEX(ECPCov,MATCH("eef."&amp;$B58,ECPKey,0))</f>
        <v/>
      </c>
    </row>
    <row r="59">
      <c r="A59" s="14">
        <f>$B59&amp;"|"&amp;$C59</f>
        <v/>
      </c>
      <c r="B59" s="22" t="inlineStr">
        <is>
          <t>oop</t>
        </is>
      </c>
      <c r="C59" s="22" t="inlineStr">
        <is>
          <t>srv</t>
        </is>
      </c>
      <c r="D59" s="14">
        <f>INDEX(Mapping!$D$5:$D$20,MATCH($C59,SubKey,0))</f>
        <v/>
      </c>
      <c r="E59" s="14">
        <f>INDEX(Mapping!$C$30:$C$37,MATCH($B59,FuelKey,0))</f>
        <v/>
      </c>
      <c r="F59" s="14">
        <f>INDEX(Mapping!$D$30:$D$37,MATCH($B59,FuelKey,0))</f>
        <v/>
      </c>
      <c r="G59" s="14">
        <f>INDEX(Mapping!$E$30:$E$37,MATCH($B59,FuelKey,0))</f>
        <v/>
      </c>
      <c r="H59" s="14">
        <f>INDEX(Mapping!$F$5:$F$20,MATCH($C59,SubKey,0))</f>
        <v/>
      </c>
      <c r="I59" s="14">
        <f>$B59&amp;"."&amp;IF($G59="sub",$H59,"all")</f>
        <v/>
      </c>
      <c r="J59" s="14">
        <f>INDEX(Mapping!$E$5:$E$20,MATCH($C59,SubKey,0))</f>
        <v/>
      </c>
      <c r="K59" s="14">
        <f>INDEX(Mapping!$G$30:$G$37,MATCH($B59,FuelKey,0))</f>
        <v/>
      </c>
      <c r="L59" s="14">
        <f>INDEX(Mapping!$H$30:$H$37,MATCH($B59,FuelKey,0))</f>
        <v/>
      </c>
      <c r="M59" s="14">
        <f>INDEX(Mapping!$H$5:$H$20,MATCH($C59,SubKey,0))</f>
        <v/>
      </c>
      <c r="N59" s="14">
        <f>INDEX(Mapping!$E$50:$E$63,MATCH($I59,Mapping!$A$50:$A$63,0))</f>
        <v/>
      </c>
      <c r="O59" s="24">
        <f>INDEX(ElaVal,MATCH("inc|"&amp;$E59&amp;"|"&amp;$D59,ElaKey,0),MATCH(Settings!$C$6,ElaGroup,0))</f>
        <v/>
      </c>
      <c r="P59" s="24">
        <f>INDEX(ElaVal,MATCH("usg|"&amp;$E59&amp;"|"&amp;$D59,ElaKey,0),MATCH(Settings!$C$6,ElaGroup,0))</f>
        <v/>
      </c>
      <c r="Q59" s="24">
        <f>INDEX(ElaVal,MATCH("eff|"&amp;$E59&amp;"|"&amp;$D59,ElaKey,0),MATCH(Settings!$C$6,ElaGroup,0))</f>
        <v/>
      </c>
      <c r="R59" s="13">
        <f>INDEX(ElaVal,MATCH("aei|"&amp;$F59&amp;"|"&amp;$D59,ElaKey,0),MATCH(Settings!$C$6,ElaGroup,0))</f>
        <v/>
      </c>
      <c r="S59" s="16">
        <f>(1/(1+$R59))^(1+$P59)</f>
        <v/>
      </c>
      <c r="T59" s="24">
        <f>$Q59*(1+$P59)</f>
        <v/>
      </c>
      <c r="U59" s="14">
        <f>INDEX(Inputs_prices!$E$7:$E$18,MATCH($I59,Inputs_prices!$A$7:$A$18,0))</f>
        <v/>
      </c>
      <c r="V59" s="13">
        <f>INDEX(Inputs_prices!$R$7:$R$18,MATCH($I59,Inputs_prices!$A$7:$A$18,0))</f>
        <v/>
      </c>
      <c r="W59" s="16">
        <f>INDEX(EFVal,MATCH(Settings!$C$4&amp;"|"&amp;$B59&amp;"|"&amp;$J59,EFKey,0))</f>
        <v/>
      </c>
      <c r="X59" s="44">
        <f>INDEX(ConsVal,MATCH(Settings!$C$4&amp;"|"&amp;Settings!$C$7&amp;"|"&amp;$C59&amp;"|"&amp;$B59,ConsKey,0))</f>
        <v/>
      </c>
      <c r="Y59" s="14">
        <f>INDEX(Mapping!$I$5:$I$20,MATCH($C59,SubKey,0))</f>
        <v/>
      </c>
      <c r="Z59" s="35">
        <f>INDEX(ECPCov,MATCH("ecs."&amp;$Y59,ECPKey,0))*INDEX(ECPCov,MATCH("ecf."&amp;$B59,ECPKey,0))</f>
        <v/>
      </c>
      <c r="AA59" s="35">
        <f>INDEX(ECPCov,MATCH("ees."&amp;$Y59,ECPKey,0))*INDEX(ECPCov,MATCH("eef."&amp;$B59,ECPKey,0))</f>
        <v/>
      </c>
    </row>
    <row r="60">
      <c r="A60" s="14">
        <f>$B60&amp;"|"&amp;$C60</f>
        <v/>
      </c>
      <c r="B60" s="22" t="inlineStr">
        <is>
          <t>bio</t>
        </is>
      </c>
      <c r="C60" s="22" t="inlineStr">
        <is>
          <t>srv</t>
        </is>
      </c>
      <c r="D60" s="14">
        <f>INDEX(Mapping!$D$5:$D$20,MATCH($C60,SubKey,0))</f>
        <v/>
      </c>
      <c r="E60" s="14">
        <f>INDEX(Mapping!$C$30:$C$37,MATCH($B60,FuelKey,0))</f>
        <v/>
      </c>
      <c r="F60" s="14">
        <f>INDEX(Mapping!$D$30:$D$37,MATCH($B60,FuelKey,0))</f>
        <v/>
      </c>
      <c r="G60" s="14">
        <f>INDEX(Mapping!$E$30:$E$37,MATCH($B60,FuelKey,0))</f>
        <v/>
      </c>
      <c r="H60" s="14">
        <f>INDEX(Mapping!$F$5:$F$20,MATCH($C60,SubKey,0))</f>
        <v/>
      </c>
      <c r="I60" s="14">
        <f>$B60&amp;"."&amp;IF($G60="sub",$H60,"all")</f>
        <v/>
      </c>
      <c r="J60" s="14">
        <f>INDEX(Mapping!$E$5:$E$20,MATCH($C60,SubKey,0))</f>
        <v/>
      </c>
      <c r="K60" s="14">
        <f>INDEX(Mapping!$G$30:$G$37,MATCH($B60,FuelKey,0))</f>
        <v/>
      </c>
      <c r="L60" s="14">
        <f>INDEX(Mapping!$H$30:$H$37,MATCH($B60,FuelKey,0))</f>
        <v/>
      </c>
      <c r="M60" s="14">
        <f>INDEX(Mapping!$H$5:$H$20,MATCH($C60,SubKey,0))</f>
        <v/>
      </c>
      <c r="N60" s="14">
        <f>INDEX(Mapping!$E$50:$E$63,MATCH($I60,Mapping!$A$50:$A$63,0))</f>
        <v/>
      </c>
      <c r="O60" s="24">
        <f>INDEX(ElaVal,MATCH("inc|"&amp;$E60&amp;"|"&amp;$D60,ElaKey,0),MATCH(Settings!$C$6,ElaGroup,0))</f>
        <v/>
      </c>
      <c r="P60" s="24">
        <f>INDEX(ElaVal,MATCH("usg|"&amp;$E60&amp;"|"&amp;$D60,ElaKey,0),MATCH(Settings!$C$6,ElaGroup,0))</f>
        <v/>
      </c>
      <c r="Q60" s="24">
        <f>INDEX(ElaVal,MATCH("eff|"&amp;$E60&amp;"|"&amp;$D60,ElaKey,0),MATCH(Settings!$C$6,ElaGroup,0))</f>
        <v/>
      </c>
      <c r="R60" s="13">
        <f>INDEX(ElaVal,MATCH("aei|"&amp;$F60&amp;"|"&amp;$D60,ElaKey,0),MATCH(Settings!$C$6,ElaGroup,0))</f>
        <v/>
      </c>
      <c r="S60" s="16">
        <f>(1/(1+$R60))^(1+$P60)</f>
        <v/>
      </c>
      <c r="T60" s="24">
        <f>$Q60*(1+$P60)</f>
        <v/>
      </c>
      <c r="U60" s="14">
        <f>INDEX(Inputs_prices!$E$7:$E$18,MATCH($I60,Inputs_prices!$A$7:$A$18,0))</f>
        <v/>
      </c>
      <c r="V60" s="13">
        <f>INDEX(Inputs_prices!$R$7:$R$18,MATCH($I60,Inputs_prices!$A$7:$A$18,0))</f>
        <v/>
      </c>
      <c r="W60" s="16">
        <f>INDEX(EFVal,MATCH(Settings!$C$4&amp;"|"&amp;$B60&amp;"|"&amp;$J60,EFKey,0))</f>
        <v/>
      </c>
      <c r="X60" s="44">
        <f>INDEX(ConsVal,MATCH(Settings!$C$4&amp;"|"&amp;Settings!$C$7&amp;"|"&amp;$C60&amp;"|"&amp;$B60,ConsKey,0))</f>
        <v/>
      </c>
      <c r="Y60" s="14">
        <f>INDEX(Mapping!$I$5:$I$20,MATCH($C60,SubKey,0))</f>
        <v/>
      </c>
      <c r="Z60" s="35">
        <f>INDEX(ECPCov,MATCH("ecs."&amp;$Y60,ECPKey,0))*INDEX(ECPCov,MATCH("ecf."&amp;$B60,ECPKey,0))</f>
        <v/>
      </c>
      <c r="AA60" s="35">
        <f>INDEX(ECPCov,MATCH("ees."&amp;$Y60,ECPKey,0))*INDEX(ECPCov,MATCH("eef."&amp;$B60,ECPKey,0))</f>
        <v/>
      </c>
    </row>
    <row r="61">
      <c r="A61" s="14">
        <f>$B61&amp;"|"&amp;$C61</f>
        <v/>
      </c>
      <c r="B61" s="22" t="inlineStr">
        <is>
          <t>coa</t>
        </is>
      </c>
      <c r="C61" s="22" t="inlineStr">
        <is>
          <t>mch</t>
        </is>
      </c>
      <c r="D61" s="14">
        <f>INDEX(Mapping!$D$5:$D$20,MATCH($C61,SubKey,0))</f>
        <v/>
      </c>
      <c r="E61" s="14">
        <f>INDEX(Mapping!$C$30:$C$37,MATCH($B61,FuelKey,0))</f>
        <v/>
      </c>
      <c r="F61" s="14">
        <f>INDEX(Mapping!$D$30:$D$37,MATCH($B61,FuelKey,0))</f>
        <v/>
      </c>
      <c r="G61" s="14">
        <f>INDEX(Mapping!$E$30:$E$37,MATCH($B61,FuelKey,0))</f>
        <v/>
      </c>
      <c r="H61" s="14">
        <f>INDEX(Mapping!$F$5:$F$20,MATCH($C61,SubKey,0))</f>
        <v/>
      </c>
      <c r="I61" s="14">
        <f>$B61&amp;"."&amp;IF($G61="sub",$H61,"all")</f>
        <v/>
      </c>
      <c r="J61" s="14">
        <f>INDEX(Mapping!$E$5:$E$20,MATCH($C61,SubKey,0))</f>
        <v/>
      </c>
      <c r="K61" s="14">
        <f>INDEX(Mapping!$G$30:$G$37,MATCH($B61,FuelKey,0))</f>
        <v/>
      </c>
      <c r="L61" s="14">
        <f>INDEX(Mapping!$H$30:$H$37,MATCH($B61,FuelKey,0))</f>
        <v/>
      </c>
      <c r="M61" s="14">
        <f>INDEX(Mapping!$H$5:$H$20,MATCH($C61,SubKey,0))</f>
        <v/>
      </c>
      <c r="N61" s="14">
        <f>INDEX(Mapping!$E$50:$E$63,MATCH($I61,Mapping!$A$50:$A$63,0))</f>
        <v/>
      </c>
      <c r="O61" s="24">
        <f>INDEX(ElaVal,MATCH("inc|"&amp;$E61&amp;"|"&amp;$D61,ElaKey,0),MATCH(Settings!$C$6,ElaGroup,0))</f>
        <v/>
      </c>
      <c r="P61" s="24">
        <f>INDEX(ElaVal,MATCH("usg|"&amp;$E61&amp;"|"&amp;$D61,ElaKey,0),MATCH(Settings!$C$6,ElaGroup,0))</f>
        <v/>
      </c>
      <c r="Q61" s="24">
        <f>INDEX(ElaVal,MATCH("eff|"&amp;$E61&amp;"|"&amp;$D61,ElaKey,0),MATCH(Settings!$C$6,ElaGroup,0))</f>
        <v/>
      </c>
      <c r="R61" s="13">
        <f>INDEX(ElaVal,MATCH("aei|"&amp;$F61&amp;"|"&amp;$D61,ElaKey,0),MATCH(Settings!$C$6,ElaGroup,0))</f>
        <v/>
      </c>
      <c r="S61" s="16">
        <f>(1/(1+$R61))^(1+$P61)</f>
        <v/>
      </c>
      <c r="T61" s="24">
        <f>$Q61*(1+$P61)</f>
        <v/>
      </c>
      <c r="U61" s="14">
        <f>INDEX(Inputs_prices!$E$7:$E$18,MATCH($I61,Inputs_prices!$A$7:$A$18,0))</f>
        <v/>
      </c>
      <c r="V61" s="13">
        <f>INDEX(Inputs_prices!$R$7:$R$18,MATCH($I61,Inputs_prices!$A$7:$A$18,0))</f>
        <v/>
      </c>
      <c r="W61" s="16">
        <f>INDEX(EFVal,MATCH(Settings!$C$4&amp;"|"&amp;$B61&amp;"|"&amp;$J61,EFKey,0))</f>
        <v/>
      </c>
      <c r="X61" s="44">
        <f>INDEX(ConsVal,MATCH(Settings!$C$4&amp;"|"&amp;Settings!$C$7&amp;"|"&amp;$C61&amp;"|"&amp;$B61,ConsKey,0))</f>
        <v/>
      </c>
      <c r="Y61" s="14">
        <f>INDEX(Mapping!$I$5:$I$20,MATCH($C61,SubKey,0))</f>
        <v/>
      </c>
      <c r="Z61" s="35">
        <f>INDEX(ECPCov,MATCH("ecs."&amp;$Y61,ECPKey,0))*INDEX(ECPCov,MATCH("ecf."&amp;$B61,ECPKey,0))</f>
        <v/>
      </c>
      <c r="AA61" s="35">
        <f>INDEX(ECPCov,MATCH("ees."&amp;$Y61,ECPKey,0))*INDEX(ECPCov,MATCH("eef."&amp;$B61,ECPKey,0))</f>
        <v/>
      </c>
    </row>
    <row r="62">
      <c r="A62" s="14">
        <f>$B62&amp;"|"&amp;$C62</f>
        <v/>
      </c>
      <c r="B62" s="22" t="inlineStr">
        <is>
          <t>nga</t>
        </is>
      </c>
      <c r="C62" s="22" t="inlineStr">
        <is>
          <t>mch</t>
        </is>
      </c>
      <c r="D62" s="14">
        <f>INDEX(Mapping!$D$5:$D$20,MATCH($C62,SubKey,0))</f>
        <v/>
      </c>
      <c r="E62" s="14">
        <f>INDEX(Mapping!$C$30:$C$37,MATCH($B62,FuelKey,0))</f>
        <v/>
      </c>
      <c r="F62" s="14">
        <f>INDEX(Mapping!$D$30:$D$37,MATCH($B62,FuelKey,0))</f>
        <v/>
      </c>
      <c r="G62" s="14">
        <f>INDEX(Mapping!$E$30:$E$37,MATCH($B62,FuelKey,0))</f>
        <v/>
      </c>
      <c r="H62" s="14">
        <f>INDEX(Mapping!$F$5:$F$20,MATCH($C62,SubKey,0))</f>
        <v/>
      </c>
      <c r="I62" s="14">
        <f>$B62&amp;"."&amp;IF($G62="sub",$H62,"all")</f>
        <v/>
      </c>
      <c r="J62" s="14">
        <f>INDEX(Mapping!$E$5:$E$20,MATCH($C62,SubKey,0))</f>
        <v/>
      </c>
      <c r="K62" s="14">
        <f>INDEX(Mapping!$G$30:$G$37,MATCH($B62,FuelKey,0))</f>
        <v/>
      </c>
      <c r="L62" s="14">
        <f>INDEX(Mapping!$H$30:$H$37,MATCH($B62,FuelKey,0))</f>
        <v/>
      </c>
      <c r="M62" s="14">
        <f>INDEX(Mapping!$H$5:$H$20,MATCH($C62,SubKey,0))</f>
        <v/>
      </c>
      <c r="N62" s="14">
        <f>INDEX(Mapping!$E$50:$E$63,MATCH($I62,Mapping!$A$50:$A$63,0))</f>
        <v/>
      </c>
      <c r="O62" s="24">
        <f>INDEX(ElaVal,MATCH("inc|"&amp;$E62&amp;"|"&amp;$D62,ElaKey,0),MATCH(Settings!$C$6,ElaGroup,0))</f>
        <v/>
      </c>
      <c r="P62" s="24">
        <f>INDEX(ElaVal,MATCH("usg|"&amp;$E62&amp;"|"&amp;$D62,ElaKey,0),MATCH(Settings!$C$6,ElaGroup,0))</f>
        <v/>
      </c>
      <c r="Q62" s="24">
        <f>INDEX(ElaVal,MATCH("eff|"&amp;$E62&amp;"|"&amp;$D62,ElaKey,0),MATCH(Settings!$C$6,ElaGroup,0))</f>
        <v/>
      </c>
      <c r="R62" s="13">
        <f>INDEX(ElaVal,MATCH("aei|"&amp;$F62&amp;"|"&amp;$D62,ElaKey,0),MATCH(Settings!$C$6,ElaGroup,0))</f>
        <v/>
      </c>
      <c r="S62" s="16">
        <f>(1/(1+$R62))^(1+$P62)</f>
        <v/>
      </c>
      <c r="T62" s="24">
        <f>$Q62*(1+$P62)</f>
        <v/>
      </c>
      <c r="U62" s="14">
        <f>INDEX(Inputs_prices!$E$7:$E$18,MATCH($I62,Inputs_prices!$A$7:$A$18,0))</f>
        <v/>
      </c>
      <c r="V62" s="13">
        <f>INDEX(Inputs_prices!$R$7:$R$18,MATCH($I62,Inputs_prices!$A$7:$A$18,0))</f>
        <v/>
      </c>
      <c r="W62" s="16">
        <f>INDEX(EFVal,MATCH(Settings!$C$4&amp;"|"&amp;$B62&amp;"|"&amp;$J62,EFKey,0))</f>
        <v/>
      </c>
      <c r="X62" s="44">
        <f>INDEX(ConsVal,MATCH(Settings!$C$4&amp;"|"&amp;Settings!$C$7&amp;"|"&amp;$C62&amp;"|"&amp;$B62,ConsKey,0))</f>
        <v/>
      </c>
      <c r="Y62" s="14">
        <f>INDEX(Mapping!$I$5:$I$20,MATCH($C62,SubKey,0))</f>
        <v/>
      </c>
      <c r="Z62" s="35">
        <f>INDEX(ECPCov,MATCH("ecs."&amp;$Y62,ECPKey,0))*INDEX(ECPCov,MATCH("ecf."&amp;$B62,ECPKey,0))</f>
        <v/>
      </c>
      <c r="AA62" s="35">
        <f>INDEX(ECPCov,MATCH("ees."&amp;$Y62,ECPKey,0))*INDEX(ECPCov,MATCH("eef."&amp;$B62,ECPKey,0))</f>
        <v/>
      </c>
    </row>
    <row r="63">
      <c r="A63" s="14">
        <f>$B63&amp;"|"&amp;$C63</f>
        <v/>
      </c>
      <c r="B63" s="22" t="inlineStr">
        <is>
          <t>gso</t>
        </is>
      </c>
      <c r="C63" s="22" t="inlineStr">
        <is>
          <t>mch</t>
        </is>
      </c>
      <c r="D63" s="14">
        <f>INDEX(Mapping!$D$5:$D$20,MATCH($C63,SubKey,0))</f>
        <v/>
      </c>
      <c r="E63" s="14">
        <f>INDEX(Mapping!$C$30:$C$37,MATCH($B63,FuelKey,0))</f>
        <v/>
      </c>
      <c r="F63" s="14">
        <f>INDEX(Mapping!$D$30:$D$37,MATCH($B63,FuelKey,0))</f>
        <v/>
      </c>
      <c r="G63" s="14">
        <f>INDEX(Mapping!$E$30:$E$37,MATCH($B63,FuelKey,0))</f>
        <v/>
      </c>
      <c r="H63" s="14">
        <f>INDEX(Mapping!$F$5:$F$20,MATCH($C63,SubKey,0))</f>
        <v/>
      </c>
      <c r="I63" s="14">
        <f>$B63&amp;"."&amp;IF($G63="sub",$H63,"all")</f>
        <v/>
      </c>
      <c r="J63" s="14">
        <f>INDEX(Mapping!$E$5:$E$20,MATCH($C63,SubKey,0))</f>
        <v/>
      </c>
      <c r="K63" s="14">
        <f>INDEX(Mapping!$G$30:$G$37,MATCH($B63,FuelKey,0))</f>
        <v/>
      </c>
      <c r="L63" s="14">
        <f>INDEX(Mapping!$H$30:$H$37,MATCH($B63,FuelKey,0))</f>
        <v/>
      </c>
      <c r="M63" s="14">
        <f>INDEX(Mapping!$H$5:$H$20,MATCH($C63,SubKey,0))</f>
        <v/>
      </c>
      <c r="N63" s="14">
        <f>INDEX(Mapping!$E$50:$E$63,MATCH($I63,Mapping!$A$50:$A$63,0))</f>
        <v/>
      </c>
      <c r="O63" s="24">
        <f>INDEX(ElaVal,MATCH("inc|"&amp;$E63&amp;"|"&amp;$D63,ElaKey,0),MATCH(Settings!$C$6,ElaGroup,0))</f>
        <v/>
      </c>
      <c r="P63" s="24">
        <f>INDEX(ElaVal,MATCH("usg|"&amp;$E63&amp;"|"&amp;$D63,ElaKey,0),MATCH(Settings!$C$6,ElaGroup,0))</f>
        <v/>
      </c>
      <c r="Q63" s="24">
        <f>INDEX(ElaVal,MATCH("eff|"&amp;$E63&amp;"|"&amp;$D63,ElaKey,0),MATCH(Settings!$C$6,ElaGroup,0))</f>
        <v/>
      </c>
      <c r="R63" s="13">
        <f>INDEX(ElaVal,MATCH("aei|"&amp;$F63&amp;"|"&amp;$D63,ElaKey,0),MATCH(Settings!$C$6,ElaGroup,0))</f>
        <v/>
      </c>
      <c r="S63" s="16">
        <f>(1/(1+$R63))^(1+$P63)</f>
        <v/>
      </c>
      <c r="T63" s="24">
        <f>$Q63*(1+$P63)</f>
        <v/>
      </c>
      <c r="U63" s="14">
        <f>INDEX(Inputs_prices!$E$7:$E$18,MATCH($I63,Inputs_prices!$A$7:$A$18,0))</f>
        <v/>
      </c>
      <c r="V63" s="13">
        <f>INDEX(Inputs_prices!$R$7:$R$18,MATCH($I63,Inputs_prices!$A$7:$A$18,0))</f>
        <v/>
      </c>
      <c r="W63" s="16">
        <f>INDEX(EFVal,MATCH(Settings!$C$4&amp;"|"&amp;$B63&amp;"|"&amp;$J63,EFKey,0))</f>
        <v/>
      </c>
      <c r="X63" s="44">
        <f>INDEX(ConsVal,MATCH(Settings!$C$4&amp;"|"&amp;Settings!$C$7&amp;"|"&amp;$C63&amp;"|"&amp;$B63,ConsKey,0))</f>
        <v/>
      </c>
      <c r="Y63" s="14">
        <f>INDEX(Mapping!$I$5:$I$20,MATCH($C63,SubKey,0))</f>
        <v/>
      </c>
      <c r="Z63" s="35">
        <f>INDEX(ECPCov,MATCH("ecs."&amp;$Y63,ECPKey,0))*INDEX(ECPCov,MATCH("ecf."&amp;$B63,ECPKey,0))</f>
        <v/>
      </c>
      <c r="AA63" s="35">
        <f>INDEX(ECPCov,MATCH("ees."&amp;$Y63,ECPKey,0))*INDEX(ECPCov,MATCH("eef."&amp;$B63,ECPKey,0))</f>
        <v/>
      </c>
    </row>
    <row r="64">
      <c r="A64" s="14">
        <f>$B64&amp;"|"&amp;$C64</f>
        <v/>
      </c>
      <c r="B64" s="22" t="inlineStr">
        <is>
          <t>die</t>
        </is>
      </c>
      <c r="C64" s="22" t="inlineStr">
        <is>
          <t>mch</t>
        </is>
      </c>
      <c r="D64" s="14">
        <f>INDEX(Mapping!$D$5:$D$20,MATCH($C64,SubKey,0))</f>
        <v/>
      </c>
      <c r="E64" s="14">
        <f>INDEX(Mapping!$C$30:$C$37,MATCH($B64,FuelKey,0))</f>
        <v/>
      </c>
      <c r="F64" s="14">
        <f>INDEX(Mapping!$D$30:$D$37,MATCH($B64,FuelKey,0))</f>
        <v/>
      </c>
      <c r="G64" s="14">
        <f>INDEX(Mapping!$E$30:$E$37,MATCH($B64,FuelKey,0))</f>
        <v/>
      </c>
      <c r="H64" s="14">
        <f>INDEX(Mapping!$F$5:$F$20,MATCH($C64,SubKey,0))</f>
        <v/>
      </c>
      <c r="I64" s="14">
        <f>$B64&amp;"."&amp;IF($G64="sub",$H64,"all")</f>
        <v/>
      </c>
      <c r="J64" s="14">
        <f>INDEX(Mapping!$E$5:$E$20,MATCH($C64,SubKey,0))</f>
        <v/>
      </c>
      <c r="K64" s="14">
        <f>INDEX(Mapping!$G$30:$G$37,MATCH($B64,FuelKey,0))</f>
        <v/>
      </c>
      <c r="L64" s="14">
        <f>INDEX(Mapping!$H$30:$H$37,MATCH($B64,FuelKey,0))</f>
        <v/>
      </c>
      <c r="M64" s="14">
        <f>INDEX(Mapping!$H$5:$H$20,MATCH($C64,SubKey,0))</f>
        <v/>
      </c>
      <c r="N64" s="14">
        <f>INDEX(Mapping!$E$50:$E$63,MATCH($I64,Mapping!$A$50:$A$63,0))</f>
        <v/>
      </c>
      <c r="O64" s="24">
        <f>INDEX(ElaVal,MATCH("inc|"&amp;$E64&amp;"|"&amp;$D64,ElaKey,0),MATCH(Settings!$C$6,ElaGroup,0))</f>
        <v/>
      </c>
      <c r="P64" s="24">
        <f>INDEX(ElaVal,MATCH("usg|"&amp;$E64&amp;"|"&amp;$D64,ElaKey,0),MATCH(Settings!$C$6,ElaGroup,0))</f>
        <v/>
      </c>
      <c r="Q64" s="24">
        <f>INDEX(ElaVal,MATCH("eff|"&amp;$E64&amp;"|"&amp;$D64,ElaKey,0),MATCH(Settings!$C$6,ElaGroup,0))</f>
        <v/>
      </c>
      <c r="R64" s="13">
        <f>INDEX(ElaVal,MATCH("aei|"&amp;$F64&amp;"|"&amp;$D64,ElaKey,0),MATCH(Settings!$C$6,ElaGroup,0))</f>
        <v/>
      </c>
      <c r="S64" s="16">
        <f>(1/(1+$R64))^(1+$P64)</f>
        <v/>
      </c>
      <c r="T64" s="24">
        <f>$Q64*(1+$P64)</f>
        <v/>
      </c>
      <c r="U64" s="14">
        <f>INDEX(Inputs_prices!$E$7:$E$18,MATCH($I64,Inputs_prices!$A$7:$A$18,0))</f>
        <v/>
      </c>
      <c r="V64" s="13">
        <f>INDEX(Inputs_prices!$R$7:$R$18,MATCH($I64,Inputs_prices!$A$7:$A$18,0))</f>
        <v/>
      </c>
      <c r="W64" s="16">
        <f>INDEX(EFVal,MATCH(Settings!$C$4&amp;"|"&amp;$B64&amp;"|"&amp;$J64,EFKey,0))</f>
        <v/>
      </c>
      <c r="X64" s="44">
        <f>INDEX(ConsVal,MATCH(Settings!$C$4&amp;"|"&amp;Settings!$C$7&amp;"|"&amp;$C64&amp;"|"&amp;$B64,ConsKey,0))</f>
        <v/>
      </c>
      <c r="Y64" s="14">
        <f>INDEX(Mapping!$I$5:$I$20,MATCH($C64,SubKey,0))</f>
        <v/>
      </c>
      <c r="Z64" s="35">
        <f>INDEX(ECPCov,MATCH("ecs."&amp;$Y64,ECPKey,0))*INDEX(ECPCov,MATCH("ecf."&amp;$B64,ECPKey,0))</f>
        <v/>
      </c>
      <c r="AA64" s="35">
        <f>INDEX(ECPCov,MATCH("ees."&amp;$Y64,ECPKey,0))*INDEX(ECPCov,MATCH("eef."&amp;$B64,ECPKey,0))</f>
        <v/>
      </c>
    </row>
    <row r="65">
      <c r="A65" s="14">
        <f>$B65&amp;"|"&amp;$C65</f>
        <v/>
      </c>
      <c r="B65" s="22" t="inlineStr">
        <is>
          <t>lpg</t>
        </is>
      </c>
      <c r="C65" s="22" t="inlineStr">
        <is>
          <t>mch</t>
        </is>
      </c>
      <c r="D65" s="14">
        <f>INDEX(Mapping!$D$5:$D$20,MATCH($C65,SubKey,0))</f>
        <v/>
      </c>
      <c r="E65" s="14">
        <f>INDEX(Mapping!$C$30:$C$37,MATCH($B65,FuelKey,0))</f>
        <v/>
      </c>
      <c r="F65" s="14">
        <f>INDEX(Mapping!$D$30:$D$37,MATCH($B65,FuelKey,0))</f>
        <v/>
      </c>
      <c r="G65" s="14">
        <f>INDEX(Mapping!$E$30:$E$37,MATCH($B65,FuelKey,0))</f>
        <v/>
      </c>
      <c r="H65" s="14">
        <f>INDEX(Mapping!$F$5:$F$20,MATCH($C65,SubKey,0))</f>
        <v/>
      </c>
      <c r="I65" s="14">
        <f>$B65&amp;"."&amp;IF($G65="sub",$H65,"all")</f>
        <v/>
      </c>
      <c r="J65" s="14">
        <f>INDEX(Mapping!$E$5:$E$20,MATCH($C65,SubKey,0))</f>
        <v/>
      </c>
      <c r="K65" s="14">
        <f>INDEX(Mapping!$G$30:$G$37,MATCH($B65,FuelKey,0))</f>
        <v/>
      </c>
      <c r="L65" s="14">
        <f>INDEX(Mapping!$H$30:$H$37,MATCH($B65,FuelKey,0))</f>
        <v/>
      </c>
      <c r="M65" s="14">
        <f>INDEX(Mapping!$H$5:$H$20,MATCH($C65,SubKey,0))</f>
        <v/>
      </c>
      <c r="N65" s="14">
        <f>INDEX(Mapping!$E$50:$E$63,MATCH($I65,Mapping!$A$50:$A$63,0))</f>
        <v/>
      </c>
      <c r="O65" s="24">
        <f>INDEX(ElaVal,MATCH("inc|"&amp;$E65&amp;"|"&amp;$D65,ElaKey,0),MATCH(Settings!$C$6,ElaGroup,0))</f>
        <v/>
      </c>
      <c r="P65" s="24">
        <f>INDEX(ElaVal,MATCH("usg|"&amp;$E65&amp;"|"&amp;$D65,ElaKey,0),MATCH(Settings!$C$6,ElaGroup,0))</f>
        <v/>
      </c>
      <c r="Q65" s="24">
        <f>INDEX(ElaVal,MATCH("eff|"&amp;$E65&amp;"|"&amp;$D65,ElaKey,0),MATCH(Settings!$C$6,ElaGroup,0))</f>
        <v/>
      </c>
      <c r="R65" s="13">
        <f>INDEX(ElaVal,MATCH("aei|"&amp;$F65&amp;"|"&amp;$D65,ElaKey,0),MATCH(Settings!$C$6,ElaGroup,0))</f>
        <v/>
      </c>
      <c r="S65" s="16">
        <f>(1/(1+$R65))^(1+$P65)</f>
        <v/>
      </c>
      <c r="T65" s="24">
        <f>$Q65*(1+$P65)</f>
        <v/>
      </c>
      <c r="U65" s="14">
        <f>INDEX(Inputs_prices!$E$7:$E$18,MATCH($I65,Inputs_prices!$A$7:$A$18,0))</f>
        <v/>
      </c>
      <c r="V65" s="13">
        <f>INDEX(Inputs_prices!$R$7:$R$18,MATCH($I65,Inputs_prices!$A$7:$A$18,0))</f>
        <v/>
      </c>
      <c r="W65" s="16">
        <f>INDEX(EFVal,MATCH(Settings!$C$4&amp;"|"&amp;$B65&amp;"|"&amp;$J65,EFKey,0))</f>
        <v/>
      </c>
      <c r="X65" s="44">
        <f>INDEX(ConsVal,MATCH(Settings!$C$4&amp;"|"&amp;Settings!$C$7&amp;"|"&amp;$C65&amp;"|"&amp;$B65,ConsKey,0))</f>
        <v/>
      </c>
      <c r="Y65" s="14">
        <f>INDEX(Mapping!$I$5:$I$20,MATCH($C65,SubKey,0))</f>
        <v/>
      </c>
      <c r="Z65" s="35">
        <f>INDEX(ECPCov,MATCH("ecs."&amp;$Y65,ECPKey,0))*INDEX(ECPCov,MATCH("ecf."&amp;$B65,ECPKey,0))</f>
        <v/>
      </c>
      <c r="AA65" s="35">
        <f>INDEX(ECPCov,MATCH("ees."&amp;$Y65,ECPKey,0))*INDEX(ECPCov,MATCH("eef."&amp;$B65,ECPKey,0))</f>
        <v/>
      </c>
    </row>
    <row r="66">
      <c r="A66" s="14">
        <f>$B66&amp;"|"&amp;$C66</f>
        <v/>
      </c>
      <c r="B66" s="22" t="inlineStr">
        <is>
          <t>ker</t>
        </is>
      </c>
      <c r="C66" s="22" t="inlineStr">
        <is>
          <t>mch</t>
        </is>
      </c>
      <c r="D66" s="14">
        <f>INDEX(Mapping!$D$5:$D$20,MATCH($C66,SubKey,0))</f>
        <v/>
      </c>
      <c r="E66" s="14">
        <f>INDEX(Mapping!$C$30:$C$37,MATCH($B66,FuelKey,0))</f>
        <v/>
      </c>
      <c r="F66" s="14">
        <f>INDEX(Mapping!$D$30:$D$37,MATCH($B66,FuelKey,0))</f>
        <v/>
      </c>
      <c r="G66" s="14">
        <f>INDEX(Mapping!$E$30:$E$37,MATCH($B66,FuelKey,0))</f>
        <v/>
      </c>
      <c r="H66" s="14">
        <f>INDEX(Mapping!$F$5:$F$20,MATCH($C66,SubKey,0))</f>
        <v/>
      </c>
      <c r="I66" s="14">
        <f>$B66&amp;"."&amp;IF($G66="sub",$H66,"all")</f>
        <v/>
      </c>
      <c r="J66" s="14">
        <f>INDEX(Mapping!$E$5:$E$20,MATCH($C66,SubKey,0))</f>
        <v/>
      </c>
      <c r="K66" s="14">
        <f>INDEX(Mapping!$G$30:$G$37,MATCH($B66,FuelKey,0))</f>
        <v/>
      </c>
      <c r="L66" s="14">
        <f>INDEX(Mapping!$H$30:$H$37,MATCH($B66,FuelKey,0))</f>
        <v/>
      </c>
      <c r="M66" s="14">
        <f>INDEX(Mapping!$H$5:$H$20,MATCH($C66,SubKey,0))</f>
        <v/>
      </c>
      <c r="N66" s="14">
        <f>INDEX(Mapping!$E$50:$E$63,MATCH($I66,Mapping!$A$50:$A$63,0))</f>
        <v/>
      </c>
      <c r="O66" s="24">
        <f>INDEX(ElaVal,MATCH("inc|"&amp;$E66&amp;"|"&amp;$D66,ElaKey,0),MATCH(Settings!$C$6,ElaGroup,0))</f>
        <v/>
      </c>
      <c r="P66" s="24">
        <f>INDEX(ElaVal,MATCH("usg|"&amp;$E66&amp;"|"&amp;$D66,ElaKey,0),MATCH(Settings!$C$6,ElaGroup,0))</f>
        <v/>
      </c>
      <c r="Q66" s="24">
        <f>INDEX(ElaVal,MATCH("eff|"&amp;$E66&amp;"|"&amp;$D66,ElaKey,0),MATCH(Settings!$C$6,ElaGroup,0))</f>
        <v/>
      </c>
      <c r="R66" s="13">
        <f>INDEX(ElaVal,MATCH("aei|"&amp;$F66&amp;"|"&amp;$D66,ElaKey,0),MATCH(Settings!$C$6,ElaGroup,0))</f>
        <v/>
      </c>
      <c r="S66" s="16">
        <f>(1/(1+$R66))^(1+$P66)</f>
        <v/>
      </c>
      <c r="T66" s="24">
        <f>$Q66*(1+$P66)</f>
        <v/>
      </c>
      <c r="U66" s="14">
        <f>INDEX(Inputs_prices!$E$7:$E$18,MATCH($I66,Inputs_prices!$A$7:$A$18,0))</f>
        <v/>
      </c>
      <c r="V66" s="13">
        <f>INDEX(Inputs_prices!$R$7:$R$18,MATCH($I66,Inputs_prices!$A$7:$A$18,0))</f>
        <v/>
      </c>
      <c r="W66" s="16">
        <f>INDEX(EFVal,MATCH(Settings!$C$4&amp;"|"&amp;$B66&amp;"|"&amp;$J66,EFKey,0))</f>
        <v/>
      </c>
      <c r="X66" s="44">
        <f>INDEX(ConsVal,MATCH(Settings!$C$4&amp;"|"&amp;Settings!$C$7&amp;"|"&amp;$C66&amp;"|"&amp;$B66,ConsKey,0))</f>
        <v/>
      </c>
      <c r="Y66" s="14">
        <f>INDEX(Mapping!$I$5:$I$20,MATCH($C66,SubKey,0))</f>
        <v/>
      </c>
      <c r="Z66" s="35">
        <f>INDEX(ECPCov,MATCH("ecs."&amp;$Y66,ECPKey,0))*INDEX(ECPCov,MATCH("ecf."&amp;$B66,ECPKey,0))</f>
        <v/>
      </c>
      <c r="AA66" s="35">
        <f>INDEX(ECPCov,MATCH("ees."&amp;$Y66,ECPKey,0))*INDEX(ECPCov,MATCH("eef."&amp;$B66,ECPKey,0))</f>
        <v/>
      </c>
    </row>
    <row r="67">
      <c r="A67" s="14">
        <f>$B67&amp;"|"&amp;$C67</f>
        <v/>
      </c>
      <c r="B67" s="22" t="inlineStr">
        <is>
          <t>oop</t>
        </is>
      </c>
      <c r="C67" s="22" t="inlineStr">
        <is>
          <t>mch</t>
        </is>
      </c>
      <c r="D67" s="14">
        <f>INDEX(Mapping!$D$5:$D$20,MATCH($C67,SubKey,0))</f>
        <v/>
      </c>
      <c r="E67" s="14">
        <f>INDEX(Mapping!$C$30:$C$37,MATCH($B67,FuelKey,0))</f>
        <v/>
      </c>
      <c r="F67" s="14">
        <f>INDEX(Mapping!$D$30:$D$37,MATCH($B67,FuelKey,0))</f>
        <v/>
      </c>
      <c r="G67" s="14">
        <f>INDEX(Mapping!$E$30:$E$37,MATCH($B67,FuelKey,0))</f>
        <v/>
      </c>
      <c r="H67" s="14">
        <f>INDEX(Mapping!$F$5:$F$20,MATCH($C67,SubKey,0))</f>
        <v/>
      </c>
      <c r="I67" s="14">
        <f>$B67&amp;"."&amp;IF($G67="sub",$H67,"all")</f>
        <v/>
      </c>
      <c r="J67" s="14">
        <f>INDEX(Mapping!$E$5:$E$20,MATCH($C67,SubKey,0))</f>
        <v/>
      </c>
      <c r="K67" s="14">
        <f>INDEX(Mapping!$G$30:$G$37,MATCH($B67,FuelKey,0))</f>
        <v/>
      </c>
      <c r="L67" s="14">
        <f>INDEX(Mapping!$H$30:$H$37,MATCH($B67,FuelKey,0))</f>
        <v/>
      </c>
      <c r="M67" s="14">
        <f>INDEX(Mapping!$H$5:$H$20,MATCH($C67,SubKey,0))</f>
        <v/>
      </c>
      <c r="N67" s="14">
        <f>INDEX(Mapping!$E$50:$E$63,MATCH($I67,Mapping!$A$50:$A$63,0))</f>
        <v/>
      </c>
      <c r="O67" s="24">
        <f>INDEX(ElaVal,MATCH("inc|"&amp;$E67&amp;"|"&amp;$D67,ElaKey,0),MATCH(Settings!$C$6,ElaGroup,0))</f>
        <v/>
      </c>
      <c r="P67" s="24">
        <f>INDEX(ElaVal,MATCH("usg|"&amp;$E67&amp;"|"&amp;$D67,ElaKey,0),MATCH(Settings!$C$6,ElaGroup,0))</f>
        <v/>
      </c>
      <c r="Q67" s="24">
        <f>INDEX(ElaVal,MATCH("eff|"&amp;$E67&amp;"|"&amp;$D67,ElaKey,0),MATCH(Settings!$C$6,ElaGroup,0))</f>
        <v/>
      </c>
      <c r="R67" s="13">
        <f>INDEX(ElaVal,MATCH("aei|"&amp;$F67&amp;"|"&amp;$D67,ElaKey,0),MATCH(Settings!$C$6,ElaGroup,0))</f>
        <v/>
      </c>
      <c r="S67" s="16">
        <f>(1/(1+$R67))^(1+$P67)</f>
        <v/>
      </c>
      <c r="T67" s="24">
        <f>$Q67*(1+$P67)</f>
        <v/>
      </c>
      <c r="U67" s="14">
        <f>INDEX(Inputs_prices!$E$7:$E$18,MATCH($I67,Inputs_prices!$A$7:$A$18,0))</f>
        <v/>
      </c>
      <c r="V67" s="13">
        <f>INDEX(Inputs_prices!$R$7:$R$18,MATCH($I67,Inputs_prices!$A$7:$A$18,0))</f>
        <v/>
      </c>
      <c r="W67" s="16">
        <f>INDEX(EFVal,MATCH(Settings!$C$4&amp;"|"&amp;$B67&amp;"|"&amp;$J67,EFKey,0))</f>
        <v/>
      </c>
      <c r="X67" s="44">
        <f>INDEX(ConsVal,MATCH(Settings!$C$4&amp;"|"&amp;Settings!$C$7&amp;"|"&amp;$C67&amp;"|"&amp;$B67,ConsKey,0))</f>
        <v/>
      </c>
      <c r="Y67" s="14">
        <f>INDEX(Mapping!$I$5:$I$20,MATCH($C67,SubKey,0))</f>
        <v/>
      </c>
      <c r="Z67" s="35">
        <f>INDEX(ECPCov,MATCH("ecs."&amp;$Y67,ECPKey,0))*INDEX(ECPCov,MATCH("ecf."&amp;$B67,ECPKey,0))</f>
        <v/>
      </c>
      <c r="AA67" s="35">
        <f>INDEX(ECPCov,MATCH("ees."&amp;$Y67,ECPKey,0))*INDEX(ECPCov,MATCH("eef."&amp;$B67,ECPKey,0))</f>
        <v/>
      </c>
    </row>
    <row r="68">
      <c r="A68" s="14">
        <f>$B68&amp;"|"&amp;$C68</f>
        <v/>
      </c>
      <c r="B68" s="22" t="inlineStr">
        <is>
          <t>bio</t>
        </is>
      </c>
      <c r="C68" s="22" t="inlineStr">
        <is>
          <t>mch</t>
        </is>
      </c>
      <c r="D68" s="14">
        <f>INDEX(Mapping!$D$5:$D$20,MATCH($C68,SubKey,0))</f>
        <v/>
      </c>
      <c r="E68" s="14">
        <f>INDEX(Mapping!$C$30:$C$37,MATCH($B68,FuelKey,0))</f>
        <v/>
      </c>
      <c r="F68" s="14">
        <f>INDEX(Mapping!$D$30:$D$37,MATCH($B68,FuelKey,0))</f>
        <v/>
      </c>
      <c r="G68" s="14">
        <f>INDEX(Mapping!$E$30:$E$37,MATCH($B68,FuelKey,0))</f>
        <v/>
      </c>
      <c r="H68" s="14">
        <f>INDEX(Mapping!$F$5:$F$20,MATCH($C68,SubKey,0))</f>
        <v/>
      </c>
      <c r="I68" s="14">
        <f>$B68&amp;"."&amp;IF($G68="sub",$H68,"all")</f>
        <v/>
      </c>
      <c r="J68" s="14">
        <f>INDEX(Mapping!$E$5:$E$20,MATCH($C68,SubKey,0))</f>
        <v/>
      </c>
      <c r="K68" s="14">
        <f>INDEX(Mapping!$G$30:$G$37,MATCH($B68,FuelKey,0))</f>
        <v/>
      </c>
      <c r="L68" s="14">
        <f>INDEX(Mapping!$H$30:$H$37,MATCH($B68,FuelKey,0))</f>
        <v/>
      </c>
      <c r="M68" s="14">
        <f>INDEX(Mapping!$H$5:$H$20,MATCH($C68,SubKey,0))</f>
        <v/>
      </c>
      <c r="N68" s="14">
        <f>INDEX(Mapping!$E$50:$E$63,MATCH($I68,Mapping!$A$50:$A$63,0))</f>
        <v/>
      </c>
      <c r="O68" s="24">
        <f>INDEX(ElaVal,MATCH("inc|"&amp;$E68&amp;"|"&amp;$D68,ElaKey,0),MATCH(Settings!$C$6,ElaGroup,0))</f>
        <v/>
      </c>
      <c r="P68" s="24">
        <f>INDEX(ElaVal,MATCH("usg|"&amp;$E68&amp;"|"&amp;$D68,ElaKey,0),MATCH(Settings!$C$6,ElaGroup,0))</f>
        <v/>
      </c>
      <c r="Q68" s="24">
        <f>INDEX(ElaVal,MATCH("eff|"&amp;$E68&amp;"|"&amp;$D68,ElaKey,0),MATCH(Settings!$C$6,ElaGroup,0))</f>
        <v/>
      </c>
      <c r="R68" s="13">
        <f>INDEX(ElaVal,MATCH("aei|"&amp;$F68&amp;"|"&amp;$D68,ElaKey,0),MATCH(Settings!$C$6,ElaGroup,0))</f>
        <v/>
      </c>
      <c r="S68" s="16">
        <f>(1/(1+$R68))^(1+$P68)</f>
        <v/>
      </c>
      <c r="T68" s="24">
        <f>$Q68*(1+$P68)</f>
        <v/>
      </c>
      <c r="U68" s="14">
        <f>INDEX(Inputs_prices!$E$7:$E$18,MATCH($I68,Inputs_prices!$A$7:$A$18,0))</f>
        <v/>
      </c>
      <c r="V68" s="13">
        <f>INDEX(Inputs_prices!$R$7:$R$18,MATCH($I68,Inputs_prices!$A$7:$A$18,0))</f>
        <v/>
      </c>
      <c r="W68" s="16">
        <f>INDEX(EFVal,MATCH(Settings!$C$4&amp;"|"&amp;$B68&amp;"|"&amp;$J68,EFKey,0))</f>
        <v/>
      </c>
      <c r="X68" s="44">
        <f>INDEX(ConsVal,MATCH(Settings!$C$4&amp;"|"&amp;Settings!$C$7&amp;"|"&amp;$C68&amp;"|"&amp;$B68,ConsKey,0))</f>
        <v/>
      </c>
      <c r="Y68" s="14">
        <f>INDEX(Mapping!$I$5:$I$20,MATCH($C68,SubKey,0))</f>
        <v/>
      </c>
      <c r="Z68" s="35">
        <f>INDEX(ECPCov,MATCH("ecs."&amp;$Y68,ECPKey,0))*INDEX(ECPCov,MATCH("ecf."&amp;$B68,ECPKey,0))</f>
        <v/>
      </c>
      <c r="AA68" s="35">
        <f>INDEX(ECPCov,MATCH("ees."&amp;$Y68,ECPKey,0))*INDEX(ECPCov,MATCH("eef."&amp;$B68,ECPKey,0))</f>
        <v/>
      </c>
    </row>
    <row r="69">
      <c r="A69" s="14">
        <f>$B69&amp;"|"&amp;$C69</f>
        <v/>
      </c>
      <c r="B69" s="22" t="inlineStr">
        <is>
          <t>coa</t>
        </is>
      </c>
      <c r="C69" s="22" t="inlineStr">
        <is>
          <t>irn</t>
        </is>
      </c>
      <c r="D69" s="14">
        <f>INDEX(Mapping!$D$5:$D$20,MATCH($C69,SubKey,0))</f>
        <v/>
      </c>
      <c r="E69" s="14">
        <f>INDEX(Mapping!$C$30:$C$37,MATCH($B69,FuelKey,0))</f>
        <v/>
      </c>
      <c r="F69" s="14">
        <f>INDEX(Mapping!$D$30:$D$37,MATCH($B69,FuelKey,0))</f>
        <v/>
      </c>
      <c r="G69" s="14">
        <f>INDEX(Mapping!$E$30:$E$37,MATCH($B69,FuelKey,0))</f>
        <v/>
      </c>
      <c r="H69" s="14">
        <f>INDEX(Mapping!$F$5:$F$20,MATCH($C69,SubKey,0))</f>
        <v/>
      </c>
      <c r="I69" s="14">
        <f>$B69&amp;"."&amp;IF($G69="sub",$H69,"all")</f>
        <v/>
      </c>
      <c r="J69" s="14">
        <f>INDEX(Mapping!$E$5:$E$20,MATCH($C69,SubKey,0))</f>
        <v/>
      </c>
      <c r="K69" s="14">
        <f>INDEX(Mapping!$G$30:$G$37,MATCH($B69,FuelKey,0))</f>
        <v/>
      </c>
      <c r="L69" s="14">
        <f>INDEX(Mapping!$H$30:$H$37,MATCH($B69,FuelKey,0))</f>
        <v/>
      </c>
      <c r="M69" s="14">
        <f>INDEX(Mapping!$H$5:$H$20,MATCH($C69,SubKey,0))</f>
        <v/>
      </c>
      <c r="N69" s="14">
        <f>INDEX(Mapping!$E$50:$E$63,MATCH($I69,Mapping!$A$50:$A$63,0))</f>
        <v/>
      </c>
      <c r="O69" s="24">
        <f>INDEX(ElaVal,MATCH("inc|"&amp;$E69&amp;"|"&amp;$D69,ElaKey,0),MATCH(Settings!$C$6,ElaGroup,0))</f>
        <v/>
      </c>
      <c r="P69" s="24">
        <f>INDEX(ElaVal,MATCH("usg|"&amp;$E69&amp;"|"&amp;$D69,ElaKey,0),MATCH(Settings!$C$6,ElaGroup,0))</f>
        <v/>
      </c>
      <c r="Q69" s="24">
        <f>INDEX(ElaVal,MATCH("eff|"&amp;$E69&amp;"|"&amp;$D69,ElaKey,0),MATCH(Settings!$C$6,ElaGroup,0))</f>
        <v/>
      </c>
      <c r="R69" s="13">
        <f>INDEX(ElaVal,MATCH("aei|"&amp;$F69&amp;"|"&amp;$D69,ElaKey,0),MATCH(Settings!$C$6,ElaGroup,0))</f>
        <v/>
      </c>
      <c r="S69" s="16">
        <f>(1/(1+$R69))^(1+$P69)</f>
        <v/>
      </c>
      <c r="T69" s="24">
        <f>$Q69*(1+$P69)</f>
        <v/>
      </c>
      <c r="U69" s="14">
        <f>INDEX(Inputs_prices!$E$7:$E$18,MATCH($I69,Inputs_prices!$A$7:$A$18,0))</f>
        <v/>
      </c>
      <c r="V69" s="13">
        <f>INDEX(Inputs_prices!$R$7:$R$18,MATCH($I69,Inputs_prices!$A$7:$A$18,0))</f>
        <v/>
      </c>
      <c r="W69" s="16">
        <f>INDEX(EFVal,MATCH(Settings!$C$4&amp;"|"&amp;$B69&amp;"|"&amp;$J69,EFKey,0))</f>
        <v/>
      </c>
      <c r="X69" s="44">
        <f>INDEX(ConsVal,MATCH(Settings!$C$4&amp;"|"&amp;Settings!$C$7&amp;"|"&amp;$C69&amp;"|"&amp;$B69,ConsKey,0))</f>
        <v/>
      </c>
      <c r="Y69" s="14">
        <f>INDEX(Mapping!$I$5:$I$20,MATCH($C69,SubKey,0))</f>
        <v/>
      </c>
      <c r="Z69" s="35">
        <f>INDEX(ECPCov,MATCH("ecs."&amp;$Y69,ECPKey,0))*INDEX(ECPCov,MATCH("ecf."&amp;$B69,ECPKey,0))</f>
        <v/>
      </c>
      <c r="AA69" s="35">
        <f>INDEX(ECPCov,MATCH("ees."&amp;$Y69,ECPKey,0))*INDEX(ECPCov,MATCH("eef."&amp;$B69,ECPKey,0))</f>
        <v/>
      </c>
    </row>
    <row r="70">
      <c r="A70" s="14">
        <f>$B70&amp;"|"&amp;$C70</f>
        <v/>
      </c>
      <c r="B70" s="22" t="inlineStr">
        <is>
          <t>nga</t>
        </is>
      </c>
      <c r="C70" s="22" t="inlineStr">
        <is>
          <t>irn</t>
        </is>
      </c>
      <c r="D70" s="14">
        <f>INDEX(Mapping!$D$5:$D$20,MATCH($C70,SubKey,0))</f>
        <v/>
      </c>
      <c r="E70" s="14">
        <f>INDEX(Mapping!$C$30:$C$37,MATCH($B70,FuelKey,0))</f>
        <v/>
      </c>
      <c r="F70" s="14">
        <f>INDEX(Mapping!$D$30:$D$37,MATCH($B70,FuelKey,0))</f>
        <v/>
      </c>
      <c r="G70" s="14">
        <f>INDEX(Mapping!$E$30:$E$37,MATCH($B70,FuelKey,0))</f>
        <v/>
      </c>
      <c r="H70" s="14">
        <f>INDEX(Mapping!$F$5:$F$20,MATCH($C70,SubKey,0))</f>
        <v/>
      </c>
      <c r="I70" s="14">
        <f>$B70&amp;"."&amp;IF($G70="sub",$H70,"all")</f>
        <v/>
      </c>
      <c r="J70" s="14">
        <f>INDEX(Mapping!$E$5:$E$20,MATCH($C70,SubKey,0))</f>
        <v/>
      </c>
      <c r="K70" s="14">
        <f>INDEX(Mapping!$G$30:$G$37,MATCH($B70,FuelKey,0))</f>
        <v/>
      </c>
      <c r="L70" s="14">
        <f>INDEX(Mapping!$H$30:$H$37,MATCH($B70,FuelKey,0))</f>
        <v/>
      </c>
      <c r="M70" s="14">
        <f>INDEX(Mapping!$H$5:$H$20,MATCH($C70,SubKey,0))</f>
        <v/>
      </c>
      <c r="N70" s="14">
        <f>INDEX(Mapping!$E$50:$E$63,MATCH($I70,Mapping!$A$50:$A$63,0))</f>
        <v/>
      </c>
      <c r="O70" s="24">
        <f>INDEX(ElaVal,MATCH("inc|"&amp;$E70&amp;"|"&amp;$D70,ElaKey,0),MATCH(Settings!$C$6,ElaGroup,0))</f>
        <v/>
      </c>
      <c r="P70" s="24">
        <f>INDEX(ElaVal,MATCH("usg|"&amp;$E70&amp;"|"&amp;$D70,ElaKey,0),MATCH(Settings!$C$6,ElaGroup,0))</f>
        <v/>
      </c>
      <c r="Q70" s="24">
        <f>INDEX(ElaVal,MATCH("eff|"&amp;$E70&amp;"|"&amp;$D70,ElaKey,0),MATCH(Settings!$C$6,ElaGroup,0))</f>
        <v/>
      </c>
      <c r="R70" s="13">
        <f>INDEX(ElaVal,MATCH("aei|"&amp;$F70&amp;"|"&amp;$D70,ElaKey,0),MATCH(Settings!$C$6,ElaGroup,0))</f>
        <v/>
      </c>
      <c r="S70" s="16">
        <f>(1/(1+$R70))^(1+$P70)</f>
        <v/>
      </c>
      <c r="T70" s="24">
        <f>$Q70*(1+$P70)</f>
        <v/>
      </c>
      <c r="U70" s="14">
        <f>INDEX(Inputs_prices!$E$7:$E$18,MATCH($I70,Inputs_prices!$A$7:$A$18,0))</f>
        <v/>
      </c>
      <c r="V70" s="13">
        <f>INDEX(Inputs_prices!$R$7:$R$18,MATCH($I70,Inputs_prices!$A$7:$A$18,0))</f>
        <v/>
      </c>
      <c r="W70" s="16">
        <f>INDEX(EFVal,MATCH(Settings!$C$4&amp;"|"&amp;$B70&amp;"|"&amp;$J70,EFKey,0))</f>
        <v/>
      </c>
      <c r="X70" s="44">
        <f>INDEX(ConsVal,MATCH(Settings!$C$4&amp;"|"&amp;Settings!$C$7&amp;"|"&amp;$C70&amp;"|"&amp;$B70,ConsKey,0))</f>
        <v/>
      </c>
      <c r="Y70" s="14">
        <f>INDEX(Mapping!$I$5:$I$20,MATCH($C70,SubKey,0))</f>
        <v/>
      </c>
      <c r="Z70" s="35">
        <f>INDEX(ECPCov,MATCH("ecs."&amp;$Y70,ECPKey,0))*INDEX(ECPCov,MATCH("ecf."&amp;$B70,ECPKey,0))</f>
        <v/>
      </c>
      <c r="AA70" s="35">
        <f>INDEX(ECPCov,MATCH("ees."&amp;$Y70,ECPKey,0))*INDEX(ECPCov,MATCH("eef."&amp;$B70,ECPKey,0))</f>
        <v/>
      </c>
    </row>
    <row r="71">
      <c r="A71" s="14">
        <f>$B71&amp;"|"&amp;$C71</f>
        <v/>
      </c>
      <c r="B71" s="22" t="inlineStr">
        <is>
          <t>gso</t>
        </is>
      </c>
      <c r="C71" s="22" t="inlineStr">
        <is>
          <t>irn</t>
        </is>
      </c>
      <c r="D71" s="14">
        <f>INDEX(Mapping!$D$5:$D$20,MATCH($C71,SubKey,0))</f>
        <v/>
      </c>
      <c r="E71" s="14">
        <f>INDEX(Mapping!$C$30:$C$37,MATCH($B71,FuelKey,0))</f>
        <v/>
      </c>
      <c r="F71" s="14">
        <f>INDEX(Mapping!$D$30:$D$37,MATCH($B71,FuelKey,0))</f>
        <v/>
      </c>
      <c r="G71" s="14">
        <f>INDEX(Mapping!$E$30:$E$37,MATCH($B71,FuelKey,0))</f>
        <v/>
      </c>
      <c r="H71" s="14">
        <f>INDEX(Mapping!$F$5:$F$20,MATCH($C71,SubKey,0))</f>
        <v/>
      </c>
      <c r="I71" s="14">
        <f>$B71&amp;"."&amp;IF($G71="sub",$H71,"all")</f>
        <v/>
      </c>
      <c r="J71" s="14">
        <f>INDEX(Mapping!$E$5:$E$20,MATCH($C71,SubKey,0))</f>
        <v/>
      </c>
      <c r="K71" s="14">
        <f>INDEX(Mapping!$G$30:$G$37,MATCH($B71,FuelKey,0))</f>
        <v/>
      </c>
      <c r="L71" s="14">
        <f>INDEX(Mapping!$H$30:$H$37,MATCH($B71,FuelKey,0))</f>
        <v/>
      </c>
      <c r="M71" s="14">
        <f>INDEX(Mapping!$H$5:$H$20,MATCH($C71,SubKey,0))</f>
        <v/>
      </c>
      <c r="N71" s="14">
        <f>INDEX(Mapping!$E$50:$E$63,MATCH($I71,Mapping!$A$50:$A$63,0))</f>
        <v/>
      </c>
      <c r="O71" s="24">
        <f>INDEX(ElaVal,MATCH("inc|"&amp;$E71&amp;"|"&amp;$D71,ElaKey,0),MATCH(Settings!$C$6,ElaGroup,0))</f>
        <v/>
      </c>
      <c r="P71" s="24">
        <f>INDEX(ElaVal,MATCH("usg|"&amp;$E71&amp;"|"&amp;$D71,ElaKey,0),MATCH(Settings!$C$6,ElaGroup,0))</f>
        <v/>
      </c>
      <c r="Q71" s="24">
        <f>INDEX(ElaVal,MATCH("eff|"&amp;$E71&amp;"|"&amp;$D71,ElaKey,0),MATCH(Settings!$C$6,ElaGroup,0))</f>
        <v/>
      </c>
      <c r="R71" s="13">
        <f>INDEX(ElaVal,MATCH("aei|"&amp;$F71&amp;"|"&amp;$D71,ElaKey,0),MATCH(Settings!$C$6,ElaGroup,0))</f>
        <v/>
      </c>
      <c r="S71" s="16">
        <f>(1/(1+$R71))^(1+$P71)</f>
        <v/>
      </c>
      <c r="T71" s="24">
        <f>$Q71*(1+$P71)</f>
        <v/>
      </c>
      <c r="U71" s="14">
        <f>INDEX(Inputs_prices!$E$7:$E$18,MATCH($I71,Inputs_prices!$A$7:$A$18,0))</f>
        <v/>
      </c>
      <c r="V71" s="13">
        <f>INDEX(Inputs_prices!$R$7:$R$18,MATCH($I71,Inputs_prices!$A$7:$A$18,0))</f>
        <v/>
      </c>
      <c r="W71" s="16">
        <f>INDEX(EFVal,MATCH(Settings!$C$4&amp;"|"&amp;$B71&amp;"|"&amp;$J71,EFKey,0))</f>
        <v/>
      </c>
      <c r="X71" s="44">
        <f>INDEX(ConsVal,MATCH(Settings!$C$4&amp;"|"&amp;Settings!$C$7&amp;"|"&amp;$C71&amp;"|"&amp;$B71,ConsKey,0))</f>
        <v/>
      </c>
      <c r="Y71" s="14">
        <f>INDEX(Mapping!$I$5:$I$20,MATCH($C71,SubKey,0))</f>
        <v/>
      </c>
      <c r="Z71" s="35">
        <f>INDEX(ECPCov,MATCH("ecs."&amp;$Y71,ECPKey,0))*INDEX(ECPCov,MATCH("ecf."&amp;$B71,ECPKey,0))</f>
        <v/>
      </c>
      <c r="AA71" s="35">
        <f>INDEX(ECPCov,MATCH("ees."&amp;$Y71,ECPKey,0))*INDEX(ECPCov,MATCH("eef."&amp;$B71,ECPKey,0))</f>
        <v/>
      </c>
    </row>
    <row r="72">
      <c r="A72" s="14">
        <f>$B72&amp;"|"&amp;$C72</f>
        <v/>
      </c>
      <c r="B72" s="22" t="inlineStr">
        <is>
          <t>die</t>
        </is>
      </c>
      <c r="C72" s="22" t="inlineStr">
        <is>
          <t>irn</t>
        </is>
      </c>
      <c r="D72" s="14">
        <f>INDEX(Mapping!$D$5:$D$20,MATCH($C72,SubKey,0))</f>
        <v/>
      </c>
      <c r="E72" s="14">
        <f>INDEX(Mapping!$C$30:$C$37,MATCH($B72,FuelKey,0))</f>
        <v/>
      </c>
      <c r="F72" s="14">
        <f>INDEX(Mapping!$D$30:$D$37,MATCH($B72,FuelKey,0))</f>
        <v/>
      </c>
      <c r="G72" s="14">
        <f>INDEX(Mapping!$E$30:$E$37,MATCH($B72,FuelKey,0))</f>
        <v/>
      </c>
      <c r="H72" s="14">
        <f>INDEX(Mapping!$F$5:$F$20,MATCH($C72,SubKey,0))</f>
        <v/>
      </c>
      <c r="I72" s="14">
        <f>$B72&amp;"."&amp;IF($G72="sub",$H72,"all")</f>
        <v/>
      </c>
      <c r="J72" s="14">
        <f>INDEX(Mapping!$E$5:$E$20,MATCH($C72,SubKey,0))</f>
        <v/>
      </c>
      <c r="K72" s="14">
        <f>INDEX(Mapping!$G$30:$G$37,MATCH($B72,FuelKey,0))</f>
        <v/>
      </c>
      <c r="L72" s="14">
        <f>INDEX(Mapping!$H$30:$H$37,MATCH($B72,FuelKey,0))</f>
        <v/>
      </c>
      <c r="M72" s="14">
        <f>INDEX(Mapping!$H$5:$H$20,MATCH($C72,SubKey,0))</f>
        <v/>
      </c>
      <c r="N72" s="14">
        <f>INDEX(Mapping!$E$50:$E$63,MATCH($I72,Mapping!$A$50:$A$63,0))</f>
        <v/>
      </c>
      <c r="O72" s="24">
        <f>INDEX(ElaVal,MATCH("inc|"&amp;$E72&amp;"|"&amp;$D72,ElaKey,0),MATCH(Settings!$C$6,ElaGroup,0))</f>
        <v/>
      </c>
      <c r="P72" s="24">
        <f>INDEX(ElaVal,MATCH("usg|"&amp;$E72&amp;"|"&amp;$D72,ElaKey,0),MATCH(Settings!$C$6,ElaGroup,0))</f>
        <v/>
      </c>
      <c r="Q72" s="24">
        <f>INDEX(ElaVal,MATCH("eff|"&amp;$E72&amp;"|"&amp;$D72,ElaKey,0),MATCH(Settings!$C$6,ElaGroup,0))</f>
        <v/>
      </c>
      <c r="R72" s="13">
        <f>INDEX(ElaVal,MATCH("aei|"&amp;$F72&amp;"|"&amp;$D72,ElaKey,0),MATCH(Settings!$C$6,ElaGroup,0))</f>
        <v/>
      </c>
      <c r="S72" s="16">
        <f>(1/(1+$R72))^(1+$P72)</f>
        <v/>
      </c>
      <c r="T72" s="24">
        <f>$Q72*(1+$P72)</f>
        <v/>
      </c>
      <c r="U72" s="14">
        <f>INDEX(Inputs_prices!$E$7:$E$18,MATCH($I72,Inputs_prices!$A$7:$A$18,0))</f>
        <v/>
      </c>
      <c r="V72" s="13">
        <f>INDEX(Inputs_prices!$R$7:$R$18,MATCH($I72,Inputs_prices!$A$7:$A$18,0))</f>
        <v/>
      </c>
      <c r="W72" s="16">
        <f>INDEX(EFVal,MATCH(Settings!$C$4&amp;"|"&amp;$B72&amp;"|"&amp;$J72,EFKey,0))</f>
        <v/>
      </c>
      <c r="X72" s="44">
        <f>INDEX(ConsVal,MATCH(Settings!$C$4&amp;"|"&amp;Settings!$C$7&amp;"|"&amp;$C72&amp;"|"&amp;$B72,ConsKey,0))</f>
        <v/>
      </c>
      <c r="Y72" s="14">
        <f>INDEX(Mapping!$I$5:$I$20,MATCH($C72,SubKey,0))</f>
        <v/>
      </c>
      <c r="Z72" s="35">
        <f>INDEX(ECPCov,MATCH("ecs."&amp;$Y72,ECPKey,0))*INDEX(ECPCov,MATCH("ecf."&amp;$B72,ECPKey,0))</f>
        <v/>
      </c>
      <c r="AA72" s="35">
        <f>INDEX(ECPCov,MATCH("ees."&amp;$Y72,ECPKey,0))*INDEX(ECPCov,MATCH("eef."&amp;$B72,ECPKey,0))</f>
        <v/>
      </c>
    </row>
    <row r="73">
      <c r="A73" s="14">
        <f>$B73&amp;"|"&amp;$C73</f>
        <v/>
      </c>
      <c r="B73" s="22" t="inlineStr">
        <is>
          <t>lpg</t>
        </is>
      </c>
      <c r="C73" s="22" t="inlineStr">
        <is>
          <t>irn</t>
        </is>
      </c>
      <c r="D73" s="14">
        <f>INDEX(Mapping!$D$5:$D$20,MATCH($C73,SubKey,0))</f>
        <v/>
      </c>
      <c r="E73" s="14">
        <f>INDEX(Mapping!$C$30:$C$37,MATCH($B73,FuelKey,0))</f>
        <v/>
      </c>
      <c r="F73" s="14">
        <f>INDEX(Mapping!$D$30:$D$37,MATCH($B73,FuelKey,0))</f>
        <v/>
      </c>
      <c r="G73" s="14">
        <f>INDEX(Mapping!$E$30:$E$37,MATCH($B73,FuelKey,0))</f>
        <v/>
      </c>
      <c r="H73" s="14">
        <f>INDEX(Mapping!$F$5:$F$20,MATCH($C73,SubKey,0))</f>
        <v/>
      </c>
      <c r="I73" s="14">
        <f>$B73&amp;"."&amp;IF($G73="sub",$H73,"all")</f>
        <v/>
      </c>
      <c r="J73" s="14">
        <f>INDEX(Mapping!$E$5:$E$20,MATCH($C73,SubKey,0))</f>
        <v/>
      </c>
      <c r="K73" s="14">
        <f>INDEX(Mapping!$G$30:$G$37,MATCH($B73,FuelKey,0))</f>
        <v/>
      </c>
      <c r="L73" s="14">
        <f>INDEX(Mapping!$H$30:$H$37,MATCH($B73,FuelKey,0))</f>
        <v/>
      </c>
      <c r="M73" s="14">
        <f>INDEX(Mapping!$H$5:$H$20,MATCH($C73,SubKey,0))</f>
        <v/>
      </c>
      <c r="N73" s="14">
        <f>INDEX(Mapping!$E$50:$E$63,MATCH($I73,Mapping!$A$50:$A$63,0))</f>
        <v/>
      </c>
      <c r="O73" s="24">
        <f>INDEX(ElaVal,MATCH("inc|"&amp;$E73&amp;"|"&amp;$D73,ElaKey,0),MATCH(Settings!$C$6,ElaGroup,0))</f>
        <v/>
      </c>
      <c r="P73" s="24">
        <f>INDEX(ElaVal,MATCH("usg|"&amp;$E73&amp;"|"&amp;$D73,ElaKey,0),MATCH(Settings!$C$6,ElaGroup,0))</f>
        <v/>
      </c>
      <c r="Q73" s="24">
        <f>INDEX(ElaVal,MATCH("eff|"&amp;$E73&amp;"|"&amp;$D73,ElaKey,0),MATCH(Settings!$C$6,ElaGroup,0))</f>
        <v/>
      </c>
      <c r="R73" s="13">
        <f>INDEX(ElaVal,MATCH("aei|"&amp;$F73&amp;"|"&amp;$D73,ElaKey,0),MATCH(Settings!$C$6,ElaGroup,0))</f>
        <v/>
      </c>
      <c r="S73" s="16">
        <f>(1/(1+$R73))^(1+$P73)</f>
        <v/>
      </c>
      <c r="T73" s="24">
        <f>$Q73*(1+$P73)</f>
        <v/>
      </c>
      <c r="U73" s="14">
        <f>INDEX(Inputs_prices!$E$7:$E$18,MATCH($I73,Inputs_prices!$A$7:$A$18,0))</f>
        <v/>
      </c>
      <c r="V73" s="13">
        <f>INDEX(Inputs_prices!$R$7:$R$18,MATCH($I73,Inputs_prices!$A$7:$A$18,0))</f>
        <v/>
      </c>
      <c r="W73" s="16">
        <f>INDEX(EFVal,MATCH(Settings!$C$4&amp;"|"&amp;$B73&amp;"|"&amp;$J73,EFKey,0))</f>
        <v/>
      </c>
      <c r="X73" s="44">
        <f>INDEX(ConsVal,MATCH(Settings!$C$4&amp;"|"&amp;Settings!$C$7&amp;"|"&amp;$C73&amp;"|"&amp;$B73,ConsKey,0))</f>
        <v/>
      </c>
      <c r="Y73" s="14">
        <f>INDEX(Mapping!$I$5:$I$20,MATCH($C73,SubKey,0))</f>
        <v/>
      </c>
      <c r="Z73" s="35">
        <f>INDEX(ECPCov,MATCH("ecs."&amp;$Y73,ECPKey,0))*INDEX(ECPCov,MATCH("ecf."&amp;$B73,ECPKey,0))</f>
        <v/>
      </c>
      <c r="AA73" s="35">
        <f>INDEX(ECPCov,MATCH("ees."&amp;$Y73,ECPKey,0))*INDEX(ECPCov,MATCH("eef."&amp;$B73,ECPKey,0))</f>
        <v/>
      </c>
    </row>
    <row r="74">
      <c r="A74" s="14">
        <f>$B74&amp;"|"&amp;$C74</f>
        <v/>
      </c>
      <c r="B74" s="22" t="inlineStr">
        <is>
          <t>ker</t>
        </is>
      </c>
      <c r="C74" s="22" t="inlineStr">
        <is>
          <t>irn</t>
        </is>
      </c>
      <c r="D74" s="14">
        <f>INDEX(Mapping!$D$5:$D$20,MATCH($C74,SubKey,0))</f>
        <v/>
      </c>
      <c r="E74" s="14">
        <f>INDEX(Mapping!$C$30:$C$37,MATCH($B74,FuelKey,0))</f>
        <v/>
      </c>
      <c r="F74" s="14">
        <f>INDEX(Mapping!$D$30:$D$37,MATCH($B74,FuelKey,0))</f>
        <v/>
      </c>
      <c r="G74" s="14">
        <f>INDEX(Mapping!$E$30:$E$37,MATCH($B74,FuelKey,0))</f>
        <v/>
      </c>
      <c r="H74" s="14">
        <f>INDEX(Mapping!$F$5:$F$20,MATCH($C74,SubKey,0))</f>
        <v/>
      </c>
      <c r="I74" s="14">
        <f>$B74&amp;"."&amp;IF($G74="sub",$H74,"all")</f>
        <v/>
      </c>
      <c r="J74" s="14">
        <f>INDEX(Mapping!$E$5:$E$20,MATCH($C74,SubKey,0))</f>
        <v/>
      </c>
      <c r="K74" s="14">
        <f>INDEX(Mapping!$G$30:$G$37,MATCH($B74,FuelKey,0))</f>
        <v/>
      </c>
      <c r="L74" s="14">
        <f>INDEX(Mapping!$H$30:$H$37,MATCH($B74,FuelKey,0))</f>
        <v/>
      </c>
      <c r="M74" s="14">
        <f>INDEX(Mapping!$H$5:$H$20,MATCH($C74,SubKey,0))</f>
        <v/>
      </c>
      <c r="N74" s="14">
        <f>INDEX(Mapping!$E$50:$E$63,MATCH($I74,Mapping!$A$50:$A$63,0))</f>
        <v/>
      </c>
      <c r="O74" s="24">
        <f>INDEX(ElaVal,MATCH("inc|"&amp;$E74&amp;"|"&amp;$D74,ElaKey,0),MATCH(Settings!$C$6,ElaGroup,0))</f>
        <v/>
      </c>
      <c r="P74" s="24">
        <f>INDEX(ElaVal,MATCH("usg|"&amp;$E74&amp;"|"&amp;$D74,ElaKey,0),MATCH(Settings!$C$6,ElaGroup,0))</f>
        <v/>
      </c>
      <c r="Q74" s="24">
        <f>INDEX(ElaVal,MATCH("eff|"&amp;$E74&amp;"|"&amp;$D74,ElaKey,0),MATCH(Settings!$C$6,ElaGroup,0))</f>
        <v/>
      </c>
      <c r="R74" s="13">
        <f>INDEX(ElaVal,MATCH("aei|"&amp;$F74&amp;"|"&amp;$D74,ElaKey,0),MATCH(Settings!$C$6,ElaGroup,0))</f>
        <v/>
      </c>
      <c r="S74" s="16">
        <f>(1/(1+$R74))^(1+$P74)</f>
        <v/>
      </c>
      <c r="T74" s="24">
        <f>$Q74*(1+$P74)</f>
        <v/>
      </c>
      <c r="U74" s="14">
        <f>INDEX(Inputs_prices!$E$7:$E$18,MATCH($I74,Inputs_prices!$A$7:$A$18,0))</f>
        <v/>
      </c>
      <c r="V74" s="13">
        <f>INDEX(Inputs_prices!$R$7:$R$18,MATCH($I74,Inputs_prices!$A$7:$A$18,0))</f>
        <v/>
      </c>
      <c r="W74" s="16">
        <f>INDEX(EFVal,MATCH(Settings!$C$4&amp;"|"&amp;$B74&amp;"|"&amp;$J74,EFKey,0))</f>
        <v/>
      </c>
      <c r="X74" s="44">
        <f>INDEX(ConsVal,MATCH(Settings!$C$4&amp;"|"&amp;Settings!$C$7&amp;"|"&amp;$C74&amp;"|"&amp;$B74,ConsKey,0))</f>
        <v/>
      </c>
      <c r="Y74" s="14">
        <f>INDEX(Mapping!$I$5:$I$20,MATCH($C74,SubKey,0))</f>
        <v/>
      </c>
      <c r="Z74" s="35">
        <f>INDEX(ECPCov,MATCH("ecs."&amp;$Y74,ECPKey,0))*INDEX(ECPCov,MATCH("ecf."&amp;$B74,ECPKey,0))</f>
        <v/>
      </c>
      <c r="AA74" s="35">
        <f>INDEX(ECPCov,MATCH("ees."&amp;$Y74,ECPKey,0))*INDEX(ECPCov,MATCH("eef."&amp;$B74,ECPKey,0))</f>
        <v/>
      </c>
    </row>
    <row r="75">
      <c r="A75" s="14">
        <f>$B75&amp;"|"&amp;$C75</f>
        <v/>
      </c>
      <c r="B75" s="22" t="inlineStr">
        <is>
          <t>oop</t>
        </is>
      </c>
      <c r="C75" s="22" t="inlineStr">
        <is>
          <t>irn</t>
        </is>
      </c>
      <c r="D75" s="14">
        <f>INDEX(Mapping!$D$5:$D$20,MATCH($C75,SubKey,0))</f>
        <v/>
      </c>
      <c r="E75" s="14">
        <f>INDEX(Mapping!$C$30:$C$37,MATCH($B75,FuelKey,0))</f>
        <v/>
      </c>
      <c r="F75" s="14">
        <f>INDEX(Mapping!$D$30:$D$37,MATCH($B75,FuelKey,0))</f>
        <v/>
      </c>
      <c r="G75" s="14">
        <f>INDEX(Mapping!$E$30:$E$37,MATCH($B75,FuelKey,0))</f>
        <v/>
      </c>
      <c r="H75" s="14">
        <f>INDEX(Mapping!$F$5:$F$20,MATCH($C75,SubKey,0))</f>
        <v/>
      </c>
      <c r="I75" s="14">
        <f>$B75&amp;"."&amp;IF($G75="sub",$H75,"all")</f>
        <v/>
      </c>
      <c r="J75" s="14">
        <f>INDEX(Mapping!$E$5:$E$20,MATCH($C75,SubKey,0))</f>
        <v/>
      </c>
      <c r="K75" s="14">
        <f>INDEX(Mapping!$G$30:$G$37,MATCH($B75,FuelKey,0))</f>
        <v/>
      </c>
      <c r="L75" s="14">
        <f>INDEX(Mapping!$H$30:$H$37,MATCH($B75,FuelKey,0))</f>
        <v/>
      </c>
      <c r="M75" s="14">
        <f>INDEX(Mapping!$H$5:$H$20,MATCH($C75,SubKey,0))</f>
        <v/>
      </c>
      <c r="N75" s="14">
        <f>INDEX(Mapping!$E$50:$E$63,MATCH($I75,Mapping!$A$50:$A$63,0))</f>
        <v/>
      </c>
      <c r="O75" s="24">
        <f>INDEX(ElaVal,MATCH("inc|"&amp;$E75&amp;"|"&amp;$D75,ElaKey,0),MATCH(Settings!$C$6,ElaGroup,0))</f>
        <v/>
      </c>
      <c r="P75" s="24">
        <f>INDEX(ElaVal,MATCH("usg|"&amp;$E75&amp;"|"&amp;$D75,ElaKey,0),MATCH(Settings!$C$6,ElaGroup,0))</f>
        <v/>
      </c>
      <c r="Q75" s="24">
        <f>INDEX(ElaVal,MATCH("eff|"&amp;$E75&amp;"|"&amp;$D75,ElaKey,0),MATCH(Settings!$C$6,ElaGroup,0))</f>
        <v/>
      </c>
      <c r="R75" s="13">
        <f>INDEX(ElaVal,MATCH("aei|"&amp;$F75&amp;"|"&amp;$D75,ElaKey,0),MATCH(Settings!$C$6,ElaGroup,0))</f>
        <v/>
      </c>
      <c r="S75" s="16">
        <f>(1/(1+$R75))^(1+$P75)</f>
        <v/>
      </c>
      <c r="T75" s="24">
        <f>$Q75*(1+$P75)</f>
        <v/>
      </c>
      <c r="U75" s="14">
        <f>INDEX(Inputs_prices!$E$7:$E$18,MATCH($I75,Inputs_prices!$A$7:$A$18,0))</f>
        <v/>
      </c>
      <c r="V75" s="13">
        <f>INDEX(Inputs_prices!$R$7:$R$18,MATCH($I75,Inputs_prices!$A$7:$A$18,0))</f>
        <v/>
      </c>
      <c r="W75" s="16">
        <f>INDEX(EFVal,MATCH(Settings!$C$4&amp;"|"&amp;$B75&amp;"|"&amp;$J75,EFKey,0))</f>
        <v/>
      </c>
      <c r="X75" s="44">
        <f>INDEX(ConsVal,MATCH(Settings!$C$4&amp;"|"&amp;Settings!$C$7&amp;"|"&amp;$C75&amp;"|"&amp;$B75,ConsKey,0))</f>
        <v/>
      </c>
      <c r="Y75" s="14">
        <f>INDEX(Mapping!$I$5:$I$20,MATCH($C75,SubKey,0))</f>
        <v/>
      </c>
      <c r="Z75" s="35">
        <f>INDEX(ECPCov,MATCH("ecs."&amp;$Y75,ECPKey,0))*INDEX(ECPCov,MATCH("ecf."&amp;$B75,ECPKey,0))</f>
        <v/>
      </c>
      <c r="AA75" s="35">
        <f>INDEX(ECPCov,MATCH("ees."&amp;$Y75,ECPKey,0))*INDEX(ECPCov,MATCH("eef."&amp;$B75,ECPKey,0))</f>
        <v/>
      </c>
    </row>
    <row r="76">
      <c r="A76" s="14">
        <f>$B76&amp;"|"&amp;$C76</f>
        <v/>
      </c>
      <c r="B76" s="22" t="inlineStr">
        <is>
          <t>bio</t>
        </is>
      </c>
      <c r="C76" s="22" t="inlineStr">
        <is>
          <t>irn</t>
        </is>
      </c>
      <c r="D76" s="14">
        <f>INDEX(Mapping!$D$5:$D$20,MATCH($C76,SubKey,0))</f>
        <v/>
      </c>
      <c r="E76" s="14">
        <f>INDEX(Mapping!$C$30:$C$37,MATCH($B76,FuelKey,0))</f>
        <v/>
      </c>
      <c r="F76" s="14">
        <f>INDEX(Mapping!$D$30:$D$37,MATCH($B76,FuelKey,0))</f>
        <v/>
      </c>
      <c r="G76" s="14">
        <f>INDEX(Mapping!$E$30:$E$37,MATCH($B76,FuelKey,0))</f>
        <v/>
      </c>
      <c r="H76" s="14">
        <f>INDEX(Mapping!$F$5:$F$20,MATCH($C76,SubKey,0))</f>
        <v/>
      </c>
      <c r="I76" s="14">
        <f>$B76&amp;"."&amp;IF($G76="sub",$H76,"all")</f>
        <v/>
      </c>
      <c r="J76" s="14">
        <f>INDEX(Mapping!$E$5:$E$20,MATCH($C76,SubKey,0))</f>
        <v/>
      </c>
      <c r="K76" s="14">
        <f>INDEX(Mapping!$G$30:$G$37,MATCH($B76,FuelKey,0))</f>
        <v/>
      </c>
      <c r="L76" s="14">
        <f>INDEX(Mapping!$H$30:$H$37,MATCH($B76,FuelKey,0))</f>
        <v/>
      </c>
      <c r="M76" s="14">
        <f>INDEX(Mapping!$H$5:$H$20,MATCH($C76,SubKey,0))</f>
        <v/>
      </c>
      <c r="N76" s="14">
        <f>INDEX(Mapping!$E$50:$E$63,MATCH($I76,Mapping!$A$50:$A$63,0))</f>
        <v/>
      </c>
      <c r="O76" s="24">
        <f>INDEX(ElaVal,MATCH("inc|"&amp;$E76&amp;"|"&amp;$D76,ElaKey,0),MATCH(Settings!$C$6,ElaGroup,0))</f>
        <v/>
      </c>
      <c r="P76" s="24">
        <f>INDEX(ElaVal,MATCH("usg|"&amp;$E76&amp;"|"&amp;$D76,ElaKey,0),MATCH(Settings!$C$6,ElaGroup,0))</f>
        <v/>
      </c>
      <c r="Q76" s="24">
        <f>INDEX(ElaVal,MATCH("eff|"&amp;$E76&amp;"|"&amp;$D76,ElaKey,0),MATCH(Settings!$C$6,ElaGroup,0))</f>
        <v/>
      </c>
      <c r="R76" s="13">
        <f>INDEX(ElaVal,MATCH("aei|"&amp;$F76&amp;"|"&amp;$D76,ElaKey,0),MATCH(Settings!$C$6,ElaGroup,0))</f>
        <v/>
      </c>
      <c r="S76" s="16">
        <f>(1/(1+$R76))^(1+$P76)</f>
        <v/>
      </c>
      <c r="T76" s="24">
        <f>$Q76*(1+$P76)</f>
        <v/>
      </c>
      <c r="U76" s="14">
        <f>INDEX(Inputs_prices!$E$7:$E$18,MATCH($I76,Inputs_prices!$A$7:$A$18,0))</f>
        <v/>
      </c>
      <c r="V76" s="13">
        <f>INDEX(Inputs_prices!$R$7:$R$18,MATCH($I76,Inputs_prices!$A$7:$A$18,0))</f>
        <v/>
      </c>
      <c r="W76" s="16">
        <f>INDEX(EFVal,MATCH(Settings!$C$4&amp;"|"&amp;$B76&amp;"|"&amp;$J76,EFKey,0))</f>
        <v/>
      </c>
      <c r="X76" s="44">
        <f>INDEX(ConsVal,MATCH(Settings!$C$4&amp;"|"&amp;Settings!$C$7&amp;"|"&amp;$C76&amp;"|"&amp;$B76,ConsKey,0))</f>
        <v/>
      </c>
      <c r="Y76" s="14">
        <f>INDEX(Mapping!$I$5:$I$20,MATCH($C76,SubKey,0))</f>
        <v/>
      </c>
      <c r="Z76" s="35">
        <f>INDEX(ECPCov,MATCH("ecs."&amp;$Y76,ECPKey,0))*INDEX(ECPCov,MATCH("ecf."&amp;$B76,ECPKey,0))</f>
        <v/>
      </c>
      <c r="AA76" s="35">
        <f>INDEX(ECPCov,MATCH("ees."&amp;$Y76,ECPKey,0))*INDEX(ECPCov,MATCH("eef."&amp;$B76,ECPKey,0))</f>
        <v/>
      </c>
    </row>
    <row r="77">
      <c r="A77" s="14">
        <f>$B77&amp;"|"&amp;$C77</f>
        <v/>
      </c>
      <c r="B77" s="22" t="inlineStr">
        <is>
          <t>coa</t>
        </is>
      </c>
      <c r="C77" s="22" t="inlineStr">
        <is>
          <t>nfm</t>
        </is>
      </c>
      <c r="D77" s="14">
        <f>INDEX(Mapping!$D$5:$D$20,MATCH($C77,SubKey,0))</f>
        <v/>
      </c>
      <c r="E77" s="14">
        <f>INDEX(Mapping!$C$30:$C$37,MATCH($B77,FuelKey,0))</f>
        <v/>
      </c>
      <c r="F77" s="14">
        <f>INDEX(Mapping!$D$30:$D$37,MATCH($B77,FuelKey,0))</f>
        <v/>
      </c>
      <c r="G77" s="14">
        <f>INDEX(Mapping!$E$30:$E$37,MATCH($B77,FuelKey,0))</f>
        <v/>
      </c>
      <c r="H77" s="14">
        <f>INDEX(Mapping!$F$5:$F$20,MATCH($C77,SubKey,0))</f>
        <v/>
      </c>
      <c r="I77" s="14">
        <f>$B77&amp;"."&amp;IF($G77="sub",$H77,"all")</f>
        <v/>
      </c>
      <c r="J77" s="14">
        <f>INDEX(Mapping!$E$5:$E$20,MATCH($C77,SubKey,0))</f>
        <v/>
      </c>
      <c r="K77" s="14">
        <f>INDEX(Mapping!$G$30:$G$37,MATCH($B77,FuelKey,0))</f>
        <v/>
      </c>
      <c r="L77" s="14">
        <f>INDEX(Mapping!$H$30:$H$37,MATCH($B77,FuelKey,0))</f>
        <v/>
      </c>
      <c r="M77" s="14">
        <f>INDEX(Mapping!$H$5:$H$20,MATCH($C77,SubKey,0))</f>
        <v/>
      </c>
      <c r="N77" s="14">
        <f>INDEX(Mapping!$E$50:$E$63,MATCH($I77,Mapping!$A$50:$A$63,0))</f>
        <v/>
      </c>
      <c r="O77" s="24">
        <f>INDEX(ElaVal,MATCH("inc|"&amp;$E77&amp;"|"&amp;$D77,ElaKey,0),MATCH(Settings!$C$6,ElaGroup,0))</f>
        <v/>
      </c>
      <c r="P77" s="24">
        <f>INDEX(ElaVal,MATCH("usg|"&amp;$E77&amp;"|"&amp;$D77,ElaKey,0),MATCH(Settings!$C$6,ElaGroup,0))</f>
        <v/>
      </c>
      <c r="Q77" s="24">
        <f>INDEX(ElaVal,MATCH("eff|"&amp;$E77&amp;"|"&amp;$D77,ElaKey,0),MATCH(Settings!$C$6,ElaGroup,0))</f>
        <v/>
      </c>
      <c r="R77" s="13">
        <f>INDEX(ElaVal,MATCH("aei|"&amp;$F77&amp;"|"&amp;$D77,ElaKey,0),MATCH(Settings!$C$6,ElaGroup,0))</f>
        <v/>
      </c>
      <c r="S77" s="16">
        <f>(1/(1+$R77))^(1+$P77)</f>
        <v/>
      </c>
      <c r="T77" s="24">
        <f>$Q77*(1+$P77)</f>
        <v/>
      </c>
      <c r="U77" s="14">
        <f>INDEX(Inputs_prices!$E$7:$E$18,MATCH($I77,Inputs_prices!$A$7:$A$18,0))</f>
        <v/>
      </c>
      <c r="V77" s="13">
        <f>INDEX(Inputs_prices!$R$7:$R$18,MATCH($I77,Inputs_prices!$A$7:$A$18,0))</f>
        <v/>
      </c>
      <c r="W77" s="16">
        <f>INDEX(EFVal,MATCH(Settings!$C$4&amp;"|"&amp;$B77&amp;"|"&amp;$J77,EFKey,0))</f>
        <v/>
      </c>
      <c r="X77" s="44">
        <f>INDEX(ConsVal,MATCH(Settings!$C$4&amp;"|"&amp;Settings!$C$7&amp;"|"&amp;$C77&amp;"|"&amp;$B77,ConsKey,0))</f>
        <v/>
      </c>
      <c r="Y77" s="14">
        <f>INDEX(Mapping!$I$5:$I$20,MATCH($C77,SubKey,0))</f>
        <v/>
      </c>
      <c r="Z77" s="35">
        <f>INDEX(ECPCov,MATCH("ecs."&amp;$Y77,ECPKey,0))*INDEX(ECPCov,MATCH("ecf."&amp;$B77,ECPKey,0))</f>
        <v/>
      </c>
      <c r="AA77" s="35">
        <f>INDEX(ECPCov,MATCH("ees."&amp;$Y77,ECPKey,0))*INDEX(ECPCov,MATCH("eef."&amp;$B77,ECPKey,0))</f>
        <v/>
      </c>
    </row>
    <row r="78">
      <c r="A78" s="14">
        <f>$B78&amp;"|"&amp;$C78</f>
        <v/>
      </c>
      <c r="B78" s="22" t="inlineStr">
        <is>
          <t>nga</t>
        </is>
      </c>
      <c r="C78" s="22" t="inlineStr">
        <is>
          <t>nfm</t>
        </is>
      </c>
      <c r="D78" s="14">
        <f>INDEX(Mapping!$D$5:$D$20,MATCH($C78,SubKey,0))</f>
        <v/>
      </c>
      <c r="E78" s="14">
        <f>INDEX(Mapping!$C$30:$C$37,MATCH($B78,FuelKey,0))</f>
        <v/>
      </c>
      <c r="F78" s="14">
        <f>INDEX(Mapping!$D$30:$D$37,MATCH($B78,FuelKey,0))</f>
        <v/>
      </c>
      <c r="G78" s="14">
        <f>INDEX(Mapping!$E$30:$E$37,MATCH($B78,FuelKey,0))</f>
        <v/>
      </c>
      <c r="H78" s="14">
        <f>INDEX(Mapping!$F$5:$F$20,MATCH($C78,SubKey,0))</f>
        <v/>
      </c>
      <c r="I78" s="14">
        <f>$B78&amp;"."&amp;IF($G78="sub",$H78,"all")</f>
        <v/>
      </c>
      <c r="J78" s="14">
        <f>INDEX(Mapping!$E$5:$E$20,MATCH($C78,SubKey,0))</f>
        <v/>
      </c>
      <c r="K78" s="14">
        <f>INDEX(Mapping!$G$30:$G$37,MATCH($B78,FuelKey,0))</f>
        <v/>
      </c>
      <c r="L78" s="14">
        <f>INDEX(Mapping!$H$30:$H$37,MATCH($B78,FuelKey,0))</f>
        <v/>
      </c>
      <c r="M78" s="14">
        <f>INDEX(Mapping!$H$5:$H$20,MATCH($C78,SubKey,0))</f>
        <v/>
      </c>
      <c r="N78" s="14">
        <f>INDEX(Mapping!$E$50:$E$63,MATCH($I78,Mapping!$A$50:$A$63,0))</f>
        <v/>
      </c>
      <c r="O78" s="24">
        <f>INDEX(ElaVal,MATCH("inc|"&amp;$E78&amp;"|"&amp;$D78,ElaKey,0),MATCH(Settings!$C$6,ElaGroup,0))</f>
        <v/>
      </c>
      <c r="P78" s="24">
        <f>INDEX(ElaVal,MATCH("usg|"&amp;$E78&amp;"|"&amp;$D78,ElaKey,0),MATCH(Settings!$C$6,ElaGroup,0))</f>
        <v/>
      </c>
      <c r="Q78" s="24">
        <f>INDEX(ElaVal,MATCH("eff|"&amp;$E78&amp;"|"&amp;$D78,ElaKey,0),MATCH(Settings!$C$6,ElaGroup,0))</f>
        <v/>
      </c>
      <c r="R78" s="13">
        <f>INDEX(ElaVal,MATCH("aei|"&amp;$F78&amp;"|"&amp;$D78,ElaKey,0),MATCH(Settings!$C$6,ElaGroup,0))</f>
        <v/>
      </c>
      <c r="S78" s="16">
        <f>(1/(1+$R78))^(1+$P78)</f>
        <v/>
      </c>
      <c r="T78" s="24">
        <f>$Q78*(1+$P78)</f>
        <v/>
      </c>
      <c r="U78" s="14">
        <f>INDEX(Inputs_prices!$E$7:$E$18,MATCH($I78,Inputs_prices!$A$7:$A$18,0))</f>
        <v/>
      </c>
      <c r="V78" s="13">
        <f>INDEX(Inputs_prices!$R$7:$R$18,MATCH($I78,Inputs_prices!$A$7:$A$18,0))</f>
        <v/>
      </c>
      <c r="W78" s="16">
        <f>INDEX(EFVal,MATCH(Settings!$C$4&amp;"|"&amp;$B78&amp;"|"&amp;$J78,EFKey,0))</f>
        <v/>
      </c>
      <c r="X78" s="44">
        <f>INDEX(ConsVal,MATCH(Settings!$C$4&amp;"|"&amp;Settings!$C$7&amp;"|"&amp;$C78&amp;"|"&amp;$B78,ConsKey,0))</f>
        <v/>
      </c>
      <c r="Y78" s="14">
        <f>INDEX(Mapping!$I$5:$I$20,MATCH($C78,SubKey,0))</f>
        <v/>
      </c>
      <c r="Z78" s="35">
        <f>INDEX(ECPCov,MATCH("ecs."&amp;$Y78,ECPKey,0))*INDEX(ECPCov,MATCH("ecf."&amp;$B78,ECPKey,0))</f>
        <v/>
      </c>
      <c r="AA78" s="35">
        <f>INDEX(ECPCov,MATCH("ees."&amp;$Y78,ECPKey,0))*INDEX(ECPCov,MATCH("eef."&amp;$B78,ECPKey,0))</f>
        <v/>
      </c>
    </row>
    <row r="79">
      <c r="A79" s="14">
        <f>$B79&amp;"|"&amp;$C79</f>
        <v/>
      </c>
      <c r="B79" s="22" t="inlineStr">
        <is>
          <t>gso</t>
        </is>
      </c>
      <c r="C79" s="22" t="inlineStr">
        <is>
          <t>nfm</t>
        </is>
      </c>
      <c r="D79" s="14">
        <f>INDEX(Mapping!$D$5:$D$20,MATCH($C79,SubKey,0))</f>
        <v/>
      </c>
      <c r="E79" s="14">
        <f>INDEX(Mapping!$C$30:$C$37,MATCH($B79,FuelKey,0))</f>
        <v/>
      </c>
      <c r="F79" s="14">
        <f>INDEX(Mapping!$D$30:$D$37,MATCH($B79,FuelKey,0))</f>
        <v/>
      </c>
      <c r="G79" s="14">
        <f>INDEX(Mapping!$E$30:$E$37,MATCH($B79,FuelKey,0))</f>
        <v/>
      </c>
      <c r="H79" s="14">
        <f>INDEX(Mapping!$F$5:$F$20,MATCH($C79,SubKey,0))</f>
        <v/>
      </c>
      <c r="I79" s="14">
        <f>$B79&amp;"."&amp;IF($G79="sub",$H79,"all")</f>
        <v/>
      </c>
      <c r="J79" s="14">
        <f>INDEX(Mapping!$E$5:$E$20,MATCH($C79,SubKey,0))</f>
        <v/>
      </c>
      <c r="K79" s="14">
        <f>INDEX(Mapping!$G$30:$G$37,MATCH($B79,FuelKey,0))</f>
        <v/>
      </c>
      <c r="L79" s="14">
        <f>INDEX(Mapping!$H$30:$H$37,MATCH($B79,FuelKey,0))</f>
        <v/>
      </c>
      <c r="M79" s="14">
        <f>INDEX(Mapping!$H$5:$H$20,MATCH($C79,SubKey,0))</f>
        <v/>
      </c>
      <c r="N79" s="14">
        <f>INDEX(Mapping!$E$50:$E$63,MATCH($I79,Mapping!$A$50:$A$63,0))</f>
        <v/>
      </c>
      <c r="O79" s="24">
        <f>INDEX(ElaVal,MATCH("inc|"&amp;$E79&amp;"|"&amp;$D79,ElaKey,0),MATCH(Settings!$C$6,ElaGroup,0))</f>
        <v/>
      </c>
      <c r="P79" s="24">
        <f>INDEX(ElaVal,MATCH("usg|"&amp;$E79&amp;"|"&amp;$D79,ElaKey,0),MATCH(Settings!$C$6,ElaGroup,0))</f>
        <v/>
      </c>
      <c r="Q79" s="24">
        <f>INDEX(ElaVal,MATCH("eff|"&amp;$E79&amp;"|"&amp;$D79,ElaKey,0),MATCH(Settings!$C$6,ElaGroup,0))</f>
        <v/>
      </c>
      <c r="R79" s="13">
        <f>INDEX(ElaVal,MATCH("aei|"&amp;$F79&amp;"|"&amp;$D79,ElaKey,0),MATCH(Settings!$C$6,ElaGroup,0))</f>
        <v/>
      </c>
      <c r="S79" s="16">
        <f>(1/(1+$R79))^(1+$P79)</f>
        <v/>
      </c>
      <c r="T79" s="24">
        <f>$Q79*(1+$P79)</f>
        <v/>
      </c>
      <c r="U79" s="14">
        <f>INDEX(Inputs_prices!$E$7:$E$18,MATCH($I79,Inputs_prices!$A$7:$A$18,0))</f>
        <v/>
      </c>
      <c r="V79" s="13">
        <f>INDEX(Inputs_prices!$R$7:$R$18,MATCH($I79,Inputs_prices!$A$7:$A$18,0))</f>
        <v/>
      </c>
      <c r="W79" s="16">
        <f>INDEX(EFVal,MATCH(Settings!$C$4&amp;"|"&amp;$B79&amp;"|"&amp;$J79,EFKey,0))</f>
        <v/>
      </c>
      <c r="X79" s="44">
        <f>INDEX(ConsVal,MATCH(Settings!$C$4&amp;"|"&amp;Settings!$C$7&amp;"|"&amp;$C79&amp;"|"&amp;$B79,ConsKey,0))</f>
        <v/>
      </c>
      <c r="Y79" s="14">
        <f>INDEX(Mapping!$I$5:$I$20,MATCH($C79,SubKey,0))</f>
        <v/>
      </c>
      <c r="Z79" s="35">
        <f>INDEX(ECPCov,MATCH("ecs."&amp;$Y79,ECPKey,0))*INDEX(ECPCov,MATCH("ecf."&amp;$B79,ECPKey,0))</f>
        <v/>
      </c>
      <c r="AA79" s="35">
        <f>INDEX(ECPCov,MATCH("ees."&amp;$Y79,ECPKey,0))*INDEX(ECPCov,MATCH("eef."&amp;$B79,ECPKey,0))</f>
        <v/>
      </c>
    </row>
    <row r="80">
      <c r="A80" s="14">
        <f>$B80&amp;"|"&amp;$C80</f>
        <v/>
      </c>
      <c r="B80" s="22" t="inlineStr">
        <is>
          <t>die</t>
        </is>
      </c>
      <c r="C80" s="22" t="inlineStr">
        <is>
          <t>nfm</t>
        </is>
      </c>
      <c r="D80" s="14">
        <f>INDEX(Mapping!$D$5:$D$20,MATCH($C80,SubKey,0))</f>
        <v/>
      </c>
      <c r="E80" s="14">
        <f>INDEX(Mapping!$C$30:$C$37,MATCH($B80,FuelKey,0))</f>
        <v/>
      </c>
      <c r="F80" s="14">
        <f>INDEX(Mapping!$D$30:$D$37,MATCH($B80,FuelKey,0))</f>
        <v/>
      </c>
      <c r="G80" s="14">
        <f>INDEX(Mapping!$E$30:$E$37,MATCH($B80,FuelKey,0))</f>
        <v/>
      </c>
      <c r="H80" s="14">
        <f>INDEX(Mapping!$F$5:$F$20,MATCH($C80,SubKey,0))</f>
        <v/>
      </c>
      <c r="I80" s="14">
        <f>$B80&amp;"."&amp;IF($G80="sub",$H80,"all")</f>
        <v/>
      </c>
      <c r="J80" s="14">
        <f>INDEX(Mapping!$E$5:$E$20,MATCH($C80,SubKey,0))</f>
        <v/>
      </c>
      <c r="K80" s="14">
        <f>INDEX(Mapping!$G$30:$G$37,MATCH($B80,FuelKey,0))</f>
        <v/>
      </c>
      <c r="L80" s="14">
        <f>INDEX(Mapping!$H$30:$H$37,MATCH($B80,FuelKey,0))</f>
        <v/>
      </c>
      <c r="M80" s="14">
        <f>INDEX(Mapping!$H$5:$H$20,MATCH($C80,SubKey,0))</f>
        <v/>
      </c>
      <c r="N80" s="14">
        <f>INDEX(Mapping!$E$50:$E$63,MATCH($I80,Mapping!$A$50:$A$63,0))</f>
        <v/>
      </c>
      <c r="O80" s="24">
        <f>INDEX(ElaVal,MATCH("inc|"&amp;$E80&amp;"|"&amp;$D80,ElaKey,0),MATCH(Settings!$C$6,ElaGroup,0))</f>
        <v/>
      </c>
      <c r="P80" s="24">
        <f>INDEX(ElaVal,MATCH("usg|"&amp;$E80&amp;"|"&amp;$D80,ElaKey,0),MATCH(Settings!$C$6,ElaGroup,0))</f>
        <v/>
      </c>
      <c r="Q80" s="24">
        <f>INDEX(ElaVal,MATCH("eff|"&amp;$E80&amp;"|"&amp;$D80,ElaKey,0),MATCH(Settings!$C$6,ElaGroup,0))</f>
        <v/>
      </c>
      <c r="R80" s="13">
        <f>INDEX(ElaVal,MATCH("aei|"&amp;$F80&amp;"|"&amp;$D80,ElaKey,0),MATCH(Settings!$C$6,ElaGroup,0))</f>
        <v/>
      </c>
      <c r="S80" s="16">
        <f>(1/(1+$R80))^(1+$P80)</f>
        <v/>
      </c>
      <c r="T80" s="24">
        <f>$Q80*(1+$P80)</f>
        <v/>
      </c>
      <c r="U80" s="14">
        <f>INDEX(Inputs_prices!$E$7:$E$18,MATCH($I80,Inputs_prices!$A$7:$A$18,0))</f>
        <v/>
      </c>
      <c r="V80" s="13">
        <f>INDEX(Inputs_prices!$R$7:$R$18,MATCH($I80,Inputs_prices!$A$7:$A$18,0))</f>
        <v/>
      </c>
      <c r="W80" s="16">
        <f>INDEX(EFVal,MATCH(Settings!$C$4&amp;"|"&amp;$B80&amp;"|"&amp;$J80,EFKey,0))</f>
        <v/>
      </c>
      <c r="X80" s="44">
        <f>INDEX(ConsVal,MATCH(Settings!$C$4&amp;"|"&amp;Settings!$C$7&amp;"|"&amp;$C80&amp;"|"&amp;$B80,ConsKey,0))</f>
        <v/>
      </c>
      <c r="Y80" s="14">
        <f>INDEX(Mapping!$I$5:$I$20,MATCH($C80,SubKey,0))</f>
        <v/>
      </c>
      <c r="Z80" s="35">
        <f>INDEX(ECPCov,MATCH("ecs."&amp;$Y80,ECPKey,0))*INDEX(ECPCov,MATCH("ecf."&amp;$B80,ECPKey,0))</f>
        <v/>
      </c>
      <c r="AA80" s="35">
        <f>INDEX(ECPCov,MATCH("ees."&amp;$Y80,ECPKey,0))*INDEX(ECPCov,MATCH("eef."&amp;$B80,ECPKey,0))</f>
        <v/>
      </c>
    </row>
    <row r="81">
      <c r="A81" s="14">
        <f>$B81&amp;"|"&amp;$C81</f>
        <v/>
      </c>
      <c r="B81" s="22" t="inlineStr">
        <is>
          <t>lpg</t>
        </is>
      </c>
      <c r="C81" s="22" t="inlineStr">
        <is>
          <t>nfm</t>
        </is>
      </c>
      <c r="D81" s="14">
        <f>INDEX(Mapping!$D$5:$D$20,MATCH($C81,SubKey,0))</f>
        <v/>
      </c>
      <c r="E81" s="14">
        <f>INDEX(Mapping!$C$30:$C$37,MATCH($B81,FuelKey,0))</f>
        <v/>
      </c>
      <c r="F81" s="14">
        <f>INDEX(Mapping!$D$30:$D$37,MATCH($B81,FuelKey,0))</f>
        <v/>
      </c>
      <c r="G81" s="14">
        <f>INDEX(Mapping!$E$30:$E$37,MATCH($B81,FuelKey,0))</f>
        <v/>
      </c>
      <c r="H81" s="14">
        <f>INDEX(Mapping!$F$5:$F$20,MATCH($C81,SubKey,0))</f>
        <v/>
      </c>
      <c r="I81" s="14">
        <f>$B81&amp;"."&amp;IF($G81="sub",$H81,"all")</f>
        <v/>
      </c>
      <c r="J81" s="14">
        <f>INDEX(Mapping!$E$5:$E$20,MATCH($C81,SubKey,0))</f>
        <v/>
      </c>
      <c r="K81" s="14">
        <f>INDEX(Mapping!$G$30:$G$37,MATCH($B81,FuelKey,0))</f>
        <v/>
      </c>
      <c r="L81" s="14">
        <f>INDEX(Mapping!$H$30:$H$37,MATCH($B81,FuelKey,0))</f>
        <v/>
      </c>
      <c r="M81" s="14">
        <f>INDEX(Mapping!$H$5:$H$20,MATCH($C81,SubKey,0))</f>
        <v/>
      </c>
      <c r="N81" s="14">
        <f>INDEX(Mapping!$E$50:$E$63,MATCH($I81,Mapping!$A$50:$A$63,0))</f>
        <v/>
      </c>
      <c r="O81" s="24">
        <f>INDEX(ElaVal,MATCH("inc|"&amp;$E81&amp;"|"&amp;$D81,ElaKey,0),MATCH(Settings!$C$6,ElaGroup,0))</f>
        <v/>
      </c>
      <c r="P81" s="24">
        <f>INDEX(ElaVal,MATCH("usg|"&amp;$E81&amp;"|"&amp;$D81,ElaKey,0),MATCH(Settings!$C$6,ElaGroup,0))</f>
        <v/>
      </c>
      <c r="Q81" s="24">
        <f>INDEX(ElaVal,MATCH("eff|"&amp;$E81&amp;"|"&amp;$D81,ElaKey,0),MATCH(Settings!$C$6,ElaGroup,0))</f>
        <v/>
      </c>
      <c r="R81" s="13">
        <f>INDEX(ElaVal,MATCH("aei|"&amp;$F81&amp;"|"&amp;$D81,ElaKey,0),MATCH(Settings!$C$6,ElaGroup,0))</f>
        <v/>
      </c>
      <c r="S81" s="16">
        <f>(1/(1+$R81))^(1+$P81)</f>
        <v/>
      </c>
      <c r="T81" s="24">
        <f>$Q81*(1+$P81)</f>
        <v/>
      </c>
      <c r="U81" s="14">
        <f>INDEX(Inputs_prices!$E$7:$E$18,MATCH($I81,Inputs_prices!$A$7:$A$18,0))</f>
        <v/>
      </c>
      <c r="V81" s="13">
        <f>INDEX(Inputs_prices!$R$7:$R$18,MATCH($I81,Inputs_prices!$A$7:$A$18,0))</f>
        <v/>
      </c>
      <c r="W81" s="16">
        <f>INDEX(EFVal,MATCH(Settings!$C$4&amp;"|"&amp;$B81&amp;"|"&amp;$J81,EFKey,0))</f>
        <v/>
      </c>
      <c r="X81" s="44">
        <f>INDEX(ConsVal,MATCH(Settings!$C$4&amp;"|"&amp;Settings!$C$7&amp;"|"&amp;$C81&amp;"|"&amp;$B81,ConsKey,0))</f>
        <v/>
      </c>
      <c r="Y81" s="14">
        <f>INDEX(Mapping!$I$5:$I$20,MATCH($C81,SubKey,0))</f>
        <v/>
      </c>
      <c r="Z81" s="35">
        <f>INDEX(ECPCov,MATCH("ecs."&amp;$Y81,ECPKey,0))*INDEX(ECPCov,MATCH("ecf."&amp;$B81,ECPKey,0))</f>
        <v/>
      </c>
      <c r="AA81" s="35">
        <f>INDEX(ECPCov,MATCH("ees."&amp;$Y81,ECPKey,0))*INDEX(ECPCov,MATCH("eef."&amp;$B81,ECPKey,0))</f>
        <v/>
      </c>
    </row>
    <row r="82">
      <c r="A82" s="14">
        <f>$B82&amp;"|"&amp;$C82</f>
        <v/>
      </c>
      <c r="B82" s="22" t="inlineStr">
        <is>
          <t>ker</t>
        </is>
      </c>
      <c r="C82" s="22" t="inlineStr">
        <is>
          <t>nfm</t>
        </is>
      </c>
      <c r="D82" s="14">
        <f>INDEX(Mapping!$D$5:$D$20,MATCH($C82,SubKey,0))</f>
        <v/>
      </c>
      <c r="E82" s="14">
        <f>INDEX(Mapping!$C$30:$C$37,MATCH($B82,FuelKey,0))</f>
        <v/>
      </c>
      <c r="F82" s="14">
        <f>INDEX(Mapping!$D$30:$D$37,MATCH($B82,FuelKey,0))</f>
        <v/>
      </c>
      <c r="G82" s="14">
        <f>INDEX(Mapping!$E$30:$E$37,MATCH($B82,FuelKey,0))</f>
        <v/>
      </c>
      <c r="H82" s="14">
        <f>INDEX(Mapping!$F$5:$F$20,MATCH($C82,SubKey,0))</f>
        <v/>
      </c>
      <c r="I82" s="14">
        <f>$B82&amp;"."&amp;IF($G82="sub",$H82,"all")</f>
        <v/>
      </c>
      <c r="J82" s="14">
        <f>INDEX(Mapping!$E$5:$E$20,MATCH($C82,SubKey,0))</f>
        <v/>
      </c>
      <c r="K82" s="14">
        <f>INDEX(Mapping!$G$30:$G$37,MATCH($B82,FuelKey,0))</f>
        <v/>
      </c>
      <c r="L82" s="14">
        <f>INDEX(Mapping!$H$30:$H$37,MATCH($B82,FuelKey,0))</f>
        <v/>
      </c>
      <c r="M82" s="14">
        <f>INDEX(Mapping!$H$5:$H$20,MATCH($C82,SubKey,0))</f>
        <v/>
      </c>
      <c r="N82" s="14">
        <f>INDEX(Mapping!$E$50:$E$63,MATCH($I82,Mapping!$A$50:$A$63,0))</f>
        <v/>
      </c>
      <c r="O82" s="24">
        <f>INDEX(ElaVal,MATCH("inc|"&amp;$E82&amp;"|"&amp;$D82,ElaKey,0),MATCH(Settings!$C$6,ElaGroup,0))</f>
        <v/>
      </c>
      <c r="P82" s="24">
        <f>INDEX(ElaVal,MATCH("usg|"&amp;$E82&amp;"|"&amp;$D82,ElaKey,0),MATCH(Settings!$C$6,ElaGroup,0))</f>
        <v/>
      </c>
      <c r="Q82" s="24">
        <f>INDEX(ElaVal,MATCH("eff|"&amp;$E82&amp;"|"&amp;$D82,ElaKey,0),MATCH(Settings!$C$6,ElaGroup,0))</f>
        <v/>
      </c>
      <c r="R82" s="13">
        <f>INDEX(ElaVal,MATCH("aei|"&amp;$F82&amp;"|"&amp;$D82,ElaKey,0),MATCH(Settings!$C$6,ElaGroup,0))</f>
        <v/>
      </c>
      <c r="S82" s="16">
        <f>(1/(1+$R82))^(1+$P82)</f>
        <v/>
      </c>
      <c r="T82" s="24">
        <f>$Q82*(1+$P82)</f>
        <v/>
      </c>
      <c r="U82" s="14">
        <f>INDEX(Inputs_prices!$E$7:$E$18,MATCH($I82,Inputs_prices!$A$7:$A$18,0))</f>
        <v/>
      </c>
      <c r="V82" s="13">
        <f>INDEX(Inputs_prices!$R$7:$R$18,MATCH($I82,Inputs_prices!$A$7:$A$18,0))</f>
        <v/>
      </c>
      <c r="W82" s="16">
        <f>INDEX(EFVal,MATCH(Settings!$C$4&amp;"|"&amp;$B82&amp;"|"&amp;$J82,EFKey,0))</f>
        <v/>
      </c>
      <c r="X82" s="44">
        <f>INDEX(ConsVal,MATCH(Settings!$C$4&amp;"|"&amp;Settings!$C$7&amp;"|"&amp;$C82&amp;"|"&amp;$B82,ConsKey,0))</f>
        <v/>
      </c>
      <c r="Y82" s="14">
        <f>INDEX(Mapping!$I$5:$I$20,MATCH($C82,SubKey,0))</f>
        <v/>
      </c>
      <c r="Z82" s="35">
        <f>INDEX(ECPCov,MATCH("ecs."&amp;$Y82,ECPKey,0))*INDEX(ECPCov,MATCH("ecf."&amp;$B82,ECPKey,0))</f>
        <v/>
      </c>
      <c r="AA82" s="35">
        <f>INDEX(ECPCov,MATCH("ees."&amp;$Y82,ECPKey,0))*INDEX(ECPCov,MATCH("eef."&amp;$B82,ECPKey,0))</f>
        <v/>
      </c>
    </row>
    <row r="83">
      <c r="A83" s="14">
        <f>$B83&amp;"|"&amp;$C83</f>
        <v/>
      </c>
      <c r="B83" s="22" t="inlineStr">
        <is>
          <t>oop</t>
        </is>
      </c>
      <c r="C83" s="22" t="inlineStr">
        <is>
          <t>nfm</t>
        </is>
      </c>
      <c r="D83" s="14">
        <f>INDEX(Mapping!$D$5:$D$20,MATCH($C83,SubKey,0))</f>
        <v/>
      </c>
      <c r="E83" s="14">
        <f>INDEX(Mapping!$C$30:$C$37,MATCH($B83,FuelKey,0))</f>
        <v/>
      </c>
      <c r="F83" s="14">
        <f>INDEX(Mapping!$D$30:$D$37,MATCH($B83,FuelKey,0))</f>
        <v/>
      </c>
      <c r="G83" s="14">
        <f>INDEX(Mapping!$E$30:$E$37,MATCH($B83,FuelKey,0))</f>
        <v/>
      </c>
      <c r="H83" s="14">
        <f>INDEX(Mapping!$F$5:$F$20,MATCH($C83,SubKey,0))</f>
        <v/>
      </c>
      <c r="I83" s="14">
        <f>$B83&amp;"."&amp;IF($G83="sub",$H83,"all")</f>
        <v/>
      </c>
      <c r="J83" s="14">
        <f>INDEX(Mapping!$E$5:$E$20,MATCH($C83,SubKey,0))</f>
        <v/>
      </c>
      <c r="K83" s="14">
        <f>INDEX(Mapping!$G$30:$G$37,MATCH($B83,FuelKey,0))</f>
        <v/>
      </c>
      <c r="L83" s="14">
        <f>INDEX(Mapping!$H$30:$H$37,MATCH($B83,FuelKey,0))</f>
        <v/>
      </c>
      <c r="M83" s="14">
        <f>INDEX(Mapping!$H$5:$H$20,MATCH($C83,SubKey,0))</f>
        <v/>
      </c>
      <c r="N83" s="14">
        <f>INDEX(Mapping!$E$50:$E$63,MATCH($I83,Mapping!$A$50:$A$63,0))</f>
        <v/>
      </c>
      <c r="O83" s="24">
        <f>INDEX(ElaVal,MATCH("inc|"&amp;$E83&amp;"|"&amp;$D83,ElaKey,0),MATCH(Settings!$C$6,ElaGroup,0))</f>
        <v/>
      </c>
      <c r="P83" s="24">
        <f>INDEX(ElaVal,MATCH("usg|"&amp;$E83&amp;"|"&amp;$D83,ElaKey,0),MATCH(Settings!$C$6,ElaGroup,0))</f>
        <v/>
      </c>
      <c r="Q83" s="24">
        <f>INDEX(ElaVal,MATCH("eff|"&amp;$E83&amp;"|"&amp;$D83,ElaKey,0),MATCH(Settings!$C$6,ElaGroup,0))</f>
        <v/>
      </c>
      <c r="R83" s="13">
        <f>INDEX(ElaVal,MATCH("aei|"&amp;$F83&amp;"|"&amp;$D83,ElaKey,0),MATCH(Settings!$C$6,ElaGroup,0))</f>
        <v/>
      </c>
      <c r="S83" s="16">
        <f>(1/(1+$R83))^(1+$P83)</f>
        <v/>
      </c>
      <c r="T83" s="24">
        <f>$Q83*(1+$P83)</f>
        <v/>
      </c>
      <c r="U83" s="14">
        <f>INDEX(Inputs_prices!$E$7:$E$18,MATCH($I83,Inputs_prices!$A$7:$A$18,0))</f>
        <v/>
      </c>
      <c r="V83" s="13">
        <f>INDEX(Inputs_prices!$R$7:$R$18,MATCH($I83,Inputs_prices!$A$7:$A$18,0))</f>
        <v/>
      </c>
      <c r="W83" s="16">
        <f>INDEX(EFVal,MATCH(Settings!$C$4&amp;"|"&amp;$B83&amp;"|"&amp;$J83,EFKey,0))</f>
        <v/>
      </c>
      <c r="X83" s="44">
        <f>INDEX(ConsVal,MATCH(Settings!$C$4&amp;"|"&amp;Settings!$C$7&amp;"|"&amp;$C83&amp;"|"&amp;$B83,ConsKey,0))</f>
        <v/>
      </c>
      <c r="Y83" s="14">
        <f>INDEX(Mapping!$I$5:$I$20,MATCH($C83,SubKey,0))</f>
        <v/>
      </c>
      <c r="Z83" s="35">
        <f>INDEX(ECPCov,MATCH("ecs."&amp;$Y83,ECPKey,0))*INDEX(ECPCov,MATCH("ecf."&amp;$B83,ECPKey,0))</f>
        <v/>
      </c>
      <c r="AA83" s="35">
        <f>INDEX(ECPCov,MATCH("ees."&amp;$Y83,ECPKey,0))*INDEX(ECPCov,MATCH("eef."&amp;$B83,ECPKey,0))</f>
        <v/>
      </c>
    </row>
    <row r="84">
      <c r="A84" s="14">
        <f>$B84&amp;"|"&amp;$C84</f>
        <v/>
      </c>
      <c r="B84" s="22" t="inlineStr">
        <is>
          <t>bio</t>
        </is>
      </c>
      <c r="C84" s="22" t="inlineStr">
        <is>
          <t>nfm</t>
        </is>
      </c>
      <c r="D84" s="14">
        <f>INDEX(Mapping!$D$5:$D$20,MATCH($C84,SubKey,0))</f>
        <v/>
      </c>
      <c r="E84" s="14">
        <f>INDEX(Mapping!$C$30:$C$37,MATCH($B84,FuelKey,0))</f>
        <v/>
      </c>
      <c r="F84" s="14">
        <f>INDEX(Mapping!$D$30:$D$37,MATCH($B84,FuelKey,0))</f>
        <v/>
      </c>
      <c r="G84" s="14">
        <f>INDEX(Mapping!$E$30:$E$37,MATCH($B84,FuelKey,0))</f>
        <v/>
      </c>
      <c r="H84" s="14">
        <f>INDEX(Mapping!$F$5:$F$20,MATCH($C84,SubKey,0))</f>
        <v/>
      </c>
      <c r="I84" s="14">
        <f>$B84&amp;"."&amp;IF($G84="sub",$H84,"all")</f>
        <v/>
      </c>
      <c r="J84" s="14">
        <f>INDEX(Mapping!$E$5:$E$20,MATCH($C84,SubKey,0))</f>
        <v/>
      </c>
      <c r="K84" s="14">
        <f>INDEX(Mapping!$G$30:$G$37,MATCH($B84,FuelKey,0))</f>
        <v/>
      </c>
      <c r="L84" s="14">
        <f>INDEX(Mapping!$H$30:$H$37,MATCH($B84,FuelKey,0))</f>
        <v/>
      </c>
      <c r="M84" s="14">
        <f>INDEX(Mapping!$H$5:$H$20,MATCH($C84,SubKey,0))</f>
        <v/>
      </c>
      <c r="N84" s="14">
        <f>INDEX(Mapping!$E$50:$E$63,MATCH($I84,Mapping!$A$50:$A$63,0))</f>
        <v/>
      </c>
      <c r="O84" s="24">
        <f>INDEX(ElaVal,MATCH("inc|"&amp;$E84&amp;"|"&amp;$D84,ElaKey,0),MATCH(Settings!$C$6,ElaGroup,0))</f>
        <v/>
      </c>
      <c r="P84" s="24">
        <f>INDEX(ElaVal,MATCH("usg|"&amp;$E84&amp;"|"&amp;$D84,ElaKey,0),MATCH(Settings!$C$6,ElaGroup,0))</f>
        <v/>
      </c>
      <c r="Q84" s="24">
        <f>INDEX(ElaVal,MATCH("eff|"&amp;$E84&amp;"|"&amp;$D84,ElaKey,0),MATCH(Settings!$C$6,ElaGroup,0))</f>
        <v/>
      </c>
      <c r="R84" s="13">
        <f>INDEX(ElaVal,MATCH("aei|"&amp;$F84&amp;"|"&amp;$D84,ElaKey,0),MATCH(Settings!$C$6,ElaGroup,0))</f>
        <v/>
      </c>
      <c r="S84" s="16">
        <f>(1/(1+$R84))^(1+$P84)</f>
        <v/>
      </c>
      <c r="T84" s="24">
        <f>$Q84*(1+$P84)</f>
        <v/>
      </c>
      <c r="U84" s="14">
        <f>INDEX(Inputs_prices!$E$7:$E$18,MATCH($I84,Inputs_prices!$A$7:$A$18,0))</f>
        <v/>
      </c>
      <c r="V84" s="13">
        <f>INDEX(Inputs_prices!$R$7:$R$18,MATCH($I84,Inputs_prices!$A$7:$A$18,0))</f>
        <v/>
      </c>
      <c r="W84" s="16">
        <f>INDEX(EFVal,MATCH(Settings!$C$4&amp;"|"&amp;$B84&amp;"|"&amp;$J84,EFKey,0))</f>
        <v/>
      </c>
      <c r="X84" s="44">
        <f>INDEX(ConsVal,MATCH(Settings!$C$4&amp;"|"&amp;Settings!$C$7&amp;"|"&amp;$C84&amp;"|"&amp;$B84,ConsKey,0))</f>
        <v/>
      </c>
      <c r="Y84" s="14">
        <f>INDEX(Mapping!$I$5:$I$20,MATCH($C84,SubKey,0))</f>
        <v/>
      </c>
      <c r="Z84" s="35">
        <f>INDEX(ECPCov,MATCH("ecs."&amp;$Y84,ECPKey,0))*INDEX(ECPCov,MATCH("ecf."&amp;$B84,ECPKey,0))</f>
        <v/>
      </c>
      <c r="AA84" s="35">
        <f>INDEX(ECPCov,MATCH("ees."&amp;$Y84,ECPKey,0))*INDEX(ECPCov,MATCH("eef."&amp;$B84,ECPKey,0))</f>
        <v/>
      </c>
    </row>
    <row r="85">
      <c r="A85" s="14">
        <f>$B85&amp;"|"&amp;$C85</f>
        <v/>
      </c>
      <c r="B85" s="22" t="inlineStr">
        <is>
          <t>coa</t>
        </is>
      </c>
      <c r="C85" s="22" t="inlineStr">
        <is>
          <t>mac</t>
        </is>
      </c>
      <c r="D85" s="14">
        <f>INDEX(Mapping!$D$5:$D$20,MATCH($C85,SubKey,0))</f>
        <v/>
      </c>
      <c r="E85" s="14">
        <f>INDEX(Mapping!$C$30:$C$37,MATCH($B85,FuelKey,0))</f>
        <v/>
      </c>
      <c r="F85" s="14">
        <f>INDEX(Mapping!$D$30:$D$37,MATCH($B85,FuelKey,0))</f>
        <v/>
      </c>
      <c r="G85" s="14">
        <f>INDEX(Mapping!$E$30:$E$37,MATCH($B85,FuelKey,0))</f>
        <v/>
      </c>
      <c r="H85" s="14">
        <f>INDEX(Mapping!$F$5:$F$20,MATCH($C85,SubKey,0))</f>
        <v/>
      </c>
      <c r="I85" s="14">
        <f>$B85&amp;"."&amp;IF($G85="sub",$H85,"all")</f>
        <v/>
      </c>
      <c r="J85" s="14">
        <f>INDEX(Mapping!$E$5:$E$20,MATCH($C85,SubKey,0))</f>
        <v/>
      </c>
      <c r="K85" s="14">
        <f>INDEX(Mapping!$G$30:$G$37,MATCH($B85,FuelKey,0))</f>
        <v/>
      </c>
      <c r="L85" s="14">
        <f>INDEX(Mapping!$H$30:$H$37,MATCH($B85,FuelKey,0))</f>
        <v/>
      </c>
      <c r="M85" s="14">
        <f>INDEX(Mapping!$H$5:$H$20,MATCH($C85,SubKey,0))</f>
        <v/>
      </c>
      <c r="N85" s="14">
        <f>INDEX(Mapping!$E$50:$E$63,MATCH($I85,Mapping!$A$50:$A$63,0))</f>
        <v/>
      </c>
      <c r="O85" s="24">
        <f>INDEX(ElaVal,MATCH("inc|"&amp;$E85&amp;"|"&amp;$D85,ElaKey,0),MATCH(Settings!$C$6,ElaGroup,0))</f>
        <v/>
      </c>
      <c r="P85" s="24">
        <f>INDEX(ElaVal,MATCH("usg|"&amp;$E85&amp;"|"&amp;$D85,ElaKey,0),MATCH(Settings!$C$6,ElaGroup,0))</f>
        <v/>
      </c>
      <c r="Q85" s="24">
        <f>INDEX(ElaVal,MATCH("eff|"&amp;$E85&amp;"|"&amp;$D85,ElaKey,0),MATCH(Settings!$C$6,ElaGroup,0))</f>
        <v/>
      </c>
      <c r="R85" s="13">
        <f>INDEX(ElaVal,MATCH("aei|"&amp;$F85&amp;"|"&amp;$D85,ElaKey,0),MATCH(Settings!$C$6,ElaGroup,0))</f>
        <v/>
      </c>
      <c r="S85" s="16">
        <f>(1/(1+$R85))^(1+$P85)</f>
        <v/>
      </c>
      <c r="T85" s="24">
        <f>$Q85*(1+$P85)</f>
        <v/>
      </c>
      <c r="U85" s="14">
        <f>INDEX(Inputs_prices!$E$7:$E$18,MATCH($I85,Inputs_prices!$A$7:$A$18,0))</f>
        <v/>
      </c>
      <c r="V85" s="13">
        <f>INDEX(Inputs_prices!$R$7:$R$18,MATCH($I85,Inputs_prices!$A$7:$A$18,0))</f>
        <v/>
      </c>
      <c r="W85" s="16">
        <f>INDEX(EFVal,MATCH(Settings!$C$4&amp;"|"&amp;$B85&amp;"|"&amp;$J85,EFKey,0))</f>
        <v/>
      </c>
      <c r="X85" s="44">
        <f>INDEX(ConsVal,MATCH(Settings!$C$4&amp;"|"&amp;Settings!$C$7&amp;"|"&amp;$C85&amp;"|"&amp;$B85,ConsKey,0))</f>
        <v/>
      </c>
      <c r="Y85" s="14">
        <f>INDEX(Mapping!$I$5:$I$20,MATCH($C85,SubKey,0))</f>
        <v/>
      </c>
      <c r="Z85" s="35">
        <f>INDEX(ECPCov,MATCH("ecs."&amp;$Y85,ECPKey,0))*INDEX(ECPCov,MATCH("ecf."&amp;$B85,ECPKey,0))</f>
        <v/>
      </c>
      <c r="AA85" s="35">
        <f>INDEX(ECPCov,MATCH("ees."&amp;$Y85,ECPKey,0))*INDEX(ECPCov,MATCH("eef."&amp;$B85,ECPKey,0))</f>
        <v/>
      </c>
    </row>
    <row r="86">
      <c r="A86" s="14">
        <f>$B86&amp;"|"&amp;$C86</f>
        <v/>
      </c>
      <c r="B86" s="22" t="inlineStr">
        <is>
          <t>nga</t>
        </is>
      </c>
      <c r="C86" s="22" t="inlineStr">
        <is>
          <t>mac</t>
        </is>
      </c>
      <c r="D86" s="14">
        <f>INDEX(Mapping!$D$5:$D$20,MATCH($C86,SubKey,0))</f>
        <v/>
      </c>
      <c r="E86" s="14">
        <f>INDEX(Mapping!$C$30:$C$37,MATCH($B86,FuelKey,0))</f>
        <v/>
      </c>
      <c r="F86" s="14">
        <f>INDEX(Mapping!$D$30:$D$37,MATCH($B86,FuelKey,0))</f>
        <v/>
      </c>
      <c r="G86" s="14">
        <f>INDEX(Mapping!$E$30:$E$37,MATCH($B86,FuelKey,0))</f>
        <v/>
      </c>
      <c r="H86" s="14">
        <f>INDEX(Mapping!$F$5:$F$20,MATCH($C86,SubKey,0))</f>
        <v/>
      </c>
      <c r="I86" s="14">
        <f>$B86&amp;"."&amp;IF($G86="sub",$H86,"all")</f>
        <v/>
      </c>
      <c r="J86" s="14">
        <f>INDEX(Mapping!$E$5:$E$20,MATCH($C86,SubKey,0))</f>
        <v/>
      </c>
      <c r="K86" s="14">
        <f>INDEX(Mapping!$G$30:$G$37,MATCH($B86,FuelKey,0))</f>
        <v/>
      </c>
      <c r="L86" s="14">
        <f>INDEX(Mapping!$H$30:$H$37,MATCH($B86,FuelKey,0))</f>
        <v/>
      </c>
      <c r="M86" s="14">
        <f>INDEX(Mapping!$H$5:$H$20,MATCH($C86,SubKey,0))</f>
        <v/>
      </c>
      <c r="N86" s="14">
        <f>INDEX(Mapping!$E$50:$E$63,MATCH($I86,Mapping!$A$50:$A$63,0))</f>
        <v/>
      </c>
      <c r="O86" s="24">
        <f>INDEX(ElaVal,MATCH("inc|"&amp;$E86&amp;"|"&amp;$D86,ElaKey,0),MATCH(Settings!$C$6,ElaGroup,0))</f>
        <v/>
      </c>
      <c r="P86" s="24">
        <f>INDEX(ElaVal,MATCH("usg|"&amp;$E86&amp;"|"&amp;$D86,ElaKey,0),MATCH(Settings!$C$6,ElaGroup,0))</f>
        <v/>
      </c>
      <c r="Q86" s="24">
        <f>INDEX(ElaVal,MATCH("eff|"&amp;$E86&amp;"|"&amp;$D86,ElaKey,0),MATCH(Settings!$C$6,ElaGroup,0))</f>
        <v/>
      </c>
      <c r="R86" s="13">
        <f>INDEX(ElaVal,MATCH("aei|"&amp;$F86&amp;"|"&amp;$D86,ElaKey,0),MATCH(Settings!$C$6,ElaGroup,0))</f>
        <v/>
      </c>
      <c r="S86" s="16">
        <f>(1/(1+$R86))^(1+$P86)</f>
        <v/>
      </c>
      <c r="T86" s="24">
        <f>$Q86*(1+$P86)</f>
        <v/>
      </c>
      <c r="U86" s="14">
        <f>INDEX(Inputs_prices!$E$7:$E$18,MATCH($I86,Inputs_prices!$A$7:$A$18,0))</f>
        <v/>
      </c>
      <c r="V86" s="13">
        <f>INDEX(Inputs_prices!$R$7:$R$18,MATCH($I86,Inputs_prices!$A$7:$A$18,0))</f>
        <v/>
      </c>
      <c r="W86" s="16">
        <f>INDEX(EFVal,MATCH(Settings!$C$4&amp;"|"&amp;$B86&amp;"|"&amp;$J86,EFKey,0))</f>
        <v/>
      </c>
      <c r="X86" s="44">
        <f>INDEX(ConsVal,MATCH(Settings!$C$4&amp;"|"&amp;Settings!$C$7&amp;"|"&amp;$C86&amp;"|"&amp;$B86,ConsKey,0))</f>
        <v/>
      </c>
      <c r="Y86" s="14">
        <f>INDEX(Mapping!$I$5:$I$20,MATCH($C86,SubKey,0))</f>
        <v/>
      </c>
      <c r="Z86" s="35">
        <f>INDEX(ECPCov,MATCH("ecs."&amp;$Y86,ECPKey,0))*INDEX(ECPCov,MATCH("ecf."&amp;$B86,ECPKey,0))</f>
        <v/>
      </c>
      <c r="AA86" s="35">
        <f>INDEX(ECPCov,MATCH("ees."&amp;$Y86,ECPKey,0))*INDEX(ECPCov,MATCH("eef."&amp;$B86,ECPKey,0))</f>
        <v/>
      </c>
    </row>
    <row r="87">
      <c r="A87" s="14">
        <f>$B87&amp;"|"&amp;$C87</f>
        <v/>
      </c>
      <c r="B87" s="22" t="inlineStr">
        <is>
          <t>gso</t>
        </is>
      </c>
      <c r="C87" s="22" t="inlineStr">
        <is>
          <t>mac</t>
        </is>
      </c>
      <c r="D87" s="14">
        <f>INDEX(Mapping!$D$5:$D$20,MATCH($C87,SubKey,0))</f>
        <v/>
      </c>
      <c r="E87" s="14">
        <f>INDEX(Mapping!$C$30:$C$37,MATCH($B87,FuelKey,0))</f>
        <v/>
      </c>
      <c r="F87" s="14">
        <f>INDEX(Mapping!$D$30:$D$37,MATCH($B87,FuelKey,0))</f>
        <v/>
      </c>
      <c r="G87" s="14">
        <f>INDEX(Mapping!$E$30:$E$37,MATCH($B87,FuelKey,0))</f>
        <v/>
      </c>
      <c r="H87" s="14">
        <f>INDEX(Mapping!$F$5:$F$20,MATCH($C87,SubKey,0))</f>
        <v/>
      </c>
      <c r="I87" s="14">
        <f>$B87&amp;"."&amp;IF($G87="sub",$H87,"all")</f>
        <v/>
      </c>
      <c r="J87" s="14">
        <f>INDEX(Mapping!$E$5:$E$20,MATCH($C87,SubKey,0))</f>
        <v/>
      </c>
      <c r="K87" s="14">
        <f>INDEX(Mapping!$G$30:$G$37,MATCH($B87,FuelKey,0))</f>
        <v/>
      </c>
      <c r="L87" s="14">
        <f>INDEX(Mapping!$H$30:$H$37,MATCH($B87,FuelKey,0))</f>
        <v/>
      </c>
      <c r="M87" s="14">
        <f>INDEX(Mapping!$H$5:$H$20,MATCH($C87,SubKey,0))</f>
        <v/>
      </c>
      <c r="N87" s="14">
        <f>INDEX(Mapping!$E$50:$E$63,MATCH($I87,Mapping!$A$50:$A$63,0))</f>
        <v/>
      </c>
      <c r="O87" s="24">
        <f>INDEX(ElaVal,MATCH("inc|"&amp;$E87&amp;"|"&amp;$D87,ElaKey,0),MATCH(Settings!$C$6,ElaGroup,0))</f>
        <v/>
      </c>
      <c r="P87" s="24">
        <f>INDEX(ElaVal,MATCH("usg|"&amp;$E87&amp;"|"&amp;$D87,ElaKey,0),MATCH(Settings!$C$6,ElaGroup,0))</f>
        <v/>
      </c>
      <c r="Q87" s="24">
        <f>INDEX(ElaVal,MATCH("eff|"&amp;$E87&amp;"|"&amp;$D87,ElaKey,0),MATCH(Settings!$C$6,ElaGroup,0))</f>
        <v/>
      </c>
      <c r="R87" s="13">
        <f>INDEX(ElaVal,MATCH("aei|"&amp;$F87&amp;"|"&amp;$D87,ElaKey,0),MATCH(Settings!$C$6,ElaGroup,0))</f>
        <v/>
      </c>
      <c r="S87" s="16">
        <f>(1/(1+$R87))^(1+$P87)</f>
        <v/>
      </c>
      <c r="T87" s="24">
        <f>$Q87*(1+$P87)</f>
        <v/>
      </c>
      <c r="U87" s="14">
        <f>INDEX(Inputs_prices!$E$7:$E$18,MATCH($I87,Inputs_prices!$A$7:$A$18,0))</f>
        <v/>
      </c>
      <c r="V87" s="13">
        <f>INDEX(Inputs_prices!$R$7:$R$18,MATCH($I87,Inputs_prices!$A$7:$A$18,0))</f>
        <v/>
      </c>
      <c r="W87" s="16">
        <f>INDEX(EFVal,MATCH(Settings!$C$4&amp;"|"&amp;$B87&amp;"|"&amp;$J87,EFKey,0))</f>
        <v/>
      </c>
      <c r="X87" s="44">
        <f>INDEX(ConsVal,MATCH(Settings!$C$4&amp;"|"&amp;Settings!$C$7&amp;"|"&amp;$C87&amp;"|"&amp;$B87,ConsKey,0))</f>
        <v/>
      </c>
      <c r="Y87" s="14">
        <f>INDEX(Mapping!$I$5:$I$20,MATCH($C87,SubKey,0))</f>
        <v/>
      </c>
      <c r="Z87" s="35">
        <f>INDEX(ECPCov,MATCH("ecs."&amp;$Y87,ECPKey,0))*INDEX(ECPCov,MATCH("ecf."&amp;$B87,ECPKey,0))</f>
        <v/>
      </c>
      <c r="AA87" s="35">
        <f>INDEX(ECPCov,MATCH("ees."&amp;$Y87,ECPKey,0))*INDEX(ECPCov,MATCH("eef."&amp;$B87,ECPKey,0))</f>
        <v/>
      </c>
    </row>
    <row r="88">
      <c r="A88" s="14">
        <f>$B88&amp;"|"&amp;$C88</f>
        <v/>
      </c>
      <c r="B88" s="22" t="inlineStr">
        <is>
          <t>die</t>
        </is>
      </c>
      <c r="C88" s="22" t="inlineStr">
        <is>
          <t>mac</t>
        </is>
      </c>
      <c r="D88" s="14">
        <f>INDEX(Mapping!$D$5:$D$20,MATCH($C88,SubKey,0))</f>
        <v/>
      </c>
      <c r="E88" s="14">
        <f>INDEX(Mapping!$C$30:$C$37,MATCH($B88,FuelKey,0))</f>
        <v/>
      </c>
      <c r="F88" s="14">
        <f>INDEX(Mapping!$D$30:$D$37,MATCH($B88,FuelKey,0))</f>
        <v/>
      </c>
      <c r="G88" s="14">
        <f>INDEX(Mapping!$E$30:$E$37,MATCH($B88,FuelKey,0))</f>
        <v/>
      </c>
      <c r="H88" s="14">
        <f>INDEX(Mapping!$F$5:$F$20,MATCH($C88,SubKey,0))</f>
        <v/>
      </c>
      <c r="I88" s="14">
        <f>$B88&amp;"."&amp;IF($G88="sub",$H88,"all")</f>
        <v/>
      </c>
      <c r="J88" s="14">
        <f>INDEX(Mapping!$E$5:$E$20,MATCH($C88,SubKey,0))</f>
        <v/>
      </c>
      <c r="K88" s="14">
        <f>INDEX(Mapping!$G$30:$G$37,MATCH($B88,FuelKey,0))</f>
        <v/>
      </c>
      <c r="L88" s="14">
        <f>INDEX(Mapping!$H$30:$H$37,MATCH($B88,FuelKey,0))</f>
        <v/>
      </c>
      <c r="M88" s="14">
        <f>INDEX(Mapping!$H$5:$H$20,MATCH($C88,SubKey,0))</f>
        <v/>
      </c>
      <c r="N88" s="14">
        <f>INDEX(Mapping!$E$50:$E$63,MATCH($I88,Mapping!$A$50:$A$63,0))</f>
        <v/>
      </c>
      <c r="O88" s="24">
        <f>INDEX(ElaVal,MATCH("inc|"&amp;$E88&amp;"|"&amp;$D88,ElaKey,0),MATCH(Settings!$C$6,ElaGroup,0))</f>
        <v/>
      </c>
      <c r="P88" s="24">
        <f>INDEX(ElaVal,MATCH("usg|"&amp;$E88&amp;"|"&amp;$D88,ElaKey,0),MATCH(Settings!$C$6,ElaGroup,0))</f>
        <v/>
      </c>
      <c r="Q88" s="24">
        <f>INDEX(ElaVal,MATCH("eff|"&amp;$E88&amp;"|"&amp;$D88,ElaKey,0),MATCH(Settings!$C$6,ElaGroup,0))</f>
        <v/>
      </c>
      <c r="R88" s="13">
        <f>INDEX(ElaVal,MATCH("aei|"&amp;$F88&amp;"|"&amp;$D88,ElaKey,0),MATCH(Settings!$C$6,ElaGroup,0))</f>
        <v/>
      </c>
      <c r="S88" s="16">
        <f>(1/(1+$R88))^(1+$P88)</f>
        <v/>
      </c>
      <c r="T88" s="24">
        <f>$Q88*(1+$P88)</f>
        <v/>
      </c>
      <c r="U88" s="14">
        <f>INDEX(Inputs_prices!$E$7:$E$18,MATCH($I88,Inputs_prices!$A$7:$A$18,0))</f>
        <v/>
      </c>
      <c r="V88" s="13">
        <f>INDEX(Inputs_prices!$R$7:$R$18,MATCH($I88,Inputs_prices!$A$7:$A$18,0))</f>
        <v/>
      </c>
      <c r="W88" s="16">
        <f>INDEX(EFVal,MATCH(Settings!$C$4&amp;"|"&amp;$B88&amp;"|"&amp;$J88,EFKey,0))</f>
        <v/>
      </c>
      <c r="X88" s="44">
        <f>INDEX(ConsVal,MATCH(Settings!$C$4&amp;"|"&amp;Settings!$C$7&amp;"|"&amp;$C88&amp;"|"&amp;$B88,ConsKey,0))</f>
        <v/>
      </c>
      <c r="Y88" s="14">
        <f>INDEX(Mapping!$I$5:$I$20,MATCH($C88,SubKey,0))</f>
        <v/>
      </c>
      <c r="Z88" s="35">
        <f>INDEX(ECPCov,MATCH("ecs."&amp;$Y88,ECPKey,0))*INDEX(ECPCov,MATCH("ecf."&amp;$B88,ECPKey,0))</f>
        <v/>
      </c>
      <c r="AA88" s="35">
        <f>INDEX(ECPCov,MATCH("ees."&amp;$Y88,ECPKey,0))*INDEX(ECPCov,MATCH("eef."&amp;$B88,ECPKey,0))</f>
        <v/>
      </c>
    </row>
    <row r="89">
      <c r="A89" s="14">
        <f>$B89&amp;"|"&amp;$C89</f>
        <v/>
      </c>
      <c r="B89" s="22" t="inlineStr">
        <is>
          <t>lpg</t>
        </is>
      </c>
      <c r="C89" s="22" t="inlineStr">
        <is>
          <t>mac</t>
        </is>
      </c>
      <c r="D89" s="14">
        <f>INDEX(Mapping!$D$5:$D$20,MATCH($C89,SubKey,0))</f>
        <v/>
      </c>
      <c r="E89" s="14">
        <f>INDEX(Mapping!$C$30:$C$37,MATCH($B89,FuelKey,0))</f>
        <v/>
      </c>
      <c r="F89" s="14">
        <f>INDEX(Mapping!$D$30:$D$37,MATCH($B89,FuelKey,0))</f>
        <v/>
      </c>
      <c r="G89" s="14">
        <f>INDEX(Mapping!$E$30:$E$37,MATCH($B89,FuelKey,0))</f>
        <v/>
      </c>
      <c r="H89" s="14">
        <f>INDEX(Mapping!$F$5:$F$20,MATCH($C89,SubKey,0))</f>
        <v/>
      </c>
      <c r="I89" s="14">
        <f>$B89&amp;"."&amp;IF($G89="sub",$H89,"all")</f>
        <v/>
      </c>
      <c r="J89" s="14">
        <f>INDEX(Mapping!$E$5:$E$20,MATCH($C89,SubKey,0))</f>
        <v/>
      </c>
      <c r="K89" s="14">
        <f>INDEX(Mapping!$G$30:$G$37,MATCH($B89,FuelKey,0))</f>
        <v/>
      </c>
      <c r="L89" s="14">
        <f>INDEX(Mapping!$H$30:$H$37,MATCH($B89,FuelKey,0))</f>
        <v/>
      </c>
      <c r="M89" s="14">
        <f>INDEX(Mapping!$H$5:$H$20,MATCH($C89,SubKey,0))</f>
        <v/>
      </c>
      <c r="N89" s="14">
        <f>INDEX(Mapping!$E$50:$E$63,MATCH($I89,Mapping!$A$50:$A$63,0))</f>
        <v/>
      </c>
      <c r="O89" s="24">
        <f>INDEX(ElaVal,MATCH("inc|"&amp;$E89&amp;"|"&amp;$D89,ElaKey,0),MATCH(Settings!$C$6,ElaGroup,0))</f>
        <v/>
      </c>
      <c r="P89" s="24">
        <f>INDEX(ElaVal,MATCH("usg|"&amp;$E89&amp;"|"&amp;$D89,ElaKey,0),MATCH(Settings!$C$6,ElaGroup,0))</f>
        <v/>
      </c>
      <c r="Q89" s="24">
        <f>INDEX(ElaVal,MATCH("eff|"&amp;$E89&amp;"|"&amp;$D89,ElaKey,0),MATCH(Settings!$C$6,ElaGroup,0))</f>
        <v/>
      </c>
      <c r="R89" s="13">
        <f>INDEX(ElaVal,MATCH("aei|"&amp;$F89&amp;"|"&amp;$D89,ElaKey,0),MATCH(Settings!$C$6,ElaGroup,0))</f>
        <v/>
      </c>
      <c r="S89" s="16">
        <f>(1/(1+$R89))^(1+$P89)</f>
        <v/>
      </c>
      <c r="T89" s="24">
        <f>$Q89*(1+$P89)</f>
        <v/>
      </c>
      <c r="U89" s="14">
        <f>INDEX(Inputs_prices!$E$7:$E$18,MATCH($I89,Inputs_prices!$A$7:$A$18,0))</f>
        <v/>
      </c>
      <c r="V89" s="13">
        <f>INDEX(Inputs_prices!$R$7:$R$18,MATCH($I89,Inputs_prices!$A$7:$A$18,0))</f>
        <v/>
      </c>
      <c r="W89" s="16">
        <f>INDEX(EFVal,MATCH(Settings!$C$4&amp;"|"&amp;$B89&amp;"|"&amp;$J89,EFKey,0))</f>
        <v/>
      </c>
      <c r="X89" s="44">
        <f>INDEX(ConsVal,MATCH(Settings!$C$4&amp;"|"&amp;Settings!$C$7&amp;"|"&amp;$C89&amp;"|"&amp;$B89,ConsKey,0))</f>
        <v/>
      </c>
      <c r="Y89" s="14">
        <f>INDEX(Mapping!$I$5:$I$20,MATCH($C89,SubKey,0))</f>
        <v/>
      </c>
      <c r="Z89" s="35">
        <f>INDEX(ECPCov,MATCH("ecs."&amp;$Y89,ECPKey,0))*INDEX(ECPCov,MATCH("ecf."&amp;$B89,ECPKey,0))</f>
        <v/>
      </c>
      <c r="AA89" s="35">
        <f>INDEX(ECPCov,MATCH("ees."&amp;$Y89,ECPKey,0))*INDEX(ECPCov,MATCH("eef."&amp;$B89,ECPKey,0))</f>
        <v/>
      </c>
    </row>
    <row r="90">
      <c r="A90" s="14">
        <f>$B90&amp;"|"&amp;$C90</f>
        <v/>
      </c>
      <c r="B90" s="22" t="inlineStr">
        <is>
          <t>ker</t>
        </is>
      </c>
      <c r="C90" s="22" t="inlineStr">
        <is>
          <t>mac</t>
        </is>
      </c>
      <c r="D90" s="14">
        <f>INDEX(Mapping!$D$5:$D$20,MATCH($C90,SubKey,0))</f>
        <v/>
      </c>
      <c r="E90" s="14">
        <f>INDEX(Mapping!$C$30:$C$37,MATCH($B90,FuelKey,0))</f>
        <v/>
      </c>
      <c r="F90" s="14">
        <f>INDEX(Mapping!$D$30:$D$37,MATCH($B90,FuelKey,0))</f>
        <v/>
      </c>
      <c r="G90" s="14">
        <f>INDEX(Mapping!$E$30:$E$37,MATCH($B90,FuelKey,0))</f>
        <v/>
      </c>
      <c r="H90" s="14">
        <f>INDEX(Mapping!$F$5:$F$20,MATCH($C90,SubKey,0))</f>
        <v/>
      </c>
      <c r="I90" s="14">
        <f>$B90&amp;"."&amp;IF($G90="sub",$H90,"all")</f>
        <v/>
      </c>
      <c r="J90" s="14">
        <f>INDEX(Mapping!$E$5:$E$20,MATCH($C90,SubKey,0))</f>
        <v/>
      </c>
      <c r="K90" s="14">
        <f>INDEX(Mapping!$G$30:$G$37,MATCH($B90,FuelKey,0))</f>
        <v/>
      </c>
      <c r="L90" s="14">
        <f>INDEX(Mapping!$H$30:$H$37,MATCH($B90,FuelKey,0))</f>
        <v/>
      </c>
      <c r="M90" s="14">
        <f>INDEX(Mapping!$H$5:$H$20,MATCH($C90,SubKey,0))</f>
        <v/>
      </c>
      <c r="N90" s="14">
        <f>INDEX(Mapping!$E$50:$E$63,MATCH($I90,Mapping!$A$50:$A$63,0))</f>
        <v/>
      </c>
      <c r="O90" s="24">
        <f>INDEX(ElaVal,MATCH("inc|"&amp;$E90&amp;"|"&amp;$D90,ElaKey,0),MATCH(Settings!$C$6,ElaGroup,0))</f>
        <v/>
      </c>
      <c r="P90" s="24">
        <f>INDEX(ElaVal,MATCH("usg|"&amp;$E90&amp;"|"&amp;$D90,ElaKey,0),MATCH(Settings!$C$6,ElaGroup,0))</f>
        <v/>
      </c>
      <c r="Q90" s="24">
        <f>INDEX(ElaVal,MATCH("eff|"&amp;$E90&amp;"|"&amp;$D90,ElaKey,0),MATCH(Settings!$C$6,ElaGroup,0))</f>
        <v/>
      </c>
      <c r="R90" s="13">
        <f>INDEX(ElaVal,MATCH("aei|"&amp;$F90&amp;"|"&amp;$D90,ElaKey,0),MATCH(Settings!$C$6,ElaGroup,0))</f>
        <v/>
      </c>
      <c r="S90" s="16">
        <f>(1/(1+$R90))^(1+$P90)</f>
        <v/>
      </c>
      <c r="T90" s="24">
        <f>$Q90*(1+$P90)</f>
        <v/>
      </c>
      <c r="U90" s="14">
        <f>INDEX(Inputs_prices!$E$7:$E$18,MATCH($I90,Inputs_prices!$A$7:$A$18,0))</f>
        <v/>
      </c>
      <c r="V90" s="13">
        <f>INDEX(Inputs_prices!$R$7:$R$18,MATCH($I90,Inputs_prices!$A$7:$A$18,0))</f>
        <v/>
      </c>
      <c r="W90" s="16">
        <f>INDEX(EFVal,MATCH(Settings!$C$4&amp;"|"&amp;$B90&amp;"|"&amp;$J90,EFKey,0))</f>
        <v/>
      </c>
      <c r="X90" s="44">
        <f>INDEX(ConsVal,MATCH(Settings!$C$4&amp;"|"&amp;Settings!$C$7&amp;"|"&amp;$C90&amp;"|"&amp;$B90,ConsKey,0))</f>
        <v/>
      </c>
      <c r="Y90" s="14">
        <f>INDEX(Mapping!$I$5:$I$20,MATCH($C90,SubKey,0))</f>
        <v/>
      </c>
      <c r="Z90" s="35">
        <f>INDEX(ECPCov,MATCH("ecs."&amp;$Y90,ECPKey,0))*INDEX(ECPCov,MATCH("ecf."&amp;$B90,ECPKey,0))</f>
        <v/>
      </c>
      <c r="AA90" s="35">
        <f>INDEX(ECPCov,MATCH("ees."&amp;$Y90,ECPKey,0))*INDEX(ECPCov,MATCH("eef."&amp;$B90,ECPKey,0))</f>
        <v/>
      </c>
    </row>
    <row r="91">
      <c r="A91" s="14">
        <f>$B91&amp;"|"&amp;$C91</f>
        <v/>
      </c>
      <c r="B91" s="22" t="inlineStr">
        <is>
          <t>oop</t>
        </is>
      </c>
      <c r="C91" s="22" t="inlineStr">
        <is>
          <t>mac</t>
        </is>
      </c>
      <c r="D91" s="14">
        <f>INDEX(Mapping!$D$5:$D$20,MATCH($C91,SubKey,0))</f>
        <v/>
      </c>
      <c r="E91" s="14">
        <f>INDEX(Mapping!$C$30:$C$37,MATCH($B91,FuelKey,0))</f>
        <v/>
      </c>
      <c r="F91" s="14">
        <f>INDEX(Mapping!$D$30:$D$37,MATCH($B91,FuelKey,0))</f>
        <v/>
      </c>
      <c r="G91" s="14">
        <f>INDEX(Mapping!$E$30:$E$37,MATCH($B91,FuelKey,0))</f>
        <v/>
      </c>
      <c r="H91" s="14">
        <f>INDEX(Mapping!$F$5:$F$20,MATCH($C91,SubKey,0))</f>
        <v/>
      </c>
      <c r="I91" s="14">
        <f>$B91&amp;"."&amp;IF($G91="sub",$H91,"all")</f>
        <v/>
      </c>
      <c r="J91" s="14">
        <f>INDEX(Mapping!$E$5:$E$20,MATCH($C91,SubKey,0))</f>
        <v/>
      </c>
      <c r="K91" s="14">
        <f>INDEX(Mapping!$G$30:$G$37,MATCH($B91,FuelKey,0))</f>
        <v/>
      </c>
      <c r="L91" s="14">
        <f>INDEX(Mapping!$H$30:$H$37,MATCH($B91,FuelKey,0))</f>
        <v/>
      </c>
      <c r="M91" s="14">
        <f>INDEX(Mapping!$H$5:$H$20,MATCH($C91,SubKey,0))</f>
        <v/>
      </c>
      <c r="N91" s="14">
        <f>INDEX(Mapping!$E$50:$E$63,MATCH($I91,Mapping!$A$50:$A$63,0))</f>
        <v/>
      </c>
      <c r="O91" s="24">
        <f>INDEX(ElaVal,MATCH("inc|"&amp;$E91&amp;"|"&amp;$D91,ElaKey,0),MATCH(Settings!$C$6,ElaGroup,0))</f>
        <v/>
      </c>
      <c r="P91" s="24">
        <f>INDEX(ElaVal,MATCH("usg|"&amp;$E91&amp;"|"&amp;$D91,ElaKey,0),MATCH(Settings!$C$6,ElaGroup,0))</f>
        <v/>
      </c>
      <c r="Q91" s="24">
        <f>INDEX(ElaVal,MATCH("eff|"&amp;$E91&amp;"|"&amp;$D91,ElaKey,0),MATCH(Settings!$C$6,ElaGroup,0))</f>
        <v/>
      </c>
      <c r="R91" s="13">
        <f>INDEX(ElaVal,MATCH("aei|"&amp;$F91&amp;"|"&amp;$D91,ElaKey,0),MATCH(Settings!$C$6,ElaGroup,0))</f>
        <v/>
      </c>
      <c r="S91" s="16">
        <f>(1/(1+$R91))^(1+$P91)</f>
        <v/>
      </c>
      <c r="T91" s="24">
        <f>$Q91*(1+$P91)</f>
        <v/>
      </c>
      <c r="U91" s="14">
        <f>INDEX(Inputs_prices!$E$7:$E$18,MATCH($I91,Inputs_prices!$A$7:$A$18,0))</f>
        <v/>
      </c>
      <c r="V91" s="13">
        <f>INDEX(Inputs_prices!$R$7:$R$18,MATCH($I91,Inputs_prices!$A$7:$A$18,0))</f>
        <v/>
      </c>
      <c r="W91" s="16">
        <f>INDEX(EFVal,MATCH(Settings!$C$4&amp;"|"&amp;$B91&amp;"|"&amp;$J91,EFKey,0))</f>
        <v/>
      </c>
      <c r="X91" s="44">
        <f>INDEX(ConsVal,MATCH(Settings!$C$4&amp;"|"&amp;Settings!$C$7&amp;"|"&amp;$C91&amp;"|"&amp;$B91,ConsKey,0))</f>
        <v/>
      </c>
      <c r="Y91" s="14">
        <f>INDEX(Mapping!$I$5:$I$20,MATCH($C91,SubKey,0))</f>
        <v/>
      </c>
      <c r="Z91" s="35">
        <f>INDEX(ECPCov,MATCH("ecs."&amp;$Y91,ECPKey,0))*INDEX(ECPCov,MATCH("ecf."&amp;$B91,ECPKey,0))</f>
        <v/>
      </c>
      <c r="AA91" s="35">
        <f>INDEX(ECPCov,MATCH("ees."&amp;$Y91,ECPKey,0))*INDEX(ECPCov,MATCH("eef."&amp;$B91,ECPKey,0))</f>
        <v/>
      </c>
    </row>
    <row r="92">
      <c r="A92" s="14">
        <f>$B92&amp;"|"&amp;$C92</f>
        <v/>
      </c>
      <c r="B92" s="22" t="inlineStr">
        <is>
          <t>bio</t>
        </is>
      </c>
      <c r="C92" s="22" t="inlineStr">
        <is>
          <t>mac</t>
        </is>
      </c>
      <c r="D92" s="14">
        <f>INDEX(Mapping!$D$5:$D$20,MATCH($C92,SubKey,0))</f>
        <v/>
      </c>
      <c r="E92" s="14">
        <f>INDEX(Mapping!$C$30:$C$37,MATCH($B92,FuelKey,0))</f>
        <v/>
      </c>
      <c r="F92" s="14">
        <f>INDEX(Mapping!$D$30:$D$37,MATCH($B92,FuelKey,0))</f>
        <v/>
      </c>
      <c r="G92" s="14">
        <f>INDEX(Mapping!$E$30:$E$37,MATCH($B92,FuelKey,0))</f>
        <v/>
      </c>
      <c r="H92" s="14">
        <f>INDEX(Mapping!$F$5:$F$20,MATCH($C92,SubKey,0))</f>
        <v/>
      </c>
      <c r="I92" s="14">
        <f>$B92&amp;"."&amp;IF($G92="sub",$H92,"all")</f>
        <v/>
      </c>
      <c r="J92" s="14">
        <f>INDEX(Mapping!$E$5:$E$20,MATCH($C92,SubKey,0))</f>
        <v/>
      </c>
      <c r="K92" s="14">
        <f>INDEX(Mapping!$G$30:$G$37,MATCH($B92,FuelKey,0))</f>
        <v/>
      </c>
      <c r="L92" s="14">
        <f>INDEX(Mapping!$H$30:$H$37,MATCH($B92,FuelKey,0))</f>
        <v/>
      </c>
      <c r="M92" s="14">
        <f>INDEX(Mapping!$H$5:$H$20,MATCH($C92,SubKey,0))</f>
        <v/>
      </c>
      <c r="N92" s="14">
        <f>INDEX(Mapping!$E$50:$E$63,MATCH($I92,Mapping!$A$50:$A$63,0))</f>
        <v/>
      </c>
      <c r="O92" s="24">
        <f>INDEX(ElaVal,MATCH("inc|"&amp;$E92&amp;"|"&amp;$D92,ElaKey,0),MATCH(Settings!$C$6,ElaGroup,0))</f>
        <v/>
      </c>
      <c r="P92" s="24">
        <f>INDEX(ElaVal,MATCH("usg|"&amp;$E92&amp;"|"&amp;$D92,ElaKey,0),MATCH(Settings!$C$6,ElaGroup,0))</f>
        <v/>
      </c>
      <c r="Q92" s="24">
        <f>INDEX(ElaVal,MATCH("eff|"&amp;$E92&amp;"|"&amp;$D92,ElaKey,0),MATCH(Settings!$C$6,ElaGroup,0))</f>
        <v/>
      </c>
      <c r="R92" s="13">
        <f>INDEX(ElaVal,MATCH("aei|"&amp;$F92&amp;"|"&amp;$D92,ElaKey,0),MATCH(Settings!$C$6,ElaGroup,0))</f>
        <v/>
      </c>
      <c r="S92" s="16">
        <f>(1/(1+$R92))^(1+$P92)</f>
        <v/>
      </c>
      <c r="T92" s="24">
        <f>$Q92*(1+$P92)</f>
        <v/>
      </c>
      <c r="U92" s="14">
        <f>INDEX(Inputs_prices!$E$7:$E$18,MATCH($I92,Inputs_prices!$A$7:$A$18,0))</f>
        <v/>
      </c>
      <c r="V92" s="13">
        <f>INDEX(Inputs_prices!$R$7:$R$18,MATCH($I92,Inputs_prices!$A$7:$A$18,0))</f>
        <v/>
      </c>
      <c r="W92" s="16">
        <f>INDEX(EFVal,MATCH(Settings!$C$4&amp;"|"&amp;$B92&amp;"|"&amp;$J92,EFKey,0))</f>
        <v/>
      </c>
      <c r="X92" s="44">
        <f>INDEX(ConsVal,MATCH(Settings!$C$4&amp;"|"&amp;Settings!$C$7&amp;"|"&amp;$C92&amp;"|"&amp;$B92,ConsKey,0))</f>
        <v/>
      </c>
      <c r="Y92" s="14">
        <f>INDEX(Mapping!$I$5:$I$20,MATCH($C92,SubKey,0))</f>
        <v/>
      </c>
      <c r="Z92" s="35">
        <f>INDEX(ECPCov,MATCH("ecs."&amp;$Y92,ECPKey,0))*INDEX(ECPCov,MATCH("ecf."&amp;$B92,ECPKey,0))</f>
        <v/>
      </c>
      <c r="AA92" s="35">
        <f>INDEX(ECPCov,MATCH("ees."&amp;$Y92,ECPKey,0))*INDEX(ECPCov,MATCH("eef."&amp;$B92,ECPKey,0))</f>
        <v/>
      </c>
    </row>
    <row r="93">
      <c r="A93" s="14">
        <f>$B93&amp;"|"&amp;$C93</f>
        <v/>
      </c>
      <c r="B93" s="22" t="inlineStr">
        <is>
          <t>coa</t>
        </is>
      </c>
      <c r="C93" s="22" t="inlineStr">
        <is>
          <t>cem</t>
        </is>
      </c>
      <c r="D93" s="14">
        <f>INDEX(Mapping!$D$5:$D$20,MATCH($C93,SubKey,0))</f>
        <v/>
      </c>
      <c r="E93" s="14">
        <f>INDEX(Mapping!$C$30:$C$37,MATCH($B93,FuelKey,0))</f>
        <v/>
      </c>
      <c r="F93" s="14">
        <f>INDEX(Mapping!$D$30:$D$37,MATCH($B93,FuelKey,0))</f>
        <v/>
      </c>
      <c r="G93" s="14">
        <f>INDEX(Mapping!$E$30:$E$37,MATCH($B93,FuelKey,0))</f>
        <v/>
      </c>
      <c r="H93" s="14">
        <f>INDEX(Mapping!$F$5:$F$20,MATCH($C93,SubKey,0))</f>
        <v/>
      </c>
      <c r="I93" s="14">
        <f>$B93&amp;"."&amp;IF($G93="sub",$H93,"all")</f>
        <v/>
      </c>
      <c r="J93" s="14">
        <f>INDEX(Mapping!$E$5:$E$20,MATCH($C93,SubKey,0))</f>
        <v/>
      </c>
      <c r="K93" s="14">
        <f>INDEX(Mapping!$G$30:$G$37,MATCH($B93,FuelKey,0))</f>
        <v/>
      </c>
      <c r="L93" s="14">
        <f>INDEX(Mapping!$H$30:$H$37,MATCH($B93,FuelKey,0))</f>
        <v/>
      </c>
      <c r="M93" s="14">
        <f>INDEX(Mapping!$H$5:$H$20,MATCH($C93,SubKey,0))</f>
        <v/>
      </c>
      <c r="N93" s="14">
        <f>INDEX(Mapping!$E$50:$E$63,MATCH($I93,Mapping!$A$50:$A$63,0))</f>
        <v/>
      </c>
      <c r="O93" s="24">
        <f>INDEX(ElaVal,MATCH("inc|"&amp;$E93&amp;"|"&amp;$D93,ElaKey,0),MATCH(Settings!$C$6,ElaGroup,0))</f>
        <v/>
      </c>
      <c r="P93" s="24">
        <f>INDEX(ElaVal,MATCH("usg|"&amp;$E93&amp;"|"&amp;$D93,ElaKey,0),MATCH(Settings!$C$6,ElaGroup,0))</f>
        <v/>
      </c>
      <c r="Q93" s="24">
        <f>INDEX(ElaVal,MATCH("eff|"&amp;$E93&amp;"|"&amp;$D93,ElaKey,0),MATCH(Settings!$C$6,ElaGroup,0))</f>
        <v/>
      </c>
      <c r="R93" s="13">
        <f>INDEX(ElaVal,MATCH("aei|"&amp;$F93&amp;"|"&amp;$D93,ElaKey,0),MATCH(Settings!$C$6,ElaGroup,0))</f>
        <v/>
      </c>
      <c r="S93" s="16">
        <f>(1/(1+$R93))^(1+$P93)</f>
        <v/>
      </c>
      <c r="T93" s="24">
        <f>$Q93*(1+$P93)</f>
        <v/>
      </c>
      <c r="U93" s="14">
        <f>INDEX(Inputs_prices!$E$7:$E$18,MATCH($I93,Inputs_prices!$A$7:$A$18,0))</f>
        <v/>
      </c>
      <c r="V93" s="13">
        <f>INDEX(Inputs_prices!$R$7:$R$18,MATCH($I93,Inputs_prices!$A$7:$A$18,0))</f>
        <v/>
      </c>
      <c r="W93" s="16">
        <f>INDEX(EFVal,MATCH(Settings!$C$4&amp;"|"&amp;$B93&amp;"|"&amp;$J93,EFKey,0))</f>
        <v/>
      </c>
      <c r="X93" s="44">
        <f>INDEX(ConsVal,MATCH(Settings!$C$4&amp;"|"&amp;Settings!$C$7&amp;"|"&amp;$C93&amp;"|"&amp;$B93,ConsKey,0))</f>
        <v/>
      </c>
      <c r="Y93" s="14">
        <f>INDEX(Mapping!$I$5:$I$20,MATCH($C93,SubKey,0))</f>
        <v/>
      </c>
      <c r="Z93" s="35">
        <f>INDEX(ECPCov,MATCH("ecs."&amp;$Y93,ECPKey,0))*INDEX(ECPCov,MATCH("ecf."&amp;$B93,ECPKey,0))</f>
        <v/>
      </c>
      <c r="AA93" s="35">
        <f>INDEX(ECPCov,MATCH("ees."&amp;$Y93,ECPKey,0))*INDEX(ECPCov,MATCH("eef."&amp;$B93,ECPKey,0))</f>
        <v/>
      </c>
    </row>
    <row r="94">
      <c r="A94" s="14">
        <f>$B94&amp;"|"&amp;$C94</f>
        <v/>
      </c>
      <c r="B94" s="22" t="inlineStr">
        <is>
          <t>nga</t>
        </is>
      </c>
      <c r="C94" s="22" t="inlineStr">
        <is>
          <t>cem</t>
        </is>
      </c>
      <c r="D94" s="14">
        <f>INDEX(Mapping!$D$5:$D$20,MATCH($C94,SubKey,0))</f>
        <v/>
      </c>
      <c r="E94" s="14">
        <f>INDEX(Mapping!$C$30:$C$37,MATCH($B94,FuelKey,0))</f>
        <v/>
      </c>
      <c r="F94" s="14">
        <f>INDEX(Mapping!$D$30:$D$37,MATCH($B94,FuelKey,0))</f>
        <v/>
      </c>
      <c r="G94" s="14">
        <f>INDEX(Mapping!$E$30:$E$37,MATCH($B94,FuelKey,0))</f>
        <v/>
      </c>
      <c r="H94" s="14">
        <f>INDEX(Mapping!$F$5:$F$20,MATCH($C94,SubKey,0))</f>
        <v/>
      </c>
      <c r="I94" s="14">
        <f>$B94&amp;"."&amp;IF($G94="sub",$H94,"all")</f>
        <v/>
      </c>
      <c r="J94" s="14">
        <f>INDEX(Mapping!$E$5:$E$20,MATCH($C94,SubKey,0))</f>
        <v/>
      </c>
      <c r="K94" s="14">
        <f>INDEX(Mapping!$G$30:$G$37,MATCH($B94,FuelKey,0))</f>
        <v/>
      </c>
      <c r="L94" s="14">
        <f>INDEX(Mapping!$H$30:$H$37,MATCH($B94,FuelKey,0))</f>
        <v/>
      </c>
      <c r="M94" s="14">
        <f>INDEX(Mapping!$H$5:$H$20,MATCH($C94,SubKey,0))</f>
        <v/>
      </c>
      <c r="N94" s="14">
        <f>INDEX(Mapping!$E$50:$E$63,MATCH($I94,Mapping!$A$50:$A$63,0))</f>
        <v/>
      </c>
      <c r="O94" s="24">
        <f>INDEX(ElaVal,MATCH("inc|"&amp;$E94&amp;"|"&amp;$D94,ElaKey,0),MATCH(Settings!$C$6,ElaGroup,0))</f>
        <v/>
      </c>
      <c r="P94" s="24">
        <f>INDEX(ElaVal,MATCH("usg|"&amp;$E94&amp;"|"&amp;$D94,ElaKey,0),MATCH(Settings!$C$6,ElaGroup,0))</f>
        <v/>
      </c>
      <c r="Q94" s="24">
        <f>INDEX(ElaVal,MATCH("eff|"&amp;$E94&amp;"|"&amp;$D94,ElaKey,0),MATCH(Settings!$C$6,ElaGroup,0))</f>
        <v/>
      </c>
      <c r="R94" s="13">
        <f>INDEX(ElaVal,MATCH("aei|"&amp;$F94&amp;"|"&amp;$D94,ElaKey,0),MATCH(Settings!$C$6,ElaGroup,0))</f>
        <v/>
      </c>
      <c r="S94" s="16">
        <f>(1/(1+$R94))^(1+$P94)</f>
        <v/>
      </c>
      <c r="T94" s="24">
        <f>$Q94*(1+$P94)</f>
        <v/>
      </c>
      <c r="U94" s="14">
        <f>INDEX(Inputs_prices!$E$7:$E$18,MATCH($I94,Inputs_prices!$A$7:$A$18,0))</f>
        <v/>
      </c>
      <c r="V94" s="13">
        <f>INDEX(Inputs_prices!$R$7:$R$18,MATCH($I94,Inputs_prices!$A$7:$A$18,0))</f>
        <v/>
      </c>
      <c r="W94" s="16">
        <f>INDEX(EFVal,MATCH(Settings!$C$4&amp;"|"&amp;$B94&amp;"|"&amp;$J94,EFKey,0))</f>
        <v/>
      </c>
      <c r="X94" s="44">
        <f>INDEX(ConsVal,MATCH(Settings!$C$4&amp;"|"&amp;Settings!$C$7&amp;"|"&amp;$C94&amp;"|"&amp;$B94,ConsKey,0))</f>
        <v/>
      </c>
      <c r="Y94" s="14">
        <f>INDEX(Mapping!$I$5:$I$20,MATCH($C94,SubKey,0))</f>
        <v/>
      </c>
      <c r="Z94" s="35">
        <f>INDEX(ECPCov,MATCH("ecs."&amp;$Y94,ECPKey,0))*INDEX(ECPCov,MATCH("ecf."&amp;$B94,ECPKey,0))</f>
        <v/>
      </c>
      <c r="AA94" s="35">
        <f>INDEX(ECPCov,MATCH("ees."&amp;$Y94,ECPKey,0))*INDEX(ECPCov,MATCH("eef."&amp;$B94,ECPKey,0))</f>
        <v/>
      </c>
    </row>
    <row r="95">
      <c r="A95" s="14">
        <f>$B95&amp;"|"&amp;$C95</f>
        <v/>
      </c>
      <c r="B95" s="22" t="inlineStr">
        <is>
          <t>gso</t>
        </is>
      </c>
      <c r="C95" s="22" t="inlineStr">
        <is>
          <t>cem</t>
        </is>
      </c>
      <c r="D95" s="14">
        <f>INDEX(Mapping!$D$5:$D$20,MATCH($C95,SubKey,0))</f>
        <v/>
      </c>
      <c r="E95" s="14">
        <f>INDEX(Mapping!$C$30:$C$37,MATCH($B95,FuelKey,0))</f>
        <v/>
      </c>
      <c r="F95" s="14">
        <f>INDEX(Mapping!$D$30:$D$37,MATCH($B95,FuelKey,0))</f>
        <v/>
      </c>
      <c r="G95" s="14">
        <f>INDEX(Mapping!$E$30:$E$37,MATCH($B95,FuelKey,0))</f>
        <v/>
      </c>
      <c r="H95" s="14">
        <f>INDEX(Mapping!$F$5:$F$20,MATCH($C95,SubKey,0))</f>
        <v/>
      </c>
      <c r="I95" s="14">
        <f>$B95&amp;"."&amp;IF($G95="sub",$H95,"all")</f>
        <v/>
      </c>
      <c r="J95" s="14">
        <f>INDEX(Mapping!$E$5:$E$20,MATCH($C95,SubKey,0))</f>
        <v/>
      </c>
      <c r="K95" s="14">
        <f>INDEX(Mapping!$G$30:$G$37,MATCH($B95,FuelKey,0))</f>
        <v/>
      </c>
      <c r="L95" s="14">
        <f>INDEX(Mapping!$H$30:$H$37,MATCH($B95,FuelKey,0))</f>
        <v/>
      </c>
      <c r="M95" s="14">
        <f>INDEX(Mapping!$H$5:$H$20,MATCH($C95,SubKey,0))</f>
        <v/>
      </c>
      <c r="N95" s="14">
        <f>INDEX(Mapping!$E$50:$E$63,MATCH($I95,Mapping!$A$50:$A$63,0))</f>
        <v/>
      </c>
      <c r="O95" s="24">
        <f>INDEX(ElaVal,MATCH("inc|"&amp;$E95&amp;"|"&amp;$D95,ElaKey,0),MATCH(Settings!$C$6,ElaGroup,0))</f>
        <v/>
      </c>
      <c r="P95" s="24">
        <f>INDEX(ElaVal,MATCH("usg|"&amp;$E95&amp;"|"&amp;$D95,ElaKey,0),MATCH(Settings!$C$6,ElaGroup,0))</f>
        <v/>
      </c>
      <c r="Q95" s="24">
        <f>INDEX(ElaVal,MATCH("eff|"&amp;$E95&amp;"|"&amp;$D95,ElaKey,0),MATCH(Settings!$C$6,ElaGroup,0))</f>
        <v/>
      </c>
      <c r="R95" s="13">
        <f>INDEX(ElaVal,MATCH("aei|"&amp;$F95&amp;"|"&amp;$D95,ElaKey,0),MATCH(Settings!$C$6,ElaGroup,0))</f>
        <v/>
      </c>
      <c r="S95" s="16">
        <f>(1/(1+$R95))^(1+$P95)</f>
        <v/>
      </c>
      <c r="T95" s="24">
        <f>$Q95*(1+$P95)</f>
        <v/>
      </c>
      <c r="U95" s="14">
        <f>INDEX(Inputs_prices!$E$7:$E$18,MATCH($I95,Inputs_prices!$A$7:$A$18,0))</f>
        <v/>
      </c>
      <c r="V95" s="13">
        <f>INDEX(Inputs_prices!$R$7:$R$18,MATCH($I95,Inputs_prices!$A$7:$A$18,0))</f>
        <v/>
      </c>
      <c r="W95" s="16">
        <f>INDEX(EFVal,MATCH(Settings!$C$4&amp;"|"&amp;$B95&amp;"|"&amp;$J95,EFKey,0))</f>
        <v/>
      </c>
      <c r="X95" s="44">
        <f>INDEX(ConsVal,MATCH(Settings!$C$4&amp;"|"&amp;Settings!$C$7&amp;"|"&amp;$C95&amp;"|"&amp;$B95,ConsKey,0))</f>
        <v/>
      </c>
      <c r="Y95" s="14">
        <f>INDEX(Mapping!$I$5:$I$20,MATCH($C95,SubKey,0))</f>
        <v/>
      </c>
      <c r="Z95" s="35">
        <f>INDEX(ECPCov,MATCH("ecs."&amp;$Y95,ECPKey,0))*INDEX(ECPCov,MATCH("ecf."&amp;$B95,ECPKey,0))</f>
        <v/>
      </c>
      <c r="AA95" s="35">
        <f>INDEX(ECPCov,MATCH("ees."&amp;$Y95,ECPKey,0))*INDEX(ECPCov,MATCH("eef."&amp;$B95,ECPKey,0))</f>
        <v/>
      </c>
    </row>
    <row r="96">
      <c r="A96" s="14">
        <f>$B96&amp;"|"&amp;$C96</f>
        <v/>
      </c>
      <c r="B96" s="22" t="inlineStr">
        <is>
          <t>die</t>
        </is>
      </c>
      <c r="C96" s="22" t="inlineStr">
        <is>
          <t>cem</t>
        </is>
      </c>
      <c r="D96" s="14">
        <f>INDEX(Mapping!$D$5:$D$20,MATCH($C96,SubKey,0))</f>
        <v/>
      </c>
      <c r="E96" s="14">
        <f>INDEX(Mapping!$C$30:$C$37,MATCH($B96,FuelKey,0))</f>
        <v/>
      </c>
      <c r="F96" s="14">
        <f>INDEX(Mapping!$D$30:$D$37,MATCH($B96,FuelKey,0))</f>
        <v/>
      </c>
      <c r="G96" s="14">
        <f>INDEX(Mapping!$E$30:$E$37,MATCH($B96,FuelKey,0))</f>
        <v/>
      </c>
      <c r="H96" s="14">
        <f>INDEX(Mapping!$F$5:$F$20,MATCH($C96,SubKey,0))</f>
        <v/>
      </c>
      <c r="I96" s="14">
        <f>$B96&amp;"."&amp;IF($G96="sub",$H96,"all")</f>
        <v/>
      </c>
      <c r="J96" s="14">
        <f>INDEX(Mapping!$E$5:$E$20,MATCH($C96,SubKey,0))</f>
        <v/>
      </c>
      <c r="K96" s="14">
        <f>INDEX(Mapping!$G$30:$G$37,MATCH($B96,FuelKey,0))</f>
        <v/>
      </c>
      <c r="L96" s="14">
        <f>INDEX(Mapping!$H$30:$H$37,MATCH($B96,FuelKey,0))</f>
        <v/>
      </c>
      <c r="M96" s="14">
        <f>INDEX(Mapping!$H$5:$H$20,MATCH($C96,SubKey,0))</f>
        <v/>
      </c>
      <c r="N96" s="14">
        <f>INDEX(Mapping!$E$50:$E$63,MATCH($I96,Mapping!$A$50:$A$63,0))</f>
        <v/>
      </c>
      <c r="O96" s="24">
        <f>INDEX(ElaVal,MATCH("inc|"&amp;$E96&amp;"|"&amp;$D96,ElaKey,0),MATCH(Settings!$C$6,ElaGroup,0))</f>
        <v/>
      </c>
      <c r="P96" s="24">
        <f>INDEX(ElaVal,MATCH("usg|"&amp;$E96&amp;"|"&amp;$D96,ElaKey,0),MATCH(Settings!$C$6,ElaGroup,0))</f>
        <v/>
      </c>
      <c r="Q96" s="24">
        <f>INDEX(ElaVal,MATCH("eff|"&amp;$E96&amp;"|"&amp;$D96,ElaKey,0),MATCH(Settings!$C$6,ElaGroup,0))</f>
        <v/>
      </c>
      <c r="R96" s="13">
        <f>INDEX(ElaVal,MATCH("aei|"&amp;$F96&amp;"|"&amp;$D96,ElaKey,0),MATCH(Settings!$C$6,ElaGroup,0))</f>
        <v/>
      </c>
      <c r="S96" s="16">
        <f>(1/(1+$R96))^(1+$P96)</f>
        <v/>
      </c>
      <c r="T96" s="24">
        <f>$Q96*(1+$P96)</f>
        <v/>
      </c>
      <c r="U96" s="14">
        <f>INDEX(Inputs_prices!$E$7:$E$18,MATCH($I96,Inputs_prices!$A$7:$A$18,0))</f>
        <v/>
      </c>
      <c r="V96" s="13">
        <f>INDEX(Inputs_prices!$R$7:$R$18,MATCH($I96,Inputs_prices!$A$7:$A$18,0))</f>
        <v/>
      </c>
      <c r="W96" s="16">
        <f>INDEX(EFVal,MATCH(Settings!$C$4&amp;"|"&amp;$B96&amp;"|"&amp;$J96,EFKey,0))</f>
        <v/>
      </c>
      <c r="X96" s="44">
        <f>INDEX(ConsVal,MATCH(Settings!$C$4&amp;"|"&amp;Settings!$C$7&amp;"|"&amp;$C96&amp;"|"&amp;$B96,ConsKey,0))</f>
        <v/>
      </c>
      <c r="Y96" s="14">
        <f>INDEX(Mapping!$I$5:$I$20,MATCH($C96,SubKey,0))</f>
        <v/>
      </c>
      <c r="Z96" s="35">
        <f>INDEX(ECPCov,MATCH("ecs."&amp;$Y96,ECPKey,0))*INDEX(ECPCov,MATCH("ecf."&amp;$B96,ECPKey,0))</f>
        <v/>
      </c>
      <c r="AA96" s="35">
        <f>INDEX(ECPCov,MATCH("ees."&amp;$Y96,ECPKey,0))*INDEX(ECPCov,MATCH("eef."&amp;$B96,ECPKey,0))</f>
        <v/>
      </c>
    </row>
    <row r="97">
      <c r="A97" s="14">
        <f>$B97&amp;"|"&amp;$C97</f>
        <v/>
      </c>
      <c r="B97" s="22" t="inlineStr">
        <is>
          <t>lpg</t>
        </is>
      </c>
      <c r="C97" s="22" t="inlineStr">
        <is>
          <t>cem</t>
        </is>
      </c>
      <c r="D97" s="14">
        <f>INDEX(Mapping!$D$5:$D$20,MATCH($C97,SubKey,0))</f>
        <v/>
      </c>
      <c r="E97" s="14">
        <f>INDEX(Mapping!$C$30:$C$37,MATCH($B97,FuelKey,0))</f>
        <v/>
      </c>
      <c r="F97" s="14">
        <f>INDEX(Mapping!$D$30:$D$37,MATCH($B97,FuelKey,0))</f>
        <v/>
      </c>
      <c r="G97" s="14">
        <f>INDEX(Mapping!$E$30:$E$37,MATCH($B97,FuelKey,0))</f>
        <v/>
      </c>
      <c r="H97" s="14">
        <f>INDEX(Mapping!$F$5:$F$20,MATCH($C97,SubKey,0))</f>
        <v/>
      </c>
      <c r="I97" s="14">
        <f>$B97&amp;"."&amp;IF($G97="sub",$H97,"all")</f>
        <v/>
      </c>
      <c r="J97" s="14">
        <f>INDEX(Mapping!$E$5:$E$20,MATCH($C97,SubKey,0))</f>
        <v/>
      </c>
      <c r="K97" s="14">
        <f>INDEX(Mapping!$G$30:$G$37,MATCH($B97,FuelKey,0))</f>
        <v/>
      </c>
      <c r="L97" s="14">
        <f>INDEX(Mapping!$H$30:$H$37,MATCH($B97,FuelKey,0))</f>
        <v/>
      </c>
      <c r="M97" s="14">
        <f>INDEX(Mapping!$H$5:$H$20,MATCH($C97,SubKey,0))</f>
        <v/>
      </c>
      <c r="N97" s="14">
        <f>INDEX(Mapping!$E$50:$E$63,MATCH($I97,Mapping!$A$50:$A$63,0))</f>
        <v/>
      </c>
      <c r="O97" s="24">
        <f>INDEX(ElaVal,MATCH("inc|"&amp;$E97&amp;"|"&amp;$D97,ElaKey,0),MATCH(Settings!$C$6,ElaGroup,0))</f>
        <v/>
      </c>
      <c r="P97" s="24">
        <f>INDEX(ElaVal,MATCH("usg|"&amp;$E97&amp;"|"&amp;$D97,ElaKey,0),MATCH(Settings!$C$6,ElaGroup,0))</f>
        <v/>
      </c>
      <c r="Q97" s="24">
        <f>INDEX(ElaVal,MATCH("eff|"&amp;$E97&amp;"|"&amp;$D97,ElaKey,0),MATCH(Settings!$C$6,ElaGroup,0))</f>
        <v/>
      </c>
      <c r="R97" s="13">
        <f>INDEX(ElaVal,MATCH("aei|"&amp;$F97&amp;"|"&amp;$D97,ElaKey,0),MATCH(Settings!$C$6,ElaGroup,0))</f>
        <v/>
      </c>
      <c r="S97" s="16">
        <f>(1/(1+$R97))^(1+$P97)</f>
        <v/>
      </c>
      <c r="T97" s="24">
        <f>$Q97*(1+$P97)</f>
        <v/>
      </c>
      <c r="U97" s="14">
        <f>INDEX(Inputs_prices!$E$7:$E$18,MATCH($I97,Inputs_prices!$A$7:$A$18,0))</f>
        <v/>
      </c>
      <c r="V97" s="13">
        <f>INDEX(Inputs_prices!$R$7:$R$18,MATCH($I97,Inputs_prices!$A$7:$A$18,0))</f>
        <v/>
      </c>
      <c r="W97" s="16">
        <f>INDEX(EFVal,MATCH(Settings!$C$4&amp;"|"&amp;$B97&amp;"|"&amp;$J97,EFKey,0))</f>
        <v/>
      </c>
      <c r="X97" s="44">
        <f>INDEX(ConsVal,MATCH(Settings!$C$4&amp;"|"&amp;Settings!$C$7&amp;"|"&amp;$C97&amp;"|"&amp;$B97,ConsKey,0))</f>
        <v/>
      </c>
      <c r="Y97" s="14">
        <f>INDEX(Mapping!$I$5:$I$20,MATCH($C97,SubKey,0))</f>
        <v/>
      </c>
      <c r="Z97" s="35">
        <f>INDEX(ECPCov,MATCH("ecs."&amp;$Y97,ECPKey,0))*INDEX(ECPCov,MATCH("ecf."&amp;$B97,ECPKey,0))</f>
        <v/>
      </c>
      <c r="AA97" s="35">
        <f>INDEX(ECPCov,MATCH("ees."&amp;$Y97,ECPKey,0))*INDEX(ECPCov,MATCH("eef."&amp;$B97,ECPKey,0))</f>
        <v/>
      </c>
    </row>
    <row r="98">
      <c r="A98" s="14">
        <f>$B98&amp;"|"&amp;$C98</f>
        <v/>
      </c>
      <c r="B98" s="22" t="inlineStr">
        <is>
          <t>ker</t>
        </is>
      </c>
      <c r="C98" s="22" t="inlineStr">
        <is>
          <t>cem</t>
        </is>
      </c>
      <c r="D98" s="14">
        <f>INDEX(Mapping!$D$5:$D$20,MATCH($C98,SubKey,0))</f>
        <v/>
      </c>
      <c r="E98" s="14">
        <f>INDEX(Mapping!$C$30:$C$37,MATCH($B98,FuelKey,0))</f>
        <v/>
      </c>
      <c r="F98" s="14">
        <f>INDEX(Mapping!$D$30:$D$37,MATCH($B98,FuelKey,0))</f>
        <v/>
      </c>
      <c r="G98" s="14">
        <f>INDEX(Mapping!$E$30:$E$37,MATCH($B98,FuelKey,0))</f>
        <v/>
      </c>
      <c r="H98" s="14">
        <f>INDEX(Mapping!$F$5:$F$20,MATCH($C98,SubKey,0))</f>
        <v/>
      </c>
      <c r="I98" s="14">
        <f>$B98&amp;"."&amp;IF($G98="sub",$H98,"all")</f>
        <v/>
      </c>
      <c r="J98" s="14">
        <f>INDEX(Mapping!$E$5:$E$20,MATCH($C98,SubKey,0))</f>
        <v/>
      </c>
      <c r="K98" s="14">
        <f>INDEX(Mapping!$G$30:$G$37,MATCH($B98,FuelKey,0))</f>
        <v/>
      </c>
      <c r="L98" s="14">
        <f>INDEX(Mapping!$H$30:$H$37,MATCH($B98,FuelKey,0))</f>
        <v/>
      </c>
      <c r="M98" s="14">
        <f>INDEX(Mapping!$H$5:$H$20,MATCH($C98,SubKey,0))</f>
        <v/>
      </c>
      <c r="N98" s="14">
        <f>INDEX(Mapping!$E$50:$E$63,MATCH($I98,Mapping!$A$50:$A$63,0))</f>
        <v/>
      </c>
      <c r="O98" s="24">
        <f>INDEX(ElaVal,MATCH("inc|"&amp;$E98&amp;"|"&amp;$D98,ElaKey,0),MATCH(Settings!$C$6,ElaGroup,0))</f>
        <v/>
      </c>
      <c r="P98" s="24">
        <f>INDEX(ElaVal,MATCH("usg|"&amp;$E98&amp;"|"&amp;$D98,ElaKey,0),MATCH(Settings!$C$6,ElaGroup,0))</f>
        <v/>
      </c>
      <c r="Q98" s="24">
        <f>INDEX(ElaVal,MATCH("eff|"&amp;$E98&amp;"|"&amp;$D98,ElaKey,0),MATCH(Settings!$C$6,ElaGroup,0))</f>
        <v/>
      </c>
      <c r="R98" s="13">
        <f>INDEX(ElaVal,MATCH("aei|"&amp;$F98&amp;"|"&amp;$D98,ElaKey,0),MATCH(Settings!$C$6,ElaGroup,0))</f>
        <v/>
      </c>
      <c r="S98" s="16">
        <f>(1/(1+$R98))^(1+$P98)</f>
        <v/>
      </c>
      <c r="T98" s="24">
        <f>$Q98*(1+$P98)</f>
        <v/>
      </c>
      <c r="U98" s="14">
        <f>INDEX(Inputs_prices!$E$7:$E$18,MATCH($I98,Inputs_prices!$A$7:$A$18,0))</f>
        <v/>
      </c>
      <c r="V98" s="13">
        <f>INDEX(Inputs_prices!$R$7:$R$18,MATCH($I98,Inputs_prices!$A$7:$A$18,0))</f>
        <v/>
      </c>
      <c r="W98" s="16">
        <f>INDEX(EFVal,MATCH(Settings!$C$4&amp;"|"&amp;$B98&amp;"|"&amp;$J98,EFKey,0))</f>
        <v/>
      </c>
      <c r="X98" s="44">
        <f>INDEX(ConsVal,MATCH(Settings!$C$4&amp;"|"&amp;Settings!$C$7&amp;"|"&amp;$C98&amp;"|"&amp;$B98,ConsKey,0))</f>
        <v/>
      </c>
      <c r="Y98" s="14">
        <f>INDEX(Mapping!$I$5:$I$20,MATCH($C98,SubKey,0))</f>
        <v/>
      </c>
      <c r="Z98" s="35">
        <f>INDEX(ECPCov,MATCH("ecs."&amp;$Y98,ECPKey,0))*INDEX(ECPCov,MATCH("ecf."&amp;$B98,ECPKey,0))</f>
        <v/>
      </c>
      <c r="AA98" s="35">
        <f>INDEX(ECPCov,MATCH("ees."&amp;$Y98,ECPKey,0))*INDEX(ECPCov,MATCH("eef."&amp;$B98,ECPKey,0))</f>
        <v/>
      </c>
    </row>
    <row r="99">
      <c r="A99" s="14">
        <f>$B99&amp;"|"&amp;$C99</f>
        <v/>
      </c>
      <c r="B99" s="22" t="inlineStr">
        <is>
          <t>oop</t>
        </is>
      </c>
      <c r="C99" s="22" t="inlineStr">
        <is>
          <t>cem</t>
        </is>
      </c>
      <c r="D99" s="14">
        <f>INDEX(Mapping!$D$5:$D$20,MATCH($C99,SubKey,0))</f>
        <v/>
      </c>
      <c r="E99" s="14">
        <f>INDEX(Mapping!$C$30:$C$37,MATCH($B99,FuelKey,0))</f>
        <v/>
      </c>
      <c r="F99" s="14">
        <f>INDEX(Mapping!$D$30:$D$37,MATCH($B99,FuelKey,0))</f>
        <v/>
      </c>
      <c r="G99" s="14">
        <f>INDEX(Mapping!$E$30:$E$37,MATCH($B99,FuelKey,0))</f>
        <v/>
      </c>
      <c r="H99" s="14">
        <f>INDEX(Mapping!$F$5:$F$20,MATCH($C99,SubKey,0))</f>
        <v/>
      </c>
      <c r="I99" s="14">
        <f>$B99&amp;"."&amp;IF($G99="sub",$H99,"all")</f>
        <v/>
      </c>
      <c r="J99" s="14">
        <f>INDEX(Mapping!$E$5:$E$20,MATCH($C99,SubKey,0))</f>
        <v/>
      </c>
      <c r="K99" s="14">
        <f>INDEX(Mapping!$G$30:$G$37,MATCH($B99,FuelKey,0))</f>
        <v/>
      </c>
      <c r="L99" s="14">
        <f>INDEX(Mapping!$H$30:$H$37,MATCH($B99,FuelKey,0))</f>
        <v/>
      </c>
      <c r="M99" s="14">
        <f>INDEX(Mapping!$H$5:$H$20,MATCH($C99,SubKey,0))</f>
        <v/>
      </c>
      <c r="N99" s="14">
        <f>INDEX(Mapping!$E$50:$E$63,MATCH($I99,Mapping!$A$50:$A$63,0))</f>
        <v/>
      </c>
      <c r="O99" s="24">
        <f>INDEX(ElaVal,MATCH("inc|"&amp;$E99&amp;"|"&amp;$D99,ElaKey,0),MATCH(Settings!$C$6,ElaGroup,0))</f>
        <v/>
      </c>
      <c r="P99" s="24">
        <f>INDEX(ElaVal,MATCH("usg|"&amp;$E99&amp;"|"&amp;$D99,ElaKey,0),MATCH(Settings!$C$6,ElaGroup,0))</f>
        <v/>
      </c>
      <c r="Q99" s="24">
        <f>INDEX(ElaVal,MATCH("eff|"&amp;$E99&amp;"|"&amp;$D99,ElaKey,0),MATCH(Settings!$C$6,ElaGroup,0))</f>
        <v/>
      </c>
      <c r="R99" s="13">
        <f>INDEX(ElaVal,MATCH("aei|"&amp;$F99&amp;"|"&amp;$D99,ElaKey,0),MATCH(Settings!$C$6,ElaGroup,0))</f>
        <v/>
      </c>
      <c r="S99" s="16">
        <f>(1/(1+$R99))^(1+$P99)</f>
        <v/>
      </c>
      <c r="T99" s="24">
        <f>$Q99*(1+$P99)</f>
        <v/>
      </c>
      <c r="U99" s="14">
        <f>INDEX(Inputs_prices!$E$7:$E$18,MATCH($I99,Inputs_prices!$A$7:$A$18,0))</f>
        <v/>
      </c>
      <c r="V99" s="13">
        <f>INDEX(Inputs_prices!$R$7:$R$18,MATCH($I99,Inputs_prices!$A$7:$A$18,0))</f>
        <v/>
      </c>
      <c r="W99" s="16">
        <f>INDEX(EFVal,MATCH(Settings!$C$4&amp;"|"&amp;$B99&amp;"|"&amp;$J99,EFKey,0))</f>
        <v/>
      </c>
      <c r="X99" s="44">
        <f>INDEX(ConsVal,MATCH(Settings!$C$4&amp;"|"&amp;Settings!$C$7&amp;"|"&amp;$C99&amp;"|"&amp;$B99,ConsKey,0))</f>
        <v/>
      </c>
      <c r="Y99" s="14">
        <f>INDEX(Mapping!$I$5:$I$20,MATCH($C99,SubKey,0))</f>
        <v/>
      </c>
      <c r="Z99" s="35">
        <f>INDEX(ECPCov,MATCH("ecs."&amp;$Y99,ECPKey,0))*INDEX(ECPCov,MATCH("ecf."&amp;$B99,ECPKey,0))</f>
        <v/>
      </c>
      <c r="AA99" s="35">
        <f>INDEX(ECPCov,MATCH("ees."&amp;$Y99,ECPKey,0))*INDEX(ECPCov,MATCH("eef."&amp;$B99,ECPKey,0))</f>
        <v/>
      </c>
    </row>
    <row r="100">
      <c r="A100" s="14">
        <f>$B100&amp;"|"&amp;$C100</f>
        <v/>
      </c>
      <c r="B100" s="22" t="inlineStr">
        <is>
          <t>bio</t>
        </is>
      </c>
      <c r="C100" s="22" t="inlineStr">
        <is>
          <t>cem</t>
        </is>
      </c>
      <c r="D100" s="14">
        <f>INDEX(Mapping!$D$5:$D$20,MATCH($C100,SubKey,0))</f>
        <v/>
      </c>
      <c r="E100" s="14">
        <f>INDEX(Mapping!$C$30:$C$37,MATCH($B100,FuelKey,0))</f>
        <v/>
      </c>
      <c r="F100" s="14">
        <f>INDEX(Mapping!$D$30:$D$37,MATCH($B100,FuelKey,0))</f>
        <v/>
      </c>
      <c r="G100" s="14">
        <f>INDEX(Mapping!$E$30:$E$37,MATCH($B100,FuelKey,0))</f>
        <v/>
      </c>
      <c r="H100" s="14">
        <f>INDEX(Mapping!$F$5:$F$20,MATCH($C100,SubKey,0))</f>
        <v/>
      </c>
      <c r="I100" s="14">
        <f>$B100&amp;"."&amp;IF($G100="sub",$H100,"all")</f>
        <v/>
      </c>
      <c r="J100" s="14">
        <f>INDEX(Mapping!$E$5:$E$20,MATCH($C100,SubKey,0))</f>
        <v/>
      </c>
      <c r="K100" s="14">
        <f>INDEX(Mapping!$G$30:$G$37,MATCH($B100,FuelKey,0))</f>
        <v/>
      </c>
      <c r="L100" s="14">
        <f>INDEX(Mapping!$H$30:$H$37,MATCH($B100,FuelKey,0))</f>
        <v/>
      </c>
      <c r="M100" s="14">
        <f>INDEX(Mapping!$H$5:$H$20,MATCH($C100,SubKey,0))</f>
        <v/>
      </c>
      <c r="N100" s="14">
        <f>INDEX(Mapping!$E$50:$E$63,MATCH($I100,Mapping!$A$50:$A$63,0))</f>
        <v/>
      </c>
      <c r="O100" s="24">
        <f>INDEX(ElaVal,MATCH("inc|"&amp;$E100&amp;"|"&amp;$D100,ElaKey,0),MATCH(Settings!$C$6,ElaGroup,0))</f>
        <v/>
      </c>
      <c r="P100" s="24">
        <f>INDEX(ElaVal,MATCH("usg|"&amp;$E100&amp;"|"&amp;$D100,ElaKey,0),MATCH(Settings!$C$6,ElaGroup,0))</f>
        <v/>
      </c>
      <c r="Q100" s="24">
        <f>INDEX(ElaVal,MATCH("eff|"&amp;$E100&amp;"|"&amp;$D100,ElaKey,0),MATCH(Settings!$C$6,ElaGroup,0))</f>
        <v/>
      </c>
      <c r="R100" s="13">
        <f>INDEX(ElaVal,MATCH("aei|"&amp;$F100&amp;"|"&amp;$D100,ElaKey,0),MATCH(Settings!$C$6,ElaGroup,0))</f>
        <v/>
      </c>
      <c r="S100" s="16">
        <f>(1/(1+$R100))^(1+$P100)</f>
        <v/>
      </c>
      <c r="T100" s="24">
        <f>$Q100*(1+$P100)</f>
        <v/>
      </c>
      <c r="U100" s="14">
        <f>INDEX(Inputs_prices!$E$7:$E$18,MATCH($I100,Inputs_prices!$A$7:$A$18,0))</f>
        <v/>
      </c>
      <c r="V100" s="13">
        <f>INDEX(Inputs_prices!$R$7:$R$18,MATCH($I100,Inputs_prices!$A$7:$A$18,0))</f>
        <v/>
      </c>
      <c r="W100" s="16">
        <f>INDEX(EFVal,MATCH(Settings!$C$4&amp;"|"&amp;$B100&amp;"|"&amp;$J100,EFKey,0))</f>
        <v/>
      </c>
      <c r="X100" s="44">
        <f>INDEX(ConsVal,MATCH(Settings!$C$4&amp;"|"&amp;Settings!$C$7&amp;"|"&amp;$C100&amp;"|"&amp;$B100,ConsKey,0))</f>
        <v/>
      </c>
      <c r="Y100" s="14">
        <f>INDEX(Mapping!$I$5:$I$20,MATCH($C100,SubKey,0))</f>
        <v/>
      </c>
      <c r="Z100" s="35">
        <f>INDEX(ECPCov,MATCH("ecs."&amp;$Y100,ECPKey,0))*INDEX(ECPCov,MATCH("ecf."&amp;$B100,ECPKey,0))</f>
        <v/>
      </c>
      <c r="AA100" s="35">
        <f>INDEX(ECPCov,MATCH("ees."&amp;$Y100,ECPKey,0))*INDEX(ECPCov,MATCH("eef."&amp;$B100,ECPKey,0))</f>
        <v/>
      </c>
    </row>
    <row r="101">
      <c r="A101" s="14">
        <f>$B101&amp;"|"&amp;$C101</f>
        <v/>
      </c>
      <c r="B101" s="22" t="inlineStr">
        <is>
          <t>coa</t>
        </is>
      </c>
      <c r="C101" s="22" t="inlineStr">
        <is>
          <t>omn</t>
        </is>
      </c>
      <c r="D101" s="14">
        <f>INDEX(Mapping!$D$5:$D$20,MATCH($C101,SubKey,0))</f>
        <v/>
      </c>
      <c r="E101" s="14">
        <f>INDEX(Mapping!$C$30:$C$37,MATCH($B101,FuelKey,0))</f>
        <v/>
      </c>
      <c r="F101" s="14">
        <f>INDEX(Mapping!$D$30:$D$37,MATCH($B101,FuelKey,0))</f>
        <v/>
      </c>
      <c r="G101" s="14">
        <f>INDEX(Mapping!$E$30:$E$37,MATCH($B101,FuelKey,0))</f>
        <v/>
      </c>
      <c r="H101" s="14">
        <f>INDEX(Mapping!$F$5:$F$20,MATCH($C101,SubKey,0))</f>
        <v/>
      </c>
      <c r="I101" s="14">
        <f>$B101&amp;"."&amp;IF($G101="sub",$H101,"all")</f>
        <v/>
      </c>
      <c r="J101" s="14">
        <f>INDEX(Mapping!$E$5:$E$20,MATCH($C101,SubKey,0))</f>
        <v/>
      </c>
      <c r="K101" s="14">
        <f>INDEX(Mapping!$G$30:$G$37,MATCH($B101,FuelKey,0))</f>
        <v/>
      </c>
      <c r="L101" s="14">
        <f>INDEX(Mapping!$H$30:$H$37,MATCH($B101,FuelKey,0))</f>
        <v/>
      </c>
      <c r="M101" s="14">
        <f>INDEX(Mapping!$H$5:$H$20,MATCH($C101,SubKey,0))</f>
        <v/>
      </c>
      <c r="N101" s="14">
        <f>INDEX(Mapping!$E$50:$E$63,MATCH($I101,Mapping!$A$50:$A$63,0))</f>
        <v/>
      </c>
      <c r="O101" s="24">
        <f>INDEX(ElaVal,MATCH("inc|"&amp;$E101&amp;"|"&amp;$D101,ElaKey,0),MATCH(Settings!$C$6,ElaGroup,0))</f>
        <v/>
      </c>
      <c r="P101" s="24">
        <f>INDEX(ElaVal,MATCH("usg|"&amp;$E101&amp;"|"&amp;$D101,ElaKey,0),MATCH(Settings!$C$6,ElaGroup,0))</f>
        <v/>
      </c>
      <c r="Q101" s="24">
        <f>INDEX(ElaVal,MATCH("eff|"&amp;$E101&amp;"|"&amp;$D101,ElaKey,0),MATCH(Settings!$C$6,ElaGroup,0))</f>
        <v/>
      </c>
      <c r="R101" s="13">
        <f>INDEX(ElaVal,MATCH("aei|"&amp;$F101&amp;"|"&amp;$D101,ElaKey,0),MATCH(Settings!$C$6,ElaGroup,0))</f>
        <v/>
      </c>
      <c r="S101" s="16">
        <f>(1/(1+$R101))^(1+$P101)</f>
        <v/>
      </c>
      <c r="T101" s="24">
        <f>$Q101*(1+$P101)</f>
        <v/>
      </c>
      <c r="U101" s="14">
        <f>INDEX(Inputs_prices!$E$7:$E$18,MATCH($I101,Inputs_prices!$A$7:$A$18,0))</f>
        <v/>
      </c>
      <c r="V101" s="13">
        <f>INDEX(Inputs_prices!$R$7:$R$18,MATCH($I101,Inputs_prices!$A$7:$A$18,0))</f>
        <v/>
      </c>
      <c r="W101" s="16">
        <f>INDEX(EFVal,MATCH(Settings!$C$4&amp;"|"&amp;$B101&amp;"|"&amp;$J101,EFKey,0))</f>
        <v/>
      </c>
      <c r="X101" s="44">
        <f>INDEX(ConsVal,MATCH(Settings!$C$4&amp;"|"&amp;Settings!$C$7&amp;"|"&amp;$C101&amp;"|"&amp;$B101,ConsKey,0))</f>
        <v/>
      </c>
      <c r="Y101" s="14">
        <f>INDEX(Mapping!$I$5:$I$20,MATCH($C101,SubKey,0))</f>
        <v/>
      </c>
      <c r="Z101" s="35">
        <f>INDEX(ECPCov,MATCH("ecs."&amp;$Y101,ECPKey,0))*INDEX(ECPCov,MATCH("ecf."&amp;$B101,ECPKey,0))</f>
        <v/>
      </c>
      <c r="AA101" s="35">
        <f>INDEX(ECPCov,MATCH("ees."&amp;$Y101,ECPKey,0))*INDEX(ECPCov,MATCH("eef."&amp;$B101,ECPKey,0))</f>
        <v/>
      </c>
    </row>
    <row r="102">
      <c r="A102" s="14">
        <f>$B102&amp;"|"&amp;$C102</f>
        <v/>
      </c>
      <c r="B102" s="22" t="inlineStr">
        <is>
          <t>nga</t>
        </is>
      </c>
      <c r="C102" s="22" t="inlineStr">
        <is>
          <t>omn</t>
        </is>
      </c>
      <c r="D102" s="14">
        <f>INDEX(Mapping!$D$5:$D$20,MATCH($C102,SubKey,0))</f>
        <v/>
      </c>
      <c r="E102" s="14">
        <f>INDEX(Mapping!$C$30:$C$37,MATCH($B102,FuelKey,0))</f>
        <v/>
      </c>
      <c r="F102" s="14">
        <f>INDEX(Mapping!$D$30:$D$37,MATCH($B102,FuelKey,0))</f>
        <v/>
      </c>
      <c r="G102" s="14">
        <f>INDEX(Mapping!$E$30:$E$37,MATCH($B102,FuelKey,0))</f>
        <v/>
      </c>
      <c r="H102" s="14">
        <f>INDEX(Mapping!$F$5:$F$20,MATCH($C102,SubKey,0))</f>
        <v/>
      </c>
      <c r="I102" s="14">
        <f>$B102&amp;"."&amp;IF($G102="sub",$H102,"all")</f>
        <v/>
      </c>
      <c r="J102" s="14">
        <f>INDEX(Mapping!$E$5:$E$20,MATCH($C102,SubKey,0))</f>
        <v/>
      </c>
      <c r="K102" s="14">
        <f>INDEX(Mapping!$G$30:$G$37,MATCH($B102,FuelKey,0))</f>
        <v/>
      </c>
      <c r="L102" s="14">
        <f>INDEX(Mapping!$H$30:$H$37,MATCH($B102,FuelKey,0))</f>
        <v/>
      </c>
      <c r="M102" s="14">
        <f>INDEX(Mapping!$H$5:$H$20,MATCH($C102,SubKey,0))</f>
        <v/>
      </c>
      <c r="N102" s="14">
        <f>INDEX(Mapping!$E$50:$E$63,MATCH($I102,Mapping!$A$50:$A$63,0))</f>
        <v/>
      </c>
      <c r="O102" s="24">
        <f>INDEX(ElaVal,MATCH("inc|"&amp;$E102&amp;"|"&amp;$D102,ElaKey,0),MATCH(Settings!$C$6,ElaGroup,0))</f>
        <v/>
      </c>
      <c r="P102" s="24">
        <f>INDEX(ElaVal,MATCH("usg|"&amp;$E102&amp;"|"&amp;$D102,ElaKey,0),MATCH(Settings!$C$6,ElaGroup,0))</f>
        <v/>
      </c>
      <c r="Q102" s="24">
        <f>INDEX(ElaVal,MATCH("eff|"&amp;$E102&amp;"|"&amp;$D102,ElaKey,0),MATCH(Settings!$C$6,ElaGroup,0))</f>
        <v/>
      </c>
      <c r="R102" s="13">
        <f>INDEX(ElaVal,MATCH("aei|"&amp;$F102&amp;"|"&amp;$D102,ElaKey,0),MATCH(Settings!$C$6,ElaGroup,0))</f>
        <v/>
      </c>
      <c r="S102" s="16">
        <f>(1/(1+$R102))^(1+$P102)</f>
        <v/>
      </c>
      <c r="T102" s="24">
        <f>$Q102*(1+$P102)</f>
        <v/>
      </c>
      <c r="U102" s="14">
        <f>INDEX(Inputs_prices!$E$7:$E$18,MATCH($I102,Inputs_prices!$A$7:$A$18,0))</f>
        <v/>
      </c>
      <c r="V102" s="13">
        <f>INDEX(Inputs_prices!$R$7:$R$18,MATCH($I102,Inputs_prices!$A$7:$A$18,0))</f>
        <v/>
      </c>
      <c r="W102" s="16">
        <f>INDEX(EFVal,MATCH(Settings!$C$4&amp;"|"&amp;$B102&amp;"|"&amp;$J102,EFKey,0))</f>
        <v/>
      </c>
      <c r="X102" s="44">
        <f>INDEX(ConsVal,MATCH(Settings!$C$4&amp;"|"&amp;Settings!$C$7&amp;"|"&amp;$C102&amp;"|"&amp;$B102,ConsKey,0))</f>
        <v/>
      </c>
      <c r="Y102" s="14">
        <f>INDEX(Mapping!$I$5:$I$20,MATCH($C102,SubKey,0))</f>
        <v/>
      </c>
      <c r="Z102" s="35">
        <f>INDEX(ECPCov,MATCH("ecs."&amp;$Y102,ECPKey,0))*INDEX(ECPCov,MATCH("ecf."&amp;$B102,ECPKey,0))</f>
        <v/>
      </c>
      <c r="AA102" s="35">
        <f>INDEX(ECPCov,MATCH("ees."&amp;$Y102,ECPKey,0))*INDEX(ECPCov,MATCH("eef."&amp;$B102,ECPKey,0))</f>
        <v/>
      </c>
    </row>
    <row r="103">
      <c r="A103" s="14">
        <f>$B103&amp;"|"&amp;$C103</f>
        <v/>
      </c>
      <c r="B103" s="22" t="inlineStr">
        <is>
          <t>gso</t>
        </is>
      </c>
      <c r="C103" s="22" t="inlineStr">
        <is>
          <t>omn</t>
        </is>
      </c>
      <c r="D103" s="14">
        <f>INDEX(Mapping!$D$5:$D$20,MATCH($C103,SubKey,0))</f>
        <v/>
      </c>
      <c r="E103" s="14">
        <f>INDEX(Mapping!$C$30:$C$37,MATCH($B103,FuelKey,0))</f>
        <v/>
      </c>
      <c r="F103" s="14">
        <f>INDEX(Mapping!$D$30:$D$37,MATCH($B103,FuelKey,0))</f>
        <v/>
      </c>
      <c r="G103" s="14">
        <f>INDEX(Mapping!$E$30:$E$37,MATCH($B103,FuelKey,0))</f>
        <v/>
      </c>
      <c r="H103" s="14">
        <f>INDEX(Mapping!$F$5:$F$20,MATCH($C103,SubKey,0))</f>
        <v/>
      </c>
      <c r="I103" s="14">
        <f>$B103&amp;"."&amp;IF($G103="sub",$H103,"all")</f>
        <v/>
      </c>
      <c r="J103" s="14">
        <f>INDEX(Mapping!$E$5:$E$20,MATCH($C103,SubKey,0))</f>
        <v/>
      </c>
      <c r="K103" s="14">
        <f>INDEX(Mapping!$G$30:$G$37,MATCH($B103,FuelKey,0))</f>
        <v/>
      </c>
      <c r="L103" s="14">
        <f>INDEX(Mapping!$H$30:$H$37,MATCH($B103,FuelKey,0))</f>
        <v/>
      </c>
      <c r="M103" s="14">
        <f>INDEX(Mapping!$H$5:$H$20,MATCH($C103,SubKey,0))</f>
        <v/>
      </c>
      <c r="N103" s="14">
        <f>INDEX(Mapping!$E$50:$E$63,MATCH($I103,Mapping!$A$50:$A$63,0))</f>
        <v/>
      </c>
      <c r="O103" s="24">
        <f>INDEX(ElaVal,MATCH("inc|"&amp;$E103&amp;"|"&amp;$D103,ElaKey,0),MATCH(Settings!$C$6,ElaGroup,0))</f>
        <v/>
      </c>
      <c r="P103" s="24">
        <f>INDEX(ElaVal,MATCH("usg|"&amp;$E103&amp;"|"&amp;$D103,ElaKey,0),MATCH(Settings!$C$6,ElaGroup,0))</f>
        <v/>
      </c>
      <c r="Q103" s="24">
        <f>INDEX(ElaVal,MATCH("eff|"&amp;$E103&amp;"|"&amp;$D103,ElaKey,0),MATCH(Settings!$C$6,ElaGroup,0))</f>
        <v/>
      </c>
      <c r="R103" s="13">
        <f>INDEX(ElaVal,MATCH("aei|"&amp;$F103&amp;"|"&amp;$D103,ElaKey,0),MATCH(Settings!$C$6,ElaGroup,0))</f>
        <v/>
      </c>
      <c r="S103" s="16">
        <f>(1/(1+$R103))^(1+$P103)</f>
        <v/>
      </c>
      <c r="T103" s="24">
        <f>$Q103*(1+$P103)</f>
        <v/>
      </c>
      <c r="U103" s="14">
        <f>INDEX(Inputs_prices!$E$7:$E$18,MATCH($I103,Inputs_prices!$A$7:$A$18,0))</f>
        <v/>
      </c>
      <c r="V103" s="13">
        <f>INDEX(Inputs_prices!$R$7:$R$18,MATCH($I103,Inputs_prices!$A$7:$A$18,0))</f>
        <v/>
      </c>
      <c r="W103" s="16">
        <f>INDEX(EFVal,MATCH(Settings!$C$4&amp;"|"&amp;$B103&amp;"|"&amp;$J103,EFKey,0))</f>
        <v/>
      </c>
      <c r="X103" s="44">
        <f>INDEX(ConsVal,MATCH(Settings!$C$4&amp;"|"&amp;Settings!$C$7&amp;"|"&amp;$C103&amp;"|"&amp;$B103,ConsKey,0))</f>
        <v/>
      </c>
      <c r="Y103" s="14">
        <f>INDEX(Mapping!$I$5:$I$20,MATCH($C103,SubKey,0))</f>
        <v/>
      </c>
      <c r="Z103" s="35">
        <f>INDEX(ECPCov,MATCH("ecs."&amp;$Y103,ECPKey,0))*INDEX(ECPCov,MATCH("ecf."&amp;$B103,ECPKey,0))</f>
        <v/>
      </c>
      <c r="AA103" s="35">
        <f>INDEX(ECPCov,MATCH("ees."&amp;$Y103,ECPKey,0))*INDEX(ECPCov,MATCH("eef."&amp;$B103,ECPKey,0))</f>
        <v/>
      </c>
    </row>
    <row r="104">
      <c r="A104" s="14">
        <f>$B104&amp;"|"&amp;$C104</f>
        <v/>
      </c>
      <c r="B104" s="22" t="inlineStr">
        <is>
          <t>die</t>
        </is>
      </c>
      <c r="C104" s="22" t="inlineStr">
        <is>
          <t>omn</t>
        </is>
      </c>
      <c r="D104" s="14">
        <f>INDEX(Mapping!$D$5:$D$20,MATCH($C104,SubKey,0))</f>
        <v/>
      </c>
      <c r="E104" s="14">
        <f>INDEX(Mapping!$C$30:$C$37,MATCH($B104,FuelKey,0))</f>
        <v/>
      </c>
      <c r="F104" s="14">
        <f>INDEX(Mapping!$D$30:$D$37,MATCH($B104,FuelKey,0))</f>
        <v/>
      </c>
      <c r="G104" s="14">
        <f>INDEX(Mapping!$E$30:$E$37,MATCH($B104,FuelKey,0))</f>
        <v/>
      </c>
      <c r="H104" s="14">
        <f>INDEX(Mapping!$F$5:$F$20,MATCH($C104,SubKey,0))</f>
        <v/>
      </c>
      <c r="I104" s="14">
        <f>$B104&amp;"."&amp;IF($G104="sub",$H104,"all")</f>
        <v/>
      </c>
      <c r="J104" s="14">
        <f>INDEX(Mapping!$E$5:$E$20,MATCH($C104,SubKey,0))</f>
        <v/>
      </c>
      <c r="K104" s="14">
        <f>INDEX(Mapping!$G$30:$G$37,MATCH($B104,FuelKey,0))</f>
        <v/>
      </c>
      <c r="L104" s="14">
        <f>INDEX(Mapping!$H$30:$H$37,MATCH($B104,FuelKey,0))</f>
        <v/>
      </c>
      <c r="M104" s="14">
        <f>INDEX(Mapping!$H$5:$H$20,MATCH($C104,SubKey,0))</f>
        <v/>
      </c>
      <c r="N104" s="14">
        <f>INDEX(Mapping!$E$50:$E$63,MATCH($I104,Mapping!$A$50:$A$63,0))</f>
        <v/>
      </c>
      <c r="O104" s="24">
        <f>INDEX(ElaVal,MATCH("inc|"&amp;$E104&amp;"|"&amp;$D104,ElaKey,0),MATCH(Settings!$C$6,ElaGroup,0))</f>
        <v/>
      </c>
      <c r="P104" s="24">
        <f>INDEX(ElaVal,MATCH("usg|"&amp;$E104&amp;"|"&amp;$D104,ElaKey,0),MATCH(Settings!$C$6,ElaGroup,0))</f>
        <v/>
      </c>
      <c r="Q104" s="24">
        <f>INDEX(ElaVal,MATCH("eff|"&amp;$E104&amp;"|"&amp;$D104,ElaKey,0),MATCH(Settings!$C$6,ElaGroup,0))</f>
        <v/>
      </c>
      <c r="R104" s="13">
        <f>INDEX(ElaVal,MATCH("aei|"&amp;$F104&amp;"|"&amp;$D104,ElaKey,0),MATCH(Settings!$C$6,ElaGroup,0))</f>
        <v/>
      </c>
      <c r="S104" s="16">
        <f>(1/(1+$R104))^(1+$P104)</f>
        <v/>
      </c>
      <c r="T104" s="24">
        <f>$Q104*(1+$P104)</f>
        <v/>
      </c>
      <c r="U104" s="14">
        <f>INDEX(Inputs_prices!$E$7:$E$18,MATCH($I104,Inputs_prices!$A$7:$A$18,0))</f>
        <v/>
      </c>
      <c r="V104" s="13">
        <f>INDEX(Inputs_prices!$R$7:$R$18,MATCH($I104,Inputs_prices!$A$7:$A$18,0))</f>
        <v/>
      </c>
      <c r="W104" s="16">
        <f>INDEX(EFVal,MATCH(Settings!$C$4&amp;"|"&amp;$B104&amp;"|"&amp;$J104,EFKey,0))</f>
        <v/>
      </c>
      <c r="X104" s="44">
        <f>INDEX(ConsVal,MATCH(Settings!$C$4&amp;"|"&amp;Settings!$C$7&amp;"|"&amp;$C104&amp;"|"&amp;$B104,ConsKey,0))</f>
        <v/>
      </c>
      <c r="Y104" s="14">
        <f>INDEX(Mapping!$I$5:$I$20,MATCH($C104,SubKey,0))</f>
        <v/>
      </c>
      <c r="Z104" s="35">
        <f>INDEX(ECPCov,MATCH("ecs."&amp;$Y104,ECPKey,0))*INDEX(ECPCov,MATCH("ecf."&amp;$B104,ECPKey,0))</f>
        <v/>
      </c>
      <c r="AA104" s="35">
        <f>INDEX(ECPCov,MATCH("ees."&amp;$Y104,ECPKey,0))*INDEX(ECPCov,MATCH("eef."&amp;$B104,ECPKey,0))</f>
        <v/>
      </c>
    </row>
    <row r="105">
      <c r="A105" s="14">
        <f>$B105&amp;"|"&amp;$C105</f>
        <v/>
      </c>
      <c r="B105" s="22" t="inlineStr">
        <is>
          <t>lpg</t>
        </is>
      </c>
      <c r="C105" s="22" t="inlineStr">
        <is>
          <t>omn</t>
        </is>
      </c>
      <c r="D105" s="14">
        <f>INDEX(Mapping!$D$5:$D$20,MATCH($C105,SubKey,0))</f>
        <v/>
      </c>
      <c r="E105" s="14">
        <f>INDEX(Mapping!$C$30:$C$37,MATCH($B105,FuelKey,0))</f>
        <v/>
      </c>
      <c r="F105" s="14">
        <f>INDEX(Mapping!$D$30:$D$37,MATCH($B105,FuelKey,0))</f>
        <v/>
      </c>
      <c r="G105" s="14">
        <f>INDEX(Mapping!$E$30:$E$37,MATCH($B105,FuelKey,0))</f>
        <v/>
      </c>
      <c r="H105" s="14">
        <f>INDEX(Mapping!$F$5:$F$20,MATCH($C105,SubKey,0))</f>
        <v/>
      </c>
      <c r="I105" s="14">
        <f>$B105&amp;"."&amp;IF($G105="sub",$H105,"all")</f>
        <v/>
      </c>
      <c r="J105" s="14">
        <f>INDEX(Mapping!$E$5:$E$20,MATCH($C105,SubKey,0))</f>
        <v/>
      </c>
      <c r="K105" s="14">
        <f>INDEX(Mapping!$G$30:$G$37,MATCH($B105,FuelKey,0))</f>
        <v/>
      </c>
      <c r="L105" s="14">
        <f>INDEX(Mapping!$H$30:$H$37,MATCH($B105,FuelKey,0))</f>
        <v/>
      </c>
      <c r="M105" s="14">
        <f>INDEX(Mapping!$H$5:$H$20,MATCH($C105,SubKey,0))</f>
        <v/>
      </c>
      <c r="N105" s="14">
        <f>INDEX(Mapping!$E$50:$E$63,MATCH($I105,Mapping!$A$50:$A$63,0))</f>
        <v/>
      </c>
      <c r="O105" s="24">
        <f>INDEX(ElaVal,MATCH("inc|"&amp;$E105&amp;"|"&amp;$D105,ElaKey,0),MATCH(Settings!$C$6,ElaGroup,0))</f>
        <v/>
      </c>
      <c r="P105" s="24">
        <f>INDEX(ElaVal,MATCH("usg|"&amp;$E105&amp;"|"&amp;$D105,ElaKey,0),MATCH(Settings!$C$6,ElaGroup,0))</f>
        <v/>
      </c>
      <c r="Q105" s="24">
        <f>INDEX(ElaVal,MATCH("eff|"&amp;$E105&amp;"|"&amp;$D105,ElaKey,0),MATCH(Settings!$C$6,ElaGroup,0))</f>
        <v/>
      </c>
      <c r="R105" s="13">
        <f>INDEX(ElaVal,MATCH("aei|"&amp;$F105&amp;"|"&amp;$D105,ElaKey,0),MATCH(Settings!$C$6,ElaGroup,0))</f>
        <v/>
      </c>
      <c r="S105" s="16">
        <f>(1/(1+$R105))^(1+$P105)</f>
        <v/>
      </c>
      <c r="T105" s="24">
        <f>$Q105*(1+$P105)</f>
        <v/>
      </c>
      <c r="U105" s="14">
        <f>INDEX(Inputs_prices!$E$7:$E$18,MATCH($I105,Inputs_prices!$A$7:$A$18,0))</f>
        <v/>
      </c>
      <c r="V105" s="13">
        <f>INDEX(Inputs_prices!$R$7:$R$18,MATCH($I105,Inputs_prices!$A$7:$A$18,0))</f>
        <v/>
      </c>
      <c r="W105" s="16">
        <f>INDEX(EFVal,MATCH(Settings!$C$4&amp;"|"&amp;$B105&amp;"|"&amp;$J105,EFKey,0))</f>
        <v/>
      </c>
      <c r="X105" s="44">
        <f>INDEX(ConsVal,MATCH(Settings!$C$4&amp;"|"&amp;Settings!$C$7&amp;"|"&amp;$C105&amp;"|"&amp;$B105,ConsKey,0))</f>
        <v/>
      </c>
      <c r="Y105" s="14">
        <f>INDEX(Mapping!$I$5:$I$20,MATCH($C105,SubKey,0))</f>
        <v/>
      </c>
      <c r="Z105" s="35">
        <f>INDEX(ECPCov,MATCH("ecs."&amp;$Y105,ECPKey,0))*INDEX(ECPCov,MATCH("ecf."&amp;$B105,ECPKey,0))</f>
        <v/>
      </c>
      <c r="AA105" s="35">
        <f>INDEX(ECPCov,MATCH("ees."&amp;$Y105,ECPKey,0))*INDEX(ECPCov,MATCH("eef."&amp;$B105,ECPKey,0))</f>
        <v/>
      </c>
    </row>
    <row r="106">
      <c r="A106" s="14">
        <f>$B106&amp;"|"&amp;$C106</f>
        <v/>
      </c>
      <c r="B106" s="22" t="inlineStr">
        <is>
          <t>ker</t>
        </is>
      </c>
      <c r="C106" s="22" t="inlineStr">
        <is>
          <t>omn</t>
        </is>
      </c>
      <c r="D106" s="14">
        <f>INDEX(Mapping!$D$5:$D$20,MATCH($C106,SubKey,0))</f>
        <v/>
      </c>
      <c r="E106" s="14">
        <f>INDEX(Mapping!$C$30:$C$37,MATCH($B106,FuelKey,0))</f>
        <v/>
      </c>
      <c r="F106" s="14">
        <f>INDEX(Mapping!$D$30:$D$37,MATCH($B106,FuelKey,0))</f>
        <v/>
      </c>
      <c r="G106" s="14">
        <f>INDEX(Mapping!$E$30:$E$37,MATCH($B106,FuelKey,0))</f>
        <v/>
      </c>
      <c r="H106" s="14">
        <f>INDEX(Mapping!$F$5:$F$20,MATCH($C106,SubKey,0))</f>
        <v/>
      </c>
      <c r="I106" s="14">
        <f>$B106&amp;"."&amp;IF($G106="sub",$H106,"all")</f>
        <v/>
      </c>
      <c r="J106" s="14">
        <f>INDEX(Mapping!$E$5:$E$20,MATCH($C106,SubKey,0))</f>
        <v/>
      </c>
      <c r="K106" s="14">
        <f>INDEX(Mapping!$G$30:$G$37,MATCH($B106,FuelKey,0))</f>
        <v/>
      </c>
      <c r="L106" s="14">
        <f>INDEX(Mapping!$H$30:$H$37,MATCH($B106,FuelKey,0))</f>
        <v/>
      </c>
      <c r="M106" s="14">
        <f>INDEX(Mapping!$H$5:$H$20,MATCH($C106,SubKey,0))</f>
        <v/>
      </c>
      <c r="N106" s="14">
        <f>INDEX(Mapping!$E$50:$E$63,MATCH($I106,Mapping!$A$50:$A$63,0))</f>
        <v/>
      </c>
      <c r="O106" s="24">
        <f>INDEX(ElaVal,MATCH("inc|"&amp;$E106&amp;"|"&amp;$D106,ElaKey,0),MATCH(Settings!$C$6,ElaGroup,0))</f>
        <v/>
      </c>
      <c r="P106" s="24">
        <f>INDEX(ElaVal,MATCH("usg|"&amp;$E106&amp;"|"&amp;$D106,ElaKey,0),MATCH(Settings!$C$6,ElaGroup,0))</f>
        <v/>
      </c>
      <c r="Q106" s="24">
        <f>INDEX(ElaVal,MATCH("eff|"&amp;$E106&amp;"|"&amp;$D106,ElaKey,0),MATCH(Settings!$C$6,ElaGroup,0))</f>
        <v/>
      </c>
      <c r="R106" s="13">
        <f>INDEX(ElaVal,MATCH("aei|"&amp;$F106&amp;"|"&amp;$D106,ElaKey,0),MATCH(Settings!$C$6,ElaGroup,0))</f>
        <v/>
      </c>
      <c r="S106" s="16">
        <f>(1/(1+$R106))^(1+$P106)</f>
        <v/>
      </c>
      <c r="T106" s="24">
        <f>$Q106*(1+$P106)</f>
        <v/>
      </c>
      <c r="U106" s="14">
        <f>INDEX(Inputs_prices!$E$7:$E$18,MATCH($I106,Inputs_prices!$A$7:$A$18,0))</f>
        <v/>
      </c>
      <c r="V106" s="13">
        <f>INDEX(Inputs_prices!$R$7:$R$18,MATCH($I106,Inputs_prices!$A$7:$A$18,0))</f>
        <v/>
      </c>
      <c r="W106" s="16">
        <f>INDEX(EFVal,MATCH(Settings!$C$4&amp;"|"&amp;$B106&amp;"|"&amp;$J106,EFKey,0))</f>
        <v/>
      </c>
      <c r="X106" s="44">
        <f>INDEX(ConsVal,MATCH(Settings!$C$4&amp;"|"&amp;Settings!$C$7&amp;"|"&amp;$C106&amp;"|"&amp;$B106,ConsKey,0))</f>
        <v/>
      </c>
      <c r="Y106" s="14">
        <f>INDEX(Mapping!$I$5:$I$20,MATCH($C106,SubKey,0))</f>
        <v/>
      </c>
      <c r="Z106" s="35">
        <f>INDEX(ECPCov,MATCH("ecs."&amp;$Y106,ECPKey,0))*INDEX(ECPCov,MATCH("ecf."&amp;$B106,ECPKey,0))</f>
        <v/>
      </c>
      <c r="AA106" s="35">
        <f>INDEX(ECPCov,MATCH("ees."&amp;$Y106,ECPKey,0))*INDEX(ECPCov,MATCH("eef."&amp;$B106,ECPKey,0))</f>
        <v/>
      </c>
    </row>
    <row r="107">
      <c r="A107" s="14">
        <f>$B107&amp;"|"&amp;$C107</f>
        <v/>
      </c>
      <c r="B107" s="22" t="inlineStr">
        <is>
          <t>oop</t>
        </is>
      </c>
      <c r="C107" s="22" t="inlineStr">
        <is>
          <t>omn</t>
        </is>
      </c>
      <c r="D107" s="14">
        <f>INDEX(Mapping!$D$5:$D$20,MATCH($C107,SubKey,0))</f>
        <v/>
      </c>
      <c r="E107" s="14">
        <f>INDEX(Mapping!$C$30:$C$37,MATCH($B107,FuelKey,0))</f>
        <v/>
      </c>
      <c r="F107" s="14">
        <f>INDEX(Mapping!$D$30:$D$37,MATCH($B107,FuelKey,0))</f>
        <v/>
      </c>
      <c r="G107" s="14">
        <f>INDEX(Mapping!$E$30:$E$37,MATCH($B107,FuelKey,0))</f>
        <v/>
      </c>
      <c r="H107" s="14">
        <f>INDEX(Mapping!$F$5:$F$20,MATCH($C107,SubKey,0))</f>
        <v/>
      </c>
      <c r="I107" s="14">
        <f>$B107&amp;"."&amp;IF($G107="sub",$H107,"all")</f>
        <v/>
      </c>
      <c r="J107" s="14">
        <f>INDEX(Mapping!$E$5:$E$20,MATCH($C107,SubKey,0))</f>
        <v/>
      </c>
      <c r="K107" s="14">
        <f>INDEX(Mapping!$G$30:$G$37,MATCH($B107,FuelKey,0))</f>
        <v/>
      </c>
      <c r="L107" s="14">
        <f>INDEX(Mapping!$H$30:$H$37,MATCH($B107,FuelKey,0))</f>
        <v/>
      </c>
      <c r="M107" s="14">
        <f>INDEX(Mapping!$H$5:$H$20,MATCH($C107,SubKey,0))</f>
        <v/>
      </c>
      <c r="N107" s="14">
        <f>INDEX(Mapping!$E$50:$E$63,MATCH($I107,Mapping!$A$50:$A$63,0))</f>
        <v/>
      </c>
      <c r="O107" s="24">
        <f>INDEX(ElaVal,MATCH("inc|"&amp;$E107&amp;"|"&amp;$D107,ElaKey,0),MATCH(Settings!$C$6,ElaGroup,0))</f>
        <v/>
      </c>
      <c r="P107" s="24">
        <f>INDEX(ElaVal,MATCH("usg|"&amp;$E107&amp;"|"&amp;$D107,ElaKey,0),MATCH(Settings!$C$6,ElaGroup,0))</f>
        <v/>
      </c>
      <c r="Q107" s="24">
        <f>INDEX(ElaVal,MATCH("eff|"&amp;$E107&amp;"|"&amp;$D107,ElaKey,0),MATCH(Settings!$C$6,ElaGroup,0))</f>
        <v/>
      </c>
      <c r="R107" s="13">
        <f>INDEX(ElaVal,MATCH("aei|"&amp;$F107&amp;"|"&amp;$D107,ElaKey,0),MATCH(Settings!$C$6,ElaGroup,0))</f>
        <v/>
      </c>
      <c r="S107" s="16">
        <f>(1/(1+$R107))^(1+$P107)</f>
        <v/>
      </c>
      <c r="T107" s="24">
        <f>$Q107*(1+$P107)</f>
        <v/>
      </c>
      <c r="U107" s="14">
        <f>INDEX(Inputs_prices!$E$7:$E$18,MATCH($I107,Inputs_prices!$A$7:$A$18,0))</f>
        <v/>
      </c>
      <c r="V107" s="13">
        <f>INDEX(Inputs_prices!$R$7:$R$18,MATCH($I107,Inputs_prices!$A$7:$A$18,0))</f>
        <v/>
      </c>
      <c r="W107" s="16">
        <f>INDEX(EFVal,MATCH(Settings!$C$4&amp;"|"&amp;$B107&amp;"|"&amp;$J107,EFKey,0))</f>
        <v/>
      </c>
      <c r="X107" s="44">
        <f>INDEX(ConsVal,MATCH(Settings!$C$4&amp;"|"&amp;Settings!$C$7&amp;"|"&amp;$C107&amp;"|"&amp;$B107,ConsKey,0))</f>
        <v/>
      </c>
      <c r="Y107" s="14">
        <f>INDEX(Mapping!$I$5:$I$20,MATCH($C107,SubKey,0))</f>
        <v/>
      </c>
      <c r="Z107" s="35">
        <f>INDEX(ECPCov,MATCH("ecs."&amp;$Y107,ECPKey,0))*INDEX(ECPCov,MATCH("ecf."&amp;$B107,ECPKey,0))</f>
        <v/>
      </c>
      <c r="AA107" s="35">
        <f>INDEX(ECPCov,MATCH("ees."&amp;$Y107,ECPKey,0))*INDEX(ECPCov,MATCH("eef."&amp;$B107,ECPKey,0))</f>
        <v/>
      </c>
    </row>
    <row r="108">
      <c r="A108" s="14">
        <f>$B108&amp;"|"&amp;$C108</f>
        <v/>
      </c>
      <c r="B108" s="22" t="inlineStr">
        <is>
          <t>bio</t>
        </is>
      </c>
      <c r="C108" s="22" t="inlineStr">
        <is>
          <t>omn</t>
        </is>
      </c>
      <c r="D108" s="14">
        <f>INDEX(Mapping!$D$5:$D$20,MATCH($C108,SubKey,0))</f>
        <v/>
      </c>
      <c r="E108" s="14">
        <f>INDEX(Mapping!$C$30:$C$37,MATCH($B108,FuelKey,0))</f>
        <v/>
      </c>
      <c r="F108" s="14">
        <f>INDEX(Mapping!$D$30:$D$37,MATCH($B108,FuelKey,0))</f>
        <v/>
      </c>
      <c r="G108" s="14">
        <f>INDEX(Mapping!$E$30:$E$37,MATCH($B108,FuelKey,0))</f>
        <v/>
      </c>
      <c r="H108" s="14">
        <f>INDEX(Mapping!$F$5:$F$20,MATCH($C108,SubKey,0))</f>
        <v/>
      </c>
      <c r="I108" s="14">
        <f>$B108&amp;"."&amp;IF($G108="sub",$H108,"all")</f>
        <v/>
      </c>
      <c r="J108" s="14">
        <f>INDEX(Mapping!$E$5:$E$20,MATCH($C108,SubKey,0))</f>
        <v/>
      </c>
      <c r="K108" s="14">
        <f>INDEX(Mapping!$G$30:$G$37,MATCH($B108,FuelKey,0))</f>
        <v/>
      </c>
      <c r="L108" s="14">
        <f>INDEX(Mapping!$H$30:$H$37,MATCH($B108,FuelKey,0))</f>
        <v/>
      </c>
      <c r="M108" s="14">
        <f>INDEX(Mapping!$H$5:$H$20,MATCH($C108,SubKey,0))</f>
        <v/>
      </c>
      <c r="N108" s="14">
        <f>INDEX(Mapping!$E$50:$E$63,MATCH($I108,Mapping!$A$50:$A$63,0))</f>
        <v/>
      </c>
      <c r="O108" s="24">
        <f>INDEX(ElaVal,MATCH("inc|"&amp;$E108&amp;"|"&amp;$D108,ElaKey,0),MATCH(Settings!$C$6,ElaGroup,0))</f>
        <v/>
      </c>
      <c r="P108" s="24">
        <f>INDEX(ElaVal,MATCH("usg|"&amp;$E108&amp;"|"&amp;$D108,ElaKey,0),MATCH(Settings!$C$6,ElaGroup,0))</f>
        <v/>
      </c>
      <c r="Q108" s="24">
        <f>INDEX(ElaVal,MATCH("eff|"&amp;$E108&amp;"|"&amp;$D108,ElaKey,0),MATCH(Settings!$C$6,ElaGroup,0))</f>
        <v/>
      </c>
      <c r="R108" s="13">
        <f>INDEX(ElaVal,MATCH("aei|"&amp;$F108&amp;"|"&amp;$D108,ElaKey,0),MATCH(Settings!$C$6,ElaGroup,0))</f>
        <v/>
      </c>
      <c r="S108" s="16">
        <f>(1/(1+$R108))^(1+$P108)</f>
        <v/>
      </c>
      <c r="T108" s="24">
        <f>$Q108*(1+$P108)</f>
        <v/>
      </c>
      <c r="U108" s="14">
        <f>INDEX(Inputs_prices!$E$7:$E$18,MATCH($I108,Inputs_prices!$A$7:$A$18,0))</f>
        <v/>
      </c>
      <c r="V108" s="13">
        <f>INDEX(Inputs_prices!$R$7:$R$18,MATCH($I108,Inputs_prices!$A$7:$A$18,0))</f>
        <v/>
      </c>
      <c r="W108" s="16">
        <f>INDEX(EFVal,MATCH(Settings!$C$4&amp;"|"&amp;$B108&amp;"|"&amp;$J108,EFKey,0))</f>
        <v/>
      </c>
      <c r="X108" s="44">
        <f>INDEX(ConsVal,MATCH(Settings!$C$4&amp;"|"&amp;Settings!$C$7&amp;"|"&amp;$C108&amp;"|"&amp;$B108,ConsKey,0))</f>
        <v/>
      </c>
      <c r="Y108" s="14">
        <f>INDEX(Mapping!$I$5:$I$20,MATCH($C108,SubKey,0))</f>
        <v/>
      </c>
      <c r="Z108" s="35">
        <f>INDEX(ECPCov,MATCH("ecs."&amp;$Y108,ECPKey,0))*INDEX(ECPCov,MATCH("ecf."&amp;$B108,ECPKey,0))</f>
        <v/>
      </c>
      <c r="AA108" s="35">
        <f>INDEX(ECPCov,MATCH("ees."&amp;$Y108,ECPKey,0))*INDEX(ECPCov,MATCH("eef."&amp;$B108,ECPKey,0))</f>
        <v/>
      </c>
    </row>
    <row r="109">
      <c r="A109" s="14">
        <f>$B109&amp;"|"&amp;$C109</f>
        <v/>
      </c>
      <c r="B109" s="22" t="inlineStr">
        <is>
          <t>coa</t>
        </is>
      </c>
      <c r="C109" s="22" t="inlineStr">
        <is>
          <t>cst</t>
        </is>
      </c>
      <c r="D109" s="14">
        <f>INDEX(Mapping!$D$5:$D$20,MATCH($C109,SubKey,0))</f>
        <v/>
      </c>
      <c r="E109" s="14">
        <f>INDEX(Mapping!$C$30:$C$37,MATCH($B109,FuelKey,0))</f>
        <v/>
      </c>
      <c r="F109" s="14">
        <f>INDEX(Mapping!$D$30:$D$37,MATCH($B109,FuelKey,0))</f>
        <v/>
      </c>
      <c r="G109" s="14">
        <f>INDEX(Mapping!$E$30:$E$37,MATCH($B109,FuelKey,0))</f>
        <v/>
      </c>
      <c r="H109" s="14">
        <f>INDEX(Mapping!$F$5:$F$20,MATCH($C109,SubKey,0))</f>
        <v/>
      </c>
      <c r="I109" s="14">
        <f>$B109&amp;"."&amp;IF($G109="sub",$H109,"all")</f>
        <v/>
      </c>
      <c r="J109" s="14">
        <f>INDEX(Mapping!$E$5:$E$20,MATCH($C109,SubKey,0))</f>
        <v/>
      </c>
      <c r="K109" s="14">
        <f>INDEX(Mapping!$G$30:$G$37,MATCH($B109,FuelKey,0))</f>
        <v/>
      </c>
      <c r="L109" s="14">
        <f>INDEX(Mapping!$H$30:$H$37,MATCH($B109,FuelKey,0))</f>
        <v/>
      </c>
      <c r="M109" s="14">
        <f>INDEX(Mapping!$H$5:$H$20,MATCH($C109,SubKey,0))</f>
        <v/>
      </c>
      <c r="N109" s="14">
        <f>INDEX(Mapping!$E$50:$E$63,MATCH($I109,Mapping!$A$50:$A$63,0))</f>
        <v/>
      </c>
      <c r="O109" s="24">
        <f>INDEX(ElaVal,MATCH("inc|"&amp;$E109&amp;"|"&amp;$D109,ElaKey,0),MATCH(Settings!$C$6,ElaGroup,0))</f>
        <v/>
      </c>
      <c r="P109" s="24">
        <f>INDEX(ElaVal,MATCH("usg|"&amp;$E109&amp;"|"&amp;$D109,ElaKey,0),MATCH(Settings!$C$6,ElaGroup,0))</f>
        <v/>
      </c>
      <c r="Q109" s="24">
        <f>INDEX(ElaVal,MATCH("eff|"&amp;$E109&amp;"|"&amp;$D109,ElaKey,0),MATCH(Settings!$C$6,ElaGroup,0))</f>
        <v/>
      </c>
      <c r="R109" s="13">
        <f>INDEX(ElaVal,MATCH("aei|"&amp;$F109&amp;"|"&amp;$D109,ElaKey,0),MATCH(Settings!$C$6,ElaGroup,0))</f>
        <v/>
      </c>
      <c r="S109" s="16">
        <f>(1/(1+$R109))^(1+$P109)</f>
        <v/>
      </c>
      <c r="T109" s="24">
        <f>$Q109*(1+$P109)</f>
        <v/>
      </c>
      <c r="U109" s="14">
        <f>INDEX(Inputs_prices!$E$7:$E$18,MATCH($I109,Inputs_prices!$A$7:$A$18,0))</f>
        <v/>
      </c>
      <c r="V109" s="13">
        <f>INDEX(Inputs_prices!$R$7:$R$18,MATCH($I109,Inputs_prices!$A$7:$A$18,0))</f>
        <v/>
      </c>
      <c r="W109" s="16">
        <f>INDEX(EFVal,MATCH(Settings!$C$4&amp;"|"&amp;$B109&amp;"|"&amp;$J109,EFKey,0))</f>
        <v/>
      </c>
      <c r="X109" s="44">
        <f>INDEX(ConsVal,MATCH(Settings!$C$4&amp;"|"&amp;Settings!$C$7&amp;"|"&amp;$C109&amp;"|"&amp;$B109,ConsKey,0))</f>
        <v/>
      </c>
      <c r="Y109" s="14">
        <f>INDEX(Mapping!$I$5:$I$20,MATCH($C109,SubKey,0))</f>
        <v/>
      </c>
      <c r="Z109" s="35">
        <f>INDEX(ECPCov,MATCH("ecs."&amp;$Y109,ECPKey,0))*INDEX(ECPCov,MATCH("ecf."&amp;$B109,ECPKey,0))</f>
        <v/>
      </c>
      <c r="AA109" s="35">
        <f>INDEX(ECPCov,MATCH("ees."&amp;$Y109,ECPKey,0))*INDEX(ECPCov,MATCH("eef."&amp;$B109,ECPKey,0))</f>
        <v/>
      </c>
    </row>
    <row r="110">
      <c r="A110" s="14">
        <f>$B110&amp;"|"&amp;$C110</f>
        <v/>
      </c>
      <c r="B110" s="22" t="inlineStr">
        <is>
          <t>nga</t>
        </is>
      </c>
      <c r="C110" s="22" t="inlineStr">
        <is>
          <t>cst</t>
        </is>
      </c>
      <c r="D110" s="14">
        <f>INDEX(Mapping!$D$5:$D$20,MATCH($C110,SubKey,0))</f>
        <v/>
      </c>
      <c r="E110" s="14">
        <f>INDEX(Mapping!$C$30:$C$37,MATCH($B110,FuelKey,0))</f>
        <v/>
      </c>
      <c r="F110" s="14">
        <f>INDEX(Mapping!$D$30:$D$37,MATCH($B110,FuelKey,0))</f>
        <v/>
      </c>
      <c r="G110" s="14">
        <f>INDEX(Mapping!$E$30:$E$37,MATCH($B110,FuelKey,0))</f>
        <v/>
      </c>
      <c r="H110" s="14">
        <f>INDEX(Mapping!$F$5:$F$20,MATCH($C110,SubKey,0))</f>
        <v/>
      </c>
      <c r="I110" s="14">
        <f>$B110&amp;"."&amp;IF($G110="sub",$H110,"all")</f>
        <v/>
      </c>
      <c r="J110" s="14">
        <f>INDEX(Mapping!$E$5:$E$20,MATCH($C110,SubKey,0))</f>
        <v/>
      </c>
      <c r="K110" s="14">
        <f>INDEX(Mapping!$G$30:$G$37,MATCH($B110,FuelKey,0))</f>
        <v/>
      </c>
      <c r="L110" s="14">
        <f>INDEX(Mapping!$H$30:$H$37,MATCH($B110,FuelKey,0))</f>
        <v/>
      </c>
      <c r="M110" s="14">
        <f>INDEX(Mapping!$H$5:$H$20,MATCH($C110,SubKey,0))</f>
        <v/>
      </c>
      <c r="N110" s="14">
        <f>INDEX(Mapping!$E$50:$E$63,MATCH($I110,Mapping!$A$50:$A$63,0))</f>
        <v/>
      </c>
      <c r="O110" s="24">
        <f>INDEX(ElaVal,MATCH("inc|"&amp;$E110&amp;"|"&amp;$D110,ElaKey,0),MATCH(Settings!$C$6,ElaGroup,0))</f>
        <v/>
      </c>
      <c r="P110" s="24">
        <f>INDEX(ElaVal,MATCH("usg|"&amp;$E110&amp;"|"&amp;$D110,ElaKey,0),MATCH(Settings!$C$6,ElaGroup,0))</f>
        <v/>
      </c>
      <c r="Q110" s="24">
        <f>INDEX(ElaVal,MATCH("eff|"&amp;$E110&amp;"|"&amp;$D110,ElaKey,0),MATCH(Settings!$C$6,ElaGroup,0))</f>
        <v/>
      </c>
      <c r="R110" s="13">
        <f>INDEX(ElaVal,MATCH("aei|"&amp;$F110&amp;"|"&amp;$D110,ElaKey,0),MATCH(Settings!$C$6,ElaGroup,0))</f>
        <v/>
      </c>
      <c r="S110" s="16">
        <f>(1/(1+$R110))^(1+$P110)</f>
        <v/>
      </c>
      <c r="T110" s="24">
        <f>$Q110*(1+$P110)</f>
        <v/>
      </c>
      <c r="U110" s="14">
        <f>INDEX(Inputs_prices!$E$7:$E$18,MATCH($I110,Inputs_prices!$A$7:$A$18,0))</f>
        <v/>
      </c>
      <c r="V110" s="13">
        <f>INDEX(Inputs_prices!$R$7:$R$18,MATCH($I110,Inputs_prices!$A$7:$A$18,0))</f>
        <v/>
      </c>
      <c r="W110" s="16">
        <f>INDEX(EFVal,MATCH(Settings!$C$4&amp;"|"&amp;$B110&amp;"|"&amp;$J110,EFKey,0))</f>
        <v/>
      </c>
      <c r="X110" s="44">
        <f>INDEX(ConsVal,MATCH(Settings!$C$4&amp;"|"&amp;Settings!$C$7&amp;"|"&amp;$C110&amp;"|"&amp;$B110,ConsKey,0))</f>
        <v/>
      </c>
      <c r="Y110" s="14">
        <f>INDEX(Mapping!$I$5:$I$20,MATCH($C110,SubKey,0))</f>
        <v/>
      </c>
      <c r="Z110" s="35">
        <f>INDEX(ECPCov,MATCH("ecs."&amp;$Y110,ECPKey,0))*INDEX(ECPCov,MATCH("ecf."&amp;$B110,ECPKey,0))</f>
        <v/>
      </c>
      <c r="AA110" s="35">
        <f>INDEX(ECPCov,MATCH("ees."&amp;$Y110,ECPKey,0))*INDEX(ECPCov,MATCH("eef."&amp;$B110,ECPKey,0))</f>
        <v/>
      </c>
    </row>
    <row r="111">
      <c r="A111" s="14">
        <f>$B111&amp;"|"&amp;$C111</f>
        <v/>
      </c>
      <c r="B111" s="22" t="inlineStr">
        <is>
          <t>gso</t>
        </is>
      </c>
      <c r="C111" s="22" t="inlineStr">
        <is>
          <t>cst</t>
        </is>
      </c>
      <c r="D111" s="14">
        <f>INDEX(Mapping!$D$5:$D$20,MATCH($C111,SubKey,0))</f>
        <v/>
      </c>
      <c r="E111" s="14">
        <f>INDEX(Mapping!$C$30:$C$37,MATCH($B111,FuelKey,0))</f>
        <v/>
      </c>
      <c r="F111" s="14">
        <f>INDEX(Mapping!$D$30:$D$37,MATCH($B111,FuelKey,0))</f>
        <v/>
      </c>
      <c r="G111" s="14">
        <f>INDEX(Mapping!$E$30:$E$37,MATCH($B111,FuelKey,0))</f>
        <v/>
      </c>
      <c r="H111" s="14">
        <f>INDEX(Mapping!$F$5:$F$20,MATCH($C111,SubKey,0))</f>
        <v/>
      </c>
      <c r="I111" s="14">
        <f>$B111&amp;"."&amp;IF($G111="sub",$H111,"all")</f>
        <v/>
      </c>
      <c r="J111" s="14">
        <f>INDEX(Mapping!$E$5:$E$20,MATCH($C111,SubKey,0))</f>
        <v/>
      </c>
      <c r="K111" s="14">
        <f>INDEX(Mapping!$G$30:$G$37,MATCH($B111,FuelKey,0))</f>
        <v/>
      </c>
      <c r="L111" s="14">
        <f>INDEX(Mapping!$H$30:$H$37,MATCH($B111,FuelKey,0))</f>
        <v/>
      </c>
      <c r="M111" s="14">
        <f>INDEX(Mapping!$H$5:$H$20,MATCH($C111,SubKey,0))</f>
        <v/>
      </c>
      <c r="N111" s="14">
        <f>INDEX(Mapping!$E$50:$E$63,MATCH($I111,Mapping!$A$50:$A$63,0))</f>
        <v/>
      </c>
      <c r="O111" s="24">
        <f>INDEX(ElaVal,MATCH("inc|"&amp;$E111&amp;"|"&amp;$D111,ElaKey,0),MATCH(Settings!$C$6,ElaGroup,0))</f>
        <v/>
      </c>
      <c r="P111" s="24">
        <f>INDEX(ElaVal,MATCH("usg|"&amp;$E111&amp;"|"&amp;$D111,ElaKey,0),MATCH(Settings!$C$6,ElaGroup,0))</f>
        <v/>
      </c>
      <c r="Q111" s="24">
        <f>INDEX(ElaVal,MATCH("eff|"&amp;$E111&amp;"|"&amp;$D111,ElaKey,0),MATCH(Settings!$C$6,ElaGroup,0))</f>
        <v/>
      </c>
      <c r="R111" s="13">
        <f>INDEX(ElaVal,MATCH("aei|"&amp;$F111&amp;"|"&amp;$D111,ElaKey,0),MATCH(Settings!$C$6,ElaGroup,0))</f>
        <v/>
      </c>
      <c r="S111" s="16">
        <f>(1/(1+$R111))^(1+$P111)</f>
        <v/>
      </c>
      <c r="T111" s="24">
        <f>$Q111*(1+$P111)</f>
        <v/>
      </c>
      <c r="U111" s="14">
        <f>INDEX(Inputs_prices!$E$7:$E$18,MATCH($I111,Inputs_prices!$A$7:$A$18,0))</f>
        <v/>
      </c>
      <c r="V111" s="13">
        <f>INDEX(Inputs_prices!$R$7:$R$18,MATCH($I111,Inputs_prices!$A$7:$A$18,0))</f>
        <v/>
      </c>
      <c r="W111" s="16">
        <f>INDEX(EFVal,MATCH(Settings!$C$4&amp;"|"&amp;$B111&amp;"|"&amp;$J111,EFKey,0))</f>
        <v/>
      </c>
      <c r="X111" s="44">
        <f>INDEX(ConsVal,MATCH(Settings!$C$4&amp;"|"&amp;Settings!$C$7&amp;"|"&amp;$C111&amp;"|"&amp;$B111,ConsKey,0))</f>
        <v/>
      </c>
      <c r="Y111" s="14">
        <f>INDEX(Mapping!$I$5:$I$20,MATCH($C111,SubKey,0))</f>
        <v/>
      </c>
      <c r="Z111" s="35">
        <f>INDEX(ECPCov,MATCH("ecs."&amp;$Y111,ECPKey,0))*INDEX(ECPCov,MATCH("ecf."&amp;$B111,ECPKey,0))</f>
        <v/>
      </c>
      <c r="AA111" s="35">
        <f>INDEX(ECPCov,MATCH("ees."&amp;$Y111,ECPKey,0))*INDEX(ECPCov,MATCH("eef."&amp;$B111,ECPKey,0))</f>
        <v/>
      </c>
    </row>
    <row r="112">
      <c r="A112" s="14">
        <f>$B112&amp;"|"&amp;$C112</f>
        <v/>
      </c>
      <c r="B112" s="22" t="inlineStr">
        <is>
          <t>die</t>
        </is>
      </c>
      <c r="C112" s="22" t="inlineStr">
        <is>
          <t>cst</t>
        </is>
      </c>
      <c r="D112" s="14">
        <f>INDEX(Mapping!$D$5:$D$20,MATCH($C112,SubKey,0))</f>
        <v/>
      </c>
      <c r="E112" s="14">
        <f>INDEX(Mapping!$C$30:$C$37,MATCH($B112,FuelKey,0))</f>
        <v/>
      </c>
      <c r="F112" s="14">
        <f>INDEX(Mapping!$D$30:$D$37,MATCH($B112,FuelKey,0))</f>
        <v/>
      </c>
      <c r="G112" s="14">
        <f>INDEX(Mapping!$E$30:$E$37,MATCH($B112,FuelKey,0))</f>
        <v/>
      </c>
      <c r="H112" s="14">
        <f>INDEX(Mapping!$F$5:$F$20,MATCH($C112,SubKey,0))</f>
        <v/>
      </c>
      <c r="I112" s="14">
        <f>$B112&amp;"."&amp;IF($G112="sub",$H112,"all")</f>
        <v/>
      </c>
      <c r="J112" s="14">
        <f>INDEX(Mapping!$E$5:$E$20,MATCH($C112,SubKey,0))</f>
        <v/>
      </c>
      <c r="K112" s="14">
        <f>INDEX(Mapping!$G$30:$G$37,MATCH($B112,FuelKey,0))</f>
        <v/>
      </c>
      <c r="L112" s="14">
        <f>INDEX(Mapping!$H$30:$H$37,MATCH($B112,FuelKey,0))</f>
        <v/>
      </c>
      <c r="M112" s="14">
        <f>INDEX(Mapping!$H$5:$H$20,MATCH($C112,SubKey,0))</f>
        <v/>
      </c>
      <c r="N112" s="14">
        <f>INDEX(Mapping!$E$50:$E$63,MATCH($I112,Mapping!$A$50:$A$63,0))</f>
        <v/>
      </c>
      <c r="O112" s="24">
        <f>INDEX(ElaVal,MATCH("inc|"&amp;$E112&amp;"|"&amp;$D112,ElaKey,0),MATCH(Settings!$C$6,ElaGroup,0))</f>
        <v/>
      </c>
      <c r="P112" s="24">
        <f>INDEX(ElaVal,MATCH("usg|"&amp;$E112&amp;"|"&amp;$D112,ElaKey,0),MATCH(Settings!$C$6,ElaGroup,0))</f>
        <v/>
      </c>
      <c r="Q112" s="24">
        <f>INDEX(ElaVal,MATCH("eff|"&amp;$E112&amp;"|"&amp;$D112,ElaKey,0),MATCH(Settings!$C$6,ElaGroup,0))</f>
        <v/>
      </c>
      <c r="R112" s="13">
        <f>INDEX(ElaVal,MATCH("aei|"&amp;$F112&amp;"|"&amp;$D112,ElaKey,0),MATCH(Settings!$C$6,ElaGroup,0))</f>
        <v/>
      </c>
      <c r="S112" s="16">
        <f>(1/(1+$R112))^(1+$P112)</f>
        <v/>
      </c>
      <c r="T112" s="24">
        <f>$Q112*(1+$P112)</f>
        <v/>
      </c>
      <c r="U112" s="14">
        <f>INDEX(Inputs_prices!$E$7:$E$18,MATCH($I112,Inputs_prices!$A$7:$A$18,0))</f>
        <v/>
      </c>
      <c r="V112" s="13">
        <f>INDEX(Inputs_prices!$R$7:$R$18,MATCH($I112,Inputs_prices!$A$7:$A$18,0))</f>
        <v/>
      </c>
      <c r="W112" s="16">
        <f>INDEX(EFVal,MATCH(Settings!$C$4&amp;"|"&amp;$B112&amp;"|"&amp;$J112,EFKey,0))</f>
        <v/>
      </c>
      <c r="X112" s="44">
        <f>INDEX(ConsVal,MATCH(Settings!$C$4&amp;"|"&amp;Settings!$C$7&amp;"|"&amp;$C112&amp;"|"&amp;$B112,ConsKey,0))</f>
        <v/>
      </c>
      <c r="Y112" s="14">
        <f>INDEX(Mapping!$I$5:$I$20,MATCH($C112,SubKey,0))</f>
        <v/>
      </c>
      <c r="Z112" s="35">
        <f>INDEX(ECPCov,MATCH("ecs."&amp;$Y112,ECPKey,0))*INDEX(ECPCov,MATCH("ecf."&amp;$B112,ECPKey,0))</f>
        <v/>
      </c>
      <c r="AA112" s="35">
        <f>INDEX(ECPCov,MATCH("ees."&amp;$Y112,ECPKey,0))*INDEX(ECPCov,MATCH("eef."&amp;$B112,ECPKey,0))</f>
        <v/>
      </c>
    </row>
    <row r="113">
      <c r="A113" s="14">
        <f>$B113&amp;"|"&amp;$C113</f>
        <v/>
      </c>
      <c r="B113" s="22" t="inlineStr">
        <is>
          <t>lpg</t>
        </is>
      </c>
      <c r="C113" s="22" t="inlineStr">
        <is>
          <t>cst</t>
        </is>
      </c>
      <c r="D113" s="14">
        <f>INDEX(Mapping!$D$5:$D$20,MATCH($C113,SubKey,0))</f>
        <v/>
      </c>
      <c r="E113" s="14">
        <f>INDEX(Mapping!$C$30:$C$37,MATCH($B113,FuelKey,0))</f>
        <v/>
      </c>
      <c r="F113" s="14">
        <f>INDEX(Mapping!$D$30:$D$37,MATCH($B113,FuelKey,0))</f>
        <v/>
      </c>
      <c r="G113" s="14">
        <f>INDEX(Mapping!$E$30:$E$37,MATCH($B113,FuelKey,0))</f>
        <v/>
      </c>
      <c r="H113" s="14">
        <f>INDEX(Mapping!$F$5:$F$20,MATCH($C113,SubKey,0))</f>
        <v/>
      </c>
      <c r="I113" s="14">
        <f>$B113&amp;"."&amp;IF($G113="sub",$H113,"all")</f>
        <v/>
      </c>
      <c r="J113" s="14">
        <f>INDEX(Mapping!$E$5:$E$20,MATCH($C113,SubKey,0))</f>
        <v/>
      </c>
      <c r="K113" s="14">
        <f>INDEX(Mapping!$G$30:$G$37,MATCH($B113,FuelKey,0))</f>
        <v/>
      </c>
      <c r="L113" s="14">
        <f>INDEX(Mapping!$H$30:$H$37,MATCH($B113,FuelKey,0))</f>
        <v/>
      </c>
      <c r="M113" s="14">
        <f>INDEX(Mapping!$H$5:$H$20,MATCH($C113,SubKey,0))</f>
        <v/>
      </c>
      <c r="N113" s="14">
        <f>INDEX(Mapping!$E$50:$E$63,MATCH($I113,Mapping!$A$50:$A$63,0))</f>
        <v/>
      </c>
      <c r="O113" s="24">
        <f>INDEX(ElaVal,MATCH("inc|"&amp;$E113&amp;"|"&amp;$D113,ElaKey,0),MATCH(Settings!$C$6,ElaGroup,0))</f>
        <v/>
      </c>
      <c r="P113" s="24">
        <f>INDEX(ElaVal,MATCH("usg|"&amp;$E113&amp;"|"&amp;$D113,ElaKey,0),MATCH(Settings!$C$6,ElaGroup,0))</f>
        <v/>
      </c>
      <c r="Q113" s="24">
        <f>INDEX(ElaVal,MATCH("eff|"&amp;$E113&amp;"|"&amp;$D113,ElaKey,0),MATCH(Settings!$C$6,ElaGroup,0))</f>
        <v/>
      </c>
      <c r="R113" s="13">
        <f>INDEX(ElaVal,MATCH("aei|"&amp;$F113&amp;"|"&amp;$D113,ElaKey,0),MATCH(Settings!$C$6,ElaGroup,0))</f>
        <v/>
      </c>
      <c r="S113" s="16">
        <f>(1/(1+$R113))^(1+$P113)</f>
        <v/>
      </c>
      <c r="T113" s="24">
        <f>$Q113*(1+$P113)</f>
        <v/>
      </c>
      <c r="U113" s="14">
        <f>INDEX(Inputs_prices!$E$7:$E$18,MATCH($I113,Inputs_prices!$A$7:$A$18,0))</f>
        <v/>
      </c>
      <c r="V113" s="13">
        <f>INDEX(Inputs_prices!$R$7:$R$18,MATCH($I113,Inputs_prices!$A$7:$A$18,0))</f>
        <v/>
      </c>
      <c r="W113" s="16">
        <f>INDEX(EFVal,MATCH(Settings!$C$4&amp;"|"&amp;$B113&amp;"|"&amp;$J113,EFKey,0))</f>
        <v/>
      </c>
      <c r="X113" s="44">
        <f>INDEX(ConsVal,MATCH(Settings!$C$4&amp;"|"&amp;Settings!$C$7&amp;"|"&amp;$C113&amp;"|"&amp;$B113,ConsKey,0))</f>
        <v/>
      </c>
      <c r="Y113" s="14">
        <f>INDEX(Mapping!$I$5:$I$20,MATCH($C113,SubKey,0))</f>
        <v/>
      </c>
      <c r="Z113" s="35">
        <f>INDEX(ECPCov,MATCH("ecs."&amp;$Y113,ECPKey,0))*INDEX(ECPCov,MATCH("ecf."&amp;$B113,ECPKey,0))</f>
        <v/>
      </c>
      <c r="AA113" s="35">
        <f>INDEX(ECPCov,MATCH("ees."&amp;$Y113,ECPKey,0))*INDEX(ECPCov,MATCH("eef."&amp;$B113,ECPKey,0))</f>
        <v/>
      </c>
    </row>
    <row r="114">
      <c r="A114" s="14">
        <f>$B114&amp;"|"&amp;$C114</f>
        <v/>
      </c>
      <c r="B114" s="22" t="inlineStr">
        <is>
          <t>ker</t>
        </is>
      </c>
      <c r="C114" s="22" t="inlineStr">
        <is>
          <t>cst</t>
        </is>
      </c>
      <c r="D114" s="14">
        <f>INDEX(Mapping!$D$5:$D$20,MATCH($C114,SubKey,0))</f>
        <v/>
      </c>
      <c r="E114" s="14">
        <f>INDEX(Mapping!$C$30:$C$37,MATCH($B114,FuelKey,0))</f>
        <v/>
      </c>
      <c r="F114" s="14">
        <f>INDEX(Mapping!$D$30:$D$37,MATCH($B114,FuelKey,0))</f>
        <v/>
      </c>
      <c r="G114" s="14">
        <f>INDEX(Mapping!$E$30:$E$37,MATCH($B114,FuelKey,0))</f>
        <v/>
      </c>
      <c r="H114" s="14">
        <f>INDEX(Mapping!$F$5:$F$20,MATCH($C114,SubKey,0))</f>
        <v/>
      </c>
      <c r="I114" s="14">
        <f>$B114&amp;"."&amp;IF($G114="sub",$H114,"all")</f>
        <v/>
      </c>
      <c r="J114" s="14">
        <f>INDEX(Mapping!$E$5:$E$20,MATCH($C114,SubKey,0))</f>
        <v/>
      </c>
      <c r="K114" s="14">
        <f>INDEX(Mapping!$G$30:$G$37,MATCH($B114,FuelKey,0))</f>
        <v/>
      </c>
      <c r="L114" s="14">
        <f>INDEX(Mapping!$H$30:$H$37,MATCH($B114,FuelKey,0))</f>
        <v/>
      </c>
      <c r="M114" s="14">
        <f>INDEX(Mapping!$H$5:$H$20,MATCH($C114,SubKey,0))</f>
        <v/>
      </c>
      <c r="N114" s="14">
        <f>INDEX(Mapping!$E$50:$E$63,MATCH($I114,Mapping!$A$50:$A$63,0))</f>
        <v/>
      </c>
      <c r="O114" s="24">
        <f>INDEX(ElaVal,MATCH("inc|"&amp;$E114&amp;"|"&amp;$D114,ElaKey,0),MATCH(Settings!$C$6,ElaGroup,0))</f>
        <v/>
      </c>
      <c r="P114" s="24">
        <f>INDEX(ElaVal,MATCH("usg|"&amp;$E114&amp;"|"&amp;$D114,ElaKey,0),MATCH(Settings!$C$6,ElaGroup,0))</f>
        <v/>
      </c>
      <c r="Q114" s="24">
        <f>INDEX(ElaVal,MATCH("eff|"&amp;$E114&amp;"|"&amp;$D114,ElaKey,0),MATCH(Settings!$C$6,ElaGroup,0))</f>
        <v/>
      </c>
      <c r="R114" s="13">
        <f>INDEX(ElaVal,MATCH("aei|"&amp;$F114&amp;"|"&amp;$D114,ElaKey,0),MATCH(Settings!$C$6,ElaGroup,0))</f>
        <v/>
      </c>
      <c r="S114" s="16">
        <f>(1/(1+$R114))^(1+$P114)</f>
        <v/>
      </c>
      <c r="T114" s="24">
        <f>$Q114*(1+$P114)</f>
        <v/>
      </c>
      <c r="U114" s="14">
        <f>INDEX(Inputs_prices!$E$7:$E$18,MATCH($I114,Inputs_prices!$A$7:$A$18,0))</f>
        <v/>
      </c>
      <c r="V114" s="13">
        <f>INDEX(Inputs_prices!$R$7:$R$18,MATCH($I114,Inputs_prices!$A$7:$A$18,0))</f>
        <v/>
      </c>
      <c r="W114" s="16">
        <f>INDEX(EFVal,MATCH(Settings!$C$4&amp;"|"&amp;$B114&amp;"|"&amp;$J114,EFKey,0))</f>
        <v/>
      </c>
      <c r="X114" s="44">
        <f>INDEX(ConsVal,MATCH(Settings!$C$4&amp;"|"&amp;Settings!$C$7&amp;"|"&amp;$C114&amp;"|"&amp;$B114,ConsKey,0))</f>
        <v/>
      </c>
      <c r="Y114" s="14">
        <f>INDEX(Mapping!$I$5:$I$20,MATCH($C114,SubKey,0))</f>
        <v/>
      </c>
      <c r="Z114" s="35">
        <f>INDEX(ECPCov,MATCH("ecs."&amp;$Y114,ECPKey,0))*INDEX(ECPCov,MATCH("ecf."&amp;$B114,ECPKey,0))</f>
        <v/>
      </c>
      <c r="AA114" s="35">
        <f>INDEX(ECPCov,MATCH("ees."&amp;$Y114,ECPKey,0))*INDEX(ECPCov,MATCH("eef."&amp;$B114,ECPKey,0))</f>
        <v/>
      </c>
    </row>
    <row r="115">
      <c r="A115" s="14">
        <f>$B115&amp;"|"&amp;$C115</f>
        <v/>
      </c>
      <c r="B115" s="22" t="inlineStr">
        <is>
          <t>oop</t>
        </is>
      </c>
      <c r="C115" s="22" t="inlineStr">
        <is>
          <t>cst</t>
        </is>
      </c>
      <c r="D115" s="14">
        <f>INDEX(Mapping!$D$5:$D$20,MATCH($C115,SubKey,0))</f>
        <v/>
      </c>
      <c r="E115" s="14">
        <f>INDEX(Mapping!$C$30:$C$37,MATCH($B115,FuelKey,0))</f>
        <v/>
      </c>
      <c r="F115" s="14">
        <f>INDEX(Mapping!$D$30:$D$37,MATCH($B115,FuelKey,0))</f>
        <v/>
      </c>
      <c r="G115" s="14">
        <f>INDEX(Mapping!$E$30:$E$37,MATCH($B115,FuelKey,0))</f>
        <v/>
      </c>
      <c r="H115" s="14">
        <f>INDEX(Mapping!$F$5:$F$20,MATCH($C115,SubKey,0))</f>
        <v/>
      </c>
      <c r="I115" s="14">
        <f>$B115&amp;"."&amp;IF($G115="sub",$H115,"all")</f>
        <v/>
      </c>
      <c r="J115" s="14">
        <f>INDEX(Mapping!$E$5:$E$20,MATCH($C115,SubKey,0))</f>
        <v/>
      </c>
      <c r="K115" s="14">
        <f>INDEX(Mapping!$G$30:$G$37,MATCH($B115,FuelKey,0))</f>
        <v/>
      </c>
      <c r="L115" s="14">
        <f>INDEX(Mapping!$H$30:$H$37,MATCH($B115,FuelKey,0))</f>
        <v/>
      </c>
      <c r="M115" s="14">
        <f>INDEX(Mapping!$H$5:$H$20,MATCH($C115,SubKey,0))</f>
        <v/>
      </c>
      <c r="N115" s="14">
        <f>INDEX(Mapping!$E$50:$E$63,MATCH($I115,Mapping!$A$50:$A$63,0))</f>
        <v/>
      </c>
      <c r="O115" s="24">
        <f>INDEX(ElaVal,MATCH("inc|"&amp;$E115&amp;"|"&amp;$D115,ElaKey,0),MATCH(Settings!$C$6,ElaGroup,0))</f>
        <v/>
      </c>
      <c r="P115" s="24">
        <f>INDEX(ElaVal,MATCH("usg|"&amp;$E115&amp;"|"&amp;$D115,ElaKey,0),MATCH(Settings!$C$6,ElaGroup,0))</f>
        <v/>
      </c>
      <c r="Q115" s="24">
        <f>INDEX(ElaVal,MATCH("eff|"&amp;$E115&amp;"|"&amp;$D115,ElaKey,0),MATCH(Settings!$C$6,ElaGroup,0))</f>
        <v/>
      </c>
      <c r="R115" s="13">
        <f>INDEX(ElaVal,MATCH("aei|"&amp;$F115&amp;"|"&amp;$D115,ElaKey,0),MATCH(Settings!$C$6,ElaGroup,0))</f>
        <v/>
      </c>
      <c r="S115" s="16">
        <f>(1/(1+$R115))^(1+$P115)</f>
        <v/>
      </c>
      <c r="T115" s="24">
        <f>$Q115*(1+$P115)</f>
        <v/>
      </c>
      <c r="U115" s="14">
        <f>INDEX(Inputs_prices!$E$7:$E$18,MATCH($I115,Inputs_prices!$A$7:$A$18,0))</f>
        <v/>
      </c>
      <c r="V115" s="13">
        <f>INDEX(Inputs_prices!$R$7:$R$18,MATCH($I115,Inputs_prices!$A$7:$A$18,0))</f>
        <v/>
      </c>
      <c r="W115" s="16">
        <f>INDEX(EFVal,MATCH(Settings!$C$4&amp;"|"&amp;$B115&amp;"|"&amp;$J115,EFKey,0))</f>
        <v/>
      </c>
      <c r="X115" s="44">
        <f>INDEX(ConsVal,MATCH(Settings!$C$4&amp;"|"&amp;Settings!$C$7&amp;"|"&amp;$C115&amp;"|"&amp;$B115,ConsKey,0))</f>
        <v/>
      </c>
      <c r="Y115" s="14">
        <f>INDEX(Mapping!$I$5:$I$20,MATCH($C115,SubKey,0))</f>
        <v/>
      </c>
      <c r="Z115" s="35">
        <f>INDEX(ECPCov,MATCH("ecs."&amp;$Y115,ECPKey,0))*INDEX(ECPCov,MATCH("ecf."&amp;$B115,ECPKey,0))</f>
        <v/>
      </c>
      <c r="AA115" s="35">
        <f>INDEX(ECPCov,MATCH("ees."&amp;$Y115,ECPKey,0))*INDEX(ECPCov,MATCH("eef."&amp;$B115,ECPKey,0))</f>
        <v/>
      </c>
    </row>
    <row r="116">
      <c r="A116" s="14">
        <f>$B116&amp;"|"&amp;$C116</f>
        <v/>
      </c>
      <c r="B116" s="22" t="inlineStr">
        <is>
          <t>bio</t>
        </is>
      </c>
      <c r="C116" s="22" t="inlineStr">
        <is>
          <t>cst</t>
        </is>
      </c>
      <c r="D116" s="14">
        <f>INDEX(Mapping!$D$5:$D$20,MATCH($C116,SubKey,0))</f>
        <v/>
      </c>
      <c r="E116" s="14">
        <f>INDEX(Mapping!$C$30:$C$37,MATCH($B116,FuelKey,0))</f>
        <v/>
      </c>
      <c r="F116" s="14">
        <f>INDEX(Mapping!$D$30:$D$37,MATCH($B116,FuelKey,0))</f>
        <v/>
      </c>
      <c r="G116" s="14">
        <f>INDEX(Mapping!$E$30:$E$37,MATCH($B116,FuelKey,0))</f>
        <v/>
      </c>
      <c r="H116" s="14">
        <f>INDEX(Mapping!$F$5:$F$20,MATCH($C116,SubKey,0))</f>
        <v/>
      </c>
      <c r="I116" s="14">
        <f>$B116&amp;"."&amp;IF($G116="sub",$H116,"all")</f>
        <v/>
      </c>
      <c r="J116" s="14">
        <f>INDEX(Mapping!$E$5:$E$20,MATCH($C116,SubKey,0))</f>
        <v/>
      </c>
      <c r="K116" s="14">
        <f>INDEX(Mapping!$G$30:$G$37,MATCH($B116,FuelKey,0))</f>
        <v/>
      </c>
      <c r="L116" s="14">
        <f>INDEX(Mapping!$H$30:$H$37,MATCH($B116,FuelKey,0))</f>
        <v/>
      </c>
      <c r="M116" s="14">
        <f>INDEX(Mapping!$H$5:$H$20,MATCH($C116,SubKey,0))</f>
        <v/>
      </c>
      <c r="N116" s="14">
        <f>INDEX(Mapping!$E$50:$E$63,MATCH($I116,Mapping!$A$50:$A$63,0))</f>
        <v/>
      </c>
      <c r="O116" s="24">
        <f>INDEX(ElaVal,MATCH("inc|"&amp;$E116&amp;"|"&amp;$D116,ElaKey,0),MATCH(Settings!$C$6,ElaGroup,0))</f>
        <v/>
      </c>
      <c r="P116" s="24">
        <f>INDEX(ElaVal,MATCH("usg|"&amp;$E116&amp;"|"&amp;$D116,ElaKey,0),MATCH(Settings!$C$6,ElaGroup,0))</f>
        <v/>
      </c>
      <c r="Q116" s="24">
        <f>INDEX(ElaVal,MATCH("eff|"&amp;$E116&amp;"|"&amp;$D116,ElaKey,0),MATCH(Settings!$C$6,ElaGroup,0))</f>
        <v/>
      </c>
      <c r="R116" s="13">
        <f>INDEX(ElaVal,MATCH("aei|"&amp;$F116&amp;"|"&amp;$D116,ElaKey,0),MATCH(Settings!$C$6,ElaGroup,0))</f>
        <v/>
      </c>
      <c r="S116" s="16">
        <f>(1/(1+$R116))^(1+$P116)</f>
        <v/>
      </c>
      <c r="T116" s="24">
        <f>$Q116*(1+$P116)</f>
        <v/>
      </c>
      <c r="U116" s="14">
        <f>INDEX(Inputs_prices!$E$7:$E$18,MATCH($I116,Inputs_prices!$A$7:$A$18,0))</f>
        <v/>
      </c>
      <c r="V116" s="13">
        <f>INDEX(Inputs_prices!$R$7:$R$18,MATCH($I116,Inputs_prices!$A$7:$A$18,0))</f>
        <v/>
      </c>
      <c r="W116" s="16">
        <f>INDEX(EFVal,MATCH(Settings!$C$4&amp;"|"&amp;$B116&amp;"|"&amp;$J116,EFKey,0))</f>
        <v/>
      </c>
      <c r="X116" s="44">
        <f>INDEX(ConsVal,MATCH(Settings!$C$4&amp;"|"&amp;Settings!$C$7&amp;"|"&amp;$C116&amp;"|"&amp;$B116,ConsKey,0))</f>
        <v/>
      </c>
      <c r="Y116" s="14">
        <f>INDEX(Mapping!$I$5:$I$20,MATCH($C116,SubKey,0))</f>
        <v/>
      </c>
      <c r="Z116" s="35">
        <f>INDEX(ECPCov,MATCH("ecs."&amp;$Y116,ECPKey,0))*INDEX(ECPCov,MATCH("ecf."&amp;$B116,ECPKey,0))</f>
        <v/>
      </c>
      <c r="AA116" s="35">
        <f>INDEX(ECPCov,MATCH("ees."&amp;$Y116,ECPKey,0))*INDEX(ECPCov,MATCH("eef."&amp;$B116,ECPKey,0))</f>
        <v/>
      </c>
    </row>
    <row r="117">
      <c r="A117" s="14">
        <f>$B117&amp;"|"&amp;$C117</f>
        <v/>
      </c>
      <c r="B117" s="22" t="inlineStr">
        <is>
          <t>coa</t>
        </is>
      </c>
      <c r="C117" s="22" t="inlineStr">
        <is>
          <t>ftr</t>
        </is>
      </c>
      <c r="D117" s="14">
        <f>INDEX(Mapping!$D$5:$D$20,MATCH($C117,SubKey,0))</f>
        <v/>
      </c>
      <c r="E117" s="14">
        <f>INDEX(Mapping!$C$30:$C$37,MATCH($B117,FuelKey,0))</f>
        <v/>
      </c>
      <c r="F117" s="14">
        <f>INDEX(Mapping!$D$30:$D$37,MATCH($B117,FuelKey,0))</f>
        <v/>
      </c>
      <c r="G117" s="14">
        <f>INDEX(Mapping!$E$30:$E$37,MATCH($B117,FuelKey,0))</f>
        <v/>
      </c>
      <c r="H117" s="14">
        <f>INDEX(Mapping!$F$5:$F$20,MATCH($C117,SubKey,0))</f>
        <v/>
      </c>
      <c r="I117" s="14">
        <f>$B117&amp;"."&amp;IF($G117="sub",$H117,"all")</f>
        <v/>
      </c>
      <c r="J117" s="14">
        <f>INDEX(Mapping!$E$5:$E$20,MATCH($C117,SubKey,0))</f>
        <v/>
      </c>
      <c r="K117" s="14">
        <f>INDEX(Mapping!$G$30:$G$37,MATCH($B117,FuelKey,0))</f>
        <v/>
      </c>
      <c r="L117" s="14">
        <f>INDEX(Mapping!$H$30:$H$37,MATCH($B117,FuelKey,0))</f>
        <v/>
      </c>
      <c r="M117" s="14">
        <f>INDEX(Mapping!$H$5:$H$20,MATCH($C117,SubKey,0))</f>
        <v/>
      </c>
      <c r="N117" s="14">
        <f>INDEX(Mapping!$E$50:$E$63,MATCH($I117,Mapping!$A$50:$A$63,0))</f>
        <v/>
      </c>
      <c r="O117" s="24">
        <f>INDEX(ElaVal,MATCH("inc|"&amp;$E117&amp;"|"&amp;$D117,ElaKey,0),MATCH(Settings!$C$6,ElaGroup,0))</f>
        <v/>
      </c>
      <c r="P117" s="24">
        <f>INDEX(ElaVal,MATCH("usg|"&amp;$E117&amp;"|"&amp;$D117,ElaKey,0),MATCH(Settings!$C$6,ElaGroup,0))</f>
        <v/>
      </c>
      <c r="Q117" s="24">
        <f>INDEX(ElaVal,MATCH("eff|"&amp;$E117&amp;"|"&amp;$D117,ElaKey,0),MATCH(Settings!$C$6,ElaGroup,0))</f>
        <v/>
      </c>
      <c r="R117" s="13">
        <f>INDEX(ElaVal,MATCH("aei|"&amp;$F117&amp;"|"&amp;$D117,ElaKey,0),MATCH(Settings!$C$6,ElaGroup,0))</f>
        <v/>
      </c>
      <c r="S117" s="16">
        <f>(1/(1+$R117))^(1+$P117)</f>
        <v/>
      </c>
      <c r="T117" s="24">
        <f>$Q117*(1+$P117)</f>
        <v/>
      </c>
      <c r="U117" s="14">
        <f>INDEX(Inputs_prices!$E$7:$E$18,MATCH($I117,Inputs_prices!$A$7:$A$18,0))</f>
        <v/>
      </c>
      <c r="V117" s="13">
        <f>INDEX(Inputs_prices!$R$7:$R$18,MATCH($I117,Inputs_prices!$A$7:$A$18,0))</f>
        <v/>
      </c>
      <c r="W117" s="16">
        <f>INDEX(EFVal,MATCH(Settings!$C$4&amp;"|"&amp;$B117&amp;"|"&amp;$J117,EFKey,0))</f>
        <v/>
      </c>
      <c r="X117" s="44">
        <f>INDEX(ConsVal,MATCH(Settings!$C$4&amp;"|"&amp;Settings!$C$7&amp;"|"&amp;$C117&amp;"|"&amp;$B117,ConsKey,0))</f>
        <v/>
      </c>
      <c r="Y117" s="14">
        <f>INDEX(Mapping!$I$5:$I$20,MATCH($C117,SubKey,0))</f>
        <v/>
      </c>
      <c r="Z117" s="35">
        <f>INDEX(ECPCov,MATCH("ecs."&amp;$Y117,ECPKey,0))*INDEX(ECPCov,MATCH("ecf."&amp;$B117,ECPKey,0))</f>
        <v/>
      </c>
      <c r="AA117" s="35">
        <f>INDEX(ECPCov,MATCH("ees."&amp;$Y117,ECPKey,0))*INDEX(ECPCov,MATCH("eef."&amp;$B117,ECPKey,0))</f>
        <v/>
      </c>
    </row>
    <row r="118">
      <c r="A118" s="14">
        <f>$B118&amp;"|"&amp;$C118</f>
        <v/>
      </c>
      <c r="B118" s="22" t="inlineStr">
        <is>
          <t>nga</t>
        </is>
      </c>
      <c r="C118" s="22" t="inlineStr">
        <is>
          <t>ftr</t>
        </is>
      </c>
      <c r="D118" s="14">
        <f>INDEX(Mapping!$D$5:$D$20,MATCH($C118,SubKey,0))</f>
        <v/>
      </c>
      <c r="E118" s="14">
        <f>INDEX(Mapping!$C$30:$C$37,MATCH($B118,FuelKey,0))</f>
        <v/>
      </c>
      <c r="F118" s="14">
        <f>INDEX(Mapping!$D$30:$D$37,MATCH($B118,FuelKey,0))</f>
        <v/>
      </c>
      <c r="G118" s="14">
        <f>INDEX(Mapping!$E$30:$E$37,MATCH($B118,FuelKey,0))</f>
        <v/>
      </c>
      <c r="H118" s="14">
        <f>INDEX(Mapping!$F$5:$F$20,MATCH($C118,SubKey,0))</f>
        <v/>
      </c>
      <c r="I118" s="14">
        <f>$B118&amp;"."&amp;IF($G118="sub",$H118,"all")</f>
        <v/>
      </c>
      <c r="J118" s="14">
        <f>INDEX(Mapping!$E$5:$E$20,MATCH($C118,SubKey,0))</f>
        <v/>
      </c>
      <c r="K118" s="14">
        <f>INDEX(Mapping!$G$30:$G$37,MATCH($B118,FuelKey,0))</f>
        <v/>
      </c>
      <c r="L118" s="14">
        <f>INDEX(Mapping!$H$30:$H$37,MATCH($B118,FuelKey,0))</f>
        <v/>
      </c>
      <c r="M118" s="14">
        <f>INDEX(Mapping!$H$5:$H$20,MATCH($C118,SubKey,0))</f>
        <v/>
      </c>
      <c r="N118" s="14">
        <f>INDEX(Mapping!$E$50:$E$63,MATCH($I118,Mapping!$A$50:$A$63,0))</f>
        <v/>
      </c>
      <c r="O118" s="24">
        <f>INDEX(ElaVal,MATCH("inc|"&amp;$E118&amp;"|"&amp;$D118,ElaKey,0),MATCH(Settings!$C$6,ElaGroup,0))</f>
        <v/>
      </c>
      <c r="P118" s="24">
        <f>INDEX(ElaVal,MATCH("usg|"&amp;$E118&amp;"|"&amp;$D118,ElaKey,0),MATCH(Settings!$C$6,ElaGroup,0))</f>
        <v/>
      </c>
      <c r="Q118" s="24">
        <f>INDEX(ElaVal,MATCH("eff|"&amp;$E118&amp;"|"&amp;$D118,ElaKey,0),MATCH(Settings!$C$6,ElaGroup,0))</f>
        <v/>
      </c>
      <c r="R118" s="13">
        <f>INDEX(ElaVal,MATCH("aei|"&amp;$F118&amp;"|"&amp;$D118,ElaKey,0),MATCH(Settings!$C$6,ElaGroup,0))</f>
        <v/>
      </c>
      <c r="S118" s="16">
        <f>(1/(1+$R118))^(1+$P118)</f>
        <v/>
      </c>
      <c r="T118" s="24">
        <f>$Q118*(1+$P118)</f>
        <v/>
      </c>
      <c r="U118" s="14">
        <f>INDEX(Inputs_prices!$E$7:$E$18,MATCH($I118,Inputs_prices!$A$7:$A$18,0))</f>
        <v/>
      </c>
      <c r="V118" s="13">
        <f>INDEX(Inputs_prices!$R$7:$R$18,MATCH($I118,Inputs_prices!$A$7:$A$18,0))</f>
        <v/>
      </c>
      <c r="W118" s="16">
        <f>INDEX(EFVal,MATCH(Settings!$C$4&amp;"|"&amp;$B118&amp;"|"&amp;$J118,EFKey,0))</f>
        <v/>
      </c>
      <c r="X118" s="44">
        <f>INDEX(ConsVal,MATCH(Settings!$C$4&amp;"|"&amp;Settings!$C$7&amp;"|"&amp;$C118&amp;"|"&amp;$B118,ConsKey,0))</f>
        <v/>
      </c>
      <c r="Y118" s="14">
        <f>INDEX(Mapping!$I$5:$I$20,MATCH($C118,SubKey,0))</f>
        <v/>
      </c>
      <c r="Z118" s="35">
        <f>INDEX(ECPCov,MATCH("ecs."&amp;$Y118,ECPKey,0))*INDEX(ECPCov,MATCH("ecf."&amp;$B118,ECPKey,0))</f>
        <v/>
      </c>
      <c r="AA118" s="35">
        <f>INDEX(ECPCov,MATCH("ees."&amp;$Y118,ECPKey,0))*INDEX(ECPCov,MATCH("eef."&amp;$B118,ECPKey,0))</f>
        <v/>
      </c>
    </row>
    <row r="119">
      <c r="A119" s="14">
        <f>$B119&amp;"|"&amp;$C119</f>
        <v/>
      </c>
      <c r="B119" s="22" t="inlineStr">
        <is>
          <t>gso</t>
        </is>
      </c>
      <c r="C119" s="22" t="inlineStr">
        <is>
          <t>ftr</t>
        </is>
      </c>
      <c r="D119" s="14">
        <f>INDEX(Mapping!$D$5:$D$20,MATCH($C119,SubKey,0))</f>
        <v/>
      </c>
      <c r="E119" s="14">
        <f>INDEX(Mapping!$C$30:$C$37,MATCH($B119,FuelKey,0))</f>
        <v/>
      </c>
      <c r="F119" s="14">
        <f>INDEX(Mapping!$D$30:$D$37,MATCH($B119,FuelKey,0))</f>
        <v/>
      </c>
      <c r="G119" s="14">
        <f>INDEX(Mapping!$E$30:$E$37,MATCH($B119,FuelKey,0))</f>
        <v/>
      </c>
      <c r="H119" s="14">
        <f>INDEX(Mapping!$F$5:$F$20,MATCH($C119,SubKey,0))</f>
        <v/>
      </c>
      <c r="I119" s="14">
        <f>$B119&amp;"."&amp;IF($G119="sub",$H119,"all")</f>
        <v/>
      </c>
      <c r="J119" s="14">
        <f>INDEX(Mapping!$E$5:$E$20,MATCH($C119,SubKey,0))</f>
        <v/>
      </c>
      <c r="K119" s="14">
        <f>INDEX(Mapping!$G$30:$G$37,MATCH($B119,FuelKey,0))</f>
        <v/>
      </c>
      <c r="L119" s="14">
        <f>INDEX(Mapping!$H$30:$H$37,MATCH($B119,FuelKey,0))</f>
        <v/>
      </c>
      <c r="M119" s="14">
        <f>INDEX(Mapping!$H$5:$H$20,MATCH($C119,SubKey,0))</f>
        <v/>
      </c>
      <c r="N119" s="14">
        <f>INDEX(Mapping!$E$50:$E$63,MATCH($I119,Mapping!$A$50:$A$63,0))</f>
        <v/>
      </c>
      <c r="O119" s="24">
        <f>INDEX(ElaVal,MATCH("inc|"&amp;$E119&amp;"|"&amp;$D119,ElaKey,0),MATCH(Settings!$C$6,ElaGroup,0))</f>
        <v/>
      </c>
      <c r="P119" s="24">
        <f>INDEX(ElaVal,MATCH("usg|"&amp;$E119&amp;"|"&amp;$D119,ElaKey,0),MATCH(Settings!$C$6,ElaGroup,0))</f>
        <v/>
      </c>
      <c r="Q119" s="24">
        <f>INDEX(ElaVal,MATCH("eff|"&amp;$E119&amp;"|"&amp;$D119,ElaKey,0),MATCH(Settings!$C$6,ElaGroup,0))</f>
        <v/>
      </c>
      <c r="R119" s="13">
        <f>INDEX(ElaVal,MATCH("aei|"&amp;$F119&amp;"|"&amp;$D119,ElaKey,0),MATCH(Settings!$C$6,ElaGroup,0))</f>
        <v/>
      </c>
      <c r="S119" s="16">
        <f>(1/(1+$R119))^(1+$P119)</f>
        <v/>
      </c>
      <c r="T119" s="24">
        <f>$Q119*(1+$P119)</f>
        <v/>
      </c>
      <c r="U119" s="14">
        <f>INDEX(Inputs_prices!$E$7:$E$18,MATCH($I119,Inputs_prices!$A$7:$A$18,0))</f>
        <v/>
      </c>
      <c r="V119" s="13">
        <f>INDEX(Inputs_prices!$R$7:$R$18,MATCH($I119,Inputs_prices!$A$7:$A$18,0))</f>
        <v/>
      </c>
      <c r="W119" s="16">
        <f>INDEX(EFVal,MATCH(Settings!$C$4&amp;"|"&amp;$B119&amp;"|"&amp;$J119,EFKey,0))</f>
        <v/>
      </c>
      <c r="X119" s="44">
        <f>INDEX(ConsVal,MATCH(Settings!$C$4&amp;"|"&amp;Settings!$C$7&amp;"|"&amp;$C119&amp;"|"&amp;$B119,ConsKey,0))</f>
        <v/>
      </c>
      <c r="Y119" s="14">
        <f>INDEX(Mapping!$I$5:$I$20,MATCH($C119,SubKey,0))</f>
        <v/>
      </c>
      <c r="Z119" s="35">
        <f>INDEX(ECPCov,MATCH("ecs."&amp;$Y119,ECPKey,0))*INDEX(ECPCov,MATCH("ecf."&amp;$B119,ECPKey,0))</f>
        <v/>
      </c>
      <c r="AA119" s="35">
        <f>INDEX(ECPCov,MATCH("ees."&amp;$Y119,ECPKey,0))*INDEX(ECPCov,MATCH("eef."&amp;$B119,ECPKey,0))</f>
        <v/>
      </c>
    </row>
    <row r="120">
      <c r="A120" s="14">
        <f>$B120&amp;"|"&amp;$C120</f>
        <v/>
      </c>
      <c r="B120" s="22" t="inlineStr">
        <is>
          <t>die</t>
        </is>
      </c>
      <c r="C120" s="22" t="inlineStr">
        <is>
          <t>ftr</t>
        </is>
      </c>
      <c r="D120" s="14">
        <f>INDEX(Mapping!$D$5:$D$20,MATCH($C120,SubKey,0))</f>
        <v/>
      </c>
      <c r="E120" s="14">
        <f>INDEX(Mapping!$C$30:$C$37,MATCH($B120,FuelKey,0))</f>
        <v/>
      </c>
      <c r="F120" s="14">
        <f>INDEX(Mapping!$D$30:$D$37,MATCH($B120,FuelKey,0))</f>
        <v/>
      </c>
      <c r="G120" s="14">
        <f>INDEX(Mapping!$E$30:$E$37,MATCH($B120,FuelKey,0))</f>
        <v/>
      </c>
      <c r="H120" s="14">
        <f>INDEX(Mapping!$F$5:$F$20,MATCH($C120,SubKey,0))</f>
        <v/>
      </c>
      <c r="I120" s="14">
        <f>$B120&amp;"."&amp;IF($G120="sub",$H120,"all")</f>
        <v/>
      </c>
      <c r="J120" s="14">
        <f>INDEX(Mapping!$E$5:$E$20,MATCH($C120,SubKey,0))</f>
        <v/>
      </c>
      <c r="K120" s="14">
        <f>INDEX(Mapping!$G$30:$G$37,MATCH($B120,FuelKey,0))</f>
        <v/>
      </c>
      <c r="L120" s="14">
        <f>INDEX(Mapping!$H$30:$H$37,MATCH($B120,FuelKey,0))</f>
        <v/>
      </c>
      <c r="M120" s="14">
        <f>INDEX(Mapping!$H$5:$H$20,MATCH($C120,SubKey,0))</f>
        <v/>
      </c>
      <c r="N120" s="14">
        <f>INDEX(Mapping!$E$50:$E$63,MATCH($I120,Mapping!$A$50:$A$63,0))</f>
        <v/>
      </c>
      <c r="O120" s="24">
        <f>INDEX(ElaVal,MATCH("inc|"&amp;$E120&amp;"|"&amp;$D120,ElaKey,0),MATCH(Settings!$C$6,ElaGroup,0))</f>
        <v/>
      </c>
      <c r="P120" s="24">
        <f>INDEX(ElaVal,MATCH("usg|"&amp;$E120&amp;"|"&amp;$D120,ElaKey,0),MATCH(Settings!$C$6,ElaGroup,0))</f>
        <v/>
      </c>
      <c r="Q120" s="24">
        <f>INDEX(ElaVal,MATCH("eff|"&amp;$E120&amp;"|"&amp;$D120,ElaKey,0),MATCH(Settings!$C$6,ElaGroup,0))</f>
        <v/>
      </c>
      <c r="R120" s="13">
        <f>INDEX(ElaVal,MATCH("aei|"&amp;$F120&amp;"|"&amp;$D120,ElaKey,0),MATCH(Settings!$C$6,ElaGroup,0))</f>
        <v/>
      </c>
      <c r="S120" s="16">
        <f>(1/(1+$R120))^(1+$P120)</f>
        <v/>
      </c>
      <c r="T120" s="24">
        <f>$Q120*(1+$P120)</f>
        <v/>
      </c>
      <c r="U120" s="14">
        <f>INDEX(Inputs_prices!$E$7:$E$18,MATCH($I120,Inputs_prices!$A$7:$A$18,0))</f>
        <v/>
      </c>
      <c r="V120" s="13">
        <f>INDEX(Inputs_prices!$R$7:$R$18,MATCH($I120,Inputs_prices!$A$7:$A$18,0))</f>
        <v/>
      </c>
      <c r="W120" s="16">
        <f>INDEX(EFVal,MATCH(Settings!$C$4&amp;"|"&amp;$B120&amp;"|"&amp;$J120,EFKey,0))</f>
        <v/>
      </c>
      <c r="X120" s="44">
        <f>INDEX(ConsVal,MATCH(Settings!$C$4&amp;"|"&amp;Settings!$C$7&amp;"|"&amp;$C120&amp;"|"&amp;$B120,ConsKey,0))</f>
        <v/>
      </c>
      <c r="Y120" s="14">
        <f>INDEX(Mapping!$I$5:$I$20,MATCH($C120,SubKey,0))</f>
        <v/>
      </c>
      <c r="Z120" s="35">
        <f>INDEX(ECPCov,MATCH("ecs."&amp;$Y120,ECPKey,0))*INDEX(ECPCov,MATCH("ecf."&amp;$B120,ECPKey,0))</f>
        <v/>
      </c>
      <c r="AA120" s="35">
        <f>INDEX(ECPCov,MATCH("ees."&amp;$Y120,ECPKey,0))*INDEX(ECPCov,MATCH("eef."&amp;$B120,ECPKey,0))</f>
        <v/>
      </c>
    </row>
    <row r="121">
      <c r="A121" s="14">
        <f>$B121&amp;"|"&amp;$C121</f>
        <v/>
      </c>
      <c r="B121" s="22" t="inlineStr">
        <is>
          <t>lpg</t>
        </is>
      </c>
      <c r="C121" s="22" t="inlineStr">
        <is>
          <t>ftr</t>
        </is>
      </c>
      <c r="D121" s="14">
        <f>INDEX(Mapping!$D$5:$D$20,MATCH($C121,SubKey,0))</f>
        <v/>
      </c>
      <c r="E121" s="14">
        <f>INDEX(Mapping!$C$30:$C$37,MATCH($B121,FuelKey,0))</f>
        <v/>
      </c>
      <c r="F121" s="14">
        <f>INDEX(Mapping!$D$30:$D$37,MATCH($B121,FuelKey,0))</f>
        <v/>
      </c>
      <c r="G121" s="14">
        <f>INDEX(Mapping!$E$30:$E$37,MATCH($B121,FuelKey,0))</f>
        <v/>
      </c>
      <c r="H121" s="14">
        <f>INDEX(Mapping!$F$5:$F$20,MATCH($C121,SubKey,0))</f>
        <v/>
      </c>
      <c r="I121" s="14">
        <f>$B121&amp;"."&amp;IF($G121="sub",$H121,"all")</f>
        <v/>
      </c>
      <c r="J121" s="14">
        <f>INDEX(Mapping!$E$5:$E$20,MATCH($C121,SubKey,0))</f>
        <v/>
      </c>
      <c r="K121" s="14">
        <f>INDEX(Mapping!$G$30:$G$37,MATCH($B121,FuelKey,0))</f>
        <v/>
      </c>
      <c r="L121" s="14">
        <f>INDEX(Mapping!$H$30:$H$37,MATCH($B121,FuelKey,0))</f>
        <v/>
      </c>
      <c r="M121" s="14">
        <f>INDEX(Mapping!$H$5:$H$20,MATCH($C121,SubKey,0))</f>
        <v/>
      </c>
      <c r="N121" s="14">
        <f>INDEX(Mapping!$E$50:$E$63,MATCH($I121,Mapping!$A$50:$A$63,0))</f>
        <v/>
      </c>
      <c r="O121" s="24">
        <f>INDEX(ElaVal,MATCH("inc|"&amp;$E121&amp;"|"&amp;$D121,ElaKey,0),MATCH(Settings!$C$6,ElaGroup,0))</f>
        <v/>
      </c>
      <c r="P121" s="24">
        <f>INDEX(ElaVal,MATCH("usg|"&amp;$E121&amp;"|"&amp;$D121,ElaKey,0),MATCH(Settings!$C$6,ElaGroup,0))</f>
        <v/>
      </c>
      <c r="Q121" s="24">
        <f>INDEX(ElaVal,MATCH("eff|"&amp;$E121&amp;"|"&amp;$D121,ElaKey,0),MATCH(Settings!$C$6,ElaGroup,0))</f>
        <v/>
      </c>
      <c r="R121" s="13">
        <f>INDEX(ElaVal,MATCH("aei|"&amp;$F121&amp;"|"&amp;$D121,ElaKey,0),MATCH(Settings!$C$6,ElaGroup,0))</f>
        <v/>
      </c>
      <c r="S121" s="16">
        <f>(1/(1+$R121))^(1+$P121)</f>
        <v/>
      </c>
      <c r="T121" s="24">
        <f>$Q121*(1+$P121)</f>
        <v/>
      </c>
      <c r="U121" s="14">
        <f>INDEX(Inputs_prices!$E$7:$E$18,MATCH($I121,Inputs_prices!$A$7:$A$18,0))</f>
        <v/>
      </c>
      <c r="V121" s="13">
        <f>INDEX(Inputs_prices!$R$7:$R$18,MATCH($I121,Inputs_prices!$A$7:$A$18,0))</f>
        <v/>
      </c>
      <c r="W121" s="16">
        <f>INDEX(EFVal,MATCH(Settings!$C$4&amp;"|"&amp;$B121&amp;"|"&amp;$J121,EFKey,0))</f>
        <v/>
      </c>
      <c r="X121" s="44">
        <f>INDEX(ConsVal,MATCH(Settings!$C$4&amp;"|"&amp;Settings!$C$7&amp;"|"&amp;$C121&amp;"|"&amp;$B121,ConsKey,0))</f>
        <v/>
      </c>
      <c r="Y121" s="14">
        <f>INDEX(Mapping!$I$5:$I$20,MATCH($C121,SubKey,0))</f>
        <v/>
      </c>
      <c r="Z121" s="35">
        <f>INDEX(ECPCov,MATCH("ecs."&amp;$Y121,ECPKey,0))*INDEX(ECPCov,MATCH("ecf."&amp;$B121,ECPKey,0))</f>
        <v/>
      </c>
      <c r="AA121" s="35">
        <f>INDEX(ECPCov,MATCH("ees."&amp;$Y121,ECPKey,0))*INDEX(ECPCov,MATCH("eef."&amp;$B121,ECPKey,0))</f>
        <v/>
      </c>
    </row>
    <row r="122">
      <c r="A122" s="14">
        <f>$B122&amp;"|"&amp;$C122</f>
        <v/>
      </c>
      <c r="B122" s="22" t="inlineStr">
        <is>
          <t>ker</t>
        </is>
      </c>
      <c r="C122" s="22" t="inlineStr">
        <is>
          <t>ftr</t>
        </is>
      </c>
      <c r="D122" s="14">
        <f>INDEX(Mapping!$D$5:$D$20,MATCH($C122,SubKey,0))</f>
        <v/>
      </c>
      <c r="E122" s="14">
        <f>INDEX(Mapping!$C$30:$C$37,MATCH($B122,FuelKey,0))</f>
        <v/>
      </c>
      <c r="F122" s="14">
        <f>INDEX(Mapping!$D$30:$D$37,MATCH($B122,FuelKey,0))</f>
        <v/>
      </c>
      <c r="G122" s="14">
        <f>INDEX(Mapping!$E$30:$E$37,MATCH($B122,FuelKey,0))</f>
        <v/>
      </c>
      <c r="H122" s="14">
        <f>INDEX(Mapping!$F$5:$F$20,MATCH($C122,SubKey,0))</f>
        <v/>
      </c>
      <c r="I122" s="14">
        <f>$B122&amp;"."&amp;IF($G122="sub",$H122,"all")</f>
        <v/>
      </c>
      <c r="J122" s="14">
        <f>INDEX(Mapping!$E$5:$E$20,MATCH($C122,SubKey,0))</f>
        <v/>
      </c>
      <c r="K122" s="14">
        <f>INDEX(Mapping!$G$30:$G$37,MATCH($B122,FuelKey,0))</f>
        <v/>
      </c>
      <c r="L122" s="14">
        <f>INDEX(Mapping!$H$30:$H$37,MATCH($B122,FuelKey,0))</f>
        <v/>
      </c>
      <c r="M122" s="14">
        <f>INDEX(Mapping!$H$5:$H$20,MATCH($C122,SubKey,0))</f>
        <v/>
      </c>
      <c r="N122" s="14">
        <f>INDEX(Mapping!$E$50:$E$63,MATCH($I122,Mapping!$A$50:$A$63,0))</f>
        <v/>
      </c>
      <c r="O122" s="24">
        <f>INDEX(ElaVal,MATCH("inc|"&amp;$E122&amp;"|"&amp;$D122,ElaKey,0),MATCH(Settings!$C$6,ElaGroup,0))</f>
        <v/>
      </c>
      <c r="P122" s="24">
        <f>INDEX(ElaVal,MATCH("usg|"&amp;$E122&amp;"|"&amp;$D122,ElaKey,0),MATCH(Settings!$C$6,ElaGroup,0))</f>
        <v/>
      </c>
      <c r="Q122" s="24">
        <f>INDEX(ElaVal,MATCH("eff|"&amp;$E122&amp;"|"&amp;$D122,ElaKey,0),MATCH(Settings!$C$6,ElaGroup,0))</f>
        <v/>
      </c>
      <c r="R122" s="13">
        <f>INDEX(ElaVal,MATCH("aei|"&amp;$F122&amp;"|"&amp;$D122,ElaKey,0),MATCH(Settings!$C$6,ElaGroup,0))</f>
        <v/>
      </c>
      <c r="S122" s="16">
        <f>(1/(1+$R122))^(1+$P122)</f>
        <v/>
      </c>
      <c r="T122" s="24">
        <f>$Q122*(1+$P122)</f>
        <v/>
      </c>
      <c r="U122" s="14">
        <f>INDEX(Inputs_prices!$E$7:$E$18,MATCH($I122,Inputs_prices!$A$7:$A$18,0))</f>
        <v/>
      </c>
      <c r="V122" s="13">
        <f>INDEX(Inputs_prices!$R$7:$R$18,MATCH($I122,Inputs_prices!$A$7:$A$18,0))</f>
        <v/>
      </c>
      <c r="W122" s="16">
        <f>INDEX(EFVal,MATCH(Settings!$C$4&amp;"|"&amp;$B122&amp;"|"&amp;$J122,EFKey,0))</f>
        <v/>
      </c>
      <c r="X122" s="44">
        <f>INDEX(ConsVal,MATCH(Settings!$C$4&amp;"|"&amp;Settings!$C$7&amp;"|"&amp;$C122&amp;"|"&amp;$B122,ConsKey,0))</f>
        <v/>
      </c>
      <c r="Y122" s="14">
        <f>INDEX(Mapping!$I$5:$I$20,MATCH($C122,SubKey,0))</f>
        <v/>
      </c>
      <c r="Z122" s="35">
        <f>INDEX(ECPCov,MATCH("ecs."&amp;$Y122,ECPKey,0))*INDEX(ECPCov,MATCH("ecf."&amp;$B122,ECPKey,0))</f>
        <v/>
      </c>
      <c r="AA122" s="35">
        <f>INDEX(ECPCov,MATCH("ees."&amp;$Y122,ECPKey,0))*INDEX(ECPCov,MATCH("eef."&amp;$B122,ECPKey,0))</f>
        <v/>
      </c>
    </row>
    <row r="123">
      <c r="A123" s="14">
        <f>$B123&amp;"|"&amp;$C123</f>
        <v/>
      </c>
      <c r="B123" s="22" t="inlineStr">
        <is>
          <t>oop</t>
        </is>
      </c>
      <c r="C123" s="22" t="inlineStr">
        <is>
          <t>ftr</t>
        </is>
      </c>
      <c r="D123" s="14">
        <f>INDEX(Mapping!$D$5:$D$20,MATCH($C123,SubKey,0))</f>
        <v/>
      </c>
      <c r="E123" s="14">
        <f>INDEX(Mapping!$C$30:$C$37,MATCH($B123,FuelKey,0))</f>
        <v/>
      </c>
      <c r="F123" s="14">
        <f>INDEX(Mapping!$D$30:$D$37,MATCH($B123,FuelKey,0))</f>
        <v/>
      </c>
      <c r="G123" s="14">
        <f>INDEX(Mapping!$E$30:$E$37,MATCH($B123,FuelKey,0))</f>
        <v/>
      </c>
      <c r="H123" s="14">
        <f>INDEX(Mapping!$F$5:$F$20,MATCH($C123,SubKey,0))</f>
        <v/>
      </c>
      <c r="I123" s="14">
        <f>$B123&amp;"."&amp;IF($G123="sub",$H123,"all")</f>
        <v/>
      </c>
      <c r="J123" s="14">
        <f>INDEX(Mapping!$E$5:$E$20,MATCH($C123,SubKey,0))</f>
        <v/>
      </c>
      <c r="K123" s="14">
        <f>INDEX(Mapping!$G$30:$G$37,MATCH($B123,FuelKey,0))</f>
        <v/>
      </c>
      <c r="L123" s="14">
        <f>INDEX(Mapping!$H$30:$H$37,MATCH($B123,FuelKey,0))</f>
        <v/>
      </c>
      <c r="M123" s="14">
        <f>INDEX(Mapping!$H$5:$H$20,MATCH($C123,SubKey,0))</f>
        <v/>
      </c>
      <c r="N123" s="14">
        <f>INDEX(Mapping!$E$50:$E$63,MATCH($I123,Mapping!$A$50:$A$63,0))</f>
        <v/>
      </c>
      <c r="O123" s="24">
        <f>INDEX(ElaVal,MATCH("inc|"&amp;$E123&amp;"|"&amp;$D123,ElaKey,0),MATCH(Settings!$C$6,ElaGroup,0))</f>
        <v/>
      </c>
      <c r="P123" s="24">
        <f>INDEX(ElaVal,MATCH("usg|"&amp;$E123&amp;"|"&amp;$D123,ElaKey,0),MATCH(Settings!$C$6,ElaGroup,0))</f>
        <v/>
      </c>
      <c r="Q123" s="24">
        <f>INDEX(ElaVal,MATCH("eff|"&amp;$E123&amp;"|"&amp;$D123,ElaKey,0),MATCH(Settings!$C$6,ElaGroup,0))</f>
        <v/>
      </c>
      <c r="R123" s="13">
        <f>INDEX(ElaVal,MATCH("aei|"&amp;$F123&amp;"|"&amp;$D123,ElaKey,0),MATCH(Settings!$C$6,ElaGroup,0))</f>
        <v/>
      </c>
      <c r="S123" s="16">
        <f>(1/(1+$R123))^(1+$P123)</f>
        <v/>
      </c>
      <c r="T123" s="24">
        <f>$Q123*(1+$P123)</f>
        <v/>
      </c>
      <c r="U123" s="14">
        <f>INDEX(Inputs_prices!$E$7:$E$18,MATCH($I123,Inputs_prices!$A$7:$A$18,0))</f>
        <v/>
      </c>
      <c r="V123" s="13">
        <f>INDEX(Inputs_prices!$R$7:$R$18,MATCH($I123,Inputs_prices!$A$7:$A$18,0))</f>
        <v/>
      </c>
      <c r="W123" s="16">
        <f>INDEX(EFVal,MATCH(Settings!$C$4&amp;"|"&amp;$B123&amp;"|"&amp;$J123,EFKey,0))</f>
        <v/>
      </c>
      <c r="X123" s="44">
        <f>INDEX(ConsVal,MATCH(Settings!$C$4&amp;"|"&amp;Settings!$C$7&amp;"|"&amp;$C123&amp;"|"&amp;$B123,ConsKey,0))</f>
        <v/>
      </c>
      <c r="Y123" s="14">
        <f>INDEX(Mapping!$I$5:$I$20,MATCH($C123,SubKey,0))</f>
        <v/>
      </c>
      <c r="Z123" s="35">
        <f>INDEX(ECPCov,MATCH("ecs."&amp;$Y123,ECPKey,0))*INDEX(ECPCov,MATCH("ecf."&amp;$B123,ECPKey,0))</f>
        <v/>
      </c>
      <c r="AA123" s="35">
        <f>INDEX(ECPCov,MATCH("ees."&amp;$Y123,ECPKey,0))*INDEX(ECPCov,MATCH("eef."&amp;$B123,ECPKey,0))</f>
        <v/>
      </c>
    </row>
    <row r="124">
      <c r="A124" s="14">
        <f>$B124&amp;"|"&amp;$C124</f>
        <v/>
      </c>
      <c r="B124" s="22" t="inlineStr">
        <is>
          <t>bio</t>
        </is>
      </c>
      <c r="C124" s="22" t="inlineStr">
        <is>
          <t>ftr</t>
        </is>
      </c>
      <c r="D124" s="14">
        <f>INDEX(Mapping!$D$5:$D$20,MATCH($C124,SubKey,0))</f>
        <v/>
      </c>
      <c r="E124" s="14">
        <f>INDEX(Mapping!$C$30:$C$37,MATCH($B124,FuelKey,0))</f>
        <v/>
      </c>
      <c r="F124" s="14">
        <f>INDEX(Mapping!$D$30:$D$37,MATCH($B124,FuelKey,0))</f>
        <v/>
      </c>
      <c r="G124" s="14">
        <f>INDEX(Mapping!$E$30:$E$37,MATCH($B124,FuelKey,0))</f>
        <v/>
      </c>
      <c r="H124" s="14">
        <f>INDEX(Mapping!$F$5:$F$20,MATCH($C124,SubKey,0))</f>
        <v/>
      </c>
      <c r="I124" s="14">
        <f>$B124&amp;"."&amp;IF($G124="sub",$H124,"all")</f>
        <v/>
      </c>
      <c r="J124" s="14">
        <f>INDEX(Mapping!$E$5:$E$20,MATCH($C124,SubKey,0))</f>
        <v/>
      </c>
      <c r="K124" s="14">
        <f>INDEX(Mapping!$G$30:$G$37,MATCH($B124,FuelKey,0))</f>
        <v/>
      </c>
      <c r="L124" s="14">
        <f>INDEX(Mapping!$H$30:$H$37,MATCH($B124,FuelKey,0))</f>
        <v/>
      </c>
      <c r="M124" s="14">
        <f>INDEX(Mapping!$H$5:$H$20,MATCH($C124,SubKey,0))</f>
        <v/>
      </c>
      <c r="N124" s="14">
        <f>INDEX(Mapping!$E$50:$E$63,MATCH($I124,Mapping!$A$50:$A$63,0))</f>
        <v/>
      </c>
      <c r="O124" s="24">
        <f>INDEX(ElaVal,MATCH("inc|"&amp;$E124&amp;"|"&amp;$D124,ElaKey,0),MATCH(Settings!$C$6,ElaGroup,0))</f>
        <v/>
      </c>
      <c r="P124" s="24">
        <f>INDEX(ElaVal,MATCH("usg|"&amp;$E124&amp;"|"&amp;$D124,ElaKey,0),MATCH(Settings!$C$6,ElaGroup,0))</f>
        <v/>
      </c>
      <c r="Q124" s="24">
        <f>INDEX(ElaVal,MATCH("eff|"&amp;$E124&amp;"|"&amp;$D124,ElaKey,0),MATCH(Settings!$C$6,ElaGroup,0))</f>
        <v/>
      </c>
      <c r="R124" s="13">
        <f>INDEX(ElaVal,MATCH("aei|"&amp;$F124&amp;"|"&amp;$D124,ElaKey,0),MATCH(Settings!$C$6,ElaGroup,0))</f>
        <v/>
      </c>
      <c r="S124" s="16">
        <f>(1/(1+$R124))^(1+$P124)</f>
        <v/>
      </c>
      <c r="T124" s="24">
        <f>$Q124*(1+$P124)</f>
        <v/>
      </c>
      <c r="U124" s="14">
        <f>INDEX(Inputs_prices!$E$7:$E$18,MATCH($I124,Inputs_prices!$A$7:$A$18,0))</f>
        <v/>
      </c>
      <c r="V124" s="13">
        <f>INDEX(Inputs_prices!$R$7:$R$18,MATCH($I124,Inputs_prices!$A$7:$A$18,0))</f>
        <v/>
      </c>
      <c r="W124" s="16">
        <f>INDEX(EFVal,MATCH(Settings!$C$4&amp;"|"&amp;$B124&amp;"|"&amp;$J124,EFKey,0))</f>
        <v/>
      </c>
      <c r="X124" s="44">
        <f>INDEX(ConsVal,MATCH(Settings!$C$4&amp;"|"&amp;Settings!$C$7&amp;"|"&amp;$C124&amp;"|"&amp;$B124,ConsKey,0))</f>
        <v/>
      </c>
      <c r="Y124" s="14">
        <f>INDEX(Mapping!$I$5:$I$20,MATCH($C124,SubKey,0))</f>
        <v/>
      </c>
      <c r="Z124" s="35">
        <f>INDEX(ECPCov,MATCH("ecs."&amp;$Y124,ECPKey,0))*INDEX(ECPCov,MATCH("ecf."&amp;$B124,ECPKey,0))</f>
        <v/>
      </c>
      <c r="AA124" s="35">
        <f>INDEX(ECPCov,MATCH("ees."&amp;$Y124,ECPKey,0))*INDEX(ECPCov,MATCH("eef."&amp;$B124,ECPKey,0))</f>
        <v/>
      </c>
    </row>
    <row r="125">
      <c r="A125" s="14">
        <f>$B125&amp;"|"&amp;$C125</f>
        <v/>
      </c>
      <c r="B125" s="22" t="inlineStr">
        <is>
          <t>coa</t>
        </is>
      </c>
      <c r="C125" s="22" t="inlineStr">
        <is>
          <t>oen</t>
        </is>
      </c>
      <c r="D125" s="14">
        <f>INDEX(Mapping!$D$5:$D$20,MATCH($C125,SubKey,0))</f>
        <v/>
      </c>
      <c r="E125" s="14">
        <f>INDEX(Mapping!$C$30:$C$37,MATCH($B125,FuelKey,0))</f>
        <v/>
      </c>
      <c r="F125" s="14">
        <f>INDEX(Mapping!$D$30:$D$37,MATCH($B125,FuelKey,0))</f>
        <v/>
      </c>
      <c r="G125" s="14">
        <f>INDEX(Mapping!$E$30:$E$37,MATCH($B125,FuelKey,0))</f>
        <v/>
      </c>
      <c r="H125" s="14">
        <f>INDEX(Mapping!$F$5:$F$20,MATCH($C125,SubKey,0))</f>
        <v/>
      </c>
      <c r="I125" s="14">
        <f>$B125&amp;"."&amp;IF($G125="sub",$H125,"all")</f>
        <v/>
      </c>
      <c r="J125" s="14">
        <f>INDEX(Mapping!$E$5:$E$20,MATCH($C125,SubKey,0))</f>
        <v/>
      </c>
      <c r="K125" s="14">
        <f>INDEX(Mapping!$G$30:$G$37,MATCH($B125,FuelKey,0))</f>
        <v/>
      </c>
      <c r="L125" s="14">
        <f>INDEX(Mapping!$H$30:$H$37,MATCH($B125,FuelKey,0))</f>
        <v/>
      </c>
      <c r="M125" s="14">
        <f>INDEX(Mapping!$H$5:$H$20,MATCH($C125,SubKey,0))</f>
        <v/>
      </c>
      <c r="N125" s="14">
        <f>INDEX(Mapping!$E$50:$E$63,MATCH($I125,Mapping!$A$50:$A$63,0))</f>
        <v/>
      </c>
      <c r="O125" s="24">
        <f>INDEX(ElaVal,MATCH("inc|"&amp;$E125&amp;"|"&amp;$D125,ElaKey,0),MATCH(Settings!$C$6,ElaGroup,0))</f>
        <v/>
      </c>
      <c r="P125" s="24">
        <f>INDEX(ElaVal,MATCH("usg|"&amp;$E125&amp;"|"&amp;$D125,ElaKey,0),MATCH(Settings!$C$6,ElaGroup,0))</f>
        <v/>
      </c>
      <c r="Q125" s="24">
        <f>INDEX(ElaVal,MATCH("eff|"&amp;$E125&amp;"|"&amp;$D125,ElaKey,0),MATCH(Settings!$C$6,ElaGroup,0))</f>
        <v/>
      </c>
      <c r="R125" s="13">
        <f>INDEX(ElaVal,MATCH("aei|"&amp;$F125&amp;"|"&amp;$D125,ElaKey,0),MATCH(Settings!$C$6,ElaGroup,0))</f>
        <v/>
      </c>
      <c r="S125" s="16">
        <f>(1/(1+$R125))^(1+$P125)</f>
        <v/>
      </c>
      <c r="T125" s="24">
        <f>$Q125*(1+$P125)</f>
        <v/>
      </c>
      <c r="U125" s="14">
        <f>INDEX(Inputs_prices!$E$7:$E$18,MATCH($I125,Inputs_prices!$A$7:$A$18,0))</f>
        <v/>
      </c>
      <c r="V125" s="13">
        <f>INDEX(Inputs_prices!$R$7:$R$18,MATCH($I125,Inputs_prices!$A$7:$A$18,0))</f>
        <v/>
      </c>
      <c r="W125" s="16">
        <f>INDEX(EFVal,MATCH(Settings!$C$4&amp;"|"&amp;$B125&amp;"|"&amp;$J125,EFKey,0))</f>
        <v/>
      </c>
      <c r="X125" s="44">
        <f>INDEX(ConsVal,MATCH(Settings!$C$4&amp;"|"&amp;Settings!$C$7&amp;"|"&amp;$C125&amp;"|"&amp;$B125,ConsKey,0))</f>
        <v/>
      </c>
      <c r="Y125" s="14">
        <f>INDEX(Mapping!$I$5:$I$20,MATCH($C125,SubKey,0))</f>
        <v/>
      </c>
      <c r="Z125" s="35">
        <f>INDEX(ECPCov,MATCH("ecs."&amp;$Y125,ECPKey,0))*INDEX(ECPCov,MATCH("ecf."&amp;$B125,ECPKey,0))</f>
        <v/>
      </c>
      <c r="AA125" s="35">
        <f>INDEX(ECPCov,MATCH("ees."&amp;$Y125,ECPKey,0))*INDEX(ECPCov,MATCH("eef."&amp;$B125,ECPKey,0))</f>
        <v/>
      </c>
    </row>
    <row r="126">
      <c r="A126" s="14">
        <f>$B126&amp;"|"&amp;$C126</f>
        <v/>
      </c>
      <c r="B126" s="22" t="inlineStr">
        <is>
          <t>nga</t>
        </is>
      </c>
      <c r="C126" s="22" t="inlineStr">
        <is>
          <t>oen</t>
        </is>
      </c>
      <c r="D126" s="14">
        <f>INDEX(Mapping!$D$5:$D$20,MATCH($C126,SubKey,0))</f>
        <v/>
      </c>
      <c r="E126" s="14">
        <f>INDEX(Mapping!$C$30:$C$37,MATCH($B126,FuelKey,0))</f>
        <v/>
      </c>
      <c r="F126" s="14">
        <f>INDEX(Mapping!$D$30:$D$37,MATCH($B126,FuelKey,0))</f>
        <v/>
      </c>
      <c r="G126" s="14">
        <f>INDEX(Mapping!$E$30:$E$37,MATCH($B126,FuelKey,0))</f>
        <v/>
      </c>
      <c r="H126" s="14">
        <f>INDEX(Mapping!$F$5:$F$20,MATCH($C126,SubKey,0))</f>
        <v/>
      </c>
      <c r="I126" s="14">
        <f>$B126&amp;"."&amp;IF($G126="sub",$H126,"all")</f>
        <v/>
      </c>
      <c r="J126" s="14">
        <f>INDEX(Mapping!$E$5:$E$20,MATCH($C126,SubKey,0))</f>
        <v/>
      </c>
      <c r="K126" s="14">
        <f>INDEX(Mapping!$G$30:$G$37,MATCH($B126,FuelKey,0))</f>
        <v/>
      </c>
      <c r="L126" s="14">
        <f>INDEX(Mapping!$H$30:$H$37,MATCH($B126,FuelKey,0))</f>
        <v/>
      </c>
      <c r="M126" s="14">
        <f>INDEX(Mapping!$H$5:$H$20,MATCH($C126,SubKey,0))</f>
        <v/>
      </c>
      <c r="N126" s="14">
        <f>INDEX(Mapping!$E$50:$E$63,MATCH($I126,Mapping!$A$50:$A$63,0))</f>
        <v/>
      </c>
      <c r="O126" s="24">
        <f>INDEX(ElaVal,MATCH("inc|"&amp;$E126&amp;"|"&amp;$D126,ElaKey,0),MATCH(Settings!$C$6,ElaGroup,0))</f>
        <v/>
      </c>
      <c r="P126" s="24">
        <f>INDEX(ElaVal,MATCH("usg|"&amp;$E126&amp;"|"&amp;$D126,ElaKey,0),MATCH(Settings!$C$6,ElaGroup,0))</f>
        <v/>
      </c>
      <c r="Q126" s="24">
        <f>INDEX(ElaVal,MATCH("eff|"&amp;$E126&amp;"|"&amp;$D126,ElaKey,0),MATCH(Settings!$C$6,ElaGroup,0))</f>
        <v/>
      </c>
      <c r="R126" s="13">
        <f>INDEX(ElaVal,MATCH("aei|"&amp;$F126&amp;"|"&amp;$D126,ElaKey,0),MATCH(Settings!$C$6,ElaGroup,0))</f>
        <v/>
      </c>
      <c r="S126" s="16">
        <f>(1/(1+$R126))^(1+$P126)</f>
        <v/>
      </c>
      <c r="T126" s="24">
        <f>$Q126*(1+$P126)</f>
        <v/>
      </c>
      <c r="U126" s="14">
        <f>INDEX(Inputs_prices!$E$7:$E$18,MATCH($I126,Inputs_prices!$A$7:$A$18,0))</f>
        <v/>
      </c>
      <c r="V126" s="13">
        <f>INDEX(Inputs_prices!$R$7:$R$18,MATCH($I126,Inputs_prices!$A$7:$A$18,0))</f>
        <v/>
      </c>
      <c r="W126" s="16">
        <f>INDEX(EFVal,MATCH(Settings!$C$4&amp;"|"&amp;$B126&amp;"|"&amp;$J126,EFKey,0))</f>
        <v/>
      </c>
      <c r="X126" s="44">
        <f>INDEX(ConsVal,MATCH(Settings!$C$4&amp;"|"&amp;Settings!$C$7&amp;"|"&amp;$C126&amp;"|"&amp;$B126,ConsKey,0))</f>
        <v/>
      </c>
      <c r="Y126" s="14">
        <f>INDEX(Mapping!$I$5:$I$20,MATCH($C126,SubKey,0))</f>
        <v/>
      </c>
      <c r="Z126" s="35">
        <f>INDEX(ECPCov,MATCH("ecs."&amp;$Y126,ECPKey,0))*INDEX(ECPCov,MATCH("ecf."&amp;$B126,ECPKey,0))</f>
        <v/>
      </c>
      <c r="AA126" s="35">
        <f>INDEX(ECPCov,MATCH("ees."&amp;$Y126,ECPKey,0))*INDEX(ECPCov,MATCH("eef."&amp;$B126,ECPKey,0))</f>
        <v/>
      </c>
    </row>
    <row r="127">
      <c r="A127" s="14">
        <f>$B127&amp;"|"&amp;$C127</f>
        <v/>
      </c>
      <c r="B127" s="22" t="inlineStr">
        <is>
          <t>gso</t>
        </is>
      </c>
      <c r="C127" s="22" t="inlineStr">
        <is>
          <t>oen</t>
        </is>
      </c>
      <c r="D127" s="14">
        <f>INDEX(Mapping!$D$5:$D$20,MATCH($C127,SubKey,0))</f>
        <v/>
      </c>
      <c r="E127" s="14">
        <f>INDEX(Mapping!$C$30:$C$37,MATCH($B127,FuelKey,0))</f>
        <v/>
      </c>
      <c r="F127" s="14">
        <f>INDEX(Mapping!$D$30:$D$37,MATCH($B127,FuelKey,0))</f>
        <v/>
      </c>
      <c r="G127" s="14">
        <f>INDEX(Mapping!$E$30:$E$37,MATCH($B127,FuelKey,0))</f>
        <v/>
      </c>
      <c r="H127" s="14">
        <f>INDEX(Mapping!$F$5:$F$20,MATCH($C127,SubKey,0))</f>
        <v/>
      </c>
      <c r="I127" s="14">
        <f>$B127&amp;"."&amp;IF($G127="sub",$H127,"all")</f>
        <v/>
      </c>
      <c r="J127" s="14">
        <f>INDEX(Mapping!$E$5:$E$20,MATCH($C127,SubKey,0))</f>
        <v/>
      </c>
      <c r="K127" s="14">
        <f>INDEX(Mapping!$G$30:$G$37,MATCH($B127,FuelKey,0))</f>
        <v/>
      </c>
      <c r="L127" s="14">
        <f>INDEX(Mapping!$H$30:$H$37,MATCH($B127,FuelKey,0))</f>
        <v/>
      </c>
      <c r="M127" s="14">
        <f>INDEX(Mapping!$H$5:$H$20,MATCH($C127,SubKey,0))</f>
        <v/>
      </c>
      <c r="N127" s="14">
        <f>INDEX(Mapping!$E$50:$E$63,MATCH($I127,Mapping!$A$50:$A$63,0))</f>
        <v/>
      </c>
      <c r="O127" s="24">
        <f>INDEX(ElaVal,MATCH("inc|"&amp;$E127&amp;"|"&amp;$D127,ElaKey,0),MATCH(Settings!$C$6,ElaGroup,0))</f>
        <v/>
      </c>
      <c r="P127" s="24">
        <f>INDEX(ElaVal,MATCH("usg|"&amp;$E127&amp;"|"&amp;$D127,ElaKey,0),MATCH(Settings!$C$6,ElaGroup,0))</f>
        <v/>
      </c>
      <c r="Q127" s="24">
        <f>INDEX(ElaVal,MATCH("eff|"&amp;$E127&amp;"|"&amp;$D127,ElaKey,0),MATCH(Settings!$C$6,ElaGroup,0))</f>
        <v/>
      </c>
      <c r="R127" s="13">
        <f>INDEX(ElaVal,MATCH("aei|"&amp;$F127&amp;"|"&amp;$D127,ElaKey,0),MATCH(Settings!$C$6,ElaGroup,0))</f>
        <v/>
      </c>
      <c r="S127" s="16">
        <f>(1/(1+$R127))^(1+$P127)</f>
        <v/>
      </c>
      <c r="T127" s="24">
        <f>$Q127*(1+$P127)</f>
        <v/>
      </c>
      <c r="U127" s="14">
        <f>INDEX(Inputs_prices!$E$7:$E$18,MATCH($I127,Inputs_prices!$A$7:$A$18,0))</f>
        <v/>
      </c>
      <c r="V127" s="13">
        <f>INDEX(Inputs_prices!$R$7:$R$18,MATCH($I127,Inputs_prices!$A$7:$A$18,0))</f>
        <v/>
      </c>
      <c r="W127" s="16">
        <f>INDEX(EFVal,MATCH(Settings!$C$4&amp;"|"&amp;$B127&amp;"|"&amp;$J127,EFKey,0))</f>
        <v/>
      </c>
      <c r="X127" s="44">
        <f>INDEX(ConsVal,MATCH(Settings!$C$4&amp;"|"&amp;Settings!$C$7&amp;"|"&amp;$C127&amp;"|"&amp;$B127,ConsKey,0))</f>
        <v/>
      </c>
      <c r="Y127" s="14">
        <f>INDEX(Mapping!$I$5:$I$20,MATCH($C127,SubKey,0))</f>
        <v/>
      </c>
      <c r="Z127" s="35">
        <f>INDEX(ECPCov,MATCH("ecs."&amp;$Y127,ECPKey,0))*INDEX(ECPCov,MATCH("ecf."&amp;$B127,ECPKey,0))</f>
        <v/>
      </c>
      <c r="AA127" s="35">
        <f>INDEX(ECPCov,MATCH("ees."&amp;$Y127,ECPKey,0))*INDEX(ECPCov,MATCH("eef."&amp;$B127,ECPKey,0))</f>
        <v/>
      </c>
    </row>
    <row r="128">
      <c r="A128" s="14">
        <f>$B128&amp;"|"&amp;$C128</f>
        <v/>
      </c>
      <c r="B128" s="22" t="inlineStr">
        <is>
          <t>die</t>
        </is>
      </c>
      <c r="C128" s="22" t="inlineStr">
        <is>
          <t>oen</t>
        </is>
      </c>
      <c r="D128" s="14">
        <f>INDEX(Mapping!$D$5:$D$20,MATCH($C128,SubKey,0))</f>
        <v/>
      </c>
      <c r="E128" s="14">
        <f>INDEX(Mapping!$C$30:$C$37,MATCH($B128,FuelKey,0))</f>
        <v/>
      </c>
      <c r="F128" s="14">
        <f>INDEX(Mapping!$D$30:$D$37,MATCH($B128,FuelKey,0))</f>
        <v/>
      </c>
      <c r="G128" s="14">
        <f>INDEX(Mapping!$E$30:$E$37,MATCH($B128,FuelKey,0))</f>
        <v/>
      </c>
      <c r="H128" s="14">
        <f>INDEX(Mapping!$F$5:$F$20,MATCH($C128,SubKey,0))</f>
        <v/>
      </c>
      <c r="I128" s="14">
        <f>$B128&amp;"."&amp;IF($G128="sub",$H128,"all")</f>
        <v/>
      </c>
      <c r="J128" s="14">
        <f>INDEX(Mapping!$E$5:$E$20,MATCH($C128,SubKey,0))</f>
        <v/>
      </c>
      <c r="K128" s="14">
        <f>INDEX(Mapping!$G$30:$G$37,MATCH($B128,FuelKey,0))</f>
        <v/>
      </c>
      <c r="L128" s="14">
        <f>INDEX(Mapping!$H$30:$H$37,MATCH($B128,FuelKey,0))</f>
        <v/>
      </c>
      <c r="M128" s="14">
        <f>INDEX(Mapping!$H$5:$H$20,MATCH($C128,SubKey,0))</f>
        <v/>
      </c>
      <c r="N128" s="14">
        <f>INDEX(Mapping!$E$50:$E$63,MATCH($I128,Mapping!$A$50:$A$63,0))</f>
        <v/>
      </c>
      <c r="O128" s="24">
        <f>INDEX(ElaVal,MATCH("inc|"&amp;$E128&amp;"|"&amp;$D128,ElaKey,0),MATCH(Settings!$C$6,ElaGroup,0))</f>
        <v/>
      </c>
      <c r="P128" s="24">
        <f>INDEX(ElaVal,MATCH("usg|"&amp;$E128&amp;"|"&amp;$D128,ElaKey,0),MATCH(Settings!$C$6,ElaGroup,0))</f>
        <v/>
      </c>
      <c r="Q128" s="24">
        <f>INDEX(ElaVal,MATCH("eff|"&amp;$E128&amp;"|"&amp;$D128,ElaKey,0),MATCH(Settings!$C$6,ElaGroup,0))</f>
        <v/>
      </c>
      <c r="R128" s="13">
        <f>INDEX(ElaVal,MATCH("aei|"&amp;$F128&amp;"|"&amp;$D128,ElaKey,0),MATCH(Settings!$C$6,ElaGroup,0))</f>
        <v/>
      </c>
      <c r="S128" s="16">
        <f>(1/(1+$R128))^(1+$P128)</f>
        <v/>
      </c>
      <c r="T128" s="24">
        <f>$Q128*(1+$P128)</f>
        <v/>
      </c>
      <c r="U128" s="14">
        <f>INDEX(Inputs_prices!$E$7:$E$18,MATCH($I128,Inputs_prices!$A$7:$A$18,0))</f>
        <v/>
      </c>
      <c r="V128" s="13">
        <f>INDEX(Inputs_prices!$R$7:$R$18,MATCH($I128,Inputs_prices!$A$7:$A$18,0))</f>
        <v/>
      </c>
      <c r="W128" s="16">
        <f>INDEX(EFVal,MATCH(Settings!$C$4&amp;"|"&amp;$B128&amp;"|"&amp;$J128,EFKey,0))</f>
        <v/>
      </c>
      <c r="X128" s="44">
        <f>INDEX(ConsVal,MATCH(Settings!$C$4&amp;"|"&amp;Settings!$C$7&amp;"|"&amp;$C128&amp;"|"&amp;$B128,ConsKey,0))</f>
        <v/>
      </c>
      <c r="Y128" s="14">
        <f>INDEX(Mapping!$I$5:$I$20,MATCH($C128,SubKey,0))</f>
        <v/>
      </c>
      <c r="Z128" s="35">
        <f>INDEX(ECPCov,MATCH("ecs."&amp;$Y128,ECPKey,0))*INDEX(ECPCov,MATCH("ecf."&amp;$B128,ECPKey,0))</f>
        <v/>
      </c>
      <c r="AA128" s="35">
        <f>INDEX(ECPCov,MATCH("ees."&amp;$Y128,ECPKey,0))*INDEX(ECPCov,MATCH("eef."&amp;$B128,ECPKey,0))</f>
        <v/>
      </c>
    </row>
    <row r="129">
      <c r="A129" s="14">
        <f>$B129&amp;"|"&amp;$C129</f>
        <v/>
      </c>
      <c r="B129" s="22" t="inlineStr">
        <is>
          <t>lpg</t>
        </is>
      </c>
      <c r="C129" s="22" t="inlineStr">
        <is>
          <t>oen</t>
        </is>
      </c>
      <c r="D129" s="14">
        <f>INDEX(Mapping!$D$5:$D$20,MATCH($C129,SubKey,0))</f>
        <v/>
      </c>
      <c r="E129" s="14">
        <f>INDEX(Mapping!$C$30:$C$37,MATCH($B129,FuelKey,0))</f>
        <v/>
      </c>
      <c r="F129" s="14">
        <f>INDEX(Mapping!$D$30:$D$37,MATCH($B129,FuelKey,0))</f>
        <v/>
      </c>
      <c r="G129" s="14">
        <f>INDEX(Mapping!$E$30:$E$37,MATCH($B129,FuelKey,0))</f>
        <v/>
      </c>
      <c r="H129" s="14">
        <f>INDEX(Mapping!$F$5:$F$20,MATCH($C129,SubKey,0))</f>
        <v/>
      </c>
      <c r="I129" s="14">
        <f>$B129&amp;"."&amp;IF($G129="sub",$H129,"all")</f>
        <v/>
      </c>
      <c r="J129" s="14">
        <f>INDEX(Mapping!$E$5:$E$20,MATCH($C129,SubKey,0))</f>
        <v/>
      </c>
      <c r="K129" s="14">
        <f>INDEX(Mapping!$G$30:$G$37,MATCH($B129,FuelKey,0))</f>
        <v/>
      </c>
      <c r="L129" s="14">
        <f>INDEX(Mapping!$H$30:$H$37,MATCH($B129,FuelKey,0))</f>
        <v/>
      </c>
      <c r="M129" s="14">
        <f>INDEX(Mapping!$H$5:$H$20,MATCH($C129,SubKey,0))</f>
        <v/>
      </c>
      <c r="N129" s="14">
        <f>INDEX(Mapping!$E$50:$E$63,MATCH($I129,Mapping!$A$50:$A$63,0))</f>
        <v/>
      </c>
      <c r="O129" s="24">
        <f>INDEX(ElaVal,MATCH("inc|"&amp;$E129&amp;"|"&amp;$D129,ElaKey,0),MATCH(Settings!$C$6,ElaGroup,0))</f>
        <v/>
      </c>
      <c r="P129" s="24">
        <f>INDEX(ElaVal,MATCH("usg|"&amp;$E129&amp;"|"&amp;$D129,ElaKey,0),MATCH(Settings!$C$6,ElaGroup,0))</f>
        <v/>
      </c>
      <c r="Q129" s="24">
        <f>INDEX(ElaVal,MATCH("eff|"&amp;$E129&amp;"|"&amp;$D129,ElaKey,0),MATCH(Settings!$C$6,ElaGroup,0))</f>
        <v/>
      </c>
      <c r="R129" s="13">
        <f>INDEX(ElaVal,MATCH("aei|"&amp;$F129&amp;"|"&amp;$D129,ElaKey,0),MATCH(Settings!$C$6,ElaGroup,0))</f>
        <v/>
      </c>
      <c r="S129" s="16">
        <f>(1/(1+$R129))^(1+$P129)</f>
        <v/>
      </c>
      <c r="T129" s="24">
        <f>$Q129*(1+$P129)</f>
        <v/>
      </c>
      <c r="U129" s="14">
        <f>INDEX(Inputs_prices!$E$7:$E$18,MATCH($I129,Inputs_prices!$A$7:$A$18,0))</f>
        <v/>
      </c>
      <c r="V129" s="13">
        <f>INDEX(Inputs_prices!$R$7:$R$18,MATCH($I129,Inputs_prices!$A$7:$A$18,0))</f>
        <v/>
      </c>
      <c r="W129" s="16">
        <f>INDEX(EFVal,MATCH(Settings!$C$4&amp;"|"&amp;$B129&amp;"|"&amp;$J129,EFKey,0))</f>
        <v/>
      </c>
      <c r="X129" s="44">
        <f>INDEX(ConsVal,MATCH(Settings!$C$4&amp;"|"&amp;Settings!$C$7&amp;"|"&amp;$C129&amp;"|"&amp;$B129,ConsKey,0))</f>
        <v/>
      </c>
      <c r="Y129" s="14">
        <f>INDEX(Mapping!$I$5:$I$20,MATCH($C129,SubKey,0))</f>
        <v/>
      </c>
      <c r="Z129" s="35">
        <f>INDEX(ECPCov,MATCH("ecs."&amp;$Y129,ECPKey,0))*INDEX(ECPCov,MATCH("ecf."&amp;$B129,ECPKey,0))</f>
        <v/>
      </c>
      <c r="AA129" s="35">
        <f>INDEX(ECPCov,MATCH("ees."&amp;$Y129,ECPKey,0))*INDEX(ECPCov,MATCH("eef."&amp;$B129,ECPKey,0))</f>
        <v/>
      </c>
    </row>
    <row r="130">
      <c r="A130" s="14">
        <f>$B130&amp;"|"&amp;$C130</f>
        <v/>
      </c>
      <c r="B130" s="22" t="inlineStr">
        <is>
          <t>ker</t>
        </is>
      </c>
      <c r="C130" s="22" t="inlineStr">
        <is>
          <t>oen</t>
        </is>
      </c>
      <c r="D130" s="14">
        <f>INDEX(Mapping!$D$5:$D$20,MATCH($C130,SubKey,0))</f>
        <v/>
      </c>
      <c r="E130" s="14">
        <f>INDEX(Mapping!$C$30:$C$37,MATCH($B130,FuelKey,0))</f>
        <v/>
      </c>
      <c r="F130" s="14">
        <f>INDEX(Mapping!$D$30:$D$37,MATCH($B130,FuelKey,0))</f>
        <v/>
      </c>
      <c r="G130" s="14">
        <f>INDEX(Mapping!$E$30:$E$37,MATCH($B130,FuelKey,0))</f>
        <v/>
      </c>
      <c r="H130" s="14">
        <f>INDEX(Mapping!$F$5:$F$20,MATCH($C130,SubKey,0))</f>
        <v/>
      </c>
      <c r="I130" s="14">
        <f>$B130&amp;"."&amp;IF($G130="sub",$H130,"all")</f>
        <v/>
      </c>
      <c r="J130" s="14">
        <f>INDEX(Mapping!$E$5:$E$20,MATCH($C130,SubKey,0))</f>
        <v/>
      </c>
      <c r="K130" s="14">
        <f>INDEX(Mapping!$G$30:$G$37,MATCH($B130,FuelKey,0))</f>
        <v/>
      </c>
      <c r="L130" s="14">
        <f>INDEX(Mapping!$H$30:$H$37,MATCH($B130,FuelKey,0))</f>
        <v/>
      </c>
      <c r="M130" s="14">
        <f>INDEX(Mapping!$H$5:$H$20,MATCH($C130,SubKey,0))</f>
        <v/>
      </c>
      <c r="N130" s="14">
        <f>INDEX(Mapping!$E$50:$E$63,MATCH($I130,Mapping!$A$50:$A$63,0))</f>
        <v/>
      </c>
      <c r="O130" s="24">
        <f>INDEX(ElaVal,MATCH("inc|"&amp;$E130&amp;"|"&amp;$D130,ElaKey,0),MATCH(Settings!$C$6,ElaGroup,0))</f>
        <v/>
      </c>
      <c r="P130" s="24">
        <f>INDEX(ElaVal,MATCH("usg|"&amp;$E130&amp;"|"&amp;$D130,ElaKey,0),MATCH(Settings!$C$6,ElaGroup,0))</f>
        <v/>
      </c>
      <c r="Q130" s="24">
        <f>INDEX(ElaVal,MATCH("eff|"&amp;$E130&amp;"|"&amp;$D130,ElaKey,0),MATCH(Settings!$C$6,ElaGroup,0))</f>
        <v/>
      </c>
      <c r="R130" s="13">
        <f>INDEX(ElaVal,MATCH("aei|"&amp;$F130&amp;"|"&amp;$D130,ElaKey,0),MATCH(Settings!$C$6,ElaGroup,0))</f>
        <v/>
      </c>
      <c r="S130" s="16">
        <f>(1/(1+$R130))^(1+$P130)</f>
        <v/>
      </c>
      <c r="T130" s="24">
        <f>$Q130*(1+$P130)</f>
        <v/>
      </c>
      <c r="U130" s="14">
        <f>INDEX(Inputs_prices!$E$7:$E$18,MATCH($I130,Inputs_prices!$A$7:$A$18,0))</f>
        <v/>
      </c>
      <c r="V130" s="13">
        <f>INDEX(Inputs_prices!$R$7:$R$18,MATCH($I130,Inputs_prices!$A$7:$A$18,0))</f>
        <v/>
      </c>
      <c r="W130" s="16">
        <f>INDEX(EFVal,MATCH(Settings!$C$4&amp;"|"&amp;$B130&amp;"|"&amp;$J130,EFKey,0))</f>
        <v/>
      </c>
      <c r="X130" s="44">
        <f>INDEX(ConsVal,MATCH(Settings!$C$4&amp;"|"&amp;Settings!$C$7&amp;"|"&amp;$C130&amp;"|"&amp;$B130,ConsKey,0))</f>
        <v/>
      </c>
      <c r="Y130" s="14">
        <f>INDEX(Mapping!$I$5:$I$20,MATCH($C130,SubKey,0))</f>
        <v/>
      </c>
      <c r="Z130" s="35">
        <f>INDEX(ECPCov,MATCH("ecs."&amp;$Y130,ECPKey,0))*INDEX(ECPCov,MATCH("ecf."&amp;$B130,ECPKey,0))</f>
        <v/>
      </c>
      <c r="AA130" s="35">
        <f>INDEX(ECPCov,MATCH("ees."&amp;$Y130,ECPKey,0))*INDEX(ECPCov,MATCH("eef."&amp;$B130,ECPKey,0))</f>
        <v/>
      </c>
    </row>
    <row r="131">
      <c r="A131" s="14">
        <f>$B131&amp;"|"&amp;$C131</f>
        <v/>
      </c>
      <c r="B131" s="22" t="inlineStr">
        <is>
          <t>oop</t>
        </is>
      </c>
      <c r="C131" s="22" t="inlineStr">
        <is>
          <t>oen</t>
        </is>
      </c>
      <c r="D131" s="14">
        <f>INDEX(Mapping!$D$5:$D$20,MATCH($C131,SubKey,0))</f>
        <v/>
      </c>
      <c r="E131" s="14">
        <f>INDEX(Mapping!$C$30:$C$37,MATCH($B131,FuelKey,0))</f>
        <v/>
      </c>
      <c r="F131" s="14">
        <f>INDEX(Mapping!$D$30:$D$37,MATCH($B131,FuelKey,0))</f>
        <v/>
      </c>
      <c r="G131" s="14">
        <f>INDEX(Mapping!$E$30:$E$37,MATCH($B131,FuelKey,0))</f>
        <v/>
      </c>
      <c r="H131" s="14">
        <f>INDEX(Mapping!$F$5:$F$20,MATCH($C131,SubKey,0))</f>
        <v/>
      </c>
      <c r="I131" s="14">
        <f>$B131&amp;"."&amp;IF($G131="sub",$H131,"all")</f>
        <v/>
      </c>
      <c r="J131" s="14">
        <f>INDEX(Mapping!$E$5:$E$20,MATCH($C131,SubKey,0))</f>
        <v/>
      </c>
      <c r="K131" s="14">
        <f>INDEX(Mapping!$G$30:$G$37,MATCH($B131,FuelKey,0))</f>
        <v/>
      </c>
      <c r="L131" s="14">
        <f>INDEX(Mapping!$H$30:$H$37,MATCH($B131,FuelKey,0))</f>
        <v/>
      </c>
      <c r="M131" s="14">
        <f>INDEX(Mapping!$H$5:$H$20,MATCH($C131,SubKey,0))</f>
        <v/>
      </c>
      <c r="N131" s="14">
        <f>INDEX(Mapping!$E$50:$E$63,MATCH($I131,Mapping!$A$50:$A$63,0))</f>
        <v/>
      </c>
      <c r="O131" s="24">
        <f>INDEX(ElaVal,MATCH("inc|"&amp;$E131&amp;"|"&amp;$D131,ElaKey,0),MATCH(Settings!$C$6,ElaGroup,0))</f>
        <v/>
      </c>
      <c r="P131" s="24">
        <f>INDEX(ElaVal,MATCH("usg|"&amp;$E131&amp;"|"&amp;$D131,ElaKey,0),MATCH(Settings!$C$6,ElaGroup,0))</f>
        <v/>
      </c>
      <c r="Q131" s="24">
        <f>INDEX(ElaVal,MATCH("eff|"&amp;$E131&amp;"|"&amp;$D131,ElaKey,0),MATCH(Settings!$C$6,ElaGroup,0))</f>
        <v/>
      </c>
      <c r="R131" s="13">
        <f>INDEX(ElaVal,MATCH("aei|"&amp;$F131&amp;"|"&amp;$D131,ElaKey,0),MATCH(Settings!$C$6,ElaGroup,0))</f>
        <v/>
      </c>
      <c r="S131" s="16">
        <f>(1/(1+$R131))^(1+$P131)</f>
        <v/>
      </c>
      <c r="T131" s="24">
        <f>$Q131*(1+$P131)</f>
        <v/>
      </c>
      <c r="U131" s="14">
        <f>INDEX(Inputs_prices!$E$7:$E$18,MATCH($I131,Inputs_prices!$A$7:$A$18,0))</f>
        <v/>
      </c>
      <c r="V131" s="13">
        <f>INDEX(Inputs_prices!$R$7:$R$18,MATCH($I131,Inputs_prices!$A$7:$A$18,0))</f>
        <v/>
      </c>
      <c r="W131" s="16">
        <f>INDEX(EFVal,MATCH(Settings!$C$4&amp;"|"&amp;$B131&amp;"|"&amp;$J131,EFKey,0))</f>
        <v/>
      </c>
      <c r="X131" s="44">
        <f>INDEX(ConsVal,MATCH(Settings!$C$4&amp;"|"&amp;Settings!$C$7&amp;"|"&amp;$C131&amp;"|"&amp;$B131,ConsKey,0))</f>
        <v/>
      </c>
      <c r="Y131" s="14">
        <f>INDEX(Mapping!$I$5:$I$20,MATCH($C131,SubKey,0))</f>
        <v/>
      </c>
      <c r="Z131" s="35">
        <f>INDEX(ECPCov,MATCH("ecs."&amp;$Y131,ECPKey,0))*INDEX(ECPCov,MATCH("ecf."&amp;$B131,ECPKey,0))</f>
        <v/>
      </c>
      <c r="AA131" s="35">
        <f>INDEX(ECPCov,MATCH("ees."&amp;$Y131,ECPKey,0))*INDEX(ECPCov,MATCH("eef."&amp;$B131,ECPKey,0))</f>
        <v/>
      </c>
    </row>
    <row r="132">
      <c r="A132" s="14">
        <f>$B132&amp;"|"&amp;$C132</f>
        <v/>
      </c>
      <c r="B132" s="22" t="inlineStr">
        <is>
          <t>bio</t>
        </is>
      </c>
      <c r="C132" s="22" t="inlineStr">
        <is>
          <t>oen</t>
        </is>
      </c>
      <c r="D132" s="14">
        <f>INDEX(Mapping!$D$5:$D$20,MATCH($C132,SubKey,0))</f>
        <v/>
      </c>
      <c r="E132" s="14">
        <f>INDEX(Mapping!$C$30:$C$37,MATCH($B132,FuelKey,0))</f>
        <v/>
      </c>
      <c r="F132" s="14">
        <f>INDEX(Mapping!$D$30:$D$37,MATCH($B132,FuelKey,0))</f>
        <v/>
      </c>
      <c r="G132" s="14">
        <f>INDEX(Mapping!$E$30:$E$37,MATCH($B132,FuelKey,0))</f>
        <v/>
      </c>
      <c r="H132" s="14">
        <f>INDEX(Mapping!$F$5:$F$20,MATCH($C132,SubKey,0))</f>
        <v/>
      </c>
      <c r="I132" s="14">
        <f>$B132&amp;"."&amp;IF($G132="sub",$H132,"all")</f>
        <v/>
      </c>
      <c r="J132" s="14">
        <f>INDEX(Mapping!$E$5:$E$20,MATCH($C132,SubKey,0))</f>
        <v/>
      </c>
      <c r="K132" s="14">
        <f>INDEX(Mapping!$G$30:$G$37,MATCH($B132,FuelKey,0))</f>
        <v/>
      </c>
      <c r="L132" s="14">
        <f>INDEX(Mapping!$H$30:$H$37,MATCH($B132,FuelKey,0))</f>
        <v/>
      </c>
      <c r="M132" s="14">
        <f>INDEX(Mapping!$H$5:$H$20,MATCH($C132,SubKey,0))</f>
        <v/>
      </c>
      <c r="N132" s="14">
        <f>INDEX(Mapping!$E$50:$E$63,MATCH($I132,Mapping!$A$50:$A$63,0))</f>
        <v/>
      </c>
      <c r="O132" s="24">
        <f>INDEX(ElaVal,MATCH("inc|"&amp;$E132&amp;"|"&amp;$D132,ElaKey,0),MATCH(Settings!$C$6,ElaGroup,0))</f>
        <v/>
      </c>
      <c r="P132" s="24">
        <f>INDEX(ElaVal,MATCH("usg|"&amp;$E132&amp;"|"&amp;$D132,ElaKey,0),MATCH(Settings!$C$6,ElaGroup,0))</f>
        <v/>
      </c>
      <c r="Q132" s="24">
        <f>INDEX(ElaVal,MATCH("eff|"&amp;$E132&amp;"|"&amp;$D132,ElaKey,0),MATCH(Settings!$C$6,ElaGroup,0))</f>
        <v/>
      </c>
      <c r="R132" s="13">
        <f>INDEX(ElaVal,MATCH("aei|"&amp;$F132&amp;"|"&amp;$D132,ElaKey,0),MATCH(Settings!$C$6,ElaGroup,0))</f>
        <v/>
      </c>
      <c r="S132" s="16">
        <f>(1/(1+$R132))^(1+$P132)</f>
        <v/>
      </c>
      <c r="T132" s="24">
        <f>$Q132*(1+$P132)</f>
        <v/>
      </c>
      <c r="U132" s="14">
        <f>INDEX(Inputs_prices!$E$7:$E$18,MATCH($I132,Inputs_prices!$A$7:$A$18,0))</f>
        <v/>
      </c>
      <c r="V132" s="13">
        <f>INDEX(Inputs_prices!$R$7:$R$18,MATCH($I132,Inputs_prices!$A$7:$A$18,0))</f>
        <v/>
      </c>
      <c r="W132" s="16">
        <f>INDEX(EFVal,MATCH(Settings!$C$4&amp;"|"&amp;$B132&amp;"|"&amp;$J132,EFKey,0))</f>
        <v/>
      </c>
      <c r="X132" s="44">
        <f>INDEX(ConsVal,MATCH(Settings!$C$4&amp;"|"&amp;Settings!$C$7&amp;"|"&amp;$C132&amp;"|"&amp;$B132,ConsKey,0))</f>
        <v/>
      </c>
      <c r="Y132" s="14">
        <f>INDEX(Mapping!$I$5:$I$20,MATCH($C132,SubKey,0))</f>
        <v/>
      </c>
      <c r="Z132" s="35">
        <f>INDEX(ECPCov,MATCH("ecs."&amp;$Y132,ECPKey,0))*INDEX(ECPCov,MATCH("ecf."&amp;$B132,ECPKey,0))</f>
        <v/>
      </c>
      <c r="AA132" s="35">
        <f>INDEX(ECPCov,MATCH("ees."&amp;$Y132,ECPKey,0))*INDEX(ECPCov,MATCH("eef."&amp;$B132,ECPKey,0))</f>
        <v/>
      </c>
    </row>
  </sheetData>
  <pageMargins left="0.75" right="0.75" top="1" bottom="1" header="0.5" footer="0.5"/>
</worksheet>
</file>

<file path=xl/worksheets/sheet13.xml><?xml version="1.0" encoding="utf-8"?>
<worksheet xmlns="http://schemas.openxmlformats.org/spreadsheetml/2006/main">
  <sheetPr codeName="Sheet13">
    <outlinePr summaryBelow="1" summaryRight="1"/>
    <pageSetUpPr/>
  </sheetPr>
  <dimension ref="A2:AZ25"/>
  <sheetViews>
    <sheetView tabSelected="0" workbookViewId="0">
      <pane xSplit="2" ySplit="6" topLeftCell="C7" activePane="bottomRight" state="frozen"/>
      <selection pane="topRight"/>
      <selection pane="bottomLeft"/>
      <selection pane="bottomRight" activeCell="A1" sqref="A1"/>
    </sheetView>
  </sheetViews>
  <sheetFormatPr baseColWidth="8" defaultRowHeight="15" outlineLevelCol="0"/>
  <cols>
    <col width="10" customWidth="1" min="1" max="1"/>
    <col width="22"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 width="11" customWidth="1" min="28" max="28"/>
    <col width="11" customWidth="1" min="29" max="29"/>
    <col width="11" customWidth="1" min="30" max="30"/>
    <col width="11" customWidth="1" min="31" max="31"/>
    <col width="11" customWidth="1" min="32" max="32"/>
    <col width="11" customWidth="1" min="33" max="33"/>
    <col width="11" customWidth="1" min="34" max="34"/>
    <col width="11" customWidth="1" min="35" max="35"/>
    <col width="11" customWidth="1" min="36" max="36"/>
    <col width="11" customWidth="1" min="37" max="37"/>
    <col width="11" customWidth="1" min="38" max="38"/>
    <col width="11" customWidth="1" min="39" max="39"/>
    <col width="11" customWidth="1" min="40" max="40"/>
    <col width="11" customWidth="1" min="41" max="41"/>
    <col width="11" customWidth="1" min="42" max="42"/>
    <col width="11" customWidth="1" min="43" max="43"/>
    <col width="11" customWidth="1" min="44" max="44"/>
    <col width="11" customWidth="1" min="45" max="45"/>
    <col width="11" customWidth="1" min="46" max="46"/>
    <col width="11" customWidth="1" min="47" max="47"/>
    <col width="11" customWidth="1" min="48" max="48"/>
    <col width="11" customWidth="1" min="49" max="49"/>
    <col width="11" customWidth="1" min="50" max="50"/>
    <col width="11" customWidth="1" min="51" max="51"/>
    <col width="11" customWidth="1" min="52" max="52"/>
  </cols>
  <sheetData>
    <row r="2">
      <c r="A2" s="2" t="inlineStr">
        <is>
          <t>Inputs by price fuel: historical prices (real $/GJ) and forecasting coefficients (data step)</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row>
    <row r="3">
      <c r="A3" s="1" t="inlineStr">
        <is>
          <t>Prices_dom row of the column year -&gt;</t>
        </is>
      </c>
      <c r="U3" s="10">
        <f>MATCH(Settings!$C$4&amp;U$6,PDomKey,0)</f>
        <v/>
      </c>
      <c r="V3" s="10">
        <f>MATCH(Settings!$C$4&amp;V$6,PDomKey,0)</f>
        <v/>
      </c>
      <c r="W3" s="10">
        <f>MATCH(Settings!$C$4&amp;W$6,PDomKey,0)</f>
        <v/>
      </c>
      <c r="X3" s="10">
        <f>MATCH(Settings!$C$4&amp;X$6,PDomKey,0)</f>
        <v/>
      </c>
      <c r="Y3" s="10">
        <f>MATCH(Settings!$C$4&amp;Y$6,PDomKey,0)</f>
        <v/>
      </c>
      <c r="Z3" s="10">
        <f>MATCH(Settings!$C$4&amp;Z$6,PDomKey,0)</f>
        <v/>
      </c>
      <c r="AA3" s="10">
        <f>MATCH(Settings!$C$4&amp;AA$6,PDomKey,0)</f>
        <v/>
      </c>
      <c r="AB3" s="10">
        <f>MATCH(Settings!$C$4&amp;AB$6,PDomKey,0)</f>
        <v/>
      </c>
      <c r="AC3" s="10">
        <f>MATCH(Settings!$C$4&amp;AC$6,PDomKey,0)</f>
        <v/>
      </c>
      <c r="AD3" s="10">
        <f>MATCH(Settings!$C$4&amp;AD$6,PDomKey,0)</f>
        <v/>
      </c>
      <c r="AE3" s="10">
        <f>MATCH(Settings!$C$4&amp;AE$6,PDomKey,0)</f>
        <v/>
      </c>
      <c r="AF3" s="10">
        <f>MATCH(Settings!$C$4&amp;AF$6,PDomKey,0)</f>
        <v/>
      </c>
      <c r="AG3" s="10">
        <f>MATCH(Settings!$C$4&amp;AG$6,PDomKey,0)</f>
        <v/>
      </c>
      <c r="AH3" s="10">
        <f>MATCH(Settings!$C$4&amp;AH$6,PDomKey,0)</f>
        <v/>
      </c>
      <c r="AI3" s="10">
        <f>MATCH(Settings!$C$4&amp;AI$6,PDomKey,0)</f>
        <v/>
      </c>
      <c r="AJ3" s="10">
        <f>MATCH(Settings!$C$4&amp;AJ$6,PDomKey,0)</f>
        <v/>
      </c>
      <c r="AK3" s="10">
        <f>MATCH(Settings!$C$4&amp;AK$6,PDomKey,0)</f>
        <v/>
      </c>
      <c r="AL3" s="10">
        <f>MATCH(Settings!$C$4&amp;AL$6,PDomKey,0)</f>
        <v/>
      </c>
      <c r="AM3" s="10">
        <f>MATCH(Settings!$C$4&amp;AM$6,PDomKey,0)</f>
        <v/>
      </c>
      <c r="AN3" s="10">
        <f>MATCH(Settings!$C$4&amp;AN$6,PDomKey,0)</f>
        <v/>
      </c>
      <c r="AO3" s="10">
        <f>MATCH(Settings!$C$4&amp;AO$6,PDomKey,0)</f>
        <v/>
      </c>
      <c r="AP3" s="10">
        <f>MATCH(Settings!$C$4&amp;AP$6,PDomKey,0)</f>
        <v/>
      </c>
      <c r="AQ3" s="10">
        <f>MATCH(Settings!$C$4&amp;AQ$6,PDomKey,0)</f>
        <v/>
      </c>
      <c r="AR3" s="10">
        <f>MATCH(Settings!$C$4&amp;AR$6,PDomKey,0)</f>
        <v/>
      </c>
      <c r="AS3" s="10">
        <f>MATCH(Settings!$C$4&amp;AS$6,PDomKey,0)</f>
        <v/>
      </c>
      <c r="AT3" s="10">
        <f>MATCH(Settings!$C$4&amp;AT$6,PDomKey,0)</f>
        <v/>
      </c>
      <c r="AU3" s="10">
        <f>MATCH(Settings!$C$4&amp;AU$6,PDomKey,0)</f>
        <v/>
      </c>
      <c r="AV3" s="10">
        <f>MATCH(Settings!$C$4&amp;AV$6,PDomKey,0)</f>
        <v/>
      </c>
      <c r="AW3" s="10">
        <f>MATCH(Settings!$C$4&amp;AW$6,PDomKey,0)</f>
        <v/>
      </c>
      <c r="AX3" s="10">
        <f>MATCH(Settings!$C$4&amp;AX$6,PDomKey,0)</f>
        <v/>
      </c>
      <c r="AY3" s="10">
        <f>MATCH(Settings!$C$4&amp;AY$6,PDomKey,0)</f>
        <v/>
      </c>
      <c r="AZ3" s="10">
        <f>MATCH(Settings!$C$4&amp;AZ$6,PDomKey,0)</f>
        <v/>
      </c>
    </row>
    <row r="4">
      <c r="A4" s="1" t="inlineStr">
        <is>
          <t>CPI index of the column year (ResultsYear = 1) -&gt;</t>
        </is>
      </c>
      <c r="U4" s="16">
        <f>CPIRes/INDEX(WEOVal,MATCH("USA|pcpi",WEOKey,0),MATCH(U$6,WEOYear,0))</f>
        <v/>
      </c>
      <c r="V4" s="16">
        <f>CPIRes/INDEX(WEOVal,MATCH("USA|pcpi",WEOKey,0),MATCH(V$6,WEOYear,0))</f>
        <v/>
      </c>
      <c r="W4" s="16">
        <f>CPIRes/INDEX(WEOVal,MATCH("USA|pcpi",WEOKey,0),MATCH(W$6,WEOYear,0))</f>
        <v/>
      </c>
      <c r="X4" s="16">
        <f>CPIRes/INDEX(WEOVal,MATCH("USA|pcpi",WEOKey,0),MATCH(X$6,WEOYear,0))</f>
        <v/>
      </c>
      <c r="Y4" s="16">
        <f>CPIRes/INDEX(WEOVal,MATCH("USA|pcpi",WEOKey,0),MATCH(Y$6,WEOYear,0))</f>
        <v/>
      </c>
      <c r="Z4" s="16">
        <f>CPIRes/INDEX(WEOVal,MATCH("USA|pcpi",WEOKey,0),MATCH(Z$6,WEOYear,0))</f>
        <v/>
      </c>
      <c r="AA4" s="16">
        <f>CPIRes/INDEX(WEOVal,MATCH("USA|pcpi",WEOKey,0),MATCH(AA$6,WEOYear,0))</f>
        <v/>
      </c>
      <c r="AB4" s="16">
        <f>CPIRes/INDEX(WEOVal,MATCH("USA|pcpi",WEOKey,0),MATCH(AB$6,WEOYear,0))</f>
        <v/>
      </c>
      <c r="AC4" s="16">
        <f>CPIRes/INDEX(WEOVal,MATCH("USA|pcpi",WEOKey,0),MATCH(AC$6,WEOYear,0))</f>
        <v/>
      </c>
      <c r="AD4" s="16">
        <f>CPIRes/INDEX(WEOVal,MATCH("USA|pcpi",WEOKey,0),MATCH(AD$6,WEOYear,0))</f>
        <v/>
      </c>
      <c r="AE4" s="16">
        <f>CPIRes/INDEX(WEOVal,MATCH("USA|pcpi",WEOKey,0),MATCH(AE$6,WEOYear,0))</f>
        <v/>
      </c>
      <c r="AF4" s="16">
        <f>CPIRes/INDEX(WEOVal,MATCH("USA|pcpi",WEOKey,0),MATCH(AF$6,WEOYear,0))</f>
        <v/>
      </c>
      <c r="AG4" s="16">
        <f>CPIRes/INDEX(WEOVal,MATCH("USA|pcpi",WEOKey,0),MATCH(AG$6,WEOYear,0))</f>
        <v/>
      </c>
      <c r="AH4" s="16">
        <f>CPIRes/INDEX(WEOVal,MATCH("USA|pcpi",WEOKey,0),MATCH(AH$6,WEOYear,0))</f>
        <v/>
      </c>
      <c r="AI4" s="16">
        <f>CPIRes/INDEX(WEOVal,MATCH("USA|pcpi",WEOKey,0),MATCH(AI$6,WEOYear,0))</f>
        <v/>
      </c>
      <c r="AJ4" s="16">
        <f>CPIRes/INDEX(WEOVal,MATCH("USA|pcpi",WEOKey,0),MATCH(AJ$6,WEOYear,0))</f>
        <v/>
      </c>
      <c r="AK4" s="16">
        <f>CPIRes/INDEX(WEOVal,MATCH("USA|pcpi",WEOKey,0),MATCH(AK$6,WEOYear,0))</f>
        <v/>
      </c>
      <c r="AL4" s="16">
        <f>CPIRes/INDEX(WEOVal,MATCH("USA|pcpi",WEOKey,0),MATCH(AL$6,WEOYear,0))</f>
        <v/>
      </c>
      <c r="AM4" s="16">
        <f>CPIRes/INDEX(WEOVal,MATCH("USA|pcpi",WEOKey,0),MATCH(AM$6,WEOYear,0))</f>
        <v/>
      </c>
      <c r="AN4" s="16">
        <f>CPIRes/INDEX(WEOVal,MATCH("USA|pcpi",WEOKey,0),MATCH(AN$6,WEOYear,0))</f>
        <v/>
      </c>
      <c r="AO4" s="16">
        <f>CPIRes/INDEX(WEOVal,MATCH("USA|pcpi",WEOKey,0),MATCH(AO$6,WEOYear,0))</f>
        <v/>
      </c>
      <c r="AP4" s="16">
        <f>CPIRes/INDEX(WEOVal,MATCH("USA|pcpi",WEOKey,0),MATCH(AP$6,WEOYear,0))</f>
        <v/>
      </c>
      <c r="AQ4" s="16">
        <f>CPIRes/INDEX(WEOVal,MATCH("USA|pcpi",WEOKey,0),MATCH(AQ$6,WEOYear,0))</f>
        <v/>
      </c>
      <c r="AR4" s="16">
        <f>CPIRes/INDEX(WEOVal,MATCH("USA|pcpi",WEOKey,0),MATCH(AR$6,WEOYear,0))</f>
        <v/>
      </c>
      <c r="AS4" s="16">
        <f>CPIRes/INDEX(WEOVal,MATCH("USA|pcpi",WEOKey,0),MATCH(AS$6,WEOYear,0))</f>
        <v/>
      </c>
      <c r="AT4" s="16">
        <f>CPIRes/INDEX(WEOVal,MATCH("USA|pcpi",WEOKey,0),MATCH(AT$6,WEOYear,0))</f>
        <v/>
      </c>
      <c r="AU4" s="16">
        <f>CPIRes/INDEX(WEOVal,MATCH("USA|pcpi",WEOKey,0),MATCH(AU$6,WEOYear,0))</f>
        <v/>
      </c>
      <c r="AV4" s="16">
        <f>CPIRes/INDEX(WEOVal,MATCH("USA|pcpi",WEOKey,0),MATCH(AV$6,WEOYear,0))</f>
        <v/>
      </c>
      <c r="AW4" s="16">
        <f>CPIRes/INDEX(WEOVal,MATCH("USA|pcpi",WEOKey,0),MATCH(AW$6,WEOYear,0))</f>
        <v/>
      </c>
      <c r="AX4" s="16">
        <f>CPIRes/INDEX(WEOVal,MATCH("USA|pcpi",WEOKey,0),MATCH(AX$6,WEOYear,0))</f>
        <v/>
      </c>
      <c r="AY4" s="16">
        <f>CPIRes/INDEX(WEOVal,MATCH("USA|pcpi",WEOKey,0),MATCH(AY$6,WEOYear,0))</f>
        <v/>
      </c>
      <c r="AZ4" s="16">
        <f>CPIRes/INDEX(WEOVal,MATCH("USA|pcpi",WEOKey,0),MATCH(AZ$6,WEOYear,0))</f>
        <v/>
      </c>
    </row>
    <row r="5">
      <c r="A5" s="1" t="inlineStr">
        <is>
          <t>General VAT rate VAT_WEO of the column year (blank = 0) -&gt;</t>
        </is>
      </c>
      <c r="U5" s="13">
        <f>IFERROR(INDEX(PDomVal,U$3,MATCH("VAT_WEO",PDomHdr,0))+0,0)</f>
        <v/>
      </c>
      <c r="V5" s="13">
        <f>IFERROR(INDEX(PDomVal,V$3,MATCH("VAT_WEO",PDomHdr,0))+0,0)</f>
        <v/>
      </c>
      <c r="W5" s="13">
        <f>IFERROR(INDEX(PDomVal,W$3,MATCH("VAT_WEO",PDomHdr,0))+0,0)</f>
        <v/>
      </c>
      <c r="X5" s="13">
        <f>IFERROR(INDEX(PDomVal,X$3,MATCH("VAT_WEO",PDomHdr,0))+0,0)</f>
        <v/>
      </c>
      <c r="Y5" s="13">
        <f>IFERROR(INDEX(PDomVal,Y$3,MATCH("VAT_WEO",PDomHdr,0))+0,0)</f>
        <v/>
      </c>
      <c r="Z5" s="13">
        <f>IFERROR(INDEX(PDomVal,Z$3,MATCH("VAT_WEO",PDomHdr,0))+0,0)</f>
        <v/>
      </c>
      <c r="AA5" s="13">
        <f>IFERROR(INDEX(PDomVal,AA$3,MATCH("VAT_WEO",PDomHdr,0))+0,0)</f>
        <v/>
      </c>
      <c r="AB5" s="13">
        <f>IFERROR(INDEX(PDomVal,AB$3,MATCH("VAT_WEO",PDomHdr,0))+0,0)</f>
        <v/>
      </c>
      <c r="AC5" s="13">
        <f>IFERROR(INDEX(PDomVal,AC$3,MATCH("VAT_WEO",PDomHdr,0))+0,0)</f>
        <v/>
      </c>
      <c r="AD5" s="13">
        <f>IFERROR(INDEX(PDomVal,AD$3,MATCH("VAT_WEO",PDomHdr,0))+0,0)</f>
        <v/>
      </c>
      <c r="AE5" s="13">
        <f>IFERROR(INDEX(PDomVal,AE$3,MATCH("VAT_WEO",PDomHdr,0))+0,0)</f>
        <v/>
      </c>
      <c r="AF5" s="13">
        <f>IFERROR(INDEX(PDomVal,AF$3,MATCH("VAT_WEO",PDomHdr,0))+0,0)</f>
        <v/>
      </c>
      <c r="AG5" s="13">
        <f>IFERROR(INDEX(PDomVal,AG$3,MATCH("VAT_WEO",PDomHdr,0))+0,0)</f>
        <v/>
      </c>
      <c r="AH5" s="13">
        <f>IFERROR(INDEX(PDomVal,AH$3,MATCH("VAT_WEO",PDomHdr,0))+0,0)</f>
        <v/>
      </c>
      <c r="AI5" s="13">
        <f>IFERROR(INDEX(PDomVal,AI$3,MATCH("VAT_WEO",PDomHdr,0))+0,0)</f>
        <v/>
      </c>
      <c r="AJ5" s="13">
        <f>IFERROR(INDEX(PDomVal,AJ$3,MATCH("VAT_WEO",PDomHdr,0))+0,0)</f>
        <v/>
      </c>
      <c r="AK5" s="13">
        <f>IFERROR(INDEX(PDomVal,AK$3,MATCH("VAT_WEO",PDomHdr,0))+0,0)</f>
        <v/>
      </c>
      <c r="AL5" s="13">
        <f>IFERROR(INDEX(PDomVal,AL$3,MATCH("VAT_WEO",PDomHdr,0))+0,0)</f>
        <v/>
      </c>
      <c r="AM5" s="13">
        <f>IFERROR(INDEX(PDomVal,AM$3,MATCH("VAT_WEO",PDomHdr,0))+0,0)</f>
        <v/>
      </c>
      <c r="AN5" s="13">
        <f>IFERROR(INDEX(PDomVal,AN$3,MATCH("VAT_WEO",PDomHdr,0))+0,0)</f>
        <v/>
      </c>
      <c r="AO5" s="13">
        <f>IFERROR(INDEX(PDomVal,AO$3,MATCH("VAT_WEO",PDomHdr,0))+0,0)</f>
        <v/>
      </c>
      <c r="AP5" s="13">
        <f>IFERROR(INDEX(PDomVal,AP$3,MATCH("VAT_WEO",PDomHdr,0))+0,0)</f>
        <v/>
      </c>
      <c r="AQ5" s="13">
        <f>IFERROR(INDEX(PDomVal,AQ$3,MATCH("VAT_WEO",PDomHdr,0))+0,0)</f>
        <v/>
      </c>
      <c r="AR5" s="13">
        <f>IFERROR(INDEX(PDomVal,AR$3,MATCH("VAT_WEO",PDomHdr,0))+0,0)</f>
        <v/>
      </c>
      <c r="AS5" s="13">
        <f>IFERROR(INDEX(PDomVal,AS$3,MATCH("VAT_WEO",PDomHdr,0))+0,0)</f>
        <v/>
      </c>
      <c r="AT5" s="13">
        <f>IFERROR(INDEX(PDomVal,AT$3,MATCH("VAT_WEO",PDomHdr,0))+0,0)</f>
        <v/>
      </c>
      <c r="AU5" s="13">
        <f>IFERROR(INDEX(PDomVal,AU$3,MATCH("VAT_WEO",PDomHdr,0))+0,0)</f>
        <v/>
      </c>
      <c r="AV5" s="13">
        <f>IFERROR(INDEX(PDomVal,AV$3,MATCH("VAT_WEO",PDomHdr,0))+0,0)</f>
        <v/>
      </c>
      <c r="AW5" s="13">
        <f>IFERROR(INDEX(PDomVal,AW$3,MATCH("VAT_WEO",PDomHdr,0))+0,0)</f>
        <v/>
      </c>
      <c r="AX5" s="13">
        <f>IFERROR(INDEX(PDomVal,AX$3,MATCH("VAT_WEO",PDomHdr,0))+0,0)</f>
        <v/>
      </c>
      <c r="AY5" s="13">
        <f>IFERROR(INDEX(PDomVal,AY$3,MATCH("VAT_WEO",PDomHdr,0))+0,0)</f>
        <v/>
      </c>
      <c r="AZ5" s="13">
        <f>IFERROR(INDEX(PDomVal,AZ$3,MATCH("VAT_WEO",PDomHdr,0))+0,0)</f>
        <v/>
      </c>
    </row>
    <row r="6" ht="72" customHeight="1">
      <c r="A6" s="90" t="inlineStr">
        <is>
          <t>Price code (fuel.sector)</t>
        </is>
      </c>
      <c r="B6" s="90" t="inlineStr">
        <is>
          <t>Label</t>
        </is>
      </c>
      <c r="C6" s="90" t="inlineStr">
        <is>
          <t>Fuel</t>
        </is>
      </c>
      <c r="D6" s="90" t="inlineStr">
        <is>
          <t>Sector</t>
        </is>
      </c>
      <c r="E6" s="90" t="inlineStr">
        <is>
          <t>Position (section 2 row)</t>
        </is>
      </c>
      <c r="F6" s="90" t="inlineStr">
        <is>
          <t>International price position (gp row)</t>
        </is>
      </c>
      <c r="G6" s="90" t="inlineStr">
        <is>
          <t>GJ per price unit</t>
        </is>
      </c>
      <c r="H6" s="90" t="inlineStr">
        <is>
          <t>Retail price from data? (1 = coal, gas, biomass)</t>
        </is>
      </c>
      <c r="I6" s="90" t="inlineStr">
        <is>
          <t>Raw pass-through coefficient (mit.ps, base year)</t>
        </is>
      </c>
      <c r="J6" s="90" t="inlineStr">
        <is>
          <t>Bucketed pass-through</t>
        </is>
      </c>
      <c r="K6" s="90" t="inlineStr">
        <is>
          <t>Chosen pass-through (Settings: price controls)</t>
        </is>
      </c>
      <c r="L6" s="90" t="inlineStr">
        <is>
          <t>Margin (mit.mar, base year, nominal price unit)</t>
        </is>
      </c>
      <c r="M6" s="90" t="inlineStr">
        <is>
          <t>Domestic production cost (base year, nominal $/GJ)</t>
        </is>
      </c>
      <c r="N6" s="90" t="inlineStr">
        <is>
          <t>CPI index of the base year</t>
        </is>
      </c>
      <c r="O6" s="90" t="inlineStr">
        <is>
          <t>Fixed supply cost fixsp (real $/GJ)</t>
        </is>
      </c>
      <c r="P6" s="90" t="inlineStr">
        <is>
          <t>VAT applies to final consumers? (assumption: residential and all-sector oil products)</t>
        </is>
      </c>
      <c r="Q6" s="90" t="inlineStr">
        <is>
          <t>VAT rate assumption = general VAT rate (VAT_WEO) x consumer flag, used only where the data cell is blank</t>
        </is>
      </c>
      <c r="R6" s="90" t="inlineStr">
        <is>
          <t>VAT rate used (data where filled, 0 included; else assumption), last historical year</t>
        </is>
      </c>
      <c r="S6" s="90" t="inlineStr">
        <is>
          <t>Supply cost, last historical year (real $/GJ)</t>
        </is>
      </c>
      <c r="T6" s="90" t="inlineStr">
        <is>
          <t>Excise and other taxes, last historical year (real $/GJ)</t>
        </is>
      </c>
      <c r="U6" s="100" t="n">
        <v>2021</v>
      </c>
      <c r="V6" s="100" t="n">
        <v>2022</v>
      </c>
      <c r="W6" s="100" t="n">
        <v>2023</v>
      </c>
      <c r="X6" s="100" t="n">
        <v>2024</v>
      </c>
      <c r="Y6" s="100" t="n">
        <v>2021</v>
      </c>
      <c r="Z6" s="100" t="n">
        <v>2022</v>
      </c>
      <c r="AA6" s="100" t="n">
        <v>2023</v>
      </c>
      <c r="AB6" s="100" t="n">
        <v>2024</v>
      </c>
      <c r="AC6" s="100" t="n">
        <v>2021</v>
      </c>
      <c r="AD6" s="100" t="n">
        <v>2022</v>
      </c>
      <c r="AE6" s="100" t="n">
        <v>2023</v>
      </c>
      <c r="AF6" s="100" t="n">
        <v>2024</v>
      </c>
      <c r="AG6" s="100" t="n">
        <v>2021</v>
      </c>
      <c r="AH6" s="100" t="n">
        <v>2022</v>
      </c>
      <c r="AI6" s="100" t="n">
        <v>2023</v>
      </c>
      <c r="AJ6" s="100" t="n">
        <v>2024</v>
      </c>
      <c r="AK6" s="100" t="n">
        <v>2021</v>
      </c>
      <c r="AL6" s="100" t="n">
        <v>2022</v>
      </c>
      <c r="AM6" s="100" t="n">
        <v>2023</v>
      </c>
      <c r="AN6" s="100" t="n">
        <v>2024</v>
      </c>
      <c r="AO6" s="100" t="n">
        <v>2021</v>
      </c>
      <c r="AP6" s="100" t="n">
        <v>2022</v>
      </c>
      <c r="AQ6" s="100" t="n">
        <v>2023</v>
      </c>
      <c r="AR6" s="100" t="n">
        <v>2024</v>
      </c>
      <c r="AS6" s="100" t="n">
        <v>2021</v>
      </c>
      <c r="AT6" s="100" t="n">
        <v>2022</v>
      </c>
      <c r="AU6" s="100" t="n">
        <v>2023</v>
      </c>
      <c r="AV6" s="100" t="n">
        <v>2024</v>
      </c>
      <c r="AW6" s="100" t="n">
        <v>2021</v>
      </c>
      <c r="AX6" s="100" t="n">
        <v>2022</v>
      </c>
      <c r="AY6" s="100" t="n">
        <v>2023</v>
      </c>
      <c r="AZ6" s="100" t="n">
        <v>2024</v>
      </c>
    </row>
    <row r="7">
      <c r="A7" s="101" t="inlineStr">
        <is>
          <t>coa.pow</t>
        </is>
      </c>
      <c r="B7" s="101" t="inlineStr">
        <is>
          <t>Coal, Power</t>
        </is>
      </c>
      <c r="C7" s="101" t="inlineStr">
        <is>
          <t>coa</t>
        </is>
      </c>
      <c r="D7" s="101" t="inlineStr">
        <is>
          <t>pow</t>
        </is>
      </c>
      <c r="E7" s="26" t="n">
        <v>1</v>
      </c>
      <c r="F7" s="26" t="n">
        <v>2</v>
      </c>
      <c r="G7" s="35">
        <f>INDEX(Mapping!$G$30:$G$37,MATCH($C7,FuelKey,0))</f>
        <v/>
      </c>
      <c r="H7" s="26" t="n">
        <v>1</v>
      </c>
      <c r="I7" s="24">
        <f>IFERROR(INDEX(PDomVal,PDomBase,MATCH("mit.ps."&amp;$A7,PDomHdr,0))+0,0)</f>
        <v/>
      </c>
      <c r="J7" s="24">
        <f>IF($I7&lt;=0.25,0,IF($I7&lt;=0.5,0.5,1))</f>
        <v/>
      </c>
      <c r="K7" s="24">
        <f>IF(LEFT(Settings!$C$9,6)="Manual",0.8,IF(LEFT(Settings!$C$9,4)="None",1,$J7))</f>
        <v/>
      </c>
      <c r="L7" s="35">
        <f>IFERROR(INDEX(PDomVal,PDomBase,MATCH("mit.mar."&amp;$A7,PDomHdr,0))+0,0)</f>
        <v/>
      </c>
      <c r="M7" s="35">
        <f>IFERROR(INDEX(PDomVal,PDomBase,MATCH("mit.coa.prod.cost",PDomHdr,0))+0,0)</f>
        <v/>
      </c>
      <c r="N7" s="35">
        <f>INDEX($U$4:$X$4,MATCH(Settings!$C$7,$U$6:$X$6,0))</f>
        <v/>
      </c>
      <c r="O7" s="35">
        <f>($L7+$J7*$M7)*$N7/$G7</f>
        <v/>
      </c>
      <c r="P7" s="102" t="n">
        <v>0</v>
      </c>
      <c r="Q7" s="103">
        <f>$P7*INDEX($AW$5:$AZ$5,MATCH(Settings!$C$10,$AW$6:$AZ$6,0))</f>
        <v/>
      </c>
      <c r="R7" s="13">
        <f>INDEX($AW7:$AZ7,MATCH(Settings!$C$10,$AW$6:$AZ$6,0))</f>
        <v/>
      </c>
      <c r="S7" s="35">
        <f>INDEX($U7:$X7,MATCH(Settings!$C$10,$U$6:$X$6,0))</f>
        <v/>
      </c>
      <c r="T7" s="35">
        <f>INDEX($Y7:$AB7,MATCH(Settings!$C$10,$Y$6:$AB$6,0))</f>
        <v/>
      </c>
      <c r="U7" s="35">
        <f>$AG7*U$4/$G7</f>
        <v/>
      </c>
      <c r="V7" s="35">
        <f>$AH7*V$4/$G7</f>
        <v/>
      </c>
      <c r="W7" s="35">
        <f>$AI7*W$4/$G7</f>
        <v/>
      </c>
      <c r="X7" s="35">
        <f>$AJ7*X$4/$G7</f>
        <v/>
      </c>
      <c r="Y7" s="35">
        <f>IF($H7=1,$AC7/(1+$AW7)-$AG7,$AK7)*Y$4/$G7</f>
        <v/>
      </c>
      <c r="Z7" s="35">
        <f>IF($H7=1,$AD7/(1+$AX7)-$AH7,$AL7)*Z$4/$G7</f>
        <v/>
      </c>
      <c r="AA7" s="35">
        <f>IF($H7=1,$AE7/(1+$AY7)-$AI7,$AM7)*AA$4/$G7</f>
        <v/>
      </c>
      <c r="AB7" s="35">
        <f>IF($H7=1,$AF7/(1+$AZ7)-$AJ7,$AN7)*AB$4/$G7</f>
        <v/>
      </c>
      <c r="AC7" s="35">
        <f>IFERROR(INDEX(PDomVal,AC$3,MATCH("mit.rp."&amp;$A7,PDomHdr,0))+0,0)</f>
        <v/>
      </c>
      <c r="AD7" s="35">
        <f>IFERROR(INDEX(PDomVal,AD$3,MATCH("mit.rp."&amp;$A7,PDomHdr,0))+0,0)</f>
        <v/>
      </c>
      <c r="AE7" s="35">
        <f>IFERROR(INDEX(PDomVal,AE$3,MATCH("mit.rp."&amp;$A7,PDomHdr,0))+0,0)</f>
        <v/>
      </c>
      <c r="AF7" s="35">
        <f>IFERROR(INDEX(PDomVal,AF$3,MATCH("mit.rp."&amp;$A7,PDomHdr,0))+0,0)</f>
        <v/>
      </c>
      <c r="AG7" s="35">
        <f>IFERROR(INDEX(PDomVal,AG$3,MATCH("mit.sp."&amp;$A7,PDomHdr,0))+0,0)</f>
        <v/>
      </c>
      <c r="AH7" s="35">
        <f>IFERROR(INDEX(PDomVal,AH$3,MATCH("mit.sp."&amp;$A7,PDomHdr,0))+0,0)</f>
        <v/>
      </c>
      <c r="AI7" s="35">
        <f>IFERROR(INDEX(PDomVal,AI$3,MATCH("mit.sp."&amp;$A7,PDomHdr,0))+0,0)</f>
        <v/>
      </c>
      <c r="AJ7" s="35">
        <f>IFERROR(INDEX(PDomVal,AJ$3,MATCH("mit.sp."&amp;$A7,PDomHdr,0))+0,0)</f>
        <v/>
      </c>
      <c r="AK7" s="35">
        <f>IFERROR(INDEX(PDomVal,AK$3,MATCH("mit.txo."&amp;$A7,PDomHdr,0))+0,0)</f>
        <v/>
      </c>
      <c r="AL7" s="35">
        <f>IFERROR(INDEX(PDomVal,AL$3,MATCH("mit.txo."&amp;$A7,PDomHdr,0))+0,0)</f>
        <v/>
      </c>
      <c r="AM7" s="35">
        <f>IFERROR(INDEX(PDomVal,AM$3,MATCH("mit.txo."&amp;$A7,PDomHdr,0))+0,0)</f>
        <v/>
      </c>
      <c r="AN7" s="35">
        <f>IFERROR(INDEX(PDomVal,AN$3,MATCH("mit.txo."&amp;$A7,PDomHdr,0))+0,0)</f>
        <v/>
      </c>
      <c r="AO7" s="10">
        <f>IF(IFERROR(ISBLANK(INDEX(PDomVal,AO$3,MATCH("mit.vatrate."&amp;$A7,PDomHdr,0))),TRUE),1,0)</f>
        <v/>
      </c>
      <c r="AP7" s="10">
        <f>IF(IFERROR(ISBLANK(INDEX(PDomVal,AP$3,MATCH("mit.vatrate."&amp;$A7,PDomHdr,0))),TRUE),1,0)</f>
        <v/>
      </c>
      <c r="AQ7" s="10">
        <f>IF(IFERROR(ISBLANK(INDEX(PDomVal,AQ$3,MATCH("mit.vatrate."&amp;$A7,PDomHdr,0))),TRUE),1,0)</f>
        <v/>
      </c>
      <c r="AR7" s="10">
        <f>IF(IFERROR(ISBLANK(INDEX(PDomVal,AR$3,MATCH("mit.vatrate."&amp;$A7,PDomHdr,0))),TRUE),1,0)</f>
        <v/>
      </c>
      <c r="AS7" s="13">
        <f>IFERROR(INDEX(PDomVal,AS$3,MATCH("mit.vatrate."&amp;$A7,PDomHdr,0))+0,0)</f>
        <v/>
      </c>
      <c r="AT7" s="13">
        <f>IFERROR(INDEX(PDomVal,AT$3,MATCH("mit.vatrate."&amp;$A7,PDomHdr,0))+0,0)</f>
        <v/>
      </c>
      <c r="AU7" s="13">
        <f>IFERROR(INDEX(PDomVal,AU$3,MATCH("mit.vatrate."&amp;$A7,PDomHdr,0))+0,0)</f>
        <v/>
      </c>
      <c r="AV7" s="13">
        <f>IFERROR(INDEX(PDomVal,AV$3,MATCH("mit.vatrate."&amp;$A7,PDomHdr,0))+0,0)</f>
        <v/>
      </c>
      <c r="AW7" s="13">
        <f>IF($AO7=1,$P7*AW$5,$AS7)</f>
        <v/>
      </c>
      <c r="AX7" s="13">
        <f>IF($AP7=1,$P7*AX$5,$AT7)</f>
        <v/>
      </c>
      <c r="AY7" s="13">
        <f>IF($AQ7=1,$P7*AY$5,$AU7)</f>
        <v/>
      </c>
      <c r="AZ7" s="13">
        <f>IF($AR7=1,$P7*AZ$5,$AV7)</f>
        <v/>
      </c>
    </row>
    <row r="8">
      <c r="A8" s="101" t="inlineStr">
        <is>
          <t>coa.res</t>
        </is>
      </c>
      <c r="B8" s="101" t="inlineStr">
        <is>
          <t>Coal, Residential</t>
        </is>
      </c>
      <c r="C8" s="101" t="inlineStr">
        <is>
          <t>coa</t>
        </is>
      </c>
      <c r="D8" s="101" t="inlineStr">
        <is>
          <t>res</t>
        </is>
      </c>
      <c r="E8" s="26" t="n">
        <v>2</v>
      </c>
      <c r="F8" s="26" t="n">
        <v>2</v>
      </c>
      <c r="G8" s="35">
        <f>INDEX(Mapping!$G$30:$G$37,MATCH($C8,FuelKey,0))</f>
        <v/>
      </c>
      <c r="H8" s="26" t="n">
        <v>1</v>
      </c>
      <c r="I8" s="24">
        <f>IFERROR(INDEX(PDomVal,PDomBase,MATCH("mit.ps."&amp;$A8,PDomHdr,0))+0,0)</f>
        <v/>
      </c>
      <c r="J8" s="24">
        <f>IF($I8&lt;=0.25,0,IF($I8&lt;=0.5,0.5,1))</f>
        <v/>
      </c>
      <c r="K8" s="24">
        <f>IF(LEFT(Settings!$C$9,6)="Manual",0.8,IF(LEFT(Settings!$C$9,4)="None",1,$J8))</f>
        <v/>
      </c>
      <c r="L8" s="35">
        <f>IFERROR(INDEX(PDomVal,PDomBase,MATCH("mit.mar."&amp;$A8,PDomHdr,0))+0,0)</f>
        <v/>
      </c>
      <c r="M8" s="35">
        <f>IFERROR(INDEX(PDomVal,PDomBase,MATCH("mit.coa.prod.cost",PDomHdr,0))+0,0)</f>
        <v/>
      </c>
      <c r="N8" s="35">
        <f>INDEX($U$4:$X$4,MATCH(Settings!$C$7,$U$6:$X$6,0))</f>
        <v/>
      </c>
      <c r="O8" s="35">
        <f>($L8+$J8*$M8)*$N8/$G8</f>
        <v/>
      </c>
      <c r="P8" s="102" t="n">
        <v>1</v>
      </c>
      <c r="Q8" s="103">
        <f>$P8*INDEX($AW$5:$AZ$5,MATCH(Settings!$C$10,$AW$6:$AZ$6,0))</f>
        <v/>
      </c>
      <c r="R8" s="13">
        <f>INDEX($AW8:$AZ8,MATCH(Settings!$C$10,$AW$6:$AZ$6,0))</f>
        <v/>
      </c>
      <c r="S8" s="35">
        <f>INDEX($U8:$X8,MATCH(Settings!$C$10,$U$6:$X$6,0))</f>
        <v/>
      </c>
      <c r="T8" s="35">
        <f>INDEX($Y8:$AB8,MATCH(Settings!$C$10,$Y$6:$AB$6,0))</f>
        <v/>
      </c>
      <c r="U8" s="35">
        <f>$AG8*U$4/$G8</f>
        <v/>
      </c>
      <c r="V8" s="35">
        <f>$AH8*V$4/$G8</f>
        <v/>
      </c>
      <c r="W8" s="35">
        <f>$AI8*W$4/$G8</f>
        <v/>
      </c>
      <c r="X8" s="35">
        <f>$AJ8*X$4/$G8</f>
        <v/>
      </c>
      <c r="Y8" s="35">
        <f>IF($H8=1,$AC8/(1+$AW8)-$AG8,$AK8)*Y$4/$G8</f>
        <v/>
      </c>
      <c r="Z8" s="35">
        <f>IF($H8=1,$AD8/(1+$AX8)-$AH8,$AL8)*Z$4/$G8</f>
        <v/>
      </c>
      <c r="AA8" s="35">
        <f>IF($H8=1,$AE8/(1+$AY8)-$AI8,$AM8)*AA$4/$G8</f>
        <v/>
      </c>
      <c r="AB8" s="35">
        <f>IF($H8=1,$AF8/(1+$AZ8)-$AJ8,$AN8)*AB$4/$G8</f>
        <v/>
      </c>
      <c r="AC8" s="35">
        <f>IFERROR(INDEX(PDomVal,AC$3,MATCH("mit.rp."&amp;$A8,PDomHdr,0))+0,0)</f>
        <v/>
      </c>
      <c r="AD8" s="35">
        <f>IFERROR(INDEX(PDomVal,AD$3,MATCH("mit.rp."&amp;$A8,PDomHdr,0))+0,0)</f>
        <v/>
      </c>
      <c r="AE8" s="35">
        <f>IFERROR(INDEX(PDomVal,AE$3,MATCH("mit.rp."&amp;$A8,PDomHdr,0))+0,0)</f>
        <v/>
      </c>
      <c r="AF8" s="35">
        <f>IFERROR(INDEX(PDomVal,AF$3,MATCH("mit.rp."&amp;$A8,PDomHdr,0))+0,0)</f>
        <v/>
      </c>
      <c r="AG8" s="35">
        <f>IFERROR(INDEX(PDomVal,AG$3,MATCH("mit.sp."&amp;$A8,PDomHdr,0))+0,0)</f>
        <v/>
      </c>
      <c r="AH8" s="35">
        <f>IFERROR(INDEX(PDomVal,AH$3,MATCH("mit.sp."&amp;$A8,PDomHdr,0))+0,0)</f>
        <v/>
      </c>
      <c r="AI8" s="35">
        <f>IFERROR(INDEX(PDomVal,AI$3,MATCH("mit.sp."&amp;$A8,PDomHdr,0))+0,0)</f>
        <v/>
      </c>
      <c r="AJ8" s="35">
        <f>IFERROR(INDEX(PDomVal,AJ$3,MATCH("mit.sp."&amp;$A8,PDomHdr,0))+0,0)</f>
        <v/>
      </c>
      <c r="AK8" s="35">
        <f>IFERROR(INDEX(PDomVal,AK$3,MATCH("mit.txo."&amp;$A8,PDomHdr,0))+0,0)</f>
        <v/>
      </c>
      <c r="AL8" s="35">
        <f>IFERROR(INDEX(PDomVal,AL$3,MATCH("mit.txo."&amp;$A8,PDomHdr,0))+0,0)</f>
        <v/>
      </c>
      <c r="AM8" s="35">
        <f>IFERROR(INDEX(PDomVal,AM$3,MATCH("mit.txo."&amp;$A8,PDomHdr,0))+0,0)</f>
        <v/>
      </c>
      <c r="AN8" s="35">
        <f>IFERROR(INDEX(PDomVal,AN$3,MATCH("mit.txo."&amp;$A8,PDomHdr,0))+0,0)</f>
        <v/>
      </c>
      <c r="AO8" s="10">
        <f>IF(IFERROR(ISBLANK(INDEX(PDomVal,AO$3,MATCH("mit.vatrate."&amp;$A8,PDomHdr,0))),TRUE),1,0)</f>
        <v/>
      </c>
      <c r="AP8" s="10">
        <f>IF(IFERROR(ISBLANK(INDEX(PDomVal,AP$3,MATCH("mit.vatrate."&amp;$A8,PDomHdr,0))),TRUE),1,0)</f>
        <v/>
      </c>
      <c r="AQ8" s="10">
        <f>IF(IFERROR(ISBLANK(INDEX(PDomVal,AQ$3,MATCH("mit.vatrate."&amp;$A8,PDomHdr,0))),TRUE),1,0)</f>
        <v/>
      </c>
      <c r="AR8" s="10">
        <f>IF(IFERROR(ISBLANK(INDEX(PDomVal,AR$3,MATCH("mit.vatrate."&amp;$A8,PDomHdr,0))),TRUE),1,0)</f>
        <v/>
      </c>
      <c r="AS8" s="13">
        <f>IFERROR(INDEX(PDomVal,AS$3,MATCH("mit.vatrate."&amp;$A8,PDomHdr,0))+0,0)</f>
        <v/>
      </c>
      <c r="AT8" s="13">
        <f>IFERROR(INDEX(PDomVal,AT$3,MATCH("mit.vatrate."&amp;$A8,PDomHdr,0))+0,0)</f>
        <v/>
      </c>
      <c r="AU8" s="13">
        <f>IFERROR(INDEX(PDomVal,AU$3,MATCH("mit.vatrate."&amp;$A8,PDomHdr,0))+0,0)</f>
        <v/>
      </c>
      <c r="AV8" s="13">
        <f>IFERROR(INDEX(PDomVal,AV$3,MATCH("mit.vatrate."&amp;$A8,PDomHdr,0))+0,0)</f>
        <v/>
      </c>
      <c r="AW8" s="13">
        <f>IF($AO8=1,$P8*AW$5,$AS8)</f>
        <v/>
      </c>
      <c r="AX8" s="13">
        <f>IF($AP8=1,$P8*AX$5,$AT8)</f>
        <v/>
      </c>
      <c r="AY8" s="13">
        <f>IF($AQ8=1,$P8*AY$5,$AU8)</f>
        <v/>
      </c>
      <c r="AZ8" s="13">
        <f>IF($AR8=1,$P8*AZ$5,$AV8)</f>
        <v/>
      </c>
    </row>
    <row r="9">
      <c r="A9" s="101" t="inlineStr">
        <is>
          <t>coa.ind</t>
        </is>
      </c>
      <c r="B9" s="101" t="inlineStr">
        <is>
          <t>Coal, Industry</t>
        </is>
      </c>
      <c r="C9" s="101" t="inlineStr">
        <is>
          <t>coa</t>
        </is>
      </c>
      <c r="D9" s="101" t="inlineStr">
        <is>
          <t>ind</t>
        </is>
      </c>
      <c r="E9" s="26" t="n">
        <v>3</v>
      </c>
      <c r="F9" s="26" t="n">
        <v>2</v>
      </c>
      <c r="G9" s="35">
        <f>INDEX(Mapping!$G$30:$G$37,MATCH($C9,FuelKey,0))</f>
        <v/>
      </c>
      <c r="H9" s="26" t="n">
        <v>1</v>
      </c>
      <c r="I9" s="24">
        <f>IFERROR(INDEX(PDomVal,PDomBase,MATCH("mit.ps."&amp;$A9,PDomHdr,0))+0,0)</f>
        <v/>
      </c>
      <c r="J9" s="24">
        <f>IF($I9&lt;=0.25,0,IF($I9&lt;=0.5,0.5,1))</f>
        <v/>
      </c>
      <c r="K9" s="24">
        <f>IF(LEFT(Settings!$C$9,6)="Manual",0.8,IF(LEFT(Settings!$C$9,4)="None",1,$J9))</f>
        <v/>
      </c>
      <c r="L9" s="35">
        <f>IFERROR(INDEX(PDomVal,PDomBase,MATCH("mit.mar."&amp;$A9,PDomHdr,0))+0,0)</f>
        <v/>
      </c>
      <c r="M9" s="35">
        <f>IFERROR(INDEX(PDomVal,PDomBase,MATCH("mit.coa.prod.cost",PDomHdr,0))+0,0)</f>
        <v/>
      </c>
      <c r="N9" s="35">
        <f>INDEX($U$4:$X$4,MATCH(Settings!$C$7,$U$6:$X$6,0))</f>
        <v/>
      </c>
      <c r="O9" s="35">
        <f>($L9+$J9*$M9)*$N9/$G9</f>
        <v/>
      </c>
      <c r="P9" s="102" t="n">
        <v>0</v>
      </c>
      <c r="Q9" s="103">
        <f>$P9*INDEX($AW$5:$AZ$5,MATCH(Settings!$C$10,$AW$6:$AZ$6,0))</f>
        <v/>
      </c>
      <c r="R9" s="13">
        <f>INDEX($AW9:$AZ9,MATCH(Settings!$C$10,$AW$6:$AZ$6,0))</f>
        <v/>
      </c>
      <c r="S9" s="35">
        <f>INDEX($U9:$X9,MATCH(Settings!$C$10,$U$6:$X$6,0))</f>
        <v/>
      </c>
      <c r="T9" s="35">
        <f>INDEX($Y9:$AB9,MATCH(Settings!$C$10,$Y$6:$AB$6,0))</f>
        <v/>
      </c>
      <c r="U9" s="35">
        <f>$AG9*U$4/$G9</f>
        <v/>
      </c>
      <c r="V9" s="35">
        <f>$AH9*V$4/$G9</f>
        <v/>
      </c>
      <c r="W9" s="35">
        <f>$AI9*W$4/$G9</f>
        <v/>
      </c>
      <c r="X9" s="35">
        <f>$AJ9*X$4/$G9</f>
        <v/>
      </c>
      <c r="Y9" s="35">
        <f>IF($H9=1,$AC9/(1+$AW9)-$AG9,$AK9)*Y$4/$G9</f>
        <v/>
      </c>
      <c r="Z9" s="35">
        <f>IF($H9=1,$AD9/(1+$AX9)-$AH9,$AL9)*Z$4/$G9</f>
        <v/>
      </c>
      <c r="AA9" s="35">
        <f>IF($H9=1,$AE9/(1+$AY9)-$AI9,$AM9)*AA$4/$G9</f>
        <v/>
      </c>
      <c r="AB9" s="35">
        <f>IF($H9=1,$AF9/(1+$AZ9)-$AJ9,$AN9)*AB$4/$G9</f>
        <v/>
      </c>
      <c r="AC9" s="35">
        <f>IFERROR(INDEX(PDomVal,AC$3,MATCH("mit.rp."&amp;$A9,PDomHdr,0))+0,0)</f>
        <v/>
      </c>
      <c r="AD9" s="35">
        <f>IFERROR(INDEX(PDomVal,AD$3,MATCH("mit.rp."&amp;$A9,PDomHdr,0))+0,0)</f>
        <v/>
      </c>
      <c r="AE9" s="35">
        <f>IFERROR(INDEX(PDomVal,AE$3,MATCH("mit.rp."&amp;$A9,PDomHdr,0))+0,0)</f>
        <v/>
      </c>
      <c r="AF9" s="35">
        <f>IFERROR(INDEX(PDomVal,AF$3,MATCH("mit.rp."&amp;$A9,PDomHdr,0))+0,0)</f>
        <v/>
      </c>
      <c r="AG9" s="35">
        <f>IFERROR(INDEX(PDomVal,AG$3,MATCH("mit.sp."&amp;$A9,PDomHdr,0))+0,0)</f>
        <v/>
      </c>
      <c r="AH9" s="35">
        <f>IFERROR(INDEX(PDomVal,AH$3,MATCH("mit.sp."&amp;$A9,PDomHdr,0))+0,0)</f>
        <v/>
      </c>
      <c r="AI9" s="35">
        <f>IFERROR(INDEX(PDomVal,AI$3,MATCH("mit.sp."&amp;$A9,PDomHdr,0))+0,0)</f>
        <v/>
      </c>
      <c r="AJ9" s="35">
        <f>IFERROR(INDEX(PDomVal,AJ$3,MATCH("mit.sp."&amp;$A9,PDomHdr,0))+0,0)</f>
        <v/>
      </c>
      <c r="AK9" s="35">
        <f>IFERROR(INDEX(PDomVal,AK$3,MATCH("mit.txo."&amp;$A9,PDomHdr,0))+0,0)</f>
        <v/>
      </c>
      <c r="AL9" s="35">
        <f>IFERROR(INDEX(PDomVal,AL$3,MATCH("mit.txo."&amp;$A9,PDomHdr,0))+0,0)</f>
        <v/>
      </c>
      <c r="AM9" s="35">
        <f>IFERROR(INDEX(PDomVal,AM$3,MATCH("mit.txo."&amp;$A9,PDomHdr,0))+0,0)</f>
        <v/>
      </c>
      <c r="AN9" s="35">
        <f>IFERROR(INDEX(PDomVal,AN$3,MATCH("mit.txo."&amp;$A9,PDomHdr,0))+0,0)</f>
        <v/>
      </c>
      <c r="AO9" s="10">
        <f>IF(IFERROR(ISBLANK(INDEX(PDomVal,AO$3,MATCH("mit.vatrate."&amp;$A9,PDomHdr,0))),TRUE),1,0)</f>
        <v/>
      </c>
      <c r="AP9" s="10">
        <f>IF(IFERROR(ISBLANK(INDEX(PDomVal,AP$3,MATCH("mit.vatrate."&amp;$A9,PDomHdr,0))),TRUE),1,0)</f>
        <v/>
      </c>
      <c r="AQ9" s="10">
        <f>IF(IFERROR(ISBLANK(INDEX(PDomVal,AQ$3,MATCH("mit.vatrate."&amp;$A9,PDomHdr,0))),TRUE),1,0)</f>
        <v/>
      </c>
      <c r="AR9" s="10">
        <f>IF(IFERROR(ISBLANK(INDEX(PDomVal,AR$3,MATCH("mit.vatrate."&amp;$A9,PDomHdr,0))),TRUE),1,0)</f>
        <v/>
      </c>
      <c r="AS9" s="13">
        <f>IFERROR(INDEX(PDomVal,AS$3,MATCH("mit.vatrate."&amp;$A9,PDomHdr,0))+0,0)</f>
        <v/>
      </c>
      <c r="AT9" s="13">
        <f>IFERROR(INDEX(PDomVal,AT$3,MATCH("mit.vatrate."&amp;$A9,PDomHdr,0))+0,0)</f>
        <v/>
      </c>
      <c r="AU9" s="13">
        <f>IFERROR(INDEX(PDomVal,AU$3,MATCH("mit.vatrate."&amp;$A9,PDomHdr,0))+0,0)</f>
        <v/>
      </c>
      <c r="AV9" s="13">
        <f>IFERROR(INDEX(PDomVal,AV$3,MATCH("mit.vatrate."&amp;$A9,PDomHdr,0))+0,0)</f>
        <v/>
      </c>
      <c r="AW9" s="13">
        <f>IF($AO9=1,$P9*AW$5,$AS9)</f>
        <v/>
      </c>
      <c r="AX9" s="13">
        <f>IF($AP9=1,$P9*AX$5,$AT9)</f>
        <v/>
      </c>
      <c r="AY9" s="13">
        <f>IF($AQ9=1,$P9*AY$5,$AU9)</f>
        <v/>
      </c>
      <c r="AZ9" s="13">
        <f>IF($AR9=1,$P9*AZ$5,$AV9)</f>
        <v/>
      </c>
    </row>
    <row r="10">
      <c r="A10" s="101" t="inlineStr">
        <is>
          <t>nga.pow</t>
        </is>
      </c>
      <c r="B10" s="101" t="inlineStr">
        <is>
          <t>Natural gas, Power</t>
        </is>
      </c>
      <c r="C10" s="101" t="inlineStr">
        <is>
          <t>nga</t>
        </is>
      </c>
      <c r="D10" s="101" t="inlineStr">
        <is>
          <t>pow</t>
        </is>
      </c>
      <c r="E10" s="26" t="n">
        <v>4</v>
      </c>
      <c r="F10" s="26" t="n">
        <v>3</v>
      </c>
      <c r="G10" s="35">
        <f>INDEX(Mapping!$G$30:$G$37,MATCH($C10,FuelKey,0))</f>
        <v/>
      </c>
      <c r="H10" s="26" t="n">
        <v>1</v>
      </c>
      <c r="I10" s="24">
        <f>IFERROR(INDEX(PDomVal,PDomBase,MATCH("mit.ps."&amp;$A10,PDomHdr,0))+0,0)</f>
        <v/>
      </c>
      <c r="J10" s="24">
        <f>IF($I10&lt;=0.25,0,IF($I10&lt;=0.5,0.5,1))</f>
        <v/>
      </c>
      <c r="K10" s="24">
        <f>IF(LEFT(Settings!$C$9,6)="Manual",0.8,IF(LEFT(Settings!$C$9,4)="None",1,$J10))</f>
        <v/>
      </c>
      <c r="L10" s="35">
        <f>IFERROR(INDEX(PDomVal,PDomBase,MATCH("mit.mar."&amp;$A10,PDomHdr,0))+0,0)</f>
        <v/>
      </c>
      <c r="M10" s="35">
        <f>IFERROR(INDEX(PDomVal,PDomBase,MATCH("mit.nga.prod.cost",PDomHdr,0))+0,0)</f>
        <v/>
      </c>
      <c r="N10" s="35">
        <f>INDEX($U$4:$X$4,MATCH(Settings!$C$7,$U$6:$X$6,0))</f>
        <v/>
      </c>
      <c r="O10" s="35">
        <f>($L10+$J10*$M10)*$N10/$G10</f>
        <v/>
      </c>
      <c r="P10" s="102" t="n">
        <v>0</v>
      </c>
      <c r="Q10" s="103">
        <f>$P10*INDEX($AW$5:$AZ$5,MATCH(Settings!$C$10,$AW$6:$AZ$6,0))</f>
        <v/>
      </c>
      <c r="R10" s="13">
        <f>INDEX($AW10:$AZ10,MATCH(Settings!$C$10,$AW$6:$AZ$6,0))</f>
        <v/>
      </c>
      <c r="S10" s="35">
        <f>INDEX($U10:$X10,MATCH(Settings!$C$10,$U$6:$X$6,0))</f>
        <v/>
      </c>
      <c r="T10" s="35">
        <f>INDEX($Y10:$AB10,MATCH(Settings!$C$10,$Y$6:$AB$6,0))</f>
        <v/>
      </c>
      <c r="U10" s="35">
        <f>$AG10*U$4/$G10</f>
        <v/>
      </c>
      <c r="V10" s="35">
        <f>$AH10*V$4/$G10</f>
        <v/>
      </c>
      <c r="W10" s="35">
        <f>$AI10*W$4/$G10</f>
        <v/>
      </c>
      <c r="X10" s="35">
        <f>$AJ10*X$4/$G10</f>
        <v/>
      </c>
      <c r="Y10" s="35">
        <f>IF($H10=1,$AC10/(1+$AW10)-$AG10,$AK10)*Y$4/$G10</f>
        <v/>
      </c>
      <c r="Z10" s="35">
        <f>IF($H10=1,$AD10/(1+$AX10)-$AH10,$AL10)*Z$4/$G10</f>
        <v/>
      </c>
      <c r="AA10" s="35">
        <f>IF($H10=1,$AE10/(1+$AY10)-$AI10,$AM10)*AA$4/$G10</f>
        <v/>
      </c>
      <c r="AB10" s="35">
        <f>IF($H10=1,$AF10/(1+$AZ10)-$AJ10,$AN10)*AB$4/$G10</f>
        <v/>
      </c>
      <c r="AC10" s="35">
        <f>IFERROR(INDEX(PDomVal,AC$3,MATCH("mit.rp."&amp;$A10,PDomHdr,0))+0,0)</f>
        <v/>
      </c>
      <c r="AD10" s="35">
        <f>IFERROR(INDEX(PDomVal,AD$3,MATCH("mit.rp."&amp;$A10,PDomHdr,0))+0,0)</f>
        <v/>
      </c>
      <c r="AE10" s="35">
        <f>IFERROR(INDEX(PDomVal,AE$3,MATCH("mit.rp."&amp;$A10,PDomHdr,0))+0,0)</f>
        <v/>
      </c>
      <c r="AF10" s="35">
        <f>IFERROR(INDEX(PDomVal,AF$3,MATCH("mit.rp."&amp;$A10,PDomHdr,0))+0,0)</f>
        <v/>
      </c>
      <c r="AG10" s="35">
        <f>IFERROR(INDEX(PDomVal,AG$3,MATCH("mit.sp."&amp;$A10,PDomHdr,0))+0,0)</f>
        <v/>
      </c>
      <c r="AH10" s="35">
        <f>IFERROR(INDEX(PDomVal,AH$3,MATCH("mit.sp."&amp;$A10,PDomHdr,0))+0,0)</f>
        <v/>
      </c>
      <c r="AI10" s="35">
        <f>IFERROR(INDEX(PDomVal,AI$3,MATCH("mit.sp."&amp;$A10,PDomHdr,0))+0,0)</f>
        <v/>
      </c>
      <c r="AJ10" s="35">
        <f>IFERROR(INDEX(PDomVal,AJ$3,MATCH("mit.sp."&amp;$A10,PDomHdr,0))+0,0)</f>
        <v/>
      </c>
      <c r="AK10" s="35">
        <f>IFERROR(INDEX(PDomVal,AK$3,MATCH("mit.txo."&amp;$A10,PDomHdr,0))+0,0)</f>
        <v/>
      </c>
      <c r="AL10" s="35">
        <f>IFERROR(INDEX(PDomVal,AL$3,MATCH("mit.txo."&amp;$A10,PDomHdr,0))+0,0)</f>
        <v/>
      </c>
      <c r="AM10" s="35">
        <f>IFERROR(INDEX(PDomVal,AM$3,MATCH("mit.txo."&amp;$A10,PDomHdr,0))+0,0)</f>
        <v/>
      </c>
      <c r="AN10" s="35">
        <f>IFERROR(INDEX(PDomVal,AN$3,MATCH("mit.txo."&amp;$A10,PDomHdr,0))+0,0)</f>
        <v/>
      </c>
      <c r="AO10" s="10">
        <f>IF(IFERROR(ISBLANK(INDEX(PDomVal,AO$3,MATCH("mit.vatrate."&amp;$A10,PDomHdr,0))),TRUE),1,0)</f>
        <v/>
      </c>
      <c r="AP10" s="10">
        <f>IF(IFERROR(ISBLANK(INDEX(PDomVal,AP$3,MATCH("mit.vatrate."&amp;$A10,PDomHdr,0))),TRUE),1,0)</f>
        <v/>
      </c>
      <c r="AQ10" s="10">
        <f>IF(IFERROR(ISBLANK(INDEX(PDomVal,AQ$3,MATCH("mit.vatrate."&amp;$A10,PDomHdr,0))),TRUE),1,0)</f>
        <v/>
      </c>
      <c r="AR10" s="10">
        <f>IF(IFERROR(ISBLANK(INDEX(PDomVal,AR$3,MATCH("mit.vatrate."&amp;$A10,PDomHdr,0))),TRUE),1,0)</f>
        <v/>
      </c>
      <c r="AS10" s="13">
        <f>IFERROR(INDEX(PDomVal,AS$3,MATCH("mit.vatrate."&amp;$A10,PDomHdr,0))+0,0)</f>
        <v/>
      </c>
      <c r="AT10" s="13">
        <f>IFERROR(INDEX(PDomVal,AT$3,MATCH("mit.vatrate."&amp;$A10,PDomHdr,0))+0,0)</f>
        <v/>
      </c>
      <c r="AU10" s="13">
        <f>IFERROR(INDEX(PDomVal,AU$3,MATCH("mit.vatrate."&amp;$A10,PDomHdr,0))+0,0)</f>
        <v/>
      </c>
      <c r="AV10" s="13">
        <f>IFERROR(INDEX(PDomVal,AV$3,MATCH("mit.vatrate."&amp;$A10,PDomHdr,0))+0,0)</f>
        <v/>
      </c>
      <c r="AW10" s="13">
        <f>IF($AO10=1,$P10*AW$5,$AS10)</f>
        <v/>
      </c>
      <c r="AX10" s="13">
        <f>IF($AP10=1,$P10*AX$5,$AT10)</f>
        <v/>
      </c>
      <c r="AY10" s="13">
        <f>IF($AQ10=1,$P10*AY$5,$AU10)</f>
        <v/>
      </c>
      <c r="AZ10" s="13">
        <f>IF($AR10=1,$P10*AZ$5,$AV10)</f>
        <v/>
      </c>
    </row>
    <row r="11">
      <c r="A11" s="101" t="inlineStr">
        <is>
          <t>nga.res</t>
        </is>
      </c>
      <c r="B11" s="101" t="inlineStr">
        <is>
          <t>Natural gas, Residential</t>
        </is>
      </c>
      <c r="C11" s="101" t="inlineStr">
        <is>
          <t>nga</t>
        </is>
      </c>
      <c r="D11" s="101" t="inlineStr">
        <is>
          <t>res</t>
        </is>
      </c>
      <c r="E11" s="26" t="n">
        <v>5</v>
      </c>
      <c r="F11" s="26" t="n">
        <v>3</v>
      </c>
      <c r="G11" s="35">
        <f>INDEX(Mapping!$G$30:$G$37,MATCH($C11,FuelKey,0))</f>
        <v/>
      </c>
      <c r="H11" s="26" t="n">
        <v>1</v>
      </c>
      <c r="I11" s="24">
        <f>IFERROR(INDEX(PDomVal,PDomBase,MATCH("mit.ps."&amp;$A11,PDomHdr,0))+0,0)</f>
        <v/>
      </c>
      <c r="J11" s="24">
        <f>IF($I11&lt;=0.25,0,IF($I11&lt;=0.5,0.5,1))</f>
        <v/>
      </c>
      <c r="K11" s="24">
        <f>IF(LEFT(Settings!$C$9,6)="Manual",0.8,IF(LEFT(Settings!$C$9,4)="None",1,$J11))</f>
        <v/>
      </c>
      <c r="L11" s="35">
        <f>IFERROR(INDEX(PDomVal,PDomBase,MATCH("mit.mar."&amp;$A11,PDomHdr,0))+0,0)</f>
        <v/>
      </c>
      <c r="M11" s="35">
        <f>IFERROR(INDEX(PDomVal,PDomBase,MATCH("mit.nga.prod.cost",PDomHdr,0))+0,0)</f>
        <v/>
      </c>
      <c r="N11" s="35">
        <f>INDEX($U$4:$X$4,MATCH(Settings!$C$7,$U$6:$X$6,0))</f>
        <v/>
      </c>
      <c r="O11" s="35">
        <f>($L11+$J11*$M11)*$N11/$G11</f>
        <v/>
      </c>
      <c r="P11" s="102" t="n">
        <v>1</v>
      </c>
      <c r="Q11" s="103">
        <f>$P11*INDEX($AW$5:$AZ$5,MATCH(Settings!$C$10,$AW$6:$AZ$6,0))</f>
        <v/>
      </c>
      <c r="R11" s="13">
        <f>INDEX($AW11:$AZ11,MATCH(Settings!$C$10,$AW$6:$AZ$6,0))</f>
        <v/>
      </c>
      <c r="S11" s="35">
        <f>INDEX($U11:$X11,MATCH(Settings!$C$10,$U$6:$X$6,0))</f>
        <v/>
      </c>
      <c r="T11" s="35">
        <f>INDEX($Y11:$AB11,MATCH(Settings!$C$10,$Y$6:$AB$6,0))</f>
        <v/>
      </c>
      <c r="U11" s="35">
        <f>$AG11*U$4/$G11</f>
        <v/>
      </c>
      <c r="V11" s="35">
        <f>$AH11*V$4/$G11</f>
        <v/>
      </c>
      <c r="W11" s="35">
        <f>$AI11*W$4/$G11</f>
        <v/>
      </c>
      <c r="X11" s="35">
        <f>$AJ11*X$4/$G11</f>
        <v/>
      </c>
      <c r="Y11" s="35">
        <f>IF($H11=1,$AC11/(1+$AW11)-$AG11,$AK11)*Y$4/$G11</f>
        <v/>
      </c>
      <c r="Z11" s="35">
        <f>IF($H11=1,$AD11/(1+$AX11)-$AH11,$AL11)*Z$4/$G11</f>
        <v/>
      </c>
      <c r="AA11" s="35">
        <f>IF($H11=1,$AE11/(1+$AY11)-$AI11,$AM11)*AA$4/$G11</f>
        <v/>
      </c>
      <c r="AB11" s="35">
        <f>IF($H11=1,$AF11/(1+$AZ11)-$AJ11,$AN11)*AB$4/$G11</f>
        <v/>
      </c>
      <c r="AC11" s="35">
        <f>IFERROR(INDEX(PDomVal,AC$3,MATCH("mit.rp."&amp;$A11,PDomHdr,0))+0,0)</f>
        <v/>
      </c>
      <c r="AD11" s="35">
        <f>IFERROR(INDEX(PDomVal,AD$3,MATCH("mit.rp."&amp;$A11,PDomHdr,0))+0,0)</f>
        <v/>
      </c>
      <c r="AE11" s="35">
        <f>IFERROR(INDEX(PDomVal,AE$3,MATCH("mit.rp."&amp;$A11,PDomHdr,0))+0,0)</f>
        <v/>
      </c>
      <c r="AF11" s="35">
        <f>IFERROR(INDEX(PDomVal,AF$3,MATCH("mit.rp."&amp;$A11,PDomHdr,0))+0,0)</f>
        <v/>
      </c>
      <c r="AG11" s="35">
        <f>IFERROR(INDEX(PDomVal,AG$3,MATCH("mit.sp."&amp;$A11,PDomHdr,0))+0,0)</f>
        <v/>
      </c>
      <c r="AH11" s="35">
        <f>IFERROR(INDEX(PDomVal,AH$3,MATCH("mit.sp."&amp;$A11,PDomHdr,0))+0,0)</f>
        <v/>
      </c>
      <c r="AI11" s="35">
        <f>IFERROR(INDEX(PDomVal,AI$3,MATCH("mit.sp."&amp;$A11,PDomHdr,0))+0,0)</f>
        <v/>
      </c>
      <c r="AJ11" s="35">
        <f>IFERROR(INDEX(PDomVal,AJ$3,MATCH("mit.sp."&amp;$A11,PDomHdr,0))+0,0)</f>
        <v/>
      </c>
      <c r="AK11" s="35">
        <f>IFERROR(INDEX(PDomVal,AK$3,MATCH("mit.txo."&amp;$A11,PDomHdr,0))+0,0)</f>
        <v/>
      </c>
      <c r="AL11" s="35">
        <f>IFERROR(INDEX(PDomVal,AL$3,MATCH("mit.txo."&amp;$A11,PDomHdr,0))+0,0)</f>
        <v/>
      </c>
      <c r="AM11" s="35">
        <f>IFERROR(INDEX(PDomVal,AM$3,MATCH("mit.txo."&amp;$A11,PDomHdr,0))+0,0)</f>
        <v/>
      </c>
      <c r="AN11" s="35">
        <f>IFERROR(INDEX(PDomVal,AN$3,MATCH("mit.txo."&amp;$A11,PDomHdr,0))+0,0)</f>
        <v/>
      </c>
      <c r="AO11" s="10">
        <f>IF(IFERROR(ISBLANK(INDEX(PDomVal,AO$3,MATCH("mit.vatrate."&amp;$A11,PDomHdr,0))),TRUE),1,0)</f>
        <v/>
      </c>
      <c r="AP11" s="10">
        <f>IF(IFERROR(ISBLANK(INDEX(PDomVal,AP$3,MATCH("mit.vatrate."&amp;$A11,PDomHdr,0))),TRUE),1,0)</f>
        <v/>
      </c>
      <c r="AQ11" s="10">
        <f>IF(IFERROR(ISBLANK(INDEX(PDomVal,AQ$3,MATCH("mit.vatrate."&amp;$A11,PDomHdr,0))),TRUE),1,0)</f>
        <v/>
      </c>
      <c r="AR11" s="10">
        <f>IF(IFERROR(ISBLANK(INDEX(PDomVal,AR$3,MATCH("mit.vatrate."&amp;$A11,PDomHdr,0))),TRUE),1,0)</f>
        <v/>
      </c>
      <c r="AS11" s="13">
        <f>IFERROR(INDEX(PDomVal,AS$3,MATCH("mit.vatrate."&amp;$A11,PDomHdr,0))+0,0)</f>
        <v/>
      </c>
      <c r="AT11" s="13">
        <f>IFERROR(INDEX(PDomVal,AT$3,MATCH("mit.vatrate."&amp;$A11,PDomHdr,0))+0,0)</f>
        <v/>
      </c>
      <c r="AU11" s="13">
        <f>IFERROR(INDEX(PDomVal,AU$3,MATCH("mit.vatrate."&amp;$A11,PDomHdr,0))+0,0)</f>
        <v/>
      </c>
      <c r="AV11" s="13">
        <f>IFERROR(INDEX(PDomVal,AV$3,MATCH("mit.vatrate."&amp;$A11,PDomHdr,0))+0,0)</f>
        <v/>
      </c>
      <c r="AW11" s="13">
        <f>IF($AO11=1,$P11*AW$5,$AS11)</f>
        <v/>
      </c>
      <c r="AX11" s="13">
        <f>IF($AP11=1,$P11*AX$5,$AT11)</f>
        <v/>
      </c>
      <c r="AY11" s="13">
        <f>IF($AQ11=1,$P11*AY$5,$AU11)</f>
        <v/>
      </c>
      <c r="AZ11" s="13">
        <f>IF($AR11=1,$P11*AZ$5,$AV11)</f>
        <v/>
      </c>
    </row>
    <row r="12">
      <c r="A12" s="101" t="inlineStr">
        <is>
          <t>nga.ind</t>
        </is>
      </c>
      <c r="B12" s="101" t="inlineStr">
        <is>
          <t>Natural gas, Industry</t>
        </is>
      </c>
      <c r="C12" s="101" t="inlineStr">
        <is>
          <t>nga</t>
        </is>
      </c>
      <c r="D12" s="101" t="inlineStr">
        <is>
          <t>ind</t>
        </is>
      </c>
      <c r="E12" s="26" t="n">
        <v>6</v>
      </c>
      <c r="F12" s="26" t="n">
        <v>3</v>
      </c>
      <c r="G12" s="35">
        <f>INDEX(Mapping!$G$30:$G$37,MATCH($C12,FuelKey,0))</f>
        <v/>
      </c>
      <c r="H12" s="26" t="n">
        <v>1</v>
      </c>
      <c r="I12" s="24">
        <f>IFERROR(INDEX(PDomVal,PDomBase,MATCH("mit.ps."&amp;$A12,PDomHdr,0))+0,0)</f>
        <v/>
      </c>
      <c r="J12" s="24">
        <f>IF($I12&lt;=0.25,0,IF($I12&lt;=0.5,0.5,1))</f>
        <v/>
      </c>
      <c r="K12" s="24">
        <f>IF(LEFT(Settings!$C$9,6)="Manual",0.8,IF(LEFT(Settings!$C$9,4)="None",1,$J12))</f>
        <v/>
      </c>
      <c r="L12" s="35">
        <f>IFERROR(INDEX(PDomVal,PDomBase,MATCH("mit.mar."&amp;$A12,PDomHdr,0))+0,0)</f>
        <v/>
      </c>
      <c r="M12" s="35">
        <f>IFERROR(INDEX(PDomVal,PDomBase,MATCH("mit.nga.prod.cost",PDomHdr,0))+0,0)</f>
        <v/>
      </c>
      <c r="N12" s="35">
        <f>INDEX($U$4:$X$4,MATCH(Settings!$C$7,$U$6:$X$6,0))</f>
        <v/>
      </c>
      <c r="O12" s="35">
        <f>($L12+$J12*$M12)*$N12/$G12</f>
        <v/>
      </c>
      <c r="P12" s="102" t="n">
        <v>0</v>
      </c>
      <c r="Q12" s="103">
        <f>$P12*INDEX($AW$5:$AZ$5,MATCH(Settings!$C$10,$AW$6:$AZ$6,0))</f>
        <v/>
      </c>
      <c r="R12" s="13">
        <f>INDEX($AW12:$AZ12,MATCH(Settings!$C$10,$AW$6:$AZ$6,0))</f>
        <v/>
      </c>
      <c r="S12" s="35">
        <f>INDEX($U12:$X12,MATCH(Settings!$C$10,$U$6:$X$6,0))</f>
        <v/>
      </c>
      <c r="T12" s="35">
        <f>INDEX($Y12:$AB12,MATCH(Settings!$C$10,$Y$6:$AB$6,0))</f>
        <v/>
      </c>
      <c r="U12" s="35">
        <f>$AG12*U$4/$G12</f>
        <v/>
      </c>
      <c r="V12" s="35">
        <f>$AH12*V$4/$G12</f>
        <v/>
      </c>
      <c r="W12" s="35">
        <f>$AI12*W$4/$G12</f>
        <v/>
      </c>
      <c r="X12" s="35">
        <f>$AJ12*X$4/$G12</f>
        <v/>
      </c>
      <c r="Y12" s="35">
        <f>IF($H12=1,$AC12/(1+$AW12)-$AG12,$AK12)*Y$4/$G12</f>
        <v/>
      </c>
      <c r="Z12" s="35">
        <f>IF($H12=1,$AD12/(1+$AX12)-$AH12,$AL12)*Z$4/$G12</f>
        <v/>
      </c>
      <c r="AA12" s="35">
        <f>IF($H12=1,$AE12/(1+$AY12)-$AI12,$AM12)*AA$4/$G12</f>
        <v/>
      </c>
      <c r="AB12" s="35">
        <f>IF($H12=1,$AF12/(1+$AZ12)-$AJ12,$AN12)*AB$4/$G12</f>
        <v/>
      </c>
      <c r="AC12" s="35">
        <f>IFERROR(INDEX(PDomVal,AC$3,MATCH("mit.rp."&amp;$A12,PDomHdr,0))+0,0)</f>
        <v/>
      </c>
      <c r="AD12" s="35">
        <f>IFERROR(INDEX(PDomVal,AD$3,MATCH("mit.rp."&amp;$A12,PDomHdr,0))+0,0)</f>
        <v/>
      </c>
      <c r="AE12" s="35">
        <f>IFERROR(INDEX(PDomVal,AE$3,MATCH("mit.rp."&amp;$A12,PDomHdr,0))+0,0)</f>
        <v/>
      </c>
      <c r="AF12" s="35">
        <f>IFERROR(INDEX(PDomVal,AF$3,MATCH("mit.rp."&amp;$A12,PDomHdr,0))+0,0)</f>
        <v/>
      </c>
      <c r="AG12" s="35">
        <f>IFERROR(INDEX(PDomVal,AG$3,MATCH("mit.sp."&amp;$A12,PDomHdr,0))+0,0)</f>
        <v/>
      </c>
      <c r="AH12" s="35">
        <f>IFERROR(INDEX(PDomVal,AH$3,MATCH("mit.sp."&amp;$A12,PDomHdr,0))+0,0)</f>
        <v/>
      </c>
      <c r="AI12" s="35">
        <f>IFERROR(INDEX(PDomVal,AI$3,MATCH("mit.sp."&amp;$A12,PDomHdr,0))+0,0)</f>
        <v/>
      </c>
      <c r="AJ12" s="35">
        <f>IFERROR(INDEX(PDomVal,AJ$3,MATCH("mit.sp."&amp;$A12,PDomHdr,0))+0,0)</f>
        <v/>
      </c>
      <c r="AK12" s="35">
        <f>IFERROR(INDEX(PDomVal,AK$3,MATCH("mit.txo."&amp;$A12,PDomHdr,0))+0,0)</f>
        <v/>
      </c>
      <c r="AL12" s="35">
        <f>IFERROR(INDEX(PDomVal,AL$3,MATCH("mit.txo."&amp;$A12,PDomHdr,0))+0,0)</f>
        <v/>
      </c>
      <c r="AM12" s="35">
        <f>IFERROR(INDEX(PDomVal,AM$3,MATCH("mit.txo."&amp;$A12,PDomHdr,0))+0,0)</f>
        <v/>
      </c>
      <c r="AN12" s="35">
        <f>IFERROR(INDEX(PDomVal,AN$3,MATCH("mit.txo."&amp;$A12,PDomHdr,0))+0,0)</f>
        <v/>
      </c>
      <c r="AO12" s="10">
        <f>IF(IFERROR(ISBLANK(INDEX(PDomVal,AO$3,MATCH("mit.vatrate."&amp;$A12,PDomHdr,0))),TRUE),1,0)</f>
        <v/>
      </c>
      <c r="AP12" s="10">
        <f>IF(IFERROR(ISBLANK(INDEX(PDomVal,AP$3,MATCH("mit.vatrate."&amp;$A12,PDomHdr,0))),TRUE),1,0)</f>
        <v/>
      </c>
      <c r="AQ12" s="10">
        <f>IF(IFERROR(ISBLANK(INDEX(PDomVal,AQ$3,MATCH("mit.vatrate."&amp;$A12,PDomHdr,0))),TRUE),1,0)</f>
        <v/>
      </c>
      <c r="AR12" s="10">
        <f>IF(IFERROR(ISBLANK(INDEX(PDomVal,AR$3,MATCH("mit.vatrate."&amp;$A12,PDomHdr,0))),TRUE),1,0)</f>
        <v/>
      </c>
      <c r="AS12" s="13">
        <f>IFERROR(INDEX(PDomVal,AS$3,MATCH("mit.vatrate."&amp;$A12,PDomHdr,0))+0,0)</f>
        <v/>
      </c>
      <c r="AT12" s="13">
        <f>IFERROR(INDEX(PDomVal,AT$3,MATCH("mit.vatrate."&amp;$A12,PDomHdr,0))+0,0)</f>
        <v/>
      </c>
      <c r="AU12" s="13">
        <f>IFERROR(INDEX(PDomVal,AU$3,MATCH("mit.vatrate."&amp;$A12,PDomHdr,0))+0,0)</f>
        <v/>
      </c>
      <c r="AV12" s="13">
        <f>IFERROR(INDEX(PDomVal,AV$3,MATCH("mit.vatrate."&amp;$A12,PDomHdr,0))+0,0)</f>
        <v/>
      </c>
      <c r="AW12" s="13">
        <f>IF($AO12=1,$P12*AW$5,$AS12)</f>
        <v/>
      </c>
      <c r="AX12" s="13">
        <f>IF($AP12=1,$P12*AX$5,$AT12)</f>
        <v/>
      </c>
      <c r="AY12" s="13">
        <f>IF($AQ12=1,$P12*AY$5,$AU12)</f>
        <v/>
      </c>
      <c r="AZ12" s="13">
        <f>IF($AR12=1,$P12*AZ$5,$AV12)</f>
        <v/>
      </c>
    </row>
    <row r="13">
      <c r="A13" s="101" t="inlineStr">
        <is>
          <t>gso.all</t>
        </is>
      </c>
      <c r="B13" s="101" t="inlineStr">
        <is>
          <t>Gasoline, All</t>
        </is>
      </c>
      <c r="C13" s="101" t="inlineStr">
        <is>
          <t>gso</t>
        </is>
      </c>
      <c r="D13" s="101" t="inlineStr">
        <is>
          <t>all</t>
        </is>
      </c>
      <c r="E13" s="26" t="n">
        <v>7</v>
      </c>
      <c r="F13" s="26" t="n">
        <v>1</v>
      </c>
      <c r="G13" s="35">
        <f>INDEX(Mapping!$G$30:$G$37,MATCH($C13,FuelKey,0))</f>
        <v/>
      </c>
      <c r="H13" s="26" t="n">
        <v>0</v>
      </c>
      <c r="I13" s="24">
        <f>IFERROR(INDEX(PDomVal,PDomBase,MATCH("mit.ps."&amp;$A13,PDomHdr,0))+0,0)</f>
        <v/>
      </c>
      <c r="J13" s="24">
        <f>IF($I13&lt;=0.25,0,IF($I13&lt;=0.5,0.5,1))</f>
        <v/>
      </c>
      <c r="K13" s="24">
        <f>IF(LEFT(Settings!$C$9,6)="Manual",0.8,IF(LEFT(Settings!$C$9,4)="None",1,$J13))</f>
        <v/>
      </c>
      <c r="L13" s="35">
        <f>IFERROR(INDEX(PDomVal,PDomBase,MATCH("mit.mar."&amp;$A13,PDomHdr,0))+0,0)</f>
        <v/>
      </c>
      <c r="M13" s="101" t="n">
        <v>0</v>
      </c>
      <c r="N13" s="35">
        <f>INDEX($U$4:$X$4,MATCH(Settings!$C$7,$U$6:$X$6,0))</f>
        <v/>
      </c>
      <c r="O13" s="35">
        <f>($L13+$J13*$M13)*$N13/$G13</f>
        <v/>
      </c>
      <c r="P13" s="102" t="n">
        <v>1</v>
      </c>
      <c r="Q13" s="103">
        <f>$P13*INDEX($AW$5:$AZ$5,MATCH(Settings!$C$10,$AW$6:$AZ$6,0))</f>
        <v/>
      </c>
      <c r="R13" s="13">
        <f>INDEX($AW13:$AZ13,MATCH(Settings!$C$10,$AW$6:$AZ$6,0))</f>
        <v/>
      </c>
      <c r="S13" s="35">
        <f>INDEX($U13:$X13,MATCH(Settings!$C$10,$U$6:$X$6,0))</f>
        <v/>
      </c>
      <c r="T13" s="35">
        <f>INDEX($Y13:$AB13,MATCH(Settings!$C$10,$Y$6:$AB$6,0))</f>
        <v/>
      </c>
      <c r="U13" s="35">
        <f>$AG13*U$4/$G13</f>
        <v/>
      </c>
      <c r="V13" s="35">
        <f>$AH13*V$4/$G13</f>
        <v/>
      </c>
      <c r="W13" s="35">
        <f>$AI13*W$4/$G13</f>
        <v/>
      </c>
      <c r="X13" s="35">
        <f>$AJ13*X$4/$G13</f>
        <v/>
      </c>
      <c r="Y13" s="35">
        <f>IF($H13=1,$AC13/(1+$AW13)-$AG13,$AK13)*Y$4/$G13</f>
        <v/>
      </c>
      <c r="Z13" s="35">
        <f>IF($H13=1,$AD13/(1+$AX13)-$AH13,$AL13)*Z$4/$G13</f>
        <v/>
      </c>
      <c r="AA13" s="35">
        <f>IF($H13=1,$AE13/(1+$AY13)-$AI13,$AM13)*AA$4/$G13</f>
        <v/>
      </c>
      <c r="AB13" s="35">
        <f>IF($H13=1,$AF13/(1+$AZ13)-$AJ13,$AN13)*AB$4/$G13</f>
        <v/>
      </c>
      <c r="AC13" s="35">
        <f>IFERROR(INDEX(PDomVal,AC$3,MATCH("mit.rp."&amp;$A13,PDomHdr,0))+0,0)</f>
        <v/>
      </c>
      <c r="AD13" s="35">
        <f>IFERROR(INDEX(PDomVal,AD$3,MATCH("mit.rp."&amp;$A13,PDomHdr,0))+0,0)</f>
        <v/>
      </c>
      <c r="AE13" s="35">
        <f>IFERROR(INDEX(PDomVal,AE$3,MATCH("mit.rp."&amp;$A13,PDomHdr,0))+0,0)</f>
        <v/>
      </c>
      <c r="AF13" s="35">
        <f>IFERROR(INDEX(PDomVal,AF$3,MATCH("mit.rp."&amp;$A13,PDomHdr,0))+0,0)</f>
        <v/>
      </c>
      <c r="AG13" s="35">
        <f>IFERROR(INDEX(PDomVal,AG$3,MATCH("mit.sp."&amp;$A13,PDomHdr,0))+0,0)</f>
        <v/>
      </c>
      <c r="AH13" s="35">
        <f>IFERROR(INDEX(PDomVal,AH$3,MATCH("mit.sp."&amp;$A13,PDomHdr,0))+0,0)</f>
        <v/>
      </c>
      <c r="AI13" s="35">
        <f>IFERROR(INDEX(PDomVal,AI$3,MATCH("mit.sp."&amp;$A13,PDomHdr,0))+0,0)</f>
        <v/>
      </c>
      <c r="AJ13" s="35">
        <f>IFERROR(INDEX(PDomVal,AJ$3,MATCH("mit.sp."&amp;$A13,PDomHdr,0))+0,0)</f>
        <v/>
      </c>
      <c r="AK13" s="35">
        <f>IFERROR(INDEX(PDomVal,AK$3,MATCH("mit.txo."&amp;$A13,PDomHdr,0))+0,0)</f>
        <v/>
      </c>
      <c r="AL13" s="35">
        <f>IFERROR(INDEX(PDomVal,AL$3,MATCH("mit.txo."&amp;$A13,PDomHdr,0))+0,0)</f>
        <v/>
      </c>
      <c r="AM13" s="35">
        <f>IFERROR(INDEX(PDomVal,AM$3,MATCH("mit.txo."&amp;$A13,PDomHdr,0))+0,0)</f>
        <v/>
      </c>
      <c r="AN13" s="35">
        <f>IFERROR(INDEX(PDomVal,AN$3,MATCH("mit.txo."&amp;$A13,PDomHdr,0))+0,0)</f>
        <v/>
      </c>
      <c r="AO13" s="10">
        <f>IF(IFERROR(ISBLANK(INDEX(PDomVal,AO$3,MATCH("mit.vatrate."&amp;$A13,PDomHdr,0))),TRUE),1,0)</f>
        <v/>
      </c>
      <c r="AP13" s="10">
        <f>IF(IFERROR(ISBLANK(INDEX(PDomVal,AP$3,MATCH("mit.vatrate."&amp;$A13,PDomHdr,0))),TRUE),1,0)</f>
        <v/>
      </c>
      <c r="AQ13" s="10">
        <f>IF(IFERROR(ISBLANK(INDEX(PDomVal,AQ$3,MATCH("mit.vatrate."&amp;$A13,PDomHdr,0))),TRUE),1,0)</f>
        <v/>
      </c>
      <c r="AR13" s="10">
        <f>IF(IFERROR(ISBLANK(INDEX(PDomVal,AR$3,MATCH("mit.vatrate."&amp;$A13,PDomHdr,0))),TRUE),1,0)</f>
        <v/>
      </c>
      <c r="AS13" s="13">
        <f>IFERROR(INDEX(PDomVal,AS$3,MATCH("mit.vatrate."&amp;$A13,PDomHdr,0))+0,0)</f>
        <v/>
      </c>
      <c r="AT13" s="13">
        <f>IFERROR(INDEX(PDomVal,AT$3,MATCH("mit.vatrate."&amp;$A13,PDomHdr,0))+0,0)</f>
        <v/>
      </c>
      <c r="AU13" s="13">
        <f>IFERROR(INDEX(PDomVal,AU$3,MATCH("mit.vatrate."&amp;$A13,PDomHdr,0))+0,0)</f>
        <v/>
      </c>
      <c r="AV13" s="13">
        <f>IFERROR(INDEX(PDomVal,AV$3,MATCH("mit.vatrate."&amp;$A13,PDomHdr,0))+0,0)</f>
        <v/>
      </c>
      <c r="AW13" s="13">
        <f>IF($AO13=1,$P13*AW$5,$AS13)</f>
        <v/>
      </c>
      <c r="AX13" s="13">
        <f>IF($AP13=1,$P13*AX$5,$AT13)</f>
        <v/>
      </c>
      <c r="AY13" s="13">
        <f>IF($AQ13=1,$P13*AY$5,$AU13)</f>
        <v/>
      </c>
      <c r="AZ13" s="13">
        <f>IF($AR13=1,$P13*AZ$5,$AV13)</f>
        <v/>
      </c>
    </row>
    <row r="14">
      <c r="A14" s="101" t="inlineStr">
        <is>
          <t>die.all</t>
        </is>
      </c>
      <c r="B14" s="101" t="inlineStr">
        <is>
          <t>Diesel, All</t>
        </is>
      </c>
      <c r="C14" s="101" t="inlineStr">
        <is>
          <t>die</t>
        </is>
      </c>
      <c r="D14" s="101" t="inlineStr">
        <is>
          <t>all</t>
        </is>
      </c>
      <c r="E14" s="26" t="n">
        <v>8</v>
      </c>
      <c r="F14" s="26" t="n">
        <v>1</v>
      </c>
      <c r="G14" s="35">
        <f>INDEX(Mapping!$G$30:$G$37,MATCH($C14,FuelKey,0))</f>
        <v/>
      </c>
      <c r="H14" s="26" t="n">
        <v>0</v>
      </c>
      <c r="I14" s="24">
        <f>IFERROR(INDEX(PDomVal,PDomBase,MATCH("mit.ps."&amp;$A14,PDomHdr,0))+0,0)</f>
        <v/>
      </c>
      <c r="J14" s="24">
        <f>IF($I14&lt;=0.25,0,IF($I14&lt;=0.5,0.5,1))</f>
        <v/>
      </c>
      <c r="K14" s="24">
        <f>IF(LEFT(Settings!$C$9,6)="Manual",0.8,IF(LEFT(Settings!$C$9,4)="None",1,$J14))</f>
        <v/>
      </c>
      <c r="L14" s="35">
        <f>IFERROR(INDEX(PDomVal,PDomBase,MATCH("mit.mar."&amp;$A14,PDomHdr,0))+0,0)</f>
        <v/>
      </c>
      <c r="M14" s="101" t="n">
        <v>0</v>
      </c>
      <c r="N14" s="35">
        <f>INDEX($U$4:$X$4,MATCH(Settings!$C$7,$U$6:$X$6,0))</f>
        <v/>
      </c>
      <c r="O14" s="35">
        <f>($L14+$J14*$M14)*$N14/$G14</f>
        <v/>
      </c>
      <c r="P14" s="102" t="n">
        <v>1</v>
      </c>
      <c r="Q14" s="103">
        <f>$P14*INDEX($AW$5:$AZ$5,MATCH(Settings!$C$10,$AW$6:$AZ$6,0))</f>
        <v/>
      </c>
      <c r="R14" s="13">
        <f>INDEX($AW14:$AZ14,MATCH(Settings!$C$10,$AW$6:$AZ$6,0))</f>
        <v/>
      </c>
      <c r="S14" s="35">
        <f>INDEX($U14:$X14,MATCH(Settings!$C$10,$U$6:$X$6,0))</f>
        <v/>
      </c>
      <c r="T14" s="35">
        <f>INDEX($Y14:$AB14,MATCH(Settings!$C$10,$Y$6:$AB$6,0))</f>
        <v/>
      </c>
      <c r="U14" s="35">
        <f>$AG14*U$4/$G14</f>
        <v/>
      </c>
      <c r="V14" s="35">
        <f>$AH14*V$4/$G14</f>
        <v/>
      </c>
      <c r="W14" s="35">
        <f>$AI14*W$4/$G14</f>
        <v/>
      </c>
      <c r="X14" s="35">
        <f>$AJ14*X$4/$G14</f>
        <v/>
      </c>
      <c r="Y14" s="35">
        <f>IF($H14=1,$AC14/(1+$AW14)-$AG14,$AK14)*Y$4/$G14</f>
        <v/>
      </c>
      <c r="Z14" s="35">
        <f>IF($H14=1,$AD14/(1+$AX14)-$AH14,$AL14)*Z$4/$G14</f>
        <v/>
      </c>
      <c r="AA14" s="35">
        <f>IF($H14=1,$AE14/(1+$AY14)-$AI14,$AM14)*AA$4/$G14</f>
        <v/>
      </c>
      <c r="AB14" s="35">
        <f>IF($H14=1,$AF14/(1+$AZ14)-$AJ14,$AN14)*AB$4/$G14</f>
        <v/>
      </c>
      <c r="AC14" s="35">
        <f>IFERROR(INDEX(PDomVal,AC$3,MATCH("mit.rp."&amp;$A14,PDomHdr,0))+0,0)</f>
        <v/>
      </c>
      <c r="AD14" s="35">
        <f>IFERROR(INDEX(PDomVal,AD$3,MATCH("mit.rp."&amp;$A14,PDomHdr,0))+0,0)</f>
        <v/>
      </c>
      <c r="AE14" s="35">
        <f>IFERROR(INDEX(PDomVal,AE$3,MATCH("mit.rp."&amp;$A14,PDomHdr,0))+0,0)</f>
        <v/>
      </c>
      <c r="AF14" s="35">
        <f>IFERROR(INDEX(PDomVal,AF$3,MATCH("mit.rp."&amp;$A14,PDomHdr,0))+0,0)</f>
        <v/>
      </c>
      <c r="AG14" s="35">
        <f>IFERROR(INDEX(PDomVal,AG$3,MATCH("mit.sp."&amp;$A14,PDomHdr,0))+0,0)</f>
        <v/>
      </c>
      <c r="AH14" s="35">
        <f>IFERROR(INDEX(PDomVal,AH$3,MATCH("mit.sp."&amp;$A14,PDomHdr,0))+0,0)</f>
        <v/>
      </c>
      <c r="AI14" s="35">
        <f>IFERROR(INDEX(PDomVal,AI$3,MATCH("mit.sp."&amp;$A14,PDomHdr,0))+0,0)</f>
        <v/>
      </c>
      <c r="AJ14" s="35">
        <f>IFERROR(INDEX(PDomVal,AJ$3,MATCH("mit.sp."&amp;$A14,PDomHdr,0))+0,0)</f>
        <v/>
      </c>
      <c r="AK14" s="35">
        <f>IFERROR(INDEX(PDomVal,AK$3,MATCH("mit.txo."&amp;$A14,PDomHdr,0))+0,0)</f>
        <v/>
      </c>
      <c r="AL14" s="35">
        <f>IFERROR(INDEX(PDomVal,AL$3,MATCH("mit.txo."&amp;$A14,PDomHdr,0))+0,0)</f>
        <v/>
      </c>
      <c r="AM14" s="35">
        <f>IFERROR(INDEX(PDomVal,AM$3,MATCH("mit.txo."&amp;$A14,PDomHdr,0))+0,0)</f>
        <v/>
      </c>
      <c r="AN14" s="35">
        <f>IFERROR(INDEX(PDomVal,AN$3,MATCH("mit.txo."&amp;$A14,PDomHdr,0))+0,0)</f>
        <v/>
      </c>
      <c r="AO14" s="10">
        <f>IF(IFERROR(ISBLANK(INDEX(PDomVal,AO$3,MATCH("mit.vatrate."&amp;$A14,PDomHdr,0))),TRUE),1,0)</f>
        <v/>
      </c>
      <c r="AP14" s="10">
        <f>IF(IFERROR(ISBLANK(INDEX(PDomVal,AP$3,MATCH("mit.vatrate."&amp;$A14,PDomHdr,0))),TRUE),1,0)</f>
        <v/>
      </c>
      <c r="AQ14" s="10">
        <f>IF(IFERROR(ISBLANK(INDEX(PDomVal,AQ$3,MATCH("mit.vatrate."&amp;$A14,PDomHdr,0))),TRUE),1,0)</f>
        <v/>
      </c>
      <c r="AR14" s="10">
        <f>IF(IFERROR(ISBLANK(INDEX(PDomVal,AR$3,MATCH("mit.vatrate."&amp;$A14,PDomHdr,0))),TRUE),1,0)</f>
        <v/>
      </c>
      <c r="AS14" s="13">
        <f>IFERROR(INDEX(PDomVal,AS$3,MATCH("mit.vatrate."&amp;$A14,PDomHdr,0))+0,0)</f>
        <v/>
      </c>
      <c r="AT14" s="13">
        <f>IFERROR(INDEX(PDomVal,AT$3,MATCH("mit.vatrate."&amp;$A14,PDomHdr,0))+0,0)</f>
        <v/>
      </c>
      <c r="AU14" s="13">
        <f>IFERROR(INDEX(PDomVal,AU$3,MATCH("mit.vatrate."&amp;$A14,PDomHdr,0))+0,0)</f>
        <v/>
      </c>
      <c r="AV14" s="13">
        <f>IFERROR(INDEX(PDomVal,AV$3,MATCH("mit.vatrate."&amp;$A14,PDomHdr,0))+0,0)</f>
        <v/>
      </c>
      <c r="AW14" s="13">
        <f>IF($AO14=1,$P14*AW$5,$AS14)</f>
        <v/>
      </c>
      <c r="AX14" s="13">
        <f>IF($AP14=1,$P14*AX$5,$AT14)</f>
        <v/>
      </c>
      <c r="AY14" s="13">
        <f>IF($AQ14=1,$P14*AY$5,$AU14)</f>
        <v/>
      </c>
      <c r="AZ14" s="13">
        <f>IF($AR14=1,$P14*AZ$5,$AV14)</f>
        <v/>
      </c>
    </row>
    <row r="15">
      <c r="A15" s="101" t="inlineStr">
        <is>
          <t>lpg.all</t>
        </is>
      </c>
      <c r="B15" s="101" t="inlineStr">
        <is>
          <t>LPG, All</t>
        </is>
      </c>
      <c r="C15" s="101" t="inlineStr">
        <is>
          <t>lpg</t>
        </is>
      </c>
      <c r="D15" s="101" t="inlineStr">
        <is>
          <t>all</t>
        </is>
      </c>
      <c r="E15" s="26" t="n">
        <v>9</v>
      </c>
      <c r="F15" s="26" t="n">
        <v>1</v>
      </c>
      <c r="G15" s="35">
        <f>INDEX(Mapping!$G$30:$G$37,MATCH($C15,FuelKey,0))</f>
        <v/>
      </c>
      <c r="H15" s="26" t="n">
        <v>0</v>
      </c>
      <c r="I15" s="24">
        <f>IFERROR(INDEX(PDomVal,PDomBase,MATCH("mit.ps."&amp;$A15,PDomHdr,0))+0,0)</f>
        <v/>
      </c>
      <c r="J15" s="24">
        <f>IF($I15&lt;=0.25,0,IF($I15&lt;=0.5,0.5,1))</f>
        <v/>
      </c>
      <c r="K15" s="24">
        <f>IF(LEFT(Settings!$C$9,6)="Manual",0.8,IF(LEFT(Settings!$C$9,4)="None",1,$J15))</f>
        <v/>
      </c>
      <c r="L15" s="35">
        <f>IFERROR(INDEX(PDomVal,PDomBase,MATCH("mit.mar."&amp;$A15,PDomHdr,0))+0,0)</f>
        <v/>
      </c>
      <c r="M15" s="101" t="n">
        <v>0</v>
      </c>
      <c r="N15" s="35">
        <f>INDEX($U$4:$X$4,MATCH(Settings!$C$7,$U$6:$X$6,0))</f>
        <v/>
      </c>
      <c r="O15" s="35">
        <f>($L15+$J15*$M15)*$N15/$G15</f>
        <v/>
      </c>
      <c r="P15" s="102" t="n">
        <v>1</v>
      </c>
      <c r="Q15" s="103">
        <f>$P15*INDEX($AW$5:$AZ$5,MATCH(Settings!$C$10,$AW$6:$AZ$6,0))</f>
        <v/>
      </c>
      <c r="R15" s="13">
        <f>INDEX($AW15:$AZ15,MATCH(Settings!$C$10,$AW$6:$AZ$6,0))</f>
        <v/>
      </c>
      <c r="S15" s="35">
        <f>INDEX($U15:$X15,MATCH(Settings!$C$10,$U$6:$X$6,0))</f>
        <v/>
      </c>
      <c r="T15" s="35">
        <f>INDEX($Y15:$AB15,MATCH(Settings!$C$10,$Y$6:$AB$6,0))</f>
        <v/>
      </c>
      <c r="U15" s="35">
        <f>$AG15*U$4/$G15</f>
        <v/>
      </c>
      <c r="V15" s="35">
        <f>$AH15*V$4/$G15</f>
        <v/>
      </c>
      <c r="W15" s="35">
        <f>$AI15*W$4/$G15</f>
        <v/>
      </c>
      <c r="X15" s="35">
        <f>$AJ15*X$4/$G15</f>
        <v/>
      </c>
      <c r="Y15" s="35">
        <f>IF($H15=1,$AC15/(1+$AW15)-$AG15,$AK15)*Y$4/$G15</f>
        <v/>
      </c>
      <c r="Z15" s="35">
        <f>IF($H15=1,$AD15/(1+$AX15)-$AH15,$AL15)*Z$4/$G15</f>
        <v/>
      </c>
      <c r="AA15" s="35">
        <f>IF($H15=1,$AE15/(1+$AY15)-$AI15,$AM15)*AA$4/$G15</f>
        <v/>
      </c>
      <c r="AB15" s="35">
        <f>IF($H15=1,$AF15/(1+$AZ15)-$AJ15,$AN15)*AB$4/$G15</f>
        <v/>
      </c>
      <c r="AC15" s="35">
        <f>IFERROR(INDEX(PDomVal,AC$3,MATCH("mit.rp."&amp;$A15,PDomHdr,0))+0,0)</f>
        <v/>
      </c>
      <c r="AD15" s="35">
        <f>IFERROR(INDEX(PDomVal,AD$3,MATCH("mit.rp."&amp;$A15,PDomHdr,0))+0,0)</f>
        <v/>
      </c>
      <c r="AE15" s="35">
        <f>IFERROR(INDEX(PDomVal,AE$3,MATCH("mit.rp."&amp;$A15,PDomHdr,0))+0,0)</f>
        <v/>
      </c>
      <c r="AF15" s="35">
        <f>IFERROR(INDEX(PDomVal,AF$3,MATCH("mit.rp."&amp;$A15,PDomHdr,0))+0,0)</f>
        <v/>
      </c>
      <c r="AG15" s="35">
        <f>IFERROR(INDEX(PDomVal,AG$3,MATCH("mit.sp."&amp;$A15,PDomHdr,0))+0,0)</f>
        <v/>
      </c>
      <c r="AH15" s="35">
        <f>IFERROR(INDEX(PDomVal,AH$3,MATCH("mit.sp."&amp;$A15,PDomHdr,0))+0,0)</f>
        <v/>
      </c>
      <c r="AI15" s="35">
        <f>IFERROR(INDEX(PDomVal,AI$3,MATCH("mit.sp."&amp;$A15,PDomHdr,0))+0,0)</f>
        <v/>
      </c>
      <c r="AJ15" s="35">
        <f>IFERROR(INDEX(PDomVal,AJ$3,MATCH("mit.sp."&amp;$A15,PDomHdr,0))+0,0)</f>
        <v/>
      </c>
      <c r="AK15" s="35">
        <f>IFERROR(INDEX(PDomVal,AK$3,MATCH("mit.txo."&amp;$A15,PDomHdr,0))+0,0)</f>
        <v/>
      </c>
      <c r="AL15" s="35">
        <f>IFERROR(INDEX(PDomVal,AL$3,MATCH("mit.txo."&amp;$A15,PDomHdr,0))+0,0)</f>
        <v/>
      </c>
      <c r="AM15" s="35">
        <f>IFERROR(INDEX(PDomVal,AM$3,MATCH("mit.txo."&amp;$A15,PDomHdr,0))+0,0)</f>
        <v/>
      </c>
      <c r="AN15" s="35">
        <f>IFERROR(INDEX(PDomVal,AN$3,MATCH("mit.txo."&amp;$A15,PDomHdr,0))+0,0)</f>
        <v/>
      </c>
      <c r="AO15" s="10">
        <f>IF(IFERROR(ISBLANK(INDEX(PDomVal,AO$3,MATCH("mit.vatrate."&amp;$A15,PDomHdr,0))),TRUE),1,0)</f>
        <v/>
      </c>
      <c r="AP15" s="10">
        <f>IF(IFERROR(ISBLANK(INDEX(PDomVal,AP$3,MATCH("mit.vatrate."&amp;$A15,PDomHdr,0))),TRUE),1,0)</f>
        <v/>
      </c>
      <c r="AQ15" s="10">
        <f>IF(IFERROR(ISBLANK(INDEX(PDomVal,AQ$3,MATCH("mit.vatrate."&amp;$A15,PDomHdr,0))),TRUE),1,0)</f>
        <v/>
      </c>
      <c r="AR15" s="10">
        <f>IF(IFERROR(ISBLANK(INDEX(PDomVal,AR$3,MATCH("mit.vatrate."&amp;$A15,PDomHdr,0))),TRUE),1,0)</f>
        <v/>
      </c>
      <c r="AS15" s="13">
        <f>IFERROR(INDEX(PDomVal,AS$3,MATCH("mit.vatrate."&amp;$A15,PDomHdr,0))+0,0)</f>
        <v/>
      </c>
      <c r="AT15" s="13">
        <f>IFERROR(INDEX(PDomVal,AT$3,MATCH("mit.vatrate."&amp;$A15,PDomHdr,0))+0,0)</f>
        <v/>
      </c>
      <c r="AU15" s="13">
        <f>IFERROR(INDEX(PDomVal,AU$3,MATCH("mit.vatrate."&amp;$A15,PDomHdr,0))+0,0)</f>
        <v/>
      </c>
      <c r="AV15" s="13">
        <f>IFERROR(INDEX(PDomVal,AV$3,MATCH("mit.vatrate."&amp;$A15,PDomHdr,0))+0,0)</f>
        <v/>
      </c>
      <c r="AW15" s="13">
        <f>IF($AO15=1,$P15*AW$5,$AS15)</f>
        <v/>
      </c>
      <c r="AX15" s="13">
        <f>IF($AP15=1,$P15*AX$5,$AT15)</f>
        <v/>
      </c>
      <c r="AY15" s="13">
        <f>IF($AQ15=1,$P15*AY$5,$AU15)</f>
        <v/>
      </c>
      <c r="AZ15" s="13">
        <f>IF($AR15=1,$P15*AZ$5,$AV15)</f>
        <v/>
      </c>
    </row>
    <row r="16">
      <c r="A16" s="101" t="inlineStr">
        <is>
          <t>ker.all</t>
        </is>
      </c>
      <c r="B16" s="101" t="inlineStr">
        <is>
          <t>Kerosene, All</t>
        </is>
      </c>
      <c r="C16" s="101" t="inlineStr">
        <is>
          <t>ker</t>
        </is>
      </c>
      <c r="D16" s="101" t="inlineStr">
        <is>
          <t>all</t>
        </is>
      </c>
      <c r="E16" s="26" t="n">
        <v>10</v>
      </c>
      <c r="F16" s="26" t="n">
        <v>1</v>
      </c>
      <c r="G16" s="35">
        <f>INDEX(Mapping!$G$30:$G$37,MATCH($C16,FuelKey,0))</f>
        <v/>
      </c>
      <c r="H16" s="26" t="n">
        <v>0</v>
      </c>
      <c r="I16" s="24">
        <f>IFERROR(INDEX(PDomVal,PDomBase,MATCH("mit.ps."&amp;$A16,PDomHdr,0))+0,0)</f>
        <v/>
      </c>
      <c r="J16" s="24">
        <f>IF($I16&lt;=0.25,0,IF($I16&lt;=0.5,0.5,1))</f>
        <v/>
      </c>
      <c r="K16" s="24">
        <f>IF(LEFT(Settings!$C$9,6)="Manual",0.8,IF(LEFT(Settings!$C$9,4)="None",1,$J16))</f>
        <v/>
      </c>
      <c r="L16" s="35">
        <f>IFERROR(INDEX(PDomVal,PDomBase,MATCH("mit.mar."&amp;$A16,PDomHdr,0))+0,0)</f>
        <v/>
      </c>
      <c r="M16" s="101" t="n">
        <v>0</v>
      </c>
      <c r="N16" s="35">
        <f>INDEX($U$4:$X$4,MATCH(Settings!$C$7,$U$6:$X$6,0))</f>
        <v/>
      </c>
      <c r="O16" s="35">
        <f>($L16+$J16*$M16)*$N16/$G16</f>
        <v/>
      </c>
      <c r="P16" s="102" t="n">
        <v>1</v>
      </c>
      <c r="Q16" s="103">
        <f>$P16*INDEX($AW$5:$AZ$5,MATCH(Settings!$C$10,$AW$6:$AZ$6,0))</f>
        <v/>
      </c>
      <c r="R16" s="13">
        <f>INDEX($AW16:$AZ16,MATCH(Settings!$C$10,$AW$6:$AZ$6,0))</f>
        <v/>
      </c>
      <c r="S16" s="35">
        <f>INDEX($U16:$X16,MATCH(Settings!$C$10,$U$6:$X$6,0))</f>
        <v/>
      </c>
      <c r="T16" s="35">
        <f>INDEX($Y16:$AB16,MATCH(Settings!$C$10,$Y$6:$AB$6,0))</f>
        <v/>
      </c>
      <c r="U16" s="35">
        <f>$AG16*U$4/$G16</f>
        <v/>
      </c>
      <c r="V16" s="35">
        <f>$AH16*V$4/$G16</f>
        <v/>
      </c>
      <c r="W16" s="35">
        <f>$AI16*W$4/$G16</f>
        <v/>
      </c>
      <c r="X16" s="35">
        <f>$AJ16*X$4/$G16</f>
        <v/>
      </c>
      <c r="Y16" s="35">
        <f>IF($H16=1,$AC16/(1+$AW16)-$AG16,$AK16)*Y$4/$G16</f>
        <v/>
      </c>
      <c r="Z16" s="35">
        <f>IF($H16=1,$AD16/(1+$AX16)-$AH16,$AL16)*Z$4/$G16</f>
        <v/>
      </c>
      <c r="AA16" s="35">
        <f>IF($H16=1,$AE16/(1+$AY16)-$AI16,$AM16)*AA$4/$G16</f>
        <v/>
      </c>
      <c r="AB16" s="35">
        <f>IF($H16=1,$AF16/(1+$AZ16)-$AJ16,$AN16)*AB$4/$G16</f>
        <v/>
      </c>
      <c r="AC16" s="35">
        <f>IFERROR(INDEX(PDomVal,AC$3,MATCH("mit.rp."&amp;$A16,PDomHdr,0))+0,0)</f>
        <v/>
      </c>
      <c r="AD16" s="35">
        <f>IFERROR(INDEX(PDomVal,AD$3,MATCH("mit.rp."&amp;$A16,PDomHdr,0))+0,0)</f>
        <v/>
      </c>
      <c r="AE16" s="35">
        <f>IFERROR(INDEX(PDomVal,AE$3,MATCH("mit.rp."&amp;$A16,PDomHdr,0))+0,0)</f>
        <v/>
      </c>
      <c r="AF16" s="35">
        <f>IFERROR(INDEX(PDomVal,AF$3,MATCH("mit.rp."&amp;$A16,PDomHdr,0))+0,0)</f>
        <v/>
      </c>
      <c r="AG16" s="35">
        <f>IFERROR(INDEX(PDomVal,AG$3,MATCH("mit.sp."&amp;$A16,PDomHdr,0))+0,0)</f>
        <v/>
      </c>
      <c r="AH16" s="35">
        <f>IFERROR(INDEX(PDomVal,AH$3,MATCH("mit.sp."&amp;$A16,PDomHdr,0))+0,0)</f>
        <v/>
      </c>
      <c r="AI16" s="35">
        <f>IFERROR(INDEX(PDomVal,AI$3,MATCH("mit.sp."&amp;$A16,PDomHdr,0))+0,0)</f>
        <v/>
      </c>
      <c r="AJ16" s="35">
        <f>IFERROR(INDEX(PDomVal,AJ$3,MATCH("mit.sp."&amp;$A16,PDomHdr,0))+0,0)</f>
        <v/>
      </c>
      <c r="AK16" s="35">
        <f>IFERROR(INDEX(PDomVal,AK$3,MATCH("mit.txo."&amp;$A16,PDomHdr,0))+0,0)</f>
        <v/>
      </c>
      <c r="AL16" s="35">
        <f>IFERROR(INDEX(PDomVal,AL$3,MATCH("mit.txo."&amp;$A16,PDomHdr,0))+0,0)</f>
        <v/>
      </c>
      <c r="AM16" s="35">
        <f>IFERROR(INDEX(PDomVal,AM$3,MATCH("mit.txo."&amp;$A16,PDomHdr,0))+0,0)</f>
        <v/>
      </c>
      <c r="AN16" s="35">
        <f>IFERROR(INDEX(PDomVal,AN$3,MATCH("mit.txo."&amp;$A16,PDomHdr,0))+0,0)</f>
        <v/>
      </c>
      <c r="AO16" s="10">
        <f>IF(IFERROR(ISBLANK(INDEX(PDomVal,AO$3,MATCH("mit.vatrate."&amp;$A16,PDomHdr,0))),TRUE),1,0)</f>
        <v/>
      </c>
      <c r="AP16" s="10">
        <f>IF(IFERROR(ISBLANK(INDEX(PDomVal,AP$3,MATCH("mit.vatrate."&amp;$A16,PDomHdr,0))),TRUE),1,0)</f>
        <v/>
      </c>
      <c r="AQ16" s="10">
        <f>IF(IFERROR(ISBLANK(INDEX(PDomVal,AQ$3,MATCH("mit.vatrate."&amp;$A16,PDomHdr,0))),TRUE),1,0)</f>
        <v/>
      </c>
      <c r="AR16" s="10">
        <f>IF(IFERROR(ISBLANK(INDEX(PDomVal,AR$3,MATCH("mit.vatrate."&amp;$A16,PDomHdr,0))),TRUE),1,0)</f>
        <v/>
      </c>
      <c r="AS16" s="13">
        <f>IFERROR(INDEX(PDomVal,AS$3,MATCH("mit.vatrate."&amp;$A16,PDomHdr,0))+0,0)</f>
        <v/>
      </c>
      <c r="AT16" s="13">
        <f>IFERROR(INDEX(PDomVal,AT$3,MATCH("mit.vatrate."&amp;$A16,PDomHdr,0))+0,0)</f>
        <v/>
      </c>
      <c r="AU16" s="13">
        <f>IFERROR(INDEX(PDomVal,AU$3,MATCH("mit.vatrate."&amp;$A16,PDomHdr,0))+0,0)</f>
        <v/>
      </c>
      <c r="AV16" s="13">
        <f>IFERROR(INDEX(PDomVal,AV$3,MATCH("mit.vatrate."&amp;$A16,PDomHdr,0))+0,0)</f>
        <v/>
      </c>
      <c r="AW16" s="13">
        <f>IF($AO16=1,$P16*AW$5,$AS16)</f>
        <v/>
      </c>
      <c r="AX16" s="13">
        <f>IF($AP16=1,$P16*AX$5,$AT16)</f>
        <v/>
      </c>
      <c r="AY16" s="13">
        <f>IF($AQ16=1,$P16*AY$5,$AU16)</f>
        <v/>
      </c>
      <c r="AZ16" s="13">
        <f>IF($AR16=1,$P16*AZ$5,$AV16)</f>
        <v/>
      </c>
    </row>
    <row r="17">
      <c r="A17" s="101" t="inlineStr">
        <is>
          <t>oop.all</t>
        </is>
      </c>
      <c r="B17" s="101" t="inlineStr">
        <is>
          <t>Other oil products, All</t>
        </is>
      </c>
      <c r="C17" s="101" t="inlineStr">
        <is>
          <t>oop</t>
        </is>
      </c>
      <c r="D17" s="101" t="inlineStr">
        <is>
          <t>all</t>
        </is>
      </c>
      <c r="E17" s="26" t="n">
        <v>11</v>
      </c>
      <c r="F17" s="26" t="n">
        <v>1</v>
      </c>
      <c r="G17" s="35">
        <f>INDEX(Mapping!$G$30:$G$37,MATCH($C17,FuelKey,0))</f>
        <v/>
      </c>
      <c r="H17" s="26" t="n">
        <v>0</v>
      </c>
      <c r="I17" s="104">
        <f>IFERROR(INDEX(PDomVal,PDomBase,MATCH("mit.ps."&amp;$A17,PDomHdr,0))+0,0)</f>
        <v/>
      </c>
      <c r="J17" s="24">
        <f>IF($I17&lt;=0.25,0,IF($I17&lt;=0.5,0.5,1))</f>
        <v/>
      </c>
      <c r="K17" s="24">
        <f>IF(LEFT(Settings!$C$9,6)="Manual",0.8,IF(LEFT(Settings!$C$9,4)="None",1,$J17))</f>
        <v/>
      </c>
      <c r="L17" s="105">
        <f>IFERROR(INDEX(PDomVal,PDomBase,MATCH("mit.mar."&amp;$A17,PDomHdr,0))+0,0)</f>
        <v/>
      </c>
      <c r="M17" s="101" t="n">
        <v>0</v>
      </c>
      <c r="N17" s="35">
        <f>INDEX($U$4:$X$4,MATCH(Settings!$C$7,$U$6:$X$6,0))</f>
        <v/>
      </c>
      <c r="O17" s="35">
        <f>($L17+$J17*$M17)*$N17/$G17</f>
        <v/>
      </c>
      <c r="P17" s="102" t="n">
        <v>1</v>
      </c>
      <c r="Q17" s="103">
        <f>$P17*INDEX($AW$5:$AZ$5,MATCH(Settings!$C$10,$AW$6:$AZ$6,0))</f>
        <v/>
      </c>
      <c r="R17" s="13">
        <f>INDEX($AW17:$AZ17,MATCH(Settings!$C$10,$AW$6:$AZ$6,0))</f>
        <v/>
      </c>
      <c r="S17" s="35">
        <f>INDEX($U17:$X17,MATCH(Settings!$C$10,$U$6:$X$6,0))</f>
        <v/>
      </c>
      <c r="T17" s="35">
        <f>INDEX($Y17:$AB17,MATCH(Settings!$C$10,$Y$6:$AB$6,0))</f>
        <v/>
      </c>
      <c r="U17" s="35">
        <f>$AG17*U$4/$G17</f>
        <v/>
      </c>
      <c r="V17" s="35">
        <f>$AH17*V$4/$G17</f>
        <v/>
      </c>
      <c r="W17" s="35">
        <f>$AI17*W$4/$G17</f>
        <v/>
      </c>
      <c r="X17" s="35">
        <f>$AJ17*X$4/$G17</f>
        <v/>
      </c>
      <c r="Y17" s="35">
        <f>IF($H17=1,$AC17/(1+$AW17)-$AG17,$AK17)*Y$4/$G17</f>
        <v/>
      </c>
      <c r="Z17" s="35">
        <f>IF($H17=1,$AD17/(1+$AX17)-$AH17,$AL17)*Z$4/$G17</f>
        <v/>
      </c>
      <c r="AA17" s="35">
        <f>IF($H17=1,$AE17/(1+$AY17)-$AI17,$AM17)*AA$4/$G17</f>
        <v/>
      </c>
      <c r="AB17" s="35">
        <f>IF($H17=1,$AF17/(1+$AZ17)-$AJ17,$AN17)*AB$4/$G17</f>
        <v/>
      </c>
      <c r="AC17" s="35">
        <f>IFERROR(INDEX(PDomVal,AC$3,MATCH("mit.rp."&amp;$A17,PDomHdr,0))+0,0)</f>
        <v/>
      </c>
      <c r="AD17" s="35">
        <f>IFERROR(INDEX(PDomVal,AD$3,MATCH("mit.rp."&amp;$A17,PDomHdr,0))+0,0)</f>
        <v/>
      </c>
      <c r="AE17" s="35">
        <f>IFERROR(INDEX(PDomVal,AE$3,MATCH("mit.rp."&amp;$A17,PDomHdr,0))+0,0)</f>
        <v/>
      </c>
      <c r="AF17" s="35">
        <f>IFERROR(INDEX(PDomVal,AF$3,MATCH("mit.rp."&amp;$A17,PDomHdr,0))+0,0)</f>
        <v/>
      </c>
      <c r="AG17" s="35">
        <f>IFERROR(INDEX(PDomVal,AG$3,MATCH("mit.sp."&amp;$A17,PDomHdr,0))+0,0)</f>
        <v/>
      </c>
      <c r="AH17" s="35">
        <f>IFERROR(INDEX(PDomVal,AH$3,MATCH("mit.sp."&amp;$A17,PDomHdr,0))+0,0)</f>
        <v/>
      </c>
      <c r="AI17" s="35">
        <f>IFERROR(INDEX(PDomVal,AI$3,MATCH("mit.sp."&amp;$A17,PDomHdr,0))+0,0)</f>
        <v/>
      </c>
      <c r="AJ17" s="35">
        <f>IFERROR(INDEX(PDomVal,AJ$3,MATCH("mit.sp."&amp;$A17,PDomHdr,0))+0,0)</f>
        <v/>
      </c>
      <c r="AK17" s="35">
        <f>IFERROR(INDEX(PDomVal,AK$3,MATCH("mit.txo."&amp;$A17,PDomHdr,0))+0,0)</f>
        <v/>
      </c>
      <c r="AL17" s="35">
        <f>IFERROR(INDEX(PDomVal,AL$3,MATCH("mit.txo."&amp;$A17,PDomHdr,0))+0,0)</f>
        <v/>
      </c>
      <c r="AM17" s="35">
        <f>IFERROR(INDEX(PDomVal,AM$3,MATCH("mit.txo."&amp;$A17,PDomHdr,0))+0,0)</f>
        <v/>
      </c>
      <c r="AN17" s="35">
        <f>IFERROR(INDEX(PDomVal,AN$3,MATCH("mit.txo."&amp;$A17,PDomHdr,0))+0,0)</f>
        <v/>
      </c>
      <c r="AO17" s="10">
        <f>IF(IFERROR(ISBLANK(INDEX(PDomVal,AO$3,MATCH("mit.vatrate."&amp;$A17,PDomHdr,0))),TRUE),1,0)</f>
        <v/>
      </c>
      <c r="AP17" s="10">
        <f>IF(IFERROR(ISBLANK(INDEX(PDomVal,AP$3,MATCH("mit.vatrate."&amp;$A17,PDomHdr,0))),TRUE),1,0)</f>
        <v/>
      </c>
      <c r="AQ17" s="10">
        <f>IF(IFERROR(ISBLANK(INDEX(PDomVal,AQ$3,MATCH("mit.vatrate."&amp;$A17,PDomHdr,0))),TRUE),1,0)</f>
        <v/>
      </c>
      <c r="AR17" s="10">
        <f>IF(IFERROR(ISBLANK(INDEX(PDomVal,AR$3,MATCH("mit.vatrate."&amp;$A17,PDomHdr,0))),TRUE),1,0)</f>
        <v/>
      </c>
      <c r="AS17" s="13">
        <f>IFERROR(INDEX(PDomVal,AS$3,MATCH("mit.vatrate."&amp;$A17,PDomHdr,0))+0,0)</f>
        <v/>
      </c>
      <c r="AT17" s="13">
        <f>IFERROR(INDEX(PDomVal,AT$3,MATCH("mit.vatrate."&amp;$A17,PDomHdr,0))+0,0)</f>
        <v/>
      </c>
      <c r="AU17" s="13">
        <f>IFERROR(INDEX(PDomVal,AU$3,MATCH("mit.vatrate."&amp;$A17,PDomHdr,0))+0,0)</f>
        <v/>
      </c>
      <c r="AV17" s="13">
        <f>IFERROR(INDEX(PDomVal,AV$3,MATCH("mit.vatrate."&amp;$A17,PDomHdr,0))+0,0)</f>
        <v/>
      </c>
      <c r="AW17" s="13">
        <f>IF($AO17=1,$P17*AW$5,$AS17)</f>
        <v/>
      </c>
      <c r="AX17" s="13">
        <f>IF($AP17=1,$P17*AX$5,$AT17)</f>
        <v/>
      </c>
      <c r="AY17" s="13">
        <f>IF($AQ17=1,$P17*AY$5,$AU17)</f>
        <v/>
      </c>
      <c r="AZ17" s="13">
        <f>IF($AR17=1,$P17*AZ$5,$AV17)</f>
        <v/>
      </c>
    </row>
    <row r="18">
      <c r="A18" s="101" t="inlineStr">
        <is>
          <t>bio.all</t>
        </is>
      </c>
      <c r="B18" s="101" t="inlineStr">
        <is>
          <t>Biomass, All</t>
        </is>
      </c>
      <c r="C18" s="101" t="inlineStr">
        <is>
          <t>bio</t>
        </is>
      </c>
      <c r="D18" s="101" t="inlineStr">
        <is>
          <t>all</t>
        </is>
      </c>
      <c r="E18" s="26" t="n">
        <v>12</v>
      </c>
      <c r="F18" s="26" t="n">
        <v>4</v>
      </c>
      <c r="G18" s="35">
        <f>INDEX(Mapping!$G$30:$G$37,MATCH($C18,FuelKey,0))</f>
        <v/>
      </c>
      <c r="H18" s="26" t="n">
        <v>1</v>
      </c>
      <c r="I18" s="25" t="n">
        <v>1</v>
      </c>
      <c r="J18" s="24">
        <f>IF($I18&lt;=0.25,0,IF($I18&lt;=0.5,0.5,1))</f>
        <v/>
      </c>
      <c r="K18" s="24">
        <f>IF(LEFT(Settings!$C$9,6)="Manual",0.8,IF(LEFT(Settings!$C$9,4)="None",1,$J18))</f>
        <v/>
      </c>
      <c r="L18" s="101" t="n">
        <v>0</v>
      </c>
      <c r="M18" s="101" t="n">
        <v>0</v>
      </c>
      <c r="N18" s="35">
        <f>INDEX($U$4:$X$4,MATCH(Settings!$C$7,$U$6:$X$6,0))</f>
        <v/>
      </c>
      <c r="O18" s="35">
        <f>($L18+$J18*$M18)*$N18/$G18</f>
        <v/>
      </c>
      <c r="P18" s="102" t="n">
        <v>0</v>
      </c>
      <c r="Q18" s="103">
        <f>$P18*INDEX($AW$5:$AZ$5,MATCH(Settings!$C$10,$AW$6:$AZ$6,0))</f>
        <v/>
      </c>
      <c r="R18" s="13">
        <f>INDEX($AW18:$AZ18,MATCH(Settings!$C$10,$AW$6:$AZ$6,0))</f>
        <v/>
      </c>
      <c r="S18" s="35">
        <f>INDEX($U18:$X18,MATCH(Settings!$C$10,$U$6:$X$6,0))</f>
        <v/>
      </c>
      <c r="T18" s="35">
        <f>INDEX($Y18:$AB18,MATCH(Settings!$C$10,$Y$6:$AB$6,0))</f>
        <v/>
      </c>
      <c r="U18" s="35">
        <f>$AG18*U$4/$G18</f>
        <v/>
      </c>
      <c r="V18" s="35">
        <f>$AH18*V$4/$G18</f>
        <v/>
      </c>
      <c r="W18" s="35">
        <f>$AI18*W$4/$G18</f>
        <v/>
      </c>
      <c r="X18" s="35">
        <f>$AJ18*X$4/$G18</f>
        <v/>
      </c>
      <c r="Y18" s="35">
        <f>IF($H18=1,$AC18/(1+$AW18)-$AG18,$AK18)*Y$4/$G18</f>
        <v/>
      </c>
      <c r="Z18" s="35">
        <f>IF($H18=1,$AD18/(1+$AX18)-$AH18,$AL18)*Z$4/$G18</f>
        <v/>
      </c>
      <c r="AA18" s="35">
        <f>IF($H18=1,$AE18/(1+$AY18)-$AI18,$AM18)*AA$4/$G18</f>
        <v/>
      </c>
      <c r="AB18" s="35">
        <f>IF($H18=1,$AF18/(1+$AZ18)-$AJ18,$AN18)*AB$4/$G18</f>
        <v/>
      </c>
      <c r="AC18" s="35">
        <f>IFERROR(INDEX(PDomVal,AC$3,MATCH("mit.rp."&amp;$A18,PDomHdr,0))+0,0)</f>
        <v/>
      </c>
      <c r="AD18" s="35">
        <f>IFERROR(INDEX(PDomVal,AD$3,MATCH("mit.rp."&amp;$A18,PDomHdr,0))+0,0)</f>
        <v/>
      </c>
      <c r="AE18" s="35">
        <f>IFERROR(INDEX(PDomVal,AE$3,MATCH("mit.rp."&amp;$A18,PDomHdr,0))+0,0)</f>
        <v/>
      </c>
      <c r="AF18" s="35">
        <f>IFERROR(INDEX(PDomVal,AF$3,MATCH("mit.rp."&amp;$A18,PDomHdr,0))+0,0)</f>
        <v/>
      </c>
      <c r="AG18" s="35">
        <f>IFERROR(INDEX(PDomVal,AG$3,MATCH("mit.sp."&amp;$A18,PDomHdr,0))+0,0)</f>
        <v/>
      </c>
      <c r="AH18" s="35">
        <f>IFERROR(INDEX(PDomVal,AH$3,MATCH("mit.sp."&amp;$A18,PDomHdr,0))+0,0)</f>
        <v/>
      </c>
      <c r="AI18" s="35">
        <f>IFERROR(INDEX(PDomVal,AI$3,MATCH("mit.sp."&amp;$A18,PDomHdr,0))+0,0)</f>
        <v/>
      </c>
      <c r="AJ18" s="35">
        <f>IFERROR(INDEX(PDomVal,AJ$3,MATCH("mit.sp."&amp;$A18,PDomHdr,0))+0,0)</f>
        <v/>
      </c>
      <c r="AK18" s="35">
        <f>IFERROR(INDEX(PDomVal,AK$3,MATCH("mit.txo."&amp;$A18,PDomHdr,0))+0,0)</f>
        <v/>
      </c>
      <c r="AL18" s="35">
        <f>IFERROR(INDEX(PDomVal,AL$3,MATCH("mit.txo."&amp;$A18,PDomHdr,0))+0,0)</f>
        <v/>
      </c>
      <c r="AM18" s="35">
        <f>IFERROR(INDEX(PDomVal,AM$3,MATCH("mit.txo."&amp;$A18,PDomHdr,0))+0,0)</f>
        <v/>
      </c>
      <c r="AN18" s="35">
        <f>IFERROR(INDEX(PDomVal,AN$3,MATCH("mit.txo."&amp;$A18,PDomHdr,0))+0,0)</f>
        <v/>
      </c>
      <c r="AO18" s="10">
        <f>IF(IFERROR(ISBLANK(INDEX(PDomVal,AO$3,MATCH("mit.vatrate."&amp;$A18,PDomHdr,0))),TRUE),1,0)</f>
        <v/>
      </c>
      <c r="AP18" s="10">
        <f>IF(IFERROR(ISBLANK(INDEX(PDomVal,AP$3,MATCH("mit.vatrate."&amp;$A18,PDomHdr,0))),TRUE),1,0)</f>
        <v/>
      </c>
      <c r="AQ18" s="10">
        <f>IF(IFERROR(ISBLANK(INDEX(PDomVal,AQ$3,MATCH("mit.vatrate."&amp;$A18,PDomHdr,0))),TRUE),1,0)</f>
        <v/>
      </c>
      <c r="AR18" s="10">
        <f>IF(IFERROR(ISBLANK(INDEX(PDomVal,AR$3,MATCH("mit.vatrate."&amp;$A18,PDomHdr,0))),TRUE),1,0)</f>
        <v/>
      </c>
      <c r="AS18" s="13">
        <f>IFERROR(INDEX(PDomVal,AS$3,MATCH("mit.vatrate."&amp;$A18,PDomHdr,0))+0,0)</f>
        <v/>
      </c>
      <c r="AT18" s="13">
        <f>IFERROR(INDEX(PDomVal,AT$3,MATCH("mit.vatrate."&amp;$A18,PDomHdr,0))+0,0)</f>
        <v/>
      </c>
      <c r="AU18" s="13">
        <f>IFERROR(INDEX(PDomVal,AU$3,MATCH("mit.vatrate."&amp;$A18,PDomHdr,0))+0,0)</f>
        <v/>
      </c>
      <c r="AV18" s="13">
        <f>IFERROR(INDEX(PDomVal,AV$3,MATCH("mit.vatrate."&amp;$A18,PDomHdr,0))+0,0)</f>
        <v/>
      </c>
      <c r="AW18" s="13">
        <f>IF($AO18=1,$P18*AW$5,$AS18)</f>
        <v/>
      </c>
      <c r="AX18" s="13">
        <f>IF($AP18=1,$P18*AX$5,$AT18)</f>
        <v/>
      </c>
      <c r="AY18" s="13">
        <f>IF($AQ18=1,$P18*AY$5,$AU18)</f>
        <v/>
      </c>
      <c r="AZ18" s="13">
        <f>IF($AR18=1,$P18*AZ$5,$AV18)</f>
        <v/>
      </c>
    </row>
    <row r="20">
      <c r="A20" s="14" t="inlineStr">
        <is>
          <t>Units: $/GJ in real USD of ResultsYear (Settings C8). Data (Prices_dom) are nominal USD per price unit ($/GJ coal, gas, biomass; $/liter gasoline, diesel, LPG, kerosene; $/bbl other oil products): x CPI index of the data year (row 3) / GJ per price unit.</t>
        </is>
      </c>
    </row>
    <row r="21">
      <c r="A21" s="14" t="inlineStr">
        <is>
          <t>Historical excise and other taxes (legacy): coal, gas, biomass = retail price / (1 + VAT rate) - supply cost; oil products = txo of the dataset (legacy builds their retail price as sp + txo, x (1 + VAT rate)).</t>
        </is>
      </c>
    </row>
    <row r="22">
      <c r="A22" s="14" t="inlineStr">
        <is>
          <t>Pass-through: raw = mit.ps of the base year (blank = 0; biomass = 1); bucketed: &lt;= 0.25 -&gt; 0, &lt;= 0.5 -&gt; 0.5, else 1; chosen: Bucketed (default), Manual = 0.8, None = 1.</t>
        </is>
      </c>
    </row>
    <row r="23">
      <c r="A23" s="14" t="inlineStr">
        <is>
          <t>fixsp = (margin + bucketed pass-through x domestic production cost [coal, gas]) x CPI index of the base year / GJ per unit; margin of biomass = 0 (legacy hardcode).</t>
        </is>
      </c>
    </row>
    <row r="24">
      <c r="A24" s="14" t="inlineStr">
        <is>
          <t>BRIGHT YELLOW / RED = DATA CHANGED BY ASSUMPTION (v0.10, user decisions): (1) other oil products take pass-through and margin from the dataset like the other oil products (legacy hardcodes 1 and 0; Egypt: pass-through 0, margin 7.95 $/bbl); (2) VAT rate: the dataset rate where it is filled, otherwise the general VAT rate VAT_WEO for residential coal and gas and all-sector oil products, 0 for power, industry and biomass. v0.14: the corrected Egypt block fills every VAT cell (explicit 0 for gas and oil products, 14% residential coal; any VAT sits inside txo), so the assumption no longer applies to Egypt.</t>
        </is>
      </c>
    </row>
    <row r="25">
      <c r="A25" s="14" t="inlineStr">
        <is>
          <t>VAT rate used = dataset mit.vatrate wherever the cell is filled, explicit 0 included; the assumption only for blank cells (same rule for each historical year).</t>
        </is>
      </c>
    </row>
  </sheetData>
  <pageMargins left="0.75" right="0.75" top="1" bottom="1" header="0.5" footer="0.5"/>
</worksheet>
</file>

<file path=xl/worksheets/sheet14.xml><?xml version="1.0" encoding="utf-8"?>
<worksheet xmlns="http://schemas.openxmlformats.org/spreadsheetml/2006/main">
  <sheetPr codeName="Sheet14">
    <outlinePr summaryBelow="1" summaryRight="1"/>
    <pageSetUpPr/>
  </sheetPr>
  <dimension ref="A2:AW65"/>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12" customWidth="1" min="1" max="1"/>
    <col width="18"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 width="11" customWidth="1" min="28" max="28"/>
    <col width="11" customWidth="1" min="29" max="29"/>
    <col width="11" customWidth="1" min="30" max="30"/>
    <col width="11" customWidth="1" min="31" max="31"/>
    <col width="11" customWidth="1" min="32" max="32"/>
    <col width="11" customWidth="1" min="33" max="33"/>
    <col width="11" customWidth="1" min="34" max="34"/>
    <col width="11" customWidth="1" min="35" max="35"/>
    <col width="11" customWidth="1" min="36" max="36"/>
    <col width="11" customWidth="1" min="37" max="37"/>
    <col width="11" customWidth="1" min="38" max="38"/>
    <col width="11" customWidth="1" min="39" max="39"/>
    <col width="11" customWidth="1" min="40" max="40"/>
    <col width="11" customWidth="1" min="41" max="41"/>
    <col width="11" customWidth="1" min="42" max="42"/>
    <col width="11" customWidth="1" min="43" max="43"/>
    <col width="11" customWidth="1" min="44" max="44"/>
    <col width="11" customWidth="1" min="45" max="45"/>
    <col width="11" customWidth="1" min="46" max="46"/>
    <col width="11" customWidth="1" min="47" max="47"/>
    <col width="11" customWidth="1" min="48" max="48"/>
    <col width="11" customWidth="1" min="49" max="49"/>
  </cols>
  <sheetData>
    <row r="2">
      <c r="A2" s="2" t="inlineStr">
        <is>
          <t>Inputs by generation type and end-user group (data step for section 3; no calculations of results)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row>
    <row r="3">
      <c r="A3" s="14" t="inlineStr">
        <is>
          <t>One row per generation type (PowerTech data, legacy order) and derived constants; below, one row per end-user group. Mitigation section 3 reads these columns in its hidden parameter columns D:G.</t>
        </is>
      </c>
    </row>
    <row r="4" ht="96" customHeight="1">
      <c r="A4" s="90" t="inlineStr">
        <is>
          <t>Generation type (code)</t>
        </is>
      </c>
      <c r="B4" s="90" t="inlineStr">
        <is>
          <t>Name</t>
        </is>
      </c>
      <c r="C4" s="90" t="inlineStr">
        <is>
          <t>Capital cost at capex time factor 1 ($/kW, real)</t>
        </is>
      </c>
      <c r="D4" s="90" t="inlineStr">
        <is>
          <t>Lifetime N (years)</t>
        </is>
      </c>
      <c r="E4" s="90" t="inlineStr">
        <is>
          <t>Efficiency (NCV)</t>
        </is>
      </c>
      <c r="F4" s="90" t="inlineStr">
        <is>
          <t>Capacity factor</t>
        </is>
      </c>
      <c r="G4" s="90" t="inlineStr">
        <is>
          <t>WACC (country + technology premium)</t>
        </is>
      </c>
      <c r="H4" s="90" t="inlineStr">
        <is>
          <t>Decommissioning cost ($/kW)</t>
        </is>
      </c>
      <c r="I4" s="90" t="inlineStr">
        <is>
          <t>Transmission capex, levelised ($/kW)</t>
        </is>
      </c>
      <c r="J4" s="90" t="inlineStr">
        <is>
          <t>Fixed O&amp;M ($/kWh)</t>
        </is>
      </c>
      <c r="K4" s="90" t="inlineStr">
        <is>
          <t>Variable O&amp;M ($/kWh)</t>
        </is>
      </c>
      <c r="L4" s="90" t="inlineStr">
        <is>
          <t>Fixed fuel cost ($/kWh; nuclear)</t>
        </is>
      </c>
      <c r="M4" s="90" t="inlineStr">
        <is>
          <t>Renewable subsidy ($/kWh; negative = subsidy)</t>
        </is>
      </c>
      <c r="N4" s="90" t="inlineStr">
        <is>
          <t>Price fuel (section 2 price code; blank = no fuel)</t>
        </is>
      </c>
      <c r="O4" s="90" t="inlineStr">
        <is>
          <t>Carries the storage cost (VRE flag: wind, solar, other renewables)</t>
        </is>
      </c>
      <c r="P4" s="90" t="inlineStr">
        <is>
          <t>Counts in the VRE share (wind, solar; legacy row 3907)</t>
        </is>
      </c>
      <c r="Q4" s="90" t="inlineStr">
        <is>
          <t>Discounted lifetime dlf = (1 - (1+wacc)^-N) / (1 - (1+wacc)^-1)</t>
        </is>
      </c>
      <c r="R4" s="90" t="inlineStr">
        <is>
          <t>Amortised capex factor (1/N + wacc/2) / (cf x 8,760)</t>
        </is>
      </c>
      <c r="S4" s="90" t="inlineStr">
        <is>
          <t>Other amortised fixed cost: dtc / N / (cf x 8,760) + fixed O&amp;M ($/kWh)</t>
        </is>
      </c>
      <c r="T4" s="90" t="inlineStr">
        <is>
          <t>Levelised capex factor 1 / (cf x 8,760 x dlf)</t>
        </is>
      </c>
      <c r="U4" s="90" t="inlineStr">
        <is>
          <t>Other levelised fixed cost: (dtc + tcx) x levelised factor + fixed O&amp;M + subsidy ($/kWh)</t>
        </is>
      </c>
      <c r="V4" s="90" t="inlineStr">
        <is>
          <t>Variable O&amp;M + fixed fuel cost ($/kWh)</t>
        </is>
      </c>
      <c r="W4" s="90" t="inlineStr">
        <is>
          <t>Fuel per kWh: 0.0036 / efficiency (GJ/kWh; 0 without a price fuel)</t>
        </is>
      </c>
      <c r="X4" s="90" t="inlineStr">
        <is>
          <t>Price position (section 2 row; 1 without a price fuel)</t>
        </is>
      </c>
      <c r="Y4" s="90" t="inlineStr">
        <is>
          <t>EF (tCO2/GJ; power sector)</t>
        </is>
      </c>
      <c r="Z4" s="90" t="inlineStr">
        <is>
          <t>Carbon intensity EF x GJ per kWh (tCO2/kWh)</t>
        </is>
      </c>
      <c r="AA4" s="90" t="inlineStr">
        <is>
          <t>Fuel position (carbon-tax coverage)</t>
        </is>
      </c>
      <c r="AB4" s="90" t="inlineStr">
        <is>
          <t>Price-fuel position (fuel price reform)</t>
        </is>
      </c>
      <c r="AC4" s="90" t="inlineStr">
        <is>
          <t>GJ per price unit</t>
        </is>
      </c>
      <c r="AD4" s="90" t="inlineStr">
        <is>
          <t>Fuel price reform per kWh: GJ per kWh / GJ per price unit (0 without a price fuel)</t>
        </is>
      </c>
      <c r="AE4" s="90" t="inlineStr">
        <is>
          <t>Base-year capacity, nameplate (MW)</t>
        </is>
      </c>
      <c r="AF4" s="90" t="inlineStr">
        <is>
          <t>Base-year generation (MWy)</t>
        </is>
      </c>
      <c r="AG4" s="90" t="inlineStr">
        <is>
          <t>Retirement rate (1 / lifetime; hydro 0)</t>
        </is>
      </c>
      <c r="AH4" s="90" t="inlineStr">
        <is>
          <t>New investment permitted (Yes / No)</t>
        </is>
      </c>
      <c r="AI4" s="90" t="inlineStr">
        <is>
          <t>Permitted from year</t>
        </is>
      </c>
      <c r="AJ4" s="90" t="inlineStr">
        <is>
          <t>Scale-up limit: maximum effective investment as a share of effective capacity</t>
        </is>
      </c>
      <c r="AK4" s="90" t="inlineStr">
        <is>
          <t>Dispatch type (cg = coal or gas, filled by the logit; fixed = capacity x capacity factor)</t>
        </is>
      </c>
      <c r="AL4" s="90" t="inlineStr">
        <is>
          <t>Planned retirement data used? (Yes / No; data rows PowerPaths pret|&lt;type&gt;)</t>
        </is>
      </c>
      <c r="AM4" s="90" t="inlineStr">
        <is>
          <t>Planned retirement used (1 / 0)</t>
        </is>
      </c>
      <c r="AN4" s="90" t="inlineStr">
        <is>
          <t>Coal or gas (1 / 0)</t>
        </is>
      </c>
      <c r="AO4" s="90" t="inlineStr">
        <is>
          <t>Early-retirement type: coal (1 / 0)</t>
        </is>
      </c>
      <c r="AP4" s="90" t="inlineStr">
        <is>
          <t>Nameplate MW per effective MW (1 / capacity factor)</t>
        </is>
      </c>
      <c r="AQ4" s="90" t="inlineStr">
        <is>
          <t>Base-year generation share</t>
        </is>
      </c>
      <c r="AR4" s="90" t="inlineStr">
        <is>
          <t>Fuel use per generation: 8.76 / GWh per ktoe / efficiency (ktoe per MWy)</t>
        </is>
      </c>
      <c r="AS4" s="90" t="inlineStr">
        <is>
          <t>CO2 per fuel use: EF x PJ per ktoe (MtCO2 per ktoe)</t>
        </is>
      </c>
      <c r="AT4" s="90" t="inlineStr">
        <is>
          <t>Tie breaker for the cost ranking (legacy L11)</t>
        </is>
      </c>
      <c r="AU4" s="90" t="inlineStr">
        <is>
          <t>Existing carbon tax coverage: power x fuel share (sheet ECP; 0 without a fuel)</t>
        </is>
      </c>
      <c r="AV4" s="90" t="inlineStr">
        <is>
          <t>Existing ETS coverage: power x fuel share (sheet ECP; 0 without a fuel)</t>
        </is>
      </c>
      <c r="AW4" s="90" t="inlineStr">
        <is>
          <t>Fuel of the sector model (1 / 0): its fuel use counts in the fuel totals (section 11)</t>
        </is>
      </c>
    </row>
    <row r="5">
      <c r="A5" s="53" t="inlineStr">
        <is>
          <t>coa</t>
        </is>
      </c>
      <c r="B5" s="45">
        <f>INDEX(PTechVal,MATCH($A5,PTechKey,0),MATCH("name",PTechHdr,0))&amp;""</f>
        <v/>
      </c>
      <c r="C5" s="44">
        <f>INDEX(PTechVal,MATCH($A5,PTechKey,0),MATCH("cax0_usd_per_kw",PTechHdr,0))</f>
        <v/>
      </c>
      <c r="D5" s="10">
        <f>INDEX(PTechVal,MATCH($A5,PTechKey,0),MATCH("life_years",PTechHdr,0))</f>
        <v/>
      </c>
      <c r="E5" s="35">
        <f>INDEX(PTechVal,MATCH($A5,PTechKey,0),MATCH("efficiency",PTechHdr,0))</f>
        <v/>
      </c>
      <c r="F5" s="35">
        <f>INDEX(PTechVal,MATCH($A5,PTechKey,0),MATCH("capacity_factor",PTechHdr,0))</f>
        <v/>
      </c>
      <c r="G5" s="13">
        <f>INDEX(PTechVal,MATCH($A5,PTechKey,0),MATCH("wacc",PTechHdr,0))</f>
        <v/>
      </c>
      <c r="H5" s="45">
        <f>INDEX(PTechVal,MATCH($A5,PTechKey,0),MATCH("dtc_usd_per_kw",PTechHdr,0))</f>
        <v/>
      </c>
      <c r="I5" s="45">
        <f>INDEX(PTechVal,MATCH($A5,PTechKey,0),MATCH("tcx_usd_per_kw",PTechHdr,0))</f>
        <v/>
      </c>
      <c r="J5" s="45">
        <f>INDEX(PTechVal,MATCH($A5,PTechKey,0),MATCH("opf_usd_per_kwh",PTechHdr,0))</f>
        <v/>
      </c>
      <c r="K5" s="45">
        <f>INDEX(PTechVal,MATCH($A5,PTechKey,0),MATCH("vop_usd_per_kwh",PTechHdr,0))</f>
        <v/>
      </c>
      <c r="L5" s="45">
        <f>INDEX(PTechVal,MATCH($A5,PTechKey,0),MATCH("fuel_fixed_usd_per_kwh",PTechHdr,0))</f>
        <v/>
      </c>
      <c r="M5" s="45">
        <f>INDEX(PTechVal,MATCH($A5,PTechKey,0),MATCH("rns_usd_per_kwh",PTechHdr,0))</f>
        <v/>
      </c>
      <c r="N5" s="45">
        <f>INDEX(PTechVal,MATCH($A5,PTechKey,0),MATCH("price_code",PTechHdr,0))&amp;""</f>
        <v/>
      </c>
      <c r="O5" s="10">
        <f>INDEX(PTechVal,MATCH($A5,PTechKey,0),MATCH("vre",PTechHdr,0))</f>
        <v/>
      </c>
      <c r="P5" s="10">
        <f>INDEX(PTechVal,MATCH($A5,PTechKey,0),MATCH("vre_share",PTechHdr,0))</f>
        <v/>
      </c>
      <c r="Q5" s="35">
        <f>(1-(1+$G5)^-$D5)/(1-(1+$G5)^-1)</f>
        <v/>
      </c>
      <c r="R5" s="45">
        <f>(1/$D5+$G5/2)/($F5*8760)</f>
        <v/>
      </c>
      <c r="S5" s="45">
        <f>$H5/$D5/($F5*8760)+$J5</f>
        <v/>
      </c>
      <c r="T5" s="45">
        <f>1/($F5*8760*$Q5)</f>
        <v/>
      </c>
      <c r="U5" s="45">
        <f>($H5+$I5)*$T5+$J5+$M5</f>
        <v/>
      </c>
      <c r="V5" s="45">
        <f>$K5+$L5</f>
        <v/>
      </c>
      <c r="W5" s="45">
        <f>IF($N5="",0,0.0036/$E5)</f>
        <v/>
      </c>
      <c r="X5" s="10">
        <f>IF($N5="",1,INDEX(Inputs_prices!$E$7:$E$18,MATCH($N5,Inputs_prices!$A$7:$A$18,0)))</f>
        <v/>
      </c>
      <c r="Y5" s="45">
        <f>IFERROR(INDEX(EFVal,MATCH(Settings!$C$4&amp;"|"&amp;$A5&amp;"|pow",EFKey,0)),0)</f>
        <v/>
      </c>
      <c r="Z5" s="45">
        <f>$Y5*$W5</f>
        <v/>
      </c>
      <c r="AA5" s="10">
        <f>IF($N5="",1,INDEX(Mapping!$H$30:$H$37,MATCH($A5,FuelKey,0)))</f>
        <v/>
      </c>
      <c r="AB5" s="10">
        <f>IF($N5="",1,INDEX(Mapping!$E$50:$E$63,MATCH($N5,Mapping!$A$50:$A$63,0)))</f>
        <v/>
      </c>
      <c r="AC5" s="24">
        <f>IF($N5="",1,INDEX(Mapping!$G$30:$G$37,MATCH($A5,FuelKey,0)))</f>
        <v/>
      </c>
      <c r="AD5" s="45">
        <f>$W5/$AC5</f>
        <v/>
      </c>
      <c r="AE5" s="47">
        <f>INDEX(PTechVal,MATCH($A5,PTechKey,0),MATCH("cap0_mw",PTechHdr,0))</f>
        <v/>
      </c>
      <c r="AF5" s="47">
        <f>INDEX(PTechVal,MATCH($A5,PTechKey,0),MATCH("gen0_mwy",PTechHdr,0))</f>
        <v/>
      </c>
      <c r="AG5" s="45">
        <f>INDEX(PTechVal,MATCH($A5,PTechKey,0),MATCH("retire_rate",PTechHdr,0))</f>
        <v/>
      </c>
      <c r="AH5" s="38">
        <f>INDEX(PTechVal,MATCH($A5,PTechKey,0),MATCH("invest_permitted",PTechHdr,0))&amp;""</f>
        <v/>
      </c>
      <c r="AI5" s="10">
        <f>INDEX(PTechVal,MATCH($A5,PTechKey,0),MATCH("invest_start",PTechHdr,0))</f>
        <v/>
      </c>
      <c r="AJ5" s="13">
        <f>INDEX(PTechVal,MATCH($A5,PTechKey,0),MATCH("scaleup_rate",PTechHdr,0))</f>
        <v/>
      </c>
      <c r="AK5" s="38">
        <f>INDEX(PTechVal,MATCH($A5,PTechKey,0),MATCH("dispatch",PTechHdr,0))&amp;""</f>
        <v/>
      </c>
      <c r="AL5" s="38">
        <f>INDEX(PTechVal,MATCH($A5,PTechKey,0),MATCH("planned_retirement",PTechHdr,0))&amp;""</f>
        <v/>
      </c>
      <c r="AM5" s="10">
        <f>IF($AL5="Yes",1,0)</f>
        <v/>
      </c>
      <c r="AN5" s="10">
        <f>IF($AK5="cg",1,0)</f>
        <v/>
      </c>
      <c r="AO5" s="10">
        <f>IF($A5="coa",1,0)</f>
        <v/>
      </c>
      <c r="AP5" s="45">
        <f>1/$F5</f>
        <v/>
      </c>
      <c r="AQ5" s="13">
        <f>$AF5/SUM($AF$5:$AF$13)</f>
        <v/>
      </c>
      <c r="AR5" s="45">
        <f>8.76/INDEX(PParVal,MATCH("ktoe_gwh",PParKey,0))/$E5</f>
        <v/>
      </c>
      <c r="AS5" s="45">
        <f>$Y5*Settings!$C$13</f>
        <v/>
      </c>
      <c r="AT5" s="106">
        <f>0*1.356E-06</f>
        <v/>
      </c>
      <c r="AU5" s="35">
        <f>IFERROR(INDEX(ECPCov,MATCH("ecs."&amp;"pow",ECPKey,0))*INDEX(ECPCov,MATCH("ecf."&amp;$A5,ECPKey,0)),0)</f>
        <v/>
      </c>
      <c r="AV5" s="35">
        <f>IFERROR(INDEX(ECPCov,MATCH("ees."&amp;"pow",ECPKey,0))*INDEX(ECPCov,MATCH("eef."&amp;$A5,ECPKey,0)),0)</f>
        <v/>
      </c>
      <c r="AW5" s="10">
        <f>IF(ISNUMBER(MATCH($A5,FuelKey,0)),1,0)</f>
        <v/>
      </c>
    </row>
    <row r="6">
      <c r="A6" s="53" t="inlineStr">
        <is>
          <t>nga</t>
        </is>
      </c>
      <c r="B6" s="45">
        <f>INDEX(PTechVal,MATCH($A6,PTechKey,0),MATCH("name",PTechHdr,0))&amp;""</f>
        <v/>
      </c>
      <c r="C6" s="44">
        <f>INDEX(PTechVal,MATCH($A6,PTechKey,0),MATCH("cax0_usd_per_kw",PTechHdr,0))</f>
        <v/>
      </c>
      <c r="D6" s="10">
        <f>INDEX(PTechVal,MATCH($A6,PTechKey,0),MATCH("life_years",PTechHdr,0))</f>
        <v/>
      </c>
      <c r="E6" s="35">
        <f>INDEX(PTechVal,MATCH($A6,PTechKey,0),MATCH("efficiency",PTechHdr,0))</f>
        <v/>
      </c>
      <c r="F6" s="35">
        <f>INDEX(PTechVal,MATCH($A6,PTechKey,0),MATCH("capacity_factor",PTechHdr,0))</f>
        <v/>
      </c>
      <c r="G6" s="13">
        <f>INDEX(PTechVal,MATCH($A6,PTechKey,0),MATCH("wacc",PTechHdr,0))</f>
        <v/>
      </c>
      <c r="H6" s="45">
        <f>INDEX(PTechVal,MATCH($A6,PTechKey,0),MATCH("dtc_usd_per_kw",PTechHdr,0))</f>
        <v/>
      </c>
      <c r="I6" s="45">
        <f>INDEX(PTechVal,MATCH($A6,PTechKey,0),MATCH("tcx_usd_per_kw",PTechHdr,0))</f>
        <v/>
      </c>
      <c r="J6" s="45">
        <f>INDEX(PTechVal,MATCH($A6,PTechKey,0),MATCH("opf_usd_per_kwh",PTechHdr,0))</f>
        <v/>
      </c>
      <c r="K6" s="45">
        <f>INDEX(PTechVal,MATCH($A6,PTechKey,0),MATCH("vop_usd_per_kwh",PTechHdr,0))</f>
        <v/>
      </c>
      <c r="L6" s="45">
        <f>INDEX(PTechVal,MATCH($A6,PTechKey,0),MATCH("fuel_fixed_usd_per_kwh",PTechHdr,0))</f>
        <v/>
      </c>
      <c r="M6" s="45">
        <f>INDEX(PTechVal,MATCH($A6,PTechKey,0),MATCH("rns_usd_per_kwh",PTechHdr,0))</f>
        <v/>
      </c>
      <c r="N6" s="45">
        <f>INDEX(PTechVal,MATCH($A6,PTechKey,0),MATCH("price_code",PTechHdr,0))&amp;""</f>
        <v/>
      </c>
      <c r="O6" s="10">
        <f>INDEX(PTechVal,MATCH($A6,PTechKey,0),MATCH("vre",PTechHdr,0))</f>
        <v/>
      </c>
      <c r="P6" s="10">
        <f>INDEX(PTechVal,MATCH($A6,PTechKey,0),MATCH("vre_share",PTechHdr,0))</f>
        <v/>
      </c>
      <c r="Q6" s="35">
        <f>(1-(1+$G6)^-$D6)/(1-(1+$G6)^-1)</f>
        <v/>
      </c>
      <c r="R6" s="45">
        <f>(1/$D6+$G6/2)/($F6*8760)</f>
        <v/>
      </c>
      <c r="S6" s="45">
        <f>$H6/$D6/($F6*8760)+$J6</f>
        <v/>
      </c>
      <c r="T6" s="45">
        <f>1/($F6*8760*$Q6)</f>
        <v/>
      </c>
      <c r="U6" s="45">
        <f>($H6+$I6)*$T6+$J6+$M6</f>
        <v/>
      </c>
      <c r="V6" s="45">
        <f>$K6+$L6</f>
        <v/>
      </c>
      <c r="W6" s="45">
        <f>IF($N6="",0,0.0036/$E6)</f>
        <v/>
      </c>
      <c r="X6" s="10">
        <f>IF($N6="",1,INDEX(Inputs_prices!$E$7:$E$18,MATCH($N6,Inputs_prices!$A$7:$A$18,0)))</f>
        <v/>
      </c>
      <c r="Y6" s="45">
        <f>IFERROR(INDEX(EFVal,MATCH(Settings!$C$4&amp;"|"&amp;$A6&amp;"|pow",EFKey,0)),0)</f>
        <v/>
      </c>
      <c r="Z6" s="45">
        <f>$Y6*$W6</f>
        <v/>
      </c>
      <c r="AA6" s="10">
        <f>IF($N6="",1,INDEX(Mapping!$H$30:$H$37,MATCH($A6,FuelKey,0)))</f>
        <v/>
      </c>
      <c r="AB6" s="10">
        <f>IF($N6="",1,INDEX(Mapping!$E$50:$E$63,MATCH($N6,Mapping!$A$50:$A$63,0)))</f>
        <v/>
      </c>
      <c r="AC6" s="24">
        <f>IF($N6="",1,INDEX(Mapping!$G$30:$G$37,MATCH($A6,FuelKey,0)))</f>
        <v/>
      </c>
      <c r="AD6" s="45">
        <f>$W6/$AC6</f>
        <v/>
      </c>
      <c r="AE6" s="47">
        <f>INDEX(PTechVal,MATCH($A6,PTechKey,0),MATCH("cap0_mw",PTechHdr,0))</f>
        <v/>
      </c>
      <c r="AF6" s="47">
        <f>INDEX(PTechVal,MATCH($A6,PTechKey,0),MATCH("gen0_mwy",PTechHdr,0))</f>
        <v/>
      </c>
      <c r="AG6" s="45">
        <f>INDEX(PTechVal,MATCH($A6,PTechKey,0),MATCH("retire_rate",PTechHdr,0))</f>
        <v/>
      </c>
      <c r="AH6" s="38">
        <f>INDEX(PTechVal,MATCH($A6,PTechKey,0),MATCH("invest_permitted",PTechHdr,0))&amp;""</f>
        <v/>
      </c>
      <c r="AI6" s="10">
        <f>INDEX(PTechVal,MATCH($A6,PTechKey,0),MATCH("invest_start",PTechHdr,0))</f>
        <v/>
      </c>
      <c r="AJ6" s="13">
        <f>INDEX(PTechVal,MATCH($A6,PTechKey,0),MATCH("scaleup_rate",PTechHdr,0))</f>
        <v/>
      </c>
      <c r="AK6" s="38">
        <f>INDEX(PTechVal,MATCH($A6,PTechKey,0),MATCH("dispatch",PTechHdr,0))&amp;""</f>
        <v/>
      </c>
      <c r="AL6" s="38">
        <f>INDEX(PTechVal,MATCH($A6,PTechKey,0),MATCH("planned_retirement",PTechHdr,0))&amp;""</f>
        <v/>
      </c>
      <c r="AM6" s="10">
        <f>IF($AL6="Yes",1,0)</f>
        <v/>
      </c>
      <c r="AN6" s="10">
        <f>IF($AK6="cg",1,0)</f>
        <v/>
      </c>
      <c r="AO6" s="10">
        <f>IF($A6="coa",1,0)</f>
        <v/>
      </c>
      <c r="AP6" s="45">
        <f>1/$F6</f>
        <v/>
      </c>
      <c r="AQ6" s="13">
        <f>$AF6/SUM($AF$5:$AF$13)</f>
        <v/>
      </c>
      <c r="AR6" s="45">
        <f>8.76/INDEX(PParVal,MATCH("ktoe_gwh",PParKey,0))/$E6</f>
        <v/>
      </c>
      <c r="AS6" s="45">
        <f>$Y6*Settings!$C$13</f>
        <v/>
      </c>
      <c r="AT6" s="106">
        <f>1*1.356E-06</f>
        <v/>
      </c>
      <c r="AU6" s="35">
        <f>IFERROR(INDEX(ECPCov,MATCH("ecs."&amp;"pow",ECPKey,0))*INDEX(ECPCov,MATCH("ecf."&amp;$A6,ECPKey,0)),0)</f>
        <v/>
      </c>
      <c r="AV6" s="35">
        <f>IFERROR(INDEX(ECPCov,MATCH("ees."&amp;"pow",ECPKey,0))*INDEX(ECPCov,MATCH("eef."&amp;$A6,ECPKey,0)),0)</f>
        <v/>
      </c>
      <c r="AW6" s="10">
        <f>IF(ISNUMBER(MATCH($A6,FuelKey,0)),1,0)</f>
        <v/>
      </c>
    </row>
    <row r="7">
      <c r="A7" s="53" t="inlineStr">
        <is>
          <t>oop</t>
        </is>
      </c>
      <c r="B7" s="45">
        <f>INDEX(PTechVal,MATCH($A7,PTechKey,0),MATCH("name",PTechHdr,0))&amp;""</f>
        <v/>
      </c>
      <c r="C7" s="44">
        <f>INDEX(PTechVal,MATCH($A7,PTechKey,0),MATCH("cax0_usd_per_kw",PTechHdr,0))</f>
        <v/>
      </c>
      <c r="D7" s="10">
        <f>INDEX(PTechVal,MATCH($A7,PTechKey,0),MATCH("life_years",PTechHdr,0))</f>
        <v/>
      </c>
      <c r="E7" s="35">
        <f>INDEX(PTechVal,MATCH($A7,PTechKey,0),MATCH("efficiency",PTechHdr,0))</f>
        <v/>
      </c>
      <c r="F7" s="35">
        <f>INDEX(PTechVal,MATCH($A7,PTechKey,0),MATCH("capacity_factor",PTechHdr,0))</f>
        <v/>
      </c>
      <c r="G7" s="13">
        <f>INDEX(PTechVal,MATCH($A7,PTechKey,0),MATCH("wacc",PTechHdr,0))</f>
        <v/>
      </c>
      <c r="H7" s="45">
        <f>INDEX(PTechVal,MATCH($A7,PTechKey,0),MATCH("dtc_usd_per_kw",PTechHdr,0))</f>
        <v/>
      </c>
      <c r="I7" s="45">
        <f>INDEX(PTechVal,MATCH($A7,PTechKey,0),MATCH("tcx_usd_per_kw",PTechHdr,0))</f>
        <v/>
      </c>
      <c r="J7" s="45">
        <f>INDEX(PTechVal,MATCH($A7,PTechKey,0),MATCH("opf_usd_per_kwh",PTechHdr,0))</f>
        <v/>
      </c>
      <c r="K7" s="45">
        <f>INDEX(PTechVal,MATCH($A7,PTechKey,0),MATCH("vop_usd_per_kwh",PTechHdr,0))</f>
        <v/>
      </c>
      <c r="L7" s="45">
        <f>INDEX(PTechVal,MATCH($A7,PTechKey,0),MATCH("fuel_fixed_usd_per_kwh",PTechHdr,0))</f>
        <v/>
      </c>
      <c r="M7" s="45">
        <f>INDEX(PTechVal,MATCH($A7,PTechKey,0),MATCH("rns_usd_per_kwh",PTechHdr,0))</f>
        <v/>
      </c>
      <c r="N7" s="45">
        <f>INDEX(PTechVal,MATCH($A7,PTechKey,0),MATCH("price_code",PTechHdr,0))&amp;""</f>
        <v/>
      </c>
      <c r="O7" s="10">
        <f>INDEX(PTechVal,MATCH($A7,PTechKey,0),MATCH("vre",PTechHdr,0))</f>
        <v/>
      </c>
      <c r="P7" s="10">
        <f>INDEX(PTechVal,MATCH($A7,PTechKey,0),MATCH("vre_share",PTechHdr,0))</f>
        <v/>
      </c>
      <c r="Q7" s="35">
        <f>(1-(1+$G7)^-$D7)/(1-(1+$G7)^-1)</f>
        <v/>
      </c>
      <c r="R7" s="45">
        <f>(1/$D7+$G7/2)/($F7*8760)</f>
        <v/>
      </c>
      <c r="S7" s="45">
        <f>$H7/$D7/($F7*8760)+$J7</f>
        <v/>
      </c>
      <c r="T7" s="45">
        <f>1/($F7*8760*$Q7)</f>
        <v/>
      </c>
      <c r="U7" s="45">
        <f>($H7+$I7)*$T7+$J7+$M7</f>
        <v/>
      </c>
      <c r="V7" s="45">
        <f>$K7+$L7</f>
        <v/>
      </c>
      <c r="W7" s="45">
        <f>IF($N7="",0,0.0036/$E7)</f>
        <v/>
      </c>
      <c r="X7" s="10">
        <f>IF($N7="",1,INDEX(Inputs_prices!$E$7:$E$18,MATCH($N7,Inputs_prices!$A$7:$A$18,0)))</f>
        <v/>
      </c>
      <c r="Y7" s="45">
        <f>IFERROR(INDEX(EFVal,MATCH(Settings!$C$4&amp;"|"&amp;$A7&amp;"|pow",EFKey,0)),0)</f>
        <v/>
      </c>
      <c r="Z7" s="45">
        <f>$Y7*$W7</f>
        <v/>
      </c>
      <c r="AA7" s="10">
        <f>IF($N7="",1,INDEX(Mapping!$H$30:$H$37,MATCH($A7,FuelKey,0)))</f>
        <v/>
      </c>
      <c r="AB7" s="10">
        <f>IF($N7="",1,INDEX(Mapping!$E$50:$E$63,MATCH($N7,Mapping!$A$50:$A$63,0)))</f>
        <v/>
      </c>
      <c r="AC7" s="24">
        <f>IF($N7="",1,INDEX(Mapping!$G$30:$G$37,MATCH($A7,FuelKey,0)))</f>
        <v/>
      </c>
      <c r="AD7" s="45">
        <f>$W7/$AC7</f>
        <v/>
      </c>
      <c r="AE7" s="47">
        <f>INDEX(PTechVal,MATCH($A7,PTechKey,0),MATCH("cap0_mw",PTechHdr,0))</f>
        <v/>
      </c>
      <c r="AF7" s="47">
        <f>INDEX(PTechVal,MATCH($A7,PTechKey,0),MATCH("gen0_mwy",PTechHdr,0))</f>
        <v/>
      </c>
      <c r="AG7" s="45">
        <f>INDEX(PTechVal,MATCH($A7,PTechKey,0),MATCH("retire_rate",PTechHdr,0))</f>
        <v/>
      </c>
      <c r="AH7" s="38">
        <f>INDEX(PTechVal,MATCH($A7,PTechKey,0),MATCH("invest_permitted",PTechHdr,0))&amp;""</f>
        <v/>
      </c>
      <c r="AI7" s="10">
        <f>INDEX(PTechVal,MATCH($A7,PTechKey,0),MATCH("invest_start",PTechHdr,0))</f>
        <v/>
      </c>
      <c r="AJ7" s="13">
        <f>INDEX(PTechVal,MATCH($A7,PTechKey,0),MATCH("scaleup_rate",PTechHdr,0))</f>
        <v/>
      </c>
      <c r="AK7" s="38">
        <f>INDEX(PTechVal,MATCH($A7,PTechKey,0),MATCH("dispatch",PTechHdr,0))&amp;""</f>
        <v/>
      </c>
      <c r="AL7" s="38">
        <f>INDEX(PTechVal,MATCH($A7,PTechKey,0),MATCH("planned_retirement",PTechHdr,0))&amp;""</f>
        <v/>
      </c>
      <c r="AM7" s="10">
        <f>IF($AL7="Yes",1,0)</f>
        <v/>
      </c>
      <c r="AN7" s="10">
        <f>IF($AK7="cg",1,0)</f>
        <v/>
      </c>
      <c r="AO7" s="10">
        <f>IF($A7="coa",1,0)</f>
        <v/>
      </c>
      <c r="AP7" s="45">
        <f>1/$F7</f>
        <v/>
      </c>
      <c r="AQ7" s="13">
        <f>$AF7/SUM($AF$5:$AF$13)</f>
        <v/>
      </c>
      <c r="AR7" s="45">
        <f>8.76/INDEX(PParVal,MATCH("ktoe_gwh",PParKey,0))/$E7</f>
        <v/>
      </c>
      <c r="AS7" s="45">
        <f>$Y7*Settings!$C$13</f>
        <v/>
      </c>
      <c r="AT7" s="106">
        <f>2*1.356E-06</f>
        <v/>
      </c>
      <c r="AU7" s="35">
        <f>IFERROR(INDEX(ECPCov,MATCH("ecs."&amp;"pow",ECPKey,0))*INDEX(ECPCov,MATCH("ecf."&amp;$A7,ECPKey,0)),0)</f>
        <v/>
      </c>
      <c r="AV7" s="35">
        <f>IFERROR(INDEX(ECPCov,MATCH("ees."&amp;"pow",ECPKey,0))*INDEX(ECPCov,MATCH("eef."&amp;$A7,ECPKey,0)),0)</f>
        <v/>
      </c>
      <c r="AW7" s="10">
        <f>IF(ISNUMBER(MATCH($A7,FuelKey,0)),1,0)</f>
        <v/>
      </c>
    </row>
    <row r="8">
      <c r="A8" s="53" t="inlineStr">
        <is>
          <t>nuc</t>
        </is>
      </c>
      <c r="B8" s="45">
        <f>INDEX(PTechVal,MATCH($A8,PTechKey,0),MATCH("name",PTechHdr,0))&amp;""</f>
        <v/>
      </c>
      <c r="C8" s="44">
        <f>INDEX(PTechVal,MATCH($A8,PTechKey,0),MATCH("cax0_usd_per_kw",PTechHdr,0))</f>
        <v/>
      </c>
      <c r="D8" s="10">
        <f>INDEX(PTechVal,MATCH($A8,PTechKey,0),MATCH("life_years",PTechHdr,0))</f>
        <v/>
      </c>
      <c r="E8" s="35">
        <f>INDEX(PTechVal,MATCH($A8,PTechKey,0),MATCH("efficiency",PTechHdr,0))</f>
        <v/>
      </c>
      <c r="F8" s="35">
        <f>INDEX(PTechVal,MATCH($A8,PTechKey,0),MATCH("capacity_factor",PTechHdr,0))</f>
        <v/>
      </c>
      <c r="G8" s="13">
        <f>INDEX(PTechVal,MATCH($A8,PTechKey,0),MATCH("wacc",PTechHdr,0))</f>
        <v/>
      </c>
      <c r="H8" s="45">
        <f>INDEX(PTechVal,MATCH($A8,PTechKey,0),MATCH("dtc_usd_per_kw",PTechHdr,0))</f>
        <v/>
      </c>
      <c r="I8" s="45">
        <f>INDEX(PTechVal,MATCH($A8,PTechKey,0),MATCH("tcx_usd_per_kw",PTechHdr,0))</f>
        <v/>
      </c>
      <c r="J8" s="45">
        <f>INDEX(PTechVal,MATCH($A8,PTechKey,0),MATCH("opf_usd_per_kwh",PTechHdr,0))</f>
        <v/>
      </c>
      <c r="K8" s="45">
        <f>INDEX(PTechVal,MATCH($A8,PTechKey,0),MATCH("vop_usd_per_kwh",PTechHdr,0))</f>
        <v/>
      </c>
      <c r="L8" s="45">
        <f>INDEX(PTechVal,MATCH($A8,PTechKey,0),MATCH("fuel_fixed_usd_per_kwh",PTechHdr,0))</f>
        <v/>
      </c>
      <c r="M8" s="45">
        <f>INDEX(PTechVal,MATCH($A8,PTechKey,0),MATCH("rns_usd_per_kwh",PTechHdr,0))</f>
        <v/>
      </c>
      <c r="N8" s="45">
        <f>INDEX(PTechVal,MATCH($A8,PTechKey,0),MATCH("price_code",PTechHdr,0))&amp;""</f>
        <v/>
      </c>
      <c r="O8" s="10">
        <f>INDEX(PTechVal,MATCH($A8,PTechKey,0),MATCH("vre",PTechHdr,0))</f>
        <v/>
      </c>
      <c r="P8" s="10">
        <f>INDEX(PTechVal,MATCH($A8,PTechKey,0),MATCH("vre_share",PTechHdr,0))</f>
        <v/>
      </c>
      <c r="Q8" s="35">
        <f>(1-(1+$G8)^-$D8)/(1-(1+$G8)^-1)</f>
        <v/>
      </c>
      <c r="R8" s="45">
        <f>(1/$D8+$G8/2)/($F8*8760)</f>
        <v/>
      </c>
      <c r="S8" s="45">
        <f>$H8/$D8/($F8*8760)+$J8</f>
        <v/>
      </c>
      <c r="T8" s="45">
        <f>1/($F8*8760*$Q8)</f>
        <v/>
      </c>
      <c r="U8" s="45">
        <f>($H8+$I8)*$T8+$J8+$M8</f>
        <v/>
      </c>
      <c r="V8" s="45">
        <f>$K8+$L8</f>
        <v/>
      </c>
      <c r="W8" s="45">
        <f>IF($N8="",0,0.0036/$E8)</f>
        <v/>
      </c>
      <c r="X8" s="10">
        <f>IF($N8="",1,INDEX(Inputs_prices!$E$7:$E$18,MATCH($N8,Inputs_prices!$A$7:$A$18,0)))</f>
        <v/>
      </c>
      <c r="Y8" s="45">
        <f>IFERROR(INDEX(EFVal,MATCH(Settings!$C$4&amp;"|"&amp;$A8&amp;"|pow",EFKey,0)),0)</f>
        <v/>
      </c>
      <c r="Z8" s="45">
        <f>$Y8*$W8</f>
        <v/>
      </c>
      <c r="AA8" s="10">
        <f>IF($N8="",1,INDEX(Mapping!$H$30:$H$37,MATCH($A8,FuelKey,0)))</f>
        <v/>
      </c>
      <c r="AB8" s="10">
        <f>IF($N8="",1,INDEX(Mapping!$E$50:$E$63,MATCH($N8,Mapping!$A$50:$A$63,0)))</f>
        <v/>
      </c>
      <c r="AC8" s="24">
        <f>IF($N8="",1,INDEX(Mapping!$G$30:$G$37,MATCH($A8,FuelKey,0)))</f>
        <v/>
      </c>
      <c r="AD8" s="45">
        <f>$W8/$AC8</f>
        <v/>
      </c>
      <c r="AE8" s="47">
        <f>INDEX(PTechVal,MATCH($A8,PTechKey,0),MATCH("cap0_mw",PTechHdr,0))</f>
        <v/>
      </c>
      <c r="AF8" s="47">
        <f>INDEX(PTechVal,MATCH($A8,PTechKey,0),MATCH("gen0_mwy",PTechHdr,0))</f>
        <v/>
      </c>
      <c r="AG8" s="45">
        <f>INDEX(PTechVal,MATCH($A8,PTechKey,0),MATCH("retire_rate",PTechHdr,0))</f>
        <v/>
      </c>
      <c r="AH8" s="38">
        <f>INDEX(PTechVal,MATCH($A8,PTechKey,0),MATCH("invest_permitted",PTechHdr,0))&amp;""</f>
        <v/>
      </c>
      <c r="AI8" s="10">
        <f>INDEX(PTechVal,MATCH($A8,PTechKey,0),MATCH("invest_start",PTechHdr,0))</f>
        <v/>
      </c>
      <c r="AJ8" s="13">
        <f>INDEX(PTechVal,MATCH($A8,PTechKey,0),MATCH("scaleup_rate",PTechHdr,0))</f>
        <v/>
      </c>
      <c r="AK8" s="38">
        <f>INDEX(PTechVal,MATCH($A8,PTechKey,0),MATCH("dispatch",PTechHdr,0))&amp;""</f>
        <v/>
      </c>
      <c r="AL8" s="38">
        <f>INDEX(PTechVal,MATCH($A8,PTechKey,0),MATCH("planned_retirement",PTechHdr,0))&amp;""</f>
        <v/>
      </c>
      <c r="AM8" s="10">
        <f>IF($AL8="Yes",1,0)</f>
        <v/>
      </c>
      <c r="AN8" s="10">
        <f>IF($AK8="cg",1,0)</f>
        <v/>
      </c>
      <c r="AO8" s="10">
        <f>IF($A8="coa",1,0)</f>
        <v/>
      </c>
      <c r="AP8" s="45">
        <f>1/$F8</f>
        <v/>
      </c>
      <c r="AQ8" s="13">
        <f>$AF8/SUM($AF$5:$AF$13)</f>
        <v/>
      </c>
      <c r="AR8" s="45">
        <f>8.76/INDEX(PParVal,MATCH("ktoe_gwh",PParKey,0))/$E8</f>
        <v/>
      </c>
      <c r="AS8" s="45">
        <f>$Y8*Settings!$C$13</f>
        <v/>
      </c>
      <c r="AT8" s="106">
        <f>3*1.356E-06</f>
        <v/>
      </c>
      <c r="AU8" s="35">
        <f>IFERROR(INDEX(ECPCov,MATCH("ecs."&amp;"pow",ECPKey,0))*INDEX(ECPCov,MATCH("ecf."&amp;$A8,ECPKey,0)),0)</f>
        <v/>
      </c>
      <c r="AV8" s="35">
        <f>IFERROR(INDEX(ECPCov,MATCH("ees."&amp;"pow",ECPKey,0))*INDEX(ECPCov,MATCH("eef."&amp;$A8,ECPKey,0)),0)</f>
        <v/>
      </c>
      <c r="AW8" s="10">
        <f>IF(ISNUMBER(MATCH($A8,FuelKey,0)),1,0)</f>
        <v/>
      </c>
    </row>
    <row r="9">
      <c r="A9" s="53" t="inlineStr">
        <is>
          <t>wnd</t>
        </is>
      </c>
      <c r="B9" s="45">
        <f>INDEX(PTechVal,MATCH($A9,PTechKey,0),MATCH("name",PTechHdr,0))&amp;""</f>
        <v/>
      </c>
      <c r="C9" s="44">
        <f>INDEX(PTechVal,MATCH($A9,PTechKey,0),MATCH("cax0_usd_per_kw",PTechHdr,0))</f>
        <v/>
      </c>
      <c r="D9" s="10">
        <f>INDEX(PTechVal,MATCH($A9,PTechKey,0),MATCH("life_years",PTechHdr,0))</f>
        <v/>
      </c>
      <c r="E9" s="35">
        <f>INDEX(PTechVal,MATCH($A9,PTechKey,0),MATCH("efficiency",PTechHdr,0))</f>
        <v/>
      </c>
      <c r="F9" s="35">
        <f>INDEX(PTechVal,MATCH($A9,PTechKey,0),MATCH("capacity_factor",PTechHdr,0))</f>
        <v/>
      </c>
      <c r="G9" s="13">
        <f>INDEX(PTechVal,MATCH($A9,PTechKey,0),MATCH("wacc",PTechHdr,0))</f>
        <v/>
      </c>
      <c r="H9" s="45">
        <f>INDEX(PTechVal,MATCH($A9,PTechKey,0),MATCH("dtc_usd_per_kw",PTechHdr,0))</f>
        <v/>
      </c>
      <c r="I9" s="45">
        <f>INDEX(PTechVal,MATCH($A9,PTechKey,0),MATCH("tcx_usd_per_kw",PTechHdr,0))</f>
        <v/>
      </c>
      <c r="J9" s="45">
        <f>INDEX(PTechVal,MATCH($A9,PTechKey,0),MATCH("opf_usd_per_kwh",PTechHdr,0))</f>
        <v/>
      </c>
      <c r="K9" s="45">
        <f>INDEX(PTechVal,MATCH($A9,PTechKey,0),MATCH("vop_usd_per_kwh",PTechHdr,0))</f>
        <v/>
      </c>
      <c r="L9" s="45">
        <f>INDEX(PTechVal,MATCH($A9,PTechKey,0),MATCH("fuel_fixed_usd_per_kwh",PTechHdr,0))</f>
        <v/>
      </c>
      <c r="M9" s="45">
        <f>INDEX(PTechVal,MATCH($A9,PTechKey,0),MATCH("rns_usd_per_kwh",PTechHdr,0))</f>
        <v/>
      </c>
      <c r="N9" s="45">
        <f>INDEX(PTechVal,MATCH($A9,PTechKey,0),MATCH("price_code",PTechHdr,0))&amp;""</f>
        <v/>
      </c>
      <c r="O9" s="10">
        <f>INDEX(PTechVal,MATCH($A9,PTechKey,0),MATCH("vre",PTechHdr,0))</f>
        <v/>
      </c>
      <c r="P9" s="10">
        <f>INDEX(PTechVal,MATCH($A9,PTechKey,0),MATCH("vre_share",PTechHdr,0))</f>
        <v/>
      </c>
      <c r="Q9" s="35">
        <f>(1-(1+$G9)^-$D9)/(1-(1+$G9)^-1)</f>
        <v/>
      </c>
      <c r="R9" s="45">
        <f>(1/$D9+$G9/2)/($F9*8760)</f>
        <v/>
      </c>
      <c r="S9" s="45">
        <f>$H9/$D9/($F9*8760)+$J9</f>
        <v/>
      </c>
      <c r="T9" s="45">
        <f>1/($F9*8760*$Q9)</f>
        <v/>
      </c>
      <c r="U9" s="45">
        <f>($H9+$I9)*$T9+$J9+$M9</f>
        <v/>
      </c>
      <c r="V9" s="45">
        <f>$K9+$L9</f>
        <v/>
      </c>
      <c r="W9" s="45">
        <f>IF($N9="",0,0.0036/$E9)</f>
        <v/>
      </c>
      <c r="X9" s="10">
        <f>IF($N9="",1,INDEX(Inputs_prices!$E$7:$E$18,MATCH($N9,Inputs_prices!$A$7:$A$18,0)))</f>
        <v/>
      </c>
      <c r="Y9" s="45">
        <f>IFERROR(INDEX(EFVal,MATCH(Settings!$C$4&amp;"|"&amp;$A9&amp;"|pow",EFKey,0)),0)</f>
        <v/>
      </c>
      <c r="Z9" s="45">
        <f>$Y9*$W9</f>
        <v/>
      </c>
      <c r="AA9" s="10">
        <f>IF($N9="",1,INDEX(Mapping!$H$30:$H$37,MATCH($A9,FuelKey,0)))</f>
        <v/>
      </c>
      <c r="AB9" s="10">
        <f>IF($N9="",1,INDEX(Mapping!$E$50:$E$63,MATCH($N9,Mapping!$A$50:$A$63,0)))</f>
        <v/>
      </c>
      <c r="AC9" s="24">
        <f>IF($N9="",1,INDEX(Mapping!$G$30:$G$37,MATCH($A9,FuelKey,0)))</f>
        <v/>
      </c>
      <c r="AD9" s="45">
        <f>$W9/$AC9</f>
        <v/>
      </c>
      <c r="AE9" s="47">
        <f>INDEX(PTechVal,MATCH($A9,PTechKey,0),MATCH("cap0_mw",PTechHdr,0))</f>
        <v/>
      </c>
      <c r="AF9" s="47">
        <f>INDEX(PTechVal,MATCH($A9,PTechKey,0),MATCH("gen0_mwy",PTechHdr,0))</f>
        <v/>
      </c>
      <c r="AG9" s="45">
        <f>INDEX(PTechVal,MATCH($A9,PTechKey,0),MATCH("retire_rate",PTechHdr,0))</f>
        <v/>
      </c>
      <c r="AH9" s="38">
        <f>INDEX(PTechVal,MATCH($A9,PTechKey,0),MATCH("invest_permitted",PTechHdr,0))&amp;""</f>
        <v/>
      </c>
      <c r="AI9" s="10">
        <f>INDEX(PTechVal,MATCH($A9,PTechKey,0),MATCH("invest_start",PTechHdr,0))</f>
        <v/>
      </c>
      <c r="AJ9" s="13">
        <f>INDEX(PTechVal,MATCH($A9,PTechKey,0),MATCH("scaleup_rate",PTechHdr,0))</f>
        <v/>
      </c>
      <c r="AK9" s="38">
        <f>INDEX(PTechVal,MATCH($A9,PTechKey,0),MATCH("dispatch",PTechHdr,0))&amp;""</f>
        <v/>
      </c>
      <c r="AL9" s="38">
        <f>INDEX(PTechVal,MATCH($A9,PTechKey,0),MATCH("planned_retirement",PTechHdr,0))&amp;""</f>
        <v/>
      </c>
      <c r="AM9" s="10">
        <f>IF($AL9="Yes",1,0)</f>
        <v/>
      </c>
      <c r="AN9" s="10">
        <f>IF($AK9="cg",1,0)</f>
        <v/>
      </c>
      <c r="AO9" s="10">
        <f>IF($A9="coa",1,0)</f>
        <v/>
      </c>
      <c r="AP9" s="45">
        <f>1/$F9</f>
        <v/>
      </c>
      <c r="AQ9" s="13">
        <f>$AF9/SUM($AF$5:$AF$13)</f>
        <v/>
      </c>
      <c r="AR9" s="45">
        <f>8.76/INDEX(PParVal,MATCH("ktoe_gwh",PParKey,0))/$E9</f>
        <v/>
      </c>
      <c r="AS9" s="45">
        <f>$Y9*Settings!$C$13</f>
        <v/>
      </c>
      <c r="AT9" s="106">
        <f>4*1.356E-06</f>
        <v/>
      </c>
      <c r="AU9" s="35">
        <f>IFERROR(INDEX(ECPCov,MATCH("ecs."&amp;"pow",ECPKey,0))*INDEX(ECPCov,MATCH("ecf."&amp;$A9,ECPKey,0)),0)</f>
        <v/>
      </c>
      <c r="AV9" s="35">
        <f>IFERROR(INDEX(ECPCov,MATCH("ees."&amp;"pow",ECPKey,0))*INDEX(ECPCov,MATCH("eef."&amp;$A9,ECPKey,0)),0)</f>
        <v/>
      </c>
      <c r="AW9" s="10">
        <f>IF(ISNUMBER(MATCH($A9,FuelKey,0)),1,0)</f>
        <v/>
      </c>
    </row>
    <row r="10">
      <c r="A10" s="53" t="inlineStr">
        <is>
          <t>sol</t>
        </is>
      </c>
      <c r="B10" s="45">
        <f>INDEX(PTechVal,MATCH($A10,PTechKey,0),MATCH("name",PTechHdr,0))&amp;""</f>
        <v/>
      </c>
      <c r="C10" s="44">
        <f>INDEX(PTechVal,MATCH($A10,PTechKey,0),MATCH("cax0_usd_per_kw",PTechHdr,0))</f>
        <v/>
      </c>
      <c r="D10" s="10">
        <f>INDEX(PTechVal,MATCH($A10,PTechKey,0),MATCH("life_years",PTechHdr,0))</f>
        <v/>
      </c>
      <c r="E10" s="35">
        <f>INDEX(PTechVal,MATCH($A10,PTechKey,0),MATCH("efficiency",PTechHdr,0))</f>
        <v/>
      </c>
      <c r="F10" s="35">
        <f>INDEX(PTechVal,MATCH($A10,PTechKey,0),MATCH("capacity_factor",PTechHdr,0))</f>
        <v/>
      </c>
      <c r="G10" s="13">
        <f>INDEX(PTechVal,MATCH($A10,PTechKey,0),MATCH("wacc",PTechHdr,0))</f>
        <v/>
      </c>
      <c r="H10" s="45">
        <f>INDEX(PTechVal,MATCH($A10,PTechKey,0),MATCH("dtc_usd_per_kw",PTechHdr,0))</f>
        <v/>
      </c>
      <c r="I10" s="45">
        <f>INDEX(PTechVal,MATCH($A10,PTechKey,0),MATCH("tcx_usd_per_kw",PTechHdr,0))</f>
        <v/>
      </c>
      <c r="J10" s="45">
        <f>INDEX(PTechVal,MATCH($A10,PTechKey,0),MATCH("opf_usd_per_kwh",PTechHdr,0))</f>
        <v/>
      </c>
      <c r="K10" s="45">
        <f>INDEX(PTechVal,MATCH($A10,PTechKey,0),MATCH("vop_usd_per_kwh",PTechHdr,0))</f>
        <v/>
      </c>
      <c r="L10" s="45">
        <f>INDEX(PTechVal,MATCH($A10,PTechKey,0),MATCH("fuel_fixed_usd_per_kwh",PTechHdr,0))</f>
        <v/>
      </c>
      <c r="M10" s="45">
        <f>INDEX(PTechVal,MATCH($A10,PTechKey,0),MATCH("rns_usd_per_kwh",PTechHdr,0))</f>
        <v/>
      </c>
      <c r="N10" s="45">
        <f>INDEX(PTechVal,MATCH($A10,PTechKey,0),MATCH("price_code",PTechHdr,0))&amp;""</f>
        <v/>
      </c>
      <c r="O10" s="10">
        <f>INDEX(PTechVal,MATCH($A10,PTechKey,0),MATCH("vre",PTechHdr,0))</f>
        <v/>
      </c>
      <c r="P10" s="10">
        <f>INDEX(PTechVal,MATCH($A10,PTechKey,0),MATCH("vre_share",PTechHdr,0))</f>
        <v/>
      </c>
      <c r="Q10" s="35">
        <f>(1-(1+$G10)^-$D10)/(1-(1+$G10)^-1)</f>
        <v/>
      </c>
      <c r="R10" s="45">
        <f>(1/$D10+$G10/2)/($F10*8760)</f>
        <v/>
      </c>
      <c r="S10" s="45">
        <f>$H10/$D10/($F10*8760)+$J10</f>
        <v/>
      </c>
      <c r="T10" s="45">
        <f>1/($F10*8760*$Q10)</f>
        <v/>
      </c>
      <c r="U10" s="45">
        <f>($H10+$I10)*$T10+$J10+$M10</f>
        <v/>
      </c>
      <c r="V10" s="45">
        <f>$K10+$L10</f>
        <v/>
      </c>
      <c r="W10" s="45">
        <f>IF($N10="",0,0.0036/$E10)</f>
        <v/>
      </c>
      <c r="X10" s="10">
        <f>IF($N10="",1,INDEX(Inputs_prices!$E$7:$E$18,MATCH($N10,Inputs_prices!$A$7:$A$18,0)))</f>
        <v/>
      </c>
      <c r="Y10" s="45">
        <f>IFERROR(INDEX(EFVal,MATCH(Settings!$C$4&amp;"|"&amp;$A10&amp;"|pow",EFKey,0)),0)</f>
        <v/>
      </c>
      <c r="Z10" s="45">
        <f>$Y10*$W10</f>
        <v/>
      </c>
      <c r="AA10" s="10">
        <f>IF($N10="",1,INDEX(Mapping!$H$30:$H$37,MATCH($A10,FuelKey,0)))</f>
        <v/>
      </c>
      <c r="AB10" s="10">
        <f>IF($N10="",1,INDEX(Mapping!$E$50:$E$63,MATCH($N10,Mapping!$A$50:$A$63,0)))</f>
        <v/>
      </c>
      <c r="AC10" s="24">
        <f>IF($N10="",1,INDEX(Mapping!$G$30:$G$37,MATCH($A10,FuelKey,0)))</f>
        <v/>
      </c>
      <c r="AD10" s="45">
        <f>$W10/$AC10</f>
        <v/>
      </c>
      <c r="AE10" s="47">
        <f>INDEX(PTechVal,MATCH($A10,PTechKey,0),MATCH("cap0_mw",PTechHdr,0))</f>
        <v/>
      </c>
      <c r="AF10" s="47">
        <f>INDEX(PTechVal,MATCH($A10,PTechKey,0),MATCH("gen0_mwy",PTechHdr,0))</f>
        <v/>
      </c>
      <c r="AG10" s="45">
        <f>INDEX(PTechVal,MATCH($A10,PTechKey,0),MATCH("retire_rate",PTechHdr,0))</f>
        <v/>
      </c>
      <c r="AH10" s="38">
        <f>INDEX(PTechVal,MATCH($A10,PTechKey,0),MATCH("invest_permitted",PTechHdr,0))&amp;""</f>
        <v/>
      </c>
      <c r="AI10" s="10">
        <f>INDEX(PTechVal,MATCH($A10,PTechKey,0),MATCH("invest_start",PTechHdr,0))</f>
        <v/>
      </c>
      <c r="AJ10" s="13">
        <f>INDEX(PTechVal,MATCH($A10,PTechKey,0),MATCH("scaleup_rate",PTechHdr,0))</f>
        <v/>
      </c>
      <c r="AK10" s="38">
        <f>INDEX(PTechVal,MATCH($A10,PTechKey,0),MATCH("dispatch",PTechHdr,0))&amp;""</f>
        <v/>
      </c>
      <c r="AL10" s="38">
        <f>INDEX(PTechVal,MATCH($A10,PTechKey,0),MATCH("planned_retirement",PTechHdr,0))&amp;""</f>
        <v/>
      </c>
      <c r="AM10" s="10">
        <f>IF($AL10="Yes",1,0)</f>
        <v/>
      </c>
      <c r="AN10" s="10">
        <f>IF($AK10="cg",1,0)</f>
        <v/>
      </c>
      <c r="AO10" s="10">
        <f>IF($A10="coa",1,0)</f>
        <v/>
      </c>
      <c r="AP10" s="45">
        <f>1/$F10</f>
        <v/>
      </c>
      <c r="AQ10" s="13">
        <f>$AF10/SUM($AF$5:$AF$13)</f>
        <v/>
      </c>
      <c r="AR10" s="45">
        <f>8.76/INDEX(PParVal,MATCH("ktoe_gwh",PParKey,0))/$E10</f>
        <v/>
      </c>
      <c r="AS10" s="45">
        <f>$Y10*Settings!$C$13</f>
        <v/>
      </c>
      <c r="AT10" s="106">
        <f>5*1.356E-06</f>
        <v/>
      </c>
      <c r="AU10" s="35">
        <f>IFERROR(INDEX(ECPCov,MATCH("ecs."&amp;"pow",ECPKey,0))*INDEX(ECPCov,MATCH("ecf."&amp;$A10,ECPKey,0)),0)</f>
        <v/>
      </c>
      <c r="AV10" s="35">
        <f>IFERROR(INDEX(ECPCov,MATCH("ees."&amp;"pow",ECPKey,0))*INDEX(ECPCov,MATCH("eef."&amp;$A10,ECPKey,0)),0)</f>
        <v/>
      </c>
      <c r="AW10" s="10">
        <f>IF(ISNUMBER(MATCH($A10,FuelKey,0)),1,0)</f>
        <v/>
      </c>
    </row>
    <row r="11">
      <c r="A11" s="53" t="inlineStr">
        <is>
          <t>hyd</t>
        </is>
      </c>
      <c r="B11" s="45">
        <f>INDEX(PTechVal,MATCH($A11,PTechKey,0),MATCH("name",PTechHdr,0))&amp;""</f>
        <v/>
      </c>
      <c r="C11" s="44">
        <f>INDEX(PTechVal,MATCH($A11,PTechKey,0),MATCH("cax0_usd_per_kw",PTechHdr,0))</f>
        <v/>
      </c>
      <c r="D11" s="10">
        <f>INDEX(PTechVal,MATCH($A11,PTechKey,0),MATCH("life_years",PTechHdr,0))</f>
        <v/>
      </c>
      <c r="E11" s="35">
        <f>INDEX(PTechVal,MATCH($A11,PTechKey,0),MATCH("efficiency",PTechHdr,0))</f>
        <v/>
      </c>
      <c r="F11" s="35">
        <f>INDEX(PTechVal,MATCH($A11,PTechKey,0),MATCH("capacity_factor",PTechHdr,0))</f>
        <v/>
      </c>
      <c r="G11" s="13">
        <f>INDEX(PTechVal,MATCH($A11,PTechKey,0),MATCH("wacc",PTechHdr,0))</f>
        <v/>
      </c>
      <c r="H11" s="45">
        <f>INDEX(PTechVal,MATCH($A11,PTechKey,0),MATCH("dtc_usd_per_kw",PTechHdr,0))</f>
        <v/>
      </c>
      <c r="I11" s="45">
        <f>INDEX(PTechVal,MATCH($A11,PTechKey,0),MATCH("tcx_usd_per_kw",PTechHdr,0))</f>
        <v/>
      </c>
      <c r="J11" s="45">
        <f>INDEX(PTechVal,MATCH($A11,PTechKey,0),MATCH("opf_usd_per_kwh",PTechHdr,0))</f>
        <v/>
      </c>
      <c r="K11" s="45">
        <f>INDEX(PTechVal,MATCH($A11,PTechKey,0),MATCH("vop_usd_per_kwh",PTechHdr,0))</f>
        <v/>
      </c>
      <c r="L11" s="45">
        <f>INDEX(PTechVal,MATCH($A11,PTechKey,0),MATCH("fuel_fixed_usd_per_kwh",PTechHdr,0))</f>
        <v/>
      </c>
      <c r="M11" s="45">
        <f>INDEX(PTechVal,MATCH($A11,PTechKey,0),MATCH("rns_usd_per_kwh",PTechHdr,0))</f>
        <v/>
      </c>
      <c r="N11" s="45">
        <f>INDEX(PTechVal,MATCH($A11,PTechKey,0),MATCH("price_code",PTechHdr,0))&amp;""</f>
        <v/>
      </c>
      <c r="O11" s="10">
        <f>INDEX(PTechVal,MATCH($A11,PTechKey,0),MATCH("vre",PTechHdr,0))</f>
        <v/>
      </c>
      <c r="P11" s="10">
        <f>INDEX(PTechVal,MATCH($A11,PTechKey,0),MATCH("vre_share",PTechHdr,0))</f>
        <v/>
      </c>
      <c r="Q11" s="35">
        <f>(1-(1+$G11)^-$D11)/(1-(1+$G11)^-1)</f>
        <v/>
      </c>
      <c r="R11" s="45">
        <f>(1/$D11+$G11/2)/($F11*8760)</f>
        <v/>
      </c>
      <c r="S11" s="45">
        <f>$H11/$D11/($F11*8760)+$J11</f>
        <v/>
      </c>
      <c r="T11" s="45">
        <f>1/($F11*8760*$Q11)</f>
        <v/>
      </c>
      <c r="U11" s="45">
        <f>($H11+$I11)*$T11+$J11+$M11</f>
        <v/>
      </c>
      <c r="V11" s="45">
        <f>$K11+$L11</f>
        <v/>
      </c>
      <c r="W11" s="45">
        <f>IF($N11="",0,0.0036/$E11)</f>
        <v/>
      </c>
      <c r="X11" s="10">
        <f>IF($N11="",1,INDEX(Inputs_prices!$E$7:$E$18,MATCH($N11,Inputs_prices!$A$7:$A$18,0)))</f>
        <v/>
      </c>
      <c r="Y11" s="45">
        <f>IFERROR(INDEX(EFVal,MATCH(Settings!$C$4&amp;"|"&amp;$A11&amp;"|pow",EFKey,0)),0)</f>
        <v/>
      </c>
      <c r="Z11" s="45">
        <f>$Y11*$W11</f>
        <v/>
      </c>
      <c r="AA11" s="10">
        <f>IF($N11="",1,INDEX(Mapping!$H$30:$H$37,MATCH($A11,FuelKey,0)))</f>
        <v/>
      </c>
      <c r="AB11" s="10">
        <f>IF($N11="",1,INDEX(Mapping!$E$50:$E$63,MATCH($N11,Mapping!$A$50:$A$63,0)))</f>
        <v/>
      </c>
      <c r="AC11" s="24">
        <f>IF($N11="",1,INDEX(Mapping!$G$30:$G$37,MATCH($A11,FuelKey,0)))</f>
        <v/>
      </c>
      <c r="AD11" s="45">
        <f>$W11/$AC11</f>
        <v/>
      </c>
      <c r="AE11" s="47">
        <f>INDEX(PTechVal,MATCH($A11,PTechKey,0),MATCH("cap0_mw",PTechHdr,0))</f>
        <v/>
      </c>
      <c r="AF11" s="47">
        <f>INDEX(PTechVal,MATCH($A11,PTechKey,0),MATCH("gen0_mwy",PTechHdr,0))</f>
        <v/>
      </c>
      <c r="AG11" s="45">
        <f>INDEX(PTechVal,MATCH($A11,PTechKey,0),MATCH("retire_rate",PTechHdr,0))</f>
        <v/>
      </c>
      <c r="AH11" s="38">
        <f>INDEX(PTechVal,MATCH($A11,PTechKey,0),MATCH("invest_permitted",PTechHdr,0))&amp;""</f>
        <v/>
      </c>
      <c r="AI11" s="10">
        <f>INDEX(PTechVal,MATCH($A11,PTechKey,0),MATCH("invest_start",PTechHdr,0))</f>
        <v/>
      </c>
      <c r="AJ11" s="13">
        <f>INDEX(PTechVal,MATCH($A11,PTechKey,0),MATCH("scaleup_rate",PTechHdr,0))</f>
        <v/>
      </c>
      <c r="AK11" s="38">
        <f>INDEX(PTechVal,MATCH($A11,PTechKey,0),MATCH("dispatch",PTechHdr,0))&amp;""</f>
        <v/>
      </c>
      <c r="AL11" s="38">
        <f>INDEX(PTechVal,MATCH($A11,PTechKey,0),MATCH("planned_retirement",PTechHdr,0))&amp;""</f>
        <v/>
      </c>
      <c r="AM11" s="10">
        <f>IF($AL11="Yes",1,0)</f>
        <v/>
      </c>
      <c r="AN11" s="10">
        <f>IF($AK11="cg",1,0)</f>
        <v/>
      </c>
      <c r="AO11" s="10">
        <f>IF($A11="coa",1,0)</f>
        <v/>
      </c>
      <c r="AP11" s="45">
        <f>1/$F11</f>
        <v/>
      </c>
      <c r="AQ11" s="13">
        <f>$AF11/SUM($AF$5:$AF$13)</f>
        <v/>
      </c>
      <c r="AR11" s="45">
        <f>8.76/INDEX(PParVal,MATCH("ktoe_gwh",PParKey,0))/$E11</f>
        <v/>
      </c>
      <c r="AS11" s="45">
        <f>$Y11*Settings!$C$13</f>
        <v/>
      </c>
      <c r="AT11" s="106">
        <f>6*1.356E-06</f>
        <v/>
      </c>
      <c r="AU11" s="35">
        <f>IFERROR(INDEX(ECPCov,MATCH("ecs."&amp;"pow",ECPKey,0))*INDEX(ECPCov,MATCH("ecf."&amp;$A11,ECPKey,0)),0)</f>
        <v/>
      </c>
      <c r="AV11" s="35">
        <f>IFERROR(INDEX(ECPCov,MATCH("ees."&amp;"pow",ECPKey,0))*INDEX(ECPCov,MATCH("eef."&amp;$A11,ECPKey,0)),0)</f>
        <v/>
      </c>
      <c r="AW11" s="10">
        <f>IF(ISNUMBER(MATCH($A11,FuelKey,0)),1,0)</f>
        <v/>
      </c>
    </row>
    <row r="12">
      <c r="A12" s="53" t="inlineStr">
        <is>
          <t>ore</t>
        </is>
      </c>
      <c r="B12" s="45">
        <f>INDEX(PTechVal,MATCH($A12,PTechKey,0),MATCH("name",PTechHdr,0))&amp;""</f>
        <v/>
      </c>
      <c r="C12" s="44">
        <f>INDEX(PTechVal,MATCH($A12,PTechKey,0),MATCH("cax0_usd_per_kw",PTechHdr,0))</f>
        <v/>
      </c>
      <c r="D12" s="10">
        <f>INDEX(PTechVal,MATCH($A12,PTechKey,0),MATCH("life_years",PTechHdr,0))</f>
        <v/>
      </c>
      <c r="E12" s="35">
        <f>INDEX(PTechVal,MATCH($A12,PTechKey,0),MATCH("efficiency",PTechHdr,0))</f>
        <v/>
      </c>
      <c r="F12" s="35">
        <f>INDEX(PTechVal,MATCH($A12,PTechKey,0),MATCH("capacity_factor",PTechHdr,0))</f>
        <v/>
      </c>
      <c r="G12" s="13">
        <f>INDEX(PTechVal,MATCH($A12,PTechKey,0),MATCH("wacc",PTechHdr,0))</f>
        <v/>
      </c>
      <c r="H12" s="45">
        <f>INDEX(PTechVal,MATCH($A12,PTechKey,0),MATCH("dtc_usd_per_kw",PTechHdr,0))</f>
        <v/>
      </c>
      <c r="I12" s="45">
        <f>INDEX(PTechVal,MATCH($A12,PTechKey,0),MATCH("tcx_usd_per_kw",PTechHdr,0))</f>
        <v/>
      </c>
      <c r="J12" s="45">
        <f>INDEX(PTechVal,MATCH($A12,PTechKey,0),MATCH("opf_usd_per_kwh",PTechHdr,0))</f>
        <v/>
      </c>
      <c r="K12" s="45">
        <f>INDEX(PTechVal,MATCH($A12,PTechKey,0),MATCH("vop_usd_per_kwh",PTechHdr,0))</f>
        <v/>
      </c>
      <c r="L12" s="45">
        <f>INDEX(PTechVal,MATCH($A12,PTechKey,0),MATCH("fuel_fixed_usd_per_kwh",PTechHdr,0))</f>
        <v/>
      </c>
      <c r="M12" s="45">
        <f>INDEX(PTechVal,MATCH($A12,PTechKey,0),MATCH("rns_usd_per_kwh",PTechHdr,0))</f>
        <v/>
      </c>
      <c r="N12" s="45">
        <f>INDEX(PTechVal,MATCH($A12,PTechKey,0),MATCH("price_code",PTechHdr,0))&amp;""</f>
        <v/>
      </c>
      <c r="O12" s="10">
        <f>INDEX(PTechVal,MATCH($A12,PTechKey,0),MATCH("vre",PTechHdr,0))</f>
        <v/>
      </c>
      <c r="P12" s="10">
        <f>INDEX(PTechVal,MATCH($A12,PTechKey,0),MATCH("vre_share",PTechHdr,0))</f>
        <v/>
      </c>
      <c r="Q12" s="35">
        <f>(1-(1+$G12)^-$D12)/(1-(1+$G12)^-1)</f>
        <v/>
      </c>
      <c r="R12" s="45">
        <f>(1/$D12+$G12/2)/($F12*8760)</f>
        <v/>
      </c>
      <c r="S12" s="45">
        <f>$H12/$D12/($F12*8760)+$J12</f>
        <v/>
      </c>
      <c r="T12" s="45">
        <f>1/($F12*8760*$Q12)</f>
        <v/>
      </c>
      <c r="U12" s="45">
        <f>($H12+$I12)*$T12+$J12+$M12</f>
        <v/>
      </c>
      <c r="V12" s="45">
        <f>$K12+$L12</f>
        <v/>
      </c>
      <c r="W12" s="45">
        <f>IF($N12="",0,0.0036/$E12)</f>
        <v/>
      </c>
      <c r="X12" s="10">
        <f>IF($N12="",1,INDEX(Inputs_prices!$E$7:$E$18,MATCH($N12,Inputs_prices!$A$7:$A$18,0)))</f>
        <v/>
      </c>
      <c r="Y12" s="45">
        <f>IFERROR(INDEX(EFVal,MATCH(Settings!$C$4&amp;"|"&amp;$A12&amp;"|pow",EFKey,0)),0)</f>
        <v/>
      </c>
      <c r="Z12" s="45">
        <f>$Y12*$W12</f>
        <v/>
      </c>
      <c r="AA12" s="10">
        <f>IF($N12="",1,INDEX(Mapping!$H$30:$H$37,MATCH($A12,FuelKey,0)))</f>
        <v/>
      </c>
      <c r="AB12" s="10">
        <f>IF($N12="",1,INDEX(Mapping!$E$50:$E$63,MATCH($N12,Mapping!$A$50:$A$63,0)))</f>
        <v/>
      </c>
      <c r="AC12" s="24">
        <f>IF($N12="",1,INDEX(Mapping!$G$30:$G$37,MATCH($A12,FuelKey,0)))</f>
        <v/>
      </c>
      <c r="AD12" s="45">
        <f>$W12/$AC12</f>
        <v/>
      </c>
      <c r="AE12" s="47">
        <f>INDEX(PTechVal,MATCH($A12,PTechKey,0),MATCH("cap0_mw",PTechHdr,0))</f>
        <v/>
      </c>
      <c r="AF12" s="47">
        <f>INDEX(PTechVal,MATCH($A12,PTechKey,0),MATCH("gen0_mwy",PTechHdr,0))</f>
        <v/>
      </c>
      <c r="AG12" s="45">
        <f>INDEX(PTechVal,MATCH($A12,PTechKey,0),MATCH("retire_rate",PTechHdr,0))</f>
        <v/>
      </c>
      <c r="AH12" s="38">
        <f>INDEX(PTechVal,MATCH($A12,PTechKey,0),MATCH("invest_permitted",PTechHdr,0))&amp;""</f>
        <v/>
      </c>
      <c r="AI12" s="10">
        <f>INDEX(PTechVal,MATCH($A12,PTechKey,0),MATCH("invest_start",PTechHdr,0))</f>
        <v/>
      </c>
      <c r="AJ12" s="13">
        <f>INDEX(PTechVal,MATCH($A12,PTechKey,0),MATCH("scaleup_rate",PTechHdr,0))</f>
        <v/>
      </c>
      <c r="AK12" s="38">
        <f>INDEX(PTechVal,MATCH($A12,PTechKey,0),MATCH("dispatch",PTechHdr,0))&amp;""</f>
        <v/>
      </c>
      <c r="AL12" s="38">
        <f>INDEX(PTechVal,MATCH($A12,PTechKey,0),MATCH("planned_retirement",PTechHdr,0))&amp;""</f>
        <v/>
      </c>
      <c r="AM12" s="10">
        <f>IF($AL12="Yes",1,0)</f>
        <v/>
      </c>
      <c r="AN12" s="10">
        <f>IF($AK12="cg",1,0)</f>
        <v/>
      </c>
      <c r="AO12" s="10">
        <f>IF($A12="coa",1,0)</f>
        <v/>
      </c>
      <c r="AP12" s="45">
        <f>1/$F12</f>
        <v/>
      </c>
      <c r="AQ12" s="13">
        <f>$AF12/SUM($AF$5:$AF$13)</f>
        <v/>
      </c>
      <c r="AR12" s="45">
        <f>8.76/INDEX(PParVal,MATCH("ktoe_gwh",PParKey,0))/$E12</f>
        <v/>
      </c>
      <c r="AS12" s="45">
        <f>$Y12*Settings!$C$13</f>
        <v/>
      </c>
      <c r="AT12" s="106">
        <f>7*1.356E-06</f>
        <v/>
      </c>
      <c r="AU12" s="35">
        <f>IFERROR(INDEX(ECPCov,MATCH("ecs."&amp;"pow",ECPKey,0))*INDEX(ECPCov,MATCH("ecf."&amp;$A12,ECPKey,0)),0)</f>
        <v/>
      </c>
      <c r="AV12" s="35">
        <f>IFERROR(INDEX(ECPCov,MATCH("ees."&amp;"pow",ECPKey,0))*INDEX(ECPCov,MATCH("eef."&amp;$A12,ECPKey,0)),0)</f>
        <v/>
      </c>
      <c r="AW12" s="10">
        <f>IF(ISNUMBER(MATCH($A12,FuelKey,0)),1,0)</f>
        <v/>
      </c>
    </row>
    <row r="13">
      <c r="A13" s="53" t="inlineStr">
        <is>
          <t>bio</t>
        </is>
      </c>
      <c r="B13" s="45">
        <f>INDEX(PTechVal,MATCH($A13,PTechKey,0),MATCH("name",PTechHdr,0))&amp;""</f>
        <v/>
      </c>
      <c r="C13" s="44">
        <f>INDEX(PTechVal,MATCH($A13,PTechKey,0),MATCH("cax0_usd_per_kw",PTechHdr,0))</f>
        <v/>
      </c>
      <c r="D13" s="10">
        <f>INDEX(PTechVal,MATCH($A13,PTechKey,0),MATCH("life_years",PTechHdr,0))</f>
        <v/>
      </c>
      <c r="E13" s="35">
        <f>INDEX(PTechVal,MATCH($A13,PTechKey,0),MATCH("efficiency",PTechHdr,0))</f>
        <v/>
      </c>
      <c r="F13" s="35">
        <f>INDEX(PTechVal,MATCH($A13,PTechKey,0),MATCH("capacity_factor",PTechHdr,0))</f>
        <v/>
      </c>
      <c r="G13" s="13">
        <f>INDEX(PTechVal,MATCH($A13,PTechKey,0),MATCH("wacc",PTechHdr,0))</f>
        <v/>
      </c>
      <c r="H13" s="45">
        <f>INDEX(PTechVal,MATCH($A13,PTechKey,0),MATCH("dtc_usd_per_kw",PTechHdr,0))</f>
        <v/>
      </c>
      <c r="I13" s="45">
        <f>INDEX(PTechVal,MATCH($A13,PTechKey,0),MATCH("tcx_usd_per_kw",PTechHdr,0))</f>
        <v/>
      </c>
      <c r="J13" s="45">
        <f>INDEX(PTechVal,MATCH($A13,PTechKey,0),MATCH("opf_usd_per_kwh",PTechHdr,0))</f>
        <v/>
      </c>
      <c r="K13" s="45">
        <f>INDEX(PTechVal,MATCH($A13,PTechKey,0),MATCH("vop_usd_per_kwh",PTechHdr,0))</f>
        <v/>
      </c>
      <c r="L13" s="45">
        <f>INDEX(PTechVal,MATCH($A13,PTechKey,0),MATCH("fuel_fixed_usd_per_kwh",PTechHdr,0))</f>
        <v/>
      </c>
      <c r="M13" s="45">
        <f>INDEX(PTechVal,MATCH($A13,PTechKey,0),MATCH("rns_usd_per_kwh",PTechHdr,0))</f>
        <v/>
      </c>
      <c r="N13" s="45">
        <f>INDEX(PTechVal,MATCH($A13,PTechKey,0),MATCH("price_code",PTechHdr,0))&amp;""</f>
        <v/>
      </c>
      <c r="O13" s="10">
        <f>INDEX(PTechVal,MATCH($A13,PTechKey,0),MATCH("vre",PTechHdr,0))</f>
        <v/>
      </c>
      <c r="P13" s="10">
        <f>INDEX(PTechVal,MATCH($A13,PTechKey,0),MATCH("vre_share",PTechHdr,0))</f>
        <v/>
      </c>
      <c r="Q13" s="35">
        <f>(1-(1+$G13)^-$D13)/(1-(1+$G13)^-1)</f>
        <v/>
      </c>
      <c r="R13" s="45">
        <f>(1/$D13+$G13/2)/($F13*8760)</f>
        <v/>
      </c>
      <c r="S13" s="45">
        <f>$H13/$D13/($F13*8760)+$J13</f>
        <v/>
      </c>
      <c r="T13" s="45">
        <f>1/($F13*8760*$Q13)</f>
        <v/>
      </c>
      <c r="U13" s="45">
        <f>($H13+$I13)*$T13+$J13+$M13</f>
        <v/>
      </c>
      <c r="V13" s="45">
        <f>$K13+$L13</f>
        <v/>
      </c>
      <c r="W13" s="45">
        <f>IF($N13="",0,0.0036/$E13)</f>
        <v/>
      </c>
      <c r="X13" s="10">
        <f>IF($N13="",1,INDEX(Inputs_prices!$E$7:$E$18,MATCH($N13,Inputs_prices!$A$7:$A$18,0)))</f>
        <v/>
      </c>
      <c r="Y13" s="45">
        <f>IFERROR(INDEX(EFVal,MATCH(Settings!$C$4&amp;"|"&amp;$A13&amp;"|pow",EFKey,0)),0)</f>
        <v/>
      </c>
      <c r="Z13" s="45">
        <f>$Y13*$W13</f>
        <v/>
      </c>
      <c r="AA13" s="10">
        <f>IF($N13="",1,INDEX(Mapping!$H$30:$H$37,MATCH($A13,FuelKey,0)))</f>
        <v/>
      </c>
      <c r="AB13" s="10">
        <f>IF($N13="",1,INDEX(Mapping!$E$50:$E$63,MATCH($N13,Mapping!$A$50:$A$63,0)))</f>
        <v/>
      </c>
      <c r="AC13" s="24">
        <f>IF($N13="",1,INDEX(Mapping!$G$30:$G$37,MATCH($A13,FuelKey,0)))</f>
        <v/>
      </c>
      <c r="AD13" s="45">
        <f>$W13/$AC13</f>
        <v/>
      </c>
      <c r="AE13" s="47">
        <f>INDEX(PTechVal,MATCH($A13,PTechKey,0),MATCH("cap0_mw",PTechHdr,0))</f>
        <v/>
      </c>
      <c r="AF13" s="47">
        <f>INDEX(PTechVal,MATCH($A13,PTechKey,0),MATCH("gen0_mwy",PTechHdr,0))</f>
        <v/>
      </c>
      <c r="AG13" s="45">
        <f>INDEX(PTechVal,MATCH($A13,PTechKey,0),MATCH("retire_rate",PTechHdr,0))</f>
        <v/>
      </c>
      <c r="AH13" s="38">
        <f>INDEX(PTechVal,MATCH($A13,PTechKey,0),MATCH("invest_permitted",PTechHdr,0))&amp;""</f>
        <v/>
      </c>
      <c r="AI13" s="10">
        <f>INDEX(PTechVal,MATCH($A13,PTechKey,0),MATCH("invest_start",PTechHdr,0))</f>
        <v/>
      </c>
      <c r="AJ13" s="13">
        <f>INDEX(PTechVal,MATCH($A13,PTechKey,0),MATCH("scaleup_rate",PTechHdr,0))</f>
        <v/>
      </c>
      <c r="AK13" s="38">
        <f>INDEX(PTechVal,MATCH($A13,PTechKey,0),MATCH("dispatch",PTechHdr,0))&amp;""</f>
        <v/>
      </c>
      <c r="AL13" s="38">
        <f>INDEX(PTechVal,MATCH($A13,PTechKey,0),MATCH("planned_retirement",PTechHdr,0))&amp;""</f>
        <v/>
      </c>
      <c r="AM13" s="10">
        <f>IF($AL13="Yes",1,0)</f>
        <v/>
      </c>
      <c r="AN13" s="10">
        <f>IF($AK13="cg",1,0)</f>
        <v/>
      </c>
      <c r="AO13" s="10">
        <f>IF($A13="coa",1,0)</f>
        <v/>
      </c>
      <c r="AP13" s="45">
        <f>1/$F13</f>
        <v/>
      </c>
      <c r="AQ13" s="13">
        <f>$AF13/SUM($AF$5:$AF$13)</f>
        <v/>
      </c>
      <c r="AR13" s="45">
        <f>8.76/INDEX(PParVal,MATCH("ktoe_gwh",PParKey,0))/$E13</f>
        <v/>
      </c>
      <c r="AS13" s="45">
        <f>$Y13*Settings!$C$13</f>
        <v/>
      </c>
      <c r="AT13" s="106">
        <f>8*1.356E-06</f>
        <v/>
      </c>
      <c r="AU13" s="35">
        <f>IFERROR(INDEX(ECPCov,MATCH("ecs."&amp;"pow",ECPKey,0))*INDEX(ECPCov,MATCH("ecf."&amp;$A13,ECPKey,0)),0)</f>
        <v/>
      </c>
      <c r="AV13" s="35">
        <f>IFERROR(INDEX(ECPCov,MATCH("ees."&amp;"pow",ECPKey,0))*INDEX(ECPCov,MATCH("eef."&amp;$A13,ECPKey,0)),0)</f>
        <v/>
      </c>
      <c r="AW13" s="10">
        <f>IF(ISNUMBER(MATCH($A13,FuelKey,0)),1,0)</f>
        <v/>
      </c>
    </row>
    <row r="15">
      <c r="A15" s="1" t="inlineStr">
        <is>
          <t>End-user groups (legacy G1 residential, G2 industrial)</t>
        </is>
      </c>
    </row>
    <row r="16">
      <c r="A16" s="1" t="inlineStr">
        <is>
          <t>Prices_dom row of the column year -&gt;</t>
        </is>
      </c>
      <c r="J16" s="10">
        <f>MATCH(Settings!$C$4&amp;J$18,PDomKey,0)</f>
        <v/>
      </c>
      <c r="K16" s="10">
        <f>MATCH(Settings!$C$4&amp;K$18,PDomKey,0)</f>
        <v/>
      </c>
      <c r="L16" s="10">
        <f>MATCH(Settings!$C$4&amp;L$18,PDomKey,0)</f>
        <v/>
      </c>
      <c r="M16" s="10">
        <f>MATCH(Settings!$C$4&amp;M$18,PDomKey,0)</f>
        <v/>
      </c>
    </row>
    <row r="17">
      <c r="A17" s="1" t="inlineStr">
        <is>
          <t>CPI index of the column year (ResultsYear = 1) -&gt;</t>
        </is>
      </c>
      <c r="J17" s="16">
        <f>CPIRes/INDEX(WEOVal,MATCH("USA|pcpi",WEOKey,0),MATCH(J$18,WEOYear,0))</f>
        <v/>
      </c>
      <c r="K17" s="16">
        <f>CPIRes/INDEX(WEOVal,MATCH("USA|pcpi",WEOKey,0),MATCH(K$18,WEOYear,0))</f>
        <v/>
      </c>
      <c r="L17" s="16">
        <f>CPIRes/INDEX(WEOVal,MATCH("USA|pcpi",WEOKey,0),MATCH(L$18,WEOYear,0))</f>
        <v/>
      </c>
      <c r="M17" s="16">
        <f>CPIRes/INDEX(WEOVal,MATCH("USA|pcpi",WEOKey,0),MATCH(M$18,WEOYear,0))</f>
        <v/>
      </c>
    </row>
    <row r="18" ht="48" customHeight="1">
      <c r="A18" s="90" t="inlineStr">
        <is>
          <t>User group</t>
        </is>
      </c>
      <c r="B18" s="90" t="inlineStr">
        <is>
          <t>Label</t>
        </is>
      </c>
      <c r="C18" s="90" t="inlineStr">
        <is>
          <t>Position</t>
        </is>
      </c>
      <c r="D18" s="90" t="inlineStr">
        <is>
          <t>Consumption: weight on total demand</t>
        </is>
      </c>
      <c r="E18" s="90" t="inlineStr">
        <is>
          <t>Consumption: weight on residential demand</t>
        </is>
      </c>
      <c r="F18" s="90" t="inlineStr">
        <is>
          <t>Transmission and distribution ($/kWh)</t>
        </is>
      </c>
      <c r="G18" s="90" t="inlineStr">
        <is>
          <t>Pass-through of supply-cost changes</t>
        </is>
      </c>
      <c r="H18" s="90" t="inlineStr">
        <is>
          <t>VAT rate, last historical year (data; blank = 0)</t>
        </is>
      </c>
      <c r="I18" s="90" t="inlineStr">
        <is>
          <t>VAT share of the price: VAT / (1 + VAT)</t>
        </is>
      </c>
      <c r="J18" s="100" t="n">
        <v>2021</v>
      </c>
      <c r="K18" s="100" t="n">
        <v>2022</v>
      </c>
      <c r="L18" s="100" t="n">
        <v>2023</v>
      </c>
      <c r="M18" s="100" t="n">
        <v>2024</v>
      </c>
    </row>
    <row r="19">
      <c r="A19" s="107" t="inlineStr">
        <is>
          <t>res</t>
        </is>
      </c>
      <c r="B19" s="107" t="inlineStr">
        <is>
          <t>Residential</t>
        </is>
      </c>
      <c r="C19" s="26" t="n">
        <v>1</v>
      </c>
      <c r="D19" s="26" t="n">
        <v>0</v>
      </c>
      <c r="E19" s="26" t="n">
        <v>1</v>
      </c>
      <c r="F19" s="16">
        <f>INDEX(PParVal,MATCH("tmc|res",PParKey,0))</f>
        <v/>
      </c>
      <c r="G19" s="16">
        <f>INDEX(PParVal,MATCH("pass",PParKey,0))</f>
        <v/>
      </c>
      <c r="H19" s="13">
        <f>IFERROR(INDEX(PDomVal,PDomLast,MATCH("mit.vatrate.ecy."&amp;$A19,PDomHdr,0))+0,0)</f>
        <v/>
      </c>
      <c r="I19" s="13">
        <f>$H19/(1+$H19)</f>
        <v/>
      </c>
      <c r="J19" s="16">
        <f>IFERROR(INDEX(PDomVal,J$16,MATCH("mit.rp.ecy."&amp;$A19,PDomHdr,0))+0,0)*J$17</f>
        <v/>
      </c>
      <c r="K19" s="16">
        <f>IFERROR(INDEX(PDomVal,K$16,MATCH("mit.rp.ecy."&amp;$A19,PDomHdr,0))+0,0)*K$17</f>
        <v/>
      </c>
      <c r="L19" s="16">
        <f>IFERROR(INDEX(PDomVal,L$16,MATCH("mit.rp.ecy."&amp;$A19,PDomHdr,0))+0,0)*L$17</f>
        <v/>
      </c>
      <c r="M19" s="16">
        <f>IFERROR(INDEX(PDomVal,M$16,MATCH("mit.rp.ecy."&amp;$A19,PDomHdr,0))+0,0)*M$17</f>
        <v/>
      </c>
    </row>
    <row r="20">
      <c r="A20" s="107" t="inlineStr">
        <is>
          <t>ind</t>
        </is>
      </c>
      <c r="B20" s="107" t="inlineStr">
        <is>
          <t>Industry</t>
        </is>
      </c>
      <c r="C20" s="26" t="n">
        <v>2</v>
      </c>
      <c r="D20" s="26" t="n">
        <v>1</v>
      </c>
      <c r="E20" s="26" t="n">
        <v>-1</v>
      </c>
      <c r="F20" s="16">
        <f>INDEX(PParVal,MATCH("tmc|ind",PParKey,0))</f>
        <v/>
      </c>
      <c r="G20" s="16">
        <f>INDEX(PParVal,MATCH("pass",PParKey,0))</f>
        <v/>
      </c>
      <c r="H20" s="13">
        <f>IFERROR(INDEX(PDomVal,PDomLast,MATCH("mit.vatrate.ecy."&amp;$A20,PDomHdr,0))+0,0)</f>
        <v/>
      </c>
      <c r="I20" s="13">
        <f>$H20/(1+$H20)</f>
        <v/>
      </c>
      <c r="J20" s="16">
        <f>IFERROR(INDEX(PDomVal,J$16,MATCH("mit.rp.ecy."&amp;$A20,PDomHdr,0))+0,0)*J$17</f>
        <v/>
      </c>
      <c r="K20" s="16">
        <f>IFERROR(INDEX(PDomVal,K$16,MATCH("mit.rp.ecy."&amp;$A20,PDomHdr,0))+0,0)*K$17</f>
        <v/>
      </c>
      <c r="L20" s="16">
        <f>IFERROR(INDEX(PDomVal,L$16,MATCH("mit.rp.ecy."&amp;$A20,PDomHdr,0))+0,0)*L$17</f>
        <v/>
      </c>
      <c r="M20" s="16">
        <f>IFERROR(INDEX(PDomVal,M$16,MATCH("mit.rp.ecy."&amp;$A20,PDomHdr,0))+0,0)*M$17</f>
        <v/>
      </c>
    </row>
    <row r="27">
      <c r="A27" s="1" t="inlineStr">
        <is>
          <t>Power demand groups (legacy H1; elasticities from sheet Elasticities, fuel ecy, by income group)</t>
        </is>
      </c>
    </row>
    <row r="28">
      <c r="A28" s="90" t="inlineStr">
        <is>
          <t>Demand group</t>
        </is>
      </c>
      <c r="B28" s="90" t="inlineStr">
        <is>
          <t>Label</t>
        </is>
      </c>
      <c r="C28" s="90" t="inlineStr">
        <is>
          <t>Position</t>
        </is>
      </c>
      <c r="D28" s="90" t="inlineStr">
        <is>
          <t>Price weight on the residential price (transport 0.5; industry, services 0)</t>
        </is>
      </c>
      <c r="E28" s="90" t="inlineStr">
        <is>
          <t>GDP elasticity eps_Y</t>
        </is>
      </c>
      <c r="F28" s="90" t="inlineStr">
        <is>
          <t>Usage elasticity eps_U</t>
        </is>
      </c>
      <c r="G28" s="90" t="inlineStr">
        <is>
          <t>Efficiency elasticity eps_F</t>
        </is>
      </c>
      <c r="H28" s="90" t="inlineStr">
        <is>
          <t>Autonomous efficiency gain alpha</t>
        </is>
      </c>
      <c r="I28" s="90" t="inlineStr">
        <is>
          <t>Efficiency multiple (1 / (1 + alpha + additional efficiency))^(1 + eps_U)</t>
        </is>
      </c>
      <c r="J28" s="90" t="inlineStr">
        <is>
          <t>Total price elasticity eps_U + eps_F + eps_U x eps_F (legacy row 3679)</t>
        </is>
      </c>
      <c r="K28" s="90" t="inlineStr">
        <is>
          <t>Price of 2021 (real $/kWh; weighted)</t>
        </is>
      </c>
    </row>
    <row r="29">
      <c r="A29" s="107" t="inlineStr">
        <is>
          <t>tra</t>
        </is>
      </c>
      <c r="B29" s="107" t="inlineStr">
        <is>
          <t>Transport</t>
        </is>
      </c>
      <c r="C29" s="10" t="n">
        <v>1</v>
      </c>
      <c r="D29" s="107" t="n">
        <v>0.5</v>
      </c>
      <c r="E29" s="16">
        <f>INDEX(ElaVal,MATCH("inc|ecy|"&amp;$A29,ElaKey,0),MATCH(Settings!$C$6,ElaGroup,0))</f>
        <v/>
      </c>
      <c r="F29" s="16">
        <f>INDEX(ElaVal,MATCH("usg|ecy|"&amp;$A29,ElaKey,0),MATCH(Settings!$C$6,ElaGroup,0))</f>
        <v/>
      </c>
      <c r="G29" s="16">
        <f>INDEX(ElaVal,MATCH("eff|ecy|"&amp;$A29,ElaKey,0),MATCH(Settings!$C$6,ElaGroup,0))</f>
        <v/>
      </c>
      <c r="H29" s="16">
        <f>INDEX(ElaVal,MATCH("aei|ecy|"&amp;$A29,ElaKey,0),MATCH(Settings!$C$6,ElaGroup,0))</f>
        <v/>
      </c>
      <c r="I29" s="16">
        <f>(1/(1+$H29+INDEX(PParVal,MATCH("extra_eff",PParKey,0))))^(1+$F29)</f>
        <v/>
      </c>
      <c r="J29" s="16">
        <f>$F29+$G29+$F29*$G29</f>
        <v/>
      </c>
      <c r="K29" s="16">
        <f>$D29*$J$19+(1-$D29)*$J$20</f>
        <v/>
      </c>
    </row>
    <row r="30">
      <c r="A30" s="107" t="inlineStr">
        <is>
          <t>res</t>
        </is>
      </c>
      <c r="B30" s="107" t="inlineStr">
        <is>
          <t>Residential</t>
        </is>
      </c>
      <c r="C30" s="10" t="n">
        <v>2</v>
      </c>
      <c r="D30" s="107" t="n">
        <v>1</v>
      </c>
      <c r="E30" s="16">
        <f>INDEX(ElaVal,MATCH("inc|ecy|"&amp;$A30,ElaKey,0),MATCH(Settings!$C$6,ElaGroup,0))</f>
        <v/>
      </c>
      <c r="F30" s="16">
        <f>INDEX(ElaVal,MATCH("usg|ecy|"&amp;$A30,ElaKey,0),MATCH(Settings!$C$6,ElaGroup,0))</f>
        <v/>
      </c>
      <c r="G30" s="16">
        <f>INDEX(ElaVal,MATCH("eff|ecy|"&amp;$A30,ElaKey,0),MATCH(Settings!$C$6,ElaGroup,0))</f>
        <v/>
      </c>
      <c r="H30" s="16">
        <f>INDEX(ElaVal,MATCH("aei|ecy|"&amp;$A30,ElaKey,0),MATCH(Settings!$C$6,ElaGroup,0))</f>
        <v/>
      </c>
      <c r="I30" s="16">
        <f>(1/(1+$H30+INDEX(PParVal,MATCH("extra_eff",PParKey,0))))^(1+$F30)</f>
        <v/>
      </c>
      <c r="J30" s="16">
        <f>$F30+$G30+$F30*$G30</f>
        <v/>
      </c>
      <c r="K30" s="16">
        <f>$D30*$J$19+(1-$D30)*$J$20</f>
        <v/>
      </c>
    </row>
    <row r="31">
      <c r="A31" s="107" t="inlineStr">
        <is>
          <t>ind</t>
        </is>
      </c>
      <c r="B31" s="107" t="inlineStr">
        <is>
          <t>Industry</t>
        </is>
      </c>
      <c r="C31" s="10" t="n">
        <v>3</v>
      </c>
      <c r="D31" s="107" t="n">
        <v>0</v>
      </c>
      <c r="E31" s="16">
        <f>INDEX(ElaVal,MATCH("inc|ecy|"&amp;$A31,ElaKey,0),MATCH(Settings!$C$6,ElaGroup,0))</f>
        <v/>
      </c>
      <c r="F31" s="16">
        <f>INDEX(ElaVal,MATCH("usg|ecy|"&amp;$A31,ElaKey,0),MATCH(Settings!$C$6,ElaGroup,0))</f>
        <v/>
      </c>
      <c r="G31" s="16">
        <f>INDEX(ElaVal,MATCH("eff|ecy|"&amp;$A31,ElaKey,0),MATCH(Settings!$C$6,ElaGroup,0))</f>
        <v/>
      </c>
      <c r="H31" s="16">
        <f>INDEX(ElaVal,MATCH("aei|ecy|"&amp;$A31,ElaKey,0),MATCH(Settings!$C$6,ElaGroup,0))</f>
        <v/>
      </c>
      <c r="I31" s="16">
        <f>(1/(1+$H31+INDEX(PParVal,MATCH("extra_eff",PParKey,0))))^(1+$F31)</f>
        <v/>
      </c>
      <c r="J31" s="16">
        <f>$F31+$G31+$F31*$G31</f>
        <v/>
      </c>
      <c r="K31" s="16">
        <f>$D31*$J$19+(1-$D31)*$J$20</f>
        <v/>
      </c>
    </row>
    <row r="32">
      <c r="A32" s="107" t="inlineStr">
        <is>
          <t>srv</t>
        </is>
      </c>
      <c r="B32" s="107" t="inlineStr">
        <is>
          <t>Services</t>
        </is>
      </c>
      <c r="C32" s="10" t="n">
        <v>4</v>
      </c>
      <c r="D32" s="107" t="n">
        <v>0</v>
      </c>
      <c r="E32" s="16">
        <f>INDEX(ElaVal,MATCH("inc|ecy|"&amp;$A32,ElaKey,0),MATCH(Settings!$C$6,ElaGroup,0))</f>
        <v/>
      </c>
      <c r="F32" s="16">
        <f>INDEX(ElaVal,MATCH("usg|ecy|"&amp;$A32,ElaKey,0),MATCH(Settings!$C$6,ElaGroup,0))</f>
        <v/>
      </c>
      <c r="G32" s="16">
        <f>INDEX(ElaVal,MATCH("eff|ecy|"&amp;$A32,ElaKey,0),MATCH(Settings!$C$6,ElaGroup,0))</f>
        <v/>
      </c>
      <c r="H32" s="16">
        <f>INDEX(ElaVal,MATCH("aei|ecy|"&amp;$A32,ElaKey,0),MATCH(Settings!$C$6,ElaGroup,0))</f>
        <v/>
      </c>
      <c r="I32" s="16">
        <f>(1/(1+$H32+INDEX(PParVal,MATCH("extra_eff",PParKey,0))))^(1+$F32)</f>
        <v/>
      </c>
      <c r="J32" s="16">
        <f>$F32+$G32+$F32*$G32</f>
        <v/>
      </c>
      <c r="K32" s="16">
        <f>$D32*$J$19+(1-$D32)*$J$20</f>
        <v/>
      </c>
    </row>
    <row r="34">
      <c r="A34" s="1" t="inlineStr">
        <is>
          <t>Power demand by subsector, base year (legacy H3; data sheet PowerDemand)</t>
        </is>
      </c>
    </row>
    <row r="35">
      <c r="A35" s="90" t="inlineStr">
        <is>
          <t>Subsector</t>
        </is>
      </c>
      <c r="B35" s="90" t="inlineStr">
        <is>
          <t>Label</t>
        </is>
      </c>
      <c r="C35" s="90" t="inlineStr">
        <is>
          <t>Demand group</t>
        </is>
      </c>
      <c r="D35" s="90" t="inlineStr">
        <is>
          <t>Demand-group position</t>
        </is>
      </c>
      <c r="E35" s="90" t="inlineStr">
        <is>
          <t>Electricity demand, base year (ktoe)</t>
        </is>
      </c>
    </row>
    <row r="36">
      <c r="A36" s="108" t="inlineStr">
        <is>
          <t>rod</t>
        </is>
      </c>
      <c r="B36" s="44" t="inlineStr">
        <is>
          <t>Road</t>
        </is>
      </c>
      <c r="C36" s="108" t="inlineStr">
        <is>
          <t>tra</t>
        </is>
      </c>
      <c r="D36" s="10">
        <f>MATCH($C36,$A$29:$A$32,0)</f>
        <v/>
      </c>
      <c r="E36" s="44">
        <f>INDEX(PowerDemand!$C$4:$C$100,MATCH($A36,PowerDemand!$A$4:$A$100,0))</f>
        <v/>
      </c>
    </row>
    <row r="37">
      <c r="A37" s="108" t="inlineStr">
        <is>
          <t>ral</t>
        </is>
      </c>
      <c r="B37" s="44" t="inlineStr">
        <is>
          <t>Rail</t>
        </is>
      </c>
      <c r="C37" s="108" t="inlineStr">
        <is>
          <t>tra</t>
        </is>
      </c>
      <c r="D37" s="10">
        <f>MATCH($C37,$A$29:$A$32,0)</f>
        <v/>
      </c>
      <c r="E37" s="44">
        <f>INDEX(PowerDemand!$C$4:$C$100,MATCH($A37,PowerDemand!$A$4:$A$100,0))</f>
        <v/>
      </c>
    </row>
    <row r="38">
      <c r="A38" s="108" t="inlineStr">
        <is>
          <t>avi</t>
        </is>
      </c>
      <c r="B38" s="44" t="inlineStr">
        <is>
          <t>Domestic aviation</t>
        </is>
      </c>
      <c r="C38" s="108" t="inlineStr">
        <is>
          <t>tra</t>
        </is>
      </c>
      <c r="D38" s="10">
        <f>MATCH($C38,$A$29:$A$32,0)</f>
        <v/>
      </c>
      <c r="E38" s="44">
        <f>INDEX(PowerDemand!$C$4:$C$100,MATCH($A38,PowerDemand!$A$4:$A$100,0))</f>
        <v/>
      </c>
    </row>
    <row r="39">
      <c r="A39" s="108" t="inlineStr">
        <is>
          <t>nav</t>
        </is>
      </c>
      <c r="B39" s="44" t="inlineStr">
        <is>
          <t>Domestic navigation</t>
        </is>
      </c>
      <c r="C39" s="108" t="inlineStr">
        <is>
          <t>tra</t>
        </is>
      </c>
      <c r="D39" s="10">
        <f>MATCH($C39,$A$29:$A$32,0)</f>
        <v/>
      </c>
      <c r="E39" s="44">
        <f>INDEX(PowerDemand!$C$4:$C$100,MATCH($A39,PowerDemand!$A$4:$A$100,0))</f>
        <v/>
      </c>
    </row>
    <row r="40">
      <c r="A40" s="108" t="inlineStr">
        <is>
          <t>res</t>
        </is>
      </c>
      <c r="B40" s="44" t="inlineStr">
        <is>
          <t>Residential</t>
        </is>
      </c>
      <c r="C40" s="108" t="inlineStr">
        <is>
          <t>res</t>
        </is>
      </c>
      <c r="D40" s="10">
        <f>MATCH($C40,$A$29:$A$32,0)</f>
        <v/>
      </c>
      <c r="E40" s="44">
        <f>INDEX(PowerDemand!$C$4:$C$100,MATCH($A40,PowerDemand!$A$4:$A$100,0))</f>
        <v/>
      </c>
    </row>
    <row r="41">
      <c r="A41" s="108" t="inlineStr">
        <is>
          <t>foo</t>
        </is>
      </c>
      <c r="B41" s="44" t="inlineStr">
        <is>
          <t>Food &amp; forestry</t>
        </is>
      </c>
      <c r="C41" s="108" t="inlineStr">
        <is>
          <t>ind</t>
        </is>
      </c>
      <c r="D41" s="10">
        <f>MATCH($C41,$A$29:$A$32,0)</f>
        <v/>
      </c>
      <c r="E41" s="44">
        <f>INDEX(PowerDemand!$C$4:$C$100,MATCH($A41,PowerDemand!$A$4:$A$100,0))</f>
        <v/>
      </c>
    </row>
    <row r="42">
      <c r="A42" s="108" t="inlineStr">
        <is>
          <t>srv</t>
        </is>
      </c>
      <c r="B42" s="44" t="inlineStr">
        <is>
          <t>Services (public &amp; private)</t>
        </is>
      </c>
      <c r="C42" s="108" t="inlineStr">
        <is>
          <t>srv</t>
        </is>
      </c>
      <c r="D42" s="10">
        <f>MATCH($C42,$A$29:$A$32,0)</f>
        <v/>
      </c>
      <c r="E42" s="44">
        <f>INDEX(PowerDemand!$C$4:$C$100,MATCH($A42,PowerDemand!$A$4:$A$100,0))</f>
        <v/>
      </c>
    </row>
    <row r="43">
      <c r="A43" s="108" t="inlineStr">
        <is>
          <t>mch</t>
        </is>
      </c>
      <c r="B43" s="44" t="inlineStr">
        <is>
          <t>Mining &amp; chemicals</t>
        </is>
      </c>
      <c r="C43" s="108" t="inlineStr">
        <is>
          <t>ind</t>
        </is>
      </c>
      <c r="D43" s="10">
        <f>MATCH($C43,$A$29:$A$32,0)</f>
        <v/>
      </c>
      <c r="E43" s="44">
        <f>INDEX(PowerDemand!$C$4:$C$100,MATCH($A43,PowerDemand!$A$4:$A$100,0))</f>
        <v/>
      </c>
    </row>
    <row r="44">
      <c r="A44" s="108" t="inlineStr">
        <is>
          <t>irn</t>
        </is>
      </c>
      <c r="B44" s="44" t="inlineStr">
        <is>
          <t>Iron &amp; steel</t>
        </is>
      </c>
      <c r="C44" s="108" t="inlineStr">
        <is>
          <t>ind</t>
        </is>
      </c>
      <c r="D44" s="10">
        <f>MATCH($C44,$A$29:$A$32,0)</f>
        <v/>
      </c>
      <c r="E44" s="44">
        <f>INDEX(PowerDemand!$C$4:$C$100,MATCH($A44,PowerDemand!$A$4:$A$100,0))</f>
        <v/>
      </c>
    </row>
    <row r="45">
      <c r="A45" s="108" t="inlineStr">
        <is>
          <t>nfm</t>
        </is>
      </c>
      <c r="B45" s="44" t="inlineStr">
        <is>
          <t>Other metals</t>
        </is>
      </c>
      <c r="C45" s="108" t="inlineStr">
        <is>
          <t>ind</t>
        </is>
      </c>
      <c r="D45" s="10">
        <f>MATCH($C45,$A$29:$A$32,0)</f>
        <v/>
      </c>
      <c r="E45" s="44">
        <f>INDEX(PowerDemand!$C$4:$C$100,MATCH($A45,PowerDemand!$A$4:$A$100,0))</f>
        <v/>
      </c>
    </row>
    <row r="46">
      <c r="A46" s="108" t="inlineStr">
        <is>
          <t>mac</t>
        </is>
      </c>
      <c r="B46" s="44" t="inlineStr">
        <is>
          <t>Machinery</t>
        </is>
      </c>
      <c r="C46" s="108" t="inlineStr">
        <is>
          <t>ind</t>
        </is>
      </c>
      <c r="D46" s="10">
        <f>MATCH($C46,$A$29:$A$32,0)</f>
        <v/>
      </c>
      <c r="E46" s="44">
        <f>INDEX(PowerDemand!$C$4:$C$100,MATCH($A46,PowerDemand!$A$4:$A$100,0))</f>
        <v/>
      </c>
    </row>
    <row r="47">
      <c r="A47" s="108" t="inlineStr">
        <is>
          <t>cem</t>
        </is>
      </c>
      <c r="B47" s="44" t="inlineStr">
        <is>
          <t>Cement</t>
        </is>
      </c>
      <c r="C47" s="108" t="inlineStr">
        <is>
          <t>ind</t>
        </is>
      </c>
      <c r="D47" s="10">
        <f>MATCH($C47,$A$29:$A$32,0)</f>
        <v/>
      </c>
      <c r="E47" s="44">
        <f>INDEX(PowerDemand!$C$4:$C$100,MATCH($A47,PowerDemand!$A$4:$A$100,0))</f>
        <v/>
      </c>
    </row>
    <row r="48">
      <c r="A48" s="108" t="inlineStr">
        <is>
          <t>omn</t>
        </is>
      </c>
      <c r="B48" s="44" t="inlineStr">
        <is>
          <t>Other manufacturing</t>
        </is>
      </c>
      <c r="C48" s="108" t="inlineStr">
        <is>
          <t>ind</t>
        </is>
      </c>
      <c r="D48" s="10">
        <f>MATCH($C48,$A$29:$A$32,0)</f>
        <v/>
      </c>
      <c r="E48" s="44">
        <f>INDEX(PowerDemand!$C$4:$C$100,MATCH($A48,PowerDemand!$A$4:$A$100,0))</f>
        <v/>
      </c>
    </row>
    <row r="49">
      <c r="A49" s="108" t="inlineStr">
        <is>
          <t>cst</t>
        </is>
      </c>
      <c r="B49" s="44" t="inlineStr">
        <is>
          <t>Construction</t>
        </is>
      </c>
      <c r="C49" s="108" t="inlineStr">
        <is>
          <t>ind</t>
        </is>
      </c>
      <c r="D49" s="10">
        <f>MATCH($C49,$A$29:$A$32,0)</f>
        <v/>
      </c>
      <c r="E49" s="44">
        <f>INDEX(PowerDemand!$C$4:$C$100,MATCH($A49,PowerDemand!$A$4:$A$100,0))</f>
        <v/>
      </c>
    </row>
    <row r="50">
      <c r="A50" s="108" t="inlineStr">
        <is>
          <t>oen</t>
        </is>
      </c>
      <c r="B50" s="44" t="inlineStr">
        <is>
          <t>Other energy use</t>
        </is>
      </c>
      <c r="C50" s="108" t="inlineStr">
        <is>
          <t>ind</t>
        </is>
      </c>
      <c r="D50" s="10">
        <f>MATCH($C50,$A$29:$A$32,0)</f>
        <v/>
      </c>
      <c r="E50" s="44">
        <f>INDEX(PowerDemand!$C$4:$C$100,MATCH($A50,PowerDemand!$A$4:$A$100,0))</f>
        <v/>
      </c>
    </row>
    <row r="52">
      <c r="A52" s="1" t="inlineStr">
        <is>
          <t>Derived system parameters</t>
        </is>
      </c>
    </row>
    <row r="53">
      <c r="A53" s="83" t="inlineStr">
        <is>
          <t>Key</t>
        </is>
      </c>
      <c r="B53" s="83" t="inlineStr">
        <is>
          <t>Value</t>
        </is>
      </c>
      <c r="C53" s="83" t="inlineStr">
        <is>
          <t>Description</t>
        </is>
      </c>
    </row>
    <row r="54">
      <c r="A54" s="22" t="inlineStr">
        <is>
          <t>sh_nxp</t>
        </is>
      </c>
      <c r="B54" s="45">
        <f>INDEX(PParVal,MATCH("sh_nxp",PParKey,0))</f>
        <v/>
      </c>
      <c r="C54" s="14" t="inlineStr">
        <is>
          <t>Net exports / final demand, base year (PowerParams)</t>
        </is>
      </c>
    </row>
    <row r="55">
      <c r="A55" s="22" t="inlineStr">
        <is>
          <t>sh_tsd</t>
        </is>
      </c>
      <c r="B55" s="45">
        <f>INDEX(PParVal,MATCH("sh_tsd",PParKey,0))</f>
        <v/>
      </c>
      <c r="C55" s="14" t="inlineStr">
        <is>
          <t>Transmission and statistical differences / final demand (PowerParams)</t>
        </is>
      </c>
    </row>
    <row r="56">
      <c r="A56" s="22" t="inlineStr">
        <is>
          <t>sh_eou</t>
        </is>
      </c>
      <c r="B56" s="45">
        <f>INDEX(PParVal,MATCH("sh_eou",PParKey,0))</f>
        <v/>
      </c>
      <c r="C56" s="14" t="inlineStr">
        <is>
          <t>Energy industry own use / final demand (PowerParams)</t>
        </is>
      </c>
    </row>
    <row r="57">
      <c r="A57" s="22" t="inlineStr">
        <is>
          <t>sh_add</t>
        </is>
      </c>
      <c r="B57" s="45">
        <f>INDEX(PParVal,MATCH("sh_add",PParKey,0))</f>
        <v/>
      </c>
      <c r="C57" s="14" t="inlineStr">
        <is>
          <t>Additional statistical difference / final demand (PowerParams)</t>
        </is>
      </c>
    </row>
    <row r="58">
      <c r="A58" s="22" t="inlineStr">
        <is>
          <t>ktoe_gwh</t>
        </is>
      </c>
      <c r="B58" s="45">
        <f>INDEX(PParVal,MATCH("ktoe_gwh",PParKey,0))</f>
        <v/>
      </c>
      <c r="C58" s="14" t="inlineStr">
        <is>
          <t>GWh per ktoe (PowerParams)</t>
        </is>
      </c>
    </row>
    <row r="59">
      <c r="A59" s="22" t="inlineStr">
        <is>
          <t>req_factor</t>
        </is>
      </c>
      <c r="B59" s="45">
        <f>(1+$B$54+$B$55+$B$56+$B$57)*$B$58*1000/8760</f>
        <v/>
      </c>
      <c r="C59" s="14" t="inlineStr">
        <is>
          <t>Required generation per final demand: (1 + net exports + transmission + own use + stat. diff. shares) x GWh per ktoe x 1000 / 8760 (MWy per ktoe)</t>
        </is>
      </c>
    </row>
    <row r="60">
      <c r="A60" s="22" t="inlineStr">
        <is>
          <t>cf_coal</t>
        </is>
      </c>
      <c r="B60" s="45">
        <f>$F$5</f>
        <v/>
      </c>
      <c r="C60" s="14" t="inlineStr">
        <is>
          <t>Capacity factor of coal (early retirement, effective to nameplate)</t>
        </is>
      </c>
    </row>
    <row r="63">
      <c r="A63" s="14" t="inlineStr">
        <is>
          <t>Derived constants follow PowerPrices_Method_v2_3.md: amortised fixed cost = caxav x acap + afix + stoav (legacy B3-B7 in one line); levelised fixed cost = cax x lcap + lfix + VRE x msc (legacy C1-C6); variable cost = vfix + rpb x k (legacy D4, with k = 0.0036 / efficiency).</t>
        </is>
      </c>
    </row>
    <row r="64">
      <c r="A64" s="14" t="inlineStr">
        <is>
          <t>Types without a price fuel (nuclear, wind, solar, hydro, other renewables) take position 1 with factor 0 (k, efk, kpu = 0), so the price and policy terms vanish.</t>
        </is>
      </c>
    </row>
    <row r="65">
      <c r="A65" s="14" t="inlineStr">
        <is>
          <t>Historical electricity prices: Prices_dom mit.rp.ecy.res / .ind (corrected Egypt block, nominal $/kWh incl. VAT) x CPI index of the year. VAT rate: Prices_dom mit.vatrate.ecy.* of the last historical year (blank = 0).</t>
        </is>
      </c>
    </row>
  </sheetData>
  <pageMargins left="0.75" right="0.75" top="1" bottom="1" header="0.5" footer="0.5"/>
</worksheet>
</file>

<file path=xl/worksheets/sheet15.xml><?xml version="1.0" encoding="utf-8"?>
<worksheet xmlns="http://schemas.openxmlformats.org/spreadsheetml/2006/main">
  <sheetPr codeName="Sheet15">
    <outlinePr summaryBelow="1" summaryRight="1"/>
    <pageSetUpPr/>
  </sheetPr>
  <dimension ref="A2:K210"/>
  <sheetViews>
    <sheetView tabSelected="0" workbookViewId="0">
      <selection activeCell="A1" sqref="A1"/>
    </sheetView>
  </sheetViews>
  <sheetFormatPr baseColWidth="8" defaultRowHeight="15" outlineLevelCol="0"/>
  <cols>
    <col width="14" customWidth="1" min="1" max="1"/>
    <col width="46" customWidth="1" min="2" max="2"/>
    <col width="9" customWidth="1" min="3" max="3"/>
    <col width="9" customWidth="1" min="4" max="4"/>
    <col width="34" customWidth="1" min="5" max="5"/>
    <col width="60" customWidth="1" min="6" max="6"/>
    <col width="16" customWidth="1" min="7" max="7"/>
    <col width="16" customWidth="1" min="8" max="8"/>
    <col width="16" customWidth="1" min="9" max="9"/>
    <col width="16" customWidth="1" min="10" max="10"/>
    <col width="12" customWidth="1" min="11" max="11"/>
  </cols>
  <sheetData>
    <row r="2">
      <c r="A2" s="2" t="inlineStr">
        <is>
          <t>Variables: label, unit, code suffix, source and parameter columns by variable code</t>
        </is>
      </c>
      <c r="B2" s="3" t="n"/>
      <c r="C2" s="3" t="n"/>
      <c r="D2" s="3" t="n"/>
      <c r="E2" s="3" t="n"/>
      <c r="F2" s="3" t="n"/>
      <c r="G2" s="3" t="n"/>
      <c r="H2" s="3" t="n"/>
      <c r="I2" s="3" t="n"/>
      <c r="J2" s="3" t="n"/>
    </row>
    <row r="3">
      <c r="A3" s="14" t="inlineStr">
        <is>
          <t>Mitigation looks up Description, Unit and Source here and builds the output code country.mit.&lt;variable&gt;.&lt;subsector&gt;.&lt;fuel&gt;.&lt;suffix&gt;.&lt;scenario&gt;. Param 1-4 = Mitigation D:G.</t>
        </is>
      </c>
    </row>
    <row r="4">
      <c r="A4" s="83" t="inlineStr">
        <is>
          <t>Variable code</t>
        </is>
      </c>
      <c r="B4" s="83" t="inlineStr">
        <is>
          <t>Label</t>
        </is>
      </c>
      <c r="C4" s="83" t="inlineStr">
        <is>
          <t>Unit</t>
        </is>
      </c>
      <c r="D4" s="83" t="inlineStr">
        <is>
          <t>Code suffix</t>
        </is>
      </c>
      <c r="E4" s="83" t="inlineStr">
        <is>
          <t>Source</t>
        </is>
      </c>
      <c r="F4" s="83" t="inlineStr">
        <is>
          <t>Legacy reference</t>
        </is>
      </c>
      <c r="G4" s="83" t="inlineStr">
        <is>
          <t>Param 1 (D)</t>
        </is>
      </c>
      <c r="H4" s="83" t="inlineStr">
        <is>
          <t>Param 2 (E)</t>
        </is>
      </c>
      <c r="I4" s="83" t="inlineStr">
        <is>
          <t>Param 3 (F)</t>
        </is>
      </c>
      <c r="J4" s="83" t="inlineStr">
        <is>
          <t>Param 4 (G)</t>
        </is>
      </c>
      <c r="K4" s="83" t="inlineStr">
        <is>
          <t>Code end (.suffix. or .)</t>
        </is>
      </c>
    </row>
    <row r="5">
      <c r="A5" s="22" t="inlineStr">
        <is>
          <t>gdp.pos.pct</t>
        </is>
      </c>
      <c r="B5" s="22" t="inlineStr">
        <is>
          <t>Real GDP growth</t>
        </is>
      </c>
      <c r="C5" s="22" t="inlineStr">
        <is>
          <t>%</t>
        </is>
      </c>
      <c r="D5" s="22" t="inlineStr"/>
      <c r="E5" s="22" t="inlineStr">
        <is>
          <t>WEO (lookup by country)</t>
        </is>
      </c>
      <c r="F5" s="14" t="inlineStr">
        <is>
          <t>legacy Mitigation row 2446</t>
        </is>
      </c>
      <c r="K5" s="14">
        <f>IF($D5="",".","."&amp;$D5&amp;".")</f>
        <v/>
      </c>
    </row>
    <row r="6">
      <c r="A6" s="22" t="inlineStr">
        <is>
          <t>infl</t>
        </is>
      </c>
      <c r="B6" s="22" t="inlineStr">
        <is>
          <t>Inflation index: US CPI, ResultsYear = 1 (nominal -&gt; real for domestic prices and nominal policy inputs)</t>
        </is>
      </c>
      <c r="C6" s="22" t="inlineStr">
        <is>
          <t>index</t>
        </is>
      </c>
      <c r="D6" s="22" t="inlineStr"/>
      <c r="E6" s="22" t="inlineStr">
        <is>
          <t>WEO USA|pcpi: CPI(ResultsYear) / CPI(year)</t>
        </is>
      </c>
      <c r="F6" s="14" t="inlineStr">
        <is>
          <t>legacy Mitigation rows 456 / 725 (inflation index, 2026 = 100)</t>
        </is>
      </c>
      <c r="K6" s="14">
        <f>IF($D6="",".","."&amp;$D6&amp;".")</f>
        <v/>
      </c>
    </row>
    <row r="7">
      <c r="A7" s="22" t="inlineStr">
        <is>
          <t>defl</t>
        </is>
      </c>
      <c r="B7" s="22" t="inlineStr">
        <is>
          <t>Deflator index: US GDP deflator, ResultsYear = 1 (nominal -&gt; real for international prices)</t>
        </is>
      </c>
      <c r="C7" s="22" t="inlineStr">
        <is>
          <t>index</t>
        </is>
      </c>
      <c r="D7" s="22" t="inlineStr"/>
      <c r="E7" s="22" t="inlineStr">
        <is>
          <t>WEO USA|ngdp_d: deflator(ResultsYear) / deflator(year)</t>
        </is>
      </c>
      <c r="F7" s="14" t="inlineStr">
        <is>
          <t>legacy Mitigation row 467 (row 630 = 1 / it)</t>
        </is>
      </c>
      <c r="K7" s="14">
        <f>IF($D7="",".","."&amp;$D7&amp;".")</f>
        <v/>
      </c>
    </row>
    <row r="8">
      <c r="A8" s="22" t="inlineStr">
        <is>
          <t>CPIntro</t>
        </is>
      </c>
      <c r="B8" s="14">
        <f>INDEX(MTInputs!$B$8:$B$415,MATCH($A8,MTInputs!$H$8:$H$415,0))&amp;""</f>
        <v/>
      </c>
      <c r="C8" s="14">
        <f>INDEX(MTInputs!$C$8:$C$415,MATCH($A8,MTInputs!$H$8:$H$415,0))&amp;""</f>
        <v/>
      </c>
      <c r="D8" s="22" t="inlineStr"/>
      <c r="E8" s="22" t="inlineStr">
        <is>
          <t>MTInputs (scenario column)</t>
        </is>
      </c>
      <c r="F8" s="14" t="inlineStr">
        <is>
          <t>MTInputs row 18</t>
        </is>
      </c>
      <c r="K8" s="14">
        <f>IF($D8="",".","."&amp;$D8&amp;".")</f>
        <v/>
      </c>
    </row>
    <row r="9">
      <c r="A9" s="22" t="inlineStr">
        <is>
          <t>CPLevelStart</t>
        </is>
      </c>
      <c r="B9" s="14">
        <f>INDEX(MTInputs!$B$8:$B$415,MATCH($A9,MTInputs!$H$8:$H$415,0))&amp;""</f>
        <v/>
      </c>
      <c r="C9" s="14">
        <f>INDEX(MTInputs!$C$8:$C$415,MATCH($A9,MTInputs!$H$8:$H$415,0))&amp;""</f>
        <v/>
      </c>
      <c r="D9" s="22" t="inlineStr"/>
      <c r="E9" s="22" t="inlineStr">
        <is>
          <t>MTInputs (scenario column)</t>
        </is>
      </c>
      <c r="F9" s="14" t="inlineStr">
        <is>
          <t>MTInputs row 19</t>
        </is>
      </c>
      <c r="K9" s="14">
        <f>IF($D9="",".","."&amp;$D9&amp;".")</f>
        <v/>
      </c>
    </row>
    <row r="10">
      <c r="A10" s="22" t="inlineStr">
        <is>
          <t>CPLevelTarget</t>
        </is>
      </c>
      <c r="B10" s="14">
        <f>INDEX(MTInputs!$B$8:$B$415,MATCH($A10,MTInputs!$H$8:$H$415,0))&amp;""</f>
        <v/>
      </c>
      <c r="C10" s="14">
        <f>INDEX(MTInputs!$C$8:$C$415,MATCH($A10,MTInputs!$H$8:$H$415,0))&amp;""</f>
        <v/>
      </c>
      <c r="D10" s="22" t="inlineStr"/>
      <c r="E10" s="22" t="inlineStr">
        <is>
          <t>MTInputs (scenario column)</t>
        </is>
      </c>
      <c r="F10" s="14" t="inlineStr">
        <is>
          <t>MTInputs row 20</t>
        </is>
      </c>
      <c r="K10" s="14">
        <f>IF($D10="",".","."&amp;$D10&amp;".")</f>
        <v/>
      </c>
    </row>
    <row r="11">
      <c r="A11" s="22" t="inlineStr">
        <is>
          <t>CPOutro</t>
        </is>
      </c>
      <c r="B11" s="14">
        <f>INDEX(MTInputs!$B$8:$B$415,MATCH($A11,MTInputs!$H$8:$H$415,0))&amp;""</f>
        <v/>
      </c>
      <c r="C11" s="14">
        <f>INDEX(MTInputs!$C$8:$C$415,MATCH($A11,MTInputs!$H$8:$H$415,0))&amp;""</f>
        <v/>
      </c>
      <c r="D11" s="22" t="inlineStr"/>
      <c r="E11" s="22" t="inlineStr">
        <is>
          <t>MTInputs (scenario column)</t>
        </is>
      </c>
      <c r="F11" s="14" t="inlineStr">
        <is>
          <t>MTInputs row 21</t>
        </is>
      </c>
      <c r="K11" s="14">
        <f>IF($D11="",".","."&amp;$D11&amp;".")</f>
        <v/>
      </c>
    </row>
    <row r="12">
      <c r="A12" s="22" t="inlineStr">
        <is>
          <t>ExtendCarbonPriceBeyondOutro</t>
        </is>
      </c>
      <c r="B12" s="14">
        <f>INDEX(MTInputs!$B$8:$B$415,MATCH($A12,MTInputs!$H$8:$H$415,0))&amp;""</f>
        <v/>
      </c>
      <c r="C12" s="14">
        <f>INDEX(MTInputs!$C$8:$C$415,MATCH($A12,MTInputs!$H$8:$H$415,0))&amp;""</f>
        <v/>
      </c>
      <c r="D12" s="22" t="inlineStr"/>
      <c r="E12" s="22" t="inlineStr">
        <is>
          <t>MTInputs (scenario column)</t>
        </is>
      </c>
      <c r="F12" s="14" t="inlineStr">
        <is>
          <t>MTInputs row 265</t>
        </is>
      </c>
      <c r="K12" s="14">
        <f>IF($D12="",".","."&amp;$D12&amp;".")</f>
        <v/>
      </c>
    </row>
    <row r="13">
      <c r="A13" s="22" t="inlineStr">
        <is>
          <t>NomorReal</t>
        </is>
      </c>
      <c r="B13" s="14">
        <f>INDEX(MTInputs!$B$8:$B$415,MATCH($A13,MTInputs!$H$8:$H$415,0))&amp;""</f>
        <v/>
      </c>
      <c r="C13" s="14">
        <f>INDEX(MTInputs!$C$8:$C$415,MATCH($A13,MTInputs!$H$8:$H$415,0))&amp;""</f>
        <v/>
      </c>
      <c r="D13" s="22" t="inlineStr"/>
      <c r="E13" s="22" t="inlineStr">
        <is>
          <t>MTInputs (scenario column)</t>
        </is>
      </c>
      <c r="F13" s="14" t="inlineStr">
        <is>
          <t>MTInputs row 266</t>
        </is>
      </c>
      <c r="K13" s="14">
        <f>IF($D13="",".","."&amp;$D13&amp;".")</f>
        <v/>
      </c>
    </row>
    <row r="14">
      <c r="A14" s="22" t="inlineStr">
        <is>
          <t>IntEnerPricForeSource</t>
        </is>
      </c>
      <c r="B14" s="14">
        <f>INDEX(MTInputs!$B$8:$B$415,MATCH($A14,MTInputs!$H$8:$H$415,0))&amp;""</f>
        <v/>
      </c>
      <c r="C14" s="14">
        <f>INDEX(MTInputs!$C$8:$C$415,MATCH($A14,MTInputs!$H$8:$H$415,0))&amp;""</f>
        <v/>
      </c>
      <c r="D14" s="22" t="inlineStr"/>
      <c r="E14" s="22" t="inlineStr">
        <is>
          <t>MTInputs (scenario column)</t>
        </is>
      </c>
      <c r="F14" s="14" t="inlineStr">
        <is>
          <t>MTInputs row 220</t>
        </is>
      </c>
      <c r="K14" s="14">
        <f>IF($D14="",".","."&amp;$D14&amp;".")</f>
        <v/>
      </c>
    </row>
    <row r="15">
      <c r="A15" s="22" t="inlineStr">
        <is>
          <t>IntEnerPricForecastAdjustment</t>
        </is>
      </c>
      <c r="B15" s="14">
        <f>INDEX(MTInputs!$B$8:$B$415,MATCH($A15,MTInputs!$H$8:$H$415,0))&amp;""</f>
        <v/>
      </c>
      <c r="C15" s="14">
        <f>INDEX(MTInputs!$C$8:$C$415,MATCH($A15,MTInputs!$H$8:$H$415,0))&amp;""</f>
        <v/>
      </c>
      <c r="D15" s="22" t="inlineStr"/>
      <c r="E15" s="22" t="inlineStr">
        <is>
          <t>MTInputs (scenario column)</t>
        </is>
      </c>
      <c r="F15" s="14" t="inlineStr">
        <is>
          <t>MTInputs row 258</t>
        </is>
      </c>
      <c r="K15" s="14">
        <f>IF($D15="",".","."&amp;$D15&amp;".")</f>
        <v/>
      </c>
    </row>
    <row r="16">
      <c r="A16" s="22" t="inlineStr">
        <is>
          <t>D_NewETS</t>
        </is>
      </c>
      <c r="B16" s="14">
        <f>INDEX(MTInputs!$B$8:$B$415,MATCH($A16,MTInputs!$H$8:$H$415,0))&amp;""</f>
        <v/>
      </c>
      <c r="C16" s="14">
        <f>INDEX(MTInputs!$C$8:$C$415,MATCH($A16,MTInputs!$H$8:$H$415,0))&amp;""</f>
        <v/>
      </c>
      <c r="D16" s="22" t="inlineStr"/>
      <c r="E16" s="22" t="inlineStr">
        <is>
          <t>MTInputs (scenario column)</t>
        </is>
      </c>
      <c r="F16" s="14" t="inlineStr">
        <is>
          <t>MTInputs row 84</t>
        </is>
      </c>
      <c r="K16" s="14">
        <f>IF($D16="",".","."&amp;$D16&amp;".")</f>
        <v/>
      </c>
    </row>
    <row r="17">
      <c r="A17" s="22" t="inlineStr">
        <is>
          <t>D_ETSChangeRelStart</t>
        </is>
      </c>
      <c r="B17" s="14">
        <f>INDEX(MTInputs!$B$8:$B$415,MATCH($A17,MTInputs!$H$8:$H$415,0))&amp;""</f>
        <v/>
      </c>
      <c r="C17" s="14">
        <f>INDEX(MTInputs!$C$8:$C$415,MATCH($A17,MTInputs!$H$8:$H$415,0))&amp;""</f>
        <v/>
      </c>
      <c r="D17" s="22" t="inlineStr"/>
      <c r="E17" s="22" t="inlineStr">
        <is>
          <t>MTInputs (scenario column)</t>
        </is>
      </c>
      <c r="F17" s="14" t="inlineStr">
        <is>
          <t>MTInputs row 85</t>
        </is>
      </c>
      <c r="K17" s="14">
        <f>IF($D17="",".","."&amp;$D17&amp;".")</f>
        <v/>
      </c>
    </row>
    <row r="18">
      <c r="A18" s="22" t="inlineStr">
        <is>
          <t>D_ETSChangeRelTarget</t>
        </is>
      </c>
      <c r="B18" s="14">
        <f>INDEX(MTInputs!$B$8:$B$415,MATCH($A18,MTInputs!$H$8:$H$415,0))&amp;""</f>
        <v/>
      </c>
      <c r="C18" s="14">
        <f>INDEX(MTInputs!$C$8:$C$415,MATCH($A18,MTInputs!$H$8:$H$415,0))&amp;""</f>
        <v/>
      </c>
      <c r="D18" s="22" t="inlineStr"/>
      <c r="E18" s="22" t="inlineStr">
        <is>
          <t>MTInputs (scenario column)</t>
        </is>
      </c>
      <c r="F18" s="14" t="inlineStr">
        <is>
          <t>MTInputs row 86</t>
        </is>
      </c>
      <c r="K18" s="14">
        <f>IF($D18="",".","."&amp;$D18&amp;".")</f>
        <v/>
      </c>
    </row>
    <row r="19">
      <c r="A19" s="22" t="inlineStr">
        <is>
          <t>D_ETSCapCont</t>
        </is>
      </c>
      <c r="B19" s="14">
        <f>INDEX(MTInputs!$B$8:$B$415,MATCH($A19,MTInputs!$H$8:$H$415,0))&amp;""</f>
        <v/>
      </c>
      <c r="C19" s="14">
        <f>INDEX(MTInputs!$C$8:$C$415,MATCH($A19,MTInputs!$H$8:$H$415,0))&amp;""</f>
        <v/>
      </c>
      <c r="D19" s="22" t="inlineStr"/>
      <c r="E19" s="22" t="inlineStr">
        <is>
          <t>MTInputs (scenario column)</t>
        </is>
      </c>
      <c r="F19" s="14" t="inlineStr">
        <is>
          <t>MTInputs row 87</t>
        </is>
      </c>
      <c r="K19" s="14">
        <f>IF($D19="",".","."&amp;$D19&amp;".")</f>
        <v/>
      </c>
    </row>
    <row r="20">
      <c r="A20" s="22" t="inlineStr">
        <is>
          <t>D_ETSIntro</t>
        </is>
      </c>
      <c r="B20" s="14">
        <f>INDEX(MTInputs!$B$8:$B$415,MATCH($A20,MTInputs!$H$8:$H$415,0))&amp;""</f>
        <v/>
      </c>
      <c r="C20" s="14">
        <f>INDEX(MTInputs!$C$8:$C$415,MATCH($A20,MTInputs!$H$8:$H$415,0))&amp;""</f>
        <v/>
      </c>
      <c r="D20" s="22" t="inlineStr"/>
      <c r="E20" s="22" t="inlineStr">
        <is>
          <t>MTInputs (scenario column)</t>
        </is>
      </c>
      <c r="F20" s="14" t="inlineStr">
        <is>
          <t>MTInputs row 88</t>
        </is>
      </c>
      <c r="K20" s="14">
        <f>IF($D20="",".","."&amp;$D20&amp;".")</f>
        <v/>
      </c>
    </row>
    <row r="21">
      <c r="A21" s="22" t="inlineStr">
        <is>
          <t>D_ETSOutro</t>
        </is>
      </c>
      <c r="B21" s="14">
        <f>INDEX(MTInputs!$B$8:$B$415,MATCH($A21,MTInputs!$H$8:$H$415,0))&amp;""</f>
        <v/>
      </c>
      <c r="C21" s="14">
        <f>INDEX(MTInputs!$C$8:$C$415,MATCH($A21,MTInputs!$H$8:$H$415,0))&amp;""</f>
        <v/>
      </c>
      <c r="D21" s="22" t="inlineStr"/>
      <c r="E21" s="22" t="inlineStr">
        <is>
          <t>MTInputs (scenario column)</t>
        </is>
      </c>
      <c r="F21" s="14" t="inlineStr">
        <is>
          <t>MTInputs row 89</t>
        </is>
      </c>
      <c r="K21" s="14">
        <f>IF($D21="",".","."&amp;$D21&amp;".")</f>
        <v/>
      </c>
    </row>
    <row r="22">
      <c r="A22" s="22" t="inlineStr">
        <is>
          <t>D_ETSPriceOverride</t>
        </is>
      </c>
      <c r="B22" s="14">
        <f>INDEX(MTInputs!$B$8:$B$415,MATCH($A22,MTInputs!$H$8:$H$415,0))&amp;""</f>
        <v/>
      </c>
      <c r="C22" s="14">
        <f>INDEX(MTInputs!$C$8:$C$415,MATCH($A22,MTInputs!$H$8:$H$415,0))&amp;""</f>
        <v/>
      </c>
      <c r="D22" s="22" t="inlineStr"/>
      <c r="E22" s="22" t="inlineStr">
        <is>
          <t>MTInputs (scenario column)</t>
        </is>
      </c>
      <c r="F22" s="14" t="inlineStr">
        <is>
          <t>MTInputs row 93</t>
        </is>
      </c>
      <c r="K22" s="14">
        <f>IF($D22="",".","."&amp;$D22&amp;".")</f>
        <v/>
      </c>
    </row>
    <row r="23">
      <c r="A23" s="22" t="inlineStr">
        <is>
          <t>D_ETSVolatility</t>
        </is>
      </c>
      <c r="B23" s="14">
        <f>INDEX(MTInputs!$B$8:$B$415,MATCH($A23,MTInputs!$H$8:$H$415,0))&amp;""</f>
        <v/>
      </c>
      <c r="C23" s="14">
        <f>INDEX(MTInputs!$C$8:$C$415,MATCH($A23,MTInputs!$H$8:$H$415,0))&amp;""</f>
        <v/>
      </c>
      <c r="D23" s="22" t="inlineStr"/>
      <c r="E23" s="22" t="inlineStr">
        <is>
          <t>MTInputs (scenario column)</t>
        </is>
      </c>
      <c r="F23" s="14" t="inlineStr">
        <is>
          <t>MTInputs row 95</t>
        </is>
      </c>
      <c r="K23" s="14">
        <f>IF($D23="",".","."&amp;$D23&amp;".")</f>
        <v/>
      </c>
    </row>
    <row r="24">
      <c r="A24" s="22" t="inlineStr">
        <is>
          <t>D_ETSVolImpact</t>
        </is>
      </c>
      <c r="B24" s="14">
        <f>INDEX(MTInputs!$B$8:$B$415,MATCH($A24,MTInputs!$H$8:$H$415,0))&amp;""</f>
        <v/>
      </c>
      <c r="C24" s="14">
        <f>INDEX(MTInputs!$C$8:$C$415,MATCH($A24,MTInputs!$H$8:$H$415,0))&amp;""</f>
        <v/>
      </c>
      <c r="D24" s="22" t="inlineStr"/>
      <c r="E24" s="22" t="inlineStr">
        <is>
          <t>MTInputs (scenario column)</t>
        </is>
      </c>
      <c r="F24" s="14" t="inlineStr">
        <is>
          <t>MTInputs row 96</t>
        </is>
      </c>
      <c r="K24" s="14">
        <f>IF($D24="",".","."&amp;$D24&amp;".")</f>
        <v/>
      </c>
    </row>
    <row r="25">
      <c r="A25" s="22" t="inlineStr">
        <is>
          <t>D_ETSCTRisk</t>
        </is>
      </c>
      <c r="B25" s="14">
        <f>INDEX(MTInputs!$B$8:$B$415,MATCH($A25,MTInputs!$H$8:$H$415,0))&amp;""</f>
        <v/>
      </c>
      <c r="C25" s="14">
        <f>INDEX(MTInputs!$C$8:$C$415,MATCH($A25,MTInputs!$H$8:$H$415,0))&amp;""</f>
        <v/>
      </c>
      <c r="D25" s="22" t="inlineStr"/>
      <c r="E25" s="22" t="inlineStr">
        <is>
          <t>MTInputs (scenario column)</t>
        </is>
      </c>
      <c r="F25" s="14" t="inlineStr">
        <is>
          <t>MTInputs row 97</t>
        </is>
      </c>
      <c r="K25" s="14">
        <f>IF($D25="",".","."&amp;$D25&amp;".")</f>
        <v/>
      </c>
    </row>
    <row r="26">
      <c r="A26" s="22" t="inlineStr">
        <is>
          <t>ExistingCTApply</t>
        </is>
      </c>
      <c r="B26" s="14">
        <f>INDEX(MTInputs!$B$8:$B$415,MATCH($A26,MTInputs!$H$8:$H$415,0))&amp;""</f>
        <v/>
      </c>
      <c r="C26" s="14">
        <f>INDEX(MTInputs!$C$8:$C$415,MATCH($A26,MTInputs!$H$8:$H$415,0))&amp;""</f>
        <v/>
      </c>
      <c r="D26" s="22" t="inlineStr"/>
      <c r="E26" s="22" t="inlineStr">
        <is>
          <t>MTInputs (scenario column)</t>
        </is>
      </c>
      <c r="F26" s="14" t="inlineStr">
        <is>
          <t>MTInputs row 213</t>
        </is>
      </c>
      <c r="K26" s="14">
        <f>IF($D26="",".","."&amp;$D26&amp;".")</f>
        <v/>
      </c>
    </row>
    <row r="27">
      <c r="A27" s="22" t="inlineStr">
        <is>
          <t>ExistingCTGrowth</t>
        </is>
      </c>
      <c r="B27" s="14">
        <f>INDEX(MTInputs!$B$8:$B$415,MATCH($A27,MTInputs!$H$8:$H$415,0))&amp;""</f>
        <v/>
      </c>
      <c r="C27" s="14">
        <f>INDEX(MTInputs!$C$8:$C$415,MATCH($A27,MTInputs!$H$8:$H$415,0))&amp;""</f>
        <v/>
      </c>
      <c r="D27" s="22" t="inlineStr"/>
      <c r="E27" s="22" t="inlineStr">
        <is>
          <t>MTInputs (scenario column)</t>
        </is>
      </c>
      <c r="F27" s="14" t="inlineStr">
        <is>
          <t>MTInputs row 214</t>
        </is>
      </c>
      <c r="K27" s="14">
        <f>IF($D27="",".","."&amp;$D27&amp;".")</f>
        <v/>
      </c>
    </row>
    <row r="28">
      <c r="A28" s="22" t="inlineStr">
        <is>
          <t>ExistingETSApply</t>
        </is>
      </c>
      <c r="B28" s="14">
        <f>INDEX(MTInputs!$B$8:$B$415,MATCH($A28,MTInputs!$H$8:$H$415,0))&amp;""</f>
        <v/>
      </c>
      <c r="C28" s="14">
        <f>INDEX(MTInputs!$C$8:$C$415,MATCH($A28,MTInputs!$H$8:$H$415,0))&amp;""</f>
        <v/>
      </c>
      <c r="D28" s="22" t="inlineStr"/>
      <c r="E28" s="22" t="inlineStr">
        <is>
          <t>MTInputs (scenario column)</t>
        </is>
      </c>
      <c r="F28" s="14" t="inlineStr">
        <is>
          <t>MTInputs row 208</t>
        </is>
      </c>
      <c r="K28" s="14">
        <f>IF($D28="",".","."&amp;$D28&amp;".")</f>
        <v/>
      </c>
    </row>
    <row r="29">
      <c r="A29" s="22" t="inlineStr">
        <is>
          <t>ExistingETSGrowth</t>
        </is>
      </c>
      <c r="B29" s="14">
        <f>INDEX(MTInputs!$B$8:$B$415,MATCH($A29,MTInputs!$H$8:$H$415,0))&amp;""</f>
        <v/>
      </c>
      <c r="C29" s="14">
        <f>INDEX(MTInputs!$C$8:$C$415,MATCH($A29,MTInputs!$H$8:$H$415,0))&amp;""</f>
        <v/>
      </c>
      <c r="D29" s="22" t="inlineStr"/>
      <c r="E29" s="22" t="inlineStr">
        <is>
          <t>MTInputs (scenario column)</t>
        </is>
      </c>
      <c r="F29" s="14" t="inlineStr">
        <is>
          <t>MTInputs row 209</t>
        </is>
      </c>
      <c r="K29" s="14">
        <f>IF($D29="",".","."&amp;$D29&amp;".")</f>
        <v/>
      </c>
    </row>
    <row r="30">
      <c r="A30" s="22" t="inlineStr">
        <is>
          <t>CTaxComplimentaryToETS</t>
        </is>
      </c>
      <c r="B30" s="14">
        <f>INDEX(MTInputs!$B$8:$B$415,MATCH($A30,MTInputs!$H$8:$H$415,0))&amp;""</f>
        <v/>
      </c>
      <c r="C30" s="14">
        <f>INDEX(MTInputs!$C$8:$C$415,MATCH($A30,MTInputs!$H$8:$H$415,0))&amp;""</f>
        <v/>
      </c>
      <c r="D30" s="22" t="inlineStr"/>
      <c r="E30" s="22" t="inlineStr">
        <is>
          <t>MTInputs (scenario column)</t>
        </is>
      </c>
      <c r="F30" s="14" t="inlineStr">
        <is>
          <t>MTInputs row 210</t>
        </is>
      </c>
      <c r="K30" s="14">
        <f>IF($D30="",".","."&amp;$D30&amp;".")</f>
        <v/>
      </c>
    </row>
    <row r="31">
      <c r="A31" s="22" t="inlineStr">
        <is>
          <t>cptraj</t>
        </is>
      </c>
      <c r="B31" s="22" t="inlineStr">
        <is>
          <t>Carbon price trajectory used</t>
        </is>
      </c>
      <c r="C31" s="22" t="inlineStr">
        <is>
          <t>$/tCO2 real</t>
        </is>
      </c>
      <c r="D31" s="22" t="inlineStr"/>
      <c r="E31" s="22" t="inlineStr">
        <is>
          <t>Calculation (legacy rows 2248, 2251); x infl if NomorReal = Nominal</t>
        </is>
      </c>
      <c r="F31" s="14" t="inlineStr">
        <is>
          <t>legacy Mitigation row 2251: egy.mit.cptraj.1</t>
        </is>
      </c>
      <c r="K31" s="14">
        <f>IF($D31="",".","."&amp;$D31&amp;".")</f>
        <v/>
      </c>
    </row>
    <row r="32">
      <c r="A32" s="22" t="inlineStr">
        <is>
          <t>cp.t</t>
        </is>
      </c>
      <c r="B32" s="22" t="inlineStr">
        <is>
          <t>Carbon price path: years since the start year (held at the target year unless the path continues linearly)</t>
        </is>
      </c>
      <c r="C32" s="22" t="inlineStr">
        <is>
          <t>years</t>
        </is>
      </c>
      <c r="D32" s="22" t="inlineStr"/>
      <c r="E32" s="22" t="inlineStr">
        <is>
          <t>IF(Extend = Linear*, year, MIN(year, CPOutro)) - CPIntro</t>
        </is>
      </c>
      <c r="F32" s="14" t="inlineStr">
        <is>
          <t>legacy row 2248</t>
        </is>
      </c>
      <c r="K32" s="14">
        <f>IF($D32="",".","."&amp;$D32&amp;".")</f>
        <v/>
      </c>
    </row>
    <row r="33">
      <c r="A33" s="22" t="inlineStr">
        <is>
          <t>cp.nom</t>
        </is>
      </c>
      <c r="B33" s="22" t="inlineStr">
        <is>
          <t>Carbon price inputs: nominal-to-real factor</t>
        </is>
      </c>
      <c r="C33" s="22" t="inlineStr">
        <is>
          <t>factor</t>
        </is>
      </c>
      <c r="D33" s="22" t="inlineStr"/>
      <c r="E33" s="22" t="inlineStr">
        <is>
          <t>CPI index if NomorReal = Nominal, else 1</t>
        </is>
      </c>
      <c r="F33" s="14" t="inlineStr">
        <is>
          <t>legacy row 2249</t>
        </is>
      </c>
      <c r="K33" s="14">
        <f>IF($D33="",".","."&amp;$D33&amp;".")</f>
        <v/>
      </c>
    </row>
    <row r="34">
      <c r="A34" s="22" t="inlineStr">
        <is>
          <t>ctcov</t>
        </is>
      </c>
      <c r="B34" s="22" t="inlineStr">
        <is>
          <t>Carbon tax coverage (Apply tax?)</t>
        </is>
      </c>
      <c r="C34" s="22" t="inlineStr">
        <is>
          <t>switch</t>
        </is>
      </c>
      <c r="D34" s="22" t="inlineStr"/>
      <c r="E34" s="22" t="inlineStr">
        <is>
          <t>MTInputs (scenario column)</t>
        </is>
      </c>
      <c r="F34" s="14" t="inlineStr">
        <is>
          <t>MTInputs MCov* rows 23-47; biomass has no switch (EF 0)</t>
        </is>
      </c>
      <c r="K34" s="14">
        <f>IF($D34="",".","."&amp;$D34&amp;".")</f>
        <v/>
      </c>
    </row>
    <row r="35">
      <c r="A35" s="22" t="inlineStr">
        <is>
          <t>fpr.yr0</t>
        </is>
      </c>
      <c r="B35" s="22" t="inlineStr">
        <is>
          <t>Fuel price reform: starting year</t>
        </is>
      </c>
      <c r="C35" s="22" t="inlineStr">
        <is>
          <t>year</t>
        </is>
      </c>
      <c r="D35" s="22" t="inlineStr"/>
      <c r="E35" s="22" t="inlineStr">
        <is>
          <t>MTInputs (scenario column)</t>
        </is>
      </c>
      <c r="F35" s="14" t="inlineStr">
        <is>
          <t>MTInputs row 140</t>
        </is>
      </c>
      <c r="K35" s="14">
        <f>IF($D35="",".","."&amp;$D35&amp;".")</f>
        <v/>
      </c>
    </row>
    <row r="36">
      <c r="A36" s="22" t="inlineStr">
        <is>
          <t>fpr.yr1</t>
        </is>
      </c>
      <c r="B36" s="22" t="inlineStr">
        <is>
          <t>Fuel price reform: target year</t>
        </is>
      </c>
      <c r="C36" s="22" t="inlineStr">
        <is>
          <t>year</t>
        </is>
      </c>
      <c r="D36" s="22" t="inlineStr"/>
      <c r="E36" s="22" t="inlineStr">
        <is>
          <t>MTInputs (scenario column)</t>
        </is>
      </c>
      <c r="F36" s="14" t="inlineStr">
        <is>
          <t>MTInputs row 141</t>
        </is>
      </c>
      <c r="K36" s="14">
        <f>IF($D36="",".","."&amp;$D36&amp;".")</f>
        <v/>
      </c>
    </row>
    <row r="37">
      <c r="A37" s="22" t="inlineStr">
        <is>
          <t>fpr.s</t>
        </is>
      </c>
      <c r="B37" s="22" t="inlineStr">
        <is>
          <t>Fuel price reform: starting price increase</t>
        </is>
      </c>
      <c r="C37" s="22" t="inlineStr">
        <is>
          <t>price unit</t>
        </is>
      </c>
      <c r="D37" s="22" t="inlineStr"/>
      <c r="E37" s="22" t="inlineStr">
        <is>
          <t>MTInputs (scenario column)</t>
        </is>
      </c>
      <c r="F37" s="14" t="inlineStr">
        <is>
          <t>MTInputs rows 142-155</t>
        </is>
      </c>
      <c r="K37" s="14">
        <f>IF($D37="",".","."&amp;$D37&amp;".")</f>
        <v/>
      </c>
    </row>
    <row r="38">
      <c r="A38" s="22" t="inlineStr">
        <is>
          <t>fpr.f</t>
        </is>
      </c>
      <c r="B38" s="22" t="inlineStr">
        <is>
          <t>Fuel price reform: final price increase</t>
        </is>
      </c>
      <c r="C38" s="22" t="inlineStr">
        <is>
          <t>price unit</t>
        </is>
      </c>
      <c r="D38" s="22" t="inlineStr"/>
      <c r="E38" s="22" t="inlineStr">
        <is>
          <t>MTInputs (scenario column)</t>
        </is>
      </c>
      <c r="F38" s="14" t="inlineStr">
        <is>
          <t>MTInputs rows 156-169</t>
        </is>
      </c>
      <c r="K38" s="14">
        <f>IF($D38="",".","."&amp;$D38&amp;".")</f>
        <v/>
      </c>
    </row>
    <row r="39">
      <c r="A39" s="22" t="inlineStr">
        <is>
          <t>fpr</t>
        </is>
      </c>
      <c r="B39" s="22" t="inlineStr">
        <is>
          <t>Fuel price reform: price increase path</t>
        </is>
      </c>
      <c r="C39" s="22" t="inlineStr">
        <is>
          <t>price unit</t>
        </is>
      </c>
      <c r="D39" s="22" t="inlineStr"/>
      <c r="E39" s="22" t="inlineStr">
        <is>
          <t>Calculation (assumed linear)</t>
        </is>
      </c>
      <c r="F39" s="14" t="inlineStr">
        <is>
          <t>new</t>
        </is>
      </c>
      <c r="K39" s="14">
        <f>IF($D39="",".","."&amp;$D39&amp;".")</f>
        <v/>
      </c>
    </row>
    <row r="40">
      <c r="A40" s="22" t="inlineStr">
        <is>
          <t>etscov</t>
        </is>
      </c>
      <c r="B40" s="22" t="inlineStr">
        <is>
          <t>ETS sector coverage (Apply?)</t>
        </is>
      </c>
      <c r="C40" s="22" t="inlineStr">
        <is>
          <t>switch</t>
        </is>
      </c>
      <c r="D40" s="22" t="inlineStr"/>
      <c r="E40" s="22" t="inlineStr">
        <is>
          <t>MTInputs (scenario column)</t>
        </is>
      </c>
      <c r="F40" s="14" t="inlineStr">
        <is>
          <t>MTInputs rows 99-115</t>
        </is>
      </c>
      <c r="K40" s="14">
        <f>IF($D40="",".","."&amp;$D40&amp;".")</f>
        <v/>
      </c>
    </row>
    <row r="41">
      <c r="A41" s="22" t="inlineStr">
        <is>
          <t>etsc</t>
        </is>
      </c>
      <c r="B41" s="22" t="inlineStr">
        <is>
          <t>Effective ETS coverage (new ETS applied, started, sector covered)</t>
        </is>
      </c>
      <c r="C41" s="22" t="inlineStr">
        <is>
          <t>0/1</t>
        </is>
      </c>
      <c r="D41" s="22" t="inlineStr"/>
      <c r="E41" s="22" t="inlineStr">
        <is>
          <t>Calculation</t>
        </is>
      </c>
      <c r="F41" s="14" t="inlineStr">
        <is>
          <t>new</t>
        </is>
      </c>
      <c r="K41" s="14">
        <f>IF($D41="",".","."&amp;$D41&amp;".")</f>
        <v/>
      </c>
    </row>
    <row r="42">
      <c r="A42" s="22" t="inlineStr">
        <is>
          <t>etsb.s</t>
        </is>
      </c>
      <c r="B42" s="22" t="inlineStr">
        <is>
          <t>ETS benchmark at the start year (share of emission intensity allocated free)</t>
        </is>
      </c>
      <c r="C42" s="22" t="inlineStr">
        <is>
          <t>share</t>
        </is>
      </c>
      <c r="D42" s="22" t="inlineStr"/>
      <c r="E42" s="22" t="inlineStr">
        <is>
          <t>Typed input (assumption 1.0)</t>
        </is>
      </c>
      <c r="F42" s="14" t="inlineStr">
        <is>
          <t>new: replaces the auctioned proportion (MTInputs rows 90-92)</t>
        </is>
      </c>
      <c r="K42" s="14">
        <f>IF($D42="",".","."&amp;$D42&amp;".")</f>
        <v/>
      </c>
    </row>
    <row r="43">
      <c r="A43" s="22" t="inlineStr">
        <is>
          <t>etsb.t</t>
        </is>
      </c>
      <c r="B43" s="22" t="inlineStr">
        <is>
          <t>ETS benchmark at the target year (share of emission intensity allocated free)</t>
        </is>
      </c>
      <c r="C43" s="22" t="inlineStr">
        <is>
          <t>share</t>
        </is>
      </c>
      <c r="D43" s="22" t="inlineStr"/>
      <c r="E43" s="22" t="inlineStr">
        <is>
          <t>Typed input (assumption 0.8)</t>
        </is>
      </c>
      <c r="F43" s="14" t="inlineStr">
        <is>
          <t>new: replaces the auctioned proportion (MTInputs rows 90-92)</t>
        </is>
      </c>
      <c r="K43" s="14">
        <f>IF($D43="",".","."&amp;$D43&amp;".")</f>
        <v/>
      </c>
    </row>
    <row r="44">
      <c r="A44" s="22" t="inlineStr">
        <is>
          <t>etsb</t>
        </is>
      </c>
      <c r="B44" s="22" t="inlineStr">
        <is>
          <t>ETS benchmark path</t>
        </is>
      </c>
      <c r="C44" s="22" t="inlineStr">
        <is>
          <t>share</t>
        </is>
      </c>
      <c r="D44" s="22" t="inlineStr"/>
      <c r="E44" s="22" t="inlineStr">
        <is>
          <t>Linear from D_ETSIntro to D_ETSOutro, flat after</t>
        </is>
      </c>
      <c r="F44" s="14" t="inlineStr">
        <is>
          <t>new</t>
        </is>
      </c>
      <c r="K44" s="14">
        <f>IF($D44="",".","."&amp;$D44&amp;".")</f>
        <v/>
      </c>
    </row>
    <row r="45">
      <c r="A45" s="22" t="inlineStr">
        <is>
          <t>obr</t>
        </is>
      </c>
      <c r="B45" s="22" t="inlineStr">
        <is>
          <t>ETS output-based (OBR) share = benchmark (auctioned share = 1 - OBR)</t>
        </is>
      </c>
      <c r="C45" s="22" t="inlineStr">
        <is>
          <t>share</t>
        </is>
      </c>
      <c r="D45" s="22" t="inlineStr"/>
      <c r="E45" s="22" t="inlineStr">
        <is>
          <t>MIN(1, MAX(0, benchmark of the sector group))</t>
        </is>
      </c>
      <c r="F45" s="14" t="inlineStr">
        <is>
          <t>legacy rows 1863-1864 (one auctioned proportion)</t>
        </is>
      </c>
      <c r="K45" s="14">
        <f>IF($D45="",".","."&amp;$D45&amp;".")</f>
        <v/>
      </c>
    </row>
    <row r="46">
      <c r="A46" s="22" t="inlineStr">
        <is>
          <t>bco2</t>
        </is>
      </c>
      <c r="B46" s="22" t="inlineStr">
        <is>
          <t>Baseline CO2 by ETS sector (data from scenario 1)</t>
        </is>
      </c>
      <c r="C46" s="22" t="inlineStr">
        <is>
          <t>MtCO2</t>
        </is>
      </c>
      <c r="D46" s="22" t="inlineStr"/>
      <c r="E46" s="22" t="inlineStr">
        <is>
          <t>Values of scenario 1 co2.sec</t>
        </is>
      </c>
      <c r="F46" s="14" t="inlineStr">
        <is>
          <t>legacy rows 1888-1919 (baseline emissions)</t>
        </is>
      </c>
      <c r="K46" s="14">
        <f>IF($D46="",".","."&amp;$D46&amp;".")</f>
        <v/>
      </c>
    </row>
    <row r="47">
      <c r="A47" s="22" t="inlineStr">
        <is>
          <t>ets.on</t>
        </is>
      </c>
      <c r="B47" s="22" t="inlineStr">
        <is>
          <t>New ETS applied and started (1/0)</t>
        </is>
      </c>
      <c r="C47" s="22" t="inlineStr">
        <is>
          <t>0/1</t>
        </is>
      </c>
      <c r="D47" s="22" t="inlineStr"/>
      <c r="E47" s="22" t="inlineStr">
        <is>
          <t>D_NewETS = Yes and year &gt;= D_ETSIntro</t>
        </is>
      </c>
      <c r="F47" s="14" t="inlineStr">
        <is>
          <t>new</t>
        </is>
      </c>
      <c r="K47" s="14">
        <f>IF($D47="",".","."&amp;$D47&amp;".")</f>
        <v/>
      </c>
    </row>
    <row r="48">
      <c r="A48" s="22" t="inlineStr">
        <is>
          <t>ets.vol</t>
        </is>
      </c>
      <c r="B48" s="22" t="inlineStr">
        <is>
          <t>ETS: assumed annual price volatility (Settings table, label D_ETSVolatility)</t>
        </is>
      </c>
      <c r="C48" s="22" t="inlineStr">
        <is>
          <t>share</t>
        </is>
      </c>
      <c r="D48" s="22" t="inlineStr"/>
      <c r="E48" s="22" t="inlineStr">
        <is>
          <t>Settings row 17</t>
        </is>
      </c>
      <c r="F48" s="14" t="inlineStr">
        <is>
          <t>legacy ETS+LTS rows 5-8</t>
        </is>
      </c>
      <c r="K48" s="14">
        <f>IF($D48="",".","."&amp;$D48&amp;".")</f>
        <v/>
      </c>
    </row>
    <row r="49">
      <c r="A49" s="22" t="inlineStr">
        <is>
          <t>ets.imp</t>
        </is>
      </c>
      <c r="B49" s="22" t="inlineStr">
        <is>
          <t>ETS: abatement cost increase per unit of volatility (Settings table, label D_ETSVolImpact)</t>
        </is>
      </c>
      <c r="C49" s="22" t="inlineStr">
        <is>
          <t>factor</t>
        </is>
      </c>
      <c r="D49" s="22" t="inlineStr"/>
      <c r="E49" s="22" t="inlineStr">
        <is>
          <t>Settings row 18</t>
        </is>
      </c>
      <c r="F49" s="14" t="inlineStr">
        <is>
          <t>legacy ETS+LTS rows 5-8</t>
        </is>
      </c>
      <c r="K49" s="14">
        <f>IF($D49="",".","."&amp;$D49&amp;".")</f>
        <v/>
      </c>
    </row>
    <row r="50">
      <c r="A50" s="22" t="inlineStr">
        <is>
          <t>ets.vadj</t>
        </is>
      </c>
      <c r="B50" s="22" t="inlineStr">
        <is>
          <t>ETS volatility adjustment (tax-equivalent price per $ of permit price)</t>
        </is>
      </c>
      <c r="C50" s="22" t="inlineStr">
        <is>
          <t>factor</t>
        </is>
      </c>
      <c r="D50" s="22" t="inlineStr"/>
      <c r="E50" s="22" t="inlineStr">
        <is>
          <t>(1 + carbon tax policy risk x impact) / (1 + ETS volatility x impact)</t>
        </is>
      </c>
      <c r="F50" s="14" t="inlineStr">
        <is>
          <t>legacy row 2191 (1/1.1); ETS+LTS rows 5-9</t>
        </is>
      </c>
      <c r="K50" s="14">
        <f>IF($D50="",".","."&amp;$D50&amp;".")</f>
        <v/>
      </c>
    </row>
    <row r="51">
      <c r="A51" s="22" t="inlineStr">
        <is>
          <t>ets.chg</t>
        </is>
      </c>
      <c r="B51" s="22" t="inlineStr">
        <is>
          <t>ETS cap: change relative to baseline covered emissions</t>
        </is>
      </c>
      <c r="C51" s="22" t="inlineStr">
        <is>
          <t>share</t>
        </is>
      </c>
      <c r="D51" s="22" t="inlineStr"/>
      <c r="E51" s="22" t="inlineStr">
        <is>
          <t>Linear from D_ETSChangeRelStart (start year) to D_ETSChangeRelTarget (target year), flat after</t>
        </is>
      </c>
      <c r="F51" s="14" t="inlineStr">
        <is>
          <t>legacy rows 1958-1960</t>
        </is>
      </c>
      <c r="K51" s="14">
        <f>IF($D51="",".","."&amp;$D51&amp;".")</f>
        <v/>
      </c>
    </row>
    <row r="52">
      <c r="A52" s="22" t="inlineStr">
        <is>
          <t>ets.bce</t>
        </is>
      </c>
      <c r="B52" s="22" t="inlineStr">
        <is>
          <t>Baseline covered emissions</t>
        </is>
      </c>
      <c r="C52" s="22" t="inlineStr">
        <is>
          <t>MtCO2</t>
        </is>
      </c>
      <c r="D52" s="22" t="inlineStr"/>
      <c r="E52" s="22" t="inlineStr">
        <is>
          <t>SUMPRODUCT(bco2, etsc)</t>
        </is>
      </c>
      <c r="F52" s="14" t="inlineStr">
        <is>
          <t>legacy row 1956</t>
        </is>
      </c>
      <c r="K52" s="14">
        <f>IF($D52="",".","."&amp;$D52&amp;".")</f>
        <v/>
      </c>
    </row>
    <row r="53">
      <c r="A53" s="22" t="inlineStr">
        <is>
          <t>ets.cap</t>
        </is>
      </c>
      <c r="B53" s="22" t="inlineStr">
        <is>
          <t>ETS cap</t>
        </is>
      </c>
      <c r="C53" s="22" t="inlineStr">
        <is>
          <t>MtCO2</t>
        </is>
      </c>
      <c r="D53" s="22" t="inlineStr"/>
      <c r="E53" s="22" t="inlineStr">
        <is>
          <t>Baseline covered emissions x (1 + change path); constant after the target year if D_ETSCapCont = Constant</t>
        </is>
      </c>
      <c r="F53" s="14" t="inlineStr">
        <is>
          <t>legacy rows 1958-1960</t>
        </is>
      </c>
      <c r="K53" s="14">
        <f>IF($D53="",".","."&amp;$D53&amp;".")</f>
        <v/>
      </c>
    </row>
    <row r="54">
      <c r="A54" s="22" t="inlineStr">
        <is>
          <t>ets.se</t>
        </is>
      </c>
      <c r="B54" s="22" t="inlineStr">
        <is>
          <t>Effective covered semi-elasticity (allocation effectiveness: auctioned 1, OBR 0.5)</t>
        </is>
      </c>
      <c r="C54" s="22" t="inlineStr">
        <is>
          <t>per $/tCO2</t>
        </is>
      </c>
      <c r="D54" s="22" t="inlineStr"/>
      <c r="E54" s="22" t="inlineStr">
        <is>
          <t>Baseline-weighted semi-elasticities x (1 - 0.5 OBR)</t>
        </is>
      </c>
      <c r="F54" s="14" t="inlineStr">
        <is>
          <t>legacy rows 1845, 1866-1867</t>
        </is>
      </c>
      <c r="K54" s="14">
        <f>IF($D54="",".","."&amp;$D54&amp;".")</f>
        <v/>
      </c>
    </row>
    <row r="55">
      <c r="A55" s="22" t="inlineStr">
        <is>
          <t>ets.est</t>
        </is>
      </c>
      <c r="B55" s="22" t="inlineStr">
        <is>
          <t>ETS price, fast estimate</t>
        </is>
      </c>
      <c r="C55" s="22" t="inlineStr">
        <is>
          <t>$/tCO2 real</t>
        </is>
      </c>
      <c r="D55" s="22" t="inlineStr"/>
      <c r="E55" s="22" t="inlineStr">
        <is>
          <t>LN(cap / baseline) / (semi-elasticity x volatility adjustment)</t>
        </is>
      </c>
      <c r="F55" s="14" t="inlineStr">
        <is>
          <t>legacy row 1868 (QuickEstimateOfETSPrices; linear there)</t>
        </is>
      </c>
      <c r="K55" s="14">
        <f>IF($D55="",".","."&amp;$D55&amp;".")</f>
        <v/>
      </c>
    </row>
    <row r="56">
      <c r="A56" s="22" t="inlineStr">
        <is>
          <t>ets.ovr</t>
        </is>
      </c>
      <c r="B56" s="22" t="inlineStr">
        <is>
          <t>ETS price override (pasted values, e.g. from ets_goalseek_v2_3.py)</t>
        </is>
      </c>
      <c r="C56" s="22" t="inlineStr">
        <is>
          <t>$/tCO2 real</t>
        </is>
      </c>
      <c r="D56" s="22" t="inlineStr"/>
      <c r="E56" s="22" t="inlineStr">
        <is>
          <t>Typed / pasted values</t>
        </is>
      </c>
      <c r="F56" s="14" t="inlineStr">
        <is>
          <t>legacy Manual inputs O15:AB15 (OverrideOfETSPrices)</t>
        </is>
      </c>
      <c r="K56" s="14">
        <f>IF($D56="",".","."&amp;$D56&amp;".")</f>
        <v/>
      </c>
    </row>
    <row r="57">
      <c r="A57" s="22" t="inlineStr">
        <is>
          <t>ets.p</t>
        </is>
      </c>
      <c r="B57" s="22" t="inlineStr">
        <is>
          <t>ETS permit price used</t>
        </is>
      </c>
      <c r="C57" s="22" t="inlineStr">
        <is>
          <t>$/tCO2 real</t>
        </is>
      </c>
      <c r="D57" s="22" t="inlineStr"/>
      <c r="E57" s="22" t="inlineStr">
        <is>
          <t>Override row if D_ETSPriceOverride = Yes (blank: carbon price path), else the fast estimate</t>
        </is>
      </c>
      <c r="F57" s="14" t="inlineStr">
        <is>
          <t>legacy row 1873</t>
        </is>
      </c>
      <c r="K57" s="14">
        <f>IF($D57="",".","."&amp;$D57&amp;".")</f>
        <v/>
      </c>
    </row>
    <row r="58">
      <c r="A58" s="22" t="inlineStr">
        <is>
          <t>ets.pe</t>
        </is>
      </c>
      <c r="B58" s="22" t="inlineStr">
        <is>
          <t>ETS tax-equivalent price (permit price x volatility adjustment)</t>
        </is>
      </c>
      <c r="C58" s="22" t="inlineStr">
        <is>
          <t>$/tCO2 real</t>
        </is>
      </c>
      <c r="D58" s="22" t="inlineStr"/>
      <c r="E58" s="22" t="inlineStr">
        <is>
          <t>ets.p x ets.vadj</t>
        </is>
      </c>
      <c r="F58" s="14" t="inlineStr">
        <is>
          <t>legacy row 2191 applied to the ETS price</t>
        </is>
      </c>
      <c r="K58" s="14">
        <f>IF($D58="",".","."&amp;$D58&amp;".")</f>
        <v/>
      </c>
    </row>
    <row r="59">
      <c r="A59" s="22" t="inlineStr">
        <is>
          <t>ets.rf</t>
        </is>
      </c>
      <c r="B59" s="22" t="inlineStr">
        <is>
          <t>ETS revenue factor (permit price per $ of tax-equivalent price)</t>
        </is>
      </c>
      <c r="C59" s="22" t="inlineStr">
        <is>
          <t>factor</t>
        </is>
      </c>
      <c r="D59" s="22" t="inlineStr"/>
      <c r="E59" s="22" t="inlineStr">
        <is>
          <t>1 / ets.vadj</t>
        </is>
      </c>
      <c r="F59" s="14" t="inlineStr">
        <is>
          <t>new</t>
        </is>
      </c>
      <c r="K59" s="14">
        <f>IF($D59="",".","."&amp;$D59&amp;".")</f>
        <v/>
      </c>
    </row>
    <row r="60">
      <c r="A60" s="22" t="inlineStr">
        <is>
          <t>reg</t>
        </is>
      </c>
      <c r="B60" s="22" t="inlineStr">
        <is>
          <t>Shadow price from regulations (placeholder)</t>
        </is>
      </c>
      <c r="C60" s="22" t="inlineStr">
        <is>
          <t>USD/tCO2</t>
        </is>
      </c>
      <c r="D60" s="22" t="inlineStr"/>
      <c r="E60" s="22" t="inlineStr">
        <is>
          <t>Constant 0 (not yet)</t>
        </is>
      </c>
      <c r="F60" s="14" t="inlineStr">
        <is>
          <t>legacy rows 2345-2349 include regulations</t>
        </is>
      </c>
      <c r="K60" s="14">
        <f>IF($D60="",".","."&amp;$D60&amp;".")</f>
        <v/>
      </c>
    </row>
    <row r="61">
      <c r="A61" s="22" t="inlineStr">
        <is>
          <t>fb.yr0</t>
        </is>
      </c>
      <c r="B61" s="22" t="inlineStr">
        <is>
          <t>Feebates: start date</t>
        </is>
      </c>
      <c r="C61" s="22" t="inlineStr">
        <is>
          <t>year</t>
        </is>
      </c>
      <c r="D61" s="22" t="inlineStr"/>
      <c r="E61" s="22" t="inlineStr">
        <is>
          <t>MTInputs (scenario column)</t>
        </is>
      </c>
      <c r="F61" s="14" t="inlineStr">
        <is>
          <t>MTInputs row 53</t>
        </is>
      </c>
      <c r="K61" s="14">
        <f>IF($D61="",".","."&amp;$D61&amp;".")</f>
        <v/>
      </c>
    </row>
    <row r="62">
      <c r="A62" s="22" t="inlineStr">
        <is>
          <t>fb.yr1</t>
        </is>
      </c>
      <c r="B62" s="22" t="inlineStr">
        <is>
          <t>Feebates: target date</t>
        </is>
      </c>
      <c r="C62" s="22" t="inlineStr">
        <is>
          <t>year</t>
        </is>
      </c>
      <c r="D62" s="22" t="inlineStr"/>
      <c r="E62" s="22" t="inlineStr">
        <is>
          <t>MTInputs (scenario column)</t>
        </is>
      </c>
      <c r="F62" s="14" t="inlineStr">
        <is>
          <t>MTInputs row 54</t>
        </is>
      </c>
      <c r="K62" s="14">
        <f>IF($D62="",".","."&amp;$D62&amp;".")</f>
        <v/>
      </c>
    </row>
    <row r="63">
      <c r="A63" s="22" t="inlineStr">
        <is>
          <t>fb.s</t>
        </is>
      </c>
      <c r="B63" s="22" t="inlineStr">
        <is>
          <t>Feebates: starting rate</t>
        </is>
      </c>
      <c r="C63" s="22" t="inlineStr">
        <is>
          <t>USD/tCO2</t>
        </is>
      </c>
      <c r="D63" s="22" t="inlineStr"/>
      <c r="E63" s="22" t="inlineStr">
        <is>
          <t>MTInputs (scenario column)</t>
        </is>
      </c>
      <c r="F63" s="14" t="inlineStr">
        <is>
          <t>MTInputs rows 56-59</t>
        </is>
      </c>
      <c r="K63" s="14">
        <f>IF($D63="",".","."&amp;$D63&amp;".")</f>
        <v/>
      </c>
    </row>
    <row r="64">
      <c r="A64" s="22" t="inlineStr">
        <is>
          <t>fb.t</t>
        </is>
      </c>
      <c r="B64" s="22" t="inlineStr">
        <is>
          <t>Feebates: target rate</t>
        </is>
      </c>
      <c r="C64" s="22" t="inlineStr">
        <is>
          <t>USD/tCO2</t>
        </is>
      </c>
      <c r="D64" s="22" t="inlineStr"/>
      <c r="E64" s="22" t="inlineStr">
        <is>
          <t>MTInputs (scenario column)</t>
        </is>
      </c>
      <c r="F64" s="14" t="inlineStr">
        <is>
          <t>MTInputs rows 61-64</t>
        </is>
      </c>
      <c r="K64" s="14">
        <f>IF($D64="",".","."&amp;$D64&amp;".")</f>
        <v/>
      </c>
    </row>
    <row r="65">
      <c r="A65" s="22" t="inlineStr">
        <is>
          <t>fb</t>
        </is>
      </c>
      <c r="B65" s="22" t="inlineStr">
        <is>
          <t>Feebates: rate path</t>
        </is>
      </c>
      <c r="C65" s="22" t="inlineStr">
        <is>
          <t>USD/tCO2</t>
        </is>
      </c>
      <c r="D65" s="22" t="inlineStr"/>
      <c r="E65" s="22" t="inlineStr">
        <is>
          <t>Calculation (assumed linear)</t>
        </is>
      </c>
      <c r="F65" s="14" t="inlineStr">
        <is>
          <t>legacy rows 2000-2004</t>
        </is>
      </c>
      <c r="K65" s="14">
        <f>IF($D65="",".","."&amp;$D65&amp;".")</f>
        <v/>
      </c>
    </row>
    <row r="66">
      <c r="A66" s="22" t="inlineStr">
        <is>
          <t>fbcov</t>
        </is>
      </c>
      <c r="B66" s="22" t="inlineStr">
        <is>
          <t>Feebates sector coverage (Apply?)</t>
        </is>
      </c>
      <c r="C66" s="22" t="inlineStr">
        <is>
          <t>switch</t>
        </is>
      </c>
      <c r="D66" s="22" t="inlineStr"/>
      <c r="E66" s="22" t="inlineStr">
        <is>
          <t>MTInputs (scenario column)</t>
        </is>
      </c>
      <c r="F66" s="14" t="inlineStr">
        <is>
          <t>MTInputs rows 66-82</t>
        </is>
      </c>
      <c r="K66" s="14">
        <f>IF($D66="",".","."&amp;$D66&amp;".")</f>
        <v/>
      </c>
    </row>
    <row r="67">
      <c r="A67" s="22" t="inlineStr">
        <is>
          <t>ssc.adj</t>
        </is>
      </c>
      <c r="B67" s="22" t="inlineStr">
        <is>
          <t>Efficiency-margin adjustment, feebates</t>
        </is>
      </c>
      <c r="C67" s="22" t="inlineStr">
        <is>
          <t>share</t>
        </is>
      </c>
      <c r="D67" s="22" t="inlineStr"/>
      <c r="E67" s="22" t="inlineStr">
        <is>
          <t>cpat_coded default (feebates 1.0)</t>
        </is>
      </c>
      <c r="F67" s="14" t="inlineStr">
        <is>
          <t>MTInputs rows 247-250 hold the adjustments for regulations (not yet used)</t>
        </is>
      </c>
      <c r="K67" s="14">
        <f>IF($D67="",".","."&amp;$D67&amp;".")</f>
        <v/>
      </c>
    </row>
    <row r="68">
      <c r="A68" s="22" t="inlineStr">
        <is>
          <t>shps</t>
        </is>
      </c>
      <c r="B68" s="22" t="inlineStr">
        <is>
          <t>Shadow price by sector (feebates + regulations; the ETS acts through the price)</t>
        </is>
      </c>
      <c r="C68" s="22" t="inlineStr">
        <is>
          <t>USD/tCO2</t>
        </is>
      </c>
      <c r="D68" s="22" t="inlineStr"/>
      <c r="E68" s="22" t="inlineStr">
        <is>
          <t>Calculation</t>
        </is>
      </c>
      <c r="F68" s="14" t="inlineStr">
        <is>
          <t>legacy Mitigation rows 2345-2349</t>
        </is>
      </c>
      <c r="K68" s="14">
        <f>IF($D68="",".","."&amp;$D68&amp;".")</f>
        <v/>
      </c>
    </row>
    <row r="69">
      <c r="A69" s="22" t="inlineStr">
        <is>
          <t>ssc</t>
        </is>
      </c>
      <c r="B69" s="22" t="inlineStr">
        <is>
          <t>Share of shadow price impacting efficiency</t>
        </is>
      </c>
      <c r="C69" s="22" t="inlineStr">
        <is>
          <t>share</t>
        </is>
      </c>
      <c r="D69" s="22" t="inlineStr"/>
      <c r="E69" s="22" t="inlineStr">
        <is>
          <t>Feebate coverage x adjustment</t>
        </is>
      </c>
      <c r="F69" s="14" t="inlineStr">
        <is>
          <t>legacy Mitigation rows 2403-2419: egy.mit.ssc.rod.1</t>
        </is>
      </c>
      <c r="K69" s="14">
        <f>IF($D69="",".","."&amp;$D69&amp;".")</f>
        <v/>
      </c>
    </row>
    <row r="70">
      <c r="A70" s="22" t="inlineStr">
        <is>
          <t>ctr</t>
        </is>
      </c>
      <c r="B70" s="22" t="inlineStr">
        <is>
          <t>New carbon tax rate by sector (not where the new ETS covers the sector)</t>
        </is>
      </c>
      <c r="C70" s="22" t="inlineStr">
        <is>
          <t>USD/tCO2</t>
        </is>
      </c>
      <c r="D70" s="22" t="inlineStr"/>
      <c r="E70" s="22" t="inlineStr">
        <is>
          <t>carbon price x sector coverage x (1 - ETS coverage); complementary to an existing ETS: sector coverage = 1 - existing ETS sector coverage</t>
        </is>
      </c>
      <c r="F70" s="14" t="inlineStr">
        <is>
          <t>legacy Mitigation row 2510 (before EF and fuel coverage); rows 2270-2288</t>
        </is>
      </c>
      <c r="G70" s="14" t="inlineStr">
        <is>
          <t>existing ETS sector coverage</t>
        </is>
      </c>
      <c r="K70" s="14">
        <f>IF($D70="",".","."&amp;$D70&amp;".")</f>
        <v/>
      </c>
    </row>
    <row r="71">
      <c r="A71" s="22" t="inlineStr">
        <is>
          <t>xct.d</t>
        </is>
      </c>
      <c r="B71" s="22" t="inlineStr">
        <is>
          <t>Existing carbon tax rate: data of the year (last data year after; real)</t>
        </is>
      </c>
      <c r="C71" s="22" t="inlineStr">
        <is>
          <t>USD/tCO2 real</t>
        </is>
      </c>
      <c r="D71" s="22" t="inlineStr"/>
      <c r="E71" s="22" t="inlineStr">
        <is>
          <t>Sheet ECP (ecr.all, nominal x CPI index)</t>
        </is>
      </c>
      <c r="F71" s="14" t="inlineStr">
        <is>
          <t>legacy Mitigation row 1727 (ECP ecr.all)</t>
        </is>
      </c>
      <c r="K71" s="14">
        <f>IF($D71="",".","."&amp;$D71&amp;".")</f>
        <v/>
      </c>
    </row>
    <row r="72">
      <c r="A72" s="22" t="inlineStr">
        <is>
          <t>xct.p</t>
        </is>
      </c>
      <c r="B72" s="22" t="inlineStr">
        <is>
          <t>Existing carbon tax rate used</t>
        </is>
      </c>
      <c r="C72" s="22" t="inlineStr">
        <is>
          <t>USD/tCO2 real</t>
        </is>
      </c>
      <c r="D72" s="22" t="inlineStr"/>
      <c r="E72" s="22" t="inlineStr">
        <is>
          <t>ExistingCTApply x data x (1 + ExistingCTGrowth)^(years after the last data year)</t>
        </is>
      </c>
      <c r="F72" s="14" t="inlineStr">
        <is>
          <t>legacy rows 1727, 2215-2216 (MTInputs 213-214)</t>
        </is>
      </c>
      <c r="K72" s="14">
        <f>IF($D72="",".","."&amp;$D72&amp;".")</f>
        <v/>
      </c>
    </row>
    <row r="73">
      <c r="A73" s="22" t="inlineStr">
        <is>
          <t>xct.p0</t>
        </is>
      </c>
      <c r="B73" s="22" t="inlineStr">
        <is>
          <t>Existing carbon tax rate embedded in the price data (held after the last historical price year)</t>
        </is>
      </c>
      <c r="C73" s="22" t="inlineStr">
        <is>
          <t>USD/tCO2 real</t>
        </is>
      </c>
      <c r="D73" s="22" t="inlineStr"/>
      <c r="E73" s="22" t="inlineStr">
        <is>
          <t>Sheet ECP, year MIN(year, last data year, last historical price year)</t>
        </is>
      </c>
      <c r="F73" s="14" t="inlineStr">
        <is>
          <t>new</t>
        </is>
      </c>
      <c r="K73" s="14">
        <f>IF($D73="",".","."&amp;$D73&amp;".")</f>
        <v/>
      </c>
    </row>
    <row r="74">
      <c r="A74" s="22" t="inlineStr">
        <is>
          <t>xets.d</t>
        </is>
      </c>
      <c r="B74" s="22" t="inlineStr">
        <is>
          <t>Existing ETS permit price: data of the year (last data year after; real)</t>
        </is>
      </c>
      <c r="C74" s="22" t="inlineStr">
        <is>
          <t>USD/tCO2 real</t>
        </is>
      </c>
      <c r="D74" s="22" t="inlineStr"/>
      <c r="E74" s="22" t="inlineStr">
        <is>
          <t>Sheet ECP (eer.all, nominal x CPI index)</t>
        </is>
      </c>
      <c r="F74" s="14" t="inlineStr">
        <is>
          <t>legacy Mitigation rows 1680, 1695 (ECP eer.all)</t>
        </is>
      </c>
      <c r="K74" s="14">
        <f>IF($D74="",".","."&amp;$D74&amp;".")</f>
        <v/>
      </c>
    </row>
    <row r="75">
      <c r="A75" s="22" t="inlineStr">
        <is>
          <t>xets.p</t>
        </is>
      </c>
      <c r="B75" s="22" t="inlineStr">
        <is>
          <t>Existing ETS permit price used</t>
        </is>
      </c>
      <c r="C75" s="22" t="inlineStr">
        <is>
          <t>USD/tCO2 real</t>
        </is>
      </c>
      <c r="D75" s="22" t="inlineStr"/>
      <c r="E75" s="22" t="inlineStr">
        <is>
          <t>ExistingETSApply x data x (1 + ExistingETSGrowth)^(years after the last data year)</t>
        </is>
      </c>
      <c r="F75" s="14" t="inlineStr">
        <is>
          <t>legacy rows 1680, 1695 (MTInputs 208-209)</t>
        </is>
      </c>
      <c r="K75" s="14">
        <f>IF($D75="",".","."&amp;$D75&amp;".")</f>
        <v/>
      </c>
    </row>
    <row r="76">
      <c r="A76" s="22" t="inlineStr">
        <is>
          <t>xets.p0</t>
        </is>
      </c>
      <c r="B76" s="22" t="inlineStr">
        <is>
          <t>Existing ETS permit price embedded in the price data (held after the last historical price year)</t>
        </is>
      </c>
      <c r="C76" s="22" t="inlineStr">
        <is>
          <t>USD/tCO2 real</t>
        </is>
      </c>
      <c r="D76" s="22" t="inlineStr"/>
      <c r="E76" s="22" t="inlineStr">
        <is>
          <t>Sheet ECP, year MIN(year, last data year, last historical price year)</t>
        </is>
      </c>
      <c r="F76" s="14" t="inlineStr">
        <is>
          <t>new</t>
        </is>
      </c>
      <c r="K76" s="14">
        <f>IF($D76="",".","."&amp;$D76&amp;".")</f>
        <v/>
      </c>
    </row>
    <row r="77">
      <c r="A77" s="22" t="inlineStr">
        <is>
          <t>etr</t>
        </is>
      </c>
      <c r="B77" s="22" t="inlineStr">
        <is>
          <t>New ETS cost in the fuel price by sector (tax-equivalent price, auctioned part)</t>
        </is>
      </c>
      <c r="C77" s="22" t="inlineStr">
        <is>
          <t>USD/tCO2</t>
        </is>
      </c>
      <c r="D77" s="22" t="inlineStr"/>
      <c r="E77" s="22" t="inlineStr">
        <is>
          <t>ETS tax-equivalent price x ETS coverage x (1 - OBR share)</t>
        </is>
      </c>
      <c r="F77" s="14" t="inlineStr">
        <is>
          <t>legacy ets inside txo (before the EF)</t>
        </is>
      </c>
      <c r="K77" s="14">
        <f>IF($D77="",".","."&amp;$D77&amp;".")</f>
        <v/>
      </c>
    </row>
    <row r="78">
      <c r="A78" s="22" t="inlineStr">
        <is>
          <t>shpx</t>
        </is>
      </c>
      <c r="B78" s="22" t="inlineStr">
        <is>
          <t>Shadow price on the efficiency margin by sector (feebates and regulations x share impacting efficiency + ETS tax-equivalent price x ETS coverage x OBR share)</t>
        </is>
      </c>
      <c r="C78" s="22" t="inlineStr">
        <is>
          <t>USD/tCO2</t>
        </is>
      </c>
      <c r="D78" s="22" t="inlineStr"/>
      <c r="E78" s="22" t="inlineStr">
        <is>
          <t>Calculation</t>
        </is>
      </c>
      <c r="F78" s="14" t="inlineStr">
        <is>
          <t>legacy rows 2377 (per tCO2 before the EF)</t>
        </is>
      </c>
      <c r="G78" s="14" t="inlineStr">
        <is>
          <t>feebate sector position</t>
        </is>
      </c>
      <c r="K78" s="14">
        <f>IF($D78="",".","."&amp;$D78&amp;".")</f>
        <v/>
      </c>
    </row>
    <row r="79">
      <c r="A79" s="22" t="inlineStr">
        <is>
          <t>gp.src</t>
        </is>
      </c>
      <c r="B79" s="22" t="inlineStr">
        <is>
          <t>International prices: source key (MTInputs selector without the *)</t>
        </is>
      </c>
      <c r="C79" s="22" t="inlineStr">
        <is>
          <t>key</t>
        </is>
      </c>
      <c r="D79" s="22" t="inlineStr"/>
      <c r="E79" s="22" t="inlineStr">
        <is>
          <t>SUBSTITUTE(IntEnerPricForeSource, "*", "")</t>
        </is>
      </c>
      <c r="F79" s="14" t="inlineStr">
        <is>
          <t>MTInputs row 220</t>
        </is>
      </c>
      <c r="K79" s="14">
        <f>IF($D79="",".","."&amp;$D79&amp;".")</f>
        <v/>
      </c>
    </row>
    <row r="80">
      <c r="A80" s="22" t="inlineStr">
        <is>
          <t>gp.adj</t>
        </is>
      </c>
      <c r="B80" s="22" t="inlineStr">
        <is>
          <t>International prices: adjustment after the last historical year (1 none, 2 High, 3 Low)</t>
        </is>
      </c>
      <c r="C80" s="22" t="inlineStr">
        <is>
          <t>choice</t>
        </is>
      </c>
      <c r="D80" s="22" t="inlineStr"/>
      <c r="E80" s="22" t="inlineStr">
        <is>
          <t>From IntEnerPricForecastAdjustment</t>
        </is>
      </c>
      <c r="F80" s="14" t="inlineStr">
        <is>
          <t>MTInputs row 258</t>
        </is>
      </c>
      <c r="K80" s="14">
        <f>IF($D80="",".","."&amp;$D80&amp;".")</f>
        <v/>
      </c>
    </row>
    <row r="81">
      <c r="A81" s="22" t="inlineStr">
        <is>
          <t>gpn</t>
        </is>
      </c>
      <c r="B81" s="22" t="inlineStr">
        <is>
          <t>International energy price, nominal, of the chosen source</t>
        </is>
      </c>
      <c r="C81" s="22" t="inlineStr">
        <is>
          <t>source unit</t>
        </is>
      </c>
      <c r="D81" s="22" t="inlineStr"/>
      <c r="E81" s="22" t="inlineStr">
        <is>
          <t>Prices_int (1 without commodity key)</t>
        </is>
      </c>
      <c r="F81" s="14" t="inlineStr">
        <is>
          <t>legacy Mitigation rows 633-695 (sources by year)</t>
        </is>
      </c>
      <c r="G81" s="14" t="inlineStr">
        <is>
          <t>commodity key</t>
        </is>
      </c>
      <c r="K81" s="14">
        <f>IF($D81="",".","."&amp;$D81&amp;".")</f>
        <v/>
      </c>
    </row>
    <row r="82">
      <c r="A82" s="22" t="inlineStr">
        <is>
          <t>gp</t>
        </is>
      </c>
      <c r="B82" s="22" t="inlineStr">
        <is>
          <t>International energy price (real; source and adjustment from MTInputs)</t>
        </is>
      </c>
      <c r="C82" s="22" t="inlineStr">
        <is>
          <t>source unit</t>
        </is>
      </c>
      <c r="D82" s="22" t="inlineStr"/>
      <c r="E82" s="22" t="inlineStr">
        <is>
          <t>gpn x defl x High/Low factor after the last historical year</t>
        </is>
      </c>
      <c r="F82" s="14" t="inlineStr">
        <is>
          <t>legacy Mitigation rows 633-695 (sources by year)</t>
        </is>
      </c>
      <c r="G82" s="14" t="inlineStr">
        <is>
          <t>commodity key</t>
        </is>
      </c>
      <c r="H82" s="14" t="inlineStr">
        <is>
          <t>High factor</t>
        </is>
      </c>
      <c r="I82" s="14" t="inlineStr">
        <is>
          <t>Low factor</t>
        </is>
      </c>
      <c r="K82" s="14">
        <f>IF($D82="",".","."&amp;$D82&amp;".")</f>
        <v/>
      </c>
    </row>
    <row r="83">
      <c r="A83" s="22" t="inlineStr">
        <is>
          <t>sp</t>
        </is>
      </c>
      <c r="B83" s="22" t="inlineStr">
        <is>
          <t>Supply cost (pre-tax price)</t>
        </is>
      </c>
      <c r="C83" s="22" t="inlineStr">
        <is>
          <t>$/GJ real</t>
        </is>
      </c>
      <c r="D83" s="22" t="inlineStr">
        <is>
          <t>a</t>
        </is>
      </c>
      <c r="E83" s="22" t="inlineStr">
        <is>
          <t>Historical: Inputs_prices; then fixsp + floating part x gp(t) / gp(t-1)</t>
        </is>
      </c>
      <c r="F83" s="14" t="inlineStr">
        <is>
          <t>legacy Mitigation row 2498: egy.mit.sp.ind.coa.a.1; cpat_coded prices.py</t>
        </is>
      </c>
      <c r="G83" s="14" t="inlineStr">
        <is>
          <t>fixed supply cost</t>
        </is>
      </c>
      <c r="H83" s="14" t="inlineStr">
        <is>
          <t>gp position</t>
        </is>
      </c>
      <c r="I83" s="14" t="inlineStr">
        <is>
          <t>price position</t>
        </is>
      </c>
      <c r="K83" s="14">
        <f>IF($D83="",".","."&amp;$D83&amp;".")</f>
        <v/>
      </c>
    </row>
    <row r="84">
      <c r="A84" s="22" t="inlineStr">
        <is>
          <t>txo</t>
        </is>
      </c>
      <c r="B84" s="22" t="inlineStr">
        <is>
          <t>Excise and other taxes (before new policies)</t>
        </is>
      </c>
      <c r="C84" s="22" t="inlineStr">
        <is>
          <t>$/GJ real</t>
        </is>
      </c>
      <c r="D84" s="22" t="inlineStr">
        <is>
          <t>a</t>
        </is>
      </c>
      <c r="E84" s="22" t="inlineStr">
        <is>
          <t>Historical: Inputs_prices; then fixed part txo_L x pcc + floating part (pass-through rule)</t>
        </is>
      </c>
      <c r="F84" s="14" t="inlineStr">
        <is>
          <t>legacy txo = fadtx + fixs + cs (+ nce); cpat_coded prices.py</t>
        </is>
      </c>
      <c r="G84" s="14" t="inlineStr">
        <is>
          <t>txo last hist. year</t>
        </is>
      </c>
      <c r="H84" s="14" t="inlineStr">
        <is>
          <t>sp last hist. year</t>
        </is>
      </c>
      <c r="I84" s="14" t="inlineStr">
        <is>
          <t>pass-through</t>
        </is>
      </c>
      <c r="J84" s="14" t="inlineStr">
        <is>
          <t>price position</t>
        </is>
      </c>
      <c r="K84" s="14">
        <f>IF($D84="",".","."&amp;$D84&amp;".")</f>
        <v/>
      </c>
    </row>
    <row r="85">
      <c r="A85" s="22" t="inlineStr">
        <is>
          <t>txf</t>
        </is>
      </c>
      <c r="B85" s="22" t="inlineStr">
        <is>
          <t>Floating part of excise and other taxes (pass-through rule; used after the last historical year)</t>
        </is>
      </c>
      <c r="C85" s="22" t="inlineStr">
        <is>
          <t>$/GJ real</t>
        </is>
      </c>
      <c r="D85" s="22" t="inlineStr">
        <is>
          <t>a</t>
        </is>
      </c>
      <c r="E85" s="22" t="inlineStr">
        <is>
          <t>(sp_L - sp + txo_L x (1 - pcc)) x (1 - pcc)</t>
        </is>
      </c>
      <c r="F85" s="14" t="inlineStr">
        <is>
          <t>legacy cs; cpat_coded prices.py</t>
        </is>
      </c>
      <c r="G85" s="14" t="inlineStr">
        <is>
          <t>txo last hist. year</t>
        </is>
      </c>
      <c r="H85" s="14" t="inlineStr">
        <is>
          <t>sp last hist. year</t>
        </is>
      </c>
      <c r="I85" s="14" t="inlineStr">
        <is>
          <t>pass-through</t>
        </is>
      </c>
      <c r="K85" s="14">
        <f>IF($D85="",".","."&amp;$D85&amp;".")</f>
        <v/>
      </c>
    </row>
    <row r="86">
      <c r="A86" s="22" t="inlineStr">
        <is>
          <t>rpb</t>
        </is>
      </c>
      <c r="B86" s="22" t="inlineStr">
        <is>
          <t>Retail price before new policies</t>
        </is>
      </c>
      <c r="C86" s="22" t="inlineStr">
        <is>
          <t>$/GJ real</t>
        </is>
      </c>
      <c r="D86" s="22" t="inlineStr">
        <is>
          <t>a</t>
        </is>
      </c>
      <c r="E86" s="22" t="inlineStr">
        <is>
          <t>(sp + txo) x (1 + VAT rate)</t>
        </is>
      </c>
      <c r="F86" s="14" t="inlineStr">
        <is>
          <t>legacy retail price rp without nce; cpat_coded prices.py</t>
        </is>
      </c>
      <c r="G86" s="14" t="inlineStr">
        <is>
          <t>VAT rate</t>
        </is>
      </c>
      <c r="K86" s="14">
        <f>IF($D86="",".","."&amp;$D86&amp;".")</f>
        <v/>
      </c>
    </row>
    <row r="87">
      <c r="A87" s="22" t="inlineStr">
        <is>
          <t>ets</t>
        </is>
      </c>
      <c r="B87" s="22" t="inlineStr">
        <is>
          <t>New ETS cost in the fuel price (tax-equivalent, auctioned part)</t>
        </is>
      </c>
      <c r="C87" s="22" t="inlineStr">
        <is>
          <t>$/GJ</t>
        </is>
      </c>
      <c r="D87" s="22" t="inlineStr">
        <is>
          <t>a</t>
        </is>
      </c>
      <c r="E87" s="22" t="inlineStr">
        <is>
          <t>ETS cost rate of the sector (etr, section 1) x EF</t>
        </is>
      </c>
      <c r="F87" s="14" t="inlineStr">
        <is>
          <t>legacy ets inside txo; cpat_coded prices/ets.py</t>
        </is>
      </c>
      <c r="G87" s="14" t="inlineStr">
        <is>
          <t>EF</t>
        </is>
      </c>
      <c r="H87" s="14" t="inlineStr">
        <is>
          <t>sector position</t>
        </is>
      </c>
      <c r="K87" s="14">
        <f>IF($D87="",".","."&amp;$D87&amp;".")</f>
        <v/>
      </c>
    </row>
    <row r="88">
      <c r="A88" s="22" t="inlineStr">
        <is>
          <t>vat</t>
        </is>
      </c>
      <c r="B88" s="22" t="inlineStr">
        <is>
          <t>VAT payment before new policies</t>
        </is>
      </c>
      <c r="C88" s="22" t="inlineStr">
        <is>
          <t>$/GJ real</t>
        </is>
      </c>
      <c r="D88" s="22" t="inlineStr">
        <is>
          <t>a</t>
        </is>
      </c>
      <c r="E88" s="22" t="inlineStr">
        <is>
          <t>(sp + txo) x VAT rate</t>
        </is>
      </c>
      <c r="F88" s="14" t="inlineStr">
        <is>
          <t>legacy vat; cpat_coded prices.py</t>
        </is>
      </c>
      <c r="G88" s="14" t="inlineStr">
        <is>
          <t>VAT rate</t>
        </is>
      </c>
      <c r="K88" s="14">
        <f>IF($D88="",".","."&amp;$D88&amp;".")</f>
        <v/>
      </c>
    </row>
    <row r="89">
      <c r="A89" s="22" t="inlineStr">
        <is>
          <t>etx</t>
        </is>
      </c>
      <c r="B89" s="22" t="inlineStr">
        <is>
          <t>Existing excise and other taxes (positive part of txo)</t>
        </is>
      </c>
      <c r="C89" s="22" t="inlineStr">
        <is>
          <t>$/GJ real</t>
        </is>
      </c>
      <c r="D89" s="22" t="inlineStr">
        <is>
          <t>a</t>
        </is>
      </c>
      <c r="E89" s="22" t="inlineStr">
        <is>
          <t>max(txo, 0)</t>
        </is>
      </c>
      <c r="F89" s="14" t="inlineStr">
        <is>
          <t>legacy fadtx + positive cs (split here by sign)</t>
        </is>
      </c>
      <c r="K89" s="14">
        <f>IF($D89="",".","."&amp;$D89&amp;".")</f>
        <v/>
      </c>
    </row>
    <row r="90">
      <c r="A90" s="22" t="inlineStr">
        <is>
          <t>esub</t>
        </is>
      </c>
      <c r="B90" s="22" t="inlineStr">
        <is>
          <t>Existing consumer subsidy (negative part of txo, positive number)</t>
        </is>
      </c>
      <c r="C90" s="22" t="inlineStr">
        <is>
          <t>$/GJ real</t>
        </is>
      </c>
      <c r="D90" s="22" t="inlineStr">
        <is>
          <t>a</t>
        </is>
      </c>
      <c r="E90" s="22" t="inlineStr">
        <is>
          <t>max(-txo, 0)</t>
        </is>
      </c>
      <c r="F90" s="14" t="inlineStr">
        <is>
          <t>legacy fixs + negative cs (split here by sign)</t>
        </is>
      </c>
      <c r="K90" s="14">
        <f>IF($D90="",".","."&amp;$D90&amp;".")</f>
        <v/>
      </c>
    </row>
    <row r="91">
      <c r="A91" s="22" t="inlineStr">
        <is>
          <t>esubpu</t>
        </is>
      </c>
      <c r="B91" s="22" t="inlineStr">
        <is>
          <t>Existing consumer subsidy per price unit (input for a later per-fuel policy)</t>
        </is>
      </c>
      <c r="C91" s="22" t="inlineStr">
        <is>
          <t>price unit real</t>
        </is>
      </c>
      <c r="D91" s="22" t="inlineStr">
        <is>
          <t>a</t>
        </is>
      </c>
      <c r="E91" s="22" t="inlineStr">
        <is>
          <t>esub x GJ per price unit</t>
        </is>
      </c>
      <c r="F91" s="14" t="inlineStr">
        <is>
          <t>new (units as MTInputs rows 142-169)</t>
        </is>
      </c>
      <c r="G91" s="14" t="inlineStr">
        <is>
          <t>GJ per unit</t>
        </is>
      </c>
      <c r="K91" s="14">
        <f>IF($D91="",".","."&amp;$D91&amp;".")</f>
        <v/>
      </c>
    </row>
    <row r="92">
      <c r="A92" s="22" t="inlineStr">
        <is>
          <t>ctxnew</t>
        </is>
      </c>
      <c r="B92" s="22" t="inlineStr">
        <is>
          <t>New carbon tax</t>
        </is>
      </c>
      <c r="C92" s="22" t="inlineStr">
        <is>
          <t>$/GJ</t>
        </is>
      </c>
      <c r="D92" s="22" t="inlineStr">
        <is>
          <t>a</t>
        </is>
      </c>
      <c r="E92" s="22" t="inlineStr">
        <is>
          <t>Carbon tax rate of the sector (ctr, section 1) x EF x fuel coverage</t>
        </is>
      </c>
      <c r="F92" s="14" t="inlineStr">
        <is>
          <t>legacy Mitigation row 2510: egy.mit.ctxnew.ind.coa.a.1</t>
        </is>
      </c>
      <c r="G92" s="14" t="inlineStr">
        <is>
          <t>EF</t>
        </is>
      </c>
      <c r="H92" s="14" t="inlineStr">
        <is>
          <t>fuel position</t>
        </is>
      </c>
      <c r="I92" s="14" t="inlineStr">
        <is>
          <t>sector position</t>
        </is>
      </c>
      <c r="K92" s="14">
        <f>IF($D92="",".","."&amp;$D92&amp;".")</f>
        <v/>
      </c>
    </row>
    <row r="93">
      <c r="A93" s="22" t="inlineStr">
        <is>
          <t>ntx</t>
        </is>
      </c>
      <c r="B93" s="22" t="inlineStr">
        <is>
          <t>New excise tax (fuel price reform)</t>
        </is>
      </c>
      <c r="C93" s="22" t="inlineStr">
        <is>
          <t>$/GJ</t>
        </is>
      </c>
      <c r="D93" s="22" t="inlineStr">
        <is>
          <t>a</t>
        </is>
      </c>
      <c r="E93" s="22" t="inlineStr">
        <is>
          <t>Fuel price reform path / GJ per unit</t>
        </is>
      </c>
      <c r="F93" s="14" t="inlineStr">
        <is>
          <t>legacy Mitigation row 2512: egy.mit.ntx.ind.coa.a.1</t>
        </is>
      </c>
      <c r="G93" s="14" t="inlineStr">
        <is>
          <t>price-fuel position</t>
        </is>
      </c>
      <c r="H93" s="14" t="inlineStr">
        <is>
          <t>GJ per unit</t>
        </is>
      </c>
      <c r="K93" s="14">
        <f>IF($D93="",".","."&amp;$D93&amp;".")</f>
        <v/>
      </c>
    </row>
    <row r="94">
      <c r="A94" s="22" t="inlineStr">
        <is>
          <t>nce</t>
        </is>
      </c>
      <c r="B94" s="22" t="inlineStr">
        <is>
          <t>Total new policy</t>
        </is>
      </c>
      <c r="C94" s="22" t="inlineStr">
        <is>
          <t>$/GJ</t>
        </is>
      </c>
      <c r="D94" s="22" t="inlineStr">
        <is>
          <t>a</t>
        </is>
      </c>
      <c r="E94" s="22" t="inlineStr">
        <is>
          <t>New carbon tax + new excise tax</t>
        </is>
      </c>
      <c r="F94" s="14" t="inlineStr">
        <is>
          <t>legacy Mitigation row 2514: egy.mit.nce.ind.coa.a.1</t>
        </is>
      </c>
      <c r="K94" s="14">
        <f>IF($D94="",".","."&amp;$D94&amp;".")</f>
        <v/>
      </c>
    </row>
    <row r="95">
      <c r="A95" s="22" t="inlineStr">
        <is>
          <t>atp</t>
        </is>
      </c>
      <c r="B95" s="22" t="inlineStr">
        <is>
          <t>After-tax price</t>
        </is>
      </c>
      <c r="C95" s="22" t="inlineStr">
        <is>
          <t>$/GJ real</t>
        </is>
      </c>
      <c r="D95" s="22" t="inlineStr">
        <is>
          <t>e</t>
        </is>
      </c>
      <c r="E95" s="22" t="inlineStr">
        <is>
          <t>max(rpb of the price fuel + nce x (1 + VAT rate), 0.01)</t>
        </is>
      </c>
      <c r="F95" s="14" t="inlineStr">
        <is>
          <t>legacy Mitigation row 5416: egy.mit.atp.rod.gso.e.1 (legacy unit $/liter for liquids)</t>
        </is>
      </c>
      <c r="G95" s="14" t="inlineStr">
        <is>
          <t>price position</t>
        </is>
      </c>
      <c r="H95" s="14" t="inlineStr">
        <is>
          <t>VAT rate</t>
        </is>
      </c>
      <c r="K95" s="14">
        <f>IF($D95="",".","."&amp;$D95&amp;".")</f>
        <v/>
      </c>
    </row>
    <row r="96">
      <c r="A96" s="22" t="inlineStr">
        <is>
          <t>shp</t>
        </is>
      </c>
      <c r="B96" s="22" t="inlineStr">
        <is>
          <t>Shadow price on the efficiency margin</t>
        </is>
      </c>
      <c r="C96" s="22" t="inlineStr">
        <is>
          <t>$/GJ</t>
        </is>
      </c>
      <c r="D96" s="22" t="inlineStr"/>
      <c r="E96" s="22" t="inlineStr">
        <is>
          <t>Shadow price of the sector (shpx, section 1) x EF</t>
        </is>
      </c>
      <c r="F96" s="14" t="inlineStr">
        <is>
          <t>legacy Mitigation row 2377: egy.mit.shp.coa.pow.1</t>
        </is>
      </c>
      <c r="G96" s="14" t="inlineStr">
        <is>
          <t>EF</t>
        </is>
      </c>
      <c r="H96" s="14" t="inlineStr">
        <is>
          <t>sector position</t>
        </is>
      </c>
      <c r="K96" s="14">
        <f>IF($D96="",".","."&amp;$D96&amp;".")</f>
        <v/>
      </c>
    </row>
    <row r="97">
      <c r="A97" s="22" t="inlineStr">
        <is>
          <t>xcp</t>
        </is>
      </c>
      <c r="B97" s="22" t="inlineStr">
        <is>
          <t>Existing carbon pricing (carbon tax + ETS) per GJ</t>
        </is>
      </c>
      <c r="C97" s="22" t="inlineStr">
        <is>
          <t>$/GJ</t>
        </is>
      </c>
      <c r="D97" s="22" t="inlineStr">
        <is>
          <t>a</t>
        </is>
      </c>
      <c r="E97" s="22" t="inlineStr">
        <is>
          <t>EF x (carbon tax coverage x rate + ETS coverage x price); coverage = sector share x fuel share (sheet ECP)</t>
        </is>
      </c>
      <c r="F97" s="14" t="inlineStr">
        <is>
          <t>legacy rows 1711-1723 (ets), 1752-1764 (ctx)</t>
        </is>
      </c>
      <c r="G97" s="14" t="inlineStr">
        <is>
          <t>EF</t>
        </is>
      </c>
      <c r="H97" s="14" t="inlineStr">
        <is>
          <t>carbon tax coverage</t>
        </is>
      </c>
      <c r="I97" s="14" t="inlineStr">
        <is>
          <t>ETS coverage</t>
        </is>
      </c>
      <c r="K97" s="14">
        <f>IF($D97="",".","."&amp;$D97&amp;".")</f>
        <v/>
      </c>
    </row>
    <row r="98">
      <c r="A98" s="22" t="inlineStr">
        <is>
          <t>xcpd</t>
        </is>
      </c>
      <c r="B98" s="22" t="inlineStr">
        <is>
          <t>Change in existing carbon pricing against the price data (enters the after-tax price)</t>
        </is>
      </c>
      <c r="C98" s="22" t="inlineStr">
        <is>
          <t>$/GJ</t>
        </is>
      </c>
      <c r="D98" s="22" t="inlineStr">
        <is>
          <t>a</t>
        </is>
      </c>
      <c r="E98" s="22" t="inlineStr">
        <is>
          <t>EF x (carbon tax coverage x (rate - embedded rate) + ETS coverage x (price - embedded price))</t>
        </is>
      </c>
      <c r="F98" s="14" t="inlineStr">
        <is>
          <t>new (legacy: ctx and ets are parts of txo)</t>
        </is>
      </c>
      <c r="G98" s="14" t="inlineStr">
        <is>
          <t>EF</t>
        </is>
      </c>
      <c r="H98" s="14" t="inlineStr">
        <is>
          <t>carbon tax coverage</t>
        </is>
      </c>
      <c r="I98" s="14" t="inlineStr">
        <is>
          <t>ETS coverage</t>
        </is>
      </c>
      <c r="K98" s="14">
        <f>IF($D98="",".","."&amp;$D98&amp;".")</f>
        <v/>
      </c>
    </row>
    <row r="99">
      <c r="A99" s="22" t="inlineStr">
        <is>
          <t>ener</t>
        </is>
      </c>
      <c r="B99" s="22" t="inlineStr">
        <is>
          <t>Fuel use</t>
        </is>
      </c>
      <c r="C99" s="22" t="inlineStr">
        <is>
          <t>ktoe</t>
        </is>
      </c>
      <c r="D99" s="22" t="inlineStr">
        <is>
          <t>e</t>
        </is>
      </c>
      <c r="E99" s="22" t="inlineStr">
        <is>
          <t>Inputs (base year), CPAT eq. 3.3.3</t>
        </is>
      </c>
      <c r="F99" s="14" t="inlineStr">
        <is>
          <t>legacy Mitigation row 5430: egy.mit.ener.rod.gso.e.1</t>
        </is>
      </c>
      <c r="G99" s="14" t="inlineStr">
        <is>
          <t>eps_Y</t>
        </is>
      </c>
      <c r="H99" s="14" t="inlineStr">
        <is>
          <t>eps_U</t>
        </is>
      </c>
      <c r="I99" s="14" t="inlineStr">
        <is>
          <t>efficiency exponent eps_F x (1 + eps_U)</t>
        </is>
      </c>
      <c r="J99" s="14" t="inlineStr">
        <is>
          <t>AEEI factor (1/(1+alpha))^(1+eps_U)</t>
        </is>
      </c>
      <c r="K99" s="14">
        <f>IF($D99="",".","."&amp;$D99&amp;".")</f>
        <v/>
      </c>
    </row>
    <row r="100">
      <c r="A100" s="22" t="inlineStr">
        <is>
          <t>co2</t>
        </is>
      </c>
      <c r="B100" s="22" t="inlineStr">
        <is>
          <t>CO2 emissions from fuel combustion</t>
        </is>
      </c>
      <c r="C100" s="22" t="inlineStr">
        <is>
          <t>MtCO2</t>
        </is>
      </c>
      <c r="D100" s="22" t="inlineStr">
        <is>
          <t>e</t>
        </is>
      </c>
      <c r="E100" s="22" t="inlineStr">
        <is>
          <t>Fuel use x PJ/ktoe x EF (power generation, section 3: generation fuel use (ktoe) x MtCO2 per ktoe)</t>
        </is>
      </c>
      <c r="F100" s="14" t="inlineStr">
        <is>
          <t>legacy CO2 emissions by sector and fuel (inventory-adjusted EFs)</t>
        </is>
      </c>
      <c r="G100" s="14" t="inlineStr">
        <is>
          <t>EF (power: MtCO2 per ktoe)</t>
        </is>
      </c>
      <c r="K100" s="14">
        <f>IF($D100="",".","."&amp;$D100&amp;".")</f>
        <v/>
      </c>
    </row>
    <row r="101">
      <c r="A101" s="22" t="inlineStr">
        <is>
          <t>co2.ref</t>
        </is>
      </c>
      <c r="B101" s="22" t="inlineStr">
        <is>
          <t>CO2 emissions, scenario 1 (same year)</t>
        </is>
      </c>
      <c r="C101" s="22" t="inlineStr">
        <is>
          <t>MtCO2</t>
        </is>
      </c>
      <c r="D101" s="22" t="inlineStr"/>
      <c r="E101" s="22" t="inlineStr">
        <is>
          <t>Lookup</t>
        </is>
      </c>
      <c r="F101" s="14" t="inlineStr">
        <is>
          <t>new</t>
        </is>
      </c>
      <c r="K101" s="14">
        <f>IF($D101="",".","."&amp;$D101&amp;".")</f>
        <v/>
      </c>
    </row>
    <row r="102">
      <c r="A102" s="22" t="inlineStr">
        <is>
          <t>co2.chg</t>
        </is>
      </c>
      <c r="B102" s="22" t="inlineStr">
        <is>
          <t>Change in CO2 emissions vs scenario 1</t>
        </is>
      </c>
      <c r="C102" s="22" t="inlineStr">
        <is>
          <t>MtCO2</t>
        </is>
      </c>
      <c r="D102" s="22" t="inlineStr"/>
      <c r="E102" s="22" t="inlineStr">
        <is>
          <t>co2 - co2.ref</t>
        </is>
      </c>
      <c r="F102" s="14" t="inlineStr">
        <is>
          <t>new</t>
        </is>
      </c>
      <c r="K102" s="14">
        <f>IF($D102="",".","."&amp;$D102&amp;".")</f>
        <v/>
      </c>
    </row>
    <row r="103">
      <c r="A103" s="22" t="inlineStr">
        <is>
          <t>co2.pct</t>
        </is>
      </c>
      <c r="B103" s="22" t="inlineStr">
        <is>
          <t>Change in CO2 emissions vs scenario 1</t>
        </is>
      </c>
      <c r="C103" s="22" t="inlineStr">
        <is>
          <t>%</t>
        </is>
      </c>
      <c r="D103" s="22" t="inlineStr"/>
      <c r="E103" s="22" t="inlineStr">
        <is>
          <t>co2 / co2.ref - 1</t>
        </is>
      </c>
      <c r="F103" s="14" t="inlineStr">
        <is>
          <t>new</t>
        </is>
      </c>
      <c r="K103" s="14">
        <f>IF($D103="",".","."&amp;$D103&amp;".")</f>
        <v/>
      </c>
    </row>
    <row r="104">
      <c r="A104" s="22" t="inlineStr">
        <is>
          <t>co2.sec</t>
        </is>
      </c>
      <c r="B104" s="22" t="inlineStr">
        <is>
          <t>CO2 emissions by ETS sector</t>
        </is>
      </c>
      <c r="C104" s="22" t="inlineStr">
        <is>
          <t>MtCO2</t>
        </is>
      </c>
      <c r="D104" s="22" t="inlineStr"/>
      <c r="E104" s="22" t="inlineStr">
        <is>
          <t>Sum over fuels (power: section 3, v1.06)</t>
        </is>
      </c>
      <c r="F104" s="14" t="inlineStr">
        <is>
          <t>new</t>
        </is>
      </c>
      <c r="K104" s="14">
        <f>IF($D104="",".","."&amp;$D104&amp;".")</f>
        <v/>
      </c>
    </row>
    <row r="105">
      <c r="A105" s="22" t="inlineStr">
        <is>
          <t>co2.ets</t>
        </is>
      </c>
      <c r="B105" s="22" t="inlineStr">
        <is>
          <t>CO2 emissions covered by the new ETS</t>
        </is>
      </c>
      <c r="C105" s="22" t="inlineStr">
        <is>
          <t>MtCO2</t>
        </is>
      </c>
      <c r="D105" s="22" t="inlineStr"/>
      <c r="E105" s="22" t="inlineStr">
        <is>
          <t>SUMPRODUCT(co2.sec, etsc)</t>
        </is>
      </c>
      <c r="F105" s="14" t="inlineStr">
        <is>
          <t>legacy row 1959</t>
        </is>
      </c>
      <c r="K105" s="14">
        <f>IF($D105="",".","."&amp;$D105&amp;".")</f>
        <v/>
      </c>
    </row>
    <row r="106">
      <c r="A106" s="22" t="inlineStr">
        <is>
          <t>co2.cap</t>
        </is>
      </c>
      <c r="B106" s="22" t="inlineStr">
        <is>
          <t>ETS cap</t>
        </is>
      </c>
      <c r="C106" s="22" t="inlineStr">
        <is>
          <t>MtCO2</t>
        </is>
      </c>
      <c r="D106" s="22" t="inlineStr"/>
      <c r="E106" s="22" t="inlineStr">
        <is>
          <t>ets.cap (section 1)</t>
        </is>
      </c>
      <c r="F106" s="14" t="inlineStr">
        <is>
          <t>legacy row 1960</t>
        </is>
      </c>
      <c r="K106" s="14">
        <f>IF($D106="",".","."&amp;$D106&amp;".")</f>
        <v/>
      </c>
    </row>
    <row r="107">
      <c r="A107" s="22" t="inlineStr">
        <is>
          <t>co2.gap</t>
        </is>
      </c>
      <c r="B107" s="22" t="inlineStr">
        <is>
          <t>Covered emissions vs cap (0 = cap met)</t>
        </is>
      </c>
      <c r="C107" s="22" t="inlineStr">
        <is>
          <t>%</t>
        </is>
      </c>
      <c r="D107" s="22" t="inlineStr"/>
      <c r="E107" s="22" t="inlineStr">
        <is>
          <t>co2.ets / co2.cap - 1</t>
        </is>
      </c>
      <c r="F107" s="14" t="inlineStr">
        <is>
          <t>legacy rows 1961-1963</t>
        </is>
      </c>
      <c r="K107" s="14">
        <f>IF($D107="",".","."&amp;$D107&amp;".")</f>
        <v/>
      </c>
    </row>
    <row r="108">
      <c r="A108" s="22" t="inlineStr">
        <is>
          <t>ets.lr</t>
        </is>
      </c>
      <c r="B108" s="22" t="inlineStr">
        <is>
          <t>ETS: log ratio LN(cap / baseline) / LN(covered / baseline) (0 if the cap does not bind)</t>
        </is>
      </c>
      <c r="C108" s="22" t="inlineStr">
        <is>
          <t>ratio</t>
        </is>
      </c>
      <c r="D108" s="22" t="inlineStr"/>
      <c r="E108" s="22" t="inlineStr">
        <is>
          <t>Calculation</t>
        </is>
      </c>
      <c r="F108" s="14" t="inlineStr">
        <is>
          <t>legacy PricesAdjustedByErrorFactor (row 1966)</t>
        </is>
      </c>
      <c r="K108" s="14">
        <f>IF($D108="",".","."&amp;$D108&amp;".")</f>
        <v/>
      </c>
    </row>
    <row r="109">
      <c r="A109" s="22" t="inlineStr">
        <is>
          <t>ets.next</t>
        </is>
      </c>
      <c r="B109" s="22" t="inlineStr">
        <is>
          <t>ETS price proposal for the next iteration</t>
        </is>
      </c>
      <c r="C109" s="22" t="inlineStr">
        <is>
          <t>$/tCO2 real</t>
        </is>
      </c>
      <c r="D109" s="22" t="inlineStr"/>
      <c r="E109" s="22" t="inlineStr">
        <is>
          <t>p x log ratio ^ convergence exponent (Settings); fast estimate if no price or no log ratio</t>
        </is>
      </c>
      <c r="F109" s="14" t="inlineStr">
        <is>
          <t>legacy PricesAdjustedByErrorFactor (row 1966)</t>
        </is>
      </c>
      <c r="K109" s="14">
        <f>IF($D109="",".","."&amp;$D109&amp;".")</f>
        <v/>
      </c>
    </row>
    <row r="110">
      <c r="A110" s="22" t="inlineStr">
        <is>
          <t>eldem</t>
        </is>
      </c>
      <c r="B110" s="22" t="inlineStr">
        <is>
          <t>Electricity demand (memo: power model H; not in the fuel totals; sector policies do not act on it)</t>
        </is>
      </c>
      <c r="C110" s="22" t="inlineStr">
        <is>
          <t>ktoe</t>
        </is>
      </c>
      <c r="D110" s="22" t="inlineStr">
        <is>
          <t>e</t>
        </is>
      </c>
      <c r="E110" s="22" t="inlineStr">
        <is>
          <t>Section 3 H, demand by subsector</t>
        </is>
      </c>
      <c r="F110" s="14" t="inlineStr">
        <is>
          <t>legacy H3 (rows 3725-3739)</t>
        </is>
      </c>
      <c r="K110" s="14">
        <f>IF($D110="",".","."&amp;$D110&amp;".")</f>
        <v/>
      </c>
    </row>
    <row r="111">
      <c r="A111" s="22" t="inlineStr">
        <is>
          <t>bco2.chk</t>
        </is>
      </c>
      <c r="B111" s="22" t="inlineStr">
        <is>
          <t>Check: baseline CO2 data minus scenario 1 CO2 (0 = data up to date)</t>
        </is>
      </c>
      <c r="C111" s="22" t="inlineStr">
        <is>
          <t>MtCO2</t>
        </is>
      </c>
      <c r="D111" s="22" t="inlineStr"/>
      <c r="E111" s="22" t="inlineStr">
        <is>
          <t>SUM(bco2) - co2.ref</t>
        </is>
      </c>
      <c r="F111" s="14" t="inlineStr">
        <is>
          <t>new</t>
        </is>
      </c>
      <c r="K111" s="14">
        <f>IF($D111="",".","."&amp;$D111&amp;".")</f>
        <v/>
      </c>
    </row>
    <row r="112">
      <c r="A112" s="22" t="inlineStr">
        <is>
          <t>rtx</t>
        </is>
      </c>
      <c r="B112" s="22" t="inlineStr">
        <is>
          <t>Revenue from existing taxes (excise and other taxes + VAT; incl. the change in existing carbon pricing)</t>
        </is>
      </c>
      <c r="C112" s="22" t="inlineStr">
        <is>
          <t>USD m real</t>
        </is>
      </c>
      <c r="D112" s="22" t="inlineStr"/>
      <c r="E112" s="22" t="inlineStr">
        <is>
          <t>Fuel use x PJ/ktoe x (etx + vat + xcpd x (1 + VAT rate)); power: fuel taxes, change in existing carbon pricing, electricity VAT</t>
        </is>
      </c>
      <c r="F112" s="14" t="inlineStr">
        <is>
          <t>legacy revenue block (existing taxes)</t>
        </is>
      </c>
      <c r="G112" s="14" t="inlineStr">
        <is>
          <t>price position</t>
        </is>
      </c>
      <c r="H112" s="14" t="inlineStr">
        <is>
          <t>VAT rate</t>
        </is>
      </c>
      <c r="K112" s="14">
        <f>IF($D112="",".","."&amp;$D112&amp;".")</f>
        <v/>
      </c>
    </row>
    <row r="113">
      <c r="A113" s="22" t="inlineStr">
        <is>
          <t>rxcp</t>
        </is>
      </c>
      <c r="B113" s="22" t="inlineStr">
        <is>
          <t>Revenue from existing carbon pricing (memo: level; the part embedded in the price data is in rtx)</t>
        </is>
      </c>
      <c r="C113" s="22" t="inlineStr">
        <is>
          <t>USD m real</t>
        </is>
      </c>
      <c r="D113" s="22" t="inlineStr"/>
      <c r="E113" s="22" t="inlineStr">
        <is>
          <t>Fuel use x PJ/ktoe x xcp (power: CO2 x coverage x price)</t>
        </is>
      </c>
      <c r="F113" s="14" t="inlineStr">
        <is>
          <t>legacy ECP revenue (crv, erv; not used)</t>
        </is>
      </c>
      <c r="K113" s="14">
        <f>IF($D113="",".","."&amp;$D113&amp;".")</f>
        <v/>
      </c>
    </row>
    <row r="114">
      <c r="A114" s="22" t="inlineStr">
        <is>
          <t>rsub</t>
        </is>
      </c>
      <c r="B114" s="22" t="inlineStr">
        <is>
          <t>Cost of existing consumer subsidies (positive = cost)</t>
        </is>
      </c>
      <c r="C114" s="22" t="inlineStr">
        <is>
          <t>USD m real</t>
        </is>
      </c>
      <c r="D114" s="22" t="inlineStr"/>
      <c r="E114" s="22" t="inlineStr">
        <is>
          <t>Fuel use x PJ/ktoe x esub</t>
        </is>
      </c>
      <c r="F114" s="14" t="inlineStr">
        <is>
          <t>legacy subsidy cost</t>
        </is>
      </c>
      <c r="G114" s="14" t="inlineStr">
        <is>
          <t>price position</t>
        </is>
      </c>
      <c r="K114" s="14">
        <f>IF($D114="",".","."&amp;$D114&amp;".")</f>
        <v/>
      </c>
    </row>
    <row r="115">
      <c r="A115" s="22" t="inlineStr">
        <is>
          <t>rnew</t>
        </is>
      </c>
      <c r="B115" s="22" t="inlineStr">
        <is>
          <t>Revenue from new policies (carbon tax, excise, auctioned ETS, VAT on them)</t>
        </is>
      </c>
      <c r="C115" s="22" t="inlineStr">
        <is>
          <t>USD m real</t>
        </is>
      </c>
      <c r="D115" s="22" t="inlineStr"/>
      <c r="E115" s="22" t="inlineStr">
        <is>
          <t>Fuel use x PJ/ktoe x (ctxnew + ntx + ets x revenue factor + nce x VAT rate)</t>
        </is>
      </c>
      <c r="F115" s="14" t="inlineStr">
        <is>
          <t>legacy new revenue</t>
        </is>
      </c>
      <c r="G115" s="14" t="inlineStr">
        <is>
          <t>VAT rate</t>
        </is>
      </c>
      <c r="K115" s="14">
        <f>IF($D115="",".","."&amp;$D115&amp;".")</f>
        <v/>
      </c>
    </row>
    <row r="116">
      <c r="A116" s="22" t="inlineStr">
        <is>
          <t>rnet</t>
        </is>
      </c>
      <c r="B116" s="22" t="inlineStr">
        <is>
          <t>Net revenue from existing taxes and subsidies</t>
        </is>
      </c>
      <c r="C116" s="22" t="inlineStr">
        <is>
          <t>USD m real</t>
        </is>
      </c>
      <c r="D116" s="22" t="inlineStr"/>
      <c r="E116" s="22" t="inlineStr">
        <is>
          <t>rtx - rsub</t>
        </is>
      </c>
      <c r="F116" s="14" t="inlineStr">
        <is>
          <t>new</t>
        </is>
      </c>
      <c r="K116" s="14">
        <f>IF($D116="",".","."&amp;$D116&amp;".")</f>
        <v/>
      </c>
    </row>
    <row r="117">
      <c r="A117" s="22" t="inlineStr">
        <is>
          <t>rtot</t>
        </is>
      </c>
      <c r="B117" s="22" t="inlineStr">
        <is>
          <t>Total revenue (net existing + new policies)</t>
        </is>
      </c>
      <c r="C117" s="22" t="inlineStr">
        <is>
          <t>USD m real</t>
        </is>
      </c>
      <c r="D117" s="22" t="inlineStr"/>
      <c r="E117" s="22" t="inlineStr">
        <is>
          <t>rnet + rnew</t>
        </is>
      </c>
      <c r="F117" s="14" t="inlineStr">
        <is>
          <t>new</t>
        </is>
      </c>
      <c r="K117" s="14">
        <f>IF($D117="",".","."&amp;$D117&amp;".")</f>
        <v/>
      </c>
    </row>
    <row r="118">
      <c r="A118" s="22" t="inlineStr">
        <is>
          <t>rtot.ref</t>
        </is>
      </c>
      <c r="B118" s="22" t="inlineStr">
        <is>
          <t>Total revenue, scenario 1 (same year)</t>
        </is>
      </c>
      <c r="C118" s="22" t="inlineStr">
        <is>
          <t>USD m real</t>
        </is>
      </c>
      <c r="D118" s="22" t="inlineStr"/>
      <c r="E118" s="22" t="inlineStr">
        <is>
          <t>Lookup</t>
        </is>
      </c>
      <c r="F118" s="14" t="inlineStr">
        <is>
          <t>new</t>
        </is>
      </c>
      <c r="K118" s="14">
        <f>IF($D118="",".","."&amp;$D118&amp;".")</f>
        <v/>
      </c>
    </row>
    <row r="119">
      <c r="A119" s="22" t="inlineStr">
        <is>
          <t>rev.chk</t>
        </is>
      </c>
      <c r="B119" s="22" t="inlineStr">
        <is>
          <t>Check: revenue totals minus their sector and power rows (rtx, rsub, rnew; should be 0)</t>
        </is>
      </c>
      <c r="C119" s="22" t="inlineStr">
        <is>
          <t>USD m real</t>
        </is>
      </c>
      <c r="D119" s="22" t="inlineStr"/>
      <c r="E119" s="22" t="inlineStr">
        <is>
          <t>Check</t>
        </is>
      </c>
      <c r="F119" s="14" t="inlineStr">
        <is>
          <t>new</t>
        </is>
      </c>
      <c r="K119" s="14">
        <f>IF($D119="",".","."&amp;$D119&amp;".")</f>
        <v/>
      </c>
    </row>
    <row r="120">
      <c r="A120" s="22" t="inlineStr">
        <is>
          <t>co2.chk</t>
        </is>
      </c>
      <c r="B120" s="22" t="inlineStr">
        <is>
          <t>Check: CO2 total minus sectors and power, and minus the fuels (should be 0)</t>
        </is>
      </c>
      <c r="C120" s="22" t="inlineStr">
        <is>
          <t>MtCO2</t>
        </is>
      </c>
      <c r="D120" s="22" t="inlineStr"/>
      <c r="E120" s="22" t="inlineStr">
        <is>
          <t>Check</t>
        </is>
      </c>
      <c r="F120" s="14" t="inlineStr">
        <is>
          <t>new</t>
        </is>
      </c>
      <c r="K120" s="14">
        <f>IF($D120="",".","."&amp;$D120&amp;".")</f>
        <v/>
      </c>
    </row>
    <row r="121">
      <c r="A121" s="22" t="inlineStr">
        <is>
          <t>rtot.chg</t>
        </is>
      </c>
      <c r="B121" s="22" t="inlineStr">
        <is>
          <t>Change in total revenue vs scenario 1 (fiscal effect)</t>
        </is>
      </c>
      <c r="C121" s="22" t="inlineStr">
        <is>
          <t>USD m real</t>
        </is>
      </c>
      <c r="D121" s="22" t="inlineStr"/>
      <c r="E121" s="22" t="inlineStr">
        <is>
          <t>rtot - rtot.ref</t>
        </is>
      </c>
      <c r="F121" s="14" t="inlineStr">
        <is>
          <t>new</t>
        </is>
      </c>
      <c r="K121" s="14">
        <f>IF($D121="",".","."&amp;$D121&amp;".")</f>
        <v/>
      </c>
    </row>
    <row r="122">
      <c r="A122" s="22" t="inlineStr">
        <is>
          <t>ener.chk</t>
        </is>
      </c>
      <c r="B122" s="22" t="inlineStr">
        <is>
          <t>Check: totals by subsector (and power) and by fuel minus total fuel use (should be 0)</t>
        </is>
      </c>
      <c r="C122" s="22" t="inlineStr">
        <is>
          <t>ktoe</t>
        </is>
      </c>
      <c r="D122" s="22" t="inlineStr"/>
      <c r="E122" s="22" t="inlineStr">
        <is>
          <t>Check</t>
        </is>
      </c>
      <c r="F122" s="14" t="inlineStr">
        <is>
          <t>new</t>
        </is>
      </c>
      <c r="K122" s="14">
        <f>IF($D122="",".","."&amp;$D122&amp;".")</f>
        <v/>
      </c>
    </row>
    <row r="123">
      <c r="A123" s="22" t="inlineStr">
        <is>
          <t>ener.ref</t>
        </is>
      </c>
      <c r="B123" s="22" t="inlineStr">
        <is>
          <t>Fuel use, scenario 1 (same year)</t>
        </is>
      </c>
      <c r="C123" s="22" t="inlineStr">
        <is>
          <t>ktoe</t>
        </is>
      </c>
      <c r="D123" s="22" t="inlineStr">
        <is>
          <t>e</t>
        </is>
      </c>
      <c r="E123" s="22" t="inlineStr">
        <is>
          <t>Lookup</t>
        </is>
      </c>
      <c r="F123" s="14" t="inlineStr">
        <is>
          <t>new</t>
        </is>
      </c>
      <c r="K123" s="14">
        <f>IF($D123="",".","."&amp;$D123&amp;".")</f>
        <v/>
      </c>
    </row>
    <row r="124">
      <c r="A124" s="22" t="inlineStr">
        <is>
          <t>ener.pct</t>
        </is>
      </c>
      <c r="B124" s="22" t="inlineStr">
        <is>
          <t>Change in fuel use vs scenario 1</t>
        </is>
      </c>
      <c r="C124" s="22" t="inlineStr">
        <is>
          <t>%</t>
        </is>
      </c>
      <c r="D124" s="22" t="inlineStr">
        <is>
          <t>e</t>
        </is>
      </c>
      <c r="E124" s="22" t="inlineStr">
        <is>
          <t>Calculation</t>
        </is>
      </c>
      <c r="F124" s="14" t="inlineStr">
        <is>
          <t>new</t>
        </is>
      </c>
      <c r="K124" s="14">
        <f>IF($D124="",".","."&amp;$D124&amp;".")</f>
        <v/>
      </c>
    </row>
    <row r="125">
      <c r="A125" s="22" t="inlineStr">
        <is>
          <t>tcf</t>
        </is>
      </c>
      <c r="B125" s="22" t="inlineStr">
        <is>
          <t>Capex time factor (capital cost relative to its level at factor 1)</t>
        </is>
      </c>
      <c r="C125" s="22" t="inlineStr">
        <is>
          <t>factor</t>
        </is>
      </c>
      <c r="D125" s="22" t="inlineStr"/>
      <c r="E125" s="22" t="inlineStr">
        <is>
          <t>PowerPaths</t>
        </is>
      </c>
      <c r="F125" s="14" t="inlineStr">
        <is>
          <t>legacy Mitigation rows 3038-3046 (A7)</t>
        </is>
      </c>
      <c r="G125" s="14" t="inlineStr">
        <is>
          <t>data key</t>
        </is>
      </c>
      <c r="K125" s="14">
        <f>IF($D125="",".","."&amp;$D125&amp;".")</f>
        <v/>
      </c>
    </row>
    <row r="126">
      <c r="A126" s="22" t="inlineStr">
        <is>
          <t>cbat</t>
        </is>
      </c>
      <c r="B126" s="22" t="inlineStr">
        <is>
          <t>Battery storage capital cost</t>
        </is>
      </c>
      <c r="C126" s="22" t="inlineStr">
        <is>
          <t>$/kWh storage</t>
        </is>
      </c>
      <c r="D126" s="22" t="inlineStr"/>
      <c r="E126" s="22" t="inlineStr">
        <is>
          <t>PowerPaths</t>
        </is>
      </c>
      <c r="F126" s="14" t="inlineStr">
        <is>
          <t>legacy row 3887 (J2)</t>
        </is>
      </c>
      <c r="G126" s="14" t="inlineStr">
        <is>
          <t>data key</t>
        </is>
      </c>
      <c r="K126" s="14">
        <f>IF($D126="",".","."&amp;$D126&amp;".")</f>
        <v/>
      </c>
    </row>
    <row r="127">
      <c r="A127" s="22" t="inlineStr">
        <is>
          <t>cint</t>
        </is>
      </c>
      <c r="B127" s="22" t="inlineStr">
        <is>
          <t>Battery interface capital cost</t>
        </is>
      </c>
      <c r="C127" s="22" t="inlineStr">
        <is>
          <t>$/kW</t>
        </is>
      </c>
      <c r="D127" s="22" t="inlineStr"/>
      <c r="E127" s="22" t="inlineStr">
        <is>
          <t>PowerPaths</t>
        </is>
      </c>
      <c r="F127" s="14" t="inlineStr">
        <is>
          <t>legacy row 3888 (J2)</t>
        </is>
      </c>
      <c r="G127" s="14" t="inlineStr">
        <is>
          <t>data key</t>
        </is>
      </c>
      <c r="K127" s="14">
        <f>IF($D127="",".","."&amp;$D127&amp;".")</f>
        <v/>
      </c>
    </row>
    <row r="128">
      <c r="A128" s="22" t="inlineStr">
        <is>
          <t>obat</t>
        </is>
      </c>
      <c r="B128" s="22" t="inlineStr">
        <is>
          <t>Battery storage operating cost</t>
        </is>
      </c>
      <c r="C128" s="22" t="inlineStr">
        <is>
          <t>$/kWh storage/yr</t>
        </is>
      </c>
      <c r="D128" s="22" t="inlineStr"/>
      <c r="E128" s="22" t="inlineStr">
        <is>
          <t>PowerPaths</t>
        </is>
      </c>
      <c r="F128" s="14" t="inlineStr">
        <is>
          <t>legacy row 3891 (J2)</t>
        </is>
      </c>
      <c r="G128" s="14" t="inlineStr">
        <is>
          <t>data key</t>
        </is>
      </c>
      <c r="K128" s="14">
        <f>IF($D128="",".","."&amp;$D128&amp;".")</f>
        <v/>
      </c>
    </row>
    <row r="129">
      <c r="A129" s="22" t="inlineStr">
        <is>
          <t>cel</t>
        </is>
      </c>
      <c r="B129" s="22" t="inlineStr">
        <is>
          <t>Long-term storage cost per marginal unit (electrolyser and storage capital, fixed and variable opex)</t>
        </is>
      </c>
      <c r="C129" s="22" t="inlineStr">
        <is>
          <t>$/kWh</t>
        </is>
      </c>
      <c r="D129" s="22" t="inlineStr"/>
      <c r="E129" s="22" t="inlineStr">
        <is>
          <t>PowerPaths</t>
        </is>
      </c>
      <c r="F129" s="14" t="inlineStr">
        <is>
          <t>legacy rows 3900-3902 (J2)</t>
        </is>
      </c>
      <c r="G129" s="14" t="inlineStr">
        <is>
          <t>data key</t>
        </is>
      </c>
      <c r="K129" s="14">
        <f>IF($D129="",".","."&amp;$D129&amp;".")</f>
        <v/>
      </c>
    </row>
    <row r="130">
      <c r="A130" s="22" t="inlineStr">
        <is>
          <t>incf</t>
        </is>
      </c>
      <c r="B130" s="22" t="inlineStr">
        <is>
          <t>Income-dependent factor on the GDP elasticities of power demand</t>
        </is>
      </c>
      <c r="C130" s="22" t="inlineStr">
        <is>
          <t>factor</t>
        </is>
      </c>
      <c r="D130" s="22" t="inlineStr"/>
      <c r="E130" s="22" t="inlineStr">
        <is>
          <t>PowerPaths</t>
        </is>
      </c>
      <c r="F130" s="14" t="inlineStr">
        <is>
          <t>legacy row 2433 (macro block)</t>
        </is>
      </c>
      <c r="G130" s="14" t="inlineStr">
        <is>
          <t>data key</t>
        </is>
      </c>
      <c r="K130" s="14">
        <f>IF($D130="",".","."&amp;$D130&amp;".")</f>
        <v/>
      </c>
    </row>
    <row r="131">
      <c r="A131" s="22" t="inlineStr">
        <is>
          <t>shock</t>
        </is>
      </c>
      <c r="B131" s="22" t="inlineStr">
        <is>
          <t>Exogenous shock on energy demand (legacy calibration 2023-2024; used if Settings C19 = 1)</t>
        </is>
      </c>
      <c r="C131" s="22" t="inlineStr">
        <is>
          <t>share</t>
        </is>
      </c>
      <c r="D131" s="22" t="inlineStr"/>
      <c r="E131" s="22" t="inlineStr">
        <is>
          <t>PowerPaths</t>
        </is>
      </c>
      <c r="F131" s="14" t="inlineStr">
        <is>
          <t>legacy row 2439</t>
        </is>
      </c>
      <c r="G131" s="14" t="inlineStr">
        <is>
          <t>data key</t>
        </is>
      </c>
      <c r="K131" s="14">
        <f>IF($D131="",".","."&amp;$D131&amp;".")</f>
        <v/>
      </c>
    </row>
    <row r="132">
      <c r="A132" s="22" t="inlineStr">
        <is>
          <t>cax</t>
        </is>
      </c>
      <c r="B132" s="22" t="inlineStr">
        <is>
          <t>Capital cost of new plants</t>
        </is>
      </c>
      <c r="C132" s="22" t="inlineStr">
        <is>
          <t>$/kW real</t>
        </is>
      </c>
      <c r="D132" s="22" t="inlineStr"/>
      <c r="E132" s="22" t="inlineStr">
        <is>
          <t>cax0 x capex time factor</t>
        </is>
      </c>
      <c r="F132" s="14" t="inlineStr">
        <is>
          <t>legacy rows 3099-3107 (A13)</t>
        </is>
      </c>
      <c r="G132" s="14" t="inlineStr">
        <is>
          <t>cax0 (factor 1)</t>
        </is>
      </c>
      <c r="K132" s="14">
        <f>IF($D132="",".","."&amp;$D132&amp;".")</f>
        <v/>
      </c>
    </row>
    <row r="133">
      <c r="A133" s="22" t="inlineStr">
        <is>
          <t>caxav</t>
        </is>
      </c>
      <c r="B133" s="22" t="inlineStr">
        <is>
          <t>Weighted average capital cost of the stock (vintages)</t>
        </is>
      </c>
      <c r="C133" s="22" t="inlineStr">
        <is>
          <t>$/kW real</t>
        </is>
      </c>
      <c r="D133" s="22" t="inlineStr"/>
      <c r="E133" s="22" t="inlineStr">
        <is>
          <t>Base year cax; then caxav(t-1) x (1 - phi(t-1)) + cax(t-1) x phi(t-1)</t>
        </is>
      </c>
      <c r="F133" s="14" t="inlineStr">
        <is>
          <t>legacy rows 3181-3189 (B2)</t>
        </is>
      </c>
      <c r="K133" s="14">
        <f>IF($D133="",".","."&amp;$D133&amp;".")</f>
        <v/>
      </c>
    </row>
    <row r="134">
      <c r="A134" s="22" t="inlineStr">
        <is>
          <t>stoav</t>
        </is>
      </c>
      <c r="B134" s="22" t="inlineStr">
        <is>
          <t>Weighted average storage cost of the stock (vintages)</t>
        </is>
      </c>
      <c r="C134" s="22" t="inlineStr">
        <is>
          <t>$/kWh</t>
        </is>
      </c>
      <c r="D134" s="22" t="inlineStr"/>
      <c r="E134" s="22" t="inlineStr">
        <is>
          <t>Base year msc x VRE flag; then stoav(t-1) x (1 - phi(t-1)) + msc(t) x VRE flag x phi(t-1)</t>
        </is>
      </c>
      <c r="F134" s="14" t="inlineStr">
        <is>
          <t>legacy rows 3225-3233 (B6)</t>
        </is>
      </c>
      <c r="G134" s="14" t="inlineStr">
        <is>
          <t>VRE flag</t>
        </is>
      </c>
      <c r="K134" s="14">
        <f>IF($D134="",".","."&amp;$D134&amp;".")</f>
        <v/>
      </c>
    </row>
    <row r="135">
      <c r="A135" s="22" t="inlineStr">
        <is>
          <t>fix</t>
        </is>
      </c>
      <c r="B135" s="22" t="inlineStr">
        <is>
          <t>Amortised fixed cost of the existing stock (capital, interest, decommissioning, storage, fixed O&amp;M)</t>
        </is>
      </c>
      <c r="C135" s="22" t="inlineStr">
        <is>
          <t>$/kWh</t>
        </is>
      </c>
      <c r="D135" s="22" t="inlineStr"/>
      <c r="E135" s="22" t="inlineStr">
        <is>
          <t>caxav x (1/N + wacc/2)/(cf x 8,760) + decommissioning/N/(cf x 8,760) + fixed O&amp;M + stoav</t>
        </is>
      </c>
      <c r="F135" s="14" t="inlineStr">
        <is>
          <t>legacy rows 3247-3255 (B8 = B3 + B4 + B5 + B6 + B7)</t>
        </is>
      </c>
      <c r="G135" s="14" t="inlineStr">
        <is>
          <t>capex factor</t>
        </is>
      </c>
      <c r="H135" s="14" t="inlineStr">
        <is>
          <t>other fixed cost</t>
        </is>
      </c>
      <c r="K135" s="14">
        <f>IF($D135="",".","."&amp;$D135&amp;".")</f>
        <v/>
      </c>
    </row>
    <row r="136">
      <c r="A136" s="22" t="inlineStr">
        <is>
          <t>lfx</t>
        </is>
      </c>
      <c r="B136" s="22" t="inlineStr">
        <is>
          <t>Levelised fixed cost of new plants</t>
        </is>
      </c>
      <c r="C136" s="22" t="inlineStr">
        <is>
          <t>$/kWh</t>
        </is>
      </c>
      <c r="D136" s="22" t="inlineStr"/>
      <c r="E136" s="22" t="inlineStr">
        <is>
          <t>(cax + decommissioning + transmission capex)/(cf x 8,760 x dlf) + fixed O&amp;M + subsidy + msc x VRE flag</t>
        </is>
      </c>
      <c r="F136" s="14" t="inlineStr">
        <is>
          <t>legacy rows 3326-3334 (C7 = C1 + ... + C6)</t>
        </is>
      </c>
      <c r="G136" s="14" t="inlineStr">
        <is>
          <t>capex factor</t>
        </is>
      </c>
      <c r="H136" s="14" t="inlineStr">
        <is>
          <t>other fixed cost</t>
        </is>
      </c>
      <c r="I136" s="14" t="inlineStr">
        <is>
          <t>VRE flag</t>
        </is>
      </c>
      <c r="K136" s="14">
        <f>IF($D136="",".","."&amp;$D136&amp;".")</f>
        <v/>
      </c>
    </row>
    <row r="137">
      <c r="A137" s="22" t="inlineStr">
        <is>
          <t>fpp</t>
        </is>
      </c>
      <c r="B137" s="22" t="inlineStr">
        <is>
          <t>Fuel price for power before new policies (centred 5-year moving average, or spot)</t>
        </is>
      </c>
      <c r="C137" s="22" t="inlineStr">
        <is>
          <t>$/GJ real</t>
        </is>
      </c>
      <c r="D137" s="22" t="inlineStr"/>
      <c r="E137" s="22" t="inlineStr">
        <is>
          <t>Settings C21 (SpotPow) = Yes: rpb of the price fuel; else the average of rpb over t-2 .. t+2 within 2022-2041 (errors skipped)</t>
        </is>
      </c>
      <c r="F137" s="14" t="inlineStr">
        <is>
          <t>legacy rows 3155-3163 (A18; AVERAGE over five year columns, blanks ignored)</t>
        </is>
      </c>
      <c r="G137" s="14" t="inlineStr">
        <is>
          <t>price position</t>
        </is>
      </c>
      <c r="K137" s="14">
        <f>IF($D137="",".","."&amp;$D137&amp;".")</f>
        <v/>
      </c>
    </row>
    <row r="138">
      <c r="A138" s="22" t="inlineStr">
        <is>
          <t>tvcx</t>
        </is>
      </c>
      <c r="B138" s="22" t="inlineStr">
        <is>
          <t>Total variable cost used in the levelised window (tvc; last year's where the host cannot evaluate the LAMBDA year 2041)</t>
        </is>
      </c>
      <c r="C138" s="22" t="inlineStr">
        <is>
          <t>$/kWh</t>
        </is>
      </c>
      <c r="D138" s="22" t="inlineStr"/>
      <c r="E138" s="22" t="inlineStr">
        <is>
          <t>IFERROR(tvc, tvc(t-1))</t>
        </is>
      </c>
      <c r="F138" s="14" t="inlineStr">
        <is>
          <t>new (no-LAMBDA fallback)</t>
        </is>
      </c>
      <c r="K138" s="14">
        <f>IF($D138="",".","."&amp;$D138&amp;".")</f>
        <v/>
      </c>
    </row>
    <row r="139">
      <c r="A139" s="22" t="inlineStr">
        <is>
          <t>xck</t>
        </is>
      </c>
      <c r="B139" s="22" t="inlineStr">
        <is>
          <t>Change in existing carbon pricing against the price data, per kWh generated</t>
        </is>
      </c>
      <c r="C139" s="22" t="inlineStr">
        <is>
          <t>$/kWh</t>
        </is>
      </c>
      <c r="D139" s="22" t="inlineStr"/>
      <c r="E139" s="22" t="inlineStr">
        <is>
          <t>tCO2/kWh x (carbon tax coverage x (rate - embedded) + ETS coverage x (price - embedded))</t>
        </is>
      </c>
      <c r="F139" s="14" t="inlineStr">
        <is>
          <t>new (legacy: existing pricing is part of txo of power fuels)</t>
        </is>
      </c>
      <c r="G139" s="14" t="inlineStr">
        <is>
          <t>tCO2/kWh</t>
        </is>
      </c>
      <c r="H139" s="14" t="inlineStr">
        <is>
          <t>carbon tax coverage</t>
        </is>
      </c>
      <c r="I139" s="14" t="inlineStr">
        <is>
          <t>ETS coverage</t>
        </is>
      </c>
      <c r="K139" s="14">
        <f>IF($D139="",".","."&amp;$D139&amp;".")</f>
        <v/>
      </c>
    </row>
    <row r="140">
      <c r="A140" s="22" t="inlineStr">
        <is>
          <t>vbc</t>
        </is>
      </c>
      <c r="B140" s="22" t="inlineStr">
        <is>
          <t>Variable cost before new policies (fuel and variable O&amp;M)</t>
        </is>
      </c>
      <c r="C140" s="22" t="inlineStr">
        <is>
          <t>$/kWh</t>
        </is>
      </c>
      <c r="D140" s="22" t="inlineStr"/>
      <c r="E140" s="22" t="inlineStr">
        <is>
          <t>Variable O&amp;M + fixed fuel cost + fpp (fuel price for power, $/GJ) x 0.0036/efficiency + xck</t>
        </is>
      </c>
      <c r="F140" s="14" t="inlineStr">
        <is>
          <t>legacy rows 3374-3382 (D4; moving-average fuel prices as legacy A18)</t>
        </is>
      </c>
      <c r="G140" s="14" t="inlineStr">
        <is>
          <t>var. O&amp;M + fixed fuel</t>
        </is>
      </c>
      <c r="H140" s="14" t="inlineStr">
        <is>
          <t>price position</t>
        </is>
      </c>
      <c r="I140" s="14" t="inlineStr">
        <is>
          <t>GJ per kWh</t>
        </is>
      </c>
      <c r="K140" s="14">
        <f>IF($D140="",".","."&amp;$D140&amp;".")</f>
        <v/>
      </c>
    </row>
    <row r="141">
      <c r="A141" s="22" t="inlineStr">
        <is>
          <t>ccp</t>
        </is>
      </c>
      <c r="B141" s="22" t="inlineStr">
        <is>
          <t>New policy cost per kWh generated (carbon tax, ETS, fuel price reform)</t>
        </is>
      </c>
      <c r="C141" s="22" t="inlineStr">
        <is>
          <t>$/kWh</t>
        </is>
      </c>
      <c r="D141" s="22" t="inlineStr"/>
      <c r="E141" s="22" t="inlineStr">
        <is>
          <t>tCO2/kWh x (carbon tax rate of power x fuel coverage + ETS cost rate of power; section 1 ctr, etr) + fuel price reform x 0.0036/efficiency/GJ per unit</t>
        </is>
      </c>
      <c r="F141" s="14" t="inlineStr">
        <is>
          <t>legacy rows 3385-3393 (D5)</t>
        </is>
      </c>
      <c r="G141" s="14" t="inlineStr">
        <is>
          <t>tCO2/kWh</t>
        </is>
      </c>
      <c r="H141" s="14" t="inlineStr">
        <is>
          <t>fuel position</t>
        </is>
      </c>
      <c r="I141" s="14" t="inlineStr">
        <is>
          <t>price-fuel position</t>
        </is>
      </c>
      <c r="J141" s="14" t="inlineStr">
        <is>
          <t>kWh factor of reform</t>
        </is>
      </c>
      <c r="K141" s="14">
        <f>IF($D141="",".","."&amp;$D141&amp;".")</f>
        <v/>
      </c>
    </row>
    <row r="142">
      <c r="A142" s="22" t="inlineStr">
        <is>
          <t>shk</t>
        </is>
      </c>
      <c r="B142" s="22" t="inlineStr">
        <is>
          <t>Shadow price per kWh generated (power feebates, ETS output-based part)</t>
        </is>
      </c>
      <c r="C142" s="22" t="inlineStr">
        <is>
          <t>$/kWh</t>
        </is>
      </c>
      <c r="D142" s="22" t="inlineStr"/>
      <c r="E142" s="22" t="inlineStr">
        <is>
          <t>shadow price of power (shpx, section 1: feebate rate x share impacting efficiency + ETS tax-equivalent price x ETS coverage x OBR share) x tCO2/kWh</t>
        </is>
      </c>
      <c r="F142" s="14" t="inlineStr">
        <is>
          <t>legacy rows 3398-3406 (D6)</t>
        </is>
      </c>
      <c r="G142" s="14" t="inlineStr">
        <is>
          <t>tCO2/kWh</t>
        </is>
      </c>
      <c r="H142" s="14" t="inlineStr">
        <is>
          <t>base-year generation share (rebate)</t>
        </is>
      </c>
      <c r="K142" s="14">
        <f>IF($D142="",".","."&amp;$D142&amp;".")</f>
        <v/>
      </c>
    </row>
    <row r="143">
      <c r="A143" s="22" t="inlineStr">
        <is>
          <t>reb</t>
        </is>
      </c>
      <c r="B143" s="22" t="inlineStr">
        <is>
          <t>Feebate rebate per kWh generated (fixed base-year shares; from the second year)</t>
        </is>
      </c>
      <c r="C143" s="22" t="inlineStr">
        <is>
          <t>$/kWh</t>
        </is>
      </c>
      <c r="D143" s="22" t="inlineStr"/>
      <c r="E143" s="22" t="inlineStr">
        <is>
          <t>-SUMPRODUCT(shk, base-year generation shares)</t>
        </is>
      </c>
      <c r="F143" s="14" t="inlineStr">
        <is>
          <t>legacy rows 3407-3409 (fixed: per kWh generated, legacy per kWh consumed)</t>
        </is>
      </c>
      <c r="K143" s="14">
        <f>IF($D143="",".","."&amp;$D143&amp;".")</f>
        <v/>
      </c>
    </row>
    <row r="144">
      <c r="A144" s="22" t="inlineStr">
        <is>
          <t>tvc</t>
        </is>
      </c>
      <c r="B144" s="22" t="inlineStr">
        <is>
          <t>Total variable cost (dispatch; levelised for investment)</t>
        </is>
      </c>
      <c r="C144" s="22" t="inlineStr">
        <is>
          <t>$/kWh</t>
        </is>
      </c>
      <c r="D144" s="22" t="inlineStr"/>
      <c r="E144" s="22" t="inlineStr">
        <is>
          <t>vbc + ccp + shk + reb</t>
        </is>
      </c>
      <c r="F144" s="14" t="inlineStr">
        <is>
          <t>legacy rows 3423-3431 (D7)</t>
        </is>
      </c>
      <c r="K144" s="14">
        <f>IF($D144="",".","."&amp;$D144&amp;".")</f>
        <v/>
      </c>
    </row>
    <row r="145">
      <c r="A145" s="22" t="inlineStr">
        <is>
          <t>dsum</t>
        </is>
      </c>
      <c r="B145" s="22" t="inlineStr">
        <is>
          <t>Sum of discount factors from the year to the end of the horizon</t>
        </is>
      </c>
      <c r="C145" s="22" t="inlineStr">
        <is>
          <t>years</t>
        </is>
      </c>
      <c r="D145" s="22" t="inlineStr"/>
      <c r="E145" s="22" t="inlineStr">
        <is>
          <t>(1 + wacc)^(base year - year) + next year (blank after the last year)</t>
        </is>
      </c>
      <c r="F145" s="14" t="inlineStr">
        <is>
          <t>legacy A5 discount factors (row 3012)</t>
        </is>
      </c>
      <c r="G145" s="14" t="inlineStr">
        <is>
          <t>WACC</t>
        </is>
      </c>
      <c r="K145" s="14">
        <f>IF($D145="",".","."&amp;$D145&amp;".")</f>
        <v/>
      </c>
    </row>
    <row r="146">
      <c r="A146" s="22" t="inlineStr">
        <is>
          <t>lvc</t>
        </is>
      </c>
      <c r="B146" s="22" t="inlineStr">
        <is>
          <t>Levelised variable cost: discounted average of tvc from the year to the end of the horizon</t>
        </is>
      </c>
      <c r="C146" s="22" t="inlineStr">
        <is>
          <t>$/kWh</t>
        </is>
      </c>
      <c r="D146" s="22" t="inlineStr"/>
      <c r="E146" s="22" t="inlineStr">
        <is>
          <t>(df x tvc + (dsum - df) x lvc of next year) / dsum</t>
        </is>
      </c>
      <c r="F146" s="14" t="inlineStr">
        <is>
          <t>legacy rows 3439-3447 (D9; capacity factors constant)</t>
        </is>
      </c>
      <c r="G146" s="14" t="inlineStr">
        <is>
          <t>WACC</t>
        </is>
      </c>
      <c r="K146" s="14">
        <f>IF($D146="",".","."&amp;$D146&amp;".")</f>
        <v/>
      </c>
    </row>
    <row r="147">
      <c r="A147" s="22" t="inlineStr">
        <is>
          <t>gnc</t>
        </is>
      </c>
      <c r="B147" s="22" t="inlineStr">
        <is>
          <t>Generation cost before new policies (cost recovery)</t>
        </is>
      </c>
      <c r="C147" s="22" t="inlineStr">
        <is>
          <t>$/kWh</t>
        </is>
      </c>
      <c r="D147" s="22" t="inlineStr"/>
      <c r="E147" s="22" t="inlineStr">
        <is>
          <t>fix + vbc</t>
        </is>
      </c>
      <c r="F147" s="14" t="inlineStr">
        <is>
          <t>legacy rows 3486-3494 (E3)</t>
        </is>
      </c>
      <c r="K147" s="14">
        <f>IF($D147="",".","."&amp;$D147&amp;".")</f>
        <v/>
      </c>
    </row>
    <row r="148">
      <c r="A148" s="22" t="inlineStr">
        <is>
          <t>gncav</t>
        </is>
      </c>
      <c r="B148" s="22" t="inlineStr">
        <is>
          <t>Average generation cost (weighted by generation shares)</t>
        </is>
      </c>
      <c r="C148" s="22" t="inlineStr">
        <is>
          <t>$/kWh</t>
        </is>
      </c>
      <c r="D148" s="22" t="inlineStr"/>
      <c r="E148" s="22" t="inlineStr">
        <is>
          <t>SUMPRODUCT(shr, gnc)</t>
        </is>
      </c>
      <c r="F148" s="14" t="inlineStr">
        <is>
          <t>legacy row 3495 (E3 weighted average)</t>
        </is>
      </c>
      <c r="G148" s="14" t="inlineStr">
        <is>
          <t>factor</t>
        </is>
      </c>
      <c r="K148" s="14">
        <f>IF($D148="",".","."&amp;$D148&amp;".")</f>
        <v/>
      </c>
    </row>
    <row r="149">
      <c r="A149" s="22" t="inlineStr">
        <is>
          <t>ccpav</t>
        </is>
      </c>
      <c r="B149" s="22" t="inlineStr">
        <is>
          <t>Average new policy cost per kWh consumed</t>
        </is>
      </c>
      <c r="C149" s="22" t="inlineStr">
        <is>
          <t>$/kWh</t>
        </is>
      </c>
      <c r="D149" s="22" t="inlineStr"/>
      <c r="E149" s="22" t="inlineStr">
        <is>
          <t>SUMPRODUCT(shr, ccp) x generation / consumption</t>
        </is>
      </c>
      <c r="F149" s="14" t="inlineStr">
        <is>
          <t>legacy row 3395 (D5 per kWh consumed)</t>
        </is>
      </c>
      <c r="G149" s="14" t="inlineStr">
        <is>
          <t>generation / consumption</t>
        </is>
      </c>
      <c r="K149" s="14">
        <f>IF($D149="",".","."&amp;$D149&amp;".")</f>
        <v/>
      </c>
    </row>
    <row r="150">
      <c r="A150" s="22" t="inlineStr">
        <is>
          <t>tic</t>
        </is>
      </c>
      <c r="B150" s="22" t="inlineStr">
        <is>
          <t>Levelised investment cost (levelised fixed + levelised variable)</t>
        </is>
      </c>
      <c r="C150" s="22" t="inlineStr">
        <is>
          <t>$/kWh</t>
        </is>
      </c>
      <c r="D150" s="22" t="inlineStr"/>
      <c r="E150" s="22" t="inlineStr">
        <is>
          <t>MAX(lfx + lvc, minimum)</t>
        </is>
      </c>
      <c r="F150" s="14" t="inlineStr">
        <is>
          <t>legacy rows 3463-3471 (E1) = L1</t>
        </is>
      </c>
      <c r="G150" s="14" t="inlineStr">
        <is>
          <t>minimum cost</t>
        </is>
      </c>
      <c r="K150" s="14">
        <f>IF($D150="",".","."&amp;$D150&amp;".")</f>
        <v/>
      </c>
    </row>
    <row r="151">
      <c r="A151" s="22" t="inlineStr">
        <is>
          <t>cons</t>
        </is>
      </c>
      <c r="B151" s="22" t="inlineStr">
        <is>
          <t>Electricity consumption by price group</t>
        </is>
      </c>
      <c r="C151" s="22" t="inlineStr">
        <is>
          <t>GWh</t>
        </is>
      </c>
      <c r="D151" s="22" t="inlineStr"/>
      <c r="E151" s="22" t="inlineStr">
        <is>
          <t>residential: residential demand; industry: total minus residential; x GWh per ktoe</t>
        </is>
      </c>
      <c r="F151" s="14" t="inlineStr">
        <is>
          <t>legacy rows 3621, 3650 (G1, G2)</t>
        </is>
      </c>
      <c r="G151" s="14" t="inlineStr">
        <is>
          <t>weight on total</t>
        </is>
      </c>
      <c r="H151" s="14" t="inlineStr">
        <is>
          <t>weight on residential</t>
        </is>
      </c>
      <c r="I151" s="14" t="inlineStr">
        <is>
          <t>GWh per ktoe</t>
        </is>
      </c>
      <c r="K151" s="14">
        <f>IF($D151="",".","."&amp;$D151&amp;".")</f>
        <v/>
      </c>
    </row>
    <row r="152">
      <c r="A152" s="22" t="inlineStr">
        <is>
          <t>sc</t>
        </is>
      </c>
      <c r="B152" s="22" t="inlineStr">
        <is>
          <t>Supply cost of electricity (average generation cost of the previous year + transmission and distribution)</t>
        </is>
      </c>
      <c r="C152" s="22" t="inlineStr">
        <is>
          <t>$/kWh</t>
        </is>
      </c>
      <c r="D152" s="22" t="inlineStr"/>
      <c r="E152" s="22" t="inlineStr">
        <is>
          <t>gncav(t-1) + T&amp;D add-on; base year gncav(t) + T&amp;D</t>
        </is>
      </c>
      <c r="F152" s="14" t="inlineStr">
        <is>
          <t>legacy rows 3600, 3629</t>
        </is>
      </c>
      <c r="G152" s="14" t="inlineStr">
        <is>
          <t>T&amp;D add-on</t>
        </is>
      </c>
      <c r="K152" s="14">
        <f>IF($D152="",".","."&amp;$D152&amp;".")</f>
        <v/>
      </c>
    </row>
    <row r="153">
      <c r="A153" s="22" t="inlineStr">
        <is>
          <t>rppre</t>
        </is>
      </c>
      <c r="B153" s="22" t="inlineStr">
        <is>
          <t>Electricity price before new policies (incl. VAT)</t>
        </is>
      </c>
      <c r="C153" s="22" t="inlineStr">
        <is>
          <t>$/kWh real</t>
        </is>
      </c>
      <c r="D153" s="22" t="inlineStr"/>
      <c r="E153" s="22" t="inlineStr">
        <is>
          <t>Data up to the last historical year (x CPI index), then rppre(t-1) + pass-through x (sc - sc(t-1)) x (1 + VAT)</t>
        </is>
      </c>
      <c r="F153" s="14" t="inlineStr">
        <is>
          <t>legacy rows 3613, 3642 (telescoped: held components cancel)</t>
        </is>
      </c>
      <c r="G153" s="14" t="inlineStr">
        <is>
          <t>pass-through</t>
        </is>
      </c>
      <c r="H153" s="14" t="inlineStr">
        <is>
          <t>user-group position</t>
        </is>
      </c>
      <c r="I153" s="14" t="inlineStr">
        <is>
          <t>VAT rate</t>
        </is>
      </c>
      <c r="K153" s="14">
        <f>IF($D153="",".","."&amp;$D153&amp;".")</f>
        <v/>
      </c>
    </row>
    <row r="154">
      <c r="A154" s="22" t="inlineStr">
        <is>
          <t>rp</t>
        </is>
      </c>
      <c r="B154" s="22" t="inlineStr">
        <is>
          <t>End-user electricity price</t>
        </is>
      </c>
      <c r="C154" s="22" t="inlineStr">
        <is>
          <t>$/kWh real</t>
        </is>
      </c>
      <c r="D154" s="22" t="inlineStr"/>
      <c r="E154" s="22" t="inlineStr">
        <is>
          <t>rppre + ccpav x pass-through x (1 + VAT) (rebate and power excise 0)</t>
        </is>
      </c>
      <c r="F154" s="14" t="inlineStr">
        <is>
          <t>legacy rows 3614, 3617, 3646</t>
        </is>
      </c>
      <c r="G154" s="14" t="inlineStr">
        <is>
          <t>pass-through</t>
        </is>
      </c>
      <c r="H154" s="14" t="inlineStr">
        <is>
          <t>VAT rate</t>
        </is>
      </c>
      <c r="K154" s="14">
        <f>IF($D154="",".","."&amp;$D154&amp;".")</f>
        <v/>
      </c>
    </row>
    <row r="155">
      <c r="A155" s="22" t="inlineStr">
        <is>
          <t>sgap</t>
        </is>
      </c>
      <c r="B155" s="22" t="inlineStr">
        <is>
          <t>Subsidy gap: supply cost minus price before VAT (positive = price below cost)</t>
        </is>
      </c>
      <c r="C155" s="22" t="inlineStr">
        <is>
          <t>$/kWh</t>
        </is>
      </c>
      <c r="D155" s="22" t="inlineStr"/>
      <c r="E155" s="22" t="inlineStr">
        <is>
          <t>sc - rppre / (1 + VAT rate)</t>
        </is>
      </c>
      <c r="F155" s="14" t="inlineStr">
        <is>
          <t>new (legacy producer-subsidy and over/under-estimate rows)</t>
        </is>
      </c>
      <c r="G155" s="14" t="inlineStr">
        <is>
          <t>VAT rate</t>
        </is>
      </c>
      <c r="K155" s="14">
        <f>IF($D155="",".","."&amp;$D155&amp;".")</f>
        <v/>
      </c>
    </row>
    <row r="156">
      <c r="A156" s="22" t="inlineStr">
        <is>
          <t>rvat</t>
        </is>
      </c>
      <c r="B156" s="22" t="inlineStr">
        <is>
          <t>VAT revenue from electricity</t>
        </is>
      </c>
      <c r="C156" s="22" t="inlineStr">
        <is>
          <t>USD m real</t>
        </is>
      </c>
      <c r="D156" s="22" t="inlineStr"/>
      <c r="E156" s="22" t="inlineStr">
        <is>
          <t>rppre x VAT/(1 + VAT) x consumption</t>
        </is>
      </c>
      <c r="F156" s="14" t="inlineStr">
        <is>
          <t>new</t>
        </is>
      </c>
      <c r="G156" s="14" t="inlineStr">
        <is>
          <t>VAT share of price</t>
        </is>
      </c>
      <c r="K156" s="14">
        <f>IF($D156="",".","."&amp;$D156&amp;".")</f>
        <v/>
      </c>
    </row>
    <row r="157">
      <c r="A157" s="22" t="inlineStr">
        <is>
          <t>rcarb</t>
        </is>
      </c>
      <c r="B157" s="22" t="inlineStr">
        <is>
          <t>New-policy cost per user group (carbon tax, ETS at the tax-equivalent price, fuel price reform; memo, revenue: prnew in M)</t>
        </is>
      </c>
      <c r="C157" s="22" t="inlineStr">
        <is>
          <t>USD m real</t>
        </is>
      </c>
      <c r="D157" s="22" t="inlineStr"/>
      <c r="E157" s="22" t="inlineStr">
        <is>
          <t>ccpav x consumption</t>
        </is>
      </c>
      <c r="F157" s="14" t="inlineStr">
        <is>
          <t>legacy power carbon revenue</t>
        </is>
      </c>
      <c r="G157" s="14" t="inlineStr">
        <is>
          <t>factor</t>
        </is>
      </c>
      <c r="K157" s="14">
        <f>IF($D157="",".","."&amp;$D157&amp;".")</f>
        <v/>
      </c>
    </row>
    <row r="158">
      <c r="A158" s="22" t="inlineStr">
        <is>
          <t>rnvat</t>
        </is>
      </c>
      <c r="B158" s="22" t="inlineStr">
        <is>
          <t>VAT on the new-policy cost passed through to electricity users</t>
        </is>
      </c>
      <c r="C158" s="22" t="inlineStr">
        <is>
          <t>USD m real</t>
        </is>
      </c>
      <c r="D158" s="22" t="inlineStr"/>
      <c r="E158" s="22" t="inlineStr">
        <is>
          <t>ccpav x pass-through x VAT rate x consumption</t>
        </is>
      </c>
      <c r="F158" s="14" t="inlineStr">
        <is>
          <t>new</t>
        </is>
      </c>
      <c r="G158" s="14" t="inlineStr">
        <is>
          <t>pass-through</t>
        </is>
      </c>
      <c r="H158" s="14" t="inlineStr">
        <is>
          <t>VAT rate</t>
        </is>
      </c>
      <c r="K158" s="14">
        <f>IF($D158="",".","."&amp;$D158&amp;".")</f>
        <v/>
      </c>
    </row>
    <row r="159">
      <c r="A159" s="22" t="inlineStr">
        <is>
          <t>rgap</t>
        </is>
      </c>
      <c r="B159" s="22" t="inlineStr">
        <is>
          <t>Fiscal cost of the electricity subsidy gap</t>
        </is>
      </c>
      <c r="C159" s="22" t="inlineStr">
        <is>
          <t>USD m real</t>
        </is>
      </c>
      <c r="D159" s="22" t="inlineStr"/>
      <c r="E159" s="22" t="inlineStr">
        <is>
          <t>sgap x consumption</t>
        </is>
      </c>
      <c r="F159" s="14" t="inlineStr">
        <is>
          <t>new</t>
        </is>
      </c>
      <c r="G159" s="14" t="inlineStr">
        <is>
          <t>factor</t>
        </is>
      </c>
      <c r="K159" s="14">
        <f>IF($D159="",".","."&amp;$D159&amp;".")</f>
        <v/>
      </c>
    </row>
    <row r="160">
      <c r="A160" s="22" t="inlineStr">
        <is>
          <t>pdem</t>
        </is>
      </c>
      <c r="B160" s="22" t="inlineStr">
        <is>
          <t>Electricity price of the previous year used by demand (by demand group)</t>
        </is>
      </c>
      <c r="C160" s="22" t="inlineStr">
        <is>
          <t>$/kWh real</t>
        </is>
      </c>
      <c r="D160" s="22" t="inlineStr"/>
      <c r="E160" s="22" t="inlineStr">
        <is>
          <t>weight x residential price(t-1) + (1 - weight) x industrial price(t-1); base year: 2021 prices</t>
        </is>
      </c>
      <c r="F160" s="14" t="inlineStr">
        <is>
          <t>legacy rows 3687-3689 (deliberately lagged)</t>
        </is>
      </c>
      <c r="G160" s="14" t="inlineStr">
        <is>
          <t>weight on the residential price</t>
        </is>
      </c>
      <c r="H160" s="14" t="inlineStr">
        <is>
          <t>2021 price</t>
        </is>
      </c>
      <c r="K160" s="14">
        <f>IF($D160="",".","."&amp;$D160&amp;".")</f>
        <v/>
      </c>
    </row>
    <row r="161">
      <c r="A161" s="22" t="inlineStr">
        <is>
          <t>mult</t>
        </is>
      </c>
      <c r="B161" s="22" t="inlineStr">
        <is>
          <t>Growth multiple of electricity demand (efficiency, GDP, price; demand shock if switched on)</t>
        </is>
      </c>
      <c r="C161" s="22" t="inlineStr">
        <is>
          <t>factor</t>
        </is>
      </c>
      <c r="D161" s="22" t="inlineStr"/>
      <c r="E161" s="22" t="inlineStr">
        <is>
          <t>efficiency multiple x (1 + GDP growth)^(eps_Y x income factor) x (p/p(t-1))^(total price elasticity) x (1 + shock x switch)</t>
        </is>
      </c>
      <c r="F161" s="14" t="inlineStr">
        <is>
          <t>legacy rows 3691-3713 (fixed: efficiency exponent, income factor)</t>
        </is>
      </c>
      <c r="G161" s="14" t="inlineStr">
        <is>
          <t>efficiency multiple</t>
        </is>
      </c>
      <c r="H161" s="14" t="inlineStr">
        <is>
          <t>eps_Y</t>
        </is>
      </c>
      <c r="I161" s="14" t="inlineStr">
        <is>
          <t>total price elasticity</t>
        </is>
      </c>
      <c r="K161" s="14">
        <f>IF($D161="",".","."&amp;$D161&amp;".")</f>
        <v/>
      </c>
    </row>
    <row r="162">
      <c r="A162" s="22" t="inlineStr">
        <is>
          <t>dem</t>
        </is>
      </c>
      <c r="B162" s="22" t="inlineStr">
        <is>
          <t>Electricity demand</t>
        </is>
      </c>
      <c r="C162" s="22" t="inlineStr">
        <is>
          <t>ktoe</t>
        </is>
      </c>
      <c r="D162" s="22" t="inlineStr"/>
      <c r="E162" s="22" t="inlineStr">
        <is>
          <t>demand(t-1) x multiple of the demand group</t>
        </is>
      </c>
      <c r="F162" s="14" t="inlineStr">
        <is>
          <t>legacy rows 3725-3739 (H3; fixed: services keep the services multiple)</t>
        </is>
      </c>
      <c r="G162" s="14" t="inlineStr">
        <is>
          <t>demand-group position</t>
        </is>
      </c>
      <c r="H162" s="14" t="inlineStr">
        <is>
          <t>base-year demand</t>
        </is>
      </c>
      <c r="K162" s="14">
        <f>IF($D162="",".","."&amp;$D162&amp;".")</f>
        <v/>
      </c>
    </row>
    <row r="163">
      <c r="A163" s="22" t="inlineStr">
        <is>
          <t>demg</t>
        </is>
      </c>
      <c r="B163" s="22" t="inlineStr">
        <is>
          <t>Electricity demand by demand group (memo)</t>
        </is>
      </c>
      <c r="C163" s="22" t="inlineStr">
        <is>
          <t>ktoe</t>
        </is>
      </c>
      <c r="D163" s="22" t="inlineStr"/>
      <c r="E163" s="22" t="inlineStr">
        <is>
          <t>Sum over the subsectors of the group</t>
        </is>
      </c>
      <c r="F163" s="14" t="inlineStr">
        <is>
          <t>legacy H3 (groups of H1)</t>
        </is>
      </c>
      <c r="G163" s="14" t="inlineStr">
        <is>
          <t>demand-group position</t>
        </is>
      </c>
      <c r="K163" s="14">
        <f>IF($D163="",".","."&amp;$D163&amp;".")</f>
        <v/>
      </c>
    </row>
    <row r="164">
      <c r="A164" s="22" t="inlineStr">
        <is>
          <t>demtot</t>
        </is>
      </c>
      <c r="B164" s="22" t="inlineStr">
        <is>
          <t>Electricity demand, total</t>
        </is>
      </c>
      <c r="C164" s="22" t="inlineStr">
        <is>
          <t>ktoe</t>
        </is>
      </c>
      <c r="D164" s="22" t="inlineStr"/>
      <c r="E164" s="22" t="inlineStr">
        <is>
          <t>Sum over subsectors</t>
        </is>
      </c>
      <c r="F164" s="14" t="inlineStr">
        <is>
          <t>legacy row 3741</t>
        </is>
      </c>
      <c r="K164" s="14">
        <f>IF($D164="",".","."&amp;$D164&amp;".")</f>
        <v/>
      </c>
    </row>
    <row r="165">
      <c r="A165" s="22" t="inlineStr">
        <is>
          <t>req</t>
        </is>
      </c>
      <c r="B165" s="22" t="inlineStr">
        <is>
          <t>Required generation (incl. net exports, transmission and statistical differences, own use)</t>
        </is>
      </c>
      <c r="C165" s="22" t="inlineStr">
        <is>
          <t>MWy</t>
        </is>
      </c>
      <c r="D165" s="22" t="inlineStr"/>
      <c r="E165" s="22" t="inlineStr">
        <is>
          <t>Base year: actual generation; then total demand x required-generation factor</t>
        </is>
      </c>
      <c r="F165" s="14" t="inlineStr">
        <is>
          <t>legacy rows 3746-3752</t>
        </is>
      </c>
      <c r="G165" s="14" t="inlineStr">
        <is>
          <t>MWy per ktoe of demand</t>
        </is>
      </c>
      <c r="K165" s="14">
        <f>IF($D165="",".","."&amp;$D165&amp;".")</f>
        <v/>
      </c>
    </row>
    <row r="166">
      <c r="A166" s="22" t="inlineStr">
        <is>
          <t>reqcg</t>
        </is>
      </c>
      <c r="B166" s="22" t="inlineStr">
        <is>
          <t>Generation required from coal and gas</t>
        </is>
      </c>
      <c r="C166" s="22" t="inlineStr">
        <is>
          <t>MWy</t>
        </is>
      </c>
      <c r="D166" s="22" t="inlineStr"/>
      <c r="E166" s="22" t="inlineStr">
        <is>
          <t>MAX(required generation - fixed-output generation, 0)</t>
        </is>
      </c>
      <c r="F166" s="14" t="inlineStr">
        <is>
          <t>legacy row 3779</t>
        </is>
      </c>
      <c r="K166" s="14">
        <f>IF($D166="",".","."&amp;$D166&amp;".")</f>
        <v/>
      </c>
    </row>
    <row r="167">
      <c r="A167" s="22" t="inlineStr">
        <is>
          <t>vcmin</t>
        </is>
      </c>
      <c r="B167" s="22" t="inlineStr">
        <is>
          <t>Lowest variable cost of coal and gas</t>
        </is>
      </c>
      <c r="C167" s="22" t="inlineStr">
        <is>
          <t>$/kWh</t>
        </is>
      </c>
      <c r="D167" s="22" t="inlineStr"/>
      <c r="E167" s="22" t="inlineStr">
        <is>
          <t>MAX(MIN over coal and gas of tvc, minimum)</t>
        </is>
      </c>
      <c r="F167" s="14" t="inlineStr">
        <is>
          <t>legacy rows 3790-3793</t>
        </is>
      </c>
      <c r="G167" s="14" t="inlineStr">
        <is>
          <t>minimum cost</t>
        </is>
      </c>
      <c r="K167" s="14">
        <f>IF($D167="",".","."&amp;$D167&amp;".")</f>
        <v/>
      </c>
    </row>
    <row r="168">
      <c r="A168" s="22" t="inlineStr">
        <is>
          <t>rem</t>
        </is>
      </c>
      <c r="B168" s="22" t="inlineStr">
        <is>
          <t>Coal and gas generation left after the minima</t>
        </is>
      </c>
      <c r="C168" s="22" t="inlineStr">
        <is>
          <t>MWy</t>
        </is>
      </c>
      <c r="D168" s="22" t="inlineStr"/>
      <c r="E168" s="22" t="inlineStr">
        <is>
          <t>MAX(reqcg - sum of minima, 0)</t>
        </is>
      </c>
      <c r="F168" s="14" t="inlineStr">
        <is>
          <t>legacy row 3789</t>
        </is>
      </c>
      <c r="K168" s="14">
        <f>IF($D168="",".","."&amp;$D168&amp;".")</f>
        <v/>
      </c>
    </row>
    <row r="169">
      <c r="A169" s="22" t="inlineStr">
        <is>
          <t>gmin</t>
        </is>
      </c>
      <c r="B169" s="22" t="inlineStr">
        <is>
          <t>Minimum generation (coal if gas runs at its maximum, and vice versa)</t>
        </is>
      </c>
      <c r="C169" s="22" t="inlineStr">
        <is>
          <t>MWy</t>
        </is>
      </c>
      <c r="D169" s="22" t="inlineStr"/>
      <c r="E169" s="22" t="inlineStr">
        <is>
          <t>coal/gas flag x MIN(MAX(reqcg - maximum of the other, 0), own maximum)</t>
        </is>
      </c>
      <c r="F169" s="14" t="inlineStr">
        <is>
          <t>legacy rows 3787-3788</t>
        </is>
      </c>
      <c r="G169" s="14" t="inlineStr">
        <is>
          <t>coal/gas flag</t>
        </is>
      </c>
      <c r="H169" s="14" t="inlineStr">
        <is>
          <t>maximum capacity factor</t>
        </is>
      </c>
      <c r="K169" s="14">
        <f>IF($D169="",".","."&amp;$D169&amp;".")</f>
        <v/>
      </c>
    </row>
    <row r="170">
      <c r="A170" s="22" t="inlineStr">
        <is>
          <t>lgd</t>
        </is>
      </c>
      <c r="B170" s="22" t="inlineStr">
        <is>
          <t>Dispatch logit weight (coal and gas)</t>
        </is>
      </c>
      <c r="C170" s="22" t="inlineStr">
        <is>
          <t>weight</t>
        </is>
      </c>
      <c r="D170" s="22" t="inlineStr"/>
      <c r="E170" s="22" t="inlineStr">
        <is>
          <t>flag x EXP(-K x MAX(tvc, minimum) / lowest)</t>
        </is>
      </c>
      <c r="F170" s="14" t="inlineStr">
        <is>
          <t>legacy rows 3795-3796</t>
        </is>
      </c>
      <c r="G170" s="14" t="inlineStr">
        <is>
          <t>coal/gas flag</t>
        </is>
      </c>
      <c r="H170" s="14" t="inlineStr">
        <is>
          <t>K dispatch</t>
        </is>
      </c>
      <c r="I170" s="14" t="inlineStr">
        <is>
          <t>minimum cost</t>
        </is>
      </c>
      <c r="K170" s="14">
        <f>IF($D170="",".","."&amp;$D170&amp;".")</f>
        <v/>
      </c>
    </row>
    <row r="171">
      <c r="A171" s="22" t="inlineStr">
        <is>
          <t>gen</t>
        </is>
      </c>
      <c r="B171" s="22" t="inlineStr">
        <is>
          <t>Generation</t>
        </is>
      </c>
      <c r="C171" s="22" t="inlineStr">
        <is>
          <t>MWy</t>
        </is>
      </c>
      <c r="D171" s="22" t="inlineStr"/>
      <c r="E171" s="22" t="inlineStr">
        <is>
          <t>Base year: data; coal and gas: MIN(maximum, minimum + rem x logit share); others: effective capacity</t>
        </is>
      </c>
      <c r="F171" s="14" t="inlineStr">
        <is>
          <t>legacy rows 3804-3812 (I3; PPAs and scale-down not used)</t>
        </is>
      </c>
      <c r="G171" s="14" t="inlineStr">
        <is>
          <t>coal/gas flag</t>
        </is>
      </c>
      <c r="H171" s="14" t="inlineStr">
        <is>
          <t>maximum capacity factor</t>
        </is>
      </c>
      <c r="I171" s="14" t="inlineStr">
        <is>
          <t>base-year generation</t>
        </is>
      </c>
      <c r="K171" s="14">
        <f>IF($D171="",".","."&amp;$D171&amp;".")</f>
        <v/>
      </c>
    </row>
    <row r="172">
      <c r="A172" s="22" t="inlineStr">
        <is>
          <t>gtot</t>
        </is>
      </c>
      <c r="B172" s="22" t="inlineStr">
        <is>
          <t>Generation, total</t>
        </is>
      </c>
      <c r="C172" s="22" t="inlineStr">
        <is>
          <t>MWy</t>
        </is>
      </c>
      <c r="D172" s="22" t="inlineStr"/>
      <c r="E172" s="22" t="inlineStr">
        <is>
          <t>Sum over types</t>
        </is>
      </c>
      <c r="F172" s="14" t="inlineStr">
        <is>
          <t>legacy row 3813</t>
        </is>
      </c>
      <c r="K172" s="14">
        <f>IF($D172="",".","."&amp;$D172&amp;".")</f>
        <v/>
      </c>
    </row>
    <row r="173">
      <c r="A173" s="22" t="inlineStr">
        <is>
          <t>dgen</t>
        </is>
      </c>
      <c r="B173" s="22" t="inlineStr">
        <is>
          <t>Increase in total generation (0 in the base year)</t>
        </is>
      </c>
      <c r="C173" s="22" t="inlineStr">
        <is>
          <t>MWy</t>
        </is>
      </c>
      <c r="D173" s="22" t="inlineStr"/>
      <c r="E173" s="22" t="inlineStr">
        <is>
          <t>MAX(0, gtot - gtot(t-1))</t>
        </is>
      </c>
      <c r="F173" s="14" t="inlineStr">
        <is>
          <t>legacy row 3972 (used lagged)</t>
        </is>
      </c>
      <c r="K173" s="14">
        <f>IF($D173="",".","."&amp;$D173&amp;".")</f>
        <v/>
      </c>
    </row>
    <row r="174">
      <c r="A174" s="22" t="inlineStr">
        <is>
          <t>shr</t>
        </is>
      </c>
      <c r="B174" s="22" t="inlineStr">
        <is>
          <t>Generation share</t>
        </is>
      </c>
      <c r="C174" s="22" t="inlineStr">
        <is>
          <t>share</t>
        </is>
      </c>
      <c r="D174" s="22" t="inlineStr"/>
      <c r="E174" s="22" t="inlineStr">
        <is>
          <t>gen / gtot</t>
        </is>
      </c>
      <c r="F174" s="14" t="inlineStr">
        <is>
          <t>legacy rows 3840-3848 (I6) = E0</t>
        </is>
      </c>
      <c r="G174" s="14" t="inlineStr">
        <is>
          <t>counts in VRE share</t>
        </is>
      </c>
      <c r="K174" s="14">
        <f>IF($D174="",".","."&amp;$D174&amp;".")</f>
        <v/>
      </c>
    </row>
    <row r="175">
      <c r="A175" s="22" t="inlineStr">
        <is>
          <t>pe</t>
        </is>
      </c>
      <c r="B175" s="22" t="inlineStr">
        <is>
          <t>Fuel use (primary energy) of power generation</t>
        </is>
      </c>
      <c r="C175" s="22" t="inlineStr">
        <is>
          <t>ktoe</t>
        </is>
      </c>
      <c r="D175" s="22" t="inlineStr"/>
      <c r="E175" s="22" t="inlineStr">
        <is>
          <t>gen x 8.76 / GWh per ktoe / efficiency</t>
        </is>
      </c>
      <c r="F175" s="14" t="inlineStr">
        <is>
          <t>legacy rows 3855-3863 (I7)</t>
        </is>
      </c>
      <c r="G175" s="14" t="inlineStr">
        <is>
          <t>ktoe per MWy</t>
        </is>
      </c>
      <c r="K175" s="14">
        <f>IF($D175="",".","."&amp;$D175&amp;".")</f>
        <v/>
      </c>
    </row>
    <row r="176">
      <c r="A176" s="22" t="inlineStr">
        <is>
          <t>vre</t>
        </is>
      </c>
      <c r="B176" s="22" t="inlineStr">
        <is>
          <t>Variable renewable share of generation (wind, solar, other renewables)</t>
        </is>
      </c>
      <c r="C176" s="22" t="inlineStr">
        <is>
          <t>share</t>
        </is>
      </c>
      <c r="D176" s="22" t="inlineStr"/>
      <c r="E176" s="22" t="inlineStr">
        <is>
          <t>SUMPRODUCT(shr, VRE-share flag)</t>
        </is>
      </c>
      <c r="F176" s="14" t="inlineStr">
        <is>
          <t>legacy rows 3851, 3907</t>
        </is>
      </c>
      <c r="G176" s="14" t="inlineStr">
        <is>
          <t>factor</t>
        </is>
      </c>
      <c r="K176" s="14">
        <f>IF($D176="",".","."&amp;$D176&amp;".")</f>
        <v/>
      </c>
    </row>
    <row r="177">
      <c r="A177" s="22" t="inlineStr">
        <is>
          <t>cph</t>
        </is>
      </c>
      <c r="B177" s="22" t="inlineStr">
        <is>
          <t>Short-term storage cost per marginal hour of storage</t>
        </is>
      </c>
      <c r="C177" s="22" t="inlineStr">
        <is>
          <t>$/kWh</t>
        </is>
      </c>
      <c r="D177" s="22" t="inlineStr"/>
      <c r="E177" s="22" t="inlineStr">
        <is>
          <t>(battery capex + interface capex / kWh per kW)/(dlf of renewables x 8,760) + battery opex / 8,760</t>
        </is>
      </c>
      <c r="F177" s="14" t="inlineStr">
        <is>
          <t>legacy row 3905 (J2)</t>
        </is>
      </c>
      <c r="G177" s="14" t="inlineStr">
        <is>
          <t>kWh storage per kW</t>
        </is>
      </c>
      <c r="H177" s="14" t="inlineStr">
        <is>
          <t>dlf of renewables</t>
        </is>
      </c>
      <c r="K177" s="14">
        <f>IF($D177="",".","."&amp;$D177&amp;".")</f>
        <v/>
      </c>
    </row>
    <row r="178">
      <c r="A178" s="22" t="inlineStr">
        <is>
          <t>msc</t>
        </is>
      </c>
      <c r="B178" s="22" t="inlineStr">
        <is>
          <t>Marginal storage cost of variable renewables (wind, solar, other renewables)</t>
        </is>
      </c>
      <c r="C178" s="22" t="inlineStr">
        <is>
          <t>$/kWh</t>
        </is>
      </c>
      <c r="D178" s="22" t="inlineStr"/>
      <c r="E178" s="22" t="inlineStr">
        <is>
          <t>alloc x 18 x vre x cph + 2 x MAX(0, vre - 0.75)/(1 - 0.75)^2 x cel x LT allocation</t>
        </is>
      </c>
      <c r="F178" s="14" t="inlineStr">
        <is>
          <t>legacy rows 3908-3912 (J1; fixed: LT allocation once)</t>
        </is>
      </c>
      <c r="G178" s="14" t="inlineStr">
        <is>
          <t>short-term allocation</t>
        </is>
      </c>
      <c r="H178" s="14" t="inlineStr">
        <is>
          <t>short-term hours factor</t>
        </is>
      </c>
      <c r="I178" s="14" t="inlineStr">
        <is>
          <t>long-term start share</t>
        </is>
      </c>
      <c r="J178" s="14" t="inlineStr">
        <is>
          <t>long-term allocation</t>
        </is>
      </c>
      <c r="K178" s="14">
        <f>IF($D178="",".","."&amp;$D178&amp;".")</f>
        <v/>
      </c>
    </row>
    <row r="179">
      <c r="A179" s="22" t="inlineStr">
        <is>
          <t>cap</t>
        </is>
      </c>
      <c r="B179" s="22" t="inlineStr">
        <is>
          <t>Nameplate capacity</t>
        </is>
      </c>
      <c r="C179" s="22" t="inlineStr">
        <is>
          <t>MW</t>
        </is>
      </c>
      <c r="D179" s="22" t="inlineStr"/>
      <c r="E179" s="22" t="inlineStr">
        <is>
          <t>Base year: data; then cap(t-1) - retirement(t-1) + new nameplate investment(t-1)</t>
        </is>
      </c>
      <c r="F179" s="14" t="inlineStr">
        <is>
          <t>legacy rows 3932-3940 (K1) = L21 of the previous year</t>
        </is>
      </c>
      <c r="G179" s="14" t="inlineStr">
        <is>
          <t>base-year capacity</t>
        </is>
      </c>
      <c r="K179" s="14">
        <f>IF($D179="",".","."&amp;$D179&amp;".")</f>
        <v/>
      </c>
    </row>
    <row r="180">
      <c r="A180" s="22" t="inlineStr">
        <is>
          <t>captot</t>
        </is>
      </c>
      <c r="B180" s="22" t="inlineStr">
        <is>
          <t>Nameplate capacity, total</t>
        </is>
      </c>
      <c r="C180" s="22" t="inlineStr">
        <is>
          <t>MW</t>
        </is>
      </c>
      <c r="D180" s="22" t="inlineStr"/>
      <c r="E180" s="22" t="inlineStr">
        <is>
          <t>Sum over types</t>
        </is>
      </c>
      <c r="F180" s="14" t="inlineStr">
        <is>
          <t>legacy row 3941</t>
        </is>
      </c>
      <c r="K180" s="14">
        <f>IF($D180="",".","."&amp;$D180&amp;".")</f>
        <v/>
      </c>
    </row>
    <row r="181">
      <c r="A181" s="22" t="inlineStr">
        <is>
          <t>pret</t>
        </is>
      </c>
      <c r="B181" s="22" t="inlineStr">
        <is>
          <t>Planned retirement (data; used where the type's switch is Yes)</t>
        </is>
      </c>
      <c r="C181" s="22" t="inlineStr">
        <is>
          <t>MW</t>
        </is>
      </c>
      <c r="D181" s="22" t="inlineStr"/>
      <c r="E181" s="22" t="inlineStr">
        <is>
          <t>PowerPaths pret|&lt;type&gt; (Egypt: no data, 0)</t>
        </is>
      </c>
      <c r="F181" s="14" t="inlineStr">
        <is>
          <t>legacy row 3992 (K5, coal only; data from sheet Power)</t>
        </is>
      </c>
      <c r="G181" s="14" t="inlineStr">
        <is>
          <t>data key</t>
        </is>
      </c>
      <c r="K181" s="14">
        <f>IF($D181="",".","."&amp;$D181&amp;".")</f>
        <v/>
      </c>
    </row>
    <row r="182">
      <c r="A182" s="22" t="inlineStr">
        <is>
          <t>effcap</t>
        </is>
      </c>
      <c r="B182" s="22" t="inlineStr">
        <is>
          <t>Effective capacity (expected generation)</t>
        </is>
      </c>
      <c r="C182" s="22" t="inlineStr">
        <is>
          <t>MW</t>
        </is>
      </c>
      <c r="D182" s="22" t="inlineStr"/>
      <c r="E182" s="22" t="inlineStr">
        <is>
          <t>cap x capacity factor</t>
        </is>
      </c>
      <c r="F182" s="14" t="inlineStr">
        <is>
          <t>legacy rows 3956-3964 (K3)</t>
        </is>
      </c>
      <c r="G182" s="14" t="inlineStr">
        <is>
          <t>capacity factor</t>
        </is>
      </c>
      <c r="K182" s="14">
        <f>IF($D182="",".","."&amp;$D182&amp;".")</f>
        <v/>
      </c>
    </row>
    <row r="183">
      <c r="A183" s="22" t="inlineStr">
        <is>
          <t>ret</t>
        </is>
      </c>
      <c r="B183" s="22" t="inlineStr">
        <is>
          <t>Retirement of nameplate capacity</t>
        </is>
      </c>
      <c r="C183" s="22" t="inlineStr">
        <is>
          <t>MW</t>
        </is>
      </c>
      <c r="D183" s="22" t="inlineStr"/>
      <c r="E183" s="22" t="inlineStr">
        <is>
          <t>MIN(planned retirement if switched on, else cap x retirement rate; + early coal retirement; cap)</t>
        </is>
      </c>
      <c r="F183" s="14" t="inlineStr">
        <is>
          <t>legacy rows 3992-4002 (K5; planned retirement for every type, legacy coal only)</t>
        </is>
      </c>
      <c r="G183" s="14" t="inlineStr">
        <is>
          <t>retirement rate</t>
        </is>
      </c>
      <c r="H183" s="14" t="inlineStr">
        <is>
          <t>early-retirement flag</t>
        </is>
      </c>
      <c r="I183" s="14" t="inlineStr">
        <is>
          <t>planned retirement used (1/0)</t>
        </is>
      </c>
      <c r="K183" s="14">
        <f>IF($D183="",".","."&amp;$D183&amp;".")</f>
        <v/>
      </c>
    </row>
    <row r="184">
      <c r="A184" s="22" t="inlineStr">
        <is>
          <t>reteff</t>
        </is>
      </c>
      <c r="B184" s="22" t="inlineStr">
        <is>
          <t>Retirement of effective capacity</t>
        </is>
      </c>
      <c r="C184" s="22" t="inlineStr">
        <is>
          <t>MW</t>
        </is>
      </c>
      <c r="D184" s="22" t="inlineStr"/>
      <c r="E184" s="22" t="inlineStr">
        <is>
          <t>ret x capacity factor</t>
        </is>
      </c>
      <c r="F184" s="14" t="inlineStr">
        <is>
          <t>legacy rows 4009-4019 (K6; fixed: coal as nameplate)</t>
        </is>
      </c>
      <c r="G184" s="14" t="inlineStr">
        <is>
          <t>capacity factor</t>
        </is>
      </c>
      <c r="K184" s="14">
        <f>IF($D184="",".","."&amp;$D184&amp;".")</f>
        <v/>
      </c>
    </row>
    <row r="185">
      <c r="A185" s="22" t="inlineStr">
        <is>
          <t>egrow</t>
        </is>
      </c>
      <c r="B185" s="22" t="inlineStr">
        <is>
          <t>Room for early coal retirement: maximum wind and solar additions less last year's demand increase and non-coal retirements</t>
        </is>
      </c>
      <c r="C185" s="22" t="inlineStr">
        <is>
          <t>MW</t>
        </is>
      </c>
      <c r="D185" s="22" t="inlineStr"/>
      <c r="E185" s="22" t="inlineStr">
        <is>
          <t>MAX(0, ...)</t>
        </is>
      </c>
      <c r="F185" s="14" t="inlineStr">
        <is>
          <t>legacy rows 3970-3974 (fixed: effective retirements)</t>
        </is>
      </c>
      <c r="K185" s="14">
        <f>IF($D185="",".","."&amp;$D185&amp;".")</f>
        <v/>
      </c>
    </row>
    <row r="186">
      <c r="A186" s="22" t="inlineStr">
        <is>
          <t>ecmin</t>
        </is>
      </c>
      <c r="B186" s="22" t="inlineStr">
        <is>
          <t>Early coal retirement: lowest of coal variable cost and wind and solar investment cost</t>
        </is>
      </c>
      <c r="C186" s="22" t="inlineStr">
        <is>
          <t>$/kWh</t>
        </is>
      </c>
      <c r="D186" s="22" t="inlineStr"/>
      <c r="E186" s="22" t="inlineStr">
        <is>
          <t>MIN(tvc coal, tic wind, tic solar)</t>
        </is>
      </c>
      <c r="F186" s="14" t="inlineStr">
        <is>
          <t>legacy row 3982</t>
        </is>
      </c>
      <c r="K186" s="14">
        <f>IF($D186="",".","."&amp;$D186&amp;".")</f>
        <v/>
      </c>
    </row>
    <row r="187">
      <c r="A187" s="22" t="inlineStr">
        <is>
          <t>ecshr</t>
        </is>
      </c>
      <c r="B187" s="22" t="inlineStr">
        <is>
          <t>Early coal retirement: coal share of the logit (coal variable cost vs wind and solar investment cost)</t>
        </is>
      </c>
      <c r="C187" s="22" t="inlineStr">
        <is>
          <t>share</t>
        </is>
      </c>
      <c r="D187" s="22" t="inlineStr"/>
      <c r="E187" s="22" t="inlineStr">
        <is>
          <t>1 / (1 + EXP(-K (tic wind - tvc coal) / lowest) + EXP(-K (tic solar - tvc coal) / lowest))</t>
        </is>
      </c>
      <c r="F187" s="14" t="inlineStr">
        <is>
          <t>legacy row 3983</t>
        </is>
      </c>
      <c r="G187" s="14" t="inlineStr">
        <is>
          <t>K investment</t>
        </is>
      </c>
      <c r="K187" s="14">
        <f>IF($D187="",".","."&amp;$D187&amp;".")</f>
        <v/>
      </c>
    </row>
    <row r="188">
      <c r="A188" s="22" t="inlineStr">
        <is>
          <t>early</t>
        </is>
      </c>
      <c r="B188" s="22" t="inlineStr">
        <is>
          <t>Cost-based early coal retirement (nameplate)</t>
        </is>
      </c>
      <c r="C188" s="22" t="inlineStr">
        <is>
          <t>MW</t>
        </is>
      </c>
      <c r="D188" s="22" t="inlineStr"/>
      <c r="E188" s="22" t="inlineStr">
        <is>
          <t>MAX(0, MIN(coal effective capacity x 0.8, room) x (1 - coal share of the logit)) / cf x 0.8</t>
        </is>
      </c>
      <c r="F188" s="14" t="inlineStr">
        <is>
          <t>legacy rows 3975-3993 (K4)</t>
        </is>
      </c>
      <c r="G188" s="14" t="inlineStr">
        <is>
          <t>maximum share</t>
        </is>
      </c>
      <c r="H188" s="14" t="inlineStr">
        <is>
          <t>factor</t>
        </is>
      </c>
      <c r="I188" s="14" t="inlineStr">
        <is>
          <t>coal capacity factor</t>
        </is>
      </c>
      <c r="K188" s="14">
        <f>IF($D188="",".","."&amp;$D188&amp;".")</f>
        <v/>
      </c>
    </row>
    <row r="189">
      <c r="A189" s="22" t="inlineStr">
        <is>
          <t>kafter</t>
        </is>
      </c>
      <c r="B189" s="22" t="inlineStr">
        <is>
          <t>Effective capacity after this year's retirements</t>
        </is>
      </c>
      <c r="C189" s="22" t="inlineStr">
        <is>
          <t>MW</t>
        </is>
      </c>
      <c r="D189" s="22" t="inlineStr"/>
      <c r="E189" s="22" t="inlineStr">
        <is>
          <t>SUM(effcap) - SUM(reteff)</t>
        </is>
      </c>
      <c r="F189" s="14" t="inlineStr">
        <is>
          <t>legacy row 4026 (fixed: actual capacity, legacy last year's plan)</t>
        </is>
      </c>
      <c r="K189" s="14">
        <f>IF($D189="",".","."&amp;$D189&amp;".")</f>
        <v/>
      </c>
    </row>
    <row r="190">
      <c r="A190" s="22" t="inlineStr">
        <is>
          <t>need</t>
        </is>
      </c>
      <c r="B190" s="22" t="inlineStr">
        <is>
          <t>Effective capacity investment needed</t>
        </is>
      </c>
      <c r="C190" s="22" t="inlineStr">
        <is>
          <t>MW</t>
        </is>
      </c>
      <c r="D190" s="22" t="inlineStr"/>
      <c r="E190" s="22" t="inlineStr">
        <is>
          <t>MAX(required generation - kafter, 0)</t>
        </is>
      </c>
      <c r="F190" s="14" t="inlineStr">
        <is>
          <t>legacy row 4028 (capacity for this year's demand, available next year)</t>
        </is>
      </c>
      <c r="K190" s="14">
        <f>IF($D190="",".","."&amp;$D190&amp;".")</f>
        <v/>
      </c>
    </row>
    <row r="191">
      <c r="A191" s="22" t="inlineStr">
        <is>
          <t>cmin</t>
        </is>
      </c>
      <c r="B191" s="22" t="inlineStr">
        <is>
          <t>Lowest levelised investment cost of the permitted types</t>
        </is>
      </c>
      <c r="C191" s="22" t="inlineStr">
        <is>
          <t>$/kWh</t>
        </is>
      </c>
      <c r="D191" s="22" t="inlineStr"/>
      <c r="E191" s="22" t="inlineStr">
        <is>
          <t>MAX(MIN over permitted, minimum)</t>
        </is>
      </c>
      <c r="F191" s="14" t="inlineStr">
        <is>
          <t>legacy row 4046 (fixed: permitted types only)</t>
        </is>
      </c>
      <c r="G191" s="14" t="inlineStr">
        <is>
          <t>minimum cost</t>
        </is>
      </c>
      <c r="K191" s="14">
        <f>IF($D191="",".","."&amp;$D191&amp;".")</f>
        <v/>
      </c>
    </row>
    <row r="192">
      <c r="A192" s="22" t="inlineStr">
        <is>
          <t>deficit</t>
        </is>
      </c>
      <c r="B192" s="22" t="inlineStr">
        <is>
          <t>Investment left for the second round</t>
        </is>
      </c>
      <c r="C192" s="22" t="inlineStr">
        <is>
          <t>MW</t>
        </is>
      </c>
      <c r="D192" s="22" t="inlineStr"/>
      <c r="E192" s="22" t="inlineStr">
        <is>
          <t>MAX(need - SUM(first round), 0)</t>
        </is>
      </c>
      <c r="F192" s="14" t="inlineStr">
        <is>
          <t>legacy row 4153</t>
        </is>
      </c>
      <c r="K192" s="14">
        <f>IF($D192="",".","."&amp;$D192&amp;".")</f>
        <v/>
      </c>
    </row>
    <row r="193">
      <c r="A193" s="22" t="inlineStr">
        <is>
          <t>permit</t>
        </is>
      </c>
      <c r="B193" s="22" t="inlineStr">
        <is>
          <t>New investment permitted (0/1)</t>
        </is>
      </c>
      <c r="C193" s="22" t="inlineStr">
        <is>
          <t>0/1</t>
        </is>
      </c>
      <c r="D193" s="22" t="inlineStr"/>
      <c r="E193" s="22" t="inlineStr">
        <is>
          <t>Yes from the start year</t>
        </is>
      </c>
      <c r="F193" s="14" t="inlineStr">
        <is>
          <t>legacy rows 4061-4069 (L3)</t>
        </is>
      </c>
      <c r="G193" s="14" t="inlineStr">
        <is>
          <t>permitted (Yes/No)</t>
        </is>
      </c>
      <c r="H193" s="14" t="inlineStr">
        <is>
          <t>from year</t>
        </is>
      </c>
      <c r="K193" s="14">
        <f>IF($D193="",".","."&amp;$D193&amp;".")</f>
        <v/>
      </c>
    </row>
    <row r="194">
      <c r="A194" s="22" t="inlineStr">
        <is>
          <t>maxinv</t>
        </is>
      </c>
      <c r="B194" s="22" t="inlineStr">
        <is>
          <t>Maximum effective investment (scale-up limit)</t>
        </is>
      </c>
      <c r="C194" s="22" t="inlineStr">
        <is>
          <t>MW</t>
        </is>
      </c>
      <c r="D194" s="22" t="inlineStr"/>
      <c r="E194" s="22" t="inlineStr">
        <is>
          <t>rate x total effective capacity x permit</t>
        </is>
      </c>
      <c r="F194" s="14" t="inlineStr">
        <is>
          <t>legacy rows 4130-4138 (L8)</t>
        </is>
      </c>
      <c r="G194" s="14" t="inlineStr">
        <is>
          <t>scale-up rate</t>
        </is>
      </c>
      <c r="K194" s="14">
        <f>IF($D194="",".","."&amp;$D194&amp;".")</f>
        <v/>
      </c>
    </row>
    <row r="195">
      <c r="A195" s="22" t="inlineStr">
        <is>
          <t>lgi</t>
        </is>
      </c>
      <c r="B195" s="22" t="inlineStr">
        <is>
          <t>Investment logit weight</t>
        </is>
      </c>
      <c r="C195" s="22" t="inlineStr">
        <is>
          <t>weight</t>
        </is>
      </c>
      <c r="D195" s="22" t="inlineStr"/>
      <c r="E195" s="22" t="inlineStr">
        <is>
          <t>permit x EXP(-K x tic / cmin)</t>
        </is>
      </c>
      <c r="F195" s="14" t="inlineStr">
        <is>
          <t>legacy rows 4073-4081 (L4)</t>
        </is>
      </c>
      <c r="G195" s="14" t="inlineStr">
        <is>
          <t>K investment</t>
        </is>
      </c>
      <c r="K195" s="14">
        <f>IF($D195="",".","."&amp;$D195&amp;".")</f>
        <v/>
      </c>
    </row>
    <row r="196">
      <c r="A196" s="22" t="inlineStr">
        <is>
          <t>pni</t>
        </is>
      </c>
      <c r="B196" s="22" t="inlineStr">
        <is>
          <t>Share of new investment (logit)</t>
        </is>
      </c>
      <c r="C196" s="22" t="inlineStr">
        <is>
          <t>share</t>
        </is>
      </c>
      <c r="D196" s="22" t="inlineStr"/>
      <c r="E196" s="22" t="inlineStr">
        <is>
          <t>lgi / SUM(lgi)</t>
        </is>
      </c>
      <c r="F196" s="14" t="inlineStr">
        <is>
          <t>legacy rows 4085-4093 (L5)</t>
        </is>
      </c>
      <c r="K196" s="14">
        <f>IF($D196="",".","."&amp;$D196&amp;".")</f>
        <v/>
      </c>
    </row>
    <row r="197">
      <c r="A197" s="22" t="inlineStr">
        <is>
          <t>first</t>
        </is>
      </c>
      <c r="B197" s="22" t="inlineStr">
        <is>
          <t>New effective investment, first round (logit within scale-up limits)</t>
        </is>
      </c>
      <c r="C197" s="22" t="inlineStr">
        <is>
          <t>MW</t>
        </is>
      </c>
      <c r="D197" s="22" t="inlineStr"/>
      <c r="E197" s="22" t="inlineStr">
        <is>
          <t>MIN(maxinv, need x pni)</t>
        </is>
      </c>
      <c r="F197" s="14" t="inlineStr">
        <is>
          <t>legacy rows 4143-4151 (L9)</t>
        </is>
      </c>
      <c r="K197" s="14">
        <f>IF($D197="",".","."&amp;$D197&amp;".")</f>
        <v/>
      </c>
    </row>
    <row r="198">
      <c r="A198" s="22" t="inlineStr">
        <is>
          <t>space</t>
        </is>
      </c>
      <c r="B198" s="22" t="inlineStr">
        <is>
          <t>Remaining space under the scale-up limit</t>
        </is>
      </c>
      <c r="C198" s="22" t="inlineStr">
        <is>
          <t>MW</t>
        </is>
      </c>
      <c r="D198" s="22" t="inlineStr"/>
      <c r="E198" s="22" t="inlineStr">
        <is>
          <t>(maxinv - first) x permit</t>
        </is>
      </c>
      <c r="F198" s="14" t="inlineStr">
        <is>
          <t>legacy rows 4158-4166 (L10)</t>
        </is>
      </c>
      <c r="K198" s="14">
        <f>IF($D198="",".","."&amp;$D198&amp;".")</f>
        <v/>
      </c>
    </row>
    <row r="199">
      <c r="A199" s="22" t="inlineStr">
        <is>
          <t>second</t>
        </is>
      </c>
      <c r="B199" s="22" t="inlineStr">
        <is>
          <t>New effective investment, second round (cheapest remaining space first)</t>
        </is>
      </c>
      <c r="C199" s="22" t="inlineStr">
        <is>
          <t>MW</t>
        </is>
      </c>
      <c r="D199" s="22" t="inlineStr"/>
      <c r="E199" s="22" t="inlineStr">
        <is>
          <t>permit x MAX(0, MIN(space, deficit - space of cheaper types))</t>
        </is>
      </c>
      <c r="F199" s="14" t="inlineStr">
        <is>
          <t>legacy rows 4169-4246 (L11-L17 in one row)</t>
        </is>
      </c>
      <c r="G199" s="14" t="inlineStr">
        <is>
          <t>tie breaker</t>
        </is>
      </c>
      <c r="K199" s="14">
        <f>IF($D199="",".","."&amp;$D199&amp;".")</f>
        <v/>
      </c>
    </row>
    <row r="200">
      <c r="A200" s="22" t="inlineStr">
        <is>
          <t>nei</t>
        </is>
      </c>
      <c r="B200" s="22" t="inlineStr">
        <is>
          <t>New effective investment</t>
        </is>
      </c>
      <c r="C200" s="22" t="inlineStr">
        <is>
          <t>MW</t>
        </is>
      </c>
      <c r="D200" s="22" t="inlineStr"/>
      <c r="E200" s="22" t="inlineStr">
        <is>
          <t>first + second</t>
        </is>
      </c>
      <c r="F200" s="14" t="inlineStr">
        <is>
          <t>legacy rows 4251-4259 (L18)</t>
        </is>
      </c>
      <c r="K200" s="14">
        <f>IF($D200="",".","."&amp;$D200&amp;".")</f>
        <v/>
      </c>
    </row>
    <row r="201">
      <c r="A201" s="22" t="inlineStr">
        <is>
          <t>nim</t>
        </is>
      </c>
      <c r="B201" s="22" t="inlineStr">
        <is>
          <t>New nameplate investment</t>
        </is>
      </c>
      <c r="C201" s="22" t="inlineStr">
        <is>
          <t>MW</t>
        </is>
      </c>
      <c r="D201" s="22" t="inlineStr"/>
      <c r="E201" s="22" t="inlineStr">
        <is>
          <t>nei / capacity factor</t>
        </is>
      </c>
      <c r="F201" s="14" t="inlineStr">
        <is>
          <t>legacy rows 4264-4272 (L19)</t>
        </is>
      </c>
      <c r="G201" s="14" t="inlineStr">
        <is>
          <t>nameplate per effective MW</t>
        </is>
      </c>
      <c r="K201" s="14">
        <f>IF($D201="",".","."&amp;$D201&amp;".")</f>
        <v/>
      </c>
    </row>
    <row r="202">
      <c r="A202" s="22" t="inlineStr">
        <is>
          <t>nimtot</t>
        </is>
      </c>
      <c r="B202" s="22" t="inlineStr">
        <is>
          <t>New nameplate investment, total</t>
        </is>
      </c>
      <c r="C202" s="22" t="inlineStr">
        <is>
          <t>MW</t>
        </is>
      </c>
      <c r="D202" s="22" t="inlineStr"/>
      <c r="E202" s="22" t="inlineStr">
        <is>
          <t>Sum over types</t>
        </is>
      </c>
      <c r="F202" s="14" t="inlineStr">
        <is>
          <t>legacy row 4273</t>
        </is>
      </c>
      <c r="K202" s="14">
        <f>IF($D202="",".","."&amp;$D202&amp;".")</f>
        <v/>
      </c>
    </row>
    <row r="203">
      <c r="A203" s="22" t="inlineStr">
        <is>
          <t>usd</t>
        </is>
      </c>
      <c r="B203" s="22" t="inlineStr">
        <is>
          <t>New investment</t>
        </is>
      </c>
      <c r="C203" s="22" t="inlineStr">
        <is>
          <t>USD m real</t>
        </is>
      </c>
      <c r="D203" s="22" t="inlineStr"/>
      <c r="E203" s="22" t="inlineStr">
        <is>
          <t>nim x cax / 1000</t>
        </is>
      </c>
      <c r="F203" s="14" t="inlineStr">
        <is>
          <t>legacy rows 4276-4284 (L20; fixed: capital cost of the year)</t>
        </is>
      </c>
      <c r="K203" s="14">
        <f>IF($D203="",".","."&amp;$D203&amp;".")</f>
        <v/>
      </c>
    </row>
    <row r="204">
      <c r="A204" s="22" t="inlineStr">
        <is>
          <t>usdtot</t>
        </is>
      </c>
      <c r="B204" s="22" t="inlineStr">
        <is>
          <t>New investment, total</t>
        </is>
      </c>
      <c r="C204" s="22" t="inlineStr">
        <is>
          <t>USD m real</t>
        </is>
      </c>
      <c r="D204" s="22" t="inlineStr"/>
      <c r="E204" s="22" t="inlineStr">
        <is>
          <t>Sum over types</t>
        </is>
      </c>
      <c r="F204" s="14" t="inlineStr">
        <is>
          <t>legacy row 4285</t>
        </is>
      </c>
      <c r="K204" s="14">
        <f>IF($D204="",".","."&amp;$D204&amp;".")</f>
        <v/>
      </c>
    </row>
    <row r="205">
      <c r="A205" s="22" t="inlineStr">
        <is>
          <t>phi</t>
        </is>
      </c>
      <c r="B205" s="22" t="inlineStr">
        <is>
          <t>New investment as a share of the stock after retirements</t>
        </is>
      </c>
      <c r="C205" s="22" t="inlineStr">
        <is>
          <t>share</t>
        </is>
      </c>
      <c r="D205" s="22" t="inlineStr"/>
      <c r="E205" s="22" t="inlineStr">
        <is>
          <t>nim / (cap + nim - ret)</t>
        </is>
      </c>
      <c r="F205" s="14" t="inlineStr">
        <is>
          <t>legacy rows 3169-3177 (B1)</t>
        </is>
      </c>
      <c r="K205" s="14">
        <f>IF($D205="",".","."&amp;$D205&amp;".")</f>
        <v/>
      </c>
    </row>
    <row r="206">
      <c r="A206" s="22" t="inlineStr">
        <is>
          <t>prtx</t>
        </is>
      </c>
      <c r="B206" s="22" t="inlineStr">
        <is>
          <t>Existing taxes on generation fuels (excise and other taxes + VAT of the price fuel)</t>
        </is>
      </c>
      <c r="C206" s="22" t="inlineStr">
        <is>
          <t>USD m real</t>
        </is>
      </c>
      <c r="D206" s="22" t="inlineStr"/>
      <c r="E206" s="22" t="inlineStr">
        <is>
          <t>fuel flag x fuel use (ktoe) x PJ/ktoe x (etx + vat)</t>
        </is>
      </c>
      <c r="F206" s="14" t="inlineStr">
        <is>
          <t>new</t>
        </is>
      </c>
      <c r="G206" s="14" t="inlineStr">
        <is>
          <t>price position</t>
        </is>
      </c>
      <c r="H206" s="14" t="inlineStr">
        <is>
          <t>fuel flag</t>
        </is>
      </c>
      <c r="K206" s="14">
        <f>IF($D206="",".","."&amp;$D206&amp;".")</f>
        <v/>
      </c>
    </row>
    <row r="207">
      <c r="A207" s="22" t="inlineStr">
        <is>
          <t>prsub</t>
        </is>
      </c>
      <c r="B207" s="22" t="inlineStr">
        <is>
          <t>Existing subsidies on generation fuels (positive = cost)</t>
        </is>
      </c>
      <c r="C207" s="22" t="inlineStr">
        <is>
          <t>USD m real</t>
        </is>
      </c>
      <c r="D207" s="22" t="inlineStr"/>
      <c r="E207" s="22" t="inlineStr">
        <is>
          <t>fuel flag x fuel use x PJ/ktoe x esub</t>
        </is>
      </c>
      <c r="F207" s="14" t="inlineStr">
        <is>
          <t>new</t>
        </is>
      </c>
      <c r="G207" s="14" t="inlineStr">
        <is>
          <t>price position</t>
        </is>
      </c>
      <c r="H207" s="14" t="inlineStr">
        <is>
          <t>fuel flag</t>
        </is>
      </c>
      <c r="K207" s="14">
        <f>IF($D207="",".","."&amp;$D207&amp;".")</f>
        <v/>
      </c>
    </row>
    <row r="208">
      <c r="A208" s="22" t="inlineStr">
        <is>
          <t>prxc</t>
        </is>
      </c>
      <c r="B208" s="22" t="inlineStr">
        <is>
          <t>Change in existing carbon pricing revenue against the price data</t>
        </is>
      </c>
      <c r="C208" s="22" t="inlineStr">
        <is>
          <t>USD m real</t>
        </is>
      </c>
      <c r="D208" s="22" t="inlineStr"/>
      <c r="E208" s="22" t="inlineStr">
        <is>
          <t>xck x generation (MWy x 8.76 = GWh)</t>
        </is>
      </c>
      <c r="F208" s="14" t="inlineStr">
        <is>
          <t>new</t>
        </is>
      </c>
      <c r="K208" s="14">
        <f>IF($D208="",".","."&amp;$D208&amp;".")</f>
        <v/>
      </c>
    </row>
    <row r="209">
      <c r="A209" s="22" t="inlineStr">
        <is>
          <t>prnew</t>
        </is>
      </c>
      <c r="B209" s="22" t="inlineStr">
        <is>
          <t>New-policy revenue (carbon tax, ETS at the permit price, fuel price reform)</t>
        </is>
      </c>
      <c r="C209" s="22" t="inlineStr">
        <is>
          <t>USD m real</t>
        </is>
      </c>
      <c r="D209" s="22" t="inlineStr"/>
      <c r="E209" s="22" t="inlineStr">
        <is>
          <t>ccp x GWh - CO2 x ETS cost rate of power x (1 - revenue factor)</t>
        </is>
      </c>
      <c r="F209" s="14" t="inlineStr">
        <is>
          <t>legacy power carbon revenue (fixed: ETS at the permit price)</t>
        </is>
      </c>
      <c r="K209" s="14">
        <f>IF($D209="",".","."&amp;$D209&amp;".")</f>
        <v/>
      </c>
    </row>
    <row r="210">
      <c r="A210" s="22" t="inlineStr">
        <is>
          <t>prxl</t>
        </is>
      </c>
      <c r="B210" s="22" t="inlineStr">
        <is>
          <t>Existing carbon pricing revenue (memo: level)</t>
        </is>
      </c>
      <c r="C210" s="22" t="inlineStr">
        <is>
          <t>USD m real</t>
        </is>
      </c>
      <c r="D210" s="22" t="inlineStr"/>
      <c r="E210" s="22" t="inlineStr">
        <is>
          <t>CO2 x (carbon tax coverage x rate + ETS coverage x price)</t>
        </is>
      </c>
      <c r="F210" s="14" t="inlineStr">
        <is>
          <t>legacy ECP revenue</t>
        </is>
      </c>
      <c r="G210" s="14" t="inlineStr">
        <is>
          <t>carbon tax coverage</t>
        </is>
      </c>
      <c r="H210" s="14" t="inlineStr">
        <is>
          <t>ETS coverage</t>
        </is>
      </c>
      <c r="K210" s="14">
        <f>IF($D210="",".","."&amp;$D210&amp;".")</f>
        <v/>
      </c>
    </row>
  </sheetData>
  <pageMargins left="0.75" right="0.75" top="1" bottom="1" header="0.5" footer="0.5"/>
</worksheet>
</file>

<file path=xl/worksheets/sheet16.xml><?xml version="1.0" encoding="utf-8"?>
<worksheet xmlns="http://schemas.openxmlformats.org/spreadsheetml/2006/main">
  <sheetPr codeName="Sheet16">
    <outlinePr summaryBelow="1" summaryRight="1"/>
    <pageSetUpPr/>
  </sheetPr>
  <dimension ref="A2:I273"/>
  <sheetViews>
    <sheetView tabSelected="0" workbookViewId="0">
      <selection activeCell="A1" sqref="A1"/>
    </sheetView>
  </sheetViews>
  <sheetFormatPr baseColWidth="8" defaultRowHeight="15" outlineLevelCol="0"/>
  <cols>
    <col width="26" customWidth="1" min="2" max="2"/>
    <col width="16" customWidth="1" min="3" max="3"/>
    <col width="16" customWidth="1" min="4" max="4"/>
    <col width="16" customWidth="1" min="5" max="5"/>
    <col width="16" customWidth="1" min="6" max="6"/>
    <col width="16" customWidth="1" min="7" max="7"/>
    <col width="16" customWidth="1" min="8" max="8"/>
    <col width="16" customWidth="1" min="9" max="9"/>
  </cols>
  <sheetData>
    <row r="2">
      <c r="A2" s="2" t="inlineStr">
        <is>
          <t>Mapping: subsectors, fuels and policy keys to CPAT parameter groups</t>
        </is>
      </c>
      <c r="B2" s="3" t="n"/>
      <c r="C2" s="3" t="n"/>
      <c r="D2" s="3" t="n"/>
      <c r="E2" s="3" t="n"/>
      <c r="F2" s="3" t="n"/>
      <c r="G2" s="3" t="n"/>
      <c r="H2" s="3" t="n"/>
    </row>
    <row r="3">
      <c r="A3" s="1" t="inlineStr">
        <is>
          <t>Subsectors</t>
        </is>
      </c>
    </row>
    <row r="4">
      <c r="A4" s="83" t="inlineStr">
        <is>
          <t>Code</t>
        </is>
      </c>
      <c r="B4" s="83" t="inlineStr">
        <is>
          <t>Name</t>
        </is>
      </c>
      <c r="C4" s="83" t="inlineStr">
        <is>
          <t>Group</t>
        </is>
      </c>
      <c r="D4" s="83" t="inlineStr">
        <is>
          <t>Elasticity sector</t>
        </is>
      </c>
      <c r="E4" s="83" t="inlineStr">
        <is>
          <t>EF sector</t>
        </is>
      </c>
      <c r="F4" s="83" t="inlineStr">
        <is>
          <t>Coal/gas price sector</t>
        </is>
      </c>
      <c r="G4" s="83" t="inlineStr">
        <is>
          <t>Feebate sector</t>
        </is>
      </c>
      <c r="H4" s="83" t="inlineStr">
        <is>
          <t>Coverage position</t>
        </is>
      </c>
      <c r="I4" s="83" t="inlineStr">
        <is>
          <t>ECP sector</t>
        </is>
      </c>
    </row>
    <row r="5">
      <c r="A5" s="14" t="inlineStr">
        <is>
          <t>rod</t>
        </is>
      </c>
      <c r="B5" s="14" t="inlineStr">
        <is>
          <t>Road</t>
        </is>
      </c>
      <c r="C5" s="22" t="inlineStr">
        <is>
          <t>tra</t>
        </is>
      </c>
      <c r="D5" s="22" t="inlineStr">
        <is>
          <t>tra</t>
        </is>
      </c>
      <c r="E5" s="22" t="inlineStr">
        <is>
          <t>rod</t>
        </is>
      </c>
      <c r="F5" s="22" t="inlineStr">
        <is>
          <t>res</t>
        </is>
      </c>
      <c r="G5" s="22" t="inlineStr">
        <is>
          <t>tra</t>
        </is>
      </c>
      <c r="H5" s="22" t="n">
        <v>2</v>
      </c>
      <c r="I5" s="22" t="inlineStr">
        <is>
          <t>trs</t>
        </is>
      </c>
    </row>
    <row r="6">
      <c r="A6" s="14" t="inlineStr">
        <is>
          <t>ral</t>
        </is>
      </c>
      <c r="B6" s="14" t="inlineStr">
        <is>
          <t>Rail</t>
        </is>
      </c>
      <c r="C6" s="22" t="inlineStr">
        <is>
          <t>tra</t>
        </is>
      </c>
      <c r="D6" s="22" t="inlineStr">
        <is>
          <t>tra</t>
        </is>
      </c>
      <c r="E6" s="22" t="inlineStr">
        <is>
          <t>rod</t>
        </is>
      </c>
      <c r="F6" s="22" t="inlineStr">
        <is>
          <t>ind</t>
        </is>
      </c>
      <c r="G6" s="22" t="inlineStr">
        <is>
          <t>tra</t>
        </is>
      </c>
      <c r="H6" s="22" t="n">
        <v>3</v>
      </c>
      <c r="I6" s="22" t="inlineStr">
        <is>
          <t>trs</t>
        </is>
      </c>
    </row>
    <row r="7">
      <c r="A7" s="14" t="inlineStr">
        <is>
          <t>avi</t>
        </is>
      </c>
      <c r="B7" s="14" t="inlineStr">
        <is>
          <t>Domestic aviation</t>
        </is>
      </c>
      <c r="C7" s="22" t="inlineStr">
        <is>
          <t>tra</t>
        </is>
      </c>
      <c r="D7" s="22" t="inlineStr">
        <is>
          <t>tra</t>
        </is>
      </c>
      <c r="E7" s="22" t="inlineStr">
        <is>
          <t>rod</t>
        </is>
      </c>
      <c r="F7" s="22" t="inlineStr">
        <is>
          <t>ind</t>
        </is>
      </c>
      <c r="G7" s="22" t="inlineStr">
        <is>
          <t>tra</t>
        </is>
      </c>
      <c r="H7" s="22" t="n">
        <v>4</v>
      </c>
      <c r="I7" s="22" t="inlineStr">
        <is>
          <t>trs</t>
        </is>
      </c>
    </row>
    <row r="8">
      <c r="A8" s="14" t="inlineStr">
        <is>
          <t>nav</t>
        </is>
      </c>
      <c r="B8" s="14" t="inlineStr">
        <is>
          <t>Domestic navigation</t>
        </is>
      </c>
      <c r="C8" s="22" t="inlineStr">
        <is>
          <t>tra</t>
        </is>
      </c>
      <c r="D8" s="22" t="inlineStr">
        <is>
          <t>tra</t>
        </is>
      </c>
      <c r="E8" s="22" t="inlineStr">
        <is>
          <t>rod</t>
        </is>
      </c>
      <c r="F8" s="22" t="inlineStr">
        <is>
          <t>ind</t>
        </is>
      </c>
      <c r="G8" s="22" t="inlineStr">
        <is>
          <t>tra</t>
        </is>
      </c>
      <c r="H8" s="22" t="n">
        <v>5</v>
      </c>
      <c r="I8" s="22" t="inlineStr">
        <is>
          <t>trs</t>
        </is>
      </c>
    </row>
    <row r="9">
      <c r="A9" s="14" t="inlineStr">
        <is>
          <t>res</t>
        </is>
      </c>
      <c r="B9" s="14" t="inlineStr">
        <is>
          <t>Residential</t>
        </is>
      </c>
      <c r="C9" s="22" t="inlineStr">
        <is>
          <t>bld</t>
        </is>
      </c>
      <c r="D9" s="22" t="inlineStr">
        <is>
          <t>res</t>
        </is>
      </c>
      <c r="E9" s="22" t="inlineStr">
        <is>
          <t>res</t>
        </is>
      </c>
      <c r="F9" s="22" t="inlineStr">
        <is>
          <t>res</t>
        </is>
      </c>
      <c r="G9" s="22" t="inlineStr">
        <is>
          <t>res</t>
        </is>
      </c>
      <c r="H9" s="22" t="n">
        <v>6</v>
      </c>
      <c r="I9" s="22" t="inlineStr">
        <is>
          <t>res</t>
        </is>
      </c>
    </row>
    <row r="10">
      <c r="A10" s="14" t="inlineStr">
        <is>
          <t>foo</t>
        </is>
      </c>
      <c r="B10" s="14" t="inlineStr">
        <is>
          <t>Food &amp; forestry</t>
        </is>
      </c>
      <c r="C10" s="22" t="inlineStr">
        <is>
          <t>bld</t>
        </is>
      </c>
      <c r="D10" s="22" t="inlineStr">
        <is>
          <t>srv</t>
        </is>
      </c>
      <c r="E10" s="22" t="inlineStr">
        <is>
          <t>res</t>
        </is>
      </c>
      <c r="F10" s="22" t="inlineStr">
        <is>
          <t>ind</t>
        </is>
      </c>
      <c r="G10" s="22" t="inlineStr">
        <is>
          <t>res</t>
        </is>
      </c>
      <c r="H10" s="22" t="n">
        <v>7</v>
      </c>
      <c r="I10" s="22" t="inlineStr">
        <is>
          <t>res</t>
        </is>
      </c>
    </row>
    <row r="11">
      <c r="A11" s="14" t="inlineStr">
        <is>
          <t>srv</t>
        </is>
      </c>
      <c r="B11" s="14" t="inlineStr">
        <is>
          <t>Services (public &amp; private)</t>
        </is>
      </c>
      <c r="C11" s="22" t="inlineStr">
        <is>
          <t>bld</t>
        </is>
      </c>
      <c r="D11" s="22" t="inlineStr">
        <is>
          <t>srv</t>
        </is>
      </c>
      <c r="E11" s="22" t="inlineStr">
        <is>
          <t>res</t>
        </is>
      </c>
      <c r="F11" s="22" t="inlineStr">
        <is>
          <t>ind</t>
        </is>
      </c>
      <c r="G11" s="22" t="inlineStr">
        <is>
          <t>res</t>
        </is>
      </c>
      <c r="H11" s="22" t="n">
        <v>8</v>
      </c>
      <c r="I11" s="22" t="inlineStr">
        <is>
          <t>res</t>
        </is>
      </c>
    </row>
    <row r="12">
      <c r="A12" s="14" t="inlineStr">
        <is>
          <t>mch</t>
        </is>
      </c>
      <c r="B12" s="14" t="inlineStr">
        <is>
          <t>Mining &amp; chemicals</t>
        </is>
      </c>
      <c r="C12" s="22" t="inlineStr">
        <is>
          <t>ind</t>
        </is>
      </c>
      <c r="D12" s="22" t="inlineStr">
        <is>
          <t>ind</t>
        </is>
      </c>
      <c r="E12" s="22" t="inlineStr">
        <is>
          <t>ind</t>
        </is>
      </c>
      <c r="F12" s="22" t="inlineStr">
        <is>
          <t>ind</t>
        </is>
      </c>
      <c r="G12" s="22" t="inlineStr">
        <is>
          <t>ind</t>
        </is>
      </c>
      <c r="H12" s="22" t="n">
        <v>9</v>
      </c>
      <c r="I12" s="22" t="inlineStr">
        <is>
          <t>ind</t>
        </is>
      </c>
    </row>
    <row r="13">
      <c r="A13" s="14" t="inlineStr">
        <is>
          <t>irn</t>
        </is>
      </c>
      <c r="B13" s="14" t="inlineStr">
        <is>
          <t>Iron &amp; steel</t>
        </is>
      </c>
      <c r="C13" s="22" t="inlineStr">
        <is>
          <t>ind</t>
        </is>
      </c>
      <c r="D13" s="22" t="inlineStr">
        <is>
          <t>ind</t>
        </is>
      </c>
      <c r="E13" s="22" t="inlineStr">
        <is>
          <t>ind</t>
        </is>
      </c>
      <c r="F13" s="22" t="inlineStr">
        <is>
          <t>ind</t>
        </is>
      </c>
      <c r="G13" s="22" t="inlineStr">
        <is>
          <t>ind</t>
        </is>
      </c>
      <c r="H13" s="22" t="n">
        <v>10</v>
      </c>
      <c r="I13" s="22" t="inlineStr">
        <is>
          <t>ind</t>
        </is>
      </c>
    </row>
    <row r="14">
      <c r="A14" s="14" t="inlineStr">
        <is>
          <t>nfm</t>
        </is>
      </c>
      <c r="B14" s="14" t="inlineStr">
        <is>
          <t>Other metals</t>
        </is>
      </c>
      <c r="C14" s="22" t="inlineStr">
        <is>
          <t>ind</t>
        </is>
      </c>
      <c r="D14" s="22" t="inlineStr">
        <is>
          <t>ind</t>
        </is>
      </c>
      <c r="E14" s="22" t="inlineStr">
        <is>
          <t>ind</t>
        </is>
      </c>
      <c r="F14" s="22" t="inlineStr">
        <is>
          <t>ind</t>
        </is>
      </c>
      <c r="G14" s="22" t="inlineStr">
        <is>
          <t>ind</t>
        </is>
      </c>
      <c r="H14" s="22" t="n">
        <v>11</v>
      </c>
      <c r="I14" s="22" t="inlineStr">
        <is>
          <t>ind</t>
        </is>
      </c>
    </row>
    <row r="15">
      <c r="A15" s="14" t="inlineStr">
        <is>
          <t>mac</t>
        </is>
      </c>
      <c r="B15" s="14" t="inlineStr">
        <is>
          <t>Machinery</t>
        </is>
      </c>
      <c r="C15" s="22" t="inlineStr">
        <is>
          <t>ind</t>
        </is>
      </c>
      <c r="D15" s="22" t="inlineStr">
        <is>
          <t>ind</t>
        </is>
      </c>
      <c r="E15" s="22" t="inlineStr">
        <is>
          <t>ind</t>
        </is>
      </c>
      <c r="F15" s="22" t="inlineStr">
        <is>
          <t>ind</t>
        </is>
      </c>
      <c r="G15" s="22" t="inlineStr">
        <is>
          <t>ind</t>
        </is>
      </c>
      <c r="H15" s="22" t="n">
        <v>12</v>
      </c>
      <c r="I15" s="22" t="inlineStr">
        <is>
          <t>ind</t>
        </is>
      </c>
    </row>
    <row r="16">
      <c r="A16" s="14" t="inlineStr">
        <is>
          <t>cem</t>
        </is>
      </c>
      <c r="B16" s="14" t="inlineStr">
        <is>
          <t>Cement</t>
        </is>
      </c>
      <c r="C16" s="22" t="inlineStr">
        <is>
          <t>ind</t>
        </is>
      </c>
      <c r="D16" s="22" t="inlineStr">
        <is>
          <t>ind</t>
        </is>
      </c>
      <c r="E16" s="22" t="inlineStr">
        <is>
          <t>ind</t>
        </is>
      </c>
      <c r="F16" s="22" t="inlineStr">
        <is>
          <t>ind</t>
        </is>
      </c>
      <c r="G16" s="22" t="inlineStr">
        <is>
          <t>ind</t>
        </is>
      </c>
      <c r="H16" s="22" t="n">
        <v>13</v>
      </c>
      <c r="I16" s="22" t="inlineStr">
        <is>
          <t>ind</t>
        </is>
      </c>
    </row>
    <row r="17">
      <c r="A17" s="14" t="inlineStr">
        <is>
          <t>omn</t>
        </is>
      </c>
      <c r="B17" s="14" t="inlineStr">
        <is>
          <t>Other manufacturing</t>
        </is>
      </c>
      <c r="C17" s="22" t="inlineStr">
        <is>
          <t>ind</t>
        </is>
      </c>
      <c r="D17" s="22" t="inlineStr">
        <is>
          <t>ind</t>
        </is>
      </c>
      <c r="E17" s="22" t="inlineStr">
        <is>
          <t>ind</t>
        </is>
      </c>
      <c r="F17" s="22" t="inlineStr">
        <is>
          <t>ind</t>
        </is>
      </c>
      <c r="G17" s="22" t="inlineStr">
        <is>
          <t>ind</t>
        </is>
      </c>
      <c r="H17" s="22" t="n">
        <v>14</v>
      </c>
      <c r="I17" s="22" t="inlineStr">
        <is>
          <t>ind</t>
        </is>
      </c>
    </row>
    <row r="18">
      <c r="A18" s="14" t="inlineStr">
        <is>
          <t>cst</t>
        </is>
      </c>
      <c r="B18" s="14" t="inlineStr">
        <is>
          <t>Construction</t>
        </is>
      </c>
      <c r="C18" s="22" t="inlineStr">
        <is>
          <t>ind</t>
        </is>
      </c>
      <c r="D18" s="22" t="inlineStr">
        <is>
          <t>ind</t>
        </is>
      </c>
      <c r="E18" s="22" t="inlineStr">
        <is>
          <t>ind</t>
        </is>
      </c>
      <c r="F18" s="22" t="inlineStr">
        <is>
          <t>ind</t>
        </is>
      </c>
      <c r="G18" s="22" t="inlineStr">
        <is>
          <t>ind</t>
        </is>
      </c>
      <c r="H18" s="22" t="n">
        <v>15</v>
      </c>
      <c r="I18" s="22" t="inlineStr">
        <is>
          <t>ind</t>
        </is>
      </c>
    </row>
    <row r="19">
      <c r="A19" s="14" t="inlineStr">
        <is>
          <t>ftr</t>
        </is>
      </c>
      <c r="B19" s="14" t="inlineStr">
        <is>
          <t>Fuel transformation</t>
        </is>
      </c>
      <c r="C19" s="22" t="inlineStr">
        <is>
          <t>ind</t>
        </is>
      </c>
      <c r="D19" s="22" t="inlineStr">
        <is>
          <t>ind</t>
        </is>
      </c>
      <c r="E19" s="22" t="inlineStr">
        <is>
          <t>ind</t>
        </is>
      </c>
      <c r="F19" s="22" t="inlineStr">
        <is>
          <t>ind</t>
        </is>
      </c>
      <c r="G19" s="22" t="inlineStr">
        <is>
          <t>ind</t>
        </is>
      </c>
      <c r="H19" s="22" t="n">
        <v>16</v>
      </c>
      <c r="I19" s="22" t="inlineStr">
        <is>
          <t>ind</t>
        </is>
      </c>
    </row>
    <row r="20">
      <c r="A20" s="14" t="inlineStr">
        <is>
          <t>oen</t>
        </is>
      </c>
      <c r="B20" s="14" t="inlineStr">
        <is>
          <t>Other energy use</t>
        </is>
      </c>
      <c r="C20" s="22" t="inlineStr">
        <is>
          <t>oen</t>
        </is>
      </c>
      <c r="D20" s="22" t="inlineStr">
        <is>
          <t>ind</t>
        </is>
      </c>
      <c r="E20" s="22" t="inlineStr">
        <is>
          <t>ind</t>
        </is>
      </c>
      <c r="F20" s="22" t="inlineStr">
        <is>
          <t>ind</t>
        </is>
      </c>
      <c r="G20" s="22" t="inlineStr">
        <is>
          <t>ind</t>
        </is>
      </c>
      <c r="H20" s="22" t="n">
        <v>17</v>
      </c>
      <c r="I20" s="22" t="inlineStr">
        <is>
          <t>ind</t>
        </is>
      </c>
    </row>
    <row r="21">
      <c r="A21" s="14" t="inlineStr">
        <is>
          <t>all</t>
        </is>
      </c>
      <c r="B21" s="14" t="inlineStr">
        <is>
          <t>All sectors</t>
        </is>
      </c>
    </row>
    <row r="22">
      <c r="A22" s="14" t="inlineStr">
        <is>
          <t>pow</t>
        </is>
      </c>
      <c r="B22" s="14" t="inlineStr">
        <is>
          <t>Power</t>
        </is>
      </c>
    </row>
    <row r="23">
      <c r="A23" s="14" t="inlineStr">
        <is>
          <t>tra</t>
        </is>
      </c>
      <c r="B23" s="14" t="inlineStr">
        <is>
          <t>Transport</t>
        </is>
      </c>
    </row>
    <row r="24">
      <c r="A24" s="14" t="inlineStr">
        <is>
          <t>bld</t>
        </is>
      </c>
      <c r="B24" s="14" t="inlineStr">
        <is>
          <t>Buildings</t>
        </is>
      </c>
    </row>
    <row r="25">
      <c r="A25" s="14" t="inlineStr">
        <is>
          <t>ind</t>
        </is>
      </c>
      <c r="B25" s="14" t="inlineStr">
        <is>
          <t>Industry</t>
        </is>
      </c>
    </row>
    <row r="26">
      <c r="A26" s="14" t="inlineStr">
        <is>
          <t>int</t>
        </is>
      </c>
      <c r="B26" s="14" t="inlineStr">
        <is>
          <t>International</t>
        </is>
      </c>
    </row>
    <row r="28">
      <c r="A28" s="1" t="inlineStr">
        <is>
          <t>Fuels</t>
        </is>
      </c>
    </row>
    <row r="29">
      <c r="A29" s="83" t="inlineStr">
        <is>
          <t>Code</t>
        </is>
      </c>
      <c r="B29" s="83" t="inlineStr">
        <is>
          <t>Name</t>
        </is>
      </c>
      <c r="C29" s="83" t="inlineStr">
        <is>
          <t>Elasticity fuel</t>
        </is>
      </c>
      <c r="D29" s="83" t="inlineStr">
        <is>
          <t>AEEI fuel</t>
        </is>
      </c>
      <c r="E29" s="83" t="inlineStr">
        <is>
          <t>Price sector rule</t>
        </is>
      </c>
      <c r="F29" s="83" t="inlineStr">
        <is>
          <t>Price unit</t>
        </is>
      </c>
      <c r="G29" s="83" t="inlineStr">
        <is>
          <t>GJ per price unit</t>
        </is>
      </c>
      <c r="H29" s="83" t="inlineStr">
        <is>
          <t>Fuel position</t>
        </is>
      </c>
    </row>
    <row r="30">
      <c r="A30" s="14" t="inlineStr">
        <is>
          <t>coa</t>
        </is>
      </c>
      <c r="B30" s="14" t="inlineStr">
        <is>
          <t>Coal</t>
        </is>
      </c>
      <c r="C30" s="22" t="inlineStr">
        <is>
          <t>coa</t>
        </is>
      </c>
      <c r="D30" s="22" t="inlineStr">
        <is>
          <t>coa</t>
        </is>
      </c>
      <c r="E30" s="22" t="inlineStr">
        <is>
          <t>sub</t>
        </is>
      </c>
      <c r="F30" s="22" t="inlineStr">
        <is>
          <t>$/GJ</t>
        </is>
      </c>
      <c r="G30" s="22" t="n">
        <v>1</v>
      </c>
      <c r="H30" s="22" t="n">
        <v>1</v>
      </c>
    </row>
    <row r="31">
      <c r="A31" s="14" t="inlineStr">
        <is>
          <t>nga</t>
        </is>
      </c>
      <c r="B31" s="14" t="inlineStr">
        <is>
          <t>Natural gas</t>
        </is>
      </c>
      <c r="C31" s="22" t="inlineStr">
        <is>
          <t>nga</t>
        </is>
      </c>
      <c r="D31" s="22" t="inlineStr">
        <is>
          <t>nga</t>
        </is>
      </c>
      <c r="E31" s="22" t="inlineStr">
        <is>
          <t>sub</t>
        </is>
      </c>
      <c r="F31" s="22" t="inlineStr">
        <is>
          <t>$/GJ</t>
        </is>
      </c>
      <c r="G31" s="22" t="n">
        <v>1</v>
      </c>
      <c r="H31" s="22" t="n">
        <v>2</v>
      </c>
    </row>
    <row r="32">
      <c r="A32" s="14" t="inlineStr">
        <is>
          <t>gso</t>
        </is>
      </c>
      <c r="B32" s="14" t="inlineStr">
        <is>
          <t>Gasoline</t>
        </is>
      </c>
      <c r="C32" s="22" t="inlineStr">
        <is>
          <t>gso</t>
        </is>
      </c>
      <c r="D32" s="22" t="inlineStr">
        <is>
          <t>oil</t>
        </is>
      </c>
      <c r="E32" s="22" t="inlineStr">
        <is>
          <t>all</t>
        </is>
      </c>
      <c r="F32" s="22" t="inlineStr">
        <is>
          <t>$/liter</t>
        </is>
      </c>
      <c r="G32" s="22" t="n">
        <v>0.03496974000000001</v>
      </c>
      <c r="H32" s="22" t="n">
        <v>3</v>
      </c>
    </row>
    <row r="33">
      <c r="A33" s="14" t="inlineStr">
        <is>
          <t>die</t>
        </is>
      </c>
      <c r="B33" s="14" t="inlineStr">
        <is>
          <t>Diesel</t>
        </is>
      </c>
      <c r="C33" s="22" t="inlineStr">
        <is>
          <t>die</t>
        </is>
      </c>
      <c r="D33" s="22" t="inlineStr">
        <is>
          <t>oil</t>
        </is>
      </c>
      <c r="E33" s="22" t="inlineStr">
        <is>
          <t>all</t>
        </is>
      </c>
      <c r="F33" s="22" t="inlineStr">
        <is>
          <t>$/liter</t>
        </is>
      </c>
      <c r="G33" s="22" t="n">
        <v>0.03729519000000001</v>
      </c>
      <c r="H33" s="22" t="n">
        <v>4</v>
      </c>
    </row>
    <row r="34">
      <c r="A34" s="14" t="inlineStr">
        <is>
          <t>lpg</t>
        </is>
      </c>
      <c r="B34" s="14" t="inlineStr">
        <is>
          <t>LPG</t>
        </is>
      </c>
      <c r="C34" s="22" t="inlineStr">
        <is>
          <t>oil</t>
        </is>
      </c>
      <c r="D34" s="22" t="inlineStr">
        <is>
          <t>oil</t>
        </is>
      </c>
      <c r="E34" s="22" t="inlineStr">
        <is>
          <t>all</t>
        </is>
      </c>
      <c r="F34" s="22" t="inlineStr">
        <is>
          <t>$/liter</t>
        </is>
      </c>
      <c r="G34" s="22" t="n">
        <v>0.02577968854495125</v>
      </c>
      <c r="H34" s="22" t="n">
        <v>5</v>
      </c>
    </row>
    <row r="35">
      <c r="A35" s="14" t="inlineStr">
        <is>
          <t>ker</t>
        </is>
      </c>
      <c r="B35" s="14" t="inlineStr">
        <is>
          <t>Kerosene</t>
        </is>
      </c>
      <c r="C35" s="22" t="inlineStr">
        <is>
          <t>oil</t>
        </is>
      </c>
      <c r="D35" s="22" t="inlineStr">
        <is>
          <t>oil</t>
        </is>
      </c>
      <c r="E35" s="22" t="inlineStr">
        <is>
          <t>all</t>
        </is>
      </c>
      <c r="F35" s="22" t="inlineStr">
        <is>
          <t>$/liter</t>
        </is>
      </c>
      <c r="G35" s="22" t="n">
        <v>0.03774882965510715</v>
      </c>
      <c r="H35" s="22" t="n">
        <v>6</v>
      </c>
    </row>
    <row r="36">
      <c r="A36" s="14" t="inlineStr">
        <is>
          <t>oop</t>
        </is>
      </c>
      <c r="B36" s="14" t="inlineStr">
        <is>
          <t>Other oil products</t>
        </is>
      </c>
      <c r="C36" s="22" t="inlineStr">
        <is>
          <t>oil</t>
        </is>
      </c>
      <c r="D36" s="22" t="inlineStr">
        <is>
          <t>oil</t>
        </is>
      </c>
      <c r="E36" s="22" t="inlineStr">
        <is>
          <t>all</t>
        </is>
      </c>
      <c r="F36" s="22" t="inlineStr">
        <is>
          <t>$/bbl</t>
        </is>
      </c>
      <c r="G36" s="22" t="n">
        <v>6.12</v>
      </c>
      <c r="H36" s="22" t="n">
        <v>7</v>
      </c>
    </row>
    <row r="37">
      <c r="A37" s="14" t="inlineStr">
        <is>
          <t>bio</t>
        </is>
      </c>
      <c r="B37" s="14" t="inlineStr">
        <is>
          <t>Biomass</t>
        </is>
      </c>
      <c r="C37" s="22" t="inlineStr">
        <is>
          <t>bio</t>
        </is>
      </c>
      <c r="D37" s="22" t="inlineStr">
        <is>
          <t>bio</t>
        </is>
      </c>
      <c r="E37" s="22" t="inlineStr">
        <is>
          <t>all</t>
        </is>
      </c>
      <c r="F37" s="22" t="inlineStr">
        <is>
          <t>$/GJ</t>
        </is>
      </c>
      <c r="G37" s="22" t="n">
        <v>1</v>
      </c>
      <c r="H37" s="22" t="n">
        <v>8</v>
      </c>
    </row>
    <row r="38">
      <c r="A38" s="14" t="inlineStr">
        <is>
          <t>all</t>
        </is>
      </c>
      <c r="B38" s="14" t="inlineStr">
        <is>
          <t>All fuels</t>
        </is>
      </c>
    </row>
    <row r="39">
      <c r="A39" s="14" t="inlineStr">
        <is>
          <t>ecy</t>
        </is>
      </c>
      <c r="B39" s="14" t="inlineStr">
        <is>
          <t>Electricity</t>
        </is>
      </c>
    </row>
    <row r="40">
      <c r="A40" s="14" t="inlineStr">
        <is>
          <t>oil</t>
        </is>
      </c>
      <c r="B40" s="14" t="inlineStr">
        <is>
          <t>Crude oil</t>
        </is>
      </c>
    </row>
    <row r="41">
      <c r="A41" s="14" t="inlineStr">
        <is>
          <t>one</t>
        </is>
      </c>
      <c r="B41" s="14" t="inlineStr">
        <is>
          <t>Flat (no change)</t>
        </is>
      </c>
    </row>
    <row r="42">
      <c r="A42" s="14" t="inlineStr">
        <is>
          <t>nuc</t>
        </is>
      </c>
      <c r="B42" s="14" t="inlineStr">
        <is>
          <t>Nuclear</t>
        </is>
      </c>
    </row>
    <row r="43">
      <c r="A43" s="14" t="inlineStr">
        <is>
          <t>wnd</t>
        </is>
      </c>
      <c r="B43" s="14" t="inlineStr">
        <is>
          <t>Wind</t>
        </is>
      </c>
    </row>
    <row r="44">
      <c r="A44" s="14" t="inlineStr">
        <is>
          <t>sol</t>
        </is>
      </c>
      <c r="B44" s="14" t="inlineStr">
        <is>
          <t>Solar</t>
        </is>
      </c>
    </row>
    <row r="45">
      <c r="A45" s="14" t="inlineStr">
        <is>
          <t>hyd</t>
        </is>
      </c>
      <c r="B45" s="14" t="inlineStr">
        <is>
          <t>Hydro</t>
        </is>
      </c>
    </row>
    <row r="46">
      <c r="A46" s="14" t="inlineStr">
        <is>
          <t>ore</t>
        </is>
      </c>
      <c r="B46" s="14" t="inlineStr">
        <is>
          <t>Other renewables</t>
        </is>
      </c>
    </row>
    <row r="48">
      <c r="A48" s="1" t="inlineStr">
        <is>
          <t>Price fuels (fuel price reform, MTInputs rows 142-169)</t>
        </is>
      </c>
    </row>
    <row r="49">
      <c r="A49" s="83" t="inlineStr">
        <is>
          <t>Price code</t>
        </is>
      </c>
      <c r="B49" s="83" t="inlineStr">
        <is>
          <t>Label</t>
        </is>
      </c>
      <c r="C49" s="83" t="inlineStr">
        <is>
          <t>MTInputs row: starting increase</t>
        </is>
      </c>
      <c r="D49" s="83" t="inlineStr">
        <is>
          <t>MTInputs row: final increase</t>
        </is>
      </c>
      <c r="E49" s="83" t="inlineStr">
        <is>
          <t>Position</t>
        </is>
      </c>
    </row>
    <row r="50">
      <c r="A50" s="14" t="inlineStr">
        <is>
          <t>coa.pow</t>
        </is>
      </c>
      <c r="B50" s="14" t="inlineStr">
        <is>
          <t>Coal, Power</t>
        </is>
      </c>
      <c r="C50" s="14" t="n">
        <v>142</v>
      </c>
      <c r="D50" s="14" t="n">
        <v>156</v>
      </c>
      <c r="E50" s="14" t="n">
        <v>1</v>
      </c>
    </row>
    <row r="51">
      <c r="A51" s="14" t="inlineStr">
        <is>
          <t>coa.res</t>
        </is>
      </c>
      <c r="B51" s="14" t="inlineStr">
        <is>
          <t>Coal, Residential</t>
        </is>
      </c>
      <c r="C51" s="14" t="n">
        <v>143</v>
      </c>
      <c r="D51" s="14" t="n">
        <v>157</v>
      </c>
      <c r="E51" s="14" t="n">
        <v>2</v>
      </c>
    </row>
    <row r="52">
      <c r="A52" s="14" t="inlineStr">
        <is>
          <t>coa.ind</t>
        </is>
      </c>
      <c r="B52" s="14" t="inlineStr">
        <is>
          <t>Coal, Industry</t>
        </is>
      </c>
      <c r="C52" s="14" t="n">
        <v>144</v>
      </c>
      <c r="D52" s="14" t="n">
        <v>158</v>
      </c>
      <c r="E52" s="14" t="n">
        <v>3</v>
      </c>
    </row>
    <row r="53">
      <c r="A53" s="14" t="inlineStr">
        <is>
          <t>nga.pow</t>
        </is>
      </c>
      <c r="B53" s="14" t="inlineStr">
        <is>
          <t>Natural gas, Power</t>
        </is>
      </c>
      <c r="C53" s="14" t="n">
        <v>145</v>
      </c>
      <c r="D53" s="14" t="n">
        <v>159</v>
      </c>
      <c r="E53" s="14" t="n">
        <v>4</v>
      </c>
    </row>
    <row r="54">
      <c r="A54" s="14" t="inlineStr">
        <is>
          <t>nga.res</t>
        </is>
      </c>
      <c r="B54" s="14" t="inlineStr">
        <is>
          <t>Natural gas, Residential</t>
        </is>
      </c>
      <c r="C54" s="14" t="n">
        <v>146</v>
      </c>
      <c r="D54" s="14" t="n">
        <v>160</v>
      </c>
      <c r="E54" s="14" t="n">
        <v>5</v>
      </c>
    </row>
    <row r="55">
      <c r="A55" s="14" t="inlineStr">
        <is>
          <t>nga.ind</t>
        </is>
      </c>
      <c r="B55" s="14" t="inlineStr">
        <is>
          <t>Natural gas, Industry</t>
        </is>
      </c>
      <c r="C55" s="14" t="n">
        <v>147</v>
      </c>
      <c r="D55" s="14" t="n">
        <v>161</v>
      </c>
      <c r="E55" s="14" t="n">
        <v>6</v>
      </c>
    </row>
    <row r="56">
      <c r="A56" s="14" t="inlineStr">
        <is>
          <t>ecy.res</t>
        </is>
      </c>
      <c r="B56" s="14" t="inlineStr">
        <is>
          <t>Electricity, Residential</t>
        </is>
      </c>
      <c r="C56" s="14" t="n">
        <v>148</v>
      </c>
      <c r="D56" s="14" t="n">
        <v>162</v>
      </c>
      <c r="E56" s="14" t="n">
        <v>7</v>
      </c>
    </row>
    <row r="57">
      <c r="A57" s="14" t="inlineStr">
        <is>
          <t>ecy.ind</t>
        </is>
      </c>
      <c r="B57" s="14" t="inlineStr">
        <is>
          <t>Electricity, Industry</t>
        </is>
      </c>
      <c r="C57" s="14" t="n">
        <v>149</v>
      </c>
      <c r="D57" s="14" t="n">
        <v>163</v>
      </c>
      <c r="E57" s="14" t="n">
        <v>8</v>
      </c>
    </row>
    <row r="58">
      <c r="A58" s="14" t="inlineStr">
        <is>
          <t>gso.all</t>
        </is>
      </c>
      <c r="B58" s="14" t="inlineStr">
        <is>
          <t>Gasoline, All</t>
        </is>
      </c>
      <c r="C58" s="14" t="n">
        <v>150</v>
      </c>
      <c r="D58" s="14" t="n">
        <v>164</v>
      </c>
      <c r="E58" s="14" t="n">
        <v>9</v>
      </c>
    </row>
    <row r="59">
      <c r="A59" s="14" t="inlineStr">
        <is>
          <t>die.all</t>
        </is>
      </c>
      <c r="B59" s="14" t="inlineStr">
        <is>
          <t>Diesel, All</t>
        </is>
      </c>
      <c r="C59" s="14" t="n">
        <v>151</v>
      </c>
      <c r="D59" s="14" t="n">
        <v>165</v>
      </c>
      <c r="E59" s="14" t="n">
        <v>10</v>
      </c>
    </row>
    <row r="60">
      <c r="A60" s="14" t="inlineStr">
        <is>
          <t>lpg.all</t>
        </is>
      </c>
      <c r="B60" s="14" t="inlineStr">
        <is>
          <t>LPG, All</t>
        </is>
      </c>
      <c r="C60" s="14" t="n">
        <v>152</v>
      </c>
      <c r="D60" s="14" t="n">
        <v>166</v>
      </c>
      <c r="E60" s="14" t="n">
        <v>11</v>
      </c>
    </row>
    <row r="61">
      <c r="A61" s="14" t="inlineStr">
        <is>
          <t>ker.all</t>
        </is>
      </c>
      <c r="B61" s="14" t="inlineStr">
        <is>
          <t>Kerosene, All</t>
        </is>
      </c>
      <c r="C61" s="14" t="n">
        <v>153</v>
      </c>
      <c r="D61" s="14" t="n">
        <v>167</v>
      </c>
      <c r="E61" s="14" t="n">
        <v>12</v>
      </c>
    </row>
    <row r="62">
      <c r="A62" s="14" t="inlineStr">
        <is>
          <t>oop.all</t>
        </is>
      </c>
      <c r="B62" s="14" t="inlineStr">
        <is>
          <t>Other oil products, All</t>
        </is>
      </c>
      <c r="C62" s="14" t="n">
        <v>154</v>
      </c>
      <c r="D62" s="14" t="n">
        <v>168</v>
      </c>
      <c r="E62" s="14" t="n">
        <v>13</v>
      </c>
    </row>
    <row r="63">
      <c r="A63" s="14" t="inlineStr">
        <is>
          <t>bio.all</t>
        </is>
      </c>
      <c r="B63" s="14" t="inlineStr">
        <is>
          <t>Biomass, All</t>
        </is>
      </c>
      <c r="C63" s="14" t="n">
        <v>155</v>
      </c>
      <c r="D63" s="14" t="n">
        <v>169</v>
      </c>
      <c r="E63" s="14" t="n">
        <v>14</v>
      </c>
    </row>
    <row r="65">
      <c r="A65" s="1" t="inlineStr">
        <is>
          <t>Feebate sectors (MTInputs rows 56-64)</t>
        </is>
      </c>
    </row>
    <row r="66">
      <c r="A66" s="83" t="inlineStr">
        <is>
          <t>Code</t>
        </is>
      </c>
      <c r="B66" s="83" t="inlineStr">
        <is>
          <t>Starting rate (NameOfParameter)</t>
        </is>
      </c>
      <c r="C66" s="83" t="inlineStr">
        <is>
          <t>Target rate (NameOfParameter)</t>
        </is>
      </c>
      <c r="D66" s="83" t="inlineStr">
        <is>
          <t>Position</t>
        </is>
      </c>
    </row>
    <row r="67">
      <c r="A67" s="14" t="inlineStr">
        <is>
          <t>pow</t>
        </is>
      </c>
      <c r="B67" s="14" t="inlineStr">
        <is>
          <t>D_Feb_Level_Start_Pow</t>
        </is>
      </c>
      <c r="C67" s="14" t="inlineStr">
        <is>
          <t>D_Feb_Level_Target_Pow</t>
        </is>
      </c>
      <c r="D67" s="14" t="n">
        <v>1</v>
      </c>
    </row>
    <row r="68">
      <c r="A68" s="14" t="inlineStr">
        <is>
          <t>tra</t>
        </is>
      </c>
      <c r="B68" s="14" t="inlineStr">
        <is>
          <t>D_Feb_Level_Start_Trans</t>
        </is>
      </c>
      <c r="C68" s="14" t="inlineStr">
        <is>
          <t>D_Feb_Level_Target_Trans</t>
        </is>
      </c>
      <c r="D68" s="14" t="n">
        <v>2</v>
      </c>
    </row>
    <row r="69">
      <c r="A69" s="14" t="inlineStr">
        <is>
          <t>res</t>
        </is>
      </c>
      <c r="B69" s="14" t="inlineStr">
        <is>
          <t>D_Feb_Level_Start_Res</t>
        </is>
      </c>
      <c r="C69" s="14" t="inlineStr">
        <is>
          <t>D_Feb_Level_Target_Res</t>
        </is>
      </c>
      <c r="D69" s="14" t="n">
        <v>3</v>
      </c>
    </row>
    <row r="70">
      <c r="A70" s="14" t="inlineStr">
        <is>
          <t>ind</t>
        </is>
      </c>
      <c r="B70" s="14" t="inlineStr">
        <is>
          <t>D_Feb_Level_Start_Ind</t>
        </is>
      </c>
      <c r="C70" s="14" t="inlineStr">
        <is>
          <t>D_Feb_Level_Target_Ind</t>
        </is>
      </c>
      <c r="D70" s="14" t="n">
        <v>4</v>
      </c>
    </row>
    <row r="73">
      <c r="A73" s="14" t="inlineStr">
        <is>
          <t>Price sector rule: 'sub' = the subsector's coal/gas price sector (rod and res use residential coal/gas prices, as CPAT); 'all' = the fuel's single price.</t>
        </is>
      </c>
    </row>
    <row r="74">
      <c r="A74" s="14" t="inlineStr">
        <is>
          <t>GJ per price unit: legacy Mitigation rows 980-1009 (conversion factor, volume unit to GJ).</t>
        </is>
      </c>
    </row>
    <row r="75">
      <c r="A75" s="14" t="inlineStr">
        <is>
          <t>Coverage position: order of the MTInputs sector switches (power first, then the 16 subsectors).</t>
        </is>
      </c>
    </row>
    <row r="76">
      <c r="A76" s="14" t="inlineStr">
        <is>
          <t>ECP sector: sector of the legacy existing carbon pricing data (sheet ECP: pow, trs, res, ind); buildings (residential, food &amp; forestry, services) = res, industry and other energy use = ind.</t>
        </is>
      </c>
    </row>
    <row r="77">
      <c r="A77" s="14" t="inlineStr">
        <is>
          <t>Feebate sector for food &amp; forestry and services = residential (assumption; legacy groups them as Commercial).</t>
        </is>
      </c>
    </row>
    <row r="78">
      <c r="A78" s="14" t="inlineStr">
        <is>
          <t>Rows 21-26 and 38-46: labels only (totals, policy rows).</t>
        </is>
      </c>
    </row>
    <row r="79">
      <c r="A79" s="1" t="inlineStr">
        <is>
          <t>Member labels for Mitigation column H (key sector|fuel; add a row for a new pair)</t>
        </is>
      </c>
    </row>
    <row r="80">
      <c r="A80" s="83" t="inlineStr">
        <is>
          <t>Key</t>
        </is>
      </c>
      <c r="B80" s="83" t="inlineStr">
        <is>
          <t>Sector</t>
        </is>
      </c>
      <c r="C80" s="83" t="inlineStr">
        <is>
          <t>Fuel</t>
        </is>
      </c>
      <c r="D80" s="83" t="inlineStr">
        <is>
          <t>Label</t>
        </is>
      </c>
      <c r="E80" s="83" t="inlineStr">
        <is>
          <t>Sector label</t>
        </is>
      </c>
      <c r="F80" s="83" t="inlineStr">
        <is>
          <t>Fuel label</t>
        </is>
      </c>
    </row>
    <row r="81">
      <c r="A81" s="14">
        <f>$B81&amp;"|"&amp;$C81</f>
        <v/>
      </c>
      <c r="B81" s="22" t="inlineStr"/>
      <c r="C81" s="22" t="inlineStr"/>
      <c r="D81" s="14">
        <f>IF($B81="",""," | "&amp;$E81&amp;" | "&amp;$F81)</f>
        <v/>
      </c>
      <c r="E81" s="14">
        <f>IFERROR(INDEX(SecLab,MATCH($B81,SecKey,0)),"")</f>
        <v/>
      </c>
      <c r="F81" s="14">
        <f>IFERROR(INDEX(FuelLab,MATCH($C81,FuelKeyL,0)),"")</f>
        <v/>
      </c>
    </row>
    <row r="82">
      <c r="A82" s="14">
        <f>$B82&amp;"|"&amp;$C82</f>
        <v/>
      </c>
      <c r="B82" s="22" t="inlineStr">
        <is>
          <t>all</t>
        </is>
      </c>
      <c r="C82" s="22" t="inlineStr">
        <is>
          <t>coa</t>
        </is>
      </c>
      <c r="D82" s="14">
        <f>IF($B82="",""," | "&amp;$E82&amp;" | "&amp;$F82)</f>
        <v/>
      </c>
      <c r="E82" s="14">
        <f>IFERROR(INDEX(SecLab,MATCH($B82,SecKey,0)),"")</f>
        <v/>
      </c>
      <c r="F82" s="14">
        <f>IFERROR(INDEX(FuelLab,MATCH($C82,FuelKeyL,0)),"")</f>
        <v/>
      </c>
    </row>
    <row r="83">
      <c r="A83" s="14">
        <f>$B83&amp;"|"&amp;$C83</f>
        <v/>
      </c>
      <c r="B83" s="22" t="inlineStr">
        <is>
          <t>all</t>
        </is>
      </c>
      <c r="C83" s="22" t="inlineStr">
        <is>
          <t>nga</t>
        </is>
      </c>
      <c r="D83" s="14">
        <f>IF($B83="",""," | "&amp;$E83&amp;" | "&amp;$F83)</f>
        <v/>
      </c>
      <c r="E83" s="14">
        <f>IFERROR(INDEX(SecLab,MATCH($B83,SecKey,0)),"")</f>
        <v/>
      </c>
      <c r="F83" s="14">
        <f>IFERROR(INDEX(FuelLab,MATCH($C83,FuelKeyL,0)),"")</f>
        <v/>
      </c>
    </row>
    <row r="84">
      <c r="A84" s="14">
        <f>$B84&amp;"|"&amp;$C84</f>
        <v/>
      </c>
      <c r="B84" s="22" t="inlineStr">
        <is>
          <t>all</t>
        </is>
      </c>
      <c r="C84" s="22" t="inlineStr">
        <is>
          <t>gso</t>
        </is>
      </c>
      <c r="D84" s="14">
        <f>IF($B84="",""," | "&amp;$E84&amp;" | "&amp;$F84)</f>
        <v/>
      </c>
      <c r="E84" s="14">
        <f>IFERROR(INDEX(SecLab,MATCH($B84,SecKey,0)),"")</f>
        <v/>
      </c>
      <c r="F84" s="14">
        <f>IFERROR(INDEX(FuelLab,MATCH($C84,FuelKeyL,0)),"")</f>
        <v/>
      </c>
    </row>
    <row r="85">
      <c r="A85" s="14">
        <f>$B85&amp;"|"&amp;$C85</f>
        <v/>
      </c>
      <c r="B85" s="22" t="inlineStr">
        <is>
          <t>all</t>
        </is>
      </c>
      <c r="C85" s="22" t="inlineStr">
        <is>
          <t>die</t>
        </is>
      </c>
      <c r="D85" s="14">
        <f>IF($B85="",""," | "&amp;$E85&amp;" | "&amp;$F85)</f>
        <v/>
      </c>
      <c r="E85" s="14">
        <f>IFERROR(INDEX(SecLab,MATCH($B85,SecKey,0)),"")</f>
        <v/>
      </c>
      <c r="F85" s="14">
        <f>IFERROR(INDEX(FuelLab,MATCH($C85,FuelKeyL,0)),"")</f>
        <v/>
      </c>
    </row>
    <row r="86">
      <c r="A86" s="14">
        <f>$B86&amp;"|"&amp;$C86</f>
        <v/>
      </c>
      <c r="B86" s="22" t="inlineStr">
        <is>
          <t>all</t>
        </is>
      </c>
      <c r="C86" s="22" t="inlineStr">
        <is>
          <t>lpg</t>
        </is>
      </c>
      <c r="D86" s="14">
        <f>IF($B86="",""," | "&amp;$E86&amp;" | "&amp;$F86)</f>
        <v/>
      </c>
      <c r="E86" s="14">
        <f>IFERROR(INDEX(SecLab,MATCH($B86,SecKey,0)),"")</f>
        <v/>
      </c>
      <c r="F86" s="14">
        <f>IFERROR(INDEX(FuelLab,MATCH($C86,FuelKeyL,0)),"")</f>
        <v/>
      </c>
    </row>
    <row r="87">
      <c r="A87" s="14">
        <f>$B87&amp;"|"&amp;$C87</f>
        <v/>
      </c>
      <c r="B87" s="22" t="inlineStr">
        <is>
          <t>all</t>
        </is>
      </c>
      <c r="C87" s="22" t="inlineStr">
        <is>
          <t>ker</t>
        </is>
      </c>
      <c r="D87" s="14">
        <f>IF($B87="",""," | "&amp;$E87&amp;" | "&amp;$F87)</f>
        <v/>
      </c>
      <c r="E87" s="14">
        <f>IFERROR(INDEX(SecLab,MATCH($B87,SecKey,0)),"")</f>
        <v/>
      </c>
      <c r="F87" s="14">
        <f>IFERROR(INDEX(FuelLab,MATCH($C87,FuelKeyL,0)),"")</f>
        <v/>
      </c>
    </row>
    <row r="88">
      <c r="A88" s="14">
        <f>$B88&amp;"|"&amp;$C88</f>
        <v/>
      </c>
      <c r="B88" s="22" t="inlineStr">
        <is>
          <t>all</t>
        </is>
      </c>
      <c r="C88" s="22" t="inlineStr">
        <is>
          <t>oop</t>
        </is>
      </c>
      <c r="D88" s="14">
        <f>IF($B88="",""," | "&amp;$E88&amp;" | "&amp;$F88)</f>
        <v/>
      </c>
      <c r="E88" s="14">
        <f>IFERROR(INDEX(SecLab,MATCH($B88,SecKey,0)),"")</f>
        <v/>
      </c>
      <c r="F88" s="14">
        <f>IFERROR(INDEX(FuelLab,MATCH($C88,FuelKeyL,0)),"")</f>
        <v/>
      </c>
    </row>
    <row r="89">
      <c r="A89" s="14">
        <f>$B89&amp;"|"&amp;$C89</f>
        <v/>
      </c>
      <c r="B89" s="22" t="inlineStr">
        <is>
          <t>all</t>
        </is>
      </c>
      <c r="C89" s="22" t="inlineStr">
        <is>
          <t>bio</t>
        </is>
      </c>
      <c r="D89" s="14">
        <f>IF($B89="",""," | "&amp;$E89&amp;" | "&amp;$F89)</f>
        <v/>
      </c>
      <c r="E89" s="14">
        <f>IFERROR(INDEX(SecLab,MATCH($B89,SecKey,0)),"")</f>
        <v/>
      </c>
      <c r="F89" s="14">
        <f>IFERROR(INDEX(FuelLab,MATCH($C89,FuelKeyL,0)),"")</f>
        <v/>
      </c>
    </row>
    <row r="90">
      <c r="A90" s="14">
        <f>$B90&amp;"|"&amp;$C90</f>
        <v/>
      </c>
      <c r="B90" s="22" t="inlineStr">
        <is>
          <t>pow</t>
        </is>
      </c>
      <c r="C90" s="22" t="inlineStr">
        <is>
          <t>all</t>
        </is>
      </c>
      <c r="D90" s="14">
        <f>IF($B90="",""," | "&amp;$E90&amp;" | "&amp;$F90)</f>
        <v/>
      </c>
      <c r="E90" s="14">
        <f>IFERROR(INDEX(SecLab,MATCH($B90,SecKey,0)),"")</f>
        <v/>
      </c>
      <c r="F90" s="14">
        <f>IFERROR(INDEX(FuelLab,MATCH($C90,FuelKeyL,0)),"")</f>
        <v/>
      </c>
    </row>
    <row r="91">
      <c r="A91" s="14">
        <f>$B91&amp;"|"&amp;$C91</f>
        <v/>
      </c>
      <c r="B91" s="22" t="inlineStr">
        <is>
          <t>rod</t>
        </is>
      </c>
      <c r="C91" s="22" t="inlineStr">
        <is>
          <t>all</t>
        </is>
      </c>
      <c r="D91" s="14">
        <f>IF($B91="",""," | "&amp;$E91&amp;" | "&amp;$F91)</f>
        <v/>
      </c>
      <c r="E91" s="14">
        <f>IFERROR(INDEX(SecLab,MATCH($B91,SecKey,0)),"")</f>
        <v/>
      </c>
      <c r="F91" s="14">
        <f>IFERROR(INDEX(FuelLab,MATCH($C91,FuelKeyL,0)),"")</f>
        <v/>
      </c>
    </row>
    <row r="92">
      <c r="A92" s="14">
        <f>$B92&amp;"|"&amp;$C92</f>
        <v/>
      </c>
      <c r="B92" s="22" t="inlineStr">
        <is>
          <t>ral</t>
        </is>
      </c>
      <c r="C92" s="22" t="inlineStr">
        <is>
          <t>all</t>
        </is>
      </c>
      <c r="D92" s="14">
        <f>IF($B92="",""," | "&amp;$E92&amp;" | "&amp;$F92)</f>
        <v/>
      </c>
      <c r="E92" s="14">
        <f>IFERROR(INDEX(SecLab,MATCH($B92,SecKey,0)),"")</f>
        <v/>
      </c>
      <c r="F92" s="14">
        <f>IFERROR(INDEX(FuelLab,MATCH($C92,FuelKeyL,0)),"")</f>
        <v/>
      </c>
    </row>
    <row r="93">
      <c r="A93" s="14">
        <f>$B93&amp;"|"&amp;$C93</f>
        <v/>
      </c>
      <c r="B93" s="22" t="inlineStr">
        <is>
          <t>avi</t>
        </is>
      </c>
      <c r="C93" s="22" t="inlineStr">
        <is>
          <t>all</t>
        </is>
      </c>
      <c r="D93" s="14">
        <f>IF($B93="",""," | "&amp;$E93&amp;" | "&amp;$F93)</f>
        <v/>
      </c>
      <c r="E93" s="14">
        <f>IFERROR(INDEX(SecLab,MATCH($B93,SecKey,0)),"")</f>
        <v/>
      </c>
      <c r="F93" s="14">
        <f>IFERROR(INDEX(FuelLab,MATCH($C93,FuelKeyL,0)),"")</f>
        <v/>
      </c>
    </row>
    <row r="94">
      <c r="A94" s="14">
        <f>$B94&amp;"|"&amp;$C94</f>
        <v/>
      </c>
      <c r="B94" s="22" t="inlineStr">
        <is>
          <t>nav</t>
        </is>
      </c>
      <c r="C94" s="22" t="inlineStr">
        <is>
          <t>all</t>
        </is>
      </c>
      <c r="D94" s="14">
        <f>IF($B94="",""," | "&amp;$E94&amp;" | "&amp;$F94)</f>
        <v/>
      </c>
      <c r="E94" s="14">
        <f>IFERROR(INDEX(SecLab,MATCH($B94,SecKey,0)),"")</f>
        <v/>
      </c>
      <c r="F94" s="14">
        <f>IFERROR(INDEX(FuelLab,MATCH($C94,FuelKeyL,0)),"")</f>
        <v/>
      </c>
    </row>
    <row r="95">
      <c r="A95" s="14">
        <f>$B95&amp;"|"&amp;$C95</f>
        <v/>
      </c>
      <c r="B95" s="22" t="inlineStr">
        <is>
          <t>res</t>
        </is>
      </c>
      <c r="C95" s="22" t="inlineStr">
        <is>
          <t>all</t>
        </is>
      </c>
      <c r="D95" s="14">
        <f>IF($B95="",""," | "&amp;$E95&amp;" | "&amp;$F95)</f>
        <v/>
      </c>
      <c r="E95" s="14">
        <f>IFERROR(INDEX(SecLab,MATCH($B95,SecKey,0)),"")</f>
        <v/>
      </c>
      <c r="F95" s="14">
        <f>IFERROR(INDEX(FuelLab,MATCH($C95,FuelKeyL,0)),"")</f>
        <v/>
      </c>
    </row>
    <row r="96">
      <c r="A96" s="14">
        <f>$B96&amp;"|"&amp;$C96</f>
        <v/>
      </c>
      <c r="B96" s="22" t="inlineStr">
        <is>
          <t>foo</t>
        </is>
      </c>
      <c r="C96" s="22" t="inlineStr">
        <is>
          <t>all</t>
        </is>
      </c>
      <c r="D96" s="14">
        <f>IF($B96="",""," | "&amp;$E96&amp;" | "&amp;$F96)</f>
        <v/>
      </c>
      <c r="E96" s="14">
        <f>IFERROR(INDEX(SecLab,MATCH($B96,SecKey,0)),"")</f>
        <v/>
      </c>
      <c r="F96" s="14">
        <f>IFERROR(INDEX(FuelLab,MATCH($C96,FuelKeyL,0)),"")</f>
        <v/>
      </c>
    </row>
    <row r="97">
      <c r="A97" s="14">
        <f>$B97&amp;"|"&amp;$C97</f>
        <v/>
      </c>
      <c r="B97" s="22" t="inlineStr">
        <is>
          <t>srv</t>
        </is>
      </c>
      <c r="C97" s="22" t="inlineStr">
        <is>
          <t>all</t>
        </is>
      </c>
      <c r="D97" s="14">
        <f>IF($B97="",""," | "&amp;$E97&amp;" | "&amp;$F97)</f>
        <v/>
      </c>
      <c r="E97" s="14">
        <f>IFERROR(INDEX(SecLab,MATCH($B97,SecKey,0)),"")</f>
        <v/>
      </c>
      <c r="F97" s="14">
        <f>IFERROR(INDEX(FuelLab,MATCH($C97,FuelKeyL,0)),"")</f>
        <v/>
      </c>
    </row>
    <row r="98">
      <c r="A98" s="14">
        <f>$B98&amp;"|"&amp;$C98</f>
        <v/>
      </c>
      <c r="B98" s="22" t="inlineStr">
        <is>
          <t>mch</t>
        </is>
      </c>
      <c r="C98" s="22" t="inlineStr">
        <is>
          <t>all</t>
        </is>
      </c>
      <c r="D98" s="14">
        <f>IF($B98="",""," | "&amp;$E98&amp;" | "&amp;$F98)</f>
        <v/>
      </c>
      <c r="E98" s="14">
        <f>IFERROR(INDEX(SecLab,MATCH($B98,SecKey,0)),"")</f>
        <v/>
      </c>
      <c r="F98" s="14">
        <f>IFERROR(INDEX(FuelLab,MATCH($C98,FuelKeyL,0)),"")</f>
        <v/>
      </c>
    </row>
    <row r="99">
      <c r="A99" s="14">
        <f>$B99&amp;"|"&amp;$C99</f>
        <v/>
      </c>
      <c r="B99" s="22" t="inlineStr">
        <is>
          <t>irn</t>
        </is>
      </c>
      <c r="C99" s="22" t="inlineStr">
        <is>
          <t>all</t>
        </is>
      </c>
      <c r="D99" s="14">
        <f>IF($B99="",""," | "&amp;$E99&amp;" | "&amp;$F99)</f>
        <v/>
      </c>
      <c r="E99" s="14">
        <f>IFERROR(INDEX(SecLab,MATCH($B99,SecKey,0)),"")</f>
        <v/>
      </c>
      <c r="F99" s="14">
        <f>IFERROR(INDEX(FuelLab,MATCH($C99,FuelKeyL,0)),"")</f>
        <v/>
      </c>
    </row>
    <row r="100">
      <c r="A100" s="14">
        <f>$B100&amp;"|"&amp;$C100</f>
        <v/>
      </c>
      <c r="B100" s="22" t="inlineStr">
        <is>
          <t>nfm</t>
        </is>
      </c>
      <c r="C100" s="22" t="inlineStr">
        <is>
          <t>all</t>
        </is>
      </c>
      <c r="D100" s="14">
        <f>IF($B100="",""," | "&amp;$E100&amp;" | "&amp;$F100)</f>
        <v/>
      </c>
      <c r="E100" s="14">
        <f>IFERROR(INDEX(SecLab,MATCH($B100,SecKey,0)),"")</f>
        <v/>
      </c>
      <c r="F100" s="14">
        <f>IFERROR(INDEX(FuelLab,MATCH($C100,FuelKeyL,0)),"")</f>
        <v/>
      </c>
    </row>
    <row r="101">
      <c r="A101" s="14">
        <f>$B101&amp;"|"&amp;$C101</f>
        <v/>
      </c>
      <c r="B101" s="22" t="inlineStr">
        <is>
          <t>mac</t>
        </is>
      </c>
      <c r="C101" s="22" t="inlineStr">
        <is>
          <t>all</t>
        </is>
      </c>
      <c r="D101" s="14">
        <f>IF($B101="",""," | "&amp;$E101&amp;" | "&amp;$F101)</f>
        <v/>
      </c>
      <c r="E101" s="14">
        <f>IFERROR(INDEX(SecLab,MATCH($B101,SecKey,0)),"")</f>
        <v/>
      </c>
      <c r="F101" s="14">
        <f>IFERROR(INDEX(FuelLab,MATCH($C101,FuelKeyL,0)),"")</f>
        <v/>
      </c>
    </row>
    <row r="102">
      <c r="A102" s="14">
        <f>$B102&amp;"|"&amp;$C102</f>
        <v/>
      </c>
      <c r="B102" s="22" t="inlineStr">
        <is>
          <t>cem</t>
        </is>
      </c>
      <c r="C102" s="22" t="inlineStr">
        <is>
          <t>all</t>
        </is>
      </c>
      <c r="D102" s="14">
        <f>IF($B102="",""," | "&amp;$E102&amp;" | "&amp;$F102)</f>
        <v/>
      </c>
      <c r="E102" s="14">
        <f>IFERROR(INDEX(SecLab,MATCH($B102,SecKey,0)),"")</f>
        <v/>
      </c>
      <c r="F102" s="14">
        <f>IFERROR(INDEX(FuelLab,MATCH($C102,FuelKeyL,0)),"")</f>
        <v/>
      </c>
    </row>
    <row r="103">
      <c r="A103" s="14">
        <f>$B103&amp;"|"&amp;$C103</f>
        <v/>
      </c>
      <c r="B103" s="22" t="inlineStr">
        <is>
          <t>omn</t>
        </is>
      </c>
      <c r="C103" s="22" t="inlineStr">
        <is>
          <t>all</t>
        </is>
      </c>
      <c r="D103" s="14">
        <f>IF($B103="",""," | "&amp;$E103&amp;" | "&amp;$F103)</f>
        <v/>
      </c>
      <c r="E103" s="14">
        <f>IFERROR(INDEX(SecLab,MATCH($B103,SecKey,0)),"")</f>
        <v/>
      </c>
      <c r="F103" s="14">
        <f>IFERROR(INDEX(FuelLab,MATCH($C103,FuelKeyL,0)),"")</f>
        <v/>
      </c>
    </row>
    <row r="104">
      <c r="A104" s="14">
        <f>$B104&amp;"|"&amp;$C104</f>
        <v/>
      </c>
      <c r="B104" s="22" t="inlineStr">
        <is>
          <t>cst</t>
        </is>
      </c>
      <c r="C104" s="22" t="inlineStr">
        <is>
          <t>all</t>
        </is>
      </c>
      <c r="D104" s="14">
        <f>IF($B104="",""," | "&amp;$E104&amp;" | "&amp;$F104)</f>
        <v/>
      </c>
      <c r="E104" s="14">
        <f>IFERROR(INDEX(SecLab,MATCH($B104,SecKey,0)),"")</f>
        <v/>
      </c>
      <c r="F104" s="14">
        <f>IFERROR(INDEX(FuelLab,MATCH($C104,FuelKeyL,0)),"")</f>
        <v/>
      </c>
    </row>
    <row r="105">
      <c r="A105" s="14">
        <f>$B105&amp;"|"&amp;$C105</f>
        <v/>
      </c>
      <c r="B105" s="22" t="inlineStr">
        <is>
          <t>ftr</t>
        </is>
      </c>
      <c r="C105" s="22" t="inlineStr">
        <is>
          <t>all</t>
        </is>
      </c>
      <c r="D105" s="14">
        <f>IF($B105="",""," | "&amp;$E105&amp;" | "&amp;$F105)</f>
        <v/>
      </c>
      <c r="E105" s="14">
        <f>IFERROR(INDEX(SecLab,MATCH($B105,SecKey,0)),"")</f>
        <v/>
      </c>
      <c r="F105" s="14">
        <f>IFERROR(INDEX(FuelLab,MATCH($C105,FuelKeyL,0)),"")</f>
        <v/>
      </c>
    </row>
    <row r="106">
      <c r="A106" s="14">
        <f>$B106&amp;"|"&amp;$C106</f>
        <v/>
      </c>
      <c r="B106" s="22" t="inlineStr">
        <is>
          <t>oen</t>
        </is>
      </c>
      <c r="C106" s="22" t="inlineStr">
        <is>
          <t>all</t>
        </is>
      </c>
      <c r="D106" s="14">
        <f>IF($B106="",""," | "&amp;$E106&amp;" | "&amp;$F106)</f>
        <v/>
      </c>
      <c r="E106" s="14">
        <f>IFERROR(INDEX(SecLab,MATCH($B106,SecKey,0)),"")</f>
        <v/>
      </c>
      <c r="F106" s="14">
        <f>IFERROR(INDEX(FuelLab,MATCH($C106,FuelKeyL,0)),"")</f>
        <v/>
      </c>
    </row>
    <row r="107">
      <c r="A107" s="14">
        <f>$B107&amp;"|"&amp;$C107</f>
        <v/>
      </c>
      <c r="B107" s="22" t="inlineStr">
        <is>
          <t>pow</t>
        </is>
      </c>
      <c r="C107" s="22" t="inlineStr">
        <is>
          <t>coa</t>
        </is>
      </c>
      <c r="D107" s="14">
        <f>IF($B107="",""," | "&amp;$E107&amp;" | "&amp;$F107)</f>
        <v/>
      </c>
      <c r="E107" s="14">
        <f>IFERROR(INDEX(SecLab,MATCH($B107,SecKey,0)),"")</f>
        <v/>
      </c>
      <c r="F107" s="14">
        <f>IFERROR(INDEX(FuelLab,MATCH($C107,FuelKeyL,0)),"")</f>
        <v/>
      </c>
    </row>
    <row r="108">
      <c r="A108" s="14">
        <f>$B108&amp;"|"&amp;$C108</f>
        <v/>
      </c>
      <c r="B108" s="22" t="inlineStr">
        <is>
          <t>res</t>
        </is>
      </c>
      <c r="C108" s="22" t="inlineStr">
        <is>
          <t>coa</t>
        </is>
      </c>
      <c r="D108" s="14">
        <f>IF($B108="",""," | "&amp;$E108&amp;" | "&amp;$F108)</f>
        <v/>
      </c>
      <c r="E108" s="14">
        <f>IFERROR(INDEX(SecLab,MATCH($B108,SecKey,0)),"")</f>
        <v/>
      </c>
      <c r="F108" s="14">
        <f>IFERROR(INDEX(FuelLab,MATCH($C108,FuelKeyL,0)),"")</f>
        <v/>
      </c>
    </row>
    <row r="109">
      <c r="A109" s="14">
        <f>$B109&amp;"|"&amp;$C109</f>
        <v/>
      </c>
      <c r="B109" s="22" t="inlineStr">
        <is>
          <t>ind</t>
        </is>
      </c>
      <c r="C109" s="22" t="inlineStr">
        <is>
          <t>coa</t>
        </is>
      </c>
      <c r="D109" s="14">
        <f>IF($B109="",""," | "&amp;$E109&amp;" | "&amp;$F109)</f>
        <v/>
      </c>
      <c r="E109" s="14">
        <f>IFERROR(INDEX(SecLab,MATCH($B109,SecKey,0)),"")</f>
        <v/>
      </c>
      <c r="F109" s="14">
        <f>IFERROR(INDEX(FuelLab,MATCH($C109,FuelKeyL,0)),"")</f>
        <v/>
      </c>
    </row>
    <row r="110">
      <c r="A110" s="14">
        <f>$B110&amp;"|"&amp;$C110</f>
        <v/>
      </c>
      <c r="B110" s="22" t="inlineStr">
        <is>
          <t>pow</t>
        </is>
      </c>
      <c r="C110" s="22" t="inlineStr">
        <is>
          <t>nga</t>
        </is>
      </c>
      <c r="D110" s="14">
        <f>IF($B110="",""," | "&amp;$E110&amp;" | "&amp;$F110)</f>
        <v/>
      </c>
      <c r="E110" s="14">
        <f>IFERROR(INDEX(SecLab,MATCH($B110,SecKey,0)),"")</f>
        <v/>
      </c>
      <c r="F110" s="14">
        <f>IFERROR(INDEX(FuelLab,MATCH($C110,FuelKeyL,0)),"")</f>
        <v/>
      </c>
    </row>
    <row r="111">
      <c r="A111" s="14">
        <f>$B111&amp;"|"&amp;$C111</f>
        <v/>
      </c>
      <c r="B111" s="22" t="inlineStr">
        <is>
          <t>res</t>
        </is>
      </c>
      <c r="C111" s="22" t="inlineStr">
        <is>
          <t>nga</t>
        </is>
      </c>
      <c r="D111" s="14">
        <f>IF($B111="",""," | "&amp;$E111&amp;" | "&amp;$F111)</f>
        <v/>
      </c>
      <c r="E111" s="14">
        <f>IFERROR(INDEX(SecLab,MATCH($B111,SecKey,0)),"")</f>
        <v/>
      </c>
      <c r="F111" s="14">
        <f>IFERROR(INDEX(FuelLab,MATCH($C111,FuelKeyL,0)),"")</f>
        <v/>
      </c>
    </row>
    <row r="112">
      <c r="A112" s="14">
        <f>$B112&amp;"|"&amp;$C112</f>
        <v/>
      </c>
      <c r="B112" s="22" t="inlineStr">
        <is>
          <t>ind</t>
        </is>
      </c>
      <c r="C112" s="22" t="inlineStr">
        <is>
          <t>nga</t>
        </is>
      </c>
      <c r="D112" s="14">
        <f>IF($B112="",""," | "&amp;$E112&amp;" | "&amp;$F112)</f>
        <v/>
      </c>
      <c r="E112" s="14">
        <f>IFERROR(INDEX(SecLab,MATCH($B112,SecKey,0)),"")</f>
        <v/>
      </c>
      <c r="F112" s="14">
        <f>IFERROR(INDEX(FuelLab,MATCH($C112,FuelKeyL,0)),"")</f>
        <v/>
      </c>
    </row>
    <row r="113">
      <c r="A113" s="14">
        <f>$B113&amp;"|"&amp;$C113</f>
        <v/>
      </c>
      <c r="B113" s="22" t="inlineStr">
        <is>
          <t>res</t>
        </is>
      </c>
      <c r="C113" s="22" t="inlineStr">
        <is>
          <t>ecy</t>
        </is>
      </c>
      <c r="D113" s="14">
        <f>IF($B113="",""," | "&amp;$E113&amp;" | "&amp;$F113)</f>
        <v/>
      </c>
      <c r="E113" s="14">
        <f>IFERROR(INDEX(SecLab,MATCH($B113,SecKey,0)),"")</f>
        <v/>
      </c>
      <c r="F113" s="14">
        <f>IFERROR(INDEX(FuelLab,MATCH($C113,FuelKeyL,0)),"")</f>
        <v/>
      </c>
    </row>
    <row r="114">
      <c r="A114" s="14">
        <f>$B114&amp;"|"&amp;$C114</f>
        <v/>
      </c>
      <c r="B114" s="22" t="inlineStr">
        <is>
          <t>ind</t>
        </is>
      </c>
      <c r="C114" s="22" t="inlineStr">
        <is>
          <t>ecy</t>
        </is>
      </c>
      <c r="D114" s="14">
        <f>IF($B114="",""," | "&amp;$E114&amp;" | "&amp;$F114)</f>
        <v/>
      </c>
      <c r="E114" s="14">
        <f>IFERROR(INDEX(SecLab,MATCH($B114,SecKey,0)),"")</f>
        <v/>
      </c>
      <c r="F114" s="14">
        <f>IFERROR(INDEX(FuelLab,MATCH($C114,FuelKeyL,0)),"")</f>
        <v/>
      </c>
    </row>
    <row r="115">
      <c r="A115" s="14">
        <f>$B115&amp;"|"&amp;$C115</f>
        <v/>
      </c>
      <c r="B115" s="22" t="inlineStr">
        <is>
          <t>tra</t>
        </is>
      </c>
      <c r="C115" s="22" t="inlineStr">
        <is>
          <t>all</t>
        </is>
      </c>
      <c r="D115" s="14">
        <f>IF($B115="",""," | "&amp;$E115&amp;" | "&amp;$F115)</f>
        <v/>
      </c>
      <c r="E115" s="14">
        <f>IFERROR(INDEX(SecLab,MATCH($B115,SecKey,0)),"")</f>
        <v/>
      </c>
      <c r="F115" s="14">
        <f>IFERROR(INDEX(FuelLab,MATCH($C115,FuelKeyL,0)),"")</f>
        <v/>
      </c>
    </row>
    <row r="116">
      <c r="A116" s="14">
        <f>$B116&amp;"|"&amp;$C116</f>
        <v/>
      </c>
      <c r="B116" s="22" t="inlineStr">
        <is>
          <t>ind</t>
        </is>
      </c>
      <c r="C116" s="22" t="inlineStr">
        <is>
          <t>all</t>
        </is>
      </c>
      <c r="D116" s="14">
        <f>IF($B116="",""," | "&amp;$E116&amp;" | "&amp;$F116)</f>
        <v/>
      </c>
      <c r="E116" s="14">
        <f>IFERROR(INDEX(SecLab,MATCH($B116,SecKey,0)),"")</f>
        <v/>
      </c>
      <c r="F116" s="14">
        <f>IFERROR(INDEX(FuelLab,MATCH($C116,FuelKeyL,0)),"")</f>
        <v/>
      </c>
    </row>
    <row r="117">
      <c r="A117" s="14">
        <f>$B117&amp;"|"&amp;$C117</f>
        <v/>
      </c>
      <c r="B117" s="22" t="inlineStr">
        <is>
          <t>int</t>
        </is>
      </c>
      <c r="C117" s="22" t="inlineStr">
        <is>
          <t>oil</t>
        </is>
      </c>
      <c r="D117" s="14">
        <f>IF($B117="",""," | "&amp;$E117&amp;" | "&amp;$F117)</f>
        <v/>
      </c>
      <c r="E117" s="14">
        <f>IFERROR(INDEX(SecLab,MATCH($B117,SecKey,0)),"")</f>
        <v/>
      </c>
      <c r="F117" s="14">
        <f>IFERROR(INDEX(FuelLab,MATCH($C117,FuelKeyL,0)),"")</f>
        <v/>
      </c>
    </row>
    <row r="118">
      <c r="A118" s="14">
        <f>$B118&amp;"|"&amp;$C118</f>
        <v/>
      </c>
      <c r="B118" s="22" t="inlineStr">
        <is>
          <t>int</t>
        </is>
      </c>
      <c r="C118" s="22" t="inlineStr">
        <is>
          <t>coa</t>
        </is>
      </c>
      <c r="D118" s="14">
        <f>IF($B118="",""," | "&amp;$E118&amp;" | "&amp;$F118)</f>
        <v/>
      </c>
      <c r="E118" s="14">
        <f>IFERROR(INDEX(SecLab,MATCH($B118,SecKey,0)),"")</f>
        <v/>
      </c>
      <c r="F118" s="14">
        <f>IFERROR(INDEX(FuelLab,MATCH($C118,FuelKeyL,0)),"")</f>
        <v/>
      </c>
    </row>
    <row r="119">
      <c r="A119" s="14">
        <f>$B119&amp;"|"&amp;$C119</f>
        <v/>
      </c>
      <c r="B119" s="22" t="inlineStr">
        <is>
          <t>int</t>
        </is>
      </c>
      <c r="C119" s="22" t="inlineStr">
        <is>
          <t>nga</t>
        </is>
      </c>
      <c r="D119" s="14">
        <f>IF($B119="",""," | "&amp;$E119&amp;" | "&amp;$F119)</f>
        <v/>
      </c>
      <c r="E119" s="14">
        <f>IFERROR(INDEX(SecLab,MATCH($B119,SecKey,0)),"")</f>
        <v/>
      </c>
      <c r="F119" s="14">
        <f>IFERROR(INDEX(FuelLab,MATCH($C119,FuelKeyL,0)),"")</f>
        <v/>
      </c>
    </row>
    <row r="120">
      <c r="A120" s="14">
        <f>$B120&amp;"|"&amp;$C120</f>
        <v/>
      </c>
      <c r="B120" s="22" t="inlineStr">
        <is>
          <t>int</t>
        </is>
      </c>
      <c r="C120" s="22" t="inlineStr">
        <is>
          <t>one</t>
        </is>
      </c>
      <c r="D120" s="14">
        <f>IF($B120="",""," | "&amp;$E120&amp;" | "&amp;$F120)</f>
        <v/>
      </c>
      <c r="E120" s="14">
        <f>IFERROR(INDEX(SecLab,MATCH($B120,SecKey,0)),"")</f>
        <v/>
      </c>
      <c r="F120" s="14">
        <f>IFERROR(INDEX(FuelLab,MATCH($C120,FuelKeyL,0)),"")</f>
        <v/>
      </c>
    </row>
    <row r="121">
      <c r="A121" s="14">
        <f>$B121&amp;"|"&amp;$C121</f>
        <v/>
      </c>
      <c r="B121" s="22" t="inlineStr">
        <is>
          <t>pow</t>
        </is>
      </c>
      <c r="C121" s="22" t="inlineStr">
        <is>
          <t>oop</t>
        </is>
      </c>
      <c r="D121" s="14">
        <f>IF($B121="",""," | "&amp;$E121&amp;" | "&amp;$F121)</f>
        <v/>
      </c>
      <c r="E121" s="14">
        <f>IFERROR(INDEX(SecLab,MATCH($B121,SecKey,0)),"")</f>
        <v/>
      </c>
      <c r="F121" s="14">
        <f>IFERROR(INDEX(FuelLab,MATCH($C121,FuelKeyL,0)),"")</f>
        <v/>
      </c>
    </row>
    <row r="122">
      <c r="A122" s="14">
        <f>$B122&amp;"|"&amp;$C122</f>
        <v/>
      </c>
      <c r="B122" s="22" t="inlineStr">
        <is>
          <t>pow</t>
        </is>
      </c>
      <c r="C122" s="22" t="inlineStr">
        <is>
          <t>nuc</t>
        </is>
      </c>
      <c r="D122" s="14">
        <f>IF($B122="",""," | "&amp;$E122&amp;" | "&amp;$F122)</f>
        <v/>
      </c>
      <c r="E122" s="14">
        <f>IFERROR(INDEX(SecLab,MATCH($B122,SecKey,0)),"")</f>
        <v/>
      </c>
      <c r="F122" s="14">
        <f>IFERROR(INDEX(FuelLab,MATCH($C122,FuelKeyL,0)),"")</f>
        <v/>
      </c>
    </row>
    <row r="123">
      <c r="A123" s="14">
        <f>$B123&amp;"|"&amp;$C123</f>
        <v/>
      </c>
      <c r="B123" s="22" t="inlineStr">
        <is>
          <t>pow</t>
        </is>
      </c>
      <c r="C123" s="22" t="inlineStr">
        <is>
          <t>wnd</t>
        </is>
      </c>
      <c r="D123" s="14">
        <f>IF($B123="",""," | "&amp;$E123&amp;" | "&amp;$F123)</f>
        <v/>
      </c>
      <c r="E123" s="14">
        <f>IFERROR(INDEX(SecLab,MATCH($B123,SecKey,0)),"")</f>
        <v/>
      </c>
      <c r="F123" s="14">
        <f>IFERROR(INDEX(FuelLab,MATCH($C123,FuelKeyL,0)),"")</f>
        <v/>
      </c>
    </row>
    <row r="124">
      <c r="A124" s="14">
        <f>$B124&amp;"|"&amp;$C124</f>
        <v/>
      </c>
      <c r="B124" s="22" t="inlineStr">
        <is>
          <t>pow</t>
        </is>
      </c>
      <c r="C124" s="22" t="inlineStr">
        <is>
          <t>sol</t>
        </is>
      </c>
      <c r="D124" s="14">
        <f>IF($B124="",""," | "&amp;$E124&amp;" | "&amp;$F124)</f>
        <v/>
      </c>
      <c r="E124" s="14">
        <f>IFERROR(INDEX(SecLab,MATCH($B124,SecKey,0)),"")</f>
        <v/>
      </c>
      <c r="F124" s="14">
        <f>IFERROR(INDEX(FuelLab,MATCH($C124,FuelKeyL,0)),"")</f>
        <v/>
      </c>
    </row>
    <row r="125">
      <c r="A125" s="14">
        <f>$B125&amp;"|"&amp;$C125</f>
        <v/>
      </c>
      <c r="B125" s="22" t="inlineStr">
        <is>
          <t>pow</t>
        </is>
      </c>
      <c r="C125" s="22" t="inlineStr">
        <is>
          <t>hyd</t>
        </is>
      </c>
      <c r="D125" s="14">
        <f>IF($B125="",""," | "&amp;$E125&amp;" | "&amp;$F125)</f>
        <v/>
      </c>
      <c r="E125" s="14">
        <f>IFERROR(INDEX(SecLab,MATCH($B125,SecKey,0)),"")</f>
        <v/>
      </c>
      <c r="F125" s="14">
        <f>IFERROR(INDEX(FuelLab,MATCH($C125,FuelKeyL,0)),"")</f>
        <v/>
      </c>
    </row>
    <row r="126">
      <c r="A126" s="14">
        <f>$B126&amp;"|"&amp;$C126</f>
        <v/>
      </c>
      <c r="B126" s="22" t="inlineStr">
        <is>
          <t>pow</t>
        </is>
      </c>
      <c r="C126" s="22" t="inlineStr">
        <is>
          <t>ore</t>
        </is>
      </c>
      <c r="D126" s="14">
        <f>IF($B126="",""," | "&amp;$E126&amp;" | "&amp;$F126)</f>
        <v/>
      </c>
      <c r="E126" s="14">
        <f>IFERROR(INDEX(SecLab,MATCH($B126,SecKey,0)),"")</f>
        <v/>
      </c>
      <c r="F126" s="14">
        <f>IFERROR(INDEX(FuelLab,MATCH($C126,FuelKeyL,0)),"")</f>
        <v/>
      </c>
    </row>
    <row r="127">
      <c r="A127" s="14">
        <f>$B127&amp;"|"&amp;$C127</f>
        <v/>
      </c>
      <c r="B127" s="22" t="inlineStr">
        <is>
          <t>pow</t>
        </is>
      </c>
      <c r="C127" s="22" t="inlineStr">
        <is>
          <t>bio</t>
        </is>
      </c>
      <c r="D127" s="14">
        <f>IF($B127="",""," | "&amp;$E127&amp;" | "&amp;$F127)</f>
        <v/>
      </c>
      <c r="E127" s="14">
        <f>IFERROR(INDEX(SecLab,MATCH($B127,SecKey,0)),"")</f>
        <v/>
      </c>
      <c r="F127" s="14">
        <f>IFERROR(INDEX(FuelLab,MATCH($C127,FuelKeyL,0)),"")</f>
        <v/>
      </c>
    </row>
    <row r="128">
      <c r="A128" s="14">
        <f>$B128&amp;"|"&amp;$C128</f>
        <v/>
      </c>
      <c r="B128" s="22" t="inlineStr">
        <is>
          <t>tra</t>
        </is>
      </c>
      <c r="C128" s="22" t="inlineStr">
        <is>
          <t>ecy</t>
        </is>
      </c>
      <c r="D128" s="14">
        <f>IF($B128="",""," | "&amp;$E128&amp;" | "&amp;$F128)</f>
        <v/>
      </c>
      <c r="E128" s="14">
        <f>IFERROR(INDEX(SecLab,MATCH($B128,SecKey,0)),"")</f>
        <v/>
      </c>
      <c r="F128" s="14">
        <f>IFERROR(INDEX(FuelLab,MATCH($C128,FuelKeyL,0)),"")</f>
        <v/>
      </c>
    </row>
    <row r="129">
      <c r="A129" s="14">
        <f>$B129&amp;"|"&amp;$C129</f>
        <v/>
      </c>
      <c r="B129" s="22" t="inlineStr">
        <is>
          <t>srv</t>
        </is>
      </c>
      <c r="C129" s="22" t="inlineStr">
        <is>
          <t>ecy</t>
        </is>
      </c>
      <c r="D129" s="14">
        <f>IF($B129="",""," | "&amp;$E129&amp;" | "&amp;$F129)</f>
        <v/>
      </c>
      <c r="E129" s="14">
        <f>IFERROR(INDEX(SecLab,MATCH($B129,SecKey,0)),"")</f>
        <v/>
      </c>
      <c r="F129" s="14">
        <f>IFERROR(INDEX(FuelLab,MATCH($C129,FuelKeyL,0)),"")</f>
        <v/>
      </c>
    </row>
    <row r="130">
      <c r="A130" s="14">
        <f>$B130&amp;"|"&amp;$C130</f>
        <v/>
      </c>
      <c r="B130" s="22" t="inlineStr">
        <is>
          <t>rod</t>
        </is>
      </c>
      <c r="C130" s="22" t="inlineStr">
        <is>
          <t>ecy</t>
        </is>
      </c>
      <c r="D130" s="14">
        <f>IF($B130="",""," | "&amp;$E130&amp;" | "&amp;$F130)</f>
        <v/>
      </c>
      <c r="E130" s="14">
        <f>IFERROR(INDEX(SecLab,MATCH($B130,SecKey,0)),"")</f>
        <v/>
      </c>
      <c r="F130" s="14">
        <f>IFERROR(INDEX(FuelLab,MATCH($C130,FuelKeyL,0)),"")</f>
        <v/>
      </c>
    </row>
    <row r="131">
      <c r="A131" s="14">
        <f>$B131&amp;"|"&amp;$C131</f>
        <v/>
      </c>
      <c r="B131" s="22" t="inlineStr">
        <is>
          <t>ral</t>
        </is>
      </c>
      <c r="C131" s="22" t="inlineStr">
        <is>
          <t>ecy</t>
        </is>
      </c>
      <c r="D131" s="14">
        <f>IF($B131="",""," | "&amp;$E131&amp;" | "&amp;$F131)</f>
        <v/>
      </c>
      <c r="E131" s="14">
        <f>IFERROR(INDEX(SecLab,MATCH($B131,SecKey,0)),"")</f>
        <v/>
      </c>
      <c r="F131" s="14">
        <f>IFERROR(INDEX(FuelLab,MATCH($C131,FuelKeyL,0)),"")</f>
        <v/>
      </c>
    </row>
    <row r="132">
      <c r="A132" s="14">
        <f>$B132&amp;"|"&amp;$C132</f>
        <v/>
      </c>
      <c r="B132" s="22" t="inlineStr">
        <is>
          <t>avi</t>
        </is>
      </c>
      <c r="C132" s="22" t="inlineStr">
        <is>
          <t>ecy</t>
        </is>
      </c>
      <c r="D132" s="14">
        <f>IF($B132="",""," | "&amp;$E132&amp;" | "&amp;$F132)</f>
        <v/>
      </c>
      <c r="E132" s="14">
        <f>IFERROR(INDEX(SecLab,MATCH($B132,SecKey,0)),"")</f>
        <v/>
      </c>
      <c r="F132" s="14">
        <f>IFERROR(INDEX(FuelLab,MATCH($C132,FuelKeyL,0)),"")</f>
        <v/>
      </c>
    </row>
    <row r="133">
      <c r="A133" s="14">
        <f>$B133&amp;"|"&amp;$C133</f>
        <v/>
      </c>
      <c r="B133" s="22" t="inlineStr">
        <is>
          <t>nav</t>
        </is>
      </c>
      <c r="C133" s="22" t="inlineStr">
        <is>
          <t>ecy</t>
        </is>
      </c>
      <c r="D133" s="14">
        <f>IF($B133="",""," | "&amp;$E133&amp;" | "&amp;$F133)</f>
        <v/>
      </c>
      <c r="E133" s="14">
        <f>IFERROR(INDEX(SecLab,MATCH($B133,SecKey,0)),"")</f>
        <v/>
      </c>
      <c r="F133" s="14">
        <f>IFERROR(INDEX(FuelLab,MATCH($C133,FuelKeyL,0)),"")</f>
        <v/>
      </c>
    </row>
    <row r="134">
      <c r="A134" s="14">
        <f>$B134&amp;"|"&amp;$C134</f>
        <v/>
      </c>
      <c r="B134" s="22" t="inlineStr">
        <is>
          <t>foo</t>
        </is>
      </c>
      <c r="C134" s="22" t="inlineStr">
        <is>
          <t>ecy</t>
        </is>
      </c>
      <c r="D134" s="14">
        <f>IF($B134="",""," | "&amp;$E134&amp;" | "&amp;$F134)</f>
        <v/>
      </c>
      <c r="E134" s="14">
        <f>IFERROR(INDEX(SecLab,MATCH($B134,SecKey,0)),"")</f>
        <v/>
      </c>
      <c r="F134" s="14">
        <f>IFERROR(INDEX(FuelLab,MATCH($C134,FuelKeyL,0)),"")</f>
        <v/>
      </c>
    </row>
    <row r="135">
      <c r="A135" s="14">
        <f>$B135&amp;"|"&amp;$C135</f>
        <v/>
      </c>
      <c r="B135" s="22" t="inlineStr">
        <is>
          <t>mch</t>
        </is>
      </c>
      <c r="C135" s="22" t="inlineStr">
        <is>
          <t>ecy</t>
        </is>
      </c>
      <c r="D135" s="14">
        <f>IF($B135="",""," | "&amp;$E135&amp;" | "&amp;$F135)</f>
        <v/>
      </c>
      <c r="E135" s="14">
        <f>IFERROR(INDEX(SecLab,MATCH($B135,SecKey,0)),"")</f>
        <v/>
      </c>
      <c r="F135" s="14">
        <f>IFERROR(INDEX(FuelLab,MATCH($C135,FuelKeyL,0)),"")</f>
        <v/>
      </c>
    </row>
    <row r="136">
      <c r="A136" s="14">
        <f>$B136&amp;"|"&amp;$C136</f>
        <v/>
      </c>
      <c r="B136" s="22" t="inlineStr">
        <is>
          <t>irn</t>
        </is>
      </c>
      <c r="C136" s="22" t="inlineStr">
        <is>
          <t>ecy</t>
        </is>
      </c>
      <c r="D136" s="14">
        <f>IF($B136="",""," | "&amp;$E136&amp;" | "&amp;$F136)</f>
        <v/>
      </c>
      <c r="E136" s="14">
        <f>IFERROR(INDEX(SecLab,MATCH($B136,SecKey,0)),"")</f>
        <v/>
      </c>
      <c r="F136" s="14">
        <f>IFERROR(INDEX(FuelLab,MATCH($C136,FuelKeyL,0)),"")</f>
        <v/>
      </c>
    </row>
    <row r="137">
      <c r="A137" s="14">
        <f>$B137&amp;"|"&amp;$C137</f>
        <v/>
      </c>
      <c r="B137" s="22" t="inlineStr">
        <is>
          <t>nfm</t>
        </is>
      </c>
      <c r="C137" s="22" t="inlineStr">
        <is>
          <t>ecy</t>
        </is>
      </c>
      <c r="D137" s="14">
        <f>IF($B137="",""," | "&amp;$E137&amp;" | "&amp;$F137)</f>
        <v/>
      </c>
      <c r="E137" s="14">
        <f>IFERROR(INDEX(SecLab,MATCH($B137,SecKey,0)),"")</f>
        <v/>
      </c>
      <c r="F137" s="14">
        <f>IFERROR(INDEX(FuelLab,MATCH($C137,FuelKeyL,0)),"")</f>
        <v/>
      </c>
    </row>
    <row r="138">
      <c r="A138" s="14">
        <f>$B138&amp;"|"&amp;$C138</f>
        <v/>
      </c>
      <c r="B138" s="22" t="inlineStr">
        <is>
          <t>mac</t>
        </is>
      </c>
      <c r="C138" s="22" t="inlineStr">
        <is>
          <t>ecy</t>
        </is>
      </c>
      <c r="D138" s="14">
        <f>IF($B138="",""," | "&amp;$E138&amp;" | "&amp;$F138)</f>
        <v/>
      </c>
      <c r="E138" s="14">
        <f>IFERROR(INDEX(SecLab,MATCH($B138,SecKey,0)),"")</f>
        <v/>
      </c>
      <c r="F138" s="14">
        <f>IFERROR(INDEX(FuelLab,MATCH($C138,FuelKeyL,0)),"")</f>
        <v/>
      </c>
    </row>
    <row r="139">
      <c r="A139" s="14">
        <f>$B139&amp;"|"&amp;$C139</f>
        <v/>
      </c>
      <c r="B139" s="22" t="inlineStr">
        <is>
          <t>cem</t>
        </is>
      </c>
      <c r="C139" s="22" t="inlineStr">
        <is>
          <t>ecy</t>
        </is>
      </c>
      <c r="D139" s="14">
        <f>IF($B139="",""," | "&amp;$E139&amp;" | "&amp;$F139)</f>
        <v/>
      </c>
      <c r="E139" s="14">
        <f>IFERROR(INDEX(SecLab,MATCH($B139,SecKey,0)),"")</f>
        <v/>
      </c>
      <c r="F139" s="14">
        <f>IFERROR(INDEX(FuelLab,MATCH($C139,FuelKeyL,0)),"")</f>
        <v/>
      </c>
    </row>
    <row r="140">
      <c r="A140" s="14">
        <f>$B140&amp;"|"&amp;$C140</f>
        <v/>
      </c>
      <c r="B140" s="22" t="inlineStr">
        <is>
          <t>omn</t>
        </is>
      </c>
      <c r="C140" s="22" t="inlineStr">
        <is>
          <t>ecy</t>
        </is>
      </c>
      <c r="D140" s="14">
        <f>IF($B140="",""," | "&amp;$E140&amp;" | "&amp;$F140)</f>
        <v/>
      </c>
      <c r="E140" s="14">
        <f>IFERROR(INDEX(SecLab,MATCH($B140,SecKey,0)),"")</f>
        <v/>
      </c>
      <c r="F140" s="14">
        <f>IFERROR(INDEX(FuelLab,MATCH($C140,FuelKeyL,0)),"")</f>
        <v/>
      </c>
    </row>
    <row r="141">
      <c r="A141" s="14">
        <f>$B141&amp;"|"&amp;$C141</f>
        <v/>
      </c>
      <c r="B141" s="22" t="inlineStr">
        <is>
          <t>cst</t>
        </is>
      </c>
      <c r="C141" s="22" t="inlineStr">
        <is>
          <t>ecy</t>
        </is>
      </c>
      <c r="D141" s="14">
        <f>IF($B141="",""," | "&amp;$E141&amp;" | "&amp;$F141)</f>
        <v/>
      </c>
      <c r="E141" s="14">
        <f>IFERROR(INDEX(SecLab,MATCH($B141,SecKey,0)),"")</f>
        <v/>
      </c>
      <c r="F141" s="14">
        <f>IFERROR(INDEX(FuelLab,MATCH($C141,FuelKeyL,0)),"")</f>
        <v/>
      </c>
    </row>
    <row r="142">
      <c r="A142" s="14">
        <f>$B142&amp;"|"&amp;$C142</f>
        <v/>
      </c>
      <c r="B142" s="22" t="inlineStr">
        <is>
          <t>oen</t>
        </is>
      </c>
      <c r="C142" s="22" t="inlineStr">
        <is>
          <t>ecy</t>
        </is>
      </c>
      <c r="D142" s="14">
        <f>IF($B142="",""," | "&amp;$E142&amp;" | "&amp;$F142)</f>
        <v/>
      </c>
      <c r="E142" s="14">
        <f>IFERROR(INDEX(SecLab,MATCH($B142,SecKey,0)),"")</f>
        <v/>
      </c>
      <c r="F142" s="14">
        <f>IFERROR(INDEX(FuelLab,MATCH($C142,FuelKeyL,0)),"")</f>
        <v/>
      </c>
    </row>
    <row r="143">
      <c r="A143" s="14">
        <f>$B143&amp;"|"&amp;$C143</f>
        <v/>
      </c>
      <c r="B143" s="22" t="inlineStr">
        <is>
          <t>rod</t>
        </is>
      </c>
      <c r="C143" s="22" t="inlineStr">
        <is>
          <t>coa</t>
        </is>
      </c>
      <c r="D143" s="14">
        <f>IF($B143="",""," | "&amp;$E143&amp;" | "&amp;$F143)</f>
        <v/>
      </c>
      <c r="E143" s="14">
        <f>IFERROR(INDEX(SecLab,MATCH($B143,SecKey,0)),"")</f>
        <v/>
      </c>
      <c r="F143" s="14">
        <f>IFERROR(INDEX(FuelLab,MATCH($C143,FuelKeyL,0)),"")</f>
        <v/>
      </c>
    </row>
    <row r="144">
      <c r="A144" s="14">
        <f>$B144&amp;"|"&amp;$C144</f>
        <v/>
      </c>
      <c r="B144" s="22" t="inlineStr">
        <is>
          <t>rod</t>
        </is>
      </c>
      <c r="C144" s="22" t="inlineStr">
        <is>
          <t>nga</t>
        </is>
      </c>
      <c r="D144" s="14">
        <f>IF($B144="",""," | "&amp;$E144&amp;" | "&amp;$F144)</f>
        <v/>
      </c>
      <c r="E144" s="14">
        <f>IFERROR(INDEX(SecLab,MATCH($B144,SecKey,0)),"")</f>
        <v/>
      </c>
      <c r="F144" s="14">
        <f>IFERROR(INDEX(FuelLab,MATCH($C144,FuelKeyL,0)),"")</f>
        <v/>
      </c>
    </row>
    <row r="145">
      <c r="A145" s="14">
        <f>$B145&amp;"|"&amp;$C145</f>
        <v/>
      </c>
      <c r="B145" s="22" t="inlineStr">
        <is>
          <t>rod</t>
        </is>
      </c>
      <c r="C145" s="22" t="inlineStr">
        <is>
          <t>gso</t>
        </is>
      </c>
      <c r="D145" s="14">
        <f>IF($B145="",""," | "&amp;$E145&amp;" | "&amp;$F145)</f>
        <v/>
      </c>
      <c r="E145" s="14">
        <f>IFERROR(INDEX(SecLab,MATCH($B145,SecKey,0)),"")</f>
        <v/>
      </c>
      <c r="F145" s="14">
        <f>IFERROR(INDEX(FuelLab,MATCH($C145,FuelKeyL,0)),"")</f>
        <v/>
      </c>
    </row>
    <row r="146">
      <c r="A146" s="14">
        <f>$B146&amp;"|"&amp;$C146</f>
        <v/>
      </c>
      <c r="B146" s="22" t="inlineStr">
        <is>
          <t>rod</t>
        </is>
      </c>
      <c r="C146" s="22" t="inlineStr">
        <is>
          <t>die</t>
        </is>
      </c>
      <c r="D146" s="14">
        <f>IF($B146="",""," | "&amp;$E146&amp;" | "&amp;$F146)</f>
        <v/>
      </c>
      <c r="E146" s="14">
        <f>IFERROR(INDEX(SecLab,MATCH($B146,SecKey,0)),"")</f>
        <v/>
      </c>
      <c r="F146" s="14">
        <f>IFERROR(INDEX(FuelLab,MATCH($C146,FuelKeyL,0)),"")</f>
        <v/>
      </c>
    </row>
    <row r="147">
      <c r="A147" s="14">
        <f>$B147&amp;"|"&amp;$C147</f>
        <v/>
      </c>
      <c r="B147" s="22" t="inlineStr">
        <is>
          <t>rod</t>
        </is>
      </c>
      <c r="C147" s="22" t="inlineStr">
        <is>
          <t>lpg</t>
        </is>
      </c>
      <c r="D147" s="14">
        <f>IF($B147="",""," | "&amp;$E147&amp;" | "&amp;$F147)</f>
        <v/>
      </c>
      <c r="E147" s="14">
        <f>IFERROR(INDEX(SecLab,MATCH($B147,SecKey,0)),"")</f>
        <v/>
      </c>
      <c r="F147" s="14">
        <f>IFERROR(INDEX(FuelLab,MATCH($C147,FuelKeyL,0)),"")</f>
        <v/>
      </c>
    </row>
    <row r="148">
      <c r="A148" s="14">
        <f>$B148&amp;"|"&amp;$C148</f>
        <v/>
      </c>
      <c r="B148" s="22" t="inlineStr">
        <is>
          <t>rod</t>
        </is>
      </c>
      <c r="C148" s="22" t="inlineStr">
        <is>
          <t>ker</t>
        </is>
      </c>
      <c r="D148" s="14">
        <f>IF($B148="",""," | "&amp;$E148&amp;" | "&amp;$F148)</f>
        <v/>
      </c>
      <c r="E148" s="14">
        <f>IFERROR(INDEX(SecLab,MATCH($B148,SecKey,0)),"")</f>
        <v/>
      </c>
      <c r="F148" s="14">
        <f>IFERROR(INDEX(FuelLab,MATCH($C148,FuelKeyL,0)),"")</f>
        <v/>
      </c>
    </row>
    <row r="149">
      <c r="A149" s="14">
        <f>$B149&amp;"|"&amp;$C149</f>
        <v/>
      </c>
      <c r="B149" s="22" t="inlineStr">
        <is>
          <t>rod</t>
        </is>
      </c>
      <c r="C149" s="22" t="inlineStr">
        <is>
          <t>oop</t>
        </is>
      </c>
      <c r="D149" s="14">
        <f>IF($B149="",""," | "&amp;$E149&amp;" | "&amp;$F149)</f>
        <v/>
      </c>
      <c r="E149" s="14">
        <f>IFERROR(INDEX(SecLab,MATCH($B149,SecKey,0)),"")</f>
        <v/>
      </c>
      <c r="F149" s="14">
        <f>IFERROR(INDEX(FuelLab,MATCH($C149,FuelKeyL,0)),"")</f>
        <v/>
      </c>
    </row>
    <row r="150">
      <c r="A150" s="14">
        <f>$B150&amp;"|"&amp;$C150</f>
        <v/>
      </c>
      <c r="B150" s="22" t="inlineStr">
        <is>
          <t>rod</t>
        </is>
      </c>
      <c r="C150" s="22" t="inlineStr">
        <is>
          <t>bio</t>
        </is>
      </c>
      <c r="D150" s="14">
        <f>IF($B150="",""," | "&amp;$E150&amp;" | "&amp;$F150)</f>
        <v/>
      </c>
      <c r="E150" s="14">
        <f>IFERROR(INDEX(SecLab,MATCH($B150,SecKey,0)),"")</f>
        <v/>
      </c>
      <c r="F150" s="14">
        <f>IFERROR(INDEX(FuelLab,MATCH($C150,FuelKeyL,0)),"")</f>
        <v/>
      </c>
    </row>
    <row r="151">
      <c r="A151" s="14">
        <f>$B151&amp;"|"&amp;$C151</f>
        <v/>
      </c>
      <c r="B151" s="22" t="inlineStr">
        <is>
          <t>ral</t>
        </is>
      </c>
      <c r="C151" s="22" t="inlineStr">
        <is>
          <t>coa</t>
        </is>
      </c>
      <c r="D151" s="14">
        <f>IF($B151="",""," | "&amp;$E151&amp;" | "&amp;$F151)</f>
        <v/>
      </c>
      <c r="E151" s="14">
        <f>IFERROR(INDEX(SecLab,MATCH($B151,SecKey,0)),"")</f>
        <v/>
      </c>
      <c r="F151" s="14">
        <f>IFERROR(INDEX(FuelLab,MATCH($C151,FuelKeyL,0)),"")</f>
        <v/>
      </c>
    </row>
    <row r="152">
      <c r="A152" s="14">
        <f>$B152&amp;"|"&amp;$C152</f>
        <v/>
      </c>
      <c r="B152" s="22" t="inlineStr">
        <is>
          <t>ral</t>
        </is>
      </c>
      <c r="C152" s="22" t="inlineStr">
        <is>
          <t>nga</t>
        </is>
      </c>
      <c r="D152" s="14">
        <f>IF($B152="",""," | "&amp;$E152&amp;" | "&amp;$F152)</f>
        <v/>
      </c>
      <c r="E152" s="14">
        <f>IFERROR(INDEX(SecLab,MATCH($B152,SecKey,0)),"")</f>
        <v/>
      </c>
      <c r="F152" s="14">
        <f>IFERROR(INDEX(FuelLab,MATCH($C152,FuelKeyL,0)),"")</f>
        <v/>
      </c>
    </row>
    <row r="153">
      <c r="A153" s="14">
        <f>$B153&amp;"|"&amp;$C153</f>
        <v/>
      </c>
      <c r="B153" s="22" t="inlineStr">
        <is>
          <t>ral</t>
        </is>
      </c>
      <c r="C153" s="22" t="inlineStr">
        <is>
          <t>gso</t>
        </is>
      </c>
      <c r="D153" s="14">
        <f>IF($B153="",""," | "&amp;$E153&amp;" | "&amp;$F153)</f>
        <v/>
      </c>
      <c r="E153" s="14">
        <f>IFERROR(INDEX(SecLab,MATCH($B153,SecKey,0)),"")</f>
        <v/>
      </c>
      <c r="F153" s="14">
        <f>IFERROR(INDEX(FuelLab,MATCH($C153,FuelKeyL,0)),"")</f>
        <v/>
      </c>
    </row>
    <row r="154">
      <c r="A154" s="14">
        <f>$B154&amp;"|"&amp;$C154</f>
        <v/>
      </c>
      <c r="B154" s="22" t="inlineStr">
        <is>
          <t>ral</t>
        </is>
      </c>
      <c r="C154" s="22" t="inlineStr">
        <is>
          <t>die</t>
        </is>
      </c>
      <c r="D154" s="14">
        <f>IF($B154="",""," | "&amp;$E154&amp;" | "&amp;$F154)</f>
        <v/>
      </c>
      <c r="E154" s="14">
        <f>IFERROR(INDEX(SecLab,MATCH($B154,SecKey,0)),"")</f>
        <v/>
      </c>
      <c r="F154" s="14">
        <f>IFERROR(INDEX(FuelLab,MATCH($C154,FuelKeyL,0)),"")</f>
        <v/>
      </c>
    </row>
    <row r="155">
      <c r="A155" s="14">
        <f>$B155&amp;"|"&amp;$C155</f>
        <v/>
      </c>
      <c r="B155" s="22" t="inlineStr">
        <is>
          <t>ral</t>
        </is>
      </c>
      <c r="C155" s="22" t="inlineStr">
        <is>
          <t>lpg</t>
        </is>
      </c>
      <c r="D155" s="14">
        <f>IF($B155="",""," | "&amp;$E155&amp;" | "&amp;$F155)</f>
        <v/>
      </c>
      <c r="E155" s="14">
        <f>IFERROR(INDEX(SecLab,MATCH($B155,SecKey,0)),"")</f>
        <v/>
      </c>
      <c r="F155" s="14">
        <f>IFERROR(INDEX(FuelLab,MATCH($C155,FuelKeyL,0)),"")</f>
        <v/>
      </c>
    </row>
    <row r="156">
      <c r="A156" s="14">
        <f>$B156&amp;"|"&amp;$C156</f>
        <v/>
      </c>
      <c r="B156" s="22" t="inlineStr">
        <is>
          <t>ral</t>
        </is>
      </c>
      <c r="C156" s="22" t="inlineStr">
        <is>
          <t>ker</t>
        </is>
      </c>
      <c r="D156" s="14">
        <f>IF($B156="",""," | "&amp;$E156&amp;" | "&amp;$F156)</f>
        <v/>
      </c>
      <c r="E156" s="14">
        <f>IFERROR(INDEX(SecLab,MATCH($B156,SecKey,0)),"")</f>
        <v/>
      </c>
      <c r="F156" s="14">
        <f>IFERROR(INDEX(FuelLab,MATCH($C156,FuelKeyL,0)),"")</f>
        <v/>
      </c>
    </row>
    <row r="157">
      <c r="A157" s="14">
        <f>$B157&amp;"|"&amp;$C157</f>
        <v/>
      </c>
      <c r="B157" s="22" t="inlineStr">
        <is>
          <t>ral</t>
        </is>
      </c>
      <c r="C157" s="22" t="inlineStr">
        <is>
          <t>oop</t>
        </is>
      </c>
      <c r="D157" s="14">
        <f>IF($B157="",""," | "&amp;$E157&amp;" | "&amp;$F157)</f>
        <v/>
      </c>
      <c r="E157" s="14">
        <f>IFERROR(INDEX(SecLab,MATCH($B157,SecKey,0)),"")</f>
        <v/>
      </c>
      <c r="F157" s="14">
        <f>IFERROR(INDEX(FuelLab,MATCH($C157,FuelKeyL,0)),"")</f>
        <v/>
      </c>
    </row>
    <row r="158">
      <c r="A158" s="14">
        <f>$B158&amp;"|"&amp;$C158</f>
        <v/>
      </c>
      <c r="B158" s="22" t="inlineStr">
        <is>
          <t>ral</t>
        </is>
      </c>
      <c r="C158" s="22" t="inlineStr">
        <is>
          <t>bio</t>
        </is>
      </c>
      <c r="D158" s="14">
        <f>IF($B158="",""," | "&amp;$E158&amp;" | "&amp;$F158)</f>
        <v/>
      </c>
      <c r="E158" s="14">
        <f>IFERROR(INDEX(SecLab,MATCH($B158,SecKey,0)),"")</f>
        <v/>
      </c>
      <c r="F158" s="14">
        <f>IFERROR(INDEX(FuelLab,MATCH($C158,FuelKeyL,0)),"")</f>
        <v/>
      </c>
    </row>
    <row r="159">
      <c r="A159" s="14">
        <f>$B159&amp;"|"&amp;$C159</f>
        <v/>
      </c>
      <c r="B159" s="22" t="inlineStr">
        <is>
          <t>avi</t>
        </is>
      </c>
      <c r="C159" s="22" t="inlineStr">
        <is>
          <t>coa</t>
        </is>
      </c>
      <c r="D159" s="14">
        <f>IF($B159="",""," | "&amp;$E159&amp;" | "&amp;$F159)</f>
        <v/>
      </c>
      <c r="E159" s="14">
        <f>IFERROR(INDEX(SecLab,MATCH($B159,SecKey,0)),"")</f>
        <v/>
      </c>
      <c r="F159" s="14">
        <f>IFERROR(INDEX(FuelLab,MATCH($C159,FuelKeyL,0)),"")</f>
        <v/>
      </c>
    </row>
    <row r="160">
      <c r="A160" s="14">
        <f>$B160&amp;"|"&amp;$C160</f>
        <v/>
      </c>
      <c r="B160" s="22" t="inlineStr">
        <is>
          <t>avi</t>
        </is>
      </c>
      <c r="C160" s="22" t="inlineStr">
        <is>
          <t>nga</t>
        </is>
      </c>
      <c r="D160" s="14">
        <f>IF($B160="",""," | "&amp;$E160&amp;" | "&amp;$F160)</f>
        <v/>
      </c>
      <c r="E160" s="14">
        <f>IFERROR(INDEX(SecLab,MATCH($B160,SecKey,0)),"")</f>
        <v/>
      </c>
      <c r="F160" s="14">
        <f>IFERROR(INDEX(FuelLab,MATCH($C160,FuelKeyL,0)),"")</f>
        <v/>
      </c>
    </row>
    <row r="161">
      <c r="A161" s="14">
        <f>$B161&amp;"|"&amp;$C161</f>
        <v/>
      </c>
      <c r="B161" s="22" t="inlineStr">
        <is>
          <t>avi</t>
        </is>
      </c>
      <c r="C161" s="22" t="inlineStr">
        <is>
          <t>gso</t>
        </is>
      </c>
      <c r="D161" s="14">
        <f>IF($B161="",""," | "&amp;$E161&amp;" | "&amp;$F161)</f>
        <v/>
      </c>
      <c r="E161" s="14">
        <f>IFERROR(INDEX(SecLab,MATCH($B161,SecKey,0)),"")</f>
        <v/>
      </c>
      <c r="F161" s="14">
        <f>IFERROR(INDEX(FuelLab,MATCH($C161,FuelKeyL,0)),"")</f>
        <v/>
      </c>
    </row>
    <row r="162">
      <c r="A162" s="14">
        <f>$B162&amp;"|"&amp;$C162</f>
        <v/>
      </c>
      <c r="B162" s="22" t="inlineStr">
        <is>
          <t>avi</t>
        </is>
      </c>
      <c r="C162" s="22" t="inlineStr">
        <is>
          <t>die</t>
        </is>
      </c>
      <c r="D162" s="14">
        <f>IF($B162="",""," | "&amp;$E162&amp;" | "&amp;$F162)</f>
        <v/>
      </c>
      <c r="E162" s="14">
        <f>IFERROR(INDEX(SecLab,MATCH($B162,SecKey,0)),"")</f>
        <v/>
      </c>
      <c r="F162" s="14">
        <f>IFERROR(INDEX(FuelLab,MATCH($C162,FuelKeyL,0)),"")</f>
        <v/>
      </c>
    </row>
    <row r="163">
      <c r="A163" s="14">
        <f>$B163&amp;"|"&amp;$C163</f>
        <v/>
      </c>
      <c r="B163" s="22" t="inlineStr">
        <is>
          <t>avi</t>
        </is>
      </c>
      <c r="C163" s="22" t="inlineStr">
        <is>
          <t>lpg</t>
        </is>
      </c>
      <c r="D163" s="14">
        <f>IF($B163="",""," | "&amp;$E163&amp;" | "&amp;$F163)</f>
        <v/>
      </c>
      <c r="E163" s="14">
        <f>IFERROR(INDEX(SecLab,MATCH($B163,SecKey,0)),"")</f>
        <v/>
      </c>
      <c r="F163" s="14">
        <f>IFERROR(INDEX(FuelLab,MATCH($C163,FuelKeyL,0)),"")</f>
        <v/>
      </c>
    </row>
    <row r="164">
      <c r="A164" s="14">
        <f>$B164&amp;"|"&amp;$C164</f>
        <v/>
      </c>
      <c r="B164" s="22" t="inlineStr">
        <is>
          <t>avi</t>
        </is>
      </c>
      <c r="C164" s="22" t="inlineStr">
        <is>
          <t>ker</t>
        </is>
      </c>
      <c r="D164" s="14">
        <f>IF($B164="",""," | "&amp;$E164&amp;" | "&amp;$F164)</f>
        <v/>
      </c>
      <c r="E164" s="14">
        <f>IFERROR(INDEX(SecLab,MATCH($B164,SecKey,0)),"")</f>
        <v/>
      </c>
      <c r="F164" s="14">
        <f>IFERROR(INDEX(FuelLab,MATCH($C164,FuelKeyL,0)),"")</f>
        <v/>
      </c>
    </row>
    <row r="165">
      <c r="A165" s="14">
        <f>$B165&amp;"|"&amp;$C165</f>
        <v/>
      </c>
      <c r="B165" s="22" t="inlineStr">
        <is>
          <t>avi</t>
        </is>
      </c>
      <c r="C165" s="22" t="inlineStr">
        <is>
          <t>oop</t>
        </is>
      </c>
      <c r="D165" s="14">
        <f>IF($B165="",""," | "&amp;$E165&amp;" | "&amp;$F165)</f>
        <v/>
      </c>
      <c r="E165" s="14">
        <f>IFERROR(INDEX(SecLab,MATCH($B165,SecKey,0)),"")</f>
        <v/>
      </c>
      <c r="F165" s="14">
        <f>IFERROR(INDEX(FuelLab,MATCH($C165,FuelKeyL,0)),"")</f>
        <v/>
      </c>
    </row>
    <row r="166">
      <c r="A166" s="14">
        <f>$B166&amp;"|"&amp;$C166</f>
        <v/>
      </c>
      <c r="B166" s="22" t="inlineStr">
        <is>
          <t>avi</t>
        </is>
      </c>
      <c r="C166" s="22" t="inlineStr">
        <is>
          <t>bio</t>
        </is>
      </c>
      <c r="D166" s="14">
        <f>IF($B166="",""," | "&amp;$E166&amp;" | "&amp;$F166)</f>
        <v/>
      </c>
      <c r="E166" s="14">
        <f>IFERROR(INDEX(SecLab,MATCH($B166,SecKey,0)),"")</f>
        <v/>
      </c>
      <c r="F166" s="14">
        <f>IFERROR(INDEX(FuelLab,MATCH($C166,FuelKeyL,0)),"")</f>
        <v/>
      </c>
    </row>
    <row r="167">
      <c r="A167" s="14">
        <f>$B167&amp;"|"&amp;$C167</f>
        <v/>
      </c>
      <c r="B167" s="22" t="inlineStr">
        <is>
          <t>nav</t>
        </is>
      </c>
      <c r="C167" s="22" t="inlineStr">
        <is>
          <t>coa</t>
        </is>
      </c>
      <c r="D167" s="14">
        <f>IF($B167="",""," | "&amp;$E167&amp;" | "&amp;$F167)</f>
        <v/>
      </c>
      <c r="E167" s="14">
        <f>IFERROR(INDEX(SecLab,MATCH($B167,SecKey,0)),"")</f>
        <v/>
      </c>
      <c r="F167" s="14">
        <f>IFERROR(INDEX(FuelLab,MATCH($C167,FuelKeyL,0)),"")</f>
        <v/>
      </c>
    </row>
    <row r="168">
      <c r="A168" s="14">
        <f>$B168&amp;"|"&amp;$C168</f>
        <v/>
      </c>
      <c r="B168" s="22" t="inlineStr">
        <is>
          <t>nav</t>
        </is>
      </c>
      <c r="C168" s="22" t="inlineStr">
        <is>
          <t>nga</t>
        </is>
      </c>
      <c r="D168" s="14">
        <f>IF($B168="",""," | "&amp;$E168&amp;" | "&amp;$F168)</f>
        <v/>
      </c>
      <c r="E168" s="14">
        <f>IFERROR(INDEX(SecLab,MATCH($B168,SecKey,0)),"")</f>
        <v/>
      </c>
      <c r="F168" s="14">
        <f>IFERROR(INDEX(FuelLab,MATCH($C168,FuelKeyL,0)),"")</f>
        <v/>
      </c>
    </row>
    <row r="169">
      <c r="A169" s="14">
        <f>$B169&amp;"|"&amp;$C169</f>
        <v/>
      </c>
      <c r="B169" s="22" t="inlineStr">
        <is>
          <t>nav</t>
        </is>
      </c>
      <c r="C169" s="22" t="inlineStr">
        <is>
          <t>gso</t>
        </is>
      </c>
      <c r="D169" s="14">
        <f>IF($B169="",""," | "&amp;$E169&amp;" | "&amp;$F169)</f>
        <v/>
      </c>
      <c r="E169" s="14">
        <f>IFERROR(INDEX(SecLab,MATCH($B169,SecKey,0)),"")</f>
        <v/>
      </c>
      <c r="F169" s="14">
        <f>IFERROR(INDEX(FuelLab,MATCH($C169,FuelKeyL,0)),"")</f>
        <v/>
      </c>
    </row>
    <row r="170">
      <c r="A170" s="14">
        <f>$B170&amp;"|"&amp;$C170</f>
        <v/>
      </c>
      <c r="B170" s="22" t="inlineStr">
        <is>
          <t>nav</t>
        </is>
      </c>
      <c r="C170" s="22" t="inlineStr">
        <is>
          <t>die</t>
        </is>
      </c>
      <c r="D170" s="14">
        <f>IF($B170="",""," | "&amp;$E170&amp;" | "&amp;$F170)</f>
        <v/>
      </c>
      <c r="E170" s="14">
        <f>IFERROR(INDEX(SecLab,MATCH($B170,SecKey,0)),"")</f>
        <v/>
      </c>
      <c r="F170" s="14">
        <f>IFERROR(INDEX(FuelLab,MATCH($C170,FuelKeyL,0)),"")</f>
        <v/>
      </c>
    </row>
    <row r="171">
      <c r="A171" s="14">
        <f>$B171&amp;"|"&amp;$C171</f>
        <v/>
      </c>
      <c r="B171" s="22" t="inlineStr">
        <is>
          <t>nav</t>
        </is>
      </c>
      <c r="C171" s="22" t="inlineStr">
        <is>
          <t>lpg</t>
        </is>
      </c>
      <c r="D171" s="14">
        <f>IF($B171="",""," | "&amp;$E171&amp;" | "&amp;$F171)</f>
        <v/>
      </c>
      <c r="E171" s="14">
        <f>IFERROR(INDEX(SecLab,MATCH($B171,SecKey,0)),"")</f>
        <v/>
      </c>
      <c r="F171" s="14">
        <f>IFERROR(INDEX(FuelLab,MATCH($C171,FuelKeyL,0)),"")</f>
        <v/>
      </c>
    </row>
    <row r="172">
      <c r="A172" s="14">
        <f>$B172&amp;"|"&amp;$C172</f>
        <v/>
      </c>
      <c r="B172" s="22" t="inlineStr">
        <is>
          <t>nav</t>
        </is>
      </c>
      <c r="C172" s="22" t="inlineStr">
        <is>
          <t>ker</t>
        </is>
      </c>
      <c r="D172" s="14">
        <f>IF($B172="",""," | "&amp;$E172&amp;" | "&amp;$F172)</f>
        <v/>
      </c>
      <c r="E172" s="14">
        <f>IFERROR(INDEX(SecLab,MATCH($B172,SecKey,0)),"")</f>
        <v/>
      </c>
      <c r="F172" s="14">
        <f>IFERROR(INDEX(FuelLab,MATCH($C172,FuelKeyL,0)),"")</f>
        <v/>
      </c>
    </row>
    <row r="173">
      <c r="A173" s="14">
        <f>$B173&amp;"|"&amp;$C173</f>
        <v/>
      </c>
      <c r="B173" s="22" t="inlineStr">
        <is>
          <t>nav</t>
        </is>
      </c>
      <c r="C173" s="22" t="inlineStr">
        <is>
          <t>oop</t>
        </is>
      </c>
      <c r="D173" s="14">
        <f>IF($B173="",""," | "&amp;$E173&amp;" | "&amp;$F173)</f>
        <v/>
      </c>
      <c r="E173" s="14">
        <f>IFERROR(INDEX(SecLab,MATCH($B173,SecKey,0)),"")</f>
        <v/>
      </c>
      <c r="F173" s="14">
        <f>IFERROR(INDEX(FuelLab,MATCH($C173,FuelKeyL,0)),"")</f>
        <v/>
      </c>
    </row>
    <row r="174">
      <c r="A174" s="14">
        <f>$B174&amp;"|"&amp;$C174</f>
        <v/>
      </c>
      <c r="B174" s="22" t="inlineStr">
        <is>
          <t>nav</t>
        </is>
      </c>
      <c r="C174" s="22" t="inlineStr">
        <is>
          <t>bio</t>
        </is>
      </c>
      <c r="D174" s="14">
        <f>IF($B174="",""," | "&amp;$E174&amp;" | "&amp;$F174)</f>
        <v/>
      </c>
      <c r="E174" s="14">
        <f>IFERROR(INDEX(SecLab,MATCH($B174,SecKey,0)),"")</f>
        <v/>
      </c>
      <c r="F174" s="14">
        <f>IFERROR(INDEX(FuelLab,MATCH($C174,FuelKeyL,0)),"")</f>
        <v/>
      </c>
    </row>
    <row r="175">
      <c r="A175" s="14">
        <f>$B175&amp;"|"&amp;$C175</f>
        <v/>
      </c>
      <c r="B175" s="22" t="inlineStr">
        <is>
          <t>bld</t>
        </is>
      </c>
      <c r="C175" s="22" t="inlineStr">
        <is>
          <t>all</t>
        </is>
      </c>
      <c r="D175" s="14">
        <f>IF($B175="",""," | "&amp;$E175&amp;" | "&amp;$F175)</f>
        <v/>
      </c>
      <c r="E175" s="14">
        <f>IFERROR(INDEX(SecLab,MATCH($B175,SecKey,0)),"")</f>
        <v/>
      </c>
      <c r="F175" s="14">
        <f>IFERROR(INDEX(FuelLab,MATCH($C175,FuelKeyL,0)),"")</f>
        <v/>
      </c>
    </row>
    <row r="176">
      <c r="A176" s="14">
        <f>$B176&amp;"|"&amp;$C176</f>
        <v/>
      </c>
      <c r="B176" s="22" t="inlineStr">
        <is>
          <t>res</t>
        </is>
      </c>
      <c r="C176" s="22" t="inlineStr">
        <is>
          <t>gso</t>
        </is>
      </c>
      <c r="D176" s="14">
        <f>IF($B176="",""," | "&amp;$E176&amp;" | "&amp;$F176)</f>
        <v/>
      </c>
      <c r="E176" s="14">
        <f>IFERROR(INDEX(SecLab,MATCH($B176,SecKey,0)),"")</f>
        <v/>
      </c>
      <c r="F176" s="14">
        <f>IFERROR(INDEX(FuelLab,MATCH($C176,FuelKeyL,0)),"")</f>
        <v/>
      </c>
    </row>
    <row r="177">
      <c r="A177" s="14">
        <f>$B177&amp;"|"&amp;$C177</f>
        <v/>
      </c>
      <c r="B177" s="22" t="inlineStr">
        <is>
          <t>res</t>
        </is>
      </c>
      <c r="C177" s="22" t="inlineStr">
        <is>
          <t>die</t>
        </is>
      </c>
      <c r="D177" s="14">
        <f>IF($B177="",""," | "&amp;$E177&amp;" | "&amp;$F177)</f>
        <v/>
      </c>
      <c r="E177" s="14">
        <f>IFERROR(INDEX(SecLab,MATCH($B177,SecKey,0)),"")</f>
        <v/>
      </c>
      <c r="F177" s="14">
        <f>IFERROR(INDEX(FuelLab,MATCH($C177,FuelKeyL,0)),"")</f>
        <v/>
      </c>
    </row>
    <row r="178">
      <c r="A178" s="14">
        <f>$B178&amp;"|"&amp;$C178</f>
        <v/>
      </c>
      <c r="B178" s="22" t="inlineStr">
        <is>
          <t>res</t>
        </is>
      </c>
      <c r="C178" s="22" t="inlineStr">
        <is>
          <t>lpg</t>
        </is>
      </c>
      <c r="D178" s="14">
        <f>IF($B178="",""," | "&amp;$E178&amp;" | "&amp;$F178)</f>
        <v/>
      </c>
      <c r="E178" s="14">
        <f>IFERROR(INDEX(SecLab,MATCH($B178,SecKey,0)),"")</f>
        <v/>
      </c>
      <c r="F178" s="14">
        <f>IFERROR(INDEX(FuelLab,MATCH($C178,FuelKeyL,0)),"")</f>
        <v/>
      </c>
    </row>
    <row r="179">
      <c r="A179" s="14">
        <f>$B179&amp;"|"&amp;$C179</f>
        <v/>
      </c>
      <c r="B179" s="22" t="inlineStr">
        <is>
          <t>res</t>
        </is>
      </c>
      <c r="C179" s="22" t="inlineStr">
        <is>
          <t>ker</t>
        </is>
      </c>
      <c r="D179" s="14">
        <f>IF($B179="",""," | "&amp;$E179&amp;" | "&amp;$F179)</f>
        <v/>
      </c>
      <c r="E179" s="14">
        <f>IFERROR(INDEX(SecLab,MATCH($B179,SecKey,0)),"")</f>
        <v/>
      </c>
      <c r="F179" s="14">
        <f>IFERROR(INDEX(FuelLab,MATCH($C179,FuelKeyL,0)),"")</f>
        <v/>
      </c>
    </row>
    <row r="180">
      <c r="A180" s="14">
        <f>$B180&amp;"|"&amp;$C180</f>
        <v/>
      </c>
      <c r="B180" s="22" t="inlineStr">
        <is>
          <t>res</t>
        </is>
      </c>
      <c r="C180" s="22" t="inlineStr">
        <is>
          <t>oop</t>
        </is>
      </c>
      <c r="D180" s="14">
        <f>IF($B180="",""," | "&amp;$E180&amp;" | "&amp;$F180)</f>
        <v/>
      </c>
      <c r="E180" s="14">
        <f>IFERROR(INDEX(SecLab,MATCH($B180,SecKey,0)),"")</f>
        <v/>
      </c>
      <c r="F180" s="14">
        <f>IFERROR(INDEX(FuelLab,MATCH($C180,FuelKeyL,0)),"")</f>
        <v/>
      </c>
    </row>
    <row r="181">
      <c r="A181" s="14">
        <f>$B181&amp;"|"&amp;$C181</f>
        <v/>
      </c>
      <c r="B181" s="22" t="inlineStr">
        <is>
          <t>res</t>
        </is>
      </c>
      <c r="C181" s="22" t="inlineStr">
        <is>
          <t>bio</t>
        </is>
      </c>
      <c r="D181" s="14">
        <f>IF($B181="",""," | "&amp;$E181&amp;" | "&amp;$F181)</f>
        <v/>
      </c>
      <c r="E181" s="14">
        <f>IFERROR(INDEX(SecLab,MATCH($B181,SecKey,0)),"")</f>
        <v/>
      </c>
      <c r="F181" s="14">
        <f>IFERROR(INDEX(FuelLab,MATCH($C181,FuelKeyL,0)),"")</f>
        <v/>
      </c>
    </row>
    <row r="182">
      <c r="A182" s="14">
        <f>$B182&amp;"|"&amp;$C182</f>
        <v/>
      </c>
      <c r="B182" s="22" t="inlineStr">
        <is>
          <t>foo</t>
        </is>
      </c>
      <c r="C182" s="22" t="inlineStr">
        <is>
          <t>coa</t>
        </is>
      </c>
      <c r="D182" s="14">
        <f>IF($B182="",""," | "&amp;$E182&amp;" | "&amp;$F182)</f>
        <v/>
      </c>
      <c r="E182" s="14">
        <f>IFERROR(INDEX(SecLab,MATCH($B182,SecKey,0)),"")</f>
        <v/>
      </c>
      <c r="F182" s="14">
        <f>IFERROR(INDEX(FuelLab,MATCH($C182,FuelKeyL,0)),"")</f>
        <v/>
      </c>
    </row>
    <row r="183">
      <c r="A183" s="14">
        <f>$B183&amp;"|"&amp;$C183</f>
        <v/>
      </c>
      <c r="B183" s="22" t="inlineStr">
        <is>
          <t>foo</t>
        </is>
      </c>
      <c r="C183" s="22" t="inlineStr">
        <is>
          <t>nga</t>
        </is>
      </c>
      <c r="D183" s="14">
        <f>IF($B183="",""," | "&amp;$E183&amp;" | "&amp;$F183)</f>
        <v/>
      </c>
      <c r="E183" s="14">
        <f>IFERROR(INDEX(SecLab,MATCH($B183,SecKey,0)),"")</f>
        <v/>
      </c>
      <c r="F183" s="14">
        <f>IFERROR(INDEX(FuelLab,MATCH($C183,FuelKeyL,0)),"")</f>
        <v/>
      </c>
    </row>
    <row r="184">
      <c r="A184" s="14">
        <f>$B184&amp;"|"&amp;$C184</f>
        <v/>
      </c>
      <c r="B184" s="22" t="inlineStr">
        <is>
          <t>foo</t>
        </is>
      </c>
      <c r="C184" s="22" t="inlineStr">
        <is>
          <t>gso</t>
        </is>
      </c>
      <c r="D184" s="14">
        <f>IF($B184="",""," | "&amp;$E184&amp;" | "&amp;$F184)</f>
        <v/>
      </c>
      <c r="E184" s="14">
        <f>IFERROR(INDEX(SecLab,MATCH($B184,SecKey,0)),"")</f>
        <v/>
      </c>
      <c r="F184" s="14">
        <f>IFERROR(INDEX(FuelLab,MATCH($C184,FuelKeyL,0)),"")</f>
        <v/>
      </c>
    </row>
    <row r="185">
      <c r="A185" s="14">
        <f>$B185&amp;"|"&amp;$C185</f>
        <v/>
      </c>
      <c r="B185" s="22" t="inlineStr">
        <is>
          <t>foo</t>
        </is>
      </c>
      <c r="C185" s="22" t="inlineStr">
        <is>
          <t>die</t>
        </is>
      </c>
      <c r="D185" s="14">
        <f>IF($B185="",""," | "&amp;$E185&amp;" | "&amp;$F185)</f>
        <v/>
      </c>
      <c r="E185" s="14">
        <f>IFERROR(INDEX(SecLab,MATCH($B185,SecKey,0)),"")</f>
        <v/>
      </c>
      <c r="F185" s="14">
        <f>IFERROR(INDEX(FuelLab,MATCH($C185,FuelKeyL,0)),"")</f>
        <v/>
      </c>
    </row>
    <row r="186">
      <c r="A186" s="14">
        <f>$B186&amp;"|"&amp;$C186</f>
        <v/>
      </c>
      <c r="B186" s="22" t="inlineStr">
        <is>
          <t>foo</t>
        </is>
      </c>
      <c r="C186" s="22" t="inlineStr">
        <is>
          <t>lpg</t>
        </is>
      </c>
      <c r="D186" s="14">
        <f>IF($B186="",""," | "&amp;$E186&amp;" | "&amp;$F186)</f>
        <v/>
      </c>
      <c r="E186" s="14">
        <f>IFERROR(INDEX(SecLab,MATCH($B186,SecKey,0)),"")</f>
        <v/>
      </c>
      <c r="F186" s="14">
        <f>IFERROR(INDEX(FuelLab,MATCH($C186,FuelKeyL,0)),"")</f>
        <v/>
      </c>
    </row>
    <row r="187">
      <c r="A187" s="14">
        <f>$B187&amp;"|"&amp;$C187</f>
        <v/>
      </c>
      <c r="B187" s="22" t="inlineStr">
        <is>
          <t>foo</t>
        </is>
      </c>
      <c r="C187" s="22" t="inlineStr">
        <is>
          <t>ker</t>
        </is>
      </c>
      <c r="D187" s="14">
        <f>IF($B187="",""," | "&amp;$E187&amp;" | "&amp;$F187)</f>
        <v/>
      </c>
      <c r="E187" s="14">
        <f>IFERROR(INDEX(SecLab,MATCH($B187,SecKey,0)),"")</f>
        <v/>
      </c>
      <c r="F187" s="14">
        <f>IFERROR(INDEX(FuelLab,MATCH($C187,FuelKeyL,0)),"")</f>
        <v/>
      </c>
    </row>
    <row r="188">
      <c r="A188" s="14">
        <f>$B188&amp;"|"&amp;$C188</f>
        <v/>
      </c>
      <c r="B188" s="22" t="inlineStr">
        <is>
          <t>foo</t>
        </is>
      </c>
      <c r="C188" s="22" t="inlineStr">
        <is>
          <t>oop</t>
        </is>
      </c>
      <c r="D188" s="14">
        <f>IF($B188="",""," | "&amp;$E188&amp;" | "&amp;$F188)</f>
        <v/>
      </c>
      <c r="E188" s="14">
        <f>IFERROR(INDEX(SecLab,MATCH($B188,SecKey,0)),"")</f>
        <v/>
      </c>
      <c r="F188" s="14">
        <f>IFERROR(INDEX(FuelLab,MATCH($C188,FuelKeyL,0)),"")</f>
        <v/>
      </c>
    </row>
    <row r="189">
      <c r="A189" s="14">
        <f>$B189&amp;"|"&amp;$C189</f>
        <v/>
      </c>
      <c r="B189" s="22" t="inlineStr">
        <is>
          <t>foo</t>
        </is>
      </c>
      <c r="C189" s="22" t="inlineStr">
        <is>
          <t>bio</t>
        </is>
      </c>
      <c r="D189" s="14">
        <f>IF($B189="",""," | "&amp;$E189&amp;" | "&amp;$F189)</f>
        <v/>
      </c>
      <c r="E189" s="14">
        <f>IFERROR(INDEX(SecLab,MATCH($B189,SecKey,0)),"")</f>
        <v/>
      </c>
      <c r="F189" s="14">
        <f>IFERROR(INDEX(FuelLab,MATCH($C189,FuelKeyL,0)),"")</f>
        <v/>
      </c>
    </row>
    <row r="190">
      <c r="A190" s="14">
        <f>$B190&amp;"|"&amp;$C190</f>
        <v/>
      </c>
      <c r="B190" s="22" t="inlineStr">
        <is>
          <t>srv</t>
        </is>
      </c>
      <c r="C190" s="22" t="inlineStr">
        <is>
          <t>coa</t>
        </is>
      </c>
      <c r="D190" s="14">
        <f>IF($B190="",""," | "&amp;$E190&amp;" | "&amp;$F190)</f>
        <v/>
      </c>
      <c r="E190" s="14">
        <f>IFERROR(INDEX(SecLab,MATCH($B190,SecKey,0)),"")</f>
        <v/>
      </c>
      <c r="F190" s="14">
        <f>IFERROR(INDEX(FuelLab,MATCH($C190,FuelKeyL,0)),"")</f>
        <v/>
      </c>
    </row>
    <row r="191">
      <c r="A191" s="14">
        <f>$B191&amp;"|"&amp;$C191</f>
        <v/>
      </c>
      <c r="B191" s="22" t="inlineStr">
        <is>
          <t>srv</t>
        </is>
      </c>
      <c r="C191" s="22" t="inlineStr">
        <is>
          <t>nga</t>
        </is>
      </c>
      <c r="D191" s="14">
        <f>IF($B191="",""," | "&amp;$E191&amp;" | "&amp;$F191)</f>
        <v/>
      </c>
      <c r="E191" s="14">
        <f>IFERROR(INDEX(SecLab,MATCH($B191,SecKey,0)),"")</f>
        <v/>
      </c>
      <c r="F191" s="14">
        <f>IFERROR(INDEX(FuelLab,MATCH($C191,FuelKeyL,0)),"")</f>
        <v/>
      </c>
    </row>
    <row r="192">
      <c r="A192" s="14">
        <f>$B192&amp;"|"&amp;$C192</f>
        <v/>
      </c>
      <c r="B192" s="22" t="inlineStr">
        <is>
          <t>srv</t>
        </is>
      </c>
      <c r="C192" s="22" t="inlineStr">
        <is>
          <t>gso</t>
        </is>
      </c>
      <c r="D192" s="14">
        <f>IF($B192="",""," | "&amp;$E192&amp;" | "&amp;$F192)</f>
        <v/>
      </c>
      <c r="E192" s="14">
        <f>IFERROR(INDEX(SecLab,MATCH($B192,SecKey,0)),"")</f>
        <v/>
      </c>
      <c r="F192" s="14">
        <f>IFERROR(INDEX(FuelLab,MATCH($C192,FuelKeyL,0)),"")</f>
        <v/>
      </c>
    </row>
    <row r="193">
      <c r="A193" s="14">
        <f>$B193&amp;"|"&amp;$C193</f>
        <v/>
      </c>
      <c r="B193" s="22" t="inlineStr">
        <is>
          <t>srv</t>
        </is>
      </c>
      <c r="C193" s="22" t="inlineStr">
        <is>
          <t>die</t>
        </is>
      </c>
      <c r="D193" s="14">
        <f>IF($B193="",""," | "&amp;$E193&amp;" | "&amp;$F193)</f>
        <v/>
      </c>
      <c r="E193" s="14">
        <f>IFERROR(INDEX(SecLab,MATCH($B193,SecKey,0)),"")</f>
        <v/>
      </c>
      <c r="F193" s="14">
        <f>IFERROR(INDEX(FuelLab,MATCH($C193,FuelKeyL,0)),"")</f>
        <v/>
      </c>
    </row>
    <row r="194">
      <c r="A194" s="14">
        <f>$B194&amp;"|"&amp;$C194</f>
        <v/>
      </c>
      <c r="B194" s="22" t="inlineStr">
        <is>
          <t>srv</t>
        </is>
      </c>
      <c r="C194" s="22" t="inlineStr">
        <is>
          <t>lpg</t>
        </is>
      </c>
      <c r="D194" s="14">
        <f>IF($B194="",""," | "&amp;$E194&amp;" | "&amp;$F194)</f>
        <v/>
      </c>
      <c r="E194" s="14">
        <f>IFERROR(INDEX(SecLab,MATCH($B194,SecKey,0)),"")</f>
        <v/>
      </c>
      <c r="F194" s="14">
        <f>IFERROR(INDEX(FuelLab,MATCH($C194,FuelKeyL,0)),"")</f>
        <v/>
      </c>
    </row>
    <row r="195">
      <c r="A195" s="14">
        <f>$B195&amp;"|"&amp;$C195</f>
        <v/>
      </c>
      <c r="B195" s="22" t="inlineStr">
        <is>
          <t>srv</t>
        </is>
      </c>
      <c r="C195" s="22" t="inlineStr">
        <is>
          <t>ker</t>
        </is>
      </c>
      <c r="D195" s="14">
        <f>IF($B195="",""," | "&amp;$E195&amp;" | "&amp;$F195)</f>
        <v/>
      </c>
      <c r="E195" s="14">
        <f>IFERROR(INDEX(SecLab,MATCH($B195,SecKey,0)),"")</f>
        <v/>
      </c>
      <c r="F195" s="14">
        <f>IFERROR(INDEX(FuelLab,MATCH($C195,FuelKeyL,0)),"")</f>
        <v/>
      </c>
    </row>
    <row r="196">
      <c r="A196" s="14">
        <f>$B196&amp;"|"&amp;$C196</f>
        <v/>
      </c>
      <c r="B196" s="22" t="inlineStr">
        <is>
          <t>srv</t>
        </is>
      </c>
      <c r="C196" s="22" t="inlineStr">
        <is>
          <t>oop</t>
        </is>
      </c>
      <c r="D196" s="14">
        <f>IF($B196="",""," | "&amp;$E196&amp;" | "&amp;$F196)</f>
        <v/>
      </c>
      <c r="E196" s="14">
        <f>IFERROR(INDEX(SecLab,MATCH($B196,SecKey,0)),"")</f>
        <v/>
      </c>
      <c r="F196" s="14">
        <f>IFERROR(INDEX(FuelLab,MATCH($C196,FuelKeyL,0)),"")</f>
        <v/>
      </c>
    </row>
    <row r="197">
      <c r="A197" s="14">
        <f>$B197&amp;"|"&amp;$C197</f>
        <v/>
      </c>
      <c r="B197" s="22" t="inlineStr">
        <is>
          <t>srv</t>
        </is>
      </c>
      <c r="C197" s="22" t="inlineStr">
        <is>
          <t>bio</t>
        </is>
      </c>
      <c r="D197" s="14">
        <f>IF($B197="",""," | "&amp;$E197&amp;" | "&amp;$F197)</f>
        <v/>
      </c>
      <c r="E197" s="14">
        <f>IFERROR(INDEX(SecLab,MATCH($B197,SecKey,0)),"")</f>
        <v/>
      </c>
      <c r="F197" s="14">
        <f>IFERROR(INDEX(FuelLab,MATCH($C197,FuelKeyL,0)),"")</f>
        <v/>
      </c>
    </row>
    <row r="198">
      <c r="A198" s="14">
        <f>$B198&amp;"|"&amp;$C198</f>
        <v/>
      </c>
      <c r="B198" s="22" t="inlineStr">
        <is>
          <t>mch</t>
        </is>
      </c>
      <c r="C198" s="22" t="inlineStr">
        <is>
          <t>coa</t>
        </is>
      </c>
      <c r="D198" s="14">
        <f>IF($B198="",""," | "&amp;$E198&amp;" | "&amp;$F198)</f>
        <v/>
      </c>
      <c r="E198" s="14">
        <f>IFERROR(INDEX(SecLab,MATCH($B198,SecKey,0)),"")</f>
        <v/>
      </c>
      <c r="F198" s="14">
        <f>IFERROR(INDEX(FuelLab,MATCH($C198,FuelKeyL,0)),"")</f>
        <v/>
      </c>
    </row>
    <row r="199">
      <c r="A199" s="14">
        <f>$B199&amp;"|"&amp;$C199</f>
        <v/>
      </c>
      <c r="B199" s="22" t="inlineStr">
        <is>
          <t>mch</t>
        </is>
      </c>
      <c r="C199" s="22" t="inlineStr">
        <is>
          <t>nga</t>
        </is>
      </c>
      <c r="D199" s="14">
        <f>IF($B199="",""," | "&amp;$E199&amp;" | "&amp;$F199)</f>
        <v/>
      </c>
      <c r="E199" s="14">
        <f>IFERROR(INDEX(SecLab,MATCH($B199,SecKey,0)),"")</f>
        <v/>
      </c>
      <c r="F199" s="14">
        <f>IFERROR(INDEX(FuelLab,MATCH($C199,FuelKeyL,0)),"")</f>
        <v/>
      </c>
    </row>
    <row r="200">
      <c r="A200" s="14">
        <f>$B200&amp;"|"&amp;$C200</f>
        <v/>
      </c>
      <c r="B200" s="22" t="inlineStr">
        <is>
          <t>mch</t>
        </is>
      </c>
      <c r="C200" s="22" t="inlineStr">
        <is>
          <t>gso</t>
        </is>
      </c>
      <c r="D200" s="14">
        <f>IF($B200="",""," | "&amp;$E200&amp;" | "&amp;$F200)</f>
        <v/>
      </c>
      <c r="E200" s="14">
        <f>IFERROR(INDEX(SecLab,MATCH($B200,SecKey,0)),"")</f>
        <v/>
      </c>
      <c r="F200" s="14">
        <f>IFERROR(INDEX(FuelLab,MATCH($C200,FuelKeyL,0)),"")</f>
        <v/>
      </c>
    </row>
    <row r="201">
      <c r="A201" s="14">
        <f>$B201&amp;"|"&amp;$C201</f>
        <v/>
      </c>
      <c r="B201" s="22" t="inlineStr">
        <is>
          <t>mch</t>
        </is>
      </c>
      <c r="C201" s="22" t="inlineStr">
        <is>
          <t>die</t>
        </is>
      </c>
      <c r="D201" s="14">
        <f>IF($B201="",""," | "&amp;$E201&amp;" | "&amp;$F201)</f>
        <v/>
      </c>
      <c r="E201" s="14">
        <f>IFERROR(INDEX(SecLab,MATCH($B201,SecKey,0)),"")</f>
        <v/>
      </c>
      <c r="F201" s="14">
        <f>IFERROR(INDEX(FuelLab,MATCH($C201,FuelKeyL,0)),"")</f>
        <v/>
      </c>
    </row>
    <row r="202">
      <c r="A202" s="14">
        <f>$B202&amp;"|"&amp;$C202</f>
        <v/>
      </c>
      <c r="B202" s="22" t="inlineStr">
        <is>
          <t>mch</t>
        </is>
      </c>
      <c r="C202" s="22" t="inlineStr">
        <is>
          <t>lpg</t>
        </is>
      </c>
      <c r="D202" s="14">
        <f>IF($B202="",""," | "&amp;$E202&amp;" | "&amp;$F202)</f>
        <v/>
      </c>
      <c r="E202" s="14">
        <f>IFERROR(INDEX(SecLab,MATCH($B202,SecKey,0)),"")</f>
        <v/>
      </c>
      <c r="F202" s="14">
        <f>IFERROR(INDEX(FuelLab,MATCH($C202,FuelKeyL,0)),"")</f>
        <v/>
      </c>
    </row>
    <row r="203">
      <c r="A203" s="14">
        <f>$B203&amp;"|"&amp;$C203</f>
        <v/>
      </c>
      <c r="B203" s="22" t="inlineStr">
        <is>
          <t>mch</t>
        </is>
      </c>
      <c r="C203" s="22" t="inlineStr">
        <is>
          <t>ker</t>
        </is>
      </c>
      <c r="D203" s="14">
        <f>IF($B203="",""," | "&amp;$E203&amp;" | "&amp;$F203)</f>
        <v/>
      </c>
      <c r="E203" s="14">
        <f>IFERROR(INDEX(SecLab,MATCH($B203,SecKey,0)),"")</f>
        <v/>
      </c>
      <c r="F203" s="14">
        <f>IFERROR(INDEX(FuelLab,MATCH($C203,FuelKeyL,0)),"")</f>
        <v/>
      </c>
    </row>
    <row r="204">
      <c r="A204" s="14">
        <f>$B204&amp;"|"&amp;$C204</f>
        <v/>
      </c>
      <c r="B204" s="22" t="inlineStr">
        <is>
          <t>mch</t>
        </is>
      </c>
      <c r="C204" s="22" t="inlineStr">
        <is>
          <t>oop</t>
        </is>
      </c>
      <c r="D204" s="14">
        <f>IF($B204="",""," | "&amp;$E204&amp;" | "&amp;$F204)</f>
        <v/>
      </c>
      <c r="E204" s="14">
        <f>IFERROR(INDEX(SecLab,MATCH($B204,SecKey,0)),"")</f>
        <v/>
      </c>
      <c r="F204" s="14">
        <f>IFERROR(INDEX(FuelLab,MATCH($C204,FuelKeyL,0)),"")</f>
        <v/>
      </c>
    </row>
    <row r="205">
      <c r="A205" s="14">
        <f>$B205&amp;"|"&amp;$C205</f>
        <v/>
      </c>
      <c r="B205" s="22" t="inlineStr">
        <is>
          <t>mch</t>
        </is>
      </c>
      <c r="C205" s="22" t="inlineStr">
        <is>
          <t>bio</t>
        </is>
      </c>
      <c r="D205" s="14">
        <f>IF($B205="",""," | "&amp;$E205&amp;" | "&amp;$F205)</f>
        <v/>
      </c>
      <c r="E205" s="14">
        <f>IFERROR(INDEX(SecLab,MATCH($B205,SecKey,0)),"")</f>
        <v/>
      </c>
      <c r="F205" s="14">
        <f>IFERROR(INDEX(FuelLab,MATCH($C205,FuelKeyL,0)),"")</f>
        <v/>
      </c>
    </row>
    <row r="206">
      <c r="A206" s="14">
        <f>$B206&amp;"|"&amp;$C206</f>
        <v/>
      </c>
      <c r="B206" s="22" t="inlineStr">
        <is>
          <t>irn</t>
        </is>
      </c>
      <c r="C206" s="22" t="inlineStr">
        <is>
          <t>coa</t>
        </is>
      </c>
      <c r="D206" s="14">
        <f>IF($B206="",""," | "&amp;$E206&amp;" | "&amp;$F206)</f>
        <v/>
      </c>
      <c r="E206" s="14">
        <f>IFERROR(INDEX(SecLab,MATCH($B206,SecKey,0)),"")</f>
        <v/>
      </c>
      <c r="F206" s="14">
        <f>IFERROR(INDEX(FuelLab,MATCH($C206,FuelKeyL,0)),"")</f>
        <v/>
      </c>
    </row>
    <row r="207">
      <c r="A207" s="14">
        <f>$B207&amp;"|"&amp;$C207</f>
        <v/>
      </c>
      <c r="B207" s="22" t="inlineStr">
        <is>
          <t>irn</t>
        </is>
      </c>
      <c r="C207" s="22" t="inlineStr">
        <is>
          <t>nga</t>
        </is>
      </c>
      <c r="D207" s="14">
        <f>IF($B207="",""," | "&amp;$E207&amp;" | "&amp;$F207)</f>
        <v/>
      </c>
      <c r="E207" s="14">
        <f>IFERROR(INDEX(SecLab,MATCH($B207,SecKey,0)),"")</f>
        <v/>
      </c>
      <c r="F207" s="14">
        <f>IFERROR(INDEX(FuelLab,MATCH($C207,FuelKeyL,0)),"")</f>
        <v/>
      </c>
    </row>
    <row r="208">
      <c r="A208" s="14">
        <f>$B208&amp;"|"&amp;$C208</f>
        <v/>
      </c>
      <c r="B208" s="22" t="inlineStr">
        <is>
          <t>irn</t>
        </is>
      </c>
      <c r="C208" s="22" t="inlineStr">
        <is>
          <t>gso</t>
        </is>
      </c>
      <c r="D208" s="14">
        <f>IF($B208="",""," | "&amp;$E208&amp;" | "&amp;$F208)</f>
        <v/>
      </c>
      <c r="E208" s="14">
        <f>IFERROR(INDEX(SecLab,MATCH($B208,SecKey,0)),"")</f>
        <v/>
      </c>
      <c r="F208" s="14">
        <f>IFERROR(INDEX(FuelLab,MATCH($C208,FuelKeyL,0)),"")</f>
        <v/>
      </c>
    </row>
    <row r="209">
      <c r="A209" s="14">
        <f>$B209&amp;"|"&amp;$C209</f>
        <v/>
      </c>
      <c r="B209" s="22" t="inlineStr">
        <is>
          <t>irn</t>
        </is>
      </c>
      <c r="C209" s="22" t="inlineStr">
        <is>
          <t>die</t>
        </is>
      </c>
      <c r="D209" s="14">
        <f>IF($B209="",""," | "&amp;$E209&amp;" | "&amp;$F209)</f>
        <v/>
      </c>
      <c r="E209" s="14">
        <f>IFERROR(INDEX(SecLab,MATCH($B209,SecKey,0)),"")</f>
        <v/>
      </c>
      <c r="F209" s="14">
        <f>IFERROR(INDEX(FuelLab,MATCH($C209,FuelKeyL,0)),"")</f>
        <v/>
      </c>
    </row>
    <row r="210">
      <c r="A210" s="14">
        <f>$B210&amp;"|"&amp;$C210</f>
        <v/>
      </c>
      <c r="B210" s="22" t="inlineStr">
        <is>
          <t>irn</t>
        </is>
      </c>
      <c r="C210" s="22" t="inlineStr">
        <is>
          <t>lpg</t>
        </is>
      </c>
      <c r="D210" s="14">
        <f>IF($B210="",""," | "&amp;$E210&amp;" | "&amp;$F210)</f>
        <v/>
      </c>
      <c r="E210" s="14">
        <f>IFERROR(INDEX(SecLab,MATCH($B210,SecKey,0)),"")</f>
        <v/>
      </c>
      <c r="F210" s="14">
        <f>IFERROR(INDEX(FuelLab,MATCH($C210,FuelKeyL,0)),"")</f>
        <v/>
      </c>
    </row>
    <row r="211">
      <c r="A211" s="14">
        <f>$B211&amp;"|"&amp;$C211</f>
        <v/>
      </c>
      <c r="B211" s="22" t="inlineStr">
        <is>
          <t>irn</t>
        </is>
      </c>
      <c r="C211" s="22" t="inlineStr">
        <is>
          <t>ker</t>
        </is>
      </c>
      <c r="D211" s="14">
        <f>IF($B211="",""," | "&amp;$E211&amp;" | "&amp;$F211)</f>
        <v/>
      </c>
      <c r="E211" s="14">
        <f>IFERROR(INDEX(SecLab,MATCH($B211,SecKey,0)),"")</f>
        <v/>
      </c>
      <c r="F211" s="14">
        <f>IFERROR(INDEX(FuelLab,MATCH($C211,FuelKeyL,0)),"")</f>
        <v/>
      </c>
    </row>
    <row r="212">
      <c r="A212" s="14">
        <f>$B212&amp;"|"&amp;$C212</f>
        <v/>
      </c>
      <c r="B212" s="22" t="inlineStr">
        <is>
          <t>irn</t>
        </is>
      </c>
      <c r="C212" s="22" t="inlineStr">
        <is>
          <t>oop</t>
        </is>
      </c>
      <c r="D212" s="14">
        <f>IF($B212="",""," | "&amp;$E212&amp;" | "&amp;$F212)</f>
        <v/>
      </c>
      <c r="E212" s="14">
        <f>IFERROR(INDEX(SecLab,MATCH($B212,SecKey,0)),"")</f>
        <v/>
      </c>
      <c r="F212" s="14">
        <f>IFERROR(INDEX(FuelLab,MATCH($C212,FuelKeyL,0)),"")</f>
        <v/>
      </c>
    </row>
    <row r="213">
      <c r="A213" s="14">
        <f>$B213&amp;"|"&amp;$C213</f>
        <v/>
      </c>
      <c r="B213" s="22" t="inlineStr">
        <is>
          <t>irn</t>
        </is>
      </c>
      <c r="C213" s="22" t="inlineStr">
        <is>
          <t>bio</t>
        </is>
      </c>
      <c r="D213" s="14">
        <f>IF($B213="",""," | "&amp;$E213&amp;" | "&amp;$F213)</f>
        <v/>
      </c>
      <c r="E213" s="14">
        <f>IFERROR(INDEX(SecLab,MATCH($B213,SecKey,0)),"")</f>
        <v/>
      </c>
      <c r="F213" s="14">
        <f>IFERROR(INDEX(FuelLab,MATCH($C213,FuelKeyL,0)),"")</f>
        <v/>
      </c>
    </row>
    <row r="214">
      <c r="A214" s="14">
        <f>$B214&amp;"|"&amp;$C214</f>
        <v/>
      </c>
      <c r="B214" s="22" t="inlineStr">
        <is>
          <t>nfm</t>
        </is>
      </c>
      <c r="C214" s="22" t="inlineStr">
        <is>
          <t>coa</t>
        </is>
      </c>
      <c r="D214" s="14">
        <f>IF($B214="",""," | "&amp;$E214&amp;" | "&amp;$F214)</f>
        <v/>
      </c>
      <c r="E214" s="14">
        <f>IFERROR(INDEX(SecLab,MATCH($B214,SecKey,0)),"")</f>
        <v/>
      </c>
      <c r="F214" s="14">
        <f>IFERROR(INDEX(FuelLab,MATCH($C214,FuelKeyL,0)),"")</f>
        <v/>
      </c>
    </row>
    <row r="215">
      <c r="A215" s="14">
        <f>$B215&amp;"|"&amp;$C215</f>
        <v/>
      </c>
      <c r="B215" s="22" t="inlineStr">
        <is>
          <t>nfm</t>
        </is>
      </c>
      <c r="C215" s="22" t="inlineStr">
        <is>
          <t>nga</t>
        </is>
      </c>
      <c r="D215" s="14">
        <f>IF($B215="",""," | "&amp;$E215&amp;" | "&amp;$F215)</f>
        <v/>
      </c>
      <c r="E215" s="14">
        <f>IFERROR(INDEX(SecLab,MATCH($B215,SecKey,0)),"")</f>
        <v/>
      </c>
      <c r="F215" s="14">
        <f>IFERROR(INDEX(FuelLab,MATCH($C215,FuelKeyL,0)),"")</f>
        <v/>
      </c>
    </row>
    <row r="216">
      <c r="A216" s="14">
        <f>$B216&amp;"|"&amp;$C216</f>
        <v/>
      </c>
      <c r="B216" s="22" t="inlineStr">
        <is>
          <t>nfm</t>
        </is>
      </c>
      <c r="C216" s="22" t="inlineStr">
        <is>
          <t>gso</t>
        </is>
      </c>
      <c r="D216" s="14">
        <f>IF($B216="",""," | "&amp;$E216&amp;" | "&amp;$F216)</f>
        <v/>
      </c>
      <c r="E216" s="14">
        <f>IFERROR(INDEX(SecLab,MATCH($B216,SecKey,0)),"")</f>
        <v/>
      </c>
      <c r="F216" s="14">
        <f>IFERROR(INDEX(FuelLab,MATCH($C216,FuelKeyL,0)),"")</f>
        <v/>
      </c>
    </row>
    <row r="217">
      <c r="A217" s="14">
        <f>$B217&amp;"|"&amp;$C217</f>
        <v/>
      </c>
      <c r="B217" s="22" t="inlineStr">
        <is>
          <t>nfm</t>
        </is>
      </c>
      <c r="C217" s="22" t="inlineStr">
        <is>
          <t>die</t>
        </is>
      </c>
      <c r="D217" s="14">
        <f>IF($B217="",""," | "&amp;$E217&amp;" | "&amp;$F217)</f>
        <v/>
      </c>
      <c r="E217" s="14">
        <f>IFERROR(INDEX(SecLab,MATCH($B217,SecKey,0)),"")</f>
        <v/>
      </c>
      <c r="F217" s="14">
        <f>IFERROR(INDEX(FuelLab,MATCH($C217,FuelKeyL,0)),"")</f>
        <v/>
      </c>
    </row>
    <row r="218">
      <c r="A218" s="14">
        <f>$B218&amp;"|"&amp;$C218</f>
        <v/>
      </c>
      <c r="B218" s="22" t="inlineStr">
        <is>
          <t>nfm</t>
        </is>
      </c>
      <c r="C218" s="22" t="inlineStr">
        <is>
          <t>lpg</t>
        </is>
      </c>
      <c r="D218" s="14">
        <f>IF($B218="",""," | "&amp;$E218&amp;" | "&amp;$F218)</f>
        <v/>
      </c>
      <c r="E218" s="14">
        <f>IFERROR(INDEX(SecLab,MATCH($B218,SecKey,0)),"")</f>
        <v/>
      </c>
      <c r="F218" s="14">
        <f>IFERROR(INDEX(FuelLab,MATCH($C218,FuelKeyL,0)),"")</f>
        <v/>
      </c>
    </row>
    <row r="219">
      <c r="A219" s="14">
        <f>$B219&amp;"|"&amp;$C219</f>
        <v/>
      </c>
      <c r="B219" s="22" t="inlineStr">
        <is>
          <t>nfm</t>
        </is>
      </c>
      <c r="C219" s="22" t="inlineStr">
        <is>
          <t>ker</t>
        </is>
      </c>
      <c r="D219" s="14">
        <f>IF($B219="",""," | "&amp;$E219&amp;" | "&amp;$F219)</f>
        <v/>
      </c>
      <c r="E219" s="14">
        <f>IFERROR(INDEX(SecLab,MATCH($B219,SecKey,0)),"")</f>
        <v/>
      </c>
      <c r="F219" s="14">
        <f>IFERROR(INDEX(FuelLab,MATCH($C219,FuelKeyL,0)),"")</f>
        <v/>
      </c>
    </row>
    <row r="220">
      <c r="A220" s="14">
        <f>$B220&amp;"|"&amp;$C220</f>
        <v/>
      </c>
      <c r="B220" s="22" t="inlineStr">
        <is>
          <t>nfm</t>
        </is>
      </c>
      <c r="C220" s="22" t="inlineStr">
        <is>
          <t>oop</t>
        </is>
      </c>
      <c r="D220" s="14">
        <f>IF($B220="",""," | "&amp;$E220&amp;" | "&amp;$F220)</f>
        <v/>
      </c>
      <c r="E220" s="14">
        <f>IFERROR(INDEX(SecLab,MATCH($B220,SecKey,0)),"")</f>
        <v/>
      </c>
      <c r="F220" s="14">
        <f>IFERROR(INDEX(FuelLab,MATCH($C220,FuelKeyL,0)),"")</f>
        <v/>
      </c>
    </row>
    <row r="221">
      <c r="A221" s="14">
        <f>$B221&amp;"|"&amp;$C221</f>
        <v/>
      </c>
      <c r="B221" s="22" t="inlineStr">
        <is>
          <t>nfm</t>
        </is>
      </c>
      <c r="C221" s="22" t="inlineStr">
        <is>
          <t>bio</t>
        </is>
      </c>
      <c r="D221" s="14">
        <f>IF($B221="",""," | "&amp;$E221&amp;" | "&amp;$F221)</f>
        <v/>
      </c>
      <c r="E221" s="14">
        <f>IFERROR(INDEX(SecLab,MATCH($B221,SecKey,0)),"")</f>
        <v/>
      </c>
      <c r="F221" s="14">
        <f>IFERROR(INDEX(FuelLab,MATCH($C221,FuelKeyL,0)),"")</f>
        <v/>
      </c>
    </row>
    <row r="222">
      <c r="A222" s="14">
        <f>$B222&amp;"|"&amp;$C222</f>
        <v/>
      </c>
      <c r="B222" s="22" t="inlineStr">
        <is>
          <t>mac</t>
        </is>
      </c>
      <c r="C222" s="22" t="inlineStr">
        <is>
          <t>coa</t>
        </is>
      </c>
      <c r="D222" s="14">
        <f>IF($B222="",""," | "&amp;$E222&amp;" | "&amp;$F222)</f>
        <v/>
      </c>
      <c r="E222" s="14">
        <f>IFERROR(INDEX(SecLab,MATCH($B222,SecKey,0)),"")</f>
        <v/>
      </c>
      <c r="F222" s="14">
        <f>IFERROR(INDEX(FuelLab,MATCH($C222,FuelKeyL,0)),"")</f>
        <v/>
      </c>
    </row>
    <row r="223">
      <c r="A223" s="14">
        <f>$B223&amp;"|"&amp;$C223</f>
        <v/>
      </c>
      <c r="B223" s="22" t="inlineStr">
        <is>
          <t>mac</t>
        </is>
      </c>
      <c r="C223" s="22" t="inlineStr">
        <is>
          <t>nga</t>
        </is>
      </c>
      <c r="D223" s="14">
        <f>IF($B223="",""," | "&amp;$E223&amp;" | "&amp;$F223)</f>
        <v/>
      </c>
      <c r="E223" s="14">
        <f>IFERROR(INDEX(SecLab,MATCH($B223,SecKey,0)),"")</f>
        <v/>
      </c>
      <c r="F223" s="14">
        <f>IFERROR(INDEX(FuelLab,MATCH($C223,FuelKeyL,0)),"")</f>
        <v/>
      </c>
    </row>
    <row r="224">
      <c r="A224" s="14">
        <f>$B224&amp;"|"&amp;$C224</f>
        <v/>
      </c>
      <c r="B224" s="22" t="inlineStr">
        <is>
          <t>mac</t>
        </is>
      </c>
      <c r="C224" s="22" t="inlineStr">
        <is>
          <t>gso</t>
        </is>
      </c>
      <c r="D224" s="14">
        <f>IF($B224="",""," | "&amp;$E224&amp;" | "&amp;$F224)</f>
        <v/>
      </c>
      <c r="E224" s="14">
        <f>IFERROR(INDEX(SecLab,MATCH($B224,SecKey,0)),"")</f>
        <v/>
      </c>
      <c r="F224" s="14">
        <f>IFERROR(INDEX(FuelLab,MATCH($C224,FuelKeyL,0)),"")</f>
        <v/>
      </c>
    </row>
    <row r="225">
      <c r="A225" s="14">
        <f>$B225&amp;"|"&amp;$C225</f>
        <v/>
      </c>
      <c r="B225" s="22" t="inlineStr">
        <is>
          <t>mac</t>
        </is>
      </c>
      <c r="C225" s="22" t="inlineStr">
        <is>
          <t>die</t>
        </is>
      </c>
      <c r="D225" s="14">
        <f>IF($B225="",""," | "&amp;$E225&amp;" | "&amp;$F225)</f>
        <v/>
      </c>
      <c r="E225" s="14">
        <f>IFERROR(INDEX(SecLab,MATCH($B225,SecKey,0)),"")</f>
        <v/>
      </c>
      <c r="F225" s="14">
        <f>IFERROR(INDEX(FuelLab,MATCH($C225,FuelKeyL,0)),"")</f>
        <v/>
      </c>
    </row>
    <row r="226">
      <c r="A226" s="14">
        <f>$B226&amp;"|"&amp;$C226</f>
        <v/>
      </c>
      <c r="B226" s="22" t="inlineStr">
        <is>
          <t>mac</t>
        </is>
      </c>
      <c r="C226" s="22" t="inlineStr">
        <is>
          <t>lpg</t>
        </is>
      </c>
      <c r="D226" s="14">
        <f>IF($B226="",""," | "&amp;$E226&amp;" | "&amp;$F226)</f>
        <v/>
      </c>
      <c r="E226" s="14">
        <f>IFERROR(INDEX(SecLab,MATCH($B226,SecKey,0)),"")</f>
        <v/>
      </c>
      <c r="F226" s="14">
        <f>IFERROR(INDEX(FuelLab,MATCH($C226,FuelKeyL,0)),"")</f>
        <v/>
      </c>
    </row>
    <row r="227">
      <c r="A227" s="14">
        <f>$B227&amp;"|"&amp;$C227</f>
        <v/>
      </c>
      <c r="B227" s="22" t="inlineStr">
        <is>
          <t>mac</t>
        </is>
      </c>
      <c r="C227" s="22" t="inlineStr">
        <is>
          <t>ker</t>
        </is>
      </c>
      <c r="D227" s="14">
        <f>IF($B227="",""," | "&amp;$E227&amp;" | "&amp;$F227)</f>
        <v/>
      </c>
      <c r="E227" s="14">
        <f>IFERROR(INDEX(SecLab,MATCH($B227,SecKey,0)),"")</f>
        <v/>
      </c>
      <c r="F227" s="14">
        <f>IFERROR(INDEX(FuelLab,MATCH($C227,FuelKeyL,0)),"")</f>
        <v/>
      </c>
    </row>
    <row r="228">
      <c r="A228" s="14">
        <f>$B228&amp;"|"&amp;$C228</f>
        <v/>
      </c>
      <c r="B228" s="22" t="inlineStr">
        <is>
          <t>mac</t>
        </is>
      </c>
      <c r="C228" s="22" t="inlineStr">
        <is>
          <t>oop</t>
        </is>
      </c>
      <c r="D228" s="14">
        <f>IF($B228="",""," | "&amp;$E228&amp;" | "&amp;$F228)</f>
        <v/>
      </c>
      <c r="E228" s="14">
        <f>IFERROR(INDEX(SecLab,MATCH($B228,SecKey,0)),"")</f>
        <v/>
      </c>
      <c r="F228" s="14">
        <f>IFERROR(INDEX(FuelLab,MATCH($C228,FuelKeyL,0)),"")</f>
        <v/>
      </c>
    </row>
    <row r="229">
      <c r="A229" s="14">
        <f>$B229&amp;"|"&amp;$C229</f>
        <v/>
      </c>
      <c r="B229" s="22" t="inlineStr">
        <is>
          <t>mac</t>
        </is>
      </c>
      <c r="C229" s="22" t="inlineStr">
        <is>
          <t>bio</t>
        </is>
      </c>
      <c r="D229" s="14">
        <f>IF($B229="",""," | "&amp;$E229&amp;" | "&amp;$F229)</f>
        <v/>
      </c>
      <c r="E229" s="14">
        <f>IFERROR(INDEX(SecLab,MATCH($B229,SecKey,0)),"")</f>
        <v/>
      </c>
      <c r="F229" s="14">
        <f>IFERROR(INDEX(FuelLab,MATCH($C229,FuelKeyL,0)),"")</f>
        <v/>
      </c>
    </row>
    <row r="230">
      <c r="A230" s="14">
        <f>$B230&amp;"|"&amp;$C230</f>
        <v/>
      </c>
      <c r="B230" s="22" t="inlineStr">
        <is>
          <t>cem</t>
        </is>
      </c>
      <c r="C230" s="22" t="inlineStr">
        <is>
          <t>coa</t>
        </is>
      </c>
      <c r="D230" s="14">
        <f>IF($B230="",""," | "&amp;$E230&amp;" | "&amp;$F230)</f>
        <v/>
      </c>
      <c r="E230" s="14">
        <f>IFERROR(INDEX(SecLab,MATCH($B230,SecKey,0)),"")</f>
        <v/>
      </c>
      <c r="F230" s="14">
        <f>IFERROR(INDEX(FuelLab,MATCH($C230,FuelKeyL,0)),"")</f>
        <v/>
      </c>
    </row>
    <row r="231">
      <c r="A231" s="14">
        <f>$B231&amp;"|"&amp;$C231</f>
        <v/>
      </c>
      <c r="B231" s="22" t="inlineStr">
        <is>
          <t>cem</t>
        </is>
      </c>
      <c r="C231" s="22" t="inlineStr">
        <is>
          <t>nga</t>
        </is>
      </c>
      <c r="D231" s="14">
        <f>IF($B231="",""," | "&amp;$E231&amp;" | "&amp;$F231)</f>
        <v/>
      </c>
      <c r="E231" s="14">
        <f>IFERROR(INDEX(SecLab,MATCH($B231,SecKey,0)),"")</f>
        <v/>
      </c>
      <c r="F231" s="14">
        <f>IFERROR(INDEX(FuelLab,MATCH($C231,FuelKeyL,0)),"")</f>
        <v/>
      </c>
    </row>
    <row r="232">
      <c r="A232" s="14">
        <f>$B232&amp;"|"&amp;$C232</f>
        <v/>
      </c>
      <c r="B232" s="22" t="inlineStr">
        <is>
          <t>cem</t>
        </is>
      </c>
      <c r="C232" s="22" t="inlineStr">
        <is>
          <t>gso</t>
        </is>
      </c>
      <c r="D232" s="14">
        <f>IF($B232="",""," | "&amp;$E232&amp;" | "&amp;$F232)</f>
        <v/>
      </c>
      <c r="E232" s="14">
        <f>IFERROR(INDEX(SecLab,MATCH($B232,SecKey,0)),"")</f>
        <v/>
      </c>
      <c r="F232" s="14">
        <f>IFERROR(INDEX(FuelLab,MATCH($C232,FuelKeyL,0)),"")</f>
        <v/>
      </c>
    </row>
    <row r="233">
      <c r="A233" s="14">
        <f>$B233&amp;"|"&amp;$C233</f>
        <v/>
      </c>
      <c r="B233" s="22" t="inlineStr">
        <is>
          <t>cem</t>
        </is>
      </c>
      <c r="C233" s="22" t="inlineStr">
        <is>
          <t>die</t>
        </is>
      </c>
      <c r="D233" s="14">
        <f>IF($B233="",""," | "&amp;$E233&amp;" | "&amp;$F233)</f>
        <v/>
      </c>
      <c r="E233" s="14">
        <f>IFERROR(INDEX(SecLab,MATCH($B233,SecKey,0)),"")</f>
        <v/>
      </c>
      <c r="F233" s="14">
        <f>IFERROR(INDEX(FuelLab,MATCH($C233,FuelKeyL,0)),"")</f>
        <v/>
      </c>
    </row>
    <row r="234">
      <c r="A234" s="14">
        <f>$B234&amp;"|"&amp;$C234</f>
        <v/>
      </c>
      <c r="B234" s="22" t="inlineStr">
        <is>
          <t>cem</t>
        </is>
      </c>
      <c r="C234" s="22" t="inlineStr">
        <is>
          <t>lpg</t>
        </is>
      </c>
      <c r="D234" s="14">
        <f>IF($B234="",""," | "&amp;$E234&amp;" | "&amp;$F234)</f>
        <v/>
      </c>
      <c r="E234" s="14">
        <f>IFERROR(INDEX(SecLab,MATCH($B234,SecKey,0)),"")</f>
        <v/>
      </c>
      <c r="F234" s="14">
        <f>IFERROR(INDEX(FuelLab,MATCH($C234,FuelKeyL,0)),"")</f>
        <v/>
      </c>
    </row>
    <row r="235">
      <c r="A235" s="14">
        <f>$B235&amp;"|"&amp;$C235</f>
        <v/>
      </c>
      <c r="B235" s="22" t="inlineStr">
        <is>
          <t>cem</t>
        </is>
      </c>
      <c r="C235" s="22" t="inlineStr">
        <is>
          <t>ker</t>
        </is>
      </c>
      <c r="D235" s="14">
        <f>IF($B235="",""," | "&amp;$E235&amp;" | "&amp;$F235)</f>
        <v/>
      </c>
      <c r="E235" s="14">
        <f>IFERROR(INDEX(SecLab,MATCH($B235,SecKey,0)),"")</f>
        <v/>
      </c>
      <c r="F235" s="14">
        <f>IFERROR(INDEX(FuelLab,MATCH($C235,FuelKeyL,0)),"")</f>
        <v/>
      </c>
    </row>
    <row r="236">
      <c r="A236" s="14">
        <f>$B236&amp;"|"&amp;$C236</f>
        <v/>
      </c>
      <c r="B236" s="22" t="inlineStr">
        <is>
          <t>cem</t>
        </is>
      </c>
      <c r="C236" s="22" t="inlineStr">
        <is>
          <t>oop</t>
        </is>
      </c>
      <c r="D236" s="14">
        <f>IF($B236="",""," | "&amp;$E236&amp;" | "&amp;$F236)</f>
        <v/>
      </c>
      <c r="E236" s="14">
        <f>IFERROR(INDEX(SecLab,MATCH($B236,SecKey,0)),"")</f>
        <v/>
      </c>
      <c r="F236" s="14">
        <f>IFERROR(INDEX(FuelLab,MATCH($C236,FuelKeyL,0)),"")</f>
        <v/>
      </c>
    </row>
    <row r="237">
      <c r="A237" s="14">
        <f>$B237&amp;"|"&amp;$C237</f>
        <v/>
      </c>
      <c r="B237" s="22" t="inlineStr">
        <is>
          <t>cem</t>
        </is>
      </c>
      <c r="C237" s="22" t="inlineStr">
        <is>
          <t>bio</t>
        </is>
      </c>
      <c r="D237" s="14">
        <f>IF($B237="",""," | "&amp;$E237&amp;" | "&amp;$F237)</f>
        <v/>
      </c>
      <c r="E237" s="14">
        <f>IFERROR(INDEX(SecLab,MATCH($B237,SecKey,0)),"")</f>
        <v/>
      </c>
      <c r="F237" s="14">
        <f>IFERROR(INDEX(FuelLab,MATCH($C237,FuelKeyL,0)),"")</f>
        <v/>
      </c>
    </row>
    <row r="238">
      <c r="A238" s="14">
        <f>$B238&amp;"|"&amp;$C238</f>
        <v/>
      </c>
      <c r="B238" s="22" t="inlineStr">
        <is>
          <t>omn</t>
        </is>
      </c>
      <c r="C238" s="22" t="inlineStr">
        <is>
          <t>coa</t>
        </is>
      </c>
      <c r="D238" s="14">
        <f>IF($B238="",""," | "&amp;$E238&amp;" | "&amp;$F238)</f>
        <v/>
      </c>
      <c r="E238" s="14">
        <f>IFERROR(INDEX(SecLab,MATCH($B238,SecKey,0)),"")</f>
        <v/>
      </c>
      <c r="F238" s="14">
        <f>IFERROR(INDEX(FuelLab,MATCH($C238,FuelKeyL,0)),"")</f>
        <v/>
      </c>
    </row>
    <row r="239">
      <c r="A239" s="14">
        <f>$B239&amp;"|"&amp;$C239</f>
        <v/>
      </c>
      <c r="B239" s="22" t="inlineStr">
        <is>
          <t>omn</t>
        </is>
      </c>
      <c r="C239" s="22" t="inlineStr">
        <is>
          <t>nga</t>
        </is>
      </c>
      <c r="D239" s="14">
        <f>IF($B239="",""," | "&amp;$E239&amp;" | "&amp;$F239)</f>
        <v/>
      </c>
      <c r="E239" s="14">
        <f>IFERROR(INDEX(SecLab,MATCH($B239,SecKey,0)),"")</f>
        <v/>
      </c>
      <c r="F239" s="14">
        <f>IFERROR(INDEX(FuelLab,MATCH($C239,FuelKeyL,0)),"")</f>
        <v/>
      </c>
    </row>
    <row r="240">
      <c r="A240" s="14">
        <f>$B240&amp;"|"&amp;$C240</f>
        <v/>
      </c>
      <c r="B240" s="22" t="inlineStr">
        <is>
          <t>omn</t>
        </is>
      </c>
      <c r="C240" s="22" t="inlineStr">
        <is>
          <t>gso</t>
        </is>
      </c>
      <c r="D240" s="14">
        <f>IF($B240="",""," | "&amp;$E240&amp;" | "&amp;$F240)</f>
        <v/>
      </c>
      <c r="E240" s="14">
        <f>IFERROR(INDEX(SecLab,MATCH($B240,SecKey,0)),"")</f>
        <v/>
      </c>
      <c r="F240" s="14">
        <f>IFERROR(INDEX(FuelLab,MATCH($C240,FuelKeyL,0)),"")</f>
        <v/>
      </c>
    </row>
    <row r="241">
      <c r="A241" s="14">
        <f>$B241&amp;"|"&amp;$C241</f>
        <v/>
      </c>
      <c r="B241" s="22" t="inlineStr">
        <is>
          <t>omn</t>
        </is>
      </c>
      <c r="C241" s="22" t="inlineStr">
        <is>
          <t>die</t>
        </is>
      </c>
      <c r="D241" s="14">
        <f>IF($B241="",""," | "&amp;$E241&amp;" | "&amp;$F241)</f>
        <v/>
      </c>
      <c r="E241" s="14">
        <f>IFERROR(INDEX(SecLab,MATCH($B241,SecKey,0)),"")</f>
        <v/>
      </c>
      <c r="F241" s="14">
        <f>IFERROR(INDEX(FuelLab,MATCH($C241,FuelKeyL,0)),"")</f>
        <v/>
      </c>
    </row>
    <row r="242">
      <c r="A242" s="14">
        <f>$B242&amp;"|"&amp;$C242</f>
        <v/>
      </c>
      <c r="B242" s="22" t="inlineStr">
        <is>
          <t>omn</t>
        </is>
      </c>
      <c r="C242" s="22" t="inlineStr">
        <is>
          <t>lpg</t>
        </is>
      </c>
      <c r="D242" s="14">
        <f>IF($B242="",""," | "&amp;$E242&amp;" | "&amp;$F242)</f>
        <v/>
      </c>
      <c r="E242" s="14">
        <f>IFERROR(INDEX(SecLab,MATCH($B242,SecKey,0)),"")</f>
        <v/>
      </c>
      <c r="F242" s="14">
        <f>IFERROR(INDEX(FuelLab,MATCH($C242,FuelKeyL,0)),"")</f>
        <v/>
      </c>
    </row>
    <row r="243">
      <c r="A243" s="14">
        <f>$B243&amp;"|"&amp;$C243</f>
        <v/>
      </c>
      <c r="B243" s="22" t="inlineStr">
        <is>
          <t>omn</t>
        </is>
      </c>
      <c r="C243" s="22" t="inlineStr">
        <is>
          <t>ker</t>
        </is>
      </c>
      <c r="D243" s="14">
        <f>IF($B243="",""," | "&amp;$E243&amp;" | "&amp;$F243)</f>
        <v/>
      </c>
      <c r="E243" s="14">
        <f>IFERROR(INDEX(SecLab,MATCH($B243,SecKey,0)),"")</f>
        <v/>
      </c>
      <c r="F243" s="14">
        <f>IFERROR(INDEX(FuelLab,MATCH($C243,FuelKeyL,0)),"")</f>
        <v/>
      </c>
    </row>
    <row r="244">
      <c r="A244" s="14">
        <f>$B244&amp;"|"&amp;$C244</f>
        <v/>
      </c>
      <c r="B244" s="22" t="inlineStr">
        <is>
          <t>omn</t>
        </is>
      </c>
      <c r="C244" s="22" t="inlineStr">
        <is>
          <t>oop</t>
        </is>
      </c>
      <c r="D244" s="14">
        <f>IF($B244="",""," | "&amp;$E244&amp;" | "&amp;$F244)</f>
        <v/>
      </c>
      <c r="E244" s="14">
        <f>IFERROR(INDEX(SecLab,MATCH($B244,SecKey,0)),"")</f>
        <v/>
      </c>
      <c r="F244" s="14">
        <f>IFERROR(INDEX(FuelLab,MATCH($C244,FuelKeyL,0)),"")</f>
        <v/>
      </c>
    </row>
    <row r="245">
      <c r="A245" s="14">
        <f>$B245&amp;"|"&amp;$C245</f>
        <v/>
      </c>
      <c r="B245" s="22" t="inlineStr">
        <is>
          <t>omn</t>
        </is>
      </c>
      <c r="C245" s="22" t="inlineStr">
        <is>
          <t>bio</t>
        </is>
      </c>
      <c r="D245" s="14">
        <f>IF($B245="",""," | "&amp;$E245&amp;" | "&amp;$F245)</f>
        <v/>
      </c>
      <c r="E245" s="14">
        <f>IFERROR(INDEX(SecLab,MATCH($B245,SecKey,0)),"")</f>
        <v/>
      </c>
      <c r="F245" s="14">
        <f>IFERROR(INDEX(FuelLab,MATCH($C245,FuelKeyL,0)),"")</f>
        <v/>
      </c>
    </row>
    <row r="246">
      <c r="A246" s="14">
        <f>$B246&amp;"|"&amp;$C246</f>
        <v/>
      </c>
      <c r="B246" s="22" t="inlineStr">
        <is>
          <t>cst</t>
        </is>
      </c>
      <c r="C246" s="22" t="inlineStr">
        <is>
          <t>coa</t>
        </is>
      </c>
      <c r="D246" s="14">
        <f>IF($B246="",""," | "&amp;$E246&amp;" | "&amp;$F246)</f>
        <v/>
      </c>
      <c r="E246" s="14">
        <f>IFERROR(INDEX(SecLab,MATCH($B246,SecKey,0)),"")</f>
        <v/>
      </c>
      <c r="F246" s="14">
        <f>IFERROR(INDEX(FuelLab,MATCH($C246,FuelKeyL,0)),"")</f>
        <v/>
      </c>
    </row>
    <row r="247">
      <c r="A247" s="14">
        <f>$B247&amp;"|"&amp;$C247</f>
        <v/>
      </c>
      <c r="B247" s="22" t="inlineStr">
        <is>
          <t>cst</t>
        </is>
      </c>
      <c r="C247" s="22" t="inlineStr">
        <is>
          <t>nga</t>
        </is>
      </c>
      <c r="D247" s="14">
        <f>IF($B247="",""," | "&amp;$E247&amp;" | "&amp;$F247)</f>
        <v/>
      </c>
      <c r="E247" s="14">
        <f>IFERROR(INDEX(SecLab,MATCH($B247,SecKey,0)),"")</f>
        <v/>
      </c>
      <c r="F247" s="14">
        <f>IFERROR(INDEX(FuelLab,MATCH($C247,FuelKeyL,0)),"")</f>
        <v/>
      </c>
    </row>
    <row r="248">
      <c r="A248" s="14">
        <f>$B248&amp;"|"&amp;$C248</f>
        <v/>
      </c>
      <c r="B248" s="22" t="inlineStr">
        <is>
          <t>cst</t>
        </is>
      </c>
      <c r="C248" s="22" t="inlineStr">
        <is>
          <t>gso</t>
        </is>
      </c>
      <c r="D248" s="14">
        <f>IF($B248="",""," | "&amp;$E248&amp;" | "&amp;$F248)</f>
        <v/>
      </c>
      <c r="E248" s="14">
        <f>IFERROR(INDEX(SecLab,MATCH($B248,SecKey,0)),"")</f>
        <v/>
      </c>
      <c r="F248" s="14">
        <f>IFERROR(INDEX(FuelLab,MATCH($C248,FuelKeyL,0)),"")</f>
        <v/>
      </c>
    </row>
    <row r="249">
      <c r="A249" s="14">
        <f>$B249&amp;"|"&amp;$C249</f>
        <v/>
      </c>
      <c r="B249" s="22" t="inlineStr">
        <is>
          <t>cst</t>
        </is>
      </c>
      <c r="C249" s="22" t="inlineStr">
        <is>
          <t>die</t>
        </is>
      </c>
      <c r="D249" s="14">
        <f>IF($B249="",""," | "&amp;$E249&amp;" | "&amp;$F249)</f>
        <v/>
      </c>
      <c r="E249" s="14">
        <f>IFERROR(INDEX(SecLab,MATCH($B249,SecKey,0)),"")</f>
        <v/>
      </c>
      <c r="F249" s="14">
        <f>IFERROR(INDEX(FuelLab,MATCH($C249,FuelKeyL,0)),"")</f>
        <v/>
      </c>
    </row>
    <row r="250">
      <c r="A250" s="14">
        <f>$B250&amp;"|"&amp;$C250</f>
        <v/>
      </c>
      <c r="B250" s="22" t="inlineStr">
        <is>
          <t>cst</t>
        </is>
      </c>
      <c r="C250" s="22" t="inlineStr">
        <is>
          <t>lpg</t>
        </is>
      </c>
      <c r="D250" s="14">
        <f>IF($B250="",""," | "&amp;$E250&amp;" | "&amp;$F250)</f>
        <v/>
      </c>
      <c r="E250" s="14">
        <f>IFERROR(INDEX(SecLab,MATCH($B250,SecKey,0)),"")</f>
        <v/>
      </c>
      <c r="F250" s="14">
        <f>IFERROR(INDEX(FuelLab,MATCH($C250,FuelKeyL,0)),"")</f>
        <v/>
      </c>
    </row>
    <row r="251">
      <c r="A251" s="14">
        <f>$B251&amp;"|"&amp;$C251</f>
        <v/>
      </c>
      <c r="B251" s="22" t="inlineStr">
        <is>
          <t>cst</t>
        </is>
      </c>
      <c r="C251" s="22" t="inlineStr">
        <is>
          <t>ker</t>
        </is>
      </c>
      <c r="D251" s="14">
        <f>IF($B251="",""," | "&amp;$E251&amp;" | "&amp;$F251)</f>
        <v/>
      </c>
      <c r="E251" s="14">
        <f>IFERROR(INDEX(SecLab,MATCH($B251,SecKey,0)),"")</f>
        <v/>
      </c>
      <c r="F251" s="14">
        <f>IFERROR(INDEX(FuelLab,MATCH($C251,FuelKeyL,0)),"")</f>
        <v/>
      </c>
    </row>
    <row r="252">
      <c r="A252" s="14">
        <f>$B252&amp;"|"&amp;$C252</f>
        <v/>
      </c>
      <c r="B252" s="22" t="inlineStr">
        <is>
          <t>cst</t>
        </is>
      </c>
      <c r="C252" s="22" t="inlineStr">
        <is>
          <t>oop</t>
        </is>
      </c>
      <c r="D252" s="14">
        <f>IF($B252="",""," | "&amp;$E252&amp;" | "&amp;$F252)</f>
        <v/>
      </c>
      <c r="E252" s="14">
        <f>IFERROR(INDEX(SecLab,MATCH($B252,SecKey,0)),"")</f>
        <v/>
      </c>
      <c r="F252" s="14">
        <f>IFERROR(INDEX(FuelLab,MATCH($C252,FuelKeyL,0)),"")</f>
        <v/>
      </c>
    </row>
    <row r="253">
      <c r="A253" s="14">
        <f>$B253&amp;"|"&amp;$C253</f>
        <v/>
      </c>
      <c r="B253" s="22" t="inlineStr">
        <is>
          <t>cst</t>
        </is>
      </c>
      <c r="C253" s="22" t="inlineStr">
        <is>
          <t>bio</t>
        </is>
      </c>
      <c r="D253" s="14">
        <f>IF($B253="",""," | "&amp;$E253&amp;" | "&amp;$F253)</f>
        <v/>
      </c>
      <c r="E253" s="14">
        <f>IFERROR(INDEX(SecLab,MATCH($B253,SecKey,0)),"")</f>
        <v/>
      </c>
      <c r="F253" s="14">
        <f>IFERROR(INDEX(FuelLab,MATCH($C253,FuelKeyL,0)),"")</f>
        <v/>
      </c>
    </row>
    <row r="254">
      <c r="A254" s="14">
        <f>$B254&amp;"|"&amp;$C254</f>
        <v/>
      </c>
      <c r="B254" s="22" t="inlineStr">
        <is>
          <t>ftr</t>
        </is>
      </c>
      <c r="C254" s="22" t="inlineStr">
        <is>
          <t>ecy</t>
        </is>
      </c>
      <c r="D254" s="14">
        <f>IF($B254="",""," | "&amp;$E254&amp;" | "&amp;$F254)</f>
        <v/>
      </c>
      <c r="E254" s="14">
        <f>IFERROR(INDEX(SecLab,MATCH($B254,SecKey,0)),"")</f>
        <v/>
      </c>
      <c r="F254" s="14">
        <f>IFERROR(INDEX(FuelLab,MATCH($C254,FuelKeyL,0)),"")</f>
        <v/>
      </c>
    </row>
    <row r="255">
      <c r="A255" s="14">
        <f>$B255&amp;"|"&amp;$C255</f>
        <v/>
      </c>
      <c r="B255" s="22" t="inlineStr">
        <is>
          <t>ftr</t>
        </is>
      </c>
      <c r="C255" s="22" t="inlineStr">
        <is>
          <t>coa</t>
        </is>
      </c>
      <c r="D255" s="14">
        <f>IF($B255="",""," | "&amp;$E255&amp;" | "&amp;$F255)</f>
        <v/>
      </c>
      <c r="E255" s="14">
        <f>IFERROR(INDEX(SecLab,MATCH($B255,SecKey,0)),"")</f>
        <v/>
      </c>
      <c r="F255" s="14">
        <f>IFERROR(INDEX(FuelLab,MATCH($C255,FuelKeyL,0)),"")</f>
        <v/>
      </c>
    </row>
    <row r="256">
      <c r="A256" s="14">
        <f>$B256&amp;"|"&amp;$C256</f>
        <v/>
      </c>
      <c r="B256" s="22" t="inlineStr">
        <is>
          <t>ftr</t>
        </is>
      </c>
      <c r="C256" s="22" t="inlineStr">
        <is>
          <t>nga</t>
        </is>
      </c>
      <c r="D256" s="14">
        <f>IF($B256="",""," | "&amp;$E256&amp;" | "&amp;$F256)</f>
        <v/>
      </c>
      <c r="E256" s="14">
        <f>IFERROR(INDEX(SecLab,MATCH($B256,SecKey,0)),"")</f>
        <v/>
      </c>
      <c r="F256" s="14">
        <f>IFERROR(INDEX(FuelLab,MATCH($C256,FuelKeyL,0)),"")</f>
        <v/>
      </c>
    </row>
    <row r="257">
      <c r="A257" s="14">
        <f>$B257&amp;"|"&amp;$C257</f>
        <v/>
      </c>
      <c r="B257" s="22" t="inlineStr">
        <is>
          <t>ftr</t>
        </is>
      </c>
      <c r="C257" s="22" t="inlineStr">
        <is>
          <t>gso</t>
        </is>
      </c>
      <c r="D257" s="14">
        <f>IF($B257="",""," | "&amp;$E257&amp;" | "&amp;$F257)</f>
        <v/>
      </c>
      <c r="E257" s="14">
        <f>IFERROR(INDEX(SecLab,MATCH($B257,SecKey,0)),"")</f>
        <v/>
      </c>
      <c r="F257" s="14">
        <f>IFERROR(INDEX(FuelLab,MATCH($C257,FuelKeyL,0)),"")</f>
        <v/>
      </c>
    </row>
    <row r="258">
      <c r="A258" s="14">
        <f>$B258&amp;"|"&amp;$C258</f>
        <v/>
      </c>
      <c r="B258" s="22" t="inlineStr">
        <is>
          <t>ftr</t>
        </is>
      </c>
      <c r="C258" s="22" t="inlineStr">
        <is>
          <t>die</t>
        </is>
      </c>
      <c r="D258" s="14">
        <f>IF($B258="",""," | "&amp;$E258&amp;" | "&amp;$F258)</f>
        <v/>
      </c>
      <c r="E258" s="14">
        <f>IFERROR(INDEX(SecLab,MATCH($B258,SecKey,0)),"")</f>
        <v/>
      </c>
      <c r="F258" s="14">
        <f>IFERROR(INDEX(FuelLab,MATCH($C258,FuelKeyL,0)),"")</f>
        <v/>
      </c>
    </row>
    <row r="259">
      <c r="A259" s="14">
        <f>$B259&amp;"|"&amp;$C259</f>
        <v/>
      </c>
      <c r="B259" s="22" t="inlineStr">
        <is>
          <t>ftr</t>
        </is>
      </c>
      <c r="C259" s="22" t="inlineStr">
        <is>
          <t>lpg</t>
        </is>
      </c>
      <c r="D259" s="14">
        <f>IF($B259="",""," | "&amp;$E259&amp;" | "&amp;$F259)</f>
        <v/>
      </c>
      <c r="E259" s="14">
        <f>IFERROR(INDEX(SecLab,MATCH($B259,SecKey,0)),"")</f>
        <v/>
      </c>
      <c r="F259" s="14">
        <f>IFERROR(INDEX(FuelLab,MATCH($C259,FuelKeyL,0)),"")</f>
        <v/>
      </c>
    </row>
    <row r="260">
      <c r="A260" s="14">
        <f>$B260&amp;"|"&amp;$C260</f>
        <v/>
      </c>
      <c r="B260" s="22" t="inlineStr">
        <is>
          <t>ftr</t>
        </is>
      </c>
      <c r="C260" s="22" t="inlineStr">
        <is>
          <t>ker</t>
        </is>
      </c>
      <c r="D260" s="14">
        <f>IF($B260="",""," | "&amp;$E260&amp;" | "&amp;$F260)</f>
        <v/>
      </c>
      <c r="E260" s="14">
        <f>IFERROR(INDEX(SecLab,MATCH($B260,SecKey,0)),"")</f>
        <v/>
      </c>
      <c r="F260" s="14">
        <f>IFERROR(INDEX(FuelLab,MATCH($C260,FuelKeyL,0)),"")</f>
        <v/>
      </c>
    </row>
    <row r="261">
      <c r="A261" s="14">
        <f>$B261&amp;"|"&amp;$C261</f>
        <v/>
      </c>
      <c r="B261" s="22" t="inlineStr">
        <is>
          <t>ftr</t>
        </is>
      </c>
      <c r="C261" s="22" t="inlineStr">
        <is>
          <t>oop</t>
        </is>
      </c>
      <c r="D261" s="14">
        <f>IF($B261="",""," | "&amp;$E261&amp;" | "&amp;$F261)</f>
        <v/>
      </c>
      <c r="E261" s="14">
        <f>IFERROR(INDEX(SecLab,MATCH($B261,SecKey,0)),"")</f>
        <v/>
      </c>
      <c r="F261" s="14">
        <f>IFERROR(INDEX(FuelLab,MATCH($C261,FuelKeyL,0)),"")</f>
        <v/>
      </c>
    </row>
    <row r="262">
      <c r="A262" s="14">
        <f>$B262&amp;"|"&amp;$C262</f>
        <v/>
      </c>
      <c r="B262" s="22" t="inlineStr">
        <is>
          <t>ftr</t>
        </is>
      </c>
      <c r="C262" s="22" t="inlineStr">
        <is>
          <t>bio</t>
        </is>
      </c>
      <c r="D262" s="14">
        <f>IF($B262="",""," | "&amp;$E262&amp;" | "&amp;$F262)</f>
        <v/>
      </c>
      <c r="E262" s="14">
        <f>IFERROR(INDEX(SecLab,MATCH($B262,SecKey,0)),"")</f>
        <v/>
      </c>
      <c r="F262" s="14">
        <f>IFERROR(INDEX(FuelLab,MATCH($C262,FuelKeyL,0)),"")</f>
        <v/>
      </c>
    </row>
    <row r="263">
      <c r="A263" s="14">
        <f>$B263&amp;"|"&amp;$C263</f>
        <v/>
      </c>
      <c r="B263" s="22" t="inlineStr">
        <is>
          <t>oen</t>
        </is>
      </c>
      <c r="C263" s="22" t="inlineStr">
        <is>
          <t>coa</t>
        </is>
      </c>
      <c r="D263" s="14">
        <f>IF($B263="",""," | "&amp;$E263&amp;" | "&amp;$F263)</f>
        <v/>
      </c>
      <c r="E263" s="14">
        <f>IFERROR(INDEX(SecLab,MATCH($B263,SecKey,0)),"")</f>
        <v/>
      </c>
      <c r="F263" s="14">
        <f>IFERROR(INDEX(FuelLab,MATCH($C263,FuelKeyL,0)),"")</f>
        <v/>
      </c>
    </row>
    <row r="264">
      <c r="A264" s="14">
        <f>$B264&amp;"|"&amp;$C264</f>
        <v/>
      </c>
      <c r="B264" s="22" t="inlineStr">
        <is>
          <t>oen</t>
        </is>
      </c>
      <c r="C264" s="22" t="inlineStr">
        <is>
          <t>nga</t>
        </is>
      </c>
      <c r="D264" s="14">
        <f>IF($B264="",""," | "&amp;$E264&amp;" | "&amp;$F264)</f>
        <v/>
      </c>
      <c r="E264" s="14">
        <f>IFERROR(INDEX(SecLab,MATCH($B264,SecKey,0)),"")</f>
        <v/>
      </c>
      <c r="F264" s="14">
        <f>IFERROR(INDEX(FuelLab,MATCH($C264,FuelKeyL,0)),"")</f>
        <v/>
      </c>
    </row>
    <row r="265">
      <c r="A265" s="14">
        <f>$B265&amp;"|"&amp;$C265</f>
        <v/>
      </c>
      <c r="B265" s="22" t="inlineStr">
        <is>
          <t>oen</t>
        </is>
      </c>
      <c r="C265" s="22" t="inlineStr">
        <is>
          <t>gso</t>
        </is>
      </c>
      <c r="D265" s="14">
        <f>IF($B265="",""," | "&amp;$E265&amp;" | "&amp;$F265)</f>
        <v/>
      </c>
      <c r="E265" s="14">
        <f>IFERROR(INDEX(SecLab,MATCH($B265,SecKey,0)),"")</f>
        <v/>
      </c>
      <c r="F265" s="14">
        <f>IFERROR(INDEX(FuelLab,MATCH($C265,FuelKeyL,0)),"")</f>
        <v/>
      </c>
    </row>
    <row r="266">
      <c r="A266" s="14">
        <f>$B266&amp;"|"&amp;$C266</f>
        <v/>
      </c>
      <c r="B266" s="22" t="inlineStr">
        <is>
          <t>oen</t>
        </is>
      </c>
      <c r="C266" s="22" t="inlineStr">
        <is>
          <t>die</t>
        </is>
      </c>
      <c r="D266" s="14">
        <f>IF($B266="",""," | "&amp;$E266&amp;" | "&amp;$F266)</f>
        <v/>
      </c>
      <c r="E266" s="14">
        <f>IFERROR(INDEX(SecLab,MATCH($B266,SecKey,0)),"")</f>
        <v/>
      </c>
      <c r="F266" s="14">
        <f>IFERROR(INDEX(FuelLab,MATCH($C266,FuelKeyL,0)),"")</f>
        <v/>
      </c>
    </row>
    <row r="267">
      <c r="A267" s="14">
        <f>$B267&amp;"|"&amp;$C267</f>
        <v/>
      </c>
      <c r="B267" s="22" t="inlineStr">
        <is>
          <t>oen</t>
        </is>
      </c>
      <c r="C267" s="22" t="inlineStr">
        <is>
          <t>lpg</t>
        </is>
      </c>
      <c r="D267" s="14">
        <f>IF($B267="",""," | "&amp;$E267&amp;" | "&amp;$F267)</f>
        <v/>
      </c>
      <c r="E267" s="14">
        <f>IFERROR(INDEX(SecLab,MATCH($B267,SecKey,0)),"")</f>
        <v/>
      </c>
      <c r="F267" s="14">
        <f>IFERROR(INDEX(FuelLab,MATCH($C267,FuelKeyL,0)),"")</f>
        <v/>
      </c>
    </row>
    <row r="268">
      <c r="A268" s="14">
        <f>$B268&amp;"|"&amp;$C268</f>
        <v/>
      </c>
      <c r="B268" s="22" t="inlineStr">
        <is>
          <t>oen</t>
        </is>
      </c>
      <c r="C268" s="22" t="inlineStr">
        <is>
          <t>ker</t>
        </is>
      </c>
      <c r="D268" s="14">
        <f>IF($B268="",""," | "&amp;$E268&amp;" | "&amp;$F268)</f>
        <v/>
      </c>
      <c r="E268" s="14">
        <f>IFERROR(INDEX(SecLab,MATCH($B268,SecKey,0)),"")</f>
        <v/>
      </c>
      <c r="F268" s="14">
        <f>IFERROR(INDEX(FuelLab,MATCH($C268,FuelKeyL,0)),"")</f>
        <v/>
      </c>
    </row>
    <row r="269">
      <c r="A269" s="14">
        <f>$B269&amp;"|"&amp;$C269</f>
        <v/>
      </c>
      <c r="B269" s="22" t="inlineStr">
        <is>
          <t>oen</t>
        </is>
      </c>
      <c r="C269" s="22" t="inlineStr">
        <is>
          <t>oop</t>
        </is>
      </c>
      <c r="D269" s="14">
        <f>IF($B269="",""," | "&amp;$E269&amp;" | "&amp;$F269)</f>
        <v/>
      </c>
      <c r="E269" s="14">
        <f>IFERROR(INDEX(SecLab,MATCH($B269,SecKey,0)),"")</f>
        <v/>
      </c>
      <c r="F269" s="14">
        <f>IFERROR(INDEX(FuelLab,MATCH($C269,FuelKeyL,0)),"")</f>
        <v/>
      </c>
    </row>
    <row r="270">
      <c r="A270" s="14">
        <f>$B270&amp;"|"&amp;$C270</f>
        <v/>
      </c>
      <c r="B270" s="22" t="inlineStr">
        <is>
          <t>oen</t>
        </is>
      </c>
      <c r="C270" s="22" t="inlineStr">
        <is>
          <t>bio</t>
        </is>
      </c>
      <c r="D270" s="14">
        <f>IF($B270="",""," | "&amp;$E270&amp;" | "&amp;$F270)</f>
        <v/>
      </c>
      <c r="E270" s="14">
        <f>IFERROR(INDEX(SecLab,MATCH($B270,SecKey,0)),"")</f>
        <v/>
      </c>
      <c r="F270" s="14">
        <f>IFERROR(INDEX(FuelLab,MATCH($C270,FuelKeyL,0)),"")</f>
        <v/>
      </c>
    </row>
    <row r="271">
      <c r="A271" s="14">
        <f>$B271&amp;"|"&amp;$C271</f>
        <v/>
      </c>
      <c r="B271" s="22" t="inlineStr">
        <is>
          <t>all</t>
        </is>
      </c>
      <c r="C271" s="22" t="inlineStr">
        <is>
          <t>all</t>
        </is>
      </c>
      <c r="D271" s="14">
        <f>IF($B271="",""," | "&amp;$E271&amp;" | "&amp;$F271)</f>
        <v/>
      </c>
      <c r="E271" s="14">
        <f>IFERROR(INDEX(SecLab,MATCH($B271,SecKey,0)),"")</f>
        <v/>
      </c>
      <c r="F271" s="14">
        <f>IFERROR(INDEX(FuelLab,MATCH($C271,FuelKeyL,0)),"")</f>
        <v/>
      </c>
    </row>
    <row r="272">
      <c r="A272" s="14">
        <f>$B272&amp;"|"&amp;$C272</f>
        <v/>
      </c>
      <c r="B272" s="22" t="inlineStr">
        <is>
          <t>all</t>
        </is>
      </c>
      <c r="C272" s="22" t="inlineStr">
        <is>
          <t>ecy</t>
        </is>
      </c>
      <c r="D272" s="14">
        <f>IF($B272="",""," | "&amp;$E272&amp;" | "&amp;$F272)</f>
        <v/>
      </c>
      <c r="E272" s="14">
        <f>IFERROR(INDEX(SecLab,MATCH($B272,SecKey,0)),"")</f>
        <v/>
      </c>
      <c r="F272" s="14">
        <f>IFERROR(INDEX(FuelLab,MATCH($C272,FuelKeyL,0)),"")</f>
        <v/>
      </c>
    </row>
    <row r="273">
      <c r="A273" s="14">
        <f>$B273&amp;"|"&amp;$C273</f>
        <v/>
      </c>
      <c r="B273" s="22" t="inlineStr">
        <is>
          <t>bld</t>
        </is>
      </c>
      <c r="C273" s="22" t="inlineStr">
        <is>
          <t>ecy</t>
        </is>
      </c>
      <c r="D273" s="14">
        <f>IF($B273="",""," | "&amp;$E273&amp;" | "&amp;$F273)</f>
        <v/>
      </c>
      <c r="E273" s="14">
        <f>IFERROR(INDEX(SecLab,MATCH($B273,SecKey,0)),"")</f>
        <v/>
      </c>
      <c r="F273" s="14">
        <f>IFERROR(INDEX(FuelLab,MATCH($C273,FuelKeyL,0)),"")</f>
        <v/>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A1"/>
  <sheetViews>
    <sheetView tabSelected="0" workbookViewId="0">
      <selection activeCell="A1" sqref="A1"/>
    </sheetView>
  </sheetViews>
  <sheetFormatPr baseColWidth="8" defaultRowHeight="15"/>
  <sheetData>
    <row r="1">
      <c r="A1" s="1" t="inlineStr">
        <is>
          <t>Data sheets follow</t>
        </is>
      </c>
    </row>
  </sheetData>
  <pageMargins left="0.75" right="0.75" top="1" bottom="1" header="0.5" footer="0.5"/>
</worksheet>
</file>

<file path=xl/worksheets/sheet18.xml><?xml version="1.0" encoding="utf-8"?>
<worksheet xmlns="http://schemas.openxmlformats.org/spreadsheetml/2006/main">
  <sheetPr codeName="Sheet18">
    <outlinePr summaryBelow="1" summaryRight="1"/>
    <pageSetUpPr/>
  </sheetPr>
  <dimension ref="A1:E2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138-141 (country columns)</t>
        </is>
      </c>
    </row>
    <row r="2">
      <c r="A2" s="2" t="inlineStr">
        <is>
          <t>Countries: code, region and income group</t>
        </is>
      </c>
      <c r="B2" s="3" t="n"/>
      <c r="C2" s="3" t="n"/>
      <c r="D2" s="3" t="n"/>
      <c r="E2" s="3" t="n"/>
    </row>
    <row r="3">
      <c r="A3" s="83" t="inlineStr">
        <is>
          <t>code</t>
        </is>
      </c>
      <c r="B3" s="83" t="inlineStr">
        <is>
          <t>name</t>
        </is>
      </c>
      <c r="C3" s="83" t="inlineStr">
        <is>
          <t>region</t>
        </is>
      </c>
      <c r="D3" s="83" t="inlineStr">
        <is>
          <t>income_group</t>
        </is>
      </c>
      <c r="E3" s="83" t="inlineStr">
        <is>
          <t>source</t>
        </is>
      </c>
    </row>
    <row r="4">
      <c r="A4" s="14" t="inlineStr">
        <is>
          <t>ABW</t>
        </is>
      </c>
      <c r="B4" s="14" t="inlineStr">
        <is>
          <t>Aruba</t>
        </is>
      </c>
      <c r="C4" s="14" t="inlineStr">
        <is>
          <t>LCN</t>
        </is>
      </c>
      <c r="D4" s="14" t="inlineStr">
        <is>
          <t>HIC</t>
        </is>
      </c>
      <c r="E4" s="14" t="inlineStr">
        <is>
          <t>Elasticities!13:138-141</t>
        </is>
      </c>
    </row>
    <row r="5">
      <c r="A5" s="14" t="inlineStr">
        <is>
          <t>AFG</t>
        </is>
      </c>
      <c r="B5" s="14" t="inlineStr">
        <is>
          <t>Afghanistan</t>
        </is>
      </c>
      <c r="C5" s="14" t="inlineStr">
        <is>
          <t>SAS</t>
        </is>
      </c>
      <c r="D5" s="14" t="inlineStr">
        <is>
          <t>LIC</t>
        </is>
      </c>
      <c r="E5" s="14" t="inlineStr">
        <is>
          <t>Elasticities!14:138-141</t>
        </is>
      </c>
    </row>
    <row r="6">
      <c r="A6" s="14" t="inlineStr">
        <is>
          <t>AGO</t>
        </is>
      </c>
      <c r="B6" s="14" t="inlineStr">
        <is>
          <t>Angola</t>
        </is>
      </c>
      <c r="C6" s="14" t="inlineStr">
        <is>
          <t>SSF</t>
        </is>
      </c>
      <c r="D6" s="14" t="inlineStr">
        <is>
          <t>LMIC</t>
        </is>
      </c>
      <c r="E6" s="14" t="inlineStr">
        <is>
          <t>Elasticities!15:138-141</t>
        </is>
      </c>
    </row>
    <row r="7">
      <c r="A7" s="14" t="inlineStr">
        <is>
          <t>ALB</t>
        </is>
      </c>
      <c r="B7" s="14" t="inlineStr">
        <is>
          <t>Albania</t>
        </is>
      </c>
      <c r="C7" s="14" t="inlineStr">
        <is>
          <t>ECS</t>
        </is>
      </c>
      <c r="D7" s="14" t="inlineStr">
        <is>
          <t>UMIC</t>
        </is>
      </c>
      <c r="E7" s="14" t="inlineStr">
        <is>
          <t>Elasticities!16:138-141</t>
        </is>
      </c>
    </row>
    <row r="8">
      <c r="A8" s="14" t="inlineStr">
        <is>
          <t>AND</t>
        </is>
      </c>
      <c r="B8" s="14" t="inlineStr">
        <is>
          <t>Andorra</t>
        </is>
      </c>
      <c r="C8" s="14" t="inlineStr">
        <is>
          <t>ECS</t>
        </is>
      </c>
      <c r="D8" s="14" t="inlineStr">
        <is>
          <t>HIC</t>
        </is>
      </c>
      <c r="E8" s="14" t="inlineStr">
        <is>
          <t>Elasticities!17:138-141</t>
        </is>
      </c>
    </row>
    <row r="9">
      <c r="A9" s="14" t="inlineStr">
        <is>
          <t>ARE</t>
        </is>
      </c>
      <c r="B9" s="14" t="inlineStr">
        <is>
          <t>United Arab Emirates</t>
        </is>
      </c>
      <c r="C9" s="14" t="inlineStr">
        <is>
          <t>MEA</t>
        </is>
      </c>
      <c r="D9" s="14" t="inlineStr">
        <is>
          <t>HIC</t>
        </is>
      </c>
      <c r="E9" s="14" t="inlineStr">
        <is>
          <t>Elasticities!18:138-141</t>
        </is>
      </c>
    </row>
    <row r="10">
      <c r="A10" s="14" t="inlineStr">
        <is>
          <t>ARG</t>
        </is>
      </c>
      <c r="B10" s="14" t="inlineStr">
        <is>
          <t>Argentina</t>
        </is>
      </c>
      <c r="C10" s="14" t="inlineStr">
        <is>
          <t>LCN</t>
        </is>
      </c>
      <c r="D10" s="14" t="inlineStr">
        <is>
          <t>HIC</t>
        </is>
      </c>
      <c r="E10" s="14" t="inlineStr">
        <is>
          <t>Elasticities!19:138-141</t>
        </is>
      </c>
    </row>
    <row r="11">
      <c r="A11" s="14" t="inlineStr">
        <is>
          <t>ARM</t>
        </is>
      </c>
      <c r="B11" s="14" t="inlineStr">
        <is>
          <t>Armenia</t>
        </is>
      </c>
      <c r="C11" s="14" t="inlineStr">
        <is>
          <t>ECS</t>
        </is>
      </c>
      <c r="D11" s="14" t="inlineStr">
        <is>
          <t>UMIC</t>
        </is>
      </c>
      <c r="E11" s="14" t="inlineStr">
        <is>
          <t>Elasticities!20:138-141</t>
        </is>
      </c>
    </row>
    <row r="12">
      <c r="A12" s="14" t="inlineStr">
        <is>
          <t>ASM</t>
        </is>
      </c>
      <c r="B12" s="14" t="inlineStr">
        <is>
          <t>American Samoa</t>
        </is>
      </c>
      <c r="C12" s="14" t="inlineStr">
        <is>
          <t>EAS</t>
        </is>
      </c>
      <c r="D12" s="14" t="inlineStr">
        <is>
          <t>UMIC</t>
        </is>
      </c>
      <c r="E12" s="14" t="inlineStr">
        <is>
          <t>Elasticities!21:138-141</t>
        </is>
      </c>
    </row>
    <row r="13">
      <c r="A13" s="14" t="inlineStr">
        <is>
          <t>ATG</t>
        </is>
      </c>
      <c r="B13" s="14" t="inlineStr">
        <is>
          <t>Antigua and Barbuda</t>
        </is>
      </c>
      <c r="C13" s="14" t="inlineStr">
        <is>
          <t>LCN</t>
        </is>
      </c>
      <c r="D13" s="14" t="inlineStr">
        <is>
          <t>HIC</t>
        </is>
      </c>
      <c r="E13" s="14" t="inlineStr">
        <is>
          <t>Elasticities!22:138-141</t>
        </is>
      </c>
    </row>
    <row r="14">
      <c r="A14" s="14" t="inlineStr">
        <is>
          <t>AUS</t>
        </is>
      </c>
      <c r="B14" s="14" t="inlineStr">
        <is>
          <t>Australia</t>
        </is>
      </c>
      <c r="C14" s="14" t="inlineStr">
        <is>
          <t>EAS</t>
        </is>
      </c>
      <c r="D14" s="14" t="inlineStr">
        <is>
          <t>HIC</t>
        </is>
      </c>
      <c r="E14" s="14" t="inlineStr">
        <is>
          <t>Elasticities!23:138-141</t>
        </is>
      </c>
    </row>
    <row r="15">
      <c r="A15" s="14" t="inlineStr">
        <is>
          <t>AUT</t>
        </is>
      </c>
      <c r="B15" s="14" t="inlineStr">
        <is>
          <t>Austria</t>
        </is>
      </c>
      <c r="C15" s="14" t="inlineStr">
        <is>
          <t>ECS</t>
        </is>
      </c>
      <c r="D15" s="14" t="inlineStr">
        <is>
          <t>HIC</t>
        </is>
      </c>
      <c r="E15" s="14" t="inlineStr">
        <is>
          <t>Elasticities!24:138-141</t>
        </is>
      </c>
    </row>
    <row r="16">
      <c r="A16" s="14" t="inlineStr">
        <is>
          <t>AZE</t>
        </is>
      </c>
      <c r="B16" s="14" t="inlineStr">
        <is>
          <t>Azerbaijan</t>
        </is>
      </c>
      <c r="C16" s="14" t="inlineStr">
        <is>
          <t>ECS</t>
        </is>
      </c>
      <c r="D16" s="14" t="inlineStr">
        <is>
          <t>UMIC</t>
        </is>
      </c>
      <c r="E16" s="14" t="inlineStr">
        <is>
          <t>Elasticities!25:138-141</t>
        </is>
      </c>
    </row>
    <row r="17">
      <c r="A17" s="14" t="inlineStr">
        <is>
          <t>BDI</t>
        </is>
      </c>
      <c r="B17" s="14" t="inlineStr">
        <is>
          <t>Burundi</t>
        </is>
      </c>
      <c r="C17" s="14" t="inlineStr">
        <is>
          <t>SSF</t>
        </is>
      </c>
      <c r="D17" s="14" t="inlineStr">
        <is>
          <t>LIC</t>
        </is>
      </c>
      <c r="E17" s="14" t="inlineStr">
        <is>
          <t>Elasticities!26:138-141</t>
        </is>
      </c>
    </row>
    <row r="18">
      <c r="A18" s="14" t="inlineStr">
        <is>
          <t>BEL</t>
        </is>
      </c>
      <c r="B18" s="14" t="inlineStr">
        <is>
          <t>Belgium</t>
        </is>
      </c>
      <c r="C18" s="14" t="inlineStr">
        <is>
          <t>ECS</t>
        </is>
      </c>
      <c r="D18" s="14" t="inlineStr">
        <is>
          <t>HIC</t>
        </is>
      </c>
      <c r="E18" s="14" t="inlineStr">
        <is>
          <t>Elasticities!27:138-141</t>
        </is>
      </c>
    </row>
    <row r="19">
      <c r="A19" s="14" t="inlineStr">
        <is>
          <t>BEN</t>
        </is>
      </c>
      <c r="B19" s="14" t="inlineStr">
        <is>
          <t>Benin</t>
        </is>
      </c>
      <c r="C19" s="14" t="inlineStr">
        <is>
          <t>SSF</t>
        </is>
      </c>
      <c r="D19" s="14" t="inlineStr">
        <is>
          <t>LIC</t>
        </is>
      </c>
      <c r="E19" s="14" t="inlineStr">
        <is>
          <t>Elasticities!28:138-141</t>
        </is>
      </c>
    </row>
    <row r="20">
      <c r="A20" s="14" t="inlineStr">
        <is>
          <t>BFA</t>
        </is>
      </c>
      <c r="B20" s="14" t="inlineStr">
        <is>
          <t>Burkina Faso</t>
        </is>
      </c>
      <c r="C20" s="14" t="inlineStr">
        <is>
          <t>SSF</t>
        </is>
      </c>
      <c r="D20" s="14" t="inlineStr">
        <is>
          <t>LIC</t>
        </is>
      </c>
      <c r="E20" s="14" t="inlineStr">
        <is>
          <t>Elasticities!29:138-141</t>
        </is>
      </c>
    </row>
    <row r="21">
      <c r="A21" s="14" t="inlineStr">
        <is>
          <t>BGD</t>
        </is>
      </c>
      <c r="B21" s="14" t="inlineStr">
        <is>
          <t>Bangladesh</t>
        </is>
      </c>
      <c r="C21" s="14" t="inlineStr">
        <is>
          <t>SAS</t>
        </is>
      </c>
      <c r="D21" s="14" t="inlineStr">
        <is>
          <t>LMIC</t>
        </is>
      </c>
      <c r="E21" s="14" t="inlineStr">
        <is>
          <t>Elasticities!30:138-141</t>
        </is>
      </c>
    </row>
    <row r="22">
      <c r="A22" s="14" t="inlineStr">
        <is>
          <t>BGR</t>
        </is>
      </c>
      <c r="B22" s="14" t="inlineStr">
        <is>
          <t>Bulgaria</t>
        </is>
      </c>
      <c r="C22" s="14" t="inlineStr">
        <is>
          <t>ECS</t>
        </is>
      </c>
      <c r="D22" s="14" t="inlineStr">
        <is>
          <t>UMIC</t>
        </is>
      </c>
      <c r="E22" s="14" t="inlineStr">
        <is>
          <t>Elasticities!31:138-141</t>
        </is>
      </c>
    </row>
    <row r="23">
      <c r="A23" s="14" t="inlineStr">
        <is>
          <t>BHR</t>
        </is>
      </c>
      <c r="B23" s="14" t="inlineStr">
        <is>
          <t>Bahrain</t>
        </is>
      </c>
      <c r="C23" s="14" t="inlineStr">
        <is>
          <t>MEA</t>
        </is>
      </c>
      <c r="D23" s="14" t="inlineStr">
        <is>
          <t>HIC</t>
        </is>
      </c>
      <c r="E23" s="14" t="inlineStr">
        <is>
          <t>Elasticities!32:138-141</t>
        </is>
      </c>
    </row>
    <row r="24">
      <c r="A24" s="14" t="inlineStr">
        <is>
          <t>BHS</t>
        </is>
      </c>
      <c r="B24" s="14" t="inlineStr">
        <is>
          <t>Bahamas, The</t>
        </is>
      </c>
      <c r="C24" s="14" t="inlineStr">
        <is>
          <t>LCN</t>
        </is>
      </c>
      <c r="D24" s="14" t="inlineStr">
        <is>
          <t>HIC</t>
        </is>
      </c>
      <c r="E24" s="14" t="inlineStr">
        <is>
          <t>Elasticities!33:138-141</t>
        </is>
      </c>
    </row>
    <row r="25">
      <c r="A25" s="14" t="inlineStr">
        <is>
          <t>BIH</t>
        </is>
      </c>
      <c r="B25" s="14" t="inlineStr">
        <is>
          <t>Bosnia and Herzegovina</t>
        </is>
      </c>
      <c r="C25" s="14" t="inlineStr">
        <is>
          <t>ECS</t>
        </is>
      </c>
      <c r="D25" s="14" t="inlineStr">
        <is>
          <t>UMIC</t>
        </is>
      </c>
      <c r="E25" s="14" t="inlineStr">
        <is>
          <t>Elasticities!34:138-141</t>
        </is>
      </c>
    </row>
    <row r="26">
      <c r="A26" s="14" t="inlineStr">
        <is>
          <t>BLR</t>
        </is>
      </c>
      <c r="B26" s="14" t="inlineStr">
        <is>
          <t>Belarus</t>
        </is>
      </c>
      <c r="C26" s="14" t="inlineStr">
        <is>
          <t>ECS</t>
        </is>
      </c>
      <c r="D26" s="14" t="inlineStr">
        <is>
          <t>UMIC</t>
        </is>
      </c>
      <c r="E26" s="14" t="inlineStr">
        <is>
          <t>Elasticities!35:138-141</t>
        </is>
      </c>
    </row>
    <row r="27">
      <c r="A27" s="14" t="inlineStr">
        <is>
          <t>BLZ</t>
        </is>
      </c>
      <c r="B27" s="14" t="inlineStr">
        <is>
          <t>Belize</t>
        </is>
      </c>
      <c r="C27" s="14" t="inlineStr">
        <is>
          <t>LCN</t>
        </is>
      </c>
      <c r="D27" s="14" t="inlineStr">
        <is>
          <t>UMIC</t>
        </is>
      </c>
      <c r="E27" s="14" t="inlineStr">
        <is>
          <t>Elasticities!36:138-141</t>
        </is>
      </c>
    </row>
    <row r="28">
      <c r="A28" s="14" t="inlineStr">
        <is>
          <t>BMU</t>
        </is>
      </c>
      <c r="B28" s="14" t="inlineStr">
        <is>
          <t>Bermuda</t>
        </is>
      </c>
      <c r="C28" s="14" t="inlineStr">
        <is>
          <t>NAC</t>
        </is>
      </c>
      <c r="D28" s="14" t="inlineStr">
        <is>
          <t>HIC</t>
        </is>
      </c>
      <c r="E28" s="14" t="inlineStr">
        <is>
          <t>Elasticities!37:138-141</t>
        </is>
      </c>
    </row>
    <row r="29">
      <c r="A29" s="14" t="inlineStr">
        <is>
          <t>BOL</t>
        </is>
      </c>
      <c r="B29" s="14" t="inlineStr">
        <is>
          <t>Bolivia</t>
        </is>
      </c>
      <c r="C29" s="14" t="inlineStr">
        <is>
          <t>LCN</t>
        </is>
      </c>
      <c r="D29" s="14" t="inlineStr">
        <is>
          <t>LMIC</t>
        </is>
      </c>
      <c r="E29" s="14" t="inlineStr">
        <is>
          <t>Elasticities!38:138-141</t>
        </is>
      </c>
    </row>
    <row r="30">
      <c r="A30" s="14" t="inlineStr">
        <is>
          <t>BRA</t>
        </is>
      </c>
      <c r="B30" s="14" t="inlineStr">
        <is>
          <t>Brazil</t>
        </is>
      </c>
      <c r="C30" s="14" t="inlineStr">
        <is>
          <t>LCN</t>
        </is>
      </c>
      <c r="D30" s="14" t="inlineStr">
        <is>
          <t>UMIC</t>
        </is>
      </c>
      <c r="E30" s="14" t="inlineStr">
        <is>
          <t>Elasticities!39:138-141</t>
        </is>
      </c>
    </row>
    <row r="31">
      <c r="A31" s="14" t="inlineStr">
        <is>
          <t>BRB</t>
        </is>
      </c>
      <c r="B31" s="14" t="inlineStr">
        <is>
          <t>Barbados</t>
        </is>
      </c>
      <c r="C31" s="14" t="inlineStr">
        <is>
          <t>LCN</t>
        </is>
      </c>
      <c r="D31" s="14" t="inlineStr">
        <is>
          <t>HIC</t>
        </is>
      </c>
      <c r="E31" s="14" t="inlineStr">
        <is>
          <t>Elasticities!40:138-141</t>
        </is>
      </c>
    </row>
    <row r="32">
      <c r="A32" s="14" t="inlineStr">
        <is>
          <t>BRN</t>
        </is>
      </c>
      <c r="B32" s="14" t="inlineStr">
        <is>
          <t>Brunei Darussalam</t>
        </is>
      </c>
      <c r="C32" s="14" t="inlineStr">
        <is>
          <t>EAS</t>
        </is>
      </c>
      <c r="D32" s="14" t="inlineStr">
        <is>
          <t>HIC</t>
        </is>
      </c>
      <c r="E32" s="14" t="inlineStr">
        <is>
          <t>Elasticities!41:138-141</t>
        </is>
      </c>
    </row>
    <row r="33">
      <c r="A33" s="14" t="inlineStr">
        <is>
          <t>BTN</t>
        </is>
      </c>
      <c r="B33" s="14" t="inlineStr">
        <is>
          <t>Bhutan</t>
        </is>
      </c>
      <c r="C33" s="14" t="inlineStr">
        <is>
          <t>SAS</t>
        </is>
      </c>
      <c r="D33" s="14" t="inlineStr">
        <is>
          <t>LMIC</t>
        </is>
      </c>
      <c r="E33" s="14" t="inlineStr">
        <is>
          <t>Elasticities!42:138-141</t>
        </is>
      </c>
    </row>
    <row r="34">
      <c r="A34" s="14" t="inlineStr">
        <is>
          <t>BWA</t>
        </is>
      </c>
      <c r="B34" s="14" t="inlineStr">
        <is>
          <t>Botswana</t>
        </is>
      </c>
      <c r="C34" s="14" t="inlineStr">
        <is>
          <t>SSF</t>
        </is>
      </c>
      <c r="D34" s="14" t="inlineStr">
        <is>
          <t>UMIC</t>
        </is>
      </c>
      <c r="E34" s="14" t="inlineStr">
        <is>
          <t>Elasticities!43:138-141</t>
        </is>
      </c>
    </row>
    <row r="35">
      <c r="A35" s="14" t="inlineStr">
        <is>
          <t>CAF</t>
        </is>
      </c>
      <c r="B35" s="14" t="inlineStr">
        <is>
          <t>Central African Republic</t>
        </is>
      </c>
      <c r="C35" s="14" t="inlineStr">
        <is>
          <t>SSF</t>
        </is>
      </c>
      <c r="D35" s="14" t="inlineStr">
        <is>
          <t>LIC</t>
        </is>
      </c>
      <c r="E35" s="14" t="inlineStr">
        <is>
          <t>Elasticities!44:138-141</t>
        </is>
      </c>
    </row>
    <row r="36">
      <c r="A36" s="14" t="inlineStr">
        <is>
          <t>CAN</t>
        </is>
      </c>
      <c r="B36" s="14" t="inlineStr">
        <is>
          <t>Canada</t>
        </is>
      </c>
      <c r="C36" s="14" t="inlineStr">
        <is>
          <t>NAC</t>
        </is>
      </c>
      <c r="D36" s="14" t="inlineStr">
        <is>
          <t>HIC</t>
        </is>
      </c>
      <c r="E36" s="14" t="inlineStr">
        <is>
          <t>Elasticities!45:138-141</t>
        </is>
      </c>
    </row>
    <row r="37">
      <c r="A37" s="14" t="inlineStr">
        <is>
          <t>CHE</t>
        </is>
      </c>
      <c r="B37" s="14" t="inlineStr">
        <is>
          <t>Switzerland</t>
        </is>
      </c>
      <c r="C37" s="14" t="inlineStr">
        <is>
          <t>ECS</t>
        </is>
      </c>
      <c r="D37" s="14" t="inlineStr">
        <is>
          <t>HIC</t>
        </is>
      </c>
      <c r="E37" s="14" t="inlineStr">
        <is>
          <t>Elasticities!46:138-141</t>
        </is>
      </c>
    </row>
    <row r="38">
      <c r="A38" s="14" t="inlineStr">
        <is>
          <t>CHI</t>
        </is>
      </c>
      <c r="B38" s="14" t="inlineStr">
        <is>
          <t>Channel Islands</t>
        </is>
      </c>
      <c r="C38" s="14" t="inlineStr">
        <is>
          <t>ECS</t>
        </is>
      </c>
      <c r="D38" s="14" t="inlineStr">
        <is>
          <t>HIC</t>
        </is>
      </c>
      <c r="E38" s="14" t="inlineStr">
        <is>
          <t>Elasticities!47:138-141</t>
        </is>
      </c>
    </row>
    <row r="39">
      <c r="A39" s="14" t="inlineStr">
        <is>
          <t>CHL</t>
        </is>
      </c>
      <c r="B39" s="14" t="inlineStr">
        <is>
          <t>Chile</t>
        </is>
      </c>
      <c r="C39" s="14" t="inlineStr">
        <is>
          <t>LCN</t>
        </is>
      </c>
      <c r="D39" s="14" t="inlineStr">
        <is>
          <t>HIC</t>
        </is>
      </c>
      <c r="E39" s="14" t="inlineStr">
        <is>
          <t>Elasticities!48:138-141</t>
        </is>
      </c>
    </row>
    <row r="40">
      <c r="A40" s="14" t="inlineStr">
        <is>
          <t>CHN</t>
        </is>
      </c>
      <c r="B40" s="14" t="inlineStr">
        <is>
          <t>China</t>
        </is>
      </c>
      <c r="C40" s="14" t="inlineStr">
        <is>
          <t>EAS</t>
        </is>
      </c>
      <c r="D40" s="14" t="inlineStr">
        <is>
          <t>UMIC</t>
        </is>
      </c>
      <c r="E40" s="14" t="inlineStr">
        <is>
          <t>Elasticities!49:138-141</t>
        </is>
      </c>
    </row>
    <row r="41">
      <c r="A41" s="14" t="inlineStr">
        <is>
          <t>CIV</t>
        </is>
      </c>
      <c r="B41" s="14" t="inlineStr">
        <is>
          <t>Côte d'Ivoire</t>
        </is>
      </c>
      <c r="C41" s="14" t="inlineStr">
        <is>
          <t>SSF</t>
        </is>
      </c>
      <c r="D41" s="14" t="inlineStr">
        <is>
          <t>LMIC</t>
        </is>
      </c>
      <c r="E41" s="14" t="inlineStr">
        <is>
          <t>Elasticities!50:138-141</t>
        </is>
      </c>
    </row>
    <row r="42">
      <c r="A42" s="14" t="inlineStr">
        <is>
          <t>CMR</t>
        </is>
      </c>
      <c r="B42" s="14" t="inlineStr">
        <is>
          <t>Cameroon</t>
        </is>
      </c>
      <c r="C42" s="14" t="inlineStr">
        <is>
          <t>SSF</t>
        </is>
      </c>
      <c r="D42" s="14" t="inlineStr">
        <is>
          <t>LMIC</t>
        </is>
      </c>
      <c r="E42" s="14" t="inlineStr">
        <is>
          <t>Elasticities!51:138-141</t>
        </is>
      </c>
    </row>
    <row r="43">
      <c r="A43" s="14" t="inlineStr">
        <is>
          <t>COD</t>
        </is>
      </c>
      <c r="B43" s="14" t="inlineStr">
        <is>
          <t>Congo, Democratic Republic of the</t>
        </is>
      </c>
      <c r="C43" s="14" t="inlineStr">
        <is>
          <t>SSF</t>
        </is>
      </c>
      <c r="D43" s="14" t="inlineStr">
        <is>
          <t>LIC</t>
        </is>
      </c>
      <c r="E43" s="14" t="inlineStr">
        <is>
          <t>Elasticities!52:138-141</t>
        </is>
      </c>
    </row>
    <row r="44">
      <c r="A44" s="14" t="inlineStr">
        <is>
          <t>COG</t>
        </is>
      </c>
      <c r="B44" s="14" t="inlineStr">
        <is>
          <t>Congo, Republic of</t>
        </is>
      </c>
      <c r="C44" s="14" t="inlineStr">
        <is>
          <t>SSF</t>
        </is>
      </c>
      <c r="D44" s="14" t="inlineStr">
        <is>
          <t>LMIC</t>
        </is>
      </c>
      <c r="E44" s="14" t="inlineStr">
        <is>
          <t>Elasticities!53:138-141</t>
        </is>
      </c>
    </row>
    <row r="45">
      <c r="A45" s="14" t="inlineStr">
        <is>
          <t>COL</t>
        </is>
      </c>
      <c r="B45" s="14" t="inlineStr">
        <is>
          <t>Colombia</t>
        </is>
      </c>
      <c r="C45" s="14" t="inlineStr">
        <is>
          <t>LCN</t>
        </is>
      </c>
      <c r="D45" s="14" t="inlineStr">
        <is>
          <t>UMIC</t>
        </is>
      </c>
      <c r="E45" s="14" t="inlineStr">
        <is>
          <t>Elasticities!54:138-141</t>
        </is>
      </c>
    </row>
    <row r="46">
      <c r="A46" s="14" t="inlineStr">
        <is>
          <t>COM</t>
        </is>
      </c>
      <c r="B46" s="14" t="inlineStr">
        <is>
          <t>Comoros</t>
        </is>
      </c>
      <c r="C46" s="14" t="inlineStr">
        <is>
          <t>SSF</t>
        </is>
      </c>
      <c r="D46" s="14" t="inlineStr">
        <is>
          <t>LIC</t>
        </is>
      </c>
      <c r="E46" s="14" t="inlineStr">
        <is>
          <t>Elasticities!55:138-141</t>
        </is>
      </c>
    </row>
    <row r="47">
      <c r="A47" s="14" t="inlineStr">
        <is>
          <t>CPV</t>
        </is>
      </c>
      <c r="B47" s="14" t="inlineStr">
        <is>
          <t>Cabo Verde</t>
        </is>
      </c>
      <c r="C47" s="14" t="inlineStr">
        <is>
          <t>SSF</t>
        </is>
      </c>
      <c r="D47" s="14" t="inlineStr">
        <is>
          <t>LMIC</t>
        </is>
      </c>
      <c r="E47" s="14" t="inlineStr">
        <is>
          <t>Elasticities!56:138-141</t>
        </is>
      </c>
    </row>
    <row r="48">
      <c r="A48" s="14" t="inlineStr">
        <is>
          <t>CRI</t>
        </is>
      </c>
      <c r="B48" s="14" t="inlineStr">
        <is>
          <t>Costa Rica</t>
        </is>
      </c>
      <c r="C48" s="14" t="inlineStr">
        <is>
          <t>LCN</t>
        </is>
      </c>
      <c r="D48" s="14" t="inlineStr">
        <is>
          <t>UMIC</t>
        </is>
      </c>
      <c r="E48" s="14" t="inlineStr">
        <is>
          <t>Elasticities!57:138-141</t>
        </is>
      </c>
    </row>
    <row r="49">
      <c r="A49" s="14" t="inlineStr">
        <is>
          <t>CUB</t>
        </is>
      </c>
      <c r="B49" s="14" t="inlineStr">
        <is>
          <t>Cuba</t>
        </is>
      </c>
      <c r="C49" s="14" t="inlineStr">
        <is>
          <t>LCN</t>
        </is>
      </c>
      <c r="D49" s="14" t="inlineStr">
        <is>
          <t>UMIC</t>
        </is>
      </c>
      <c r="E49" s="14" t="inlineStr">
        <is>
          <t>Elasticities!58:138-141</t>
        </is>
      </c>
    </row>
    <row r="50">
      <c r="A50" s="14" t="inlineStr">
        <is>
          <t>CUW</t>
        </is>
      </c>
      <c r="B50" s="14" t="inlineStr">
        <is>
          <t>Curaçao</t>
        </is>
      </c>
      <c r="C50" s="14" t="inlineStr">
        <is>
          <t>LCN</t>
        </is>
      </c>
      <c r="D50" s="14" t="inlineStr">
        <is>
          <t>HIC</t>
        </is>
      </c>
      <c r="E50" s="14" t="inlineStr">
        <is>
          <t>Elasticities!59:138-141</t>
        </is>
      </c>
    </row>
    <row r="51">
      <c r="A51" s="14" t="inlineStr">
        <is>
          <t>CYM</t>
        </is>
      </c>
      <c r="B51" s="14" t="inlineStr">
        <is>
          <t>Cayman Islands</t>
        </is>
      </c>
      <c r="C51" s="14" t="inlineStr">
        <is>
          <t>LCN</t>
        </is>
      </c>
      <c r="D51" s="14" t="inlineStr">
        <is>
          <t>HIC</t>
        </is>
      </c>
      <c r="E51" s="14" t="inlineStr">
        <is>
          <t>Elasticities!60:138-141</t>
        </is>
      </c>
    </row>
    <row r="52">
      <c r="A52" s="14" t="inlineStr">
        <is>
          <t>CYP</t>
        </is>
      </c>
      <c r="B52" s="14" t="inlineStr">
        <is>
          <t>Cyprus</t>
        </is>
      </c>
      <c r="C52" s="14" t="inlineStr">
        <is>
          <t>ECS</t>
        </is>
      </c>
      <c r="D52" s="14" t="inlineStr">
        <is>
          <t>HIC</t>
        </is>
      </c>
      <c r="E52" s="14" t="inlineStr">
        <is>
          <t>Elasticities!61:138-141</t>
        </is>
      </c>
    </row>
    <row r="53">
      <c r="A53" s="14" t="inlineStr">
        <is>
          <t>CZE</t>
        </is>
      </c>
      <c r="B53" s="14" t="inlineStr">
        <is>
          <t>Czechia</t>
        </is>
      </c>
      <c r="C53" s="14" t="inlineStr">
        <is>
          <t>ECS</t>
        </is>
      </c>
      <c r="D53" s="14" t="inlineStr">
        <is>
          <t>HIC</t>
        </is>
      </c>
      <c r="E53" s="14" t="inlineStr">
        <is>
          <t>Elasticities!62:138-141</t>
        </is>
      </c>
    </row>
    <row r="54">
      <c r="A54" s="14" t="inlineStr">
        <is>
          <t>DEU</t>
        </is>
      </c>
      <c r="B54" s="14" t="inlineStr">
        <is>
          <t>Germany</t>
        </is>
      </c>
      <c r="C54" s="14" t="inlineStr">
        <is>
          <t>ECS</t>
        </is>
      </c>
      <c r="D54" s="14" t="inlineStr">
        <is>
          <t>HIC</t>
        </is>
      </c>
      <c r="E54" s="14" t="inlineStr">
        <is>
          <t>Elasticities!63:138-141</t>
        </is>
      </c>
    </row>
    <row r="55">
      <c r="A55" s="14" t="inlineStr">
        <is>
          <t>DJI</t>
        </is>
      </c>
      <c r="B55" s="14" t="inlineStr">
        <is>
          <t>Djibouti</t>
        </is>
      </c>
      <c r="C55" s="14" t="inlineStr">
        <is>
          <t>MEA</t>
        </is>
      </c>
      <c r="D55" s="14" t="inlineStr">
        <is>
          <t>LMIC</t>
        </is>
      </c>
      <c r="E55" s="14" t="inlineStr">
        <is>
          <t>Elasticities!64:138-141</t>
        </is>
      </c>
    </row>
    <row r="56">
      <c r="A56" s="14" t="inlineStr">
        <is>
          <t>DMA</t>
        </is>
      </c>
      <c r="B56" s="14" t="inlineStr">
        <is>
          <t>Dominica</t>
        </is>
      </c>
      <c r="C56" s="14" t="inlineStr">
        <is>
          <t>LCN</t>
        </is>
      </c>
      <c r="D56" s="14" t="inlineStr">
        <is>
          <t>UMIC</t>
        </is>
      </c>
      <c r="E56" s="14" t="inlineStr">
        <is>
          <t>Elasticities!65:138-141</t>
        </is>
      </c>
    </row>
    <row r="57">
      <c r="A57" s="14" t="inlineStr">
        <is>
          <t>DNK</t>
        </is>
      </c>
      <c r="B57" s="14" t="inlineStr">
        <is>
          <t>Denmark</t>
        </is>
      </c>
      <c r="C57" s="14" t="inlineStr">
        <is>
          <t>ECS</t>
        </is>
      </c>
      <c r="D57" s="14" t="inlineStr">
        <is>
          <t>HIC</t>
        </is>
      </c>
      <c r="E57" s="14" t="inlineStr">
        <is>
          <t>Elasticities!66:138-141</t>
        </is>
      </c>
    </row>
    <row r="58">
      <c r="A58" s="14" t="inlineStr">
        <is>
          <t>DOM</t>
        </is>
      </c>
      <c r="B58" s="14" t="inlineStr">
        <is>
          <t>Dominican Republic</t>
        </is>
      </c>
      <c r="C58" s="14" t="inlineStr">
        <is>
          <t>LCN</t>
        </is>
      </c>
      <c r="D58" s="14" t="inlineStr">
        <is>
          <t>UMIC</t>
        </is>
      </c>
      <c r="E58" s="14" t="inlineStr">
        <is>
          <t>Elasticities!67:138-141</t>
        </is>
      </c>
    </row>
    <row r="59">
      <c r="A59" s="14" t="inlineStr">
        <is>
          <t>DZA</t>
        </is>
      </c>
      <c r="B59" s="14" t="inlineStr">
        <is>
          <t>Algeria</t>
        </is>
      </c>
      <c r="C59" s="14" t="inlineStr">
        <is>
          <t>MEA</t>
        </is>
      </c>
      <c r="D59" s="14" t="inlineStr">
        <is>
          <t>UMIC</t>
        </is>
      </c>
      <c r="E59" s="14" t="inlineStr">
        <is>
          <t>Elasticities!68:138-141</t>
        </is>
      </c>
    </row>
    <row r="60">
      <c r="A60" s="14" t="inlineStr">
        <is>
          <t>ECU</t>
        </is>
      </c>
      <c r="B60" s="14" t="inlineStr">
        <is>
          <t>Ecuador</t>
        </is>
      </c>
      <c r="C60" s="14" t="inlineStr">
        <is>
          <t>LCN</t>
        </is>
      </c>
      <c r="D60" s="14" t="inlineStr">
        <is>
          <t>UMIC</t>
        </is>
      </c>
      <c r="E60" s="14" t="inlineStr">
        <is>
          <t>Elasticities!69:138-141</t>
        </is>
      </c>
    </row>
    <row r="61">
      <c r="A61" s="14" t="inlineStr">
        <is>
          <t>EGY</t>
        </is>
      </c>
      <c r="B61" s="14" t="inlineStr">
        <is>
          <t>Egypt</t>
        </is>
      </c>
      <c r="C61" s="14" t="inlineStr">
        <is>
          <t>MEA</t>
        </is>
      </c>
      <c r="D61" s="14" t="inlineStr">
        <is>
          <t>LMIC</t>
        </is>
      </c>
      <c r="E61" s="14" t="inlineStr">
        <is>
          <t>Elasticities!70:138-141</t>
        </is>
      </c>
    </row>
    <row r="62">
      <c r="A62" s="14" t="inlineStr">
        <is>
          <t>ERI</t>
        </is>
      </c>
      <c r="B62" s="14" t="inlineStr">
        <is>
          <t>Eritrea</t>
        </is>
      </c>
      <c r="C62" s="14" t="inlineStr">
        <is>
          <t>SSF</t>
        </is>
      </c>
      <c r="D62" s="14" t="inlineStr">
        <is>
          <t>LIC</t>
        </is>
      </c>
      <c r="E62" s="14" t="inlineStr">
        <is>
          <t>Elasticities!71:138-141</t>
        </is>
      </c>
    </row>
    <row r="63">
      <c r="A63" s="14" t="inlineStr">
        <is>
          <t>ESP</t>
        </is>
      </c>
      <c r="B63" s="14" t="inlineStr">
        <is>
          <t>Spain</t>
        </is>
      </c>
      <c r="C63" s="14" t="inlineStr">
        <is>
          <t>ECS</t>
        </is>
      </c>
      <c r="D63" s="14" t="inlineStr">
        <is>
          <t>HIC</t>
        </is>
      </c>
      <c r="E63" s="14" t="inlineStr">
        <is>
          <t>Elasticities!72:138-141</t>
        </is>
      </c>
    </row>
    <row r="64">
      <c r="A64" s="14" t="inlineStr">
        <is>
          <t>EST</t>
        </is>
      </c>
      <c r="B64" s="14" t="inlineStr">
        <is>
          <t>Estonia</t>
        </is>
      </c>
      <c r="C64" s="14" t="inlineStr">
        <is>
          <t>ECS</t>
        </is>
      </c>
      <c r="D64" s="14" t="inlineStr">
        <is>
          <t>HIC</t>
        </is>
      </c>
      <c r="E64" s="14" t="inlineStr">
        <is>
          <t>Elasticities!73:138-141</t>
        </is>
      </c>
    </row>
    <row r="65">
      <c r="A65" s="14" t="inlineStr">
        <is>
          <t>ETH</t>
        </is>
      </c>
      <c r="B65" s="14" t="inlineStr">
        <is>
          <t>Ethiopia</t>
        </is>
      </c>
      <c r="C65" s="14" t="inlineStr">
        <is>
          <t>SSF</t>
        </is>
      </c>
      <c r="D65" s="14" t="inlineStr">
        <is>
          <t>LIC</t>
        </is>
      </c>
      <c r="E65" s="14" t="inlineStr">
        <is>
          <t>Elasticities!74:138-141</t>
        </is>
      </c>
    </row>
    <row r="66">
      <c r="A66" s="14" t="inlineStr">
        <is>
          <t>FIN</t>
        </is>
      </c>
      <c r="B66" s="14" t="inlineStr">
        <is>
          <t>Finland</t>
        </is>
      </c>
      <c r="C66" s="14" t="inlineStr">
        <is>
          <t>ECS</t>
        </is>
      </c>
      <c r="D66" s="14" t="inlineStr">
        <is>
          <t>HIC</t>
        </is>
      </c>
      <c r="E66" s="14" t="inlineStr">
        <is>
          <t>Elasticities!75:138-141</t>
        </is>
      </c>
    </row>
    <row r="67">
      <c r="A67" s="14" t="inlineStr">
        <is>
          <t>FJI</t>
        </is>
      </c>
      <c r="B67" s="14" t="inlineStr">
        <is>
          <t>Fiji</t>
        </is>
      </c>
      <c r="C67" s="14" t="inlineStr">
        <is>
          <t>EAS</t>
        </is>
      </c>
      <c r="D67" s="14" t="inlineStr">
        <is>
          <t>UMIC</t>
        </is>
      </c>
      <c r="E67" s="14" t="inlineStr">
        <is>
          <t>Elasticities!76:138-141</t>
        </is>
      </c>
    </row>
    <row r="68">
      <c r="A68" s="14" t="inlineStr">
        <is>
          <t>FRA</t>
        </is>
      </c>
      <c r="B68" s="14" t="inlineStr">
        <is>
          <t>France</t>
        </is>
      </c>
      <c r="C68" s="14" t="inlineStr">
        <is>
          <t>ECS</t>
        </is>
      </c>
      <c r="D68" s="14" t="inlineStr">
        <is>
          <t>HIC</t>
        </is>
      </c>
      <c r="E68" s="14" t="inlineStr">
        <is>
          <t>Elasticities!77:138-141</t>
        </is>
      </c>
    </row>
    <row r="69">
      <c r="A69" s="14" t="inlineStr">
        <is>
          <t>FRO</t>
        </is>
      </c>
      <c r="B69" s="14" t="inlineStr">
        <is>
          <t>Faroe Islands</t>
        </is>
      </c>
      <c r="C69" s="14" t="inlineStr">
        <is>
          <t>ECS</t>
        </is>
      </c>
      <c r="D69" s="14" t="inlineStr">
        <is>
          <t>HIC</t>
        </is>
      </c>
      <c r="E69" s="14" t="inlineStr">
        <is>
          <t>Elasticities!78:138-141</t>
        </is>
      </c>
    </row>
    <row r="70">
      <c r="A70" s="14" t="inlineStr">
        <is>
          <t>FSM</t>
        </is>
      </c>
      <c r="B70" s="14" t="inlineStr">
        <is>
          <t>Micronesia</t>
        </is>
      </c>
      <c r="C70" s="14" t="inlineStr">
        <is>
          <t>EAS</t>
        </is>
      </c>
      <c r="D70" s="14" t="inlineStr">
        <is>
          <t>LMIC</t>
        </is>
      </c>
      <c r="E70" s="14" t="inlineStr">
        <is>
          <t>Elasticities!79:138-141</t>
        </is>
      </c>
    </row>
    <row r="71">
      <c r="A71" s="14" t="inlineStr">
        <is>
          <t>GAB</t>
        </is>
      </c>
      <c r="B71" s="14" t="inlineStr">
        <is>
          <t>Gabon</t>
        </is>
      </c>
      <c r="C71" s="14" t="inlineStr">
        <is>
          <t>SSF</t>
        </is>
      </c>
      <c r="D71" s="14" t="inlineStr">
        <is>
          <t>UMIC</t>
        </is>
      </c>
      <c r="E71" s="14" t="inlineStr">
        <is>
          <t>Elasticities!80:138-141</t>
        </is>
      </c>
    </row>
    <row r="72">
      <c r="A72" s="14" t="inlineStr">
        <is>
          <t>GBR</t>
        </is>
      </c>
      <c r="B72" s="14" t="inlineStr">
        <is>
          <t>United Kingdom</t>
        </is>
      </c>
      <c r="C72" s="14" t="inlineStr">
        <is>
          <t>ECS</t>
        </is>
      </c>
      <c r="D72" s="14" t="inlineStr">
        <is>
          <t>HIC</t>
        </is>
      </c>
      <c r="E72" s="14" t="inlineStr">
        <is>
          <t>Elasticities!81:138-141</t>
        </is>
      </c>
    </row>
    <row r="73">
      <c r="A73" s="14" t="inlineStr">
        <is>
          <t>GEO</t>
        </is>
      </c>
      <c r="B73" s="14" t="inlineStr">
        <is>
          <t>Georgia</t>
        </is>
      </c>
      <c r="C73" s="14" t="inlineStr">
        <is>
          <t>ECS</t>
        </is>
      </c>
      <c r="D73" s="14" t="inlineStr">
        <is>
          <t>LMIC</t>
        </is>
      </c>
      <c r="E73" s="14" t="inlineStr">
        <is>
          <t>Elasticities!82:138-141</t>
        </is>
      </c>
    </row>
    <row r="74">
      <c r="A74" s="14" t="inlineStr">
        <is>
          <t>GHA</t>
        </is>
      </c>
      <c r="B74" s="14" t="inlineStr">
        <is>
          <t>Ghana</t>
        </is>
      </c>
      <c r="C74" s="14" t="inlineStr">
        <is>
          <t>SSF</t>
        </is>
      </c>
      <c r="D74" s="14" t="inlineStr">
        <is>
          <t>LMIC</t>
        </is>
      </c>
      <c r="E74" s="14" t="inlineStr">
        <is>
          <t>Elasticities!83:138-141</t>
        </is>
      </c>
    </row>
    <row r="75">
      <c r="A75" s="14" t="inlineStr">
        <is>
          <t>GIB</t>
        </is>
      </c>
      <c r="B75" s="14" t="inlineStr">
        <is>
          <t>Gibraltar</t>
        </is>
      </c>
      <c r="C75" s="14" t="inlineStr">
        <is>
          <t>ECS</t>
        </is>
      </c>
      <c r="D75" s="14" t="inlineStr">
        <is>
          <t>HIC</t>
        </is>
      </c>
      <c r="E75" s="14" t="inlineStr">
        <is>
          <t>Elasticities!84:138-141</t>
        </is>
      </c>
    </row>
    <row r="76">
      <c r="A76" s="14" t="inlineStr">
        <is>
          <t>GIN</t>
        </is>
      </c>
      <c r="B76" s="14" t="inlineStr">
        <is>
          <t>Guinea</t>
        </is>
      </c>
      <c r="C76" s="14" t="inlineStr">
        <is>
          <t>SSF</t>
        </is>
      </c>
      <c r="D76" s="14" t="inlineStr">
        <is>
          <t>LIC</t>
        </is>
      </c>
      <c r="E76" s="14" t="inlineStr">
        <is>
          <t>Elasticities!85:138-141</t>
        </is>
      </c>
    </row>
    <row r="77">
      <c r="A77" s="14" t="inlineStr">
        <is>
          <t>GMB</t>
        </is>
      </c>
      <c r="B77" s="14" t="inlineStr">
        <is>
          <t>Gambia, The</t>
        </is>
      </c>
      <c r="C77" s="14" t="inlineStr">
        <is>
          <t>SSF</t>
        </is>
      </c>
      <c r="D77" s="14" t="inlineStr">
        <is>
          <t>LIC</t>
        </is>
      </c>
      <c r="E77" s="14" t="inlineStr">
        <is>
          <t>Elasticities!86:138-141</t>
        </is>
      </c>
    </row>
    <row r="78">
      <c r="A78" s="14" t="inlineStr">
        <is>
          <t>GNB</t>
        </is>
      </c>
      <c r="B78" s="14" t="inlineStr">
        <is>
          <t>Guinea-Bissau</t>
        </is>
      </c>
      <c r="C78" s="14" t="inlineStr">
        <is>
          <t>SSF</t>
        </is>
      </c>
      <c r="D78" s="14" t="inlineStr">
        <is>
          <t>LIC</t>
        </is>
      </c>
      <c r="E78" s="14" t="inlineStr">
        <is>
          <t>Elasticities!87:138-141</t>
        </is>
      </c>
    </row>
    <row r="79">
      <c r="A79" s="14" t="inlineStr">
        <is>
          <t>GNQ</t>
        </is>
      </c>
      <c r="B79" s="14" t="inlineStr">
        <is>
          <t>Equatorial Guinea</t>
        </is>
      </c>
      <c r="C79" s="14" t="inlineStr">
        <is>
          <t>SSF</t>
        </is>
      </c>
      <c r="D79" s="14" t="inlineStr">
        <is>
          <t>UMIC</t>
        </is>
      </c>
      <c r="E79" s="14" t="inlineStr">
        <is>
          <t>Elasticities!88:138-141</t>
        </is>
      </c>
    </row>
    <row r="80">
      <c r="A80" s="14" t="inlineStr">
        <is>
          <t>GRC</t>
        </is>
      </c>
      <c r="B80" s="14" t="inlineStr">
        <is>
          <t>Greece</t>
        </is>
      </c>
      <c r="C80" s="14" t="inlineStr">
        <is>
          <t>ECS</t>
        </is>
      </c>
      <c r="D80" s="14" t="inlineStr">
        <is>
          <t>HIC</t>
        </is>
      </c>
      <c r="E80" s="14" t="inlineStr">
        <is>
          <t>Elasticities!89:138-141</t>
        </is>
      </c>
    </row>
    <row r="81">
      <c r="A81" s="14" t="inlineStr">
        <is>
          <t>GRD</t>
        </is>
      </c>
      <c r="B81" s="14" t="inlineStr">
        <is>
          <t>Grenada</t>
        </is>
      </c>
      <c r="C81" s="14" t="inlineStr">
        <is>
          <t>LCN</t>
        </is>
      </c>
      <c r="D81" s="14" t="inlineStr">
        <is>
          <t>UMIC</t>
        </is>
      </c>
      <c r="E81" s="14" t="inlineStr">
        <is>
          <t>Elasticities!90:138-141</t>
        </is>
      </c>
    </row>
    <row r="82">
      <c r="A82" s="14" t="inlineStr">
        <is>
          <t>GRL</t>
        </is>
      </c>
      <c r="B82" s="14" t="inlineStr">
        <is>
          <t>Greenland</t>
        </is>
      </c>
      <c r="C82" s="14" t="inlineStr">
        <is>
          <t>ECS</t>
        </is>
      </c>
      <c r="D82" s="14" t="inlineStr">
        <is>
          <t>HIC</t>
        </is>
      </c>
      <c r="E82" s="14" t="inlineStr">
        <is>
          <t>Elasticities!91:138-141</t>
        </is>
      </c>
    </row>
    <row r="83">
      <c r="A83" s="14" t="inlineStr">
        <is>
          <t>GTM</t>
        </is>
      </c>
      <c r="B83" s="14" t="inlineStr">
        <is>
          <t>Guatemala</t>
        </is>
      </c>
      <c r="C83" s="14" t="inlineStr">
        <is>
          <t>LCN</t>
        </is>
      </c>
      <c r="D83" s="14" t="inlineStr">
        <is>
          <t>UMIC</t>
        </is>
      </c>
      <c r="E83" s="14" t="inlineStr">
        <is>
          <t>Elasticities!92:138-141</t>
        </is>
      </c>
    </row>
    <row r="84">
      <c r="A84" s="14" t="inlineStr">
        <is>
          <t>GUM</t>
        </is>
      </c>
      <c r="B84" s="14" t="inlineStr">
        <is>
          <t>Guam</t>
        </is>
      </c>
      <c r="C84" s="14" t="inlineStr">
        <is>
          <t>EAS</t>
        </is>
      </c>
      <c r="D84" s="14" t="inlineStr">
        <is>
          <t>HIC</t>
        </is>
      </c>
      <c r="E84" s="14" t="inlineStr">
        <is>
          <t>Elasticities!93:138-141</t>
        </is>
      </c>
    </row>
    <row r="85">
      <c r="A85" s="14" t="inlineStr">
        <is>
          <t>GUY</t>
        </is>
      </c>
      <c r="B85" s="14" t="inlineStr">
        <is>
          <t>Guyana</t>
        </is>
      </c>
      <c r="C85" s="14" t="inlineStr">
        <is>
          <t>LCN</t>
        </is>
      </c>
      <c r="D85" s="14" t="inlineStr">
        <is>
          <t>UMIC</t>
        </is>
      </c>
      <c r="E85" s="14" t="inlineStr">
        <is>
          <t>Elasticities!94:138-141</t>
        </is>
      </c>
    </row>
    <row r="86">
      <c r="A86" s="14" t="inlineStr">
        <is>
          <t>HIC</t>
        </is>
      </c>
      <c r="B86" s="14" t="inlineStr">
        <is>
          <t>HIC</t>
        </is>
      </c>
      <c r="C86" s="14" t="inlineStr">
        <is>
          <t>N/A</t>
        </is>
      </c>
      <c r="D86" s="14" t="inlineStr">
        <is>
          <t>HIC</t>
        </is>
      </c>
      <c r="E86" s="14" t="inlineStr">
        <is>
          <t>Elasticities!95:138-141</t>
        </is>
      </c>
    </row>
    <row r="87">
      <c r="A87" s="14" t="inlineStr">
        <is>
          <t>HKG</t>
        </is>
      </c>
      <c r="B87" s="14" t="inlineStr">
        <is>
          <t>Hong Kong SAR</t>
        </is>
      </c>
      <c r="C87" s="14" t="inlineStr">
        <is>
          <t>EAS</t>
        </is>
      </c>
      <c r="D87" s="14" t="inlineStr">
        <is>
          <t>HIC</t>
        </is>
      </c>
      <c r="E87" s="14" t="inlineStr">
        <is>
          <t>Elasticities!96:138-141</t>
        </is>
      </c>
    </row>
    <row r="88">
      <c r="A88" s="14" t="inlineStr">
        <is>
          <t>HND</t>
        </is>
      </c>
      <c r="B88" s="14" t="inlineStr">
        <is>
          <t>Honduras</t>
        </is>
      </c>
      <c r="C88" s="14" t="inlineStr">
        <is>
          <t>LCN</t>
        </is>
      </c>
      <c r="D88" s="14" t="inlineStr">
        <is>
          <t>LMIC</t>
        </is>
      </c>
      <c r="E88" s="14" t="inlineStr">
        <is>
          <t>Elasticities!97:138-141</t>
        </is>
      </c>
    </row>
    <row r="89">
      <c r="A89" s="14" t="inlineStr">
        <is>
          <t>HRV</t>
        </is>
      </c>
      <c r="B89" s="14" t="inlineStr">
        <is>
          <t>Croatia</t>
        </is>
      </c>
      <c r="C89" s="14" t="inlineStr">
        <is>
          <t>ECS</t>
        </is>
      </c>
      <c r="D89" s="14" t="inlineStr">
        <is>
          <t>HIC</t>
        </is>
      </c>
      <c r="E89" s="14" t="inlineStr">
        <is>
          <t>Elasticities!98:138-141</t>
        </is>
      </c>
    </row>
    <row r="90">
      <c r="A90" s="14" t="inlineStr">
        <is>
          <t>HTI</t>
        </is>
      </c>
      <c r="B90" s="14" t="inlineStr">
        <is>
          <t>Haiti</t>
        </is>
      </c>
      <c r="C90" s="14" t="inlineStr">
        <is>
          <t>LCN</t>
        </is>
      </c>
      <c r="D90" s="14" t="inlineStr">
        <is>
          <t>LIC</t>
        </is>
      </c>
      <c r="E90" s="14" t="inlineStr">
        <is>
          <t>Elasticities!99:138-141</t>
        </is>
      </c>
    </row>
    <row r="91">
      <c r="A91" s="14" t="inlineStr">
        <is>
          <t>HUN</t>
        </is>
      </c>
      <c r="B91" s="14" t="inlineStr">
        <is>
          <t>Hungary</t>
        </is>
      </c>
      <c r="C91" s="14" t="inlineStr">
        <is>
          <t>ECS</t>
        </is>
      </c>
      <c r="D91" s="14" t="inlineStr">
        <is>
          <t>HIC</t>
        </is>
      </c>
      <c r="E91" s="14" t="inlineStr">
        <is>
          <t>Elasticities!100:138-141</t>
        </is>
      </c>
    </row>
    <row r="92">
      <c r="A92" s="14" t="inlineStr">
        <is>
          <t>IDN</t>
        </is>
      </c>
      <c r="B92" s="14" t="inlineStr">
        <is>
          <t>Indonesia</t>
        </is>
      </c>
      <c r="C92" s="14" t="inlineStr">
        <is>
          <t>EAS</t>
        </is>
      </c>
      <c r="D92" s="14" t="inlineStr">
        <is>
          <t>LMIC</t>
        </is>
      </c>
      <c r="E92" s="14" t="inlineStr">
        <is>
          <t>Elasticities!101:138-141</t>
        </is>
      </c>
    </row>
    <row r="93">
      <c r="A93" s="14" t="inlineStr">
        <is>
          <t>IMN</t>
        </is>
      </c>
      <c r="B93" s="14" t="inlineStr">
        <is>
          <t>Isle of Man</t>
        </is>
      </c>
      <c r="C93" s="14" t="inlineStr">
        <is>
          <t>ECS</t>
        </is>
      </c>
      <c r="D93" s="14" t="inlineStr">
        <is>
          <t>HIC</t>
        </is>
      </c>
      <c r="E93" s="14" t="inlineStr">
        <is>
          <t>Elasticities!102:138-141</t>
        </is>
      </c>
    </row>
    <row r="94">
      <c r="A94" s="14" t="inlineStr">
        <is>
          <t>IND</t>
        </is>
      </c>
      <c r="B94" s="14" t="inlineStr">
        <is>
          <t>India</t>
        </is>
      </c>
      <c r="C94" s="14" t="inlineStr">
        <is>
          <t>SAS</t>
        </is>
      </c>
      <c r="D94" s="14" t="inlineStr">
        <is>
          <t>LMIC</t>
        </is>
      </c>
      <c r="E94" s="14" t="inlineStr">
        <is>
          <t>Elasticities!103:138-141</t>
        </is>
      </c>
    </row>
    <row r="95">
      <c r="A95" s="14" t="inlineStr">
        <is>
          <t>IRL</t>
        </is>
      </c>
      <c r="B95" s="14" t="inlineStr">
        <is>
          <t>Ireland</t>
        </is>
      </c>
      <c r="C95" s="14" t="inlineStr">
        <is>
          <t>ECS</t>
        </is>
      </c>
      <c r="D95" s="14" t="inlineStr">
        <is>
          <t>HIC</t>
        </is>
      </c>
      <c r="E95" s="14" t="inlineStr">
        <is>
          <t>Elasticities!104:138-141</t>
        </is>
      </c>
    </row>
    <row r="96">
      <c r="A96" s="14" t="inlineStr">
        <is>
          <t>IRN</t>
        </is>
      </c>
      <c r="B96" s="14" t="inlineStr">
        <is>
          <t>Iran</t>
        </is>
      </c>
      <c r="C96" s="14" t="inlineStr">
        <is>
          <t>MEA</t>
        </is>
      </c>
      <c r="D96" s="14" t="inlineStr">
        <is>
          <t>UMIC</t>
        </is>
      </c>
      <c r="E96" s="14" t="inlineStr">
        <is>
          <t>Elasticities!105:138-141</t>
        </is>
      </c>
    </row>
    <row r="97">
      <c r="A97" s="14" t="inlineStr">
        <is>
          <t>IRQ</t>
        </is>
      </c>
      <c r="B97" s="14" t="inlineStr">
        <is>
          <t>Iraq</t>
        </is>
      </c>
      <c r="C97" s="14" t="inlineStr">
        <is>
          <t>MEA</t>
        </is>
      </c>
      <c r="D97" s="14" t="inlineStr">
        <is>
          <t>UMIC</t>
        </is>
      </c>
      <c r="E97" s="14" t="inlineStr">
        <is>
          <t>Elasticities!106:138-141</t>
        </is>
      </c>
    </row>
    <row r="98">
      <c r="A98" s="14" t="inlineStr">
        <is>
          <t>ISL</t>
        </is>
      </c>
      <c r="B98" s="14" t="inlineStr">
        <is>
          <t>Iceland</t>
        </is>
      </c>
      <c r="C98" s="14" t="inlineStr">
        <is>
          <t>ECS</t>
        </is>
      </c>
      <c r="D98" s="14" t="inlineStr">
        <is>
          <t>HIC</t>
        </is>
      </c>
      <c r="E98" s="14" t="inlineStr">
        <is>
          <t>Elasticities!107:138-141</t>
        </is>
      </c>
    </row>
    <row r="99">
      <c r="A99" s="14" t="inlineStr">
        <is>
          <t>ISR</t>
        </is>
      </c>
      <c r="B99" s="14" t="inlineStr">
        <is>
          <t>Israel</t>
        </is>
      </c>
      <c r="C99" s="14" t="inlineStr">
        <is>
          <t>MEA</t>
        </is>
      </c>
      <c r="D99" s="14" t="inlineStr">
        <is>
          <t>HIC</t>
        </is>
      </c>
      <c r="E99" s="14" t="inlineStr">
        <is>
          <t>Elasticities!108:138-141</t>
        </is>
      </c>
    </row>
    <row r="100">
      <c r="A100" s="14" t="inlineStr">
        <is>
          <t>ITA</t>
        </is>
      </c>
      <c r="B100" s="14" t="inlineStr">
        <is>
          <t>Italy</t>
        </is>
      </c>
      <c r="C100" s="14" t="inlineStr">
        <is>
          <t>ECS</t>
        </is>
      </c>
      <c r="D100" s="14" t="inlineStr">
        <is>
          <t>HIC</t>
        </is>
      </c>
      <c r="E100" s="14" t="inlineStr">
        <is>
          <t>Elasticities!109:138-141</t>
        </is>
      </c>
    </row>
    <row r="101">
      <c r="A101" s="14" t="inlineStr">
        <is>
          <t>JAM</t>
        </is>
      </c>
      <c r="B101" s="14" t="inlineStr">
        <is>
          <t>Jamaica</t>
        </is>
      </c>
      <c r="C101" s="14" t="inlineStr">
        <is>
          <t>LCN</t>
        </is>
      </c>
      <c r="D101" s="14" t="inlineStr">
        <is>
          <t>UMIC</t>
        </is>
      </c>
      <c r="E101" s="14" t="inlineStr">
        <is>
          <t>Elasticities!110:138-141</t>
        </is>
      </c>
    </row>
    <row r="102">
      <c r="A102" s="14" t="inlineStr">
        <is>
          <t>JOR</t>
        </is>
      </c>
      <c r="B102" s="14" t="inlineStr">
        <is>
          <t>Jordan</t>
        </is>
      </c>
      <c r="C102" s="14" t="inlineStr">
        <is>
          <t>MEA</t>
        </is>
      </c>
      <c r="D102" s="14" t="inlineStr">
        <is>
          <t>UMIC</t>
        </is>
      </c>
      <c r="E102" s="14" t="inlineStr">
        <is>
          <t>Elasticities!111:138-141</t>
        </is>
      </c>
    </row>
    <row r="103">
      <c r="A103" s="14" t="inlineStr">
        <is>
          <t>JPN</t>
        </is>
      </c>
      <c r="B103" s="14" t="inlineStr">
        <is>
          <t>Japan</t>
        </is>
      </c>
      <c r="C103" s="14" t="inlineStr">
        <is>
          <t>EAS</t>
        </is>
      </c>
      <c r="D103" s="14" t="inlineStr">
        <is>
          <t>HIC</t>
        </is>
      </c>
      <c r="E103" s="14" t="inlineStr">
        <is>
          <t>Elasticities!112:138-141</t>
        </is>
      </c>
    </row>
    <row r="104">
      <c r="A104" s="14" t="inlineStr">
        <is>
          <t>KAZ</t>
        </is>
      </c>
      <c r="B104" s="14" t="inlineStr">
        <is>
          <t>Kazakhstan</t>
        </is>
      </c>
      <c r="C104" s="14" t="inlineStr">
        <is>
          <t>ECS</t>
        </is>
      </c>
      <c r="D104" s="14" t="inlineStr">
        <is>
          <t>UMIC</t>
        </is>
      </c>
      <c r="E104" s="14" t="inlineStr">
        <is>
          <t>Elasticities!113:138-141</t>
        </is>
      </c>
    </row>
    <row r="105">
      <c r="A105" s="14" t="inlineStr">
        <is>
          <t>KEN</t>
        </is>
      </c>
      <c r="B105" s="14" t="inlineStr">
        <is>
          <t>Kenya</t>
        </is>
      </c>
      <c r="C105" s="14" t="inlineStr">
        <is>
          <t>SSF</t>
        </is>
      </c>
      <c r="D105" s="14" t="inlineStr">
        <is>
          <t>LMIC</t>
        </is>
      </c>
      <c r="E105" s="14" t="inlineStr">
        <is>
          <t>Elasticities!114:138-141</t>
        </is>
      </c>
    </row>
    <row r="106">
      <c r="A106" s="14" t="inlineStr">
        <is>
          <t>KGZ</t>
        </is>
      </c>
      <c r="B106" s="14" t="inlineStr">
        <is>
          <t>Kyrgyz Republic</t>
        </is>
      </c>
      <c r="C106" s="14" t="inlineStr">
        <is>
          <t>ECS</t>
        </is>
      </c>
      <c r="D106" s="14" t="inlineStr">
        <is>
          <t>LMIC</t>
        </is>
      </c>
      <c r="E106" s="14" t="inlineStr">
        <is>
          <t>Elasticities!115:138-141</t>
        </is>
      </c>
    </row>
    <row r="107">
      <c r="A107" s="14" t="inlineStr">
        <is>
          <t>KHM</t>
        </is>
      </c>
      <c r="B107" s="14" t="inlineStr">
        <is>
          <t>Cambodia</t>
        </is>
      </c>
      <c r="C107" s="14" t="inlineStr">
        <is>
          <t>EAS</t>
        </is>
      </c>
      <c r="D107" s="14" t="inlineStr">
        <is>
          <t>LMIC</t>
        </is>
      </c>
      <c r="E107" s="14" t="inlineStr">
        <is>
          <t>Elasticities!116:138-141</t>
        </is>
      </c>
    </row>
    <row r="108">
      <c r="A108" s="14" t="inlineStr">
        <is>
          <t>KIR</t>
        </is>
      </c>
      <c r="B108" s="14" t="inlineStr">
        <is>
          <t>Kiribati</t>
        </is>
      </c>
      <c r="C108" s="14" t="inlineStr">
        <is>
          <t>EAS</t>
        </is>
      </c>
      <c r="D108" s="14" t="inlineStr">
        <is>
          <t>LMIC</t>
        </is>
      </c>
      <c r="E108" s="14" t="inlineStr">
        <is>
          <t>Elasticities!117:138-141</t>
        </is>
      </c>
    </row>
    <row r="109">
      <c r="A109" s="14" t="inlineStr">
        <is>
          <t>KNA</t>
        </is>
      </c>
      <c r="B109" s="14" t="inlineStr">
        <is>
          <t>St. Kitts and Nevis</t>
        </is>
      </c>
      <c r="C109" s="14" t="inlineStr">
        <is>
          <t>LCN</t>
        </is>
      </c>
      <c r="D109" s="14" t="inlineStr">
        <is>
          <t>HIC</t>
        </is>
      </c>
      <c r="E109" s="14" t="inlineStr">
        <is>
          <t>Elasticities!118:138-141</t>
        </is>
      </c>
    </row>
    <row r="110">
      <c r="A110" s="14" t="inlineStr">
        <is>
          <t>KOR</t>
        </is>
      </c>
      <c r="B110" s="14" t="inlineStr">
        <is>
          <t>Korea</t>
        </is>
      </c>
      <c r="C110" s="14" t="inlineStr">
        <is>
          <t>EAS</t>
        </is>
      </c>
      <c r="D110" s="14" t="inlineStr">
        <is>
          <t>HIC</t>
        </is>
      </c>
      <c r="E110" s="14" t="inlineStr">
        <is>
          <t>Elasticities!119:138-141</t>
        </is>
      </c>
    </row>
    <row r="111">
      <c r="A111" s="14" t="inlineStr">
        <is>
          <t>KWT</t>
        </is>
      </c>
      <c r="B111" s="14" t="inlineStr">
        <is>
          <t>Kuwait</t>
        </is>
      </c>
      <c r="C111" s="14" t="inlineStr">
        <is>
          <t>MEA</t>
        </is>
      </c>
      <c r="D111" s="14" t="inlineStr">
        <is>
          <t>HIC</t>
        </is>
      </c>
      <c r="E111" s="14" t="inlineStr">
        <is>
          <t>Elasticities!120:138-141</t>
        </is>
      </c>
    </row>
    <row r="112">
      <c r="A112" s="14" t="inlineStr">
        <is>
          <t>LAO</t>
        </is>
      </c>
      <c r="B112" s="14" t="inlineStr">
        <is>
          <t>Lao P.D.R.</t>
        </is>
      </c>
      <c r="C112" s="14" t="inlineStr">
        <is>
          <t>EAS</t>
        </is>
      </c>
      <c r="D112" s="14" t="inlineStr">
        <is>
          <t>LMIC</t>
        </is>
      </c>
      <c r="E112" s="14" t="inlineStr">
        <is>
          <t>Elasticities!121:138-141</t>
        </is>
      </c>
    </row>
    <row r="113">
      <c r="A113" s="14" t="inlineStr">
        <is>
          <t>LBN</t>
        </is>
      </c>
      <c r="B113" s="14" t="inlineStr">
        <is>
          <t>Lebanon</t>
        </is>
      </c>
      <c r="C113" s="14" t="inlineStr">
        <is>
          <t>MEA</t>
        </is>
      </c>
      <c r="D113" s="14" t="inlineStr">
        <is>
          <t>UMIC</t>
        </is>
      </c>
      <c r="E113" s="14" t="inlineStr">
        <is>
          <t>Elasticities!122:138-141</t>
        </is>
      </c>
    </row>
    <row r="114">
      <c r="A114" s="14" t="inlineStr">
        <is>
          <t>LBR</t>
        </is>
      </c>
      <c r="B114" s="14" t="inlineStr">
        <is>
          <t>Liberia</t>
        </is>
      </c>
      <c r="C114" s="14" t="inlineStr">
        <is>
          <t>SSF</t>
        </is>
      </c>
      <c r="D114" s="14" t="inlineStr">
        <is>
          <t>LIC</t>
        </is>
      </c>
      <c r="E114" s="14" t="inlineStr">
        <is>
          <t>Elasticities!123:138-141</t>
        </is>
      </c>
    </row>
    <row r="115">
      <c r="A115" s="14" t="inlineStr">
        <is>
          <t>LBY</t>
        </is>
      </c>
      <c r="B115" s="14" t="inlineStr">
        <is>
          <t>Libya</t>
        </is>
      </c>
      <c r="C115" s="14" t="inlineStr">
        <is>
          <t>MEA</t>
        </is>
      </c>
      <c r="D115" s="14" t="inlineStr">
        <is>
          <t>UMIC</t>
        </is>
      </c>
      <c r="E115" s="14" t="inlineStr">
        <is>
          <t>Elasticities!124:138-141</t>
        </is>
      </c>
    </row>
    <row r="116">
      <c r="A116" s="14" t="inlineStr">
        <is>
          <t>LCA</t>
        </is>
      </c>
      <c r="B116" s="14" t="inlineStr">
        <is>
          <t>St. Lucia</t>
        </is>
      </c>
      <c r="C116" s="14" t="inlineStr">
        <is>
          <t>LCN</t>
        </is>
      </c>
      <c r="D116" s="14" t="inlineStr">
        <is>
          <t>UMIC</t>
        </is>
      </c>
      <c r="E116" s="14" t="inlineStr">
        <is>
          <t>Elasticities!125:138-141</t>
        </is>
      </c>
    </row>
    <row r="117">
      <c r="A117" s="14" t="inlineStr">
        <is>
          <t>LIE</t>
        </is>
      </c>
      <c r="B117" s="14" t="inlineStr">
        <is>
          <t>Liechtenstein</t>
        </is>
      </c>
      <c r="C117" s="14" t="inlineStr">
        <is>
          <t>ECS</t>
        </is>
      </c>
      <c r="D117" s="14" t="inlineStr">
        <is>
          <t>HIC</t>
        </is>
      </c>
      <c r="E117" s="14" t="inlineStr">
        <is>
          <t>Elasticities!126:138-141</t>
        </is>
      </c>
    </row>
    <row r="118">
      <c r="A118" s="14" t="inlineStr">
        <is>
          <t>LKA</t>
        </is>
      </c>
      <c r="B118" s="14" t="inlineStr">
        <is>
          <t>Sri Lanka</t>
        </is>
      </c>
      <c r="C118" s="14" t="inlineStr">
        <is>
          <t>SAS</t>
        </is>
      </c>
      <c r="D118" s="14" t="inlineStr">
        <is>
          <t>LMIC</t>
        </is>
      </c>
      <c r="E118" s="14" t="inlineStr">
        <is>
          <t>Elasticities!127:138-141</t>
        </is>
      </c>
    </row>
    <row r="119">
      <c r="A119" s="14" t="inlineStr">
        <is>
          <t>LSO</t>
        </is>
      </c>
      <c r="B119" s="14" t="inlineStr">
        <is>
          <t>Lesotho</t>
        </is>
      </c>
      <c r="C119" s="14" t="inlineStr">
        <is>
          <t>SSF</t>
        </is>
      </c>
      <c r="D119" s="14" t="inlineStr">
        <is>
          <t>LMIC</t>
        </is>
      </c>
      <c r="E119" s="14" t="inlineStr">
        <is>
          <t>Elasticities!128:138-141</t>
        </is>
      </c>
    </row>
    <row r="120">
      <c r="A120" s="14" t="inlineStr">
        <is>
          <t>LTU</t>
        </is>
      </c>
      <c r="B120" s="14" t="inlineStr">
        <is>
          <t>Lithuania</t>
        </is>
      </c>
      <c r="C120" s="14" t="inlineStr">
        <is>
          <t>ECS</t>
        </is>
      </c>
      <c r="D120" s="14" t="inlineStr">
        <is>
          <t>HIC</t>
        </is>
      </c>
      <c r="E120" s="14" t="inlineStr">
        <is>
          <t>Elasticities!129:138-141</t>
        </is>
      </c>
    </row>
    <row r="121">
      <c r="A121" s="14" t="inlineStr">
        <is>
          <t>LUX</t>
        </is>
      </c>
      <c r="B121" s="14" t="inlineStr">
        <is>
          <t>Luxembourg</t>
        </is>
      </c>
      <c r="C121" s="14" t="inlineStr">
        <is>
          <t>ECS</t>
        </is>
      </c>
      <c r="D121" s="14" t="inlineStr">
        <is>
          <t>HIC</t>
        </is>
      </c>
      <c r="E121" s="14" t="inlineStr">
        <is>
          <t>Elasticities!130:138-141</t>
        </is>
      </c>
    </row>
    <row r="122">
      <c r="A122" s="14" t="inlineStr">
        <is>
          <t>LVA</t>
        </is>
      </c>
      <c r="B122" s="14" t="inlineStr">
        <is>
          <t>Latvia</t>
        </is>
      </c>
      <c r="C122" s="14" t="inlineStr">
        <is>
          <t>ECS</t>
        </is>
      </c>
      <c r="D122" s="14" t="inlineStr">
        <is>
          <t>HIC</t>
        </is>
      </c>
      <c r="E122" s="14" t="inlineStr">
        <is>
          <t>Elasticities!131:138-141</t>
        </is>
      </c>
    </row>
    <row r="123">
      <c r="A123" s="14" t="inlineStr">
        <is>
          <t>MAC</t>
        </is>
      </c>
      <c r="B123" s="14" t="inlineStr">
        <is>
          <t>Macao SAR</t>
        </is>
      </c>
      <c r="C123" s="14" t="inlineStr">
        <is>
          <t>EAS</t>
        </is>
      </c>
      <c r="D123" s="14" t="inlineStr">
        <is>
          <t>HIC</t>
        </is>
      </c>
      <c r="E123" s="14" t="inlineStr">
        <is>
          <t>Elasticities!132:138-141</t>
        </is>
      </c>
    </row>
    <row r="124">
      <c r="A124" s="14" t="inlineStr">
        <is>
          <t>MAF</t>
        </is>
      </c>
      <c r="B124" s="14" t="inlineStr">
        <is>
          <t>St. Martin (French part)</t>
        </is>
      </c>
      <c r="C124" s="14" t="inlineStr">
        <is>
          <t>LCN</t>
        </is>
      </c>
      <c r="D124" s="14" t="inlineStr">
        <is>
          <t>HIC</t>
        </is>
      </c>
      <c r="E124" s="14" t="inlineStr">
        <is>
          <t>Elasticities!133:138-141</t>
        </is>
      </c>
    </row>
    <row r="125">
      <c r="A125" s="14" t="inlineStr">
        <is>
          <t>MAR</t>
        </is>
      </c>
      <c r="B125" s="14" t="inlineStr">
        <is>
          <t>Morocco</t>
        </is>
      </c>
      <c r="C125" s="14" t="inlineStr">
        <is>
          <t>MEA</t>
        </is>
      </c>
      <c r="D125" s="14" t="inlineStr">
        <is>
          <t>LMIC</t>
        </is>
      </c>
      <c r="E125" s="14" t="inlineStr">
        <is>
          <t>Elasticities!134:138-141</t>
        </is>
      </c>
    </row>
    <row r="126">
      <c r="A126" s="14" t="inlineStr">
        <is>
          <t>MCO</t>
        </is>
      </c>
      <c r="B126" s="14" t="inlineStr">
        <is>
          <t>Monaco</t>
        </is>
      </c>
      <c r="C126" s="14" t="inlineStr">
        <is>
          <t>ECS</t>
        </is>
      </c>
      <c r="D126" s="14" t="inlineStr">
        <is>
          <t>HIC</t>
        </is>
      </c>
      <c r="E126" s="14" t="inlineStr">
        <is>
          <t>Elasticities!135:138-141</t>
        </is>
      </c>
    </row>
    <row r="127">
      <c r="A127" s="14" t="inlineStr">
        <is>
          <t>MDA</t>
        </is>
      </c>
      <c r="B127" s="14" t="inlineStr">
        <is>
          <t>Moldova</t>
        </is>
      </c>
      <c r="C127" s="14" t="inlineStr">
        <is>
          <t>ECS</t>
        </is>
      </c>
      <c r="D127" s="14" t="inlineStr">
        <is>
          <t>LMIC</t>
        </is>
      </c>
      <c r="E127" s="14" t="inlineStr">
        <is>
          <t>Elasticities!136:138-141</t>
        </is>
      </c>
    </row>
    <row r="128">
      <c r="A128" s="14" t="inlineStr">
        <is>
          <t>MDG</t>
        </is>
      </c>
      <c r="B128" s="14" t="inlineStr">
        <is>
          <t>Madagascar</t>
        </is>
      </c>
      <c r="C128" s="14" t="inlineStr">
        <is>
          <t>SSF</t>
        </is>
      </c>
      <c r="D128" s="14" t="inlineStr">
        <is>
          <t>LIC</t>
        </is>
      </c>
      <c r="E128" s="14" t="inlineStr">
        <is>
          <t>Elasticities!137:138-141</t>
        </is>
      </c>
    </row>
    <row r="129">
      <c r="A129" s="14" t="inlineStr">
        <is>
          <t>MDV</t>
        </is>
      </c>
      <c r="B129" s="14" t="inlineStr">
        <is>
          <t>Maldives</t>
        </is>
      </c>
      <c r="C129" s="14" t="inlineStr">
        <is>
          <t>SAS</t>
        </is>
      </c>
      <c r="D129" s="14" t="inlineStr">
        <is>
          <t>UMIC</t>
        </is>
      </c>
      <c r="E129" s="14" t="inlineStr">
        <is>
          <t>Elasticities!138:138-141</t>
        </is>
      </c>
    </row>
    <row r="130">
      <c r="A130" s="14" t="inlineStr">
        <is>
          <t>MEX</t>
        </is>
      </c>
      <c r="B130" s="14" t="inlineStr">
        <is>
          <t>Mexico</t>
        </is>
      </c>
      <c r="C130" s="14" t="inlineStr">
        <is>
          <t>LCN</t>
        </is>
      </c>
      <c r="D130" s="14" t="inlineStr">
        <is>
          <t>UMIC</t>
        </is>
      </c>
      <c r="E130" s="14" t="inlineStr">
        <is>
          <t>Elasticities!139:138-141</t>
        </is>
      </c>
    </row>
    <row r="131">
      <c r="A131" s="14" t="inlineStr">
        <is>
          <t>MHL</t>
        </is>
      </c>
      <c r="B131" s="14" t="inlineStr">
        <is>
          <t>Marshall Islands</t>
        </is>
      </c>
      <c r="C131" s="14" t="inlineStr">
        <is>
          <t>EAS</t>
        </is>
      </c>
      <c r="D131" s="14" t="inlineStr">
        <is>
          <t>UMIC</t>
        </is>
      </c>
      <c r="E131" s="14" t="inlineStr">
        <is>
          <t>Elasticities!140:138-141</t>
        </is>
      </c>
    </row>
    <row r="132">
      <c r="A132" s="14" t="inlineStr">
        <is>
          <t>MKD</t>
        </is>
      </c>
      <c r="B132" s="14" t="inlineStr">
        <is>
          <t>North Macedonia</t>
        </is>
      </c>
      <c r="C132" s="14" t="inlineStr">
        <is>
          <t>ECS</t>
        </is>
      </c>
      <c r="D132" s="14" t="inlineStr">
        <is>
          <t>UMIC</t>
        </is>
      </c>
      <c r="E132" s="14" t="inlineStr">
        <is>
          <t>Elasticities!141:138-141</t>
        </is>
      </c>
    </row>
    <row r="133">
      <c r="A133" s="14" t="inlineStr">
        <is>
          <t>MLI</t>
        </is>
      </c>
      <c r="B133" s="14" t="inlineStr">
        <is>
          <t>Mali</t>
        </is>
      </c>
      <c r="C133" s="14" t="inlineStr">
        <is>
          <t>SSF</t>
        </is>
      </c>
      <c r="D133" s="14" t="inlineStr">
        <is>
          <t>LIC</t>
        </is>
      </c>
      <c r="E133" s="14" t="inlineStr">
        <is>
          <t>Elasticities!142:138-141</t>
        </is>
      </c>
    </row>
    <row r="134">
      <c r="A134" s="14" t="inlineStr">
        <is>
          <t>MLT</t>
        </is>
      </c>
      <c r="B134" s="14" t="inlineStr">
        <is>
          <t>Malta</t>
        </is>
      </c>
      <c r="C134" s="14" t="inlineStr">
        <is>
          <t>MEA</t>
        </is>
      </c>
      <c r="D134" s="14" t="inlineStr">
        <is>
          <t>HIC</t>
        </is>
      </c>
      <c r="E134" s="14" t="inlineStr">
        <is>
          <t>Elasticities!143:138-141</t>
        </is>
      </c>
    </row>
    <row r="135">
      <c r="A135" s="14" t="inlineStr">
        <is>
          <t>MMR</t>
        </is>
      </c>
      <c r="B135" s="14" t="inlineStr">
        <is>
          <t>Myanmar</t>
        </is>
      </c>
      <c r="C135" s="14" t="inlineStr">
        <is>
          <t>EAS</t>
        </is>
      </c>
      <c r="D135" s="14" t="inlineStr">
        <is>
          <t>LMIC</t>
        </is>
      </c>
      <c r="E135" s="14" t="inlineStr">
        <is>
          <t>Elasticities!144:138-141</t>
        </is>
      </c>
    </row>
    <row r="136">
      <c r="A136" s="14" t="inlineStr">
        <is>
          <t>MNE</t>
        </is>
      </c>
      <c r="B136" s="14" t="inlineStr">
        <is>
          <t>Montenegro, Rep. of</t>
        </is>
      </c>
      <c r="C136" s="14" t="inlineStr">
        <is>
          <t>ECS</t>
        </is>
      </c>
      <c r="D136" s="14" t="inlineStr">
        <is>
          <t>UMIC</t>
        </is>
      </c>
      <c r="E136" s="14" t="inlineStr">
        <is>
          <t>Elasticities!145:138-141</t>
        </is>
      </c>
    </row>
    <row r="137">
      <c r="A137" s="14" t="inlineStr">
        <is>
          <t>MNG</t>
        </is>
      </c>
      <c r="B137" s="14" t="inlineStr">
        <is>
          <t>Mongolia</t>
        </is>
      </c>
      <c r="C137" s="14" t="inlineStr">
        <is>
          <t>EAS</t>
        </is>
      </c>
      <c r="D137" s="14" t="inlineStr">
        <is>
          <t>LMIC</t>
        </is>
      </c>
      <c r="E137" s="14" t="inlineStr">
        <is>
          <t>Elasticities!146:138-141</t>
        </is>
      </c>
    </row>
    <row r="138">
      <c r="A138" s="14" t="inlineStr">
        <is>
          <t>MNP</t>
        </is>
      </c>
      <c r="B138" s="14" t="inlineStr">
        <is>
          <t>Northern Mariana Islands</t>
        </is>
      </c>
      <c r="C138" s="14" t="inlineStr">
        <is>
          <t>EAS</t>
        </is>
      </c>
      <c r="D138" s="14" t="inlineStr">
        <is>
          <t>HIC</t>
        </is>
      </c>
      <c r="E138" s="14" t="inlineStr">
        <is>
          <t>Elasticities!147:138-141</t>
        </is>
      </c>
    </row>
    <row r="139">
      <c r="A139" s="14" t="inlineStr">
        <is>
          <t>MOZ</t>
        </is>
      </c>
      <c r="B139" s="14" t="inlineStr">
        <is>
          <t>Mozambique</t>
        </is>
      </c>
      <c r="C139" s="14" t="inlineStr">
        <is>
          <t>SSF</t>
        </is>
      </c>
      <c r="D139" s="14" t="inlineStr">
        <is>
          <t>LIC</t>
        </is>
      </c>
      <c r="E139" s="14" t="inlineStr">
        <is>
          <t>Elasticities!148:138-141</t>
        </is>
      </c>
    </row>
    <row r="140">
      <c r="A140" s="14" t="inlineStr">
        <is>
          <t>MRT</t>
        </is>
      </c>
      <c r="B140" s="14" t="inlineStr">
        <is>
          <t>Mauritania</t>
        </is>
      </c>
      <c r="C140" s="14" t="inlineStr">
        <is>
          <t>SSF</t>
        </is>
      </c>
      <c r="D140" s="14" t="inlineStr">
        <is>
          <t>LMIC</t>
        </is>
      </c>
      <c r="E140" s="14" t="inlineStr">
        <is>
          <t>Elasticities!149:138-141</t>
        </is>
      </c>
    </row>
    <row r="141">
      <c r="A141" s="14" t="inlineStr">
        <is>
          <t>MUS</t>
        </is>
      </c>
      <c r="B141" s="14" t="inlineStr">
        <is>
          <t>Mauritius</t>
        </is>
      </c>
      <c r="C141" s="14" t="inlineStr">
        <is>
          <t>SSF</t>
        </is>
      </c>
      <c r="D141" s="14" t="inlineStr">
        <is>
          <t>UMIC</t>
        </is>
      </c>
      <c r="E141" s="14" t="inlineStr">
        <is>
          <t>Elasticities!150:138-141</t>
        </is>
      </c>
    </row>
    <row r="142">
      <c r="A142" s="14" t="inlineStr">
        <is>
          <t>MWI</t>
        </is>
      </c>
      <c r="B142" s="14" t="inlineStr">
        <is>
          <t>Malawi</t>
        </is>
      </c>
      <c r="C142" s="14" t="inlineStr">
        <is>
          <t>SSF</t>
        </is>
      </c>
      <c r="D142" s="14" t="inlineStr">
        <is>
          <t>LIC</t>
        </is>
      </c>
      <c r="E142" s="14" t="inlineStr">
        <is>
          <t>Elasticities!151:138-141</t>
        </is>
      </c>
    </row>
    <row r="143">
      <c r="A143" s="14" t="inlineStr">
        <is>
          <t>MYS</t>
        </is>
      </c>
      <c r="B143" s="14" t="inlineStr">
        <is>
          <t>Malaysia</t>
        </is>
      </c>
      <c r="C143" s="14" t="inlineStr">
        <is>
          <t>EAS</t>
        </is>
      </c>
      <c r="D143" s="14" t="inlineStr">
        <is>
          <t>UMIC</t>
        </is>
      </c>
      <c r="E143" s="14" t="inlineStr">
        <is>
          <t>Elasticities!152:138-141</t>
        </is>
      </c>
    </row>
    <row r="144">
      <c r="A144" s="14" t="inlineStr">
        <is>
          <t>NAM</t>
        </is>
      </c>
      <c r="B144" s="14" t="inlineStr">
        <is>
          <t>Namibia</t>
        </is>
      </c>
      <c r="C144" s="14" t="inlineStr">
        <is>
          <t>SSF</t>
        </is>
      </c>
      <c r="D144" s="14" t="inlineStr">
        <is>
          <t>UMIC</t>
        </is>
      </c>
      <c r="E144" s="14" t="inlineStr">
        <is>
          <t>Elasticities!153:138-141</t>
        </is>
      </c>
    </row>
    <row r="145">
      <c r="A145" s="14" t="inlineStr">
        <is>
          <t>NCL</t>
        </is>
      </c>
      <c r="B145" s="14" t="inlineStr">
        <is>
          <t>New Caledonia</t>
        </is>
      </c>
      <c r="C145" s="14" t="inlineStr">
        <is>
          <t>EAS</t>
        </is>
      </c>
      <c r="D145" s="14" t="inlineStr">
        <is>
          <t>HIC</t>
        </is>
      </c>
      <c r="E145" s="14" t="inlineStr">
        <is>
          <t>Elasticities!154:138-141</t>
        </is>
      </c>
    </row>
    <row r="146">
      <c r="A146" s="14" t="inlineStr">
        <is>
          <t>NER</t>
        </is>
      </c>
      <c r="B146" s="14" t="inlineStr">
        <is>
          <t>Niger</t>
        </is>
      </c>
      <c r="C146" s="14" t="inlineStr">
        <is>
          <t>SSF</t>
        </is>
      </c>
      <c r="D146" s="14" t="inlineStr">
        <is>
          <t>LIC</t>
        </is>
      </c>
      <c r="E146" s="14" t="inlineStr">
        <is>
          <t>Elasticities!155:138-141</t>
        </is>
      </c>
    </row>
    <row r="147">
      <c r="A147" s="14" t="inlineStr">
        <is>
          <t>NGA</t>
        </is>
      </c>
      <c r="B147" s="14" t="inlineStr">
        <is>
          <t>Nigeria</t>
        </is>
      </c>
      <c r="C147" s="14" t="inlineStr">
        <is>
          <t>SSF</t>
        </is>
      </c>
      <c r="D147" s="14" t="inlineStr">
        <is>
          <t>LMIC</t>
        </is>
      </c>
      <c r="E147" s="14" t="inlineStr">
        <is>
          <t>Elasticities!156:138-141</t>
        </is>
      </c>
    </row>
    <row r="148">
      <c r="A148" s="14" t="inlineStr">
        <is>
          <t>NIC</t>
        </is>
      </c>
      <c r="B148" s="14" t="inlineStr">
        <is>
          <t>Nicaragua</t>
        </is>
      </c>
      <c r="C148" s="14" t="inlineStr">
        <is>
          <t>LCN</t>
        </is>
      </c>
      <c r="D148" s="14" t="inlineStr">
        <is>
          <t>LMIC</t>
        </is>
      </c>
      <c r="E148" s="14" t="inlineStr">
        <is>
          <t>Elasticities!157:138-141</t>
        </is>
      </c>
    </row>
    <row r="149">
      <c r="A149" s="14" t="inlineStr">
        <is>
          <t>NLD</t>
        </is>
      </c>
      <c r="B149" s="14" t="inlineStr">
        <is>
          <t>Netherlands</t>
        </is>
      </c>
      <c r="C149" s="14" t="inlineStr">
        <is>
          <t>ECS</t>
        </is>
      </c>
      <c r="D149" s="14" t="inlineStr">
        <is>
          <t>HIC</t>
        </is>
      </c>
      <c r="E149" s="14" t="inlineStr">
        <is>
          <t>Elasticities!158:138-141</t>
        </is>
      </c>
    </row>
    <row r="150">
      <c r="A150" s="14" t="inlineStr">
        <is>
          <t>NOR</t>
        </is>
      </c>
      <c r="B150" s="14" t="inlineStr">
        <is>
          <t>Norway</t>
        </is>
      </c>
      <c r="C150" s="14" t="inlineStr">
        <is>
          <t>ECS</t>
        </is>
      </c>
      <c r="D150" s="14" t="inlineStr">
        <is>
          <t>HIC</t>
        </is>
      </c>
      <c r="E150" s="14" t="inlineStr">
        <is>
          <t>Elasticities!159:138-141</t>
        </is>
      </c>
    </row>
    <row r="151">
      <c r="A151" s="14" t="inlineStr">
        <is>
          <t>NPL</t>
        </is>
      </c>
      <c r="B151" s="14" t="inlineStr">
        <is>
          <t>Nepal</t>
        </is>
      </c>
      <c r="C151" s="14" t="inlineStr">
        <is>
          <t>SAS</t>
        </is>
      </c>
      <c r="D151" s="14" t="inlineStr">
        <is>
          <t>LIC</t>
        </is>
      </c>
      <c r="E151" s="14" t="inlineStr">
        <is>
          <t>Elasticities!160:138-141</t>
        </is>
      </c>
    </row>
    <row r="152">
      <c r="A152" s="14" t="inlineStr">
        <is>
          <t>NRU</t>
        </is>
      </c>
      <c r="B152" s="14" t="inlineStr">
        <is>
          <t>Nauru</t>
        </is>
      </c>
      <c r="C152" s="14" t="inlineStr">
        <is>
          <t>EAS</t>
        </is>
      </c>
      <c r="D152" s="14" t="inlineStr">
        <is>
          <t>UMIC</t>
        </is>
      </c>
      <c r="E152" s="14" t="inlineStr">
        <is>
          <t>Elasticities!161:138-141</t>
        </is>
      </c>
    </row>
    <row r="153">
      <c r="A153" s="14" t="inlineStr">
        <is>
          <t>NZL</t>
        </is>
      </c>
      <c r="B153" s="14" t="inlineStr">
        <is>
          <t>New Zealand</t>
        </is>
      </c>
      <c r="C153" s="14" t="inlineStr">
        <is>
          <t>EAS</t>
        </is>
      </c>
      <c r="D153" s="14" t="inlineStr">
        <is>
          <t>HIC</t>
        </is>
      </c>
      <c r="E153" s="14" t="inlineStr">
        <is>
          <t>Elasticities!162:138-141</t>
        </is>
      </c>
    </row>
    <row r="154">
      <c r="A154" s="14" t="inlineStr">
        <is>
          <t>OMN</t>
        </is>
      </c>
      <c r="B154" s="14" t="inlineStr">
        <is>
          <t>Oman</t>
        </is>
      </c>
      <c r="C154" s="14" t="inlineStr">
        <is>
          <t>MEA</t>
        </is>
      </c>
      <c r="D154" s="14" t="inlineStr">
        <is>
          <t>HIC</t>
        </is>
      </c>
      <c r="E154" s="14" t="inlineStr">
        <is>
          <t>Elasticities!163:138-141</t>
        </is>
      </c>
    </row>
    <row r="155">
      <c r="A155" s="14" t="inlineStr">
        <is>
          <t>PAK</t>
        </is>
      </c>
      <c r="B155" s="14" t="inlineStr">
        <is>
          <t>Pakistan</t>
        </is>
      </c>
      <c r="C155" s="14" t="inlineStr">
        <is>
          <t>SAS</t>
        </is>
      </c>
      <c r="D155" s="14" t="inlineStr">
        <is>
          <t>LMIC</t>
        </is>
      </c>
      <c r="E155" s="14" t="inlineStr">
        <is>
          <t>Elasticities!164:138-141</t>
        </is>
      </c>
    </row>
    <row r="156">
      <c r="A156" s="14" t="inlineStr">
        <is>
          <t>PAN</t>
        </is>
      </c>
      <c r="B156" s="14" t="inlineStr">
        <is>
          <t>Panama</t>
        </is>
      </c>
      <c r="C156" s="14" t="inlineStr">
        <is>
          <t>LCN</t>
        </is>
      </c>
      <c r="D156" s="14" t="inlineStr">
        <is>
          <t>HIC</t>
        </is>
      </c>
      <c r="E156" s="14" t="inlineStr">
        <is>
          <t>Elasticities!165:138-141</t>
        </is>
      </c>
    </row>
    <row r="157">
      <c r="A157" s="14" t="inlineStr">
        <is>
          <t>PER</t>
        </is>
      </c>
      <c r="B157" s="14" t="inlineStr">
        <is>
          <t>Peru</t>
        </is>
      </c>
      <c r="C157" s="14" t="inlineStr">
        <is>
          <t>LCN</t>
        </is>
      </c>
      <c r="D157" s="14" t="inlineStr">
        <is>
          <t>UMIC</t>
        </is>
      </c>
      <c r="E157" s="14" t="inlineStr">
        <is>
          <t>Elasticities!166:138-141</t>
        </is>
      </c>
    </row>
    <row r="158">
      <c r="A158" s="14" t="inlineStr">
        <is>
          <t>PHL</t>
        </is>
      </c>
      <c r="B158" s="14" t="inlineStr">
        <is>
          <t>Philippines</t>
        </is>
      </c>
      <c r="C158" s="14" t="inlineStr">
        <is>
          <t>EAS</t>
        </is>
      </c>
      <c r="D158" s="14" t="inlineStr">
        <is>
          <t>LMIC</t>
        </is>
      </c>
      <c r="E158" s="14" t="inlineStr">
        <is>
          <t>Elasticities!167:138-141</t>
        </is>
      </c>
    </row>
    <row r="159">
      <c r="A159" s="14" t="inlineStr">
        <is>
          <t>PLW</t>
        </is>
      </c>
      <c r="B159" s="14" t="inlineStr">
        <is>
          <t>Palau</t>
        </is>
      </c>
      <c r="C159" s="14" t="inlineStr">
        <is>
          <t>EAS</t>
        </is>
      </c>
      <c r="D159" s="14" t="inlineStr">
        <is>
          <t>HIC</t>
        </is>
      </c>
      <c r="E159" s="14" t="inlineStr">
        <is>
          <t>Elasticities!168:138-141</t>
        </is>
      </c>
    </row>
    <row r="160">
      <c r="A160" s="14" t="inlineStr">
        <is>
          <t>PNG</t>
        </is>
      </c>
      <c r="B160" s="14" t="inlineStr">
        <is>
          <t>Papua New Guinea</t>
        </is>
      </c>
      <c r="C160" s="14" t="inlineStr">
        <is>
          <t>EAS</t>
        </is>
      </c>
      <c r="D160" s="14" t="inlineStr">
        <is>
          <t>LMIC</t>
        </is>
      </c>
      <c r="E160" s="14" t="inlineStr">
        <is>
          <t>Elasticities!169:138-141</t>
        </is>
      </c>
    </row>
    <row r="161">
      <c r="A161" s="14" t="inlineStr">
        <is>
          <t>POL</t>
        </is>
      </c>
      <c r="B161" s="14" t="inlineStr">
        <is>
          <t>Poland</t>
        </is>
      </c>
      <c r="C161" s="14" t="inlineStr">
        <is>
          <t>ECS</t>
        </is>
      </c>
      <c r="D161" s="14" t="inlineStr">
        <is>
          <t>HIC</t>
        </is>
      </c>
      <c r="E161" s="14" t="inlineStr">
        <is>
          <t>Elasticities!170:138-141</t>
        </is>
      </c>
    </row>
    <row r="162">
      <c r="A162" s="14" t="inlineStr">
        <is>
          <t>PRI</t>
        </is>
      </c>
      <c r="B162" s="14" t="inlineStr">
        <is>
          <t>Puerto Rico</t>
        </is>
      </c>
      <c r="C162" s="14" t="inlineStr">
        <is>
          <t>LCN</t>
        </is>
      </c>
      <c r="D162" s="14" t="inlineStr">
        <is>
          <t>HIC</t>
        </is>
      </c>
      <c r="E162" s="14" t="inlineStr">
        <is>
          <t>Elasticities!171:138-141</t>
        </is>
      </c>
    </row>
    <row r="163">
      <c r="A163" s="14" t="inlineStr">
        <is>
          <t>PRK</t>
        </is>
      </c>
      <c r="B163" s="14" t="inlineStr">
        <is>
          <t>Korea, Dem. People's Rep.</t>
        </is>
      </c>
      <c r="C163" s="14" t="inlineStr">
        <is>
          <t>EAS</t>
        </is>
      </c>
      <c r="D163" s="14" t="inlineStr">
        <is>
          <t>LIC</t>
        </is>
      </c>
      <c r="E163" s="14" t="inlineStr">
        <is>
          <t>Elasticities!172:138-141</t>
        </is>
      </c>
    </row>
    <row r="164">
      <c r="A164" s="14" t="inlineStr">
        <is>
          <t>PRT</t>
        </is>
      </c>
      <c r="B164" s="14" t="inlineStr">
        <is>
          <t>Portugal</t>
        </is>
      </c>
      <c r="C164" s="14" t="inlineStr">
        <is>
          <t>ECS</t>
        </is>
      </c>
      <c r="D164" s="14" t="inlineStr">
        <is>
          <t>HIC</t>
        </is>
      </c>
      <c r="E164" s="14" t="inlineStr">
        <is>
          <t>Elasticities!173:138-141</t>
        </is>
      </c>
    </row>
    <row r="165">
      <c r="A165" s="14" t="inlineStr">
        <is>
          <t>PRY</t>
        </is>
      </c>
      <c r="B165" s="14" t="inlineStr">
        <is>
          <t>Paraguay</t>
        </is>
      </c>
      <c r="C165" s="14" t="inlineStr">
        <is>
          <t>LCN</t>
        </is>
      </c>
      <c r="D165" s="14" t="inlineStr">
        <is>
          <t>UMIC</t>
        </is>
      </c>
      <c r="E165" s="14" t="inlineStr">
        <is>
          <t>Elasticities!174:138-141</t>
        </is>
      </c>
    </row>
    <row r="166">
      <c r="A166" s="14" t="inlineStr">
        <is>
          <t>PSE</t>
        </is>
      </c>
      <c r="B166" s="14" t="inlineStr">
        <is>
          <t>West Bank and Gaza</t>
        </is>
      </c>
      <c r="C166" s="14" t="inlineStr">
        <is>
          <t>MEA</t>
        </is>
      </c>
      <c r="D166" s="14" t="inlineStr">
        <is>
          <t>LMIC</t>
        </is>
      </c>
      <c r="E166" s="14" t="inlineStr">
        <is>
          <t>Elasticities!175:138-141</t>
        </is>
      </c>
    </row>
    <row r="167">
      <c r="A167" s="14" t="inlineStr">
        <is>
          <t>PYF</t>
        </is>
      </c>
      <c r="B167" s="14" t="inlineStr">
        <is>
          <t>French Polynesia</t>
        </is>
      </c>
      <c r="C167" s="14" t="inlineStr">
        <is>
          <t>EAS</t>
        </is>
      </c>
      <c r="D167" s="14" t="inlineStr">
        <is>
          <t>HIC</t>
        </is>
      </c>
      <c r="E167" s="14" t="inlineStr">
        <is>
          <t>Elasticities!176:138-141</t>
        </is>
      </c>
    </row>
    <row r="168">
      <c r="A168" s="14" t="inlineStr">
        <is>
          <t>QAT</t>
        </is>
      </c>
      <c r="B168" s="14" t="inlineStr">
        <is>
          <t>Qatar</t>
        </is>
      </c>
      <c r="C168" s="14" t="inlineStr">
        <is>
          <t>MEA</t>
        </is>
      </c>
      <c r="D168" s="14" t="inlineStr">
        <is>
          <t>HIC</t>
        </is>
      </c>
      <c r="E168" s="14" t="inlineStr">
        <is>
          <t>Elasticities!177:138-141</t>
        </is>
      </c>
    </row>
    <row r="169">
      <c r="A169" s="14" t="inlineStr">
        <is>
          <t>ROU</t>
        </is>
      </c>
      <c r="B169" s="14" t="inlineStr">
        <is>
          <t>Romania</t>
        </is>
      </c>
      <c r="C169" s="14" t="inlineStr">
        <is>
          <t>ECS</t>
        </is>
      </c>
      <c r="D169" s="14" t="inlineStr">
        <is>
          <t>UMIC</t>
        </is>
      </c>
      <c r="E169" s="14" t="inlineStr">
        <is>
          <t>Elasticities!178:138-141</t>
        </is>
      </c>
    </row>
    <row r="170">
      <c r="A170" s="14" t="inlineStr">
        <is>
          <t>RUS</t>
        </is>
      </c>
      <c r="B170" s="14" t="inlineStr">
        <is>
          <t>Russia</t>
        </is>
      </c>
      <c r="C170" s="14" t="inlineStr">
        <is>
          <t>ECS</t>
        </is>
      </c>
      <c r="D170" s="14" t="inlineStr">
        <is>
          <t>UMIC</t>
        </is>
      </c>
      <c r="E170" s="14" t="inlineStr">
        <is>
          <t>Elasticities!179:138-141</t>
        </is>
      </c>
    </row>
    <row r="171">
      <c r="A171" s="14" t="inlineStr">
        <is>
          <t>RWA</t>
        </is>
      </c>
      <c r="B171" s="14" t="inlineStr">
        <is>
          <t>Rwanda</t>
        </is>
      </c>
      <c r="C171" s="14" t="inlineStr">
        <is>
          <t>SSF</t>
        </is>
      </c>
      <c r="D171" s="14" t="inlineStr">
        <is>
          <t>LIC</t>
        </is>
      </c>
      <c r="E171" s="14" t="inlineStr">
        <is>
          <t>Elasticities!180:138-141</t>
        </is>
      </c>
    </row>
    <row r="172">
      <c r="A172" s="14" t="inlineStr">
        <is>
          <t>SAU</t>
        </is>
      </c>
      <c r="B172" s="14" t="inlineStr">
        <is>
          <t>Saudi Arabia</t>
        </is>
      </c>
      <c r="C172" s="14" t="inlineStr">
        <is>
          <t>MEA</t>
        </is>
      </c>
      <c r="D172" s="14" t="inlineStr">
        <is>
          <t>HIC</t>
        </is>
      </c>
      <c r="E172" s="14" t="inlineStr">
        <is>
          <t>Elasticities!181:138-141</t>
        </is>
      </c>
    </row>
    <row r="173">
      <c r="A173" s="14" t="inlineStr">
        <is>
          <t>SDN</t>
        </is>
      </c>
      <c r="B173" s="14" t="inlineStr">
        <is>
          <t>Sudan</t>
        </is>
      </c>
      <c r="C173" s="14" t="inlineStr">
        <is>
          <t>SSF</t>
        </is>
      </c>
      <c r="D173" s="14" t="inlineStr">
        <is>
          <t>LMIC</t>
        </is>
      </c>
      <c r="E173" s="14" t="inlineStr">
        <is>
          <t>Elasticities!182:138-141</t>
        </is>
      </c>
    </row>
    <row r="174">
      <c r="A174" s="14" t="inlineStr">
        <is>
          <t>SEN</t>
        </is>
      </c>
      <c r="B174" s="14" t="inlineStr">
        <is>
          <t>Senegal</t>
        </is>
      </c>
      <c r="C174" s="14" t="inlineStr">
        <is>
          <t>SSF</t>
        </is>
      </c>
      <c r="D174" s="14" t="inlineStr">
        <is>
          <t>LIC</t>
        </is>
      </c>
      <c r="E174" s="14" t="inlineStr">
        <is>
          <t>Elasticities!183:138-141</t>
        </is>
      </c>
    </row>
    <row r="175">
      <c r="A175" s="14" t="inlineStr">
        <is>
          <t>SGP</t>
        </is>
      </c>
      <c r="B175" s="14" t="inlineStr">
        <is>
          <t>Singapore</t>
        </is>
      </c>
      <c r="C175" s="14" t="inlineStr">
        <is>
          <t>EAS</t>
        </is>
      </c>
      <c r="D175" s="14" t="inlineStr">
        <is>
          <t>HIC</t>
        </is>
      </c>
      <c r="E175" s="14" t="inlineStr">
        <is>
          <t>Elasticities!184:138-141</t>
        </is>
      </c>
    </row>
    <row r="176">
      <c r="A176" s="14" t="inlineStr">
        <is>
          <t>SLB</t>
        </is>
      </c>
      <c r="B176" s="14" t="inlineStr">
        <is>
          <t>Solomon Islands</t>
        </is>
      </c>
      <c r="C176" s="14" t="inlineStr">
        <is>
          <t>EAS</t>
        </is>
      </c>
      <c r="D176" s="14" t="inlineStr">
        <is>
          <t>LMIC</t>
        </is>
      </c>
      <c r="E176" s="14" t="inlineStr">
        <is>
          <t>Elasticities!185:138-141</t>
        </is>
      </c>
    </row>
    <row r="177">
      <c r="A177" s="14" t="inlineStr">
        <is>
          <t>SLE</t>
        </is>
      </c>
      <c r="B177" s="14" t="inlineStr">
        <is>
          <t>Sierra Leone</t>
        </is>
      </c>
      <c r="C177" s="14" t="inlineStr">
        <is>
          <t>SSF</t>
        </is>
      </c>
      <c r="D177" s="14" t="inlineStr">
        <is>
          <t>LIC</t>
        </is>
      </c>
      <c r="E177" s="14" t="inlineStr">
        <is>
          <t>Elasticities!186:138-141</t>
        </is>
      </c>
    </row>
    <row r="178">
      <c r="A178" s="14" t="inlineStr">
        <is>
          <t>SLV</t>
        </is>
      </c>
      <c r="B178" s="14" t="inlineStr">
        <is>
          <t>El Salvador</t>
        </is>
      </c>
      <c r="C178" s="14" t="inlineStr">
        <is>
          <t>LCN</t>
        </is>
      </c>
      <c r="D178" s="14" t="inlineStr">
        <is>
          <t>LMIC</t>
        </is>
      </c>
      <c r="E178" s="14" t="inlineStr">
        <is>
          <t>Elasticities!187:138-141</t>
        </is>
      </c>
    </row>
    <row r="179">
      <c r="A179" s="14" t="inlineStr">
        <is>
          <t>SMR</t>
        </is>
      </c>
      <c r="B179" s="14" t="inlineStr">
        <is>
          <t>San Marino</t>
        </is>
      </c>
      <c r="C179" s="14" t="inlineStr">
        <is>
          <t>ECS</t>
        </is>
      </c>
      <c r="D179" s="14" t="inlineStr">
        <is>
          <t>HIC</t>
        </is>
      </c>
      <c r="E179" s="14" t="inlineStr">
        <is>
          <t>Elasticities!188:138-141</t>
        </is>
      </c>
    </row>
    <row r="180">
      <c r="A180" s="14" t="inlineStr">
        <is>
          <t>SOM</t>
        </is>
      </c>
      <c r="B180" s="14" t="inlineStr">
        <is>
          <t>Somalia</t>
        </is>
      </c>
      <c r="C180" s="14" t="inlineStr">
        <is>
          <t>SSF</t>
        </is>
      </c>
      <c r="D180" s="14" t="inlineStr">
        <is>
          <t>LIC</t>
        </is>
      </c>
      <c r="E180" s="14" t="inlineStr">
        <is>
          <t>Elasticities!189:138-141</t>
        </is>
      </c>
    </row>
    <row r="181">
      <c r="A181" s="14" t="inlineStr">
        <is>
          <t>SRB</t>
        </is>
      </c>
      <c r="B181" s="14" t="inlineStr">
        <is>
          <t>Serbia</t>
        </is>
      </c>
      <c r="C181" s="14" t="inlineStr">
        <is>
          <t>ECS</t>
        </is>
      </c>
      <c r="D181" s="14" t="inlineStr">
        <is>
          <t>UMIC</t>
        </is>
      </c>
      <c r="E181" s="14" t="inlineStr">
        <is>
          <t>Elasticities!190:138-141</t>
        </is>
      </c>
    </row>
    <row r="182">
      <c r="A182" s="14" t="inlineStr">
        <is>
          <t>SSD</t>
        </is>
      </c>
      <c r="B182" s="14" t="inlineStr">
        <is>
          <t>South Sudan</t>
        </is>
      </c>
      <c r="C182" s="14" t="inlineStr">
        <is>
          <t>SSF</t>
        </is>
      </c>
      <c r="D182" s="14" t="inlineStr">
        <is>
          <t>LIC</t>
        </is>
      </c>
      <c r="E182" s="14" t="inlineStr">
        <is>
          <t>Elasticities!191:138-141</t>
        </is>
      </c>
    </row>
    <row r="183">
      <c r="A183" s="14" t="inlineStr">
        <is>
          <t>SSF</t>
        </is>
      </c>
      <c r="B183" s="14" t="inlineStr">
        <is>
          <t>Sub-Saharan Africa</t>
        </is>
      </c>
      <c r="C183" s="14" t="inlineStr">
        <is>
          <t>SSF</t>
        </is>
      </c>
      <c r="D183" s="14" t="inlineStr">
        <is>
          <t>N/A</t>
        </is>
      </c>
      <c r="E183" s="14" t="inlineStr">
        <is>
          <t>Elasticities!192:138-141</t>
        </is>
      </c>
    </row>
    <row r="184">
      <c r="A184" s="14" t="inlineStr">
        <is>
          <t>STP</t>
        </is>
      </c>
      <c r="B184" s="14" t="inlineStr">
        <is>
          <t>São Tomé and Príncipe</t>
        </is>
      </c>
      <c r="C184" s="14" t="inlineStr">
        <is>
          <t>SSF</t>
        </is>
      </c>
      <c r="D184" s="14" t="inlineStr">
        <is>
          <t>LMIC</t>
        </is>
      </c>
      <c r="E184" s="14" t="inlineStr">
        <is>
          <t>Elasticities!193:138-141</t>
        </is>
      </c>
    </row>
    <row r="185">
      <c r="A185" s="14" t="inlineStr">
        <is>
          <t>SUR</t>
        </is>
      </c>
      <c r="B185" s="14" t="inlineStr">
        <is>
          <t>Suriname</t>
        </is>
      </c>
      <c r="C185" s="14" t="inlineStr">
        <is>
          <t>LCN</t>
        </is>
      </c>
      <c r="D185" s="14" t="inlineStr">
        <is>
          <t>UMIC</t>
        </is>
      </c>
      <c r="E185" s="14" t="inlineStr">
        <is>
          <t>Elasticities!194:138-141</t>
        </is>
      </c>
    </row>
    <row r="186">
      <c r="A186" s="14" t="inlineStr">
        <is>
          <t>SVK</t>
        </is>
      </c>
      <c r="B186" s="14" t="inlineStr">
        <is>
          <t>Slovak Republic</t>
        </is>
      </c>
      <c r="C186" s="14" t="inlineStr">
        <is>
          <t>ECS</t>
        </is>
      </c>
      <c r="D186" s="14" t="inlineStr">
        <is>
          <t>HIC</t>
        </is>
      </c>
      <c r="E186" s="14" t="inlineStr">
        <is>
          <t>Elasticities!195:138-141</t>
        </is>
      </c>
    </row>
    <row r="187">
      <c r="A187" s="14" t="inlineStr">
        <is>
          <t>SVN</t>
        </is>
      </c>
      <c r="B187" s="14" t="inlineStr">
        <is>
          <t>Slovenia</t>
        </is>
      </c>
      <c r="C187" s="14" t="inlineStr">
        <is>
          <t>ECS</t>
        </is>
      </c>
      <c r="D187" s="14" t="inlineStr">
        <is>
          <t>HIC</t>
        </is>
      </c>
      <c r="E187" s="14" t="inlineStr">
        <is>
          <t>Elasticities!196:138-141</t>
        </is>
      </c>
    </row>
    <row r="188">
      <c r="A188" s="14" t="inlineStr">
        <is>
          <t>SWE</t>
        </is>
      </c>
      <c r="B188" s="14" t="inlineStr">
        <is>
          <t>Sweden</t>
        </is>
      </c>
      <c r="C188" s="14" t="inlineStr">
        <is>
          <t>ECS</t>
        </is>
      </c>
      <c r="D188" s="14" t="inlineStr">
        <is>
          <t>HIC</t>
        </is>
      </c>
      <c r="E188" s="14" t="inlineStr">
        <is>
          <t>Elasticities!197:138-141</t>
        </is>
      </c>
    </row>
    <row r="189">
      <c r="A189" s="14" t="inlineStr">
        <is>
          <t>SWZ</t>
        </is>
      </c>
      <c r="B189" s="14" t="inlineStr">
        <is>
          <t>Eswatini</t>
        </is>
      </c>
      <c r="C189" s="14" t="inlineStr">
        <is>
          <t>SSF</t>
        </is>
      </c>
      <c r="D189" s="14" t="inlineStr">
        <is>
          <t>LMIC</t>
        </is>
      </c>
      <c r="E189" s="14" t="inlineStr">
        <is>
          <t>Elasticities!198:138-141</t>
        </is>
      </c>
    </row>
    <row r="190">
      <c r="A190" s="14" t="inlineStr">
        <is>
          <t>SXM</t>
        </is>
      </c>
      <c r="B190" s="14" t="inlineStr">
        <is>
          <t>Sint Maarten (Dutch part)</t>
        </is>
      </c>
      <c r="C190" s="14" t="inlineStr">
        <is>
          <t>LCN</t>
        </is>
      </c>
      <c r="D190" s="14" t="inlineStr">
        <is>
          <t>HIC</t>
        </is>
      </c>
      <c r="E190" s="14" t="inlineStr">
        <is>
          <t>Elasticities!199:138-141</t>
        </is>
      </c>
    </row>
    <row r="191">
      <c r="A191" s="14" t="inlineStr">
        <is>
          <t>SYC</t>
        </is>
      </c>
      <c r="B191" s="14" t="inlineStr">
        <is>
          <t>Seychelles</t>
        </is>
      </c>
      <c r="C191" s="14" t="inlineStr">
        <is>
          <t>SSF</t>
        </is>
      </c>
      <c r="D191" s="14" t="inlineStr">
        <is>
          <t>HIC</t>
        </is>
      </c>
      <c r="E191" s="14" t="inlineStr">
        <is>
          <t>Elasticities!200:138-141</t>
        </is>
      </c>
    </row>
    <row r="192">
      <c r="A192" s="14" t="inlineStr">
        <is>
          <t>SYR</t>
        </is>
      </c>
      <c r="B192" s="14" t="inlineStr">
        <is>
          <t>Syria</t>
        </is>
      </c>
      <c r="C192" s="14" t="inlineStr">
        <is>
          <t>MEA</t>
        </is>
      </c>
      <c r="D192" s="14" t="inlineStr">
        <is>
          <t>LIC</t>
        </is>
      </c>
      <c r="E192" s="14" t="inlineStr">
        <is>
          <t>Elasticities!201:138-141</t>
        </is>
      </c>
    </row>
    <row r="193">
      <c r="A193" s="14" t="inlineStr">
        <is>
          <t>TCA</t>
        </is>
      </c>
      <c r="B193" s="14" t="inlineStr">
        <is>
          <t>Turks and Caicos Islands</t>
        </is>
      </c>
      <c r="C193" s="14" t="inlineStr">
        <is>
          <t>LCN</t>
        </is>
      </c>
      <c r="D193" s="14" t="inlineStr">
        <is>
          <t>HIC</t>
        </is>
      </c>
      <c r="E193" s="14" t="inlineStr">
        <is>
          <t>Elasticities!202:138-141</t>
        </is>
      </c>
    </row>
    <row r="194">
      <c r="A194" s="14" t="inlineStr">
        <is>
          <t>TCD</t>
        </is>
      </c>
      <c r="B194" s="14" t="inlineStr">
        <is>
          <t>Chad</t>
        </is>
      </c>
      <c r="C194" s="14" t="inlineStr">
        <is>
          <t>SSF</t>
        </is>
      </c>
      <c r="D194" s="14" t="inlineStr">
        <is>
          <t>LIC</t>
        </is>
      </c>
      <c r="E194" s="14" t="inlineStr">
        <is>
          <t>Elasticities!203:138-141</t>
        </is>
      </c>
    </row>
    <row r="195">
      <c r="A195" s="14" t="inlineStr">
        <is>
          <t>TGO</t>
        </is>
      </c>
      <c r="B195" s="14" t="inlineStr">
        <is>
          <t>Togo</t>
        </is>
      </c>
      <c r="C195" s="14" t="inlineStr">
        <is>
          <t>SSF</t>
        </is>
      </c>
      <c r="D195" s="14" t="inlineStr">
        <is>
          <t>LIC</t>
        </is>
      </c>
      <c r="E195" s="14" t="inlineStr">
        <is>
          <t>Elasticities!204:138-141</t>
        </is>
      </c>
    </row>
    <row r="196">
      <c r="A196" s="14" t="inlineStr">
        <is>
          <t>THA</t>
        </is>
      </c>
      <c r="B196" s="14" t="inlineStr">
        <is>
          <t>Thailand</t>
        </is>
      </c>
      <c r="C196" s="14" t="inlineStr">
        <is>
          <t>EAS</t>
        </is>
      </c>
      <c r="D196" s="14" t="inlineStr">
        <is>
          <t>UMIC</t>
        </is>
      </c>
      <c r="E196" s="14" t="inlineStr">
        <is>
          <t>Elasticities!205:138-141</t>
        </is>
      </c>
    </row>
    <row r="197">
      <c r="A197" s="14" t="inlineStr">
        <is>
          <t>TJK</t>
        </is>
      </c>
      <c r="B197" s="14" t="inlineStr">
        <is>
          <t>Tajikistan</t>
        </is>
      </c>
      <c r="C197" s="14" t="inlineStr">
        <is>
          <t>ECS</t>
        </is>
      </c>
      <c r="D197" s="14" t="inlineStr">
        <is>
          <t>LIC</t>
        </is>
      </c>
      <c r="E197" s="14" t="inlineStr">
        <is>
          <t>Elasticities!206:138-141</t>
        </is>
      </c>
    </row>
    <row r="198">
      <c r="A198" s="14" t="inlineStr">
        <is>
          <t>TKM</t>
        </is>
      </c>
      <c r="B198" s="14" t="inlineStr">
        <is>
          <t>Turkmenistan</t>
        </is>
      </c>
      <c r="C198" s="14" t="inlineStr">
        <is>
          <t>ECS</t>
        </is>
      </c>
      <c r="D198" s="14" t="inlineStr">
        <is>
          <t>UMIC</t>
        </is>
      </c>
      <c r="E198" s="14" t="inlineStr">
        <is>
          <t>Elasticities!207:138-141</t>
        </is>
      </c>
    </row>
    <row r="199">
      <c r="A199" s="14" t="inlineStr">
        <is>
          <t>TLS</t>
        </is>
      </c>
      <c r="B199" s="14" t="inlineStr">
        <is>
          <t>Timor-Leste</t>
        </is>
      </c>
      <c r="C199" s="14" t="inlineStr">
        <is>
          <t>EAS</t>
        </is>
      </c>
      <c r="D199" s="14" t="inlineStr">
        <is>
          <t>LMIC</t>
        </is>
      </c>
      <c r="E199" s="14" t="inlineStr">
        <is>
          <t>Elasticities!208:138-141</t>
        </is>
      </c>
    </row>
    <row r="200">
      <c r="A200" s="14" t="inlineStr">
        <is>
          <t>TON</t>
        </is>
      </c>
      <c r="B200" s="14" t="inlineStr">
        <is>
          <t>Tonga</t>
        </is>
      </c>
      <c r="C200" s="14" t="inlineStr">
        <is>
          <t>EAS</t>
        </is>
      </c>
      <c r="D200" s="14" t="inlineStr">
        <is>
          <t>UMIC</t>
        </is>
      </c>
      <c r="E200" s="14" t="inlineStr">
        <is>
          <t>Elasticities!209:138-141</t>
        </is>
      </c>
    </row>
    <row r="201">
      <c r="A201" s="14" t="inlineStr">
        <is>
          <t>TTO</t>
        </is>
      </c>
      <c r="B201" s="14" t="inlineStr">
        <is>
          <t>Trinidad and Tobago</t>
        </is>
      </c>
      <c r="C201" s="14" t="inlineStr">
        <is>
          <t>LCN</t>
        </is>
      </c>
      <c r="D201" s="14" t="inlineStr">
        <is>
          <t>HIC</t>
        </is>
      </c>
      <c r="E201" s="14" t="inlineStr">
        <is>
          <t>Elasticities!210:138-141</t>
        </is>
      </c>
    </row>
    <row r="202">
      <c r="A202" s="14" t="inlineStr">
        <is>
          <t>TUN</t>
        </is>
      </c>
      <c r="B202" s="14" t="inlineStr">
        <is>
          <t>Tunisia</t>
        </is>
      </c>
      <c r="C202" s="14" t="inlineStr">
        <is>
          <t>MEA</t>
        </is>
      </c>
      <c r="D202" s="14" t="inlineStr">
        <is>
          <t>LMIC</t>
        </is>
      </c>
      <c r="E202" s="14" t="inlineStr">
        <is>
          <t>Elasticities!211:138-141</t>
        </is>
      </c>
    </row>
    <row r="203">
      <c r="A203" s="14" t="inlineStr">
        <is>
          <t>TUR</t>
        </is>
      </c>
      <c r="B203" s="14" t="inlineStr">
        <is>
          <t>Turkiye</t>
        </is>
      </c>
      <c r="C203" s="14" t="inlineStr">
        <is>
          <t>ECS</t>
        </is>
      </c>
      <c r="D203" s="14" t="inlineStr">
        <is>
          <t>UMIC</t>
        </is>
      </c>
      <c r="E203" s="14" t="inlineStr">
        <is>
          <t>Elasticities!212:138-141</t>
        </is>
      </c>
    </row>
    <row r="204">
      <c r="A204" s="14" t="inlineStr">
        <is>
          <t>TUV</t>
        </is>
      </c>
      <c r="B204" s="14" t="inlineStr">
        <is>
          <t>Tuvalu</t>
        </is>
      </c>
      <c r="C204" s="14" t="inlineStr">
        <is>
          <t>EAS</t>
        </is>
      </c>
      <c r="D204" s="14" t="inlineStr">
        <is>
          <t>UMIC</t>
        </is>
      </c>
      <c r="E204" s="14" t="inlineStr">
        <is>
          <t>Elasticities!213:138-141</t>
        </is>
      </c>
    </row>
    <row r="205">
      <c r="A205" s="14" t="inlineStr">
        <is>
          <t>TWN</t>
        </is>
      </c>
      <c r="B205" s="14" t="inlineStr">
        <is>
          <t>Taiwan Province of China</t>
        </is>
      </c>
      <c r="C205" s="14" t="inlineStr">
        <is>
          <t>EAS</t>
        </is>
      </c>
      <c r="D205" s="14" t="inlineStr">
        <is>
          <t>HIC</t>
        </is>
      </c>
      <c r="E205" s="14" t="inlineStr">
        <is>
          <t>Elasticities!214:138-141</t>
        </is>
      </c>
    </row>
    <row r="206">
      <c r="A206" s="14" t="inlineStr">
        <is>
          <t>TZA</t>
        </is>
      </c>
      <c r="B206" s="14" t="inlineStr">
        <is>
          <t>Tanzania</t>
        </is>
      </c>
      <c r="C206" s="14" t="inlineStr">
        <is>
          <t>SSF</t>
        </is>
      </c>
      <c r="D206" s="14" t="inlineStr">
        <is>
          <t>LIC</t>
        </is>
      </c>
      <c r="E206" s="14" t="inlineStr">
        <is>
          <t>Elasticities!215:138-141</t>
        </is>
      </c>
    </row>
    <row r="207">
      <c r="A207" s="14" t="inlineStr">
        <is>
          <t>UGA</t>
        </is>
      </c>
      <c r="B207" s="14" t="inlineStr">
        <is>
          <t>Uganda</t>
        </is>
      </c>
      <c r="C207" s="14" t="inlineStr">
        <is>
          <t>SSF</t>
        </is>
      </c>
      <c r="D207" s="14" t="inlineStr">
        <is>
          <t>LIC</t>
        </is>
      </c>
      <c r="E207" s="14" t="inlineStr">
        <is>
          <t>Elasticities!216:138-141</t>
        </is>
      </c>
    </row>
    <row r="208">
      <c r="A208" s="14" t="inlineStr">
        <is>
          <t>UKR</t>
        </is>
      </c>
      <c r="B208" s="14" t="inlineStr">
        <is>
          <t>Ukraine</t>
        </is>
      </c>
      <c r="C208" s="14" t="inlineStr">
        <is>
          <t>ECS</t>
        </is>
      </c>
      <c r="D208" s="14" t="inlineStr">
        <is>
          <t>LMIC</t>
        </is>
      </c>
      <c r="E208" s="14" t="inlineStr">
        <is>
          <t>Elasticities!217:138-141</t>
        </is>
      </c>
    </row>
    <row r="209">
      <c r="A209" s="14" t="inlineStr">
        <is>
          <t>URY</t>
        </is>
      </c>
      <c r="B209" s="14" t="inlineStr">
        <is>
          <t>Uruguay</t>
        </is>
      </c>
      <c r="C209" s="14" t="inlineStr">
        <is>
          <t>LCN</t>
        </is>
      </c>
      <c r="D209" s="14" t="inlineStr">
        <is>
          <t>HIC</t>
        </is>
      </c>
      <c r="E209" s="14" t="inlineStr">
        <is>
          <t>Elasticities!218:138-141</t>
        </is>
      </c>
    </row>
    <row r="210">
      <c r="A210" s="14" t="inlineStr">
        <is>
          <t>USA</t>
        </is>
      </c>
      <c r="B210" s="14" t="inlineStr">
        <is>
          <t>United States</t>
        </is>
      </c>
      <c r="C210" s="14" t="inlineStr">
        <is>
          <t>NAC</t>
        </is>
      </c>
      <c r="D210" s="14" t="inlineStr">
        <is>
          <t>HIC</t>
        </is>
      </c>
      <c r="E210" s="14" t="inlineStr">
        <is>
          <t>Elasticities!219:138-141</t>
        </is>
      </c>
    </row>
    <row r="211">
      <c r="A211" s="14" t="inlineStr">
        <is>
          <t>UZB</t>
        </is>
      </c>
      <c r="B211" s="14" t="inlineStr">
        <is>
          <t>Uzbekistan</t>
        </is>
      </c>
      <c r="C211" s="14" t="inlineStr">
        <is>
          <t>ECS</t>
        </is>
      </c>
      <c r="D211" s="14" t="inlineStr">
        <is>
          <t>LMIC</t>
        </is>
      </c>
      <c r="E211" s="14" t="inlineStr">
        <is>
          <t>Elasticities!220:138-141</t>
        </is>
      </c>
    </row>
    <row r="212">
      <c r="A212" s="14" t="inlineStr">
        <is>
          <t>VCT</t>
        </is>
      </c>
      <c r="B212" s="14" t="inlineStr">
        <is>
          <t>St. Vincent and the Grenadines</t>
        </is>
      </c>
      <c r="C212" s="14" t="inlineStr">
        <is>
          <t>LCN</t>
        </is>
      </c>
      <c r="D212" s="14" t="inlineStr">
        <is>
          <t>UMIC</t>
        </is>
      </c>
      <c r="E212" s="14" t="inlineStr">
        <is>
          <t>Elasticities!221:138-141</t>
        </is>
      </c>
    </row>
    <row r="213">
      <c r="A213" s="14" t="inlineStr">
        <is>
          <t>VEN</t>
        </is>
      </c>
      <c r="B213" s="14" t="inlineStr">
        <is>
          <t>Venezuela</t>
        </is>
      </c>
      <c r="C213" s="14" t="inlineStr">
        <is>
          <t>LCN</t>
        </is>
      </c>
      <c r="D213" s="14" t="inlineStr">
        <is>
          <t>UMIC</t>
        </is>
      </c>
      <c r="E213" s="14" t="inlineStr">
        <is>
          <t>Elasticities!222:138-141</t>
        </is>
      </c>
    </row>
    <row r="214">
      <c r="A214" s="14" t="inlineStr">
        <is>
          <t>VGB</t>
        </is>
      </c>
      <c r="B214" s="14" t="inlineStr">
        <is>
          <t>British Virgin Islands</t>
        </is>
      </c>
      <c r="C214" s="14" t="inlineStr">
        <is>
          <t>LCN</t>
        </is>
      </c>
      <c r="D214" s="14" t="inlineStr">
        <is>
          <t>HIC</t>
        </is>
      </c>
      <c r="E214" s="14" t="inlineStr">
        <is>
          <t>Elasticities!223:138-141</t>
        </is>
      </c>
    </row>
    <row r="215">
      <c r="A215" s="14" t="inlineStr">
        <is>
          <t>VIR</t>
        </is>
      </c>
      <c r="B215" s="14" t="inlineStr">
        <is>
          <t>Virgin Islands (U.S.)</t>
        </is>
      </c>
      <c r="C215" s="14" t="inlineStr">
        <is>
          <t>LCN</t>
        </is>
      </c>
      <c r="D215" s="14" t="inlineStr">
        <is>
          <t>HIC</t>
        </is>
      </c>
      <c r="E215" s="14" t="inlineStr">
        <is>
          <t>Elasticities!224:138-141</t>
        </is>
      </c>
    </row>
    <row r="216">
      <c r="A216" s="14" t="inlineStr">
        <is>
          <t>VNM</t>
        </is>
      </c>
      <c r="B216" s="14" t="inlineStr">
        <is>
          <t>Vietnam</t>
        </is>
      </c>
      <c r="C216" s="14" t="inlineStr">
        <is>
          <t>EAS</t>
        </is>
      </c>
      <c r="D216" s="14" t="inlineStr">
        <is>
          <t>LMIC</t>
        </is>
      </c>
      <c r="E216" s="14" t="inlineStr">
        <is>
          <t>Elasticities!225:138-141</t>
        </is>
      </c>
    </row>
    <row r="217">
      <c r="A217" s="14" t="inlineStr">
        <is>
          <t>VUT</t>
        </is>
      </c>
      <c r="B217" s="14" t="inlineStr">
        <is>
          <t>Vanuatu</t>
        </is>
      </c>
      <c r="C217" s="14" t="inlineStr">
        <is>
          <t>EAS</t>
        </is>
      </c>
      <c r="D217" s="14" t="inlineStr">
        <is>
          <t>LMIC</t>
        </is>
      </c>
      <c r="E217" s="14" t="inlineStr">
        <is>
          <t>Elasticities!226:138-141</t>
        </is>
      </c>
    </row>
    <row r="218">
      <c r="A218" s="14" t="inlineStr">
        <is>
          <t>WAV</t>
        </is>
      </c>
      <c r="B218" s="14" t="inlineStr">
        <is>
          <t>World aviation bunkers</t>
        </is>
      </c>
      <c r="C218" s="14" t="inlineStr">
        <is>
          <t>NA</t>
        </is>
      </c>
      <c r="D218" s="14" t="inlineStr">
        <is>
          <t>NA</t>
        </is>
      </c>
      <c r="E218" s="14" t="inlineStr">
        <is>
          <t>Elasticities!227:138-141</t>
        </is>
      </c>
    </row>
    <row r="219">
      <c r="A219" s="14" t="inlineStr">
        <is>
          <t>WMR</t>
        </is>
      </c>
      <c r="B219" s="14" t="inlineStr">
        <is>
          <t>World marine bunkers</t>
        </is>
      </c>
      <c r="C219" s="14" t="inlineStr">
        <is>
          <t>NA</t>
        </is>
      </c>
      <c r="D219" s="14" t="inlineStr">
        <is>
          <t>NA</t>
        </is>
      </c>
      <c r="E219" s="14" t="inlineStr">
        <is>
          <t>Elasticities!228:138-141</t>
        </is>
      </c>
    </row>
    <row r="220">
      <c r="A220" s="14" t="inlineStr">
        <is>
          <t>WSM</t>
        </is>
      </c>
      <c r="B220" s="14" t="inlineStr">
        <is>
          <t>Samoa</t>
        </is>
      </c>
      <c r="C220" s="14" t="inlineStr">
        <is>
          <t>EAS</t>
        </is>
      </c>
      <c r="D220" s="14" t="inlineStr">
        <is>
          <t>UMIC</t>
        </is>
      </c>
      <c r="E220" s="14" t="inlineStr">
        <is>
          <t>Elasticities!229:138-141</t>
        </is>
      </c>
    </row>
    <row r="221">
      <c r="A221" s="14" t="inlineStr">
        <is>
          <t>XKX</t>
        </is>
      </c>
      <c r="B221" s="14" t="inlineStr">
        <is>
          <t>Kosovo</t>
        </is>
      </c>
      <c r="C221" s="14" t="inlineStr">
        <is>
          <t>ECS</t>
        </is>
      </c>
      <c r="D221" s="14" t="inlineStr">
        <is>
          <t>LMIC</t>
        </is>
      </c>
      <c r="E221" s="14" t="inlineStr">
        <is>
          <t>Elasticities!230:138-141</t>
        </is>
      </c>
    </row>
    <row r="222">
      <c r="A222" s="14" t="inlineStr">
        <is>
          <t>YEM</t>
        </is>
      </c>
      <c r="B222" s="14" t="inlineStr">
        <is>
          <t>Yemen</t>
        </is>
      </c>
      <c r="C222" s="14" t="inlineStr">
        <is>
          <t>MEA</t>
        </is>
      </c>
      <c r="D222" s="14" t="inlineStr">
        <is>
          <t>LIC</t>
        </is>
      </c>
      <c r="E222" s="14" t="inlineStr">
        <is>
          <t>Elasticities!231:138-141</t>
        </is>
      </c>
    </row>
    <row r="223">
      <c r="A223" s="14" t="inlineStr">
        <is>
          <t>ZAF</t>
        </is>
      </c>
      <c r="B223" s="14" t="inlineStr">
        <is>
          <t>South Africa</t>
        </is>
      </c>
      <c r="C223" s="14" t="inlineStr">
        <is>
          <t>SSF</t>
        </is>
      </c>
      <c r="D223" s="14" t="inlineStr">
        <is>
          <t>UMIC</t>
        </is>
      </c>
      <c r="E223" s="14" t="inlineStr">
        <is>
          <t>Elasticities!232:138-141</t>
        </is>
      </c>
    </row>
    <row r="224">
      <c r="A224" s="14" t="inlineStr">
        <is>
          <t>ZMB</t>
        </is>
      </c>
      <c r="B224" s="14" t="inlineStr">
        <is>
          <t>Zambia</t>
        </is>
      </c>
      <c r="C224" s="14" t="inlineStr">
        <is>
          <t>SSF</t>
        </is>
      </c>
      <c r="D224" s="14" t="inlineStr">
        <is>
          <t>LMIC</t>
        </is>
      </c>
      <c r="E224" s="14" t="inlineStr">
        <is>
          <t>Elasticities!233:138-141</t>
        </is>
      </c>
    </row>
    <row r="225">
      <c r="A225" s="14" t="inlineStr">
        <is>
          <t>ZWE</t>
        </is>
      </c>
      <c r="B225" s="14" t="inlineStr">
        <is>
          <t>Zimbabwe</t>
        </is>
      </c>
      <c r="C225" s="14" t="inlineStr">
        <is>
          <t>SSF</t>
        </is>
      </c>
      <c r="D225" s="14" t="inlineStr">
        <is>
          <t>LIC</t>
        </is>
      </c>
      <c r="E225" s="14" t="inlineStr">
        <is>
          <t>Elasticities!234:138-141</t>
        </is>
      </c>
    </row>
  </sheetData>
  <pageMargins left="0.75" right="0.75" top="1" bottom="1" header="0.5" footer="0.5"/>
</worksheet>
</file>

<file path=xl/worksheets/sheet19.xml><?xml version="1.0" encoding="utf-8"?>
<worksheet xmlns="http://schemas.openxmlformats.org/spreadsheetml/2006/main">
  <sheetPr codeName="Sheet19">
    <outlinePr summaryBelow="1" summaryRight="1"/>
    <pageSetUpPr/>
  </sheetPr>
  <dimension ref="A1:J1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143-282 ('Simple' option, income-group specific)</t>
        </is>
      </c>
    </row>
    <row r="2">
      <c r="A2" s="2" t="inlineStr">
        <is>
          <t>Elasticities by income group (legacy CPAT values, CPAT sector and fuel groups)</t>
        </is>
      </c>
      <c r="B2" s="3" t="n"/>
      <c r="C2" s="3" t="n"/>
      <c r="D2" s="3" t="n"/>
      <c r="E2" s="3" t="n"/>
      <c r="F2" s="3" t="n"/>
      <c r="G2" s="3" t="n"/>
      <c r="H2" s="3" t="n"/>
      <c r="I2" s="3" t="n"/>
      <c r="J2" s="3" t="n"/>
    </row>
    <row r="3">
      <c r="A3" s="83" t="inlineStr">
        <is>
          <t>key</t>
        </is>
      </c>
      <c r="B3" s="83" t="inlineStr">
        <is>
          <t>type</t>
        </is>
      </c>
      <c r="C3" s="83" t="inlineStr">
        <is>
          <t>fuel_group</t>
        </is>
      </c>
      <c r="D3" s="83" t="inlineStr">
        <is>
          <t>sector_group</t>
        </is>
      </c>
      <c r="E3" s="83" t="inlineStr">
        <is>
          <t>legacy_code</t>
        </is>
      </c>
      <c r="F3" s="83" t="inlineStr">
        <is>
          <t>LIC</t>
        </is>
      </c>
      <c r="G3" s="83" t="inlineStr">
        <is>
          <t>LMIC</t>
        </is>
      </c>
      <c r="H3" s="83" t="inlineStr">
        <is>
          <t>UMIC</t>
        </is>
      </c>
      <c r="I3" s="83" t="inlineStr">
        <is>
          <t>HIC</t>
        </is>
      </c>
      <c r="J3" s="83" t="inlineStr">
        <is>
          <t>source</t>
        </is>
      </c>
    </row>
    <row r="4">
      <c r="A4" s="14" t="inlineStr">
        <is>
          <t>inc|coa|tra</t>
        </is>
      </c>
      <c r="B4" s="14" t="inlineStr">
        <is>
          <t>inc</t>
        </is>
      </c>
      <c r="C4" s="14" t="inlineStr">
        <is>
          <t>coa</t>
        </is>
      </c>
      <c r="D4" s="14" t="inlineStr">
        <is>
          <t>tra</t>
        </is>
      </c>
      <c r="E4" s="14" t="inlineStr">
        <is>
          <t>coa_inc_tot</t>
        </is>
      </c>
      <c r="F4" s="14" t="n">
        <v>0</v>
      </c>
      <c r="G4" s="14" t="n">
        <v>0</v>
      </c>
      <c r="H4" s="14" t="n">
        <v>0</v>
      </c>
      <c r="I4" s="14" t="n">
        <v>0</v>
      </c>
      <c r="J4" s="14" t="inlineStr">
        <is>
          <t>Elasticities row 143</t>
        </is>
      </c>
    </row>
    <row r="5">
      <c r="A5" s="14" t="inlineStr">
        <is>
          <t>inc|nga|tra</t>
        </is>
      </c>
      <c r="B5" s="14" t="inlineStr">
        <is>
          <t>inc</t>
        </is>
      </c>
      <c r="C5" s="14" t="inlineStr">
        <is>
          <t>nga</t>
        </is>
      </c>
      <c r="D5" s="14" t="inlineStr">
        <is>
          <t>tra</t>
        </is>
      </c>
      <c r="E5" s="14" t="inlineStr">
        <is>
          <t>nga_inc_tot</t>
        </is>
      </c>
      <c r="F5" s="14" t="n">
        <v>0.5</v>
      </c>
      <c r="G5" s="14" t="n">
        <v>0.5</v>
      </c>
      <c r="H5" s="14" t="n">
        <v>0.5</v>
      </c>
      <c r="I5" s="14" t="n">
        <v>0.5</v>
      </c>
      <c r="J5" s="14" t="inlineStr">
        <is>
          <t>Elasticities row 144</t>
        </is>
      </c>
    </row>
    <row r="6">
      <c r="A6" s="14" t="inlineStr">
        <is>
          <t>inc|gso|tra</t>
        </is>
      </c>
      <c r="B6" s="14" t="inlineStr">
        <is>
          <t>inc</t>
        </is>
      </c>
      <c r="C6" s="14" t="inlineStr">
        <is>
          <t>gso</t>
        </is>
      </c>
      <c r="D6" s="14" t="inlineStr">
        <is>
          <t>tra</t>
        </is>
      </c>
      <c r="E6" s="14" t="inlineStr">
        <is>
          <t>oil_inc_res</t>
        </is>
      </c>
      <c r="F6" s="14" t="n">
        <v>0.7</v>
      </c>
      <c r="G6" s="14" t="n">
        <v>0.7</v>
      </c>
      <c r="H6" s="14" t="n">
        <v>0.7</v>
      </c>
      <c r="I6" s="14" t="n">
        <v>0.7</v>
      </c>
      <c r="J6" s="14" t="inlineStr">
        <is>
          <t>Elasticities row 145</t>
        </is>
      </c>
    </row>
    <row r="7">
      <c r="A7" s="14" t="inlineStr">
        <is>
          <t>inc|die|tra</t>
        </is>
      </c>
      <c r="B7" s="14" t="inlineStr">
        <is>
          <t>inc</t>
        </is>
      </c>
      <c r="C7" s="14" t="inlineStr">
        <is>
          <t>die</t>
        </is>
      </c>
      <c r="D7" s="14" t="inlineStr">
        <is>
          <t>tra</t>
        </is>
      </c>
      <c r="E7" s="14" t="inlineStr">
        <is>
          <t>bio_inc_res</t>
        </is>
      </c>
      <c r="F7" s="14" t="n">
        <v>0.6</v>
      </c>
      <c r="G7" s="14" t="n">
        <v>0.6</v>
      </c>
      <c r="H7" s="14" t="n">
        <v>0.6</v>
      </c>
      <c r="I7" s="14" t="n">
        <v>0.6</v>
      </c>
      <c r="J7" s="14" t="inlineStr">
        <is>
          <t>Elasticities row 146</t>
        </is>
      </c>
    </row>
    <row r="8">
      <c r="A8" s="14" t="inlineStr">
        <is>
          <t>inc|oil|tra</t>
        </is>
      </c>
      <c r="B8" s="14" t="inlineStr">
        <is>
          <t>inc</t>
        </is>
      </c>
      <c r="C8" s="14" t="inlineStr">
        <is>
          <t>oil</t>
        </is>
      </c>
      <c r="D8" s="14" t="inlineStr">
        <is>
          <t>tra</t>
        </is>
      </c>
      <c r="E8" s="14" t="inlineStr">
        <is>
          <t>oil_inc_tot</t>
        </is>
      </c>
      <c r="F8" s="14" t="n">
        <v>0.8</v>
      </c>
      <c r="G8" s="14" t="n">
        <v>0.8</v>
      </c>
      <c r="H8" s="14" t="n">
        <v>0.8</v>
      </c>
      <c r="I8" s="14" t="n">
        <v>0.8</v>
      </c>
      <c r="J8" s="14" t="inlineStr">
        <is>
          <t>Elasticities row 147</t>
        </is>
      </c>
    </row>
    <row r="9">
      <c r="A9" s="14" t="inlineStr">
        <is>
          <t>inc|bio|tra</t>
        </is>
      </c>
      <c r="B9" s="14" t="inlineStr">
        <is>
          <t>inc</t>
        </is>
      </c>
      <c r="C9" s="14" t="inlineStr">
        <is>
          <t>bio</t>
        </is>
      </c>
      <c r="D9" s="14" t="inlineStr">
        <is>
          <t>tra</t>
        </is>
      </c>
      <c r="E9" s="14" t="inlineStr">
        <is>
          <t>die_inc_res</t>
        </is>
      </c>
      <c r="F9" s="14" t="n">
        <v>0</v>
      </c>
      <c r="G9" s="14" t="n">
        <v>0</v>
      </c>
      <c r="H9" s="14" t="n">
        <v>0</v>
      </c>
      <c r="I9" s="14" t="n">
        <v>0</v>
      </c>
      <c r="J9" s="14" t="inlineStr">
        <is>
          <t>Elasticities row 148</t>
        </is>
      </c>
    </row>
    <row r="10">
      <c r="A10" s="14" t="inlineStr">
        <is>
          <t>inc|ren|tra</t>
        </is>
      </c>
      <c r="B10" s="14" t="inlineStr">
        <is>
          <t>inc</t>
        </is>
      </c>
      <c r="C10" s="14" t="inlineStr">
        <is>
          <t>ren</t>
        </is>
      </c>
      <c r="D10" s="14" t="inlineStr">
        <is>
          <t>tra</t>
        </is>
      </c>
      <c r="E10" s="14" t="inlineStr">
        <is>
          <t>rnw_inc_tot</t>
        </is>
      </c>
      <c r="F10" s="14" t="n">
        <v>1</v>
      </c>
      <c r="G10" s="14" t="n">
        <v>1</v>
      </c>
      <c r="H10" s="14" t="n">
        <v>1</v>
      </c>
      <c r="I10" s="14" t="n">
        <v>1</v>
      </c>
      <c r="J10" s="14" t="inlineStr">
        <is>
          <t>Elasticities row 149</t>
        </is>
      </c>
    </row>
    <row r="11">
      <c r="A11" s="14" t="inlineStr">
        <is>
          <t>inc|ecy|tra</t>
        </is>
      </c>
      <c r="B11" s="14" t="inlineStr">
        <is>
          <t>inc</t>
        </is>
      </c>
      <c r="C11" s="14" t="inlineStr">
        <is>
          <t>ecy</t>
        </is>
      </c>
      <c r="D11" s="14" t="inlineStr">
        <is>
          <t>tra</t>
        </is>
      </c>
      <c r="E11" s="14" t="inlineStr">
        <is>
          <t>ecy_inc_tot</t>
        </is>
      </c>
      <c r="F11" s="14" t="n">
        <v>1.2</v>
      </c>
      <c r="G11" s="14" t="n">
        <v>1.2</v>
      </c>
      <c r="H11" s="14" t="n">
        <v>1.2</v>
      </c>
      <c r="I11" s="14" t="n">
        <v>1.2</v>
      </c>
      <c r="J11" s="14" t="inlineStr">
        <is>
          <t>Elasticities row 150</t>
        </is>
      </c>
    </row>
    <row r="12">
      <c r="A12" s="14" t="inlineStr">
        <is>
          <t>inc|coa|res</t>
        </is>
      </c>
      <c r="B12" s="14" t="inlineStr">
        <is>
          <t>inc</t>
        </is>
      </c>
      <c r="C12" s="14" t="inlineStr">
        <is>
          <t>coa</t>
        </is>
      </c>
      <c r="D12" s="14" t="inlineStr">
        <is>
          <t>res</t>
        </is>
      </c>
      <c r="E12" s="14" t="inlineStr">
        <is>
          <t>coa_inc_res</t>
        </is>
      </c>
      <c r="F12" s="14" t="n">
        <v>0.3</v>
      </c>
      <c r="G12" s="14" t="n">
        <v>0.3</v>
      </c>
      <c r="H12" s="14" t="n">
        <v>0.3</v>
      </c>
      <c r="I12" s="14" t="n">
        <v>0.3</v>
      </c>
      <c r="J12" s="14" t="inlineStr">
        <is>
          <t>Elasticities row 151</t>
        </is>
      </c>
    </row>
    <row r="13">
      <c r="A13" s="14" t="inlineStr">
        <is>
          <t>inc|nga|res</t>
        </is>
      </c>
      <c r="B13" s="14" t="inlineStr">
        <is>
          <t>inc</t>
        </is>
      </c>
      <c r="C13" s="14" t="inlineStr">
        <is>
          <t>nga</t>
        </is>
      </c>
      <c r="D13" s="14" t="inlineStr">
        <is>
          <t>res</t>
        </is>
      </c>
      <c r="E13" s="14" t="inlineStr">
        <is>
          <t>nga_inc_res</t>
        </is>
      </c>
      <c r="F13" s="14" t="n">
        <v>0.3</v>
      </c>
      <c r="G13" s="14" t="n">
        <v>0.3</v>
      </c>
      <c r="H13" s="14" t="n">
        <v>0.3</v>
      </c>
      <c r="I13" s="14" t="n">
        <v>0.3</v>
      </c>
      <c r="J13" s="14" t="inlineStr">
        <is>
          <t>Elasticities row 152</t>
        </is>
      </c>
    </row>
    <row r="14">
      <c r="A14" s="14" t="inlineStr">
        <is>
          <t>inc|gso|res</t>
        </is>
      </c>
      <c r="B14" s="14" t="inlineStr">
        <is>
          <t>inc</t>
        </is>
      </c>
      <c r="C14" s="14" t="inlineStr">
        <is>
          <t>gso</t>
        </is>
      </c>
      <c r="D14" s="14" t="inlineStr">
        <is>
          <t>res</t>
        </is>
      </c>
      <c r="E14" s="14" t="inlineStr">
        <is>
          <t>oil_inc_res</t>
        </is>
      </c>
      <c r="F14" s="14" t="n">
        <v>0.5</v>
      </c>
      <c r="G14" s="14" t="n">
        <v>0.5</v>
      </c>
      <c r="H14" s="14" t="n">
        <v>0.5</v>
      </c>
      <c r="I14" s="14" t="n">
        <v>0.5</v>
      </c>
      <c r="J14" s="14" t="inlineStr">
        <is>
          <t>Elasticities row 153</t>
        </is>
      </c>
    </row>
    <row r="15">
      <c r="A15" s="14" t="inlineStr">
        <is>
          <t>inc|die|res</t>
        </is>
      </c>
      <c r="B15" s="14" t="inlineStr">
        <is>
          <t>inc</t>
        </is>
      </c>
      <c r="C15" s="14" t="inlineStr">
        <is>
          <t>die</t>
        </is>
      </c>
      <c r="D15" s="14" t="inlineStr">
        <is>
          <t>res</t>
        </is>
      </c>
      <c r="E15" s="14" t="inlineStr">
        <is>
          <t>bio_inc_res</t>
        </is>
      </c>
      <c r="F15" s="14" t="n">
        <v>0.5</v>
      </c>
      <c r="G15" s="14" t="n">
        <v>0.5</v>
      </c>
      <c r="H15" s="14" t="n">
        <v>0.5</v>
      </c>
      <c r="I15" s="14" t="n">
        <v>0.5</v>
      </c>
      <c r="J15" s="14" t="inlineStr">
        <is>
          <t>Elasticities row 154</t>
        </is>
      </c>
    </row>
    <row r="16">
      <c r="A16" s="14" t="inlineStr">
        <is>
          <t>inc|oil|res</t>
        </is>
      </c>
      <c r="B16" s="14" t="inlineStr">
        <is>
          <t>inc</t>
        </is>
      </c>
      <c r="C16" s="14" t="inlineStr">
        <is>
          <t>oil</t>
        </is>
      </c>
      <c r="D16" s="14" t="inlineStr">
        <is>
          <t>res</t>
        </is>
      </c>
      <c r="E16" s="14" t="inlineStr">
        <is>
          <t>oil_inc_res</t>
        </is>
      </c>
      <c r="F16" s="14" t="n">
        <v>0.5</v>
      </c>
      <c r="G16" s="14" t="n">
        <v>0.5</v>
      </c>
      <c r="H16" s="14" t="n">
        <v>0.5</v>
      </c>
      <c r="I16" s="14" t="n">
        <v>0.5</v>
      </c>
      <c r="J16" s="14" t="inlineStr">
        <is>
          <t>Elasticities row 155</t>
        </is>
      </c>
    </row>
    <row r="17">
      <c r="A17" s="14" t="inlineStr">
        <is>
          <t>inc|bio|res</t>
        </is>
      </c>
      <c r="B17" s="14" t="inlineStr">
        <is>
          <t>inc</t>
        </is>
      </c>
      <c r="C17" s="14" t="inlineStr">
        <is>
          <t>bio</t>
        </is>
      </c>
      <c r="D17" s="14" t="inlineStr">
        <is>
          <t>res</t>
        </is>
      </c>
      <c r="E17" s="14" t="inlineStr">
        <is>
          <t>bio_inc_res</t>
        </is>
      </c>
      <c r="F17" s="14" t="n">
        <v>0.1</v>
      </c>
      <c r="G17" s="14" t="n">
        <v>0.1</v>
      </c>
      <c r="H17" s="14" t="n">
        <v>0.1</v>
      </c>
      <c r="I17" s="14" t="n">
        <v>0.1</v>
      </c>
      <c r="J17" s="14" t="inlineStr">
        <is>
          <t>Elasticities row 156</t>
        </is>
      </c>
    </row>
    <row r="18">
      <c r="A18" s="14" t="inlineStr">
        <is>
          <t>inc|ren|res</t>
        </is>
      </c>
      <c r="B18" s="14" t="inlineStr">
        <is>
          <t>inc</t>
        </is>
      </c>
      <c r="C18" s="14" t="inlineStr">
        <is>
          <t>ren</t>
        </is>
      </c>
      <c r="D18" s="14" t="inlineStr">
        <is>
          <t>res</t>
        </is>
      </c>
      <c r="E18" s="14" t="inlineStr">
        <is>
          <t>rnw_inc_tot</t>
        </is>
      </c>
      <c r="F18" s="14" t="n">
        <v>0.8</v>
      </c>
      <c r="G18" s="14" t="n">
        <v>0.8</v>
      </c>
      <c r="H18" s="14" t="n">
        <v>0.8</v>
      </c>
      <c r="I18" s="14" t="n">
        <v>0.8</v>
      </c>
      <c r="J18" s="14" t="inlineStr">
        <is>
          <t>Elasticities row 157</t>
        </is>
      </c>
    </row>
    <row r="19">
      <c r="A19" s="14" t="inlineStr">
        <is>
          <t>inc|ecy|res</t>
        </is>
      </c>
      <c r="B19" s="14" t="inlineStr">
        <is>
          <t>inc</t>
        </is>
      </c>
      <c r="C19" s="14" t="inlineStr">
        <is>
          <t>ecy</t>
        </is>
      </c>
      <c r="D19" s="14" t="inlineStr">
        <is>
          <t>res</t>
        </is>
      </c>
      <c r="E19" s="14" t="inlineStr">
        <is>
          <t>ecy_inc_res</t>
        </is>
      </c>
      <c r="F19" s="14" t="n">
        <v>0.8</v>
      </c>
      <c r="G19" s="14" t="n">
        <v>0.8</v>
      </c>
      <c r="H19" s="14" t="n">
        <v>0.8</v>
      </c>
      <c r="I19" s="14" t="n">
        <v>0.8</v>
      </c>
      <c r="J19" s="14" t="inlineStr">
        <is>
          <t>Elasticities row 158</t>
        </is>
      </c>
    </row>
    <row r="20">
      <c r="A20" s="14" t="inlineStr">
        <is>
          <t>inc|coa|ind</t>
        </is>
      </c>
      <c r="B20" s="14" t="inlineStr">
        <is>
          <t>inc</t>
        </is>
      </c>
      <c r="C20" s="14" t="inlineStr">
        <is>
          <t>coa</t>
        </is>
      </c>
      <c r="D20" s="14" t="inlineStr">
        <is>
          <t>ind</t>
        </is>
      </c>
      <c r="E20" s="14" t="inlineStr">
        <is>
          <t>coa_inc_ind</t>
        </is>
      </c>
      <c r="F20" s="14" t="n">
        <v>0.5</v>
      </c>
      <c r="G20" s="14" t="n">
        <v>0.5</v>
      </c>
      <c r="H20" s="14" t="n">
        <v>0.5</v>
      </c>
      <c r="I20" s="14" t="n">
        <v>0.5</v>
      </c>
      <c r="J20" s="14" t="inlineStr">
        <is>
          <t>Elasticities row 159</t>
        </is>
      </c>
    </row>
    <row r="21">
      <c r="A21" s="14" t="inlineStr">
        <is>
          <t>inc|nga|ind</t>
        </is>
      </c>
      <c r="B21" s="14" t="inlineStr">
        <is>
          <t>inc</t>
        </is>
      </c>
      <c r="C21" s="14" t="inlineStr">
        <is>
          <t>nga</t>
        </is>
      </c>
      <c r="D21" s="14" t="inlineStr">
        <is>
          <t>ind</t>
        </is>
      </c>
      <c r="E21" s="14" t="inlineStr">
        <is>
          <t>nga_inc_ind</t>
        </is>
      </c>
      <c r="F21" s="14" t="n">
        <v>1</v>
      </c>
      <c r="G21" s="14" t="n">
        <v>1</v>
      </c>
      <c r="H21" s="14" t="n">
        <v>1</v>
      </c>
      <c r="I21" s="14" t="n">
        <v>1</v>
      </c>
      <c r="J21" s="14" t="inlineStr">
        <is>
          <t>Elasticities row 160</t>
        </is>
      </c>
    </row>
    <row r="22">
      <c r="A22" s="14" t="inlineStr">
        <is>
          <t>inc|gso|ind</t>
        </is>
      </c>
      <c r="B22" s="14" t="inlineStr">
        <is>
          <t>inc</t>
        </is>
      </c>
      <c r="C22" s="14" t="inlineStr">
        <is>
          <t>gso</t>
        </is>
      </c>
      <c r="D22" s="14" t="inlineStr">
        <is>
          <t>ind</t>
        </is>
      </c>
      <c r="E22" s="14" t="inlineStr">
        <is>
          <t>oil_inc_res</t>
        </is>
      </c>
      <c r="F22" s="14" t="n">
        <v>0.5</v>
      </c>
      <c r="G22" s="14" t="n">
        <v>0.5</v>
      </c>
      <c r="H22" s="14" t="n">
        <v>0.5</v>
      </c>
      <c r="I22" s="14" t="n">
        <v>0.5</v>
      </c>
      <c r="J22" s="14" t="inlineStr">
        <is>
          <t>Elasticities row 161</t>
        </is>
      </c>
    </row>
    <row r="23">
      <c r="A23" s="14" t="inlineStr">
        <is>
          <t>inc|die|ind</t>
        </is>
      </c>
      <c r="B23" s="14" t="inlineStr">
        <is>
          <t>inc</t>
        </is>
      </c>
      <c r="C23" s="14" t="inlineStr">
        <is>
          <t>die</t>
        </is>
      </c>
      <c r="D23" s="14" t="inlineStr">
        <is>
          <t>ind</t>
        </is>
      </c>
      <c r="E23" s="14" t="inlineStr">
        <is>
          <t>die_inc_res</t>
        </is>
      </c>
      <c r="F23" s="14" t="n">
        <v>0.5</v>
      </c>
      <c r="G23" s="14" t="n">
        <v>0.5</v>
      </c>
      <c r="H23" s="14" t="n">
        <v>0.5</v>
      </c>
      <c r="I23" s="14" t="n">
        <v>0.5</v>
      </c>
      <c r="J23" s="14" t="inlineStr">
        <is>
          <t>Elasticities row 162</t>
        </is>
      </c>
    </row>
    <row r="24">
      <c r="A24" s="14" t="inlineStr">
        <is>
          <t>inc|oil|ind</t>
        </is>
      </c>
      <c r="B24" s="14" t="inlineStr">
        <is>
          <t>inc</t>
        </is>
      </c>
      <c r="C24" s="14" t="inlineStr">
        <is>
          <t>oil</t>
        </is>
      </c>
      <c r="D24" s="14" t="inlineStr">
        <is>
          <t>ind</t>
        </is>
      </c>
      <c r="E24" s="14" t="inlineStr">
        <is>
          <t>oil_inc_ind</t>
        </is>
      </c>
      <c r="F24" s="14" t="n">
        <v>0.8</v>
      </c>
      <c r="G24" s="14" t="n">
        <v>0.8</v>
      </c>
      <c r="H24" s="14" t="n">
        <v>0.8</v>
      </c>
      <c r="I24" s="14" t="n">
        <v>0.8</v>
      </c>
      <c r="J24" s="14" t="inlineStr">
        <is>
          <t>Elasticities row 163</t>
        </is>
      </c>
    </row>
    <row r="25">
      <c r="A25" s="14" t="inlineStr">
        <is>
          <t>inc|bio|ind</t>
        </is>
      </c>
      <c r="B25" s="14" t="inlineStr">
        <is>
          <t>inc</t>
        </is>
      </c>
      <c r="C25" s="14" t="inlineStr">
        <is>
          <t>bio</t>
        </is>
      </c>
      <c r="D25" s="14" t="inlineStr">
        <is>
          <t>ind</t>
        </is>
      </c>
      <c r="E25" s="14" t="inlineStr">
        <is>
          <t>bio_inc_res</t>
        </is>
      </c>
      <c r="F25" s="14" t="n">
        <v>0.1</v>
      </c>
      <c r="G25" s="14" t="n">
        <v>0.1</v>
      </c>
      <c r="H25" s="14" t="n">
        <v>0.1</v>
      </c>
      <c r="I25" s="14" t="n">
        <v>0.1</v>
      </c>
      <c r="J25" s="14" t="inlineStr">
        <is>
          <t>Elasticities row 164</t>
        </is>
      </c>
    </row>
    <row r="26">
      <c r="A26" s="14" t="inlineStr">
        <is>
          <t>inc|ren|ind</t>
        </is>
      </c>
      <c r="B26" s="14" t="inlineStr">
        <is>
          <t>inc</t>
        </is>
      </c>
      <c r="C26" s="14" t="inlineStr">
        <is>
          <t>ren</t>
        </is>
      </c>
      <c r="D26" s="14" t="inlineStr">
        <is>
          <t>ind</t>
        </is>
      </c>
      <c r="E26" s="14" t="inlineStr">
        <is>
          <t>rnw_inc_tot</t>
        </is>
      </c>
      <c r="F26" s="14" t="n">
        <v>0.8</v>
      </c>
      <c r="G26" s="14" t="n">
        <v>0.8</v>
      </c>
      <c r="H26" s="14" t="n">
        <v>0.8</v>
      </c>
      <c r="I26" s="14" t="n">
        <v>0.8</v>
      </c>
      <c r="J26" s="14" t="inlineStr">
        <is>
          <t>Elasticities row 165</t>
        </is>
      </c>
    </row>
    <row r="27">
      <c r="A27" s="14" t="inlineStr">
        <is>
          <t>inc|ecy|ind</t>
        </is>
      </c>
      <c r="B27" s="14" t="inlineStr">
        <is>
          <t>inc</t>
        </is>
      </c>
      <c r="C27" s="14" t="inlineStr">
        <is>
          <t>ecy</t>
        </is>
      </c>
      <c r="D27" s="14" t="inlineStr">
        <is>
          <t>ind</t>
        </is>
      </c>
      <c r="E27" s="14" t="inlineStr">
        <is>
          <t>ecy_inc_ind</t>
        </is>
      </c>
      <c r="F27" s="14" t="n">
        <v>0.8</v>
      </c>
      <c r="G27" s="14" t="n">
        <v>0.8</v>
      </c>
      <c r="H27" s="14" t="n">
        <v>0.8</v>
      </c>
      <c r="I27" s="14" t="n">
        <v>0.8</v>
      </c>
      <c r="J27" s="14" t="inlineStr">
        <is>
          <t>Elasticities row 166</t>
        </is>
      </c>
    </row>
    <row r="28">
      <c r="A28" s="14" t="inlineStr">
        <is>
          <t>inc|coa|srv</t>
        </is>
      </c>
      <c r="B28" s="14" t="inlineStr">
        <is>
          <t>inc</t>
        </is>
      </c>
      <c r="C28" s="14" t="inlineStr">
        <is>
          <t>coa</t>
        </is>
      </c>
      <c r="D28" s="14" t="inlineStr">
        <is>
          <t>srv</t>
        </is>
      </c>
      <c r="E28" s="14" t="inlineStr">
        <is>
          <t>coa_inc_srv</t>
        </is>
      </c>
      <c r="F28" s="14" t="n">
        <v>0.7</v>
      </c>
      <c r="G28" s="14" t="n">
        <v>0.7</v>
      </c>
      <c r="H28" s="14" t="n">
        <v>0.7</v>
      </c>
      <c r="I28" s="14" t="n">
        <v>0.7</v>
      </c>
      <c r="J28" s="14" t="inlineStr">
        <is>
          <t>Elasticities row 167</t>
        </is>
      </c>
    </row>
    <row r="29">
      <c r="A29" s="14" t="inlineStr">
        <is>
          <t>inc|nga|srv</t>
        </is>
      </c>
      <c r="B29" s="14" t="inlineStr">
        <is>
          <t>inc</t>
        </is>
      </c>
      <c r="C29" s="14" t="inlineStr">
        <is>
          <t>nga</t>
        </is>
      </c>
      <c r="D29" s="14" t="inlineStr">
        <is>
          <t>srv</t>
        </is>
      </c>
      <c r="E29" s="14" t="inlineStr">
        <is>
          <t>nga_inc_srv</t>
        </is>
      </c>
      <c r="F29" s="14" t="n">
        <v>1</v>
      </c>
      <c r="G29" s="14" t="n">
        <v>1</v>
      </c>
      <c r="H29" s="14" t="n">
        <v>1</v>
      </c>
      <c r="I29" s="14" t="n">
        <v>1</v>
      </c>
      <c r="J29" s="14" t="inlineStr">
        <is>
          <t>Elasticities row 168</t>
        </is>
      </c>
    </row>
    <row r="30">
      <c r="A30" s="14" t="inlineStr">
        <is>
          <t>inc|gso|srv</t>
        </is>
      </c>
      <c r="B30" s="14" t="inlineStr">
        <is>
          <t>inc</t>
        </is>
      </c>
      <c r="C30" s="14" t="inlineStr">
        <is>
          <t>gso</t>
        </is>
      </c>
      <c r="D30" s="14" t="inlineStr">
        <is>
          <t>srv</t>
        </is>
      </c>
      <c r="E30" s="14" t="inlineStr">
        <is>
          <t>oil_inc_res</t>
        </is>
      </c>
      <c r="F30" s="14" t="n">
        <v>0.5</v>
      </c>
      <c r="G30" s="14" t="n">
        <v>0.5</v>
      </c>
      <c r="H30" s="14" t="n">
        <v>0.5</v>
      </c>
      <c r="I30" s="14" t="n">
        <v>0.5</v>
      </c>
      <c r="J30" s="14" t="inlineStr">
        <is>
          <t>Elasticities row 169</t>
        </is>
      </c>
    </row>
    <row r="31">
      <c r="A31" s="14" t="inlineStr">
        <is>
          <t>inc|die|srv</t>
        </is>
      </c>
      <c r="B31" s="14" t="inlineStr">
        <is>
          <t>inc</t>
        </is>
      </c>
      <c r="C31" s="14" t="inlineStr">
        <is>
          <t>die</t>
        </is>
      </c>
      <c r="D31" s="14" t="inlineStr">
        <is>
          <t>srv</t>
        </is>
      </c>
      <c r="E31" s="14" t="inlineStr">
        <is>
          <t>die_inc_res</t>
        </is>
      </c>
      <c r="F31" s="14" t="n">
        <v>0.5</v>
      </c>
      <c r="G31" s="14" t="n">
        <v>0.5</v>
      </c>
      <c r="H31" s="14" t="n">
        <v>0.5</v>
      </c>
      <c r="I31" s="14" t="n">
        <v>0.5</v>
      </c>
      <c r="J31" s="14" t="inlineStr">
        <is>
          <t>Elasticities row 170</t>
        </is>
      </c>
    </row>
    <row r="32">
      <c r="A32" s="14" t="inlineStr">
        <is>
          <t>inc|oil|srv</t>
        </is>
      </c>
      <c r="B32" s="14" t="inlineStr">
        <is>
          <t>inc</t>
        </is>
      </c>
      <c r="C32" s="14" t="inlineStr">
        <is>
          <t>oil</t>
        </is>
      </c>
      <c r="D32" s="14" t="inlineStr">
        <is>
          <t>srv</t>
        </is>
      </c>
      <c r="E32" s="14" t="inlineStr">
        <is>
          <t>oil_inc_srv</t>
        </is>
      </c>
      <c r="F32" s="14" t="n">
        <v>1.2</v>
      </c>
      <c r="G32" s="14" t="n">
        <v>1.2</v>
      </c>
      <c r="H32" s="14" t="n">
        <v>1.2</v>
      </c>
      <c r="I32" s="14" t="n">
        <v>1.2</v>
      </c>
      <c r="J32" s="14" t="inlineStr">
        <is>
          <t>Elasticities row 171</t>
        </is>
      </c>
    </row>
    <row r="33">
      <c r="A33" s="14" t="inlineStr">
        <is>
          <t>inc|bio|srv</t>
        </is>
      </c>
      <c r="B33" s="14" t="inlineStr">
        <is>
          <t>inc</t>
        </is>
      </c>
      <c r="C33" s="14" t="inlineStr">
        <is>
          <t>bio</t>
        </is>
      </c>
      <c r="D33" s="14" t="inlineStr">
        <is>
          <t>srv</t>
        </is>
      </c>
      <c r="E33" s="14" t="inlineStr">
        <is>
          <t>bio_inc_res</t>
        </is>
      </c>
      <c r="F33" s="14" t="n">
        <v>0.1</v>
      </c>
      <c r="G33" s="14" t="n">
        <v>0.1</v>
      </c>
      <c r="H33" s="14" t="n">
        <v>0.1</v>
      </c>
      <c r="I33" s="14" t="n">
        <v>0.1</v>
      </c>
      <c r="J33" s="14" t="inlineStr">
        <is>
          <t>Elasticities row 172</t>
        </is>
      </c>
    </row>
    <row r="34">
      <c r="A34" s="14" t="inlineStr">
        <is>
          <t>inc|ren|srv</t>
        </is>
      </c>
      <c r="B34" s="14" t="inlineStr">
        <is>
          <t>inc</t>
        </is>
      </c>
      <c r="C34" s="14" t="inlineStr">
        <is>
          <t>ren</t>
        </is>
      </c>
      <c r="D34" s="14" t="inlineStr">
        <is>
          <t>srv</t>
        </is>
      </c>
      <c r="E34" s="14" t="inlineStr">
        <is>
          <t>rnw_inc_tot</t>
        </is>
      </c>
      <c r="F34" s="14" t="n">
        <v>1</v>
      </c>
      <c r="G34" s="14" t="n">
        <v>1</v>
      </c>
      <c r="H34" s="14" t="n">
        <v>1</v>
      </c>
      <c r="I34" s="14" t="n">
        <v>1</v>
      </c>
      <c r="J34" s="14" t="inlineStr">
        <is>
          <t>Elasticities row 173</t>
        </is>
      </c>
    </row>
    <row r="35">
      <c r="A35" s="14" t="inlineStr">
        <is>
          <t>inc|ecy|srv</t>
        </is>
      </c>
      <c r="B35" s="14" t="inlineStr">
        <is>
          <t>inc</t>
        </is>
      </c>
      <c r="C35" s="14" t="inlineStr">
        <is>
          <t>ecy</t>
        </is>
      </c>
      <c r="D35" s="14" t="inlineStr">
        <is>
          <t>srv</t>
        </is>
      </c>
      <c r="E35" s="14" t="inlineStr">
        <is>
          <t>ecy_inc_srv</t>
        </is>
      </c>
      <c r="F35" s="14" t="n">
        <v>1.1</v>
      </c>
      <c r="G35" s="14" t="n">
        <v>1.1</v>
      </c>
      <c r="H35" s="14" t="n">
        <v>1.1</v>
      </c>
      <c r="I35" s="14" t="n">
        <v>1.1</v>
      </c>
      <c r="J35" s="14" t="inlineStr">
        <is>
          <t>Elasticities row 174</t>
        </is>
      </c>
    </row>
    <row r="36">
      <c r="A36" s="14" t="inlineStr">
        <is>
          <t>usg|coa|tra</t>
        </is>
      </c>
      <c r="B36" s="14" t="inlineStr">
        <is>
          <t>usg</t>
        </is>
      </c>
      <c r="C36" s="14" t="inlineStr">
        <is>
          <t>coa</t>
        </is>
      </c>
      <c r="D36" s="14" t="inlineStr">
        <is>
          <t>tra</t>
        </is>
      </c>
      <c r="E36" s="14" t="inlineStr">
        <is>
          <t>coa_owp_tot_sr</t>
        </is>
      </c>
      <c r="F36" s="14" t="n">
        <v>-0.3</v>
      </c>
      <c r="G36" s="14" t="n">
        <v>-0.3</v>
      </c>
      <c r="H36" s="14" t="n">
        <v>-0.3</v>
      </c>
      <c r="I36" s="14" t="n">
        <v>-0.2</v>
      </c>
      <c r="J36" s="14" t="inlineStr">
        <is>
          <t>Elasticities row 178</t>
        </is>
      </c>
    </row>
    <row r="37">
      <c r="A37" s="14" t="inlineStr">
        <is>
          <t>usg|nga|tra</t>
        </is>
      </c>
      <c r="B37" s="14" t="inlineStr">
        <is>
          <t>usg</t>
        </is>
      </c>
      <c r="C37" s="14" t="inlineStr">
        <is>
          <t>nga</t>
        </is>
      </c>
      <c r="D37" s="14" t="inlineStr">
        <is>
          <t>tra</t>
        </is>
      </c>
      <c r="E37" s="14" t="inlineStr">
        <is>
          <t>nga_owp_tot_sr</t>
        </is>
      </c>
      <c r="F37" s="14" t="n">
        <v>-0.5</v>
      </c>
      <c r="G37" s="14" t="n">
        <v>-0.5</v>
      </c>
      <c r="H37" s="14" t="n">
        <v>-0.5</v>
      </c>
      <c r="I37" s="14" t="n">
        <v>-0.4</v>
      </c>
      <c r="J37" s="14" t="inlineStr">
        <is>
          <t>Elasticities row 179</t>
        </is>
      </c>
    </row>
    <row r="38">
      <c r="A38" s="14" t="inlineStr">
        <is>
          <t>usg|gso|tra</t>
        </is>
      </c>
      <c r="B38" s="14" t="inlineStr">
        <is>
          <t>usg</t>
        </is>
      </c>
      <c r="C38" s="14" t="inlineStr">
        <is>
          <t>gso</t>
        </is>
      </c>
      <c r="D38" s="14" t="inlineStr">
        <is>
          <t>tra</t>
        </is>
      </c>
      <c r="E38" s="14" t="inlineStr">
        <is>
          <t>gso_owp_tot_sr</t>
        </is>
      </c>
      <c r="F38" s="14" t="n">
        <v>-0.4</v>
      </c>
      <c r="G38" s="14" t="n">
        <v>-0.4</v>
      </c>
      <c r="H38" s="14" t="n">
        <v>-0.4</v>
      </c>
      <c r="I38" s="14" t="n">
        <v>-0.3</v>
      </c>
      <c r="J38" s="14" t="inlineStr">
        <is>
          <t>Elasticities row 180</t>
        </is>
      </c>
    </row>
    <row r="39">
      <c r="A39" s="14" t="inlineStr">
        <is>
          <t>usg|die|tra</t>
        </is>
      </c>
      <c r="B39" s="14" t="inlineStr">
        <is>
          <t>usg</t>
        </is>
      </c>
      <c r="C39" s="14" t="inlineStr">
        <is>
          <t>die</t>
        </is>
      </c>
      <c r="D39" s="14" t="inlineStr">
        <is>
          <t>tra</t>
        </is>
      </c>
      <c r="E39" s="14" t="inlineStr">
        <is>
          <t>die_owp_tot_sr</t>
        </is>
      </c>
      <c r="F39" s="14" t="n">
        <v>-0.3</v>
      </c>
      <c r="G39" s="14" t="n">
        <v>-0.3</v>
      </c>
      <c r="H39" s="14" t="n">
        <v>-0.3</v>
      </c>
      <c r="I39" s="14" t="n">
        <v>-0.2</v>
      </c>
      <c r="J39" s="14" t="inlineStr">
        <is>
          <t>Elasticities row 181</t>
        </is>
      </c>
    </row>
    <row r="40">
      <c r="A40" s="14" t="inlineStr">
        <is>
          <t>usg|oil|tra</t>
        </is>
      </c>
      <c r="B40" s="14" t="inlineStr">
        <is>
          <t>usg</t>
        </is>
      </c>
      <c r="C40" s="14" t="inlineStr">
        <is>
          <t>oil</t>
        </is>
      </c>
      <c r="D40" s="14" t="inlineStr">
        <is>
          <t>tra</t>
        </is>
      </c>
      <c r="E40" s="14" t="inlineStr">
        <is>
          <t>oil_owp_tot_sr</t>
        </is>
      </c>
      <c r="F40" s="14" t="n">
        <v>-0.3</v>
      </c>
      <c r="G40" s="14" t="n">
        <v>-0.3</v>
      </c>
      <c r="H40" s="14" t="n">
        <v>-0.3</v>
      </c>
      <c r="I40" s="14" t="n">
        <v>-0.2</v>
      </c>
      <c r="J40" s="14" t="inlineStr">
        <is>
          <t>Elasticities row 182</t>
        </is>
      </c>
    </row>
    <row r="41">
      <c r="A41" s="14" t="inlineStr">
        <is>
          <t>usg|bio|tra</t>
        </is>
      </c>
      <c r="B41" s="14" t="inlineStr">
        <is>
          <t>usg</t>
        </is>
      </c>
      <c r="C41" s="14" t="inlineStr">
        <is>
          <t>bio</t>
        </is>
      </c>
      <c r="D41" s="14" t="inlineStr">
        <is>
          <t>tra</t>
        </is>
      </c>
      <c r="E41" s="14" t="inlineStr">
        <is>
          <t>bio_owp_ind_sr</t>
        </is>
      </c>
      <c r="F41" s="14" t="n">
        <v>-0.3</v>
      </c>
      <c r="G41" s="14" t="n">
        <v>-0.3</v>
      </c>
      <c r="H41" s="14" t="n">
        <v>-0.3</v>
      </c>
      <c r="I41" s="14" t="n">
        <v>-0.2</v>
      </c>
      <c r="J41" s="14" t="inlineStr">
        <is>
          <t>Elasticities row 183</t>
        </is>
      </c>
    </row>
    <row r="42">
      <c r="A42" s="14" t="inlineStr">
        <is>
          <t>usg|ren|tra</t>
        </is>
      </c>
      <c r="B42" s="14" t="inlineStr">
        <is>
          <t>usg</t>
        </is>
      </c>
      <c r="C42" s="14" t="inlineStr">
        <is>
          <t>ren</t>
        </is>
      </c>
      <c r="D42" s="14" t="inlineStr">
        <is>
          <t>tra</t>
        </is>
      </c>
      <c r="E42" s="14" t="inlineStr">
        <is>
          <t>rnw_owp_tot_lr</t>
        </is>
      </c>
      <c r="F42" s="14" t="n">
        <v>-0.5</v>
      </c>
      <c r="G42" s="14" t="n">
        <v>-0.5</v>
      </c>
      <c r="H42" s="14" t="n">
        <v>-0.5</v>
      </c>
      <c r="I42" s="14" t="n">
        <v>-0.4</v>
      </c>
      <c r="J42" s="14" t="inlineStr">
        <is>
          <t>Elasticities row 184</t>
        </is>
      </c>
    </row>
    <row r="43">
      <c r="A43" s="14" t="inlineStr">
        <is>
          <t>usg|ecy|tra</t>
        </is>
      </c>
      <c r="B43" s="14" t="inlineStr">
        <is>
          <t>usg</t>
        </is>
      </c>
      <c r="C43" s="14" t="inlineStr">
        <is>
          <t>ecy</t>
        </is>
      </c>
      <c r="D43" s="14" t="inlineStr">
        <is>
          <t>tra</t>
        </is>
      </c>
      <c r="E43" s="14" t="inlineStr">
        <is>
          <t>ecy_owp_tot_sr</t>
        </is>
      </c>
      <c r="F43" s="14" t="n">
        <v>-0.2</v>
      </c>
      <c r="G43" s="14" t="n">
        <v>-0.2</v>
      </c>
      <c r="H43" s="14" t="n">
        <v>-0.2</v>
      </c>
      <c r="I43" s="14" t="n">
        <v>-0.1</v>
      </c>
      <c r="J43" s="14" t="inlineStr">
        <is>
          <t>Elasticities row 185</t>
        </is>
      </c>
    </row>
    <row r="44">
      <c r="A44" s="14" t="inlineStr">
        <is>
          <t>usg|coa|res</t>
        </is>
      </c>
      <c r="B44" s="14" t="inlineStr">
        <is>
          <t>usg</t>
        </is>
      </c>
      <c r="C44" s="14" t="inlineStr">
        <is>
          <t>coa</t>
        </is>
      </c>
      <c r="D44" s="14" t="inlineStr">
        <is>
          <t>res</t>
        </is>
      </c>
      <c r="E44" s="14" t="inlineStr">
        <is>
          <t>coa_owp_res_sr</t>
        </is>
      </c>
      <c r="F44" s="14" t="n">
        <v>-0.3</v>
      </c>
      <c r="G44" s="14" t="n">
        <v>-0.3</v>
      </c>
      <c r="H44" s="14" t="n">
        <v>-0.3</v>
      </c>
      <c r="I44" s="14" t="n">
        <v>-0.2</v>
      </c>
      <c r="J44" s="14" t="inlineStr">
        <is>
          <t>Elasticities row 186</t>
        </is>
      </c>
    </row>
    <row r="45">
      <c r="A45" s="14" t="inlineStr">
        <is>
          <t>usg|nga|res</t>
        </is>
      </c>
      <c r="B45" s="14" t="inlineStr">
        <is>
          <t>usg</t>
        </is>
      </c>
      <c r="C45" s="14" t="inlineStr">
        <is>
          <t>nga</t>
        </is>
      </c>
      <c r="D45" s="14" t="inlineStr">
        <is>
          <t>res</t>
        </is>
      </c>
      <c r="E45" s="14" t="inlineStr">
        <is>
          <t>nga_owp_res_sr</t>
        </is>
      </c>
      <c r="F45" s="14" t="n">
        <v>-0.4</v>
      </c>
      <c r="G45" s="14" t="n">
        <v>-0.4</v>
      </c>
      <c r="H45" s="14" t="n">
        <v>-0.4</v>
      </c>
      <c r="I45" s="14" t="n">
        <v>-0.3</v>
      </c>
      <c r="J45" s="14" t="inlineStr">
        <is>
          <t>Elasticities row 187</t>
        </is>
      </c>
    </row>
    <row r="46">
      <c r="A46" s="14" t="inlineStr">
        <is>
          <t>usg|gso|res</t>
        </is>
      </c>
      <c r="B46" s="14" t="inlineStr">
        <is>
          <t>usg</t>
        </is>
      </c>
      <c r="C46" s="14" t="inlineStr">
        <is>
          <t>gso</t>
        </is>
      </c>
      <c r="D46" s="14" t="inlineStr">
        <is>
          <t>res</t>
        </is>
      </c>
      <c r="E46" s="14" t="inlineStr">
        <is>
          <t>gso_owp_tot_sr</t>
        </is>
      </c>
      <c r="F46" s="14" t="n">
        <v>-0.5</v>
      </c>
      <c r="G46" s="14" t="n">
        <v>-0.5</v>
      </c>
      <c r="H46" s="14" t="n">
        <v>-0.5</v>
      </c>
      <c r="I46" s="14" t="n">
        <v>-0.4</v>
      </c>
      <c r="J46" s="14" t="inlineStr">
        <is>
          <t>Elasticities row 188</t>
        </is>
      </c>
    </row>
    <row r="47">
      <c r="A47" s="14" t="inlineStr">
        <is>
          <t>usg|die|res</t>
        </is>
      </c>
      <c r="B47" s="14" t="inlineStr">
        <is>
          <t>usg</t>
        </is>
      </c>
      <c r="C47" s="14" t="inlineStr">
        <is>
          <t>die</t>
        </is>
      </c>
      <c r="D47" s="14" t="inlineStr">
        <is>
          <t>res</t>
        </is>
      </c>
      <c r="E47" s="14" t="inlineStr">
        <is>
          <t>die_owp_tot_sr</t>
        </is>
      </c>
      <c r="F47" s="14" t="n">
        <v>-0.3</v>
      </c>
      <c r="G47" s="14" t="n">
        <v>-0.3</v>
      </c>
      <c r="H47" s="14" t="n">
        <v>-0.3</v>
      </c>
      <c r="I47" s="14" t="n">
        <v>-0.2</v>
      </c>
      <c r="J47" s="14" t="inlineStr">
        <is>
          <t>Elasticities row 189</t>
        </is>
      </c>
    </row>
    <row r="48">
      <c r="A48" s="14" t="inlineStr">
        <is>
          <t>usg|oil|res</t>
        </is>
      </c>
      <c r="B48" s="14" t="inlineStr">
        <is>
          <t>usg</t>
        </is>
      </c>
      <c r="C48" s="14" t="inlineStr">
        <is>
          <t>oil</t>
        </is>
      </c>
      <c r="D48" s="14" t="inlineStr">
        <is>
          <t>res</t>
        </is>
      </c>
      <c r="E48" s="14" t="inlineStr">
        <is>
          <t>oil_owp_tot_sr</t>
        </is>
      </c>
      <c r="F48" s="14" t="n">
        <v>-0.3</v>
      </c>
      <c r="G48" s="14" t="n">
        <v>-0.3</v>
      </c>
      <c r="H48" s="14" t="n">
        <v>-0.3</v>
      </c>
      <c r="I48" s="14" t="n">
        <v>-0.2</v>
      </c>
      <c r="J48" s="14" t="inlineStr">
        <is>
          <t>Elasticities row 190</t>
        </is>
      </c>
    </row>
    <row r="49">
      <c r="A49" s="14" t="inlineStr">
        <is>
          <t>usg|bio|res</t>
        </is>
      </c>
      <c r="B49" s="14" t="inlineStr">
        <is>
          <t>usg</t>
        </is>
      </c>
      <c r="C49" s="14" t="inlineStr">
        <is>
          <t>bio</t>
        </is>
      </c>
      <c r="D49" s="14" t="inlineStr">
        <is>
          <t>res</t>
        </is>
      </c>
      <c r="E49" s="14" t="inlineStr">
        <is>
          <t>bio_owp_ind_sr</t>
        </is>
      </c>
      <c r="F49" s="14" t="n">
        <v>-0.3</v>
      </c>
      <c r="G49" s="14" t="n">
        <v>-0.3</v>
      </c>
      <c r="H49" s="14" t="n">
        <v>-0.3</v>
      </c>
      <c r="I49" s="14" t="n">
        <v>-0.2</v>
      </c>
      <c r="J49" s="14" t="inlineStr">
        <is>
          <t>Elasticities row 191</t>
        </is>
      </c>
    </row>
    <row r="50">
      <c r="A50" s="14" t="inlineStr">
        <is>
          <t>usg|ren|res</t>
        </is>
      </c>
      <c r="B50" s="14" t="inlineStr">
        <is>
          <t>usg</t>
        </is>
      </c>
      <c r="C50" s="14" t="inlineStr">
        <is>
          <t>ren</t>
        </is>
      </c>
      <c r="D50" s="14" t="inlineStr">
        <is>
          <t>res</t>
        </is>
      </c>
      <c r="E50" s="14" t="inlineStr">
        <is>
          <t>rnw_owp_tot_lr</t>
        </is>
      </c>
      <c r="F50" s="14" t="n">
        <v>-0.5</v>
      </c>
      <c r="G50" s="14" t="n">
        <v>-0.5</v>
      </c>
      <c r="H50" s="14" t="n">
        <v>-0.5</v>
      </c>
      <c r="I50" s="14" t="n">
        <v>-0.4</v>
      </c>
      <c r="J50" s="14" t="inlineStr">
        <is>
          <t>Elasticities row 192</t>
        </is>
      </c>
    </row>
    <row r="51">
      <c r="A51" s="14" t="inlineStr">
        <is>
          <t>usg|ecy|res</t>
        </is>
      </c>
      <c r="B51" s="14" t="inlineStr">
        <is>
          <t>usg</t>
        </is>
      </c>
      <c r="C51" s="14" t="inlineStr">
        <is>
          <t>ecy</t>
        </is>
      </c>
      <c r="D51" s="14" t="inlineStr">
        <is>
          <t>res</t>
        </is>
      </c>
      <c r="E51" s="14" t="inlineStr">
        <is>
          <t>ecy_owp_res_sr</t>
        </is>
      </c>
      <c r="F51" s="14" t="n">
        <v>-0.3</v>
      </c>
      <c r="G51" s="14" t="n">
        <v>-0.3</v>
      </c>
      <c r="H51" s="14" t="n">
        <v>-0.3</v>
      </c>
      <c r="I51" s="14" t="n">
        <v>-0.2</v>
      </c>
      <c r="J51" s="14" t="inlineStr">
        <is>
          <t>Elasticities row 193</t>
        </is>
      </c>
    </row>
    <row r="52">
      <c r="A52" s="14" t="inlineStr">
        <is>
          <t>usg|coa|ind</t>
        </is>
      </c>
      <c r="B52" s="14" t="inlineStr">
        <is>
          <t>usg</t>
        </is>
      </c>
      <c r="C52" s="14" t="inlineStr">
        <is>
          <t>coa</t>
        </is>
      </c>
      <c r="D52" s="14" t="inlineStr">
        <is>
          <t>ind</t>
        </is>
      </c>
      <c r="E52" s="14" t="inlineStr">
        <is>
          <t>coa_owp_ind_sr</t>
        </is>
      </c>
      <c r="F52" s="14" t="n">
        <v>-0.3</v>
      </c>
      <c r="G52" s="14" t="n">
        <v>-0.3</v>
      </c>
      <c r="H52" s="14" t="n">
        <v>-0.3</v>
      </c>
      <c r="I52" s="14" t="n">
        <v>-0.2</v>
      </c>
      <c r="J52" s="14" t="inlineStr">
        <is>
          <t>Elasticities row 194</t>
        </is>
      </c>
    </row>
    <row r="53">
      <c r="A53" s="14" t="inlineStr">
        <is>
          <t>usg|nga|ind</t>
        </is>
      </c>
      <c r="B53" s="14" t="inlineStr">
        <is>
          <t>usg</t>
        </is>
      </c>
      <c r="C53" s="14" t="inlineStr">
        <is>
          <t>nga</t>
        </is>
      </c>
      <c r="D53" s="14" t="inlineStr">
        <is>
          <t>ind</t>
        </is>
      </c>
      <c r="E53" s="14" t="inlineStr">
        <is>
          <t>nga_owp_ind_sr</t>
        </is>
      </c>
      <c r="F53" s="14" t="n">
        <v>-0.5</v>
      </c>
      <c r="G53" s="14" t="n">
        <v>-0.5</v>
      </c>
      <c r="H53" s="14" t="n">
        <v>-0.5</v>
      </c>
      <c r="I53" s="14" t="n">
        <v>-0.4</v>
      </c>
      <c r="J53" s="14" t="inlineStr">
        <is>
          <t>Elasticities row 195</t>
        </is>
      </c>
    </row>
    <row r="54">
      <c r="A54" s="14" t="inlineStr">
        <is>
          <t>usg|gso|ind</t>
        </is>
      </c>
      <c r="B54" s="14" t="inlineStr">
        <is>
          <t>usg</t>
        </is>
      </c>
      <c r="C54" s="14" t="inlineStr">
        <is>
          <t>gso</t>
        </is>
      </c>
      <c r="D54" s="14" t="inlineStr">
        <is>
          <t>ind</t>
        </is>
      </c>
      <c r="E54" s="14" t="inlineStr">
        <is>
          <t>gso_owp_tot_sr</t>
        </is>
      </c>
      <c r="F54" s="14" t="n">
        <v>-0.4</v>
      </c>
      <c r="G54" s="14" t="n">
        <v>-0.4</v>
      </c>
      <c r="H54" s="14" t="n">
        <v>-0.4</v>
      </c>
      <c r="I54" s="14" t="n">
        <v>-0.3</v>
      </c>
      <c r="J54" s="14" t="inlineStr">
        <is>
          <t>Elasticities row 196</t>
        </is>
      </c>
    </row>
    <row r="55">
      <c r="A55" s="14" t="inlineStr">
        <is>
          <t>usg|die|ind</t>
        </is>
      </c>
      <c r="B55" s="14" t="inlineStr">
        <is>
          <t>usg</t>
        </is>
      </c>
      <c r="C55" s="14" t="inlineStr">
        <is>
          <t>die</t>
        </is>
      </c>
      <c r="D55" s="14" t="inlineStr">
        <is>
          <t>ind</t>
        </is>
      </c>
      <c r="E55" s="14" t="inlineStr">
        <is>
          <t>die_owp_tot_sr</t>
        </is>
      </c>
      <c r="F55" s="14" t="n">
        <v>-0.7</v>
      </c>
      <c r="G55" s="14" t="n">
        <v>-0.7</v>
      </c>
      <c r="H55" s="14" t="n">
        <v>-0.7</v>
      </c>
      <c r="I55" s="14" t="n">
        <v>-0.6</v>
      </c>
      <c r="J55" s="14" t="inlineStr">
        <is>
          <t>Elasticities row 197</t>
        </is>
      </c>
    </row>
    <row r="56">
      <c r="A56" s="14" t="inlineStr">
        <is>
          <t>usg|oil|ind</t>
        </is>
      </c>
      <c r="B56" s="14" t="inlineStr">
        <is>
          <t>usg</t>
        </is>
      </c>
      <c r="C56" s="14" t="inlineStr">
        <is>
          <t>oil</t>
        </is>
      </c>
      <c r="D56" s="14" t="inlineStr">
        <is>
          <t>ind</t>
        </is>
      </c>
      <c r="E56" s="14" t="inlineStr">
        <is>
          <t>oil_owp_ind_sr</t>
        </is>
      </c>
      <c r="F56" s="14" t="n">
        <v>-0.4</v>
      </c>
      <c r="G56" s="14" t="n">
        <v>-0.4</v>
      </c>
      <c r="H56" s="14" t="n">
        <v>-0.4</v>
      </c>
      <c r="I56" s="14" t="n">
        <v>-0.3</v>
      </c>
      <c r="J56" s="14" t="inlineStr">
        <is>
          <t>Elasticities row 198</t>
        </is>
      </c>
    </row>
    <row r="57">
      <c r="A57" s="14" t="inlineStr">
        <is>
          <t>usg|bio|ind</t>
        </is>
      </c>
      <c r="B57" s="14" t="inlineStr">
        <is>
          <t>usg</t>
        </is>
      </c>
      <c r="C57" s="14" t="inlineStr">
        <is>
          <t>bio</t>
        </is>
      </c>
      <c r="D57" s="14" t="inlineStr">
        <is>
          <t>ind</t>
        </is>
      </c>
      <c r="E57" s="14" t="inlineStr">
        <is>
          <t>bio_owp_ind_sr</t>
        </is>
      </c>
      <c r="F57" s="14" t="n">
        <v>-0.3</v>
      </c>
      <c r="G57" s="14" t="n">
        <v>-0.3</v>
      </c>
      <c r="H57" s="14" t="n">
        <v>-0.3</v>
      </c>
      <c r="I57" s="14" t="n">
        <v>-0.2</v>
      </c>
      <c r="J57" s="14" t="inlineStr">
        <is>
          <t>Elasticities row 199</t>
        </is>
      </c>
    </row>
    <row r="58">
      <c r="A58" s="14" t="inlineStr">
        <is>
          <t>usg|ren|ind</t>
        </is>
      </c>
      <c r="B58" s="14" t="inlineStr">
        <is>
          <t>usg</t>
        </is>
      </c>
      <c r="C58" s="14" t="inlineStr">
        <is>
          <t>ren</t>
        </is>
      </c>
      <c r="D58" s="14" t="inlineStr">
        <is>
          <t>ind</t>
        </is>
      </c>
      <c r="E58" s="14" t="inlineStr">
        <is>
          <t>rnw_owp_tot_lr</t>
        </is>
      </c>
      <c r="F58" s="14" t="n">
        <v>-0.5</v>
      </c>
      <c r="G58" s="14" t="n">
        <v>-0.5</v>
      </c>
      <c r="H58" s="14" t="n">
        <v>-0.5</v>
      </c>
      <c r="I58" s="14" t="n">
        <v>-0.4</v>
      </c>
      <c r="J58" s="14" t="inlineStr">
        <is>
          <t>Elasticities row 200</t>
        </is>
      </c>
    </row>
    <row r="59">
      <c r="A59" s="14" t="inlineStr">
        <is>
          <t>usg|ecy|ind</t>
        </is>
      </c>
      <c r="B59" s="14" t="inlineStr">
        <is>
          <t>usg</t>
        </is>
      </c>
      <c r="C59" s="14" t="inlineStr">
        <is>
          <t>ecy</t>
        </is>
      </c>
      <c r="D59" s="14" t="inlineStr">
        <is>
          <t>ind</t>
        </is>
      </c>
      <c r="E59" s="14" t="inlineStr">
        <is>
          <t>ecy_owp_ind_sr</t>
        </is>
      </c>
      <c r="F59" s="14" t="n">
        <v>-0.3</v>
      </c>
      <c r="G59" s="14" t="n">
        <v>-0.3</v>
      </c>
      <c r="H59" s="14" t="n">
        <v>-0.3</v>
      </c>
      <c r="I59" s="14" t="n">
        <v>-0.2</v>
      </c>
      <c r="J59" s="14" t="inlineStr">
        <is>
          <t>Elasticities row 201</t>
        </is>
      </c>
    </row>
    <row r="60">
      <c r="A60" s="14" t="inlineStr">
        <is>
          <t>usg|coa|srv</t>
        </is>
      </c>
      <c r="B60" s="14" t="inlineStr">
        <is>
          <t>usg</t>
        </is>
      </c>
      <c r="C60" s="14" t="inlineStr">
        <is>
          <t>coa</t>
        </is>
      </c>
      <c r="D60" s="14" t="inlineStr">
        <is>
          <t>srv</t>
        </is>
      </c>
      <c r="E60" s="14" t="inlineStr">
        <is>
          <t>coa_owp_ind_sr</t>
        </is>
      </c>
      <c r="F60" s="14" t="n">
        <v>-0.4</v>
      </c>
      <c r="G60" s="14" t="n">
        <v>-0.4</v>
      </c>
      <c r="H60" s="14" t="n">
        <v>-0.4</v>
      </c>
      <c r="I60" s="14" t="n">
        <v>-0.3</v>
      </c>
      <c r="J60" s="14" t="inlineStr">
        <is>
          <t>Elasticities row 202</t>
        </is>
      </c>
    </row>
    <row r="61">
      <c r="A61" s="14" t="inlineStr">
        <is>
          <t>usg|nga|srv</t>
        </is>
      </c>
      <c r="B61" s="14" t="inlineStr">
        <is>
          <t>usg</t>
        </is>
      </c>
      <c r="C61" s="14" t="inlineStr">
        <is>
          <t>nga</t>
        </is>
      </c>
      <c r="D61" s="14" t="inlineStr">
        <is>
          <t>srv</t>
        </is>
      </c>
      <c r="E61" s="14" t="inlineStr">
        <is>
          <t>nga_owp_ind_sr</t>
        </is>
      </c>
      <c r="F61" s="14" t="n">
        <v>-0.6</v>
      </c>
      <c r="G61" s="14" t="n">
        <v>-0.6</v>
      </c>
      <c r="H61" s="14" t="n">
        <v>-0.6</v>
      </c>
      <c r="I61" s="14" t="n">
        <v>-0.5</v>
      </c>
      <c r="J61" s="14" t="inlineStr">
        <is>
          <t>Elasticities row 203</t>
        </is>
      </c>
    </row>
    <row r="62">
      <c r="A62" s="14" t="inlineStr">
        <is>
          <t>usg|gso|srv</t>
        </is>
      </c>
      <c r="B62" s="14" t="inlineStr">
        <is>
          <t>usg</t>
        </is>
      </c>
      <c r="C62" s="14" t="inlineStr">
        <is>
          <t>gso</t>
        </is>
      </c>
      <c r="D62" s="14" t="inlineStr">
        <is>
          <t>srv</t>
        </is>
      </c>
      <c r="E62" s="14" t="inlineStr">
        <is>
          <t>gso_owp_tot_sr</t>
        </is>
      </c>
      <c r="F62" s="14" t="n">
        <v>-0.6</v>
      </c>
      <c r="G62" s="14" t="n">
        <v>-0.6</v>
      </c>
      <c r="H62" s="14" t="n">
        <v>-0.6</v>
      </c>
      <c r="I62" s="14" t="n">
        <v>-0.5</v>
      </c>
      <c r="J62" s="14" t="inlineStr">
        <is>
          <t>Elasticities row 204</t>
        </is>
      </c>
    </row>
    <row r="63">
      <c r="A63" s="14" t="inlineStr">
        <is>
          <t>usg|die|srv</t>
        </is>
      </c>
      <c r="B63" s="14" t="inlineStr">
        <is>
          <t>usg</t>
        </is>
      </c>
      <c r="C63" s="14" t="inlineStr">
        <is>
          <t>die</t>
        </is>
      </c>
      <c r="D63" s="14" t="inlineStr">
        <is>
          <t>srv</t>
        </is>
      </c>
      <c r="E63" s="14" t="inlineStr">
        <is>
          <t>die_owp_tot_sr</t>
        </is>
      </c>
      <c r="F63" s="14" t="n">
        <v>-0.5</v>
      </c>
      <c r="G63" s="14" t="n">
        <v>-0.5</v>
      </c>
      <c r="H63" s="14" t="n">
        <v>-0.5</v>
      </c>
      <c r="I63" s="14" t="n">
        <v>-0.4</v>
      </c>
      <c r="J63" s="14" t="inlineStr">
        <is>
          <t>Elasticities row 205</t>
        </is>
      </c>
    </row>
    <row r="64">
      <c r="A64" s="14" t="inlineStr">
        <is>
          <t>usg|oil|srv</t>
        </is>
      </c>
      <c r="B64" s="14" t="inlineStr">
        <is>
          <t>usg</t>
        </is>
      </c>
      <c r="C64" s="14" t="inlineStr">
        <is>
          <t>oil</t>
        </is>
      </c>
      <c r="D64" s="14" t="inlineStr">
        <is>
          <t>srv</t>
        </is>
      </c>
      <c r="E64" s="14" t="inlineStr">
        <is>
          <t>oil_owp_ind_sr</t>
        </is>
      </c>
      <c r="F64" s="14" t="n">
        <v>-0.5</v>
      </c>
      <c r="G64" s="14" t="n">
        <v>-0.5</v>
      </c>
      <c r="H64" s="14" t="n">
        <v>-0.5</v>
      </c>
      <c r="I64" s="14" t="n">
        <v>-0.4</v>
      </c>
      <c r="J64" s="14" t="inlineStr">
        <is>
          <t>Elasticities row 206</t>
        </is>
      </c>
    </row>
    <row r="65">
      <c r="A65" s="14" t="inlineStr">
        <is>
          <t>usg|bio|srv</t>
        </is>
      </c>
      <c r="B65" s="14" t="inlineStr">
        <is>
          <t>usg</t>
        </is>
      </c>
      <c r="C65" s="14" t="inlineStr">
        <is>
          <t>bio</t>
        </is>
      </c>
      <c r="D65" s="14" t="inlineStr">
        <is>
          <t>srv</t>
        </is>
      </c>
      <c r="E65" s="14" t="inlineStr">
        <is>
          <t>bio_owp_ind_sr</t>
        </is>
      </c>
      <c r="F65" s="14" t="n">
        <v>-0.4</v>
      </c>
      <c r="G65" s="14" t="n">
        <v>-0.4</v>
      </c>
      <c r="H65" s="14" t="n">
        <v>-0.4</v>
      </c>
      <c r="I65" s="14" t="n">
        <v>-0.3</v>
      </c>
      <c r="J65" s="14" t="inlineStr">
        <is>
          <t>Elasticities row 207</t>
        </is>
      </c>
    </row>
    <row r="66">
      <c r="A66" s="14" t="inlineStr">
        <is>
          <t>usg|ren|srv</t>
        </is>
      </c>
      <c r="B66" s="14" t="inlineStr">
        <is>
          <t>usg</t>
        </is>
      </c>
      <c r="C66" s="14" t="inlineStr">
        <is>
          <t>ren</t>
        </is>
      </c>
      <c r="D66" s="14" t="inlineStr">
        <is>
          <t>srv</t>
        </is>
      </c>
      <c r="E66" s="14" t="inlineStr">
        <is>
          <t>rnw_owp_tot_lr</t>
        </is>
      </c>
      <c r="F66" s="14" t="n">
        <v>-0.7</v>
      </c>
      <c r="G66" s="14" t="n">
        <v>-0.7</v>
      </c>
      <c r="H66" s="14" t="n">
        <v>-0.7</v>
      </c>
      <c r="I66" s="14" t="n">
        <v>-0.6</v>
      </c>
      <c r="J66" s="14" t="inlineStr">
        <is>
          <t>Elasticities row 208</t>
        </is>
      </c>
    </row>
    <row r="67">
      <c r="A67" s="14" t="inlineStr">
        <is>
          <t>usg|ecy|srv</t>
        </is>
      </c>
      <c r="B67" s="14" t="inlineStr">
        <is>
          <t>usg</t>
        </is>
      </c>
      <c r="C67" s="14" t="inlineStr">
        <is>
          <t>ecy</t>
        </is>
      </c>
      <c r="D67" s="14" t="inlineStr">
        <is>
          <t>srv</t>
        </is>
      </c>
      <c r="E67" s="14" t="inlineStr">
        <is>
          <t>ecy_owp_ind_sr</t>
        </is>
      </c>
      <c r="F67" s="14" t="n">
        <v>-0.5</v>
      </c>
      <c r="G67" s="14" t="n">
        <v>-0.5</v>
      </c>
      <c r="H67" s="14" t="n">
        <v>-0.5</v>
      </c>
      <c r="I67" s="14" t="n">
        <v>-0.4</v>
      </c>
      <c r="J67" s="14" t="inlineStr">
        <is>
          <t>Elasticities row 209</t>
        </is>
      </c>
    </row>
    <row r="68">
      <c r="A68" s="14" t="inlineStr">
        <is>
          <t>eff|coa|tra</t>
        </is>
      </c>
      <c r="B68" s="14" t="inlineStr">
        <is>
          <t>eff</t>
        </is>
      </c>
      <c r="C68" s="14" t="inlineStr">
        <is>
          <t>coa</t>
        </is>
      </c>
      <c r="D68" s="14" t="inlineStr">
        <is>
          <t>tra</t>
        </is>
      </c>
      <c r="E68" s="14" t="inlineStr">
        <is>
          <t>coa_owp_tot_lr</t>
        </is>
      </c>
      <c r="F68" s="14" t="n">
        <v>-0.4</v>
      </c>
      <c r="G68" s="14" t="n">
        <v>-0.4</v>
      </c>
      <c r="H68" s="14" t="n">
        <v>-0.4</v>
      </c>
      <c r="I68" s="14" t="n">
        <v>-0.4</v>
      </c>
      <c r="J68" s="14" t="inlineStr">
        <is>
          <t>Elasticities row 211</t>
        </is>
      </c>
    </row>
    <row r="69">
      <c r="A69" s="14" t="inlineStr">
        <is>
          <t>eff|nga|tra</t>
        </is>
      </c>
      <c r="B69" s="14" t="inlineStr">
        <is>
          <t>eff</t>
        </is>
      </c>
      <c r="C69" s="14" t="inlineStr">
        <is>
          <t>nga</t>
        </is>
      </c>
      <c r="D69" s="14" t="inlineStr">
        <is>
          <t>tra</t>
        </is>
      </c>
      <c r="E69" s="14" t="inlineStr">
        <is>
          <t>nga_owp_tot_lr</t>
        </is>
      </c>
      <c r="F69" s="14" t="n">
        <v>-0.4</v>
      </c>
      <c r="G69" s="14" t="n">
        <v>-0.4</v>
      </c>
      <c r="H69" s="14" t="n">
        <v>-0.4</v>
      </c>
      <c r="I69" s="14" t="n">
        <v>-0.4</v>
      </c>
      <c r="J69" s="14" t="inlineStr">
        <is>
          <t>Elasticities row 212</t>
        </is>
      </c>
    </row>
    <row r="70">
      <c r="A70" s="14" t="inlineStr">
        <is>
          <t>eff|gso|tra</t>
        </is>
      </c>
      <c r="B70" s="14" t="inlineStr">
        <is>
          <t>eff</t>
        </is>
      </c>
      <c r="C70" s="14" t="inlineStr">
        <is>
          <t>gso</t>
        </is>
      </c>
      <c r="D70" s="14" t="inlineStr">
        <is>
          <t>tra</t>
        </is>
      </c>
      <c r="E70" s="14" t="inlineStr">
        <is>
          <t>gso_owp_tot_lr</t>
        </is>
      </c>
      <c r="F70" s="14" t="n">
        <v>-0.4</v>
      </c>
      <c r="G70" s="14" t="n">
        <v>-0.4</v>
      </c>
      <c r="H70" s="14" t="n">
        <v>-0.4</v>
      </c>
      <c r="I70" s="14" t="n">
        <v>-0.4</v>
      </c>
      <c r="J70" s="14" t="inlineStr">
        <is>
          <t>Elasticities row 213</t>
        </is>
      </c>
    </row>
    <row r="71">
      <c r="A71" s="14" t="inlineStr">
        <is>
          <t>eff|die|tra</t>
        </is>
      </c>
      <c r="B71" s="14" t="inlineStr">
        <is>
          <t>eff</t>
        </is>
      </c>
      <c r="C71" s="14" t="inlineStr">
        <is>
          <t>die</t>
        </is>
      </c>
      <c r="D71" s="14" t="inlineStr">
        <is>
          <t>tra</t>
        </is>
      </c>
      <c r="E71" s="14" t="inlineStr">
        <is>
          <t>die_owp_tot_lr</t>
        </is>
      </c>
      <c r="F71" s="14" t="n">
        <v>-0.3</v>
      </c>
      <c r="G71" s="14" t="n">
        <v>-0.3</v>
      </c>
      <c r="H71" s="14" t="n">
        <v>-0.3</v>
      </c>
      <c r="I71" s="14" t="n">
        <v>-0.3</v>
      </c>
      <c r="J71" s="14" t="inlineStr">
        <is>
          <t>Elasticities row 214</t>
        </is>
      </c>
    </row>
    <row r="72">
      <c r="A72" s="14" t="inlineStr">
        <is>
          <t>eff|oil|tra</t>
        </is>
      </c>
      <c r="B72" s="14" t="inlineStr">
        <is>
          <t>eff</t>
        </is>
      </c>
      <c r="C72" s="14" t="inlineStr">
        <is>
          <t>oil</t>
        </is>
      </c>
      <c r="D72" s="14" t="inlineStr">
        <is>
          <t>tra</t>
        </is>
      </c>
      <c r="E72" s="14" t="inlineStr">
        <is>
          <t>oil_owp_tot_lr</t>
        </is>
      </c>
      <c r="F72" s="14" t="n">
        <v>-0.4</v>
      </c>
      <c r="G72" s="14" t="n">
        <v>-0.4</v>
      </c>
      <c r="H72" s="14" t="n">
        <v>-0.4</v>
      </c>
      <c r="I72" s="14" t="n">
        <v>-0.4</v>
      </c>
      <c r="J72" s="14" t="inlineStr">
        <is>
          <t>Elasticities row 215</t>
        </is>
      </c>
    </row>
    <row r="73">
      <c r="A73" s="14" t="inlineStr">
        <is>
          <t>eff|bio|tra</t>
        </is>
      </c>
      <c r="B73" s="14" t="inlineStr">
        <is>
          <t>eff</t>
        </is>
      </c>
      <c r="C73" s="14" t="inlineStr">
        <is>
          <t>bio</t>
        </is>
      </c>
      <c r="D73" s="14" t="inlineStr">
        <is>
          <t>tra</t>
        </is>
      </c>
      <c r="E73" s="14" t="inlineStr">
        <is>
          <t>bio_owp_ind_lr</t>
        </is>
      </c>
      <c r="F73" s="14" t="n">
        <v>-0.2</v>
      </c>
      <c r="G73" s="14" t="n">
        <v>-0.2</v>
      </c>
      <c r="H73" s="14" t="n">
        <v>-0.2</v>
      </c>
      <c r="I73" s="14" t="n">
        <v>-0.2</v>
      </c>
      <c r="J73" s="14" t="inlineStr">
        <is>
          <t>Elasticities row 216</t>
        </is>
      </c>
    </row>
    <row r="74">
      <c r="A74" s="14" t="inlineStr">
        <is>
          <t>eff|ren|tra</t>
        </is>
      </c>
      <c r="B74" s="14" t="inlineStr">
        <is>
          <t>eff</t>
        </is>
      </c>
      <c r="C74" s="14" t="inlineStr">
        <is>
          <t>ren</t>
        </is>
      </c>
      <c r="D74" s="14" t="inlineStr">
        <is>
          <t>tra</t>
        </is>
      </c>
      <c r="E74" s="14" t="inlineStr">
        <is>
          <t>rnw_owp_tot_lr</t>
        </is>
      </c>
      <c r="F74" s="14" t="n">
        <v>-0.4</v>
      </c>
      <c r="G74" s="14" t="n">
        <v>-0.4</v>
      </c>
      <c r="H74" s="14" t="n">
        <v>-0.4</v>
      </c>
      <c r="I74" s="14" t="n">
        <v>-0.4</v>
      </c>
      <c r="J74" s="14" t="inlineStr">
        <is>
          <t>Elasticities row 217</t>
        </is>
      </c>
    </row>
    <row r="75">
      <c r="A75" s="14" t="inlineStr">
        <is>
          <t>eff|ecy|tra</t>
        </is>
      </c>
      <c r="B75" s="14" t="inlineStr">
        <is>
          <t>eff</t>
        </is>
      </c>
      <c r="C75" s="14" t="inlineStr">
        <is>
          <t>ecy</t>
        </is>
      </c>
      <c r="D75" s="14" t="inlineStr">
        <is>
          <t>tra</t>
        </is>
      </c>
      <c r="E75" s="14" t="inlineStr">
        <is>
          <t>ecy_owp_tot_lr</t>
        </is>
      </c>
      <c r="F75" s="14" t="n">
        <v>-0.2</v>
      </c>
      <c r="G75" s="14" t="n">
        <v>-0.2</v>
      </c>
      <c r="H75" s="14" t="n">
        <v>-0.2</v>
      </c>
      <c r="I75" s="14" t="n">
        <v>-0.2</v>
      </c>
      <c r="J75" s="14" t="inlineStr">
        <is>
          <t>Elasticities row 218</t>
        </is>
      </c>
    </row>
    <row r="76">
      <c r="A76" s="14" t="inlineStr">
        <is>
          <t>eff|coa|res</t>
        </is>
      </c>
      <c r="B76" s="14" t="inlineStr">
        <is>
          <t>eff</t>
        </is>
      </c>
      <c r="C76" s="14" t="inlineStr">
        <is>
          <t>coa</t>
        </is>
      </c>
      <c r="D76" s="14" t="inlineStr">
        <is>
          <t>res</t>
        </is>
      </c>
      <c r="E76" s="14" t="inlineStr">
        <is>
          <t>coa_owp_res_lr</t>
        </is>
      </c>
      <c r="F76" s="14" t="n">
        <v>-0.4</v>
      </c>
      <c r="G76" s="14" t="n">
        <v>-0.4</v>
      </c>
      <c r="H76" s="14" t="n">
        <v>-0.4</v>
      </c>
      <c r="I76" s="14" t="n">
        <v>-0.4</v>
      </c>
      <c r="J76" s="14" t="inlineStr">
        <is>
          <t>Elasticities row 219</t>
        </is>
      </c>
    </row>
    <row r="77">
      <c r="A77" s="14" t="inlineStr">
        <is>
          <t>eff|nga|res</t>
        </is>
      </c>
      <c r="B77" s="14" t="inlineStr">
        <is>
          <t>eff</t>
        </is>
      </c>
      <c r="C77" s="14" t="inlineStr">
        <is>
          <t>nga</t>
        </is>
      </c>
      <c r="D77" s="14" t="inlineStr">
        <is>
          <t>res</t>
        </is>
      </c>
      <c r="E77" s="14" t="inlineStr">
        <is>
          <t>nga_owp_res_lr</t>
        </is>
      </c>
      <c r="F77" s="14" t="n">
        <v>-0.5</v>
      </c>
      <c r="G77" s="14" t="n">
        <v>-0.5</v>
      </c>
      <c r="H77" s="14" t="n">
        <v>-0.5</v>
      </c>
      <c r="I77" s="14" t="n">
        <v>-0.5</v>
      </c>
      <c r="J77" s="14" t="inlineStr">
        <is>
          <t>Elasticities row 220</t>
        </is>
      </c>
    </row>
    <row r="78">
      <c r="A78" s="14" t="inlineStr">
        <is>
          <t>eff|gso|res</t>
        </is>
      </c>
      <c r="B78" s="14" t="inlineStr">
        <is>
          <t>eff</t>
        </is>
      </c>
      <c r="C78" s="14" t="inlineStr">
        <is>
          <t>gso</t>
        </is>
      </c>
      <c r="D78" s="14" t="inlineStr">
        <is>
          <t>res</t>
        </is>
      </c>
      <c r="E78" s="14" t="inlineStr">
        <is>
          <t>gso_owp_tot_lr</t>
        </is>
      </c>
      <c r="F78" s="14" t="n">
        <v>-0.6</v>
      </c>
      <c r="G78" s="14" t="n">
        <v>-0.6</v>
      </c>
      <c r="H78" s="14" t="n">
        <v>-0.6</v>
      </c>
      <c r="I78" s="14" t="n">
        <v>-0.6</v>
      </c>
      <c r="J78" s="14" t="inlineStr">
        <is>
          <t>Elasticities row 221</t>
        </is>
      </c>
    </row>
    <row r="79">
      <c r="A79" s="14" t="inlineStr">
        <is>
          <t>eff|die|res</t>
        </is>
      </c>
      <c r="B79" s="14" t="inlineStr">
        <is>
          <t>eff</t>
        </is>
      </c>
      <c r="C79" s="14" t="inlineStr">
        <is>
          <t>die</t>
        </is>
      </c>
      <c r="D79" s="14" t="inlineStr">
        <is>
          <t>res</t>
        </is>
      </c>
      <c r="E79" s="14" t="inlineStr">
        <is>
          <t>die_owp_tot_lr</t>
        </is>
      </c>
      <c r="F79" s="14" t="n">
        <v>-0.3</v>
      </c>
      <c r="G79" s="14" t="n">
        <v>-0.3</v>
      </c>
      <c r="H79" s="14" t="n">
        <v>-0.3</v>
      </c>
      <c r="I79" s="14" t="n">
        <v>-0.3</v>
      </c>
      <c r="J79" s="14" t="inlineStr">
        <is>
          <t>Elasticities row 222</t>
        </is>
      </c>
    </row>
    <row r="80">
      <c r="A80" s="14" t="inlineStr">
        <is>
          <t>eff|oil|res</t>
        </is>
      </c>
      <c r="B80" s="14" t="inlineStr">
        <is>
          <t>eff</t>
        </is>
      </c>
      <c r="C80" s="14" t="inlineStr">
        <is>
          <t>oil</t>
        </is>
      </c>
      <c r="D80" s="14" t="inlineStr">
        <is>
          <t>res</t>
        </is>
      </c>
      <c r="E80" s="14" t="inlineStr">
        <is>
          <t>oil_owp_tot_lr</t>
        </is>
      </c>
      <c r="F80" s="14" t="n">
        <v>-0.4</v>
      </c>
      <c r="G80" s="14" t="n">
        <v>-0.4</v>
      </c>
      <c r="H80" s="14" t="n">
        <v>-0.4</v>
      </c>
      <c r="I80" s="14" t="n">
        <v>-0.4</v>
      </c>
      <c r="J80" s="14" t="inlineStr">
        <is>
          <t>Elasticities row 223</t>
        </is>
      </c>
    </row>
    <row r="81">
      <c r="A81" s="14" t="inlineStr">
        <is>
          <t>eff|bio|res</t>
        </is>
      </c>
      <c r="B81" s="14" t="inlineStr">
        <is>
          <t>eff</t>
        </is>
      </c>
      <c r="C81" s="14" t="inlineStr">
        <is>
          <t>bio</t>
        </is>
      </c>
      <c r="D81" s="14" t="inlineStr">
        <is>
          <t>res</t>
        </is>
      </c>
      <c r="E81" s="14" t="inlineStr">
        <is>
          <t>bio_owp_ind_lr</t>
        </is>
      </c>
      <c r="F81" s="14" t="n">
        <v>-0.2</v>
      </c>
      <c r="G81" s="14" t="n">
        <v>-0.2</v>
      </c>
      <c r="H81" s="14" t="n">
        <v>-0.2</v>
      </c>
      <c r="I81" s="14" t="n">
        <v>-0.2</v>
      </c>
      <c r="J81" s="14" t="inlineStr">
        <is>
          <t>Elasticities row 224</t>
        </is>
      </c>
    </row>
    <row r="82">
      <c r="A82" s="14" t="inlineStr">
        <is>
          <t>eff|ren|res</t>
        </is>
      </c>
      <c r="B82" s="14" t="inlineStr">
        <is>
          <t>eff</t>
        </is>
      </c>
      <c r="C82" s="14" t="inlineStr">
        <is>
          <t>ren</t>
        </is>
      </c>
      <c r="D82" s="14" t="inlineStr">
        <is>
          <t>res</t>
        </is>
      </c>
      <c r="E82" s="14" t="inlineStr">
        <is>
          <t>rnw_owp_tot_lr</t>
        </is>
      </c>
      <c r="F82" s="14" t="n">
        <v>-0.4</v>
      </c>
      <c r="G82" s="14" t="n">
        <v>-0.4</v>
      </c>
      <c r="H82" s="14" t="n">
        <v>-0.4</v>
      </c>
      <c r="I82" s="14" t="n">
        <v>-0.4</v>
      </c>
      <c r="J82" s="14" t="inlineStr">
        <is>
          <t>Elasticities row 225</t>
        </is>
      </c>
    </row>
    <row r="83">
      <c r="A83" s="14" t="inlineStr">
        <is>
          <t>eff|ecy|res</t>
        </is>
      </c>
      <c r="B83" s="14" t="inlineStr">
        <is>
          <t>eff</t>
        </is>
      </c>
      <c r="C83" s="14" t="inlineStr">
        <is>
          <t>ecy</t>
        </is>
      </c>
      <c r="D83" s="14" t="inlineStr">
        <is>
          <t>res</t>
        </is>
      </c>
      <c r="E83" s="14" t="inlineStr">
        <is>
          <t>ecy_owp_res_lr</t>
        </is>
      </c>
      <c r="F83" s="14" t="n">
        <v>-0.2</v>
      </c>
      <c r="G83" s="14" t="n">
        <v>-0.2</v>
      </c>
      <c r="H83" s="14" t="n">
        <v>-0.2</v>
      </c>
      <c r="I83" s="14" t="n">
        <v>-0.2</v>
      </c>
      <c r="J83" s="14" t="inlineStr">
        <is>
          <t>Elasticities row 226</t>
        </is>
      </c>
    </row>
    <row r="84">
      <c r="A84" s="14" t="inlineStr">
        <is>
          <t>eff|coa|ind</t>
        </is>
      </c>
      <c r="B84" s="14" t="inlineStr">
        <is>
          <t>eff</t>
        </is>
      </c>
      <c r="C84" s="14" t="inlineStr">
        <is>
          <t>coa</t>
        </is>
      </c>
      <c r="D84" s="14" t="inlineStr">
        <is>
          <t>ind</t>
        </is>
      </c>
      <c r="E84" s="14" t="inlineStr">
        <is>
          <t>coa_owp_ind_lr</t>
        </is>
      </c>
      <c r="F84" s="14" t="n">
        <v>-0.4</v>
      </c>
      <c r="G84" s="14" t="n">
        <v>-0.4</v>
      </c>
      <c r="H84" s="14" t="n">
        <v>-0.4</v>
      </c>
      <c r="I84" s="14" t="n">
        <v>-0.4</v>
      </c>
      <c r="J84" s="14" t="inlineStr">
        <is>
          <t>Elasticities row 227</t>
        </is>
      </c>
    </row>
    <row r="85">
      <c r="A85" s="14" t="inlineStr">
        <is>
          <t>eff|nga|ind</t>
        </is>
      </c>
      <c r="B85" s="14" t="inlineStr">
        <is>
          <t>eff</t>
        </is>
      </c>
      <c r="C85" s="14" t="inlineStr">
        <is>
          <t>nga</t>
        </is>
      </c>
      <c r="D85" s="14" t="inlineStr">
        <is>
          <t>ind</t>
        </is>
      </c>
      <c r="E85" s="14" t="inlineStr">
        <is>
          <t>nga_owp_ind_lr</t>
        </is>
      </c>
      <c r="F85" s="14" t="n">
        <v>-0.5</v>
      </c>
      <c r="G85" s="14" t="n">
        <v>-0.5</v>
      </c>
      <c r="H85" s="14" t="n">
        <v>-0.5</v>
      </c>
      <c r="I85" s="14" t="n">
        <v>-0.5</v>
      </c>
      <c r="J85" s="14" t="inlineStr">
        <is>
          <t>Elasticities row 228</t>
        </is>
      </c>
    </row>
    <row r="86">
      <c r="A86" s="14" t="inlineStr">
        <is>
          <t>eff|gso|ind</t>
        </is>
      </c>
      <c r="B86" s="14" t="inlineStr">
        <is>
          <t>eff</t>
        </is>
      </c>
      <c r="C86" s="14" t="inlineStr">
        <is>
          <t>gso</t>
        </is>
      </c>
      <c r="D86" s="14" t="inlineStr">
        <is>
          <t>ind</t>
        </is>
      </c>
      <c r="E86" s="14" t="inlineStr">
        <is>
          <t>gso_owp_tot_lr</t>
        </is>
      </c>
      <c r="F86" s="14" t="n">
        <v>-0.7</v>
      </c>
      <c r="G86" s="14" t="n">
        <v>-0.7</v>
      </c>
      <c r="H86" s="14" t="n">
        <v>-0.7</v>
      </c>
      <c r="I86" s="14" t="n">
        <v>-0.7</v>
      </c>
      <c r="J86" s="14" t="inlineStr">
        <is>
          <t>Elasticities row 229</t>
        </is>
      </c>
    </row>
    <row r="87">
      <c r="A87" s="14" t="inlineStr">
        <is>
          <t>eff|die|ind</t>
        </is>
      </c>
      <c r="B87" s="14" t="inlineStr">
        <is>
          <t>eff</t>
        </is>
      </c>
      <c r="C87" s="14" t="inlineStr">
        <is>
          <t>die</t>
        </is>
      </c>
      <c r="D87" s="14" t="inlineStr">
        <is>
          <t>ind</t>
        </is>
      </c>
      <c r="E87" s="14" t="inlineStr">
        <is>
          <t>die_owp_tot_lr</t>
        </is>
      </c>
      <c r="F87" s="14" t="n">
        <v>-1.2</v>
      </c>
      <c r="G87" s="14" t="n">
        <v>-1.2</v>
      </c>
      <c r="H87" s="14" t="n">
        <v>-1.2</v>
      </c>
      <c r="I87" s="14" t="n">
        <v>-1.2</v>
      </c>
      <c r="J87" s="14" t="inlineStr">
        <is>
          <t>Elasticities row 230</t>
        </is>
      </c>
    </row>
    <row r="88">
      <c r="A88" s="14" t="inlineStr">
        <is>
          <t>eff|oil|ind</t>
        </is>
      </c>
      <c r="B88" s="14" t="inlineStr">
        <is>
          <t>eff</t>
        </is>
      </c>
      <c r="C88" s="14" t="inlineStr">
        <is>
          <t>oil</t>
        </is>
      </c>
      <c r="D88" s="14" t="inlineStr">
        <is>
          <t>ind</t>
        </is>
      </c>
      <c r="E88" s="14" t="inlineStr">
        <is>
          <t>oil_owp_ind_lr</t>
        </is>
      </c>
      <c r="F88" s="14" t="n">
        <v>-0.4</v>
      </c>
      <c r="G88" s="14" t="n">
        <v>-0.4</v>
      </c>
      <c r="H88" s="14" t="n">
        <v>-0.4</v>
      </c>
      <c r="I88" s="14" t="n">
        <v>-0.4</v>
      </c>
      <c r="J88" s="14" t="inlineStr">
        <is>
          <t>Elasticities row 231</t>
        </is>
      </c>
    </row>
    <row r="89">
      <c r="A89" s="14" t="inlineStr">
        <is>
          <t>eff|bio|ind</t>
        </is>
      </c>
      <c r="B89" s="14" t="inlineStr">
        <is>
          <t>eff</t>
        </is>
      </c>
      <c r="C89" s="14" t="inlineStr">
        <is>
          <t>bio</t>
        </is>
      </c>
      <c r="D89" s="14" t="inlineStr">
        <is>
          <t>ind</t>
        </is>
      </c>
      <c r="E89" s="14" t="inlineStr">
        <is>
          <t>bio_owp_ind_lr</t>
        </is>
      </c>
      <c r="F89" s="14" t="n">
        <v>-0.2</v>
      </c>
      <c r="G89" s="14" t="n">
        <v>-0.2</v>
      </c>
      <c r="H89" s="14" t="n">
        <v>-0.2</v>
      </c>
      <c r="I89" s="14" t="n">
        <v>-0.2</v>
      </c>
      <c r="J89" s="14" t="inlineStr">
        <is>
          <t>Elasticities row 232</t>
        </is>
      </c>
    </row>
    <row r="90">
      <c r="A90" s="14" t="inlineStr">
        <is>
          <t>eff|ren|ind</t>
        </is>
      </c>
      <c r="B90" s="14" t="inlineStr">
        <is>
          <t>eff</t>
        </is>
      </c>
      <c r="C90" s="14" t="inlineStr">
        <is>
          <t>ren</t>
        </is>
      </c>
      <c r="D90" s="14" t="inlineStr">
        <is>
          <t>ind</t>
        </is>
      </c>
      <c r="E90" s="14" t="inlineStr">
        <is>
          <t>rnw_owp_tot_lr</t>
        </is>
      </c>
      <c r="F90" s="14" t="n">
        <v>-0.4</v>
      </c>
      <c r="G90" s="14" t="n">
        <v>-0.4</v>
      </c>
      <c r="H90" s="14" t="n">
        <v>-0.4</v>
      </c>
      <c r="I90" s="14" t="n">
        <v>-0.4</v>
      </c>
      <c r="J90" s="14" t="inlineStr">
        <is>
          <t>Elasticities row 233</t>
        </is>
      </c>
    </row>
    <row r="91">
      <c r="A91" s="14" t="inlineStr">
        <is>
          <t>eff|ecy|ind</t>
        </is>
      </c>
      <c r="B91" s="14" t="inlineStr">
        <is>
          <t>eff</t>
        </is>
      </c>
      <c r="C91" s="14" t="inlineStr">
        <is>
          <t>ecy</t>
        </is>
      </c>
      <c r="D91" s="14" t="inlineStr">
        <is>
          <t>ind</t>
        </is>
      </c>
      <c r="E91" s="14" t="inlineStr">
        <is>
          <t>ecy_owp_ind_lr</t>
        </is>
      </c>
      <c r="F91" s="14" t="n">
        <v>-0.2</v>
      </c>
      <c r="G91" s="14" t="n">
        <v>-0.2</v>
      </c>
      <c r="H91" s="14" t="n">
        <v>-0.2</v>
      </c>
      <c r="I91" s="14" t="n">
        <v>-0.2</v>
      </c>
      <c r="J91" s="14" t="inlineStr">
        <is>
          <t>Elasticities row 234</t>
        </is>
      </c>
    </row>
    <row r="92">
      <c r="A92" s="14" t="inlineStr">
        <is>
          <t>eff|coa|srv</t>
        </is>
      </c>
      <c r="B92" s="14" t="inlineStr">
        <is>
          <t>eff</t>
        </is>
      </c>
      <c r="C92" s="14" t="inlineStr">
        <is>
          <t>coa</t>
        </is>
      </c>
      <c r="D92" s="14" t="inlineStr">
        <is>
          <t>srv</t>
        </is>
      </c>
      <c r="E92" s="14" t="inlineStr">
        <is>
          <t>coa_owp_ind_lr</t>
        </is>
      </c>
      <c r="F92" s="14" t="n">
        <v>-0.6</v>
      </c>
      <c r="G92" s="14" t="n">
        <v>-0.6</v>
      </c>
      <c r="H92" s="14" t="n">
        <v>-0.6</v>
      </c>
      <c r="I92" s="14" t="n">
        <v>-0.6</v>
      </c>
      <c r="J92" s="14" t="inlineStr">
        <is>
          <t>Elasticities row 235</t>
        </is>
      </c>
    </row>
    <row r="93">
      <c r="A93" s="14" t="inlineStr">
        <is>
          <t>eff|nga|srv</t>
        </is>
      </c>
      <c r="B93" s="14" t="inlineStr">
        <is>
          <t>eff</t>
        </is>
      </c>
      <c r="C93" s="14" t="inlineStr">
        <is>
          <t>nga</t>
        </is>
      </c>
      <c r="D93" s="14" t="inlineStr">
        <is>
          <t>srv</t>
        </is>
      </c>
      <c r="E93" s="14" t="inlineStr">
        <is>
          <t>nga_owp_ind_lr</t>
        </is>
      </c>
      <c r="F93" s="14" t="n">
        <v>-1</v>
      </c>
      <c r="G93" s="14" t="n">
        <v>-1</v>
      </c>
      <c r="H93" s="14" t="n">
        <v>-1</v>
      </c>
      <c r="I93" s="14" t="n">
        <v>-1</v>
      </c>
      <c r="J93" s="14" t="inlineStr">
        <is>
          <t>Elasticities row 236</t>
        </is>
      </c>
    </row>
    <row r="94">
      <c r="A94" s="14" t="inlineStr">
        <is>
          <t>eff|gso|srv</t>
        </is>
      </c>
      <c r="B94" s="14" t="inlineStr">
        <is>
          <t>eff</t>
        </is>
      </c>
      <c r="C94" s="14" t="inlineStr">
        <is>
          <t>gso</t>
        </is>
      </c>
      <c r="D94" s="14" t="inlineStr">
        <is>
          <t>srv</t>
        </is>
      </c>
      <c r="E94" s="14" t="inlineStr">
        <is>
          <t>gso_owp_tot_lr</t>
        </is>
      </c>
      <c r="F94" s="14" t="n">
        <v>-1.1</v>
      </c>
      <c r="G94" s="14" t="n">
        <v>-1.1</v>
      </c>
      <c r="H94" s="14" t="n">
        <v>-1.1</v>
      </c>
      <c r="I94" s="14" t="n">
        <v>-1.1</v>
      </c>
      <c r="J94" s="14" t="inlineStr">
        <is>
          <t>Elasticities row 237</t>
        </is>
      </c>
    </row>
    <row r="95">
      <c r="A95" s="14" t="inlineStr">
        <is>
          <t>eff|die|srv</t>
        </is>
      </c>
      <c r="B95" s="14" t="inlineStr">
        <is>
          <t>eff</t>
        </is>
      </c>
      <c r="C95" s="14" t="inlineStr">
        <is>
          <t>die</t>
        </is>
      </c>
      <c r="D95" s="14" t="inlineStr">
        <is>
          <t>srv</t>
        </is>
      </c>
      <c r="E95" s="14" t="inlineStr">
        <is>
          <t>die_owp_tot_lr</t>
        </is>
      </c>
      <c r="F95" s="14" t="n">
        <v>-0.4</v>
      </c>
      <c r="G95" s="14" t="n">
        <v>-0.4</v>
      </c>
      <c r="H95" s="14" t="n">
        <v>-0.4</v>
      </c>
      <c r="I95" s="14" t="n">
        <v>-0.4</v>
      </c>
      <c r="J95" s="14" t="inlineStr">
        <is>
          <t>Elasticities row 238</t>
        </is>
      </c>
    </row>
    <row r="96">
      <c r="A96" s="14" t="inlineStr">
        <is>
          <t>eff|oil|srv</t>
        </is>
      </c>
      <c r="B96" s="14" t="inlineStr">
        <is>
          <t>eff</t>
        </is>
      </c>
      <c r="C96" s="14" t="inlineStr">
        <is>
          <t>oil</t>
        </is>
      </c>
      <c r="D96" s="14" t="inlineStr">
        <is>
          <t>srv</t>
        </is>
      </c>
      <c r="E96" s="14" t="inlineStr">
        <is>
          <t>oil_owp_ind_lr</t>
        </is>
      </c>
      <c r="F96" s="14" t="n">
        <v>-0.6</v>
      </c>
      <c r="G96" s="14" t="n">
        <v>-0.6</v>
      </c>
      <c r="H96" s="14" t="n">
        <v>-0.6</v>
      </c>
      <c r="I96" s="14" t="n">
        <v>-0.6</v>
      </c>
      <c r="J96" s="14" t="inlineStr">
        <is>
          <t>Elasticities row 239</t>
        </is>
      </c>
    </row>
    <row r="97">
      <c r="A97" s="14" t="inlineStr">
        <is>
          <t>eff|bio|srv</t>
        </is>
      </c>
      <c r="B97" s="14" t="inlineStr">
        <is>
          <t>eff</t>
        </is>
      </c>
      <c r="C97" s="14" t="inlineStr">
        <is>
          <t>bio</t>
        </is>
      </c>
      <c r="D97" s="14" t="inlineStr">
        <is>
          <t>srv</t>
        </is>
      </c>
      <c r="E97" s="14" t="inlineStr">
        <is>
          <t>bio_owp_ind_lr</t>
        </is>
      </c>
      <c r="F97" s="14" t="n">
        <v>-0.3</v>
      </c>
      <c r="G97" s="14" t="n">
        <v>-0.3</v>
      </c>
      <c r="H97" s="14" t="n">
        <v>-0.3</v>
      </c>
      <c r="I97" s="14" t="n">
        <v>-0.3</v>
      </c>
      <c r="J97" s="14" t="inlineStr">
        <is>
          <t>Elasticities row 240</t>
        </is>
      </c>
    </row>
    <row r="98">
      <c r="A98" s="14" t="inlineStr">
        <is>
          <t>eff|ren|srv</t>
        </is>
      </c>
      <c r="B98" s="14" t="inlineStr">
        <is>
          <t>eff</t>
        </is>
      </c>
      <c r="C98" s="14" t="inlineStr">
        <is>
          <t>ren</t>
        </is>
      </c>
      <c r="D98" s="14" t="inlineStr">
        <is>
          <t>srv</t>
        </is>
      </c>
      <c r="E98" s="14" t="inlineStr">
        <is>
          <t>rnw_owp_tot_lr</t>
        </is>
      </c>
      <c r="F98" s="14" t="n">
        <v>-0.6</v>
      </c>
      <c r="G98" s="14" t="n">
        <v>-0.6</v>
      </c>
      <c r="H98" s="14" t="n">
        <v>-0.6</v>
      </c>
      <c r="I98" s="14" t="n">
        <v>-0.6</v>
      </c>
      <c r="J98" s="14" t="inlineStr">
        <is>
          <t>Elasticities row 241</t>
        </is>
      </c>
    </row>
    <row r="99">
      <c r="A99" s="14" t="inlineStr">
        <is>
          <t>eff|ecy|srv</t>
        </is>
      </c>
      <c r="B99" s="14" t="inlineStr">
        <is>
          <t>eff</t>
        </is>
      </c>
      <c r="C99" s="14" t="inlineStr">
        <is>
          <t>ecy</t>
        </is>
      </c>
      <c r="D99" s="14" t="inlineStr">
        <is>
          <t>srv</t>
        </is>
      </c>
      <c r="E99" s="14" t="inlineStr">
        <is>
          <t>ecy_owp_ind_lr</t>
        </is>
      </c>
      <c r="F99" s="14" t="n">
        <v>-0.4</v>
      </c>
      <c r="G99" s="14" t="n">
        <v>-0.4</v>
      </c>
      <c r="H99" s="14" t="n">
        <v>-0.4</v>
      </c>
      <c r="I99" s="14" t="n">
        <v>-0.4</v>
      </c>
      <c r="J99" s="14" t="inlineStr">
        <is>
          <t>Elasticities row 242</t>
        </is>
      </c>
    </row>
    <row r="100">
      <c r="A100" s="14" t="inlineStr">
        <is>
          <t>aei|coa|tra</t>
        </is>
      </c>
      <c r="B100" s="14" t="inlineStr">
        <is>
          <t>aei</t>
        </is>
      </c>
      <c r="C100" s="14" t="inlineStr">
        <is>
          <t>coa</t>
        </is>
      </c>
      <c r="D100" s="14" t="inlineStr">
        <is>
          <t>tra</t>
        </is>
      </c>
      <c r="E100" s="14" t="inlineStr">
        <is>
          <t>eff_imp_coa_rod</t>
        </is>
      </c>
      <c r="F100" s="14" t="n">
        <v>0.01</v>
      </c>
      <c r="G100" s="14" t="n">
        <v>0.01</v>
      </c>
      <c r="H100" s="14" t="n">
        <v>0.01</v>
      </c>
      <c r="I100" s="14" t="n">
        <v>0.01</v>
      </c>
      <c r="J100" s="14" t="inlineStr">
        <is>
          <t>Elasticities row 256</t>
        </is>
      </c>
    </row>
    <row r="101">
      <c r="A101" s="14" t="inlineStr">
        <is>
          <t>aei|nga|tra</t>
        </is>
      </c>
      <c r="B101" s="14" t="inlineStr">
        <is>
          <t>aei</t>
        </is>
      </c>
      <c r="C101" s="14" t="inlineStr">
        <is>
          <t>nga</t>
        </is>
      </c>
      <c r="D101" s="14" t="inlineStr">
        <is>
          <t>tra</t>
        </is>
      </c>
      <c r="E101" s="14" t="inlineStr">
        <is>
          <t>eff_imp_nga_rod</t>
        </is>
      </c>
      <c r="F101" s="14" t="n">
        <v>0.01</v>
      </c>
      <c r="G101" s="14" t="n">
        <v>0.01</v>
      </c>
      <c r="H101" s="14" t="n">
        <v>0.01</v>
      </c>
      <c r="I101" s="14" t="n">
        <v>0.01</v>
      </c>
      <c r="J101" s="14" t="inlineStr">
        <is>
          <t>Elasticities row 257</t>
        </is>
      </c>
    </row>
    <row r="102">
      <c r="A102" s="14" t="inlineStr">
        <is>
          <t>aei|oil|tra</t>
        </is>
      </c>
      <c r="B102" s="14" t="inlineStr">
        <is>
          <t>aei</t>
        </is>
      </c>
      <c r="C102" s="14" t="inlineStr">
        <is>
          <t>oil</t>
        </is>
      </c>
      <c r="D102" s="14" t="inlineStr">
        <is>
          <t>tra</t>
        </is>
      </c>
      <c r="E102" s="14" t="inlineStr">
        <is>
          <t>eff_imp_oil_rod</t>
        </is>
      </c>
      <c r="F102" s="14" t="n">
        <v>0.01</v>
      </c>
      <c r="G102" s="14" t="n">
        <v>0.01</v>
      </c>
      <c r="H102" s="14" t="n">
        <v>0.01</v>
      </c>
      <c r="I102" s="14" t="n">
        <v>0.01</v>
      </c>
      <c r="J102" s="14" t="inlineStr">
        <is>
          <t>Elasticities row 258</t>
        </is>
      </c>
    </row>
    <row r="103">
      <c r="A103" s="14" t="inlineStr">
        <is>
          <t>aei|bio|tra</t>
        </is>
      </c>
      <c r="B103" s="14" t="inlineStr">
        <is>
          <t>aei</t>
        </is>
      </c>
      <c r="C103" s="14" t="inlineStr">
        <is>
          <t>bio</t>
        </is>
      </c>
      <c r="D103" s="14" t="inlineStr">
        <is>
          <t>tra</t>
        </is>
      </c>
      <c r="E103" s="14" t="inlineStr">
        <is>
          <t>eff_imp_bio_rod</t>
        </is>
      </c>
      <c r="F103" s="14" t="n">
        <v>0.01</v>
      </c>
      <c r="G103" s="14" t="n">
        <v>0.01</v>
      </c>
      <c r="H103" s="14" t="n">
        <v>0.01</v>
      </c>
      <c r="I103" s="14" t="n">
        <v>0.01</v>
      </c>
      <c r="J103" s="14" t="inlineStr">
        <is>
          <t>Elasticities row 259</t>
        </is>
      </c>
    </row>
    <row r="104">
      <c r="A104" s="14" t="inlineStr">
        <is>
          <t>aei|ren|tra</t>
        </is>
      </c>
      <c r="B104" s="14" t="inlineStr">
        <is>
          <t>aei</t>
        </is>
      </c>
      <c r="C104" s="14" t="inlineStr">
        <is>
          <t>ren</t>
        </is>
      </c>
      <c r="D104" s="14" t="inlineStr">
        <is>
          <t>tra</t>
        </is>
      </c>
      <c r="E104" s="14" t="inlineStr">
        <is>
          <t>eff_imp_ren_rod</t>
        </is>
      </c>
      <c r="F104" s="14" t="n">
        <v>0.01</v>
      </c>
      <c r="G104" s="14" t="n">
        <v>0.01</v>
      </c>
      <c r="H104" s="14" t="n">
        <v>0.01</v>
      </c>
      <c r="I104" s="14" t="n">
        <v>0.01</v>
      </c>
      <c r="J104" s="14" t="inlineStr">
        <is>
          <t>Elasticities row 260</t>
        </is>
      </c>
    </row>
    <row r="105">
      <c r="A105" s="14" t="inlineStr">
        <is>
          <t>aei|ecy|tra</t>
        </is>
      </c>
      <c r="B105" s="14" t="inlineStr">
        <is>
          <t>aei</t>
        </is>
      </c>
      <c r="C105" s="14" t="inlineStr">
        <is>
          <t>ecy</t>
        </is>
      </c>
      <c r="D105" s="14" t="inlineStr">
        <is>
          <t>tra</t>
        </is>
      </c>
      <c r="E105" s="14" t="inlineStr">
        <is>
          <t>eff_imp_ecy_rod</t>
        </is>
      </c>
      <c r="F105" s="14" t="n">
        <v>0.01</v>
      </c>
      <c r="G105" s="14" t="n">
        <v>0.01</v>
      </c>
      <c r="H105" s="14" t="n">
        <v>0.01</v>
      </c>
      <c r="I105" s="14" t="n">
        <v>0.01</v>
      </c>
      <c r="J105" s="14" t="inlineStr">
        <is>
          <t>Elasticities row 261</t>
        </is>
      </c>
    </row>
    <row r="106">
      <c r="A106" s="14" t="inlineStr">
        <is>
          <t>aei|coa|res</t>
        </is>
      </c>
      <c r="B106" s="14" t="inlineStr">
        <is>
          <t>aei</t>
        </is>
      </c>
      <c r="C106" s="14" t="inlineStr">
        <is>
          <t>coa</t>
        </is>
      </c>
      <c r="D106" s="14" t="inlineStr">
        <is>
          <t>res</t>
        </is>
      </c>
      <c r="E106" s="14" t="inlineStr">
        <is>
          <t>eff_imp_coa</t>
        </is>
      </c>
      <c r="F106" s="14" t="n">
        <v>0.005</v>
      </c>
      <c r="G106" s="14" t="n">
        <v>0.005</v>
      </c>
      <c r="H106" s="14" t="n">
        <v>0.005</v>
      </c>
      <c r="I106" s="14" t="n">
        <v>0.005</v>
      </c>
      <c r="J106" s="14" t="inlineStr">
        <is>
          <t>Elasticities row 263</t>
        </is>
      </c>
    </row>
    <row r="107">
      <c r="A107" s="14" t="inlineStr">
        <is>
          <t>aei|nga|res</t>
        </is>
      </c>
      <c r="B107" s="14" t="inlineStr">
        <is>
          <t>aei</t>
        </is>
      </c>
      <c r="C107" s="14" t="inlineStr">
        <is>
          <t>nga</t>
        </is>
      </c>
      <c r="D107" s="14" t="inlineStr">
        <is>
          <t>res</t>
        </is>
      </c>
      <c r="E107" s="14" t="inlineStr">
        <is>
          <t>eff_imp_nga</t>
        </is>
      </c>
      <c r="F107" s="14" t="n">
        <v>0.01</v>
      </c>
      <c r="G107" s="14" t="n">
        <v>0.01</v>
      </c>
      <c r="H107" s="14" t="n">
        <v>0.01</v>
      </c>
      <c r="I107" s="14" t="n">
        <v>0.01</v>
      </c>
      <c r="J107" s="14" t="inlineStr">
        <is>
          <t>Elasticities row 264</t>
        </is>
      </c>
    </row>
    <row r="108">
      <c r="A108" s="14" t="inlineStr">
        <is>
          <t>aei|oil|res</t>
        </is>
      </c>
      <c r="B108" s="14" t="inlineStr">
        <is>
          <t>aei</t>
        </is>
      </c>
      <c r="C108" s="14" t="inlineStr">
        <is>
          <t>oil</t>
        </is>
      </c>
      <c r="D108" s="14" t="inlineStr">
        <is>
          <t>res</t>
        </is>
      </c>
      <c r="E108" s="14" t="inlineStr">
        <is>
          <t>eff_imp_oil</t>
        </is>
      </c>
      <c r="F108" s="14" t="n">
        <v>0.005</v>
      </c>
      <c r="G108" s="14" t="n">
        <v>0.005</v>
      </c>
      <c r="H108" s="14" t="n">
        <v>0.005</v>
      </c>
      <c r="I108" s="14" t="n">
        <v>0.005</v>
      </c>
      <c r="J108" s="14" t="inlineStr">
        <is>
          <t>Elasticities row 265</t>
        </is>
      </c>
    </row>
    <row r="109">
      <c r="A109" s="14" t="inlineStr">
        <is>
          <t>aei|bio|res</t>
        </is>
      </c>
      <c r="B109" s="14" t="inlineStr">
        <is>
          <t>aei</t>
        </is>
      </c>
      <c r="C109" s="14" t="inlineStr">
        <is>
          <t>bio</t>
        </is>
      </c>
      <c r="D109" s="14" t="inlineStr">
        <is>
          <t>res</t>
        </is>
      </c>
      <c r="E109" s="14" t="inlineStr">
        <is>
          <t>eff_imp_bio</t>
        </is>
      </c>
      <c r="F109" s="14" t="n">
        <v>0.005</v>
      </c>
      <c r="G109" s="14" t="n">
        <v>0.005</v>
      </c>
      <c r="H109" s="14" t="n">
        <v>0.005</v>
      </c>
      <c r="I109" s="14" t="n">
        <v>0.005</v>
      </c>
      <c r="J109" s="14" t="inlineStr">
        <is>
          <t>Elasticities row 266</t>
        </is>
      </c>
    </row>
    <row r="110">
      <c r="A110" s="14" t="inlineStr">
        <is>
          <t>aei|ren|res</t>
        </is>
      </c>
      <c r="B110" s="14" t="inlineStr">
        <is>
          <t>aei</t>
        </is>
      </c>
      <c r="C110" s="14" t="inlineStr">
        <is>
          <t>ren</t>
        </is>
      </c>
      <c r="D110" s="14" t="inlineStr">
        <is>
          <t>res</t>
        </is>
      </c>
      <c r="E110" s="14" t="inlineStr">
        <is>
          <t>eff_imp_ren</t>
        </is>
      </c>
      <c r="F110" s="14" t="n">
        <v>0.005</v>
      </c>
      <c r="G110" s="14" t="n">
        <v>0.005</v>
      </c>
      <c r="H110" s="14" t="n">
        <v>0.005</v>
      </c>
      <c r="I110" s="14" t="n">
        <v>0.005</v>
      </c>
      <c r="J110" s="14" t="inlineStr">
        <is>
          <t>Elasticities row 267</t>
        </is>
      </c>
    </row>
    <row r="111">
      <c r="A111" s="14" t="inlineStr">
        <is>
          <t>aei|ecy|res</t>
        </is>
      </c>
      <c r="B111" s="14" t="inlineStr">
        <is>
          <t>aei</t>
        </is>
      </c>
      <c r="C111" s="14" t="inlineStr">
        <is>
          <t>ecy</t>
        </is>
      </c>
      <c r="D111" s="14" t="inlineStr">
        <is>
          <t>res</t>
        </is>
      </c>
      <c r="E111" s="14" t="inlineStr">
        <is>
          <t>eff_imp_ecy</t>
        </is>
      </c>
      <c r="F111" s="14" t="n">
        <v>0.005</v>
      </c>
      <c r="G111" s="14" t="n">
        <v>0.005</v>
      </c>
      <c r="H111" s="14" t="n">
        <v>0.005</v>
      </c>
      <c r="I111" s="14" t="n">
        <v>0.005</v>
      </c>
      <c r="J111" s="14" t="inlineStr">
        <is>
          <t>Elasticities row 268</t>
        </is>
      </c>
    </row>
    <row r="112">
      <c r="A112" s="14" t="inlineStr">
        <is>
          <t>aei|coa|ind</t>
        </is>
      </c>
      <c r="B112" s="14" t="inlineStr">
        <is>
          <t>aei</t>
        </is>
      </c>
      <c r="C112" s="14" t="inlineStr">
        <is>
          <t>coa</t>
        </is>
      </c>
      <c r="D112" s="14" t="inlineStr">
        <is>
          <t>ind</t>
        </is>
      </c>
      <c r="E112" s="14" t="inlineStr">
        <is>
          <t>eff_imp_coa</t>
        </is>
      </c>
      <c r="F112" s="14" t="n">
        <v>0.005</v>
      </c>
      <c r="G112" s="14" t="n">
        <v>0.005</v>
      </c>
      <c r="H112" s="14" t="n">
        <v>0.005</v>
      </c>
      <c r="I112" s="14" t="n">
        <v>0.005</v>
      </c>
      <c r="J112" s="14" t="inlineStr">
        <is>
          <t>Elasticities row 270</t>
        </is>
      </c>
    </row>
    <row r="113">
      <c r="A113" s="14" t="inlineStr">
        <is>
          <t>aei|nga|ind</t>
        </is>
      </c>
      <c r="B113" s="14" t="inlineStr">
        <is>
          <t>aei</t>
        </is>
      </c>
      <c r="C113" s="14" t="inlineStr">
        <is>
          <t>nga</t>
        </is>
      </c>
      <c r="D113" s="14" t="inlineStr">
        <is>
          <t>ind</t>
        </is>
      </c>
      <c r="E113" s="14" t="inlineStr">
        <is>
          <t>eff_imp_nga</t>
        </is>
      </c>
      <c r="F113" s="14" t="n">
        <v>0.01</v>
      </c>
      <c r="G113" s="14" t="n">
        <v>0.01</v>
      </c>
      <c r="H113" s="14" t="n">
        <v>0.01</v>
      </c>
      <c r="I113" s="14" t="n">
        <v>0.01</v>
      </c>
      <c r="J113" s="14" t="inlineStr">
        <is>
          <t>Elasticities row 271</t>
        </is>
      </c>
    </row>
    <row r="114">
      <c r="A114" s="14" t="inlineStr">
        <is>
          <t>aei|oil|ind</t>
        </is>
      </c>
      <c r="B114" s="14" t="inlineStr">
        <is>
          <t>aei</t>
        </is>
      </c>
      <c r="C114" s="14" t="inlineStr">
        <is>
          <t>oil</t>
        </is>
      </c>
      <c r="D114" s="14" t="inlineStr">
        <is>
          <t>ind</t>
        </is>
      </c>
      <c r="E114" s="14" t="inlineStr">
        <is>
          <t>eff_imp_oil</t>
        </is>
      </c>
      <c r="F114" s="14" t="n">
        <v>0.005</v>
      </c>
      <c r="G114" s="14" t="n">
        <v>0.005</v>
      </c>
      <c r="H114" s="14" t="n">
        <v>0.005</v>
      </c>
      <c r="I114" s="14" t="n">
        <v>0.005</v>
      </c>
      <c r="J114" s="14" t="inlineStr">
        <is>
          <t>Elasticities row 272</t>
        </is>
      </c>
    </row>
    <row r="115">
      <c r="A115" s="14" t="inlineStr">
        <is>
          <t>aei|bio|ind</t>
        </is>
      </c>
      <c r="B115" s="14" t="inlineStr">
        <is>
          <t>aei</t>
        </is>
      </c>
      <c r="C115" s="14" t="inlineStr">
        <is>
          <t>bio</t>
        </is>
      </c>
      <c r="D115" s="14" t="inlineStr">
        <is>
          <t>ind</t>
        </is>
      </c>
      <c r="E115" s="14" t="inlineStr">
        <is>
          <t>eff_imp_bio</t>
        </is>
      </c>
      <c r="F115" s="14" t="n">
        <v>0.005</v>
      </c>
      <c r="G115" s="14" t="n">
        <v>0.005</v>
      </c>
      <c r="H115" s="14" t="n">
        <v>0.005</v>
      </c>
      <c r="I115" s="14" t="n">
        <v>0.005</v>
      </c>
      <c r="J115" s="14" t="inlineStr">
        <is>
          <t>Elasticities row 273</t>
        </is>
      </c>
    </row>
    <row r="116">
      <c r="A116" s="14" t="inlineStr">
        <is>
          <t>aei|ren|ind</t>
        </is>
      </c>
      <c r="B116" s="14" t="inlineStr">
        <is>
          <t>aei</t>
        </is>
      </c>
      <c r="C116" s="14" t="inlineStr">
        <is>
          <t>ren</t>
        </is>
      </c>
      <c r="D116" s="14" t="inlineStr">
        <is>
          <t>ind</t>
        </is>
      </c>
      <c r="E116" s="14" t="inlineStr">
        <is>
          <t>eff_imp_ren</t>
        </is>
      </c>
      <c r="F116" s="14" t="n">
        <v>0.005</v>
      </c>
      <c r="G116" s="14" t="n">
        <v>0.005</v>
      </c>
      <c r="H116" s="14" t="n">
        <v>0.005</v>
      </c>
      <c r="I116" s="14" t="n">
        <v>0.005</v>
      </c>
      <c r="J116" s="14" t="inlineStr">
        <is>
          <t>Elasticities row 274</t>
        </is>
      </c>
    </row>
    <row r="117">
      <c r="A117" s="14" t="inlineStr">
        <is>
          <t>aei|ecy|ind</t>
        </is>
      </c>
      <c r="B117" s="14" t="inlineStr">
        <is>
          <t>aei</t>
        </is>
      </c>
      <c r="C117" s="14" t="inlineStr">
        <is>
          <t>ecy</t>
        </is>
      </c>
      <c r="D117" s="14" t="inlineStr">
        <is>
          <t>ind</t>
        </is>
      </c>
      <c r="E117" s="14" t="inlineStr">
        <is>
          <t>eff_imp_ecy</t>
        </is>
      </c>
      <c r="F117" s="14" t="n">
        <v>0.005</v>
      </c>
      <c r="G117" s="14" t="n">
        <v>0.005</v>
      </c>
      <c r="H117" s="14" t="n">
        <v>0.005</v>
      </c>
      <c r="I117" s="14" t="n">
        <v>0.005</v>
      </c>
      <c r="J117" s="14" t="inlineStr">
        <is>
          <t>Elasticities row 275</t>
        </is>
      </c>
    </row>
    <row r="118">
      <c r="A118" s="14" t="inlineStr">
        <is>
          <t>aei|coa|srv</t>
        </is>
      </c>
      <c r="B118" s="14" t="inlineStr">
        <is>
          <t>aei</t>
        </is>
      </c>
      <c r="C118" s="14" t="inlineStr">
        <is>
          <t>coa</t>
        </is>
      </c>
      <c r="D118" s="14" t="inlineStr">
        <is>
          <t>srv</t>
        </is>
      </c>
      <c r="E118" s="14" t="inlineStr">
        <is>
          <t>eff_imp_coa</t>
        </is>
      </c>
      <c r="F118" s="14" t="n">
        <v>0.005</v>
      </c>
      <c r="G118" s="14" t="n">
        <v>0.005</v>
      </c>
      <c r="H118" s="14" t="n">
        <v>0.005</v>
      </c>
      <c r="I118" s="14" t="n">
        <v>0.005</v>
      </c>
      <c r="J118" s="14" t="inlineStr">
        <is>
          <t>Elasticities row 277</t>
        </is>
      </c>
    </row>
    <row r="119">
      <c r="A119" s="14" t="inlineStr">
        <is>
          <t>aei|nga|srv</t>
        </is>
      </c>
      <c r="B119" s="14" t="inlineStr">
        <is>
          <t>aei</t>
        </is>
      </c>
      <c r="C119" s="14" t="inlineStr">
        <is>
          <t>nga</t>
        </is>
      </c>
      <c r="D119" s="14" t="inlineStr">
        <is>
          <t>srv</t>
        </is>
      </c>
      <c r="E119" s="14" t="inlineStr">
        <is>
          <t>eff_imp_nga</t>
        </is>
      </c>
      <c r="F119" s="14" t="n">
        <v>0.01</v>
      </c>
      <c r="G119" s="14" t="n">
        <v>0.01</v>
      </c>
      <c r="H119" s="14" t="n">
        <v>0.01</v>
      </c>
      <c r="I119" s="14" t="n">
        <v>0.01</v>
      </c>
      <c r="J119" s="14" t="inlineStr">
        <is>
          <t>Elasticities row 278</t>
        </is>
      </c>
    </row>
    <row r="120">
      <c r="A120" s="14" t="inlineStr">
        <is>
          <t>aei|oil|srv</t>
        </is>
      </c>
      <c r="B120" s="14" t="inlineStr">
        <is>
          <t>aei</t>
        </is>
      </c>
      <c r="C120" s="14" t="inlineStr">
        <is>
          <t>oil</t>
        </is>
      </c>
      <c r="D120" s="14" t="inlineStr">
        <is>
          <t>srv</t>
        </is>
      </c>
      <c r="E120" s="14" t="inlineStr">
        <is>
          <t>eff_imp_oil</t>
        </is>
      </c>
      <c r="F120" s="14" t="n">
        <v>0.005</v>
      </c>
      <c r="G120" s="14" t="n">
        <v>0.005</v>
      </c>
      <c r="H120" s="14" t="n">
        <v>0.005</v>
      </c>
      <c r="I120" s="14" t="n">
        <v>0.005</v>
      </c>
      <c r="J120" s="14" t="inlineStr">
        <is>
          <t>Elasticities row 279</t>
        </is>
      </c>
    </row>
    <row r="121">
      <c r="A121" s="14" t="inlineStr">
        <is>
          <t>aei|bio|srv</t>
        </is>
      </c>
      <c r="B121" s="14" t="inlineStr">
        <is>
          <t>aei</t>
        </is>
      </c>
      <c r="C121" s="14" t="inlineStr">
        <is>
          <t>bio</t>
        </is>
      </c>
      <c r="D121" s="14" t="inlineStr">
        <is>
          <t>srv</t>
        </is>
      </c>
      <c r="E121" s="14" t="inlineStr">
        <is>
          <t>eff_imp_bio</t>
        </is>
      </c>
      <c r="F121" s="14" t="n">
        <v>0.005</v>
      </c>
      <c r="G121" s="14" t="n">
        <v>0.005</v>
      </c>
      <c r="H121" s="14" t="n">
        <v>0.005</v>
      </c>
      <c r="I121" s="14" t="n">
        <v>0.005</v>
      </c>
      <c r="J121" s="14" t="inlineStr">
        <is>
          <t>Elasticities row 280</t>
        </is>
      </c>
    </row>
    <row r="122">
      <c r="A122" s="14" t="inlineStr">
        <is>
          <t>aei|ren|srv</t>
        </is>
      </c>
      <c r="B122" s="14" t="inlineStr">
        <is>
          <t>aei</t>
        </is>
      </c>
      <c r="C122" s="14" t="inlineStr">
        <is>
          <t>ren</t>
        </is>
      </c>
      <c r="D122" s="14" t="inlineStr">
        <is>
          <t>srv</t>
        </is>
      </c>
      <c r="E122" s="14" t="inlineStr">
        <is>
          <t>eff_imp_ren</t>
        </is>
      </c>
      <c r="F122" s="14" t="n">
        <v>0.005</v>
      </c>
      <c r="G122" s="14" t="n">
        <v>0.005</v>
      </c>
      <c r="H122" s="14" t="n">
        <v>0.005</v>
      </c>
      <c r="I122" s="14" t="n">
        <v>0.005</v>
      </c>
      <c r="J122" s="14" t="inlineStr">
        <is>
          <t>Elasticities row 281</t>
        </is>
      </c>
    </row>
    <row r="123">
      <c r="A123" s="14" t="inlineStr">
        <is>
          <t>aei|ecy|srv</t>
        </is>
      </c>
      <c r="B123" s="14" t="inlineStr">
        <is>
          <t>aei</t>
        </is>
      </c>
      <c r="C123" s="14" t="inlineStr">
        <is>
          <t>ecy</t>
        </is>
      </c>
      <c r="D123" s="14" t="inlineStr">
        <is>
          <t>srv</t>
        </is>
      </c>
      <c r="E123" s="14" t="inlineStr">
        <is>
          <t>eff_imp_ecy</t>
        </is>
      </c>
      <c r="F123" s="14" t="n">
        <v>0.005</v>
      </c>
      <c r="G123" s="14" t="n">
        <v>0.005</v>
      </c>
      <c r="H123" s="14" t="n">
        <v>0.005</v>
      </c>
      <c r="I123" s="14" t="n">
        <v>0.005</v>
      </c>
      <c r="J123" s="14" t="inlineStr">
        <is>
          <t>Elasticities row 282</t>
        </is>
      </c>
    </row>
  </sheetData>
  <pageMargins left="0.75" right="0.75" top="1" bottom="1" header="0.5" footer="0.5"/>
</worksheet>
</file>

<file path=xl/worksheets/sheet20.xml><?xml version="1.0" encoding="utf-8"?>
<worksheet xmlns="http://schemas.openxmlformats.org/spreadsheetml/2006/main">
  <sheetPr codeName="Sheet20">
    <outlinePr summaryBelow="1" summaryRight="1"/>
    <pageSetUpPr/>
  </sheetPr>
  <dimension ref="A1:CU887"/>
  <sheetViews>
    <sheetView tabSelected="0" workbookViewId="0">
      <pane xSplit="5" ySplit="5" topLeftCell="F6" activePane="bottomRight" state="frozen"/>
      <selection pane="topRight"/>
      <selection pane="bottomLeft"/>
      <selection pane="bottomRight" activeCell="A1" sqref="A1"/>
    </sheetView>
  </sheetViews>
  <sheetFormatPr baseColWidth="8" defaultRowHeight="15"/>
  <sheetData>
    <row r="1">
      <c r="A1" s="14" t="inlineStr">
        <is>
          <t>Fuels:</t>
        </is>
      </c>
      <c r="B1" s="109" t="inlineStr">
        <is>
          <t>Bright yellow / red = 291 cells changed or added from the corrected Egypt price block (user, 2026-10-09; data/prices_dom_changes.csv)</t>
        </is>
      </c>
      <c r="F1" s="14" t="inlineStr">
        <is>
          <t>all</t>
        </is>
      </c>
      <c r="G1" s="14" t="inlineStr">
        <is>
          <t>Coal</t>
        </is>
      </c>
      <c r="Y1" s="14" t="inlineStr">
        <is>
          <t>Natural gas</t>
        </is>
      </c>
      <c r="AQ1" s="14" t="inlineStr">
        <is>
          <t>Gasoline</t>
        </is>
      </c>
      <c r="AW1" s="14" t="inlineStr">
        <is>
          <t>Diesel</t>
        </is>
      </c>
      <c r="BC1" s="14" t="inlineStr">
        <is>
          <t>LPG</t>
        </is>
      </c>
      <c r="BI1" s="14" t="inlineStr">
        <is>
          <t>Kerosene</t>
        </is>
      </c>
      <c r="BO1" s="14" t="inlineStr">
        <is>
          <t>Electricity</t>
        </is>
      </c>
      <c r="BY1" s="14" t="inlineStr">
        <is>
          <t>Biomass</t>
        </is>
      </c>
      <c r="CC1" s="14" t="inlineStr">
        <is>
          <t>Other oil products</t>
        </is>
      </c>
      <c r="CI1" s="14" t="inlineStr">
        <is>
          <t>Override - no subsidy</t>
        </is>
      </c>
      <c r="CK1" s="14" t="inlineStr">
        <is>
          <t>Producer subsidies</t>
        </is>
      </c>
      <c r="CP1" s="14" t="inlineStr">
        <is>
          <t>Portion from domestic production and costs</t>
        </is>
      </c>
      <c r="CT1" s="14" t="inlineStr">
        <is>
          <t>International prices</t>
        </is>
      </c>
    </row>
    <row r="2">
      <c r="A2" s="14" t="inlineStr">
        <is>
          <t>Sectors:</t>
        </is>
      </c>
      <c r="F2" s="14" t="inlineStr">
        <is>
          <t>all</t>
        </is>
      </c>
      <c r="G2" s="14" t="inlineStr">
        <is>
          <t>Power sector</t>
        </is>
      </c>
      <c r="M2" s="14" t="inlineStr">
        <is>
          <t>Industry</t>
        </is>
      </c>
      <c r="S2" s="14" t="inlineStr">
        <is>
          <t>Residential</t>
        </is>
      </c>
      <c r="Y2" s="14" t="inlineStr">
        <is>
          <t>Power sector</t>
        </is>
      </c>
      <c r="AE2" s="14" t="inlineStr">
        <is>
          <t>Industry</t>
        </is>
      </c>
      <c r="AK2" s="14" t="inlineStr">
        <is>
          <t>Residential sector</t>
        </is>
      </c>
      <c r="AQ2" s="14" t="inlineStr">
        <is>
          <t>All</t>
        </is>
      </c>
      <c r="AW2" s="14" t="inlineStr">
        <is>
          <t>All</t>
        </is>
      </c>
      <c r="BC2" s="14" t="inlineStr">
        <is>
          <t>All</t>
        </is>
      </c>
      <c r="BI2" s="14" t="inlineStr">
        <is>
          <t>All</t>
        </is>
      </c>
      <c r="BO2" s="14" t="inlineStr">
        <is>
          <t>Industry</t>
        </is>
      </c>
      <c r="BT2" s="14" t="inlineStr">
        <is>
          <t>Residential sector</t>
        </is>
      </c>
      <c r="BY2" s="14" t="inlineStr">
        <is>
          <t>All</t>
        </is>
      </c>
      <c r="CC2" s="14" t="inlineStr">
        <is>
          <t>All</t>
        </is>
      </c>
      <c r="CI2" s="14" t="inlineStr">
        <is>
          <t>Electricity</t>
        </is>
      </c>
      <c r="CK2" s="14" t="inlineStr">
        <is>
          <t>Biomass</t>
        </is>
      </c>
      <c r="CL2" s="14" t="inlineStr">
        <is>
          <t>Coal</t>
        </is>
      </c>
      <c r="CM2" s="14" t="inlineStr">
        <is>
          <t>Electricity</t>
        </is>
      </c>
      <c r="CN2" s="14" t="inlineStr">
        <is>
          <t>Natural gas</t>
        </is>
      </c>
      <c r="CO2" s="14" t="inlineStr">
        <is>
          <t>Oil</t>
        </is>
      </c>
      <c r="CP2" s="14" t="inlineStr">
        <is>
          <t>Coal</t>
        </is>
      </c>
      <c r="CR2" s="14" t="inlineStr">
        <is>
          <t>Natural gas</t>
        </is>
      </c>
      <c r="CT2" s="14" t="inlineStr">
        <is>
          <t>Coal</t>
        </is>
      </c>
      <c r="CU2" s="14" t="inlineStr">
        <is>
          <t>Natural gas</t>
        </is>
      </c>
    </row>
    <row r="3">
      <c r="A3" s="14" t="inlineStr">
        <is>
          <t>Indicators:</t>
        </is>
      </c>
      <c r="F3" s="14" t="inlineStr">
        <is>
          <t>General 
VAT rate</t>
        </is>
      </c>
      <c r="G3" s="14" t="inlineStr">
        <is>
          <t>supply cost</t>
        </is>
      </c>
      <c r="H3" s="14" t="inlineStr">
        <is>
          <t>margin over int. prices</t>
        </is>
      </c>
      <c r="I3" s="14" t="inlineStr">
        <is>
          <t>Excise &amp; other taxes</t>
        </is>
      </c>
      <c r="J3" s="14" t="inlineStr">
        <is>
          <t>retail price</t>
        </is>
      </c>
      <c r="K3" s="14" t="inlineStr">
        <is>
          <t>VAT rate</t>
        </is>
      </c>
      <c r="L3" s="14" t="inlineStr">
        <is>
          <t>Passthrough</t>
        </is>
      </c>
      <c r="M3" s="14" t="inlineStr">
        <is>
          <t>supply cost</t>
        </is>
      </c>
      <c r="N3" s="14" t="inlineStr">
        <is>
          <t>margin over int. prices</t>
        </is>
      </c>
      <c r="O3" s="14" t="inlineStr">
        <is>
          <t>Excise &amp; other taxes</t>
        </is>
      </c>
      <c r="P3" s="14" t="inlineStr">
        <is>
          <t>retail price</t>
        </is>
      </c>
      <c r="Q3" s="14" t="inlineStr">
        <is>
          <t>VAT rate</t>
        </is>
      </c>
      <c r="R3" s="14" t="inlineStr">
        <is>
          <t>Passthrough</t>
        </is>
      </c>
      <c r="S3" s="14" t="inlineStr">
        <is>
          <t>supply cost</t>
        </is>
      </c>
      <c r="T3" s="14" t="inlineStr">
        <is>
          <t>margin over int. prices</t>
        </is>
      </c>
      <c r="U3" s="14" t="inlineStr">
        <is>
          <t>Excise &amp; other taxes</t>
        </is>
      </c>
      <c r="V3" s="14" t="inlineStr">
        <is>
          <t>retail price</t>
        </is>
      </c>
      <c r="W3" s="14" t="inlineStr">
        <is>
          <t>VAT rate</t>
        </is>
      </c>
      <c r="X3" s="14" t="inlineStr">
        <is>
          <t>Passthrough</t>
        </is>
      </c>
      <c r="Y3" s="14" t="inlineStr">
        <is>
          <t>supply cost</t>
        </is>
      </c>
      <c r="Z3" s="14" t="inlineStr">
        <is>
          <t>margin over int. prices</t>
        </is>
      </c>
      <c r="AA3" s="14" t="inlineStr">
        <is>
          <t>Excise &amp; other taxes</t>
        </is>
      </c>
      <c r="AB3" s="14" t="inlineStr">
        <is>
          <t>retail price</t>
        </is>
      </c>
      <c r="AC3" s="14" t="inlineStr">
        <is>
          <t>VAT rate</t>
        </is>
      </c>
      <c r="AD3" s="14" t="inlineStr">
        <is>
          <t>Passthrough</t>
        </is>
      </c>
      <c r="AE3" s="14" t="inlineStr">
        <is>
          <t>supply cost</t>
        </is>
      </c>
      <c r="AF3" s="14" t="inlineStr">
        <is>
          <t>margin over int. prices</t>
        </is>
      </c>
      <c r="AG3" s="14" t="inlineStr">
        <is>
          <t>Excise &amp; other taxes</t>
        </is>
      </c>
      <c r="AH3" s="14" t="inlineStr">
        <is>
          <t>retail price</t>
        </is>
      </c>
      <c r="AI3" s="14" t="inlineStr">
        <is>
          <t>VAT rate</t>
        </is>
      </c>
      <c r="AJ3" s="14" t="inlineStr">
        <is>
          <t>Passthrough</t>
        </is>
      </c>
      <c r="AK3" s="14" t="inlineStr">
        <is>
          <t>supply cost</t>
        </is>
      </c>
      <c r="AL3" s="14" t="inlineStr">
        <is>
          <t>margin over int. prices</t>
        </is>
      </c>
      <c r="AM3" s="14" t="inlineStr">
        <is>
          <t>Excise &amp; other taxes</t>
        </is>
      </c>
      <c r="AN3" s="14" t="inlineStr">
        <is>
          <t>retail price</t>
        </is>
      </c>
      <c r="AO3" s="14" t="inlineStr">
        <is>
          <t>VAT rate</t>
        </is>
      </c>
      <c r="AP3" s="14" t="inlineStr">
        <is>
          <t>Passthrough</t>
        </is>
      </c>
      <c r="AQ3" s="14" t="inlineStr">
        <is>
          <t>supply cost</t>
        </is>
      </c>
      <c r="AR3" s="14" t="inlineStr">
        <is>
          <t>margin over int. prices</t>
        </is>
      </c>
      <c r="AS3" s="14" t="inlineStr">
        <is>
          <t>Excise &amp; other taxes</t>
        </is>
      </c>
      <c r="AT3" s="14" t="inlineStr">
        <is>
          <t>retail price</t>
        </is>
      </c>
      <c r="AU3" s="14" t="inlineStr">
        <is>
          <t>VAT rate</t>
        </is>
      </c>
      <c r="AV3" s="14" t="inlineStr">
        <is>
          <t>Passthrough</t>
        </is>
      </c>
      <c r="AW3" s="14" t="inlineStr">
        <is>
          <t>supply cost</t>
        </is>
      </c>
      <c r="AX3" s="14" t="inlineStr">
        <is>
          <t>margin over int. prices</t>
        </is>
      </c>
      <c r="AY3" s="14" t="inlineStr">
        <is>
          <t>Excise &amp; other taxes</t>
        </is>
      </c>
      <c r="AZ3" s="14" t="inlineStr">
        <is>
          <t>retail price</t>
        </is>
      </c>
      <c r="BA3" s="14" t="inlineStr">
        <is>
          <t>VAT rate</t>
        </is>
      </c>
      <c r="BB3" s="14" t="inlineStr">
        <is>
          <t>Passthrough</t>
        </is>
      </c>
      <c r="BC3" s="14" t="inlineStr">
        <is>
          <t>supply cost</t>
        </is>
      </c>
      <c r="BD3" s="14" t="inlineStr">
        <is>
          <t>margin over int. prices</t>
        </is>
      </c>
      <c r="BE3" s="14" t="inlineStr">
        <is>
          <t>Excise &amp; other taxes</t>
        </is>
      </c>
      <c r="BF3" s="14" t="inlineStr">
        <is>
          <t>retail price</t>
        </is>
      </c>
      <c r="BG3" s="14" t="inlineStr">
        <is>
          <t>VAT rate</t>
        </is>
      </c>
      <c r="BH3" s="14" t="inlineStr">
        <is>
          <t>Passthrough</t>
        </is>
      </c>
      <c r="BI3" s="14" t="inlineStr">
        <is>
          <t>supply cost</t>
        </is>
      </c>
      <c r="BJ3" s="14" t="inlineStr">
        <is>
          <t>margin over int. prices</t>
        </is>
      </c>
      <c r="BK3" s="14" t="inlineStr">
        <is>
          <t>Excise &amp; other taxes</t>
        </is>
      </c>
      <c r="BL3" s="14" t="inlineStr">
        <is>
          <t>retail price</t>
        </is>
      </c>
      <c r="BM3" s="14" t="inlineStr">
        <is>
          <t>VAT rate</t>
        </is>
      </c>
      <c r="BN3" s="14" t="inlineStr">
        <is>
          <t>Passthrough</t>
        </is>
      </c>
      <c r="BO3" s="14" t="inlineStr">
        <is>
          <t>supply cost</t>
        </is>
      </c>
      <c r="BP3" s="14" t="inlineStr">
        <is>
          <t>Excise &amp; other taxes</t>
        </is>
      </c>
      <c r="BQ3" s="14" t="inlineStr">
        <is>
          <t>retail price</t>
        </is>
      </c>
      <c r="BR3" s="14" t="inlineStr">
        <is>
          <t>VAT rate</t>
        </is>
      </c>
      <c r="BS3" s="14" t="inlineStr">
        <is>
          <t>Passthrough</t>
        </is>
      </c>
      <c r="BT3" s="14" t="inlineStr">
        <is>
          <t>supply cost</t>
        </is>
      </c>
      <c r="BU3" s="14" t="inlineStr">
        <is>
          <t>Excise &amp; other taxes</t>
        </is>
      </c>
      <c r="BV3" s="14" t="inlineStr">
        <is>
          <t>retail price</t>
        </is>
      </c>
      <c r="BW3" s="14" t="inlineStr">
        <is>
          <t>VAT rate</t>
        </is>
      </c>
      <c r="BX3" s="14" t="inlineStr">
        <is>
          <t>Passthrough</t>
        </is>
      </c>
      <c r="BY3" s="14" t="inlineStr">
        <is>
          <t>supply cost</t>
        </is>
      </c>
      <c r="BZ3" s="14" t="inlineStr">
        <is>
          <t>Excise &amp; other taxes</t>
        </is>
      </c>
      <c r="CA3" s="14" t="inlineStr">
        <is>
          <t>retail price</t>
        </is>
      </c>
      <c r="CB3" s="14" t="inlineStr">
        <is>
          <t>VAT rate</t>
        </is>
      </c>
      <c r="CC3" s="14" t="inlineStr">
        <is>
          <t>supply cost</t>
        </is>
      </c>
      <c r="CD3" s="14" t="inlineStr">
        <is>
          <t>margin over int. prices</t>
        </is>
      </c>
      <c r="CE3" s="14" t="inlineStr">
        <is>
          <t>Excise &amp; other taxes</t>
        </is>
      </c>
      <c r="CF3" s="14" t="inlineStr">
        <is>
          <t>retail price</t>
        </is>
      </c>
      <c r="CG3" s="14" t="inlineStr">
        <is>
          <t>VAT rate</t>
        </is>
      </c>
      <c r="CH3" s="14" t="inlineStr">
        <is>
          <t>Passthrough</t>
        </is>
      </c>
      <c r="CI3" s="14" t="inlineStr">
        <is>
          <t>Residential</t>
        </is>
      </c>
      <c r="CJ3" s="14" t="inlineStr">
        <is>
          <t>Industry</t>
        </is>
      </c>
      <c r="CK3" s="14" t="inlineStr">
        <is>
          <t>All</t>
        </is>
      </c>
      <c r="CL3" s="14" t="inlineStr">
        <is>
          <t>All</t>
        </is>
      </c>
      <c r="CM3" s="14" t="inlineStr">
        <is>
          <t>All</t>
        </is>
      </c>
      <c r="CN3" s="14" t="inlineStr">
        <is>
          <t>All</t>
        </is>
      </c>
      <c r="CO3" s="14" t="inlineStr">
        <is>
          <t>All</t>
        </is>
      </c>
      <c r="CP3" s="14" t="inlineStr">
        <is>
          <t>Portion from dom. prod.</t>
        </is>
      </c>
      <c r="CQ3" s="14" t="inlineStr">
        <is>
          <t>Dom. prod. costs</t>
        </is>
      </c>
      <c r="CR3" s="14" t="inlineStr">
        <is>
          <t>Portion from dom. prod.</t>
        </is>
      </c>
      <c r="CS3" s="14" t="inlineStr">
        <is>
          <t>Dom. prod. costs</t>
        </is>
      </c>
    </row>
    <row r="4">
      <c r="A4" s="14" t="inlineStr">
        <is>
          <t>Units:</t>
        </is>
      </c>
      <c r="F4" s="14" t="inlineStr">
        <is>
          <t>%</t>
        </is>
      </c>
      <c r="G4" s="14" t="inlineStr">
        <is>
          <t>current USD/GJ</t>
        </is>
      </c>
      <c r="H4" s="14" t="inlineStr">
        <is>
          <t>current USD/GJ</t>
        </is>
      </c>
      <c r="I4" s="14" t="inlineStr">
        <is>
          <t>current USD/GJ</t>
        </is>
      </c>
      <c r="J4" s="14" t="inlineStr">
        <is>
          <t>current USD/GJ</t>
        </is>
      </c>
      <c r="K4" s="14" t="inlineStr">
        <is>
          <t>%</t>
        </is>
      </c>
      <c r="L4" s="14" t="inlineStr">
        <is>
          <t>%</t>
        </is>
      </c>
      <c r="M4" s="14" t="inlineStr">
        <is>
          <t>current USD/GJ</t>
        </is>
      </c>
      <c r="N4" s="14" t="inlineStr">
        <is>
          <t>current USD/GJ</t>
        </is>
      </c>
      <c r="O4" s="14" t="inlineStr">
        <is>
          <t>current USD/GJ</t>
        </is>
      </c>
      <c r="P4" s="14" t="inlineStr">
        <is>
          <t>current USD/GJ</t>
        </is>
      </c>
      <c r="Q4" s="14" t="inlineStr">
        <is>
          <t>%</t>
        </is>
      </c>
      <c r="R4" s="14" t="inlineStr">
        <is>
          <t>%</t>
        </is>
      </c>
      <c r="S4" s="14" t="inlineStr">
        <is>
          <t>current USD/GJ</t>
        </is>
      </c>
      <c r="T4" s="14" t="inlineStr">
        <is>
          <t>current USD/GJ</t>
        </is>
      </c>
      <c r="U4" s="14" t="inlineStr">
        <is>
          <t>current USD/GJ</t>
        </is>
      </c>
      <c r="V4" s="14" t="inlineStr">
        <is>
          <t>current USD/GJ</t>
        </is>
      </c>
      <c r="W4" s="14" t="inlineStr">
        <is>
          <t>%</t>
        </is>
      </c>
      <c r="X4" s="14" t="inlineStr">
        <is>
          <t>%</t>
        </is>
      </c>
      <c r="Y4" s="14" t="inlineStr">
        <is>
          <t>current USD/GJ</t>
        </is>
      </c>
      <c r="Z4" s="14" t="inlineStr">
        <is>
          <t>current USD/GJ</t>
        </is>
      </c>
      <c r="AA4" s="14" t="inlineStr">
        <is>
          <t>current USD/GJ</t>
        </is>
      </c>
      <c r="AB4" s="14" t="inlineStr">
        <is>
          <t>current USD/GJ</t>
        </is>
      </c>
      <c r="AC4" s="14" t="inlineStr">
        <is>
          <t>%</t>
        </is>
      </c>
      <c r="AD4" s="14" t="inlineStr">
        <is>
          <t>%</t>
        </is>
      </c>
      <c r="AE4" s="14" t="inlineStr">
        <is>
          <t>current USD/GJ</t>
        </is>
      </c>
      <c r="AF4" s="14" t="inlineStr">
        <is>
          <t>current USD/GJ</t>
        </is>
      </c>
      <c r="AG4" s="14" t="inlineStr">
        <is>
          <t>current USD/GJ</t>
        </is>
      </c>
      <c r="AH4" s="14" t="inlineStr">
        <is>
          <t>current USD/GJ</t>
        </is>
      </c>
      <c r="AI4" s="14" t="inlineStr">
        <is>
          <t>%</t>
        </is>
      </c>
      <c r="AJ4" s="14" t="inlineStr">
        <is>
          <t>%</t>
        </is>
      </c>
      <c r="AK4" s="14" t="inlineStr">
        <is>
          <t>current USD/GJ</t>
        </is>
      </c>
      <c r="AL4" s="14" t="inlineStr">
        <is>
          <t>current USD/GJ</t>
        </is>
      </c>
      <c r="AM4" s="14" t="inlineStr">
        <is>
          <t>current USD/GJ</t>
        </is>
      </c>
      <c r="AN4" s="14" t="inlineStr">
        <is>
          <t>current USD/GJ</t>
        </is>
      </c>
      <c r="AO4" s="14" t="inlineStr">
        <is>
          <t>%</t>
        </is>
      </c>
      <c r="AP4" s="14" t="inlineStr">
        <is>
          <t>%</t>
        </is>
      </c>
      <c r="AQ4" s="14" t="inlineStr">
        <is>
          <t>current USD/lit</t>
        </is>
      </c>
      <c r="AR4" s="14" t="inlineStr">
        <is>
          <t>current USD/lit</t>
        </is>
      </c>
      <c r="AS4" s="14" t="inlineStr">
        <is>
          <t>current USD/lit</t>
        </is>
      </c>
      <c r="AT4" s="14" t="inlineStr">
        <is>
          <t>current USD/lit</t>
        </is>
      </c>
      <c r="AU4" s="14" t="inlineStr">
        <is>
          <t>%</t>
        </is>
      </c>
      <c r="AV4" s="14" t="inlineStr">
        <is>
          <t>%</t>
        </is>
      </c>
      <c r="AW4" s="14" t="inlineStr">
        <is>
          <t>current USD/lit</t>
        </is>
      </c>
      <c r="AX4" s="14" t="inlineStr">
        <is>
          <t>current USD/lit</t>
        </is>
      </c>
      <c r="AY4" s="14" t="inlineStr">
        <is>
          <t>current USD/lit</t>
        </is>
      </c>
      <c r="AZ4" s="14" t="inlineStr">
        <is>
          <t>current USD/lit</t>
        </is>
      </c>
      <c r="BA4" s="14" t="inlineStr">
        <is>
          <t>%</t>
        </is>
      </c>
      <c r="BB4" s="14" t="inlineStr">
        <is>
          <t>%</t>
        </is>
      </c>
      <c r="BC4" s="14" t="inlineStr">
        <is>
          <t>current USD/lit</t>
        </is>
      </c>
      <c r="BD4" s="14" t="inlineStr">
        <is>
          <t>current USD/lit</t>
        </is>
      </c>
      <c r="BE4" s="14" t="inlineStr">
        <is>
          <t>current USD/lit</t>
        </is>
      </c>
      <c r="BF4" s="14" t="inlineStr">
        <is>
          <t>current USD/lit</t>
        </is>
      </c>
      <c r="BG4" s="14" t="inlineStr">
        <is>
          <t>%</t>
        </is>
      </c>
      <c r="BH4" s="14" t="inlineStr">
        <is>
          <t>%</t>
        </is>
      </c>
      <c r="BI4" s="14" t="inlineStr">
        <is>
          <t>current USD/lit</t>
        </is>
      </c>
      <c r="BJ4" s="14" t="inlineStr">
        <is>
          <t>current USD/lit</t>
        </is>
      </c>
      <c r="BK4" s="14" t="inlineStr">
        <is>
          <t>current USD/lit</t>
        </is>
      </c>
      <c r="BL4" s="14" t="inlineStr">
        <is>
          <t>current USD/lit</t>
        </is>
      </c>
      <c r="BM4" s="14" t="inlineStr">
        <is>
          <t>%</t>
        </is>
      </c>
      <c r="BN4" s="14" t="inlineStr">
        <is>
          <t>%</t>
        </is>
      </c>
      <c r="BO4" s="14" t="inlineStr">
        <is>
          <t>current USD/kWh</t>
        </is>
      </c>
      <c r="BP4" s="14" t="inlineStr">
        <is>
          <t>current USD/kWh</t>
        </is>
      </c>
      <c r="BQ4" s="14" t="inlineStr">
        <is>
          <t>current USD/kWh</t>
        </is>
      </c>
      <c r="BR4" s="14" t="inlineStr">
        <is>
          <t>%</t>
        </is>
      </c>
      <c r="BS4" s="14" t="inlineStr">
        <is>
          <t>%</t>
        </is>
      </c>
      <c r="BT4" s="14" t="inlineStr">
        <is>
          <t>current USD/kWh</t>
        </is>
      </c>
      <c r="BU4" s="14" t="inlineStr">
        <is>
          <t>current USD/kWh</t>
        </is>
      </c>
      <c r="BV4" s="14" t="inlineStr">
        <is>
          <t>current USD/kWh</t>
        </is>
      </c>
      <c r="BW4" s="14" t="inlineStr">
        <is>
          <t>%</t>
        </is>
      </c>
      <c r="BX4" s="14" t="inlineStr">
        <is>
          <t>%</t>
        </is>
      </c>
      <c r="BY4" s="14" t="inlineStr">
        <is>
          <t>current USD/GJ</t>
        </is>
      </c>
      <c r="BZ4" s="14" t="inlineStr">
        <is>
          <t>current USD/GJ</t>
        </is>
      </c>
      <c r="CA4" s="14" t="inlineStr">
        <is>
          <t>current USD/GJ</t>
        </is>
      </c>
      <c r="CB4" s="14" t="inlineStr">
        <is>
          <t>%</t>
        </is>
      </c>
      <c r="CC4" s="14" t="inlineStr">
        <is>
          <t>current USD/bbl</t>
        </is>
      </c>
      <c r="CD4" s="14" t="inlineStr">
        <is>
          <t>current USD/bbl</t>
        </is>
      </c>
      <c r="CE4" s="14" t="inlineStr">
        <is>
          <t>current USD/bbl</t>
        </is>
      </c>
      <c r="CF4" s="14" t="inlineStr">
        <is>
          <t>current USD/bbl</t>
        </is>
      </c>
      <c r="CG4" s="14" t="inlineStr">
        <is>
          <t>%</t>
        </is>
      </c>
      <c r="CH4" s="14" t="inlineStr">
        <is>
          <t>%</t>
        </is>
      </c>
      <c r="CI4" s="14" t="inlineStr">
        <is>
          <t>1 = override</t>
        </is>
      </c>
      <c r="CK4" s="14" t="inlineStr">
        <is>
          <t>USD bln</t>
        </is>
      </c>
      <c r="CL4" s="14" t="inlineStr">
        <is>
          <t>USD bln</t>
        </is>
      </c>
      <c r="CM4" s="14" t="inlineStr">
        <is>
          <t>USD bln</t>
        </is>
      </c>
      <c r="CN4" s="14" t="inlineStr">
        <is>
          <t>USD bln</t>
        </is>
      </c>
      <c r="CO4" s="14" t="inlineStr">
        <is>
          <t>USD bln</t>
        </is>
      </c>
      <c r="CP4" s="14" t="inlineStr">
        <is>
          <t>%</t>
        </is>
      </c>
      <c r="CQ4" s="14" t="inlineStr">
        <is>
          <t>$/GJ</t>
        </is>
      </c>
      <c r="CR4" s="14" t="inlineStr">
        <is>
          <t>%</t>
        </is>
      </c>
      <c r="CS4" s="14" t="inlineStr">
        <is>
          <t>$/GJ</t>
        </is>
      </c>
      <c r="CT4" s="14" t="inlineStr">
        <is>
          <t>$/GJ</t>
        </is>
      </c>
      <c r="CU4" s="14" t="inlineStr">
        <is>
          <t>$/GJ</t>
        </is>
      </c>
    </row>
    <row r="5">
      <c r="A5" s="83" t="inlineStr">
        <is>
          <t>country_year</t>
        </is>
      </c>
      <c r="B5" s="83" t="inlineStr">
        <is>
          <t>countrycode_weo</t>
        </is>
      </c>
      <c r="C5" s="83" t="inlineStr">
        <is>
          <t>countrycode</t>
        </is>
      </c>
      <c r="D5" s="83" t="inlineStr">
        <is>
          <t>countryname</t>
        </is>
      </c>
      <c r="E5" s="83" t="inlineStr">
        <is>
          <t>year</t>
        </is>
      </c>
      <c r="F5" s="83" t="inlineStr">
        <is>
          <t>VAT_WEO</t>
        </is>
      </c>
      <c r="G5" s="83" t="inlineStr">
        <is>
          <t>mit.sp.coa.pow</t>
        </is>
      </c>
      <c r="H5" s="83" t="inlineStr">
        <is>
          <t>mit.mar.coa.pow</t>
        </is>
      </c>
      <c r="I5" s="83" t="inlineStr">
        <is>
          <t>mit.txo.coa.pow</t>
        </is>
      </c>
      <c r="J5" s="83" t="inlineStr">
        <is>
          <t>mit.rp.coa.pow</t>
        </is>
      </c>
      <c r="K5" s="83" t="inlineStr">
        <is>
          <t>mit.vatrate.coa.pow</t>
        </is>
      </c>
      <c r="L5" s="83" t="inlineStr">
        <is>
          <t>mit.ps.coa.pow</t>
        </is>
      </c>
      <c r="M5" s="83" t="inlineStr">
        <is>
          <t>mit.sp.coa.ind</t>
        </is>
      </c>
      <c r="N5" s="83" t="inlineStr">
        <is>
          <t>mit.mar.coa.ind</t>
        </is>
      </c>
      <c r="O5" s="83" t="inlineStr">
        <is>
          <t>mit.txo.coa.ind</t>
        </is>
      </c>
      <c r="P5" s="83" t="inlineStr">
        <is>
          <t>mit.rp.coa.ind</t>
        </is>
      </c>
      <c r="Q5" s="83" t="inlineStr">
        <is>
          <t>mit.vatrate.coa.ind</t>
        </is>
      </c>
      <c r="R5" s="83" t="inlineStr">
        <is>
          <t>mit.ps.coa.ind</t>
        </is>
      </c>
      <c r="S5" s="83" t="inlineStr">
        <is>
          <t>mit.sp.coa.res</t>
        </is>
      </c>
      <c r="T5" s="83" t="inlineStr">
        <is>
          <t>mit.mar.coa.res</t>
        </is>
      </c>
      <c r="U5" s="83" t="inlineStr">
        <is>
          <t>mit.txo.coa.res</t>
        </is>
      </c>
      <c r="V5" s="83" t="inlineStr">
        <is>
          <t>mit.rp.coa.res</t>
        </is>
      </c>
      <c r="W5" s="83" t="inlineStr">
        <is>
          <t>mit.vatrate.coa.res</t>
        </is>
      </c>
      <c r="X5" s="83" t="inlineStr">
        <is>
          <t>mit.ps.coa.res</t>
        </is>
      </c>
      <c r="Y5" s="83" t="inlineStr">
        <is>
          <t>mit.sp.nga.pow</t>
        </is>
      </c>
      <c r="Z5" s="83" t="inlineStr">
        <is>
          <t>mit.mar.nga.pow</t>
        </is>
      </c>
      <c r="AA5" s="83" t="inlineStr">
        <is>
          <t>mit.txo.nga.pow</t>
        </is>
      </c>
      <c r="AB5" s="83" t="inlineStr">
        <is>
          <t>mit.rp.nga.pow</t>
        </is>
      </c>
      <c r="AC5" s="83" t="inlineStr">
        <is>
          <t>mit.vatrate.nga.pow</t>
        </is>
      </c>
      <c r="AD5" s="83" t="inlineStr">
        <is>
          <t>mit.ps.nga.pow</t>
        </is>
      </c>
      <c r="AE5" s="83" t="inlineStr">
        <is>
          <t>mit.sp.nga.ind</t>
        </is>
      </c>
      <c r="AF5" s="83" t="inlineStr">
        <is>
          <t>mit.mar.nga.ind</t>
        </is>
      </c>
      <c r="AG5" s="83" t="inlineStr">
        <is>
          <t>mit.txo.nga.ind</t>
        </is>
      </c>
      <c r="AH5" s="83" t="inlineStr">
        <is>
          <t>mit.rp.nga.ind</t>
        </is>
      </c>
      <c r="AI5" s="83" t="inlineStr">
        <is>
          <t>mit.vatrate.nga.ind</t>
        </is>
      </c>
      <c r="AJ5" s="83" t="inlineStr">
        <is>
          <t>mit.ps.nga.ind</t>
        </is>
      </c>
      <c r="AK5" s="83" t="inlineStr">
        <is>
          <t>mit.sp.nga.res</t>
        </is>
      </c>
      <c r="AL5" s="83" t="inlineStr">
        <is>
          <t>mit.mar.nga.res</t>
        </is>
      </c>
      <c r="AM5" s="83" t="inlineStr">
        <is>
          <t>mit.txo.nga.res</t>
        </is>
      </c>
      <c r="AN5" s="83" t="inlineStr">
        <is>
          <t>mit.rp.nga.res</t>
        </is>
      </c>
      <c r="AO5" s="83" t="inlineStr">
        <is>
          <t>mit.vatrate.nga.res</t>
        </is>
      </c>
      <c r="AP5" s="83" t="inlineStr">
        <is>
          <t>mit.ps.nga.res</t>
        </is>
      </c>
      <c r="AQ5" s="83" t="inlineStr">
        <is>
          <t>mit.sp.gso.all</t>
        </is>
      </c>
      <c r="AR5" s="83" t="inlineStr">
        <is>
          <t>mit.mar.gso.all</t>
        </is>
      </c>
      <c r="AS5" s="83" t="inlineStr">
        <is>
          <t>mit.txo.gso.all</t>
        </is>
      </c>
      <c r="AT5" s="83" t="inlineStr">
        <is>
          <t>mit.rp.gso.all</t>
        </is>
      </c>
      <c r="AU5" s="83" t="inlineStr">
        <is>
          <t>mit.vatrate.gso.all</t>
        </is>
      </c>
      <c r="AV5" s="83" t="inlineStr">
        <is>
          <t>mit.ps.gso.all</t>
        </is>
      </c>
      <c r="AW5" s="83" t="inlineStr">
        <is>
          <t>mit.sp.die.all</t>
        </is>
      </c>
      <c r="AX5" s="83" t="inlineStr">
        <is>
          <t>mit.mar.die.all</t>
        </is>
      </c>
      <c r="AY5" s="83" t="inlineStr">
        <is>
          <t>mit.txo.die.all</t>
        </is>
      </c>
      <c r="AZ5" s="83" t="inlineStr">
        <is>
          <t>mit.rp.die.all</t>
        </is>
      </c>
      <c r="BA5" s="83" t="inlineStr">
        <is>
          <t>mit.vatrate.die.all</t>
        </is>
      </c>
      <c r="BB5" s="83" t="inlineStr">
        <is>
          <t>mit.ps.die.all</t>
        </is>
      </c>
      <c r="BC5" s="83" t="inlineStr">
        <is>
          <t>mit.sp.lpg.all</t>
        </is>
      </c>
      <c r="BD5" s="83" t="inlineStr">
        <is>
          <t>mit.mar.lpg.all</t>
        </is>
      </c>
      <c r="BE5" s="83" t="inlineStr">
        <is>
          <t>mit.txo.lpg.all</t>
        </is>
      </c>
      <c r="BF5" s="83" t="inlineStr">
        <is>
          <t>mit.rp.lpg.all</t>
        </is>
      </c>
      <c r="BG5" s="83" t="inlineStr">
        <is>
          <t>mit.vatrate.lpg.all</t>
        </is>
      </c>
      <c r="BH5" s="83" t="inlineStr">
        <is>
          <t>mit.ps.lpg.all</t>
        </is>
      </c>
      <c r="BI5" s="83" t="inlineStr">
        <is>
          <t>mit.sp.ker.all</t>
        </is>
      </c>
      <c r="BJ5" s="83" t="inlineStr">
        <is>
          <t>mit.mar.ker.all</t>
        </is>
      </c>
      <c r="BK5" s="83" t="inlineStr">
        <is>
          <t>mit.txo.ker.all</t>
        </is>
      </c>
      <c r="BL5" s="83" t="inlineStr">
        <is>
          <t>mit.rp.ker.all</t>
        </is>
      </c>
      <c r="BM5" s="83" t="inlineStr">
        <is>
          <t>mit.vatrate.ker.all</t>
        </is>
      </c>
      <c r="BN5" s="83" t="inlineStr">
        <is>
          <t>mit.ps.ker.all</t>
        </is>
      </c>
      <c r="BO5" s="83" t="inlineStr">
        <is>
          <t>mit.sp.ecy.ind</t>
        </is>
      </c>
      <c r="BP5" s="83" t="inlineStr">
        <is>
          <t>mit.txo.ecy.ind</t>
        </is>
      </c>
      <c r="BQ5" s="83" t="inlineStr">
        <is>
          <t>mit.rp.ecy.ind</t>
        </is>
      </c>
      <c r="BR5" s="83" t="inlineStr">
        <is>
          <t>mit.vatrate.ecy.ind</t>
        </is>
      </c>
      <c r="BS5" s="83" t="inlineStr">
        <is>
          <t>mit.ps.ecy.ind</t>
        </is>
      </c>
      <c r="BT5" s="83" t="inlineStr">
        <is>
          <t>mit.sp.ecy.res</t>
        </is>
      </c>
      <c r="BU5" s="83" t="inlineStr">
        <is>
          <t>mit.txo.ecy.res</t>
        </is>
      </c>
      <c r="BV5" s="83" t="inlineStr">
        <is>
          <t>mit.rp.ecy.res</t>
        </is>
      </c>
      <c r="BW5" s="83" t="inlineStr">
        <is>
          <t>mit.vatrate.ecy.res</t>
        </is>
      </c>
      <c r="BX5" s="83" t="inlineStr">
        <is>
          <t>mit.ps.ecy.res</t>
        </is>
      </c>
      <c r="BY5" s="83" t="inlineStr">
        <is>
          <t>mit.sp.bio.all</t>
        </is>
      </c>
      <c r="BZ5" s="83" t="inlineStr">
        <is>
          <t>mit.txo.bio.all</t>
        </is>
      </c>
      <c r="CA5" s="83" t="inlineStr">
        <is>
          <t>mit.rp.bio.all</t>
        </is>
      </c>
      <c r="CB5" s="83" t="inlineStr">
        <is>
          <t>mit.vatrate.bio.all</t>
        </is>
      </c>
      <c r="CC5" s="83" t="inlineStr">
        <is>
          <t>mit.sp.oop.all</t>
        </is>
      </c>
      <c r="CD5" s="83" t="inlineStr">
        <is>
          <t>mit.mar.oop.all</t>
        </is>
      </c>
      <c r="CE5" s="83" t="inlineStr">
        <is>
          <t>mit.txo.oop.all</t>
        </is>
      </c>
      <c r="CF5" s="83" t="inlineStr">
        <is>
          <t>mit.rp.oop.all</t>
        </is>
      </c>
      <c r="CG5" s="83" t="inlineStr">
        <is>
          <t>mit.vatrate.oop.all</t>
        </is>
      </c>
      <c r="CH5" s="83" t="inlineStr">
        <is>
          <t>mit.ps.oop.all</t>
        </is>
      </c>
      <c r="CI5" s="83" t="inlineStr">
        <is>
          <t>mit.sub.or.ecy.res</t>
        </is>
      </c>
      <c r="CJ5" s="83" t="inlineStr">
        <is>
          <t>mit.sub.or.ecy.ind</t>
        </is>
      </c>
      <c r="CK5" s="83" t="inlineStr">
        <is>
          <t>mit.pros.bio.all</t>
        </is>
      </c>
      <c r="CL5" s="83" t="inlineStr">
        <is>
          <t>mit.pros.coa.all</t>
        </is>
      </c>
      <c r="CM5" s="83" t="inlineStr">
        <is>
          <t>mit.pros.ecy.all</t>
        </is>
      </c>
      <c r="CN5" s="83" t="inlineStr">
        <is>
          <t>mit.pros.nga.all</t>
        </is>
      </c>
      <c r="CO5" s="83" t="inlineStr">
        <is>
          <t>mit.pros.oil.all</t>
        </is>
      </c>
      <c r="CP5" s="83" t="inlineStr">
        <is>
          <t>mit.coa.prod</t>
        </is>
      </c>
      <c r="CQ5" s="83" t="inlineStr">
        <is>
          <t>mit.coa.prod.cost</t>
        </is>
      </c>
      <c r="CR5" s="83" t="inlineStr">
        <is>
          <t>mit.nga.prod</t>
        </is>
      </c>
      <c r="CS5" s="83" t="inlineStr">
        <is>
          <t>mit.nga.prod.cost</t>
        </is>
      </c>
      <c r="CT5" s="83" t="inlineStr">
        <is>
          <t>mit.spot.coa</t>
        </is>
      </c>
      <c r="CU5" s="83" t="inlineStr">
        <is>
          <t>mit.spot.nga</t>
        </is>
      </c>
    </row>
    <row r="6">
      <c r="A6" s="14" t="inlineStr">
        <is>
          <t>AFG2021</t>
        </is>
      </c>
      <c r="B6" s="14" t="inlineStr">
        <is>
          <t>AFG</t>
        </is>
      </c>
      <c r="C6" s="14" t="inlineStr">
        <is>
          <t>AFG</t>
        </is>
      </c>
      <c r="D6" s="14" t="inlineStr">
        <is>
          <t>Afghanistan</t>
        </is>
      </c>
      <c r="E6" s="14" t="n">
        <v>2021</v>
      </c>
      <c r="F6" s="14" t="n">
        <v>0.1</v>
      </c>
      <c r="G6" s="14" t="n">
        <v>4.747</v>
      </c>
      <c r="H6" s="14" t="n">
        <v>1.143</v>
      </c>
      <c r="I6" s="14" t="n">
        <v>0</v>
      </c>
      <c r="J6" s="14" t="n">
        <v>4.747</v>
      </c>
      <c r="K6" s="14" t="n">
        <v>0</v>
      </c>
      <c r="L6" s="14" t="n">
        <v>1</v>
      </c>
      <c r="M6" s="14" t="n">
        <v>7.964</v>
      </c>
      <c r="N6" s="14" t="n">
        <v>3.43</v>
      </c>
      <c r="O6" s="14" t="n">
        <v>0</v>
      </c>
      <c r="P6" s="14" t="n">
        <v>7.964</v>
      </c>
      <c r="Q6" s="14" t="n">
        <v>0</v>
      </c>
      <c r="R6" s="14" t="n">
        <v>1</v>
      </c>
      <c r="S6" s="14" t="n">
        <v>10.464</v>
      </c>
      <c r="T6" s="14" t="n">
        <v>6.86</v>
      </c>
      <c r="U6" s="14" t="n">
        <v>8.237</v>
      </c>
      <c r="V6" s="14" t="n">
        <v>20.572</v>
      </c>
      <c r="W6" s="14" t="n">
        <v>0.1</v>
      </c>
      <c r="X6" s="14" t="n">
        <v>1</v>
      </c>
      <c r="Y6" s="14" t="n">
        <v>4.427</v>
      </c>
      <c r="Z6" s="14" t="n">
        <v>0.517</v>
      </c>
      <c r="AA6" s="14" t="n">
        <v>0</v>
      </c>
      <c r="AB6" s="14" t="n">
        <v>4.427</v>
      </c>
      <c r="AC6" s="14" t="n">
        <v>0</v>
      </c>
      <c r="AD6" s="14" t="n">
        <v>1</v>
      </c>
      <c r="AE6" s="14" t="n">
        <v>5.57</v>
      </c>
      <c r="AF6" s="14" t="n">
        <v>1.152</v>
      </c>
      <c r="AG6" s="14" t="n">
        <v>0</v>
      </c>
      <c r="AH6" s="14" t="n">
        <v>5.57</v>
      </c>
      <c r="AI6" s="14" t="n">
        <v>0</v>
      </c>
      <c r="AJ6" s="14" t="n">
        <v>1</v>
      </c>
      <c r="AK6" s="14" t="n">
        <v>12.43</v>
      </c>
      <c r="AL6" s="14" t="n">
        <v>6.195</v>
      </c>
      <c r="AM6" s="14" t="n">
        <v>0</v>
      </c>
      <c r="AN6" s="14" t="n">
        <v>13.673</v>
      </c>
      <c r="AO6" s="14" t="n">
        <v>0.1</v>
      </c>
      <c r="AP6" s="14" t="n">
        <v>1</v>
      </c>
      <c r="AQ6" s="14" t="n">
        <v>0.621</v>
      </c>
      <c r="AR6" s="14" t="n">
        <v>0.114</v>
      </c>
      <c r="AS6" s="14" t="n">
        <v>-0.045</v>
      </c>
      <c r="AT6" s="14" t="n">
        <v>0.633</v>
      </c>
      <c r="AU6" s="14" t="n">
        <v>0.1</v>
      </c>
      <c r="AV6" s="14" t="n">
        <v>1</v>
      </c>
      <c r="AW6" s="14" t="n">
        <v>0.593</v>
      </c>
      <c r="AX6" s="14" t="n">
        <v>0.114</v>
      </c>
      <c r="AY6" s="14" t="n">
        <v>-0.034</v>
      </c>
      <c r="AZ6" s="14" t="n">
        <v>0.615</v>
      </c>
      <c r="BA6" s="14" t="n">
        <v>0.1</v>
      </c>
      <c r="BB6" s="14" t="n">
        <v>1</v>
      </c>
      <c r="BC6" s="14" t="n">
        <v>0.44</v>
      </c>
      <c r="BD6" s="14" t="n">
        <v>0.114</v>
      </c>
      <c r="BE6" s="14" t="n">
        <v>-0.068</v>
      </c>
      <c r="BF6" s="14" t="n">
        <v>0.409</v>
      </c>
      <c r="BG6" s="14" t="n">
        <v>0</v>
      </c>
      <c r="BH6" s="14" t="n">
        <v>0</v>
      </c>
      <c r="BI6" s="14" t="n">
        <v>0.5600000000000001</v>
      </c>
      <c r="BJ6" s="14" t="n">
        <v>0.114</v>
      </c>
      <c r="BK6" s="14" t="n">
        <v>0</v>
      </c>
      <c r="BL6" s="14" t="n">
        <v>0.616</v>
      </c>
      <c r="BM6" s="14" t="n">
        <v>0.1</v>
      </c>
      <c r="BN6" s="14" t="n">
        <v>1</v>
      </c>
      <c r="BO6" s="14" t="n">
        <v>0</v>
      </c>
      <c r="BP6" s="14" t="n">
        <v>0</v>
      </c>
      <c r="BQ6" s="14" t="n">
        <v>0.025</v>
      </c>
      <c r="BR6" s="14" t="n">
        <v>0</v>
      </c>
      <c r="BS6" s="14" t="n">
        <v>1</v>
      </c>
      <c r="BT6" s="14" t="n">
        <v>0</v>
      </c>
      <c r="BU6" s="14" t="n">
        <v>0</v>
      </c>
      <c r="BV6" s="14" t="n">
        <v>0.051</v>
      </c>
      <c r="BW6" s="14" t="n">
        <v>0</v>
      </c>
      <c r="BX6" s="14" t="n">
        <v>0.833</v>
      </c>
      <c r="BY6" s="14" t="n">
        <v>11.787</v>
      </c>
      <c r="BZ6" s="14" t="n">
        <v>0</v>
      </c>
      <c r="CA6" s="14" t="n">
        <v>11.787</v>
      </c>
      <c r="CB6" s="14" t="n">
        <v>0</v>
      </c>
      <c r="CC6" s="14" t="n">
        <v>81.69499999999999</v>
      </c>
      <c r="CD6" s="14" t="n">
        <v>7.95</v>
      </c>
      <c r="CE6" s="14" t="n">
        <v>0</v>
      </c>
      <c r="CF6" s="14" t="n">
        <v>89.86499999999999</v>
      </c>
      <c r="CG6" s="14" t="n">
        <v>0.1</v>
      </c>
      <c r="CH6" s="14" t="n">
        <v>1</v>
      </c>
      <c r="CI6" s="14" t="n">
        <v>0</v>
      </c>
      <c r="CJ6" s="14" t="n">
        <v>0</v>
      </c>
      <c r="CK6" s="14" t="n">
        <v>0</v>
      </c>
      <c r="CL6" s="14" t="n">
        <v>0</v>
      </c>
      <c r="CM6" s="14" t="n">
        <v>0</v>
      </c>
      <c r="CN6" s="14" t="n">
        <v>0</v>
      </c>
      <c r="CO6" s="14" t="n">
        <v>0</v>
      </c>
      <c r="CP6" s="14" t="n">
        <v>0</v>
      </c>
      <c r="CQ6" s="14" t="n">
        <v>1.198</v>
      </c>
      <c r="CR6" s="14" t="n">
        <v>0</v>
      </c>
      <c r="CS6" s="14" t="n">
        <v>8.686999999999999</v>
      </c>
      <c r="CT6" s="14" t="n">
        <v>3.604</v>
      </c>
      <c r="CU6" s="14" t="n">
        <v>16.843</v>
      </c>
    </row>
    <row r="7">
      <c r="A7" s="14" t="inlineStr">
        <is>
          <t>AFG2022</t>
        </is>
      </c>
      <c r="B7" s="14" t="inlineStr">
        <is>
          <t>AFG</t>
        </is>
      </c>
      <c r="C7" s="14" t="inlineStr">
        <is>
          <t>AFG</t>
        </is>
      </c>
      <c r="D7" s="14" t="inlineStr">
        <is>
          <t>Afghanistan</t>
        </is>
      </c>
      <c r="E7" s="14" t="n">
        <v>2022</v>
      </c>
      <c r="F7" s="14" t="n">
        <v>0.1</v>
      </c>
      <c r="G7" s="14" t="n">
        <v>8.788</v>
      </c>
      <c r="H7" s="14" t="n">
        <v>1.235</v>
      </c>
      <c r="I7" s="14" t="n">
        <v>0</v>
      </c>
      <c r="J7" s="14" t="n">
        <v>8.788</v>
      </c>
      <c r="K7" s="14" t="n">
        <v>0</v>
      </c>
      <c r="L7" s="14" t="n">
        <v>1</v>
      </c>
      <c r="M7" s="14" t="n">
        <v>9.782999999999999</v>
      </c>
      <c r="N7" s="14" t="n">
        <v>3.704</v>
      </c>
      <c r="O7" s="14" t="n">
        <v>0</v>
      </c>
      <c r="P7" s="14" t="n">
        <v>9.782999999999999</v>
      </c>
      <c r="Q7" s="14" t="n">
        <v>0</v>
      </c>
      <c r="R7" s="14" t="n">
        <v>1</v>
      </c>
      <c r="S7" s="14" t="n">
        <v>14.962</v>
      </c>
      <c r="T7" s="14" t="n">
        <v>7.408</v>
      </c>
      <c r="U7" s="14" t="n">
        <v>9.071999999999999</v>
      </c>
      <c r="V7" s="14" t="n">
        <v>26.243</v>
      </c>
      <c r="W7" s="14" t="n">
        <v>0.1</v>
      </c>
      <c r="X7" s="14" t="n">
        <v>1</v>
      </c>
      <c r="Y7" s="14" t="n">
        <v>4.781</v>
      </c>
      <c r="Z7" s="14" t="n">
        <v>0.5580000000000001</v>
      </c>
      <c r="AA7" s="14" t="n">
        <v>0</v>
      </c>
      <c r="AB7" s="14" t="n">
        <v>4.781</v>
      </c>
      <c r="AC7" s="14" t="n">
        <v>0</v>
      </c>
      <c r="AD7" s="14" t="n">
        <v>1</v>
      </c>
      <c r="AE7" s="14" t="n">
        <v>6.015</v>
      </c>
      <c r="AF7" s="14" t="n">
        <v>1.244</v>
      </c>
      <c r="AG7" s="14" t="n">
        <v>0</v>
      </c>
      <c r="AH7" s="14" t="n">
        <v>6.015</v>
      </c>
      <c r="AI7" s="14" t="n">
        <v>0</v>
      </c>
      <c r="AJ7" s="14" t="n">
        <v>1</v>
      </c>
      <c r="AK7" s="14" t="n">
        <v>13.424</v>
      </c>
      <c r="AL7" s="14" t="n">
        <v>6.69</v>
      </c>
      <c r="AM7" s="14" t="n">
        <v>0.099</v>
      </c>
      <c r="AN7" s="14" t="n">
        <v>14.766</v>
      </c>
      <c r="AO7" s="14" t="n">
        <v>0.1</v>
      </c>
      <c r="AP7" s="14" t="n">
        <v>1</v>
      </c>
      <c r="AQ7" s="14" t="n">
        <v>0.847</v>
      </c>
      <c r="AR7" s="14" t="n">
        <v>0.123</v>
      </c>
      <c r="AS7" s="14" t="n">
        <v>-0.04</v>
      </c>
      <c r="AT7" s="14" t="n">
        <v>0.887</v>
      </c>
      <c r="AU7" s="14" t="n">
        <v>0.1</v>
      </c>
      <c r="AV7" s="14" t="n">
        <v>1</v>
      </c>
      <c r="AW7" s="14" t="n">
        <v>0.947</v>
      </c>
      <c r="AX7" s="14" t="n">
        <v>0.123</v>
      </c>
      <c r="AY7" s="14" t="n">
        <v>-0.017</v>
      </c>
      <c r="AZ7" s="14" t="n">
        <v>1.022</v>
      </c>
      <c r="BA7" s="14" t="n">
        <v>0.1</v>
      </c>
      <c r="BB7" s="14" t="n">
        <v>1</v>
      </c>
      <c r="BC7" s="14" t="n">
        <v>0.589</v>
      </c>
      <c r="BD7" s="14" t="n">
        <v>0.123</v>
      </c>
      <c r="BE7" s="14" t="n">
        <v>-0.185</v>
      </c>
      <c r="BF7" s="14" t="n">
        <v>0.444</v>
      </c>
      <c r="BG7" s="14" t="n">
        <v>0</v>
      </c>
      <c r="BH7" s="14" t="n">
        <v>0</v>
      </c>
      <c r="BI7" s="14" t="n">
        <v>0.6889999999999999</v>
      </c>
      <c r="BJ7" s="14" t="n">
        <v>0.123</v>
      </c>
      <c r="BK7" s="14" t="n">
        <v>0.005</v>
      </c>
      <c r="BL7" s="14" t="n">
        <v>0.758</v>
      </c>
      <c r="BM7" s="14" t="n">
        <v>0.1</v>
      </c>
      <c r="BN7" s="14" t="n">
        <v>1</v>
      </c>
      <c r="BO7" s="14" t="n">
        <v>0</v>
      </c>
      <c r="BP7" s="14" t="n">
        <v>0</v>
      </c>
      <c r="BQ7" s="14" t="n">
        <v>0.027</v>
      </c>
      <c r="BR7" s="14" t="n">
        <v>0</v>
      </c>
      <c r="BS7" s="14" t="n">
        <v>1</v>
      </c>
      <c r="BT7" s="14" t="n">
        <v>0</v>
      </c>
      <c r="BU7" s="14" t="n">
        <v>0</v>
      </c>
      <c r="BV7" s="14" t="n">
        <v>0.055</v>
      </c>
      <c r="BW7" s="14" t="n">
        <v>0</v>
      </c>
      <c r="BX7" s="14" t="n">
        <v>0.833</v>
      </c>
      <c r="BY7" s="14" t="n">
        <v>12.729</v>
      </c>
      <c r="BZ7" s="14" t="n">
        <v>0</v>
      </c>
      <c r="CA7" s="14" t="n">
        <v>12.729</v>
      </c>
      <c r="CB7" s="14" t="n">
        <v>0</v>
      </c>
      <c r="CC7" s="14" t="n">
        <v>102.477</v>
      </c>
      <c r="CD7" s="14" t="n">
        <v>7.95</v>
      </c>
      <c r="CE7" s="14" t="n">
        <v>0.758</v>
      </c>
      <c r="CF7" s="14" t="n">
        <v>112.724</v>
      </c>
      <c r="CG7" s="14" t="n">
        <v>0.1</v>
      </c>
      <c r="CH7" s="14" t="n">
        <v>1</v>
      </c>
      <c r="CI7" s="14" t="n">
        <v>0</v>
      </c>
      <c r="CJ7" s="14" t="n">
        <v>0</v>
      </c>
      <c r="CK7" s="14" t="n">
        <v>0</v>
      </c>
      <c r="CL7" s="14" t="n">
        <v>0</v>
      </c>
      <c r="CM7" s="14" t="n">
        <v>0</v>
      </c>
      <c r="CN7" s="14" t="n">
        <v>0</v>
      </c>
      <c r="CO7" s="14" t="n">
        <v>0</v>
      </c>
      <c r="CP7" s="14" t="n">
        <v>0</v>
      </c>
      <c r="CQ7" s="14" t="n">
        <v>1.294</v>
      </c>
      <c r="CR7" s="14" t="n">
        <v>0</v>
      </c>
      <c r="CS7" s="14" t="n">
        <v>9.381</v>
      </c>
      <c r="CT7" s="14" t="n">
        <v>7.554</v>
      </c>
      <c r="CU7" s="14" t="n">
        <v>30.149</v>
      </c>
    </row>
    <row r="8">
      <c r="A8" s="14" t="inlineStr">
        <is>
          <t>AFG2023</t>
        </is>
      </c>
      <c r="B8" s="14" t="inlineStr">
        <is>
          <t>AFG</t>
        </is>
      </c>
      <c r="C8" s="14" t="inlineStr">
        <is>
          <t>AFG</t>
        </is>
      </c>
      <c r="D8" s="14" t="inlineStr">
        <is>
          <t>Afghanistan</t>
        </is>
      </c>
      <c r="E8" s="14" t="n">
        <v>2023</v>
      </c>
      <c r="F8" s="14" t="n">
        <v>0.1</v>
      </c>
      <c r="G8" s="14" t="n">
        <v>5.77</v>
      </c>
      <c r="H8" s="14" t="n">
        <v>1.286</v>
      </c>
      <c r="I8" s="14" t="n">
        <v>0</v>
      </c>
      <c r="J8" s="14" t="n">
        <v>5.77</v>
      </c>
      <c r="K8" s="14" t="n">
        <v>0</v>
      </c>
      <c r="L8" s="14" t="n">
        <v>1</v>
      </c>
      <c r="M8" s="14" t="n">
        <v>7.886</v>
      </c>
      <c r="N8" s="14" t="n">
        <v>3.857</v>
      </c>
      <c r="O8" s="14" t="n">
        <v>0</v>
      </c>
      <c r="P8" s="14" t="n">
        <v>7.886</v>
      </c>
      <c r="Q8" s="14" t="n">
        <v>0</v>
      </c>
      <c r="R8" s="14" t="n">
        <v>1</v>
      </c>
      <c r="S8" s="14" t="n">
        <v>12.198</v>
      </c>
      <c r="T8" s="14" t="n">
        <v>7.714</v>
      </c>
      <c r="U8" s="14" t="n">
        <v>9.500999999999999</v>
      </c>
      <c r="V8" s="14" t="n">
        <v>23.608</v>
      </c>
      <c r="W8" s="14" t="n">
        <v>0.1</v>
      </c>
      <c r="X8" s="14" t="n">
        <v>1</v>
      </c>
      <c r="Y8" s="14" t="n">
        <v>4.978</v>
      </c>
      <c r="Z8" s="14" t="n">
        <v>0.581</v>
      </c>
      <c r="AA8" s="14" t="n">
        <v>0</v>
      </c>
      <c r="AB8" s="14" t="n">
        <v>4.978</v>
      </c>
      <c r="AC8" s="14" t="n">
        <v>0</v>
      </c>
      <c r="AD8" s="14" t="n">
        <v>1</v>
      </c>
      <c r="AE8" s="14" t="n">
        <v>6.264</v>
      </c>
      <c r="AF8" s="14" t="n">
        <v>1.295</v>
      </c>
      <c r="AG8" s="14" t="n">
        <v>0</v>
      </c>
      <c r="AH8" s="14" t="n">
        <v>6.264</v>
      </c>
      <c r="AI8" s="14" t="n">
        <v>0</v>
      </c>
      <c r="AJ8" s="14" t="n">
        <v>1</v>
      </c>
      <c r="AK8" s="14" t="n">
        <v>13.978</v>
      </c>
      <c r="AL8" s="14" t="n">
        <v>6.966</v>
      </c>
      <c r="AM8" s="14" t="n">
        <v>0.155</v>
      </c>
      <c r="AN8" s="14" t="n">
        <v>15.375</v>
      </c>
      <c r="AO8" s="14" t="n">
        <v>0.1</v>
      </c>
      <c r="AP8" s="14" t="n">
        <v>1</v>
      </c>
      <c r="AQ8" s="14" t="n">
        <v>0.749</v>
      </c>
      <c r="AR8" s="14" t="n">
        <v>0.129</v>
      </c>
      <c r="AS8" s="14" t="n">
        <v>0.065</v>
      </c>
      <c r="AT8" s="14" t="n">
        <v>0.895</v>
      </c>
      <c r="AU8" s="14" t="n">
        <v>0.1</v>
      </c>
      <c r="AV8" s="14" t="n">
        <v>1</v>
      </c>
      <c r="AW8" s="14" t="n">
        <v>0.783</v>
      </c>
      <c r="AX8" s="14" t="n">
        <v>0.129</v>
      </c>
      <c r="AY8" s="14" t="n">
        <v>0.041</v>
      </c>
      <c r="AZ8" s="14" t="n">
        <v>0.905</v>
      </c>
      <c r="BA8" s="14" t="n">
        <v>0.1</v>
      </c>
      <c r="BB8" s="14" t="n">
        <v>1</v>
      </c>
      <c r="BC8" s="14" t="n">
        <v>0.527</v>
      </c>
      <c r="BD8" s="14" t="n">
        <v>0.129</v>
      </c>
      <c r="BE8" s="14" t="n">
        <v>-0.143</v>
      </c>
      <c r="BF8" s="14" t="n">
        <v>0.423</v>
      </c>
      <c r="BG8" s="14" t="n">
        <v>0</v>
      </c>
      <c r="BH8" s="14" t="n">
        <v>0</v>
      </c>
      <c r="BI8" s="14" t="n">
        <v>0.64</v>
      </c>
      <c r="BJ8" s="14" t="n">
        <v>0.129</v>
      </c>
      <c r="BK8" s="14" t="n">
        <v>0.007</v>
      </c>
      <c r="BL8" s="14" t="n">
        <v>0.704</v>
      </c>
      <c r="BM8" s="14" t="n">
        <v>0.1</v>
      </c>
      <c r="BN8" s="14" t="n">
        <v>1</v>
      </c>
      <c r="BO8" s="14" t="n">
        <v>0</v>
      </c>
      <c r="BP8" s="14" t="n">
        <v>0</v>
      </c>
      <c r="BQ8" s="14" t="n">
        <v>0.028</v>
      </c>
      <c r="BR8" s="14" t="n">
        <v>0</v>
      </c>
      <c r="BS8" s="14" t="n">
        <v>1</v>
      </c>
      <c r="BT8" s="14" t="n">
        <v>0</v>
      </c>
      <c r="BU8" s="14" t="n">
        <v>0</v>
      </c>
      <c r="BV8" s="14" t="n">
        <v>0.057</v>
      </c>
      <c r="BW8" s="14" t="n">
        <v>0</v>
      </c>
      <c r="BX8" s="14" t="n">
        <v>0.833</v>
      </c>
      <c r="BY8" s="14" t="n">
        <v>13.254</v>
      </c>
      <c r="BZ8" s="14" t="n">
        <v>0</v>
      </c>
      <c r="CA8" s="14" t="n">
        <v>13.254</v>
      </c>
      <c r="CB8" s="14" t="n">
        <v>0</v>
      </c>
      <c r="CC8" s="14" t="n">
        <v>87.07899999999999</v>
      </c>
      <c r="CD8" s="14" t="n">
        <v>7.95</v>
      </c>
      <c r="CE8" s="14" t="n">
        <v>0.964</v>
      </c>
      <c r="CF8" s="14" t="n">
        <v>95.78700000000001</v>
      </c>
      <c r="CG8" s="14" t="n">
        <v>0.1</v>
      </c>
      <c r="CH8" s="14" t="n">
        <v>1</v>
      </c>
      <c r="CI8" s="14" t="n">
        <v>0</v>
      </c>
      <c r="CJ8" s="14" t="n">
        <v>0</v>
      </c>
      <c r="CK8" s="14" t="n">
        <v>0</v>
      </c>
      <c r="CL8" s="14" t="n">
        <v>0</v>
      </c>
      <c r="CM8" s="14" t="n">
        <v>0</v>
      </c>
      <c r="CN8" s="14" t="n">
        <v>0</v>
      </c>
      <c r="CO8" s="14" t="n">
        <v>0</v>
      </c>
      <c r="CP8" s="14" t="n">
        <v>0</v>
      </c>
      <c r="CQ8" s="14" t="n">
        <v>1.348</v>
      </c>
      <c r="CR8" s="14" t="n">
        <v>0</v>
      </c>
      <c r="CS8" s="14" t="n">
        <v>9.769</v>
      </c>
      <c r="CT8" s="14" t="n">
        <v>4.484</v>
      </c>
      <c r="CU8" s="14" t="n">
        <v>12.392</v>
      </c>
    </row>
    <row r="9">
      <c r="A9" s="14" t="inlineStr">
        <is>
          <t>AFG2024</t>
        </is>
      </c>
      <c r="B9" s="14" t="inlineStr">
        <is>
          <t>AFG</t>
        </is>
      </c>
      <c r="C9" s="14" t="inlineStr">
        <is>
          <t>AFG</t>
        </is>
      </c>
      <c r="D9" s="14" t="inlineStr">
        <is>
          <t>Afghanistan</t>
        </is>
      </c>
      <c r="E9" s="14" t="n">
        <v>2024</v>
      </c>
      <c r="F9" s="14" t="n">
        <v>0.1</v>
      </c>
      <c r="G9" s="14" t="n">
        <v>4.833</v>
      </c>
      <c r="H9" s="14" t="n">
        <v>1.324</v>
      </c>
      <c r="I9" s="14" t="n">
        <v>0</v>
      </c>
      <c r="J9" s="14" t="n">
        <v>4.833</v>
      </c>
      <c r="K9" s="14" t="n">
        <v>0</v>
      </c>
      <c r="L9" s="14" t="n">
        <v>1</v>
      </c>
      <c r="M9" s="14" t="n">
        <v>7.124</v>
      </c>
      <c r="N9" s="14" t="n">
        <v>3.971</v>
      </c>
      <c r="O9" s="14" t="n">
        <v>0</v>
      </c>
      <c r="P9" s="14" t="n">
        <v>7.124</v>
      </c>
      <c r="Q9" s="14" t="n">
        <v>0</v>
      </c>
      <c r="R9" s="14" t="n">
        <v>1</v>
      </c>
      <c r="S9" s="14" t="n">
        <v>11.451</v>
      </c>
      <c r="T9" s="14" t="n">
        <v>7.942</v>
      </c>
      <c r="U9" s="14" t="n">
        <v>9.821999999999999</v>
      </c>
      <c r="V9" s="14" t="n">
        <v>23.086</v>
      </c>
      <c r="W9" s="14" t="n">
        <v>0.1</v>
      </c>
      <c r="X9" s="14" t="n">
        <v>1</v>
      </c>
      <c r="Y9" s="14" t="n">
        <v>5.125</v>
      </c>
      <c r="Z9" s="14" t="n">
        <v>0.598</v>
      </c>
      <c r="AA9" s="14" t="n">
        <v>0</v>
      </c>
      <c r="AB9" s="14" t="n">
        <v>5.125</v>
      </c>
      <c r="AC9" s="14" t="n">
        <v>0</v>
      </c>
      <c r="AD9" s="14" t="n">
        <v>1</v>
      </c>
      <c r="AE9" s="14" t="n">
        <v>6.449</v>
      </c>
      <c r="AF9" s="14" t="n">
        <v>1.333</v>
      </c>
      <c r="AG9" s="14" t="n">
        <v>0</v>
      </c>
      <c r="AH9" s="14" t="n">
        <v>6.449</v>
      </c>
      <c r="AI9" s="14" t="n">
        <v>0</v>
      </c>
      <c r="AJ9" s="14" t="n">
        <v>1</v>
      </c>
      <c r="AK9" s="14" t="n">
        <v>14.39</v>
      </c>
      <c r="AL9" s="14" t="n">
        <v>7.172</v>
      </c>
      <c r="AM9" s="14" t="n">
        <v>0.196</v>
      </c>
      <c r="AN9" s="14" t="n">
        <v>15.829</v>
      </c>
      <c r="AO9" s="14" t="n">
        <v>0.1</v>
      </c>
      <c r="AP9" s="14" t="n">
        <v>1</v>
      </c>
      <c r="AQ9" s="14" t="n">
        <v>0.72</v>
      </c>
      <c r="AR9" s="14" t="n">
        <v>0.132</v>
      </c>
      <c r="AS9" s="14" t="n">
        <v>0.078</v>
      </c>
      <c r="AT9" s="14" t="n">
        <v>0.878</v>
      </c>
      <c r="AU9" s="14" t="n">
        <v>0.1</v>
      </c>
      <c r="AV9" s="14" t="n">
        <v>1</v>
      </c>
      <c r="AW9" s="14" t="n">
        <v>0.734</v>
      </c>
      <c r="AX9" s="14" t="n">
        <v>0.132</v>
      </c>
      <c r="AY9" s="14" t="n">
        <v>0.043</v>
      </c>
      <c r="AZ9" s="14" t="n">
        <v>0.855</v>
      </c>
      <c r="BA9" s="14" t="n">
        <v>0.1</v>
      </c>
      <c r="BB9" s="14" t="n">
        <v>1</v>
      </c>
      <c r="BC9" s="14" t="n">
        <v>0.51</v>
      </c>
      <c r="BD9" s="14" t="n">
        <v>0.132</v>
      </c>
      <c r="BE9" s="14" t="n">
        <v>-0.134</v>
      </c>
      <c r="BF9" s="14" t="n">
        <v>0.414</v>
      </c>
      <c r="BG9" s="14" t="n">
        <v>0</v>
      </c>
      <c r="BH9" s="14" t="n">
        <v>0</v>
      </c>
      <c r="BI9" s="14" t="n">
        <v>0.652</v>
      </c>
      <c r="BJ9" s="14" t="n">
        <v>0.132</v>
      </c>
      <c r="BK9" s="14" t="n">
        <v>0.008999999999999999</v>
      </c>
      <c r="BL9" s="14" t="n">
        <v>0.717</v>
      </c>
      <c r="BM9" s="14" t="n">
        <v>0.1</v>
      </c>
      <c r="BN9" s="14" t="n">
        <v>1</v>
      </c>
      <c r="BO9" s="14" t="n">
        <v>0</v>
      </c>
      <c r="BP9" s="14" t="n">
        <v>0</v>
      </c>
      <c r="BQ9" s="14" t="n">
        <v>0.029</v>
      </c>
      <c r="BR9" s="14" t="n">
        <v>0</v>
      </c>
      <c r="BS9" s="14" t="n">
        <v>1</v>
      </c>
      <c r="BT9" s="14" t="n">
        <v>0</v>
      </c>
      <c r="BU9" s="14" t="n">
        <v>0</v>
      </c>
      <c r="BV9" s="14" t="n">
        <v>0.059</v>
      </c>
      <c r="BW9" s="14" t="n">
        <v>0</v>
      </c>
      <c r="BX9" s="14" t="n">
        <v>0.833</v>
      </c>
      <c r="BY9" s="14" t="n">
        <v>13.646</v>
      </c>
      <c r="BZ9" s="14" t="n">
        <v>0</v>
      </c>
      <c r="CA9" s="14" t="n">
        <v>13.646</v>
      </c>
      <c r="CB9" s="14" t="n">
        <v>0</v>
      </c>
      <c r="CC9" s="14" t="n">
        <v>86.38500000000001</v>
      </c>
      <c r="CD9" s="14" t="n">
        <v>7.95</v>
      </c>
      <c r="CE9" s="14" t="n">
        <v>1.177</v>
      </c>
      <c r="CF9" s="14" t="n">
        <v>95.024</v>
      </c>
      <c r="CG9" s="14" t="n">
        <v>0.1</v>
      </c>
      <c r="CH9" s="14" t="n">
        <v>1</v>
      </c>
      <c r="CI9" s="14" t="n">
        <v>0</v>
      </c>
      <c r="CJ9" s="14" t="n">
        <v>0</v>
      </c>
      <c r="CK9" s="14" t="n">
        <v>0</v>
      </c>
      <c r="CL9" s="14" t="n">
        <v>0</v>
      </c>
      <c r="CM9" s="14" t="n">
        <v>0</v>
      </c>
      <c r="CN9" s="14" t="n">
        <v>0</v>
      </c>
      <c r="CO9" s="14" t="n">
        <v>0</v>
      </c>
      <c r="CP9" s="14" t="n">
        <v>0</v>
      </c>
      <c r="CQ9" s="14" t="n">
        <v>1.387</v>
      </c>
      <c r="CR9" s="14" t="n">
        <v>0</v>
      </c>
      <c r="CS9" s="14" t="n">
        <v>10.057</v>
      </c>
      <c r="CT9" s="14" t="n">
        <v>3.509</v>
      </c>
      <c r="CU9" s="14" t="n">
        <v>10.792</v>
      </c>
    </row>
    <row r="10">
      <c r="A10" s="14" t="inlineStr">
        <is>
          <t>ALB2021</t>
        </is>
      </c>
      <c r="B10" s="14" t="inlineStr">
        <is>
          <t>ALB</t>
        </is>
      </c>
      <c r="C10" s="14" t="inlineStr">
        <is>
          <t>ALB</t>
        </is>
      </c>
      <c r="D10" s="14" t="inlineStr">
        <is>
          <t>Albania</t>
        </is>
      </c>
      <c r="E10" s="14" t="n">
        <v>2021</v>
      </c>
      <c r="F10" s="14" t="n">
        <v>0.2</v>
      </c>
      <c r="G10" s="14" t="n">
        <v>3.369</v>
      </c>
      <c r="H10" s="14" t="n">
        <v>0.8129999999999999</v>
      </c>
      <c r="I10" s="14" t="n">
        <v>0.112</v>
      </c>
      <c r="J10" s="14" t="n">
        <v>3.481</v>
      </c>
      <c r="K10" s="14" t="n">
        <v>0</v>
      </c>
      <c r="L10" s="14" t="n">
        <v>1</v>
      </c>
      <c r="M10" s="14" t="n">
        <v>5.048</v>
      </c>
      <c r="N10" s="14" t="n">
        <v>2.44</v>
      </c>
      <c r="O10" s="14" t="n">
        <v>0</v>
      </c>
      <c r="P10" s="14" t="n">
        <v>5.048</v>
      </c>
      <c r="Q10" s="14" t="n">
        <v>0</v>
      </c>
      <c r="R10" s="14" t="n">
        <v>1</v>
      </c>
      <c r="S10" s="14" t="n">
        <v>7.435</v>
      </c>
      <c r="T10" s="14" t="n">
        <v>4.88</v>
      </c>
      <c r="U10" s="14" t="n">
        <v>0.112</v>
      </c>
      <c r="V10" s="14" t="n">
        <v>9.055999999999999</v>
      </c>
      <c r="W10" s="14" t="n">
        <v>0.2</v>
      </c>
      <c r="X10" s="14" t="n">
        <v>1</v>
      </c>
      <c r="Y10" s="14" t="n">
        <v>5.347</v>
      </c>
      <c r="Z10" s="14" t="n">
        <v>0.393</v>
      </c>
      <c r="AA10" s="14" t="n">
        <v>0</v>
      </c>
      <c r="AB10" s="14" t="n">
        <v>5.347</v>
      </c>
      <c r="AC10" s="14" t="n">
        <v>0</v>
      </c>
      <c r="AD10" s="14" t="n">
        <v>1</v>
      </c>
      <c r="AE10" s="14" t="n">
        <v>5.919</v>
      </c>
      <c r="AF10" s="14" t="n">
        <v>0.8</v>
      </c>
      <c r="AG10" s="14" t="n">
        <v>0</v>
      </c>
      <c r="AH10" s="14" t="n">
        <v>5.919</v>
      </c>
      <c r="AI10" s="14" t="n">
        <v>0</v>
      </c>
      <c r="AJ10" s="14" t="n">
        <v>1</v>
      </c>
      <c r="AK10" s="14" t="n">
        <v>9.349</v>
      </c>
      <c r="AL10" s="14" t="n">
        <v>3.473</v>
      </c>
      <c r="AM10" s="14" t="n">
        <v>0</v>
      </c>
      <c r="AN10" s="14" t="n">
        <v>11.219</v>
      </c>
      <c r="AO10" s="14" t="n">
        <v>0.2</v>
      </c>
      <c r="AP10" s="14" t="n">
        <v>1</v>
      </c>
      <c r="AQ10" s="14" t="n">
        <v>0.619</v>
      </c>
      <c r="AR10" s="14" t="n">
        <v>0.114</v>
      </c>
      <c r="AS10" s="14" t="n">
        <v>0.732</v>
      </c>
      <c r="AT10" s="14" t="n">
        <v>1.621</v>
      </c>
      <c r="AU10" s="14" t="n">
        <v>0.2</v>
      </c>
      <c r="AV10" s="14" t="n">
        <v>1</v>
      </c>
      <c r="AW10" s="14" t="n">
        <v>0.599</v>
      </c>
      <c r="AX10" s="14" t="n">
        <v>0.114</v>
      </c>
      <c r="AY10" s="14" t="n">
        <v>0.705</v>
      </c>
      <c r="AZ10" s="14" t="n">
        <v>1.565</v>
      </c>
      <c r="BA10" s="14" t="n">
        <v>0.2</v>
      </c>
      <c r="BB10" s="14" t="n">
        <v>1</v>
      </c>
      <c r="BC10" s="14" t="n">
        <v>0.439</v>
      </c>
      <c r="BD10" s="14" t="n">
        <v>0.114</v>
      </c>
      <c r="BE10" s="14" t="n">
        <v>0</v>
      </c>
      <c r="BF10" s="14" t="n">
        <v>0.527</v>
      </c>
      <c r="BG10" s="14" t="n">
        <v>0.2</v>
      </c>
      <c r="BH10" s="14" t="n">
        <v>1</v>
      </c>
      <c r="BI10" s="14" t="n">
        <v>0.505</v>
      </c>
      <c r="BJ10" s="14" t="n">
        <v>0.114</v>
      </c>
      <c r="BK10" s="14" t="n">
        <v>0</v>
      </c>
      <c r="BL10" s="14" t="n">
        <v>0.606</v>
      </c>
      <c r="BM10" s="14" t="n">
        <v>0.2</v>
      </c>
      <c r="BN10" s="14" t="n">
        <v>1</v>
      </c>
      <c r="BO10" s="14" t="n">
        <v>0</v>
      </c>
      <c r="BP10" s="14" t="n">
        <v>0</v>
      </c>
      <c r="BQ10" s="14" t="n">
        <v>0.124</v>
      </c>
      <c r="BR10" s="14" t="n">
        <v>0</v>
      </c>
      <c r="BS10" s="14" t="n">
        <v>0.667</v>
      </c>
      <c r="BT10" s="14" t="n">
        <v>0</v>
      </c>
      <c r="BU10" s="14" t="n">
        <v>0</v>
      </c>
      <c r="BV10" s="14" t="n">
        <v>0.11</v>
      </c>
      <c r="BW10" s="14" t="n">
        <v>0.2</v>
      </c>
      <c r="BX10" s="14" t="n">
        <v>0.5</v>
      </c>
      <c r="BY10" s="14" t="n">
        <v>11.787</v>
      </c>
      <c r="BZ10" s="14" t="n">
        <v>0</v>
      </c>
      <c r="CA10" s="14" t="n">
        <v>11.787</v>
      </c>
      <c r="CB10" s="14" t="n">
        <v>0</v>
      </c>
      <c r="CC10" s="14" t="n">
        <v>78.125</v>
      </c>
      <c r="CD10" s="14" t="n">
        <v>7.95</v>
      </c>
      <c r="CE10" s="14" t="n">
        <v>0</v>
      </c>
      <c r="CF10" s="14" t="n">
        <v>93.75</v>
      </c>
      <c r="CG10" s="14" t="n">
        <v>0.2</v>
      </c>
      <c r="CH10" s="14" t="n">
        <v>1</v>
      </c>
      <c r="CI10" s="14" t="n">
        <v>0</v>
      </c>
      <c r="CJ10" s="14" t="n">
        <v>0</v>
      </c>
      <c r="CK10" s="14" t="n">
        <v>0</v>
      </c>
      <c r="CL10" s="14" t="n">
        <v>0</v>
      </c>
      <c r="CM10" s="14" t="n">
        <v>0</v>
      </c>
      <c r="CN10" s="14" t="n">
        <v>0</v>
      </c>
      <c r="CO10" s="14" t="n">
        <v>0</v>
      </c>
      <c r="CP10" s="14" t="n">
        <v>0.577</v>
      </c>
      <c r="CQ10" s="14" t="n">
        <v>1.198</v>
      </c>
      <c r="CR10" s="14" t="n">
        <v>1</v>
      </c>
      <c r="CS10" s="14" t="n">
        <v>4.776</v>
      </c>
      <c r="CT10" s="14" t="n">
        <v>4.41</v>
      </c>
      <c r="CU10" s="14" t="n">
        <v>15.162</v>
      </c>
    </row>
    <row r="11">
      <c r="A11" s="14" t="inlineStr">
        <is>
          <t>ALB2022</t>
        </is>
      </c>
      <c r="B11" s="14" t="inlineStr">
        <is>
          <t>ALB</t>
        </is>
      </c>
      <c r="C11" s="14" t="inlineStr">
        <is>
          <t>ALB</t>
        </is>
      </c>
      <c r="D11" s="14" t="inlineStr">
        <is>
          <t>Albania</t>
        </is>
      </c>
      <c r="E11" s="14" t="n">
        <v>2022</v>
      </c>
      <c r="F11" s="14" t="n">
        <v>0.2</v>
      </c>
      <c r="G11" s="14" t="n">
        <v>3.776</v>
      </c>
      <c r="H11" s="14" t="n">
        <v>0.84</v>
      </c>
      <c r="I11" s="14" t="n">
        <v>0.127</v>
      </c>
      <c r="J11" s="14" t="n">
        <v>3.903</v>
      </c>
      <c r="K11" s="14" t="n">
        <v>0</v>
      </c>
      <c r="L11" s="14" t="n">
        <v>1</v>
      </c>
      <c r="M11" s="14" t="n">
        <v>5.542</v>
      </c>
      <c r="N11" s="14" t="n">
        <v>2.521</v>
      </c>
      <c r="O11" s="14" t="n">
        <v>0</v>
      </c>
      <c r="P11" s="14" t="n">
        <v>5.542</v>
      </c>
      <c r="Q11" s="14" t="n">
        <v>0</v>
      </c>
      <c r="R11" s="14" t="n">
        <v>1</v>
      </c>
      <c r="S11" s="14" t="n">
        <v>7.977</v>
      </c>
      <c r="T11" s="14" t="n">
        <v>5.041</v>
      </c>
      <c r="U11" s="14" t="n">
        <v>0.247</v>
      </c>
      <c r="V11" s="14" t="n">
        <v>9.725</v>
      </c>
      <c r="W11" s="14" t="n">
        <v>0.2</v>
      </c>
      <c r="X11" s="14" t="n">
        <v>1</v>
      </c>
      <c r="Y11" s="14" t="n">
        <v>5.775</v>
      </c>
      <c r="Z11" s="14" t="n">
        <v>0.425</v>
      </c>
      <c r="AA11" s="14" t="n">
        <v>0</v>
      </c>
      <c r="AB11" s="14" t="n">
        <v>5.775</v>
      </c>
      <c r="AC11" s="14" t="n">
        <v>0</v>
      </c>
      <c r="AD11" s="14" t="n">
        <v>1</v>
      </c>
      <c r="AE11" s="14" t="n">
        <v>6.392</v>
      </c>
      <c r="AF11" s="14" t="n">
        <v>0.864</v>
      </c>
      <c r="AG11" s="14" t="n">
        <v>0</v>
      </c>
      <c r="AH11" s="14" t="n">
        <v>6.392</v>
      </c>
      <c r="AI11" s="14" t="n">
        <v>0</v>
      </c>
      <c r="AJ11" s="14" t="n">
        <v>1</v>
      </c>
      <c r="AK11" s="14" t="n">
        <v>10.096</v>
      </c>
      <c r="AL11" s="14" t="n">
        <v>3.751</v>
      </c>
      <c r="AM11" s="14" t="n">
        <v>0.149</v>
      </c>
      <c r="AN11" s="14" t="n">
        <v>12.116</v>
      </c>
      <c r="AO11" s="14" t="n">
        <v>0.2</v>
      </c>
      <c r="AP11" s="14" t="n">
        <v>1</v>
      </c>
      <c r="AQ11" s="14" t="n">
        <v>0.861</v>
      </c>
      <c r="AR11" s="14" t="n">
        <v>0.123</v>
      </c>
      <c r="AS11" s="14" t="n">
        <v>0.676</v>
      </c>
      <c r="AT11" s="14" t="n">
        <v>1.845</v>
      </c>
      <c r="AU11" s="14" t="n">
        <v>0.2</v>
      </c>
      <c r="AV11" s="14" t="n">
        <v>1</v>
      </c>
      <c r="AW11" s="14" t="n">
        <v>0.986</v>
      </c>
      <c r="AX11" s="14" t="n">
        <v>0.123</v>
      </c>
      <c r="AY11" s="14" t="n">
        <v>0.619</v>
      </c>
      <c r="AZ11" s="14" t="n">
        <v>1.926</v>
      </c>
      <c r="BA11" s="14" t="n">
        <v>0.2</v>
      </c>
      <c r="BB11" s="14" t="n">
        <v>1</v>
      </c>
      <c r="BC11" s="14" t="n">
        <v>0.598</v>
      </c>
      <c r="BD11" s="14" t="n">
        <v>0.123</v>
      </c>
      <c r="BE11" s="14" t="n">
        <v>0.008999999999999999</v>
      </c>
      <c r="BF11" s="14" t="n">
        <v>0.717</v>
      </c>
      <c r="BG11" s="14" t="n">
        <v>0.2</v>
      </c>
      <c r="BH11" s="14" t="n">
        <v>1</v>
      </c>
      <c r="BI11" s="14" t="n">
        <v>0.612</v>
      </c>
      <c r="BJ11" s="14" t="n">
        <v>0.123</v>
      </c>
      <c r="BK11" s="14" t="n">
        <v>0.008999999999999999</v>
      </c>
      <c r="BL11" s="14" t="n">
        <v>0.735</v>
      </c>
      <c r="BM11" s="14" t="n">
        <v>0.2</v>
      </c>
      <c r="BN11" s="14" t="n">
        <v>1</v>
      </c>
      <c r="BO11" s="14" t="n">
        <v>0</v>
      </c>
      <c r="BP11" s="14" t="n">
        <v>0</v>
      </c>
      <c r="BQ11" s="14" t="n">
        <v>0.113</v>
      </c>
      <c r="BR11" s="14" t="n">
        <v>0</v>
      </c>
      <c r="BS11" s="14" t="n">
        <v>0.667</v>
      </c>
      <c r="BT11" s="14" t="n">
        <v>0</v>
      </c>
      <c r="BU11" s="14" t="n">
        <v>0</v>
      </c>
      <c r="BV11" s="14" t="n">
        <v>0.101</v>
      </c>
      <c r="BW11" s="14" t="n">
        <v>0.2</v>
      </c>
      <c r="BX11" s="14" t="n">
        <v>0.5</v>
      </c>
      <c r="BY11" s="14" t="n">
        <v>12.729</v>
      </c>
      <c r="BZ11" s="14" t="n">
        <v>0</v>
      </c>
      <c r="CA11" s="14" t="n">
        <v>12.729</v>
      </c>
      <c r="CB11" s="14" t="n">
        <v>0</v>
      </c>
      <c r="CC11" s="14" t="n">
        <v>97.90000000000001</v>
      </c>
      <c r="CD11" s="14" t="n">
        <v>7.95</v>
      </c>
      <c r="CE11" s="14" t="n">
        <v>1.449</v>
      </c>
      <c r="CF11" s="14" t="n">
        <v>117.48</v>
      </c>
      <c r="CG11" s="14" t="n">
        <v>0.2</v>
      </c>
      <c r="CH11" s="14" t="n">
        <v>1</v>
      </c>
      <c r="CI11" s="14" t="n">
        <v>0</v>
      </c>
      <c r="CJ11" s="14" t="n">
        <v>0</v>
      </c>
      <c r="CK11" s="14" t="n">
        <v>0</v>
      </c>
      <c r="CL11" s="14" t="n">
        <v>0</v>
      </c>
      <c r="CM11" s="14" t="n">
        <v>0</v>
      </c>
      <c r="CN11" s="14" t="n">
        <v>0</v>
      </c>
      <c r="CO11" s="14" t="n">
        <v>0</v>
      </c>
      <c r="CP11" s="14" t="n">
        <v>0.639</v>
      </c>
      <c r="CQ11" s="14" t="n">
        <v>1.294</v>
      </c>
      <c r="CR11" s="14" t="n">
        <v>1</v>
      </c>
      <c r="CS11" s="14" t="n">
        <v>5.158</v>
      </c>
      <c r="CT11" s="14" t="n">
        <v>5.842</v>
      </c>
      <c r="CU11" s="14" t="n">
        <v>31.326</v>
      </c>
    </row>
    <row r="12">
      <c r="A12" s="14" t="inlineStr">
        <is>
          <t>ALB2023</t>
        </is>
      </c>
      <c r="B12" s="14" t="inlineStr">
        <is>
          <t>ALB</t>
        </is>
      </c>
      <c r="C12" s="14" t="inlineStr">
        <is>
          <t>ALB</t>
        </is>
      </c>
      <c r="D12" s="14" t="inlineStr">
        <is>
          <t>Albania</t>
        </is>
      </c>
      <c r="E12" s="14" t="n">
        <v>2023</v>
      </c>
      <c r="F12" s="14" t="n">
        <v>0.2</v>
      </c>
      <c r="G12" s="14" t="n">
        <v>3.433</v>
      </c>
      <c r="H12" s="14" t="n">
        <v>0.979</v>
      </c>
      <c r="I12" s="14" t="n">
        <v>1.436</v>
      </c>
      <c r="J12" s="14" t="n">
        <v>4.869</v>
      </c>
      <c r="K12" s="14" t="n">
        <v>0</v>
      </c>
      <c r="L12" s="14" t="n">
        <v>1</v>
      </c>
      <c r="M12" s="14" t="n">
        <v>5.685</v>
      </c>
      <c r="N12" s="14" t="n">
        <v>2.936</v>
      </c>
      <c r="O12" s="14" t="n">
        <v>0</v>
      </c>
      <c r="P12" s="14" t="n">
        <v>5.685</v>
      </c>
      <c r="Q12" s="14" t="n">
        <v>0</v>
      </c>
      <c r="R12" s="14" t="n">
        <v>1</v>
      </c>
      <c r="S12" s="14" t="n">
        <v>8.327</v>
      </c>
      <c r="T12" s="14" t="n">
        <v>5.872</v>
      </c>
      <c r="U12" s="14" t="n">
        <v>1.651</v>
      </c>
      <c r="V12" s="14" t="n">
        <v>11.714</v>
      </c>
      <c r="W12" s="14" t="n">
        <v>0.2</v>
      </c>
      <c r="X12" s="14" t="n">
        <v>1</v>
      </c>
      <c r="Y12" s="14" t="n">
        <v>6.013</v>
      </c>
      <c r="Z12" s="14" t="n">
        <v>0.442</v>
      </c>
      <c r="AA12" s="14" t="n">
        <v>0.762</v>
      </c>
      <c r="AB12" s="14" t="n">
        <v>6.775</v>
      </c>
      <c r="AC12" s="14" t="n">
        <v>0</v>
      </c>
      <c r="AD12" s="14" t="n">
        <v>1</v>
      </c>
      <c r="AE12" s="14" t="n">
        <v>6.656</v>
      </c>
      <c r="AF12" s="14" t="n">
        <v>0.9</v>
      </c>
      <c r="AG12" s="14" t="n">
        <v>0</v>
      </c>
      <c r="AH12" s="14" t="n">
        <v>6.656</v>
      </c>
      <c r="AI12" s="14" t="n">
        <v>0</v>
      </c>
      <c r="AJ12" s="14" t="n">
        <v>1</v>
      </c>
      <c r="AK12" s="14" t="n">
        <v>10.513</v>
      </c>
      <c r="AL12" s="14" t="n">
        <v>3.906</v>
      </c>
      <c r="AM12" s="14" t="n">
        <v>1.012</v>
      </c>
      <c r="AN12" s="14" t="n">
        <v>13.53</v>
      </c>
      <c r="AO12" s="14" t="n">
        <v>0.2</v>
      </c>
      <c r="AP12" s="14" t="n">
        <v>1</v>
      </c>
      <c r="AQ12" s="14" t="n">
        <v>0.76</v>
      </c>
      <c r="AR12" s="14" t="n">
        <v>0.129</v>
      </c>
      <c r="AS12" s="14" t="n">
        <v>0.8169999999999999</v>
      </c>
      <c r="AT12" s="14" t="n">
        <v>1.892</v>
      </c>
      <c r="AU12" s="14" t="n">
        <v>0.2</v>
      </c>
      <c r="AV12" s="14" t="n">
        <v>1</v>
      </c>
      <c r="AW12" s="14" t="n">
        <v>0.8110000000000001</v>
      </c>
      <c r="AX12" s="14" t="n">
        <v>0.129</v>
      </c>
      <c r="AY12" s="14" t="n">
        <v>0.738</v>
      </c>
      <c r="AZ12" s="14" t="n">
        <v>1.859</v>
      </c>
      <c r="BA12" s="14" t="n">
        <v>0.2</v>
      </c>
      <c r="BB12" s="14" t="n">
        <v>1</v>
      </c>
      <c r="BC12" s="14" t="n">
        <v>0.535</v>
      </c>
      <c r="BD12" s="14" t="n">
        <v>0.129</v>
      </c>
      <c r="BE12" s="14" t="n">
        <v>0.012</v>
      </c>
      <c r="BF12" s="14" t="n">
        <v>0.642</v>
      </c>
      <c r="BG12" s="14" t="n">
        <v>0.2</v>
      </c>
      <c r="BH12" s="14" t="n">
        <v>1</v>
      </c>
      <c r="BI12" s="14" t="n">
        <v>0.579</v>
      </c>
      <c r="BJ12" s="14" t="n">
        <v>0.129</v>
      </c>
      <c r="BK12" s="14" t="n">
        <v>0.013</v>
      </c>
      <c r="BL12" s="14" t="n">
        <v>0.695</v>
      </c>
      <c r="BM12" s="14" t="n">
        <v>0.2</v>
      </c>
      <c r="BN12" s="14" t="n">
        <v>1</v>
      </c>
      <c r="BO12" s="14" t="n">
        <v>0</v>
      </c>
      <c r="BP12" s="14" t="n">
        <v>0</v>
      </c>
      <c r="BQ12" s="14" t="n">
        <v>0.127</v>
      </c>
      <c r="BR12" s="14" t="n">
        <v>0</v>
      </c>
      <c r="BS12" s="14" t="n">
        <v>0.667</v>
      </c>
      <c r="BT12" s="14" t="n">
        <v>0</v>
      </c>
      <c r="BU12" s="14" t="n">
        <v>0</v>
      </c>
      <c r="BV12" s="14" t="n">
        <v>0.113</v>
      </c>
      <c r="BW12" s="14" t="n">
        <v>0.2</v>
      </c>
      <c r="BX12" s="14" t="n">
        <v>0.5</v>
      </c>
      <c r="BY12" s="14" t="n">
        <v>13.254</v>
      </c>
      <c r="BZ12" s="14" t="n">
        <v>0</v>
      </c>
      <c r="CA12" s="14" t="n">
        <v>13.254</v>
      </c>
      <c r="CB12" s="14" t="n">
        <v>0</v>
      </c>
      <c r="CC12" s="14" t="n">
        <v>83.248</v>
      </c>
      <c r="CD12" s="14" t="n">
        <v>7.95</v>
      </c>
      <c r="CE12" s="14" t="n">
        <v>1.843</v>
      </c>
      <c r="CF12" s="14" t="n">
        <v>99.898</v>
      </c>
      <c r="CG12" s="14" t="n">
        <v>0.2</v>
      </c>
      <c r="CH12" s="14" t="n">
        <v>1</v>
      </c>
      <c r="CI12" s="14" t="n">
        <v>0</v>
      </c>
      <c r="CJ12" s="14" t="n">
        <v>0</v>
      </c>
      <c r="CK12" s="14" t="n">
        <v>0</v>
      </c>
      <c r="CL12" s="14" t="n">
        <v>0</v>
      </c>
      <c r="CM12" s="14" t="n">
        <v>0</v>
      </c>
      <c r="CN12" s="14" t="n">
        <v>0</v>
      </c>
      <c r="CO12" s="14" t="n">
        <v>0</v>
      </c>
      <c r="CP12" s="14" t="n">
        <v>0.478</v>
      </c>
      <c r="CQ12" s="14" t="n">
        <v>1.348</v>
      </c>
      <c r="CR12" s="14" t="n">
        <v>1</v>
      </c>
      <c r="CS12" s="14" t="n">
        <v>5.37</v>
      </c>
      <c r="CT12" s="14" t="n">
        <v>3.466</v>
      </c>
      <c r="CU12" s="14" t="n">
        <v>11.622</v>
      </c>
    </row>
    <row r="13">
      <c r="A13" s="14" t="inlineStr">
        <is>
          <t>ALB2024</t>
        </is>
      </c>
      <c r="B13" s="14" t="inlineStr">
        <is>
          <t>ALB</t>
        </is>
      </c>
      <c r="C13" s="14" t="inlineStr">
        <is>
          <t>ALB</t>
        </is>
      </c>
      <c r="D13" s="14" t="inlineStr">
        <is>
          <t>Albania</t>
        </is>
      </c>
      <c r="E13" s="14" t="n">
        <v>2024</v>
      </c>
      <c r="F13" s="14" t="n">
        <v>0.2</v>
      </c>
      <c r="G13" s="14" t="n">
        <v>3.252</v>
      </c>
      <c r="H13" s="14" t="n">
        <v>1.008</v>
      </c>
      <c r="I13" s="14" t="n">
        <v>1.462</v>
      </c>
      <c r="J13" s="14" t="n">
        <v>4.713</v>
      </c>
      <c r="K13" s="14" t="n">
        <v>0</v>
      </c>
      <c r="L13" s="14" t="n">
        <v>1</v>
      </c>
      <c r="M13" s="14" t="n">
        <v>5.333</v>
      </c>
      <c r="N13" s="14" t="n">
        <v>3.023</v>
      </c>
      <c r="O13" s="14" t="n">
        <v>0</v>
      </c>
      <c r="P13" s="14" t="n">
        <v>5.333</v>
      </c>
      <c r="Q13" s="14" t="n">
        <v>0</v>
      </c>
      <c r="R13" s="14" t="n">
        <v>1</v>
      </c>
      <c r="S13" s="14" t="n">
        <v>8.289</v>
      </c>
      <c r="T13" s="14" t="n">
        <v>6.045</v>
      </c>
      <c r="U13" s="14" t="n">
        <v>1.726</v>
      </c>
      <c r="V13" s="14" t="n">
        <v>11.7</v>
      </c>
      <c r="W13" s="14" t="n">
        <v>0.2</v>
      </c>
      <c r="X13" s="14" t="n">
        <v>1</v>
      </c>
      <c r="Y13" s="14" t="n">
        <v>6.191</v>
      </c>
      <c r="Z13" s="14" t="n">
        <v>0.455</v>
      </c>
      <c r="AA13" s="14" t="n">
        <v>0.785</v>
      </c>
      <c r="AB13" s="14" t="n">
        <v>6.975</v>
      </c>
      <c r="AC13" s="14" t="n">
        <v>0</v>
      </c>
      <c r="AD13" s="14" t="n">
        <v>1</v>
      </c>
      <c r="AE13" s="14" t="n">
        <v>6.853</v>
      </c>
      <c r="AF13" s="14" t="n">
        <v>0.926</v>
      </c>
      <c r="AG13" s="14" t="n">
        <v>0</v>
      </c>
      <c r="AH13" s="14" t="n">
        <v>6.853</v>
      </c>
      <c r="AI13" s="14" t="n">
        <v>0</v>
      </c>
      <c r="AJ13" s="14" t="n">
        <v>1</v>
      </c>
      <c r="AK13" s="14" t="n">
        <v>10.823</v>
      </c>
      <c r="AL13" s="14" t="n">
        <v>4.021</v>
      </c>
      <c r="AM13" s="14" t="n">
        <v>1.101</v>
      </c>
      <c r="AN13" s="14" t="n">
        <v>13.93</v>
      </c>
      <c r="AO13" s="14" t="n">
        <v>0.2</v>
      </c>
      <c r="AP13" s="14" t="n">
        <v>1</v>
      </c>
      <c r="AQ13" s="14" t="n">
        <v>0.724</v>
      </c>
      <c r="AR13" s="14" t="n">
        <v>0.132</v>
      </c>
      <c r="AS13" s="14" t="n">
        <v>0.91</v>
      </c>
      <c r="AT13" s="14" t="n">
        <v>1.961</v>
      </c>
      <c r="AU13" s="14" t="n">
        <v>0.2</v>
      </c>
      <c r="AV13" s="14" t="n">
        <v>1</v>
      </c>
      <c r="AW13" s="14" t="n">
        <v>0.75</v>
      </c>
      <c r="AX13" s="14" t="n">
        <v>0.132</v>
      </c>
      <c r="AY13" s="14" t="n">
        <v>0.846</v>
      </c>
      <c r="AZ13" s="14" t="n">
        <v>1.915</v>
      </c>
      <c r="BA13" s="14" t="n">
        <v>0.2</v>
      </c>
      <c r="BB13" s="14" t="n">
        <v>1</v>
      </c>
      <c r="BC13" s="14" t="n">
        <v>0.513</v>
      </c>
      <c r="BD13" s="14" t="n">
        <v>0.132</v>
      </c>
      <c r="BE13" s="14" t="n">
        <v>0.014</v>
      </c>
      <c r="BF13" s="14" t="n">
        <v>0.616</v>
      </c>
      <c r="BG13" s="14" t="n">
        <v>0.2</v>
      </c>
      <c r="BH13" s="14" t="n">
        <v>1</v>
      </c>
      <c r="BI13" s="14" t="n">
        <v>0.591</v>
      </c>
      <c r="BJ13" s="14" t="n">
        <v>0.132</v>
      </c>
      <c r="BK13" s="14" t="n">
        <v>0.016</v>
      </c>
      <c r="BL13" s="14" t="n">
        <v>0.71</v>
      </c>
      <c r="BM13" s="14" t="n">
        <v>0.2</v>
      </c>
      <c r="BN13" s="14" t="n">
        <v>1</v>
      </c>
      <c r="BO13" s="14" t="n">
        <v>0</v>
      </c>
      <c r="BP13" s="14" t="n">
        <v>0</v>
      </c>
      <c r="BQ13" s="14" t="n">
        <v>0.138</v>
      </c>
      <c r="BR13" s="14" t="n">
        <v>0</v>
      </c>
      <c r="BS13" s="14" t="n">
        <v>0.667</v>
      </c>
      <c r="BT13" s="14" t="n">
        <v>0</v>
      </c>
      <c r="BU13" s="14" t="n">
        <v>0</v>
      </c>
      <c r="BV13" s="14" t="n">
        <v>0.123</v>
      </c>
      <c r="BW13" s="14" t="n">
        <v>0.2</v>
      </c>
      <c r="BX13" s="14" t="n">
        <v>0.5</v>
      </c>
      <c r="BY13" s="14" t="n">
        <v>13.646</v>
      </c>
      <c r="BZ13" s="14" t="n">
        <v>0</v>
      </c>
      <c r="CA13" s="14" t="n">
        <v>13.646</v>
      </c>
      <c r="CB13" s="14" t="n">
        <v>0</v>
      </c>
      <c r="CC13" s="14" t="n">
        <v>82.58799999999999</v>
      </c>
      <c r="CD13" s="14" t="n">
        <v>7.95</v>
      </c>
      <c r="CE13" s="14" t="n">
        <v>2.25</v>
      </c>
      <c r="CF13" s="14" t="n">
        <v>99.10599999999999</v>
      </c>
      <c r="CG13" s="14" t="n">
        <v>0.2</v>
      </c>
      <c r="CH13" s="14" t="n">
        <v>1</v>
      </c>
      <c r="CI13" s="14" t="n">
        <v>0</v>
      </c>
      <c r="CJ13" s="14" t="n">
        <v>0</v>
      </c>
      <c r="CK13" s="14" t="n">
        <v>0</v>
      </c>
      <c r="CL13" s="14" t="n">
        <v>0</v>
      </c>
      <c r="CM13" s="14" t="n">
        <v>0</v>
      </c>
      <c r="CN13" s="14" t="n">
        <v>0</v>
      </c>
      <c r="CO13" s="14" t="n">
        <v>0</v>
      </c>
      <c r="CP13" s="14" t="n">
        <v>0.478</v>
      </c>
      <c r="CQ13" s="14" t="n">
        <v>1.387</v>
      </c>
      <c r="CR13" s="14" t="n">
        <v>1</v>
      </c>
      <c r="CS13" s="14" t="n">
        <v>5.529</v>
      </c>
      <c r="CT13" s="14" t="n">
        <v>3.027</v>
      </c>
      <c r="CU13" s="14" t="n">
        <v>10.168</v>
      </c>
    </row>
    <row r="14">
      <c r="A14" s="14" t="inlineStr">
        <is>
          <t>DZA2021</t>
        </is>
      </c>
      <c r="B14" s="14" t="inlineStr">
        <is>
          <t>DZA</t>
        </is>
      </c>
      <c r="C14" s="14" t="inlineStr">
        <is>
          <t>DZA</t>
        </is>
      </c>
      <c r="D14" s="14" t="inlineStr">
        <is>
          <t>Algeria</t>
        </is>
      </c>
      <c r="E14" s="14" t="n">
        <v>2021</v>
      </c>
      <c r="F14" s="14" t="n">
        <v>0.19</v>
      </c>
      <c r="G14" s="14" t="n">
        <v>5.897</v>
      </c>
      <c r="H14" s="14" t="n">
        <v>1.143</v>
      </c>
      <c r="I14" s="14" t="n">
        <v>0.238</v>
      </c>
      <c r="J14" s="14" t="n">
        <v>6.134</v>
      </c>
      <c r="K14" s="14" t="n">
        <v>0</v>
      </c>
      <c r="L14" s="14" t="n">
        <v>1</v>
      </c>
      <c r="M14" s="14" t="n">
        <v>7.964</v>
      </c>
      <c r="N14" s="14" t="n">
        <v>3.43</v>
      </c>
      <c r="O14" s="14" t="n">
        <v>0.227</v>
      </c>
      <c r="P14" s="14" t="n">
        <v>8.191000000000001</v>
      </c>
      <c r="Q14" s="14" t="n">
        <v>0</v>
      </c>
      <c r="R14" s="14" t="n">
        <v>1</v>
      </c>
      <c r="S14" s="14" t="n">
        <v>11.613</v>
      </c>
      <c r="T14" s="14" t="n">
        <v>6.86</v>
      </c>
      <c r="U14" s="14" t="n">
        <v>0.238</v>
      </c>
      <c r="V14" s="14" t="n">
        <v>14.103</v>
      </c>
      <c r="W14" s="14" t="n">
        <v>0.19</v>
      </c>
      <c r="X14" s="14" t="n">
        <v>1</v>
      </c>
      <c r="Y14" s="14" t="n">
        <v>3.799</v>
      </c>
      <c r="Z14" s="14" t="n">
        <v>0.417</v>
      </c>
      <c r="AA14" s="14" t="n">
        <v>-2.687</v>
      </c>
      <c r="AB14" s="14" t="n">
        <v>1.112</v>
      </c>
      <c r="AC14" s="14" t="n">
        <v>0</v>
      </c>
      <c r="AD14" s="14" t="n">
        <v>0</v>
      </c>
      <c r="AE14" s="14" t="n">
        <v>4.371</v>
      </c>
      <c r="AF14" s="14" t="n">
        <v>0.85</v>
      </c>
      <c r="AG14" s="14" t="n">
        <v>-3.388</v>
      </c>
      <c r="AH14" s="14" t="n">
        <v>0.983</v>
      </c>
      <c r="AI14" s="14" t="n">
        <v>0</v>
      </c>
      <c r="AJ14" s="14" t="n">
        <v>0</v>
      </c>
      <c r="AK14" s="14" t="n">
        <v>7.801</v>
      </c>
      <c r="AL14" s="14" t="n">
        <v>3.68</v>
      </c>
      <c r="AM14" s="14" t="n">
        <v>-7.137</v>
      </c>
      <c r="AN14" s="14" t="n">
        <v>0.79</v>
      </c>
      <c r="AO14" s="14" t="n">
        <v>0</v>
      </c>
      <c r="AP14" s="14" t="n">
        <v>0</v>
      </c>
      <c r="AQ14" s="14" t="n">
        <v>0.621</v>
      </c>
      <c r="AR14" s="14" t="n">
        <v>0.114</v>
      </c>
      <c r="AS14" s="14" t="n">
        <v>-0.335</v>
      </c>
      <c r="AT14" s="14" t="n">
        <v>0.34</v>
      </c>
      <c r="AU14" s="14" t="n">
        <v>0</v>
      </c>
      <c r="AV14" s="14" t="n">
        <v>0</v>
      </c>
      <c r="AW14" s="14" t="n">
        <v>0.593</v>
      </c>
      <c r="AX14" s="14" t="n">
        <v>0.114</v>
      </c>
      <c r="AY14" s="14" t="n">
        <v>-0.413</v>
      </c>
      <c r="AZ14" s="14" t="n">
        <v>0.215</v>
      </c>
      <c r="BA14" s="14" t="n">
        <v>0</v>
      </c>
      <c r="BB14" s="14" t="n">
        <v>0</v>
      </c>
      <c r="BC14" s="14" t="n">
        <v>0.44</v>
      </c>
      <c r="BD14" s="14" t="n">
        <v>0.114</v>
      </c>
      <c r="BE14" s="14" t="n">
        <v>-0.384</v>
      </c>
      <c r="BF14" s="14" t="n">
        <v>0.067</v>
      </c>
      <c r="BG14" s="14" t="n">
        <v>0</v>
      </c>
      <c r="BH14" s="14" t="n">
        <v>0</v>
      </c>
      <c r="BI14" s="14" t="n">
        <v>0.5600000000000001</v>
      </c>
      <c r="BJ14" s="14" t="n">
        <v>0.114</v>
      </c>
      <c r="BK14" s="14" t="n">
        <v>0</v>
      </c>
      <c r="BL14" s="14" t="n">
        <v>0.667</v>
      </c>
      <c r="BM14" s="14" t="n">
        <v>0.19</v>
      </c>
      <c r="BN14" s="14" t="n">
        <v>1</v>
      </c>
      <c r="BO14" s="14" t="n">
        <v>0</v>
      </c>
      <c r="BP14" s="14" t="n">
        <v>-0.067</v>
      </c>
      <c r="BQ14" s="14" t="n">
        <v>0.013</v>
      </c>
      <c r="BR14" s="14" t="n">
        <v>0</v>
      </c>
      <c r="BS14" s="14" t="n">
        <v>0.667</v>
      </c>
      <c r="BT14" s="14" t="n">
        <v>0</v>
      </c>
      <c r="BU14" s="14" t="n">
        <v>-0.067</v>
      </c>
      <c r="BV14" s="14" t="n">
        <v>0.04</v>
      </c>
      <c r="BW14" s="14" t="n">
        <v>0</v>
      </c>
      <c r="BX14" s="14" t="n">
        <v>0.667</v>
      </c>
      <c r="BY14" s="14" t="n">
        <v>11.787</v>
      </c>
      <c r="BZ14" s="14" t="n">
        <v>0</v>
      </c>
      <c r="CA14" s="14" t="n">
        <v>11.787</v>
      </c>
      <c r="CB14" s="14" t="n">
        <v>0</v>
      </c>
      <c r="CC14" s="14" t="n">
        <v>81.69499999999999</v>
      </c>
      <c r="CD14" s="14" t="n">
        <v>7.95</v>
      </c>
      <c r="CE14" s="14" t="n">
        <v>-68.24299999999999</v>
      </c>
      <c r="CF14" s="14" t="n">
        <v>16.009</v>
      </c>
      <c r="CG14" s="14" t="n">
        <v>0</v>
      </c>
      <c r="CH14" s="14" t="n">
        <v>0</v>
      </c>
      <c r="CI14" s="14" t="n">
        <v>0</v>
      </c>
      <c r="CJ14" s="14" t="n">
        <v>0</v>
      </c>
      <c r="CK14" s="14" t="n">
        <v>0</v>
      </c>
      <c r="CL14" s="14" t="n">
        <v>0</v>
      </c>
      <c r="CM14" s="14" t="n">
        <v>0</v>
      </c>
      <c r="CN14" s="14" t="n">
        <v>0</v>
      </c>
      <c r="CO14" s="14" t="n">
        <v>0</v>
      </c>
      <c r="CP14" s="14" t="n">
        <v>0</v>
      </c>
      <c r="CQ14" s="14" t="n">
        <v>1.198</v>
      </c>
      <c r="CR14" s="14" t="n">
        <v>1</v>
      </c>
      <c r="CS14" s="14" t="n">
        <v>3.228</v>
      </c>
      <c r="CT14" s="14" t="n">
        <v>4.753</v>
      </c>
      <c r="CU14" s="14" t="n">
        <v>14.129</v>
      </c>
    </row>
    <row r="15">
      <c r="A15" s="14" t="inlineStr">
        <is>
          <t>DZA2022</t>
        </is>
      </c>
      <c r="B15" s="14" t="inlineStr">
        <is>
          <t>DZA</t>
        </is>
      </c>
      <c r="C15" s="14" t="inlineStr">
        <is>
          <t>DZA</t>
        </is>
      </c>
      <c r="D15" s="14" t="inlineStr">
        <is>
          <t>Algeria</t>
        </is>
      </c>
      <c r="E15" s="14" t="n">
        <v>2022</v>
      </c>
      <c r="F15" s="14" t="n">
        <v>0.19</v>
      </c>
      <c r="G15" s="14" t="n">
        <v>11.667</v>
      </c>
      <c r="H15" s="14" t="n">
        <v>1.231</v>
      </c>
      <c r="I15" s="14" t="n">
        <v>0.5629999999999999</v>
      </c>
      <c r="J15" s="14" t="n">
        <v>12.23</v>
      </c>
      <c r="K15" s="14" t="n">
        <v>0</v>
      </c>
      <c r="L15" s="14" t="n">
        <v>1</v>
      </c>
      <c r="M15" s="14" t="n">
        <v>9.747</v>
      </c>
      <c r="N15" s="14" t="n">
        <v>3.694</v>
      </c>
      <c r="O15" s="14" t="n">
        <v>0.326</v>
      </c>
      <c r="P15" s="14" t="n">
        <v>10.073</v>
      </c>
      <c r="Q15" s="14" t="n">
        <v>0</v>
      </c>
      <c r="R15" s="14" t="n">
        <v>1</v>
      </c>
      <c r="S15" s="14" t="n">
        <v>17.824</v>
      </c>
      <c r="T15" s="14" t="n">
        <v>7.388</v>
      </c>
      <c r="U15" s="14" t="n">
        <v>0.822</v>
      </c>
      <c r="V15" s="14" t="n">
        <v>21.881</v>
      </c>
      <c r="W15" s="14" t="n">
        <v>0.19</v>
      </c>
      <c r="X15" s="14" t="n">
        <v>1</v>
      </c>
      <c r="Y15" s="14" t="n">
        <v>4.103</v>
      </c>
      <c r="Z15" s="14" t="n">
        <v>0.45</v>
      </c>
      <c r="AA15" s="14" t="n">
        <v>-2.902</v>
      </c>
      <c r="AB15" s="14" t="n">
        <v>1.201</v>
      </c>
      <c r="AC15" s="14" t="n">
        <v>0</v>
      </c>
      <c r="AD15" s="14" t="n">
        <v>0</v>
      </c>
      <c r="AE15" s="14" t="n">
        <v>4.72</v>
      </c>
      <c r="AF15" s="14" t="n">
        <v>0.918</v>
      </c>
      <c r="AG15" s="14" t="n">
        <v>-3.785</v>
      </c>
      <c r="AH15" s="14" t="n">
        <v>0.9350000000000001</v>
      </c>
      <c r="AI15" s="14" t="n">
        <v>0</v>
      </c>
      <c r="AJ15" s="14" t="n">
        <v>0</v>
      </c>
      <c r="AK15" s="14" t="n">
        <v>8.423999999999999</v>
      </c>
      <c r="AL15" s="14" t="n">
        <v>3.974</v>
      </c>
      <c r="AM15" s="14" t="n">
        <v>-7.793</v>
      </c>
      <c r="AN15" s="14" t="n">
        <v>0.751</v>
      </c>
      <c r="AO15" s="14" t="n">
        <v>0</v>
      </c>
      <c r="AP15" s="14" t="n">
        <v>0</v>
      </c>
      <c r="AQ15" s="14" t="n">
        <v>0.847</v>
      </c>
      <c r="AR15" s="14" t="n">
        <v>0.123</v>
      </c>
      <c r="AS15" s="14" t="n">
        <v>-0.575</v>
      </c>
      <c r="AT15" s="14" t="n">
        <v>0.324</v>
      </c>
      <c r="AU15" s="14" t="n">
        <v>0</v>
      </c>
      <c r="AV15" s="14" t="n">
        <v>0</v>
      </c>
      <c r="AW15" s="14" t="n">
        <v>0.947</v>
      </c>
      <c r="AX15" s="14" t="n">
        <v>0.123</v>
      </c>
      <c r="AY15" s="14" t="n">
        <v>-0.775</v>
      </c>
      <c r="AZ15" s="14" t="n">
        <v>0.204</v>
      </c>
      <c r="BA15" s="14" t="n">
        <v>0</v>
      </c>
      <c r="BB15" s="14" t="n">
        <v>0</v>
      </c>
      <c r="BC15" s="14" t="n">
        <v>0.589</v>
      </c>
      <c r="BD15" s="14" t="n">
        <v>0.123</v>
      </c>
      <c r="BE15" s="14" t="n">
        <v>-0.535</v>
      </c>
      <c r="BF15" s="14" t="n">
        <v>0.063</v>
      </c>
      <c r="BG15" s="14" t="n">
        <v>0</v>
      </c>
      <c r="BH15" s="14" t="n">
        <v>0</v>
      </c>
      <c r="BI15" s="14" t="n">
        <v>0.6889999999999999</v>
      </c>
      <c r="BJ15" s="14" t="n">
        <v>0.123</v>
      </c>
      <c r="BK15" s="14" t="n">
        <v>0.01</v>
      </c>
      <c r="BL15" s="14" t="n">
        <v>0.82</v>
      </c>
      <c r="BM15" s="14" t="n">
        <v>0.19</v>
      </c>
      <c r="BN15" s="14" t="n">
        <v>1</v>
      </c>
      <c r="BO15" s="14" t="n">
        <v>0</v>
      </c>
      <c r="BP15" s="14" t="n">
        <v>-0.067</v>
      </c>
      <c r="BQ15" s="14" t="n">
        <v>0.012</v>
      </c>
      <c r="BR15" s="14" t="n">
        <v>0</v>
      </c>
      <c r="BS15" s="14" t="n">
        <v>0.667</v>
      </c>
      <c r="BT15" s="14" t="n">
        <v>0</v>
      </c>
      <c r="BU15" s="14" t="n">
        <v>-0.067</v>
      </c>
      <c r="BV15" s="14" t="n">
        <v>0.038</v>
      </c>
      <c r="BW15" s="14" t="n">
        <v>0</v>
      </c>
      <c r="BX15" s="14" t="n">
        <v>0.667</v>
      </c>
      <c r="BY15" s="14" t="n">
        <v>12.729</v>
      </c>
      <c r="BZ15" s="14" t="n">
        <v>0</v>
      </c>
      <c r="CA15" s="14" t="n">
        <v>12.729</v>
      </c>
      <c r="CB15" s="14" t="n">
        <v>0</v>
      </c>
      <c r="CC15" s="14" t="n">
        <v>102.477</v>
      </c>
      <c r="CD15" s="14" t="n">
        <v>7.95</v>
      </c>
      <c r="CE15" s="14" t="n">
        <v>-89.68000000000001</v>
      </c>
      <c r="CF15" s="14" t="n">
        <v>15.227</v>
      </c>
      <c r="CG15" s="14" t="n">
        <v>0</v>
      </c>
      <c r="CH15" s="14" t="n">
        <v>0</v>
      </c>
      <c r="CI15" s="14" t="n">
        <v>0</v>
      </c>
      <c r="CJ15" s="14" t="n">
        <v>0</v>
      </c>
      <c r="CK15" s="14" t="n">
        <v>0</v>
      </c>
      <c r="CL15" s="14" t="n">
        <v>0</v>
      </c>
      <c r="CM15" s="14" t="n">
        <v>0</v>
      </c>
      <c r="CN15" s="14" t="n">
        <v>0</v>
      </c>
      <c r="CO15" s="14" t="n">
        <v>0</v>
      </c>
      <c r="CP15" s="14" t="n">
        <v>0.005</v>
      </c>
      <c r="CQ15" s="14" t="n">
        <v>1.294</v>
      </c>
      <c r="CR15" s="14" t="n">
        <v>1</v>
      </c>
      <c r="CS15" s="14" t="n">
        <v>3.486</v>
      </c>
      <c r="CT15" s="14" t="n">
        <v>10.485</v>
      </c>
      <c r="CU15" s="14" t="n">
        <v>28.059</v>
      </c>
    </row>
    <row r="16">
      <c r="A16" s="14" t="inlineStr">
        <is>
          <t>DZA2023</t>
        </is>
      </c>
      <c r="B16" s="14" t="inlineStr">
        <is>
          <t>DZA</t>
        </is>
      </c>
      <c r="C16" s="14" t="inlineStr">
        <is>
          <t>DZA</t>
        </is>
      </c>
      <c r="D16" s="14" t="inlineStr">
        <is>
          <t>Algeria</t>
        </is>
      </c>
      <c r="E16" s="14" t="n">
        <v>2023</v>
      </c>
      <c r="F16" s="14" t="n">
        <v>0.19</v>
      </c>
      <c r="G16" s="14" t="n">
        <v>6.147</v>
      </c>
      <c r="H16" s="14" t="n">
        <v>1.286</v>
      </c>
      <c r="I16" s="14" t="n">
        <v>0.273</v>
      </c>
      <c r="J16" s="14" t="n">
        <v>6.42</v>
      </c>
      <c r="K16" s="14" t="n">
        <v>0</v>
      </c>
      <c r="L16" s="14" t="n">
        <v>1</v>
      </c>
      <c r="M16" s="14" t="n">
        <v>7.886</v>
      </c>
      <c r="N16" s="14" t="n">
        <v>3.857</v>
      </c>
      <c r="O16" s="14" t="n">
        <v>0.227</v>
      </c>
      <c r="P16" s="14" t="n">
        <v>8.113</v>
      </c>
      <c r="Q16" s="14" t="n">
        <v>0</v>
      </c>
      <c r="R16" s="14" t="n">
        <v>1</v>
      </c>
      <c r="S16" s="14" t="n">
        <v>12.575</v>
      </c>
      <c r="T16" s="14" t="n">
        <v>7.714</v>
      </c>
      <c r="U16" s="14" t="n">
        <v>0.544</v>
      </c>
      <c r="V16" s="14" t="n">
        <v>15.29</v>
      </c>
      <c r="W16" s="14" t="n">
        <v>0.19</v>
      </c>
      <c r="X16" s="14" t="n">
        <v>1</v>
      </c>
      <c r="Y16" s="14" t="n">
        <v>4.272</v>
      </c>
      <c r="Z16" s="14" t="n">
        <v>0.469</v>
      </c>
      <c r="AA16" s="14" t="n">
        <v>-3.047</v>
      </c>
      <c r="AB16" s="14" t="n">
        <v>1.225</v>
      </c>
      <c r="AC16" s="14" t="n">
        <v>0</v>
      </c>
      <c r="AD16" s="14" t="n">
        <v>0</v>
      </c>
      <c r="AE16" s="14" t="n">
        <v>4.915</v>
      </c>
      <c r="AF16" s="14" t="n">
        <v>0.956</v>
      </c>
      <c r="AG16" s="14" t="n">
        <v>-3.938</v>
      </c>
      <c r="AH16" s="14" t="n">
        <v>0.977</v>
      </c>
      <c r="AI16" s="14" t="n">
        <v>0</v>
      </c>
      <c r="AJ16" s="14" t="n">
        <v>0</v>
      </c>
      <c r="AK16" s="14" t="n">
        <v>8.772</v>
      </c>
      <c r="AL16" s="14" t="n">
        <v>4.138</v>
      </c>
      <c r="AM16" s="14" t="n">
        <v>-8.112</v>
      </c>
      <c r="AN16" s="14" t="n">
        <v>0.785</v>
      </c>
      <c r="AO16" s="14" t="n">
        <v>0</v>
      </c>
      <c r="AP16" s="14" t="n">
        <v>0</v>
      </c>
      <c r="AQ16" s="14" t="n">
        <v>0.749</v>
      </c>
      <c r="AR16" s="14" t="n">
        <v>0.129</v>
      </c>
      <c r="AS16" s="14" t="n">
        <v>-0.464</v>
      </c>
      <c r="AT16" s="14" t="n">
        <v>0.338</v>
      </c>
      <c r="AU16" s="14" t="n">
        <v>0</v>
      </c>
      <c r="AV16" s="14" t="n">
        <v>0</v>
      </c>
      <c r="AW16" s="14" t="n">
        <v>0.783</v>
      </c>
      <c r="AX16" s="14" t="n">
        <v>0.129</v>
      </c>
      <c r="AY16" s="14" t="n">
        <v>-0.603</v>
      </c>
      <c r="AZ16" s="14" t="n">
        <v>0.214</v>
      </c>
      <c r="BA16" s="14" t="n">
        <v>0</v>
      </c>
      <c r="BB16" s="14" t="n">
        <v>0</v>
      </c>
      <c r="BC16" s="14" t="n">
        <v>0.527</v>
      </c>
      <c r="BD16" s="14" t="n">
        <v>0.129</v>
      </c>
      <c r="BE16" s="14" t="n">
        <v>-0.472</v>
      </c>
      <c r="BF16" s="14" t="n">
        <v>0.066</v>
      </c>
      <c r="BG16" s="14" t="n">
        <v>0</v>
      </c>
      <c r="BH16" s="14" t="n">
        <v>0</v>
      </c>
      <c r="BI16" s="14" t="n">
        <v>0.64</v>
      </c>
      <c r="BJ16" s="14" t="n">
        <v>0.129</v>
      </c>
      <c r="BK16" s="14" t="n">
        <v>0.013</v>
      </c>
      <c r="BL16" s="14" t="n">
        <v>0.761</v>
      </c>
      <c r="BM16" s="14" t="n">
        <v>0.19</v>
      </c>
      <c r="BN16" s="14" t="n">
        <v>1</v>
      </c>
      <c r="BO16" s="14" t="n">
        <v>0</v>
      </c>
      <c r="BP16" s="14" t="n">
        <v>-0.067</v>
      </c>
      <c r="BQ16" s="14" t="n">
        <v>0.013</v>
      </c>
      <c r="BR16" s="14" t="n">
        <v>0</v>
      </c>
      <c r="BS16" s="14" t="n">
        <v>0.667</v>
      </c>
      <c r="BT16" s="14" t="n">
        <v>0</v>
      </c>
      <c r="BU16" s="14" t="n">
        <v>-0.067</v>
      </c>
      <c r="BV16" s="14" t="n">
        <v>0.039</v>
      </c>
      <c r="BW16" s="14" t="n">
        <v>0</v>
      </c>
      <c r="BX16" s="14" t="n">
        <v>0.667</v>
      </c>
      <c r="BY16" s="14" t="n">
        <v>13.254</v>
      </c>
      <c r="BZ16" s="14" t="n">
        <v>0</v>
      </c>
      <c r="CA16" s="14" t="n">
        <v>13.254</v>
      </c>
      <c r="CB16" s="14" t="n">
        <v>0</v>
      </c>
      <c r="CC16" s="14" t="n">
        <v>87.07899999999999</v>
      </c>
      <c r="CD16" s="14" t="n">
        <v>7.95</v>
      </c>
      <c r="CE16" s="14" t="n">
        <v>-73.703</v>
      </c>
      <c r="CF16" s="14" t="n">
        <v>15.917</v>
      </c>
      <c r="CG16" s="14" t="n">
        <v>0</v>
      </c>
      <c r="CH16" s="14" t="n">
        <v>0</v>
      </c>
      <c r="CI16" s="14" t="n">
        <v>0</v>
      </c>
      <c r="CJ16" s="14" t="n">
        <v>0</v>
      </c>
      <c r="CK16" s="14" t="n">
        <v>0</v>
      </c>
      <c r="CL16" s="14" t="n">
        <v>0</v>
      </c>
      <c r="CM16" s="14" t="n">
        <v>0</v>
      </c>
      <c r="CN16" s="14" t="n">
        <v>0</v>
      </c>
      <c r="CO16" s="14" t="n">
        <v>0</v>
      </c>
      <c r="CP16" s="14" t="n">
        <v>0</v>
      </c>
      <c r="CQ16" s="14" t="n">
        <v>1.348</v>
      </c>
      <c r="CR16" s="14" t="n">
        <v>1</v>
      </c>
      <c r="CS16" s="14" t="n">
        <v>3.629</v>
      </c>
      <c r="CT16" s="14" t="n">
        <v>4.861</v>
      </c>
      <c r="CU16" s="14" t="n">
        <v>9.260999999999999</v>
      </c>
    </row>
    <row r="17">
      <c r="A17" s="14" t="inlineStr">
        <is>
          <t>DZA2024</t>
        </is>
      </c>
      <c r="B17" s="14" t="inlineStr">
        <is>
          <t>DZA</t>
        </is>
      </c>
      <c r="C17" s="14" t="inlineStr">
        <is>
          <t>DZA</t>
        </is>
      </c>
      <c r="D17" s="14" t="inlineStr">
        <is>
          <t>Algeria</t>
        </is>
      </c>
      <c r="E17" s="14" t="n">
        <v>2024</v>
      </c>
      <c r="F17" s="14" t="n">
        <v>0.19</v>
      </c>
      <c r="G17" s="14" t="n">
        <v>5.575</v>
      </c>
      <c r="H17" s="14" t="n">
        <v>1.324</v>
      </c>
      <c r="I17" s="14" t="n">
        <v>0.213</v>
      </c>
      <c r="J17" s="14" t="n">
        <v>5.787</v>
      </c>
      <c r="K17" s="14" t="n">
        <v>0</v>
      </c>
      <c r="L17" s="14" t="n">
        <v>1</v>
      </c>
      <c r="M17" s="14" t="n">
        <v>7.124</v>
      </c>
      <c r="N17" s="14" t="n">
        <v>3.971</v>
      </c>
      <c r="O17" s="14" t="n">
        <v>0.158</v>
      </c>
      <c r="P17" s="14" t="n">
        <v>7.281</v>
      </c>
      <c r="Q17" s="14" t="n">
        <v>0</v>
      </c>
      <c r="R17" s="14" t="n">
        <v>1</v>
      </c>
      <c r="S17" s="14" t="n">
        <v>12.193</v>
      </c>
      <c r="T17" s="14" t="n">
        <v>7.942</v>
      </c>
      <c r="U17" s="14" t="n">
        <v>0.534</v>
      </c>
      <c r="V17" s="14" t="n">
        <v>14.762</v>
      </c>
      <c r="W17" s="14" t="n">
        <v>0.19</v>
      </c>
      <c r="X17" s="14" t="n">
        <v>1</v>
      </c>
      <c r="Y17" s="14" t="n">
        <v>4.398</v>
      </c>
      <c r="Z17" s="14" t="n">
        <v>0.483</v>
      </c>
      <c r="AA17" s="14" t="n">
        <v>-3.137</v>
      </c>
      <c r="AB17" s="14" t="n">
        <v>1.262</v>
      </c>
      <c r="AC17" s="14" t="n">
        <v>0</v>
      </c>
      <c r="AD17" s="14" t="n">
        <v>0</v>
      </c>
      <c r="AE17" s="14" t="n">
        <v>5.06</v>
      </c>
      <c r="AF17" s="14" t="n">
        <v>0.984</v>
      </c>
      <c r="AG17" s="14" t="n">
        <v>-4.07</v>
      </c>
      <c r="AH17" s="14" t="n">
        <v>0.99</v>
      </c>
      <c r="AI17" s="14" t="n">
        <v>0</v>
      </c>
      <c r="AJ17" s="14" t="n">
        <v>0</v>
      </c>
      <c r="AK17" s="14" t="n">
        <v>9.031000000000001</v>
      </c>
      <c r="AL17" s="14" t="n">
        <v>4.26</v>
      </c>
      <c r="AM17" s="14" t="n">
        <v>-8.362</v>
      </c>
      <c r="AN17" s="14" t="n">
        <v>0.796</v>
      </c>
      <c r="AO17" s="14" t="n">
        <v>0</v>
      </c>
      <c r="AP17" s="14" t="n">
        <v>0</v>
      </c>
      <c r="AQ17" s="14" t="n">
        <v>0.72</v>
      </c>
      <c r="AR17" s="14" t="n">
        <v>0.132</v>
      </c>
      <c r="AS17" s="14" t="n">
        <v>-0.432</v>
      </c>
      <c r="AT17" s="14" t="n">
        <v>0.343</v>
      </c>
      <c r="AU17" s="14" t="n">
        <v>0</v>
      </c>
      <c r="AV17" s="14" t="n">
        <v>0</v>
      </c>
      <c r="AW17" s="14" t="n">
        <v>0.734</v>
      </c>
      <c r="AX17" s="14" t="n">
        <v>0.132</v>
      </c>
      <c r="AY17" s="14" t="n">
        <v>-0.552</v>
      </c>
      <c r="AZ17" s="14" t="n">
        <v>0.216</v>
      </c>
      <c r="BA17" s="14" t="n">
        <v>0</v>
      </c>
      <c r="BB17" s="14" t="n">
        <v>0</v>
      </c>
      <c r="BC17" s="14" t="n">
        <v>0.51</v>
      </c>
      <c r="BD17" s="14" t="n">
        <v>0.132</v>
      </c>
      <c r="BE17" s="14" t="n">
        <v>-0.454</v>
      </c>
      <c r="BF17" s="14" t="n">
        <v>0.067</v>
      </c>
      <c r="BG17" s="14" t="n">
        <v>0</v>
      </c>
      <c r="BH17" s="14" t="n">
        <v>0</v>
      </c>
      <c r="BI17" s="14" t="n">
        <v>0.652</v>
      </c>
      <c r="BJ17" s="14" t="n">
        <v>0.132</v>
      </c>
      <c r="BK17" s="14" t="n">
        <v>0.017</v>
      </c>
      <c r="BL17" s="14" t="n">
        <v>0.776</v>
      </c>
      <c r="BM17" s="14" t="n">
        <v>0.19</v>
      </c>
      <c r="BN17" s="14" t="n">
        <v>1</v>
      </c>
      <c r="BO17" s="14" t="n">
        <v>0</v>
      </c>
      <c r="BP17" s="14" t="n">
        <v>-0.06900000000000001</v>
      </c>
      <c r="BQ17" s="14" t="n">
        <v>0.013</v>
      </c>
      <c r="BR17" s="14" t="n">
        <v>0</v>
      </c>
      <c r="BS17" s="14" t="n">
        <v>0.667</v>
      </c>
      <c r="BT17" s="14" t="n">
        <v>0</v>
      </c>
      <c r="BU17" s="14" t="n">
        <v>-0.06900000000000001</v>
      </c>
      <c r="BV17" s="14" t="n">
        <v>0.036</v>
      </c>
      <c r="BW17" s="14" t="n">
        <v>0</v>
      </c>
      <c r="BX17" s="14" t="n">
        <v>0.667</v>
      </c>
      <c r="BY17" s="14" t="n">
        <v>13.646</v>
      </c>
      <c r="BZ17" s="14" t="n">
        <v>0</v>
      </c>
      <c r="CA17" s="14" t="n">
        <v>13.646</v>
      </c>
      <c r="CB17" s="14" t="n">
        <v>0</v>
      </c>
      <c r="CC17" s="14" t="n">
        <v>86.38500000000001</v>
      </c>
      <c r="CD17" s="14" t="n">
        <v>7.95</v>
      </c>
      <c r="CE17" s="14" t="n">
        <v>-72.831</v>
      </c>
      <c r="CF17" s="14" t="n">
        <v>16.129</v>
      </c>
      <c r="CG17" s="14" t="n">
        <v>0</v>
      </c>
      <c r="CH17" s="14" t="n">
        <v>0</v>
      </c>
      <c r="CI17" s="14" t="n">
        <v>0</v>
      </c>
      <c r="CJ17" s="14" t="n">
        <v>0</v>
      </c>
      <c r="CK17" s="14" t="n">
        <v>0</v>
      </c>
      <c r="CL17" s="14" t="n">
        <v>0</v>
      </c>
      <c r="CM17" s="14" t="n">
        <v>0</v>
      </c>
      <c r="CN17" s="14" t="n">
        <v>0</v>
      </c>
      <c r="CO17" s="14" t="n">
        <v>0</v>
      </c>
      <c r="CP17" s="14" t="n">
        <v>0</v>
      </c>
      <c r="CQ17" s="14" t="n">
        <v>1.387</v>
      </c>
      <c r="CR17" s="14" t="n">
        <v>1</v>
      </c>
      <c r="CS17" s="14" t="n">
        <v>3.737</v>
      </c>
      <c r="CT17" s="14" t="n">
        <v>4.251</v>
      </c>
      <c r="CU17" s="14" t="n">
        <v>7.598</v>
      </c>
    </row>
    <row r="18">
      <c r="A18" s="14" t="inlineStr">
        <is>
          <t>ASM2021</t>
        </is>
      </c>
      <c r="B18" s="14" t="inlineStr">
        <is>
          <t>ASM</t>
        </is>
      </c>
      <c r="C18" s="14" t="inlineStr">
        <is>
          <t>ASM</t>
        </is>
      </c>
      <c r="D18" s="14" t="inlineStr">
        <is>
          <t>American Samoa</t>
        </is>
      </c>
      <c r="E18" s="14" t="n">
        <v>2021</v>
      </c>
      <c r="F18" s="14" t="n">
        <v>0</v>
      </c>
      <c r="G18" s="14" t="n">
        <v>4.747</v>
      </c>
      <c r="H18" s="14" t="n">
        <v>1.143</v>
      </c>
      <c r="I18" s="14" t="n">
        <v>0</v>
      </c>
      <c r="J18" s="14" t="n">
        <v>4.747</v>
      </c>
      <c r="K18" s="14" t="n">
        <v>0</v>
      </c>
      <c r="L18" s="14" t="n">
        <v>1</v>
      </c>
      <c r="M18" s="14" t="n">
        <v>7.964</v>
      </c>
      <c r="N18" s="14" t="n">
        <v>3.43</v>
      </c>
      <c r="O18" s="14" t="n">
        <v>0</v>
      </c>
      <c r="P18" s="14" t="n">
        <v>7.964</v>
      </c>
      <c r="Q18" s="14" t="n">
        <v>0</v>
      </c>
      <c r="R18" s="14" t="n">
        <v>1</v>
      </c>
      <c r="S18" s="14" t="n">
        <v>10.464</v>
      </c>
      <c r="T18" s="14" t="n">
        <v>6.86</v>
      </c>
      <c r="U18" s="14" t="n">
        <v>0</v>
      </c>
      <c r="V18" s="14" t="n">
        <v>10.464</v>
      </c>
      <c r="W18" s="14" t="n">
        <v>0</v>
      </c>
      <c r="X18" s="14" t="n">
        <v>1</v>
      </c>
      <c r="Y18" s="14" t="n">
        <v>10.551</v>
      </c>
      <c r="Z18" s="14" t="n">
        <v>1.302</v>
      </c>
      <c r="AA18" s="14" t="n">
        <v>0</v>
      </c>
      <c r="AB18" s="14" t="n">
        <v>10.551</v>
      </c>
      <c r="AC18" s="14" t="n">
        <v>0</v>
      </c>
      <c r="AD18" s="14" t="n">
        <v>1</v>
      </c>
      <c r="AE18" s="14" t="n">
        <v>11.694</v>
      </c>
      <c r="AF18" s="14" t="n">
        <v>2.549</v>
      </c>
      <c r="AG18" s="14" t="n">
        <v>0</v>
      </c>
      <c r="AH18" s="14" t="n">
        <v>11.694</v>
      </c>
      <c r="AI18" s="14" t="n">
        <v>0</v>
      </c>
      <c r="AJ18" s="14" t="n">
        <v>1</v>
      </c>
      <c r="AK18" s="14" t="n">
        <v>18.554</v>
      </c>
      <c r="AL18" s="14" t="n">
        <v>9.627000000000001</v>
      </c>
      <c r="AM18" s="14" t="n">
        <v>0</v>
      </c>
      <c r="AN18" s="14" t="n">
        <v>18.554</v>
      </c>
      <c r="AO18" s="14" t="n">
        <v>0</v>
      </c>
      <c r="AP18" s="14" t="n">
        <v>1</v>
      </c>
      <c r="AQ18" s="14" t="n">
        <v>0.621</v>
      </c>
      <c r="AR18" s="14" t="n">
        <v>0.114</v>
      </c>
      <c r="AS18" s="14" t="n">
        <v>0</v>
      </c>
      <c r="AT18" s="14" t="n">
        <v>0.621</v>
      </c>
      <c r="AU18" s="14" t="n">
        <v>0</v>
      </c>
      <c r="AV18" s="14" t="n">
        <v>1</v>
      </c>
      <c r="AW18" s="14" t="n">
        <v>0.593</v>
      </c>
      <c r="AX18" s="14" t="n">
        <v>0.114</v>
      </c>
      <c r="AY18" s="14" t="n">
        <v>0</v>
      </c>
      <c r="AZ18" s="14" t="n">
        <v>0.593</v>
      </c>
      <c r="BA18" s="14" t="n">
        <v>0</v>
      </c>
      <c r="BB18" s="14" t="n">
        <v>1</v>
      </c>
      <c r="BC18" s="14" t="n">
        <v>0.44</v>
      </c>
      <c r="BD18" s="14" t="n">
        <v>0.114</v>
      </c>
      <c r="BE18" s="14" t="n">
        <v>0</v>
      </c>
      <c r="BF18" s="14" t="n">
        <v>0.44</v>
      </c>
      <c r="BG18" s="14" t="n">
        <v>0</v>
      </c>
      <c r="BH18" s="14" t="n">
        <v>1</v>
      </c>
      <c r="BI18" s="14" t="n">
        <v>0.5600000000000001</v>
      </c>
      <c r="BJ18" s="14" t="n">
        <v>0.114</v>
      </c>
      <c r="BK18" s="14" t="n">
        <v>0</v>
      </c>
      <c r="BL18" s="14" t="n">
        <v>0.5600000000000001</v>
      </c>
      <c r="BM18" s="14" t="n">
        <v>0</v>
      </c>
      <c r="BN18" s="14" t="n">
        <v>1</v>
      </c>
      <c r="BO18" s="14" t="n">
        <v>0</v>
      </c>
      <c r="BP18" s="14" t="n">
        <v>0</v>
      </c>
      <c r="BQ18" s="14" t="n">
        <v>0</v>
      </c>
      <c r="BR18" s="14" t="n">
        <v>0</v>
      </c>
      <c r="BS18" s="14" t="n">
        <v>1</v>
      </c>
      <c r="BT18" s="14" t="n">
        <v>0</v>
      </c>
      <c r="BU18" s="14" t="n">
        <v>0</v>
      </c>
      <c r="BV18" s="14" t="n">
        <v>0</v>
      </c>
      <c r="BW18" s="14" t="n">
        <v>0</v>
      </c>
      <c r="BX18" s="14" t="n">
        <v>1</v>
      </c>
      <c r="BY18" s="14" t="n">
        <v>11.787</v>
      </c>
      <c r="BZ18" s="14" t="n">
        <v>0</v>
      </c>
      <c r="CA18" s="14" t="n">
        <v>11.787</v>
      </c>
      <c r="CB18" s="14" t="n">
        <v>0</v>
      </c>
      <c r="CC18" s="14" t="n">
        <v>81.69499999999999</v>
      </c>
      <c r="CD18" s="14" t="n">
        <v>7.95</v>
      </c>
      <c r="CE18" s="14" t="n">
        <v>0</v>
      </c>
      <c r="CF18" s="14" t="n">
        <v>81.69499999999999</v>
      </c>
      <c r="CG18" s="14" t="n">
        <v>0</v>
      </c>
      <c r="CH18" s="14" t="n">
        <v>1</v>
      </c>
      <c r="CI18" s="14" t="n">
        <v>0</v>
      </c>
      <c r="CJ18" s="14" t="n">
        <v>0</v>
      </c>
      <c r="CK18" s="14" t="n">
        <v>0</v>
      </c>
      <c r="CL18" s="14" t="n">
        <v>0</v>
      </c>
      <c r="CM18" s="14" t="n">
        <v>0</v>
      </c>
      <c r="CN18" s="14" t="n">
        <v>0</v>
      </c>
      <c r="CO18" s="14" t="n">
        <v>0</v>
      </c>
      <c r="CP18" s="14" t="n">
        <v>0</v>
      </c>
      <c r="CQ18" s="14" t="n">
        <v>1.198</v>
      </c>
      <c r="CR18" s="14" t="n">
        <v>0</v>
      </c>
      <c r="CS18" s="14" t="n">
        <v>4.776</v>
      </c>
      <c r="CT18" s="14" t="n">
        <v>3.604</v>
      </c>
      <c r="CU18" s="14" t="n">
        <v>9.407999999999999</v>
      </c>
    </row>
    <row r="19">
      <c r="A19" s="14" t="inlineStr">
        <is>
          <t>ASM2022</t>
        </is>
      </c>
      <c r="B19" s="14" t="inlineStr">
        <is>
          <t>ASM</t>
        </is>
      </c>
      <c r="C19" s="14" t="inlineStr">
        <is>
          <t>ASM</t>
        </is>
      </c>
      <c r="D19" s="14" t="inlineStr">
        <is>
          <t>American Samoa</t>
        </is>
      </c>
      <c r="E19" s="14" t="n">
        <v>2022</v>
      </c>
      <c r="F19" s="14" t="n">
        <v>0</v>
      </c>
      <c r="G19" s="14" t="n">
        <v>8.788</v>
      </c>
      <c r="H19" s="14" t="n">
        <v>1.235</v>
      </c>
      <c r="I19" s="14" t="n">
        <v>0</v>
      </c>
      <c r="J19" s="14" t="n">
        <v>8.788</v>
      </c>
      <c r="K19" s="14" t="n">
        <v>0</v>
      </c>
      <c r="L19" s="14" t="n">
        <v>1</v>
      </c>
      <c r="M19" s="14" t="n">
        <v>9.782999999999999</v>
      </c>
      <c r="N19" s="14" t="n">
        <v>3.704</v>
      </c>
      <c r="O19" s="14" t="n">
        <v>0</v>
      </c>
      <c r="P19" s="14" t="n">
        <v>9.782999999999999</v>
      </c>
      <c r="Q19" s="14" t="n">
        <v>0</v>
      </c>
      <c r="R19" s="14" t="n">
        <v>1</v>
      </c>
      <c r="S19" s="14" t="n">
        <v>14.962</v>
      </c>
      <c r="T19" s="14" t="n">
        <v>7.408</v>
      </c>
      <c r="U19" s="14" t="n">
        <v>0</v>
      </c>
      <c r="V19" s="14" t="n">
        <v>14.962</v>
      </c>
      <c r="W19" s="14" t="n">
        <v>0</v>
      </c>
      <c r="X19" s="14" t="n">
        <v>1</v>
      </c>
      <c r="Y19" s="14" t="n">
        <v>17.332</v>
      </c>
      <c r="Z19" s="14" t="n">
        <v>2.139</v>
      </c>
      <c r="AA19" s="14" t="n">
        <v>0</v>
      </c>
      <c r="AB19" s="14" t="n">
        <v>17.332</v>
      </c>
      <c r="AC19" s="14" t="n">
        <v>0</v>
      </c>
      <c r="AD19" s="14" t="n">
        <v>1</v>
      </c>
      <c r="AE19" s="14" t="n">
        <v>18.566</v>
      </c>
      <c r="AF19" s="14" t="n">
        <v>4.048</v>
      </c>
      <c r="AG19" s="14" t="n">
        <v>0</v>
      </c>
      <c r="AH19" s="14" t="n">
        <v>18.566</v>
      </c>
      <c r="AI19" s="14" t="n">
        <v>0</v>
      </c>
      <c r="AJ19" s="14" t="n">
        <v>1</v>
      </c>
      <c r="AK19" s="14" t="n">
        <v>25.974</v>
      </c>
      <c r="AL19" s="14" t="n">
        <v>13.478</v>
      </c>
      <c r="AM19" s="14" t="n">
        <v>0</v>
      </c>
      <c r="AN19" s="14" t="n">
        <v>25.974</v>
      </c>
      <c r="AO19" s="14" t="n">
        <v>0</v>
      </c>
      <c r="AP19" s="14" t="n">
        <v>1</v>
      </c>
      <c r="AQ19" s="14" t="n">
        <v>0.847</v>
      </c>
      <c r="AR19" s="14" t="n">
        <v>0.123</v>
      </c>
      <c r="AS19" s="14" t="n">
        <v>0</v>
      </c>
      <c r="AT19" s="14" t="n">
        <v>0.847</v>
      </c>
      <c r="AU19" s="14" t="n">
        <v>0</v>
      </c>
      <c r="AV19" s="14" t="n">
        <v>1</v>
      </c>
      <c r="AW19" s="14" t="n">
        <v>0.947</v>
      </c>
      <c r="AX19" s="14" t="n">
        <v>0.123</v>
      </c>
      <c r="AY19" s="14" t="n">
        <v>0</v>
      </c>
      <c r="AZ19" s="14" t="n">
        <v>0.947</v>
      </c>
      <c r="BA19" s="14" t="n">
        <v>0</v>
      </c>
      <c r="BB19" s="14" t="n">
        <v>1</v>
      </c>
      <c r="BC19" s="14" t="n">
        <v>0.589</v>
      </c>
      <c r="BD19" s="14" t="n">
        <v>0.123</v>
      </c>
      <c r="BE19" s="14" t="n">
        <v>0</v>
      </c>
      <c r="BF19" s="14" t="n">
        <v>0.589</v>
      </c>
      <c r="BG19" s="14" t="n">
        <v>0</v>
      </c>
      <c r="BH19" s="14" t="n">
        <v>1</v>
      </c>
      <c r="BI19" s="14" t="n">
        <v>0.6889999999999999</v>
      </c>
      <c r="BJ19" s="14" t="n">
        <v>0.123</v>
      </c>
      <c r="BK19" s="14" t="n">
        <v>0</v>
      </c>
      <c r="BL19" s="14" t="n">
        <v>0.6889999999999999</v>
      </c>
      <c r="BM19" s="14" t="n">
        <v>0</v>
      </c>
      <c r="BN19" s="14" t="n">
        <v>1</v>
      </c>
      <c r="BO19" s="14" t="n">
        <v>0</v>
      </c>
      <c r="BP19" s="14" t="n">
        <v>0</v>
      </c>
      <c r="BQ19" s="14" t="n">
        <v>0</v>
      </c>
      <c r="BR19" s="14" t="n">
        <v>0</v>
      </c>
      <c r="BS19" s="14" t="n">
        <v>1</v>
      </c>
      <c r="BT19" s="14" t="n">
        <v>0</v>
      </c>
      <c r="BU19" s="14" t="n">
        <v>0</v>
      </c>
      <c r="BV19" s="14" t="n">
        <v>0</v>
      </c>
      <c r="BW19" s="14" t="n">
        <v>0</v>
      </c>
      <c r="BX19" s="14" t="n">
        <v>1</v>
      </c>
      <c r="BY19" s="14" t="n">
        <v>12.729</v>
      </c>
      <c r="BZ19" s="14" t="n">
        <v>0</v>
      </c>
      <c r="CA19" s="14" t="n">
        <v>12.729</v>
      </c>
      <c r="CB19" s="14" t="n">
        <v>0</v>
      </c>
      <c r="CC19" s="14" t="n">
        <v>102.477</v>
      </c>
      <c r="CD19" s="14" t="n">
        <v>7.95</v>
      </c>
      <c r="CE19" s="14" t="n">
        <v>0</v>
      </c>
      <c r="CF19" s="14" t="n">
        <v>102.477</v>
      </c>
      <c r="CG19" s="14" t="n">
        <v>0</v>
      </c>
      <c r="CH19" s="14" t="n">
        <v>1</v>
      </c>
      <c r="CI19" s="14" t="n">
        <v>0</v>
      </c>
      <c r="CJ19" s="14" t="n">
        <v>0</v>
      </c>
      <c r="CK19" s="14" t="n">
        <v>0</v>
      </c>
      <c r="CL19" s="14" t="n">
        <v>0</v>
      </c>
      <c r="CM19" s="14" t="n">
        <v>0</v>
      </c>
      <c r="CN19" s="14" t="n">
        <v>0</v>
      </c>
      <c r="CO19" s="14" t="n">
        <v>0</v>
      </c>
      <c r="CP19" s="14" t="n">
        <v>0</v>
      </c>
      <c r="CQ19" s="14" t="n">
        <v>1.294</v>
      </c>
      <c r="CR19" s="14" t="n">
        <v>0</v>
      </c>
      <c r="CS19" s="14" t="n">
        <v>5.158</v>
      </c>
      <c r="CT19" s="14" t="n">
        <v>7.554</v>
      </c>
      <c r="CU19" s="14" t="n">
        <v>16.097</v>
      </c>
    </row>
    <row r="20">
      <c r="A20" s="14" t="inlineStr">
        <is>
          <t>ASM2023</t>
        </is>
      </c>
      <c r="B20" s="14" t="inlineStr">
        <is>
          <t>ASM</t>
        </is>
      </c>
      <c r="C20" s="14" t="inlineStr">
        <is>
          <t>ASM</t>
        </is>
      </c>
      <c r="D20" s="14" t="inlineStr">
        <is>
          <t>American Samoa</t>
        </is>
      </c>
      <c r="E20" s="14" t="n">
        <v>2023</v>
      </c>
      <c r="F20" s="14" t="n">
        <v>0</v>
      </c>
      <c r="G20" s="14" t="n">
        <v>5.77</v>
      </c>
      <c r="H20" s="14" t="n">
        <v>1.286</v>
      </c>
      <c r="I20" s="14" t="n">
        <v>0</v>
      </c>
      <c r="J20" s="14" t="n">
        <v>5.77</v>
      </c>
      <c r="K20" s="14" t="n">
        <v>0</v>
      </c>
      <c r="L20" s="14" t="n">
        <v>1</v>
      </c>
      <c r="M20" s="14" t="n">
        <v>7.886</v>
      </c>
      <c r="N20" s="14" t="n">
        <v>3.857</v>
      </c>
      <c r="O20" s="14" t="n">
        <v>0</v>
      </c>
      <c r="P20" s="14" t="n">
        <v>7.886</v>
      </c>
      <c r="Q20" s="14" t="n">
        <v>0</v>
      </c>
      <c r="R20" s="14" t="n">
        <v>1</v>
      </c>
      <c r="S20" s="14" t="n">
        <v>12.198</v>
      </c>
      <c r="T20" s="14" t="n">
        <v>7.714</v>
      </c>
      <c r="U20" s="14" t="n">
        <v>0</v>
      </c>
      <c r="V20" s="14" t="n">
        <v>12.198</v>
      </c>
      <c r="W20" s="14" t="n">
        <v>0</v>
      </c>
      <c r="X20" s="14" t="n">
        <v>1</v>
      </c>
      <c r="Y20" s="14" t="n">
        <v>13.814</v>
      </c>
      <c r="Z20" s="14" t="n">
        <v>1.705</v>
      </c>
      <c r="AA20" s="14" t="n">
        <v>0</v>
      </c>
      <c r="AB20" s="14" t="n">
        <v>13.814</v>
      </c>
      <c r="AC20" s="14" t="n">
        <v>0</v>
      </c>
      <c r="AD20" s="14" t="n">
        <v>1</v>
      </c>
      <c r="AE20" s="14" t="n">
        <v>15.1</v>
      </c>
      <c r="AF20" s="14" t="n">
        <v>3.292</v>
      </c>
      <c r="AG20" s="14" t="n">
        <v>0</v>
      </c>
      <c r="AH20" s="14" t="n">
        <v>15.1</v>
      </c>
      <c r="AI20" s="14" t="n">
        <v>0</v>
      </c>
      <c r="AJ20" s="14" t="n">
        <v>1</v>
      </c>
      <c r="AK20" s="14" t="n">
        <v>22.814</v>
      </c>
      <c r="AL20" s="14" t="n">
        <v>11.838</v>
      </c>
      <c r="AM20" s="14" t="n">
        <v>0</v>
      </c>
      <c r="AN20" s="14" t="n">
        <v>22.814</v>
      </c>
      <c r="AO20" s="14" t="n">
        <v>0</v>
      </c>
      <c r="AP20" s="14" t="n">
        <v>1</v>
      </c>
      <c r="AQ20" s="14" t="n">
        <v>0.749</v>
      </c>
      <c r="AR20" s="14" t="n">
        <v>0.129</v>
      </c>
      <c r="AS20" s="14" t="n">
        <v>0</v>
      </c>
      <c r="AT20" s="14" t="n">
        <v>0.749</v>
      </c>
      <c r="AU20" s="14" t="n">
        <v>0</v>
      </c>
      <c r="AV20" s="14" t="n">
        <v>1</v>
      </c>
      <c r="AW20" s="14" t="n">
        <v>0.783</v>
      </c>
      <c r="AX20" s="14" t="n">
        <v>0.129</v>
      </c>
      <c r="AY20" s="14" t="n">
        <v>0</v>
      </c>
      <c r="AZ20" s="14" t="n">
        <v>0.783</v>
      </c>
      <c r="BA20" s="14" t="n">
        <v>0</v>
      </c>
      <c r="BB20" s="14" t="n">
        <v>1</v>
      </c>
      <c r="BC20" s="14" t="n">
        <v>0.527</v>
      </c>
      <c r="BD20" s="14" t="n">
        <v>0.129</v>
      </c>
      <c r="BE20" s="14" t="n">
        <v>0</v>
      </c>
      <c r="BF20" s="14" t="n">
        <v>0.527</v>
      </c>
      <c r="BG20" s="14" t="n">
        <v>0</v>
      </c>
      <c r="BH20" s="14" t="n">
        <v>1</v>
      </c>
      <c r="BI20" s="14" t="n">
        <v>0.64</v>
      </c>
      <c r="BJ20" s="14" t="n">
        <v>0.129</v>
      </c>
      <c r="BK20" s="14" t="n">
        <v>0</v>
      </c>
      <c r="BL20" s="14" t="n">
        <v>0.64</v>
      </c>
      <c r="BM20" s="14" t="n">
        <v>0</v>
      </c>
      <c r="BN20" s="14" t="n">
        <v>1</v>
      </c>
      <c r="BO20" s="14" t="n">
        <v>0</v>
      </c>
      <c r="BP20" s="14" t="n">
        <v>0</v>
      </c>
      <c r="BQ20" s="14" t="n">
        <v>0</v>
      </c>
      <c r="BR20" s="14" t="n">
        <v>0</v>
      </c>
      <c r="BS20" s="14" t="n">
        <v>1</v>
      </c>
      <c r="BT20" s="14" t="n">
        <v>0</v>
      </c>
      <c r="BU20" s="14" t="n">
        <v>0</v>
      </c>
      <c r="BV20" s="14" t="n">
        <v>0</v>
      </c>
      <c r="BW20" s="14" t="n">
        <v>0</v>
      </c>
      <c r="BX20" s="14" t="n">
        <v>1</v>
      </c>
      <c r="BY20" s="14" t="n">
        <v>13.254</v>
      </c>
      <c r="BZ20" s="14" t="n">
        <v>0</v>
      </c>
      <c r="CA20" s="14" t="n">
        <v>13.254</v>
      </c>
      <c r="CB20" s="14" t="n">
        <v>0</v>
      </c>
      <c r="CC20" s="14" t="n">
        <v>87.07899999999999</v>
      </c>
      <c r="CD20" s="14" t="n">
        <v>7.95</v>
      </c>
      <c r="CE20" s="14" t="n">
        <v>0</v>
      </c>
      <c r="CF20" s="14" t="n">
        <v>87.07899999999999</v>
      </c>
      <c r="CG20" s="14" t="n">
        <v>0</v>
      </c>
      <c r="CH20" s="14" t="n">
        <v>1</v>
      </c>
      <c r="CI20" s="14" t="n">
        <v>0</v>
      </c>
      <c r="CJ20" s="14" t="n">
        <v>0</v>
      </c>
      <c r="CK20" s="14" t="n">
        <v>0</v>
      </c>
      <c r="CL20" s="14" t="n">
        <v>0</v>
      </c>
      <c r="CM20" s="14" t="n">
        <v>0</v>
      </c>
      <c r="CN20" s="14" t="n">
        <v>0</v>
      </c>
      <c r="CO20" s="14" t="n">
        <v>0</v>
      </c>
      <c r="CP20" s="14" t="n">
        <v>0</v>
      </c>
      <c r="CQ20" s="14" t="n">
        <v>1.348</v>
      </c>
      <c r="CR20" s="14" t="n">
        <v>0</v>
      </c>
      <c r="CS20" s="14" t="n">
        <v>5.37</v>
      </c>
      <c r="CT20" s="14" t="n">
        <v>4.484</v>
      </c>
      <c r="CU20" s="14" t="n">
        <v>12.529</v>
      </c>
    </row>
    <row r="21">
      <c r="A21" s="14" t="inlineStr">
        <is>
          <t>ASM2024</t>
        </is>
      </c>
      <c r="B21" s="14" t="inlineStr">
        <is>
          <t>ASM</t>
        </is>
      </c>
      <c r="C21" s="14" t="inlineStr">
        <is>
          <t>ASM</t>
        </is>
      </c>
      <c r="D21" s="14" t="inlineStr">
        <is>
          <t>American Samoa</t>
        </is>
      </c>
      <c r="E21" s="14" t="n">
        <v>2024</v>
      </c>
      <c r="F21" s="14" t="n">
        <v>0</v>
      </c>
      <c r="G21" s="14" t="n">
        <v>4.833</v>
      </c>
      <c r="H21" s="14" t="n">
        <v>1.324</v>
      </c>
      <c r="I21" s="14" t="n">
        <v>0</v>
      </c>
      <c r="J21" s="14" t="n">
        <v>4.833</v>
      </c>
      <c r="K21" s="14" t="n">
        <v>0</v>
      </c>
      <c r="L21" s="14" t="n">
        <v>1</v>
      </c>
      <c r="M21" s="14" t="n">
        <v>7.124</v>
      </c>
      <c r="N21" s="14" t="n">
        <v>3.971</v>
      </c>
      <c r="O21" s="14" t="n">
        <v>0</v>
      </c>
      <c r="P21" s="14" t="n">
        <v>7.124</v>
      </c>
      <c r="Q21" s="14" t="n">
        <v>0</v>
      </c>
      <c r="R21" s="14" t="n">
        <v>1</v>
      </c>
      <c r="S21" s="14" t="n">
        <v>11.451</v>
      </c>
      <c r="T21" s="14" t="n">
        <v>7.942</v>
      </c>
      <c r="U21" s="14" t="n">
        <v>0</v>
      </c>
      <c r="V21" s="14" t="n">
        <v>11.451</v>
      </c>
      <c r="W21" s="14" t="n">
        <v>0</v>
      </c>
      <c r="X21" s="14" t="n">
        <v>1</v>
      </c>
      <c r="Y21" s="14" t="n">
        <v>12.219</v>
      </c>
      <c r="Z21" s="14" t="n">
        <v>1.508</v>
      </c>
      <c r="AA21" s="14" t="n">
        <v>0</v>
      </c>
      <c r="AB21" s="14" t="n">
        <v>12.219</v>
      </c>
      <c r="AC21" s="14" t="n">
        <v>0</v>
      </c>
      <c r="AD21" s="14" t="n">
        <v>1</v>
      </c>
      <c r="AE21" s="14" t="n">
        <v>13.543</v>
      </c>
      <c r="AF21" s="14" t="n">
        <v>2.952</v>
      </c>
      <c r="AG21" s="14" t="n">
        <v>0</v>
      </c>
      <c r="AH21" s="14" t="n">
        <v>13.543</v>
      </c>
      <c r="AI21" s="14" t="n">
        <v>0</v>
      </c>
      <c r="AJ21" s="14" t="n">
        <v>1</v>
      </c>
      <c r="AK21" s="14" t="n">
        <v>21.484</v>
      </c>
      <c r="AL21" s="14" t="n">
        <v>11.148</v>
      </c>
      <c r="AM21" s="14" t="n">
        <v>0</v>
      </c>
      <c r="AN21" s="14" t="n">
        <v>21.484</v>
      </c>
      <c r="AO21" s="14" t="n">
        <v>0</v>
      </c>
      <c r="AP21" s="14" t="n">
        <v>1</v>
      </c>
      <c r="AQ21" s="14" t="n">
        <v>0.72</v>
      </c>
      <c r="AR21" s="14" t="n">
        <v>0.132</v>
      </c>
      <c r="AS21" s="14" t="n">
        <v>0</v>
      </c>
      <c r="AT21" s="14" t="n">
        <v>0.72</v>
      </c>
      <c r="AU21" s="14" t="n">
        <v>0</v>
      </c>
      <c r="AV21" s="14" t="n">
        <v>1</v>
      </c>
      <c r="AW21" s="14" t="n">
        <v>0.734</v>
      </c>
      <c r="AX21" s="14" t="n">
        <v>0.132</v>
      </c>
      <c r="AY21" s="14" t="n">
        <v>0</v>
      </c>
      <c r="AZ21" s="14" t="n">
        <v>0.734</v>
      </c>
      <c r="BA21" s="14" t="n">
        <v>0</v>
      </c>
      <c r="BB21" s="14" t="n">
        <v>1</v>
      </c>
      <c r="BC21" s="14" t="n">
        <v>0.51</v>
      </c>
      <c r="BD21" s="14" t="n">
        <v>0.132</v>
      </c>
      <c r="BE21" s="14" t="n">
        <v>0</v>
      </c>
      <c r="BF21" s="14" t="n">
        <v>0.51</v>
      </c>
      <c r="BG21" s="14" t="n">
        <v>0</v>
      </c>
      <c r="BH21" s="14" t="n">
        <v>1</v>
      </c>
      <c r="BI21" s="14" t="n">
        <v>0.652</v>
      </c>
      <c r="BJ21" s="14" t="n">
        <v>0.132</v>
      </c>
      <c r="BK21" s="14" t="n">
        <v>0</v>
      </c>
      <c r="BL21" s="14" t="n">
        <v>0.652</v>
      </c>
      <c r="BM21" s="14" t="n">
        <v>0</v>
      </c>
      <c r="BN21" s="14" t="n">
        <v>1</v>
      </c>
      <c r="BO21" s="14" t="n">
        <v>0</v>
      </c>
      <c r="BP21" s="14" t="n">
        <v>0</v>
      </c>
      <c r="BQ21" s="14" t="n">
        <v>0</v>
      </c>
      <c r="BR21" s="14" t="n">
        <v>0</v>
      </c>
      <c r="BS21" s="14" t="n">
        <v>1</v>
      </c>
      <c r="BT21" s="14" t="n">
        <v>0</v>
      </c>
      <c r="BU21" s="14" t="n">
        <v>0</v>
      </c>
      <c r="BV21" s="14" t="n">
        <v>0</v>
      </c>
      <c r="BW21" s="14" t="n">
        <v>0</v>
      </c>
      <c r="BX21" s="14" t="n">
        <v>1</v>
      </c>
      <c r="BY21" s="14" t="n">
        <v>13.646</v>
      </c>
      <c r="BZ21" s="14" t="n">
        <v>0</v>
      </c>
      <c r="CA21" s="14" t="n">
        <v>13.646</v>
      </c>
      <c r="CB21" s="14" t="n">
        <v>0</v>
      </c>
      <c r="CC21" s="14" t="n">
        <v>86.38500000000001</v>
      </c>
      <c r="CD21" s="14" t="n">
        <v>7.95</v>
      </c>
      <c r="CE21" s="14" t="n">
        <v>0</v>
      </c>
      <c r="CF21" s="14" t="n">
        <v>86.38500000000001</v>
      </c>
      <c r="CG21" s="14" t="n">
        <v>0</v>
      </c>
      <c r="CH21" s="14" t="n">
        <v>1</v>
      </c>
      <c r="CI21" s="14" t="n">
        <v>0</v>
      </c>
      <c r="CJ21" s="14" t="n">
        <v>0</v>
      </c>
      <c r="CK21" s="14" t="n">
        <v>0</v>
      </c>
      <c r="CL21" s="14" t="n">
        <v>0</v>
      </c>
      <c r="CM21" s="14" t="n">
        <v>0</v>
      </c>
      <c r="CN21" s="14" t="n">
        <v>0</v>
      </c>
      <c r="CO21" s="14" t="n">
        <v>0</v>
      </c>
      <c r="CP21" s="14" t="n">
        <v>0</v>
      </c>
      <c r="CQ21" s="14" t="n">
        <v>1.387</v>
      </c>
      <c r="CR21" s="14" t="n">
        <v>0</v>
      </c>
      <c r="CS21" s="14" t="n">
        <v>5.529</v>
      </c>
      <c r="CT21" s="14" t="n">
        <v>3.509</v>
      </c>
      <c r="CU21" s="14" t="n">
        <v>10.896</v>
      </c>
    </row>
    <row r="22">
      <c r="A22" s="14" t="inlineStr">
        <is>
          <t>AND2021</t>
        </is>
      </c>
      <c r="B22" s="14" t="inlineStr">
        <is>
          <t>AND</t>
        </is>
      </c>
      <c r="C22" s="14" t="inlineStr">
        <is>
          <t>AND</t>
        </is>
      </c>
      <c r="D22" s="14" t="inlineStr">
        <is>
          <t>Andorra</t>
        </is>
      </c>
      <c r="E22" s="14" t="n">
        <v>2021</v>
      </c>
      <c r="F22" s="14" t="n">
        <v>0.045</v>
      </c>
      <c r="G22" s="14" t="n">
        <v>5.553</v>
      </c>
      <c r="H22" s="14" t="n">
        <v>1.143</v>
      </c>
      <c r="I22" s="14" t="n">
        <v>0</v>
      </c>
      <c r="J22" s="14" t="n">
        <v>5.553</v>
      </c>
      <c r="K22" s="14" t="n">
        <v>0</v>
      </c>
      <c r="L22" s="14" t="n">
        <v>1</v>
      </c>
      <c r="M22" s="14" t="n">
        <v>7.964</v>
      </c>
      <c r="N22" s="14" t="n">
        <v>3.43</v>
      </c>
      <c r="O22" s="14" t="n">
        <v>0</v>
      </c>
      <c r="P22" s="14" t="n">
        <v>7.964</v>
      </c>
      <c r="Q22" s="14" t="n">
        <v>0</v>
      </c>
      <c r="R22" s="14" t="n">
        <v>1</v>
      </c>
      <c r="S22" s="14" t="n">
        <v>11.27</v>
      </c>
      <c r="T22" s="14" t="n">
        <v>6.86</v>
      </c>
      <c r="U22" s="14" t="n">
        <v>0</v>
      </c>
      <c r="V22" s="14" t="n">
        <v>11.777</v>
      </c>
      <c r="W22" s="14" t="n">
        <v>0.045</v>
      </c>
      <c r="X22" s="14" t="n">
        <v>1</v>
      </c>
      <c r="Y22" s="14" t="n">
        <v>16.296</v>
      </c>
      <c r="Z22" s="14" t="n">
        <v>2.202</v>
      </c>
      <c r="AA22" s="14" t="n">
        <v>0</v>
      </c>
      <c r="AB22" s="14" t="n">
        <v>16.296</v>
      </c>
      <c r="AC22" s="14" t="n">
        <v>0</v>
      </c>
      <c r="AD22" s="14" t="n">
        <v>1</v>
      </c>
      <c r="AE22" s="14" t="n">
        <v>17.439</v>
      </c>
      <c r="AF22" s="14" t="n">
        <v>4.078</v>
      </c>
      <c r="AG22" s="14" t="n">
        <v>0</v>
      </c>
      <c r="AH22" s="14" t="n">
        <v>17.439</v>
      </c>
      <c r="AI22" s="14" t="n">
        <v>0</v>
      </c>
      <c r="AJ22" s="14" t="n">
        <v>1</v>
      </c>
      <c r="AK22" s="14" t="n">
        <v>24.299</v>
      </c>
      <c r="AL22" s="14" t="n">
        <v>12.942</v>
      </c>
      <c r="AM22" s="14" t="n">
        <v>0</v>
      </c>
      <c r="AN22" s="14" t="n">
        <v>25.393</v>
      </c>
      <c r="AO22" s="14" t="n">
        <v>0.045</v>
      </c>
      <c r="AP22" s="14" t="n">
        <v>1</v>
      </c>
      <c r="AQ22" s="14" t="n">
        <v>0.619</v>
      </c>
      <c r="AR22" s="14" t="n">
        <v>0.114</v>
      </c>
      <c r="AS22" s="14" t="n">
        <v>0</v>
      </c>
      <c r="AT22" s="14" t="n">
        <v>0.647</v>
      </c>
      <c r="AU22" s="14" t="n">
        <v>0.045</v>
      </c>
      <c r="AV22" s="14" t="n">
        <v>1</v>
      </c>
      <c r="AW22" s="14" t="n">
        <v>0.599</v>
      </c>
      <c r="AX22" s="14" t="n">
        <v>0.114</v>
      </c>
      <c r="AY22" s="14" t="n">
        <v>0</v>
      </c>
      <c r="AZ22" s="14" t="n">
        <v>0.626</v>
      </c>
      <c r="BA22" s="14" t="n">
        <v>0.045</v>
      </c>
      <c r="BB22" s="14" t="n">
        <v>1</v>
      </c>
      <c r="BC22" s="14" t="n">
        <v>0.439</v>
      </c>
      <c r="BD22" s="14" t="n">
        <v>0.114</v>
      </c>
      <c r="BE22" s="14" t="n">
        <v>0</v>
      </c>
      <c r="BF22" s="14" t="n">
        <v>0.459</v>
      </c>
      <c r="BG22" s="14" t="n">
        <v>0.045</v>
      </c>
      <c r="BH22" s="14" t="n">
        <v>1</v>
      </c>
      <c r="BI22" s="14" t="n">
        <v>0.505</v>
      </c>
      <c r="BJ22" s="14" t="n">
        <v>0.114</v>
      </c>
      <c r="BK22" s="14" t="n">
        <v>0</v>
      </c>
      <c r="BL22" s="14" t="n">
        <v>0.527</v>
      </c>
      <c r="BM22" s="14" t="n">
        <v>0.045</v>
      </c>
      <c r="BN22" s="14" t="n">
        <v>1</v>
      </c>
      <c r="BO22" s="14" t="n">
        <v>0</v>
      </c>
      <c r="BP22" s="14" t="n">
        <v>0</v>
      </c>
      <c r="BQ22" s="14" t="n">
        <v>0</v>
      </c>
      <c r="BR22" s="14" t="n">
        <v>0</v>
      </c>
      <c r="BS22" s="14" t="n">
        <v>1</v>
      </c>
      <c r="BT22" s="14" t="n">
        <v>0</v>
      </c>
      <c r="BU22" s="14" t="n">
        <v>0</v>
      </c>
      <c r="BV22" s="14" t="n">
        <v>0</v>
      </c>
      <c r="BW22" s="14" t="n">
        <v>0.045</v>
      </c>
      <c r="BX22" s="14" t="n">
        <v>1</v>
      </c>
      <c r="BY22" s="14" t="n">
        <v>11.787</v>
      </c>
      <c r="BZ22" s="14" t="n">
        <v>0</v>
      </c>
      <c r="CA22" s="14" t="n">
        <v>11.787</v>
      </c>
      <c r="CB22" s="14" t="n">
        <v>0</v>
      </c>
      <c r="CC22" s="14" t="n">
        <v>78.125</v>
      </c>
      <c r="CD22" s="14" t="n">
        <v>7.95</v>
      </c>
      <c r="CE22" s="14" t="n">
        <v>0</v>
      </c>
      <c r="CF22" s="14" t="n">
        <v>81.64100000000001</v>
      </c>
      <c r="CG22" s="14" t="n">
        <v>0.045</v>
      </c>
      <c r="CH22" s="14" t="n">
        <v>1</v>
      </c>
      <c r="CI22" s="14" t="n">
        <v>0</v>
      </c>
      <c r="CJ22" s="14" t="n">
        <v>0</v>
      </c>
      <c r="CK22" s="14" t="n">
        <v>0</v>
      </c>
      <c r="CL22" s="14" t="n">
        <v>0</v>
      </c>
      <c r="CM22" s="14" t="n">
        <v>0</v>
      </c>
      <c r="CN22" s="14" t="n">
        <v>0</v>
      </c>
      <c r="CO22" s="14" t="n">
        <v>0</v>
      </c>
      <c r="CP22" s="14" t="n">
        <v>0</v>
      </c>
      <c r="CQ22" s="14" t="n">
        <v>1.198</v>
      </c>
      <c r="CR22" s="14" t="n">
        <v>0</v>
      </c>
      <c r="CS22" s="14" t="n">
        <v>4.776</v>
      </c>
      <c r="CT22" s="14" t="n">
        <v>4.41</v>
      </c>
      <c r="CU22" s="14" t="n">
        <v>15.162</v>
      </c>
    </row>
    <row r="23">
      <c r="A23" s="14" t="inlineStr">
        <is>
          <t>AND2022</t>
        </is>
      </c>
      <c r="B23" s="14" t="inlineStr">
        <is>
          <t>AND</t>
        </is>
      </c>
      <c r="C23" s="14" t="inlineStr">
        <is>
          <t>AND</t>
        </is>
      </c>
      <c r="D23" s="14" t="inlineStr">
        <is>
          <t>Andorra</t>
        </is>
      </c>
      <c r="E23" s="14" t="n">
        <v>2022</v>
      </c>
      <c r="F23" s="14" t="n">
        <v>0.045</v>
      </c>
      <c r="G23" s="14" t="n">
        <v>7.077</v>
      </c>
      <c r="H23" s="14" t="n">
        <v>1.235</v>
      </c>
      <c r="I23" s="14" t="n">
        <v>0</v>
      </c>
      <c r="J23" s="14" t="n">
        <v>7.077</v>
      </c>
      <c r="K23" s="14" t="n">
        <v>0</v>
      </c>
      <c r="L23" s="14" t="n">
        <v>1</v>
      </c>
      <c r="M23" s="14" t="n">
        <v>9.782999999999999</v>
      </c>
      <c r="N23" s="14" t="n">
        <v>3.704</v>
      </c>
      <c r="O23" s="14" t="n">
        <v>0</v>
      </c>
      <c r="P23" s="14" t="n">
        <v>9.782999999999999</v>
      </c>
      <c r="Q23" s="14" t="n">
        <v>0</v>
      </c>
      <c r="R23" s="14" t="n">
        <v>1</v>
      </c>
      <c r="S23" s="14" t="n">
        <v>13.25</v>
      </c>
      <c r="T23" s="14" t="n">
        <v>7.408</v>
      </c>
      <c r="U23" s="14" t="n">
        <v>0.044</v>
      </c>
      <c r="V23" s="14" t="n">
        <v>13.847</v>
      </c>
      <c r="W23" s="14" t="n">
        <v>0.045</v>
      </c>
      <c r="X23" s="14" t="n">
        <v>1</v>
      </c>
      <c r="Y23" s="14" t="n">
        <v>32.537</v>
      </c>
      <c r="Z23" s="14" t="n">
        <v>4.398</v>
      </c>
      <c r="AA23" s="14" t="n">
        <v>0</v>
      </c>
      <c r="AB23" s="14" t="n">
        <v>32.537</v>
      </c>
      <c r="AC23" s="14" t="n">
        <v>0</v>
      </c>
      <c r="AD23" s="14" t="n">
        <v>1</v>
      </c>
      <c r="AE23" s="14" t="n">
        <v>33.772</v>
      </c>
      <c r="AF23" s="14" t="n">
        <v>7.897</v>
      </c>
      <c r="AG23" s="14" t="n">
        <v>0</v>
      </c>
      <c r="AH23" s="14" t="n">
        <v>33.772</v>
      </c>
      <c r="AI23" s="14" t="n">
        <v>0</v>
      </c>
      <c r="AJ23" s="14" t="n">
        <v>1</v>
      </c>
      <c r="AK23" s="14" t="n">
        <v>41.18</v>
      </c>
      <c r="AL23" s="14" t="n">
        <v>21.932</v>
      </c>
      <c r="AM23" s="14" t="n">
        <v>0.137</v>
      </c>
      <c r="AN23" s="14" t="n">
        <v>43.033</v>
      </c>
      <c r="AO23" s="14" t="n">
        <v>0.045</v>
      </c>
      <c r="AP23" s="14" t="n">
        <v>1</v>
      </c>
      <c r="AQ23" s="14" t="n">
        <v>0.861</v>
      </c>
      <c r="AR23" s="14" t="n">
        <v>0.123</v>
      </c>
      <c r="AS23" s="14" t="n">
        <v>0.003</v>
      </c>
      <c r="AT23" s="14" t="n">
        <v>0.9</v>
      </c>
      <c r="AU23" s="14" t="n">
        <v>0.045</v>
      </c>
      <c r="AV23" s="14" t="n">
        <v>1</v>
      </c>
      <c r="AW23" s="14" t="n">
        <v>0.986</v>
      </c>
      <c r="AX23" s="14" t="n">
        <v>0.123</v>
      </c>
      <c r="AY23" s="14" t="n">
        <v>0.003</v>
      </c>
      <c r="AZ23" s="14" t="n">
        <v>1.031</v>
      </c>
      <c r="BA23" s="14" t="n">
        <v>0.045</v>
      </c>
      <c r="BB23" s="14" t="n">
        <v>1</v>
      </c>
      <c r="BC23" s="14" t="n">
        <v>0.598</v>
      </c>
      <c r="BD23" s="14" t="n">
        <v>0.123</v>
      </c>
      <c r="BE23" s="14" t="n">
        <v>0.002</v>
      </c>
      <c r="BF23" s="14" t="n">
        <v>0.625</v>
      </c>
      <c r="BG23" s="14" t="n">
        <v>0.045</v>
      </c>
      <c r="BH23" s="14" t="n">
        <v>1</v>
      </c>
      <c r="BI23" s="14" t="n">
        <v>0.612</v>
      </c>
      <c r="BJ23" s="14" t="n">
        <v>0.123</v>
      </c>
      <c r="BK23" s="14" t="n">
        <v>0.002</v>
      </c>
      <c r="BL23" s="14" t="n">
        <v>0.64</v>
      </c>
      <c r="BM23" s="14" t="n">
        <v>0.045</v>
      </c>
      <c r="BN23" s="14" t="n">
        <v>1</v>
      </c>
      <c r="BO23" s="14" t="n">
        <v>0</v>
      </c>
      <c r="BP23" s="14" t="n">
        <v>0</v>
      </c>
      <c r="BQ23" s="14" t="n">
        <v>0</v>
      </c>
      <c r="BR23" s="14" t="n">
        <v>0</v>
      </c>
      <c r="BS23" s="14" t="n">
        <v>1</v>
      </c>
      <c r="BT23" s="14" t="n">
        <v>0</v>
      </c>
      <c r="BU23" s="14" t="n">
        <v>0</v>
      </c>
      <c r="BV23" s="14" t="n">
        <v>0</v>
      </c>
      <c r="BW23" s="14" t="n">
        <v>0.045</v>
      </c>
      <c r="BX23" s="14" t="n">
        <v>1</v>
      </c>
      <c r="BY23" s="14" t="n">
        <v>12.729</v>
      </c>
      <c r="BZ23" s="14" t="n">
        <v>0</v>
      </c>
      <c r="CA23" s="14" t="n">
        <v>12.729</v>
      </c>
      <c r="CB23" s="14" t="n">
        <v>0</v>
      </c>
      <c r="CC23" s="14" t="n">
        <v>97.90000000000001</v>
      </c>
      <c r="CD23" s="14" t="n">
        <v>7.95</v>
      </c>
      <c r="CE23" s="14" t="n">
        <v>0.326</v>
      </c>
      <c r="CF23" s="14" t="n">
        <v>102.306</v>
      </c>
      <c r="CG23" s="14" t="n">
        <v>0.045</v>
      </c>
      <c r="CH23" s="14" t="n">
        <v>1</v>
      </c>
      <c r="CI23" s="14" t="n">
        <v>0</v>
      </c>
      <c r="CJ23" s="14" t="n">
        <v>0</v>
      </c>
      <c r="CK23" s="14" t="n">
        <v>0</v>
      </c>
      <c r="CL23" s="14" t="n">
        <v>0</v>
      </c>
      <c r="CM23" s="14" t="n">
        <v>0</v>
      </c>
      <c r="CN23" s="14" t="n">
        <v>0</v>
      </c>
      <c r="CO23" s="14" t="n">
        <v>0</v>
      </c>
      <c r="CP23" s="14" t="n">
        <v>0</v>
      </c>
      <c r="CQ23" s="14" t="n">
        <v>1.294</v>
      </c>
      <c r="CR23" s="14" t="n">
        <v>0</v>
      </c>
      <c r="CS23" s="14" t="n">
        <v>5.158</v>
      </c>
      <c r="CT23" s="14" t="n">
        <v>5.842</v>
      </c>
      <c r="CU23" s="14" t="n">
        <v>31.326</v>
      </c>
    </row>
    <row r="24">
      <c r="A24" s="14" t="inlineStr">
        <is>
          <t>AND2023</t>
        </is>
      </c>
      <c r="B24" s="14" t="inlineStr">
        <is>
          <t>AND</t>
        </is>
      </c>
      <c r="C24" s="14" t="inlineStr">
        <is>
          <t>AND</t>
        </is>
      </c>
      <c r="D24" s="14" t="inlineStr">
        <is>
          <t>Andorra</t>
        </is>
      </c>
      <c r="E24" s="14" t="n">
        <v>2023</v>
      </c>
      <c r="F24" s="14" t="n">
        <v>0.045</v>
      </c>
      <c r="G24" s="14" t="n">
        <v>4.752</v>
      </c>
      <c r="H24" s="14" t="n">
        <v>1.286</v>
      </c>
      <c r="I24" s="14" t="n">
        <v>0</v>
      </c>
      <c r="J24" s="14" t="n">
        <v>4.752</v>
      </c>
      <c r="K24" s="14" t="n">
        <v>0</v>
      </c>
      <c r="L24" s="14" t="n">
        <v>1</v>
      </c>
      <c r="M24" s="14" t="n">
        <v>7.886</v>
      </c>
      <c r="N24" s="14" t="n">
        <v>3.857</v>
      </c>
      <c r="O24" s="14" t="n">
        <v>0</v>
      </c>
      <c r="P24" s="14" t="n">
        <v>7.886</v>
      </c>
      <c r="Q24" s="14" t="n">
        <v>0</v>
      </c>
      <c r="R24" s="14" t="n">
        <v>1</v>
      </c>
      <c r="S24" s="14" t="n">
        <v>11.18</v>
      </c>
      <c r="T24" s="14" t="n">
        <v>7.714</v>
      </c>
      <c r="U24" s="14" t="n">
        <v>0.056</v>
      </c>
      <c r="V24" s="14" t="n">
        <v>11.683</v>
      </c>
      <c r="W24" s="14" t="n">
        <v>0.045</v>
      </c>
      <c r="X24" s="14" t="n">
        <v>1</v>
      </c>
      <c r="Y24" s="14" t="n">
        <v>12.903</v>
      </c>
      <c r="Z24" s="14" t="n">
        <v>1.744</v>
      </c>
      <c r="AA24" s="14" t="n">
        <v>0</v>
      </c>
      <c r="AB24" s="14" t="n">
        <v>12.903</v>
      </c>
      <c r="AC24" s="14" t="n">
        <v>0</v>
      </c>
      <c r="AD24" s="14" t="n">
        <v>1</v>
      </c>
      <c r="AE24" s="14" t="n">
        <v>14.188</v>
      </c>
      <c r="AF24" s="14" t="n">
        <v>3.318</v>
      </c>
      <c r="AG24" s="14" t="n">
        <v>0</v>
      </c>
      <c r="AH24" s="14" t="n">
        <v>14.188</v>
      </c>
      <c r="AI24" s="14" t="n">
        <v>0</v>
      </c>
      <c r="AJ24" s="14" t="n">
        <v>1</v>
      </c>
      <c r="AK24" s="14" t="n">
        <v>21.902</v>
      </c>
      <c r="AL24" s="14" t="n">
        <v>11.665</v>
      </c>
      <c r="AM24" s="14" t="n">
        <v>0.109</v>
      </c>
      <c r="AN24" s="14" t="n">
        <v>22.888</v>
      </c>
      <c r="AO24" s="14" t="n">
        <v>0.045</v>
      </c>
      <c r="AP24" s="14" t="n">
        <v>1</v>
      </c>
      <c r="AQ24" s="14" t="n">
        <v>0.76</v>
      </c>
      <c r="AR24" s="14" t="n">
        <v>0.129</v>
      </c>
      <c r="AS24" s="14" t="n">
        <v>0.004</v>
      </c>
      <c r="AT24" s="14" t="n">
        <v>0.795</v>
      </c>
      <c r="AU24" s="14" t="n">
        <v>0.045</v>
      </c>
      <c r="AV24" s="14" t="n">
        <v>1</v>
      </c>
      <c r="AW24" s="14" t="n">
        <v>0.8110000000000001</v>
      </c>
      <c r="AX24" s="14" t="n">
        <v>0.129</v>
      </c>
      <c r="AY24" s="14" t="n">
        <v>0.004</v>
      </c>
      <c r="AZ24" s="14" t="n">
        <v>0.848</v>
      </c>
      <c r="BA24" s="14" t="n">
        <v>0.045</v>
      </c>
      <c r="BB24" s="14" t="n">
        <v>1</v>
      </c>
      <c r="BC24" s="14" t="n">
        <v>0.535</v>
      </c>
      <c r="BD24" s="14" t="n">
        <v>0.129</v>
      </c>
      <c r="BE24" s="14" t="n">
        <v>0.003</v>
      </c>
      <c r="BF24" s="14" t="n">
        <v>0.5590000000000001</v>
      </c>
      <c r="BG24" s="14" t="n">
        <v>0.045</v>
      </c>
      <c r="BH24" s="14" t="n">
        <v>1</v>
      </c>
      <c r="BI24" s="14" t="n">
        <v>0.579</v>
      </c>
      <c r="BJ24" s="14" t="n">
        <v>0.129</v>
      </c>
      <c r="BK24" s="14" t="n">
        <v>0.003</v>
      </c>
      <c r="BL24" s="14" t="n">
        <v>0.605</v>
      </c>
      <c r="BM24" s="14" t="n">
        <v>0.045</v>
      </c>
      <c r="BN24" s="14" t="n">
        <v>1</v>
      </c>
      <c r="BO24" s="14" t="n">
        <v>0</v>
      </c>
      <c r="BP24" s="14" t="n">
        <v>0</v>
      </c>
      <c r="BQ24" s="14" t="n">
        <v>0</v>
      </c>
      <c r="BR24" s="14" t="n">
        <v>0</v>
      </c>
      <c r="BS24" s="14" t="n">
        <v>1</v>
      </c>
      <c r="BT24" s="14" t="n">
        <v>0</v>
      </c>
      <c r="BU24" s="14" t="n">
        <v>0</v>
      </c>
      <c r="BV24" s="14" t="n">
        <v>0</v>
      </c>
      <c r="BW24" s="14" t="n">
        <v>0.045</v>
      </c>
      <c r="BX24" s="14" t="n">
        <v>1</v>
      </c>
      <c r="BY24" s="14" t="n">
        <v>13.254</v>
      </c>
      <c r="BZ24" s="14" t="n">
        <v>0</v>
      </c>
      <c r="CA24" s="14" t="n">
        <v>13.254</v>
      </c>
      <c r="CB24" s="14" t="n">
        <v>0</v>
      </c>
      <c r="CC24" s="14" t="n">
        <v>83.248</v>
      </c>
      <c r="CD24" s="14" t="n">
        <v>7.95</v>
      </c>
      <c r="CE24" s="14" t="n">
        <v>0.415</v>
      </c>
      <c r="CF24" s="14" t="n">
        <v>86.994</v>
      </c>
      <c r="CG24" s="14" t="n">
        <v>0.045</v>
      </c>
      <c r="CH24" s="14" t="n">
        <v>1</v>
      </c>
      <c r="CI24" s="14" t="n">
        <v>0</v>
      </c>
      <c r="CJ24" s="14" t="n">
        <v>0</v>
      </c>
      <c r="CK24" s="14" t="n">
        <v>0</v>
      </c>
      <c r="CL24" s="14" t="n">
        <v>0</v>
      </c>
      <c r="CM24" s="14" t="n">
        <v>0</v>
      </c>
      <c r="CN24" s="14" t="n">
        <v>0</v>
      </c>
      <c r="CO24" s="14" t="n">
        <v>0</v>
      </c>
      <c r="CP24" s="14" t="n">
        <v>0</v>
      </c>
      <c r="CQ24" s="14" t="n">
        <v>1.348</v>
      </c>
      <c r="CR24" s="14" t="n">
        <v>0</v>
      </c>
      <c r="CS24" s="14" t="n">
        <v>5.37</v>
      </c>
      <c r="CT24" s="14" t="n">
        <v>3.466</v>
      </c>
      <c r="CU24" s="14" t="n">
        <v>11.622</v>
      </c>
    </row>
    <row r="25">
      <c r="A25" s="14" t="inlineStr">
        <is>
          <t>AND2024</t>
        </is>
      </c>
      <c r="B25" s="14" t="inlineStr">
        <is>
          <t>AND</t>
        </is>
      </c>
      <c r="C25" s="14" t="inlineStr">
        <is>
          <t>AND</t>
        </is>
      </c>
      <c r="D25" s="14" t="inlineStr">
        <is>
          <t>Andorra</t>
        </is>
      </c>
      <c r="E25" s="14" t="n">
        <v>2024</v>
      </c>
      <c r="F25" s="14" t="n">
        <v>0.045</v>
      </c>
      <c r="G25" s="14" t="n">
        <v>4.351</v>
      </c>
      <c r="H25" s="14" t="n">
        <v>1.324</v>
      </c>
      <c r="I25" s="14" t="n">
        <v>0</v>
      </c>
      <c r="J25" s="14" t="n">
        <v>4.351</v>
      </c>
      <c r="K25" s="14" t="n">
        <v>0</v>
      </c>
      <c r="L25" s="14" t="n">
        <v>1</v>
      </c>
      <c r="M25" s="14" t="n">
        <v>7.124</v>
      </c>
      <c r="N25" s="14" t="n">
        <v>3.971</v>
      </c>
      <c r="O25" s="14" t="n">
        <v>0</v>
      </c>
      <c r="P25" s="14" t="n">
        <v>7.124</v>
      </c>
      <c r="Q25" s="14" t="n">
        <v>0</v>
      </c>
      <c r="R25" s="14" t="n">
        <v>1</v>
      </c>
      <c r="S25" s="14" t="n">
        <v>10.969</v>
      </c>
      <c r="T25" s="14" t="n">
        <v>7.942</v>
      </c>
      <c r="U25" s="14" t="n">
        <v>0.067</v>
      </c>
      <c r="V25" s="14" t="n">
        <v>11.462</v>
      </c>
      <c r="W25" s="14" t="n">
        <v>0.045</v>
      </c>
      <c r="X25" s="14" t="n">
        <v>1</v>
      </c>
      <c r="Y25" s="14" t="n">
        <v>11.488</v>
      </c>
      <c r="Z25" s="14" t="n">
        <v>1.553</v>
      </c>
      <c r="AA25" s="14" t="n">
        <v>0</v>
      </c>
      <c r="AB25" s="14" t="n">
        <v>11.488</v>
      </c>
      <c r="AC25" s="14" t="n">
        <v>0</v>
      </c>
      <c r="AD25" s="14" t="n">
        <v>1</v>
      </c>
      <c r="AE25" s="14" t="n">
        <v>12.811</v>
      </c>
      <c r="AF25" s="14" t="n">
        <v>2.996</v>
      </c>
      <c r="AG25" s="14" t="n">
        <v>0</v>
      </c>
      <c r="AH25" s="14" t="n">
        <v>12.811</v>
      </c>
      <c r="AI25" s="14" t="n">
        <v>0</v>
      </c>
      <c r="AJ25" s="14" t="n">
        <v>1</v>
      </c>
      <c r="AK25" s="14" t="n">
        <v>20.753</v>
      </c>
      <c r="AL25" s="14" t="n">
        <v>11.053</v>
      </c>
      <c r="AM25" s="14" t="n">
        <v>0.127</v>
      </c>
      <c r="AN25" s="14" t="n">
        <v>21.687</v>
      </c>
      <c r="AO25" s="14" t="n">
        <v>0.045</v>
      </c>
      <c r="AP25" s="14" t="n">
        <v>1</v>
      </c>
      <c r="AQ25" s="14" t="n">
        <v>0.724</v>
      </c>
      <c r="AR25" s="14" t="n">
        <v>0.132</v>
      </c>
      <c r="AS25" s="14" t="n">
        <v>0.004</v>
      </c>
      <c r="AT25" s="14" t="n">
        <v>0.757</v>
      </c>
      <c r="AU25" s="14" t="n">
        <v>0.045</v>
      </c>
      <c r="AV25" s="14" t="n">
        <v>1</v>
      </c>
      <c r="AW25" s="14" t="n">
        <v>0.75</v>
      </c>
      <c r="AX25" s="14" t="n">
        <v>0.132</v>
      </c>
      <c r="AY25" s="14" t="n">
        <v>0.005</v>
      </c>
      <c r="AZ25" s="14" t="n">
        <v>0.784</v>
      </c>
      <c r="BA25" s="14" t="n">
        <v>0.045</v>
      </c>
      <c r="BB25" s="14" t="n">
        <v>1</v>
      </c>
      <c r="BC25" s="14" t="n">
        <v>0.513</v>
      </c>
      <c r="BD25" s="14" t="n">
        <v>0.132</v>
      </c>
      <c r="BE25" s="14" t="n">
        <v>0.003</v>
      </c>
      <c r="BF25" s="14" t="n">
        <v>0.536</v>
      </c>
      <c r="BG25" s="14" t="n">
        <v>0.045</v>
      </c>
      <c r="BH25" s="14" t="n">
        <v>1</v>
      </c>
      <c r="BI25" s="14" t="n">
        <v>0.591</v>
      </c>
      <c r="BJ25" s="14" t="n">
        <v>0.132</v>
      </c>
      <c r="BK25" s="14" t="n">
        <v>0.004</v>
      </c>
      <c r="BL25" s="14" t="n">
        <v>0.618</v>
      </c>
      <c r="BM25" s="14" t="n">
        <v>0.045</v>
      </c>
      <c r="BN25" s="14" t="n">
        <v>1</v>
      </c>
      <c r="BO25" s="14" t="n">
        <v>0</v>
      </c>
      <c r="BP25" s="14" t="n">
        <v>0</v>
      </c>
      <c r="BQ25" s="14" t="n">
        <v>0</v>
      </c>
      <c r="BR25" s="14" t="n">
        <v>0</v>
      </c>
      <c r="BS25" s="14" t="n">
        <v>1</v>
      </c>
      <c r="BT25" s="14" t="n">
        <v>0</v>
      </c>
      <c r="BU25" s="14" t="n">
        <v>0</v>
      </c>
      <c r="BV25" s="14" t="n">
        <v>0</v>
      </c>
      <c r="BW25" s="14" t="n">
        <v>0.045</v>
      </c>
      <c r="BX25" s="14" t="n">
        <v>1</v>
      </c>
      <c r="BY25" s="14" t="n">
        <v>13.646</v>
      </c>
      <c r="BZ25" s="14" t="n">
        <v>0</v>
      </c>
      <c r="CA25" s="14" t="n">
        <v>13.646</v>
      </c>
      <c r="CB25" s="14" t="n">
        <v>0</v>
      </c>
      <c r="CC25" s="14" t="n">
        <v>82.58799999999999</v>
      </c>
      <c r="CD25" s="14" t="n">
        <v>7.95</v>
      </c>
      <c r="CE25" s="14" t="n">
        <v>0.506</v>
      </c>
      <c r="CF25" s="14" t="n">
        <v>86.304</v>
      </c>
      <c r="CG25" s="14" t="n">
        <v>0.045</v>
      </c>
      <c r="CH25" s="14" t="n">
        <v>1</v>
      </c>
      <c r="CI25" s="14" t="n">
        <v>0</v>
      </c>
      <c r="CJ25" s="14" t="n">
        <v>0</v>
      </c>
      <c r="CK25" s="14" t="n">
        <v>0</v>
      </c>
      <c r="CL25" s="14" t="n">
        <v>0</v>
      </c>
      <c r="CM25" s="14" t="n">
        <v>0</v>
      </c>
      <c r="CN25" s="14" t="n">
        <v>0</v>
      </c>
      <c r="CO25" s="14" t="n">
        <v>0</v>
      </c>
      <c r="CP25" s="14" t="n">
        <v>0</v>
      </c>
      <c r="CQ25" s="14" t="n">
        <v>1.387</v>
      </c>
      <c r="CR25" s="14" t="n">
        <v>0</v>
      </c>
      <c r="CS25" s="14" t="n">
        <v>5.529</v>
      </c>
      <c r="CT25" s="14" t="n">
        <v>3.027</v>
      </c>
      <c r="CU25" s="14" t="n">
        <v>10.168</v>
      </c>
    </row>
    <row r="26">
      <c r="A26" s="14" t="inlineStr">
        <is>
          <t>AGO2021</t>
        </is>
      </c>
      <c r="B26" s="14" t="inlineStr">
        <is>
          <t>AGO</t>
        </is>
      </c>
      <c r="C26" s="14" t="inlineStr">
        <is>
          <t>AGO</t>
        </is>
      </c>
      <c r="D26" s="14" t="inlineStr">
        <is>
          <t>Angola</t>
        </is>
      </c>
      <c r="E26" s="14" t="n">
        <v>2021</v>
      </c>
      <c r="F26" s="14" t="n">
        <v>0.14</v>
      </c>
      <c r="G26" s="14" t="n">
        <v>5.897</v>
      </c>
      <c r="H26" s="14" t="n">
        <v>1.143</v>
      </c>
      <c r="I26" s="14" t="n">
        <v>0.095</v>
      </c>
      <c r="J26" s="14" t="n">
        <v>5.992</v>
      </c>
      <c r="K26" s="14" t="n">
        <v>0</v>
      </c>
      <c r="L26" s="14" t="n">
        <v>1</v>
      </c>
      <c r="M26" s="14" t="n">
        <v>7.964</v>
      </c>
      <c r="N26" s="14" t="n">
        <v>3.43</v>
      </c>
      <c r="O26" s="14" t="n">
        <v>0.091</v>
      </c>
      <c r="P26" s="14" t="n">
        <v>8.055</v>
      </c>
      <c r="Q26" s="14" t="n">
        <v>0</v>
      </c>
      <c r="R26" s="14" t="n">
        <v>1</v>
      </c>
      <c r="S26" s="14" t="n">
        <v>11.613</v>
      </c>
      <c r="T26" s="14" t="n">
        <v>6.86</v>
      </c>
      <c r="U26" s="14" t="n">
        <v>0.095</v>
      </c>
      <c r="V26" s="14" t="n">
        <v>13.348</v>
      </c>
      <c r="W26" s="14" t="n">
        <v>0.14</v>
      </c>
      <c r="X26" s="14" t="n">
        <v>1</v>
      </c>
      <c r="Y26" s="14" t="n">
        <v>5.213</v>
      </c>
      <c r="Z26" s="14" t="n">
        <v>0.572</v>
      </c>
      <c r="AA26" s="14" t="n">
        <v>0</v>
      </c>
      <c r="AB26" s="14" t="n">
        <v>5.213</v>
      </c>
      <c r="AC26" s="14" t="n">
        <v>0</v>
      </c>
      <c r="AD26" s="14" t="n">
        <v>1</v>
      </c>
      <c r="AE26" s="14" t="n">
        <v>5.784</v>
      </c>
      <c r="AF26" s="14" t="n">
        <v>1.125</v>
      </c>
      <c r="AG26" s="14" t="n">
        <v>0</v>
      </c>
      <c r="AH26" s="14" t="n">
        <v>5.784</v>
      </c>
      <c r="AI26" s="14" t="n">
        <v>0</v>
      </c>
      <c r="AJ26" s="14" t="n">
        <v>1</v>
      </c>
      <c r="AK26" s="14" t="n">
        <v>9.214</v>
      </c>
      <c r="AL26" s="14" t="n">
        <v>4.347</v>
      </c>
      <c r="AM26" s="14" t="n">
        <v>0</v>
      </c>
      <c r="AN26" s="14" t="n">
        <v>10.504</v>
      </c>
      <c r="AO26" s="14" t="n">
        <v>0.14</v>
      </c>
      <c r="AP26" s="14" t="n">
        <v>1</v>
      </c>
      <c r="AQ26" s="14" t="n">
        <v>0.619</v>
      </c>
      <c r="AR26" s="14" t="n">
        <v>0.114</v>
      </c>
      <c r="AS26" s="14" t="n">
        <v>-0.395</v>
      </c>
      <c r="AT26" s="14" t="n">
        <v>0.256</v>
      </c>
      <c r="AU26" s="14" t="n">
        <v>0</v>
      </c>
      <c r="AV26" s="14" t="n">
        <v>0</v>
      </c>
      <c r="AW26" s="14" t="n">
        <v>0.599</v>
      </c>
      <c r="AX26" s="14" t="n">
        <v>0.114</v>
      </c>
      <c r="AY26" s="14" t="n">
        <v>-0.41</v>
      </c>
      <c r="AZ26" s="14" t="n">
        <v>0.216</v>
      </c>
      <c r="BA26" s="14" t="n">
        <v>0</v>
      </c>
      <c r="BB26" s="14" t="n">
        <v>0</v>
      </c>
      <c r="BC26" s="14" t="n">
        <v>0.439</v>
      </c>
      <c r="BD26" s="14" t="n">
        <v>0.114</v>
      </c>
      <c r="BE26" s="14" t="n">
        <v>-0.267</v>
      </c>
      <c r="BF26" s="14" t="n">
        <v>0.196</v>
      </c>
      <c r="BG26" s="14" t="n">
        <v>0</v>
      </c>
      <c r="BH26" s="14" t="n">
        <v>0</v>
      </c>
      <c r="BI26" s="14" t="n">
        <v>0.505</v>
      </c>
      <c r="BJ26" s="14" t="n">
        <v>0.114</v>
      </c>
      <c r="BK26" s="14" t="n">
        <v>-0.408</v>
      </c>
      <c r="BL26" s="14" t="n">
        <v>0.111</v>
      </c>
      <c r="BM26" s="14" t="n">
        <v>0</v>
      </c>
      <c r="BN26" s="14" t="n">
        <v>0</v>
      </c>
      <c r="BO26" s="14" t="n">
        <v>0</v>
      </c>
      <c r="BP26" s="14" t="n">
        <v>-0.1</v>
      </c>
      <c r="BQ26" s="14" t="n">
        <v>0.012</v>
      </c>
      <c r="BR26" s="14" t="n">
        <v>0</v>
      </c>
      <c r="BS26" s="14" t="n">
        <v>1</v>
      </c>
      <c r="BT26" s="14" t="n">
        <v>0</v>
      </c>
      <c r="BU26" s="14" t="n">
        <v>-0.1</v>
      </c>
      <c r="BV26" s="14" t="n">
        <v>0.017</v>
      </c>
      <c r="BW26" s="14" t="n">
        <v>0</v>
      </c>
      <c r="BX26" s="14" t="n">
        <v>1</v>
      </c>
      <c r="BY26" s="14" t="n">
        <v>11.787</v>
      </c>
      <c r="BZ26" s="14" t="n">
        <v>0</v>
      </c>
      <c r="CA26" s="14" t="n">
        <v>11.787</v>
      </c>
      <c r="CB26" s="14" t="n">
        <v>0</v>
      </c>
      <c r="CC26" s="14" t="n">
        <v>78.125</v>
      </c>
      <c r="CD26" s="14" t="n">
        <v>7.95</v>
      </c>
      <c r="CE26" s="14" t="n">
        <v>0</v>
      </c>
      <c r="CF26" s="14" t="n">
        <v>89.063</v>
      </c>
      <c r="CG26" s="14" t="n">
        <v>0.14</v>
      </c>
      <c r="CH26" s="14" t="n">
        <v>1</v>
      </c>
      <c r="CI26" s="14" t="n">
        <v>0</v>
      </c>
      <c r="CJ26" s="14" t="n">
        <v>0</v>
      </c>
      <c r="CK26" s="14" t="n">
        <v>0</v>
      </c>
      <c r="CL26" s="14" t="n">
        <v>0</v>
      </c>
      <c r="CM26" s="14" t="n">
        <v>0</v>
      </c>
      <c r="CN26" s="14" t="n">
        <v>0</v>
      </c>
      <c r="CO26" s="14" t="n">
        <v>0</v>
      </c>
      <c r="CP26" s="14" t="n">
        <v>0</v>
      </c>
      <c r="CQ26" s="14" t="n">
        <v>1.198</v>
      </c>
      <c r="CR26" s="14" t="n">
        <v>1</v>
      </c>
      <c r="CS26" s="14" t="n">
        <v>4.641</v>
      </c>
      <c r="CT26" s="14" t="n">
        <v>4.753</v>
      </c>
      <c r="CU26" s="14" t="n">
        <v>14.129</v>
      </c>
    </row>
    <row r="27">
      <c r="A27" s="14" t="inlineStr">
        <is>
          <t>AGO2022</t>
        </is>
      </c>
      <c r="B27" s="14" t="inlineStr">
        <is>
          <t>AGO</t>
        </is>
      </c>
      <c r="C27" s="14" t="inlineStr">
        <is>
          <t>AGO</t>
        </is>
      </c>
      <c r="D27" s="14" t="inlineStr">
        <is>
          <t>Angola</t>
        </is>
      </c>
      <c r="E27" s="14" t="n">
        <v>2022</v>
      </c>
      <c r="F27" s="14" t="n">
        <v>0.14</v>
      </c>
      <c r="G27" s="14" t="n">
        <v>11.72</v>
      </c>
      <c r="H27" s="14" t="n">
        <v>1.235</v>
      </c>
      <c r="I27" s="14" t="n">
        <v>0.226</v>
      </c>
      <c r="J27" s="14" t="n">
        <v>11.946</v>
      </c>
      <c r="K27" s="14" t="n">
        <v>0</v>
      </c>
      <c r="L27" s="14" t="n">
        <v>1</v>
      </c>
      <c r="M27" s="14" t="n">
        <v>9.782999999999999</v>
      </c>
      <c r="N27" s="14" t="n">
        <v>3.704</v>
      </c>
      <c r="O27" s="14" t="n">
        <v>0.131</v>
      </c>
      <c r="P27" s="14" t="n">
        <v>9.914</v>
      </c>
      <c r="Q27" s="14" t="n">
        <v>0</v>
      </c>
      <c r="R27" s="14" t="n">
        <v>1</v>
      </c>
      <c r="S27" s="14" t="n">
        <v>17.893</v>
      </c>
      <c r="T27" s="14" t="n">
        <v>7.408</v>
      </c>
      <c r="U27" s="14" t="n">
        <v>0.414</v>
      </c>
      <c r="V27" s="14" t="n">
        <v>20.657</v>
      </c>
      <c r="W27" s="14" t="n">
        <v>0.14</v>
      </c>
      <c r="X27" s="14" t="n">
        <v>1</v>
      </c>
      <c r="Y27" s="14" t="n">
        <v>5.629</v>
      </c>
      <c r="Z27" s="14" t="n">
        <v>0.618</v>
      </c>
      <c r="AA27" s="14" t="n">
        <v>0</v>
      </c>
      <c r="AB27" s="14" t="n">
        <v>5.629</v>
      </c>
      <c r="AC27" s="14" t="n">
        <v>0</v>
      </c>
      <c r="AD27" s="14" t="n">
        <v>1</v>
      </c>
      <c r="AE27" s="14" t="n">
        <v>6.246</v>
      </c>
      <c r="AF27" s="14" t="n">
        <v>1.215</v>
      </c>
      <c r="AG27" s="14" t="n">
        <v>0</v>
      </c>
      <c r="AH27" s="14" t="n">
        <v>6.246</v>
      </c>
      <c r="AI27" s="14" t="n">
        <v>0</v>
      </c>
      <c r="AJ27" s="14" t="n">
        <v>1</v>
      </c>
      <c r="AK27" s="14" t="n">
        <v>9.951000000000001</v>
      </c>
      <c r="AL27" s="14" t="n">
        <v>4.694</v>
      </c>
      <c r="AM27" s="14" t="n">
        <v>0.103</v>
      </c>
      <c r="AN27" s="14" t="n">
        <v>11.344</v>
      </c>
      <c r="AO27" s="14" t="n">
        <v>0.14</v>
      </c>
      <c r="AP27" s="14" t="n">
        <v>1</v>
      </c>
      <c r="AQ27" s="14" t="n">
        <v>0.861</v>
      </c>
      <c r="AR27" s="14" t="n">
        <v>0.123</v>
      </c>
      <c r="AS27" s="14" t="n">
        <v>-0.554</v>
      </c>
      <c r="AT27" s="14" t="n">
        <v>0.35</v>
      </c>
      <c r="AU27" s="14" t="n">
        <v>0</v>
      </c>
      <c r="AV27" s="14" t="n">
        <v>0</v>
      </c>
      <c r="AW27" s="14" t="n">
        <v>0.986</v>
      </c>
      <c r="AX27" s="14" t="n">
        <v>0.123</v>
      </c>
      <c r="AY27" s="14" t="n">
        <v>-0.727</v>
      </c>
      <c r="AZ27" s="14" t="n">
        <v>0.295</v>
      </c>
      <c r="BA27" s="14" t="n">
        <v>0</v>
      </c>
      <c r="BB27" s="14" t="n">
        <v>0</v>
      </c>
      <c r="BC27" s="14" t="n">
        <v>0.598</v>
      </c>
      <c r="BD27" s="14" t="n">
        <v>0.123</v>
      </c>
      <c r="BE27" s="14" t="n">
        <v>-0.399</v>
      </c>
      <c r="BF27" s="14" t="n">
        <v>0.226</v>
      </c>
      <c r="BG27" s="14" t="n">
        <v>0</v>
      </c>
      <c r="BH27" s="14" t="n">
        <v>0</v>
      </c>
      <c r="BI27" s="14" t="n">
        <v>0.612</v>
      </c>
      <c r="BJ27" s="14" t="n">
        <v>0.123</v>
      </c>
      <c r="BK27" s="14" t="n">
        <v>-0.479</v>
      </c>
      <c r="BL27" s="14" t="n">
        <v>0.152</v>
      </c>
      <c r="BM27" s="14" t="n">
        <v>0</v>
      </c>
      <c r="BN27" s="14" t="n">
        <v>0</v>
      </c>
      <c r="BO27" s="14" t="n">
        <v>0</v>
      </c>
      <c r="BP27" s="14" t="n">
        <v>-0.113</v>
      </c>
      <c r="BQ27" s="14" t="n">
        <v>0.016</v>
      </c>
      <c r="BR27" s="14" t="n">
        <v>0</v>
      </c>
      <c r="BS27" s="14" t="n">
        <v>1</v>
      </c>
      <c r="BT27" s="14" t="n">
        <v>0</v>
      </c>
      <c r="BU27" s="14" t="n">
        <v>-0.113</v>
      </c>
      <c r="BV27" s="14" t="n">
        <v>0.024</v>
      </c>
      <c r="BW27" s="14" t="n">
        <v>0</v>
      </c>
      <c r="BX27" s="14" t="n">
        <v>1</v>
      </c>
      <c r="BY27" s="14" t="n">
        <v>12.729</v>
      </c>
      <c r="BZ27" s="14" t="n">
        <v>0</v>
      </c>
      <c r="CA27" s="14" t="n">
        <v>12.729</v>
      </c>
      <c r="CB27" s="14" t="n">
        <v>0</v>
      </c>
      <c r="CC27" s="14" t="n">
        <v>97.90000000000001</v>
      </c>
      <c r="CD27" s="14" t="n">
        <v>7.95</v>
      </c>
      <c r="CE27" s="14" t="n">
        <v>1.014</v>
      </c>
      <c r="CF27" s="14" t="n">
        <v>111.606</v>
      </c>
      <c r="CG27" s="14" t="n">
        <v>0.14</v>
      </c>
      <c r="CH27" s="14" t="n">
        <v>1</v>
      </c>
      <c r="CI27" s="14" t="n">
        <v>0</v>
      </c>
      <c r="CJ27" s="14" t="n">
        <v>0</v>
      </c>
      <c r="CK27" s="14" t="n">
        <v>0</v>
      </c>
      <c r="CL27" s="14" t="n">
        <v>0</v>
      </c>
      <c r="CM27" s="14" t="n">
        <v>0</v>
      </c>
      <c r="CN27" s="14" t="n">
        <v>0</v>
      </c>
      <c r="CO27" s="14" t="n">
        <v>0</v>
      </c>
      <c r="CP27" s="14" t="n">
        <v>0</v>
      </c>
      <c r="CQ27" s="14" t="n">
        <v>1.294</v>
      </c>
      <c r="CR27" s="14" t="n">
        <v>1</v>
      </c>
      <c r="CS27" s="14" t="n">
        <v>5.012</v>
      </c>
      <c r="CT27" s="14" t="n">
        <v>10.485</v>
      </c>
      <c r="CU27" s="14" t="n">
        <v>28.059</v>
      </c>
    </row>
    <row r="28">
      <c r="A28" s="14" t="inlineStr">
        <is>
          <t>AGO2023</t>
        </is>
      </c>
      <c r="B28" s="14" t="inlineStr">
        <is>
          <t>AGO</t>
        </is>
      </c>
      <c r="C28" s="14" t="inlineStr">
        <is>
          <t>AGO</t>
        </is>
      </c>
      <c r="D28" s="14" t="inlineStr">
        <is>
          <t>Angola</t>
        </is>
      </c>
      <c r="E28" s="14" t="n">
        <v>2023</v>
      </c>
      <c r="F28" s="14" t="n">
        <v>0.14</v>
      </c>
      <c r="G28" s="14" t="n">
        <v>6.147</v>
      </c>
      <c r="H28" s="14" t="n">
        <v>1.286</v>
      </c>
      <c r="I28" s="14" t="n">
        <v>0.109</v>
      </c>
      <c r="J28" s="14" t="n">
        <v>6.256</v>
      </c>
      <c r="K28" s="14" t="n">
        <v>0</v>
      </c>
      <c r="L28" s="14" t="n">
        <v>1</v>
      </c>
      <c r="M28" s="14" t="n">
        <v>7.886</v>
      </c>
      <c r="N28" s="14" t="n">
        <v>3.857</v>
      </c>
      <c r="O28" s="14" t="n">
        <v>0.091</v>
      </c>
      <c r="P28" s="14" t="n">
        <v>7.977</v>
      </c>
      <c r="Q28" s="14" t="n">
        <v>0</v>
      </c>
      <c r="R28" s="14" t="n">
        <v>1</v>
      </c>
      <c r="S28" s="14" t="n">
        <v>12.575</v>
      </c>
      <c r="T28" s="14" t="n">
        <v>7.714</v>
      </c>
      <c r="U28" s="14" t="n">
        <v>0.306</v>
      </c>
      <c r="V28" s="14" t="n">
        <v>14.46</v>
      </c>
      <c r="W28" s="14" t="n">
        <v>0.14</v>
      </c>
      <c r="X28" s="14" t="n">
        <v>1</v>
      </c>
      <c r="Y28" s="14" t="n">
        <v>5.861</v>
      </c>
      <c r="Z28" s="14" t="n">
        <v>0.643</v>
      </c>
      <c r="AA28" s="14" t="n">
        <v>0</v>
      </c>
      <c r="AB28" s="14" t="n">
        <v>5.861</v>
      </c>
      <c r="AC28" s="14" t="n">
        <v>0</v>
      </c>
      <c r="AD28" s="14" t="n">
        <v>1</v>
      </c>
      <c r="AE28" s="14" t="n">
        <v>6.504</v>
      </c>
      <c r="AF28" s="14" t="n">
        <v>1.265</v>
      </c>
      <c r="AG28" s="14" t="n">
        <v>0</v>
      </c>
      <c r="AH28" s="14" t="n">
        <v>6.504</v>
      </c>
      <c r="AI28" s="14" t="n">
        <v>0</v>
      </c>
      <c r="AJ28" s="14" t="n">
        <v>1</v>
      </c>
      <c r="AK28" s="14" t="n">
        <v>10.361</v>
      </c>
      <c r="AL28" s="14" t="n">
        <v>4.888</v>
      </c>
      <c r="AM28" s="14" t="n">
        <v>0.161</v>
      </c>
      <c r="AN28" s="14" t="n">
        <v>11.812</v>
      </c>
      <c r="AO28" s="14" t="n">
        <v>0.14</v>
      </c>
      <c r="AP28" s="14" t="n">
        <v>1</v>
      </c>
      <c r="AQ28" s="14" t="n">
        <v>0.76</v>
      </c>
      <c r="AR28" s="14" t="n">
        <v>0.129</v>
      </c>
      <c r="AS28" s="14" t="n">
        <v>-0.456</v>
      </c>
      <c r="AT28" s="14" t="n">
        <v>0.347</v>
      </c>
      <c r="AU28" s="14" t="n">
        <v>0</v>
      </c>
      <c r="AV28" s="14" t="n">
        <v>0</v>
      </c>
      <c r="AW28" s="14" t="n">
        <v>0.8110000000000001</v>
      </c>
      <c r="AX28" s="14" t="n">
        <v>0.129</v>
      </c>
      <c r="AY28" s="14" t="n">
        <v>-0.629</v>
      </c>
      <c r="AZ28" s="14" t="n">
        <v>0.208</v>
      </c>
      <c r="BA28" s="14" t="n">
        <v>0</v>
      </c>
      <c r="BB28" s="14" t="n">
        <v>0</v>
      </c>
      <c r="BC28" s="14" t="n">
        <v>0.535</v>
      </c>
      <c r="BD28" s="14" t="n">
        <v>0.129</v>
      </c>
      <c r="BE28" s="14" t="n">
        <v>-0.366</v>
      </c>
      <c r="BF28" s="14" t="n">
        <v>0.193</v>
      </c>
      <c r="BG28" s="14" t="n">
        <v>0</v>
      </c>
      <c r="BH28" s="14" t="n">
        <v>0</v>
      </c>
      <c r="BI28" s="14" t="n">
        <v>0.579</v>
      </c>
      <c r="BJ28" s="14" t="n">
        <v>0.129</v>
      </c>
      <c r="BK28" s="14" t="n">
        <v>-0.486</v>
      </c>
      <c r="BL28" s="14" t="n">
        <v>0.106</v>
      </c>
      <c r="BM28" s="14" t="n">
        <v>0</v>
      </c>
      <c r="BN28" s="14" t="n">
        <v>0</v>
      </c>
      <c r="BO28" s="14" t="n">
        <v>0</v>
      </c>
      <c r="BP28" s="14" t="n">
        <v>-0.109</v>
      </c>
      <c r="BQ28" s="14" t="n">
        <v>0.011</v>
      </c>
      <c r="BR28" s="14" t="n">
        <v>0</v>
      </c>
      <c r="BS28" s="14" t="n">
        <v>1</v>
      </c>
      <c r="BT28" s="14" t="n">
        <v>0</v>
      </c>
      <c r="BU28" s="14" t="n">
        <v>-0.109</v>
      </c>
      <c r="BV28" s="14" t="n">
        <v>0.016</v>
      </c>
      <c r="BW28" s="14" t="n">
        <v>0</v>
      </c>
      <c r="BX28" s="14" t="n">
        <v>1</v>
      </c>
      <c r="BY28" s="14" t="n">
        <v>13.254</v>
      </c>
      <c r="BZ28" s="14" t="n">
        <v>0</v>
      </c>
      <c r="CA28" s="14" t="n">
        <v>13.254</v>
      </c>
      <c r="CB28" s="14" t="n">
        <v>0</v>
      </c>
      <c r="CC28" s="14" t="n">
        <v>83.248</v>
      </c>
      <c r="CD28" s="14" t="n">
        <v>7.95</v>
      </c>
      <c r="CE28" s="14" t="n">
        <v>1.29</v>
      </c>
      <c r="CF28" s="14" t="n">
        <v>94.90300000000001</v>
      </c>
      <c r="CG28" s="14" t="n">
        <v>0.14</v>
      </c>
      <c r="CH28" s="14" t="n">
        <v>1</v>
      </c>
      <c r="CI28" s="14" t="n">
        <v>0</v>
      </c>
      <c r="CJ28" s="14" t="n">
        <v>0</v>
      </c>
      <c r="CK28" s="14" t="n">
        <v>0</v>
      </c>
      <c r="CL28" s="14" t="n">
        <v>0</v>
      </c>
      <c r="CM28" s="14" t="n">
        <v>0</v>
      </c>
      <c r="CN28" s="14" t="n">
        <v>0</v>
      </c>
      <c r="CO28" s="14" t="n">
        <v>0</v>
      </c>
      <c r="CP28" s="14" t="n">
        <v>0</v>
      </c>
      <c r="CQ28" s="14" t="n">
        <v>1.348</v>
      </c>
      <c r="CR28" s="14" t="n">
        <v>1</v>
      </c>
      <c r="CS28" s="14" t="n">
        <v>5.219</v>
      </c>
      <c r="CT28" s="14" t="n">
        <v>4.861</v>
      </c>
      <c r="CU28" s="14" t="n">
        <v>9.260999999999999</v>
      </c>
    </row>
    <row r="29">
      <c r="A29" s="14" t="inlineStr">
        <is>
          <t>AGO2024</t>
        </is>
      </c>
      <c r="B29" s="14" t="inlineStr">
        <is>
          <t>AGO</t>
        </is>
      </c>
      <c r="C29" s="14" t="inlineStr">
        <is>
          <t>AGO</t>
        </is>
      </c>
      <c r="D29" s="14" t="inlineStr">
        <is>
          <t>Angola</t>
        </is>
      </c>
      <c r="E29" s="14" t="n">
        <v>2024</v>
      </c>
      <c r="F29" s="14" t="n">
        <v>0.14</v>
      </c>
      <c r="G29" s="14" t="n">
        <v>5.575</v>
      </c>
      <c r="H29" s="14" t="n">
        <v>1.324</v>
      </c>
      <c r="I29" s="14" t="n">
        <v>0.08500000000000001</v>
      </c>
      <c r="J29" s="14" t="n">
        <v>5.66</v>
      </c>
      <c r="K29" s="14" t="n">
        <v>0</v>
      </c>
      <c r="L29" s="14" t="n">
        <v>1</v>
      </c>
      <c r="M29" s="14" t="n">
        <v>7.124</v>
      </c>
      <c r="N29" s="14" t="n">
        <v>3.971</v>
      </c>
      <c r="O29" s="14" t="n">
        <v>0.063</v>
      </c>
      <c r="P29" s="14" t="n">
        <v>7.187</v>
      </c>
      <c r="Q29" s="14" t="n">
        <v>0</v>
      </c>
      <c r="R29" s="14" t="n">
        <v>1</v>
      </c>
      <c r="S29" s="14" t="n">
        <v>12.193</v>
      </c>
      <c r="T29" s="14" t="n">
        <v>7.942</v>
      </c>
      <c r="U29" s="14" t="n">
        <v>0.319</v>
      </c>
      <c r="V29" s="14" t="n">
        <v>13.997</v>
      </c>
      <c r="W29" s="14" t="n">
        <v>0.14</v>
      </c>
      <c r="X29" s="14" t="n">
        <v>1</v>
      </c>
      <c r="Y29" s="14" t="n">
        <v>6.034</v>
      </c>
      <c r="Z29" s="14" t="n">
        <v>0.662</v>
      </c>
      <c r="AA29" s="14" t="n">
        <v>0</v>
      </c>
      <c r="AB29" s="14" t="n">
        <v>6.034</v>
      </c>
      <c r="AC29" s="14" t="n">
        <v>0</v>
      </c>
      <c r="AD29" s="14" t="n">
        <v>1</v>
      </c>
      <c r="AE29" s="14" t="n">
        <v>6.696</v>
      </c>
      <c r="AF29" s="14" t="n">
        <v>1.302</v>
      </c>
      <c r="AG29" s="14" t="n">
        <v>0</v>
      </c>
      <c r="AH29" s="14" t="n">
        <v>6.696</v>
      </c>
      <c r="AI29" s="14" t="n">
        <v>0</v>
      </c>
      <c r="AJ29" s="14" t="n">
        <v>1</v>
      </c>
      <c r="AK29" s="14" t="n">
        <v>10.667</v>
      </c>
      <c r="AL29" s="14" t="n">
        <v>5.032</v>
      </c>
      <c r="AM29" s="14" t="n">
        <v>0.203</v>
      </c>
      <c r="AN29" s="14" t="n">
        <v>12.161</v>
      </c>
      <c r="AO29" s="14" t="n">
        <v>0.14</v>
      </c>
      <c r="AP29" s="14" t="n">
        <v>1</v>
      </c>
      <c r="AQ29" s="14" t="n">
        <v>0.724</v>
      </c>
      <c r="AR29" s="14" t="n">
        <v>0.132</v>
      </c>
      <c r="AS29" s="14" t="n">
        <v>-0.421</v>
      </c>
      <c r="AT29" s="14" t="n">
        <v>0.345</v>
      </c>
      <c r="AU29" s="14" t="n">
        <v>0</v>
      </c>
      <c r="AV29" s="14" t="n">
        <v>0</v>
      </c>
      <c r="AW29" s="14" t="n">
        <v>0.75</v>
      </c>
      <c r="AX29" s="14" t="n">
        <v>0.132</v>
      </c>
      <c r="AY29" s="14" t="n">
        <v>-0.5649999999999999</v>
      </c>
      <c r="AZ29" s="14" t="n">
        <v>0.211</v>
      </c>
      <c r="BA29" s="14" t="n">
        <v>0</v>
      </c>
      <c r="BB29" s="14" t="n">
        <v>0</v>
      </c>
      <c r="BC29" s="14" t="n">
        <v>0.513</v>
      </c>
      <c r="BD29" s="14" t="n">
        <v>0.132</v>
      </c>
      <c r="BE29" s="14" t="n">
        <v>-0.361</v>
      </c>
      <c r="BF29" s="14" t="n">
        <v>0.173</v>
      </c>
      <c r="BG29" s="14" t="n">
        <v>0</v>
      </c>
      <c r="BH29" s="14" t="n">
        <v>0</v>
      </c>
      <c r="BI29" s="14" t="n">
        <v>0.591</v>
      </c>
      <c r="BJ29" s="14" t="n">
        <v>0.132</v>
      </c>
      <c r="BK29" s="14" t="n">
        <v>-0.522</v>
      </c>
      <c r="BL29" s="14" t="n">
        <v>0.079</v>
      </c>
      <c r="BM29" s="14" t="n">
        <v>0</v>
      </c>
      <c r="BN29" s="14" t="n">
        <v>0</v>
      </c>
      <c r="BO29" s="14" t="n">
        <v>0</v>
      </c>
      <c r="BP29" s="14" t="n">
        <v>-0.112</v>
      </c>
      <c r="BQ29" s="14" t="n">
        <v>0.007</v>
      </c>
      <c r="BR29" s="14" t="n">
        <v>0</v>
      </c>
      <c r="BS29" s="14" t="n">
        <v>1</v>
      </c>
      <c r="BT29" s="14" t="n">
        <v>0</v>
      </c>
      <c r="BU29" s="14" t="n">
        <v>-0.112</v>
      </c>
      <c r="BV29" s="14" t="n">
        <v>0.012</v>
      </c>
      <c r="BW29" s="14" t="n">
        <v>0</v>
      </c>
      <c r="BX29" s="14" t="n">
        <v>1</v>
      </c>
      <c r="BY29" s="14" t="n">
        <v>13.646</v>
      </c>
      <c r="BZ29" s="14" t="n">
        <v>0</v>
      </c>
      <c r="CA29" s="14" t="n">
        <v>13.646</v>
      </c>
      <c r="CB29" s="14" t="n">
        <v>0</v>
      </c>
      <c r="CC29" s="14" t="n">
        <v>82.58799999999999</v>
      </c>
      <c r="CD29" s="14" t="n">
        <v>7.95</v>
      </c>
      <c r="CE29" s="14" t="n">
        <v>1.575</v>
      </c>
      <c r="CF29" s="14" t="n">
        <v>94.15000000000001</v>
      </c>
      <c r="CG29" s="14" t="n">
        <v>0.14</v>
      </c>
      <c r="CH29" s="14" t="n">
        <v>1</v>
      </c>
      <c r="CI29" s="14" t="n">
        <v>0</v>
      </c>
      <c r="CJ29" s="14" t="n">
        <v>0</v>
      </c>
      <c r="CK29" s="14" t="n">
        <v>0</v>
      </c>
      <c r="CL29" s="14" t="n">
        <v>0</v>
      </c>
      <c r="CM29" s="14" t="n">
        <v>0</v>
      </c>
      <c r="CN29" s="14" t="n">
        <v>0</v>
      </c>
      <c r="CO29" s="14" t="n">
        <v>0</v>
      </c>
      <c r="CP29" s="14" t="n">
        <v>0</v>
      </c>
      <c r="CQ29" s="14" t="n">
        <v>1.387</v>
      </c>
      <c r="CR29" s="14" t="n">
        <v>1</v>
      </c>
      <c r="CS29" s="14" t="n">
        <v>5.373</v>
      </c>
      <c r="CT29" s="14" t="n">
        <v>4.251</v>
      </c>
      <c r="CU29" s="14" t="n">
        <v>7.598</v>
      </c>
    </row>
    <row r="30">
      <c r="A30" s="14" t="inlineStr">
        <is>
          <t>AIA2021</t>
        </is>
      </c>
      <c r="B30" s="14" t="inlineStr">
        <is>
          <t>AIA</t>
        </is>
      </c>
      <c r="C30" s="14" t="inlineStr">
        <is>
          <t>AIA</t>
        </is>
      </c>
      <c r="D30" s="14" t="inlineStr">
        <is>
          <t>Anguilla</t>
        </is>
      </c>
      <c r="E30" s="14" t="n">
        <v>2021</v>
      </c>
      <c r="F30" s="14" t="n">
        <v>0</v>
      </c>
      <c r="G30" s="14" t="n">
        <v>5.897</v>
      </c>
      <c r="H30" s="14" t="n">
        <v>1.143</v>
      </c>
      <c r="I30" s="14" t="n">
        <v>0</v>
      </c>
      <c r="J30" s="14" t="n">
        <v>5.897</v>
      </c>
      <c r="K30" s="14" t="n">
        <v>0</v>
      </c>
      <c r="L30" s="14" t="n">
        <v>1</v>
      </c>
      <c r="M30" s="14" t="n">
        <v>7.964</v>
      </c>
      <c r="N30" s="14" t="n">
        <v>3.43</v>
      </c>
      <c r="O30" s="14" t="n">
        <v>0</v>
      </c>
      <c r="P30" s="14" t="n">
        <v>7.964</v>
      </c>
      <c r="Q30" s="14" t="n">
        <v>0</v>
      </c>
      <c r="R30" s="14" t="n">
        <v>1</v>
      </c>
      <c r="S30" s="14" t="n">
        <v>11.613</v>
      </c>
      <c r="T30" s="14" t="n">
        <v>6.86</v>
      </c>
      <c r="U30" s="14" t="n">
        <v>0</v>
      </c>
      <c r="V30" s="14" t="n">
        <v>11.613</v>
      </c>
      <c r="W30" s="14" t="n">
        <v>0</v>
      </c>
      <c r="X30" s="14" t="n">
        <v>1</v>
      </c>
      <c r="Y30" s="14" t="n">
        <v>17.127</v>
      </c>
      <c r="Z30" s="14" t="n">
        <v>2.304</v>
      </c>
      <c r="AA30" s="14" t="n">
        <v>0</v>
      </c>
      <c r="AB30" s="14" t="n">
        <v>17.127</v>
      </c>
      <c r="AC30" s="14" t="n">
        <v>0</v>
      </c>
      <c r="AD30" s="14" t="n">
        <v>1</v>
      </c>
      <c r="AE30" s="14" t="n">
        <v>18.27</v>
      </c>
      <c r="AF30" s="14" t="n">
        <v>4.278</v>
      </c>
      <c r="AG30" s="14" t="n">
        <v>0</v>
      </c>
      <c r="AH30" s="14" t="n">
        <v>18.27</v>
      </c>
      <c r="AI30" s="14" t="n">
        <v>0</v>
      </c>
      <c r="AJ30" s="14" t="n">
        <v>1</v>
      </c>
      <c r="AK30" s="14" t="n">
        <v>25.13</v>
      </c>
      <c r="AL30" s="14" t="n">
        <v>13.503</v>
      </c>
      <c r="AM30" s="14" t="n">
        <v>0</v>
      </c>
      <c r="AN30" s="14" t="n">
        <v>25.13</v>
      </c>
      <c r="AO30" s="14" t="n">
        <v>0</v>
      </c>
      <c r="AP30" s="14" t="n">
        <v>1</v>
      </c>
      <c r="AQ30" s="14" t="n">
        <v>0.649</v>
      </c>
      <c r="AR30" s="14" t="n">
        <v>0.114</v>
      </c>
      <c r="AS30" s="14" t="n">
        <v>0</v>
      </c>
      <c r="AT30" s="14" t="n">
        <v>0.649</v>
      </c>
      <c r="AU30" s="14" t="n">
        <v>0</v>
      </c>
      <c r="AV30" s="14" t="n">
        <v>1</v>
      </c>
      <c r="AW30" s="14" t="n">
        <v>0.577</v>
      </c>
      <c r="AX30" s="14" t="n">
        <v>0.114</v>
      </c>
      <c r="AY30" s="14" t="n">
        <v>0</v>
      </c>
      <c r="AZ30" s="14" t="n">
        <v>0.577</v>
      </c>
      <c r="BA30" s="14" t="n">
        <v>0</v>
      </c>
      <c r="BB30" s="14" t="n">
        <v>1</v>
      </c>
      <c r="BC30" s="14" t="n">
        <v>0.458</v>
      </c>
      <c r="BD30" s="14" t="n">
        <v>0.114</v>
      </c>
      <c r="BE30" s="14" t="n">
        <v>0</v>
      </c>
      <c r="BF30" s="14" t="n">
        <v>0.458</v>
      </c>
      <c r="BG30" s="14" t="n">
        <v>0</v>
      </c>
      <c r="BH30" s="14" t="n">
        <v>1</v>
      </c>
      <c r="BI30" s="14" t="n">
        <v>0.491</v>
      </c>
      <c r="BJ30" s="14" t="n">
        <v>0.114</v>
      </c>
      <c r="BK30" s="14" t="n">
        <v>0</v>
      </c>
      <c r="BL30" s="14" t="n">
        <v>0.491</v>
      </c>
      <c r="BM30" s="14" t="n">
        <v>0</v>
      </c>
      <c r="BN30" s="14" t="n">
        <v>1</v>
      </c>
      <c r="BO30" s="14" t="n">
        <v>0</v>
      </c>
      <c r="BP30" s="14" t="n">
        <v>0</v>
      </c>
      <c r="BQ30" s="14" t="n">
        <v>0</v>
      </c>
      <c r="BR30" s="14" t="n">
        <v>0</v>
      </c>
      <c r="BS30" s="14" t="n">
        <v>1</v>
      </c>
      <c r="BT30" s="14" t="n">
        <v>0</v>
      </c>
      <c r="BU30" s="14" t="n">
        <v>0</v>
      </c>
      <c r="BV30" s="14" t="n">
        <v>0</v>
      </c>
      <c r="BW30" s="14" t="n">
        <v>0</v>
      </c>
      <c r="BX30" s="14" t="n">
        <v>1</v>
      </c>
      <c r="BY30" s="14" t="n">
        <v>11.787</v>
      </c>
      <c r="BZ30" s="14" t="n">
        <v>0</v>
      </c>
      <c r="CA30" s="14" t="n">
        <v>11.787</v>
      </c>
      <c r="CB30" s="14" t="n">
        <v>0</v>
      </c>
      <c r="CC30" s="14" t="n">
        <v>78.125</v>
      </c>
      <c r="CD30" s="14" t="n">
        <v>7.95</v>
      </c>
      <c r="CE30" s="14" t="n">
        <v>0</v>
      </c>
      <c r="CF30" s="14" t="n">
        <v>78.125</v>
      </c>
      <c r="CG30" s="14" t="n">
        <v>0</v>
      </c>
      <c r="CH30" s="14" t="n">
        <v>1</v>
      </c>
      <c r="CI30" s="14" t="n">
        <v>0</v>
      </c>
      <c r="CJ30" s="14" t="n">
        <v>0</v>
      </c>
      <c r="CK30" s="14" t="n">
        <v>0</v>
      </c>
      <c r="CL30" s="14" t="n">
        <v>0</v>
      </c>
      <c r="CM30" s="14" t="n">
        <v>0</v>
      </c>
      <c r="CN30" s="14" t="n">
        <v>0</v>
      </c>
      <c r="CO30" s="14" t="n">
        <v>0</v>
      </c>
      <c r="CP30" s="14" t="n">
        <v>0</v>
      </c>
      <c r="CQ30" s="14" t="n">
        <v>1.198</v>
      </c>
      <c r="CR30" s="14" t="n">
        <v>0</v>
      </c>
      <c r="CS30" s="14" t="n">
        <v>4.776</v>
      </c>
      <c r="CT30" s="14" t="n">
        <v>4.753</v>
      </c>
      <c r="CU30" s="14" t="n">
        <v>15.983</v>
      </c>
    </row>
    <row r="31">
      <c r="A31" s="14" t="inlineStr">
        <is>
          <t>AIA2022</t>
        </is>
      </c>
      <c r="B31" s="14" t="inlineStr">
        <is>
          <t>AIA</t>
        </is>
      </c>
      <c r="C31" s="14" t="inlineStr">
        <is>
          <t>AIA</t>
        </is>
      </c>
      <c r="D31" s="14" t="inlineStr">
        <is>
          <t>Anguilla</t>
        </is>
      </c>
      <c r="E31" s="14" t="n">
        <v>2022</v>
      </c>
      <c r="F31" s="14" t="n">
        <v>0</v>
      </c>
      <c r="G31" s="14" t="n">
        <v>11.72</v>
      </c>
      <c r="H31" s="14" t="n">
        <v>1.235</v>
      </c>
      <c r="I31" s="14" t="n">
        <v>0</v>
      </c>
      <c r="J31" s="14" t="n">
        <v>11.72</v>
      </c>
      <c r="K31" s="14" t="n">
        <v>0</v>
      </c>
      <c r="L31" s="14" t="n">
        <v>1</v>
      </c>
      <c r="M31" s="14" t="n">
        <v>9.782999999999999</v>
      </c>
      <c r="N31" s="14" t="n">
        <v>3.704</v>
      </c>
      <c r="O31" s="14" t="n">
        <v>0</v>
      </c>
      <c r="P31" s="14" t="n">
        <v>9.782999999999999</v>
      </c>
      <c r="Q31" s="14" t="n">
        <v>0</v>
      </c>
      <c r="R31" s="14" t="n">
        <v>1</v>
      </c>
      <c r="S31" s="14" t="n">
        <v>17.893</v>
      </c>
      <c r="T31" s="14" t="n">
        <v>7.408</v>
      </c>
      <c r="U31" s="14" t="n">
        <v>0</v>
      </c>
      <c r="V31" s="14" t="n">
        <v>17.893</v>
      </c>
      <c r="W31" s="14" t="n">
        <v>0</v>
      </c>
      <c r="X31" s="14" t="n">
        <v>1</v>
      </c>
      <c r="Y31" s="14" t="n">
        <v>30.728</v>
      </c>
      <c r="Z31" s="14" t="n">
        <v>4.133</v>
      </c>
      <c r="AA31" s="14" t="n">
        <v>0</v>
      </c>
      <c r="AB31" s="14" t="n">
        <v>30.728</v>
      </c>
      <c r="AC31" s="14" t="n">
        <v>0</v>
      </c>
      <c r="AD31" s="14" t="n">
        <v>1</v>
      </c>
      <c r="AE31" s="14" t="n">
        <v>31.963</v>
      </c>
      <c r="AF31" s="14" t="n">
        <v>7.485</v>
      </c>
      <c r="AG31" s="14" t="n">
        <v>0</v>
      </c>
      <c r="AH31" s="14" t="n">
        <v>31.963</v>
      </c>
      <c r="AI31" s="14" t="n">
        <v>0</v>
      </c>
      <c r="AJ31" s="14" t="n">
        <v>1</v>
      </c>
      <c r="AK31" s="14" t="n">
        <v>39.371</v>
      </c>
      <c r="AL31" s="14" t="n">
        <v>21.155</v>
      </c>
      <c r="AM31" s="14" t="n">
        <v>0</v>
      </c>
      <c r="AN31" s="14" t="n">
        <v>39.371</v>
      </c>
      <c r="AO31" s="14" t="n">
        <v>0</v>
      </c>
      <c r="AP31" s="14" t="n">
        <v>1</v>
      </c>
      <c r="AQ31" s="14" t="n">
        <v>0.896</v>
      </c>
      <c r="AR31" s="14" t="n">
        <v>0.123</v>
      </c>
      <c r="AS31" s="14" t="n">
        <v>0</v>
      </c>
      <c r="AT31" s="14" t="n">
        <v>0.896</v>
      </c>
      <c r="AU31" s="14" t="n">
        <v>0</v>
      </c>
      <c r="AV31" s="14" t="n">
        <v>1</v>
      </c>
      <c r="AW31" s="14" t="n">
        <v>0.89</v>
      </c>
      <c r="AX31" s="14" t="n">
        <v>0.123</v>
      </c>
      <c r="AY31" s="14" t="n">
        <v>0</v>
      </c>
      <c r="AZ31" s="14" t="n">
        <v>0.89</v>
      </c>
      <c r="BA31" s="14" t="n">
        <v>0</v>
      </c>
      <c r="BB31" s="14" t="n">
        <v>1</v>
      </c>
      <c r="BC31" s="14" t="n">
        <v>0.62</v>
      </c>
      <c r="BD31" s="14" t="n">
        <v>0.123</v>
      </c>
      <c r="BE31" s="14" t="n">
        <v>0</v>
      </c>
      <c r="BF31" s="14" t="n">
        <v>0.62</v>
      </c>
      <c r="BG31" s="14" t="n">
        <v>0</v>
      </c>
      <c r="BH31" s="14" t="n">
        <v>1</v>
      </c>
      <c r="BI31" s="14" t="n">
        <v>0.608</v>
      </c>
      <c r="BJ31" s="14" t="n">
        <v>0.123</v>
      </c>
      <c r="BK31" s="14" t="n">
        <v>0</v>
      </c>
      <c r="BL31" s="14" t="n">
        <v>0.608</v>
      </c>
      <c r="BM31" s="14" t="n">
        <v>0</v>
      </c>
      <c r="BN31" s="14" t="n">
        <v>1</v>
      </c>
      <c r="BO31" s="14" t="n">
        <v>0</v>
      </c>
      <c r="BP31" s="14" t="n">
        <v>0</v>
      </c>
      <c r="BQ31" s="14" t="n">
        <v>0</v>
      </c>
      <c r="BR31" s="14" t="n">
        <v>0</v>
      </c>
      <c r="BS31" s="14" t="n">
        <v>1</v>
      </c>
      <c r="BT31" s="14" t="n">
        <v>0</v>
      </c>
      <c r="BU31" s="14" t="n">
        <v>0</v>
      </c>
      <c r="BV31" s="14" t="n">
        <v>0</v>
      </c>
      <c r="BW31" s="14" t="n">
        <v>0</v>
      </c>
      <c r="BX31" s="14" t="n">
        <v>1</v>
      </c>
      <c r="BY31" s="14" t="n">
        <v>12.729</v>
      </c>
      <c r="BZ31" s="14" t="n">
        <v>0</v>
      </c>
      <c r="CA31" s="14" t="n">
        <v>12.729</v>
      </c>
      <c r="CB31" s="14" t="n">
        <v>0</v>
      </c>
      <c r="CC31" s="14" t="n">
        <v>97.90000000000001</v>
      </c>
      <c r="CD31" s="14" t="n">
        <v>7.95</v>
      </c>
      <c r="CE31" s="14" t="n">
        <v>0</v>
      </c>
      <c r="CF31" s="14" t="n">
        <v>97.90000000000001</v>
      </c>
      <c r="CG31" s="14" t="n">
        <v>0</v>
      </c>
      <c r="CH31" s="14" t="n">
        <v>1</v>
      </c>
      <c r="CI31" s="14" t="n">
        <v>0</v>
      </c>
      <c r="CJ31" s="14" t="n">
        <v>0</v>
      </c>
      <c r="CK31" s="14" t="n">
        <v>0</v>
      </c>
      <c r="CL31" s="14" t="n">
        <v>0</v>
      </c>
      <c r="CM31" s="14" t="n">
        <v>0</v>
      </c>
      <c r="CN31" s="14" t="n">
        <v>0</v>
      </c>
      <c r="CO31" s="14" t="n">
        <v>0</v>
      </c>
      <c r="CP31" s="14" t="n">
        <v>0</v>
      </c>
      <c r="CQ31" s="14" t="n">
        <v>1.294</v>
      </c>
      <c r="CR31" s="14" t="n">
        <v>0</v>
      </c>
      <c r="CS31" s="14" t="n">
        <v>5.158</v>
      </c>
      <c r="CT31" s="14" t="n">
        <v>10.485</v>
      </c>
      <c r="CU31" s="14" t="n">
        <v>29.494</v>
      </c>
    </row>
    <row r="32">
      <c r="A32" s="14" t="inlineStr">
        <is>
          <t>AIA2023</t>
        </is>
      </c>
      <c r="B32" s="14" t="inlineStr">
        <is>
          <t>AIA</t>
        </is>
      </c>
      <c r="C32" s="14" t="inlineStr">
        <is>
          <t>AIA</t>
        </is>
      </c>
      <c r="D32" s="14" t="inlineStr">
        <is>
          <t>Anguilla</t>
        </is>
      </c>
      <c r="E32" s="14" t="n">
        <v>2023</v>
      </c>
      <c r="F32" s="14" t="n">
        <v>0</v>
      </c>
      <c r="G32" s="14" t="n">
        <v>6.147</v>
      </c>
      <c r="H32" s="14" t="n">
        <v>1.286</v>
      </c>
      <c r="I32" s="14" t="n">
        <v>0</v>
      </c>
      <c r="J32" s="14" t="n">
        <v>6.147</v>
      </c>
      <c r="K32" s="14" t="n">
        <v>0</v>
      </c>
      <c r="L32" s="14" t="n">
        <v>1</v>
      </c>
      <c r="M32" s="14" t="n">
        <v>7.886</v>
      </c>
      <c r="N32" s="14" t="n">
        <v>3.857</v>
      </c>
      <c r="O32" s="14" t="n">
        <v>0</v>
      </c>
      <c r="P32" s="14" t="n">
        <v>7.886</v>
      </c>
      <c r="Q32" s="14" t="n">
        <v>0</v>
      </c>
      <c r="R32" s="14" t="n">
        <v>1</v>
      </c>
      <c r="S32" s="14" t="n">
        <v>12.575</v>
      </c>
      <c r="T32" s="14" t="n">
        <v>7.714</v>
      </c>
      <c r="U32" s="14" t="n">
        <v>0</v>
      </c>
      <c r="V32" s="14" t="n">
        <v>12.575</v>
      </c>
      <c r="W32" s="14" t="n">
        <v>0</v>
      </c>
      <c r="X32" s="14" t="n">
        <v>1</v>
      </c>
      <c r="Y32" s="14" t="n">
        <v>12.478</v>
      </c>
      <c r="Z32" s="14" t="n">
        <v>1.678</v>
      </c>
      <c r="AA32" s="14" t="n">
        <v>0</v>
      </c>
      <c r="AB32" s="14" t="n">
        <v>12.478</v>
      </c>
      <c r="AC32" s="14" t="n">
        <v>0</v>
      </c>
      <c r="AD32" s="14" t="n">
        <v>1</v>
      </c>
      <c r="AE32" s="14" t="n">
        <v>13.763</v>
      </c>
      <c r="AF32" s="14" t="n">
        <v>3.223</v>
      </c>
      <c r="AG32" s="14" t="n">
        <v>0</v>
      </c>
      <c r="AH32" s="14" t="n">
        <v>13.763</v>
      </c>
      <c r="AI32" s="14" t="n">
        <v>0</v>
      </c>
      <c r="AJ32" s="14" t="n">
        <v>1</v>
      </c>
      <c r="AK32" s="14" t="n">
        <v>21.477</v>
      </c>
      <c r="AL32" s="14" t="n">
        <v>11.54</v>
      </c>
      <c r="AM32" s="14" t="n">
        <v>0</v>
      </c>
      <c r="AN32" s="14" t="n">
        <v>21.477</v>
      </c>
      <c r="AO32" s="14" t="n">
        <v>0</v>
      </c>
      <c r="AP32" s="14" t="n">
        <v>1</v>
      </c>
      <c r="AQ32" s="14" t="n">
        <v>0.791</v>
      </c>
      <c r="AR32" s="14" t="n">
        <v>0.129</v>
      </c>
      <c r="AS32" s="14" t="n">
        <v>0</v>
      </c>
      <c r="AT32" s="14" t="n">
        <v>0.791</v>
      </c>
      <c r="AU32" s="14" t="n">
        <v>0</v>
      </c>
      <c r="AV32" s="14" t="n">
        <v>1</v>
      </c>
      <c r="AW32" s="14" t="n">
        <v>0.618</v>
      </c>
      <c r="AX32" s="14" t="n">
        <v>0.129</v>
      </c>
      <c r="AY32" s="14" t="n">
        <v>0</v>
      </c>
      <c r="AZ32" s="14" t="n">
        <v>0.618</v>
      </c>
      <c r="BA32" s="14" t="n">
        <v>0</v>
      </c>
      <c r="BB32" s="14" t="n">
        <v>1</v>
      </c>
      <c r="BC32" s="14" t="n">
        <v>0.554</v>
      </c>
      <c r="BD32" s="14" t="n">
        <v>0.129</v>
      </c>
      <c r="BE32" s="14" t="n">
        <v>0</v>
      </c>
      <c r="BF32" s="14" t="n">
        <v>0.554</v>
      </c>
      <c r="BG32" s="14" t="n">
        <v>0</v>
      </c>
      <c r="BH32" s="14" t="n">
        <v>1</v>
      </c>
      <c r="BI32" s="14" t="n">
        <v>0.5570000000000001</v>
      </c>
      <c r="BJ32" s="14" t="n">
        <v>0.129</v>
      </c>
      <c r="BK32" s="14" t="n">
        <v>0</v>
      </c>
      <c r="BL32" s="14" t="n">
        <v>0.5570000000000001</v>
      </c>
      <c r="BM32" s="14" t="n">
        <v>0</v>
      </c>
      <c r="BN32" s="14" t="n">
        <v>1</v>
      </c>
      <c r="BO32" s="14" t="n">
        <v>0</v>
      </c>
      <c r="BP32" s="14" t="n">
        <v>0</v>
      </c>
      <c r="BQ32" s="14" t="n">
        <v>0</v>
      </c>
      <c r="BR32" s="14" t="n">
        <v>0</v>
      </c>
      <c r="BS32" s="14" t="n">
        <v>1</v>
      </c>
      <c r="BT32" s="14" t="n">
        <v>0</v>
      </c>
      <c r="BU32" s="14" t="n">
        <v>0</v>
      </c>
      <c r="BV32" s="14" t="n">
        <v>0</v>
      </c>
      <c r="BW32" s="14" t="n">
        <v>0</v>
      </c>
      <c r="BX32" s="14" t="n">
        <v>1</v>
      </c>
      <c r="BY32" s="14" t="n">
        <v>13.254</v>
      </c>
      <c r="BZ32" s="14" t="n">
        <v>0</v>
      </c>
      <c r="CA32" s="14" t="n">
        <v>13.254</v>
      </c>
      <c r="CB32" s="14" t="n">
        <v>0</v>
      </c>
      <c r="CC32" s="14" t="n">
        <v>83.248</v>
      </c>
      <c r="CD32" s="14" t="n">
        <v>7.95</v>
      </c>
      <c r="CE32" s="14" t="n">
        <v>0</v>
      </c>
      <c r="CF32" s="14" t="n">
        <v>83.248</v>
      </c>
      <c r="CG32" s="14" t="n">
        <v>0</v>
      </c>
      <c r="CH32" s="14" t="n">
        <v>1</v>
      </c>
      <c r="CI32" s="14" t="n">
        <v>0</v>
      </c>
      <c r="CJ32" s="14" t="n">
        <v>0</v>
      </c>
      <c r="CK32" s="14" t="n">
        <v>0</v>
      </c>
      <c r="CL32" s="14" t="n">
        <v>0</v>
      </c>
      <c r="CM32" s="14" t="n">
        <v>0</v>
      </c>
      <c r="CN32" s="14" t="n">
        <v>0</v>
      </c>
      <c r="CO32" s="14" t="n">
        <v>0</v>
      </c>
      <c r="CP32" s="14" t="n">
        <v>0</v>
      </c>
      <c r="CQ32" s="14" t="n">
        <v>1.348</v>
      </c>
      <c r="CR32" s="14" t="n">
        <v>0</v>
      </c>
      <c r="CS32" s="14" t="n">
        <v>5.37</v>
      </c>
      <c r="CT32" s="14" t="n">
        <v>4.861</v>
      </c>
      <c r="CU32" s="14" t="n">
        <v>11.192</v>
      </c>
    </row>
    <row r="33">
      <c r="A33" s="14" t="inlineStr">
        <is>
          <t>AIA2024</t>
        </is>
      </c>
      <c r="B33" s="14" t="inlineStr">
        <is>
          <t>AIA</t>
        </is>
      </c>
      <c r="C33" s="14" t="inlineStr">
        <is>
          <t>AIA</t>
        </is>
      </c>
      <c r="D33" s="14" t="inlineStr">
        <is>
          <t>Anguilla</t>
        </is>
      </c>
      <c r="E33" s="14" t="n">
        <v>2024</v>
      </c>
      <c r="F33" s="14" t="n">
        <v>0</v>
      </c>
      <c r="G33" s="14" t="n">
        <v>5.575</v>
      </c>
      <c r="H33" s="14" t="n">
        <v>1.324</v>
      </c>
      <c r="I33" s="14" t="n">
        <v>0</v>
      </c>
      <c r="J33" s="14" t="n">
        <v>5.575</v>
      </c>
      <c r="K33" s="14" t="n">
        <v>0</v>
      </c>
      <c r="L33" s="14" t="n">
        <v>1</v>
      </c>
      <c r="M33" s="14" t="n">
        <v>7.124</v>
      </c>
      <c r="N33" s="14" t="n">
        <v>3.971</v>
      </c>
      <c r="O33" s="14" t="n">
        <v>0</v>
      </c>
      <c r="P33" s="14" t="n">
        <v>7.124</v>
      </c>
      <c r="Q33" s="14" t="n">
        <v>0</v>
      </c>
      <c r="R33" s="14" t="n">
        <v>1</v>
      </c>
      <c r="S33" s="14" t="n">
        <v>12.193</v>
      </c>
      <c r="T33" s="14" t="n">
        <v>7.942</v>
      </c>
      <c r="U33" s="14" t="n">
        <v>0</v>
      </c>
      <c r="V33" s="14" t="n">
        <v>12.193</v>
      </c>
      <c r="W33" s="14" t="n">
        <v>0</v>
      </c>
      <c r="X33" s="14" t="n">
        <v>1</v>
      </c>
      <c r="Y33" s="14" t="n">
        <v>11.447</v>
      </c>
      <c r="Z33" s="14" t="n">
        <v>1.54</v>
      </c>
      <c r="AA33" s="14" t="n">
        <v>0</v>
      </c>
      <c r="AB33" s="14" t="n">
        <v>11.447</v>
      </c>
      <c r="AC33" s="14" t="n">
        <v>0</v>
      </c>
      <c r="AD33" s="14" t="n">
        <v>1</v>
      </c>
      <c r="AE33" s="14" t="n">
        <v>12.771</v>
      </c>
      <c r="AF33" s="14" t="n">
        <v>2.991</v>
      </c>
      <c r="AG33" s="14" t="n">
        <v>0</v>
      </c>
      <c r="AH33" s="14" t="n">
        <v>12.771</v>
      </c>
      <c r="AI33" s="14" t="n">
        <v>0</v>
      </c>
      <c r="AJ33" s="14" t="n">
        <v>1</v>
      </c>
      <c r="AK33" s="14" t="n">
        <v>20.712</v>
      </c>
      <c r="AL33" s="14" t="n">
        <v>11.129</v>
      </c>
      <c r="AM33" s="14" t="n">
        <v>0</v>
      </c>
      <c r="AN33" s="14" t="n">
        <v>20.712</v>
      </c>
      <c r="AO33" s="14" t="n">
        <v>0</v>
      </c>
      <c r="AP33" s="14" t="n">
        <v>1</v>
      </c>
      <c r="AQ33" s="14" t="n">
        <v>0.756</v>
      </c>
      <c r="AR33" s="14" t="n">
        <v>0.132</v>
      </c>
      <c r="AS33" s="14" t="n">
        <v>0</v>
      </c>
      <c r="AT33" s="14" t="n">
        <v>0.756</v>
      </c>
      <c r="AU33" s="14" t="n">
        <v>0</v>
      </c>
      <c r="AV33" s="14" t="n">
        <v>1</v>
      </c>
      <c r="AW33" s="14" t="n">
        <v>0.655</v>
      </c>
      <c r="AX33" s="14" t="n">
        <v>0.132</v>
      </c>
      <c r="AY33" s="14" t="n">
        <v>0</v>
      </c>
      <c r="AZ33" s="14" t="n">
        <v>0.655</v>
      </c>
      <c r="BA33" s="14" t="n">
        <v>0</v>
      </c>
      <c r="BB33" s="14" t="n">
        <v>1</v>
      </c>
      <c r="BC33" s="14" t="n">
        <v>0.534</v>
      </c>
      <c r="BD33" s="14" t="n">
        <v>0.132</v>
      </c>
      <c r="BE33" s="14" t="n">
        <v>0</v>
      </c>
      <c r="BF33" s="14" t="n">
        <v>0.534</v>
      </c>
      <c r="BG33" s="14" t="n">
        <v>0</v>
      </c>
      <c r="BH33" s="14" t="n">
        <v>1</v>
      </c>
      <c r="BI33" s="14" t="n">
        <v>0.5679999999999999</v>
      </c>
      <c r="BJ33" s="14" t="n">
        <v>0.132</v>
      </c>
      <c r="BK33" s="14" t="n">
        <v>0</v>
      </c>
      <c r="BL33" s="14" t="n">
        <v>0.5679999999999999</v>
      </c>
      <c r="BM33" s="14" t="n">
        <v>0</v>
      </c>
      <c r="BN33" s="14" t="n">
        <v>1</v>
      </c>
      <c r="BO33" s="14" t="n">
        <v>0</v>
      </c>
      <c r="BP33" s="14" t="n">
        <v>0</v>
      </c>
      <c r="BQ33" s="14" t="n">
        <v>0</v>
      </c>
      <c r="BR33" s="14" t="n">
        <v>0</v>
      </c>
      <c r="BS33" s="14" t="n">
        <v>1</v>
      </c>
      <c r="BT33" s="14" t="n">
        <v>0</v>
      </c>
      <c r="BU33" s="14" t="n">
        <v>0</v>
      </c>
      <c r="BV33" s="14" t="n">
        <v>0</v>
      </c>
      <c r="BW33" s="14" t="n">
        <v>0</v>
      </c>
      <c r="BX33" s="14" t="n">
        <v>1</v>
      </c>
      <c r="BY33" s="14" t="n">
        <v>13.646</v>
      </c>
      <c r="BZ33" s="14" t="n">
        <v>0</v>
      </c>
      <c r="CA33" s="14" t="n">
        <v>13.646</v>
      </c>
      <c r="CB33" s="14" t="n">
        <v>0</v>
      </c>
      <c r="CC33" s="14" t="n">
        <v>82.58799999999999</v>
      </c>
      <c r="CD33" s="14" t="n">
        <v>7.95</v>
      </c>
      <c r="CE33" s="14" t="n">
        <v>0</v>
      </c>
      <c r="CF33" s="14" t="n">
        <v>82.58799999999999</v>
      </c>
      <c r="CG33" s="14" t="n">
        <v>0</v>
      </c>
      <c r="CH33" s="14" t="n">
        <v>1</v>
      </c>
      <c r="CI33" s="14" t="n">
        <v>0</v>
      </c>
      <c r="CJ33" s="14" t="n">
        <v>0</v>
      </c>
      <c r="CK33" s="14" t="n">
        <v>0</v>
      </c>
      <c r="CL33" s="14" t="n">
        <v>0</v>
      </c>
      <c r="CM33" s="14" t="n">
        <v>0</v>
      </c>
      <c r="CN33" s="14" t="n">
        <v>0</v>
      </c>
      <c r="CO33" s="14" t="n">
        <v>0</v>
      </c>
      <c r="CP33" s="14" t="n">
        <v>0</v>
      </c>
      <c r="CQ33" s="14" t="n">
        <v>1.387</v>
      </c>
      <c r="CR33" s="14" t="n">
        <v>0</v>
      </c>
      <c r="CS33" s="14" t="n">
        <v>5.529</v>
      </c>
      <c r="CT33" s="14" t="n">
        <v>4.251</v>
      </c>
      <c r="CU33" s="14" t="n">
        <v>10.123</v>
      </c>
    </row>
    <row r="34">
      <c r="A34" s="14" t="inlineStr">
        <is>
          <t>ATG2021</t>
        </is>
      </c>
      <c r="B34" s="14" t="inlineStr">
        <is>
          <t>ATG</t>
        </is>
      </c>
      <c r="C34" s="14" t="inlineStr">
        <is>
          <t>ATG</t>
        </is>
      </c>
      <c r="D34" s="14" t="inlineStr">
        <is>
          <t>Antigua and Barbuda</t>
        </is>
      </c>
      <c r="E34" s="14" t="n">
        <v>2021</v>
      </c>
      <c r="F34" s="14" t="n">
        <v>0.15</v>
      </c>
      <c r="G34" s="14" t="n">
        <v>5.897</v>
      </c>
      <c r="H34" s="14" t="n">
        <v>1.143</v>
      </c>
      <c r="I34" s="14" t="n">
        <v>0</v>
      </c>
      <c r="J34" s="14" t="n">
        <v>5.897</v>
      </c>
      <c r="K34" s="14" t="n">
        <v>0</v>
      </c>
      <c r="L34" s="14" t="n">
        <v>1</v>
      </c>
      <c r="M34" s="14" t="n">
        <v>7.964</v>
      </c>
      <c r="N34" s="14" t="n">
        <v>3.43</v>
      </c>
      <c r="O34" s="14" t="n">
        <v>0</v>
      </c>
      <c r="P34" s="14" t="n">
        <v>7.964</v>
      </c>
      <c r="Q34" s="14" t="n">
        <v>0</v>
      </c>
      <c r="R34" s="14" t="n">
        <v>1</v>
      </c>
      <c r="S34" s="14" t="n">
        <v>11.613</v>
      </c>
      <c r="T34" s="14" t="n">
        <v>6.86</v>
      </c>
      <c r="U34" s="14" t="n">
        <v>0</v>
      </c>
      <c r="V34" s="14" t="n">
        <v>13.588</v>
      </c>
      <c r="W34" s="14" t="n">
        <v>0.17</v>
      </c>
      <c r="X34" s="14" t="n">
        <v>1</v>
      </c>
      <c r="Y34" s="14" t="n">
        <v>17.127</v>
      </c>
      <c r="Z34" s="14" t="n">
        <v>2.304</v>
      </c>
      <c r="AA34" s="14" t="n">
        <v>0</v>
      </c>
      <c r="AB34" s="14" t="n">
        <v>17.127</v>
      </c>
      <c r="AC34" s="14" t="n">
        <v>0</v>
      </c>
      <c r="AD34" s="14" t="n">
        <v>1</v>
      </c>
      <c r="AE34" s="14" t="n">
        <v>18.27</v>
      </c>
      <c r="AF34" s="14" t="n">
        <v>4.278</v>
      </c>
      <c r="AG34" s="14" t="n">
        <v>0</v>
      </c>
      <c r="AH34" s="14" t="n">
        <v>18.27</v>
      </c>
      <c r="AI34" s="14" t="n">
        <v>0</v>
      </c>
      <c r="AJ34" s="14" t="n">
        <v>1</v>
      </c>
      <c r="AK34" s="14" t="n">
        <v>25.13</v>
      </c>
      <c r="AL34" s="14" t="n">
        <v>13.503</v>
      </c>
      <c r="AM34" s="14" t="n">
        <v>0</v>
      </c>
      <c r="AN34" s="14" t="n">
        <v>29.402</v>
      </c>
      <c r="AO34" s="14" t="n">
        <v>0.17</v>
      </c>
      <c r="AP34" s="14" t="n">
        <v>1</v>
      </c>
      <c r="AQ34" s="14" t="n">
        <v>0.649</v>
      </c>
      <c r="AR34" s="14" t="n">
        <v>0.114</v>
      </c>
      <c r="AS34" s="14" t="n">
        <v>0.554</v>
      </c>
      <c r="AT34" s="14" t="n">
        <v>1.218</v>
      </c>
      <c r="AU34" s="14" t="n">
        <v>0.013</v>
      </c>
      <c r="AV34" s="14" t="n">
        <v>1</v>
      </c>
      <c r="AW34" s="14" t="n">
        <v>0.577</v>
      </c>
      <c r="AX34" s="14" t="n">
        <v>0.114</v>
      </c>
      <c r="AY34" s="14" t="n">
        <v>0.202</v>
      </c>
      <c r="AZ34" s="14" t="n">
        <v>0.911</v>
      </c>
      <c r="BA34" s="14" t="n">
        <v>0.17</v>
      </c>
      <c r="BB34" s="14" t="n">
        <v>1</v>
      </c>
      <c r="BC34" s="14" t="n">
        <v>0.458</v>
      </c>
      <c r="BD34" s="14" t="n">
        <v>0.114</v>
      </c>
      <c r="BE34" s="14" t="n">
        <v>0.158</v>
      </c>
      <c r="BF34" s="14" t="n">
        <v>0.721</v>
      </c>
      <c r="BG34" s="14" t="n">
        <v>0.17</v>
      </c>
      <c r="BH34" s="14" t="n">
        <v>0</v>
      </c>
      <c r="BI34" s="14" t="n">
        <v>0.491</v>
      </c>
      <c r="BJ34" s="14" t="n">
        <v>0.114</v>
      </c>
      <c r="BK34" s="14" t="n">
        <v>0.018</v>
      </c>
      <c r="BL34" s="14" t="n">
        <v>0.595</v>
      </c>
      <c r="BM34" s="14" t="n">
        <v>0.17</v>
      </c>
      <c r="BN34" s="14" t="n">
        <v>1</v>
      </c>
      <c r="BO34" s="14" t="n">
        <v>0</v>
      </c>
      <c r="BP34" s="14" t="n">
        <v>0.126</v>
      </c>
      <c r="BQ34" s="14" t="n">
        <v>0.71</v>
      </c>
      <c r="BR34" s="14" t="n">
        <v>0</v>
      </c>
      <c r="BS34" s="14" t="n">
        <v>1</v>
      </c>
      <c r="BT34" s="14" t="n">
        <v>0</v>
      </c>
      <c r="BU34" s="14" t="n">
        <v>0</v>
      </c>
      <c r="BV34" s="14" t="n">
        <v>0.388</v>
      </c>
      <c r="BW34" s="14" t="n">
        <v>0</v>
      </c>
      <c r="BX34" s="14" t="n">
        <v>0.667</v>
      </c>
      <c r="BY34" s="14" t="n">
        <v>11.787</v>
      </c>
      <c r="BZ34" s="14" t="n">
        <v>0</v>
      </c>
      <c r="CA34" s="14" t="n">
        <v>11.787</v>
      </c>
      <c r="CB34" s="14" t="n">
        <v>0</v>
      </c>
      <c r="CC34" s="14" t="n">
        <v>78.125</v>
      </c>
      <c r="CD34" s="14" t="n">
        <v>7.95</v>
      </c>
      <c r="CE34" s="14" t="n">
        <v>0</v>
      </c>
      <c r="CF34" s="14" t="n">
        <v>91.40600000000001</v>
      </c>
      <c r="CG34" s="14" t="n">
        <v>0.17</v>
      </c>
      <c r="CH34" s="14" t="n">
        <v>1</v>
      </c>
      <c r="CI34" s="14" t="n">
        <v>0</v>
      </c>
      <c r="CJ34" s="14" t="n">
        <v>0</v>
      </c>
      <c r="CK34" s="14" t="n">
        <v>0</v>
      </c>
      <c r="CL34" s="14" t="n">
        <v>0</v>
      </c>
      <c r="CM34" s="14" t="n">
        <v>0</v>
      </c>
      <c r="CN34" s="14" t="n">
        <v>0</v>
      </c>
      <c r="CO34" s="14" t="n">
        <v>0</v>
      </c>
      <c r="CP34" s="14" t="n">
        <v>0</v>
      </c>
      <c r="CQ34" s="14" t="n">
        <v>1.198</v>
      </c>
      <c r="CR34" s="14" t="n">
        <v>0</v>
      </c>
      <c r="CS34" s="14" t="n">
        <v>4.776</v>
      </c>
      <c r="CT34" s="14" t="n">
        <v>4.753</v>
      </c>
      <c r="CU34" s="14" t="n">
        <v>15.983</v>
      </c>
    </row>
    <row r="35">
      <c r="A35" s="14" t="inlineStr">
        <is>
          <t>ATG2022</t>
        </is>
      </c>
      <c r="B35" s="14" t="inlineStr">
        <is>
          <t>ATG</t>
        </is>
      </c>
      <c r="C35" s="14" t="inlineStr">
        <is>
          <t>ATG</t>
        </is>
      </c>
      <c r="D35" s="14" t="inlineStr">
        <is>
          <t>Antigua and Barbuda</t>
        </is>
      </c>
      <c r="E35" s="14" t="n">
        <v>2022</v>
      </c>
      <c r="F35" s="14" t="n">
        <v>0.15</v>
      </c>
      <c r="G35" s="14" t="n">
        <v>11.72</v>
      </c>
      <c r="H35" s="14" t="n">
        <v>1.235</v>
      </c>
      <c r="I35" s="14" t="n">
        <v>0</v>
      </c>
      <c r="J35" s="14" t="n">
        <v>11.72</v>
      </c>
      <c r="K35" s="14" t="n">
        <v>0</v>
      </c>
      <c r="L35" s="14" t="n">
        <v>1</v>
      </c>
      <c r="M35" s="14" t="n">
        <v>9.782999999999999</v>
      </c>
      <c r="N35" s="14" t="n">
        <v>3.704</v>
      </c>
      <c r="O35" s="14" t="n">
        <v>0</v>
      </c>
      <c r="P35" s="14" t="n">
        <v>9.782999999999999</v>
      </c>
      <c r="Q35" s="14" t="n">
        <v>0</v>
      </c>
      <c r="R35" s="14" t="n">
        <v>1</v>
      </c>
      <c r="S35" s="14" t="n">
        <v>17.893</v>
      </c>
      <c r="T35" s="14" t="n">
        <v>7.408</v>
      </c>
      <c r="U35" s="14" t="n">
        <v>0.225</v>
      </c>
      <c r="V35" s="14" t="n">
        <v>20.935</v>
      </c>
      <c r="W35" s="14" t="n">
        <v>0.17</v>
      </c>
      <c r="X35" s="14" t="n">
        <v>1</v>
      </c>
      <c r="Y35" s="14" t="n">
        <v>30.728</v>
      </c>
      <c r="Z35" s="14" t="n">
        <v>4.133</v>
      </c>
      <c r="AA35" s="14" t="n">
        <v>0</v>
      </c>
      <c r="AB35" s="14" t="n">
        <v>30.728</v>
      </c>
      <c r="AC35" s="14" t="n">
        <v>0</v>
      </c>
      <c r="AD35" s="14" t="n">
        <v>1</v>
      </c>
      <c r="AE35" s="14" t="n">
        <v>31.963</v>
      </c>
      <c r="AF35" s="14" t="n">
        <v>7.485</v>
      </c>
      <c r="AG35" s="14" t="n">
        <v>0</v>
      </c>
      <c r="AH35" s="14" t="n">
        <v>31.963</v>
      </c>
      <c r="AI35" s="14" t="n">
        <v>0</v>
      </c>
      <c r="AJ35" s="14" t="n">
        <v>1</v>
      </c>
      <c r="AK35" s="14" t="n">
        <v>39.371</v>
      </c>
      <c r="AL35" s="14" t="n">
        <v>21.155</v>
      </c>
      <c r="AM35" s="14" t="n">
        <v>0.495</v>
      </c>
      <c r="AN35" s="14" t="n">
        <v>46.064</v>
      </c>
      <c r="AO35" s="14" t="n">
        <v>0.17</v>
      </c>
      <c r="AP35" s="14" t="n">
        <v>1</v>
      </c>
      <c r="AQ35" s="14" t="n">
        <v>0.896</v>
      </c>
      <c r="AR35" s="14" t="n">
        <v>0.123</v>
      </c>
      <c r="AS35" s="14" t="n">
        <v>0.5629999999999999</v>
      </c>
      <c r="AT35" s="14" t="n">
        <v>1.479</v>
      </c>
      <c r="AU35" s="14" t="n">
        <v>0.013</v>
      </c>
      <c r="AV35" s="14" t="n">
        <v>1</v>
      </c>
      <c r="AW35" s="14" t="n">
        <v>0.89</v>
      </c>
      <c r="AX35" s="14" t="n">
        <v>0.123</v>
      </c>
      <c r="AY35" s="14" t="n">
        <v>0.105</v>
      </c>
      <c r="AZ35" s="14" t="n">
        <v>1.165</v>
      </c>
      <c r="BA35" s="14" t="n">
        <v>0.17</v>
      </c>
      <c r="BB35" s="14" t="n">
        <v>1</v>
      </c>
      <c r="BC35" s="14" t="n">
        <v>0.62</v>
      </c>
      <c r="BD35" s="14" t="n">
        <v>0.123</v>
      </c>
      <c r="BE35" s="14" t="n">
        <v>-0.004</v>
      </c>
      <c r="BF35" s="14" t="n">
        <v>0.721</v>
      </c>
      <c r="BG35" s="14" t="n">
        <v>0.17</v>
      </c>
      <c r="BH35" s="14" t="n">
        <v>0</v>
      </c>
      <c r="BI35" s="14" t="n">
        <v>0.608</v>
      </c>
      <c r="BJ35" s="14" t="n">
        <v>0.123</v>
      </c>
      <c r="BK35" s="14" t="n">
        <v>0.016</v>
      </c>
      <c r="BL35" s="14" t="n">
        <v>0.72</v>
      </c>
      <c r="BM35" s="14" t="n">
        <v>0.17</v>
      </c>
      <c r="BN35" s="14" t="n">
        <v>1</v>
      </c>
      <c r="BO35" s="14" t="n">
        <v>0</v>
      </c>
      <c r="BP35" s="14" t="n">
        <v>0.136</v>
      </c>
      <c r="BQ35" s="14" t="n">
        <v>0.767</v>
      </c>
      <c r="BR35" s="14" t="n">
        <v>0</v>
      </c>
      <c r="BS35" s="14" t="n">
        <v>1</v>
      </c>
      <c r="BT35" s="14" t="n">
        <v>0</v>
      </c>
      <c r="BU35" s="14" t="n">
        <v>0</v>
      </c>
      <c r="BV35" s="14" t="n">
        <v>0.419</v>
      </c>
      <c r="BW35" s="14" t="n">
        <v>0</v>
      </c>
      <c r="BX35" s="14" t="n">
        <v>0.667</v>
      </c>
      <c r="BY35" s="14" t="n">
        <v>12.729</v>
      </c>
      <c r="BZ35" s="14" t="n">
        <v>0</v>
      </c>
      <c r="CA35" s="14" t="n">
        <v>12.729</v>
      </c>
      <c r="CB35" s="14" t="n">
        <v>0</v>
      </c>
      <c r="CC35" s="14" t="n">
        <v>97.90000000000001</v>
      </c>
      <c r="CD35" s="14" t="n">
        <v>7.95</v>
      </c>
      <c r="CE35" s="14" t="n">
        <v>1.232</v>
      </c>
      <c r="CF35" s="14" t="n">
        <v>114.543</v>
      </c>
      <c r="CG35" s="14" t="n">
        <v>0.17</v>
      </c>
      <c r="CH35" s="14" t="n">
        <v>1</v>
      </c>
      <c r="CI35" s="14" t="n">
        <v>0</v>
      </c>
      <c r="CJ35" s="14" t="n">
        <v>0</v>
      </c>
      <c r="CK35" s="14" t="n">
        <v>0</v>
      </c>
      <c r="CL35" s="14" t="n">
        <v>0</v>
      </c>
      <c r="CM35" s="14" t="n">
        <v>0</v>
      </c>
      <c r="CN35" s="14" t="n">
        <v>0</v>
      </c>
      <c r="CO35" s="14" t="n">
        <v>0</v>
      </c>
      <c r="CP35" s="14" t="n">
        <v>0</v>
      </c>
      <c r="CQ35" s="14" t="n">
        <v>1.294</v>
      </c>
      <c r="CR35" s="14" t="n">
        <v>0</v>
      </c>
      <c r="CS35" s="14" t="n">
        <v>5.158</v>
      </c>
      <c r="CT35" s="14" t="n">
        <v>10.485</v>
      </c>
      <c r="CU35" s="14" t="n">
        <v>29.494</v>
      </c>
    </row>
    <row r="36">
      <c r="A36" s="14" t="inlineStr">
        <is>
          <t>ATG2023</t>
        </is>
      </c>
      <c r="B36" s="14" t="inlineStr">
        <is>
          <t>ATG</t>
        </is>
      </c>
      <c r="C36" s="14" t="inlineStr">
        <is>
          <t>ATG</t>
        </is>
      </c>
      <c r="D36" s="14" t="inlineStr">
        <is>
          <t>Antigua and Barbuda</t>
        </is>
      </c>
      <c r="E36" s="14" t="n">
        <v>2023</v>
      </c>
      <c r="F36" s="14" t="n">
        <v>0.15</v>
      </c>
      <c r="G36" s="14" t="n">
        <v>6.147</v>
      </c>
      <c r="H36" s="14" t="n">
        <v>1.286</v>
      </c>
      <c r="I36" s="14" t="n">
        <v>0</v>
      </c>
      <c r="J36" s="14" t="n">
        <v>6.147</v>
      </c>
      <c r="K36" s="14" t="n">
        <v>0</v>
      </c>
      <c r="L36" s="14" t="n">
        <v>1</v>
      </c>
      <c r="M36" s="14" t="n">
        <v>7.886</v>
      </c>
      <c r="N36" s="14" t="n">
        <v>3.857</v>
      </c>
      <c r="O36" s="14" t="n">
        <v>0</v>
      </c>
      <c r="P36" s="14" t="n">
        <v>7.886</v>
      </c>
      <c r="Q36" s="14" t="n">
        <v>0</v>
      </c>
      <c r="R36" s="14" t="n">
        <v>1</v>
      </c>
      <c r="S36" s="14" t="n">
        <v>12.575</v>
      </c>
      <c r="T36" s="14" t="n">
        <v>7.714</v>
      </c>
      <c r="U36" s="14" t="n">
        <v>0.237</v>
      </c>
      <c r="V36" s="14" t="n">
        <v>14.713</v>
      </c>
      <c r="W36" s="14" t="n">
        <v>0.17</v>
      </c>
      <c r="X36" s="14" t="n">
        <v>1</v>
      </c>
      <c r="Y36" s="14" t="n">
        <v>12.478</v>
      </c>
      <c r="Z36" s="14" t="n">
        <v>1.678</v>
      </c>
      <c r="AA36" s="14" t="n">
        <v>0</v>
      </c>
      <c r="AB36" s="14" t="n">
        <v>12.478</v>
      </c>
      <c r="AC36" s="14" t="n">
        <v>0</v>
      </c>
      <c r="AD36" s="14" t="n">
        <v>1</v>
      </c>
      <c r="AE36" s="14" t="n">
        <v>13.763</v>
      </c>
      <c r="AF36" s="14" t="n">
        <v>3.223</v>
      </c>
      <c r="AG36" s="14" t="n">
        <v>0</v>
      </c>
      <c r="AH36" s="14" t="n">
        <v>13.763</v>
      </c>
      <c r="AI36" s="14" t="n">
        <v>0</v>
      </c>
      <c r="AJ36" s="14" t="n">
        <v>1</v>
      </c>
      <c r="AK36" s="14" t="n">
        <v>21.477</v>
      </c>
      <c r="AL36" s="14" t="n">
        <v>11.54</v>
      </c>
      <c r="AM36" s="14" t="n">
        <v>0.404</v>
      </c>
      <c r="AN36" s="14" t="n">
        <v>25.129</v>
      </c>
      <c r="AO36" s="14" t="n">
        <v>0.17</v>
      </c>
      <c r="AP36" s="14" t="n">
        <v>1</v>
      </c>
      <c r="AQ36" s="14" t="n">
        <v>0.791</v>
      </c>
      <c r="AR36" s="14" t="n">
        <v>0.129</v>
      </c>
      <c r="AS36" s="14" t="n">
        <v>0.713</v>
      </c>
      <c r="AT36" s="14" t="n">
        <v>1.521</v>
      </c>
      <c r="AU36" s="14" t="n">
        <v>0.013</v>
      </c>
      <c r="AV36" s="14" t="n">
        <v>1</v>
      </c>
      <c r="AW36" s="14" t="n">
        <v>0.618</v>
      </c>
      <c r="AX36" s="14" t="n">
        <v>0.129</v>
      </c>
      <c r="AY36" s="14" t="n">
        <v>0.527</v>
      </c>
      <c r="AZ36" s="14" t="n">
        <v>1.34</v>
      </c>
      <c r="BA36" s="14" t="n">
        <v>0.17</v>
      </c>
      <c r="BB36" s="14" t="n">
        <v>1</v>
      </c>
      <c r="BC36" s="14" t="n">
        <v>0.554</v>
      </c>
      <c r="BD36" s="14" t="n">
        <v>0.129</v>
      </c>
      <c r="BE36" s="14" t="n">
        <v>-0.236</v>
      </c>
      <c r="BF36" s="14" t="n">
        <v>0.372</v>
      </c>
      <c r="BG36" s="14" t="n">
        <v>0.17</v>
      </c>
      <c r="BH36" s="14" t="n">
        <v>0</v>
      </c>
      <c r="BI36" s="14" t="n">
        <v>0.5570000000000001</v>
      </c>
      <c r="BJ36" s="14" t="n">
        <v>0.129</v>
      </c>
      <c r="BK36" s="14" t="n">
        <v>0.03</v>
      </c>
      <c r="BL36" s="14" t="n">
        <v>0.675</v>
      </c>
      <c r="BM36" s="14" t="n">
        <v>0.17</v>
      </c>
      <c r="BN36" s="14" t="n">
        <v>1</v>
      </c>
      <c r="BO36" s="14" t="n">
        <v>0</v>
      </c>
      <c r="BP36" s="14" t="n">
        <v>0.142</v>
      </c>
      <c r="BQ36" s="14" t="n">
        <v>0.799</v>
      </c>
      <c r="BR36" s="14" t="n">
        <v>0</v>
      </c>
      <c r="BS36" s="14" t="n">
        <v>1</v>
      </c>
      <c r="BT36" s="14" t="n">
        <v>0</v>
      </c>
      <c r="BU36" s="14" t="n">
        <v>0</v>
      </c>
      <c r="BV36" s="14" t="n">
        <v>0.436</v>
      </c>
      <c r="BW36" s="14" t="n">
        <v>0</v>
      </c>
      <c r="BX36" s="14" t="n">
        <v>0.667</v>
      </c>
      <c r="BY36" s="14" t="n">
        <v>13.254</v>
      </c>
      <c r="BZ36" s="14" t="n">
        <v>0</v>
      </c>
      <c r="CA36" s="14" t="n">
        <v>13.254</v>
      </c>
      <c r="CB36" s="14" t="n">
        <v>0</v>
      </c>
      <c r="CC36" s="14" t="n">
        <v>83.248</v>
      </c>
      <c r="CD36" s="14" t="n">
        <v>7.95</v>
      </c>
      <c r="CE36" s="14" t="n">
        <v>1.567</v>
      </c>
      <c r="CF36" s="14" t="n">
        <v>97.40000000000001</v>
      </c>
      <c r="CG36" s="14" t="n">
        <v>0.17</v>
      </c>
      <c r="CH36" s="14" t="n">
        <v>1</v>
      </c>
      <c r="CI36" s="14" t="n">
        <v>0</v>
      </c>
      <c r="CJ36" s="14" t="n">
        <v>0</v>
      </c>
      <c r="CK36" s="14" t="n">
        <v>0</v>
      </c>
      <c r="CL36" s="14" t="n">
        <v>0</v>
      </c>
      <c r="CM36" s="14" t="n">
        <v>0</v>
      </c>
      <c r="CN36" s="14" t="n">
        <v>0</v>
      </c>
      <c r="CO36" s="14" t="n">
        <v>0</v>
      </c>
      <c r="CP36" s="14" t="n">
        <v>0</v>
      </c>
      <c r="CQ36" s="14" t="n">
        <v>1.348</v>
      </c>
      <c r="CR36" s="14" t="n">
        <v>0</v>
      </c>
      <c r="CS36" s="14" t="n">
        <v>5.37</v>
      </c>
      <c r="CT36" s="14" t="n">
        <v>4.861</v>
      </c>
      <c r="CU36" s="14" t="n">
        <v>11.192</v>
      </c>
    </row>
    <row r="37">
      <c r="A37" s="14" t="inlineStr">
        <is>
          <t>ATG2024</t>
        </is>
      </c>
      <c r="B37" s="14" t="inlineStr">
        <is>
          <t>ATG</t>
        </is>
      </c>
      <c r="C37" s="14" t="inlineStr">
        <is>
          <t>ATG</t>
        </is>
      </c>
      <c r="D37" s="14" t="inlineStr">
        <is>
          <t>Antigua and Barbuda</t>
        </is>
      </c>
      <c r="E37" s="14" t="n">
        <v>2024</v>
      </c>
      <c r="F37" s="14" t="n">
        <v>0.15</v>
      </c>
      <c r="G37" s="14" t="n">
        <v>5.575</v>
      </c>
      <c r="H37" s="14" t="n">
        <v>1.324</v>
      </c>
      <c r="I37" s="14" t="n">
        <v>0</v>
      </c>
      <c r="J37" s="14" t="n">
        <v>5.575</v>
      </c>
      <c r="K37" s="14" t="n">
        <v>0</v>
      </c>
      <c r="L37" s="14" t="n">
        <v>1</v>
      </c>
      <c r="M37" s="14" t="n">
        <v>7.124</v>
      </c>
      <c r="N37" s="14" t="n">
        <v>3.971</v>
      </c>
      <c r="O37" s="14" t="n">
        <v>0</v>
      </c>
      <c r="P37" s="14" t="n">
        <v>7.124</v>
      </c>
      <c r="Q37" s="14" t="n">
        <v>0</v>
      </c>
      <c r="R37" s="14" t="n">
        <v>1</v>
      </c>
      <c r="S37" s="14" t="n">
        <v>12.193</v>
      </c>
      <c r="T37" s="14" t="n">
        <v>7.942</v>
      </c>
      <c r="U37" s="14" t="n">
        <v>0.282</v>
      </c>
      <c r="V37" s="14" t="n">
        <v>14.266</v>
      </c>
      <c r="W37" s="14" t="n">
        <v>0.17</v>
      </c>
      <c r="X37" s="14" t="n">
        <v>1</v>
      </c>
      <c r="Y37" s="14" t="n">
        <v>11.447</v>
      </c>
      <c r="Z37" s="14" t="n">
        <v>1.54</v>
      </c>
      <c r="AA37" s="14" t="n">
        <v>0</v>
      </c>
      <c r="AB37" s="14" t="n">
        <v>11.447</v>
      </c>
      <c r="AC37" s="14" t="n">
        <v>0</v>
      </c>
      <c r="AD37" s="14" t="n">
        <v>1</v>
      </c>
      <c r="AE37" s="14" t="n">
        <v>12.771</v>
      </c>
      <c r="AF37" s="14" t="n">
        <v>2.991</v>
      </c>
      <c r="AG37" s="14" t="n">
        <v>0</v>
      </c>
      <c r="AH37" s="14" t="n">
        <v>12.771</v>
      </c>
      <c r="AI37" s="14" t="n">
        <v>0</v>
      </c>
      <c r="AJ37" s="14" t="n">
        <v>1</v>
      </c>
      <c r="AK37" s="14" t="n">
        <v>20.712</v>
      </c>
      <c r="AL37" s="14" t="n">
        <v>11.129</v>
      </c>
      <c r="AM37" s="14" t="n">
        <v>0.48</v>
      </c>
      <c r="AN37" s="14" t="n">
        <v>24.233</v>
      </c>
      <c r="AO37" s="14" t="n">
        <v>0.17</v>
      </c>
      <c r="AP37" s="14" t="n">
        <v>1</v>
      </c>
      <c r="AQ37" s="14" t="n">
        <v>0.756</v>
      </c>
      <c r="AR37" s="14" t="n">
        <v>0.132</v>
      </c>
      <c r="AS37" s="14" t="n">
        <v>0.784</v>
      </c>
      <c r="AT37" s="14" t="n">
        <v>1.558</v>
      </c>
      <c r="AU37" s="14" t="n">
        <v>0.014</v>
      </c>
      <c r="AV37" s="14" t="n">
        <v>1</v>
      </c>
      <c r="AW37" s="14" t="n">
        <v>0.655</v>
      </c>
      <c r="AX37" s="14" t="n">
        <v>0.132</v>
      </c>
      <c r="AY37" s="14" t="n">
        <v>0.507</v>
      </c>
      <c r="AZ37" s="14" t="n">
        <v>1.36</v>
      </c>
      <c r="BA37" s="14" t="n">
        <v>0.17</v>
      </c>
      <c r="BB37" s="14" t="n">
        <v>1</v>
      </c>
      <c r="BC37" s="14" t="n">
        <v>0.534</v>
      </c>
      <c r="BD37" s="14" t="n">
        <v>0.132</v>
      </c>
      <c r="BE37" s="14" t="n">
        <v>-0.211</v>
      </c>
      <c r="BF37" s="14" t="n">
        <v>0.378</v>
      </c>
      <c r="BG37" s="14" t="n">
        <v>0.17</v>
      </c>
      <c r="BH37" s="14" t="n">
        <v>0</v>
      </c>
      <c r="BI37" s="14" t="n">
        <v>0.5679999999999999</v>
      </c>
      <c r="BJ37" s="14" t="n">
        <v>0.132</v>
      </c>
      <c r="BK37" s="14" t="n">
        <v>0.034</v>
      </c>
      <c r="BL37" s="14" t="n">
        <v>0.6889999999999999</v>
      </c>
      <c r="BM37" s="14" t="n">
        <v>0.17</v>
      </c>
      <c r="BN37" s="14" t="n">
        <v>1</v>
      </c>
      <c r="BO37" s="14" t="n">
        <v>0</v>
      </c>
      <c r="BP37" s="14" t="n">
        <v>0.146</v>
      </c>
      <c r="BQ37" s="14" t="n">
        <v>0.822</v>
      </c>
      <c r="BR37" s="14" t="n">
        <v>0</v>
      </c>
      <c r="BS37" s="14" t="n">
        <v>1</v>
      </c>
      <c r="BT37" s="14" t="n">
        <v>0</v>
      </c>
      <c r="BU37" s="14" t="n">
        <v>0</v>
      </c>
      <c r="BV37" s="14" t="n">
        <v>0.449</v>
      </c>
      <c r="BW37" s="14" t="n">
        <v>0</v>
      </c>
      <c r="BX37" s="14" t="n">
        <v>0.667</v>
      </c>
      <c r="BY37" s="14" t="n">
        <v>13.646</v>
      </c>
      <c r="BZ37" s="14" t="n">
        <v>0</v>
      </c>
      <c r="CA37" s="14" t="n">
        <v>13.646</v>
      </c>
      <c r="CB37" s="14" t="n">
        <v>0</v>
      </c>
      <c r="CC37" s="14" t="n">
        <v>82.58799999999999</v>
      </c>
      <c r="CD37" s="14" t="n">
        <v>7.95</v>
      </c>
      <c r="CE37" s="14" t="n">
        <v>1.912</v>
      </c>
      <c r="CF37" s="14" t="n">
        <v>96.628</v>
      </c>
      <c r="CG37" s="14" t="n">
        <v>0.17</v>
      </c>
      <c r="CH37" s="14" t="n">
        <v>1</v>
      </c>
      <c r="CI37" s="14" t="n">
        <v>0</v>
      </c>
      <c r="CJ37" s="14" t="n">
        <v>0</v>
      </c>
      <c r="CK37" s="14" t="n">
        <v>0</v>
      </c>
      <c r="CL37" s="14" t="n">
        <v>0</v>
      </c>
      <c r="CM37" s="14" t="n">
        <v>0</v>
      </c>
      <c r="CN37" s="14" t="n">
        <v>0</v>
      </c>
      <c r="CO37" s="14" t="n">
        <v>0</v>
      </c>
      <c r="CP37" s="14" t="n">
        <v>0</v>
      </c>
      <c r="CQ37" s="14" t="n">
        <v>1.387</v>
      </c>
      <c r="CR37" s="14" t="n">
        <v>0</v>
      </c>
      <c r="CS37" s="14" t="n">
        <v>5.529</v>
      </c>
      <c r="CT37" s="14" t="n">
        <v>4.251</v>
      </c>
      <c r="CU37" s="14" t="n">
        <v>10.123</v>
      </c>
    </row>
    <row r="38">
      <c r="A38" s="14" t="inlineStr">
        <is>
          <t>ARG2021</t>
        </is>
      </c>
      <c r="B38" s="14" t="inlineStr">
        <is>
          <t>ARG</t>
        </is>
      </c>
      <c r="C38" s="14" t="inlineStr">
        <is>
          <t>ARG</t>
        </is>
      </c>
      <c r="D38" s="14" t="inlineStr">
        <is>
          <t>Argentina</t>
        </is>
      </c>
      <c r="E38" s="14" t="n">
        <v>2021</v>
      </c>
      <c r="F38" s="14" t="n">
        <v>0.21</v>
      </c>
      <c r="G38" s="14" t="n">
        <v>5.857</v>
      </c>
      <c r="H38" s="14" t="n">
        <v>1.138</v>
      </c>
      <c r="I38" s="14" t="n">
        <v>0.382</v>
      </c>
      <c r="J38" s="14" t="n">
        <v>6.239</v>
      </c>
      <c r="K38" s="14" t="n">
        <v>0</v>
      </c>
      <c r="L38" s="14" t="n">
        <v>1</v>
      </c>
      <c r="M38" s="14" t="n">
        <v>7.915</v>
      </c>
      <c r="N38" s="14" t="n">
        <v>3.413</v>
      </c>
      <c r="O38" s="14" t="n">
        <v>0.405</v>
      </c>
      <c r="P38" s="14" t="n">
        <v>8.321</v>
      </c>
      <c r="Q38" s="14" t="n">
        <v>0</v>
      </c>
      <c r="R38" s="14" t="n">
        <v>1</v>
      </c>
      <c r="S38" s="14" t="n">
        <v>11.546</v>
      </c>
      <c r="T38" s="14" t="n">
        <v>6.827</v>
      </c>
      <c r="U38" s="14" t="n">
        <v>0.382</v>
      </c>
      <c r="V38" s="14" t="n">
        <v>14.433</v>
      </c>
      <c r="W38" s="14" t="n">
        <v>0.21</v>
      </c>
      <c r="X38" s="14" t="n">
        <v>1</v>
      </c>
      <c r="Y38" s="14" t="n">
        <v>7.825</v>
      </c>
      <c r="Z38" s="14" t="n">
        <v>0.656</v>
      </c>
      <c r="AA38" s="14" t="n">
        <v>-3.795</v>
      </c>
      <c r="AB38" s="14" t="n">
        <v>4.029</v>
      </c>
      <c r="AC38" s="14" t="n">
        <v>0</v>
      </c>
      <c r="AD38" s="14" t="n">
        <v>0</v>
      </c>
      <c r="AE38" s="14" t="n">
        <v>8.494</v>
      </c>
      <c r="AF38" s="14" t="n">
        <v>1.3</v>
      </c>
      <c r="AG38" s="14" t="n">
        <v>-1.102</v>
      </c>
      <c r="AH38" s="14" t="n">
        <v>7.393</v>
      </c>
      <c r="AI38" s="14" t="n">
        <v>0</v>
      </c>
      <c r="AJ38" s="14" t="n">
        <v>0</v>
      </c>
      <c r="AK38" s="14" t="n">
        <v>12.51</v>
      </c>
      <c r="AL38" s="14" t="n">
        <v>5.115</v>
      </c>
      <c r="AM38" s="14" t="n">
        <v>-6.83</v>
      </c>
      <c r="AN38" s="14" t="n">
        <v>6.873</v>
      </c>
      <c r="AO38" s="14" t="n">
        <v>0</v>
      </c>
      <c r="AP38" s="14" t="n">
        <v>0</v>
      </c>
      <c r="AQ38" s="14" t="n">
        <v>0.649</v>
      </c>
      <c r="AR38" s="14" t="n">
        <v>0.114</v>
      </c>
      <c r="AS38" s="14" t="n">
        <v>0.101</v>
      </c>
      <c r="AT38" s="14" t="n">
        <v>0.908</v>
      </c>
      <c r="AU38" s="14" t="n">
        <v>0.21</v>
      </c>
      <c r="AV38" s="14" t="n">
        <v>1</v>
      </c>
      <c r="AW38" s="14" t="n">
        <v>0.577</v>
      </c>
      <c r="AX38" s="14" t="n">
        <v>0.114</v>
      </c>
      <c r="AY38" s="14" t="n">
        <v>0.127</v>
      </c>
      <c r="AZ38" s="14" t="n">
        <v>0.852</v>
      </c>
      <c r="BA38" s="14" t="n">
        <v>0.21</v>
      </c>
      <c r="BB38" s="14" t="n">
        <v>1</v>
      </c>
      <c r="BC38" s="14" t="n">
        <v>0.458</v>
      </c>
      <c r="BD38" s="14" t="n">
        <v>0.114</v>
      </c>
      <c r="BE38" s="14" t="n">
        <v>-0.334</v>
      </c>
      <c r="BF38" s="14" t="n">
        <v>0.15</v>
      </c>
      <c r="BG38" s="14" t="n">
        <v>0</v>
      </c>
      <c r="BH38" s="14" t="n">
        <v>0</v>
      </c>
      <c r="BI38" s="14" t="n">
        <v>0.491</v>
      </c>
      <c r="BJ38" s="14" t="n">
        <v>0.114</v>
      </c>
      <c r="BK38" s="14" t="n">
        <v>0.292</v>
      </c>
      <c r="BL38" s="14" t="n">
        <v>0.948</v>
      </c>
      <c r="BM38" s="14" t="n">
        <v>0.21</v>
      </c>
      <c r="BN38" s="14" t="n">
        <v>1</v>
      </c>
      <c r="BO38" s="14" t="n">
        <v>0</v>
      </c>
      <c r="BP38" s="14" t="n">
        <v>-0.04</v>
      </c>
      <c r="BQ38" s="14" t="n">
        <v>0.059</v>
      </c>
      <c r="BR38" s="14" t="n">
        <v>0</v>
      </c>
      <c r="BS38" s="14" t="n">
        <v>1</v>
      </c>
      <c r="BT38" s="14" t="n">
        <v>0</v>
      </c>
      <c r="BU38" s="14" t="n">
        <v>-0.04</v>
      </c>
      <c r="BV38" s="14" t="n">
        <v>0.056</v>
      </c>
      <c r="BW38" s="14" t="n">
        <v>0</v>
      </c>
      <c r="BX38" s="14" t="n">
        <v>1</v>
      </c>
      <c r="BY38" s="14" t="n">
        <v>11.787</v>
      </c>
      <c r="BZ38" s="14" t="n">
        <v>0</v>
      </c>
      <c r="CA38" s="14" t="n">
        <v>11.787</v>
      </c>
      <c r="CB38" s="14" t="n">
        <v>0</v>
      </c>
      <c r="CC38" s="14" t="n">
        <v>78.125</v>
      </c>
      <c r="CD38" s="14" t="n">
        <v>7.95</v>
      </c>
      <c r="CE38" s="14" t="n">
        <v>-21.704</v>
      </c>
      <c r="CF38" s="14" t="n">
        <v>68.27</v>
      </c>
      <c r="CG38" s="14" t="n">
        <v>0</v>
      </c>
      <c r="CH38" s="14" t="n">
        <v>1</v>
      </c>
      <c r="CI38" s="14" t="n">
        <v>0</v>
      </c>
      <c r="CJ38" s="14" t="n">
        <v>0</v>
      </c>
      <c r="CK38" s="14" t="n">
        <v>0</v>
      </c>
      <c r="CL38" s="14" t="n">
        <v>0.102</v>
      </c>
      <c r="CM38" s="14" t="n">
        <v>0.835</v>
      </c>
      <c r="CN38" s="14" t="n">
        <v>2.043</v>
      </c>
      <c r="CO38" s="14" t="n">
        <v>0.604</v>
      </c>
      <c r="CP38" s="14" t="n">
        <v>0.01</v>
      </c>
      <c r="CQ38" s="14" t="n">
        <v>1.198</v>
      </c>
      <c r="CR38" s="14" t="n">
        <v>0.829</v>
      </c>
      <c r="CS38" s="14" t="n">
        <v>6.22</v>
      </c>
      <c r="CT38" s="14" t="n">
        <v>4.753</v>
      </c>
      <c r="CU38" s="14" t="n">
        <v>16.171</v>
      </c>
    </row>
    <row r="39">
      <c r="A39" s="14" t="inlineStr">
        <is>
          <t>ARG2022</t>
        </is>
      </c>
      <c r="B39" s="14" t="inlineStr">
        <is>
          <t>ARG</t>
        </is>
      </c>
      <c r="C39" s="14" t="inlineStr">
        <is>
          <t>ARG</t>
        </is>
      </c>
      <c r="D39" s="14" t="inlineStr">
        <is>
          <t>Argentina</t>
        </is>
      </c>
      <c r="E39" s="14" t="n">
        <v>2022</v>
      </c>
      <c r="F39" s="14" t="n">
        <v>0.21</v>
      </c>
      <c r="G39" s="14" t="n">
        <v>11.627</v>
      </c>
      <c r="H39" s="14" t="n">
        <v>1.229</v>
      </c>
      <c r="I39" s="14" t="n">
        <v>0.278</v>
      </c>
      <c r="J39" s="14" t="n">
        <v>11.905</v>
      </c>
      <c r="K39" s="14" t="n">
        <v>0</v>
      </c>
      <c r="L39" s="14" t="n">
        <v>1</v>
      </c>
      <c r="M39" s="14" t="n">
        <v>9.720000000000001</v>
      </c>
      <c r="N39" s="14" t="n">
        <v>3.687</v>
      </c>
      <c r="O39" s="14" t="n">
        <v>0.295</v>
      </c>
      <c r="P39" s="14" t="n">
        <v>10.015</v>
      </c>
      <c r="Q39" s="14" t="n">
        <v>0</v>
      </c>
      <c r="R39" s="14" t="n">
        <v>1</v>
      </c>
      <c r="S39" s="14" t="n">
        <v>17.771</v>
      </c>
      <c r="T39" s="14" t="n">
        <v>7.373</v>
      </c>
      <c r="U39" s="14" t="n">
        <v>0.5590000000000001</v>
      </c>
      <c r="V39" s="14" t="n">
        <v>21.84</v>
      </c>
      <c r="W39" s="14" t="n">
        <v>0.21</v>
      </c>
      <c r="X39" s="14" t="n">
        <v>1</v>
      </c>
      <c r="Y39" s="14" t="n">
        <v>9.192</v>
      </c>
      <c r="Z39" s="14" t="n">
        <v>0.77</v>
      </c>
      <c r="AA39" s="14" t="n">
        <v>-5.312</v>
      </c>
      <c r="AB39" s="14" t="n">
        <v>3.879</v>
      </c>
      <c r="AC39" s="14" t="n">
        <v>0</v>
      </c>
      <c r="AD39" s="14" t="n">
        <v>0</v>
      </c>
      <c r="AE39" s="14" t="n">
        <v>9.888</v>
      </c>
      <c r="AF39" s="14" t="n">
        <v>1.514</v>
      </c>
      <c r="AG39" s="14" t="n">
        <v>-1.19</v>
      </c>
      <c r="AH39" s="14" t="n">
        <v>8.699</v>
      </c>
      <c r="AI39" s="14" t="n">
        <v>0</v>
      </c>
      <c r="AJ39" s="14" t="n">
        <v>0</v>
      </c>
      <c r="AK39" s="14" t="n">
        <v>14.068</v>
      </c>
      <c r="AL39" s="14" t="n">
        <v>5.752</v>
      </c>
      <c r="AM39" s="14" t="n">
        <v>-7.717</v>
      </c>
      <c r="AN39" s="14" t="n">
        <v>7.684</v>
      </c>
      <c r="AO39" s="14" t="n">
        <v>0</v>
      </c>
      <c r="AP39" s="14" t="n">
        <v>0</v>
      </c>
      <c r="AQ39" s="14" t="n">
        <v>0.896</v>
      </c>
      <c r="AR39" s="14" t="n">
        <v>0.123</v>
      </c>
      <c r="AS39" s="14" t="n">
        <v>-0.099</v>
      </c>
      <c r="AT39" s="14" t="n">
        <v>0.964</v>
      </c>
      <c r="AU39" s="14" t="n">
        <v>0.21</v>
      </c>
      <c r="AV39" s="14" t="n">
        <v>1</v>
      </c>
      <c r="AW39" s="14" t="n">
        <v>0.89</v>
      </c>
      <c r="AX39" s="14" t="n">
        <v>0.123</v>
      </c>
      <c r="AY39" s="14" t="n">
        <v>-0.124</v>
      </c>
      <c r="AZ39" s="14" t="n">
        <v>0.927</v>
      </c>
      <c r="BA39" s="14" t="n">
        <v>0.21</v>
      </c>
      <c r="BB39" s="14" t="n">
        <v>1</v>
      </c>
      <c r="BC39" s="14" t="n">
        <v>0.62</v>
      </c>
      <c r="BD39" s="14" t="n">
        <v>0.123</v>
      </c>
      <c r="BE39" s="14" t="n">
        <v>-0.474</v>
      </c>
      <c r="BF39" s="14" t="n">
        <v>0.177</v>
      </c>
      <c r="BG39" s="14" t="n">
        <v>0</v>
      </c>
      <c r="BH39" s="14" t="n">
        <v>0</v>
      </c>
      <c r="BI39" s="14" t="n">
        <v>0.608</v>
      </c>
      <c r="BJ39" s="14" t="n">
        <v>0.123</v>
      </c>
      <c r="BK39" s="14" t="n">
        <v>0.245</v>
      </c>
      <c r="BL39" s="14" t="n">
        <v>1.032</v>
      </c>
      <c r="BM39" s="14" t="n">
        <v>0.21</v>
      </c>
      <c r="BN39" s="14" t="n">
        <v>1</v>
      </c>
      <c r="BO39" s="14" t="n">
        <v>0</v>
      </c>
      <c r="BP39" s="14" t="n">
        <v>-0.032</v>
      </c>
      <c r="BQ39" s="14" t="n">
        <v>0.096</v>
      </c>
      <c r="BR39" s="14" t="n">
        <v>0</v>
      </c>
      <c r="BS39" s="14" t="n">
        <v>1</v>
      </c>
      <c r="BT39" s="14" t="n">
        <v>0</v>
      </c>
      <c r="BU39" s="14" t="n">
        <v>-0.032</v>
      </c>
      <c r="BV39" s="14" t="n">
        <v>0.096</v>
      </c>
      <c r="BW39" s="14" t="n">
        <v>0</v>
      </c>
      <c r="BX39" s="14" t="n">
        <v>1</v>
      </c>
      <c r="BY39" s="14" t="n">
        <v>12.729</v>
      </c>
      <c r="BZ39" s="14" t="n">
        <v>0</v>
      </c>
      <c r="CA39" s="14" t="n">
        <v>12.729</v>
      </c>
      <c r="CB39" s="14" t="n">
        <v>0</v>
      </c>
      <c r="CC39" s="14" t="n">
        <v>97.90000000000001</v>
      </c>
      <c r="CD39" s="14" t="n">
        <v>7.95</v>
      </c>
      <c r="CE39" s="14" t="n">
        <v>-18.689</v>
      </c>
      <c r="CF39" s="14" t="n">
        <v>95.845</v>
      </c>
      <c r="CG39" s="14" t="n">
        <v>0</v>
      </c>
      <c r="CH39" s="14" t="n">
        <v>1</v>
      </c>
      <c r="CI39" s="14" t="n">
        <v>0</v>
      </c>
      <c r="CJ39" s="14" t="n">
        <v>0</v>
      </c>
      <c r="CK39" s="14" t="n">
        <v>0</v>
      </c>
      <c r="CL39" s="14" t="n">
        <v>0.11</v>
      </c>
      <c r="CM39" s="14" t="n">
        <v>0.902</v>
      </c>
      <c r="CN39" s="14" t="n">
        <v>2.368</v>
      </c>
      <c r="CO39" s="14" t="n">
        <v>0.745</v>
      </c>
      <c r="CP39" s="14" t="n">
        <v>0.008999999999999999</v>
      </c>
      <c r="CQ39" s="14" t="n">
        <v>1.294</v>
      </c>
      <c r="CR39" s="14" t="n">
        <v>0.872</v>
      </c>
      <c r="CS39" s="14" t="n">
        <v>6.717</v>
      </c>
      <c r="CT39" s="14" t="n">
        <v>10.485</v>
      </c>
      <c r="CU39" s="14" t="n">
        <v>29.688</v>
      </c>
    </row>
    <row r="40">
      <c r="A40" s="14" t="inlineStr">
        <is>
          <t>ARG2023</t>
        </is>
      </c>
      <c r="B40" s="14" t="inlineStr">
        <is>
          <t>ARG</t>
        </is>
      </c>
      <c r="C40" s="14" t="inlineStr">
        <is>
          <t>ARG</t>
        </is>
      </c>
      <c r="D40" s="14" t="inlineStr">
        <is>
          <t>Argentina</t>
        </is>
      </c>
      <c r="E40" s="14" t="n">
        <v>2023</v>
      </c>
      <c r="F40" s="14" t="n">
        <v>0.21</v>
      </c>
      <c r="G40" s="14" t="n">
        <v>6.103</v>
      </c>
      <c r="H40" s="14" t="n">
        <v>1.279</v>
      </c>
      <c r="I40" s="14" t="n">
        <v>0.321</v>
      </c>
      <c r="J40" s="14" t="n">
        <v>6.424</v>
      </c>
      <c r="K40" s="14" t="n">
        <v>0</v>
      </c>
      <c r="L40" s="14" t="n">
        <v>1</v>
      </c>
      <c r="M40" s="14" t="n">
        <v>7.838</v>
      </c>
      <c r="N40" s="14" t="n">
        <v>3.837</v>
      </c>
      <c r="O40" s="14" t="n">
        <v>0.34</v>
      </c>
      <c r="P40" s="14" t="n">
        <v>8.178000000000001</v>
      </c>
      <c r="Q40" s="14" t="n">
        <v>0</v>
      </c>
      <c r="R40" s="14" t="n">
        <v>1</v>
      </c>
      <c r="S40" s="14" t="n">
        <v>12.498</v>
      </c>
      <c r="T40" s="14" t="n">
        <v>7.674</v>
      </c>
      <c r="U40" s="14" t="n">
        <v>0.619</v>
      </c>
      <c r="V40" s="14" t="n">
        <v>15.511</v>
      </c>
      <c r="W40" s="14" t="n">
        <v>0.21</v>
      </c>
      <c r="X40" s="14" t="n">
        <v>1</v>
      </c>
      <c r="Y40" s="14" t="n">
        <v>8.051</v>
      </c>
      <c r="Z40" s="14" t="n">
        <v>0.675</v>
      </c>
      <c r="AA40" s="14" t="n">
        <v>-4.199</v>
      </c>
      <c r="AB40" s="14" t="n">
        <v>3.851</v>
      </c>
      <c r="AC40" s="14" t="n">
        <v>0</v>
      </c>
      <c r="AD40" s="14" t="n">
        <v>0</v>
      </c>
      <c r="AE40" s="14" t="n">
        <v>8.763999999999999</v>
      </c>
      <c r="AF40" s="14" t="n">
        <v>1.342</v>
      </c>
      <c r="AG40" s="14" t="n">
        <v>-1.239</v>
      </c>
      <c r="AH40" s="14" t="n">
        <v>7.525</v>
      </c>
      <c r="AI40" s="14" t="n">
        <v>0</v>
      </c>
      <c r="AJ40" s="14" t="n">
        <v>0</v>
      </c>
      <c r="AK40" s="14" t="n">
        <v>13.043</v>
      </c>
      <c r="AL40" s="14" t="n">
        <v>5.333</v>
      </c>
      <c r="AM40" s="14" t="n">
        <v>-5.547</v>
      </c>
      <c r="AN40" s="14" t="n">
        <v>9.07</v>
      </c>
      <c r="AO40" s="14" t="n">
        <v>0</v>
      </c>
      <c r="AP40" s="14" t="n">
        <v>0</v>
      </c>
      <c r="AQ40" s="14" t="n">
        <v>0.791</v>
      </c>
      <c r="AR40" s="14" t="n">
        <v>0.129</v>
      </c>
      <c r="AS40" s="14" t="n">
        <v>-0.074</v>
      </c>
      <c r="AT40" s="14" t="n">
        <v>0.868</v>
      </c>
      <c r="AU40" s="14" t="n">
        <v>0.21</v>
      </c>
      <c r="AV40" s="14" t="n">
        <v>1</v>
      </c>
      <c r="AW40" s="14" t="n">
        <v>0.618</v>
      </c>
      <c r="AX40" s="14" t="n">
        <v>0.129</v>
      </c>
      <c r="AY40" s="14" t="n">
        <v>0.176</v>
      </c>
      <c r="AZ40" s="14" t="n">
        <v>0.961</v>
      </c>
      <c r="BA40" s="14" t="n">
        <v>0.21</v>
      </c>
      <c r="BB40" s="14" t="n">
        <v>1</v>
      </c>
      <c r="BC40" s="14" t="n">
        <v>0.554</v>
      </c>
      <c r="BD40" s="14" t="n">
        <v>0.129</v>
      </c>
      <c r="BE40" s="14" t="n">
        <v>-0.42</v>
      </c>
      <c r="BF40" s="14" t="n">
        <v>0.162</v>
      </c>
      <c r="BG40" s="14" t="n">
        <v>0</v>
      </c>
      <c r="BH40" s="14" t="n">
        <v>0</v>
      </c>
      <c r="BI40" s="14" t="n">
        <v>0.5570000000000001</v>
      </c>
      <c r="BJ40" s="14" t="n">
        <v>0.129</v>
      </c>
      <c r="BK40" s="14" t="n">
        <v>0.393</v>
      </c>
      <c r="BL40" s="14" t="n">
        <v>1.149</v>
      </c>
      <c r="BM40" s="14" t="n">
        <v>0.21</v>
      </c>
      <c r="BN40" s="14" t="n">
        <v>1</v>
      </c>
      <c r="BO40" s="14" t="n">
        <v>0</v>
      </c>
      <c r="BP40" s="14" t="n">
        <v>-0.038</v>
      </c>
      <c r="BQ40" s="14" t="n">
        <v>0.091</v>
      </c>
      <c r="BR40" s="14" t="n">
        <v>0</v>
      </c>
      <c r="BS40" s="14" t="n">
        <v>1</v>
      </c>
      <c r="BT40" s="14" t="n">
        <v>0</v>
      </c>
      <c r="BU40" s="14" t="n">
        <v>-0.038</v>
      </c>
      <c r="BV40" s="14" t="n">
        <v>0.093</v>
      </c>
      <c r="BW40" s="14" t="n">
        <v>0</v>
      </c>
      <c r="BX40" s="14" t="n">
        <v>1</v>
      </c>
      <c r="BY40" s="14" t="n">
        <v>13.254</v>
      </c>
      <c r="BZ40" s="14" t="n">
        <v>0</v>
      </c>
      <c r="CA40" s="14" t="n">
        <v>13.254</v>
      </c>
      <c r="CB40" s="14" t="n">
        <v>0</v>
      </c>
      <c r="CC40" s="14" t="n">
        <v>83.248</v>
      </c>
      <c r="CD40" s="14" t="n">
        <v>7.95</v>
      </c>
      <c r="CE40" s="14" t="n">
        <v>-0.74</v>
      </c>
      <c r="CF40" s="14" t="n">
        <v>99.83499999999999</v>
      </c>
      <c r="CG40" s="14" t="n">
        <v>0</v>
      </c>
      <c r="CH40" s="14" t="n">
        <v>1</v>
      </c>
      <c r="CI40" s="14" t="n">
        <v>0</v>
      </c>
      <c r="CJ40" s="14" t="n">
        <v>0</v>
      </c>
      <c r="CK40" s="14" t="n">
        <v>0</v>
      </c>
      <c r="CL40" s="14" t="n">
        <v>0.115</v>
      </c>
      <c r="CM40" s="14" t="n">
        <v>0.9389999999999999</v>
      </c>
      <c r="CN40" s="14" t="n">
        <v>2.585</v>
      </c>
      <c r="CO40" s="14" t="n">
        <v>0.836</v>
      </c>
      <c r="CP40" s="14" t="n">
        <v>0.01</v>
      </c>
      <c r="CQ40" s="14" t="n">
        <v>1.348</v>
      </c>
      <c r="CR40" s="14" t="n">
        <v>0.891</v>
      </c>
      <c r="CS40" s="14" t="n">
        <v>6.995</v>
      </c>
      <c r="CT40" s="14" t="n">
        <v>4.861</v>
      </c>
      <c r="CU40" s="14" t="n">
        <v>11.658</v>
      </c>
    </row>
    <row r="41">
      <c r="A41" s="14" t="inlineStr">
        <is>
          <t>ARG2024</t>
        </is>
      </c>
      <c r="B41" s="14" t="inlineStr">
        <is>
          <t>ARG</t>
        </is>
      </c>
      <c r="C41" s="14" t="inlineStr">
        <is>
          <t>ARG</t>
        </is>
      </c>
      <c r="D41" s="14" t="inlineStr">
        <is>
          <t>Argentina</t>
        </is>
      </c>
      <c r="E41" s="14" t="n">
        <v>2024</v>
      </c>
      <c r="F41" s="14" t="n">
        <v>0.21</v>
      </c>
      <c r="G41" s="14" t="n">
        <v>5.538</v>
      </c>
      <c r="H41" s="14" t="n">
        <v>1.317</v>
      </c>
      <c r="I41" s="14" t="n">
        <v>0.229</v>
      </c>
      <c r="J41" s="14" t="n">
        <v>5.767</v>
      </c>
      <c r="K41" s="14" t="n">
        <v>0</v>
      </c>
      <c r="L41" s="14" t="n">
        <v>1</v>
      </c>
      <c r="M41" s="14" t="n">
        <v>7.084</v>
      </c>
      <c r="N41" s="14" t="n">
        <v>3.95</v>
      </c>
      <c r="O41" s="14" t="n">
        <v>0.243</v>
      </c>
      <c r="P41" s="14" t="n">
        <v>7.328</v>
      </c>
      <c r="Q41" s="14" t="n">
        <v>0</v>
      </c>
      <c r="R41" s="14" t="n">
        <v>1</v>
      </c>
      <c r="S41" s="14" t="n">
        <v>12.121</v>
      </c>
      <c r="T41" s="14" t="n">
        <v>7.9</v>
      </c>
      <c r="U41" s="14" t="n">
        <v>0.583</v>
      </c>
      <c r="V41" s="14" t="n">
        <v>14.944</v>
      </c>
      <c r="W41" s="14" t="n">
        <v>0.21</v>
      </c>
      <c r="X41" s="14" t="n">
        <v>1</v>
      </c>
      <c r="Y41" s="14" t="n">
        <v>8.117000000000001</v>
      </c>
      <c r="Z41" s="14" t="n">
        <v>0.68</v>
      </c>
      <c r="AA41" s="14" t="n">
        <v>-3.715</v>
      </c>
      <c r="AB41" s="14" t="n">
        <v>4.402</v>
      </c>
      <c r="AC41" s="14" t="n">
        <v>0</v>
      </c>
      <c r="AD41" s="14" t="n">
        <v>0</v>
      </c>
      <c r="AE41" s="14" t="n">
        <v>8.851000000000001</v>
      </c>
      <c r="AF41" s="14" t="n">
        <v>1.355</v>
      </c>
      <c r="AG41" s="14" t="n">
        <v>-1.275</v>
      </c>
      <c r="AH41" s="14" t="n">
        <v>7.576</v>
      </c>
      <c r="AI41" s="14" t="n">
        <v>0</v>
      </c>
      <c r="AJ41" s="14" t="n">
        <v>0</v>
      </c>
      <c r="AK41" s="14" t="n">
        <v>13.257</v>
      </c>
      <c r="AL41" s="14" t="n">
        <v>5.42</v>
      </c>
      <c r="AM41" s="14" t="n">
        <v>-5.211</v>
      </c>
      <c r="AN41" s="14" t="n">
        <v>9.734999999999999</v>
      </c>
      <c r="AO41" s="14" t="n">
        <v>0</v>
      </c>
      <c r="AP41" s="14" t="n">
        <v>0</v>
      </c>
      <c r="AQ41" s="14" t="n">
        <v>0.756</v>
      </c>
      <c r="AR41" s="14" t="n">
        <v>0.132</v>
      </c>
      <c r="AS41" s="14" t="n">
        <v>0.129</v>
      </c>
      <c r="AT41" s="14" t="n">
        <v>1.071</v>
      </c>
      <c r="AU41" s="14" t="n">
        <v>0.21</v>
      </c>
      <c r="AV41" s="14" t="n">
        <v>1</v>
      </c>
      <c r="AW41" s="14" t="n">
        <v>0.655</v>
      </c>
      <c r="AX41" s="14" t="n">
        <v>0.132</v>
      </c>
      <c r="AY41" s="14" t="n">
        <v>0.249</v>
      </c>
      <c r="AZ41" s="14" t="n">
        <v>1.094</v>
      </c>
      <c r="BA41" s="14" t="n">
        <v>0.21</v>
      </c>
      <c r="BB41" s="14" t="n">
        <v>1</v>
      </c>
      <c r="BC41" s="14" t="n">
        <v>0.534</v>
      </c>
      <c r="BD41" s="14" t="n">
        <v>0.132</v>
      </c>
      <c r="BE41" s="14" t="n">
        <v>-0.368</v>
      </c>
      <c r="BF41" s="14" t="n">
        <v>0.166</v>
      </c>
      <c r="BG41" s="14" t="n">
        <v>0</v>
      </c>
      <c r="BH41" s="14" t="n">
        <v>0</v>
      </c>
      <c r="BI41" s="14" t="n">
        <v>0.5679999999999999</v>
      </c>
      <c r="BJ41" s="14" t="n">
        <v>0.132</v>
      </c>
      <c r="BK41" s="14" t="n">
        <v>0.604</v>
      </c>
      <c r="BL41" s="14" t="n">
        <v>1.418</v>
      </c>
      <c r="BM41" s="14" t="n">
        <v>0.21</v>
      </c>
      <c r="BN41" s="14" t="n">
        <v>1</v>
      </c>
      <c r="BO41" s="14" t="n">
        <v>0</v>
      </c>
      <c r="BP41" s="14" t="n">
        <v>-0.017</v>
      </c>
      <c r="BQ41" s="14" t="n">
        <v>0.121</v>
      </c>
      <c r="BR41" s="14" t="n">
        <v>0</v>
      </c>
      <c r="BS41" s="14" t="n">
        <v>1</v>
      </c>
      <c r="BT41" s="14" t="n">
        <v>0</v>
      </c>
      <c r="BU41" s="14" t="n">
        <v>-0.016</v>
      </c>
      <c r="BV41" s="14" t="n">
        <v>0.08799999999999999</v>
      </c>
      <c r="BW41" s="14" t="n">
        <v>0</v>
      </c>
      <c r="BX41" s="14" t="n">
        <v>1</v>
      </c>
      <c r="BY41" s="14" t="n">
        <v>13.646</v>
      </c>
      <c r="BZ41" s="14" t="n">
        <v>0</v>
      </c>
      <c r="CA41" s="14" t="n">
        <v>13.646</v>
      </c>
      <c r="CB41" s="14" t="n">
        <v>0</v>
      </c>
      <c r="CC41" s="14" t="n">
        <v>82.58799999999999</v>
      </c>
      <c r="CD41" s="14" t="n">
        <v>7.95</v>
      </c>
      <c r="CE41" s="14" t="n">
        <v>-18.722</v>
      </c>
      <c r="CF41" s="14" t="n">
        <v>77.277</v>
      </c>
      <c r="CG41" s="14" t="n">
        <v>0</v>
      </c>
      <c r="CH41" s="14" t="n">
        <v>1</v>
      </c>
      <c r="CI41" s="14" t="n">
        <v>0</v>
      </c>
      <c r="CJ41" s="14" t="n">
        <v>0</v>
      </c>
      <c r="CK41" s="14" t="n">
        <v>0</v>
      </c>
      <c r="CL41" s="14" t="n">
        <v>0.118</v>
      </c>
      <c r="CM41" s="14" t="n">
        <v>0.966</v>
      </c>
      <c r="CN41" s="14" t="n">
        <v>2.82</v>
      </c>
      <c r="CO41" s="14" t="n">
        <v>0.921</v>
      </c>
      <c r="CP41" s="14" t="n">
        <v>0.01</v>
      </c>
      <c r="CQ41" s="14" t="n">
        <v>1.387</v>
      </c>
      <c r="CR41" s="14" t="n">
        <v>0.891</v>
      </c>
      <c r="CS41" s="14" t="n">
        <v>7.201</v>
      </c>
      <c r="CT41" s="14" t="n">
        <v>4.251</v>
      </c>
      <c r="CU41" s="14" t="n">
        <v>10.306</v>
      </c>
    </row>
    <row r="42">
      <c r="A42" s="14" t="inlineStr">
        <is>
          <t>ARM2021</t>
        </is>
      </c>
      <c r="B42" s="14" t="inlineStr">
        <is>
          <t>ARM</t>
        </is>
      </c>
      <c r="C42" s="14" t="inlineStr">
        <is>
          <t>ARM</t>
        </is>
      </c>
      <c r="D42" s="14" t="inlineStr">
        <is>
          <t>Armenia</t>
        </is>
      </c>
      <c r="E42" s="14" t="n">
        <v>2021</v>
      </c>
      <c r="F42" s="14" t="n">
        <v>0.2</v>
      </c>
      <c r="G42" s="14" t="n">
        <v>5.548</v>
      </c>
      <c r="H42" s="14" t="n">
        <v>1.142</v>
      </c>
      <c r="I42" s="14" t="n">
        <v>0</v>
      </c>
      <c r="J42" s="14" t="n">
        <v>5.548</v>
      </c>
      <c r="K42" s="14" t="n">
        <v>0</v>
      </c>
      <c r="L42" s="14" t="n">
        <v>1</v>
      </c>
      <c r="M42" s="14" t="n">
        <v>7.957</v>
      </c>
      <c r="N42" s="14" t="n">
        <v>3.427</v>
      </c>
      <c r="O42" s="14" t="n">
        <v>0</v>
      </c>
      <c r="P42" s="14" t="n">
        <v>7.957</v>
      </c>
      <c r="Q42" s="14" t="n">
        <v>0</v>
      </c>
      <c r="R42" s="14" t="n">
        <v>1</v>
      </c>
      <c r="S42" s="14" t="n">
        <v>11.26</v>
      </c>
      <c r="T42" s="14" t="n">
        <v>6.855</v>
      </c>
      <c r="U42" s="14" t="n">
        <v>0</v>
      </c>
      <c r="V42" s="14" t="n">
        <v>13.512</v>
      </c>
      <c r="W42" s="14" t="n">
        <v>0.2</v>
      </c>
      <c r="X42" s="14" t="n">
        <v>1</v>
      </c>
      <c r="Y42" s="14" t="n">
        <v>5.306</v>
      </c>
      <c r="Z42" s="14" t="n">
        <v>0.586</v>
      </c>
      <c r="AA42" s="14" t="n">
        <v>1.151</v>
      </c>
      <c r="AB42" s="14" t="n">
        <v>6.458</v>
      </c>
      <c r="AC42" s="14" t="n">
        <v>0</v>
      </c>
      <c r="AD42" s="14" t="n">
        <v>1</v>
      </c>
      <c r="AE42" s="14" t="n">
        <v>6.448</v>
      </c>
      <c r="AF42" s="14" t="n">
        <v>1.269</v>
      </c>
      <c r="AG42" s="14" t="n">
        <v>0.035</v>
      </c>
      <c r="AH42" s="14" t="n">
        <v>6.483</v>
      </c>
      <c r="AI42" s="14" t="n">
        <v>0</v>
      </c>
      <c r="AJ42" s="14" t="n">
        <v>1</v>
      </c>
      <c r="AK42" s="14" t="n">
        <v>13.298</v>
      </c>
      <c r="AL42" s="14" t="n">
        <v>6.527</v>
      </c>
      <c r="AM42" s="14" t="n">
        <v>1.291</v>
      </c>
      <c r="AN42" s="14" t="n">
        <v>15.957</v>
      </c>
      <c r="AO42" s="14" t="n">
        <v>0.2</v>
      </c>
      <c r="AP42" s="14" t="n">
        <v>1</v>
      </c>
      <c r="AQ42" s="14" t="n">
        <v>0.619</v>
      </c>
      <c r="AR42" s="14" t="n">
        <v>0.114</v>
      </c>
      <c r="AS42" s="14" t="n">
        <v>0.17</v>
      </c>
      <c r="AT42" s="14" t="n">
        <v>0.947</v>
      </c>
      <c r="AU42" s="14" t="n">
        <v>0.2</v>
      </c>
      <c r="AV42" s="14" t="n">
        <v>1</v>
      </c>
      <c r="AW42" s="14" t="n">
        <v>0.599</v>
      </c>
      <c r="AX42" s="14" t="n">
        <v>0.114</v>
      </c>
      <c r="AY42" s="14" t="n">
        <v>0.13</v>
      </c>
      <c r="AZ42" s="14" t="n">
        <v>0.876</v>
      </c>
      <c r="BA42" s="14" t="n">
        <v>0.2</v>
      </c>
      <c r="BB42" s="14" t="n">
        <v>1</v>
      </c>
      <c r="BC42" s="14" t="n">
        <v>0.439</v>
      </c>
      <c r="BD42" s="14" t="n">
        <v>0.114</v>
      </c>
      <c r="BE42" s="14" t="n">
        <v>0</v>
      </c>
      <c r="BF42" s="14" t="n">
        <v>0.527</v>
      </c>
      <c r="BG42" s="14" t="n">
        <v>0.2</v>
      </c>
      <c r="BH42" s="14" t="n">
        <v>1</v>
      </c>
      <c r="BI42" s="14" t="n">
        <v>0.505</v>
      </c>
      <c r="BJ42" s="14" t="n">
        <v>0.114</v>
      </c>
      <c r="BK42" s="14" t="n">
        <v>0</v>
      </c>
      <c r="BL42" s="14" t="n">
        <v>0.606</v>
      </c>
      <c r="BM42" s="14" t="n">
        <v>0.2</v>
      </c>
      <c r="BN42" s="14" t="n">
        <v>1</v>
      </c>
      <c r="BO42" s="14" t="n">
        <v>0</v>
      </c>
      <c r="BP42" s="14" t="n">
        <v>0</v>
      </c>
      <c r="BQ42" s="14" t="n">
        <v>0.08400000000000001</v>
      </c>
      <c r="BR42" s="14" t="n">
        <v>0</v>
      </c>
      <c r="BS42" s="14" t="n">
        <v>0.5</v>
      </c>
      <c r="BT42" s="14" t="n">
        <v>0</v>
      </c>
      <c r="BU42" s="14" t="n">
        <v>0</v>
      </c>
      <c r="BV42" s="14" t="n">
        <v>0.08599999999999999</v>
      </c>
      <c r="BW42" s="14" t="n">
        <v>0.2</v>
      </c>
      <c r="BX42" s="14" t="n">
        <v>0.5</v>
      </c>
      <c r="BY42" s="14" t="n">
        <v>11.787</v>
      </c>
      <c r="BZ42" s="14" t="n">
        <v>0</v>
      </c>
      <c r="CA42" s="14" t="n">
        <v>11.787</v>
      </c>
      <c r="CB42" s="14" t="n">
        <v>0</v>
      </c>
      <c r="CC42" s="14" t="n">
        <v>78.125</v>
      </c>
      <c r="CD42" s="14" t="n">
        <v>7.95</v>
      </c>
      <c r="CE42" s="14" t="n">
        <v>0</v>
      </c>
      <c r="CF42" s="14" t="n">
        <v>93.75</v>
      </c>
      <c r="CG42" s="14" t="n">
        <v>0.2</v>
      </c>
      <c r="CH42" s="14" t="n">
        <v>1</v>
      </c>
      <c r="CI42" s="14" t="n">
        <v>1</v>
      </c>
      <c r="CJ42" s="14" t="n">
        <v>1</v>
      </c>
      <c r="CK42" s="14" t="n">
        <v>0</v>
      </c>
      <c r="CL42" s="14" t="n">
        <v>0</v>
      </c>
      <c r="CM42" s="14" t="n">
        <v>0</v>
      </c>
      <c r="CN42" s="14" t="n">
        <v>0</v>
      </c>
      <c r="CO42" s="14" t="n">
        <v>0</v>
      </c>
      <c r="CP42" s="14" t="n">
        <v>0.001</v>
      </c>
      <c r="CQ42" s="14" t="n">
        <v>1.198</v>
      </c>
      <c r="CR42" s="14" t="n">
        <v>0</v>
      </c>
      <c r="CS42" s="14" t="n">
        <v>4.165</v>
      </c>
      <c r="CT42" s="14" t="n">
        <v>4.41</v>
      </c>
      <c r="CU42" s="14" t="n">
        <v>4.165</v>
      </c>
    </row>
    <row r="43">
      <c r="A43" s="14" t="inlineStr">
        <is>
          <t>ARM2022</t>
        </is>
      </c>
      <c r="B43" s="14" t="inlineStr">
        <is>
          <t>ARM</t>
        </is>
      </c>
      <c r="C43" s="14" t="inlineStr">
        <is>
          <t>ARM</t>
        </is>
      </c>
      <c r="D43" s="14" t="inlineStr">
        <is>
          <t>Armenia</t>
        </is>
      </c>
      <c r="E43" s="14" t="n">
        <v>2022</v>
      </c>
      <c r="F43" s="14" t="n">
        <v>0.2</v>
      </c>
      <c r="G43" s="14" t="n">
        <v>7.075</v>
      </c>
      <c r="H43" s="14" t="n">
        <v>1.235</v>
      </c>
      <c r="I43" s="14" t="n">
        <v>0</v>
      </c>
      <c r="J43" s="14" t="n">
        <v>7.075</v>
      </c>
      <c r="K43" s="14" t="n">
        <v>0</v>
      </c>
      <c r="L43" s="14" t="n">
        <v>1</v>
      </c>
      <c r="M43" s="14" t="n">
        <v>9.781000000000001</v>
      </c>
      <c r="N43" s="14" t="n">
        <v>3.704</v>
      </c>
      <c r="O43" s="14" t="n">
        <v>0</v>
      </c>
      <c r="P43" s="14" t="n">
        <v>9.781000000000001</v>
      </c>
      <c r="Q43" s="14" t="n">
        <v>0</v>
      </c>
      <c r="R43" s="14" t="n">
        <v>1</v>
      </c>
      <c r="S43" s="14" t="n">
        <v>13.248</v>
      </c>
      <c r="T43" s="14" t="n">
        <v>7.407</v>
      </c>
      <c r="U43" s="14" t="n">
        <v>0.196</v>
      </c>
      <c r="V43" s="14" t="n">
        <v>15.898</v>
      </c>
      <c r="W43" s="14" t="n">
        <v>0.2</v>
      </c>
      <c r="X43" s="14" t="n">
        <v>1</v>
      </c>
      <c r="Y43" s="14" t="n">
        <v>5.627</v>
      </c>
      <c r="Z43" s="14" t="n">
        <v>0.59</v>
      </c>
      <c r="AA43" s="14" t="n">
        <v>0</v>
      </c>
      <c r="AB43" s="14" t="n">
        <v>5.627</v>
      </c>
      <c r="AC43" s="14" t="n">
        <v>0</v>
      </c>
      <c r="AD43" s="14" t="n">
        <v>1</v>
      </c>
      <c r="AE43" s="14" t="n">
        <v>6.862</v>
      </c>
      <c r="AF43" s="14" t="n">
        <v>1.272</v>
      </c>
      <c r="AG43" s="14" t="n">
        <v>0.06</v>
      </c>
      <c r="AH43" s="14" t="n">
        <v>6.922</v>
      </c>
      <c r="AI43" s="14" t="n">
        <v>0</v>
      </c>
      <c r="AJ43" s="14" t="n">
        <v>1</v>
      </c>
      <c r="AK43" s="14" t="n">
        <v>14.27</v>
      </c>
      <c r="AL43" s="14" t="n">
        <v>6.815</v>
      </c>
      <c r="AM43" s="14" t="n">
        <v>1.256</v>
      </c>
      <c r="AN43" s="14" t="n">
        <v>17.124</v>
      </c>
      <c r="AO43" s="14" t="n">
        <v>0.2</v>
      </c>
      <c r="AP43" s="14" t="n">
        <v>1</v>
      </c>
      <c r="AQ43" s="14" t="n">
        <v>0.861</v>
      </c>
      <c r="AR43" s="14" t="n">
        <v>0.123</v>
      </c>
      <c r="AS43" s="14" t="n">
        <v>0.154</v>
      </c>
      <c r="AT43" s="14" t="n">
        <v>1.218</v>
      </c>
      <c r="AU43" s="14" t="n">
        <v>0.2</v>
      </c>
      <c r="AV43" s="14" t="n">
        <v>1</v>
      </c>
      <c r="AW43" s="14" t="n">
        <v>0.986</v>
      </c>
      <c r="AX43" s="14" t="n">
        <v>0.123</v>
      </c>
      <c r="AY43" s="14" t="n">
        <v>0.167</v>
      </c>
      <c r="AZ43" s="14" t="n">
        <v>1.384</v>
      </c>
      <c r="BA43" s="14" t="n">
        <v>0.2</v>
      </c>
      <c r="BB43" s="14" t="n">
        <v>1</v>
      </c>
      <c r="BC43" s="14" t="n">
        <v>0.598</v>
      </c>
      <c r="BD43" s="14" t="n">
        <v>0.123</v>
      </c>
      <c r="BE43" s="14" t="n">
        <v>0.008999999999999999</v>
      </c>
      <c r="BF43" s="14" t="n">
        <v>0.717</v>
      </c>
      <c r="BG43" s="14" t="n">
        <v>0.2</v>
      </c>
      <c r="BH43" s="14" t="n">
        <v>1</v>
      </c>
      <c r="BI43" s="14" t="n">
        <v>0.612</v>
      </c>
      <c r="BJ43" s="14" t="n">
        <v>0.123</v>
      </c>
      <c r="BK43" s="14" t="n">
        <v>0.008999999999999999</v>
      </c>
      <c r="BL43" s="14" t="n">
        <v>0.735</v>
      </c>
      <c r="BM43" s="14" t="n">
        <v>0.2</v>
      </c>
      <c r="BN43" s="14" t="n">
        <v>1</v>
      </c>
      <c r="BO43" s="14" t="n">
        <v>0</v>
      </c>
      <c r="BP43" s="14" t="n">
        <v>0</v>
      </c>
      <c r="BQ43" s="14" t="n">
        <v>0.123</v>
      </c>
      <c r="BR43" s="14" t="n">
        <v>0</v>
      </c>
      <c r="BS43" s="14" t="n">
        <v>0.5</v>
      </c>
      <c r="BT43" s="14" t="n">
        <v>0</v>
      </c>
      <c r="BU43" s="14" t="n">
        <v>0</v>
      </c>
      <c r="BV43" s="14" t="n">
        <v>0.107</v>
      </c>
      <c r="BW43" s="14" t="n">
        <v>0.2</v>
      </c>
      <c r="BX43" s="14" t="n">
        <v>0.5</v>
      </c>
      <c r="BY43" s="14" t="n">
        <v>12.729</v>
      </c>
      <c r="BZ43" s="14" t="n">
        <v>0</v>
      </c>
      <c r="CA43" s="14" t="n">
        <v>12.729</v>
      </c>
      <c r="CB43" s="14" t="n">
        <v>0</v>
      </c>
      <c r="CC43" s="14" t="n">
        <v>97.90000000000001</v>
      </c>
      <c r="CD43" s="14" t="n">
        <v>7.95</v>
      </c>
      <c r="CE43" s="14" t="n">
        <v>1.449</v>
      </c>
      <c r="CF43" s="14" t="n">
        <v>117.48</v>
      </c>
      <c r="CG43" s="14" t="n">
        <v>0.2</v>
      </c>
      <c r="CH43" s="14" t="n">
        <v>1</v>
      </c>
      <c r="CI43" s="14" t="n">
        <v>1</v>
      </c>
      <c r="CJ43" s="14" t="n">
        <v>1</v>
      </c>
      <c r="CK43" s="14" t="n">
        <v>0</v>
      </c>
      <c r="CL43" s="14" t="n">
        <v>0</v>
      </c>
      <c r="CM43" s="14" t="n">
        <v>0</v>
      </c>
      <c r="CN43" s="14" t="n">
        <v>0</v>
      </c>
      <c r="CO43" s="14" t="n">
        <v>0</v>
      </c>
      <c r="CP43" s="14" t="n">
        <v>0</v>
      </c>
      <c r="CQ43" s="14" t="n">
        <v>1.294</v>
      </c>
      <c r="CR43" s="14" t="n">
        <v>0</v>
      </c>
      <c r="CS43" s="14" t="n">
        <v>4.393</v>
      </c>
      <c r="CT43" s="14" t="n">
        <v>5.842</v>
      </c>
      <c r="CU43" s="14" t="n">
        <v>4.393</v>
      </c>
    </row>
    <row r="44">
      <c r="A44" s="14" t="inlineStr">
        <is>
          <t>ARM2023</t>
        </is>
      </c>
      <c r="B44" s="14" t="inlineStr">
        <is>
          <t>ARM</t>
        </is>
      </c>
      <c r="C44" s="14" t="inlineStr">
        <is>
          <t>ARM</t>
        </is>
      </c>
      <c r="D44" s="14" t="inlineStr">
        <is>
          <t>Armenia</t>
        </is>
      </c>
      <c r="E44" s="14" t="n">
        <v>2023</v>
      </c>
      <c r="F44" s="14" t="n">
        <v>0.2</v>
      </c>
      <c r="G44" s="14" t="n">
        <v>4.751</v>
      </c>
      <c r="H44" s="14" t="n">
        <v>1.285</v>
      </c>
      <c r="I44" s="14" t="n">
        <v>0</v>
      </c>
      <c r="J44" s="14" t="n">
        <v>4.751</v>
      </c>
      <c r="K44" s="14" t="n">
        <v>0</v>
      </c>
      <c r="L44" s="14" t="n">
        <v>1</v>
      </c>
      <c r="M44" s="14" t="n">
        <v>7.885</v>
      </c>
      <c r="N44" s="14" t="n">
        <v>3.856</v>
      </c>
      <c r="O44" s="14" t="n">
        <v>0</v>
      </c>
      <c r="P44" s="14" t="n">
        <v>7.885</v>
      </c>
      <c r="Q44" s="14" t="n">
        <v>0</v>
      </c>
      <c r="R44" s="14" t="n">
        <v>1</v>
      </c>
      <c r="S44" s="14" t="n">
        <v>11.178</v>
      </c>
      <c r="T44" s="14" t="n">
        <v>7.713</v>
      </c>
      <c r="U44" s="14" t="n">
        <v>0.248</v>
      </c>
      <c r="V44" s="14" t="n">
        <v>13.414</v>
      </c>
      <c r="W44" s="14" t="n">
        <v>0.2</v>
      </c>
      <c r="X44" s="14" t="n">
        <v>1</v>
      </c>
      <c r="Y44" s="14" t="n">
        <v>2.794</v>
      </c>
      <c r="Z44" s="14" t="n">
        <v>0.313</v>
      </c>
      <c r="AA44" s="14" t="n">
        <v>1.001</v>
      </c>
      <c r="AB44" s="14" t="n">
        <v>3.795</v>
      </c>
      <c r="AC44" s="14" t="n">
        <v>0</v>
      </c>
      <c r="AD44" s="14" t="n">
        <v>1</v>
      </c>
      <c r="AE44" s="14" t="n">
        <v>4.08</v>
      </c>
      <c r="AF44" s="14" t="n">
        <v>0.8120000000000001</v>
      </c>
      <c r="AG44" s="14" t="n">
        <v>2.871</v>
      </c>
      <c r="AH44" s="14" t="n">
        <v>6.951</v>
      </c>
      <c r="AI44" s="14" t="n">
        <v>0</v>
      </c>
      <c r="AJ44" s="14" t="n">
        <v>1</v>
      </c>
      <c r="AK44" s="14" t="n">
        <v>11.794</v>
      </c>
      <c r="AL44" s="14" t="n">
        <v>5.842</v>
      </c>
      <c r="AM44" s="14" t="n">
        <v>0.584</v>
      </c>
      <c r="AN44" s="14" t="n">
        <v>14.152</v>
      </c>
      <c r="AO44" s="14" t="n">
        <v>0.2</v>
      </c>
      <c r="AP44" s="14" t="n">
        <v>1</v>
      </c>
      <c r="AQ44" s="14" t="n">
        <v>0.76</v>
      </c>
      <c r="AR44" s="14" t="n">
        <v>0.129</v>
      </c>
      <c r="AS44" s="14" t="n">
        <v>0.223</v>
      </c>
      <c r="AT44" s="14" t="n">
        <v>1.181</v>
      </c>
      <c r="AU44" s="14" t="n">
        <v>0.2</v>
      </c>
      <c r="AV44" s="14" t="n">
        <v>1</v>
      </c>
      <c r="AW44" s="14" t="n">
        <v>0.8110000000000001</v>
      </c>
      <c r="AX44" s="14" t="n">
        <v>0.129</v>
      </c>
      <c r="AY44" s="14" t="n">
        <v>0.308</v>
      </c>
      <c r="AZ44" s="14" t="n">
        <v>1.343</v>
      </c>
      <c r="BA44" s="14" t="n">
        <v>0.2</v>
      </c>
      <c r="BB44" s="14" t="n">
        <v>1</v>
      </c>
      <c r="BC44" s="14" t="n">
        <v>0.535</v>
      </c>
      <c r="BD44" s="14" t="n">
        <v>0.129</v>
      </c>
      <c r="BE44" s="14" t="n">
        <v>0.012</v>
      </c>
      <c r="BF44" s="14" t="n">
        <v>0.642</v>
      </c>
      <c r="BG44" s="14" t="n">
        <v>0.2</v>
      </c>
      <c r="BH44" s="14" t="n">
        <v>1</v>
      </c>
      <c r="BI44" s="14" t="n">
        <v>0.579</v>
      </c>
      <c r="BJ44" s="14" t="n">
        <v>0.129</v>
      </c>
      <c r="BK44" s="14" t="n">
        <v>0.013</v>
      </c>
      <c r="BL44" s="14" t="n">
        <v>0.695</v>
      </c>
      <c r="BM44" s="14" t="n">
        <v>0.2</v>
      </c>
      <c r="BN44" s="14" t="n">
        <v>1</v>
      </c>
      <c r="BO44" s="14" t="n">
        <v>0</v>
      </c>
      <c r="BP44" s="14" t="n">
        <v>0</v>
      </c>
      <c r="BQ44" s="14" t="n">
        <v>0.136</v>
      </c>
      <c r="BR44" s="14" t="n">
        <v>0</v>
      </c>
      <c r="BS44" s="14" t="n">
        <v>0.5</v>
      </c>
      <c r="BT44" s="14" t="n">
        <v>0</v>
      </c>
      <c r="BU44" s="14" t="n">
        <v>0</v>
      </c>
      <c r="BV44" s="14" t="n">
        <v>0.119</v>
      </c>
      <c r="BW44" s="14" t="n">
        <v>0.2</v>
      </c>
      <c r="BX44" s="14" t="n">
        <v>0.5</v>
      </c>
      <c r="BY44" s="14" t="n">
        <v>13.254</v>
      </c>
      <c r="BZ44" s="14" t="n">
        <v>0</v>
      </c>
      <c r="CA44" s="14" t="n">
        <v>13.254</v>
      </c>
      <c r="CB44" s="14" t="n">
        <v>0</v>
      </c>
      <c r="CC44" s="14" t="n">
        <v>83.248</v>
      </c>
      <c r="CD44" s="14" t="n">
        <v>7.95</v>
      </c>
      <c r="CE44" s="14" t="n">
        <v>1.843</v>
      </c>
      <c r="CF44" s="14" t="n">
        <v>99.898</v>
      </c>
      <c r="CG44" s="14" t="n">
        <v>0.2</v>
      </c>
      <c r="CH44" s="14" t="n">
        <v>1</v>
      </c>
      <c r="CI44" s="14" t="n">
        <v>1</v>
      </c>
      <c r="CJ44" s="14" t="n">
        <v>1</v>
      </c>
      <c r="CK44" s="14" t="n">
        <v>0</v>
      </c>
      <c r="CL44" s="14" t="n">
        <v>0</v>
      </c>
      <c r="CM44" s="14" t="n">
        <v>0</v>
      </c>
      <c r="CN44" s="14" t="n">
        <v>0</v>
      </c>
      <c r="CO44" s="14" t="n">
        <v>0</v>
      </c>
      <c r="CP44" s="14" t="n">
        <v>0</v>
      </c>
      <c r="CQ44" s="14" t="n">
        <v>1.348</v>
      </c>
      <c r="CR44" s="14" t="n">
        <v>0</v>
      </c>
      <c r="CS44" s="14" t="n">
        <v>1.508</v>
      </c>
      <c r="CT44" s="14" t="n">
        <v>3.466</v>
      </c>
      <c r="CU44" s="14" t="n">
        <v>1.508</v>
      </c>
    </row>
    <row r="45">
      <c r="A45" s="14" t="inlineStr">
        <is>
          <t>ARM2024</t>
        </is>
      </c>
      <c r="B45" s="14" t="inlineStr">
        <is>
          <t>ARM</t>
        </is>
      </c>
      <c r="C45" s="14" t="inlineStr">
        <is>
          <t>ARM</t>
        </is>
      </c>
      <c r="D45" s="14" t="inlineStr">
        <is>
          <t>Armenia</t>
        </is>
      </c>
      <c r="E45" s="14" t="n">
        <v>2024</v>
      </c>
      <c r="F45" s="14" t="n">
        <v>0.2</v>
      </c>
      <c r="G45" s="14" t="n">
        <v>4.35</v>
      </c>
      <c r="H45" s="14" t="n">
        <v>1.323</v>
      </c>
      <c r="I45" s="14" t="n">
        <v>0</v>
      </c>
      <c r="J45" s="14" t="n">
        <v>4.35</v>
      </c>
      <c r="K45" s="14" t="n">
        <v>0</v>
      </c>
      <c r="L45" s="14" t="n">
        <v>1</v>
      </c>
      <c r="M45" s="14" t="n">
        <v>7.123</v>
      </c>
      <c r="N45" s="14" t="n">
        <v>3.97</v>
      </c>
      <c r="O45" s="14" t="n">
        <v>0</v>
      </c>
      <c r="P45" s="14" t="n">
        <v>7.123</v>
      </c>
      <c r="Q45" s="14" t="n">
        <v>0</v>
      </c>
      <c r="R45" s="14" t="n">
        <v>1</v>
      </c>
      <c r="S45" s="14" t="n">
        <v>10.967</v>
      </c>
      <c r="T45" s="14" t="n">
        <v>7.941</v>
      </c>
      <c r="U45" s="14" t="n">
        <v>0.299</v>
      </c>
      <c r="V45" s="14" t="n">
        <v>13.161</v>
      </c>
      <c r="W45" s="14" t="n">
        <v>0.2</v>
      </c>
      <c r="X45" s="14" t="n">
        <v>1</v>
      </c>
      <c r="Y45" s="14" t="n">
        <v>2.599</v>
      </c>
      <c r="Z45" s="14" t="n">
        <v>0.328</v>
      </c>
      <c r="AA45" s="14" t="n">
        <v>0</v>
      </c>
      <c r="AB45" s="14" t="n">
        <v>2.599</v>
      </c>
      <c r="AC45" s="14" t="n">
        <v>0</v>
      </c>
      <c r="AD45" s="14" t="n">
        <v>1</v>
      </c>
      <c r="AE45" s="14" t="n">
        <v>3.922</v>
      </c>
      <c r="AF45" s="14" t="n">
        <v>0.859</v>
      </c>
      <c r="AG45" s="14" t="n">
        <v>3.225</v>
      </c>
      <c r="AH45" s="14" t="n">
        <v>7.147</v>
      </c>
      <c r="AI45" s="14" t="n">
        <v>0</v>
      </c>
      <c r="AJ45" s="14" t="n">
        <v>1</v>
      </c>
      <c r="AK45" s="14" t="n">
        <v>11.864</v>
      </c>
      <c r="AL45" s="14" t="n">
        <v>6.034</v>
      </c>
      <c r="AM45" s="14" t="n">
        <v>0.598</v>
      </c>
      <c r="AN45" s="14" t="n">
        <v>14.237</v>
      </c>
      <c r="AO45" s="14" t="n">
        <v>0.2</v>
      </c>
      <c r="AP45" s="14" t="n">
        <v>1</v>
      </c>
      <c r="AQ45" s="14" t="n">
        <v>0.724</v>
      </c>
      <c r="AR45" s="14" t="n">
        <v>0.132</v>
      </c>
      <c r="AS45" s="14" t="n">
        <v>0.401</v>
      </c>
      <c r="AT45" s="14" t="n">
        <v>1.35</v>
      </c>
      <c r="AU45" s="14" t="n">
        <v>0.2</v>
      </c>
      <c r="AV45" s="14" t="n">
        <v>1</v>
      </c>
      <c r="AW45" s="14" t="n">
        <v>0.75</v>
      </c>
      <c r="AX45" s="14" t="n">
        <v>0.132</v>
      </c>
      <c r="AY45" s="14" t="n">
        <v>0.389</v>
      </c>
      <c r="AZ45" s="14" t="n">
        <v>1.368</v>
      </c>
      <c r="BA45" s="14" t="n">
        <v>0.2</v>
      </c>
      <c r="BB45" s="14" t="n">
        <v>1</v>
      </c>
      <c r="BC45" s="14" t="n">
        <v>0.513</v>
      </c>
      <c r="BD45" s="14" t="n">
        <v>0.132</v>
      </c>
      <c r="BE45" s="14" t="n">
        <v>0.014</v>
      </c>
      <c r="BF45" s="14" t="n">
        <v>0.616</v>
      </c>
      <c r="BG45" s="14" t="n">
        <v>0.2</v>
      </c>
      <c r="BH45" s="14" t="n">
        <v>1</v>
      </c>
      <c r="BI45" s="14" t="n">
        <v>0.591</v>
      </c>
      <c r="BJ45" s="14" t="n">
        <v>0.132</v>
      </c>
      <c r="BK45" s="14" t="n">
        <v>0.016</v>
      </c>
      <c r="BL45" s="14" t="n">
        <v>0.71</v>
      </c>
      <c r="BM45" s="14" t="n">
        <v>0.2</v>
      </c>
      <c r="BN45" s="14" t="n">
        <v>1</v>
      </c>
      <c r="BO45" s="14" t="n">
        <v>0</v>
      </c>
      <c r="BP45" s="14" t="n">
        <v>0</v>
      </c>
      <c r="BQ45" s="14" t="n">
        <v>0.123</v>
      </c>
      <c r="BR45" s="14" t="n">
        <v>0</v>
      </c>
      <c r="BS45" s="14" t="n">
        <v>0.5</v>
      </c>
      <c r="BT45" s="14" t="n">
        <v>0</v>
      </c>
      <c r="BU45" s="14" t="n">
        <v>0</v>
      </c>
      <c r="BV45" s="14" t="n">
        <v>0.111</v>
      </c>
      <c r="BW45" s="14" t="n">
        <v>0.2</v>
      </c>
      <c r="BX45" s="14" t="n">
        <v>0.5</v>
      </c>
      <c r="BY45" s="14" t="n">
        <v>13.646</v>
      </c>
      <c r="BZ45" s="14" t="n">
        <v>0</v>
      </c>
      <c r="CA45" s="14" t="n">
        <v>13.646</v>
      </c>
      <c r="CB45" s="14" t="n">
        <v>0</v>
      </c>
      <c r="CC45" s="14" t="n">
        <v>82.58799999999999</v>
      </c>
      <c r="CD45" s="14" t="n">
        <v>7.95</v>
      </c>
      <c r="CE45" s="14" t="n">
        <v>2.25</v>
      </c>
      <c r="CF45" s="14" t="n">
        <v>99.10599999999999</v>
      </c>
      <c r="CG45" s="14" t="n">
        <v>0.2</v>
      </c>
      <c r="CH45" s="14" t="n">
        <v>1</v>
      </c>
      <c r="CI45" s="14" t="n">
        <v>1</v>
      </c>
      <c r="CJ45" s="14" t="n">
        <v>1</v>
      </c>
      <c r="CK45" s="14" t="n">
        <v>0</v>
      </c>
      <c r="CL45" s="14" t="n">
        <v>0</v>
      </c>
      <c r="CM45" s="14" t="n">
        <v>0</v>
      </c>
      <c r="CN45" s="14" t="n">
        <v>0</v>
      </c>
      <c r="CO45" s="14" t="n">
        <v>0</v>
      </c>
      <c r="CP45" s="14" t="n">
        <v>0</v>
      </c>
      <c r="CQ45" s="14" t="n">
        <v>1.387</v>
      </c>
      <c r="CR45" s="14" t="n">
        <v>0</v>
      </c>
      <c r="CS45" s="14" t="n">
        <v>1.275</v>
      </c>
      <c r="CT45" s="14" t="n">
        <v>3.027</v>
      </c>
      <c r="CU45" s="14" t="n">
        <v>1.275</v>
      </c>
    </row>
    <row r="46">
      <c r="A46" s="14" t="inlineStr">
        <is>
          <t>ABW2021</t>
        </is>
      </c>
      <c r="B46" s="14" t="inlineStr">
        <is>
          <t>ABW</t>
        </is>
      </c>
      <c r="C46" s="14" t="inlineStr">
        <is>
          <t>ABW</t>
        </is>
      </c>
      <c r="D46" s="14" t="inlineStr">
        <is>
          <t>Aruba</t>
        </is>
      </c>
      <c r="E46" s="14" t="n">
        <v>2021</v>
      </c>
      <c r="F46" s="14" t="n">
        <v>0.02</v>
      </c>
      <c r="G46" s="14" t="n">
        <v>5.897</v>
      </c>
      <c r="H46" s="14" t="n">
        <v>1.143</v>
      </c>
      <c r="I46" s="14" t="n">
        <v>0</v>
      </c>
      <c r="J46" s="14" t="n">
        <v>5.897</v>
      </c>
      <c r="K46" s="14" t="n">
        <v>0</v>
      </c>
      <c r="L46" s="14" t="n">
        <v>1</v>
      </c>
      <c r="M46" s="14" t="n">
        <v>7.964</v>
      </c>
      <c r="N46" s="14" t="n">
        <v>3.43</v>
      </c>
      <c r="O46" s="14" t="n">
        <v>0</v>
      </c>
      <c r="P46" s="14" t="n">
        <v>7.964</v>
      </c>
      <c r="Q46" s="14" t="n">
        <v>0</v>
      </c>
      <c r="R46" s="14" t="n">
        <v>1</v>
      </c>
      <c r="S46" s="14" t="n">
        <v>11.613</v>
      </c>
      <c r="T46" s="14" t="n">
        <v>6.86</v>
      </c>
      <c r="U46" s="14" t="n">
        <v>0</v>
      </c>
      <c r="V46" s="14" t="n">
        <v>11.846</v>
      </c>
      <c r="W46" s="14" t="n">
        <v>0.02</v>
      </c>
      <c r="X46" s="14" t="n">
        <v>1</v>
      </c>
      <c r="Y46" s="14" t="n">
        <v>5.919</v>
      </c>
      <c r="Z46" s="14" t="n">
        <v>0.796</v>
      </c>
      <c r="AA46" s="14" t="n">
        <v>-3.796</v>
      </c>
      <c r="AB46" s="14" t="n">
        <v>2.123</v>
      </c>
      <c r="AC46" s="14" t="n">
        <v>0</v>
      </c>
      <c r="AD46" s="14" t="n">
        <v>0</v>
      </c>
      <c r="AE46" s="14" t="n">
        <v>7.062</v>
      </c>
      <c r="AF46" s="14" t="n">
        <v>1.654</v>
      </c>
      <c r="AG46" s="14" t="n">
        <v>-4.94</v>
      </c>
      <c r="AH46" s="14" t="n">
        <v>2.123</v>
      </c>
      <c r="AI46" s="14" t="n">
        <v>0</v>
      </c>
      <c r="AJ46" s="14" t="n">
        <v>0</v>
      </c>
      <c r="AK46" s="14" t="n">
        <v>13.922</v>
      </c>
      <c r="AL46" s="14" t="n">
        <v>7.481</v>
      </c>
      <c r="AM46" s="14" t="n">
        <v>-4.96</v>
      </c>
      <c r="AN46" s="14" t="n">
        <v>8.962</v>
      </c>
      <c r="AO46" s="14" t="n">
        <v>0</v>
      </c>
      <c r="AP46" s="14" t="n">
        <v>0</v>
      </c>
      <c r="AQ46" s="14" t="n">
        <v>0.649</v>
      </c>
      <c r="AR46" s="14" t="n">
        <v>0.114</v>
      </c>
      <c r="AS46" s="14" t="n">
        <v>0.656</v>
      </c>
      <c r="AT46" s="14" t="n">
        <v>1.305</v>
      </c>
      <c r="AU46" s="14" t="n">
        <v>0</v>
      </c>
      <c r="AV46" s="14" t="n">
        <v>1</v>
      </c>
      <c r="AW46" s="14" t="n">
        <v>0.577</v>
      </c>
      <c r="AX46" s="14" t="n">
        <v>0.114</v>
      </c>
      <c r="AY46" s="14" t="n">
        <v>0.529</v>
      </c>
      <c r="AZ46" s="14" t="n">
        <v>1.128</v>
      </c>
      <c r="BA46" s="14" t="n">
        <v>0.02</v>
      </c>
      <c r="BB46" s="14" t="n">
        <v>1</v>
      </c>
      <c r="BC46" s="14" t="n">
        <v>0.458</v>
      </c>
      <c r="BD46" s="14" t="n">
        <v>0.114</v>
      </c>
      <c r="BE46" s="14" t="n">
        <v>0</v>
      </c>
      <c r="BF46" s="14" t="n">
        <v>0.467</v>
      </c>
      <c r="BG46" s="14" t="n">
        <v>0.02</v>
      </c>
      <c r="BH46" s="14" t="n">
        <v>1</v>
      </c>
      <c r="BI46" s="14" t="n">
        <v>0.491</v>
      </c>
      <c r="BJ46" s="14" t="n">
        <v>0.114</v>
      </c>
      <c r="BK46" s="14" t="n">
        <v>0.384</v>
      </c>
      <c r="BL46" s="14" t="n">
        <v>0.893</v>
      </c>
      <c r="BM46" s="14" t="n">
        <v>0.02</v>
      </c>
      <c r="BN46" s="14" t="n">
        <v>1</v>
      </c>
      <c r="BO46" s="14" t="n">
        <v>0</v>
      </c>
      <c r="BP46" s="14" t="n">
        <v>0</v>
      </c>
      <c r="BQ46" s="14" t="n">
        <v>0.276</v>
      </c>
      <c r="BR46" s="14" t="n">
        <v>0</v>
      </c>
      <c r="BS46" s="14" t="n">
        <v>0.833</v>
      </c>
      <c r="BT46" s="14" t="n">
        <v>0</v>
      </c>
      <c r="BU46" s="14" t="n">
        <v>0</v>
      </c>
      <c r="BV46" s="14" t="n">
        <v>0.248</v>
      </c>
      <c r="BW46" s="14" t="n">
        <v>0.02</v>
      </c>
      <c r="BX46" s="14" t="n">
        <v>0.833</v>
      </c>
      <c r="BY46" s="14" t="n">
        <v>11.787</v>
      </c>
      <c r="BZ46" s="14" t="n">
        <v>0</v>
      </c>
      <c r="CA46" s="14" t="n">
        <v>11.787</v>
      </c>
      <c r="CB46" s="14" t="n">
        <v>0</v>
      </c>
      <c r="CC46" s="14" t="n">
        <v>78.125</v>
      </c>
      <c r="CD46" s="14" t="n">
        <v>7.95</v>
      </c>
      <c r="CE46" s="14" t="n">
        <v>0</v>
      </c>
      <c r="CF46" s="14" t="n">
        <v>79.688</v>
      </c>
      <c r="CG46" s="14" t="n">
        <v>0.02</v>
      </c>
      <c r="CH46" s="14" t="n">
        <v>1</v>
      </c>
      <c r="CI46" s="14" t="n">
        <v>0</v>
      </c>
      <c r="CJ46" s="14" t="n">
        <v>0</v>
      </c>
      <c r="CK46" s="14" t="n">
        <v>0</v>
      </c>
      <c r="CL46" s="14" t="n">
        <v>0</v>
      </c>
      <c r="CM46" s="14" t="n">
        <v>0</v>
      </c>
      <c r="CN46" s="14" t="n">
        <v>0</v>
      </c>
      <c r="CO46" s="14" t="n">
        <v>0</v>
      </c>
      <c r="CP46" s="14" t="n">
        <v>0</v>
      </c>
      <c r="CQ46" s="14" t="n">
        <v>1.198</v>
      </c>
      <c r="CR46" s="14" t="n">
        <v>0</v>
      </c>
      <c r="CS46" s="14" t="n">
        <v>4.776</v>
      </c>
      <c r="CT46" s="14" t="n">
        <v>4.753</v>
      </c>
      <c r="CU46" s="14" t="n">
        <v>15.983</v>
      </c>
    </row>
    <row r="47">
      <c r="A47" s="14" t="inlineStr">
        <is>
          <t>ABW2022</t>
        </is>
      </c>
      <c r="B47" s="14" t="inlineStr">
        <is>
          <t>ABW</t>
        </is>
      </c>
      <c r="C47" s="14" t="inlineStr">
        <is>
          <t>ABW</t>
        </is>
      </c>
      <c r="D47" s="14" t="inlineStr">
        <is>
          <t>Aruba</t>
        </is>
      </c>
      <c r="E47" s="14" t="n">
        <v>2022</v>
      </c>
      <c r="F47" s="14" t="n">
        <v>0.015</v>
      </c>
      <c r="G47" s="14" t="n">
        <v>11.72</v>
      </c>
      <c r="H47" s="14" t="n">
        <v>1.235</v>
      </c>
      <c r="I47" s="14" t="n">
        <v>0</v>
      </c>
      <c r="J47" s="14" t="n">
        <v>11.72</v>
      </c>
      <c r="K47" s="14" t="n">
        <v>0</v>
      </c>
      <c r="L47" s="14" t="n">
        <v>1</v>
      </c>
      <c r="M47" s="14" t="n">
        <v>9.782999999999999</v>
      </c>
      <c r="N47" s="14" t="n">
        <v>3.704</v>
      </c>
      <c r="O47" s="14" t="n">
        <v>0</v>
      </c>
      <c r="P47" s="14" t="n">
        <v>9.782999999999999</v>
      </c>
      <c r="Q47" s="14" t="n">
        <v>0</v>
      </c>
      <c r="R47" s="14" t="n">
        <v>1</v>
      </c>
      <c r="S47" s="14" t="n">
        <v>17.893</v>
      </c>
      <c r="T47" s="14" t="n">
        <v>7.408</v>
      </c>
      <c r="U47" s="14" t="n">
        <v>0.02</v>
      </c>
      <c r="V47" s="14" t="n">
        <v>18.162</v>
      </c>
      <c r="W47" s="14" t="n">
        <v>0.015</v>
      </c>
      <c r="X47" s="14" t="n">
        <v>1</v>
      </c>
      <c r="Y47" s="14" t="n">
        <v>6.392</v>
      </c>
      <c r="Z47" s="14" t="n">
        <v>0.86</v>
      </c>
      <c r="AA47" s="14" t="n">
        <v>-4.1</v>
      </c>
      <c r="AB47" s="14" t="n">
        <v>2.292</v>
      </c>
      <c r="AC47" s="14" t="n">
        <v>0</v>
      </c>
      <c r="AD47" s="14" t="n">
        <v>0</v>
      </c>
      <c r="AE47" s="14" t="n">
        <v>7.627</v>
      </c>
      <c r="AF47" s="14" t="n">
        <v>1.786</v>
      </c>
      <c r="AG47" s="14" t="n">
        <v>-5.334</v>
      </c>
      <c r="AH47" s="14" t="n">
        <v>2.292</v>
      </c>
      <c r="AI47" s="14" t="n">
        <v>0</v>
      </c>
      <c r="AJ47" s="14" t="n">
        <v>0</v>
      </c>
      <c r="AK47" s="14" t="n">
        <v>15.035</v>
      </c>
      <c r="AL47" s="14" t="n">
        <v>8.079000000000001</v>
      </c>
      <c r="AM47" s="14" t="n">
        <v>-5.357</v>
      </c>
      <c r="AN47" s="14" t="n">
        <v>9.678000000000001</v>
      </c>
      <c r="AO47" s="14" t="n">
        <v>0</v>
      </c>
      <c r="AP47" s="14" t="n">
        <v>0</v>
      </c>
      <c r="AQ47" s="14" t="n">
        <v>0.896</v>
      </c>
      <c r="AR47" s="14" t="n">
        <v>0.123</v>
      </c>
      <c r="AS47" s="14" t="n">
        <v>0.711</v>
      </c>
      <c r="AT47" s="14" t="n">
        <v>1.607</v>
      </c>
      <c r="AU47" s="14" t="n">
        <v>0</v>
      </c>
      <c r="AV47" s="14" t="n">
        <v>1</v>
      </c>
      <c r="AW47" s="14" t="n">
        <v>0.89</v>
      </c>
      <c r="AX47" s="14" t="n">
        <v>0.123</v>
      </c>
      <c r="AY47" s="14" t="n">
        <v>0.673</v>
      </c>
      <c r="AZ47" s="14" t="n">
        <v>1.586</v>
      </c>
      <c r="BA47" s="14" t="n">
        <v>0.015</v>
      </c>
      <c r="BB47" s="14" t="n">
        <v>1</v>
      </c>
      <c r="BC47" s="14" t="n">
        <v>0.62</v>
      </c>
      <c r="BD47" s="14" t="n">
        <v>0.123</v>
      </c>
      <c r="BE47" s="14" t="n">
        <v>0.001</v>
      </c>
      <c r="BF47" s="14" t="n">
        <v>0.63</v>
      </c>
      <c r="BG47" s="14" t="n">
        <v>0.015</v>
      </c>
      <c r="BH47" s="14" t="n">
        <v>1</v>
      </c>
      <c r="BI47" s="14" t="n">
        <v>0.608</v>
      </c>
      <c r="BJ47" s="14" t="n">
        <v>0.123</v>
      </c>
      <c r="BK47" s="14" t="n">
        <v>0.728</v>
      </c>
      <c r="BL47" s="14" t="n">
        <v>1.355</v>
      </c>
      <c r="BM47" s="14" t="n">
        <v>0.015</v>
      </c>
      <c r="BN47" s="14" t="n">
        <v>1</v>
      </c>
      <c r="BO47" s="14" t="n">
        <v>0</v>
      </c>
      <c r="BP47" s="14" t="n">
        <v>0</v>
      </c>
      <c r="BQ47" s="14" t="n">
        <v>0.309</v>
      </c>
      <c r="BR47" s="14" t="n">
        <v>0</v>
      </c>
      <c r="BS47" s="14" t="n">
        <v>0.833</v>
      </c>
      <c r="BT47" s="14" t="n">
        <v>0</v>
      </c>
      <c r="BU47" s="14" t="n">
        <v>0</v>
      </c>
      <c r="BV47" s="14" t="n">
        <v>0.259</v>
      </c>
      <c r="BW47" s="14" t="n">
        <v>0.015</v>
      </c>
      <c r="BX47" s="14" t="n">
        <v>0.833</v>
      </c>
      <c r="BY47" s="14" t="n">
        <v>12.729</v>
      </c>
      <c r="BZ47" s="14" t="n">
        <v>0</v>
      </c>
      <c r="CA47" s="14" t="n">
        <v>12.729</v>
      </c>
      <c r="CB47" s="14" t="n">
        <v>0</v>
      </c>
      <c r="CC47" s="14" t="n">
        <v>97.90000000000001</v>
      </c>
      <c r="CD47" s="14" t="n">
        <v>7.95</v>
      </c>
      <c r="CE47" s="14" t="n">
        <v>0.109</v>
      </c>
      <c r="CF47" s="14" t="n">
        <v>99.36799999999999</v>
      </c>
      <c r="CG47" s="14" t="n">
        <v>0.015</v>
      </c>
      <c r="CH47" s="14" t="n">
        <v>1</v>
      </c>
      <c r="CI47" s="14" t="n">
        <v>0</v>
      </c>
      <c r="CJ47" s="14" t="n">
        <v>0</v>
      </c>
      <c r="CK47" s="14" t="n">
        <v>0</v>
      </c>
      <c r="CL47" s="14" t="n">
        <v>0</v>
      </c>
      <c r="CM47" s="14" t="n">
        <v>0</v>
      </c>
      <c r="CN47" s="14" t="n">
        <v>0</v>
      </c>
      <c r="CO47" s="14" t="n">
        <v>0</v>
      </c>
      <c r="CP47" s="14" t="n">
        <v>0</v>
      </c>
      <c r="CQ47" s="14" t="n">
        <v>1.294</v>
      </c>
      <c r="CR47" s="14" t="n">
        <v>0</v>
      </c>
      <c r="CS47" s="14" t="n">
        <v>5.158</v>
      </c>
      <c r="CT47" s="14" t="n">
        <v>10.485</v>
      </c>
      <c r="CU47" s="14" t="n">
        <v>29.494</v>
      </c>
    </row>
    <row r="48">
      <c r="A48" s="14" t="inlineStr">
        <is>
          <t>ABW2023</t>
        </is>
      </c>
      <c r="B48" s="14" t="inlineStr">
        <is>
          <t>ABW</t>
        </is>
      </c>
      <c r="C48" s="14" t="inlineStr">
        <is>
          <t>ABW</t>
        </is>
      </c>
      <c r="D48" s="14" t="inlineStr">
        <is>
          <t>Aruba</t>
        </is>
      </c>
      <c r="E48" s="14" t="n">
        <v>2023</v>
      </c>
      <c r="F48" s="14" t="n">
        <v>0.015</v>
      </c>
      <c r="G48" s="14" t="n">
        <v>6.147</v>
      </c>
      <c r="H48" s="14" t="n">
        <v>1.286</v>
      </c>
      <c r="I48" s="14" t="n">
        <v>0</v>
      </c>
      <c r="J48" s="14" t="n">
        <v>6.147</v>
      </c>
      <c r="K48" s="14" t="n">
        <v>0</v>
      </c>
      <c r="L48" s="14" t="n">
        <v>1</v>
      </c>
      <c r="M48" s="14" t="n">
        <v>7.886</v>
      </c>
      <c r="N48" s="14" t="n">
        <v>3.857</v>
      </c>
      <c r="O48" s="14" t="n">
        <v>0</v>
      </c>
      <c r="P48" s="14" t="n">
        <v>7.886</v>
      </c>
      <c r="Q48" s="14" t="n">
        <v>0</v>
      </c>
      <c r="R48" s="14" t="n">
        <v>1</v>
      </c>
      <c r="S48" s="14" t="n">
        <v>12.575</v>
      </c>
      <c r="T48" s="14" t="n">
        <v>7.714</v>
      </c>
      <c r="U48" s="14" t="n">
        <v>0.021</v>
      </c>
      <c r="V48" s="14" t="n">
        <v>12.764</v>
      </c>
      <c r="W48" s="14" t="n">
        <v>0.015</v>
      </c>
      <c r="X48" s="14" t="n">
        <v>1</v>
      </c>
      <c r="Y48" s="14" t="n">
        <v>6.656</v>
      </c>
      <c r="Z48" s="14" t="n">
        <v>0.895</v>
      </c>
      <c r="AA48" s="14" t="n">
        <v>-4.269</v>
      </c>
      <c r="AB48" s="14" t="n">
        <v>2.387</v>
      </c>
      <c r="AC48" s="14" t="n">
        <v>0</v>
      </c>
      <c r="AD48" s="14" t="n">
        <v>0</v>
      </c>
      <c r="AE48" s="14" t="n">
        <v>7.942</v>
      </c>
      <c r="AF48" s="14" t="n">
        <v>1.86</v>
      </c>
      <c r="AG48" s="14" t="n">
        <v>-5.555</v>
      </c>
      <c r="AH48" s="14" t="n">
        <v>2.387</v>
      </c>
      <c r="AI48" s="14" t="n">
        <v>0</v>
      </c>
      <c r="AJ48" s="14" t="n">
        <v>0</v>
      </c>
      <c r="AK48" s="14" t="n">
        <v>15.656</v>
      </c>
      <c r="AL48" s="14" t="n">
        <v>8.412000000000001</v>
      </c>
      <c r="AM48" s="14" t="n">
        <v>-5.578</v>
      </c>
      <c r="AN48" s="14" t="n">
        <v>10.078</v>
      </c>
      <c r="AO48" s="14" t="n">
        <v>0</v>
      </c>
      <c r="AP48" s="14" t="n">
        <v>0</v>
      </c>
      <c r="AQ48" s="14" t="n">
        <v>0.791</v>
      </c>
      <c r="AR48" s="14" t="n">
        <v>0.129</v>
      </c>
      <c r="AS48" s="14" t="n">
        <v>0.731</v>
      </c>
      <c r="AT48" s="14" t="n">
        <v>1.522</v>
      </c>
      <c r="AU48" s="14" t="n">
        <v>0</v>
      </c>
      <c r="AV48" s="14" t="n">
        <v>1</v>
      </c>
      <c r="AW48" s="14" t="n">
        <v>0.618</v>
      </c>
      <c r="AX48" s="14" t="n">
        <v>0.129</v>
      </c>
      <c r="AY48" s="14" t="n">
        <v>0.8</v>
      </c>
      <c r="AZ48" s="14" t="n">
        <v>1.439</v>
      </c>
      <c r="BA48" s="14" t="n">
        <v>0.015</v>
      </c>
      <c r="BB48" s="14" t="n">
        <v>1</v>
      </c>
      <c r="BC48" s="14" t="n">
        <v>0.554</v>
      </c>
      <c r="BD48" s="14" t="n">
        <v>0.129</v>
      </c>
      <c r="BE48" s="14" t="n">
        <v>0.001</v>
      </c>
      <c r="BF48" s="14" t="n">
        <v>0.5629999999999999</v>
      </c>
      <c r="BG48" s="14" t="n">
        <v>0.015</v>
      </c>
      <c r="BH48" s="14" t="n">
        <v>1</v>
      </c>
      <c r="BI48" s="14" t="n">
        <v>0.5570000000000001</v>
      </c>
      <c r="BJ48" s="14" t="n">
        <v>0.129</v>
      </c>
      <c r="BK48" s="14" t="n">
        <v>0.65</v>
      </c>
      <c r="BL48" s="14" t="n">
        <v>1.225</v>
      </c>
      <c r="BM48" s="14" t="n">
        <v>0.015</v>
      </c>
      <c r="BN48" s="14" t="n">
        <v>1</v>
      </c>
      <c r="BO48" s="14" t="n">
        <v>0</v>
      </c>
      <c r="BP48" s="14" t="n">
        <v>0</v>
      </c>
      <c r="BQ48" s="14" t="n">
        <v>0.33</v>
      </c>
      <c r="BR48" s="14" t="n">
        <v>0</v>
      </c>
      <c r="BS48" s="14" t="n">
        <v>0.833</v>
      </c>
      <c r="BT48" s="14" t="n">
        <v>0</v>
      </c>
      <c r="BU48" s="14" t="n">
        <v>0</v>
      </c>
      <c r="BV48" s="14" t="n">
        <v>0.283</v>
      </c>
      <c r="BW48" s="14" t="n">
        <v>0.015</v>
      </c>
      <c r="BX48" s="14" t="n">
        <v>0.833</v>
      </c>
      <c r="BY48" s="14" t="n">
        <v>13.254</v>
      </c>
      <c r="BZ48" s="14" t="n">
        <v>0</v>
      </c>
      <c r="CA48" s="14" t="n">
        <v>13.254</v>
      </c>
      <c r="CB48" s="14" t="n">
        <v>0</v>
      </c>
      <c r="CC48" s="14" t="n">
        <v>83.248</v>
      </c>
      <c r="CD48" s="14" t="n">
        <v>7.95</v>
      </c>
      <c r="CE48" s="14" t="n">
        <v>0.138</v>
      </c>
      <c r="CF48" s="14" t="n">
        <v>84.497</v>
      </c>
      <c r="CG48" s="14" t="n">
        <v>0.015</v>
      </c>
      <c r="CH48" s="14" t="n">
        <v>1</v>
      </c>
      <c r="CI48" s="14" t="n">
        <v>0</v>
      </c>
      <c r="CJ48" s="14" t="n">
        <v>0</v>
      </c>
      <c r="CK48" s="14" t="n">
        <v>0</v>
      </c>
      <c r="CL48" s="14" t="n">
        <v>0</v>
      </c>
      <c r="CM48" s="14" t="n">
        <v>0</v>
      </c>
      <c r="CN48" s="14" t="n">
        <v>0</v>
      </c>
      <c r="CO48" s="14" t="n">
        <v>0</v>
      </c>
      <c r="CP48" s="14" t="n">
        <v>0</v>
      </c>
      <c r="CQ48" s="14" t="n">
        <v>1.348</v>
      </c>
      <c r="CR48" s="14" t="n">
        <v>0</v>
      </c>
      <c r="CS48" s="14" t="n">
        <v>5.37</v>
      </c>
      <c r="CT48" s="14" t="n">
        <v>4.861</v>
      </c>
      <c r="CU48" s="14" t="n">
        <v>11.192</v>
      </c>
    </row>
    <row r="49">
      <c r="A49" s="14" t="inlineStr">
        <is>
          <t>ABW2024</t>
        </is>
      </c>
      <c r="B49" s="14" t="inlineStr">
        <is>
          <t>ABW</t>
        </is>
      </c>
      <c r="C49" s="14" t="inlineStr">
        <is>
          <t>ABW</t>
        </is>
      </c>
      <c r="D49" s="14" t="inlineStr">
        <is>
          <t>Aruba</t>
        </is>
      </c>
      <c r="E49" s="14" t="n">
        <v>2024</v>
      </c>
      <c r="F49" s="14" t="n">
        <v>0.015</v>
      </c>
      <c r="G49" s="14" t="n">
        <v>5.575</v>
      </c>
      <c r="H49" s="14" t="n">
        <v>1.324</v>
      </c>
      <c r="I49" s="14" t="n">
        <v>0</v>
      </c>
      <c r="J49" s="14" t="n">
        <v>5.575</v>
      </c>
      <c r="K49" s="14" t="n">
        <v>0</v>
      </c>
      <c r="L49" s="14" t="n">
        <v>1</v>
      </c>
      <c r="M49" s="14" t="n">
        <v>7.124</v>
      </c>
      <c r="N49" s="14" t="n">
        <v>3.971</v>
      </c>
      <c r="O49" s="14" t="n">
        <v>0</v>
      </c>
      <c r="P49" s="14" t="n">
        <v>7.124</v>
      </c>
      <c r="Q49" s="14" t="n">
        <v>0</v>
      </c>
      <c r="R49" s="14" t="n">
        <v>1</v>
      </c>
      <c r="S49" s="14" t="n">
        <v>12.193</v>
      </c>
      <c r="T49" s="14" t="n">
        <v>7.942</v>
      </c>
      <c r="U49" s="14" t="n">
        <v>0.025</v>
      </c>
      <c r="V49" s="14" t="n">
        <v>12.376</v>
      </c>
      <c r="W49" s="14" t="n">
        <v>0.015</v>
      </c>
      <c r="X49" s="14" t="n">
        <v>1</v>
      </c>
      <c r="Y49" s="14" t="n">
        <v>6.853</v>
      </c>
      <c r="Z49" s="14" t="n">
        <v>0.922</v>
      </c>
      <c r="AA49" s="14" t="n">
        <v>-4.395</v>
      </c>
      <c r="AB49" s="14" t="n">
        <v>2.458</v>
      </c>
      <c r="AC49" s="14" t="n">
        <v>0</v>
      </c>
      <c r="AD49" s="14" t="n">
        <v>0</v>
      </c>
      <c r="AE49" s="14" t="n">
        <v>8.176</v>
      </c>
      <c r="AF49" s="14" t="n">
        <v>1.915</v>
      </c>
      <c r="AG49" s="14" t="n">
        <v>-5.719</v>
      </c>
      <c r="AH49" s="14" t="n">
        <v>2.458</v>
      </c>
      <c r="AI49" s="14" t="n">
        <v>0</v>
      </c>
      <c r="AJ49" s="14" t="n">
        <v>0</v>
      </c>
      <c r="AK49" s="14" t="n">
        <v>16.118</v>
      </c>
      <c r="AL49" s="14" t="n">
        <v>8.66</v>
      </c>
      <c r="AM49" s="14" t="n">
        <v>-5.743</v>
      </c>
      <c r="AN49" s="14" t="n">
        <v>10.375</v>
      </c>
      <c r="AO49" s="14" t="n">
        <v>0</v>
      </c>
      <c r="AP49" s="14" t="n">
        <v>0</v>
      </c>
      <c r="AQ49" s="14" t="n">
        <v>0.756</v>
      </c>
      <c r="AR49" s="14" t="n">
        <v>0.132</v>
      </c>
      <c r="AS49" s="14" t="n">
        <v>0.706</v>
      </c>
      <c r="AT49" s="14" t="n">
        <v>1.462</v>
      </c>
      <c r="AU49" s="14" t="n">
        <v>0</v>
      </c>
      <c r="AV49" s="14" t="n">
        <v>1</v>
      </c>
      <c r="AW49" s="14" t="n">
        <v>0.655</v>
      </c>
      <c r="AX49" s="14" t="n">
        <v>0.132</v>
      </c>
      <c r="AY49" s="14" t="n">
        <v>0.666</v>
      </c>
      <c r="AZ49" s="14" t="n">
        <v>1.341</v>
      </c>
      <c r="BA49" s="14" t="n">
        <v>0.015</v>
      </c>
      <c r="BB49" s="14" t="n">
        <v>1</v>
      </c>
      <c r="BC49" s="14" t="n">
        <v>0.534</v>
      </c>
      <c r="BD49" s="14" t="n">
        <v>0.132</v>
      </c>
      <c r="BE49" s="14" t="n">
        <v>0.001</v>
      </c>
      <c r="BF49" s="14" t="n">
        <v>0.542</v>
      </c>
      <c r="BG49" s="14" t="n">
        <v>0.015</v>
      </c>
      <c r="BH49" s="14" t="n">
        <v>1</v>
      </c>
      <c r="BI49" s="14" t="n">
        <v>0.5679999999999999</v>
      </c>
      <c r="BJ49" s="14" t="n">
        <v>0.132</v>
      </c>
      <c r="BK49" s="14" t="n">
        <v>0.525</v>
      </c>
      <c r="BL49" s="14" t="n">
        <v>1.109</v>
      </c>
      <c r="BM49" s="14" t="n">
        <v>0.015</v>
      </c>
      <c r="BN49" s="14" t="n">
        <v>1</v>
      </c>
      <c r="BO49" s="14" t="n">
        <v>0</v>
      </c>
      <c r="BP49" s="14" t="n">
        <v>0</v>
      </c>
      <c r="BQ49" s="14" t="n">
        <v>0.318</v>
      </c>
      <c r="BR49" s="14" t="n">
        <v>0</v>
      </c>
      <c r="BS49" s="14" t="n">
        <v>0.833</v>
      </c>
      <c r="BT49" s="14" t="n">
        <v>0</v>
      </c>
      <c r="BU49" s="14" t="n">
        <v>0</v>
      </c>
      <c r="BV49" s="14" t="n">
        <v>0.275</v>
      </c>
      <c r="BW49" s="14" t="n">
        <v>0.015</v>
      </c>
      <c r="BX49" s="14" t="n">
        <v>0.833</v>
      </c>
      <c r="BY49" s="14" t="n">
        <v>13.646</v>
      </c>
      <c r="BZ49" s="14" t="n">
        <v>0</v>
      </c>
      <c r="CA49" s="14" t="n">
        <v>13.646</v>
      </c>
      <c r="CB49" s="14" t="n">
        <v>0</v>
      </c>
      <c r="CC49" s="14" t="n">
        <v>82.58799999999999</v>
      </c>
      <c r="CD49" s="14" t="n">
        <v>7.95</v>
      </c>
      <c r="CE49" s="14" t="n">
        <v>0.169</v>
      </c>
      <c r="CF49" s="14" t="n">
        <v>83.827</v>
      </c>
      <c r="CG49" s="14" t="n">
        <v>0.015</v>
      </c>
      <c r="CH49" s="14" t="n">
        <v>1</v>
      </c>
      <c r="CI49" s="14" t="n">
        <v>0</v>
      </c>
      <c r="CJ49" s="14" t="n">
        <v>0</v>
      </c>
      <c r="CK49" s="14" t="n">
        <v>0</v>
      </c>
      <c r="CL49" s="14" t="n">
        <v>0</v>
      </c>
      <c r="CM49" s="14" t="n">
        <v>0</v>
      </c>
      <c r="CN49" s="14" t="n">
        <v>0</v>
      </c>
      <c r="CO49" s="14" t="n">
        <v>0</v>
      </c>
      <c r="CP49" s="14" t="n">
        <v>0</v>
      </c>
      <c r="CQ49" s="14" t="n">
        <v>1.387</v>
      </c>
      <c r="CR49" s="14" t="n">
        <v>0</v>
      </c>
      <c r="CS49" s="14" t="n">
        <v>5.529</v>
      </c>
      <c r="CT49" s="14" t="n">
        <v>4.251</v>
      </c>
      <c r="CU49" s="14" t="n">
        <v>10.123</v>
      </c>
    </row>
    <row r="50">
      <c r="A50" s="14" t="inlineStr">
        <is>
          <t>AUS2021</t>
        </is>
      </c>
      <c r="B50" s="14" t="inlineStr">
        <is>
          <t>AUS</t>
        </is>
      </c>
      <c r="C50" s="14" t="inlineStr">
        <is>
          <t>AUS</t>
        </is>
      </c>
      <c r="D50" s="14" t="inlineStr">
        <is>
          <t>Australia</t>
        </is>
      </c>
      <c r="E50" s="14" t="n">
        <v>2021</v>
      </c>
      <c r="F50" s="14" t="n">
        <v>0.1</v>
      </c>
      <c r="G50" s="14" t="n">
        <v>1.895</v>
      </c>
      <c r="H50" s="14" t="n">
        <v>0.576</v>
      </c>
      <c r="I50" s="14" t="n">
        <v>0</v>
      </c>
      <c r="J50" s="14" t="n">
        <v>1.895</v>
      </c>
      <c r="K50" s="14" t="n">
        <v>0</v>
      </c>
      <c r="L50" s="14" t="n">
        <v>1</v>
      </c>
      <c r="M50" s="14" t="n">
        <v>3.047</v>
      </c>
      <c r="N50" s="14" t="n">
        <v>1.728</v>
      </c>
      <c r="O50" s="14" t="n">
        <v>0</v>
      </c>
      <c r="P50" s="14" t="n">
        <v>3.047</v>
      </c>
      <c r="Q50" s="14" t="n">
        <v>0</v>
      </c>
      <c r="R50" s="14" t="n">
        <v>1</v>
      </c>
      <c r="S50" s="14" t="n">
        <v>4.774</v>
      </c>
      <c r="T50" s="14" t="n">
        <v>3.455</v>
      </c>
      <c r="U50" s="14" t="n">
        <v>0</v>
      </c>
      <c r="V50" s="14" t="n">
        <v>5.252</v>
      </c>
      <c r="W50" s="14" t="n">
        <v>0.1</v>
      </c>
      <c r="X50" s="14" t="n">
        <v>1</v>
      </c>
      <c r="Y50" s="14" t="n">
        <v>7.323</v>
      </c>
      <c r="Z50" s="14" t="n">
        <v>0.641</v>
      </c>
      <c r="AA50" s="14" t="n">
        <v>0</v>
      </c>
      <c r="AB50" s="14" t="n">
        <v>7.323</v>
      </c>
      <c r="AC50" s="14" t="n">
        <v>0</v>
      </c>
      <c r="AD50" s="14" t="n">
        <v>1</v>
      </c>
      <c r="AE50" s="14" t="n">
        <v>8.465999999999999</v>
      </c>
      <c r="AF50" s="14" t="n">
        <v>1.283</v>
      </c>
      <c r="AG50" s="14" t="n">
        <v>0</v>
      </c>
      <c r="AH50" s="14" t="n">
        <v>8.465999999999999</v>
      </c>
      <c r="AI50" s="14" t="n">
        <v>0</v>
      </c>
      <c r="AJ50" s="14" t="n">
        <v>1</v>
      </c>
      <c r="AK50" s="14" t="n">
        <v>15.326</v>
      </c>
      <c r="AL50" s="14" t="n">
        <v>5.132</v>
      </c>
      <c r="AM50" s="14" t="n">
        <v>-0.265</v>
      </c>
      <c r="AN50" s="14" t="n">
        <v>16.568</v>
      </c>
      <c r="AO50" s="14" t="n">
        <v>0.1</v>
      </c>
      <c r="AP50" s="14" t="n">
        <v>1</v>
      </c>
      <c r="AQ50" s="14" t="n">
        <v>0.621</v>
      </c>
      <c r="AR50" s="14" t="n">
        <v>0.114</v>
      </c>
      <c r="AS50" s="14" t="n">
        <v>0.396</v>
      </c>
      <c r="AT50" s="14" t="n">
        <v>1.119</v>
      </c>
      <c r="AU50" s="14" t="n">
        <v>0.1</v>
      </c>
      <c r="AV50" s="14" t="n">
        <v>1</v>
      </c>
      <c r="AW50" s="14" t="n">
        <v>0.593</v>
      </c>
      <c r="AX50" s="14" t="n">
        <v>0.114</v>
      </c>
      <c r="AY50" s="14" t="n">
        <v>0.382</v>
      </c>
      <c r="AZ50" s="14" t="n">
        <v>1.073</v>
      </c>
      <c r="BA50" s="14" t="n">
        <v>0.1</v>
      </c>
      <c r="BB50" s="14" t="n">
        <v>1</v>
      </c>
      <c r="BC50" s="14" t="n">
        <v>0.44</v>
      </c>
      <c r="BD50" s="14" t="n">
        <v>0.114</v>
      </c>
      <c r="BE50" s="14" t="n">
        <v>0.131</v>
      </c>
      <c r="BF50" s="14" t="n">
        <v>0.628</v>
      </c>
      <c r="BG50" s="14" t="n">
        <v>0.1</v>
      </c>
      <c r="BH50" s="14" t="n">
        <v>1</v>
      </c>
      <c r="BI50" s="14" t="n">
        <v>0.5600000000000001</v>
      </c>
      <c r="BJ50" s="14" t="n">
        <v>0.114</v>
      </c>
      <c r="BK50" s="14" t="n">
        <v>0.027</v>
      </c>
      <c r="BL50" s="14" t="n">
        <v>0.646</v>
      </c>
      <c r="BM50" s="14" t="n">
        <v>0.1</v>
      </c>
      <c r="BN50" s="14" t="n">
        <v>1</v>
      </c>
      <c r="BO50" s="14" t="n">
        <v>0</v>
      </c>
      <c r="BP50" s="14" t="n">
        <v>0</v>
      </c>
      <c r="BQ50" s="14" t="n">
        <v>0.163</v>
      </c>
      <c r="BR50" s="14" t="n">
        <v>0</v>
      </c>
      <c r="BS50" s="14" t="n">
        <v>1</v>
      </c>
      <c r="BT50" s="14" t="n">
        <v>0</v>
      </c>
      <c r="BU50" s="14" t="n">
        <v>0</v>
      </c>
      <c r="BV50" s="14" t="n">
        <v>0.236</v>
      </c>
      <c r="BW50" s="14" t="n">
        <v>0.1</v>
      </c>
      <c r="BX50" s="14" t="n">
        <v>1</v>
      </c>
      <c r="BY50" s="14" t="n">
        <v>11.787</v>
      </c>
      <c r="BZ50" s="14" t="n">
        <v>0</v>
      </c>
      <c r="CA50" s="14" t="n">
        <v>11.787</v>
      </c>
      <c r="CB50" s="14" t="n">
        <v>0</v>
      </c>
      <c r="CC50" s="14" t="n">
        <v>81.69499999999999</v>
      </c>
      <c r="CD50" s="14" t="n">
        <v>7.95</v>
      </c>
      <c r="CE50" s="14" t="n">
        <v>0</v>
      </c>
      <c r="CF50" s="14" t="n">
        <v>89.86499999999999</v>
      </c>
      <c r="CG50" s="14" t="n">
        <v>0.1</v>
      </c>
      <c r="CH50" s="14" t="n">
        <v>1</v>
      </c>
      <c r="CI50" s="14" t="n">
        <v>0</v>
      </c>
      <c r="CJ50" s="14" t="n">
        <v>0</v>
      </c>
      <c r="CK50" s="14" t="n">
        <v>0</v>
      </c>
      <c r="CL50" s="14" t="n">
        <v>0.001</v>
      </c>
      <c r="CM50" s="14" t="n">
        <v>0</v>
      </c>
      <c r="CN50" s="14" t="n">
        <v>0.021</v>
      </c>
      <c r="CO50" s="14" t="n">
        <v>2.211</v>
      </c>
      <c r="CP50" s="14" t="n">
        <v>0.993</v>
      </c>
      <c r="CQ50" s="14" t="n">
        <v>1.296</v>
      </c>
      <c r="CR50" s="14" t="n">
        <v>0</v>
      </c>
      <c r="CS50" s="14" t="n">
        <v>4.005</v>
      </c>
      <c r="CT50" s="14" t="n">
        <v>4.466</v>
      </c>
      <c r="CU50" s="14" t="n">
        <v>6.18</v>
      </c>
    </row>
    <row r="51">
      <c r="A51" s="14" t="inlineStr">
        <is>
          <t>AUS2022</t>
        </is>
      </c>
      <c r="B51" s="14" t="inlineStr">
        <is>
          <t>AUS</t>
        </is>
      </c>
      <c r="C51" s="14" t="inlineStr">
        <is>
          <t>AUS</t>
        </is>
      </c>
      <c r="D51" s="14" t="inlineStr">
        <is>
          <t>Australia</t>
        </is>
      </c>
      <c r="E51" s="14" t="n">
        <v>2022</v>
      </c>
      <c r="F51" s="14" t="n">
        <v>0.1</v>
      </c>
      <c r="G51" s="14" t="n">
        <v>2.107</v>
      </c>
      <c r="H51" s="14" t="n">
        <v>0.623</v>
      </c>
      <c r="I51" s="14" t="n">
        <v>0</v>
      </c>
      <c r="J51" s="14" t="n">
        <v>2.107</v>
      </c>
      <c r="K51" s="14" t="n">
        <v>0</v>
      </c>
      <c r="L51" s="14" t="n">
        <v>1</v>
      </c>
      <c r="M51" s="14" t="n">
        <v>3.354</v>
      </c>
      <c r="N51" s="14" t="n">
        <v>1.87</v>
      </c>
      <c r="O51" s="14" t="n">
        <v>0</v>
      </c>
      <c r="P51" s="14" t="n">
        <v>3.354</v>
      </c>
      <c r="Q51" s="14" t="n">
        <v>0</v>
      </c>
      <c r="R51" s="14" t="n">
        <v>1</v>
      </c>
      <c r="S51" s="14" t="n">
        <v>5.223</v>
      </c>
      <c r="T51" s="14" t="n">
        <v>3.74</v>
      </c>
      <c r="U51" s="14" t="n">
        <v>0.039</v>
      </c>
      <c r="V51" s="14" t="n">
        <v>5.746</v>
      </c>
      <c r="W51" s="14" t="n">
        <v>0.1</v>
      </c>
      <c r="X51" s="14" t="n">
        <v>1</v>
      </c>
      <c r="Y51" s="14" t="n">
        <v>12.903</v>
      </c>
      <c r="Z51" s="14" t="n">
        <v>0.676</v>
      </c>
      <c r="AA51" s="14" t="n">
        <v>0</v>
      </c>
      <c r="AB51" s="14" t="n">
        <v>12.903</v>
      </c>
      <c r="AC51" s="14" t="n">
        <v>0</v>
      </c>
      <c r="AD51" s="14" t="n">
        <v>1</v>
      </c>
      <c r="AE51" s="14" t="n">
        <v>14.138</v>
      </c>
      <c r="AF51" s="14" t="n">
        <v>1.352</v>
      </c>
      <c r="AG51" s="14" t="n">
        <v>0</v>
      </c>
      <c r="AH51" s="14" t="n">
        <v>14.138</v>
      </c>
      <c r="AI51" s="14" t="n">
        <v>0</v>
      </c>
      <c r="AJ51" s="14" t="n">
        <v>1</v>
      </c>
      <c r="AK51" s="14" t="n">
        <v>21.546</v>
      </c>
      <c r="AL51" s="14" t="n">
        <v>5.408</v>
      </c>
      <c r="AM51" s="14" t="n">
        <v>0.026</v>
      </c>
      <c r="AN51" s="14" t="n">
        <v>23.555</v>
      </c>
      <c r="AO51" s="14" t="n">
        <v>0.1</v>
      </c>
      <c r="AP51" s="14" t="n">
        <v>1</v>
      </c>
      <c r="AQ51" s="14" t="n">
        <v>0.847</v>
      </c>
      <c r="AR51" s="14" t="n">
        <v>0.123</v>
      </c>
      <c r="AS51" s="14" t="n">
        <v>0.304</v>
      </c>
      <c r="AT51" s="14" t="n">
        <v>1.266</v>
      </c>
      <c r="AU51" s="14" t="n">
        <v>0.1</v>
      </c>
      <c r="AV51" s="14" t="n">
        <v>1</v>
      </c>
      <c r="AW51" s="14" t="n">
        <v>0.947</v>
      </c>
      <c r="AX51" s="14" t="n">
        <v>0.123</v>
      </c>
      <c r="AY51" s="14" t="n">
        <v>0.343</v>
      </c>
      <c r="AZ51" s="14" t="n">
        <v>1.419</v>
      </c>
      <c r="BA51" s="14" t="n">
        <v>0.1</v>
      </c>
      <c r="BB51" s="14" t="n">
        <v>1</v>
      </c>
      <c r="BC51" s="14" t="n">
        <v>0.589</v>
      </c>
      <c r="BD51" s="14" t="n">
        <v>0.123</v>
      </c>
      <c r="BE51" s="14" t="n">
        <v>0.031</v>
      </c>
      <c r="BF51" s="14" t="n">
        <v>0.681</v>
      </c>
      <c r="BG51" s="14" t="n">
        <v>0.1</v>
      </c>
      <c r="BH51" s="14" t="n">
        <v>1</v>
      </c>
      <c r="BI51" s="14" t="n">
        <v>0.6889999999999999</v>
      </c>
      <c r="BJ51" s="14" t="n">
        <v>0.123</v>
      </c>
      <c r="BK51" s="14" t="n">
        <v>0.031</v>
      </c>
      <c r="BL51" s="14" t="n">
        <v>0.786</v>
      </c>
      <c r="BM51" s="14" t="n">
        <v>0.1</v>
      </c>
      <c r="BN51" s="14" t="n">
        <v>1</v>
      </c>
      <c r="BO51" s="14" t="n">
        <v>0</v>
      </c>
      <c r="BP51" s="14" t="n">
        <v>0</v>
      </c>
      <c r="BQ51" s="14" t="n">
        <v>0.27</v>
      </c>
      <c r="BR51" s="14" t="n">
        <v>0</v>
      </c>
      <c r="BS51" s="14" t="n">
        <v>1</v>
      </c>
      <c r="BT51" s="14" t="n">
        <v>0</v>
      </c>
      <c r="BU51" s="14" t="n">
        <v>0</v>
      </c>
      <c r="BV51" s="14" t="n">
        <v>0.233</v>
      </c>
      <c r="BW51" s="14" t="n">
        <v>0.1</v>
      </c>
      <c r="BX51" s="14" t="n">
        <v>1</v>
      </c>
      <c r="BY51" s="14" t="n">
        <v>12.729</v>
      </c>
      <c r="BZ51" s="14" t="n">
        <v>0</v>
      </c>
      <c r="CA51" s="14" t="n">
        <v>12.729</v>
      </c>
      <c r="CB51" s="14" t="n">
        <v>0</v>
      </c>
      <c r="CC51" s="14" t="n">
        <v>102.477</v>
      </c>
      <c r="CD51" s="14" t="n">
        <v>7.95</v>
      </c>
      <c r="CE51" s="14" t="n">
        <v>0.758</v>
      </c>
      <c r="CF51" s="14" t="n">
        <v>112.724</v>
      </c>
      <c r="CG51" s="14" t="n">
        <v>0.1</v>
      </c>
      <c r="CH51" s="14" t="n">
        <v>1</v>
      </c>
      <c r="CI51" s="14" t="n">
        <v>0</v>
      </c>
      <c r="CJ51" s="14" t="n">
        <v>0</v>
      </c>
      <c r="CK51" s="14" t="n">
        <v>0</v>
      </c>
      <c r="CL51" s="14" t="n">
        <v>0.001</v>
      </c>
      <c r="CM51" s="14" t="n">
        <v>0</v>
      </c>
      <c r="CN51" s="14" t="n">
        <v>0.023</v>
      </c>
      <c r="CO51" s="14" t="n">
        <v>2.308</v>
      </c>
      <c r="CP51" s="14" t="n">
        <v>0.99</v>
      </c>
      <c r="CQ51" s="14" t="n">
        <v>1.399</v>
      </c>
      <c r="CR51" s="14" t="n">
        <v>0</v>
      </c>
      <c r="CS51" s="14" t="n">
        <v>4.325</v>
      </c>
      <c r="CT51" s="14" t="n">
        <v>10.204</v>
      </c>
      <c r="CU51" s="14" t="n">
        <v>11.669</v>
      </c>
    </row>
    <row r="52">
      <c r="A52" s="14" t="inlineStr">
        <is>
          <t>AUS2023</t>
        </is>
      </c>
      <c r="B52" s="14" t="inlineStr">
        <is>
          <t>AUS</t>
        </is>
      </c>
      <c r="C52" s="14" t="inlineStr">
        <is>
          <t>AUS</t>
        </is>
      </c>
      <c r="D52" s="14" t="inlineStr">
        <is>
          <t>Australia</t>
        </is>
      </c>
      <c r="E52" s="14" t="n">
        <v>2023</v>
      </c>
      <c r="F52" s="14" t="n">
        <v>0.1</v>
      </c>
      <c r="G52" s="14" t="n">
        <v>2.147</v>
      </c>
      <c r="H52" s="14" t="n">
        <v>0.649</v>
      </c>
      <c r="I52" s="14" t="n">
        <v>0</v>
      </c>
      <c r="J52" s="14" t="n">
        <v>2.147</v>
      </c>
      <c r="K52" s="14" t="n">
        <v>0</v>
      </c>
      <c r="L52" s="14" t="n">
        <v>1</v>
      </c>
      <c r="M52" s="14" t="n">
        <v>3.45</v>
      </c>
      <c r="N52" s="14" t="n">
        <v>1.948</v>
      </c>
      <c r="O52" s="14" t="n">
        <v>0</v>
      </c>
      <c r="P52" s="14" t="n">
        <v>3.45</v>
      </c>
      <c r="Q52" s="14" t="n">
        <v>0</v>
      </c>
      <c r="R52" s="14" t="n">
        <v>1</v>
      </c>
      <c r="S52" s="14" t="n">
        <v>5.394</v>
      </c>
      <c r="T52" s="14" t="n">
        <v>3.896</v>
      </c>
      <c r="U52" s="14" t="n">
        <v>0.06</v>
      </c>
      <c r="V52" s="14" t="n">
        <v>5.934</v>
      </c>
      <c r="W52" s="14" t="n">
        <v>0.1</v>
      </c>
      <c r="X52" s="14" t="n">
        <v>1</v>
      </c>
      <c r="Y52" s="14" t="n">
        <v>8.851000000000001</v>
      </c>
      <c r="Z52" s="14" t="n">
        <v>0.661</v>
      </c>
      <c r="AA52" s="14" t="n">
        <v>0</v>
      </c>
      <c r="AB52" s="14" t="n">
        <v>8.851000000000001</v>
      </c>
      <c r="AC52" s="14" t="n">
        <v>0</v>
      </c>
      <c r="AD52" s="14" t="n">
        <v>1</v>
      </c>
      <c r="AE52" s="14" t="n">
        <v>10.136</v>
      </c>
      <c r="AF52" s="14" t="n">
        <v>1.322</v>
      </c>
      <c r="AG52" s="14" t="n">
        <v>0</v>
      </c>
      <c r="AH52" s="14" t="n">
        <v>10.136</v>
      </c>
      <c r="AI52" s="14" t="n">
        <v>0</v>
      </c>
      <c r="AJ52" s="14" t="n">
        <v>1</v>
      </c>
      <c r="AK52" s="14" t="n">
        <v>17.85</v>
      </c>
      <c r="AL52" s="14" t="n">
        <v>5.289</v>
      </c>
      <c r="AM52" s="14" t="n">
        <v>0.198</v>
      </c>
      <c r="AN52" s="14" t="n">
        <v>19.635</v>
      </c>
      <c r="AO52" s="14" t="n">
        <v>0.1</v>
      </c>
      <c r="AP52" s="14" t="n">
        <v>1</v>
      </c>
      <c r="AQ52" s="14" t="n">
        <v>0.749</v>
      </c>
      <c r="AR52" s="14" t="n">
        <v>0.129</v>
      </c>
      <c r="AS52" s="14" t="n">
        <v>0.365</v>
      </c>
      <c r="AT52" s="14" t="n">
        <v>1.225</v>
      </c>
      <c r="AU52" s="14" t="n">
        <v>0.1</v>
      </c>
      <c r="AV52" s="14" t="n">
        <v>1</v>
      </c>
      <c r="AW52" s="14" t="n">
        <v>0.783</v>
      </c>
      <c r="AX52" s="14" t="n">
        <v>0.129</v>
      </c>
      <c r="AY52" s="14" t="n">
        <v>0.4</v>
      </c>
      <c r="AZ52" s="14" t="n">
        <v>1.301</v>
      </c>
      <c r="BA52" s="14" t="n">
        <v>0.1</v>
      </c>
      <c r="BB52" s="14" t="n">
        <v>1</v>
      </c>
      <c r="BC52" s="14" t="n">
        <v>0.527</v>
      </c>
      <c r="BD52" s="14" t="n">
        <v>0.129</v>
      </c>
      <c r="BE52" s="14" t="n">
        <v>0.058</v>
      </c>
      <c r="BF52" s="14" t="n">
        <v>0.644</v>
      </c>
      <c r="BG52" s="14" t="n">
        <v>0.1</v>
      </c>
      <c r="BH52" s="14" t="n">
        <v>1</v>
      </c>
      <c r="BI52" s="14" t="n">
        <v>0.64</v>
      </c>
      <c r="BJ52" s="14" t="n">
        <v>0.129</v>
      </c>
      <c r="BK52" s="14" t="n">
        <v>0.031</v>
      </c>
      <c r="BL52" s="14" t="n">
        <v>0.73</v>
      </c>
      <c r="BM52" s="14" t="n">
        <v>0.1</v>
      </c>
      <c r="BN52" s="14" t="n">
        <v>1</v>
      </c>
      <c r="BO52" s="14" t="n">
        <v>0</v>
      </c>
      <c r="BP52" s="14" t="n">
        <v>0</v>
      </c>
      <c r="BQ52" s="14" t="n">
        <v>0.228</v>
      </c>
      <c r="BR52" s="14" t="n">
        <v>0</v>
      </c>
      <c r="BS52" s="14" t="n">
        <v>1</v>
      </c>
      <c r="BT52" s="14" t="n">
        <v>0</v>
      </c>
      <c r="BU52" s="14" t="n">
        <v>0</v>
      </c>
      <c r="BV52" s="14" t="n">
        <v>0.255</v>
      </c>
      <c r="BW52" s="14" t="n">
        <v>0.1</v>
      </c>
      <c r="BX52" s="14" t="n">
        <v>1</v>
      </c>
      <c r="BY52" s="14" t="n">
        <v>13.254</v>
      </c>
      <c r="BZ52" s="14" t="n">
        <v>0</v>
      </c>
      <c r="CA52" s="14" t="n">
        <v>13.254</v>
      </c>
      <c r="CB52" s="14" t="n">
        <v>0</v>
      </c>
      <c r="CC52" s="14" t="n">
        <v>87.07899999999999</v>
      </c>
      <c r="CD52" s="14" t="n">
        <v>7.95</v>
      </c>
      <c r="CE52" s="14" t="n">
        <v>0.964</v>
      </c>
      <c r="CF52" s="14" t="n">
        <v>95.78700000000001</v>
      </c>
      <c r="CG52" s="14" t="n">
        <v>0.1</v>
      </c>
      <c r="CH52" s="14" t="n">
        <v>1</v>
      </c>
      <c r="CI52" s="14" t="n">
        <v>0</v>
      </c>
      <c r="CJ52" s="14" t="n">
        <v>0</v>
      </c>
      <c r="CK52" s="14" t="n">
        <v>0</v>
      </c>
      <c r="CL52" s="14" t="n">
        <v>0.001</v>
      </c>
      <c r="CM52" s="14" t="n">
        <v>0</v>
      </c>
      <c r="CN52" s="14" t="n">
        <v>0.024</v>
      </c>
      <c r="CO52" s="14" t="n">
        <v>2.168</v>
      </c>
      <c r="CP52" s="14" t="n">
        <v>0.99</v>
      </c>
      <c r="CQ52" s="14" t="n">
        <v>1.457</v>
      </c>
      <c r="CR52" s="14" t="n">
        <v>0</v>
      </c>
      <c r="CS52" s="14" t="n">
        <v>4.504</v>
      </c>
      <c r="CT52" s="14" t="n">
        <v>5.487</v>
      </c>
      <c r="CU52" s="14" t="n">
        <v>7.565</v>
      </c>
    </row>
    <row r="53">
      <c r="A53" s="14" t="inlineStr">
        <is>
          <t>AUS2024</t>
        </is>
      </c>
      <c r="B53" s="14" t="inlineStr">
        <is>
          <t>AUS</t>
        </is>
      </c>
      <c r="C53" s="14" t="inlineStr">
        <is>
          <t>AUS</t>
        </is>
      </c>
      <c r="D53" s="14" t="inlineStr">
        <is>
          <t>Australia</t>
        </is>
      </c>
      <c r="E53" s="14" t="n">
        <v>2024</v>
      </c>
      <c r="F53" s="14" t="n">
        <v>0.1</v>
      </c>
      <c r="G53" s="14" t="n">
        <v>2.199</v>
      </c>
      <c r="H53" s="14" t="n">
        <v>0.669</v>
      </c>
      <c r="I53" s="14" t="n">
        <v>2.262</v>
      </c>
      <c r="J53" s="14" t="n">
        <v>4.461</v>
      </c>
      <c r="K53" s="14" t="n">
        <v>0</v>
      </c>
      <c r="L53" s="14" t="n">
        <v>1</v>
      </c>
      <c r="M53" s="14" t="n">
        <v>3.54</v>
      </c>
      <c r="N53" s="14" t="n">
        <v>2.006</v>
      </c>
      <c r="O53" s="14" t="n">
        <v>2.237</v>
      </c>
      <c r="P53" s="14" t="n">
        <v>5.777</v>
      </c>
      <c r="Q53" s="14" t="n">
        <v>0</v>
      </c>
      <c r="R53" s="14" t="n">
        <v>1</v>
      </c>
      <c r="S53" s="14" t="n">
        <v>5.542</v>
      </c>
      <c r="T53" s="14" t="n">
        <v>4.011</v>
      </c>
      <c r="U53" s="14" t="n">
        <v>0.075</v>
      </c>
      <c r="V53" s="14" t="n">
        <v>6.096</v>
      </c>
      <c r="W53" s="14" t="n">
        <v>0.1</v>
      </c>
      <c r="X53" s="14" t="n">
        <v>1</v>
      </c>
      <c r="Y53" s="14" t="n">
        <v>8.603999999999999</v>
      </c>
      <c r="Z53" s="14" t="n">
        <v>0.681</v>
      </c>
      <c r="AA53" s="14" t="n">
        <v>1.31</v>
      </c>
      <c r="AB53" s="14" t="n">
        <v>9.914</v>
      </c>
      <c r="AC53" s="14" t="n">
        <v>0</v>
      </c>
      <c r="AD53" s="14" t="n">
        <v>1</v>
      </c>
      <c r="AE53" s="14" t="n">
        <v>9.928000000000001</v>
      </c>
      <c r="AF53" s="14" t="n">
        <v>1.361</v>
      </c>
      <c r="AG53" s="14" t="n">
        <v>1.31</v>
      </c>
      <c r="AH53" s="14" t="n">
        <v>11.238</v>
      </c>
      <c r="AI53" s="14" t="n">
        <v>0</v>
      </c>
      <c r="AJ53" s="14" t="n">
        <v>1</v>
      </c>
      <c r="AK53" s="14" t="n">
        <v>17.87</v>
      </c>
      <c r="AL53" s="14" t="n">
        <v>5.445</v>
      </c>
      <c r="AM53" s="14" t="n">
        <v>0.286</v>
      </c>
      <c r="AN53" s="14" t="n">
        <v>19.703</v>
      </c>
      <c r="AO53" s="14" t="n">
        <v>0.1</v>
      </c>
      <c r="AP53" s="14" t="n">
        <v>1</v>
      </c>
      <c r="AQ53" s="14" t="n">
        <v>0.72</v>
      </c>
      <c r="AR53" s="14" t="n">
        <v>0.132</v>
      </c>
      <c r="AS53" s="14" t="n">
        <v>0.365</v>
      </c>
      <c r="AT53" s="14" t="n">
        <v>1.194</v>
      </c>
      <c r="AU53" s="14" t="n">
        <v>0.1</v>
      </c>
      <c r="AV53" s="14" t="n">
        <v>1</v>
      </c>
      <c r="AW53" s="14" t="n">
        <v>0.734</v>
      </c>
      <c r="AX53" s="14" t="n">
        <v>0.132</v>
      </c>
      <c r="AY53" s="14" t="n">
        <v>0.368</v>
      </c>
      <c r="AZ53" s="14" t="n">
        <v>1.211</v>
      </c>
      <c r="BA53" s="14" t="n">
        <v>0.1</v>
      </c>
      <c r="BB53" s="14" t="n">
        <v>1</v>
      </c>
      <c r="BC53" s="14" t="n">
        <v>0.51</v>
      </c>
      <c r="BD53" s="14" t="n">
        <v>0.132</v>
      </c>
      <c r="BE53" s="14" t="n">
        <v>0.054</v>
      </c>
      <c r="BF53" s="14" t="n">
        <v>0.621</v>
      </c>
      <c r="BG53" s="14" t="n">
        <v>0.1</v>
      </c>
      <c r="BH53" s="14" t="n">
        <v>1</v>
      </c>
      <c r="BI53" s="14" t="n">
        <v>0.652</v>
      </c>
      <c r="BJ53" s="14" t="n">
        <v>0.132</v>
      </c>
      <c r="BK53" s="14" t="n">
        <v>0.092</v>
      </c>
      <c r="BL53" s="14" t="n">
        <v>0.8080000000000001</v>
      </c>
      <c r="BM53" s="14" t="n">
        <v>0.1</v>
      </c>
      <c r="BN53" s="14" t="n">
        <v>1</v>
      </c>
      <c r="BO53" s="14" t="n">
        <v>0</v>
      </c>
      <c r="BP53" s="14" t="n">
        <v>0</v>
      </c>
      <c r="BQ53" s="14" t="n">
        <v>0.235</v>
      </c>
      <c r="BR53" s="14" t="n">
        <v>0</v>
      </c>
      <c r="BS53" s="14" t="n">
        <v>1</v>
      </c>
      <c r="BT53" s="14" t="n">
        <v>0</v>
      </c>
      <c r="BU53" s="14" t="n">
        <v>0</v>
      </c>
      <c r="BV53" s="14" t="n">
        <v>0.257</v>
      </c>
      <c r="BW53" s="14" t="n">
        <v>0.1</v>
      </c>
      <c r="BX53" s="14" t="n">
        <v>1</v>
      </c>
      <c r="BY53" s="14" t="n">
        <v>13.646</v>
      </c>
      <c r="BZ53" s="14" t="n">
        <v>0</v>
      </c>
      <c r="CA53" s="14" t="n">
        <v>13.646</v>
      </c>
      <c r="CB53" s="14" t="n">
        <v>0</v>
      </c>
      <c r="CC53" s="14" t="n">
        <v>86.38500000000001</v>
      </c>
      <c r="CD53" s="14" t="n">
        <v>7.95</v>
      </c>
      <c r="CE53" s="14" t="n">
        <v>12.349</v>
      </c>
      <c r="CF53" s="14" t="n">
        <v>107.149</v>
      </c>
      <c r="CG53" s="14" t="n">
        <v>0.1</v>
      </c>
      <c r="CH53" s="14" t="n">
        <v>1</v>
      </c>
      <c r="CI53" s="14" t="n">
        <v>0</v>
      </c>
      <c r="CJ53" s="14" t="n">
        <v>0</v>
      </c>
      <c r="CK53" s="14" t="n">
        <v>0</v>
      </c>
      <c r="CL53" s="14" t="n">
        <v>0.001</v>
      </c>
      <c r="CM53" s="14" t="n">
        <v>0</v>
      </c>
      <c r="CN53" s="14" t="n">
        <v>0.025</v>
      </c>
      <c r="CO53" s="14" t="n">
        <v>2.037</v>
      </c>
      <c r="CP53" s="14" t="n">
        <v>0.99</v>
      </c>
      <c r="CQ53" s="14" t="n">
        <v>1.5</v>
      </c>
      <c r="CR53" s="14" t="n">
        <v>0</v>
      </c>
      <c r="CS53" s="14" t="n">
        <v>4.637</v>
      </c>
      <c r="CT53" s="14" t="n">
        <v>4.509</v>
      </c>
      <c r="CU53" s="14" t="n">
        <v>7.281</v>
      </c>
    </row>
    <row r="54">
      <c r="A54" s="14" t="inlineStr">
        <is>
          <t>AUT2021</t>
        </is>
      </c>
      <c r="B54" s="14" t="inlineStr">
        <is>
          <t>AUT</t>
        </is>
      </c>
      <c r="C54" s="14" t="inlineStr">
        <is>
          <t>AUT</t>
        </is>
      </c>
      <c r="D54" s="14" t="inlineStr">
        <is>
          <t>Austria</t>
        </is>
      </c>
      <c r="E54" s="14" t="n">
        <v>2021</v>
      </c>
      <c r="F54" s="14" t="n">
        <v>0.2</v>
      </c>
      <c r="G54" s="14" t="n">
        <v>5.326</v>
      </c>
      <c r="H54" s="14" t="n">
        <v>1.165</v>
      </c>
      <c r="I54" s="14" t="n">
        <v>1.894</v>
      </c>
      <c r="J54" s="14" t="n">
        <v>7.22</v>
      </c>
      <c r="K54" s="14" t="n">
        <v>0</v>
      </c>
      <c r="L54" s="14" t="n">
        <v>1</v>
      </c>
      <c r="M54" s="14" t="n">
        <v>7.305</v>
      </c>
      <c r="N54" s="14" t="n">
        <v>3.311</v>
      </c>
      <c r="O54" s="14" t="n">
        <v>2.459</v>
      </c>
      <c r="P54" s="14" t="n">
        <v>9.765000000000001</v>
      </c>
      <c r="Q54" s="14" t="n">
        <v>0</v>
      </c>
      <c r="R54" s="14" t="n">
        <v>1</v>
      </c>
      <c r="S54" s="14" t="n">
        <v>11.27</v>
      </c>
      <c r="T54" s="14" t="n">
        <v>6.86</v>
      </c>
      <c r="U54" s="14" t="n">
        <v>2.566</v>
      </c>
      <c r="V54" s="14" t="n">
        <v>16.603</v>
      </c>
      <c r="W54" s="14" t="n">
        <v>0.2</v>
      </c>
      <c r="X54" s="14" t="n">
        <v>1</v>
      </c>
      <c r="Y54" s="14" t="n">
        <v>19.207</v>
      </c>
      <c r="Z54" s="14" t="n">
        <v>2.122</v>
      </c>
      <c r="AA54" s="14" t="n">
        <v>-5.131</v>
      </c>
      <c r="AB54" s="14" t="n">
        <v>14.076</v>
      </c>
      <c r="AC54" s="14" t="n">
        <v>0</v>
      </c>
      <c r="AD54" s="14" t="n">
        <v>1</v>
      </c>
      <c r="AE54" s="14" t="n">
        <v>19.163</v>
      </c>
      <c r="AF54" s="14" t="n">
        <v>3.771</v>
      </c>
      <c r="AG54" s="14" t="n">
        <v>-5.087</v>
      </c>
      <c r="AH54" s="14" t="n">
        <v>14.076</v>
      </c>
      <c r="AI54" s="14" t="n">
        <v>0</v>
      </c>
      <c r="AJ54" s="14" t="n">
        <v>1</v>
      </c>
      <c r="AK54" s="14" t="n">
        <v>30.123</v>
      </c>
      <c r="AL54" s="14" t="n">
        <v>14.784</v>
      </c>
      <c r="AM54" s="14" t="n">
        <v>-11.904</v>
      </c>
      <c r="AN54" s="14" t="n">
        <v>21.862</v>
      </c>
      <c r="AO54" s="14" t="n">
        <v>0.2</v>
      </c>
      <c r="AP54" s="14" t="n">
        <v>1</v>
      </c>
      <c r="AQ54" s="14" t="n">
        <v>0.619</v>
      </c>
      <c r="AR54" s="14" t="n">
        <v>0.114</v>
      </c>
      <c r="AS54" s="14" t="n">
        <v>0.646</v>
      </c>
      <c r="AT54" s="14" t="n">
        <v>1.518</v>
      </c>
      <c r="AU54" s="14" t="n">
        <v>0.2</v>
      </c>
      <c r="AV54" s="14" t="n">
        <v>1</v>
      </c>
      <c r="AW54" s="14" t="n">
        <v>0.599</v>
      </c>
      <c r="AX54" s="14" t="n">
        <v>0.114</v>
      </c>
      <c r="AY54" s="14" t="n">
        <v>0.62</v>
      </c>
      <c r="AZ54" s="14" t="n">
        <v>1.463</v>
      </c>
      <c r="BA54" s="14" t="n">
        <v>0.2</v>
      </c>
      <c r="BB54" s="14" t="n">
        <v>1</v>
      </c>
      <c r="BC54" s="14" t="n">
        <v>0.439</v>
      </c>
      <c r="BD54" s="14" t="n">
        <v>0.114</v>
      </c>
      <c r="BE54" s="14" t="n">
        <v>0.357</v>
      </c>
      <c r="BF54" s="14" t="n">
        <v>0.955</v>
      </c>
      <c r="BG54" s="14" t="n">
        <v>0.2</v>
      </c>
      <c r="BH54" s="14" t="n">
        <v>1</v>
      </c>
      <c r="BI54" s="14" t="n">
        <v>0.505</v>
      </c>
      <c r="BJ54" s="14" t="n">
        <v>0.114</v>
      </c>
      <c r="BK54" s="14" t="n">
        <v>0.235</v>
      </c>
      <c r="BL54" s="14" t="n">
        <v>0.887</v>
      </c>
      <c r="BM54" s="14" t="n">
        <v>0.2</v>
      </c>
      <c r="BN54" s="14" t="n">
        <v>1</v>
      </c>
      <c r="BO54" s="14" t="n">
        <v>0</v>
      </c>
      <c r="BP54" s="14" t="n">
        <v>0.029</v>
      </c>
      <c r="BQ54" s="14" t="n">
        <v>0.128</v>
      </c>
      <c r="BR54" s="14" t="n">
        <v>0</v>
      </c>
      <c r="BS54" s="14" t="n">
        <v>1</v>
      </c>
      <c r="BT54" s="14" t="n">
        <v>0</v>
      </c>
      <c r="BU54" s="14" t="n">
        <v>0.054</v>
      </c>
      <c r="BV54" s="14" t="n">
        <v>0.266</v>
      </c>
      <c r="BW54" s="14" t="n">
        <v>0.2</v>
      </c>
      <c r="BX54" s="14" t="n">
        <v>1</v>
      </c>
      <c r="BY54" s="14" t="n">
        <v>11.787</v>
      </c>
      <c r="BZ54" s="14" t="n">
        <v>0</v>
      </c>
      <c r="CA54" s="14" t="n">
        <v>11.787</v>
      </c>
      <c r="CB54" s="14" t="n">
        <v>0</v>
      </c>
      <c r="CC54" s="14" t="n">
        <v>78.125</v>
      </c>
      <c r="CD54" s="14" t="n">
        <v>7.95</v>
      </c>
      <c r="CE54" s="14" t="n">
        <v>47.305</v>
      </c>
      <c r="CF54" s="14" t="n">
        <v>150.516</v>
      </c>
      <c r="CG54" s="14" t="n">
        <v>0.2</v>
      </c>
      <c r="CH54" s="14" t="n">
        <v>1</v>
      </c>
      <c r="CI54" s="14" t="n">
        <v>0</v>
      </c>
      <c r="CJ54" s="14" t="n">
        <v>0</v>
      </c>
      <c r="CK54" s="14" t="n">
        <v>0</v>
      </c>
      <c r="CL54" s="14" t="n">
        <v>0</v>
      </c>
      <c r="CM54" s="14" t="n">
        <v>0</v>
      </c>
      <c r="CN54" s="14" t="n">
        <v>0.035</v>
      </c>
      <c r="CO54" s="14" t="n">
        <v>0</v>
      </c>
      <c r="CP54" s="14" t="n">
        <v>0</v>
      </c>
      <c r="CQ54" s="14" t="n">
        <v>1.198</v>
      </c>
      <c r="CR54" s="14" t="n">
        <v>0</v>
      </c>
      <c r="CS54" s="14" t="n">
        <v>5.154</v>
      </c>
      <c r="CT54" s="14" t="n">
        <v>4.41</v>
      </c>
      <c r="CU54" s="14" t="n">
        <v>14.942</v>
      </c>
    </row>
    <row r="55">
      <c r="A55" s="14" t="inlineStr">
        <is>
          <t>AUT2022</t>
        </is>
      </c>
      <c r="B55" s="14" t="inlineStr">
        <is>
          <t>AUT</t>
        </is>
      </c>
      <c r="C55" s="14" t="inlineStr">
        <is>
          <t>AUT</t>
        </is>
      </c>
      <c r="D55" s="14" t="inlineStr">
        <is>
          <t>Austria</t>
        </is>
      </c>
      <c r="E55" s="14" t="n">
        <v>2022</v>
      </c>
      <c r="F55" s="14" t="n">
        <v>0.2</v>
      </c>
      <c r="G55" s="14" t="n">
        <v>9.805999999999999</v>
      </c>
      <c r="H55" s="14" t="n">
        <v>1.523</v>
      </c>
      <c r="I55" s="14" t="n">
        <v>8.159000000000001</v>
      </c>
      <c r="J55" s="14" t="n">
        <v>17.965</v>
      </c>
      <c r="K55" s="14" t="n">
        <v>0</v>
      </c>
      <c r="L55" s="14" t="n">
        <v>1</v>
      </c>
      <c r="M55" s="14" t="n">
        <v>11.604</v>
      </c>
      <c r="N55" s="14" t="n">
        <v>4.792</v>
      </c>
      <c r="O55" s="14" t="n">
        <v>9.045</v>
      </c>
      <c r="P55" s="14" t="n">
        <v>20.649</v>
      </c>
      <c r="Q55" s="14" t="n">
        <v>0</v>
      </c>
      <c r="R55" s="14" t="n">
        <v>1</v>
      </c>
      <c r="S55" s="14" t="n">
        <v>13.25</v>
      </c>
      <c r="T55" s="14" t="n">
        <v>7.408</v>
      </c>
      <c r="U55" s="14" t="n">
        <v>2.688</v>
      </c>
      <c r="V55" s="14" t="n">
        <v>18.847</v>
      </c>
      <c r="W55" s="14" t="n">
        <v>0.2</v>
      </c>
      <c r="X55" s="14" t="n">
        <v>1</v>
      </c>
      <c r="Y55" s="14" t="n">
        <v>41.829</v>
      </c>
      <c r="Z55" s="14" t="n">
        <v>4.388</v>
      </c>
      <c r="AA55" s="14" t="n">
        <v>-15.291</v>
      </c>
      <c r="AB55" s="14" t="n">
        <v>26.538</v>
      </c>
      <c r="AC55" s="14" t="n">
        <v>0</v>
      </c>
      <c r="AD55" s="14" t="n">
        <v>1</v>
      </c>
      <c r="AE55" s="14" t="n">
        <v>41.877</v>
      </c>
      <c r="AF55" s="14" t="n">
        <v>7.763</v>
      </c>
      <c r="AG55" s="14" t="n">
        <v>-15.339</v>
      </c>
      <c r="AH55" s="14" t="n">
        <v>26.538</v>
      </c>
      <c r="AI55" s="14" t="n">
        <v>0</v>
      </c>
      <c r="AJ55" s="14" t="n">
        <v>1</v>
      </c>
      <c r="AK55" s="14" t="n">
        <v>53.385</v>
      </c>
      <c r="AL55" s="14" t="n">
        <v>25.493</v>
      </c>
      <c r="AM55" s="14" t="n">
        <v>-28.988</v>
      </c>
      <c r="AN55" s="14" t="n">
        <v>29.277</v>
      </c>
      <c r="AO55" s="14" t="n">
        <v>0.2</v>
      </c>
      <c r="AP55" s="14" t="n">
        <v>1</v>
      </c>
      <c r="AQ55" s="14" t="n">
        <v>0.861</v>
      </c>
      <c r="AR55" s="14" t="n">
        <v>0.123</v>
      </c>
      <c r="AS55" s="14" t="n">
        <v>0.655</v>
      </c>
      <c r="AT55" s="14" t="n">
        <v>1.819</v>
      </c>
      <c r="AU55" s="14" t="n">
        <v>0.2</v>
      </c>
      <c r="AV55" s="14" t="n">
        <v>1</v>
      </c>
      <c r="AW55" s="14" t="n">
        <v>0.986</v>
      </c>
      <c r="AX55" s="14" t="n">
        <v>0.123</v>
      </c>
      <c r="AY55" s="14" t="n">
        <v>0.611</v>
      </c>
      <c r="AZ55" s="14" t="n">
        <v>1.917</v>
      </c>
      <c r="BA55" s="14" t="n">
        <v>0.2</v>
      </c>
      <c r="BB55" s="14" t="n">
        <v>1</v>
      </c>
      <c r="BC55" s="14" t="n">
        <v>0.598</v>
      </c>
      <c r="BD55" s="14" t="n">
        <v>0.123</v>
      </c>
      <c r="BE55" s="14" t="n">
        <v>0.436</v>
      </c>
      <c r="BF55" s="14" t="n">
        <v>1.241</v>
      </c>
      <c r="BG55" s="14" t="n">
        <v>0.2</v>
      </c>
      <c r="BH55" s="14" t="n">
        <v>1</v>
      </c>
      <c r="BI55" s="14" t="n">
        <v>0.612</v>
      </c>
      <c r="BJ55" s="14" t="n">
        <v>0.123</v>
      </c>
      <c r="BK55" s="14" t="n">
        <v>0.633</v>
      </c>
      <c r="BL55" s="14" t="n">
        <v>1.494</v>
      </c>
      <c r="BM55" s="14" t="n">
        <v>0.2</v>
      </c>
      <c r="BN55" s="14" t="n">
        <v>1</v>
      </c>
      <c r="BO55" s="14" t="n">
        <v>0</v>
      </c>
      <c r="BP55" s="14" t="n">
        <v>0.01</v>
      </c>
      <c r="BQ55" s="14" t="n">
        <v>0.195</v>
      </c>
      <c r="BR55" s="14" t="n">
        <v>0</v>
      </c>
      <c r="BS55" s="14" t="n">
        <v>1</v>
      </c>
      <c r="BT55" s="14" t="n">
        <v>0</v>
      </c>
      <c r="BU55" s="14" t="n">
        <v>0.008999999999999999</v>
      </c>
      <c r="BV55" s="14" t="n">
        <v>0.243</v>
      </c>
      <c r="BW55" s="14" t="n">
        <v>0.2</v>
      </c>
      <c r="BX55" s="14" t="n">
        <v>1</v>
      </c>
      <c r="BY55" s="14" t="n">
        <v>12.729</v>
      </c>
      <c r="BZ55" s="14" t="n">
        <v>0</v>
      </c>
      <c r="CA55" s="14" t="n">
        <v>12.729</v>
      </c>
      <c r="CB55" s="14" t="n">
        <v>0</v>
      </c>
      <c r="CC55" s="14" t="n">
        <v>97.90000000000001</v>
      </c>
      <c r="CD55" s="14" t="n">
        <v>7.95</v>
      </c>
      <c r="CE55" s="14" t="n">
        <v>133.885</v>
      </c>
      <c r="CF55" s="14" t="n">
        <v>278.142</v>
      </c>
      <c r="CG55" s="14" t="n">
        <v>0.2</v>
      </c>
      <c r="CH55" s="14" t="n">
        <v>1</v>
      </c>
      <c r="CI55" s="14" t="n">
        <v>0</v>
      </c>
      <c r="CJ55" s="14" t="n">
        <v>0</v>
      </c>
      <c r="CK55" s="14" t="n">
        <v>0</v>
      </c>
      <c r="CL55" s="14" t="n">
        <v>0</v>
      </c>
      <c r="CM55" s="14" t="n">
        <v>0</v>
      </c>
      <c r="CN55" s="14" t="n">
        <v>0.039</v>
      </c>
      <c r="CO55" s="14" t="n">
        <v>0</v>
      </c>
      <c r="CP55" s="14" t="n">
        <v>0</v>
      </c>
      <c r="CQ55" s="14" t="n">
        <v>1.294</v>
      </c>
      <c r="CR55" s="14" t="n">
        <v>0</v>
      </c>
      <c r="CS55" s="14" t="n">
        <v>5.566</v>
      </c>
      <c r="CT55" s="14" t="n">
        <v>5.842</v>
      </c>
      <c r="CU55" s="14" t="n">
        <v>37.473</v>
      </c>
    </row>
    <row r="56">
      <c r="A56" s="14" t="inlineStr">
        <is>
          <t>AUT2023</t>
        </is>
      </c>
      <c r="B56" s="14" t="inlineStr">
        <is>
          <t>AUT</t>
        </is>
      </c>
      <c r="C56" s="14" t="inlineStr">
        <is>
          <t>AUT</t>
        </is>
      </c>
      <c r="D56" s="14" t="inlineStr">
        <is>
          <t>Austria</t>
        </is>
      </c>
      <c r="E56" s="14" t="n">
        <v>2023</v>
      </c>
      <c r="F56" s="14" t="n">
        <v>0.2</v>
      </c>
      <c r="G56" s="14" t="n">
        <v>12.441</v>
      </c>
      <c r="H56" s="14" t="n">
        <v>2.834</v>
      </c>
      <c r="I56" s="14" t="n">
        <v>9.456</v>
      </c>
      <c r="J56" s="14" t="n">
        <v>21.897</v>
      </c>
      <c r="K56" s="14" t="n">
        <v>0</v>
      </c>
      <c r="L56" s="14" t="n">
        <v>1</v>
      </c>
      <c r="M56" s="14" t="n">
        <v>10.478</v>
      </c>
      <c r="N56" s="14" t="n">
        <v>5.197</v>
      </c>
      <c r="O56" s="14" t="n">
        <v>10.392</v>
      </c>
      <c r="P56" s="14" t="n">
        <v>20.869</v>
      </c>
      <c r="Q56" s="14" t="n">
        <v>0</v>
      </c>
      <c r="R56" s="14" t="n">
        <v>1</v>
      </c>
      <c r="S56" s="14" t="n">
        <v>11.18</v>
      </c>
      <c r="T56" s="14" t="n">
        <v>7.714</v>
      </c>
      <c r="U56" s="14" t="n">
        <v>6.234</v>
      </c>
      <c r="V56" s="14" t="n">
        <v>20.444</v>
      </c>
      <c r="W56" s="14" t="n">
        <v>0.2</v>
      </c>
      <c r="X56" s="14" t="n">
        <v>1</v>
      </c>
      <c r="Y56" s="14" t="n">
        <v>17.014</v>
      </c>
      <c r="Z56" s="14" t="n">
        <v>1.906</v>
      </c>
      <c r="AA56" s="14" t="n">
        <v>9.558999999999999</v>
      </c>
      <c r="AB56" s="14" t="n">
        <v>26.573</v>
      </c>
      <c r="AC56" s="14" t="n">
        <v>0</v>
      </c>
      <c r="AD56" s="14" t="n">
        <v>1</v>
      </c>
      <c r="AE56" s="14" t="n">
        <v>17.113</v>
      </c>
      <c r="AF56" s="14" t="n">
        <v>3.408</v>
      </c>
      <c r="AG56" s="14" t="n">
        <v>9.460000000000001</v>
      </c>
      <c r="AH56" s="14" t="n">
        <v>26.573</v>
      </c>
      <c r="AI56" s="14" t="n">
        <v>0</v>
      </c>
      <c r="AJ56" s="14" t="n">
        <v>1</v>
      </c>
      <c r="AK56" s="14" t="n">
        <v>28.927</v>
      </c>
      <c r="AL56" s="14" t="n">
        <v>14.33</v>
      </c>
      <c r="AM56" s="14" t="n">
        <v>9.08</v>
      </c>
      <c r="AN56" s="14" t="n">
        <v>45.609</v>
      </c>
      <c r="AO56" s="14" t="n">
        <v>0.2</v>
      </c>
      <c r="AP56" s="14" t="n">
        <v>1</v>
      </c>
      <c r="AQ56" s="14" t="n">
        <v>0.76</v>
      </c>
      <c r="AR56" s="14" t="n">
        <v>0.129</v>
      </c>
      <c r="AS56" s="14" t="n">
        <v>0.677</v>
      </c>
      <c r="AT56" s="14" t="n">
        <v>1.725</v>
      </c>
      <c r="AU56" s="14" t="n">
        <v>0.2</v>
      </c>
      <c r="AV56" s="14" t="n">
        <v>1</v>
      </c>
      <c r="AW56" s="14" t="n">
        <v>0.8110000000000001</v>
      </c>
      <c r="AX56" s="14" t="n">
        <v>0.129</v>
      </c>
      <c r="AY56" s="14" t="n">
        <v>0.668</v>
      </c>
      <c r="AZ56" s="14" t="n">
        <v>1.776</v>
      </c>
      <c r="BA56" s="14" t="n">
        <v>0.2</v>
      </c>
      <c r="BB56" s="14" t="n">
        <v>1</v>
      </c>
      <c r="BC56" s="14" t="n">
        <v>0.535</v>
      </c>
      <c r="BD56" s="14" t="n">
        <v>0.129</v>
      </c>
      <c r="BE56" s="14" t="n">
        <v>0.505</v>
      </c>
      <c r="BF56" s="14" t="n">
        <v>1.248</v>
      </c>
      <c r="BG56" s="14" t="n">
        <v>0.2</v>
      </c>
      <c r="BH56" s="14" t="n">
        <v>1</v>
      </c>
      <c r="BI56" s="14" t="n">
        <v>0.579</v>
      </c>
      <c r="BJ56" s="14" t="n">
        <v>0.129</v>
      </c>
      <c r="BK56" s="14" t="n">
        <v>0.515</v>
      </c>
      <c r="BL56" s="14" t="n">
        <v>1.313</v>
      </c>
      <c r="BM56" s="14" t="n">
        <v>0.2</v>
      </c>
      <c r="BN56" s="14" t="n">
        <v>1</v>
      </c>
      <c r="BO56" s="14" t="n">
        <v>0</v>
      </c>
      <c r="BP56" s="14" t="n">
        <v>0.005</v>
      </c>
      <c r="BQ56" s="14" t="n">
        <v>0.238</v>
      </c>
      <c r="BR56" s="14" t="n">
        <v>0</v>
      </c>
      <c r="BS56" s="14" t="n">
        <v>1</v>
      </c>
      <c r="BT56" s="14" t="n">
        <v>0</v>
      </c>
      <c r="BU56" s="14" t="n">
        <v>-0.064</v>
      </c>
      <c r="BV56" s="14" t="n">
        <v>0.292</v>
      </c>
      <c r="BW56" s="14" t="n">
        <v>0.2</v>
      </c>
      <c r="BX56" s="14" t="n">
        <v>1</v>
      </c>
      <c r="BY56" s="14" t="n">
        <v>13.254</v>
      </c>
      <c r="BZ56" s="14" t="n">
        <v>0</v>
      </c>
      <c r="CA56" s="14" t="n">
        <v>13.254</v>
      </c>
      <c r="CB56" s="14" t="n">
        <v>0</v>
      </c>
      <c r="CC56" s="14" t="n">
        <v>83.248</v>
      </c>
      <c r="CD56" s="14" t="n">
        <v>7.95</v>
      </c>
      <c r="CE56" s="14" t="n">
        <v>129.924</v>
      </c>
      <c r="CF56" s="14" t="n">
        <v>255.807</v>
      </c>
      <c r="CG56" s="14" t="n">
        <v>0.2</v>
      </c>
      <c r="CH56" s="14" t="n">
        <v>1</v>
      </c>
      <c r="CI56" s="14" t="n">
        <v>0</v>
      </c>
      <c r="CJ56" s="14" t="n">
        <v>0</v>
      </c>
      <c r="CK56" s="14" t="n">
        <v>0</v>
      </c>
      <c r="CL56" s="14" t="n">
        <v>0</v>
      </c>
      <c r="CM56" s="14" t="n">
        <v>0</v>
      </c>
      <c r="CN56" s="14" t="n">
        <v>0.038</v>
      </c>
      <c r="CO56" s="14" t="n">
        <v>0</v>
      </c>
      <c r="CP56" s="14" t="n">
        <v>0</v>
      </c>
      <c r="CQ56" s="14" t="n">
        <v>1.348</v>
      </c>
      <c r="CR56" s="14" t="n">
        <v>0</v>
      </c>
      <c r="CS56" s="14" t="n">
        <v>5.796</v>
      </c>
      <c r="CT56" s="14" t="n">
        <v>3.466</v>
      </c>
      <c r="CU56" s="14" t="n">
        <v>12.608</v>
      </c>
    </row>
    <row r="57">
      <c r="A57" s="14" t="inlineStr">
        <is>
          <t>AUT2024</t>
        </is>
      </c>
      <c r="B57" s="14" t="inlineStr">
        <is>
          <t>AUT</t>
        </is>
      </c>
      <c r="C57" s="14" t="inlineStr">
        <is>
          <t>AUT</t>
        </is>
      </c>
      <c r="D57" s="14" t="inlineStr">
        <is>
          <t>Austria</t>
        </is>
      </c>
      <c r="E57" s="14" t="n">
        <v>2024</v>
      </c>
      <c r="F57" s="14" t="n">
        <v>0.2</v>
      </c>
      <c r="G57" s="14" t="n">
        <v>12.129</v>
      </c>
      <c r="H57" s="14" t="n">
        <v>3.073</v>
      </c>
      <c r="I57" s="14" t="n">
        <v>6.197</v>
      </c>
      <c r="J57" s="14" t="n">
        <v>18.327</v>
      </c>
      <c r="K57" s="14" t="n">
        <v>0</v>
      </c>
      <c r="L57" s="14" t="n">
        <v>1</v>
      </c>
      <c r="M57" s="14" t="n">
        <v>19.923</v>
      </c>
      <c r="N57" s="14" t="n">
        <v>10.853</v>
      </c>
      <c r="O57" s="14" t="n">
        <v>6.956</v>
      </c>
      <c r="P57" s="14" t="n">
        <v>26.879</v>
      </c>
      <c r="Q57" s="14" t="n">
        <v>0</v>
      </c>
      <c r="R57" s="14" t="n">
        <v>1</v>
      </c>
      <c r="S57" s="14" t="n">
        <v>10.969</v>
      </c>
      <c r="T57" s="14" t="n">
        <v>7.942</v>
      </c>
      <c r="U57" s="14" t="n">
        <v>7.79</v>
      </c>
      <c r="V57" s="14" t="n">
        <v>21.913</v>
      </c>
      <c r="W57" s="14" t="n">
        <v>0.2</v>
      </c>
      <c r="X57" s="14" t="n">
        <v>1</v>
      </c>
      <c r="Y57" s="14" t="n">
        <v>15.793</v>
      </c>
      <c r="Z57" s="14" t="n">
        <v>1.994</v>
      </c>
      <c r="AA57" s="14" t="n">
        <v>5.103</v>
      </c>
      <c r="AB57" s="14" t="n">
        <v>20.896</v>
      </c>
      <c r="AC57" s="14" t="n">
        <v>0</v>
      </c>
      <c r="AD57" s="14" t="n">
        <v>1</v>
      </c>
      <c r="AE57" s="14" t="n">
        <v>15.793</v>
      </c>
      <c r="AF57" s="14" t="n">
        <v>3.46</v>
      </c>
      <c r="AG57" s="14" t="n">
        <v>5.103</v>
      </c>
      <c r="AH57" s="14" t="n">
        <v>20.896</v>
      </c>
      <c r="AI57" s="14" t="n">
        <v>0</v>
      </c>
      <c r="AJ57" s="14" t="n">
        <v>1</v>
      </c>
      <c r="AK57" s="14" t="n">
        <v>29.728</v>
      </c>
      <c r="AL57" s="14" t="n">
        <v>15.12</v>
      </c>
      <c r="AM57" s="14" t="n">
        <v>3.051</v>
      </c>
      <c r="AN57" s="14" t="n">
        <v>39.334</v>
      </c>
      <c r="AO57" s="14" t="n">
        <v>0.2</v>
      </c>
      <c r="AP57" s="14" t="n">
        <v>1</v>
      </c>
      <c r="AQ57" s="14" t="n">
        <v>0.724</v>
      </c>
      <c r="AR57" s="14" t="n">
        <v>0.132</v>
      </c>
      <c r="AS57" s="14" t="n">
        <v>0.6899999999999999</v>
      </c>
      <c r="AT57" s="14" t="n">
        <v>1.697</v>
      </c>
      <c r="AU57" s="14" t="n">
        <v>0.2</v>
      </c>
      <c r="AV57" s="14" t="n">
        <v>1</v>
      </c>
      <c r="AW57" s="14" t="n">
        <v>0.75</v>
      </c>
      <c r="AX57" s="14" t="n">
        <v>0.132</v>
      </c>
      <c r="AY57" s="14" t="n">
        <v>0.6899999999999999</v>
      </c>
      <c r="AZ57" s="14" t="n">
        <v>1.729</v>
      </c>
      <c r="BA57" s="14" t="n">
        <v>0.2</v>
      </c>
      <c r="BB57" s="14" t="n">
        <v>1</v>
      </c>
      <c r="BC57" s="14" t="n">
        <v>0.513</v>
      </c>
      <c r="BD57" s="14" t="n">
        <v>0.132</v>
      </c>
      <c r="BE57" s="14" t="n">
        <v>0.332</v>
      </c>
      <c r="BF57" s="14" t="n">
        <v>1.015</v>
      </c>
      <c r="BG57" s="14" t="n">
        <v>0.2</v>
      </c>
      <c r="BH57" s="14" t="n">
        <v>1</v>
      </c>
      <c r="BI57" s="14" t="n">
        <v>0.591</v>
      </c>
      <c r="BJ57" s="14" t="n">
        <v>0.132</v>
      </c>
      <c r="BK57" s="14" t="n">
        <v>0.298</v>
      </c>
      <c r="BL57" s="14" t="n">
        <v>1.067</v>
      </c>
      <c r="BM57" s="14" t="n">
        <v>0.2</v>
      </c>
      <c r="BN57" s="14" t="n">
        <v>1</v>
      </c>
      <c r="BO57" s="14" t="n">
        <v>0</v>
      </c>
      <c r="BP57" s="14" t="n">
        <v>0.004</v>
      </c>
      <c r="BQ57" s="14" t="n">
        <v>0.167</v>
      </c>
      <c r="BR57" s="14" t="n">
        <v>0</v>
      </c>
      <c r="BS57" s="14" t="n">
        <v>1</v>
      </c>
      <c r="BT57" s="14" t="n">
        <v>0</v>
      </c>
      <c r="BU57" s="14" t="n">
        <v>-0.07099999999999999</v>
      </c>
      <c r="BV57" s="14" t="n">
        <v>0.28</v>
      </c>
      <c r="BW57" s="14" t="n">
        <v>0.2</v>
      </c>
      <c r="BX57" s="14" t="n">
        <v>1</v>
      </c>
      <c r="BY57" s="14" t="n">
        <v>13.646</v>
      </c>
      <c r="BZ57" s="14" t="n">
        <v>0</v>
      </c>
      <c r="CA57" s="14" t="n">
        <v>13.646</v>
      </c>
      <c r="CB57" s="14" t="n">
        <v>0</v>
      </c>
      <c r="CC57" s="14" t="n">
        <v>82.58799999999999</v>
      </c>
      <c r="CD57" s="14" t="n">
        <v>7.95</v>
      </c>
      <c r="CE57" s="14" t="n">
        <v>109.01</v>
      </c>
      <c r="CF57" s="14" t="n">
        <v>229.918</v>
      </c>
      <c r="CG57" s="14" t="n">
        <v>0.2</v>
      </c>
      <c r="CH57" s="14" t="n">
        <v>1</v>
      </c>
      <c r="CI57" s="14" t="n">
        <v>0</v>
      </c>
      <c r="CJ57" s="14" t="n">
        <v>0</v>
      </c>
      <c r="CK57" s="14" t="n">
        <v>0</v>
      </c>
      <c r="CL57" s="14" t="n">
        <v>0</v>
      </c>
      <c r="CM57" s="14" t="n">
        <v>0</v>
      </c>
      <c r="CN57" s="14" t="n">
        <v>0.038</v>
      </c>
      <c r="CO57" s="14" t="n">
        <v>0</v>
      </c>
      <c r="CP57" s="14" t="n">
        <v>0</v>
      </c>
      <c r="CQ57" s="14" t="n">
        <v>1.387</v>
      </c>
      <c r="CR57" s="14" t="n">
        <v>0</v>
      </c>
      <c r="CS57" s="14" t="n">
        <v>5.967</v>
      </c>
      <c r="CT57" s="14" t="n">
        <v>3.027</v>
      </c>
      <c r="CU57" s="14" t="n">
        <v>10.564</v>
      </c>
    </row>
    <row r="58">
      <c r="A58" s="14" t="inlineStr">
        <is>
          <t>AZE2021</t>
        </is>
      </c>
      <c r="B58" s="14" t="inlineStr">
        <is>
          <t>AZE</t>
        </is>
      </c>
      <c r="C58" s="14" t="inlineStr">
        <is>
          <t>AZE</t>
        </is>
      </c>
      <c r="D58" s="14" t="inlineStr">
        <is>
          <t>Azerbaijan</t>
        </is>
      </c>
      <c r="E58" s="14" t="n">
        <v>2021</v>
      </c>
      <c r="F58" s="14" t="n">
        <v>0.18</v>
      </c>
      <c r="G58" s="14" t="n">
        <v>5.553</v>
      </c>
      <c r="H58" s="14" t="n">
        <v>1.143</v>
      </c>
      <c r="I58" s="14" t="n">
        <v>0.028</v>
      </c>
      <c r="J58" s="14" t="n">
        <v>5.581</v>
      </c>
      <c r="K58" s="14" t="n">
        <v>0</v>
      </c>
      <c r="L58" s="14" t="n">
        <v>1</v>
      </c>
      <c r="M58" s="14" t="n">
        <v>7.964</v>
      </c>
      <c r="N58" s="14" t="n">
        <v>3.43</v>
      </c>
      <c r="O58" s="14" t="n">
        <v>0.04</v>
      </c>
      <c r="P58" s="14" t="n">
        <v>8.005000000000001</v>
      </c>
      <c r="Q58" s="14" t="n">
        <v>0</v>
      </c>
      <c r="R58" s="14" t="n">
        <v>1</v>
      </c>
      <c r="S58" s="14" t="n">
        <v>11.27</v>
      </c>
      <c r="T58" s="14" t="n">
        <v>6.86</v>
      </c>
      <c r="U58" s="14" t="n">
        <v>0.028</v>
      </c>
      <c r="V58" s="14" t="n">
        <v>13.331</v>
      </c>
      <c r="W58" s="14" t="n">
        <v>0.18</v>
      </c>
      <c r="X58" s="14" t="n">
        <v>1</v>
      </c>
      <c r="Y58" s="14" t="n">
        <v>4.275</v>
      </c>
      <c r="Z58" s="14" t="n">
        <v>0.485</v>
      </c>
      <c r="AA58" s="14" t="n">
        <v>-1.129</v>
      </c>
      <c r="AB58" s="14" t="n">
        <v>3.145</v>
      </c>
      <c r="AC58" s="14" t="n">
        <v>0</v>
      </c>
      <c r="AD58" s="14" t="n">
        <v>0</v>
      </c>
      <c r="AE58" s="14" t="n">
        <v>4.846</v>
      </c>
      <c r="AF58" s="14" t="n">
        <v>0.972</v>
      </c>
      <c r="AG58" s="14" t="n">
        <v>-1.701</v>
      </c>
      <c r="AH58" s="14" t="n">
        <v>3.145</v>
      </c>
      <c r="AI58" s="14" t="n">
        <v>0</v>
      </c>
      <c r="AJ58" s="14" t="n">
        <v>0</v>
      </c>
      <c r="AK58" s="14" t="n">
        <v>8.276</v>
      </c>
      <c r="AL58" s="14" t="n">
        <v>3.986</v>
      </c>
      <c r="AM58" s="14" t="n">
        <v>-5.611</v>
      </c>
      <c r="AN58" s="14" t="n">
        <v>3.145</v>
      </c>
      <c r="AO58" s="14" t="n">
        <v>0</v>
      </c>
      <c r="AP58" s="14" t="n">
        <v>0</v>
      </c>
      <c r="AQ58" s="14" t="n">
        <v>0.619</v>
      </c>
      <c r="AR58" s="14" t="n">
        <v>0.114</v>
      </c>
      <c r="AS58" s="14" t="n">
        <v>-0.121</v>
      </c>
      <c r="AT58" s="14" t="n">
        <v>0.588</v>
      </c>
      <c r="AU58" s="14" t="n">
        <v>0</v>
      </c>
      <c r="AV58" s="14" t="n">
        <v>0</v>
      </c>
      <c r="AW58" s="14" t="n">
        <v>0.599</v>
      </c>
      <c r="AX58" s="14" t="n">
        <v>0.114</v>
      </c>
      <c r="AY58" s="14" t="n">
        <v>-0.235</v>
      </c>
      <c r="AZ58" s="14" t="n">
        <v>0.429</v>
      </c>
      <c r="BA58" s="14" t="n">
        <v>0</v>
      </c>
      <c r="BB58" s="14" t="n">
        <v>0</v>
      </c>
      <c r="BC58" s="14" t="n">
        <v>0.439</v>
      </c>
      <c r="BD58" s="14" t="n">
        <v>0.114</v>
      </c>
      <c r="BE58" s="14" t="n">
        <v>-0.113</v>
      </c>
      <c r="BF58" s="14" t="n">
        <v>0.326</v>
      </c>
      <c r="BG58" s="14" t="n">
        <v>0</v>
      </c>
      <c r="BH58" s="14" t="n">
        <v>0</v>
      </c>
      <c r="BI58" s="14" t="n">
        <v>0.505</v>
      </c>
      <c r="BJ58" s="14" t="n">
        <v>0.114</v>
      </c>
      <c r="BK58" s="14" t="n">
        <v>0</v>
      </c>
      <c r="BL58" s="14" t="n">
        <v>0.596</v>
      </c>
      <c r="BM58" s="14" t="n">
        <v>0.18</v>
      </c>
      <c r="BN58" s="14" t="n">
        <v>1</v>
      </c>
      <c r="BO58" s="14" t="n">
        <v>0</v>
      </c>
      <c r="BP58" s="14" t="n">
        <v>-0.064</v>
      </c>
      <c r="BQ58" s="14" t="n">
        <v>0.053</v>
      </c>
      <c r="BR58" s="14" t="n">
        <v>0</v>
      </c>
      <c r="BS58" s="14" t="n">
        <v>0.333</v>
      </c>
      <c r="BT58" s="14" t="n">
        <v>0</v>
      </c>
      <c r="BU58" s="14" t="n">
        <v>-0.064</v>
      </c>
      <c r="BV58" s="14" t="n">
        <v>0.053</v>
      </c>
      <c r="BW58" s="14" t="n">
        <v>0</v>
      </c>
      <c r="BX58" s="14" t="n">
        <v>0.5</v>
      </c>
      <c r="BY58" s="14" t="n">
        <v>11.787</v>
      </c>
      <c r="BZ58" s="14" t="n">
        <v>0</v>
      </c>
      <c r="CA58" s="14" t="n">
        <v>11.787</v>
      </c>
      <c r="CB58" s="14" t="n">
        <v>0</v>
      </c>
      <c r="CC58" s="14" t="n">
        <v>78.125</v>
      </c>
      <c r="CD58" s="14" t="n">
        <v>7.95</v>
      </c>
      <c r="CE58" s="14" t="n">
        <v>0</v>
      </c>
      <c r="CF58" s="14" t="n">
        <v>92.188</v>
      </c>
      <c r="CG58" s="14" t="n">
        <v>0.18</v>
      </c>
      <c r="CH58" s="14" t="n">
        <v>1</v>
      </c>
      <c r="CI58" s="14" t="n">
        <v>0</v>
      </c>
      <c r="CJ58" s="14" t="n">
        <v>0</v>
      </c>
      <c r="CK58" s="14" t="n">
        <v>0</v>
      </c>
      <c r="CL58" s="14" t="n">
        <v>0</v>
      </c>
      <c r="CM58" s="14" t="n">
        <v>0</v>
      </c>
      <c r="CN58" s="14" t="n">
        <v>0.02</v>
      </c>
      <c r="CO58" s="14" t="n">
        <v>0.01</v>
      </c>
      <c r="CP58" s="14" t="n">
        <v>0</v>
      </c>
      <c r="CQ58" s="14" t="n">
        <v>1.198</v>
      </c>
      <c r="CR58" s="14" t="n">
        <v>1</v>
      </c>
      <c r="CS58" s="14" t="n">
        <v>3.703</v>
      </c>
      <c r="CT58" s="14" t="n">
        <v>4.41</v>
      </c>
      <c r="CU58" s="14" t="n">
        <v>14.129</v>
      </c>
    </row>
    <row r="59">
      <c r="A59" s="14" t="inlineStr">
        <is>
          <t>AZE2022</t>
        </is>
      </c>
      <c r="B59" s="14" t="inlineStr">
        <is>
          <t>AZE</t>
        </is>
      </c>
      <c r="C59" s="14" t="inlineStr">
        <is>
          <t>AZE</t>
        </is>
      </c>
      <c r="D59" s="14" t="inlineStr">
        <is>
          <t>Azerbaijan</t>
        </is>
      </c>
      <c r="E59" s="14" t="n">
        <v>2022</v>
      </c>
      <c r="F59" s="14" t="n">
        <v>0.18</v>
      </c>
      <c r="G59" s="14" t="n">
        <v>7.077</v>
      </c>
      <c r="H59" s="14" t="n">
        <v>1.235</v>
      </c>
      <c r="I59" s="14" t="n">
        <v>0.043</v>
      </c>
      <c r="J59" s="14" t="n">
        <v>7.12</v>
      </c>
      <c r="K59" s="14" t="n">
        <v>0</v>
      </c>
      <c r="L59" s="14" t="n">
        <v>1</v>
      </c>
      <c r="M59" s="14" t="n">
        <v>9.782999999999999</v>
      </c>
      <c r="N59" s="14" t="n">
        <v>3.704</v>
      </c>
      <c r="O59" s="14" t="n">
        <v>0.058</v>
      </c>
      <c r="P59" s="14" t="n">
        <v>9.84</v>
      </c>
      <c r="Q59" s="14" t="n">
        <v>0</v>
      </c>
      <c r="R59" s="14" t="n">
        <v>1</v>
      </c>
      <c r="S59" s="14" t="n">
        <v>13.25</v>
      </c>
      <c r="T59" s="14" t="n">
        <v>7.408</v>
      </c>
      <c r="U59" s="14" t="n">
        <v>0.22</v>
      </c>
      <c r="V59" s="14" t="n">
        <v>15.686</v>
      </c>
      <c r="W59" s="14" t="n">
        <v>0.18</v>
      </c>
      <c r="X59" s="14" t="n">
        <v>1</v>
      </c>
      <c r="Y59" s="14" t="n">
        <v>4.591</v>
      </c>
      <c r="Z59" s="14" t="n">
        <v>0.521</v>
      </c>
      <c r="AA59" s="14" t="n">
        <v>-0.833</v>
      </c>
      <c r="AB59" s="14" t="n">
        <v>3.758</v>
      </c>
      <c r="AC59" s="14" t="n">
        <v>0</v>
      </c>
      <c r="AD59" s="14" t="n">
        <v>0</v>
      </c>
      <c r="AE59" s="14" t="n">
        <v>5.277</v>
      </c>
      <c r="AF59" s="14" t="n">
        <v>1.058</v>
      </c>
      <c r="AG59" s="14" t="n">
        <v>-1.519</v>
      </c>
      <c r="AH59" s="14" t="n">
        <v>3.758</v>
      </c>
      <c r="AI59" s="14" t="n">
        <v>0</v>
      </c>
      <c r="AJ59" s="14" t="n">
        <v>0</v>
      </c>
      <c r="AK59" s="14" t="n">
        <v>9.394</v>
      </c>
      <c r="AL59" s="14" t="n">
        <v>4.524</v>
      </c>
      <c r="AM59" s="14" t="n">
        <v>-6.209</v>
      </c>
      <c r="AN59" s="14" t="n">
        <v>3.758</v>
      </c>
      <c r="AO59" s="14" t="n">
        <v>0</v>
      </c>
      <c r="AP59" s="14" t="n">
        <v>0</v>
      </c>
      <c r="AQ59" s="14" t="n">
        <v>0.861</v>
      </c>
      <c r="AR59" s="14" t="n">
        <v>0.123</v>
      </c>
      <c r="AS59" s="14" t="n">
        <v>-0.363</v>
      </c>
      <c r="AT59" s="14" t="n">
        <v>0.588</v>
      </c>
      <c r="AU59" s="14" t="n">
        <v>0</v>
      </c>
      <c r="AV59" s="14" t="n">
        <v>0</v>
      </c>
      <c r="AW59" s="14" t="n">
        <v>0.986</v>
      </c>
      <c r="AX59" s="14" t="n">
        <v>0.123</v>
      </c>
      <c r="AY59" s="14" t="n">
        <v>-0.622</v>
      </c>
      <c r="AZ59" s="14" t="n">
        <v>0.43</v>
      </c>
      <c r="BA59" s="14" t="n">
        <v>0</v>
      </c>
      <c r="BB59" s="14" t="n">
        <v>0</v>
      </c>
      <c r="BC59" s="14" t="n">
        <v>0.598</v>
      </c>
      <c r="BD59" s="14" t="n">
        <v>0.123</v>
      </c>
      <c r="BE59" s="14" t="n">
        <v>-0.122</v>
      </c>
      <c r="BF59" s="14" t="n">
        <v>0.476</v>
      </c>
      <c r="BG59" s="14" t="n">
        <v>0</v>
      </c>
      <c r="BH59" s="14" t="n">
        <v>0</v>
      </c>
      <c r="BI59" s="14" t="n">
        <v>0.612</v>
      </c>
      <c r="BJ59" s="14" t="n">
        <v>0.123</v>
      </c>
      <c r="BK59" s="14" t="n">
        <v>0.008</v>
      </c>
      <c r="BL59" s="14" t="n">
        <v>0.723</v>
      </c>
      <c r="BM59" s="14" t="n">
        <v>0.18</v>
      </c>
      <c r="BN59" s="14" t="n">
        <v>1</v>
      </c>
      <c r="BO59" s="14" t="n">
        <v>0</v>
      </c>
      <c r="BP59" s="14" t="n">
        <v>-0.064</v>
      </c>
      <c r="BQ59" s="14" t="n">
        <v>0.065</v>
      </c>
      <c r="BR59" s="14" t="n">
        <v>0</v>
      </c>
      <c r="BS59" s="14" t="n">
        <v>0.333</v>
      </c>
      <c r="BT59" s="14" t="n">
        <v>0</v>
      </c>
      <c r="BU59" s="14" t="n">
        <v>-0.064</v>
      </c>
      <c r="BV59" s="14" t="n">
        <v>0.047</v>
      </c>
      <c r="BW59" s="14" t="n">
        <v>0</v>
      </c>
      <c r="BX59" s="14" t="n">
        <v>0.5</v>
      </c>
      <c r="BY59" s="14" t="n">
        <v>12.729</v>
      </c>
      <c r="BZ59" s="14" t="n">
        <v>0</v>
      </c>
      <c r="CA59" s="14" t="n">
        <v>12.729</v>
      </c>
      <c r="CB59" s="14" t="n">
        <v>0</v>
      </c>
      <c r="CC59" s="14" t="n">
        <v>97.90000000000001</v>
      </c>
      <c r="CD59" s="14" t="n">
        <v>7.95</v>
      </c>
      <c r="CE59" s="14" t="n">
        <v>1.304</v>
      </c>
      <c r="CF59" s="14" t="n">
        <v>115.522</v>
      </c>
      <c r="CG59" s="14" t="n">
        <v>0.18</v>
      </c>
      <c r="CH59" s="14" t="n">
        <v>1</v>
      </c>
      <c r="CI59" s="14" t="n">
        <v>0</v>
      </c>
      <c r="CJ59" s="14" t="n">
        <v>0</v>
      </c>
      <c r="CK59" s="14" t="n">
        <v>0</v>
      </c>
      <c r="CL59" s="14" t="n">
        <v>0</v>
      </c>
      <c r="CM59" s="14" t="n">
        <v>0</v>
      </c>
      <c r="CN59" s="14" t="n">
        <v>0.023</v>
      </c>
      <c r="CO59" s="14" t="n">
        <v>0.011</v>
      </c>
      <c r="CP59" s="14" t="n">
        <v>0</v>
      </c>
      <c r="CQ59" s="14" t="n">
        <v>1.294</v>
      </c>
      <c r="CR59" s="14" t="n">
        <v>0.889</v>
      </c>
      <c r="CS59" s="14" t="n">
        <v>3.999</v>
      </c>
      <c r="CT59" s="14" t="n">
        <v>5.842</v>
      </c>
      <c r="CU59" s="14" t="n">
        <v>28.059</v>
      </c>
    </row>
    <row r="60">
      <c r="A60" s="14" t="inlineStr">
        <is>
          <t>AZE2023</t>
        </is>
      </c>
      <c r="B60" s="14" t="inlineStr">
        <is>
          <t>AZE</t>
        </is>
      </c>
      <c r="C60" s="14" t="inlineStr">
        <is>
          <t>AZE</t>
        </is>
      </c>
      <c r="D60" s="14" t="inlineStr">
        <is>
          <t>Azerbaijan</t>
        </is>
      </c>
      <c r="E60" s="14" t="n">
        <v>2023</v>
      </c>
      <c r="F60" s="14" t="n">
        <v>0.18</v>
      </c>
      <c r="G60" s="14" t="n">
        <v>4.752</v>
      </c>
      <c r="H60" s="14" t="n">
        <v>1.286</v>
      </c>
      <c r="I60" s="14" t="n">
        <v>0.027</v>
      </c>
      <c r="J60" s="14" t="n">
        <v>4.778</v>
      </c>
      <c r="K60" s="14" t="n">
        <v>0</v>
      </c>
      <c r="L60" s="14" t="n">
        <v>1</v>
      </c>
      <c r="M60" s="14" t="n">
        <v>7.886</v>
      </c>
      <c r="N60" s="14" t="n">
        <v>3.857</v>
      </c>
      <c r="O60" s="14" t="n">
        <v>0.04</v>
      </c>
      <c r="P60" s="14" t="n">
        <v>7.926</v>
      </c>
      <c r="Q60" s="14" t="n">
        <v>0</v>
      </c>
      <c r="R60" s="14" t="n">
        <v>1</v>
      </c>
      <c r="S60" s="14" t="n">
        <v>11.18</v>
      </c>
      <c r="T60" s="14" t="n">
        <v>7.714</v>
      </c>
      <c r="U60" s="14" t="n">
        <v>0.25</v>
      </c>
      <c r="V60" s="14" t="n">
        <v>13.224</v>
      </c>
      <c r="W60" s="14" t="n">
        <v>0.18</v>
      </c>
      <c r="X60" s="14" t="n">
        <v>1</v>
      </c>
      <c r="Y60" s="14" t="n">
        <v>4.685</v>
      </c>
      <c r="Z60" s="14" t="n">
        <v>0.532</v>
      </c>
      <c r="AA60" s="14" t="n">
        <v>-0.927</v>
      </c>
      <c r="AB60" s="14" t="n">
        <v>3.758</v>
      </c>
      <c r="AC60" s="14" t="n">
        <v>0</v>
      </c>
      <c r="AD60" s="14" t="n">
        <v>0</v>
      </c>
      <c r="AE60" s="14" t="n">
        <v>5.429</v>
      </c>
      <c r="AF60" s="14" t="n">
        <v>1.089</v>
      </c>
      <c r="AG60" s="14" t="n">
        <v>-1.671</v>
      </c>
      <c r="AH60" s="14" t="n">
        <v>3.758</v>
      </c>
      <c r="AI60" s="14" t="n">
        <v>0</v>
      </c>
      <c r="AJ60" s="14" t="n">
        <v>0</v>
      </c>
      <c r="AK60" s="14" t="n">
        <v>9.890000000000001</v>
      </c>
      <c r="AL60" s="14" t="n">
        <v>4.763</v>
      </c>
      <c r="AM60" s="14" t="n">
        <v>-6.705</v>
      </c>
      <c r="AN60" s="14" t="n">
        <v>3.758</v>
      </c>
      <c r="AO60" s="14" t="n">
        <v>0</v>
      </c>
      <c r="AP60" s="14" t="n">
        <v>0</v>
      </c>
      <c r="AQ60" s="14" t="n">
        <v>0.76</v>
      </c>
      <c r="AR60" s="14" t="n">
        <v>0.129</v>
      </c>
      <c r="AS60" s="14" t="n">
        <v>-0.262</v>
      </c>
      <c r="AT60" s="14" t="n">
        <v>0.588</v>
      </c>
      <c r="AU60" s="14" t="n">
        <v>0</v>
      </c>
      <c r="AV60" s="14" t="n">
        <v>0</v>
      </c>
      <c r="AW60" s="14" t="n">
        <v>0.8110000000000001</v>
      </c>
      <c r="AX60" s="14" t="n">
        <v>0.129</v>
      </c>
      <c r="AY60" s="14" t="n">
        <v>-0.447</v>
      </c>
      <c r="AZ60" s="14" t="n">
        <v>0.43</v>
      </c>
      <c r="BA60" s="14" t="n">
        <v>0</v>
      </c>
      <c r="BB60" s="14" t="n">
        <v>0</v>
      </c>
      <c r="BC60" s="14" t="n">
        <v>0.535</v>
      </c>
      <c r="BD60" s="14" t="n">
        <v>0.129</v>
      </c>
      <c r="BE60" s="14" t="n">
        <v>-0.127</v>
      </c>
      <c r="BF60" s="14" t="n">
        <v>0.408</v>
      </c>
      <c r="BG60" s="14" t="n">
        <v>0</v>
      </c>
      <c r="BH60" s="14" t="n">
        <v>0</v>
      </c>
      <c r="BI60" s="14" t="n">
        <v>0.579</v>
      </c>
      <c r="BJ60" s="14" t="n">
        <v>0.129</v>
      </c>
      <c r="BK60" s="14" t="n">
        <v>0.012</v>
      </c>
      <c r="BL60" s="14" t="n">
        <v>0.6840000000000001</v>
      </c>
      <c r="BM60" s="14" t="n">
        <v>0.18</v>
      </c>
      <c r="BN60" s="14" t="n">
        <v>1</v>
      </c>
      <c r="BO60" s="14" t="n">
        <v>0</v>
      </c>
      <c r="BP60" s="14" t="n">
        <v>-0.064</v>
      </c>
      <c r="BQ60" s="14" t="n">
        <v>0.065</v>
      </c>
      <c r="BR60" s="14" t="n">
        <v>0</v>
      </c>
      <c r="BS60" s="14" t="n">
        <v>0.333</v>
      </c>
      <c r="BT60" s="14" t="n">
        <v>0</v>
      </c>
      <c r="BU60" s="14" t="n">
        <v>-0.064</v>
      </c>
      <c r="BV60" s="14" t="n">
        <v>0.047</v>
      </c>
      <c r="BW60" s="14" t="n">
        <v>0</v>
      </c>
      <c r="BX60" s="14" t="n">
        <v>0.5</v>
      </c>
      <c r="BY60" s="14" t="n">
        <v>13.254</v>
      </c>
      <c r="BZ60" s="14" t="n">
        <v>0</v>
      </c>
      <c r="CA60" s="14" t="n">
        <v>13.254</v>
      </c>
      <c r="CB60" s="14" t="n">
        <v>0</v>
      </c>
      <c r="CC60" s="14" t="n">
        <v>83.248</v>
      </c>
      <c r="CD60" s="14" t="n">
        <v>7.95</v>
      </c>
      <c r="CE60" s="14" t="n">
        <v>1.659</v>
      </c>
      <c r="CF60" s="14" t="n">
        <v>98.233</v>
      </c>
      <c r="CG60" s="14" t="n">
        <v>0.18</v>
      </c>
      <c r="CH60" s="14" t="n">
        <v>1</v>
      </c>
      <c r="CI60" s="14" t="n">
        <v>0</v>
      </c>
      <c r="CJ60" s="14" t="n">
        <v>0</v>
      </c>
      <c r="CK60" s="14" t="n">
        <v>0</v>
      </c>
      <c r="CL60" s="14" t="n">
        <v>0</v>
      </c>
      <c r="CM60" s="14" t="n">
        <v>0</v>
      </c>
      <c r="CN60" s="14" t="n">
        <v>0.025</v>
      </c>
      <c r="CO60" s="14" t="n">
        <v>0.01</v>
      </c>
      <c r="CP60" s="14" t="n">
        <v>0</v>
      </c>
      <c r="CQ60" s="14" t="n">
        <v>1.348</v>
      </c>
      <c r="CR60" s="14" t="n">
        <v>0.843</v>
      </c>
      <c r="CS60" s="14" t="n">
        <v>4.164</v>
      </c>
      <c r="CT60" s="14" t="n">
        <v>3.466</v>
      </c>
      <c r="CU60" s="14" t="n">
        <v>9.260999999999999</v>
      </c>
    </row>
    <row r="61">
      <c r="A61" s="14" t="inlineStr">
        <is>
          <t>AZE2024</t>
        </is>
      </c>
      <c r="B61" s="14" t="inlineStr">
        <is>
          <t>AZE</t>
        </is>
      </c>
      <c r="C61" s="14" t="inlineStr">
        <is>
          <t>AZE</t>
        </is>
      </c>
      <c r="D61" s="14" t="inlineStr">
        <is>
          <t>Azerbaijan</t>
        </is>
      </c>
      <c r="E61" s="14" t="n">
        <v>2024</v>
      </c>
      <c r="F61" s="14" t="n">
        <v>0.18</v>
      </c>
      <c r="G61" s="14" t="n">
        <v>4.351</v>
      </c>
      <c r="H61" s="14" t="n">
        <v>1.324</v>
      </c>
      <c r="I61" s="14" t="n">
        <v>0.021</v>
      </c>
      <c r="J61" s="14" t="n">
        <v>4.371</v>
      </c>
      <c r="K61" s="14" t="n">
        <v>0</v>
      </c>
      <c r="L61" s="14" t="n">
        <v>1</v>
      </c>
      <c r="M61" s="14" t="n">
        <v>7.124</v>
      </c>
      <c r="N61" s="14" t="n">
        <v>3.971</v>
      </c>
      <c r="O61" s="14" t="n">
        <v>0.028</v>
      </c>
      <c r="P61" s="14" t="n">
        <v>7.151</v>
      </c>
      <c r="Q61" s="14" t="n">
        <v>0</v>
      </c>
      <c r="R61" s="14" t="n">
        <v>1</v>
      </c>
      <c r="S61" s="14" t="n">
        <v>10.969</v>
      </c>
      <c r="T61" s="14" t="n">
        <v>7.942</v>
      </c>
      <c r="U61" s="14" t="n">
        <v>0.29</v>
      </c>
      <c r="V61" s="14" t="n">
        <v>12.967</v>
      </c>
      <c r="W61" s="14" t="n">
        <v>0.18</v>
      </c>
      <c r="X61" s="14" t="n">
        <v>1</v>
      </c>
      <c r="Y61" s="14" t="n">
        <v>4.794</v>
      </c>
      <c r="Z61" s="14" t="n">
        <v>0.544</v>
      </c>
      <c r="AA61" s="14" t="n">
        <v>-1.036</v>
      </c>
      <c r="AB61" s="14" t="n">
        <v>3.758</v>
      </c>
      <c r="AC61" s="14" t="n">
        <v>0</v>
      </c>
      <c r="AD61" s="14" t="n">
        <v>0</v>
      </c>
      <c r="AE61" s="14" t="n">
        <v>5.56</v>
      </c>
      <c r="AF61" s="14" t="n">
        <v>1.115</v>
      </c>
      <c r="AG61" s="14" t="n">
        <v>-1.802</v>
      </c>
      <c r="AH61" s="14" t="n">
        <v>3.758</v>
      </c>
      <c r="AI61" s="14" t="n">
        <v>0</v>
      </c>
      <c r="AJ61" s="14" t="n">
        <v>0</v>
      </c>
      <c r="AK61" s="14" t="n">
        <v>10.153</v>
      </c>
      <c r="AL61" s="14" t="n">
        <v>4.89</v>
      </c>
      <c r="AM61" s="14" t="n">
        <v>-6.968</v>
      </c>
      <c r="AN61" s="14" t="n">
        <v>3.758</v>
      </c>
      <c r="AO61" s="14" t="n">
        <v>0</v>
      </c>
      <c r="AP61" s="14" t="n">
        <v>0</v>
      </c>
      <c r="AQ61" s="14" t="n">
        <v>0.724</v>
      </c>
      <c r="AR61" s="14" t="n">
        <v>0.132</v>
      </c>
      <c r="AS61" s="14" t="n">
        <v>-0.187</v>
      </c>
      <c r="AT61" s="14" t="n">
        <v>0.634</v>
      </c>
      <c r="AU61" s="14" t="n">
        <v>0</v>
      </c>
      <c r="AV61" s="14" t="n">
        <v>0</v>
      </c>
      <c r="AW61" s="14" t="n">
        <v>0.75</v>
      </c>
      <c r="AX61" s="14" t="n">
        <v>0.132</v>
      </c>
      <c r="AY61" s="14" t="n">
        <v>-0.303</v>
      </c>
      <c r="AZ61" s="14" t="n">
        <v>0.528</v>
      </c>
      <c r="BA61" s="14" t="n">
        <v>0</v>
      </c>
      <c r="BB61" s="14" t="n">
        <v>0</v>
      </c>
      <c r="BC61" s="14" t="n">
        <v>0.513</v>
      </c>
      <c r="BD61" s="14" t="n">
        <v>0.132</v>
      </c>
      <c r="BE61" s="14" t="n">
        <v>-0.189</v>
      </c>
      <c r="BF61" s="14" t="n">
        <v>0.382</v>
      </c>
      <c r="BG61" s="14" t="n">
        <v>0</v>
      </c>
      <c r="BH61" s="14" t="n">
        <v>0</v>
      </c>
      <c r="BI61" s="14" t="n">
        <v>0.591</v>
      </c>
      <c r="BJ61" s="14" t="n">
        <v>0.132</v>
      </c>
      <c r="BK61" s="14" t="n">
        <v>0.014</v>
      </c>
      <c r="BL61" s="14" t="n">
        <v>0.698</v>
      </c>
      <c r="BM61" s="14" t="n">
        <v>0.18</v>
      </c>
      <c r="BN61" s="14" t="n">
        <v>1</v>
      </c>
      <c r="BO61" s="14" t="n">
        <v>0</v>
      </c>
      <c r="BP61" s="14" t="n">
        <v>-0.066</v>
      </c>
      <c r="BQ61" s="14" t="n">
        <v>0.063</v>
      </c>
      <c r="BR61" s="14" t="n">
        <v>0</v>
      </c>
      <c r="BS61" s="14" t="n">
        <v>0.333</v>
      </c>
      <c r="BT61" s="14" t="n">
        <v>0</v>
      </c>
      <c r="BU61" s="14" t="n">
        <v>-0.066</v>
      </c>
      <c r="BV61" s="14" t="n">
        <v>0.046</v>
      </c>
      <c r="BW61" s="14" t="n">
        <v>0</v>
      </c>
      <c r="BX61" s="14" t="n">
        <v>0.5</v>
      </c>
      <c r="BY61" s="14" t="n">
        <v>13.646</v>
      </c>
      <c r="BZ61" s="14" t="n">
        <v>0</v>
      </c>
      <c r="CA61" s="14" t="n">
        <v>13.646</v>
      </c>
      <c r="CB61" s="14" t="n">
        <v>0</v>
      </c>
      <c r="CC61" s="14" t="n">
        <v>82.58799999999999</v>
      </c>
      <c r="CD61" s="14" t="n">
        <v>7.95</v>
      </c>
      <c r="CE61" s="14" t="n">
        <v>2.025</v>
      </c>
      <c r="CF61" s="14" t="n">
        <v>97.45399999999999</v>
      </c>
      <c r="CG61" s="14" t="n">
        <v>0.18</v>
      </c>
      <c r="CH61" s="14" t="n">
        <v>1</v>
      </c>
      <c r="CI61" s="14" t="n">
        <v>0</v>
      </c>
      <c r="CJ61" s="14" t="n">
        <v>0</v>
      </c>
      <c r="CK61" s="14" t="n">
        <v>0</v>
      </c>
      <c r="CL61" s="14" t="n">
        <v>0</v>
      </c>
      <c r="CM61" s="14" t="n">
        <v>0</v>
      </c>
      <c r="CN61" s="14" t="n">
        <v>0.026</v>
      </c>
      <c r="CO61" s="14" t="n">
        <v>0.01</v>
      </c>
      <c r="CP61" s="14" t="n">
        <v>0</v>
      </c>
      <c r="CQ61" s="14" t="n">
        <v>1.387</v>
      </c>
      <c r="CR61" s="14" t="n">
        <v>0.843</v>
      </c>
      <c r="CS61" s="14" t="n">
        <v>4.287</v>
      </c>
      <c r="CT61" s="14" t="n">
        <v>3.027</v>
      </c>
      <c r="CU61" s="14" t="n">
        <v>7.598</v>
      </c>
    </row>
    <row r="62">
      <c r="A62" s="14" t="inlineStr">
        <is>
          <t>BHS2021</t>
        </is>
      </c>
      <c r="B62" s="14" t="inlineStr">
        <is>
          <t>BHS</t>
        </is>
      </c>
      <c r="C62" s="14" t="inlineStr">
        <is>
          <t>BHS</t>
        </is>
      </c>
      <c r="D62" s="14" t="inlineStr">
        <is>
          <t>Bahamas, The</t>
        </is>
      </c>
      <c r="E62" s="14" t="n">
        <v>2021</v>
      </c>
      <c r="F62" s="14" t="n">
        <v>0.12</v>
      </c>
      <c r="G62" s="14" t="n">
        <v>5.897</v>
      </c>
      <c r="H62" s="14" t="n">
        <v>1.143</v>
      </c>
      <c r="I62" s="14" t="n">
        <v>0</v>
      </c>
      <c r="J62" s="14" t="n">
        <v>5.897</v>
      </c>
      <c r="K62" s="14" t="n">
        <v>0</v>
      </c>
      <c r="L62" s="14" t="n">
        <v>1</v>
      </c>
      <c r="M62" s="14" t="n">
        <v>7.964</v>
      </c>
      <c r="N62" s="14" t="n">
        <v>3.43</v>
      </c>
      <c r="O62" s="14" t="n">
        <v>0</v>
      </c>
      <c r="P62" s="14" t="n">
        <v>7.964</v>
      </c>
      <c r="Q62" s="14" t="n">
        <v>0</v>
      </c>
      <c r="R62" s="14" t="n">
        <v>1</v>
      </c>
      <c r="S62" s="14" t="n">
        <v>11.613</v>
      </c>
      <c r="T62" s="14" t="n">
        <v>6.86</v>
      </c>
      <c r="U62" s="14" t="n">
        <v>0</v>
      </c>
      <c r="V62" s="14" t="n">
        <v>13.007</v>
      </c>
      <c r="W62" s="14" t="n">
        <v>0.12</v>
      </c>
      <c r="X62" s="14" t="n">
        <v>1</v>
      </c>
      <c r="Y62" s="14" t="n">
        <v>16.985</v>
      </c>
      <c r="Z62" s="14" t="n">
        <v>2.285</v>
      </c>
      <c r="AA62" s="14" t="n">
        <v>0</v>
      </c>
      <c r="AB62" s="14" t="n">
        <v>16.985</v>
      </c>
      <c r="AC62" s="14" t="n">
        <v>0</v>
      </c>
      <c r="AD62" s="14" t="n">
        <v>1</v>
      </c>
      <c r="AE62" s="14" t="n">
        <v>18.128</v>
      </c>
      <c r="AF62" s="14" t="n">
        <v>4.245</v>
      </c>
      <c r="AG62" s="14" t="n">
        <v>0</v>
      </c>
      <c r="AH62" s="14" t="n">
        <v>18.128</v>
      </c>
      <c r="AI62" s="14" t="n">
        <v>0</v>
      </c>
      <c r="AJ62" s="14" t="n">
        <v>1</v>
      </c>
      <c r="AK62" s="14" t="n">
        <v>24.988</v>
      </c>
      <c r="AL62" s="14" t="n">
        <v>13.427</v>
      </c>
      <c r="AM62" s="14" t="n">
        <v>0</v>
      </c>
      <c r="AN62" s="14" t="n">
        <v>27.987</v>
      </c>
      <c r="AO62" s="14" t="n">
        <v>0.12</v>
      </c>
      <c r="AP62" s="14" t="n">
        <v>1</v>
      </c>
      <c r="AQ62" s="14" t="n">
        <v>0.649</v>
      </c>
      <c r="AR62" s="14" t="n">
        <v>0.114</v>
      </c>
      <c r="AS62" s="14" t="n">
        <v>0.609</v>
      </c>
      <c r="AT62" s="14" t="n">
        <v>1.409</v>
      </c>
      <c r="AU62" s="14" t="n">
        <v>0.12</v>
      </c>
      <c r="AV62" s="14" t="n">
        <v>1</v>
      </c>
      <c r="AW62" s="14" t="n">
        <v>0.577</v>
      </c>
      <c r="AX62" s="14" t="n">
        <v>0.114</v>
      </c>
      <c r="AY62" s="14" t="n">
        <v>0.498</v>
      </c>
      <c r="AZ62" s="14" t="n">
        <v>1.204</v>
      </c>
      <c r="BA62" s="14" t="n">
        <v>0.12</v>
      </c>
      <c r="BB62" s="14" t="n">
        <v>1</v>
      </c>
      <c r="BC62" s="14" t="n">
        <v>0.458</v>
      </c>
      <c r="BD62" s="14" t="n">
        <v>0.114</v>
      </c>
      <c r="BE62" s="14" t="n">
        <v>0.002</v>
      </c>
      <c r="BF62" s="14" t="n">
        <v>0.515</v>
      </c>
      <c r="BG62" s="14" t="n">
        <v>0.12</v>
      </c>
      <c r="BH62" s="14" t="n">
        <v>1</v>
      </c>
      <c r="BI62" s="14" t="n">
        <v>0.491</v>
      </c>
      <c r="BJ62" s="14" t="n">
        <v>0.114</v>
      </c>
      <c r="BK62" s="14" t="n">
        <v>0.022</v>
      </c>
      <c r="BL62" s="14" t="n">
        <v>0.575</v>
      </c>
      <c r="BM62" s="14" t="n">
        <v>0.12</v>
      </c>
      <c r="BN62" s="14" t="n">
        <v>1</v>
      </c>
      <c r="BO62" s="14" t="n">
        <v>0</v>
      </c>
      <c r="BP62" s="14" t="n">
        <v>0</v>
      </c>
      <c r="BQ62" s="14" t="n">
        <v>0.253</v>
      </c>
      <c r="BR62" s="14" t="n">
        <v>0</v>
      </c>
      <c r="BS62" s="14" t="n">
        <v>1</v>
      </c>
      <c r="BT62" s="14" t="n">
        <v>0</v>
      </c>
      <c r="BU62" s="14" t="n">
        <v>0</v>
      </c>
      <c r="BV62" s="14" t="n">
        <v>0.262</v>
      </c>
      <c r="BW62" s="14" t="n">
        <v>0.12</v>
      </c>
      <c r="BX62" s="14" t="n">
        <v>1</v>
      </c>
      <c r="BY62" s="14" t="n">
        <v>11.787</v>
      </c>
      <c r="BZ62" s="14" t="n">
        <v>0</v>
      </c>
      <c r="CA62" s="14" t="n">
        <v>11.787</v>
      </c>
      <c r="CB62" s="14" t="n">
        <v>0</v>
      </c>
      <c r="CC62" s="14" t="n">
        <v>78.125</v>
      </c>
      <c r="CD62" s="14" t="n">
        <v>7.95</v>
      </c>
      <c r="CE62" s="14" t="n">
        <v>0</v>
      </c>
      <c r="CF62" s="14" t="n">
        <v>87.5</v>
      </c>
      <c r="CG62" s="14" t="n">
        <v>0.12</v>
      </c>
      <c r="CH62" s="14" t="n">
        <v>1</v>
      </c>
      <c r="CI62" s="14" t="n">
        <v>0</v>
      </c>
      <c r="CJ62" s="14" t="n">
        <v>0</v>
      </c>
      <c r="CK62" s="14" t="n">
        <v>0</v>
      </c>
      <c r="CL62" s="14" t="n">
        <v>0</v>
      </c>
      <c r="CM62" s="14" t="n">
        <v>0</v>
      </c>
      <c r="CN62" s="14" t="n">
        <v>0</v>
      </c>
      <c r="CO62" s="14" t="n">
        <v>0</v>
      </c>
      <c r="CP62" s="14" t="n">
        <v>0</v>
      </c>
      <c r="CQ62" s="14" t="n">
        <v>1.198</v>
      </c>
      <c r="CR62" s="14" t="n">
        <v>0</v>
      </c>
      <c r="CS62" s="14" t="n">
        <v>4.776</v>
      </c>
      <c r="CT62" s="14" t="n">
        <v>4.753</v>
      </c>
      <c r="CU62" s="14" t="n">
        <v>15.983</v>
      </c>
    </row>
    <row r="63">
      <c r="A63" s="14" t="inlineStr">
        <is>
          <t>BHS2022</t>
        </is>
      </c>
      <c r="B63" s="14" t="inlineStr">
        <is>
          <t>BHS</t>
        </is>
      </c>
      <c r="C63" s="14" t="inlineStr">
        <is>
          <t>BHS</t>
        </is>
      </c>
      <c r="D63" s="14" t="inlineStr">
        <is>
          <t>Bahamas, The</t>
        </is>
      </c>
      <c r="E63" s="14" t="n">
        <v>2022</v>
      </c>
      <c r="F63" s="14" t="n">
        <v>0.1</v>
      </c>
      <c r="G63" s="14" t="n">
        <v>11.72</v>
      </c>
      <c r="H63" s="14" t="n">
        <v>1.235</v>
      </c>
      <c r="I63" s="14" t="n">
        <v>0</v>
      </c>
      <c r="J63" s="14" t="n">
        <v>11.72</v>
      </c>
      <c r="K63" s="14" t="n">
        <v>0</v>
      </c>
      <c r="L63" s="14" t="n">
        <v>1</v>
      </c>
      <c r="M63" s="14" t="n">
        <v>9.782999999999999</v>
      </c>
      <c r="N63" s="14" t="n">
        <v>3.704</v>
      </c>
      <c r="O63" s="14" t="n">
        <v>0</v>
      </c>
      <c r="P63" s="14" t="n">
        <v>9.782999999999999</v>
      </c>
      <c r="Q63" s="14" t="n">
        <v>0</v>
      </c>
      <c r="R63" s="14" t="n">
        <v>1</v>
      </c>
      <c r="S63" s="14" t="n">
        <v>17.893</v>
      </c>
      <c r="T63" s="14" t="n">
        <v>7.408</v>
      </c>
      <c r="U63" s="14" t="n">
        <v>0.132</v>
      </c>
      <c r="V63" s="14" t="n">
        <v>19.683</v>
      </c>
      <c r="W63" s="14" t="n">
        <v>0.1</v>
      </c>
      <c r="X63" s="14" t="n">
        <v>1</v>
      </c>
      <c r="Y63" s="14" t="n">
        <v>30.435</v>
      </c>
      <c r="Z63" s="14" t="n">
        <v>4.094</v>
      </c>
      <c r="AA63" s="14" t="n">
        <v>0</v>
      </c>
      <c r="AB63" s="14" t="n">
        <v>30.435</v>
      </c>
      <c r="AC63" s="14" t="n">
        <v>0</v>
      </c>
      <c r="AD63" s="14" t="n">
        <v>1</v>
      </c>
      <c r="AE63" s="14" t="n">
        <v>31.67</v>
      </c>
      <c r="AF63" s="14" t="n">
        <v>7.416</v>
      </c>
      <c r="AG63" s="14" t="n">
        <v>0</v>
      </c>
      <c r="AH63" s="14" t="n">
        <v>31.67</v>
      </c>
      <c r="AI63" s="14" t="n">
        <v>0</v>
      </c>
      <c r="AJ63" s="14" t="n">
        <v>1</v>
      </c>
      <c r="AK63" s="14" t="n">
        <v>39.078</v>
      </c>
      <c r="AL63" s="14" t="n">
        <v>20.998</v>
      </c>
      <c r="AM63" s="14" t="n">
        <v>0.289</v>
      </c>
      <c r="AN63" s="14" t="n">
        <v>42.986</v>
      </c>
      <c r="AO63" s="14" t="n">
        <v>0.1</v>
      </c>
      <c r="AP63" s="14" t="n">
        <v>1</v>
      </c>
      <c r="AQ63" s="14" t="n">
        <v>0.896</v>
      </c>
      <c r="AR63" s="14" t="n">
        <v>0.123</v>
      </c>
      <c r="AS63" s="14" t="n">
        <v>0.676</v>
      </c>
      <c r="AT63" s="14" t="n">
        <v>1.716</v>
      </c>
      <c r="AU63" s="14" t="n">
        <v>0.1</v>
      </c>
      <c r="AV63" s="14" t="n">
        <v>1</v>
      </c>
      <c r="AW63" s="14" t="n">
        <v>0.89</v>
      </c>
      <c r="AX63" s="14" t="n">
        <v>0.123</v>
      </c>
      <c r="AY63" s="14" t="n">
        <v>0.545</v>
      </c>
      <c r="AZ63" s="14" t="n">
        <v>1.567</v>
      </c>
      <c r="BA63" s="14" t="n">
        <v>0.1</v>
      </c>
      <c r="BB63" s="14" t="n">
        <v>1</v>
      </c>
      <c r="BC63" s="14" t="n">
        <v>0.62</v>
      </c>
      <c r="BD63" s="14" t="n">
        <v>0.123</v>
      </c>
      <c r="BE63" s="14" t="n">
        <v>0.007</v>
      </c>
      <c r="BF63" s="14" t="n">
        <v>0.6850000000000001</v>
      </c>
      <c r="BG63" s="14" t="n">
        <v>0.1</v>
      </c>
      <c r="BH63" s="14" t="n">
        <v>1</v>
      </c>
      <c r="BI63" s="14" t="n">
        <v>0.608</v>
      </c>
      <c r="BJ63" s="14" t="n">
        <v>0.123</v>
      </c>
      <c r="BK63" s="14" t="n">
        <v>0.037</v>
      </c>
      <c r="BL63" s="14" t="n">
        <v>0.703</v>
      </c>
      <c r="BM63" s="14" t="n">
        <v>0.1</v>
      </c>
      <c r="BN63" s="14" t="n">
        <v>1</v>
      </c>
      <c r="BO63" s="14" t="n">
        <v>0</v>
      </c>
      <c r="BP63" s="14" t="n">
        <v>0</v>
      </c>
      <c r="BQ63" s="14" t="n">
        <v>0.264</v>
      </c>
      <c r="BR63" s="14" t="n">
        <v>0</v>
      </c>
      <c r="BS63" s="14" t="n">
        <v>1</v>
      </c>
      <c r="BT63" s="14" t="n">
        <v>0</v>
      </c>
      <c r="BU63" s="14" t="n">
        <v>0</v>
      </c>
      <c r="BV63" s="14" t="n">
        <v>0.273</v>
      </c>
      <c r="BW63" s="14" t="n">
        <v>0.1</v>
      </c>
      <c r="BX63" s="14" t="n">
        <v>1</v>
      </c>
      <c r="BY63" s="14" t="n">
        <v>12.729</v>
      </c>
      <c r="BZ63" s="14" t="n">
        <v>0</v>
      </c>
      <c r="CA63" s="14" t="n">
        <v>12.729</v>
      </c>
      <c r="CB63" s="14" t="n">
        <v>0</v>
      </c>
      <c r="CC63" s="14" t="n">
        <v>97.90000000000001</v>
      </c>
      <c r="CD63" s="14" t="n">
        <v>7.95</v>
      </c>
      <c r="CE63" s="14" t="n">
        <v>0.725</v>
      </c>
      <c r="CF63" s="14" t="n">
        <v>107.69</v>
      </c>
      <c r="CG63" s="14" t="n">
        <v>0.1</v>
      </c>
      <c r="CH63" s="14" t="n">
        <v>1</v>
      </c>
      <c r="CI63" s="14" t="n">
        <v>0</v>
      </c>
      <c r="CJ63" s="14" t="n">
        <v>0</v>
      </c>
      <c r="CK63" s="14" t="n">
        <v>0</v>
      </c>
      <c r="CL63" s="14" t="n">
        <v>0</v>
      </c>
      <c r="CM63" s="14" t="n">
        <v>0</v>
      </c>
      <c r="CN63" s="14" t="n">
        <v>0</v>
      </c>
      <c r="CO63" s="14" t="n">
        <v>0</v>
      </c>
      <c r="CP63" s="14" t="n">
        <v>0</v>
      </c>
      <c r="CQ63" s="14" t="n">
        <v>1.294</v>
      </c>
      <c r="CR63" s="14" t="n">
        <v>0</v>
      </c>
      <c r="CS63" s="14" t="n">
        <v>5.158</v>
      </c>
      <c r="CT63" s="14" t="n">
        <v>10.485</v>
      </c>
      <c r="CU63" s="14" t="n">
        <v>29.494</v>
      </c>
    </row>
    <row r="64">
      <c r="A64" s="14" t="inlineStr">
        <is>
          <t>BHS2023</t>
        </is>
      </c>
      <c r="B64" s="14" t="inlineStr">
        <is>
          <t>BHS</t>
        </is>
      </c>
      <c r="C64" s="14" t="inlineStr">
        <is>
          <t>BHS</t>
        </is>
      </c>
      <c r="D64" s="14" t="inlineStr">
        <is>
          <t>Bahamas, The</t>
        </is>
      </c>
      <c r="E64" s="14" t="n">
        <v>2023</v>
      </c>
      <c r="F64" s="14" t="n">
        <v>0.1</v>
      </c>
      <c r="G64" s="14" t="n">
        <v>6.147</v>
      </c>
      <c r="H64" s="14" t="n">
        <v>1.286</v>
      </c>
      <c r="I64" s="14" t="n">
        <v>0</v>
      </c>
      <c r="J64" s="14" t="n">
        <v>6.147</v>
      </c>
      <c r="K64" s="14" t="n">
        <v>0</v>
      </c>
      <c r="L64" s="14" t="n">
        <v>1</v>
      </c>
      <c r="M64" s="14" t="n">
        <v>7.886</v>
      </c>
      <c r="N64" s="14" t="n">
        <v>3.857</v>
      </c>
      <c r="O64" s="14" t="n">
        <v>0</v>
      </c>
      <c r="P64" s="14" t="n">
        <v>7.886</v>
      </c>
      <c r="Q64" s="14" t="n">
        <v>0</v>
      </c>
      <c r="R64" s="14" t="n">
        <v>1</v>
      </c>
      <c r="S64" s="14" t="n">
        <v>12.575</v>
      </c>
      <c r="T64" s="14" t="n">
        <v>7.714</v>
      </c>
      <c r="U64" s="14" t="n">
        <v>0.139</v>
      </c>
      <c r="V64" s="14" t="n">
        <v>13.833</v>
      </c>
      <c r="W64" s="14" t="n">
        <v>0.1</v>
      </c>
      <c r="X64" s="14" t="n">
        <v>1</v>
      </c>
      <c r="Y64" s="14" t="n">
        <v>12.477</v>
      </c>
      <c r="Z64" s="14" t="n">
        <v>1.678</v>
      </c>
      <c r="AA64" s="14" t="n">
        <v>0</v>
      </c>
      <c r="AB64" s="14" t="n">
        <v>12.477</v>
      </c>
      <c r="AC64" s="14" t="n">
        <v>0</v>
      </c>
      <c r="AD64" s="14" t="n">
        <v>1</v>
      </c>
      <c r="AE64" s="14" t="n">
        <v>13.763</v>
      </c>
      <c r="AF64" s="14" t="n">
        <v>3.223</v>
      </c>
      <c r="AG64" s="14" t="n">
        <v>0</v>
      </c>
      <c r="AH64" s="14" t="n">
        <v>13.763</v>
      </c>
      <c r="AI64" s="14" t="n">
        <v>0</v>
      </c>
      <c r="AJ64" s="14" t="n">
        <v>1</v>
      </c>
      <c r="AK64" s="14" t="n">
        <v>21.477</v>
      </c>
      <c r="AL64" s="14" t="n">
        <v>11.54</v>
      </c>
      <c r="AM64" s="14" t="n">
        <v>0.238</v>
      </c>
      <c r="AN64" s="14" t="n">
        <v>23.624</v>
      </c>
      <c r="AO64" s="14" t="n">
        <v>0.1</v>
      </c>
      <c r="AP64" s="14" t="n">
        <v>1</v>
      </c>
      <c r="AQ64" s="14" t="n">
        <v>0.791</v>
      </c>
      <c r="AR64" s="14" t="n">
        <v>0.129</v>
      </c>
      <c r="AS64" s="14" t="n">
        <v>0.721</v>
      </c>
      <c r="AT64" s="14" t="n">
        <v>1.645</v>
      </c>
      <c r="AU64" s="14" t="n">
        <v>0.1</v>
      </c>
      <c r="AV64" s="14" t="n">
        <v>1</v>
      </c>
      <c r="AW64" s="14" t="n">
        <v>0.618</v>
      </c>
      <c r="AX64" s="14" t="n">
        <v>0.129</v>
      </c>
      <c r="AY64" s="14" t="n">
        <v>0.598</v>
      </c>
      <c r="AZ64" s="14" t="n">
        <v>1.323</v>
      </c>
      <c r="BA64" s="14" t="n">
        <v>0.1</v>
      </c>
      <c r="BB64" s="14" t="n">
        <v>1</v>
      </c>
      <c r="BC64" s="14" t="n">
        <v>0.554</v>
      </c>
      <c r="BD64" s="14" t="n">
        <v>0.129</v>
      </c>
      <c r="BE64" s="14" t="n">
        <v>0.008</v>
      </c>
      <c r="BF64" s="14" t="n">
        <v>0.612</v>
      </c>
      <c r="BG64" s="14" t="n">
        <v>0.1</v>
      </c>
      <c r="BH64" s="14" t="n">
        <v>1</v>
      </c>
      <c r="BI64" s="14" t="n">
        <v>0.5570000000000001</v>
      </c>
      <c r="BJ64" s="14" t="n">
        <v>0.129</v>
      </c>
      <c r="BK64" s="14" t="n">
        <v>0.035</v>
      </c>
      <c r="BL64" s="14" t="n">
        <v>0.644</v>
      </c>
      <c r="BM64" s="14" t="n">
        <v>0.1</v>
      </c>
      <c r="BN64" s="14" t="n">
        <v>1</v>
      </c>
      <c r="BO64" s="14" t="n">
        <v>0</v>
      </c>
      <c r="BP64" s="14" t="n">
        <v>0</v>
      </c>
      <c r="BQ64" s="14" t="n">
        <v>0.402</v>
      </c>
      <c r="BR64" s="14" t="n">
        <v>0</v>
      </c>
      <c r="BS64" s="14" t="n">
        <v>1</v>
      </c>
      <c r="BT64" s="14" t="n">
        <v>0</v>
      </c>
      <c r="BU64" s="14" t="n">
        <v>0</v>
      </c>
      <c r="BV64" s="14" t="n">
        <v>0.41</v>
      </c>
      <c r="BW64" s="14" t="n">
        <v>0.1</v>
      </c>
      <c r="BX64" s="14" t="n">
        <v>1</v>
      </c>
      <c r="BY64" s="14" t="n">
        <v>13.254</v>
      </c>
      <c r="BZ64" s="14" t="n">
        <v>0</v>
      </c>
      <c r="CA64" s="14" t="n">
        <v>13.254</v>
      </c>
      <c r="CB64" s="14" t="n">
        <v>0</v>
      </c>
      <c r="CC64" s="14" t="n">
        <v>83.248</v>
      </c>
      <c r="CD64" s="14" t="n">
        <v>7.95</v>
      </c>
      <c r="CE64" s="14" t="n">
        <v>0.922</v>
      </c>
      <c r="CF64" s="14" t="n">
        <v>91.57299999999999</v>
      </c>
      <c r="CG64" s="14" t="n">
        <v>0.1</v>
      </c>
      <c r="CH64" s="14" t="n">
        <v>1</v>
      </c>
      <c r="CI64" s="14" t="n">
        <v>0</v>
      </c>
      <c r="CJ64" s="14" t="n">
        <v>0</v>
      </c>
      <c r="CK64" s="14" t="n">
        <v>0</v>
      </c>
      <c r="CL64" s="14" t="n">
        <v>0</v>
      </c>
      <c r="CM64" s="14" t="n">
        <v>0</v>
      </c>
      <c r="CN64" s="14" t="n">
        <v>0</v>
      </c>
      <c r="CO64" s="14" t="n">
        <v>0</v>
      </c>
      <c r="CP64" s="14" t="n">
        <v>0</v>
      </c>
      <c r="CQ64" s="14" t="n">
        <v>1.348</v>
      </c>
      <c r="CR64" s="14" t="n">
        <v>0</v>
      </c>
      <c r="CS64" s="14" t="n">
        <v>5.37</v>
      </c>
      <c r="CT64" s="14" t="n">
        <v>4.861</v>
      </c>
      <c r="CU64" s="14" t="n">
        <v>11.192</v>
      </c>
    </row>
    <row r="65">
      <c r="A65" s="14" t="inlineStr">
        <is>
          <t>BHS2024</t>
        </is>
      </c>
      <c r="B65" s="14" t="inlineStr">
        <is>
          <t>BHS</t>
        </is>
      </c>
      <c r="C65" s="14" t="inlineStr">
        <is>
          <t>BHS</t>
        </is>
      </c>
      <c r="D65" s="14" t="inlineStr">
        <is>
          <t>Bahamas, The</t>
        </is>
      </c>
      <c r="E65" s="14" t="n">
        <v>2024</v>
      </c>
      <c r="F65" s="14" t="n">
        <v>0.1</v>
      </c>
      <c r="G65" s="14" t="n">
        <v>5.575</v>
      </c>
      <c r="H65" s="14" t="n">
        <v>1.324</v>
      </c>
      <c r="I65" s="14" t="n">
        <v>0</v>
      </c>
      <c r="J65" s="14" t="n">
        <v>5.575</v>
      </c>
      <c r="K65" s="14" t="n">
        <v>0</v>
      </c>
      <c r="L65" s="14" t="n">
        <v>1</v>
      </c>
      <c r="M65" s="14" t="n">
        <v>7.124</v>
      </c>
      <c r="N65" s="14" t="n">
        <v>3.971</v>
      </c>
      <c r="O65" s="14" t="n">
        <v>0</v>
      </c>
      <c r="P65" s="14" t="n">
        <v>7.124</v>
      </c>
      <c r="Q65" s="14" t="n">
        <v>0</v>
      </c>
      <c r="R65" s="14" t="n">
        <v>1</v>
      </c>
      <c r="S65" s="14" t="n">
        <v>12.193</v>
      </c>
      <c r="T65" s="14" t="n">
        <v>7.942</v>
      </c>
      <c r="U65" s="14" t="n">
        <v>0.166</v>
      </c>
      <c r="V65" s="14" t="n">
        <v>13.412</v>
      </c>
      <c r="W65" s="14" t="n">
        <v>0.1</v>
      </c>
      <c r="X65" s="14" t="n">
        <v>1</v>
      </c>
      <c r="Y65" s="14" t="n">
        <v>11.446</v>
      </c>
      <c r="Z65" s="14" t="n">
        <v>1.54</v>
      </c>
      <c r="AA65" s="14" t="n">
        <v>0</v>
      </c>
      <c r="AB65" s="14" t="n">
        <v>11.446</v>
      </c>
      <c r="AC65" s="14" t="n">
        <v>0</v>
      </c>
      <c r="AD65" s="14" t="n">
        <v>1</v>
      </c>
      <c r="AE65" s="14" t="n">
        <v>12.77</v>
      </c>
      <c r="AF65" s="14" t="n">
        <v>2.99</v>
      </c>
      <c r="AG65" s="14" t="n">
        <v>0</v>
      </c>
      <c r="AH65" s="14" t="n">
        <v>12.77</v>
      </c>
      <c r="AI65" s="14" t="n">
        <v>0</v>
      </c>
      <c r="AJ65" s="14" t="n">
        <v>1</v>
      </c>
      <c r="AK65" s="14" t="n">
        <v>20.712</v>
      </c>
      <c r="AL65" s="14" t="n">
        <v>11.129</v>
      </c>
      <c r="AM65" s="14" t="n">
        <v>0.282</v>
      </c>
      <c r="AN65" s="14" t="n">
        <v>22.783</v>
      </c>
      <c r="AO65" s="14" t="n">
        <v>0.1</v>
      </c>
      <c r="AP65" s="14" t="n">
        <v>1</v>
      </c>
      <c r="AQ65" s="14" t="n">
        <v>0.756</v>
      </c>
      <c r="AR65" s="14" t="n">
        <v>0.132</v>
      </c>
      <c r="AS65" s="14" t="n">
        <v>0.751</v>
      </c>
      <c r="AT65" s="14" t="n">
        <v>1.635</v>
      </c>
      <c r="AU65" s="14" t="n">
        <v>0.1</v>
      </c>
      <c r="AV65" s="14" t="n">
        <v>1</v>
      </c>
      <c r="AW65" s="14" t="n">
        <v>0.655</v>
      </c>
      <c r="AX65" s="14" t="n">
        <v>0.132</v>
      </c>
      <c r="AY65" s="14" t="n">
        <v>0.617</v>
      </c>
      <c r="AZ65" s="14" t="n">
        <v>1.381</v>
      </c>
      <c r="BA65" s="14" t="n">
        <v>0.1</v>
      </c>
      <c r="BB65" s="14" t="n">
        <v>1</v>
      </c>
      <c r="BC65" s="14" t="n">
        <v>0.534</v>
      </c>
      <c r="BD65" s="14" t="n">
        <v>0.132</v>
      </c>
      <c r="BE65" s="14" t="n">
        <v>0.008999999999999999</v>
      </c>
      <c r="BF65" s="14" t="n">
        <v>0.589</v>
      </c>
      <c r="BG65" s="14" t="n">
        <v>0.1</v>
      </c>
      <c r="BH65" s="14" t="n">
        <v>1</v>
      </c>
      <c r="BI65" s="14" t="n">
        <v>0.5679999999999999</v>
      </c>
      <c r="BJ65" s="14" t="n">
        <v>0.132</v>
      </c>
      <c r="BK65" s="14" t="n">
        <v>0.037</v>
      </c>
      <c r="BL65" s="14" t="n">
        <v>0.656</v>
      </c>
      <c r="BM65" s="14" t="n">
        <v>0.1</v>
      </c>
      <c r="BN65" s="14" t="n">
        <v>1</v>
      </c>
      <c r="BO65" s="14" t="n">
        <v>0</v>
      </c>
      <c r="BP65" s="14" t="n">
        <v>0</v>
      </c>
      <c r="BQ65" s="14" t="n">
        <v>0.357</v>
      </c>
      <c r="BR65" s="14" t="n">
        <v>0</v>
      </c>
      <c r="BS65" s="14" t="n">
        <v>1</v>
      </c>
      <c r="BT65" s="14" t="n">
        <v>0</v>
      </c>
      <c r="BU65" s="14" t="n">
        <v>0</v>
      </c>
      <c r="BV65" s="14" t="n">
        <v>0.331</v>
      </c>
      <c r="BW65" s="14" t="n">
        <v>0.1</v>
      </c>
      <c r="BX65" s="14" t="n">
        <v>1</v>
      </c>
      <c r="BY65" s="14" t="n">
        <v>13.646</v>
      </c>
      <c r="BZ65" s="14" t="n">
        <v>0</v>
      </c>
      <c r="CA65" s="14" t="n">
        <v>13.646</v>
      </c>
      <c r="CB65" s="14" t="n">
        <v>0</v>
      </c>
      <c r="CC65" s="14" t="n">
        <v>82.58799999999999</v>
      </c>
      <c r="CD65" s="14" t="n">
        <v>7.95</v>
      </c>
      <c r="CE65" s="14" t="n">
        <v>1.125</v>
      </c>
      <c r="CF65" s="14" t="n">
        <v>90.84699999999999</v>
      </c>
      <c r="CG65" s="14" t="n">
        <v>0.1</v>
      </c>
      <c r="CH65" s="14" t="n">
        <v>1</v>
      </c>
      <c r="CI65" s="14" t="n">
        <v>0</v>
      </c>
      <c r="CJ65" s="14" t="n">
        <v>0</v>
      </c>
      <c r="CK65" s="14" t="n">
        <v>0</v>
      </c>
      <c r="CL65" s="14" t="n">
        <v>0</v>
      </c>
      <c r="CM65" s="14" t="n">
        <v>0</v>
      </c>
      <c r="CN65" s="14" t="n">
        <v>0</v>
      </c>
      <c r="CO65" s="14" t="n">
        <v>0</v>
      </c>
      <c r="CP65" s="14" t="n">
        <v>0</v>
      </c>
      <c r="CQ65" s="14" t="n">
        <v>1.387</v>
      </c>
      <c r="CR65" s="14" t="n">
        <v>0</v>
      </c>
      <c r="CS65" s="14" t="n">
        <v>5.529</v>
      </c>
      <c r="CT65" s="14" t="n">
        <v>4.251</v>
      </c>
      <c r="CU65" s="14" t="n">
        <v>10.123</v>
      </c>
    </row>
    <row r="66">
      <c r="A66" s="14" t="inlineStr">
        <is>
          <t>BHR2021</t>
        </is>
      </c>
      <c r="B66" s="14" t="inlineStr">
        <is>
          <t>BHR</t>
        </is>
      </c>
      <c r="C66" s="14" t="inlineStr">
        <is>
          <t>BHR</t>
        </is>
      </c>
      <c r="D66" s="14" t="inlineStr">
        <is>
          <t>Bahrain</t>
        </is>
      </c>
      <c r="E66" s="14" t="n">
        <v>2021</v>
      </c>
      <c r="F66" s="14" t="n">
        <v>0.05</v>
      </c>
      <c r="G66" s="14" t="n">
        <v>5.897</v>
      </c>
      <c r="H66" s="14" t="n">
        <v>1.143</v>
      </c>
      <c r="I66" s="14" t="n">
        <v>0.238</v>
      </c>
      <c r="J66" s="14" t="n">
        <v>6.134</v>
      </c>
      <c r="K66" s="14" t="n">
        <v>0</v>
      </c>
      <c r="L66" s="14" t="n">
        <v>1</v>
      </c>
      <c r="M66" s="14" t="n">
        <v>7.964</v>
      </c>
      <c r="N66" s="14" t="n">
        <v>3.43</v>
      </c>
      <c r="O66" s="14" t="n">
        <v>0.227</v>
      </c>
      <c r="P66" s="14" t="n">
        <v>8.191000000000001</v>
      </c>
      <c r="Q66" s="14" t="n">
        <v>0</v>
      </c>
      <c r="R66" s="14" t="n">
        <v>1</v>
      </c>
      <c r="S66" s="14" t="n">
        <v>11.613</v>
      </c>
      <c r="T66" s="14" t="n">
        <v>6.86</v>
      </c>
      <c r="U66" s="14" t="n">
        <v>0.238</v>
      </c>
      <c r="V66" s="14" t="n">
        <v>12.444</v>
      </c>
      <c r="W66" s="14" t="n">
        <v>0.05</v>
      </c>
      <c r="X66" s="14" t="n">
        <v>1</v>
      </c>
      <c r="Y66" s="14" t="n">
        <v>2.611</v>
      </c>
      <c r="Z66" s="14" t="n">
        <v>0.236</v>
      </c>
      <c r="AA66" s="14" t="n">
        <v>1.345</v>
      </c>
      <c r="AB66" s="14" t="n">
        <v>3.956</v>
      </c>
      <c r="AC66" s="14" t="n">
        <v>0</v>
      </c>
      <c r="AD66" s="14" t="n">
        <v>1</v>
      </c>
      <c r="AE66" s="14" t="n">
        <v>3.182</v>
      </c>
      <c r="AF66" s="14" t="n">
        <v>0.519</v>
      </c>
      <c r="AG66" s="14" t="n">
        <v>0.774</v>
      </c>
      <c r="AH66" s="14" t="n">
        <v>3.956</v>
      </c>
      <c r="AI66" s="14" t="n">
        <v>0</v>
      </c>
      <c r="AJ66" s="14" t="n">
        <v>1</v>
      </c>
      <c r="AK66" s="14" t="n">
        <v>6.612</v>
      </c>
      <c r="AL66" s="14" t="n">
        <v>2.78</v>
      </c>
      <c r="AM66" s="14" t="n">
        <v>-3.094</v>
      </c>
      <c r="AN66" s="14" t="n">
        <v>3.694</v>
      </c>
      <c r="AO66" s="14" t="n">
        <v>0</v>
      </c>
      <c r="AP66" s="14" t="n">
        <v>0</v>
      </c>
      <c r="AQ66" s="14" t="n">
        <v>0.621</v>
      </c>
      <c r="AR66" s="14" t="n">
        <v>0.114</v>
      </c>
      <c r="AS66" s="14" t="n">
        <v>-0.2</v>
      </c>
      <c r="AT66" s="14" t="n">
        <v>0.42</v>
      </c>
      <c r="AU66" s="14" t="n">
        <v>0</v>
      </c>
      <c r="AV66" s="14" t="n">
        <v>0</v>
      </c>
      <c r="AW66" s="14" t="n">
        <v>0.593</v>
      </c>
      <c r="AX66" s="14" t="n">
        <v>0.114</v>
      </c>
      <c r="AY66" s="14" t="n">
        <v>-0.115</v>
      </c>
      <c r="AZ66" s="14" t="n">
        <v>0.478</v>
      </c>
      <c r="BA66" s="14" t="n">
        <v>0</v>
      </c>
      <c r="BB66" s="14" t="n">
        <v>0</v>
      </c>
      <c r="BC66" s="14" t="n">
        <v>0.44</v>
      </c>
      <c r="BD66" s="14" t="n">
        <v>0.114</v>
      </c>
      <c r="BE66" s="14" t="n">
        <v>-0.289</v>
      </c>
      <c r="BF66" s="14" t="n">
        <v>0.151</v>
      </c>
      <c r="BG66" s="14" t="n">
        <v>0</v>
      </c>
      <c r="BH66" s="14" t="n">
        <v>0</v>
      </c>
      <c r="BI66" s="14" t="n">
        <v>0.5600000000000001</v>
      </c>
      <c r="BJ66" s="14" t="n">
        <v>0.114</v>
      </c>
      <c r="BK66" s="14" t="n">
        <v>-0.132</v>
      </c>
      <c r="BL66" s="14" t="n">
        <v>0.428</v>
      </c>
      <c r="BM66" s="14" t="n">
        <v>0</v>
      </c>
      <c r="BN66" s="14" t="n">
        <v>0</v>
      </c>
      <c r="BO66" s="14" t="n">
        <v>0</v>
      </c>
      <c r="BP66" s="14" t="n">
        <v>-0.054</v>
      </c>
      <c r="BQ66" s="14" t="n">
        <v>0.037</v>
      </c>
      <c r="BR66" s="14" t="n">
        <v>0</v>
      </c>
      <c r="BS66" s="14" t="n">
        <v>0.167</v>
      </c>
      <c r="BT66" s="14" t="n">
        <v>0</v>
      </c>
      <c r="BU66" s="14" t="n">
        <v>-0.054</v>
      </c>
      <c r="BV66" s="14" t="n">
        <v>0.021</v>
      </c>
      <c r="BW66" s="14" t="n">
        <v>0</v>
      </c>
      <c r="BX66" s="14" t="n">
        <v>0.167</v>
      </c>
      <c r="BY66" s="14" t="n">
        <v>11.787</v>
      </c>
      <c r="BZ66" s="14" t="n">
        <v>0</v>
      </c>
      <c r="CA66" s="14" t="n">
        <v>11.787</v>
      </c>
      <c r="CB66" s="14" t="n">
        <v>0</v>
      </c>
      <c r="CC66" s="14" t="n">
        <v>81.69499999999999</v>
      </c>
      <c r="CD66" s="14" t="n">
        <v>7.95</v>
      </c>
      <c r="CE66" s="14" t="n">
        <v>-17.258</v>
      </c>
      <c r="CF66" s="14" t="n">
        <v>67.66</v>
      </c>
      <c r="CG66" s="14" t="n">
        <v>0</v>
      </c>
      <c r="CH66" s="14" t="n">
        <v>0</v>
      </c>
      <c r="CI66" s="14" t="n">
        <v>0</v>
      </c>
      <c r="CJ66" s="14" t="n">
        <v>0</v>
      </c>
      <c r="CK66" s="14" t="n">
        <v>0</v>
      </c>
      <c r="CL66" s="14" t="n">
        <v>0</v>
      </c>
      <c r="CM66" s="14" t="n">
        <v>0</v>
      </c>
      <c r="CN66" s="14" t="n">
        <v>0</v>
      </c>
      <c r="CO66" s="14" t="n">
        <v>0</v>
      </c>
      <c r="CP66" s="14" t="n">
        <v>0</v>
      </c>
      <c r="CQ66" s="14" t="n">
        <v>1.198</v>
      </c>
      <c r="CR66" s="14" t="n">
        <v>1</v>
      </c>
      <c r="CS66" s="14" t="n">
        <v>2.039</v>
      </c>
      <c r="CT66" s="14" t="n">
        <v>4.753</v>
      </c>
      <c r="CU66" s="14" t="n">
        <v>14.162</v>
      </c>
    </row>
    <row r="67">
      <c r="A67" s="14" t="inlineStr">
        <is>
          <t>BHR2022</t>
        </is>
      </c>
      <c r="B67" s="14" t="inlineStr">
        <is>
          <t>BHR</t>
        </is>
      </c>
      <c r="C67" s="14" t="inlineStr">
        <is>
          <t>BHR</t>
        </is>
      </c>
      <c r="D67" s="14" t="inlineStr">
        <is>
          <t>Bahrain</t>
        </is>
      </c>
      <c r="E67" s="14" t="n">
        <v>2022</v>
      </c>
      <c r="F67" s="14" t="n">
        <v>0.1</v>
      </c>
      <c r="G67" s="14" t="n">
        <v>11.72</v>
      </c>
      <c r="H67" s="14" t="n">
        <v>1.235</v>
      </c>
      <c r="I67" s="14" t="n">
        <v>0.5659999999999999</v>
      </c>
      <c r="J67" s="14" t="n">
        <v>12.286</v>
      </c>
      <c r="K67" s="14" t="n">
        <v>0</v>
      </c>
      <c r="L67" s="14" t="n">
        <v>1</v>
      </c>
      <c r="M67" s="14" t="n">
        <v>9.782999999999999</v>
      </c>
      <c r="N67" s="14" t="n">
        <v>3.704</v>
      </c>
      <c r="O67" s="14" t="n">
        <v>0.328</v>
      </c>
      <c r="P67" s="14" t="n">
        <v>10.111</v>
      </c>
      <c r="Q67" s="14" t="n">
        <v>0</v>
      </c>
      <c r="R67" s="14" t="n">
        <v>1</v>
      </c>
      <c r="S67" s="14" t="n">
        <v>17.893</v>
      </c>
      <c r="T67" s="14" t="n">
        <v>7.408</v>
      </c>
      <c r="U67" s="14" t="n">
        <v>0.703</v>
      </c>
      <c r="V67" s="14" t="n">
        <v>20.305</v>
      </c>
      <c r="W67" s="14" t="n">
        <v>0.1</v>
      </c>
      <c r="X67" s="14" t="n">
        <v>1</v>
      </c>
      <c r="Y67" s="14" t="n">
        <v>2.819</v>
      </c>
      <c r="Z67" s="14" t="n">
        <v>0.255</v>
      </c>
      <c r="AA67" s="14" t="n">
        <v>1.401</v>
      </c>
      <c r="AB67" s="14" t="n">
        <v>4.22</v>
      </c>
      <c r="AC67" s="14" t="n">
        <v>0</v>
      </c>
      <c r="AD67" s="14" t="n">
        <v>1</v>
      </c>
      <c r="AE67" s="14" t="n">
        <v>3.437</v>
      </c>
      <c r="AF67" s="14" t="n">
        <v>0.5610000000000001</v>
      </c>
      <c r="AG67" s="14" t="n">
        <v>0.783</v>
      </c>
      <c r="AH67" s="14" t="n">
        <v>4.22</v>
      </c>
      <c r="AI67" s="14" t="n">
        <v>0</v>
      </c>
      <c r="AJ67" s="14" t="n">
        <v>1</v>
      </c>
      <c r="AK67" s="14" t="n">
        <v>7.141</v>
      </c>
      <c r="AL67" s="14" t="n">
        <v>3.002</v>
      </c>
      <c r="AM67" s="14" t="n">
        <v>-3.783</v>
      </c>
      <c r="AN67" s="14" t="n">
        <v>3.694</v>
      </c>
      <c r="AO67" s="14" t="n">
        <v>0</v>
      </c>
      <c r="AP67" s="14" t="n">
        <v>0</v>
      </c>
      <c r="AQ67" s="14" t="n">
        <v>0.847</v>
      </c>
      <c r="AR67" s="14" t="n">
        <v>0.123</v>
      </c>
      <c r="AS67" s="14" t="n">
        <v>-0.427</v>
      </c>
      <c r="AT67" s="14" t="n">
        <v>0.42</v>
      </c>
      <c r="AU67" s="14" t="n">
        <v>0</v>
      </c>
      <c r="AV67" s="14" t="n">
        <v>0</v>
      </c>
      <c r="AW67" s="14" t="n">
        <v>0.947</v>
      </c>
      <c r="AX67" s="14" t="n">
        <v>0.123</v>
      </c>
      <c r="AY67" s="14" t="n">
        <v>-0.469</v>
      </c>
      <c r="AZ67" s="14" t="n">
        <v>0.478</v>
      </c>
      <c r="BA67" s="14" t="n">
        <v>0</v>
      </c>
      <c r="BB67" s="14" t="n">
        <v>0</v>
      </c>
      <c r="BC67" s="14" t="n">
        <v>0.589</v>
      </c>
      <c r="BD67" s="14" t="n">
        <v>0.123</v>
      </c>
      <c r="BE67" s="14" t="n">
        <v>-0.438</v>
      </c>
      <c r="BF67" s="14" t="n">
        <v>0.151</v>
      </c>
      <c r="BG67" s="14" t="n">
        <v>0</v>
      </c>
      <c r="BH67" s="14" t="n">
        <v>0</v>
      </c>
      <c r="BI67" s="14" t="n">
        <v>0.6889999999999999</v>
      </c>
      <c r="BJ67" s="14" t="n">
        <v>0.123</v>
      </c>
      <c r="BK67" s="14" t="n">
        <v>-0.261</v>
      </c>
      <c r="BL67" s="14" t="n">
        <v>0.428</v>
      </c>
      <c r="BM67" s="14" t="n">
        <v>0</v>
      </c>
      <c r="BN67" s="14" t="n">
        <v>0</v>
      </c>
      <c r="BO67" s="14" t="n">
        <v>0</v>
      </c>
      <c r="BP67" s="14" t="n">
        <v>-0.1</v>
      </c>
      <c r="BQ67" s="14" t="n">
        <v>0.037</v>
      </c>
      <c r="BR67" s="14" t="n">
        <v>0</v>
      </c>
      <c r="BS67" s="14" t="n">
        <v>0.167</v>
      </c>
      <c r="BT67" s="14" t="n">
        <v>0</v>
      </c>
      <c r="BU67" s="14" t="n">
        <v>-0.1</v>
      </c>
      <c r="BV67" s="14" t="n">
        <v>0.021</v>
      </c>
      <c r="BW67" s="14" t="n">
        <v>0</v>
      </c>
      <c r="BX67" s="14" t="n">
        <v>0.167</v>
      </c>
      <c r="BY67" s="14" t="n">
        <v>12.729</v>
      </c>
      <c r="BZ67" s="14" t="n">
        <v>0</v>
      </c>
      <c r="CA67" s="14" t="n">
        <v>12.729</v>
      </c>
      <c r="CB67" s="14" t="n">
        <v>0</v>
      </c>
      <c r="CC67" s="14" t="n">
        <v>102.477</v>
      </c>
      <c r="CD67" s="14" t="n">
        <v>7.95</v>
      </c>
      <c r="CE67" s="14" t="n">
        <v>-40.968</v>
      </c>
      <c r="CF67" s="14" t="n">
        <v>67.66</v>
      </c>
      <c r="CG67" s="14" t="n">
        <v>0</v>
      </c>
      <c r="CH67" s="14" t="n">
        <v>0</v>
      </c>
      <c r="CI67" s="14" t="n">
        <v>0</v>
      </c>
      <c r="CJ67" s="14" t="n">
        <v>0</v>
      </c>
      <c r="CK67" s="14" t="n">
        <v>0</v>
      </c>
      <c r="CL67" s="14" t="n">
        <v>0</v>
      </c>
      <c r="CM67" s="14" t="n">
        <v>0</v>
      </c>
      <c r="CN67" s="14" t="n">
        <v>0</v>
      </c>
      <c r="CO67" s="14" t="n">
        <v>0</v>
      </c>
      <c r="CP67" s="14" t="n">
        <v>0</v>
      </c>
      <c r="CQ67" s="14" t="n">
        <v>1.294</v>
      </c>
      <c r="CR67" s="14" t="n">
        <v>1</v>
      </c>
      <c r="CS67" s="14" t="n">
        <v>2.202</v>
      </c>
      <c r="CT67" s="14" t="n">
        <v>10.485</v>
      </c>
      <c r="CU67" s="14" t="n">
        <v>30.326</v>
      </c>
    </row>
    <row r="68">
      <c r="A68" s="14" t="inlineStr">
        <is>
          <t>BHR2023</t>
        </is>
      </c>
      <c r="B68" s="14" t="inlineStr">
        <is>
          <t>BHR</t>
        </is>
      </c>
      <c r="C68" s="14" t="inlineStr">
        <is>
          <t>BHR</t>
        </is>
      </c>
      <c r="D68" s="14" t="inlineStr">
        <is>
          <t>Bahrain</t>
        </is>
      </c>
      <c r="E68" s="14" t="n">
        <v>2023</v>
      </c>
      <c r="F68" s="14" t="n">
        <v>0.1</v>
      </c>
      <c r="G68" s="14" t="n">
        <v>6.147</v>
      </c>
      <c r="H68" s="14" t="n">
        <v>1.286</v>
      </c>
      <c r="I68" s="14" t="n">
        <v>0.273</v>
      </c>
      <c r="J68" s="14" t="n">
        <v>6.42</v>
      </c>
      <c r="K68" s="14" t="n">
        <v>0</v>
      </c>
      <c r="L68" s="14" t="n">
        <v>1</v>
      </c>
      <c r="M68" s="14" t="n">
        <v>7.886</v>
      </c>
      <c r="N68" s="14" t="n">
        <v>3.857</v>
      </c>
      <c r="O68" s="14" t="n">
        <v>0.227</v>
      </c>
      <c r="P68" s="14" t="n">
        <v>8.113</v>
      </c>
      <c r="Q68" s="14" t="n">
        <v>0</v>
      </c>
      <c r="R68" s="14" t="n">
        <v>1</v>
      </c>
      <c r="S68" s="14" t="n">
        <v>12.575</v>
      </c>
      <c r="T68" s="14" t="n">
        <v>7.714</v>
      </c>
      <c r="U68" s="14" t="n">
        <v>0.416</v>
      </c>
      <c r="V68" s="14" t="n">
        <v>14.133</v>
      </c>
      <c r="W68" s="14" t="n">
        <v>0.1</v>
      </c>
      <c r="X68" s="14" t="n">
        <v>1</v>
      </c>
      <c r="Y68" s="14" t="n">
        <v>2.936</v>
      </c>
      <c r="Z68" s="14" t="n">
        <v>0.266</v>
      </c>
      <c r="AA68" s="14" t="n">
        <v>1.284</v>
      </c>
      <c r="AB68" s="14" t="n">
        <v>4.22</v>
      </c>
      <c r="AC68" s="14" t="n">
        <v>0</v>
      </c>
      <c r="AD68" s="14" t="n">
        <v>1</v>
      </c>
      <c r="AE68" s="14" t="n">
        <v>3.579</v>
      </c>
      <c r="AF68" s="14" t="n">
        <v>0.584</v>
      </c>
      <c r="AG68" s="14" t="n">
        <v>0.641</v>
      </c>
      <c r="AH68" s="14" t="n">
        <v>4.22</v>
      </c>
      <c r="AI68" s="14" t="n">
        <v>0</v>
      </c>
      <c r="AJ68" s="14" t="n">
        <v>1</v>
      </c>
      <c r="AK68" s="14" t="n">
        <v>7.436</v>
      </c>
      <c r="AL68" s="14" t="n">
        <v>3.126</v>
      </c>
      <c r="AM68" s="14" t="n">
        <v>-4.078</v>
      </c>
      <c r="AN68" s="14" t="n">
        <v>3.694</v>
      </c>
      <c r="AO68" s="14" t="n">
        <v>0</v>
      </c>
      <c r="AP68" s="14" t="n">
        <v>0</v>
      </c>
      <c r="AQ68" s="14" t="n">
        <v>0.749</v>
      </c>
      <c r="AR68" s="14" t="n">
        <v>0.129</v>
      </c>
      <c r="AS68" s="14" t="n">
        <v>-0.329</v>
      </c>
      <c r="AT68" s="14" t="n">
        <v>0.42</v>
      </c>
      <c r="AU68" s="14" t="n">
        <v>0</v>
      </c>
      <c r="AV68" s="14" t="n">
        <v>0</v>
      </c>
      <c r="AW68" s="14" t="n">
        <v>0.783</v>
      </c>
      <c r="AX68" s="14" t="n">
        <v>0.129</v>
      </c>
      <c r="AY68" s="14" t="n">
        <v>-0.305</v>
      </c>
      <c r="AZ68" s="14" t="n">
        <v>0.478</v>
      </c>
      <c r="BA68" s="14" t="n">
        <v>0</v>
      </c>
      <c r="BB68" s="14" t="n">
        <v>0</v>
      </c>
      <c r="BC68" s="14" t="n">
        <v>0.527</v>
      </c>
      <c r="BD68" s="14" t="n">
        <v>0.129</v>
      </c>
      <c r="BE68" s="14" t="n">
        <v>-0.374</v>
      </c>
      <c r="BF68" s="14" t="n">
        <v>0.153</v>
      </c>
      <c r="BG68" s="14" t="n">
        <v>0</v>
      </c>
      <c r="BH68" s="14" t="n">
        <v>0</v>
      </c>
      <c r="BI68" s="14" t="n">
        <v>0.64</v>
      </c>
      <c r="BJ68" s="14" t="n">
        <v>0.129</v>
      </c>
      <c r="BK68" s="14" t="n">
        <v>-0.215</v>
      </c>
      <c r="BL68" s="14" t="n">
        <v>0.425</v>
      </c>
      <c r="BM68" s="14" t="n">
        <v>0</v>
      </c>
      <c r="BN68" s="14" t="n">
        <v>0</v>
      </c>
      <c r="BO68" s="14" t="n">
        <v>0</v>
      </c>
      <c r="BP68" s="14" t="n">
        <v>-0.07199999999999999</v>
      </c>
      <c r="BQ68" s="14" t="n">
        <v>0.037</v>
      </c>
      <c r="BR68" s="14" t="n">
        <v>0</v>
      </c>
      <c r="BS68" s="14" t="n">
        <v>0.167</v>
      </c>
      <c r="BT68" s="14" t="n">
        <v>0</v>
      </c>
      <c r="BU68" s="14" t="n">
        <v>-0.07199999999999999</v>
      </c>
      <c r="BV68" s="14" t="n">
        <v>0.021</v>
      </c>
      <c r="BW68" s="14" t="n">
        <v>0</v>
      </c>
      <c r="BX68" s="14" t="n">
        <v>0.167</v>
      </c>
      <c r="BY68" s="14" t="n">
        <v>13.254</v>
      </c>
      <c r="BZ68" s="14" t="n">
        <v>0</v>
      </c>
      <c r="CA68" s="14" t="n">
        <v>13.254</v>
      </c>
      <c r="CB68" s="14" t="n">
        <v>0</v>
      </c>
      <c r="CC68" s="14" t="n">
        <v>87.07899999999999</v>
      </c>
      <c r="CD68" s="14" t="n">
        <v>7.95</v>
      </c>
      <c r="CE68" s="14" t="n">
        <v>-25.57</v>
      </c>
      <c r="CF68" s="14" t="n">
        <v>67.66</v>
      </c>
      <c r="CG68" s="14" t="n">
        <v>0</v>
      </c>
      <c r="CH68" s="14" t="n">
        <v>0</v>
      </c>
      <c r="CI68" s="14" t="n">
        <v>0</v>
      </c>
      <c r="CJ68" s="14" t="n">
        <v>0</v>
      </c>
      <c r="CK68" s="14" t="n">
        <v>0</v>
      </c>
      <c r="CL68" s="14" t="n">
        <v>0</v>
      </c>
      <c r="CM68" s="14" t="n">
        <v>0</v>
      </c>
      <c r="CN68" s="14" t="n">
        <v>0</v>
      </c>
      <c r="CO68" s="14" t="n">
        <v>0</v>
      </c>
      <c r="CP68" s="14" t="n">
        <v>0</v>
      </c>
      <c r="CQ68" s="14" t="n">
        <v>1.348</v>
      </c>
      <c r="CR68" s="14" t="n">
        <v>1</v>
      </c>
      <c r="CS68" s="14" t="n">
        <v>2.293</v>
      </c>
      <c r="CT68" s="14" t="n">
        <v>4.861</v>
      </c>
      <c r="CU68" s="14" t="n">
        <v>10.622</v>
      </c>
    </row>
    <row r="69">
      <c r="A69" s="14" t="inlineStr">
        <is>
          <t>BHR2024</t>
        </is>
      </c>
      <c r="B69" s="14" t="inlineStr">
        <is>
          <t>BHR</t>
        </is>
      </c>
      <c r="C69" s="14" t="inlineStr">
        <is>
          <t>BHR</t>
        </is>
      </c>
      <c r="D69" s="14" t="inlineStr">
        <is>
          <t>Bahrain</t>
        </is>
      </c>
      <c r="E69" s="14" t="n">
        <v>2024</v>
      </c>
      <c r="F69" s="14" t="n">
        <v>0.1</v>
      </c>
      <c r="G69" s="14" t="n">
        <v>5.575</v>
      </c>
      <c r="H69" s="14" t="n">
        <v>1.324</v>
      </c>
      <c r="I69" s="14" t="n">
        <v>0.213</v>
      </c>
      <c r="J69" s="14" t="n">
        <v>5.787</v>
      </c>
      <c r="K69" s="14" t="n">
        <v>0</v>
      </c>
      <c r="L69" s="14" t="n">
        <v>1</v>
      </c>
      <c r="M69" s="14" t="n">
        <v>7.124</v>
      </c>
      <c r="N69" s="14" t="n">
        <v>3.971</v>
      </c>
      <c r="O69" s="14" t="n">
        <v>0.158</v>
      </c>
      <c r="P69" s="14" t="n">
        <v>7.281</v>
      </c>
      <c r="Q69" s="14" t="n">
        <v>0</v>
      </c>
      <c r="R69" s="14" t="n">
        <v>1</v>
      </c>
      <c r="S69" s="14" t="n">
        <v>12.193</v>
      </c>
      <c r="T69" s="14" t="n">
        <v>7.942</v>
      </c>
      <c r="U69" s="14" t="n">
        <v>0.382</v>
      </c>
      <c r="V69" s="14" t="n">
        <v>13.646</v>
      </c>
      <c r="W69" s="14" t="n">
        <v>0.1</v>
      </c>
      <c r="X69" s="14" t="n">
        <v>1</v>
      </c>
      <c r="Y69" s="14" t="n">
        <v>3.022</v>
      </c>
      <c r="Z69" s="14" t="n">
        <v>0.274</v>
      </c>
      <c r="AA69" s="14" t="n">
        <v>1.198</v>
      </c>
      <c r="AB69" s="14" t="n">
        <v>4.22</v>
      </c>
      <c r="AC69" s="14" t="n">
        <v>0</v>
      </c>
      <c r="AD69" s="14" t="n">
        <v>1</v>
      </c>
      <c r="AE69" s="14" t="n">
        <v>3.684</v>
      </c>
      <c r="AF69" s="14" t="n">
        <v>0.601</v>
      </c>
      <c r="AG69" s="14" t="n">
        <v>0.536</v>
      </c>
      <c r="AH69" s="14" t="n">
        <v>4.22</v>
      </c>
      <c r="AI69" s="14" t="n">
        <v>0</v>
      </c>
      <c r="AJ69" s="14" t="n">
        <v>1</v>
      </c>
      <c r="AK69" s="14" t="n">
        <v>7.655</v>
      </c>
      <c r="AL69" s="14" t="n">
        <v>3.218</v>
      </c>
      <c r="AM69" s="14" t="n">
        <v>-4.297</v>
      </c>
      <c r="AN69" s="14" t="n">
        <v>3.694</v>
      </c>
      <c r="AO69" s="14" t="n">
        <v>0</v>
      </c>
      <c r="AP69" s="14" t="n">
        <v>0</v>
      </c>
      <c r="AQ69" s="14" t="n">
        <v>0.72</v>
      </c>
      <c r="AR69" s="14" t="n">
        <v>0.132</v>
      </c>
      <c r="AS69" s="14" t="n">
        <v>-0.3</v>
      </c>
      <c r="AT69" s="14" t="n">
        <v>0.42</v>
      </c>
      <c r="AU69" s="14" t="n">
        <v>0</v>
      </c>
      <c r="AV69" s="14" t="n">
        <v>0</v>
      </c>
      <c r="AW69" s="14" t="n">
        <v>0.734</v>
      </c>
      <c r="AX69" s="14" t="n">
        <v>0.132</v>
      </c>
      <c r="AY69" s="14" t="n">
        <v>-0.256</v>
      </c>
      <c r="AZ69" s="14" t="n">
        <v>0.478</v>
      </c>
      <c r="BA69" s="14" t="n">
        <v>0</v>
      </c>
      <c r="BB69" s="14" t="n">
        <v>0</v>
      </c>
      <c r="BC69" s="14" t="n">
        <v>0.51</v>
      </c>
      <c r="BD69" s="14" t="n">
        <v>0.132</v>
      </c>
      <c r="BE69" s="14" t="n">
        <v>-0.357</v>
      </c>
      <c r="BF69" s="14" t="n">
        <v>0.153</v>
      </c>
      <c r="BG69" s="14" t="n">
        <v>0</v>
      </c>
      <c r="BH69" s="14" t="n">
        <v>0</v>
      </c>
      <c r="BI69" s="14" t="n">
        <v>0.652</v>
      </c>
      <c r="BJ69" s="14" t="n">
        <v>0.132</v>
      </c>
      <c r="BK69" s="14" t="n">
        <v>-0.227</v>
      </c>
      <c r="BL69" s="14" t="n">
        <v>0.425</v>
      </c>
      <c r="BM69" s="14" t="n">
        <v>0</v>
      </c>
      <c r="BN69" s="14" t="n">
        <v>0</v>
      </c>
      <c r="BO69" s="14" t="n">
        <v>0</v>
      </c>
      <c r="BP69" s="14" t="n">
        <v>-0.074</v>
      </c>
      <c r="BQ69" s="14" t="n">
        <v>0.037</v>
      </c>
      <c r="BR69" s="14" t="n">
        <v>0</v>
      </c>
      <c r="BS69" s="14" t="n">
        <v>0.167</v>
      </c>
      <c r="BT69" s="14" t="n">
        <v>0</v>
      </c>
      <c r="BU69" s="14" t="n">
        <v>-0.074</v>
      </c>
      <c r="BV69" s="14" t="n">
        <v>0.021</v>
      </c>
      <c r="BW69" s="14" t="n">
        <v>0</v>
      </c>
      <c r="BX69" s="14" t="n">
        <v>0.167</v>
      </c>
      <c r="BY69" s="14" t="n">
        <v>13.646</v>
      </c>
      <c r="BZ69" s="14" t="n">
        <v>0</v>
      </c>
      <c r="CA69" s="14" t="n">
        <v>13.646</v>
      </c>
      <c r="CB69" s="14" t="n">
        <v>0</v>
      </c>
      <c r="CC69" s="14" t="n">
        <v>86.38500000000001</v>
      </c>
      <c r="CD69" s="14" t="n">
        <v>7.95</v>
      </c>
      <c r="CE69" s="14" t="n">
        <v>-24.877</v>
      </c>
      <c r="CF69" s="14" t="n">
        <v>67.66</v>
      </c>
      <c r="CG69" s="14" t="n">
        <v>0</v>
      </c>
      <c r="CH69" s="14" t="n">
        <v>0</v>
      </c>
      <c r="CI69" s="14" t="n">
        <v>0</v>
      </c>
      <c r="CJ69" s="14" t="n">
        <v>0</v>
      </c>
      <c r="CK69" s="14" t="n">
        <v>0</v>
      </c>
      <c r="CL69" s="14" t="n">
        <v>0</v>
      </c>
      <c r="CM69" s="14" t="n">
        <v>0</v>
      </c>
      <c r="CN69" s="14" t="n">
        <v>0</v>
      </c>
      <c r="CO69" s="14" t="n">
        <v>0</v>
      </c>
      <c r="CP69" s="14" t="n">
        <v>0</v>
      </c>
      <c r="CQ69" s="14" t="n">
        <v>1.387</v>
      </c>
      <c r="CR69" s="14" t="n">
        <v>1</v>
      </c>
      <c r="CS69" s="14" t="n">
        <v>2.361</v>
      </c>
      <c r="CT69" s="14" t="n">
        <v>4.251</v>
      </c>
      <c r="CU69" s="14" t="n">
        <v>9.167999999999999</v>
      </c>
    </row>
    <row r="70">
      <c r="A70" s="14" t="inlineStr">
        <is>
          <t>BGD2021</t>
        </is>
      </c>
      <c r="B70" s="14" t="inlineStr">
        <is>
          <t>BGD</t>
        </is>
      </c>
      <c r="C70" s="14" t="inlineStr">
        <is>
          <t>BGD</t>
        </is>
      </c>
      <c r="D70" s="14" t="inlineStr">
        <is>
          <t>Bangladesh</t>
        </is>
      </c>
      <c r="E70" s="14" t="n">
        <v>2021</v>
      </c>
      <c r="F70" s="14" t="n">
        <v>0.15</v>
      </c>
      <c r="G70" s="14" t="n">
        <v>4.388</v>
      </c>
      <c r="H70" s="14" t="n">
        <v>1.074</v>
      </c>
      <c r="I70" s="14" t="n">
        <v>0</v>
      </c>
      <c r="J70" s="14" t="n">
        <v>4.388</v>
      </c>
      <c r="K70" s="14" t="n">
        <v>0</v>
      </c>
      <c r="L70" s="14" t="n">
        <v>1</v>
      </c>
      <c r="M70" s="14" t="n">
        <v>7.355</v>
      </c>
      <c r="N70" s="14" t="n">
        <v>3.223</v>
      </c>
      <c r="O70" s="14" t="n">
        <v>0.199</v>
      </c>
      <c r="P70" s="14" t="n">
        <v>7.554</v>
      </c>
      <c r="Q70" s="14" t="n">
        <v>0</v>
      </c>
      <c r="R70" s="14" t="n">
        <v>1</v>
      </c>
      <c r="S70" s="14" t="n">
        <v>9.76</v>
      </c>
      <c r="T70" s="14" t="n">
        <v>6.446</v>
      </c>
      <c r="U70" s="14" t="n">
        <v>0</v>
      </c>
      <c r="V70" s="14" t="n">
        <v>11.223</v>
      </c>
      <c r="W70" s="14" t="n">
        <v>0.15</v>
      </c>
      <c r="X70" s="14" t="n">
        <v>1</v>
      </c>
      <c r="Y70" s="14" t="n">
        <v>4.113</v>
      </c>
      <c r="Z70" s="14" t="n">
        <v>0.278</v>
      </c>
      <c r="AA70" s="14" t="n">
        <v>-2.759</v>
      </c>
      <c r="AB70" s="14" t="n">
        <v>1.354</v>
      </c>
      <c r="AC70" s="14" t="n">
        <v>0</v>
      </c>
      <c r="AD70" s="14" t="n">
        <v>0</v>
      </c>
      <c r="AE70" s="14" t="n">
        <v>4.796</v>
      </c>
      <c r="AF70" s="14" t="n">
        <v>0.601</v>
      </c>
      <c r="AG70" s="14" t="n">
        <v>-1.54</v>
      </c>
      <c r="AH70" s="14" t="n">
        <v>3.256</v>
      </c>
      <c r="AI70" s="14" t="n">
        <v>0</v>
      </c>
      <c r="AJ70" s="14" t="n">
        <v>1</v>
      </c>
      <c r="AK70" s="14" t="n">
        <v>8.894</v>
      </c>
      <c r="AL70" s="14" t="n">
        <v>3.159</v>
      </c>
      <c r="AM70" s="14" t="n">
        <v>-5.56</v>
      </c>
      <c r="AN70" s="14" t="n">
        <v>3.834</v>
      </c>
      <c r="AO70" s="14" t="n">
        <v>0</v>
      </c>
      <c r="AP70" s="14" t="n">
        <v>0</v>
      </c>
      <c r="AQ70" s="14" t="n">
        <v>0.621</v>
      </c>
      <c r="AR70" s="14" t="n">
        <v>0.114</v>
      </c>
      <c r="AS70" s="14" t="n">
        <v>0.289</v>
      </c>
      <c r="AT70" s="14" t="n">
        <v>1.046</v>
      </c>
      <c r="AU70" s="14" t="n">
        <v>0.15</v>
      </c>
      <c r="AV70" s="14" t="n">
        <v>1</v>
      </c>
      <c r="AW70" s="14" t="n">
        <v>0.593</v>
      </c>
      <c r="AX70" s="14" t="n">
        <v>0.114</v>
      </c>
      <c r="AY70" s="14" t="n">
        <v>0.225</v>
      </c>
      <c r="AZ70" s="14" t="n">
        <v>0.9399999999999999</v>
      </c>
      <c r="BA70" s="14" t="n">
        <v>0.15</v>
      </c>
      <c r="BB70" s="14" t="n">
        <v>1</v>
      </c>
      <c r="BC70" s="14" t="n">
        <v>0.44</v>
      </c>
      <c r="BD70" s="14" t="n">
        <v>0.114</v>
      </c>
      <c r="BE70" s="14" t="n">
        <v>-0.138</v>
      </c>
      <c r="BF70" s="14" t="n">
        <v>0.323</v>
      </c>
      <c r="BG70" s="14" t="n">
        <v>0</v>
      </c>
      <c r="BH70" s="14" t="n">
        <v>0</v>
      </c>
      <c r="BI70" s="14" t="n">
        <v>0.5600000000000001</v>
      </c>
      <c r="BJ70" s="14" t="n">
        <v>0.114</v>
      </c>
      <c r="BK70" s="14" t="n">
        <v>0.243</v>
      </c>
      <c r="BL70" s="14" t="n">
        <v>0.9399999999999999</v>
      </c>
      <c r="BM70" s="14" t="n">
        <v>0.17</v>
      </c>
      <c r="BN70" s="14" t="n">
        <v>1</v>
      </c>
      <c r="BO70" s="14" t="n">
        <v>0</v>
      </c>
      <c r="BP70" s="14" t="n">
        <v>-0.032</v>
      </c>
      <c r="BQ70" s="14" t="n">
        <v>0.099</v>
      </c>
      <c r="BR70" s="14" t="n">
        <v>0</v>
      </c>
      <c r="BS70" s="14" t="n">
        <v>0.833</v>
      </c>
      <c r="BT70" s="14" t="n">
        <v>0</v>
      </c>
      <c r="BU70" s="14" t="n">
        <v>-0.032</v>
      </c>
      <c r="BV70" s="14" t="n">
        <v>0.073</v>
      </c>
      <c r="BW70" s="14" t="n">
        <v>0</v>
      </c>
      <c r="BX70" s="14" t="n">
        <v>0.833</v>
      </c>
      <c r="BY70" s="14" t="n">
        <v>11.787</v>
      </c>
      <c r="BZ70" s="14" t="n">
        <v>0</v>
      </c>
      <c r="CA70" s="14" t="n">
        <v>11.787</v>
      </c>
      <c r="CB70" s="14" t="n">
        <v>0</v>
      </c>
      <c r="CC70" s="14" t="n">
        <v>81.69499999999999</v>
      </c>
      <c r="CD70" s="14" t="n">
        <v>7.95</v>
      </c>
      <c r="CE70" s="14" t="n">
        <v>10.145</v>
      </c>
      <c r="CF70" s="14" t="n">
        <v>107.453</v>
      </c>
      <c r="CG70" s="14" t="n">
        <v>0.17</v>
      </c>
      <c r="CH70" s="14" t="n">
        <v>1</v>
      </c>
      <c r="CI70" s="14" t="n">
        <v>0</v>
      </c>
      <c r="CJ70" s="14" t="n">
        <v>0</v>
      </c>
      <c r="CK70" s="14" t="n">
        <v>0</v>
      </c>
      <c r="CL70" s="14" t="n">
        <v>0</v>
      </c>
      <c r="CM70" s="14" t="n">
        <v>1.051</v>
      </c>
      <c r="CN70" s="14" t="n">
        <v>0</v>
      </c>
      <c r="CO70" s="14" t="n">
        <v>0</v>
      </c>
      <c r="CP70" s="14" t="n">
        <v>0.121</v>
      </c>
      <c r="CQ70" s="14" t="n">
        <v>1.198</v>
      </c>
      <c r="CR70" s="14" t="n">
        <v>0.805</v>
      </c>
      <c r="CS70" s="14" t="n">
        <v>1.314</v>
      </c>
      <c r="CT70" s="14" t="n">
        <v>3.604</v>
      </c>
      <c r="CU70" s="14" t="n">
        <v>16.843</v>
      </c>
    </row>
    <row r="71">
      <c r="A71" s="14" t="inlineStr">
        <is>
          <t>BGD2022</t>
        </is>
      </c>
      <c r="B71" s="14" t="inlineStr">
        <is>
          <t>BGD</t>
        </is>
      </c>
      <c r="C71" s="14" t="inlineStr">
        <is>
          <t>BGD</t>
        </is>
      </c>
      <c r="D71" s="14" t="inlineStr">
        <is>
          <t>Bangladesh</t>
        </is>
      </c>
      <c r="E71" s="14" t="n">
        <v>2022</v>
      </c>
      <c r="F71" s="14" t="n">
        <v>0.15</v>
      </c>
      <c r="G71" s="14" t="n">
        <v>8.175000000000001</v>
      </c>
      <c r="H71" s="14" t="n">
        <v>1.18</v>
      </c>
      <c r="I71" s="14" t="n">
        <v>0</v>
      </c>
      <c r="J71" s="14" t="n">
        <v>8.175000000000001</v>
      </c>
      <c r="K71" s="14" t="n">
        <v>0</v>
      </c>
      <c r="L71" s="14" t="n">
        <v>1</v>
      </c>
      <c r="M71" s="14" t="n">
        <v>9.19</v>
      </c>
      <c r="N71" s="14" t="n">
        <v>3.539</v>
      </c>
      <c r="O71" s="14" t="n">
        <v>0.277</v>
      </c>
      <c r="P71" s="14" t="n">
        <v>9.467000000000001</v>
      </c>
      <c r="Q71" s="14" t="n">
        <v>0</v>
      </c>
      <c r="R71" s="14" t="n">
        <v>1</v>
      </c>
      <c r="S71" s="14" t="n">
        <v>14.073</v>
      </c>
      <c r="T71" s="14" t="n">
        <v>7.078</v>
      </c>
      <c r="U71" s="14" t="n">
        <v>0.156</v>
      </c>
      <c r="V71" s="14" t="n">
        <v>16.184</v>
      </c>
      <c r="W71" s="14" t="n">
        <v>0.15</v>
      </c>
      <c r="X71" s="14" t="n">
        <v>1</v>
      </c>
      <c r="Y71" s="14" t="n">
        <v>6.64</v>
      </c>
      <c r="Z71" s="14" t="n">
        <v>0.448</v>
      </c>
      <c r="AA71" s="14" t="n">
        <v>-5.224</v>
      </c>
      <c r="AB71" s="14" t="n">
        <v>1.417</v>
      </c>
      <c r="AC71" s="14" t="n">
        <v>0</v>
      </c>
      <c r="AD71" s="14" t="n">
        <v>0</v>
      </c>
      <c r="AE71" s="14" t="n">
        <v>7.395</v>
      </c>
      <c r="AF71" s="14" t="n">
        <v>0.927</v>
      </c>
      <c r="AG71" s="14" t="n">
        <v>-4.07</v>
      </c>
      <c r="AH71" s="14" t="n">
        <v>3.325</v>
      </c>
      <c r="AI71" s="14" t="n">
        <v>0</v>
      </c>
      <c r="AJ71" s="14" t="n">
        <v>1</v>
      </c>
      <c r="AK71" s="14" t="n">
        <v>11.922</v>
      </c>
      <c r="AL71" s="14" t="n">
        <v>4.235</v>
      </c>
      <c r="AM71" s="14" t="n">
        <v>-7.505</v>
      </c>
      <c r="AN71" s="14" t="n">
        <v>5.08</v>
      </c>
      <c r="AO71" s="14" t="n">
        <v>0</v>
      </c>
      <c r="AP71" s="14" t="n">
        <v>0</v>
      </c>
      <c r="AQ71" s="14" t="n">
        <v>0.847</v>
      </c>
      <c r="AR71" s="14" t="n">
        <v>0.123</v>
      </c>
      <c r="AS71" s="14" t="n">
        <v>0.159</v>
      </c>
      <c r="AT71" s="14" t="n">
        <v>1.157</v>
      </c>
      <c r="AU71" s="14" t="n">
        <v>0.15</v>
      </c>
      <c r="AV71" s="14" t="n">
        <v>1</v>
      </c>
      <c r="AW71" s="14" t="n">
        <v>0.947</v>
      </c>
      <c r="AX71" s="14" t="n">
        <v>0.123</v>
      </c>
      <c r="AY71" s="14" t="n">
        <v>-0.081</v>
      </c>
      <c r="AZ71" s="14" t="n">
        <v>0.996</v>
      </c>
      <c r="BA71" s="14" t="n">
        <v>0.15</v>
      </c>
      <c r="BB71" s="14" t="n">
        <v>1</v>
      </c>
      <c r="BC71" s="14" t="n">
        <v>0.589</v>
      </c>
      <c r="BD71" s="14" t="n">
        <v>0.123</v>
      </c>
      <c r="BE71" s="14" t="n">
        <v>-0.272</v>
      </c>
      <c r="BF71" s="14" t="n">
        <v>0.339</v>
      </c>
      <c r="BG71" s="14" t="n">
        <v>0</v>
      </c>
      <c r="BH71" s="14" t="n">
        <v>0</v>
      </c>
      <c r="BI71" s="14" t="n">
        <v>0.6889999999999999</v>
      </c>
      <c r="BJ71" s="14" t="n">
        <v>0.123</v>
      </c>
      <c r="BK71" s="14" t="n">
        <v>0.191</v>
      </c>
      <c r="BL71" s="14" t="n">
        <v>1.03</v>
      </c>
      <c r="BM71" s="14" t="n">
        <v>0.17</v>
      </c>
      <c r="BN71" s="14" t="n">
        <v>1</v>
      </c>
      <c r="BO71" s="14" t="n">
        <v>0</v>
      </c>
      <c r="BP71" s="14" t="n">
        <v>-0.032</v>
      </c>
      <c r="BQ71" s="14" t="n">
        <v>0.09</v>
      </c>
      <c r="BR71" s="14" t="n">
        <v>0</v>
      </c>
      <c r="BS71" s="14" t="n">
        <v>0.833</v>
      </c>
      <c r="BT71" s="14" t="n">
        <v>0</v>
      </c>
      <c r="BU71" s="14" t="n">
        <v>-0.032</v>
      </c>
      <c r="BV71" s="14" t="n">
        <v>0.066</v>
      </c>
      <c r="BW71" s="14" t="n">
        <v>0</v>
      </c>
      <c r="BX71" s="14" t="n">
        <v>0.833</v>
      </c>
      <c r="BY71" s="14" t="n">
        <v>12.729</v>
      </c>
      <c r="BZ71" s="14" t="n">
        <v>0</v>
      </c>
      <c r="CA71" s="14" t="n">
        <v>12.729</v>
      </c>
      <c r="CB71" s="14" t="n">
        <v>0</v>
      </c>
      <c r="CC71" s="14" t="n">
        <v>102.477</v>
      </c>
      <c r="CD71" s="14" t="n">
        <v>7.95</v>
      </c>
      <c r="CE71" s="14" t="n">
        <v>5.486</v>
      </c>
      <c r="CF71" s="14" t="n">
        <v>126.317</v>
      </c>
      <c r="CG71" s="14" t="n">
        <v>0.17</v>
      </c>
      <c r="CH71" s="14" t="n">
        <v>1</v>
      </c>
      <c r="CI71" s="14" t="n">
        <v>0</v>
      </c>
      <c r="CJ71" s="14" t="n">
        <v>0</v>
      </c>
      <c r="CK71" s="14" t="n">
        <v>0</v>
      </c>
      <c r="CL71" s="14" t="n">
        <v>0</v>
      </c>
      <c r="CM71" s="14" t="n">
        <v>1.395</v>
      </c>
      <c r="CN71" s="14" t="n">
        <v>0</v>
      </c>
      <c r="CO71" s="14" t="n">
        <v>0</v>
      </c>
      <c r="CP71" s="14" t="n">
        <v>0.089</v>
      </c>
      <c r="CQ71" s="14" t="n">
        <v>1.294</v>
      </c>
      <c r="CR71" s="14" t="n">
        <v>0.778</v>
      </c>
      <c r="CS71" s="14" t="n">
        <v>1.419</v>
      </c>
      <c r="CT71" s="14" t="n">
        <v>7.554</v>
      </c>
      <c r="CU71" s="14" t="n">
        <v>30.149</v>
      </c>
    </row>
    <row r="72">
      <c r="A72" s="14" t="inlineStr">
        <is>
          <t>BGD2023</t>
        </is>
      </c>
      <c r="B72" s="14" t="inlineStr">
        <is>
          <t>BGD</t>
        </is>
      </c>
      <c r="C72" s="14" t="inlineStr">
        <is>
          <t>BGD</t>
        </is>
      </c>
      <c r="D72" s="14" t="inlineStr">
        <is>
          <t>Bangladesh</t>
        </is>
      </c>
      <c r="E72" s="14" t="n">
        <v>2023</v>
      </c>
      <c r="F72" s="14" t="n">
        <v>0.15</v>
      </c>
      <c r="G72" s="14" t="n">
        <v>5.326</v>
      </c>
      <c r="H72" s="14" t="n">
        <v>1.21</v>
      </c>
      <c r="I72" s="14" t="n">
        <v>0</v>
      </c>
      <c r="J72" s="14" t="n">
        <v>5.326</v>
      </c>
      <c r="K72" s="14" t="n">
        <v>0</v>
      </c>
      <c r="L72" s="14" t="n">
        <v>1</v>
      </c>
      <c r="M72" s="14" t="n">
        <v>7.344</v>
      </c>
      <c r="N72" s="14" t="n">
        <v>3.63</v>
      </c>
      <c r="O72" s="14" t="n">
        <v>0.178</v>
      </c>
      <c r="P72" s="14" t="n">
        <v>7.522</v>
      </c>
      <c r="Q72" s="14" t="n">
        <v>0</v>
      </c>
      <c r="R72" s="14" t="n">
        <v>1</v>
      </c>
      <c r="S72" s="14" t="n">
        <v>11.377</v>
      </c>
      <c r="T72" s="14" t="n">
        <v>7.261</v>
      </c>
      <c r="U72" s="14" t="n">
        <v>0.189</v>
      </c>
      <c r="V72" s="14" t="n">
        <v>13.083</v>
      </c>
      <c r="W72" s="14" t="n">
        <v>0.15</v>
      </c>
      <c r="X72" s="14" t="n">
        <v>1</v>
      </c>
      <c r="Y72" s="14" t="n">
        <v>4.267</v>
      </c>
      <c r="Z72" s="14" t="n">
        <v>0.288</v>
      </c>
      <c r="AA72" s="14" t="n">
        <v>-0.857</v>
      </c>
      <c r="AB72" s="14" t="n">
        <v>3.41</v>
      </c>
      <c r="AC72" s="14" t="n">
        <v>0</v>
      </c>
      <c r="AD72" s="14" t="n">
        <v>0</v>
      </c>
      <c r="AE72" s="14" t="n">
        <v>5.076</v>
      </c>
      <c r="AF72" s="14" t="n">
        <v>0.636</v>
      </c>
      <c r="AG72" s="14" t="n">
        <v>2.23</v>
      </c>
      <c r="AH72" s="14" t="n">
        <v>7.307</v>
      </c>
      <c r="AI72" s="14" t="n">
        <v>0</v>
      </c>
      <c r="AJ72" s="14" t="n">
        <v>1</v>
      </c>
      <c r="AK72" s="14" t="n">
        <v>9.933</v>
      </c>
      <c r="AL72" s="14" t="n">
        <v>3.528</v>
      </c>
      <c r="AM72" s="14" t="n">
        <v>-6.121</v>
      </c>
      <c r="AN72" s="14" t="n">
        <v>4.384</v>
      </c>
      <c r="AO72" s="14" t="n">
        <v>0</v>
      </c>
      <c r="AP72" s="14" t="n">
        <v>0</v>
      </c>
      <c r="AQ72" s="14" t="n">
        <v>0.749</v>
      </c>
      <c r="AR72" s="14" t="n">
        <v>0.129</v>
      </c>
      <c r="AS72" s="14" t="n">
        <v>0.302</v>
      </c>
      <c r="AT72" s="14" t="n">
        <v>1.209</v>
      </c>
      <c r="AU72" s="14" t="n">
        <v>0.15</v>
      </c>
      <c r="AV72" s="14" t="n">
        <v>1</v>
      </c>
      <c r="AW72" s="14" t="n">
        <v>0.783</v>
      </c>
      <c r="AX72" s="14" t="n">
        <v>0.129</v>
      </c>
      <c r="AY72" s="14" t="n">
        <v>0.185</v>
      </c>
      <c r="AZ72" s="14" t="n">
        <v>1.113</v>
      </c>
      <c r="BA72" s="14" t="n">
        <v>0.15</v>
      </c>
      <c r="BB72" s="14" t="n">
        <v>1</v>
      </c>
      <c r="BC72" s="14" t="n">
        <v>0.527</v>
      </c>
      <c r="BD72" s="14" t="n">
        <v>0.129</v>
      </c>
      <c r="BE72" s="14" t="n">
        <v>-0.268</v>
      </c>
      <c r="BF72" s="14" t="n">
        <v>0.277</v>
      </c>
      <c r="BG72" s="14" t="n">
        <v>0</v>
      </c>
      <c r="BH72" s="14" t="n">
        <v>0</v>
      </c>
      <c r="BI72" s="14" t="n">
        <v>0.64</v>
      </c>
      <c r="BJ72" s="14" t="n">
        <v>0.129</v>
      </c>
      <c r="BK72" s="14" t="n">
        <v>0.216</v>
      </c>
      <c r="BL72" s="14" t="n">
        <v>1.002</v>
      </c>
      <c r="BM72" s="14" t="n">
        <v>0.17</v>
      </c>
      <c r="BN72" s="14" t="n">
        <v>1</v>
      </c>
      <c r="BO72" s="14" t="n">
        <v>0</v>
      </c>
      <c r="BP72" s="14" t="n">
        <v>-0.032</v>
      </c>
      <c r="BQ72" s="14" t="n">
        <v>0.08799999999999999</v>
      </c>
      <c r="BR72" s="14" t="n">
        <v>0</v>
      </c>
      <c r="BS72" s="14" t="n">
        <v>0.833</v>
      </c>
      <c r="BT72" s="14" t="n">
        <v>0</v>
      </c>
      <c r="BU72" s="14" t="n">
        <v>-0.032</v>
      </c>
      <c r="BV72" s="14" t="n">
        <v>0.063</v>
      </c>
      <c r="BW72" s="14" t="n">
        <v>0</v>
      </c>
      <c r="BX72" s="14" t="n">
        <v>0.833</v>
      </c>
      <c r="BY72" s="14" t="n">
        <v>13.254</v>
      </c>
      <c r="BZ72" s="14" t="n">
        <v>0</v>
      </c>
      <c r="CA72" s="14" t="n">
        <v>13.254</v>
      </c>
      <c r="CB72" s="14" t="n">
        <v>0</v>
      </c>
      <c r="CC72" s="14" t="n">
        <v>87.07899999999999</v>
      </c>
      <c r="CD72" s="14" t="n">
        <v>7.95</v>
      </c>
      <c r="CE72" s="14" t="n">
        <v>14.039</v>
      </c>
      <c r="CF72" s="14" t="n">
        <v>118.308</v>
      </c>
      <c r="CG72" s="14" t="n">
        <v>0.17</v>
      </c>
      <c r="CH72" s="14" t="n">
        <v>1</v>
      </c>
      <c r="CI72" s="14" t="n">
        <v>0</v>
      </c>
      <c r="CJ72" s="14" t="n">
        <v>0</v>
      </c>
      <c r="CK72" s="14" t="n">
        <v>0</v>
      </c>
      <c r="CL72" s="14" t="n">
        <v>0</v>
      </c>
      <c r="CM72" s="14" t="n">
        <v>2.776</v>
      </c>
      <c r="CN72" s="14" t="n">
        <v>0</v>
      </c>
      <c r="CO72" s="14" t="n">
        <v>0</v>
      </c>
      <c r="CP72" s="14" t="n">
        <v>0.118</v>
      </c>
      <c r="CQ72" s="14" t="n">
        <v>1.348</v>
      </c>
      <c r="CR72" s="14" t="n">
        <v>0.741</v>
      </c>
      <c r="CS72" s="14" t="n">
        <v>1.477</v>
      </c>
      <c r="CT72" s="14" t="n">
        <v>4.484</v>
      </c>
      <c r="CU72" s="14" t="n">
        <v>12.392</v>
      </c>
    </row>
    <row r="73">
      <c r="A73" s="14" t="inlineStr">
        <is>
          <t>BGD2024</t>
        </is>
      </c>
      <c r="B73" s="14" t="inlineStr">
        <is>
          <t>BGD</t>
        </is>
      </c>
      <c r="C73" s="14" t="inlineStr">
        <is>
          <t>BGD</t>
        </is>
      </c>
      <c r="D73" s="14" t="inlineStr">
        <is>
          <t>Bangladesh</t>
        </is>
      </c>
      <c r="E73" s="14" t="n">
        <v>2024</v>
      </c>
      <c r="F73" s="14" t="n">
        <v>0.15</v>
      </c>
      <c r="G73" s="14" t="n">
        <v>4.506</v>
      </c>
      <c r="H73" s="14" t="n">
        <v>1.246</v>
      </c>
      <c r="I73" s="14" t="n">
        <v>0</v>
      </c>
      <c r="J73" s="14" t="n">
        <v>4.506</v>
      </c>
      <c r="K73" s="14" t="n">
        <v>0</v>
      </c>
      <c r="L73" s="14" t="n">
        <v>1</v>
      </c>
      <c r="M73" s="14" t="n">
        <v>6.683</v>
      </c>
      <c r="N73" s="14" t="n">
        <v>3.738</v>
      </c>
      <c r="O73" s="14" t="n">
        <v>0.139</v>
      </c>
      <c r="P73" s="14" t="n">
        <v>6.822</v>
      </c>
      <c r="Q73" s="14" t="n">
        <v>0</v>
      </c>
      <c r="R73" s="14" t="n">
        <v>1</v>
      </c>
      <c r="S73" s="14" t="n">
        <v>10.735</v>
      </c>
      <c r="T73" s="14" t="n">
        <v>7.475</v>
      </c>
      <c r="U73" s="14" t="n">
        <v>0.219</v>
      </c>
      <c r="V73" s="14" t="n">
        <v>12.345</v>
      </c>
      <c r="W73" s="14" t="n">
        <v>0.15</v>
      </c>
      <c r="X73" s="14" t="n">
        <v>1</v>
      </c>
      <c r="Y73" s="14" t="n">
        <v>4.036</v>
      </c>
      <c r="Z73" s="14" t="n">
        <v>0.272</v>
      </c>
      <c r="AA73" s="14" t="n">
        <v>-0.5649999999999999</v>
      </c>
      <c r="AB73" s="14" t="n">
        <v>3.472</v>
      </c>
      <c r="AC73" s="14" t="n">
        <v>0</v>
      </c>
      <c r="AD73" s="14" t="n">
        <v>0</v>
      </c>
      <c r="AE73" s="14" t="n">
        <v>4.869</v>
      </c>
      <c r="AF73" s="14" t="n">
        <v>0.61</v>
      </c>
      <c r="AG73" s="14" t="n">
        <v>1.85</v>
      </c>
      <c r="AH73" s="14" t="n">
        <v>6.719</v>
      </c>
      <c r="AI73" s="14" t="n">
        <v>0</v>
      </c>
      <c r="AJ73" s="14" t="n">
        <v>1</v>
      </c>
      <c r="AK73" s="14" t="n">
        <v>9.869</v>
      </c>
      <c r="AL73" s="14" t="n">
        <v>3.506</v>
      </c>
      <c r="AM73" s="14" t="n">
        <v>-6.364</v>
      </c>
      <c r="AN73" s="14" t="n">
        <v>4.031</v>
      </c>
      <c r="AO73" s="14" t="n">
        <v>0</v>
      </c>
      <c r="AP73" s="14" t="n">
        <v>0</v>
      </c>
      <c r="AQ73" s="14" t="n">
        <v>0.72</v>
      </c>
      <c r="AR73" s="14" t="n">
        <v>0.132</v>
      </c>
      <c r="AS73" s="14" t="n">
        <v>0.456</v>
      </c>
      <c r="AT73" s="14" t="n">
        <v>1.376</v>
      </c>
      <c r="AU73" s="14" t="n">
        <v>0.17</v>
      </c>
      <c r="AV73" s="14" t="n">
        <v>1</v>
      </c>
      <c r="AW73" s="14" t="n">
        <v>0.734</v>
      </c>
      <c r="AX73" s="14" t="n">
        <v>0.132</v>
      </c>
      <c r="AY73" s="14" t="n">
        <v>0.138</v>
      </c>
      <c r="AZ73" s="14" t="n">
        <v>1.019</v>
      </c>
      <c r="BA73" s="14" t="n">
        <v>0.17</v>
      </c>
      <c r="BB73" s="14" t="n">
        <v>1</v>
      </c>
      <c r="BC73" s="14" t="n">
        <v>0.51</v>
      </c>
      <c r="BD73" s="14" t="n">
        <v>0.132</v>
      </c>
      <c r="BE73" s="14" t="n">
        <v>-0.257</v>
      </c>
      <c r="BF73" s="14" t="n">
        <v>0.296</v>
      </c>
      <c r="BG73" s="14" t="n">
        <v>0</v>
      </c>
      <c r="BH73" s="14" t="n">
        <v>0</v>
      </c>
      <c r="BI73" s="14" t="n">
        <v>0.652</v>
      </c>
      <c r="BJ73" s="14" t="n">
        <v>0.132</v>
      </c>
      <c r="BK73" s="14" t="n">
        <v>0.1</v>
      </c>
      <c r="BL73" s="14" t="n">
        <v>0.88</v>
      </c>
      <c r="BM73" s="14" t="n">
        <v>0.17</v>
      </c>
      <c r="BN73" s="14" t="n">
        <v>1</v>
      </c>
      <c r="BO73" s="14" t="n">
        <v>0</v>
      </c>
      <c r="BP73" s="14" t="n">
        <v>-0.033</v>
      </c>
      <c r="BQ73" s="14" t="n">
        <v>0.097</v>
      </c>
      <c r="BR73" s="14" t="n">
        <v>0</v>
      </c>
      <c r="BS73" s="14" t="n">
        <v>0.833</v>
      </c>
      <c r="BT73" s="14" t="n">
        <v>0</v>
      </c>
      <c r="BU73" s="14" t="n">
        <v>-0.033</v>
      </c>
      <c r="BV73" s="14" t="n">
        <v>0.068</v>
      </c>
      <c r="BW73" s="14" t="n">
        <v>0</v>
      </c>
      <c r="BX73" s="14" t="n">
        <v>0.833</v>
      </c>
      <c r="BY73" s="14" t="n">
        <v>13.646</v>
      </c>
      <c r="BZ73" s="14" t="n">
        <v>0</v>
      </c>
      <c r="CA73" s="14" t="n">
        <v>13.646</v>
      </c>
      <c r="CB73" s="14" t="n">
        <v>0</v>
      </c>
      <c r="CC73" s="14" t="n">
        <v>86.38500000000001</v>
      </c>
      <c r="CD73" s="14" t="n">
        <v>7.95</v>
      </c>
      <c r="CE73" s="14" t="n">
        <v>8.976000000000001</v>
      </c>
      <c r="CF73" s="14" t="n">
        <v>111.573</v>
      </c>
      <c r="CG73" s="14" t="n">
        <v>0.17</v>
      </c>
      <c r="CH73" s="14" t="n">
        <v>1</v>
      </c>
      <c r="CI73" s="14" t="n">
        <v>0</v>
      </c>
      <c r="CJ73" s="14" t="n">
        <v>0</v>
      </c>
      <c r="CK73" s="14" t="n">
        <v>0</v>
      </c>
      <c r="CL73" s="14" t="n">
        <v>0</v>
      </c>
      <c r="CM73" s="14" t="n">
        <v>2.855</v>
      </c>
      <c r="CN73" s="14" t="n">
        <v>0</v>
      </c>
      <c r="CO73" s="14" t="n">
        <v>0</v>
      </c>
      <c r="CP73" s="14" t="n">
        <v>0.118</v>
      </c>
      <c r="CQ73" s="14" t="n">
        <v>1.387</v>
      </c>
      <c r="CR73" s="14" t="n">
        <v>0.741</v>
      </c>
      <c r="CS73" s="14" t="n">
        <v>1.521</v>
      </c>
      <c r="CT73" s="14" t="n">
        <v>3.509</v>
      </c>
      <c r="CU73" s="14" t="n">
        <v>10.792</v>
      </c>
    </row>
    <row r="74">
      <c r="A74" s="14" t="inlineStr">
        <is>
          <t>BRB2021</t>
        </is>
      </c>
      <c r="B74" s="14" t="inlineStr">
        <is>
          <t>BRB</t>
        </is>
      </c>
      <c r="C74" s="14" t="inlineStr">
        <is>
          <t>BRB</t>
        </is>
      </c>
      <c r="D74" s="14" t="inlineStr">
        <is>
          <t>Barbados</t>
        </is>
      </c>
      <c r="E74" s="14" t="n">
        <v>2021</v>
      </c>
      <c r="F74" s="14" t="n">
        <v>0.175</v>
      </c>
      <c r="G74" s="14" t="n">
        <v>5.897</v>
      </c>
      <c r="H74" s="14" t="n">
        <v>1.143</v>
      </c>
      <c r="I74" s="14" t="n">
        <v>0</v>
      </c>
      <c r="J74" s="14" t="n">
        <v>5.897</v>
      </c>
      <c r="K74" s="14" t="n">
        <v>0</v>
      </c>
      <c r="L74" s="14" t="n">
        <v>1</v>
      </c>
      <c r="M74" s="14" t="n">
        <v>7.964</v>
      </c>
      <c r="N74" s="14" t="n">
        <v>3.43</v>
      </c>
      <c r="O74" s="14" t="n">
        <v>0</v>
      </c>
      <c r="P74" s="14" t="n">
        <v>7.964</v>
      </c>
      <c r="Q74" s="14" t="n">
        <v>0</v>
      </c>
      <c r="R74" s="14" t="n">
        <v>1</v>
      </c>
      <c r="S74" s="14" t="n">
        <v>11.613</v>
      </c>
      <c r="T74" s="14" t="n">
        <v>6.86</v>
      </c>
      <c r="U74" s="14" t="n">
        <v>0</v>
      </c>
      <c r="V74" s="14" t="n">
        <v>13.646</v>
      </c>
      <c r="W74" s="14" t="n">
        <v>0.175</v>
      </c>
      <c r="X74" s="14" t="n">
        <v>1</v>
      </c>
      <c r="Y74" s="14" t="n">
        <v>9.228</v>
      </c>
      <c r="Z74" s="14" t="n">
        <v>1.241</v>
      </c>
      <c r="AA74" s="14" t="n">
        <v>12.499</v>
      </c>
      <c r="AB74" s="14" t="n">
        <v>21.728</v>
      </c>
      <c r="AC74" s="14" t="n">
        <v>0</v>
      </c>
      <c r="AD74" s="14" t="n">
        <v>1</v>
      </c>
      <c r="AE74" s="14" t="n">
        <v>10.372</v>
      </c>
      <c r="AF74" s="14" t="n">
        <v>2.429</v>
      </c>
      <c r="AG74" s="14" t="n">
        <v>11.356</v>
      </c>
      <c r="AH74" s="14" t="n">
        <v>21.728</v>
      </c>
      <c r="AI74" s="14" t="n">
        <v>0</v>
      </c>
      <c r="AJ74" s="14" t="n">
        <v>1</v>
      </c>
      <c r="AK74" s="14" t="n">
        <v>17.232</v>
      </c>
      <c r="AL74" s="14" t="n">
        <v>9.259</v>
      </c>
      <c r="AM74" s="14" t="n">
        <v>3.566</v>
      </c>
      <c r="AN74" s="14" t="n">
        <v>24.437</v>
      </c>
      <c r="AO74" s="14" t="n">
        <v>0.175</v>
      </c>
      <c r="AP74" s="14" t="n">
        <v>1</v>
      </c>
      <c r="AQ74" s="14" t="n">
        <v>0.649</v>
      </c>
      <c r="AR74" s="14" t="n">
        <v>0.114</v>
      </c>
      <c r="AS74" s="14" t="n">
        <v>0.9360000000000001</v>
      </c>
      <c r="AT74" s="14" t="n">
        <v>1.863</v>
      </c>
      <c r="AU74" s="14" t="n">
        <v>0.175</v>
      </c>
      <c r="AV74" s="14" t="n">
        <v>1</v>
      </c>
      <c r="AW74" s="14" t="n">
        <v>0.577</v>
      </c>
      <c r="AX74" s="14" t="n">
        <v>0.114</v>
      </c>
      <c r="AY74" s="14" t="n">
        <v>0.6909999999999999</v>
      </c>
      <c r="AZ74" s="14" t="n">
        <v>1.49</v>
      </c>
      <c r="BA74" s="14" t="n">
        <v>0.175</v>
      </c>
      <c r="BB74" s="14" t="n">
        <v>1</v>
      </c>
      <c r="BC74" s="14" t="n">
        <v>0.458</v>
      </c>
      <c r="BD74" s="14" t="n">
        <v>0.114</v>
      </c>
      <c r="BE74" s="14" t="n">
        <v>0.291</v>
      </c>
      <c r="BF74" s="14" t="n">
        <v>0.88</v>
      </c>
      <c r="BG74" s="14" t="n">
        <v>0.175</v>
      </c>
      <c r="BH74" s="14" t="n">
        <v>1</v>
      </c>
      <c r="BI74" s="14" t="n">
        <v>0.491</v>
      </c>
      <c r="BJ74" s="14" t="n">
        <v>0.114</v>
      </c>
      <c r="BK74" s="14" t="n">
        <v>0.148</v>
      </c>
      <c r="BL74" s="14" t="n">
        <v>0.639</v>
      </c>
      <c r="BM74" s="14" t="n">
        <v>0</v>
      </c>
      <c r="BN74" s="14" t="n">
        <v>1</v>
      </c>
      <c r="BO74" s="14" t="n">
        <v>0</v>
      </c>
      <c r="BP74" s="14" t="n">
        <v>0</v>
      </c>
      <c r="BQ74" s="14" t="n">
        <v>0.261</v>
      </c>
      <c r="BR74" s="14" t="n">
        <v>0</v>
      </c>
      <c r="BS74" s="14" t="n">
        <v>1</v>
      </c>
      <c r="BT74" s="14" t="n">
        <v>0</v>
      </c>
      <c r="BU74" s="14" t="n">
        <v>0</v>
      </c>
      <c r="BV74" s="14" t="n">
        <v>0.279</v>
      </c>
      <c r="BW74" s="14" t="n">
        <v>0</v>
      </c>
      <c r="BX74" s="14" t="n">
        <v>1</v>
      </c>
      <c r="BY74" s="14" t="n">
        <v>11.787</v>
      </c>
      <c r="BZ74" s="14" t="n">
        <v>0</v>
      </c>
      <c r="CA74" s="14" t="n">
        <v>11.787</v>
      </c>
      <c r="CB74" s="14" t="n">
        <v>0</v>
      </c>
      <c r="CC74" s="14" t="n">
        <v>78.125</v>
      </c>
      <c r="CD74" s="14" t="n">
        <v>7.95</v>
      </c>
      <c r="CE74" s="14" t="n">
        <v>31.732</v>
      </c>
      <c r="CF74" s="14" t="n">
        <v>129.081</v>
      </c>
      <c r="CG74" s="14" t="n">
        <v>0.175</v>
      </c>
      <c r="CH74" s="14" t="n">
        <v>1</v>
      </c>
      <c r="CI74" s="14" t="n">
        <v>0</v>
      </c>
      <c r="CJ74" s="14" t="n">
        <v>0</v>
      </c>
      <c r="CK74" s="14" t="n">
        <v>0</v>
      </c>
      <c r="CL74" s="14" t="n">
        <v>0</v>
      </c>
      <c r="CM74" s="14" t="n">
        <v>0</v>
      </c>
      <c r="CN74" s="14" t="n">
        <v>0</v>
      </c>
      <c r="CO74" s="14" t="n">
        <v>0</v>
      </c>
      <c r="CP74" s="14" t="n">
        <v>0</v>
      </c>
      <c r="CQ74" s="14" t="n">
        <v>1.198</v>
      </c>
      <c r="CR74" s="14" t="n">
        <v>0</v>
      </c>
      <c r="CS74" s="14" t="n">
        <v>4.776</v>
      </c>
      <c r="CT74" s="14" t="n">
        <v>4.753</v>
      </c>
      <c r="CU74" s="14" t="n">
        <v>15.983</v>
      </c>
    </row>
    <row r="75">
      <c r="A75" s="14" t="inlineStr">
        <is>
          <t>BRB2022</t>
        </is>
      </c>
      <c r="B75" s="14" t="inlineStr">
        <is>
          <t>BRB</t>
        </is>
      </c>
      <c r="C75" s="14" t="inlineStr">
        <is>
          <t>BRB</t>
        </is>
      </c>
      <c r="D75" s="14" t="inlineStr">
        <is>
          <t>Barbados</t>
        </is>
      </c>
      <c r="E75" s="14" t="n">
        <v>2022</v>
      </c>
      <c r="F75" s="14" t="n">
        <v>0.175</v>
      </c>
      <c r="G75" s="14" t="n">
        <v>11.72</v>
      </c>
      <c r="H75" s="14" t="n">
        <v>1.235</v>
      </c>
      <c r="I75" s="14" t="n">
        <v>0</v>
      </c>
      <c r="J75" s="14" t="n">
        <v>11.72</v>
      </c>
      <c r="K75" s="14" t="n">
        <v>0</v>
      </c>
      <c r="L75" s="14" t="n">
        <v>1</v>
      </c>
      <c r="M75" s="14" t="n">
        <v>9.782999999999999</v>
      </c>
      <c r="N75" s="14" t="n">
        <v>3.704</v>
      </c>
      <c r="O75" s="14" t="n">
        <v>0</v>
      </c>
      <c r="P75" s="14" t="n">
        <v>9.782999999999999</v>
      </c>
      <c r="Q75" s="14" t="n">
        <v>0</v>
      </c>
      <c r="R75" s="14" t="n">
        <v>1</v>
      </c>
      <c r="S75" s="14" t="n">
        <v>17.893</v>
      </c>
      <c r="T75" s="14" t="n">
        <v>7.408</v>
      </c>
      <c r="U75" s="14" t="n">
        <v>0.232</v>
      </c>
      <c r="V75" s="14" t="n">
        <v>21.025</v>
      </c>
      <c r="W75" s="14" t="n">
        <v>0.175</v>
      </c>
      <c r="X75" s="14" t="n">
        <v>1</v>
      </c>
      <c r="Y75" s="14" t="n">
        <v>13.632</v>
      </c>
      <c r="Z75" s="14" t="n">
        <v>1.834</v>
      </c>
      <c r="AA75" s="14" t="n">
        <v>11.082</v>
      </c>
      <c r="AB75" s="14" t="n">
        <v>24.714</v>
      </c>
      <c r="AC75" s="14" t="n">
        <v>0</v>
      </c>
      <c r="AD75" s="14" t="n">
        <v>1</v>
      </c>
      <c r="AE75" s="14" t="n">
        <v>14.867</v>
      </c>
      <c r="AF75" s="14" t="n">
        <v>3.481</v>
      </c>
      <c r="AG75" s="14" t="n">
        <v>9.847</v>
      </c>
      <c r="AH75" s="14" t="n">
        <v>24.714</v>
      </c>
      <c r="AI75" s="14" t="n">
        <v>0</v>
      </c>
      <c r="AJ75" s="14" t="n">
        <v>1</v>
      </c>
      <c r="AK75" s="14" t="n">
        <v>22.275</v>
      </c>
      <c r="AL75" s="14" t="n">
        <v>11.969</v>
      </c>
      <c r="AM75" s="14" t="n">
        <v>-1.33</v>
      </c>
      <c r="AN75" s="14" t="n">
        <v>24.61</v>
      </c>
      <c r="AO75" s="14" t="n">
        <v>0.175</v>
      </c>
      <c r="AP75" s="14" t="n">
        <v>1</v>
      </c>
      <c r="AQ75" s="14" t="n">
        <v>0.896</v>
      </c>
      <c r="AR75" s="14" t="n">
        <v>0.123</v>
      </c>
      <c r="AS75" s="14" t="n">
        <v>0.899</v>
      </c>
      <c r="AT75" s="14" t="n">
        <v>2.109</v>
      </c>
      <c r="AU75" s="14" t="n">
        <v>0.175</v>
      </c>
      <c r="AV75" s="14" t="n">
        <v>1</v>
      </c>
      <c r="AW75" s="14" t="n">
        <v>0.89</v>
      </c>
      <c r="AX75" s="14" t="n">
        <v>0.123</v>
      </c>
      <c r="AY75" s="14" t="n">
        <v>0.703</v>
      </c>
      <c r="AZ75" s="14" t="n">
        <v>1.872</v>
      </c>
      <c r="BA75" s="14" t="n">
        <v>0.175</v>
      </c>
      <c r="BB75" s="14" t="n">
        <v>1</v>
      </c>
      <c r="BC75" s="14" t="n">
        <v>0.62</v>
      </c>
      <c r="BD75" s="14" t="n">
        <v>0.123</v>
      </c>
      <c r="BE75" s="14" t="n">
        <v>0.151</v>
      </c>
      <c r="BF75" s="14" t="n">
        <v>0.906</v>
      </c>
      <c r="BG75" s="14" t="n">
        <v>0.175</v>
      </c>
      <c r="BH75" s="14" t="n">
        <v>1</v>
      </c>
      <c r="BI75" s="14" t="n">
        <v>0.608</v>
      </c>
      <c r="BJ75" s="14" t="n">
        <v>0.123</v>
      </c>
      <c r="BK75" s="14" t="n">
        <v>0.466</v>
      </c>
      <c r="BL75" s="14" t="n">
        <v>1.073</v>
      </c>
      <c r="BM75" s="14" t="n">
        <v>0</v>
      </c>
      <c r="BN75" s="14" t="n">
        <v>1</v>
      </c>
      <c r="BO75" s="14" t="n">
        <v>0</v>
      </c>
      <c r="BP75" s="14" t="n">
        <v>0</v>
      </c>
      <c r="BQ75" s="14" t="n">
        <v>0.347</v>
      </c>
      <c r="BR75" s="14" t="n">
        <v>0</v>
      </c>
      <c r="BS75" s="14" t="n">
        <v>1</v>
      </c>
      <c r="BT75" s="14" t="n">
        <v>0</v>
      </c>
      <c r="BU75" s="14" t="n">
        <v>0</v>
      </c>
      <c r="BV75" s="14" t="n">
        <v>0.305</v>
      </c>
      <c r="BW75" s="14" t="n">
        <v>0</v>
      </c>
      <c r="BX75" s="14" t="n">
        <v>1</v>
      </c>
      <c r="BY75" s="14" t="n">
        <v>12.729</v>
      </c>
      <c r="BZ75" s="14" t="n">
        <v>0</v>
      </c>
      <c r="CA75" s="14" t="n">
        <v>12.729</v>
      </c>
      <c r="CB75" s="14" t="n">
        <v>0</v>
      </c>
      <c r="CC75" s="14" t="n">
        <v>97.90000000000001</v>
      </c>
      <c r="CD75" s="14" t="n">
        <v>7.95</v>
      </c>
      <c r="CE75" s="14" t="n">
        <v>33.938</v>
      </c>
      <c r="CF75" s="14" t="n">
        <v>152.929</v>
      </c>
      <c r="CG75" s="14" t="n">
        <v>0.175</v>
      </c>
      <c r="CH75" s="14" t="n">
        <v>1</v>
      </c>
      <c r="CI75" s="14" t="n">
        <v>0</v>
      </c>
      <c r="CJ75" s="14" t="n">
        <v>0</v>
      </c>
      <c r="CK75" s="14" t="n">
        <v>0</v>
      </c>
      <c r="CL75" s="14" t="n">
        <v>0</v>
      </c>
      <c r="CM75" s="14" t="n">
        <v>0</v>
      </c>
      <c r="CN75" s="14" t="n">
        <v>0</v>
      </c>
      <c r="CO75" s="14" t="n">
        <v>0</v>
      </c>
      <c r="CP75" s="14" t="n">
        <v>0</v>
      </c>
      <c r="CQ75" s="14" t="n">
        <v>1.294</v>
      </c>
      <c r="CR75" s="14" t="n">
        <v>0</v>
      </c>
      <c r="CS75" s="14" t="n">
        <v>5.158</v>
      </c>
      <c r="CT75" s="14" t="n">
        <v>10.485</v>
      </c>
      <c r="CU75" s="14" t="n">
        <v>29.494</v>
      </c>
    </row>
    <row r="76">
      <c r="A76" s="14" t="inlineStr">
        <is>
          <t>BRB2023</t>
        </is>
      </c>
      <c r="B76" s="14" t="inlineStr">
        <is>
          <t>BRB</t>
        </is>
      </c>
      <c r="C76" s="14" t="inlineStr">
        <is>
          <t>BRB</t>
        </is>
      </c>
      <c r="D76" s="14" t="inlineStr">
        <is>
          <t>Barbados</t>
        </is>
      </c>
      <c r="E76" s="14" t="n">
        <v>2023</v>
      </c>
      <c r="F76" s="14" t="n">
        <v>0.175</v>
      </c>
      <c r="G76" s="14" t="n">
        <v>6.147</v>
      </c>
      <c r="H76" s="14" t="n">
        <v>1.286</v>
      </c>
      <c r="I76" s="14" t="n">
        <v>0</v>
      </c>
      <c r="J76" s="14" t="n">
        <v>6.147</v>
      </c>
      <c r="K76" s="14" t="n">
        <v>0</v>
      </c>
      <c r="L76" s="14" t="n">
        <v>1</v>
      </c>
      <c r="M76" s="14" t="n">
        <v>7.886</v>
      </c>
      <c r="N76" s="14" t="n">
        <v>3.857</v>
      </c>
      <c r="O76" s="14" t="n">
        <v>0</v>
      </c>
      <c r="P76" s="14" t="n">
        <v>7.886</v>
      </c>
      <c r="Q76" s="14" t="n">
        <v>0</v>
      </c>
      <c r="R76" s="14" t="n">
        <v>1</v>
      </c>
      <c r="S76" s="14" t="n">
        <v>12.575</v>
      </c>
      <c r="T76" s="14" t="n">
        <v>7.714</v>
      </c>
      <c r="U76" s="14" t="n">
        <v>0.244</v>
      </c>
      <c r="V76" s="14" t="n">
        <v>14.776</v>
      </c>
      <c r="W76" s="14" t="n">
        <v>0.175</v>
      </c>
      <c r="X76" s="14" t="n">
        <v>1</v>
      </c>
      <c r="Y76" s="14" t="n">
        <v>8.345000000000001</v>
      </c>
      <c r="Z76" s="14" t="n">
        <v>1.122</v>
      </c>
      <c r="AA76" s="14" t="n">
        <v>24.771</v>
      </c>
      <c r="AB76" s="14" t="n">
        <v>33.116</v>
      </c>
      <c r="AC76" s="14" t="n">
        <v>0</v>
      </c>
      <c r="AD76" s="14" t="n">
        <v>1</v>
      </c>
      <c r="AE76" s="14" t="n">
        <v>9.631</v>
      </c>
      <c r="AF76" s="14" t="n">
        <v>2.255</v>
      </c>
      <c r="AG76" s="14" t="n">
        <v>23.486</v>
      </c>
      <c r="AH76" s="14" t="n">
        <v>33.116</v>
      </c>
      <c r="AI76" s="14" t="n">
        <v>0</v>
      </c>
      <c r="AJ76" s="14" t="n">
        <v>1</v>
      </c>
      <c r="AK76" s="14" t="n">
        <v>17.345</v>
      </c>
      <c r="AL76" s="14" t="n">
        <v>9.32</v>
      </c>
      <c r="AM76" s="14" t="n">
        <v>4.28</v>
      </c>
      <c r="AN76" s="14" t="n">
        <v>25.409</v>
      </c>
      <c r="AO76" s="14" t="n">
        <v>0.175</v>
      </c>
      <c r="AP76" s="14" t="n">
        <v>1</v>
      </c>
      <c r="AQ76" s="14" t="n">
        <v>0.791</v>
      </c>
      <c r="AR76" s="14" t="n">
        <v>0.129</v>
      </c>
      <c r="AS76" s="14" t="n">
        <v>0.9350000000000001</v>
      </c>
      <c r="AT76" s="14" t="n">
        <v>2.027</v>
      </c>
      <c r="AU76" s="14" t="n">
        <v>0.175</v>
      </c>
      <c r="AV76" s="14" t="n">
        <v>1</v>
      </c>
      <c r="AW76" s="14" t="n">
        <v>0.618</v>
      </c>
      <c r="AX76" s="14" t="n">
        <v>0.129</v>
      </c>
      <c r="AY76" s="14" t="n">
        <v>0.857</v>
      </c>
      <c r="AZ76" s="14" t="n">
        <v>1.733</v>
      </c>
      <c r="BA76" s="14" t="n">
        <v>0.175</v>
      </c>
      <c r="BB76" s="14" t="n">
        <v>1</v>
      </c>
      <c r="BC76" s="14" t="n">
        <v>0.554</v>
      </c>
      <c r="BD76" s="14" t="n">
        <v>0.129</v>
      </c>
      <c r="BE76" s="14" t="n">
        <v>0.206</v>
      </c>
      <c r="BF76" s="14" t="n">
        <v>0.893</v>
      </c>
      <c r="BG76" s="14" t="n">
        <v>0.175</v>
      </c>
      <c r="BH76" s="14" t="n">
        <v>1</v>
      </c>
      <c r="BI76" s="14" t="n">
        <v>0.5570000000000001</v>
      </c>
      <c r="BJ76" s="14" t="n">
        <v>0.129</v>
      </c>
      <c r="BK76" s="14" t="n">
        <v>0.373</v>
      </c>
      <c r="BL76" s="14" t="n">
        <v>0.931</v>
      </c>
      <c r="BM76" s="14" t="n">
        <v>0</v>
      </c>
      <c r="BN76" s="14" t="n">
        <v>1</v>
      </c>
      <c r="BO76" s="14" t="n">
        <v>0</v>
      </c>
      <c r="BP76" s="14" t="n">
        <v>0</v>
      </c>
      <c r="BQ76" s="14" t="n">
        <v>0.325</v>
      </c>
      <c r="BR76" s="14" t="n">
        <v>0</v>
      </c>
      <c r="BS76" s="14" t="n">
        <v>1</v>
      </c>
      <c r="BT76" s="14" t="n">
        <v>0</v>
      </c>
      <c r="BU76" s="14" t="n">
        <v>0</v>
      </c>
      <c r="BV76" s="14" t="n">
        <v>0.294</v>
      </c>
      <c r="BW76" s="14" t="n">
        <v>0</v>
      </c>
      <c r="BX76" s="14" t="n">
        <v>1</v>
      </c>
      <c r="BY76" s="14" t="n">
        <v>13.254</v>
      </c>
      <c r="BZ76" s="14" t="n">
        <v>0</v>
      </c>
      <c r="CA76" s="14" t="n">
        <v>13.254</v>
      </c>
      <c r="CB76" s="14" t="n">
        <v>0</v>
      </c>
      <c r="CC76" s="14" t="n">
        <v>83.248</v>
      </c>
      <c r="CD76" s="14" t="n">
        <v>7.95</v>
      </c>
      <c r="CE76" s="14" t="n">
        <v>38.685</v>
      </c>
      <c r="CF76" s="14" t="n">
        <v>140.549</v>
      </c>
      <c r="CG76" s="14" t="n">
        <v>0.175</v>
      </c>
      <c r="CH76" s="14" t="n">
        <v>1</v>
      </c>
      <c r="CI76" s="14" t="n">
        <v>0</v>
      </c>
      <c r="CJ76" s="14" t="n">
        <v>0</v>
      </c>
      <c r="CK76" s="14" t="n">
        <v>0</v>
      </c>
      <c r="CL76" s="14" t="n">
        <v>0</v>
      </c>
      <c r="CM76" s="14" t="n">
        <v>0</v>
      </c>
      <c r="CN76" s="14" t="n">
        <v>0</v>
      </c>
      <c r="CO76" s="14" t="n">
        <v>0</v>
      </c>
      <c r="CP76" s="14" t="n">
        <v>0</v>
      </c>
      <c r="CQ76" s="14" t="n">
        <v>1.348</v>
      </c>
      <c r="CR76" s="14" t="n">
        <v>0</v>
      </c>
      <c r="CS76" s="14" t="n">
        <v>5.37</v>
      </c>
      <c r="CT76" s="14" t="n">
        <v>4.861</v>
      </c>
      <c r="CU76" s="14" t="n">
        <v>11.192</v>
      </c>
    </row>
    <row r="77">
      <c r="A77" s="14" t="inlineStr">
        <is>
          <t>BRB2024</t>
        </is>
      </c>
      <c r="B77" s="14" t="inlineStr">
        <is>
          <t>BRB</t>
        </is>
      </c>
      <c r="C77" s="14" t="inlineStr">
        <is>
          <t>BRB</t>
        </is>
      </c>
      <c r="D77" s="14" t="inlineStr">
        <is>
          <t>Barbados</t>
        </is>
      </c>
      <c r="E77" s="14" t="n">
        <v>2024</v>
      </c>
      <c r="F77" s="14" t="n">
        <v>0.175</v>
      </c>
      <c r="G77" s="14" t="n">
        <v>5.575</v>
      </c>
      <c r="H77" s="14" t="n">
        <v>1.324</v>
      </c>
      <c r="I77" s="14" t="n">
        <v>0</v>
      </c>
      <c r="J77" s="14" t="n">
        <v>5.575</v>
      </c>
      <c r="K77" s="14" t="n">
        <v>0</v>
      </c>
      <c r="L77" s="14" t="n">
        <v>1</v>
      </c>
      <c r="M77" s="14" t="n">
        <v>7.124</v>
      </c>
      <c r="N77" s="14" t="n">
        <v>3.971</v>
      </c>
      <c r="O77" s="14" t="n">
        <v>0</v>
      </c>
      <c r="P77" s="14" t="n">
        <v>7.124</v>
      </c>
      <c r="Q77" s="14" t="n">
        <v>0</v>
      </c>
      <c r="R77" s="14" t="n">
        <v>1</v>
      </c>
      <c r="S77" s="14" t="n">
        <v>12.193</v>
      </c>
      <c r="T77" s="14" t="n">
        <v>7.942</v>
      </c>
      <c r="U77" s="14" t="n">
        <v>0.291</v>
      </c>
      <c r="V77" s="14" t="n">
        <v>14.327</v>
      </c>
      <c r="W77" s="14" t="n">
        <v>0.175</v>
      </c>
      <c r="X77" s="14" t="n">
        <v>1</v>
      </c>
      <c r="Y77" s="14" t="n">
        <v>8.172000000000001</v>
      </c>
      <c r="Z77" s="14" t="n">
        <v>1.099</v>
      </c>
      <c r="AA77" s="14" t="n">
        <v>24.944</v>
      </c>
      <c r="AB77" s="14" t="n">
        <v>33.116</v>
      </c>
      <c r="AC77" s="14" t="n">
        <v>0</v>
      </c>
      <c r="AD77" s="14" t="n">
        <v>1</v>
      </c>
      <c r="AE77" s="14" t="n">
        <v>9.496</v>
      </c>
      <c r="AF77" s="14" t="n">
        <v>2.224</v>
      </c>
      <c r="AG77" s="14" t="n">
        <v>23.62</v>
      </c>
      <c r="AH77" s="14" t="n">
        <v>33.116</v>
      </c>
      <c r="AI77" s="14" t="n">
        <v>0</v>
      </c>
      <c r="AJ77" s="14" t="n">
        <v>1</v>
      </c>
      <c r="AK77" s="14" t="n">
        <v>17.438</v>
      </c>
      <c r="AL77" s="14" t="n">
        <v>9.369999999999999</v>
      </c>
      <c r="AM77" s="14" t="n">
        <v>4.187</v>
      </c>
      <c r="AN77" s="14" t="n">
        <v>25.409</v>
      </c>
      <c r="AO77" s="14" t="n">
        <v>0.175</v>
      </c>
      <c r="AP77" s="14" t="n">
        <v>1</v>
      </c>
      <c r="AQ77" s="14" t="n">
        <v>0.756</v>
      </c>
      <c r="AR77" s="14" t="n">
        <v>0.132</v>
      </c>
      <c r="AS77" s="14" t="n">
        <v>1.006</v>
      </c>
      <c r="AT77" s="14" t="n">
        <v>2.071</v>
      </c>
      <c r="AU77" s="14" t="n">
        <v>0.175</v>
      </c>
      <c r="AV77" s="14" t="n">
        <v>1</v>
      </c>
      <c r="AW77" s="14" t="n">
        <v>0.655</v>
      </c>
      <c r="AX77" s="14" t="n">
        <v>0.132</v>
      </c>
      <c r="AY77" s="14" t="n">
        <v>0.799</v>
      </c>
      <c r="AZ77" s="14" t="n">
        <v>1.709</v>
      </c>
      <c r="BA77" s="14" t="n">
        <v>0.175</v>
      </c>
      <c r="BB77" s="14" t="n">
        <v>1</v>
      </c>
      <c r="BC77" s="14" t="n">
        <v>0.534</v>
      </c>
      <c r="BD77" s="14" t="n">
        <v>0.132</v>
      </c>
      <c r="BE77" s="14" t="n">
        <v>0.224</v>
      </c>
      <c r="BF77" s="14" t="n">
        <v>0.89</v>
      </c>
      <c r="BG77" s="14" t="n">
        <v>0.175</v>
      </c>
      <c r="BH77" s="14" t="n">
        <v>1</v>
      </c>
      <c r="BI77" s="14" t="n">
        <v>0.5679999999999999</v>
      </c>
      <c r="BJ77" s="14" t="n">
        <v>0.132</v>
      </c>
      <c r="BK77" s="14" t="n">
        <v>0.416</v>
      </c>
      <c r="BL77" s="14" t="n">
        <v>0.984</v>
      </c>
      <c r="BM77" s="14" t="n">
        <v>0</v>
      </c>
      <c r="BN77" s="14" t="n">
        <v>1</v>
      </c>
      <c r="BO77" s="14" t="n">
        <v>0</v>
      </c>
      <c r="BP77" s="14" t="n">
        <v>0</v>
      </c>
      <c r="BQ77" s="14" t="n">
        <v>0.336</v>
      </c>
      <c r="BR77" s="14" t="n">
        <v>0</v>
      </c>
      <c r="BS77" s="14" t="n">
        <v>1</v>
      </c>
      <c r="BT77" s="14" t="n">
        <v>0</v>
      </c>
      <c r="BU77" s="14" t="n">
        <v>0</v>
      </c>
      <c r="BV77" s="14" t="n">
        <v>0.344</v>
      </c>
      <c r="BW77" s="14" t="n">
        <v>0</v>
      </c>
      <c r="BX77" s="14" t="n">
        <v>1</v>
      </c>
      <c r="BY77" s="14" t="n">
        <v>13.646</v>
      </c>
      <c r="BZ77" s="14" t="n">
        <v>0</v>
      </c>
      <c r="CA77" s="14" t="n">
        <v>13.646</v>
      </c>
      <c r="CB77" s="14" t="n">
        <v>0</v>
      </c>
      <c r="CC77" s="14" t="n">
        <v>82.58799999999999</v>
      </c>
      <c r="CD77" s="14" t="n">
        <v>7.95</v>
      </c>
      <c r="CE77" s="14" t="n">
        <v>40.778</v>
      </c>
      <c r="CF77" s="14" t="n">
        <v>141.58</v>
      </c>
      <c r="CG77" s="14" t="n">
        <v>0.175</v>
      </c>
      <c r="CH77" s="14" t="n">
        <v>1</v>
      </c>
      <c r="CI77" s="14" t="n">
        <v>0</v>
      </c>
      <c r="CJ77" s="14" t="n">
        <v>0</v>
      </c>
      <c r="CK77" s="14" t="n">
        <v>0</v>
      </c>
      <c r="CL77" s="14" t="n">
        <v>0</v>
      </c>
      <c r="CM77" s="14" t="n">
        <v>0</v>
      </c>
      <c r="CN77" s="14" t="n">
        <v>0</v>
      </c>
      <c r="CO77" s="14" t="n">
        <v>0</v>
      </c>
      <c r="CP77" s="14" t="n">
        <v>0</v>
      </c>
      <c r="CQ77" s="14" t="n">
        <v>1.387</v>
      </c>
      <c r="CR77" s="14" t="n">
        <v>0</v>
      </c>
      <c r="CS77" s="14" t="n">
        <v>5.529</v>
      </c>
      <c r="CT77" s="14" t="n">
        <v>4.251</v>
      </c>
      <c r="CU77" s="14" t="n">
        <v>10.123</v>
      </c>
    </row>
    <row r="78">
      <c r="A78" s="14" t="inlineStr">
        <is>
          <t>BLR2021</t>
        </is>
      </c>
      <c r="B78" s="14" t="inlineStr">
        <is>
          <t>BLR</t>
        </is>
      </c>
      <c r="C78" s="14" t="inlineStr">
        <is>
          <t>BLR</t>
        </is>
      </c>
      <c r="D78" s="14" t="inlineStr">
        <is>
          <t>Belarus</t>
        </is>
      </c>
      <c r="E78" s="14" t="n">
        <v>2021</v>
      </c>
      <c r="F78" s="14" t="n">
        <v>0.2</v>
      </c>
      <c r="G78" s="14" t="n">
        <v>5.553</v>
      </c>
      <c r="H78" s="14" t="n">
        <v>1.143</v>
      </c>
      <c r="I78" s="14" t="n">
        <v>0</v>
      </c>
      <c r="J78" s="14" t="n">
        <v>5.553</v>
      </c>
      <c r="K78" s="14" t="n">
        <v>0</v>
      </c>
      <c r="L78" s="14" t="n">
        <v>1</v>
      </c>
      <c r="M78" s="14" t="n">
        <v>7.964</v>
      </c>
      <c r="N78" s="14" t="n">
        <v>3.43</v>
      </c>
      <c r="O78" s="14" t="n">
        <v>0</v>
      </c>
      <c r="P78" s="14" t="n">
        <v>7.964</v>
      </c>
      <c r="Q78" s="14" t="n">
        <v>0</v>
      </c>
      <c r="R78" s="14" t="n">
        <v>1</v>
      </c>
      <c r="S78" s="14" t="n">
        <v>13.63</v>
      </c>
      <c r="T78" s="14" t="n">
        <v>6.86</v>
      </c>
      <c r="U78" s="14" t="n">
        <v>-9.984999999999999</v>
      </c>
      <c r="V78" s="14" t="n">
        <v>3.703</v>
      </c>
      <c r="W78" s="14" t="n">
        <v>0</v>
      </c>
      <c r="X78" s="14" t="n">
        <v>0</v>
      </c>
      <c r="Y78" s="14" t="n">
        <v>5.914</v>
      </c>
      <c r="Z78" s="14" t="n">
        <v>0.795</v>
      </c>
      <c r="AA78" s="14" t="n">
        <v>0.979</v>
      </c>
      <c r="AB78" s="14" t="n">
        <v>6.893</v>
      </c>
      <c r="AC78" s="14" t="n">
        <v>0</v>
      </c>
      <c r="AD78" s="14" t="n">
        <v>0</v>
      </c>
      <c r="AE78" s="14" t="n">
        <v>7.053</v>
      </c>
      <c r="AF78" s="14" t="n">
        <v>1.641</v>
      </c>
      <c r="AG78" s="14" t="n">
        <v>-0.159</v>
      </c>
      <c r="AH78" s="14" t="n">
        <v>6.893</v>
      </c>
      <c r="AI78" s="14" t="n">
        <v>0</v>
      </c>
      <c r="AJ78" s="14" t="n">
        <v>0</v>
      </c>
      <c r="AK78" s="14" t="n">
        <v>13.883</v>
      </c>
      <c r="AL78" s="14" t="n">
        <v>7.373</v>
      </c>
      <c r="AM78" s="14" t="n">
        <v>-12.698</v>
      </c>
      <c r="AN78" s="14" t="n">
        <v>1.422</v>
      </c>
      <c r="AO78" s="14" t="n">
        <v>0</v>
      </c>
      <c r="AP78" s="14" t="n">
        <v>0</v>
      </c>
      <c r="AQ78" s="14" t="n">
        <v>0.619</v>
      </c>
      <c r="AR78" s="14" t="n">
        <v>0.114</v>
      </c>
      <c r="AS78" s="14" t="n">
        <v>0.03</v>
      </c>
      <c r="AT78" s="14" t="n">
        <v>0.779</v>
      </c>
      <c r="AU78" s="14" t="n">
        <v>0.2</v>
      </c>
      <c r="AV78" s="14" t="n">
        <v>1</v>
      </c>
      <c r="AW78" s="14" t="n">
        <v>0.599</v>
      </c>
      <c r="AX78" s="14" t="n">
        <v>0.114</v>
      </c>
      <c r="AY78" s="14" t="n">
        <v>0.05</v>
      </c>
      <c r="AZ78" s="14" t="n">
        <v>0.779</v>
      </c>
      <c r="BA78" s="14" t="n">
        <v>0.2</v>
      </c>
      <c r="BB78" s="14" t="n">
        <v>1</v>
      </c>
      <c r="BC78" s="14" t="n">
        <v>0.439</v>
      </c>
      <c r="BD78" s="14" t="n">
        <v>0.114</v>
      </c>
      <c r="BE78" s="14" t="n">
        <v>-0.092</v>
      </c>
      <c r="BF78" s="14" t="n">
        <v>0.416</v>
      </c>
      <c r="BG78" s="14" t="n">
        <v>0</v>
      </c>
      <c r="BH78" s="14" t="n">
        <v>0</v>
      </c>
      <c r="BI78" s="14" t="n">
        <v>0.505</v>
      </c>
      <c r="BJ78" s="14" t="n">
        <v>0.114</v>
      </c>
      <c r="BK78" s="14" t="n">
        <v>0</v>
      </c>
      <c r="BL78" s="14" t="n">
        <v>0.606</v>
      </c>
      <c r="BM78" s="14" t="n">
        <v>0.2</v>
      </c>
      <c r="BN78" s="14" t="n">
        <v>1</v>
      </c>
      <c r="BO78" s="14" t="n">
        <v>0</v>
      </c>
      <c r="BP78" s="14" t="n">
        <v>0</v>
      </c>
      <c r="BQ78" s="14" t="n">
        <v>0.093</v>
      </c>
      <c r="BR78" s="14" t="n">
        <v>0</v>
      </c>
      <c r="BS78" s="14" t="n">
        <v>1</v>
      </c>
      <c r="BT78" s="14" t="n">
        <v>0</v>
      </c>
      <c r="BU78" s="14" t="n">
        <v>0</v>
      </c>
      <c r="BV78" s="14" t="n">
        <v>0.077</v>
      </c>
      <c r="BW78" s="14" t="n">
        <v>0.2</v>
      </c>
      <c r="BX78" s="14" t="n">
        <v>1</v>
      </c>
      <c r="BY78" s="14" t="n">
        <v>11.787</v>
      </c>
      <c r="BZ78" s="14" t="n">
        <v>0</v>
      </c>
      <c r="CA78" s="14" t="n">
        <v>11.787</v>
      </c>
      <c r="CB78" s="14" t="n">
        <v>0</v>
      </c>
      <c r="CC78" s="14" t="n">
        <v>78.125</v>
      </c>
      <c r="CD78" s="14" t="n">
        <v>7.95</v>
      </c>
      <c r="CE78" s="14" t="n">
        <v>0</v>
      </c>
      <c r="CF78" s="14" t="n">
        <v>93.75</v>
      </c>
      <c r="CG78" s="14" t="n">
        <v>0.2</v>
      </c>
      <c r="CH78" s="14" t="n">
        <v>1</v>
      </c>
      <c r="CI78" s="14" t="n">
        <v>0</v>
      </c>
      <c r="CJ78" s="14" t="n">
        <v>0</v>
      </c>
      <c r="CK78" s="14" t="n">
        <v>0</v>
      </c>
      <c r="CL78" s="14" t="n">
        <v>0</v>
      </c>
      <c r="CM78" s="14" t="n">
        <v>0.019</v>
      </c>
      <c r="CN78" s="14" t="n">
        <v>0.041</v>
      </c>
      <c r="CO78" s="14" t="n">
        <v>0</v>
      </c>
      <c r="CP78" s="14" t="n">
        <v>0</v>
      </c>
      <c r="CQ78" s="14" t="n">
        <v>1.198</v>
      </c>
      <c r="CR78" s="14" t="n">
        <v>0.008999999999999999</v>
      </c>
      <c r="CS78" s="14" t="n">
        <v>4.776</v>
      </c>
      <c r="CT78" s="14" t="n">
        <v>4.41</v>
      </c>
      <c r="CU78" s="14" t="n">
        <v>15.162</v>
      </c>
    </row>
    <row r="79">
      <c r="A79" s="14" t="inlineStr">
        <is>
          <t>BLR2022</t>
        </is>
      </c>
      <c r="B79" s="14" t="inlineStr">
        <is>
          <t>BLR</t>
        </is>
      </c>
      <c r="C79" s="14" t="inlineStr">
        <is>
          <t>BLR</t>
        </is>
      </c>
      <c r="D79" s="14" t="inlineStr">
        <is>
          <t>Belarus</t>
        </is>
      </c>
      <c r="E79" s="14" t="n">
        <v>2022</v>
      </c>
      <c r="F79" s="14" t="n">
        <v>0.2</v>
      </c>
      <c r="G79" s="14" t="n">
        <v>7.077</v>
      </c>
      <c r="H79" s="14" t="n">
        <v>1.235</v>
      </c>
      <c r="I79" s="14" t="n">
        <v>0</v>
      </c>
      <c r="J79" s="14" t="n">
        <v>7.077</v>
      </c>
      <c r="K79" s="14" t="n">
        <v>0</v>
      </c>
      <c r="L79" s="14" t="n">
        <v>1</v>
      </c>
      <c r="M79" s="14" t="n">
        <v>9.782999999999999</v>
      </c>
      <c r="N79" s="14" t="n">
        <v>3.704</v>
      </c>
      <c r="O79" s="14" t="n">
        <v>0</v>
      </c>
      <c r="P79" s="14" t="n">
        <v>9.782999999999999</v>
      </c>
      <c r="Q79" s="14" t="n">
        <v>0</v>
      </c>
      <c r="R79" s="14" t="n">
        <v>1</v>
      </c>
      <c r="S79" s="14" t="n">
        <v>15.8</v>
      </c>
      <c r="T79" s="14" t="n">
        <v>7.408</v>
      </c>
      <c r="U79" s="14" t="n">
        <v>-11.888</v>
      </c>
      <c r="V79" s="14" t="n">
        <v>3.968</v>
      </c>
      <c r="W79" s="14" t="n">
        <v>0</v>
      </c>
      <c r="X79" s="14" t="n">
        <v>0</v>
      </c>
      <c r="Y79" s="14" t="n">
        <v>6.387</v>
      </c>
      <c r="Z79" s="14" t="n">
        <v>0.859</v>
      </c>
      <c r="AA79" s="14" t="n">
        <v>0.171</v>
      </c>
      <c r="AB79" s="14" t="n">
        <v>6.558</v>
      </c>
      <c r="AC79" s="14" t="n">
        <v>0</v>
      </c>
      <c r="AD79" s="14" t="n">
        <v>0</v>
      </c>
      <c r="AE79" s="14" t="n">
        <v>7.616</v>
      </c>
      <c r="AF79" s="14" t="n">
        <v>1.773</v>
      </c>
      <c r="AG79" s="14" t="n">
        <v>-1.058</v>
      </c>
      <c r="AH79" s="14" t="n">
        <v>6.558</v>
      </c>
      <c r="AI79" s="14" t="n">
        <v>0</v>
      </c>
      <c r="AJ79" s="14" t="n">
        <v>0</v>
      </c>
      <c r="AK79" s="14" t="n">
        <v>14.993</v>
      </c>
      <c r="AL79" s="14" t="n">
        <v>7.962</v>
      </c>
      <c r="AM79" s="14" t="n">
        <v>-13.472</v>
      </c>
      <c r="AN79" s="14" t="n">
        <v>1.825</v>
      </c>
      <c r="AO79" s="14" t="n">
        <v>0</v>
      </c>
      <c r="AP79" s="14" t="n">
        <v>0</v>
      </c>
      <c r="AQ79" s="14" t="n">
        <v>0.861</v>
      </c>
      <c r="AR79" s="14" t="n">
        <v>0.123</v>
      </c>
      <c r="AS79" s="14" t="n">
        <v>-0.118</v>
      </c>
      <c r="AT79" s="14" t="n">
        <v>0.892</v>
      </c>
      <c r="AU79" s="14" t="n">
        <v>0.2</v>
      </c>
      <c r="AV79" s="14" t="n">
        <v>1</v>
      </c>
      <c r="AW79" s="14" t="n">
        <v>0.986</v>
      </c>
      <c r="AX79" s="14" t="n">
        <v>0.123</v>
      </c>
      <c r="AY79" s="14" t="n">
        <v>-0.243</v>
      </c>
      <c r="AZ79" s="14" t="n">
        <v>0.892</v>
      </c>
      <c r="BA79" s="14" t="n">
        <v>0.2</v>
      </c>
      <c r="BB79" s="14" t="n">
        <v>1</v>
      </c>
      <c r="BC79" s="14" t="n">
        <v>0.598</v>
      </c>
      <c r="BD79" s="14" t="n">
        <v>0.123</v>
      </c>
      <c r="BE79" s="14" t="n">
        <v>-0.189</v>
      </c>
      <c r="BF79" s="14" t="n">
        <v>0.491</v>
      </c>
      <c r="BG79" s="14" t="n">
        <v>0</v>
      </c>
      <c r="BH79" s="14" t="n">
        <v>0</v>
      </c>
      <c r="BI79" s="14" t="n">
        <v>0.612</v>
      </c>
      <c r="BJ79" s="14" t="n">
        <v>0.123</v>
      </c>
      <c r="BK79" s="14" t="n">
        <v>0.008999999999999999</v>
      </c>
      <c r="BL79" s="14" t="n">
        <v>0.735</v>
      </c>
      <c r="BM79" s="14" t="n">
        <v>0.2</v>
      </c>
      <c r="BN79" s="14" t="n">
        <v>1</v>
      </c>
      <c r="BO79" s="14" t="n">
        <v>0</v>
      </c>
      <c r="BP79" s="14" t="n">
        <v>0</v>
      </c>
      <c r="BQ79" s="14" t="n">
        <v>0.098</v>
      </c>
      <c r="BR79" s="14" t="n">
        <v>0</v>
      </c>
      <c r="BS79" s="14" t="n">
        <v>1</v>
      </c>
      <c r="BT79" s="14" t="n">
        <v>0</v>
      </c>
      <c r="BU79" s="14" t="n">
        <v>0</v>
      </c>
      <c r="BV79" s="14" t="n">
        <v>0.064</v>
      </c>
      <c r="BW79" s="14" t="n">
        <v>0.2</v>
      </c>
      <c r="BX79" s="14" t="n">
        <v>1</v>
      </c>
      <c r="BY79" s="14" t="n">
        <v>12.729</v>
      </c>
      <c r="BZ79" s="14" t="n">
        <v>0</v>
      </c>
      <c r="CA79" s="14" t="n">
        <v>12.729</v>
      </c>
      <c r="CB79" s="14" t="n">
        <v>0</v>
      </c>
      <c r="CC79" s="14" t="n">
        <v>97.90000000000001</v>
      </c>
      <c r="CD79" s="14" t="n">
        <v>7.95</v>
      </c>
      <c r="CE79" s="14" t="n">
        <v>1.449</v>
      </c>
      <c r="CF79" s="14" t="n">
        <v>117.48</v>
      </c>
      <c r="CG79" s="14" t="n">
        <v>0.2</v>
      </c>
      <c r="CH79" s="14" t="n">
        <v>1</v>
      </c>
      <c r="CI79" s="14" t="n">
        <v>0</v>
      </c>
      <c r="CJ79" s="14" t="n">
        <v>0</v>
      </c>
      <c r="CK79" s="14" t="n">
        <v>0</v>
      </c>
      <c r="CL79" s="14" t="n">
        <v>0</v>
      </c>
      <c r="CM79" s="14" t="n">
        <v>0.021</v>
      </c>
      <c r="CN79" s="14" t="n">
        <v>0.044</v>
      </c>
      <c r="CO79" s="14" t="n">
        <v>0</v>
      </c>
      <c r="CP79" s="14" t="n">
        <v>0</v>
      </c>
      <c r="CQ79" s="14" t="n">
        <v>1.294</v>
      </c>
      <c r="CR79" s="14" t="n">
        <v>0.008999999999999999</v>
      </c>
      <c r="CS79" s="14" t="n">
        <v>5.158</v>
      </c>
      <c r="CT79" s="14" t="n">
        <v>5.842</v>
      </c>
      <c r="CU79" s="14" t="n">
        <v>31.326</v>
      </c>
    </row>
    <row r="80">
      <c r="A80" s="14" t="inlineStr">
        <is>
          <t>BLR2023</t>
        </is>
      </c>
      <c r="B80" s="14" t="inlineStr">
        <is>
          <t>BLR</t>
        </is>
      </c>
      <c r="C80" s="14" t="inlineStr">
        <is>
          <t>BLR</t>
        </is>
      </c>
      <c r="D80" s="14" t="inlineStr">
        <is>
          <t>Belarus</t>
        </is>
      </c>
      <c r="E80" s="14" t="n">
        <v>2023</v>
      </c>
      <c r="F80" s="14" t="n">
        <v>0.2</v>
      </c>
      <c r="G80" s="14" t="n">
        <v>4.752</v>
      </c>
      <c r="H80" s="14" t="n">
        <v>1.286</v>
      </c>
      <c r="I80" s="14" t="n">
        <v>0</v>
      </c>
      <c r="J80" s="14" t="n">
        <v>4.752</v>
      </c>
      <c r="K80" s="14" t="n">
        <v>0</v>
      </c>
      <c r="L80" s="14" t="n">
        <v>1</v>
      </c>
      <c r="M80" s="14" t="n">
        <v>7.886</v>
      </c>
      <c r="N80" s="14" t="n">
        <v>3.857</v>
      </c>
      <c r="O80" s="14" t="n">
        <v>0</v>
      </c>
      <c r="P80" s="14" t="n">
        <v>7.886</v>
      </c>
      <c r="Q80" s="14" t="n">
        <v>0</v>
      </c>
      <c r="R80" s="14" t="n">
        <v>1</v>
      </c>
      <c r="S80" s="14" t="n">
        <v>13.834</v>
      </c>
      <c r="T80" s="14" t="n">
        <v>7.714</v>
      </c>
      <c r="U80" s="14" t="n">
        <v>-9.807</v>
      </c>
      <c r="V80" s="14" t="n">
        <v>4.078</v>
      </c>
      <c r="W80" s="14" t="n">
        <v>0</v>
      </c>
      <c r="X80" s="14" t="n">
        <v>0</v>
      </c>
      <c r="Y80" s="14" t="n">
        <v>6.65</v>
      </c>
      <c r="Z80" s="14" t="n">
        <v>0.894</v>
      </c>
      <c r="AA80" s="14" t="n">
        <v>-0.485</v>
      </c>
      <c r="AB80" s="14" t="n">
        <v>6.165</v>
      </c>
      <c r="AC80" s="14" t="n">
        <v>0</v>
      </c>
      <c r="AD80" s="14" t="n">
        <v>0</v>
      </c>
      <c r="AE80" s="14" t="n">
        <v>7.93</v>
      </c>
      <c r="AF80" s="14" t="n">
        <v>1.845</v>
      </c>
      <c r="AG80" s="14" t="n">
        <v>-1.764</v>
      </c>
      <c r="AH80" s="14" t="n">
        <v>6.165</v>
      </c>
      <c r="AI80" s="14" t="n">
        <v>0</v>
      </c>
      <c r="AJ80" s="14" t="n">
        <v>0</v>
      </c>
      <c r="AK80" s="14" t="n">
        <v>15.607</v>
      </c>
      <c r="AL80" s="14" t="n">
        <v>8.289</v>
      </c>
      <c r="AM80" s="14" t="n">
        <v>-14.222</v>
      </c>
      <c r="AN80" s="14" t="n">
        <v>1.663</v>
      </c>
      <c r="AO80" s="14" t="n">
        <v>0</v>
      </c>
      <c r="AP80" s="14" t="n">
        <v>0</v>
      </c>
      <c r="AQ80" s="14" t="n">
        <v>0.76</v>
      </c>
      <c r="AR80" s="14" t="n">
        <v>0.129</v>
      </c>
      <c r="AS80" s="14" t="n">
        <v>-0.099</v>
      </c>
      <c r="AT80" s="14" t="n">
        <v>0.793</v>
      </c>
      <c r="AU80" s="14" t="n">
        <v>0.2</v>
      </c>
      <c r="AV80" s="14" t="n">
        <v>1</v>
      </c>
      <c r="AW80" s="14" t="n">
        <v>0.8110000000000001</v>
      </c>
      <c r="AX80" s="14" t="n">
        <v>0.129</v>
      </c>
      <c r="AY80" s="14" t="n">
        <v>-0.15</v>
      </c>
      <c r="AZ80" s="14" t="n">
        <v>0.793</v>
      </c>
      <c r="BA80" s="14" t="n">
        <v>0.2</v>
      </c>
      <c r="BB80" s="14" t="n">
        <v>1</v>
      </c>
      <c r="BC80" s="14" t="n">
        <v>0.535</v>
      </c>
      <c r="BD80" s="14" t="n">
        <v>0.129</v>
      </c>
      <c r="BE80" s="14" t="n">
        <v>-0.187</v>
      </c>
      <c r="BF80" s="14" t="n">
        <v>0.417</v>
      </c>
      <c r="BG80" s="14" t="n">
        <v>0</v>
      </c>
      <c r="BH80" s="14" t="n">
        <v>0</v>
      </c>
      <c r="BI80" s="14" t="n">
        <v>0.579</v>
      </c>
      <c r="BJ80" s="14" t="n">
        <v>0.129</v>
      </c>
      <c r="BK80" s="14" t="n">
        <v>0.013</v>
      </c>
      <c r="BL80" s="14" t="n">
        <v>0.695</v>
      </c>
      <c r="BM80" s="14" t="n">
        <v>0.2</v>
      </c>
      <c r="BN80" s="14" t="n">
        <v>1</v>
      </c>
      <c r="BO80" s="14" t="n">
        <v>0</v>
      </c>
      <c r="BP80" s="14" t="n">
        <v>0</v>
      </c>
      <c r="BQ80" s="14" t="n">
        <v>0.128</v>
      </c>
      <c r="BR80" s="14" t="n">
        <v>0</v>
      </c>
      <c r="BS80" s="14" t="n">
        <v>1</v>
      </c>
      <c r="BT80" s="14" t="n">
        <v>0</v>
      </c>
      <c r="BU80" s="14" t="n">
        <v>0</v>
      </c>
      <c r="BV80" s="14" t="n">
        <v>0.083</v>
      </c>
      <c r="BW80" s="14" t="n">
        <v>0.2</v>
      </c>
      <c r="BX80" s="14" t="n">
        <v>1</v>
      </c>
      <c r="BY80" s="14" t="n">
        <v>13.254</v>
      </c>
      <c r="BZ80" s="14" t="n">
        <v>0</v>
      </c>
      <c r="CA80" s="14" t="n">
        <v>13.254</v>
      </c>
      <c r="CB80" s="14" t="n">
        <v>0</v>
      </c>
      <c r="CC80" s="14" t="n">
        <v>83.248</v>
      </c>
      <c r="CD80" s="14" t="n">
        <v>7.95</v>
      </c>
      <c r="CE80" s="14" t="n">
        <v>1.843</v>
      </c>
      <c r="CF80" s="14" t="n">
        <v>99.898</v>
      </c>
      <c r="CG80" s="14" t="n">
        <v>0.2</v>
      </c>
      <c r="CH80" s="14" t="n">
        <v>1</v>
      </c>
      <c r="CI80" s="14" t="n">
        <v>0</v>
      </c>
      <c r="CJ80" s="14" t="n">
        <v>0</v>
      </c>
      <c r="CK80" s="14" t="n">
        <v>0</v>
      </c>
      <c r="CL80" s="14" t="n">
        <v>0</v>
      </c>
      <c r="CM80" s="14" t="n">
        <v>0.022</v>
      </c>
      <c r="CN80" s="14" t="n">
        <v>0.046</v>
      </c>
      <c r="CO80" s="14" t="n">
        <v>0</v>
      </c>
      <c r="CP80" s="14" t="n">
        <v>0</v>
      </c>
      <c r="CQ80" s="14" t="n">
        <v>1.348</v>
      </c>
      <c r="CR80" s="14" t="n">
        <v>0.008999999999999999</v>
      </c>
      <c r="CS80" s="14" t="n">
        <v>5.37</v>
      </c>
      <c r="CT80" s="14" t="n">
        <v>3.466</v>
      </c>
      <c r="CU80" s="14" t="n">
        <v>11.622</v>
      </c>
    </row>
    <row r="81">
      <c r="A81" s="14" t="inlineStr">
        <is>
          <t>BLR2024</t>
        </is>
      </c>
      <c r="B81" s="14" t="inlineStr">
        <is>
          <t>BLR</t>
        </is>
      </c>
      <c r="C81" s="14" t="inlineStr">
        <is>
          <t>BLR</t>
        </is>
      </c>
      <c r="D81" s="14" t="inlineStr">
        <is>
          <t>Belarus</t>
        </is>
      </c>
      <c r="E81" s="14" t="n">
        <v>2024</v>
      </c>
      <c r="F81" s="14" t="n">
        <v>0.2</v>
      </c>
      <c r="G81" s="14" t="n">
        <v>4.351</v>
      </c>
      <c r="H81" s="14" t="n">
        <v>1.324</v>
      </c>
      <c r="I81" s="14" t="n">
        <v>0</v>
      </c>
      <c r="J81" s="14" t="n">
        <v>4.351</v>
      </c>
      <c r="K81" s="14" t="n">
        <v>0</v>
      </c>
      <c r="L81" s="14" t="n">
        <v>1</v>
      </c>
      <c r="M81" s="14" t="n">
        <v>7.124</v>
      </c>
      <c r="N81" s="14" t="n">
        <v>3.971</v>
      </c>
      <c r="O81" s="14" t="n">
        <v>0</v>
      </c>
      <c r="P81" s="14" t="n">
        <v>7.124</v>
      </c>
      <c r="Q81" s="14" t="n">
        <v>0</v>
      </c>
      <c r="R81" s="14" t="n">
        <v>1</v>
      </c>
      <c r="S81" s="14" t="n">
        <v>13.702</v>
      </c>
      <c r="T81" s="14" t="n">
        <v>7.942</v>
      </c>
      <c r="U81" s="14" t="n">
        <v>-9.58</v>
      </c>
      <c r="V81" s="14" t="n">
        <v>4.167</v>
      </c>
      <c r="W81" s="14" t="n">
        <v>0</v>
      </c>
      <c r="X81" s="14" t="n">
        <v>0</v>
      </c>
      <c r="Y81" s="14" t="n">
        <v>6.846</v>
      </c>
      <c r="Z81" s="14" t="n">
        <v>0.92</v>
      </c>
      <c r="AA81" s="14" t="n">
        <v>-1.092</v>
      </c>
      <c r="AB81" s="14" t="n">
        <v>5.755</v>
      </c>
      <c r="AC81" s="14" t="n">
        <v>0</v>
      </c>
      <c r="AD81" s="14" t="n">
        <v>0</v>
      </c>
      <c r="AE81" s="14" t="n">
        <v>8.164</v>
      </c>
      <c r="AF81" s="14" t="n">
        <v>1.9</v>
      </c>
      <c r="AG81" s="14" t="n">
        <v>-2.409</v>
      </c>
      <c r="AH81" s="14" t="n">
        <v>5.755</v>
      </c>
      <c r="AI81" s="14" t="n">
        <v>0</v>
      </c>
      <c r="AJ81" s="14" t="n">
        <v>0</v>
      </c>
      <c r="AK81" s="14" t="n">
        <v>16.068</v>
      </c>
      <c r="AL81" s="14" t="n">
        <v>8.532999999999999</v>
      </c>
      <c r="AM81" s="14" t="n">
        <v>-14.57</v>
      </c>
      <c r="AN81" s="14" t="n">
        <v>1.797</v>
      </c>
      <c r="AO81" s="14" t="n">
        <v>0</v>
      </c>
      <c r="AP81" s="14" t="n">
        <v>0</v>
      </c>
      <c r="AQ81" s="14" t="n">
        <v>0.724</v>
      </c>
      <c r="AR81" s="14" t="n">
        <v>0.132</v>
      </c>
      <c r="AS81" s="14" t="n">
        <v>-0.107</v>
      </c>
      <c r="AT81" s="14" t="n">
        <v>0.741</v>
      </c>
      <c r="AU81" s="14" t="n">
        <v>0.2</v>
      </c>
      <c r="AV81" s="14" t="n">
        <v>1</v>
      </c>
      <c r="AW81" s="14" t="n">
        <v>0.75</v>
      </c>
      <c r="AX81" s="14" t="n">
        <v>0.132</v>
      </c>
      <c r="AY81" s="14" t="n">
        <v>-0.133</v>
      </c>
      <c r="AZ81" s="14" t="n">
        <v>0.741</v>
      </c>
      <c r="BA81" s="14" t="n">
        <v>0.2</v>
      </c>
      <c r="BB81" s="14" t="n">
        <v>1</v>
      </c>
      <c r="BC81" s="14" t="n">
        <v>0.513</v>
      </c>
      <c r="BD81" s="14" t="n">
        <v>0.132</v>
      </c>
      <c r="BE81" s="14" t="n">
        <v>-0.196</v>
      </c>
      <c r="BF81" s="14" t="n">
        <v>0.38</v>
      </c>
      <c r="BG81" s="14" t="n">
        <v>0</v>
      </c>
      <c r="BH81" s="14" t="n">
        <v>0</v>
      </c>
      <c r="BI81" s="14" t="n">
        <v>0.591</v>
      </c>
      <c r="BJ81" s="14" t="n">
        <v>0.132</v>
      </c>
      <c r="BK81" s="14" t="n">
        <v>0.016</v>
      </c>
      <c r="BL81" s="14" t="n">
        <v>0.71</v>
      </c>
      <c r="BM81" s="14" t="n">
        <v>0.2</v>
      </c>
      <c r="BN81" s="14" t="n">
        <v>1</v>
      </c>
      <c r="BO81" s="14" t="n">
        <v>0</v>
      </c>
      <c r="BP81" s="14" t="n">
        <v>0</v>
      </c>
      <c r="BQ81" s="14" t="n">
        <v>0.097</v>
      </c>
      <c r="BR81" s="14" t="n">
        <v>0</v>
      </c>
      <c r="BS81" s="14" t="n">
        <v>1</v>
      </c>
      <c r="BT81" s="14" t="n">
        <v>0</v>
      </c>
      <c r="BU81" s="14" t="n">
        <v>0</v>
      </c>
      <c r="BV81" s="14" t="n">
        <v>0.073</v>
      </c>
      <c r="BW81" s="14" t="n">
        <v>0.2</v>
      </c>
      <c r="BX81" s="14" t="n">
        <v>1</v>
      </c>
      <c r="BY81" s="14" t="n">
        <v>13.646</v>
      </c>
      <c r="BZ81" s="14" t="n">
        <v>0</v>
      </c>
      <c r="CA81" s="14" t="n">
        <v>13.646</v>
      </c>
      <c r="CB81" s="14" t="n">
        <v>0</v>
      </c>
      <c r="CC81" s="14" t="n">
        <v>82.58799999999999</v>
      </c>
      <c r="CD81" s="14" t="n">
        <v>7.95</v>
      </c>
      <c r="CE81" s="14" t="n">
        <v>2.25</v>
      </c>
      <c r="CF81" s="14" t="n">
        <v>99.10599999999999</v>
      </c>
      <c r="CG81" s="14" t="n">
        <v>0.2</v>
      </c>
      <c r="CH81" s="14" t="n">
        <v>1</v>
      </c>
      <c r="CI81" s="14" t="n">
        <v>0</v>
      </c>
      <c r="CJ81" s="14" t="n">
        <v>0</v>
      </c>
      <c r="CK81" s="14" t="n">
        <v>0</v>
      </c>
      <c r="CL81" s="14" t="n">
        <v>0</v>
      </c>
      <c r="CM81" s="14" t="n">
        <v>0.022</v>
      </c>
      <c r="CN81" s="14" t="n">
        <v>0.048</v>
      </c>
      <c r="CO81" s="14" t="n">
        <v>0</v>
      </c>
      <c r="CP81" s="14" t="n">
        <v>0</v>
      </c>
      <c r="CQ81" s="14" t="n">
        <v>1.387</v>
      </c>
      <c r="CR81" s="14" t="n">
        <v>0.008999999999999999</v>
      </c>
      <c r="CS81" s="14" t="n">
        <v>5.529</v>
      </c>
      <c r="CT81" s="14" t="n">
        <v>3.027</v>
      </c>
      <c r="CU81" s="14" t="n">
        <v>10.168</v>
      </c>
    </row>
    <row r="82">
      <c r="A82" s="14" t="inlineStr">
        <is>
          <t>BEL2021</t>
        </is>
      </c>
      <c r="B82" s="14" t="inlineStr">
        <is>
          <t>BEL</t>
        </is>
      </c>
      <c r="C82" s="14" t="inlineStr">
        <is>
          <t>BEL</t>
        </is>
      </c>
      <c r="D82" s="14" t="inlineStr">
        <is>
          <t>Belgium</t>
        </is>
      </c>
      <c r="E82" s="14" t="n">
        <v>2021</v>
      </c>
      <c r="F82" s="14" t="n">
        <v>0.21</v>
      </c>
      <c r="G82" s="14" t="n">
        <v>4.698</v>
      </c>
      <c r="H82" s="14" t="n">
        <v>1.028</v>
      </c>
      <c r="I82" s="14" t="n">
        <v>1.866</v>
      </c>
      <c r="J82" s="14" t="n">
        <v>6.564</v>
      </c>
      <c r="K82" s="14" t="n">
        <v>0</v>
      </c>
      <c r="L82" s="14" t="n">
        <v>1</v>
      </c>
      <c r="M82" s="14" t="n">
        <v>4.654</v>
      </c>
      <c r="N82" s="14" t="n">
        <v>2.109</v>
      </c>
      <c r="O82" s="14" t="n">
        <v>1.91</v>
      </c>
      <c r="P82" s="14" t="n">
        <v>6.564</v>
      </c>
      <c r="Q82" s="14" t="n">
        <v>0</v>
      </c>
      <c r="R82" s="14" t="n">
        <v>1</v>
      </c>
      <c r="S82" s="14" t="n">
        <v>11.101</v>
      </c>
      <c r="T82" s="14" t="n">
        <v>6.698</v>
      </c>
      <c r="U82" s="14" t="n">
        <v>0</v>
      </c>
      <c r="V82" s="14" t="n">
        <v>13.433</v>
      </c>
      <c r="W82" s="14" t="n">
        <v>0.21</v>
      </c>
      <c r="X82" s="14" t="n">
        <v>1</v>
      </c>
      <c r="Y82" s="14" t="n">
        <v>17.859</v>
      </c>
      <c r="Z82" s="14" t="n">
        <v>1.973</v>
      </c>
      <c r="AA82" s="14" t="n">
        <v>-7.544</v>
      </c>
      <c r="AB82" s="14" t="n">
        <v>10.315</v>
      </c>
      <c r="AC82" s="14" t="n">
        <v>0</v>
      </c>
      <c r="AD82" s="14" t="n">
        <v>1</v>
      </c>
      <c r="AE82" s="14" t="n">
        <v>17.815</v>
      </c>
      <c r="AF82" s="14" t="n">
        <v>3.506</v>
      </c>
      <c r="AG82" s="14" t="n">
        <v>-7.5</v>
      </c>
      <c r="AH82" s="14" t="n">
        <v>10.315</v>
      </c>
      <c r="AI82" s="14" t="n">
        <v>0</v>
      </c>
      <c r="AJ82" s="14" t="n">
        <v>1</v>
      </c>
      <c r="AK82" s="14" t="n">
        <v>24.137</v>
      </c>
      <c r="AL82" s="14" t="n">
        <v>11.846</v>
      </c>
      <c r="AM82" s="14" t="n">
        <v>-8.603</v>
      </c>
      <c r="AN82" s="14" t="n">
        <v>18.796</v>
      </c>
      <c r="AO82" s="14" t="n">
        <v>0.21</v>
      </c>
      <c r="AP82" s="14" t="n">
        <v>1</v>
      </c>
      <c r="AQ82" s="14" t="n">
        <v>0.619</v>
      </c>
      <c r="AR82" s="14" t="n">
        <v>0.114</v>
      </c>
      <c r="AS82" s="14" t="n">
        <v>0.833</v>
      </c>
      <c r="AT82" s="14" t="n">
        <v>1.757</v>
      </c>
      <c r="AU82" s="14" t="n">
        <v>0.21</v>
      </c>
      <c r="AV82" s="14" t="n">
        <v>1</v>
      </c>
      <c r="AW82" s="14" t="n">
        <v>0.599</v>
      </c>
      <c r="AX82" s="14" t="n">
        <v>0.114</v>
      </c>
      <c r="AY82" s="14" t="n">
        <v>0.864</v>
      </c>
      <c r="AZ82" s="14" t="n">
        <v>1.77</v>
      </c>
      <c r="BA82" s="14" t="n">
        <v>0.21</v>
      </c>
      <c r="BB82" s="14" t="n">
        <v>1</v>
      </c>
      <c r="BC82" s="14" t="n">
        <v>0.439</v>
      </c>
      <c r="BD82" s="14" t="n">
        <v>0.114</v>
      </c>
      <c r="BE82" s="14" t="n">
        <v>0.192</v>
      </c>
      <c r="BF82" s="14" t="n">
        <v>0.763</v>
      </c>
      <c r="BG82" s="14" t="n">
        <v>0.21</v>
      </c>
      <c r="BH82" s="14" t="n">
        <v>1</v>
      </c>
      <c r="BI82" s="14" t="n">
        <v>0.505</v>
      </c>
      <c r="BJ82" s="14" t="n">
        <v>0.114</v>
      </c>
      <c r="BK82" s="14" t="n">
        <v>0.309</v>
      </c>
      <c r="BL82" s="14" t="n">
        <v>0.984</v>
      </c>
      <c r="BM82" s="14" t="n">
        <v>0.21</v>
      </c>
      <c r="BN82" s="14" t="n">
        <v>1</v>
      </c>
      <c r="BO82" s="14" t="n">
        <v>0</v>
      </c>
      <c r="BP82" s="14" t="n">
        <v>0.026</v>
      </c>
      <c r="BQ82" s="14" t="n">
        <v>0.118</v>
      </c>
      <c r="BR82" s="14" t="n">
        <v>0</v>
      </c>
      <c r="BS82" s="14" t="n">
        <v>1</v>
      </c>
      <c r="BT82" s="14" t="n">
        <v>0</v>
      </c>
      <c r="BU82" s="14" t="n">
        <v>0.056</v>
      </c>
      <c r="BV82" s="14" t="n">
        <v>0.337</v>
      </c>
      <c r="BW82" s="14" t="n">
        <v>0.21</v>
      </c>
      <c r="BX82" s="14" t="n">
        <v>1</v>
      </c>
      <c r="BY82" s="14" t="n">
        <v>11.787</v>
      </c>
      <c r="BZ82" s="14" t="n">
        <v>0</v>
      </c>
      <c r="CA82" s="14" t="n">
        <v>11.787</v>
      </c>
      <c r="CB82" s="14" t="n">
        <v>0</v>
      </c>
      <c r="CC82" s="14" t="n">
        <v>78.125</v>
      </c>
      <c r="CD82" s="14" t="n">
        <v>7.95</v>
      </c>
      <c r="CE82" s="14" t="n">
        <v>28.91</v>
      </c>
      <c r="CF82" s="14" t="n">
        <v>129.512</v>
      </c>
      <c r="CG82" s="14" t="n">
        <v>0.21</v>
      </c>
      <c r="CH82" s="14" t="n">
        <v>1</v>
      </c>
      <c r="CI82" s="14" t="n">
        <v>0</v>
      </c>
      <c r="CJ82" s="14" t="n">
        <v>0</v>
      </c>
      <c r="CK82" s="14" t="n">
        <v>0</v>
      </c>
      <c r="CL82" s="14" t="n">
        <v>0</v>
      </c>
      <c r="CM82" s="14" t="n">
        <v>0</v>
      </c>
      <c r="CN82" s="14" t="n">
        <v>0</v>
      </c>
      <c r="CO82" s="14" t="n">
        <v>0</v>
      </c>
      <c r="CP82" s="14" t="n">
        <v>0</v>
      </c>
      <c r="CQ82" s="14" t="n">
        <v>1.198</v>
      </c>
      <c r="CR82" s="14" t="n">
        <v>0</v>
      </c>
      <c r="CS82" s="14" t="n">
        <v>4.776</v>
      </c>
      <c r="CT82" s="14" t="n">
        <v>4.561</v>
      </c>
      <c r="CU82" s="14" t="n">
        <v>15.107</v>
      </c>
    </row>
    <row r="83">
      <c r="A83" s="14" t="inlineStr">
        <is>
          <t>BEL2022</t>
        </is>
      </c>
      <c r="B83" s="14" t="inlineStr">
        <is>
          <t>BEL</t>
        </is>
      </c>
      <c r="C83" s="14" t="inlineStr">
        <is>
          <t>BEL</t>
        </is>
      </c>
      <c r="D83" s="14" t="inlineStr">
        <is>
          <t>Belgium</t>
        </is>
      </c>
      <c r="E83" s="14" t="n">
        <v>2022</v>
      </c>
      <c r="F83" s="14" t="n">
        <v>0.21</v>
      </c>
      <c r="G83" s="14" t="n">
        <v>10.197</v>
      </c>
      <c r="H83" s="14" t="n">
        <v>1.583</v>
      </c>
      <c r="I83" s="14" t="n">
        <v>8.159000000000001</v>
      </c>
      <c r="J83" s="14" t="n">
        <v>18.356</v>
      </c>
      <c r="K83" s="14" t="n">
        <v>0</v>
      </c>
      <c r="L83" s="14" t="n">
        <v>1</v>
      </c>
      <c r="M83" s="14" t="n">
        <v>10.039</v>
      </c>
      <c r="N83" s="14" t="n">
        <v>4.146</v>
      </c>
      <c r="O83" s="14" t="n">
        <v>8.317</v>
      </c>
      <c r="P83" s="14" t="n">
        <v>18.356</v>
      </c>
      <c r="Q83" s="14" t="n">
        <v>0</v>
      </c>
      <c r="R83" s="14" t="n">
        <v>1</v>
      </c>
      <c r="S83" s="14" t="n">
        <v>18.108</v>
      </c>
      <c r="T83" s="14" t="n">
        <v>7.408</v>
      </c>
      <c r="U83" s="14" t="n">
        <v>0.288</v>
      </c>
      <c r="V83" s="14" t="n">
        <v>21.918</v>
      </c>
      <c r="W83" s="14" t="n">
        <v>0.21</v>
      </c>
      <c r="X83" s="14" t="n">
        <v>1</v>
      </c>
      <c r="Y83" s="14" t="n">
        <v>34.07</v>
      </c>
      <c r="Z83" s="14" t="n">
        <v>3.574</v>
      </c>
      <c r="AA83" s="14" t="n">
        <v>-12.795</v>
      </c>
      <c r="AB83" s="14" t="n">
        <v>21.275</v>
      </c>
      <c r="AC83" s="14" t="n">
        <v>0</v>
      </c>
      <c r="AD83" s="14" t="n">
        <v>1</v>
      </c>
      <c r="AE83" s="14" t="n">
        <v>34.118</v>
      </c>
      <c r="AF83" s="14" t="n">
        <v>6.325</v>
      </c>
      <c r="AG83" s="14" t="n">
        <v>-12.843</v>
      </c>
      <c r="AH83" s="14" t="n">
        <v>21.275</v>
      </c>
      <c r="AI83" s="14" t="n">
        <v>0</v>
      </c>
      <c r="AJ83" s="14" t="n">
        <v>1</v>
      </c>
      <c r="AK83" s="14" t="n">
        <v>40.988</v>
      </c>
      <c r="AL83" s="14" t="n">
        <v>19.573</v>
      </c>
      <c r="AM83" s="14" t="n">
        <v>-13.124</v>
      </c>
      <c r="AN83" s="14" t="n">
        <v>33.715</v>
      </c>
      <c r="AO83" s="14" t="n">
        <v>0.21</v>
      </c>
      <c r="AP83" s="14" t="n">
        <v>1</v>
      </c>
      <c r="AQ83" s="14" t="n">
        <v>0.861</v>
      </c>
      <c r="AR83" s="14" t="n">
        <v>0.123</v>
      </c>
      <c r="AS83" s="14" t="n">
        <v>0.704</v>
      </c>
      <c r="AT83" s="14" t="n">
        <v>1.893</v>
      </c>
      <c r="AU83" s="14" t="n">
        <v>0.21</v>
      </c>
      <c r="AV83" s="14" t="n">
        <v>1</v>
      </c>
      <c r="AW83" s="14" t="n">
        <v>0.986</v>
      </c>
      <c r="AX83" s="14" t="n">
        <v>0.123</v>
      </c>
      <c r="AY83" s="14" t="n">
        <v>0.6899999999999999</v>
      </c>
      <c r="AZ83" s="14" t="n">
        <v>2.028</v>
      </c>
      <c r="BA83" s="14" t="n">
        <v>0.21</v>
      </c>
      <c r="BB83" s="14" t="n">
        <v>1</v>
      </c>
      <c r="BC83" s="14" t="n">
        <v>0.598</v>
      </c>
      <c r="BD83" s="14" t="n">
        <v>0.123</v>
      </c>
      <c r="BE83" s="14" t="n">
        <v>0.11</v>
      </c>
      <c r="BF83" s="14" t="n">
        <v>0.856</v>
      </c>
      <c r="BG83" s="14" t="n">
        <v>0.21</v>
      </c>
      <c r="BH83" s="14" t="n">
        <v>1</v>
      </c>
      <c r="BI83" s="14" t="n">
        <v>0.612</v>
      </c>
      <c r="BJ83" s="14" t="n">
        <v>0.123</v>
      </c>
      <c r="BK83" s="14" t="n">
        <v>0.65</v>
      </c>
      <c r="BL83" s="14" t="n">
        <v>1.528</v>
      </c>
      <c r="BM83" s="14" t="n">
        <v>0.21</v>
      </c>
      <c r="BN83" s="14" t="n">
        <v>1</v>
      </c>
      <c r="BO83" s="14" t="n">
        <v>0</v>
      </c>
      <c r="BP83" s="14" t="n">
        <v>0.021</v>
      </c>
      <c r="BQ83" s="14" t="n">
        <v>0.173</v>
      </c>
      <c r="BR83" s="14" t="n">
        <v>0</v>
      </c>
      <c r="BS83" s="14" t="n">
        <v>1</v>
      </c>
      <c r="BT83" s="14" t="n">
        <v>0</v>
      </c>
      <c r="BU83" s="14" t="n">
        <v>0.047</v>
      </c>
      <c r="BV83" s="14" t="n">
        <v>0.417</v>
      </c>
      <c r="BW83" s="14" t="n">
        <v>0.21</v>
      </c>
      <c r="BX83" s="14" t="n">
        <v>1</v>
      </c>
      <c r="BY83" s="14" t="n">
        <v>12.729</v>
      </c>
      <c r="BZ83" s="14" t="n">
        <v>0</v>
      </c>
      <c r="CA83" s="14" t="n">
        <v>12.729</v>
      </c>
      <c r="CB83" s="14" t="n">
        <v>0</v>
      </c>
      <c r="CC83" s="14" t="n">
        <v>97.90000000000001</v>
      </c>
      <c r="CD83" s="14" t="n">
        <v>7.95</v>
      </c>
      <c r="CE83" s="14" t="n">
        <v>98.408</v>
      </c>
      <c r="CF83" s="14" t="n">
        <v>237.532</v>
      </c>
      <c r="CG83" s="14" t="n">
        <v>0.21</v>
      </c>
      <c r="CH83" s="14" t="n">
        <v>1</v>
      </c>
      <c r="CI83" s="14" t="n">
        <v>0</v>
      </c>
      <c r="CJ83" s="14" t="n">
        <v>0</v>
      </c>
      <c r="CK83" s="14" t="n">
        <v>0</v>
      </c>
      <c r="CL83" s="14" t="n">
        <v>0</v>
      </c>
      <c r="CM83" s="14" t="n">
        <v>0</v>
      </c>
      <c r="CN83" s="14" t="n">
        <v>0</v>
      </c>
      <c r="CO83" s="14" t="n">
        <v>0</v>
      </c>
      <c r="CP83" s="14" t="n">
        <v>0</v>
      </c>
      <c r="CQ83" s="14" t="n">
        <v>1.294</v>
      </c>
      <c r="CR83" s="14" t="n">
        <v>0</v>
      </c>
      <c r="CS83" s="14" t="n">
        <v>5.158</v>
      </c>
      <c r="CT83" s="14" t="n">
        <v>10.7</v>
      </c>
      <c r="CU83" s="14" t="n">
        <v>31.227</v>
      </c>
    </row>
    <row r="84">
      <c r="A84" s="14" t="inlineStr">
        <is>
          <t>BEL2023</t>
        </is>
      </c>
      <c r="B84" s="14" t="inlineStr">
        <is>
          <t>BEL</t>
        </is>
      </c>
      <c r="C84" s="14" t="inlineStr">
        <is>
          <t>BEL</t>
        </is>
      </c>
      <c r="D84" s="14" t="inlineStr">
        <is>
          <t>Belgium</t>
        </is>
      </c>
      <c r="E84" s="14" t="n">
        <v>2023</v>
      </c>
      <c r="F84" s="14" t="n">
        <v>0.21</v>
      </c>
      <c r="G84" s="14" t="n">
        <v>8.573</v>
      </c>
      <c r="H84" s="14" t="n">
        <v>1.953</v>
      </c>
      <c r="I84" s="14" t="n">
        <v>9.456</v>
      </c>
      <c r="J84" s="14" t="n">
        <v>18.029</v>
      </c>
      <c r="K84" s="14" t="n">
        <v>0</v>
      </c>
      <c r="L84" s="14" t="n">
        <v>1</v>
      </c>
      <c r="M84" s="14" t="n">
        <v>8.393000000000001</v>
      </c>
      <c r="N84" s="14" t="n">
        <v>4.163</v>
      </c>
      <c r="O84" s="14" t="n">
        <v>9.635999999999999</v>
      </c>
      <c r="P84" s="14" t="n">
        <v>18.029</v>
      </c>
      <c r="Q84" s="14" t="n">
        <v>0</v>
      </c>
      <c r="R84" s="14" t="n">
        <v>1</v>
      </c>
      <c r="S84" s="14" t="n">
        <v>19.078</v>
      </c>
      <c r="T84" s="14" t="n">
        <v>7.714</v>
      </c>
      <c r="U84" s="14" t="n">
        <v>0.455</v>
      </c>
      <c r="V84" s="14" t="n">
        <v>23.099</v>
      </c>
      <c r="W84" s="14" t="n">
        <v>0.21</v>
      </c>
      <c r="X84" s="14" t="n">
        <v>1</v>
      </c>
      <c r="Y84" s="14" t="n">
        <v>15.019</v>
      </c>
      <c r="Z84" s="14" t="n">
        <v>1.682</v>
      </c>
      <c r="AA84" s="14" t="n">
        <v>8.029999999999999</v>
      </c>
      <c r="AB84" s="14" t="n">
        <v>23.049</v>
      </c>
      <c r="AC84" s="14" t="n">
        <v>0</v>
      </c>
      <c r="AD84" s="14" t="n">
        <v>1</v>
      </c>
      <c r="AE84" s="14" t="n">
        <v>15.117</v>
      </c>
      <c r="AF84" s="14" t="n">
        <v>3.011</v>
      </c>
      <c r="AG84" s="14" t="n">
        <v>7.931</v>
      </c>
      <c r="AH84" s="14" t="n">
        <v>23.049</v>
      </c>
      <c r="AI84" s="14" t="n">
        <v>0</v>
      </c>
      <c r="AJ84" s="14" t="n">
        <v>1</v>
      </c>
      <c r="AK84" s="14" t="n">
        <v>22.293</v>
      </c>
      <c r="AL84" s="14" t="n">
        <v>11.043</v>
      </c>
      <c r="AM84" s="14" t="n">
        <v>4.26</v>
      </c>
      <c r="AN84" s="14" t="n">
        <v>32.129</v>
      </c>
      <c r="AO84" s="14" t="n">
        <v>0.21</v>
      </c>
      <c r="AP84" s="14" t="n">
        <v>1</v>
      </c>
      <c r="AQ84" s="14" t="n">
        <v>0.76</v>
      </c>
      <c r="AR84" s="14" t="n">
        <v>0.129</v>
      </c>
      <c r="AS84" s="14" t="n">
        <v>0.779</v>
      </c>
      <c r="AT84" s="14" t="n">
        <v>1.863</v>
      </c>
      <c r="AU84" s="14" t="n">
        <v>0.21</v>
      </c>
      <c r="AV84" s="14" t="n">
        <v>1</v>
      </c>
      <c r="AW84" s="14" t="n">
        <v>0.8110000000000001</v>
      </c>
      <c r="AX84" s="14" t="n">
        <v>0.129</v>
      </c>
      <c r="AY84" s="14" t="n">
        <v>0.769</v>
      </c>
      <c r="AZ84" s="14" t="n">
        <v>1.912</v>
      </c>
      <c r="BA84" s="14" t="n">
        <v>0.21</v>
      </c>
      <c r="BB84" s="14" t="n">
        <v>1</v>
      </c>
      <c r="BC84" s="14" t="n">
        <v>0.535</v>
      </c>
      <c r="BD84" s="14" t="n">
        <v>0.129</v>
      </c>
      <c r="BE84" s="14" t="n">
        <v>0.076</v>
      </c>
      <c r="BF84" s="14" t="n">
        <v>0.739</v>
      </c>
      <c r="BG84" s="14" t="n">
        <v>0.21</v>
      </c>
      <c r="BH84" s="14" t="n">
        <v>1</v>
      </c>
      <c r="BI84" s="14" t="n">
        <v>0.579</v>
      </c>
      <c r="BJ84" s="14" t="n">
        <v>0.129</v>
      </c>
      <c r="BK84" s="14" t="n">
        <v>0.515</v>
      </c>
      <c r="BL84" s="14" t="n">
        <v>1.325</v>
      </c>
      <c r="BM84" s="14" t="n">
        <v>0.21</v>
      </c>
      <c r="BN84" s="14" t="n">
        <v>1</v>
      </c>
      <c r="BO84" s="14" t="n">
        <v>0</v>
      </c>
      <c r="BP84" s="14" t="n">
        <v>0.019</v>
      </c>
      <c r="BQ84" s="14" t="n">
        <v>0.193</v>
      </c>
      <c r="BR84" s="14" t="n">
        <v>0</v>
      </c>
      <c r="BS84" s="14" t="n">
        <v>1</v>
      </c>
      <c r="BT84" s="14" t="n">
        <v>0</v>
      </c>
      <c r="BU84" s="14" t="n">
        <v>0.07000000000000001</v>
      </c>
      <c r="BV84" s="14" t="n">
        <v>0.439</v>
      </c>
      <c r="BW84" s="14" t="n">
        <v>0.21</v>
      </c>
      <c r="BX84" s="14" t="n">
        <v>1</v>
      </c>
      <c r="BY84" s="14" t="n">
        <v>13.254</v>
      </c>
      <c r="BZ84" s="14" t="n">
        <v>0</v>
      </c>
      <c r="CA84" s="14" t="n">
        <v>13.254</v>
      </c>
      <c r="CB84" s="14" t="n">
        <v>0</v>
      </c>
      <c r="CC84" s="14" t="n">
        <v>83.248</v>
      </c>
      <c r="CD84" s="14" t="n">
        <v>7.95</v>
      </c>
      <c r="CE84" s="14" t="n">
        <v>90.292</v>
      </c>
      <c r="CF84" s="14" t="n">
        <v>209.983</v>
      </c>
      <c r="CG84" s="14" t="n">
        <v>0.21</v>
      </c>
      <c r="CH84" s="14" t="n">
        <v>1</v>
      </c>
      <c r="CI84" s="14" t="n">
        <v>0</v>
      </c>
      <c r="CJ84" s="14" t="n">
        <v>0</v>
      </c>
      <c r="CK84" s="14" t="n">
        <v>0</v>
      </c>
      <c r="CL84" s="14" t="n">
        <v>0</v>
      </c>
      <c r="CM84" s="14" t="n">
        <v>0</v>
      </c>
      <c r="CN84" s="14" t="n">
        <v>0</v>
      </c>
      <c r="CO84" s="14" t="n">
        <v>0</v>
      </c>
      <c r="CP84" s="14" t="n">
        <v>0</v>
      </c>
      <c r="CQ84" s="14" t="n">
        <v>1.348</v>
      </c>
      <c r="CR84" s="14" t="n">
        <v>0</v>
      </c>
      <c r="CS84" s="14" t="n">
        <v>5.37</v>
      </c>
      <c r="CT84" s="14" t="n">
        <v>11.365</v>
      </c>
      <c r="CU84" s="14" t="n">
        <v>12.124</v>
      </c>
    </row>
    <row r="85">
      <c r="A85" s="14" t="inlineStr">
        <is>
          <t>BEL2024</t>
        </is>
      </c>
      <c r="B85" s="14" t="inlineStr">
        <is>
          <t>BEL</t>
        </is>
      </c>
      <c r="C85" s="14" t="inlineStr">
        <is>
          <t>BEL</t>
        </is>
      </c>
      <c r="D85" s="14" t="inlineStr">
        <is>
          <t>Belgium</t>
        </is>
      </c>
      <c r="E85" s="14" t="n">
        <v>2024</v>
      </c>
      <c r="F85" s="14" t="n">
        <v>0.21</v>
      </c>
      <c r="G85" s="14" t="n">
        <v>15.168</v>
      </c>
      <c r="H85" s="14" t="n">
        <v>3.843</v>
      </c>
      <c r="I85" s="14" t="n">
        <v>6.197</v>
      </c>
      <c r="J85" s="14" t="n">
        <v>21.366</v>
      </c>
      <c r="K85" s="14" t="n">
        <v>0</v>
      </c>
      <c r="L85" s="14" t="n">
        <v>1</v>
      </c>
      <c r="M85" s="14" t="n">
        <v>15.048</v>
      </c>
      <c r="N85" s="14" t="n">
        <v>8.196999999999999</v>
      </c>
      <c r="O85" s="14" t="n">
        <v>6.318</v>
      </c>
      <c r="P85" s="14" t="n">
        <v>21.366</v>
      </c>
      <c r="Q85" s="14" t="n">
        <v>0</v>
      </c>
      <c r="R85" s="14" t="n">
        <v>1</v>
      </c>
      <c r="S85" s="14" t="n">
        <v>15.416</v>
      </c>
      <c r="T85" s="14" t="n">
        <v>7.942</v>
      </c>
      <c r="U85" s="14" t="n">
        <v>0.453</v>
      </c>
      <c r="V85" s="14" t="n">
        <v>18.668</v>
      </c>
      <c r="W85" s="14" t="n">
        <v>0.21</v>
      </c>
      <c r="X85" s="14" t="n">
        <v>1</v>
      </c>
      <c r="Y85" s="14" t="n">
        <v>14.196</v>
      </c>
      <c r="Z85" s="14" t="n">
        <v>1.793</v>
      </c>
      <c r="AA85" s="14" t="n">
        <v>4.198</v>
      </c>
      <c r="AB85" s="14" t="n">
        <v>18.394</v>
      </c>
      <c r="AC85" s="14" t="n">
        <v>0</v>
      </c>
      <c r="AD85" s="14" t="n">
        <v>1</v>
      </c>
      <c r="AE85" s="14" t="n">
        <v>14.196</v>
      </c>
      <c r="AF85" s="14" t="n">
        <v>3.11</v>
      </c>
      <c r="AG85" s="14" t="n">
        <v>4.198</v>
      </c>
      <c r="AH85" s="14" t="n">
        <v>18.394</v>
      </c>
      <c r="AI85" s="14" t="n">
        <v>0</v>
      </c>
      <c r="AJ85" s="14" t="n">
        <v>1</v>
      </c>
      <c r="AK85" s="14" t="n">
        <v>18.243</v>
      </c>
      <c r="AL85" s="14" t="n">
        <v>9.279</v>
      </c>
      <c r="AM85" s="14" t="n">
        <v>2.929</v>
      </c>
      <c r="AN85" s="14" t="n">
        <v>25.619</v>
      </c>
      <c r="AO85" s="14" t="n">
        <v>0.21</v>
      </c>
      <c r="AP85" s="14" t="n">
        <v>1</v>
      </c>
      <c r="AQ85" s="14" t="n">
        <v>0.724</v>
      </c>
      <c r="AR85" s="14" t="n">
        <v>0.132</v>
      </c>
      <c r="AS85" s="14" t="n">
        <v>0.739</v>
      </c>
      <c r="AT85" s="14" t="n">
        <v>1.771</v>
      </c>
      <c r="AU85" s="14" t="n">
        <v>0.21</v>
      </c>
      <c r="AV85" s="14" t="n">
        <v>1</v>
      </c>
      <c r="AW85" s="14" t="n">
        <v>0.75</v>
      </c>
      <c r="AX85" s="14" t="n">
        <v>0.132</v>
      </c>
      <c r="AY85" s="14" t="n">
        <v>0.788</v>
      </c>
      <c r="AZ85" s="14" t="n">
        <v>1.861</v>
      </c>
      <c r="BA85" s="14" t="n">
        <v>0.21</v>
      </c>
      <c r="BB85" s="14" t="n">
        <v>1</v>
      </c>
      <c r="BC85" s="14" t="n">
        <v>0.513</v>
      </c>
      <c r="BD85" s="14" t="n">
        <v>0.132</v>
      </c>
      <c r="BE85" s="14" t="n">
        <v>0.157</v>
      </c>
      <c r="BF85" s="14" t="n">
        <v>0.8110000000000001</v>
      </c>
      <c r="BG85" s="14" t="n">
        <v>0.21</v>
      </c>
      <c r="BH85" s="14" t="n">
        <v>1</v>
      </c>
      <c r="BI85" s="14" t="n">
        <v>0.591</v>
      </c>
      <c r="BJ85" s="14" t="n">
        <v>0.132</v>
      </c>
      <c r="BK85" s="14" t="n">
        <v>0.43</v>
      </c>
      <c r="BL85" s="14" t="n">
        <v>1.236</v>
      </c>
      <c r="BM85" s="14" t="n">
        <v>0.21</v>
      </c>
      <c r="BN85" s="14" t="n">
        <v>1</v>
      </c>
      <c r="BO85" s="14" t="n">
        <v>0</v>
      </c>
      <c r="BP85" s="14" t="n">
        <v>0.019</v>
      </c>
      <c r="BQ85" s="14" t="n">
        <v>0.141</v>
      </c>
      <c r="BR85" s="14" t="n">
        <v>0</v>
      </c>
      <c r="BS85" s="14" t="n">
        <v>1</v>
      </c>
      <c r="BT85" s="14" t="n">
        <v>0</v>
      </c>
      <c r="BU85" s="14" t="n">
        <v>0.077</v>
      </c>
      <c r="BV85" s="14" t="n">
        <v>0.361</v>
      </c>
      <c r="BW85" s="14" t="n">
        <v>0.21</v>
      </c>
      <c r="BX85" s="14" t="n">
        <v>1</v>
      </c>
      <c r="BY85" s="14" t="n">
        <v>13.646</v>
      </c>
      <c r="BZ85" s="14" t="n">
        <v>0</v>
      </c>
      <c r="CA85" s="14" t="n">
        <v>13.646</v>
      </c>
      <c r="CB85" s="14" t="n">
        <v>0</v>
      </c>
      <c r="CC85" s="14" t="n">
        <v>82.58799999999999</v>
      </c>
      <c r="CD85" s="14" t="n">
        <v>7.95</v>
      </c>
      <c r="CE85" s="14" t="n">
        <v>69.15300000000001</v>
      </c>
      <c r="CF85" s="14" t="n">
        <v>183.607</v>
      </c>
      <c r="CG85" s="14" t="n">
        <v>0.21</v>
      </c>
      <c r="CH85" s="14" t="n">
        <v>1</v>
      </c>
      <c r="CI85" s="14" t="n">
        <v>0</v>
      </c>
      <c r="CJ85" s="14" t="n">
        <v>0</v>
      </c>
      <c r="CK85" s="14" t="n">
        <v>0</v>
      </c>
      <c r="CL85" s="14" t="n">
        <v>0</v>
      </c>
      <c r="CM85" s="14" t="n">
        <v>0</v>
      </c>
      <c r="CN85" s="14" t="n">
        <v>0</v>
      </c>
      <c r="CO85" s="14" t="n">
        <v>0</v>
      </c>
      <c r="CP85" s="14" t="n">
        <v>0</v>
      </c>
      <c r="CQ85" s="14" t="n">
        <v>1.387</v>
      </c>
      <c r="CR85" s="14" t="n">
        <v>0</v>
      </c>
      <c r="CS85" s="14" t="n">
        <v>5.529</v>
      </c>
      <c r="CT85" s="14" t="n">
        <v>7.474</v>
      </c>
      <c r="CU85" s="14" t="n">
        <v>10.304</v>
      </c>
    </row>
    <row r="86">
      <c r="A86" s="14" t="inlineStr">
        <is>
          <t>BLZ2021</t>
        </is>
      </c>
      <c r="B86" s="14" t="inlineStr">
        <is>
          <t>BLZ</t>
        </is>
      </c>
      <c r="C86" s="14" t="inlineStr">
        <is>
          <t>BLZ</t>
        </is>
      </c>
      <c r="D86" s="14" t="inlineStr">
        <is>
          <t>Belize</t>
        </is>
      </c>
      <c r="E86" s="14" t="n">
        <v>2021</v>
      </c>
      <c r="F86" s="14" t="n">
        <v>0.125</v>
      </c>
      <c r="G86" s="14" t="n">
        <v>5.897</v>
      </c>
      <c r="H86" s="14" t="n">
        <v>1.143</v>
      </c>
      <c r="I86" s="14" t="n">
        <v>0</v>
      </c>
      <c r="J86" s="14" t="n">
        <v>5.897</v>
      </c>
      <c r="K86" s="14" t="n">
        <v>0</v>
      </c>
      <c r="L86" s="14" t="n">
        <v>1</v>
      </c>
      <c r="M86" s="14" t="n">
        <v>7.964</v>
      </c>
      <c r="N86" s="14" t="n">
        <v>3.43</v>
      </c>
      <c r="O86" s="14" t="n">
        <v>0</v>
      </c>
      <c r="P86" s="14" t="n">
        <v>7.964</v>
      </c>
      <c r="Q86" s="14" t="n">
        <v>0</v>
      </c>
      <c r="R86" s="14" t="n">
        <v>1</v>
      </c>
      <c r="S86" s="14" t="n">
        <v>11.613</v>
      </c>
      <c r="T86" s="14" t="n">
        <v>6.86</v>
      </c>
      <c r="U86" s="14" t="n">
        <v>0</v>
      </c>
      <c r="V86" s="14" t="n">
        <v>13.065</v>
      </c>
      <c r="W86" s="14" t="n">
        <v>0.125</v>
      </c>
      <c r="X86" s="14" t="n">
        <v>1</v>
      </c>
      <c r="Y86" s="14" t="n">
        <v>5.919</v>
      </c>
      <c r="Z86" s="14" t="n">
        <v>0.796</v>
      </c>
      <c r="AA86" s="14" t="n">
        <v>0</v>
      </c>
      <c r="AB86" s="14" t="n">
        <v>5.919</v>
      </c>
      <c r="AC86" s="14" t="n">
        <v>0</v>
      </c>
      <c r="AD86" s="14" t="n">
        <v>1</v>
      </c>
      <c r="AE86" s="14" t="n">
        <v>7.062</v>
      </c>
      <c r="AF86" s="14" t="n">
        <v>1.654</v>
      </c>
      <c r="AG86" s="14" t="n">
        <v>0</v>
      </c>
      <c r="AH86" s="14" t="n">
        <v>7.062</v>
      </c>
      <c r="AI86" s="14" t="n">
        <v>0</v>
      </c>
      <c r="AJ86" s="14" t="n">
        <v>1</v>
      </c>
      <c r="AK86" s="14" t="n">
        <v>13.922</v>
      </c>
      <c r="AL86" s="14" t="n">
        <v>7.481</v>
      </c>
      <c r="AM86" s="14" t="n">
        <v>0</v>
      </c>
      <c r="AN86" s="14" t="n">
        <v>15.663</v>
      </c>
      <c r="AO86" s="14" t="n">
        <v>0.125</v>
      </c>
      <c r="AP86" s="14" t="n">
        <v>1</v>
      </c>
      <c r="AQ86" s="14" t="n">
        <v>0.649</v>
      </c>
      <c r="AR86" s="14" t="n">
        <v>0.114</v>
      </c>
      <c r="AS86" s="14" t="n">
        <v>0.628</v>
      </c>
      <c r="AT86" s="14" t="n">
        <v>1.437</v>
      </c>
      <c r="AU86" s="14" t="n">
        <v>0.125</v>
      </c>
      <c r="AV86" s="14" t="n">
        <v>1</v>
      </c>
      <c r="AW86" s="14" t="n">
        <v>0.577</v>
      </c>
      <c r="AX86" s="14" t="n">
        <v>0.114</v>
      </c>
      <c r="AY86" s="14" t="n">
        <v>0.616</v>
      </c>
      <c r="AZ86" s="14" t="n">
        <v>1.342</v>
      </c>
      <c r="BA86" s="14" t="n">
        <v>0.125</v>
      </c>
      <c r="BB86" s="14" t="n">
        <v>1</v>
      </c>
      <c r="BC86" s="14" t="n">
        <v>0.458</v>
      </c>
      <c r="BD86" s="14" t="n">
        <v>0.114</v>
      </c>
      <c r="BE86" s="14" t="n">
        <v>0</v>
      </c>
      <c r="BF86" s="14" t="n">
        <v>0.515</v>
      </c>
      <c r="BG86" s="14" t="n">
        <v>0.125</v>
      </c>
      <c r="BH86" s="14" t="n">
        <v>1</v>
      </c>
      <c r="BI86" s="14" t="n">
        <v>0.491</v>
      </c>
      <c r="BJ86" s="14" t="n">
        <v>0.114</v>
      </c>
      <c r="BK86" s="14" t="n">
        <v>0.366</v>
      </c>
      <c r="BL86" s="14" t="n">
        <v>0.964</v>
      </c>
      <c r="BM86" s="14" t="n">
        <v>0.125</v>
      </c>
      <c r="BN86" s="14" t="n">
        <v>1</v>
      </c>
      <c r="BO86" s="14" t="n">
        <v>0</v>
      </c>
      <c r="BP86" s="14" t="n">
        <v>0</v>
      </c>
      <c r="BQ86" s="14" t="n">
        <v>0.175</v>
      </c>
      <c r="BR86" s="14" t="n">
        <v>0</v>
      </c>
      <c r="BS86" s="14" t="n">
        <v>0.333</v>
      </c>
      <c r="BT86" s="14" t="n">
        <v>0</v>
      </c>
      <c r="BU86" s="14" t="n">
        <v>0</v>
      </c>
      <c r="BV86" s="14" t="n">
        <v>0.222</v>
      </c>
      <c r="BW86" s="14" t="n">
        <v>0.125</v>
      </c>
      <c r="BX86" s="14" t="n">
        <v>0.667</v>
      </c>
      <c r="BY86" s="14" t="n">
        <v>11.787</v>
      </c>
      <c r="BZ86" s="14" t="n">
        <v>0</v>
      </c>
      <c r="CA86" s="14" t="n">
        <v>11.787</v>
      </c>
      <c r="CB86" s="14" t="n">
        <v>0</v>
      </c>
      <c r="CC86" s="14" t="n">
        <v>78.125</v>
      </c>
      <c r="CD86" s="14" t="n">
        <v>7.95</v>
      </c>
      <c r="CE86" s="14" t="n">
        <v>68.08799999999999</v>
      </c>
      <c r="CF86" s="14" t="n">
        <v>164.49</v>
      </c>
      <c r="CG86" s="14" t="n">
        <v>0.125</v>
      </c>
      <c r="CH86" s="14" t="n">
        <v>1</v>
      </c>
      <c r="CI86" s="14" t="n">
        <v>0</v>
      </c>
      <c r="CJ86" s="14" t="n">
        <v>0</v>
      </c>
      <c r="CK86" s="14" t="n">
        <v>0</v>
      </c>
      <c r="CL86" s="14" t="n">
        <v>0</v>
      </c>
      <c r="CM86" s="14" t="n">
        <v>0</v>
      </c>
      <c r="CN86" s="14" t="n">
        <v>0</v>
      </c>
      <c r="CO86" s="14" t="n">
        <v>0</v>
      </c>
      <c r="CP86" s="14" t="n">
        <v>0</v>
      </c>
      <c r="CQ86" s="14" t="n">
        <v>1.198</v>
      </c>
      <c r="CR86" s="14" t="n">
        <v>0</v>
      </c>
      <c r="CS86" s="14" t="n">
        <v>4.776</v>
      </c>
      <c r="CT86" s="14" t="n">
        <v>4.753</v>
      </c>
      <c r="CU86" s="14" t="n">
        <v>15.983</v>
      </c>
    </row>
    <row r="87">
      <c r="A87" s="14" t="inlineStr">
        <is>
          <t>BLZ2022</t>
        </is>
      </c>
      <c r="B87" s="14" t="inlineStr">
        <is>
          <t>BLZ</t>
        </is>
      </c>
      <c r="C87" s="14" t="inlineStr">
        <is>
          <t>BLZ</t>
        </is>
      </c>
      <c r="D87" s="14" t="inlineStr">
        <is>
          <t>Belize</t>
        </is>
      </c>
      <c r="E87" s="14" t="n">
        <v>2022</v>
      </c>
      <c r="F87" s="14" t="n">
        <v>0.125</v>
      </c>
      <c r="G87" s="14" t="n">
        <v>11.72</v>
      </c>
      <c r="H87" s="14" t="n">
        <v>1.235</v>
      </c>
      <c r="I87" s="14" t="n">
        <v>0</v>
      </c>
      <c r="J87" s="14" t="n">
        <v>11.72</v>
      </c>
      <c r="K87" s="14" t="n">
        <v>0</v>
      </c>
      <c r="L87" s="14" t="n">
        <v>1</v>
      </c>
      <c r="M87" s="14" t="n">
        <v>9.782999999999999</v>
      </c>
      <c r="N87" s="14" t="n">
        <v>3.704</v>
      </c>
      <c r="O87" s="14" t="n">
        <v>0</v>
      </c>
      <c r="P87" s="14" t="n">
        <v>9.782999999999999</v>
      </c>
      <c r="Q87" s="14" t="n">
        <v>0</v>
      </c>
      <c r="R87" s="14" t="n">
        <v>1</v>
      </c>
      <c r="S87" s="14" t="n">
        <v>17.893</v>
      </c>
      <c r="T87" s="14" t="n">
        <v>7.408</v>
      </c>
      <c r="U87" s="14" t="n">
        <v>0.166</v>
      </c>
      <c r="V87" s="14" t="n">
        <v>20.13</v>
      </c>
      <c r="W87" s="14" t="n">
        <v>0.125</v>
      </c>
      <c r="X87" s="14" t="n">
        <v>1</v>
      </c>
      <c r="Y87" s="14" t="n">
        <v>6.392</v>
      </c>
      <c r="Z87" s="14" t="n">
        <v>0.86</v>
      </c>
      <c r="AA87" s="14" t="n">
        <v>0</v>
      </c>
      <c r="AB87" s="14" t="n">
        <v>6.392</v>
      </c>
      <c r="AC87" s="14" t="n">
        <v>0</v>
      </c>
      <c r="AD87" s="14" t="n">
        <v>1</v>
      </c>
      <c r="AE87" s="14" t="n">
        <v>7.627</v>
      </c>
      <c r="AF87" s="14" t="n">
        <v>1.786</v>
      </c>
      <c r="AG87" s="14" t="n">
        <v>0</v>
      </c>
      <c r="AH87" s="14" t="n">
        <v>7.627</v>
      </c>
      <c r="AI87" s="14" t="n">
        <v>0</v>
      </c>
      <c r="AJ87" s="14" t="n">
        <v>1</v>
      </c>
      <c r="AK87" s="14" t="n">
        <v>15.035</v>
      </c>
      <c r="AL87" s="14" t="n">
        <v>8.079000000000001</v>
      </c>
      <c r="AM87" s="14" t="n">
        <v>0.139</v>
      </c>
      <c r="AN87" s="14" t="n">
        <v>16.914</v>
      </c>
      <c r="AO87" s="14" t="n">
        <v>0.125</v>
      </c>
      <c r="AP87" s="14" t="n">
        <v>1</v>
      </c>
      <c r="AQ87" s="14" t="n">
        <v>0.896</v>
      </c>
      <c r="AR87" s="14" t="n">
        <v>0.123</v>
      </c>
      <c r="AS87" s="14" t="n">
        <v>0.351</v>
      </c>
      <c r="AT87" s="14" t="n">
        <v>1.403</v>
      </c>
      <c r="AU87" s="14" t="n">
        <v>0.125</v>
      </c>
      <c r="AV87" s="14" t="n">
        <v>1</v>
      </c>
      <c r="AW87" s="14" t="n">
        <v>0.89</v>
      </c>
      <c r="AX87" s="14" t="n">
        <v>0.123</v>
      </c>
      <c r="AY87" s="14" t="n">
        <v>0.35</v>
      </c>
      <c r="AZ87" s="14" t="n">
        <v>1.395</v>
      </c>
      <c r="BA87" s="14" t="n">
        <v>0.125</v>
      </c>
      <c r="BB87" s="14" t="n">
        <v>1</v>
      </c>
      <c r="BC87" s="14" t="n">
        <v>0.62</v>
      </c>
      <c r="BD87" s="14" t="n">
        <v>0.123</v>
      </c>
      <c r="BE87" s="14" t="n">
        <v>0.006</v>
      </c>
      <c r="BF87" s="14" t="n">
        <v>0.698</v>
      </c>
      <c r="BG87" s="14" t="n">
        <v>0.125</v>
      </c>
      <c r="BH87" s="14" t="n">
        <v>1</v>
      </c>
      <c r="BI87" s="14" t="n">
        <v>0.608</v>
      </c>
      <c r="BJ87" s="14" t="n">
        <v>0.123</v>
      </c>
      <c r="BK87" s="14" t="n">
        <v>0.712</v>
      </c>
      <c r="BL87" s="14" t="n">
        <v>1.484</v>
      </c>
      <c r="BM87" s="14" t="n">
        <v>0.125</v>
      </c>
      <c r="BN87" s="14" t="n">
        <v>1</v>
      </c>
      <c r="BO87" s="14" t="n">
        <v>0</v>
      </c>
      <c r="BP87" s="14" t="n">
        <v>0</v>
      </c>
      <c r="BQ87" s="14" t="n">
        <v>0.175</v>
      </c>
      <c r="BR87" s="14" t="n">
        <v>0</v>
      </c>
      <c r="BS87" s="14" t="n">
        <v>0.333</v>
      </c>
      <c r="BT87" s="14" t="n">
        <v>0</v>
      </c>
      <c r="BU87" s="14" t="n">
        <v>0</v>
      </c>
      <c r="BV87" s="14" t="n">
        <v>0.219</v>
      </c>
      <c r="BW87" s="14" t="n">
        <v>0.125</v>
      </c>
      <c r="BX87" s="14" t="n">
        <v>0.667</v>
      </c>
      <c r="BY87" s="14" t="n">
        <v>12.729</v>
      </c>
      <c r="BZ87" s="14" t="n">
        <v>0</v>
      </c>
      <c r="CA87" s="14" t="n">
        <v>12.729</v>
      </c>
      <c r="CB87" s="14" t="n">
        <v>0</v>
      </c>
      <c r="CC87" s="14" t="n">
        <v>97.90000000000001</v>
      </c>
      <c r="CD87" s="14" t="n">
        <v>7.95</v>
      </c>
      <c r="CE87" s="14" t="n">
        <v>73.599</v>
      </c>
      <c r="CF87" s="14" t="n">
        <v>191.168</v>
      </c>
      <c r="CG87" s="14" t="n">
        <v>0.125</v>
      </c>
      <c r="CH87" s="14" t="n">
        <v>1</v>
      </c>
      <c r="CI87" s="14" t="n">
        <v>0</v>
      </c>
      <c r="CJ87" s="14" t="n">
        <v>0</v>
      </c>
      <c r="CK87" s="14" t="n">
        <v>0</v>
      </c>
      <c r="CL87" s="14" t="n">
        <v>0</v>
      </c>
      <c r="CM87" s="14" t="n">
        <v>0</v>
      </c>
      <c r="CN87" s="14" t="n">
        <v>0</v>
      </c>
      <c r="CO87" s="14" t="n">
        <v>0</v>
      </c>
      <c r="CP87" s="14" t="n">
        <v>0</v>
      </c>
      <c r="CQ87" s="14" t="n">
        <v>1.294</v>
      </c>
      <c r="CR87" s="14" t="n">
        <v>0</v>
      </c>
      <c r="CS87" s="14" t="n">
        <v>5.158</v>
      </c>
      <c r="CT87" s="14" t="n">
        <v>10.485</v>
      </c>
      <c r="CU87" s="14" t="n">
        <v>29.494</v>
      </c>
    </row>
    <row r="88">
      <c r="A88" s="14" t="inlineStr">
        <is>
          <t>BLZ2023</t>
        </is>
      </c>
      <c r="B88" s="14" t="inlineStr">
        <is>
          <t>BLZ</t>
        </is>
      </c>
      <c r="C88" s="14" t="inlineStr">
        <is>
          <t>BLZ</t>
        </is>
      </c>
      <c r="D88" s="14" t="inlineStr">
        <is>
          <t>Belize</t>
        </is>
      </c>
      <c r="E88" s="14" t="n">
        <v>2023</v>
      </c>
      <c r="F88" s="14" t="n">
        <v>0.125</v>
      </c>
      <c r="G88" s="14" t="n">
        <v>6.147</v>
      </c>
      <c r="H88" s="14" t="n">
        <v>1.286</v>
      </c>
      <c r="I88" s="14" t="n">
        <v>0</v>
      </c>
      <c r="J88" s="14" t="n">
        <v>6.147</v>
      </c>
      <c r="K88" s="14" t="n">
        <v>0</v>
      </c>
      <c r="L88" s="14" t="n">
        <v>1</v>
      </c>
      <c r="M88" s="14" t="n">
        <v>7.886</v>
      </c>
      <c r="N88" s="14" t="n">
        <v>3.857</v>
      </c>
      <c r="O88" s="14" t="n">
        <v>0</v>
      </c>
      <c r="P88" s="14" t="n">
        <v>7.886</v>
      </c>
      <c r="Q88" s="14" t="n">
        <v>0</v>
      </c>
      <c r="R88" s="14" t="n">
        <v>1</v>
      </c>
      <c r="S88" s="14" t="n">
        <v>12.575</v>
      </c>
      <c r="T88" s="14" t="n">
        <v>7.714</v>
      </c>
      <c r="U88" s="14" t="n">
        <v>0.174</v>
      </c>
      <c r="V88" s="14" t="n">
        <v>14.147</v>
      </c>
      <c r="W88" s="14" t="n">
        <v>0.125</v>
      </c>
      <c r="X88" s="14" t="n">
        <v>1</v>
      </c>
      <c r="Y88" s="14" t="n">
        <v>3.731</v>
      </c>
      <c r="Z88" s="14" t="n">
        <v>0.502</v>
      </c>
      <c r="AA88" s="14" t="n">
        <v>0</v>
      </c>
      <c r="AB88" s="14" t="n">
        <v>3.731</v>
      </c>
      <c r="AC88" s="14" t="n">
        <v>0</v>
      </c>
      <c r="AD88" s="14" t="n">
        <v>1</v>
      </c>
      <c r="AE88" s="14" t="n">
        <v>5.016</v>
      </c>
      <c r="AF88" s="14" t="n">
        <v>1.175</v>
      </c>
      <c r="AG88" s="14" t="n">
        <v>0</v>
      </c>
      <c r="AH88" s="14" t="n">
        <v>5.016</v>
      </c>
      <c r="AI88" s="14" t="n">
        <v>0</v>
      </c>
      <c r="AJ88" s="14" t="n">
        <v>1</v>
      </c>
      <c r="AK88" s="14" t="n">
        <v>12.73</v>
      </c>
      <c r="AL88" s="14" t="n">
        <v>6.84</v>
      </c>
      <c r="AM88" s="14" t="n">
        <v>0.176</v>
      </c>
      <c r="AN88" s="14" t="n">
        <v>14.322</v>
      </c>
      <c r="AO88" s="14" t="n">
        <v>0.125</v>
      </c>
      <c r="AP88" s="14" t="n">
        <v>1</v>
      </c>
      <c r="AQ88" s="14" t="n">
        <v>0.791</v>
      </c>
      <c r="AR88" s="14" t="n">
        <v>0.129</v>
      </c>
      <c r="AS88" s="14" t="n">
        <v>0.4</v>
      </c>
      <c r="AT88" s="14" t="n">
        <v>1.339</v>
      </c>
      <c r="AU88" s="14" t="n">
        <v>0.125</v>
      </c>
      <c r="AV88" s="14" t="n">
        <v>1</v>
      </c>
      <c r="AW88" s="14" t="n">
        <v>0.618</v>
      </c>
      <c r="AX88" s="14" t="n">
        <v>0.129</v>
      </c>
      <c r="AY88" s="14" t="n">
        <v>0.55</v>
      </c>
      <c r="AZ88" s="14" t="n">
        <v>1.314</v>
      </c>
      <c r="BA88" s="14" t="n">
        <v>0.125</v>
      </c>
      <c r="BB88" s="14" t="n">
        <v>1</v>
      </c>
      <c r="BC88" s="14" t="n">
        <v>0.554</v>
      </c>
      <c r="BD88" s="14" t="n">
        <v>0.129</v>
      </c>
      <c r="BE88" s="14" t="n">
        <v>0.008</v>
      </c>
      <c r="BF88" s="14" t="n">
        <v>0.624</v>
      </c>
      <c r="BG88" s="14" t="n">
        <v>0.125</v>
      </c>
      <c r="BH88" s="14" t="n">
        <v>1</v>
      </c>
      <c r="BI88" s="14" t="n">
        <v>0.5570000000000001</v>
      </c>
      <c r="BJ88" s="14" t="n">
        <v>0.129</v>
      </c>
      <c r="BK88" s="14" t="n">
        <v>0.613</v>
      </c>
      <c r="BL88" s="14" t="n">
        <v>1.317</v>
      </c>
      <c r="BM88" s="14" t="n">
        <v>0.125</v>
      </c>
      <c r="BN88" s="14" t="n">
        <v>1</v>
      </c>
      <c r="BO88" s="14" t="n">
        <v>0</v>
      </c>
      <c r="BP88" s="14" t="n">
        <v>0</v>
      </c>
      <c r="BQ88" s="14" t="n">
        <v>0.175</v>
      </c>
      <c r="BR88" s="14" t="n">
        <v>0</v>
      </c>
      <c r="BS88" s="14" t="n">
        <v>0.333</v>
      </c>
      <c r="BT88" s="14" t="n">
        <v>0</v>
      </c>
      <c r="BU88" s="14" t="n">
        <v>0</v>
      </c>
      <c r="BV88" s="14" t="n">
        <v>0.219</v>
      </c>
      <c r="BW88" s="14" t="n">
        <v>0.125</v>
      </c>
      <c r="BX88" s="14" t="n">
        <v>0.667</v>
      </c>
      <c r="BY88" s="14" t="n">
        <v>13.254</v>
      </c>
      <c r="BZ88" s="14" t="n">
        <v>0</v>
      </c>
      <c r="CA88" s="14" t="n">
        <v>13.254</v>
      </c>
      <c r="CB88" s="14" t="n">
        <v>0</v>
      </c>
      <c r="CC88" s="14" t="n">
        <v>83.248</v>
      </c>
      <c r="CD88" s="14" t="n">
        <v>7.95</v>
      </c>
      <c r="CE88" s="14" t="n">
        <v>79.29600000000001</v>
      </c>
      <c r="CF88" s="14" t="n">
        <v>180.366</v>
      </c>
      <c r="CG88" s="14" t="n">
        <v>0.125</v>
      </c>
      <c r="CH88" s="14" t="n">
        <v>1</v>
      </c>
      <c r="CI88" s="14" t="n">
        <v>0</v>
      </c>
      <c r="CJ88" s="14" t="n">
        <v>0</v>
      </c>
      <c r="CK88" s="14" t="n">
        <v>0</v>
      </c>
      <c r="CL88" s="14" t="n">
        <v>0</v>
      </c>
      <c r="CM88" s="14" t="n">
        <v>0</v>
      </c>
      <c r="CN88" s="14" t="n">
        <v>0</v>
      </c>
      <c r="CO88" s="14" t="n">
        <v>0</v>
      </c>
      <c r="CP88" s="14" t="n">
        <v>0</v>
      </c>
      <c r="CQ88" s="14" t="n">
        <v>1.348</v>
      </c>
      <c r="CR88" s="14" t="n">
        <v>0</v>
      </c>
      <c r="CS88" s="14" t="n">
        <v>5.37</v>
      </c>
      <c r="CT88" s="14" t="n">
        <v>4.861</v>
      </c>
      <c r="CU88" s="14" t="n">
        <v>11.192</v>
      </c>
    </row>
    <row r="89">
      <c r="A89" s="14" t="inlineStr">
        <is>
          <t>BLZ2024</t>
        </is>
      </c>
      <c r="B89" s="14" t="inlineStr">
        <is>
          <t>BLZ</t>
        </is>
      </c>
      <c r="C89" s="14" t="inlineStr">
        <is>
          <t>BLZ</t>
        </is>
      </c>
      <c r="D89" s="14" t="inlineStr">
        <is>
          <t>Belize</t>
        </is>
      </c>
      <c r="E89" s="14" t="n">
        <v>2024</v>
      </c>
      <c r="F89" s="14" t="n">
        <v>0.125</v>
      </c>
      <c r="G89" s="14" t="n">
        <v>5.575</v>
      </c>
      <c r="H89" s="14" t="n">
        <v>1.324</v>
      </c>
      <c r="I89" s="14" t="n">
        <v>0</v>
      </c>
      <c r="J89" s="14" t="n">
        <v>5.575</v>
      </c>
      <c r="K89" s="14" t="n">
        <v>0</v>
      </c>
      <c r="L89" s="14" t="n">
        <v>1</v>
      </c>
      <c r="M89" s="14" t="n">
        <v>7.124</v>
      </c>
      <c r="N89" s="14" t="n">
        <v>3.971</v>
      </c>
      <c r="O89" s="14" t="n">
        <v>0</v>
      </c>
      <c r="P89" s="14" t="n">
        <v>7.124</v>
      </c>
      <c r="Q89" s="14" t="n">
        <v>0</v>
      </c>
      <c r="R89" s="14" t="n">
        <v>1</v>
      </c>
      <c r="S89" s="14" t="n">
        <v>12.193</v>
      </c>
      <c r="T89" s="14" t="n">
        <v>7.942</v>
      </c>
      <c r="U89" s="14" t="n">
        <v>0.208</v>
      </c>
      <c r="V89" s="14" t="n">
        <v>13.717</v>
      </c>
      <c r="W89" s="14" t="n">
        <v>0.125</v>
      </c>
      <c r="X89" s="14" t="n">
        <v>1</v>
      </c>
      <c r="Y89" s="14" t="n">
        <v>3.841</v>
      </c>
      <c r="Z89" s="14" t="n">
        <v>0.517</v>
      </c>
      <c r="AA89" s="14" t="n">
        <v>0</v>
      </c>
      <c r="AB89" s="14" t="n">
        <v>3.841</v>
      </c>
      <c r="AC89" s="14" t="n">
        <v>0</v>
      </c>
      <c r="AD89" s="14" t="n">
        <v>1</v>
      </c>
      <c r="AE89" s="14" t="n">
        <v>5.164</v>
      </c>
      <c r="AF89" s="14" t="n">
        <v>1.209</v>
      </c>
      <c r="AG89" s="14" t="n">
        <v>0</v>
      </c>
      <c r="AH89" s="14" t="n">
        <v>5.164</v>
      </c>
      <c r="AI89" s="14" t="n">
        <v>0</v>
      </c>
      <c r="AJ89" s="14" t="n">
        <v>1</v>
      </c>
      <c r="AK89" s="14" t="n">
        <v>13.106</v>
      </c>
      <c r="AL89" s="14" t="n">
        <v>7.042</v>
      </c>
      <c r="AM89" s="14" t="n">
        <v>0.223</v>
      </c>
      <c r="AN89" s="14" t="n">
        <v>14.744</v>
      </c>
      <c r="AO89" s="14" t="n">
        <v>0.125</v>
      </c>
      <c r="AP89" s="14" t="n">
        <v>1</v>
      </c>
      <c r="AQ89" s="14" t="n">
        <v>0.756</v>
      </c>
      <c r="AR89" s="14" t="n">
        <v>0.132</v>
      </c>
      <c r="AS89" s="14" t="n">
        <v>0.153</v>
      </c>
      <c r="AT89" s="14" t="n">
        <v>1.023</v>
      </c>
      <c r="AU89" s="14" t="n">
        <v>0.125</v>
      </c>
      <c r="AV89" s="14" t="n">
        <v>1</v>
      </c>
      <c r="AW89" s="14" t="n">
        <v>0.655</v>
      </c>
      <c r="AX89" s="14" t="n">
        <v>0.132</v>
      </c>
      <c r="AY89" s="14" t="n">
        <v>0.489</v>
      </c>
      <c r="AZ89" s="14" t="n">
        <v>1.287</v>
      </c>
      <c r="BA89" s="14" t="n">
        <v>0.125</v>
      </c>
      <c r="BB89" s="14" t="n">
        <v>1</v>
      </c>
      <c r="BC89" s="14" t="n">
        <v>0.534</v>
      </c>
      <c r="BD89" s="14" t="n">
        <v>0.132</v>
      </c>
      <c r="BE89" s="14" t="n">
        <v>0.008999999999999999</v>
      </c>
      <c r="BF89" s="14" t="n">
        <v>0.6</v>
      </c>
      <c r="BG89" s="14" t="n">
        <v>0.125</v>
      </c>
      <c r="BH89" s="14" t="n">
        <v>1</v>
      </c>
      <c r="BI89" s="14" t="n">
        <v>0.5679999999999999</v>
      </c>
      <c r="BJ89" s="14" t="n">
        <v>0.132</v>
      </c>
      <c r="BK89" s="14" t="n">
        <v>0.652</v>
      </c>
      <c r="BL89" s="14" t="n">
        <v>1.35</v>
      </c>
      <c r="BM89" s="14" t="n">
        <v>0.125</v>
      </c>
      <c r="BN89" s="14" t="n">
        <v>1</v>
      </c>
      <c r="BO89" s="14" t="n">
        <v>0</v>
      </c>
      <c r="BP89" s="14" t="n">
        <v>0</v>
      </c>
      <c r="BQ89" s="14" t="n">
        <v>0.175</v>
      </c>
      <c r="BR89" s="14" t="n">
        <v>0</v>
      </c>
      <c r="BS89" s="14" t="n">
        <v>0.333</v>
      </c>
      <c r="BT89" s="14" t="n">
        <v>0</v>
      </c>
      <c r="BU89" s="14" t="n">
        <v>0</v>
      </c>
      <c r="BV89" s="14" t="n">
        <v>0.219</v>
      </c>
      <c r="BW89" s="14" t="n">
        <v>0.125</v>
      </c>
      <c r="BX89" s="14" t="n">
        <v>0.667</v>
      </c>
      <c r="BY89" s="14" t="n">
        <v>13.646</v>
      </c>
      <c r="BZ89" s="14" t="n">
        <v>0</v>
      </c>
      <c r="CA89" s="14" t="n">
        <v>13.646</v>
      </c>
      <c r="CB89" s="14" t="n">
        <v>0</v>
      </c>
      <c r="CC89" s="14" t="n">
        <v>82.58799999999999</v>
      </c>
      <c r="CD89" s="14" t="n">
        <v>7.95</v>
      </c>
      <c r="CE89" s="14" t="n">
        <v>82.462</v>
      </c>
      <c r="CF89" s="14" t="n">
        <v>182.572</v>
      </c>
      <c r="CG89" s="14" t="n">
        <v>0.125</v>
      </c>
      <c r="CH89" s="14" t="n">
        <v>1</v>
      </c>
      <c r="CI89" s="14" t="n">
        <v>0</v>
      </c>
      <c r="CJ89" s="14" t="n">
        <v>0</v>
      </c>
      <c r="CK89" s="14" t="n">
        <v>0</v>
      </c>
      <c r="CL89" s="14" t="n">
        <v>0</v>
      </c>
      <c r="CM89" s="14" t="n">
        <v>0</v>
      </c>
      <c r="CN89" s="14" t="n">
        <v>0</v>
      </c>
      <c r="CO89" s="14" t="n">
        <v>0</v>
      </c>
      <c r="CP89" s="14" t="n">
        <v>0</v>
      </c>
      <c r="CQ89" s="14" t="n">
        <v>1.387</v>
      </c>
      <c r="CR89" s="14" t="n">
        <v>0</v>
      </c>
      <c r="CS89" s="14" t="n">
        <v>5.529</v>
      </c>
      <c r="CT89" s="14" t="n">
        <v>4.251</v>
      </c>
      <c r="CU89" s="14" t="n">
        <v>10.123</v>
      </c>
    </row>
    <row r="90">
      <c r="A90" s="14" t="inlineStr">
        <is>
          <t>BEN2021</t>
        </is>
      </c>
      <c r="B90" s="14" t="inlineStr">
        <is>
          <t>BEN</t>
        </is>
      </c>
      <c r="C90" s="14" t="inlineStr">
        <is>
          <t>BEN</t>
        </is>
      </c>
      <c r="D90" s="14" t="inlineStr">
        <is>
          <t>Benin</t>
        </is>
      </c>
      <c r="E90" s="14" t="n">
        <v>2021</v>
      </c>
      <c r="F90" s="14" t="n">
        <v>0.18</v>
      </c>
      <c r="G90" s="14" t="n">
        <v>5.897</v>
      </c>
      <c r="H90" s="14" t="n">
        <v>1.143</v>
      </c>
      <c r="I90" s="14" t="n">
        <v>0</v>
      </c>
      <c r="J90" s="14" t="n">
        <v>5.897</v>
      </c>
      <c r="K90" s="14" t="n">
        <v>0</v>
      </c>
      <c r="L90" s="14" t="n">
        <v>1</v>
      </c>
      <c r="M90" s="14" t="n">
        <v>7.964</v>
      </c>
      <c r="N90" s="14" t="n">
        <v>3.43</v>
      </c>
      <c r="O90" s="14" t="n">
        <v>0</v>
      </c>
      <c r="P90" s="14" t="n">
        <v>7.964</v>
      </c>
      <c r="Q90" s="14" t="n">
        <v>0</v>
      </c>
      <c r="R90" s="14" t="n">
        <v>1</v>
      </c>
      <c r="S90" s="14" t="n">
        <v>11.613</v>
      </c>
      <c r="T90" s="14" t="n">
        <v>6.86</v>
      </c>
      <c r="U90" s="14" t="n">
        <v>0</v>
      </c>
      <c r="V90" s="14" t="n">
        <v>13.704</v>
      </c>
      <c r="W90" s="14" t="n">
        <v>0.18</v>
      </c>
      <c r="X90" s="14" t="n">
        <v>1</v>
      </c>
      <c r="Y90" s="14" t="n">
        <v>5.721</v>
      </c>
      <c r="Z90" s="14" t="n">
        <v>0.773</v>
      </c>
      <c r="AA90" s="14" t="n">
        <v>0</v>
      </c>
      <c r="AB90" s="14" t="n">
        <v>5.721</v>
      </c>
      <c r="AC90" s="14" t="n">
        <v>0</v>
      </c>
      <c r="AD90" s="14" t="n">
        <v>1</v>
      </c>
      <c r="AE90" s="14" t="n">
        <v>6.864</v>
      </c>
      <c r="AF90" s="14" t="n">
        <v>1.605</v>
      </c>
      <c r="AG90" s="14" t="n">
        <v>0</v>
      </c>
      <c r="AH90" s="14" t="n">
        <v>6.864</v>
      </c>
      <c r="AI90" s="14" t="n">
        <v>0</v>
      </c>
      <c r="AJ90" s="14" t="n">
        <v>1</v>
      </c>
      <c r="AK90" s="14" t="n">
        <v>13.724</v>
      </c>
      <c r="AL90" s="14" t="n">
        <v>7.309</v>
      </c>
      <c r="AM90" s="14" t="n">
        <v>0</v>
      </c>
      <c r="AN90" s="14" t="n">
        <v>16.195</v>
      </c>
      <c r="AO90" s="14" t="n">
        <v>0.18</v>
      </c>
      <c r="AP90" s="14" t="n">
        <v>1</v>
      </c>
      <c r="AQ90" s="14" t="n">
        <v>0.619</v>
      </c>
      <c r="AR90" s="14" t="n">
        <v>0.114</v>
      </c>
      <c r="AS90" s="14" t="n">
        <v>0.158</v>
      </c>
      <c r="AT90" s="14" t="n">
        <v>0.917</v>
      </c>
      <c r="AU90" s="14" t="n">
        <v>0.18</v>
      </c>
      <c r="AV90" s="14" t="n">
        <v>1</v>
      </c>
      <c r="AW90" s="14" t="n">
        <v>0.599</v>
      </c>
      <c r="AX90" s="14" t="n">
        <v>0.114</v>
      </c>
      <c r="AY90" s="14" t="n">
        <v>0.197</v>
      </c>
      <c r="AZ90" s="14" t="n">
        <v>0.9399999999999999</v>
      </c>
      <c r="BA90" s="14" t="n">
        <v>0.18</v>
      </c>
      <c r="BB90" s="14" t="n">
        <v>1</v>
      </c>
      <c r="BC90" s="14" t="n">
        <v>0.439</v>
      </c>
      <c r="BD90" s="14" t="n">
        <v>0.114</v>
      </c>
      <c r="BE90" s="14" t="n">
        <v>0.055</v>
      </c>
      <c r="BF90" s="14" t="n">
        <v>0.583</v>
      </c>
      <c r="BG90" s="14" t="n">
        <v>0.18</v>
      </c>
      <c r="BH90" s="14" t="n">
        <v>1</v>
      </c>
      <c r="BI90" s="14" t="n">
        <v>0.505</v>
      </c>
      <c r="BJ90" s="14" t="n">
        <v>0.114</v>
      </c>
      <c r="BK90" s="14" t="n">
        <v>0.282</v>
      </c>
      <c r="BL90" s="14" t="n">
        <v>0.928</v>
      </c>
      <c r="BM90" s="14" t="n">
        <v>0.18</v>
      </c>
      <c r="BN90" s="14" t="n">
        <v>1</v>
      </c>
      <c r="BO90" s="14" t="n">
        <v>0</v>
      </c>
      <c r="BP90" s="14" t="n">
        <v>0</v>
      </c>
      <c r="BQ90" s="14" t="n">
        <v>0.214</v>
      </c>
      <c r="BR90" s="14" t="n">
        <v>0</v>
      </c>
      <c r="BS90" s="14" t="n">
        <v>0.667</v>
      </c>
      <c r="BT90" s="14" t="n">
        <v>0</v>
      </c>
      <c r="BU90" s="14" t="n">
        <v>0</v>
      </c>
      <c r="BV90" s="14" t="n">
        <v>0.216</v>
      </c>
      <c r="BW90" s="14" t="n">
        <v>0.18</v>
      </c>
      <c r="BX90" s="14" t="n">
        <v>0.667</v>
      </c>
      <c r="BY90" s="14" t="n">
        <v>11.787</v>
      </c>
      <c r="BZ90" s="14" t="n">
        <v>0</v>
      </c>
      <c r="CA90" s="14" t="n">
        <v>11.787</v>
      </c>
      <c r="CB90" s="14" t="n">
        <v>0</v>
      </c>
      <c r="CC90" s="14" t="n">
        <v>78.125</v>
      </c>
      <c r="CD90" s="14" t="n">
        <v>7.95</v>
      </c>
      <c r="CE90" s="14" t="n">
        <v>71.617</v>
      </c>
      <c r="CF90" s="14" t="n">
        <v>176.696</v>
      </c>
      <c r="CG90" s="14" t="n">
        <v>0.18</v>
      </c>
      <c r="CH90" s="14" t="n">
        <v>1</v>
      </c>
      <c r="CI90" s="14" t="n">
        <v>0</v>
      </c>
      <c r="CJ90" s="14" t="n">
        <v>0</v>
      </c>
      <c r="CK90" s="14" t="n">
        <v>0</v>
      </c>
      <c r="CL90" s="14" t="n">
        <v>0</v>
      </c>
      <c r="CM90" s="14" t="n">
        <v>0</v>
      </c>
      <c r="CN90" s="14" t="n">
        <v>0</v>
      </c>
      <c r="CO90" s="14" t="n">
        <v>0</v>
      </c>
      <c r="CP90" s="14" t="n">
        <v>0</v>
      </c>
      <c r="CQ90" s="14" t="n">
        <v>1.198</v>
      </c>
      <c r="CR90" s="14" t="n">
        <v>0</v>
      </c>
      <c r="CS90" s="14" t="n">
        <v>4.776</v>
      </c>
      <c r="CT90" s="14" t="n">
        <v>4.753</v>
      </c>
      <c r="CU90" s="14" t="n">
        <v>15.162</v>
      </c>
    </row>
    <row r="91">
      <c r="A91" s="14" t="inlineStr">
        <is>
          <t>BEN2022</t>
        </is>
      </c>
      <c r="B91" s="14" t="inlineStr">
        <is>
          <t>BEN</t>
        </is>
      </c>
      <c r="C91" s="14" t="inlineStr">
        <is>
          <t>BEN</t>
        </is>
      </c>
      <c r="D91" s="14" t="inlineStr">
        <is>
          <t>Benin</t>
        </is>
      </c>
      <c r="E91" s="14" t="n">
        <v>2022</v>
      </c>
      <c r="F91" s="14" t="n">
        <v>0.18</v>
      </c>
      <c r="G91" s="14" t="n">
        <v>11.72</v>
      </c>
      <c r="H91" s="14" t="n">
        <v>1.235</v>
      </c>
      <c r="I91" s="14" t="n">
        <v>0</v>
      </c>
      <c r="J91" s="14" t="n">
        <v>11.72</v>
      </c>
      <c r="K91" s="14" t="n">
        <v>0</v>
      </c>
      <c r="L91" s="14" t="n">
        <v>1</v>
      </c>
      <c r="M91" s="14" t="n">
        <v>9.782999999999999</v>
      </c>
      <c r="N91" s="14" t="n">
        <v>3.704</v>
      </c>
      <c r="O91" s="14" t="n">
        <v>0</v>
      </c>
      <c r="P91" s="14" t="n">
        <v>9.782999999999999</v>
      </c>
      <c r="Q91" s="14" t="n">
        <v>0</v>
      </c>
      <c r="R91" s="14" t="n">
        <v>1</v>
      </c>
      <c r="S91" s="14" t="n">
        <v>17.893</v>
      </c>
      <c r="T91" s="14" t="n">
        <v>7.408</v>
      </c>
      <c r="U91" s="14" t="n">
        <v>0.238</v>
      </c>
      <c r="V91" s="14" t="n">
        <v>21.114</v>
      </c>
      <c r="W91" s="14" t="n">
        <v>0.18</v>
      </c>
      <c r="X91" s="14" t="n">
        <v>1</v>
      </c>
      <c r="Y91" s="14" t="n">
        <v>6.488</v>
      </c>
      <c r="Z91" s="14" t="n">
        <v>0.877</v>
      </c>
      <c r="AA91" s="14" t="n">
        <v>0</v>
      </c>
      <c r="AB91" s="14" t="n">
        <v>6.488</v>
      </c>
      <c r="AC91" s="14" t="n">
        <v>0</v>
      </c>
      <c r="AD91" s="14" t="n">
        <v>1</v>
      </c>
      <c r="AE91" s="14" t="n">
        <v>7.723</v>
      </c>
      <c r="AF91" s="14" t="n">
        <v>1.806</v>
      </c>
      <c r="AG91" s="14" t="n">
        <v>0</v>
      </c>
      <c r="AH91" s="14" t="n">
        <v>7.723</v>
      </c>
      <c r="AI91" s="14" t="n">
        <v>0</v>
      </c>
      <c r="AJ91" s="14" t="n">
        <v>1</v>
      </c>
      <c r="AK91" s="14" t="n">
        <v>15.131</v>
      </c>
      <c r="AL91" s="14" t="n">
        <v>8.058999999999999</v>
      </c>
      <c r="AM91" s="14" t="n">
        <v>0.202</v>
      </c>
      <c r="AN91" s="14" t="n">
        <v>17.855</v>
      </c>
      <c r="AO91" s="14" t="n">
        <v>0.18</v>
      </c>
      <c r="AP91" s="14" t="n">
        <v>1</v>
      </c>
      <c r="AQ91" s="14" t="n">
        <v>0.861</v>
      </c>
      <c r="AR91" s="14" t="n">
        <v>0.123</v>
      </c>
      <c r="AS91" s="14" t="n">
        <v>-0.047</v>
      </c>
      <c r="AT91" s="14" t="n">
        <v>0.961</v>
      </c>
      <c r="AU91" s="14" t="n">
        <v>0.18</v>
      </c>
      <c r="AV91" s="14" t="n">
        <v>1</v>
      </c>
      <c r="AW91" s="14" t="n">
        <v>0.986</v>
      </c>
      <c r="AX91" s="14" t="n">
        <v>0.123</v>
      </c>
      <c r="AY91" s="14" t="n">
        <v>-0.112</v>
      </c>
      <c r="AZ91" s="14" t="n">
        <v>1.032</v>
      </c>
      <c r="BA91" s="14" t="n">
        <v>0.18</v>
      </c>
      <c r="BB91" s="14" t="n">
        <v>1</v>
      </c>
      <c r="BC91" s="14" t="n">
        <v>0.598</v>
      </c>
      <c r="BD91" s="14" t="n">
        <v>0.123</v>
      </c>
      <c r="BE91" s="14" t="n">
        <v>-0.005</v>
      </c>
      <c r="BF91" s="14" t="n">
        <v>0.699</v>
      </c>
      <c r="BG91" s="14" t="n">
        <v>0.18</v>
      </c>
      <c r="BH91" s="14" t="n">
        <v>1</v>
      </c>
      <c r="BI91" s="14" t="n">
        <v>0.612</v>
      </c>
      <c r="BJ91" s="14" t="n">
        <v>0.123</v>
      </c>
      <c r="BK91" s="14" t="n">
        <v>0.444</v>
      </c>
      <c r="BL91" s="14" t="n">
        <v>1.246</v>
      </c>
      <c r="BM91" s="14" t="n">
        <v>0.18</v>
      </c>
      <c r="BN91" s="14" t="n">
        <v>1</v>
      </c>
      <c r="BO91" s="14" t="n">
        <v>0</v>
      </c>
      <c r="BP91" s="14" t="n">
        <v>0</v>
      </c>
      <c r="BQ91" s="14" t="n">
        <v>0.191</v>
      </c>
      <c r="BR91" s="14" t="n">
        <v>0</v>
      </c>
      <c r="BS91" s="14" t="n">
        <v>0.667</v>
      </c>
      <c r="BT91" s="14" t="n">
        <v>0</v>
      </c>
      <c r="BU91" s="14" t="n">
        <v>0</v>
      </c>
      <c r="BV91" s="14" t="n">
        <v>0.192</v>
      </c>
      <c r="BW91" s="14" t="n">
        <v>0.18</v>
      </c>
      <c r="BX91" s="14" t="n">
        <v>0.667</v>
      </c>
      <c r="BY91" s="14" t="n">
        <v>12.729</v>
      </c>
      <c r="BZ91" s="14" t="n">
        <v>0</v>
      </c>
      <c r="CA91" s="14" t="n">
        <v>12.729</v>
      </c>
      <c r="CB91" s="14" t="n">
        <v>0</v>
      </c>
      <c r="CC91" s="14" t="n">
        <v>97.90000000000001</v>
      </c>
      <c r="CD91" s="14" t="n">
        <v>7.95</v>
      </c>
      <c r="CE91" s="14" t="n">
        <v>94.369</v>
      </c>
      <c r="CF91" s="14" t="n">
        <v>226.877</v>
      </c>
      <c r="CG91" s="14" t="n">
        <v>0.18</v>
      </c>
      <c r="CH91" s="14" t="n">
        <v>1</v>
      </c>
      <c r="CI91" s="14" t="n">
        <v>0</v>
      </c>
      <c r="CJ91" s="14" t="n">
        <v>0</v>
      </c>
      <c r="CK91" s="14" t="n">
        <v>0</v>
      </c>
      <c r="CL91" s="14" t="n">
        <v>0</v>
      </c>
      <c r="CM91" s="14" t="n">
        <v>0</v>
      </c>
      <c r="CN91" s="14" t="n">
        <v>0</v>
      </c>
      <c r="CO91" s="14" t="n">
        <v>0</v>
      </c>
      <c r="CP91" s="14" t="n">
        <v>0</v>
      </c>
      <c r="CQ91" s="14" t="n">
        <v>1.294</v>
      </c>
      <c r="CR91" s="14" t="n">
        <v>0</v>
      </c>
      <c r="CS91" s="14" t="n">
        <v>5.158</v>
      </c>
      <c r="CT91" s="14" t="n">
        <v>10.485</v>
      </c>
      <c r="CU91" s="14" t="n">
        <v>31.326</v>
      </c>
    </row>
    <row r="92">
      <c r="A92" s="14" t="inlineStr">
        <is>
          <t>BEN2023</t>
        </is>
      </c>
      <c r="B92" s="14" t="inlineStr">
        <is>
          <t>BEN</t>
        </is>
      </c>
      <c r="C92" s="14" t="inlineStr">
        <is>
          <t>BEN</t>
        </is>
      </c>
      <c r="D92" s="14" t="inlineStr">
        <is>
          <t>Benin</t>
        </is>
      </c>
      <c r="E92" s="14" t="n">
        <v>2023</v>
      </c>
      <c r="F92" s="14" t="n">
        <v>0.18</v>
      </c>
      <c r="G92" s="14" t="n">
        <v>6.147</v>
      </c>
      <c r="H92" s="14" t="n">
        <v>1.286</v>
      </c>
      <c r="I92" s="14" t="n">
        <v>0</v>
      </c>
      <c r="J92" s="14" t="n">
        <v>6.147</v>
      </c>
      <c r="K92" s="14" t="n">
        <v>0</v>
      </c>
      <c r="L92" s="14" t="n">
        <v>1</v>
      </c>
      <c r="M92" s="14" t="n">
        <v>7.886</v>
      </c>
      <c r="N92" s="14" t="n">
        <v>3.857</v>
      </c>
      <c r="O92" s="14" t="n">
        <v>0</v>
      </c>
      <c r="P92" s="14" t="n">
        <v>7.886</v>
      </c>
      <c r="Q92" s="14" t="n">
        <v>0</v>
      </c>
      <c r="R92" s="14" t="n">
        <v>1</v>
      </c>
      <c r="S92" s="14" t="n">
        <v>12.575</v>
      </c>
      <c r="T92" s="14" t="n">
        <v>7.714</v>
      </c>
      <c r="U92" s="14" t="n">
        <v>0.251</v>
      </c>
      <c r="V92" s="14" t="n">
        <v>14.839</v>
      </c>
      <c r="W92" s="14" t="n">
        <v>0.18</v>
      </c>
      <c r="X92" s="14" t="n">
        <v>1</v>
      </c>
      <c r="Y92" s="14" t="n">
        <v>6.433</v>
      </c>
      <c r="Z92" s="14" t="n">
        <v>0.869</v>
      </c>
      <c r="AA92" s="14" t="n">
        <v>0</v>
      </c>
      <c r="AB92" s="14" t="n">
        <v>6.433</v>
      </c>
      <c r="AC92" s="14" t="n">
        <v>0</v>
      </c>
      <c r="AD92" s="14" t="n">
        <v>1</v>
      </c>
      <c r="AE92" s="14" t="n">
        <v>7.719</v>
      </c>
      <c r="AF92" s="14" t="n">
        <v>1.805</v>
      </c>
      <c r="AG92" s="14" t="n">
        <v>0</v>
      </c>
      <c r="AH92" s="14" t="n">
        <v>7.719</v>
      </c>
      <c r="AI92" s="14" t="n">
        <v>0</v>
      </c>
      <c r="AJ92" s="14" t="n">
        <v>1</v>
      </c>
      <c r="AK92" s="14" t="n">
        <v>15.433</v>
      </c>
      <c r="AL92" s="14" t="n">
        <v>8.218999999999999</v>
      </c>
      <c r="AM92" s="14" t="n">
        <v>0.308</v>
      </c>
      <c r="AN92" s="14" t="n">
        <v>18.211</v>
      </c>
      <c r="AO92" s="14" t="n">
        <v>0.18</v>
      </c>
      <c r="AP92" s="14" t="n">
        <v>1</v>
      </c>
      <c r="AQ92" s="14" t="n">
        <v>0.76</v>
      </c>
      <c r="AR92" s="14" t="n">
        <v>0.129</v>
      </c>
      <c r="AS92" s="14" t="n">
        <v>0.164</v>
      </c>
      <c r="AT92" s="14" t="n">
        <v>1.091</v>
      </c>
      <c r="AU92" s="14" t="n">
        <v>0.18</v>
      </c>
      <c r="AV92" s="14" t="n">
        <v>1</v>
      </c>
      <c r="AW92" s="14" t="n">
        <v>0.8110000000000001</v>
      </c>
      <c r="AX92" s="14" t="n">
        <v>0.129</v>
      </c>
      <c r="AY92" s="14" t="n">
        <v>0.166</v>
      </c>
      <c r="AZ92" s="14" t="n">
        <v>1.154</v>
      </c>
      <c r="BA92" s="14" t="n">
        <v>0.18</v>
      </c>
      <c r="BB92" s="14" t="n">
        <v>1</v>
      </c>
      <c r="BC92" s="14" t="n">
        <v>0.535</v>
      </c>
      <c r="BD92" s="14" t="n">
        <v>0.129</v>
      </c>
      <c r="BE92" s="14" t="n">
        <v>0.116</v>
      </c>
      <c r="BF92" s="14" t="n">
        <v>0.768</v>
      </c>
      <c r="BG92" s="14" t="n">
        <v>0.18</v>
      </c>
      <c r="BH92" s="14" t="n">
        <v>1</v>
      </c>
      <c r="BI92" s="14" t="n">
        <v>0.579</v>
      </c>
      <c r="BJ92" s="14" t="n">
        <v>0.129</v>
      </c>
      <c r="BK92" s="14" t="n">
        <v>0.609</v>
      </c>
      <c r="BL92" s="14" t="n">
        <v>1.403</v>
      </c>
      <c r="BM92" s="14" t="n">
        <v>0.18</v>
      </c>
      <c r="BN92" s="14" t="n">
        <v>1</v>
      </c>
      <c r="BO92" s="14" t="n">
        <v>0</v>
      </c>
      <c r="BP92" s="14" t="n">
        <v>0</v>
      </c>
      <c r="BQ92" s="14" t="n">
        <v>0.196</v>
      </c>
      <c r="BR92" s="14" t="n">
        <v>0</v>
      </c>
      <c r="BS92" s="14" t="n">
        <v>0.667</v>
      </c>
      <c r="BT92" s="14" t="n">
        <v>0</v>
      </c>
      <c r="BU92" s="14" t="n">
        <v>0</v>
      </c>
      <c r="BV92" s="14" t="n">
        <v>0.197</v>
      </c>
      <c r="BW92" s="14" t="n">
        <v>0.18</v>
      </c>
      <c r="BX92" s="14" t="n">
        <v>0.667</v>
      </c>
      <c r="BY92" s="14" t="n">
        <v>13.254</v>
      </c>
      <c r="BZ92" s="14" t="n">
        <v>0</v>
      </c>
      <c r="CA92" s="14" t="n">
        <v>13.254</v>
      </c>
      <c r="CB92" s="14" t="n">
        <v>0</v>
      </c>
      <c r="CC92" s="14" t="n">
        <v>83.248</v>
      </c>
      <c r="CD92" s="14" t="n">
        <v>7.95</v>
      </c>
      <c r="CE92" s="14" t="n">
        <v>161.243</v>
      </c>
      <c r="CF92" s="14" t="n">
        <v>288.499</v>
      </c>
      <c r="CG92" s="14" t="n">
        <v>0.18</v>
      </c>
      <c r="CH92" s="14" t="n">
        <v>1</v>
      </c>
      <c r="CI92" s="14" t="n">
        <v>0</v>
      </c>
      <c r="CJ92" s="14" t="n">
        <v>0</v>
      </c>
      <c r="CK92" s="14" t="n">
        <v>0</v>
      </c>
      <c r="CL92" s="14" t="n">
        <v>0</v>
      </c>
      <c r="CM92" s="14" t="n">
        <v>0</v>
      </c>
      <c r="CN92" s="14" t="n">
        <v>0</v>
      </c>
      <c r="CO92" s="14" t="n">
        <v>0</v>
      </c>
      <c r="CP92" s="14" t="n">
        <v>0</v>
      </c>
      <c r="CQ92" s="14" t="n">
        <v>1.348</v>
      </c>
      <c r="CR92" s="14" t="n">
        <v>0</v>
      </c>
      <c r="CS92" s="14" t="n">
        <v>5.37</v>
      </c>
      <c r="CT92" s="14" t="n">
        <v>4.861</v>
      </c>
      <c r="CU92" s="14" t="n">
        <v>11.622</v>
      </c>
    </row>
    <row r="93">
      <c r="A93" s="14" t="inlineStr">
        <is>
          <t>BEN2024</t>
        </is>
      </c>
      <c r="B93" s="14" t="inlineStr">
        <is>
          <t>BEN</t>
        </is>
      </c>
      <c r="C93" s="14" t="inlineStr">
        <is>
          <t>BEN</t>
        </is>
      </c>
      <c r="D93" s="14" t="inlineStr">
        <is>
          <t>Benin</t>
        </is>
      </c>
      <c r="E93" s="14" t="n">
        <v>2024</v>
      </c>
      <c r="F93" s="14" t="n">
        <v>0.18</v>
      </c>
      <c r="G93" s="14" t="n">
        <v>5.575</v>
      </c>
      <c r="H93" s="14" t="n">
        <v>1.324</v>
      </c>
      <c r="I93" s="14" t="n">
        <v>0</v>
      </c>
      <c r="J93" s="14" t="n">
        <v>5.575</v>
      </c>
      <c r="K93" s="14" t="n">
        <v>0</v>
      </c>
      <c r="L93" s="14" t="n">
        <v>1</v>
      </c>
      <c r="M93" s="14" t="n">
        <v>7.124</v>
      </c>
      <c r="N93" s="14" t="n">
        <v>3.971</v>
      </c>
      <c r="O93" s="14" t="n">
        <v>0</v>
      </c>
      <c r="P93" s="14" t="n">
        <v>7.124</v>
      </c>
      <c r="Q93" s="14" t="n">
        <v>0</v>
      </c>
      <c r="R93" s="14" t="n">
        <v>1</v>
      </c>
      <c r="S93" s="14" t="n">
        <v>12.193</v>
      </c>
      <c r="T93" s="14" t="n">
        <v>7.942</v>
      </c>
      <c r="U93" s="14" t="n">
        <v>0.299</v>
      </c>
      <c r="V93" s="14" t="n">
        <v>14.388</v>
      </c>
      <c r="W93" s="14" t="n">
        <v>0.18</v>
      </c>
      <c r="X93" s="14" t="n">
        <v>1</v>
      </c>
      <c r="Y93" s="14" t="n">
        <v>6.623</v>
      </c>
      <c r="Z93" s="14" t="n">
        <v>0.895</v>
      </c>
      <c r="AA93" s="14" t="n">
        <v>0</v>
      </c>
      <c r="AB93" s="14" t="n">
        <v>6.623</v>
      </c>
      <c r="AC93" s="14" t="n">
        <v>0</v>
      </c>
      <c r="AD93" s="14" t="n">
        <v>1</v>
      </c>
      <c r="AE93" s="14" t="n">
        <v>7.947</v>
      </c>
      <c r="AF93" s="14" t="n">
        <v>1.858</v>
      </c>
      <c r="AG93" s="14" t="n">
        <v>0</v>
      </c>
      <c r="AH93" s="14" t="n">
        <v>7.947</v>
      </c>
      <c r="AI93" s="14" t="n">
        <v>0</v>
      </c>
      <c r="AJ93" s="14" t="n">
        <v>1</v>
      </c>
      <c r="AK93" s="14" t="n">
        <v>15.888</v>
      </c>
      <c r="AL93" s="14" t="n">
        <v>8.462</v>
      </c>
      <c r="AM93" s="14" t="n">
        <v>0.39</v>
      </c>
      <c r="AN93" s="14" t="n">
        <v>18.748</v>
      </c>
      <c r="AO93" s="14" t="n">
        <v>0.18</v>
      </c>
      <c r="AP93" s="14" t="n">
        <v>1</v>
      </c>
      <c r="AQ93" s="14" t="n">
        <v>0.724</v>
      </c>
      <c r="AR93" s="14" t="n">
        <v>0.132</v>
      </c>
      <c r="AS93" s="14" t="n">
        <v>0.223</v>
      </c>
      <c r="AT93" s="14" t="n">
        <v>1.118</v>
      </c>
      <c r="AU93" s="14" t="n">
        <v>0.18</v>
      </c>
      <c r="AV93" s="14" t="n">
        <v>1</v>
      </c>
      <c r="AW93" s="14" t="n">
        <v>0.75</v>
      </c>
      <c r="AX93" s="14" t="n">
        <v>0.132</v>
      </c>
      <c r="AY93" s="14" t="n">
        <v>0.228</v>
      </c>
      <c r="AZ93" s="14" t="n">
        <v>1.154</v>
      </c>
      <c r="BA93" s="14" t="n">
        <v>0.18</v>
      </c>
      <c r="BB93" s="14" t="n">
        <v>1</v>
      </c>
      <c r="BC93" s="14" t="n">
        <v>0.513</v>
      </c>
      <c r="BD93" s="14" t="n">
        <v>0.132</v>
      </c>
      <c r="BE93" s="14" t="n">
        <v>0.158</v>
      </c>
      <c r="BF93" s="14" t="n">
        <v>0.792</v>
      </c>
      <c r="BG93" s="14" t="n">
        <v>0.18</v>
      </c>
      <c r="BH93" s="14" t="n">
        <v>1</v>
      </c>
      <c r="BI93" s="14" t="n">
        <v>0.591</v>
      </c>
      <c r="BJ93" s="14" t="n">
        <v>0.132</v>
      </c>
      <c r="BK93" s="14" t="n">
        <v>0.598</v>
      </c>
      <c r="BL93" s="14" t="n">
        <v>1.403</v>
      </c>
      <c r="BM93" s="14" t="n">
        <v>0.18</v>
      </c>
      <c r="BN93" s="14" t="n">
        <v>1</v>
      </c>
      <c r="BO93" s="14" t="n">
        <v>0</v>
      </c>
      <c r="BP93" s="14" t="n">
        <v>0</v>
      </c>
      <c r="BQ93" s="14" t="n">
        <v>0.202</v>
      </c>
      <c r="BR93" s="14" t="n">
        <v>0</v>
      </c>
      <c r="BS93" s="14" t="n">
        <v>0.667</v>
      </c>
      <c r="BT93" s="14" t="n">
        <v>0</v>
      </c>
      <c r="BU93" s="14" t="n">
        <v>0</v>
      </c>
      <c r="BV93" s="14" t="n">
        <v>0.203</v>
      </c>
      <c r="BW93" s="14" t="n">
        <v>0.18</v>
      </c>
      <c r="BX93" s="14" t="n">
        <v>0.667</v>
      </c>
      <c r="BY93" s="14" t="n">
        <v>13.646</v>
      </c>
      <c r="BZ93" s="14" t="n">
        <v>0</v>
      </c>
      <c r="CA93" s="14" t="n">
        <v>13.646</v>
      </c>
      <c r="CB93" s="14" t="n">
        <v>0</v>
      </c>
      <c r="CC93" s="14" t="n">
        <v>82.58799999999999</v>
      </c>
      <c r="CD93" s="14" t="n">
        <v>7.95</v>
      </c>
      <c r="CE93" s="14" t="n">
        <v>173.791</v>
      </c>
      <c r="CF93" s="14" t="n">
        <v>295.287</v>
      </c>
      <c r="CG93" s="14" t="n">
        <v>0.18</v>
      </c>
      <c r="CH93" s="14" t="n">
        <v>1</v>
      </c>
      <c r="CI93" s="14" t="n">
        <v>0</v>
      </c>
      <c r="CJ93" s="14" t="n">
        <v>0</v>
      </c>
      <c r="CK93" s="14" t="n">
        <v>0</v>
      </c>
      <c r="CL93" s="14" t="n">
        <v>0</v>
      </c>
      <c r="CM93" s="14" t="n">
        <v>0</v>
      </c>
      <c r="CN93" s="14" t="n">
        <v>0</v>
      </c>
      <c r="CO93" s="14" t="n">
        <v>0</v>
      </c>
      <c r="CP93" s="14" t="n">
        <v>0</v>
      </c>
      <c r="CQ93" s="14" t="n">
        <v>1.387</v>
      </c>
      <c r="CR93" s="14" t="n">
        <v>0</v>
      </c>
      <c r="CS93" s="14" t="n">
        <v>5.529</v>
      </c>
      <c r="CT93" s="14" t="n">
        <v>4.251</v>
      </c>
      <c r="CU93" s="14" t="n">
        <v>10.168</v>
      </c>
    </row>
    <row r="94">
      <c r="A94" s="14" t="inlineStr">
        <is>
          <t>BMU2021</t>
        </is>
      </c>
      <c r="B94" s="14" t="inlineStr">
        <is>
          <t>BMU</t>
        </is>
      </c>
      <c r="C94" s="14" t="inlineStr">
        <is>
          <t>BMU</t>
        </is>
      </c>
      <c r="D94" s="14" t="inlineStr">
        <is>
          <t>Bermuda</t>
        </is>
      </c>
      <c r="E94" s="14" t="n">
        <v>2021</v>
      </c>
      <c r="F94" s="14" t="n">
        <v>0</v>
      </c>
      <c r="G94" s="14" t="n">
        <v>3.885</v>
      </c>
      <c r="H94" s="14" t="n">
        <v>1.143</v>
      </c>
      <c r="I94" s="14" t="n">
        <v>0</v>
      </c>
      <c r="J94" s="14" t="n">
        <v>3.885</v>
      </c>
      <c r="K94" s="14" t="n">
        <v>0</v>
      </c>
      <c r="L94" s="14" t="n">
        <v>1</v>
      </c>
      <c r="M94" s="14" t="n">
        <v>7.964</v>
      </c>
      <c r="N94" s="14" t="n">
        <v>3.43</v>
      </c>
      <c r="O94" s="14" t="n">
        <v>0</v>
      </c>
      <c r="P94" s="14" t="n">
        <v>7.964</v>
      </c>
      <c r="Q94" s="14" t="n">
        <v>0</v>
      </c>
      <c r="R94" s="14" t="n">
        <v>1</v>
      </c>
      <c r="S94" s="14" t="n">
        <v>9.601000000000001</v>
      </c>
      <c r="T94" s="14" t="n">
        <v>6.86</v>
      </c>
      <c r="U94" s="14" t="n">
        <v>0</v>
      </c>
      <c r="V94" s="14" t="n">
        <v>9.601000000000001</v>
      </c>
      <c r="W94" s="14" t="n">
        <v>0</v>
      </c>
      <c r="X94" s="14" t="n">
        <v>1</v>
      </c>
      <c r="Y94" s="14" t="n">
        <v>4.665</v>
      </c>
      <c r="Z94" s="14" t="n">
        <v>1.091</v>
      </c>
      <c r="AA94" s="14" t="n">
        <v>0</v>
      </c>
      <c r="AB94" s="14" t="n">
        <v>4.665</v>
      </c>
      <c r="AC94" s="14" t="n">
        <v>0</v>
      </c>
      <c r="AD94" s="14" t="n">
        <v>1</v>
      </c>
      <c r="AE94" s="14" t="n">
        <v>5.809</v>
      </c>
      <c r="AF94" s="14" t="n">
        <v>2.169</v>
      </c>
      <c r="AG94" s="14" t="n">
        <v>0</v>
      </c>
      <c r="AH94" s="14" t="n">
        <v>5.809</v>
      </c>
      <c r="AI94" s="14" t="n">
        <v>0</v>
      </c>
      <c r="AJ94" s="14" t="n">
        <v>1</v>
      </c>
      <c r="AK94" s="14" t="n">
        <v>12.669</v>
      </c>
      <c r="AL94" s="14" t="n">
        <v>8.759</v>
      </c>
      <c r="AM94" s="14" t="n">
        <v>0</v>
      </c>
      <c r="AN94" s="14" t="n">
        <v>12.669</v>
      </c>
      <c r="AO94" s="14" t="n">
        <v>0</v>
      </c>
      <c r="AP94" s="14" t="n">
        <v>1</v>
      </c>
      <c r="AQ94" s="14" t="n">
        <v>0.649</v>
      </c>
      <c r="AR94" s="14" t="n">
        <v>0.114</v>
      </c>
      <c r="AS94" s="14" t="n">
        <v>0</v>
      </c>
      <c r="AT94" s="14" t="n">
        <v>0.649</v>
      </c>
      <c r="AU94" s="14" t="n">
        <v>0</v>
      </c>
      <c r="AV94" s="14" t="n">
        <v>1</v>
      </c>
      <c r="AW94" s="14" t="n">
        <v>0.577</v>
      </c>
      <c r="AX94" s="14" t="n">
        <v>0.114</v>
      </c>
      <c r="AY94" s="14" t="n">
        <v>0</v>
      </c>
      <c r="AZ94" s="14" t="n">
        <v>0.577</v>
      </c>
      <c r="BA94" s="14" t="n">
        <v>0</v>
      </c>
      <c r="BB94" s="14" t="n">
        <v>1</v>
      </c>
      <c r="BC94" s="14" t="n">
        <v>0.458</v>
      </c>
      <c r="BD94" s="14" t="n">
        <v>0.114</v>
      </c>
      <c r="BE94" s="14" t="n">
        <v>0</v>
      </c>
      <c r="BF94" s="14" t="n">
        <v>0.458</v>
      </c>
      <c r="BG94" s="14" t="n">
        <v>0</v>
      </c>
      <c r="BH94" s="14" t="n">
        <v>1</v>
      </c>
      <c r="BI94" s="14" t="n">
        <v>0.491</v>
      </c>
      <c r="BJ94" s="14" t="n">
        <v>0.114</v>
      </c>
      <c r="BK94" s="14" t="n">
        <v>0</v>
      </c>
      <c r="BL94" s="14" t="n">
        <v>0.491</v>
      </c>
      <c r="BM94" s="14" t="n">
        <v>0</v>
      </c>
      <c r="BN94" s="14" t="n">
        <v>1</v>
      </c>
      <c r="BO94" s="14" t="n">
        <v>0</v>
      </c>
      <c r="BP94" s="14" t="n">
        <v>0</v>
      </c>
      <c r="BQ94" s="14" t="n">
        <v>0.218</v>
      </c>
      <c r="BR94" s="14" t="n">
        <v>0</v>
      </c>
      <c r="BS94" s="14" t="n">
        <v>0.833</v>
      </c>
      <c r="BT94" s="14" t="n">
        <v>0</v>
      </c>
      <c r="BU94" s="14" t="n">
        <v>0</v>
      </c>
      <c r="BV94" s="14" t="n">
        <v>0.378</v>
      </c>
      <c r="BW94" s="14" t="n">
        <v>0</v>
      </c>
      <c r="BX94" s="14" t="n">
        <v>1</v>
      </c>
      <c r="BY94" s="14" t="n">
        <v>11.787</v>
      </c>
      <c r="BZ94" s="14" t="n">
        <v>0</v>
      </c>
      <c r="CA94" s="14" t="n">
        <v>11.787</v>
      </c>
      <c r="CB94" s="14" t="n">
        <v>0</v>
      </c>
      <c r="CC94" s="14" t="n">
        <v>78.125</v>
      </c>
      <c r="CD94" s="14" t="n">
        <v>7.95</v>
      </c>
      <c r="CE94" s="14" t="n">
        <v>0</v>
      </c>
      <c r="CF94" s="14" t="n">
        <v>78.125</v>
      </c>
      <c r="CG94" s="14" t="n">
        <v>0</v>
      </c>
      <c r="CH94" s="14" t="n">
        <v>1</v>
      </c>
      <c r="CI94" s="14" t="n">
        <v>0</v>
      </c>
      <c r="CJ94" s="14" t="n">
        <v>0</v>
      </c>
      <c r="CK94" s="14" t="n">
        <v>0</v>
      </c>
      <c r="CL94" s="14" t="n">
        <v>0</v>
      </c>
      <c r="CM94" s="14" t="n">
        <v>0</v>
      </c>
      <c r="CN94" s="14" t="n">
        <v>0</v>
      </c>
      <c r="CO94" s="14" t="n">
        <v>0</v>
      </c>
      <c r="CP94" s="14" t="n">
        <v>0</v>
      </c>
      <c r="CQ94" s="14" t="n">
        <v>1.198</v>
      </c>
      <c r="CR94" s="14" t="n">
        <v>0</v>
      </c>
      <c r="CS94" s="14" t="n">
        <v>3.522</v>
      </c>
      <c r="CT94" s="14" t="n">
        <v>2.742</v>
      </c>
      <c r="CU94" s="14" t="n">
        <v>3.522</v>
      </c>
    </row>
    <row r="95">
      <c r="A95" s="14" t="inlineStr">
        <is>
          <t>BMU2022</t>
        </is>
      </c>
      <c r="B95" s="14" t="inlineStr">
        <is>
          <t>BMU</t>
        </is>
      </c>
      <c r="C95" s="14" t="inlineStr">
        <is>
          <t>BMU</t>
        </is>
      </c>
      <c r="D95" s="14" t="inlineStr">
        <is>
          <t>Bermuda</t>
        </is>
      </c>
      <c r="E95" s="14" t="n">
        <v>2022</v>
      </c>
      <c r="F95" s="14" t="n">
        <v>0</v>
      </c>
      <c r="G95" s="14" t="n">
        <v>7.537</v>
      </c>
      <c r="H95" s="14" t="n">
        <v>1.235</v>
      </c>
      <c r="I95" s="14" t="n">
        <v>0</v>
      </c>
      <c r="J95" s="14" t="n">
        <v>7.537</v>
      </c>
      <c r="K95" s="14" t="n">
        <v>0</v>
      </c>
      <c r="L95" s="14" t="n">
        <v>1</v>
      </c>
      <c r="M95" s="14" t="n">
        <v>9.782999999999999</v>
      </c>
      <c r="N95" s="14" t="n">
        <v>3.704</v>
      </c>
      <c r="O95" s="14" t="n">
        <v>0</v>
      </c>
      <c r="P95" s="14" t="n">
        <v>9.782999999999999</v>
      </c>
      <c r="Q95" s="14" t="n">
        <v>0</v>
      </c>
      <c r="R95" s="14" t="n">
        <v>1</v>
      </c>
      <c r="S95" s="14" t="n">
        <v>13.711</v>
      </c>
      <c r="T95" s="14" t="n">
        <v>7.408</v>
      </c>
      <c r="U95" s="14" t="n">
        <v>0</v>
      </c>
      <c r="V95" s="14" t="n">
        <v>13.711</v>
      </c>
      <c r="W95" s="14" t="n">
        <v>0</v>
      </c>
      <c r="X95" s="14" t="n">
        <v>1</v>
      </c>
      <c r="Y95" s="14" t="n">
        <v>6.392</v>
      </c>
      <c r="Z95" s="14" t="n">
        <v>1.495</v>
      </c>
      <c r="AA95" s="14" t="n">
        <v>0</v>
      </c>
      <c r="AB95" s="14" t="n">
        <v>6.392</v>
      </c>
      <c r="AC95" s="14" t="n">
        <v>0</v>
      </c>
      <c r="AD95" s="14" t="n">
        <v>1</v>
      </c>
      <c r="AE95" s="14" t="n">
        <v>7.627</v>
      </c>
      <c r="AF95" s="14" t="n">
        <v>2.848</v>
      </c>
      <c r="AG95" s="14" t="n">
        <v>0</v>
      </c>
      <c r="AH95" s="14" t="n">
        <v>7.627</v>
      </c>
      <c r="AI95" s="14" t="n">
        <v>0</v>
      </c>
      <c r="AJ95" s="14" t="n">
        <v>1</v>
      </c>
      <c r="AK95" s="14" t="n">
        <v>15.035</v>
      </c>
      <c r="AL95" s="14" t="n">
        <v>10.395</v>
      </c>
      <c r="AM95" s="14" t="n">
        <v>0</v>
      </c>
      <c r="AN95" s="14" t="n">
        <v>15.035</v>
      </c>
      <c r="AO95" s="14" t="n">
        <v>0</v>
      </c>
      <c r="AP95" s="14" t="n">
        <v>1</v>
      </c>
      <c r="AQ95" s="14" t="n">
        <v>0.896</v>
      </c>
      <c r="AR95" s="14" t="n">
        <v>0.123</v>
      </c>
      <c r="AS95" s="14" t="n">
        <v>0</v>
      </c>
      <c r="AT95" s="14" t="n">
        <v>0.896</v>
      </c>
      <c r="AU95" s="14" t="n">
        <v>0</v>
      </c>
      <c r="AV95" s="14" t="n">
        <v>1</v>
      </c>
      <c r="AW95" s="14" t="n">
        <v>0.89</v>
      </c>
      <c r="AX95" s="14" t="n">
        <v>0.123</v>
      </c>
      <c r="AY95" s="14" t="n">
        <v>0</v>
      </c>
      <c r="AZ95" s="14" t="n">
        <v>0.89</v>
      </c>
      <c r="BA95" s="14" t="n">
        <v>0</v>
      </c>
      <c r="BB95" s="14" t="n">
        <v>1</v>
      </c>
      <c r="BC95" s="14" t="n">
        <v>0.62</v>
      </c>
      <c r="BD95" s="14" t="n">
        <v>0.123</v>
      </c>
      <c r="BE95" s="14" t="n">
        <v>0</v>
      </c>
      <c r="BF95" s="14" t="n">
        <v>0.62</v>
      </c>
      <c r="BG95" s="14" t="n">
        <v>0</v>
      </c>
      <c r="BH95" s="14" t="n">
        <v>1</v>
      </c>
      <c r="BI95" s="14" t="n">
        <v>0.608</v>
      </c>
      <c r="BJ95" s="14" t="n">
        <v>0.123</v>
      </c>
      <c r="BK95" s="14" t="n">
        <v>0</v>
      </c>
      <c r="BL95" s="14" t="n">
        <v>0.608</v>
      </c>
      <c r="BM95" s="14" t="n">
        <v>0</v>
      </c>
      <c r="BN95" s="14" t="n">
        <v>1</v>
      </c>
      <c r="BO95" s="14" t="n">
        <v>0</v>
      </c>
      <c r="BP95" s="14" t="n">
        <v>0</v>
      </c>
      <c r="BQ95" s="14" t="n">
        <v>0.264</v>
      </c>
      <c r="BR95" s="14" t="n">
        <v>0</v>
      </c>
      <c r="BS95" s="14" t="n">
        <v>0.833</v>
      </c>
      <c r="BT95" s="14" t="n">
        <v>0</v>
      </c>
      <c r="BU95" s="14" t="n">
        <v>0</v>
      </c>
      <c r="BV95" s="14" t="n">
        <v>0.419</v>
      </c>
      <c r="BW95" s="14" t="n">
        <v>0</v>
      </c>
      <c r="BX95" s="14" t="n">
        <v>1</v>
      </c>
      <c r="BY95" s="14" t="n">
        <v>12.729</v>
      </c>
      <c r="BZ95" s="14" t="n">
        <v>0</v>
      </c>
      <c r="CA95" s="14" t="n">
        <v>12.729</v>
      </c>
      <c r="CB95" s="14" t="n">
        <v>0</v>
      </c>
      <c r="CC95" s="14" t="n">
        <v>97.90000000000001</v>
      </c>
      <c r="CD95" s="14" t="n">
        <v>7.95</v>
      </c>
      <c r="CE95" s="14" t="n">
        <v>0</v>
      </c>
      <c r="CF95" s="14" t="n">
        <v>97.90000000000001</v>
      </c>
      <c r="CG95" s="14" t="n">
        <v>0</v>
      </c>
      <c r="CH95" s="14" t="n">
        <v>1</v>
      </c>
      <c r="CI95" s="14" t="n">
        <v>0</v>
      </c>
      <c r="CJ95" s="14" t="n">
        <v>0</v>
      </c>
      <c r="CK95" s="14" t="n">
        <v>0</v>
      </c>
      <c r="CL95" s="14" t="n">
        <v>0</v>
      </c>
      <c r="CM95" s="14" t="n">
        <v>0</v>
      </c>
      <c r="CN95" s="14" t="n">
        <v>0</v>
      </c>
      <c r="CO95" s="14" t="n">
        <v>0</v>
      </c>
      <c r="CP95" s="14" t="n">
        <v>0</v>
      </c>
      <c r="CQ95" s="14" t="n">
        <v>1.294</v>
      </c>
      <c r="CR95" s="14" t="n">
        <v>0</v>
      </c>
      <c r="CS95" s="14" t="n">
        <v>5.158</v>
      </c>
      <c r="CT95" s="14" t="n">
        <v>6.303</v>
      </c>
      <c r="CU95" s="14" t="n">
        <v>6.176</v>
      </c>
    </row>
    <row r="96">
      <c r="A96" s="14" t="inlineStr">
        <is>
          <t>BMU2023</t>
        </is>
      </c>
      <c r="B96" s="14" t="inlineStr">
        <is>
          <t>BMU</t>
        </is>
      </c>
      <c r="C96" s="14" t="inlineStr">
        <is>
          <t>BMU</t>
        </is>
      </c>
      <c r="D96" s="14" t="inlineStr">
        <is>
          <t>Bermuda</t>
        </is>
      </c>
      <c r="E96" s="14" t="n">
        <v>2023</v>
      </c>
      <c r="F96" s="14" t="n">
        <v>0</v>
      </c>
      <c r="G96" s="14" t="n">
        <v>4.229</v>
      </c>
      <c r="H96" s="14" t="n">
        <v>1.286</v>
      </c>
      <c r="I96" s="14" t="n">
        <v>0</v>
      </c>
      <c r="J96" s="14" t="n">
        <v>4.229</v>
      </c>
      <c r="K96" s="14" t="n">
        <v>0</v>
      </c>
      <c r="L96" s="14" t="n">
        <v>1</v>
      </c>
      <c r="M96" s="14" t="n">
        <v>7.886</v>
      </c>
      <c r="N96" s="14" t="n">
        <v>3.857</v>
      </c>
      <c r="O96" s="14" t="n">
        <v>0</v>
      </c>
      <c r="P96" s="14" t="n">
        <v>7.886</v>
      </c>
      <c r="Q96" s="14" t="n">
        <v>0</v>
      </c>
      <c r="R96" s="14" t="n">
        <v>1</v>
      </c>
      <c r="S96" s="14" t="n">
        <v>10.657</v>
      </c>
      <c r="T96" s="14" t="n">
        <v>7.714</v>
      </c>
      <c r="U96" s="14" t="n">
        <v>0</v>
      </c>
      <c r="V96" s="14" t="n">
        <v>10.657</v>
      </c>
      <c r="W96" s="14" t="n">
        <v>0</v>
      </c>
      <c r="X96" s="14" t="n">
        <v>1</v>
      </c>
      <c r="Y96" s="14" t="n">
        <v>3.817</v>
      </c>
      <c r="Z96" s="14" t="n">
        <v>0.893</v>
      </c>
      <c r="AA96" s="14" t="n">
        <v>0</v>
      </c>
      <c r="AB96" s="14" t="n">
        <v>3.817</v>
      </c>
      <c r="AC96" s="14" t="n">
        <v>0</v>
      </c>
      <c r="AD96" s="14" t="n">
        <v>1</v>
      </c>
      <c r="AE96" s="14" t="n">
        <v>5.103</v>
      </c>
      <c r="AF96" s="14" t="n">
        <v>1.906</v>
      </c>
      <c r="AG96" s="14" t="n">
        <v>0</v>
      </c>
      <c r="AH96" s="14" t="n">
        <v>5.103</v>
      </c>
      <c r="AI96" s="14" t="n">
        <v>0</v>
      </c>
      <c r="AJ96" s="14" t="n">
        <v>1</v>
      </c>
      <c r="AK96" s="14" t="n">
        <v>12.817</v>
      </c>
      <c r="AL96" s="14" t="n">
        <v>8.862</v>
      </c>
      <c r="AM96" s="14" t="n">
        <v>0</v>
      </c>
      <c r="AN96" s="14" t="n">
        <v>12.817</v>
      </c>
      <c r="AO96" s="14" t="n">
        <v>0</v>
      </c>
      <c r="AP96" s="14" t="n">
        <v>1</v>
      </c>
      <c r="AQ96" s="14" t="n">
        <v>0.791</v>
      </c>
      <c r="AR96" s="14" t="n">
        <v>0.129</v>
      </c>
      <c r="AS96" s="14" t="n">
        <v>0</v>
      </c>
      <c r="AT96" s="14" t="n">
        <v>0.791</v>
      </c>
      <c r="AU96" s="14" t="n">
        <v>0</v>
      </c>
      <c r="AV96" s="14" t="n">
        <v>1</v>
      </c>
      <c r="AW96" s="14" t="n">
        <v>0.618</v>
      </c>
      <c r="AX96" s="14" t="n">
        <v>0.129</v>
      </c>
      <c r="AY96" s="14" t="n">
        <v>0</v>
      </c>
      <c r="AZ96" s="14" t="n">
        <v>0.618</v>
      </c>
      <c r="BA96" s="14" t="n">
        <v>0</v>
      </c>
      <c r="BB96" s="14" t="n">
        <v>1</v>
      </c>
      <c r="BC96" s="14" t="n">
        <v>0.554</v>
      </c>
      <c r="BD96" s="14" t="n">
        <v>0.129</v>
      </c>
      <c r="BE96" s="14" t="n">
        <v>0</v>
      </c>
      <c r="BF96" s="14" t="n">
        <v>0.554</v>
      </c>
      <c r="BG96" s="14" t="n">
        <v>0</v>
      </c>
      <c r="BH96" s="14" t="n">
        <v>1</v>
      </c>
      <c r="BI96" s="14" t="n">
        <v>0.5570000000000001</v>
      </c>
      <c r="BJ96" s="14" t="n">
        <v>0.129</v>
      </c>
      <c r="BK96" s="14" t="n">
        <v>0</v>
      </c>
      <c r="BL96" s="14" t="n">
        <v>0.5570000000000001</v>
      </c>
      <c r="BM96" s="14" t="n">
        <v>0</v>
      </c>
      <c r="BN96" s="14" t="n">
        <v>1</v>
      </c>
      <c r="BO96" s="14" t="n">
        <v>0</v>
      </c>
      <c r="BP96" s="14" t="n">
        <v>0</v>
      </c>
      <c r="BQ96" s="14" t="n">
        <v>0.265</v>
      </c>
      <c r="BR96" s="14" t="n">
        <v>0</v>
      </c>
      <c r="BS96" s="14" t="n">
        <v>0.833</v>
      </c>
      <c r="BT96" s="14" t="n">
        <v>0</v>
      </c>
      <c r="BU96" s="14" t="n">
        <v>0</v>
      </c>
      <c r="BV96" s="14" t="n">
        <v>0.44</v>
      </c>
      <c r="BW96" s="14" t="n">
        <v>0</v>
      </c>
      <c r="BX96" s="14" t="n">
        <v>1</v>
      </c>
      <c r="BY96" s="14" t="n">
        <v>13.254</v>
      </c>
      <c r="BZ96" s="14" t="n">
        <v>0</v>
      </c>
      <c r="CA96" s="14" t="n">
        <v>13.254</v>
      </c>
      <c r="CB96" s="14" t="n">
        <v>0</v>
      </c>
      <c r="CC96" s="14" t="n">
        <v>83.248</v>
      </c>
      <c r="CD96" s="14" t="n">
        <v>7.95</v>
      </c>
      <c r="CE96" s="14" t="n">
        <v>0</v>
      </c>
      <c r="CF96" s="14" t="n">
        <v>83.248</v>
      </c>
      <c r="CG96" s="14" t="n">
        <v>0</v>
      </c>
      <c r="CH96" s="14" t="n">
        <v>1</v>
      </c>
      <c r="CI96" s="14" t="n">
        <v>0</v>
      </c>
      <c r="CJ96" s="14" t="n">
        <v>0</v>
      </c>
      <c r="CK96" s="14" t="n">
        <v>0</v>
      </c>
      <c r="CL96" s="14" t="n">
        <v>0</v>
      </c>
      <c r="CM96" s="14" t="n">
        <v>0</v>
      </c>
      <c r="CN96" s="14" t="n">
        <v>0</v>
      </c>
      <c r="CO96" s="14" t="n">
        <v>0</v>
      </c>
      <c r="CP96" s="14" t="n">
        <v>0</v>
      </c>
      <c r="CQ96" s="14" t="n">
        <v>1.348</v>
      </c>
      <c r="CR96" s="14" t="n">
        <v>0</v>
      </c>
      <c r="CS96" s="14" t="n">
        <v>2.532</v>
      </c>
      <c r="CT96" s="14" t="n">
        <v>2.943</v>
      </c>
      <c r="CU96" s="14" t="n">
        <v>2.532</v>
      </c>
    </row>
    <row r="97">
      <c r="A97" s="14" t="inlineStr">
        <is>
          <t>BMU2024</t>
        </is>
      </c>
      <c r="B97" s="14" t="inlineStr">
        <is>
          <t>BMU</t>
        </is>
      </c>
      <c r="C97" s="14" t="inlineStr">
        <is>
          <t>BMU</t>
        </is>
      </c>
      <c r="D97" s="14" t="inlineStr">
        <is>
          <t>Bermuda</t>
        </is>
      </c>
      <c r="E97" s="14" t="n">
        <v>2024</v>
      </c>
      <c r="F97" s="14" t="n">
        <v>0</v>
      </c>
      <c r="G97" s="14" t="n">
        <v>3.627</v>
      </c>
      <c r="H97" s="14" t="n">
        <v>1.324</v>
      </c>
      <c r="I97" s="14" t="n">
        <v>0</v>
      </c>
      <c r="J97" s="14" t="n">
        <v>3.627</v>
      </c>
      <c r="K97" s="14" t="n">
        <v>0</v>
      </c>
      <c r="L97" s="14" t="n">
        <v>1</v>
      </c>
      <c r="M97" s="14" t="n">
        <v>7.124</v>
      </c>
      <c r="N97" s="14" t="n">
        <v>3.971</v>
      </c>
      <c r="O97" s="14" t="n">
        <v>0</v>
      </c>
      <c r="P97" s="14" t="n">
        <v>7.124</v>
      </c>
      <c r="Q97" s="14" t="n">
        <v>0</v>
      </c>
      <c r="R97" s="14" t="n">
        <v>1</v>
      </c>
      <c r="S97" s="14" t="n">
        <v>10.245</v>
      </c>
      <c r="T97" s="14" t="n">
        <v>7.942</v>
      </c>
      <c r="U97" s="14" t="n">
        <v>0</v>
      </c>
      <c r="V97" s="14" t="n">
        <v>10.245</v>
      </c>
      <c r="W97" s="14" t="n">
        <v>0</v>
      </c>
      <c r="X97" s="14" t="n">
        <v>1</v>
      </c>
      <c r="Y97" s="14" t="n">
        <v>3.615</v>
      </c>
      <c r="Z97" s="14" t="n">
        <v>0.845</v>
      </c>
      <c r="AA97" s="14" t="n">
        <v>0</v>
      </c>
      <c r="AB97" s="14" t="n">
        <v>3.615</v>
      </c>
      <c r="AC97" s="14" t="n">
        <v>0</v>
      </c>
      <c r="AD97" s="14" t="n">
        <v>1</v>
      </c>
      <c r="AE97" s="14" t="n">
        <v>4.939</v>
      </c>
      <c r="AF97" s="14" t="n">
        <v>1.845</v>
      </c>
      <c r="AG97" s="14" t="n">
        <v>0</v>
      </c>
      <c r="AH97" s="14" t="n">
        <v>4.939</v>
      </c>
      <c r="AI97" s="14" t="n">
        <v>0</v>
      </c>
      <c r="AJ97" s="14" t="n">
        <v>1</v>
      </c>
      <c r="AK97" s="14" t="n">
        <v>12.881</v>
      </c>
      <c r="AL97" s="14" t="n">
        <v>8.906000000000001</v>
      </c>
      <c r="AM97" s="14" t="n">
        <v>0</v>
      </c>
      <c r="AN97" s="14" t="n">
        <v>12.881</v>
      </c>
      <c r="AO97" s="14" t="n">
        <v>0</v>
      </c>
      <c r="AP97" s="14" t="n">
        <v>1</v>
      </c>
      <c r="AQ97" s="14" t="n">
        <v>0.756</v>
      </c>
      <c r="AR97" s="14" t="n">
        <v>0.132</v>
      </c>
      <c r="AS97" s="14" t="n">
        <v>0</v>
      </c>
      <c r="AT97" s="14" t="n">
        <v>0.756</v>
      </c>
      <c r="AU97" s="14" t="n">
        <v>0</v>
      </c>
      <c r="AV97" s="14" t="n">
        <v>1</v>
      </c>
      <c r="AW97" s="14" t="n">
        <v>0.655</v>
      </c>
      <c r="AX97" s="14" t="n">
        <v>0.132</v>
      </c>
      <c r="AY97" s="14" t="n">
        <v>0</v>
      </c>
      <c r="AZ97" s="14" t="n">
        <v>0.655</v>
      </c>
      <c r="BA97" s="14" t="n">
        <v>0</v>
      </c>
      <c r="BB97" s="14" t="n">
        <v>1</v>
      </c>
      <c r="BC97" s="14" t="n">
        <v>0.534</v>
      </c>
      <c r="BD97" s="14" t="n">
        <v>0.132</v>
      </c>
      <c r="BE97" s="14" t="n">
        <v>0</v>
      </c>
      <c r="BF97" s="14" t="n">
        <v>0.534</v>
      </c>
      <c r="BG97" s="14" t="n">
        <v>0</v>
      </c>
      <c r="BH97" s="14" t="n">
        <v>1</v>
      </c>
      <c r="BI97" s="14" t="n">
        <v>0.5679999999999999</v>
      </c>
      <c r="BJ97" s="14" t="n">
        <v>0.132</v>
      </c>
      <c r="BK97" s="14" t="n">
        <v>0</v>
      </c>
      <c r="BL97" s="14" t="n">
        <v>0.5679999999999999</v>
      </c>
      <c r="BM97" s="14" t="n">
        <v>0</v>
      </c>
      <c r="BN97" s="14" t="n">
        <v>1</v>
      </c>
      <c r="BO97" s="14" t="n">
        <v>0</v>
      </c>
      <c r="BP97" s="14" t="n">
        <v>0</v>
      </c>
      <c r="BQ97" s="14" t="n">
        <v>0.279</v>
      </c>
      <c r="BR97" s="14" t="n">
        <v>0</v>
      </c>
      <c r="BS97" s="14" t="n">
        <v>0.833</v>
      </c>
      <c r="BT97" s="14" t="n">
        <v>0</v>
      </c>
      <c r="BU97" s="14" t="n">
        <v>0</v>
      </c>
      <c r="BV97" s="14" t="n">
        <v>0.47</v>
      </c>
      <c r="BW97" s="14" t="n">
        <v>0</v>
      </c>
      <c r="BX97" s="14" t="n">
        <v>1</v>
      </c>
      <c r="BY97" s="14" t="n">
        <v>13.646</v>
      </c>
      <c r="BZ97" s="14" t="n">
        <v>0</v>
      </c>
      <c r="CA97" s="14" t="n">
        <v>13.646</v>
      </c>
      <c r="CB97" s="14" t="n">
        <v>0</v>
      </c>
      <c r="CC97" s="14" t="n">
        <v>82.58799999999999</v>
      </c>
      <c r="CD97" s="14" t="n">
        <v>7.95</v>
      </c>
      <c r="CE97" s="14" t="n">
        <v>0</v>
      </c>
      <c r="CF97" s="14" t="n">
        <v>82.58799999999999</v>
      </c>
      <c r="CG97" s="14" t="n">
        <v>0</v>
      </c>
      <c r="CH97" s="14" t="n">
        <v>1</v>
      </c>
      <c r="CI97" s="14" t="n">
        <v>0</v>
      </c>
      <c r="CJ97" s="14" t="n">
        <v>0</v>
      </c>
      <c r="CK97" s="14" t="n">
        <v>0</v>
      </c>
      <c r="CL97" s="14" t="n">
        <v>0</v>
      </c>
      <c r="CM97" s="14" t="n">
        <v>0</v>
      </c>
      <c r="CN97" s="14" t="n">
        <v>0</v>
      </c>
      <c r="CO97" s="14" t="n">
        <v>0</v>
      </c>
      <c r="CP97" s="14" t="n">
        <v>0</v>
      </c>
      <c r="CQ97" s="14" t="n">
        <v>1.387</v>
      </c>
      <c r="CR97" s="14" t="n">
        <v>0</v>
      </c>
      <c r="CS97" s="14" t="n">
        <v>2.292</v>
      </c>
      <c r="CT97" s="14" t="n">
        <v>2.303</v>
      </c>
      <c r="CU97" s="14" t="n">
        <v>2.292</v>
      </c>
    </row>
    <row r="98">
      <c r="A98" s="14" t="inlineStr">
        <is>
          <t>BTN2021</t>
        </is>
      </c>
      <c r="B98" s="14" t="inlineStr">
        <is>
          <t>BTN</t>
        </is>
      </c>
      <c r="C98" s="14" t="inlineStr">
        <is>
          <t>BTN</t>
        </is>
      </c>
      <c r="D98" s="14" t="inlineStr">
        <is>
          <t>Bhutan</t>
        </is>
      </c>
      <c r="E98" s="14" t="n">
        <v>2021</v>
      </c>
      <c r="F98" s="14" t="n">
        <v>0.1</v>
      </c>
      <c r="G98" s="14" t="n">
        <v>4.747</v>
      </c>
      <c r="H98" s="14" t="n">
        <v>1.143</v>
      </c>
      <c r="I98" s="14" t="n">
        <v>0</v>
      </c>
      <c r="J98" s="14" t="n">
        <v>4.747</v>
      </c>
      <c r="K98" s="14" t="n">
        <v>0</v>
      </c>
      <c r="L98" s="14" t="n">
        <v>1</v>
      </c>
      <c r="M98" s="14" t="n">
        <v>7.964</v>
      </c>
      <c r="N98" s="14" t="n">
        <v>3.43</v>
      </c>
      <c r="O98" s="14" t="n">
        <v>0</v>
      </c>
      <c r="P98" s="14" t="n">
        <v>7.964</v>
      </c>
      <c r="Q98" s="14" t="n">
        <v>0</v>
      </c>
      <c r="R98" s="14" t="n">
        <v>1</v>
      </c>
      <c r="S98" s="14" t="n">
        <v>10.464</v>
      </c>
      <c r="T98" s="14" t="n">
        <v>6.86</v>
      </c>
      <c r="U98" s="14" t="n">
        <v>0</v>
      </c>
      <c r="V98" s="14" t="n">
        <v>11.51</v>
      </c>
      <c r="W98" s="14" t="n">
        <v>0.1</v>
      </c>
      <c r="X98" s="14" t="n">
        <v>1</v>
      </c>
      <c r="Y98" s="14" t="n">
        <v>17.987</v>
      </c>
      <c r="Z98" s="14" t="n">
        <v>2.1</v>
      </c>
      <c r="AA98" s="14" t="n">
        <v>0</v>
      </c>
      <c r="AB98" s="14" t="n">
        <v>17.987</v>
      </c>
      <c r="AC98" s="14" t="n">
        <v>0</v>
      </c>
      <c r="AD98" s="14" t="n">
        <v>1</v>
      </c>
      <c r="AE98" s="14" t="n">
        <v>19.13</v>
      </c>
      <c r="AF98" s="14" t="n">
        <v>3.956</v>
      </c>
      <c r="AG98" s="14" t="n">
        <v>0</v>
      </c>
      <c r="AH98" s="14" t="n">
        <v>19.13</v>
      </c>
      <c r="AI98" s="14" t="n">
        <v>0</v>
      </c>
      <c r="AJ98" s="14" t="n">
        <v>1</v>
      </c>
      <c r="AK98" s="14" t="n">
        <v>25.99</v>
      </c>
      <c r="AL98" s="14" t="n">
        <v>12.953</v>
      </c>
      <c r="AM98" s="14" t="n">
        <v>0</v>
      </c>
      <c r="AN98" s="14" t="n">
        <v>28.589</v>
      </c>
      <c r="AO98" s="14" t="n">
        <v>0.1</v>
      </c>
      <c r="AP98" s="14" t="n">
        <v>1</v>
      </c>
      <c r="AQ98" s="14" t="n">
        <v>0.621</v>
      </c>
      <c r="AR98" s="14" t="n">
        <v>0.114</v>
      </c>
      <c r="AS98" s="14" t="n">
        <v>0.533</v>
      </c>
      <c r="AT98" s="14" t="n">
        <v>1.269</v>
      </c>
      <c r="AU98" s="14" t="n">
        <v>0.1</v>
      </c>
      <c r="AV98" s="14" t="n">
        <v>1</v>
      </c>
      <c r="AW98" s="14" t="n">
        <v>0.593</v>
      </c>
      <c r="AX98" s="14" t="n">
        <v>0.114</v>
      </c>
      <c r="AY98" s="14" t="n">
        <v>0.335</v>
      </c>
      <c r="AZ98" s="14" t="n">
        <v>1.021</v>
      </c>
      <c r="BA98" s="14" t="n">
        <v>0.1</v>
      </c>
      <c r="BB98" s="14" t="n">
        <v>1</v>
      </c>
      <c r="BC98" s="14" t="n">
        <v>0.44</v>
      </c>
      <c r="BD98" s="14" t="n">
        <v>0.114</v>
      </c>
      <c r="BE98" s="14" t="n">
        <v>0</v>
      </c>
      <c r="BF98" s="14" t="n">
        <v>0.484</v>
      </c>
      <c r="BG98" s="14" t="n">
        <v>0.1</v>
      </c>
      <c r="BH98" s="14" t="n">
        <v>1</v>
      </c>
      <c r="BI98" s="14" t="n">
        <v>0.5600000000000001</v>
      </c>
      <c r="BJ98" s="14" t="n">
        <v>0.114</v>
      </c>
      <c r="BK98" s="14" t="n">
        <v>0</v>
      </c>
      <c r="BL98" s="14" t="n">
        <v>0.616</v>
      </c>
      <c r="BM98" s="14" t="n">
        <v>0.1</v>
      </c>
      <c r="BN98" s="14" t="n">
        <v>1</v>
      </c>
      <c r="BO98" s="14" t="n">
        <v>0</v>
      </c>
      <c r="BP98" s="14" t="n">
        <v>0</v>
      </c>
      <c r="BQ98" s="14" t="n">
        <v>0.035</v>
      </c>
      <c r="BR98" s="14" t="n">
        <v>0</v>
      </c>
      <c r="BS98" s="14" t="n">
        <v>1</v>
      </c>
      <c r="BT98" s="14" t="n">
        <v>0</v>
      </c>
      <c r="BU98" s="14" t="n">
        <v>0</v>
      </c>
      <c r="BV98" s="14" t="n">
        <v>0.017</v>
      </c>
      <c r="BW98" s="14" t="n">
        <v>0.1</v>
      </c>
      <c r="BX98" s="14" t="n">
        <v>0.833</v>
      </c>
      <c r="BY98" s="14" t="n">
        <v>11.787</v>
      </c>
      <c r="BZ98" s="14" t="n">
        <v>0</v>
      </c>
      <c r="CA98" s="14" t="n">
        <v>11.787</v>
      </c>
      <c r="CB98" s="14" t="n">
        <v>0</v>
      </c>
      <c r="CC98" s="14" t="n">
        <v>81.69499999999999</v>
      </c>
      <c r="CD98" s="14" t="n">
        <v>7.95</v>
      </c>
      <c r="CE98" s="14" t="n">
        <v>0</v>
      </c>
      <c r="CF98" s="14" t="n">
        <v>89.86499999999999</v>
      </c>
      <c r="CG98" s="14" t="n">
        <v>0.1</v>
      </c>
      <c r="CH98" s="14" t="n">
        <v>1</v>
      </c>
      <c r="CI98" s="14" t="n">
        <v>0</v>
      </c>
      <c r="CJ98" s="14" t="n">
        <v>0</v>
      </c>
      <c r="CK98" s="14" t="n">
        <v>0</v>
      </c>
      <c r="CL98" s="14" t="n">
        <v>0</v>
      </c>
      <c r="CM98" s="14" t="n">
        <v>0</v>
      </c>
      <c r="CN98" s="14" t="n">
        <v>0</v>
      </c>
      <c r="CO98" s="14" t="n">
        <v>0</v>
      </c>
      <c r="CP98" s="14" t="n">
        <v>0</v>
      </c>
      <c r="CQ98" s="14" t="n">
        <v>1.198</v>
      </c>
      <c r="CR98" s="14" t="n">
        <v>0</v>
      </c>
      <c r="CS98" s="14" t="n">
        <v>4.776</v>
      </c>
      <c r="CT98" s="14" t="n">
        <v>3.604</v>
      </c>
      <c r="CU98" s="14" t="n">
        <v>16.843</v>
      </c>
    </row>
    <row r="99">
      <c r="A99" s="14" t="inlineStr">
        <is>
          <t>BTN2022</t>
        </is>
      </c>
      <c r="B99" s="14" t="inlineStr">
        <is>
          <t>BTN</t>
        </is>
      </c>
      <c r="C99" s="14" t="inlineStr">
        <is>
          <t>BTN</t>
        </is>
      </c>
      <c r="D99" s="14" t="inlineStr">
        <is>
          <t>Bhutan</t>
        </is>
      </c>
      <c r="E99" s="14" t="n">
        <v>2022</v>
      </c>
      <c r="F99" s="14" t="n">
        <v>0.1</v>
      </c>
      <c r="G99" s="14" t="n">
        <v>8.788</v>
      </c>
      <c r="H99" s="14" t="n">
        <v>1.235</v>
      </c>
      <c r="I99" s="14" t="n">
        <v>0</v>
      </c>
      <c r="J99" s="14" t="n">
        <v>8.788</v>
      </c>
      <c r="K99" s="14" t="n">
        <v>0</v>
      </c>
      <c r="L99" s="14" t="n">
        <v>1</v>
      </c>
      <c r="M99" s="14" t="n">
        <v>9.782999999999999</v>
      </c>
      <c r="N99" s="14" t="n">
        <v>3.704</v>
      </c>
      <c r="O99" s="14" t="n">
        <v>0</v>
      </c>
      <c r="P99" s="14" t="n">
        <v>9.782999999999999</v>
      </c>
      <c r="Q99" s="14" t="n">
        <v>0</v>
      </c>
      <c r="R99" s="14" t="n">
        <v>1</v>
      </c>
      <c r="S99" s="14" t="n">
        <v>14.962</v>
      </c>
      <c r="T99" s="14" t="n">
        <v>7.408</v>
      </c>
      <c r="U99" s="14" t="n">
        <v>0.111</v>
      </c>
      <c r="V99" s="14" t="n">
        <v>16.458</v>
      </c>
      <c r="W99" s="14" t="n">
        <v>0.1</v>
      </c>
      <c r="X99" s="14" t="n">
        <v>1</v>
      </c>
      <c r="Y99" s="14" t="n">
        <v>31.383</v>
      </c>
      <c r="Z99" s="14" t="n">
        <v>3.665</v>
      </c>
      <c r="AA99" s="14" t="n">
        <v>0</v>
      </c>
      <c r="AB99" s="14" t="n">
        <v>31.383</v>
      </c>
      <c r="AC99" s="14" t="n">
        <v>0</v>
      </c>
      <c r="AD99" s="14" t="n">
        <v>1</v>
      </c>
      <c r="AE99" s="14" t="n">
        <v>32.618</v>
      </c>
      <c r="AF99" s="14" t="n">
        <v>6.745</v>
      </c>
      <c r="AG99" s="14" t="n">
        <v>0</v>
      </c>
      <c r="AH99" s="14" t="n">
        <v>32.618</v>
      </c>
      <c r="AI99" s="14" t="n">
        <v>0</v>
      </c>
      <c r="AJ99" s="14" t="n">
        <v>1</v>
      </c>
      <c r="AK99" s="14" t="n">
        <v>40.026</v>
      </c>
      <c r="AL99" s="14" t="n">
        <v>19.948</v>
      </c>
      <c r="AM99" s="14" t="n">
        <v>0.296</v>
      </c>
      <c r="AN99" s="14" t="n">
        <v>44.029</v>
      </c>
      <c r="AO99" s="14" t="n">
        <v>0.1</v>
      </c>
      <c r="AP99" s="14" t="n">
        <v>1</v>
      </c>
      <c r="AQ99" s="14" t="n">
        <v>0.847</v>
      </c>
      <c r="AR99" s="14" t="n">
        <v>0.123</v>
      </c>
      <c r="AS99" s="14" t="n">
        <v>0.57</v>
      </c>
      <c r="AT99" s="14" t="n">
        <v>1.547</v>
      </c>
      <c r="AU99" s="14" t="n">
        <v>0.1</v>
      </c>
      <c r="AV99" s="14" t="n">
        <v>1</v>
      </c>
      <c r="AW99" s="14" t="n">
        <v>0.947</v>
      </c>
      <c r="AX99" s="14" t="n">
        <v>0.123</v>
      </c>
      <c r="AY99" s="14" t="n">
        <v>0.343</v>
      </c>
      <c r="AZ99" s="14" t="n">
        <v>1.409</v>
      </c>
      <c r="BA99" s="14" t="n">
        <v>0.1</v>
      </c>
      <c r="BB99" s="14" t="n">
        <v>1</v>
      </c>
      <c r="BC99" s="14" t="n">
        <v>0.589</v>
      </c>
      <c r="BD99" s="14" t="n">
        <v>0.123</v>
      </c>
      <c r="BE99" s="14" t="n">
        <v>0.004</v>
      </c>
      <c r="BF99" s="14" t="n">
        <v>0.647</v>
      </c>
      <c r="BG99" s="14" t="n">
        <v>0.1</v>
      </c>
      <c r="BH99" s="14" t="n">
        <v>1</v>
      </c>
      <c r="BI99" s="14" t="n">
        <v>0.6889999999999999</v>
      </c>
      <c r="BJ99" s="14" t="n">
        <v>0.123</v>
      </c>
      <c r="BK99" s="14" t="n">
        <v>0.005</v>
      </c>
      <c r="BL99" s="14" t="n">
        <v>0.758</v>
      </c>
      <c r="BM99" s="14" t="n">
        <v>0.1</v>
      </c>
      <c r="BN99" s="14" t="n">
        <v>1</v>
      </c>
      <c r="BO99" s="14" t="n">
        <v>0</v>
      </c>
      <c r="BP99" s="14" t="n">
        <v>0</v>
      </c>
      <c r="BQ99" s="14" t="n">
        <v>0.031</v>
      </c>
      <c r="BR99" s="14" t="n">
        <v>0</v>
      </c>
      <c r="BS99" s="14" t="n">
        <v>1</v>
      </c>
      <c r="BT99" s="14" t="n">
        <v>0</v>
      </c>
      <c r="BU99" s="14" t="n">
        <v>0</v>
      </c>
      <c r="BV99" s="14" t="n">
        <v>0.016</v>
      </c>
      <c r="BW99" s="14" t="n">
        <v>0.1</v>
      </c>
      <c r="BX99" s="14" t="n">
        <v>0.833</v>
      </c>
      <c r="BY99" s="14" t="n">
        <v>12.729</v>
      </c>
      <c r="BZ99" s="14" t="n">
        <v>0</v>
      </c>
      <c r="CA99" s="14" t="n">
        <v>12.729</v>
      </c>
      <c r="CB99" s="14" t="n">
        <v>0</v>
      </c>
      <c r="CC99" s="14" t="n">
        <v>102.477</v>
      </c>
      <c r="CD99" s="14" t="n">
        <v>7.95</v>
      </c>
      <c r="CE99" s="14" t="n">
        <v>0.758</v>
      </c>
      <c r="CF99" s="14" t="n">
        <v>112.724</v>
      </c>
      <c r="CG99" s="14" t="n">
        <v>0.1</v>
      </c>
      <c r="CH99" s="14" t="n">
        <v>1</v>
      </c>
      <c r="CI99" s="14" t="n">
        <v>0</v>
      </c>
      <c r="CJ99" s="14" t="n">
        <v>0</v>
      </c>
      <c r="CK99" s="14" t="n">
        <v>0</v>
      </c>
      <c r="CL99" s="14" t="n">
        <v>0</v>
      </c>
      <c r="CM99" s="14" t="n">
        <v>0</v>
      </c>
      <c r="CN99" s="14" t="n">
        <v>0</v>
      </c>
      <c r="CO99" s="14" t="n">
        <v>0</v>
      </c>
      <c r="CP99" s="14" t="n">
        <v>0</v>
      </c>
      <c r="CQ99" s="14" t="n">
        <v>1.294</v>
      </c>
      <c r="CR99" s="14" t="n">
        <v>0</v>
      </c>
      <c r="CS99" s="14" t="n">
        <v>5.158</v>
      </c>
      <c r="CT99" s="14" t="n">
        <v>7.554</v>
      </c>
      <c r="CU99" s="14" t="n">
        <v>30.149</v>
      </c>
    </row>
    <row r="100">
      <c r="A100" s="14" t="inlineStr">
        <is>
          <t>BTN2023</t>
        </is>
      </c>
      <c r="B100" s="14" t="inlineStr">
        <is>
          <t>BTN</t>
        </is>
      </c>
      <c r="C100" s="14" t="inlineStr">
        <is>
          <t>BTN</t>
        </is>
      </c>
      <c r="D100" s="14" t="inlineStr">
        <is>
          <t>Bhutan</t>
        </is>
      </c>
      <c r="E100" s="14" t="n">
        <v>2023</v>
      </c>
      <c r="F100" s="14" t="n">
        <v>0.1</v>
      </c>
      <c r="G100" s="14" t="n">
        <v>5.77</v>
      </c>
      <c r="H100" s="14" t="n">
        <v>1.286</v>
      </c>
      <c r="I100" s="14" t="n">
        <v>0</v>
      </c>
      <c r="J100" s="14" t="n">
        <v>5.77</v>
      </c>
      <c r="K100" s="14" t="n">
        <v>0</v>
      </c>
      <c r="L100" s="14" t="n">
        <v>1</v>
      </c>
      <c r="M100" s="14" t="n">
        <v>7.886</v>
      </c>
      <c r="N100" s="14" t="n">
        <v>3.857</v>
      </c>
      <c r="O100" s="14" t="n">
        <v>0</v>
      </c>
      <c r="P100" s="14" t="n">
        <v>7.886</v>
      </c>
      <c r="Q100" s="14" t="n">
        <v>0</v>
      </c>
      <c r="R100" s="14" t="n">
        <v>1</v>
      </c>
      <c r="S100" s="14" t="n">
        <v>12.198</v>
      </c>
      <c r="T100" s="14" t="n">
        <v>7.714</v>
      </c>
      <c r="U100" s="14" t="n">
        <v>0.135</v>
      </c>
      <c r="V100" s="14" t="n">
        <v>13.418</v>
      </c>
      <c r="W100" s="14" t="n">
        <v>0.1</v>
      </c>
      <c r="X100" s="14" t="n">
        <v>1</v>
      </c>
      <c r="Y100" s="14" t="n">
        <v>13.678</v>
      </c>
      <c r="Z100" s="14" t="n">
        <v>1.597</v>
      </c>
      <c r="AA100" s="14" t="n">
        <v>0</v>
      </c>
      <c r="AB100" s="14" t="n">
        <v>13.678</v>
      </c>
      <c r="AC100" s="14" t="n">
        <v>0</v>
      </c>
      <c r="AD100" s="14" t="n">
        <v>1</v>
      </c>
      <c r="AE100" s="14" t="n">
        <v>14.963</v>
      </c>
      <c r="AF100" s="14" t="n">
        <v>3.094</v>
      </c>
      <c r="AG100" s="14" t="n">
        <v>0</v>
      </c>
      <c r="AH100" s="14" t="n">
        <v>14.963</v>
      </c>
      <c r="AI100" s="14" t="n">
        <v>0</v>
      </c>
      <c r="AJ100" s="14" t="n">
        <v>1</v>
      </c>
      <c r="AK100" s="14" t="n">
        <v>22.677</v>
      </c>
      <c r="AL100" s="14" t="n">
        <v>11.302</v>
      </c>
      <c r="AM100" s="14" t="n">
        <v>0.251</v>
      </c>
      <c r="AN100" s="14" t="n">
        <v>24.945</v>
      </c>
      <c r="AO100" s="14" t="n">
        <v>0.1</v>
      </c>
      <c r="AP100" s="14" t="n">
        <v>1</v>
      </c>
      <c r="AQ100" s="14" t="n">
        <v>0.749</v>
      </c>
      <c r="AR100" s="14" t="n">
        <v>0.129</v>
      </c>
      <c r="AS100" s="14" t="n">
        <v>0.609</v>
      </c>
      <c r="AT100" s="14" t="n">
        <v>1.478</v>
      </c>
      <c r="AU100" s="14" t="n">
        <v>0.1</v>
      </c>
      <c r="AV100" s="14" t="n">
        <v>1</v>
      </c>
      <c r="AW100" s="14" t="n">
        <v>0.783</v>
      </c>
      <c r="AX100" s="14" t="n">
        <v>0.129</v>
      </c>
      <c r="AY100" s="14" t="n">
        <v>0.379</v>
      </c>
      <c r="AZ100" s="14" t="n">
        <v>1.264</v>
      </c>
      <c r="BA100" s="14" t="n">
        <v>0.1</v>
      </c>
      <c r="BB100" s="14" t="n">
        <v>1</v>
      </c>
      <c r="BC100" s="14" t="n">
        <v>0.527</v>
      </c>
      <c r="BD100" s="14" t="n">
        <v>0.129</v>
      </c>
      <c r="BE100" s="14" t="n">
        <v>0.006</v>
      </c>
      <c r="BF100" s="14" t="n">
        <v>0.58</v>
      </c>
      <c r="BG100" s="14" t="n">
        <v>0.1</v>
      </c>
      <c r="BH100" s="14" t="n">
        <v>1</v>
      </c>
      <c r="BI100" s="14" t="n">
        <v>0.64</v>
      </c>
      <c r="BJ100" s="14" t="n">
        <v>0.129</v>
      </c>
      <c r="BK100" s="14" t="n">
        <v>0.007</v>
      </c>
      <c r="BL100" s="14" t="n">
        <v>0.704</v>
      </c>
      <c r="BM100" s="14" t="n">
        <v>0.1</v>
      </c>
      <c r="BN100" s="14" t="n">
        <v>1</v>
      </c>
      <c r="BO100" s="14" t="n">
        <v>0</v>
      </c>
      <c r="BP100" s="14" t="n">
        <v>0</v>
      </c>
      <c r="BQ100" s="14" t="n">
        <v>0.02</v>
      </c>
      <c r="BR100" s="14" t="n">
        <v>0</v>
      </c>
      <c r="BS100" s="14" t="n">
        <v>1</v>
      </c>
      <c r="BT100" s="14" t="n">
        <v>0</v>
      </c>
      <c r="BU100" s="14" t="n">
        <v>0</v>
      </c>
      <c r="BV100" s="14" t="n">
        <v>0.015</v>
      </c>
      <c r="BW100" s="14" t="n">
        <v>0.1</v>
      </c>
      <c r="BX100" s="14" t="n">
        <v>0.833</v>
      </c>
      <c r="BY100" s="14" t="n">
        <v>13.254</v>
      </c>
      <c r="BZ100" s="14" t="n">
        <v>0</v>
      </c>
      <c r="CA100" s="14" t="n">
        <v>13.254</v>
      </c>
      <c r="CB100" s="14" t="n">
        <v>0</v>
      </c>
      <c r="CC100" s="14" t="n">
        <v>87.07899999999999</v>
      </c>
      <c r="CD100" s="14" t="n">
        <v>7.95</v>
      </c>
      <c r="CE100" s="14" t="n">
        <v>0.964</v>
      </c>
      <c r="CF100" s="14" t="n">
        <v>95.78700000000001</v>
      </c>
      <c r="CG100" s="14" t="n">
        <v>0.1</v>
      </c>
      <c r="CH100" s="14" t="n">
        <v>1</v>
      </c>
      <c r="CI100" s="14" t="n">
        <v>0</v>
      </c>
      <c r="CJ100" s="14" t="n">
        <v>0</v>
      </c>
      <c r="CK100" s="14" t="n">
        <v>0</v>
      </c>
      <c r="CL100" s="14" t="n">
        <v>0</v>
      </c>
      <c r="CM100" s="14" t="n">
        <v>0</v>
      </c>
      <c r="CN100" s="14" t="n">
        <v>0</v>
      </c>
      <c r="CO100" s="14" t="n">
        <v>0</v>
      </c>
      <c r="CP100" s="14" t="n">
        <v>0</v>
      </c>
      <c r="CQ100" s="14" t="n">
        <v>1.348</v>
      </c>
      <c r="CR100" s="14" t="n">
        <v>0</v>
      </c>
      <c r="CS100" s="14" t="n">
        <v>5.37</v>
      </c>
      <c r="CT100" s="14" t="n">
        <v>4.484</v>
      </c>
      <c r="CU100" s="14" t="n">
        <v>12.392</v>
      </c>
    </row>
    <row r="101">
      <c r="A101" s="14" t="inlineStr">
        <is>
          <t>BTN2024</t>
        </is>
      </c>
      <c r="B101" s="14" t="inlineStr">
        <is>
          <t>BTN</t>
        </is>
      </c>
      <c r="C101" s="14" t="inlineStr">
        <is>
          <t>BTN</t>
        </is>
      </c>
      <c r="D101" s="14" t="inlineStr">
        <is>
          <t>Bhutan</t>
        </is>
      </c>
      <c r="E101" s="14" t="n">
        <v>2024</v>
      </c>
      <c r="F101" s="14" t="n">
        <v>0.1</v>
      </c>
      <c r="G101" s="14" t="n">
        <v>4.833</v>
      </c>
      <c r="H101" s="14" t="n">
        <v>1.324</v>
      </c>
      <c r="I101" s="14" t="n">
        <v>0</v>
      </c>
      <c r="J101" s="14" t="n">
        <v>4.833</v>
      </c>
      <c r="K101" s="14" t="n">
        <v>0</v>
      </c>
      <c r="L101" s="14" t="n">
        <v>1</v>
      </c>
      <c r="M101" s="14" t="n">
        <v>7.124</v>
      </c>
      <c r="N101" s="14" t="n">
        <v>3.971</v>
      </c>
      <c r="O101" s="14" t="n">
        <v>0</v>
      </c>
      <c r="P101" s="14" t="n">
        <v>7.124</v>
      </c>
      <c r="Q101" s="14" t="n">
        <v>0</v>
      </c>
      <c r="R101" s="14" t="n">
        <v>1</v>
      </c>
      <c r="S101" s="14" t="n">
        <v>11.451</v>
      </c>
      <c r="T101" s="14" t="n">
        <v>7.942</v>
      </c>
      <c r="U101" s="14" t="n">
        <v>0.156</v>
      </c>
      <c r="V101" s="14" t="n">
        <v>12.596</v>
      </c>
      <c r="W101" s="14" t="n">
        <v>0.1</v>
      </c>
      <c r="X101" s="14" t="n">
        <v>1</v>
      </c>
      <c r="Y101" s="14" t="n">
        <v>12.116</v>
      </c>
      <c r="Z101" s="14" t="n">
        <v>1.415</v>
      </c>
      <c r="AA101" s="14" t="n">
        <v>0</v>
      </c>
      <c r="AB101" s="14" t="n">
        <v>12.116</v>
      </c>
      <c r="AC101" s="14" t="n">
        <v>0</v>
      </c>
      <c r="AD101" s="14" t="n">
        <v>1</v>
      </c>
      <c r="AE101" s="14" t="n">
        <v>13.439</v>
      </c>
      <c r="AF101" s="14" t="n">
        <v>2.779</v>
      </c>
      <c r="AG101" s="14" t="n">
        <v>0</v>
      </c>
      <c r="AH101" s="14" t="n">
        <v>13.439</v>
      </c>
      <c r="AI101" s="14" t="n">
        <v>0</v>
      </c>
      <c r="AJ101" s="14" t="n">
        <v>1</v>
      </c>
      <c r="AK101" s="14" t="n">
        <v>21.381</v>
      </c>
      <c r="AL101" s="14" t="n">
        <v>10.656</v>
      </c>
      <c r="AM101" s="14" t="n">
        <v>0.291</v>
      </c>
      <c r="AN101" s="14" t="n">
        <v>23.519</v>
      </c>
      <c r="AO101" s="14" t="n">
        <v>0.1</v>
      </c>
      <c r="AP101" s="14" t="n">
        <v>1</v>
      </c>
      <c r="AQ101" s="14" t="n">
        <v>0.72</v>
      </c>
      <c r="AR101" s="14" t="n">
        <v>0.132</v>
      </c>
      <c r="AS101" s="14" t="n">
        <v>0.635</v>
      </c>
      <c r="AT101" s="14" t="n">
        <v>1.47</v>
      </c>
      <c r="AU101" s="14" t="n">
        <v>0.1</v>
      </c>
      <c r="AV101" s="14" t="n">
        <v>1</v>
      </c>
      <c r="AW101" s="14" t="n">
        <v>0.734</v>
      </c>
      <c r="AX101" s="14" t="n">
        <v>0.132</v>
      </c>
      <c r="AY101" s="14" t="n">
        <v>0.399</v>
      </c>
      <c r="AZ101" s="14" t="n">
        <v>1.229</v>
      </c>
      <c r="BA101" s="14" t="n">
        <v>0.1</v>
      </c>
      <c r="BB101" s="14" t="n">
        <v>1</v>
      </c>
      <c r="BC101" s="14" t="n">
        <v>0.51</v>
      </c>
      <c r="BD101" s="14" t="n">
        <v>0.132</v>
      </c>
      <c r="BE101" s="14" t="n">
        <v>0.007</v>
      </c>
      <c r="BF101" s="14" t="n">
        <v>0.5610000000000001</v>
      </c>
      <c r="BG101" s="14" t="n">
        <v>0.1</v>
      </c>
      <c r="BH101" s="14" t="n">
        <v>1</v>
      </c>
      <c r="BI101" s="14" t="n">
        <v>0.652</v>
      </c>
      <c r="BJ101" s="14" t="n">
        <v>0.132</v>
      </c>
      <c r="BK101" s="14" t="n">
        <v>0.008999999999999999</v>
      </c>
      <c r="BL101" s="14" t="n">
        <v>0.717</v>
      </c>
      <c r="BM101" s="14" t="n">
        <v>0.1</v>
      </c>
      <c r="BN101" s="14" t="n">
        <v>1</v>
      </c>
      <c r="BO101" s="14" t="n">
        <v>0</v>
      </c>
      <c r="BP101" s="14" t="n">
        <v>0</v>
      </c>
      <c r="BQ101" s="14" t="n">
        <v>0.019</v>
      </c>
      <c r="BR101" s="14" t="n">
        <v>0</v>
      </c>
      <c r="BS101" s="14" t="n">
        <v>1</v>
      </c>
      <c r="BT101" s="14" t="n">
        <v>0</v>
      </c>
      <c r="BU101" s="14" t="n">
        <v>0</v>
      </c>
      <c r="BV101" s="14" t="n">
        <v>0.015</v>
      </c>
      <c r="BW101" s="14" t="n">
        <v>0.1</v>
      </c>
      <c r="BX101" s="14" t="n">
        <v>0.833</v>
      </c>
      <c r="BY101" s="14" t="n">
        <v>13.646</v>
      </c>
      <c r="BZ101" s="14" t="n">
        <v>0</v>
      </c>
      <c r="CA101" s="14" t="n">
        <v>13.646</v>
      </c>
      <c r="CB101" s="14" t="n">
        <v>0</v>
      </c>
      <c r="CC101" s="14" t="n">
        <v>86.38500000000001</v>
      </c>
      <c r="CD101" s="14" t="n">
        <v>7.95</v>
      </c>
      <c r="CE101" s="14" t="n">
        <v>1.177</v>
      </c>
      <c r="CF101" s="14" t="n">
        <v>95.024</v>
      </c>
      <c r="CG101" s="14" t="n">
        <v>0.1</v>
      </c>
      <c r="CH101" s="14" t="n">
        <v>1</v>
      </c>
      <c r="CI101" s="14" t="n">
        <v>0</v>
      </c>
      <c r="CJ101" s="14" t="n">
        <v>0</v>
      </c>
      <c r="CK101" s="14" t="n">
        <v>0</v>
      </c>
      <c r="CL101" s="14" t="n">
        <v>0</v>
      </c>
      <c r="CM101" s="14" t="n">
        <v>0</v>
      </c>
      <c r="CN101" s="14" t="n">
        <v>0</v>
      </c>
      <c r="CO101" s="14" t="n">
        <v>0</v>
      </c>
      <c r="CP101" s="14" t="n">
        <v>0</v>
      </c>
      <c r="CQ101" s="14" t="n">
        <v>1.387</v>
      </c>
      <c r="CR101" s="14" t="n">
        <v>0</v>
      </c>
      <c r="CS101" s="14" t="n">
        <v>5.529</v>
      </c>
      <c r="CT101" s="14" t="n">
        <v>3.509</v>
      </c>
      <c r="CU101" s="14" t="n">
        <v>10.792</v>
      </c>
    </row>
    <row r="102">
      <c r="A102" s="14" t="inlineStr">
        <is>
          <t>BOL2021</t>
        </is>
      </c>
      <c r="B102" s="14" t="inlineStr">
        <is>
          <t>BOL</t>
        </is>
      </c>
      <c r="C102" s="14" t="inlineStr">
        <is>
          <t>BOL</t>
        </is>
      </c>
      <c r="D102" s="14" t="inlineStr">
        <is>
          <t>Bolivia</t>
        </is>
      </c>
      <c r="E102" s="14" t="n">
        <v>2021</v>
      </c>
      <c r="F102" s="14" t="n">
        <v>0.149</v>
      </c>
      <c r="G102" s="14" t="n">
        <v>5.897</v>
      </c>
      <c r="H102" s="14" t="n">
        <v>1.143</v>
      </c>
      <c r="I102" s="14" t="n">
        <v>0.238</v>
      </c>
      <c r="J102" s="14" t="n">
        <v>6.134</v>
      </c>
      <c r="K102" s="14" t="n">
        <v>0</v>
      </c>
      <c r="L102" s="14" t="n">
        <v>1</v>
      </c>
      <c r="M102" s="14" t="n">
        <v>7.964</v>
      </c>
      <c r="N102" s="14" t="n">
        <v>3.43</v>
      </c>
      <c r="O102" s="14" t="n">
        <v>0.227</v>
      </c>
      <c r="P102" s="14" t="n">
        <v>8.191000000000001</v>
      </c>
      <c r="Q102" s="14" t="n">
        <v>0</v>
      </c>
      <c r="R102" s="14" t="n">
        <v>1</v>
      </c>
      <c r="S102" s="14" t="n">
        <v>11.613</v>
      </c>
      <c r="T102" s="14" t="n">
        <v>6.86</v>
      </c>
      <c r="U102" s="14" t="n">
        <v>0.238</v>
      </c>
      <c r="V102" s="14" t="n">
        <v>13.622</v>
      </c>
      <c r="W102" s="14" t="n">
        <v>0.149</v>
      </c>
      <c r="X102" s="14" t="n">
        <v>1</v>
      </c>
      <c r="Y102" s="14" t="n">
        <v>9.832000000000001</v>
      </c>
      <c r="Z102" s="14" t="n">
        <v>1.079</v>
      </c>
      <c r="AA102" s="14" t="n">
        <v>-7.712</v>
      </c>
      <c r="AB102" s="14" t="n">
        <v>2.12</v>
      </c>
      <c r="AC102" s="14" t="n">
        <v>0</v>
      </c>
      <c r="AD102" s="14" t="n">
        <v>0</v>
      </c>
      <c r="AE102" s="14" t="n">
        <v>10.404</v>
      </c>
      <c r="AF102" s="14" t="n">
        <v>2.023</v>
      </c>
      <c r="AG102" s="14" t="n">
        <v>-2.788</v>
      </c>
      <c r="AH102" s="14" t="n">
        <v>7.616</v>
      </c>
      <c r="AI102" s="14" t="n">
        <v>0</v>
      </c>
      <c r="AJ102" s="14" t="n">
        <v>0</v>
      </c>
      <c r="AK102" s="14" t="n">
        <v>13.834</v>
      </c>
      <c r="AL102" s="14" t="n">
        <v>6.526</v>
      </c>
      <c r="AM102" s="14" t="n">
        <v>-6.162</v>
      </c>
      <c r="AN102" s="14" t="n">
        <v>7.671</v>
      </c>
      <c r="AO102" s="14" t="n">
        <v>0</v>
      </c>
      <c r="AP102" s="14" t="n">
        <v>0</v>
      </c>
      <c r="AQ102" s="14" t="n">
        <v>0.649</v>
      </c>
      <c r="AR102" s="14" t="n">
        <v>0.114</v>
      </c>
      <c r="AS102" s="14" t="n">
        <v>-0.175</v>
      </c>
      <c r="AT102" s="14" t="n">
        <v>0.545</v>
      </c>
      <c r="AU102" s="14" t="n">
        <v>0</v>
      </c>
      <c r="AV102" s="14" t="n">
        <v>0</v>
      </c>
      <c r="AW102" s="14" t="n">
        <v>0.577</v>
      </c>
      <c r="AX102" s="14" t="n">
        <v>0.114</v>
      </c>
      <c r="AY102" s="14" t="n">
        <v>-0.105</v>
      </c>
      <c r="AZ102" s="14" t="n">
        <v>0.542</v>
      </c>
      <c r="BA102" s="14" t="n">
        <v>0</v>
      </c>
      <c r="BB102" s="14" t="n">
        <v>0</v>
      </c>
      <c r="BC102" s="14" t="n">
        <v>0.458</v>
      </c>
      <c r="BD102" s="14" t="n">
        <v>0.114</v>
      </c>
      <c r="BE102" s="14" t="n">
        <v>-0.313</v>
      </c>
      <c r="BF102" s="14" t="n">
        <v>0.167</v>
      </c>
      <c r="BG102" s="14" t="n">
        <v>0</v>
      </c>
      <c r="BH102" s="14" t="n">
        <v>0</v>
      </c>
      <c r="BI102" s="14" t="n">
        <v>0.491</v>
      </c>
      <c r="BJ102" s="14" t="n">
        <v>0.114</v>
      </c>
      <c r="BK102" s="14" t="n">
        <v>-0.146</v>
      </c>
      <c r="BL102" s="14" t="n">
        <v>0.397</v>
      </c>
      <c r="BM102" s="14" t="n">
        <v>0</v>
      </c>
      <c r="BN102" s="14" t="n">
        <v>0</v>
      </c>
      <c r="BO102" s="14" t="n">
        <v>0</v>
      </c>
      <c r="BP102" s="14" t="n">
        <v>-0.004</v>
      </c>
      <c r="BQ102" s="14" t="n">
        <v>0.08</v>
      </c>
      <c r="BR102" s="14" t="n">
        <v>0</v>
      </c>
      <c r="BS102" s="14" t="n">
        <v>0.5</v>
      </c>
      <c r="BT102" s="14" t="n">
        <v>0</v>
      </c>
      <c r="BU102" s="14" t="n">
        <v>-0.004</v>
      </c>
      <c r="BV102" s="14" t="n">
        <v>0.102</v>
      </c>
      <c r="BW102" s="14" t="n">
        <v>0.149</v>
      </c>
      <c r="BX102" s="14" t="n">
        <v>0.833</v>
      </c>
      <c r="BY102" s="14" t="n">
        <v>11.787</v>
      </c>
      <c r="BZ102" s="14" t="n">
        <v>0</v>
      </c>
      <c r="CA102" s="14" t="n">
        <v>11.787</v>
      </c>
      <c r="CB102" s="14" t="n">
        <v>0</v>
      </c>
      <c r="CC102" s="14" t="n">
        <v>78.125</v>
      </c>
      <c r="CD102" s="14" t="n">
        <v>7.95</v>
      </c>
      <c r="CE102" s="14" t="n">
        <v>-22.1</v>
      </c>
      <c r="CF102" s="14" t="n">
        <v>64.395</v>
      </c>
      <c r="CG102" s="14" t="n">
        <v>0</v>
      </c>
      <c r="CH102" s="14" t="n">
        <v>0</v>
      </c>
      <c r="CI102" s="14" t="n">
        <v>0</v>
      </c>
      <c r="CJ102" s="14" t="n">
        <v>0</v>
      </c>
      <c r="CK102" s="14" t="n">
        <v>0</v>
      </c>
      <c r="CL102" s="14" t="n">
        <v>0</v>
      </c>
      <c r="CM102" s="14" t="n">
        <v>0</v>
      </c>
      <c r="CN102" s="14" t="n">
        <v>0</v>
      </c>
      <c r="CO102" s="14" t="n">
        <v>0</v>
      </c>
      <c r="CP102" s="14" t="n">
        <v>0</v>
      </c>
      <c r="CQ102" s="14" t="n">
        <v>1.198</v>
      </c>
      <c r="CR102" s="14" t="n">
        <v>1</v>
      </c>
      <c r="CS102" s="14" t="n">
        <v>9.260999999999999</v>
      </c>
      <c r="CT102" s="14" t="n">
        <v>4.753</v>
      </c>
      <c r="CU102" s="14" t="n">
        <v>14.129</v>
      </c>
    </row>
    <row r="103">
      <c r="A103" s="14" t="inlineStr">
        <is>
          <t>BOL2022</t>
        </is>
      </c>
      <c r="B103" s="14" t="inlineStr">
        <is>
          <t>BOL</t>
        </is>
      </c>
      <c r="C103" s="14" t="inlineStr">
        <is>
          <t>BOL</t>
        </is>
      </c>
      <c r="D103" s="14" t="inlineStr">
        <is>
          <t>Bolivia</t>
        </is>
      </c>
      <c r="E103" s="14" t="n">
        <v>2022</v>
      </c>
      <c r="F103" s="14" t="n">
        <v>0.149</v>
      </c>
      <c r="G103" s="14" t="n">
        <v>11.72</v>
      </c>
      <c r="H103" s="14" t="n">
        <v>1.235</v>
      </c>
      <c r="I103" s="14" t="n">
        <v>0.5659999999999999</v>
      </c>
      <c r="J103" s="14" t="n">
        <v>12.286</v>
      </c>
      <c r="K103" s="14" t="n">
        <v>0</v>
      </c>
      <c r="L103" s="14" t="n">
        <v>1</v>
      </c>
      <c r="M103" s="14" t="n">
        <v>9.782999999999999</v>
      </c>
      <c r="N103" s="14" t="n">
        <v>3.704</v>
      </c>
      <c r="O103" s="14" t="n">
        <v>0.328</v>
      </c>
      <c r="P103" s="14" t="n">
        <v>10.111</v>
      </c>
      <c r="Q103" s="14" t="n">
        <v>0</v>
      </c>
      <c r="R103" s="14" t="n">
        <v>1</v>
      </c>
      <c r="S103" s="14" t="n">
        <v>17.893</v>
      </c>
      <c r="T103" s="14" t="n">
        <v>7.408</v>
      </c>
      <c r="U103" s="14" t="n">
        <v>0.77</v>
      </c>
      <c r="V103" s="14" t="n">
        <v>21.217</v>
      </c>
      <c r="W103" s="14" t="n">
        <v>0.149</v>
      </c>
      <c r="X103" s="14" t="n">
        <v>1</v>
      </c>
      <c r="Y103" s="14" t="n">
        <v>10.618</v>
      </c>
      <c r="Z103" s="14" t="n">
        <v>1.165</v>
      </c>
      <c r="AA103" s="14" t="n">
        <v>-8.329000000000001</v>
      </c>
      <c r="AB103" s="14" t="n">
        <v>2.289</v>
      </c>
      <c r="AC103" s="14" t="n">
        <v>0</v>
      </c>
      <c r="AD103" s="14" t="n">
        <v>0</v>
      </c>
      <c r="AE103" s="14" t="n">
        <v>11.235</v>
      </c>
      <c r="AF103" s="14" t="n">
        <v>2.185</v>
      </c>
      <c r="AG103" s="14" t="n">
        <v>-3.011</v>
      </c>
      <c r="AH103" s="14" t="n">
        <v>8.225</v>
      </c>
      <c r="AI103" s="14" t="n">
        <v>0</v>
      </c>
      <c r="AJ103" s="14" t="n">
        <v>0</v>
      </c>
      <c r="AK103" s="14" t="n">
        <v>14.94</v>
      </c>
      <c r="AL103" s="14" t="n">
        <v>7.047</v>
      </c>
      <c r="AM103" s="14" t="n">
        <v>-6.655</v>
      </c>
      <c r="AN103" s="14" t="n">
        <v>8.285</v>
      </c>
      <c r="AO103" s="14" t="n">
        <v>0</v>
      </c>
      <c r="AP103" s="14" t="n">
        <v>0</v>
      </c>
      <c r="AQ103" s="14" t="n">
        <v>0.896</v>
      </c>
      <c r="AR103" s="14" t="n">
        <v>0.123</v>
      </c>
      <c r="AS103" s="14" t="n">
        <v>-0.422</v>
      </c>
      <c r="AT103" s="14" t="n">
        <v>0.545</v>
      </c>
      <c r="AU103" s="14" t="n">
        <v>0</v>
      </c>
      <c r="AV103" s="14" t="n">
        <v>0</v>
      </c>
      <c r="AW103" s="14" t="n">
        <v>0.89</v>
      </c>
      <c r="AX103" s="14" t="n">
        <v>0.123</v>
      </c>
      <c r="AY103" s="14" t="n">
        <v>-0.419</v>
      </c>
      <c r="AZ103" s="14" t="n">
        <v>0.542</v>
      </c>
      <c r="BA103" s="14" t="n">
        <v>0</v>
      </c>
      <c r="BB103" s="14" t="n">
        <v>0</v>
      </c>
      <c r="BC103" s="14" t="n">
        <v>0.62</v>
      </c>
      <c r="BD103" s="14" t="n">
        <v>0.123</v>
      </c>
      <c r="BE103" s="14" t="n">
        <v>-0.475</v>
      </c>
      <c r="BF103" s="14" t="n">
        <v>0.167</v>
      </c>
      <c r="BG103" s="14" t="n">
        <v>0</v>
      </c>
      <c r="BH103" s="14" t="n">
        <v>0</v>
      </c>
      <c r="BI103" s="14" t="n">
        <v>0.608</v>
      </c>
      <c r="BJ103" s="14" t="n">
        <v>0.123</v>
      </c>
      <c r="BK103" s="14" t="n">
        <v>-0.262</v>
      </c>
      <c r="BL103" s="14" t="n">
        <v>0.397</v>
      </c>
      <c r="BM103" s="14" t="n">
        <v>0</v>
      </c>
      <c r="BN103" s="14" t="n">
        <v>0</v>
      </c>
      <c r="BO103" s="14" t="n">
        <v>0</v>
      </c>
      <c r="BP103" s="14" t="n">
        <v>-0.005</v>
      </c>
      <c r="BQ103" s="14" t="n">
        <v>0.081</v>
      </c>
      <c r="BR103" s="14" t="n">
        <v>0</v>
      </c>
      <c r="BS103" s="14" t="n">
        <v>0.5</v>
      </c>
      <c r="BT103" s="14" t="n">
        <v>0</v>
      </c>
      <c r="BU103" s="14" t="n">
        <v>-0.005</v>
      </c>
      <c r="BV103" s="14" t="n">
        <v>0.106</v>
      </c>
      <c r="BW103" s="14" t="n">
        <v>0.149</v>
      </c>
      <c r="BX103" s="14" t="n">
        <v>0.833</v>
      </c>
      <c r="BY103" s="14" t="n">
        <v>12.729</v>
      </c>
      <c r="BZ103" s="14" t="n">
        <v>0</v>
      </c>
      <c r="CA103" s="14" t="n">
        <v>12.729</v>
      </c>
      <c r="CB103" s="14" t="n">
        <v>0</v>
      </c>
      <c r="CC103" s="14" t="n">
        <v>97.90000000000001</v>
      </c>
      <c r="CD103" s="14" t="n">
        <v>7.95</v>
      </c>
      <c r="CE103" s="14" t="n">
        <v>-41.875</v>
      </c>
      <c r="CF103" s="14" t="n">
        <v>64.395</v>
      </c>
      <c r="CG103" s="14" t="n">
        <v>0</v>
      </c>
      <c r="CH103" s="14" t="n">
        <v>0</v>
      </c>
      <c r="CI103" s="14" t="n">
        <v>0</v>
      </c>
      <c r="CJ103" s="14" t="n">
        <v>0</v>
      </c>
      <c r="CK103" s="14" t="n">
        <v>0</v>
      </c>
      <c r="CL103" s="14" t="n">
        <v>0</v>
      </c>
      <c r="CM103" s="14" t="n">
        <v>0</v>
      </c>
      <c r="CN103" s="14" t="n">
        <v>0</v>
      </c>
      <c r="CO103" s="14" t="n">
        <v>0</v>
      </c>
      <c r="CP103" s="14" t="n">
        <v>0</v>
      </c>
      <c r="CQ103" s="14" t="n">
        <v>1.294</v>
      </c>
      <c r="CR103" s="14" t="n">
        <v>1</v>
      </c>
      <c r="CS103" s="14" t="n">
        <v>10.001</v>
      </c>
      <c r="CT103" s="14" t="n">
        <v>10.485</v>
      </c>
      <c r="CU103" s="14" t="n">
        <v>28.059</v>
      </c>
    </row>
    <row r="104">
      <c r="A104" s="14" t="inlineStr">
        <is>
          <t>BOL2023</t>
        </is>
      </c>
      <c r="B104" s="14" t="inlineStr">
        <is>
          <t>BOL</t>
        </is>
      </c>
      <c r="C104" s="14" t="inlineStr">
        <is>
          <t>BOL</t>
        </is>
      </c>
      <c r="D104" s="14" t="inlineStr">
        <is>
          <t>Bolivia</t>
        </is>
      </c>
      <c r="E104" s="14" t="n">
        <v>2023</v>
      </c>
      <c r="F104" s="14" t="n">
        <v>0.149</v>
      </c>
      <c r="G104" s="14" t="n">
        <v>6.147</v>
      </c>
      <c r="H104" s="14" t="n">
        <v>1.286</v>
      </c>
      <c r="I104" s="14" t="n">
        <v>0.273</v>
      </c>
      <c r="J104" s="14" t="n">
        <v>6.42</v>
      </c>
      <c r="K104" s="14" t="n">
        <v>0</v>
      </c>
      <c r="L104" s="14" t="n">
        <v>1</v>
      </c>
      <c r="M104" s="14" t="n">
        <v>7.886</v>
      </c>
      <c r="N104" s="14" t="n">
        <v>3.857</v>
      </c>
      <c r="O104" s="14" t="n">
        <v>0.227</v>
      </c>
      <c r="P104" s="14" t="n">
        <v>8.113</v>
      </c>
      <c r="Q104" s="14" t="n">
        <v>0</v>
      </c>
      <c r="R104" s="14" t="n">
        <v>1</v>
      </c>
      <c r="S104" s="14" t="n">
        <v>12.575</v>
      </c>
      <c r="T104" s="14" t="n">
        <v>7.714</v>
      </c>
      <c r="U104" s="14" t="n">
        <v>0.486</v>
      </c>
      <c r="V104" s="14" t="n">
        <v>14.768</v>
      </c>
      <c r="W104" s="14" t="n">
        <v>0.149</v>
      </c>
      <c r="X104" s="14" t="n">
        <v>1</v>
      </c>
      <c r="Y104" s="14" t="n">
        <v>9.904</v>
      </c>
      <c r="Z104" s="14" t="n">
        <v>1.087</v>
      </c>
      <c r="AA104" s="14" t="n">
        <v>-7.521</v>
      </c>
      <c r="AB104" s="14" t="n">
        <v>2.384</v>
      </c>
      <c r="AC104" s="14" t="n">
        <v>0</v>
      </c>
      <c r="AD104" s="14" t="n">
        <v>0</v>
      </c>
      <c r="AE104" s="14" t="n">
        <v>10.547</v>
      </c>
      <c r="AF104" s="14" t="n">
        <v>2.051</v>
      </c>
      <c r="AG104" s="14" t="n">
        <v>-3.135</v>
      </c>
      <c r="AH104" s="14" t="n">
        <v>7.412</v>
      </c>
      <c r="AI104" s="14" t="n">
        <v>0</v>
      </c>
      <c r="AJ104" s="14" t="n">
        <v>0</v>
      </c>
      <c r="AK104" s="14" t="n">
        <v>14.404</v>
      </c>
      <c r="AL104" s="14" t="n">
        <v>6.795</v>
      </c>
      <c r="AM104" s="14" t="n">
        <v>-5.969</v>
      </c>
      <c r="AN104" s="14" t="n">
        <v>8.435</v>
      </c>
      <c r="AO104" s="14" t="n">
        <v>0</v>
      </c>
      <c r="AP104" s="14" t="n">
        <v>0</v>
      </c>
      <c r="AQ104" s="14" t="n">
        <v>0.791</v>
      </c>
      <c r="AR104" s="14" t="n">
        <v>0.129</v>
      </c>
      <c r="AS104" s="14" t="n">
        <v>-0.314</v>
      </c>
      <c r="AT104" s="14" t="n">
        <v>0.548</v>
      </c>
      <c r="AU104" s="14" t="n">
        <v>0</v>
      </c>
      <c r="AV104" s="14" t="n">
        <v>0</v>
      </c>
      <c r="AW104" s="14" t="n">
        <v>0.618</v>
      </c>
      <c r="AX104" s="14" t="n">
        <v>0.129</v>
      </c>
      <c r="AY104" s="14" t="n">
        <v>-0.124</v>
      </c>
      <c r="AZ104" s="14" t="n">
        <v>0.5679999999999999</v>
      </c>
      <c r="BA104" s="14" t="n">
        <v>0</v>
      </c>
      <c r="BB104" s="14" t="n">
        <v>0</v>
      </c>
      <c r="BC104" s="14" t="n">
        <v>0.554</v>
      </c>
      <c r="BD104" s="14" t="n">
        <v>0.129</v>
      </c>
      <c r="BE104" s="14" t="n">
        <v>-0.409</v>
      </c>
      <c r="BF104" s="14" t="n">
        <v>0.167</v>
      </c>
      <c r="BG104" s="14" t="n">
        <v>0</v>
      </c>
      <c r="BH104" s="14" t="n">
        <v>0</v>
      </c>
      <c r="BI104" s="14" t="n">
        <v>0.5570000000000001</v>
      </c>
      <c r="BJ104" s="14" t="n">
        <v>0.129</v>
      </c>
      <c r="BK104" s="14" t="n">
        <v>-0.212</v>
      </c>
      <c r="BL104" s="14" t="n">
        <v>0.397</v>
      </c>
      <c r="BM104" s="14" t="n">
        <v>0</v>
      </c>
      <c r="BN104" s="14" t="n">
        <v>0</v>
      </c>
      <c r="BO104" s="14" t="n">
        <v>0</v>
      </c>
      <c r="BP104" s="14" t="n">
        <v>0</v>
      </c>
      <c r="BQ104" s="14" t="n">
        <v>0.082</v>
      </c>
      <c r="BR104" s="14" t="n">
        <v>0</v>
      </c>
      <c r="BS104" s="14" t="n">
        <v>0.5</v>
      </c>
      <c r="BT104" s="14" t="n">
        <v>0</v>
      </c>
      <c r="BU104" s="14" t="n">
        <v>0</v>
      </c>
      <c r="BV104" s="14" t="n">
        <v>0.11</v>
      </c>
      <c r="BW104" s="14" t="n">
        <v>0.149</v>
      </c>
      <c r="BX104" s="14" t="n">
        <v>0.833</v>
      </c>
      <c r="BY104" s="14" t="n">
        <v>13.254</v>
      </c>
      <c r="BZ104" s="14" t="n">
        <v>0</v>
      </c>
      <c r="CA104" s="14" t="n">
        <v>13.254</v>
      </c>
      <c r="CB104" s="14" t="n">
        <v>0</v>
      </c>
      <c r="CC104" s="14" t="n">
        <v>83.248</v>
      </c>
      <c r="CD104" s="14" t="n">
        <v>7.95</v>
      </c>
      <c r="CE104" s="14" t="n">
        <v>-27.61</v>
      </c>
      <c r="CF104" s="14" t="n">
        <v>63.95</v>
      </c>
      <c r="CG104" s="14" t="n">
        <v>0</v>
      </c>
      <c r="CH104" s="14" t="n">
        <v>0</v>
      </c>
      <c r="CI104" s="14" t="n">
        <v>0</v>
      </c>
      <c r="CJ104" s="14" t="n">
        <v>0</v>
      </c>
      <c r="CK104" s="14" t="n">
        <v>0</v>
      </c>
      <c r="CL104" s="14" t="n">
        <v>0</v>
      </c>
      <c r="CM104" s="14" t="n">
        <v>0</v>
      </c>
      <c r="CN104" s="14" t="n">
        <v>0</v>
      </c>
      <c r="CO104" s="14" t="n">
        <v>0</v>
      </c>
      <c r="CP104" s="14" t="n">
        <v>0</v>
      </c>
      <c r="CQ104" s="14" t="n">
        <v>1.348</v>
      </c>
      <c r="CR104" s="14" t="n">
        <v>1</v>
      </c>
      <c r="CS104" s="14" t="n">
        <v>9.260999999999999</v>
      </c>
      <c r="CT104" s="14" t="n">
        <v>4.861</v>
      </c>
      <c r="CU104" s="14" t="n">
        <v>9.260999999999999</v>
      </c>
    </row>
    <row r="105">
      <c r="A105" s="14" t="inlineStr">
        <is>
          <t>BOL2024</t>
        </is>
      </c>
      <c r="B105" s="14" t="inlineStr">
        <is>
          <t>BOL</t>
        </is>
      </c>
      <c r="C105" s="14" t="inlineStr">
        <is>
          <t>BOL</t>
        </is>
      </c>
      <c r="D105" s="14" t="inlineStr">
        <is>
          <t>Bolivia</t>
        </is>
      </c>
      <c r="E105" s="14" t="n">
        <v>2024</v>
      </c>
      <c r="F105" s="14" t="n">
        <v>0.149</v>
      </c>
      <c r="G105" s="14" t="n">
        <v>5.575</v>
      </c>
      <c r="H105" s="14" t="n">
        <v>1.324</v>
      </c>
      <c r="I105" s="14" t="n">
        <v>0.213</v>
      </c>
      <c r="J105" s="14" t="n">
        <v>5.787</v>
      </c>
      <c r="K105" s="14" t="n">
        <v>0</v>
      </c>
      <c r="L105" s="14" t="n">
        <v>1</v>
      </c>
      <c r="M105" s="14" t="n">
        <v>7.124</v>
      </c>
      <c r="N105" s="14" t="n">
        <v>3.971</v>
      </c>
      <c r="O105" s="14" t="n">
        <v>0.158</v>
      </c>
      <c r="P105" s="14" t="n">
        <v>7.281</v>
      </c>
      <c r="Q105" s="14" t="n">
        <v>0</v>
      </c>
      <c r="R105" s="14" t="n">
        <v>1</v>
      </c>
      <c r="S105" s="14" t="n">
        <v>12.193</v>
      </c>
      <c r="T105" s="14" t="n">
        <v>7.942</v>
      </c>
      <c r="U105" s="14" t="n">
        <v>0.465</v>
      </c>
      <c r="V105" s="14" t="n">
        <v>14.259</v>
      </c>
      <c r="W105" s="14" t="n">
        <v>0.149</v>
      </c>
      <c r="X105" s="14" t="n">
        <v>1</v>
      </c>
      <c r="Y105" s="14" t="n">
        <v>8.26</v>
      </c>
      <c r="Z105" s="14" t="n">
        <v>0.906</v>
      </c>
      <c r="AA105" s="14" t="n">
        <v>-5.806</v>
      </c>
      <c r="AB105" s="14" t="n">
        <v>2.454</v>
      </c>
      <c r="AC105" s="14" t="n">
        <v>0</v>
      </c>
      <c r="AD105" s="14" t="n">
        <v>0</v>
      </c>
      <c r="AE105" s="14" t="n">
        <v>8.922000000000001</v>
      </c>
      <c r="AF105" s="14" t="n">
        <v>1.735</v>
      </c>
      <c r="AG105" s="14" t="n">
        <v>-3.227</v>
      </c>
      <c r="AH105" s="14" t="n">
        <v>5.694</v>
      </c>
      <c r="AI105" s="14" t="n">
        <v>0</v>
      </c>
      <c r="AJ105" s="14" t="n">
        <v>0</v>
      </c>
      <c r="AK105" s="14" t="n">
        <v>12.892</v>
      </c>
      <c r="AL105" s="14" t="n">
        <v>6.082</v>
      </c>
      <c r="AM105" s="14" t="n">
        <v>-4.531</v>
      </c>
      <c r="AN105" s="14" t="n">
        <v>8.362</v>
      </c>
      <c r="AO105" s="14" t="n">
        <v>0</v>
      </c>
      <c r="AP105" s="14" t="n">
        <v>0</v>
      </c>
      <c r="AQ105" s="14" t="n">
        <v>0.756</v>
      </c>
      <c r="AR105" s="14" t="n">
        <v>0.132</v>
      </c>
      <c r="AS105" s="14" t="n">
        <v>-0.268</v>
      </c>
      <c r="AT105" s="14" t="n">
        <v>0.5610000000000001</v>
      </c>
      <c r="AU105" s="14" t="n">
        <v>0</v>
      </c>
      <c r="AV105" s="14" t="n">
        <v>0</v>
      </c>
      <c r="AW105" s="14" t="n">
        <v>0.655</v>
      </c>
      <c r="AX105" s="14" t="n">
        <v>0.132</v>
      </c>
      <c r="AY105" s="14" t="n">
        <v>-0.167</v>
      </c>
      <c r="AZ105" s="14" t="n">
        <v>0.5610000000000001</v>
      </c>
      <c r="BA105" s="14" t="n">
        <v>0</v>
      </c>
      <c r="BB105" s="14" t="n">
        <v>0</v>
      </c>
      <c r="BC105" s="14" t="n">
        <v>0.534</v>
      </c>
      <c r="BD105" s="14" t="n">
        <v>0.132</v>
      </c>
      <c r="BE105" s="14" t="n">
        <v>-0.388</v>
      </c>
      <c r="BF105" s="14" t="n">
        <v>0.167</v>
      </c>
      <c r="BG105" s="14" t="n">
        <v>0</v>
      </c>
      <c r="BH105" s="14" t="n">
        <v>0</v>
      </c>
      <c r="BI105" s="14" t="n">
        <v>0.5679999999999999</v>
      </c>
      <c r="BJ105" s="14" t="n">
        <v>0.132</v>
      </c>
      <c r="BK105" s="14" t="n">
        <v>-0.223</v>
      </c>
      <c r="BL105" s="14" t="n">
        <v>0.397</v>
      </c>
      <c r="BM105" s="14" t="n">
        <v>0</v>
      </c>
      <c r="BN105" s="14" t="n">
        <v>0</v>
      </c>
      <c r="BO105" s="14" t="n">
        <v>0</v>
      </c>
      <c r="BP105" s="14" t="n">
        <v>0</v>
      </c>
      <c r="BQ105" s="14" t="n">
        <v>0.08400000000000001</v>
      </c>
      <c r="BR105" s="14" t="n">
        <v>0</v>
      </c>
      <c r="BS105" s="14" t="n">
        <v>0.5</v>
      </c>
      <c r="BT105" s="14" t="n">
        <v>0</v>
      </c>
      <c r="BU105" s="14" t="n">
        <v>0</v>
      </c>
      <c r="BV105" s="14" t="n">
        <v>0.113</v>
      </c>
      <c r="BW105" s="14" t="n">
        <v>0.149</v>
      </c>
      <c r="BX105" s="14" t="n">
        <v>0.833</v>
      </c>
      <c r="BY105" s="14" t="n">
        <v>13.646</v>
      </c>
      <c r="BZ105" s="14" t="n">
        <v>0</v>
      </c>
      <c r="CA105" s="14" t="n">
        <v>13.646</v>
      </c>
      <c r="CB105" s="14" t="n">
        <v>0</v>
      </c>
      <c r="CC105" s="14" t="n">
        <v>82.58799999999999</v>
      </c>
      <c r="CD105" s="14" t="n">
        <v>7.95</v>
      </c>
      <c r="CE105" s="14" t="n">
        <v>-26.95</v>
      </c>
      <c r="CF105" s="14" t="n">
        <v>63.95</v>
      </c>
      <c r="CG105" s="14" t="n">
        <v>0</v>
      </c>
      <c r="CH105" s="14" t="n">
        <v>0</v>
      </c>
      <c r="CI105" s="14" t="n">
        <v>0</v>
      </c>
      <c r="CJ105" s="14" t="n">
        <v>0</v>
      </c>
      <c r="CK105" s="14" t="n">
        <v>0</v>
      </c>
      <c r="CL105" s="14" t="n">
        <v>0</v>
      </c>
      <c r="CM105" s="14" t="n">
        <v>0</v>
      </c>
      <c r="CN105" s="14" t="n">
        <v>0</v>
      </c>
      <c r="CO105" s="14" t="n">
        <v>0</v>
      </c>
      <c r="CP105" s="14" t="n">
        <v>0</v>
      </c>
      <c r="CQ105" s="14" t="n">
        <v>1.387</v>
      </c>
      <c r="CR105" s="14" t="n">
        <v>1</v>
      </c>
      <c r="CS105" s="14" t="n">
        <v>7.598</v>
      </c>
      <c r="CT105" s="14" t="n">
        <v>4.251</v>
      </c>
      <c r="CU105" s="14" t="n">
        <v>7.598</v>
      </c>
    </row>
    <row r="106">
      <c r="A106" s="14" t="inlineStr">
        <is>
          <t>BIH2021</t>
        </is>
      </c>
      <c r="B106" s="14" t="inlineStr">
        <is>
          <t>BIH</t>
        </is>
      </c>
      <c r="C106" s="14" t="inlineStr">
        <is>
          <t>BIH</t>
        </is>
      </c>
      <c r="D106" s="14" t="inlineStr">
        <is>
          <t>Bosnia and Herzegovina</t>
        </is>
      </c>
      <c r="E106" s="14" t="n">
        <v>2021</v>
      </c>
      <c r="F106" s="14" t="n">
        <v>0.17</v>
      </c>
      <c r="G106" s="14" t="n">
        <v>2.809</v>
      </c>
      <c r="H106" s="14" t="n">
        <v>0.729</v>
      </c>
      <c r="I106" s="14" t="n">
        <v>0.124</v>
      </c>
      <c r="J106" s="14" t="n">
        <v>2.933</v>
      </c>
      <c r="K106" s="14" t="n">
        <v>0</v>
      </c>
      <c r="L106" s="14" t="n">
        <v>1</v>
      </c>
      <c r="M106" s="14" t="n">
        <v>4.301</v>
      </c>
      <c r="N106" s="14" t="n">
        <v>2.186</v>
      </c>
      <c r="O106" s="14" t="n">
        <v>-1.368</v>
      </c>
      <c r="P106" s="14" t="n">
        <v>2.933</v>
      </c>
      <c r="Q106" s="14" t="n">
        <v>0</v>
      </c>
      <c r="R106" s="14" t="n">
        <v>0</v>
      </c>
      <c r="S106" s="14" t="n">
        <v>6.452</v>
      </c>
      <c r="T106" s="14" t="n">
        <v>4.372</v>
      </c>
      <c r="U106" s="14" t="n">
        <v>0</v>
      </c>
      <c r="V106" s="14" t="n">
        <v>7.549</v>
      </c>
      <c r="W106" s="14" t="n">
        <v>0.17</v>
      </c>
      <c r="X106" s="14" t="n">
        <v>1</v>
      </c>
      <c r="Y106" s="14" t="n">
        <v>22.51</v>
      </c>
      <c r="Z106" s="14" t="n">
        <v>2.486</v>
      </c>
      <c r="AA106" s="14" t="n">
        <v>-10.342</v>
      </c>
      <c r="AB106" s="14" t="n">
        <v>12.168</v>
      </c>
      <c r="AC106" s="14" t="n">
        <v>0</v>
      </c>
      <c r="AD106" s="14" t="n">
        <v>1</v>
      </c>
      <c r="AE106" s="14" t="n">
        <v>22.467</v>
      </c>
      <c r="AF106" s="14" t="n">
        <v>4.421</v>
      </c>
      <c r="AG106" s="14" t="n">
        <v>-10.298</v>
      </c>
      <c r="AH106" s="14" t="n">
        <v>12.168</v>
      </c>
      <c r="AI106" s="14" t="n">
        <v>0</v>
      </c>
      <c r="AJ106" s="14" t="n">
        <v>1</v>
      </c>
      <c r="AK106" s="14" t="n">
        <v>26.868</v>
      </c>
      <c r="AL106" s="14" t="n">
        <v>13.187</v>
      </c>
      <c r="AM106" s="14" t="n">
        <v>-17.256</v>
      </c>
      <c r="AN106" s="14" t="n">
        <v>11.246</v>
      </c>
      <c r="AO106" s="14" t="n">
        <v>0</v>
      </c>
      <c r="AP106" s="14" t="n">
        <v>0</v>
      </c>
      <c r="AQ106" s="14" t="n">
        <v>0.619</v>
      </c>
      <c r="AR106" s="14" t="n">
        <v>0.114</v>
      </c>
      <c r="AS106" s="14" t="n">
        <v>0.5</v>
      </c>
      <c r="AT106" s="14" t="n">
        <v>1.31</v>
      </c>
      <c r="AU106" s="14" t="n">
        <v>0.17</v>
      </c>
      <c r="AV106" s="14" t="n">
        <v>1</v>
      </c>
      <c r="AW106" s="14" t="n">
        <v>0.599</v>
      </c>
      <c r="AX106" s="14" t="n">
        <v>0.114</v>
      </c>
      <c r="AY106" s="14" t="n">
        <v>0.486</v>
      </c>
      <c r="AZ106" s="14" t="n">
        <v>1.27</v>
      </c>
      <c r="BA106" s="14" t="n">
        <v>0.17</v>
      </c>
      <c r="BB106" s="14" t="n">
        <v>1</v>
      </c>
      <c r="BC106" s="14" t="n">
        <v>0.439</v>
      </c>
      <c r="BD106" s="14" t="n">
        <v>0.114</v>
      </c>
      <c r="BE106" s="14" t="n">
        <v>0.184</v>
      </c>
      <c r="BF106" s="14" t="n">
        <v>0.729</v>
      </c>
      <c r="BG106" s="14" t="n">
        <v>0.17</v>
      </c>
      <c r="BH106" s="14" t="n">
        <v>1</v>
      </c>
      <c r="BI106" s="14" t="n">
        <v>0.505</v>
      </c>
      <c r="BJ106" s="14" t="n">
        <v>0.114</v>
      </c>
      <c r="BK106" s="14" t="n">
        <v>0.19</v>
      </c>
      <c r="BL106" s="14" t="n">
        <v>0.8129999999999999</v>
      </c>
      <c r="BM106" s="14" t="n">
        <v>0.17</v>
      </c>
      <c r="BN106" s="14" t="n">
        <v>1</v>
      </c>
      <c r="BO106" s="14" t="n">
        <v>0</v>
      </c>
      <c r="BP106" s="14" t="n">
        <v>0.003</v>
      </c>
      <c r="BQ106" s="14" t="n">
        <v>0.07199999999999999</v>
      </c>
      <c r="BR106" s="14" t="n">
        <v>0</v>
      </c>
      <c r="BS106" s="14" t="n">
        <v>1</v>
      </c>
      <c r="BT106" s="14" t="n">
        <v>0</v>
      </c>
      <c r="BU106" s="14" t="n">
        <v>0.003</v>
      </c>
      <c r="BV106" s="14" t="n">
        <v>0.103</v>
      </c>
      <c r="BW106" s="14" t="n">
        <v>0.17</v>
      </c>
      <c r="BX106" s="14" t="n">
        <v>1</v>
      </c>
      <c r="BY106" s="14" t="n">
        <v>11.787</v>
      </c>
      <c r="BZ106" s="14" t="n">
        <v>0</v>
      </c>
      <c r="CA106" s="14" t="n">
        <v>11.787</v>
      </c>
      <c r="CB106" s="14" t="n">
        <v>0</v>
      </c>
      <c r="CC106" s="14" t="n">
        <v>78.125</v>
      </c>
      <c r="CD106" s="14" t="n">
        <v>7.95</v>
      </c>
      <c r="CE106" s="14" t="n">
        <v>0</v>
      </c>
      <c r="CF106" s="14" t="n">
        <v>91.40600000000001</v>
      </c>
      <c r="CG106" s="14" t="n">
        <v>0.17</v>
      </c>
      <c r="CH106" s="14" t="n">
        <v>1</v>
      </c>
      <c r="CI106" s="14" t="n">
        <v>0</v>
      </c>
      <c r="CJ106" s="14" t="n">
        <v>0</v>
      </c>
      <c r="CK106" s="14" t="n">
        <v>0</v>
      </c>
      <c r="CL106" s="14" t="n">
        <v>0</v>
      </c>
      <c r="CM106" s="14" t="n">
        <v>0</v>
      </c>
      <c r="CN106" s="14" t="n">
        <v>0</v>
      </c>
      <c r="CO106" s="14" t="n">
        <v>0</v>
      </c>
      <c r="CP106" s="14" t="n">
        <v>0.725</v>
      </c>
      <c r="CQ106" s="14" t="n">
        <v>1.198</v>
      </c>
      <c r="CR106" s="14" t="n">
        <v>0</v>
      </c>
      <c r="CS106" s="14" t="n">
        <v>4.776</v>
      </c>
      <c r="CT106" s="14" t="n">
        <v>4.41</v>
      </c>
      <c r="CU106" s="14" t="n">
        <v>20.363</v>
      </c>
    </row>
    <row r="107">
      <c r="A107" s="14" t="inlineStr">
        <is>
          <t>BIH2022</t>
        </is>
      </c>
      <c r="B107" s="14" t="inlineStr">
        <is>
          <t>BIH</t>
        </is>
      </c>
      <c r="C107" s="14" t="inlineStr">
        <is>
          <t>BIH</t>
        </is>
      </c>
      <c r="D107" s="14" t="inlineStr">
        <is>
          <t>Bosnia and Herzegovina</t>
        </is>
      </c>
      <c r="E107" s="14" t="n">
        <v>2022</v>
      </c>
      <c r="F107" s="14" t="n">
        <v>0.17</v>
      </c>
      <c r="G107" s="14" t="n">
        <v>3.179</v>
      </c>
      <c r="H107" s="14" t="n">
        <v>0.769</v>
      </c>
      <c r="I107" s="14" t="n">
        <v>0.134</v>
      </c>
      <c r="J107" s="14" t="n">
        <v>3.313</v>
      </c>
      <c r="K107" s="14" t="n">
        <v>0</v>
      </c>
      <c r="L107" s="14" t="n">
        <v>1</v>
      </c>
      <c r="M107" s="14" t="n">
        <v>4.775</v>
      </c>
      <c r="N107" s="14" t="n">
        <v>2.307</v>
      </c>
      <c r="O107" s="14" t="n">
        <v>-1.477</v>
      </c>
      <c r="P107" s="14" t="n">
        <v>3.298</v>
      </c>
      <c r="Q107" s="14" t="n">
        <v>0</v>
      </c>
      <c r="R107" s="14" t="n">
        <v>0</v>
      </c>
      <c r="S107" s="14" t="n">
        <v>7.023</v>
      </c>
      <c r="T107" s="14" t="n">
        <v>4.613</v>
      </c>
      <c r="U107" s="14" t="n">
        <v>0.08799999999999999</v>
      </c>
      <c r="V107" s="14" t="n">
        <v>8.217000000000001</v>
      </c>
      <c r="W107" s="14" t="n">
        <v>0.17</v>
      </c>
      <c r="X107" s="14" t="n">
        <v>1</v>
      </c>
      <c r="Y107" s="14" t="n">
        <v>50.269</v>
      </c>
      <c r="Z107" s="14" t="n">
        <v>5.273</v>
      </c>
      <c r="AA107" s="14" t="n">
        <v>-34.302</v>
      </c>
      <c r="AB107" s="14" t="n">
        <v>15.967</v>
      </c>
      <c r="AC107" s="14" t="n">
        <v>0</v>
      </c>
      <c r="AD107" s="14" t="n">
        <v>1</v>
      </c>
      <c r="AE107" s="14" t="n">
        <v>50.317</v>
      </c>
      <c r="AF107" s="14" t="n">
        <v>9.327999999999999</v>
      </c>
      <c r="AG107" s="14" t="n">
        <v>-34.349</v>
      </c>
      <c r="AH107" s="14" t="n">
        <v>15.967</v>
      </c>
      <c r="AI107" s="14" t="n">
        <v>0</v>
      </c>
      <c r="AJ107" s="14" t="n">
        <v>1</v>
      </c>
      <c r="AK107" s="14" t="n">
        <v>55.255</v>
      </c>
      <c r="AL107" s="14" t="n">
        <v>26.386</v>
      </c>
      <c r="AM107" s="14" t="n">
        <v>-41.591</v>
      </c>
      <c r="AN107" s="14" t="n">
        <v>15.987</v>
      </c>
      <c r="AO107" s="14" t="n">
        <v>0</v>
      </c>
      <c r="AP107" s="14" t="n">
        <v>0</v>
      </c>
      <c r="AQ107" s="14" t="n">
        <v>0.861</v>
      </c>
      <c r="AR107" s="14" t="n">
        <v>0.123</v>
      </c>
      <c r="AS107" s="14" t="n">
        <v>0.473</v>
      </c>
      <c r="AT107" s="14" t="n">
        <v>1.561</v>
      </c>
      <c r="AU107" s="14" t="n">
        <v>0.17</v>
      </c>
      <c r="AV107" s="14" t="n">
        <v>1</v>
      </c>
      <c r="AW107" s="14" t="n">
        <v>0.986</v>
      </c>
      <c r="AX107" s="14" t="n">
        <v>0.123</v>
      </c>
      <c r="AY107" s="14" t="n">
        <v>0.452</v>
      </c>
      <c r="AZ107" s="14" t="n">
        <v>1.683</v>
      </c>
      <c r="BA107" s="14" t="n">
        <v>0.17</v>
      </c>
      <c r="BB107" s="14" t="n">
        <v>1</v>
      </c>
      <c r="BC107" s="14" t="n">
        <v>0.598</v>
      </c>
      <c r="BD107" s="14" t="n">
        <v>0.123</v>
      </c>
      <c r="BE107" s="14" t="n">
        <v>0.135</v>
      </c>
      <c r="BF107" s="14" t="n">
        <v>0.857</v>
      </c>
      <c r="BG107" s="14" t="n">
        <v>0.17</v>
      </c>
      <c r="BH107" s="14" t="n">
        <v>1</v>
      </c>
      <c r="BI107" s="14" t="n">
        <v>0.612</v>
      </c>
      <c r="BJ107" s="14" t="n">
        <v>0.123</v>
      </c>
      <c r="BK107" s="14" t="n">
        <v>0.217</v>
      </c>
      <c r="BL107" s="14" t="n">
        <v>0.959</v>
      </c>
      <c r="BM107" s="14" t="n">
        <v>0.17</v>
      </c>
      <c r="BN107" s="14" t="n">
        <v>1</v>
      </c>
      <c r="BO107" s="14" t="n">
        <v>0</v>
      </c>
      <c r="BP107" s="14" t="n">
        <v>0.003</v>
      </c>
      <c r="BQ107" s="14" t="n">
        <v>0.08599999999999999</v>
      </c>
      <c r="BR107" s="14" t="n">
        <v>0</v>
      </c>
      <c r="BS107" s="14" t="n">
        <v>1</v>
      </c>
      <c r="BT107" s="14" t="n">
        <v>0</v>
      </c>
      <c r="BU107" s="14" t="n">
        <v>0.003</v>
      </c>
      <c r="BV107" s="14" t="n">
        <v>0.094</v>
      </c>
      <c r="BW107" s="14" t="n">
        <v>0.17</v>
      </c>
      <c r="BX107" s="14" t="n">
        <v>1</v>
      </c>
      <c r="BY107" s="14" t="n">
        <v>12.729</v>
      </c>
      <c r="BZ107" s="14" t="n">
        <v>0</v>
      </c>
      <c r="CA107" s="14" t="n">
        <v>12.729</v>
      </c>
      <c r="CB107" s="14" t="n">
        <v>0</v>
      </c>
      <c r="CC107" s="14" t="n">
        <v>97.90000000000001</v>
      </c>
      <c r="CD107" s="14" t="n">
        <v>7.95</v>
      </c>
      <c r="CE107" s="14" t="n">
        <v>1.232</v>
      </c>
      <c r="CF107" s="14" t="n">
        <v>114.543</v>
      </c>
      <c r="CG107" s="14" t="n">
        <v>0.17</v>
      </c>
      <c r="CH107" s="14" t="n">
        <v>1</v>
      </c>
      <c r="CI107" s="14" t="n">
        <v>0</v>
      </c>
      <c r="CJ107" s="14" t="n">
        <v>0</v>
      </c>
      <c r="CK107" s="14" t="n">
        <v>0</v>
      </c>
      <c r="CL107" s="14" t="n">
        <v>0</v>
      </c>
      <c r="CM107" s="14" t="n">
        <v>0</v>
      </c>
      <c r="CN107" s="14" t="n">
        <v>0</v>
      </c>
      <c r="CO107" s="14" t="n">
        <v>0</v>
      </c>
      <c r="CP107" s="14" t="n">
        <v>0.755</v>
      </c>
      <c r="CQ107" s="14" t="n">
        <v>1.294</v>
      </c>
      <c r="CR107" s="14" t="n">
        <v>0</v>
      </c>
      <c r="CS107" s="14" t="n">
        <v>5.158</v>
      </c>
      <c r="CT107" s="14" t="n">
        <v>5.842</v>
      </c>
      <c r="CU107" s="14" t="n">
        <v>48.03</v>
      </c>
    </row>
    <row r="108">
      <c r="A108" s="14" t="inlineStr">
        <is>
          <t>BIH2023</t>
        </is>
      </c>
      <c r="B108" s="14" t="inlineStr">
        <is>
          <t>BIH</t>
        </is>
      </c>
      <c r="C108" s="14" t="inlineStr">
        <is>
          <t>BIH</t>
        </is>
      </c>
      <c r="D108" s="14" t="inlineStr">
        <is>
          <t>Bosnia and Herzegovina</t>
        </is>
      </c>
      <c r="E108" s="14" t="n">
        <v>2023</v>
      </c>
      <c r="F108" s="14" t="n">
        <v>0.17</v>
      </c>
      <c r="G108" s="14" t="n">
        <v>2.595</v>
      </c>
      <c r="H108" s="14" t="n">
        <v>0.784</v>
      </c>
      <c r="I108" s="14" t="n">
        <v>0.139</v>
      </c>
      <c r="J108" s="14" t="n">
        <v>2.734</v>
      </c>
      <c r="K108" s="14" t="n">
        <v>0</v>
      </c>
      <c r="L108" s="14" t="n">
        <v>1</v>
      </c>
      <c r="M108" s="14" t="n">
        <v>4.285</v>
      </c>
      <c r="N108" s="14" t="n">
        <v>2.351</v>
      </c>
      <c r="O108" s="14" t="n">
        <v>-1.538</v>
      </c>
      <c r="P108" s="14" t="n">
        <v>2.747</v>
      </c>
      <c r="Q108" s="14" t="n">
        <v>0</v>
      </c>
      <c r="R108" s="14" t="n">
        <v>0</v>
      </c>
      <c r="S108" s="14" t="n">
        <v>6.513</v>
      </c>
      <c r="T108" s="14" t="n">
        <v>4.701</v>
      </c>
      <c r="U108" s="14" t="n">
        <v>0.123</v>
      </c>
      <c r="V108" s="14" t="n">
        <v>7.62</v>
      </c>
      <c r="W108" s="14" t="n">
        <v>0.17</v>
      </c>
      <c r="X108" s="14" t="n">
        <v>1</v>
      </c>
      <c r="Y108" s="14" t="n">
        <v>18.781</v>
      </c>
      <c r="Z108" s="14" t="n">
        <v>2.104</v>
      </c>
      <c r="AA108" s="14" t="n">
        <v>-2.333</v>
      </c>
      <c r="AB108" s="14" t="n">
        <v>16.448</v>
      </c>
      <c r="AC108" s="14" t="n">
        <v>0</v>
      </c>
      <c r="AD108" s="14" t="n">
        <v>1</v>
      </c>
      <c r="AE108" s="14" t="n">
        <v>18.88</v>
      </c>
      <c r="AF108" s="14" t="n">
        <v>3.76</v>
      </c>
      <c r="AG108" s="14" t="n">
        <v>-2.432</v>
      </c>
      <c r="AH108" s="14" t="n">
        <v>16.448</v>
      </c>
      <c r="AI108" s="14" t="n">
        <v>0</v>
      </c>
      <c r="AJ108" s="14" t="n">
        <v>1</v>
      </c>
      <c r="AK108" s="14" t="n">
        <v>24.023</v>
      </c>
      <c r="AL108" s="14" t="n">
        <v>11.9</v>
      </c>
      <c r="AM108" s="14" t="n">
        <v>-9.874000000000001</v>
      </c>
      <c r="AN108" s="14" t="n">
        <v>16.554</v>
      </c>
      <c r="AO108" s="14" t="n">
        <v>0</v>
      </c>
      <c r="AP108" s="14" t="n">
        <v>0</v>
      </c>
      <c r="AQ108" s="14" t="n">
        <v>0.76</v>
      </c>
      <c r="AR108" s="14" t="n">
        <v>0.129</v>
      </c>
      <c r="AS108" s="14" t="n">
        <v>0.49</v>
      </c>
      <c r="AT108" s="14" t="n">
        <v>1.463</v>
      </c>
      <c r="AU108" s="14" t="n">
        <v>0.17</v>
      </c>
      <c r="AV108" s="14" t="n">
        <v>1</v>
      </c>
      <c r="AW108" s="14" t="n">
        <v>0.8110000000000001</v>
      </c>
      <c r="AX108" s="14" t="n">
        <v>0.129</v>
      </c>
      <c r="AY108" s="14" t="n">
        <v>0.456</v>
      </c>
      <c r="AZ108" s="14" t="n">
        <v>1.482</v>
      </c>
      <c r="BA108" s="14" t="n">
        <v>0.17</v>
      </c>
      <c r="BB108" s="14" t="n">
        <v>1</v>
      </c>
      <c r="BC108" s="14" t="n">
        <v>0.535</v>
      </c>
      <c r="BD108" s="14" t="n">
        <v>0.129</v>
      </c>
      <c r="BE108" s="14" t="n">
        <v>0.095</v>
      </c>
      <c r="BF108" s="14" t="n">
        <v>0.737</v>
      </c>
      <c r="BG108" s="14" t="n">
        <v>0.17</v>
      </c>
      <c r="BH108" s="14" t="n">
        <v>1</v>
      </c>
      <c r="BI108" s="14" t="n">
        <v>0.579</v>
      </c>
      <c r="BJ108" s="14" t="n">
        <v>0.129</v>
      </c>
      <c r="BK108" s="14" t="n">
        <v>0.229</v>
      </c>
      <c r="BL108" s="14" t="n">
        <v>0.929</v>
      </c>
      <c r="BM108" s="14" t="n">
        <v>0.17</v>
      </c>
      <c r="BN108" s="14" t="n">
        <v>1</v>
      </c>
      <c r="BO108" s="14" t="n">
        <v>0</v>
      </c>
      <c r="BP108" s="14" t="n">
        <v>0.001</v>
      </c>
      <c r="BQ108" s="14" t="n">
        <v>0.092</v>
      </c>
      <c r="BR108" s="14" t="n">
        <v>0</v>
      </c>
      <c r="BS108" s="14" t="n">
        <v>1</v>
      </c>
      <c r="BT108" s="14" t="n">
        <v>0</v>
      </c>
      <c r="BU108" s="14" t="n">
        <v>0.001</v>
      </c>
      <c r="BV108" s="14" t="n">
        <v>0.093</v>
      </c>
      <c r="BW108" s="14" t="n">
        <v>0.17</v>
      </c>
      <c r="BX108" s="14" t="n">
        <v>1</v>
      </c>
      <c r="BY108" s="14" t="n">
        <v>13.254</v>
      </c>
      <c r="BZ108" s="14" t="n">
        <v>0</v>
      </c>
      <c r="CA108" s="14" t="n">
        <v>13.254</v>
      </c>
      <c r="CB108" s="14" t="n">
        <v>0</v>
      </c>
      <c r="CC108" s="14" t="n">
        <v>83.248</v>
      </c>
      <c r="CD108" s="14" t="n">
        <v>7.95</v>
      </c>
      <c r="CE108" s="14" t="n">
        <v>1.567</v>
      </c>
      <c r="CF108" s="14" t="n">
        <v>97.40000000000001</v>
      </c>
      <c r="CG108" s="14" t="n">
        <v>0.17</v>
      </c>
      <c r="CH108" s="14" t="n">
        <v>1</v>
      </c>
      <c r="CI108" s="14" t="n">
        <v>0</v>
      </c>
      <c r="CJ108" s="14" t="n">
        <v>0</v>
      </c>
      <c r="CK108" s="14" t="n">
        <v>0</v>
      </c>
      <c r="CL108" s="14" t="n">
        <v>0</v>
      </c>
      <c r="CM108" s="14" t="n">
        <v>0</v>
      </c>
      <c r="CN108" s="14" t="n">
        <v>0</v>
      </c>
      <c r="CO108" s="14" t="n">
        <v>0</v>
      </c>
      <c r="CP108" s="14" t="n">
        <v>0.781</v>
      </c>
      <c r="CQ108" s="14" t="n">
        <v>1.348</v>
      </c>
      <c r="CR108" s="14" t="n">
        <v>0</v>
      </c>
      <c r="CS108" s="14" t="n">
        <v>5.37</v>
      </c>
      <c r="CT108" s="14" t="n">
        <v>3.466</v>
      </c>
      <c r="CU108" s="14" t="n">
        <v>16.492</v>
      </c>
    </row>
    <row r="109">
      <c r="A109" s="14" t="inlineStr">
        <is>
          <t>BIH2024</t>
        </is>
      </c>
      <c r="B109" s="14" t="inlineStr">
        <is>
          <t>BIH</t>
        </is>
      </c>
      <c r="C109" s="14" t="inlineStr">
        <is>
          <t>BIH</t>
        </is>
      </c>
      <c r="D109" s="14" t="inlineStr">
        <is>
          <t>Bosnia and Herzegovina</t>
        </is>
      </c>
      <c r="E109" s="14" t="n">
        <v>2024</v>
      </c>
      <c r="F109" s="14" t="n">
        <v>0.17</v>
      </c>
      <c r="G109" s="14" t="n">
        <v>2.553</v>
      </c>
      <c r="H109" s="14" t="n">
        <v>0.8070000000000001</v>
      </c>
      <c r="I109" s="14" t="n">
        <v>0.143</v>
      </c>
      <c r="J109" s="14" t="n">
        <v>2.696</v>
      </c>
      <c r="K109" s="14" t="n">
        <v>0</v>
      </c>
      <c r="L109" s="14" t="n">
        <v>1</v>
      </c>
      <c r="M109" s="14" t="n">
        <v>4.194</v>
      </c>
      <c r="N109" s="14" t="n">
        <v>2.42</v>
      </c>
      <c r="O109" s="14" t="n">
        <v>-1.583</v>
      </c>
      <c r="P109" s="14" t="n">
        <v>2.61</v>
      </c>
      <c r="Q109" s="14" t="n">
        <v>0</v>
      </c>
      <c r="R109" s="14" t="n">
        <v>0</v>
      </c>
      <c r="S109" s="14" t="n">
        <v>6.586</v>
      </c>
      <c r="T109" s="14" t="n">
        <v>4.84</v>
      </c>
      <c r="U109" s="14" t="n">
        <v>0.153</v>
      </c>
      <c r="V109" s="14" t="n">
        <v>7.706</v>
      </c>
      <c r="W109" s="14" t="n">
        <v>0.17</v>
      </c>
      <c r="X109" s="14" t="n">
        <v>1</v>
      </c>
      <c r="Y109" s="14" t="n">
        <v>15.707</v>
      </c>
      <c r="Z109" s="14" t="n">
        <v>1.983</v>
      </c>
      <c r="AA109" s="14" t="n">
        <v>0.138</v>
      </c>
      <c r="AB109" s="14" t="n">
        <v>15.846</v>
      </c>
      <c r="AC109" s="14" t="n">
        <v>0</v>
      </c>
      <c r="AD109" s="14" t="n">
        <v>1</v>
      </c>
      <c r="AE109" s="14" t="n">
        <v>15.707</v>
      </c>
      <c r="AF109" s="14" t="n">
        <v>3.441</v>
      </c>
      <c r="AG109" s="14" t="n">
        <v>0.138</v>
      </c>
      <c r="AH109" s="14" t="n">
        <v>15.846</v>
      </c>
      <c r="AI109" s="14" t="n">
        <v>0</v>
      </c>
      <c r="AJ109" s="14" t="n">
        <v>1</v>
      </c>
      <c r="AK109" s="14" t="n">
        <v>20.479</v>
      </c>
      <c r="AL109" s="14" t="n">
        <v>10.416</v>
      </c>
      <c r="AM109" s="14" t="n">
        <v>-6.978</v>
      </c>
      <c r="AN109" s="14" t="n">
        <v>15.796</v>
      </c>
      <c r="AO109" s="14" t="n">
        <v>0</v>
      </c>
      <c r="AP109" s="14" t="n">
        <v>0</v>
      </c>
      <c r="AQ109" s="14" t="n">
        <v>0.724</v>
      </c>
      <c r="AR109" s="14" t="n">
        <v>0.132</v>
      </c>
      <c r="AS109" s="14" t="n">
        <v>0.486</v>
      </c>
      <c r="AT109" s="14" t="n">
        <v>1.416</v>
      </c>
      <c r="AU109" s="14" t="n">
        <v>0.17</v>
      </c>
      <c r="AV109" s="14" t="n">
        <v>1</v>
      </c>
      <c r="AW109" s="14" t="n">
        <v>0.75</v>
      </c>
      <c r="AX109" s="14" t="n">
        <v>0.132</v>
      </c>
      <c r="AY109" s="14" t="n">
        <v>0.448</v>
      </c>
      <c r="AZ109" s="14" t="n">
        <v>1.402</v>
      </c>
      <c r="BA109" s="14" t="n">
        <v>0.17</v>
      </c>
      <c r="BB109" s="14" t="n">
        <v>1</v>
      </c>
      <c r="BC109" s="14" t="n">
        <v>0.513</v>
      </c>
      <c r="BD109" s="14" t="n">
        <v>0.132</v>
      </c>
      <c r="BE109" s="14" t="n">
        <v>0.08799999999999999</v>
      </c>
      <c r="BF109" s="14" t="n">
        <v>0.703</v>
      </c>
      <c r="BG109" s="14" t="n">
        <v>0.17</v>
      </c>
      <c r="BH109" s="14" t="n">
        <v>1</v>
      </c>
      <c r="BI109" s="14" t="n">
        <v>0.591</v>
      </c>
      <c r="BJ109" s="14" t="n">
        <v>0.132</v>
      </c>
      <c r="BK109" s="14" t="n">
        <v>0.239</v>
      </c>
      <c r="BL109" s="14" t="n">
        <v>0.95</v>
      </c>
      <c r="BM109" s="14" t="n">
        <v>0.17</v>
      </c>
      <c r="BN109" s="14" t="n">
        <v>1</v>
      </c>
      <c r="BO109" s="14" t="n">
        <v>0</v>
      </c>
      <c r="BP109" s="14" t="n">
        <v>0</v>
      </c>
      <c r="BQ109" s="14" t="n">
        <v>0.096</v>
      </c>
      <c r="BR109" s="14" t="n">
        <v>0</v>
      </c>
      <c r="BS109" s="14" t="n">
        <v>1</v>
      </c>
      <c r="BT109" s="14" t="n">
        <v>0</v>
      </c>
      <c r="BU109" s="14" t="n">
        <v>0.001</v>
      </c>
      <c r="BV109" s="14" t="n">
        <v>0.095</v>
      </c>
      <c r="BW109" s="14" t="n">
        <v>0.17</v>
      </c>
      <c r="BX109" s="14" t="n">
        <v>1</v>
      </c>
      <c r="BY109" s="14" t="n">
        <v>13.646</v>
      </c>
      <c r="BZ109" s="14" t="n">
        <v>0</v>
      </c>
      <c r="CA109" s="14" t="n">
        <v>13.646</v>
      </c>
      <c r="CB109" s="14" t="n">
        <v>0</v>
      </c>
      <c r="CC109" s="14" t="n">
        <v>82.58799999999999</v>
      </c>
      <c r="CD109" s="14" t="n">
        <v>7.95</v>
      </c>
      <c r="CE109" s="14" t="n">
        <v>1.912</v>
      </c>
      <c r="CF109" s="14" t="n">
        <v>96.628</v>
      </c>
      <c r="CG109" s="14" t="n">
        <v>0.17</v>
      </c>
      <c r="CH109" s="14" t="n">
        <v>1</v>
      </c>
      <c r="CI109" s="14" t="n">
        <v>0</v>
      </c>
      <c r="CJ109" s="14" t="n">
        <v>0</v>
      </c>
      <c r="CK109" s="14" t="n">
        <v>0</v>
      </c>
      <c r="CL109" s="14" t="n">
        <v>0</v>
      </c>
      <c r="CM109" s="14" t="n">
        <v>0</v>
      </c>
      <c r="CN109" s="14" t="n">
        <v>0</v>
      </c>
      <c r="CO109" s="14" t="n">
        <v>0</v>
      </c>
      <c r="CP109" s="14" t="n">
        <v>0.781</v>
      </c>
      <c r="CQ109" s="14" t="n">
        <v>1.387</v>
      </c>
      <c r="CR109" s="14" t="n">
        <v>0</v>
      </c>
      <c r="CS109" s="14" t="n">
        <v>5.529</v>
      </c>
      <c r="CT109" s="14" t="n">
        <v>3.027</v>
      </c>
      <c r="CU109" s="14" t="n">
        <v>13.942</v>
      </c>
    </row>
    <row r="110">
      <c r="A110" s="14" t="inlineStr">
        <is>
          <t>BWA2021</t>
        </is>
      </c>
      <c r="B110" s="14" t="inlineStr">
        <is>
          <t>BWA</t>
        </is>
      </c>
      <c r="C110" s="14" t="inlineStr">
        <is>
          <t>BWA</t>
        </is>
      </c>
      <c r="D110" s="14" t="inlineStr">
        <is>
          <t>Botswana</t>
        </is>
      </c>
      <c r="E110" s="14" t="n">
        <v>2021</v>
      </c>
      <c r="F110" s="14" t="n">
        <v>0.12</v>
      </c>
      <c r="G110" s="14" t="n">
        <v>1.77</v>
      </c>
      <c r="H110" s="14" t="n">
        <v>0.572</v>
      </c>
      <c r="I110" s="14" t="n">
        <v>0</v>
      </c>
      <c r="J110" s="14" t="n">
        <v>1.77</v>
      </c>
      <c r="K110" s="14" t="n">
        <v>0</v>
      </c>
      <c r="L110" s="14" t="n">
        <v>1</v>
      </c>
      <c r="M110" s="14" t="n">
        <v>2.913</v>
      </c>
      <c r="N110" s="14" t="n">
        <v>1.715</v>
      </c>
      <c r="O110" s="14" t="n">
        <v>0</v>
      </c>
      <c r="P110" s="14" t="n">
        <v>2.913</v>
      </c>
      <c r="Q110" s="14" t="n">
        <v>0</v>
      </c>
      <c r="R110" s="14" t="n">
        <v>1</v>
      </c>
      <c r="S110" s="14" t="n">
        <v>4.628</v>
      </c>
      <c r="T110" s="14" t="n">
        <v>3.43</v>
      </c>
      <c r="U110" s="14" t="n">
        <v>0</v>
      </c>
      <c r="V110" s="14" t="n">
        <v>5.276</v>
      </c>
      <c r="W110" s="14" t="n">
        <v>0.14</v>
      </c>
      <c r="X110" s="14" t="n">
        <v>1</v>
      </c>
      <c r="Y110" s="14" t="n">
        <v>14.663</v>
      </c>
      <c r="Z110" s="14" t="n">
        <v>1.982</v>
      </c>
      <c r="AA110" s="14" t="n">
        <v>0</v>
      </c>
      <c r="AB110" s="14" t="n">
        <v>14.663</v>
      </c>
      <c r="AC110" s="14" t="n">
        <v>0</v>
      </c>
      <c r="AD110" s="14" t="n">
        <v>1</v>
      </c>
      <c r="AE110" s="14" t="n">
        <v>15.806</v>
      </c>
      <c r="AF110" s="14" t="n">
        <v>3.696</v>
      </c>
      <c r="AG110" s="14" t="n">
        <v>0</v>
      </c>
      <c r="AH110" s="14" t="n">
        <v>15.806</v>
      </c>
      <c r="AI110" s="14" t="n">
        <v>0</v>
      </c>
      <c r="AJ110" s="14" t="n">
        <v>1</v>
      </c>
      <c r="AK110" s="14" t="n">
        <v>22.666</v>
      </c>
      <c r="AL110" s="14" t="n">
        <v>12.072</v>
      </c>
      <c r="AM110" s="14" t="n">
        <v>0</v>
      </c>
      <c r="AN110" s="14" t="n">
        <v>25.839</v>
      </c>
      <c r="AO110" s="14" t="n">
        <v>0.14</v>
      </c>
      <c r="AP110" s="14" t="n">
        <v>1</v>
      </c>
      <c r="AQ110" s="14" t="n">
        <v>0.619</v>
      </c>
      <c r="AR110" s="14" t="n">
        <v>0.114</v>
      </c>
      <c r="AS110" s="14" t="n">
        <v>0.424</v>
      </c>
      <c r="AT110" s="14" t="n">
        <v>1.189</v>
      </c>
      <c r="AU110" s="14" t="n">
        <v>0.14</v>
      </c>
      <c r="AV110" s="14" t="n">
        <v>1</v>
      </c>
      <c r="AW110" s="14" t="n">
        <v>0.599</v>
      </c>
      <c r="AX110" s="14" t="n">
        <v>0.114</v>
      </c>
      <c r="AY110" s="14" t="n">
        <v>0.206</v>
      </c>
      <c r="AZ110" s="14" t="n">
        <v>0.918</v>
      </c>
      <c r="BA110" s="14" t="n">
        <v>0.14</v>
      </c>
      <c r="BB110" s="14" t="n">
        <v>1</v>
      </c>
      <c r="BC110" s="14" t="n">
        <v>0.439</v>
      </c>
      <c r="BD110" s="14" t="n">
        <v>0.114</v>
      </c>
      <c r="BE110" s="14" t="n">
        <v>0.679</v>
      </c>
      <c r="BF110" s="14" t="n">
        <v>1.118</v>
      </c>
      <c r="BG110" s="14" t="n">
        <v>0</v>
      </c>
      <c r="BH110" s="14" t="n">
        <v>1</v>
      </c>
      <c r="BI110" s="14" t="n">
        <v>0.505</v>
      </c>
      <c r="BJ110" s="14" t="n">
        <v>0.114</v>
      </c>
      <c r="BK110" s="14" t="n">
        <v>0.192</v>
      </c>
      <c r="BL110" s="14" t="n">
        <v>0.794</v>
      </c>
      <c r="BM110" s="14" t="n">
        <v>0.14</v>
      </c>
      <c r="BN110" s="14" t="n">
        <v>1</v>
      </c>
      <c r="BO110" s="14" t="n">
        <v>0</v>
      </c>
      <c r="BP110" s="14" t="n">
        <v>0</v>
      </c>
      <c r="BQ110" s="14" t="n">
        <v>0.124</v>
      </c>
      <c r="BR110" s="14" t="n">
        <v>0</v>
      </c>
      <c r="BS110" s="14" t="n">
        <v>1</v>
      </c>
      <c r="BT110" s="14" t="n">
        <v>0</v>
      </c>
      <c r="BU110" s="14" t="n">
        <v>0</v>
      </c>
      <c r="BV110" s="14" t="n">
        <v>0.108</v>
      </c>
      <c r="BW110" s="14" t="n">
        <v>0.14</v>
      </c>
      <c r="BX110" s="14" t="n">
        <v>1</v>
      </c>
      <c r="BY110" s="14" t="n">
        <v>11.787</v>
      </c>
      <c r="BZ110" s="14" t="n">
        <v>0</v>
      </c>
      <c r="CA110" s="14" t="n">
        <v>11.787</v>
      </c>
      <c r="CB110" s="14" t="n">
        <v>0</v>
      </c>
      <c r="CC110" s="14" t="n">
        <v>78.125</v>
      </c>
      <c r="CD110" s="14" t="n">
        <v>7.95</v>
      </c>
      <c r="CE110" s="14" t="n">
        <v>34.597</v>
      </c>
      <c r="CF110" s="14" t="n">
        <v>128.503</v>
      </c>
      <c r="CG110" s="14" t="n">
        <v>0.14</v>
      </c>
      <c r="CH110" s="14" t="n">
        <v>1</v>
      </c>
      <c r="CI110" s="14" t="n">
        <v>0</v>
      </c>
      <c r="CJ110" s="14" t="n">
        <v>0</v>
      </c>
      <c r="CK110" s="14" t="n">
        <v>0</v>
      </c>
      <c r="CL110" s="14" t="n">
        <v>0</v>
      </c>
      <c r="CM110" s="14" t="n">
        <v>0</v>
      </c>
      <c r="CN110" s="14" t="n">
        <v>0</v>
      </c>
      <c r="CO110" s="14" t="n">
        <v>0</v>
      </c>
      <c r="CP110" s="14" t="n">
        <v>1</v>
      </c>
      <c r="CQ110" s="14" t="n">
        <v>1.198</v>
      </c>
      <c r="CR110" s="14" t="n">
        <v>0</v>
      </c>
      <c r="CS110" s="14" t="n">
        <v>1.643</v>
      </c>
      <c r="CT110" s="14" t="n">
        <v>4.753</v>
      </c>
      <c r="CU110" s="14" t="n">
        <v>15.162</v>
      </c>
    </row>
    <row r="111">
      <c r="A111" s="14" t="inlineStr">
        <is>
          <t>BWA2022</t>
        </is>
      </c>
      <c r="B111" s="14" t="inlineStr">
        <is>
          <t>BWA</t>
        </is>
      </c>
      <c r="C111" s="14" t="inlineStr">
        <is>
          <t>BWA</t>
        </is>
      </c>
      <c r="D111" s="14" t="inlineStr">
        <is>
          <t>Botswana</t>
        </is>
      </c>
      <c r="E111" s="14" t="n">
        <v>2022</v>
      </c>
      <c r="F111" s="14" t="n">
        <v>0.12</v>
      </c>
      <c r="G111" s="14" t="n">
        <v>1.911</v>
      </c>
      <c r="H111" s="14" t="n">
        <v>0.617</v>
      </c>
      <c r="I111" s="14" t="n">
        <v>0</v>
      </c>
      <c r="J111" s="14" t="n">
        <v>1.911</v>
      </c>
      <c r="K111" s="14" t="n">
        <v>0</v>
      </c>
      <c r="L111" s="14" t="n">
        <v>1</v>
      </c>
      <c r="M111" s="14" t="n">
        <v>3.146</v>
      </c>
      <c r="N111" s="14" t="n">
        <v>1.852</v>
      </c>
      <c r="O111" s="14" t="n">
        <v>0</v>
      </c>
      <c r="P111" s="14" t="n">
        <v>3.146</v>
      </c>
      <c r="Q111" s="14" t="n">
        <v>0</v>
      </c>
      <c r="R111" s="14" t="n">
        <v>1</v>
      </c>
      <c r="S111" s="14" t="n">
        <v>4.998</v>
      </c>
      <c r="T111" s="14" t="n">
        <v>3.704</v>
      </c>
      <c r="U111" s="14" t="n">
        <v>0.052</v>
      </c>
      <c r="V111" s="14" t="n">
        <v>5.698</v>
      </c>
      <c r="W111" s="14" t="n">
        <v>0.14</v>
      </c>
      <c r="X111" s="14" t="n">
        <v>1</v>
      </c>
      <c r="Y111" s="14" t="n">
        <v>30.514</v>
      </c>
      <c r="Z111" s="14" t="n">
        <v>4.124</v>
      </c>
      <c r="AA111" s="14" t="n">
        <v>0</v>
      </c>
      <c r="AB111" s="14" t="n">
        <v>30.514</v>
      </c>
      <c r="AC111" s="14" t="n">
        <v>0</v>
      </c>
      <c r="AD111" s="14" t="n">
        <v>1</v>
      </c>
      <c r="AE111" s="14" t="n">
        <v>31.748</v>
      </c>
      <c r="AF111" s="14" t="n">
        <v>7.424</v>
      </c>
      <c r="AG111" s="14" t="n">
        <v>0</v>
      </c>
      <c r="AH111" s="14" t="n">
        <v>31.748</v>
      </c>
      <c r="AI111" s="14" t="n">
        <v>0</v>
      </c>
      <c r="AJ111" s="14" t="n">
        <v>1</v>
      </c>
      <c r="AK111" s="14" t="n">
        <v>39.157</v>
      </c>
      <c r="AL111" s="14" t="n">
        <v>20.855</v>
      </c>
      <c r="AM111" s="14" t="n">
        <v>0.406</v>
      </c>
      <c r="AN111" s="14" t="n">
        <v>44.638</v>
      </c>
      <c r="AO111" s="14" t="n">
        <v>0.14</v>
      </c>
      <c r="AP111" s="14" t="n">
        <v>1</v>
      </c>
      <c r="AQ111" s="14" t="n">
        <v>0.861</v>
      </c>
      <c r="AR111" s="14" t="n">
        <v>0.123</v>
      </c>
      <c r="AS111" s="14" t="n">
        <v>0.246</v>
      </c>
      <c r="AT111" s="14" t="n">
        <v>1.262</v>
      </c>
      <c r="AU111" s="14" t="n">
        <v>0.14</v>
      </c>
      <c r="AV111" s="14" t="n">
        <v>1</v>
      </c>
      <c r="AW111" s="14" t="n">
        <v>0.986</v>
      </c>
      <c r="AX111" s="14" t="n">
        <v>0.123</v>
      </c>
      <c r="AY111" s="14" t="n">
        <v>0.184</v>
      </c>
      <c r="AZ111" s="14" t="n">
        <v>1.334</v>
      </c>
      <c r="BA111" s="14" t="n">
        <v>0.14</v>
      </c>
      <c r="BB111" s="14" t="n">
        <v>1</v>
      </c>
      <c r="BC111" s="14" t="n">
        <v>0.598</v>
      </c>
      <c r="BD111" s="14" t="n">
        <v>0.123</v>
      </c>
      <c r="BE111" s="14" t="n">
        <v>0.529</v>
      </c>
      <c r="BF111" s="14" t="n">
        <v>1.127</v>
      </c>
      <c r="BG111" s="14" t="n">
        <v>0</v>
      </c>
      <c r="BH111" s="14" t="n">
        <v>1</v>
      </c>
      <c r="BI111" s="14" t="n">
        <v>0.612</v>
      </c>
      <c r="BJ111" s="14" t="n">
        <v>0.123</v>
      </c>
      <c r="BK111" s="14" t="n">
        <v>0.375</v>
      </c>
      <c r="BL111" s="14" t="n">
        <v>1.125</v>
      </c>
      <c r="BM111" s="14" t="n">
        <v>0.14</v>
      </c>
      <c r="BN111" s="14" t="n">
        <v>1</v>
      </c>
      <c r="BO111" s="14" t="n">
        <v>0</v>
      </c>
      <c r="BP111" s="14" t="n">
        <v>0</v>
      </c>
      <c r="BQ111" s="14" t="n">
        <v>0.118</v>
      </c>
      <c r="BR111" s="14" t="n">
        <v>0</v>
      </c>
      <c r="BS111" s="14" t="n">
        <v>1</v>
      </c>
      <c r="BT111" s="14" t="n">
        <v>0</v>
      </c>
      <c r="BU111" s="14" t="n">
        <v>0</v>
      </c>
      <c r="BV111" s="14" t="n">
        <v>0.103</v>
      </c>
      <c r="BW111" s="14" t="n">
        <v>0.14</v>
      </c>
      <c r="BX111" s="14" t="n">
        <v>1</v>
      </c>
      <c r="BY111" s="14" t="n">
        <v>12.729</v>
      </c>
      <c r="BZ111" s="14" t="n">
        <v>0</v>
      </c>
      <c r="CA111" s="14" t="n">
        <v>12.729</v>
      </c>
      <c r="CB111" s="14" t="n">
        <v>0</v>
      </c>
      <c r="CC111" s="14" t="n">
        <v>97.90000000000001</v>
      </c>
      <c r="CD111" s="14" t="n">
        <v>7.95</v>
      </c>
      <c r="CE111" s="14" t="n">
        <v>59.54</v>
      </c>
      <c r="CF111" s="14" t="n">
        <v>179.481</v>
      </c>
      <c r="CG111" s="14" t="n">
        <v>0.14</v>
      </c>
      <c r="CH111" s="14" t="n">
        <v>1</v>
      </c>
      <c r="CI111" s="14" t="n">
        <v>0</v>
      </c>
      <c r="CJ111" s="14" t="n">
        <v>0</v>
      </c>
      <c r="CK111" s="14" t="n">
        <v>0</v>
      </c>
      <c r="CL111" s="14" t="n">
        <v>0</v>
      </c>
      <c r="CM111" s="14" t="n">
        <v>0</v>
      </c>
      <c r="CN111" s="14" t="n">
        <v>0</v>
      </c>
      <c r="CO111" s="14" t="n">
        <v>0</v>
      </c>
      <c r="CP111" s="14" t="n">
        <v>1</v>
      </c>
      <c r="CQ111" s="14" t="n">
        <v>1.294</v>
      </c>
      <c r="CR111" s="14" t="n">
        <v>0</v>
      </c>
      <c r="CS111" s="14" t="n">
        <v>1.774</v>
      </c>
      <c r="CT111" s="14" t="n">
        <v>10.485</v>
      </c>
      <c r="CU111" s="14" t="n">
        <v>31.326</v>
      </c>
    </row>
    <row r="112">
      <c r="A112" s="14" t="inlineStr">
        <is>
          <t>BWA2023</t>
        </is>
      </c>
      <c r="B112" s="14" t="inlineStr">
        <is>
          <t>BWA</t>
        </is>
      </c>
      <c r="C112" s="14" t="inlineStr">
        <is>
          <t>BWA</t>
        </is>
      </c>
      <c r="D112" s="14" t="inlineStr">
        <is>
          <t>Botswana</t>
        </is>
      </c>
      <c r="E112" s="14" t="n">
        <v>2023</v>
      </c>
      <c r="F112" s="14" t="n">
        <v>0.12</v>
      </c>
      <c r="G112" s="14" t="n">
        <v>1.99</v>
      </c>
      <c r="H112" s="14" t="n">
        <v>0.643</v>
      </c>
      <c r="I112" s="14" t="n">
        <v>0</v>
      </c>
      <c r="J112" s="14" t="n">
        <v>1.99</v>
      </c>
      <c r="K112" s="14" t="n">
        <v>0</v>
      </c>
      <c r="L112" s="14" t="n">
        <v>1</v>
      </c>
      <c r="M112" s="14" t="n">
        <v>3.276</v>
      </c>
      <c r="N112" s="14" t="n">
        <v>1.928</v>
      </c>
      <c r="O112" s="14" t="n">
        <v>0</v>
      </c>
      <c r="P112" s="14" t="n">
        <v>3.276</v>
      </c>
      <c r="Q112" s="14" t="n">
        <v>0</v>
      </c>
      <c r="R112" s="14" t="n">
        <v>1</v>
      </c>
      <c r="S112" s="14" t="n">
        <v>5.205</v>
      </c>
      <c r="T112" s="14" t="n">
        <v>3.857</v>
      </c>
      <c r="U112" s="14" t="n">
        <v>0.081</v>
      </c>
      <c r="V112" s="14" t="n">
        <v>5.933</v>
      </c>
      <c r="W112" s="14" t="n">
        <v>0.14</v>
      </c>
      <c r="X112" s="14" t="n">
        <v>1</v>
      </c>
      <c r="Y112" s="14" t="n">
        <v>12.039</v>
      </c>
      <c r="Z112" s="14" t="n">
        <v>1.627</v>
      </c>
      <c r="AA112" s="14" t="n">
        <v>0</v>
      </c>
      <c r="AB112" s="14" t="n">
        <v>12.039</v>
      </c>
      <c r="AC112" s="14" t="n">
        <v>0</v>
      </c>
      <c r="AD112" s="14" t="n">
        <v>1</v>
      </c>
      <c r="AE112" s="14" t="n">
        <v>13.324</v>
      </c>
      <c r="AF112" s="14" t="n">
        <v>3.116</v>
      </c>
      <c r="AG112" s="14" t="n">
        <v>0</v>
      </c>
      <c r="AH112" s="14" t="n">
        <v>13.324</v>
      </c>
      <c r="AI112" s="14" t="n">
        <v>0</v>
      </c>
      <c r="AJ112" s="14" t="n">
        <v>1</v>
      </c>
      <c r="AK112" s="14" t="n">
        <v>21.038</v>
      </c>
      <c r="AL112" s="14" t="n">
        <v>11.205</v>
      </c>
      <c r="AM112" s="14" t="n">
        <v>0.326</v>
      </c>
      <c r="AN112" s="14" t="n">
        <v>23.984</v>
      </c>
      <c r="AO112" s="14" t="n">
        <v>0.14</v>
      </c>
      <c r="AP112" s="14" t="n">
        <v>1</v>
      </c>
      <c r="AQ112" s="14" t="n">
        <v>0.76</v>
      </c>
      <c r="AR112" s="14" t="n">
        <v>0.129</v>
      </c>
      <c r="AS112" s="14" t="n">
        <v>0.231</v>
      </c>
      <c r="AT112" s="14" t="n">
        <v>1.13</v>
      </c>
      <c r="AU112" s="14" t="n">
        <v>0.14</v>
      </c>
      <c r="AV112" s="14" t="n">
        <v>1</v>
      </c>
      <c r="AW112" s="14" t="n">
        <v>0.8110000000000001</v>
      </c>
      <c r="AX112" s="14" t="n">
        <v>0.129</v>
      </c>
      <c r="AY112" s="14" t="n">
        <v>0.251</v>
      </c>
      <c r="AZ112" s="14" t="n">
        <v>1.211</v>
      </c>
      <c r="BA112" s="14" t="n">
        <v>0.14</v>
      </c>
      <c r="BB112" s="14" t="n">
        <v>1</v>
      </c>
      <c r="BC112" s="14" t="n">
        <v>0.535</v>
      </c>
      <c r="BD112" s="14" t="n">
        <v>0.129</v>
      </c>
      <c r="BE112" s="14" t="n">
        <v>0.474</v>
      </c>
      <c r="BF112" s="14" t="n">
        <v>1.009</v>
      </c>
      <c r="BG112" s="14" t="n">
        <v>0</v>
      </c>
      <c r="BH112" s="14" t="n">
        <v>1</v>
      </c>
      <c r="BI112" s="14" t="n">
        <v>0.579</v>
      </c>
      <c r="BJ112" s="14" t="n">
        <v>0.129</v>
      </c>
      <c r="BK112" s="14" t="n">
        <v>0.345</v>
      </c>
      <c r="BL112" s="14" t="n">
        <v>1.053</v>
      </c>
      <c r="BM112" s="14" t="n">
        <v>0.14</v>
      </c>
      <c r="BN112" s="14" t="n">
        <v>1</v>
      </c>
      <c r="BO112" s="14" t="n">
        <v>0</v>
      </c>
      <c r="BP112" s="14" t="n">
        <v>0</v>
      </c>
      <c r="BQ112" s="14" t="n">
        <v>0.115</v>
      </c>
      <c r="BR112" s="14" t="n">
        <v>0</v>
      </c>
      <c r="BS112" s="14" t="n">
        <v>1</v>
      </c>
      <c r="BT112" s="14" t="n">
        <v>0</v>
      </c>
      <c r="BU112" s="14" t="n">
        <v>0</v>
      </c>
      <c r="BV112" s="14" t="n">
        <v>0.095</v>
      </c>
      <c r="BW112" s="14" t="n">
        <v>0.14</v>
      </c>
      <c r="BX112" s="14" t="n">
        <v>1</v>
      </c>
      <c r="BY112" s="14" t="n">
        <v>13.254</v>
      </c>
      <c r="BZ112" s="14" t="n">
        <v>0</v>
      </c>
      <c r="CA112" s="14" t="n">
        <v>13.254</v>
      </c>
      <c r="CB112" s="14" t="n">
        <v>0</v>
      </c>
      <c r="CC112" s="14" t="n">
        <v>83.248</v>
      </c>
      <c r="CD112" s="14" t="n">
        <v>7.95</v>
      </c>
      <c r="CE112" s="14" t="n">
        <v>77.672</v>
      </c>
      <c r="CF112" s="14" t="n">
        <v>183.448</v>
      </c>
      <c r="CG112" s="14" t="n">
        <v>0.14</v>
      </c>
      <c r="CH112" s="14" t="n">
        <v>1</v>
      </c>
      <c r="CI112" s="14" t="n">
        <v>0</v>
      </c>
      <c r="CJ112" s="14" t="n">
        <v>0</v>
      </c>
      <c r="CK112" s="14" t="n">
        <v>0</v>
      </c>
      <c r="CL112" s="14" t="n">
        <v>0</v>
      </c>
      <c r="CM112" s="14" t="n">
        <v>0</v>
      </c>
      <c r="CN112" s="14" t="n">
        <v>0</v>
      </c>
      <c r="CO112" s="14" t="n">
        <v>0</v>
      </c>
      <c r="CP112" s="14" t="n">
        <v>1</v>
      </c>
      <c r="CQ112" s="14" t="n">
        <v>1.348</v>
      </c>
      <c r="CR112" s="14" t="n">
        <v>0</v>
      </c>
      <c r="CS112" s="14" t="n">
        <v>1.847</v>
      </c>
      <c r="CT112" s="14" t="n">
        <v>4.861</v>
      </c>
      <c r="CU112" s="14" t="n">
        <v>11.622</v>
      </c>
    </row>
    <row r="113">
      <c r="A113" s="14" t="inlineStr">
        <is>
          <t>BWA2024</t>
        </is>
      </c>
      <c r="B113" s="14" t="inlineStr">
        <is>
          <t>BWA</t>
        </is>
      </c>
      <c r="C113" s="14" t="inlineStr">
        <is>
          <t>BWA</t>
        </is>
      </c>
      <c r="D113" s="14" t="inlineStr">
        <is>
          <t>Botswana</t>
        </is>
      </c>
      <c r="E113" s="14" t="n">
        <v>2024</v>
      </c>
      <c r="F113" s="14" t="n">
        <v>0.12</v>
      </c>
      <c r="G113" s="14" t="n">
        <v>2.049</v>
      </c>
      <c r="H113" s="14" t="n">
        <v>0.662</v>
      </c>
      <c r="I113" s="14" t="n">
        <v>0</v>
      </c>
      <c r="J113" s="14" t="n">
        <v>2.049</v>
      </c>
      <c r="K113" s="14" t="n">
        <v>0</v>
      </c>
      <c r="L113" s="14" t="n">
        <v>1</v>
      </c>
      <c r="M113" s="14" t="n">
        <v>3.373</v>
      </c>
      <c r="N113" s="14" t="n">
        <v>1.985</v>
      </c>
      <c r="O113" s="14" t="n">
        <v>0</v>
      </c>
      <c r="P113" s="14" t="n">
        <v>3.373</v>
      </c>
      <c r="Q113" s="14" t="n">
        <v>0</v>
      </c>
      <c r="R113" s="14" t="n">
        <v>1</v>
      </c>
      <c r="S113" s="14" t="n">
        <v>5.358</v>
      </c>
      <c r="T113" s="14" t="n">
        <v>3.971</v>
      </c>
      <c r="U113" s="14" t="n">
        <v>0.102</v>
      </c>
      <c r="V113" s="14" t="n">
        <v>6.108</v>
      </c>
      <c r="W113" s="14" t="n">
        <v>0.14</v>
      </c>
      <c r="X113" s="14" t="n">
        <v>1</v>
      </c>
      <c r="Y113" s="14" t="n">
        <v>10.757</v>
      </c>
      <c r="Z113" s="14" t="n">
        <v>1.454</v>
      </c>
      <c r="AA113" s="14" t="n">
        <v>0</v>
      </c>
      <c r="AB113" s="14" t="n">
        <v>10.757</v>
      </c>
      <c r="AC113" s="14" t="n">
        <v>0</v>
      </c>
      <c r="AD113" s="14" t="n">
        <v>1</v>
      </c>
      <c r="AE113" s="14" t="n">
        <v>12.08</v>
      </c>
      <c r="AF113" s="14" t="n">
        <v>2.825</v>
      </c>
      <c r="AG113" s="14" t="n">
        <v>0</v>
      </c>
      <c r="AH113" s="14" t="n">
        <v>12.08</v>
      </c>
      <c r="AI113" s="14" t="n">
        <v>0</v>
      </c>
      <c r="AJ113" s="14" t="n">
        <v>1</v>
      </c>
      <c r="AK113" s="14" t="n">
        <v>20.022</v>
      </c>
      <c r="AL113" s="14" t="n">
        <v>10.664</v>
      </c>
      <c r="AM113" s="14" t="n">
        <v>0.382</v>
      </c>
      <c r="AN113" s="14" t="n">
        <v>22.825</v>
      </c>
      <c r="AO113" s="14" t="n">
        <v>0.14</v>
      </c>
      <c r="AP113" s="14" t="n">
        <v>1</v>
      </c>
      <c r="AQ113" s="14" t="n">
        <v>0.724</v>
      </c>
      <c r="AR113" s="14" t="n">
        <v>0.132</v>
      </c>
      <c r="AS113" s="14" t="n">
        <v>0.29</v>
      </c>
      <c r="AT113" s="14" t="n">
        <v>1.156</v>
      </c>
      <c r="AU113" s="14" t="n">
        <v>0.14</v>
      </c>
      <c r="AV113" s="14" t="n">
        <v>1</v>
      </c>
      <c r="AW113" s="14" t="n">
        <v>0.75</v>
      </c>
      <c r="AX113" s="14" t="n">
        <v>0.132</v>
      </c>
      <c r="AY113" s="14" t="n">
        <v>0.294</v>
      </c>
      <c r="AZ113" s="14" t="n">
        <v>1.19</v>
      </c>
      <c r="BA113" s="14" t="n">
        <v>0.14</v>
      </c>
      <c r="BB113" s="14" t="n">
        <v>1</v>
      </c>
      <c r="BC113" s="14" t="n">
        <v>0.513</v>
      </c>
      <c r="BD113" s="14" t="n">
        <v>0.132</v>
      </c>
      <c r="BE113" s="14" t="n">
        <v>0.455</v>
      </c>
      <c r="BF113" s="14" t="n">
        <v>0.968</v>
      </c>
      <c r="BG113" s="14" t="n">
        <v>0</v>
      </c>
      <c r="BH113" s="14" t="n">
        <v>1</v>
      </c>
      <c r="BI113" s="14" t="n">
        <v>0.591</v>
      </c>
      <c r="BJ113" s="14" t="n">
        <v>0.132</v>
      </c>
      <c r="BK113" s="14" t="n">
        <v>0.286</v>
      </c>
      <c r="BL113" s="14" t="n">
        <v>1.001</v>
      </c>
      <c r="BM113" s="14" t="n">
        <v>0.14</v>
      </c>
      <c r="BN113" s="14" t="n">
        <v>1</v>
      </c>
      <c r="BO113" s="14" t="n">
        <v>0</v>
      </c>
      <c r="BP113" s="14" t="n">
        <v>0</v>
      </c>
      <c r="BQ113" s="14" t="n">
        <v>0.108</v>
      </c>
      <c r="BR113" s="14" t="n">
        <v>0</v>
      </c>
      <c r="BS113" s="14" t="n">
        <v>1</v>
      </c>
      <c r="BT113" s="14" t="n">
        <v>0</v>
      </c>
      <c r="BU113" s="14" t="n">
        <v>0</v>
      </c>
      <c r="BV113" s="14" t="n">
        <v>0.094</v>
      </c>
      <c r="BW113" s="14" t="n">
        <v>0.14</v>
      </c>
      <c r="BX113" s="14" t="n">
        <v>1</v>
      </c>
      <c r="BY113" s="14" t="n">
        <v>13.646</v>
      </c>
      <c r="BZ113" s="14" t="n">
        <v>0</v>
      </c>
      <c r="CA113" s="14" t="n">
        <v>13.646</v>
      </c>
      <c r="CB113" s="14" t="n">
        <v>0</v>
      </c>
      <c r="CC113" s="14" t="n">
        <v>82.58799999999999</v>
      </c>
      <c r="CD113" s="14" t="n">
        <v>7.95</v>
      </c>
      <c r="CE113" s="14" t="n">
        <v>77.649</v>
      </c>
      <c r="CF113" s="14" t="n">
        <v>182.67</v>
      </c>
      <c r="CG113" s="14" t="n">
        <v>0.14</v>
      </c>
      <c r="CH113" s="14" t="n">
        <v>1</v>
      </c>
      <c r="CI113" s="14" t="n">
        <v>0</v>
      </c>
      <c r="CJ113" s="14" t="n">
        <v>0</v>
      </c>
      <c r="CK113" s="14" t="n">
        <v>0</v>
      </c>
      <c r="CL113" s="14" t="n">
        <v>0</v>
      </c>
      <c r="CM113" s="14" t="n">
        <v>0</v>
      </c>
      <c r="CN113" s="14" t="n">
        <v>0</v>
      </c>
      <c r="CO113" s="14" t="n">
        <v>0</v>
      </c>
      <c r="CP113" s="14" t="n">
        <v>1</v>
      </c>
      <c r="CQ113" s="14" t="n">
        <v>1.387</v>
      </c>
      <c r="CR113" s="14" t="n">
        <v>0</v>
      </c>
      <c r="CS113" s="14" t="n">
        <v>1.902</v>
      </c>
      <c r="CT113" s="14" t="n">
        <v>4.251</v>
      </c>
      <c r="CU113" s="14" t="n">
        <v>10.168</v>
      </c>
    </row>
    <row r="114">
      <c r="A114" s="14" t="inlineStr">
        <is>
          <t>BRA2021</t>
        </is>
      </c>
      <c r="B114" s="14" t="inlineStr">
        <is>
          <t>BRA</t>
        </is>
      </c>
      <c r="C114" s="14" t="inlineStr">
        <is>
          <t>BRA</t>
        </is>
      </c>
      <c r="D114" s="14" t="inlineStr">
        <is>
          <t>Brazil</t>
        </is>
      </c>
      <c r="E114" s="14" t="n">
        <v>2021</v>
      </c>
      <c r="F114" s="14" t="n">
        <v>0.18</v>
      </c>
      <c r="G114" s="14" t="n">
        <v>4.394</v>
      </c>
      <c r="H114" s="14" t="n">
        <v>0.961</v>
      </c>
      <c r="I114" s="14" t="n">
        <v>0</v>
      </c>
      <c r="J114" s="14" t="n">
        <v>4.394</v>
      </c>
      <c r="K114" s="14" t="n">
        <v>0</v>
      </c>
      <c r="L114" s="14" t="n">
        <v>1</v>
      </c>
      <c r="M114" s="14" t="n">
        <v>4.394</v>
      </c>
      <c r="N114" s="14" t="n">
        <v>1.991</v>
      </c>
      <c r="O114" s="14" t="n">
        <v>0</v>
      </c>
      <c r="P114" s="14" t="n">
        <v>4.394</v>
      </c>
      <c r="Q114" s="14" t="n">
        <v>0</v>
      </c>
      <c r="R114" s="14" t="n">
        <v>1</v>
      </c>
      <c r="S114" s="14" t="n">
        <v>10.534</v>
      </c>
      <c r="T114" s="14" t="n">
        <v>6.33</v>
      </c>
      <c r="U114" s="14" t="n">
        <v>0</v>
      </c>
      <c r="V114" s="14" t="n">
        <v>12.43</v>
      </c>
      <c r="W114" s="14" t="n">
        <v>0.18</v>
      </c>
      <c r="X114" s="14" t="n">
        <v>1</v>
      </c>
      <c r="Y114" s="14" t="n">
        <v>12.137</v>
      </c>
      <c r="Z114" s="14" t="n">
        <v>1.341</v>
      </c>
      <c r="AA114" s="14" t="n">
        <v>-0.268</v>
      </c>
      <c r="AB114" s="14" t="n">
        <v>11.869</v>
      </c>
      <c r="AC114" s="14" t="n">
        <v>0</v>
      </c>
      <c r="AD114" s="14" t="n">
        <v>1</v>
      </c>
      <c r="AE114" s="14" t="n">
        <v>11.869</v>
      </c>
      <c r="AF114" s="14" t="n">
        <v>2.336</v>
      </c>
      <c r="AG114" s="14" t="n">
        <v>0</v>
      </c>
      <c r="AH114" s="14" t="n">
        <v>11.869</v>
      </c>
      <c r="AI114" s="14" t="n">
        <v>0</v>
      </c>
      <c r="AJ114" s="14" t="n">
        <v>1</v>
      </c>
      <c r="AK114" s="14" t="n">
        <v>32.754</v>
      </c>
      <c r="AL114" s="14" t="n">
        <v>16.076</v>
      </c>
      <c r="AM114" s="14" t="n">
        <v>0</v>
      </c>
      <c r="AN114" s="14" t="n">
        <v>32.754</v>
      </c>
      <c r="AO114" s="14" t="n">
        <v>0</v>
      </c>
      <c r="AP114" s="14" t="n">
        <v>1</v>
      </c>
      <c r="AQ114" s="14" t="n">
        <v>0.649</v>
      </c>
      <c r="AR114" s="14" t="n">
        <v>0.114</v>
      </c>
      <c r="AS114" s="14" t="n">
        <v>0.208</v>
      </c>
      <c r="AT114" s="14" t="n">
        <v>1.072</v>
      </c>
      <c r="AU114" s="14" t="n">
        <v>0.25</v>
      </c>
      <c r="AV114" s="14" t="n">
        <v>1</v>
      </c>
      <c r="AW114" s="14" t="n">
        <v>0.577</v>
      </c>
      <c r="AX114" s="14" t="n">
        <v>0.114</v>
      </c>
      <c r="AY114" s="14" t="n">
        <v>0.174</v>
      </c>
      <c r="AZ114" s="14" t="n">
        <v>0.841</v>
      </c>
      <c r="BA114" s="14" t="n">
        <v>0.12</v>
      </c>
      <c r="BB114" s="14" t="n">
        <v>1</v>
      </c>
      <c r="BC114" s="14" t="n">
        <v>0.458</v>
      </c>
      <c r="BD114" s="14" t="n">
        <v>0.114</v>
      </c>
      <c r="BE114" s="14" t="n">
        <v>0.165</v>
      </c>
      <c r="BF114" s="14" t="n">
        <v>0.698</v>
      </c>
      <c r="BG114" s="14" t="n">
        <v>0.12</v>
      </c>
      <c r="BH114" s="14" t="n">
        <v>1</v>
      </c>
      <c r="BI114" s="14" t="n">
        <v>0.491</v>
      </c>
      <c r="BJ114" s="14" t="n">
        <v>0.114</v>
      </c>
      <c r="BK114" s="14" t="n">
        <v>-0.061</v>
      </c>
      <c r="BL114" s="14" t="n">
        <v>0.538</v>
      </c>
      <c r="BM114" s="14" t="n">
        <v>0.25</v>
      </c>
      <c r="BN114" s="14" t="n">
        <v>1</v>
      </c>
      <c r="BO114" s="14" t="n">
        <v>0</v>
      </c>
      <c r="BP114" s="14" t="n">
        <v>0.007</v>
      </c>
      <c r="BQ114" s="14" t="n">
        <v>0.143</v>
      </c>
      <c r="BR114" s="14" t="n">
        <v>0</v>
      </c>
      <c r="BS114" s="14" t="n">
        <v>1</v>
      </c>
      <c r="BT114" s="14" t="n">
        <v>0</v>
      </c>
      <c r="BU114" s="14" t="n">
        <v>0.028</v>
      </c>
      <c r="BV114" s="14" t="n">
        <v>0.162</v>
      </c>
      <c r="BW114" s="14" t="n">
        <v>0</v>
      </c>
      <c r="BX114" s="14" t="n">
        <v>0.667</v>
      </c>
      <c r="BY114" s="14" t="n">
        <v>24.816</v>
      </c>
      <c r="BZ114" s="14" t="n">
        <v>0</v>
      </c>
      <c r="CA114" s="14" t="n">
        <v>24.816</v>
      </c>
      <c r="CB114" s="14" t="n">
        <v>0</v>
      </c>
      <c r="CC114" s="14" t="n">
        <v>78.125</v>
      </c>
      <c r="CD114" s="14" t="n">
        <v>7.95</v>
      </c>
      <c r="CE114" s="14" t="n">
        <v>-3.175</v>
      </c>
      <c r="CF114" s="14" t="n">
        <v>88.44</v>
      </c>
      <c r="CG114" s="14" t="n">
        <v>0.18</v>
      </c>
      <c r="CH114" s="14" t="n">
        <v>1</v>
      </c>
      <c r="CI114" s="14" t="n">
        <v>0</v>
      </c>
      <c r="CJ114" s="14" t="n">
        <v>0</v>
      </c>
      <c r="CK114" s="14" t="n">
        <v>0</v>
      </c>
      <c r="CL114" s="14" t="n">
        <v>0</v>
      </c>
      <c r="CM114" s="14" t="n">
        <v>0</v>
      </c>
      <c r="CN114" s="14" t="n">
        <v>0.225</v>
      </c>
      <c r="CO114" s="14" t="n">
        <v>1.629</v>
      </c>
      <c r="CP114" s="14" t="n">
        <v>0</v>
      </c>
      <c r="CQ114" s="14" t="n">
        <v>1.198</v>
      </c>
      <c r="CR114" s="14" t="n">
        <v>0</v>
      </c>
      <c r="CS114" s="14" t="n">
        <v>5.226</v>
      </c>
      <c r="CT114" s="14" t="n">
        <v>4.753</v>
      </c>
      <c r="CU114" s="14" t="n">
        <v>11.128</v>
      </c>
    </row>
    <row r="115">
      <c r="A115" s="14" t="inlineStr">
        <is>
          <t>BRA2022</t>
        </is>
      </c>
      <c r="B115" s="14" t="inlineStr">
        <is>
          <t>BRA</t>
        </is>
      </c>
      <c r="C115" s="14" t="inlineStr">
        <is>
          <t>BRA</t>
        </is>
      </c>
      <c r="D115" s="14" t="inlineStr">
        <is>
          <t>Brazil</t>
        </is>
      </c>
      <c r="E115" s="14" t="n">
        <v>2022</v>
      </c>
      <c r="F115" s="14" t="n">
        <v>0.17</v>
      </c>
      <c r="G115" s="14" t="n">
        <v>10.205</v>
      </c>
      <c r="H115" s="14" t="n">
        <v>1.585</v>
      </c>
      <c r="I115" s="14" t="n">
        <v>0</v>
      </c>
      <c r="J115" s="14" t="n">
        <v>10.205</v>
      </c>
      <c r="K115" s="14" t="n">
        <v>0</v>
      </c>
      <c r="L115" s="14" t="n">
        <v>1</v>
      </c>
      <c r="M115" s="14" t="n">
        <v>10.205</v>
      </c>
      <c r="N115" s="14" t="n">
        <v>4.214</v>
      </c>
      <c r="O115" s="14" t="n">
        <v>0</v>
      </c>
      <c r="P115" s="14" t="n">
        <v>10.205</v>
      </c>
      <c r="Q115" s="14" t="n">
        <v>0</v>
      </c>
      <c r="R115" s="14" t="n">
        <v>1</v>
      </c>
      <c r="S115" s="14" t="n">
        <v>15.819</v>
      </c>
      <c r="T115" s="14" t="n">
        <v>6.812</v>
      </c>
      <c r="U115" s="14" t="n">
        <v>0.199</v>
      </c>
      <c r="V115" s="14" t="n">
        <v>18.508</v>
      </c>
      <c r="W115" s="14" t="n">
        <v>0.17</v>
      </c>
      <c r="X115" s="14" t="n">
        <v>1</v>
      </c>
      <c r="Y115" s="14" t="n">
        <v>17.263</v>
      </c>
      <c r="Z115" s="14" t="n">
        <v>1.811</v>
      </c>
      <c r="AA115" s="14" t="n">
        <v>-0.277</v>
      </c>
      <c r="AB115" s="14" t="n">
        <v>16.986</v>
      </c>
      <c r="AC115" s="14" t="n">
        <v>0</v>
      </c>
      <c r="AD115" s="14" t="n">
        <v>1</v>
      </c>
      <c r="AE115" s="14" t="n">
        <v>16.986</v>
      </c>
      <c r="AF115" s="14" t="n">
        <v>3.149</v>
      </c>
      <c r="AG115" s="14" t="n">
        <v>0</v>
      </c>
      <c r="AH115" s="14" t="n">
        <v>16.986</v>
      </c>
      <c r="AI115" s="14" t="n">
        <v>0</v>
      </c>
      <c r="AJ115" s="14" t="n">
        <v>1</v>
      </c>
      <c r="AK115" s="14" t="n">
        <v>46.272</v>
      </c>
      <c r="AL115" s="14" t="n">
        <v>22.097</v>
      </c>
      <c r="AM115" s="14" t="n">
        <v>0</v>
      </c>
      <c r="AN115" s="14" t="n">
        <v>46.272</v>
      </c>
      <c r="AO115" s="14" t="n">
        <v>0</v>
      </c>
      <c r="AP115" s="14" t="n">
        <v>1</v>
      </c>
      <c r="AQ115" s="14" t="n">
        <v>0.896</v>
      </c>
      <c r="AR115" s="14" t="n">
        <v>0.123</v>
      </c>
      <c r="AS115" s="14" t="n">
        <v>0.055</v>
      </c>
      <c r="AT115" s="14" t="n">
        <v>1.189</v>
      </c>
      <c r="AU115" s="14" t="n">
        <v>0.25</v>
      </c>
      <c r="AV115" s="14" t="n">
        <v>1</v>
      </c>
      <c r="AW115" s="14" t="n">
        <v>0.89</v>
      </c>
      <c r="AX115" s="14" t="n">
        <v>0.123</v>
      </c>
      <c r="AY115" s="14" t="n">
        <v>0.243</v>
      </c>
      <c r="AZ115" s="14" t="n">
        <v>1.27</v>
      </c>
      <c r="BA115" s="14" t="n">
        <v>0.12</v>
      </c>
      <c r="BB115" s="14" t="n">
        <v>1</v>
      </c>
      <c r="BC115" s="14" t="n">
        <v>0.62</v>
      </c>
      <c r="BD115" s="14" t="n">
        <v>0.123</v>
      </c>
      <c r="BE115" s="14" t="n">
        <v>0.171</v>
      </c>
      <c r="BF115" s="14" t="n">
        <v>0.887</v>
      </c>
      <c r="BG115" s="14" t="n">
        <v>0.12</v>
      </c>
      <c r="BH115" s="14" t="n">
        <v>1</v>
      </c>
      <c r="BI115" s="14" t="n">
        <v>0.608</v>
      </c>
      <c r="BJ115" s="14" t="n">
        <v>0.123</v>
      </c>
      <c r="BK115" s="14" t="n">
        <v>0.143</v>
      </c>
      <c r="BL115" s="14" t="n">
        <v>0.9379999999999999</v>
      </c>
      <c r="BM115" s="14" t="n">
        <v>0.25</v>
      </c>
      <c r="BN115" s="14" t="n">
        <v>1</v>
      </c>
      <c r="BO115" s="14" t="n">
        <v>0</v>
      </c>
      <c r="BP115" s="14" t="n">
        <v>0.006</v>
      </c>
      <c r="BQ115" s="14" t="n">
        <v>0.151</v>
      </c>
      <c r="BR115" s="14" t="n">
        <v>0</v>
      </c>
      <c r="BS115" s="14" t="n">
        <v>1</v>
      </c>
      <c r="BT115" s="14" t="n">
        <v>0</v>
      </c>
      <c r="BU115" s="14" t="n">
        <v>0.022</v>
      </c>
      <c r="BV115" s="14" t="n">
        <v>0.166</v>
      </c>
      <c r="BW115" s="14" t="n">
        <v>0</v>
      </c>
      <c r="BX115" s="14" t="n">
        <v>0.667</v>
      </c>
      <c r="BY115" s="14" t="n">
        <v>26.8</v>
      </c>
      <c r="BZ115" s="14" t="n">
        <v>0</v>
      </c>
      <c r="CA115" s="14" t="n">
        <v>26.8</v>
      </c>
      <c r="CB115" s="14" t="n">
        <v>0</v>
      </c>
      <c r="CC115" s="14" t="n">
        <v>97.90000000000001</v>
      </c>
      <c r="CD115" s="14" t="n">
        <v>7.95</v>
      </c>
      <c r="CE115" s="14" t="n">
        <v>15.82</v>
      </c>
      <c r="CF115" s="14" t="n">
        <v>133.053</v>
      </c>
      <c r="CG115" s="14" t="n">
        <v>0.17</v>
      </c>
      <c r="CH115" s="14" t="n">
        <v>1</v>
      </c>
      <c r="CI115" s="14" t="n">
        <v>0</v>
      </c>
      <c r="CJ115" s="14" t="n">
        <v>0</v>
      </c>
      <c r="CK115" s="14" t="n">
        <v>0</v>
      </c>
      <c r="CL115" s="14" t="n">
        <v>0</v>
      </c>
      <c r="CM115" s="14" t="n">
        <v>0</v>
      </c>
      <c r="CN115" s="14" t="n">
        <v>0.227</v>
      </c>
      <c r="CO115" s="14" t="n">
        <v>1.817</v>
      </c>
      <c r="CP115" s="14" t="n">
        <v>0</v>
      </c>
      <c r="CQ115" s="14" t="n">
        <v>1.294</v>
      </c>
      <c r="CR115" s="14" t="n">
        <v>0</v>
      </c>
      <c r="CS115" s="14" t="n">
        <v>5.644</v>
      </c>
      <c r="CT115" s="14" t="n">
        <v>10.485</v>
      </c>
      <c r="CU115" s="14" t="n">
        <v>20.306</v>
      </c>
    </row>
    <row r="116">
      <c r="A116" s="14" t="inlineStr">
        <is>
          <t>BRA2023</t>
        </is>
      </c>
      <c r="B116" s="14" t="inlineStr">
        <is>
          <t>BRA</t>
        </is>
      </c>
      <c r="C116" s="14" t="inlineStr">
        <is>
          <t>BRA</t>
        </is>
      </c>
      <c r="D116" s="14" t="inlineStr">
        <is>
          <t>Brazil</t>
        </is>
      </c>
      <c r="E116" s="14" t="n">
        <v>2023</v>
      </c>
      <c r="F116" s="14" t="n">
        <v>0.17</v>
      </c>
      <c r="G116" s="14" t="n">
        <v>7.662</v>
      </c>
      <c r="H116" s="14" t="n">
        <v>1.745</v>
      </c>
      <c r="I116" s="14" t="n">
        <v>0</v>
      </c>
      <c r="J116" s="14" t="n">
        <v>7.662</v>
      </c>
      <c r="K116" s="14" t="n">
        <v>0</v>
      </c>
      <c r="L116" s="14" t="n">
        <v>1</v>
      </c>
      <c r="M116" s="14" t="n">
        <v>7.662</v>
      </c>
      <c r="N116" s="14" t="n">
        <v>3.8</v>
      </c>
      <c r="O116" s="14" t="n">
        <v>0</v>
      </c>
      <c r="P116" s="14" t="n">
        <v>7.662</v>
      </c>
      <c r="Q116" s="14" t="n">
        <v>0</v>
      </c>
      <c r="R116" s="14" t="n">
        <v>1</v>
      </c>
      <c r="S116" s="14" t="n">
        <v>11.366</v>
      </c>
      <c r="T116" s="14" t="n">
        <v>7.081</v>
      </c>
      <c r="U116" s="14" t="n">
        <v>0.214</v>
      </c>
      <c r="V116" s="14" t="n">
        <v>13.299</v>
      </c>
      <c r="W116" s="14" t="n">
        <v>0.17</v>
      </c>
      <c r="X116" s="14" t="n">
        <v>1</v>
      </c>
      <c r="Y116" s="14" t="n">
        <v>20.673</v>
      </c>
      <c r="Z116" s="14" t="n">
        <v>2.316</v>
      </c>
      <c r="AA116" s="14" t="n">
        <v>-0.286</v>
      </c>
      <c r="AB116" s="14" t="n">
        <v>20.387</v>
      </c>
      <c r="AC116" s="14" t="n">
        <v>0</v>
      </c>
      <c r="AD116" s="14" t="n">
        <v>1</v>
      </c>
      <c r="AE116" s="14" t="n">
        <v>20.387</v>
      </c>
      <c r="AF116" s="14" t="n">
        <v>4.06</v>
      </c>
      <c r="AG116" s="14" t="n">
        <v>0</v>
      </c>
      <c r="AH116" s="14" t="n">
        <v>20.387</v>
      </c>
      <c r="AI116" s="14" t="n">
        <v>0</v>
      </c>
      <c r="AJ116" s="14" t="n">
        <v>1</v>
      </c>
      <c r="AK116" s="14" t="n">
        <v>50.233</v>
      </c>
      <c r="AL116" s="14" t="n">
        <v>24.884</v>
      </c>
      <c r="AM116" s="14" t="n">
        <v>0</v>
      </c>
      <c r="AN116" s="14" t="n">
        <v>50.233</v>
      </c>
      <c r="AO116" s="14" t="n">
        <v>0</v>
      </c>
      <c r="AP116" s="14" t="n">
        <v>1</v>
      </c>
      <c r="AQ116" s="14" t="n">
        <v>0.791</v>
      </c>
      <c r="AR116" s="14" t="n">
        <v>0.129</v>
      </c>
      <c r="AS116" s="14" t="n">
        <v>0.092</v>
      </c>
      <c r="AT116" s="14" t="n">
        <v>1.104</v>
      </c>
      <c r="AU116" s="14" t="n">
        <v>0.25</v>
      </c>
      <c r="AV116" s="14" t="n">
        <v>1</v>
      </c>
      <c r="AW116" s="14" t="n">
        <v>0.618</v>
      </c>
      <c r="AX116" s="14" t="n">
        <v>0.129</v>
      </c>
      <c r="AY116" s="14" t="n">
        <v>0.41</v>
      </c>
      <c r="AZ116" s="14" t="n">
        <v>1.152</v>
      </c>
      <c r="BA116" s="14" t="n">
        <v>0.12</v>
      </c>
      <c r="BB116" s="14" t="n">
        <v>1</v>
      </c>
      <c r="BC116" s="14" t="n">
        <v>0.554</v>
      </c>
      <c r="BD116" s="14" t="n">
        <v>0.129</v>
      </c>
      <c r="BE116" s="14" t="n">
        <v>0.209</v>
      </c>
      <c r="BF116" s="14" t="n">
        <v>0.855</v>
      </c>
      <c r="BG116" s="14" t="n">
        <v>0.12</v>
      </c>
      <c r="BH116" s="14" t="n">
        <v>1</v>
      </c>
      <c r="BI116" s="14" t="n">
        <v>0.5570000000000001</v>
      </c>
      <c r="BJ116" s="14" t="n">
        <v>0.129</v>
      </c>
      <c r="BK116" s="14" t="n">
        <v>0.065</v>
      </c>
      <c r="BL116" s="14" t="n">
        <v>0.778</v>
      </c>
      <c r="BM116" s="14" t="n">
        <v>0.25</v>
      </c>
      <c r="BN116" s="14" t="n">
        <v>1</v>
      </c>
      <c r="BO116" s="14" t="n">
        <v>0</v>
      </c>
      <c r="BP116" s="14" t="n">
        <v>0.005</v>
      </c>
      <c r="BQ116" s="14" t="n">
        <v>0.151</v>
      </c>
      <c r="BR116" s="14" t="n">
        <v>0</v>
      </c>
      <c r="BS116" s="14" t="n">
        <v>1</v>
      </c>
      <c r="BT116" s="14" t="n">
        <v>0</v>
      </c>
      <c r="BU116" s="14" t="n">
        <v>0.02</v>
      </c>
      <c r="BV116" s="14" t="n">
        <v>0.166</v>
      </c>
      <c r="BW116" s="14" t="n">
        <v>0</v>
      </c>
      <c r="BX116" s="14" t="n">
        <v>0.667</v>
      </c>
      <c r="BY116" s="14" t="n">
        <v>27.906</v>
      </c>
      <c r="BZ116" s="14" t="n">
        <v>0</v>
      </c>
      <c r="CA116" s="14" t="n">
        <v>27.906</v>
      </c>
      <c r="CB116" s="14" t="n">
        <v>0</v>
      </c>
      <c r="CC116" s="14" t="n">
        <v>83.248</v>
      </c>
      <c r="CD116" s="14" t="n">
        <v>7.95</v>
      </c>
      <c r="CE116" s="14" t="n">
        <v>17.463</v>
      </c>
      <c r="CF116" s="14" t="n">
        <v>117.832</v>
      </c>
      <c r="CG116" s="14" t="n">
        <v>0.17</v>
      </c>
      <c r="CH116" s="14" t="n">
        <v>1</v>
      </c>
      <c r="CI116" s="14" t="n">
        <v>0</v>
      </c>
      <c r="CJ116" s="14" t="n">
        <v>0</v>
      </c>
      <c r="CK116" s="14" t="n">
        <v>0</v>
      </c>
      <c r="CL116" s="14" t="n">
        <v>0</v>
      </c>
      <c r="CM116" s="14" t="n">
        <v>0</v>
      </c>
      <c r="CN116" s="14" t="n">
        <v>0.234</v>
      </c>
      <c r="CO116" s="14" t="n">
        <v>2.082</v>
      </c>
      <c r="CP116" s="14" t="n">
        <v>0</v>
      </c>
      <c r="CQ116" s="14" t="n">
        <v>1.348</v>
      </c>
      <c r="CR116" s="14" t="n">
        <v>0</v>
      </c>
      <c r="CS116" s="14" t="n">
        <v>5.877</v>
      </c>
      <c r="CT116" s="14" t="n">
        <v>4.861</v>
      </c>
      <c r="CU116" s="14" t="n">
        <v>9.675000000000001</v>
      </c>
    </row>
    <row r="117">
      <c r="A117" s="14" t="inlineStr">
        <is>
          <t>BRA2024</t>
        </is>
      </c>
      <c r="B117" s="14" t="inlineStr">
        <is>
          <t>BRA</t>
        </is>
      </c>
      <c r="C117" s="14" t="inlineStr">
        <is>
          <t>BRA</t>
        </is>
      </c>
      <c r="D117" s="14" t="inlineStr">
        <is>
          <t>Brazil</t>
        </is>
      </c>
      <c r="E117" s="14" t="n">
        <v>2024</v>
      </c>
      <c r="F117" s="14" t="n">
        <v>0.17</v>
      </c>
      <c r="G117" s="14" t="n">
        <v>6.222</v>
      </c>
      <c r="H117" s="14" t="n">
        <v>1.576</v>
      </c>
      <c r="I117" s="14" t="n">
        <v>0</v>
      </c>
      <c r="J117" s="14" t="n">
        <v>6.222</v>
      </c>
      <c r="K117" s="14" t="n">
        <v>0</v>
      </c>
      <c r="L117" s="14" t="n">
        <v>1</v>
      </c>
      <c r="M117" s="14" t="n">
        <v>6.222</v>
      </c>
      <c r="N117" s="14" t="n">
        <v>3.389</v>
      </c>
      <c r="O117" s="14" t="n">
        <v>0</v>
      </c>
      <c r="P117" s="14" t="n">
        <v>6.222</v>
      </c>
      <c r="Q117" s="14" t="n">
        <v>0</v>
      </c>
      <c r="R117" s="14" t="n">
        <v>1</v>
      </c>
      <c r="S117" s="14" t="n">
        <v>11.072</v>
      </c>
      <c r="T117" s="14" t="n">
        <v>7.29</v>
      </c>
      <c r="U117" s="14" t="n">
        <v>0.256</v>
      </c>
      <c r="V117" s="14" t="n">
        <v>12.954</v>
      </c>
      <c r="W117" s="14" t="n">
        <v>0.17</v>
      </c>
      <c r="X117" s="14" t="n">
        <v>1</v>
      </c>
      <c r="Y117" s="14" t="n">
        <v>17.661</v>
      </c>
      <c r="Z117" s="14" t="n">
        <v>2.23</v>
      </c>
      <c r="AA117" s="14" t="n">
        <v>-0.295</v>
      </c>
      <c r="AB117" s="14" t="n">
        <v>17.367</v>
      </c>
      <c r="AC117" s="14" t="n">
        <v>0</v>
      </c>
      <c r="AD117" s="14" t="n">
        <v>1</v>
      </c>
      <c r="AE117" s="14" t="n">
        <v>17.367</v>
      </c>
      <c r="AF117" s="14" t="n">
        <v>3.804</v>
      </c>
      <c r="AG117" s="14" t="n">
        <v>0</v>
      </c>
      <c r="AH117" s="14" t="n">
        <v>17.367</v>
      </c>
      <c r="AI117" s="14" t="n">
        <v>0</v>
      </c>
      <c r="AJ117" s="14" t="n">
        <v>1</v>
      </c>
      <c r="AK117" s="14" t="n">
        <v>45.956</v>
      </c>
      <c r="AL117" s="14" t="n">
        <v>23.374</v>
      </c>
      <c r="AM117" s="14" t="n">
        <v>0</v>
      </c>
      <c r="AN117" s="14" t="n">
        <v>45.956</v>
      </c>
      <c r="AO117" s="14" t="n">
        <v>0</v>
      </c>
      <c r="AP117" s="14" t="n">
        <v>1</v>
      </c>
      <c r="AQ117" s="14" t="n">
        <v>0.756</v>
      </c>
      <c r="AR117" s="14" t="n">
        <v>0.132</v>
      </c>
      <c r="AS117" s="14" t="n">
        <v>0.126</v>
      </c>
      <c r="AT117" s="14" t="n">
        <v>1.103</v>
      </c>
      <c r="AU117" s="14" t="n">
        <v>0.25</v>
      </c>
      <c r="AV117" s="14" t="n">
        <v>1</v>
      </c>
      <c r="AW117" s="14" t="n">
        <v>0.655</v>
      </c>
      <c r="AX117" s="14" t="n">
        <v>0.132</v>
      </c>
      <c r="AY117" s="14" t="n">
        <v>0.328</v>
      </c>
      <c r="AZ117" s="14" t="n">
        <v>1.102</v>
      </c>
      <c r="BA117" s="14" t="n">
        <v>0.12</v>
      </c>
      <c r="BB117" s="14" t="n">
        <v>1</v>
      </c>
      <c r="BC117" s="14" t="n">
        <v>0.534</v>
      </c>
      <c r="BD117" s="14" t="n">
        <v>0.132</v>
      </c>
      <c r="BE117" s="14" t="n">
        <v>0.174</v>
      </c>
      <c r="BF117" s="14" t="n">
        <v>0.792</v>
      </c>
      <c r="BG117" s="14" t="n">
        <v>0.12</v>
      </c>
      <c r="BH117" s="14" t="n">
        <v>1</v>
      </c>
      <c r="BI117" s="14" t="n">
        <v>0.5679999999999999</v>
      </c>
      <c r="BJ117" s="14" t="n">
        <v>0.132</v>
      </c>
      <c r="BK117" s="14" t="n">
        <v>0.09</v>
      </c>
      <c r="BL117" s="14" t="n">
        <v>0.796</v>
      </c>
      <c r="BM117" s="14" t="n">
        <v>0.25</v>
      </c>
      <c r="BN117" s="14" t="n">
        <v>1</v>
      </c>
      <c r="BO117" s="14" t="n">
        <v>0</v>
      </c>
      <c r="BP117" s="14" t="n">
        <v>0.005</v>
      </c>
      <c r="BQ117" s="14" t="n">
        <v>0.133</v>
      </c>
      <c r="BR117" s="14" t="n">
        <v>0</v>
      </c>
      <c r="BS117" s="14" t="n">
        <v>1</v>
      </c>
      <c r="BT117" s="14" t="n">
        <v>0</v>
      </c>
      <c r="BU117" s="14" t="n">
        <v>0.02</v>
      </c>
      <c r="BV117" s="14" t="n">
        <v>0.16</v>
      </c>
      <c r="BW117" s="14" t="n">
        <v>0</v>
      </c>
      <c r="BX117" s="14" t="n">
        <v>0.667</v>
      </c>
      <c r="BY117" s="14" t="n">
        <v>28.73</v>
      </c>
      <c r="BZ117" s="14" t="n">
        <v>0</v>
      </c>
      <c r="CA117" s="14" t="n">
        <v>28.73</v>
      </c>
      <c r="CB117" s="14" t="n">
        <v>0</v>
      </c>
      <c r="CC117" s="14" t="n">
        <v>82.58799999999999</v>
      </c>
      <c r="CD117" s="14" t="n">
        <v>7.95</v>
      </c>
      <c r="CE117" s="14" t="n">
        <v>21.376</v>
      </c>
      <c r="CF117" s="14" t="n">
        <v>118.885</v>
      </c>
      <c r="CG117" s="14" t="n">
        <v>0.17</v>
      </c>
      <c r="CH117" s="14" t="n">
        <v>1</v>
      </c>
      <c r="CI117" s="14" t="n">
        <v>0</v>
      </c>
      <c r="CJ117" s="14" t="n">
        <v>0</v>
      </c>
      <c r="CK117" s="14" t="n">
        <v>0</v>
      </c>
      <c r="CL117" s="14" t="n">
        <v>0</v>
      </c>
      <c r="CM117" s="14" t="n">
        <v>0</v>
      </c>
      <c r="CN117" s="14" t="n">
        <v>0.229</v>
      </c>
      <c r="CO117" s="14" t="n">
        <v>2.244</v>
      </c>
      <c r="CP117" s="14" t="n">
        <v>0</v>
      </c>
      <c r="CQ117" s="14" t="n">
        <v>1.387</v>
      </c>
      <c r="CR117" s="14" t="n">
        <v>0</v>
      </c>
      <c r="CS117" s="14" t="n">
        <v>6.05</v>
      </c>
      <c r="CT117" s="14" t="n">
        <v>4.251</v>
      </c>
      <c r="CU117" s="14" t="n">
        <v>9.278</v>
      </c>
    </row>
    <row r="118">
      <c r="A118" s="14" t="inlineStr">
        <is>
          <t>VGB2021</t>
        </is>
      </c>
      <c r="B118" s="14" t="inlineStr">
        <is>
          <t>VGB</t>
        </is>
      </c>
      <c r="C118" s="14" t="inlineStr">
        <is>
          <t>VGB</t>
        </is>
      </c>
      <c r="D118" s="14" t="inlineStr">
        <is>
          <t>British Virgin Islands</t>
        </is>
      </c>
      <c r="E118" s="14" t="n">
        <v>2021</v>
      </c>
      <c r="F118" s="14" t="n">
        <v>0.21</v>
      </c>
      <c r="G118" s="14" t="n">
        <v>5.897</v>
      </c>
      <c r="H118" s="14" t="n">
        <v>1.143</v>
      </c>
      <c r="I118" s="14" t="n">
        <v>0</v>
      </c>
      <c r="J118" s="14" t="n">
        <v>5.897</v>
      </c>
      <c r="K118" s="14" t="n">
        <v>0</v>
      </c>
      <c r="L118" s="14" t="n">
        <v>1</v>
      </c>
      <c r="M118" s="14" t="n">
        <v>7.964</v>
      </c>
      <c r="N118" s="14" t="n">
        <v>3.43</v>
      </c>
      <c r="O118" s="14" t="n">
        <v>0</v>
      </c>
      <c r="P118" s="14" t="n">
        <v>7.964</v>
      </c>
      <c r="Q118" s="14" t="n">
        <v>0</v>
      </c>
      <c r="R118" s="14" t="n">
        <v>1</v>
      </c>
      <c r="S118" s="14" t="n">
        <v>11.613</v>
      </c>
      <c r="T118" s="14" t="n">
        <v>6.86</v>
      </c>
      <c r="U118" s="14" t="n">
        <v>0</v>
      </c>
      <c r="V118" s="14" t="n">
        <v>14.052</v>
      </c>
      <c r="W118" s="14" t="n">
        <v>0.21</v>
      </c>
      <c r="X118" s="14" t="n">
        <v>1</v>
      </c>
      <c r="Y118" s="14" t="n">
        <v>17.127</v>
      </c>
      <c r="Z118" s="14" t="n">
        <v>2.304</v>
      </c>
      <c r="AA118" s="14" t="n">
        <v>0</v>
      </c>
      <c r="AB118" s="14" t="n">
        <v>17.127</v>
      </c>
      <c r="AC118" s="14" t="n">
        <v>0</v>
      </c>
      <c r="AD118" s="14" t="n">
        <v>1</v>
      </c>
      <c r="AE118" s="14" t="n">
        <v>18.27</v>
      </c>
      <c r="AF118" s="14" t="n">
        <v>4.278</v>
      </c>
      <c r="AG118" s="14" t="n">
        <v>0</v>
      </c>
      <c r="AH118" s="14" t="n">
        <v>18.27</v>
      </c>
      <c r="AI118" s="14" t="n">
        <v>0</v>
      </c>
      <c r="AJ118" s="14" t="n">
        <v>1</v>
      </c>
      <c r="AK118" s="14" t="n">
        <v>25.13</v>
      </c>
      <c r="AL118" s="14" t="n">
        <v>13.503</v>
      </c>
      <c r="AM118" s="14" t="n">
        <v>0</v>
      </c>
      <c r="AN118" s="14" t="n">
        <v>30.407</v>
      </c>
      <c r="AO118" s="14" t="n">
        <v>0.21</v>
      </c>
      <c r="AP118" s="14" t="n">
        <v>1</v>
      </c>
      <c r="AQ118" s="14" t="n">
        <v>0.649</v>
      </c>
      <c r="AR118" s="14" t="n">
        <v>0.114</v>
      </c>
      <c r="AS118" s="14" t="n">
        <v>0</v>
      </c>
      <c r="AT118" s="14" t="n">
        <v>0.785</v>
      </c>
      <c r="AU118" s="14" t="n">
        <v>0.21</v>
      </c>
      <c r="AV118" s="14" t="n">
        <v>1</v>
      </c>
      <c r="AW118" s="14" t="n">
        <v>0.577</v>
      </c>
      <c r="AX118" s="14" t="n">
        <v>0.114</v>
      </c>
      <c r="AY118" s="14" t="n">
        <v>0</v>
      </c>
      <c r="AZ118" s="14" t="n">
        <v>0.698</v>
      </c>
      <c r="BA118" s="14" t="n">
        <v>0.21</v>
      </c>
      <c r="BB118" s="14" t="n">
        <v>1</v>
      </c>
      <c r="BC118" s="14" t="n">
        <v>0.458</v>
      </c>
      <c r="BD118" s="14" t="n">
        <v>0.114</v>
      </c>
      <c r="BE118" s="14" t="n">
        <v>0</v>
      </c>
      <c r="BF118" s="14" t="n">
        <v>0.554</v>
      </c>
      <c r="BG118" s="14" t="n">
        <v>0.21</v>
      </c>
      <c r="BH118" s="14" t="n">
        <v>1</v>
      </c>
      <c r="BI118" s="14" t="n">
        <v>0.491</v>
      </c>
      <c r="BJ118" s="14" t="n">
        <v>0.114</v>
      </c>
      <c r="BK118" s="14" t="n">
        <v>0</v>
      </c>
      <c r="BL118" s="14" t="n">
        <v>0.594</v>
      </c>
      <c r="BM118" s="14" t="n">
        <v>0.21</v>
      </c>
      <c r="BN118" s="14" t="n">
        <v>1</v>
      </c>
      <c r="BO118" s="14" t="n">
        <v>0</v>
      </c>
      <c r="BP118" s="14" t="n">
        <v>0</v>
      </c>
      <c r="BQ118" s="14" t="n">
        <v>0</v>
      </c>
      <c r="BR118" s="14" t="n">
        <v>0</v>
      </c>
      <c r="BS118" s="14" t="n">
        <v>1</v>
      </c>
      <c r="BT118" s="14" t="n">
        <v>0</v>
      </c>
      <c r="BU118" s="14" t="n">
        <v>0</v>
      </c>
      <c r="BV118" s="14" t="n">
        <v>0</v>
      </c>
      <c r="BW118" s="14" t="n">
        <v>0.21</v>
      </c>
      <c r="BX118" s="14" t="n">
        <v>1</v>
      </c>
      <c r="BY118" s="14" t="n">
        <v>11.787</v>
      </c>
      <c r="BZ118" s="14" t="n">
        <v>0</v>
      </c>
      <c r="CA118" s="14" t="n">
        <v>11.787</v>
      </c>
      <c r="CB118" s="14" t="n">
        <v>0</v>
      </c>
      <c r="CC118" s="14" t="n">
        <v>78.125</v>
      </c>
      <c r="CD118" s="14" t="n">
        <v>7.95</v>
      </c>
      <c r="CE118" s="14" t="n">
        <v>0</v>
      </c>
      <c r="CF118" s="14" t="n">
        <v>94.53100000000001</v>
      </c>
      <c r="CG118" s="14" t="n">
        <v>0.21</v>
      </c>
      <c r="CH118" s="14" t="n">
        <v>1</v>
      </c>
      <c r="CI118" s="14" t="n">
        <v>0</v>
      </c>
      <c r="CJ118" s="14" t="n">
        <v>0</v>
      </c>
      <c r="CK118" s="14" t="n">
        <v>0</v>
      </c>
      <c r="CL118" s="14" t="n">
        <v>0</v>
      </c>
      <c r="CM118" s="14" t="n">
        <v>0</v>
      </c>
      <c r="CN118" s="14" t="n">
        <v>0</v>
      </c>
      <c r="CO118" s="14" t="n">
        <v>0</v>
      </c>
      <c r="CP118" s="14" t="n">
        <v>0</v>
      </c>
      <c r="CQ118" s="14" t="n">
        <v>1.198</v>
      </c>
      <c r="CR118" s="14" t="n">
        <v>0</v>
      </c>
      <c r="CS118" s="14" t="n">
        <v>4.776</v>
      </c>
      <c r="CT118" s="14" t="n">
        <v>4.753</v>
      </c>
      <c r="CU118" s="14" t="n">
        <v>15.983</v>
      </c>
    </row>
    <row r="119">
      <c r="A119" s="14" t="inlineStr">
        <is>
          <t>VGB2022</t>
        </is>
      </c>
      <c r="B119" s="14" t="inlineStr">
        <is>
          <t>VGB</t>
        </is>
      </c>
      <c r="C119" s="14" t="inlineStr">
        <is>
          <t>VGB</t>
        </is>
      </c>
      <c r="D119" s="14" t="inlineStr">
        <is>
          <t>British Virgin Islands</t>
        </is>
      </c>
      <c r="E119" s="14" t="n">
        <v>2022</v>
      </c>
      <c r="F119" s="14" t="n">
        <v>0.21</v>
      </c>
      <c r="G119" s="14" t="n">
        <v>11.72</v>
      </c>
      <c r="H119" s="14" t="n">
        <v>1.235</v>
      </c>
      <c r="I119" s="14" t="n">
        <v>0</v>
      </c>
      <c r="J119" s="14" t="n">
        <v>11.72</v>
      </c>
      <c r="K119" s="14" t="n">
        <v>0</v>
      </c>
      <c r="L119" s="14" t="n">
        <v>1</v>
      </c>
      <c r="M119" s="14" t="n">
        <v>9.782999999999999</v>
      </c>
      <c r="N119" s="14" t="n">
        <v>3.704</v>
      </c>
      <c r="O119" s="14" t="n">
        <v>0</v>
      </c>
      <c r="P119" s="14" t="n">
        <v>9.782999999999999</v>
      </c>
      <c r="Q119" s="14" t="n">
        <v>0</v>
      </c>
      <c r="R119" s="14" t="n">
        <v>1</v>
      </c>
      <c r="S119" s="14" t="n">
        <v>17.893</v>
      </c>
      <c r="T119" s="14" t="n">
        <v>7.408</v>
      </c>
      <c r="U119" s="14" t="n">
        <v>0.278</v>
      </c>
      <c r="V119" s="14" t="n">
        <v>21.651</v>
      </c>
      <c r="W119" s="14" t="n">
        <v>0.21</v>
      </c>
      <c r="X119" s="14" t="n">
        <v>1</v>
      </c>
      <c r="Y119" s="14" t="n">
        <v>30.728</v>
      </c>
      <c r="Z119" s="14" t="n">
        <v>4.133</v>
      </c>
      <c r="AA119" s="14" t="n">
        <v>0</v>
      </c>
      <c r="AB119" s="14" t="n">
        <v>30.728</v>
      </c>
      <c r="AC119" s="14" t="n">
        <v>0</v>
      </c>
      <c r="AD119" s="14" t="n">
        <v>1</v>
      </c>
      <c r="AE119" s="14" t="n">
        <v>31.963</v>
      </c>
      <c r="AF119" s="14" t="n">
        <v>7.485</v>
      </c>
      <c r="AG119" s="14" t="n">
        <v>0</v>
      </c>
      <c r="AH119" s="14" t="n">
        <v>31.963</v>
      </c>
      <c r="AI119" s="14" t="n">
        <v>0</v>
      </c>
      <c r="AJ119" s="14" t="n">
        <v>1</v>
      </c>
      <c r="AK119" s="14" t="n">
        <v>39.371</v>
      </c>
      <c r="AL119" s="14" t="n">
        <v>21.155</v>
      </c>
      <c r="AM119" s="14" t="n">
        <v>0.612</v>
      </c>
      <c r="AN119" s="14" t="n">
        <v>47.639</v>
      </c>
      <c r="AO119" s="14" t="n">
        <v>0.21</v>
      </c>
      <c r="AP119" s="14" t="n">
        <v>1</v>
      </c>
      <c r="AQ119" s="14" t="n">
        <v>0.896</v>
      </c>
      <c r="AR119" s="14" t="n">
        <v>0.123</v>
      </c>
      <c r="AS119" s="14" t="n">
        <v>0.014</v>
      </c>
      <c r="AT119" s="14" t="n">
        <v>1.084</v>
      </c>
      <c r="AU119" s="14" t="n">
        <v>0.21</v>
      </c>
      <c r="AV119" s="14" t="n">
        <v>1</v>
      </c>
      <c r="AW119" s="14" t="n">
        <v>0.89</v>
      </c>
      <c r="AX119" s="14" t="n">
        <v>0.123</v>
      </c>
      <c r="AY119" s="14" t="n">
        <v>0.014</v>
      </c>
      <c r="AZ119" s="14" t="n">
        <v>1.077</v>
      </c>
      <c r="BA119" s="14" t="n">
        <v>0.21</v>
      </c>
      <c r="BB119" s="14" t="n">
        <v>1</v>
      </c>
      <c r="BC119" s="14" t="n">
        <v>0.62</v>
      </c>
      <c r="BD119" s="14" t="n">
        <v>0.123</v>
      </c>
      <c r="BE119" s="14" t="n">
        <v>0.01</v>
      </c>
      <c r="BF119" s="14" t="n">
        <v>0.751</v>
      </c>
      <c r="BG119" s="14" t="n">
        <v>0.21</v>
      </c>
      <c r="BH119" s="14" t="n">
        <v>1</v>
      </c>
      <c r="BI119" s="14" t="n">
        <v>0.608</v>
      </c>
      <c r="BJ119" s="14" t="n">
        <v>0.123</v>
      </c>
      <c r="BK119" s="14" t="n">
        <v>0.008999999999999999</v>
      </c>
      <c r="BL119" s="14" t="n">
        <v>0.735</v>
      </c>
      <c r="BM119" s="14" t="n">
        <v>0.21</v>
      </c>
      <c r="BN119" s="14" t="n">
        <v>1</v>
      </c>
      <c r="BO119" s="14" t="n">
        <v>0</v>
      </c>
      <c r="BP119" s="14" t="n">
        <v>0</v>
      </c>
      <c r="BQ119" s="14" t="n">
        <v>0</v>
      </c>
      <c r="BR119" s="14" t="n">
        <v>0</v>
      </c>
      <c r="BS119" s="14" t="n">
        <v>1</v>
      </c>
      <c r="BT119" s="14" t="n">
        <v>0</v>
      </c>
      <c r="BU119" s="14" t="n">
        <v>0</v>
      </c>
      <c r="BV119" s="14" t="n">
        <v>0</v>
      </c>
      <c r="BW119" s="14" t="n">
        <v>0.21</v>
      </c>
      <c r="BX119" s="14" t="n">
        <v>1</v>
      </c>
      <c r="BY119" s="14" t="n">
        <v>12.729</v>
      </c>
      <c r="BZ119" s="14" t="n">
        <v>0</v>
      </c>
      <c r="CA119" s="14" t="n">
        <v>12.729</v>
      </c>
      <c r="CB119" s="14" t="n">
        <v>0</v>
      </c>
      <c r="CC119" s="14" t="n">
        <v>97.90000000000001</v>
      </c>
      <c r="CD119" s="14" t="n">
        <v>7.95</v>
      </c>
      <c r="CE119" s="14" t="n">
        <v>1.522</v>
      </c>
      <c r="CF119" s="14" t="n">
        <v>118.459</v>
      </c>
      <c r="CG119" s="14" t="n">
        <v>0.21</v>
      </c>
      <c r="CH119" s="14" t="n">
        <v>1</v>
      </c>
      <c r="CI119" s="14" t="n">
        <v>0</v>
      </c>
      <c r="CJ119" s="14" t="n">
        <v>0</v>
      </c>
      <c r="CK119" s="14" t="n">
        <v>0</v>
      </c>
      <c r="CL119" s="14" t="n">
        <v>0</v>
      </c>
      <c r="CM119" s="14" t="n">
        <v>0</v>
      </c>
      <c r="CN119" s="14" t="n">
        <v>0</v>
      </c>
      <c r="CO119" s="14" t="n">
        <v>0</v>
      </c>
      <c r="CP119" s="14" t="n">
        <v>0</v>
      </c>
      <c r="CQ119" s="14" t="n">
        <v>1.294</v>
      </c>
      <c r="CR119" s="14" t="n">
        <v>0</v>
      </c>
      <c r="CS119" s="14" t="n">
        <v>5.158</v>
      </c>
      <c r="CT119" s="14" t="n">
        <v>10.485</v>
      </c>
      <c r="CU119" s="14" t="n">
        <v>29.494</v>
      </c>
    </row>
    <row r="120">
      <c r="A120" s="14" t="inlineStr">
        <is>
          <t>VGB2023</t>
        </is>
      </c>
      <c r="B120" s="14" t="inlineStr">
        <is>
          <t>VGB</t>
        </is>
      </c>
      <c r="C120" s="14" t="inlineStr">
        <is>
          <t>VGB</t>
        </is>
      </c>
      <c r="D120" s="14" t="inlineStr">
        <is>
          <t>British Virgin Islands</t>
        </is>
      </c>
      <c r="E120" s="14" t="n">
        <v>2023</v>
      </c>
      <c r="F120" s="14" t="n">
        <v>0.21</v>
      </c>
      <c r="G120" s="14" t="n">
        <v>6.147</v>
      </c>
      <c r="H120" s="14" t="n">
        <v>1.286</v>
      </c>
      <c r="I120" s="14" t="n">
        <v>0</v>
      </c>
      <c r="J120" s="14" t="n">
        <v>6.147</v>
      </c>
      <c r="K120" s="14" t="n">
        <v>0</v>
      </c>
      <c r="L120" s="14" t="n">
        <v>1</v>
      </c>
      <c r="M120" s="14" t="n">
        <v>7.886</v>
      </c>
      <c r="N120" s="14" t="n">
        <v>3.857</v>
      </c>
      <c r="O120" s="14" t="n">
        <v>0</v>
      </c>
      <c r="P120" s="14" t="n">
        <v>7.886</v>
      </c>
      <c r="Q120" s="14" t="n">
        <v>0</v>
      </c>
      <c r="R120" s="14" t="n">
        <v>1</v>
      </c>
      <c r="S120" s="14" t="n">
        <v>12.575</v>
      </c>
      <c r="T120" s="14" t="n">
        <v>7.714</v>
      </c>
      <c r="U120" s="14" t="n">
        <v>0.292</v>
      </c>
      <c r="V120" s="14" t="n">
        <v>15.216</v>
      </c>
      <c r="W120" s="14" t="n">
        <v>0.21</v>
      </c>
      <c r="X120" s="14" t="n">
        <v>1</v>
      </c>
      <c r="Y120" s="14" t="n">
        <v>12.478</v>
      </c>
      <c r="Z120" s="14" t="n">
        <v>1.678</v>
      </c>
      <c r="AA120" s="14" t="n">
        <v>0</v>
      </c>
      <c r="AB120" s="14" t="n">
        <v>12.478</v>
      </c>
      <c r="AC120" s="14" t="n">
        <v>0</v>
      </c>
      <c r="AD120" s="14" t="n">
        <v>1</v>
      </c>
      <c r="AE120" s="14" t="n">
        <v>13.763</v>
      </c>
      <c r="AF120" s="14" t="n">
        <v>3.223</v>
      </c>
      <c r="AG120" s="14" t="n">
        <v>0</v>
      </c>
      <c r="AH120" s="14" t="n">
        <v>13.763</v>
      </c>
      <c r="AI120" s="14" t="n">
        <v>0</v>
      </c>
      <c r="AJ120" s="14" t="n">
        <v>1</v>
      </c>
      <c r="AK120" s="14" t="n">
        <v>21.477</v>
      </c>
      <c r="AL120" s="14" t="n">
        <v>11.54</v>
      </c>
      <c r="AM120" s="14" t="n">
        <v>0.499</v>
      </c>
      <c r="AN120" s="14" t="n">
        <v>25.988</v>
      </c>
      <c r="AO120" s="14" t="n">
        <v>0.21</v>
      </c>
      <c r="AP120" s="14" t="n">
        <v>1</v>
      </c>
      <c r="AQ120" s="14" t="n">
        <v>0.791</v>
      </c>
      <c r="AR120" s="14" t="n">
        <v>0.129</v>
      </c>
      <c r="AS120" s="14" t="n">
        <v>0.018</v>
      </c>
      <c r="AT120" s="14" t="n">
        <v>0.957</v>
      </c>
      <c r="AU120" s="14" t="n">
        <v>0.21</v>
      </c>
      <c r="AV120" s="14" t="n">
        <v>1</v>
      </c>
      <c r="AW120" s="14" t="n">
        <v>0.618</v>
      </c>
      <c r="AX120" s="14" t="n">
        <v>0.129</v>
      </c>
      <c r="AY120" s="14" t="n">
        <v>0.014</v>
      </c>
      <c r="AZ120" s="14" t="n">
        <v>0.748</v>
      </c>
      <c r="BA120" s="14" t="n">
        <v>0.21</v>
      </c>
      <c r="BB120" s="14" t="n">
        <v>1</v>
      </c>
      <c r="BC120" s="14" t="n">
        <v>0.554</v>
      </c>
      <c r="BD120" s="14" t="n">
        <v>0.129</v>
      </c>
      <c r="BE120" s="14" t="n">
        <v>0.013</v>
      </c>
      <c r="BF120" s="14" t="n">
        <v>0.671</v>
      </c>
      <c r="BG120" s="14" t="n">
        <v>0.21</v>
      </c>
      <c r="BH120" s="14" t="n">
        <v>1</v>
      </c>
      <c r="BI120" s="14" t="n">
        <v>0.5570000000000001</v>
      </c>
      <c r="BJ120" s="14" t="n">
        <v>0.129</v>
      </c>
      <c r="BK120" s="14" t="n">
        <v>0.013</v>
      </c>
      <c r="BL120" s="14" t="n">
        <v>0.674</v>
      </c>
      <c r="BM120" s="14" t="n">
        <v>0.21</v>
      </c>
      <c r="BN120" s="14" t="n">
        <v>1</v>
      </c>
      <c r="BO120" s="14" t="n">
        <v>0</v>
      </c>
      <c r="BP120" s="14" t="n">
        <v>0</v>
      </c>
      <c r="BQ120" s="14" t="n">
        <v>0</v>
      </c>
      <c r="BR120" s="14" t="n">
        <v>0</v>
      </c>
      <c r="BS120" s="14" t="n">
        <v>1</v>
      </c>
      <c r="BT120" s="14" t="n">
        <v>0</v>
      </c>
      <c r="BU120" s="14" t="n">
        <v>0</v>
      </c>
      <c r="BV120" s="14" t="n">
        <v>0</v>
      </c>
      <c r="BW120" s="14" t="n">
        <v>0.21</v>
      </c>
      <c r="BX120" s="14" t="n">
        <v>1</v>
      </c>
      <c r="BY120" s="14" t="n">
        <v>13.254</v>
      </c>
      <c r="BZ120" s="14" t="n">
        <v>0</v>
      </c>
      <c r="CA120" s="14" t="n">
        <v>13.254</v>
      </c>
      <c r="CB120" s="14" t="n">
        <v>0</v>
      </c>
      <c r="CC120" s="14" t="n">
        <v>83.248</v>
      </c>
      <c r="CD120" s="14" t="n">
        <v>7.95</v>
      </c>
      <c r="CE120" s="14" t="n">
        <v>1.936</v>
      </c>
      <c r="CF120" s="14" t="n">
        <v>100.73</v>
      </c>
      <c r="CG120" s="14" t="n">
        <v>0.21</v>
      </c>
      <c r="CH120" s="14" t="n">
        <v>1</v>
      </c>
      <c r="CI120" s="14" t="n">
        <v>0</v>
      </c>
      <c r="CJ120" s="14" t="n">
        <v>0</v>
      </c>
      <c r="CK120" s="14" t="n">
        <v>0</v>
      </c>
      <c r="CL120" s="14" t="n">
        <v>0</v>
      </c>
      <c r="CM120" s="14" t="n">
        <v>0</v>
      </c>
      <c r="CN120" s="14" t="n">
        <v>0</v>
      </c>
      <c r="CO120" s="14" t="n">
        <v>0</v>
      </c>
      <c r="CP120" s="14" t="n">
        <v>0</v>
      </c>
      <c r="CQ120" s="14" t="n">
        <v>1.348</v>
      </c>
      <c r="CR120" s="14" t="n">
        <v>0</v>
      </c>
      <c r="CS120" s="14" t="n">
        <v>5.37</v>
      </c>
      <c r="CT120" s="14" t="n">
        <v>4.861</v>
      </c>
      <c r="CU120" s="14" t="n">
        <v>11.192</v>
      </c>
    </row>
    <row r="121">
      <c r="A121" s="14" t="inlineStr">
        <is>
          <t>VGB2024</t>
        </is>
      </c>
      <c r="B121" s="14" t="inlineStr">
        <is>
          <t>VGB</t>
        </is>
      </c>
      <c r="C121" s="14" t="inlineStr">
        <is>
          <t>VGB</t>
        </is>
      </c>
      <c r="D121" s="14" t="inlineStr">
        <is>
          <t>British Virgin Islands</t>
        </is>
      </c>
      <c r="E121" s="14" t="n">
        <v>2024</v>
      </c>
      <c r="F121" s="14" t="n">
        <v>0.21</v>
      </c>
      <c r="G121" s="14" t="n">
        <v>5.575</v>
      </c>
      <c r="H121" s="14" t="n">
        <v>1.324</v>
      </c>
      <c r="I121" s="14" t="n">
        <v>0</v>
      </c>
      <c r="J121" s="14" t="n">
        <v>5.575</v>
      </c>
      <c r="K121" s="14" t="n">
        <v>0</v>
      </c>
      <c r="L121" s="14" t="n">
        <v>1</v>
      </c>
      <c r="M121" s="14" t="n">
        <v>7.124</v>
      </c>
      <c r="N121" s="14" t="n">
        <v>3.971</v>
      </c>
      <c r="O121" s="14" t="n">
        <v>0</v>
      </c>
      <c r="P121" s="14" t="n">
        <v>7.124</v>
      </c>
      <c r="Q121" s="14" t="n">
        <v>0</v>
      </c>
      <c r="R121" s="14" t="n">
        <v>1</v>
      </c>
      <c r="S121" s="14" t="n">
        <v>12.193</v>
      </c>
      <c r="T121" s="14" t="n">
        <v>7.942</v>
      </c>
      <c r="U121" s="14" t="n">
        <v>0.349</v>
      </c>
      <c r="V121" s="14" t="n">
        <v>14.753</v>
      </c>
      <c r="W121" s="14" t="n">
        <v>0.21</v>
      </c>
      <c r="X121" s="14" t="n">
        <v>1</v>
      </c>
      <c r="Y121" s="14" t="n">
        <v>11.447</v>
      </c>
      <c r="Z121" s="14" t="n">
        <v>1.54</v>
      </c>
      <c r="AA121" s="14" t="n">
        <v>0</v>
      </c>
      <c r="AB121" s="14" t="n">
        <v>11.447</v>
      </c>
      <c r="AC121" s="14" t="n">
        <v>0</v>
      </c>
      <c r="AD121" s="14" t="n">
        <v>1</v>
      </c>
      <c r="AE121" s="14" t="n">
        <v>12.771</v>
      </c>
      <c r="AF121" s="14" t="n">
        <v>2.991</v>
      </c>
      <c r="AG121" s="14" t="n">
        <v>0</v>
      </c>
      <c r="AH121" s="14" t="n">
        <v>12.771</v>
      </c>
      <c r="AI121" s="14" t="n">
        <v>0</v>
      </c>
      <c r="AJ121" s="14" t="n">
        <v>1</v>
      </c>
      <c r="AK121" s="14" t="n">
        <v>20.712</v>
      </c>
      <c r="AL121" s="14" t="n">
        <v>11.129</v>
      </c>
      <c r="AM121" s="14" t="n">
        <v>0.592</v>
      </c>
      <c r="AN121" s="14" t="n">
        <v>25.062</v>
      </c>
      <c r="AO121" s="14" t="n">
        <v>0.21</v>
      </c>
      <c r="AP121" s="14" t="n">
        <v>1</v>
      </c>
      <c r="AQ121" s="14" t="n">
        <v>0.756</v>
      </c>
      <c r="AR121" s="14" t="n">
        <v>0.132</v>
      </c>
      <c r="AS121" s="14" t="n">
        <v>0.022</v>
      </c>
      <c r="AT121" s="14" t="n">
        <v>0.915</v>
      </c>
      <c r="AU121" s="14" t="n">
        <v>0.21</v>
      </c>
      <c r="AV121" s="14" t="n">
        <v>1</v>
      </c>
      <c r="AW121" s="14" t="n">
        <v>0.655</v>
      </c>
      <c r="AX121" s="14" t="n">
        <v>0.132</v>
      </c>
      <c r="AY121" s="14" t="n">
        <v>0.019</v>
      </c>
      <c r="AZ121" s="14" t="n">
        <v>0.793</v>
      </c>
      <c r="BA121" s="14" t="n">
        <v>0.21</v>
      </c>
      <c r="BB121" s="14" t="n">
        <v>1</v>
      </c>
      <c r="BC121" s="14" t="n">
        <v>0.534</v>
      </c>
      <c r="BD121" s="14" t="n">
        <v>0.132</v>
      </c>
      <c r="BE121" s="14" t="n">
        <v>0.015</v>
      </c>
      <c r="BF121" s="14" t="n">
        <v>0.646</v>
      </c>
      <c r="BG121" s="14" t="n">
        <v>0.21</v>
      </c>
      <c r="BH121" s="14" t="n">
        <v>1</v>
      </c>
      <c r="BI121" s="14" t="n">
        <v>0.5679999999999999</v>
      </c>
      <c r="BJ121" s="14" t="n">
        <v>0.132</v>
      </c>
      <c r="BK121" s="14" t="n">
        <v>0.016</v>
      </c>
      <c r="BL121" s="14" t="n">
        <v>0.6870000000000001</v>
      </c>
      <c r="BM121" s="14" t="n">
        <v>0.21</v>
      </c>
      <c r="BN121" s="14" t="n">
        <v>1</v>
      </c>
      <c r="BO121" s="14" t="n">
        <v>0</v>
      </c>
      <c r="BP121" s="14" t="n">
        <v>0</v>
      </c>
      <c r="BQ121" s="14" t="n">
        <v>0</v>
      </c>
      <c r="BR121" s="14" t="n">
        <v>0</v>
      </c>
      <c r="BS121" s="14" t="n">
        <v>1</v>
      </c>
      <c r="BT121" s="14" t="n">
        <v>0</v>
      </c>
      <c r="BU121" s="14" t="n">
        <v>0</v>
      </c>
      <c r="BV121" s="14" t="n">
        <v>0</v>
      </c>
      <c r="BW121" s="14" t="n">
        <v>0.21</v>
      </c>
      <c r="BX121" s="14" t="n">
        <v>1</v>
      </c>
      <c r="BY121" s="14" t="n">
        <v>13.646</v>
      </c>
      <c r="BZ121" s="14" t="n">
        <v>0</v>
      </c>
      <c r="CA121" s="14" t="n">
        <v>13.646</v>
      </c>
      <c r="CB121" s="14" t="n">
        <v>0</v>
      </c>
      <c r="CC121" s="14" t="n">
        <v>82.58799999999999</v>
      </c>
      <c r="CD121" s="14" t="n">
        <v>7.95</v>
      </c>
      <c r="CE121" s="14" t="n">
        <v>2.362</v>
      </c>
      <c r="CF121" s="14" t="n">
        <v>99.931</v>
      </c>
      <c r="CG121" s="14" t="n">
        <v>0.21</v>
      </c>
      <c r="CH121" s="14" t="n">
        <v>1</v>
      </c>
      <c r="CI121" s="14" t="n">
        <v>0</v>
      </c>
      <c r="CJ121" s="14" t="n">
        <v>0</v>
      </c>
      <c r="CK121" s="14" t="n">
        <v>0</v>
      </c>
      <c r="CL121" s="14" t="n">
        <v>0</v>
      </c>
      <c r="CM121" s="14" t="n">
        <v>0</v>
      </c>
      <c r="CN121" s="14" t="n">
        <v>0</v>
      </c>
      <c r="CO121" s="14" t="n">
        <v>0</v>
      </c>
      <c r="CP121" s="14" t="n">
        <v>0</v>
      </c>
      <c r="CQ121" s="14" t="n">
        <v>1.387</v>
      </c>
      <c r="CR121" s="14" t="n">
        <v>0</v>
      </c>
      <c r="CS121" s="14" t="n">
        <v>5.529</v>
      </c>
      <c r="CT121" s="14" t="n">
        <v>4.251</v>
      </c>
      <c r="CU121" s="14" t="n">
        <v>10.123</v>
      </c>
    </row>
    <row r="122">
      <c r="A122" s="14" t="inlineStr">
        <is>
          <t>BRN2021</t>
        </is>
      </c>
      <c r="B122" s="14" t="inlineStr">
        <is>
          <t>BRN</t>
        </is>
      </c>
      <c r="C122" s="14" t="inlineStr">
        <is>
          <t>BRN</t>
        </is>
      </c>
      <c r="D122" s="14" t="inlineStr">
        <is>
          <t>Brunei Darussalam</t>
        </is>
      </c>
      <c r="E122" s="14" t="n">
        <v>2021</v>
      </c>
      <c r="F122" s="14" t="n">
        <v>0</v>
      </c>
      <c r="G122" s="14" t="n">
        <v>4.747</v>
      </c>
      <c r="H122" s="14" t="n">
        <v>1.143</v>
      </c>
      <c r="I122" s="14" t="n">
        <v>0</v>
      </c>
      <c r="J122" s="14" t="n">
        <v>4.747</v>
      </c>
      <c r="K122" s="14" t="n">
        <v>0</v>
      </c>
      <c r="L122" s="14" t="n">
        <v>1</v>
      </c>
      <c r="M122" s="14" t="n">
        <v>7.964</v>
      </c>
      <c r="N122" s="14" t="n">
        <v>3.43</v>
      </c>
      <c r="O122" s="14" t="n">
        <v>0</v>
      </c>
      <c r="P122" s="14" t="n">
        <v>7.964</v>
      </c>
      <c r="Q122" s="14" t="n">
        <v>0</v>
      </c>
      <c r="R122" s="14" t="n">
        <v>1</v>
      </c>
      <c r="S122" s="14" t="n">
        <v>10.464</v>
      </c>
      <c r="T122" s="14" t="n">
        <v>6.86</v>
      </c>
      <c r="U122" s="14" t="n">
        <v>0</v>
      </c>
      <c r="V122" s="14" t="n">
        <v>10.464</v>
      </c>
      <c r="W122" s="14" t="n">
        <v>0</v>
      </c>
      <c r="X122" s="14" t="n">
        <v>1</v>
      </c>
      <c r="Y122" s="14" t="n">
        <v>3.471</v>
      </c>
      <c r="Z122" s="14" t="n">
        <v>0.381</v>
      </c>
      <c r="AA122" s="14" t="n">
        <v>0.783</v>
      </c>
      <c r="AB122" s="14" t="n">
        <v>4.253</v>
      </c>
      <c r="AC122" s="14" t="n">
        <v>0</v>
      </c>
      <c r="AD122" s="14" t="n">
        <v>1</v>
      </c>
      <c r="AE122" s="14" t="n">
        <v>4.042</v>
      </c>
      <c r="AF122" s="14" t="n">
        <v>0.786</v>
      </c>
      <c r="AG122" s="14" t="n">
        <v>0.211</v>
      </c>
      <c r="AH122" s="14" t="n">
        <v>4.253</v>
      </c>
      <c r="AI122" s="14" t="n">
        <v>0</v>
      </c>
      <c r="AJ122" s="14" t="n">
        <v>1</v>
      </c>
      <c r="AK122" s="14" t="n">
        <v>7.472</v>
      </c>
      <c r="AL122" s="14" t="n">
        <v>3.525</v>
      </c>
      <c r="AM122" s="14" t="n">
        <v>-3.219</v>
      </c>
      <c r="AN122" s="14" t="n">
        <v>4.253</v>
      </c>
      <c r="AO122" s="14" t="n">
        <v>0</v>
      </c>
      <c r="AP122" s="14" t="n">
        <v>0</v>
      </c>
      <c r="AQ122" s="14" t="n">
        <v>0.621</v>
      </c>
      <c r="AR122" s="14" t="n">
        <v>0.114</v>
      </c>
      <c r="AS122" s="14" t="n">
        <v>-0.342</v>
      </c>
      <c r="AT122" s="14" t="n">
        <v>0.278</v>
      </c>
      <c r="AU122" s="14" t="n">
        <v>0</v>
      </c>
      <c r="AV122" s="14" t="n">
        <v>0</v>
      </c>
      <c r="AW122" s="14" t="n">
        <v>0.593</v>
      </c>
      <c r="AX122" s="14" t="n">
        <v>0.114</v>
      </c>
      <c r="AY122" s="14" t="n">
        <v>-0.355</v>
      </c>
      <c r="AZ122" s="14" t="n">
        <v>0.238</v>
      </c>
      <c r="BA122" s="14" t="n">
        <v>0</v>
      </c>
      <c r="BB122" s="14" t="n">
        <v>0</v>
      </c>
      <c r="BC122" s="14" t="n">
        <v>0.44</v>
      </c>
      <c r="BD122" s="14" t="n">
        <v>0.114</v>
      </c>
      <c r="BE122" s="14" t="n">
        <v>-0.301</v>
      </c>
      <c r="BF122" s="14" t="n">
        <v>0.139</v>
      </c>
      <c r="BG122" s="14" t="n">
        <v>0</v>
      </c>
      <c r="BH122" s="14" t="n">
        <v>0</v>
      </c>
      <c r="BI122" s="14" t="n">
        <v>0.5600000000000001</v>
      </c>
      <c r="BJ122" s="14" t="n">
        <v>0.114</v>
      </c>
      <c r="BK122" s="14" t="n">
        <v>-0.276</v>
      </c>
      <c r="BL122" s="14" t="n">
        <v>0.284</v>
      </c>
      <c r="BM122" s="14" t="n">
        <v>0</v>
      </c>
      <c r="BN122" s="14" t="n">
        <v>0</v>
      </c>
      <c r="BO122" s="14" t="n">
        <v>0</v>
      </c>
      <c r="BP122" s="14" t="n">
        <v>-0.021</v>
      </c>
      <c r="BQ122" s="14" t="n">
        <v>0.046</v>
      </c>
      <c r="BR122" s="14" t="n">
        <v>0</v>
      </c>
      <c r="BS122" s="14" t="n">
        <v>1</v>
      </c>
      <c r="BT122" s="14" t="n">
        <v>0</v>
      </c>
      <c r="BU122" s="14" t="n">
        <v>-0.021</v>
      </c>
      <c r="BV122" s="14" t="n">
        <v>0.076</v>
      </c>
      <c r="BW122" s="14" t="n">
        <v>0</v>
      </c>
      <c r="BX122" s="14" t="n">
        <v>1</v>
      </c>
      <c r="BY122" s="14" t="n">
        <v>11.787</v>
      </c>
      <c r="BZ122" s="14" t="n">
        <v>0</v>
      </c>
      <c r="CA122" s="14" t="n">
        <v>11.787</v>
      </c>
      <c r="CB122" s="14" t="n">
        <v>0</v>
      </c>
      <c r="CC122" s="14" t="n">
        <v>81.69499999999999</v>
      </c>
      <c r="CD122" s="14" t="n">
        <v>7.95</v>
      </c>
      <c r="CE122" s="14" t="n">
        <v>0</v>
      </c>
      <c r="CF122" s="14" t="n">
        <v>81.69499999999999</v>
      </c>
      <c r="CG122" s="14" t="n">
        <v>0</v>
      </c>
      <c r="CH122" s="14" t="n">
        <v>1</v>
      </c>
      <c r="CI122" s="14" t="n">
        <v>0</v>
      </c>
      <c r="CJ122" s="14" t="n">
        <v>0</v>
      </c>
      <c r="CK122" s="14" t="n">
        <v>0</v>
      </c>
      <c r="CL122" s="14" t="n">
        <v>0</v>
      </c>
      <c r="CM122" s="14" t="n">
        <v>0</v>
      </c>
      <c r="CN122" s="14" t="n">
        <v>0</v>
      </c>
      <c r="CO122" s="14" t="n">
        <v>0</v>
      </c>
      <c r="CP122" s="14" t="n">
        <v>0</v>
      </c>
      <c r="CQ122" s="14" t="n">
        <v>1.198</v>
      </c>
      <c r="CR122" s="14" t="n">
        <v>1</v>
      </c>
      <c r="CS122" s="14" t="n">
        <v>2.899</v>
      </c>
      <c r="CT122" s="14" t="n">
        <v>3.604</v>
      </c>
      <c r="CU122" s="14" t="n">
        <v>14.129</v>
      </c>
    </row>
    <row r="123">
      <c r="A123" s="14" t="inlineStr">
        <is>
          <t>BRN2022</t>
        </is>
      </c>
      <c r="B123" s="14" t="inlineStr">
        <is>
          <t>BRN</t>
        </is>
      </c>
      <c r="C123" s="14" t="inlineStr">
        <is>
          <t>BRN</t>
        </is>
      </c>
      <c r="D123" s="14" t="inlineStr">
        <is>
          <t>Brunei Darussalam</t>
        </is>
      </c>
      <c r="E123" s="14" t="n">
        <v>2022</v>
      </c>
      <c r="F123" s="14" t="n">
        <v>0</v>
      </c>
      <c r="G123" s="14" t="n">
        <v>8.788</v>
      </c>
      <c r="H123" s="14" t="n">
        <v>1.235</v>
      </c>
      <c r="I123" s="14" t="n">
        <v>0</v>
      </c>
      <c r="J123" s="14" t="n">
        <v>8.788</v>
      </c>
      <c r="K123" s="14" t="n">
        <v>0</v>
      </c>
      <c r="L123" s="14" t="n">
        <v>1</v>
      </c>
      <c r="M123" s="14" t="n">
        <v>9.782999999999999</v>
      </c>
      <c r="N123" s="14" t="n">
        <v>3.704</v>
      </c>
      <c r="O123" s="14" t="n">
        <v>0</v>
      </c>
      <c r="P123" s="14" t="n">
        <v>9.782999999999999</v>
      </c>
      <c r="Q123" s="14" t="n">
        <v>0</v>
      </c>
      <c r="R123" s="14" t="n">
        <v>1</v>
      </c>
      <c r="S123" s="14" t="n">
        <v>14.962</v>
      </c>
      <c r="T123" s="14" t="n">
        <v>7.408</v>
      </c>
      <c r="U123" s="14" t="n">
        <v>0</v>
      </c>
      <c r="V123" s="14" t="n">
        <v>14.962</v>
      </c>
      <c r="W123" s="14" t="n">
        <v>0</v>
      </c>
      <c r="X123" s="14" t="n">
        <v>1</v>
      </c>
      <c r="Y123" s="14" t="n">
        <v>3.748</v>
      </c>
      <c r="Z123" s="14" t="n">
        <v>0.411</v>
      </c>
      <c r="AA123" s="14" t="n">
        <v>0.845</v>
      </c>
      <c r="AB123" s="14" t="n">
        <v>4.593</v>
      </c>
      <c r="AC123" s="14" t="n">
        <v>0</v>
      </c>
      <c r="AD123" s="14" t="n">
        <v>1</v>
      </c>
      <c r="AE123" s="14" t="n">
        <v>4.366</v>
      </c>
      <c r="AF123" s="14" t="n">
        <v>0.849</v>
      </c>
      <c r="AG123" s="14" t="n">
        <v>0.228</v>
      </c>
      <c r="AH123" s="14" t="n">
        <v>4.593</v>
      </c>
      <c r="AI123" s="14" t="n">
        <v>0</v>
      </c>
      <c r="AJ123" s="14" t="n">
        <v>1</v>
      </c>
      <c r="AK123" s="14" t="n">
        <v>8.07</v>
      </c>
      <c r="AL123" s="14" t="n">
        <v>3.807</v>
      </c>
      <c r="AM123" s="14" t="n">
        <v>-3.476</v>
      </c>
      <c r="AN123" s="14" t="n">
        <v>4.593</v>
      </c>
      <c r="AO123" s="14" t="n">
        <v>0</v>
      </c>
      <c r="AP123" s="14" t="n">
        <v>0</v>
      </c>
      <c r="AQ123" s="14" t="n">
        <v>0.847</v>
      </c>
      <c r="AR123" s="14" t="n">
        <v>0.123</v>
      </c>
      <c r="AS123" s="14" t="n">
        <v>-0.541</v>
      </c>
      <c r="AT123" s="14" t="n">
        <v>0.305</v>
      </c>
      <c r="AU123" s="14" t="n">
        <v>0</v>
      </c>
      <c r="AV123" s="14" t="n">
        <v>0</v>
      </c>
      <c r="AW123" s="14" t="n">
        <v>0.947</v>
      </c>
      <c r="AX123" s="14" t="n">
        <v>0.123</v>
      </c>
      <c r="AY123" s="14" t="n">
        <v>-0.6850000000000001</v>
      </c>
      <c r="AZ123" s="14" t="n">
        <v>0.262</v>
      </c>
      <c r="BA123" s="14" t="n">
        <v>0</v>
      </c>
      <c r="BB123" s="14" t="n">
        <v>0</v>
      </c>
      <c r="BC123" s="14" t="n">
        <v>0.589</v>
      </c>
      <c r="BD123" s="14" t="n">
        <v>0.123</v>
      </c>
      <c r="BE123" s="14" t="n">
        <v>-0.436</v>
      </c>
      <c r="BF123" s="14" t="n">
        <v>0.153</v>
      </c>
      <c r="BG123" s="14" t="n">
        <v>0</v>
      </c>
      <c r="BH123" s="14" t="n">
        <v>0</v>
      </c>
      <c r="BI123" s="14" t="n">
        <v>0.6889999999999999</v>
      </c>
      <c r="BJ123" s="14" t="n">
        <v>0.123</v>
      </c>
      <c r="BK123" s="14" t="n">
        <v>-0.381</v>
      </c>
      <c r="BL123" s="14" t="n">
        <v>0.308</v>
      </c>
      <c r="BM123" s="14" t="n">
        <v>0</v>
      </c>
      <c r="BN123" s="14" t="n">
        <v>0</v>
      </c>
      <c r="BO123" s="14" t="n">
        <v>0</v>
      </c>
      <c r="BP123" s="14" t="n">
        <v>-0.021</v>
      </c>
      <c r="BQ123" s="14" t="n">
        <v>0.049</v>
      </c>
      <c r="BR123" s="14" t="n">
        <v>0</v>
      </c>
      <c r="BS123" s="14" t="n">
        <v>1</v>
      </c>
      <c r="BT123" s="14" t="n">
        <v>0</v>
      </c>
      <c r="BU123" s="14" t="n">
        <v>-0.021</v>
      </c>
      <c r="BV123" s="14" t="n">
        <v>0.082</v>
      </c>
      <c r="BW123" s="14" t="n">
        <v>0</v>
      </c>
      <c r="BX123" s="14" t="n">
        <v>1</v>
      </c>
      <c r="BY123" s="14" t="n">
        <v>12.729</v>
      </c>
      <c r="BZ123" s="14" t="n">
        <v>0</v>
      </c>
      <c r="CA123" s="14" t="n">
        <v>12.729</v>
      </c>
      <c r="CB123" s="14" t="n">
        <v>0</v>
      </c>
      <c r="CC123" s="14" t="n">
        <v>102.477</v>
      </c>
      <c r="CD123" s="14" t="n">
        <v>7.95</v>
      </c>
      <c r="CE123" s="14" t="n">
        <v>0</v>
      </c>
      <c r="CF123" s="14" t="n">
        <v>102.477</v>
      </c>
      <c r="CG123" s="14" t="n">
        <v>0</v>
      </c>
      <c r="CH123" s="14" t="n">
        <v>1</v>
      </c>
      <c r="CI123" s="14" t="n">
        <v>0</v>
      </c>
      <c r="CJ123" s="14" t="n">
        <v>0</v>
      </c>
      <c r="CK123" s="14" t="n">
        <v>0</v>
      </c>
      <c r="CL123" s="14" t="n">
        <v>0</v>
      </c>
      <c r="CM123" s="14" t="n">
        <v>0</v>
      </c>
      <c r="CN123" s="14" t="n">
        <v>0</v>
      </c>
      <c r="CO123" s="14" t="n">
        <v>0</v>
      </c>
      <c r="CP123" s="14" t="n">
        <v>0</v>
      </c>
      <c r="CQ123" s="14" t="n">
        <v>1.294</v>
      </c>
      <c r="CR123" s="14" t="n">
        <v>1</v>
      </c>
      <c r="CS123" s="14" t="n">
        <v>3.131</v>
      </c>
      <c r="CT123" s="14" t="n">
        <v>7.554</v>
      </c>
      <c r="CU123" s="14" t="n">
        <v>28.059</v>
      </c>
    </row>
    <row r="124">
      <c r="A124" s="14" t="inlineStr">
        <is>
          <t>BRN2023</t>
        </is>
      </c>
      <c r="B124" s="14" t="inlineStr">
        <is>
          <t>BRN</t>
        </is>
      </c>
      <c r="C124" s="14" t="inlineStr">
        <is>
          <t>BRN</t>
        </is>
      </c>
      <c r="D124" s="14" t="inlineStr">
        <is>
          <t>Brunei Darussalam</t>
        </is>
      </c>
      <c r="E124" s="14" t="n">
        <v>2023</v>
      </c>
      <c r="F124" s="14" t="n">
        <v>0</v>
      </c>
      <c r="G124" s="14" t="n">
        <v>5.77</v>
      </c>
      <c r="H124" s="14" t="n">
        <v>1.286</v>
      </c>
      <c r="I124" s="14" t="n">
        <v>0</v>
      </c>
      <c r="J124" s="14" t="n">
        <v>5.77</v>
      </c>
      <c r="K124" s="14" t="n">
        <v>0</v>
      </c>
      <c r="L124" s="14" t="n">
        <v>1</v>
      </c>
      <c r="M124" s="14" t="n">
        <v>7.886</v>
      </c>
      <c r="N124" s="14" t="n">
        <v>3.857</v>
      </c>
      <c r="O124" s="14" t="n">
        <v>0</v>
      </c>
      <c r="P124" s="14" t="n">
        <v>7.886</v>
      </c>
      <c r="Q124" s="14" t="n">
        <v>0</v>
      </c>
      <c r="R124" s="14" t="n">
        <v>1</v>
      </c>
      <c r="S124" s="14" t="n">
        <v>12.198</v>
      </c>
      <c r="T124" s="14" t="n">
        <v>7.714</v>
      </c>
      <c r="U124" s="14" t="n">
        <v>0</v>
      </c>
      <c r="V124" s="14" t="n">
        <v>12.198</v>
      </c>
      <c r="W124" s="14" t="n">
        <v>0</v>
      </c>
      <c r="X124" s="14" t="n">
        <v>1</v>
      </c>
      <c r="Y124" s="14" t="n">
        <v>3.903</v>
      </c>
      <c r="Z124" s="14" t="n">
        <v>0.428</v>
      </c>
      <c r="AA124" s="14" t="n">
        <v>0.88</v>
      </c>
      <c r="AB124" s="14" t="n">
        <v>4.783</v>
      </c>
      <c r="AC124" s="14" t="n">
        <v>0</v>
      </c>
      <c r="AD124" s="14" t="n">
        <v>1</v>
      </c>
      <c r="AE124" s="14" t="n">
        <v>4.546</v>
      </c>
      <c r="AF124" s="14" t="n">
        <v>0.884</v>
      </c>
      <c r="AG124" s="14" t="n">
        <v>0.237</v>
      </c>
      <c r="AH124" s="14" t="n">
        <v>4.783</v>
      </c>
      <c r="AI124" s="14" t="n">
        <v>0</v>
      </c>
      <c r="AJ124" s="14" t="n">
        <v>1</v>
      </c>
      <c r="AK124" s="14" t="n">
        <v>8.403</v>
      </c>
      <c r="AL124" s="14" t="n">
        <v>3.964</v>
      </c>
      <c r="AM124" s="14" t="n">
        <v>-3.62</v>
      </c>
      <c r="AN124" s="14" t="n">
        <v>4.783</v>
      </c>
      <c r="AO124" s="14" t="n">
        <v>0</v>
      </c>
      <c r="AP124" s="14" t="n">
        <v>0</v>
      </c>
      <c r="AQ124" s="14" t="n">
        <v>0.749</v>
      </c>
      <c r="AR124" s="14" t="n">
        <v>0.129</v>
      </c>
      <c r="AS124" s="14" t="n">
        <v>-0.434</v>
      </c>
      <c r="AT124" s="14" t="n">
        <v>0.314</v>
      </c>
      <c r="AU124" s="14" t="n">
        <v>0</v>
      </c>
      <c r="AV124" s="14" t="n">
        <v>0</v>
      </c>
      <c r="AW124" s="14" t="n">
        <v>0.783</v>
      </c>
      <c r="AX124" s="14" t="n">
        <v>0.129</v>
      </c>
      <c r="AY124" s="14" t="n">
        <v>-0.513</v>
      </c>
      <c r="AZ124" s="14" t="n">
        <v>0.269</v>
      </c>
      <c r="BA124" s="14" t="n">
        <v>0</v>
      </c>
      <c r="BB124" s="14" t="n">
        <v>0</v>
      </c>
      <c r="BC124" s="14" t="n">
        <v>0.527</v>
      </c>
      <c r="BD124" s="14" t="n">
        <v>0.129</v>
      </c>
      <c r="BE124" s="14" t="n">
        <v>-0.37</v>
      </c>
      <c r="BF124" s="14" t="n">
        <v>0.157</v>
      </c>
      <c r="BG124" s="14" t="n">
        <v>0</v>
      </c>
      <c r="BH124" s="14" t="n">
        <v>0</v>
      </c>
      <c r="BI124" s="14" t="n">
        <v>0.64</v>
      </c>
      <c r="BJ124" s="14" t="n">
        <v>0.129</v>
      </c>
      <c r="BK124" s="14" t="n">
        <v>-0.32</v>
      </c>
      <c r="BL124" s="14" t="n">
        <v>0.32</v>
      </c>
      <c r="BM124" s="14" t="n">
        <v>0</v>
      </c>
      <c r="BN124" s="14" t="n">
        <v>0</v>
      </c>
      <c r="BO124" s="14" t="n">
        <v>0</v>
      </c>
      <c r="BP124" s="14" t="n">
        <v>-0.021</v>
      </c>
      <c r="BQ124" s="14" t="n">
        <v>0.051</v>
      </c>
      <c r="BR124" s="14" t="n">
        <v>0</v>
      </c>
      <c r="BS124" s="14" t="n">
        <v>1</v>
      </c>
      <c r="BT124" s="14" t="n">
        <v>0</v>
      </c>
      <c r="BU124" s="14" t="n">
        <v>-0.021</v>
      </c>
      <c r="BV124" s="14" t="n">
        <v>0.08500000000000001</v>
      </c>
      <c r="BW124" s="14" t="n">
        <v>0</v>
      </c>
      <c r="BX124" s="14" t="n">
        <v>1</v>
      </c>
      <c r="BY124" s="14" t="n">
        <v>13.254</v>
      </c>
      <c r="BZ124" s="14" t="n">
        <v>0</v>
      </c>
      <c r="CA124" s="14" t="n">
        <v>13.254</v>
      </c>
      <c r="CB124" s="14" t="n">
        <v>0</v>
      </c>
      <c r="CC124" s="14" t="n">
        <v>87.07899999999999</v>
      </c>
      <c r="CD124" s="14" t="n">
        <v>7.95</v>
      </c>
      <c r="CE124" s="14" t="n">
        <v>0</v>
      </c>
      <c r="CF124" s="14" t="n">
        <v>87.07899999999999</v>
      </c>
      <c r="CG124" s="14" t="n">
        <v>0</v>
      </c>
      <c r="CH124" s="14" t="n">
        <v>1</v>
      </c>
      <c r="CI124" s="14" t="n">
        <v>0</v>
      </c>
      <c r="CJ124" s="14" t="n">
        <v>0</v>
      </c>
      <c r="CK124" s="14" t="n">
        <v>0</v>
      </c>
      <c r="CL124" s="14" t="n">
        <v>0</v>
      </c>
      <c r="CM124" s="14" t="n">
        <v>0</v>
      </c>
      <c r="CN124" s="14" t="n">
        <v>0</v>
      </c>
      <c r="CO124" s="14" t="n">
        <v>0</v>
      </c>
      <c r="CP124" s="14" t="n">
        <v>0</v>
      </c>
      <c r="CQ124" s="14" t="n">
        <v>1.348</v>
      </c>
      <c r="CR124" s="14" t="n">
        <v>1</v>
      </c>
      <c r="CS124" s="14" t="n">
        <v>3.26</v>
      </c>
      <c r="CT124" s="14" t="n">
        <v>4.484</v>
      </c>
      <c r="CU124" s="14" t="n">
        <v>9.260999999999999</v>
      </c>
    </row>
    <row r="125">
      <c r="A125" s="14" t="inlineStr">
        <is>
          <t>BRN2024</t>
        </is>
      </c>
      <c r="B125" s="14" t="inlineStr">
        <is>
          <t>BRN</t>
        </is>
      </c>
      <c r="C125" s="14" t="inlineStr">
        <is>
          <t>BRN</t>
        </is>
      </c>
      <c r="D125" s="14" t="inlineStr">
        <is>
          <t>Brunei Darussalam</t>
        </is>
      </c>
      <c r="E125" s="14" t="n">
        <v>2024</v>
      </c>
      <c r="F125" s="14" t="n">
        <v>0</v>
      </c>
      <c r="G125" s="14" t="n">
        <v>4.833</v>
      </c>
      <c r="H125" s="14" t="n">
        <v>1.324</v>
      </c>
      <c r="I125" s="14" t="n">
        <v>0</v>
      </c>
      <c r="J125" s="14" t="n">
        <v>4.833</v>
      </c>
      <c r="K125" s="14" t="n">
        <v>0</v>
      </c>
      <c r="L125" s="14" t="n">
        <v>1</v>
      </c>
      <c r="M125" s="14" t="n">
        <v>7.124</v>
      </c>
      <c r="N125" s="14" t="n">
        <v>3.971</v>
      </c>
      <c r="O125" s="14" t="n">
        <v>0</v>
      </c>
      <c r="P125" s="14" t="n">
        <v>7.124</v>
      </c>
      <c r="Q125" s="14" t="n">
        <v>0</v>
      </c>
      <c r="R125" s="14" t="n">
        <v>1</v>
      </c>
      <c r="S125" s="14" t="n">
        <v>11.451</v>
      </c>
      <c r="T125" s="14" t="n">
        <v>7.942</v>
      </c>
      <c r="U125" s="14" t="n">
        <v>0</v>
      </c>
      <c r="V125" s="14" t="n">
        <v>11.451</v>
      </c>
      <c r="W125" s="14" t="n">
        <v>0</v>
      </c>
      <c r="X125" s="14" t="n">
        <v>1</v>
      </c>
      <c r="Y125" s="14" t="n">
        <v>4.018</v>
      </c>
      <c r="Z125" s="14" t="n">
        <v>0.441</v>
      </c>
      <c r="AA125" s="14" t="n">
        <v>0.906</v>
      </c>
      <c r="AB125" s="14" t="n">
        <v>4.924</v>
      </c>
      <c r="AC125" s="14" t="n">
        <v>0</v>
      </c>
      <c r="AD125" s="14" t="n">
        <v>1</v>
      </c>
      <c r="AE125" s="14" t="n">
        <v>4.68</v>
      </c>
      <c r="AF125" s="14" t="n">
        <v>0.91</v>
      </c>
      <c r="AG125" s="14" t="n">
        <v>0.244</v>
      </c>
      <c r="AH125" s="14" t="n">
        <v>4.924</v>
      </c>
      <c r="AI125" s="14" t="n">
        <v>0</v>
      </c>
      <c r="AJ125" s="14" t="n">
        <v>1</v>
      </c>
      <c r="AK125" s="14" t="n">
        <v>8.651</v>
      </c>
      <c r="AL125" s="14" t="n">
        <v>4.081</v>
      </c>
      <c r="AM125" s="14" t="n">
        <v>-3.727</v>
      </c>
      <c r="AN125" s="14" t="n">
        <v>4.924</v>
      </c>
      <c r="AO125" s="14" t="n">
        <v>0</v>
      </c>
      <c r="AP125" s="14" t="n">
        <v>0</v>
      </c>
      <c r="AQ125" s="14" t="n">
        <v>0.72</v>
      </c>
      <c r="AR125" s="14" t="n">
        <v>0.132</v>
      </c>
      <c r="AS125" s="14" t="n">
        <v>-0.398</v>
      </c>
      <c r="AT125" s="14" t="n">
        <v>0.322</v>
      </c>
      <c r="AU125" s="14" t="n">
        <v>0</v>
      </c>
      <c r="AV125" s="14" t="n">
        <v>0</v>
      </c>
      <c r="AW125" s="14" t="n">
        <v>0.734</v>
      </c>
      <c r="AX125" s="14" t="n">
        <v>0.132</v>
      </c>
      <c r="AY125" s="14" t="n">
        <v>-0.457</v>
      </c>
      <c r="AZ125" s="14" t="n">
        <v>0.276</v>
      </c>
      <c r="BA125" s="14" t="n">
        <v>0</v>
      </c>
      <c r="BB125" s="14" t="n">
        <v>0</v>
      </c>
      <c r="BC125" s="14" t="n">
        <v>0.51</v>
      </c>
      <c r="BD125" s="14" t="n">
        <v>0.132</v>
      </c>
      <c r="BE125" s="14" t="n">
        <v>-0.349</v>
      </c>
      <c r="BF125" s="14" t="n">
        <v>0.161</v>
      </c>
      <c r="BG125" s="14" t="n">
        <v>0</v>
      </c>
      <c r="BH125" s="14" t="n">
        <v>0</v>
      </c>
      <c r="BI125" s="14" t="n">
        <v>0.652</v>
      </c>
      <c r="BJ125" s="14" t="n">
        <v>0.132</v>
      </c>
      <c r="BK125" s="14" t="n">
        <v>-0.323</v>
      </c>
      <c r="BL125" s="14" t="n">
        <v>0.329</v>
      </c>
      <c r="BM125" s="14" t="n">
        <v>0</v>
      </c>
      <c r="BN125" s="14" t="n">
        <v>0</v>
      </c>
      <c r="BO125" s="14" t="n">
        <v>0</v>
      </c>
      <c r="BP125" s="14" t="n">
        <v>-0.022</v>
      </c>
      <c r="BQ125" s="14" t="n">
        <v>0.053</v>
      </c>
      <c r="BR125" s="14" t="n">
        <v>0</v>
      </c>
      <c r="BS125" s="14" t="n">
        <v>1</v>
      </c>
      <c r="BT125" s="14" t="n">
        <v>0</v>
      </c>
      <c r="BU125" s="14" t="n">
        <v>-0.022</v>
      </c>
      <c r="BV125" s="14" t="n">
        <v>0.08799999999999999</v>
      </c>
      <c r="BW125" s="14" t="n">
        <v>0</v>
      </c>
      <c r="BX125" s="14" t="n">
        <v>1</v>
      </c>
      <c r="BY125" s="14" t="n">
        <v>13.646</v>
      </c>
      <c r="BZ125" s="14" t="n">
        <v>0</v>
      </c>
      <c r="CA125" s="14" t="n">
        <v>13.646</v>
      </c>
      <c r="CB125" s="14" t="n">
        <v>0</v>
      </c>
      <c r="CC125" s="14" t="n">
        <v>86.38500000000001</v>
      </c>
      <c r="CD125" s="14" t="n">
        <v>7.95</v>
      </c>
      <c r="CE125" s="14" t="n">
        <v>0</v>
      </c>
      <c r="CF125" s="14" t="n">
        <v>86.38500000000001</v>
      </c>
      <c r="CG125" s="14" t="n">
        <v>0</v>
      </c>
      <c r="CH125" s="14" t="n">
        <v>1</v>
      </c>
      <c r="CI125" s="14" t="n">
        <v>0</v>
      </c>
      <c r="CJ125" s="14" t="n">
        <v>0</v>
      </c>
      <c r="CK125" s="14" t="n">
        <v>0</v>
      </c>
      <c r="CL125" s="14" t="n">
        <v>0</v>
      </c>
      <c r="CM125" s="14" t="n">
        <v>0</v>
      </c>
      <c r="CN125" s="14" t="n">
        <v>0</v>
      </c>
      <c r="CO125" s="14" t="n">
        <v>0</v>
      </c>
      <c r="CP125" s="14" t="n">
        <v>0</v>
      </c>
      <c r="CQ125" s="14" t="n">
        <v>1.387</v>
      </c>
      <c r="CR125" s="14" t="n">
        <v>1</v>
      </c>
      <c r="CS125" s="14" t="n">
        <v>3.356</v>
      </c>
      <c r="CT125" s="14" t="n">
        <v>3.509</v>
      </c>
      <c r="CU125" s="14" t="n">
        <v>7.598</v>
      </c>
    </row>
    <row r="126">
      <c r="A126" s="14" t="inlineStr">
        <is>
          <t>BGR2021</t>
        </is>
      </c>
      <c r="B126" s="14" t="inlineStr">
        <is>
          <t>BGR</t>
        </is>
      </c>
      <c r="C126" s="14" t="inlineStr">
        <is>
          <t>BGR</t>
        </is>
      </c>
      <c r="D126" s="14" t="inlineStr">
        <is>
          <t>Bulgaria</t>
        </is>
      </c>
      <c r="E126" s="14" t="n">
        <v>2021</v>
      </c>
      <c r="F126" s="14" t="n">
        <v>0.2</v>
      </c>
      <c r="G126" s="14" t="n">
        <v>5.895</v>
      </c>
      <c r="H126" s="14" t="n">
        <v>1.29</v>
      </c>
      <c r="I126" s="14" t="n">
        <v>1.782</v>
      </c>
      <c r="J126" s="14" t="n">
        <v>7.676</v>
      </c>
      <c r="K126" s="14" t="n">
        <v>0</v>
      </c>
      <c r="L126" s="14" t="n">
        <v>1</v>
      </c>
      <c r="M126" s="14" t="n">
        <v>5.998</v>
      </c>
      <c r="N126" s="14" t="n">
        <v>2.719</v>
      </c>
      <c r="O126" s="14" t="n">
        <v>1.721</v>
      </c>
      <c r="P126" s="14" t="n">
        <v>7.72</v>
      </c>
      <c r="Q126" s="14" t="n">
        <v>0</v>
      </c>
      <c r="R126" s="14" t="n">
        <v>1</v>
      </c>
      <c r="S126" s="14" t="n">
        <v>4.822</v>
      </c>
      <c r="T126" s="14" t="n">
        <v>2.988</v>
      </c>
      <c r="U126" s="14" t="n">
        <v>0.295</v>
      </c>
      <c r="V126" s="14" t="n">
        <v>6.141</v>
      </c>
      <c r="W126" s="14" t="n">
        <v>0.2</v>
      </c>
      <c r="X126" s="14" t="n">
        <v>1</v>
      </c>
      <c r="Y126" s="14" t="n">
        <v>18.292</v>
      </c>
      <c r="Z126" s="14" t="n">
        <v>2.02</v>
      </c>
      <c r="AA126" s="14" t="n">
        <v>-4.869</v>
      </c>
      <c r="AB126" s="14" t="n">
        <v>13.423</v>
      </c>
      <c r="AC126" s="14" t="n">
        <v>0</v>
      </c>
      <c r="AD126" s="14" t="n">
        <v>1</v>
      </c>
      <c r="AE126" s="14" t="n">
        <v>18.248</v>
      </c>
      <c r="AF126" s="14" t="n">
        <v>3.591</v>
      </c>
      <c r="AG126" s="14" t="n">
        <v>-4.825</v>
      </c>
      <c r="AH126" s="14" t="n">
        <v>13.423</v>
      </c>
      <c r="AI126" s="14" t="n">
        <v>0</v>
      </c>
      <c r="AJ126" s="14" t="n">
        <v>1</v>
      </c>
      <c r="AK126" s="14" t="n">
        <v>21.611</v>
      </c>
      <c r="AL126" s="14" t="n">
        <v>10.607</v>
      </c>
      <c r="AM126" s="14" t="n">
        <v>-8.42</v>
      </c>
      <c r="AN126" s="14" t="n">
        <v>17.664</v>
      </c>
      <c r="AO126" s="14" t="n">
        <v>0.339</v>
      </c>
      <c r="AP126" s="14" t="n">
        <v>1</v>
      </c>
      <c r="AQ126" s="14" t="n">
        <v>0.619</v>
      </c>
      <c r="AR126" s="14" t="n">
        <v>0.114</v>
      </c>
      <c r="AS126" s="14" t="n">
        <v>0.441</v>
      </c>
      <c r="AT126" s="14" t="n">
        <v>1.273</v>
      </c>
      <c r="AU126" s="14" t="n">
        <v>0.2</v>
      </c>
      <c r="AV126" s="14" t="n">
        <v>1</v>
      </c>
      <c r="AW126" s="14" t="n">
        <v>0.599</v>
      </c>
      <c r="AX126" s="14" t="n">
        <v>0.114</v>
      </c>
      <c r="AY126" s="14" t="n">
        <v>0.45</v>
      </c>
      <c r="AZ126" s="14" t="n">
        <v>1.26</v>
      </c>
      <c r="BA126" s="14" t="n">
        <v>0.2</v>
      </c>
      <c r="BB126" s="14" t="n">
        <v>1</v>
      </c>
      <c r="BC126" s="14" t="n">
        <v>0.439</v>
      </c>
      <c r="BD126" s="14" t="n">
        <v>0.114</v>
      </c>
      <c r="BE126" s="14" t="n">
        <v>0.108</v>
      </c>
      <c r="BF126" s="14" t="n">
        <v>0.657</v>
      </c>
      <c r="BG126" s="14" t="n">
        <v>0.2</v>
      </c>
      <c r="BH126" s="14" t="n">
        <v>1</v>
      </c>
      <c r="BI126" s="14" t="n">
        <v>0.505</v>
      </c>
      <c r="BJ126" s="14" t="n">
        <v>0.114</v>
      </c>
      <c r="BK126" s="14" t="n">
        <v>0.509</v>
      </c>
      <c r="BL126" s="14" t="n">
        <v>1.216</v>
      </c>
      <c r="BM126" s="14" t="n">
        <v>0.2</v>
      </c>
      <c r="BN126" s="14" t="n">
        <v>1</v>
      </c>
      <c r="BO126" s="14" t="n">
        <v>0</v>
      </c>
      <c r="BP126" s="14" t="n">
        <v>-0.004</v>
      </c>
      <c r="BQ126" s="14" t="n">
        <v>0.133</v>
      </c>
      <c r="BR126" s="14" t="n">
        <v>0</v>
      </c>
      <c r="BS126" s="14" t="n">
        <v>1</v>
      </c>
      <c r="BT126" s="14" t="n">
        <v>0</v>
      </c>
      <c r="BU126" s="14" t="n">
        <v>0</v>
      </c>
      <c r="BV126" s="14" t="n">
        <v>0.125</v>
      </c>
      <c r="BW126" s="14" t="n">
        <v>0.295</v>
      </c>
      <c r="BX126" s="14" t="n">
        <v>1</v>
      </c>
      <c r="BY126" s="14" t="n">
        <v>11.787</v>
      </c>
      <c r="BZ126" s="14" t="n">
        <v>0</v>
      </c>
      <c r="CA126" s="14" t="n">
        <v>11.787</v>
      </c>
      <c r="CB126" s="14" t="n">
        <v>0</v>
      </c>
      <c r="CC126" s="14" t="n">
        <v>78.125</v>
      </c>
      <c r="CD126" s="14" t="n">
        <v>7.95</v>
      </c>
      <c r="CE126" s="14" t="n">
        <v>80.877</v>
      </c>
      <c r="CF126" s="14" t="n">
        <v>190.803</v>
      </c>
      <c r="CG126" s="14" t="n">
        <v>0.2</v>
      </c>
      <c r="CH126" s="14" t="n">
        <v>1</v>
      </c>
      <c r="CI126" s="14" t="n">
        <v>0</v>
      </c>
      <c r="CJ126" s="14" t="n">
        <v>0</v>
      </c>
      <c r="CK126" s="14" t="n">
        <v>0</v>
      </c>
      <c r="CL126" s="14" t="n">
        <v>0.075</v>
      </c>
      <c r="CM126" s="14" t="n">
        <v>0</v>
      </c>
      <c r="CN126" s="14" t="n">
        <v>0.066</v>
      </c>
      <c r="CO126" s="14" t="n">
        <v>0</v>
      </c>
      <c r="CP126" s="14" t="n">
        <v>0</v>
      </c>
      <c r="CQ126" s="14" t="n">
        <v>1.198</v>
      </c>
      <c r="CR126" s="14" t="n">
        <v>0</v>
      </c>
      <c r="CS126" s="14" t="n">
        <v>4.776</v>
      </c>
      <c r="CT126" s="14" t="n">
        <v>3.867</v>
      </c>
      <c r="CU126" s="14" t="n">
        <v>15.162</v>
      </c>
    </row>
    <row r="127">
      <c r="A127" s="14" t="inlineStr">
        <is>
          <t>BGR2022</t>
        </is>
      </c>
      <c r="B127" s="14" t="inlineStr">
        <is>
          <t>BGR</t>
        </is>
      </c>
      <c r="C127" s="14" t="inlineStr">
        <is>
          <t>BGR</t>
        </is>
      </c>
      <c r="D127" s="14" t="inlineStr">
        <is>
          <t>Bulgaria</t>
        </is>
      </c>
      <c r="E127" s="14" t="n">
        <v>2022</v>
      </c>
      <c r="F127" s="14" t="n">
        <v>0.2</v>
      </c>
      <c r="G127" s="14" t="n">
        <v>6.644</v>
      </c>
      <c r="H127" s="14" t="n">
        <v>1.032</v>
      </c>
      <c r="I127" s="14" t="n">
        <v>8.48</v>
      </c>
      <c r="J127" s="14" t="n">
        <v>15.124</v>
      </c>
      <c r="K127" s="14" t="n">
        <v>0</v>
      </c>
      <c r="L127" s="14" t="n">
        <v>1</v>
      </c>
      <c r="M127" s="14" t="n">
        <v>6.685</v>
      </c>
      <c r="N127" s="14" t="n">
        <v>2.76</v>
      </c>
      <c r="O127" s="14" t="n">
        <v>8.193</v>
      </c>
      <c r="P127" s="14" t="n">
        <v>14.878</v>
      </c>
      <c r="Q127" s="14" t="n">
        <v>0</v>
      </c>
      <c r="R127" s="14" t="n">
        <v>1</v>
      </c>
      <c r="S127" s="14" t="n">
        <v>5.895</v>
      </c>
      <c r="T127" s="14" t="n">
        <v>2.887</v>
      </c>
      <c r="U127" s="14" t="n">
        <v>0.411</v>
      </c>
      <c r="V127" s="14" t="n">
        <v>7.457</v>
      </c>
      <c r="W127" s="14" t="n">
        <v>0.2</v>
      </c>
      <c r="X127" s="14" t="n">
        <v>1</v>
      </c>
      <c r="Y127" s="14" t="n">
        <v>34.547</v>
      </c>
      <c r="Z127" s="14" t="n">
        <v>3.624</v>
      </c>
      <c r="AA127" s="14" t="n">
        <v>-3.662</v>
      </c>
      <c r="AB127" s="14" t="n">
        <v>30.885</v>
      </c>
      <c r="AC127" s="14" t="n">
        <v>0</v>
      </c>
      <c r="AD127" s="14" t="n">
        <v>1</v>
      </c>
      <c r="AE127" s="14" t="n">
        <v>34.595</v>
      </c>
      <c r="AF127" s="14" t="n">
        <v>6.413</v>
      </c>
      <c r="AG127" s="14" t="n">
        <v>-3.71</v>
      </c>
      <c r="AH127" s="14" t="n">
        <v>30.885</v>
      </c>
      <c r="AI127" s="14" t="n">
        <v>0</v>
      </c>
      <c r="AJ127" s="14" t="n">
        <v>1</v>
      </c>
      <c r="AK127" s="14" t="n">
        <v>38.506</v>
      </c>
      <c r="AL127" s="14" t="n">
        <v>18.388</v>
      </c>
      <c r="AM127" s="14" t="n">
        <v>-17.353</v>
      </c>
      <c r="AN127" s="14" t="n">
        <v>28.326</v>
      </c>
      <c r="AO127" s="14" t="n">
        <v>0.339</v>
      </c>
      <c r="AP127" s="14" t="n">
        <v>1</v>
      </c>
      <c r="AQ127" s="14" t="n">
        <v>0.861</v>
      </c>
      <c r="AR127" s="14" t="n">
        <v>0.123</v>
      </c>
      <c r="AS127" s="14" t="n">
        <v>0.423</v>
      </c>
      <c r="AT127" s="14" t="n">
        <v>1.541</v>
      </c>
      <c r="AU127" s="14" t="n">
        <v>0.2</v>
      </c>
      <c r="AV127" s="14" t="n">
        <v>1</v>
      </c>
      <c r="AW127" s="14" t="n">
        <v>0.986</v>
      </c>
      <c r="AX127" s="14" t="n">
        <v>0.123</v>
      </c>
      <c r="AY127" s="14" t="n">
        <v>0.389</v>
      </c>
      <c r="AZ127" s="14" t="n">
        <v>1.65</v>
      </c>
      <c r="BA127" s="14" t="n">
        <v>0.2</v>
      </c>
      <c r="BB127" s="14" t="n">
        <v>1</v>
      </c>
      <c r="BC127" s="14" t="n">
        <v>0.598</v>
      </c>
      <c r="BD127" s="14" t="n">
        <v>0.123</v>
      </c>
      <c r="BE127" s="14" t="n">
        <v>-0.028</v>
      </c>
      <c r="BF127" s="14" t="n">
        <v>0.6840000000000001</v>
      </c>
      <c r="BG127" s="14" t="n">
        <v>0.2</v>
      </c>
      <c r="BH127" s="14" t="n">
        <v>1</v>
      </c>
      <c r="BI127" s="14" t="n">
        <v>0.612</v>
      </c>
      <c r="BJ127" s="14" t="n">
        <v>0.123</v>
      </c>
      <c r="BK127" s="14" t="n">
        <v>0.801</v>
      </c>
      <c r="BL127" s="14" t="n">
        <v>1.696</v>
      </c>
      <c r="BM127" s="14" t="n">
        <v>0.2</v>
      </c>
      <c r="BN127" s="14" t="n">
        <v>1</v>
      </c>
      <c r="BO127" s="14" t="n">
        <v>0</v>
      </c>
      <c r="BP127" s="14" t="n">
        <v>-0.108</v>
      </c>
      <c r="BQ127" s="14" t="n">
        <v>0.171</v>
      </c>
      <c r="BR127" s="14" t="n">
        <v>0</v>
      </c>
      <c r="BS127" s="14" t="n">
        <v>1</v>
      </c>
      <c r="BT127" s="14" t="n">
        <v>0</v>
      </c>
      <c r="BU127" s="14" t="n">
        <v>0</v>
      </c>
      <c r="BV127" s="14" t="n">
        <v>0.118</v>
      </c>
      <c r="BW127" s="14" t="n">
        <v>0.295</v>
      </c>
      <c r="BX127" s="14" t="n">
        <v>1</v>
      </c>
      <c r="BY127" s="14" t="n">
        <v>12.729</v>
      </c>
      <c r="BZ127" s="14" t="n">
        <v>0</v>
      </c>
      <c r="CA127" s="14" t="n">
        <v>12.729</v>
      </c>
      <c r="CB127" s="14" t="n">
        <v>0</v>
      </c>
      <c r="CC127" s="14" t="n">
        <v>97.90000000000001</v>
      </c>
      <c r="CD127" s="14" t="n">
        <v>7.95</v>
      </c>
      <c r="CE127" s="14" t="n">
        <v>150.931</v>
      </c>
      <c r="CF127" s="14" t="n">
        <v>298.597</v>
      </c>
      <c r="CG127" s="14" t="n">
        <v>0.2</v>
      </c>
      <c r="CH127" s="14" t="n">
        <v>1</v>
      </c>
      <c r="CI127" s="14" t="n">
        <v>0</v>
      </c>
      <c r="CJ127" s="14" t="n">
        <v>0</v>
      </c>
      <c r="CK127" s="14" t="n">
        <v>0</v>
      </c>
      <c r="CL127" s="14" t="n">
        <v>0.081</v>
      </c>
      <c r="CM127" s="14" t="n">
        <v>0</v>
      </c>
      <c r="CN127" s="14" t="n">
        <v>0.059</v>
      </c>
      <c r="CO127" s="14" t="n">
        <v>0</v>
      </c>
      <c r="CP127" s="14" t="n">
        <v>0</v>
      </c>
      <c r="CQ127" s="14" t="n">
        <v>1.294</v>
      </c>
      <c r="CR127" s="14" t="n">
        <v>0</v>
      </c>
      <c r="CS127" s="14" t="n">
        <v>5.158</v>
      </c>
      <c r="CT127" s="14" t="n">
        <v>8.077999999999999</v>
      </c>
      <c r="CU127" s="14" t="n">
        <v>31.326</v>
      </c>
    </row>
    <row r="128">
      <c r="A128" s="14" t="inlineStr">
        <is>
          <t>BGR2023</t>
        </is>
      </c>
      <c r="B128" s="14" t="inlineStr">
        <is>
          <t>BGR</t>
        </is>
      </c>
      <c r="C128" s="14" t="inlineStr">
        <is>
          <t>BGR</t>
        </is>
      </c>
      <c r="D128" s="14" t="inlineStr">
        <is>
          <t>Bulgaria</t>
        </is>
      </c>
      <c r="E128" s="14" t="n">
        <v>2023</v>
      </c>
      <c r="F128" s="14" t="n">
        <v>0.2</v>
      </c>
      <c r="G128" s="14" t="n">
        <v>6.249</v>
      </c>
      <c r="H128" s="14" t="n">
        <v>1.423</v>
      </c>
      <c r="I128" s="14" t="n">
        <v>9.827999999999999</v>
      </c>
      <c r="J128" s="14" t="n">
        <v>16.077</v>
      </c>
      <c r="K128" s="14" t="n">
        <v>0</v>
      </c>
      <c r="L128" s="14" t="n">
        <v>1</v>
      </c>
      <c r="M128" s="14" t="n">
        <v>6.392</v>
      </c>
      <c r="N128" s="14" t="n">
        <v>3.17</v>
      </c>
      <c r="O128" s="14" t="n">
        <v>9.638999999999999</v>
      </c>
      <c r="P128" s="14" t="n">
        <v>16.031</v>
      </c>
      <c r="Q128" s="14" t="n">
        <v>0</v>
      </c>
      <c r="R128" s="14" t="n">
        <v>1</v>
      </c>
      <c r="S128" s="14" t="n">
        <v>5.557</v>
      </c>
      <c r="T128" s="14" t="n">
        <v>3.485</v>
      </c>
      <c r="U128" s="14" t="n">
        <v>0.462</v>
      </c>
      <c r="V128" s="14" t="n">
        <v>7.067</v>
      </c>
      <c r="W128" s="14" t="n">
        <v>0.2</v>
      </c>
      <c r="X128" s="14" t="n">
        <v>1</v>
      </c>
      <c r="Y128" s="14" t="n">
        <v>14.895</v>
      </c>
      <c r="Z128" s="14" t="n">
        <v>1.668</v>
      </c>
      <c r="AA128" s="14" t="n">
        <v>7.415</v>
      </c>
      <c r="AB128" s="14" t="n">
        <v>22.31</v>
      </c>
      <c r="AC128" s="14" t="n">
        <v>0</v>
      </c>
      <c r="AD128" s="14" t="n">
        <v>1</v>
      </c>
      <c r="AE128" s="14" t="n">
        <v>14.993</v>
      </c>
      <c r="AF128" s="14" t="n">
        <v>2.986</v>
      </c>
      <c r="AG128" s="14" t="n">
        <v>7.316</v>
      </c>
      <c r="AH128" s="14" t="n">
        <v>22.31</v>
      </c>
      <c r="AI128" s="14" t="n">
        <v>0</v>
      </c>
      <c r="AJ128" s="14" t="n">
        <v>1</v>
      </c>
      <c r="AK128" s="14" t="n">
        <v>19.21</v>
      </c>
      <c r="AL128" s="14" t="n">
        <v>9.516</v>
      </c>
      <c r="AM128" s="14" t="n">
        <v>-1.472</v>
      </c>
      <c r="AN128" s="14" t="n">
        <v>23.754</v>
      </c>
      <c r="AO128" s="14" t="n">
        <v>0.339</v>
      </c>
      <c r="AP128" s="14" t="n">
        <v>1</v>
      </c>
      <c r="AQ128" s="14" t="n">
        <v>0.76</v>
      </c>
      <c r="AR128" s="14" t="n">
        <v>0.129</v>
      </c>
      <c r="AS128" s="14" t="n">
        <v>0.445</v>
      </c>
      <c r="AT128" s="14" t="n">
        <v>1.446</v>
      </c>
      <c r="AU128" s="14" t="n">
        <v>0.2</v>
      </c>
      <c r="AV128" s="14" t="n">
        <v>1</v>
      </c>
      <c r="AW128" s="14" t="n">
        <v>0.8110000000000001</v>
      </c>
      <c r="AX128" s="14" t="n">
        <v>0.129</v>
      </c>
      <c r="AY128" s="14" t="n">
        <v>0.422</v>
      </c>
      <c r="AZ128" s="14" t="n">
        <v>1.48</v>
      </c>
      <c r="BA128" s="14" t="n">
        <v>0.2</v>
      </c>
      <c r="BB128" s="14" t="n">
        <v>1</v>
      </c>
      <c r="BC128" s="14" t="n">
        <v>0.535</v>
      </c>
      <c r="BD128" s="14" t="n">
        <v>0.129</v>
      </c>
      <c r="BE128" s="14" t="n">
        <v>-0.036</v>
      </c>
      <c r="BF128" s="14" t="n">
        <v>0.599</v>
      </c>
      <c r="BG128" s="14" t="n">
        <v>0.2</v>
      </c>
      <c r="BH128" s="14" t="n">
        <v>1</v>
      </c>
      <c r="BI128" s="14" t="n">
        <v>0.579</v>
      </c>
      <c r="BJ128" s="14" t="n">
        <v>0.129</v>
      </c>
      <c r="BK128" s="14" t="n">
        <v>0.876</v>
      </c>
      <c r="BL128" s="14" t="n">
        <v>1.708</v>
      </c>
      <c r="BM128" s="14" t="n">
        <v>0.2</v>
      </c>
      <c r="BN128" s="14" t="n">
        <v>1</v>
      </c>
      <c r="BO128" s="14" t="n">
        <v>0</v>
      </c>
      <c r="BP128" s="14" t="n">
        <v>-0.005</v>
      </c>
      <c r="BQ128" s="14" t="n">
        <v>0.15</v>
      </c>
      <c r="BR128" s="14" t="n">
        <v>0</v>
      </c>
      <c r="BS128" s="14" t="n">
        <v>1</v>
      </c>
      <c r="BT128" s="14" t="n">
        <v>0</v>
      </c>
      <c r="BU128" s="14" t="n">
        <v>0</v>
      </c>
      <c r="BV128" s="14" t="n">
        <v>0.126</v>
      </c>
      <c r="BW128" s="14" t="n">
        <v>0.295</v>
      </c>
      <c r="BX128" s="14" t="n">
        <v>1</v>
      </c>
      <c r="BY128" s="14" t="n">
        <v>13.254</v>
      </c>
      <c r="BZ128" s="14" t="n">
        <v>0</v>
      </c>
      <c r="CA128" s="14" t="n">
        <v>13.254</v>
      </c>
      <c r="CB128" s="14" t="n">
        <v>0</v>
      </c>
      <c r="CC128" s="14" t="n">
        <v>83.248</v>
      </c>
      <c r="CD128" s="14" t="n">
        <v>7.95</v>
      </c>
      <c r="CE128" s="14" t="n">
        <v>131.156</v>
      </c>
      <c r="CF128" s="14" t="n">
        <v>257.285</v>
      </c>
      <c r="CG128" s="14" t="n">
        <v>0.2</v>
      </c>
      <c r="CH128" s="14" t="n">
        <v>1</v>
      </c>
      <c r="CI128" s="14" t="n">
        <v>0</v>
      </c>
      <c r="CJ128" s="14" t="n">
        <v>0</v>
      </c>
      <c r="CK128" s="14" t="n">
        <v>0</v>
      </c>
      <c r="CL128" s="14" t="n">
        <v>0.08400000000000001</v>
      </c>
      <c r="CM128" s="14" t="n">
        <v>0</v>
      </c>
      <c r="CN128" s="14" t="n">
        <v>0.052</v>
      </c>
      <c r="CO128" s="14" t="n">
        <v>0</v>
      </c>
      <c r="CP128" s="14" t="n">
        <v>0</v>
      </c>
      <c r="CQ128" s="14" t="n">
        <v>1.348</v>
      </c>
      <c r="CR128" s="14" t="n">
        <v>0</v>
      </c>
      <c r="CS128" s="14" t="n">
        <v>5.37</v>
      </c>
      <c r="CT128" s="14" t="n">
        <v>5.402</v>
      </c>
      <c r="CU128" s="14" t="n">
        <v>11.622</v>
      </c>
    </row>
    <row r="129">
      <c r="A129" s="14" t="inlineStr">
        <is>
          <t>BGR2024</t>
        </is>
      </c>
      <c r="B129" s="14" t="inlineStr">
        <is>
          <t>BGR</t>
        </is>
      </c>
      <c r="C129" s="14" t="inlineStr">
        <is>
          <t>BGR</t>
        </is>
      </c>
      <c r="D129" s="14" t="inlineStr">
        <is>
          <t>Bulgaria</t>
        </is>
      </c>
      <c r="E129" s="14" t="n">
        <v>2024</v>
      </c>
      <c r="F129" s="14" t="n">
        <v>0.2</v>
      </c>
      <c r="G129" s="14" t="n">
        <v>6.181</v>
      </c>
      <c r="H129" s="14" t="n">
        <v>1.566</v>
      </c>
      <c r="I129" s="14" t="n">
        <v>6.441</v>
      </c>
      <c r="J129" s="14" t="n">
        <v>12.622</v>
      </c>
      <c r="K129" s="14" t="n">
        <v>0</v>
      </c>
      <c r="L129" s="14" t="n">
        <v>1</v>
      </c>
      <c r="M129" s="14" t="n">
        <v>6.545</v>
      </c>
      <c r="N129" s="14" t="n">
        <v>3.565</v>
      </c>
      <c r="O129" s="14" t="n">
        <v>6.366</v>
      </c>
      <c r="P129" s="14" t="n">
        <v>12.911</v>
      </c>
      <c r="Q129" s="14" t="n">
        <v>0</v>
      </c>
      <c r="R129" s="14" t="n">
        <v>1</v>
      </c>
      <c r="S129" s="14" t="n">
        <v>5.594</v>
      </c>
      <c r="T129" s="14" t="n">
        <v>3.703</v>
      </c>
      <c r="U129" s="14" t="n">
        <v>0.504</v>
      </c>
      <c r="V129" s="14" t="n">
        <v>7.123</v>
      </c>
      <c r="W129" s="14" t="n">
        <v>0.2</v>
      </c>
      <c r="X129" s="14" t="n">
        <v>1</v>
      </c>
      <c r="Y129" s="14" t="n">
        <v>12.466</v>
      </c>
      <c r="Z129" s="14" t="n">
        <v>1.574</v>
      </c>
      <c r="AA129" s="14" t="n">
        <v>3.964</v>
      </c>
      <c r="AB129" s="14" t="n">
        <v>16.43</v>
      </c>
      <c r="AC129" s="14" t="n">
        <v>0</v>
      </c>
      <c r="AD129" s="14" t="n">
        <v>1</v>
      </c>
      <c r="AE129" s="14" t="n">
        <v>12.466</v>
      </c>
      <c r="AF129" s="14" t="n">
        <v>2.731</v>
      </c>
      <c r="AG129" s="14" t="n">
        <v>3.964</v>
      </c>
      <c r="AH129" s="14" t="n">
        <v>16.43</v>
      </c>
      <c r="AI129" s="14" t="n">
        <v>0</v>
      </c>
      <c r="AJ129" s="14" t="n">
        <v>1</v>
      </c>
      <c r="AK129" s="14" t="n">
        <v>16.238</v>
      </c>
      <c r="AL129" s="14" t="n">
        <v>8.259</v>
      </c>
      <c r="AM129" s="14" t="n">
        <v>-2.003</v>
      </c>
      <c r="AN129" s="14" t="n">
        <v>19.063</v>
      </c>
      <c r="AO129" s="14" t="n">
        <v>0.339</v>
      </c>
      <c r="AP129" s="14" t="n">
        <v>1</v>
      </c>
      <c r="AQ129" s="14" t="n">
        <v>0.724</v>
      </c>
      <c r="AR129" s="14" t="n">
        <v>0.132</v>
      </c>
      <c r="AS129" s="14" t="n">
        <v>0.458</v>
      </c>
      <c r="AT129" s="14" t="n">
        <v>1.419</v>
      </c>
      <c r="AU129" s="14" t="n">
        <v>0.2</v>
      </c>
      <c r="AV129" s="14" t="n">
        <v>1</v>
      </c>
      <c r="AW129" s="14" t="n">
        <v>0.75</v>
      </c>
      <c r="AX129" s="14" t="n">
        <v>0.132</v>
      </c>
      <c r="AY129" s="14" t="n">
        <v>0.431</v>
      </c>
      <c r="AZ129" s="14" t="n">
        <v>1.417</v>
      </c>
      <c r="BA129" s="14" t="n">
        <v>0.2</v>
      </c>
      <c r="BB129" s="14" t="n">
        <v>1</v>
      </c>
      <c r="BC129" s="14" t="n">
        <v>0.513</v>
      </c>
      <c r="BD129" s="14" t="n">
        <v>0.132</v>
      </c>
      <c r="BE129" s="14" t="n">
        <v>0.037</v>
      </c>
      <c r="BF129" s="14" t="n">
        <v>0.66</v>
      </c>
      <c r="BG129" s="14" t="n">
        <v>0.2</v>
      </c>
      <c r="BH129" s="14" t="n">
        <v>1</v>
      </c>
      <c r="BI129" s="14" t="n">
        <v>0.591</v>
      </c>
      <c r="BJ129" s="14" t="n">
        <v>0.132</v>
      </c>
      <c r="BK129" s="14" t="n">
        <v>0.91</v>
      </c>
      <c r="BL129" s="14" t="n">
        <v>1.754</v>
      </c>
      <c r="BM129" s="14" t="n">
        <v>0.2</v>
      </c>
      <c r="BN129" s="14" t="n">
        <v>1</v>
      </c>
      <c r="BO129" s="14" t="n">
        <v>0</v>
      </c>
      <c r="BP129" s="14" t="n">
        <v>-0.013</v>
      </c>
      <c r="BQ129" s="14" t="n">
        <v>0.126</v>
      </c>
      <c r="BR129" s="14" t="n">
        <v>0</v>
      </c>
      <c r="BS129" s="14" t="n">
        <v>1</v>
      </c>
      <c r="BT129" s="14" t="n">
        <v>0</v>
      </c>
      <c r="BU129" s="14" t="n">
        <v>0</v>
      </c>
      <c r="BV129" s="14" t="n">
        <v>0.13</v>
      </c>
      <c r="BW129" s="14" t="n">
        <v>0.295</v>
      </c>
      <c r="BX129" s="14" t="n">
        <v>1</v>
      </c>
      <c r="BY129" s="14" t="n">
        <v>13.646</v>
      </c>
      <c r="BZ129" s="14" t="n">
        <v>0</v>
      </c>
      <c r="CA129" s="14" t="n">
        <v>13.646</v>
      </c>
      <c r="CB129" s="14" t="n">
        <v>0</v>
      </c>
      <c r="CC129" s="14" t="n">
        <v>82.58799999999999</v>
      </c>
      <c r="CD129" s="14" t="n">
        <v>7.95</v>
      </c>
      <c r="CE129" s="14" t="n">
        <v>141.49</v>
      </c>
      <c r="CF129" s="14" t="n">
        <v>261.762</v>
      </c>
      <c r="CG129" s="14" t="n">
        <v>0.2</v>
      </c>
      <c r="CH129" s="14" t="n">
        <v>1</v>
      </c>
      <c r="CI129" s="14" t="n">
        <v>0</v>
      </c>
      <c r="CJ129" s="14" t="n">
        <v>0</v>
      </c>
      <c r="CK129" s="14" t="n">
        <v>0</v>
      </c>
      <c r="CL129" s="14" t="n">
        <v>0.08699999999999999</v>
      </c>
      <c r="CM129" s="14" t="n">
        <v>0</v>
      </c>
      <c r="CN129" s="14" t="n">
        <v>0.045</v>
      </c>
      <c r="CO129" s="14" t="n">
        <v>0</v>
      </c>
      <c r="CP129" s="14" t="n">
        <v>0</v>
      </c>
      <c r="CQ129" s="14" t="n">
        <v>1.387</v>
      </c>
      <c r="CR129" s="14" t="n">
        <v>0</v>
      </c>
      <c r="CS129" s="14" t="n">
        <v>5.529</v>
      </c>
      <c r="CT129" s="14" t="n">
        <v>4.174</v>
      </c>
      <c r="CU129" s="14" t="n">
        <v>10.168</v>
      </c>
    </row>
    <row r="130">
      <c r="A130" s="14" t="inlineStr">
        <is>
          <t>BFA2021</t>
        </is>
      </c>
      <c r="B130" s="14" t="inlineStr">
        <is>
          <t>BFA</t>
        </is>
      </c>
      <c r="C130" s="14" t="inlineStr">
        <is>
          <t>BFA</t>
        </is>
      </c>
      <c r="D130" s="14" t="inlineStr">
        <is>
          <t>Burkina Faso</t>
        </is>
      </c>
      <c r="E130" s="14" t="n">
        <v>2021</v>
      </c>
      <c r="F130" s="14" t="n">
        <v>0.18</v>
      </c>
      <c r="G130" s="14" t="n">
        <v>5.897</v>
      </c>
      <c r="H130" s="14" t="n">
        <v>1.143</v>
      </c>
      <c r="I130" s="14" t="n">
        <v>0</v>
      </c>
      <c r="J130" s="14" t="n">
        <v>5.897</v>
      </c>
      <c r="K130" s="14" t="n">
        <v>0</v>
      </c>
      <c r="L130" s="14" t="n">
        <v>1</v>
      </c>
      <c r="M130" s="14" t="n">
        <v>7.964</v>
      </c>
      <c r="N130" s="14" t="n">
        <v>3.43</v>
      </c>
      <c r="O130" s="14" t="n">
        <v>0</v>
      </c>
      <c r="P130" s="14" t="n">
        <v>7.964</v>
      </c>
      <c r="Q130" s="14" t="n">
        <v>0</v>
      </c>
      <c r="R130" s="14" t="n">
        <v>1</v>
      </c>
      <c r="S130" s="14" t="n">
        <v>11.613</v>
      </c>
      <c r="T130" s="14" t="n">
        <v>6.86</v>
      </c>
      <c r="U130" s="14" t="n">
        <v>-2.985</v>
      </c>
      <c r="V130" s="14" t="n">
        <v>10.182</v>
      </c>
      <c r="W130" s="14" t="n">
        <v>0.18</v>
      </c>
      <c r="X130" s="14" t="n">
        <v>0</v>
      </c>
      <c r="Y130" s="14" t="n">
        <v>5.919</v>
      </c>
      <c r="Z130" s="14" t="n">
        <v>0.8</v>
      </c>
      <c r="AA130" s="14" t="n">
        <v>0</v>
      </c>
      <c r="AB130" s="14" t="n">
        <v>5.919</v>
      </c>
      <c r="AC130" s="14" t="n">
        <v>0</v>
      </c>
      <c r="AD130" s="14" t="n">
        <v>1</v>
      </c>
      <c r="AE130" s="14" t="n">
        <v>7.062</v>
      </c>
      <c r="AF130" s="14" t="n">
        <v>1.651</v>
      </c>
      <c r="AG130" s="14" t="n">
        <v>0</v>
      </c>
      <c r="AH130" s="14" t="n">
        <v>7.062</v>
      </c>
      <c r="AI130" s="14" t="n">
        <v>0</v>
      </c>
      <c r="AJ130" s="14" t="n">
        <v>1</v>
      </c>
      <c r="AK130" s="14" t="n">
        <v>13.922</v>
      </c>
      <c r="AL130" s="14" t="n">
        <v>7.415</v>
      </c>
      <c r="AM130" s="14" t="n">
        <v>0</v>
      </c>
      <c r="AN130" s="14" t="n">
        <v>16.428</v>
      </c>
      <c r="AO130" s="14" t="n">
        <v>0.18</v>
      </c>
      <c r="AP130" s="14" t="n">
        <v>1</v>
      </c>
      <c r="AQ130" s="14" t="n">
        <v>0.619</v>
      </c>
      <c r="AR130" s="14" t="n">
        <v>0.114</v>
      </c>
      <c r="AS130" s="14" t="n">
        <v>0.321</v>
      </c>
      <c r="AT130" s="14" t="n">
        <v>1.109</v>
      </c>
      <c r="AU130" s="14" t="n">
        <v>0.18</v>
      </c>
      <c r="AV130" s="14" t="n">
        <v>1</v>
      </c>
      <c r="AW130" s="14" t="n">
        <v>0.599</v>
      </c>
      <c r="AX130" s="14" t="n">
        <v>0.114</v>
      </c>
      <c r="AY130" s="14" t="n">
        <v>0.308</v>
      </c>
      <c r="AZ130" s="14" t="n">
        <v>1.071</v>
      </c>
      <c r="BA130" s="14" t="n">
        <v>0.18</v>
      </c>
      <c r="BB130" s="14" t="n">
        <v>1</v>
      </c>
      <c r="BC130" s="14" t="n">
        <v>0.439</v>
      </c>
      <c r="BD130" s="14" t="n">
        <v>0.114</v>
      </c>
      <c r="BE130" s="14" t="n">
        <v>-0.045</v>
      </c>
      <c r="BF130" s="14" t="n">
        <v>0.394</v>
      </c>
      <c r="BG130" s="14" t="n">
        <v>0</v>
      </c>
      <c r="BH130" s="14" t="n">
        <v>0</v>
      </c>
      <c r="BI130" s="14" t="n">
        <v>0.505</v>
      </c>
      <c r="BJ130" s="14" t="n">
        <v>0.114</v>
      </c>
      <c r="BK130" s="14" t="n">
        <v>0.478</v>
      </c>
      <c r="BL130" s="14" t="n">
        <v>0.983</v>
      </c>
      <c r="BM130" s="14" t="n">
        <v>0</v>
      </c>
      <c r="BN130" s="14" t="n">
        <v>1</v>
      </c>
      <c r="BO130" s="14" t="n">
        <v>0</v>
      </c>
      <c r="BP130" s="14" t="n">
        <v>0</v>
      </c>
      <c r="BQ130" s="14" t="n">
        <v>0.48</v>
      </c>
      <c r="BR130" s="14" t="n">
        <v>0</v>
      </c>
      <c r="BS130" s="14" t="n">
        <v>0.833</v>
      </c>
      <c r="BT130" s="14" t="n">
        <v>0</v>
      </c>
      <c r="BU130" s="14" t="n">
        <v>0</v>
      </c>
      <c r="BV130" s="14" t="n">
        <v>0.222</v>
      </c>
      <c r="BW130" s="14" t="n">
        <v>0.18</v>
      </c>
      <c r="BX130" s="14" t="n">
        <v>0.5</v>
      </c>
      <c r="BY130" s="14" t="n">
        <v>11.787</v>
      </c>
      <c r="BZ130" s="14" t="n">
        <v>0</v>
      </c>
      <c r="CA130" s="14" t="n">
        <v>11.787</v>
      </c>
      <c r="CB130" s="14" t="n">
        <v>0</v>
      </c>
      <c r="CC130" s="14" t="n">
        <v>78.125</v>
      </c>
      <c r="CD130" s="14" t="n">
        <v>7.95</v>
      </c>
      <c r="CE130" s="14" t="n">
        <v>52.361</v>
      </c>
      <c r="CF130" s="14" t="n">
        <v>153.973</v>
      </c>
      <c r="CG130" s="14" t="n">
        <v>0.18</v>
      </c>
      <c r="CH130" s="14" t="n">
        <v>1</v>
      </c>
      <c r="CI130" s="14" t="n">
        <v>0</v>
      </c>
      <c r="CJ130" s="14" t="n">
        <v>0</v>
      </c>
      <c r="CK130" s="14" t="n">
        <v>0</v>
      </c>
      <c r="CL130" s="14" t="n">
        <v>0</v>
      </c>
      <c r="CM130" s="14" t="n">
        <v>0</v>
      </c>
      <c r="CN130" s="14" t="n">
        <v>0</v>
      </c>
      <c r="CO130" s="14" t="n">
        <v>0</v>
      </c>
      <c r="CP130" s="14" t="n">
        <v>0</v>
      </c>
      <c r="CQ130" s="14" t="n">
        <v>1.198</v>
      </c>
      <c r="CR130" s="14" t="n">
        <v>0</v>
      </c>
      <c r="CS130" s="14" t="n">
        <v>4.776</v>
      </c>
      <c r="CT130" s="14" t="n">
        <v>4.753</v>
      </c>
      <c r="CU130" s="14" t="n">
        <v>15.162</v>
      </c>
    </row>
    <row r="131">
      <c r="A131" s="14" t="inlineStr">
        <is>
          <t>BFA2022</t>
        </is>
      </c>
      <c r="B131" s="14" t="inlineStr">
        <is>
          <t>BFA</t>
        </is>
      </c>
      <c r="C131" s="14" t="inlineStr">
        <is>
          <t>BFA</t>
        </is>
      </c>
      <c r="D131" s="14" t="inlineStr">
        <is>
          <t>Burkina Faso</t>
        </is>
      </c>
      <c r="E131" s="14" t="n">
        <v>2022</v>
      </c>
      <c r="F131" s="14" t="n">
        <v>0.18</v>
      </c>
      <c r="G131" s="14" t="n">
        <v>11.72</v>
      </c>
      <c r="H131" s="14" t="n">
        <v>1.235</v>
      </c>
      <c r="I131" s="14" t="n">
        <v>0</v>
      </c>
      <c r="J131" s="14" t="n">
        <v>11.72</v>
      </c>
      <c r="K131" s="14" t="n">
        <v>0</v>
      </c>
      <c r="L131" s="14" t="n">
        <v>1</v>
      </c>
      <c r="M131" s="14" t="n">
        <v>9.782999999999999</v>
      </c>
      <c r="N131" s="14" t="n">
        <v>3.704</v>
      </c>
      <c r="O131" s="14" t="n">
        <v>0</v>
      </c>
      <c r="P131" s="14" t="n">
        <v>9.782999999999999</v>
      </c>
      <c r="Q131" s="14" t="n">
        <v>0</v>
      </c>
      <c r="R131" s="14" t="n">
        <v>1</v>
      </c>
      <c r="S131" s="14" t="n">
        <v>17.893</v>
      </c>
      <c r="T131" s="14" t="n">
        <v>7.408</v>
      </c>
      <c r="U131" s="14" t="n">
        <v>-8.252000000000001</v>
      </c>
      <c r="V131" s="14" t="n">
        <v>11.377</v>
      </c>
      <c r="W131" s="14" t="n">
        <v>0.18</v>
      </c>
      <c r="X131" s="14" t="n">
        <v>0</v>
      </c>
      <c r="Y131" s="14" t="n">
        <v>6.392</v>
      </c>
      <c r="Z131" s="14" t="n">
        <v>0.864</v>
      </c>
      <c r="AA131" s="14" t="n">
        <v>0</v>
      </c>
      <c r="AB131" s="14" t="n">
        <v>6.392</v>
      </c>
      <c r="AC131" s="14" t="n">
        <v>0</v>
      </c>
      <c r="AD131" s="14" t="n">
        <v>1</v>
      </c>
      <c r="AE131" s="14" t="n">
        <v>7.627</v>
      </c>
      <c r="AF131" s="14" t="n">
        <v>1.783</v>
      </c>
      <c r="AG131" s="14" t="n">
        <v>0</v>
      </c>
      <c r="AH131" s="14" t="n">
        <v>7.627</v>
      </c>
      <c r="AI131" s="14" t="n">
        <v>0</v>
      </c>
      <c r="AJ131" s="14" t="n">
        <v>1</v>
      </c>
      <c r="AK131" s="14" t="n">
        <v>15.035</v>
      </c>
      <c r="AL131" s="14" t="n">
        <v>8.007999999999999</v>
      </c>
      <c r="AM131" s="14" t="n">
        <v>0.2</v>
      </c>
      <c r="AN131" s="14" t="n">
        <v>17.741</v>
      </c>
      <c r="AO131" s="14" t="n">
        <v>0.18</v>
      </c>
      <c r="AP131" s="14" t="n">
        <v>1</v>
      </c>
      <c r="AQ131" s="14" t="n">
        <v>0.861</v>
      </c>
      <c r="AR131" s="14" t="n">
        <v>0.123</v>
      </c>
      <c r="AS131" s="14" t="n">
        <v>0.08799999999999999</v>
      </c>
      <c r="AT131" s="14" t="n">
        <v>1.12</v>
      </c>
      <c r="AU131" s="14" t="n">
        <v>0.18</v>
      </c>
      <c r="AV131" s="14" t="n">
        <v>1</v>
      </c>
      <c r="AW131" s="14" t="n">
        <v>0.986</v>
      </c>
      <c r="AX131" s="14" t="n">
        <v>0.123</v>
      </c>
      <c r="AY131" s="14" t="n">
        <v>0.011</v>
      </c>
      <c r="AZ131" s="14" t="n">
        <v>1.177</v>
      </c>
      <c r="BA131" s="14" t="n">
        <v>0.18</v>
      </c>
      <c r="BB131" s="14" t="n">
        <v>1</v>
      </c>
      <c r="BC131" s="14" t="n">
        <v>0.598</v>
      </c>
      <c r="BD131" s="14" t="n">
        <v>0.123</v>
      </c>
      <c r="BE131" s="14" t="n">
        <v>-0.267</v>
      </c>
      <c r="BF131" s="14" t="n">
        <v>0.331</v>
      </c>
      <c r="BG131" s="14" t="n">
        <v>0</v>
      </c>
      <c r="BH131" s="14" t="n">
        <v>0</v>
      </c>
      <c r="BI131" s="14" t="n">
        <v>0.612</v>
      </c>
      <c r="BJ131" s="14" t="n">
        <v>0.123</v>
      </c>
      <c r="BK131" s="14" t="n">
        <v>0.635</v>
      </c>
      <c r="BL131" s="14" t="n">
        <v>1.248</v>
      </c>
      <c r="BM131" s="14" t="n">
        <v>0</v>
      </c>
      <c r="BN131" s="14" t="n">
        <v>1</v>
      </c>
      <c r="BO131" s="14" t="n">
        <v>0</v>
      </c>
      <c r="BP131" s="14" t="n">
        <v>0</v>
      </c>
      <c r="BQ131" s="14" t="n">
        <v>0.437</v>
      </c>
      <c r="BR131" s="14" t="n">
        <v>0</v>
      </c>
      <c r="BS131" s="14" t="n">
        <v>0.833</v>
      </c>
      <c r="BT131" s="14" t="n">
        <v>0</v>
      </c>
      <c r="BU131" s="14" t="n">
        <v>0</v>
      </c>
      <c r="BV131" s="14" t="n">
        <v>0.198</v>
      </c>
      <c r="BW131" s="14" t="n">
        <v>0.18</v>
      </c>
      <c r="BX131" s="14" t="n">
        <v>0.5</v>
      </c>
      <c r="BY131" s="14" t="n">
        <v>12.729</v>
      </c>
      <c r="BZ131" s="14" t="n">
        <v>0</v>
      </c>
      <c r="CA131" s="14" t="n">
        <v>12.729</v>
      </c>
      <c r="CB131" s="14" t="n">
        <v>0</v>
      </c>
      <c r="CC131" s="14" t="n">
        <v>97.90000000000001</v>
      </c>
      <c r="CD131" s="14" t="n">
        <v>7.95</v>
      </c>
      <c r="CE131" s="14" t="n">
        <v>60.506</v>
      </c>
      <c r="CF131" s="14" t="n">
        <v>186.919</v>
      </c>
      <c r="CG131" s="14" t="n">
        <v>0.18</v>
      </c>
      <c r="CH131" s="14" t="n">
        <v>1</v>
      </c>
      <c r="CI131" s="14" t="n">
        <v>0</v>
      </c>
      <c r="CJ131" s="14" t="n">
        <v>0</v>
      </c>
      <c r="CK131" s="14" t="n">
        <v>0</v>
      </c>
      <c r="CL131" s="14" t="n">
        <v>0</v>
      </c>
      <c r="CM131" s="14" t="n">
        <v>0</v>
      </c>
      <c r="CN131" s="14" t="n">
        <v>0</v>
      </c>
      <c r="CO131" s="14" t="n">
        <v>0</v>
      </c>
      <c r="CP131" s="14" t="n">
        <v>0</v>
      </c>
      <c r="CQ131" s="14" t="n">
        <v>1.294</v>
      </c>
      <c r="CR131" s="14" t="n">
        <v>0</v>
      </c>
      <c r="CS131" s="14" t="n">
        <v>5.158</v>
      </c>
      <c r="CT131" s="14" t="n">
        <v>10.485</v>
      </c>
      <c r="CU131" s="14" t="n">
        <v>31.326</v>
      </c>
    </row>
    <row r="132">
      <c r="A132" s="14" t="inlineStr">
        <is>
          <t>BFA2023</t>
        </is>
      </c>
      <c r="B132" s="14" t="inlineStr">
        <is>
          <t>BFA</t>
        </is>
      </c>
      <c r="C132" s="14" t="inlineStr">
        <is>
          <t>BFA</t>
        </is>
      </c>
      <c r="D132" s="14" t="inlineStr">
        <is>
          <t>Burkina Faso</t>
        </is>
      </c>
      <c r="E132" s="14" t="n">
        <v>2023</v>
      </c>
      <c r="F132" s="14" t="n">
        <v>0.18</v>
      </c>
      <c r="G132" s="14" t="n">
        <v>6.147</v>
      </c>
      <c r="H132" s="14" t="n">
        <v>1.286</v>
      </c>
      <c r="I132" s="14" t="n">
        <v>0</v>
      </c>
      <c r="J132" s="14" t="n">
        <v>6.147</v>
      </c>
      <c r="K132" s="14" t="n">
        <v>0</v>
      </c>
      <c r="L132" s="14" t="n">
        <v>1</v>
      </c>
      <c r="M132" s="14" t="n">
        <v>7.886</v>
      </c>
      <c r="N132" s="14" t="n">
        <v>3.857</v>
      </c>
      <c r="O132" s="14" t="n">
        <v>0</v>
      </c>
      <c r="P132" s="14" t="n">
        <v>7.886</v>
      </c>
      <c r="Q132" s="14" t="n">
        <v>0</v>
      </c>
      <c r="R132" s="14" t="n">
        <v>1</v>
      </c>
      <c r="S132" s="14" t="n">
        <v>12.575</v>
      </c>
      <c r="T132" s="14" t="n">
        <v>7.714</v>
      </c>
      <c r="U132" s="14" t="n">
        <v>-2.918</v>
      </c>
      <c r="V132" s="14" t="n">
        <v>11.396</v>
      </c>
      <c r="W132" s="14" t="n">
        <v>0.18</v>
      </c>
      <c r="X132" s="14" t="n">
        <v>0</v>
      </c>
      <c r="Y132" s="14" t="n">
        <v>6.656</v>
      </c>
      <c r="Z132" s="14" t="n">
        <v>0.9</v>
      </c>
      <c r="AA132" s="14" t="n">
        <v>0</v>
      </c>
      <c r="AB132" s="14" t="n">
        <v>6.656</v>
      </c>
      <c r="AC132" s="14" t="n">
        <v>0</v>
      </c>
      <c r="AD132" s="14" t="n">
        <v>1</v>
      </c>
      <c r="AE132" s="14" t="n">
        <v>7.942</v>
      </c>
      <c r="AF132" s="14" t="n">
        <v>1.857</v>
      </c>
      <c r="AG132" s="14" t="n">
        <v>0</v>
      </c>
      <c r="AH132" s="14" t="n">
        <v>7.942</v>
      </c>
      <c r="AI132" s="14" t="n">
        <v>0</v>
      </c>
      <c r="AJ132" s="14" t="n">
        <v>1</v>
      </c>
      <c r="AK132" s="14" t="n">
        <v>15.656</v>
      </c>
      <c r="AL132" s="14" t="n">
        <v>8.337999999999999</v>
      </c>
      <c r="AM132" s="14" t="n">
        <v>0.312</v>
      </c>
      <c r="AN132" s="14" t="n">
        <v>18.474</v>
      </c>
      <c r="AO132" s="14" t="n">
        <v>0.18</v>
      </c>
      <c r="AP132" s="14" t="n">
        <v>1</v>
      </c>
      <c r="AQ132" s="14" t="n">
        <v>0.76</v>
      </c>
      <c r="AR132" s="14" t="n">
        <v>0.129</v>
      </c>
      <c r="AS132" s="14" t="n">
        <v>0.424</v>
      </c>
      <c r="AT132" s="14" t="n">
        <v>1.397</v>
      </c>
      <c r="AU132" s="14" t="n">
        <v>0.18</v>
      </c>
      <c r="AV132" s="14" t="n">
        <v>1</v>
      </c>
      <c r="AW132" s="14" t="n">
        <v>0.8110000000000001</v>
      </c>
      <c r="AX132" s="14" t="n">
        <v>0.129</v>
      </c>
      <c r="AY132" s="14" t="n">
        <v>0.264</v>
      </c>
      <c r="AZ132" s="14" t="n">
        <v>1.269</v>
      </c>
      <c r="BA132" s="14" t="n">
        <v>0.18</v>
      </c>
      <c r="BB132" s="14" t="n">
        <v>1</v>
      </c>
      <c r="BC132" s="14" t="n">
        <v>0.535</v>
      </c>
      <c r="BD132" s="14" t="n">
        <v>0.129</v>
      </c>
      <c r="BE132" s="14" t="n">
        <v>-0.195</v>
      </c>
      <c r="BF132" s="14" t="n">
        <v>0.34</v>
      </c>
      <c r="BG132" s="14" t="n">
        <v>0</v>
      </c>
      <c r="BH132" s="14" t="n">
        <v>0</v>
      </c>
      <c r="BI132" s="14" t="n">
        <v>0.579</v>
      </c>
      <c r="BJ132" s="14" t="n">
        <v>0.129</v>
      </c>
      <c r="BK132" s="14" t="n">
        <v>1.099</v>
      </c>
      <c r="BL132" s="14" t="n">
        <v>1.678</v>
      </c>
      <c r="BM132" s="14" t="n">
        <v>0</v>
      </c>
      <c r="BN132" s="14" t="n">
        <v>1</v>
      </c>
      <c r="BO132" s="14" t="n">
        <v>0</v>
      </c>
      <c r="BP132" s="14" t="n">
        <v>0</v>
      </c>
      <c r="BQ132" s="14" t="n">
        <v>0.196</v>
      </c>
      <c r="BR132" s="14" t="n">
        <v>0</v>
      </c>
      <c r="BS132" s="14" t="n">
        <v>0.833</v>
      </c>
      <c r="BT132" s="14" t="n">
        <v>0</v>
      </c>
      <c r="BU132" s="14" t="n">
        <v>0</v>
      </c>
      <c r="BV132" s="14" t="n">
        <v>0.203</v>
      </c>
      <c r="BW132" s="14" t="n">
        <v>0.18</v>
      </c>
      <c r="BX132" s="14" t="n">
        <v>0.5</v>
      </c>
      <c r="BY132" s="14" t="n">
        <v>13.254</v>
      </c>
      <c r="BZ132" s="14" t="n">
        <v>0</v>
      </c>
      <c r="CA132" s="14" t="n">
        <v>13.254</v>
      </c>
      <c r="CB132" s="14" t="n">
        <v>0</v>
      </c>
      <c r="CC132" s="14" t="n">
        <v>83.248</v>
      </c>
      <c r="CD132" s="14" t="n">
        <v>7.95</v>
      </c>
      <c r="CE132" s="14" t="n">
        <v>134.453</v>
      </c>
      <c r="CF132" s="14" t="n">
        <v>256.887</v>
      </c>
      <c r="CG132" s="14" t="n">
        <v>0.18</v>
      </c>
      <c r="CH132" s="14" t="n">
        <v>1</v>
      </c>
      <c r="CI132" s="14" t="n">
        <v>0</v>
      </c>
      <c r="CJ132" s="14" t="n">
        <v>0</v>
      </c>
      <c r="CK132" s="14" t="n">
        <v>0</v>
      </c>
      <c r="CL132" s="14" t="n">
        <v>0</v>
      </c>
      <c r="CM132" s="14" t="n">
        <v>0</v>
      </c>
      <c r="CN132" s="14" t="n">
        <v>0</v>
      </c>
      <c r="CO132" s="14" t="n">
        <v>0</v>
      </c>
      <c r="CP132" s="14" t="n">
        <v>0</v>
      </c>
      <c r="CQ132" s="14" t="n">
        <v>1.348</v>
      </c>
      <c r="CR132" s="14" t="n">
        <v>0</v>
      </c>
      <c r="CS132" s="14" t="n">
        <v>5.37</v>
      </c>
      <c r="CT132" s="14" t="n">
        <v>4.861</v>
      </c>
      <c r="CU132" s="14" t="n">
        <v>11.622</v>
      </c>
    </row>
    <row r="133">
      <c r="A133" s="14" t="inlineStr">
        <is>
          <t>BFA2024</t>
        </is>
      </c>
      <c r="B133" s="14" t="inlineStr">
        <is>
          <t>BFA</t>
        </is>
      </c>
      <c r="C133" s="14" t="inlineStr">
        <is>
          <t>BFA</t>
        </is>
      </c>
      <c r="D133" s="14" t="inlineStr">
        <is>
          <t>Burkina Faso</t>
        </is>
      </c>
      <c r="E133" s="14" t="n">
        <v>2024</v>
      </c>
      <c r="F133" s="14" t="n">
        <v>0.18</v>
      </c>
      <c r="G133" s="14" t="n">
        <v>5.575</v>
      </c>
      <c r="H133" s="14" t="n">
        <v>1.324</v>
      </c>
      <c r="I133" s="14" t="n">
        <v>0</v>
      </c>
      <c r="J133" s="14" t="n">
        <v>5.575</v>
      </c>
      <c r="K133" s="14" t="n">
        <v>0</v>
      </c>
      <c r="L133" s="14" t="n">
        <v>1</v>
      </c>
      <c r="M133" s="14" t="n">
        <v>7.124</v>
      </c>
      <c r="N133" s="14" t="n">
        <v>3.971</v>
      </c>
      <c r="O133" s="14" t="n">
        <v>0</v>
      </c>
      <c r="P133" s="14" t="n">
        <v>7.124</v>
      </c>
      <c r="Q133" s="14" t="n">
        <v>0</v>
      </c>
      <c r="R133" s="14" t="n">
        <v>1</v>
      </c>
      <c r="S133" s="14" t="n">
        <v>12.193</v>
      </c>
      <c r="T133" s="14" t="n">
        <v>7.942</v>
      </c>
      <c r="U133" s="14" t="n">
        <v>-2.779</v>
      </c>
      <c r="V133" s="14" t="n">
        <v>10.843</v>
      </c>
      <c r="W133" s="14" t="n">
        <v>0.18</v>
      </c>
      <c r="X133" s="14" t="n">
        <v>0</v>
      </c>
      <c r="Y133" s="14" t="n">
        <v>5.675</v>
      </c>
      <c r="Z133" s="14" t="n">
        <v>0.767</v>
      </c>
      <c r="AA133" s="14" t="n">
        <v>0</v>
      </c>
      <c r="AB133" s="14" t="n">
        <v>5.675</v>
      </c>
      <c r="AC133" s="14" t="n">
        <v>0</v>
      </c>
      <c r="AD133" s="14" t="n">
        <v>1</v>
      </c>
      <c r="AE133" s="14" t="n">
        <v>6.998</v>
      </c>
      <c r="AF133" s="14" t="n">
        <v>1.636</v>
      </c>
      <c r="AG133" s="14" t="n">
        <v>0</v>
      </c>
      <c r="AH133" s="14" t="n">
        <v>6.998</v>
      </c>
      <c r="AI133" s="14" t="n">
        <v>0</v>
      </c>
      <c r="AJ133" s="14" t="n">
        <v>1</v>
      </c>
      <c r="AK133" s="14" t="n">
        <v>14.94</v>
      </c>
      <c r="AL133" s="14" t="n">
        <v>7.957</v>
      </c>
      <c r="AM133" s="14" t="n">
        <v>0.366</v>
      </c>
      <c r="AN133" s="14" t="n">
        <v>17.629</v>
      </c>
      <c r="AO133" s="14" t="n">
        <v>0.18</v>
      </c>
      <c r="AP133" s="14" t="n">
        <v>1</v>
      </c>
      <c r="AQ133" s="14" t="n">
        <v>0.724</v>
      </c>
      <c r="AR133" s="14" t="n">
        <v>0.132</v>
      </c>
      <c r="AS133" s="14" t="n">
        <v>0.475</v>
      </c>
      <c r="AT133" s="14" t="n">
        <v>1.415</v>
      </c>
      <c r="AU133" s="14" t="n">
        <v>0.18</v>
      </c>
      <c r="AV133" s="14" t="n">
        <v>1</v>
      </c>
      <c r="AW133" s="14" t="n">
        <v>0.75</v>
      </c>
      <c r="AX133" s="14" t="n">
        <v>0.132</v>
      </c>
      <c r="AY133" s="14" t="n">
        <v>0.325</v>
      </c>
      <c r="AZ133" s="14" t="n">
        <v>1.269</v>
      </c>
      <c r="BA133" s="14" t="n">
        <v>0.18</v>
      </c>
      <c r="BB133" s="14" t="n">
        <v>1</v>
      </c>
      <c r="BC133" s="14" t="n">
        <v>0.513</v>
      </c>
      <c r="BD133" s="14" t="n">
        <v>0.132</v>
      </c>
      <c r="BE133" s="14" t="n">
        <v>-0.188</v>
      </c>
      <c r="BF133" s="14" t="n">
        <v>0.325</v>
      </c>
      <c r="BG133" s="14" t="n">
        <v>0</v>
      </c>
      <c r="BH133" s="14" t="n">
        <v>0</v>
      </c>
      <c r="BI133" s="14" t="n">
        <v>0.591</v>
      </c>
      <c r="BJ133" s="14" t="n">
        <v>0.132</v>
      </c>
      <c r="BK133" s="14" t="n">
        <v>1.115</v>
      </c>
      <c r="BL133" s="14" t="n">
        <v>1.707</v>
      </c>
      <c r="BM133" s="14" t="n">
        <v>0</v>
      </c>
      <c r="BN133" s="14" t="n">
        <v>1</v>
      </c>
      <c r="BO133" s="14" t="n">
        <v>0</v>
      </c>
      <c r="BP133" s="14" t="n">
        <v>0</v>
      </c>
      <c r="BQ133" s="14" t="n">
        <v>0.304</v>
      </c>
      <c r="BR133" s="14" t="n">
        <v>0</v>
      </c>
      <c r="BS133" s="14" t="n">
        <v>0.833</v>
      </c>
      <c r="BT133" s="14" t="n">
        <v>0</v>
      </c>
      <c r="BU133" s="14" t="n">
        <v>0</v>
      </c>
      <c r="BV133" s="14" t="n">
        <v>0.186</v>
      </c>
      <c r="BW133" s="14" t="n">
        <v>0.18</v>
      </c>
      <c r="BX133" s="14" t="n">
        <v>0.5</v>
      </c>
      <c r="BY133" s="14" t="n">
        <v>13.646</v>
      </c>
      <c r="BZ133" s="14" t="n">
        <v>0</v>
      </c>
      <c r="CA133" s="14" t="n">
        <v>13.646</v>
      </c>
      <c r="CB133" s="14" t="n">
        <v>0</v>
      </c>
      <c r="CC133" s="14" t="n">
        <v>82.58799999999999</v>
      </c>
      <c r="CD133" s="14" t="n">
        <v>7.95</v>
      </c>
      <c r="CE133" s="14" t="n">
        <v>131.815</v>
      </c>
      <c r="CF133" s="14" t="n">
        <v>252.995</v>
      </c>
      <c r="CG133" s="14" t="n">
        <v>0.18</v>
      </c>
      <c r="CH133" s="14" t="n">
        <v>1</v>
      </c>
      <c r="CI133" s="14" t="n">
        <v>0</v>
      </c>
      <c r="CJ133" s="14" t="n">
        <v>0</v>
      </c>
      <c r="CK133" s="14" t="n">
        <v>0</v>
      </c>
      <c r="CL133" s="14" t="n">
        <v>0</v>
      </c>
      <c r="CM133" s="14" t="n">
        <v>0</v>
      </c>
      <c r="CN133" s="14" t="n">
        <v>0</v>
      </c>
      <c r="CO133" s="14" t="n">
        <v>0</v>
      </c>
      <c r="CP133" s="14" t="n">
        <v>0</v>
      </c>
      <c r="CQ133" s="14" t="n">
        <v>1.387</v>
      </c>
      <c r="CR133" s="14" t="n">
        <v>0</v>
      </c>
      <c r="CS133" s="14" t="n">
        <v>5.529</v>
      </c>
      <c r="CT133" s="14" t="n">
        <v>4.251</v>
      </c>
      <c r="CU133" s="14" t="n">
        <v>10.168</v>
      </c>
    </row>
    <row r="134">
      <c r="A134" s="14" t="inlineStr">
        <is>
          <t>BDI2021</t>
        </is>
      </c>
      <c r="B134" s="14" t="inlineStr">
        <is>
          <t>BDI</t>
        </is>
      </c>
      <c r="C134" s="14" t="inlineStr">
        <is>
          <t>BDI</t>
        </is>
      </c>
      <c r="D134" s="14" t="inlineStr">
        <is>
          <t>Burundi</t>
        </is>
      </c>
      <c r="E134" s="14" t="n">
        <v>2021</v>
      </c>
      <c r="F134" s="14" t="n">
        <v>0.18</v>
      </c>
      <c r="G134" s="14" t="n">
        <v>5.897</v>
      </c>
      <c r="H134" s="14" t="n">
        <v>1.143</v>
      </c>
      <c r="I134" s="14" t="n">
        <v>0</v>
      </c>
      <c r="J134" s="14" t="n">
        <v>5.897</v>
      </c>
      <c r="K134" s="14" t="n">
        <v>0</v>
      </c>
      <c r="L134" s="14" t="n">
        <v>1</v>
      </c>
      <c r="M134" s="14" t="n">
        <v>7.964</v>
      </c>
      <c r="N134" s="14" t="n">
        <v>3.43</v>
      </c>
      <c r="O134" s="14" t="n">
        <v>0</v>
      </c>
      <c r="P134" s="14" t="n">
        <v>7.964</v>
      </c>
      <c r="Q134" s="14" t="n">
        <v>0</v>
      </c>
      <c r="R134" s="14" t="n">
        <v>1</v>
      </c>
      <c r="S134" s="14" t="n">
        <v>11.613</v>
      </c>
      <c r="T134" s="14" t="n">
        <v>6.86</v>
      </c>
      <c r="U134" s="14" t="n">
        <v>0</v>
      </c>
      <c r="V134" s="14" t="n">
        <v>13.704</v>
      </c>
      <c r="W134" s="14" t="n">
        <v>0.18</v>
      </c>
      <c r="X134" s="14" t="n">
        <v>1</v>
      </c>
      <c r="Y134" s="14" t="n">
        <v>16.167</v>
      </c>
      <c r="Z134" s="14" t="n">
        <v>2.185</v>
      </c>
      <c r="AA134" s="14" t="n">
        <v>0</v>
      </c>
      <c r="AB134" s="14" t="n">
        <v>16.167</v>
      </c>
      <c r="AC134" s="14" t="n">
        <v>0</v>
      </c>
      <c r="AD134" s="14" t="n">
        <v>1</v>
      </c>
      <c r="AE134" s="14" t="n">
        <v>17.31</v>
      </c>
      <c r="AF134" s="14" t="n">
        <v>4.048</v>
      </c>
      <c r="AG134" s="14" t="n">
        <v>0</v>
      </c>
      <c r="AH134" s="14" t="n">
        <v>17.31</v>
      </c>
      <c r="AI134" s="14" t="n">
        <v>0</v>
      </c>
      <c r="AJ134" s="14" t="n">
        <v>1</v>
      </c>
      <c r="AK134" s="14" t="n">
        <v>24.17</v>
      </c>
      <c r="AL134" s="14" t="n">
        <v>12.873</v>
      </c>
      <c r="AM134" s="14" t="n">
        <v>0</v>
      </c>
      <c r="AN134" s="14" t="n">
        <v>28.521</v>
      </c>
      <c r="AO134" s="14" t="n">
        <v>0.18</v>
      </c>
      <c r="AP134" s="14" t="n">
        <v>1</v>
      </c>
      <c r="AQ134" s="14" t="n">
        <v>0.619</v>
      </c>
      <c r="AR134" s="14" t="n">
        <v>0.114</v>
      </c>
      <c r="AS134" s="14" t="n">
        <v>0.523</v>
      </c>
      <c r="AT134" s="14" t="n">
        <v>1.348</v>
      </c>
      <c r="AU134" s="14" t="n">
        <v>0.18</v>
      </c>
      <c r="AV134" s="14" t="n">
        <v>1</v>
      </c>
      <c r="AW134" s="14" t="n">
        <v>0.599</v>
      </c>
      <c r="AX134" s="14" t="n">
        <v>0.114</v>
      </c>
      <c r="AY134" s="14" t="n">
        <v>0.53</v>
      </c>
      <c r="AZ134" s="14" t="n">
        <v>1.333</v>
      </c>
      <c r="BA134" s="14" t="n">
        <v>0.18</v>
      </c>
      <c r="BB134" s="14" t="n">
        <v>1</v>
      </c>
      <c r="BC134" s="14" t="n">
        <v>0.439</v>
      </c>
      <c r="BD134" s="14" t="n">
        <v>0.114</v>
      </c>
      <c r="BE134" s="14" t="n">
        <v>0</v>
      </c>
      <c r="BF134" s="14" t="n">
        <v>0.518</v>
      </c>
      <c r="BG134" s="14" t="n">
        <v>0.18</v>
      </c>
      <c r="BH134" s="14" t="n">
        <v>1</v>
      </c>
      <c r="BI134" s="14" t="n">
        <v>0.505</v>
      </c>
      <c r="BJ134" s="14" t="n">
        <v>0.114</v>
      </c>
      <c r="BK134" s="14" t="n">
        <v>0.499</v>
      </c>
      <c r="BL134" s="14" t="n">
        <v>1.185</v>
      </c>
      <c r="BM134" s="14" t="n">
        <v>0.18</v>
      </c>
      <c r="BN134" s="14" t="n">
        <v>1</v>
      </c>
      <c r="BO134" s="14" t="n">
        <v>0</v>
      </c>
      <c r="BP134" s="14" t="n">
        <v>0</v>
      </c>
      <c r="BQ134" s="14" t="n">
        <v>0.202</v>
      </c>
      <c r="BR134" s="14" t="n">
        <v>0</v>
      </c>
      <c r="BS134" s="14" t="n">
        <v>1</v>
      </c>
      <c r="BT134" s="14" t="n">
        <v>0</v>
      </c>
      <c r="BU134" s="14" t="n">
        <v>0</v>
      </c>
      <c r="BV134" s="14" t="n">
        <v>0.147</v>
      </c>
      <c r="BW134" s="14" t="n">
        <v>0.18</v>
      </c>
      <c r="BX134" s="14" t="n">
        <v>1</v>
      </c>
      <c r="BY134" s="14" t="n">
        <v>11.787</v>
      </c>
      <c r="BZ134" s="14" t="n">
        <v>0</v>
      </c>
      <c r="CA134" s="14" t="n">
        <v>11.787</v>
      </c>
      <c r="CB134" s="14" t="n">
        <v>0</v>
      </c>
      <c r="CC134" s="14" t="n">
        <v>78.125</v>
      </c>
      <c r="CD134" s="14" t="n">
        <v>7.95</v>
      </c>
      <c r="CE134" s="14" t="n">
        <v>0</v>
      </c>
      <c r="CF134" s="14" t="n">
        <v>92.188</v>
      </c>
      <c r="CG134" s="14" t="n">
        <v>0.18</v>
      </c>
      <c r="CH134" s="14" t="n">
        <v>1</v>
      </c>
      <c r="CI134" s="14" t="n">
        <v>0</v>
      </c>
      <c r="CJ134" s="14" t="n">
        <v>0</v>
      </c>
      <c r="CK134" s="14" t="n">
        <v>0</v>
      </c>
      <c r="CL134" s="14" t="n">
        <v>0</v>
      </c>
      <c r="CM134" s="14" t="n">
        <v>0</v>
      </c>
      <c r="CN134" s="14" t="n">
        <v>0</v>
      </c>
      <c r="CO134" s="14" t="n">
        <v>0</v>
      </c>
      <c r="CP134" s="14" t="n">
        <v>0</v>
      </c>
      <c r="CQ134" s="14" t="n">
        <v>1.198</v>
      </c>
      <c r="CR134" s="14" t="n">
        <v>0</v>
      </c>
      <c r="CS134" s="14" t="n">
        <v>4.776</v>
      </c>
      <c r="CT134" s="14" t="n">
        <v>4.753</v>
      </c>
      <c r="CU134" s="14" t="n">
        <v>15.162</v>
      </c>
    </row>
    <row r="135">
      <c r="A135" s="14" t="inlineStr">
        <is>
          <t>BDI2022</t>
        </is>
      </c>
      <c r="B135" s="14" t="inlineStr">
        <is>
          <t>BDI</t>
        </is>
      </c>
      <c r="C135" s="14" t="inlineStr">
        <is>
          <t>BDI</t>
        </is>
      </c>
      <c r="D135" s="14" t="inlineStr">
        <is>
          <t>Burundi</t>
        </is>
      </c>
      <c r="E135" s="14" t="n">
        <v>2022</v>
      </c>
      <c r="F135" s="14" t="n">
        <v>0.18</v>
      </c>
      <c r="G135" s="14" t="n">
        <v>11.72</v>
      </c>
      <c r="H135" s="14" t="n">
        <v>1.235</v>
      </c>
      <c r="I135" s="14" t="n">
        <v>0</v>
      </c>
      <c r="J135" s="14" t="n">
        <v>11.72</v>
      </c>
      <c r="K135" s="14" t="n">
        <v>0</v>
      </c>
      <c r="L135" s="14" t="n">
        <v>1</v>
      </c>
      <c r="M135" s="14" t="n">
        <v>9.782999999999999</v>
      </c>
      <c r="N135" s="14" t="n">
        <v>3.704</v>
      </c>
      <c r="O135" s="14" t="n">
        <v>0</v>
      </c>
      <c r="P135" s="14" t="n">
        <v>9.782999999999999</v>
      </c>
      <c r="Q135" s="14" t="n">
        <v>0</v>
      </c>
      <c r="R135" s="14" t="n">
        <v>1</v>
      </c>
      <c r="S135" s="14" t="n">
        <v>17.893</v>
      </c>
      <c r="T135" s="14" t="n">
        <v>7.408</v>
      </c>
      <c r="U135" s="14" t="n">
        <v>0.238</v>
      </c>
      <c r="V135" s="14" t="n">
        <v>21.114</v>
      </c>
      <c r="W135" s="14" t="n">
        <v>0.18</v>
      </c>
      <c r="X135" s="14" t="n">
        <v>1</v>
      </c>
      <c r="Y135" s="14" t="n">
        <v>32.463</v>
      </c>
      <c r="Z135" s="14" t="n">
        <v>4.387</v>
      </c>
      <c r="AA135" s="14" t="n">
        <v>0</v>
      </c>
      <c r="AB135" s="14" t="n">
        <v>32.463</v>
      </c>
      <c r="AC135" s="14" t="n">
        <v>0</v>
      </c>
      <c r="AD135" s="14" t="n">
        <v>1</v>
      </c>
      <c r="AE135" s="14" t="n">
        <v>33.697</v>
      </c>
      <c r="AF135" s="14" t="n">
        <v>7.879</v>
      </c>
      <c r="AG135" s="14" t="n">
        <v>0</v>
      </c>
      <c r="AH135" s="14" t="n">
        <v>33.697</v>
      </c>
      <c r="AI135" s="14" t="n">
        <v>0</v>
      </c>
      <c r="AJ135" s="14" t="n">
        <v>1</v>
      </c>
      <c r="AK135" s="14" t="n">
        <v>41.105</v>
      </c>
      <c r="AL135" s="14" t="n">
        <v>21.893</v>
      </c>
      <c r="AM135" s="14" t="n">
        <v>0.548</v>
      </c>
      <c r="AN135" s="14" t="n">
        <v>48.504</v>
      </c>
      <c r="AO135" s="14" t="n">
        <v>0.18</v>
      </c>
      <c r="AP135" s="14" t="n">
        <v>1</v>
      </c>
      <c r="AQ135" s="14" t="n">
        <v>0.861</v>
      </c>
      <c r="AR135" s="14" t="n">
        <v>0.123</v>
      </c>
      <c r="AS135" s="14" t="n">
        <v>0.389</v>
      </c>
      <c r="AT135" s="14" t="n">
        <v>1.456</v>
      </c>
      <c r="AU135" s="14" t="n">
        <v>0.18</v>
      </c>
      <c r="AV135" s="14" t="n">
        <v>1</v>
      </c>
      <c r="AW135" s="14" t="n">
        <v>0.986</v>
      </c>
      <c r="AX135" s="14" t="n">
        <v>0.123</v>
      </c>
      <c r="AY135" s="14" t="n">
        <v>0.444</v>
      </c>
      <c r="AZ135" s="14" t="n">
        <v>1.666</v>
      </c>
      <c r="BA135" s="14" t="n">
        <v>0.18</v>
      </c>
      <c r="BB135" s="14" t="n">
        <v>1</v>
      </c>
      <c r="BC135" s="14" t="n">
        <v>0.598</v>
      </c>
      <c r="BD135" s="14" t="n">
        <v>0.123</v>
      </c>
      <c r="BE135" s="14" t="n">
        <v>0.008</v>
      </c>
      <c r="BF135" s="14" t="n">
        <v>0.705</v>
      </c>
      <c r="BG135" s="14" t="n">
        <v>0.18</v>
      </c>
      <c r="BH135" s="14" t="n">
        <v>1</v>
      </c>
      <c r="BI135" s="14" t="n">
        <v>0.612</v>
      </c>
      <c r="BJ135" s="14" t="n">
        <v>0.123</v>
      </c>
      <c r="BK135" s="14" t="n">
        <v>0.525</v>
      </c>
      <c r="BL135" s="14" t="n">
        <v>1.324</v>
      </c>
      <c r="BM135" s="14" t="n">
        <v>0.18</v>
      </c>
      <c r="BN135" s="14" t="n">
        <v>1</v>
      </c>
      <c r="BO135" s="14" t="n">
        <v>0</v>
      </c>
      <c r="BP135" s="14" t="n">
        <v>0</v>
      </c>
      <c r="BQ135" s="14" t="n">
        <v>0.196</v>
      </c>
      <c r="BR135" s="14" t="n">
        <v>0</v>
      </c>
      <c r="BS135" s="14" t="n">
        <v>1</v>
      </c>
      <c r="BT135" s="14" t="n">
        <v>0</v>
      </c>
      <c r="BU135" s="14" t="n">
        <v>0</v>
      </c>
      <c r="BV135" s="14" t="n">
        <v>0.142</v>
      </c>
      <c r="BW135" s="14" t="n">
        <v>0.18</v>
      </c>
      <c r="BX135" s="14" t="n">
        <v>1</v>
      </c>
      <c r="BY135" s="14" t="n">
        <v>12.729</v>
      </c>
      <c r="BZ135" s="14" t="n">
        <v>0</v>
      </c>
      <c r="CA135" s="14" t="n">
        <v>12.729</v>
      </c>
      <c r="CB135" s="14" t="n">
        <v>0</v>
      </c>
      <c r="CC135" s="14" t="n">
        <v>97.90000000000001</v>
      </c>
      <c r="CD135" s="14" t="n">
        <v>7.95</v>
      </c>
      <c r="CE135" s="14" t="n">
        <v>1.304</v>
      </c>
      <c r="CF135" s="14" t="n">
        <v>115.522</v>
      </c>
      <c r="CG135" s="14" t="n">
        <v>0.18</v>
      </c>
      <c r="CH135" s="14" t="n">
        <v>1</v>
      </c>
      <c r="CI135" s="14" t="n">
        <v>0</v>
      </c>
      <c r="CJ135" s="14" t="n">
        <v>0</v>
      </c>
      <c r="CK135" s="14" t="n">
        <v>0</v>
      </c>
      <c r="CL135" s="14" t="n">
        <v>0</v>
      </c>
      <c r="CM135" s="14" t="n">
        <v>0</v>
      </c>
      <c r="CN135" s="14" t="n">
        <v>0</v>
      </c>
      <c r="CO135" s="14" t="n">
        <v>0</v>
      </c>
      <c r="CP135" s="14" t="n">
        <v>0</v>
      </c>
      <c r="CQ135" s="14" t="n">
        <v>1.294</v>
      </c>
      <c r="CR135" s="14" t="n">
        <v>0</v>
      </c>
      <c r="CS135" s="14" t="n">
        <v>5.158</v>
      </c>
      <c r="CT135" s="14" t="n">
        <v>10.485</v>
      </c>
      <c r="CU135" s="14" t="n">
        <v>31.326</v>
      </c>
    </row>
    <row r="136">
      <c r="A136" s="14" t="inlineStr">
        <is>
          <t>BDI2023</t>
        </is>
      </c>
      <c r="B136" s="14" t="inlineStr">
        <is>
          <t>BDI</t>
        </is>
      </c>
      <c r="C136" s="14" t="inlineStr">
        <is>
          <t>BDI</t>
        </is>
      </c>
      <c r="D136" s="14" t="inlineStr">
        <is>
          <t>Burundi</t>
        </is>
      </c>
      <c r="E136" s="14" t="n">
        <v>2023</v>
      </c>
      <c r="F136" s="14" t="n">
        <v>0.18</v>
      </c>
      <c r="G136" s="14" t="n">
        <v>6.147</v>
      </c>
      <c r="H136" s="14" t="n">
        <v>1.286</v>
      </c>
      <c r="I136" s="14" t="n">
        <v>0</v>
      </c>
      <c r="J136" s="14" t="n">
        <v>6.147</v>
      </c>
      <c r="K136" s="14" t="n">
        <v>0</v>
      </c>
      <c r="L136" s="14" t="n">
        <v>1</v>
      </c>
      <c r="M136" s="14" t="n">
        <v>7.886</v>
      </c>
      <c r="N136" s="14" t="n">
        <v>3.857</v>
      </c>
      <c r="O136" s="14" t="n">
        <v>0</v>
      </c>
      <c r="P136" s="14" t="n">
        <v>7.886</v>
      </c>
      <c r="Q136" s="14" t="n">
        <v>0</v>
      </c>
      <c r="R136" s="14" t="n">
        <v>1</v>
      </c>
      <c r="S136" s="14" t="n">
        <v>12.575</v>
      </c>
      <c r="T136" s="14" t="n">
        <v>7.714</v>
      </c>
      <c r="U136" s="14" t="n">
        <v>0.251</v>
      </c>
      <c r="V136" s="14" t="n">
        <v>14.839</v>
      </c>
      <c r="W136" s="14" t="n">
        <v>0.18</v>
      </c>
      <c r="X136" s="14" t="n">
        <v>1</v>
      </c>
      <c r="Y136" s="14" t="n">
        <v>12.881</v>
      </c>
      <c r="Z136" s="14" t="n">
        <v>1.741</v>
      </c>
      <c r="AA136" s="14" t="n">
        <v>0</v>
      </c>
      <c r="AB136" s="14" t="n">
        <v>12.881</v>
      </c>
      <c r="AC136" s="14" t="n">
        <v>0</v>
      </c>
      <c r="AD136" s="14" t="n">
        <v>1</v>
      </c>
      <c r="AE136" s="14" t="n">
        <v>14.167</v>
      </c>
      <c r="AF136" s="14" t="n">
        <v>3.313</v>
      </c>
      <c r="AG136" s="14" t="n">
        <v>0</v>
      </c>
      <c r="AH136" s="14" t="n">
        <v>14.167</v>
      </c>
      <c r="AI136" s="14" t="n">
        <v>0</v>
      </c>
      <c r="AJ136" s="14" t="n">
        <v>1</v>
      </c>
      <c r="AK136" s="14" t="n">
        <v>21.881</v>
      </c>
      <c r="AL136" s="14" t="n">
        <v>11.654</v>
      </c>
      <c r="AM136" s="14" t="n">
        <v>0.436</v>
      </c>
      <c r="AN136" s="14" t="n">
        <v>25.819</v>
      </c>
      <c r="AO136" s="14" t="n">
        <v>0.18</v>
      </c>
      <c r="AP136" s="14" t="n">
        <v>1</v>
      </c>
      <c r="AQ136" s="14" t="n">
        <v>0.76</v>
      </c>
      <c r="AR136" s="14" t="n">
        <v>0.129</v>
      </c>
      <c r="AS136" s="14" t="n">
        <v>0.55</v>
      </c>
      <c r="AT136" s="14" t="n">
        <v>1.516</v>
      </c>
      <c r="AU136" s="14" t="n">
        <v>0.18</v>
      </c>
      <c r="AV136" s="14" t="n">
        <v>1</v>
      </c>
      <c r="AW136" s="14" t="n">
        <v>0.8110000000000001</v>
      </c>
      <c r="AX136" s="14" t="n">
        <v>0.129</v>
      </c>
      <c r="AY136" s="14" t="n">
        <v>0.5629999999999999</v>
      </c>
      <c r="AZ136" s="14" t="n">
        <v>1.591</v>
      </c>
      <c r="BA136" s="14" t="n">
        <v>0.18</v>
      </c>
      <c r="BB136" s="14" t="n">
        <v>1</v>
      </c>
      <c r="BC136" s="14" t="n">
        <v>0.535</v>
      </c>
      <c r="BD136" s="14" t="n">
        <v>0.129</v>
      </c>
      <c r="BE136" s="14" t="n">
        <v>0.011</v>
      </c>
      <c r="BF136" s="14" t="n">
        <v>0.631</v>
      </c>
      <c r="BG136" s="14" t="n">
        <v>0.18</v>
      </c>
      <c r="BH136" s="14" t="n">
        <v>1</v>
      </c>
      <c r="BI136" s="14" t="n">
        <v>0.579</v>
      </c>
      <c r="BJ136" s="14" t="n">
        <v>0.129</v>
      </c>
      <c r="BK136" s="14" t="n">
        <v>0.579</v>
      </c>
      <c r="BL136" s="14" t="n">
        <v>1.34</v>
      </c>
      <c r="BM136" s="14" t="n">
        <v>0.18</v>
      </c>
      <c r="BN136" s="14" t="n">
        <v>1</v>
      </c>
      <c r="BO136" s="14" t="n">
        <v>0</v>
      </c>
      <c r="BP136" s="14" t="n">
        <v>0</v>
      </c>
      <c r="BQ136" s="14" t="n">
        <v>0.159</v>
      </c>
      <c r="BR136" s="14" t="n">
        <v>0</v>
      </c>
      <c r="BS136" s="14" t="n">
        <v>1</v>
      </c>
      <c r="BT136" s="14" t="n">
        <v>0</v>
      </c>
      <c r="BU136" s="14" t="n">
        <v>0</v>
      </c>
      <c r="BV136" s="14" t="n">
        <v>0.116</v>
      </c>
      <c r="BW136" s="14" t="n">
        <v>0.18</v>
      </c>
      <c r="BX136" s="14" t="n">
        <v>1</v>
      </c>
      <c r="BY136" s="14" t="n">
        <v>13.254</v>
      </c>
      <c r="BZ136" s="14" t="n">
        <v>0</v>
      </c>
      <c r="CA136" s="14" t="n">
        <v>13.254</v>
      </c>
      <c r="CB136" s="14" t="n">
        <v>0</v>
      </c>
      <c r="CC136" s="14" t="n">
        <v>83.248</v>
      </c>
      <c r="CD136" s="14" t="n">
        <v>7.95</v>
      </c>
      <c r="CE136" s="14" t="n">
        <v>1.659</v>
      </c>
      <c r="CF136" s="14" t="n">
        <v>98.233</v>
      </c>
      <c r="CG136" s="14" t="n">
        <v>0.18</v>
      </c>
      <c r="CH136" s="14" t="n">
        <v>1</v>
      </c>
      <c r="CI136" s="14" t="n">
        <v>0</v>
      </c>
      <c r="CJ136" s="14" t="n">
        <v>0</v>
      </c>
      <c r="CK136" s="14" t="n">
        <v>0</v>
      </c>
      <c r="CL136" s="14" t="n">
        <v>0</v>
      </c>
      <c r="CM136" s="14" t="n">
        <v>0</v>
      </c>
      <c r="CN136" s="14" t="n">
        <v>0</v>
      </c>
      <c r="CO136" s="14" t="n">
        <v>0</v>
      </c>
      <c r="CP136" s="14" t="n">
        <v>0</v>
      </c>
      <c r="CQ136" s="14" t="n">
        <v>1.348</v>
      </c>
      <c r="CR136" s="14" t="n">
        <v>0</v>
      </c>
      <c r="CS136" s="14" t="n">
        <v>5.37</v>
      </c>
      <c r="CT136" s="14" t="n">
        <v>4.861</v>
      </c>
      <c r="CU136" s="14" t="n">
        <v>11.622</v>
      </c>
    </row>
    <row r="137">
      <c r="A137" s="14" t="inlineStr">
        <is>
          <t>BDI2024</t>
        </is>
      </c>
      <c r="B137" s="14" t="inlineStr">
        <is>
          <t>BDI</t>
        </is>
      </c>
      <c r="C137" s="14" t="inlineStr">
        <is>
          <t>BDI</t>
        </is>
      </c>
      <c r="D137" s="14" t="inlineStr">
        <is>
          <t>Burundi</t>
        </is>
      </c>
      <c r="E137" s="14" t="n">
        <v>2024</v>
      </c>
      <c r="F137" s="14" t="n">
        <v>0.18</v>
      </c>
      <c r="G137" s="14" t="n">
        <v>5.575</v>
      </c>
      <c r="H137" s="14" t="n">
        <v>1.324</v>
      </c>
      <c r="I137" s="14" t="n">
        <v>0</v>
      </c>
      <c r="J137" s="14" t="n">
        <v>5.575</v>
      </c>
      <c r="K137" s="14" t="n">
        <v>0</v>
      </c>
      <c r="L137" s="14" t="n">
        <v>1</v>
      </c>
      <c r="M137" s="14" t="n">
        <v>7.124</v>
      </c>
      <c r="N137" s="14" t="n">
        <v>3.971</v>
      </c>
      <c r="O137" s="14" t="n">
        <v>0</v>
      </c>
      <c r="P137" s="14" t="n">
        <v>7.124</v>
      </c>
      <c r="Q137" s="14" t="n">
        <v>0</v>
      </c>
      <c r="R137" s="14" t="n">
        <v>1</v>
      </c>
      <c r="S137" s="14" t="n">
        <v>12.193</v>
      </c>
      <c r="T137" s="14" t="n">
        <v>7.942</v>
      </c>
      <c r="U137" s="14" t="n">
        <v>0.299</v>
      </c>
      <c r="V137" s="14" t="n">
        <v>14.388</v>
      </c>
      <c r="W137" s="14" t="n">
        <v>0.18</v>
      </c>
      <c r="X137" s="14" t="n">
        <v>1</v>
      </c>
      <c r="Y137" s="14" t="n">
        <v>11.471</v>
      </c>
      <c r="Z137" s="14" t="n">
        <v>1.55</v>
      </c>
      <c r="AA137" s="14" t="n">
        <v>0</v>
      </c>
      <c r="AB137" s="14" t="n">
        <v>11.471</v>
      </c>
      <c r="AC137" s="14" t="n">
        <v>0</v>
      </c>
      <c r="AD137" s="14" t="n">
        <v>1</v>
      </c>
      <c r="AE137" s="14" t="n">
        <v>12.794</v>
      </c>
      <c r="AF137" s="14" t="n">
        <v>2.992</v>
      </c>
      <c r="AG137" s="14" t="n">
        <v>0</v>
      </c>
      <c r="AH137" s="14" t="n">
        <v>12.794</v>
      </c>
      <c r="AI137" s="14" t="n">
        <v>0</v>
      </c>
      <c r="AJ137" s="14" t="n">
        <v>1</v>
      </c>
      <c r="AK137" s="14" t="n">
        <v>20.736</v>
      </c>
      <c r="AL137" s="14" t="n">
        <v>11.044</v>
      </c>
      <c r="AM137" s="14" t="n">
        <v>0.508</v>
      </c>
      <c r="AN137" s="14" t="n">
        <v>24.468</v>
      </c>
      <c r="AO137" s="14" t="n">
        <v>0.18</v>
      </c>
      <c r="AP137" s="14" t="n">
        <v>1</v>
      </c>
      <c r="AQ137" s="14" t="n">
        <v>0.724</v>
      </c>
      <c r="AR137" s="14" t="n">
        <v>0.132</v>
      </c>
      <c r="AS137" s="14" t="n">
        <v>0.631</v>
      </c>
      <c r="AT137" s="14" t="n">
        <v>1.56</v>
      </c>
      <c r="AU137" s="14" t="n">
        <v>0.18</v>
      </c>
      <c r="AV137" s="14" t="n">
        <v>1</v>
      </c>
      <c r="AW137" s="14" t="n">
        <v>0.75</v>
      </c>
      <c r="AX137" s="14" t="n">
        <v>0.132</v>
      </c>
      <c r="AY137" s="14" t="n">
        <v>0.622</v>
      </c>
      <c r="AZ137" s="14" t="n">
        <v>1.58</v>
      </c>
      <c r="BA137" s="14" t="n">
        <v>0.18</v>
      </c>
      <c r="BB137" s="14" t="n">
        <v>1</v>
      </c>
      <c r="BC137" s="14" t="n">
        <v>0.513</v>
      </c>
      <c r="BD137" s="14" t="n">
        <v>0.132</v>
      </c>
      <c r="BE137" s="14" t="n">
        <v>0.013</v>
      </c>
      <c r="BF137" s="14" t="n">
        <v>0.605</v>
      </c>
      <c r="BG137" s="14" t="n">
        <v>0.18</v>
      </c>
      <c r="BH137" s="14" t="n">
        <v>1</v>
      </c>
      <c r="BI137" s="14" t="n">
        <v>0.591</v>
      </c>
      <c r="BJ137" s="14" t="n">
        <v>0.132</v>
      </c>
      <c r="BK137" s="14" t="n">
        <v>0.604</v>
      </c>
      <c r="BL137" s="14" t="n">
        <v>1.376</v>
      </c>
      <c r="BM137" s="14" t="n">
        <v>0.18</v>
      </c>
      <c r="BN137" s="14" t="n">
        <v>1</v>
      </c>
      <c r="BO137" s="14" t="n">
        <v>0</v>
      </c>
      <c r="BP137" s="14" t="n">
        <v>0</v>
      </c>
      <c r="BQ137" s="14" t="n">
        <v>0.164</v>
      </c>
      <c r="BR137" s="14" t="n">
        <v>0</v>
      </c>
      <c r="BS137" s="14" t="n">
        <v>1</v>
      </c>
      <c r="BT137" s="14" t="n">
        <v>0</v>
      </c>
      <c r="BU137" s="14" t="n">
        <v>0</v>
      </c>
      <c r="BV137" s="14" t="n">
        <v>0.119</v>
      </c>
      <c r="BW137" s="14" t="n">
        <v>0.18</v>
      </c>
      <c r="BX137" s="14" t="n">
        <v>1</v>
      </c>
      <c r="BY137" s="14" t="n">
        <v>13.646</v>
      </c>
      <c r="BZ137" s="14" t="n">
        <v>0</v>
      </c>
      <c r="CA137" s="14" t="n">
        <v>13.646</v>
      </c>
      <c r="CB137" s="14" t="n">
        <v>0</v>
      </c>
      <c r="CC137" s="14" t="n">
        <v>82.58799999999999</v>
      </c>
      <c r="CD137" s="14" t="n">
        <v>7.95</v>
      </c>
      <c r="CE137" s="14" t="n">
        <v>2.025</v>
      </c>
      <c r="CF137" s="14" t="n">
        <v>97.45399999999999</v>
      </c>
      <c r="CG137" s="14" t="n">
        <v>0.18</v>
      </c>
      <c r="CH137" s="14" t="n">
        <v>1</v>
      </c>
      <c r="CI137" s="14" t="n">
        <v>0</v>
      </c>
      <c r="CJ137" s="14" t="n">
        <v>0</v>
      </c>
      <c r="CK137" s="14" t="n">
        <v>0</v>
      </c>
      <c r="CL137" s="14" t="n">
        <v>0</v>
      </c>
      <c r="CM137" s="14" t="n">
        <v>0</v>
      </c>
      <c r="CN137" s="14" t="n">
        <v>0</v>
      </c>
      <c r="CO137" s="14" t="n">
        <v>0</v>
      </c>
      <c r="CP137" s="14" t="n">
        <v>0</v>
      </c>
      <c r="CQ137" s="14" t="n">
        <v>1.387</v>
      </c>
      <c r="CR137" s="14" t="n">
        <v>0</v>
      </c>
      <c r="CS137" s="14" t="n">
        <v>5.529</v>
      </c>
      <c r="CT137" s="14" t="n">
        <v>4.251</v>
      </c>
      <c r="CU137" s="14" t="n">
        <v>10.168</v>
      </c>
    </row>
    <row r="138">
      <c r="A138" s="14" t="inlineStr">
        <is>
          <t>CPV2021</t>
        </is>
      </c>
      <c r="B138" s="14" t="inlineStr">
        <is>
          <t>CPV</t>
        </is>
      </c>
      <c r="C138" s="14" t="inlineStr">
        <is>
          <t>CPV</t>
        </is>
      </c>
      <c r="D138" s="14" t="inlineStr">
        <is>
          <t>Cabo Verde</t>
        </is>
      </c>
      <c r="E138" s="14" t="n">
        <v>2021</v>
      </c>
      <c r="F138" s="14" t="n">
        <v>0.15</v>
      </c>
      <c r="G138" s="14" t="n">
        <v>5.897</v>
      </c>
      <c r="H138" s="14" t="n">
        <v>1.143</v>
      </c>
      <c r="I138" s="14" t="n">
        <v>0</v>
      </c>
      <c r="J138" s="14" t="n">
        <v>5.897</v>
      </c>
      <c r="K138" s="14" t="n">
        <v>0</v>
      </c>
      <c r="L138" s="14" t="n">
        <v>1</v>
      </c>
      <c r="M138" s="14" t="n">
        <v>7.964</v>
      </c>
      <c r="N138" s="14" t="n">
        <v>3.43</v>
      </c>
      <c r="O138" s="14" t="n">
        <v>0</v>
      </c>
      <c r="P138" s="14" t="n">
        <v>7.964</v>
      </c>
      <c r="Q138" s="14" t="n">
        <v>0</v>
      </c>
      <c r="R138" s="14" t="n">
        <v>1</v>
      </c>
      <c r="S138" s="14" t="n">
        <v>11.613</v>
      </c>
      <c r="T138" s="14" t="n">
        <v>6.86</v>
      </c>
      <c r="U138" s="14" t="n">
        <v>0</v>
      </c>
      <c r="V138" s="14" t="n">
        <v>13.355</v>
      </c>
      <c r="W138" s="14" t="n">
        <v>0.15</v>
      </c>
      <c r="X138" s="14" t="n">
        <v>1</v>
      </c>
      <c r="Y138" s="14" t="n">
        <v>4.768</v>
      </c>
      <c r="Z138" s="14" t="n">
        <v>0.644</v>
      </c>
      <c r="AA138" s="14" t="n">
        <v>0</v>
      </c>
      <c r="AB138" s="14" t="n">
        <v>4.768</v>
      </c>
      <c r="AC138" s="14" t="n">
        <v>0</v>
      </c>
      <c r="AD138" s="14" t="n">
        <v>1</v>
      </c>
      <c r="AE138" s="14" t="n">
        <v>5.911</v>
      </c>
      <c r="AF138" s="14" t="n">
        <v>1.382</v>
      </c>
      <c r="AG138" s="14" t="n">
        <v>0</v>
      </c>
      <c r="AH138" s="14" t="n">
        <v>5.911</v>
      </c>
      <c r="AI138" s="14" t="n">
        <v>0</v>
      </c>
      <c r="AJ138" s="14" t="n">
        <v>1</v>
      </c>
      <c r="AK138" s="14" t="n">
        <v>12.771</v>
      </c>
      <c r="AL138" s="14" t="n">
        <v>6.802</v>
      </c>
      <c r="AM138" s="14" t="n">
        <v>0</v>
      </c>
      <c r="AN138" s="14" t="n">
        <v>14.686</v>
      </c>
      <c r="AO138" s="14" t="n">
        <v>0.15</v>
      </c>
      <c r="AP138" s="14" t="n">
        <v>1</v>
      </c>
      <c r="AQ138" s="14" t="n">
        <v>0.619</v>
      </c>
      <c r="AR138" s="14" t="n">
        <v>0.114</v>
      </c>
      <c r="AS138" s="14" t="n">
        <v>0.548</v>
      </c>
      <c r="AT138" s="14" t="n">
        <v>1.342</v>
      </c>
      <c r="AU138" s="14" t="n">
        <v>0.15</v>
      </c>
      <c r="AV138" s="14" t="n">
        <v>1</v>
      </c>
      <c r="AW138" s="14" t="n">
        <v>0.599</v>
      </c>
      <c r="AX138" s="14" t="n">
        <v>0.114</v>
      </c>
      <c r="AY138" s="14" t="n">
        <v>0.312</v>
      </c>
      <c r="AZ138" s="14" t="n">
        <v>1.048</v>
      </c>
      <c r="BA138" s="14" t="n">
        <v>0.15</v>
      </c>
      <c r="BB138" s="14" t="n">
        <v>1</v>
      </c>
      <c r="BC138" s="14" t="n">
        <v>0.439</v>
      </c>
      <c r="BD138" s="14" t="n">
        <v>0.114</v>
      </c>
      <c r="BE138" s="14" t="n">
        <v>0.311</v>
      </c>
      <c r="BF138" s="14" t="n">
        <v>0.863</v>
      </c>
      <c r="BG138" s="14" t="n">
        <v>0.15</v>
      </c>
      <c r="BH138" s="14" t="n">
        <v>1</v>
      </c>
      <c r="BI138" s="14" t="n">
        <v>0.505</v>
      </c>
      <c r="BJ138" s="14" t="n">
        <v>0.114</v>
      </c>
      <c r="BK138" s="14" t="n">
        <v>0.258</v>
      </c>
      <c r="BL138" s="14" t="n">
        <v>0.877</v>
      </c>
      <c r="BM138" s="14" t="n">
        <v>0.15</v>
      </c>
      <c r="BN138" s="14" t="n">
        <v>1</v>
      </c>
      <c r="BO138" s="14" t="n">
        <v>0</v>
      </c>
      <c r="BP138" s="14" t="n">
        <v>0</v>
      </c>
      <c r="BQ138" s="14" t="n">
        <v>0.234</v>
      </c>
      <c r="BR138" s="14" t="n">
        <v>0</v>
      </c>
      <c r="BS138" s="14" t="n">
        <v>0.5</v>
      </c>
      <c r="BT138" s="14" t="n">
        <v>0</v>
      </c>
      <c r="BU138" s="14" t="n">
        <v>0</v>
      </c>
      <c r="BV138" s="14" t="n">
        <v>0.289</v>
      </c>
      <c r="BW138" s="14" t="n">
        <v>0.15</v>
      </c>
      <c r="BX138" s="14" t="n">
        <v>0.833</v>
      </c>
      <c r="BY138" s="14" t="n">
        <v>11.787</v>
      </c>
      <c r="BZ138" s="14" t="n">
        <v>0</v>
      </c>
      <c r="CA138" s="14" t="n">
        <v>11.787</v>
      </c>
      <c r="CB138" s="14" t="n">
        <v>0</v>
      </c>
      <c r="CC138" s="14" t="n">
        <v>78.125</v>
      </c>
      <c r="CD138" s="14" t="n">
        <v>7.95</v>
      </c>
      <c r="CE138" s="14" t="n">
        <v>21.469</v>
      </c>
      <c r="CF138" s="14" t="n">
        <v>114.533</v>
      </c>
      <c r="CG138" s="14" t="n">
        <v>0.15</v>
      </c>
      <c r="CH138" s="14" t="n">
        <v>1</v>
      </c>
      <c r="CI138" s="14" t="n">
        <v>0</v>
      </c>
      <c r="CJ138" s="14" t="n">
        <v>0</v>
      </c>
      <c r="CK138" s="14" t="n">
        <v>0</v>
      </c>
      <c r="CL138" s="14" t="n">
        <v>0</v>
      </c>
      <c r="CM138" s="14" t="n">
        <v>0</v>
      </c>
      <c r="CN138" s="14" t="n">
        <v>0</v>
      </c>
      <c r="CO138" s="14" t="n">
        <v>0</v>
      </c>
      <c r="CP138" s="14" t="n">
        <v>0</v>
      </c>
      <c r="CQ138" s="14" t="n">
        <v>1.198</v>
      </c>
      <c r="CR138" s="14" t="n">
        <v>0</v>
      </c>
      <c r="CS138" s="14" t="n">
        <v>4.776</v>
      </c>
      <c r="CT138" s="14" t="n">
        <v>4.753</v>
      </c>
      <c r="CU138" s="14" t="n">
        <v>15.162</v>
      </c>
    </row>
    <row r="139">
      <c r="A139" s="14" t="inlineStr">
        <is>
          <t>CPV2022</t>
        </is>
      </c>
      <c r="B139" s="14" t="inlineStr">
        <is>
          <t>CPV</t>
        </is>
      </c>
      <c r="C139" s="14" t="inlineStr">
        <is>
          <t>CPV</t>
        </is>
      </c>
      <c r="D139" s="14" t="inlineStr">
        <is>
          <t>Cabo Verde</t>
        </is>
      </c>
      <c r="E139" s="14" t="n">
        <v>2022</v>
      </c>
      <c r="F139" s="14" t="n">
        <v>0.15</v>
      </c>
      <c r="G139" s="14" t="n">
        <v>11.72</v>
      </c>
      <c r="H139" s="14" t="n">
        <v>1.235</v>
      </c>
      <c r="I139" s="14" t="n">
        <v>0</v>
      </c>
      <c r="J139" s="14" t="n">
        <v>11.72</v>
      </c>
      <c r="K139" s="14" t="n">
        <v>0</v>
      </c>
      <c r="L139" s="14" t="n">
        <v>1</v>
      </c>
      <c r="M139" s="14" t="n">
        <v>9.782999999999999</v>
      </c>
      <c r="N139" s="14" t="n">
        <v>3.704</v>
      </c>
      <c r="O139" s="14" t="n">
        <v>0</v>
      </c>
      <c r="P139" s="14" t="n">
        <v>9.782999999999999</v>
      </c>
      <c r="Q139" s="14" t="n">
        <v>0</v>
      </c>
      <c r="R139" s="14" t="n">
        <v>1</v>
      </c>
      <c r="S139" s="14" t="n">
        <v>17.893</v>
      </c>
      <c r="T139" s="14" t="n">
        <v>7.408</v>
      </c>
      <c r="U139" s="14" t="n">
        <v>0.199</v>
      </c>
      <c r="V139" s="14" t="n">
        <v>20.577</v>
      </c>
      <c r="W139" s="14" t="n">
        <v>0.15</v>
      </c>
      <c r="X139" s="14" t="n">
        <v>1</v>
      </c>
      <c r="Y139" s="14" t="n">
        <v>5.853</v>
      </c>
      <c r="Z139" s="14" t="n">
        <v>0.791</v>
      </c>
      <c r="AA139" s="14" t="n">
        <v>0</v>
      </c>
      <c r="AB139" s="14" t="n">
        <v>5.853</v>
      </c>
      <c r="AC139" s="14" t="n">
        <v>0</v>
      </c>
      <c r="AD139" s="14" t="n">
        <v>1</v>
      </c>
      <c r="AE139" s="14" t="n">
        <v>7.088</v>
      </c>
      <c r="AF139" s="14" t="n">
        <v>1.657</v>
      </c>
      <c r="AG139" s="14" t="n">
        <v>0</v>
      </c>
      <c r="AH139" s="14" t="n">
        <v>7.088</v>
      </c>
      <c r="AI139" s="14" t="n">
        <v>0</v>
      </c>
      <c r="AJ139" s="14" t="n">
        <v>1</v>
      </c>
      <c r="AK139" s="14" t="n">
        <v>14.496</v>
      </c>
      <c r="AL139" s="14" t="n">
        <v>7.72</v>
      </c>
      <c r="AM139" s="14" t="n">
        <v>0.161</v>
      </c>
      <c r="AN139" s="14" t="n">
        <v>16.67</v>
      </c>
      <c r="AO139" s="14" t="n">
        <v>0.15</v>
      </c>
      <c r="AP139" s="14" t="n">
        <v>1</v>
      </c>
      <c r="AQ139" s="14" t="n">
        <v>0.861</v>
      </c>
      <c r="AR139" s="14" t="n">
        <v>0.123</v>
      </c>
      <c r="AS139" s="14" t="n">
        <v>0.462</v>
      </c>
      <c r="AT139" s="14" t="n">
        <v>1.522</v>
      </c>
      <c r="AU139" s="14" t="n">
        <v>0.15</v>
      </c>
      <c r="AV139" s="14" t="n">
        <v>1</v>
      </c>
      <c r="AW139" s="14" t="n">
        <v>0.986</v>
      </c>
      <c r="AX139" s="14" t="n">
        <v>0.123</v>
      </c>
      <c r="AY139" s="14" t="n">
        <v>0.263</v>
      </c>
      <c r="AZ139" s="14" t="n">
        <v>1.437</v>
      </c>
      <c r="BA139" s="14" t="n">
        <v>0.15</v>
      </c>
      <c r="BB139" s="14" t="n">
        <v>1</v>
      </c>
      <c r="BC139" s="14" t="n">
        <v>0.598</v>
      </c>
      <c r="BD139" s="14" t="n">
        <v>0.123</v>
      </c>
      <c r="BE139" s="14" t="n">
        <v>0.187</v>
      </c>
      <c r="BF139" s="14" t="n">
        <v>0.902</v>
      </c>
      <c r="BG139" s="14" t="n">
        <v>0.15</v>
      </c>
      <c r="BH139" s="14" t="n">
        <v>1</v>
      </c>
      <c r="BI139" s="14" t="n">
        <v>0.612</v>
      </c>
      <c r="BJ139" s="14" t="n">
        <v>0.123</v>
      </c>
      <c r="BK139" s="14" t="n">
        <v>0.611</v>
      </c>
      <c r="BL139" s="14" t="n">
        <v>1.407</v>
      </c>
      <c r="BM139" s="14" t="n">
        <v>0.15</v>
      </c>
      <c r="BN139" s="14" t="n">
        <v>1</v>
      </c>
      <c r="BO139" s="14" t="n">
        <v>0</v>
      </c>
      <c r="BP139" s="14" t="n">
        <v>0</v>
      </c>
      <c r="BQ139" s="14" t="n">
        <v>0.194</v>
      </c>
      <c r="BR139" s="14" t="n">
        <v>0</v>
      </c>
      <c r="BS139" s="14" t="n">
        <v>0.5</v>
      </c>
      <c r="BT139" s="14" t="n">
        <v>0</v>
      </c>
      <c r="BU139" s="14" t="n">
        <v>0</v>
      </c>
      <c r="BV139" s="14" t="n">
        <v>0.303</v>
      </c>
      <c r="BW139" s="14" t="n">
        <v>0.08</v>
      </c>
      <c r="BX139" s="14" t="n">
        <v>0.833</v>
      </c>
      <c r="BY139" s="14" t="n">
        <v>12.729</v>
      </c>
      <c r="BZ139" s="14" t="n">
        <v>0</v>
      </c>
      <c r="CA139" s="14" t="n">
        <v>12.729</v>
      </c>
      <c r="CB139" s="14" t="n">
        <v>0</v>
      </c>
      <c r="CC139" s="14" t="n">
        <v>97.90000000000001</v>
      </c>
      <c r="CD139" s="14" t="n">
        <v>7.95</v>
      </c>
      <c r="CE139" s="14" t="n">
        <v>26.176</v>
      </c>
      <c r="CF139" s="14" t="n">
        <v>142.687</v>
      </c>
      <c r="CG139" s="14" t="n">
        <v>0.15</v>
      </c>
      <c r="CH139" s="14" t="n">
        <v>1</v>
      </c>
      <c r="CI139" s="14" t="n">
        <v>0</v>
      </c>
      <c r="CJ139" s="14" t="n">
        <v>0</v>
      </c>
      <c r="CK139" s="14" t="n">
        <v>0</v>
      </c>
      <c r="CL139" s="14" t="n">
        <v>0</v>
      </c>
      <c r="CM139" s="14" t="n">
        <v>0</v>
      </c>
      <c r="CN139" s="14" t="n">
        <v>0</v>
      </c>
      <c r="CO139" s="14" t="n">
        <v>0</v>
      </c>
      <c r="CP139" s="14" t="n">
        <v>0</v>
      </c>
      <c r="CQ139" s="14" t="n">
        <v>1.294</v>
      </c>
      <c r="CR139" s="14" t="n">
        <v>0</v>
      </c>
      <c r="CS139" s="14" t="n">
        <v>5.158</v>
      </c>
      <c r="CT139" s="14" t="n">
        <v>10.485</v>
      </c>
      <c r="CU139" s="14" t="n">
        <v>31.326</v>
      </c>
    </row>
    <row r="140">
      <c r="A140" s="14" t="inlineStr">
        <is>
          <t>CPV2023</t>
        </is>
      </c>
      <c r="B140" s="14" t="inlineStr">
        <is>
          <t>CPV</t>
        </is>
      </c>
      <c r="C140" s="14" t="inlineStr">
        <is>
          <t>CPV</t>
        </is>
      </c>
      <c r="D140" s="14" t="inlineStr">
        <is>
          <t>Cabo Verde</t>
        </is>
      </c>
      <c r="E140" s="14" t="n">
        <v>2023</v>
      </c>
      <c r="F140" s="14" t="n">
        <v>0.15</v>
      </c>
      <c r="G140" s="14" t="n">
        <v>6.147</v>
      </c>
      <c r="H140" s="14" t="n">
        <v>1.286</v>
      </c>
      <c r="I140" s="14" t="n">
        <v>0</v>
      </c>
      <c r="J140" s="14" t="n">
        <v>6.147</v>
      </c>
      <c r="K140" s="14" t="n">
        <v>0</v>
      </c>
      <c r="L140" s="14" t="n">
        <v>1</v>
      </c>
      <c r="M140" s="14" t="n">
        <v>7.886</v>
      </c>
      <c r="N140" s="14" t="n">
        <v>3.857</v>
      </c>
      <c r="O140" s="14" t="n">
        <v>0</v>
      </c>
      <c r="P140" s="14" t="n">
        <v>7.886</v>
      </c>
      <c r="Q140" s="14" t="n">
        <v>0</v>
      </c>
      <c r="R140" s="14" t="n">
        <v>1</v>
      </c>
      <c r="S140" s="14" t="n">
        <v>12.575</v>
      </c>
      <c r="T140" s="14" t="n">
        <v>7.714</v>
      </c>
      <c r="U140" s="14" t="n">
        <v>0.209</v>
      </c>
      <c r="V140" s="14" t="n">
        <v>14.461</v>
      </c>
      <c r="W140" s="14" t="n">
        <v>0.15</v>
      </c>
      <c r="X140" s="14" t="n">
        <v>1</v>
      </c>
      <c r="Y140" s="14" t="n">
        <v>9.028</v>
      </c>
      <c r="Z140" s="14" t="n">
        <v>1.22</v>
      </c>
      <c r="AA140" s="14" t="n">
        <v>0</v>
      </c>
      <c r="AB140" s="14" t="n">
        <v>9.028</v>
      </c>
      <c r="AC140" s="14" t="n">
        <v>0</v>
      </c>
      <c r="AD140" s="14" t="n">
        <v>1</v>
      </c>
      <c r="AE140" s="14" t="n">
        <v>10.314</v>
      </c>
      <c r="AF140" s="14" t="n">
        <v>2.412</v>
      </c>
      <c r="AG140" s="14" t="n">
        <v>0</v>
      </c>
      <c r="AH140" s="14" t="n">
        <v>10.314</v>
      </c>
      <c r="AI140" s="14" t="n">
        <v>0</v>
      </c>
      <c r="AJ140" s="14" t="n">
        <v>1</v>
      </c>
      <c r="AK140" s="14" t="n">
        <v>18.028</v>
      </c>
      <c r="AL140" s="14" t="n">
        <v>9.602</v>
      </c>
      <c r="AM140" s="14" t="n">
        <v>0.299</v>
      </c>
      <c r="AN140" s="14" t="n">
        <v>20.732</v>
      </c>
      <c r="AO140" s="14" t="n">
        <v>0.15</v>
      </c>
      <c r="AP140" s="14" t="n">
        <v>1</v>
      </c>
      <c r="AQ140" s="14" t="n">
        <v>0.76</v>
      </c>
      <c r="AR140" s="14" t="n">
        <v>0.129</v>
      </c>
      <c r="AS140" s="14" t="n">
        <v>0.469</v>
      </c>
      <c r="AT140" s="14" t="n">
        <v>1.414</v>
      </c>
      <c r="AU140" s="14" t="n">
        <v>0.15</v>
      </c>
      <c r="AV140" s="14" t="n">
        <v>1</v>
      </c>
      <c r="AW140" s="14" t="n">
        <v>0.8110000000000001</v>
      </c>
      <c r="AX140" s="14" t="n">
        <v>0.129</v>
      </c>
      <c r="AY140" s="14" t="n">
        <v>0.317</v>
      </c>
      <c r="AZ140" s="14" t="n">
        <v>1.297</v>
      </c>
      <c r="BA140" s="14" t="n">
        <v>0.15</v>
      </c>
      <c r="BB140" s="14" t="n">
        <v>1</v>
      </c>
      <c r="BC140" s="14" t="n">
        <v>0.535</v>
      </c>
      <c r="BD140" s="14" t="n">
        <v>0.129</v>
      </c>
      <c r="BE140" s="14" t="n">
        <v>0.157</v>
      </c>
      <c r="BF140" s="14" t="n">
        <v>0.795</v>
      </c>
      <c r="BG140" s="14" t="n">
        <v>0.15</v>
      </c>
      <c r="BH140" s="14" t="n">
        <v>1</v>
      </c>
      <c r="BI140" s="14" t="n">
        <v>0.579</v>
      </c>
      <c r="BJ140" s="14" t="n">
        <v>0.129</v>
      </c>
      <c r="BK140" s="14" t="n">
        <v>0.668</v>
      </c>
      <c r="BL140" s="14" t="n">
        <v>1.434</v>
      </c>
      <c r="BM140" s="14" t="n">
        <v>0.15</v>
      </c>
      <c r="BN140" s="14" t="n">
        <v>1</v>
      </c>
      <c r="BO140" s="14" t="n">
        <v>0</v>
      </c>
      <c r="BP140" s="14" t="n">
        <v>0</v>
      </c>
      <c r="BQ140" s="14" t="n">
        <v>0.199</v>
      </c>
      <c r="BR140" s="14" t="n">
        <v>0</v>
      </c>
      <c r="BS140" s="14" t="n">
        <v>0.5</v>
      </c>
      <c r="BT140" s="14" t="n">
        <v>0</v>
      </c>
      <c r="BU140" s="14" t="n">
        <v>0</v>
      </c>
      <c r="BV140" s="14" t="n">
        <v>0.312</v>
      </c>
      <c r="BW140" s="14" t="n">
        <v>0.08</v>
      </c>
      <c r="BX140" s="14" t="n">
        <v>0.833</v>
      </c>
      <c r="BY140" s="14" t="n">
        <v>13.254</v>
      </c>
      <c r="BZ140" s="14" t="n">
        <v>0</v>
      </c>
      <c r="CA140" s="14" t="n">
        <v>13.254</v>
      </c>
      <c r="CB140" s="14" t="n">
        <v>0</v>
      </c>
      <c r="CC140" s="14" t="n">
        <v>83.248</v>
      </c>
      <c r="CD140" s="14" t="n">
        <v>7.95</v>
      </c>
      <c r="CE140" s="14" t="n">
        <v>23.129</v>
      </c>
      <c r="CF140" s="14" t="n">
        <v>122.334</v>
      </c>
      <c r="CG140" s="14" t="n">
        <v>0.15</v>
      </c>
      <c r="CH140" s="14" t="n">
        <v>1</v>
      </c>
      <c r="CI140" s="14" t="n">
        <v>0</v>
      </c>
      <c r="CJ140" s="14" t="n">
        <v>0</v>
      </c>
      <c r="CK140" s="14" t="n">
        <v>0</v>
      </c>
      <c r="CL140" s="14" t="n">
        <v>0</v>
      </c>
      <c r="CM140" s="14" t="n">
        <v>0</v>
      </c>
      <c r="CN140" s="14" t="n">
        <v>0</v>
      </c>
      <c r="CO140" s="14" t="n">
        <v>0</v>
      </c>
      <c r="CP140" s="14" t="n">
        <v>0</v>
      </c>
      <c r="CQ140" s="14" t="n">
        <v>1.348</v>
      </c>
      <c r="CR140" s="14" t="n">
        <v>0</v>
      </c>
      <c r="CS140" s="14" t="n">
        <v>5.37</v>
      </c>
      <c r="CT140" s="14" t="n">
        <v>4.861</v>
      </c>
      <c r="CU140" s="14" t="n">
        <v>11.622</v>
      </c>
    </row>
    <row r="141">
      <c r="A141" s="14" t="inlineStr">
        <is>
          <t>CPV2024</t>
        </is>
      </c>
      <c r="B141" s="14" t="inlineStr">
        <is>
          <t>CPV</t>
        </is>
      </c>
      <c r="C141" s="14" t="inlineStr">
        <is>
          <t>CPV</t>
        </is>
      </c>
      <c r="D141" s="14" t="inlineStr">
        <is>
          <t>Cabo Verde</t>
        </is>
      </c>
      <c r="E141" s="14" t="n">
        <v>2024</v>
      </c>
      <c r="F141" s="14" t="n">
        <v>0.15</v>
      </c>
      <c r="G141" s="14" t="n">
        <v>5.575</v>
      </c>
      <c r="H141" s="14" t="n">
        <v>1.324</v>
      </c>
      <c r="I141" s="14" t="n">
        <v>0</v>
      </c>
      <c r="J141" s="14" t="n">
        <v>5.575</v>
      </c>
      <c r="K141" s="14" t="n">
        <v>0</v>
      </c>
      <c r="L141" s="14" t="n">
        <v>1</v>
      </c>
      <c r="M141" s="14" t="n">
        <v>7.124</v>
      </c>
      <c r="N141" s="14" t="n">
        <v>3.971</v>
      </c>
      <c r="O141" s="14" t="n">
        <v>0</v>
      </c>
      <c r="P141" s="14" t="n">
        <v>7.124</v>
      </c>
      <c r="Q141" s="14" t="n">
        <v>0</v>
      </c>
      <c r="R141" s="14" t="n">
        <v>1</v>
      </c>
      <c r="S141" s="14" t="n">
        <v>12.193</v>
      </c>
      <c r="T141" s="14" t="n">
        <v>7.942</v>
      </c>
      <c r="U141" s="14" t="n">
        <v>0.249</v>
      </c>
      <c r="V141" s="14" t="n">
        <v>14.022</v>
      </c>
      <c r="W141" s="14" t="n">
        <v>0.15</v>
      </c>
      <c r="X141" s="14" t="n">
        <v>1</v>
      </c>
      <c r="Y141" s="14" t="n">
        <v>8.521000000000001</v>
      </c>
      <c r="Z141" s="14" t="n">
        <v>1.152</v>
      </c>
      <c r="AA141" s="14" t="n">
        <v>0</v>
      </c>
      <c r="AB141" s="14" t="n">
        <v>8.521000000000001</v>
      </c>
      <c r="AC141" s="14" t="n">
        <v>0</v>
      </c>
      <c r="AD141" s="14" t="n">
        <v>1</v>
      </c>
      <c r="AE141" s="14" t="n">
        <v>9.843999999999999</v>
      </c>
      <c r="AF141" s="14" t="n">
        <v>2.302</v>
      </c>
      <c r="AG141" s="14" t="n">
        <v>0</v>
      </c>
      <c r="AH141" s="14" t="n">
        <v>9.843999999999999</v>
      </c>
      <c r="AI141" s="14" t="n">
        <v>0</v>
      </c>
      <c r="AJ141" s="14" t="n">
        <v>1</v>
      </c>
      <c r="AK141" s="14" t="n">
        <v>17.786</v>
      </c>
      <c r="AL141" s="14" t="n">
        <v>9.473000000000001</v>
      </c>
      <c r="AM141" s="14" t="n">
        <v>0.363</v>
      </c>
      <c r="AN141" s="14" t="n">
        <v>20.454</v>
      </c>
      <c r="AO141" s="14" t="n">
        <v>0.15</v>
      </c>
      <c r="AP141" s="14" t="n">
        <v>1</v>
      </c>
      <c r="AQ141" s="14" t="n">
        <v>0.724</v>
      </c>
      <c r="AR141" s="14" t="n">
        <v>0.132</v>
      </c>
      <c r="AS141" s="14" t="n">
        <v>0.459</v>
      </c>
      <c r="AT141" s="14" t="n">
        <v>1.361</v>
      </c>
      <c r="AU141" s="14" t="n">
        <v>0.15</v>
      </c>
      <c r="AV141" s="14" t="n">
        <v>1</v>
      </c>
      <c r="AW141" s="14" t="n">
        <v>0.75</v>
      </c>
      <c r="AX141" s="14" t="n">
        <v>0.132</v>
      </c>
      <c r="AY141" s="14" t="n">
        <v>0.289</v>
      </c>
      <c r="AZ141" s="14" t="n">
        <v>1.195</v>
      </c>
      <c r="BA141" s="14" t="n">
        <v>0.15</v>
      </c>
      <c r="BB141" s="14" t="n">
        <v>1</v>
      </c>
      <c r="BC141" s="14" t="n">
        <v>0.513</v>
      </c>
      <c r="BD141" s="14" t="n">
        <v>0.132</v>
      </c>
      <c r="BE141" s="14" t="n">
        <v>0.188</v>
      </c>
      <c r="BF141" s="14" t="n">
        <v>0.806</v>
      </c>
      <c r="BG141" s="14" t="n">
        <v>0.15</v>
      </c>
      <c r="BH141" s="14" t="n">
        <v>1</v>
      </c>
      <c r="BI141" s="14" t="n">
        <v>0.591</v>
      </c>
      <c r="BJ141" s="14" t="n">
        <v>0.132</v>
      </c>
      <c r="BK141" s="14" t="n">
        <v>0.5659999999999999</v>
      </c>
      <c r="BL141" s="14" t="n">
        <v>1.331</v>
      </c>
      <c r="BM141" s="14" t="n">
        <v>0.15</v>
      </c>
      <c r="BN141" s="14" t="n">
        <v>1</v>
      </c>
      <c r="BO141" s="14" t="n">
        <v>0</v>
      </c>
      <c r="BP141" s="14" t="n">
        <v>0</v>
      </c>
      <c r="BQ141" s="14" t="n">
        <v>0.199</v>
      </c>
      <c r="BR141" s="14" t="n">
        <v>0</v>
      </c>
      <c r="BS141" s="14" t="n">
        <v>0.5</v>
      </c>
      <c r="BT141" s="14" t="n">
        <v>0</v>
      </c>
      <c r="BU141" s="14" t="n">
        <v>0</v>
      </c>
      <c r="BV141" s="14" t="n">
        <v>0.352</v>
      </c>
      <c r="BW141" s="14" t="n">
        <v>0.08</v>
      </c>
      <c r="BX141" s="14" t="n">
        <v>0.833</v>
      </c>
      <c r="BY141" s="14" t="n">
        <v>13.646</v>
      </c>
      <c r="BZ141" s="14" t="n">
        <v>0</v>
      </c>
      <c r="CA141" s="14" t="n">
        <v>13.646</v>
      </c>
      <c r="CB141" s="14" t="n">
        <v>0</v>
      </c>
      <c r="CC141" s="14" t="n">
        <v>82.58799999999999</v>
      </c>
      <c r="CD141" s="14" t="n">
        <v>7.95</v>
      </c>
      <c r="CE141" s="14" t="n">
        <v>19.848</v>
      </c>
      <c r="CF141" s="14" t="n">
        <v>117.802</v>
      </c>
      <c r="CG141" s="14" t="n">
        <v>0.15</v>
      </c>
      <c r="CH141" s="14" t="n">
        <v>1</v>
      </c>
      <c r="CI141" s="14" t="n">
        <v>0</v>
      </c>
      <c r="CJ141" s="14" t="n">
        <v>0</v>
      </c>
      <c r="CK141" s="14" t="n">
        <v>0</v>
      </c>
      <c r="CL141" s="14" t="n">
        <v>0</v>
      </c>
      <c r="CM141" s="14" t="n">
        <v>0</v>
      </c>
      <c r="CN141" s="14" t="n">
        <v>0</v>
      </c>
      <c r="CO141" s="14" t="n">
        <v>0</v>
      </c>
      <c r="CP141" s="14" t="n">
        <v>0</v>
      </c>
      <c r="CQ141" s="14" t="n">
        <v>1.387</v>
      </c>
      <c r="CR141" s="14" t="n">
        <v>0</v>
      </c>
      <c r="CS141" s="14" t="n">
        <v>5.529</v>
      </c>
      <c r="CT141" s="14" t="n">
        <v>4.251</v>
      </c>
      <c r="CU141" s="14" t="n">
        <v>10.168</v>
      </c>
    </row>
    <row r="142">
      <c r="A142" s="14" t="inlineStr">
        <is>
          <t>KHM2021</t>
        </is>
      </c>
      <c r="B142" s="14" t="inlineStr">
        <is>
          <t>KHM</t>
        </is>
      </c>
      <c r="C142" s="14" t="inlineStr">
        <is>
          <t>KHM</t>
        </is>
      </c>
      <c r="D142" s="14" t="inlineStr">
        <is>
          <t>Cambodia</t>
        </is>
      </c>
      <c r="E142" s="14" t="n">
        <v>2021</v>
      </c>
      <c r="F142" s="14" t="n">
        <v>0.1</v>
      </c>
      <c r="G142" s="14" t="n">
        <v>4.733</v>
      </c>
      <c r="H142" s="14" t="n">
        <v>1.141</v>
      </c>
      <c r="I142" s="14" t="n">
        <v>0</v>
      </c>
      <c r="J142" s="14" t="n">
        <v>4.733</v>
      </c>
      <c r="K142" s="14" t="n">
        <v>0</v>
      </c>
      <c r="L142" s="14" t="n">
        <v>1</v>
      </c>
      <c r="M142" s="14" t="n">
        <v>7.94</v>
      </c>
      <c r="N142" s="14" t="n">
        <v>3.422</v>
      </c>
      <c r="O142" s="14" t="n">
        <v>0</v>
      </c>
      <c r="P142" s="14" t="n">
        <v>7.94</v>
      </c>
      <c r="Q142" s="14" t="n">
        <v>0</v>
      </c>
      <c r="R142" s="14" t="n">
        <v>1</v>
      </c>
      <c r="S142" s="14" t="n">
        <v>10.436</v>
      </c>
      <c r="T142" s="14" t="n">
        <v>6.843</v>
      </c>
      <c r="U142" s="14" t="n">
        <v>0</v>
      </c>
      <c r="V142" s="14" t="n">
        <v>11.479</v>
      </c>
      <c r="W142" s="14" t="n">
        <v>0.1</v>
      </c>
      <c r="X142" s="14" t="n">
        <v>1</v>
      </c>
      <c r="Y142" s="14" t="n">
        <v>10.551</v>
      </c>
      <c r="Z142" s="14" t="n">
        <v>1.302</v>
      </c>
      <c r="AA142" s="14" t="n">
        <v>0</v>
      </c>
      <c r="AB142" s="14" t="n">
        <v>10.551</v>
      </c>
      <c r="AC142" s="14" t="n">
        <v>0</v>
      </c>
      <c r="AD142" s="14" t="n">
        <v>1</v>
      </c>
      <c r="AE142" s="14" t="n">
        <v>11.694</v>
      </c>
      <c r="AF142" s="14" t="n">
        <v>2.549</v>
      </c>
      <c r="AG142" s="14" t="n">
        <v>0</v>
      </c>
      <c r="AH142" s="14" t="n">
        <v>11.694</v>
      </c>
      <c r="AI142" s="14" t="n">
        <v>0</v>
      </c>
      <c r="AJ142" s="14" t="n">
        <v>1</v>
      </c>
      <c r="AK142" s="14" t="n">
        <v>18.554</v>
      </c>
      <c r="AL142" s="14" t="n">
        <v>9.627000000000001</v>
      </c>
      <c r="AM142" s="14" t="n">
        <v>0</v>
      </c>
      <c r="AN142" s="14" t="n">
        <v>20.41</v>
      </c>
      <c r="AO142" s="14" t="n">
        <v>0.1</v>
      </c>
      <c r="AP142" s="14" t="n">
        <v>1</v>
      </c>
      <c r="AQ142" s="14" t="n">
        <v>0.621</v>
      </c>
      <c r="AR142" s="14" t="n">
        <v>0.114</v>
      </c>
      <c r="AS142" s="14" t="n">
        <v>0.237</v>
      </c>
      <c r="AT142" s="14" t="n">
        <v>0.9429999999999999</v>
      </c>
      <c r="AU142" s="14" t="n">
        <v>0.1</v>
      </c>
      <c r="AV142" s="14" t="n">
        <v>1</v>
      </c>
      <c r="AW142" s="14" t="n">
        <v>0.593</v>
      </c>
      <c r="AX142" s="14" t="n">
        <v>0.114</v>
      </c>
      <c r="AY142" s="14" t="n">
        <v>0.241</v>
      </c>
      <c r="AZ142" s="14" t="n">
        <v>0.918</v>
      </c>
      <c r="BA142" s="14" t="n">
        <v>0.1</v>
      </c>
      <c r="BB142" s="14" t="n">
        <v>1</v>
      </c>
      <c r="BC142" s="14" t="n">
        <v>0.44</v>
      </c>
      <c r="BD142" s="14" t="n">
        <v>0.114</v>
      </c>
      <c r="BE142" s="14" t="n">
        <v>0.049</v>
      </c>
      <c r="BF142" s="14" t="n">
        <v>0.537</v>
      </c>
      <c r="BG142" s="14" t="n">
        <v>0.1</v>
      </c>
      <c r="BH142" s="14" t="n">
        <v>1</v>
      </c>
      <c r="BI142" s="14" t="n">
        <v>0.5600000000000001</v>
      </c>
      <c r="BJ142" s="14" t="n">
        <v>0.114</v>
      </c>
      <c r="BK142" s="14" t="n">
        <v>0</v>
      </c>
      <c r="BL142" s="14" t="n">
        <v>0.616</v>
      </c>
      <c r="BM142" s="14" t="n">
        <v>0.1</v>
      </c>
      <c r="BN142" s="14" t="n">
        <v>1</v>
      </c>
      <c r="BO142" s="14" t="n">
        <v>0</v>
      </c>
      <c r="BP142" s="14" t="n">
        <v>0</v>
      </c>
      <c r="BQ142" s="14" t="n">
        <v>0.158</v>
      </c>
      <c r="BR142" s="14" t="n">
        <v>0</v>
      </c>
      <c r="BS142" s="14" t="n">
        <v>0.5</v>
      </c>
      <c r="BT142" s="14" t="n">
        <v>0</v>
      </c>
      <c r="BU142" s="14" t="n">
        <v>0</v>
      </c>
      <c r="BV142" s="14" t="n">
        <v>0.118</v>
      </c>
      <c r="BW142" s="14" t="n">
        <v>0.1</v>
      </c>
      <c r="BX142" s="14" t="n">
        <v>0.667</v>
      </c>
      <c r="BY142" s="14" t="n">
        <v>11.787</v>
      </c>
      <c r="BZ142" s="14" t="n">
        <v>0</v>
      </c>
      <c r="CA142" s="14" t="n">
        <v>11.787</v>
      </c>
      <c r="CB142" s="14" t="n">
        <v>0</v>
      </c>
      <c r="CC142" s="14" t="n">
        <v>81.69499999999999</v>
      </c>
      <c r="CD142" s="14" t="n">
        <v>7.95</v>
      </c>
      <c r="CE142" s="14" t="n">
        <v>0</v>
      </c>
      <c r="CF142" s="14" t="n">
        <v>89.86499999999999</v>
      </c>
      <c r="CG142" s="14" t="n">
        <v>0.1</v>
      </c>
      <c r="CH142" s="14" t="n">
        <v>1</v>
      </c>
      <c r="CI142" s="14" t="n">
        <v>0</v>
      </c>
      <c r="CJ142" s="14" t="n">
        <v>0</v>
      </c>
      <c r="CK142" s="14" t="n">
        <v>0</v>
      </c>
      <c r="CL142" s="14" t="n">
        <v>0</v>
      </c>
      <c r="CM142" s="14" t="n">
        <v>0</v>
      </c>
      <c r="CN142" s="14" t="n">
        <v>0</v>
      </c>
      <c r="CO142" s="14" t="n">
        <v>0</v>
      </c>
      <c r="CP142" s="14" t="n">
        <v>0.005</v>
      </c>
      <c r="CQ142" s="14" t="n">
        <v>1.198</v>
      </c>
      <c r="CR142" s="14" t="n">
        <v>0</v>
      </c>
      <c r="CS142" s="14" t="n">
        <v>4.776</v>
      </c>
      <c r="CT142" s="14" t="n">
        <v>3.604</v>
      </c>
      <c r="CU142" s="14" t="n">
        <v>9.407999999999999</v>
      </c>
    </row>
    <row r="143">
      <c r="A143" s="14" t="inlineStr">
        <is>
          <t>KHM2022</t>
        </is>
      </c>
      <c r="B143" s="14" t="inlineStr">
        <is>
          <t>KHM</t>
        </is>
      </c>
      <c r="C143" s="14" t="inlineStr">
        <is>
          <t>KHM</t>
        </is>
      </c>
      <c r="D143" s="14" t="inlineStr">
        <is>
          <t>Cambodia</t>
        </is>
      </c>
      <c r="E143" s="14" t="n">
        <v>2022</v>
      </c>
      <c r="F143" s="14" t="n">
        <v>0.1</v>
      </c>
      <c r="G143" s="14" t="n">
        <v>8.752000000000001</v>
      </c>
      <c r="H143" s="14" t="n">
        <v>1.231</v>
      </c>
      <c r="I143" s="14" t="n">
        <v>0</v>
      </c>
      <c r="J143" s="14" t="n">
        <v>8.752000000000001</v>
      </c>
      <c r="K143" s="14" t="n">
        <v>0</v>
      </c>
      <c r="L143" s="14" t="n">
        <v>1</v>
      </c>
      <c r="M143" s="14" t="n">
        <v>9.747999999999999</v>
      </c>
      <c r="N143" s="14" t="n">
        <v>3.694</v>
      </c>
      <c r="O143" s="14" t="n">
        <v>0</v>
      </c>
      <c r="P143" s="14" t="n">
        <v>9.747999999999999</v>
      </c>
      <c r="Q143" s="14" t="n">
        <v>0</v>
      </c>
      <c r="R143" s="14" t="n">
        <v>1</v>
      </c>
      <c r="S143" s="14" t="n">
        <v>14.91</v>
      </c>
      <c r="T143" s="14" t="n">
        <v>7.389</v>
      </c>
      <c r="U143" s="14" t="n">
        <v>0.11</v>
      </c>
      <c r="V143" s="14" t="n">
        <v>16.401</v>
      </c>
      <c r="W143" s="14" t="n">
        <v>0.1</v>
      </c>
      <c r="X143" s="14" t="n">
        <v>1</v>
      </c>
      <c r="Y143" s="14" t="n">
        <v>17.332</v>
      </c>
      <c r="Z143" s="14" t="n">
        <v>2.139</v>
      </c>
      <c r="AA143" s="14" t="n">
        <v>0</v>
      </c>
      <c r="AB143" s="14" t="n">
        <v>17.332</v>
      </c>
      <c r="AC143" s="14" t="n">
        <v>0</v>
      </c>
      <c r="AD143" s="14" t="n">
        <v>1</v>
      </c>
      <c r="AE143" s="14" t="n">
        <v>18.566</v>
      </c>
      <c r="AF143" s="14" t="n">
        <v>4.048</v>
      </c>
      <c r="AG143" s="14" t="n">
        <v>0</v>
      </c>
      <c r="AH143" s="14" t="n">
        <v>18.566</v>
      </c>
      <c r="AI143" s="14" t="n">
        <v>0</v>
      </c>
      <c r="AJ143" s="14" t="n">
        <v>1</v>
      </c>
      <c r="AK143" s="14" t="n">
        <v>25.974</v>
      </c>
      <c r="AL143" s="14" t="n">
        <v>13.478</v>
      </c>
      <c r="AM143" s="14" t="n">
        <v>0.192</v>
      </c>
      <c r="AN143" s="14" t="n">
        <v>28.572</v>
      </c>
      <c r="AO143" s="14" t="n">
        <v>0.1</v>
      </c>
      <c r="AP143" s="14" t="n">
        <v>1</v>
      </c>
      <c r="AQ143" s="14" t="n">
        <v>0.847</v>
      </c>
      <c r="AR143" s="14" t="n">
        <v>0.123</v>
      </c>
      <c r="AS143" s="14" t="n">
        <v>0.184</v>
      </c>
      <c r="AT143" s="14" t="n">
        <v>1.133</v>
      </c>
      <c r="AU143" s="14" t="n">
        <v>0.1</v>
      </c>
      <c r="AV143" s="14" t="n">
        <v>1</v>
      </c>
      <c r="AW143" s="14" t="n">
        <v>0.947</v>
      </c>
      <c r="AX143" s="14" t="n">
        <v>0.123</v>
      </c>
      <c r="AY143" s="14" t="n">
        <v>0.169</v>
      </c>
      <c r="AZ143" s="14" t="n">
        <v>1.227</v>
      </c>
      <c r="BA143" s="14" t="n">
        <v>0.1</v>
      </c>
      <c r="BB143" s="14" t="n">
        <v>1</v>
      </c>
      <c r="BC143" s="14" t="n">
        <v>0.589</v>
      </c>
      <c r="BD143" s="14" t="n">
        <v>0.123</v>
      </c>
      <c r="BE143" s="14" t="n">
        <v>-0.026</v>
      </c>
      <c r="BF143" s="14" t="n">
        <v>0.619</v>
      </c>
      <c r="BG143" s="14" t="n">
        <v>0.1</v>
      </c>
      <c r="BH143" s="14" t="n">
        <v>1</v>
      </c>
      <c r="BI143" s="14" t="n">
        <v>0.6889999999999999</v>
      </c>
      <c r="BJ143" s="14" t="n">
        <v>0.123</v>
      </c>
      <c r="BK143" s="14" t="n">
        <v>0.005</v>
      </c>
      <c r="BL143" s="14" t="n">
        <v>0.758</v>
      </c>
      <c r="BM143" s="14" t="n">
        <v>0.1</v>
      </c>
      <c r="BN143" s="14" t="n">
        <v>1</v>
      </c>
      <c r="BO143" s="14" t="n">
        <v>0</v>
      </c>
      <c r="BP143" s="14" t="n">
        <v>0</v>
      </c>
      <c r="BQ143" s="14" t="n">
        <v>0.158</v>
      </c>
      <c r="BR143" s="14" t="n">
        <v>0</v>
      </c>
      <c r="BS143" s="14" t="n">
        <v>0.5</v>
      </c>
      <c r="BT143" s="14" t="n">
        <v>0</v>
      </c>
      <c r="BU143" s="14" t="n">
        <v>0</v>
      </c>
      <c r="BV143" s="14" t="n">
        <v>0.117</v>
      </c>
      <c r="BW143" s="14" t="n">
        <v>0.1</v>
      </c>
      <c r="BX143" s="14" t="n">
        <v>0.667</v>
      </c>
      <c r="BY143" s="14" t="n">
        <v>12.729</v>
      </c>
      <c r="BZ143" s="14" t="n">
        <v>0</v>
      </c>
      <c r="CA143" s="14" t="n">
        <v>12.729</v>
      </c>
      <c r="CB143" s="14" t="n">
        <v>0</v>
      </c>
      <c r="CC143" s="14" t="n">
        <v>102.477</v>
      </c>
      <c r="CD143" s="14" t="n">
        <v>7.95</v>
      </c>
      <c r="CE143" s="14" t="n">
        <v>0.758</v>
      </c>
      <c r="CF143" s="14" t="n">
        <v>112.724</v>
      </c>
      <c r="CG143" s="14" t="n">
        <v>0.1</v>
      </c>
      <c r="CH143" s="14" t="n">
        <v>1</v>
      </c>
      <c r="CI143" s="14" t="n">
        <v>0</v>
      </c>
      <c r="CJ143" s="14" t="n">
        <v>0</v>
      </c>
      <c r="CK143" s="14" t="n">
        <v>0</v>
      </c>
      <c r="CL143" s="14" t="n">
        <v>0</v>
      </c>
      <c r="CM143" s="14" t="n">
        <v>0</v>
      </c>
      <c r="CN143" s="14" t="n">
        <v>0</v>
      </c>
      <c r="CO143" s="14" t="n">
        <v>0</v>
      </c>
      <c r="CP143" s="14" t="n">
        <v>0.005</v>
      </c>
      <c r="CQ143" s="14" t="n">
        <v>1.294</v>
      </c>
      <c r="CR143" s="14" t="n">
        <v>0</v>
      </c>
      <c r="CS143" s="14" t="n">
        <v>5.158</v>
      </c>
      <c r="CT143" s="14" t="n">
        <v>7.554</v>
      </c>
      <c r="CU143" s="14" t="n">
        <v>16.097</v>
      </c>
    </row>
    <row r="144">
      <c r="A144" s="14" t="inlineStr">
        <is>
          <t>KHM2023</t>
        </is>
      </c>
      <c r="B144" s="14" t="inlineStr">
        <is>
          <t>KHM</t>
        </is>
      </c>
      <c r="C144" s="14" t="inlineStr">
        <is>
          <t>KHM</t>
        </is>
      </c>
      <c r="D144" s="14" t="inlineStr">
        <is>
          <t>Cambodia</t>
        </is>
      </c>
      <c r="E144" s="14" t="n">
        <v>2023</v>
      </c>
      <c r="F144" s="14" t="n">
        <v>0.1</v>
      </c>
      <c r="G144" s="14" t="n">
        <v>5.761</v>
      </c>
      <c r="H144" s="14" t="n">
        <v>1.284</v>
      </c>
      <c r="I144" s="14" t="n">
        <v>0</v>
      </c>
      <c r="J144" s="14" t="n">
        <v>5.761</v>
      </c>
      <c r="K144" s="14" t="n">
        <v>0</v>
      </c>
      <c r="L144" s="14" t="n">
        <v>1</v>
      </c>
      <c r="M144" s="14" t="n">
        <v>7.876</v>
      </c>
      <c r="N144" s="14" t="n">
        <v>3.853</v>
      </c>
      <c r="O144" s="14" t="n">
        <v>0</v>
      </c>
      <c r="P144" s="14" t="n">
        <v>7.876</v>
      </c>
      <c r="Q144" s="14" t="n">
        <v>0</v>
      </c>
      <c r="R144" s="14" t="n">
        <v>1</v>
      </c>
      <c r="S144" s="14" t="n">
        <v>12.182</v>
      </c>
      <c r="T144" s="14" t="n">
        <v>7.705</v>
      </c>
      <c r="U144" s="14" t="n">
        <v>0.135</v>
      </c>
      <c r="V144" s="14" t="n">
        <v>13.401</v>
      </c>
      <c r="W144" s="14" t="n">
        <v>0.1</v>
      </c>
      <c r="X144" s="14" t="n">
        <v>1</v>
      </c>
      <c r="Y144" s="14" t="n">
        <v>13.814</v>
      </c>
      <c r="Z144" s="14" t="n">
        <v>1.705</v>
      </c>
      <c r="AA144" s="14" t="n">
        <v>0</v>
      </c>
      <c r="AB144" s="14" t="n">
        <v>13.814</v>
      </c>
      <c r="AC144" s="14" t="n">
        <v>0</v>
      </c>
      <c r="AD144" s="14" t="n">
        <v>1</v>
      </c>
      <c r="AE144" s="14" t="n">
        <v>15.1</v>
      </c>
      <c r="AF144" s="14" t="n">
        <v>3.292</v>
      </c>
      <c r="AG144" s="14" t="n">
        <v>0</v>
      </c>
      <c r="AH144" s="14" t="n">
        <v>15.1</v>
      </c>
      <c r="AI144" s="14" t="n">
        <v>0</v>
      </c>
      <c r="AJ144" s="14" t="n">
        <v>1</v>
      </c>
      <c r="AK144" s="14" t="n">
        <v>22.814</v>
      </c>
      <c r="AL144" s="14" t="n">
        <v>11.838</v>
      </c>
      <c r="AM144" s="14" t="n">
        <v>0.253</v>
      </c>
      <c r="AN144" s="14" t="n">
        <v>25.095</v>
      </c>
      <c r="AO144" s="14" t="n">
        <v>0.1</v>
      </c>
      <c r="AP144" s="14" t="n">
        <v>1</v>
      </c>
      <c r="AQ144" s="14" t="n">
        <v>0.749</v>
      </c>
      <c r="AR144" s="14" t="n">
        <v>0.129</v>
      </c>
      <c r="AS144" s="14" t="n">
        <v>0.203</v>
      </c>
      <c r="AT144" s="14" t="n">
        <v>1.046</v>
      </c>
      <c r="AU144" s="14" t="n">
        <v>0.1</v>
      </c>
      <c r="AV144" s="14" t="n">
        <v>1</v>
      </c>
      <c r="AW144" s="14" t="n">
        <v>0.783</v>
      </c>
      <c r="AX144" s="14" t="n">
        <v>0.129</v>
      </c>
      <c r="AY144" s="14" t="n">
        <v>0.168</v>
      </c>
      <c r="AZ144" s="14" t="n">
        <v>1.046</v>
      </c>
      <c r="BA144" s="14" t="n">
        <v>0.1</v>
      </c>
      <c r="BB144" s="14" t="n">
        <v>1</v>
      </c>
      <c r="BC144" s="14" t="n">
        <v>0.527</v>
      </c>
      <c r="BD144" s="14" t="n">
        <v>0.129</v>
      </c>
      <c r="BE144" s="14" t="n">
        <v>-0.013</v>
      </c>
      <c r="BF144" s="14" t="n">
        <v>0.5590000000000001</v>
      </c>
      <c r="BG144" s="14" t="n">
        <v>0.1</v>
      </c>
      <c r="BH144" s="14" t="n">
        <v>1</v>
      </c>
      <c r="BI144" s="14" t="n">
        <v>0.64</v>
      </c>
      <c r="BJ144" s="14" t="n">
        <v>0.129</v>
      </c>
      <c r="BK144" s="14" t="n">
        <v>0.007</v>
      </c>
      <c r="BL144" s="14" t="n">
        <v>0.704</v>
      </c>
      <c r="BM144" s="14" t="n">
        <v>0.1</v>
      </c>
      <c r="BN144" s="14" t="n">
        <v>1</v>
      </c>
      <c r="BO144" s="14" t="n">
        <v>0</v>
      </c>
      <c r="BP144" s="14" t="n">
        <v>0</v>
      </c>
      <c r="BQ144" s="14" t="n">
        <v>0.158</v>
      </c>
      <c r="BR144" s="14" t="n">
        <v>0</v>
      </c>
      <c r="BS144" s="14" t="n">
        <v>0.5</v>
      </c>
      <c r="BT144" s="14" t="n">
        <v>0</v>
      </c>
      <c r="BU144" s="14" t="n">
        <v>0</v>
      </c>
      <c r="BV144" s="14" t="n">
        <v>0.117</v>
      </c>
      <c r="BW144" s="14" t="n">
        <v>0.1</v>
      </c>
      <c r="BX144" s="14" t="n">
        <v>0.667</v>
      </c>
      <c r="BY144" s="14" t="n">
        <v>13.254</v>
      </c>
      <c r="BZ144" s="14" t="n">
        <v>0</v>
      </c>
      <c r="CA144" s="14" t="n">
        <v>13.254</v>
      </c>
      <c r="CB144" s="14" t="n">
        <v>0</v>
      </c>
      <c r="CC144" s="14" t="n">
        <v>87.07899999999999</v>
      </c>
      <c r="CD144" s="14" t="n">
        <v>7.95</v>
      </c>
      <c r="CE144" s="14" t="n">
        <v>0.964</v>
      </c>
      <c r="CF144" s="14" t="n">
        <v>95.78700000000001</v>
      </c>
      <c r="CG144" s="14" t="n">
        <v>0.1</v>
      </c>
      <c r="CH144" s="14" t="n">
        <v>1</v>
      </c>
      <c r="CI144" s="14" t="n">
        <v>0</v>
      </c>
      <c r="CJ144" s="14" t="n">
        <v>0</v>
      </c>
      <c r="CK144" s="14" t="n">
        <v>0</v>
      </c>
      <c r="CL144" s="14" t="n">
        <v>0</v>
      </c>
      <c r="CM144" s="14" t="n">
        <v>0</v>
      </c>
      <c r="CN144" s="14" t="n">
        <v>0</v>
      </c>
      <c r="CO144" s="14" t="n">
        <v>0</v>
      </c>
      <c r="CP144" s="14" t="n">
        <v>0.002</v>
      </c>
      <c r="CQ144" s="14" t="n">
        <v>1.348</v>
      </c>
      <c r="CR144" s="14" t="n">
        <v>0</v>
      </c>
      <c r="CS144" s="14" t="n">
        <v>5.37</v>
      </c>
      <c r="CT144" s="14" t="n">
        <v>4.484</v>
      </c>
      <c r="CU144" s="14" t="n">
        <v>12.529</v>
      </c>
    </row>
    <row r="145">
      <c r="A145" s="14" t="inlineStr">
        <is>
          <t>KHM2024</t>
        </is>
      </c>
      <c r="B145" s="14" t="inlineStr">
        <is>
          <t>KHM</t>
        </is>
      </c>
      <c r="C145" s="14" t="inlineStr">
        <is>
          <t>KHM</t>
        </is>
      </c>
      <c r="D145" s="14" t="inlineStr">
        <is>
          <t>Cambodia</t>
        </is>
      </c>
      <c r="E145" s="14" t="n">
        <v>2024</v>
      </c>
      <c r="F145" s="14" t="n">
        <v>0.1</v>
      </c>
      <c r="G145" s="14" t="n">
        <v>4.826</v>
      </c>
      <c r="H145" s="14" t="n">
        <v>1.322</v>
      </c>
      <c r="I145" s="14" t="n">
        <v>0</v>
      </c>
      <c r="J145" s="14" t="n">
        <v>4.826</v>
      </c>
      <c r="K145" s="14" t="n">
        <v>0</v>
      </c>
      <c r="L145" s="14" t="n">
        <v>1</v>
      </c>
      <c r="M145" s="14" t="n">
        <v>7.115</v>
      </c>
      <c r="N145" s="14" t="n">
        <v>3.966</v>
      </c>
      <c r="O145" s="14" t="n">
        <v>0</v>
      </c>
      <c r="P145" s="14" t="n">
        <v>7.115</v>
      </c>
      <c r="Q145" s="14" t="n">
        <v>0</v>
      </c>
      <c r="R145" s="14" t="n">
        <v>1</v>
      </c>
      <c r="S145" s="14" t="n">
        <v>11.437</v>
      </c>
      <c r="T145" s="14" t="n">
        <v>7.933</v>
      </c>
      <c r="U145" s="14" t="n">
        <v>0.156</v>
      </c>
      <c r="V145" s="14" t="n">
        <v>12.581</v>
      </c>
      <c r="W145" s="14" t="n">
        <v>0.1</v>
      </c>
      <c r="X145" s="14" t="n">
        <v>1</v>
      </c>
      <c r="Y145" s="14" t="n">
        <v>12.219</v>
      </c>
      <c r="Z145" s="14" t="n">
        <v>1.508</v>
      </c>
      <c r="AA145" s="14" t="n">
        <v>0</v>
      </c>
      <c r="AB145" s="14" t="n">
        <v>12.219</v>
      </c>
      <c r="AC145" s="14" t="n">
        <v>0</v>
      </c>
      <c r="AD145" s="14" t="n">
        <v>1</v>
      </c>
      <c r="AE145" s="14" t="n">
        <v>13.543</v>
      </c>
      <c r="AF145" s="14" t="n">
        <v>2.952</v>
      </c>
      <c r="AG145" s="14" t="n">
        <v>0</v>
      </c>
      <c r="AH145" s="14" t="n">
        <v>13.543</v>
      </c>
      <c r="AI145" s="14" t="n">
        <v>0</v>
      </c>
      <c r="AJ145" s="14" t="n">
        <v>1</v>
      </c>
      <c r="AK145" s="14" t="n">
        <v>21.484</v>
      </c>
      <c r="AL145" s="14" t="n">
        <v>11.148</v>
      </c>
      <c r="AM145" s="14" t="n">
        <v>0.293</v>
      </c>
      <c r="AN145" s="14" t="n">
        <v>23.633</v>
      </c>
      <c r="AO145" s="14" t="n">
        <v>0.1</v>
      </c>
      <c r="AP145" s="14" t="n">
        <v>1</v>
      </c>
      <c r="AQ145" s="14" t="n">
        <v>0.72</v>
      </c>
      <c r="AR145" s="14" t="n">
        <v>0.132</v>
      </c>
      <c r="AS145" s="14" t="n">
        <v>0.202</v>
      </c>
      <c r="AT145" s="14" t="n">
        <v>1.014</v>
      </c>
      <c r="AU145" s="14" t="n">
        <v>0.1</v>
      </c>
      <c r="AV145" s="14" t="n">
        <v>1</v>
      </c>
      <c r="AW145" s="14" t="n">
        <v>0.734</v>
      </c>
      <c r="AX145" s="14" t="n">
        <v>0.132</v>
      </c>
      <c r="AY145" s="14" t="n">
        <v>0.159</v>
      </c>
      <c r="AZ145" s="14" t="n">
        <v>0.982</v>
      </c>
      <c r="BA145" s="14" t="n">
        <v>0.1</v>
      </c>
      <c r="BB145" s="14" t="n">
        <v>1</v>
      </c>
      <c r="BC145" s="14" t="n">
        <v>0.51</v>
      </c>
      <c r="BD145" s="14" t="n">
        <v>0.132</v>
      </c>
      <c r="BE145" s="14" t="n">
        <v>-0.01</v>
      </c>
      <c r="BF145" s="14" t="n">
        <v>0.543</v>
      </c>
      <c r="BG145" s="14" t="n">
        <v>0.1</v>
      </c>
      <c r="BH145" s="14" t="n">
        <v>1</v>
      </c>
      <c r="BI145" s="14" t="n">
        <v>0.652</v>
      </c>
      <c r="BJ145" s="14" t="n">
        <v>0.132</v>
      </c>
      <c r="BK145" s="14" t="n">
        <v>0.008999999999999999</v>
      </c>
      <c r="BL145" s="14" t="n">
        <v>0.717</v>
      </c>
      <c r="BM145" s="14" t="n">
        <v>0.1</v>
      </c>
      <c r="BN145" s="14" t="n">
        <v>1</v>
      </c>
      <c r="BO145" s="14" t="n">
        <v>0</v>
      </c>
      <c r="BP145" s="14" t="n">
        <v>0</v>
      </c>
      <c r="BQ145" s="14" t="n">
        <v>0.155</v>
      </c>
      <c r="BR145" s="14" t="n">
        <v>0</v>
      </c>
      <c r="BS145" s="14" t="n">
        <v>0.5</v>
      </c>
      <c r="BT145" s="14" t="n">
        <v>0</v>
      </c>
      <c r="BU145" s="14" t="n">
        <v>0</v>
      </c>
      <c r="BV145" s="14" t="n">
        <v>0.118</v>
      </c>
      <c r="BW145" s="14" t="n">
        <v>0.1</v>
      </c>
      <c r="BX145" s="14" t="n">
        <v>0.667</v>
      </c>
      <c r="BY145" s="14" t="n">
        <v>13.646</v>
      </c>
      <c r="BZ145" s="14" t="n">
        <v>0</v>
      </c>
      <c r="CA145" s="14" t="n">
        <v>13.646</v>
      </c>
      <c r="CB145" s="14" t="n">
        <v>0</v>
      </c>
      <c r="CC145" s="14" t="n">
        <v>86.38500000000001</v>
      </c>
      <c r="CD145" s="14" t="n">
        <v>7.95</v>
      </c>
      <c r="CE145" s="14" t="n">
        <v>1.177</v>
      </c>
      <c r="CF145" s="14" t="n">
        <v>95.024</v>
      </c>
      <c r="CG145" s="14" t="n">
        <v>0.1</v>
      </c>
      <c r="CH145" s="14" t="n">
        <v>1</v>
      </c>
      <c r="CI145" s="14" t="n">
        <v>0</v>
      </c>
      <c r="CJ145" s="14" t="n">
        <v>0</v>
      </c>
      <c r="CK145" s="14" t="n">
        <v>0</v>
      </c>
      <c r="CL145" s="14" t="n">
        <v>0</v>
      </c>
      <c r="CM145" s="14" t="n">
        <v>0</v>
      </c>
      <c r="CN145" s="14" t="n">
        <v>0</v>
      </c>
      <c r="CO145" s="14" t="n">
        <v>0</v>
      </c>
      <c r="CP145" s="14" t="n">
        <v>0.002</v>
      </c>
      <c r="CQ145" s="14" t="n">
        <v>1.387</v>
      </c>
      <c r="CR145" s="14" t="n">
        <v>0</v>
      </c>
      <c r="CS145" s="14" t="n">
        <v>5.529</v>
      </c>
      <c r="CT145" s="14" t="n">
        <v>3.509</v>
      </c>
      <c r="CU145" s="14" t="n">
        <v>10.896</v>
      </c>
    </row>
    <row r="146">
      <c r="A146" s="14" t="inlineStr">
        <is>
          <t>CMR2021</t>
        </is>
      </c>
      <c r="B146" s="14" t="inlineStr">
        <is>
          <t>CMR</t>
        </is>
      </c>
      <c r="C146" s="14" t="inlineStr">
        <is>
          <t>CMR</t>
        </is>
      </c>
      <c r="D146" s="14" t="inlineStr">
        <is>
          <t>Cameroon</t>
        </is>
      </c>
      <c r="E146" s="14" t="n">
        <v>2021</v>
      </c>
      <c r="F146" s="14" t="n">
        <v>0.192</v>
      </c>
      <c r="G146" s="14" t="n">
        <v>5.897</v>
      </c>
      <c r="H146" s="14" t="n">
        <v>1.143</v>
      </c>
      <c r="I146" s="14" t="n">
        <v>0</v>
      </c>
      <c r="J146" s="14" t="n">
        <v>5.897</v>
      </c>
      <c r="K146" s="14" t="n">
        <v>0</v>
      </c>
      <c r="L146" s="14" t="n">
        <v>1</v>
      </c>
      <c r="M146" s="14" t="n">
        <v>7.964</v>
      </c>
      <c r="N146" s="14" t="n">
        <v>3.43</v>
      </c>
      <c r="O146" s="14" t="n">
        <v>0</v>
      </c>
      <c r="P146" s="14" t="n">
        <v>7.964</v>
      </c>
      <c r="Q146" s="14" t="n">
        <v>0</v>
      </c>
      <c r="R146" s="14" t="n">
        <v>1</v>
      </c>
      <c r="S146" s="14" t="n">
        <v>11.613</v>
      </c>
      <c r="T146" s="14" t="n">
        <v>6.86</v>
      </c>
      <c r="U146" s="14" t="n">
        <v>0</v>
      </c>
      <c r="V146" s="14" t="n">
        <v>13.849</v>
      </c>
      <c r="W146" s="14" t="n">
        <v>0.192</v>
      </c>
      <c r="X146" s="14" t="n">
        <v>1</v>
      </c>
      <c r="Y146" s="14" t="n">
        <v>10.838</v>
      </c>
      <c r="Z146" s="14" t="n">
        <v>1.189</v>
      </c>
      <c r="AA146" s="14" t="n">
        <v>0</v>
      </c>
      <c r="AB146" s="14" t="n">
        <v>10.838</v>
      </c>
      <c r="AC146" s="14" t="n">
        <v>0</v>
      </c>
      <c r="AD146" s="14" t="n">
        <v>1</v>
      </c>
      <c r="AE146" s="14" t="n">
        <v>11.41</v>
      </c>
      <c r="AF146" s="14" t="n">
        <v>2.219</v>
      </c>
      <c r="AG146" s="14" t="n">
        <v>0</v>
      </c>
      <c r="AH146" s="14" t="n">
        <v>11.41</v>
      </c>
      <c r="AI146" s="14" t="n">
        <v>0</v>
      </c>
      <c r="AJ146" s="14" t="n">
        <v>1</v>
      </c>
      <c r="AK146" s="14" t="n">
        <v>14.84</v>
      </c>
      <c r="AL146" s="14" t="n">
        <v>7</v>
      </c>
      <c r="AM146" s="14" t="n">
        <v>0</v>
      </c>
      <c r="AN146" s="14" t="n">
        <v>17.696</v>
      </c>
      <c r="AO146" s="14" t="n">
        <v>0.192</v>
      </c>
      <c r="AP146" s="14" t="n">
        <v>1</v>
      </c>
      <c r="AQ146" s="14" t="n">
        <v>0.619</v>
      </c>
      <c r="AR146" s="14" t="n">
        <v>0.114</v>
      </c>
      <c r="AS146" s="14" t="n">
        <v>0.334</v>
      </c>
      <c r="AT146" s="14" t="n">
        <v>1.136</v>
      </c>
      <c r="AU146" s="14" t="n">
        <v>0.192</v>
      </c>
      <c r="AV146" s="14" t="n">
        <v>1</v>
      </c>
      <c r="AW146" s="14" t="n">
        <v>0.599</v>
      </c>
      <c r="AX146" s="14" t="n">
        <v>0.114</v>
      </c>
      <c r="AY146" s="14" t="n">
        <v>0.27</v>
      </c>
      <c r="AZ146" s="14" t="n">
        <v>1.037</v>
      </c>
      <c r="BA146" s="14" t="n">
        <v>0.192</v>
      </c>
      <c r="BB146" s="14" t="n">
        <v>1</v>
      </c>
      <c r="BC146" s="14" t="n">
        <v>0.439</v>
      </c>
      <c r="BD146" s="14" t="n">
        <v>0.114</v>
      </c>
      <c r="BE146" s="14" t="n">
        <v>-0.038</v>
      </c>
      <c r="BF146" s="14" t="n">
        <v>0.478</v>
      </c>
      <c r="BG146" s="14" t="n">
        <v>0.192</v>
      </c>
      <c r="BH146" s="14" t="n">
        <v>0</v>
      </c>
      <c r="BI146" s="14" t="n">
        <v>0.505</v>
      </c>
      <c r="BJ146" s="14" t="n">
        <v>0.114</v>
      </c>
      <c r="BK146" s="14" t="n">
        <v>0.025</v>
      </c>
      <c r="BL146" s="14" t="n">
        <v>0.631</v>
      </c>
      <c r="BM146" s="14" t="n">
        <v>0.192</v>
      </c>
      <c r="BN146" s="14" t="n">
        <v>1</v>
      </c>
      <c r="BO146" s="14" t="n">
        <v>0</v>
      </c>
      <c r="BP146" s="14" t="n">
        <v>0</v>
      </c>
      <c r="BQ146" s="14" t="n">
        <v>0.159</v>
      </c>
      <c r="BR146" s="14" t="n">
        <v>0</v>
      </c>
      <c r="BS146" s="14" t="n">
        <v>0.667</v>
      </c>
      <c r="BT146" s="14" t="n">
        <v>0</v>
      </c>
      <c r="BU146" s="14" t="n">
        <v>0</v>
      </c>
      <c r="BV146" s="14" t="n">
        <v>0.145</v>
      </c>
      <c r="BW146" s="14" t="n">
        <v>0.192</v>
      </c>
      <c r="BX146" s="14" t="n">
        <v>0.667</v>
      </c>
      <c r="BY146" s="14" t="n">
        <v>11.787</v>
      </c>
      <c r="BZ146" s="14" t="n">
        <v>0</v>
      </c>
      <c r="CA146" s="14" t="n">
        <v>11.787</v>
      </c>
      <c r="CB146" s="14" t="n">
        <v>0</v>
      </c>
      <c r="CC146" s="14" t="n">
        <v>78.125</v>
      </c>
      <c r="CD146" s="14" t="n">
        <v>7.95</v>
      </c>
      <c r="CE146" s="14" t="n">
        <v>20.503</v>
      </c>
      <c r="CF146" s="14" t="n">
        <v>117.613</v>
      </c>
      <c r="CG146" s="14" t="n">
        <v>0.192</v>
      </c>
      <c r="CH146" s="14" t="n">
        <v>1</v>
      </c>
      <c r="CI146" s="14" t="n">
        <v>0</v>
      </c>
      <c r="CJ146" s="14" t="n">
        <v>0</v>
      </c>
      <c r="CK146" s="14" t="n">
        <v>0</v>
      </c>
      <c r="CL146" s="14" t="n">
        <v>0</v>
      </c>
      <c r="CM146" s="14" t="n">
        <v>0</v>
      </c>
      <c r="CN146" s="14" t="n">
        <v>0</v>
      </c>
      <c r="CO146" s="14" t="n">
        <v>0</v>
      </c>
      <c r="CP146" s="14" t="n">
        <v>0</v>
      </c>
      <c r="CQ146" s="14" t="n">
        <v>1.198</v>
      </c>
      <c r="CR146" s="14" t="n">
        <v>1</v>
      </c>
      <c r="CS146" s="14" t="n">
        <v>10.266</v>
      </c>
      <c r="CT146" s="14" t="n">
        <v>4.753</v>
      </c>
      <c r="CU146" s="14" t="n">
        <v>14.129</v>
      </c>
    </row>
    <row r="147">
      <c r="A147" s="14" t="inlineStr">
        <is>
          <t>CMR2022</t>
        </is>
      </c>
      <c r="B147" s="14" t="inlineStr">
        <is>
          <t>CMR</t>
        </is>
      </c>
      <c r="C147" s="14" t="inlineStr">
        <is>
          <t>CMR</t>
        </is>
      </c>
      <c r="D147" s="14" t="inlineStr">
        <is>
          <t>Cameroon</t>
        </is>
      </c>
      <c r="E147" s="14" t="n">
        <v>2022</v>
      </c>
      <c r="F147" s="14" t="n">
        <v>0.192</v>
      </c>
      <c r="G147" s="14" t="n">
        <v>11.72</v>
      </c>
      <c r="H147" s="14" t="n">
        <v>1.235</v>
      </c>
      <c r="I147" s="14" t="n">
        <v>0</v>
      </c>
      <c r="J147" s="14" t="n">
        <v>11.72</v>
      </c>
      <c r="K147" s="14" t="n">
        <v>0</v>
      </c>
      <c r="L147" s="14" t="n">
        <v>1</v>
      </c>
      <c r="M147" s="14" t="n">
        <v>9.782999999999999</v>
      </c>
      <c r="N147" s="14" t="n">
        <v>3.704</v>
      </c>
      <c r="O147" s="14" t="n">
        <v>0</v>
      </c>
      <c r="P147" s="14" t="n">
        <v>9.782999999999999</v>
      </c>
      <c r="Q147" s="14" t="n">
        <v>0</v>
      </c>
      <c r="R147" s="14" t="n">
        <v>1</v>
      </c>
      <c r="S147" s="14" t="n">
        <v>17.893</v>
      </c>
      <c r="T147" s="14" t="n">
        <v>7.408</v>
      </c>
      <c r="U147" s="14" t="n">
        <v>0.255</v>
      </c>
      <c r="V147" s="14" t="n">
        <v>21.338</v>
      </c>
      <c r="W147" s="14" t="n">
        <v>0.192</v>
      </c>
      <c r="X147" s="14" t="n">
        <v>1</v>
      </c>
      <c r="Y147" s="14" t="n">
        <v>11.704</v>
      </c>
      <c r="Z147" s="14" t="n">
        <v>1.284</v>
      </c>
      <c r="AA147" s="14" t="n">
        <v>0</v>
      </c>
      <c r="AB147" s="14" t="n">
        <v>11.704</v>
      </c>
      <c r="AC147" s="14" t="n">
        <v>0</v>
      </c>
      <c r="AD147" s="14" t="n">
        <v>1</v>
      </c>
      <c r="AE147" s="14" t="n">
        <v>12.322</v>
      </c>
      <c r="AF147" s="14" t="n">
        <v>2.396</v>
      </c>
      <c r="AG147" s="14" t="n">
        <v>0</v>
      </c>
      <c r="AH147" s="14" t="n">
        <v>12.322</v>
      </c>
      <c r="AI147" s="14" t="n">
        <v>0</v>
      </c>
      <c r="AJ147" s="14" t="n">
        <v>1</v>
      </c>
      <c r="AK147" s="14" t="n">
        <v>16.026</v>
      </c>
      <c r="AL147" s="14" t="n">
        <v>7.56</v>
      </c>
      <c r="AM147" s="14" t="n">
        <v>0.228</v>
      </c>
      <c r="AN147" s="14" t="n">
        <v>19.111</v>
      </c>
      <c r="AO147" s="14" t="n">
        <v>0.192</v>
      </c>
      <c r="AP147" s="14" t="n">
        <v>1</v>
      </c>
      <c r="AQ147" s="14" t="n">
        <v>0.861</v>
      </c>
      <c r="AR147" s="14" t="n">
        <v>0.123</v>
      </c>
      <c r="AS147" s="14" t="n">
        <v>-0.003</v>
      </c>
      <c r="AT147" s="14" t="n">
        <v>1.024</v>
      </c>
      <c r="AU147" s="14" t="n">
        <v>0.192</v>
      </c>
      <c r="AV147" s="14" t="n">
        <v>1</v>
      </c>
      <c r="AW147" s="14" t="n">
        <v>0.986</v>
      </c>
      <c r="AX147" s="14" t="n">
        <v>0.123</v>
      </c>
      <c r="AY147" s="14" t="n">
        <v>-0.199</v>
      </c>
      <c r="AZ147" s="14" t="n">
        <v>0.9389999999999999</v>
      </c>
      <c r="BA147" s="14" t="n">
        <v>0.192</v>
      </c>
      <c r="BB147" s="14" t="n">
        <v>1</v>
      </c>
      <c r="BC147" s="14" t="n">
        <v>0.598</v>
      </c>
      <c r="BD147" s="14" t="n">
        <v>0.123</v>
      </c>
      <c r="BE147" s="14" t="n">
        <v>-0.241</v>
      </c>
      <c r="BF147" s="14" t="n">
        <v>0.425</v>
      </c>
      <c r="BG147" s="14" t="n">
        <v>0.192</v>
      </c>
      <c r="BH147" s="14" t="n">
        <v>0</v>
      </c>
      <c r="BI147" s="14" t="n">
        <v>0.612</v>
      </c>
      <c r="BJ147" s="14" t="n">
        <v>0.123</v>
      </c>
      <c r="BK147" s="14" t="n">
        <v>-0.141</v>
      </c>
      <c r="BL147" s="14" t="n">
        <v>0.5620000000000001</v>
      </c>
      <c r="BM147" s="14" t="n">
        <v>0.192</v>
      </c>
      <c r="BN147" s="14" t="n">
        <v>1</v>
      </c>
      <c r="BO147" s="14" t="n">
        <v>0</v>
      </c>
      <c r="BP147" s="14" t="n">
        <v>0</v>
      </c>
      <c r="BQ147" s="14" t="n">
        <v>0.141</v>
      </c>
      <c r="BR147" s="14" t="n">
        <v>0</v>
      </c>
      <c r="BS147" s="14" t="n">
        <v>0.667</v>
      </c>
      <c r="BT147" s="14" t="n">
        <v>0</v>
      </c>
      <c r="BU147" s="14" t="n">
        <v>0</v>
      </c>
      <c r="BV147" s="14" t="n">
        <v>0.129</v>
      </c>
      <c r="BW147" s="14" t="n">
        <v>0.192</v>
      </c>
      <c r="BX147" s="14" t="n">
        <v>0.667</v>
      </c>
      <c r="BY147" s="14" t="n">
        <v>12.729</v>
      </c>
      <c r="BZ147" s="14" t="n">
        <v>0</v>
      </c>
      <c r="CA147" s="14" t="n">
        <v>12.729</v>
      </c>
      <c r="CB147" s="14" t="n">
        <v>0</v>
      </c>
      <c r="CC147" s="14" t="n">
        <v>97.90000000000001</v>
      </c>
      <c r="CD147" s="14" t="n">
        <v>7.95</v>
      </c>
      <c r="CE147" s="14" t="n">
        <v>-10.219</v>
      </c>
      <c r="CF147" s="14" t="n">
        <v>104.56</v>
      </c>
      <c r="CG147" s="14" t="n">
        <v>0.192</v>
      </c>
      <c r="CH147" s="14" t="n">
        <v>1</v>
      </c>
      <c r="CI147" s="14" t="n">
        <v>0</v>
      </c>
      <c r="CJ147" s="14" t="n">
        <v>0</v>
      </c>
      <c r="CK147" s="14" t="n">
        <v>0</v>
      </c>
      <c r="CL147" s="14" t="n">
        <v>0</v>
      </c>
      <c r="CM147" s="14" t="n">
        <v>0</v>
      </c>
      <c r="CN147" s="14" t="n">
        <v>0</v>
      </c>
      <c r="CO147" s="14" t="n">
        <v>0</v>
      </c>
      <c r="CP147" s="14" t="n">
        <v>0</v>
      </c>
      <c r="CQ147" s="14" t="n">
        <v>1.294</v>
      </c>
      <c r="CR147" s="14" t="n">
        <v>1</v>
      </c>
      <c r="CS147" s="14" t="n">
        <v>11.087</v>
      </c>
      <c r="CT147" s="14" t="n">
        <v>10.485</v>
      </c>
      <c r="CU147" s="14" t="n">
        <v>28.059</v>
      </c>
    </row>
    <row r="148">
      <c r="A148" s="14" t="inlineStr">
        <is>
          <t>CMR2023</t>
        </is>
      </c>
      <c r="B148" s="14" t="inlineStr">
        <is>
          <t>CMR</t>
        </is>
      </c>
      <c r="C148" s="14" t="inlineStr">
        <is>
          <t>CMR</t>
        </is>
      </c>
      <c r="D148" s="14" t="inlineStr">
        <is>
          <t>Cameroon</t>
        </is>
      </c>
      <c r="E148" s="14" t="n">
        <v>2023</v>
      </c>
      <c r="F148" s="14" t="n">
        <v>0.192</v>
      </c>
      <c r="G148" s="14" t="n">
        <v>6.147</v>
      </c>
      <c r="H148" s="14" t="n">
        <v>1.286</v>
      </c>
      <c r="I148" s="14" t="n">
        <v>0</v>
      </c>
      <c r="J148" s="14" t="n">
        <v>6.147</v>
      </c>
      <c r="K148" s="14" t="n">
        <v>0</v>
      </c>
      <c r="L148" s="14" t="n">
        <v>1</v>
      </c>
      <c r="M148" s="14" t="n">
        <v>7.886</v>
      </c>
      <c r="N148" s="14" t="n">
        <v>3.857</v>
      </c>
      <c r="O148" s="14" t="n">
        <v>0</v>
      </c>
      <c r="P148" s="14" t="n">
        <v>7.886</v>
      </c>
      <c r="Q148" s="14" t="n">
        <v>0</v>
      </c>
      <c r="R148" s="14" t="n">
        <v>1</v>
      </c>
      <c r="S148" s="14" t="n">
        <v>12.575</v>
      </c>
      <c r="T148" s="14" t="n">
        <v>7.714</v>
      </c>
      <c r="U148" s="14" t="n">
        <v>0.268</v>
      </c>
      <c r="V148" s="14" t="n">
        <v>14.996</v>
      </c>
      <c r="W148" s="14" t="n">
        <v>0.192</v>
      </c>
      <c r="X148" s="14" t="n">
        <v>1</v>
      </c>
      <c r="Y148" s="14" t="n">
        <v>9.904</v>
      </c>
      <c r="Z148" s="14" t="n">
        <v>1.087</v>
      </c>
      <c r="AA148" s="14" t="n">
        <v>0</v>
      </c>
      <c r="AB148" s="14" t="n">
        <v>9.904</v>
      </c>
      <c r="AC148" s="14" t="n">
        <v>0</v>
      </c>
      <c r="AD148" s="14" t="n">
        <v>1</v>
      </c>
      <c r="AE148" s="14" t="n">
        <v>10.547</v>
      </c>
      <c r="AF148" s="14" t="n">
        <v>2.051</v>
      </c>
      <c r="AG148" s="14" t="n">
        <v>0</v>
      </c>
      <c r="AH148" s="14" t="n">
        <v>10.547</v>
      </c>
      <c r="AI148" s="14" t="n">
        <v>0</v>
      </c>
      <c r="AJ148" s="14" t="n">
        <v>1</v>
      </c>
      <c r="AK148" s="14" t="n">
        <v>14.404</v>
      </c>
      <c r="AL148" s="14" t="n">
        <v>6.795</v>
      </c>
      <c r="AM148" s="14" t="n">
        <v>0.307</v>
      </c>
      <c r="AN148" s="14" t="n">
        <v>17.177</v>
      </c>
      <c r="AO148" s="14" t="n">
        <v>0.192</v>
      </c>
      <c r="AP148" s="14" t="n">
        <v>1</v>
      </c>
      <c r="AQ148" s="14" t="n">
        <v>0.76</v>
      </c>
      <c r="AR148" s="14" t="n">
        <v>0.129</v>
      </c>
      <c r="AS148" s="14" t="n">
        <v>0.238</v>
      </c>
      <c r="AT148" s="14" t="n">
        <v>1.191</v>
      </c>
      <c r="AU148" s="14" t="n">
        <v>0.192</v>
      </c>
      <c r="AV148" s="14" t="n">
        <v>1</v>
      </c>
      <c r="AW148" s="14" t="n">
        <v>0.8110000000000001</v>
      </c>
      <c r="AX148" s="14" t="n">
        <v>0.129</v>
      </c>
      <c r="AY148" s="14" t="n">
        <v>0.169</v>
      </c>
      <c r="AZ148" s="14" t="n">
        <v>1.169</v>
      </c>
      <c r="BA148" s="14" t="n">
        <v>0.192</v>
      </c>
      <c r="BB148" s="14" t="n">
        <v>1</v>
      </c>
      <c r="BC148" s="14" t="n">
        <v>0.535</v>
      </c>
      <c r="BD148" s="14" t="n">
        <v>0.129</v>
      </c>
      <c r="BE148" s="14" t="n">
        <v>-0.168</v>
      </c>
      <c r="BF148" s="14" t="n">
        <v>0.437</v>
      </c>
      <c r="BG148" s="14" t="n">
        <v>0.192</v>
      </c>
      <c r="BH148" s="14" t="n">
        <v>0</v>
      </c>
      <c r="BI148" s="14" t="n">
        <v>0.579</v>
      </c>
      <c r="BJ148" s="14" t="n">
        <v>0.129</v>
      </c>
      <c r="BK148" s="14" t="n">
        <v>-0.095</v>
      </c>
      <c r="BL148" s="14" t="n">
        <v>0.577</v>
      </c>
      <c r="BM148" s="14" t="n">
        <v>0.192</v>
      </c>
      <c r="BN148" s="14" t="n">
        <v>1</v>
      </c>
      <c r="BO148" s="14" t="n">
        <v>0</v>
      </c>
      <c r="BP148" s="14" t="n">
        <v>0</v>
      </c>
      <c r="BQ148" s="14" t="n">
        <v>0.145</v>
      </c>
      <c r="BR148" s="14" t="n">
        <v>0</v>
      </c>
      <c r="BS148" s="14" t="n">
        <v>0.667</v>
      </c>
      <c r="BT148" s="14" t="n">
        <v>0</v>
      </c>
      <c r="BU148" s="14" t="n">
        <v>0</v>
      </c>
      <c r="BV148" s="14" t="n">
        <v>0.133</v>
      </c>
      <c r="BW148" s="14" t="n">
        <v>0.192</v>
      </c>
      <c r="BX148" s="14" t="n">
        <v>0.667</v>
      </c>
      <c r="BY148" s="14" t="n">
        <v>13.254</v>
      </c>
      <c r="BZ148" s="14" t="n">
        <v>0</v>
      </c>
      <c r="CA148" s="14" t="n">
        <v>13.254</v>
      </c>
      <c r="CB148" s="14" t="n">
        <v>0</v>
      </c>
      <c r="CC148" s="14" t="n">
        <v>83.248</v>
      </c>
      <c r="CD148" s="14" t="n">
        <v>7.95</v>
      </c>
      <c r="CE148" s="14" t="n">
        <v>37.143</v>
      </c>
      <c r="CF148" s="14" t="n">
        <v>143.566</v>
      </c>
      <c r="CG148" s="14" t="n">
        <v>0.192</v>
      </c>
      <c r="CH148" s="14" t="n">
        <v>1</v>
      </c>
      <c r="CI148" s="14" t="n">
        <v>0</v>
      </c>
      <c r="CJ148" s="14" t="n">
        <v>0</v>
      </c>
      <c r="CK148" s="14" t="n">
        <v>0</v>
      </c>
      <c r="CL148" s="14" t="n">
        <v>0</v>
      </c>
      <c r="CM148" s="14" t="n">
        <v>0</v>
      </c>
      <c r="CN148" s="14" t="n">
        <v>0</v>
      </c>
      <c r="CO148" s="14" t="n">
        <v>0</v>
      </c>
      <c r="CP148" s="14" t="n">
        <v>0</v>
      </c>
      <c r="CQ148" s="14" t="n">
        <v>1.348</v>
      </c>
      <c r="CR148" s="14" t="n">
        <v>1</v>
      </c>
      <c r="CS148" s="14" t="n">
        <v>9.260999999999999</v>
      </c>
      <c r="CT148" s="14" t="n">
        <v>4.861</v>
      </c>
      <c r="CU148" s="14" t="n">
        <v>9.260999999999999</v>
      </c>
    </row>
    <row r="149">
      <c r="A149" s="14" t="inlineStr">
        <is>
          <t>CMR2024</t>
        </is>
      </c>
      <c r="B149" s="14" t="inlineStr">
        <is>
          <t>CMR</t>
        </is>
      </c>
      <c r="C149" s="14" t="inlineStr">
        <is>
          <t>CMR</t>
        </is>
      </c>
      <c r="D149" s="14" t="inlineStr">
        <is>
          <t>Cameroon</t>
        </is>
      </c>
      <c r="E149" s="14" t="n">
        <v>2024</v>
      </c>
      <c r="F149" s="14" t="n">
        <v>0.192</v>
      </c>
      <c r="G149" s="14" t="n">
        <v>5.575</v>
      </c>
      <c r="H149" s="14" t="n">
        <v>1.324</v>
      </c>
      <c r="I149" s="14" t="n">
        <v>0</v>
      </c>
      <c r="J149" s="14" t="n">
        <v>5.575</v>
      </c>
      <c r="K149" s="14" t="n">
        <v>0</v>
      </c>
      <c r="L149" s="14" t="n">
        <v>1</v>
      </c>
      <c r="M149" s="14" t="n">
        <v>7.124</v>
      </c>
      <c r="N149" s="14" t="n">
        <v>3.971</v>
      </c>
      <c r="O149" s="14" t="n">
        <v>0</v>
      </c>
      <c r="P149" s="14" t="n">
        <v>7.124</v>
      </c>
      <c r="Q149" s="14" t="n">
        <v>0</v>
      </c>
      <c r="R149" s="14" t="n">
        <v>1</v>
      </c>
      <c r="S149" s="14" t="n">
        <v>12.193</v>
      </c>
      <c r="T149" s="14" t="n">
        <v>7.942</v>
      </c>
      <c r="U149" s="14" t="n">
        <v>0.32</v>
      </c>
      <c r="V149" s="14" t="n">
        <v>14.54</v>
      </c>
      <c r="W149" s="14" t="n">
        <v>0.192</v>
      </c>
      <c r="X149" s="14" t="n">
        <v>1</v>
      </c>
      <c r="Y149" s="14" t="n">
        <v>8.26</v>
      </c>
      <c r="Z149" s="14" t="n">
        <v>0.906</v>
      </c>
      <c r="AA149" s="14" t="n">
        <v>0</v>
      </c>
      <c r="AB149" s="14" t="n">
        <v>8.26</v>
      </c>
      <c r="AC149" s="14" t="n">
        <v>0</v>
      </c>
      <c r="AD149" s="14" t="n">
        <v>1</v>
      </c>
      <c r="AE149" s="14" t="n">
        <v>8.922000000000001</v>
      </c>
      <c r="AF149" s="14" t="n">
        <v>1.735</v>
      </c>
      <c r="AG149" s="14" t="n">
        <v>0</v>
      </c>
      <c r="AH149" s="14" t="n">
        <v>8.922000000000001</v>
      </c>
      <c r="AI149" s="14" t="n">
        <v>0</v>
      </c>
      <c r="AJ149" s="14" t="n">
        <v>1</v>
      </c>
      <c r="AK149" s="14" t="n">
        <v>12.892</v>
      </c>
      <c r="AL149" s="14" t="n">
        <v>6.082</v>
      </c>
      <c r="AM149" s="14" t="n">
        <v>0.338</v>
      </c>
      <c r="AN149" s="14" t="n">
        <v>15.374</v>
      </c>
      <c r="AO149" s="14" t="n">
        <v>0.192</v>
      </c>
      <c r="AP149" s="14" t="n">
        <v>1</v>
      </c>
      <c r="AQ149" s="14" t="n">
        <v>0.724</v>
      </c>
      <c r="AR149" s="14" t="n">
        <v>0.132</v>
      </c>
      <c r="AS149" s="14" t="n">
        <v>0.423</v>
      </c>
      <c r="AT149" s="14" t="n">
        <v>1.369</v>
      </c>
      <c r="AU149" s="14" t="n">
        <v>0.192</v>
      </c>
      <c r="AV149" s="14" t="n">
        <v>1</v>
      </c>
      <c r="AW149" s="14" t="n">
        <v>0.75</v>
      </c>
      <c r="AX149" s="14" t="n">
        <v>0.132</v>
      </c>
      <c r="AY149" s="14" t="n">
        <v>0.381</v>
      </c>
      <c r="AZ149" s="14" t="n">
        <v>1.349</v>
      </c>
      <c r="BA149" s="14" t="n">
        <v>0.192</v>
      </c>
      <c r="BB149" s="14" t="n">
        <v>1</v>
      </c>
      <c r="BC149" s="14" t="n">
        <v>0.513</v>
      </c>
      <c r="BD149" s="14" t="n">
        <v>0.132</v>
      </c>
      <c r="BE149" s="14" t="n">
        <v>-0.143</v>
      </c>
      <c r="BF149" s="14" t="n">
        <v>0.442</v>
      </c>
      <c r="BG149" s="14" t="n">
        <v>0.192</v>
      </c>
      <c r="BH149" s="14" t="n">
        <v>0</v>
      </c>
      <c r="BI149" s="14" t="n">
        <v>0.591</v>
      </c>
      <c r="BJ149" s="14" t="n">
        <v>0.132</v>
      </c>
      <c r="BK149" s="14" t="n">
        <v>-0.107</v>
      </c>
      <c r="BL149" s="14" t="n">
        <v>0.577</v>
      </c>
      <c r="BM149" s="14" t="n">
        <v>0.192</v>
      </c>
      <c r="BN149" s="14" t="n">
        <v>1</v>
      </c>
      <c r="BO149" s="14" t="n">
        <v>0</v>
      </c>
      <c r="BP149" s="14" t="n">
        <v>0</v>
      </c>
      <c r="BQ149" s="14" t="n">
        <v>0.154</v>
      </c>
      <c r="BR149" s="14" t="n">
        <v>0</v>
      </c>
      <c r="BS149" s="14" t="n">
        <v>0.667</v>
      </c>
      <c r="BT149" s="14" t="n">
        <v>0</v>
      </c>
      <c r="BU149" s="14" t="n">
        <v>0</v>
      </c>
      <c r="BV149" s="14" t="n">
        <v>0.108</v>
      </c>
      <c r="BW149" s="14" t="n">
        <v>0.192</v>
      </c>
      <c r="BX149" s="14" t="n">
        <v>0.667</v>
      </c>
      <c r="BY149" s="14" t="n">
        <v>13.646</v>
      </c>
      <c r="BZ149" s="14" t="n">
        <v>0</v>
      </c>
      <c r="CA149" s="14" t="n">
        <v>13.646</v>
      </c>
      <c r="CB149" s="14" t="n">
        <v>0</v>
      </c>
      <c r="CC149" s="14" t="n">
        <v>82.58799999999999</v>
      </c>
      <c r="CD149" s="14" t="n">
        <v>7.95</v>
      </c>
      <c r="CE149" s="14" t="n">
        <v>40.596</v>
      </c>
      <c r="CF149" s="14" t="n">
        <v>146.897</v>
      </c>
      <c r="CG149" s="14" t="n">
        <v>0.192</v>
      </c>
      <c r="CH149" s="14" t="n">
        <v>1</v>
      </c>
      <c r="CI149" s="14" t="n">
        <v>0</v>
      </c>
      <c r="CJ149" s="14" t="n">
        <v>0</v>
      </c>
      <c r="CK149" s="14" t="n">
        <v>0</v>
      </c>
      <c r="CL149" s="14" t="n">
        <v>0</v>
      </c>
      <c r="CM149" s="14" t="n">
        <v>0</v>
      </c>
      <c r="CN149" s="14" t="n">
        <v>0</v>
      </c>
      <c r="CO149" s="14" t="n">
        <v>0</v>
      </c>
      <c r="CP149" s="14" t="n">
        <v>0</v>
      </c>
      <c r="CQ149" s="14" t="n">
        <v>1.387</v>
      </c>
      <c r="CR149" s="14" t="n">
        <v>1</v>
      </c>
      <c r="CS149" s="14" t="n">
        <v>7.598</v>
      </c>
      <c r="CT149" s="14" t="n">
        <v>4.251</v>
      </c>
      <c r="CU149" s="14" t="n">
        <v>7.598</v>
      </c>
    </row>
    <row r="150">
      <c r="A150" s="14" t="inlineStr">
        <is>
          <t>CAN2021</t>
        </is>
      </c>
      <c r="B150" s="14" t="inlineStr">
        <is>
          <t>CAN</t>
        </is>
      </c>
      <c r="C150" s="14" t="inlineStr">
        <is>
          <t>CAN</t>
        </is>
      </c>
      <c r="D150" s="14" t="inlineStr">
        <is>
          <t>Canada</t>
        </is>
      </c>
      <c r="E150" s="14" t="n">
        <v>2021</v>
      </c>
      <c r="F150" s="14" t="n">
        <v>0.05</v>
      </c>
      <c r="G150" s="14" t="n">
        <v>3.254</v>
      </c>
      <c r="H150" s="14" t="n">
        <v>0.8129999999999999</v>
      </c>
      <c r="I150" s="14" t="n">
        <v>0</v>
      </c>
      <c r="J150" s="14" t="n">
        <v>3.254</v>
      </c>
      <c r="K150" s="14" t="n">
        <v>0</v>
      </c>
      <c r="L150" s="14" t="n">
        <v>1</v>
      </c>
      <c r="M150" s="14" t="n">
        <v>5.042</v>
      </c>
      <c r="N150" s="14" t="n">
        <v>2.438</v>
      </c>
      <c r="O150" s="14" t="n">
        <v>0</v>
      </c>
      <c r="P150" s="14" t="n">
        <v>5.042</v>
      </c>
      <c r="Q150" s="14" t="n">
        <v>0</v>
      </c>
      <c r="R150" s="14" t="n">
        <v>1</v>
      </c>
      <c r="S150" s="14" t="n">
        <v>7.316</v>
      </c>
      <c r="T150" s="14" t="n">
        <v>4.875</v>
      </c>
      <c r="U150" s="14" t="n">
        <v>0.313</v>
      </c>
      <c r="V150" s="14" t="n">
        <v>8.010999999999999</v>
      </c>
      <c r="W150" s="14" t="n">
        <v>0.05</v>
      </c>
      <c r="X150" s="14" t="n">
        <v>1</v>
      </c>
      <c r="Y150" s="14" t="n">
        <v>7.144</v>
      </c>
      <c r="Z150" s="14" t="n">
        <v>0.789</v>
      </c>
      <c r="AA150" s="14" t="n">
        <v>-2.105</v>
      </c>
      <c r="AB150" s="14" t="n">
        <v>5.04</v>
      </c>
      <c r="AC150" s="14" t="n">
        <v>0</v>
      </c>
      <c r="AD150" s="14" t="n">
        <v>1</v>
      </c>
      <c r="AE150" s="14" t="n">
        <v>7.101</v>
      </c>
      <c r="AF150" s="14" t="n">
        <v>1.397</v>
      </c>
      <c r="AG150" s="14" t="n">
        <v>-2.061</v>
      </c>
      <c r="AH150" s="14" t="n">
        <v>5.04</v>
      </c>
      <c r="AI150" s="14" t="n">
        <v>0</v>
      </c>
      <c r="AJ150" s="14" t="n">
        <v>1</v>
      </c>
      <c r="AK150" s="14" t="n">
        <v>9.089</v>
      </c>
      <c r="AL150" s="14" t="n">
        <v>4.461</v>
      </c>
      <c r="AM150" s="14" t="n">
        <v>-0.439</v>
      </c>
      <c r="AN150" s="14" t="n">
        <v>9.083</v>
      </c>
      <c r="AO150" s="14" t="n">
        <v>0.05</v>
      </c>
      <c r="AP150" s="14" t="n">
        <v>1</v>
      </c>
      <c r="AQ150" s="14" t="n">
        <v>0.649</v>
      </c>
      <c r="AR150" s="14" t="n">
        <v>0.114</v>
      </c>
      <c r="AS150" s="14" t="n">
        <v>0.497</v>
      </c>
      <c r="AT150" s="14" t="n">
        <v>1.203</v>
      </c>
      <c r="AU150" s="14" t="n">
        <v>0.05</v>
      </c>
      <c r="AV150" s="14" t="n">
        <v>1</v>
      </c>
      <c r="AW150" s="14" t="n">
        <v>0.577</v>
      </c>
      <c r="AX150" s="14" t="n">
        <v>0.114</v>
      </c>
      <c r="AY150" s="14" t="n">
        <v>0.411</v>
      </c>
      <c r="AZ150" s="14" t="n">
        <v>1.037</v>
      </c>
      <c r="BA150" s="14" t="n">
        <v>0.05</v>
      </c>
      <c r="BB150" s="14" t="n">
        <v>1</v>
      </c>
      <c r="BC150" s="14" t="n">
        <v>0.458</v>
      </c>
      <c r="BD150" s="14" t="n">
        <v>0.114</v>
      </c>
      <c r="BE150" s="14" t="n">
        <v>0.253</v>
      </c>
      <c r="BF150" s="14" t="n">
        <v>0.746</v>
      </c>
      <c r="BG150" s="14" t="n">
        <v>0.05</v>
      </c>
      <c r="BH150" s="14" t="n">
        <v>1</v>
      </c>
      <c r="BI150" s="14" t="n">
        <v>0.491</v>
      </c>
      <c r="BJ150" s="14" t="n">
        <v>0.114</v>
      </c>
      <c r="BK150" s="14" t="n">
        <v>0.396</v>
      </c>
      <c r="BL150" s="14" t="n">
        <v>0.931</v>
      </c>
      <c r="BM150" s="14" t="n">
        <v>0.05</v>
      </c>
      <c r="BN150" s="14" t="n">
        <v>1</v>
      </c>
      <c r="BO150" s="14" t="n">
        <v>0</v>
      </c>
      <c r="BP150" s="14" t="n">
        <v>0.011</v>
      </c>
      <c r="BQ150" s="14" t="n">
        <v>0.098</v>
      </c>
      <c r="BR150" s="14" t="n">
        <v>0</v>
      </c>
      <c r="BS150" s="14" t="n">
        <v>1</v>
      </c>
      <c r="BT150" s="14" t="n">
        <v>0</v>
      </c>
      <c r="BU150" s="14" t="n">
        <v>0.007</v>
      </c>
      <c r="BV150" s="14" t="n">
        <v>0.116</v>
      </c>
      <c r="BW150" s="14" t="n">
        <v>0.05</v>
      </c>
      <c r="BX150" s="14" t="n">
        <v>0.833</v>
      </c>
      <c r="BY150" s="14" t="n">
        <v>11.787</v>
      </c>
      <c r="BZ150" s="14" t="n">
        <v>0</v>
      </c>
      <c r="CA150" s="14" t="n">
        <v>11.787</v>
      </c>
      <c r="CB150" s="14" t="n">
        <v>0</v>
      </c>
      <c r="CC150" s="14" t="n">
        <v>78.125</v>
      </c>
      <c r="CD150" s="14" t="n">
        <v>7.95</v>
      </c>
      <c r="CE150" s="14" t="n">
        <v>56.537</v>
      </c>
      <c r="CF150" s="14" t="n">
        <v>152.168</v>
      </c>
      <c r="CG150" s="14" t="n">
        <v>0.13</v>
      </c>
      <c r="CH150" s="14" t="n">
        <v>1</v>
      </c>
      <c r="CI150" s="14" t="n">
        <v>0</v>
      </c>
      <c r="CJ150" s="14" t="n">
        <v>0</v>
      </c>
      <c r="CK150" s="14" t="n">
        <v>0</v>
      </c>
      <c r="CL150" s="14" t="n">
        <v>0.013</v>
      </c>
      <c r="CM150" s="14" t="n">
        <v>0</v>
      </c>
      <c r="CN150" s="14" t="n">
        <v>1.014</v>
      </c>
      <c r="CO150" s="14" t="n">
        <v>0.36</v>
      </c>
      <c r="CP150" s="14" t="n">
        <v>0.579</v>
      </c>
      <c r="CQ150" s="14" t="n">
        <v>1.198</v>
      </c>
      <c r="CR150" s="14" t="n">
        <v>0</v>
      </c>
      <c r="CS150" s="14" t="n">
        <v>2.471</v>
      </c>
      <c r="CT150" s="14" t="n">
        <v>4.147</v>
      </c>
      <c r="CU150" s="14" t="n">
        <v>2.471</v>
      </c>
    </row>
    <row r="151">
      <c r="A151" s="14" t="inlineStr">
        <is>
          <t>CAN2022</t>
        </is>
      </c>
      <c r="B151" s="14" t="inlineStr">
        <is>
          <t>CAN</t>
        </is>
      </c>
      <c r="C151" s="14" t="inlineStr">
        <is>
          <t>CAN</t>
        </is>
      </c>
      <c r="D151" s="14" t="inlineStr">
        <is>
          <t>Canada</t>
        </is>
      </c>
      <c r="E151" s="14" t="n">
        <v>2022</v>
      </c>
      <c r="F151" s="14" t="n">
        <v>0.05</v>
      </c>
      <c r="G151" s="14" t="n">
        <v>7.405</v>
      </c>
      <c r="H151" s="14" t="n">
        <v>0.959</v>
      </c>
      <c r="I151" s="14" t="n">
        <v>3.809</v>
      </c>
      <c r="J151" s="14" t="n">
        <v>11.214</v>
      </c>
      <c r="K151" s="14" t="n">
        <v>0</v>
      </c>
      <c r="L151" s="14" t="n">
        <v>1</v>
      </c>
      <c r="M151" s="14" t="n">
        <v>6.822</v>
      </c>
      <c r="N151" s="14" t="n">
        <v>2.878</v>
      </c>
      <c r="O151" s="14" t="n">
        <v>3.878</v>
      </c>
      <c r="P151" s="14" t="n">
        <v>10.7</v>
      </c>
      <c r="Q151" s="14" t="n">
        <v>0</v>
      </c>
      <c r="R151" s="14" t="n">
        <v>1</v>
      </c>
      <c r="S151" s="14" t="n">
        <v>12.202</v>
      </c>
      <c r="T151" s="14" t="n">
        <v>5.756</v>
      </c>
      <c r="U151" s="14" t="n">
        <v>0.5590000000000001</v>
      </c>
      <c r="V151" s="14" t="n">
        <v>13.349</v>
      </c>
      <c r="W151" s="14" t="n">
        <v>0.05</v>
      </c>
      <c r="X151" s="14" t="n">
        <v>1</v>
      </c>
      <c r="Y151" s="14" t="n">
        <v>8.439</v>
      </c>
      <c r="Z151" s="14" t="n">
        <v>0.885</v>
      </c>
      <c r="AA151" s="14" t="n">
        <v>1.367</v>
      </c>
      <c r="AB151" s="14" t="n">
        <v>9.805999999999999</v>
      </c>
      <c r="AC151" s="14" t="n">
        <v>0</v>
      </c>
      <c r="AD151" s="14" t="n">
        <v>1</v>
      </c>
      <c r="AE151" s="14" t="n">
        <v>8.488</v>
      </c>
      <c r="AF151" s="14" t="n">
        <v>1.573</v>
      </c>
      <c r="AG151" s="14" t="n">
        <v>1.319</v>
      </c>
      <c r="AH151" s="14" t="n">
        <v>9.805999999999999</v>
      </c>
      <c r="AI151" s="14" t="n">
        <v>0</v>
      </c>
      <c r="AJ151" s="14" t="n">
        <v>1</v>
      </c>
      <c r="AK151" s="14" t="n">
        <v>11.023</v>
      </c>
      <c r="AL151" s="14" t="n">
        <v>5.264</v>
      </c>
      <c r="AM151" s="14" t="n">
        <v>0.257</v>
      </c>
      <c r="AN151" s="14" t="n">
        <v>11.845</v>
      </c>
      <c r="AO151" s="14" t="n">
        <v>0.05</v>
      </c>
      <c r="AP151" s="14" t="n">
        <v>1</v>
      </c>
      <c r="AQ151" s="14" t="n">
        <v>0.896</v>
      </c>
      <c r="AR151" s="14" t="n">
        <v>0.123</v>
      </c>
      <c r="AS151" s="14" t="n">
        <v>0.491</v>
      </c>
      <c r="AT151" s="14" t="n">
        <v>1.456</v>
      </c>
      <c r="AU151" s="14" t="n">
        <v>0.05</v>
      </c>
      <c r="AV151" s="14" t="n">
        <v>1</v>
      </c>
      <c r="AW151" s="14" t="n">
        <v>0.89</v>
      </c>
      <c r="AX151" s="14" t="n">
        <v>0.123</v>
      </c>
      <c r="AY151" s="14" t="n">
        <v>0.5580000000000001</v>
      </c>
      <c r="AZ151" s="14" t="n">
        <v>1.52</v>
      </c>
      <c r="BA151" s="14" t="n">
        <v>0.05</v>
      </c>
      <c r="BB151" s="14" t="n">
        <v>1</v>
      </c>
      <c r="BC151" s="14" t="n">
        <v>0.62</v>
      </c>
      <c r="BD151" s="14" t="n">
        <v>0.123</v>
      </c>
      <c r="BE151" s="14" t="n">
        <v>0.284</v>
      </c>
      <c r="BF151" s="14" t="n">
        <v>0.95</v>
      </c>
      <c r="BG151" s="14" t="n">
        <v>0.05</v>
      </c>
      <c r="BH151" s="14" t="n">
        <v>1</v>
      </c>
      <c r="BI151" s="14" t="n">
        <v>0.608</v>
      </c>
      <c r="BJ151" s="14" t="n">
        <v>0.123</v>
      </c>
      <c r="BK151" s="14" t="n">
        <v>0.743</v>
      </c>
      <c r="BL151" s="14" t="n">
        <v>1.418</v>
      </c>
      <c r="BM151" s="14" t="n">
        <v>0.05</v>
      </c>
      <c r="BN151" s="14" t="n">
        <v>1</v>
      </c>
      <c r="BO151" s="14" t="n">
        <v>0</v>
      </c>
      <c r="BP151" s="14" t="n">
        <v>0.011</v>
      </c>
      <c r="BQ151" s="14" t="n">
        <v>0.099</v>
      </c>
      <c r="BR151" s="14" t="n">
        <v>0</v>
      </c>
      <c r="BS151" s="14" t="n">
        <v>1</v>
      </c>
      <c r="BT151" s="14" t="n">
        <v>0</v>
      </c>
      <c r="BU151" s="14" t="n">
        <v>0.007</v>
      </c>
      <c r="BV151" s="14" t="n">
        <v>0.122</v>
      </c>
      <c r="BW151" s="14" t="n">
        <v>0.05</v>
      </c>
      <c r="BX151" s="14" t="n">
        <v>0.833</v>
      </c>
      <c r="BY151" s="14" t="n">
        <v>12.729</v>
      </c>
      <c r="BZ151" s="14" t="n">
        <v>0</v>
      </c>
      <c r="CA151" s="14" t="n">
        <v>12.729</v>
      </c>
      <c r="CB151" s="14" t="n">
        <v>0</v>
      </c>
      <c r="CC151" s="14" t="n">
        <v>97.90000000000001</v>
      </c>
      <c r="CD151" s="14" t="n">
        <v>7.95</v>
      </c>
      <c r="CE151" s="14" t="n">
        <v>124.321</v>
      </c>
      <c r="CF151" s="14" t="n">
        <v>251.109</v>
      </c>
      <c r="CG151" s="14" t="n">
        <v>0.13</v>
      </c>
      <c r="CH151" s="14" t="n">
        <v>1</v>
      </c>
      <c r="CI151" s="14" t="n">
        <v>0</v>
      </c>
      <c r="CJ151" s="14" t="n">
        <v>0</v>
      </c>
      <c r="CK151" s="14" t="n">
        <v>0</v>
      </c>
      <c r="CL151" s="14" t="n">
        <v>0.014</v>
      </c>
      <c r="CM151" s="14" t="n">
        <v>0</v>
      </c>
      <c r="CN151" s="14" t="n">
        <v>1.176</v>
      </c>
      <c r="CO151" s="14" t="n">
        <v>0.398</v>
      </c>
      <c r="CP151" s="14" t="n">
        <v>0.446</v>
      </c>
      <c r="CQ151" s="14" t="n">
        <v>1.294</v>
      </c>
      <c r="CR151" s="14" t="n">
        <v>0</v>
      </c>
      <c r="CS151" s="14" t="n">
        <v>3.674</v>
      </c>
      <c r="CT151" s="14" t="n">
        <v>10.596</v>
      </c>
      <c r="CU151" s="14" t="n">
        <v>3.674</v>
      </c>
    </row>
    <row r="152">
      <c r="A152" s="14" t="inlineStr">
        <is>
          <t>CAN2023</t>
        </is>
      </c>
      <c r="B152" s="14" t="inlineStr">
        <is>
          <t>CAN</t>
        </is>
      </c>
      <c r="C152" s="14" t="inlineStr">
        <is>
          <t>CAN</t>
        </is>
      </c>
      <c r="D152" s="14" t="inlineStr">
        <is>
          <t>Canada</t>
        </is>
      </c>
      <c r="E152" s="14" t="n">
        <v>2023</v>
      </c>
      <c r="F152" s="14" t="n">
        <v>0.05</v>
      </c>
      <c r="G152" s="14" t="n">
        <v>4.691</v>
      </c>
      <c r="H152" s="14" t="n">
        <v>1.038</v>
      </c>
      <c r="I152" s="14" t="n">
        <v>4.767</v>
      </c>
      <c r="J152" s="14" t="n">
        <v>9.458</v>
      </c>
      <c r="K152" s="14" t="n">
        <v>0</v>
      </c>
      <c r="L152" s="14" t="n">
        <v>1</v>
      </c>
      <c r="M152" s="14" t="n">
        <v>6.109</v>
      </c>
      <c r="N152" s="14" t="n">
        <v>3.114</v>
      </c>
      <c r="O152" s="14" t="n">
        <v>4.853</v>
      </c>
      <c r="P152" s="14" t="n">
        <v>10.963</v>
      </c>
      <c r="Q152" s="14" t="n">
        <v>0</v>
      </c>
      <c r="R152" s="14" t="n">
        <v>1</v>
      </c>
      <c r="S152" s="14" t="n">
        <v>9.881</v>
      </c>
      <c r="T152" s="14" t="n">
        <v>6.228</v>
      </c>
      <c r="U152" s="14" t="n">
        <v>0.769</v>
      </c>
      <c r="V152" s="14" t="n">
        <v>11.12</v>
      </c>
      <c r="W152" s="14" t="n">
        <v>0.05</v>
      </c>
      <c r="X152" s="14" t="n">
        <v>1</v>
      </c>
      <c r="Y152" s="14" t="n">
        <v>6.639</v>
      </c>
      <c r="Z152" s="14" t="n">
        <v>0.744</v>
      </c>
      <c r="AA152" s="14" t="n">
        <v>2.788</v>
      </c>
      <c r="AB152" s="14" t="n">
        <v>9.427</v>
      </c>
      <c r="AC152" s="14" t="n">
        <v>0</v>
      </c>
      <c r="AD152" s="14" t="n">
        <v>1</v>
      </c>
      <c r="AE152" s="14" t="n">
        <v>6.739</v>
      </c>
      <c r="AF152" s="14" t="n">
        <v>1.342</v>
      </c>
      <c r="AG152" s="14" t="n">
        <v>2.688</v>
      </c>
      <c r="AH152" s="14" t="n">
        <v>9.427</v>
      </c>
      <c r="AI152" s="14" t="n">
        <v>0</v>
      </c>
      <c r="AJ152" s="14" t="n">
        <v>1</v>
      </c>
      <c r="AK152" s="14" t="n">
        <v>9.58</v>
      </c>
      <c r="AL152" s="14" t="n">
        <v>4.746</v>
      </c>
      <c r="AM152" s="14" t="n">
        <v>0.954</v>
      </c>
      <c r="AN152" s="14" t="n">
        <v>11.06</v>
      </c>
      <c r="AO152" s="14" t="n">
        <v>0.05</v>
      </c>
      <c r="AP152" s="14" t="n">
        <v>1</v>
      </c>
      <c r="AQ152" s="14" t="n">
        <v>0.791</v>
      </c>
      <c r="AR152" s="14" t="n">
        <v>0.129</v>
      </c>
      <c r="AS152" s="14" t="n">
        <v>0.457</v>
      </c>
      <c r="AT152" s="14" t="n">
        <v>1.31</v>
      </c>
      <c r="AU152" s="14" t="n">
        <v>0.05</v>
      </c>
      <c r="AV152" s="14" t="n">
        <v>1</v>
      </c>
      <c r="AW152" s="14" t="n">
        <v>0.618</v>
      </c>
      <c r="AX152" s="14" t="n">
        <v>0.129</v>
      </c>
      <c r="AY152" s="14" t="n">
        <v>0.616</v>
      </c>
      <c r="AZ152" s="14" t="n">
        <v>1.296</v>
      </c>
      <c r="BA152" s="14" t="n">
        <v>0.05</v>
      </c>
      <c r="BB152" s="14" t="n">
        <v>1</v>
      </c>
      <c r="BC152" s="14" t="n">
        <v>0.554</v>
      </c>
      <c r="BD152" s="14" t="n">
        <v>0.129</v>
      </c>
      <c r="BE152" s="14" t="n">
        <v>0.339</v>
      </c>
      <c r="BF152" s="14" t="n">
        <v>0.9389999999999999</v>
      </c>
      <c r="BG152" s="14" t="n">
        <v>0.05</v>
      </c>
      <c r="BH152" s="14" t="n">
        <v>1</v>
      </c>
      <c r="BI152" s="14" t="n">
        <v>0.5570000000000001</v>
      </c>
      <c r="BJ152" s="14" t="n">
        <v>0.129</v>
      </c>
      <c r="BK152" s="14" t="n">
        <v>0.598</v>
      </c>
      <c r="BL152" s="14" t="n">
        <v>1.213</v>
      </c>
      <c r="BM152" s="14" t="n">
        <v>0.05</v>
      </c>
      <c r="BN152" s="14" t="n">
        <v>1</v>
      </c>
      <c r="BO152" s="14" t="n">
        <v>0</v>
      </c>
      <c r="BP152" s="14" t="n">
        <v>0.011</v>
      </c>
      <c r="BQ152" s="14" t="n">
        <v>0.109</v>
      </c>
      <c r="BR152" s="14" t="n">
        <v>0</v>
      </c>
      <c r="BS152" s="14" t="n">
        <v>1</v>
      </c>
      <c r="BT152" s="14" t="n">
        <v>0</v>
      </c>
      <c r="BU152" s="14" t="n">
        <v>0.007</v>
      </c>
      <c r="BV152" s="14" t="n">
        <v>0.125</v>
      </c>
      <c r="BW152" s="14" t="n">
        <v>0.05</v>
      </c>
      <c r="BX152" s="14" t="n">
        <v>0.833</v>
      </c>
      <c r="BY152" s="14" t="n">
        <v>13.254</v>
      </c>
      <c r="BZ152" s="14" t="n">
        <v>0</v>
      </c>
      <c r="CA152" s="14" t="n">
        <v>13.254</v>
      </c>
      <c r="CB152" s="14" t="n">
        <v>0</v>
      </c>
      <c r="CC152" s="14" t="n">
        <v>83.248</v>
      </c>
      <c r="CD152" s="14" t="n">
        <v>7.95</v>
      </c>
      <c r="CE152" s="14" t="n">
        <v>114.102</v>
      </c>
      <c r="CF152" s="14" t="n">
        <v>223.006</v>
      </c>
      <c r="CG152" s="14" t="n">
        <v>0.13</v>
      </c>
      <c r="CH152" s="14" t="n">
        <v>1</v>
      </c>
      <c r="CI152" s="14" t="n">
        <v>0</v>
      </c>
      <c r="CJ152" s="14" t="n">
        <v>0</v>
      </c>
      <c r="CK152" s="14" t="n">
        <v>0</v>
      </c>
      <c r="CL152" s="14" t="n">
        <v>0.015</v>
      </c>
      <c r="CM152" s="14" t="n">
        <v>0</v>
      </c>
      <c r="CN152" s="14" t="n">
        <v>1.26</v>
      </c>
      <c r="CO152" s="14" t="n">
        <v>0.415</v>
      </c>
      <c r="CP152" s="14" t="n">
        <v>0.385</v>
      </c>
      <c r="CQ152" s="14" t="n">
        <v>1.348</v>
      </c>
      <c r="CR152" s="14" t="n">
        <v>0</v>
      </c>
      <c r="CS152" s="14" t="n">
        <v>1.823</v>
      </c>
      <c r="CT152" s="14" t="n">
        <v>5.099</v>
      </c>
      <c r="CU152" s="14" t="n">
        <v>1.823</v>
      </c>
    </row>
    <row r="153">
      <c r="A153" s="14" t="inlineStr">
        <is>
          <t>CAN2024</t>
        </is>
      </c>
      <c r="B153" s="14" t="inlineStr">
        <is>
          <t>CAN</t>
        </is>
      </c>
      <c r="C153" s="14" t="inlineStr">
        <is>
          <t>CAN</t>
        </is>
      </c>
      <c r="D153" s="14" t="inlineStr">
        <is>
          <t>Canada</t>
        </is>
      </c>
      <c r="E153" s="14" t="n">
        <v>2024</v>
      </c>
      <c r="F153" s="14" t="n">
        <v>0.05</v>
      </c>
      <c r="G153" s="14" t="n">
        <v>4.055</v>
      </c>
      <c r="H153" s="14" t="n">
        <v>1.069</v>
      </c>
      <c r="I153" s="14" t="n">
        <v>6.023</v>
      </c>
      <c r="J153" s="14" t="n">
        <v>10.078</v>
      </c>
      <c r="K153" s="14" t="n">
        <v>0</v>
      </c>
      <c r="L153" s="14" t="n">
        <v>1</v>
      </c>
      <c r="M153" s="14" t="n">
        <v>5.678</v>
      </c>
      <c r="N153" s="14" t="n">
        <v>3.206</v>
      </c>
      <c r="O153" s="14" t="n">
        <v>6.133</v>
      </c>
      <c r="P153" s="14" t="n">
        <v>11.811</v>
      </c>
      <c r="Q153" s="14" t="n">
        <v>0</v>
      </c>
      <c r="R153" s="14" t="n">
        <v>1</v>
      </c>
      <c r="S153" s="14" t="n">
        <v>9.398</v>
      </c>
      <c r="T153" s="14" t="n">
        <v>6.411</v>
      </c>
      <c r="U153" s="14" t="n">
        <v>0.8</v>
      </c>
      <c r="V153" s="14" t="n">
        <v>10.635</v>
      </c>
      <c r="W153" s="14" t="n">
        <v>0.05</v>
      </c>
      <c r="X153" s="14" t="n">
        <v>1</v>
      </c>
      <c r="Y153" s="14" t="n">
        <v>5.223</v>
      </c>
      <c r="Z153" s="14" t="n">
        <v>0.659</v>
      </c>
      <c r="AA153" s="14" t="n">
        <v>3.527</v>
      </c>
      <c r="AB153" s="14" t="n">
        <v>8.749000000000001</v>
      </c>
      <c r="AC153" s="14" t="n">
        <v>0</v>
      </c>
      <c r="AD153" s="14" t="n">
        <v>1</v>
      </c>
      <c r="AE153" s="14" t="n">
        <v>5.223</v>
      </c>
      <c r="AF153" s="14" t="n">
        <v>1.144</v>
      </c>
      <c r="AG153" s="14" t="n">
        <v>3.526</v>
      </c>
      <c r="AH153" s="14" t="n">
        <v>8.749000000000001</v>
      </c>
      <c r="AI153" s="14" t="n">
        <v>0</v>
      </c>
      <c r="AJ153" s="14" t="n">
        <v>1</v>
      </c>
      <c r="AK153" s="14" t="n">
        <v>8.335000000000001</v>
      </c>
      <c r="AL153" s="14" t="n">
        <v>4.24</v>
      </c>
      <c r="AM153" s="14" t="n">
        <v>1.131</v>
      </c>
      <c r="AN153" s="14" t="n">
        <v>9.94</v>
      </c>
      <c r="AO153" s="14" t="n">
        <v>0.05</v>
      </c>
      <c r="AP153" s="14" t="n">
        <v>1</v>
      </c>
      <c r="AQ153" s="14" t="n">
        <v>0.756</v>
      </c>
      <c r="AR153" s="14" t="n">
        <v>0.132</v>
      </c>
      <c r="AS153" s="14" t="n">
        <v>0.485</v>
      </c>
      <c r="AT153" s="14" t="n">
        <v>1.304</v>
      </c>
      <c r="AU153" s="14" t="n">
        <v>0.05</v>
      </c>
      <c r="AV153" s="14" t="n">
        <v>1</v>
      </c>
      <c r="AW153" s="14" t="n">
        <v>0.655</v>
      </c>
      <c r="AX153" s="14" t="n">
        <v>0.132</v>
      </c>
      <c r="AY153" s="14" t="n">
        <v>0.514</v>
      </c>
      <c r="AZ153" s="14" t="n">
        <v>1.228</v>
      </c>
      <c r="BA153" s="14" t="n">
        <v>0.05</v>
      </c>
      <c r="BB153" s="14" t="n">
        <v>1</v>
      </c>
      <c r="BC153" s="14" t="n">
        <v>0.534</v>
      </c>
      <c r="BD153" s="14" t="n">
        <v>0.132</v>
      </c>
      <c r="BE153" s="14" t="n">
        <v>0.356</v>
      </c>
      <c r="BF153" s="14" t="n">
        <v>0.9340000000000001</v>
      </c>
      <c r="BG153" s="14" t="n">
        <v>0.05</v>
      </c>
      <c r="BH153" s="14" t="n">
        <v>1</v>
      </c>
      <c r="BI153" s="14" t="n">
        <v>0.5679999999999999</v>
      </c>
      <c r="BJ153" s="14" t="n">
        <v>0.132</v>
      </c>
      <c r="BK153" s="14" t="n">
        <v>0.651</v>
      </c>
      <c r="BL153" s="14" t="n">
        <v>1.28</v>
      </c>
      <c r="BM153" s="14" t="n">
        <v>0.05</v>
      </c>
      <c r="BN153" s="14" t="n">
        <v>1</v>
      </c>
      <c r="BO153" s="14" t="n">
        <v>0</v>
      </c>
      <c r="BP153" s="14" t="n">
        <v>0.012</v>
      </c>
      <c r="BQ153" s="14" t="n">
        <v>0.106</v>
      </c>
      <c r="BR153" s="14" t="n">
        <v>0</v>
      </c>
      <c r="BS153" s="14" t="n">
        <v>1</v>
      </c>
      <c r="BT153" s="14" t="n">
        <v>0</v>
      </c>
      <c r="BU153" s="14" t="n">
        <v>0.008</v>
      </c>
      <c r="BV153" s="14" t="n">
        <v>0.122</v>
      </c>
      <c r="BW153" s="14" t="n">
        <v>0.05</v>
      </c>
      <c r="BX153" s="14" t="n">
        <v>0.833</v>
      </c>
      <c r="BY153" s="14" t="n">
        <v>13.646</v>
      </c>
      <c r="BZ153" s="14" t="n">
        <v>0</v>
      </c>
      <c r="CA153" s="14" t="n">
        <v>13.646</v>
      </c>
      <c r="CB153" s="14" t="n">
        <v>0</v>
      </c>
      <c r="CC153" s="14" t="n">
        <v>82.58799999999999</v>
      </c>
      <c r="CD153" s="14" t="n">
        <v>7.95</v>
      </c>
      <c r="CE153" s="14" t="n">
        <v>99.848</v>
      </c>
      <c r="CF153" s="14" t="n">
        <v>206.153</v>
      </c>
      <c r="CG153" s="14" t="n">
        <v>0.13</v>
      </c>
      <c r="CH153" s="14" t="n">
        <v>1</v>
      </c>
      <c r="CI153" s="14" t="n">
        <v>0</v>
      </c>
      <c r="CJ153" s="14" t="n">
        <v>0</v>
      </c>
      <c r="CK153" s="14" t="n">
        <v>0</v>
      </c>
      <c r="CL153" s="14" t="n">
        <v>0.015</v>
      </c>
      <c r="CM153" s="14" t="n">
        <v>0</v>
      </c>
      <c r="CN153" s="14" t="n">
        <v>1.406</v>
      </c>
      <c r="CO153" s="14" t="n">
        <v>0.442</v>
      </c>
      <c r="CP153" s="14" t="n">
        <v>0.385</v>
      </c>
      <c r="CQ153" s="14" t="n">
        <v>1.387</v>
      </c>
      <c r="CR153" s="14" t="n">
        <v>0</v>
      </c>
      <c r="CS153" s="14" t="n">
        <v>0.827</v>
      </c>
      <c r="CT153" s="14" t="n">
        <v>3.99</v>
      </c>
      <c r="CU153" s="14" t="n">
        <v>0.827</v>
      </c>
    </row>
    <row r="154">
      <c r="A154" s="14" t="inlineStr">
        <is>
          <t>CYM2021</t>
        </is>
      </c>
      <c r="B154" s="14" t="inlineStr">
        <is>
          <t>CYM</t>
        </is>
      </c>
      <c r="C154" s="14" t="inlineStr">
        <is>
          <t>CYM</t>
        </is>
      </c>
      <c r="D154" s="14" t="inlineStr">
        <is>
          <t>Cayman Islands</t>
        </is>
      </c>
      <c r="E154" s="14" t="n">
        <v>2021</v>
      </c>
      <c r="F154" s="14" t="n">
        <v>0</v>
      </c>
      <c r="G154" s="14" t="n">
        <v>5.897</v>
      </c>
      <c r="H154" s="14" t="n">
        <v>1.143</v>
      </c>
      <c r="I154" s="14" t="n">
        <v>0</v>
      </c>
      <c r="J154" s="14" t="n">
        <v>5.897</v>
      </c>
      <c r="K154" s="14" t="n">
        <v>0</v>
      </c>
      <c r="L154" s="14" t="n">
        <v>1</v>
      </c>
      <c r="M154" s="14" t="n">
        <v>7.964</v>
      </c>
      <c r="N154" s="14" t="n">
        <v>3.43</v>
      </c>
      <c r="O154" s="14" t="n">
        <v>0</v>
      </c>
      <c r="P154" s="14" t="n">
        <v>7.964</v>
      </c>
      <c r="Q154" s="14" t="n">
        <v>0</v>
      </c>
      <c r="R154" s="14" t="n">
        <v>1</v>
      </c>
      <c r="S154" s="14" t="n">
        <v>11.613</v>
      </c>
      <c r="T154" s="14" t="n">
        <v>6.86</v>
      </c>
      <c r="U154" s="14" t="n">
        <v>0</v>
      </c>
      <c r="V154" s="14" t="n">
        <v>11.613</v>
      </c>
      <c r="W154" s="14" t="n">
        <v>0</v>
      </c>
      <c r="X154" s="14" t="n">
        <v>1</v>
      </c>
      <c r="Y154" s="14" t="n">
        <v>16.158</v>
      </c>
      <c r="Z154" s="14" t="n">
        <v>2.173</v>
      </c>
      <c r="AA154" s="14" t="n">
        <v>0</v>
      </c>
      <c r="AB154" s="14" t="n">
        <v>16.158</v>
      </c>
      <c r="AC154" s="14" t="n">
        <v>0</v>
      </c>
      <c r="AD154" s="14" t="n">
        <v>1</v>
      </c>
      <c r="AE154" s="14" t="n">
        <v>17.301</v>
      </c>
      <c r="AF154" s="14" t="n">
        <v>4.052</v>
      </c>
      <c r="AG154" s="14" t="n">
        <v>0</v>
      </c>
      <c r="AH154" s="14" t="n">
        <v>17.301</v>
      </c>
      <c r="AI154" s="14" t="n">
        <v>0</v>
      </c>
      <c r="AJ154" s="14" t="n">
        <v>1</v>
      </c>
      <c r="AK154" s="14" t="n">
        <v>24.161</v>
      </c>
      <c r="AL154" s="14" t="n">
        <v>12.982</v>
      </c>
      <c r="AM154" s="14" t="n">
        <v>0</v>
      </c>
      <c r="AN154" s="14" t="n">
        <v>24.161</v>
      </c>
      <c r="AO154" s="14" t="n">
        <v>0</v>
      </c>
      <c r="AP154" s="14" t="n">
        <v>1</v>
      </c>
      <c r="AQ154" s="14" t="n">
        <v>0.649</v>
      </c>
      <c r="AR154" s="14" t="n">
        <v>0.114</v>
      </c>
      <c r="AS154" s="14" t="n">
        <v>0.628</v>
      </c>
      <c r="AT154" s="14" t="n">
        <v>1.277</v>
      </c>
      <c r="AU154" s="14" t="n">
        <v>0</v>
      </c>
      <c r="AV154" s="14" t="n">
        <v>1</v>
      </c>
      <c r="AW154" s="14" t="n">
        <v>0.577</v>
      </c>
      <c r="AX154" s="14" t="n">
        <v>0.114</v>
      </c>
      <c r="AY154" s="14" t="n">
        <v>0.574</v>
      </c>
      <c r="AZ154" s="14" t="n">
        <v>1.151</v>
      </c>
      <c r="BA154" s="14" t="n">
        <v>0</v>
      </c>
      <c r="BB154" s="14" t="n">
        <v>1</v>
      </c>
      <c r="BC154" s="14" t="n">
        <v>0.458</v>
      </c>
      <c r="BD154" s="14" t="n">
        <v>0.114</v>
      </c>
      <c r="BE154" s="14" t="n">
        <v>0</v>
      </c>
      <c r="BF154" s="14" t="n">
        <v>0.458</v>
      </c>
      <c r="BG154" s="14" t="n">
        <v>0</v>
      </c>
      <c r="BH154" s="14" t="n">
        <v>1</v>
      </c>
      <c r="BI154" s="14" t="n">
        <v>0.491</v>
      </c>
      <c r="BJ154" s="14" t="n">
        <v>0.114</v>
      </c>
      <c r="BK154" s="14" t="n">
        <v>0</v>
      </c>
      <c r="BL154" s="14" t="n">
        <v>0.491</v>
      </c>
      <c r="BM154" s="14" t="n">
        <v>0</v>
      </c>
      <c r="BN154" s="14" t="n">
        <v>1</v>
      </c>
      <c r="BO154" s="14" t="n">
        <v>0</v>
      </c>
      <c r="BP154" s="14" t="n">
        <v>0</v>
      </c>
      <c r="BQ154" s="14" t="n">
        <v>0.286</v>
      </c>
      <c r="BR154" s="14" t="n">
        <v>0</v>
      </c>
      <c r="BS154" s="14" t="n">
        <v>1</v>
      </c>
      <c r="BT154" s="14" t="n">
        <v>0</v>
      </c>
      <c r="BU154" s="14" t="n">
        <v>0</v>
      </c>
      <c r="BV154" s="14" t="n">
        <v>0.318</v>
      </c>
      <c r="BW154" s="14" t="n">
        <v>0</v>
      </c>
      <c r="BX154" s="14" t="n">
        <v>0.833</v>
      </c>
      <c r="BY154" s="14" t="n">
        <v>11.787</v>
      </c>
      <c r="BZ154" s="14" t="n">
        <v>0</v>
      </c>
      <c r="CA154" s="14" t="n">
        <v>11.787</v>
      </c>
      <c r="CB154" s="14" t="n">
        <v>0</v>
      </c>
      <c r="CC154" s="14" t="n">
        <v>78.125</v>
      </c>
      <c r="CD154" s="14" t="n">
        <v>7.95</v>
      </c>
      <c r="CE154" s="14" t="n">
        <v>0</v>
      </c>
      <c r="CF154" s="14" t="n">
        <v>78.125</v>
      </c>
      <c r="CG154" s="14" t="n">
        <v>0</v>
      </c>
      <c r="CH154" s="14" t="n">
        <v>1</v>
      </c>
      <c r="CI154" s="14" t="n">
        <v>0</v>
      </c>
      <c r="CJ154" s="14" t="n">
        <v>0</v>
      </c>
      <c r="CK154" s="14" t="n">
        <v>0</v>
      </c>
      <c r="CL154" s="14" t="n">
        <v>0</v>
      </c>
      <c r="CM154" s="14" t="n">
        <v>0</v>
      </c>
      <c r="CN154" s="14" t="n">
        <v>0</v>
      </c>
      <c r="CO154" s="14" t="n">
        <v>0</v>
      </c>
      <c r="CP154" s="14" t="n">
        <v>0</v>
      </c>
      <c r="CQ154" s="14" t="n">
        <v>1.198</v>
      </c>
      <c r="CR154" s="14" t="n">
        <v>0</v>
      </c>
      <c r="CS154" s="14" t="n">
        <v>4.776</v>
      </c>
      <c r="CT154" s="14" t="n">
        <v>4.753</v>
      </c>
      <c r="CU154" s="14" t="n">
        <v>15.983</v>
      </c>
    </row>
    <row r="155">
      <c r="A155" s="14" t="inlineStr">
        <is>
          <t>CYM2022</t>
        </is>
      </c>
      <c r="B155" s="14" t="inlineStr">
        <is>
          <t>CYM</t>
        </is>
      </c>
      <c r="C155" s="14" t="inlineStr">
        <is>
          <t>CYM</t>
        </is>
      </c>
      <c r="D155" s="14" t="inlineStr">
        <is>
          <t>Cayman Islands</t>
        </is>
      </c>
      <c r="E155" s="14" t="n">
        <v>2022</v>
      </c>
      <c r="F155" s="14" t="n">
        <v>0</v>
      </c>
      <c r="G155" s="14" t="n">
        <v>11.72</v>
      </c>
      <c r="H155" s="14" t="n">
        <v>1.235</v>
      </c>
      <c r="I155" s="14" t="n">
        <v>0</v>
      </c>
      <c r="J155" s="14" t="n">
        <v>11.72</v>
      </c>
      <c r="K155" s="14" t="n">
        <v>0</v>
      </c>
      <c r="L155" s="14" t="n">
        <v>1</v>
      </c>
      <c r="M155" s="14" t="n">
        <v>9.782999999999999</v>
      </c>
      <c r="N155" s="14" t="n">
        <v>3.704</v>
      </c>
      <c r="O155" s="14" t="n">
        <v>0</v>
      </c>
      <c r="P155" s="14" t="n">
        <v>9.782999999999999</v>
      </c>
      <c r="Q155" s="14" t="n">
        <v>0</v>
      </c>
      <c r="R155" s="14" t="n">
        <v>1</v>
      </c>
      <c r="S155" s="14" t="n">
        <v>17.893</v>
      </c>
      <c r="T155" s="14" t="n">
        <v>7.408</v>
      </c>
      <c r="U155" s="14" t="n">
        <v>0</v>
      </c>
      <c r="V155" s="14" t="n">
        <v>17.893</v>
      </c>
      <c r="W155" s="14" t="n">
        <v>0</v>
      </c>
      <c r="X155" s="14" t="n">
        <v>1</v>
      </c>
      <c r="Y155" s="14" t="n">
        <v>28.798</v>
      </c>
      <c r="Z155" s="14" t="n">
        <v>3.873</v>
      </c>
      <c r="AA155" s="14" t="n">
        <v>0</v>
      </c>
      <c r="AB155" s="14" t="n">
        <v>28.798</v>
      </c>
      <c r="AC155" s="14" t="n">
        <v>0</v>
      </c>
      <c r="AD155" s="14" t="n">
        <v>1</v>
      </c>
      <c r="AE155" s="14" t="n">
        <v>30.032</v>
      </c>
      <c r="AF155" s="14" t="n">
        <v>7.033</v>
      </c>
      <c r="AG155" s="14" t="n">
        <v>0</v>
      </c>
      <c r="AH155" s="14" t="n">
        <v>30.032</v>
      </c>
      <c r="AI155" s="14" t="n">
        <v>0</v>
      </c>
      <c r="AJ155" s="14" t="n">
        <v>1</v>
      </c>
      <c r="AK155" s="14" t="n">
        <v>37.44</v>
      </c>
      <c r="AL155" s="14" t="n">
        <v>20.118</v>
      </c>
      <c r="AM155" s="14" t="n">
        <v>0</v>
      </c>
      <c r="AN155" s="14" t="n">
        <v>37.44</v>
      </c>
      <c r="AO155" s="14" t="n">
        <v>0</v>
      </c>
      <c r="AP155" s="14" t="n">
        <v>1</v>
      </c>
      <c r="AQ155" s="14" t="n">
        <v>0.896</v>
      </c>
      <c r="AR155" s="14" t="n">
        <v>0.123</v>
      </c>
      <c r="AS155" s="14" t="n">
        <v>0.754</v>
      </c>
      <c r="AT155" s="14" t="n">
        <v>1.65</v>
      </c>
      <c r="AU155" s="14" t="n">
        <v>0</v>
      </c>
      <c r="AV155" s="14" t="n">
        <v>1</v>
      </c>
      <c r="AW155" s="14" t="n">
        <v>0.89</v>
      </c>
      <c r="AX155" s="14" t="n">
        <v>0.123</v>
      </c>
      <c r="AY155" s="14" t="n">
        <v>0.676</v>
      </c>
      <c r="AZ155" s="14" t="n">
        <v>1.566</v>
      </c>
      <c r="BA155" s="14" t="n">
        <v>0</v>
      </c>
      <c r="BB155" s="14" t="n">
        <v>1</v>
      </c>
      <c r="BC155" s="14" t="n">
        <v>0.62</v>
      </c>
      <c r="BD155" s="14" t="n">
        <v>0.123</v>
      </c>
      <c r="BE155" s="14" t="n">
        <v>0</v>
      </c>
      <c r="BF155" s="14" t="n">
        <v>0.62</v>
      </c>
      <c r="BG155" s="14" t="n">
        <v>0</v>
      </c>
      <c r="BH155" s="14" t="n">
        <v>1</v>
      </c>
      <c r="BI155" s="14" t="n">
        <v>0.608</v>
      </c>
      <c r="BJ155" s="14" t="n">
        <v>0.123</v>
      </c>
      <c r="BK155" s="14" t="n">
        <v>0</v>
      </c>
      <c r="BL155" s="14" t="n">
        <v>0.608</v>
      </c>
      <c r="BM155" s="14" t="n">
        <v>0</v>
      </c>
      <c r="BN155" s="14" t="n">
        <v>1</v>
      </c>
      <c r="BO155" s="14" t="n">
        <v>0</v>
      </c>
      <c r="BP155" s="14" t="n">
        <v>0</v>
      </c>
      <c r="BQ155" s="14" t="n">
        <v>0.383</v>
      </c>
      <c r="BR155" s="14" t="n">
        <v>0</v>
      </c>
      <c r="BS155" s="14" t="n">
        <v>1</v>
      </c>
      <c r="BT155" s="14" t="n">
        <v>0</v>
      </c>
      <c r="BU155" s="14" t="n">
        <v>0</v>
      </c>
      <c r="BV155" s="14" t="n">
        <v>0.411</v>
      </c>
      <c r="BW155" s="14" t="n">
        <v>0</v>
      </c>
      <c r="BX155" s="14" t="n">
        <v>0.833</v>
      </c>
      <c r="BY155" s="14" t="n">
        <v>12.729</v>
      </c>
      <c r="BZ155" s="14" t="n">
        <v>0</v>
      </c>
      <c r="CA155" s="14" t="n">
        <v>12.729</v>
      </c>
      <c r="CB155" s="14" t="n">
        <v>0</v>
      </c>
      <c r="CC155" s="14" t="n">
        <v>97.90000000000001</v>
      </c>
      <c r="CD155" s="14" t="n">
        <v>7.95</v>
      </c>
      <c r="CE155" s="14" t="n">
        <v>0</v>
      </c>
      <c r="CF155" s="14" t="n">
        <v>97.90000000000001</v>
      </c>
      <c r="CG155" s="14" t="n">
        <v>0</v>
      </c>
      <c r="CH155" s="14" t="n">
        <v>1</v>
      </c>
      <c r="CI155" s="14" t="n">
        <v>0</v>
      </c>
      <c r="CJ155" s="14" t="n">
        <v>0</v>
      </c>
      <c r="CK155" s="14" t="n">
        <v>0</v>
      </c>
      <c r="CL155" s="14" t="n">
        <v>0</v>
      </c>
      <c r="CM155" s="14" t="n">
        <v>0</v>
      </c>
      <c r="CN155" s="14" t="n">
        <v>0</v>
      </c>
      <c r="CO155" s="14" t="n">
        <v>0</v>
      </c>
      <c r="CP155" s="14" t="n">
        <v>0</v>
      </c>
      <c r="CQ155" s="14" t="n">
        <v>1.294</v>
      </c>
      <c r="CR155" s="14" t="n">
        <v>0</v>
      </c>
      <c r="CS155" s="14" t="n">
        <v>5.158</v>
      </c>
      <c r="CT155" s="14" t="n">
        <v>10.485</v>
      </c>
      <c r="CU155" s="14" t="n">
        <v>29.494</v>
      </c>
    </row>
    <row r="156">
      <c r="A156" s="14" t="inlineStr">
        <is>
          <t>CYM2023</t>
        </is>
      </c>
      <c r="B156" s="14" t="inlineStr">
        <is>
          <t>CYM</t>
        </is>
      </c>
      <c r="C156" s="14" t="inlineStr">
        <is>
          <t>CYM</t>
        </is>
      </c>
      <c r="D156" s="14" t="inlineStr">
        <is>
          <t>Cayman Islands</t>
        </is>
      </c>
      <c r="E156" s="14" t="n">
        <v>2023</v>
      </c>
      <c r="F156" s="14" t="n">
        <v>0</v>
      </c>
      <c r="G156" s="14" t="n">
        <v>6.147</v>
      </c>
      <c r="H156" s="14" t="n">
        <v>1.286</v>
      </c>
      <c r="I156" s="14" t="n">
        <v>0</v>
      </c>
      <c r="J156" s="14" t="n">
        <v>6.147</v>
      </c>
      <c r="K156" s="14" t="n">
        <v>0</v>
      </c>
      <c r="L156" s="14" t="n">
        <v>1</v>
      </c>
      <c r="M156" s="14" t="n">
        <v>7.886</v>
      </c>
      <c r="N156" s="14" t="n">
        <v>3.857</v>
      </c>
      <c r="O156" s="14" t="n">
        <v>0</v>
      </c>
      <c r="P156" s="14" t="n">
        <v>7.886</v>
      </c>
      <c r="Q156" s="14" t="n">
        <v>0</v>
      </c>
      <c r="R156" s="14" t="n">
        <v>1</v>
      </c>
      <c r="S156" s="14" t="n">
        <v>12.575</v>
      </c>
      <c r="T156" s="14" t="n">
        <v>7.714</v>
      </c>
      <c r="U156" s="14" t="n">
        <v>0</v>
      </c>
      <c r="V156" s="14" t="n">
        <v>12.575</v>
      </c>
      <c r="W156" s="14" t="n">
        <v>0</v>
      </c>
      <c r="X156" s="14" t="n">
        <v>1</v>
      </c>
      <c r="Y156" s="14" t="n">
        <v>11.879</v>
      </c>
      <c r="Z156" s="14" t="n">
        <v>1.598</v>
      </c>
      <c r="AA156" s="14" t="n">
        <v>0</v>
      </c>
      <c r="AB156" s="14" t="n">
        <v>11.879</v>
      </c>
      <c r="AC156" s="14" t="n">
        <v>0</v>
      </c>
      <c r="AD156" s="14" t="n">
        <v>1</v>
      </c>
      <c r="AE156" s="14" t="n">
        <v>13.165</v>
      </c>
      <c r="AF156" s="14" t="n">
        <v>3.083</v>
      </c>
      <c r="AG156" s="14" t="n">
        <v>0</v>
      </c>
      <c r="AH156" s="14" t="n">
        <v>13.165</v>
      </c>
      <c r="AI156" s="14" t="n">
        <v>0</v>
      </c>
      <c r="AJ156" s="14" t="n">
        <v>1</v>
      </c>
      <c r="AK156" s="14" t="n">
        <v>20.879</v>
      </c>
      <c r="AL156" s="14" t="n">
        <v>11.219</v>
      </c>
      <c r="AM156" s="14" t="n">
        <v>0</v>
      </c>
      <c r="AN156" s="14" t="n">
        <v>20.879</v>
      </c>
      <c r="AO156" s="14" t="n">
        <v>0</v>
      </c>
      <c r="AP156" s="14" t="n">
        <v>1</v>
      </c>
      <c r="AQ156" s="14" t="n">
        <v>0.791</v>
      </c>
      <c r="AR156" s="14" t="n">
        <v>0.129</v>
      </c>
      <c r="AS156" s="14" t="n">
        <v>0.774</v>
      </c>
      <c r="AT156" s="14" t="n">
        <v>1.565</v>
      </c>
      <c r="AU156" s="14" t="n">
        <v>0</v>
      </c>
      <c r="AV156" s="14" t="n">
        <v>1</v>
      </c>
      <c r="AW156" s="14" t="n">
        <v>0.618</v>
      </c>
      <c r="AX156" s="14" t="n">
        <v>0.129</v>
      </c>
      <c r="AY156" s="14" t="n">
        <v>0.888</v>
      </c>
      <c r="AZ156" s="14" t="n">
        <v>1.506</v>
      </c>
      <c r="BA156" s="14" t="n">
        <v>0</v>
      </c>
      <c r="BB156" s="14" t="n">
        <v>1</v>
      </c>
      <c r="BC156" s="14" t="n">
        <v>0.554</v>
      </c>
      <c r="BD156" s="14" t="n">
        <v>0.129</v>
      </c>
      <c r="BE156" s="14" t="n">
        <v>0</v>
      </c>
      <c r="BF156" s="14" t="n">
        <v>0.554</v>
      </c>
      <c r="BG156" s="14" t="n">
        <v>0</v>
      </c>
      <c r="BH156" s="14" t="n">
        <v>1</v>
      </c>
      <c r="BI156" s="14" t="n">
        <v>0.5570000000000001</v>
      </c>
      <c r="BJ156" s="14" t="n">
        <v>0.129</v>
      </c>
      <c r="BK156" s="14" t="n">
        <v>0</v>
      </c>
      <c r="BL156" s="14" t="n">
        <v>0.5570000000000001</v>
      </c>
      <c r="BM156" s="14" t="n">
        <v>0</v>
      </c>
      <c r="BN156" s="14" t="n">
        <v>1</v>
      </c>
      <c r="BO156" s="14" t="n">
        <v>0</v>
      </c>
      <c r="BP156" s="14" t="n">
        <v>0</v>
      </c>
      <c r="BQ156" s="14" t="n">
        <v>0.372</v>
      </c>
      <c r="BR156" s="14" t="n">
        <v>0</v>
      </c>
      <c r="BS156" s="14" t="n">
        <v>1</v>
      </c>
      <c r="BT156" s="14" t="n">
        <v>0</v>
      </c>
      <c r="BU156" s="14" t="n">
        <v>0</v>
      </c>
      <c r="BV156" s="14" t="n">
        <v>0.411</v>
      </c>
      <c r="BW156" s="14" t="n">
        <v>0</v>
      </c>
      <c r="BX156" s="14" t="n">
        <v>0.833</v>
      </c>
      <c r="BY156" s="14" t="n">
        <v>13.254</v>
      </c>
      <c r="BZ156" s="14" t="n">
        <v>0</v>
      </c>
      <c r="CA156" s="14" t="n">
        <v>13.254</v>
      </c>
      <c r="CB156" s="14" t="n">
        <v>0</v>
      </c>
      <c r="CC156" s="14" t="n">
        <v>83.248</v>
      </c>
      <c r="CD156" s="14" t="n">
        <v>7.95</v>
      </c>
      <c r="CE156" s="14" t="n">
        <v>0</v>
      </c>
      <c r="CF156" s="14" t="n">
        <v>83.248</v>
      </c>
      <c r="CG156" s="14" t="n">
        <v>0</v>
      </c>
      <c r="CH156" s="14" t="n">
        <v>1</v>
      </c>
      <c r="CI156" s="14" t="n">
        <v>0</v>
      </c>
      <c r="CJ156" s="14" t="n">
        <v>0</v>
      </c>
      <c r="CK156" s="14" t="n">
        <v>0</v>
      </c>
      <c r="CL156" s="14" t="n">
        <v>0</v>
      </c>
      <c r="CM156" s="14" t="n">
        <v>0</v>
      </c>
      <c r="CN156" s="14" t="n">
        <v>0</v>
      </c>
      <c r="CO156" s="14" t="n">
        <v>0</v>
      </c>
      <c r="CP156" s="14" t="n">
        <v>0</v>
      </c>
      <c r="CQ156" s="14" t="n">
        <v>1.348</v>
      </c>
      <c r="CR156" s="14" t="n">
        <v>0</v>
      </c>
      <c r="CS156" s="14" t="n">
        <v>5.37</v>
      </c>
      <c r="CT156" s="14" t="n">
        <v>4.861</v>
      </c>
      <c r="CU156" s="14" t="n">
        <v>11.192</v>
      </c>
    </row>
    <row r="157">
      <c r="A157" s="14" t="inlineStr">
        <is>
          <t>CYM2024</t>
        </is>
      </c>
      <c r="B157" s="14" t="inlineStr">
        <is>
          <t>CYM</t>
        </is>
      </c>
      <c r="C157" s="14" t="inlineStr">
        <is>
          <t>CYM</t>
        </is>
      </c>
      <c r="D157" s="14" t="inlineStr">
        <is>
          <t>Cayman Islands</t>
        </is>
      </c>
      <c r="E157" s="14" t="n">
        <v>2024</v>
      </c>
      <c r="F157" s="14" t="n">
        <v>0</v>
      </c>
      <c r="G157" s="14" t="n">
        <v>5.575</v>
      </c>
      <c r="H157" s="14" t="n">
        <v>1.324</v>
      </c>
      <c r="I157" s="14" t="n">
        <v>0</v>
      </c>
      <c r="J157" s="14" t="n">
        <v>5.575</v>
      </c>
      <c r="K157" s="14" t="n">
        <v>0</v>
      </c>
      <c r="L157" s="14" t="n">
        <v>1</v>
      </c>
      <c r="M157" s="14" t="n">
        <v>7.124</v>
      </c>
      <c r="N157" s="14" t="n">
        <v>3.971</v>
      </c>
      <c r="O157" s="14" t="n">
        <v>0</v>
      </c>
      <c r="P157" s="14" t="n">
        <v>7.124</v>
      </c>
      <c r="Q157" s="14" t="n">
        <v>0</v>
      </c>
      <c r="R157" s="14" t="n">
        <v>1</v>
      </c>
      <c r="S157" s="14" t="n">
        <v>12.193</v>
      </c>
      <c r="T157" s="14" t="n">
        <v>7.942</v>
      </c>
      <c r="U157" s="14" t="n">
        <v>0</v>
      </c>
      <c r="V157" s="14" t="n">
        <v>12.193</v>
      </c>
      <c r="W157" s="14" t="n">
        <v>0</v>
      </c>
      <c r="X157" s="14" t="n">
        <v>1</v>
      </c>
      <c r="Y157" s="14" t="n">
        <v>10.932</v>
      </c>
      <c r="Z157" s="14" t="n">
        <v>1.47</v>
      </c>
      <c r="AA157" s="14" t="n">
        <v>0</v>
      </c>
      <c r="AB157" s="14" t="n">
        <v>10.932</v>
      </c>
      <c r="AC157" s="14" t="n">
        <v>0</v>
      </c>
      <c r="AD157" s="14" t="n">
        <v>1</v>
      </c>
      <c r="AE157" s="14" t="n">
        <v>12.256</v>
      </c>
      <c r="AF157" s="14" t="n">
        <v>2.87</v>
      </c>
      <c r="AG157" s="14" t="n">
        <v>0</v>
      </c>
      <c r="AH157" s="14" t="n">
        <v>12.256</v>
      </c>
      <c r="AI157" s="14" t="n">
        <v>0</v>
      </c>
      <c r="AJ157" s="14" t="n">
        <v>1</v>
      </c>
      <c r="AK157" s="14" t="n">
        <v>20.197</v>
      </c>
      <c r="AL157" s="14" t="n">
        <v>10.852</v>
      </c>
      <c r="AM157" s="14" t="n">
        <v>0</v>
      </c>
      <c r="AN157" s="14" t="n">
        <v>20.197</v>
      </c>
      <c r="AO157" s="14" t="n">
        <v>0</v>
      </c>
      <c r="AP157" s="14" t="n">
        <v>1</v>
      </c>
      <c r="AQ157" s="14" t="n">
        <v>0.756</v>
      </c>
      <c r="AR157" s="14" t="n">
        <v>0.132</v>
      </c>
      <c r="AS157" s="14" t="n">
        <v>0.752</v>
      </c>
      <c r="AT157" s="14" t="n">
        <v>1.508</v>
      </c>
      <c r="AU157" s="14" t="n">
        <v>0</v>
      </c>
      <c r="AV157" s="14" t="n">
        <v>1</v>
      </c>
      <c r="AW157" s="14" t="n">
        <v>0.655</v>
      </c>
      <c r="AX157" s="14" t="n">
        <v>0.132</v>
      </c>
      <c r="AY157" s="14" t="n">
        <v>0.751</v>
      </c>
      <c r="AZ157" s="14" t="n">
        <v>1.406</v>
      </c>
      <c r="BA157" s="14" t="n">
        <v>0</v>
      </c>
      <c r="BB157" s="14" t="n">
        <v>1</v>
      </c>
      <c r="BC157" s="14" t="n">
        <v>0.534</v>
      </c>
      <c r="BD157" s="14" t="n">
        <v>0.132</v>
      </c>
      <c r="BE157" s="14" t="n">
        <v>0</v>
      </c>
      <c r="BF157" s="14" t="n">
        <v>0.534</v>
      </c>
      <c r="BG157" s="14" t="n">
        <v>0</v>
      </c>
      <c r="BH157" s="14" t="n">
        <v>1</v>
      </c>
      <c r="BI157" s="14" t="n">
        <v>0.5679999999999999</v>
      </c>
      <c r="BJ157" s="14" t="n">
        <v>0.132</v>
      </c>
      <c r="BK157" s="14" t="n">
        <v>0</v>
      </c>
      <c r="BL157" s="14" t="n">
        <v>0.5679999999999999</v>
      </c>
      <c r="BM157" s="14" t="n">
        <v>0</v>
      </c>
      <c r="BN157" s="14" t="n">
        <v>1</v>
      </c>
      <c r="BO157" s="14" t="n">
        <v>0</v>
      </c>
      <c r="BP157" s="14" t="n">
        <v>0</v>
      </c>
      <c r="BQ157" s="14" t="n">
        <v>0.378</v>
      </c>
      <c r="BR157" s="14" t="n">
        <v>0</v>
      </c>
      <c r="BS157" s="14" t="n">
        <v>1</v>
      </c>
      <c r="BT157" s="14" t="n">
        <v>0</v>
      </c>
      <c r="BU157" s="14" t="n">
        <v>0</v>
      </c>
      <c r="BV157" s="14" t="n">
        <v>0.425</v>
      </c>
      <c r="BW157" s="14" t="n">
        <v>0</v>
      </c>
      <c r="BX157" s="14" t="n">
        <v>0.833</v>
      </c>
      <c r="BY157" s="14" t="n">
        <v>13.646</v>
      </c>
      <c r="BZ157" s="14" t="n">
        <v>0</v>
      </c>
      <c r="CA157" s="14" t="n">
        <v>13.646</v>
      </c>
      <c r="CB157" s="14" t="n">
        <v>0</v>
      </c>
      <c r="CC157" s="14" t="n">
        <v>82.58799999999999</v>
      </c>
      <c r="CD157" s="14" t="n">
        <v>7.95</v>
      </c>
      <c r="CE157" s="14" t="n">
        <v>0</v>
      </c>
      <c r="CF157" s="14" t="n">
        <v>82.58799999999999</v>
      </c>
      <c r="CG157" s="14" t="n">
        <v>0</v>
      </c>
      <c r="CH157" s="14" t="n">
        <v>1</v>
      </c>
      <c r="CI157" s="14" t="n">
        <v>0</v>
      </c>
      <c r="CJ157" s="14" t="n">
        <v>0</v>
      </c>
      <c r="CK157" s="14" t="n">
        <v>0</v>
      </c>
      <c r="CL157" s="14" t="n">
        <v>0</v>
      </c>
      <c r="CM157" s="14" t="n">
        <v>0</v>
      </c>
      <c r="CN157" s="14" t="n">
        <v>0</v>
      </c>
      <c r="CO157" s="14" t="n">
        <v>0</v>
      </c>
      <c r="CP157" s="14" t="n">
        <v>0</v>
      </c>
      <c r="CQ157" s="14" t="n">
        <v>1.387</v>
      </c>
      <c r="CR157" s="14" t="n">
        <v>0</v>
      </c>
      <c r="CS157" s="14" t="n">
        <v>5.529</v>
      </c>
      <c r="CT157" s="14" t="n">
        <v>4.251</v>
      </c>
      <c r="CU157" s="14" t="n">
        <v>10.123</v>
      </c>
    </row>
    <row r="158">
      <c r="A158" s="14" t="inlineStr">
        <is>
          <t>CAF2021</t>
        </is>
      </c>
      <c r="B158" s="14" t="inlineStr">
        <is>
          <t>CAF</t>
        </is>
      </c>
      <c r="C158" s="14" t="inlineStr">
        <is>
          <t>CAF</t>
        </is>
      </c>
      <c r="D158" s="14" t="inlineStr">
        <is>
          <t>Central African Republic</t>
        </is>
      </c>
      <c r="E158" s="14" t="n">
        <v>2021</v>
      </c>
      <c r="F158" s="14" t="n">
        <v>0.19</v>
      </c>
      <c r="G158" s="14" t="n">
        <v>5.897</v>
      </c>
      <c r="H158" s="14" t="n">
        <v>1.143</v>
      </c>
      <c r="I158" s="14" t="n">
        <v>0</v>
      </c>
      <c r="J158" s="14" t="n">
        <v>5.897</v>
      </c>
      <c r="K158" s="14" t="n">
        <v>0</v>
      </c>
      <c r="L158" s="14" t="n">
        <v>1</v>
      </c>
      <c r="M158" s="14" t="n">
        <v>7.964</v>
      </c>
      <c r="N158" s="14" t="n">
        <v>3.43</v>
      </c>
      <c r="O158" s="14" t="n">
        <v>0</v>
      </c>
      <c r="P158" s="14" t="n">
        <v>7.964</v>
      </c>
      <c r="Q158" s="14" t="n">
        <v>0</v>
      </c>
      <c r="R158" s="14" t="n">
        <v>1</v>
      </c>
      <c r="S158" s="14" t="n">
        <v>11.613</v>
      </c>
      <c r="T158" s="14" t="n">
        <v>6.86</v>
      </c>
      <c r="U158" s="14" t="n">
        <v>0</v>
      </c>
      <c r="V158" s="14" t="n">
        <v>13.82</v>
      </c>
      <c r="W158" s="14" t="n">
        <v>0.19</v>
      </c>
      <c r="X158" s="14" t="n">
        <v>1</v>
      </c>
      <c r="Y158" s="14" t="n">
        <v>5.919</v>
      </c>
      <c r="Z158" s="14" t="n">
        <v>0.8</v>
      </c>
      <c r="AA158" s="14" t="n">
        <v>0</v>
      </c>
      <c r="AB158" s="14" t="n">
        <v>5.919</v>
      </c>
      <c r="AC158" s="14" t="n">
        <v>0</v>
      </c>
      <c r="AD158" s="14" t="n">
        <v>1</v>
      </c>
      <c r="AE158" s="14" t="n">
        <v>7.062</v>
      </c>
      <c r="AF158" s="14" t="n">
        <v>1.651</v>
      </c>
      <c r="AG158" s="14" t="n">
        <v>0</v>
      </c>
      <c r="AH158" s="14" t="n">
        <v>7.062</v>
      </c>
      <c r="AI158" s="14" t="n">
        <v>0</v>
      </c>
      <c r="AJ158" s="14" t="n">
        <v>1</v>
      </c>
      <c r="AK158" s="14" t="n">
        <v>13.922</v>
      </c>
      <c r="AL158" s="14" t="n">
        <v>7.415</v>
      </c>
      <c r="AM158" s="14" t="n">
        <v>0</v>
      </c>
      <c r="AN158" s="14" t="n">
        <v>16.568</v>
      </c>
      <c r="AO158" s="14" t="n">
        <v>0.19</v>
      </c>
      <c r="AP158" s="14" t="n">
        <v>1</v>
      </c>
      <c r="AQ158" s="14" t="n">
        <v>0.619</v>
      </c>
      <c r="AR158" s="14" t="n">
        <v>0.114</v>
      </c>
      <c r="AS158" s="14" t="n">
        <v>0.6919999999999999</v>
      </c>
      <c r="AT158" s="14" t="n">
        <v>1.56</v>
      </c>
      <c r="AU158" s="14" t="n">
        <v>0.19</v>
      </c>
      <c r="AV158" s="14" t="n">
        <v>1</v>
      </c>
      <c r="AW158" s="14" t="n">
        <v>0.599</v>
      </c>
      <c r="AX158" s="14" t="n">
        <v>0.114</v>
      </c>
      <c r="AY158" s="14" t="n">
        <v>0.696</v>
      </c>
      <c r="AZ158" s="14" t="n">
        <v>1.542</v>
      </c>
      <c r="BA158" s="14" t="n">
        <v>0.19</v>
      </c>
      <c r="BB158" s="14" t="n">
        <v>1</v>
      </c>
      <c r="BC158" s="14" t="n">
        <v>0.439</v>
      </c>
      <c r="BD158" s="14" t="n">
        <v>0.114</v>
      </c>
      <c r="BE158" s="14" t="n">
        <v>-0.052</v>
      </c>
      <c r="BF158" s="14" t="n">
        <v>0.46</v>
      </c>
      <c r="BG158" s="14" t="n">
        <v>0.19</v>
      </c>
      <c r="BH158" s="14" t="n">
        <v>0</v>
      </c>
      <c r="BI158" s="14" t="n">
        <v>0.505</v>
      </c>
      <c r="BJ158" s="14" t="n">
        <v>0.114</v>
      </c>
      <c r="BK158" s="14" t="n">
        <v>0.473</v>
      </c>
      <c r="BL158" s="14" t="n">
        <v>1.163</v>
      </c>
      <c r="BM158" s="14" t="n">
        <v>0.19</v>
      </c>
      <c r="BN158" s="14" t="n">
        <v>1</v>
      </c>
      <c r="BO158" s="14" t="n">
        <v>0</v>
      </c>
      <c r="BP158" s="14" t="n">
        <v>0</v>
      </c>
      <c r="BQ158" s="14" t="n">
        <v>0.082</v>
      </c>
      <c r="BR158" s="14" t="n">
        <v>0</v>
      </c>
      <c r="BS158" s="14" t="n">
        <v>1</v>
      </c>
      <c r="BT158" s="14" t="n">
        <v>0</v>
      </c>
      <c r="BU158" s="14" t="n">
        <v>0</v>
      </c>
      <c r="BV158" s="14" t="n">
        <v>0.152</v>
      </c>
      <c r="BW158" s="14" t="n">
        <v>0.19</v>
      </c>
      <c r="BX158" s="14" t="n">
        <v>1</v>
      </c>
      <c r="BY158" s="14" t="n">
        <v>11.787</v>
      </c>
      <c r="BZ158" s="14" t="n">
        <v>0</v>
      </c>
      <c r="CA158" s="14" t="n">
        <v>11.787</v>
      </c>
      <c r="CB158" s="14" t="n">
        <v>0</v>
      </c>
      <c r="CC158" s="14" t="n">
        <v>78.125</v>
      </c>
      <c r="CD158" s="14" t="n">
        <v>7.95</v>
      </c>
      <c r="CE158" s="14" t="n">
        <v>0</v>
      </c>
      <c r="CF158" s="14" t="n">
        <v>92.96899999999999</v>
      </c>
      <c r="CG158" s="14" t="n">
        <v>0.19</v>
      </c>
      <c r="CH158" s="14" t="n">
        <v>1</v>
      </c>
      <c r="CI158" s="14" t="n">
        <v>0</v>
      </c>
      <c r="CJ158" s="14" t="n">
        <v>0</v>
      </c>
      <c r="CK158" s="14" t="n">
        <v>0</v>
      </c>
      <c r="CL158" s="14" t="n">
        <v>0</v>
      </c>
      <c r="CM158" s="14" t="n">
        <v>0</v>
      </c>
      <c r="CN158" s="14" t="n">
        <v>0</v>
      </c>
      <c r="CO158" s="14" t="n">
        <v>0</v>
      </c>
      <c r="CP158" s="14" t="n">
        <v>0</v>
      </c>
      <c r="CQ158" s="14" t="n">
        <v>1.198</v>
      </c>
      <c r="CR158" s="14" t="n">
        <v>0</v>
      </c>
      <c r="CS158" s="14" t="n">
        <v>4.776</v>
      </c>
      <c r="CT158" s="14" t="n">
        <v>4.753</v>
      </c>
      <c r="CU158" s="14" t="n">
        <v>15.162</v>
      </c>
    </row>
    <row r="159">
      <c r="A159" s="14" t="inlineStr">
        <is>
          <t>CAF2022</t>
        </is>
      </c>
      <c r="B159" s="14" t="inlineStr">
        <is>
          <t>CAF</t>
        </is>
      </c>
      <c r="C159" s="14" t="inlineStr">
        <is>
          <t>CAF</t>
        </is>
      </c>
      <c r="D159" s="14" t="inlineStr">
        <is>
          <t>Central African Republic</t>
        </is>
      </c>
      <c r="E159" s="14" t="n">
        <v>2022</v>
      </c>
      <c r="F159" s="14" t="n">
        <v>0.19</v>
      </c>
      <c r="G159" s="14" t="n">
        <v>11.72</v>
      </c>
      <c r="H159" s="14" t="n">
        <v>1.235</v>
      </c>
      <c r="I159" s="14" t="n">
        <v>0</v>
      </c>
      <c r="J159" s="14" t="n">
        <v>11.72</v>
      </c>
      <c r="K159" s="14" t="n">
        <v>0</v>
      </c>
      <c r="L159" s="14" t="n">
        <v>1</v>
      </c>
      <c r="M159" s="14" t="n">
        <v>9.782999999999999</v>
      </c>
      <c r="N159" s="14" t="n">
        <v>3.704</v>
      </c>
      <c r="O159" s="14" t="n">
        <v>0</v>
      </c>
      <c r="P159" s="14" t="n">
        <v>9.782999999999999</v>
      </c>
      <c r="Q159" s="14" t="n">
        <v>0</v>
      </c>
      <c r="R159" s="14" t="n">
        <v>1</v>
      </c>
      <c r="S159" s="14" t="n">
        <v>17.893</v>
      </c>
      <c r="T159" s="14" t="n">
        <v>7.408</v>
      </c>
      <c r="U159" s="14" t="n">
        <v>0.252</v>
      </c>
      <c r="V159" s="14" t="n">
        <v>21.293</v>
      </c>
      <c r="W159" s="14" t="n">
        <v>0.19</v>
      </c>
      <c r="X159" s="14" t="n">
        <v>1</v>
      </c>
      <c r="Y159" s="14" t="n">
        <v>6.392</v>
      </c>
      <c r="Z159" s="14" t="n">
        <v>0.864</v>
      </c>
      <c r="AA159" s="14" t="n">
        <v>0</v>
      </c>
      <c r="AB159" s="14" t="n">
        <v>6.392</v>
      </c>
      <c r="AC159" s="14" t="n">
        <v>0</v>
      </c>
      <c r="AD159" s="14" t="n">
        <v>1</v>
      </c>
      <c r="AE159" s="14" t="n">
        <v>7.627</v>
      </c>
      <c r="AF159" s="14" t="n">
        <v>1.783</v>
      </c>
      <c r="AG159" s="14" t="n">
        <v>0</v>
      </c>
      <c r="AH159" s="14" t="n">
        <v>7.627</v>
      </c>
      <c r="AI159" s="14" t="n">
        <v>0</v>
      </c>
      <c r="AJ159" s="14" t="n">
        <v>1</v>
      </c>
      <c r="AK159" s="14" t="n">
        <v>15.035</v>
      </c>
      <c r="AL159" s="14" t="n">
        <v>8.007999999999999</v>
      </c>
      <c r="AM159" s="14" t="n">
        <v>0.211</v>
      </c>
      <c r="AN159" s="14" t="n">
        <v>17.892</v>
      </c>
      <c r="AO159" s="14" t="n">
        <v>0.19</v>
      </c>
      <c r="AP159" s="14" t="n">
        <v>1</v>
      </c>
      <c r="AQ159" s="14" t="n">
        <v>0.861</v>
      </c>
      <c r="AR159" s="14" t="n">
        <v>0.123</v>
      </c>
      <c r="AS159" s="14" t="n">
        <v>0.304</v>
      </c>
      <c r="AT159" s="14" t="n">
        <v>1.387</v>
      </c>
      <c r="AU159" s="14" t="n">
        <v>0.19</v>
      </c>
      <c r="AV159" s="14" t="n">
        <v>1</v>
      </c>
      <c r="AW159" s="14" t="n">
        <v>0.986</v>
      </c>
      <c r="AX159" s="14" t="n">
        <v>0.123</v>
      </c>
      <c r="AY159" s="14" t="n">
        <v>0.166</v>
      </c>
      <c r="AZ159" s="14" t="n">
        <v>1.371</v>
      </c>
      <c r="BA159" s="14" t="n">
        <v>0.19</v>
      </c>
      <c r="BB159" s="14" t="n">
        <v>1</v>
      </c>
      <c r="BC159" s="14" t="n">
        <v>0.598</v>
      </c>
      <c r="BD159" s="14" t="n">
        <v>0.123</v>
      </c>
      <c r="BE159" s="14" t="n">
        <v>-0.253</v>
      </c>
      <c r="BF159" s="14" t="n">
        <v>0.41</v>
      </c>
      <c r="BG159" s="14" t="n">
        <v>0.19</v>
      </c>
      <c r="BH159" s="14" t="n">
        <v>0</v>
      </c>
      <c r="BI159" s="14" t="n">
        <v>0.612</v>
      </c>
      <c r="BJ159" s="14" t="n">
        <v>0.123</v>
      </c>
      <c r="BK159" s="14" t="n">
        <v>0.257</v>
      </c>
      <c r="BL159" s="14" t="n">
        <v>1.034</v>
      </c>
      <c r="BM159" s="14" t="n">
        <v>0.19</v>
      </c>
      <c r="BN159" s="14" t="n">
        <v>1</v>
      </c>
      <c r="BO159" s="14" t="n">
        <v>0</v>
      </c>
      <c r="BP159" s="14" t="n">
        <v>0</v>
      </c>
      <c r="BQ159" s="14" t="n">
        <v>0.073</v>
      </c>
      <c r="BR159" s="14" t="n">
        <v>0</v>
      </c>
      <c r="BS159" s="14" t="n">
        <v>1</v>
      </c>
      <c r="BT159" s="14" t="n">
        <v>0</v>
      </c>
      <c r="BU159" s="14" t="n">
        <v>0</v>
      </c>
      <c r="BV159" s="14" t="n">
        <v>0.135</v>
      </c>
      <c r="BW159" s="14" t="n">
        <v>0.19</v>
      </c>
      <c r="BX159" s="14" t="n">
        <v>1</v>
      </c>
      <c r="BY159" s="14" t="n">
        <v>12.729</v>
      </c>
      <c r="BZ159" s="14" t="n">
        <v>0</v>
      </c>
      <c r="CA159" s="14" t="n">
        <v>12.729</v>
      </c>
      <c r="CB159" s="14" t="n">
        <v>0</v>
      </c>
      <c r="CC159" s="14" t="n">
        <v>97.90000000000001</v>
      </c>
      <c r="CD159" s="14" t="n">
        <v>7.95</v>
      </c>
      <c r="CE159" s="14" t="n">
        <v>1.377</v>
      </c>
      <c r="CF159" s="14" t="n">
        <v>116.501</v>
      </c>
      <c r="CG159" s="14" t="n">
        <v>0.19</v>
      </c>
      <c r="CH159" s="14" t="n">
        <v>1</v>
      </c>
      <c r="CI159" s="14" t="n">
        <v>0</v>
      </c>
      <c r="CJ159" s="14" t="n">
        <v>0</v>
      </c>
      <c r="CK159" s="14" t="n">
        <v>0</v>
      </c>
      <c r="CL159" s="14" t="n">
        <v>0</v>
      </c>
      <c r="CM159" s="14" t="n">
        <v>0</v>
      </c>
      <c r="CN159" s="14" t="n">
        <v>0</v>
      </c>
      <c r="CO159" s="14" t="n">
        <v>0</v>
      </c>
      <c r="CP159" s="14" t="n">
        <v>0</v>
      </c>
      <c r="CQ159" s="14" t="n">
        <v>1.294</v>
      </c>
      <c r="CR159" s="14" t="n">
        <v>0</v>
      </c>
      <c r="CS159" s="14" t="n">
        <v>5.158</v>
      </c>
      <c r="CT159" s="14" t="n">
        <v>10.485</v>
      </c>
      <c r="CU159" s="14" t="n">
        <v>31.326</v>
      </c>
    </row>
    <row r="160">
      <c r="A160" s="14" t="inlineStr">
        <is>
          <t>CAF2023</t>
        </is>
      </c>
      <c r="B160" s="14" t="inlineStr">
        <is>
          <t>CAF</t>
        </is>
      </c>
      <c r="C160" s="14" t="inlineStr">
        <is>
          <t>CAF</t>
        </is>
      </c>
      <c r="D160" s="14" t="inlineStr">
        <is>
          <t>Central African Republic</t>
        </is>
      </c>
      <c r="E160" s="14" t="n">
        <v>2023</v>
      </c>
      <c r="F160" s="14" t="n">
        <v>0.19</v>
      </c>
      <c r="G160" s="14" t="n">
        <v>6.147</v>
      </c>
      <c r="H160" s="14" t="n">
        <v>1.286</v>
      </c>
      <c r="I160" s="14" t="n">
        <v>0</v>
      </c>
      <c r="J160" s="14" t="n">
        <v>6.147</v>
      </c>
      <c r="K160" s="14" t="n">
        <v>0</v>
      </c>
      <c r="L160" s="14" t="n">
        <v>1</v>
      </c>
      <c r="M160" s="14" t="n">
        <v>7.886</v>
      </c>
      <c r="N160" s="14" t="n">
        <v>3.857</v>
      </c>
      <c r="O160" s="14" t="n">
        <v>0</v>
      </c>
      <c r="P160" s="14" t="n">
        <v>7.886</v>
      </c>
      <c r="Q160" s="14" t="n">
        <v>0</v>
      </c>
      <c r="R160" s="14" t="n">
        <v>1</v>
      </c>
      <c r="S160" s="14" t="n">
        <v>12.575</v>
      </c>
      <c r="T160" s="14" t="n">
        <v>7.714</v>
      </c>
      <c r="U160" s="14" t="n">
        <v>0.265</v>
      </c>
      <c r="V160" s="14" t="n">
        <v>14.964</v>
      </c>
      <c r="W160" s="14" t="n">
        <v>0.19</v>
      </c>
      <c r="X160" s="14" t="n">
        <v>1</v>
      </c>
      <c r="Y160" s="14" t="n">
        <v>6.656</v>
      </c>
      <c r="Z160" s="14" t="n">
        <v>0.9</v>
      </c>
      <c r="AA160" s="14" t="n">
        <v>0</v>
      </c>
      <c r="AB160" s="14" t="n">
        <v>6.656</v>
      </c>
      <c r="AC160" s="14" t="n">
        <v>0</v>
      </c>
      <c r="AD160" s="14" t="n">
        <v>1</v>
      </c>
      <c r="AE160" s="14" t="n">
        <v>7.942</v>
      </c>
      <c r="AF160" s="14" t="n">
        <v>1.857</v>
      </c>
      <c r="AG160" s="14" t="n">
        <v>0</v>
      </c>
      <c r="AH160" s="14" t="n">
        <v>7.942</v>
      </c>
      <c r="AI160" s="14" t="n">
        <v>0</v>
      </c>
      <c r="AJ160" s="14" t="n">
        <v>1</v>
      </c>
      <c r="AK160" s="14" t="n">
        <v>15.656</v>
      </c>
      <c r="AL160" s="14" t="n">
        <v>8.337999999999999</v>
      </c>
      <c r="AM160" s="14" t="n">
        <v>0.329</v>
      </c>
      <c r="AN160" s="14" t="n">
        <v>18.63</v>
      </c>
      <c r="AO160" s="14" t="n">
        <v>0.19</v>
      </c>
      <c r="AP160" s="14" t="n">
        <v>1</v>
      </c>
      <c r="AQ160" s="14" t="n">
        <v>0.76</v>
      </c>
      <c r="AR160" s="14" t="n">
        <v>0.129</v>
      </c>
      <c r="AS160" s="14" t="n">
        <v>0.902</v>
      </c>
      <c r="AT160" s="14" t="n">
        <v>1.978</v>
      </c>
      <c r="AU160" s="14" t="n">
        <v>0.19</v>
      </c>
      <c r="AV160" s="14" t="n">
        <v>1</v>
      </c>
      <c r="AW160" s="14" t="n">
        <v>0.8110000000000001</v>
      </c>
      <c r="AX160" s="14" t="n">
        <v>0.129</v>
      </c>
      <c r="AY160" s="14" t="n">
        <v>1.128</v>
      </c>
      <c r="AZ160" s="14" t="n">
        <v>2.308</v>
      </c>
      <c r="BA160" s="14" t="n">
        <v>0.19</v>
      </c>
      <c r="BB160" s="14" t="n">
        <v>1</v>
      </c>
      <c r="BC160" s="14" t="n">
        <v>0.535</v>
      </c>
      <c r="BD160" s="14" t="n">
        <v>0.129</v>
      </c>
      <c r="BE160" s="14" t="n">
        <v>-0.184</v>
      </c>
      <c r="BF160" s="14" t="n">
        <v>0.418</v>
      </c>
      <c r="BG160" s="14" t="n">
        <v>0.19</v>
      </c>
      <c r="BH160" s="14" t="n">
        <v>0</v>
      </c>
      <c r="BI160" s="14" t="n">
        <v>0.579</v>
      </c>
      <c r="BJ160" s="14" t="n">
        <v>0.129</v>
      </c>
      <c r="BK160" s="14" t="n">
        <v>0.806</v>
      </c>
      <c r="BL160" s="14" t="n">
        <v>1.649</v>
      </c>
      <c r="BM160" s="14" t="n">
        <v>0.19</v>
      </c>
      <c r="BN160" s="14" t="n">
        <v>1</v>
      </c>
      <c r="BO160" s="14" t="n">
        <v>0</v>
      </c>
      <c r="BP160" s="14" t="n">
        <v>0</v>
      </c>
      <c r="BQ160" s="14" t="n">
        <v>0.075</v>
      </c>
      <c r="BR160" s="14" t="n">
        <v>0</v>
      </c>
      <c r="BS160" s="14" t="n">
        <v>1</v>
      </c>
      <c r="BT160" s="14" t="n">
        <v>0</v>
      </c>
      <c r="BU160" s="14" t="n">
        <v>0</v>
      </c>
      <c r="BV160" s="14" t="n">
        <v>0.139</v>
      </c>
      <c r="BW160" s="14" t="n">
        <v>0.19</v>
      </c>
      <c r="BX160" s="14" t="n">
        <v>1</v>
      </c>
      <c r="BY160" s="14" t="n">
        <v>13.254</v>
      </c>
      <c r="BZ160" s="14" t="n">
        <v>0</v>
      </c>
      <c r="CA160" s="14" t="n">
        <v>13.254</v>
      </c>
      <c r="CB160" s="14" t="n">
        <v>0</v>
      </c>
      <c r="CC160" s="14" t="n">
        <v>83.248</v>
      </c>
      <c r="CD160" s="14" t="n">
        <v>7.95</v>
      </c>
      <c r="CE160" s="14" t="n">
        <v>1.751</v>
      </c>
      <c r="CF160" s="14" t="n">
        <v>99.065</v>
      </c>
      <c r="CG160" s="14" t="n">
        <v>0.19</v>
      </c>
      <c r="CH160" s="14" t="n">
        <v>1</v>
      </c>
      <c r="CI160" s="14" t="n">
        <v>0</v>
      </c>
      <c r="CJ160" s="14" t="n">
        <v>0</v>
      </c>
      <c r="CK160" s="14" t="n">
        <v>0</v>
      </c>
      <c r="CL160" s="14" t="n">
        <v>0</v>
      </c>
      <c r="CM160" s="14" t="n">
        <v>0</v>
      </c>
      <c r="CN160" s="14" t="n">
        <v>0</v>
      </c>
      <c r="CO160" s="14" t="n">
        <v>0</v>
      </c>
      <c r="CP160" s="14" t="n">
        <v>0</v>
      </c>
      <c r="CQ160" s="14" t="n">
        <v>1.348</v>
      </c>
      <c r="CR160" s="14" t="n">
        <v>0</v>
      </c>
      <c r="CS160" s="14" t="n">
        <v>5.37</v>
      </c>
      <c r="CT160" s="14" t="n">
        <v>4.861</v>
      </c>
      <c r="CU160" s="14" t="n">
        <v>11.622</v>
      </c>
    </row>
    <row r="161">
      <c r="A161" s="14" t="inlineStr">
        <is>
          <t>CAF2024</t>
        </is>
      </c>
      <c r="B161" s="14" t="inlineStr">
        <is>
          <t>CAF</t>
        </is>
      </c>
      <c r="C161" s="14" t="inlineStr">
        <is>
          <t>CAF</t>
        </is>
      </c>
      <c r="D161" s="14" t="inlineStr">
        <is>
          <t>Central African Republic</t>
        </is>
      </c>
      <c r="E161" s="14" t="n">
        <v>2024</v>
      </c>
      <c r="F161" s="14" t="n">
        <v>0.19</v>
      </c>
      <c r="G161" s="14" t="n">
        <v>5.575</v>
      </c>
      <c r="H161" s="14" t="n">
        <v>1.324</v>
      </c>
      <c r="I161" s="14" t="n">
        <v>0</v>
      </c>
      <c r="J161" s="14" t="n">
        <v>5.575</v>
      </c>
      <c r="K161" s="14" t="n">
        <v>0</v>
      </c>
      <c r="L161" s="14" t="n">
        <v>1</v>
      </c>
      <c r="M161" s="14" t="n">
        <v>7.124</v>
      </c>
      <c r="N161" s="14" t="n">
        <v>3.971</v>
      </c>
      <c r="O161" s="14" t="n">
        <v>0</v>
      </c>
      <c r="P161" s="14" t="n">
        <v>7.124</v>
      </c>
      <c r="Q161" s="14" t="n">
        <v>0</v>
      </c>
      <c r="R161" s="14" t="n">
        <v>1</v>
      </c>
      <c r="S161" s="14" t="n">
        <v>12.193</v>
      </c>
      <c r="T161" s="14" t="n">
        <v>7.942</v>
      </c>
      <c r="U161" s="14" t="n">
        <v>0.316</v>
      </c>
      <c r="V161" s="14" t="n">
        <v>14.509</v>
      </c>
      <c r="W161" s="14" t="n">
        <v>0.19</v>
      </c>
      <c r="X161" s="14" t="n">
        <v>1</v>
      </c>
      <c r="Y161" s="14" t="n">
        <v>6.853</v>
      </c>
      <c r="Z161" s="14" t="n">
        <v>0.926</v>
      </c>
      <c r="AA161" s="14" t="n">
        <v>0</v>
      </c>
      <c r="AB161" s="14" t="n">
        <v>6.853</v>
      </c>
      <c r="AC161" s="14" t="n">
        <v>0</v>
      </c>
      <c r="AD161" s="14" t="n">
        <v>1</v>
      </c>
      <c r="AE161" s="14" t="n">
        <v>8.176</v>
      </c>
      <c r="AF161" s="14" t="n">
        <v>1.912</v>
      </c>
      <c r="AG161" s="14" t="n">
        <v>0</v>
      </c>
      <c r="AH161" s="14" t="n">
        <v>8.176</v>
      </c>
      <c r="AI161" s="14" t="n">
        <v>0</v>
      </c>
      <c r="AJ161" s="14" t="n">
        <v>1</v>
      </c>
      <c r="AK161" s="14" t="n">
        <v>16.118</v>
      </c>
      <c r="AL161" s="14" t="n">
        <v>8.584</v>
      </c>
      <c r="AM161" s="14" t="n">
        <v>0.417</v>
      </c>
      <c r="AN161" s="14" t="n">
        <v>19.18</v>
      </c>
      <c r="AO161" s="14" t="n">
        <v>0.19</v>
      </c>
      <c r="AP161" s="14" t="n">
        <v>1</v>
      </c>
      <c r="AQ161" s="14" t="n">
        <v>0.724</v>
      </c>
      <c r="AR161" s="14" t="n">
        <v>0.132</v>
      </c>
      <c r="AS161" s="14" t="n">
        <v>0.8</v>
      </c>
      <c r="AT161" s="14" t="n">
        <v>1.814</v>
      </c>
      <c r="AU161" s="14" t="n">
        <v>0.19</v>
      </c>
      <c r="AV161" s="14" t="n">
        <v>1</v>
      </c>
      <c r="AW161" s="14" t="n">
        <v>0.75</v>
      </c>
      <c r="AX161" s="14" t="n">
        <v>0.132</v>
      </c>
      <c r="AY161" s="14" t="n">
        <v>1.121</v>
      </c>
      <c r="AZ161" s="14" t="n">
        <v>2.226</v>
      </c>
      <c r="BA161" s="14" t="n">
        <v>0.19</v>
      </c>
      <c r="BB161" s="14" t="n">
        <v>1</v>
      </c>
      <c r="BC161" s="14" t="n">
        <v>0.513</v>
      </c>
      <c r="BD161" s="14" t="n">
        <v>0.132</v>
      </c>
      <c r="BE161" s="14" t="n">
        <v>-0.142</v>
      </c>
      <c r="BF161" s="14" t="n">
        <v>0.43</v>
      </c>
      <c r="BG161" s="14" t="n">
        <v>0.19</v>
      </c>
      <c r="BH161" s="14" t="n">
        <v>0</v>
      </c>
      <c r="BI161" s="14" t="n">
        <v>0.591</v>
      </c>
      <c r="BJ161" s="14" t="n">
        <v>0.132</v>
      </c>
      <c r="BK161" s="14" t="n">
        <v>0.587</v>
      </c>
      <c r="BL161" s="14" t="n">
        <v>1.402</v>
      </c>
      <c r="BM161" s="14" t="n">
        <v>0.19</v>
      </c>
      <c r="BN161" s="14" t="n">
        <v>1</v>
      </c>
      <c r="BO161" s="14" t="n">
        <v>0</v>
      </c>
      <c r="BP161" s="14" t="n">
        <v>0</v>
      </c>
      <c r="BQ161" s="14" t="n">
        <v>0.077</v>
      </c>
      <c r="BR161" s="14" t="n">
        <v>0</v>
      </c>
      <c r="BS161" s="14" t="n">
        <v>1</v>
      </c>
      <c r="BT161" s="14" t="n">
        <v>0</v>
      </c>
      <c r="BU161" s="14" t="n">
        <v>0</v>
      </c>
      <c r="BV161" s="14" t="n">
        <v>0.143</v>
      </c>
      <c r="BW161" s="14" t="n">
        <v>0.19</v>
      </c>
      <c r="BX161" s="14" t="n">
        <v>1</v>
      </c>
      <c r="BY161" s="14" t="n">
        <v>13.646</v>
      </c>
      <c r="BZ161" s="14" t="n">
        <v>0</v>
      </c>
      <c r="CA161" s="14" t="n">
        <v>13.646</v>
      </c>
      <c r="CB161" s="14" t="n">
        <v>0</v>
      </c>
      <c r="CC161" s="14" t="n">
        <v>82.58799999999999</v>
      </c>
      <c r="CD161" s="14" t="n">
        <v>7.95</v>
      </c>
      <c r="CE161" s="14" t="n">
        <v>2.137</v>
      </c>
      <c r="CF161" s="14" t="n">
        <v>98.28</v>
      </c>
      <c r="CG161" s="14" t="n">
        <v>0.19</v>
      </c>
      <c r="CH161" s="14" t="n">
        <v>1</v>
      </c>
      <c r="CI161" s="14" t="n">
        <v>0</v>
      </c>
      <c r="CJ161" s="14" t="n">
        <v>0</v>
      </c>
      <c r="CK161" s="14" t="n">
        <v>0</v>
      </c>
      <c r="CL161" s="14" t="n">
        <v>0</v>
      </c>
      <c r="CM161" s="14" t="n">
        <v>0</v>
      </c>
      <c r="CN161" s="14" t="n">
        <v>0</v>
      </c>
      <c r="CO161" s="14" t="n">
        <v>0</v>
      </c>
      <c r="CP161" s="14" t="n">
        <v>0</v>
      </c>
      <c r="CQ161" s="14" t="n">
        <v>1.387</v>
      </c>
      <c r="CR161" s="14" t="n">
        <v>0</v>
      </c>
      <c r="CS161" s="14" t="n">
        <v>5.529</v>
      </c>
      <c r="CT161" s="14" t="n">
        <v>4.251</v>
      </c>
      <c r="CU161" s="14" t="n">
        <v>10.168</v>
      </c>
    </row>
    <row r="162">
      <c r="A162" s="14" t="inlineStr">
        <is>
          <t>TCD2021</t>
        </is>
      </c>
      <c r="B162" s="14" t="inlineStr">
        <is>
          <t>TCD</t>
        </is>
      </c>
      <c r="C162" s="14" t="inlineStr">
        <is>
          <t>TCD</t>
        </is>
      </c>
      <c r="D162" s="14" t="inlineStr">
        <is>
          <t>Chad</t>
        </is>
      </c>
      <c r="E162" s="14" t="n">
        <v>2021</v>
      </c>
      <c r="F162" s="14" t="n">
        <v>0.18</v>
      </c>
      <c r="G162" s="14" t="n">
        <v>5.897</v>
      </c>
      <c r="H162" s="14" t="n">
        <v>1.143</v>
      </c>
      <c r="I162" s="14" t="n">
        <v>0</v>
      </c>
      <c r="J162" s="14" t="n">
        <v>5.897</v>
      </c>
      <c r="K162" s="14" t="n">
        <v>0</v>
      </c>
      <c r="L162" s="14" t="n">
        <v>1</v>
      </c>
      <c r="M162" s="14" t="n">
        <v>7.964</v>
      </c>
      <c r="N162" s="14" t="n">
        <v>3.43</v>
      </c>
      <c r="O162" s="14" t="n">
        <v>0</v>
      </c>
      <c r="P162" s="14" t="n">
        <v>7.964</v>
      </c>
      <c r="Q162" s="14" t="n">
        <v>0</v>
      </c>
      <c r="R162" s="14" t="n">
        <v>1</v>
      </c>
      <c r="S162" s="14" t="n">
        <v>11.613</v>
      </c>
      <c r="T162" s="14" t="n">
        <v>6.86</v>
      </c>
      <c r="U162" s="14" t="n">
        <v>0</v>
      </c>
      <c r="V162" s="14" t="n">
        <v>13.704</v>
      </c>
      <c r="W162" s="14" t="n">
        <v>0.18</v>
      </c>
      <c r="X162" s="14" t="n">
        <v>1</v>
      </c>
      <c r="Y162" s="14" t="n">
        <v>16.305</v>
      </c>
      <c r="Z162" s="14" t="n">
        <v>2.204</v>
      </c>
      <c r="AA162" s="14" t="n">
        <v>0</v>
      </c>
      <c r="AB162" s="14" t="n">
        <v>16.305</v>
      </c>
      <c r="AC162" s="14" t="n">
        <v>0</v>
      </c>
      <c r="AD162" s="14" t="n">
        <v>1</v>
      </c>
      <c r="AE162" s="14" t="n">
        <v>17.449</v>
      </c>
      <c r="AF162" s="14" t="n">
        <v>4.08</v>
      </c>
      <c r="AG162" s="14" t="n">
        <v>0</v>
      </c>
      <c r="AH162" s="14" t="n">
        <v>17.449</v>
      </c>
      <c r="AI162" s="14" t="n">
        <v>0</v>
      </c>
      <c r="AJ162" s="14" t="n">
        <v>1</v>
      </c>
      <c r="AK162" s="14" t="n">
        <v>24.309</v>
      </c>
      <c r="AL162" s="14" t="n">
        <v>12.947</v>
      </c>
      <c r="AM162" s="14" t="n">
        <v>0</v>
      </c>
      <c r="AN162" s="14" t="n">
        <v>28.684</v>
      </c>
      <c r="AO162" s="14" t="n">
        <v>0.18</v>
      </c>
      <c r="AP162" s="14" t="n">
        <v>1</v>
      </c>
      <c r="AQ162" s="14" t="n">
        <v>0.714</v>
      </c>
      <c r="AR162" s="14" t="n">
        <v>0.131</v>
      </c>
      <c r="AS162" s="14" t="n">
        <v>0.193</v>
      </c>
      <c r="AT162" s="14" t="n">
        <v>0.907</v>
      </c>
      <c r="AU162" s="14" t="n">
        <v>0</v>
      </c>
      <c r="AV162" s="14" t="n">
        <v>1</v>
      </c>
      <c r="AW162" s="14" t="n">
        <v>0.711</v>
      </c>
      <c r="AX162" s="14" t="n">
        <v>0.137</v>
      </c>
      <c r="AY162" s="14" t="n">
        <v>0.284</v>
      </c>
      <c r="AZ162" s="14" t="n">
        <v>0.995</v>
      </c>
      <c r="BA162" s="14" t="n">
        <v>0</v>
      </c>
      <c r="BB162" s="14" t="n">
        <v>1</v>
      </c>
      <c r="BC162" s="14" t="n">
        <v>0.439</v>
      </c>
      <c r="BD162" s="14" t="n">
        <v>0.114</v>
      </c>
      <c r="BE162" s="14" t="n">
        <v>-0.163</v>
      </c>
      <c r="BF162" s="14" t="n">
        <v>0.326</v>
      </c>
      <c r="BG162" s="14" t="n">
        <v>0</v>
      </c>
      <c r="BH162" s="14" t="n">
        <v>0</v>
      </c>
      <c r="BI162" s="14" t="n">
        <v>0.729</v>
      </c>
      <c r="BJ162" s="14" t="n">
        <v>0.161</v>
      </c>
      <c r="BK162" s="14" t="n">
        <v>0.169</v>
      </c>
      <c r="BL162" s="14" t="n">
        <v>0.898</v>
      </c>
      <c r="BM162" s="14" t="n">
        <v>0</v>
      </c>
      <c r="BN162" s="14" t="n">
        <v>1</v>
      </c>
      <c r="BO162" s="14" t="n">
        <v>0</v>
      </c>
      <c r="BP162" s="14" t="n">
        <v>-0.179</v>
      </c>
      <c r="BQ162" s="14" t="n">
        <v>0.178</v>
      </c>
      <c r="BR162" s="14" t="n">
        <v>0</v>
      </c>
      <c r="BS162" s="14" t="n">
        <v>1</v>
      </c>
      <c r="BT162" s="14" t="n">
        <v>0</v>
      </c>
      <c r="BU162" s="14" t="n">
        <v>-0.337</v>
      </c>
      <c r="BV162" s="14" t="n">
        <v>0.2</v>
      </c>
      <c r="BW162" s="14" t="n">
        <v>0</v>
      </c>
      <c r="BX162" s="14" t="n">
        <v>0.833</v>
      </c>
      <c r="BY162" s="14" t="n">
        <v>11.787</v>
      </c>
      <c r="BZ162" s="14" t="n">
        <v>0</v>
      </c>
      <c r="CA162" s="14" t="n">
        <v>11.787</v>
      </c>
      <c r="CB162" s="14" t="n">
        <v>0</v>
      </c>
      <c r="CC162" s="14" t="n">
        <v>78.125</v>
      </c>
      <c r="CD162" s="14" t="n">
        <v>7.95</v>
      </c>
      <c r="CE162" s="14" t="n">
        <v>13.799</v>
      </c>
      <c r="CF162" s="14" t="n">
        <v>91.92400000000001</v>
      </c>
      <c r="CG162" s="14" t="n">
        <v>0</v>
      </c>
      <c r="CH162" s="14" t="n">
        <v>1</v>
      </c>
      <c r="CI162" s="14" t="n">
        <v>0</v>
      </c>
      <c r="CJ162" s="14" t="n">
        <v>0</v>
      </c>
      <c r="CK162" s="14" t="n">
        <v>0</v>
      </c>
      <c r="CL162" s="14" t="n">
        <v>0</v>
      </c>
      <c r="CM162" s="14" t="n">
        <v>0</v>
      </c>
      <c r="CN162" s="14" t="n">
        <v>0</v>
      </c>
      <c r="CO162" s="14" t="n">
        <v>0</v>
      </c>
      <c r="CP162" s="14" t="n">
        <v>0</v>
      </c>
      <c r="CQ162" s="14" t="n">
        <v>1.198</v>
      </c>
      <c r="CR162" s="14" t="n">
        <v>0</v>
      </c>
      <c r="CS162" s="14" t="n">
        <v>4.776</v>
      </c>
      <c r="CT162" s="14" t="n">
        <v>4.753</v>
      </c>
      <c r="CU162" s="14" t="n">
        <v>15.162</v>
      </c>
    </row>
    <row r="163">
      <c r="A163" s="14" t="inlineStr">
        <is>
          <t>TCD2022</t>
        </is>
      </c>
      <c r="B163" s="14" t="inlineStr">
        <is>
          <t>TCD</t>
        </is>
      </c>
      <c r="C163" s="14" t="inlineStr">
        <is>
          <t>TCD</t>
        </is>
      </c>
      <c r="D163" s="14" t="inlineStr">
        <is>
          <t>Chad</t>
        </is>
      </c>
      <c r="E163" s="14" t="n">
        <v>2022</v>
      </c>
      <c r="F163" s="14" t="n">
        <v>0.18</v>
      </c>
      <c r="G163" s="14" t="n">
        <v>11.72</v>
      </c>
      <c r="H163" s="14" t="n">
        <v>1.235</v>
      </c>
      <c r="I163" s="14" t="n">
        <v>0</v>
      </c>
      <c r="J163" s="14" t="n">
        <v>11.72</v>
      </c>
      <c r="K163" s="14" t="n">
        <v>0</v>
      </c>
      <c r="L163" s="14" t="n">
        <v>1</v>
      </c>
      <c r="M163" s="14" t="n">
        <v>9.782999999999999</v>
      </c>
      <c r="N163" s="14" t="n">
        <v>3.704</v>
      </c>
      <c r="O163" s="14" t="n">
        <v>0</v>
      </c>
      <c r="P163" s="14" t="n">
        <v>9.782999999999999</v>
      </c>
      <c r="Q163" s="14" t="n">
        <v>0</v>
      </c>
      <c r="R163" s="14" t="n">
        <v>1</v>
      </c>
      <c r="S163" s="14" t="n">
        <v>17.893</v>
      </c>
      <c r="T163" s="14" t="n">
        <v>7.408</v>
      </c>
      <c r="U163" s="14" t="n">
        <v>0.238</v>
      </c>
      <c r="V163" s="14" t="n">
        <v>21.114</v>
      </c>
      <c r="W163" s="14" t="n">
        <v>0.18</v>
      </c>
      <c r="X163" s="14" t="n">
        <v>1</v>
      </c>
      <c r="Y163" s="14" t="n">
        <v>32.56</v>
      </c>
      <c r="Z163" s="14" t="n">
        <v>4.401</v>
      </c>
      <c r="AA163" s="14" t="n">
        <v>0</v>
      </c>
      <c r="AB163" s="14" t="n">
        <v>32.56</v>
      </c>
      <c r="AC163" s="14" t="n">
        <v>0</v>
      </c>
      <c r="AD163" s="14" t="n">
        <v>1</v>
      </c>
      <c r="AE163" s="14" t="n">
        <v>33.795</v>
      </c>
      <c r="AF163" s="14" t="n">
        <v>7.902</v>
      </c>
      <c r="AG163" s="14" t="n">
        <v>0</v>
      </c>
      <c r="AH163" s="14" t="n">
        <v>33.795</v>
      </c>
      <c r="AI163" s="14" t="n">
        <v>0</v>
      </c>
      <c r="AJ163" s="14" t="n">
        <v>1</v>
      </c>
      <c r="AK163" s="14" t="n">
        <v>41.203</v>
      </c>
      <c r="AL163" s="14" t="n">
        <v>21.945</v>
      </c>
      <c r="AM163" s="14" t="n">
        <v>0.549</v>
      </c>
      <c r="AN163" s="14" t="n">
        <v>48.62</v>
      </c>
      <c r="AO163" s="14" t="n">
        <v>0.18</v>
      </c>
      <c r="AP163" s="14" t="n">
        <v>1</v>
      </c>
      <c r="AQ163" s="14" t="n">
        <v>0.616</v>
      </c>
      <c r="AR163" s="14" t="n">
        <v>0.08799999999999999</v>
      </c>
      <c r="AS163" s="14" t="n">
        <v>0.184</v>
      </c>
      <c r="AT163" s="14" t="n">
        <v>0.799</v>
      </c>
      <c r="AU163" s="14" t="n">
        <v>0</v>
      </c>
      <c r="AV163" s="14" t="n">
        <v>1</v>
      </c>
      <c r="AW163" s="14" t="n">
        <v>0.612</v>
      </c>
      <c r="AX163" s="14" t="n">
        <v>0.08</v>
      </c>
      <c r="AY163" s="14" t="n">
        <v>0.273</v>
      </c>
      <c r="AZ163" s="14" t="n">
        <v>0.885</v>
      </c>
      <c r="BA163" s="14" t="n">
        <v>0</v>
      </c>
      <c r="BB163" s="14" t="n">
        <v>1</v>
      </c>
      <c r="BC163" s="14" t="n">
        <v>0.598</v>
      </c>
      <c r="BD163" s="14" t="n">
        <v>0.123</v>
      </c>
      <c r="BE163" s="14" t="n">
        <v>-0.348</v>
      </c>
      <c r="BF163" s="14" t="n">
        <v>0.294</v>
      </c>
      <c r="BG163" s="14" t="n">
        <v>0</v>
      </c>
      <c r="BH163" s="14" t="n">
        <v>0</v>
      </c>
      <c r="BI163" s="14" t="n">
        <v>0.753</v>
      </c>
      <c r="BJ163" s="14" t="n">
        <v>0.147</v>
      </c>
      <c r="BK163" s="14" t="n">
        <v>0.182</v>
      </c>
      <c r="BL163" s="14" t="n">
        <v>0.9350000000000001</v>
      </c>
      <c r="BM163" s="14" t="n">
        <v>0</v>
      </c>
      <c r="BN163" s="14" t="n">
        <v>1</v>
      </c>
      <c r="BO163" s="14" t="n">
        <v>0</v>
      </c>
      <c r="BP163" s="14" t="n">
        <v>-0.194</v>
      </c>
      <c r="BQ163" s="14" t="n">
        <v>0.192</v>
      </c>
      <c r="BR163" s="14" t="n">
        <v>0</v>
      </c>
      <c r="BS163" s="14" t="n">
        <v>1</v>
      </c>
      <c r="BT163" s="14" t="n">
        <v>0</v>
      </c>
      <c r="BU163" s="14" t="n">
        <v>-0.333</v>
      </c>
      <c r="BV163" s="14" t="n">
        <v>0.183</v>
      </c>
      <c r="BW163" s="14" t="n">
        <v>0</v>
      </c>
      <c r="BX163" s="14" t="n">
        <v>0.833</v>
      </c>
      <c r="BY163" s="14" t="n">
        <v>12.729</v>
      </c>
      <c r="BZ163" s="14" t="n">
        <v>0</v>
      </c>
      <c r="CA163" s="14" t="n">
        <v>12.729</v>
      </c>
      <c r="CB163" s="14" t="n">
        <v>0</v>
      </c>
      <c r="CC163" s="14" t="n">
        <v>97.90000000000001</v>
      </c>
      <c r="CD163" s="14" t="n">
        <v>7.95</v>
      </c>
      <c r="CE163" s="14" t="n">
        <v>3.174</v>
      </c>
      <c r="CF163" s="14" t="n">
        <v>101.074</v>
      </c>
      <c r="CG163" s="14" t="n">
        <v>0</v>
      </c>
      <c r="CH163" s="14" t="n">
        <v>1</v>
      </c>
      <c r="CI163" s="14" t="n">
        <v>0</v>
      </c>
      <c r="CJ163" s="14" t="n">
        <v>0</v>
      </c>
      <c r="CK163" s="14" t="n">
        <v>0</v>
      </c>
      <c r="CL163" s="14" t="n">
        <v>0</v>
      </c>
      <c r="CM163" s="14" t="n">
        <v>0</v>
      </c>
      <c r="CN163" s="14" t="n">
        <v>0</v>
      </c>
      <c r="CO163" s="14" t="n">
        <v>0</v>
      </c>
      <c r="CP163" s="14" t="n">
        <v>0</v>
      </c>
      <c r="CQ163" s="14" t="n">
        <v>1.294</v>
      </c>
      <c r="CR163" s="14" t="n">
        <v>0</v>
      </c>
      <c r="CS163" s="14" t="n">
        <v>5.158</v>
      </c>
      <c r="CT163" s="14" t="n">
        <v>10.485</v>
      </c>
      <c r="CU163" s="14" t="n">
        <v>31.326</v>
      </c>
    </row>
    <row r="164">
      <c r="A164" s="14" t="inlineStr">
        <is>
          <t>TCD2023</t>
        </is>
      </c>
      <c r="B164" s="14" t="inlineStr">
        <is>
          <t>TCD</t>
        </is>
      </c>
      <c r="C164" s="14" t="inlineStr">
        <is>
          <t>TCD</t>
        </is>
      </c>
      <c r="D164" s="14" t="inlineStr">
        <is>
          <t>Chad</t>
        </is>
      </c>
      <c r="E164" s="14" t="n">
        <v>2023</v>
      </c>
      <c r="F164" s="14" t="n">
        <v>0.18</v>
      </c>
      <c r="G164" s="14" t="n">
        <v>6.147</v>
      </c>
      <c r="H164" s="14" t="n">
        <v>1.286</v>
      </c>
      <c r="I164" s="14" t="n">
        <v>0</v>
      </c>
      <c r="J164" s="14" t="n">
        <v>6.147</v>
      </c>
      <c r="K164" s="14" t="n">
        <v>0</v>
      </c>
      <c r="L164" s="14" t="n">
        <v>1</v>
      </c>
      <c r="M164" s="14" t="n">
        <v>7.886</v>
      </c>
      <c r="N164" s="14" t="n">
        <v>3.857</v>
      </c>
      <c r="O164" s="14" t="n">
        <v>0</v>
      </c>
      <c r="P164" s="14" t="n">
        <v>7.886</v>
      </c>
      <c r="Q164" s="14" t="n">
        <v>0</v>
      </c>
      <c r="R164" s="14" t="n">
        <v>1</v>
      </c>
      <c r="S164" s="14" t="n">
        <v>12.575</v>
      </c>
      <c r="T164" s="14" t="n">
        <v>7.714</v>
      </c>
      <c r="U164" s="14" t="n">
        <v>0.251</v>
      </c>
      <c r="V164" s="14" t="n">
        <v>14.839</v>
      </c>
      <c r="W164" s="14" t="n">
        <v>0.18</v>
      </c>
      <c r="X164" s="14" t="n">
        <v>1</v>
      </c>
      <c r="Y164" s="14" t="n">
        <v>12.908</v>
      </c>
      <c r="Z164" s="14" t="n">
        <v>1.745</v>
      </c>
      <c r="AA164" s="14" t="n">
        <v>0</v>
      </c>
      <c r="AB164" s="14" t="n">
        <v>12.908</v>
      </c>
      <c r="AC164" s="14" t="n">
        <v>0</v>
      </c>
      <c r="AD164" s="14" t="n">
        <v>1</v>
      </c>
      <c r="AE164" s="14" t="n">
        <v>14.194</v>
      </c>
      <c r="AF164" s="14" t="n">
        <v>3.319</v>
      </c>
      <c r="AG164" s="14" t="n">
        <v>0</v>
      </c>
      <c r="AH164" s="14" t="n">
        <v>14.194</v>
      </c>
      <c r="AI164" s="14" t="n">
        <v>0</v>
      </c>
      <c r="AJ164" s="14" t="n">
        <v>1</v>
      </c>
      <c r="AK164" s="14" t="n">
        <v>21.908</v>
      </c>
      <c r="AL164" s="14" t="n">
        <v>11.668</v>
      </c>
      <c r="AM164" s="14" t="n">
        <v>0.437</v>
      </c>
      <c r="AN164" s="14" t="n">
        <v>25.851</v>
      </c>
      <c r="AO164" s="14" t="n">
        <v>0.18</v>
      </c>
      <c r="AP164" s="14" t="n">
        <v>1</v>
      </c>
      <c r="AQ164" s="14" t="n">
        <v>0.65</v>
      </c>
      <c r="AR164" s="14" t="n">
        <v>0.11</v>
      </c>
      <c r="AS164" s="14" t="n">
        <v>0.204</v>
      </c>
      <c r="AT164" s="14" t="n">
        <v>0.854</v>
      </c>
      <c r="AU164" s="14" t="n">
        <v>0</v>
      </c>
      <c r="AV164" s="14" t="n">
        <v>1</v>
      </c>
      <c r="AW164" s="14" t="n">
        <v>0.784</v>
      </c>
      <c r="AX164" s="14" t="n">
        <v>0.134</v>
      </c>
      <c r="AY164" s="14" t="n">
        <v>0.37</v>
      </c>
      <c r="AZ164" s="14" t="n">
        <v>1.154</v>
      </c>
      <c r="BA164" s="14" t="n">
        <v>0</v>
      </c>
      <c r="BB164" s="14" t="n">
        <v>1</v>
      </c>
      <c r="BC164" s="14" t="n">
        <v>0.535</v>
      </c>
      <c r="BD164" s="14" t="n">
        <v>0.129</v>
      </c>
      <c r="BE164" s="14" t="n">
        <v>-0.282</v>
      </c>
      <c r="BF164" s="14" t="n">
        <v>0.298</v>
      </c>
      <c r="BG164" s="14" t="n">
        <v>0</v>
      </c>
      <c r="BH164" s="14" t="n">
        <v>0</v>
      </c>
      <c r="BI164" s="14" t="n">
        <v>0.767</v>
      </c>
      <c r="BJ164" s="14" t="n">
        <v>0.167</v>
      </c>
      <c r="BK164" s="14" t="n">
        <v>0.19</v>
      </c>
      <c r="BL164" s="14" t="n">
        <v>0.956</v>
      </c>
      <c r="BM164" s="14" t="n">
        <v>0</v>
      </c>
      <c r="BN164" s="14" t="n">
        <v>1</v>
      </c>
      <c r="BO164" s="14" t="n">
        <v>0</v>
      </c>
      <c r="BP164" s="14" t="n">
        <v>-0.202</v>
      </c>
      <c r="BQ164" s="14" t="n">
        <v>0.2</v>
      </c>
      <c r="BR164" s="14" t="n">
        <v>0</v>
      </c>
      <c r="BS164" s="14" t="n">
        <v>1</v>
      </c>
      <c r="BT164" s="14" t="n">
        <v>0</v>
      </c>
      <c r="BU164" s="14" t="n">
        <v>-0.354</v>
      </c>
      <c r="BV164" s="14" t="n">
        <v>0.187</v>
      </c>
      <c r="BW164" s="14" t="n">
        <v>0</v>
      </c>
      <c r="BX164" s="14" t="n">
        <v>0.833</v>
      </c>
      <c r="BY164" s="14" t="n">
        <v>13.254</v>
      </c>
      <c r="BZ164" s="14" t="n">
        <v>0</v>
      </c>
      <c r="CA164" s="14" t="n">
        <v>13.254</v>
      </c>
      <c r="CB164" s="14" t="n">
        <v>0</v>
      </c>
      <c r="CC164" s="14" t="n">
        <v>83.248</v>
      </c>
      <c r="CD164" s="14" t="n">
        <v>7.95</v>
      </c>
      <c r="CE164" s="14" t="n">
        <v>19.507</v>
      </c>
      <c r="CF164" s="14" t="n">
        <v>102.755</v>
      </c>
      <c r="CG164" s="14" t="n">
        <v>0</v>
      </c>
      <c r="CH164" s="14" t="n">
        <v>1</v>
      </c>
      <c r="CI164" s="14" t="n">
        <v>0</v>
      </c>
      <c r="CJ164" s="14" t="n">
        <v>0</v>
      </c>
      <c r="CK164" s="14" t="n">
        <v>0</v>
      </c>
      <c r="CL164" s="14" t="n">
        <v>0</v>
      </c>
      <c r="CM164" s="14" t="n">
        <v>0</v>
      </c>
      <c r="CN164" s="14" t="n">
        <v>0</v>
      </c>
      <c r="CO164" s="14" t="n">
        <v>0</v>
      </c>
      <c r="CP164" s="14" t="n">
        <v>0</v>
      </c>
      <c r="CQ164" s="14" t="n">
        <v>1.348</v>
      </c>
      <c r="CR164" s="14" t="n">
        <v>0</v>
      </c>
      <c r="CS164" s="14" t="n">
        <v>5.37</v>
      </c>
      <c r="CT164" s="14" t="n">
        <v>4.861</v>
      </c>
      <c r="CU164" s="14" t="n">
        <v>11.622</v>
      </c>
    </row>
    <row r="165">
      <c r="A165" s="14" t="inlineStr">
        <is>
          <t>TCD2024</t>
        </is>
      </c>
      <c r="B165" s="14" t="inlineStr">
        <is>
          <t>TCD</t>
        </is>
      </c>
      <c r="C165" s="14" t="inlineStr">
        <is>
          <t>TCD</t>
        </is>
      </c>
      <c r="D165" s="14" t="inlineStr">
        <is>
          <t>Chad</t>
        </is>
      </c>
      <c r="E165" s="14" t="n">
        <v>2024</v>
      </c>
      <c r="F165" s="14" t="n">
        <v>0.18</v>
      </c>
      <c r="G165" s="14" t="n">
        <v>5.575</v>
      </c>
      <c r="H165" s="14" t="n">
        <v>1.324</v>
      </c>
      <c r="I165" s="14" t="n">
        <v>0</v>
      </c>
      <c r="J165" s="14" t="n">
        <v>5.575</v>
      </c>
      <c r="K165" s="14" t="n">
        <v>0</v>
      </c>
      <c r="L165" s="14" t="n">
        <v>1</v>
      </c>
      <c r="M165" s="14" t="n">
        <v>7.124</v>
      </c>
      <c r="N165" s="14" t="n">
        <v>3.971</v>
      </c>
      <c r="O165" s="14" t="n">
        <v>0</v>
      </c>
      <c r="P165" s="14" t="n">
        <v>7.124</v>
      </c>
      <c r="Q165" s="14" t="n">
        <v>0</v>
      </c>
      <c r="R165" s="14" t="n">
        <v>1</v>
      </c>
      <c r="S165" s="14" t="n">
        <v>12.193</v>
      </c>
      <c r="T165" s="14" t="n">
        <v>7.942</v>
      </c>
      <c r="U165" s="14" t="n">
        <v>0.299</v>
      </c>
      <c r="V165" s="14" t="n">
        <v>14.388</v>
      </c>
      <c r="W165" s="14" t="n">
        <v>0.18</v>
      </c>
      <c r="X165" s="14" t="n">
        <v>1</v>
      </c>
      <c r="Y165" s="14" t="n">
        <v>11.492</v>
      </c>
      <c r="Z165" s="14" t="n">
        <v>1.553</v>
      </c>
      <c r="AA165" s="14" t="n">
        <v>0</v>
      </c>
      <c r="AB165" s="14" t="n">
        <v>11.492</v>
      </c>
      <c r="AC165" s="14" t="n">
        <v>0</v>
      </c>
      <c r="AD165" s="14" t="n">
        <v>1</v>
      </c>
      <c r="AE165" s="14" t="n">
        <v>12.815</v>
      </c>
      <c r="AF165" s="14" t="n">
        <v>2.997</v>
      </c>
      <c r="AG165" s="14" t="n">
        <v>0</v>
      </c>
      <c r="AH165" s="14" t="n">
        <v>12.815</v>
      </c>
      <c r="AI165" s="14" t="n">
        <v>0</v>
      </c>
      <c r="AJ165" s="14" t="n">
        <v>1</v>
      </c>
      <c r="AK165" s="14" t="n">
        <v>20.757</v>
      </c>
      <c r="AL165" s="14" t="n">
        <v>11.055</v>
      </c>
      <c r="AM165" s="14" t="n">
        <v>0.509</v>
      </c>
      <c r="AN165" s="14" t="n">
        <v>24.493</v>
      </c>
      <c r="AO165" s="14" t="n">
        <v>0.18</v>
      </c>
      <c r="AP165" s="14" t="n">
        <v>1</v>
      </c>
      <c r="AQ165" s="14" t="n">
        <v>0.66</v>
      </c>
      <c r="AR165" s="14" t="n">
        <v>0.12</v>
      </c>
      <c r="AS165" s="14" t="n">
        <v>0.495</v>
      </c>
      <c r="AT165" s="14" t="n">
        <v>1.154</v>
      </c>
      <c r="AU165" s="14" t="n">
        <v>0</v>
      </c>
      <c r="AV165" s="14" t="n">
        <v>1</v>
      </c>
      <c r="AW165" s="14" t="n">
        <v>0.796</v>
      </c>
      <c r="AX165" s="14" t="n">
        <v>0.146</v>
      </c>
      <c r="AY165" s="14" t="n">
        <v>0.524</v>
      </c>
      <c r="AZ165" s="14" t="n">
        <v>1.319</v>
      </c>
      <c r="BA165" s="14" t="n">
        <v>0</v>
      </c>
      <c r="BB165" s="14" t="n">
        <v>1</v>
      </c>
      <c r="BC165" s="14" t="n">
        <v>0.513</v>
      </c>
      <c r="BD165" s="14" t="n">
        <v>0.132</v>
      </c>
      <c r="BE165" s="14" t="n">
        <v>-0.26</v>
      </c>
      <c r="BF165" s="14" t="n">
        <v>0.298</v>
      </c>
      <c r="BG165" s="14" t="n">
        <v>0</v>
      </c>
      <c r="BH165" s="14" t="n">
        <v>0</v>
      </c>
      <c r="BI165" s="14" t="n">
        <v>0.792</v>
      </c>
      <c r="BJ165" s="14" t="n">
        <v>0.174</v>
      </c>
      <c r="BK165" s="14" t="n">
        <v>0.165</v>
      </c>
      <c r="BL165" s="14" t="n">
        <v>0.957</v>
      </c>
      <c r="BM165" s="14" t="n">
        <v>0</v>
      </c>
      <c r="BN165" s="14" t="n">
        <v>1</v>
      </c>
      <c r="BO165" s="14" t="n">
        <v>0</v>
      </c>
      <c r="BP165" s="14" t="n">
        <v>-0.208</v>
      </c>
      <c r="BQ165" s="14" t="n">
        <v>0.206</v>
      </c>
      <c r="BR165" s="14" t="n">
        <v>0</v>
      </c>
      <c r="BS165" s="14" t="n">
        <v>1</v>
      </c>
      <c r="BT165" s="14" t="n">
        <v>0</v>
      </c>
      <c r="BU165" s="14" t="n">
        <v>-0.274</v>
      </c>
      <c r="BV165" s="14" t="n">
        <v>0.14</v>
      </c>
      <c r="BW165" s="14" t="n">
        <v>0</v>
      </c>
      <c r="BX165" s="14" t="n">
        <v>0.833</v>
      </c>
      <c r="BY165" s="14" t="n">
        <v>13.646</v>
      </c>
      <c r="BZ165" s="14" t="n">
        <v>0</v>
      </c>
      <c r="CA165" s="14" t="n">
        <v>13.646</v>
      </c>
      <c r="CB165" s="14" t="n">
        <v>0</v>
      </c>
      <c r="CC165" s="14" t="n">
        <v>82.58799999999999</v>
      </c>
      <c r="CD165" s="14" t="n">
        <v>7.95</v>
      </c>
      <c r="CE165" s="14" t="n">
        <v>20.205</v>
      </c>
      <c r="CF165" s="14" t="n">
        <v>102.793</v>
      </c>
      <c r="CG165" s="14" t="n">
        <v>0</v>
      </c>
      <c r="CH165" s="14" t="n">
        <v>1</v>
      </c>
      <c r="CI165" s="14" t="n">
        <v>0</v>
      </c>
      <c r="CJ165" s="14" t="n">
        <v>0</v>
      </c>
      <c r="CK165" s="14" t="n">
        <v>0</v>
      </c>
      <c r="CL165" s="14" t="n">
        <v>0</v>
      </c>
      <c r="CM165" s="14" t="n">
        <v>0</v>
      </c>
      <c r="CN165" s="14" t="n">
        <v>0</v>
      </c>
      <c r="CO165" s="14" t="n">
        <v>0</v>
      </c>
      <c r="CP165" s="14" t="n">
        <v>0</v>
      </c>
      <c r="CQ165" s="14" t="n">
        <v>1.387</v>
      </c>
      <c r="CR165" s="14" t="n">
        <v>0</v>
      </c>
      <c r="CS165" s="14" t="n">
        <v>5.529</v>
      </c>
      <c r="CT165" s="14" t="n">
        <v>4.251</v>
      </c>
      <c r="CU165" s="14" t="n">
        <v>10.168</v>
      </c>
    </row>
    <row r="166">
      <c r="A166" s="14" t="inlineStr">
        <is>
          <t>CHI2021</t>
        </is>
      </c>
      <c r="B166" s="14" t="inlineStr">
        <is>
          <t>CHI</t>
        </is>
      </c>
      <c r="C166" s="14" t="inlineStr">
        <is>
          <t>CHI</t>
        </is>
      </c>
      <c r="D166" s="14" t="inlineStr">
        <is>
          <t>Channel Islands</t>
        </is>
      </c>
      <c r="E166" s="14" t="n">
        <v>2021</v>
      </c>
      <c r="F166" s="14" t="n">
        <v>0</v>
      </c>
      <c r="G166" s="14" t="n">
        <v>5.553</v>
      </c>
      <c r="H166" s="14" t="n">
        <v>1.143</v>
      </c>
      <c r="I166" s="14" t="n">
        <v>0</v>
      </c>
      <c r="J166" s="14" t="n">
        <v>5.553</v>
      </c>
      <c r="K166" s="14" t="n">
        <v>0</v>
      </c>
      <c r="L166" s="14" t="n">
        <v>1</v>
      </c>
      <c r="M166" s="14" t="n">
        <v>7.964</v>
      </c>
      <c r="N166" s="14" t="n">
        <v>3.43</v>
      </c>
      <c r="O166" s="14" t="n">
        <v>0</v>
      </c>
      <c r="P166" s="14" t="n">
        <v>7.964</v>
      </c>
      <c r="Q166" s="14" t="n">
        <v>0</v>
      </c>
      <c r="R166" s="14" t="n">
        <v>1</v>
      </c>
      <c r="S166" s="14" t="n">
        <v>11.27</v>
      </c>
      <c r="T166" s="14" t="n">
        <v>6.86</v>
      </c>
      <c r="U166" s="14" t="n">
        <v>0</v>
      </c>
      <c r="V166" s="14" t="n">
        <v>11.27</v>
      </c>
      <c r="W166" s="14" t="n">
        <v>0</v>
      </c>
      <c r="X166" s="14" t="n">
        <v>1</v>
      </c>
      <c r="Y166" s="14" t="n">
        <v>16.305</v>
      </c>
      <c r="Z166" s="14" t="n">
        <v>2.204</v>
      </c>
      <c r="AA166" s="14" t="n">
        <v>0</v>
      </c>
      <c r="AB166" s="14" t="n">
        <v>16.305</v>
      </c>
      <c r="AC166" s="14" t="n">
        <v>0</v>
      </c>
      <c r="AD166" s="14" t="n">
        <v>1</v>
      </c>
      <c r="AE166" s="14" t="n">
        <v>17.449</v>
      </c>
      <c r="AF166" s="14" t="n">
        <v>4.08</v>
      </c>
      <c r="AG166" s="14" t="n">
        <v>0</v>
      </c>
      <c r="AH166" s="14" t="n">
        <v>17.449</v>
      </c>
      <c r="AI166" s="14" t="n">
        <v>0</v>
      </c>
      <c r="AJ166" s="14" t="n">
        <v>1</v>
      </c>
      <c r="AK166" s="14" t="n">
        <v>24.309</v>
      </c>
      <c r="AL166" s="14" t="n">
        <v>12.947</v>
      </c>
      <c r="AM166" s="14" t="n">
        <v>0</v>
      </c>
      <c r="AN166" s="14" t="n">
        <v>24.309</v>
      </c>
      <c r="AO166" s="14" t="n">
        <v>0</v>
      </c>
      <c r="AP166" s="14" t="n">
        <v>1</v>
      </c>
      <c r="AQ166" s="14" t="n">
        <v>0.619</v>
      </c>
      <c r="AR166" s="14" t="n">
        <v>0.114</v>
      </c>
      <c r="AS166" s="14" t="n">
        <v>0</v>
      </c>
      <c r="AT166" s="14" t="n">
        <v>0.619</v>
      </c>
      <c r="AU166" s="14" t="n">
        <v>0</v>
      </c>
      <c r="AV166" s="14" t="n">
        <v>1</v>
      </c>
      <c r="AW166" s="14" t="n">
        <v>0.599</v>
      </c>
      <c r="AX166" s="14" t="n">
        <v>0.114</v>
      </c>
      <c r="AY166" s="14" t="n">
        <v>0</v>
      </c>
      <c r="AZ166" s="14" t="n">
        <v>0.599</v>
      </c>
      <c r="BA166" s="14" t="n">
        <v>0</v>
      </c>
      <c r="BB166" s="14" t="n">
        <v>1</v>
      </c>
      <c r="BC166" s="14" t="n">
        <v>0.439</v>
      </c>
      <c r="BD166" s="14" t="n">
        <v>0.114</v>
      </c>
      <c r="BE166" s="14" t="n">
        <v>0</v>
      </c>
      <c r="BF166" s="14" t="n">
        <v>0.439</v>
      </c>
      <c r="BG166" s="14" t="n">
        <v>0</v>
      </c>
      <c r="BH166" s="14" t="n">
        <v>1</v>
      </c>
      <c r="BI166" s="14" t="n">
        <v>0.505</v>
      </c>
      <c r="BJ166" s="14" t="n">
        <v>0.114</v>
      </c>
      <c r="BK166" s="14" t="n">
        <v>0</v>
      </c>
      <c r="BL166" s="14" t="n">
        <v>0.505</v>
      </c>
      <c r="BM166" s="14" t="n">
        <v>0</v>
      </c>
      <c r="BN166" s="14" t="n">
        <v>1</v>
      </c>
      <c r="BO166" s="14" t="n">
        <v>0</v>
      </c>
      <c r="BP166" s="14" t="n">
        <v>0</v>
      </c>
      <c r="BQ166" s="14" t="n">
        <v>0</v>
      </c>
      <c r="BR166" s="14" t="n">
        <v>0</v>
      </c>
      <c r="BS166" s="14" t="n">
        <v>1</v>
      </c>
      <c r="BT166" s="14" t="n">
        <v>0</v>
      </c>
      <c r="BU166" s="14" t="n">
        <v>0</v>
      </c>
      <c r="BV166" s="14" t="n">
        <v>0</v>
      </c>
      <c r="BW166" s="14" t="n">
        <v>0</v>
      </c>
      <c r="BX166" s="14" t="n">
        <v>1</v>
      </c>
      <c r="BY166" s="14" t="n">
        <v>11.787</v>
      </c>
      <c r="BZ166" s="14" t="n">
        <v>0</v>
      </c>
      <c r="CA166" s="14" t="n">
        <v>11.787</v>
      </c>
      <c r="CB166" s="14" t="n">
        <v>0</v>
      </c>
      <c r="CC166" s="14" t="n">
        <v>78.125</v>
      </c>
      <c r="CD166" s="14" t="n">
        <v>7.95</v>
      </c>
      <c r="CE166" s="14" t="n">
        <v>0</v>
      </c>
      <c r="CF166" s="14" t="n">
        <v>78.125</v>
      </c>
      <c r="CG166" s="14" t="n">
        <v>0</v>
      </c>
      <c r="CH166" s="14" t="n">
        <v>1</v>
      </c>
      <c r="CI166" s="14" t="n">
        <v>0</v>
      </c>
      <c r="CJ166" s="14" t="n">
        <v>0</v>
      </c>
      <c r="CK166" s="14" t="n">
        <v>0</v>
      </c>
      <c r="CL166" s="14" t="n">
        <v>0</v>
      </c>
      <c r="CM166" s="14" t="n">
        <v>0</v>
      </c>
      <c r="CN166" s="14" t="n">
        <v>0</v>
      </c>
      <c r="CO166" s="14" t="n">
        <v>0</v>
      </c>
      <c r="CP166" s="14" t="n">
        <v>0</v>
      </c>
      <c r="CQ166" s="14" t="n">
        <v>1.198</v>
      </c>
      <c r="CR166" s="14" t="n">
        <v>0</v>
      </c>
      <c r="CS166" s="14" t="n">
        <v>4.776</v>
      </c>
      <c r="CT166" s="14" t="n">
        <v>4.41</v>
      </c>
      <c r="CU166" s="14" t="n">
        <v>15.162</v>
      </c>
    </row>
    <row r="167">
      <c r="A167" s="14" t="inlineStr">
        <is>
          <t>CHI2022</t>
        </is>
      </c>
      <c r="B167" s="14" t="inlineStr">
        <is>
          <t>CHI</t>
        </is>
      </c>
      <c r="C167" s="14" t="inlineStr">
        <is>
          <t>CHI</t>
        </is>
      </c>
      <c r="D167" s="14" t="inlineStr">
        <is>
          <t>Channel Islands</t>
        </is>
      </c>
      <c r="E167" s="14" t="n">
        <v>2022</v>
      </c>
      <c r="F167" s="14" t="n">
        <v>0</v>
      </c>
      <c r="G167" s="14" t="n">
        <v>7.077</v>
      </c>
      <c r="H167" s="14" t="n">
        <v>1.235</v>
      </c>
      <c r="I167" s="14" t="n">
        <v>0</v>
      </c>
      <c r="J167" s="14" t="n">
        <v>7.077</v>
      </c>
      <c r="K167" s="14" t="n">
        <v>0</v>
      </c>
      <c r="L167" s="14" t="n">
        <v>1</v>
      </c>
      <c r="M167" s="14" t="n">
        <v>9.782999999999999</v>
      </c>
      <c r="N167" s="14" t="n">
        <v>3.704</v>
      </c>
      <c r="O167" s="14" t="n">
        <v>0</v>
      </c>
      <c r="P167" s="14" t="n">
        <v>9.782999999999999</v>
      </c>
      <c r="Q167" s="14" t="n">
        <v>0</v>
      </c>
      <c r="R167" s="14" t="n">
        <v>1</v>
      </c>
      <c r="S167" s="14" t="n">
        <v>13.25</v>
      </c>
      <c r="T167" s="14" t="n">
        <v>7.408</v>
      </c>
      <c r="U167" s="14" t="n">
        <v>0</v>
      </c>
      <c r="V167" s="14" t="n">
        <v>13.25</v>
      </c>
      <c r="W167" s="14" t="n">
        <v>0</v>
      </c>
      <c r="X167" s="14" t="n">
        <v>1</v>
      </c>
      <c r="Y167" s="14" t="n">
        <v>32.56</v>
      </c>
      <c r="Z167" s="14" t="n">
        <v>4.401</v>
      </c>
      <c r="AA167" s="14" t="n">
        <v>0</v>
      </c>
      <c r="AB167" s="14" t="n">
        <v>32.56</v>
      </c>
      <c r="AC167" s="14" t="n">
        <v>0</v>
      </c>
      <c r="AD167" s="14" t="n">
        <v>1</v>
      </c>
      <c r="AE167" s="14" t="n">
        <v>33.795</v>
      </c>
      <c r="AF167" s="14" t="n">
        <v>7.902</v>
      </c>
      <c r="AG167" s="14" t="n">
        <v>0</v>
      </c>
      <c r="AH167" s="14" t="n">
        <v>33.795</v>
      </c>
      <c r="AI167" s="14" t="n">
        <v>0</v>
      </c>
      <c r="AJ167" s="14" t="n">
        <v>1</v>
      </c>
      <c r="AK167" s="14" t="n">
        <v>41.203</v>
      </c>
      <c r="AL167" s="14" t="n">
        <v>21.945</v>
      </c>
      <c r="AM167" s="14" t="n">
        <v>0</v>
      </c>
      <c r="AN167" s="14" t="n">
        <v>41.203</v>
      </c>
      <c r="AO167" s="14" t="n">
        <v>0</v>
      </c>
      <c r="AP167" s="14" t="n">
        <v>1</v>
      </c>
      <c r="AQ167" s="14" t="n">
        <v>0.861</v>
      </c>
      <c r="AR167" s="14" t="n">
        <v>0.123</v>
      </c>
      <c r="AS167" s="14" t="n">
        <v>0</v>
      </c>
      <c r="AT167" s="14" t="n">
        <v>0.861</v>
      </c>
      <c r="AU167" s="14" t="n">
        <v>0</v>
      </c>
      <c r="AV167" s="14" t="n">
        <v>1</v>
      </c>
      <c r="AW167" s="14" t="n">
        <v>0.986</v>
      </c>
      <c r="AX167" s="14" t="n">
        <v>0.123</v>
      </c>
      <c r="AY167" s="14" t="n">
        <v>0</v>
      </c>
      <c r="AZ167" s="14" t="n">
        <v>0.986</v>
      </c>
      <c r="BA167" s="14" t="n">
        <v>0</v>
      </c>
      <c r="BB167" s="14" t="n">
        <v>1</v>
      </c>
      <c r="BC167" s="14" t="n">
        <v>0.598</v>
      </c>
      <c r="BD167" s="14" t="n">
        <v>0.123</v>
      </c>
      <c r="BE167" s="14" t="n">
        <v>0</v>
      </c>
      <c r="BF167" s="14" t="n">
        <v>0.598</v>
      </c>
      <c r="BG167" s="14" t="n">
        <v>0</v>
      </c>
      <c r="BH167" s="14" t="n">
        <v>1</v>
      </c>
      <c r="BI167" s="14" t="n">
        <v>0.612</v>
      </c>
      <c r="BJ167" s="14" t="n">
        <v>0.123</v>
      </c>
      <c r="BK167" s="14" t="n">
        <v>0</v>
      </c>
      <c r="BL167" s="14" t="n">
        <v>0.612</v>
      </c>
      <c r="BM167" s="14" t="n">
        <v>0</v>
      </c>
      <c r="BN167" s="14" t="n">
        <v>1</v>
      </c>
      <c r="BO167" s="14" t="n">
        <v>0</v>
      </c>
      <c r="BP167" s="14" t="n">
        <v>0</v>
      </c>
      <c r="BQ167" s="14" t="n">
        <v>0</v>
      </c>
      <c r="BR167" s="14" t="n">
        <v>0</v>
      </c>
      <c r="BS167" s="14" t="n">
        <v>1</v>
      </c>
      <c r="BT167" s="14" t="n">
        <v>0</v>
      </c>
      <c r="BU167" s="14" t="n">
        <v>0</v>
      </c>
      <c r="BV167" s="14" t="n">
        <v>0</v>
      </c>
      <c r="BW167" s="14" t="n">
        <v>0</v>
      </c>
      <c r="BX167" s="14" t="n">
        <v>1</v>
      </c>
      <c r="BY167" s="14" t="n">
        <v>12.729</v>
      </c>
      <c r="BZ167" s="14" t="n">
        <v>0</v>
      </c>
      <c r="CA167" s="14" t="n">
        <v>12.729</v>
      </c>
      <c r="CB167" s="14" t="n">
        <v>0</v>
      </c>
      <c r="CC167" s="14" t="n">
        <v>97.90000000000001</v>
      </c>
      <c r="CD167" s="14" t="n">
        <v>7.95</v>
      </c>
      <c r="CE167" s="14" t="n">
        <v>0</v>
      </c>
      <c r="CF167" s="14" t="n">
        <v>97.90000000000001</v>
      </c>
      <c r="CG167" s="14" t="n">
        <v>0</v>
      </c>
      <c r="CH167" s="14" t="n">
        <v>1</v>
      </c>
      <c r="CI167" s="14" t="n">
        <v>0</v>
      </c>
      <c r="CJ167" s="14" t="n">
        <v>0</v>
      </c>
      <c r="CK167" s="14" t="n">
        <v>0</v>
      </c>
      <c r="CL167" s="14" t="n">
        <v>0</v>
      </c>
      <c r="CM167" s="14" t="n">
        <v>0</v>
      </c>
      <c r="CN167" s="14" t="n">
        <v>0</v>
      </c>
      <c r="CO167" s="14" t="n">
        <v>0</v>
      </c>
      <c r="CP167" s="14" t="n">
        <v>0</v>
      </c>
      <c r="CQ167" s="14" t="n">
        <v>1.294</v>
      </c>
      <c r="CR167" s="14" t="n">
        <v>0</v>
      </c>
      <c r="CS167" s="14" t="n">
        <v>5.158</v>
      </c>
      <c r="CT167" s="14" t="n">
        <v>5.842</v>
      </c>
      <c r="CU167" s="14" t="n">
        <v>31.326</v>
      </c>
    </row>
    <row r="168">
      <c r="A168" s="14" t="inlineStr">
        <is>
          <t>CHI2023</t>
        </is>
      </c>
      <c r="B168" s="14" t="inlineStr">
        <is>
          <t>CHI</t>
        </is>
      </c>
      <c r="C168" s="14" t="inlineStr">
        <is>
          <t>CHI</t>
        </is>
      </c>
      <c r="D168" s="14" t="inlineStr">
        <is>
          <t>Channel Islands</t>
        </is>
      </c>
      <c r="E168" s="14" t="n">
        <v>2023</v>
      </c>
      <c r="F168" s="14" t="n">
        <v>0</v>
      </c>
      <c r="G168" s="14" t="n">
        <v>4.752</v>
      </c>
      <c r="H168" s="14" t="n">
        <v>1.286</v>
      </c>
      <c r="I168" s="14" t="n">
        <v>0</v>
      </c>
      <c r="J168" s="14" t="n">
        <v>4.752</v>
      </c>
      <c r="K168" s="14" t="n">
        <v>0</v>
      </c>
      <c r="L168" s="14" t="n">
        <v>1</v>
      </c>
      <c r="M168" s="14" t="n">
        <v>7.886</v>
      </c>
      <c r="N168" s="14" t="n">
        <v>3.857</v>
      </c>
      <c r="O168" s="14" t="n">
        <v>0</v>
      </c>
      <c r="P168" s="14" t="n">
        <v>7.886</v>
      </c>
      <c r="Q168" s="14" t="n">
        <v>0</v>
      </c>
      <c r="R168" s="14" t="n">
        <v>1</v>
      </c>
      <c r="S168" s="14" t="n">
        <v>11.18</v>
      </c>
      <c r="T168" s="14" t="n">
        <v>7.714</v>
      </c>
      <c r="U168" s="14" t="n">
        <v>0</v>
      </c>
      <c r="V168" s="14" t="n">
        <v>11.18</v>
      </c>
      <c r="W168" s="14" t="n">
        <v>0</v>
      </c>
      <c r="X168" s="14" t="n">
        <v>1</v>
      </c>
      <c r="Y168" s="14" t="n">
        <v>12.908</v>
      </c>
      <c r="Z168" s="14" t="n">
        <v>1.745</v>
      </c>
      <c r="AA168" s="14" t="n">
        <v>0</v>
      </c>
      <c r="AB168" s="14" t="n">
        <v>12.908</v>
      </c>
      <c r="AC168" s="14" t="n">
        <v>0</v>
      </c>
      <c r="AD168" s="14" t="n">
        <v>1</v>
      </c>
      <c r="AE168" s="14" t="n">
        <v>14.194</v>
      </c>
      <c r="AF168" s="14" t="n">
        <v>3.319</v>
      </c>
      <c r="AG168" s="14" t="n">
        <v>0</v>
      </c>
      <c r="AH168" s="14" t="n">
        <v>14.194</v>
      </c>
      <c r="AI168" s="14" t="n">
        <v>0</v>
      </c>
      <c r="AJ168" s="14" t="n">
        <v>1</v>
      </c>
      <c r="AK168" s="14" t="n">
        <v>21.908</v>
      </c>
      <c r="AL168" s="14" t="n">
        <v>11.668</v>
      </c>
      <c r="AM168" s="14" t="n">
        <v>0</v>
      </c>
      <c r="AN168" s="14" t="n">
        <v>21.908</v>
      </c>
      <c r="AO168" s="14" t="n">
        <v>0</v>
      </c>
      <c r="AP168" s="14" t="n">
        <v>1</v>
      </c>
      <c r="AQ168" s="14" t="n">
        <v>0.76</v>
      </c>
      <c r="AR168" s="14" t="n">
        <v>0.129</v>
      </c>
      <c r="AS168" s="14" t="n">
        <v>0</v>
      </c>
      <c r="AT168" s="14" t="n">
        <v>0.76</v>
      </c>
      <c r="AU168" s="14" t="n">
        <v>0</v>
      </c>
      <c r="AV168" s="14" t="n">
        <v>1</v>
      </c>
      <c r="AW168" s="14" t="n">
        <v>0.8110000000000001</v>
      </c>
      <c r="AX168" s="14" t="n">
        <v>0.129</v>
      </c>
      <c r="AY168" s="14" t="n">
        <v>0</v>
      </c>
      <c r="AZ168" s="14" t="n">
        <v>0.8110000000000001</v>
      </c>
      <c r="BA168" s="14" t="n">
        <v>0</v>
      </c>
      <c r="BB168" s="14" t="n">
        <v>1</v>
      </c>
      <c r="BC168" s="14" t="n">
        <v>0.535</v>
      </c>
      <c r="BD168" s="14" t="n">
        <v>0.129</v>
      </c>
      <c r="BE168" s="14" t="n">
        <v>0</v>
      </c>
      <c r="BF168" s="14" t="n">
        <v>0.535</v>
      </c>
      <c r="BG168" s="14" t="n">
        <v>0</v>
      </c>
      <c r="BH168" s="14" t="n">
        <v>1</v>
      </c>
      <c r="BI168" s="14" t="n">
        <v>0.579</v>
      </c>
      <c r="BJ168" s="14" t="n">
        <v>0.129</v>
      </c>
      <c r="BK168" s="14" t="n">
        <v>0</v>
      </c>
      <c r="BL168" s="14" t="n">
        <v>0.579</v>
      </c>
      <c r="BM168" s="14" t="n">
        <v>0</v>
      </c>
      <c r="BN168" s="14" t="n">
        <v>1</v>
      </c>
      <c r="BO168" s="14" t="n">
        <v>0</v>
      </c>
      <c r="BP168" s="14" t="n">
        <v>0</v>
      </c>
      <c r="BQ168" s="14" t="n">
        <v>0</v>
      </c>
      <c r="BR168" s="14" t="n">
        <v>0</v>
      </c>
      <c r="BS168" s="14" t="n">
        <v>1</v>
      </c>
      <c r="BT168" s="14" t="n">
        <v>0</v>
      </c>
      <c r="BU168" s="14" t="n">
        <v>0</v>
      </c>
      <c r="BV168" s="14" t="n">
        <v>0</v>
      </c>
      <c r="BW168" s="14" t="n">
        <v>0</v>
      </c>
      <c r="BX168" s="14" t="n">
        <v>1</v>
      </c>
      <c r="BY168" s="14" t="n">
        <v>13.254</v>
      </c>
      <c r="BZ168" s="14" t="n">
        <v>0</v>
      </c>
      <c r="CA168" s="14" t="n">
        <v>13.254</v>
      </c>
      <c r="CB168" s="14" t="n">
        <v>0</v>
      </c>
      <c r="CC168" s="14" t="n">
        <v>83.248</v>
      </c>
      <c r="CD168" s="14" t="n">
        <v>7.95</v>
      </c>
      <c r="CE168" s="14" t="n">
        <v>0</v>
      </c>
      <c r="CF168" s="14" t="n">
        <v>83.248</v>
      </c>
      <c r="CG168" s="14" t="n">
        <v>0</v>
      </c>
      <c r="CH168" s="14" t="n">
        <v>1</v>
      </c>
      <c r="CI168" s="14" t="n">
        <v>0</v>
      </c>
      <c r="CJ168" s="14" t="n">
        <v>0</v>
      </c>
      <c r="CK168" s="14" t="n">
        <v>0</v>
      </c>
      <c r="CL168" s="14" t="n">
        <v>0</v>
      </c>
      <c r="CM168" s="14" t="n">
        <v>0</v>
      </c>
      <c r="CN168" s="14" t="n">
        <v>0</v>
      </c>
      <c r="CO168" s="14" t="n">
        <v>0</v>
      </c>
      <c r="CP168" s="14" t="n">
        <v>0</v>
      </c>
      <c r="CQ168" s="14" t="n">
        <v>1.348</v>
      </c>
      <c r="CR168" s="14" t="n">
        <v>0</v>
      </c>
      <c r="CS168" s="14" t="n">
        <v>5.37</v>
      </c>
      <c r="CT168" s="14" t="n">
        <v>3.466</v>
      </c>
      <c r="CU168" s="14" t="n">
        <v>11.622</v>
      </c>
    </row>
    <row r="169">
      <c r="A169" s="14" t="inlineStr">
        <is>
          <t>CHI2024</t>
        </is>
      </c>
      <c r="B169" s="14" t="inlineStr">
        <is>
          <t>CHI</t>
        </is>
      </c>
      <c r="C169" s="14" t="inlineStr">
        <is>
          <t>CHI</t>
        </is>
      </c>
      <c r="D169" s="14" t="inlineStr">
        <is>
          <t>Channel Islands</t>
        </is>
      </c>
      <c r="E169" s="14" t="n">
        <v>2024</v>
      </c>
      <c r="F169" s="14" t="n">
        <v>0</v>
      </c>
      <c r="G169" s="14" t="n">
        <v>4.351</v>
      </c>
      <c r="H169" s="14" t="n">
        <v>1.324</v>
      </c>
      <c r="I169" s="14" t="n">
        <v>0</v>
      </c>
      <c r="J169" s="14" t="n">
        <v>4.351</v>
      </c>
      <c r="K169" s="14" t="n">
        <v>0</v>
      </c>
      <c r="L169" s="14" t="n">
        <v>1</v>
      </c>
      <c r="M169" s="14" t="n">
        <v>7.124</v>
      </c>
      <c r="N169" s="14" t="n">
        <v>3.971</v>
      </c>
      <c r="O169" s="14" t="n">
        <v>0</v>
      </c>
      <c r="P169" s="14" t="n">
        <v>7.124</v>
      </c>
      <c r="Q169" s="14" t="n">
        <v>0</v>
      </c>
      <c r="R169" s="14" t="n">
        <v>1</v>
      </c>
      <c r="S169" s="14" t="n">
        <v>10.969</v>
      </c>
      <c r="T169" s="14" t="n">
        <v>7.942</v>
      </c>
      <c r="U169" s="14" t="n">
        <v>0</v>
      </c>
      <c r="V169" s="14" t="n">
        <v>10.969</v>
      </c>
      <c r="W169" s="14" t="n">
        <v>0</v>
      </c>
      <c r="X169" s="14" t="n">
        <v>1</v>
      </c>
      <c r="Y169" s="14" t="n">
        <v>11.492</v>
      </c>
      <c r="Z169" s="14" t="n">
        <v>1.553</v>
      </c>
      <c r="AA169" s="14" t="n">
        <v>0</v>
      </c>
      <c r="AB169" s="14" t="n">
        <v>11.492</v>
      </c>
      <c r="AC169" s="14" t="n">
        <v>0</v>
      </c>
      <c r="AD169" s="14" t="n">
        <v>1</v>
      </c>
      <c r="AE169" s="14" t="n">
        <v>12.815</v>
      </c>
      <c r="AF169" s="14" t="n">
        <v>2.997</v>
      </c>
      <c r="AG169" s="14" t="n">
        <v>0</v>
      </c>
      <c r="AH169" s="14" t="n">
        <v>12.815</v>
      </c>
      <c r="AI169" s="14" t="n">
        <v>0</v>
      </c>
      <c r="AJ169" s="14" t="n">
        <v>1</v>
      </c>
      <c r="AK169" s="14" t="n">
        <v>20.757</v>
      </c>
      <c r="AL169" s="14" t="n">
        <v>11.055</v>
      </c>
      <c r="AM169" s="14" t="n">
        <v>0</v>
      </c>
      <c r="AN169" s="14" t="n">
        <v>20.757</v>
      </c>
      <c r="AO169" s="14" t="n">
        <v>0</v>
      </c>
      <c r="AP169" s="14" t="n">
        <v>1</v>
      </c>
      <c r="AQ169" s="14" t="n">
        <v>0.724</v>
      </c>
      <c r="AR169" s="14" t="n">
        <v>0.132</v>
      </c>
      <c r="AS169" s="14" t="n">
        <v>0</v>
      </c>
      <c r="AT169" s="14" t="n">
        <v>0.724</v>
      </c>
      <c r="AU169" s="14" t="n">
        <v>0</v>
      </c>
      <c r="AV169" s="14" t="n">
        <v>1</v>
      </c>
      <c r="AW169" s="14" t="n">
        <v>0.75</v>
      </c>
      <c r="AX169" s="14" t="n">
        <v>0.132</v>
      </c>
      <c r="AY169" s="14" t="n">
        <v>0</v>
      </c>
      <c r="AZ169" s="14" t="n">
        <v>0.75</v>
      </c>
      <c r="BA169" s="14" t="n">
        <v>0</v>
      </c>
      <c r="BB169" s="14" t="n">
        <v>1</v>
      </c>
      <c r="BC169" s="14" t="n">
        <v>0.513</v>
      </c>
      <c r="BD169" s="14" t="n">
        <v>0.132</v>
      </c>
      <c r="BE169" s="14" t="n">
        <v>0</v>
      </c>
      <c r="BF169" s="14" t="n">
        <v>0.513</v>
      </c>
      <c r="BG169" s="14" t="n">
        <v>0</v>
      </c>
      <c r="BH169" s="14" t="n">
        <v>1</v>
      </c>
      <c r="BI169" s="14" t="n">
        <v>0.591</v>
      </c>
      <c r="BJ169" s="14" t="n">
        <v>0.132</v>
      </c>
      <c r="BK169" s="14" t="n">
        <v>0</v>
      </c>
      <c r="BL169" s="14" t="n">
        <v>0.591</v>
      </c>
      <c r="BM169" s="14" t="n">
        <v>0</v>
      </c>
      <c r="BN169" s="14" t="n">
        <v>1</v>
      </c>
      <c r="BO169" s="14" t="n">
        <v>0</v>
      </c>
      <c r="BP169" s="14" t="n">
        <v>0</v>
      </c>
      <c r="BQ169" s="14" t="n">
        <v>0</v>
      </c>
      <c r="BR169" s="14" t="n">
        <v>0</v>
      </c>
      <c r="BS169" s="14" t="n">
        <v>1</v>
      </c>
      <c r="BT169" s="14" t="n">
        <v>0</v>
      </c>
      <c r="BU169" s="14" t="n">
        <v>0</v>
      </c>
      <c r="BV169" s="14" t="n">
        <v>0</v>
      </c>
      <c r="BW169" s="14" t="n">
        <v>0</v>
      </c>
      <c r="BX169" s="14" t="n">
        <v>1</v>
      </c>
      <c r="BY169" s="14" t="n">
        <v>13.646</v>
      </c>
      <c r="BZ169" s="14" t="n">
        <v>0</v>
      </c>
      <c r="CA169" s="14" t="n">
        <v>13.646</v>
      </c>
      <c r="CB169" s="14" t="n">
        <v>0</v>
      </c>
      <c r="CC169" s="14" t="n">
        <v>82.58799999999999</v>
      </c>
      <c r="CD169" s="14" t="n">
        <v>7.95</v>
      </c>
      <c r="CE169" s="14" t="n">
        <v>0</v>
      </c>
      <c r="CF169" s="14" t="n">
        <v>82.58799999999999</v>
      </c>
      <c r="CG169" s="14" t="n">
        <v>0</v>
      </c>
      <c r="CH169" s="14" t="n">
        <v>1</v>
      </c>
      <c r="CI169" s="14" t="n">
        <v>0</v>
      </c>
      <c r="CJ169" s="14" t="n">
        <v>0</v>
      </c>
      <c r="CK169" s="14" t="n">
        <v>0</v>
      </c>
      <c r="CL169" s="14" t="n">
        <v>0</v>
      </c>
      <c r="CM169" s="14" t="n">
        <v>0</v>
      </c>
      <c r="CN169" s="14" t="n">
        <v>0</v>
      </c>
      <c r="CO169" s="14" t="n">
        <v>0</v>
      </c>
      <c r="CP169" s="14" t="n">
        <v>0</v>
      </c>
      <c r="CQ169" s="14" t="n">
        <v>1.387</v>
      </c>
      <c r="CR169" s="14" t="n">
        <v>0</v>
      </c>
      <c r="CS169" s="14" t="n">
        <v>5.529</v>
      </c>
      <c r="CT169" s="14" t="n">
        <v>3.027</v>
      </c>
      <c r="CU169" s="14" t="n">
        <v>10.168</v>
      </c>
    </row>
    <row r="170">
      <c r="A170" s="14" t="inlineStr">
        <is>
          <t>CHL2021</t>
        </is>
      </c>
      <c r="B170" s="14" t="inlineStr">
        <is>
          <t>CHL</t>
        </is>
      </c>
      <c r="C170" s="14" t="inlineStr">
        <is>
          <t>CHL</t>
        </is>
      </c>
      <c r="D170" s="14" t="inlineStr">
        <is>
          <t>Chile</t>
        </is>
      </c>
      <c r="E170" s="14" t="n">
        <v>2021</v>
      </c>
      <c r="F170" s="14" t="n">
        <v>0.19</v>
      </c>
      <c r="G170" s="14" t="n">
        <v>3.214</v>
      </c>
      <c r="H170" s="14" t="n">
        <v>0.703</v>
      </c>
      <c r="I170" s="14" t="n">
        <v>0.702</v>
      </c>
      <c r="J170" s="14" t="n">
        <v>3.916</v>
      </c>
      <c r="K170" s="14" t="n">
        <v>0</v>
      </c>
      <c r="L170" s="14" t="n">
        <v>1</v>
      </c>
      <c r="M170" s="14" t="n">
        <v>5.268</v>
      </c>
      <c r="N170" s="14" t="n">
        <v>2.387</v>
      </c>
      <c r="O170" s="14" t="n">
        <v>0.703</v>
      </c>
      <c r="P170" s="14" t="n">
        <v>5.97</v>
      </c>
      <c r="Q170" s="14" t="n">
        <v>0</v>
      </c>
      <c r="R170" s="14" t="n">
        <v>1</v>
      </c>
      <c r="S170" s="14" t="n">
        <v>11.613</v>
      </c>
      <c r="T170" s="14" t="n">
        <v>6.86</v>
      </c>
      <c r="U170" s="14" t="n">
        <v>0.758</v>
      </c>
      <c r="V170" s="14" t="n">
        <v>14.722</v>
      </c>
      <c r="W170" s="14" t="n">
        <v>0.19</v>
      </c>
      <c r="X170" s="14" t="n">
        <v>1</v>
      </c>
      <c r="Y170" s="14" t="n">
        <v>14.318</v>
      </c>
      <c r="Z170" s="14" t="n">
        <v>1.581</v>
      </c>
      <c r="AA170" s="14" t="n">
        <v>1.044</v>
      </c>
      <c r="AB170" s="14" t="n">
        <v>15.362</v>
      </c>
      <c r="AC170" s="14" t="n">
        <v>0</v>
      </c>
      <c r="AD170" s="14" t="n">
        <v>1</v>
      </c>
      <c r="AE170" s="14" t="n">
        <v>14.318</v>
      </c>
      <c r="AF170" s="14" t="n">
        <v>2.817</v>
      </c>
      <c r="AG170" s="14" t="n">
        <v>1.044</v>
      </c>
      <c r="AH170" s="14" t="n">
        <v>15.362</v>
      </c>
      <c r="AI170" s="14" t="n">
        <v>0</v>
      </c>
      <c r="AJ170" s="14" t="n">
        <v>1</v>
      </c>
      <c r="AK170" s="14" t="n">
        <v>28.248</v>
      </c>
      <c r="AL170" s="14" t="n">
        <v>13.865</v>
      </c>
      <c r="AM170" s="14" t="n">
        <v>-1.768</v>
      </c>
      <c r="AN170" s="14" t="n">
        <v>31.512</v>
      </c>
      <c r="AO170" s="14" t="n">
        <v>0.19</v>
      </c>
      <c r="AP170" s="14" t="n">
        <v>1</v>
      </c>
      <c r="AQ170" s="14" t="n">
        <v>0.649</v>
      </c>
      <c r="AR170" s="14" t="n">
        <v>0.114</v>
      </c>
      <c r="AS170" s="14" t="n">
        <v>0.303</v>
      </c>
      <c r="AT170" s="14" t="n">
        <v>1.133</v>
      </c>
      <c r="AU170" s="14" t="n">
        <v>0.19</v>
      </c>
      <c r="AV170" s="14" t="n">
        <v>1</v>
      </c>
      <c r="AW170" s="14" t="n">
        <v>0.577</v>
      </c>
      <c r="AX170" s="14" t="n">
        <v>0.114</v>
      </c>
      <c r="AY170" s="14" t="n">
        <v>0.126</v>
      </c>
      <c r="AZ170" s="14" t="n">
        <v>0.836</v>
      </c>
      <c r="BA170" s="14" t="n">
        <v>0.19</v>
      </c>
      <c r="BB170" s="14" t="n">
        <v>1</v>
      </c>
      <c r="BC170" s="14" t="n">
        <v>0.458</v>
      </c>
      <c r="BD170" s="14" t="n">
        <v>0.114</v>
      </c>
      <c r="BE170" s="14" t="n">
        <v>0.413</v>
      </c>
      <c r="BF170" s="14" t="n">
        <v>1.037</v>
      </c>
      <c r="BG170" s="14" t="n">
        <v>0.19</v>
      </c>
      <c r="BH170" s="14" t="n">
        <v>1</v>
      </c>
      <c r="BI170" s="14" t="n">
        <v>0.491</v>
      </c>
      <c r="BJ170" s="14" t="n">
        <v>0.114</v>
      </c>
      <c r="BK170" s="14" t="n">
        <v>0.281</v>
      </c>
      <c r="BL170" s="14" t="n">
        <v>0.919</v>
      </c>
      <c r="BM170" s="14" t="n">
        <v>0.19</v>
      </c>
      <c r="BN170" s="14" t="n">
        <v>1</v>
      </c>
      <c r="BO170" s="14" t="n">
        <v>0</v>
      </c>
      <c r="BP170" s="14" t="n">
        <v>0.004</v>
      </c>
      <c r="BQ170" s="14" t="n">
        <v>0.175</v>
      </c>
      <c r="BR170" s="14" t="n">
        <v>0</v>
      </c>
      <c r="BS170" s="14" t="n">
        <v>0.833</v>
      </c>
      <c r="BT170" s="14" t="n">
        <v>0</v>
      </c>
      <c r="BU170" s="14" t="n">
        <v>0</v>
      </c>
      <c r="BV170" s="14" t="n">
        <v>0.192</v>
      </c>
      <c r="BW170" s="14" t="n">
        <v>0</v>
      </c>
      <c r="BX170" s="14" t="n">
        <v>1</v>
      </c>
      <c r="BY170" s="14" t="n">
        <v>11.787</v>
      </c>
      <c r="BZ170" s="14" t="n">
        <v>0</v>
      </c>
      <c r="CA170" s="14" t="n">
        <v>11.787</v>
      </c>
      <c r="CB170" s="14" t="n">
        <v>0</v>
      </c>
      <c r="CC170" s="14" t="n">
        <v>78.125</v>
      </c>
      <c r="CD170" s="14" t="n">
        <v>7.95</v>
      </c>
      <c r="CE170" s="14" t="n">
        <v>-10.517</v>
      </c>
      <c r="CF170" s="14" t="n">
        <v>80.45399999999999</v>
      </c>
      <c r="CG170" s="14" t="n">
        <v>0.19</v>
      </c>
      <c r="CH170" s="14" t="n">
        <v>1</v>
      </c>
      <c r="CI170" s="14" t="n">
        <v>0</v>
      </c>
      <c r="CJ170" s="14" t="n">
        <v>0</v>
      </c>
      <c r="CK170" s="14" t="n">
        <v>0</v>
      </c>
      <c r="CL170" s="14" t="n">
        <v>0</v>
      </c>
      <c r="CM170" s="14" t="n">
        <v>0</v>
      </c>
      <c r="CN170" s="14" t="n">
        <v>0</v>
      </c>
      <c r="CO170" s="14" t="n">
        <v>0</v>
      </c>
      <c r="CP170" s="14" t="n">
        <v>0</v>
      </c>
      <c r="CQ170" s="14" t="n">
        <v>1.198</v>
      </c>
      <c r="CR170" s="14" t="n">
        <v>0</v>
      </c>
      <c r="CS170" s="14" t="n">
        <v>7.25</v>
      </c>
      <c r="CT170" s="14" t="n">
        <v>4.753</v>
      </c>
      <c r="CU170" s="14" t="n">
        <v>16.491</v>
      </c>
    </row>
    <row r="171">
      <c r="A171" s="14" t="inlineStr">
        <is>
          <t>CHL2022</t>
        </is>
      </c>
      <c r="B171" s="14" t="inlineStr">
        <is>
          <t>CHL</t>
        </is>
      </c>
      <c r="C171" s="14" t="inlineStr">
        <is>
          <t>CHL</t>
        </is>
      </c>
      <c r="D171" s="14" t="inlineStr">
        <is>
          <t>Chile</t>
        </is>
      </c>
      <c r="E171" s="14" t="n">
        <v>2022</v>
      </c>
      <c r="F171" s="14" t="n">
        <v>0.19</v>
      </c>
      <c r="G171" s="14" t="n">
        <v>8.279999999999999</v>
      </c>
      <c r="H171" s="14" t="n">
        <v>1.286</v>
      </c>
      <c r="I171" s="14" t="n">
        <v>0.999</v>
      </c>
      <c r="J171" s="14" t="n">
        <v>9.279</v>
      </c>
      <c r="K171" s="14" t="n">
        <v>0</v>
      </c>
      <c r="L171" s="14" t="n">
        <v>1</v>
      </c>
      <c r="M171" s="14" t="n">
        <v>12.687</v>
      </c>
      <c r="N171" s="14" t="n">
        <v>5.239</v>
      </c>
      <c r="O171" s="14" t="n">
        <v>0.752</v>
      </c>
      <c r="P171" s="14" t="n">
        <v>13.439</v>
      </c>
      <c r="Q171" s="14" t="n">
        <v>0</v>
      </c>
      <c r="R171" s="14" t="n">
        <v>1</v>
      </c>
      <c r="S171" s="14" t="n">
        <v>17.652</v>
      </c>
      <c r="T171" s="14" t="n">
        <v>7.339</v>
      </c>
      <c r="U171" s="14" t="n">
        <v>1.363</v>
      </c>
      <c r="V171" s="14" t="n">
        <v>22.314</v>
      </c>
      <c r="W171" s="14" t="n">
        <v>0.19</v>
      </c>
      <c r="X171" s="14" t="n">
        <v>1</v>
      </c>
      <c r="Y171" s="14" t="n">
        <v>17.326</v>
      </c>
      <c r="Z171" s="14" t="n">
        <v>1.818</v>
      </c>
      <c r="AA171" s="14" t="n">
        <v>1.719</v>
      </c>
      <c r="AB171" s="14" t="n">
        <v>19.045</v>
      </c>
      <c r="AC171" s="14" t="n">
        <v>0</v>
      </c>
      <c r="AD171" s="14" t="n">
        <v>1</v>
      </c>
      <c r="AE171" s="14" t="n">
        <v>17.326</v>
      </c>
      <c r="AF171" s="14" t="n">
        <v>3.212</v>
      </c>
      <c r="AG171" s="14" t="n">
        <v>1.719</v>
      </c>
      <c r="AH171" s="14" t="n">
        <v>19.045</v>
      </c>
      <c r="AI171" s="14" t="n">
        <v>0</v>
      </c>
      <c r="AJ171" s="14" t="n">
        <v>1</v>
      </c>
      <c r="AK171" s="14" t="n">
        <v>28.914</v>
      </c>
      <c r="AL171" s="14" t="n">
        <v>13.808</v>
      </c>
      <c r="AM171" s="14" t="n">
        <v>-0.913</v>
      </c>
      <c r="AN171" s="14" t="n">
        <v>33.322</v>
      </c>
      <c r="AO171" s="14" t="n">
        <v>0.19</v>
      </c>
      <c r="AP171" s="14" t="n">
        <v>1</v>
      </c>
      <c r="AQ171" s="14" t="n">
        <v>0.896</v>
      </c>
      <c r="AR171" s="14" t="n">
        <v>0.123</v>
      </c>
      <c r="AS171" s="14" t="n">
        <v>0.191</v>
      </c>
      <c r="AT171" s="14" t="n">
        <v>1.294</v>
      </c>
      <c r="AU171" s="14" t="n">
        <v>0.19</v>
      </c>
      <c r="AV171" s="14" t="n">
        <v>1</v>
      </c>
      <c r="AW171" s="14" t="n">
        <v>0.89</v>
      </c>
      <c r="AX171" s="14" t="n">
        <v>0.123</v>
      </c>
      <c r="AY171" s="14" t="n">
        <v>-0.004</v>
      </c>
      <c r="AZ171" s="14" t="n">
        <v>1.054</v>
      </c>
      <c r="BA171" s="14" t="n">
        <v>0.19</v>
      </c>
      <c r="BB171" s="14" t="n">
        <v>1</v>
      </c>
      <c r="BC171" s="14" t="n">
        <v>0.62</v>
      </c>
      <c r="BD171" s="14" t="n">
        <v>0.123</v>
      </c>
      <c r="BE171" s="14" t="n">
        <v>0.291</v>
      </c>
      <c r="BF171" s="14" t="n">
        <v>1.085</v>
      </c>
      <c r="BG171" s="14" t="n">
        <v>0.19</v>
      </c>
      <c r="BH171" s="14" t="n">
        <v>1</v>
      </c>
      <c r="BI171" s="14" t="n">
        <v>0.608</v>
      </c>
      <c r="BJ171" s="14" t="n">
        <v>0.123</v>
      </c>
      <c r="BK171" s="14" t="n">
        <v>0.464</v>
      </c>
      <c r="BL171" s="14" t="n">
        <v>1.275</v>
      </c>
      <c r="BM171" s="14" t="n">
        <v>0.19</v>
      </c>
      <c r="BN171" s="14" t="n">
        <v>1</v>
      </c>
      <c r="BO171" s="14" t="n">
        <v>0</v>
      </c>
      <c r="BP171" s="14" t="n">
        <v>0</v>
      </c>
      <c r="BQ171" s="14" t="n">
        <v>0.116</v>
      </c>
      <c r="BR171" s="14" t="n">
        <v>0</v>
      </c>
      <c r="BS171" s="14" t="n">
        <v>0.833</v>
      </c>
      <c r="BT171" s="14" t="n">
        <v>0</v>
      </c>
      <c r="BU171" s="14" t="n">
        <v>0</v>
      </c>
      <c r="BV171" s="14" t="n">
        <v>0.127</v>
      </c>
      <c r="BW171" s="14" t="n">
        <v>0</v>
      </c>
      <c r="BX171" s="14" t="n">
        <v>1</v>
      </c>
      <c r="BY171" s="14" t="n">
        <v>12.729</v>
      </c>
      <c r="BZ171" s="14" t="n">
        <v>0</v>
      </c>
      <c r="CA171" s="14" t="n">
        <v>12.729</v>
      </c>
      <c r="CB171" s="14" t="n">
        <v>0</v>
      </c>
      <c r="CC171" s="14" t="n">
        <v>97.90000000000001</v>
      </c>
      <c r="CD171" s="14" t="n">
        <v>7.95</v>
      </c>
      <c r="CE171" s="14" t="n">
        <v>0.573</v>
      </c>
      <c r="CF171" s="14" t="n">
        <v>117.183</v>
      </c>
      <c r="CG171" s="14" t="n">
        <v>0.19</v>
      </c>
      <c r="CH171" s="14" t="n">
        <v>1</v>
      </c>
      <c r="CI171" s="14" t="n">
        <v>0</v>
      </c>
      <c r="CJ171" s="14" t="n">
        <v>0</v>
      </c>
      <c r="CK171" s="14" t="n">
        <v>0</v>
      </c>
      <c r="CL171" s="14" t="n">
        <v>0</v>
      </c>
      <c r="CM171" s="14" t="n">
        <v>0</v>
      </c>
      <c r="CN171" s="14" t="n">
        <v>0</v>
      </c>
      <c r="CO171" s="14" t="n">
        <v>0</v>
      </c>
      <c r="CP171" s="14" t="n">
        <v>0</v>
      </c>
      <c r="CQ171" s="14" t="n">
        <v>1.294</v>
      </c>
      <c r="CR171" s="14" t="n">
        <v>0</v>
      </c>
      <c r="CS171" s="14" t="n">
        <v>7.83</v>
      </c>
      <c r="CT171" s="14" t="n">
        <v>10.485</v>
      </c>
      <c r="CU171" s="14" t="n">
        <v>30.272</v>
      </c>
    </row>
    <row r="172">
      <c r="A172" s="14" t="inlineStr">
        <is>
          <t>CHL2023</t>
        </is>
      </c>
      <c r="B172" s="14" t="inlineStr">
        <is>
          <t>CHL</t>
        </is>
      </c>
      <c r="C172" s="14" t="inlineStr">
        <is>
          <t>CHL</t>
        </is>
      </c>
      <c r="D172" s="14" t="inlineStr">
        <is>
          <t>Chile</t>
        </is>
      </c>
      <c r="E172" s="14" t="n">
        <v>2023</v>
      </c>
      <c r="F172" s="14" t="n">
        <v>0.19</v>
      </c>
      <c r="G172" s="14" t="n">
        <v>6.065</v>
      </c>
      <c r="H172" s="14" t="n">
        <v>1.381</v>
      </c>
      <c r="I172" s="14" t="n">
        <v>0.716</v>
      </c>
      <c r="J172" s="14" t="n">
        <v>6.781</v>
      </c>
      <c r="K172" s="14" t="n">
        <v>0</v>
      </c>
      <c r="L172" s="14" t="n">
        <v>1</v>
      </c>
      <c r="M172" s="14" t="n">
        <v>9.289</v>
      </c>
      <c r="N172" s="14" t="n">
        <v>4.607</v>
      </c>
      <c r="O172" s="14" t="n">
        <v>0.681</v>
      </c>
      <c r="P172" s="14" t="n">
        <v>9.970000000000001</v>
      </c>
      <c r="Q172" s="14" t="n">
        <v>0</v>
      </c>
      <c r="R172" s="14" t="n">
        <v>1</v>
      </c>
      <c r="S172" s="14" t="n">
        <v>12.486</v>
      </c>
      <c r="T172" s="14" t="n">
        <v>7.667</v>
      </c>
      <c r="U172" s="14" t="n">
        <v>1.059</v>
      </c>
      <c r="V172" s="14" t="n">
        <v>15.787</v>
      </c>
      <c r="W172" s="14" t="n">
        <v>0.19</v>
      </c>
      <c r="X172" s="14" t="n">
        <v>1</v>
      </c>
      <c r="Y172" s="14" t="n">
        <v>13.843</v>
      </c>
      <c r="Z172" s="14" t="n">
        <v>1.551</v>
      </c>
      <c r="AA172" s="14" t="n">
        <v>0.8149999999999999</v>
      </c>
      <c r="AB172" s="14" t="n">
        <v>14.657</v>
      </c>
      <c r="AC172" s="14" t="n">
        <v>0</v>
      </c>
      <c r="AD172" s="14" t="n">
        <v>1</v>
      </c>
      <c r="AE172" s="14" t="n">
        <v>13.843</v>
      </c>
      <c r="AF172" s="14" t="n">
        <v>2.757</v>
      </c>
      <c r="AG172" s="14" t="n">
        <v>0.8149999999999999</v>
      </c>
      <c r="AH172" s="14" t="n">
        <v>14.657</v>
      </c>
      <c r="AI172" s="14" t="n">
        <v>0</v>
      </c>
      <c r="AJ172" s="14" t="n">
        <v>1</v>
      </c>
      <c r="AK172" s="14" t="n">
        <v>33.217</v>
      </c>
      <c r="AL172" s="14" t="n">
        <v>16.455</v>
      </c>
      <c r="AM172" s="14" t="n">
        <v>-1.684</v>
      </c>
      <c r="AN172" s="14" t="n">
        <v>37.524</v>
      </c>
      <c r="AO172" s="14" t="n">
        <v>0.19</v>
      </c>
      <c r="AP172" s="14" t="n">
        <v>1</v>
      </c>
      <c r="AQ172" s="14" t="n">
        <v>0.791</v>
      </c>
      <c r="AR172" s="14" t="n">
        <v>0.129</v>
      </c>
      <c r="AS172" s="14" t="n">
        <v>0.447</v>
      </c>
      <c r="AT172" s="14" t="n">
        <v>1.473</v>
      </c>
      <c r="AU172" s="14" t="n">
        <v>0.19</v>
      </c>
      <c r="AV172" s="14" t="n">
        <v>1</v>
      </c>
      <c r="AW172" s="14" t="n">
        <v>0.618</v>
      </c>
      <c r="AX172" s="14" t="n">
        <v>0.129</v>
      </c>
      <c r="AY172" s="14" t="n">
        <v>0.424</v>
      </c>
      <c r="AZ172" s="14" t="n">
        <v>1.24</v>
      </c>
      <c r="BA172" s="14" t="n">
        <v>0.19</v>
      </c>
      <c r="BB172" s="14" t="n">
        <v>1</v>
      </c>
      <c r="BC172" s="14" t="n">
        <v>0.554</v>
      </c>
      <c r="BD172" s="14" t="n">
        <v>0.129</v>
      </c>
      <c r="BE172" s="14" t="n">
        <v>0.327</v>
      </c>
      <c r="BF172" s="14" t="n">
        <v>1.049</v>
      </c>
      <c r="BG172" s="14" t="n">
        <v>0.19</v>
      </c>
      <c r="BH172" s="14" t="n">
        <v>1</v>
      </c>
      <c r="BI172" s="14" t="n">
        <v>0.5570000000000001</v>
      </c>
      <c r="BJ172" s="14" t="n">
        <v>0.129</v>
      </c>
      <c r="BK172" s="14" t="n">
        <v>0.507</v>
      </c>
      <c r="BL172" s="14" t="n">
        <v>1.266</v>
      </c>
      <c r="BM172" s="14" t="n">
        <v>0.19</v>
      </c>
      <c r="BN172" s="14" t="n">
        <v>1</v>
      </c>
      <c r="BO172" s="14" t="n">
        <v>0</v>
      </c>
      <c r="BP172" s="14" t="n">
        <v>0.002</v>
      </c>
      <c r="BQ172" s="14" t="n">
        <v>0.151</v>
      </c>
      <c r="BR172" s="14" t="n">
        <v>0</v>
      </c>
      <c r="BS172" s="14" t="n">
        <v>0.833</v>
      </c>
      <c r="BT172" s="14" t="n">
        <v>0</v>
      </c>
      <c r="BU172" s="14" t="n">
        <v>0</v>
      </c>
      <c r="BV172" s="14" t="n">
        <v>0.166</v>
      </c>
      <c r="BW172" s="14" t="n">
        <v>0</v>
      </c>
      <c r="BX172" s="14" t="n">
        <v>1</v>
      </c>
      <c r="BY172" s="14" t="n">
        <v>13.254</v>
      </c>
      <c r="BZ172" s="14" t="n">
        <v>0</v>
      </c>
      <c r="CA172" s="14" t="n">
        <v>13.254</v>
      </c>
      <c r="CB172" s="14" t="n">
        <v>0</v>
      </c>
      <c r="CC172" s="14" t="n">
        <v>83.248</v>
      </c>
      <c r="CD172" s="14" t="n">
        <v>7.95</v>
      </c>
      <c r="CE172" s="14" t="n">
        <v>25.05</v>
      </c>
      <c r="CF172" s="14" t="n">
        <v>128.874</v>
      </c>
      <c r="CG172" s="14" t="n">
        <v>0.19</v>
      </c>
      <c r="CH172" s="14" t="n">
        <v>1</v>
      </c>
      <c r="CI172" s="14" t="n">
        <v>0</v>
      </c>
      <c r="CJ172" s="14" t="n">
        <v>0</v>
      </c>
      <c r="CK172" s="14" t="n">
        <v>0</v>
      </c>
      <c r="CL172" s="14" t="n">
        <v>0</v>
      </c>
      <c r="CM172" s="14" t="n">
        <v>0</v>
      </c>
      <c r="CN172" s="14" t="n">
        <v>0</v>
      </c>
      <c r="CO172" s="14" t="n">
        <v>0</v>
      </c>
      <c r="CP172" s="14" t="n">
        <v>0</v>
      </c>
      <c r="CQ172" s="14" t="n">
        <v>1.348</v>
      </c>
      <c r="CR172" s="14" t="n">
        <v>0</v>
      </c>
      <c r="CS172" s="14" t="n">
        <v>8.153</v>
      </c>
      <c r="CT172" s="14" t="n">
        <v>4.861</v>
      </c>
      <c r="CU172" s="14" t="n">
        <v>11.733</v>
      </c>
    </row>
    <row r="173">
      <c r="A173" s="14" t="inlineStr">
        <is>
          <t>CHL2024</t>
        </is>
      </c>
      <c r="B173" s="14" t="inlineStr">
        <is>
          <t>CHL</t>
        </is>
      </c>
      <c r="C173" s="14" t="inlineStr">
        <is>
          <t>CHL</t>
        </is>
      </c>
      <c r="D173" s="14" t="inlineStr">
        <is>
          <t>Chile</t>
        </is>
      </c>
      <c r="E173" s="14" t="n">
        <v>2024</v>
      </c>
      <c r="F173" s="14" t="n">
        <v>0.19</v>
      </c>
      <c r="G173" s="14" t="n">
        <v>3.853</v>
      </c>
      <c r="H173" s="14" t="n">
        <v>0.976</v>
      </c>
      <c r="I173" s="14" t="n">
        <v>0.6929999999999999</v>
      </c>
      <c r="J173" s="14" t="n">
        <v>4.546</v>
      </c>
      <c r="K173" s="14" t="n">
        <v>0</v>
      </c>
      <c r="L173" s="14" t="n">
        <v>1</v>
      </c>
      <c r="M173" s="14" t="n">
        <v>8.794</v>
      </c>
      <c r="N173" s="14" t="n">
        <v>4.79</v>
      </c>
      <c r="O173" s="14" t="n">
        <v>0.642</v>
      </c>
      <c r="P173" s="14" t="n">
        <v>9.436</v>
      </c>
      <c r="Q173" s="14" t="n">
        <v>0</v>
      </c>
      <c r="R173" s="14" t="n">
        <v>1</v>
      </c>
      <c r="S173" s="14" t="n">
        <v>12.11</v>
      </c>
      <c r="T173" s="14" t="n">
        <v>7.894</v>
      </c>
      <c r="U173" s="14" t="n">
        <v>1.091</v>
      </c>
      <c r="V173" s="14" t="n">
        <v>15.314</v>
      </c>
      <c r="W173" s="14" t="n">
        <v>0.19</v>
      </c>
      <c r="X173" s="14" t="n">
        <v>1</v>
      </c>
      <c r="Y173" s="14" t="n">
        <v>13.977</v>
      </c>
      <c r="Z173" s="14" t="n">
        <v>1.765</v>
      </c>
      <c r="AA173" s="14" t="n">
        <v>0.761</v>
      </c>
      <c r="AB173" s="14" t="n">
        <v>14.738</v>
      </c>
      <c r="AC173" s="14" t="n">
        <v>0</v>
      </c>
      <c r="AD173" s="14" t="n">
        <v>1</v>
      </c>
      <c r="AE173" s="14" t="n">
        <v>13.977</v>
      </c>
      <c r="AF173" s="14" t="n">
        <v>3.062</v>
      </c>
      <c r="AG173" s="14" t="n">
        <v>0.761</v>
      </c>
      <c r="AH173" s="14" t="n">
        <v>14.738</v>
      </c>
      <c r="AI173" s="14" t="n">
        <v>0</v>
      </c>
      <c r="AJ173" s="14" t="n">
        <v>1</v>
      </c>
      <c r="AK173" s="14" t="n">
        <v>32.734</v>
      </c>
      <c r="AL173" s="14" t="n">
        <v>16.649</v>
      </c>
      <c r="AM173" s="14" t="n">
        <v>-2.223</v>
      </c>
      <c r="AN173" s="14" t="n">
        <v>36.308</v>
      </c>
      <c r="AO173" s="14" t="n">
        <v>0.19</v>
      </c>
      <c r="AP173" s="14" t="n">
        <v>1</v>
      </c>
      <c r="AQ173" s="14" t="n">
        <v>0.756</v>
      </c>
      <c r="AR173" s="14" t="n">
        <v>0.132</v>
      </c>
      <c r="AS173" s="14" t="n">
        <v>0.383</v>
      </c>
      <c r="AT173" s="14" t="n">
        <v>1.355</v>
      </c>
      <c r="AU173" s="14" t="n">
        <v>0.19</v>
      </c>
      <c r="AV173" s="14" t="n">
        <v>1</v>
      </c>
      <c r="AW173" s="14" t="n">
        <v>0.655</v>
      </c>
      <c r="AX173" s="14" t="n">
        <v>0.132</v>
      </c>
      <c r="AY173" s="14" t="n">
        <v>0.232</v>
      </c>
      <c r="AZ173" s="14" t="n">
        <v>1.055</v>
      </c>
      <c r="BA173" s="14" t="n">
        <v>0.19</v>
      </c>
      <c r="BB173" s="14" t="n">
        <v>1</v>
      </c>
      <c r="BC173" s="14" t="n">
        <v>0.534</v>
      </c>
      <c r="BD173" s="14" t="n">
        <v>0.132</v>
      </c>
      <c r="BE173" s="14" t="n">
        <v>0.319</v>
      </c>
      <c r="BF173" s="14" t="n">
        <v>1.015</v>
      </c>
      <c r="BG173" s="14" t="n">
        <v>0.19</v>
      </c>
      <c r="BH173" s="14" t="n">
        <v>1</v>
      </c>
      <c r="BI173" s="14" t="n">
        <v>0.5679999999999999</v>
      </c>
      <c r="BJ173" s="14" t="n">
        <v>0.132</v>
      </c>
      <c r="BK173" s="14" t="n">
        <v>0.411</v>
      </c>
      <c r="BL173" s="14" t="n">
        <v>1.165</v>
      </c>
      <c r="BM173" s="14" t="n">
        <v>0.19</v>
      </c>
      <c r="BN173" s="14" t="n">
        <v>1</v>
      </c>
      <c r="BO173" s="14" t="n">
        <v>0</v>
      </c>
      <c r="BP173" s="14" t="n">
        <v>0.003</v>
      </c>
      <c r="BQ173" s="14" t="n">
        <v>0.164</v>
      </c>
      <c r="BR173" s="14" t="n">
        <v>0</v>
      </c>
      <c r="BS173" s="14" t="n">
        <v>0.833</v>
      </c>
      <c r="BT173" s="14" t="n">
        <v>0</v>
      </c>
      <c r="BU173" s="14" t="n">
        <v>0</v>
      </c>
      <c r="BV173" s="14" t="n">
        <v>0.182</v>
      </c>
      <c r="BW173" s="14" t="n">
        <v>0</v>
      </c>
      <c r="BX173" s="14" t="n">
        <v>1</v>
      </c>
      <c r="BY173" s="14" t="n">
        <v>13.646</v>
      </c>
      <c r="BZ173" s="14" t="n">
        <v>0</v>
      </c>
      <c r="CA173" s="14" t="n">
        <v>13.646</v>
      </c>
      <c r="CB173" s="14" t="n">
        <v>0</v>
      </c>
      <c r="CC173" s="14" t="n">
        <v>82.58799999999999</v>
      </c>
      <c r="CD173" s="14" t="n">
        <v>7.95</v>
      </c>
      <c r="CE173" s="14" t="n">
        <v>13.913</v>
      </c>
      <c r="CF173" s="14" t="n">
        <v>114.836</v>
      </c>
      <c r="CG173" s="14" t="n">
        <v>0.19</v>
      </c>
      <c r="CH173" s="14" t="n">
        <v>1</v>
      </c>
      <c r="CI173" s="14" t="n">
        <v>0</v>
      </c>
      <c r="CJ173" s="14" t="n">
        <v>0</v>
      </c>
      <c r="CK173" s="14" t="n">
        <v>0</v>
      </c>
      <c r="CL173" s="14" t="n">
        <v>0</v>
      </c>
      <c r="CM173" s="14" t="n">
        <v>0</v>
      </c>
      <c r="CN173" s="14" t="n">
        <v>0</v>
      </c>
      <c r="CO173" s="14" t="n">
        <v>0</v>
      </c>
      <c r="CP173" s="14" t="n">
        <v>0</v>
      </c>
      <c r="CQ173" s="14" t="n">
        <v>1.387</v>
      </c>
      <c r="CR173" s="14" t="n">
        <v>0</v>
      </c>
      <c r="CS173" s="14" t="n">
        <v>8.393000000000001</v>
      </c>
      <c r="CT173" s="14" t="n">
        <v>4.251</v>
      </c>
      <c r="CU173" s="14" t="n">
        <v>10.46</v>
      </c>
    </row>
    <row r="174">
      <c r="A174" s="14" t="inlineStr">
        <is>
          <t>CHN2021</t>
        </is>
      </c>
      <c r="B174" s="14" t="inlineStr">
        <is>
          <t>CHN</t>
        </is>
      </c>
      <c r="C174" s="14" t="inlineStr">
        <is>
          <t>CHN</t>
        </is>
      </c>
      <c r="D174" s="14" t="inlineStr">
        <is>
          <t>China</t>
        </is>
      </c>
      <c r="E174" s="14" t="n">
        <v>2021</v>
      </c>
      <c r="F174" s="14" t="n">
        <v>0.13</v>
      </c>
      <c r="G174" s="14" t="n">
        <v>3.796</v>
      </c>
      <c r="H174" s="14" t="n">
        <v>0.83</v>
      </c>
      <c r="I174" s="14" t="n">
        <v>0.016</v>
      </c>
      <c r="J174" s="14" t="n">
        <v>3.812</v>
      </c>
      <c r="K174" s="14" t="n">
        <v>0</v>
      </c>
      <c r="L174" s="14" t="n">
        <v>1</v>
      </c>
      <c r="M174" s="14" t="n">
        <v>8.916</v>
      </c>
      <c r="N174" s="14" t="n">
        <v>4.041</v>
      </c>
      <c r="O174" s="14" t="n">
        <v>0.025</v>
      </c>
      <c r="P174" s="14" t="n">
        <v>8.941000000000001</v>
      </c>
      <c r="Q174" s="14" t="n">
        <v>0</v>
      </c>
      <c r="R174" s="14" t="n">
        <v>1</v>
      </c>
      <c r="S174" s="14" t="n">
        <v>1.672</v>
      </c>
      <c r="T174" s="14" t="n">
        <v>1.036</v>
      </c>
      <c r="U174" s="14" t="n">
        <v>0.033</v>
      </c>
      <c r="V174" s="14" t="n">
        <v>1.927</v>
      </c>
      <c r="W174" s="14" t="n">
        <v>0.13</v>
      </c>
      <c r="X174" s="14" t="n">
        <v>1</v>
      </c>
      <c r="Y174" s="14" t="n">
        <v>14.313</v>
      </c>
      <c r="Z174" s="14" t="n">
        <v>1.581</v>
      </c>
      <c r="AA174" s="14" t="n">
        <v>-2.102</v>
      </c>
      <c r="AB174" s="14" t="n">
        <v>12.211</v>
      </c>
      <c r="AC174" s="14" t="n">
        <v>0</v>
      </c>
      <c r="AD174" s="14" t="n">
        <v>1</v>
      </c>
      <c r="AE174" s="14" t="n">
        <v>14.294</v>
      </c>
      <c r="AF174" s="14" t="n">
        <v>2.813</v>
      </c>
      <c r="AG174" s="14" t="n">
        <v>-2.083</v>
      </c>
      <c r="AH174" s="14" t="n">
        <v>12.211</v>
      </c>
      <c r="AI174" s="14" t="n">
        <v>0</v>
      </c>
      <c r="AJ174" s="14" t="n">
        <v>1</v>
      </c>
      <c r="AK174" s="14" t="n">
        <v>17.372</v>
      </c>
      <c r="AL174" s="14" t="n">
        <v>8.526</v>
      </c>
      <c r="AM174" s="14" t="n">
        <v>-7.341</v>
      </c>
      <c r="AN174" s="14" t="n">
        <v>10.934</v>
      </c>
      <c r="AO174" s="14" t="n">
        <v>0</v>
      </c>
      <c r="AP174" s="14" t="n">
        <v>0</v>
      </c>
      <c r="AQ174" s="14" t="n">
        <v>0.669</v>
      </c>
      <c r="AR174" s="14" t="n">
        <v>0.122</v>
      </c>
      <c r="AS174" s="14" t="n">
        <v>0.271</v>
      </c>
      <c r="AT174" s="14" t="n">
        <v>1.062</v>
      </c>
      <c r="AU174" s="14" t="n">
        <v>0.13</v>
      </c>
      <c r="AV174" s="14" t="n">
        <v>1</v>
      </c>
      <c r="AW174" s="14" t="n">
        <v>0.673</v>
      </c>
      <c r="AX174" s="14" t="n">
        <v>0.13</v>
      </c>
      <c r="AY174" s="14" t="n">
        <v>0.215</v>
      </c>
      <c r="AZ174" s="14" t="n">
        <v>1.003</v>
      </c>
      <c r="BA174" s="14" t="n">
        <v>0.13</v>
      </c>
      <c r="BB174" s="14" t="n">
        <v>1</v>
      </c>
      <c r="BC174" s="14" t="n">
        <v>0.554</v>
      </c>
      <c r="BD174" s="14" t="n">
        <v>0.143</v>
      </c>
      <c r="BE174" s="14" t="n">
        <v>0.016</v>
      </c>
      <c r="BF174" s="14" t="n">
        <v>0.621</v>
      </c>
      <c r="BG174" s="14" t="n">
        <v>0.09</v>
      </c>
      <c r="BH174" s="14" t="n">
        <v>1</v>
      </c>
      <c r="BI174" s="14" t="n">
        <v>0.5600000000000001</v>
      </c>
      <c r="BJ174" s="14" t="n">
        <v>0.114</v>
      </c>
      <c r="BK174" s="14" t="n">
        <v>0.215</v>
      </c>
      <c r="BL174" s="14" t="n">
        <v>0.876</v>
      </c>
      <c r="BM174" s="14" t="n">
        <v>0.13</v>
      </c>
      <c r="BN174" s="14" t="n">
        <v>1</v>
      </c>
      <c r="BO174" s="14" t="n">
        <v>0</v>
      </c>
      <c r="BP174" s="14" t="n">
        <v>-0.003</v>
      </c>
      <c r="BQ174" s="14" t="n">
        <v>0.095</v>
      </c>
      <c r="BR174" s="14" t="n">
        <v>0</v>
      </c>
      <c r="BS174" s="14" t="n">
        <v>0.833</v>
      </c>
      <c r="BT174" s="14" t="n">
        <v>0</v>
      </c>
      <c r="BU174" s="14" t="n">
        <v>-0.003</v>
      </c>
      <c r="BV174" s="14" t="n">
        <v>0.081</v>
      </c>
      <c r="BW174" s="14" t="n">
        <v>0.13</v>
      </c>
      <c r="BX174" s="14" t="n">
        <v>0</v>
      </c>
      <c r="BY174" s="14" t="n">
        <v>11.787</v>
      </c>
      <c r="BZ174" s="14" t="n">
        <v>0</v>
      </c>
      <c r="CA174" s="14" t="n">
        <v>11.787</v>
      </c>
      <c r="CB174" s="14" t="n">
        <v>0</v>
      </c>
      <c r="CC174" s="14" t="n">
        <v>81.69499999999999</v>
      </c>
      <c r="CD174" s="14" t="n">
        <v>7.95</v>
      </c>
      <c r="CE174" s="14" t="n">
        <v>34.413</v>
      </c>
      <c r="CF174" s="14" t="n">
        <v>131.203</v>
      </c>
      <c r="CG174" s="14" t="n">
        <v>0.13</v>
      </c>
      <c r="CH174" s="14" t="n">
        <v>1</v>
      </c>
      <c r="CI174" s="14" t="n">
        <v>0</v>
      </c>
      <c r="CJ174" s="14" t="n">
        <v>0</v>
      </c>
      <c r="CK174" s="14" t="n">
        <v>0</v>
      </c>
      <c r="CL174" s="14" t="n">
        <v>0.783</v>
      </c>
      <c r="CM174" s="14" t="n">
        <v>0</v>
      </c>
      <c r="CN174" s="14" t="n">
        <v>1.445</v>
      </c>
      <c r="CO174" s="14" t="n">
        <v>1.047</v>
      </c>
      <c r="CP174" s="14" t="n">
        <v>0</v>
      </c>
      <c r="CQ174" s="14" t="n">
        <v>1.137</v>
      </c>
      <c r="CR174" s="14" t="n">
        <v>0</v>
      </c>
      <c r="CS174" s="14" t="n">
        <v>4.117</v>
      </c>
      <c r="CT174" s="14" t="n">
        <v>4.634</v>
      </c>
      <c r="CU174" s="14" t="n">
        <v>12.488</v>
      </c>
    </row>
    <row r="175">
      <c r="A175" s="14" t="inlineStr">
        <is>
          <t>CHN2022</t>
        </is>
      </c>
      <c r="B175" s="14" t="inlineStr">
        <is>
          <t>CHN</t>
        </is>
      </c>
      <c r="C175" s="14" t="inlineStr">
        <is>
          <t>CHN</t>
        </is>
      </c>
      <c r="D175" s="14" t="inlineStr">
        <is>
          <t>China</t>
        </is>
      </c>
      <c r="E175" s="14" t="n">
        <v>2022</v>
      </c>
      <c r="F175" s="14" t="n">
        <v>0.13</v>
      </c>
      <c r="G175" s="14" t="n">
        <v>4.02</v>
      </c>
      <c r="H175" s="14" t="n">
        <v>0.624</v>
      </c>
      <c r="I175" s="14" t="n">
        <v>0.883</v>
      </c>
      <c r="J175" s="14" t="n">
        <v>4.903</v>
      </c>
      <c r="K175" s="14" t="n">
        <v>0</v>
      </c>
      <c r="L175" s="14" t="n">
        <v>1</v>
      </c>
      <c r="M175" s="14" t="n">
        <v>10.033</v>
      </c>
      <c r="N175" s="14" t="n">
        <v>4.143</v>
      </c>
      <c r="O175" s="14" t="n">
        <v>0.902</v>
      </c>
      <c r="P175" s="14" t="n">
        <v>10.936</v>
      </c>
      <c r="Q175" s="14" t="n">
        <v>0</v>
      </c>
      <c r="R175" s="14" t="n">
        <v>1</v>
      </c>
      <c r="S175" s="14" t="n">
        <v>1.826</v>
      </c>
      <c r="T175" s="14" t="n">
        <v>0.894</v>
      </c>
      <c r="U175" s="14" t="n">
        <v>0.055</v>
      </c>
      <c r="V175" s="14" t="n">
        <v>2.105</v>
      </c>
      <c r="W175" s="14" t="n">
        <v>0.13</v>
      </c>
      <c r="X175" s="14" t="n">
        <v>1</v>
      </c>
      <c r="Y175" s="14" t="n">
        <v>16.416</v>
      </c>
      <c r="Z175" s="14" t="n">
        <v>1.722</v>
      </c>
      <c r="AA175" s="14" t="n">
        <v>-2.84</v>
      </c>
      <c r="AB175" s="14" t="n">
        <v>13.576</v>
      </c>
      <c r="AC175" s="14" t="n">
        <v>0</v>
      </c>
      <c r="AD175" s="14" t="n">
        <v>1</v>
      </c>
      <c r="AE175" s="14" t="n">
        <v>16.439</v>
      </c>
      <c r="AF175" s="14" t="n">
        <v>3.048</v>
      </c>
      <c r="AG175" s="14" t="n">
        <v>-2.863</v>
      </c>
      <c r="AH175" s="14" t="n">
        <v>13.576</v>
      </c>
      <c r="AI175" s="14" t="n">
        <v>0</v>
      </c>
      <c r="AJ175" s="14" t="n">
        <v>1</v>
      </c>
      <c r="AK175" s="14" t="n">
        <v>19.77</v>
      </c>
      <c r="AL175" s="14" t="n">
        <v>9.441000000000001</v>
      </c>
      <c r="AM175" s="14" t="n">
        <v>-10.126</v>
      </c>
      <c r="AN175" s="14" t="n">
        <v>10.513</v>
      </c>
      <c r="AO175" s="14" t="n">
        <v>0</v>
      </c>
      <c r="AP175" s="14" t="n">
        <v>0</v>
      </c>
      <c r="AQ175" s="14" t="n">
        <v>0.8120000000000001</v>
      </c>
      <c r="AR175" s="14" t="n">
        <v>0.116</v>
      </c>
      <c r="AS175" s="14" t="n">
        <v>0.276</v>
      </c>
      <c r="AT175" s="14" t="n">
        <v>1.229</v>
      </c>
      <c r="AU175" s="14" t="n">
        <v>0.13</v>
      </c>
      <c r="AV175" s="14" t="n">
        <v>1</v>
      </c>
      <c r="AW175" s="14" t="n">
        <v>0.8149999999999999</v>
      </c>
      <c r="AX175" s="14" t="n">
        <v>0.106</v>
      </c>
      <c r="AY175" s="14" t="n">
        <v>0.228</v>
      </c>
      <c r="AZ175" s="14" t="n">
        <v>1.178</v>
      </c>
      <c r="BA175" s="14" t="n">
        <v>0.13</v>
      </c>
      <c r="BB175" s="14" t="n">
        <v>1</v>
      </c>
      <c r="BC175" s="14" t="n">
        <v>0.582</v>
      </c>
      <c r="BD175" s="14" t="n">
        <v>0.12</v>
      </c>
      <c r="BE175" s="14" t="n">
        <v>0.023</v>
      </c>
      <c r="BF175" s="14" t="n">
        <v>0.66</v>
      </c>
      <c r="BG175" s="14" t="n">
        <v>0.09</v>
      </c>
      <c r="BH175" s="14" t="n">
        <v>1</v>
      </c>
      <c r="BI175" s="14" t="n">
        <v>0.6889999999999999</v>
      </c>
      <c r="BJ175" s="14" t="n">
        <v>0.123</v>
      </c>
      <c r="BK175" s="14" t="n">
        <v>0.224</v>
      </c>
      <c r="BL175" s="14" t="n">
        <v>1.022</v>
      </c>
      <c r="BM175" s="14" t="n">
        <v>0.13</v>
      </c>
      <c r="BN175" s="14" t="n">
        <v>1</v>
      </c>
      <c r="BO175" s="14" t="n">
        <v>0</v>
      </c>
      <c r="BP175" s="14" t="n">
        <v>-0.007</v>
      </c>
      <c r="BQ175" s="14" t="n">
        <v>0.092</v>
      </c>
      <c r="BR175" s="14" t="n">
        <v>0</v>
      </c>
      <c r="BS175" s="14" t="n">
        <v>0.833</v>
      </c>
      <c r="BT175" s="14" t="n">
        <v>0</v>
      </c>
      <c r="BU175" s="14" t="n">
        <v>-0.007</v>
      </c>
      <c r="BV175" s="14" t="n">
        <v>0.077</v>
      </c>
      <c r="BW175" s="14" t="n">
        <v>0.13</v>
      </c>
      <c r="BX175" s="14" t="n">
        <v>0</v>
      </c>
      <c r="BY175" s="14" t="n">
        <v>12.729</v>
      </c>
      <c r="BZ175" s="14" t="n">
        <v>0</v>
      </c>
      <c r="CA175" s="14" t="n">
        <v>12.729</v>
      </c>
      <c r="CB175" s="14" t="n">
        <v>0</v>
      </c>
      <c r="CC175" s="14" t="n">
        <v>102.477</v>
      </c>
      <c r="CD175" s="14" t="n">
        <v>7.95</v>
      </c>
      <c r="CE175" s="14" t="n">
        <v>40.185</v>
      </c>
      <c r="CF175" s="14" t="n">
        <v>159.672</v>
      </c>
      <c r="CG175" s="14" t="n">
        <v>0.13</v>
      </c>
      <c r="CH175" s="14" t="n">
        <v>1</v>
      </c>
      <c r="CI175" s="14" t="n">
        <v>0</v>
      </c>
      <c r="CJ175" s="14" t="n">
        <v>0</v>
      </c>
      <c r="CK175" s="14" t="n">
        <v>0</v>
      </c>
      <c r="CL175" s="14" t="n">
        <v>0.846</v>
      </c>
      <c r="CM175" s="14" t="n">
        <v>0</v>
      </c>
      <c r="CN175" s="14" t="n">
        <v>1.659</v>
      </c>
      <c r="CO175" s="14" t="n">
        <v>1.163</v>
      </c>
      <c r="CP175" s="14" t="n">
        <v>0</v>
      </c>
      <c r="CQ175" s="14" t="n">
        <v>1.227</v>
      </c>
      <c r="CR175" s="14" t="n">
        <v>0</v>
      </c>
      <c r="CS175" s="14" t="n">
        <v>4.446</v>
      </c>
      <c r="CT175" s="14" t="n">
        <v>6.365</v>
      </c>
      <c r="CU175" s="14" t="n">
        <v>20.007</v>
      </c>
    </row>
    <row r="176">
      <c r="A176" s="14" t="inlineStr">
        <is>
          <t>CHN2023</t>
        </is>
      </c>
      <c r="B176" s="14" t="inlineStr">
        <is>
          <t>CHN</t>
        </is>
      </c>
      <c r="C176" s="14" t="inlineStr">
        <is>
          <t>CHN</t>
        </is>
      </c>
      <c r="D176" s="14" t="inlineStr">
        <is>
          <t>China</t>
        </is>
      </c>
      <c r="E176" s="14" t="n">
        <v>2023</v>
      </c>
      <c r="F176" s="14" t="n">
        <v>0.13</v>
      </c>
      <c r="G176" s="14" t="n">
        <v>4.106</v>
      </c>
      <c r="H176" s="14" t="n">
        <v>0.9350000000000001</v>
      </c>
      <c r="I176" s="14" t="n">
        <v>0.8110000000000001</v>
      </c>
      <c r="J176" s="14" t="n">
        <v>4.918</v>
      </c>
      <c r="K176" s="14" t="n">
        <v>0</v>
      </c>
      <c r="L176" s="14" t="n">
        <v>1</v>
      </c>
      <c r="M176" s="14" t="n">
        <v>8.242000000000001</v>
      </c>
      <c r="N176" s="14" t="n">
        <v>4.088</v>
      </c>
      <c r="O176" s="14" t="n">
        <v>0.835</v>
      </c>
      <c r="P176" s="14" t="n">
        <v>9.077</v>
      </c>
      <c r="Q176" s="14" t="n">
        <v>0</v>
      </c>
      <c r="R176" s="14" t="n">
        <v>1</v>
      </c>
      <c r="S176" s="14" t="n">
        <v>1.923</v>
      </c>
      <c r="T176" s="14" t="n">
        <v>1.206</v>
      </c>
      <c r="U176" s="14" t="n">
        <v>0.064</v>
      </c>
      <c r="V176" s="14" t="n">
        <v>2.214</v>
      </c>
      <c r="W176" s="14" t="n">
        <v>0.13</v>
      </c>
      <c r="X176" s="14" t="n">
        <v>1</v>
      </c>
      <c r="Y176" s="14" t="n">
        <v>13.96</v>
      </c>
      <c r="Z176" s="14" t="n">
        <v>1.564</v>
      </c>
      <c r="AA176" s="14" t="n">
        <v>-0.308</v>
      </c>
      <c r="AB176" s="14" t="n">
        <v>13.653</v>
      </c>
      <c r="AC176" s="14" t="n">
        <v>0</v>
      </c>
      <c r="AD176" s="14" t="n">
        <v>1</v>
      </c>
      <c r="AE176" s="14" t="n">
        <v>14.026</v>
      </c>
      <c r="AF176" s="14" t="n">
        <v>2.793</v>
      </c>
      <c r="AG176" s="14" t="n">
        <v>-0.373</v>
      </c>
      <c r="AH176" s="14" t="n">
        <v>13.653</v>
      </c>
      <c r="AI176" s="14" t="n">
        <v>0</v>
      </c>
      <c r="AJ176" s="14" t="n">
        <v>1</v>
      </c>
      <c r="AK176" s="14" t="n">
        <v>17.608</v>
      </c>
      <c r="AL176" s="14" t="n">
        <v>8.723000000000001</v>
      </c>
      <c r="AM176" s="14" t="n">
        <v>-8.265000000000001</v>
      </c>
      <c r="AN176" s="14" t="n">
        <v>10.184</v>
      </c>
      <c r="AO176" s="14" t="n">
        <v>0</v>
      </c>
      <c r="AP176" s="14" t="n">
        <v>0</v>
      </c>
      <c r="AQ176" s="14" t="n">
        <v>0.727</v>
      </c>
      <c r="AR176" s="14" t="n">
        <v>0.123</v>
      </c>
      <c r="AS176" s="14" t="n">
        <v>0.258</v>
      </c>
      <c r="AT176" s="14" t="n">
        <v>1.113</v>
      </c>
      <c r="AU176" s="14" t="n">
        <v>0.13</v>
      </c>
      <c r="AV176" s="14" t="n">
        <v>1</v>
      </c>
      <c r="AW176" s="14" t="n">
        <v>0.729</v>
      </c>
      <c r="AX176" s="14" t="n">
        <v>0.125</v>
      </c>
      <c r="AY176" s="14" t="n">
        <v>0.209</v>
      </c>
      <c r="AZ176" s="14" t="n">
        <v>1.059</v>
      </c>
      <c r="BA176" s="14" t="n">
        <v>0.13</v>
      </c>
      <c r="BB176" s="14" t="n">
        <v>1</v>
      </c>
      <c r="BC176" s="14" t="n">
        <v>0.5580000000000001</v>
      </c>
      <c r="BD176" s="14" t="n">
        <v>0.134</v>
      </c>
      <c r="BE176" s="14" t="n">
        <v>0.02</v>
      </c>
      <c r="BF176" s="14" t="n">
        <v>0.63</v>
      </c>
      <c r="BG176" s="14" t="n">
        <v>0.09</v>
      </c>
      <c r="BH176" s="14" t="n">
        <v>1</v>
      </c>
      <c r="BI176" s="14" t="n">
        <v>0.64</v>
      </c>
      <c r="BJ176" s="14" t="n">
        <v>0.129</v>
      </c>
      <c r="BK176" s="14" t="n">
        <v>0.215</v>
      </c>
      <c r="BL176" s="14" t="n">
        <v>0.952</v>
      </c>
      <c r="BM176" s="14" t="n">
        <v>0.13</v>
      </c>
      <c r="BN176" s="14" t="n">
        <v>1</v>
      </c>
      <c r="BO176" s="14" t="n">
        <v>0</v>
      </c>
      <c r="BP176" s="14" t="n">
        <v>-0.003</v>
      </c>
      <c r="BQ176" s="14" t="n">
        <v>0.089</v>
      </c>
      <c r="BR176" s="14" t="n">
        <v>0</v>
      </c>
      <c r="BS176" s="14" t="n">
        <v>0.833</v>
      </c>
      <c r="BT176" s="14" t="n">
        <v>0</v>
      </c>
      <c r="BU176" s="14" t="n">
        <v>-0.003</v>
      </c>
      <c r="BV176" s="14" t="n">
        <v>0.073</v>
      </c>
      <c r="BW176" s="14" t="n">
        <v>0.13</v>
      </c>
      <c r="BX176" s="14" t="n">
        <v>0</v>
      </c>
      <c r="BY176" s="14" t="n">
        <v>13.254</v>
      </c>
      <c r="BZ176" s="14" t="n">
        <v>0</v>
      </c>
      <c r="CA176" s="14" t="n">
        <v>13.254</v>
      </c>
      <c r="CB176" s="14" t="n">
        <v>0</v>
      </c>
      <c r="CC176" s="14" t="n">
        <v>87.07899999999999</v>
      </c>
      <c r="CD176" s="14" t="n">
        <v>7.95</v>
      </c>
      <c r="CE176" s="14" t="n">
        <v>37.871</v>
      </c>
      <c r="CF176" s="14" t="n">
        <v>139.19</v>
      </c>
      <c r="CG176" s="14" t="n">
        <v>0.13</v>
      </c>
      <c r="CH176" s="14" t="n">
        <v>1</v>
      </c>
      <c r="CI176" s="14" t="n">
        <v>0</v>
      </c>
      <c r="CJ176" s="14" t="n">
        <v>0</v>
      </c>
      <c r="CK176" s="14" t="n">
        <v>0</v>
      </c>
      <c r="CL176" s="14" t="n">
        <v>0.881</v>
      </c>
      <c r="CM176" s="14" t="n">
        <v>0</v>
      </c>
      <c r="CN176" s="14" t="n">
        <v>1.803</v>
      </c>
      <c r="CO176" s="14" t="n">
        <v>1.254</v>
      </c>
      <c r="CP176" s="14" t="n">
        <v>0</v>
      </c>
      <c r="CQ176" s="14" t="n">
        <v>1.278</v>
      </c>
      <c r="CR176" s="14" t="n">
        <v>0</v>
      </c>
      <c r="CS176" s="14" t="n">
        <v>4.629</v>
      </c>
      <c r="CT176" s="14" t="n">
        <v>4.66</v>
      </c>
      <c r="CU176" s="14" t="n">
        <v>11.873</v>
      </c>
    </row>
    <row r="177">
      <c r="A177" s="14" t="inlineStr">
        <is>
          <t>CHN2024</t>
        </is>
      </c>
      <c r="B177" s="14" t="inlineStr">
        <is>
          <t>CHN</t>
        </is>
      </c>
      <c r="C177" s="14" t="inlineStr">
        <is>
          <t>CHN</t>
        </is>
      </c>
      <c r="D177" s="14" t="inlineStr">
        <is>
          <t>China</t>
        </is>
      </c>
      <c r="E177" s="14" t="n">
        <v>2024</v>
      </c>
      <c r="F177" s="14" t="n">
        <v>0.13</v>
      </c>
      <c r="G177" s="14" t="n">
        <v>4.109</v>
      </c>
      <c r="H177" s="14" t="n">
        <v>1.041</v>
      </c>
      <c r="I177" s="14" t="n">
        <v>1.28</v>
      </c>
      <c r="J177" s="14" t="n">
        <v>5.389</v>
      </c>
      <c r="K177" s="14" t="n">
        <v>0</v>
      </c>
      <c r="L177" s="14" t="n">
        <v>1</v>
      </c>
      <c r="M177" s="14" t="n">
        <v>7.656</v>
      </c>
      <c r="N177" s="14" t="n">
        <v>4.171</v>
      </c>
      <c r="O177" s="14" t="n">
        <v>1.304</v>
      </c>
      <c r="P177" s="14" t="n">
        <v>8.960000000000001</v>
      </c>
      <c r="Q177" s="14" t="n">
        <v>0</v>
      </c>
      <c r="R177" s="14" t="n">
        <v>1</v>
      </c>
      <c r="S177" s="14" t="n">
        <v>1.961</v>
      </c>
      <c r="T177" s="14" t="n">
        <v>1.298</v>
      </c>
      <c r="U177" s="14" t="n">
        <v>0.07000000000000001</v>
      </c>
      <c r="V177" s="14" t="n">
        <v>2.255</v>
      </c>
      <c r="W177" s="14" t="n">
        <v>0.13</v>
      </c>
      <c r="X177" s="14" t="n">
        <v>1</v>
      </c>
      <c r="Y177" s="14" t="n">
        <v>13.283</v>
      </c>
      <c r="Z177" s="14" t="n">
        <v>1.677</v>
      </c>
      <c r="AA177" s="14" t="n">
        <v>0.662</v>
      </c>
      <c r="AB177" s="14" t="n">
        <v>13.944</v>
      </c>
      <c r="AC177" s="14" t="n">
        <v>0</v>
      </c>
      <c r="AD177" s="14" t="n">
        <v>1</v>
      </c>
      <c r="AE177" s="14" t="n">
        <v>13.283</v>
      </c>
      <c r="AF177" s="14" t="n">
        <v>2.91</v>
      </c>
      <c r="AG177" s="14" t="n">
        <v>0.662</v>
      </c>
      <c r="AH177" s="14" t="n">
        <v>13.944</v>
      </c>
      <c r="AI177" s="14" t="n">
        <v>0</v>
      </c>
      <c r="AJ177" s="14" t="n">
        <v>1</v>
      </c>
      <c r="AK177" s="14" t="n">
        <v>16.157</v>
      </c>
      <c r="AL177" s="14" t="n">
        <v>8.218</v>
      </c>
      <c r="AM177" s="14" t="n">
        <v>-6.759</v>
      </c>
      <c r="AN177" s="14" t="n">
        <v>10.244</v>
      </c>
      <c r="AO177" s="14" t="n">
        <v>0</v>
      </c>
      <c r="AP177" s="14" t="n">
        <v>0</v>
      </c>
      <c r="AQ177" s="14" t="n">
        <v>0.705</v>
      </c>
      <c r="AR177" s="14" t="n">
        <v>0.128</v>
      </c>
      <c r="AS177" s="14" t="n">
        <v>0.252</v>
      </c>
      <c r="AT177" s="14" t="n">
        <v>1.081</v>
      </c>
      <c r="AU177" s="14" t="n">
        <v>0.13</v>
      </c>
      <c r="AV177" s="14" t="n">
        <v>1</v>
      </c>
      <c r="AW177" s="14" t="n">
        <v>0.711</v>
      </c>
      <c r="AX177" s="14" t="n">
        <v>0.13</v>
      </c>
      <c r="AY177" s="14" t="n">
        <v>0.203</v>
      </c>
      <c r="AZ177" s="14" t="n">
        <v>1.032</v>
      </c>
      <c r="BA177" s="14" t="n">
        <v>0.13</v>
      </c>
      <c r="BB177" s="14" t="n">
        <v>1</v>
      </c>
      <c r="BC177" s="14" t="n">
        <v>0.5570000000000001</v>
      </c>
      <c r="BD177" s="14" t="n">
        <v>0.143</v>
      </c>
      <c r="BE177" s="14" t="n">
        <v>0.019</v>
      </c>
      <c r="BF177" s="14" t="n">
        <v>0.627</v>
      </c>
      <c r="BG177" s="14" t="n">
        <v>0.09</v>
      </c>
      <c r="BH177" s="14" t="n">
        <v>1</v>
      </c>
      <c r="BI177" s="14" t="n">
        <v>0.652</v>
      </c>
      <c r="BJ177" s="14" t="n">
        <v>0.132</v>
      </c>
      <c r="BK177" s="14" t="n">
        <v>0.216</v>
      </c>
      <c r="BL177" s="14" t="n">
        <v>0.964</v>
      </c>
      <c r="BM177" s="14" t="n">
        <v>0.13</v>
      </c>
      <c r="BN177" s="14" t="n">
        <v>1</v>
      </c>
      <c r="BO177" s="14" t="n">
        <v>0</v>
      </c>
      <c r="BP177" s="14" t="n">
        <v>-0.003</v>
      </c>
      <c r="BQ177" s="14" t="n">
        <v>0.08799999999999999</v>
      </c>
      <c r="BR177" s="14" t="n">
        <v>0</v>
      </c>
      <c r="BS177" s="14" t="n">
        <v>0.833</v>
      </c>
      <c r="BT177" s="14" t="n">
        <v>0</v>
      </c>
      <c r="BU177" s="14" t="n">
        <v>-0.003</v>
      </c>
      <c r="BV177" s="14" t="n">
        <v>0.07199999999999999</v>
      </c>
      <c r="BW177" s="14" t="n">
        <v>0.13</v>
      </c>
      <c r="BX177" s="14" t="n">
        <v>0</v>
      </c>
      <c r="BY177" s="14" t="n">
        <v>13.646</v>
      </c>
      <c r="BZ177" s="14" t="n">
        <v>0</v>
      </c>
      <c r="CA177" s="14" t="n">
        <v>13.646</v>
      </c>
      <c r="CB177" s="14" t="n">
        <v>0</v>
      </c>
      <c r="CC177" s="14" t="n">
        <v>86.38500000000001</v>
      </c>
      <c r="CD177" s="14" t="n">
        <v>7.95</v>
      </c>
      <c r="CE177" s="14" t="n">
        <v>40.172</v>
      </c>
      <c r="CF177" s="14" t="n">
        <v>140.522</v>
      </c>
      <c r="CG177" s="14" t="n">
        <v>0.13</v>
      </c>
      <c r="CH177" s="14" t="n">
        <v>1</v>
      </c>
      <c r="CI177" s="14" t="n">
        <v>0</v>
      </c>
      <c r="CJ177" s="14" t="n">
        <v>0</v>
      </c>
      <c r="CK177" s="14" t="n">
        <v>0</v>
      </c>
      <c r="CL177" s="14" t="n">
        <v>0.907</v>
      </c>
      <c r="CM177" s="14" t="n">
        <v>0</v>
      </c>
      <c r="CN177" s="14" t="n">
        <v>1.978</v>
      </c>
      <c r="CO177" s="14" t="n">
        <v>1.316</v>
      </c>
      <c r="CP177" s="14" t="n">
        <v>0</v>
      </c>
      <c r="CQ177" s="14" t="n">
        <v>1.316</v>
      </c>
      <c r="CR177" s="14" t="n">
        <v>0</v>
      </c>
      <c r="CS177" s="14" t="n">
        <v>4.766</v>
      </c>
      <c r="CT177" s="14" t="n">
        <v>4.15</v>
      </c>
      <c r="CU177" s="14" t="n">
        <v>10.873</v>
      </c>
    </row>
    <row r="178">
      <c r="A178" s="14" t="inlineStr">
        <is>
          <t>COL2021</t>
        </is>
      </c>
      <c r="B178" s="14" t="inlineStr">
        <is>
          <t>COL</t>
        </is>
      </c>
      <c r="C178" s="14" t="inlineStr">
        <is>
          <t>COL</t>
        </is>
      </c>
      <c r="D178" s="14" t="inlineStr">
        <is>
          <t>Colombia</t>
        </is>
      </c>
      <c r="E178" s="14" t="n">
        <v>2021</v>
      </c>
      <c r="F178" s="14" t="n">
        <v>0.19</v>
      </c>
      <c r="G178" s="14" t="n">
        <v>2.052</v>
      </c>
      <c r="H178" s="14" t="n">
        <v>0.449</v>
      </c>
      <c r="I178" s="14" t="n">
        <v>0</v>
      </c>
      <c r="J178" s="14" t="n">
        <v>2.052</v>
      </c>
      <c r="K178" s="14" t="n">
        <v>0</v>
      </c>
      <c r="L178" s="14" t="n">
        <v>1</v>
      </c>
      <c r="M178" s="14" t="n">
        <v>2.084</v>
      </c>
      <c r="N178" s="14" t="n">
        <v>0.944</v>
      </c>
      <c r="O178" s="14" t="n">
        <v>0</v>
      </c>
      <c r="P178" s="14" t="n">
        <v>2.084</v>
      </c>
      <c r="Q178" s="14" t="n">
        <v>0</v>
      </c>
      <c r="R178" s="14" t="n">
        <v>1</v>
      </c>
      <c r="S178" s="14" t="n">
        <v>4.589</v>
      </c>
      <c r="T178" s="14" t="n">
        <v>3.43</v>
      </c>
      <c r="U178" s="14" t="n">
        <v>0</v>
      </c>
      <c r="V178" s="14" t="n">
        <v>5.461</v>
      </c>
      <c r="W178" s="14" t="n">
        <v>0.19</v>
      </c>
      <c r="X178" s="14" t="n">
        <v>1</v>
      </c>
      <c r="Y178" s="14" t="n">
        <v>12.169</v>
      </c>
      <c r="Z178" s="14" t="n">
        <v>1.344</v>
      </c>
      <c r="AA178" s="14" t="n">
        <v>0.06</v>
      </c>
      <c r="AB178" s="14" t="n">
        <v>12.229</v>
      </c>
      <c r="AC178" s="14" t="n">
        <v>0</v>
      </c>
      <c r="AD178" s="14" t="n">
        <v>1</v>
      </c>
      <c r="AE178" s="14" t="n">
        <v>12.169</v>
      </c>
      <c r="AF178" s="14" t="n">
        <v>2.395</v>
      </c>
      <c r="AG178" s="14" t="n">
        <v>0.06</v>
      </c>
      <c r="AH178" s="14" t="n">
        <v>12.229</v>
      </c>
      <c r="AI178" s="14" t="n">
        <v>0</v>
      </c>
      <c r="AJ178" s="14" t="n">
        <v>1</v>
      </c>
      <c r="AK178" s="14" t="n">
        <v>14.143</v>
      </c>
      <c r="AL178" s="14" t="n">
        <v>6.941</v>
      </c>
      <c r="AM178" s="14" t="n">
        <v>-2.963</v>
      </c>
      <c r="AN178" s="14" t="n">
        <v>13.304</v>
      </c>
      <c r="AO178" s="14" t="n">
        <v>0</v>
      </c>
      <c r="AP178" s="14" t="n">
        <v>1</v>
      </c>
      <c r="AQ178" s="14" t="n">
        <v>0.649</v>
      </c>
      <c r="AR178" s="14" t="n">
        <v>0.114</v>
      </c>
      <c r="AS178" s="14" t="n">
        <v>-0.131</v>
      </c>
      <c r="AT178" s="14" t="n">
        <v>0.616</v>
      </c>
      <c r="AU178" s="14" t="n">
        <v>0.19</v>
      </c>
      <c r="AV178" s="14" t="n">
        <v>1</v>
      </c>
      <c r="AW178" s="14" t="n">
        <v>0.577</v>
      </c>
      <c r="AX178" s="14" t="n">
        <v>0.114</v>
      </c>
      <c r="AY178" s="14" t="n">
        <v>-0.063</v>
      </c>
      <c r="AZ178" s="14" t="n">
        <v>0.611</v>
      </c>
      <c r="BA178" s="14" t="n">
        <v>0.19</v>
      </c>
      <c r="BB178" s="14" t="n">
        <v>1</v>
      </c>
      <c r="BC178" s="14" t="n">
        <v>0.458</v>
      </c>
      <c r="BD178" s="14" t="n">
        <v>0.114</v>
      </c>
      <c r="BE178" s="14" t="n">
        <v>-0.07099999999999999</v>
      </c>
      <c r="BF178" s="14" t="n">
        <v>0.46</v>
      </c>
      <c r="BG178" s="14" t="n">
        <v>0.19</v>
      </c>
      <c r="BH178" s="14" t="n">
        <v>1</v>
      </c>
      <c r="BI178" s="14" t="n">
        <v>0.491</v>
      </c>
      <c r="BJ178" s="14" t="n">
        <v>0.114</v>
      </c>
      <c r="BK178" s="14" t="n">
        <v>0.158</v>
      </c>
      <c r="BL178" s="14" t="n">
        <v>0.773</v>
      </c>
      <c r="BM178" s="14" t="n">
        <v>0.19</v>
      </c>
      <c r="BN178" s="14" t="n">
        <v>1</v>
      </c>
      <c r="BO178" s="14" t="n">
        <v>0</v>
      </c>
      <c r="BP178" s="14" t="n">
        <v>0</v>
      </c>
      <c r="BQ178" s="14" t="n">
        <v>0.121</v>
      </c>
      <c r="BR178" s="14" t="n">
        <v>0</v>
      </c>
      <c r="BS178" s="14" t="n">
        <v>1</v>
      </c>
      <c r="BT178" s="14" t="n">
        <v>0</v>
      </c>
      <c r="BU178" s="14" t="n">
        <v>-0.025</v>
      </c>
      <c r="BV178" s="14" t="n">
        <v>0.165</v>
      </c>
      <c r="BW178" s="14" t="n">
        <v>0.19</v>
      </c>
      <c r="BX178" s="14" t="n">
        <v>1</v>
      </c>
      <c r="BY178" s="14" t="n">
        <v>11.787</v>
      </c>
      <c r="BZ178" s="14" t="n">
        <v>0</v>
      </c>
      <c r="CA178" s="14" t="n">
        <v>11.787</v>
      </c>
      <c r="CB178" s="14" t="n">
        <v>0</v>
      </c>
      <c r="CC178" s="14" t="n">
        <v>78.125</v>
      </c>
      <c r="CD178" s="14" t="n">
        <v>7.95</v>
      </c>
      <c r="CE178" s="14" t="n">
        <v>-22.809</v>
      </c>
      <c r="CF178" s="14" t="n">
        <v>65.82599999999999</v>
      </c>
      <c r="CG178" s="14" t="n">
        <v>0</v>
      </c>
      <c r="CH178" s="14" t="n">
        <v>1</v>
      </c>
      <c r="CI178" s="14" t="n">
        <v>0</v>
      </c>
      <c r="CJ178" s="14" t="n">
        <v>0</v>
      </c>
      <c r="CK178" s="14" t="n">
        <v>0</v>
      </c>
      <c r="CL178" s="14" t="n">
        <v>0.083</v>
      </c>
      <c r="CM178" s="14" t="n">
        <v>0.101</v>
      </c>
      <c r="CN178" s="14" t="n">
        <v>0.179</v>
      </c>
      <c r="CO178" s="14" t="n">
        <v>0</v>
      </c>
      <c r="CP178" s="14" t="n">
        <v>0</v>
      </c>
      <c r="CQ178" s="14" t="n">
        <v>1.159</v>
      </c>
      <c r="CR178" s="14" t="n">
        <v>0</v>
      </c>
      <c r="CS178" s="14" t="n">
        <v>6.734</v>
      </c>
      <c r="CT178" s="14" t="n">
        <v>3.984</v>
      </c>
      <c r="CU178" s="14" t="n">
        <v>14.129</v>
      </c>
    </row>
    <row r="179">
      <c r="A179" s="14" t="inlineStr">
        <is>
          <t>COL2022</t>
        </is>
      </c>
      <c r="B179" s="14" t="inlineStr">
        <is>
          <t>COL</t>
        </is>
      </c>
      <c r="C179" s="14" t="inlineStr">
        <is>
          <t>COL</t>
        </is>
      </c>
      <c r="D179" s="14" t="inlineStr">
        <is>
          <t>Colombia</t>
        </is>
      </c>
      <c r="E179" s="14" t="n">
        <v>2022</v>
      </c>
      <c r="F179" s="14" t="n">
        <v>0.19</v>
      </c>
      <c r="G179" s="14" t="n">
        <v>2.191</v>
      </c>
      <c r="H179" s="14" t="n">
        <v>0.34</v>
      </c>
      <c r="I179" s="14" t="n">
        <v>0</v>
      </c>
      <c r="J179" s="14" t="n">
        <v>2.191</v>
      </c>
      <c r="K179" s="14" t="n">
        <v>0</v>
      </c>
      <c r="L179" s="14" t="n">
        <v>1</v>
      </c>
      <c r="M179" s="14" t="n">
        <v>2.314</v>
      </c>
      <c r="N179" s="14" t="n">
        <v>0.956</v>
      </c>
      <c r="O179" s="14" t="n">
        <v>0</v>
      </c>
      <c r="P179" s="14" t="n">
        <v>2.314</v>
      </c>
      <c r="Q179" s="14" t="n">
        <v>0</v>
      </c>
      <c r="R179" s="14" t="n">
        <v>1</v>
      </c>
      <c r="S179" s="14" t="n">
        <v>4.957</v>
      </c>
      <c r="T179" s="14" t="n">
        <v>3.704</v>
      </c>
      <c r="U179" s="14" t="n">
        <v>0.07000000000000001</v>
      </c>
      <c r="V179" s="14" t="n">
        <v>5.898</v>
      </c>
      <c r="W179" s="14" t="n">
        <v>0.19</v>
      </c>
      <c r="X179" s="14" t="n">
        <v>1</v>
      </c>
      <c r="Y179" s="14" t="n">
        <v>12.712</v>
      </c>
      <c r="Z179" s="14" t="n">
        <v>1.334</v>
      </c>
      <c r="AA179" s="14" t="n">
        <v>0.2</v>
      </c>
      <c r="AB179" s="14" t="n">
        <v>12.912</v>
      </c>
      <c r="AC179" s="14" t="n">
        <v>0</v>
      </c>
      <c r="AD179" s="14" t="n">
        <v>1</v>
      </c>
      <c r="AE179" s="14" t="n">
        <v>12.712</v>
      </c>
      <c r="AF179" s="14" t="n">
        <v>2.357</v>
      </c>
      <c r="AG179" s="14" t="n">
        <v>0.2</v>
      </c>
      <c r="AH179" s="14" t="n">
        <v>12.912</v>
      </c>
      <c r="AI179" s="14" t="n">
        <v>0</v>
      </c>
      <c r="AJ179" s="14" t="n">
        <v>1</v>
      </c>
      <c r="AK179" s="14" t="n">
        <v>15.166</v>
      </c>
      <c r="AL179" s="14" t="n">
        <v>7.242</v>
      </c>
      <c r="AM179" s="14" t="n">
        <v>-3.391</v>
      </c>
      <c r="AN179" s="14" t="n">
        <v>14.013</v>
      </c>
      <c r="AO179" s="14" t="n">
        <v>0</v>
      </c>
      <c r="AP179" s="14" t="n">
        <v>1</v>
      </c>
      <c r="AQ179" s="14" t="n">
        <v>0.896</v>
      </c>
      <c r="AR179" s="14" t="n">
        <v>0.123</v>
      </c>
      <c r="AS179" s="14" t="n">
        <v>-0.381</v>
      </c>
      <c r="AT179" s="14" t="n">
        <v>0.613</v>
      </c>
      <c r="AU179" s="14" t="n">
        <v>0.19</v>
      </c>
      <c r="AV179" s="14" t="n">
        <v>1</v>
      </c>
      <c r="AW179" s="14" t="n">
        <v>0.89</v>
      </c>
      <c r="AX179" s="14" t="n">
        <v>0.123</v>
      </c>
      <c r="AY179" s="14" t="n">
        <v>-0.383</v>
      </c>
      <c r="AZ179" s="14" t="n">
        <v>0.603</v>
      </c>
      <c r="BA179" s="14" t="n">
        <v>0.19</v>
      </c>
      <c r="BB179" s="14" t="n">
        <v>1</v>
      </c>
      <c r="BC179" s="14" t="n">
        <v>0.62</v>
      </c>
      <c r="BD179" s="14" t="n">
        <v>0.123</v>
      </c>
      <c r="BE179" s="14" t="n">
        <v>-0.249</v>
      </c>
      <c r="BF179" s="14" t="n">
        <v>0.442</v>
      </c>
      <c r="BG179" s="14" t="n">
        <v>0.19</v>
      </c>
      <c r="BH179" s="14" t="n">
        <v>1</v>
      </c>
      <c r="BI179" s="14" t="n">
        <v>0.608</v>
      </c>
      <c r="BJ179" s="14" t="n">
        <v>0.123</v>
      </c>
      <c r="BK179" s="14" t="n">
        <v>0.167</v>
      </c>
      <c r="BL179" s="14" t="n">
        <v>0.921</v>
      </c>
      <c r="BM179" s="14" t="n">
        <v>0.19</v>
      </c>
      <c r="BN179" s="14" t="n">
        <v>1</v>
      </c>
      <c r="BO179" s="14" t="n">
        <v>0</v>
      </c>
      <c r="BP179" s="14" t="n">
        <v>0</v>
      </c>
      <c r="BQ179" s="14" t="n">
        <v>0.131</v>
      </c>
      <c r="BR179" s="14" t="n">
        <v>0</v>
      </c>
      <c r="BS179" s="14" t="n">
        <v>1</v>
      </c>
      <c r="BT179" s="14" t="n">
        <v>0</v>
      </c>
      <c r="BU179" s="14" t="n">
        <v>-0.027</v>
      </c>
      <c r="BV179" s="14" t="n">
        <v>0.175</v>
      </c>
      <c r="BW179" s="14" t="n">
        <v>0.19</v>
      </c>
      <c r="BX179" s="14" t="n">
        <v>1</v>
      </c>
      <c r="BY179" s="14" t="n">
        <v>12.729</v>
      </c>
      <c r="BZ179" s="14" t="n">
        <v>0</v>
      </c>
      <c r="CA179" s="14" t="n">
        <v>12.729</v>
      </c>
      <c r="CB179" s="14" t="n">
        <v>0</v>
      </c>
      <c r="CC179" s="14" t="n">
        <v>97.90000000000001</v>
      </c>
      <c r="CD179" s="14" t="n">
        <v>7.95</v>
      </c>
      <c r="CE179" s="14" t="n">
        <v>-12.82</v>
      </c>
      <c r="CF179" s="14" t="n">
        <v>101.245</v>
      </c>
      <c r="CG179" s="14" t="n">
        <v>0</v>
      </c>
      <c r="CH179" s="14" t="n">
        <v>1</v>
      </c>
      <c r="CI179" s="14" t="n">
        <v>0</v>
      </c>
      <c r="CJ179" s="14" t="n">
        <v>0</v>
      </c>
      <c r="CK179" s="14" t="n">
        <v>0</v>
      </c>
      <c r="CL179" s="14" t="n">
        <v>0.089</v>
      </c>
      <c r="CM179" s="14" t="n">
        <v>0.109</v>
      </c>
      <c r="CN179" s="14" t="n">
        <v>0.191</v>
      </c>
      <c r="CO179" s="14" t="n">
        <v>0</v>
      </c>
      <c r="CP179" s="14" t="n">
        <v>0</v>
      </c>
      <c r="CQ179" s="14" t="n">
        <v>1.252</v>
      </c>
      <c r="CR179" s="14" t="n">
        <v>0</v>
      </c>
      <c r="CS179" s="14" t="n">
        <v>7.272</v>
      </c>
      <c r="CT179" s="14" t="n">
        <v>9.856</v>
      </c>
      <c r="CU179" s="14" t="n">
        <v>28.059</v>
      </c>
    </row>
    <row r="180">
      <c r="A180" s="14" t="inlineStr">
        <is>
          <t>COL2023</t>
        </is>
      </c>
      <c r="B180" s="14" t="inlineStr">
        <is>
          <t>COL</t>
        </is>
      </c>
      <c r="C180" s="14" t="inlineStr">
        <is>
          <t>COL</t>
        </is>
      </c>
      <c r="D180" s="14" t="inlineStr">
        <is>
          <t>Colombia</t>
        </is>
      </c>
      <c r="E180" s="14" t="n">
        <v>2023</v>
      </c>
      <c r="F180" s="14" t="n">
        <v>0.19</v>
      </c>
      <c r="G180" s="14" t="n">
        <v>2.268</v>
      </c>
      <c r="H180" s="14" t="n">
        <v>0.517</v>
      </c>
      <c r="I180" s="14" t="n">
        <v>0</v>
      </c>
      <c r="J180" s="14" t="n">
        <v>2.268</v>
      </c>
      <c r="K180" s="14" t="n">
        <v>0</v>
      </c>
      <c r="L180" s="14" t="n">
        <v>1</v>
      </c>
      <c r="M180" s="14" t="n">
        <v>2.442</v>
      </c>
      <c r="N180" s="14" t="n">
        <v>1.211</v>
      </c>
      <c r="O180" s="14" t="n">
        <v>0</v>
      </c>
      <c r="P180" s="14" t="n">
        <v>2.442</v>
      </c>
      <c r="Q180" s="14" t="n">
        <v>0</v>
      </c>
      <c r="R180" s="14" t="n">
        <v>1</v>
      </c>
      <c r="S180" s="14" t="n">
        <v>5.161</v>
      </c>
      <c r="T180" s="14" t="n">
        <v>3.857</v>
      </c>
      <c r="U180" s="14" t="n">
        <v>0.109</v>
      </c>
      <c r="V180" s="14" t="n">
        <v>6.142</v>
      </c>
      <c r="W180" s="14" t="n">
        <v>0.19</v>
      </c>
      <c r="X180" s="14" t="n">
        <v>1</v>
      </c>
      <c r="Y180" s="14" t="n">
        <v>13.518</v>
      </c>
      <c r="Z180" s="14" t="n">
        <v>1.514</v>
      </c>
      <c r="AA180" s="14" t="n">
        <v>0.197</v>
      </c>
      <c r="AB180" s="14" t="n">
        <v>13.715</v>
      </c>
      <c r="AC180" s="14" t="n">
        <v>0</v>
      </c>
      <c r="AD180" s="14" t="n">
        <v>1</v>
      </c>
      <c r="AE180" s="14" t="n">
        <v>13.518</v>
      </c>
      <c r="AF180" s="14" t="n">
        <v>2.692</v>
      </c>
      <c r="AG180" s="14" t="n">
        <v>0.197</v>
      </c>
      <c r="AH180" s="14" t="n">
        <v>13.715</v>
      </c>
      <c r="AI180" s="14" t="n">
        <v>0</v>
      </c>
      <c r="AJ180" s="14" t="n">
        <v>1</v>
      </c>
      <c r="AK180" s="14" t="n">
        <v>16.16</v>
      </c>
      <c r="AL180" s="14" t="n">
        <v>8.005000000000001</v>
      </c>
      <c r="AM180" s="14" t="n">
        <v>-3.704</v>
      </c>
      <c r="AN180" s="14" t="n">
        <v>14.822</v>
      </c>
      <c r="AO180" s="14" t="n">
        <v>0</v>
      </c>
      <c r="AP180" s="14" t="n">
        <v>1</v>
      </c>
      <c r="AQ180" s="14" t="n">
        <v>0.791</v>
      </c>
      <c r="AR180" s="14" t="n">
        <v>0.129</v>
      </c>
      <c r="AS180" s="14" t="n">
        <v>-0.024</v>
      </c>
      <c r="AT180" s="14" t="n">
        <v>0.912</v>
      </c>
      <c r="AU180" s="14" t="n">
        <v>0.19</v>
      </c>
      <c r="AV180" s="14" t="n">
        <v>1</v>
      </c>
      <c r="AW180" s="14" t="n">
        <v>0.618</v>
      </c>
      <c r="AX180" s="14" t="n">
        <v>0.129</v>
      </c>
      <c r="AY180" s="14" t="n">
        <v>-0.131</v>
      </c>
      <c r="AZ180" s="14" t="n">
        <v>0.579</v>
      </c>
      <c r="BA180" s="14" t="n">
        <v>0.19</v>
      </c>
      <c r="BB180" s="14" t="n">
        <v>1</v>
      </c>
      <c r="BC180" s="14" t="n">
        <v>0.554</v>
      </c>
      <c r="BD180" s="14" t="n">
        <v>0.129</v>
      </c>
      <c r="BE180" s="14" t="n">
        <v>-0.08799999999999999</v>
      </c>
      <c r="BF180" s="14" t="n">
        <v>0.555</v>
      </c>
      <c r="BG180" s="14" t="n">
        <v>0.19</v>
      </c>
      <c r="BH180" s="14" t="n">
        <v>1</v>
      </c>
      <c r="BI180" s="14" t="n">
        <v>0.5570000000000001</v>
      </c>
      <c r="BJ180" s="14" t="n">
        <v>0.129</v>
      </c>
      <c r="BK180" s="14" t="n">
        <v>0.414</v>
      </c>
      <c r="BL180" s="14" t="n">
        <v>1.156</v>
      </c>
      <c r="BM180" s="14" t="n">
        <v>0.19</v>
      </c>
      <c r="BN180" s="14" t="n">
        <v>1</v>
      </c>
      <c r="BO180" s="14" t="n">
        <v>0</v>
      </c>
      <c r="BP180" s="14" t="n">
        <v>0</v>
      </c>
      <c r="BQ180" s="14" t="n">
        <v>0.151</v>
      </c>
      <c r="BR180" s="14" t="n">
        <v>0</v>
      </c>
      <c r="BS180" s="14" t="n">
        <v>1</v>
      </c>
      <c r="BT180" s="14" t="n">
        <v>0</v>
      </c>
      <c r="BU180" s="14" t="n">
        <v>-0.028</v>
      </c>
      <c r="BV180" s="14" t="n">
        <v>0.192</v>
      </c>
      <c r="BW180" s="14" t="n">
        <v>0.19</v>
      </c>
      <c r="BX180" s="14" t="n">
        <v>1</v>
      </c>
      <c r="BY180" s="14" t="n">
        <v>13.254</v>
      </c>
      <c r="BZ180" s="14" t="n">
        <v>0</v>
      </c>
      <c r="CA180" s="14" t="n">
        <v>13.254</v>
      </c>
      <c r="CB180" s="14" t="n">
        <v>0</v>
      </c>
      <c r="CC180" s="14" t="n">
        <v>83.248</v>
      </c>
      <c r="CD180" s="14" t="n">
        <v>7.95</v>
      </c>
      <c r="CE180" s="14" t="n">
        <v>-4.573</v>
      </c>
      <c r="CF180" s="14" t="n">
        <v>93.623</v>
      </c>
      <c r="CG180" s="14" t="n">
        <v>0</v>
      </c>
      <c r="CH180" s="14" t="n">
        <v>1</v>
      </c>
      <c r="CI180" s="14" t="n">
        <v>0</v>
      </c>
      <c r="CJ180" s="14" t="n">
        <v>0</v>
      </c>
      <c r="CK180" s="14" t="n">
        <v>0</v>
      </c>
      <c r="CL180" s="14" t="n">
        <v>0.093</v>
      </c>
      <c r="CM180" s="14" t="n">
        <v>0.114</v>
      </c>
      <c r="CN180" s="14" t="n">
        <v>0.201</v>
      </c>
      <c r="CO180" s="14" t="n">
        <v>0</v>
      </c>
      <c r="CP180" s="14" t="n">
        <v>0</v>
      </c>
      <c r="CQ180" s="14" t="n">
        <v>1.304</v>
      </c>
      <c r="CR180" s="14" t="n">
        <v>0</v>
      </c>
      <c r="CS180" s="14" t="n">
        <v>7.572</v>
      </c>
      <c r="CT180" s="14" t="n">
        <v>3.963</v>
      </c>
      <c r="CU180" s="14" t="n">
        <v>9.260999999999999</v>
      </c>
    </row>
    <row r="181">
      <c r="A181" s="14" t="inlineStr">
        <is>
          <t>COL2024</t>
        </is>
      </c>
      <c r="B181" s="14" t="inlineStr">
        <is>
          <t>COL</t>
        </is>
      </c>
      <c r="C181" s="14" t="inlineStr">
        <is>
          <t>COL</t>
        </is>
      </c>
      <c r="D181" s="14" t="inlineStr">
        <is>
          <t>Colombia</t>
        </is>
      </c>
      <c r="E181" s="14" t="n">
        <v>2024</v>
      </c>
      <c r="F181" s="14" t="n">
        <v>0.19</v>
      </c>
      <c r="G181" s="14" t="n">
        <v>2.325</v>
      </c>
      <c r="H181" s="14" t="n">
        <v>0.589</v>
      </c>
      <c r="I181" s="14" t="n">
        <v>0</v>
      </c>
      <c r="J181" s="14" t="n">
        <v>2.325</v>
      </c>
      <c r="K181" s="14" t="n">
        <v>0</v>
      </c>
      <c r="L181" s="14" t="n">
        <v>1</v>
      </c>
      <c r="M181" s="14" t="n">
        <v>2.537</v>
      </c>
      <c r="N181" s="14" t="n">
        <v>1.382</v>
      </c>
      <c r="O181" s="14" t="n">
        <v>0</v>
      </c>
      <c r="P181" s="14" t="n">
        <v>2.537</v>
      </c>
      <c r="Q181" s="14" t="n">
        <v>0</v>
      </c>
      <c r="R181" s="14" t="n">
        <v>1</v>
      </c>
      <c r="S181" s="14" t="n">
        <v>5.313</v>
      </c>
      <c r="T181" s="14" t="n">
        <v>3.971</v>
      </c>
      <c r="U181" s="14" t="n">
        <v>0.138</v>
      </c>
      <c r="V181" s="14" t="n">
        <v>6.323</v>
      </c>
      <c r="W181" s="14" t="n">
        <v>0.19</v>
      </c>
      <c r="X181" s="14" t="n">
        <v>1</v>
      </c>
      <c r="Y181" s="14" t="n">
        <v>13.978</v>
      </c>
      <c r="Z181" s="14" t="n">
        <v>1.765</v>
      </c>
      <c r="AA181" s="14" t="n">
        <v>0.267</v>
      </c>
      <c r="AB181" s="14" t="n">
        <v>14.245</v>
      </c>
      <c r="AC181" s="14" t="n">
        <v>0</v>
      </c>
      <c r="AD181" s="14" t="n">
        <v>1</v>
      </c>
      <c r="AE181" s="14" t="n">
        <v>13.978</v>
      </c>
      <c r="AF181" s="14" t="n">
        <v>3.062</v>
      </c>
      <c r="AG181" s="14" t="n">
        <v>0.267</v>
      </c>
      <c r="AH181" s="14" t="n">
        <v>14.245</v>
      </c>
      <c r="AI181" s="14" t="n">
        <v>0</v>
      </c>
      <c r="AJ181" s="14" t="n">
        <v>1</v>
      </c>
      <c r="AK181" s="14" t="n">
        <v>16.698</v>
      </c>
      <c r="AL181" s="14" t="n">
        <v>8.493</v>
      </c>
      <c r="AM181" s="14" t="n">
        <v>-3.733</v>
      </c>
      <c r="AN181" s="14" t="n">
        <v>15.428</v>
      </c>
      <c r="AO181" s="14" t="n">
        <v>0</v>
      </c>
      <c r="AP181" s="14" t="n">
        <v>1</v>
      </c>
      <c r="AQ181" s="14" t="n">
        <v>0.756</v>
      </c>
      <c r="AR181" s="14" t="n">
        <v>0.132</v>
      </c>
      <c r="AS181" s="14" t="n">
        <v>0.217</v>
      </c>
      <c r="AT181" s="14" t="n">
        <v>1.158</v>
      </c>
      <c r="AU181" s="14" t="n">
        <v>0.19</v>
      </c>
      <c r="AV181" s="14" t="n">
        <v>1</v>
      </c>
      <c r="AW181" s="14" t="n">
        <v>0.655</v>
      </c>
      <c r="AX181" s="14" t="n">
        <v>0.132</v>
      </c>
      <c r="AY181" s="14" t="n">
        <v>-0.112</v>
      </c>
      <c r="AZ181" s="14" t="n">
        <v>0.647</v>
      </c>
      <c r="BA181" s="14" t="n">
        <v>0.19</v>
      </c>
      <c r="BB181" s="14" t="n">
        <v>1</v>
      </c>
      <c r="BC181" s="14" t="n">
        <v>0.534</v>
      </c>
      <c r="BD181" s="14" t="n">
        <v>0.132</v>
      </c>
      <c r="BE181" s="14" t="n">
        <v>-0.03</v>
      </c>
      <c r="BF181" s="14" t="n">
        <v>0.599</v>
      </c>
      <c r="BG181" s="14" t="n">
        <v>0.19</v>
      </c>
      <c r="BH181" s="14" t="n">
        <v>1</v>
      </c>
      <c r="BI181" s="14" t="n">
        <v>0.5679999999999999</v>
      </c>
      <c r="BJ181" s="14" t="n">
        <v>0.132</v>
      </c>
      <c r="BK181" s="14" t="n">
        <v>0.48</v>
      </c>
      <c r="BL181" s="14" t="n">
        <v>1.247</v>
      </c>
      <c r="BM181" s="14" t="n">
        <v>0.19</v>
      </c>
      <c r="BN181" s="14" t="n">
        <v>1</v>
      </c>
      <c r="BO181" s="14" t="n">
        <v>0</v>
      </c>
      <c r="BP181" s="14" t="n">
        <v>0</v>
      </c>
      <c r="BQ181" s="14" t="n">
        <v>0.18</v>
      </c>
      <c r="BR181" s="14" t="n">
        <v>0</v>
      </c>
      <c r="BS181" s="14" t="n">
        <v>1</v>
      </c>
      <c r="BT181" s="14" t="n">
        <v>0</v>
      </c>
      <c r="BU181" s="14" t="n">
        <v>-0.029</v>
      </c>
      <c r="BV181" s="14" t="n">
        <v>0.222</v>
      </c>
      <c r="BW181" s="14" t="n">
        <v>0.19</v>
      </c>
      <c r="BX181" s="14" t="n">
        <v>1</v>
      </c>
      <c r="BY181" s="14" t="n">
        <v>13.646</v>
      </c>
      <c r="BZ181" s="14" t="n">
        <v>0</v>
      </c>
      <c r="CA181" s="14" t="n">
        <v>13.646</v>
      </c>
      <c r="CB181" s="14" t="n">
        <v>0</v>
      </c>
      <c r="CC181" s="14" t="n">
        <v>82.58799999999999</v>
      </c>
      <c r="CD181" s="14" t="n">
        <v>7.95</v>
      </c>
      <c r="CE181" s="14" t="n">
        <v>2.313</v>
      </c>
      <c r="CF181" s="14" t="n">
        <v>101.032</v>
      </c>
      <c r="CG181" s="14" t="n">
        <v>0</v>
      </c>
      <c r="CH181" s="14" t="n">
        <v>1</v>
      </c>
      <c r="CI181" s="14" t="n">
        <v>0</v>
      </c>
      <c r="CJ181" s="14" t="n">
        <v>0</v>
      </c>
      <c r="CK181" s="14" t="n">
        <v>0</v>
      </c>
      <c r="CL181" s="14" t="n">
        <v>0.096</v>
      </c>
      <c r="CM181" s="14" t="n">
        <v>0.117</v>
      </c>
      <c r="CN181" s="14" t="n">
        <v>0.194</v>
      </c>
      <c r="CO181" s="14" t="n">
        <v>0</v>
      </c>
      <c r="CP181" s="14" t="n">
        <v>0</v>
      </c>
      <c r="CQ181" s="14" t="n">
        <v>1.342</v>
      </c>
      <c r="CR181" s="14" t="n">
        <v>0</v>
      </c>
      <c r="CS181" s="14" t="n">
        <v>7.598</v>
      </c>
      <c r="CT181" s="14" t="n">
        <v>3.101</v>
      </c>
      <c r="CU181" s="14" t="n">
        <v>7.598</v>
      </c>
    </row>
    <row r="182">
      <c r="A182" s="14" t="inlineStr">
        <is>
          <t>COM2021</t>
        </is>
      </c>
      <c r="B182" s="14" t="inlineStr">
        <is>
          <t>COM</t>
        </is>
      </c>
      <c r="C182" s="14" t="inlineStr">
        <is>
          <t>COM</t>
        </is>
      </c>
      <c r="D182" s="14" t="inlineStr">
        <is>
          <t>Comoros</t>
        </is>
      </c>
      <c r="E182" s="14" t="n">
        <v>2021</v>
      </c>
      <c r="F182" s="14" t="n">
        <v>0.1</v>
      </c>
      <c r="G182" s="14" t="n">
        <v>5.897</v>
      </c>
      <c r="H182" s="14" t="n">
        <v>1.143</v>
      </c>
      <c r="I182" s="14" t="n">
        <v>0</v>
      </c>
      <c r="J182" s="14" t="n">
        <v>5.897</v>
      </c>
      <c r="K182" s="14" t="n">
        <v>0</v>
      </c>
      <c r="L182" s="14" t="n">
        <v>1</v>
      </c>
      <c r="M182" s="14" t="n">
        <v>7.964</v>
      </c>
      <c r="N182" s="14" t="n">
        <v>3.43</v>
      </c>
      <c r="O182" s="14" t="n">
        <v>0</v>
      </c>
      <c r="P182" s="14" t="n">
        <v>7.964</v>
      </c>
      <c r="Q182" s="14" t="n">
        <v>0</v>
      </c>
      <c r="R182" s="14" t="n">
        <v>1</v>
      </c>
      <c r="S182" s="14" t="n">
        <v>11.613</v>
      </c>
      <c r="T182" s="14" t="n">
        <v>6.86</v>
      </c>
      <c r="U182" s="14" t="n">
        <v>0</v>
      </c>
      <c r="V182" s="14" t="n">
        <v>12.775</v>
      </c>
      <c r="W182" s="14" t="n">
        <v>0.1</v>
      </c>
      <c r="X182" s="14" t="n">
        <v>1</v>
      </c>
      <c r="Y182" s="14" t="n">
        <v>10.633</v>
      </c>
      <c r="Z182" s="14" t="n">
        <v>1.437</v>
      </c>
      <c r="AA182" s="14" t="n">
        <v>0</v>
      </c>
      <c r="AB182" s="14" t="n">
        <v>10.633</v>
      </c>
      <c r="AC182" s="14" t="n">
        <v>0</v>
      </c>
      <c r="AD182" s="14" t="n">
        <v>1</v>
      </c>
      <c r="AE182" s="14" t="n">
        <v>11.776</v>
      </c>
      <c r="AF182" s="14" t="n">
        <v>2.754</v>
      </c>
      <c r="AG182" s="14" t="n">
        <v>0</v>
      </c>
      <c r="AH182" s="14" t="n">
        <v>11.776</v>
      </c>
      <c r="AI182" s="14" t="n">
        <v>0</v>
      </c>
      <c r="AJ182" s="14" t="n">
        <v>1</v>
      </c>
      <c r="AK182" s="14" t="n">
        <v>18.636</v>
      </c>
      <c r="AL182" s="14" t="n">
        <v>9.925000000000001</v>
      </c>
      <c r="AM182" s="14" t="n">
        <v>0</v>
      </c>
      <c r="AN182" s="14" t="n">
        <v>20.499</v>
      </c>
      <c r="AO182" s="14" t="n">
        <v>0.1</v>
      </c>
      <c r="AP182" s="14" t="n">
        <v>1</v>
      </c>
      <c r="AQ182" s="14" t="n">
        <v>0.619</v>
      </c>
      <c r="AR182" s="14" t="n">
        <v>0.114</v>
      </c>
      <c r="AS182" s="14" t="n">
        <v>0.712</v>
      </c>
      <c r="AT182" s="14" t="n">
        <v>1.464</v>
      </c>
      <c r="AU182" s="14" t="n">
        <v>0.1</v>
      </c>
      <c r="AV182" s="14" t="n">
        <v>1</v>
      </c>
      <c r="AW182" s="14" t="n">
        <v>0.599</v>
      </c>
      <c r="AX182" s="14" t="n">
        <v>0.114</v>
      </c>
      <c r="AY182" s="14" t="n">
        <v>0.378</v>
      </c>
      <c r="AZ182" s="14" t="n">
        <v>1.075</v>
      </c>
      <c r="BA182" s="14" t="n">
        <v>0.1</v>
      </c>
      <c r="BB182" s="14" t="n">
        <v>1</v>
      </c>
      <c r="BC182" s="14" t="n">
        <v>0.439</v>
      </c>
      <c r="BD182" s="14" t="n">
        <v>0.114</v>
      </c>
      <c r="BE182" s="14" t="n">
        <v>0</v>
      </c>
      <c r="BF182" s="14" t="n">
        <v>0.483</v>
      </c>
      <c r="BG182" s="14" t="n">
        <v>0.1</v>
      </c>
      <c r="BH182" s="14" t="n">
        <v>1</v>
      </c>
      <c r="BI182" s="14" t="n">
        <v>0.505</v>
      </c>
      <c r="BJ182" s="14" t="n">
        <v>0.114</v>
      </c>
      <c r="BK182" s="14" t="n">
        <v>0.053</v>
      </c>
      <c r="BL182" s="14" t="n">
        <v>0.613</v>
      </c>
      <c r="BM182" s="14" t="n">
        <v>0.1</v>
      </c>
      <c r="BN182" s="14" t="n">
        <v>1</v>
      </c>
      <c r="BO182" s="14" t="n">
        <v>0</v>
      </c>
      <c r="BP182" s="14" t="n">
        <v>0</v>
      </c>
      <c r="BQ182" s="14" t="n">
        <v>0</v>
      </c>
      <c r="BR182" s="14" t="n">
        <v>0</v>
      </c>
      <c r="BS182" s="14" t="n">
        <v>1</v>
      </c>
      <c r="BT182" s="14" t="n">
        <v>0</v>
      </c>
      <c r="BU182" s="14" t="n">
        <v>0</v>
      </c>
      <c r="BV182" s="14" t="n">
        <v>0</v>
      </c>
      <c r="BW182" s="14" t="n">
        <v>0.1</v>
      </c>
      <c r="BX182" s="14" t="n">
        <v>1</v>
      </c>
      <c r="BY182" s="14" t="n">
        <v>11.787</v>
      </c>
      <c r="BZ182" s="14" t="n">
        <v>0</v>
      </c>
      <c r="CA182" s="14" t="n">
        <v>11.787</v>
      </c>
      <c r="CB182" s="14" t="n">
        <v>0</v>
      </c>
      <c r="CC182" s="14" t="n">
        <v>78.125</v>
      </c>
      <c r="CD182" s="14" t="n">
        <v>7.95</v>
      </c>
      <c r="CE182" s="14" t="n">
        <v>0</v>
      </c>
      <c r="CF182" s="14" t="n">
        <v>85.938</v>
      </c>
      <c r="CG182" s="14" t="n">
        <v>0.1</v>
      </c>
      <c r="CH182" s="14" t="n">
        <v>1</v>
      </c>
      <c r="CI182" s="14" t="n">
        <v>0</v>
      </c>
      <c r="CJ182" s="14" t="n">
        <v>0</v>
      </c>
      <c r="CK182" s="14" t="n">
        <v>0</v>
      </c>
      <c r="CL182" s="14" t="n">
        <v>0</v>
      </c>
      <c r="CM182" s="14" t="n">
        <v>0</v>
      </c>
      <c r="CN182" s="14" t="n">
        <v>0</v>
      </c>
      <c r="CO182" s="14" t="n">
        <v>0</v>
      </c>
      <c r="CP182" s="14" t="n">
        <v>0</v>
      </c>
      <c r="CQ182" s="14" t="n">
        <v>1.198</v>
      </c>
      <c r="CR182" s="14" t="n">
        <v>0</v>
      </c>
      <c r="CS182" s="14" t="n">
        <v>4.776</v>
      </c>
      <c r="CT182" s="14" t="n">
        <v>4.753</v>
      </c>
      <c r="CU182" s="14" t="n">
        <v>15.162</v>
      </c>
    </row>
    <row r="183">
      <c r="A183" s="14" t="inlineStr">
        <is>
          <t>COM2022</t>
        </is>
      </c>
      <c r="B183" s="14" t="inlineStr">
        <is>
          <t>COM</t>
        </is>
      </c>
      <c r="C183" s="14" t="inlineStr">
        <is>
          <t>COM</t>
        </is>
      </c>
      <c r="D183" s="14" t="inlineStr">
        <is>
          <t>Comoros</t>
        </is>
      </c>
      <c r="E183" s="14" t="n">
        <v>2022</v>
      </c>
      <c r="F183" s="14" t="n">
        <v>0.1</v>
      </c>
      <c r="G183" s="14" t="n">
        <v>11.72</v>
      </c>
      <c r="H183" s="14" t="n">
        <v>1.235</v>
      </c>
      <c r="I183" s="14" t="n">
        <v>0</v>
      </c>
      <c r="J183" s="14" t="n">
        <v>11.72</v>
      </c>
      <c r="K183" s="14" t="n">
        <v>0</v>
      </c>
      <c r="L183" s="14" t="n">
        <v>1</v>
      </c>
      <c r="M183" s="14" t="n">
        <v>9.782999999999999</v>
      </c>
      <c r="N183" s="14" t="n">
        <v>3.704</v>
      </c>
      <c r="O183" s="14" t="n">
        <v>0</v>
      </c>
      <c r="P183" s="14" t="n">
        <v>9.782999999999999</v>
      </c>
      <c r="Q183" s="14" t="n">
        <v>0</v>
      </c>
      <c r="R183" s="14" t="n">
        <v>1</v>
      </c>
      <c r="S183" s="14" t="n">
        <v>17.893</v>
      </c>
      <c r="T183" s="14" t="n">
        <v>7.408</v>
      </c>
      <c r="U183" s="14" t="n">
        <v>0.132</v>
      </c>
      <c r="V183" s="14" t="n">
        <v>19.683</v>
      </c>
      <c r="W183" s="14" t="n">
        <v>0.1</v>
      </c>
      <c r="X183" s="14" t="n">
        <v>1</v>
      </c>
      <c r="Y183" s="14" t="n">
        <v>19.012</v>
      </c>
      <c r="Z183" s="14" t="n">
        <v>2.569</v>
      </c>
      <c r="AA183" s="14" t="n">
        <v>0</v>
      </c>
      <c r="AB183" s="14" t="n">
        <v>19.012</v>
      </c>
      <c r="AC183" s="14" t="n">
        <v>0</v>
      </c>
      <c r="AD183" s="14" t="n">
        <v>1</v>
      </c>
      <c r="AE183" s="14" t="n">
        <v>20.246</v>
      </c>
      <c r="AF183" s="14" t="n">
        <v>4.734</v>
      </c>
      <c r="AG183" s="14" t="n">
        <v>0</v>
      </c>
      <c r="AH183" s="14" t="n">
        <v>20.246</v>
      </c>
      <c r="AI183" s="14" t="n">
        <v>0</v>
      </c>
      <c r="AJ183" s="14" t="n">
        <v>1</v>
      </c>
      <c r="AK183" s="14" t="n">
        <v>27.655</v>
      </c>
      <c r="AL183" s="14" t="n">
        <v>14.729</v>
      </c>
      <c r="AM183" s="14" t="n">
        <v>0.205</v>
      </c>
      <c r="AN183" s="14" t="n">
        <v>30.42</v>
      </c>
      <c r="AO183" s="14" t="n">
        <v>0.1</v>
      </c>
      <c r="AP183" s="14" t="n">
        <v>1</v>
      </c>
      <c r="AQ183" s="14" t="n">
        <v>0.861</v>
      </c>
      <c r="AR183" s="14" t="n">
        <v>0.123</v>
      </c>
      <c r="AS183" s="14" t="n">
        <v>0.6909999999999999</v>
      </c>
      <c r="AT183" s="14" t="n">
        <v>1.695</v>
      </c>
      <c r="AU183" s="14" t="n">
        <v>0.1</v>
      </c>
      <c r="AV183" s="14" t="n">
        <v>1</v>
      </c>
      <c r="AW183" s="14" t="n">
        <v>0.986</v>
      </c>
      <c r="AX183" s="14" t="n">
        <v>0.123</v>
      </c>
      <c r="AY183" s="14" t="n">
        <v>0.17</v>
      </c>
      <c r="AZ183" s="14" t="n">
        <v>1.262</v>
      </c>
      <c r="BA183" s="14" t="n">
        <v>0.1</v>
      </c>
      <c r="BB183" s="14" t="n">
        <v>1</v>
      </c>
      <c r="BC183" s="14" t="n">
        <v>0.598</v>
      </c>
      <c r="BD183" s="14" t="n">
        <v>0.123</v>
      </c>
      <c r="BE183" s="14" t="n">
        <v>0.004</v>
      </c>
      <c r="BF183" s="14" t="n">
        <v>0.658</v>
      </c>
      <c r="BG183" s="14" t="n">
        <v>0.1</v>
      </c>
      <c r="BH183" s="14" t="n">
        <v>1</v>
      </c>
      <c r="BI183" s="14" t="n">
        <v>0.612</v>
      </c>
      <c r="BJ183" s="14" t="n">
        <v>0.123</v>
      </c>
      <c r="BK183" s="14" t="n">
        <v>0.005</v>
      </c>
      <c r="BL183" s="14" t="n">
        <v>0.675</v>
      </c>
      <c r="BM183" s="14" t="n">
        <v>0.1</v>
      </c>
      <c r="BN183" s="14" t="n">
        <v>1</v>
      </c>
      <c r="BO183" s="14" t="n">
        <v>0</v>
      </c>
      <c r="BP183" s="14" t="n">
        <v>0</v>
      </c>
      <c r="BQ183" s="14" t="n">
        <v>0</v>
      </c>
      <c r="BR183" s="14" t="n">
        <v>0</v>
      </c>
      <c r="BS183" s="14" t="n">
        <v>1</v>
      </c>
      <c r="BT183" s="14" t="n">
        <v>0</v>
      </c>
      <c r="BU183" s="14" t="n">
        <v>0</v>
      </c>
      <c r="BV183" s="14" t="n">
        <v>0</v>
      </c>
      <c r="BW183" s="14" t="n">
        <v>0.1</v>
      </c>
      <c r="BX183" s="14" t="n">
        <v>1</v>
      </c>
      <c r="BY183" s="14" t="n">
        <v>12.729</v>
      </c>
      <c r="BZ183" s="14" t="n">
        <v>0</v>
      </c>
      <c r="CA183" s="14" t="n">
        <v>12.729</v>
      </c>
      <c r="CB183" s="14" t="n">
        <v>0</v>
      </c>
      <c r="CC183" s="14" t="n">
        <v>97.90000000000001</v>
      </c>
      <c r="CD183" s="14" t="n">
        <v>7.95</v>
      </c>
      <c r="CE183" s="14" t="n">
        <v>0.725</v>
      </c>
      <c r="CF183" s="14" t="n">
        <v>107.69</v>
      </c>
      <c r="CG183" s="14" t="n">
        <v>0.1</v>
      </c>
      <c r="CH183" s="14" t="n">
        <v>1</v>
      </c>
      <c r="CI183" s="14" t="n">
        <v>0</v>
      </c>
      <c r="CJ183" s="14" t="n">
        <v>0</v>
      </c>
      <c r="CK183" s="14" t="n">
        <v>0</v>
      </c>
      <c r="CL183" s="14" t="n">
        <v>0</v>
      </c>
      <c r="CM183" s="14" t="n">
        <v>0</v>
      </c>
      <c r="CN183" s="14" t="n">
        <v>0</v>
      </c>
      <c r="CO183" s="14" t="n">
        <v>0</v>
      </c>
      <c r="CP183" s="14" t="n">
        <v>0</v>
      </c>
      <c r="CQ183" s="14" t="n">
        <v>1.294</v>
      </c>
      <c r="CR183" s="14" t="n">
        <v>0</v>
      </c>
      <c r="CS183" s="14" t="n">
        <v>5.158</v>
      </c>
      <c r="CT183" s="14" t="n">
        <v>10.485</v>
      </c>
      <c r="CU183" s="14" t="n">
        <v>31.326</v>
      </c>
    </row>
    <row r="184">
      <c r="A184" s="14" t="inlineStr">
        <is>
          <t>COM2023</t>
        </is>
      </c>
      <c r="B184" s="14" t="inlineStr">
        <is>
          <t>COM</t>
        </is>
      </c>
      <c r="C184" s="14" t="inlineStr">
        <is>
          <t>COM</t>
        </is>
      </c>
      <c r="D184" s="14" t="inlineStr">
        <is>
          <t>Comoros</t>
        </is>
      </c>
      <c r="E184" s="14" t="n">
        <v>2023</v>
      </c>
      <c r="F184" s="14" t="n">
        <v>0.1</v>
      </c>
      <c r="G184" s="14" t="n">
        <v>6.147</v>
      </c>
      <c r="H184" s="14" t="n">
        <v>1.286</v>
      </c>
      <c r="I184" s="14" t="n">
        <v>0</v>
      </c>
      <c r="J184" s="14" t="n">
        <v>6.147</v>
      </c>
      <c r="K184" s="14" t="n">
        <v>0</v>
      </c>
      <c r="L184" s="14" t="n">
        <v>1</v>
      </c>
      <c r="M184" s="14" t="n">
        <v>7.886</v>
      </c>
      <c r="N184" s="14" t="n">
        <v>3.857</v>
      </c>
      <c r="O184" s="14" t="n">
        <v>0</v>
      </c>
      <c r="P184" s="14" t="n">
        <v>7.886</v>
      </c>
      <c r="Q184" s="14" t="n">
        <v>0</v>
      </c>
      <c r="R184" s="14" t="n">
        <v>1</v>
      </c>
      <c r="S184" s="14" t="n">
        <v>12.575</v>
      </c>
      <c r="T184" s="14" t="n">
        <v>7.714</v>
      </c>
      <c r="U184" s="14" t="n">
        <v>0.139</v>
      </c>
      <c r="V184" s="14" t="n">
        <v>13.833</v>
      </c>
      <c r="W184" s="14" t="n">
        <v>0.1</v>
      </c>
      <c r="X184" s="14" t="n">
        <v>1</v>
      </c>
      <c r="Y184" s="14" t="n">
        <v>9.223000000000001</v>
      </c>
      <c r="Z184" s="14" t="n">
        <v>1.247</v>
      </c>
      <c r="AA184" s="14" t="n">
        <v>0</v>
      </c>
      <c r="AB184" s="14" t="n">
        <v>9.223000000000001</v>
      </c>
      <c r="AC184" s="14" t="n">
        <v>0</v>
      </c>
      <c r="AD184" s="14" t="n">
        <v>1</v>
      </c>
      <c r="AE184" s="14" t="n">
        <v>10.509</v>
      </c>
      <c r="AF184" s="14" t="n">
        <v>2.457</v>
      </c>
      <c r="AG184" s="14" t="n">
        <v>0</v>
      </c>
      <c r="AH184" s="14" t="n">
        <v>10.509</v>
      </c>
      <c r="AI184" s="14" t="n">
        <v>0</v>
      </c>
      <c r="AJ184" s="14" t="n">
        <v>1</v>
      </c>
      <c r="AK184" s="14" t="n">
        <v>18.223</v>
      </c>
      <c r="AL184" s="14" t="n">
        <v>9.705</v>
      </c>
      <c r="AM184" s="14" t="n">
        <v>0.202</v>
      </c>
      <c r="AN184" s="14" t="n">
        <v>20.045</v>
      </c>
      <c r="AO184" s="14" t="n">
        <v>0.1</v>
      </c>
      <c r="AP184" s="14" t="n">
        <v>1</v>
      </c>
      <c r="AQ184" s="14" t="n">
        <v>0.76</v>
      </c>
      <c r="AR184" s="14" t="n">
        <v>0.129</v>
      </c>
      <c r="AS184" s="14" t="n">
        <v>0.788</v>
      </c>
      <c r="AT184" s="14" t="n">
        <v>1.685</v>
      </c>
      <c r="AU184" s="14" t="n">
        <v>0.1</v>
      </c>
      <c r="AV184" s="14" t="n">
        <v>1</v>
      </c>
      <c r="AW184" s="14" t="n">
        <v>0.8110000000000001</v>
      </c>
      <c r="AX184" s="14" t="n">
        <v>0.129</v>
      </c>
      <c r="AY184" s="14" t="n">
        <v>0.338</v>
      </c>
      <c r="AZ184" s="14" t="n">
        <v>1.25</v>
      </c>
      <c r="BA184" s="14" t="n">
        <v>0.1</v>
      </c>
      <c r="BB184" s="14" t="n">
        <v>1</v>
      </c>
      <c r="BC184" s="14" t="n">
        <v>0.535</v>
      </c>
      <c r="BD184" s="14" t="n">
        <v>0.129</v>
      </c>
      <c r="BE184" s="14" t="n">
        <v>0.006</v>
      </c>
      <c r="BF184" s="14" t="n">
        <v>0.588</v>
      </c>
      <c r="BG184" s="14" t="n">
        <v>0.1</v>
      </c>
      <c r="BH184" s="14" t="n">
        <v>1</v>
      </c>
      <c r="BI184" s="14" t="n">
        <v>0.579</v>
      </c>
      <c r="BJ184" s="14" t="n">
        <v>0.129</v>
      </c>
      <c r="BK184" s="14" t="n">
        <v>0.056</v>
      </c>
      <c r="BL184" s="14" t="n">
        <v>0.6919999999999999</v>
      </c>
      <c r="BM184" s="14" t="n">
        <v>0.1</v>
      </c>
      <c r="BN184" s="14" t="n">
        <v>1</v>
      </c>
      <c r="BO184" s="14" t="n">
        <v>0</v>
      </c>
      <c r="BP184" s="14" t="n">
        <v>0</v>
      </c>
      <c r="BQ184" s="14" t="n">
        <v>0</v>
      </c>
      <c r="BR184" s="14" t="n">
        <v>0</v>
      </c>
      <c r="BS184" s="14" t="n">
        <v>1</v>
      </c>
      <c r="BT184" s="14" t="n">
        <v>0</v>
      </c>
      <c r="BU184" s="14" t="n">
        <v>0</v>
      </c>
      <c r="BV184" s="14" t="n">
        <v>0</v>
      </c>
      <c r="BW184" s="14" t="n">
        <v>0.1</v>
      </c>
      <c r="BX184" s="14" t="n">
        <v>1</v>
      </c>
      <c r="BY184" s="14" t="n">
        <v>13.254</v>
      </c>
      <c r="BZ184" s="14" t="n">
        <v>0</v>
      </c>
      <c r="CA184" s="14" t="n">
        <v>13.254</v>
      </c>
      <c r="CB184" s="14" t="n">
        <v>0</v>
      </c>
      <c r="CC184" s="14" t="n">
        <v>83.248</v>
      </c>
      <c r="CD184" s="14" t="n">
        <v>7.95</v>
      </c>
      <c r="CE184" s="14" t="n">
        <v>0.922</v>
      </c>
      <c r="CF184" s="14" t="n">
        <v>91.57299999999999</v>
      </c>
      <c r="CG184" s="14" t="n">
        <v>0.1</v>
      </c>
      <c r="CH184" s="14" t="n">
        <v>1</v>
      </c>
      <c r="CI184" s="14" t="n">
        <v>0</v>
      </c>
      <c r="CJ184" s="14" t="n">
        <v>0</v>
      </c>
      <c r="CK184" s="14" t="n">
        <v>0</v>
      </c>
      <c r="CL184" s="14" t="n">
        <v>0</v>
      </c>
      <c r="CM184" s="14" t="n">
        <v>0</v>
      </c>
      <c r="CN184" s="14" t="n">
        <v>0</v>
      </c>
      <c r="CO184" s="14" t="n">
        <v>0</v>
      </c>
      <c r="CP184" s="14" t="n">
        <v>0</v>
      </c>
      <c r="CQ184" s="14" t="n">
        <v>1.348</v>
      </c>
      <c r="CR184" s="14" t="n">
        <v>0</v>
      </c>
      <c r="CS184" s="14" t="n">
        <v>5.37</v>
      </c>
      <c r="CT184" s="14" t="n">
        <v>4.861</v>
      </c>
      <c r="CU184" s="14" t="n">
        <v>11.622</v>
      </c>
    </row>
    <row r="185">
      <c r="A185" s="14" t="inlineStr">
        <is>
          <t>COM2024</t>
        </is>
      </c>
      <c r="B185" s="14" t="inlineStr">
        <is>
          <t>COM</t>
        </is>
      </c>
      <c r="C185" s="14" t="inlineStr">
        <is>
          <t>COM</t>
        </is>
      </c>
      <c r="D185" s="14" t="inlineStr">
        <is>
          <t>Comoros</t>
        </is>
      </c>
      <c r="E185" s="14" t="n">
        <v>2024</v>
      </c>
      <c r="F185" s="14" t="n">
        <v>0.1</v>
      </c>
      <c r="G185" s="14" t="n">
        <v>5.575</v>
      </c>
      <c r="H185" s="14" t="n">
        <v>1.324</v>
      </c>
      <c r="I185" s="14" t="n">
        <v>0</v>
      </c>
      <c r="J185" s="14" t="n">
        <v>5.575</v>
      </c>
      <c r="K185" s="14" t="n">
        <v>0</v>
      </c>
      <c r="L185" s="14" t="n">
        <v>1</v>
      </c>
      <c r="M185" s="14" t="n">
        <v>7.124</v>
      </c>
      <c r="N185" s="14" t="n">
        <v>3.971</v>
      </c>
      <c r="O185" s="14" t="n">
        <v>0</v>
      </c>
      <c r="P185" s="14" t="n">
        <v>7.124</v>
      </c>
      <c r="Q185" s="14" t="n">
        <v>0</v>
      </c>
      <c r="R185" s="14" t="n">
        <v>1</v>
      </c>
      <c r="S185" s="14" t="n">
        <v>12.193</v>
      </c>
      <c r="T185" s="14" t="n">
        <v>7.942</v>
      </c>
      <c r="U185" s="14" t="n">
        <v>0.166</v>
      </c>
      <c r="V185" s="14" t="n">
        <v>13.412</v>
      </c>
      <c r="W185" s="14" t="n">
        <v>0.1</v>
      </c>
      <c r="X185" s="14" t="n">
        <v>1</v>
      </c>
      <c r="Y185" s="14" t="n">
        <v>8.590999999999999</v>
      </c>
      <c r="Z185" s="14" t="n">
        <v>1.161</v>
      </c>
      <c r="AA185" s="14" t="n">
        <v>0</v>
      </c>
      <c r="AB185" s="14" t="n">
        <v>8.590999999999999</v>
      </c>
      <c r="AC185" s="14" t="n">
        <v>0</v>
      </c>
      <c r="AD185" s="14" t="n">
        <v>1</v>
      </c>
      <c r="AE185" s="14" t="n">
        <v>9.914</v>
      </c>
      <c r="AF185" s="14" t="n">
        <v>2.318</v>
      </c>
      <c r="AG185" s="14" t="n">
        <v>0</v>
      </c>
      <c r="AH185" s="14" t="n">
        <v>9.914</v>
      </c>
      <c r="AI185" s="14" t="n">
        <v>0</v>
      </c>
      <c r="AJ185" s="14" t="n">
        <v>1</v>
      </c>
      <c r="AK185" s="14" t="n">
        <v>17.856</v>
      </c>
      <c r="AL185" s="14" t="n">
        <v>9.51</v>
      </c>
      <c r="AM185" s="14" t="n">
        <v>0.243</v>
      </c>
      <c r="AN185" s="14" t="n">
        <v>19.641</v>
      </c>
      <c r="AO185" s="14" t="n">
        <v>0.1</v>
      </c>
      <c r="AP185" s="14" t="n">
        <v>1</v>
      </c>
      <c r="AQ185" s="14" t="n">
        <v>0.724</v>
      </c>
      <c r="AR185" s="14" t="n">
        <v>0.132</v>
      </c>
      <c r="AS185" s="14" t="n">
        <v>0.842</v>
      </c>
      <c r="AT185" s="14" t="n">
        <v>1.7</v>
      </c>
      <c r="AU185" s="14" t="n">
        <v>0.1</v>
      </c>
      <c r="AV185" s="14" t="n">
        <v>1</v>
      </c>
      <c r="AW185" s="14" t="n">
        <v>0.75</v>
      </c>
      <c r="AX185" s="14" t="n">
        <v>0.132</v>
      </c>
      <c r="AY185" s="14" t="n">
        <v>0.413</v>
      </c>
      <c r="AZ185" s="14" t="n">
        <v>1.262</v>
      </c>
      <c r="BA185" s="14" t="n">
        <v>0.1</v>
      </c>
      <c r="BB185" s="14" t="n">
        <v>1</v>
      </c>
      <c r="BC185" s="14" t="n">
        <v>0.513</v>
      </c>
      <c r="BD185" s="14" t="n">
        <v>0.132</v>
      </c>
      <c r="BE185" s="14" t="n">
        <v>0.007</v>
      </c>
      <c r="BF185" s="14" t="n">
        <v>0.5639999999999999</v>
      </c>
      <c r="BG185" s="14" t="n">
        <v>0.1</v>
      </c>
      <c r="BH185" s="14" t="n">
        <v>1</v>
      </c>
      <c r="BI185" s="14" t="n">
        <v>0.591</v>
      </c>
      <c r="BJ185" s="14" t="n">
        <v>0.132</v>
      </c>
      <c r="BK185" s="14" t="n">
        <v>0.064</v>
      </c>
      <c r="BL185" s="14" t="n">
        <v>0.711</v>
      </c>
      <c r="BM185" s="14" t="n">
        <v>0.1</v>
      </c>
      <c r="BN185" s="14" t="n">
        <v>1</v>
      </c>
      <c r="BO185" s="14" t="n">
        <v>0</v>
      </c>
      <c r="BP185" s="14" t="n">
        <v>0</v>
      </c>
      <c r="BQ185" s="14" t="n">
        <v>0</v>
      </c>
      <c r="BR185" s="14" t="n">
        <v>0</v>
      </c>
      <c r="BS185" s="14" t="n">
        <v>1</v>
      </c>
      <c r="BT185" s="14" t="n">
        <v>0</v>
      </c>
      <c r="BU185" s="14" t="n">
        <v>0</v>
      </c>
      <c r="BV185" s="14" t="n">
        <v>0</v>
      </c>
      <c r="BW185" s="14" t="n">
        <v>0.1</v>
      </c>
      <c r="BX185" s="14" t="n">
        <v>1</v>
      </c>
      <c r="BY185" s="14" t="n">
        <v>13.646</v>
      </c>
      <c r="BZ185" s="14" t="n">
        <v>0</v>
      </c>
      <c r="CA185" s="14" t="n">
        <v>13.646</v>
      </c>
      <c r="CB185" s="14" t="n">
        <v>0</v>
      </c>
      <c r="CC185" s="14" t="n">
        <v>82.58799999999999</v>
      </c>
      <c r="CD185" s="14" t="n">
        <v>7.95</v>
      </c>
      <c r="CE185" s="14" t="n">
        <v>1.125</v>
      </c>
      <c r="CF185" s="14" t="n">
        <v>90.84699999999999</v>
      </c>
      <c r="CG185" s="14" t="n">
        <v>0.1</v>
      </c>
      <c r="CH185" s="14" t="n">
        <v>1</v>
      </c>
      <c r="CI185" s="14" t="n">
        <v>0</v>
      </c>
      <c r="CJ185" s="14" t="n">
        <v>0</v>
      </c>
      <c r="CK185" s="14" t="n">
        <v>0</v>
      </c>
      <c r="CL185" s="14" t="n">
        <v>0</v>
      </c>
      <c r="CM185" s="14" t="n">
        <v>0</v>
      </c>
      <c r="CN185" s="14" t="n">
        <v>0</v>
      </c>
      <c r="CO185" s="14" t="n">
        <v>0</v>
      </c>
      <c r="CP185" s="14" t="n">
        <v>0</v>
      </c>
      <c r="CQ185" s="14" t="n">
        <v>1.387</v>
      </c>
      <c r="CR185" s="14" t="n">
        <v>0</v>
      </c>
      <c r="CS185" s="14" t="n">
        <v>5.529</v>
      </c>
      <c r="CT185" s="14" t="n">
        <v>4.251</v>
      </c>
      <c r="CU185" s="14" t="n">
        <v>10.168</v>
      </c>
    </row>
    <row r="186">
      <c r="A186" s="14" t="inlineStr">
        <is>
          <t>COD2021</t>
        </is>
      </c>
      <c r="B186" s="14" t="inlineStr">
        <is>
          <t>COD</t>
        </is>
      </c>
      <c r="C186" s="14" t="inlineStr">
        <is>
          <t>COD</t>
        </is>
      </c>
      <c r="D186" s="14" t="inlineStr">
        <is>
          <t>Congo, Democratic Republic of the</t>
        </is>
      </c>
      <c r="E186" s="14" t="n">
        <v>2021</v>
      </c>
      <c r="F186" s="14" t="n">
        <v>0.16</v>
      </c>
      <c r="G186" s="14" t="n">
        <v>5.897</v>
      </c>
      <c r="H186" s="14" t="n">
        <v>1.143</v>
      </c>
      <c r="I186" s="14" t="n">
        <v>0</v>
      </c>
      <c r="J186" s="14" t="n">
        <v>5.897</v>
      </c>
      <c r="K186" s="14" t="n">
        <v>0</v>
      </c>
      <c r="L186" s="14" t="n">
        <v>1</v>
      </c>
      <c r="M186" s="14" t="n">
        <v>7.964</v>
      </c>
      <c r="N186" s="14" t="n">
        <v>3.43</v>
      </c>
      <c r="O186" s="14" t="n">
        <v>0</v>
      </c>
      <c r="P186" s="14" t="n">
        <v>7.964</v>
      </c>
      <c r="Q186" s="14" t="n">
        <v>0</v>
      </c>
      <c r="R186" s="14" t="n">
        <v>1</v>
      </c>
      <c r="S186" s="14" t="n">
        <v>11.613</v>
      </c>
      <c r="T186" s="14" t="n">
        <v>6.86</v>
      </c>
      <c r="U186" s="14" t="n">
        <v>0</v>
      </c>
      <c r="V186" s="14" t="n">
        <v>13.471</v>
      </c>
      <c r="W186" s="14" t="n">
        <v>0.16</v>
      </c>
      <c r="X186" s="14" t="n">
        <v>1</v>
      </c>
      <c r="Y186" s="14" t="n">
        <v>5.347</v>
      </c>
      <c r="Z186" s="14" t="n">
        <v>0.393</v>
      </c>
      <c r="AA186" s="14" t="n">
        <v>0</v>
      </c>
      <c r="AB186" s="14" t="n">
        <v>5.347</v>
      </c>
      <c r="AC186" s="14" t="n">
        <v>0</v>
      </c>
      <c r="AD186" s="14" t="n">
        <v>1</v>
      </c>
      <c r="AE186" s="14" t="n">
        <v>5.919</v>
      </c>
      <c r="AF186" s="14" t="n">
        <v>0.8</v>
      </c>
      <c r="AG186" s="14" t="n">
        <v>0</v>
      </c>
      <c r="AH186" s="14" t="n">
        <v>5.919</v>
      </c>
      <c r="AI186" s="14" t="n">
        <v>0</v>
      </c>
      <c r="AJ186" s="14" t="n">
        <v>1</v>
      </c>
      <c r="AK186" s="14" t="n">
        <v>9.349</v>
      </c>
      <c r="AL186" s="14" t="n">
        <v>3.473</v>
      </c>
      <c r="AM186" s="14" t="n">
        <v>0</v>
      </c>
      <c r="AN186" s="14" t="n">
        <v>10.845</v>
      </c>
      <c r="AO186" s="14" t="n">
        <v>0.16</v>
      </c>
      <c r="AP186" s="14" t="n">
        <v>1</v>
      </c>
      <c r="AQ186" s="14" t="n">
        <v>0.619</v>
      </c>
      <c r="AR186" s="14" t="n">
        <v>0.114</v>
      </c>
      <c r="AS186" s="14" t="n">
        <v>0.268</v>
      </c>
      <c r="AT186" s="14" t="n">
        <v>1.003</v>
      </c>
      <c r="AU186" s="14" t="n">
        <v>0.13</v>
      </c>
      <c r="AV186" s="14" t="n">
        <v>1</v>
      </c>
      <c r="AW186" s="14" t="n">
        <v>0.599</v>
      </c>
      <c r="AX186" s="14" t="n">
        <v>0.114</v>
      </c>
      <c r="AY186" s="14" t="n">
        <v>0.284</v>
      </c>
      <c r="AZ186" s="14" t="n">
        <v>0.998</v>
      </c>
      <c r="BA186" s="14" t="n">
        <v>0.13</v>
      </c>
      <c r="BB186" s="14" t="n">
        <v>1</v>
      </c>
      <c r="BC186" s="14" t="n">
        <v>0.439</v>
      </c>
      <c r="BD186" s="14" t="n">
        <v>0.114</v>
      </c>
      <c r="BE186" s="14" t="n">
        <v>0.297</v>
      </c>
      <c r="BF186" s="14" t="n">
        <v>0.832</v>
      </c>
      <c r="BG186" s="14" t="n">
        <v>0.13</v>
      </c>
      <c r="BH186" s="14" t="n">
        <v>1</v>
      </c>
      <c r="BI186" s="14" t="n">
        <v>0.505</v>
      </c>
      <c r="BJ186" s="14" t="n">
        <v>0.114</v>
      </c>
      <c r="BK186" s="14" t="n">
        <v>0.196</v>
      </c>
      <c r="BL186" s="14" t="n">
        <v>0.792</v>
      </c>
      <c r="BM186" s="14" t="n">
        <v>0.13</v>
      </c>
      <c r="BN186" s="14" t="n">
        <v>1</v>
      </c>
      <c r="BO186" s="14" t="n">
        <v>0</v>
      </c>
      <c r="BP186" s="14" t="n">
        <v>0</v>
      </c>
      <c r="BQ186" s="14" t="n">
        <v>0.07199999999999999</v>
      </c>
      <c r="BR186" s="14" t="n">
        <v>0</v>
      </c>
      <c r="BS186" s="14" t="n">
        <v>0.833</v>
      </c>
      <c r="BT186" s="14" t="n">
        <v>0</v>
      </c>
      <c r="BU186" s="14" t="n">
        <v>0</v>
      </c>
      <c r="BV186" s="14" t="n">
        <v>0.083</v>
      </c>
      <c r="BW186" s="14" t="n">
        <v>0.16</v>
      </c>
      <c r="BX186" s="14" t="n">
        <v>0.833</v>
      </c>
      <c r="BY186" s="14" t="n">
        <v>11.787</v>
      </c>
      <c r="BZ186" s="14" t="n">
        <v>0</v>
      </c>
      <c r="CA186" s="14" t="n">
        <v>11.787</v>
      </c>
      <c r="CB186" s="14" t="n">
        <v>0</v>
      </c>
      <c r="CC186" s="14" t="n">
        <v>78.125</v>
      </c>
      <c r="CD186" s="14" t="n">
        <v>7.95</v>
      </c>
      <c r="CE186" s="14" t="n">
        <v>13.957</v>
      </c>
      <c r="CF186" s="14" t="n">
        <v>104.053</v>
      </c>
      <c r="CG186" s="14" t="n">
        <v>0.13</v>
      </c>
      <c r="CH186" s="14" t="n">
        <v>1</v>
      </c>
      <c r="CI186" s="14" t="n">
        <v>0</v>
      </c>
      <c r="CJ186" s="14" t="n">
        <v>0</v>
      </c>
      <c r="CK186" s="14" t="n">
        <v>0</v>
      </c>
      <c r="CL186" s="14" t="n">
        <v>0</v>
      </c>
      <c r="CM186" s="14" t="n">
        <v>0</v>
      </c>
      <c r="CN186" s="14" t="n">
        <v>0</v>
      </c>
      <c r="CO186" s="14" t="n">
        <v>0</v>
      </c>
      <c r="CP186" s="14" t="n">
        <v>0</v>
      </c>
      <c r="CQ186" s="14" t="n">
        <v>1.198</v>
      </c>
      <c r="CR186" s="14" t="n">
        <v>1</v>
      </c>
      <c r="CS186" s="14" t="n">
        <v>4.776</v>
      </c>
      <c r="CT186" s="14" t="n">
        <v>4.753</v>
      </c>
      <c r="CU186" s="14" t="n">
        <v>15.162</v>
      </c>
    </row>
    <row r="187">
      <c r="A187" s="14" t="inlineStr">
        <is>
          <t>COD2022</t>
        </is>
      </c>
      <c r="B187" s="14" t="inlineStr">
        <is>
          <t>COD</t>
        </is>
      </c>
      <c r="C187" s="14" t="inlineStr">
        <is>
          <t>COD</t>
        </is>
      </c>
      <c r="D187" s="14" t="inlineStr">
        <is>
          <t>Congo, Democratic Republic of the</t>
        </is>
      </c>
      <c r="E187" s="14" t="n">
        <v>2022</v>
      </c>
      <c r="F187" s="14" t="n">
        <v>0.16</v>
      </c>
      <c r="G187" s="14" t="n">
        <v>11.72</v>
      </c>
      <c r="H187" s="14" t="n">
        <v>1.235</v>
      </c>
      <c r="I187" s="14" t="n">
        <v>0</v>
      </c>
      <c r="J187" s="14" t="n">
        <v>11.72</v>
      </c>
      <c r="K187" s="14" t="n">
        <v>0</v>
      </c>
      <c r="L187" s="14" t="n">
        <v>1</v>
      </c>
      <c r="M187" s="14" t="n">
        <v>9.782999999999999</v>
      </c>
      <c r="N187" s="14" t="n">
        <v>3.704</v>
      </c>
      <c r="O187" s="14" t="n">
        <v>0</v>
      </c>
      <c r="P187" s="14" t="n">
        <v>9.782999999999999</v>
      </c>
      <c r="Q187" s="14" t="n">
        <v>0</v>
      </c>
      <c r="R187" s="14" t="n">
        <v>1</v>
      </c>
      <c r="S187" s="14" t="n">
        <v>17.893</v>
      </c>
      <c r="T187" s="14" t="n">
        <v>7.408</v>
      </c>
      <c r="U187" s="14" t="n">
        <v>0.212</v>
      </c>
      <c r="V187" s="14" t="n">
        <v>20.756</v>
      </c>
      <c r="W187" s="14" t="n">
        <v>0.16</v>
      </c>
      <c r="X187" s="14" t="n">
        <v>1</v>
      </c>
      <c r="Y187" s="14" t="n">
        <v>5.775</v>
      </c>
      <c r="Z187" s="14" t="n">
        <v>0.425</v>
      </c>
      <c r="AA187" s="14" t="n">
        <v>0</v>
      </c>
      <c r="AB187" s="14" t="n">
        <v>5.775</v>
      </c>
      <c r="AC187" s="14" t="n">
        <v>0</v>
      </c>
      <c r="AD187" s="14" t="n">
        <v>1</v>
      </c>
      <c r="AE187" s="14" t="n">
        <v>6.392</v>
      </c>
      <c r="AF187" s="14" t="n">
        <v>0.864</v>
      </c>
      <c r="AG187" s="14" t="n">
        <v>0</v>
      </c>
      <c r="AH187" s="14" t="n">
        <v>6.392</v>
      </c>
      <c r="AI187" s="14" t="n">
        <v>0</v>
      </c>
      <c r="AJ187" s="14" t="n">
        <v>1</v>
      </c>
      <c r="AK187" s="14" t="n">
        <v>10.096</v>
      </c>
      <c r="AL187" s="14" t="n">
        <v>3.751</v>
      </c>
      <c r="AM187" s="14" t="n">
        <v>0.12</v>
      </c>
      <c r="AN187" s="14" t="n">
        <v>11.712</v>
      </c>
      <c r="AO187" s="14" t="n">
        <v>0.16</v>
      </c>
      <c r="AP187" s="14" t="n">
        <v>1</v>
      </c>
      <c r="AQ187" s="14" t="n">
        <v>0.861</v>
      </c>
      <c r="AR187" s="14" t="n">
        <v>0.123</v>
      </c>
      <c r="AS187" s="14" t="n">
        <v>0.398</v>
      </c>
      <c r="AT187" s="14" t="n">
        <v>1.423</v>
      </c>
      <c r="AU187" s="14" t="n">
        <v>0.13</v>
      </c>
      <c r="AV187" s="14" t="n">
        <v>1</v>
      </c>
      <c r="AW187" s="14" t="n">
        <v>0.986</v>
      </c>
      <c r="AX187" s="14" t="n">
        <v>0.123</v>
      </c>
      <c r="AY187" s="14" t="n">
        <v>0.269</v>
      </c>
      <c r="AZ187" s="14" t="n">
        <v>1.418</v>
      </c>
      <c r="BA187" s="14" t="n">
        <v>0.13</v>
      </c>
      <c r="BB187" s="14" t="n">
        <v>1</v>
      </c>
      <c r="BC187" s="14" t="n">
        <v>0.598</v>
      </c>
      <c r="BD187" s="14" t="n">
        <v>0.123</v>
      </c>
      <c r="BE187" s="14" t="n">
        <v>0.314</v>
      </c>
      <c r="BF187" s="14" t="n">
        <v>1.031</v>
      </c>
      <c r="BG187" s="14" t="n">
        <v>0.13</v>
      </c>
      <c r="BH187" s="14" t="n">
        <v>1</v>
      </c>
      <c r="BI187" s="14" t="n">
        <v>0.612</v>
      </c>
      <c r="BJ187" s="14" t="n">
        <v>0.123</v>
      </c>
      <c r="BK187" s="14" t="n">
        <v>0.647</v>
      </c>
      <c r="BL187" s="14" t="n">
        <v>1.423</v>
      </c>
      <c r="BM187" s="14" t="n">
        <v>0.13</v>
      </c>
      <c r="BN187" s="14" t="n">
        <v>1</v>
      </c>
      <c r="BO187" s="14" t="n">
        <v>0</v>
      </c>
      <c r="BP187" s="14" t="n">
        <v>0</v>
      </c>
      <c r="BQ187" s="14" t="n">
        <v>0.059</v>
      </c>
      <c r="BR187" s="14" t="n">
        <v>0</v>
      </c>
      <c r="BS187" s="14" t="n">
        <v>0.833</v>
      </c>
      <c r="BT187" s="14" t="n">
        <v>0</v>
      </c>
      <c r="BU187" s="14" t="n">
        <v>0</v>
      </c>
      <c r="BV187" s="14" t="n">
        <v>0.06900000000000001</v>
      </c>
      <c r="BW187" s="14" t="n">
        <v>0.16</v>
      </c>
      <c r="BX187" s="14" t="n">
        <v>0.833</v>
      </c>
      <c r="BY187" s="14" t="n">
        <v>12.729</v>
      </c>
      <c r="BZ187" s="14" t="n">
        <v>0</v>
      </c>
      <c r="CA187" s="14" t="n">
        <v>12.729</v>
      </c>
      <c r="CB187" s="14" t="n">
        <v>0</v>
      </c>
      <c r="CC187" s="14" t="n">
        <v>97.90000000000001</v>
      </c>
      <c r="CD187" s="14" t="n">
        <v>7.95</v>
      </c>
      <c r="CE187" s="14" t="n">
        <v>4.633</v>
      </c>
      <c r="CF187" s="14" t="n">
        <v>115.862</v>
      </c>
      <c r="CG187" s="14" t="n">
        <v>0.13</v>
      </c>
      <c r="CH187" s="14" t="n">
        <v>1</v>
      </c>
      <c r="CI187" s="14" t="n">
        <v>0</v>
      </c>
      <c r="CJ187" s="14" t="n">
        <v>0</v>
      </c>
      <c r="CK187" s="14" t="n">
        <v>0</v>
      </c>
      <c r="CL187" s="14" t="n">
        <v>0</v>
      </c>
      <c r="CM187" s="14" t="n">
        <v>0</v>
      </c>
      <c r="CN187" s="14" t="n">
        <v>0</v>
      </c>
      <c r="CO187" s="14" t="n">
        <v>0</v>
      </c>
      <c r="CP187" s="14" t="n">
        <v>0</v>
      </c>
      <c r="CQ187" s="14" t="n">
        <v>1.294</v>
      </c>
      <c r="CR187" s="14" t="n">
        <v>1</v>
      </c>
      <c r="CS187" s="14" t="n">
        <v>5.158</v>
      </c>
      <c r="CT187" s="14" t="n">
        <v>10.485</v>
      </c>
      <c r="CU187" s="14" t="n">
        <v>31.326</v>
      </c>
    </row>
    <row r="188">
      <c r="A188" s="14" t="inlineStr">
        <is>
          <t>COD2023</t>
        </is>
      </c>
      <c r="B188" s="14" t="inlineStr">
        <is>
          <t>COD</t>
        </is>
      </c>
      <c r="C188" s="14" t="inlineStr">
        <is>
          <t>COD</t>
        </is>
      </c>
      <c r="D188" s="14" t="inlineStr">
        <is>
          <t>Congo, Democratic Republic of the</t>
        </is>
      </c>
      <c r="E188" s="14" t="n">
        <v>2023</v>
      </c>
      <c r="F188" s="14" t="n">
        <v>0.16</v>
      </c>
      <c r="G188" s="14" t="n">
        <v>6.147</v>
      </c>
      <c r="H188" s="14" t="n">
        <v>1.286</v>
      </c>
      <c r="I188" s="14" t="n">
        <v>0</v>
      </c>
      <c r="J188" s="14" t="n">
        <v>6.147</v>
      </c>
      <c r="K188" s="14" t="n">
        <v>0</v>
      </c>
      <c r="L188" s="14" t="n">
        <v>1</v>
      </c>
      <c r="M188" s="14" t="n">
        <v>7.886</v>
      </c>
      <c r="N188" s="14" t="n">
        <v>3.857</v>
      </c>
      <c r="O188" s="14" t="n">
        <v>0</v>
      </c>
      <c r="P188" s="14" t="n">
        <v>7.886</v>
      </c>
      <c r="Q188" s="14" t="n">
        <v>0</v>
      </c>
      <c r="R188" s="14" t="n">
        <v>1</v>
      </c>
      <c r="S188" s="14" t="n">
        <v>12.575</v>
      </c>
      <c r="T188" s="14" t="n">
        <v>7.714</v>
      </c>
      <c r="U188" s="14" t="n">
        <v>0.223</v>
      </c>
      <c r="V188" s="14" t="n">
        <v>14.587</v>
      </c>
      <c r="W188" s="14" t="n">
        <v>0.16</v>
      </c>
      <c r="X188" s="14" t="n">
        <v>1</v>
      </c>
      <c r="Y188" s="14" t="n">
        <v>6.013</v>
      </c>
      <c r="Z188" s="14" t="n">
        <v>0.442</v>
      </c>
      <c r="AA188" s="14" t="n">
        <v>0</v>
      </c>
      <c r="AB188" s="14" t="n">
        <v>6.013</v>
      </c>
      <c r="AC188" s="14" t="n">
        <v>0</v>
      </c>
      <c r="AD188" s="14" t="n">
        <v>1</v>
      </c>
      <c r="AE188" s="14" t="n">
        <v>6.656</v>
      </c>
      <c r="AF188" s="14" t="n">
        <v>0.9</v>
      </c>
      <c r="AG188" s="14" t="n">
        <v>0</v>
      </c>
      <c r="AH188" s="14" t="n">
        <v>6.656</v>
      </c>
      <c r="AI188" s="14" t="n">
        <v>0</v>
      </c>
      <c r="AJ188" s="14" t="n">
        <v>1</v>
      </c>
      <c r="AK188" s="14" t="n">
        <v>10.513</v>
      </c>
      <c r="AL188" s="14" t="n">
        <v>3.906</v>
      </c>
      <c r="AM188" s="14" t="n">
        <v>0.186</v>
      </c>
      <c r="AN188" s="14" t="n">
        <v>12.195</v>
      </c>
      <c r="AO188" s="14" t="n">
        <v>0.16</v>
      </c>
      <c r="AP188" s="14" t="n">
        <v>1</v>
      </c>
      <c r="AQ188" s="14" t="n">
        <v>0.76</v>
      </c>
      <c r="AR188" s="14" t="n">
        <v>0.129</v>
      </c>
      <c r="AS188" s="14" t="n">
        <v>0.459</v>
      </c>
      <c r="AT188" s="14" t="n">
        <v>1.378</v>
      </c>
      <c r="AU188" s="14" t="n">
        <v>0.13</v>
      </c>
      <c r="AV188" s="14" t="n">
        <v>1</v>
      </c>
      <c r="AW188" s="14" t="n">
        <v>0.8110000000000001</v>
      </c>
      <c r="AX188" s="14" t="n">
        <v>0.129</v>
      </c>
      <c r="AY188" s="14" t="n">
        <v>0.404</v>
      </c>
      <c r="AZ188" s="14" t="n">
        <v>1.374</v>
      </c>
      <c r="BA188" s="14" t="n">
        <v>0.13</v>
      </c>
      <c r="BB188" s="14" t="n">
        <v>1</v>
      </c>
      <c r="BC188" s="14" t="n">
        <v>0.535</v>
      </c>
      <c r="BD188" s="14" t="n">
        <v>0.129</v>
      </c>
      <c r="BE188" s="14" t="n">
        <v>0.397</v>
      </c>
      <c r="BF188" s="14" t="n">
        <v>1.053</v>
      </c>
      <c r="BG188" s="14" t="n">
        <v>0.13</v>
      </c>
      <c r="BH188" s="14" t="n">
        <v>1</v>
      </c>
      <c r="BI188" s="14" t="n">
        <v>0.579</v>
      </c>
      <c r="BJ188" s="14" t="n">
        <v>0.129</v>
      </c>
      <c r="BK188" s="14" t="n">
        <v>0.501</v>
      </c>
      <c r="BL188" s="14" t="n">
        <v>1.22</v>
      </c>
      <c r="BM188" s="14" t="n">
        <v>0.13</v>
      </c>
      <c r="BN188" s="14" t="n">
        <v>1</v>
      </c>
      <c r="BO188" s="14" t="n">
        <v>0</v>
      </c>
      <c r="BP188" s="14" t="n">
        <v>0</v>
      </c>
      <c r="BQ188" s="14" t="n">
        <v>0.05</v>
      </c>
      <c r="BR188" s="14" t="n">
        <v>0</v>
      </c>
      <c r="BS188" s="14" t="n">
        <v>0.833</v>
      </c>
      <c r="BT188" s="14" t="n">
        <v>0</v>
      </c>
      <c r="BU188" s="14" t="n">
        <v>0</v>
      </c>
      <c r="BV188" s="14" t="n">
        <v>0.06</v>
      </c>
      <c r="BW188" s="14" t="n">
        <v>0.16</v>
      </c>
      <c r="BX188" s="14" t="n">
        <v>0.833</v>
      </c>
      <c r="BY188" s="14" t="n">
        <v>13.254</v>
      </c>
      <c r="BZ188" s="14" t="n">
        <v>0</v>
      </c>
      <c r="CA188" s="14" t="n">
        <v>13.254</v>
      </c>
      <c r="CB188" s="14" t="n">
        <v>0</v>
      </c>
      <c r="CC188" s="14" t="n">
        <v>83.248</v>
      </c>
      <c r="CD188" s="14" t="n">
        <v>7.95</v>
      </c>
      <c r="CE188" s="14" t="n">
        <v>40.685</v>
      </c>
      <c r="CF188" s="14" t="n">
        <v>140.044</v>
      </c>
      <c r="CG188" s="14" t="n">
        <v>0.13</v>
      </c>
      <c r="CH188" s="14" t="n">
        <v>1</v>
      </c>
      <c r="CI188" s="14" t="n">
        <v>0</v>
      </c>
      <c r="CJ188" s="14" t="n">
        <v>0</v>
      </c>
      <c r="CK188" s="14" t="n">
        <v>0</v>
      </c>
      <c r="CL188" s="14" t="n">
        <v>0</v>
      </c>
      <c r="CM188" s="14" t="n">
        <v>0</v>
      </c>
      <c r="CN188" s="14" t="n">
        <v>0</v>
      </c>
      <c r="CO188" s="14" t="n">
        <v>0</v>
      </c>
      <c r="CP188" s="14" t="n">
        <v>0</v>
      </c>
      <c r="CQ188" s="14" t="n">
        <v>1.348</v>
      </c>
      <c r="CR188" s="14" t="n">
        <v>1</v>
      </c>
      <c r="CS188" s="14" t="n">
        <v>5.37</v>
      </c>
      <c r="CT188" s="14" t="n">
        <v>4.861</v>
      </c>
      <c r="CU188" s="14" t="n">
        <v>11.622</v>
      </c>
    </row>
    <row r="189">
      <c r="A189" s="14" t="inlineStr">
        <is>
          <t>COD2024</t>
        </is>
      </c>
      <c r="B189" s="14" t="inlineStr">
        <is>
          <t>COD</t>
        </is>
      </c>
      <c r="C189" s="14" t="inlineStr">
        <is>
          <t>COD</t>
        </is>
      </c>
      <c r="D189" s="14" t="inlineStr">
        <is>
          <t>Congo, Democratic Republic of the</t>
        </is>
      </c>
      <c r="E189" s="14" t="n">
        <v>2024</v>
      </c>
      <c r="F189" s="14" t="n">
        <v>0.16</v>
      </c>
      <c r="G189" s="14" t="n">
        <v>5.575</v>
      </c>
      <c r="H189" s="14" t="n">
        <v>1.324</v>
      </c>
      <c r="I189" s="14" t="n">
        <v>0</v>
      </c>
      <c r="J189" s="14" t="n">
        <v>5.575</v>
      </c>
      <c r="K189" s="14" t="n">
        <v>0</v>
      </c>
      <c r="L189" s="14" t="n">
        <v>1</v>
      </c>
      <c r="M189" s="14" t="n">
        <v>7.124</v>
      </c>
      <c r="N189" s="14" t="n">
        <v>3.971</v>
      </c>
      <c r="O189" s="14" t="n">
        <v>0</v>
      </c>
      <c r="P189" s="14" t="n">
        <v>7.124</v>
      </c>
      <c r="Q189" s="14" t="n">
        <v>0</v>
      </c>
      <c r="R189" s="14" t="n">
        <v>1</v>
      </c>
      <c r="S189" s="14" t="n">
        <v>12.193</v>
      </c>
      <c r="T189" s="14" t="n">
        <v>7.942</v>
      </c>
      <c r="U189" s="14" t="n">
        <v>0.266</v>
      </c>
      <c r="V189" s="14" t="n">
        <v>14.144</v>
      </c>
      <c r="W189" s="14" t="n">
        <v>0.16</v>
      </c>
      <c r="X189" s="14" t="n">
        <v>1</v>
      </c>
      <c r="Y189" s="14" t="n">
        <v>6.191</v>
      </c>
      <c r="Z189" s="14" t="n">
        <v>0.455</v>
      </c>
      <c r="AA189" s="14" t="n">
        <v>0</v>
      </c>
      <c r="AB189" s="14" t="n">
        <v>6.191</v>
      </c>
      <c r="AC189" s="14" t="n">
        <v>0</v>
      </c>
      <c r="AD189" s="14" t="n">
        <v>1</v>
      </c>
      <c r="AE189" s="14" t="n">
        <v>6.853</v>
      </c>
      <c r="AF189" s="14" t="n">
        <v>0.926</v>
      </c>
      <c r="AG189" s="14" t="n">
        <v>0</v>
      </c>
      <c r="AH189" s="14" t="n">
        <v>6.853</v>
      </c>
      <c r="AI189" s="14" t="n">
        <v>0</v>
      </c>
      <c r="AJ189" s="14" t="n">
        <v>1</v>
      </c>
      <c r="AK189" s="14" t="n">
        <v>10.823</v>
      </c>
      <c r="AL189" s="14" t="n">
        <v>4.021</v>
      </c>
      <c r="AM189" s="14" t="n">
        <v>0.236</v>
      </c>
      <c r="AN189" s="14" t="n">
        <v>12.555</v>
      </c>
      <c r="AO189" s="14" t="n">
        <v>0.16</v>
      </c>
      <c r="AP189" s="14" t="n">
        <v>1</v>
      </c>
      <c r="AQ189" s="14" t="n">
        <v>0.724</v>
      </c>
      <c r="AR189" s="14" t="n">
        <v>0.132</v>
      </c>
      <c r="AS189" s="14" t="n">
        <v>0.414</v>
      </c>
      <c r="AT189" s="14" t="n">
        <v>1.286</v>
      </c>
      <c r="AU189" s="14" t="n">
        <v>0.13</v>
      </c>
      <c r="AV189" s="14" t="n">
        <v>1</v>
      </c>
      <c r="AW189" s="14" t="n">
        <v>0.75</v>
      </c>
      <c r="AX189" s="14" t="n">
        <v>0.132</v>
      </c>
      <c r="AY189" s="14" t="n">
        <v>0.384</v>
      </c>
      <c r="AZ189" s="14" t="n">
        <v>1.282</v>
      </c>
      <c r="BA189" s="14" t="n">
        <v>0.13</v>
      </c>
      <c r="BB189" s="14" t="n">
        <v>1</v>
      </c>
      <c r="BC189" s="14" t="n">
        <v>0.513</v>
      </c>
      <c r="BD189" s="14" t="n">
        <v>0.132</v>
      </c>
      <c r="BE189" s="14" t="n">
        <v>0.464</v>
      </c>
      <c r="BF189" s="14" t="n">
        <v>1.084</v>
      </c>
      <c r="BG189" s="14" t="n">
        <v>0.13</v>
      </c>
      <c r="BH189" s="14" t="n">
        <v>1</v>
      </c>
      <c r="BI189" s="14" t="n">
        <v>0.591</v>
      </c>
      <c r="BJ189" s="14" t="n">
        <v>0.132</v>
      </c>
      <c r="BK189" s="14" t="n">
        <v>0.285</v>
      </c>
      <c r="BL189" s="14" t="n">
        <v>0.99</v>
      </c>
      <c r="BM189" s="14" t="n">
        <v>0.13</v>
      </c>
      <c r="BN189" s="14" t="n">
        <v>1</v>
      </c>
      <c r="BO189" s="14" t="n">
        <v>0</v>
      </c>
      <c r="BP189" s="14" t="n">
        <v>0</v>
      </c>
      <c r="BQ189" s="14" t="n">
        <v>0.049</v>
      </c>
      <c r="BR189" s="14" t="n">
        <v>0</v>
      </c>
      <c r="BS189" s="14" t="n">
        <v>0.833</v>
      </c>
      <c r="BT189" s="14" t="n">
        <v>0</v>
      </c>
      <c r="BU189" s="14" t="n">
        <v>0</v>
      </c>
      <c r="BV189" s="14" t="n">
        <v>0.063</v>
      </c>
      <c r="BW189" s="14" t="n">
        <v>0.16</v>
      </c>
      <c r="BX189" s="14" t="n">
        <v>0.833</v>
      </c>
      <c r="BY189" s="14" t="n">
        <v>13.646</v>
      </c>
      <c r="BZ189" s="14" t="n">
        <v>0</v>
      </c>
      <c r="CA189" s="14" t="n">
        <v>13.646</v>
      </c>
      <c r="CB189" s="14" t="n">
        <v>0</v>
      </c>
      <c r="CC189" s="14" t="n">
        <v>82.58799999999999</v>
      </c>
      <c r="CD189" s="14" t="n">
        <v>7.95</v>
      </c>
      <c r="CE189" s="14" t="n">
        <v>28.151</v>
      </c>
      <c r="CF189" s="14" t="n">
        <v>125.135</v>
      </c>
      <c r="CG189" s="14" t="n">
        <v>0.13</v>
      </c>
      <c r="CH189" s="14" t="n">
        <v>1</v>
      </c>
      <c r="CI189" s="14" t="n">
        <v>0</v>
      </c>
      <c r="CJ189" s="14" t="n">
        <v>0</v>
      </c>
      <c r="CK189" s="14" t="n">
        <v>0</v>
      </c>
      <c r="CL189" s="14" t="n">
        <v>0</v>
      </c>
      <c r="CM189" s="14" t="n">
        <v>0</v>
      </c>
      <c r="CN189" s="14" t="n">
        <v>0</v>
      </c>
      <c r="CO189" s="14" t="n">
        <v>0</v>
      </c>
      <c r="CP189" s="14" t="n">
        <v>0</v>
      </c>
      <c r="CQ189" s="14" t="n">
        <v>1.387</v>
      </c>
      <c r="CR189" s="14" t="n">
        <v>1</v>
      </c>
      <c r="CS189" s="14" t="n">
        <v>5.529</v>
      </c>
      <c r="CT189" s="14" t="n">
        <v>4.251</v>
      </c>
      <c r="CU189" s="14" t="n">
        <v>10.168</v>
      </c>
    </row>
    <row r="190">
      <c r="A190" s="14" t="inlineStr">
        <is>
          <t>COG2021</t>
        </is>
      </c>
      <c r="B190" s="14" t="inlineStr">
        <is>
          <t>COG</t>
        </is>
      </c>
      <c r="C190" s="14" t="inlineStr">
        <is>
          <t>COG</t>
        </is>
      </c>
      <c r="D190" s="14" t="inlineStr">
        <is>
          <t>Congo, Republic of</t>
        </is>
      </c>
      <c r="E190" s="14" t="n">
        <v>2021</v>
      </c>
      <c r="F190" s="14" t="n">
        <v>0.18</v>
      </c>
      <c r="G190" s="14" t="n">
        <v>5.897</v>
      </c>
      <c r="H190" s="14" t="n">
        <v>1.143</v>
      </c>
      <c r="I190" s="14" t="n">
        <v>0</v>
      </c>
      <c r="J190" s="14" t="n">
        <v>5.897</v>
      </c>
      <c r="K190" s="14" t="n">
        <v>0</v>
      </c>
      <c r="L190" s="14" t="n">
        <v>1</v>
      </c>
      <c r="M190" s="14" t="n">
        <v>7.964</v>
      </c>
      <c r="N190" s="14" t="n">
        <v>3.43</v>
      </c>
      <c r="O190" s="14" t="n">
        <v>0</v>
      </c>
      <c r="P190" s="14" t="n">
        <v>7.964</v>
      </c>
      <c r="Q190" s="14" t="n">
        <v>0</v>
      </c>
      <c r="R190" s="14" t="n">
        <v>1</v>
      </c>
      <c r="S190" s="14" t="n">
        <v>11.613</v>
      </c>
      <c r="T190" s="14" t="n">
        <v>6.86</v>
      </c>
      <c r="U190" s="14" t="n">
        <v>0</v>
      </c>
      <c r="V190" s="14" t="n">
        <v>13.704</v>
      </c>
      <c r="W190" s="14" t="n">
        <v>0.18</v>
      </c>
      <c r="X190" s="14" t="n">
        <v>1</v>
      </c>
      <c r="Y190" s="14" t="n">
        <v>6.369</v>
      </c>
      <c r="Z190" s="14" t="n">
        <v>0.468</v>
      </c>
      <c r="AA190" s="14" t="n">
        <v>0</v>
      </c>
      <c r="AB190" s="14" t="n">
        <v>6.369</v>
      </c>
      <c r="AC190" s="14" t="n">
        <v>0</v>
      </c>
      <c r="AD190" s="14" t="n">
        <v>1</v>
      </c>
      <c r="AE190" s="14" t="n">
        <v>6.941</v>
      </c>
      <c r="AF190" s="14" t="n">
        <v>0.9379999999999999</v>
      </c>
      <c r="AG190" s="14" t="n">
        <v>0</v>
      </c>
      <c r="AH190" s="14" t="n">
        <v>6.941</v>
      </c>
      <c r="AI190" s="14" t="n">
        <v>0</v>
      </c>
      <c r="AJ190" s="14" t="n">
        <v>1</v>
      </c>
      <c r="AK190" s="14" t="n">
        <v>10.371</v>
      </c>
      <c r="AL190" s="14" t="n">
        <v>3.853</v>
      </c>
      <c r="AM190" s="14" t="n">
        <v>0</v>
      </c>
      <c r="AN190" s="14" t="n">
        <v>12.238</v>
      </c>
      <c r="AO190" s="14" t="n">
        <v>0.18</v>
      </c>
      <c r="AP190" s="14" t="n">
        <v>1</v>
      </c>
      <c r="AQ190" s="14" t="n">
        <v>0.619</v>
      </c>
      <c r="AR190" s="14" t="n">
        <v>0.114</v>
      </c>
      <c r="AS190" s="14" t="n">
        <v>0.29</v>
      </c>
      <c r="AT190" s="14" t="n">
        <v>1.073</v>
      </c>
      <c r="AU190" s="14" t="n">
        <v>0.18</v>
      </c>
      <c r="AV190" s="14" t="n">
        <v>1</v>
      </c>
      <c r="AW190" s="14" t="n">
        <v>0.599</v>
      </c>
      <c r="AX190" s="14" t="n">
        <v>0.114</v>
      </c>
      <c r="AY190" s="14" t="n">
        <v>0.127</v>
      </c>
      <c r="AZ190" s="14" t="n">
        <v>0.857</v>
      </c>
      <c r="BA190" s="14" t="n">
        <v>0.18</v>
      </c>
      <c r="BB190" s="14" t="n">
        <v>1</v>
      </c>
      <c r="BC190" s="14" t="n">
        <v>0.439</v>
      </c>
      <c r="BD190" s="14" t="n">
        <v>0.114</v>
      </c>
      <c r="BE190" s="14" t="n">
        <v>-0.324</v>
      </c>
      <c r="BF190" s="14" t="n">
        <v>0.135</v>
      </c>
      <c r="BG190" s="14" t="n">
        <v>0</v>
      </c>
      <c r="BH190" s="14" t="n">
        <v>0</v>
      </c>
      <c r="BI190" s="14" t="n">
        <v>0.505</v>
      </c>
      <c r="BJ190" s="14" t="n">
        <v>0.114</v>
      </c>
      <c r="BK190" s="14" t="n">
        <v>-0.016</v>
      </c>
      <c r="BL190" s="14" t="n">
        <v>0.577</v>
      </c>
      <c r="BM190" s="14" t="n">
        <v>0.18</v>
      </c>
      <c r="BN190" s="14" t="n">
        <v>0</v>
      </c>
      <c r="BO190" s="14" t="n">
        <v>0</v>
      </c>
      <c r="BP190" s="14" t="n">
        <v>0</v>
      </c>
      <c r="BQ190" s="14" t="n">
        <v>0.048</v>
      </c>
      <c r="BR190" s="14" t="n">
        <v>0</v>
      </c>
      <c r="BS190" s="14" t="n">
        <v>1</v>
      </c>
      <c r="BT190" s="14" t="n">
        <v>0</v>
      </c>
      <c r="BU190" s="14" t="n">
        <v>0</v>
      </c>
      <c r="BV190" s="14" t="n">
        <v>0.136</v>
      </c>
      <c r="BW190" s="14" t="n">
        <v>0.18</v>
      </c>
      <c r="BX190" s="14" t="n">
        <v>1</v>
      </c>
      <c r="BY190" s="14" t="n">
        <v>11.787</v>
      </c>
      <c r="BZ190" s="14" t="n">
        <v>0</v>
      </c>
      <c r="CA190" s="14" t="n">
        <v>11.787</v>
      </c>
      <c r="CB190" s="14" t="n">
        <v>0</v>
      </c>
      <c r="CC190" s="14" t="n">
        <v>78.125</v>
      </c>
      <c r="CD190" s="14" t="n">
        <v>7.95</v>
      </c>
      <c r="CE190" s="14" t="n">
        <v>6.922</v>
      </c>
      <c r="CF190" s="14" t="n">
        <v>100.355</v>
      </c>
      <c r="CG190" s="14" t="n">
        <v>0.18</v>
      </c>
      <c r="CH190" s="14" t="n">
        <v>1</v>
      </c>
      <c r="CI190" s="14" t="n">
        <v>0</v>
      </c>
      <c r="CJ190" s="14" t="n">
        <v>0</v>
      </c>
      <c r="CK190" s="14" t="n">
        <v>0</v>
      </c>
      <c r="CL190" s="14" t="n">
        <v>0</v>
      </c>
      <c r="CM190" s="14" t="n">
        <v>0</v>
      </c>
      <c r="CN190" s="14" t="n">
        <v>0</v>
      </c>
      <c r="CO190" s="14" t="n">
        <v>0.047</v>
      </c>
      <c r="CP190" s="14" t="n">
        <v>0</v>
      </c>
      <c r="CQ190" s="14" t="n">
        <v>1.198</v>
      </c>
      <c r="CR190" s="14" t="n">
        <v>1</v>
      </c>
      <c r="CS190" s="14" t="n">
        <v>5.798</v>
      </c>
      <c r="CT190" s="14" t="n">
        <v>4.753</v>
      </c>
      <c r="CU190" s="14" t="n">
        <v>15.162</v>
      </c>
    </row>
    <row r="191">
      <c r="A191" s="14" t="inlineStr">
        <is>
          <t>COG2022</t>
        </is>
      </c>
      <c r="B191" s="14" t="inlineStr">
        <is>
          <t>COG</t>
        </is>
      </c>
      <c r="C191" s="14" t="inlineStr">
        <is>
          <t>COG</t>
        </is>
      </c>
      <c r="D191" s="14" t="inlineStr">
        <is>
          <t>Congo, Republic of</t>
        </is>
      </c>
      <c r="E191" s="14" t="n">
        <v>2022</v>
      </c>
      <c r="F191" s="14" t="n">
        <v>0.18</v>
      </c>
      <c r="G191" s="14" t="n">
        <v>11.72</v>
      </c>
      <c r="H191" s="14" t="n">
        <v>1.235</v>
      </c>
      <c r="I191" s="14" t="n">
        <v>0</v>
      </c>
      <c r="J191" s="14" t="n">
        <v>11.72</v>
      </c>
      <c r="K191" s="14" t="n">
        <v>0</v>
      </c>
      <c r="L191" s="14" t="n">
        <v>1</v>
      </c>
      <c r="M191" s="14" t="n">
        <v>9.782999999999999</v>
      </c>
      <c r="N191" s="14" t="n">
        <v>3.704</v>
      </c>
      <c r="O191" s="14" t="n">
        <v>0</v>
      </c>
      <c r="P191" s="14" t="n">
        <v>9.782999999999999</v>
      </c>
      <c r="Q191" s="14" t="n">
        <v>0</v>
      </c>
      <c r="R191" s="14" t="n">
        <v>1</v>
      </c>
      <c r="S191" s="14" t="n">
        <v>17.893</v>
      </c>
      <c r="T191" s="14" t="n">
        <v>7.408</v>
      </c>
      <c r="U191" s="14" t="n">
        <v>0.238</v>
      </c>
      <c r="V191" s="14" t="n">
        <v>21.114</v>
      </c>
      <c r="W191" s="14" t="n">
        <v>0.18</v>
      </c>
      <c r="X191" s="14" t="n">
        <v>1</v>
      </c>
      <c r="Y191" s="14" t="n">
        <v>6.878</v>
      </c>
      <c r="Z191" s="14" t="n">
        <v>0.506</v>
      </c>
      <c r="AA191" s="14" t="n">
        <v>0</v>
      </c>
      <c r="AB191" s="14" t="n">
        <v>6.878</v>
      </c>
      <c r="AC191" s="14" t="n">
        <v>0</v>
      </c>
      <c r="AD191" s="14" t="n">
        <v>1</v>
      </c>
      <c r="AE191" s="14" t="n">
        <v>7.496</v>
      </c>
      <c r="AF191" s="14" t="n">
        <v>1.013</v>
      </c>
      <c r="AG191" s="14" t="n">
        <v>0</v>
      </c>
      <c r="AH191" s="14" t="n">
        <v>7.496</v>
      </c>
      <c r="AI191" s="14" t="n">
        <v>0</v>
      </c>
      <c r="AJ191" s="14" t="n">
        <v>1</v>
      </c>
      <c r="AK191" s="14" t="n">
        <v>11.2</v>
      </c>
      <c r="AL191" s="14" t="n">
        <v>4.161</v>
      </c>
      <c r="AM191" s="14" t="n">
        <v>0.149</v>
      </c>
      <c r="AN191" s="14" t="n">
        <v>13.216</v>
      </c>
      <c r="AO191" s="14" t="n">
        <v>0.18</v>
      </c>
      <c r="AP191" s="14" t="n">
        <v>1</v>
      </c>
      <c r="AQ191" s="14" t="n">
        <v>0.861</v>
      </c>
      <c r="AR191" s="14" t="n">
        <v>0.123</v>
      </c>
      <c r="AS191" s="14" t="n">
        <v>-0.053</v>
      </c>
      <c r="AT191" s="14" t="n">
        <v>0.954</v>
      </c>
      <c r="AU191" s="14" t="n">
        <v>0.18</v>
      </c>
      <c r="AV191" s="14" t="n">
        <v>1</v>
      </c>
      <c r="AW191" s="14" t="n">
        <v>0.986</v>
      </c>
      <c r="AX191" s="14" t="n">
        <v>0.123</v>
      </c>
      <c r="AY191" s="14" t="n">
        <v>-0.341</v>
      </c>
      <c r="AZ191" s="14" t="n">
        <v>0.762</v>
      </c>
      <c r="BA191" s="14" t="n">
        <v>0.18</v>
      </c>
      <c r="BB191" s="14" t="n">
        <v>1</v>
      </c>
      <c r="BC191" s="14" t="n">
        <v>0.598</v>
      </c>
      <c r="BD191" s="14" t="n">
        <v>0.123</v>
      </c>
      <c r="BE191" s="14" t="n">
        <v>-0.484</v>
      </c>
      <c r="BF191" s="14" t="n">
        <v>0.134</v>
      </c>
      <c r="BG191" s="14" t="n">
        <v>0</v>
      </c>
      <c r="BH191" s="14" t="n">
        <v>0</v>
      </c>
      <c r="BI191" s="14" t="n">
        <v>0.612</v>
      </c>
      <c r="BJ191" s="14" t="n">
        <v>0.123</v>
      </c>
      <c r="BK191" s="14" t="n">
        <v>-0.178</v>
      </c>
      <c r="BL191" s="14" t="n">
        <v>0.513</v>
      </c>
      <c r="BM191" s="14" t="n">
        <v>0.18</v>
      </c>
      <c r="BN191" s="14" t="n">
        <v>0</v>
      </c>
      <c r="BO191" s="14" t="n">
        <v>0</v>
      </c>
      <c r="BP191" s="14" t="n">
        <v>0</v>
      </c>
      <c r="BQ191" s="14" t="n">
        <v>0.042</v>
      </c>
      <c r="BR191" s="14" t="n">
        <v>0</v>
      </c>
      <c r="BS191" s="14" t="n">
        <v>1</v>
      </c>
      <c r="BT191" s="14" t="n">
        <v>0</v>
      </c>
      <c r="BU191" s="14" t="n">
        <v>0</v>
      </c>
      <c r="BV191" s="14" t="n">
        <v>0.121</v>
      </c>
      <c r="BW191" s="14" t="n">
        <v>0.18</v>
      </c>
      <c r="BX191" s="14" t="n">
        <v>1</v>
      </c>
      <c r="BY191" s="14" t="n">
        <v>12.729</v>
      </c>
      <c r="BZ191" s="14" t="n">
        <v>0</v>
      </c>
      <c r="CA191" s="14" t="n">
        <v>12.729</v>
      </c>
      <c r="CB191" s="14" t="n">
        <v>0</v>
      </c>
      <c r="CC191" s="14" t="n">
        <v>97.90000000000001</v>
      </c>
      <c r="CD191" s="14" t="n">
        <v>7.95</v>
      </c>
      <c r="CE191" s="14" t="n">
        <v>-22.292</v>
      </c>
      <c r="CF191" s="14" t="n">
        <v>89.217</v>
      </c>
      <c r="CG191" s="14" t="n">
        <v>0.18</v>
      </c>
      <c r="CH191" s="14" t="n">
        <v>1</v>
      </c>
      <c r="CI191" s="14" t="n">
        <v>0</v>
      </c>
      <c r="CJ191" s="14" t="n">
        <v>0</v>
      </c>
      <c r="CK191" s="14" t="n">
        <v>0</v>
      </c>
      <c r="CL191" s="14" t="n">
        <v>0</v>
      </c>
      <c r="CM191" s="14" t="n">
        <v>0</v>
      </c>
      <c r="CN191" s="14" t="n">
        <v>0</v>
      </c>
      <c r="CO191" s="14" t="n">
        <v>0.021</v>
      </c>
      <c r="CP191" s="14" t="n">
        <v>0</v>
      </c>
      <c r="CQ191" s="14" t="n">
        <v>1.294</v>
      </c>
      <c r="CR191" s="14" t="n">
        <v>1</v>
      </c>
      <c r="CS191" s="14" t="n">
        <v>6.261</v>
      </c>
      <c r="CT191" s="14" t="n">
        <v>10.485</v>
      </c>
      <c r="CU191" s="14" t="n">
        <v>31.326</v>
      </c>
    </row>
    <row r="192">
      <c r="A192" s="14" t="inlineStr">
        <is>
          <t>COG2023</t>
        </is>
      </c>
      <c r="B192" s="14" t="inlineStr">
        <is>
          <t>COG</t>
        </is>
      </c>
      <c r="C192" s="14" t="inlineStr">
        <is>
          <t>COG</t>
        </is>
      </c>
      <c r="D192" s="14" t="inlineStr">
        <is>
          <t>Congo, Republic of</t>
        </is>
      </c>
      <c r="E192" s="14" t="n">
        <v>2023</v>
      </c>
      <c r="F192" s="14" t="n">
        <v>0.18</v>
      </c>
      <c r="G192" s="14" t="n">
        <v>6.147</v>
      </c>
      <c r="H192" s="14" t="n">
        <v>1.286</v>
      </c>
      <c r="I192" s="14" t="n">
        <v>0</v>
      </c>
      <c r="J192" s="14" t="n">
        <v>6.147</v>
      </c>
      <c r="K192" s="14" t="n">
        <v>0</v>
      </c>
      <c r="L192" s="14" t="n">
        <v>1</v>
      </c>
      <c r="M192" s="14" t="n">
        <v>7.886</v>
      </c>
      <c r="N192" s="14" t="n">
        <v>3.857</v>
      </c>
      <c r="O192" s="14" t="n">
        <v>0</v>
      </c>
      <c r="P192" s="14" t="n">
        <v>7.886</v>
      </c>
      <c r="Q192" s="14" t="n">
        <v>0</v>
      </c>
      <c r="R192" s="14" t="n">
        <v>1</v>
      </c>
      <c r="S192" s="14" t="n">
        <v>12.575</v>
      </c>
      <c r="T192" s="14" t="n">
        <v>7.714</v>
      </c>
      <c r="U192" s="14" t="n">
        <v>0.251</v>
      </c>
      <c r="V192" s="14" t="n">
        <v>14.839</v>
      </c>
      <c r="W192" s="14" t="n">
        <v>0.18</v>
      </c>
      <c r="X192" s="14" t="n">
        <v>1</v>
      </c>
      <c r="Y192" s="14" t="n">
        <v>7.162</v>
      </c>
      <c r="Z192" s="14" t="n">
        <v>0.527</v>
      </c>
      <c r="AA192" s="14" t="n">
        <v>0</v>
      </c>
      <c r="AB192" s="14" t="n">
        <v>7.162</v>
      </c>
      <c r="AC192" s="14" t="n">
        <v>0</v>
      </c>
      <c r="AD192" s="14" t="n">
        <v>1</v>
      </c>
      <c r="AE192" s="14" t="n">
        <v>7.805</v>
      </c>
      <c r="AF192" s="14" t="n">
        <v>1.055</v>
      </c>
      <c r="AG192" s="14" t="n">
        <v>0</v>
      </c>
      <c r="AH192" s="14" t="n">
        <v>7.805</v>
      </c>
      <c r="AI192" s="14" t="n">
        <v>0</v>
      </c>
      <c r="AJ192" s="14" t="n">
        <v>1</v>
      </c>
      <c r="AK192" s="14" t="n">
        <v>11.662</v>
      </c>
      <c r="AL192" s="14" t="n">
        <v>4.332</v>
      </c>
      <c r="AM192" s="14" t="n">
        <v>0.232</v>
      </c>
      <c r="AN192" s="14" t="n">
        <v>13.761</v>
      </c>
      <c r="AO192" s="14" t="n">
        <v>0.18</v>
      </c>
      <c r="AP192" s="14" t="n">
        <v>1</v>
      </c>
      <c r="AQ192" s="14" t="n">
        <v>0.76</v>
      </c>
      <c r="AR192" s="14" t="n">
        <v>0.129</v>
      </c>
      <c r="AS192" s="14" t="n">
        <v>0.218</v>
      </c>
      <c r="AT192" s="14" t="n">
        <v>1.154</v>
      </c>
      <c r="AU192" s="14" t="n">
        <v>0.18</v>
      </c>
      <c r="AV192" s="14" t="n">
        <v>1</v>
      </c>
      <c r="AW192" s="14" t="n">
        <v>0.8110000000000001</v>
      </c>
      <c r="AX192" s="14" t="n">
        <v>0.129</v>
      </c>
      <c r="AY192" s="14" t="n">
        <v>-0.08400000000000001</v>
      </c>
      <c r="AZ192" s="14" t="n">
        <v>0.859</v>
      </c>
      <c r="BA192" s="14" t="n">
        <v>0.18</v>
      </c>
      <c r="BB192" s="14" t="n">
        <v>1</v>
      </c>
      <c r="BC192" s="14" t="n">
        <v>0.535</v>
      </c>
      <c r="BD192" s="14" t="n">
        <v>0.129</v>
      </c>
      <c r="BE192" s="14" t="n">
        <v>-0.395</v>
      </c>
      <c r="BF192" s="14" t="n">
        <v>0.14</v>
      </c>
      <c r="BG192" s="14" t="n">
        <v>0</v>
      </c>
      <c r="BH192" s="14" t="n">
        <v>0</v>
      </c>
      <c r="BI192" s="14" t="n">
        <v>0.579</v>
      </c>
      <c r="BJ192" s="14" t="n">
        <v>0.129</v>
      </c>
      <c r="BK192" s="14" t="n">
        <v>-0.132</v>
      </c>
      <c r="BL192" s="14" t="n">
        <v>0.528</v>
      </c>
      <c r="BM192" s="14" t="n">
        <v>0.18</v>
      </c>
      <c r="BN192" s="14" t="n">
        <v>0</v>
      </c>
      <c r="BO192" s="14" t="n">
        <v>0</v>
      </c>
      <c r="BP192" s="14" t="n">
        <v>0</v>
      </c>
      <c r="BQ192" s="14" t="n">
        <v>0.044</v>
      </c>
      <c r="BR192" s="14" t="n">
        <v>0</v>
      </c>
      <c r="BS192" s="14" t="n">
        <v>1</v>
      </c>
      <c r="BT192" s="14" t="n">
        <v>0</v>
      </c>
      <c r="BU192" s="14" t="n">
        <v>0</v>
      </c>
      <c r="BV192" s="14" t="n">
        <v>0.124</v>
      </c>
      <c r="BW192" s="14" t="n">
        <v>0.18</v>
      </c>
      <c r="BX192" s="14" t="n">
        <v>1</v>
      </c>
      <c r="BY192" s="14" t="n">
        <v>13.254</v>
      </c>
      <c r="BZ192" s="14" t="n">
        <v>0</v>
      </c>
      <c r="CA192" s="14" t="n">
        <v>13.254</v>
      </c>
      <c r="CB192" s="14" t="n">
        <v>0</v>
      </c>
      <c r="CC192" s="14" t="n">
        <v>83.248</v>
      </c>
      <c r="CD192" s="14" t="n">
        <v>7.95</v>
      </c>
      <c r="CE192" s="14" t="n">
        <v>-5.498</v>
      </c>
      <c r="CF192" s="14" t="n">
        <v>91.745</v>
      </c>
      <c r="CG192" s="14" t="n">
        <v>0.18</v>
      </c>
      <c r="CH192" s="14" t="n">
        <v>1</v>
      </c>
      <c r="CI192" s="14" t="n">
        <v>0</v>
      </c>
      <c r="CJ192" s="14" t="n">
        <v>0</v>
      </c>
      <c r="CK192" s="14" t="n">
        <v>0</v>
      </c>
      <c r="CL192" s="14" t="n">
        <v>0</v>
      </c>
      <c r="CM192" s="14" t="n">
        <v>0</v>
      </c>
      <c r="CN192" s="14" t="n">
        <v>0</v>
      </c>
      <c r="CO192" s="14" t="n">
        <v>0.054</v>
      </c>
      <c r="CP192" s="14" t="n">
        <v>0</v>
      </c>
      <c r="CQ192" s="14" t="n">
        <v>1.348</v>
      </c>
      <c r="CR192" s="14" t="n">
        <v>1</v>
      </c>
      <c r="CS192" s="14" t="n">
        <v>6.519</v>
      </c>
      <c r="CT192" s="14" t="n">
        <v>4.861</v>
      </c>
      <c r="CU192" s="14" t="n">
        <v>11.622</v>
      </c>
    </row>
    <row r="193">
      <c r="A193" s="14" t="inlineStr">
        <is>
          <t>COG2024</t>
        </is>
      </c>
      <c r="B193" s="14" t="inlineStr">
        <is>
          <t>COG</t>
        </is>
      </c>
      <c r="C193" s="14" t="inlineStr">
        <is>
          <t>COG</t>
        </is>
      </c>
      <c r="D193" s="14" t="inlineStr">
        <is>
          <t>Congo, Republic of</t>
        </is>
      </c>
      <c r="E193" s="14" t="n">
        <v>2024</v>
      </c>
      <c r="F193" s="14" t="n">
        <v>0.18</v>
      </c>
      <c r="G193" s="14" t="n">
        <v>5.575</v>
      </c>
      <c r="H193" s="14" t="n">
        <v>1.324</v>
      </c>
      <c r="I193" s="14" t="n">
        <v>0</v>
      </c>
      <c r="J193" s="14" t="n">
        <v>5.575</v>
      </c>
      <c r="K193" s="14" t="n">
        <v>0</v>
      </c>
      <c r="L193" s="14" t="n">
        <v>1</v>
      </c>
      <c r="M193" s="14" t="n">
        <v>7.124</v>
      </c>
      <c r="N193" s="14" t="n">
        <v>3.971</v>
      </c>
      <c r="O193" s="14" t="n">
        <v>0</v>
      </c>
      <c r="P193" s="14" t="n">
        <v>7.124</v>
      </c>
      <c r="Q193" s="14" t="n">
        <v>0</v>
      </c>
      <c r="R193" s="14" t="n">
        <v>1</v>
      </c>
      <c r="S193" s="14" t="n">
        <v>12.193</v>
      </c>
      <c r="T193" s="14" t="n">
        <v>7.942</v>
      </c>
      <c r="U193" s="14" t="n">
        <v>0.299</v>
      </c>
      <c r="V193" s="14" t="n">
        <v>14.388</v>
      </c>
      <c r="W193" s="14" t="n">
        <v>0.18</v>
      </c>
      <c r="X193" s="14" t="n">
        <v>1</v>
      </c>
      <c r="Y193" s="14" t="n">
        <v>7.374</v>
      </c>
      <c r="Z193" s="14" t="n">
        <v>0.542</v>
      </c>
      <c r="AA193" s="14" t="n">
        <v>0</v>
      </c>
      <c r="AB193" s="14" t="n">
        <v>7.374</v>
      </c>
      <c r="AC193" s="14" t="n">
        <v>0</v>
      </c>
      <c r="AD193" s="14" t="n">
        <v>1</v>
      </c>
      <c r="AE193" s="14" t="n">
        <v>8.036</v>
      </c>
      <c r="AF193" s="14" t="n">
        <v>1.086</v>
      </c>
      <c r="AG193" s="14" t="n">
        <v>0</v>
      </c>
      <c r="AH193" s="14" t="n">
        <v>8.036</v>
      </c>
      <c r="AI193" s="14" t="n">
        <v>0</v>
      </c>
      <c r="AJ193" s="14" t="n">
        <v>1</v>
      </c>
      <c r="AK193" s="14" t="n">
        <v>12.006</v>
      </c>
      <c r="AL193" s="14" t="n">
        <v>4.46</v>
      </c>
      <c r="AM193" s="14" t="n">
        <v>0.294</v>
      </c>
      <c r="AN193" s="14" t="n">
        <v>14.167</v>
      </c>
      <c r="AO193" s="14" t="n">
        <v>0.18</v>
      </c>
      <c r="AP193" s="14" t="n">
        <v>1</v>
      </c>
      <c r="AQ193" s="14" t="n">
        <v>0.724</v>
      </c>
      <c r="AR193" s="14" t="n">
        <v>0.132</v>
      </c>
      <c r="AS193" s="14" t="n">
        <v>0.359</v>
      </c>
      <c r="AT193" s="14" t="n">
        <v>1.278</v>
      </c>
      <c r="AU193" s="14" t="n">
        <v>0.18</v>
      </c>
      <c r="AV193" s="14" t="n">
        <v>1</v>
      </c>
      <c r="AW193" s="14" t="n">
        <v>0.75</v>
      </c>
      <c r="AX193" s="14" t="n">
        <v>0.132</v>
      </c>
      <c r="AY193" s="14" t="n">
        <v>0.123</v>
      </c>
      <c r="AZ193" s="14" t="n">
        <v>1.031</v>
      </c>
      <c r="BA193" s="14" t="n">
        <v>0.18</v>
      </c>
      <c r="BB193" s="14" t="n">
        <v>1</v>
      </c>
      <c r="BC193" s="14" t="n">
        <v>0.513</v>
      </c>
      <c r="BD193" s="14" t="n">
        <v>0.132</v>
      </c>
      <c r="BE193" s="14" t="n">
        <v>-0.369</v>
      </c>
      <c r="BF193" s="14" t="n">
        <v>0.144</v>
      </c>
      <c r="BG193" s="14" t="n">
        <v>0</v>
      </c>
      <c r="BH193" s="14" t="n">
        <v>0</v>
      </c>
      <c r="BI193" s="14" t="n">
        <v>0.591</v>
      </c>
      <c r="BJ193" s="14" t="n">
        <v>0.132</v>
      </c>
      <c r="BK193" s="14" t="n">
        <v>-0.144</v>
      </c>
      <c r="BL193" s="14" t="n">
        <v>0.528</v>
      </c>
      <c r="BM193" s="14" t="n">
        <v>0.18</v>
      </c>
      <c r="BN193" s="14" t="n">
        <v>0</v>
      </c>
      <c r="BO193" s="14" t="n">
        <v>0</v>
      </c>
      <c r="BP193" s="14" t="n">
        <v>0</v>
      </c>
      <c r="BQ193" s="14" t="n">
        <v>0.045</v>
      </c>
      <c r="BR193" s="14" t="n">
        <v>0</v>
      </c>
      <c r="BS193" s="14" t="n">
        <v>1</v>
      </c>
      <c r="BT193" s="14" t="n">
        <v>0</v>
      </c>
      <c r="BU193" s="14" t="n">
        <v>0</v>
      </c>
      <c r="BV193" s="14" t="n">
        <v>0.128</v>
      </c>
      <c r="BW193" s="14" t="n">
        <v>0.18</v>
      </c>
      <c r="BX193" s="14" t="n">
        <v>1</v>
      </c>
      <c r="BY193" s="14" t="n">
        <v>13.646</v>
      </c>
      <c r="BZ193" s="14" t="n">
        <v>0</v>
      </c>
      <c r="CA193" s="14" t="n">
        <v>13.646</v>
      </c>
      <c r="CB193" s="14" t="n">
        <v>0</v>
      </c>
      <c r="CC193" s="14" t="n">
        <v>82.58799999999999</v>
      </c>
      <c r="CD193" s="14" t="n">
        <v>7.95</v>
      </c>
      <c r="CE193" s="14" t="n">
        <v>-4.809</v>
      </c>
      <c r="CF193" s="14" t="n">
        <v>91.779</v>
      </c>
      <c r="CG193" s="14" t="n">
        <v>0.18</v>
      </c>
      <c r="CH193" s="14" t="n">
        <v>1</v>
      </c>
      <c r="CI193" s="14" t="n">
        <v>0</v>
      </c>
      <c r="CJ193" s="14" t="n">
        <v>0</v>
      </c>
      <c r="CK193" s="14" t="n">
        <v>0</v>
      </c>
      <c r="CL193" s="14" t="n">
        <v>0</v>
      </c>
      <c r="CM193" s="14" t="n">
        <v>0</v>
      </c>
      <c r="CN193" s="14" t="n">
        <v>0</v>
      </c>
      <c r="CO193" s="14" t="n">
        <v>0.051</v>
      </c>
      <c r="CP193" s="14" t="n">
        <v>0</v>
      </c>
      <c r="CQ193" s="14" t="n">
        <v>1.387</v>
      </c>
      <c r="CR193" s="14" t="n">
        <v>1</v>
      </c>
      <c r="CS193" s="14" t="n">
        <v>6.712</v>
      </c>
      <c r="CT193" s="14" t="n">
        <v>4.251</v>
      </c>
      <c r="CU193" s="14" t="n">
        <v>10.168</v>
      </c>
    </row>
    <row r="194">
      <c r="A194" s="14" t="inlineStr">
        <is>
          <t>CRI2021</t>
        </is>
      </c>
      <c r="B194" s="14" t="inlineStr">
        <is>
          <t>CRI</t>
        </is>
      </c>
      <c r="C194" s="14" t="inlineStr">
        <is>
          <t>CRI</t>
        </is>
      </c>
      <c r="D194" s="14" t="inlineStr">
        <is>
          <t>Costa Rica</t>
        </is>
      </c>
      <c r="E194" s="14" t="n">
        <v>2021</v>
      </c>
      <c r="F194" s="14" t="n">
        <v>0.13</v>
      </c>
      <c r="G194" s="14" t="n">
        <v>5.897</v>
      </c>
      <c r="H194" s="14" t="n">
        <v>1.143</v>
      </c>
      <c r="I194" s="14" t="n">
        <v>0</v>
      </c>
      <c r="J194" s="14" t="n">
        <v>5.897</v>
      </c>
      <c r="K194" s="14" t="n">
        <v>0</v>
      </c>
      <c r="L194" s="14" t="n">
        <v>1</v>
      </c>
      <c r="M194" s="14" t="n">
        <v>7.964</v>
      </c>
      <c r="N194" s="14" t="n">
        <v>3.43</v>
      </c>
      <c r="O194" s="14" t="n">
        <v>0</v>
      </c>
      <c r="P194" s="14" t="n">
        <v>7.964</v>
      </c>
      <c r="Q194" s="14" t="n">
        <v>0</v>
      </c>
      <c r="R194" s="14" t="n">
        <v>1</v>
      </c>
      <c r="S194" s="14" t="n">
        <v>11.613</v>
      </c>
      <c r="T194" s="14" t="n">
        <v>6.86</v>
      </c>
      <c r="U194" s="14" t="n">
        <v>0</v>
      </c>
      <c r="V194" s="14" t="n">
        <v>13.123</v>
      </c>
      <c r="W194" s="14" t="n">
        <v>0.13</v>
      </c>
      <c r="X194" s="14" t="n">
        <v>1</v>
      </c>
      <c r="Y194" s="14" t="n">
        <v>3.738</v>
      </c>
      <c r="Z194" s="14" t="n">
        <v>0.503</v>
      </c>
      <c r="AA194" s="14" t="n">
        <v>0</v>
      </c>
      <c r="AB194" s="14" t="n">
        <v>3.738</v>
      </c>
      <c r="AC194" s="14" t="n">
        <v>0</v>
      </c>
      <c r="AD194" s="14" t="n">
        <v>1</v>
      </c>
      <c r="AE194" s="14" t="n">
        <v>4.881</v>
      </c>
      <c r="AF194" s="14" t="n">
        <v>1.143</v>
      </c>
      <c r="AG194" s="14" t="n">
        <v>0</v>
      </c>
      <c r="AH194" s="14" t="n">
        <v>4.881</v>
      </c>
      <c r="AI194" s="14" t="n">
        <v>0</v>
      </c>
      <c r="AJ194" s="14" t="n">
        <v>1</v>
      </c>
      <c r="AK194" s="14" t="n">
        <v>11.741</v>
      </c>
      <c r="AL194" s="14" t="n">
        <v>6.309</v>
      </c>
      <c r="AM194" s="14" t="n">
        <v>0</v>
      </c>
      <c r="AN194" s="14" t="n">
        <v>13.267</v>
      </c>
      <c r="AO194" s="14" t="n">
        <v>0.13</v>
      </c>
      <c r="AP194" s="14" t="n">
        <v>1</v>
      </c>
      <c r="AQ194" s="14" t="n">
        <v>0.649</v>
      </c>
      <c r="AR194" s="14" t="n">
        <v>0.114</v>
      </c>
      <c r="AS194" s="14" t="n">
        <v>0.321</v>
      </c>
      <c r="AT194" s="14" t="n">
        <v>1.096</v>
      </c>
      <c r="AU194" s="14" t="n">
        <v>0.13</v>
      </c>
      <c r="AV194" s="14" t="n">
        <v>1</v>
      </c>
      <c r="AW194" s="14" t="n">
        <v>0.577</v>
      </c>
      <c r="AX194" s="14" t="n">
        <v>0.114</v>
      </c>
      <c r="AY194" s="14" t="n">
        <v>0.236</v>
      </c>
      <c r="AZ194" s="14" t="n">
        <v>0.919</v>
      </c>
      <c r="BA194" s="14" t="n">
        <v>0.13</v>
      </c>
      <c r="BB194" s="14" t="n">
        <v>1</v>
      </c>
      <c r="BC194" s="14" t="n">
        <v>0.458</v>
      </c>
      <c r="BD194" s="14" t="n">
        <v>0.114</v>
      </c>
      <c r="BE194" s="14" t="n">
        <v>-0.199</v>
      </c>
      <c r="BF194" s="14" t="n">
        <v>0.293</v>
      </c>
      <c r="BG194" s="14" t="n">
        <v>0</v>
      </c>
      <c r="BH194" s="14" t="n">
        <v>0</v>
      </c>
      <c r="BI194" s="14" t="n">
        <v>0.491</v>
      </c>
      <c r="BJ194" s="14" t="n">
        <v>0.114</v>
      </c>
      <c r="BK194" s="14" t="n">
        <v>0.127</v>
      </c>
      <c r="BL194" s="14" t="n">
        <v>0.698</v>
      </c>
      <c r="BM194" s="14" t="n">
        <v>0.13</v>
      </c>
      <c r="BN194" s="14" t="n">
        <v>1</v>
      </c>
      <c r="BO194" s="14" t="n">
        <v>0</v>
      </c>
      <c r="BP194" s="14" t="n">
        <v>0.002</v>
      </c>
      <c r="BQ194" s="14" t="n">
        <v>0.171</v>
      </c>
      <c r="BR194" s="14" t="n">
        <v>0</v>
      </c>
      <c r="BS194" s="14" t="n">
        <v>1</v>
      </c>
      <c r="BT194" s="14" t="n">
        <v>0</v>
      </c>
      <c r="BU194" s="14" t="n">
        <v>0.016</v>
      </c>
      <c r="BV194" s="14" t="n">
        <v>0.152</v>
      </c>
      <c r="BW194" s="14" t="n">
        <v>0</v>
      </c>
      <c r="BX194" s="14" t="n">
        <v>0.833</v>
      </c>
      <c r="BY194" s="14" t="n">
        <v>11.787</v>
      </c>
      <c r="BZ194" s="14" t="n">
        <v>0</v>
      </c>
      <c r="CA194" s="14" t="n">
        <v>11.787</v>
      </c>
      <c r="CB194" s="14" t="n">
        <v>0</v>
      </c>
      <c r="CC194" s="14" t="n">
        <v>78.125</v>
      </c>
      <c r="CD194" s="14" t="n">
        <v>7.95</v>
      </c>
      <c r="CE194" s="14" t="n">
        <v>-11.373</v>
      </c>
      <c r="CF194" s="14" t="n">
        <v>75.43000000000001</v>
      </c>
      <c r="CG194" s="14" t="n">
        <v>0.13</v>
      </c>
      <c r="CH194" s="14" t="n">
        <v>1</v>
      </c>
      <c r="CI194" s="14" t="n">
        <v>0</v>
      </c>
      <c r="CJ194" s="14" t="n">
        <v>0</v>
      </c>
      <c r="CK194" s="14" t="n">
        <v>0</v>
      </c>
      <c r="CL194" s="14" t="n">
        <v>0</v>
      </c>
      <c r="CM194" s="14" t="n">
        <v>0</v>
      </c>
      <c r="CN194" s="14" t="n">
        <v>0</v>
      </c>
      <c r="CO194" s="14" t="n">
        <v>0.053</v>
      </c>
      <c r="CP194" s="14" t="n">
        <v>0</v>
      </c>
      <c r="CQ194" s="14" t="n">
        <v>1.198</v>
      </c>
      <c r="CR194" s="14" t="n">
        <v>0</v>
      </c>
      <c r="CS194" s="14" t="n">
        <v>4.776</v>
      </c>
      <c r="CT194" s="14" t="n">
        <v>4.753</v>
      </c>
      <c r="CU194" s="14" t="n">
        <v>15.983</v>
      </c>
    </row>
    <row r="195">
      <c r="A195" s="14" t="inlineStr">
        <is>
          <t>CRI2022</t>
        </is>
      </c>
      <c r="B195" s="14" t="inlineStr">
        <is>
          <t>CRI</t>
        </is>
      </c>
      <c r="C195" s="14" t="inlineStr">
        <is>
          <t>CRI</t>
        </is>
      </c>
      <c r="D195" s="14" t="inlineStr">
        <is>
          <t>Costa Rica</t>
        </is>
      </c>
      <c r="E195" s="14" t="n">
        <v>2022</v>
      </c>
      <c r="F195" s="14" t="n">
        <v>0.13</v>
      </c>
      <c r="G195" s="14" t="n">
        <v>11.72</v>
      </c>
      <c r="H195" s="14" t="n">
        <v>1.235</v>
      </c>
      <c r="I195" s="14" t="n">
        <v>0</v>
      </c>
      <c r="J195" s="14" t="n">
        <v>11.72</v>
      </c>
      <c r="K195" s="14" t="n">
        <v>0</v>
      </c>
      <c r="L195" s="14" t="n">
        <v>1</v>
      </c>
      <c r="M195" s="14" t="n">
        <v>9.782999999999999</v>
      </c>
      <c r="N195" s="14" t="n">
        <v>3.704</v>
      </c>
      <c r="O195" s="14" t="n">
        <v>0</v>
      </c>
      <c r="P195" s="14" t="n">
        <v>9.782999999999999</v>
      </c>
      <c r="Q195" s="14" t="n">
        <v>0</v>
      </c>
      <c r="R195" s="14" t="n">
        <v>1</v>
      </c>
      <c r="S195" s="14" t="n">
        <v>17.893</v>
      </c>
      <c r="T195" s="14" t="n">
        <v>7.408</v>
      </c>
      <c r="U195" s="14" t="n">
        <v>0.172</v>
      </c>
      <c r="V195" s="14" t="n">
        <v>20.219</v>
      </c>
      <c r="W195" s="14" t="n">
        <v>0.13</v>
      </c>
      <c r="X195" s="14" t="n">
        <v>1</v>
      </c>
      <c r="Y195" s="14" t="n">
        <v>4.036</v>
      </c>
      <c r="Z195" s="14" t="n">
        <v>0.543</v>
      </c>
      <c r="AA195" s="14" t="n">
        <v>0</v>
      </c>
      <c r="AB195" s="14" t="n">
        <v>4.036</v>
      </c>
      <c r="AC195" s="14" t="n">
        <v>0</v>
      </c>
      <c r="AD195" s="14" t="n">
        <v>1</v>
      </c>
      <c r="AE195" s="14" t="n">
        <v>5.271</v>
      </c>
      <c r="AF195" s="14" t="n">
        <v>1.234</v>
      </c>
      <c r="AG195" s="14" t="n">
        <v>0</v>
      </c>
      <c r="AH195" s="14" t="n">
        <v>5.271</v>
      </c>
      <c r="AI195" s="14" t="n">
        <v>0</v>
      </c>
      <c r="AJ195" s="14" t="n">
        <v>1</v>
      </c>
      <c r="AK195" s="14" t="n">
        <v>12.679</v>
      </c>
      <c r="AL195" s="14" t="n">
        <v>6.813</v>
      </c>
      <c r="AM195" s="14" t="n">
        <v>0.122</v>
      </c>
      <c r="AN195" s="14" t="n">
        <v>14.327</v>
      </c>
      <c r="AO195" s="14" t="n">
        <v>0.13</v>
      </c>
      <c r="AP195" s="14" t="n">
        <v>1</v>
      </c>
      <c r="AQ195" s="14" t="n">
        <v>0.896</v>
      </c>
      <c r="AR195" s="14" t="n">
        <v>0.123</v>
      </c>
      <c r="AS195" s="14" t="n">
        <v>0.294</v>
      </c>
      <c r="AT195" s="14" t="n">
        <v>1.345</v>
      </c>
      <c r="AU195" s="14" t="n">
        <v>0.13</v>
      </c>
      <c r="AV195" s="14" t="n">
        <v>1</v>
      </c>
      <c r="AW195" s="14" t="n">
        <v>0.89</v>
      </c>
      <c r="AX195" s="14" t="n">
        <v>0.123</v>
      </c>
      <c r="AY195" s="14" t="n">
        <v>0.244</v>
      </c>
      <c r="AZ195" s="14" t="n">
        <v>1.281</v>
      </c>
      <c r="BA195" s="14" t="n">
        <v>0.13</v>
      </c>
      <c r="BB195" s="14" t="n">
        <v>1</v>
      </c>
      <c r="BC195" s="14" t="n">
        <v>0.62</v>
      </c>
      <c r="BD195" s="14" t="n">
        <v>0.123</v>
      </c>
      <c r="BE195" s="14" t="n">
        <v>-0.256</v>
      </c>
      <c r="BF195" s="14" t="n">
        <v>0.412</v>
      </c>
      <c r="BG195" s="14" t="n">
        <v>0</v>
      </c>
      <c r="BH195" s="14" t="n">
        <v>0</v>
      </c>
      <c r="BI195" s="14" t="n">
        <v>0.608</v>
      </c>
      <c r="BJ195" s="14" t="n">
        <v>0.123</v>
      </c>
      <c r="BK195" s="14" t="n">
        <v>0.382</v>
      </c>
      <c r="BL195" s="14" t="n">
        <v>1.119</v>
      </c>
      <c r="BM195" s="14" t="n">
        <v>0.13</v>
      </c>
      <c r="BN195" s="14" t="n">
        <v>1</v>
      </c>
      <c r="BO195" s="14" t="n">
        <v>0</v>
      </c>
      <c r="BP195" s="14" t="n">
        <v>0.005</v>
      </c>
      <c r="BQ195" s="14" t="n">
        <v>0.161</v>
      </c>
      <c r="BR195" s="14" t="n">
        <v>0</v>
      </c>
      <c r="BS195" s="14" t="n">
        <v>1</v>
      </c>
      <c r="BT195" s="14" t="n">
        <v>0</v>
      </c>
      <c r="BU195" s="14" t="n">
        <v>0.016</v>
      </c>
      <c r="BV195" s="14" t="n">
        <v>0.131</v>
      </c>
      <c r="BW195" s="14" t="n">
        <v>0</v>
      </c>
      <c r="BX195" s="14" t="n">
        <v>0.833</v>
      </c>
      <c r="BY195" s="14" t="n">
        <v>12.729</v>
      </c>
      <c r="BZ195" s="14" t="n">
        <v>0</v>
      </c>
      <c r="CA195" s="14" t="n">
        <v>12.729</v>
      </c>
      <c r="CB195" s="14" t="n">
        <v>0</v>
      </c>
      <c r="CC195" s="14" t="n">
        <v>97.90000000000001</v>
      </c>
      <c r="CD195" s="14" t="n">
        <v>7.95</v>
      </c>
      <c r="CE195" s="14" t="n">
        <v>4.575</v>
      </c>
      <c r="CF195" s="14" t="n">
        <v>115.797</v>
      </c>
      <c r="CG195" s="14" t="n">
        <v>0.13</v>
      </c>
      <c r="CH195" s="14" t="n">
        <v>1</v>
      </c>
      <c r="CI195" s="14" t="n">
        <v>0</v>
      </c>
      <c r="CJ195" s="14" t="n">
        <v>0</v>
      </c>
      <c r="CK195" s="14" t="n">
        <v>0</v>
      </c>
      <c r="CL195" s="14" t="n">
        <v>0</v>
      </c>
      <c r="CM195" s="14" t="n">
        <v>0</v>
      </c>
      <c r="CN195" s="14" t="n">
        <v>0</v>
      </c>
      <c r="CO195" s="14" t="n">
        <v>0.058</v>
      </c>
      <c r="CP195" s="14" t="n">
        <v>0</v>
      </c>
      <c r="CQ195" s="14" t="n">
        <v>1.294</v>
      </c>
      <c r="CR195" s="14" t="n">
        <v>0</v>
      </c>
      <c r="CS195" s="14" t="n">
        <v>5.158</v>
      </c>
      <c r="CT195" s="14" t="n">
        <v>10.485</v>
      </c>
      <c r="CU195" s="14" t="n">
        <v>29.494</v>
      </c>
    </row>
    <row r="196">
      <c r="A196" s="14" t="inlineStr">
        <is>
          <t>CRI2023</t>
        </is>
      </c>
      <c r="B196" s="14" t="inlineStr">
        <is>
          <t>CRI</t>
        </is>
      </c>
      <c r="C196" s="14" t="inlineStr">
        <is>
          <t>CRI</t>
        </is>
      </c>
      <c r="D196" s="14" t="inlineStr">
        <is>
          <t>Costa Rica</t>
        </is>
      </c>
      <c r="E196" s="14" t="n">
        <v>2023</v>
      </c>
      <c r="F196" s="14" t="n">
        <v>0.13</v>
      </c>
      <c r="G196" s="14" t="n">
        <v>6.147</v>
      </c>
      <c r="H196" s="14" t="n">
        <v>1.286</v>
      </c>
      <c r="I196" s="14" t="n">
        <v>0</v>
      </c>
      <c r="J196" s="14" t="n">
        <v>6.147</v>
      </c>
      <c r="K196" s="14" t="n">
        <v>0</v>
      </c>
      <c r="L196" s="14" t="n">
        <v>1</v>
      </c>
      <c r="M196" s="14" t="n">
        <v>7.886</v>
      </c>
      <c r="N196" s="14" t="n">
        <v>3.857</v>
      </c>
      <c r="O196" s="14" t="n">
        <v>0</v>
      </c>
      <c r="P196" s="14" t="n">
        <v>7.886</v>
      </c>
      <c r="Q196" s="14" t="n">
        <v>0</v>
      </c>
      <c r="R196" s="14" t="n">
        <v>1</v>
      </c>
      <c r="S196" s="14" t="n">
        <v>12.575</v>
      </c>
      <c r="T196" s="14" t="n">
        <v>7.714</v>
      </c>
      <c r="U196" s="14" t="n">
        <v>0.181</v>
      </c>
      <c r="V196" s="14" t="n">
        <v>14.21</v>
      </c>
      <c r="W196" s="14" t="n">
        <v>0.13</v>
      </c>
      <c r="X196" s="14" t="n">
        <v>1</v>
      </c>
      <c r="Y196" s="14" t="n">
        <v>3.731</v>
      </c>
      <c r="Z196" s="14" t="n">
        <v>0.502</v>
      </c>
      <c r="AA196" s="14" t="n">
        <v>0</v>
      </c>
      <c r="AB196" s="14" t="n">
        <v>3.731</v>
      </c>
      <c r="AC196" s="14" t="n">
        <v>0</v>
      </c>
      <c r="AD196" s="14" t="n">
        <v>1</v>
      </c>
      <c r="AE196" s="14" t="n">
        <v>5.016</v>
      </c>
      <c r="AF196" s="14" t="n">
        <v>1.175</v>
      </c>
      <c r="AG196" s="14" t="n">
        <v>0</v>
      </c>
      <c r="AH196" s="14" t="n">
        <v>5.016</v>
      </c>
      <c r="AI196" s="14" t="n">
        <v>0</v>
      </c>
      <c r="AJ196" s="14" t="n">
        <v>1</v>
      </c>
      <c r="AK196" s="14" t="n">
        <v>12.73</v>
      </c>
      <c r="AL196" s="14" t="n">
        <v>6.84</v>
      </c>
      <c r="AM196" s="14" t="n">
        <v>0.183</v>
      </c>
      <c r="AN196" s="14" t="n">
        <v>14.385</v>
      </c>
      <c r="AO196" s="14" t="n">
        <v>0.13</v>
      </c>
      <c r="AP196" s="14" t="n">
        <v>1</v>
      </c>
      <c r="AQ196" s="14" t="n">
        <v>0.791</v>
      </c>
      <c r="AR196" s="14" t="n">
        <v>0.129</v>
      </c>
      <c r="AS196" s="14" t="n">
        <v>0.391</v>
      </c>
      <c r="AT196" s="14" t="n">
        <v>1.336</v>
      </c>
      <c r="AU196" s="14" t="n">
        <v>0.13</v>
      </c>
      <c r="AV196" s="14" t="n">
        <v>1</v>
      </c>
      <c r="AW196" s="14" t="n">
        <v>0.618</v>
      </c>
      <c r="AX196" s="14" t="n">
        <v>0.129</v>
      </c>
      <c r="AY196" s="14" t="n">
        <v>0.457</v>
      </c>
      <c r="AZ196" s="14" t="n">
        <v>1.214</v>
      </c>
      <c r="BA196" s="14" t="n">
        <v>0.13</v>
      </c>
      <c r="BB196" s="14" t="n">
        <v>1</v>
      </c>
      <c r="BC196" s="14" t="n">
        <v>0.554</v>
      </c>
      <c r="BD196" s="14" t="n">
        <v>0.129</v>
      </c>
      <c r="BE196" s="14" t="n">
        <v>-0.195</v>
      </c>
      <c r="BF196" s="14" t="n">
        <v>0.406</v>
      </c>
      <c r="BG196" s="14" t="n">
        <v>0</v>
      </c>
      <c r="BH196" s="14" t="n">
        <v>0</v>
      </c>
      <c r="BI196" s="14" t="n">
        <v>0.5570000000000001</v>
      </c>
      <c r="BJ196" s="14" t="n">
        <v>0.129</v>
      </c>
      <c r="BK196" s="14" t="n">
        <v>0.392</v>
      </c>
      <c r="BL196" s="14" t="n">
        <v>1.073</v>
      </c>
      <c r="BM196" s="14" t="n">
        <v>0.13</v>
      </c>
      <c r="BN196" s="14" t="n">
        <v>1</v>
      </c>
      <c r="BO196" s="14" t="n">
        <v>0</v>
      </c>
      <c r="BP196" s="14" t="n">
        <v>0.01</v>
      </c>
      <c r="BQ196" s="14" t="n">
        <v>0.201</v>
      </c>
      <c r="BR196" s="14" t="n">
        <v>0</v>
      </c>
      <c r="BS196" s="14" t="n">
        <v>1</v>
      </c>
      <c r="BT196" s="14" t="n">
        <v>0</v>
      </c>
      <c r="BU196" s="14" t="n">
        <v>0.016</v>
      </c>
      <c r="BV196" s="14" t="n">
        <v>0.167</v>
      </c>
      <c r="BW196" s="14" t="n">
        <v>0</v>
      </c>
      <c r="BX196" s="14" t="n">
        <v>0.833</v>
      </c>
      <c r="BY196" s="14" t="n">
        <v>13.254</v>
      </c>
      <c r="BZ196" s="14" t="n">
        <v>0</v>
      </c>
      <c r="CA196" s="14" t="n">
        <v>13.254</v>
      </c>
      <c r="CB196" s="14" t="n">
        <v>0</v>
      </c>
      <c r="CC196" s="14" t="n">
        <v>83.248</v>
      </c>
      <c r="CD196" s="14" t="n">
        <v>7.95</v>
      </c>
      <c r="CE196" s="14" t="n">
        <v>-9.032999999999999</v>
      </c>
      <c r="CF196" s="14" t="n">
        <v>83.863</v>
      </c>
      <c r="CG196" s="14" t="n">
        <v>0.13</v>
      </c>
      <c r="CH196" s="14" t="n">
        <v>1</v>
      </c>
      <c r="CI196" s="14" t="n">
        <v>0</v>
      </c>
      <c r="CJ196" s="14" t="n">
        <v>0</v>
      </c>
      <c r="CK196" s="14" t="n">
        <v>0</v>
      </c>
      <c r="CL196" s="14" t="n">
        <v>0</v>
      </c>
      <c r="CM196" s="14" t="n">
        <v>0</v>
      </c>
      <c r="CN196" s="14" t="n">
        <v>0</v>
      </c>
      <c r="CO196" s="14" t="n">
        <v>0.062</v>
      </c>
      <c r="CP196" s="14" t="n">
        <v>0</v>
      </c>
      <c r="CQ196" s="14" t="n">
        <v>1.348</v>
      </c>
      <c r="CR196" s="14" t="n">
        <v>0</v>
      </c>
      <c r="CS196" s="14" t="n">
        <v>5.37</v>
      </c>
      <c r="CT196" s="14" t="n">
        <v>4.861</v>
      </c>
      <c r="CU196" s="14" t="n">
        <v>11.192</v>
      </c>
    </row>
    <row r="197">
      <c r="A197" s="14" t="inlineStr">
        <is>
          <t>CRI2024</t>
        </is>
      </c>
      <c r="B197" s="14" t="inlineStr">
        <is>
          <t>CRI</t>
        </is>
      </c>
      <c r="C197" s="14" t="inlineStr">
        <is>
          <t>CRI</t>
        </is>
      </c>
      <c r="D197" s="14" t="inlineStr">
        <is>
          <t>Costa Rica</t>
        </is>
      </c>
      <c r="E197" s="14" t="n">
        <v>2024</v>
      </c>
      <c r="F197" s="14" t="n">
        <v>0.13</v>
      </c>
      <c r="G197" s="14" t="n">
        <v>5.575</v>
      </c>
      <c r="H197" s="14" t="n">
        <v>1.324</v>
      </c>
      <c r="I197" s="14" t="n">
        <v>0</v>
      </c>
      <c r="J197" s="14" t="n">
        <v>5.575</v>
      </c>
      <c r="K197" s="14" t="n">
        <v>0</v>
      </c>
      <c r="L197" s="14" t="n">
        <v>1</v>
      </c>
      <c r="M197" s="14" t="n">
        <v>7.124</v>
      </c>
      <c r="N197" s="14" t="n">
        <v>3.971</v>
      </c>
      <c r="O197" s="14" t="n">
        <v>0</v>
      </c>
      <c r="P197" s="14" t="n">
        <v>7.124</v>
      </c>
      <c r="Q197" s="14" t="n">
        <v>0</v>
      </c>
      <c r="R197" s="14" t="n">
        <v>1</v>
      </c>
      <c r="S197" s="14" t="n">
        <v>12.193</v>
      </c>
      <c r="T197" s="14" t="n">
        <v>7.942</v>
      </c>
      <c r="U197" s="14" t="n">
        <v>0.216</v>
      </c>
      <c r="V197" s="14" t="n">
        <v>13.778</v>
      </c>
      <c r="W197" s="14" t="n">
        <v>0.13</v>
      </c>
      <c r="X197" s="14" t="n">
        <v>1</v>
      </c>
      <c r="Y197" s="14" t="n">
        <v>3.841</v>
      </c>
      <c r="Z197" s="14" t="n">
        <v>0.517</v>
      </c>
      <c r="AA197" s="14" t="n">
        <v>0</v>
      </c>
      <c r="AB197" s="14" t="n">
        <v>3.841</v>
      </c>
      <c r="AC197" s="14" t="n">
        <v>0</v>
      </c>
      <c r="AD197" s="14" t="n">
        <v>1</v>
      </c>
      <c r="AE197" s="14" t="n">
        <v>5.164</v>
      </c>
      <c r="AF197" s="14" t="n">
        <v>1.209</v>
      </c>
      <c r="AG197" s="14" t="n">
        <v>0</v>
      </c>
      <c r="AH197" s="14" t="n">
        <v>5.164</v>
      </c>
      <c r="AI197" s="14" t="n">
        <v>0</v>
      </c>
      <c r="AJ197" s="14" t="n">
        <v>1</v>
      </c>
      <c r="AK197" s="14" t="n">
        <v>13.106</v>
      </c>
      <c r="AL197" s="14" t="n">
        <v>7.042</v>
      </c>
      <c r="AM197" s="14" t="n">
        <v>0.232</v>
      </c>
      <c r="AN197" s="14" t="n">
        <v>14.81</v>
      </c>
      <c r="AO197" s="14" t="n">
        <v>0.13</v>
      </c>
      <c r="AP197" s="14" t="n">
        <v>1</v>
      </c>
      <c r="AQ197" s="14" t="n">
        <v>0.756</v>
      </c>
      <c r="AR197" s="14" t="n">
        <v>0.132</v>
      </c>
      <c r="AS197" s="14" t="n">
        <v>0.412</v>
      </c>
      <c r="AT197" s="14" t="n">
        <v>1.32</v>
      </c>
      <c r="AU197" s="14" t="n">
        <v>0.13</v>
      </c>
      <c r="AV197" s="14" t="n">
        <v>1</v>
      </c>
      <c r="AW197" s="14" t="n">
        <v>0.655</v>
      </c>
      <c r="AX197" s="14" t="n">
        <v>0.132</v>
      </c>
      <c r="AY197" s="14" t="n">
        <v>0.518</v>
      </c>
      <c r="AZ197" s="14" t="n">
        <v>1.325</v>
      </c>
      <c r="BA197" s="14" t="n">
        <v>0.13</v>
      </c>
      <c r="BB197" s="14" t="n">
        <v>1</v>
      </c>
      <c r="BC197" s="14" t="n">
        <v>0.534</v>
      </c>
      <c r="BD197" s="14" t="n">
        <v>0.132</v>
      </c>
      <c r="BE197" s="14" t="n">
        <v>-0.233</v>
      </c>
      <c r="BF197" s="14" t="n">
        <v>0.34</v>
      </c>
      <c r="BG197" s="14" t="n">
        <v>0</v>
      </c>
      <c r="BH197" s="14" t="n">
        <v>0</v>
      </c>
      <c r="BI197" s="14" t="n">
        <v>0.5679999999999999</v>
      </c>
      <c r="BJ197" s="14" t="n">
        <v>0.132</v>
      </c>
      <c r="BK197" s="14" t="n">
        <v>0.294</v>
      </c>
      <c r="BL197" s="14" t="n">
        <v>0.974</v>
      </c>
      <c r="BM197" s="14" t="n">
        <v>0.13</v>
      </c>
      <c r="BN197" s="14" t="n">
        <v>1</v>
      </c>
      <c r="BO197" s="14" t="n">
        <v>0</v>
      </c>
      <c r="BP197" s="14" t="n">
        <v>0.014</v>
      </c>
      <c r="BQ197" s="14" t="n">
        <v>0.232</v>
      </c>
      <c r="BR197" s="14" t="n">
        <v>0</v>
      </c>
      <c r="BS197" s="14" t="n">
        <v>1</v>
      </c>
      <c r="BT197" s="14" t="n">
        <v>0</v>
      </c>
      <c r="BU197" s="14" t="n">
        <v>0.016</v>
      </c>
      <c r="BV197" s="14" t="n">
        <v>0.191</v>
      </c>
      <c r="BW197" s="14" t="n">
        <v>0</v>
      </c>
      <c r="BX197" s="14" t="n">
        <v>0.833</v>
      </c>
      <c r="BY197" s="14" t="n">
        <v>13.646</v>
      </c>
      <c r="BZ197" s="14" t="n">
        <v>0</v>
      </c>
      <c r="CA197" s="14" t="n">
        <v>13.646</v>
      </c>
      <c r="CB197" s="14" t="n">
        <v>0</v>
      </c>
      <c r="CC197" s="14" t="n">
        <v>82.58799999999999</v>
      </c>
      <c r="CD197" s="14" t="n">
        <v>7.95</v>
      </c>
      <c r="CE197" s="14" t="n">
        <v>-7.326</v>
      </c>
      <c r="CF197" s="14" t="n">
        <v>85.04600000000001</v>
      </c>
      <c r="CG197" s="14" t="n">
        <v>0.13</v>
      </c>
      <c r="CH197" s="14" t="n">
        <v>1</v>
      </c>
      <c r="CI197" s="14" t="n">
        <v>0</v>
      </c>
      <c r="CJ197" s="14" t="n">
        <v>0</v>
      </c>
      <c r="CK197" s="14" t="n">
        <v>0</v>
      </c>
      <c r="CL197" s="14" t="n">
        <v>0</v>
      </c>
      <c r="CM197" s="14" t="n">
        <v>0</v>
      </c>
      <c r="CN197" s="14" t="n">
        <v>0</v>
      </c>
      <c r="CO197" s="14" t="n">
        <v>0.065</v>
      </c>
      <c r="CP197" s="14" t="n">
        <v>0</v>
      </c>
      <c r="CQ197" s="14" t="n">
        <v>1.387</v>
      </c>
      <c r="CR197" s="14" t="n">
        <v>0</v>
      </c>
      <c r="CS197" s="14" t="n">
        <v>5.529</v>
      </c>
      <c r="CT197" s="14" t="n">
        <v>4.251</v>
      </c>
      <c r="CU197" s="14" t="n">
        <v>10.123</v>
      </c>
    </row>
    <row r="198">
      <c r="A198" s="14" t="inlineStr">
        <is>
          <t>HRV2021</t>
        </is>
      </c>
      <c r="B198" s="14" t="inlineStr">
        <is>
          <t>HRV</t>
        </is>
      </c>
      <c r="C198" s="14" t="inlineStr">
        <is>
          <t>HRV</t>
        </is>
      </c>
      <c r="D198" s="14" t="inlineStr">
        <is>
          <t>Croatia</t>
        </is>
      </c>
      <c r="E198" s="14" t="n">
        <v>2021</v>
      </c>
      <c r="F198" s="14" t="n">
        <v>0.25</v>
      </c>
      <c r="G198" s="14" t="n">
        <v>7.431</v>
      </c>
      <c r="H198" s="14" t="n">
        <v>1.626</v>
      </c>
      <c r="I198" s="14" t="n">
        <v>0.731</v>
      </c>
      <c r="J198" s="14" t="n">
        <v>8.163</v>
      </c>
      <c r="K198" s="14" t="n">
        <v>0</v>
      </c>
      <c r="L198" s="14" t="n">
        <v>1</v>
      </c>
      <c r="M198" s="14" t="n">
        <v>10.953</v>
      </c>
      <c r="N198" s="14" t="n">
        <v>4.964</v>
      </c>
      <c r="O198" s="14" t="n">
        <v>0.759</v>
      </c>
      <c r="P198" s="14" t="n">
        <v>11.711</v>
      </c>
      <c r="Q198" s="14" t="n">
        <v>0</v>
      </c>
      <c r="R198" s="14" t="n">
        <v>1</v>
      </c>
      <c r="S198" s="14" t="n">
        <v>9.023</v>
      </c>
      <c r="T198" s="14" t="n">
        <v>5.591</v>
      </c>
      <c r="U198" s="14" t="n">
        <v>0.335</v>
      </c>
      <c r="V198" s="14" t="n">
        <v>11.563</v>
      </c>
      <c r="W198" s="14" t="n">
        <v>0.236</v>
      </c>
      <c r="X198" s="14" t="n">
        <v>1</v>
      </c>
      <c r="Y198" s="14" t="n">
        <v>13.603</v>
      </c>
      <c r="Z198" s="14" t="n">
        <v>1.503</v>
      </c>
      <c r="AA198" s="14" t="n">
        <v>-2.069</v>
      </c>
      <c r="AB198" s="14" t="n">
        <v>11.533</v>
      </c>
      <c r="AC198" s="14" t="n">
        <v>0</v>
      </c>
      <c r="AD198" s="14" t="n">
        <v>1</v>
      </c>
      <c r="AE198" s="14" t="n">
        <v>13.559</v>
      </c>
      <c r="AF198" s="14" t="n">
        <v>2.668</v>
      </c>
      <c r="AG198" s="14" t="n">
        <v>-2.026</v>
      </c>
      <c r="AH198" s="14" t="n">
        <v>11.533</v>
      </c>
      <c r="AI198" s="14" t="n">
        <v>0</v>
      </c>
      <c r="AJ198" s="14" t="n">
        <v>1</v>
      </c>
      <c r="AK198" s="14" t="n">
        <v>16.803</v>
      </c>
      <c r="AL198" s="14" t="n">
        <v>8.247</v>
      </c>
      <c r="AM198" s="14" t="n">
        <v>-6.658</v>
      </c>
      <c r="AN198" s="14" t="n">
        <v>12.681</v>
      </c>
      <c r="AO198" s="14" t="n">
        <v>0</v>
      </c>
      <c r="AP198" s="14" t="n">
        <v>0</v>
      </c>
      <c r="AQ198" s="14" t="n">
        <v>0.619</v>
      </c>
      <c r="AR198" s="14" t="n">
        <v>0.114</v>
      </c>
      <c r="AS198" s="14" t="n">
        <v>0.708</v>
      </c>
      <c r="AT198" s="14" t="n">
        <v>1.659</v>
      </c>
      <c r="AU198" s="14" t="n">
        <v>0.25</v>
      </c>
      <c r="AV198" s="14" t="n">
        <v>1</v>
      </c>
      <c r="AW198" s="14" t="n">
        <v>0.599</v>
      </c>
      <c r="AX198" s="14" t="n">
        <v>0.114</v>
      </c>
      <c r="AY198" s="14" t="n">
        <v>0.6899999999999999</v>
      </c>
      <c r="AZ198" s="14" t="n">
        <v>1.611</v>
      </c>
      <c r="BA198" s="14" t="n">
        <v>0.25</v>
      </c>
      <c r="BB198" s="14" t="n">
        <v>1</v>
      </c>
      <c r="BC198" s="14" t="n">
        <v>0.439</v>
      </c>
      <c r="BD198" s="14" t="n">
        <v>0.114</v>
      </c>
      <c r="BE198" s="14" t="n">
        <v>0.22</v>
      </c>
      <c r="BF198" s="14" t="n">
        <v>0.824</v>
      </c>
      <c r="BG198" s="14" t="n">
        <v>0.25</v>
      </c>
      <c r="BH198" s="14" t="n">
        <v>1</v>
      </c>
      <c r="BI198" s="14" t="n">
        <v>0.505</v>
      </c>
      <c r="BJ198" s="14" t="n">
        <v>0.114</v>
      </c>
      <c r="BK198" s="14" t="n">
        <v>0.124</v>
      </c>
      <c r="BL198" s="14" t="n">
        <v>0.785</v>
      </c>
      <c r="BM198" s="14" t="n">
        <v>0.25</v>
      </c>
      <c r="BN198" s="14" t="n">
        <v>1</v>
      </c>
      <c r="BO198" s="14" t="n">
        <v>0</v>
      </c>
      <c r="BP198" s="14" t="n">
        <v>0.012</v>
      </c>
      <c r="BQ198" s="14" t="n">
        <v>0.102</v>
      </c>
      <c r="BR198" s="14" t="n">
        <v>0</v>
      </c>
      <c r="BS198" s="14" t="n">
        <v>1</v>
      </c>
      <c r="BT198" s="14" t="n">
        <v>0</v>
      </c>
      <c r="BU198" s="14" t="n">
        <v>0.016</v>
      </c>
      <c r="BV198" s="14" t="n">
        <v>0.154</v>
      </c>
      <c r="BW198" s="14" t="n">
        <v>0.13</v>
      </c>
      <c r="BX198" s="14" t="n">
        <v>0.5</v>
      </c>
      <c r="BY198" s="14" t="n">
        <v>11.787</v>
      </c>
      <c r="BZ198" s="14" t="n">
        <v>0</v>
      </c>
      <c r="CA198" s="14" t="n">
        <v>11.787</v>
      </c>
      <c r="CB198" s="14" t="n">
        <v>0</v>
      </c>
      <c r="CC198" s="14" t="n">
        <v>78.125</v>
      </c>
      <c r="CD198" s="14" t="n">
        <v>7.95</v>
      </c>
      <c r="CE198" s="14" t="n">
        <v>24.804</v>
      </c>
      <c r="CF198" s="14" t="n">
        <v>128.661</v>
      </c>
      <c r="CG198" s="14" t="n">
        <v>0.25</v>
      </c>
      <c r="CH198" s="14" t="n">
        <v>1</v>
      </c>
      <c r="CI198" s="14" t="n">
        <v>0</v>
      </c>
      <c r="CJ198" s="14" t="n">
        <v>0</v>
      </c>
      <c r="CK198" s="14" t="n">
        <v>0</v>
      </c>
      <c r="CL198" s="14" t="n">
        <v>0</v>
      </c>
      <c r="CM198" s="14" t="n">
        <v>0.007</v>
      </c>
      <c r="CN198" s="14" t="n">
        <v>0.109</v>
      </c>
      <c r="CO198" s="14" t="n">
        <v>0.201</v>
      </c>
      <c r="CP198" s="14" t="n">
        <v>0</v>
      </c>
      <c r="CQ198" s="14" t="n">
        <v>1.198</v>
      </c>
      <c r="CR198" s="14" t="n">
        <v>0</v>
      </c>
      <c r="CS198" s="14" t="n">
        <v>3.929</v>
      </c>
      <c r="CT198" s="14" t="n">
        <v>5.61</v>
      </c>
      <c r="CU198" s="14" t="n">
        <v>8.303000000000001</v>
      </c>
    </row>
    <row r="199">
      <c r="A199" s="14" t="inlineStr">
        <is>
          <t>HRV2022</t>
        </is>
      </c>
      <c r="B199" s="14" t="inlineStr">
        <is>
          <t>HRV</t>
        </is>
      </c>
      <c r="C199" s="14" t="inlineStr">
        <is>
          <t>HRV</t>
        </is>
      </c>
      <c r="D199" s="14" t="inlineStr">
        <is>
          <t>Croatia</t>
        </is>
      </c>
      <c r="E199" s="14" t="n">
        <v>2022</v>
      </c>
      <c r="F199" s="14" t="n">
        <v>0.25</v>
      </c>
      <c r="G199" s="14" t="n">
        <v>15.227</v>
      </c>
      <c r="H199" s="14" t="n">
        <v>2.365</v>
      </c>
      <c r="I199" s="14" t="n">
        <v>8.161</v>
      </c>
      <c r="J199" s="14" t="n">
        <v>23.388</v>
      </c>
      <c r="K199" s="14" t="n">
        <v>0</v>
      </c>
      <c r="L199" s="14" t="n">
        <v>1</v>
      </c>
      <c r="M199" s="14" t="n">
        <v>12.771</v>
      </c>
      <c r="N199" s="14" t="n">
        <v>5.274</v>
      </c>
      <c r="O199" s="14" t="n">
        <v>8.465999999999999</v>
      </c>
      <c r="P199" s="14" t="n">
        <v>21.237</v>
      </c>
      <c r="Q199" s="14" t="n">
        <v>0</v>
      </c>
      <c r="R199" s="14" t="n">
        <v>1</v>
      </c>
      <c r="S199" s="14" t="n">
        <v>17.275</v>
      </c>
      <c r="T199" s="14" t="n">
        <v>8.461</v>
      </c>
      <c r="U199" s="14" t="n">
        <v>0.336</v>
      </c>
      <c r="V199" s="14" t="n">
        <v>21.387</v>
      </c>
      <c r="W199" s="14" t="n">
        <v>0.236</v>
      </c>
      <c r="X199" s="14" t="n">
        <v>1</v>
      </c>
      <c r="Y199" s="14" t="n">
        <v>35.731</v>
      </c>
      <c r="Z199" s="14" t="n">
        <v>3.748</v>
      </c>
      <c r="AA199" s="14" t="n">
        <v>-10.721</v>
      </c>
      <c r="AB199" s="14" t="n">
        <v>25.009</v>
      </c>
      <c r="AC199" s="14" t="n">
        <v>0</v>
      </c>
      <c r="AD199" s="14" t="n">
        <v>1</v>
      </c>
      <c r="AE199" s="14" t="n">
        <v>35.778</v>
      </c>
      <c r="AF199" s="14" t="n">
        <v>6.633</v>
      </c>
      <c r="AG199" s="14" t="n">
        <v>-10.769</v>
      </c>
      <c r="AH199" s="14" t="n">
        <v>25.009</v>
      </c>
      <c r="AI199" s="14" t="n">
        <v>0</v>
      </c>
      <c r="AJ199" s="14" t="n">
        <v>1</v>
      </c>
      <c r="AK199" s="14" t="n">
        <v>39.571</v>
      </c>
      <c r="AL199" s="14" t="n">
        <v>18.897</v>
      </c>
      <c r="AM199" s="14" t="n">
        <v>-27.556</v>
      </c>
      <c r="AN199" s="14" t="n">
        <v>12.615</v>
      </c>
      <c r="AO199" s="14" t="n">
        <v>0</v>
      </c>
      <c r="AP199" s="14" t="n">
        <v>0</v>
      </c>
      <c r="AQ199" s="14" t="n">
        <v>0.861</v>
      </c>
      <c r="AR199" s="14" t="n">
        <v>0.123</v>
      </c>
      <c r="AS199" s="14" t="n">
        <v>0.495</v>
      </c>
      <c r="AT199" s="14" t="n">
        <v>1.696</v>
      </c>
      <c r="AU199" s="14" t="n">
        <v>0.25</v>
      </c>
      <c r="AV199" s="14" t="n">
        <v>1</v>
      </c>
      <c r="AW199" s="14" t="n">
        <v>0.986</v>
      </c>
      <c r="AX199" s="14" t="n">
        <v>0.123</v>
      </c>
      <c r="AY199" s="14" t="n">
        <v>0.504</v>
      </c>
      <c r="AZ199" s="14" t="n">
        <v>1.862</v>
      </c>
      <c r="BA199" s="14" t="n">
        <v>0.25</v>
      </c>
      <c r="BB199" s="14" t="n">
        <v>1</v>
      </c>
      <c r="BC199" s="14" t="n">
        <v>0.598</v>
      </c>
      <c r="BD199" s="14" t="n">
        <v>0.123</v>
      </c>
      <c r="BE199" s="14" t="n">
        <v>0.198</v>
      </c>
      <c r="BF199" s="14" t="n">
        <v>0.995</v>
      </c>
      <c r="BG199" s="14" t="n">
        <v>0.25</v>
      </c>
      <c r="BH199" s="14" t="n">
        <v>1</v>
      </c>
      <c r="BI199" s="14" t="n">
        <v>0.612</v>
      </c>
      <c r="BJ199" s="14" t="n">
        <v>0.123</v>
      </c>
      <c r="BK199" s="14" t="n">
        <v>0.387</v>
      </c>
      <c r="BL199" s="14" t="n">
        <v>1.249</v>
      </c>
      <c r="BM199" s="14" t="n">
        <v>0.25</v>
      </c>
      <c r="BN199" s="14" t="n">
        <v>1</v>
      </c>
      <c r="BO199" s="14" t="n">
        <v>0</v>
      </c>
      <c r="BP199" s="14" t="n">
        <v>0.012</v>
      </c>
      <c r="BQ199" s="14" t="n">
        <v>0.157</v>
      </c>
      <c r="BR199" s="14" t="n">
        <v>0</v>
      </c>
      <c r="BS199" s="14" t="n">
        <v>1</v>
      </c>
      <c r="BT199" s="14" t="n">
        <v>0</v>
      </c>
      <c r="BU199" s="14" t="n">
        <v>0.015</v>
      </c>
      <c r="BV199" s="14" t="n">
        <v>0.149</v>
      </c>
      <c r="BW199" s="14" t="n">
        <v>0.13</v>
      </c>
      <c r="BX199" s="14" t="n">
        <v>0.5</v>
      </c>
      <c r="BY199" s="14" t="n">
        <v>12.729</v>
      </c>
      <c r="BZ199" s="14" t="n">
        <v>0</v>
      </c>
      <c r="CA199" s="14" t="n">
        <v>12.729</v>
      </c>
      <c r="CB199" s="14" t="n">
        <v>0</v>
      </c>
      <c r="CC199" s="14" t="n">
        <v>97.90000000000001</v>
      </c>
      <c r="CD199" s="14" t="n">
        <v>7.95</v>
      </c>
      <c r="CE199" s="14" t="n">
        <v>92.86799999999999</v>
      </c>
      <c r="CF199" s="14" t="n">
        <v>238.46</v>
      </c>
      <c r="CG199" s="14" t="n">
        <v>0.25</v>
      </c>
      <c r="CH199" s="14" t="n">
        <v>1</v>
      </c>
      <c r="CI199" s="14" t="n">
        <v>0</v>
      </c>
      <c r="CJ199" s="14" t="n">
        <v>0</v>
      </c>
      <c r="CK199" s="14" t="n">
        <v>0</v>
      </c>
      <c r="CL199" s="14" t="n">
        <v>0</v>
      </c>
      <c r="CM199" s="14" t="n">
        <v>0.008</v>
      </c>
      <c r="CN199" s="14" t="n">
        <v>0.113</v>
      </c>
      <c r="CO199" s="14" t="n">
        <v>0.211</v>
      </c>
      <c r="CP199" s="14" t="n">
        <v>0</v>
      </c>
      <c r="CQ199" s="14" t="n">
        <v>1.294</v>
      </c>
      <c r="CR199" s="14" t="n">
        <v>0</v>
      </c>
      <c r="CS199" s="14" t="n">
        <v>4.243</v>
      </c>
      <c r="CT199" s="14" t="n">
        <v>13.314</v>
      </c>
      <c r="CU199" s="14" t="n">
        <v>30.339</v>
      </c>
    </row>
    <row r="200">
      <c r="A200" s="14" t="inlineStr">
        <is>
          <t>HRV2023</t>
        </is>
      </c>
      <c r="B200" s="14" t="inlineStr">
        <is>
          <t>HRV</t>
        </is>
      </c>
      <c r="C200" s="14" t="inlineStr">
        <is>
          <t>HRV</t>
        </is>
      </c>
      <c r="D200" s="14" t="inlineStr">
        <is>
          <t>Croatia</t>
        </is>
      </c>
      <c r="E200" s="14" t="n">
        <v>2023</v>
      </c>
      <c r="F200" s="14" t="n">
        <v>0.25</v>
      </c>
      <c r="G200" s="14" t="n">
        <v>8.023</v>
      </c>
      <c r="H200" s="14" t="n">
        <v>1.827</v>
      </c>
      <c r="I200" s="14" t="n">
        <v>9.458</v>
      </c>
      <c r="J200" s="14" t="n">
        <v>17.481</v>
      </c>
      <c r="K200" s="14" t="n">
        <v>0</v>
      </c>
      <c r="L200" s="14" t="n">
        <v>1</v>
      </c>
      <c r="M200" s="14" t="n">
        <v>10.874</v>
      </c>
      <c r="N200" s="14" t="n">
        <v>5.393</v>
      </c>
      <c r="O200" s="14" t="n">
        <v>10.146</v>
      </c>
      <c r="P200" s="14" t="n">
        <v>21.021</v>
      </c>
      <c r="Q200" s="14" t="n">
        <v>0</v>
      </c>
      <c r="R200" s="14" t="n">
        <v>1</v>
      </c>
      <c r="S200" s="14" t="n">
        <v>10.326</v>
      </c>
      <c r="T200" s="14" t="n">
        <v>6.476</v>
      </c>
      <c r="U200" s="14" t="n">
        <v>0.613</v>
      </c>
      <c r="V200" s="14" t="n">
        <v>13.174</v>
      </c>
      <c r="W200" s="14" t="n">
        <v>0.236</v>
      </c>
      <c r="X200" s="14" t="n">
        <v>1</v>
      </c>
      <c r="Y200" s="14" t="n">
        <v>17.935</v>
      </c>
      <c r="Z200" s="14" t="n">
        <v>2.009</v>
      </c>
      <c r="AA200" s="14" t="n">
        <v>6.898</v>
      </c>
      <c r="AB200" s="14" t="n">
        <v>24.832</v>
      </c>
      <c r="AC200" s="14" t="n">
        <v>0</v>
      </c>
      <c r="AD200" s="14" t="n">
        <v>1</v>
      </c>
      <c r="AE200" s="14" t="n">
        <v>18.033</v>
      </c>
      <c r="AF200" s="14" t="n">
        <v>3.592</v>
      </c>
      <c r="AG200" s="14" t="n">
        <v>6.799</v>
      </c>
      <c r="AH200" s="14" t="n">
        <v>24.832</v>
      </c>
      <c r="AI200" s="14" t="n">
        <v>0</v>
      </c>
      <c r="AJ200" s="14" t="n">
        <v>1</v>
      </c>
      <c r="AK200" s="14" t="n">
        <v>22.131</v>
      </c>
      <c r="AL200" s="14" t="n">
        <v>10.963</v>
      </c>
      <c r="AM200" s="14" t="n">
        <v>-9.256</v>
      </c>
      <c r="AN200" s="14" t="n">
        <v>13.52</v>
      </c>
      <c r="AO200" s="14" t="n">
        <v>0</v>
      </c>
      <c r="AP200" s="14" t="n">
        <v>0</v>
      </c>
      <c r="AQ200" s="14" t="n">
        <v>0.76</v>
      </c>
      <c r="AR200" s="14" t="n">
        <v>0.129</v>
      </c>
      <c r="AS200" s="14" t="n">
        <v>0.302</v>
      </c>
      <c r="AT200" s="14" t="n">
        <v>1.328</v>
      </c>
      <c r="AU200" s="14" t="n">
        <v>0.25</v>
      </c>
      <c r="AV200" s="14" t="n">
        <v>1</v>
      </c>
      <c r="AW200" s="14" t="n">
        <v>0.8110000000000001</v>
      </c>
      <c r="AX200" s="14" t="n">
        <v>0.129</v>
      </c>
      <c r="AY200" s="14" t="n">
        <v>0.363</v>
      </c>
      <c r="AZ200" s="14" t="n">
        <v>1.468</v>
      </c>
      <c r="BA200" s="14" t="n">
        <v>0.25</v>
      </c>
      <c r="BB200" s="14" t="n">
        <v>1</v>
      </c>
      <c r="BC200" s="14" t="n">
        <v>0.535</v>
      </c>
      <c r="BD200" s="14" t="n">
        <v>0.129</v>
      </c>
      <c r="BE200" s="14" t="n">
        <v>0.231</v>
      </c>
      <c r="BF200" s="14" t="n">
        <v>0.957</v>
      </c>
      <c r="BG200" s="14" t="n">
        <v>0.25</v>
      </c>
      <c r="BH200" s="14" t="n">
        <v>1</v>
      </c>
      <c r="BI200" s="14" t="n">
        <v>0.579</v>
      </c>
      <c r="BJ200" s="14" t="n">
        <v>0.129</v>
      </c>
      <c r="BK200" s="14" t="n">
        <v>0.283</v>
      </c>
      <c r="BL200" s="14" t="n">
        <v>1.078</v>
      </c>
      <c r="BM200" s="14" t="n">
        <v>0.25</v>
      </c>
      <c r="BN200" s="14" t="n">
        <v>1</v>
      </c>
      <c r="BO200" s="14" t="n">
        <v>0</v>
      </c>
      <c r="BP200" s="14" t="n">
        <v>0.014</v>
      </c>
      <c r="BQ200" s="14" t="n">
        <v>0.234</v>
      </c>
      <c r="BR200" s="14" t="n">
        <v>0</v>
      </c>
      <c r="BS200" s="14" t="n">
        <v>1</v>
      </c>
      <c r="BT200" s="14" t="n">
        <v>0</v>
      </c>
      <c r="BU200" s="14" t="n">
        <v>0.015</v>
      </c>
      <c r="BV200" s="14" t="n">
        <v>0.16</v>
      </c>
      <c r="BW200" s="14" t="n">
        <v>0.13</v>
      </c>
      <c r="BX200" s="14" t="n">
        <v>0.5</v>
      </c>
      <c r="BY200" s="14" t="n">
        <v>13.254</v>
      </c>
      <c r="BZ200" s="14" t="n">
        <v>0</v>
      </c>
      <c r="CA200" s="14" t="n">
        <v>13.254</v>
      </c>
      <c r="CB200" s="14" t="n">
        <v>0</v>
      </c>
      <c r="CC200" s="14" t="n">
        <v>83.248</v>
      </c>
      <c r="CD200" s="14" t="n">
        <v>7.95</v>
      </c>
      <c r="CE200" s="14" t="n">
        <v>91.529</v>
      </c>
      <c r="CF200" s="14" t="n">
        <v>218.471</v>
      </c>
      <c r="CG200" s="14" t="n">
        <v>0.25</v>
      </c>
      <c r="CH200" s="14" t="n">
        <v>1</v>
      </c>
      <c r="CI200" s="14" t="n">
        <v>0</v>
      </c>
      <c r="CJ200" s="14" t="n">
        <v>0</v>
      </c>
      <c r="CK200" s="14" t="n">
        <v>0</v>
      </c>
      <c r="CL200" s="14" t="n">
        <v>0</v>
      </c>
      <c r="CM200" s="14" t="n">
        <v>0.008</v>
      </c>
      <c r="CN200" s="14" t="n">
        <v>0.112</v>
      </c>
      <c r="CO200" s="14" t="n">
        <v>0.198</v>
      </c>
      <c r="CP200" s="14" t="n">
        <v>0</v>
      </c>
      <c r="CQ200" s="14" t="n">
        <v>1.348</v>
      </c>
      <c r="CR200" s="14" t="n">
        <v>0</v>
      </c>
      <c r="CS200" s="14" t="n">
        <v>4.418</v>
      </c>
      <c r="CT200" s="14" t="n">
        <v>6.059</v>
      </c>
      <c r="CU200" s="14" t="n">
        <v>12.492</v>
      </c>
    </row>
    <row r="201">
      <c r="A201" s="14" t="inlineStr">
        <is>
          <t>HRV2024</t>
        </is>
      </c>
      <c r="B201" s="14" t="inlineStr">
        <is>
          <t>HRV</t>
        </is>
      </c>
      <c r="C201" s="14" t="inlineStr">
        <is>
          <t>HRV</t>
        </is>
      </c>
      <c r="D201" s="14" t="inlineStr">
        <is>
          <t>Croatia</t>
        </is>
      </c>
      <c r="E201" s="14" t="n">
        <v>2024</v>
      </c>
      <c r="F201" s="14" t="n">
        <v>0.25</v>
      </c>
      <c r="G201" s="14" t="n">
        <v>6.577</v>
      </c>
      <c r="H201" s="14" t="n">
        <v>1.666</v>
      </c>
      <c r="I201" s="14" t="n">
        <v>6.198</v>
      </c>
      <c r="J201" s="14" t="n">
        <v>12.775</v>
      </c>
      <c r="K201" s="14" t="n">
        <v>0</v>
      </c>
      <c r="L201" s="14" t="n">
        <v>1</v>
      </c>
      <c r="M201" s="14" t="n">
        <v>10.112</v>
      </c>
      <c r="N201" s="14" t="n">
        <v>5.508</v>
      </c>
      <c r="O201" s="14" t="n">
        <v>6.765</v>
      </c>
      <c r="P201" s="14" t="n">
        <v>16.877</v>
      </c>
      <c r="Q201" s="14" t="n">
        <v>0</v>
      </c>
      <c r="R201" s="14" t="n">
        <v>1</v>
      </c>
      <c r="S201" s="14" t="n">
        <v>9.07</v>
      </c>
      <c r="T201" s="14" t="n">
        <v>6.004</v>
      </c>
      <c r="U201" s="14" t="n">
        <v>0.647</v>
      </c>
      <c r="V201" s="14" t="n">
        <v>11.633</v>
      </c>
      <c r="W201" s="14" t="n">
        <v>0.236</v>
      </c>
      <c r="X201" s="14" t="n">
        <v>1</v>
      </c>
      <c r="Y201" s="14" t="n">
        <v>15.604</v>
      </c>
      <c r="Z201" s="14" t="n">
        <v>1.97</v>
      </c>
      <c r="AA201" s="14" t="n">
        <v>3.893</v>
      </c>
      <c r="AB201" s="14" t="n">
        <v>19.497</v>
      </c>
      <c r="AC201" s="14" t="n">
        <v>0</v>
      </c>
      <c r="AD201" s="14" t="n">
        <v>1</v>
      </c>
      <c r="AE201" s="14" t="n">
        <v>15.604</v>
      </c>
      <c r="AF201" s="14" t="n">
        <v>3.418</v>
      </c>
      <c r="AG201" s="14" t="n">
        <v>3.893</v>
      </c>
      <c r="AH201" s="14" t="n">
        <v>19.497</v>
      </c>
      <c r="AI201" s="14" t="n">
        <v>0</v>
      </c>
      <c r="AJ201" s="14" t="n">
        <v>1</v>
      </c>
      <c r="AK201" s="14" t="n">
        <v>18.243</v>
      </c>
      <c r="AL201" s="14" t="n">
        <v>9.279</v>
      </c>
      <c r="AM201" s="14" t="n">
        <v>-5.315</v>
      </c>
      <c r="AN201" s="14" t="n">
        <v>13.575</v>
      </c>
      <c r="AO201" s="14" t="n">
        <v>0</v>
      </c>
      <c r="AP201" s="14" t="n">
        <v>0</v>
      </c>
      <c r="AQ201" s="14" t="n">
        <v>0.724</v>
      </c>
      <c r="AR201" s="14" t="n">
        <v>0.132</v>
      </c>
      <c r="AS201" s="14" t="n">
        <v>0.613</v>
      </c>
      <c r="AT201" s="14" t="n">
        <v>1.672</v>
      </c>
      <c r="AU201" s="14" t="n">
        <v>0.25</v>
      </c>
      <c r="AV201" s="14" t="n">
        <v>1</v>
      </c>
      <c r="AW201" s="14" t="n">
        <v>0.75</v>
      </c>
      <c r="AX201" s="14" t="n">
        <v>0.132</v>
      </c>
      <c r="AY201" s="14" t="n">
        <v>0.606</v>
      </c>
      <c r="AZ201" s="14" t="n">
        <v>1.696</v>
      </c>
      <c r="BA201" s="14" t="n">
        <v>0.25</v>
      </c>
      <c r="BB201" s="14" t="n">
        <v>1</v>
      </c>
      <c r="BC201" s="14" t="n">
        <v>0.513</v>
      </c>
      <c r="BD201" s="14" t="n">
        <v>0.132</v>
      </c>
      <c r="BE201" s="14" t="n">
        <v>0.164</v>
      </c>
      <c r="BF201" s="14" t="n">
        <v>0.846</v>
      </c>
      <c r="BG201" s="14" t="n">
        <v>0.25</v>
      </c>
      <c r="BH201" s="14" t="n">
        <v>1</v>
      </c>
      <c r="BI201" s="14" t="n">
        <v>0.591</v>
      </c>
      <c r="BJ201" s="14" t="n">
        <v>0.132</v>
      </c>
      <c r="BK201" s="14" t="n">
        <v>0.323</v>
      </c>
      <c r="BL201" s="14" t="n">
        <v>1.105</v>
      </c>
      <c r="BM201" s="14" t="n">
        <v>0.25</v>
      </c>
      <c r="BN201" s="14" t="n">
        <v>1</v>
      </c>
      <c r="BO201" s="14" t="n">
        <v>0</v>
      </c>
      <c r="BP201" s="14" t="n">
        <v>0.014</v>
      </c>
      <c r="BQ201" s="14" t="n">
        <v>0.218</v>
      </c>
      <c r="BR201" s="14" t="n">
        <v>0</v>
      </c>
      <c r="BS201" s="14" t="n">
        <v>1</v>
      </c>
      <c r="BT201" s="14" t="n">
        <v>0</v>
      </c>
      <c r="BU201" s="14" t="n">
        <v>0.015</v>
      </c>
      <c r="BV201" s="14" t="n">
        <v>0.16</v>
      </c>
      <c r="BW201" s="14" t="n">
        <v>0.13</v>
      </c>
      <c r="BX201" s="14" t="n">
        <v>0.5</v>
      </c>
      <c r="BY201" s="14" t="n">
        <v>13.646</v>
      </c>
      <c r="BZ201" s="14" t="n">
        <v>0</v>
      </c>
      <c r="CA201" s="14" t="n">
        <v>13.646</v>
      </c>
      <c r="CB201" s="14" t="n">
        <v>0</v>
      </c>
      <c r="CC201" s="14" t="n">
        <v>82.58799999999999</v>
      </c>
      <c r="CD201" s="14" t="n">
        <v>7.95</v>
      </c>
      <c r="CE201" s="14" t="n">
        <v>72.22799999999999</v>
      </c>
      <c r="CF201" s="14" t="n">
        <v>193.52</v>
      </c>
      <c r="CG201" s="14" t="n">
        <v>0.25</v>
      </c>
      <c r="CH201" s="14" t="n">
        <v>1</v>
      </c>
      <c r="CI201" s="14" t="n">
        <v>0</v>
      </c>
      <c r="CJ201" s="14" t="n">
        <v>0</v>
      </c>
      <c r="CK201" s="14" t="n">
        <v>0</v>
      </c>
      <c r="CL201" s="14" t="n">
        <v>0</v>
      </c>
      <c r="CM201" s="14" t="n">
        <v>0.008</v>
      </c>
      <c r="CN201" s="14" t="n">
        <v>0.107</v>
      </c>
      <c r="CO201" s="14" t="n">
        <v>0.18</v>
      </c>
      <c r="CP201" s="14" t="n">
        <v>0</v>
      </c>
      <c r="CQ201" s="14" t="n">
        <v>1.387</v>
      </c>
      <c r="CR201" s="14" t="n">
        <v>0</v>
      </c>
      <c r="CS201" s="14" t="n">
        <v>4.548</v>
      </c>
      <c r="CT201" s="14" t="n">
        <v>4.575</v>
      </c>
      <c r="CU201" s="14" t="n">
        <v>5.564</v>
      </c>
    </row>
    <row r="202">
      <c r="A202" s="14" t="inlineStr">
        <is>
          <t>CUB2021</t>
        </is>
      </c>
      <c r="B202" s="14" t="inlineStr">
        <is>
          <t>CUB</t>
        </is>
      </c>
      <c r="C202" s="14" t="inlineStr">
        <is>
          <t>CUB</t>
        </is>
      </c>
      <c r="D202" s="14" t="inlineStr">
        <is>
          <t>Cuba</t>
        </is>
      </c>
      <c r="E202" s="14" t="n">
        <v>2021</v>
      </c>
      <c r="F202" s="14" t="n">
        <v>0.1</v>
      </c>
      <c r="G202" s="14" t="n">
        <v>5.897</v>
      </c>
      <c r="H202" s="14" t="n">
        <v>1.143</v>
      </c>
      <c r="I202" s="14" t="n">
        <v>0</v>
      </c>
      <c r="J202" s="14" t="n">
        <v>5.897</v>
      </c>
      <c r="K202" s="14" t="n">
        <v>0</v>
      </c>
      <c r="L202" s="14" t="n">
        <v>1</v>
      </c>
      <c r="M202" s="14" t="n">
        <v>7.964</v>
      </c>
      <c r="N202" s="14" t="n">
        <v>3.43</v>
      </c>
      <c r="O202" s="14" t="n">
        <v>0</v>
      </c>
      <c r="P202" s="14" t="n">
        <v>7.964</v>
      </c>
      <c r="Q202" s="14" t="n">
        <v>0</v>
      </c>
      <c r="R202" s="14" t="n">
        <v>1</v>
      </c>
      <c r="S202" s="14" t="n">
        <v>11.613</v>
      </c>
      <c r="T202" s="14" t="n">
        <v>6.86</v>
      </c>
      <c r="U202" s="14" t="n">
        <v>0</v>
      </c>
      <c r="V202" s="14" t="n">
        <v>12.775</v>
      </c>
      <c r="W202" s="14" t="n">
        <v>0.1</v>
      </c>
      <c r="X202" s="14" t="n">
        <v>1</v>
      </c>
      <c r="Y202" s="14" t="n">
        <v>17.127</v>
      </c>
      <c r="Z202" s="14" t="n">
        <v>2.304</v>
      </c>
      <c r="AA202" s="14" t="n">
        <v>0</v>
      </c>
      <c r="AB202" s="14" t="n">
        <v>17.127</v>
      </c>
      <c r="AC202" s="14" t="n">
        <v>0</v>
      </c>
      <c r="AD202" s="14" t="n">
        <v>1</v>
      </c>
      <c r="AE202" s="14" t="n">
        <v>18.27</v>
      </c>
      <c r="AF202" s="14" t="n">
        <v>4.278</v>
      </c>
      <c r="AG202" s="14" t="n">
        <v>0</v>
      </c>
      <c r="AH202" s="14" t="n">
        <v>18.27</v>
      </c>
      <c r="AI202" s="14" t="n">
        <v>0</v>
      </c>
      <c r="AJ202" s="14" t="n">
        <v>1</v>
      </c>
      <c r="AK202" s="14" t="n">
        <v>25.13</v>
      </c>
      <c r="AL202" s="14" t="n">
        <v>13.503</v>
      </c>
      <c r="AM202" s="14" t="n">
        <v>0</v>
      </c>
      <c r="AN202" s="14" t="n">
        <v>27.643</v>
      </c>
      <c r="AO202" s="14" t="n">
        <v>0.1</v>
      </c>
      <c r="AP202" s="14" t="n">
        <v>1</v>
      </c>
      <c r="AQ202" s="14" t="n">
        <v>0.649</v>
      </c>
      <c r="AR202" s="14" t="n">
        <v>0.114</v>
      </c>
      <c r="AS202" s="14" t="n">
        <v>0.8179999999999999</v>
      </c>
      <c r="AT202" s="14" t="n">
        <v>1.613</v>
      </c>
      <c r="AU202" s="14" t="n">
        <v>0.1</v>
      </c>
      <c r="AV202" s="14" t="n">
        <v>1</v>
      </c>
      <c r="AW202" s="14" t="n">
        <v>0.577</v>
      </c>
      <c r="AX202" s="14" t="n">
        <v>0.114</v>
      </c>
      <c r="AY202" s="14" t="n">
        <v>0.727</v>
      </c>
      <c r="AZ202" s="14" t="n">
        <v>1.434</v>
      </c>
      <c r="BA202" s="14" t="n">
        <v>0.1</v>
      </c>
      <c r="BB202" s="14" t="n">
        <v>1</v>
      </c>
      <c r="BC202" s="14" t="n">
        <v>0.458</v>
      </c>
      <c r="BD202" s="14" t="n">
        <v>0.114</v>
      </c>
      <c r="BE202" s="14" t="n">
        <v>0</v>
      </c>
      <c r="BF202" s="14" t="n">
        <v>0.504</v>
      </c>
      <c r="BG202" s="14" t="n">
        <v>0.1</v>
      </c>
      <c r="BH202" s="14" t="n">
        <v>1</v>
      </c>
      <c r="BI202" s="14" t="n">
        <v>0.491</v>
      </c>
      <c r="BJ202" s="14" t="n">
        <v>0.114</v>
      </c>
      <c r="BK202" s="14" t="n">
        <v>0</v>
      </c>
      <c r="BL202" s="14" t="n">
        <v>0.54</v>
      </c>
      <c r="BM202" s="14" t="n">
        <v>0.1</v>
      </c>
      <c r="BN202" s="14" t="n">
        <v>1</v>
      </c>
      <c r="BO202" s="14" t="n">
        <v>0</v>
      </c>
      <c r="BP202" s="14" t="n">
        <v>0</v>
      </c>
      <c r="BQ202" s="14" t="n">
        <v>0.183</v>
      </c>
      <c r="BR202" s="14" t="n">
        <v>0</v>
      </c>
      <c r="BS202" s="14" t="n">
        <v>0.833</v>
      </c>
      <c r="BT202" s="14" t="n">
        <v>0</v>
      </c>
      <c r="BU202" s="14" t="n">
        <v>0</v>
      </c>
      <c r="BV202" s="14" t="n">
        <v>0.209</v>
      </c>
      <c r="BW202" s="14" t="n">
        <v>0</v>
      </c>
      <c r="BX202" s="14" t="n">
        <v>0.833</v>
      </c>
      <c r="BY202" s="14" t="n">
        <v>11.787</v>
      </c>
      <c r="BZ202" s="14" t="n">
        <v>0</v>
      </c>
      <c r="CA202" s="14" t="n">
        <v>11.787</v>
      </c>
      <c r="CB202" s="14" t="n">
        <v>0</v>
      </c>
      <c r="CC202" s="14" t="n">
        <v>78.125</v>
      </c>
      <c r="CD202" s="14" t="n">
        <v>7.95</v>
      </c>
      <c r="CE202" s="14" t="n">
        <v>0</v>
      </c>
      <c r="CF202" s="14" t="n">
        <v>85.938</v>
      </c>
      <c r="CG202" s="14" t="n">
        <v>0.1</v>
      </c>
      <c r="CH202" s="14" t="n">
        <v>1</v>
      </c>
      <c r="CI202" s="14" t="n">
        <v>0</v>
      </c>
      <c r="CJ202" s="14" t="n">
        <v>0</v>
      </c>
      <c r="CK202" s="14" t="n">
        <v>0</v>
      </c>
      <c r="CL202" s="14" t="n">
        <v>0</v>
      </c>
      <c r="CM202" s="14" t="n">
        <v>0</v>
      </c>
      <c r="CN202" s="14" t="n">
        <v>0</v>
      </c>
      <c r="CO202" s="14" t="n">
        <v>0</v>
      </c>
      <c r="CP202" s="14" t="n">
        <v>0</v>
      </c>
      <c r="CQ202" s="14" t="n">
        <v>1.198</v>
      </c>
      <c r="CR202" s="14" t="n">
        <v>0</v>
      </c>
      <c r="CS202" s="14" t="n">
        <v>4.776</v>
      </c>
      <c r="CT202" s="14" t="n">
        <v>4.753</v>
      </c>
      <c r="CU202" s="14" t="n">
        <v>15.983</v>
      </c>
    </row>
    <row r="203">
      <c r="A203" s="14" t="inlineStr">
        <is>
          <t>CUB2022</t>
        </is>
      </c>
      <c r="B203" s="14" t="inlineStr">
        <is>
          <t>CUB</t>
        </is>
      </c>
      <c r="C203" s="14" t="inlineStr">
        <is>
          <t>CUB</t>
        </is>
      </c>
      <c r="D203" s="14" t="inlineStr">
        <is>
          <t>Cuba</t>
        </is>
      </c>
      <c r="E203" s="14" t="n">
        <v>2022</v>
      </c>
      <c r="F203" s="14" t="n">
        <v>0.1</v>
      </c>
      <c r="G203" s="14" t="n">
        <v>11.72</v>
      </c>
      <c r="H203" s="14" t="n">
        <v>1.235</v>
      </c>
      <c r="I203" s="14" t="n">
        <v>0</v>
      </c>
      <c r="J203" s="14" t="n">
        <v>11.72</v>
      </c>
      <c r="K203" s="14" t="n">
        <v>0</v>
      </c>
      <c r="L203" s="14" t="n">
        <v>1</v>
      </c>
      <c r="M203" s="14" t="n">
        <v>9.782999999999999</v>
      </c>
      <c r="N203" s="14" t="n">
        <v>3.704</v>
      </c>
      <c r="O203" s="14" t="n">
        <v>0</v>
      </c>
      <c r="P203" s="14" t="n">
        <v>9.782999999999999</v>
      </c>
      <c r="Q203" s="14" t="n">
        <v>0</v>
      </c>
      <c r="R203" s="14" t="n">
        <v>1</v>
      </c>
      <c r="S203" s="14" t="n">
        <v>17.893</v>
      </c>
      <c r="T203" s="14" t="n">
        <v>7.408</v>
      </c>
      <c r="U203" s="14" t="n">
        <v>0.132</v>
      </c>
      <c r="V203" s="14" t="n">
        <v>19.683</v>
      </c>
      <c r="W203" s="14" t="n">
        <v>0.1</v>
      </c>
      <c r="X203" s="14" t="n">
        <v>1</v>
      </c>
      <c r="Y203" s="14" t="n">
        <v>30.728</v>
      </c>
      <c r="Z203" s="14" t="n">
        <v>4.133</v>
      </c>
      <c r="AA203" s="14" t="n">
        <v>0</v>
      </c>
      <c r="AB203" s="14" t="n">
        <v>30.728</v>
      </c>
      <c r="AC203" s="14" t="n">
        <v>0</v>
      </c>
      <c r="AD203" s="14" t="n">
        <v>1</v>
      </c>
      <c r="AE203" s="14" t="n">
        <v>31.963</v>
      </c>
      <c r="AF203" s="14" t="n">
        <v>7.485</v>
      </c>
      <c r="AG203" s="14" t="n">
        <v>0</v>
      </c>
      <c r="AH203" s="14" t="n">
        <v>31.963</v>
      </c>
      <c r="AI203" s="14" t="n">
        <v>0</v>
      </c>
      <c r="AJ203" s="14" t="n">
        <v>1</v>
      </c>
      <c r="AK203" s="14" t="n">
        <v>39.371</v>
      </c>
      <c r="AL203" s="14" t="n">
        <v>21.155</v>
      </c>
      <c r="AM203" s="14" t="n">
        <v>0.291</v>
      </c>
      <c r="AN203" s="14" t="n">
        <v>43.308</v>
      </c>
      <c r="AO203" s="14" t="n">
        <v>0.1</v>
      </c>
      <c r="AP203" s="14" t="n">
        <v>1</v>
      </c>
      <c r="AQ203" s="14" t="n">
        <v>0.896</v>
      </c>
      <c r="AR203" s="14" t="n">
        <v>0.123</v>
      </c>
      <c r="AS203" s="14" t="n">
        <v>0.878</v>
      </c>
      <c r="AT203" s="14" t="n">
        <v>1.937</v>
      </c>
      <c r="AU203" s="14" t="n">
        <v>0.1</v>
      </c>
      <c r="AV203" s="14" t="n">
        <v>1</v>
      </c>
      <c r="AW203" s="14" t="n">
        <v>0.89</v>
      </c>
      <c r="AX203" s="14" t="n">
        <v>0.123</v>
      </c>
      <c r="AY203" s="14" t="n">
        <v>0.773</v>
      </c>
      <c r="AZ203" s="14" t="n">
        <v>1.816</v>
      </c>
      <c r="BA203" s="14" t="n">
        <v>0.1</v>
      </c>
      <c r="BB203" s="14" t="n">
        <v>1</v>
      </c>
      <c r="BC203" s="14" t="n">
        <v>0.62</v>
      </c>
      <c r="BD203" s="14" t="n">
        <v>0.123</v>
      </c>
      <c r="BE203" s="14" t="n">
        <v>0.005</v>
      </c>
      <c r="BF203" s="14" t="n">
        <v>0.6820000000000001</v>
      </c>
      <c r="BG203" s="14" t="n">
        <v>0.1</v>
      </c>
      <c r="BH203" s="14" t="n">
        <v>1</v>
      </c>
      <c r="BI203" s="14" t="n">
        <v>0.608</v>
      </c>
      <c r="BJ203" s="14" t="n">
        <v>0.123</v>
      </c>
      <c r="BK203" s="14" t="n">
        <v>0.004</v>
      </c>
      <c r="BL203" s="14" t="n">
        <v>0.668</v>
      </c>
      <c r="BM203" s="14" t="n">
        <v>0.1</v>
      </c>
      <c r="BN203" s="14" t="n">
        <v>1</v>
      </c>
      <c r="BO203" s="14" t="n">
        <v>0</v>
      </c>
      <c r="BP203" s="14" t="n">
        <v>0</v>
      </c>
      <c r="BQ203" s="14" t="n">
        <v>0.198</v>
      </c>
      <c r="BR203" s="14" t="n">
        <v>0</v>
      </c>
      <c r="BS203" s="14" t="n">
        <v>0.833</v>
      </c>
      <c r="BT203" s="14" t="n">
        <v>0</v>
      </c>
      <c r="BU203" s="14" t="n">
        <v>0</v>
      </c>
      <c r="BV203" s="14" t="n">
        <v>0.226</v>
      </c>
      <c r="BW203" s="14" t="n">
        <v>0</v>
      </c>
      <c r="BX203" s="14" t="n">
        <v>0.833</v>
      </c>
      <c r="BY203" s="14" t="n">
        <v>12.729</v>
      </c>
      <c r="BZ203" s="14" t="n">
        <v>0</v>
      </c>
      <c r="CA203" s="14" t="n">
        <v>12.729</v>
      </c>
      <c r="CB203" s="14" t="n">
        <v>0</v>
      </c>
      <c r="CC203" s="14" t="n">
        <v>97.90000000000001</v>
      </c>
      <c r="CD203" s="14" t="n">
        <v>7.95</v>
      </c>
      <c r="CE203" s="14" t="n">
        <v>0.725</v>
      </c>
      <c r="CF203" s="14" t="n">
        <v>107.69</v>
      </c>
      <c r="CG203" s="14" t="n">
        <v>0.1</v>
      </c>
      <c r="CH203" s="14" t="n">
        <v>1</v>
      </c>
      <c r="CI203" s="14" t="n">
        <v>0</v>
      </c>
      <c r="CJ203" s="14" t="n">
        <v>0</v>
      </c>
      <c r="CK203" s="14" t="n">
        <v>0</v>
      </c>
      <c r="CL203" s="14" t="n">
        <v>0</v>
      </c>
      <c r="CM203" s="14" t="n">
        <v>0</v>
      </c>
      <c r="CN203" s="14" t="n">
        <v>0</v>
      </c>
      <c r="CO203" s="14" t="n">
        <v>0</v>
      </c>
      <c r="CP203" s="14" t="n">
        <v>0</v>
      </c>
      <c r="CQ203" s="14" t="n">
        <v>1.294</v>
      </c>
      <c r="CR203" s="14" t="n">
        <v>0</v>
      </c>
      <c r="CS203" s="14" t="n">
        <v>5.158</v>
      </c>
      <c r="CT203" s="14" t="n">
        <v>10.485</v>
      </c>
      <c r="CU203" s="14" t="n">
        <v>29.494</v>
      </c>
    </row>
    <row r="204">
      <c r="A204" s="14" t="inlineStr">
        <is>
          <t>CUB2023</t>
        </is>
      </c>
      <c r="B204" s="14" t="inlineStr">
        <is>
          <t>CUB</t>
        </is>
      </c>
      <c r="C204" s="14" t="inlineStr">
        <is>
          <t>CUB</t>
        </is>
      </c>
      <c r="D204" s="14" t="inlineStr">
        <is>
          <t>Cuba</t>
        </is>
      </c>
      <c r="E204" s="14" t="n">
        <v>2023</v>
      </c>
      <c r="F204" s="14" t="n">
        <v>0.1</v>
      </c>
      <c r="G204" s="14" t="n">
        <v>6.147</v>
      </c>
      <c r="H204" s="14" t="n">
        <v>1.286</v>
      </c>
      <c r="I204" s="14" t="n">
        <v>0</v>
      </c>
      <c r="J204" s="14" t="n">
        <v>6.147</v>
      </c>
      <c r="K204" s="14" t="n">
        <v>0</v>
      </c>
      <c r="L204" s="14" t="n">
        <v>1</v>
      </c>
      <c r="M204" s="14" t="n">
        <v>7.886</v>
      </c>
      <c r="N204" s="14" t="n">
        <v>3.857</v>
      </c>
      <c r="O204" s="14" t="n">
        <v>0</v>
      </c>
      <c r="P204" s="14" t="n">
        <v>7.886</v>
      </c>
      <c r="Q204" s="14" t="n">
        <v>0</v>
      </c>
      <c r="R204" s="14" t="n">
        <v>1</v>
      </c>
      <c r="S204" s="14" t="n">
        <v>12.575</v>
      </c>
      <c r="T204" s="14" t="n">
        <v>7.714</v>
      </c>
      <c r="U204" s="14" t="n">
        <v>0.139</v>
      </c>
      <c r="V204" s="14" t="n">
        <v>13.833</v>
      </c>
      <c r="W204" s="14" t="n">
        <v>0.1</v>
      </c>
      <c r="X204" s="14" t="n">
        <v>1</v>
      </c>
      <c r="Y204" s="14" t="n">
        <v>12.478</v>
      </c>
      <c r="Z204" s="14" t="n">
        <v>1.678</v>
      </c>
      <c r="AA204" s="14" t="n">
        <v>0</v>
      </c>
      <c r="AB204" s="14" t="n">
        <v>12.478</v>
      </c>
      <c r="AC204" s="14" t="n">
        <v>0</v>
      </c>
      <c r="AD204" s="14" t="n">
        <v>1</v>
      </c>
      <c r="AE204" s="14" t="n">
        <v>13.763</v>
      </c>
      <c r="AF204" s="14" t="n">
        <v>3.223</v>
      </c>
      <c r="AG204" s="14" t="n">
        <v>0</v>
      </c>
      <c r="AH204" s="14" t="n">
        <v>13.763</v>
      </c>
      <c r="AI204" s="14" t="n">
        <v>0</v>
      </c>
      <c r="AJ204" s="14" t="n">
        <v>1</v>
      </c>
      <c r="AK204" s="14" t="n">
        <v>21.477</v>
      </c>
      <c r="AL204" s="14" t="n">
        <v>11.54</v>
      </c>
      <c r="AM204" s="14" t="n">
        <v>0.238</v>
      </c>
      <c r="AN204" s="14" t="n">
        <v>23.625</v>
      </c>
      <c r="AO204" s="14" t="n">
        <v>0.1</v>
      </c>
      <c r="AP204" s="14" t="n">
        <v>1</v>
      </c>
      <c r="AQ204" s="14" t="n">
        <v>0.791</v>
      </c>
      <c r="AR204" s="14" t="n">
        <v>0.129</v>
      </c>
      <c r="AS204" s="14" t="n">
        <v>0.9330000000000001</v>
      </c>
      <c r="AT204" s="14" t="n">
        <v>1.875</v>
      </c>
      <c r="AU204" s="14" t="n">
        <v>0.1</v>
      </c>
      <c r="AV204" s="14" t="n">
        <v>1</v>
      </c>
      <c r="AW204" s="14" t="n">
        <v>0.618</v>
      </c>
      <c r="AX204" s="14" t="n">
        <v>0.129</v>
      </c>
      <c r="AY204" s="14" t="n">
        <v>0.837</v>
      </c>
      <c r="AZ204" s="14" t="n">
        <v>1.583</v>
      </c>
      <c r="BA204" s="14" t="n">
        <v>0.1</v>
      </c>
      <c r="BB204" s="14" t="n">
        <v>1</v>
      </c>
      <c r="BC204" s="14" t="n">
        <v>0.554</v>
      </c>
      <c r="BD204" s="14" t="n">
        <v>0.129</v>
      </c>
      <c r="BE204" s="14" t="n">
        <v>0.006</v>
      </c>
      <c r="BF204" s="14" t="n">
        <v>0.61</v>
      </c>
      <c r="BG204" s="14" t="n">
        <v>0.1</v>
      </c>
      <c r="BH204" s="14" t="n">
        <v>1</v>
      </c>
      <c r="BI204" s="14" t="n">
        <v>0.5570000000000001</v>
      </c>
      <c r="BJ204" s="14" t="n">
        <v>0.129</v>
      </c>
      <c r="BK204" s="14" t="n">
        <v>0.006</v>
      </c>
      <c r="BL204" s="14" t="n">
        <v>0.613</v>
      </c>
      <c r="BM204" s="14" t="n">
        <v>0.1</v>
      </c>
      <c r="BN204" s="14" t="n">
        <v>1</v>
      </c>
      <c r="BO204" s="14" t="n">
        <v>0</v>
      </c>
      <c r="BP204" s="14" t="n">
        <v>0</v>
      </c>
      <c r="BQ204" s="14" t="n">
        <v>0.206</v>
      </c>
      <c r="BR204" s="14" t="n">
        <v>0</v>
      </c>
      <c r="BS204" s="14" t="n">
        <v>0.833</v>
      </c>
      <c r="BT204" s="14" t="n">
        <v>0</v>
      </c>
      <c r="BU204" s="14" t="n">
        <v>0</v>
      </c>
      <c r="BV204" s="14" t="n">
        <v>0.235</v>
      </c>
      <c r="BW204" s="14" t="n">
        <v>0</v>
      </c>
      <c r="BX204" s="14" t="n">
        <v>0.833</v>
      </c>
      <c r="BY204" s="14" t="n">
        <v>13.254</v>
      </c>
      <c r="BZ204" s="14" t="n">
        <v>0</v>
      </c>
      <c r="CA204" s="14" t="n">
        <v>13.254</v>
      </c>
      <c r="CB204" s="14" t="n">
        <v>0</v>
      </c>
      <c r="CC204" s="14" t="n">
        <v>83.248</v>
      </c>
      <c r="CD204" s="14" t="n">
        <v>7.95</v>
      </c>
      <c r="CE204" s="14" t="n">
        <v>0.922</v>
      </c>
      <c r="CF204" s="14" t="n">
        <v>91.57299999999999</v>
      </c>
      <c r="CG204" s="14" t="n">
        <v>0.1</v>
      </c>
      <c r="CH204" s="14" t="n">
        <v>1</v>
      </c>
      <c r="CI204" s="14" t="n">
        <v>0</v>
      </c>
      <c r="CJ204" s="14" t="n">
        <v>0</v>
      </c>
      <c r="CK204" s="14" t="n">
        <v>0</v>
      </c>
      <c r="CL204" s="14" t="n">
        <v>0</v>
      </c>
      <c r="CM204" s="14" t="n">
        <v>0</v>
      </c>
      <c r="CN204" s="14" t="n">
        <v>0</v>
      </c>
      <c r="CO204" s="14" t="n">
        <v>0</v>
      </c>
      <c r="CP204" s="14" t="n">
        <v>0</v>
      </c>
      <c r="CQ204" s="14" t="n">
        <v>1.348</v>
      </c>
      <c r="CR204" s="14" t="n">
        <v>0</v>
      </c>
      <c r="CS204" s="14" t="n">
        <v>5.37</v>
      </c>
      <c r="CT204" s="14" t="n">
        <v>4.861</v>
      </c>
      <c r="CU204" s="14" t="n">
        <v>11.192</v>
      </c>
    </row>
    <row r="205">
      <c r="A205" s="14" t="inlineStr">
        <is>
          <t>CUB2024</t>
        </is>
      </c>
      <c r="B205" s="14" t="inlineStr">
        <is>
          <t>CUB</t>
        </is>
      </c>
      <c r="C205" s="14" t="inlineStr">
        <is>
          <t>CUB</t>
        </is>
      </c>
      <c r="D205" s="14" t="inlineStr">
        <is>
          <t>Cuba</t>
        </is>
      </c>
      <c r="E205" s="14" t="n">
        <v>2024</v>
      </c>
      <c r="F205" s="14" t="n">
        <v>0.1</v>
      </c>
      <c r="G205" s="14" t="n">
        <v>5.575</v>
      </c>
      <c r="H205" s="14" t="n">
        <v>1.324</v>
      </c>
      <c r="I205" s="14" t="n">
        <v>0</v>
      </c>
      <c r="J205" s="14" t="n">
        <v>5.575</v>
      </c>
      <c r="K205" s="14" t="n">
        <v>0</v>
      </c>
      <c r="L205" s="14" t="n">
        <v>1</v>
      </c>
      <c r="M205" s="14" t="n">
        <v>7.124</v>
      </c>
      <c r="N205" s="14" t="n">
        <v>3.971</v>
      </c>
      <c r="O205" s="14" t="n">
        <v>0</v>
      </c>
      <c r="P205" s="14" t="n">
        <v>7.124</v>
      </c>
      <c r="Q205" s="14" t="n">
        <v>0</v>
      </c>
      <c r="R205" s="14" t="n">
        <v>1</v>
      </c>
      <c r="S205" s="14" t="n">
        <v>12.193</v>
      </c>
      <c r="T205" s="14" t="n">
        <v>7.942</v>
      </c>
      <c r="U205" s="14" t="n">
        <v>0.166</v>
      </c>
      <c r="V205" s="14" t="n">
        <v>13.412</v>
      </c>
      <c r="W205" s="14" t="n">
        <v>0.1</v>
      </c>
      <c r="X205" s="14" t="n">
        <v>1</v>
      </c>
      <c r="Y205" s="14" t="n">
        <v>11.447</v>
      </c>
      <c r="Z205" s="14" t="n">
        <v>1.54</v>
      </c>
      <c r="AA205" s="14" t="n">
        <v>0</v>
      </c>
      <c r="AB205" s="14" t="n">
        <v>11.447</v>
      </c>
      <c r="AC205" s="14" t="n">
        <v>0</v>
      </c>
      <c r="AD205" s="14" t="n">
        <v>1</v>
      </c>
      <c r="AE205" s="14" t="n">
        <v>12.771</v>
      </c>
      <c r="AF205" s="14" t="n">
        <v>2.991</v>
      </c>
      <c r="AG205" s="14" t="n">
        <v>0</v>
      </c>
      <c r="AH205" s="14" t="n">
        <v>12.771</v>
      </c>
      <c r="AI205" s="14" t="n">
        <v>0</v>
      </c>
      <c r="AJ205" s="14" t="n">
        <v>1</v>
      </c>
      <c r="AK205" s="14" t="n">
        <v>20.712</v>
      </c>
      <c r="AL205" s="14" t="n">
        <v>11.129</v>
      </c>
      <c r="AM205" s="14" t="n">
        <v>0.282</v>
      </c>
      <c r="AN205" s="14" t="n">
        <v>22.784</v>
      </c>
      <c r="AO205" s="14" t="n">
        <v>0.1</v>
      </c>
      <c r="AP205" s="14" t="n">
        <v>1</v>
      </c>
      <c r="AQ205" s="14" t="n">
        <v>0.756</v>
      </c>
      <c r="AR205" s="14" t="n">
        <v>0.132</v>
      </c>
      <c r="AS205" s="14" t="n">
        <v>0.969</v>
      </c>
      <c r="AT205" s="14" t="n">
        <v>1.872</v>
      </c>
      <c r="AU205" s="14" t="n">
        <v>0.1</v>
      </c>
      <c r="AV205" s="14" t="n">
        <v>1</v>
      </c>
      <c r="AW205" s="14" t="n">
        <v>0.655</v>
      </c>
      <c r="AX205" s="14" t="n">
        <v>0.132</v>
      </c>
      <c r="AY205" s="14" t="n">
        <v>0.864</v>
      </c>
      <c r="AZ205" s="14" t="n">
        <v>1.648</v>
      </c>
      <c r="BA205" s="14" t="n">
        <v>0.1</v>
      </c>
      <c r="BB205" s="14" t="n">
        <v>1</v>
      </c>
      <c r="BC205" s="14" t="n">
        <v>0.534</v>
      </c>
      <c r="BD205" s="14" t="n">
        <v>0.132</v>
      </c>
      <c r="BE205" s="14" t="n">
        <v>0.007</v>
      </c>
      <c r="BF205" s="14" t="n">
        <v>0.587</v>
      </c>
      <c r="BG205" s="14" t="n">
        <v>0.1</v>
      </c>
      <c r="BH205" s="14" t="n">
        <v>1</v>
      </c>
      <c r="BI205" s="14" t="n">
        <v>0.5679999999999999</v>
      </c>
      <c r="BJ205" s="14" t="n">
        <v>0.132</v>
      </c>
      <c r="BK205" s="14" t="n">
        <v>0.008</v>
      </c>
      <c r="BL205" s="14" t="n">
        <v>0.625</v>
      </c>
      <c r="BM205" s="14" t="n">
        <v>0.1</v>
      </c>
      <c r="BN205" s="14" t="n">
        <v>1</v>
      </c>
      <c r="BO205" s="14" t="n">
        <v>0</v>
      </c>
      <c r="BP205" s="14" t="n">
        <v>0</v>
      </c>
      <c r="BQ205" s="14" t="n">
        <v>0.212</v>
      </c>
      <c r="BR205" s="14" t="n">
        <v>0</v>
      </c>
      <c r="BS205" s="14" t="n">
        <v>0.833</v>
      </c>
      <c r="BT205" s="14" t="n">
        <v>0</v>
      </c>
      <c r="BU205" s="14" t="n">
        <v>0</v>
      </c>
      <c r="BV205" s="14" t="n">
        <v>0.242</v>
      </c>
      <c r="BW205" s="14" t="n">
        <v>0</v>
      </c>
      <c r="BX205" s="14" t="n">
        <v>0.833</v>
      </c>
      <c r="BY205" s="14" t="n">
        <v>13.646</v>
      </c>
      <c r="BZ205" s="14" t="n">
        <v>0</v>
      </c>
      <c r="CA205" s="14" t="n">
        <v>13.646</v>
      </c>
      <c r="CB205" s="14" t="n">
        <v>0</v>
      </c>
      <c r="CC205" s="14" t="n">
        <v>82.58799999999999</v>
      </c>
      <c r="CD205" s="14" t="n">
        <v>7.95</v>
      </c>
      <c r="CE205" s="14" t="n">
        <v>1.125</v>
      </c>
      <c r="CF205" s="14" t="n">
        <v>90.84699999999999</v>
      </c>
      <c r="CG205" s="14" t="n">
        <v>0.1</v>
      </c>
      <c r="CH205" s="14" t="n">
        <v>1</v>
      </c>
      <c r="CI205" s="14" t="n">
        <v>0</v>
      </c>
      <c r="CJ205" s="14" t="n">
        <v>0</v>
      </c>
      <c r="CK205" s="14" t="n">
        <v>0</v>
      </c>
      <c r="CL205" s="14" t="n">
        <v>0</v>
      </c>
      <c r="CM205" s="14" t="n">
        <v>0</v>
      </c>
      <c r="CN205" s="14" t="n">
        <v>0</v>
      </c>
      <c r="CO205" s="14" t="n">
        <v>0</v>
      </c>
      <c r="CP205" s="14" t="n">
        <v>0</v>
      </c>
      <c r="CQ205" s="14" t="n">
        <v>1.387</v>
      </c>
      <c r="CR205" s="14" t="n">
        <v>0</v>
      </c>
      <c r="CS205" s="14" t="n">
        <v>5.529</v>
      </c>
      <c r="CT205" s="14" t="n">
        <v>4.251</v>
      </c>
      <c r="CU205" s="14" t="n">
        <v>10.123</v>
      </c>
    </row>
    <row r="206">
      <c r="A206" s="14" t="inlineStr">
        <is>
          <t>CUW2021</t>
        </is>
      </c>
      <c r="B206" s="14" t="inlineStr">
        <is>
          <t>CUW</t>
        </is>
      </c>
      <c r="C206" s="14" t="inlineStr">
        <is>
          <t>CUW</t>
        </is>
      </c>
      <c r="D206" s="14" t="inlineStr">
        <is>
          <t>Curaçao</t>
        </is>
      </c>
      <c r="E206" s="14" t="n">
        <v>2021</v>
      </c>
      <c r="F206" s="14" t="n">
        <v>0.06</v>
      </c>
      <c r="G206" s="14" t="n">
        <v>5.897</v>
      </c>
      <c r="H206" s="14" t="n">
        <v>1.143</v>
      </c>
      <c r="I206" s="14" t="n">
        <v>0</v>
      </c>
      <c r="J206" s="14" t="n">
        <v>5.897</v>
      </c>
      <c r="K206" s="14" t="n">
        <v>0</v>
      </c>
      <c r="L206" s="14" t="n">
        <v>1</v>
      </c>
      <c r="M206" s="14" t="n">
        <v>7.964</v>
      </c>
      <c r="N206" s="14" t="n">
        <v>3.43</v>
      </c>
      <c r="O206" s="14" t="n">
        <v>0</v>
      </c>
      <c r="P206" s="14" t="n">
        <v>7.964</v>
      </c>
      <c r="Q206" s="14" t="n">
        <v>0</v>
      </c>
      <c r="R206" s="14" t="n">
        <v>1</v>
      </c>
      <c r="S206" s="14" t="n">
        <v>11.613</v>
      </c>
      <c r="T206" s="14" t="n">
        <v>6.86</v>
      </c>
      <c r="U206" s="14" t="n">
        <v>0</v>
      </c>
      <c r="V206" s="14" t="n">
        <v>12.31</v>
      </c>
      <c r="W206" s="14" t="n">
        <v>0.06</v>
      </c>
      <c r="X206" s="14" t="n">
        <v>1</v>
      </c>
      <c r="Y206" s="14" t="n">
        <v>5.919</v>
      </c>
      <c r="Z206" s="14" t="n">
        <v>0.796</v>
      </c>
      <c r="AA206" s="14" t="n">
        <v>0</v>
      </c>
      <c r="AB206" s="14" t="n">
        <v>5.919</v>
      </c>
      <c r="AC206" s="14" t="n">
        <v>0</v>
      </c>
      <c r="AD206" s="14" t="n">
        <v>1</v>
      </c>
      <c r="AE206" s="14" t="n">
        <v>7.062</v>
      </c>
      <c r="AF206" s="14" t="n">
        <v>1.654</v>
      </c>
      <c r="AG206" s="14" t="n">
        <v>0</v>
      </c>
      <c r="AH206" s="14" t="n">
        <v>7.062</v>
      </c>
      <c r="AI206" s="14" t="n">
        <v>0</v>
      </c>
      <c r="AJ206" s="14" t="n">
        <v>1</v>
      </c>
      <c r="AK206" s="14" t="n">
        <v>13.922</v>
      </c>
      <c r="AL206" s="14" t="n">
        <v>7.481</v>
      </c>
      <c r="AM206" s="14" t="n">
        <v>0</v>
      </c>
      <c r="AN206" s="14" t="n">
        <v>14.758</v>
      </c>
      <c r="AO206" s="14" t="n">
        <v>0.06</v>
      </c>
      <c r="AP206" s="14" t="n">
        <v>1</v>
      </c>
      <c r="AQ206" s="14" t="n">
        <v>0.649</v>
      </c>
      <c r="AR206" s="14" t="n">
        <v>0.114</v>
      </c>
      <c r="AS206" s="14" t="n">
        <v>0.364</v>
      </c>
      <c r="AT206" s="14" t="n">
        <v>1.074</v>
      </c>
      <c r="AU206" s="14" t="n">
        <v>0.06</v>
      </c>
      <c r="AV206" s="14" t="n">
        <v>1</v>
      </c>
      <c r="AW206" s="14" t="n">
        <v>0.577</v>
      </c>
      <c r="AX206" s="14" t="n">
        <v>0.114</v>
      </c>
      <c r="AY206" s="14" t="n">
        <v>0.309</v>
      </c>
      <c r="AZ206" s="14" t="n">
        <v>0.9389999999999999</v>
      </c>
      <c r="BA206" s="14" t="n">
        <v>0.06</v>
      </c>
      <c r="BB206" s="14" t="n">
        <v>1</v>
      </c>
      <c r="BC206" s="14" t="n">
        <v>0.458</v>
      </c>
      <c r="BD206" s="14" t="n">
        <v>0.114</v>
      </c>
      <c r="BE206" s="14" t="n">
        <v>0</v>
      </c>
      <c r="BF206" s="14" t="n">
        <v>0.486</v>
      </c>
      <c r="BG206" s="14" t="n">
        <v>0.06</v>
      </c>
      <c r="BH206" s="14" t="n">
        <v>1</v>
      </c>
      <c r="BI206" s="14" t="n">
        <v>0.491</v>
      </c>
      <c r="BJ206" s="14" t="n">
        <v>0.114</v>
      </c>
      <c r="BK206" s="14" t="n">
        <v>0.344</v>
      </c>
      <c r="BL206" s="14" t="n">
        <v>0.885</v>
      </c>
      <c r="BM206" s="14" t="n">
        <v>0.06</v>
      </c>
      <c r="BN206" s="14" t="n">
        <v>1</v>
      </c>
      <c r="BO206" s="14" t="n">
        <v>0</v>
      </c>
      <c r="BP206" s="14" t="n">
        <v>0</v>
      </c>
      <c r="BQ206" s="14" t="n">
        <v>0</v>
      </c>
      <c r="BR206" s="14" t="n">
        <v>0</v>
      </c>
      <c r="BS206" s="14" t="n">
        <v>1</v>
      </c>
      <c r="BT206" s="14" t="n">
        <v>0</v>
      </c>
      <c r="BU206" s="14" t="n">
        <v>0</v>
      </c>
      <c r="BV206" s="14" t="n">
        <v>0</v>
      </c>
      <c r="BW206" s="14" t="n">
        <v>0.06</v>
      </c>
      <c r="BX206" s="14" t="n">
        <v>1</v>
      </c>
      <c r="BY206" s="14" t="n">
        <v>11.787</v>
      </c>
      <c r="BZ206" s="14" t="n">
        <v>0</v>
      </c>
      <c r="CA206" s="14" t="n">
        <v>11.787</v>
      </c>
      <c r="CB206" s="14" t="n">
        <v>0</v>
      </c>
      <c r="CC206" s="14" t="n">
        <v>78.125</v>
      </c>
      <c r="CD206" s="14" t="n">
        <v>7.95</v>
      </c>
      <c r="CE206" s="14" t="n">
        <v>0</v>
      </c>
      <c r="CF206" s="14" t="n">
        <v>82.813</v>
      </c>
      <c r="CG206" s="14" t="n">
        <v>0.06</v>
      </c>
      <c r="CH206" s="14" t="n">
        <v>1</v>
      </c>
      <c r="CI206" s="14" t="n">
        <v>0</v>
      </c>
      <c r="CJ206" s="14" t="n">
        <v>0</v>
      </c>
      <c r="CK206" s="14" t="n">
        <v>0</v>
      </c>
      <c r="CL206" s="14" t="n">
        <v>0</v>
      </c>
      <c r="CM206" s="14" t="n">
        <v>0</v>
      </c>
      <c r="CN206" s="14" t="n">
        <v>0</v>
      </c>
      <c r="CO206" s="14" t="n">
        <v>0</v>
      </c>
      <c r="CP206" s="14" t="n">
        <v>0</v>
      </c>
      <c r="CQ206" s="14" t="n">
        <v>1.198</v>
      </c>
      <c r="CR206" s="14" t="n">
        <v>0</v>
      </c>
      <c r="CS206" s="14" t="n">
        <v>4.776</v>
      </c>
      <c r="CT206" s="14" t="n">
        <v>4.753</v>
      </c>
      <c r="CU206" s="14" t="n">
        <v>15.983</v>
      </c>
    </row>
    <row r="207">
      <c r="A207" s="14" t="inlineStr">
        <is>
          <t>CUW2022</t>
        </is>
      </c>
      <c r="B207" s="14" t="inlineStr">
        <is>
          <t>CUW</t>
        </is>
      </c>
      <c r="C207" s="14" t="inlineStr">
        <is>
          <t>CUW</t>
        </is>
      </c>
      <c r="D207" s="14" t="inlineStr">
        <is>
          <t>Curaçao</t>
        </is>
      </c>
      <c r="E207" s="14" t="n">
        <v>2022</v>
      </c>
      <c r="F207" s="14" t="n">
        <v>0.06</v>
      </c>
      <c r="G207" s="14" t="n">
        <v>11.72</v>
      </c>
      <c r="H207" s="14" t="n">
        <v>1.235</v>
      </c>
      <c r="I207" s="14" t="n">
        <v>0</v>
      </c>
      <c r="J207" s="14" t="n">
        <v>11.72</v>
      </c>
      <c r="K207" s="14" t="n">
        <v>0</v>
      </c>
      <c r="L207" s="14" t="n">
        <v>1</v>
      </c>
      <c r="M207" s="14" t="n">
        <v>9.782999999999999</v>
      </c>
      <c r="N207" s="14" t="n">
        <v>3.704</v>
      </c>
      <c r="O207" s="14" t="n">
        <v>0</v>
      </c>
      <c r="P207" s="14" t="n">
        <v>9.782999999999999</v>
      </c>
      <c r="Q207" s="14" t="n">
        <v>0</v>
      </c>
      <c r="R207" s="14" t="n">
        <v>1</v>
      </c>
      <c r="S207" s="14" t="n">
        <v>17.893</v>
      </c>
      <c r="T207" s="14" t="n">
        <v>7.408</v>
      </c>
      <c r="U207" s="14" t="n">
        <v>0.079</v>
      </c>
      <c r="V207" s="14" t="n">
        <v>18.967</v>
      </c>
      <c r="W207" s="14" t="n">
        <v>0.06</v>
      </c>
      <c r="X207" s="14" t="n">
        <v>1</v>
      </c>
      <c r="Y207" s="14" t="n">
        <v>6.392</v>
      </c>
      <c r="Z207" s="14" t="n">
        <v>0.86</v>
      </c>
      <c r="AA207" s="14" t="n">
        <v>0</v>
      </c>
      <c r="AB207" s="14" t="n">
        <v>6.392</v>
      </c>
      <c r="AC207" s="14" t="n">
        <v>0</v>
      </c>
      <c r="AD207" s="14" t="n">
        <v>1</v>
      </c>
      <c r="AE207" s="14" t="n">
        <v>7.627</v>
      </c>
      <c r="AF207" s="14" t="n">
        <v>1.786</v>
      </c>
      <c r="AG207" s="14" t="n">
        <v>0</v>
      </c>
      <c r="AH207" s="14" t="n">
        <v>7.627</v>
      </c>
      <c r="AI207" s="14" t="n">
        <v>0</v>
      </c>
      <c r="AJ207" s="14" t="n">
        <v>1</v>
      </c>
      <c r="AK207" s="14" t="n">
        <v>15.035</v>
      </c>
      <c r="AL207" s="14" t="n">
        <v>8.079000000000001</v>
      </c>
      <c r="AM207" s="14" t="n">
        <v>0.067</v>
      </c>
      <c r="AN207" s="14" t="n">
        <v>15.937</v>
      </c>
      <c r="AO207" s="14" t="n">
        <v>0.06</v>
      </c>
      <c r="AP207" s="14" t="n">
        <v>1</v>
      </c>
      <c r="AQ207" s="14" t="n">
        <v>0.896</v>
      </c>
      <c r="AR207" s="14" t="n">
        <v>0.123</v>
      </c>
      <c r="AS207" s="14" t="n">
        <v>0.387</v>
      </c>
      <c r="AT207" s="14" t="n">
        <v>1.354</v>
      </c>
      <c r="AU207" s="14" t="n">
        <v>0.06</v>
      </c>
      <c r="AV207" s="14" t="n">
        <v>1</v>
      </c>
      <c r="AW207" s="14" t="n">
        <v>0.89</v>
      </c>
      <c r="AX207" s="14" t="n">
        <v>0.123</v>
      </c>
      <c r="AY207" s="14" t="n">
        <v>0.324</v>
      </c>
      <c r="AZ207" s="14" t="n">
        <v>1.282</v>
      </c>
      <c r="BA207" s="14" t="n">
        <v>0.06</v>
      </c>
      <c r="BB207" s="14" t="n">
        <v>1</v>
      </c>
      <c r="BC207" s="14" t="n">
        <v>0.62</v>
      </c>
      <c r="BD207" s="14" t="n">
        <v>0.123</v>
      </c>
      <c r="BE207" s="14" t="n">
        <v>0.003</v>
      </c>
      <c r="BF207" s="14" t="n">
        <v>0.658</v>
      </c>
      <c r="BG207" s="14" t="n">
        <v>0.06</v>
      </c>
      <c r="BH207" s="14" t="n">
        <v>1</v>
      </c>
      <c r="BI207" s="14" t="n">
        <v>0.608</v>
      </c>
      <c r="BJ207" s="14" t="n">
        <v>0.123</v>
      </c>
      <c r="BK207" s="14" t="n">
        <v>0.372</v>
      </c>
      <c r="BL207" s="14" t="n">
        <v>1.033</v>
      </c>
      <c r="BM207" s="14" t="n">
        <v>0.06</v>
      </c>
      <c r="BN207" s="14" t="n">
        <v>1</v>
      </c>
      <c r="BO207" s="14" t="n">
        <v>0</v>
      </c>
      <c r="BP207" s="14" t="n">
        <v>0</v>
      </c>
      <c r="BQ207" s="14" t="n">
        <v>0</v>
      </c>
      <c r="BR207" s="14" t="n">
        <v>0</v>
      </c>
      <c r="BS207" s="14" t="n">
        <v>1</v>
      </c>
      <c r="BT207" s="14" t="n">
        <v>0</v>
      </c>
      <c r="BU207" s="14" t="n">
        <v>0</v>
      </c>
      <c r="BV207" s="14" t="n">
        <v>0</v>
      </c>
      <c r="BW207" s="14" t="n">
        <v>0.06</v>
      </c>
      <c r="BX207" s="14" t="n">
        <v>1</v>
      </c>
      <c r="BY207" s="14" t="n">
        <v>12.729</v>
      </c>
      <c r="BZ207" s="14" t="n">
        <v>0</v>
      </c>
      <c r="CA207" s="14" t="n">
        <v>12.729</v>
      </c>
      <c r="CB207" s="14" t="n">
        <v>0</v>
      </c>
      <c r="CC207" s="14" t="n">
        <v>97.90000000000001</v>
      </c>
      <c r="CD207" s="14" t="n">
        <v>7.95</v>
      </c>
      <c r="CE207" s="14" t="n">
        <v>0.435</v>
      </c>
      <c r="CF207" s="14" t="n">
        <v>103.774</v>
      </c>
      <c r="CG207" s="14" t="n">
        <v>0.06</v>
      </c>
      <c r="CH207" s="14" t="n">
        <v>1</v>
      </c>
      <c r="CI207" s="14" t="n">
        <v>0</v>
      </c>
      <c r="CJ207" s="14" t="n">
        <v>0</v>
      </c>
      <c r="CK207" s="14" t="n">
        <v>0</v>
      </c>
      <c r="CL207" s="14" t="n">
        <v>0</v>
      </c>
      <c r="CM207" s="14" t="n">
        <v>0</v>
      </c>
      <c r="CN207" s="14" t="n">
        <v>0</v>
      </c>
      <c r="CO207" s="14" t="n">
        <v>0</v>
      </c>
      <c r="CP207" s="14" t="n">
        <v>0</v>
      </c>
      <c r="CQ207" s="14" t="n">
        <v>1.294</v>
      </c>
      <c r="CR207" s="14" t="n">
        <v>0</v>
      </c>
      <c r="CS207" s="14" t="n">
        <v>5.158</v>
      </c>
      <c r="CT207" s="14" t="n">
        <v>10.485</v>
      </c>
      <c r="CU207" s="14" t="n">
        <v>29.494</v>
      </c>
    </row>
    <row r="208">
      <c r="A208" s="14" t="inlineStr">
        <is>
          <t>CUW2023</t>
        </is>
      </c>
      <c r="B208" s="14" t="inlineStr">
        <is>
          <t>CUW</t>
        </is>
      </c>
      <c r="C208" s="14" t="inlineStr">
        <is>
          <t>CUW</t>
        </is>
      </c>
      <c r="D208" s="14" t="inlineStr">
        <is>
          <t>Curaçao</t>
        </is>
      </c>
      <c r="E208" s="14" t="n">
        <v>2023</v>
      </c>
      <c r="F208" s="14" t="n">
        <v>0.06</v>
      </c>
      <c r="G208" s="14" t="n">
        <v>6.147</v>
      </c>
      <c r="H208" s="14" t="n">
        <v>1.286</v>
      </c>
      <c r="I208" s="14" t="n">
        <v>0</v>
      </c>
      <c r="J208" s="14" t="n">
        <v>6.147</v>
      </c>
      <c r="K208" s="14" t="n">
        <v>0</v>
      </c>
      <c r="L208" s="14" t="n">
        <v>1</v>
      </c>
      <c r="M208" s="14" t="n">
        <v>7.886</v>
      </c>
      <c r="N208" s="14" t="n">
        <v>3.857</v>
      </c>
      <c r="O208" s="14" t="n">
        <v>0</v>
      </c>
      <c r="P208" s="14" t="n">
        <v>7.886</v>
      </c>
      <c r="Q208" s="14" t="n">
        <v>0</v>
      </c>
      <c r="R208" s="14" t="n">
        <v>1</v>
      </c>
      <c r="S208" s="14" t="n">
        <v>12.575</v>
      </c>
      <c r="T208" s="14" t="n">
        <v>7.714</v>
      </c>
      <c r="U208" s="14" t="n">
        <v>0.08400000000000001</v>
      </c>
      <c r="V208" s="14" t="n">
        <v>13.33</v>
      </c>
      <c r="W208" s="14" t="n">
        <v>0.06</v>
      </c>
      <c r="X208" s="14" t="n">
        <v>1</v>
      </c>
      <c r="Y208" s="14" t="n">
        <v>6.656</v>
      </c>
      <c r="Z208" s="14" t="n">
        <v>0.895</v>
      </c>
      <c r="AA208" s="14" t="n">
        <v>0</v>
      </c>
      <c r="AB208" s="14" t="n">
        <v>6.656</v>
      </c>
      <c r="AC208" s="14" t="n">
        <v>0</v>
      </c>
      <c r="AD208" s="14" t="n">
        <v>1</v>
      </c>
      <c r="AE208" s="14" t="n">
        <v>7.942</v>
      </c>
      <c r="AF208" s="14" t="n">
        <v>1.86</v>
      </c>
      <c r="AG208" s="14" t="n">
        <v>0</v>
      </c>
      <c r="AH208" s="14" t="n">
        <v>7.942</v>
      </c>
      <c r="AI208" s="14" t="n">
        <v>0</v>
      </c>
      <c r="AJ208" s="14" t="n">
        <v>1</v>
      </c>
      <c r="AK208" s="14" t="n">
        <v>15.656</v>
      </c>
      <c r="AL208" s="14" t="n">
        <v>8.412000000000001</v>
      </c>
      <c r="AM208" s="14" t="n">
        <v>0.104</v>
      </c>
      <c r="AN208" s="14" t="n">
        <v>16.595</v>
      </c>
      <c r="AO208" s="14" t="n">
        <v>0.06</v>
      </c>
      <c r="AP208" s="14" t="n">
        <v>1</v>
      </c>
      <c r="AQ208" s="14" t="n">
        <v>0.791</v>
      </c>
      <c r="AR208" s="14" t="n">
        <v>0.129</v>
      </c>
      <c r="AS208" s="14" t="n">
        <v>0.406</v>
      </c>
      <c r="AT208" s="14" t="n">
        <v>1.268</v>
      </c>
      <c r="AU208" s="14" t="n">
        <v>0.06</v>
      </c>
      <c r="AV208" s="14" t="n">
        <v>1</v>
      </c>
      <c r="AW208" s="14" t="n">
        <v>0.618</v>
      </c>
      <c r="AX208" s="14" t="n">
        <v>0.129</v>
      </c>
      <c r="AY208" s="14" t="n">
        <v>0.35</v>
      </c>
      <c r="AZ208" s="14" t="n">
        <v>1.026</v>
      </c>
      <c r="BA208" s="14" t="n">
        <v>0.06</v>
      </c>
      <c r="BB208" s="14" t="n">
        <v>1</v>
      </c>
      <c r="BC208" s="14" t="n">
        <v>0.554</v>
      </c>
      <c r="BD208" s="14" t="n">
        <v>0.129</v>
      </c>
      <c r="BE208" s="14" t="n">
        <v>0.004</v>
      </c>
      <c r="BF208" s="14" t="n">
        <v>0.588</v>
      </c>
      <c r="BG208" s="14" t="n">
        <v>0.06</v>
      </c>
      <c r="BH208" s="14" t="n">
        <v>1</v>
      </c>
      <c r="BI208" s="14" t="n">
        <v>0.5570000000000001</v>
      </c>
      <c r="BJ208" s="14" t="n">
        <v>0.129</v>
      </c>
      <c r="BK208" s="14" t="n">
        <v>0.387</v>
      </c>
      <c r="BL208" s="14" t="n">
        <v>1.001</v>
      </c>
      <c r="BM208" s="14" t="n">
        <v>0.06</v>
      </c>
      <c r="BN208" s="14" t="n">
        <v>1</v>
      </c>
      <c r="BO208" s="14" t="n">
        <v>0</v>
      </c>
      <c r="BP208" s="14" t="n">
        <v>0</v>
      </c>
      <c r="BQ208" s="14" t="n">
        <v>0</v>
      </c>
      <c r="BR208" s="14" t="n">
        <v>0</v>
      </c>
      <c r="BS208" s="14" t="n">
        <v>1</v>
      </c>
      <c r="BT208" s="14" t="n">
        <v>0</v>
      </c>
      <c r="BU208" s="14" t="n">
        <v>0</v>
      </c>
      <c r="BV208" s="14" t="n">
        <v>0</v>
      </c>
      <c r="BW208" s="14" t="n">
        <v>0.06</v>
      </c>
      <c r="BX208" s="14" t="n">
        <v>1</v>
      </c>
      <c r="BY208" s="14" t="n">
        <v>13.254</v>
      </c>
      <c r="BZ208" s="14" t="n">
        <v>0</v>
      </c>
      <c r="CA208" s="14" t="n">
        <v>13.254</v>
      </c>
      <c r="CB208" s="14" t="n">
        <v>0</v>
      </c>
      <c r="CC208" s="14" t="n">
        <v>83.248</v>
      </c>
      <c r="CD208" s="14" t="n">
        <v>7.95</v>
      </c>
      <c r="CE208" s="14" t="n">
        <v>0.553</v>
      </c>
      <c r="CF208" s="14" t="n">
        <v>88.24299999999999</v>
      </c>
      <c r="CG208" s="14" t="n">
        <v>0.06</v>
      </c>
      <c r="CH208" s="14" t="n">
        <v>1</v>
      </c>
      <c r="CI208" s="14" t="n">
        <v>0</v>
      </c>
      <c r="CJ208" s="14" t="n">
        <v>0</v>
      </c>
      <c r="CK208" s="14" t="n">
        <v>0</v>
      </c>
      <c r="CL208" s="14" t="n">
        <v>0</v>
      </c>
      <c r="CM208" s="14" t="n">
        <v>0</v>
      </c>
      <c r="CN208" s="14" t="n">
        <v>0</v>
      </c>
      <c r="CO208" s="14" t="n">
        <v>0</v>
      </c>
      <c r="CP208" s="14" t="n">
        <v>0</v>
      </c>
      <c r="CQ208" s="14" t="n">
        <v>1.348</v>
      </c>
      <c r="CR208" s="14" t="n">
        <v>0</v>
      </c>
      <c r="CS208" s="14" t="n">
        <v>5.37</v>
      </c>
      <c r="CT208" s="14" t="n">
        <v>4.861</v>
      </c>
      <c r="CU208" s="14" t="n">
        <v>11.192</v>
      </c>
    </row>
    <row r="209">
      <c r="A209" s="14" t="inlineStr">
        <is>
          <t>CUW2024</t>
        </is>
      </c>
      <c r="B209" s="14" t="inlineStr">
        <is>
          <t>CUW</t>
        </is>
      </c>
      <c r="C209" s="14" t="inlineStr">
        <is>
          <t>CUW</t>
        </is>
      </c>
      <c r="D209" s="14" t="inlineStr">
        <is>
          <t>Curaçao</t>
        </is>
      </c>
      <c r="E209" s="14" t="n">
        <v>2024</v>
      </c>
      <c r="F209" s="14" t="n">
        <v>0.06</v>
      </c>
      <c r="G209" s="14" t="n">
        <v>5.575</v>
      </c>
      <c r="H209" s="14" t="n">
        <v>1.324</v>
      </c>
      <c r="I209" s="14" t="n">
        <v>0</v>
      </c>
      <c r="J209" s="14" t="n">
        <v>5.575</v>
      </c>
      <c r="K209" s="14" t="n">
        <v>0</v>
      </c>
      <c r="L209" s="14" t="n">
        <v>1</v>
      </c>
      <c r="M209" s="14" t="n">
        <v>7.124</v>
      </c>
      <c r="N209" s="14" t="n">
        <v>3.971</v>
      </c>
      <c r="O209" s="14" t="n">
        <v>0</v>
      </c>
      <c r="P209" s="14" t="n">
        <v>7.124</v>
      </c>
      <c r="Q209" s="14" t="n">
        <v>0</v>
      </c>
      <c r="R209" s="14" t="n">
        <v>1</v>
      </c>
      <c r="S209" s="14" t="n">
        <v>12.193</v>
      </c>
      <c r="T209" s="14" t="n">
        <v>7.942</v>
      </c>
      <c r="U209" s="14" t="n">
        <v>0.1</v>
      </c>
      <c r="V209" s="14" t="n">
        <v>12.924</v>
      </c>
      <c r="W209" s="14" t="n">
        <v>0.06</v>
      </c>
      <c r="X209" s="14" t="n">
        <v>1</v>
      </c>
      <c r="Y209" s="14" t="n">
        <v>6.853</v>
      </c>
      <c r="Z209" s="14" t="n">
        <v>0.922</v>
      </c>
      <c r="AA209" s="14" t="n">
        <v>0</v>
      </c>
      <c r="AB209" s="14" t="n">
        <v>6.853</v>
      </c>
      <c r="AC209" s="14" t="n">
        <v>0</v>
      </c>
      <c r="AD209" s="14" t="n">
        <v>1</v>
      </c>
      <c r="AE209" s="14" t="n">
        <v>8.176</v>
      </c>
      <c r="AF209" s="14" t="n">
        <v>1.915</v>
      </c>
      <c r="AG209" s="14" t="n">
        <v>0</v>
      </c>
      <c r="AH209" s="14" t="n">
        <v>8.176</v>
      </c>
      <c r="AI209" s="14" t="n">
        <v>0</v>
      </c>
      <c r="AJ209" s="14" t="n">
        <v>1</v>
      </c>
      <c r="AK209" s="14" t="n">
        <v>16.118</v>
      </c>
      <c r="AL209" s="14" t="n">
        <v>8.66</v>
      </c>
      <c r="AM209" s="14" t="n">
        <v>0.132</v>
      </c>
      <c r="AN209" s="14" t="n">
        <v>17.085</v>
      </c>
      <c r="AO209" s="14" t="n">
        <v>0.06</v>
      </c>
      <c r="AP209" s="14" t="n">
        <v>1</v>
      </c>
      <c r="AQ209" s="14" t="n">
        <v>0.756</v>
      </c>
      <c r="AR209" s="14" t="n">
        <v>0.132</v>
      </c>
      <c r="AS209" s="14" t="n">
        <v>0.372</v>
      </c>
      <c r="AT209" s="14" t="n">
        <v>1.196</v>
      </c>
      <c r="AU209" s="14" t="n">
        <v>0.06</v>
      </c>
      <c r="AV209" s="14" t="n">
        <v>1</v>
      </c>
      <c r="AW209" s="14" t="n">
        <v>0.655</v>
      </c>
      <c r="AX209" s="14" t="n">
        <v>0.132</v>
      </c>
      <c r="AY209" s="14" t="n">
        <v>0.286</v>
      </c>
      <c r="AZ209" s="14" t="n">
        <v>0.997</v>
      </c>
      <c r="BA209" s="14" t="n">
        <v>0.06</v>
      </c>
      <c r="BB209" s="14" t="n">
        <v>1</v>
      </c>
      <c r="BC209" s="14" t="n">
        <v>0.534</v>
      </c>
      <c r="BD209" s="14" t="n">
        <v>0.132</v>
      </c>
      <c r="BE209" s="14" t="n">
        <v>0.004</v>
      </c>
      <c r="BF209" s="14" t="n">
        <v>0.5659999999999999</v>
      </c>
      <c r="BG209" s="14" t="n">
        <v>0.06</v>
      </c>
      <c r="BH209" s="14" t="n">
        <v>1</v>
      </c>
      <c r="BI209" s="14" t="n">
        <v>0.5679999999999999</v>
      </c>
      <c r="BJ209" s="14" t="n">
        <v>0.132</v>
      </c>
      <c r="BK209" s="14" t="n">
        <v>0.268</v>
      </c>
      <c r="BL209" s="14" t="n">
        <v>0.885</v>
      </c>
      <c r="BM209" s="14" t="n">
        <v>0.06</v>
      </c>
      <c r="BN209" s="14" t="n">
        <v>1</v>
      </c>
      <c r="BO209" s="14" t="n">
        <v>0</v>
      </c>
      <c r="BP209" s="14" t="n">
        <v>0</v>
      </c>
      <c r="BQ209" s="14" t="n">
        <v>0</v>
      </c>
      <c r="BR209" s="14" t="n">
        <v>0</v>
      </c>
      <c r="BS209" s="14" t="n">
        <v>1</v>
      </c>
      <c r="BT209" s="14" t="n">
        <v>0</v>
      </c>
      <c r="BU209" s="14" t="n">
        <v>0</v>
      </c>
      <c r="BV209" s="14" t="n">
        <v>0</v>
      </c>
      <c r="BW209" s="14" t="n">
        <v>0.06</v>
      </c>
      <c r="BX209" s="14" t="n">
        <v>1</v>
      </c>
      <c r="BY209" s="14" t="n">
        <v>13.646</v>
      </c>
      <c r="BZ209" s="14" t="n">
        <v>0</v>
      </c>
      <c r="CA209" s="14" t="n">
        <v>13.646</v>
      </c>
      <c r="CB209" s="14" t="n">
        <v>0</v>
      </c>
      <c r="CC209" s="14" t="n">
        <v>82.58799999999999</v>
      </c>
      <c r="CD209" s="14" t="n">
        <v>7.95</v>
      </c>
      <c r="CE209" s="14" t="n">
        <v>0.675</v>
      </c>
      <c r="CF209" s="14" t="n">
        <v>87.54300000000001</v>
      </c>
      <c r="CG209" s="14" t="n">
        <v>0.06</v>
      </c>
      <c r="CH209" s="14" t="n">
        <v>1</v>
      </c>
      <c r="CI209" s="14" t="n">
        <v>0</v>
      </c>
      <c r="CJ209" s="14" t="n">
        <v>0</v>
      </c>
      <c r="CK209" s="14" t="n">
        <v>0</v>
      </c>
      <c r="CL209" s="14" t="n">
        <v>0</v>
      </c>
      <c r="CM209" s="14" t="n">
        <v>0</v>
      </c>
      <c r="CN209" s="14" t="n">
        <v>0</v>
      </c>
      <c r="CO209" s="14" t="n">
        <v>0</v>
      </c>
      <c r="CP209" s="14" t="n">
        <v>0</v>
      </c>
      <c r="CQ209" s="14" t="n">
        <v>1.387</v>
      </c>
      <c r="CR209" s="14" t="n">
        <v>0</v>
      </c>
      <c r="CS209" s="14" t="n">
        <v>5.529</v>
      </c>
      <c r="CT209" s="14" t="n">
        <v>4.251</v>
      </c>
      <c r="CU209" s="14" t="n">
        <v>10.123</v>
      </c>
    </row>
    <row r="210">
      <c r="A210" s="14" t="inlineStr">
        <is>
          <t>CYP2021</t>
        </is>
      </c>
      <c r="B210" s="14" t="inlineStr">
        <is>
          <t>CYP</t>
        </is>
      </c>
      <c r="C210" s="14" t="inlineStr">
        <is>
          <t>CYP</t>
        </is>
      </c>
      <c r="D210" s="14" t="inlineStr">
        <is>
          <t>Cyprus</t>
        </is>
      </c>
      <c r="E210" s="14" t="n">
        <v>2021</v>
      </c>
      <c r="F210" s="14" t="n">
        <v>0.19</v>
      </c>
      <c r="G210" s="14" t="n">
        <v>5.702</v>
      </c>
      <c r="H210" s="14" t="n">
        <v>1.13</v>
      </c>
      <c r="I210" s="14" t="n">
        <v>2.34</v>
      </c>
      <c r="J210" s="14" t="n">
        <v>8.041</v>
      </c>
      <c r="K210" s="14" t="n">
        <v>0</v>
      </c>
      <c r="L210" s="14" t="n">
        <v>1</v>
      </c>
      <c r="M210" s="14" t="n">
        <v>7.843</v>
      </c>
      <c r="N210" s="14" t="n">
        <v>3.389</v>
      </c>
      <c r="O210" s="14" t="n">
        <v>2.324</v>
      </c>
      <c r="P210" s="14" t="n">
        <v>10.167</v>
      </c>
      <c r="Q210" s="14" t="n">
        <v>0</v>
      </c>
      <c r="R210" s="14" t="n">
        <v>1</v>
      </c>
      <c r="S210" s="14" t="n">
        <v>11.349</v>
      </c>
      <c r="T210" s="14" t="n">
        <v>6.777</v>
      </c>
      <c r="U210" s="14" t="n">
        <v>0</v>
      </c>
      <c r="V210" s="14" t="n">
        <v>13.506</v>
      </c>
      <c r="W210" s="14" t="n">
        <v>0.19</v>
      </c>
      <c r="X210" s="14" t="n">
        <v>1</v>
      </c>
      <c r="Y210" s="14" t="n">
        <v>16.305</v>
      </c>
      <c r="Z210" s="14" t="n">
        <v>1.143</v>
      </c>
      <c r="AA210" s="14" t="n">
        <v>1.343</v>
      </c>
      <c r="AB210" s="14" t="n">
        <v>17.648</v>
      </c>
      <c r="AC210" s="14" t="n">
        <v>0</v>
      </c>
      <c r="AD210" s="14" t="n">
        <v>1</v>
      </c>
      <c r="AE210" s="14" t="n">
        <v>17.449</v>
      </c>
      <c r="AF210" s="14" t="n">
        <v>2.287</v>
      </c>
      <c r="AG210" s="14" t="n">
        <v>1.343</v>
      </c>
      <c r="AH210" s="14" t="n">
        <v>18.792</v>
      </c>
      <c r="AI210" s="14" t="n">
        <v>0</v>
      </c>
      <c r="AJ210" s="14" t="n">
        <v>1</v>
      </c>
      <c r="AK210" s="14" t="n">
        <v>24.309</v>
      </c>
      <c r="AL210" s="14" t="n">
        <v>9.147</v>
      </c>
      <c r="AM210" s="14" t="n">
        <v>0</v>
      </c>
      <c r="AN210" s="14" t="n">
        <v>28.927</v>
      </c>
      <c r="AO210" s="14" t="n">
        <v>0.19</v>
      </c>
      <c r="AP210" s="14" t="n">
        <v>1</v>
      </c>
      <c r="AQ210" s="14" t="n">
        <v>0.619</v>
      </c>
      <c r="AR210" s="14" t="n">
        <v>0.114</v>
      </c>
      <c r="AS210" s="14" t="n">
        <v>0.619</v>
      </c>
      <c r="AT210" s="14" t="n">
        <v>1.474</v>
      </c>
      <c r="AU210" s="14" t="n">
        <v>0.19</v>
      </c>
      <c r="AV210" s="14" t="n">
        <v>1</v>
      </c>
      <c r="AW210" s="14" t="n">
        <v>0.599</v>
      </c>
      <c r="AX210" s="14" t="n">
        <v>0.114</v>
      </c>
      <c r="AY210" s="14" t="n">
        <v>0.675</v>
      </c>
      <c r="AZ210" s="14" t="n">
        <v>1.517</v>
      </c>
      <c r="BA210" s="14" t="n">
        <v>0.19</v>
      </c>
      <c r="BB210" s="14" t="n">
        <v>1</v>
      </c>
      <c r="BC210" s="14" t="n">
        <v>0.439</v>
      </c>
      <c r="BD210" s="14" t="n">
        <v>0.114</v>
      </c>
      <c r="BE210" s="14" t="n">
        <v>0.005</v>
      </c>
      <c r="BF210" s="14" t="n">
        <v>0.528</v>
      </c>
      <c r="BG210" s="14" t="n">
        <v>0.19</v>
      </c>
      <c r="BH210" s="14" t="n">
        <v>1</v>
      </c>
      <c r="BI210" s="14" t="n">
        <v>0.505</v>
      </c>
      <c r="BJ210" s="14" t="n">
        <v>0.114</v>
      </c>
      <c r="BK210" s="14" t="n">
        <v>0.311</v>
      </c>
      <c r="BL210" s="14" t="n">
        <v>0.971</v>
      </c>
      <c r="BM210" s="14" t="n">
        <v>0.19</v>
      </c>
      <c r="BN210" s="14" t="n">
        <v>1</v>
      </c>
      <c r="BO210" s="14" t="n">
        <v>0</v>
      </c>
      <c r="BP210" s="14" t="n">
        <v>0.058</v>
      </c>
      <c r="BQ210" s="14" t="n">
        <v>0.2</v>
      </c>
      <c r="BR210" s="14" t="n">
        <v>0</v>
      </c>
      <c r="BS210" s="14" t="n">
        <v>1</v>
      </c>
      <c r="BT210" s="14" t="n">
        <v>0</v>
      </c>
      <c r="BU210" s="14" t="n">
        <v>0.052</v>
      </c>
      <c r="BV210" s="14" t="n">
        <v>0.253</v>
      </c>
      <c r="BW210" s="14" t="n">
        <v>0.19</v>
      </c>
      <c r="BX210" s="14" t="n">
        <v>1</v>
      </c>
      <c r="BY210" s="14" t="n">
        <v>11.787</v>
      </c>
      <c r="BZ210" s="14" t="n">
        <v>0</v>
      </c>
      <c r="CA210" s="14" t="n">
        <v>11.787</v>
      </c>
      <c r="CB210" s="14" t="n">
        <v>0</v>
      </c>
      <c r="CC210" s="14" t="n">
        <v>78.125</v>
      </c>
      <c r="CD210" s="14" t="n">
        <v>7.95</v>
      </c>
      <c r="CE210" s="14" t="n">
        <v>59.674</v>
      </c>
      <c r="CF210" s="14" t="n">
        <v>163.981</v>
      </c>
      <c r="CG210" s="14" t="n">
        <v>0.19</v>
      </c>
      <c r="CH210" s="14" t="n">
        <v>1</v>
      </c>
      <c r="CI210" s="14" t="n">
        <v>0</v>
      </c>
      <c r="CJ210" s="14" t="n">
        <v>0</v>
      </c>
      <c r="CK210" s="14" t="n">
        <v>0</v>
      </c>
      <c r="CL210" s="14" t="n">
        <v>0</v>
      </c>
      <c r="CM210" s="14" t="n">
        <v>0</v>
      </c>
      <c r="CN210" s="14" t="n">
        <v>0</v>
      </c>
      <c r="CO210" s="14" t="n">
        <v>0</v>
      </c>
      <c r="CP210" s="14" t="n">
        <v>0.024</v>
      </c>
      <c r="CQ210" s="14" t="n">
        <v>1.198</v>
      </c>
      <c r="CR210" s="14" t="n">
        <v>0</v>
      </c>
      <c r="CS210" s="14" t="n">
        <v>3.979</v>
      </c>
      <c r="CT210" s="14" t="n">
        <v>4.655</v>
      </c>
      <c r="CU210" s="14" t="n">
        <v>15.162</v>
      </c>
    </row>
    <row r="211">
      <c r="A211" s="14" t="inlineStr">
        <is>
          <t>CYP2022</t>
        </is>
      </c>
      <c r="B211" s="14" t="inlineStr">
        <is>
          <t>CYP</t>
        </is>
      </c>
      <c r="C211" s="14" t="inlineStr">
        <is>
          <t>CYP</t>
        </is>
      </c>
      <c r="D211" s="14" t="inlineStr">
        <is>
          <t>Cyprus</t>
        </is>
      </c>
      <c r="E211" s="14" t="n">
        <v>2022</v>
      </c>
      <c r="F211" s="14" t="n">
        <v>0.19</v>
      </c>
      <c r="G211" s="14" t="n">
        <v>9.759</v>
      </c>
      <c r="H211" s="14" t="n">
        <v>1.235</v>
      </c>
      <c r="I211" s="14" t="n">
        <v>8.414</v>
      </c>
      <c r="J211" s="14" t="n">
        <v>18.173</v>
      </c>
      <c r="K211" s="14" t="n">
        <v>0</v>
      </c>
      <c r="L211" s="14" t="n">
        <v>1</v>
      </c>
      <c r="M211" s="14" t="n">
        <v>9.782999999999999</v>
      </c>
      <c r="N211" s="14" t="n">
        <v>3.704</v>
      </c>
      <c r="O211" s="14" t="n">
        <v>8.358000000000001</v>
      </c>
      <c r="P211" s="14" t="n">
        <v>18.141</v>
      </c>
      <c r="Q211" s="14" t="n">
        <v>0</v>
      </c>
      <c r="R211" s="14" t="n">
        <v>1</v>
      </c>
      <c r="S211" s="14" t="n">
        <v>15.932</v>
      </c>
      <c r="T211" s="14" t="n">
        <v>7.408</v>
      </c>
      <c r="U211" s="14" t="n">
        <v>0.224</v>
      </c>
      <c r="V211" s="14" t="n">
        <v>18.959</v>
      </c>
      <c r="W211" s="14" t="n">
        <v>0.19</v>
      </c>
      <c r="X211" s="14" t="n">
        <v>1</v>
      </c>
      <c r="Y211" s="14" t="n">
        <v>32.56</v>
      </c>
      <c r="Z211" s="14" t="n">
        <v>1.235</v>
      </c>
      <c r="AA211" s="14" t="n">
        <v>4.829</v>
      </c>
      <c r="AB211" s="14" t="n">
        <v>37.389</v>
      </c>
      <c r="AC211" s="14" t="n">
        <v>0</v>
      </c>
      <c r="AD211" s="14" t="n">
        <v>1</v>
      </c>
      <c r="AE211" s="14" t="n">
        <v>33.795</v>
      </c>
      <c r="AF211" s="14" t="n">
        <v>2.469</v>
      </c>
      <c r="AG211" s="14" t="n">
        <v>4.831</v>
      </c>
      <c r="AH211" s="14" t="n">
        <v>38.626</v>
      </c>
      <c r="AI211" s="14" t="n">
        <v>0</v>
      </c>
      <c r="AJ211" s="14" t="n">
        <v>1</v>
      </c>
      <c r="AK211" s="14" t="n">
        <v>41.203</v>
      </c>
      <c r="AL211" s="14" t="n">
        <v>9.878</v>
      </c>
      <c r="AM211" s="14" t="n">
        <v>0.579</v>
      </c>
      <c r="AN211" s="14" t="n">
        <v>49.032</v>
      </c>
      <c r="AO211" s="14" t="n">
        <v>0.19</v>
      </c>
      <c r="AP211" s="14" t="n">
        <v>1</v>
      </c>
      <c r="AQ211" s="14" t="n">
        <v>0.861</v>
      </c>
      <c r="AR211" s="14" t="n">
        <v>0.123</v>
      </c>
      <c r="AS211" s="14" t="n">
        <v>0.499</v>
      </c>
      <c r="AT211" s="14" t="n">
        <v>1.618</v>
      </c>
      <c r="AU211" s="14" t="n">
        <v>0.19</v>
      </c>
      <c r="AV211" s="14" t="n">
        <v>1</v>
      </c>
      <c r="AW211" s="14" t="n">
        <v>0.986</v>
      </c>
      <c r="AX211" s="14" t="n">
        <v>0.123</v>
      </c>
      <c r="AY211" s="14" t="n">
        <v>0.556</v>
      </c>
      <c r="AZ211" s="14" t="n">
        <v>1.835</v>
      </c>
      <c r="BA211" s="14" t="n">
        <v>0.19</v>
      </c>
      <c r="BB211" s="14" t="n">
        <v>1</v>
      </c>
      <c r="BC211" s="14" t="n">
        <v>0.598</v>
      </c>
      <c r="BD211" s="14" t="n">
        <v>0.123</v>
      </c>
      <c r="BE211" s="14" t="n">
        <v>0.016</v>
      </c>
      <c r="BF211" s="14" t="n">
        <v>0.72</v>
      </c>
      <c r="BG211" s="14" t="n">
        <v>0.19</v>
      </c>
      <c r="BH211" s="14" t="n">
        <v>1</v>
      </c>
      <c r="BI211" s="14" t="n">
        <v>0.612</v>
      </c>
      <c r="BJ211" s="14" t="n">
        <v>0.123</v>
      </c>
      <c r="BK211" s="14" t="n">
        <v>0.525</v>
      </c>
      <c r="BL211" s="14" t="n">
        <v>1.353</v>
      </c>
      <c r="BM211" s="14" t="n">
        <v>0.19</v>
      </c>
      <c r="BN211" s="14" t="n">
        <v>1</v>
      </c>
      <c r="BO211" s="14" t="n">
        <v>0</v>
      </c>
      <c r="BP211" s="14" t="n">
        <v>0.076</v>
      </c>
      <c r="BQ211" s="14" t="n">
        <v>0.285</v>
      </c>
      <c r="BR211" s="14" t="n">
        <v>0</v>
      </c>
      <c r="BS211" s="14" t="n">
        <v>1</v>
      </c>
      <c r="BT211" s="14" t="n">
        <v>0</v>
      </c>
      <c r="BU211" s="14" t="n">
        <v>0.046</v>
      </c>
      <c r="BV211" s="14" t="n">
        <v>0.309</v>
      </c>
      <c r="BW211" s="14" t="n">
        <v>0.19</v>
      </c>
      <c r="BX211" s="14" t="n">
        <v>1</v>
      </c>
      <c r="BY211" s="14" t="n">
        <v>12.729</v>
      </c>
      <c r="BZ211" s="14" t="n">
        <v>0</v>
      </c>
      <c r="CA211" s="14" t="n">
        <v>12.729</v>
      </c>
      <c r="CB211" s="14" t="n">
        <v>0</v>
      </c>
      <c r="CC211" s="14" t="n">
        <v>97.90000000000001</v>
      </c>
      <c r="CD211" s="14" t="n">
        <v>7.95</v>
      </c>
      <c r="CE211" s="14" t="n">
        <v>116.835</v>
      </c>
      <c r="CF211" s="14" t="n">
        <v>255.534</v>
      </c>
      <c r="CG211" s="14" t="n">
        <v>0.19</v>
      </c>
      <c r="CH211" s="14" t="n">
        <v>1</v>
      </c>
      <c r="CI211" s="14" t="n">
        <v>0</v>
      </c>
      <c r="CJ211" s="14" t="n">
        <v>0</v>
      </c>
      <c r="CK211" s="14" t="n">
        <v>0</v>
      </c>
      <c r="CL211" s="14" t="n">
        <v>0</v>
      </c>
      <c r="CM211" s="14" t="n">
        <v>0</v>
      </c>
      <c r="CN211" s="14" t="n">
        <v>0</v>
      </c>
      <c r="CO211" s="14" t="n">
        <v>0</v>
      </c>
      <c r="CP211" s="14" t="n">
        <v>0</v>
      </c>
      <c r="CQ211" s="14" t="n">
        <v>1.294</v>
      </c>
      <c r="CR211" s="14" t="n">
        <v>0</v>
      </c>
      <c r="CS211" s="14" t="n">
        <v>4.297</v>
      </c>
      <c r="CT211" s="14" t="n">
        <v>8.523999999999999</v>
      </c>
      <c r="CU211" s="14" t="n">
        <v>31.326</v>
      </c>
    </row>
    <row r="212">
      <c r="A212" s="14" t="inlineStr">
        <is>
          <t>CYP2023</t>
        </is>
      </c>
      <c r="B212" s="14" t="inlineStr">
        <is>
          <t>CYP</t>
        </is>
      </c>
      <c r="C212" s="14" t="inlineStr">
        <is>
          <t>CYP</t>
        </is>
      </c>
      <c r="D212" s="14" t="inlineStr">
        <is>
          <t>Cyprus</t>
        </is>
      </c>
      <c r="E212" s="14" t="n">
        <v>2023</v>
      </c>
      <c r="F212" s="14" t="n">
        <v>0.19</v>
      </c>
      <c r="G212" s="14" t="n">
        <v>4.261</v>
      </c>
      <c r="H212" s="14" t="n">
        <v>0.947</v>
      </c>
      <c r="I212" s="14" t="n">
        <v>9.750999999999999</v>
      </c>
      <c r="J212" s="14" t="n">
        <v>14.011</v>
      </c>
      <c r="K212" s="14" t="n">
        <v>0</v>
      </c>
      <c r="L212" s="14" t="n">
        <v>1</v>
      </c>
      <c r="M212" s="14" t="n">
        <v>5.459</v>
      </c>
      <c r="N212" s="14" t="n">
        <v>2.841</v>
      </c>
      <c r="O212" s="14" t="n">
        <v>9.686</v>
      </c>
      <c r="P212" s="14" t="n">
        <v>15.145</v>
      </c>
      <c r="Q212" s="14" t="n">
        <v>0</v>
      </c>
      <c r="R212" s="14" t="n">
        <v>1</v>
      </c>
      <c r="S212" s="14" t="n">
        <v>8.997</v>
      </c>
      <c r="T212" s="14" t="n">
        <v>5.683</v>
      </c>
      <c r="U212" s="14" t="n">
        <v>0.189</v>
      </c>
      <c r="V212" s="14" t="n">
        <v>10.706</v>
      </c>
      <c r="W212" s="14" t="n">
        <v>0.19</v>
      </c>
      <c r="X212" s="14" t="n">
        <v>1</v>
      </c>
      <c r="Y212" s="14" t="n">
        <v>12.908</v>
      </c>
      <c r="Z212" s="14" t="n">
        <v>1.286</v>
      </c>
      <c r="AA212" s="14" t="n">
        <v>5.596</v>
      </c>
      <c r="AB212" s="14" t="n">
        <v>18.504</v>
      </c>
      <c r="AC212" s="14" t="n">
        <v>0</v>
      </c>
      <c r="AD212" s="14" t="n">
        <v>1</v>
      </c>
      <c r="AE212" s="14" t="n">
        <v>14.194</v>
      </c>
      <c r="AF212" s="14" t="n">
        <v>2.571</v>
      </c>
      <c r="AG212" s="14" t="n">
        <v>5.598</v>
      </c>
      <c r="AH212" s="14" t="n">
        <v>19.792</v>
      </c>
      <c r="AI212" s="14" t="n">
        <v>0</v>
      </c>
      <c r="AJ212" s="14" t="n">
        <v>1</v>
      </c>
      <c r="AK212" s="14" t="n">
        <v>21.908</v>
      </c>
      <c r="AL212" s="14" t="n">
        <v>10.285</v>
      </c>
      <c r="AM212" s="14" t="n">
        <v>0.461</v>
      </c>
      <c r="AN212" s="14" t="n">
        <v>26.07</v>
      </c>
      <c r="AO212" s="14" t="n">
        <v>0.19</v>
      </c>
      <c r="AP212" s="14" t="n">
        <v>1</v>
      </c>
      <c r="AQ212" s="14" t="n">
        <v>0.76</v>
      </c>
      <c r="AR212" s="14" t="n">
        <v>0.129</v>
      </c>
      <c r="AS212" s="14" t="n">
        <v>0.555</v>
      </c>
      <c r="AT212" s="14" t="n">
        <v>1.566</v>
      </c>
      <c r="AU212" s="14" t="n">
        <v>0.19</v>
      </c>
      <c r="AV212" s="14" t="n">
        <v>1</v>
      </c>
      <c r="AW212" s="14" t="n">
        <v>0.8110000000000001</v>
      </c>
      <c r="AX212" s="14" t="n">
        <v>0.129</v>
      </c>
      <c r="AY212" s="14" t="n">
        <v>0.594</v>
      </c>
      <c r="AZ212" s="14" t="n">
        <v>1.673</v>
      </c>
      <c r="BA212" s="14" t="n">
        <v>0.19</v>
      </c>
      <c r="BB212" s="14" t="n">
        <v>1</v>
      </c>
      <c r="BC212" s="14" t="n">
        <v>0.535</v>
      </c>
      <c r="BD212" s="14" t="n">
        <v>0.129</v>
      </c>
      <c r="BE212" s="14" t="n">
        <v>0.018</v>
      </c>
      <c r="BF212" s="14" t="n">
        <v>0.644</v>
      </c>
      <c r="BG212" s="14" t="n">
        <v>0.19</v>
      </c>
      <c r="BH212" s="14" t="n">
        <v>1</v>
      </c>
      <c r="BI212" s="14" t="n">
        <v>0.579</v>
      </c>
      <c r="BJ212" s="14" t="n">
        <v>0.129</v>
      </c>
      <c r="BK212" s="14" t="n">
        <v>0.497</v>
      </c>
      <c r="BL212" s="14" t="n">
        <v>1.281</v>
      </c>
      <c r="BM212" s="14" t="n">
        <v>0.19</v>
      </c>
      <c r="BN212" s="14" t="n">
        <v>1</v>
      </c>
      <c r="BO212" s="14" t="n">
        <v>0</v>
      </c>
      <c r="BP212" s="14" t="n">
        <v>0.08599999999999999</v>
      </c>
      <c r="BQ212" s="14" t="n">
        <v>0.291</v>
      </c>
      <c r="BR212" s="14" t="n">
        <v>0</v>
      </c>
      <c r="BS212" s="14" t="n">
        <v>1</v>
      </c>
      <c r="BT212" s="14" t="n">
        <v>0</v>
      </c>
      <c r="BU212" s="14" t="n">
        <v>0.089</v>
      </c>
      <c r="BV212" s="14" t="n">
        <v>0.389</v>
      </c>
      <c r="BW212" s="14" t="n">
        <v>0.19</v>
      </c>
      <c r="BX212" s="14" t="n">
        <v>1</v>
      </c>
      <c r="BY212" s="14" t="n">
        <v>13.254</v>
      </c>
      <c r="BZ212" s="14" t="n">
        <v>0</v>
      </c>
      <c r="CA212" s="14" t="n">
        <v>13.254</v>
      </c>
      <c r="CB212" s="14" t="n">
        <v>0</v>
      </c>
      <c r="CC212" s="14" t="n">
        <v>83.248</v>
      </c>
      <c r="CD212" s="14" t="n">
        <v>7.95</v>
      </c>
      <c r="CE212" s="14" t="n">
        <v>115.756</v>
      </c>
      <c r="CF212" s="14" t="n">
        <v>236.815</v>
      </c>
      <c r="CG212" s="14" t="n">
        <v>0.19</v>
      </c>
      <c r="CH212" s="14" t="n">
        <v>1</v>
      </c>
      <c r="CI212" s="14" t="n">
        <v>0</v>
      </c>
      <c r="CJ212" s="14" t="n">
        <v>0</v>
      </c>
      <c r="CK212" s="14" t="n">
        <v>0</v>
      </c>
      <c r="CL212" s="14" t="n">
        <v>0</v>
      </c>
      <c r="CM212" s="14" t="n">
        <v>0</v>
      </c>
      <c r="CN212" s="14" t="n">
        <v>0</v>
      </c>
      <c r="CO212" s="14" t="n">
        <v>0</v>
      </c>
      <c r="CP212" s="14" t="n">
        <v>0.527</v>
      </c>
      <c r="CQ212" s="14" t="n">
        <v>1.348</v>
      </c>
      <c r="CR212" s="14" t="n">
        <v>0</v>
      </c>
      <c r="CS212" s="14" t="n">
        <v>4.474</v>
      </c>
      <c r="CT212" s="14" t="n">
        <v>5.5</v>
      </c>
      <c r="CU212" s="14" t="n">
        <v>11.622</v>
      </c>
    </row>
    <row r="213">
      <c r="A213" s="14" t="inlineStr">
        <is>
          <t>CYP2024</t>
        </is>
      </c>
      <c r="B213" s="14" t="inlineStr">
        <is>
          <t>CYP</t>
        </is>
      </c>
      <c r="C213" s="14" t="inlineStr">
        <is>
          <t>CYP</t>
        </is>
      </c>
      <c r="D213" s="14" t="inlineStr">
        <is>
          <t>Cyprus</t>
        </is>
      </c>
      <c r="E213" s="14" t="n">
        <v>2024</v>
      </c>
      <c r="F213" s="14" t="n">
        <v>0.19</v>
      </c>
      <c r="G213" s="14" t="n">
        <v>3.922</v>
      </c>
      <c r="H213" s="14" t="n">
        <v>0.975</v>
      </c>
      <c r="I213" s="14" t="n">
        <v>6.39</v>
      </c>
      <c r="J213" s="14" t="n">
        <v>10.312</v>
      </c>
      <c r="K213" s="14" t="n">
        <v>0</v>
      </c>
      <c r="L213" s="14" t="n">
        <v>1</v>
      </c>
      <c r="M213" s="14" t="n">
        <v>5.149</v>
      </c>
      <c r="N213" s="14" t="n">
        <v>2.925</v>
      </c>
      <c r="O213" s="14" t="n">
        <v>6.347</v>
      </c>
      <c r="P213" s="14" t="n">
        <v>11.496</v>
      </c>
      <c r="Q213" s="14" t="n">
        <v>0</v>
      </c>
      <c r="R213" s="14" t="n">
        <v>1</v>
      </c>
      <c r="S213" s="14" t="n">
        <v>8.797000000000001</v>
      </c>
      <c r="T213" s="14" t="n">
        <v>5.851</v>
      </c>
      <c r="U213" s="14" t="n">
        <v>0.228</v>
      </c>
      <c r="V213" s="14" t="n">
        <v>10.469</v>
      </c>
      <c r="W213" s="14" t="n">
        <v>0.19</v>
      </c>
      <c r="X213" s="14" t="n">
        <v>1</v>
      </c>
      <c r="Y213" s="14" t="n">
        <v>11.492</v>
      </c>
      <c r="Z213" s="14" t="n">
        <v>1.324</v>
      </c>
      <c r="AA213" s="14" t="n">
        <v>3.667</v>
      </c>
      <c r="AB213" s="14" t="n">
        <v>15.159</v>
      </c>
      <c r="AC213" s="14" t="n">
        <v>0</v>
      </c>
      <c r="AD213" s="14" t="n">
        <v>1</v>
      </c>
      <c r="AE213" s="14" t="n">
        <v>12.815</v>
      </c>
      <c r="AF213" s="14" t="n">
        <v>2.647</v>
      </c>
      <c r="AG213" s="14" t="n">
        <v>3.668</v>
      </c>
      <c r="AH213" s="14" t="n">
        <v>16.484</v>
      </c>
      <c r="AI213" s="14" t="n">
        <v>0</v>
      </c>
      <c r="AJ213" s="14" t="n">
        <v>1</v>
      </c>
      <c r="AK213" s="14" t="n">
        <v>20.757</v>
      </c>
      <c r="AL213" s="14" t="n">
        <v>10.589</v>
      </c>
      <c r="AM213" s="14" t="n">
        <v>0.537</v>
      </c>
      <c r="AN213" s="14" t="n">
        <v>24.701</v>
      </c>
      <c r="AO213" s="14" t="n">
        <v>0.19</v>
      </c>
      <c r="AP213" s="14" t="n">
        <v>1</v>
      </c>
      <c r="AQ213" s="14" t="n">
        <v>0.724</v>
      </c>
      <c r="AR213" s="14" t="n">
        <v>0.132</v>
      </c>
      <c r="AS213" s="14" t="n">
        <v>0.585</v>
      </c>
      <c r="AT213" s="14" t="n">
        <v>1.558</v>
      </c>
      <c r="AU213" s="14" t="n">
        <v>0.19</v>
      </c>
      <c r="AV213" s="14" t="n">
        <v>1</v>
      </c>
      <c r="AW213" s="14" t="n">
        <v>0.75</v>
      </c>
      <c r="AX213" s="14" t="n">
        <v>0.132</v>
      </c>
      <c r="AY213" s="14" t="n">
        <v>0.62</v>
      </c>
      <c r="AZ213" s="14" t="n">
        <v>1.63</v>
      </c>
      <c r="BA213" s="14" t="n">
        <v>0.19</v>
      </c>
      <c r="BB213" s="14" t="n">
        <v>1</v>
      </c>
      <c r="BC213" s="14" t="n">
        <v>0.513</v>
      </c>
      <c r="BD213" s="14" t="n">
        <v>0.132</v>
      </c>
      <c r="BE213" s="14" t="n">
        <v>0.019</v>
      </c>
      <c r="BF213" s="14" t="n">
        <v>0.618</v>
      </c>
      <c r="BG213" s="14" t="n">
        <v>0.19</v>
      </c>
      <c r="BH213" s="14" t="n">
        <v>1</v>
      </c>
      <c r="BI213" s="14" t="n">
        <v>0.591</v>
      </c>
      <c r="BJ213" s="14" t="n">
        <v>0.132</v>
      </c>
      <c r="BK213" s="14" t="n">
        <v>0.468</v>
      </c>
      <c r="BL213" s="14" t="n">
        <v>1.261</v>
      </c>
      <c r="BM213" s="14" t="n">
        <v>0.19</v>
      </c>
      <c r="BN213" s="14" t="n">
        <v>1</v>
      </c>
      <c r="BO213" s="14" t="n">
        <v>0</v>
      </c>
      <c r="BP213" s="14" t="n">
        <v>0.06900000000000001</v>
      </c>
      <c r="BQ213" s="14" t="n">
        <v>0.262</v>
      </c>
      <c r="BR213" s="14" t="n">
        <v>0</v>
      </c>
      <c r="BS213" s="14" t="n">
        <v>1</v>
      </c>
      <c r="BT213" s="14" t="n">
        <v>0</v>
      </c>
      <c r="BU213" s="14" t="n">
        <v>0.06900000000000001</v>
      </c>
      <c r="BV213" s="14" t="n">
        <v>0.351</v>
      </c>
      <c r="BW213" s="14" t="n">
        <v>0.19</v>
      </c>
      <c r="BX213" s="14" t="n">
        <v>1</v>
      </c>
      <c r="BY213" s="14" t="n">
        <v>13.646</v>
      </c>
      <c r="BZ213" s="14" t="n">
        <v>0</v>
      </c>
      <c r="CA213" s="14" t="n">
        <v>13.646</v>
      </c>
      <c r="CB213" s="14" t="n">
        <v>0</v>
      </c>
      <c r="CC213" s="14" t="n">
        <v>82.58799999999999</v>
      </c>
      <c r="CD213" s="14" t="n">
        <v>7.95</v>
      </c>
      <c r="CE213" s="14" t="n">
        <v>97.929</v>
      </c>
      <c r="CF213" s="14" t="n">
        <v>214.815</v>
      </c>
      <c r="CG213" s="14" t="n">
        <v>0.19</v>
      </c>
      <c r="CH213" s="14" t="n">
        <v>1</v>
      </c>
      <c r="CI213" s="14" t="n">
        <v>0</v>
      </c>
      <c r="CJ213" s="14" t="n">
        <v>0</v>
      </c>
      <c r="CK213" s="14" t="n">
        <v>0</v>
      </c>
      <c r="CL213" s="14" t="n">
        <v>0</v>
      </c>
      <c r="CM213" s="14" t="n">
        <v>0</v>
      </c>
      <c r="CN213" s="14" t="n">
        <v>0</v>
      </c>
      <c r="CO213" s="14" t="n">
        <v>0</v>
      </c>
      <c r="CP213" s="14" t="n">
        <v>0.527</v>
      </c>
      <c r="CQ213" s="14" t="n">
        <v>1.387</v>
      </c>
      <c r="CR213" s="14" t="n">
        <v>0</v>
      </c>
      <c r="CS213" s="14" t="n">
        <v>4.607</v>
      </c>
      <c r="CT213" s="14" t="n">
        <v>4.681</v>
      </c>
      <c r="CU213" s="14" t="n">
        <v>10.168</v>
      </c>
    </row>
    <row r="214">
      <c r="A214" s="14" t="inlineStr">
        <is>
          <t>CZE2021</t>
        </is>
      </c>
      <c r="B214" s="14" t="inlineStr">
        <is>
          <t>CZE</t>
        </is>
      </c>
      <c r="C214" s="14" t="inlineStr">
        <is>
          <t>CZE</t>
        </is>
      </c>
      <c r="D214" s="14" t="inlineStr">
        <is>
          <t>Czechia</t>
        </is>
      </c>
      <c r="E214" s="14" t="n">
        <v>2021</v>
      </c>
      <c r="F214" s="14" t="n">
        <v>0.21</v>
      </c>
      <c r="G214" s="14" t="n">
        <v>1.563</v>
      </c>
      <c r="H214" s="14" t="n">
        <v>0.342</v>
      </c>
      <c r="I214" s="14" t="n">
        <v>1.887</v>
      </c>
      <c r="J214" s="14" t="n">
        <v>3.449</v>
      </c>
      <c r="K214" s="14" t="n">
        <v>0</v>
      </c>
      <c r="L214" s="14" t="n">
        <v>1</v>
      </c>
      <c r="M214" s="14" t="n">
        <v>1.508</v>
      </c>
      <c r="N214" s="14" t="n">
        <v>0.6840000000000001</v>
      </c>
      <c r="O214" s="14" t="n">
        <v>1.941</v>
      </c>
      <c r="P214" s="14" t="n">
        <v>3.449</v>
      </c>
      <c r="Q214" s="14" t="n">
        <v>0</v>
      </c>
      <c r="R214" s="14" t="n">
        <v>1</v>
      </c>
      <c r="S214" s="14" t="n">
        <v>5.018</v>
      </c>
      <c r="T214" s="14" t="n">
        <v>3.11</v>
      </c>
      <c r="U214" s="14" t="n">
        <v>0.396</v>
      </c>
      <c r="V214" s="14" t="n">
        <v>6.55</v>
      </c>
      <c r="W214" s="14" t="n">
        <v>0.21</v>
      </c>
      <c r="X214" s="14" t="n">
        <v>1</v>
      </c>
      <c r="Y214" s="14" t="n">
        <v>14.741</v>
      </c>
      <c r="Z214" s="14" t="n">
        <v>1.628</v>
      </c>
      <c r="AA214" s="14" t="n">
        <v>-4.153</v>
      </c>
      <c r="AB214" s="14" t="n">
        <v>10.587</v>
      </c>
      <c r="AC214" s="14" t="n">
        <v>0</v>
      </c>
      <c r="AD214" s="14" t="n">
        <v>1</v>
      </c>
      <c r="AE214" s="14" t="n">
        <v>14.697</v>
      </c>
      <c r="AF214" s="14" t="n">
        <v>2.892</v>
      </c>
      <c r="AG214" s="14" t="n">
        <v>-4.11</v>
      </c>
      <c r="AH214" s="14" t="n">
        <v>10.587</v>
      </c>
      <c r="AI214" s="14" t="n">
        <v>0</v>
      </c>
      <c r="AJ214" s="14" t="n">
        <v>1</v>
      </c>
      <c r="AK214" s="14" t="n">
        <v>21.341</v>
      </c>
      <c r="AL214" s="14" t="n">
        <v>10.474</v>
      </c>
      <c r="AM214" s="14" t="n">
        <v>-6.187</v>
      </c>
      <c r="AN214" s="14" t="n">
        <v>18.335</v>
      </c>
      <c r="AO214" s="14" t="n">
        <v>0.21</v>
      </c>
      <c r="AP214" s="14" t="n">
        <v>1</v>
      </c>
      <c r="AQ214" s="14" t="n">
        <v>0.619</v>
      </c>
      <c r="AR214" s="14" t="n">
        <v>0.114</v>
      </c>
      <c r="AS214" s="14" t="n">
        <v>0.634</v>
      </c>
      <c r="AT214" s="14" t="n">
        <v>1.516</v>
      </c>
      <c r="AU214" s="14" t="n">
        <v>0.21</v>
      </c>
      <c r="AV214" s="14" t="n">
        <v>1</v>
      </c>
      <c r="AW214" s="14" t="n">
        <v>0.599</v>
      </c>
      <c r="AX214" s="14" t="n">
        <v>0.114</v>
      </c>
      <c r="AY214" s="14" t="n">
        <v>0.595</v>
      </c>
      <c r="AZ214" s="14" t="n">
        <v>1.445</v>
      </c>
      <c r="BA214" s="14" t="n">
        <v>0.21</v>
      </c>
      <c r="BB214" s="14" t="n">
        <v>1</v>
      </c>
      <c r="BC214" s="14" t="n">
        <v>0.439</v>
      </c>
      <c r="BD214" s="14" t="n">
        <v>0.114</v>
      </c>
      <c r="BE214" s="14" t="n">
        <v>0.103</v>
      </c>
      <c r="BF214" s="14" t="n">
        <v>0.656</v>
      </c>
      <c r="BG214" s="14" t="n">
        <v>0.21</v>
      </c>
      <c r="BH214" s="14" t="n">
        <v>1</v>
      </c>
      <c r="BI214" s="14" t="n">
        <v>0.505</v>
      </c>
      <c r="BJ214" s="14" t="n">
        <v>0.114</v>
      </c>
      <c r="BK214" s="14" t="n">
        <v>0.227</v>
      </c>
      <c r="BL214" s="14" t="n">
        <v>0.885</v>
      </c>
      <c r="BM214" s="14" t="n">
        <v>0.21</v>
      </c>
      <c r="BN214" s="14" t="n">
        <v>1</v>
      </c>
      <c r="BO214" s="14" t="n">
        <v>0</v>
      </c>
      <c r="BP214" s="14" t="n">
        <v>0.01</v>
      </c>
      <c r="BQ214" s="14" t="n">
        <v>0.096</v>
      </c>
      <c r="BR214" s="14" t="n">
        <v>0</v>
      </c>
      <c r="BS214" s="14" t="n">
        <v>1</v>
      </c>
      <c r="BT214" s="14" t="n">
        <v>0</v>
      </c>
      <c r="BU214" s="14" t="n">
        <v>0.021</v>
      </c>
      <c r="BV214" s="14" t="n">
        <v>0.218</v>
      </c>
      <c r="BW214" s="14" t="n">
        <v>0.21</v>
      </c>
      <c r="BX214" s="14" t="n">
        <v>1</v>
      </c>
      <c r="BY214" s="14" t="n">
        <v>11.787</v>
      </c>
      <c r="BZ214" s="14" t="n">
        <v>0</v>
      </c>
      <c r="CA214" s="14" t="n">
        <v>11.787</v>
      </c>
      <c r="CB214" s="14" t="n">
        <v>0</v>
      </c>
      <c r="CC214" s="14" t="n">
        <v>78.125</v>
      </c>
      <c r="CD214" s="14" t="n">
        <v>7.95</v>
      </c>
      <c r="CE214" s="14" t="n">
        <v>39.796</v>
      </c>
      <c r="CF214" s="14" t="n">
        <v>142.685</v>
      </c>
      <c r="CG214" s="14" t="n">
        <v>0.21</v>
      </c>
      <c r="CH214" s="14" t="n">
        <v>1</v>
      </c>
      <c r="CI214" s="14" t="n">
        <v>0</v>
      </c>
      <c r="CJ214" s="14" t="n">
        <v>0</v>
      </c>
      <c r="CK214" s="14" t="n">
        <v>0</v>
      </c>
      <c r="CL214" s="14" t="n">
        <v>0</v>
      </c>
      <c r="CM214" s="14" t="n">
        <v>0</v>
      </c>
      <c r="CN214" s="14" t="n">
        <v>0</v>
      </c>
      <c r="CO214" s="14" t="n">
        <v>0</v>
      </c>
      <c r="CP214" s="14" t="n">
        <v>0</v>
      </c>
      <c r="CQ214" s="14" t="n">
        <v>1.198</v>
      </c>
      <c r="CR214" s="14" t="n">
        <v>0</v>
      </c>
      <c r="CS214" s="14" t="n">
        <v>4.776</v>
      </c>
      <c r="CT214" s="14" t="n">
        <v>5.416</v>
      </c>
      <c r="CU214" s="14" t="n">
        <v>10.236</v>
      </c>
    </row>
    <row r="215">
      <c r="A215" s="14" t="inlineStr">
        <is>
          <t>CZE2022</t>
        </is>
      </c>
      <c r="B215" s="14" t="inlineStr">
        <is>
          <t>CZE</t>
        </is>
      </c>
      <c r="C215" s="14" t="inlineStr">
        <is>
          <t>CZE</t>
        </is>
      </c>
      <c r="D215" s="14" t="inlineStr">
        <is>
          <t>Czechia</t>
        </is>
      </c>
      <c r="E215" s="14" t="n">
        <v>2022</v>
      </c>
      <c r="F215" s="14" t="n">
        <v>0.21</v>
      </c>
      <c r="G215" s="14" t="n">
        <v>3.418</v>
      </c>
      <c r="H215" s="14" t="n">
        <v>0.531</v>
      </c>
      <c r="I215" s="14" t="n">
        <v>8.521000000000001</v>
      </c>
      <c r="J215" s="14" t="n">
        <v>11.939</v>
      </c>
      <c r="K215" s="14" t="n">
        <v>0</v>
      </c>
      <c r="L215" s="14" t="n">
        <v>1</v>
      </c>
      <c r="M215" s="14" t="n">
        <v>3.304</v>
      </c>
      <c r="N215" s="14" t="n">
        <v>1.364</v>
      </c>
      <c r="O215" s="14" t="n">
        <v>8.634</v>
      </c>
      <c r="P215" s="14" t="n">
        <v>11.939</v>
      </c>
      <c r="Q215" s="14" t="n">
        <v>0</v>
      </c>
      <c r="R215" s="14" t="n">
        <v>1</v>
      </c>
      <c r="S215" s="14" t="n">
        <v>7.282</v>
      </c>
      <c r="T215" s="14" t="n">
        <v>3.566</v>
      </c>
      <c r="U215" s="14" t="n">
        <v>0.392</v>
      </c>
      <c r="V215" s="14" t="n">
        <v>9.285</v>
      </c>
      <c r="W215" s="14" t="n">
        <v>0.21</v>
      </c>
      <c r="X215" s="14" t="n">
        <v>1</v>
      </c>
      <c r="Y215" s="14" t="n">
        <v>31.968</v>
      </c>
      <c r="Z215" s="14" t="n">
        <v>3.354</v>
      </c>
      <c r="AA215" s="14" t="n">
        <v>-5.173</v>
      </c>
      <c r="AB215" s="14" t="n">
        <v>26.795</v>
      </c>
      <c r="AC215" s="14" t="n">
        <v>0</v>
      </c>
      <c r="AD215" s="14" t="n">
        <v>1</v>
      </c>
      <c r="AE215" s="14" t="n">
        <v>32.016</v>
      </c>
      <c r="AF215" s="14" t="n">
        <v>5.935</v>
      </c>
      <c r="AG215" s="14" t="n">
        <v>-5.221</v>
      </c>
      <c r="AH215" s="14" t="n">
        <v>26.795</v>
      </c>
      <c r="AI215" s="14" t="n">
        <v>0</v>
      </c>
      <c r="AJ215" s="14" t="n">
        <v>1</v>
      </c>
      <c r="AK215" s="14" t="n">
        <v>39.208</v>
      </c>
      <c r="AL215" s="14" t="n">
        <v>18.723</v>
      </c>
      <c r="AM215" s="14" t="n">
        <v>-17.909</v>
      </c>
      <c r="AN215" s="14" t="n">
        <v>25.771</v>
      </c>
      <c r="AO215" s="14" t="n">
        <v>0.21</v>
      </c>
      <c r="AP215" s="14" t="n">
        <v>1</v>
      </c>
      <c r="AQ215" s="14" t="n">
        <v>0.861</v>
      </c>
      <c r="AR215" s="14" t="n">
        <v>0.123</v>
      </c>
      <c r="AS215" s="14" t="n">
        <v>0.615</v>
      </c>
      <c r="AT215" s="14" t="n">
        <v>1.786</v>
      </c>
      <c r="AU215" s="14" t="n">
        <v>0.21</v>
      </c>
      <c r="AV215" s="14" t="n">
        <v>1</v>
      </c>
      <c r="AW215" s="14" t="n">
        <v>0.986</v>
      </c>
      <c r="AX215" s="14" t="n">
        <v>0.123</v>
      </c>
      <c r="AY215" s="14" t="n">
        <v>0.549</v>
      </c>
      <c r="AZ215" s="14" t="n">
        <v>1.857</v>
      </c>
      <c r="BA215" s="14" t="n">
        <v>0.21</v>
      </c>
      <c r="BB215" s="14" t="n">
        <v>1</v>
      </c>
      <c r="BC215" s="14" t="n">
        <v>0.598</v>
      </c>
      <c r="BD215" s="14" t="n">
        <v>0.123</v>
      </c>
      <c r="BE215" s="14" t="n">
        <v>0.068</v>
      </c>
      <c r="BF215" s="14" t="n">
        <v>0.806</v>
      </c>
      <c r="BG215" s="14" t="n">
        <v>0.21</v>
      </c>
      <c r="BH215" s="14" t="n">
        <v>1</v>
      </c>
      <c r="BI215" s="14" t="n">
        <v>0.612</v>
      </c>
      <c r="BJ215" s="14" t="n">
        <v>0.123</v>
      </c>
      <c r="BK215" s="14" t="n">
        <v>0.549</v>
      </c>
      <c r="BL215" s="14" t="n">
        <v>1.406</v>
      </c>
      <c r="BM215" s="14" t="n">
        <v>0.21</v>
      </c>
      <c r="BN215" s="14" t="n">
        <v>1</v>
      </c>
      <c r="BO215" s="14" t="n">
        <v>0</v>
      </c>
      <c r="BP215" s="14" t="n">
        <v>0.006</v>
      </c>
      <c r="BQ215" s="14" t="n">
        <v>0.187</v>
      </c>
      <c r="BR215" s="14" t="n">
        <v>0</v>
      </c>
      <c r="BS215" s="14" t="n">
        <v>1</v>
      </c>
      <c r="BT215" s="14" t="n">
        <v>0</v>
      </c>
      <c r="BU215" s="14" t="n">
        <v>-0.035</v>
      </c>
      <c r="BV215" s="14" t="n">
        <v>0.219</v>
      </c>
      <c r="BW215" s="14" t="n">
        <v>0.21</v>
      </c>
      <c r="BX215" s="14" t="n">
        <v>1</v>
      </c>
      <c r="BY215" s="14" t="n">
        <v>12.729</v>
      </c>
      <c r="BZ215" s="14" t="n">
        <v>0</v>
      </c>
      <c r="CA215" s="14" t="n">
        <v>12.729</v>
      </c>
      <c r="CB215" s="14" t="n">
        <v>0</v>
      </c>
      <c r="CC215" s="14" t="n">
        <v>97.90000000000001</v>
      </c>
      <c r="CD215" s="14" t="n">
        <v>7.95</v>
      </c>
      <c r="CE215" s="14" t="n">
        <v>114.227</v>
      </c>
      <c r="CF215" s="14" t="n">
        <v>256.674</v>
      </c>
      <c r="CG215" s="14" t="n">
        <v>0.21</v>
      </c>
      <c r="CH215" s="14" t="n">
        <v>1</v>
      </c>
      <c r="CI215" s="14" t="n">
        <v>0</v>
      </c>
      <c r="CJ215" s="14" t="n">
        <v>0</v>
      </c>
      <c r="CK215" s="14" t="n">
        <v>0</v>
      </c>
      <c r="CL215" s="14" t="n">
        <v>0</v>
      </c>
      <c r="CM215" s="14" t="n">
        <v>0</v>
      </c>
      <c r="CN215" s="14" t="n">
        <v>0</v>
      </c>
      <c r="CO215" s="14" t="n">
        <v>0</v>
      </c>
      <c r="CP215" s="14" t="n">
        <v>0</v>
      </c>
      <c r="CQ215" s="14" t="n">
        <v>1.294</v>
      </c>
      <c r="CR215" s="14" t="n">
        <v>0</v>
      </c>
      <c r="CS215" s="14" t="n">
        <v>5.158</v>
      </c>
      <c r="CT215" s="14" t="n">
        <v>11.285</v>
      </c>
      <c r="CU215" s="14" t="n">
        <v>27.372</v>
      </c>
    </row>
    <row r="216">
      <c r="A216" s="14" t="inlineStr">
        <is>
          <t>CZE2023</t>
        </is>
      </c>
      <c r="B216" s="14" t="inlineStr">
        <is>
          <t>CZE</t>
        </is>
      </c>
      <c r="C216" s="14" t="inlineStr">
        <is>
          <t>CZE</t>
        </is>
      </c>
      <c r="D216" s="14" t="inlineStr">
        <is>
          <t>Czechia</t>
        </is>
      </c>
      <c r="E216" s="14" t="n">
        <v>2023</v>
      </c>
      <c r="F216" s="14" t="n">
        <v>0.21</v>
      </c>
      <c r="G216" s="14" t="n">
        <v>4.158</v>
      </c>
      <c r="H216" s="14" t="n">
        <v>0.947</v>
      </c>
      <c r="I216" s="14" t="n">
        <v>9.875</v>
      </c>
      <c r="J216" s="14" t="n">
        <v>14.033</v>
      </c>
      <c r="K216" s="14" t="n">
        <v>0</v>
      </c>
      <c r="L216" s="14" t="n">
        <v>1</v>
      </c>
      <c r="M216" s="14" t="n">
        <v>4.033</v>
      </c>
      <c r="N216" s="14" t="n">
        <v>2</v>
      </c>
      <c r="O216" s="14" t="n">
        <v>10</v>
      </c>
      <c r="P216" s="14" t="n">
        <v>14.033</v>
      </c>
      <c r="Q216" s="14" t="n">
        <v>0</v>
      </c>
      <c r="R216" s="14" t="n">
        <v>1</v>
      </c>
      <c r="S216" s="14" t="n">
        <v>9.648999999999999</v>
      </c>
      <c r="T216" s="14" t="n">
        <v>6.051</v>
      </c>
      <c r="U216" s="14" t="n">
        <v>0.388</v>
      </c>
      <c r="V216" s="14" t="n">
        <v>12.144</v>
      </c>
      <c r="W216" s="14" t="n">
        <v>0.21</v>
      </c>
      <c r="X216" s="14" t="n">
        <v>1</v>
      </c>
      <c r="Y216" s="14" t="n">
        <v>19.47</v>
      </c>
      <c r="Z216" s="14" t="n">
        <v>2.181</v>
      </c>
      <c r="AA216" s="14" t="n">
        <v>8.135</v>
      </c>
      <c r="AB216" s="14" t="n">
        <v>27.605</v>
      </c>
      <c r="AC216" s="14" t="n">
        <v>0</v>
      </c>
      <c r="AD216" s="14" t="n">
        <v>1</v>
      </c>
      <c r="AE216" s="14" t="n">
        <v>19.569</v>
      </c>
      <c r="AF216" s="14" t="n">
        <v>3.897</v>
      </c>
      <c r="AG216" s="14" t="n">
        <v>8.036</v>
      </c>
      <c r="AH216" s="14" t="n">
        <v>27.605</v>
      </c>
      <c r="AI216" s="14" t="n">
        <v>0</v>
      </c>
      <c r="AJ216" s="14" t="n">
        <v>1</v>
      </c>
      <c r="AK216" s="14" t="n">
        <v>27.067</v>
      </c>
      <c r="AL216" s="14" t="n">
        <v>13.408</v>
      </c>
      <c r="AM216" s="14" t="n">
        <v>1.029</v>
      </c>
      <c r="AN216" s="14" t="n">
        <v>33.996</v>
      </c>
      <c r="AO216" s="14" t="n">
        <v>0.21</v>
      </c>
      <c r="AP216" s="14" t="n">
        <v>1</v>
      </c>
      <c r="AQ216" s="14" t="n">
        <v>0.76</v>
      </c>
      <c r="AR216" s="14" t="n">
        <v>0.129</v>
      </c>
      <c r="AS216" s="14" t="n">
        <v>0.646</v>
      </c>
      <c r="AT216" s="14" t="n">
        <v>1.702</v>
      </c>
      <c r="AU216" s="14" t="n">
        <v>0.21</v>
      </c>
      <c r="AV216" s="14" t="n">
        <v>1</v>
      </c>
      <c r="AW216" s="14" t="n">
        <v>0.8110000000000001</v>
      </c>
      <c r="AX216" s="14" t="n">
        <v>0.129</v>
      </c>
      <c r="AY216" s="14" t="n">
        <v>0.529</v>
      </c>
      <c r="AZ216" s="14" t="n">
        <v>1.622</v>
      </c>
      <c r="BA216" s="14" t="n">
        <v>0.21</v>
      </c>
      <c r="BB216" s="14" t="n">
        <v>1</v>
      </c>
      <c r="BC216" s="14" t="n">
        <v>0.535</v>
      </c>
      <c r="BD216" s="14" t="n">
        <v>0.129</v>
      </c>
      <c r="BE216" s="14" t="n">
        <v>0.053</v>
      </c>
      <c r="BF216" s="14" t="n">
        <v>0.711</v>
      </c>
      <c r="BG216" s="14" t="n">
        <v>0.21</v>
      </c>
      <c r="BH216" s="14" t="n">
        <v>1</v>
      </c>
      <c r="BI216" s="14" t="n">
        <v>0.579</v>
      </c>
      <c r="BJ216" s="14" t="n">
        <v>0.129</v>
      </c>
      <c r="BK216" s="14" t="n">
        <v>0.348</v>
      </c>
      <c r="BL216" s="14" t="n">
        <v>1.122</v>
      </c>
      <c r="BM216" s="14" t="n">
        <v>0.21</v>
      </c>
      <c r="BN216" s="14" t="n">
        <v>1</v>
      </c>
      <c r="BO216" s="14" t="n">
        <v>0</v>
      </c>
      <c r="BP216" s="14" t="n">
        <v>0.001</v>
      </c>
      <c r="BQ216" s="14" t="n">
        <v>0.199</v>
      </c>
      <c r="BR216" s="14" t="n">
        <v>0</v>
      </c>
      <c r="BS216" s="14" t="n">
        <v>1</v>
      </c>
      <c r="BT216" s="14" t="n">
        <v>0</v>
      </c>
      <c r="BU216" s="14" t="n">
        <v>0.002</v>
      </c>
      <c r="BV216" s="14" t="n">
        <v>0.343</v>
      </c>
      <c r="BW216" s="14" t="n">
        <v>0.21</v>
      </c>
      <c r="BX216" s="14" t="n">
        <v>1</v>
      </c>
      <c r="BY216" s="14" t="n">
        <v>13.254</v>
      </c>
      <c r="BZ216" s="14" t="n">
        <v>0</v>
      </c>
      <c r="CA216" s="14" t="n">
        <v>13.254</v>
      </c>
      <c r="CB216" s="14" t="n">
        <v>0</v>
      </c>
      <c r="CC216" s="14" t="n">
        <v>83.248</v>
      </c>
      <c r="CD216" s="14" t="n">
        <v>7.95</v>
      </c>
      <c r="CE216" s="14" t="n">
        <v>103.863</v>
      </c>
      <c r="CF216" s="14" t="n">
        <v>226.404</v>
      </c>
      <c r="CG216" s="14" t="n">
        <v>0.21</v>
      </c>
      <c r="CH216" s="14" t="n">
        <v>1</v>
      </c>
      <c r="CI216" s="14" t="n">
        <v>0</v>
      </c>
      <c r="CJ216" s="14" t="n">
        <v>0</v>
      </c>
      <c r="CK216" s="14" t="n">
        <v>0</v>
      </c>
      <c r="CL216" s="14" t="n">
        <v>0</v>
      </c>
      <c r="CM216" s="14" t="n">
        <v>0</v>
      </c>
      <c r="CN216" s="14" t="n">
        <v>0</v>
      </c>
      <c r="CO216" s="14" t="n">
        <v>0</v>
      </c>
      <c r="CP216" s="14" t="n">
        <v>0</v>
      </c>
      <c r="CQ216" s="14" t="n">
        <v>1.348</v>
      </c>
      <c r="CR216" s="14" t="n">
        <v>0</v>
      </c>
      <c r="CS216" s="14" t="n">
        <v>5.37</v>
      </c>
      <c r="CT216" s="14" t="n">
        <v>9.798</v>
      </c>
      <c r="CU216" s="14" t="n">
        <v>14.823</v>
      </c>
    </row>
    <row r="217">
      <c r="A217" s="14" t="inlineStr">
        <is>
          <t>CZE2024</t>
        </is>
      </c>
      <c r="B217" s="14" t="inlineStr">
        <is>
          <t>CZE</t>
        </is>
      </c>
      <c r="C217" s="14" t="inlineStr">
        <is>
          <t>CZE</t>
        </is>
      </c>
      <c r="D217" s="14" t="inlineStr">
        <is>
          <t>Czechia</t>
        </is>
      </c>
      <c r="E217" s="14" t="n">
        <v>2024</v>
      </c>
      <c r="F217" s="14" t="n">
        <v>0.21</v>
      </c>
      <c r="G217" s="14" t="n">
        <v>3.674</v>
      </c>
      <c r="H217" s="14" t="n">
        <v>0.931</v>
      </c>
      <c r="I217" s="14" t="n">
        <v>6.472</v>
      </c>
      <c r="J217" s="14" t="n">
        <v>10.146</v>
      </c>
      <c r="K217" s="14" t="n">
        <v>0</v>
      </c>
      <c r="L217" s="14" t="n">
        <v>1</v>
      </c>
      <c r="M217" s="14" t="n">
        <v>3.58</v>
      </c>
      <c r="N217" s="14" t="n">
        <v>1.95</v>
      </c>
      <c r="O217" s="14" t="n">
        <v>6.566</v>
      </c>
      <c r="P217" s="14" t="n">
        <v>10.146</v>
      </c>
      <c r="Q217" s="14" t="n">
        <v>0</v>
      </c>
      <c r="R217" s="14" t="n">
        <v>1</v>
      </c>
      <c r="S217" s="14" t="n">
        <v>9.407999999999999</v>
      </c>
      <c r="T217" s="14" t="n">
        <v>6.228</v>
      </c>
      <c r="U217" s="14" t="n">
        <v>0.388</v>
      </c>
      <c r="V217" s="14" t="n">
        <v>11.853</v>
      </c>
      <c r="W217" s="14" t="n">
        <v>0.21</v>
      </c>
      <c r="X217" s="14" t="n">
        <v>1</v>
      </c>
      <c r="Y217" s="14" t="n">
        <v>18.851</v>
      </c>
      <c r="Z217" s="14" t="n">
        <v>2.38</v>
      </c>
      <c r="AA217" s="14" t="n">
        <v>4.068</v>
      </c>
      <c r="AB217" s="14" t="n">
        <v>22.918</v>
      </c>
      <c r="AC217" s="14" t="n">
        <v>0</v>
      </c>
      <c r="AD217" s="14" t="n">
        <v>1</v>
      </c>
      <c r="AE217" s="14" t="n">
        <v>18.851</v>
      </c>
      <c r="AF217" s="14" t="n">
        <v>4.129</v>
      </c>
      <c r="AG217" s="14" t="n">
        <v>4.068</v>
      </c>
      <c r="AH217" s="14" t="n">
        <v>22.918</v>
      </c>
      <c r="AI217" s="14" t="n">
        <v>0</v>
      </c>
      <c r="AJ217" s="14" t="n">
        <v>1</v>
      </c>
      <c r="AK217" s="14" t="n">
        <v>26.226</v>
      </c>
      <c r="AL217" s="14" t="n">
        <v>13.339</v>
      </c>
      <c r="AM217" s="14" t="n">
        <v>0.033</v>
      </c>
      <c r="AN217" s="14" t="n">
        <v>31.773</v>
      </c>
      <c r="AO217" s="14" t="n">
        <v>0.21</v>
      </c>
      <c r="AP217" s="14" t="n">
        <v>1</v>
      </c>
      <c r="AQ217" s="14" t="n">
        <v>0.724</v>
      </c>
      <c r="AR217" s="14" t="n">
        <v>0.132</v>
      </c>
      <c r="AS217" s="14" t="n">
        <v>0.607</v>
      </c>
      <c r="AT217" s="14" t="n">
        <v>1.611</v>
      </c>
      <c r="AU217" s="14" t="n">
        <v>0.21</v>
      </c>
      <c r="AV217" s="14" t="n">
        <v>1</v>
      </c>
      <c r="AW217" s="14" t="n">
        <v>0.75</v>
      </c>
      <c r="AX217" s="14" t="n">
        <v>0.132</v>
      </c>
      <c r="AY217" s="14" t="n">
        <v>0.548</v>
      </c>
      <c r="AZ217" s="14" t="n">
        <v>1.571</v>
      </c>
      <c r="BA217" s="14" t="n">
        <v>0.21</v>
      </c>
      <c r="BB217" s="14" t="n">
        <v>1</v>
      </c>
      <c r="BC217" s="14" t="n">
        <v>0.513</v>
      </c>
      <c r="BD217" s="14" t="n">
        <v>0.132</v>
      </c>
      <c r="BE217" s="14" t="n">
        <v>0.097</v>
      </c>
      <c r="BF217" s="14" t="n">
        <v>0.739</v>
      </c>
      <c r="BG217" s="14" t="n">
        <v>0.21</v>
      </c>
      <c r="BH217" s="14" t="n">
        <v>1</v>
      </c>
      <c r="BI217" s="14" t="n">
        <v>0.591</v>
      </c>
      <c r="BJ217" s="14" t="n">
        <v>0.132</v>
      </c>
      <c r="BK217" s="14" t="n">
        <v>0.255</v>
      </c>
      <c r="BL217" s="14" t="n">
        <v>1.024</v>
      </c>
      <c r="BM217" s="14" t="n">
        <v>0.21</v>
      </c>
      <c r="BN217" s="14" t="n">
        <v>1</v>
      </c>
      <c r="BO217" s="14" t="n">
        <v>0</v>
      </c>
      <c r="BP217" s="14" t="n">
        <v>0.015</v>
      </c>
      <c r="BQ217" s="14" t="n">
        <v>0.188</v>
      </c>
      <c r="BR217" s="14" t="n">
        <v>0</v>
      </c>
      <c r="BS217" s="14" t="n">
        <v>1</v>
      </c>
      <c r="BT217" s="14" t="n">
        <v>0</v>
      </c>
      <c r="BU217" s="14" t="n">
        <v>0.024</v>
      </c>
      <c r="BV217" s="14" t="n">
        <v>0.362</v>
      </c>
      <c r="BW217" s="14" t="n">
        <v>0.21</v>
      </c>
      <c r="BX217" s="14" t="n">
        <v>1</v>
      </c>
      <c r="BY217" s="14" t="n">
        <v>13.646</v>
      </c>
      <c r="BZ217" s="14" t="n">
        <v>0</v>
      </c>
      <c r="CA217" s="14" t="n">
        <v>13.646</v>
      </c>
      <c r="CB217" s="14" t="n">
        <v>0</v>
      </c>
      <c r="CC217" s="14" t="n">
        <v>82.58799999999999</v>
      </c>
      <c r="CD217" s="14" t="n">
        <v>7.95</v>
      </c>
      <c r="CE217" s="14" t="n">
        <v>79.05500000000001</v>
      </c>
      <c r="CF217" s="14" t="n">
        <v>195.588</v>
      </c>
      <c r="CG217" s="14" t="n">
        <v>0.21</v>
      </c>
      <c r="CH217" s="14" t="n">
        <v>1</v>
      </c>
      <c r="CI217" s="14" t="n">
        <v>0</v>
      </c>
      <c r="CJ217" s="14" t="n">
        <v>0</v>
      </c>
      <c r="CK217" s="14" t="n">
        <v>0</v>
      </c>
      <c r="CL217" s="14" t="n">
        <v>0</v>
      </c>
      <c r="CM217" s="14" t="n">
        <v>0</v>
      </c>
      <c r="CN217" s="14" t="n">
        <v>0</v>
      </c>
      <c r="CO217" s="14" t="n">
        <v>0</v>
      </c>
      <c r="CP217" s="14" t="n">
        <v>0</v>
      </c>
      <c r="CQ217" s="14" t="n">
        <v>1.387</v>
      </c>
      <c r="CR217" s="14" t="n">
        <v>0</v>
      </c>
      <c r="CS217" s="14" t="n">
        <v>5.529</v>
      </c>
      <c r="CT217" s="14" t="n">
        <v>4.91</v>
      </c>
      <c r="CU217" s="14" t="n">
        <v>12.35</v>
      </c>
    </row>
    <row r="218">
      <c r="A218" s="14" t="inlineStr">
        <is>
          <t>CIV2021</t>
        </is>
      </c>
      <c r="B218" s="14" t="inlineStr">
        <is>
          <t>CIV</t>
        </is>
      </c>
      <c r="C218" s="14" t="inlineStr">
        <is>
          <t>CIV</t>
        </is>
      </c>
      <c r="D218" s="14" t="inlineStr">
        <is>
          <t>Côte d'Ivoire</t>
        </is>
      </c>
      <c r="E218" s="14" t="n">
        <v>2021</v>
      </c>
      <c r="F218" s="14" t="n">
        <v>0.18</v>
      </c>
      <c r="G218" s="14" t="n">
        <v>5.897</v>
      </c>
      <c r="H218" s="14" t="n">
        <v>1.143</v>
      </c>
      <c r="I218" s="14" t="n">
        <v>0</v>
      </c>
      <c r="J218" s="14" t="n">
        <v>5.897</v>
      </c>
      <c r="K218" s="14" t="n">
        <v>0</v>
      </c>
      <c r="L218" s="14" t="n">
        <v>1</v>
      </c>
      <c r="M218" s="14" t="n">
        <v>7.964</v>
      </c>
      <c r="N218" s="14" t="n">
        <v>3.43</v>
      </c>
      <c r="O218" s="14" t="n">
        <v>0</v>
      </c>
      <c r="P218" s="14" t="n">
        <v>7.964</v>
      </c>
      <c r="Q218" s="14" t="n">
        <v>0</v>
      </c>
      <c r="R218" s="14" t="n">
        <v>1</v>
      </c>
      <c r="S218" s="14" t="n">
        <v>11.613</v>
      </c>
      <c r="T218" s="14" t="n">
        <v>6.86</v>
      </c>
      <c r="U218" s="14" t="n">
        <v>0</v>
      </c>
      <c r="V218" s="14" t="n">
        <v>13.704</v>
      </c>
      <c r="W218" s="14" t="n">
        <v>0.18</v>
      </c>
      <c r="X218" s="14" t="n">
        <v>1</v>
      </c>
      <c r="Y218" s="14" t="n">
        <v>5.739</v>
      </c>
      <c r="Z218" s="14" t="n">
        <v>0.634</v>
      </c>
      <c r="AA218" s="14" t="n">
        <v>0</v>
      </c>
      <c r="AB218" s="14" t="n">
        <v>5.739</v>
      </c>
      <c r="AC218" s="14" t="n">
        <v>0</v>
      </c>
      <c r="AD218" s="14" t="n">
        <v>1</v>
      </c>
      <c r="AE218" s="14" t="n">
        <v>7.783</v>
      </c>
      <c r="AF218" s="14" t="n">
        <v>1.052</v>
      </c>
      <c r="AG218" s="14" t="n">
        <v>0</v>
      </c>
      <c r="AH218" s="14" t="n">
        <v>7.783</v>
      </c>
      <c r="AI218" s="14" t="n">
        <v>0</v>
      </c>
      <c r="AJ218" s="14" t="n">
        <v>1</v>
      </c>
      <c r="AK218" s="14" t="n">
        <v>11.213</v>
      </c>
      <c r="AL218" s="14" t="n">
        <v>4.166</v>
      </c>
      <c r="AM218" s="14" t="n">
        <v>0</v>
      </c>
      <c r="AN218" s="14" t="n">
        <v>13.231</v>
      </c>
      <c r="AO218" s="14" t="n">
        <v>0.18</v>
      </c>
      <c r="AP218" s="14" t="n">
        <v>1</v>
      </c>
      <c r="AQ218" s="14" t="n">
        <v>0.619</v>
      </c>
      <c r="AR218" s="14" t="n">
        <v>0.114</v>
      </c>
      <c r="AS218" s="14" t="n">
        <v>0.391</v>
      </c>
      <c r="AT218" s="14" t="n">
        <v>1.101</v>
      </c>
      <c r="AU218" s="14" t="n">
        <v>0.09</v>
      </c>
      <c r="AV218" s="14" t="n">
        <v>1</v>
      </c>
      <c r="AW218" s="14" t="n">
        <v>0.6850000000000001</v>
      </c>
      <c r="AX218" s="14" t="n">
        <v>0.132</v>
      </c>
      <c r="AY218" s="14" t="n">
        <v>0.325</v>
      </c>
      <c r="AZ218" s="14" t="n">
        <v>1.101</v>
      </c>
      <c r="BA218" s="14" t="n">
        <v>0.09</v>
      </c>
      <c r="BB218" s="14" t="n">
        <v>1</v>
      </c>
      <c r="BC218" s="14" t="n">
        <v>0.439</v>
      </c>
      <c r="BD218" s="14" t="n">
        <v>0.114</v>
      </c>
      <c r="BE218" s="14" t="n">
        <v>0.08400000000000001</v>
      </c>
      <c r="BF218" s="14" t="n">
        <v>0.522</v>
      </c>
      <c r="BG218" s="14" t="n">
        <v>0</v>
      </c>
      <c r="BH218" s="14" t="n">
        <v>1</v>
      </c>
      <c r="BI218" s="14" t="n">
        <v>0.505</v>
      </c>
      <c r="BJ218" s="14" t="n">
        <v>0.114</v>
      </c>
      <c r="BK218" s="14" t="n">
        <v>0.413</v>
      </c>
      <c r="BL218" s="14" t="n">
        <v>1.001</v>
      </c>
      <c r="BM218" s="14" t="n">
        <v>0.09</v>
      </c>
      <c r="BN218" s="14" t="n">
        <v>1</v>
      </c>
      <c r="BO218" s="14" t="n">
        <v>0</v>
      </c>
      <c r="BP218" s="14" t="n">
        <v>0.024</v>
      </c>
      <c r="BQ218" s="14" t="n">
        <v>0.12</v>
      </c>
      <c r="BR218" s="14" t="n">
        <v>0</v>
      </c>
      <c r="BS218" s="14" t="n">
        <v>1</v>
      </c>
      <c r="BT218" s="14" t="n">
        <v>0</v>
      </c>
      <c r="BU218" s="14" t="n">
        <v>-0.044</v>
      </c>
      <c r="BV218" s="14" t="n">
        <v>0.128</v>
      </c>
      <c r="BW218" s="14" t="n">
        <v>0.18</v>
      </c>
      <c r="BX218" s="14" t="n">
        <v>0.833</v>
      </c>
      <c r="BY218" s="14" t="n">
        <v>11.787</v>
      </c>
      <c r="BZ218" s="14" t="n">
        <v>0</v>
      </c>
      <c r="CA218" s="14" t="n">
        <v>11.787</v>
      </c>
      <c r="CB218" s="14" t="n">
        <v>0</v>
      </c>
      <c r="CC218" s="14" t="n">
        <v>78.125</v>
      </c>
      <c r="CD218" s="14" t="n">
        <v>7.95</v>
      </c>
      <c r="CE218" s="14" t="n">
        <v>26.342</v>
      </c>
      <c r="CF218" s="14" t="n">
        <v>123.272</v>
      </c>
      <c r="CG218" s="14" t="n">
        <v>0.18</v>
      </c>
      <c r="CH218" s="14" t="n">
        <v>1</v>
      </c>
      <c r="CI218" s="14" t="n">
        <v>0</v>
      </c>
      <c r="CJ218" s="14" t="n">
        <v>0</v>
      </c>
      <c r="CK218" s="14" t="n">
        <v>0</v>
      </c>
      <c r="CL218" s="14" t="n">
        <v>0</v>
      </c>
      <c r="CM218" s="14" t="n">
        <v>0</v>
      </c>
      <c r="CN218" s="14" t="n">
        <v>0</v>
      </c>
      <c r="CO218" s="14" t="n">
        <v>0</v>
      </c>
      <c r="CP218" s="14" t="n">
        <v>0</v>
      </c>
      <c r="CQ218" s="14" t="n">
        <v>1.198</v>
      </c>
      <c r="CR218" s="14" t="n">
        <v>0</v>
      </c>
      <c r="CS218" s="14" t="n">
        <v>6.64</v>
      </c>
      <c r="CT218" s="14" t="n">
        <v>4.753</v>
      </c>
      <c r="CU218" s="14" t="n">
        <v>15.162</v>
      </c>
    </row>
    <row r="219">
      <c r="A219" s="14" t="inlineStr">
        <is>
          <t>CIV2022</t>
        </is>
      </c>
      <c r="B219" s="14" t="inlineStr">
        <is>
          <t>CIV</t>
        </is>
      </c>
      <c r="C219" s="14" t="inlineStr">
        <is>
          <t>CIV</t>
        </is>
      </c>
      <c r="D219" s="14" t="inlineStr">
        <is>
          <t>Côte d'Ivoire</t>
        </is>
      </c>
      <c r="E219" s="14" t="n">
        <v>2022</v>
      </c>
      <c r="F219" s="14" t="n">
        <v>0.18</v>
      </c>
      <c r="G219" s="14" t="n">
        <v>11.72</v>
      </c>
      <c r="H219" s="14" t="n">
        <v>1.235</v>
      </c>
      <c r="I219" s="14" t="n">
        <v>0</v>
      </c>
      <c r="J219" s="14" t="n">
        <v>11.72</v>
      </c>
      <c r="K219" s="14" t="n">
        <v>0</v>
      </c>
      <c r="L219" s="14" t="n">
        <v>1</v>
      </c>
      <c r="M219" s="14" t="n">
        <v>9.782999999999999</v>
      </c>
      <c r="N219" s="14" t="n">
        <v>3.704</v>
      </c>
      <c r="O219" s="14" t="n">
        <v>0</v>
      </c>
      <c r="P219" s="14" t="n">
        <v>9.782999999999999</v>
      </c>
      <c r="Q219" s="14" t="n">
        <v>0</v>
      </c>
      <c r="R219" s="14" t="n">
        <v>1</v>
      </c>
      <c r="S219" s="14" t="n">
        <v>17.893</v>
      </c>
      <c r="T219" s="14" t="n">
        <v>7.408</v>
      </c>
      <c r="U219" s="14" t="n">
        <v>0.238</v>
      </c>
      <c r="V219" s="14" t="n">
        <v>21.114</v>
      </c>
      <c r="W219" s="14" t="n">
        <v>0.18</v>
      </c>
      <c r="X219" s="14" t="n">
        <v>1</v>
      </c>
      <c r="Y219" s="14" t="n">
        <v>5.665</v>
      </c>
      <c r="Z219" s="14" t="n">
        <v>0.594</v>
      </c>
      <c r="AA219" s="14" t="n">
        <v>0</v>
      </c>
      <c r="AB219" s="14" t="n">
        <v>5.665</v>
      </c>
      <c r="AC219" s="14" t="n">
        <v>0</v>
      </c>
      <c r="AD219" s="14" t="n">
        <v>1</v>
      </c>
      <c r="AE219" s="14" t="n">
        <v>8.404999999999999</v>
      </c>
      <c r="AF219" s="14" t="n">
        <v>1.136</v>
      </c>
      <c r="AG219" s="14" t="n">
        <v>0</v>
      </c>
      <c r="AH219" s="14" t="n">
        <v>8.404999999999999</v>
      </c>
      <c r="AI219" s="14" t="n">
        <v>0</v>
      </c>
      <c r="AJ219" s="14" t="n">
        <v>1</v>
      </c>
      <c r="AK219" s="14" t="n">
        <v>12.109</v>
      </c>
      <c r="AL219" s="14" t="n">
        <v>4.499</v>
      </c>
      <c r="AM219" s="14" t="n">
        <v>0.161</v>
      </c>
      <c r="AN219" s="14" t="n">
        <v>14.289</v>
      </c>
      <c r="AO219" s="14" t="n">
        <v>0.18</v>
      </c>
      <c r="AP219" s="14" t="n">
        <v>1</v>
      </c>
      <c r="AQ219" s="14" t="n">
        <v>0.861</v>
      </c>
      <c r="AR219" s="14" t="n">
        <v>0.123</v>
      </c>
      <c r="AS219" s="14" t="n">
        <v>0.186</v>
      </c>
      <c r="AT219" s="14" t="n">
        <v>1.141</v>
      </c>
      <c r="AU219" s="14" t="n">
        <v>0.09</v>
      </c>
      <c r="AV219" s="14" t="n">
        <v>1</v>
      </c>
      <c r="AW219" s="14" t="n">
        <v>0.797</v>
      </c>
      <c r="AX219" s="14" t="n">
        <v>0.104</v>
      </c>
      <c r="AY219" s="14" t="n">
        <v>0.122</v>
      </c>
      <c r="AZ219" s="14" t="n">
        <v>1.002</v>
      </c>
      <c r="BA219" s="14" t="n">
        <v>0.09</v>
      </c>
      <c r="BB219" s="14" t="n">
        <v>1</v>
      </c>
      <c r="BC219" s="14" t="n">
        <v>0.598</v>
      </c>
      <c r="BD219" s="14" t="n">
        <v>0.123</v>
      </c>
      <c r="BE219" s="14" t="n">
        <v>0.008</v>
      </c>
      <c r="BF219" s="14" t="n">
        <v>0.605</v>
      </c>
      <c r="BG219" s="14" t="n">
        <v>0</v>
      </c>
      <c r="BH219" s="14" t="n">
        <v>1</v>
      </c>
      <c r="BI219" s="14" t="n">
        <v>0.612</v>
      </c>
      <c r="BJ219" s="14" t="n">
        <v>0.123</v>
      </c>
      <c r="BK219" s="14" t="n">
        <v>0.307</v>
      </c>
      <c r="BL219" s="14" t="n">
        <v>1.002</v>
      </c>
      <c r="BM219" s="14" t="n">
        <v>0.09</v>
      </c>
      <c r="BN219" s="14" t="n">
        <v>1</v>
      </c>
      <c r="BO219" s="14" t="n">
        <v>0</v>
      </c>
      <c r="BP219" s="14" t="n">
        <v>0.004</v>
      </c>
      <c r="BQ219" s="14" t="n">
        <v>0.108</v>
      </c>
      <c r="BR219" s="14" t="n">
        <v>0</v>
      </c>
      <c r="BS219" s="14" t="n">
        <v>1</v>
      </c>
      <c r="BT219" s="14" t="n">
        <v>0</v>
      </c>
      <c r="BU219" s="14" t="n">
        <v>-0.058</v>
      </c>
      <c r="BV219" s="14" t="n">
        <v>0.111</v>
      </c>
      <c r="BW219" s="14" t="n">
        <v>0.18</v>
      </c>
      <c r="BX219" s="14" t="n">
        <v>0.833</v>
      </c>
      <c r="BY219" s="14" t="n">
        <v>12.729</v>
      </c>
      <c r="BZ219" s="14" t="n">
        <v>0</v>
      </c>
      <c r="CA219" s="14" t="n">
        <v>12.729</v>
      </c>
      <c r="CB219" s="14" t="n">
        <v>0</v>
      </c>
      <c r="CC219" s="14" t="n">
        <v>97.90000000000001</v>
      </c>
      <c r="CD219" s="14" t="n">
        <v>7.95</v>
      </c>
      <c r="CE219" s="14" t="n">
        <v>30.201</v>
      </c>
      <c r="CF219" s="14" t="n">
        <v>151.159</v>
      </c>
      <c r="CG219" s="14" t="n">
        <v>0.18</v>
      </c>
      <c r="CH219" s="14" t="n">
        <v>1</v>
      </c>
      <c r="CI219" s="14" t="n">
        <v>0</v>
      </c>
      <c r="CJ219" s="14" t="n">
        <v>0</v>
      </c>
      <c r="CK219" s="14" t="n">
        <v>0</v>
      </c>
      <c r="CL219" s="14" t="n">
        <v>0</v>
      </c>
      <c r="CM219" s="14" t="n">
        <v>0</v>
      </c>
      <c r="CN219" s="14" t="n">
        <v>0</v>
      </c>
      <c r="CO219" s="14" t="n">
        <v>0</v>
      </c>
      <c r="CP219" s="14" t="n">
        <v>0</v>
      </c>
      <c r="CQ219" s="14" t="n">
        <v>1.294</v>
      </c>
      <c r="CR219" s="14" t="n">
        <v>0</v>
      </c>
      <c r="CS219" s="14" t="n">
        <v>7.171</v>
      </c>
      <c r="CT219" s="14" t="n">
        <v>10.485</v>
      </c>
      <c r="CU219" s="14" t="n">
        <v>31.326</v>
      </c>
    </row>
    <row r="220">
      <c r="A220" s="14" t="inlineStr">
        <is>
          <t>CIV2023</t>
        </is>
      </c>
      <c r="B220" s="14" t="inlineStr">
        <is>
          <t>CIV</t>
        </is>
      </c>
      <c r="C220" s="14" t="inlineStr">
        <is>
          <t>CIV</t>
        </is>
      </c>
      <c r="D220" s="14" t="inlineStr">
        <is>
          <t>Côte d'Ivoire</t>
        </is>
      </c>
      <c r="E220" s="14" t="n">
        <v>2023</v>
      </c>
      <c r="F220" s="14" t="n">
        <v>0.18</v>
      </c>
      <c r="G220" s="14" t="n">
        <v>6.147</v>
      </c>
      <c r="H220" s="14" t="n">
        <v>1.286</v>
      </c>
      <c r="I220" s="14" t="n">
        <v>0</v>
      </c>
      <c r="J220" s="14" t="n">
        <v>6.147</v>
      </c>
      <c r="K220" s="14" t="n">
        <v>0</v>
      </c>
      <c r="L220" s="14" t="n">
        <v>1</v>
      </c>
      <c r="M220" s="14" t="n">
        <v>7.886</v>
      </c>
      <c r="N220" s="14" t="n">
        <v>3.857</v>
      </c>
      <c r="O220" s="14" t="n">
        <v>0</v>
      </c>
      <c r="P220" s="14" t="n">
        <v>7.886</v>
      </c>
      <c r="Q220" s="14" t="n">
        <v>0</v>
      </c>
      <c r="R220" s="14" t="n">
        <v>1</v>
      </c>
      <c r="S220" s="14" t="n">
        <v>12.575</v>
      </c>
      <c r="T220" s="14" t="n">
        <v>7.714</v>
      </c>
      <c r="U220" s="14" t="n">
        <v>0.251</v>
      </c>
      <c r="V220" s="14" t="n">
        <v>14.839</v>
      </c>
      <c r="W220" s="14" t="n">
        <v>0.18</v>
      </c>
      <c r="X220" s="14" t="n">
        <v>1</v>
      </c>
      <c r="Y220" s="14" t="n">
        <v>5.985</v>
      </c>
      <c r="Z220" s="14" t="n">
        <v>0.67</v>
      </c>
      <c r="AA220" s="14" t="n">
        <v>0</v>
      </c>
      <c r="AB220" s="14" t="n">
        <v>5.985</v>
      </c>
      <c r="AC220" s="14" t="n">
        <v>0</v>
      </c>
      <c r="AD220" s="14" t="n">
        <v>1</v>
      </c>
      <c r="AE220" s="14" t="n">
        <v>8.752000000000001</v>
      </c>
      <c r="AF220" s="14" t="n">
        <v>1.183</v>
      </c>
      <c r="AG220" s="14" t="n">
        <v>0</v>
      </c>
      <c r="AH220" s="14" t="n">
        <v>8.752000000000001</v>
      </c>
      <c r="AI220" s="14" t="n">
        <v>0</v>
      </c>
      <c r="AJ220" s="14" t="n">
        <v>1</v>
      </c>
      <c r="AK220" s="14" t="n">
        <v>12.609</v>
      </c>
      <c r="AL220" s="14" t="n">
        <v>4.684</v>
      </c>
      <c r="AM220" s="14" t="n">
        <v>0.251</v>
      </c>
      <c r="AN220" s="14" t="n">
        <v>14.879</v>
      </c>
      <c r="AO220" s="14" t="n">
        <v>0.18</v>
      </c>
      <c r="AP220" s="14" t="n">
        <v>1</v>
      </c>
      <c r="AQ220" s="14" t="n">
        <v>0.76</v>
      </c>
      <c r="AR220" s="14" t="n">
        <v>0.129</v>
      </c>
      <c r="AS220" s="14" t="n">
        <v>0.49</v>
      </c>
      <c r="AT220" s="14" t="n">
        <v>1.363</v>
      </c>
      <c r="AU220" s="14" t="n">
        <v>0.09</v>
      </c>
      <c r="AV220" s="14" t="n">
        <v>1</v>
      </c>
      <c r="AW220" s="14" t="n">
        <v>0.6830000000000001</v>
      </c>
      <c r="AX220" s="14" t="n">
        <v>0.117</v>
      </c>
      <c r="AY220" s="14" t="n">
        <v>0.331</v>
      </c>
      <c r="AZ220" s="14" t="n">
        <v>1.105</v>
      </c>
      <c r="BA220" s="14" t="n">
        <v>0.09</v>
      </c>
      <c r="BB220" s="14" t="n">
        <v>1</v>
      </c>
      <c r="BC220" s="14" t="n">
        <v>0.535</v>
      </c>
      <c r="BD220" s="14" t="n">
        <v>0.129</v>
      </c>
      <c r="BE220" s="14" t="n">
        <v>-0.037</v>
      </c>
      <c r="BF220" s="14" t="n">
        <v>0.498</v>
      </c>
      <c r="BG220" s="14" t="n">
        <v>0</v>
      </c>
      <c r="BH220" s="14" t="n">
        <v>1</v>
      </c>
      <c r="BI220" s="14" t="n">
        <v>0.579</v>
      </c>
      <c r="BJ220" s="14" t="n">
        <v>0.129</v>
      </c>
      <c r="BK220" s="14" t="n">
        <v>0.479</v>
      </c>
      <c r="BL220" s="14" t="n">
        <v>1.154</v>
      </c>
      <c r="BM220" s="14" t="n">
        <v>0.09</v>
      </c>
      <c r="BN220" s="14" t="n">
        <v>1</v>
      </c>
      <c r="BO220" s="14" t="n">
        <v>0</v>
      </c>
      <c r="BP220" s="14" t="n">
        <v>0.014</v>
      </c>
      <c r="BQ220" s="14" t="n">
        <v>0.117</v>
      </c>
      <c r="BR220" s="14" t="n">
        <v>0</v>
      </c>
      <c r="BS220" s="14" t="n">
        <v>1</v>
      </c>
      <c r="BT220" s="14" t="n">
        <v>0</v>
      </c>
      <c r="BU220" s="14" t="n">
        <v>-0.057</v>
      </c>
      <c r="BV220" s="14" t="n">
        <v>0.117</v>
      </c>
      <c r="BW220" s="14" t="n">
        <v>0.18</v>
      </c>
      <c r="BX220" s="14" t="n">
        <v>0.833</v>
      </c>
      <c r="BY220" s="14" t="n">
        <v>13.254</v>
      </c>
      <c r="BZ220" s="14" t="n">
        <v>0</v>
      </c>
      <c r="CA220" s="14" t="n">
        <v>13.254</v>
      </c>
      <c r="CB220" s="14" t="n">
        <v>0</v>
      </c>
      <c r="CC220" s="14" t="n">
        <v>83.248</v>
      </c>
      <c r="CD220" s="14" t="n">
        <v>7.95</v>
      </c>
      <c r="CE220" s="14" t="n">
        <v>29.379</v>
      </c>
      <c r="CF220" s="14" t="n">
        <v>132.9</v>
      </c>
      <c r="CG220" s="14" t="n">
        <v>0.18</v>
      </c>
      <c r="CH220" s="14" t="n">
        <v>1</v>
      </c>
      <c r="CI220" s="14" t="n">
        <v>0</v>
      </c>
      <c r="CJ220" s="14" t="n">
        <v>0</v>
      </c>
      <c r="CK220" s="14" t="n">
        <v>0</v>
      </c>
      <c r="CL220" s="14" t="n">
        <v>0</v>
      </c>
      <c r="CM220" s="14" t="n">
        <v>0</v>
      </c>
      <c r="CN220" s="14" t="n">
        <v>0</v>
      </c>
      <c r="CO220" s="14" t="n">
        <v>0</v>
      </c>
      <c r="CP220" s="14" t="n">
        <v>0</v>
      </c>
      <c r="CQ220" s="14" t="n">
        <v>1.348</v>
      </c>
      <c r="CR220" s="14" t="n">
        <v>0</v>
      </c>
      <c r="CS220" s="14" t="n">
        <v>7.467</v>
      </c>
      <c r="CT220" s="14" t="n">
        <v>4.861</v>
      </c>
      <c r="CU220" s="14" t="n">
        <v>11.622</v>
      </c>
    </row>
    <row r="221">
      <c r="A221" s="14" t="inlineStr">
        <is>
          <t>CIV2024</t>
        </is>
      </c>
      <c r="B221" s="14" t="inlineStr">
        <is>
          <t>CIV</t>
        </is>
      </c>
      <c r="C221" s="14" t="inlineStr">
        <is>
          <t>CIV</t>
        </is>
      </c>
      <c r="D221" s="14" t="inlineStr">
        <is>
          <t>Côte d'Ivoire</t>
        </is>
      </c>
      <c r="E221" s="14" t="n">
        <v>2024</v>
      </c>
      <c r="F221" s="14" t="n">
        <v>0.18</v>
      </c>
      <c r="G221" s="14" t="n">
        <v>5.575</v>
      </c>
      <c r="H221" s="14" t="n">
        <v>1.324</v>
      </c>
      <c r="I221" s="14" t="n">
        <v>0</v>
      </c>
      <c r="J221" s="14" t="n">
        <v>5.575</v>
      </c>
      <c r="K221" s="14" t="n">
        <v>0</v>
      </c>
      <c r="L221" s="14" t="n">
        <v>1</v>
      </c>
      <c r="M221" s="14" t="n">
        <v>7.124</v>
      </c>
      <c r="N221" s="14" t="n">
        <v>3.971</v>
      </c>
      <c r="O221" s="14" t="n">
        <v>0</v>
      </c>
      <c r="P221" s="14" t="n">
        <v>7.124</v>
      </c>
      <c r="Q221" s="14" t="n">
        <v>0</v>
      </c>
      <c r="R221" s="14" t="n">
        <v>1</v>
      </c>
      <c r="S221" s="14" t="n">
        <v>12.193</v>
      </c>
      <c r="T221" s="14" t="n">
        <v>7.942</v>
      </c>
      <c r="U221" s="14" t="n">
        <v>0.299</v>
      </c>
      <c r="V221" s="14" t="n">
        <v>14.388</v>
      </c>
      <c r="W221" s="14" t="n">
        <v>0.18</v>
      </c>
      <c r="X221" s="14" t="n">
        <v>1</v>
      </c>
      <c r="Y221" s="14" t="n">
        <v>6.224</v>
      </c>
      <c r="Z221" s="14" t="n">
        <v>0.786</v>
      </c>
      <c r="AA221" s="14" t="n">
        <v>0</v>
      </c>
      <c r="AB221" s="14" t="n">
        <v>6.224</v>
      </c>
      <c r="AC221" s="14" t="n">
        <v>0</v>
      </c>
      <c r="AD221" s="14" t="n">
        <v>1</v>
      </c>
      <c r="AE221" s="14" t="n">
        <v>9.010999999999999</v>
      </c>
      <c r="AF221" s="14" t="n">
        <v>1.218</v>
      </c>
      <c r="AG221" s="14" t="n">
        <v>0</v>
      </c>
      <c r="AH221" s="14" t="n">
        <v>9.010999999999999</v>
      </c>
      <c r="AI221" s="14" t="n">
        <v>0</v>
      </c>
      <c r="AJ221" s="14" t="n">
        <v>1</v>
      </c>
      <c r="AK221" s="14" t="n">
        <v>12.981</v>
      </c>
      <c r="AL221" s="14" t="n">
        <v>4.823</v>
      </c>
      <c r="AM221" s="14" t="n">
        <v>0.318</v>
      </c>
      <c r="AN221" s="14" t="n">
        <v>15.318</v>
      </c>
      <c r="AO221" s="14" t="n">
        <v>0.18</v>
      </c>
      <c r="AP221" s="14" t="n">
        <v>1</v>
      </c>
      <c r="AQ221" s="14" t="n">
        <v>0.724</v>
      </c>
      <c r="AR221" s="14" t="n">
        <v>0.132</v>
      </c>
      <c r="AS221" s="14" t="n">
        <v>0.6</v>
      </c>
      <c r="AT221" s="14" t="n">
        <v>1.443</v>
      </c>
      <c r="AU221" s="14" t="n">
        <v>0.09</v>
      </c>
      <c r="AV221" s="14" t="n">
        <v>1</v>
      </c>
      <c r="AW221" s="14" t="n">
        <v>0.595</v>
      </c>
      <c r="AX221" s="14" t="n">
        <v>0.109</v>
      </c>
      <c r="AY221" s="14" t="n">
        <v>0.486</v>
      </c>
      <c r="AZ221" s="14" t="n">
        <v>1.179</v>
      </c>
      <c r="BA221" s="14" t="n">
        <v>0.09</v>
      </c>
      <c r="BB221" s="14" t="n">
        <v>1</v>
      </c>
      <c r="BC221" s="14" t="n">
        <v>0.513</v>
      </c>
      <c r="BD221" s="14" t="n">
        <v>0.132</v>
      </c>
      <c r="BE221" s="14" t="n">
        <v>-0.013</v>
      </c>
      <c r="BF221" s="14" t="n">
        <v>0.5</v>
      </c>
      <c r="BG221" s="14" t="n">
        <v>0</v>
      </c>
      <c r="BH221" s="14" t="n">
        <v>1</v>
      </c>
      <c r="BI221" s="14" t="n">
        <v>0.591</v>
      </c>
      <c r="BJ221" s="14" t="n">
        <v>0.132</v>
      </c>
      <c r="BK221" s="14" t="n">
        <v>0.536</v>
      </c>
      <c r="BL221" s="14" t="n">
        <v>1.229</v>
      </c>
      <c r="BM221" s="14" t="n">
        <v>0.09</v>
      </c>
      <c r="BN221" s="14" t="n">
        <v>1</v>
      </c>
      <c r="BO221" s="14" t="n">
        <v>0</v>
      </c>
      <c r="BP221" s="14" t="n">
        <v>0.028</v>
      </c>
      <c r="BQ221" s="14" t="n">
        <v>0.14</v>
      </c>
      <c r="BR221" s="14" t="n">
        <v>0</v>
      </c>
      <c r="BS221" s="14" t="n">
        <v>1</v>
      </c>
      <c r="BT221" s="14" t="n">
        <v>0</v>
      </c>
      <c r="BU221" s="14" t="n">
        <v>-0.048</v>
      </c>
      <c r="BV221" s="14" t="n">
        <v>0.131</v>
      </c>
      <c r="BW221" s="14" t="n">
        <v>0.18</v>
      </c>
      <c r="BX221" s="14" t="n">
        <v>0.833</v>
      </c>
      <c r="BY221" s="14" t="n">
        <v>13.646</v>
      </c>
      <c r="BZ221" s="14" t="n">
        <v>0</v>
      </c>
      <c r="CA221" s="14" t="n">
        <v>13.646</v>
      </c>
      <c r="CB221" s="14" t="n">
        <v>0</v>
      </c>
      <c r="CC221" s="14" t="n">
        <v>82.58799999999999</v>
      </c>
      <c r="CD221" s="14" t="n">
        <v>7.95</v>
      </c>
      <c r="CE221" s="14" t="n">
        <v>29.654</v>
      </c>
      <c r="CF221" s="14" t="n">
        <v>132.445</v>
      </c>
      <c r="CG221" s="14" t="n">
        <v>0.18</v>
      </c>
      <c r="CH221" s="14" t="n">
        <v>1</v>
      </c>
      <c r="CI221" s="14" t="n">
        <v>0</v>
      </c>
      <c r="CJ221" s="14" t="n">
        <v>0</v>
      </c>
      <c r="CK221" s="14" t="n">
        <v>0</v>
      </c>
      <c r="CL221" s="14" t="n">
        <v>0</v>
      </c>
      <c r="CM221" s="14" t="n">
        <v>0</v>
      </c>
      <c r="CN221" s="14" t="n">
        <v>0</v>
      </c>
      <c r="CO221" s="14" t="n">
        <v>0</v>
      </c>
      <c r="CP221" s="14" t="n">
        <v>0</v>
      </c>
      <c r="CQ221" s="14" t="n">
        <v>1.387</v>
      </c>
      <c r="CR221" s="14" t="n">
        <v>0</v>
      </c>
      <c r="CS221" s="14" t="n">
        <v>7.687</v>
      </c>
      <c r="CT221" s="14" t="n">
        <v>4.251</v>
      </c>
      <c r="CU221" s="14" t="n">
        <v>10.168</v>
      </c>
    </row>
    <row r="222">
      <c r="A222" s="14" t="inlineStr">
        <is>
          <t>DNK2021</t>
        </is>
      </c>
      <c r="B222" s="14" t="inlineStr">
        <is>
          <t>DNK</t>
        </is>
      </c>
      <c r="C222" s="14" t="inlineStr">
        <is>
          <t>DNK</t>
        </is>
      </c>
      <c r="D222" s="14" t="inlineStr">
        <is>
          <t>Denmark</t>
        </is>
      </c>
      <c r="E222" s="14" t="n">
        <v>2021</v>
      </c>
      <c r="F222" s="14" t="n">
        <v>0.25</v>
      </c>
      <c r="G222" s="14" t="n">
        <v>3.451</v>
      </c>
      <c r="H222" s="14" t="n">
        <v>0.8149999999999999</v>
      </c>
      <c r="I222" s="14" t="n">
        <v>2.966</v>
      </c>
      <c r="J222" s="14" t="n">
        <v>6.417</v>
      </c>
      <c r="K222" s="14" t="n">
        <v>0</v>
      </c>
      <c r="L222" s="14" t="n">
        <v>1</v>
      </c>
      <c r="M222" s="14" t="n">
        <v>5.068</v>
      </c>
      <c r="N222" s="14" t="n">
        <v>2.446</v>
      </c>
      <c r="O222" s="14" t="n">
        <v>7.856</v>
      </c>
      <c r="P222" s="14" t="n">
        <v>12.923</v>
      </c>
      <c r="Q222" s="14" t="n">
        <v>0</v>
      </c>
      <c r="R222" s="14" t="n">
        <v>1</v>
      </c>
      <c r="S222" s="14" t="n">
        <v>7.528</v>
      </c>
      <c r="T222" s="14" t="n">
        <v>4.893</v>
      </c>
      <c r="U222" s="14" t="n">
        <v>2.36</v>
      </c>
      <c r="V222" s="14" t="n">
        <v>12.36</v>
      </c>
      <c r="W222" s="14" t="n">
        <v>0.25</v>
      </c>
      <c r="X222" s="14" t="n">
        <v>1</v>
      </c>
      <c r="Y222" s="14" t="n">
        <v>19.611</v>
      </c>
      <c r="Z222" s="14" t="n">
        <v>2.166</v>
      </c>
      <c r="AA222" s="14" t="n">
        <v>0.156</v>
      </c>
      <c r="AB222" s="14" t="n">
        <v>19.768</v>
      </c>
      <c r="AC222" s="14" t="n">
        <v>0</v>
      </c>
      <c r="AD222" s="14" t="n">
        <v>1</v>
      </c>
      <c r="AE222" s="14" t="n">
        <v>19.568</v>
      </c>
      <c r="AF222" s="14" t="n">
        <v>3.851</v>
      </c>
      <c r="AG222" s="14" t="n">
        <v>0.2</v>
      </c>
      <c r="AH222" s="14" t="n">
        <v>19.768</v>
      </c>
      <c r="AI222" s="14" t="n">
        <v>0</v>
      </c>
      <c r="AJ222" s="14" t="n">
        <v>1</v>
      </c>
      <c r="AK222" s="14" t="n">
        <v>24.725</v>
      </c>
      <c r="AL222" s="14" t="n">
        <v>12.135</v>
      </c>
      <c r="AM222" s="14" t="n">
        <v>3.419</v>
      </c>
      <c r="AN222" s="14" t="n">
        <v>35.18</v>
      </c>
      <c r="AO222" s="14" t="n">
        <v>0.25</v>
      </c>
      <c r="AP222" s="14" t="n">
        <v>1</v>
      </c>
      <c r="AQ222" s="14" t="n">
        <v>0.619</v>
      </c>
      <c r="AR222" s="14" t="n">
        <v>0.114</v>
      </c>
      <c r="AS222" s="14" t="n">
        <v>0.962</v>
      </c>
      <c r="AT222" s="14" t="n">
        <v>1.977</v>
      </c>
      <c r="AU222" s="14" t="n">
        <v>0.25</v>
      </c>
      <c r="AV222" s="14" t="n">
        <v>1</v>
      </c>
      <c r="AW222" s="14" t="n">
        <v>0.599</v>
      </c>
      <c r="AX222" s="14" t="n">
        <v>0.114</v>
      </c>
      <c r="AY222" s="14" t="n">
        <v>0.745</v>
      </c>
      <c r="AZ222" s="14" t="n">
        <v>1.681</v>
      </c>
      <c r="BA222" s="14" t="n">
        <v>0.25</v>
      </c>
      <c r="BB222" s="14" t="n">
        <v>1</v>
      </c>
      <c r="BC222" s="14" t="n">
        <v>0.439</v>
      </c>
      <c r="BD222" s="14" t="n">
        <v>0.114</v>
      </c>
      <c r="BE222" s="14" t="n">
        <v>0.258</v>
      </c>
      <c r="BF222" s="14" t="n">
        <v>0.872</v>
      </c>
      <c r="BG222" s="14" t="n">
        <v>0.25</v>
      </c>
      <c r="BH222" s="14" t="n">
        <v>1</v>
      </c>
      <c r="BI222" s="14" t="n">
        <v>0.505</v>
      </c>
      <c r="BJ222" s="14" t="n">
        <v>0.114</v>
      </c>
      <c r="BK222" s="14" t="n">
        <v>0.856</v>
      </c>
      <c r="BL222" s="14" t="n">
        <v>1.701</v>
      </c>
      <c r="BM222" s="14" t="n">
        <v>0.25</v>
      </c>
      <c r="BN222" s="14" t="n">
        <v>1</v>
      </c>
      <c r="BO222" s="14" t="n">
        <v>0</v>
      </c>
      <c r="BP222" s="14" t="n">
        <v>0.005</v>
      </c>
      <c r="BQ222" s="14" t="n">
        <v>0.113</v>
      </c>
      <c r="BR222" s="14" t="n">
        <v>0</v>
      </c>
      <c r="BS222" s="14" t="n">
        <v>1</v>
      </c>
      <c r="BT222" s="14" t="n">
        <v>0</v>
      </c>
      <c r="BU222" s="14" t="n">
        <v>0.151</v>
      </c>
      <c r="BV222" s="14" t="n">
        <v>0.375</v>
      </c>
      <c r="BW222" s="14" t="n">
        <v>0.25</v>
      </c>
      <c r="BX222" s="14" t="n">
        <v>1</v>
      </c>
      <c r="BY222" s="14" t="n">
        <v>11.787</v>
      </c>
      <c r="BZ222" s="14" t="n">
        <v>0</v>
      </c>
      <c r="CA222" s="14" t="n">
        <v>11.787</v>
      </c>
      <c r="CB222" s="14" t="n">
        <v>0</v>
      </c>
      <c r="CC222" s="14" t="n">
        <v>78.125</v>
      </c>
      <c r="CD222" s="14" t="n">
        <v>7.95</v>
      </c>
      <c r="CE222" s="14" t="n">
        <v>148.839</v>
      </c>
      <c r="CF222" s="14" t="n">
        <v>283.705</v>
      </c>
      <c r="CG222" s="14" t="n">
        <v>0.25</v>
      </c>
      <c r="CH222" s="14" t="n">
        <v>1</v>
      </c>
      <c r="CI222" s="14" t="n">
        <v>0</v>
      </c>
      <c r="CJ222" s="14" t="n">
        <v>0</v>
      </c>
      <c r="CK222" s="14" t="n">
        <v>0</v>
      </c>
      <c r="CL222" s="14" t="n">
        <v>0</v>
      </c>
      <c r="CM222" s="14" t="n">
        <v>0</v>
      </c>
      <c r="CN222" s="14" t="n">
        <v>0.138</v>
      </c>
      <c r="CO222" s="14" t="n">
        <v>0.065</v>
      </c>
      <c r="CP222" s="14" t="n">
        <v>0.573</v>
      </c>
      <c r="CQ222" s="14" t="n">
        <v>1.198</v>
      </c>
      <c r="CR222" s="14" t="n">
        <v>0</v>
      </c>
      <c r="CS222" s="14" t="n">
        <v>2.498</v>
      </c>
      <c r="CT222" s="14" t="n">
        <v>4.567</v>
      </c>
      <c r="CU222" s="14" t="n">
        <v>14.129</v>
      </c>
    </row>
    <row r="223">
      <c r="A223" s="14" t="inlineStr">
        <is>
          <t>DNK2022</t>
        </is>
      </c>
      <c r="B223" s="14" t="inlineStr">
        <is>
          <t>DNK</t>
        </is>
      </c>
      <c r="C223" s="14" t="inlineStr">
        <is>
          <t>DNK</t>
        </is>
      </c>
      <c r="D223" s="14" t="inlineStr">
        <is>
          <t>Denmark</t>
        </is>
      </c>
      <c r="E223" s="14" t="n">
        <v>2022</v>
      </c>
      <c r="F223" s="14" t="n">
        <v>0.25</v>
      </c>
      <c r="G223" s="14" t="n">
        <v>12.904</v>
      </c>
      <c r="H223" s="14" t="n">
        <v>1.235</v>
      </c>
      <c r="I223" s="14" t="n">
        <v>9.989000000000001</v>
      </c>
      <c r="J223" s="14" t="n">
        <v>22.893</v>
      </c>
      <c r="K223" s="14" t="n">
        <v>0</v>
      </c>
      <c r="L223" s="14" t="n">
        <v>1</v>
      </c>
      <c r="M223" s="14" t="n">
        <v>9.782999999999999</v>
      </c>
      <c r="N223" s="14" t="n">
        <v>3.704</v>
      </c>
      <c r="O223" s="14" t="n">
        <v>13.237</v>
      </c>
      <c r="P223" s="14" t="n">
        <v>23.02</v>
      </c>
      <c r="Q223" s="14" t="n">
        <v>0</v>
      </c>
      <c r="R223" s="14" t="n">
        <v>1</v>
      </c>
      <c r="S223" s="14" t="n">
        <v>19.078</v>
      </c>
      <c r="T223" s="14" t="n">
        <v>7.408</v>
      </c>
      <c r="U223" s="14" t="n">
        <v>3.144</v>
      </c>
      <c r="V223" s="14" t="n">
        <v>27.273</v>
      </c>
      <c r="W223" s="14" t="n">
        <v>0.25</v>
      </c>
      <c r="X223" s="14" t="n">
        <v>1</v>
      </c>
      <c r="Y223" s="14" t="n">
        <v>33.633</v>
      </c>
      <c r="Z223" s="14" t="n">
        <v>3.528</v>
      </c>
      <c r="AA223" s="14" t="n">
        <v>6.874</v>
      </c>
      <c r="AB223" s="14" t="n">
        <v>40.507</v>
      </c>
      <c r="AC223" s="14" t="n">
        <v>0</v>
      </c>
      <c r="AD223" s="14" t="n">
        <v>1</v>
      </c>
      <c r="AE223" s="14" t="n">
        <v>33.68</v>
      </c>
      <c r="AF223" s="14" t="n">
        <v>6.244</v>
      </c>
      <c r="AG223" s="14" t="n">
        <v>6.826</v>
      </c>
      <c r="AH223" s="14" t="n">
        <v>40.507</v>
      </c>
      <c r="AI223" s="14" t="n">
        <v>0</v>
      </c>
      <c r="AJ223" s="14" t="n">
        <v>1</v>
      </c>
      <c r="AK223" s="14" t="n">
        <v>39.386</v>
      </c>
      <c r="AL223" s="14" t="n">
        <v>18.808</v>
      </c>
      <c r="AM223" s="14" t="n">
        <v>2.651</v>
      </c>
      <c r="AN223" s="14" t="n">
        <v>52.546</v>
      </c>
      <c r="AO223" s="14" t="n">
        <v>0.25</v>
      </c>
      <c r="AP223" s="14" t="n">
        <v>1</v>
      </c>
      <c r="AQ223" s="14" t="n">
        <v>0.861</v>
      </c>
      <c r="AR223" s="14" t="n">
        <v>0.123</v>
      </c>
      <c r="AS223" s="14" t="n">
        <v>0.898</v>
      </c>
      <c r="AT223" s="14" t="n">
        <v>2.199</v>
      </c>
      <c r="AU223" s="14" t="n">
        <v>0.25</v>
      </c>
      <c r="AV223" s="14" t="n">
        <v>1</v>
      </c>
      <c r="AW223" s="14" t="n">
        <v>0.986</v>
      </c>
      <c r="AX223" s="14" t="n">
        <v>0.123</v>
      </c>
      <c r="AY223" s="14" t="n">
        <v>0.668</v>
      </c>
      <c r="AZ223" s="14" t="n">
        <v>2.068</v>
      </c>
      <c r="BA223" s="14" t="n">
        <v>0.25</v>
      </c>
      <c r="BB223" s="14" t="n">
        <v>1</v>
      </c>
      <c r="BC223" s="14" t="n">
        <v>0.598</v>
      </c>
      <c r="BD223" s="14" t="n">
        <v>0.123</v>
      </c>
      <c r="BE223" s="14" t="n">
        <v>0.282</v>
      </c>
      <c r="BF223" s="14" t="n">
        <v>1.08</v>
      </c>
      <c r="BG223" s="14" t="n">
        <v>0.25</v>
      </c>
      <c r="BH223" s="14" t="n">
        <v>1</v>
      </c>
      <c r="BI223" s="14" t="n">
        <v>0.612</v>
      </c>
      <c r="BJ223" s="14" t="n">
        <v>0.123</v>
      </c>
      <c r="BK223" s="14" t="n">
        <v>1.129</v>
      </c>
      <c r="BL223" s="14" t="n">
        <v>2.177</v>
      </c>
      <c r="BM223" s="14" t="n">
        <v>0.25</v>
      </c>
      <c r="BN223" s="14" t="n">
        <v>1</v>
      </c>
      <c r="BO223" s="14" t="n">
        <v>0</v>
      </c>
      <c r="BP223" s="14" t="n">
        <v>0.001</v>
      </c>
      <c r="BQ223" s="14" t="n">
        <v>0.194</v>
      </c>
      <c r="BR223" s="14" t="n">
        <v>0</v>
      </c>
      <c r="BS223" s="14" t="n">
        <v>1</v>
      </c>
      <c r="BT223" s="14" t="n">
        <v>0</v>
      </c>
      <c r="BU223" s="14" t="n">
        <v>0.123</v>
      </c>
      <c r="BV223" s="14" t="n">
        <v>0.549</v>
      </c>
      <c r="BW223" s="14" t="n">
        <v>0.25</v>
      </c>
      <c r="BX223" s="14" t="n">
        <v>1</v>
      </c>
      <c r="BY223" s="14" t="n">
        <v>12.729</v>
      </c>
      <c r="BZ223" s="14" t="n">
        <v>0</v>
      </c>
      <c r="CA223" s="14" t="n">
        <v>12.729</v>
      </c>
      <c r="CB223" s="14" t="n">
        <v>0</v>
      </c>
      <c r="CC223" s="14" t="n">
        <v>97.90000000000001</v>
      </c>
      <c r="CD223" s="14" t="n">
        <v>7.95</v>
      </c>
      <c r="CE223" s="14" t="n">
        <v>207.777</v>
      </c>
      <c r="CF223" s="14" t="n">
        <v>382.096</v>
      </c>
      <c r="CG223" s="14" t="n">
        <v>0.25</v>
      </c>
      <c r="CH223" s="14" t="n">
        <v>1</v>
      </c>
      <c r="CI223" s="14" t="n">
        <v>0</v>
      </c>
      <c r="CJ223" s="14" t="n">
        <v>0</v>
      </c>
      <c r="CK223" s="14" t="n">
        <v>0</v>
      </c>
      <c r="CL223" s="14" t="n">
        <v>0</v>
      </c>
      <c r="CM223" s="14" t="n">
        <v>0</v>
      </c>
      <c r="CN223" s="14" t="n">
        <v>0.149</v>
      </c>
      <c r="CO223" s="14" t="n">
        <v>0.06900000000000001</v>
      </c>
      <c r="CP223" s="14" t="n">
        <v>0</v>
      </c>
      <c r="CQ223" s="14" t="n">
        <v>1.294</v>
      </c>
      <c r="CR223" s="14" t="n">
        <v>0</v>
      </c>
      <c r="CS223" s="14" t="n">
        <v>2.698</v>
      </c>
      <c r="CT223" s="14" t="n">
        <v>11.669</v>
      </c>
      <c r="CU223" s="14" t="n">
        <v>28.059</v>
      </c>
    </row>
    <row r="224">
      <c r="A224" s="14" t="inlineStr">
        <is>
          <t>DNK2023</t>
        </is>
      </c>
      <c r="B224" s="14" t="inlineStr">
        <is>
          <t>DNK</t>
        </is>
      </c>
      <c r="C224" s="14" t="inlineStr">
        <is>
          <t>DNK</t>
        </is>
      </c>
      <c r="D224" s="14" t="inlineStr">
        <is>
          <t>Denmark</t>
        </is>
      </c>
      <c r="E224" s="14" t="n">
        <v>2023</v>
      </c>
      <c r="F224" s="14" t="n">
        <v>0.25</v>
      </c>
      <c r="G224" s="14" t="n">
        <v>6.901</v>
      </c>
      <c r="H224" s="14" t="n">
        <v>1.286</v>
      </c>
      <c r="I224" s="14" t="n">
        <v>11.192</v>
      </c>
      <c r="J224" s="14" t="n">
        <v>18.092</v>
      </c>
      <c r="K224" s="14" t="n">
        <v>0</v>
      </c>
      <c r="L224" s="14" t="n">
        <v>1</v>
      </c>
      <c r="M224" s="14" t="n">
        <v>7.886</v>
      </c>
      <c r="N224" s="14" t="n">
        <v>3.857</v>
      </c>
      <c r="O224" s="14" t="n">
        <v>14.221</v>
      </c>
      <c r="P224" s="14" t="n">
        <v>22.107</v>
      </c>
      <c r="Q224" s="14" t="n">
        <v>0</v>
      </c>
      <c r="R224" s="14" t="n">
        <v>1</v>
      </c>
      <c r="S224" s="14" t="n">
        <v>13.329</v>
      </c>
      <c r="T224" s="14" t="n">
        <v>7.714</v>
      </c>
      <c r="U224" s="14" t="n">
        <v>3.278</v>
      </c>
      <c r="V224" s="14" t="n">
        <v>20.2</v>
      </c>
      <c r="W224" s="14" t="n">
        <v>0.25</v>
      </c>
      <c r="X224" s="14" t="n">
        <v>1</v>
      </c>
      <c r="Y224" s="14" t="n">
        <v>14.886</v>
      </c>
      <c r="Z224" s="14" t="n">
        <v>1.667</v>
      </c>
      <c r="AA224" s="14" t="n">
        <v>9.521000000000001</v>
      </c>
      <c r="AB224" s="14" t="n">
        <v>24.406</v>
      </c>
      <c r="AC224" s="14" t="n">
        <v>0</v>
      </c>
      <c r="AD224" s="14" t="n">
        <v>1</v>
      </c>
      <c r="AE224" s="14" t="n">
        <v>14.984</v>
      </c>
      <c r="AF224" s="14" t="n">
        <v>2.984</v>
      </c>
      <c r="AG224" s="14" t="n">
        <v>9.422000000000001</v>
      </c>
      <c r="AH224" s="14" t="n">
        <v>24.406</v>
      </c>
      <c r="AI224" s="14" t="n">
        <v>0</v>
      </c>
      <c r="AJ224" s="14" t="n">
        <v>1</v>
      </c>
      <c r="AK224" s="14" t="n">
        <v>20.996</v>
      </c>
      <c r="AL224" s="14" t="n">
        <v>10.401</v>
      </c>
      <c r="AM224" s="14" t="n">
        <v>13.552</v>
      </c>
      <c r="AN224" s="14" t="n">
        <v>43.184</v>
      </c>
      <c r="AO224" s="14" t="n">
        <v>0.25</v>
      </c>
      <c r="AP224" s="14" t="n">
        <v>1</v>
      </c>
      <c r="AQ224" s="14" t="n">
        <v>0.76</v>
      </c>
      <c r="AR224" s="14" t="n">
        <v>0.129</v>
      </c>
      <c r="AS224" s="14" t="n">
        <v>0.948</v>
      </c>
      <c r="AT224" s="14" t="n">
        <v>2.135</v>
      </c>
      <c r="AU224" s="14" t="n">
        <v>0.25</v>
      </c>
      <c r="AV224" s="14" t="n">
        <v>1</v>
      </c>
      <c r="AW224" s="14" t="n">
        <v>0.8110000000000001</v>
      </c>
      <c r="AX224" s="14" t="n">
        <v>0.129</v>
      </c>
      <c r="AY224" s="14" t="n">
        <v>0.6929999999999999</v>
      </c>
      <c r="AZ224" s="14" t="n">
        <v>1.88</v>
      </c>
      <c r="BA224" s="14" t="n">
        <v>0.25</v>
      </c>
      <c r="BB224" s="14" t="n">
        <v>1</v>
      </c>
      <c r="BC224" s="14" t="n">
        <v>0.535</v>
      </c>
      <c r="BD224" s="14" t="n">
        <v>0.129</v>
      </c>
      <c r="BE224" s="14" t="n">
        <v>0.287</v>
      </c>
      <c r="BF224" s="14" t="n">
        <v>1</v>
      </c>
      <c r="BG224" s="14" t="n">
        <v>0.25</v>
      </c>
      <c r="BH224" s="14" t="n">
        <v>1</v>
      </c>
      <c r="BI224" s="14" t="n">
        <v>0.579</v>
      </c>
      <c r="BJ224" s="14" t="n">
        <v>0.129</v>
      </c>
      <c r="BK224" s="14" t="n">
        <v>1.022</v>
      </c>
      <c r="BL224" s="14" t="n">
        <v>2.002</v>
      </c>
      <c r="BM224" s="14" t="n">
        <v>0.25</v>
      </c>
      <c r="BN224" s="14" t="n">
        <v>1</v>
      </c>
      <c r="BO224" s="14" t="n">
        <v>0</v>
      </c>
      <c r="BP224" s="14" t="n">
        <v>0.001</v>
      </c>
      <c r="BQ224" s="14" t="n">
        <v>0.13</v>
      </c>
      <c r="BR224" s="14" t="n">
        <v>0</v>
      </c>
      <c r="BS224" s="14" t="n">
        <v>1</v>
      </c>
      <c r="BT224" s="14" t="n">
        <v>0</v>
      </c>
      <c r="BU224" s="14" t="n">
        <v>0.058</v>
      </c>
      <c r="BV224" s="14" t="n">
        <v>0.398</v>
      </c>
      <c r="BW224" s="14" t="n">
        <v>0.25</v>
      </c>
      <c r="BX224" s="14" t="n">
        <v>1</v>
      </c>
      <c r="BY224" s="14" t="n">
        <v>13.254</v>
      </c>
      <c r="BZ224" s="14" t="n">
        <v>0</v>
      </c>
      <c r="CA224" s="14" t="n">
        <v>13.254</v>
      </c>
      <c r="CB224" s="14" t="n">
        <v>0</v>
      </c>
      <c r="CC224" s="14" t="n">
        <v>83.248</v>
      </c>
      <c r="CD224" s="14" t="n">
        <v>7.95</v>
      </c>
      <c r="CE224" s="14" t="n">
        <v>206.151</v>
      </c>
      <c r="CF224" s="14" t="n">
        <v>361.749</v>
      </c>
      <c r="CG224" s="14" t="n">
        <v>0.25</v>
      </c>
      <c r="CH224" s="14" t="n">
        <v>1</v>
      </c>
      <c r="CI224" s="14" t="n">
        <v>0</v>
      </c>
      <c r="CJ224" s="14" t="n">
        <v>0</v>
      </c>
      <c r="CK224" s="14" t="n">
        <v>0</v>
      </c>
      <c r="CL224" s="14" t="n">
        <v>0</v>
      </c>
      <c r="CM224" s="14" t="n">
        <v>0</v>
      </c>
      <c r="CN224" s="14" t="n">
        <v>0.149</v>
      </c>
      <c r="CO224" s="14" t="n">
        <v>0.066</v>
      </c>
      <c r="CP224" s="14" t="n">
        <v>0</v>
      </c>
      <c r="CQ224" s="14" t="n">
        <v>1.348</v>
      </c>
      <c r="CR224" s="14" t="n">
        <v>0</v>
      </c>
      <c r="CS224" s="14" t="n">
        <v>2.809</v>
      </c>
      <c r="CT224" s="14" t="n">
        <v>5.615</v>
      </c>
      <c r="CU224" s="14" t="n">
        <v>9.260999999999999</v>
      </c>
    </row>
    <row r="225">
      <c r="A225" s="14" t="inlineStr">
        <is>
          <t>DNK2024</t>
        </is>
      </c>
      <c r="B225" s="14" t="inlineStr">
        <is>
          <t>DNK</t>
        </is>
      </c>
      <c r="C225" s="14" t="inlineStr">
        <is>
          <t>DNK</t>
        </is>
      </c>
      <c r="D225" s="14" t="inlineStr">
        <is>
          <t>Denmark</t>
        </is>
      </c>
      <c r="E225" s="14" t="n">
        <v>2024</v>
      </c>
      <c r="F225" s="14" t="n">
        <v>0.25</v>
      </c>
      <c r="G225" s="14" t="n">
        <v>5.717</v>
      </c>
      <c r="H225" s="14" t="n">
        <v>1.324</v>
      </c>
      <c r="I225" s="14" t="n">
        <v>8.045</v>
      </c>
      <c r="J225" s="14" t="n">
        <v>13.763</v>
      </c>
      <c r="K225" s="14" t="n">
        <v>0</v>
      </c>
      <c r="L225" s="14" t="n">
        <v>1</v>
      </c>
      <c r="M225" s="14" t="n">
        <v>7.124</v>
      </c>
      <c r="N225" s="14" t="n">
        <v>3.971</v>
      </c>
      <c r="O225" s="14" t="n">
        <v>12.724</v>
      </c>
      <c r="P225" s="14" t="n">
        <v>19.848</v>
      </c>
      <c r="Q225" s="14" t="n">
        <v>0</v>
      </c>
      <c r="R225" s="14" t="n">
        <v>1</v>
      </c>
      <c r="S225" s="14" t="n">
        <v>12.335</v>
      </c>
      <c r="T225" s="14" t="n">
        <v>7.942</v>
      </c>
      <c r="U225" s="14" t="n">
        <v>3.61</v>
      </c>
      <c r="V225" s="14" t="n">
        <v>19.275</v>
      </c>
      <c r="W225" s="14" t="n">
        <v>0.25</v>
      </c>
      <c r="X225" s="14" t="n">
        <v>1</v>
      </c>
      <c r="Y225" s="14" t="n">
        <v>14.533</v>
      </c>
      <c r="Z225" s="14" t="n">
        <v>1.835</v>
      </c>
      <c r="AA225" s="14" t="n">
        <v>6.495</v>
      </c>
      <c r="AB225" s="14" t="n">
        <v>21.029</v>
      </c>
      <c r="AC225" s="14" t="n">
        <v>0</v>
      </c>
      <c r="AD225" s="14" t="n">
        <v>1</v>
      </c>
      <c r="AE225" s="14" t="n">
        <v>14.533</v>
      </c>
      <c r="AF225" s="14" t="n">
        <v>3.184</v>
      </c>
      <c r="AG225" s="14" t="n">
        <v>6.495</v>
      </c>
      <c r="AH225" s="14" t="n">
        <v>21.029</v>
      </c>
      <c r="AI225" s="14" t="n">
        <v>0</v>
      </c>
      <c r="AJ225" s="14" t="n">
        <v>1</v>
      </c>
      <c r="AK225" s="14" t="n">
        <v>19.97</v>
      </c>
      <c r="AL225" s="14" t="n">
        <v>10.157</v>
      </c>
      <c r="AM225" s="14" t="n">
        <v>10.534</v>
      </c>
      <c r="AN225" s="14" t="n">
        <v>38.13</v>
      </c>
      <c r="AO225" s="14" t="n">
        <v>0.25</v>
      </c>
      <c r="AP225" s="14" t="n">
        <v>1</v>
      </c>
      <c r="AQ225" s="14" t="n">
        <v>0.724</v>
      </c>
      <c r="AR225" s="14" t="n">
        <v>0.132</v>
      </c>
      <c r="AS225" s="14" t="n">
        <v>1.005</v>
      </c>
      <c r="AT225" s="14" t="n">
        <v>2.162</v>
      </c>
      <c r="AU225" s="14" t="n">
        <v>0.25</v>
      </c>
      <c r="AV225" s="14" t="n">
        <v>1</v>
      </c>
      <c r="AW225" s="14" t="n">
        <v>0.75</v>
      </c>
      <c r="AX225" s="14" t="n">
        <v>0.132</v>
      </c>
      <c r="AY225" s="14" t="n">
        <v>0.725</v>
      </c>
      <c r="AZ225" s="14" t="n">
        <v>1.844</v>
      </c>
      <c r="BA225" s="14" t="n">
        <v>0.25</v>
      </c>
      <c r="BB225" s="14" t="n">
        <v>1</v>
      </c>
      <c r="BC225" s="14" t="n">
        <v>0.513</v>
      </c>
      <c r="BD225" s="14" t="n">
        <v>0.132</v>
      </c>
      <c r="BE225" s="14" t="n">
        <v>0.296</v>
      </c>
      <c r="BF225" s="14" t="n">
        <v>0.978</v>
      </c>
      <c r="BG225" s="14" t="n">
        <v>0.25</v>
      </c>
      <c r="BH225" s="14" t="n">
        <v>1</v>
      </c>
      <c r="BI225" s="14" t="n">
        <v>0.591</v>
      </c>
      <c r="BJ225" s="14" t="n">
        <v>0.132</v>
      </c>
      <c r="BK225" s="14" t="n">
        <v>0.9429999999999999</v>
      </c>
      <c r="BL225" s="14" t="n">
        <v>1.917</v>
      </c>
      <c r="BM225" s="14" t="n">
        <v>0.25</v>
      </c>
      <c r="BN225" s="14" t="n">
        <v>1</v>
      </c>
      <c r="BO225" s="14" t="n">
        <v>0</v>
      </c>
      <c r="BP225" s="14" t="n">
        <v>0.002</v>
      </c>
      <c r="BQ225" s="14" t="n">
        <v>0.122</v>
      </c>
      <c r="BR225" s="14" t="n">
        <v>0</v>
      </c>
      <c r="BS225" s="14" t="n">
        <v>1</v>
      </c>
      <c r="BT225" s="14" t="n">
        <v>0</v>
      </c>
      <c r="BU225" s="14" t="n">
        <v>0.117</v>
      </c>
      <c r="BV225" s="14" t="n">
        <v>0.404</v>
      </c>
      <c r="BW225" s="14" t="n">
        <v>0.25</v>
      </c>
      <c r="BX225" s="14" t="n">
        <v>1</v>
      </c>
      <c r="BY225" s="14" t="n">
        <v>13.646</v>
      </c>
      <c r="BZ225" s="14" t="n">
        <v>0</v>
      </c>
      <c r="CA225" s="14" t="n">
        <v>13.646</v>
      </c>
      <c r="CB225" s="14" t="n">
        <v>0</v>
      </c>
      <c r="CC225" s="14" t="n">
        <v>82.58799999999999</v>
      </c>
      <c r="CD225" s="14" t="n">
        <v>7.95</v>
      </c>
      <c r="CE225" s="14" t="n">
        <v>192.975</v>
      </c>
      <c r="CF225" s="14" t="n">
        <v>344.454</v>
      </c>
      <c r="CG225" s="14" t="n">
        <v>0.25</v>
      </c>
      <c r="CH225" s="14" t="n">
        <v>1</v>
      </c>
      <c r="CI225" s="14" t="n">
        <v>0</v>
      </c>
      <c r="CJ225" s="14" t="n">
        <v>0</v>
      </c>
      <c r="CK225" s="14" t="n">
        <v>0</v>
      </c>
      <c r="CL225" s="14" t="n">
        <v>0</v>
      </c>
      <c r="CM225" s="14" t="n">
        <v>0</v>
      </c>
      <c r="CN225" s="14" t="n">
        <v>0.363</v>
      </c>
      <c r="CO225" s="14" t="n">
        <v>0.06900000000000001</v>
      </c>
      <c r="CP225" s="14" t="n">
        <v>0</v>
      </c>
      <c r="CQ225" s="14" t="n">
        <v>1.387</v>
      </c>
      <c r="CR225" s="14" t="n">
        <v>0</v>
      </c>
      <c r="CS225" s="14" t="n">
        <v>2.892</v>
      </c>
      <c r="CT225" s="14" t="n">
        <v>4.394</v>
      </c>
      <c r="CU225" s="14" t="n">
        <v>7.598</v>
      </c>
    </row>
    <row r="226">
      <c r="A226" s="14" t="inlineStr">
        <is>
          <t>DJI2021</t>
        </is>
      </c>
      <c r="B226" s="14" t="inlineStr">
        <is>
          <t>DJI</t>
        </is>
      </c>
      <c r="C226" s="14" t="inlineStr">
        <is>
          <t>DJI</t>
        </is>
      </c>
      <c r="D226" s="14" t="inlineStr">
        <is>
          <t>Djibouti</t>
        </is>
      </c>
      <c r="E226" s="14" t="n">
        <v>2021</v>
      </c>
      <c r="F226" s="14" t="n">
        <v>0.1</v>
      </c>
      <c r="G226" s="14" t="n">
        <v>5.897</v>
      </c>
      <c r="H226" s="14" t="n">
        <v>1.143</v>
      </c>
      <c r="I226" s="14" t="n">
        <v>0</v>
      </c>
      <c r="J226" s="14" t="n">
        <v>5.897</v>
      </c>
      <c r="K226" s="14" t="n">
        <v>0</v>
      </c>
      <c r="L226" s="14" t="n">
        <v>1</v>
      </c>
      <c r="M226" s="14" t="n">
        <v>7.964</v>
      </c>
      <c r="N226" s="14" t="n">
        <v>3.43</v>
      </c>
      <c r="O226" s="14" t="n">
        <v>0</v>
      </c>
      <c r="P226" s="14" t="n">
        <v>7.964</v>
      </c>
      <c r="Q226" s="14" t="n">
        <v>0</v>
      </c>
      <c r="R226" s="14" t="n">
        <v>1</v>
      </c>
      <c r="S226" s="14" t="n">
        <v>11.613</v>
      </c>
      <c r="T226" s="14" t="n">
        <v>6.86</v>
      </c>
      <c r="U226" s="14" t="n">
        <v>0</v>
      </c>
      <c r="V226" s="14" t="n">
        <v>12.775</v>
      </c>
      <c r="W226" s="14" t="n">
        <v>0.1</v>
      </c>
      <c r="X226" s="14" t="n">
        <v>1</v>
      </c>
      <c r="Y226" s="14" t="n">
        <v>5.115</v>
      </c>
      <c r="Z226" s="14" t="n">
        <v>0.834</v>
      </c>
      <c r="AA226" s="14" t="n">
        <v>0</v>
      </c>
      <c r="AB226" s="14" t="n">
        <v>5.115</v>
      </c>
      <c r="AC226" s="14" t="n">
        <v>0</v>
      </c>
      <c r="AD226" s="14" t="n">
        <v>1</v>
      </c>
      <c r="AE226" s="14" t="n">
        <v>6.258</v>
      </c>
      <c r="AF226" s="14" t="n">
        <v>1.715</v>
      </c>
      <c r="AG226" s="14" t="n">
        <v>0</v>
      </c>
      <c r="AH226" s="14" t="n">
        <v>6.258</v>
      </c>
      <c r="AI226" s="14" t="n">
        <v>0</v>
      </c>
      <c r="AJ226" s="14" t="n">
        <v>1</v>
      </c>
      <c r="AK226" s="14" t="n">
        <v>13.118</v>
      </c>
      <c r="AL226" s="14" t="n">
        <v>7.629</v>
      </c>
      <c r="AM226" s="14" t="n">
        <v>0</v>
      </c>
      <c r="AN226" s="14" t="n">
        <v>14.43</v>
      </c>
      <c r="AO226" s="14" t="n">
        <v>0.1</v>
      </c>
      <c r="AP226" s="14" t="n">
        <v>1</v>
      </c>
      <c r="AQ226" s="14" t="n">
        <v>0.621</v>
      </c>
      <c r="AR226" s="14" t="n">
        <v>0.114</v>
      </c>
      <c r="AS226" s="14" t="n">
        <v>1.066</v>
      </c>
      <c r="AT226" s="14" t="n">
        <v>1.856</v>
      </c>
      <c r="AU226" s="14" t="n">
        <v>0.1</v>
      </c>
      <c r="AV226" s="14" t="n">
        <v>1</v>
      </c>
      <c r="AW226" s="14" t="n">
        <v>0.593</v>
      </c>
      <c r="AX226" s="14" t="n">
        <v>0.114</v>
      </c>
      <c r="AY226" s="14" t="n">
        <v>0.386</v>
      </c>
      <c r="AZ226" s="14" t="n">
        <v>1.077</v>
      </c>
      <c r="BA226" s="14" t="n">
        <v>0.1</v>
      </c>
      <c r="BB226" s="14" t="n">
        <v>1</v>
      </c>
      <c r="BC226" s="14" t="n">
        <v>0.44</v>
      </c>
      <c r="BD226" s="14" t="n">
        <v>0.114</v>
      </c>
      <c r="BE226" s="14" t="n">
        <v>0</v>
      </c>
      <c r="BF226" s="14" t="n">
        <v>0.484</v>
      </c>
      <c r="BG226" s="14" t="n">
        <v>0.1</v>
      </c>
      <c r="BH226" s="14" t="n">
        <v>1</v>
      </c>
      <c r="BI226" s="14" t="n">
        <v>0.5600000000000001</v>
      </c>
      <c r="BJ226" s="14" t="n">
        <v>0.114</v>
      </c>
      <c r="BK226" s="14" t="n">
        <v>0</v>
      </c>
      <c r="BL226" s="14" t="n">
        <v>0.616</v>
      </c>
      <c r="BM226" s="14" t="n">
        <v>0.1</v>
      </c>
      <c r="BN226" s="14" t="n">
        <v>1</v>
      </c>
      <c r="BO226" s="14" t="n">
        <v>0</v>
      </c>
      <c r="BP226" s="14" t="n">
        <v>0</v>
      </c>
      <c r="BQ226" s="14" t="n">
        <v>0</v>
      </c>
      <c r="BR226" s="14" t="n">
        <v>0</v>
      </c>
      <c r="BS226" s="14" t="n">
        <v>1</v>
      </c>
      <c r="BT226" s="14" t="n">
        <v>0</v>
      </c>
      <c r="BU226" s="14" t="n">
        <v>0</v>
      </c>
      <c r="BV226" s="14" t="n">
        <v>0</v>
      </c>
      <c r="BW226" s="14" t="n">
        <v>0.1</v>
      </c>
      <c r="BX226" s="14" t="n">
        <v>1</v>
      </c>
      <c r="BY226" s="14" t="n">
        <v>11.787</v>
      </c>
      <c r="BZ226" s="14" t="n">
        <v>0</v>
      </c>
      <c r="CA226" s="14" t="n">
        <v>11.787</v>
      </c>
      <c r="CB226" s="14" t="n">
        <v>0</v>
      </c>
      <c r="CC226" s="14" t="n">
        <v>81.69499999999999</v>
      </c>
      <c r="CD226" s="14" t="n">
        <v>7.95</v>
      </c>
      <c r="CE226" s="14" t="n">
        <v>0</v>
      </c>
      <c r="CF226" s="14" t="n">
        <v>89.86499999999999</v>
      </c>
      <c r="CG226" s="14" t="n">
        <v>0.1</v>
      </c>
      <c r="CH226" s="14" t="n">
        <v>1</v>
      </c>
      <c r="CI226" s="14" t="n">
        <v>0</v>
      </c>
      <c r="CJ226" s="14" t="n">
        <v>0</v>
      </c>
      <c r="CK226" s="14" t="n">
        <v>0</v>
      </c>
      <c r="CL226" s="14" t="n">
        <v>0</v>
      </c>
      <c r="CM226" s="14" t="n">
        <v>0</v>
      </c>
      <c r="CN226" s="14" t="n">
        <v>0</v>
      </c>
      <c r="CO226" s="14" t="n">
        <v>0</v>
      </c>
      <c r="CP226" s="14" t="n">
        <v>0</v>
      </c>
      <c r="CQ226" s="14" t="n">
        <v>1.198</v>
      </c>
      <c r="CR226" s="14" t="n">
        <v>0</v>
      </c>
      <c r="CS226" s="14" t="n">
        <v>4.776</v>
      </c>
      <c r="CT226" s="14" t="n">
        <v>4.753</v>
      </c>
      <c r="CU226" s="14" t="n">
        <v>14.162</v>
      </c>
    </row>
    <row r="227">
      <c r="A227" s="14" t="inlineStr">
        <is>
          <t>DJI2022</t>
        </is>
      </c>
      <c r="B227" s="14" t="inlineStr">
        <is>
          <t>DJI</t>
        </is>
      </c>
      <c r="C227" s="14" t="inlineStr">
        <is>
          <t>DJI</t>
        </is>
      </c>
      <c r="D227" s="14" t="inlineStr">
        <is>
          <t>Djibouti</t>
        </is>
      </c>
      <c r="E227" s="14" t="n">
        <v>2022</v>
      </c>
      <c r="F227" s="14" t="n">
        <v>0.1</v>
      </c>
      <c r="G227" s="14" t="n">
        <v>11.72</v>
      </c>
      <c r="H227" s="14" t="n">
        <v>1.235</v>
      </c>
      <c r="I227" s="14" t="n">
        <v>0</v>
      </c>
      <c r="J227" s="14" t="n">
        <v>11.72</v>
      </c>
      <c r="K227" s="14" t="n">
        <v>0</v>
      </c>
      <c r="L227" s="14" t="n">
        <v>1</v>
      </c>
      <c r="M227" s="14" t="n">
        <v>9.782999999999999</v>
      </c>
      <c r="N227" s="14" t="n">
        <v>3.704</v>
      </c>
      <c r="O227" s="14" t="n">
        <v>0</v>
      </c>
      <c r="P227" s="14" t="n">
        <v>9.782999999999999</v>
      </c>
      <c r="Q227" s="14" t="n">
        <v>0</v>
      </c>
      <c r="R227" s="14" t="n">
        <v>1</v>
      </c>
      <c r="S227" s="14" t="n">
        <v>17.893</v>
      </c>
      <c r="T227" s="14" t="n">
        <v>7.408</v>
      </c>
      <c r="U227" s="14" t="n">
        <v>0.132</v>
      </c>
      <c r="V227" s="14" t="n">
        <v>19.683</v>
      </c>
      <c r="W227" s="14" t="n">
        <v>0.1</v>
      </c>
      <c r="X227" s="14" t="n">
        <v>1</v>
      </c>
      <c r="Y227" s="14" t="n">
        <v>5.91</v>
      </c>
      <c r="Z227" s="14" t="n">
        <v>0.964</v>
      </c>
      <c r="AA227" s="14" t="n">
        <v>0</v>
      </c>
      <c r="AB227" s="14" t="n">
        <v>5.91</v>
      </c>
      <c r="AC227" s="14" t="n">
        <v>0</v>
      </c>
      <c r="AD227" s="14" t="n">
        <v>1</v>
      </c>
      <c r="AE227" s="14" t="n">
        <v>7.145</v>
      </c>
      <c r="AF227" s="14" t="n">
        <v>1.958</v>
      </c>
      <c r="AG227" s="14" t="n">
        <v>0</v>
      </c>
      <c r="AH227" s="14" t="n">
        <v>7.145</v>
      </c>
      <c r="AI227" s="14" t="n">
        <v>0</v>
      </c>
      <c r="AJ227" s="14" t="n">
        <v>1</v>
      </c>
      <c r="AK227" s="14" t="n">
        <v>14.553</v>
      </c>
      <c r="AL227" s="14" t="n">
        <v>8.462999999999999</v>
      </c>
      <c r="AM227" s="14" t="n">
        <v>0.108</v>
      </c>
      <c r="AN227" s="14" t="n">
        <v>16.008</v>
      </c>
      <c r="AO227" s="14" t="n">
        <v>0.1</v>
      </c>
      <c r="AP227" s="14" t="n">
        <v>1</v>
      </c>
      <c r="AQ227" s="14" t="n">
        <v>0.847</v>
      </c>
      <c r="AR227" s="14" t="n">
        <v>0.123</v>
      </c>
      <c r="AS227" s="14" t="n">
        <v>1.15</v>
      </c>
      <c r="AT227" s="14" t="n">
        <v>2.181</v>
      </c>
      <c r="AU227" s="14" t="n">
        <v>0.1</v>
      </c>
      <c r="AV227" s="14" t="n">
        <v>1</v>
      </c>
      <c r="AW227" s="14" t="n">
        <v>0.947</v>
      </c>
      <c r="AX227" s="14" t="n">
        <v>0.123</v>
      </c>
      <c r="AY227" s="14" t="n">
        <v>0.399</v>
      </c>
      <c r="AZ227" s="14" t="n">
        <v>1.47</v>
      </c>
      <c r="BA227" s="14" t="n">
        <v>0.1</v>
      </c>
      <c r="BB227" s="14" t="n">
        <v>1</v>
      </c>
      <c r="BC227" s="14" t="n">
        <v>0.589</v>
      </c>
      <c r="BD227" s="14" t="n">
        <v>0.123</v>
      </c>
      <c r="BE227" s="14" t="n">
        <v>0.004</v>
      </c>
      <c r="BF227" s="14" t="n">
        <v>0.647</v>
      </c>
      <c r="BG227" s="14" t="n">
        <v>0.1</v>
      </c>
      <c r="BH227" s="14" t="n">
        <v>1</v>
      </c>
      <c r="BI227" s="14" t="n">
        <v>0.6889999999999999</v>
      </c>
      <c r="BJ227" s="14" t="n">
        <v>0.123</v>
      </c>
      <c r="BK227" s="14" t="n">
        <v>0.005</v>
      </c>
      <c r="BL227" s="14" t="n">
        <v>0.758</v>
      </c>
      <c r="BM227" s="14" t="n">
        <v>0.1</v>
      </c>
      <c r="BN227" s="14" t="n">
        <v>1</v>
      </c>
      <c r="BO227" s="14" t="n">
        <v>0</v>
      </c>
      <c r="BP227" s="14" t="n">
        <v>0</v>
      </c>
      <c r="BQ227" s="14" t="n">
        <v>0</v>
      </c>
      <c r="BR227" s="14" t="n">
        <v>0</v>
      </c>
      <c r="BS227" s="14" t="n">
        <v>1</v>
      </c>
      <c r="BT227" s="14" t="n">
        <v>0</v>
      </c>
      <c r="BU227" s="14" t="n">
        <v>0</v>
      </c>
      <c r="BV227" s="14" t="n">
        <v>0</v>
      </c>
      <c r="BW227" s="14" t="n">
        <v>0.1</v>
      </c>
      <c r="BX227" s="14" t="n">
        <v>1</v>
      </c>
      <c r="BY227" s="14" t="n">
        <v>12.729</v>
      </c>
      <c r="BZ227" s="14" t="n">
        <v>0</v>
      </c>
      <c r="CA227" s="14" t="n">
        <v>12.729</v>
      </c>
      <c r="CB227" s="14" t="n">
        <v>0</v>
      </c>
      <c r="CC227" s="14" t="n">
        <v>102.477</v>
      </c>
      <c r="CD227" s="14" t="n">
        <v>7.95</v>
      </c>
      <c r="CE227" s="14" t="n">
        <v>0.758</v>
      </c>
      <c r="CF227" s="14" t="n">
        <v>112.724</v>
      </c>
      <c r="CG227" s="14" t="n">
        <v>0.1</v>
      </c>
      <c r="CH227" s="14" t="n">
        <v>1</v>
      </c>
      <c r="CI227" s="14" t="n">
        <v>0</v>
      </c>
      <c r="CJ227" s="14" t="n">
        <v>0</v>
      </c>
      <c r="CK227" s="14" t="n">
        <v>0</v>
      </c>
      <c r="CL227" s="14" t="n">
        <v>0</v>
      </c>
      <c r="CM227" s="14" t="n">
        <v>0</v>
      </c>
      <c r="CN227" s="14" t="n">
        <v>0</v>
      </c>
      <c r="CO227" s="14" t="n">
        <v>0</v>
      </c>
      <c r="CP227" s="14" t="n">
        <v>0</v>
      </c>
      <c r="CQ227" s="14" t="n">
        <v>1.294</v>
      </c>
      <c r="CR227" s="14" t="n">
        <v>0</v>
      </c>
      <c r="CS227" s="14" t="n">
        <v>5.158</v>
      </c>
      <c r="CT227" s="14" t="n">
        <v>10.485</v>
      </c>
      <c r="CU227" s="14" t="n">
        <v>30.326</v>
      </c>
    </row>
    <row r="228">
      <c r="A228" s="14" t="inlineStr">
        <is>
          <t>DJI2023</t>
        </is>
      </c>
      <c r="B228" s="14" t="inlineStr">
        <is>
          <t>DJI</t>
        </is>
      </c>
      <c r="C228" s="14" t="inlineStr">
        <is>
          <t>DJI</t>
        </is>
      </c>
      <c r="D228" s="14" t="inlineStr">
        <is>
          <t>Djibouti</t>
        </is>
      </c>
      <c r="E228" s="14" t="n">
        <v>2023</v>
      </c>
      <c r="F228" s="14" t="n">
        <v>0.1</v>
      </c>
      <c r="G228" s="14" t="n">
        <v>6.147</v>
      </c>
      <c r="H228" s="14" t="n">
        <v>1.286</v>
      </c>
      <c r="I228" s="14" t="n">
        <v>0</v>
      </c>
      <c r="J228" s="14" t="n">
        <v>6.147</v>
      </c>
      <c r="K228" s="14" t="n">
        <v>0</v>
      </c>
      <c r="L228" s="14" t="n">
        <v>1</v>
      </c>
      <c r="M228" s="14" t="n">
        <v>7.886</v>
      </c>
      <c r="N228" s="14" t="n">
        <v>3.857</v>
      </c>
      <c r="O228" s="14" t="n">
        <v>0</v>
      </c>
      <c r="P228" s="14" t="n">
        <v>7.886</v>
      </c>
      <c r="Q228" s="14" t="n">
        <v>0</v>
      </c>
      <c r="R228" s="14" t="n">
        <v>1</v>
      </c>
      <c r="S228" s="14" t="n">
        <v>12.575</v>
      </c>
      <c r="T228" s="14" t="n">
        <v>7.714</v>
      </c>
      <c r="U228" s="14" t="n">
        <v>0.139</v>
      </c>
      <c r="V228" s="14" t="n">
        <v>13.833</v>
      </c>
      <c r="W228" s="14" t="n">
        <v>0.1</v>
      </c>
      <c r="X228" s="14" t="n">
        <v>1</v>
      </c>
      <c r="Y228" s="14" t="n">
        <v>5.615</v>
      </c>
      <c r="Z228" s="14" t="n">
        <v>0.916</v>
      </c>
      <c r="AA228" s="14" t="n">
        <v>0</v>
      </c>
      <c r="AB228" s="14" t="n">
        <v>5.615</v>
      </c>
      <c r="AC228" s="14" t="n">
        <v>0</v>
      </c>
      <c r="AD228" s="14" t="n">
        <v>1</v>
      </c>
      <c r="AE228" s="14" t="n">
        <v>6.901</v>
      </c>
      <c r="AF228" s="14" t="n">
        <v>1.891</v>
      </c>
      <c r="AG228" s="14" t="n">
        <v>0</v>
      </c>
      <c r="AH228" s="14" t="n">
        <v>6.901</v>
      </c>
      <c r="AI228" s="14" t="n">
        <v>0</v>
      </c>
      <c r="AJ228" s="14" t="n">
        <v>1</v>
      </c>
      <c r="AK228" s="14" t="n">
        <v>14.615</v>
      </c>
      <c r="AL228" s="14" t="n">
        <v>8.499000000000001</v>
      </c>
      <c r="AM228" s="14" t="n">
        <v>0.162</v>
      </c>
      <c r="AN228" s="14" t="n">
        <v>16.076</v>
      </c>
      <c r="AO228" s="14" t="n">
        <v>0.1</v>
      </c>
      <c r="AP228" s="14" t="n">
        <v>1</v>
      </c>
      <c r="AQ228" s="14" t="n">
        <v>0.749</v>
      </c>
      <c r="AR228" s="14" t="n">
        <v>0.129</v>
      </c>
      <c r="AS228" s="14" t="n">
        <v>1.216</v>
      </c>
      <c r="AT228" s="14" t="n">
        <v>2.138</v>
      </c>
      <c r="AU228" s="14" t="n">
        <v>0.1</v>
      </c>
      <c r="AV228" s="14" t="n">
        <v>1</v>
      </c>
      <c r="AW228" s="14" t="n">
        <v>0.783</v>
      </c>
      <c r="AX228" s="14" t="n">
        <v>0.129</v>
      </c>
      <c r="AY228" s="14" t="n">
        <v>0.437</v>
      </c>
      <c r="AZ228" s="14" t="n">
        <v>1.327</v>
      </c>
      <c r="BA228" s="14" t="n">
        <v>0.1</v>
      </c>
      <c r="BB228" s="14" t="n">
        <v>1</v>
      </c>
      <c r="BC228" s="14" t="n">
        <v>0.527</v>
      </c>
      <c r="BD228" s="14" t="n">
        <v>0.129</v>
      </c>
      <c r="BE228" s="14" t="n">
        <v>0.006</v>
      </c>
      <c r="BF228" s="14" t="n">
        <v>0.58</v>
      </c>
      <c r="BG228" s="14" t="n">
        <v>0.1</v>
      </c>
      <c r="BH228" s="14" t="n">
        <v>1</v>
      </c>
      <c r="BI228" s="14" t="n">
        <v>0.64</v>
      </c>
      <c r="BJ228" s="14" t="n">
        <v>0.129</v>
      </c>
      <c r="BK228" s="14" t="n">
        <v>0.007</v>
      </c>
      <c r="BL228" s="14" t="n">
        <v>0.704</v>
      </c>
      <c r="BM228" s="14" t="n">
        <v>0.1</v>
      </c>
      <c r="BN228" s="14" t="n">
        <v>1</v>
      </c>
      <c r="BO228" s="14" t="n">
        <v>0</v>
      </c>
      <c r="BP228" s="14" t="n">
        <v>0</v>
      </c>
      <c r="BQ228" s="14" t="n">
        <v>0</v>
      </c>
      <c r="BR228" s="14" t="n">
        <v>0</v>
      </c>
      <c r="BS228" s="14" t="n">
        <v>1</v>
      </c>
      <c r="BT228" s="14" t="n">
        <v>0</v>
      </c>
      <c r="BU228" s="14" t="n">
        <v>0</v>
      </c>
      <c r="BV228" s="14" t="n">
        <v>0</v>
      </c>
      <c r="BW228" s="14" t="n">
        <v>0.1</v>
      </c>
      <c r="BX228" s="14" t="n">
        <v>1</v>
      </c>
      <c r="BY228" s="14" t="n">
        <v>13.254</v>
      </c>
      <c r="BZ228" s="14" t="n">
        <v>0</v>
      </c>
      <c r="CA228" s="14" t="n">
        <v>13.254</v>
      </c>
      <c r="CB228" s="14" t="n">
        <v>0</v>
      </c>
      <c r="CC228" s="14" t="n">
        <v>87.07899999999999</v>
      </c>
      <c r="CD228" s="14" t="n">
        <v>7.95</v>
      </c>
      <c r="CE228" s="14" t="n">
        <v>0.964</v>
      </c>
      <c r="CF228" s="14" t="n">
        <v>95.78700000000001</v>
      </c>
      <c r="CG228" s="14" t="n">
        <v>0.1</v>
      </c>
      <c r="CH228" s="14" t="n">
        <v>1</v>
      </c>
      <c r="CI228" s="14" t="n">
        <v>0</v>
      </c>
      <c r="CJ228" s="14" t="n">
        <v>0</v>
      </c>
      <c r="CK228" s="14" t="n">
        <v>0</v>
      </c>
      <c r="CL228" s="14" t="n">
        <v>0</v>
      </c>
      <c r="CM228" s="14" t="n">
        <v>0</v>
      </c>
      <c r="CN228" s="14" t="n">
        <v>0</v>
      </c>
      <c r="CO228" s="14" t="n">
        <v>0</v>
      </c>
      <c r="CP228" s="14" t="n">
        <v>0</v>
      </c>
      <c r="CQ228" s="14" t="n">
        <v>1.348</v>
      </c>
      <c r="CR228" s="14" t="n">
        <v>0</v>
      </c>
      <c r="CS228" s="14" t="n">
        <v>5.37</v>
      </c>
      <c r="CT228" s="14" t="n">
        <v>4.861</v>
      </c>
      <c r="CU228" s="14" t="n">
        <v>10.622</v>
      </c>
    </row>
    <row r="229">
      <c r="A229" s="14" t="inlineStr">
        <is>
          <t>DJI2024</t>
        </is>
      </c>
      <c r="B229" s="14" t="inlineStr">
        <is>
          <t>DJI</t>
        </is>
      </c>
      <c r="C229" s="14" t="inlineStr">
        <is>
          <t>DJI</t>
        </is>
      </c>
      <c r="D229" s="14" t="inlineStr">
        <is>
          <t>Djibouti</t>
        </is>
      </c>
      <c r="E229" s="14" t="n">
        <v>2024</v>
      </c>
      <c r="F229" s="14" t="n">
        <v>0.1</v>
      </c>
      <c r="G229" s="14" t="n">
        <v>5.575</v>
      </c>
      <c r="H229" s="14" t="n">
        <v>1.324</v>
      </c>
      <c r="I229" s="14" t="n">
        <v>0</v>
      </c>
      <c r="J229" s="14" t="n">
        <v>5.575</v>
      </c>
      <c r="K229" s="14" t="n">
        <v>0</v>
      </c>
      <c r="L229" s="14" t="n">
        <v>1</v>
      </c>
      <c r="M229" s="14" t="n">
        <v>7.124</v>
      </c>
      <c r="N229" s="14" t="n">
        <v>3.971</v>
      </c>
      <c r="O229" s="14" t="n">
        <v>0</v>
      </c>
      <c r="P229" s="14" t="n">
        <v>7.124</v>
      </c>
      <c r="Q229" s="14" t="n">
        <v>0</v>
      </c>
      <c r="R229" s="14" t="n">
        <v>1</v>
      </c>
      <c r="S229" s="14" t="n">
        <v>12.193</v>
      </c>
      <c r="T229" s="14" t="n">
        <v>7.942</v>
      </c>
      <c r="U229" s="14" t="n">
        <v>0.166</v>
      </c>
      <c r="V229" s="14" t="n">
        <v>13.412</v>
      </c>
      <c r="W229" s="14" t="n">
        <v>0.1</v>
      </c>
      <c r="X229" s="14" t="n">
        <v>1</v>
      </c>
      <c r="Y229" s="14" t="n">
        <v>5.735</v>
      </c>
      <c r="Z229" s="14" t="n">
        <v>0.9360000000000001</v>
      </c>
      <c r="AA229" s="14" t="n">
        <v>0</v>
      </c>
      <c r="AB229" s="14" t="n">
        <v>5.735</v>
      </c>
      <c r="AC229" s="14" t="n">
        <v>0</v>
      </c>
      <c r="AD229" s="14" t="n">
        <v>1</v>
      </c>
      <c r="AE229" s="14" t="n">
        <v>7.059</v>
      </c>
      <c r="AF229" s="14" t="n">
        <v>1.935</v>
      </c>
      <c r="AG229" s="14" t="n">
        <v>0</v>
      </c>
      <c r="AH229" s="14" t="n">
        <v>7.059</v>
      </c>
      <c r="AI229" s="14" t="n">
        <v>0</v>
      </c>
      <c r="AJ229" s="14" t="n">
        <v>1</v>
      </c>
      <c r="AK229" s="14" t="n">
        <v>15</v>
      </c>
      <c r="AL229" s="14" t="n">
        <v>8.724</v>
      </c>
      <c r="AM229" s="14" t="n">
        <v>0.204</v>
      </c>
      <c r="AN229" s="14" t="n">
        <v>16.5</v>
      </c>
      <c r="AO229" s="14" t="n">
        <v>0.1</v>
      </c>
      <c r="AP229" s="14" t="n">
        <v>1</v>
      </c>
      <c r="AQ229" s="14" t="n">
        <v>0.72</v>
      </c>
      <c r="AR229" s="14" t="n">
        <v>0.132</v>
      </c>
      <c r="AS229" s="14" t="n">
        <v>1.261</v>
      </c>
      <c r="AT229" s="14" t="n">
        <v>2.15</v>
      </c>
      <c r="AU229" s="14" t="n">
        <v>0.1</v>
      </c>
      <c r="AV229" s="14" t="n">
        <v>1</v>
      </c>
      <c r="AW229" s="14" t="n">
        <v>0.734</v>
      </c>
      <c r="AX229" s="14" t="n">
        <v>0.132</v>
      </c>
      <c r="AY229" s="14" t="n">
        <v>0.459</v>
      </c>
      <c r="AZ229" s="14" t="n">
        <v>1.294</v>
      </c>
      <c r="BA229" s="14" t="n">
        <v>0.1</v>
      </c>
      <c r="BB229" s="14" t="n">
        <v>1</v>
      </c>
      <c r="BC229" s="14" t="n">
        <v>0.51</v>
      </c>
      <c r="BD229" s="14" t="n">
        <v>0.132</v>
      </c>
      <c r="BE229" s="14" t="n">
        <v>0.007</v>
      </c>
      <c r="BF229" s="14" t="n">
        <v>0.5610000000000001</v>
      </c>
      <c r="BG229" s="14" t="n">
        <v>0.1</v>
      </c>
      <c r="BH229" s="14" t="n">
        <v>1</v>
      </c>
      <c r="BI229" s="14" t="n">
        <v>0.652</v>
      </c>
      <c r="BJ229" s="14" t="n">
        <v>0.132</v>
      </c>
      <c r="BK229" s="14" t="n">
        <v>0.008999999999999999</v>
      </c>
      <c r="BL229" s="14" t="n">
        <v>0.717</v>
      </c>
      <c r="BM229" s="14" t="n">
        <v>0.1</v>
      </c>
      <c r="BN229" s="14" t="n">
        <v>1</v>
      </c>
      <c r="BO229" s="14" t="n">
        <v>0</v>
      </c>
      <c r="BP229" s="14" t="n">
        <v>0</v>
      </c>
      <c r="BQ229" s="14" t="n">
        <v>0</v>
      </c>
      <c r="BR229" s="14" t="n">
        <v>0</v>
      </c>
      <c r="BS229" s="14" t="n">
        <v>1</v>
      </c>
      <c r="BT229" s="14" t="n">
        <v>0</v>
      </c>
      <c r="BU229" s="14" t="n">
        <v>0</v>
      </c>
      <c r="BV229" s="14" t="n">
        <v>0</v>
      </c>
      <c r="BW229" s="14" t="n">
        <v>0.1</v>
      </c>
      <c r="BX229" s="14" t="n">
        <v>1</v>
      </c>
      <c r="BY229" s="14" t="n">
        <v>13.646</v>
      </c>
      <c r="BZ229" s="14" t="n">
        <v>0</v>
      </c>
      <c r="CA229" s="14" t="n">
        <v>13.646</v>
      </c>
      <c r="CB229" s="14" t="n">
        <v>0</v>
      </c>
      <c r="CC229" s="14" t="n">
        <v>86.38500000000001</v>
      </c>
      <c r="CD229" s="14" t="n">
        <v>7.95</v>
      </c>
      <c r="CE229" s="14" t="n">
        <v>1.177</v>
      </c>
      <c r="CF229" s="14" t="n">
        <v>95.024</v>
      </c>
      <c r="CG229" s="14" t="n">
        <v>0.1</v>
      </c>
      <c r="CH229" s="14" t="n">
        <v>1</v>
      </c>
      <c r="CI229" s="14" t="n">
        <v>0</v>
      </c>
      <c r="CJ229" s="14" t="n">
        <v>0</v>
      </c>
      <c r="CK229" s="14" t="n">
        <v>0</v>
      </c>
      <c r="CL229" s="14" t="n">
        <v>0</v>
      </c>
      <c r="CM229" s="14" t="n">
        <v>0</v>
      </c>
      <c r="CN229" s="14" t="n">
        <v>0</v>
      </c>
      <c r="CO229" s="14" t="n">
        <v>0</v>
      </c>
      <c r="CP229" s="14" t="n">
        <v>0</v>
      </c>
      <c r="CQ229" s="14" t="n">
        <v>1.387</v>
      </c>
      <c r="CR229" s="14" t="n">
        <v>0</v>
      </c>
      <c r="CS229" s="14" t="n">
        <v>5.529</v>
      </c>
      <c r="CT229" s="14" t="n">
        <v>4.251</v>
      </c>
      <c r="CU229" s="14" t="n">
        <v>9.167999999999999</v>
      </c>
    </row>
    <row r="230">
      <c r="A230" s="14" t="inlineStr">
        <is>
          <t>DMA2021</t>
        </is>
      </c>
      <c r="B230" s="14" t="inlineStr">
        <is>
          <t>DMA</t>
        </is>
      </c>
      <c r="C230" s="14" t="inlineStr">
        <is>
          <t>DMA</t>
        </is>
      </c>
      <c r="D230" s="14" t="inlineStr">
        <is>
          <t>Dominica</t>
        </is>
      </c>
      <c r="E230" s="14" t="n">
        <v>2021</v>
      </c>
      <c r="F230" s="14" t="n">
        <v>0.15</v>
      </c>
      <c r="G230" s="14" t="n">
        <v>5.897</v>
      </c>
      <c r="H230" s="14" t="n">
        <v>1.143</v>
      </c>
      <c r="I230" s="14" t="n">
        <v>0</v>
      </c>
      <c r="J230" s="14" t="n">
        <v>5.897</v>
      </c>
      <c r="K230" s="14" t="n">
        <v>0</v>
      </c>
      <c r="L230" s="14" t="n">
        <v>1</v>
      </c>
      <c r="M230" s="14" t="n">
        <v>7.964</v>
      </c>
      <c r="N230" s="14" t="n">
        <v>3.43</v>
      </c>
      <c r="O230" s="14" t="n">
        <v>0</v>
      </c>
      <c r="P230" s="14" t="n">
        <v>7.964</v>
      </c>
      <c r="Q230" s="14" t="n">
        <v>0</v>
      </c>
      <c r="R230" s="14" t="n">
        <v>1</v>
      </c>
      <c r="S230" s="14" t="n">
        <v>11.613</v>
      </c>
      <c r="T230" s="14" t="n">
        <v>6.86</v>
      </c>
      <c r="U230" s="14" t="n">
        <v>0</v>
      </c>
      <c r="V230" s="14" t="n">
        <v>13.355</v>
      </c>
      <c r="W230" s="14" t="n">
        <v>0.15</v>
      </c>
      <c r="X230" s="14" t="n">
        <v>1</v>
      </c>
      <c r="Y230" s="14" t="n">
        <v>5.919</v>
      </c>
      <c r="Z230" s="14" t="n">
        <v>0.796</v>
      </c>
      <c r="AA230" s="14" t="n">
        <v>0</v>
      </c>
      <c r="AB230" s="14" t="n">
        <v>5.919</v>
      </c>
      <c r="AC230" s="14" t="n">
        <v>0</v>
      </c>
      <c r="AD230" s="14" t="n">
        <v>1</v>
      </c>
      <c r="AE230" s="14" t="n">
        <v>7.062</v>
      </c>
      <c r="AF230" s="14" t="n">
        <v>1.654</v>
      </c>
      <c r="AG230" s="14" t="n">
        <v>0</v>
      </c>
      <c r="AH230" s="14" t="n">
        <v>7.062</v>
      </c>
      <c r="AI230" s="14" t="n">
        <v>0</v>
      </c>
      <c r="AJ230" s="14" t="n">
        <v>1</v>
      </c>
      <c r="AK230" s="14" t="n">
        <v>13.922</v>
      </c>
      <c r="AL230" s="14" t="n">
        <v>7.481</v>
      </c>
      <c r="AM230" s="14" t="n">
        <v>0</v>
      </c>
      <c r="AN230" s="14" t="n">
        <v>16.011</v>
      </c>
      <c r="AO230" s="14" t="n">
        <v>0.15</v>
      </c>
      <c r="AP230" s="14" t="n">
        <v>1</v>
      </c>
      <c r="AQ230" s="14" t="n">
        <v>0.649</v>
      </c>
      <c r="AR230" s="14" t="n">
        <v>0.114</v>
      </c>
      <c r="AS230" s="14" t="n">
        <v>0.342</v>
      </c>
      <c r="AT230" s="14" t="n">
        <v>1.14</v>
      </c>
      <c r="AU230" s="14" t="n">
        <v>0.15</v>
      </c>
      <c r="AV230" s="14" t="n">
        <v>1</v>
      </c>
      <c r="AW230" s="14" t="n">
        <v>0.577</v>
      </c>
      <c r="AX230" s="14" t="n">
        <v>0.114</v>
      </c>
      <c r="AY230" s="14" t="n">
        <v>0.267</v>
      </c>
      <c r="AZ230" s="14" t="n">
        <v>0.97</v>
      </c>
      <c r="BA230" s="14" t="n">
        <v>0.15</v>
      </c>
      <c r="BB230" s="14" t="n">
        <v>1</v>
      </c>
      <c r="BC230" s="14" t="n">
        <v>0.458</v>
      </c>
      <c r="BD230" s="14" t="n">
        <v>0.114</v>
      </c>
      <c r="BE230" s="14" t="n">
        <v>0.177</v>
      </c>
      <c r="BF230" s="14" t="n">
        <v>0.73</v>
      </c>
      <c r="BG230" s="14" t="n">
        <v>0.15</v>
      </c>
      <c r="BH230" s="14" t="n">
        <v>1</v>
      </c>
      <c r="BI230" s="14" t="n">
        <v>0.491</v>
      </c>
      <c r="BJ230" s="14" t="n">
        <v>0.114</v>
      </c>
      <c r="BK230" s="14" t="n">
        <v>0</v>
      </c>
      <c r="BL230" s="14" t="n">
        <v>0.5649999999999999</v>
      </c>
      <c r="BM230" s="14" t="n">
        <v>0.15</v>
      </c>
      <c r="BN230" s="14" t="n">
        <v>1</v>
      </c>
      <c r="BO230" s="14" t="n">
        <v>0</v>
      </c>
      <c r="BP230" s="14" t="n">
        <v>0</v>
      </c>
      <c r="BQ230" s="14" t="n">
        <v>0.23</v>
      </c>
      <c r="BR230" s="14" t="n">
        <v>0</v>
      </c>
      <c r="BS230" s="14" t="n">
        <v>1</v>
      </c>
      <c r="BT230" s="14" t="n">
        <v>0</v>
      </c>
      <c r="BU230" s="14" t="n">
        <v>0</v>
      </c>
      <c r="BV230" s="14" t="n">
        <v>0.22</v>
      </c>
      <c r="BW230" s="14" t="n">
        <v>0</v>
      </c>
      <c r="BX230" s="14" t="n">
        <v>1</v>
      </c>
      <c r="BY230" s="14" t="n">
        <v>11.787</v>
      </c>
      <c r="BZ230" s="14" t="n">
        <v>0</v>
      </c>
      <c r="CA230" s="14" t="n">
        <v>11.787</v>
      </c>
      <c r="CB230" s="14" t="n">
        <v>0</v>
      </c>
      <c r="CC230" s="14" t="n">
        <v>78.125</v>
      </c>
      <c r="CD230" s="14" t="n">
        <v>7.95</v>
      </c>
      <c r="CE230" s="14" t="n">
        <v>0</v>
      </c>
      <c r="CF230" s="14" t="n">
        <v>89.84399999999999</v>
      </c>
      <c r="CG230" s="14" t="n">
        <v>0.15</v>
      </c>
      <c r="CH230" s="14" t="n">
        <v>1</v>
      </c>
      <c r="CI230" s="14" t="n">
        <v>0</v>
      </c>
      <c r="CJ230" s="14" t="n">
        <v>0</v>
      </c>
      <c r="CK230" s="14" t="n">
        <v>0</v>
      </c>
      <c r="CL230" s="14" t="n">
        <v>0</v>
      </c>
      <c r="CM230" s="14" t="n">
        <v>0</v>
      </c>
      <c r="CN230" s="14" t="n">
        <v>0</v>
      </c>
      <c r="CO230" s="14" t="n">
        <v>0</v>
      </c>
      <c r="CP230" s="14" t="n">
        <v>0</v>
      </c>
      <c r="CQ230" s="14" t="n">
        <v>1.198</v>
      </c>
      <c r="CR230" s="14" t="n">
        <v>0</v>
      </c>
      <c r="CS230" s="14" t="n">
        <v>4.776</v>
      </c>
      <c r="CT230" s="14" t="n">
        <v>4.753</v>
      </c>
      <c r="CU230" s="14" t="n">
        <v>15.983</v>
      </c>
    </row>
    <row r="231">
      <c r="A231" s="14" t="inlineStr">
        <is>
          <t>DMA2022</t>
        </is>
      </c>
      <c r="B231" s="14" t="inlineStr">
        <is>
          <t>DMA</t>
        </is>
      </c>
      <c r="C231" s="14" t="inlineStr">
        <is>
          <t>DMA</t>
        </is>
      </c>
      <c r="D231" s="14" t="inlineStr">
        <is>
          <t>Dominica</t>
        </is>
      </c>
      <c r="E231" s="14" t="n">
        <v>2022</v>
      </c>
      <c r="F231" s="14" t="n">
        <v>0.15</v>
      </c>
      <c r="G231" s="14" t="n">
        <v>11.72</v>
      </c>
      <c r="H231" s="14" t="n">
        <v>1.235</v>
      </c>
      <c r="I231" s="14" t="n">
        <v>0</v>
      </c>
      <c r="J231" s="14" t="n">
        <v>11.72</v>
      </c>
      <c r="K231" s="14" t="n">
        <v>0</v>
      </c>
      <c r="L231" s="14" t="n">
        <v>1</v>
      </c>
      <c r="M231" s="14" t="n">
        <v>9.782999999999999</v>
      </c>
      <c r="N231" s="14" t="n">
        <v>3.704</v>
      </c>
      <c r="O231" s="14" t="n">
        <v>0</v>
      </c>
      <c r="P231" s="14" t="n">
        <v>9.782999999999999</v>
      </c>
      <c r="Q231" s="14" t="n">
        <v>0</v>
      </c>
      <c r="R231" s="14" t="n">
        <v>1</v>
      </c>
      <c r="S231" s="14" t="n">
        <v>17.893</v>
      </c>
      <c r="T231" s="14" t="n">
        <v>7.408</v>
      </c>
      <c r="U231" s="14" t="n">
        <v>0.199</v>
      </c>
      <c r="V231" s="14" t="n">
        <v>20.577</v>
      </c>
      <c r="W231" s="14" t="n">
        <v>0.15</v>
      </c>
      <c r="X231" s="14" t="n">
        <v>1</v>
      </c>
      <c r="Y231" s="14" t="n">
        <v>6.392</v>
      </c>
      <c r="Z231" s="14" t="n">
        <v>0.86</v>
      </c>
      <c r="AA231" s="14" t="n">
        <v>0</v>
      </c>
      <c r="AB231" s="14" t="n">
        <v>6.392</v>
      </c>
      <c r="AC231" s="14" t="n">
        <v>0</v>
      </c>
      <c r="AD231" s="14" t="n">
        <v>1</v>
      </c>
      <c r="AE231" s="14" t="n">
        <v>7.627</v>
      </c>
      <c r="AF231" s="14" t="n">
        <v>1.786</v>
      </c>
      <c r="AG231" s="14" t="n">
        <v>0</v>
      </c>
      <c r="AH231" s="14" t="n">
        <v>7.627</v>
      </c>
      <c r="AI231" s="14" t="n">
        <v>0</v>
      </c>
      <c r="AJ231" s="14" t="n">
        <v>1</v>
      </c>
      <c r="AK231" s="14" t="n">
        <v>15.035</v>
      </c>
      <c r="AL231" s="14" t="n">
        <v>8.079000000000001</v>
      </c>
      <c r="AM231" s="14" t="n">
        <v>0.167</v>
      </c>
      <c r="AN231" s="14" t="n">
        <v>17.29</v>
      </c>
      <c r="AO231" s="14" t="n">
        <v>0.15</v>
      </c>
      <c r="AP231" s="14" t="n">
        <v>1</v>
      </c>
      <c r="AQ231" s="14" t="n">
        <v>0.896</v>
      </c>
      <c r="AR231" s="14" t="n">
        <v>0.123</v>
      </c>
      <c r="AS231" s="14" t="n">
        <v>0.382</v>
      </c>
      <c r="AT231" s="14" t="n">
        <v>1.47</v>
      </c>
      <c r="AU231" s="14" t="n">
        <v>0.15</v>
      </c>
      <c r="AV231" s="14" t="n">
        <v>1</v>
      </c>
      <c r="AW231" s="14" t="n">
        <v>0.89</v>
      </c>
      <c r="AX231" s="14" t="n">
        <v>0.123</v>
      </c>
      <c r="AY231" s="14" t="n">
        <v>0.353</v>
      </c>
      <c r="AZ231" s="14" t="n">
        <v>1.43</v>
      </c>
      <c r="BA231" s="14" t="n">
        <v>0.15</v>
      </c>
      <c r="BB231" s="14" t="n">
        <v>1</v>
      </c>
      <c r="BC231" s="14" t="n">
        <v>0.62</v>
      </c>
      <c r="BD231" s="14" t="n">
        <v>0.123</v>
      </c>
      <c r="BE231" s="14" t="n">
        <v>0.014</v>
      </c>
      <c r="BF231" s="14" t="n">
        <v>0.73</v>
      </c>
      <c r="BG231" s="14" t="n">
        <v>0.15</v>
      </c>
      <c r="BH231" s="14" t="n">
        <v>1</v>
      </c>
      <c r="BI231" s="14" t="n">
        <v>0.608</v>
      </c>
      <c r="BJ231" s="14" t="n">
        <v>0.123</v>
      </c>
      <c r="BK231" s="14" t="n">
        <v>0.007</v>
      </c>
      <c r="BL231" s="14" t="n">
        <v>0.699</v>
      </c>
      <c r="BM231" s="14" t="n">
        <v>0.15</v>
      </c>
      <c r="BN231" s="14" t="n">
        <v>1</v>
      </c>
      <c r="BO231" s="14" t="n">
        <v>0</v>
      </c>
      <c r="BP231" s="14" t="n">
        <v>0</v>
      </c>
      <c r="BQ231" s="14" t="n">
        <v>0.249</v>
      </c>
      <c r="BR231" s="14" t="n">
        <v>0</v>
      </c>
      <c r="BS231" s="14" t="n">
        <v>1</v>
      </c>
      <c r="BT231" s="14" t="n">
        <v>0</v>
      </c>
      <c r="BU231" s="14" t="n">
        <v>0</v>
      </c>
      <c r="BV231" s="14" t="n">
        <v>0.237</v>
      </c>
      <c r="BW231" s="14" t="n">
        <v>0</v>
      </c>
      <c r="BX231" s="14" t="n">
        <v>1</v>
      </c>
      <c r="BY231" s="14" t="n">
        <v>12.729</v>
      </c>
      <c r="BZ231" s="14" t="n">
        <v>0</v>
      </c>
      <c r="CA231" s="14" t="n">
        <v>12.729</v>
      </c>
      <c r="CB231" s="14" t="n">
        <v>0</v>
      </c>
      <c r="CC231" s="14" t="n">
        <v>97.90000000000001</v>
      </c>
      <c r="CD231" s="14" t="n">
        <v>7.95</v>
      </c>
      <c r="CE231" s="14" t="n">
        <v>1.087</v>
      </c>
      <c r="CF231" s="14" t="n">
        <v>112.585</v>
      </c>
      <c r="CG231" s="14" t="n">
        <v>0.15</v>
      </c>
      <c r="CH231" s="14" t="n">
        <v>1</v>
      </c>
      <c r="CI231" s="14" t="n">
        <v>0</v>
      </c>
      <c r="CJ231" s="14" t="n">
        <v>0</v>
      </c>
      <c r="CK231" s="14" t="n">
        <v>0</v>
      </c>
      <c r="CL231" s="14" t="n">
        <v>0</v>
      </c>
      <c r="CM231" s="14" t="n">
        <v>0</v>
      </c>
      <c r="CN231" s="14" t="n">
        <v>0</v>
      </c>
      <c r="CO231" s="14" t="n">
        <v>0</v>
      </c>
      <c r="CP231" s="14" t="n">
        <v>0</v>
      </c>
      <c r="CQ231" s="14" t="n">
        <v>1.294</v>
      </c>
      <c r="CR231" s="14" t="n">
        <v>0</v>
      </c>
      <c r="CS231" s="14" t="n">
        <v>5.158</v>
      </c>
      <c r="CT231" s="14" t="n">
        <v>10.485</v>
      </c>
      <c r="CU231" s="14" t="n">
        <v>29.494</v>
      </c>
    </row>
    <row r="232">
      <c r="A232" s="14" t="inlineStr">
        <is>
          <t>DMA2023</t>
        </is>
      </c>
      <c r="B232" s="14" t="inlineStr">
        <is>
          <t>DMA</t>
        </is>
      </c>
      <c r="C232" s="14" t="inlineStr">
        <is>
          <t>DMA</t>
        </is>
      </c>
      <c r="D232" s="14" t="inlineStr">
        <is>
          <t>Dominica</t>
        </is>
      </c>
      <c r="E232" s="14" t="n">
        <v>2023</v>
      </c>
      <c r="F232" s="14" t="n">
        <v>0.15</v>
      </c>
      <c r="G232" s="14" t="n">
        <v>6.147</v>
      </c>
      <c r="H232" s="14" t="n">
        <v>1.286</v>
      </c>
      <c r="I232" s="14" t="n">
        <v>0</v>
      </c>
      <c r="J232" s="14" t="n">
        <v>6.147</v>
      </c>
      <c r="K232" s="14" t="n">
        <v>0</v>
      </c>
      <c r="L232" s="14" t="n">
        <v>1</v>
      </c>
      <c r="M232" s="14" t="n">
        <v>7.886</v>
      </c>
      <c r="N232" s="14" t="n">
        <v>3.857</v>
      </c>
      <c r="O232" s="14" t="n">
        <v>0</v>
      </c>
      <c r="P232" s="14" t="n">
        <v>7.886</v>
      </c>
      <c r="Q232" s="14" t="n">
        <v>0</v>
      </c>
      <c r="R232" s="14" t="n">
        <v>1</v>
      </c>
      <c r="S232" s="14" t="n">
        <v>12.575</v>
      </c>
      <c r="T232" s="14" t="n">
        <v>7.714</v>
      </c>
      <c r="U232" s="14" t="n">
        <v>0.209</v>
      </c>
      <c r="V232" s="14" t="n">
        <v>14.461</v>
      </c>
      <c r="W232" s="14" t="n">
        <v>0.15</v>
      </c>
      <c r="X232" s="14" t="n">
        <v>1</v>
      </c>
      <c r="Y232" s="14" t="n">
        <v>6.656</v>
      </c>
      <c r="Z232" s="14" t="n">
        <v>0.895</v>
      </c>
      <c r="AA232" s="14" t="n">
        <v>0</v>
      </c>
      <c r="AB232" s="14" t="n">
        <v>6.656</v>
      </c>
      <c r="AC232" s="14" t="n">
        <v>0</v>
      </c>
      <c r="AD232" s="14" t="n">
        <v>1</v>
      </c>
      <c r="AE232" s="14" t="n">
        <v>7.942</v>
      </c>
      <c r="AF232" s="14" t="n">
        <v>1.86</v>
      </c>
      <c r="AG232" s="14" t="n">
        <v>0</v>
      </c>
      <c r="AH232" s="14" t="n">
        <v>7.942</v>
      </c>
      <c r="AI232" s="14" t="n">
        <v>0</v>
      </c>
      <c r="AJ232" s="14" t="n">
        <v>1</v>
      </c>
      <c r="AK232" s="14" t="n">
        <v>15.656</v>
      </c>
      <c r="AL232" s="14" t="n">
        <v>8.412000000000001</v>
      </c>
      <c r="AM232" s="14" t="n">
        <v>0.26</v>
      </c>
      <c r="AN232" s="14" t="n">
        <v>18.004</v>
      </c>
      <c r="AO232" s="14" t="n">
        <v>0.15</v>
      </c>
      <c r="AP232" s="14" t="n">
        <v>1</v>
      </c>
      <c r="AQ232" s="14" t="n">
        <v>0.791</v>
      </c>
      <c r="AR232" s="14" t="n">
        <v>0.129</v>
      </c>
      <c r="AS232" s="14" t="n">
        <v>0.47</v>
      </c>
      <c r="AT232" s="14" t="n">
        <v>1.45</v>
      </c>
      <c r="AU232" s="14" t="n">
        <v>0.15</v>
      </c>
      <c r="AV232" s="14" t="n">
        <v>1</v>
      </c>
      <c r="AW232" s="14" t="n">
        <v>0.618</v>
      </c>
      <c r="AX232" s="14" t="n">
        <v>0.129</v>
      </c>
      <c r="AY232" s="14" t="n">
        <v>0.512</v>
      </c>
      <c r="AZ232" s="14" t="n">
        <v>1.3</v>
      </c>
      <c r="BA232" s="14" t="n">
        <v>0.15</v>
      </c>
      <c r="BB232" s="14" t="n">
        <v>1</v>
      </c>
      <c r="BC232" s="14" t="n">
        <v>0.554</v>
      </c>
      <c r="BD232" s="14" t="n">
        <v>0.129</v>
      </c>
      <c r="BE232" s="14" t="n">
        <v>0.08</v>
      </c>
      <c r="BF232" s="14" t="n">
        <v>0.73</v>
      </c>
      <c r="BG232" s="14" t="n">
        <v>0.15</v>
      </c>
      <c r="BH232" s="14" t="n">
        <v>1</v>
      </c>
      <c r="BI232" s="14" t="n">
        <v>0.5570000000000001</v>
      </c>
      <c r="BJ232" s="14" t="n">
        <v>0.129</v>
      </c>
      <c r="BK232" s="14" t="n">
        <v>0.008999999999999999</v>
      </c>
      <c r="BL232" s="14" t="n">
        <v>0.641</v>
      </c>
      <c r="BM232" s="14" t="n">
        <v>0.15</v>
      </c>
      <c r="BN232" s="14" t="n">
        <v>1</v>
      </c>
      <c r="BO232" s="14" t="n">
        <v>0</v>
      </c>
      <c r="BP232" s="14" t="n">
        <v>0</v>
      </c>
      <c r="BQ232" s="14" t="n">
        <v>0.259</v>
      </c>
      <c r="BR232" s="14" t="n">
        <v>0</v>
      </c>
      <c r="BS232" s="14" t="n">
        <v>1</v>
      </c>
      <c r="BT232" s="14" t="n">
        <v>0</v>
      </c>
      <c r="BU232" s="14" t="n">
        <v>0</v>
      </c>
      <c r="BV232" s="14" t="n">
        <v>0.247</v>
      </c>
      <c r="BW232" s="14" t="n">
        <v>0</v>
      </c>
      <c r="BX232" s="14" t="n">
        <v>1</v>
      </c>
      <c r="BY232" s="14" t="n">
        <v>13.254</v>
      </c>
      <c r="BZ232" s="14" t="n">
        <v>0</v>
      </c>
      <c r="CA232" s="14" t="n">
        <v>13.254</v>
      </c>
      <c r="CB232" s="14" t="n">
        <v>0</v>
      </c>
      <c r="CC232" s="14" t="n">
        <v>83.248</v>
      </c>
      <c r="CD232" s="14" t="n">
        <v>7.95</v>
      </c>
      <c r="CE232" s="14" t="n">
        <v>1.383</v>
      </c>
      <c r="CF232" s="14" t="n">
        <v>95.735</v>
      </c>
      <c r="CG232" s="14" t="n">
        <v>0.15</v>
      </c>
      <c r="CH232" s="14" t="n">
        <v>1</v>
      </c>
      <c r="CI232" s="14" t="n">
        <v>0</v>
      </c>
      <c r="CJ232" s="14" t="n">
        <v>0</v>
      </c>
      <c r="CK232" s="14" t="n">
        <v>0</v>
      </c>
      <c r="CL232" s="14" t="n">
        <v>0</v>
      </c>
      <c r="CM232" s="14" t="n">
        <v>0</v>
      </c>
      <c r="CN232" s="14" t="n">
        <v>0</v>
      </c>
      <c r="CO232" s="14" t="n">
        <v>0</v>
      </c>
      <c r="CP232" s="14" t="n">
        <v>0</v>
      </c>
      <c r="CQ232" s="14" t="n">
        <v>1.348</v>
      </c>
      <c r="CR232" s="14" t="n">
        <v>0</v>
      </c>
      <c r="CS232" s="14" t="n">
        <v>5.37</v>
      </c>
      <c r="CT232" s="14" t="n">
        <v>4.861</v>
      </c>
      <c r="CU232" s="14" t="n">
        <v>11.192</v>
      </c>
    </row>
    <row r="233">
      <c r="A233" s="14" t="inlineStr">
        <is>
          <t>DMA2024</t>
        </is>
      </c>
      <c r="B233" s="14" t="inlineStr">
        <is>
          <t>DMA</t>
        </is>
      </c>
      <c r="C233" s="14" t="inlineStr">
        <is>
          <t>DMA</t>
        </is>
      </c>
      <c r="D233" s="14" t="inlineStr">
        <is>
          <t>Dominica</t>
        </is>
      </c>
      <c r="E233" s="14" t="n">
        <v>2024</v>
      </c>
      <c r="F233" s="14" t="n">
        <v>0.15</v>
      </c>
      <c r="G233" s="14" t="n">
        <v>5.575</v>
      </c>
      <c r="H233" s="14" t="n">
        <v>1.324</v>
      </c>
      <c r="I233" s="14" t="n">
        <v>0</v>
      </c>
      <c r="J233" s="14" t="n">
        <v>5.575</v>
      </c>
      <c r="K233" s="14" t="n">
        <v>0</v>
      </c>
      <c r="L233" s="14" t="n">
        <v>1</v>
      </c>
      <c r="M233" s="14" t="n">
        <v>7.124</v>
      </c>
      <c r="N233" s="14" t="n">
        <v>3.971</v>
      </c>
      <c r="O233" s="14" t="n">
        <v>0</v>
      </c>
      <c r="P233" s="14" t="n">
        <v>7.124</v>
      </c>
      <c r="Q233" s="14" t="n">
        <v>0</v>
      </c>
      <c r="R233" s="14" t="n">
        <v>1</v>
      </c>
      <c r="S233" s="14" t="n">
        <v>12.193</v>
      </c>
      <c r="T233" s="14" t="n">
        <v>7.942</v>
      </c>
      <c r="U233" s="14" t="n">
        <v>0.249</v>
      </c>
      <c r="V233" s="14" t="n">
        <v>14.022</v>
      </c>
      <c r="W233" s="14" t="n">
        <v>0.15</v>
      </c>
      <c r="X233" s="14" t="n">
        <v>1</v>
      </c>
      <c r="Y233" s="14" t="n">
        <v>6.853</v>
      </c>
      <c r="Z233" s="14" t="n">
        <v>0.922</v>
      </c>
      <c r="AA233" s="14" t="n">
        <v>0</v>
      </c>
      <c r="AB233" s="14" t="n">
        <v>6.853</v>
      </c>
      <c r="AC233" s="14" t="n">
        <v>0</v>
      </c>
      <c r="AD233" s="14" t="n">
        <v>1</v>
      </c>
      <c r="AE233" s="14" t="n">
        <v>8.176</v>
      </c>
      <c r="AF233" s="14" t="n">
        <v>1.915</v>
      </c>
      <c r="AG233" s="14" t="n">
        <v>0</v>
      </c>
      <c r="AH233" s="14" t="n">
        <v>8.176</v>
      </c>
      <c r="AI233" s="14" t="n">
        <v>0</v>
      </c>
      <c r="AJ233" s="14" t="n">
        <v>1</v>
      </c>
      <c r="AK233" s="14" t="n">
        <v>16.118</v>
      </c>
      <c r="AL233" s="14" t="n">
        <v>8.66</v>
      </c>
      <c r="AM233" s="14" t="n">
        <v>0.329</v>
      </c>
      <c r="AN233" s="14" t="n">
        <v>18.535</v>
      </c>
      <c r="AO233" s="14" t="n">
        <v>0.15</v>
      </c>
      <c r="AP233" s="14" t="n">
        <v>1</v>
      </c>
      <c r="AQ233" s="14" t="n">
        <v>0.756</v>
      </c>
      <c r="AR233" s="14" t="n">
        <v>0.132</v>
      </c>
      <c r="AS233" s="14" t="n">
        <v>0.461</v>
      </c>
      <c r="AT233" s="14" t="n">
        <v>1.4</v>
      </c>
      <c r="AU233" s="14" t="n">
        <v>0.15</v>
      </c>
      <c r="AV233" s="14" t="n">
        <v>1</v>
      </c>
      <c r="AW233" s="14" t="n">
        <v>0.655</v>
      </c>
      <c r="AX233" s="14" t="n">
        <v>0.132</v>
      </c>
      <c r="AY233" s="14" t="n">
        <v>0.449</v>
      </c>
      <c r="AZ233" s="14" t="n">
        <v>1.27</v>
      </c>
      <c r="BA233" s="14" t="n">
        <v>0.15</v>
      </c>
      <c r="BB233" s="14" t="n">
        <v>1</v>
      </c>
      <c r="BC233" s="14" t="n">
        <v>0.534</v>
      </c>
      <c r="BD233" s="14" t="n">
        <v>0.132</v>
      </c>
      <c r="BE233" s="14" t="n">
        <v>0.101</v>
      </c>
      <c r="BF233" s="14" t="n">
        <v>0.73</v>
      </c>
      <c r="BG233" s="14" t="n">
        <v>0.15</v>
      </c>
      <c r="BH233" s="14" t="n">
        <v>1</v>
      </c>
      <c r="BI233" s="14" t="n">
        <v>0.5679999999999999</v>
      </c>
      <c r="BJ233" s="14" t="n">
        <v>0.132</v>
      </c>
      <c r="BK233" s="14" t="n">
        <v>0.012</v>
      </c>
      <c r="BL233" s="14" t="n">
        <v>0.653</v>
      </c>
      <c r="BM233" s="14" t="n">
        <v>0.15</v>
      </c>
      <c r="BN233" s="14" t="n">
        <v>1</v>
      </c>
      <c r="BO233" s="14" t="n">
        <v>0</v>
      </c>
      <c r="BP233" s="14" t="n">
        <v>0</v>
      </c>
      <c r="BQ233" s="14" t="n">
        <v>0.267</v>
      </c>
      <c r="BR233" s="14" t="n">
        <v>0</v>
      </c>
      <c r="BS233" s="14" t="n">
        <v>1</v>
      </c>
      <c r="BT233" s="14" t="n">
        <v>0</v>
      </c>
      <c r="BU233" s="14" t="n">
        <v>0</v>
      </c>
      <c r="BV233" s="14" t="n">
        <v>0.254</v>
      </c>
      <c r="BW233" s="14" t="n">
        <v>0</v>
      </c>
      <c r="BX233" s="14" t="n">
        <v>1</v>
      </c>
      <c r="BY233" s="14" t="n">
        <v>13.646</v>
      </c>
      <c r="BZ233" s="14" t="n">
        <v>0</v>
      </c>
      <c r="CA233" s="14" t="n">
        <v>13.646</v>
      </c>
      <c r="CB233" s="14" t="n">
        <v>0</v>
      </c>
      <c r="CC233" s="14" t="n">
        <v>82.58799999999999</v>
      </c>
      <c r="CD233" s="14" t="n">
        <v>7.95</v>
      </c>
      <c r="CE233" s="14" t="n">
        <v>1.687</v>
      </c>
      <c r="CF233" s="14" t="n">
        <v>94.976</v>
      </c>
      <c r="CG233" s="14" t="n">
        <v>0.15</v>
      </c>
      <c r="CH233" s="14" t="n">
        <v>1</v>
      </c>
      <c r="CI233" s="14" t="n">
        <v>0</v>
      </c>
      <c r="CJ233" s="14" t="n">
        <v>0</v>
      </c>
      <c r="CK233" s="14" t="n">
        <v>0</v>
      </c>
      <c r="CL233" s="14" t="n">
        <v>0</v>
      </c>
      <c r="CM233" s="14" t="n">
        <v>0</v>
      </c>
      <c r="CN233" s="14" t="n">
        <v>0</v>
      </c>
      <c r="CO233" s="14" t="n">
        <v>0</v>
      </c>
      <c r="CP233" s="14" t="n">
        <v>0</v>
      </c>
      <c r="CQ233" s="14" t="n">
        <v>1.387</v>
      </c>
      <c r="CR233" s="14" t="n">
        <v>0</v>
      </c>
      <c r="CS233" s="14" t="n">
        <v>5.529</v>
      </c>
      <c r="CT233" s="14" t="n">
        <v>4.251</v>
      </c>
      <c r="CU233" s="14" t="n">
        <v>10.123</v>
      </c>
    </row>
    <row r="234">
      <c r="A234" s="14" t="inlineStr">
        <is>
          <t>DOM2021</t>
        </is>
      </c>
      <c r="B234" s="14" t="inlineStr">
        <is>
          <t>DOM</t>
        </is>
      </c>
      <c r="C234" s="14" t="inlineStr">
        <is>
          <t>DOM</t>
        </is>
      </c>
      <c r="D234" s="14" t="inlineStr">
        <is>
          <t>Dominican Republic</t>
        </is>
      </c>
      <c r="E234" s="14" t="n">
        <v>2021</v>
      </c>
      <c r="F234" s="14" t="n">
        <v>0.18</v>
      </c>
      <c r="G234" s="14" t="n">
        <v>5.897</v>
      </c>
      <c r="H234" s="14" t="n">
        <v>1.143</v>
      </c>
      <c r="I234" s="14" t="n">
        <v>0</v>
      </c>
      <c r="J234" s="14" t="n">
        <v>5.897</v>
      </c>
      <c r="K234" s="14" t="n">
        <v>0</v>
      </c>
      <c r="L234" s="14" t="n">
        <v>1</v>
      </c>
      <c r="M234" s="14" t="n">
        <v>7.964</v>
      </c>
      <c r="N234" s="14" t="n">
        <v>3.43</v>
      </c>
      <c r="O234" s="14" t="n">
        <v>0</v>
      </c>
      <c r="P234" s="14" t="n">
        <v>7.964</v>
      </c>
      <c r="Q234" s="14" t="n">
        <v>0</v>
      </c>
      <c r="R234" s="14" t="n">
        <v>1</v>
      </c>
      <c r="S234" s="14" t="n">
        <v>11.613</v>
      </c>
      <c r="T234" s="14" t="n">
        <v>6.86</v>
      </c>
      <c r="U234" s="14" t="n">
        <v>0</v>
      </c>
      <c r="V234" s="14" t="n">
        <v>13.704</v>
      </c>
      <c r="W234" s="14" t="n">
        <v>0.18</v>
      </c>
      <c r="X234" s="14" t="n">
        <v>1</v>
      </c>
      <c r="Y234" s="14" t="n">
        <v>17.127</v>
      </c>
      <c r="Z234" s="14" t="n">
        <v>2.303</v>
      </c>
      <c r="AA234" s="14" t="n">
        <v>10.604</v>
      </c>
      <c r="AB234" s="14" t="n">
        <v>27.73</v>
      </c>
      <c r="AC234" s="14" t="n">
        <v>0</v>
      </c>
      <c r="AD234" s="14" t="n">
        <v>1</v>
      </c>
      <c r="AE234" s="14" t="n">
        <v>18.27</v>
      </c>
      <c r="AF234" s="14" t="n">
        <v>4.278</v>
      </c>
      <c r="AG234" s="14" t="n">
        <v>9.460000000000001</v>
      </c>
      <c r="AH234" s="14" t="n">
        <v>27.73</v>
      </c>
      <c r="AI234" s="14" t="n">
        <v>0</v>
      </c>
      <c r="AJ234" s="14" t="n">
        <v>1</v>
      </c>
      <c r="AK234" s="14" t="n">
        <v>25.13</v>
      </c>
      <c r="AL234" s="14" t="n">
        <v>13.502</v>
      </c>
      <c r="AM234" s="14" t="n">
        <v>-1.63</v>
      </c>
      <c r="AN234" s="14" t="n">
        <v>27.73</v>
      </c>
      <c r="AO234" s="14" t="n">
        <v>0.18</v>
      </c>
      <c r="AP234" s="14" t="n">
        <v>1</v>
      </c>
      <c r="AQ234" s="14" t="n">
        <v>0.649</v>
      </c>
      <c r="AR234" s="14" t="n">
        <v>0.114</v>
      </c>
      <c r="AS234" s="14" t="n">
        <v>0.296</v>
      </c>
      <c r="AT234" s="14" t="n">
        <v>1.096</v>
      </c>
      <c r="AU234" s="14" t="n">
        <v>0.16</v>
      </c>
      <c r="AV234" s="14" t="n">
        <v>1</v>
      </c>
      <c r="AW234" s="14" t="n">
        <v>0.577</v>
      </c>
      <c r="AX234" s="14" t="n">
        <v>0.114</v>
      </c>
      <c r="AY234" s="14" t="n">
        <v>0.236</v>
      </c>
      <c r="AZ234" s="14" t="n">
        <v>0.9429999999999999</v>
      </c>
      <c r="BA234" s="14" t="n">
        <v>0.16</v>
      </c>
      <c r="BB234" s="14" t="n">
        <v>1</v>
      </c>
      <c r="BC234" s="14" t="n">
        <v>0.458</v>
      </c>
      <c r="BD234" s="14" t="n">
        <v>0.114</v>
      </c>
      <c r="BE234" s="14" t="n">
        <v>0.059</v>
      </c>
      <c r="BF234" s="14" t="n">
        <v>0.599</v>
      </c>
      <c r="BG234" s="14" t="n">
        <v>0.16</v>
      </c>
      <c r="BH234" s="14" t="n">
        <v>1</v>
      </c>
      <c r="BI234" s="14" t="n">
        <v>0.491</v>
      </c>
      <c r="BJ234" s="14" t="n">
        <v>0.114</v>
      </c>
      <c r="BK234" s="14" t="n">
        <v>0.233</v>
      </c>
      <c r="BL234" s="14" t="n">
        <v>0.84</v>
      </c>
      <c r="BM234" s="14" t="n">
        <v>0.16</v>
      </c>
      <c r="BN234" s="14" t="n">
        <v>1</v>
      </c>
      <c r="BO234" s="14" t="n">
        <v>0</v>
      </c>
      <c r="BP234" s="14" t="n">
        <v>0</v>
      </c>
      <c r="BQ234" s="14" t="n">
        <v>0.129</v>
      </c>
      <c r="BR234" s="14" t="n">
        <v>0</v>
      </c>
      <c r="BS234" s="14" t="n">
        <v>0.5</v>
      </c>
      <c r="BT234" s="14" t="n">
        <v>0</v>
      </c>
      <c r="BU234" s="14" t="n">
        <v>0</v>
      </c>
      <c r="BV234" s="14" t="n">
        <v>0.078</v>
      </c>
      <c r="BW234" s="14" t="n">
        <v>0</v>
      </c>
      <c r="BX234" s="14" t="n">
        <v>0.5</v>
      </c>
      <c r="BY234" s="14" t="n">
        <v>11.787</v>
      </c>
      <c r="BZ234" s="14" t="n">
        <v>0</v>
      </c>
      <c r="CA234" s="14" t="n">
        <v>11.787</v>
      </c>
      <c r="CB234" s="14" t="n">
        <v>0</v>
      </c>
      <c r="CC234" s="14" t="n">
        <v>78.125</v>
      </c>
      <c r="CD234" s="14" t="n">
        <v>7.95</v>
      </c>
      <c r="CE234" s="14" t="n">
        <v>0.187</v>
      </c>
      <c r="CF234" s="14" t="n">
        <v>90.842</v>
      </c>
      <c r="CG234" s="14" t="n">
        <v>0.16</v>
      </c>
      <c r="CH234" s="14" t="n">
        <v>1</v>
      </c>
      <c r="CI234" s="14" t="n">
        <v>0</v>
      </c>
      <c r="CJ234" s="14" t="n">
        <v>0</v>
      </c>
      <c r="CK234" s="14" t="n">
        <v>0</v>
      </c>
      <c r="CL234" s="14" t="n">
        <v>0</v>
      </c>
      <c r="CM234" s="14" t="n">
        <v>0</v>
      </c>
      <c r="CN234" s="14" t="n">
        <v>0</v>
      </c>
      <c r="CO234" s="14" t="n">
        <v>0</v>
      </c>
      <c r="CP234" s="14" t="n">
        <v>0</v>
      </c>
      <c r="CQ234" s="14" t="n">
        <v>1.198</v>
      </c>
      <c r="CR234" s="14" t="n">
        <v>0</v>
      </c>
      <c r="CS234" s="14" t="n">
        <v>4.776</v>
      </c>
      <c r="CT234" s="14" t="n">
        <v>4.753</v>
      </c>
      <c r="CU234" s="14" t="n">
        <v>15.983</v>
      </c>
    </row>
    <row r="235">
      <c r="A235" s="14" t="inlineStr">
        <is>
          <t>DOM2022</t>
        </is>
      </c>
      <c r="B235" s="14" t="inlineStr">
        <is>
          <t>DOM</t>
        </is>
      </c>
      <c r="C235" s="14" t="inlineStr">
        <is>
          <t>DOM</t>
        </is>
      </c>
      <c r="D235" s="14" t="inlineStr">
        <is>
          <t>Dominican Republic</t>
        </is>
      </c>
      <c r="E235" s="14" t="n">
        <v>2022</v>
      </c>
      <c r="F235" s="14" t="n">
        <v>0.18</v>
      </c>
      <c r="G235" s="14" t="n">
        <v>11.72</v>
      </c>
      <c r="H235" s="14" t="n">
        <v>1.235</v>
      </c>
      <c r="I235" s="14" t="n">
        <v>0</v>
      </c>
      <c r="J235" s="14" t="n">
        <v>11.72</v>
      </c>
      <c r="K235" s="14" t="n">
        <v>0</v>
      </c>
      <c r="L235" s="14" t="n">
        <v>1</v>
      </c>
      <c r="M235" s="14" t="n">
        <v>9.782999999999999</v>
      </c>
      <c r="N235" s="14" t="n">
        <v>3.704</v>
      </c>
      <c r="O235" s="14" t="n">
        <v>0</v>
      </c>
      <c r="P235" s="14" t="n">
        <v>9.782999999999999</v>
      </c>
      <c r="Q235" s="14" t="n">
        <v>0</v>
      </c>
      <c r="R235" s="14" t="n">
        <v>1</v>
      </c>
      <c r="S235" s="14" t="n">
        <v>17.893</v>
      </c>
      <c r="T235" s="14" t="n">
        <v>7.408</v>
      </c>
      <c r="U235" s="14" t="n">
        <v>0.238</v>
      </c>
      <c r="V235" s="14" t="n">
        <v>21.114</v>
      </c>
      <c r="W235" s="14" t="n">
        <v>0.18</v>
      </c>
      <c r="X235" s="14" t="n">
        <v>1</v>
      </c>
      <c r="Y235" s="14" t="n">
        <v>30.728</v>
      </c>
      <c r="Z235" s="14" t="n">
        <v>4.132</v>
      </c>
      <c r="AA235" s="14" t="n">
        <v>11.451</v>
      </c>
      <c r="AB235" s="14" t="n">
        <v>42.18</v>
      </c>
      <c r="AC235" s="14" t="n">
        <v>0</v>
      </c>
      <c r="AD235" s="14" t="n">
        <v>1</v>
      </c>
      <c r="AE235" s="14" t="n">
        <v>31.963</v>
      </c>
      <c r="AF235" s="14" t="n">
        <v>7.484</v>
      </c>
      <c r="AG235" s="14" t="n">
        <v>10.217</v>
      </c>
      <c r="AH235" s="14" t="n">
        <v>42.18</v>
      </c>
      <c r="AI235" s="14" t="n">
        <v>0</v>
      </c>
      <c r="AJ235" s="14" t="n">
        <v>1</v>
      </c>
      <c r="AK235" s="14" t="n">
        <v>39.371</v>
      </c>
      <c r="AL235" s="14" t="n">
        <v>21.154</v>
      </c>
      <c r="AM235" s="14" t="n">
        <v>-3.15</v>
      </c>
      <c r="AN235" s="14" t="n">
        <v>42.18</v>
      </c>
      <c r="AO235" s="14" t="n">
        <v>0.18</v>
      </c>
      <c r="AP235" s="14" t="n">
        <v>1</v>
      </c>
      <c r="AQ235" s="14" t="n">
        <v>0.896</v>
      </c>
      <c r="AR235" s="14" t="n">
        <v>0.123</v>
      </c>
      <c r="AS235" s="14" t="n">
        <v>0.233</v>
      </c>
      <c r="AT235" s="14" t="n">
        <v>1.31</v>
      </c>
      <c r="AU235" s="14" t="n">
        <v>0.16</v>
      </c>
      <c r="AV235" s="14" t="n">
        <v>1</v>
      </c>
      <c r="AW235" s="14" t="n">
        <v>0.89</v>
      </c>
      <c r="AX235" s="14" t="n">
        <v>0.123</v>
      </c>
      <c r="AY235" s="14" t="n">
        <v>0.1</v>
      </c>
      <c r="AZ235" s="14" t="n">
        <v>1.149</v>
      </c>
      <c r="BA235" s="14" t="n">
        <v>0.16</v>
      </c>
      <c r="BB235" s="14" t="n">
        <v>1</v>
      </c>
      <c r="BC235" s="14" t="n">
        <v>0.62</v>
      </c>
      <c r="BD235" s="14" t="n">
        <v>0.123</v>
      </c>
      <c r="BE235" s="14" t="n">
        <v>-0.012</v>
      </c>
      <c r="BF235" s="14" t="n">
        <v>0.705</v>
      </c>
      <c r="BG235" s="14" t="n">
        <v>0.16</v>
      </c>
      <c r="BH235" s="14" t="n">
        <v>1</v>
      </c>
      <c r="BI235" s="14" t="n">
        <v>0.608</v>
      </c>
      <c r="BJ235" s="14" t="n">
        <v>0.123</v>
      </c>
      <c r="BK235" s="14" t="n">
        <v>0.673</v>
      </c>
      <c r="BL235" s="14" t="n">
        <v>1.486</v>
      </c>
      <c r="BM235" s="14" t="n">
        <v>0.16</v>
      </c>
      <c r="BN235" s="14" t="n">
        <v>1</v>
      </c>
      <c r="BO235" s="14" t="n">
        <v>0</v>
      </c>
      <c r="BP235" s="14" t="n">
        <v>0</v>
      </c>
      <c r="BQ235" s="14" t="n">
        <v>0.134</v>
      </c>
      <c r="BR235" s="14" t="n">
        <v>0</v>
      </c>
      <c r="BS235" s="14" t="n">
        <v>0.5</v>
      </c>
      <c r="BT235" s="14" t="n">
        <v>0</v>
      </c>
      <c r="BU235" s="14" t="n">
        <v>0</v>
      </c>
      <c r="BV235" s="14" t="n">
        <v>0.081</v>
      </c>
      <c r="BW235" s="14" t="n">
        <v>0</v>
      </c>
      <c r="BX235" s="14" t="n">
        <v>0.5</v>
      </c>
      <c r="BY235" s="14" t="n">
        <v>12.729</v>
      </c>
      <c r="BZ235" s="14" t="n">
        <v>0</v>
      </c>
      <c r="CA235" s="14" t="n">
        <v>12.729</v>
      </c>
      <c r="CB235" s="14" t="n">
        <v>0</v>
      </c>
      <c r="CC235" s="14" t="n">
        <v>97.90000000000001</v>
      </c>
      <c r="CD235" s="14" t="n">
        <v>7.95</v>
      </c>
      <c r="CE235" s="14" t="n">
        <v>14.809</v>
      </c>
      <c r="CF235" s="14" t="n">
        <v>130.742</v>
      </c>
      <c r="CG235" s="14" t="n">
        <v>0.16</v>
      </c>
      <c r="CH235" s="14" t="n">
        <v>1</v>
      </c>
      <c r="CI235" s="14" t="n">
        <v>0</v>
      </c>
      <c r="CJ235" s="14" t="n">
        <v>0</v>
      </c>
      <c r="CK235" s="14" t="n">
        <v>0</v>
      </c>
      <c r="CL235" s="14" t="n">
        <v>0</v>
      </c>
      <c r="CM235" s="14" t="n">
        <v>0</v>
      </c>
      <c r="CN235" s="14" t="n">
        <v>0</v>
      </c>
      <c r="CO235" s="14" t="n">
        <v>0</v>
      </c>
      <c r="CP235" s="14" t="n">
        <v>0</v>
      </c>
      <c r="CQ235" s="14" t="n">
        <v>1.294</v>
      </c>
      <c r="CR235" s="14" t="n">
        <v>0</v>
      </c>
      <c r="CS235" s="14" t="n">
        <v>5.158</v>
      </c>
      <c r="CT235" s="14" t="n">
        <v>10.485</v>
      </c>
      <c r="CU235" s="14" t="n">
        <v>29.494</v>
      </c>
    </row>
    <row r="236">
      <c r="A236" s="14" t="inlineStr">
        <is>
          <t>DOM2023</t>
        </is>
      </c>
      <c r="B236" s="14" t="inlineStr">
        <is>
          <t>DOM</t>
        </is>
      </c>
      <c r="C236" s="14" t="inlineStr">
        <is>
          <t>DOM</t>
        </is>
      </c>
      <c r="D236" s="14" t="inlineStr">
        <is>
          <t>Dominican Republic</t>
        </is>
      </c>
      <c r="E236" s="14" t="n">
        <v>2023</v>
      </c>
      <c r="F236" s="14" t="n">
        <v>0.18</v>
      </c>
      <c r="G236" s="14" t="n">
        <v>6.147</v>
      </c>
      <c r="H236" s="14" t="n">
        <v>1.286</v>
      </c>
      <c r="I236" s="14" t="n">
        <v>0</v>
      </c>
      <c r="J236" s="14" t="n">
        <v>6.147</v>
      </c>
      <c r="K236" s="14" t="n">
        <v>0</v>
      </c>
      <c r="L236" s="14" t="n">
        <v>1</v>
      </c>
      <c r="M236" s="14" t="n">
        <v>7.886</v>
      </c>
      <c r="N236" s="14" t="n">
        <v>3.857</v>
      </c>
      <c r="O236" s="14" t="n">
        <v>0</v>
      </c>
      <c r="P236" s="14" t="n">
        <v>7.886</v>
      </c>
      <c r="Q236" s="14" t="n">
        <v>0</v>
      </c>
      <c r="R236" s="14" t="n">
        <v>1</v>
      </c>
      <c r="S236" s="14" t="n">
        <v>12.575</v>
      </c>
      <c r="T236" s="14" t="n">
        <v>7.714</v>
      </c>
      <c r="U236" s="14" t="n">
        <v>0.251</v>
      </c>
      <c r="V236" s="14" t="n">
        <v>14.839</v>
      </c>
      <c r="W236" s="14" t="n">
        <v>0.18</v>
      </c>
      <c r="X236" s="14" t="n">
        <v>1</v>
      </c>
      <c r="Y236" s="14" t="n">
        <v>12.478</v>
      </c>
      <c r="Z236" s="14" t="n">
        <v>1.678</v>
      </c>
      <c r="AA236" s="14" t="n">
        <v>11.924</v>
      </c>
      <c r="AB236" s="14" t="n">
        <v>24.402</v>
      </c>
      <c r="AC236" s="14" t="n">
        <v>0</v>
      </c>
      <c r="AD236" s="14" t="n">
        <v>1</v>
      </c>
      <c r="AE236" s="14" t="n">
        <v>13.763</v>
      </c>
      <c r="AF236" s="14" t="n">
        <v>3.223</v>
      </c>
      <c r="AG236" s="14" t="n">
        <v>10.638</v>
      </c>
      <c r="AH236" s="14" t="n">
        <v>24.402</v>
      </c>
      <c r="AI236" s="14" t="n">
        <v>0</v>
      </c>
      <c r="AJ236" s="14" t="n">
        <v>1</v>
      </c>
      <c r="AK236" s="14" t="n">
        <v>21.477</v>
      </c>
      <c r="AL236" s="14" t="n">
        <v>11.54</v>
      </c>
      <c r="AM236" s="14" t="n">
        <v>-0.386</v>
      </c>
      <c r="AN236" s="14" t="n">
        <v>24.402</v>
      </c>
      <c r="AO236" s="14" t="n">
        <v>0.18</v>
      </c>
      <c r="AP236" s="14" t="n">
        <v>1</v>
      </c>
      <c r="AQ236" s="14" t="n">
        <v>0.791</v>
      </c>
      <c r="AR236" s="14" t="n">
        <v>0.129</v>
      </c>
      <c r="AS236" s="14" t="n">
        <v>0.323</v>
      </c>
      <c r="AT236" s="14" t="n">
        <v>1.292</v>
      </c>
      <c r="AU236" s="14" t="n">
        <v>0.16</v>
      </c>
      <c r="AV236" s="14" t="n">
        <v>1</v>
      </c>
      <c r="AW236" s="14" t="n">
        <v>0.618</v>
      </c>
      <c r="AX236" s="14" t="n">
        <v>0.129</v>
      </c>
      <c r="AY236" s="14" t="n">
        <v>0.302</v>
      </c>
      <c r="AZ236" s="14" t="n">
        <v>1.067</v>
      </c>
      <c r="BA236" s="14" t="n">
        <v>0.16</v>
      </c>
      <c r="BB236" s="14" t="n">
        <v>1</v>
      </c>
      <c r="BC236" s="14" t="n">
        <v>0.554</v>
      </c>
      <c r="BD236" s="14" t="n">
        <v>0.129</v>
      </c>
      <c r="BE236" s="14" t="n">
        <v>0.008</v>
      </c>
      <c r="BF236" s="14" t="n">
        <v>0.652</v>
      </c>
      <c r="BG236" s="14" t="n">
        <v>0.16</v>
      </c>
      <c r="BH236" s="14" t="n">
        <v>1</v>
      </c>
      <c r="BI236" s="14" t="n">
        <v>0.5570000000000001</v>
      </c>
      <c r="BJ236" s="14" t="n">
        <v>0.129</v>
      </c>
      <c r="BK236" s="14" t="n">
        <v>0.609</v>
      </c>
      <c r="BL236" s="14" t="n">
        <v>1.352</v>
      </c>
      <c r="BM236" s="14" t="n">
        <v>0.16</v>
      </c>
      <c r="BN236" s="14" t="n">
        <v>1</v>
      </c>
      <c r="BO236" s="14" t="n">
        <v>0</v>
      </c>
      <c r="BP236" s="14" t="n">
        <v>0</v>
      </c>
      <c r="BQ236" s="14" t="n">
        <v>0.132</v>
      </c>
      <c r="BR236" s="14" t="n">
        <v>0</v>
      </c>
      <c r="BS236" s="14" t="n">
        <v>0.5</v>
      </c>
      <c r="BT236" s="14" t="n">
        <v>0</v>
      </c>
      <c r="BU236" s="14" t="n">
        <v>0</v>
      </c>
      <c r="BV236" s="14" t="n">
        <v>0.079</v>
      </c>
      <c r="BW236" s="14" t="n">
        <v>0</v>
      </c>
      <c r="BX236" s="14" t="n">
        <v>0.5</v>
      </c>
      <c r="BY236" s="14" t="n">
        <v>13.254</v>
      </c>
      <c r="BZ236" s="14" t="n">
        <v>0</v>
      </c>
      <c r="CA236" s="14" t="n">
        <v>13.254</v>
      </c>
      <c r="CB236" s="14" t="n">
        <v>0</v>
      </c>
      <c r="CC236" s="14" t="n">
        <v>83.248</v>
      </c>
      <c r="CD236" s="14" t="n">
        <v>7.95</v>
      </c>
      <c r="CE236" s="14" t="n">
        <v>20.052</v>
      </c>
      <c r="CF236" s="14" t="n">
        <v>119.828</v>
      </c>
      <c r="CG236" s="14" t="n">
        <v>0.16</v>
      </c>
      <c r="CH236" s="14" t="n">
        <v>1</v>
      </c>
      <c r="CI236" s="14" t="n">
        <v>0</v>
      </c>
      <c r="CJ236" s="14" t="n">
        <v>0</v>
      </c>
      <c r="CK236" s="14" t="n">
        <v>0</v>
      </c>
      <c r="CL236" s="14" t="n">
        <v>0</v>
      </c>
      <c r="CM236" s="14" t="n">
        <v>0</v>
      </c>
      <c r="CN236" s="14" t="n">
        <v>0</v>
      </c>
      <c r="CO236" s="14" t="n">
        <v>0</v>
      </c>
      <c r="CP236" s="14" t="n">
        <v>0</v>
      </c>
      <c r="CQ236" s="14" t="n">
        <v>1.348</v>
      </c>
      <c r="CR236" s="14" t="n">
        <v>0</v>
      </c>
      <c r="CS236" s="14" t="n">
        <v>5.37</v>
      </c>
      <c r="CT236" s="14" t="n">
        <v>4.861</v>
      </c>
      <c r="CU236" s="14" t="n">
        <v>11.192</v>
      </c>
    </row>
    <row r="237">
      <c r="A237" s="14" t="inlineStr">
        <is>
          <t>DOM2024</t>
        </is>
      </c>
      <c r="B237" s="14" t="inlineStr">
        <is>
          <t>DOM</t>
        </is>
      </c>
      <c r="C237" s="14" t="inlineStr">
        <is>
          <t>DOM</t>
        </is>
      </c>
      <c r="D237" s="14" t="inlineStr">
        <is>
          <t>Dominican Republic</t>
        </is>
      </c>
      <c r="E237" s="14" t="n">
        <v>2024</v>
      </c>
      <c r="F237" s="14" t="n">
        <v>0.18</v>
      </c>
      <c r="G237" s="14" t="n">
        <v>5.575</v>
      </c>
      <c r="H237" s="14" t="n">
        <v>1.324</v>
      </c>
      <c r="I237" s="14" t="n">
        <v>0</v>
      </c>
      <c r="J237" s="14" t="n">
        <v>5.575</v>
      </c>
      <c r="K237" s="14" t="n">
        <v>0</v>
      </c>
      <c r="L237" s="14" t="n">
        <v>1</v>
      </c>
      <c r="M237" s="14" t="n">
        <v>7.124</v>
      </c>
      <c r="N237" s="14" t="n">
        <v>3.971</v>
      </c>
      <c r="O237" s="14" t="n">
        <v>0</v>
      </c>
      <c r="P237" s="14" t="n">
        <v>7.124</v>
      </c>
      <c r="Q237" s="14" t="n">
        <v>0</v>
      </c>
      <c r="R237" s="14" t="n">
        <v>1</v>
      </c>
      <c r="S237" s="14" t="n">
        <v>12.193</v>
      </c>
      <c r="T237" s="14" t="n">
        <v>7.942</v>
      </c>
      <c r="U237" s="14" t="n">
        <v>0.299</v>
      </c>
      <c r="V237" s="14" t="n">
        <v>14.388</v>
      </c>
      <c r="W237" s="14" t="n">
        <v>0.18</v>
      </c>
      <c r="X237" s="14" t="n">
        <v>1</v>
      </c>
      <c r="Y237" s="14" t="n">
        <v>11.447</v>
      </c>
      <c r="Z237" s="14" t="n">
        <v>1.539</v>
      </c>
      <c r="AA237" s="14" t="n">
        <v>12.276</v>
      </c>
      <c r="AB237" s="14" t="n">
        <v>23.723</v>
      </c>
      <c r="AC237" s="14" t="n">
        <v>0</v>
      </c>
      <c r="AD237" s="14" t="n">
        <v>1</v>
      </c>
      <c r="AE237" s="14" t="n">
        <v>12.771</v>
      </c>
      <c r="AF237" s="14" t="n">
        <v>2.99</v>
      </c>
      <c r="AG237" s="14" t="n">
        <v>10.952</v>
      </c>
      <c r="AH237" s="14" t="n">
        <v>23.723</v>
      </c>
      <c r="AI237" s="14" t="n">
        <v>0</v>
      </c>
      <c r="AJ237" s="14" t="n">
        <v>1</v>
      </c>
      <c r="AK237" s="14" t="n">
        <v>20.712</v>
      </c>
      <c r="AL237" s="14" t="n">
        <v>11.129</v>
      </c>
      <c r="AM237" s="14" t="n">
        <v>-0.115</v>
      </c>
      <c r="AN237" s="14" t="n">
        <v>23.723</v>
      </c>
      <c r="AO237" s="14" t="n">
        <v>0.18</v>
      </c>
      <c r="AP237" s="14" t="n">
        <v>1</v>
      </c>
      <c r="AQ237" s="14" t="n">
        <v>0.756</v>
      </c>
      <c r="AR237" s="14" t="n">
        <v>0.132</v>
      </c>
      <c r="AS237" s="14" t="n">
        <v>0.282</v>
      </c>
      <c r="AT237" s="14" t="n">
        <v>1.204</v>
      </c>
      <c r="AU237" s="14" t="n">
        <v>0.16</v>
      </c>
      <c r="AV237" s="14" t="n">
        <v>1</v>
      </c>
      <c r="AW237" s="14" t="n">
        <v>0.655</v>
      </c>
      <c r="AX237" s="14" t="n">
        <v>0.132</v>
      </c>
      <c r="AY237" s="14" t="n">
        <v>0.212</v>
      </c>
      <c r="AZ237" s="14" t="n">
        <v>1.007</v>
      </c>
      <c r="BA237" s="14" t="n">
        <v>0.16</v>
      </c>
      <c r="BB237" s="14" t="n">
        <v>1</v>
      </c>
      <c r="BC237" s="14" t="n">
        <v>0.534</v>
      </c>
      <c r="BD237" s="14" t="n">
        <v>0.132</v>
      </c>
      <c r="BE237" s="14" t="n">
        <v>-0.027</v>
      </c>
      <c r="BF237" s="14" t="n">
        <v>0.588</v>
      </c>
      <c r="BG237" s="14" t="n">
        <v>0.16</v>
      </c>
      <c r="BH237" s="14" t="n">
        <v>1</v>
      </c>
      <c r="BI237" s="14" t="n">
        <v>0.5679999999999999</v>
      </c>
      <c r="BJ237" s="14" t="n">
        <v>0.132</v>
      </c>
      <c r="BK237" s="14" t="n">
        <v>0.305</v>
      </c>
      <c r="BL237" s="14" t="n">
        <v>1.013</v>
      </c>
      <c r="BM237" s="14" t="n">
        <v>0.16</v>
      </c>
      <c r="BN237" s="14" t="n">
        <v>1</v>
      </c>
      <c r="BO237" s="14" t="n">
        <v>0</v>
      </c>
      <c r="BP237" s="14" t="n">
        <v>0</v>
      </c>
      <c r="BQ237" s="14" t="n">
        <v>0.143</v>
      </c>
      <c r="BR237" s="14" t="n">
        <v>0</v>
      </c>
      <c r="BS237" s="14" t="n">
        <v>0.5</v>
      </c>
      <c r="BT237" s="14" t="n">
        <v>0</v>
      </c>
      <c r="BU237" s="14" t="n">
        <v>0</v>
      </c>
      <c r="BV237" s="14" t="n">
        <v>0.091</v>
      </c>
      <c r="BW237" s="14" t="n">
        <v>0</v>
      </c>
      <c r="BX237" s="14" t="n">
        <v>0.5</v>
      </c>
      <c r="BY237" s="14" t="n">
        <v>13.646</v>
      </c>
      <c r="BZ237" s="14" t="n">
        <v>0</v>
      </c>
      <c r="CA237" s="14" t="n">
        <v>13.646</v>
      </c>
      <c r="CB237" s="14" t="n">
        <v>0</v>
      </c>
      <c r="CC237" s="14" t="n">
        <v>82.58799999999999</v>
      </c>
      <c r="CD237" s="14" t="n">
        <v>7.95</v>
      </c>
      <c r="CE237" s="14" t="n">
        <v>6.724</v>
      </c>
      <c r="CF237" s="14" t="n">
        <v>103.602</v>
      </c>
      <c r="CG237" s="14" t="n">
        <v>0.16</v>
      </c>
      <c r="CH237" s="14" t="n">
        <v>1</v>
      </c>
      <c r="CI237" s="14" t="n">
        <v>0</v>
      </c>
      <c r="CJ237" s="14" t="n">
        <v>0</v>
      </c>
      <c r="CK237" s="14" t="n">
        <v>0</v>
      </c>
      <c r="CL237" s="14" t="n">
        <v>0</v>
      </c>
      <c r="CM237" s="14" t="n">
        <v>0</v>
      </c>
      <c r="CN237" s="14" t="n">
        <v>0</v>
      </c>
      <c r="CO237" s="14" t="n">
        <v>0</v>
      </c>
      <c r="CP237" s="14" t="n">
        <v>0</v>
      </c>
      <c r="CQ237" s="14" t="n">
        <v>1.387</v>
      </c>
      <c r="CR237" s="14" t="n">
        <v>0</v>
      </c>
      <c r="CS237" s="14" t="n">
        <v>5.529</v>
      </c>
      <c r="CT237" s="14" t="n">
        <v>4.251</v>
      </c>
      <c r="CU237" s="14" t="n">
        <v>10.123</v>
      </c>
    </row>
    <row r="238">
      <c r="A238" s="14" t="inlineStr">
        <is>
          <t>ECU2021</t>
        </is>
      </c>
      <c r="B238" s="14" t="inlineStr">
        <is>
          <t>ECU</t>
        </is>
      </c>
      <c r="C238" s="14" t="inlineStr">
        <is>
          <t>ECU</t>
        </is>
      </c>
      <c r="D238" s="14" t="inlineStr">
        <is>
          <t>Ecuador</t>
        </is>
      </c>
      <c r="E238" s="14" t="n">
        <v>2021</v>
      </c>
      <c r="F238" s="14" t="n">
        <v>0.12</v>
      </c>
      <c r="G238" s="14" t="n">
        <v>5.897</v>
      </c>
      <c r="H238" s="14" t="n">
        <v>1.143</v>
      </c>
      <c r="I238" s="14" t="n">
        <v>0</v>
      </c>
      <c r="J238" s="14" t="n">
        <v>5.897</v>
      </c>
      <c r="K238" s="14" t="n">
        <v>0</v>
      </c>
      <c r="L238" s="14" t="n">
        <v>1</v>
      </c>
      <c r="M238" s="14" t="n">
        <v>7.964</v>
      </c>
      <c r="N238" s="14" t="n">
        <v>3.43</v>
      </c>
      <c r="O238" s="14" t="n">
        <v>0.227</v>
      </c>
      <c r="P238" s="14" t="n">
        <v>8.191000000000001</v>
      </c>
      <c r="Q238" s="14" t="n">
        <v>0</v>
      </c>
      <c r="R238" s="14" t="n">
        <v>1</v>
      </c>
      <c r="S238" s="14" t="n">
        <v>11.613</v>
      </c>
      <c r="T238" s="14" t="n">
        <v>6.86</v>
      </c>
      <c r="U238" s="14" t="n">
        <v>0</v>
      </c>
      <c r="V238" s="14" t="n">
        <v>13.007</v>
      </c>
      <c r="W238" s="14" t="n">
        <v>0.12</v>
      </c>
      <c r="X238" s="14" t="n">
        <v>1</v>
      </c>
      <c r="Y238" s="14" t="n">
        <v>9.379</v>
      </c>
      <c r="Z238" s="14" t="n">
        <v>0.6830000000000001</v>
      </c>
      <c r="AA238" s="14" t="n">
        <v>-0.586</v>
      </c>
      <c r="AB238" s="14" t="n">
        <v>8.792999999999999</v>
      </c>
      <c r="AC238" s="14" t="n">
        <v>0</v>
      </c>
      <c r="AD238" s="14" t="n">
        <v>1</v>
      </c>
      <c r="AE238" s="14" t="n">
        <v>9.951000000000001</v>
      </c>
      <c r="AF238" s="14" t="n">
        <v>1.338</v>
      </c>
      <c r="AG238" s="14" t="n">
        <v>-0.586</v>
      </c>
      <c r="AH238" s="14" t="n">
        <v>9.365</v>
      </c>
      <c r="AI238" s="14" t="n">
        <v>0</v>
      </c>
      <c r="AJ238" s="14" t="n">
        <v>1</v>
      </c>
      <c r="AK238" s="14" t="n">
        <v>13.381</v>
      </c>
      <c r="AL238" s="14" t="n">
        <v>5.005</v>
      </c>
      <c r="AM238" s="14" t="n">
        <v>-0.414</v>
      </c>
      <c r="AN238" s="14" t="n">
        <v>12.967</v>
      </c>
      <c r="AO238" s="14" t="n">
        <v>0</v>
      </c>
      <c r="AP238" s="14" t="n">
        <v>1</v>
      </c>
      <c r="AQ238" s="14" t="n">
        <v>0.53</v>
      </c>
      <c r="AR238" s="14" t="n">
        <v>0.097</v>
      </c>
      <c r="AS238" s="14" t="n">
        <v>-0.014</v>
      </c>
      <c r="AT238" s="14" t="n">
        <v>0.578</v>
      </c>
      <c r="AU238" s="14" t="n">
        <v>0</v>
      </c>
      <c r="AV238" s="14" t="n">
        <v>1</v>
      </c>
      <c r="AW238" s="14" t="n">
        <v>0.53</v>
      </c>
      <c r="AX238" s="14" t="n">
        <v>0.103</v>
      </c>
      <c r="AY238" s="14" t="n">
        <v>-0.15</v>
      </c>
      <c r="AZ238" s="14" t="n">
        <v>0.426</v>
      </c>
      <c r="BA238" s="14" t="n">
        <v>0</v>
      </c>
      <c r="BB238" s="14" t="n">
        <v>0</v>
      </c>
      <c r="BC238" s="14" t="n">
        <v>0.742</v>
      </c>
      <c r="BD238" s="14" t="n">
        <v>0.192</v>
      </c>
      <c r="BE238" s="14" t="n">
        <v>-0.647</v>
      </c>
      <c r="BF238" s="14" t="n">
        <v>0.107</v>
      </c>
      <c r="BG238" s="14" t="n">
        <v>0</v>
      </c>
      <c r="BH238" s="14" t="n">
        <v>0</v>
      </c>
      <c r="BI238" s="14" t="n">
        <v>0.491</v>
      </c>
      <c r="BJ238" s="14" t="n">
        <v>0.114</v>
      </c>
      <c r="BK238" s="14" t="n">
        <v>0.034</v>
      </c>
      <c r="BL238" s="14" t="n">
        <v>0.525</v>
      </c>
      <c r="BM238" s="14" t="n">
        <v>0</v>
      </c>
      <c r="BN238" s="14" t="n">
        <v>1</v>
      </c>
      <c r="BO238" s="14" t="n">
        <v>0</v>
      </c>
      <c r="BP238" s="14" t="n">
        <v>0</v>
      </c>
      <c r="BQ238" s="14" t="n">
        <v>0.062</v>
      </c>
      <c r="BR238" s="14" t="n">
        <v>0</v>
      </c>
      <c r="BS238" s="14" t="n">
        <v>0.5</v>
      </c>
      <c r="BT238" s="14" t="n">
        <v>0</v>
      </c>
      <c r="BU238" s="14" t="n">
        <v>-0.008999999999999999</v>
      </c>
      <c r="BV238" s="14" t="n">
        <v>0.103</v>
      </c>
      <c r="BW238" s="14" t="n">
        <v>0</v>
      </c>
      <c r="BX238" s="14" t="n">
        <v>0.833</v>
      </c>
      <c r="BY238" s="14" t="n">
        <v>11.787</v>
      </c>
      <c r="BZ238" s="14" t="n">
        <v>0</v>
      </c>
      <c r="CA238" s="14" t="n">
        <v>11.787</v>
      </c>
      <c r="CB238" s="14" t="n">
        <v>0</v>
      </c>
      <c r="CC238" s="14" t="n">
        <v>73.254</v>
      </c>
      <c r="CD238" s="14" t="n">
        <v>3.079</v>
      </c>
      <c r="CE238" s="14" t="n">
        <v>-29.421</v>
      </c>
      <c r="CF238" s="14" t="n">
        <v>49.094</v>
      </c>
      <c r="CG238" s="14" t="n">
        <v>0</v>
      </c>
      <c r="CH238" s="14" t="n">
        <v>0</v>
      </c>
      <c r="CI238" s="14" t="n">
        <v>0</v>
      </c>
      <c r="CJ238" s="14" t="n">
        <v>0</v>
      </c>
      <c r="CK238" s="14" t="n">
        <v>0</v>
      </c>
      <c r="CL238" s="14" t="n">
        <v>0</v>
      </c>
      <c r="CM238" s="14" t="n">
        <v>0</v>
      </c>
      <c r="CN238" s="14" t="n">
        <v>0</v>
      </c>
      <c r="CO238" s="14" t="n">
        <v>0</v>
      </c>
      <c r="CP238" s="14" t="n">
        <v>0</v>
      </c>
      <c r="CQ238" s="14" t="n">
        <v>1.198</v>
      </c>
      <c r="CR238" s="14" t="n">
        <v>1</v>
      </c>
      <c r="CS238" s="14" t="n">
        <v>8.808</v>
      </c>
      <c r="CT238" s="14" t="n">
        <v>4.753</v>
      </c>
      <c r="CU238" s="14" t="n">
        <v>15.983</v>
      </c>
    </row>
    <row r="239">
      <c r="A239" s="14" t="inlineStr">
        <is>
          <t>ECU2022</t>
        </is>
      </c>
      <c r="B239" s="14" t="inlineStr">
        <is>
          <t>ECU</t>
        </is>
      </c>
      <c r="C239" s="14" t="inlineStr">
        <is>
          <t>ECU</t>
        </is>
      </c>
      <c r="D239" s="14" t="inlineStr">
        <is>
          <t>Ecuador</t>
        </is>
      </c>
      <c r="E239" s="14" t="n">
        <v>2022</v>
      </c>
      <c r="F239" s="14" t="n">
        <v>0.12</v>
      </c>
      <c r="G239" s="14" t="n">
        <v>11.72</v>
      </c>
      <c r="H239" s="14" t="n">
        <v>1.235</v>
      </c>
      <c r="I239" s="14" t="n">
        <v>0</v>
      </c>
      <c r="J239" s="14" t="n">
        <v>11.72</v>
      </c>
      <c r="K239" s="14" t="n">
        <v>0</v>
      </c>
      <c r="L239" s="14" t="n">
        <v>1</v>
      </c>
      <c r="M239" s="14" t="n">
        <v>9.782999999999999</v>
      </c>
      <c r="N239" s="14" t="n">
        <v>3.704</v>
      </c>
      <c r="O239" s="14" t="n">
        <v>0.328</v>
      </c>
      <c r="P239" s="14" t="n">
        <v>10.111</v>
      </c>
      <c r="Q239" s="14" t="n">
        <v>0</v>
      </c>
      <c r="R239" s="14" t="n">
        <v>1</v>
      </c>
      <c r="S239" s="14" t="n">
        <v>17.893</v>
      </c>
      <c r="T239" s="14" t="n">
        <v>7.408</v>
      </c>
      <c r="U239" s="14" t="n">
        <v>0.159</v>
      </c>
      <c r="V239" s="14" t="n">
        <v>20.041</v>
      </c>
      <c r="W239" s="14" t="n">
        <v>0.12</v>
      </c>
      <c r="X239" s="14" t="n">
        <v>1</v>
      </c>
      <c r="Y239" s="14" t="n">
        <v>10.129</v>
      </c>
      <c r="Z239" s="14" t="n">
        <v>0.737</v>
      </c>
      <c r="AA239" s="14" t="n">
        <v>-0.428</v>
      </c>
      <c r="AB239" s="14" t="n">
        <v>9.701000000000001</v>
      </c>
      <c r="AC239" s="14" t="n">
        <v>0</v>
      </c>
      <c r="AD239" s="14" t="n">
        <v>1</v>
      </c>
      <c r="AE239" s="14" t="n">
        <v>10.746</v>
      </c>
      <c r="AF239" s="14" t="n">
        <v>1.445</v>
      </c>
      <c r="AG239" s="14" t="n">
        <v>-0.428</v>
      </c>
      <c r="AH239" s="14" t="n">
        <v>10.319</v>
      </c>
      <c r="AI239" s="14" t="n">
        <v>0</v>
      </c>
      <c r="AJ239" s="14" t="n">
        <v>1</v>
      </c>
      <c r="AK239" s="14" t="n">
        <v>14.451</v>
      </c>
      <c r="AL239" s="14" t="n">
        <v>5.405</v>
      </c>
      <c r="AM239" s="14" t="n">
        <v>-0.109</v>
      </c>
      <c r="AN239" s="14" t="n">
        <v>14.342</v>
      </c>
      <c r="AO239" s="14" t="n">
        <v>0</v>
      </c>
      <c r="AP239" s="14" t="n">
        <v>1</v>
      </c>
      <c r="AQ239" s="14" t="n">
        <v>0.768</v>
      </c>
      <c r="AR239" s="14" t="n">
        <v>0.11</v>
      </c>
      <c r="AS239" s="14" t="n">
        <v>-0.169</v>
      </c>
      <c r="AT239" s="14" t="n">
        <v>0.671</v>
      </c>
      <c r="AU239" s="14" t="n">
        <v>0</v>
      </c>
      <c r="AV239" s="14" t="n">
        <v>1</v>
      </c>
      <c r="AW239" s="14" t="n">
        <v>0.863</v>
      </c>
      <c r="AX239" s="14" t="n">
        <v>0.112</v>
      </c>
      <c r="AY239" s="14" t="n">
        <v>-0.421</v>
      </c>
      <c r="AZ239" s="14" t="n">
        <v>0.495</v>
      </c>
      <c r="BA239" s="14" t="n">
        <v>0</v>
      </c>
      <c r="BB239" s="14" t="n">
        <v>0</v>
      </c>
      <c r="BC239" s="14" t="n">
        <v>0.79</v>
      </c>
      <c r="BD239" s="14" t="n">
        <v>0.163</v>
      </c>
      <c r="BE239" s="14" t="n">
        <v>-0.695</v>
      </c>
      <c r="BF239" s="14" t="n">
        <v>0.107</v>
      </c>
      <c r="BG239" s="14" t="n">
        <v>0</v>
      </c>
      <c r="BH239" s="14" t="n">
        <v>0</v>
      </c>
      <c r="BI239" s="14" t="n">
        <v>0.608</v>
      </c>
      <c r="BJ239" s="14" t="n">
        <v>0.123</v>
      </c>
      <c r="BK239" s="14" t="n">
        <v>0.004</v>
      </c>
      <c r="BL239" s="14" t="n">
        <v>0.611</v>
      </c>
      <c r="BM239" s="14" t="n">
        <v>0</v>
      </c>
      <c r="BN239" s="14" t="n">
        <v>1</v>
      </c>
      <c r="BO239" s="14" t="n">
        <v>0</v>
      </c>
      <c r="BP239" s="14" t="n">
        <v>0</v>
      </c>
      <c r="BQ239" s="14" t="n">
        <v>0.062</v>
      </c>
      <c r="BR239" s="14" t="n">
        <v>0</v>
      </c>
      <c r="BS239" s="14" t="n">
        <v>0.5</v>
      </c>
      <c r="BT239" s="14" t="n">
        <v>0</v>
      </c>
      <c r="BU239" s="14" t="n">
        <v>-0.01</v>
      </c>
      <c r="BV239" s="14" t="n">
        <v>0.104</v>
      </c>
      <c r="BW239" s="14" t="n">
        <v>0</v>
      </c>
      <c r="BX239" s="14" t="n">
        <v>0.833</v>
      </c>
      <c r="BY239" s="14" t="n">
        <v>12.729</v>
      </c>
      <c r="BZ239" s="14" t="n">
        <v>0</v>
      </c>
      <c r="CA239" s="14" t="n">
        <v>12.729</v>
      </c>
      <c r="CB239" s="14" t="n">
        <v>0</v>
      </c>
      <c r="CC239" s="14" t="n">
        <v>117.033</v>
      </c>
      <c r="CD239" s="14" t="n">
        <v>27.083</v>
      </c>
      <c r="CE239" s="14" t="n">
        <v>-62.76</v>
      </c>
      <c r="CF239" s="14" t="n">
        <v>60.786</v>
      </c>
      <c r="CG239" s="14" t="n">
        <v>0</v>
      </c>
      <c r="CH239" s="14" t="n">
        <v>0</v>
      </c>
      <c r="CI239" s="14" t="n">
        <v>0</v>
      </c>
      <c r="CJ239" s="14" t="n">
        <v>0</v>
      </c>
      <c r="CK239" s="14" t="n">
        <v>0</v>
      </c>
      <c r="CL239" s="14" t="n">
        <v>0</v>
      </c>
      <c r="CM239" s="14" t="n">
        <v>0</v>
      </c>
      <c r="CN239" s="14" t="n">
        <v>0</v>
      </c>
      <c r="CO239" s="14" t="n">
        <v>0</v>
      </c>
      <c r="CP239" s="14" t="n">
        <v>0</v>
      </c>
      <c r="CQ239" s="14" t="n">
        <v>1.294</v>
      </c>
      <c r="CR239" s="14" t="n">
        <v>1</v>
      </c>
      <c r="CS239" s="14" t="n">
        <v>9.512</v>
      </c>
      <c r="CT239" s="14" t="n">
        <v>10.485</v>
      </c>
      <c r="CU239" s="14" t="n">
        <v>29.494</v>
      </c>
    </row>
    <row r="240">
      <c r="A240" s="14" t="inlineStr">
        <is>
          <t>ECU2023</t>
        </is>
      </c>
      <c r="B240" s="14" t="inlineStr">
        <is>
          <t>ECU</t>
        </is>
      </c>
      <c r="C240" s="14" t="inlineStr">
        <is>
          <t>ECU</t>
        </is>
      </c>
      <c r="D240" s="14" t="inlineStr">
        <is>
          <t>Ecuador</t>
        </is>
      </c>
      <c r="E240" s="14" t="n">
        <v>2023</v>
      </c>
      <c r="F240" s="14" t="n">
        <v>0.12</v>
      </c>
      <c r="G240" s="14" t="n">
        <v>6.147</v>
      </c>
      <c r="H240" s="14" t="n">
        <v>1.286</v>
      </c>
      <c r="I240" s="14" t="n">
        <v>0</v>
      </c>
      <c r="J240" s="14" t="n">
        <v>6.147</v>
      </c>
      <c r="K240" s="14" t="n">
        <v>0</v>
      </c>
      <c r="L240" s="14" t="n">
        <v>1</v>
      </c>
      <c r="M240" s="14" t="n">
        <v>7.886</v>
      </c>
      <c r="N240" s="14" t="n">
        <v>3.857</v>
      </c>
      <c r="O240" s="14" t="n">
        <v>0.227</v>
      </c>
      <c r="P240" s="14" t="n">
        <v>8.113</v>
      </c>
      <c r="Q240" s="14" t="n">
        <v>0</v>
      </c>
      <c r="R240" s="14" t="n">
        <v>1</v>
      </c>
      <c r="S240" s="14" t="n">
        <v>12.575</v>
      </c>
      <c r="T240" s="14" t="n">
        <v>7.714</v>
      </c>
      <c r="U240" s="14" t="n">
        <v>0.167</v>
      </c>
      <c r="V240" s="14" t="n">
        <v>14.084</v>
      </c>
      <c r="W240" s="14" t="n">
        <v>0.12</v>
      </c>
      <c r="X240" s="14" t="n">
        <v>1</v>
      </c>
      <c r="Y240" s="14" t="n">
        <v>10.547</v>
      </c>
      <c r="Z240" s="14" t="n">
        <v>0.768</v>
      </c>
      <c r="AA240" s="14" t="n">
        <v>-0.269</v>
      </c>
      <c r="AB240" s="14" t="n">
        <v>10.278</v>
      </c>
      <c r="AC240" s="14" t="n">
        <v>0</v>
      </c>
      <c r="AD240" s="14" t="n">
        <v>1</v>
      </c>
      <c r="AE240" s="14" t="n">
        <v>11.19</v>
      </c>
      <c r="AF240" s="14" t="n">
        <v>1.505</v>
      </c>
      <c r="AG240" s="14" t="n">
        <v>-0.269</v>
      </c>
      <c r="AH240" s="14" t="n">
        <v>10.921</v>
      </c>
      <c r="AI240" s="14" t="n">
        <v>0</v>
      </c>
      <c r="AJ240" s="14" t="n">
        <v>1</v>
      </c>
      <c r="AK240" s="14" t="n">
        <v>15.047</v>
      </c>
      <c r="AL240" s="14" t="n">
        <v>5.628</v>
      </c>
      <c r="AM240" s="14" t="n">
        <v>0.14</v>
      </c>
      <c r="AN240" s="14" t="n">
        <v>15.187</v>
      </c>
      <c r="AO240" s="14" t="n">
        <v>0</v>
      </c>
      <c r="AP240" s="14" t="n">
        <v>1</v>
      </c>
      <c r="AQ240" s="14" t="n">
        <v>0.642</v>
      </c>
      <c r="AR240" s="14" t="n">
        <v>0.108</v>
      </c>
      <c r="AS240" s="14" t="n">
        <v>-0.061</v>
      </c>
      <c r="AT240" s="14" t="n">
        <v>0.651</v>
      </c>
      <c r="AU240" s="14" t="n">
        <v>0</v>
      </c>
      <c r="AV240" s="14" t="n">
        <v>1</v>
      </c>
      <c r="AW240" s="14" t="n">
        <v>1.056</v>
      </c>
      <c r="AX240" s="14" t="n">
        <v>0.181</v>
      </c>
      <c r="AY240" s="14" t="n">
        <v>-0.633</v>
      </c>
      <c r="AZ240" s="14" t="n">
        <v>0.475</v>
      </c>
      <c r="BA240" s="14" t="n">
        <v>0</v>
      </c>
      <c r="BB240" s="14" t="n">
        <v>0</v>
      </c>
      <c r="BC240" s="14" t="n">
        <v>0.637</v>
      </c>
      <c r="BD240" s="14" t="n">
        <v>0.153</v>
      </c>
      <c r="BE240" s="14" t="n">
        <v>-0.541</v>
      </c>
      <c r="BF240" s="14" t="n">
        <v>0.107</v>
      </c>
      <c r="BG240" s="14" t="n">
        <v>0</v>
      </c>
      <c r="BH240" s="14" t="n">
        <v>0</v>
      </c>
      <c r="BI240" s="14" t="n">
        <v>0.5570000000000001</v>
      </c>
      <c r="BJ240" s="14" t="n">
        <v>0.129</v>
      </c>
      <c r="BK240" s="14" t="n">
        <v>-0.042</v>
      </c>
      <c r="BL240" s="14" t="n">
        <v>0.516</v>
      </c>
      <c r="BM240" s="14" t="n">
        <v>0</v>
      </c>
      <c r="BN240" s="14" t="n">
        <v>1</v>
      </c>
      <c r="BO240" s="14" t="n">
        <v>0</v>
      </c>
      <c r="BP240" s="14" t="n">
        <v>0</v>
      </c>
      <c r="BQ240" s="14" t="n">
        <v>0.062</v>
      </c>
      <c r="BR240" s="14" t="n">
        <v>0</v>
      </c>
      <c r="BS240" s="14" t="n">
        <v>0.5</v>
      </c>
      <c r="BT240" s="14" t="n">
        <v>0</v>
      </c>
      <c r="BU240" s="14" t="n">
        <v>-0.008999999999999999</v>
      </c>
      <c r="BV240" s="14" t="n">
        <v>0.104</v>
      </c>
      <c r="BW240" s="14" t="n">
        <v>0</v>
      </c>
      <c r="BX240" s="14" t="n">
        <v>0.833</v>
      </c>
      <c r="BY240" s="14" t="n">
        <v>13.254</v>
      </c>
      <c r="BZ240" s="14" t="n">
        <v>0</v>
      </c>
      <c r="CA240" s="14" t="n">
        <v>13.254</v>
      </c>
      <c r="CB240" s="14" t="n">
        <v>0</v>
      </c>
      <c r="CC240" s="14" t="n">
        <v>106.14</v>
      </c>
      <c r="CD240" s="14" t="n">
        <v>30.842</v>
      </c>
      <c r="CE240" s="14" t="n">
        <v>-44.068</v>
      </c>
      <c r="CF240" s="14" t="n">
        <v>69.521</v>
      </c>
      <c r="CG240" s="14" t="n">
        <v>0</v>
      </c>
      <c r="CH240" s="14" t="n">
        <v>0</v>
      </c>
      <c r="CI240" s="14" t="n">
        <v>0</v>
      </c>
      <c r="CJ240" s="14" t="n">
        <v>0</v>
      </c>
      <c r="CK240" s="14" t="n">
        <v>0</v>
      </c>
      <c r="CL240" s="14" t="n">
        <v>0</v>
      </c>
      <c r="CM240" s="14" t="n">
        <v>0</v>
      </c>
      <c r="CN240" s="14" t="n">
        <v>0</v>
      </c>
      <c r="CO240" s="14" t="n">
        <v>0</v>
      </c>
      <c r="CP240" s="14" t="n">
        <v>0</v>
      </c>
      <c r="CQ240" s="14" t="n">
        <v>1.348</v>
      </c>
      <c r="CR240" s="14" t="n">
        <v>1</v>
      </c>
      <c r="CS240" s="14" t="n">
        <v>9.904</v>
      </c>
      <c r="CT240" s="14" t="n">
        <v>4.861</v>
      </c>
      <c r="CU240" s="14" t="n">
        <v>11.192</v>
      </c>
    </row>
    <row r="241">
      <c r="A241" s="14" t="inlineStr">
        <is>
          <t>ECU2024</t>
        </is>
      </c>
      <c r="B241" s="14" t="inlineStr">
        <is>
          <t>ECU</t>
        </is>
      </c>
      <c r="C241" s="14" t="inlineStr">
        <is>
          <t>ECU</t>
        </is>
      </c>
      <c r="D241" s="14" t="inlineStr">
        <is>
          <t>Ecuador</t>
        </is>
      </c>
      <c r="E241" s="14" t="n">
        <v>2024</v>
      </c>
      <c r="F241" s="14" t="n">
        <v>0.12</v>
      </c>
      <c r="G241" s="14" t="n">
        <v>5.575</v>
      </c>
      <c r="H241" s="14" t="n">
        <v>1.324</v>
      </c>
      <c r="I241" s="14" t="n">
        <v>0</v>
      </c>
      <c r="J241" s="14" t="n">
        <v>5.575</v>
      </c>
      <c r="K241" s="14" t="n">
        <v>0</v>
      </c>
      <c r="L241" s="14" t="n">
        <v>1</v>
      </c>
      <c r="M241" s="14" t="n">
        <v>7.124</v>
      </c>
      <c r="N241" s="14" t="n">
        <v>3.971</v>
      </c>
      <c r="O241" s="14" t="n">
        <v>0.158</v>
      </c>
      <c r="P241" s="14" t="n">
        <v>7.281</v>
      </c>
      <c r="Q241" s="14" t="n">
        <v>0</v>
      </c>
      <c r="R241" s="14" t="n">
        <v>1</v>
      </c>
      <c r="S241" s="14" t="n">
        <v>12.193</v>
      </c>
      <c r="T241" s="14" t="n">
        <v>7.942</v>
      </c>
      <c r="U241" s="14" t="n">
        <v>0.199</v>
      </c>
      <c r="V241" s="14" t="n">
        <v>13.656</v>
      </c>
      <c r="W241" s="14" t="n">
        <v>0.12</v>
      </c>
      <c r="X241" s="14" t="n">
        <v>1</v>
      </c>
      <c r="Y241" s="14" t="n">
        <v>10.785</v>
      </c>
      <c r="Z241" s="14" t="n">
        <v>0.785</v>
      </c>
      <c r="AA241" s="14" t="n">
        <v>-0.277</v>
      </c>
      <c r="AB241" s="14" t="n">
        <v>10.508</v>
      </c>
      <c r="AC241" s="14" t="n">
        <v>0</v>
      </c>
      <c r="AD241" s="14" t="n">
        <v>1</v>
      </c>
      <c r="AE241" s="14" t="n">
        <v>11.447</v>
      </c>
      <c r="AF241" s="14" t="n">
        <v>1.54</v>
      </c>
      <c r="AG241" s="14" t="n">
        <v>-0.277</v>
      </c>
      <c r="AH241" s="14" t="n">
        <v>11.17</v>
      </c>
      <c r="AI241" s="14" t="n">
        <v>0</v>
      </c>
      <c r="AJ241" s="14" t="n">
        <v>1</v>
      </c>
      <c r="AK241" s="14" t="n">
        <v>15.418</v>
      </c>
      <c r="AL241" s="14" t="n">
        <v>5.766</v>
      </c>
      <c r="AM241" s="14" t="n">
        <v>0.135</v>
      </c>
      <c r="AN241" s="14" t="n">
        <v>15.553</v>
      </c>
      <c r="AO241" s="14" t="n">
        <v>0</v>
      </c>
      <c r="AP241" s="14" t="n">
        <v>1</v>
      </c>
      <c r="AQ241" s="14" t="n">
        <v>0.638</v>
      </c>
      <c r="AR241" s="14" t="n">
        <v>0.116</v>
      </c>
      <c r="AS241" s="14" t="n">
        <v>-0.048</v>
      </c>
      <c r="AT241" s="14" t="n">
        <v>0.679</v>
      </c>
      <c r="AU241" s="14" t="n">
        <v>0</v>
      </c>
      <c r="AV241" s="14" t="n">
        <v>1</v>
      </c>
      <c r="AW241" s="14" t="n">
        <v>0.856</v>
      </c>
      <c r="AX241" s="14" t="n">
        <v>0.157</v>
      </c>
      <c r="AY241" s="14" t="n">
        <v>-0.443</v>
      </c>
      <c r="AZ241" s="14" t="n">
        <v>0.475</v>
      </c>
      <c r="BA241" s="14" t="n">
        <v>0</v>
      </c>
      <c r="BB241" s="14" t="n">
        <v>0</v>
      </c>
      <c r="BC241" s="14" t="n">
        <v>0.708</v>
      </c>
      <c r="BD241" s="14" t="n">
        <v>0.182</v>
      </c>
      <c r="BE241" s="14" t="n">
        <v>-0.615</v>
      </c>
      <c r="BF241" s="14" t="n">
        <v>0.107</v>
      </c>
      <c r="BG241" s="14" t="n">
        <v>0</v>
      </c>
      <c r="BH241" s="14" t="n">
        <v>0</v>
      </c>
      <c r="BI241" s="14" t="n">
        <v>0.5679999999999999</v>
      </c>
      <c r="BJ241" s="14" t="n">
        <v>0.132</v>
      </c>
      <c r="BK241" s="14" t="n">
        <v>-0.044</v>
      </c>
      <c r="BL241" s="14" t="n">
        <v>0.524</v>
      </c>
      <c r="BM241" s="14" t="n">
        <v>0</v>
      </c>
      <c r="BN241" s="14" t="n">
        <v>1</v>
      </c>
      <c r="BO241" s="14" t="n">
        <v>0</v>
      </c>
      <c r="BP241" s="14" t="n">
        <v>0</v>
      </c>
      <c r="BQ241" s="14" t="n">
        <v>0.07099999999999999</v>
      </c>
      <c r="BR241" s="14" t="n">
        <v>0</v>
      </c>
      <c r="BS241" s="14" t="n">
        <v>0.5</v>
      </c>
      <c r="BT241" s="14" t="n">
        <v>0</v>
      </c>
      <c r="BU241" s="14" t="n">
        <v>-0.008999999999999999</v>
      </c>
      <c r="BV241" s="14" t="n">
        <v>0.103</v>
      </c>
      <c r="BW241" s="14" t="n">
        <v>0</v>
      </c>
      <c r="BX241" s="14" t="n">
        <v>0.833</v>
      </c>
      <c r="BY241" s="14" t="n">
        <v>13.646</v>
      </c>
      <c r="BZ241" s="14" t="n">
        <v>0</v>
      </c>
      <c r="CA241" s="14" t="n">
        <v>13.646</v>
      </c>
      <c r="CB241" s="14" t="n">
        <v>0</v>
      </c>
      <c r="CC241" s="14" t="n">
        <v>109.623</v>
      </c>
      <c r="CD241" s="14" t="n">
        <v>34.985</v>
      </c>
      <c r="CE241" s="14" t="n">
        <v>-41.506</v>
      </c>
      <c r="CF241" s="14" t="n">
        <v>78.334</v>
      </c>
      <c r="CG241" s="14" t="n">
        <v>0</v>
      </c>
      <c r="CH241" s="14" t="n">
        <v>0</v>
      </c>
      <c r="CI241" s="14" t="n">
        <v>0</v>
      </c>
      <c r="CJ241" s="14" t="n">
        <v>0</v>
      </c>
      <c r="CK241" s="14" t="n">
        <v>0</v>
      </c>
      <c r="CL241" s="14" t="n">
        <v>0</v>
      </c>
      <c r="CM241" s="14" t="n">
        <v>0</v>
      </c>
      <c r="CN241" s="14" t="n">
        <v>0</v>
      </c>
      <c r="CO241" s="14" t="n">
        <v>0</v>
      </c>
      <c r="CP241" s="14" t="n">
        <v>0</v>
      </c>
      <c r="CQ241" s="14" t="n">
        <v>1.387</v>
      </c>
      <c r="CR241" s="14" t="n">
        <v>1</v>
      </c>
      <c r="CS241" s="14" t="n">
        <v>10.123</v>
      </c>
      <c r="CT241" s="14" t="n">
        <v>4.251</v>
      </c>
      <c r="CU241" s="14" t="n">
        <v>10.123</v>
      </c>
    </row>
    <row r="242">
      <c r="A242" s="109" t="inlineStr">
        <is>
          <t>EGY2019</t>
        </is>
      </c>
      <c r="B242" s="14" t="inlineStr">
        <is>
          <t>EGY</t>
        </is>
      </c>
      <c r="C242" s="14" t="inlineStr">
        <is>
          <t>EGY</t>
        </is>
      </c>
      <c r="D242" s="14" t="inlineStr">
        <is>
          <t>Egypt</t>
        </is>
      </c>
      <c r="E242" s="14" t="n">
        <v>2019</v>
      </c>
      <c r="F242" s="109" t="n">
        <v>0.14</v>
      </c>
      <c r="G242" s="109" t="n">
        <v>3.88</v>
      </c>
      <c r="H242" s="109" t="n">
        <v>1.079</v>
      </c>
      <c r="I242" s="109" t="n">
        <v>0</v>
      </c>
      <c r="J242" s="109" t="n">
        <v>3.88</v>
      </c>
      <c r="K242" s="109" t="n">
        <v>0</v>
      </c>
      <c r="L242" s="109" t="n">
        <v>1</v>
      </c>
      <c r="M242" s="109" t="n">
        <v>5.642</v>
      </c>
      <c r="N242" s="109" t="n">
        <v>3.236</v>
      </c>
      <c r="O242" s="109" t="n">
        <v>0.12</v>
      </c>
      <c r="P242" s="109" t="n">
        <v>5.762</v>
      </c>
      <c r="Q242" s="109" t="n">
        <v>0</v>
      </c>
      <c r="R242" s="109" t="n">
        <v>1</v>
      </c>
      <c r="S242" s="109" t="n">
        <v>9.27</v>
      </c>
      <c r="T242" s="109" t="n">
        <v>6.472</v>
      </c>
      <c r="U242" s="109" t="n">
        <v>-0.078</v>
      </c>
      <c r="V242" s="109" t="n">
        <v>10.4898</v>
      </c>
      <c r="W242" s="109" t="n">
        <v>0.14</v>
      </c>
      <c r="X242" s="109" t="n">
        <v>1</v>
      </c>
      <c r="Y242" s="109" t="n">
        <v>2.816</v>
      </c>
      <c r="Z242" s="109" t="n">
        <v>0.313</v>
      </c>
      <c r="AA242" s="109" t="n">
        <v>0.05</v>
      </c>
      <c r="AB242" s="109" t="n">
        <v>2.866</v>
      </c>
      <c r="AC242" s="109" t="n">
        <v>0</v>
      </c>
      <c r="AD242" s="109" t="n">
        <v>0</v>
      </c>
      <c r="AE242" s="109" t="n">
        <v>4.061</v>
      </c>
      <c r="AF242" s="109" t="n">
        <v>0.664</v>
      </c>
      <c r="AG242" s="109" t="n">
        <v>0.04</v>
      </c>
      <c r="AH242" s="109" t="n">
        <v>4.101</v>
      </c>
      <c r="AI242" s="109" t="n">
        <v>0</v>
      </c>
      <c r="AJ242" s="109" t="n">
        <v>0</v>
      </c>
      <c r="AK242" s="109" t="n">
        <v>6.315</v>
      </c>
      <c r="AL242" s="109" t="n">
        <v>3.173</v>
      </c>
      <c r="AM242" s="109" t="n">
        <v>-2.56</v>
      </c>
      <c r="AN242" s="109" t="n">
        <v>3.759</v>
      </c>
      <c r="AO242" s="109" t="n">
        <v>0</v>
      </c>
      <c r="AP242" s="109" t="n">
        <v>0</v>
      </c>
      <c r="AQ242" s="109" t="n">
        <v>0.5639999999999999</v>
      </c>
      <c r="AR242" s="109" t="n">
        <v>0.108</v>
      </c>
      <c r="AS242" s="109" t="n">
        <v>-0.068</v>
      </c>
      <c r="AT242" s="109" t="n">
        <v>0.496</v>
      </c>
      <c r="AU242" s="109" t="n">
        <v>0</v>
      </c>
      <c r="AV242" s="109" t="n">
        <v>0</v>
      </c>
      <c r="AW242" s="109" t="n">
        <v>0.594</v>
      </c>
      <c r="AX242" s="109" t="n">
        <v>0.108</v>
      </c>
      <c r="AY242" s="109" t="n">
        <v>-0.229</v>
      </c>
      <c r="AZ242" s="109" t="n">
        <v>0.365</v>
      </c>
      <c r="BA242" s="109" t="n">
        <v>0</v>
      </c>
      <c r="BB242" s="109" t="n">
        <v>0</v>
      </c>
      <c r="BC242" s="109" t="n">
        <v>0.402</v>
      </c>
      <c r="BD242" s="109" t="n">
        <v>0.108</v>
      </c>
      <c r="BE242" s="109" t="n">
        <v>-0.257</v>
      </c>
      <c r="BF242" s="109" t="n">
        <v>0.145</v>
      </c>
      <c r="BG242" s="109" t="n">
        <v>0</v>
      </c>
      <c r="BH242" s="109" t="n">
        <v>0</v>
      </c>
      <c r="BI242" s="109" t="n">
        <v>0.484</v>
      </c>
      <c r="BJ242" s="109" t="n">
        <v>0.108</v>
      </c>
      <c r="BK242" s="109" t="n">
        <v>-0.119</v>
      </c>
      <c r="BL242" s="109" t="n">
        <v>0.365</v>
      </c>
      <c r="BM242" s="109" t="n">
        <v>0</v>
      </c>
      <c r="BN242" s="109" t="n">
        <v>0</v>
      </c>
      <c r="BO242" s="109" t="n">
        <v>0.094996592</v>
      </c>
      <c r="BP242" s="109" t="n">
        <v>3.408e-06</v>
      </c>
      <c r="BQ242" s="109" t="n">
        <v>0.095</v>
      </c>
      <c r="BR242" s="109" t="n">
        <v>0</v>
      </c>
      <c r="BS242" s="109" t="n">
        <v>0.833</v>
      </c>
      <c r="BT242" s="109" t="n">
        <v>0.061295777</v>
      </c>
      <c r="BU242" s="109" t="n">
        <v>0.001704223</v>
      </c>
      <c r="BV242" s="109" t="n">
        <v>0.063</v>
      </c>
      <c r="BW242" s="109" t="n">
        <v>0</v>
      </c>
      <c r="BX242" s="109" t="n">
        <v>0</v>
      </c>
      <c r="BY242" s="109" t="n">
        <v>10.87</v>
      </c>
      <c r="BZ242" s="109" t="n">
        <v>0</v>
      </c>
      <c r="CA242" s="109" t="n">
        <v>10.87</v>
      </c>
      <c r="CB242" s="109" t="n">
        <v>0</v>
      </c>
      <c r="CC242" s="109" t="n">
        <v>72.556</v>
      </c>
      <c r="CD242" s="109" t="n">
        <v>7.95</v>
      </c>
      <c r="CE242" s="109" t="n">
        <v>-44.094</v>
      </c>
      <c r="CF242" s="109" t="n">
        <v>32.446</v>
      </c>
      <c r="CG242" s="109" t="n">
        <v>0</v>
      </c>
      <c r="CH242" s="109" t="n">
        <v>0</v>
      </c>
      <c r="CI242" s="109" t="n">
        <v>0</v>
      </c>
      <c r="CJ242" s="109" t="n">
        <v>0</v>
      </c>
      <c r="CK242" s="109" t="n">
        <v>0</v>
      </c>
      <c r="CL242" s="109" t="n">
        <v>0</v>
      </c>
      <c r="CM242" s="109" t="n">
        <v>0</v>
      </c>
      <c r="CN242" s="109" t="n">
        <v>0</v>
      </c>
      <c r="CO242" s="109" t="n">
        <v>0</v>
      </c>
      <c r="CP242" s="109" t="n">
        <v>0</v>
      </c>
      <c r="CQ242" s="109" t="n">
        <v>1.13</v>
      </c>
      <c r="CR242" s="109" t="n">
        <v>1</v>
      </c>
      <c r="CS242" s="109" t="n">
        <v>2</v>
      </c>
      <c r="CT242" s="109" t="n">
        <v>2.797</v>
      </c>
      <c r="CU242" s="109" t="n">
        <v>2</v>
      </c>
    </row>
    <row r="243">
      <c r="A243" s="109" t="inlineStr">
        <is>
          <t>EGY2020</t>
        </is>
      </c>
      <c r="B243" s="14" t="inlineStr">
        <is>
          <t>EGY</t>
        </is>
      </c>
      <c r="C243" s="14" t="inlineStr">
        <is>
          <t>EGY</t>
        </is>
      </c>
      <c r="D243" s="14" t="inlineStr">
        <is>
          <t>Egypt</t>
        </is>
      </c>
      <c r="E243" s="14" t="n">
        <v>2020</v>
      </c>
      <c r="F243" s="109" t="n">
        <v>0.14</v>
      </c>
      <c r="G243" s="109" t="n">
        <v>3.6</v>
      </c>
      <c r="H243" s="109" t="n">
        <v>1.092</v>
      </c>
      <c r="I243" s="109" t="n">
        <v>0</v>
      </c>
      <c r="J243" s="109" t="n">
        <v>3.6</v>
      </c>
      <c r="K243" s="109" t="n">
        <v>0</v>
      </c>
      <c r="L243" s="109" t="n">
        <v>1</v>
      </c>
      <c r="M243" s="109" t="n">
        <v>5.429</v>
      </c>
      <c r="N243" s="109" t="n">
        <v>3.277</v>
      </c>
      <c r="O243" s="109" t="n">
        <v>0.108</v>
      </c>
      <c r="P243" s="109" t="n">
        <v>5.537</v>
      </c>
      <c r="Q243" s="109" t="n">
        <v>0</v>
      </c>
      <c r="R243" s="109" t="n">
        <v>1</v>
      </c>
      <c r="S243" s="109" t="n">
        <v>9.055999999999999</v>
      </c>
      <c r="T243" s="109" t="n">
        <v>6.553</v>
      </c>
      <c r="U243" s="109" t="n">
        <v>-0.059</v>
      </c>
      <c r="V243" s="109" t="n">
        <v>10.26484</v>
      </c>
      <c r="W243" s="109" t="n">
        <v>0.14</v>
      </c>
      <c r="X243" s="109" t="n">
        <v>1</v>
      </c>
      <c r="Y243" s="109" t="n">
        <v>2.842</v>
      </c>
      <c r="Z243" s="109" t="n">
        <v>0.318</v>
      </c>
      <c r="AA243" s="109" t="n">
        <v>0.06</v>
      </c>
      <c r="AB243" s="109" t="n">
        <v>2.902</v>
      </c>
      <c r="AC243" s="109" t="n">
        <v>0</v>
      </c>
      <c r="AD243" s="109" t="n">
        <v>0</v>
      </c>
      <c r="AE243" s="109" t="n">
        <v>4.102</v>
      </c>
      <c r="AF243" s="109" t="n">
        <v>0.68</v>
      </c>
      <c r="AG243" s="109" t="n">
        <v>0.05</v>
      </c>
      <c r="AH243" s="109" t="n">
        <v>4.152</v>
      </c>
      <c r="AI243" s="109" t="n">
        <v>0</v>
      </c>
      <c r="AJ243" s="109" t="n">
        <v>0</v>
      </c>
      <c r="AK243" s="109" t="n">
        <v>6.62</v>
      </c>
      <c r="AL243" s="109" t="n">
        <v>3.327</v>
      </c>
      <c r="AM243" s="109" t="n">
        <v>-1.94</v>
      </c>
      <c r="AN243" s="109" t="n">
        <v>4.684</v>
      </c>
      <c r="AO243" s="109" t="n">
        <v>0</v>
      </c>
      <c r="AP243" s="109" t="n">
        <v>0</v>
      </c>
      <c r="AQ243" s="109" t="n">
        <v>0.494261644</v>
      </c>
      <c r="AR243" s="109" t="n">
        <v>0.109</v>
      </c>
      <c r="AS243" s="109" t="n">
        <v>0.049738356</v>
      </c>
      <c r="AT243" s="109" t="n">
        <v>0.544</v>
      </c>
      <c r="AU243" s="109" t="n">
        <v>0</v>
      </c>
      <c r="AV243" s="109" t="n">
        <v>0</v>
      </c>
      <c r="AW243" s="109" t="n">
        <v>0.414</v>
      </c>
      <c r="AX243" s="109" t="n">
        <v>0.109</v>
      </c>
      <c r="AY243" s="109" t="n">
        <v>0.014</v>
      </c>
      <c r="AZ243" s="109" t="n">
        <v>0.428</v>
      </c>
      <c r="BA243" s="109" t="n">
        <v>0</v>
      </c>
      <c r="BB243" s="109" t="n">
        <v>0</v>
      </c>
      <c r="BC243" s="109" t="n">
        <v>0.299</v>
      </c>
      <c r="BD243" s="109" t="n">
        <v>0.109</v>
      </c>
      <c r="BE243" s="109" t="n">
        <v>-0.123</v>
      </c>
      <c r="BF243" s="109" t="n">
        <v>0.176</v>
      </c>
      <c r="BG243" s="109" t="n">
        <v>0</v>
      </c>
      <c r="BH243" s="109" t="n">
        <v>0</v>
      </c>
      <c r="BI243" s="109" t="n">
        <v>0.38261774</v>
      </c>
      <c r="BJ243" s="109" t="n">
        <v>0.109</v>
      </c>
      <c r="BK243" s="109" t="n">
        <v>0.02238226</v>
      </c>
      <c r="BL243" s="109" t="n">
        <v>0.405</v>
      </c>
      <c r="BM243" s="109" t="n">
        <v>0</v>
      </c>
      <c r="BN243" s="109" t="n">
        <v>0</v>
      </c>
      <c r="BO243" s="109" t="n">
        <v>0.06999627</v>
      </c>
      <c r="BP243" s="109" t="n">
        <v>3.73e-06</v>
      </c>
      <c r="BQ243" s="109" t="n">
        <v>0.07000000000000001</v>
      </c>
      <c r="BR243" s="109" t="n">
        <v>0</v>
      </c>
      <c r="BS243" s="109" t="n">
        <v>0.833</v>
      </c>
      <c r="BT243" s="109" t="n">
        <v>0.07313481199999999</v>
      </c>
      <c r="BU243" s="109" t="n">
        <v>0.001865188</v>
      </c>
      <c r="BV243" s="109" t="n">
        <v>0.075</v>
      </c>
      <c r="BW243" s="109" t="n">
        <v>0</v>
      </c>
      <c r="BX243" s="109" t="n">
        <v>0</v>
      </c>
      <c r="BY243" s="109" t="n">
        <v>11.26</v>
      </c>
      <c r="BZ243" s="109" t="n">
        <v>0</v>
      </c>
      <c r="CA243" s="109" t="n">
        <v>11.26</v>
      </c>
      <c r="CB243" s="109" t="n">
        <v>0</v>
      </c>
      <c r="CC243" s="109" t="n">
        <v>56.32</v>
      </c>
      <c r="CD243" s="109" t="n">
        <v>7.95</v>
      </c>
      <c r="CE243" s="109" t="n">
        <v>-25.465</v>
      </c>
      <c r="CF243" s="109" t="n">
        <v>35.175</v>
      </c>
      <c r="CG243" s="109" t="n">
        <v>0</v>
      </c>
      <c r="CH243" s="109" t="n">
        <v>0</v>
      </c>
      <c r="CI243" s="109" t="n">
        <v>0</v>
      </c>
      <c r="CJ243" s="109" t="n">
        <v>0</v>
      </c>
      <c r="CK243" s="109" t="n">
        <v>0</v>
      </c>
      <c r="CL243" s="109" t="n">
        <v>0</v>
      </c>
      <c r="CM243" s="109" t="n">
        <v>0</v>
      </c>
      <c r="CN243" s="109" t="n">
        <v>0</v>
      </c>
      <c r="CO243" s="109" t="n">
        <v>0</v>
      </c>
      <c r="CP243" s="109" t="n">
        <v>0</v>
      </c>
      <c r="CQ243" s="109" t="n">
        <v>1.144</v>
      </c>
      <c r="CR243" s="109" t="n">
        <v>0.9419999999999999</v>
      </c>
      <c r="CS243" s="109" t="n">
        <v>2</v>
      </c>
      <c r="CT243" s="109" t="n">
        <v>2.503</v>
      </c>
      <c r="CU243" s="109" t="n">
        <v>2</v>
      </c>
    </row>
    <row r="244">
      <c r="A244" s="109" t="inlineStr">
        <is>
          <t>EGY2021</t>
        </is>
      </c>
      <c r="B244" s="14" t="inlineStr">
        <is>
          <t>EGY</t>
        </is>
      </c>
      <c r="C244" s="14" t="inlineStr">
        <is>
          <t>EGY</t>
        </is>
      </c>
      <c r="D244" s="14" t="inlineStr">
        <is>
          <t>Egypt</t>
        </is>
      </c>
      <c r="E244" s="14" t="n">
        <v>2021</v>
      </c>
      <c r="F244" s="14" t="n">
        <v>0.14</v>
      </c>
      <c r="G244" s="109" t="n">
        <v>5.9</v>
      </c>
      <c r="H244" s="14" t="n">
        <v>1.143</v>
      </c>
      <c r="I244" s="14" t="n">
        <v>0</v>
      </c>
      <c r="J244" s="109" t="n">
        <v>5.9</v>
      </c>
      <c r="K244" s="14" t="n">
        <v>0</v>
      </c>
      <c r="L244" s="14" t="n">
        <v>1</v>
      </c>
      <c r="M244" s="14" t="n">
        <v>7.964</v>
      </c>
      <c r="N244" s="14" t="n">
        <v>3.43</v>
      </c>
      <c r="O244" s="14" t="n">
        <v>0.227</v>
      </c>
      <c r="P244" s="14" t="n">
        <v>8.191000000000001</v>
      </c>
      <c r="Q244" s="14" t="n">
        <v>0</v>
      </c>
      <c r="R244" s="14" t="n">
        <v>1</v>
      </c>
      <c r="S244" s="14" t="n">
        <v>11.613</v>
      </c>
      <c r="T244" s="14" t="n">
        <v>6.86</v>
      </c>
      <c r="U244" s="14" t="n">
        <v>0</v>
      </c>
      <c r="V244" s="109" t="n">
        <v>13.23882</v>
      </c>
      <c r="W244" s="14" t="n">
        <v>0.14</v>
      </c>
      <c r="X244" s="14" t="n">
        <v>1</v>
      </c>
      <c r="Y244" s="109" t="n">
        <v>7.852</v>
      </c>
      <c r="Z244" s="109" t="n">
        <v>0.968</v>
      </c>
      <c r="AA244" s="109" t="n">
        <v>-4.991</v>
      </c>
      <c r="AB244" s="14" t="n">
        <v>2.861</v>
      </c>
      <c r="AC244" s="14" t="n">
        <v>0</v>
      </c>
      <c r="AD244" s="14" t="n">
        <v>0</v>
      </c>
      <c r="AE244" s="109" t="n">
        <v>8.459</v>
      </c>
      <c r="AF244" s="109" t="n">
        <v>1.824</v>
      </c>
      <c r="AG244" s="109" t="n">
        <v>-4.113</v>
      </c>
      <c r="AH244" s="14" t="n">
        <v>4.347</v>
      </c>
      <c r="AI244" s="14" t="n">
        <v>0</v>
      </c>
      <c r="AJ244" s="14" t="n">
        <v>0</v>
      </c>
      <c r="AK244" s="109" t="n">
        <v>12.104</v>
      </c>
      <c r="AL244" s="109" t="n">
        <v>6.083</v>
      </c>
      <c r="AM244" s="109" t="n">
        <v>-7.36</v>
      </c>
      <c r="AN244" s="14" t="n">
        <v>4.747</v>
      </c>
      <c r="AO244" s="14" t="n">
        <v>0</v>
      </c>
      <c r="AP244" s="14" t="n">
        <v>0</v>
      </c>
      <c r="AQ244" s="14" t="n">
        <v>0.621</v>
      </c>
      <c r="AR244" s="14" t="n">
        <v>0.114</v>
      </c>
      <c r="AS244" s="109" t="n">
        <v>-0.056</v>
      </c>
      <c r="AT244" s="14" t="n">
        <v>0.5649999999999999</v>
      </c>
      <c r="AU244" s="14" t="n">
        <v>0</v>
      </c>
      <c r="AV244" s="14" t="n">
        <v>0</v>
      </c>
      <c r="AW244" s="14" t="n">
        <v>0.593</v>
      </c>
      <c r="AX244" s="14" t="n">
        <v>0.114</v>
      </c>
      <c r="AY244" s="109" t="n">
        <v>-0.162</v>
      </c>
      <c r="AZ244" s="14" t="n">
        <v>0.431</v>
      </c>
      <c r="BA244" s="14" t="n">
        <v>0</v>
      </c>
      <c r="BB244" s="14" t="n">
        <v>0</v>
      </c>
      <c r="BC244" s="109" t="n">
        <v>0.441</v>
      </c>
      <c r="BD244" s="14" t="n">
        <v>0.114</v>
      </c>
      <c r="BE244" s="109" t="n">
        <v>-0.263</v>
      </c>
      <c r="BF244" s="109" t="n">
        <v>0.178</v>
      </c>
      <c r="BG244" s="14" t="n">
        <v>0</v>
      </c>
      <c r="BH244" s="14" t="n">
        <v>0</v>
      </c>
      <c r="BI244" s="14" t="n">
        <v>0.5600000000000001</v>
      </c>
      <c r="BJ244" s="14" t="n">
        <v>0.114</v>
      </c>
      <c r="BK244" s="109" t="n">
        <v>-0.129</v>
      </c>
      <c r="BL244" s="14" t="n">
        <v>0.431</v>
      </c>
      <c r="BM244" s="14" t="n">
        <v>0</v>
      </c>
      <c r="BN244" s="14" t="n">
        <v>0</v>
      </c>
      <c r="BO244" s="109" t="n">
        <v>0.069996188</v>
      </c>
      <c r="BP244" s="109" t="n">
        <v>3.812e-06</v>
      </c>
      <c r="BQ244" s="14" t="n">
        <v>0.07000000000000001</v>
      </c>
      <c r="BR244" s="14" t="n">
        <v>0</v>
      </c>
      <c r="BS244" s="14" t="n">
        <v>0.833</v>
      </c>
      <c r="BT244" s="109" t="n">
        <v>0.07309412899999999</v>
      </c>
      <c r="BU244" s="109" t="n">
        <v>0.001905871</v>
      </c>
      <c r="BV244" s="14" t="n">
        <v>0.075</v>
      </c>
      <c r="BW244" s="14" t="n">
        <v>0</v>
      </c>
      <c r="BX244" s="109" t="n">
        <v>0</v>
      </c>
      <c r="BY244" s="14" t="n">
        <v>11.787</v>
      </c>
      <c r="BZ244" s="14" t="n">
        <v>0</v>
      </c>
      <c r="CA244" s="14" t="n">
        <v>11.787</v>
      </c>
      <c r="CB244" s="14" t="n">
        <v>0</v>
      </c>
      <c r="CC244" s="14" t="n">
        <v>81.69499999999999</v>
      </c>
      <c r="CD244" s="14" t="n">
        <v>7.95</v>
      </c>
      <c r="CE244" s="14" t="n">
        <v>-51.738</v>
      </c>
      <c r="CF244" s="14" t="n">
        <v>34.152</v>
      </c>
      <c r="CG244" s="14" t="n">
        <v>0</v>
      </c>
      <c r="CH244" s="14" t="n">
        <v>0</v>
      </c>
      <c r="CI244" s="14" t="n">
        <v>0</v>
      </c>
      <c r="CJ244" s="14" t="n">
        <v>0</v>
      </c>
      <c r="CK244" s="14" t="n">
        <v>0</v>
      </c>
      <c r="CL244" s="14" t="n">
        <v>0</v>
      </c>
      <c r="CM244" s="14" t="n">
        <v>0</v>
      </c>
      <c r="CN244" s="14" t="n">
        <v>0</v>
      </c>
      <c r="CO244" s="14" t="n">
        <v>0</v>
      </c>
      <c r="CP244" s="14" t="n">
        <v>0</v>
      </c>
      <c r="CQ244" s="14" t="n">
        <v>1.198</v>
      </c>
      <c r="CR244" s="14" t="n">
        <v>0.9370000000000001</v>
      </c>
      <c r="CS244" s="109" t="n">
        <v>6.786</v>
      </c>
      <c r="CT244" s="14" t="n">
        <v>4.753</v>
      </c>
      <c r="CU244" s="14" t="n">
        <v>14.129</v>
      </c>
    </row>
    <row r="245">
      <c r="A245" s="109" t="inlineStr">
        <is>
          <t>EGY2022</t>
        </is>
      </c>
      <c r="B245" s="14" t="inlineStr">
        <is>
          <t>EGY</t>
        </is>
      </c>
      <c r="C245" s="14" t="inlineStr">
        <is>
          <t>EGY</t>
        </is>
      </c>
      <c r="D245" s="14" t="inlineStr">
        <is>
          <t>Egypt</t>
        </is>
      </c>
      <c r="E245" s="14" t="n">
        <v>2022</v>
      </c>
      <c r="F245" s="14" t="n">
        <v>0.14</v>
      </c>
      <c r="G245" s="109" t="n">
        <v>11.7</v>
      </c>
      <c r="H245" s="14" t="n">
        <v>1.235</v>
      </c>
      <c r="I245" s="14" t="n">
        <v>0</v>
      </c>
      <c r="J245" s="109" t="n">
        <v>11.7</v>
      </c>
      <c r="K245" s="14" t="n">
        <v>0</v>
      </c>
      <c r="L245" s="14" t="n">
        <v>1</v>
      </c>
      <c r="M245" s="109" t="n">
        <v>9.782</v>
      </c>
      <c r="N245" s="14" t="n">
        <v>3.704</v>
      </c>
      <c r="O245" s="14" t="n">
        <v>0.304</v>
      </c>
      <c r="P245" s="109" t="n">
        <v>10.086</v>
      </c>
      <c r="Q245" s="14" t="n">
        <v>0</v>
      </c>
      <c r="R245" s="14" t="n">
        <v>1</v>
      </c>
      <c r="S245" s="14" t="n">
        <v>17.893</v>
      </c>
      <c r="T245" s="14" t="n">
        <v>7.408</v>
      </c>
      <c r="U245" s="14" t="n">
        <v>0.185</v>
      </c>
      <c r="V245" s="109" t="n">
        <v>20.58302</v>
      </c>
      <c r="W245" s="14" t="n">
        <v>0.14</v>
      </c>
      <c r="X245" s="14" t="n">
        <v>1</v>
      </c>
      <c r="Y245" s="109" t="n">
        <v>10.105</v>
      </c>
      <c r="Z245" s="109" t="n">
        <v>1.246</v>
      </c>
      <c r="AA245" s="109" t="n">
        <v>-7.656</v>
      </c>
      <c r="AB245" s="14" t="n">
        <v>2.449</v>
      </c>
      <c r="AC245" s="14" t="n">
        <v>0</v>
      </c>
      <c r="AD245" s="14" t="n">
        <v>0</v>
      </c>
      <c r="AE245" s="109" t="n">
        <v>10.785</v>
      </c>
      <c r="AF245" s="109" t="n">
        <v>2.325</v>
      </c>
      <c r="AG245" s="109" t="n">
        <v>-6.091</v>
      </c>
      <c r="AH245" s="14" t="n">
        <v>4.694</v>
      </c>
      <c r="AI245" s="14" t="n">
        <v>0</v>
      </c>
      <c r="AJ245" s="14" t="n">
        <v>0</v>
      </c>
      <c r="AK245" s="109" t="n">
        <v>14.863</v>
      </c>
      <c r="AL245" s="109" t="n">
        <v>7.469</v>
      </c>
      <c r="AM245" s="109" t="n">
        <v>-10.79</v>
      </c>
      <c r="AN245" s="14" t="n">
        <v>4.076</v>
      </c>
      <c r="AO245" s="14" t="n">
        <v>0</v>
      </c>
      <c r="AP245" s="14" t="n">
        <v>0</v>
      </c>
      <c r="AQ245" s="14" t="n">
        <v>0.847</v>
      </c>
      <c r="AR245" s="14" t="n">
        <v>0.123</v>
      </c>
      <c r="AS245" s="109" t="n">
        <v>-0.319</v>
      </c>
      <c r="AT245" s="14" t="n">
        <v>0.528</v>
      </c>
      <c r="AU245" s="14" t="n">
        <v>0</v>
      </c>
      <c r="AV245" s="14" t="n">
        <v>0</v>
      </c>
      <c r="AW245" s="14" t="n">
        <v>0.947</v>
      </c>
      <c r="AX245" s="14" t="n">
        <v>0.123</v>
      </c>
      <c r="AY245" s="109" t="n">
        <v>-0.583</v>
      </c>
      <c r="AZ245" s="14" t="n">
        <v>0.364</v>
      </c>
      <c r="BA245" s="14" t="n">
        <v>0</v>
      </c>
      <c r="BB245" s="14" t="n">
        <v>0</v>
      </c>
      <c r="BC245" s="109" t="n">
        <v>0.59</v>
      </c>
      <c r="BD245" s="14" t="n">
        <v>0.123</v>
      </c>
      <c r="BE245" s="109" t="n">
        <v>-0.436</v>
      </c>
      <c r="BF245" s="14" t="n">
        <v>0.154</v>
      </c>
      <c r="BG245" s="14" t="n">
        <v>0</v>
      </c>
      <c r="BH245" s="14" t="n">
        <v>0</v>
      </c>
      <c r="BI245" s="14" t="n">
        <v>0.6889999999999999</v>
      </c>
      <c r="BJ245" s="14" t="n">
        <v>0.123</v>
      </c>
      <c r="BK245" s="109" t="n">
        <v>-0.325</v>
      </c>
      <c r="BL245" s="14" t="n">
        <v>0.364</v>
      </c>
      <c r="BM245" s="14" t="n">
        <v>0</v>
      </c>
      <c r="BN245" s="14" t="n">
        <v>0</v>
      </c>
      <c r="BO245" s="109" t="n">
        <v>0.055996364</v>
      </c>
      <c r="BP245" s="109" t="n">
        <v>3.636e-06</v>
      </c>
      <c r="BQ245" s="14" t="n">
        <v>0.056</v>
      </c>
      <c r="BR245" s="14" t="n">
        <v>0</v>
      </c>
      <c r="BS245" s="14" t="n">
        <v>0.833</v>
      </c>
      <c r="BT245" s="109" t="n">
        <v>0.052182094</v>
      </c>
      <c r="BU245" s="109" t="n">
        <v>0.001817906</v>
      </c>
      <c r="BV245" s="14" t="n">
        <v>0.054</v>
      </c>
      <c r="BW245" s="14" t="n">
        <v>0</v>
      </c>
      <c r="BX245" s="109" t="n">
        <v>0</v>
      </c>
      <c r="BY245" s="14" t="n">
        <v>12.729</v>
      </c>
      <c r="BZ245" s="14" t="n">
        <v>0</v>
      </c>
      <c r="CA245" s="14" t="n">
        <v>12.729</v>
      </c>
      <c r="CB245" s="14" t="n">
        <v>0</v>
      </c>
      <c r="CC245" s="14" t="n">
        <v>102.477</v>
      </c>
      <c r="CD245" s="14" t="n">
        <v>7.95</v>
      </c>
      <c r="CE245" s="14" t="n">
        <v>-73.404</v>
      </c>
      <c r="CF245" s="14" t="n">
        <v>33.143</v>
      </c>
      <c r="CG245" s="14" t="n">
        <v>0</v>
      </c>
      <c r="CH245" s="14" t="n">
        <v>0</v>
      </c>
      <c r="CI245" s="14" t="n">
        <v>0</v>
      </c>
      <c r="CJ245" s="14" t="n">
        <v>0</v>
      </c>
      <c r="CK245" s="14" t="n">
        <v>0</v>
      </c>
      <c r="CL245" s="14" t="n">
        <v>0</v>
      </c>
      <c r="CM245" s="14" t="n">
        <v>0</v>
      </c>
      <c r="CN245" s="14" t="n">
        <v>0</v>
      </c>
      <c r="CO245" s="14" t="n">
        <v>0</v>
      </c>
      <c r="CP245" s="14" t="n">
        <v>0</v>
      </c>
      <c r="CQ245" s="14" t="n">
        <v>1.294</v>
      </c>
      <c r="CR245" s="14" t="n">
        <v>0.899</v>
      </c>
      <c r="CS245" s="109" t="n">
        <v>7.328</v>
      </c>
      <c r="CT245" s="14" t="n">
        <v>10.485</v>
      </c>
      <c r="CU245" s="14" t="n">
        <v>28.059</v>
      </c>
    </row>
    <row r="246">
      <c r="A246" s="109" t="inlineStr">
        <is>
          <t>EGY2023</t>
        </is>
      </c>
      <c r="B246" s="14" t="inlineStr">
        <is>
          <t>EGY</t>
        </is>
      </c>
      <c r="C246" s="14" t="inlineStr">
        <is>
          <t>EGY</t>
        </is>
      </c>
      <c r="D246" s="14" t="inlineStr">
        <is>
          <t>Egypt</t>
        </is>
      </c>
      <c r="E246" s="14" t="n">
        <v>2023</v>
      </c>
      <c r="F246" s="14" t="n">
        <v>0.14</v>
      </c>
      <c r="G246" s="109" t="n">
        <v>6.1</v>
      </c>
      <c r="H246" s="14" t="n">
        <v>1.286</v>
      </c>
      <c r="I246" s="14" t="n">
        <v>0</v>
      </c>
      <c r="J246" s="109" t="n">
        <v>6.1</v>
      </c>
      <c r="K246" s="14" t="n">
        <v>0</v>
      </c>
      <c r="L246" s="14" t="n">
        <v>1</v>
      </c>
      <c r="M246" s="109" t="n">
        <v>7.887</v>
      </c>
      <c r="N246" s="14" t="n">
        <v>3.857</v>
      </c>
      <c r="O246" s="14" t="n">
        <v>0.201</v>
      </c>
      <c r="P246" s="14" t="n">
        <v>8.087999999999999</v>
      </c>
      <c r="Q246" s="14" t="n">
        <v>0</v>
      </c>
      <c r="R246" s="14" t="n">
        <v>1</v>
      </c>
      <c r="S246" s="14" t="n">
        <v>12.575</v>
      </c>
      <c r="T246" s="14" t="n">
        <v>7.714</v>
      </c>
      <c r="U246" s="14" t="n">
        <v>0.195</v>
      </c>
      <c r="V246" s="109" t="n">
        <v>14.5305</v>
      </c>
      <c r="W246" s="14" t="n">
        <v>0.14</v>
      </c>
      <c r="X246" s="14" t="n">
        <v>1</v>
      </c>
      <c r="Y246" s="109" t="n">
        <v>8.6</v>
      </c>
      <c r="Z246" s="109" t="n">
        <v>1.06</v>
      </c>
      <c r="AA246" s="109" t="n">
        <v>-6.206</v>
      </c>
      <c r="AB246" s="14" t="n">
        <v>2.394</v>
      </c>
      <c r="AC246" s="14" t="n">
        <v>0</v>
      </c>
      <c r="AD246" s="14" t="n">
        <v>0</v>
      </c>
      <c r="AE246" s="109" t="n">
        <v>9.335000000000001</v>
      </c>
      <c r="AF246" s="109" t="n">
        <v>2.013</v>
      </c>
      <c r="AG246" s="109" t="n">
        <v>-4.746</v>
      </c>
      <c r="AH246" s="14" t="n">
        <v>4.589</v>
      </c>
      <c r="AI246" s="14" t="n">
        <v>0</v>
      </c>
      <c r="AJ246" s="14" t="n">
        <v>0</v>
      </c>
      <c r="AK246" s="109" t="n">
        <v>13.746</v>
      </c>
      <c r="AL246" s="109" t="n">
        <v>6.908</v>
      </c>
      <c r="AM246" s="109" t="n">
        <v>-10.81</v>
      </c>
      <c r="AN246" s="14" t="n">
        <v>2.939</v>
      </c>
      <c r="AO246" s="14" t="n">
        <v>0</v>
      </c>
      <c r="AP246" s="14" t="n">
        <v>0</v>
      </c>
      <c r="AQ246" s="14" t="n">
        <v>0.749</v>
      </c>
      <c r="AR246" s="14" t="n">
        <v>0.129</v>
      </c>
      <c r="AS246" s="109" t="n">
        <v>-0.373</v>
      </c>
      <c r="AT246" s="14" t="n">
        <v>0.376</v>
      </c>
      <c r="AU246" s="14" t="n">
        <v>0</v>
      </c>
      <c r="AV246" s="14" t="n">
        <v>0</v>
      </c>
      <c r="AW246" s="14" t="n">
        <v>0.783</v>
      </c>
      <c r="AX246" s="14" t="n">
        <v>0.129</v>
      </c>
      <c r="AY246" s="109" t="n">
        <v>-0.526</v>
      </c>
      <c r="AZ246" s="14" t="n">
        <v>0.257</v>
      </c>
      <c r="BA246" s="14" t="n">
        <v>0</v>
      </c>
      <c r="BB246" s="14" t="n">
        <v>0</v>
      </c>
      <c r="BC246" s="109" t="n">
        <v>0.529</v>
      </c>
      <c r="BD246" s="14" t="n">
        <v>0.129</v>
      </c>
      <c r="BE246" s="109" t="n">
        <v>-0.436</v>
      </c>
      <c r="BF246" s="14" t="n">
        <v>0.093</v>
      </c>
      <c r="BG246" s="14" t="n">
        <v>0</v>
      </c>
      <c r="BH246" s="14" t="n">
        <v>0</v>
      </c>
      <c r="BI246" s="14" t="n">
        <v>0.64</v>
      </c>
      <c r="BJ246" s="14" t="n">
        <v>0.129</v>
      </c>
      <c r="BK246" s="109" t="n">
        <v>-0.403</v>
      </c>
      <c r="BL246" s="14" t="n">
        <v>0.237</v>
      </c>
      <c r="BM246" s="14" t="n">
        <v>0</v>
      </c>
      <c r="BN246" s="14" t="n">
        <v>0</v>
      </c>
      <c r="BO246" s="109" t="n">
        <v>0.056997675</v>
      </c>
      <c r="BP246" s="109" t="n">
        <v>2.325e-06</v>
      </c>
      <c r="BQ246" s="14" t="n">
        <v>0.057</v>
      </c>
      <c r="BR246" s="14" t="n">
        <v>0</v>
      </c>
      <c r="BS246" s="14" t="n">
        <v>0.833</v>
      </c>
      <c r="BT246" s="109" t="n">
        <v>0.046837306</v>
      </c>
      <c r="BU246" s="109" t="n">
        <v>0.001162694</v>
      </c>
      <c r="BV246" s="14" t="n">
        <v>0.048</v>
      </c>
      <c r="BW246" s="14" t="n">
        <v>0</v>
      </c>
      <c r="BX246" s="109" t="n">
        <v>0</v>
      </c>
      <c r="BY246" s="109" t="n">
        <v>13.255</v>
      </c>
      <c r="BZ246" s="14" t="n">
        <v>0</v>
      </c>
      <c r="CA246" s="109" t="n">
        <v>13.255</v>
      </c>
      <c r="CB246" s="14" t="n">
        <v>0</v>
      </c>
      <c r="CC246" s="14" t="n">
        <v>87.07899999999999</v>
      </c>
      <c r="CD246" s="14" t="n">
        <v>7.95</v>
      </c>
      <c r="CE246" s="14" t="n">
        <v>-62.989</v>
      </c>
      <c r="CF246" s="14" t="n">
        <v>27.463</v>
      </c>
      <c r="CG246" s="14" t="n">
        <v>0</v>
      </c>
      <c r="CH246" s="14" t="n">
        <v>0</v>
      </c>
      <c r="CI246" s="14" t="n">
        <v>0</v>
      </c>
      <c r="CJ246" s="14" t="n">
        <v>0</v>
      </c>
      <c r="CK246" s="14" t="n">
        <v>0</v>
      </c>
      <c r="CL246" s="14" t="n">
        <v>0</v>
      </c>
      <c r="CM246" s="14" t="n">
        <v>0</v>
      </c>
      <c r="CN246" s="14" t="n">
        <v>0</v>
      </c>
      <c r="CO246" s="14" t="n">
        <v>0</v>
      </c>
      <c r="CP246" s="14" t="n">
        <v>0</v>
      </c>
      <c r="CQ246" s="109" t="n">
        <v>1.347</v>
      </c>
      <c r="CR246" s="14" t="n">
        <v>0.856</v>
      </c>
      <c r="CS246" s="109" t="n">
        <v>7.63</v>
      </c>
      <c r="CT246" s="14" t="n">
        <v>4.861</v>
      </c>
      <c r="CU246" s="14" t="n">
        <v>9.260999999999999</v>
      </c>
    </row>
    <row r="247">
      <c r="A247" s="109" t="inlineStr">
        <is>
          <t>EGY2024</t>
        </is>
      </c>
      <c r="B247" s="14" t="inlineStr">
        <is>
          <t>EGY</t>
        </is>
      </c>
      <c r="C247" s="14" t="inlineStr">
        <is>
          <t>EGY</t>
        </is>
      </c>
      <c r="D247" s="14" t="inlineStr">
        <is>
          <t>Egypt</t>
        </is>
      </c>
      <c r="E247" s="14" t="n">
        <v>2024</v>
      </c>
      <c r="F247" s="14" t="n">
        <v>0.14</v>
      </c>
      <c r="G247" s="14" t="n">
        <v>5.575</v>
      </c>
      <c r="H247" s="14" t="n">
        <v>1.324</v>
      </c>
      <c r="I247" s="14" t="n">
        <v>0</v>
      </c>
      <c r="J247" s="14" t="n">
        <v>5.575</v>
      </c>
      <c r="K247" s="14" t="n">
        <v>0</v>
      </c>
      <c r="L247" s="14" t="n">
        <v>1</v>
      </c>
      <c r="M247" s="109" t="n">
        <v>7.145</v>
      </c>
      <c r="N247" s="109" t="n">
        <v>3.972</v>
      </c>
      <c r="O247" s="109" t="n">
        <v>0.159</v>
      </c>
      <c r="P247" s="109" t="n">
        <v>7.304</v>
      </c>
      <c r="Q247" s="14" t="n">
        <v>0</v>
      </c>
      <c r="R247" s="14" t="n">
        <v>1</v>
      </c>
      <c r="S247" s="109" t="n">
        <v>12.195</v>
      </c>
      <c r="T247" s="109" t="n">
        <v>7.944</v>
      </c>
      <c r="U247" s="14" t="n">
        <v>0.233</v>
      </c>
      <c r="V247" s="109" t="n">
        <v>13.903</v>
      </c>
      <c r="W247" s="14" t="n">
        <v>0.14</v>
      </c>
      <c r="X247" s="14" t="n">
        <v>1</v>
      </c>
      <c r="Y247" s="109" t="n">
        <v>8.266999999999999</v>
      </c>
      <c r="Z247" s="109" t="n">
        <v>1.019</v>
      </c>
      <c r="AA247" s="109" t="n">
        <v>-5.764</v>
      </c>
      <c r="AB247" s="14" t="n">
        <v>2.503</v>
      </c>
      <c r="AC247" s="14" t="n">
        <v>0</v>
      </c>
      <c r="AD247" s="14" t="n">
        <v>0</v>
      </c>
      <c r="AE247" s="109" t="n">
        <v>9.023999999999999</v>
      </c>
      <c r="AF247" s="109" t="n">
        <v>1.946</v>
      </c>
      <c r="AG247" s="109" t="n">
        <v>-4.227</v>
      </c>
      <c r="AH247" s="14" t="n">
        <v>4.797</v>
      </c>
      <c r="AI247" s="14" t="n">
        <v>0</v>
      </c>
      <c r="AJ247" s="14" t="n">
        <v>0</v>
      </c>
      <c r="AK247" s="109" t="n">
        <v>13.567</v>
      </c>
      <c r="AL247" s="109" t="n">
        <v>6.818</v>
      </c>
      <c r="AM247" s="109" t="n">
        <v>-11.37</v>
      </c>
      <c r="AN247" s="14" t="n">
        <v>2.198</v>
      </c>
      <c r="AO247" s="14" t="n">
        <v>0</v>
      </c>
      <c r="AP247" s="14" t="n">
        <v>0</v>
      </c>
      <c r="AQ247" s="14" t="n">
        <v>0.72</v>
      </c>
      <c r="AR247" s="14" t="n">
        <v>0.132</v>
      </c>
      <c r="AS247" s="109" t="n">
        <v>-0.404</v>
      </c>
      <c r="AT247" s="14" t="n">
        <v>0.316</v>
      </c>
      <c r="AU247" s="14" t="n">
        <v>0</v>
      </c>
      <c r="AV247" s="14" t="n">
        <v>0</v>
      </c>
      <c r="AW247" s="14" t="n">
        <v>0.734</v>
      </c>
      <c r="AX247" s="14" t="n">
        <v>0.132</v>
      </c>
      <c r="AY247" s="109" t="n">
        <v>-0.499</v>
      </c>
      <c r="AZ247" s="14" t="n">
        <v>0.235</v>
      </c>
      <c r="BA247" s="14" t="n">
        <v>0</v>
      </c>
      <c r="BB247" s="14" t="n">
        <v>0</v>
      </c>
      <c r="BC247" s="109" t="n">
        <v>0.512</v>
      </c>
      <c r="BD247" s="14" t="n">
        <v>0.132</v>
      </c>
      <c r="BE247" s="109" t="n">
        <v>-0.429</v>
      </c>
      <c r="BF247" s="109" t="n">
        <v>0.083</v>
      </c>
      <c r="BG247" s="14" t="n">
        <v>0</v>
      </c>
      <c r="BH247" s="14" t="n">
        <v>0</v>
      </c>
      <c r="BI247" s="14" t="n">
        <v>0.652</v>
      </c>
      <c r="BJ247" s="14" t="n">
        <v>0.132</v>
      </c>
      <c r="BK247" s="109" t="n">
        <v>-0.422</v>
      </c>
      <c r="BL247" s="14" t="n">
        <v>0.23</v>
      </c>
      <c r="BM247" s="14" t="n">
        <v>0</v>
      </c>
      <c r="BN247" s="14" t="n">
        <v>0</v>
      </c>
      <c r="BO247" s="14" t="n">
        <v>0</v>
      </c>
      <c r="BP247" s="14" t="n">
        <v>-0.052</v>
      </c>
      <c r="BQ247" s="14" t="n">
        <v>0.049</v>
      </c>
      <c r="BR247" s="14" t="n">
        <v>0</v>
      </c>
      <c r="BS247" s="14" t="n">
        <v>0.833</v>
      </c>
      <c r="BT247" s="14" t="n">
        <v>0</v>
      </c>
      <c r="BU247" s="14" t="n">
        <v>-0.052</v>
      </c>
      <c r="BV247" s="14" t="n">
        <v>0.043</v>
      </c>
      <c r="BW247" s="14" t="n">
        <v>0</v>
      </c>
      <c r="BX247" s="109" t="n">
        <v>0</v>
      </c>
      <c r="BY247" s="109" t="n">
        <v>13.651</v>
      </c>
      <c r="BZ247" s="14" t="n">
        <v>0</v>
      </c>
      <c r="CA247" s="109" t="n">
        <v>13.651</v>
      </c>
      <c r="CB247" s="14" t="n">
        <v>0</v>
      </c>
      <c r="CC247" s="14" t="n">
        <v>86.38500000000001</v>
      </c>
      <c r="CD247" s="14" t="n">
        <v>7.95</v>
      </c>
      <c r="CE247" s="14" t="n">
        <v>-64.53</v>
      </c>
      <c r="CF247" s="14" t="n">
        <v>24.916</v>
      </c>
      <c r="CG247" s="14" t="n">
        <v>0</v>
      </c>
      <c r="CH247" s="14" t="n">
        <v>0</v>
      </c>
      <c r="CI247" s="14" t="n">
        <v>0</v>
      </c>
      <c r="CJ247" s="14" t="n">
        <v>0</v>
      </c>
      <c r="CK247" s="14" t="n">
        <v>0</v>
      </c>
      <c r="CL247" s="14" t="n">
        <v>0</v>
      </c>
      <c r="CM247" s="14" t="n">
        <v>0</v>
      </c>
      <c r="CN247" s="14" t="n">
        <v>0</v>
      </c>
      <c r="CO247" s="14" t="n">
        <v>0</v>
      </c>
      <c r="CP247" s="14" t="n">
        <v>0</v>
      </c>
      <c r="CQ247" s="14" t="n">
        <v>1.387</v>
      </c>
      <c r="CR247" s="14" t="n">
        <v>0.856</v>
      </c>
      <c r="CS247" s="109" t="n">
        <v>7.51</v>
      </c>
      <c r="CT247" s="14" t="n">
        <v>4.251</v>
      </c>
      <c r="CU247" s="109" t="n">
        <v>7.51</v>
      </c>
    </row>
    <row r="248">
      <c r="A248" s="14" t="inlineStr">
        <is>
          <t>SLV2021</t>
        </is>
      </c>
      <c r="B248" s="14" t="inlineStr">
        <is>
          <t>SLV</t>
        </is>
      </c>
      <c r="C248" s="14" t="inlineStr">
        <is>
          <t>SLV</t>
        </is>
      </c>
      <c r="D248" s="14" t="inlineStr">
        <is>
          <t>El Salvador</t>
        </is>
      </c>
      <c r="E248" s="14" t="n">
        <v>2021</v>
      </c>
      <c r="F248" s="14" t="n">
        <v>0.13</v>
      </c>
      <c r="G248" s="14" t="n">
        <v>5.897</v>
      </c>
      <c r="H248" s="14" t="n">
        <v>1.143</v>
      </c>
      <c r="I248" s="14" t="n">
        <v>0.238</v>
      </c>
      <c r="J248" s="14" t="n">
        <v>6.134</v>
      </c>
      <c r="K248" s="14" t="n">
        <v>0</v>
      </c>
      <c r="L248" s="14" t="n">
        <v>1</v>
      </c>
      <c r="M248" s="14" t="n">
        <v>7.964</v>
      </c>
      <c r="N248" s="14" t="n">
        <v>3.43</v>
      </c>
      <c r="O248" s="14" t="n">
        <v>0</v>
      </c>
      <c r="P248" s="14" t="n">
        <v>7.964</v>
      </c>
      <c r="Q248" s="14" t="n">
        <v>0</v>
      </c>
      <c r="R248" s="14" t="n">
        <v>1</v>
      </c>
      <c r="S248" s="14" t="n">
        <v>11.613</v>
      </c>
      <c r="T248" s="14" t="n">
        <v>6.86</v>
      </c>
      <c r="U248" s="14" t="n">
        <v>0.238</v>
      </c>
      <c r="V248" s="14" t="n">
        <v>13.392</v>
      </c>
      <c r="W248" s="14" t="n">
        <v>0.13</v>
      </c>
      <c r="X248" s="14" t="n">
        <v>1</v>
      </c>
      <c r="Y248" s="14" t="n">
        <v>17.127</v>
      </c>
      <c r="Z248" s="14" t="n">
        <v>2.304</v>
      </c>
      <c r="AA248" s="14" t="n">
        <v>0</v>
      </c>
      <c r="AB248" s="14" t="n">
        <v>17.127</v>
      </c>
      <c r="AC248" s="14" t="n">
        <v>0</v>
      </c>
      <c r="AD248" s="14" t="n">
        <v>1</v>
      </c>
      <c r="AE248" s="14" t="n">
        <v>18.27</v>
      </c>
      <c r="AF248" s="14" t="n">
        <v>4.278</v>
      </c>
      <c r="AG248" s="14" t="n">
        <v>0</v>
      </c>
      <c r="AH248" s="14" t="n">
        <v>18.27</v>
      </c>
      <c r="AI248" s="14" t="n">
        <v>0</v>
      </c>
      <c r="AJ248" s="14" t="n">
        <v>1</v>
      </c>
      <c r="AK248" s="14" t="n">
        <v>25.13</v>
      </c>
      <c r="AL248" s="14" t="n">
        <v>13.503</v>
      </c>
      <c r="AM248" s="14" t="n">
        <v>0</v>
      </c>
      <c r="AN248" s="14" t="n">
        <v>28.397</v>
      </c>
      <c r="AO248" s="14" t="n">
        <v>0.13</v>
      </c>
      <c r="AP248" s="14" t="n">
        <v>1</v>
      </c>
      <c r="AQ248" s="14" t="n">
        <v>0.649</v>
      </c>
      <c r="AR248" s="14" t="n">
        <v>0.114</v>
      </c>
      <c r="AS248" s="14" t="n">
        <v>0.162</v>
      </c>
      <c r="AT248" s="14" t="n">
        <v>0.916</v>
      </c>
      <c r="AU248" s="14" t="n">
        <v>0.13</v>
      </c>
      <c r="AV248" s="14" t="n">
        <v>1</v>
      </c>
      <c r="AW248" s="14" t="n">
        <v>0.577</v>
      </c>
      <c r="AX248" s="14" t="n">
        <v>0.114</v>
      </c>
      <c r="AY248" s="14" t="n">
        <v>0.142</v>
      </c>
      <c r="AZ248" s="14" t="n">
        <v>0.8120000000000001</v>
      </c>
      <c r="BA248" s="14" t="n">
        <v>0.13</v>
      </c>
      <c r="BB248" s="14" t="n">
        <v>1</v>
      </c>
      <c r="BC248" s="14" t="n">
        <v>0.458</v>
      </c>
      <c r="BD248" s="14" t="n">
        <v>0.114</v>
      </c>
      <c r="BE248" s="14" t="n">
        <v>-0.196</v>
      </c>
      <c r="BF248" s="14" t="n">
        <v>0.296</v>
      </c>
      <c r="BG248" s="14" t="n">
        <v>0</v>
      </c>
      <c r="BH248" s="14" t="n">
        <v>0</v>
      </c>
      <c r="BI248" s="14" t="n">
        <v>0.491</v>
      </c>
      <c r="BJ248" s="14" t="n">
        <v>0.114</v>
      </c>
      <c r="BK248" s="14" t="n">
        <v>0</v>
      </c>
      <c r="BL248" s="14" t="n">
        <v>0.555</v>
      </c>
      <c r="BM248" s="14" t="n">
        <v>0.13</v>
      </c>
      <c r="BN248" s="14" t="n">
        <v>1</v>
      </c>
      <c r="BO248" s="14" t="n">
        <v>0</v>
      </c>
      <c r="BP248" s="14" t="n">
        <v>0</v>
      </c>
      <c r="BQ248" s="14" t="n">
        <v>0.127</v>
      </c>
      <c r="BR248" s="14" t="n">
        <v>0</v>
      </c>
      <c r="BS248" s="14" t="n">
        <v>1</v>
      </c>
      <c r="BT248" s="14" t="n">
        <v>0</v>
      </c>
      <c r="BU248" s="14" t="n">
        <v>0</v>
      </c>
      <c r="BV248" s="14" t="n">
        <v>0.15</v>
      </c>
      <c r="BW248" s="14" t="n">
        <v>0.13</v>
      </c>
      <c r="BX248" s="14" t="n">
        <v>1</v>
      </c>
      <c r="BY248" s="14" t="n">
        <v>11.787</v>
      </c>
      <c r="BZ248" s="14" t="n">
        <v>0</v>
      </c>
      <c r="CA248" s="14" t="n">
        <v>11.787</v>
      </c>
      <c r="CB248" s="14" t="n">
        <v>0</v>
      </c>
      <c r="CC248" s="14" t="n">
        <v>78.125</v>
      </c>
      <c r="CD248" s="14" t="n">
        <v>7.95</v>
      </c>
      <c r="CE248" s="14" t="n">
        <v>0</v>
      </c>
      <c r="CF248" s="14" t="n">
        <v>88.28100000000001</v>
      </c>
      <c r="CG248" s="14" t="n">
        <v>0.13</v>
      </c>
      <c r="CH248" s="14" t="n">
        <v>1</v>
      </c>
      <c r="CI248" s="14" t="n">
        <v>0</v>
      </c>
      <c r="CJ248" s="14" t="n">
        <v>0</v>
      </c>
      <c r="CK248" s="14" t="n">
        <v>0</v>
      </c>
      <c r="CL248" s="14" t="n">
        <v>0</v>
      </c>
      <c r="CM248" s="14" t="n">
        <v>0</v>
      </c>
      <c r="CN248" s="14" t="n">
        <v>0</v>
      </c>
      <c r="CO248" s="14" t="n">
        <v>0</v>
      </c>
      <c r="CP248" s="14" t="n">
        <v>0</v>
      </c>
      <c r="CQ248" s="14" t="n">
        <v>1.198</v>
      </c>
      <c r="CR248" s="14" t="n">
        <v>0</v>
      </c>
      <c r="CS248" s="14" t="n">
        <v>4.776</v>
      </c>
      <c r="CT248" s="14" t="n">
        <v>4.753</v>
      </c>
      <c r="CU248" s="14" t="n">
        <v>15.983</v>
      </c>
    </row>
    <row r="249">
      <c r="A249" s="14" t="inlineStr">
        <is>
          <t>SLV2022</t>
        </is>
      </c>
      <c r="B249" s="14" t="inlineStr">
        <is>
          <t>SLV</t>
        </is>
      </c>
      <c r="C249" s="14" t="inlineStr">
        <is>
          <t>SLV</t>
        </is>
      </c>
      <c r="D249" s="14" t="inlineStr">
        <is>
          <t>El Salvador</t>
        </is>
      </c>
      <c r="E249" s="14" t="n">
        <v>2022</v>
      </c>
      <c r="F249" s="14" t="n">
        <v>0.13</v>
      </c>
      <c r="G249" s="14" t="n">
        <v>11.72</v>
      </c>
      <c r="H249" s="14" t="n">
        <v>1.235</v>
      </c>
      <c r="I249" s="14" t="n">
        <v>0.5659999999999999</v>
      </c>
      <c r="J249" s="14" t="n">
        <v>12.286</v>
      </c>
      <c r="K249" s="14" t="n">
        <v>0</v>
      </c>
      <c r="L249" s="14" t="n">
        <v>1</v>
      </c>
      <c r="M249" s="14" t="n">
        <v>9.782999999999999</v>
      </c>
      <c r="N249" s="14" t="n">
        <v>3.704</v>
      </c>
      <c r="O249" s="14" t="n">
        <v>0</v>
      </c>
      <c r="P249" s="14" t="n">
        <v>9.782999999999999</v>
      </c>
      <c r="Q249" s="14" t="n">
        <v>0</v>
      </c>
      <c r="R249" s="14" t="n">
        <v>1</v>
      </c>
      <c r="S249" s="14" t="n">
        <v>17.893</v>
      </c>
      <c r="T249" s="14" t="n">
        <v>7.408</v>
      </c>
      <c r="U249" s="14" t="n">
        <v>0.744</v>
      </c>
      <c r="V249" s="14" t="n">
        <v>20.859</v>
      </c>
      <c r="W249" s="14" t="n">
        <v>0.13</v>
      </c>
      <c r="X249" s="14" t="n">
        <v>1</v>
      </c>
      <c r="Y249" s="14" t="n">
        <v>30.728</v>
      </c>
      <c r="Z249" s="14" t="n">
        <v>4.133</v>
      </c>
      <c r="AA249" s="14" t="n">
        <v>0</v>
      </c>
      <c r="AB249" s="14" t="n">
        <v>30.728</v>
      </c>
      <c r="AC249" s="14" t="n">
        <v>0</v>
      </c>
      <c r="AD249" s="14" t="n">
        <v>1</v>
      </c>
      <c r="AE249" s="14" t="n">
        <v>31.963</v>
      </c>
      <c r="AF249" s="14" t="n">
        <v>7.485</v>
      </c>
      <c r="AG249" s="14" t="n">
        <v>0</v>
      </c>
      <c r="AH249" s="14" t="n">
        <v>31.963</v>
      </c>
      <c r="AI249" s="14" t="n">
        <v>0</v>
      </c>
      <c r="AJ249" s="14" t="n">
        <v>1</v>
      </c>
      <c r="AK249" s="14" t="n">
        <v>39.371</v>
      </c>
      <c r="AL249" s="14" t="n">
        <v>21.155</v>
      </c>
      <c r="AM249" s="14" t="n">
        <v>0.379</v>
      </c>
      <c r="AN249" s="14" t="n">
        <v>44.49</v>
      </c>
      <c r="AO249" s="14" t="n">
        <v>0.13</v>
      </c>
      <c r="AP249" s="14" t="n">
        <v>1</v>
      </c>
      <c r="AQ249" s="14" t="n">
        <v>0.896</v>
      </c>
      <c r="AR249" s="14" t="n">
        <v>0.123</v>
      </c>
      <c r="AS249" s="14" t="n">
        <v>0.055</v>
      </c>
      <c r="AT249" s="14" t="n">
        <v>1.075</v>
      </c>
      <c r="AU249" s="14" t="n">
        <v>0.13</v>
      </c>
      <c r="AV249" s="14" t="n">
        <v>1</v>
      </c>
      <c r="AW249" s="14" t="n">
        <v>0.89</v>
      </c>
      <c r="AX249" s="14" t="n">
        <v>0.123</v>
      </c>
      <c r="AY249" s="14" t="n">
        <v>0.054</v>
      </c>
      <c r="AZ249" s="14" t="n">
        <v>1.067</v>
      </c>
      <c r="BA249" s="14" t="n">
        <v>0.13</v>
      </c>
      <c r="BB249" s="14" t="n">
        <v>1</v>
      </c>
      <c r="BC249" s="14" t="n">
        <v>0.62</v>
      </c>
      <c r="BD249" s="14" t="n">
        <v>0.123</v>
      </c>
      <c r="BE249" s="14" t="n">
        <v>-0.403</v>
      </c>
      <c r="BF249" s="14" t="n">
        <v>0.246</v>
      </c>
      <c r="BG249" s="14" t="n">
        <v>0</v>
      </c>
      <c r="BH249" s="14" t="n">
        <v>0</v>
      </c>
      <c r="BI249" s="14" t="n">
        <v>0.608</v>
      </c>
      <c r="BJ249" s="14" t="n">
        <v>0.123</v>
      </c>
      <c r="BK249" s="14" t="n">
        <v>0.006</v>
      </c>
      <c r="BL249" s="14" t="n">
        <v>0.6860000000000001</v>
      </c>
      <c r="BM249" s="14" t="n">
        <v>0.13</v>
      </c>
      <c r="BN249" s="14" t="n">
        <v>1</v>
      </c>
      <c r="BO249" s="14" t="n">
        <v>0</v>
      </c>
      <c r="BP249" s="14" t="n">
        <v>0</v>
      </c>
      <c r="BQ249" s="14" t="n">
        <v>0.165</v>
      </c>
      <c r="BR249" s="14" t="n">
        <v>0</v>
      </c>
      <c r="BS249" s="14" t="n">
        <v>1</v>
      </c>
      <c r="BT249" s="14" t="n">
        <v>0</v>
      </c>
      <c r="BU249" s="14" t="n">
        <v>0</v>
      </c>
      <c r="BV249" s="14" t="n">
        <v>0.16</v>
      </c>
      <c r="BW249" s="14" t="n">
        <v>0.13</v>
      </c>
      <c r="BX249" s="14" t="n">
        <v>1</v>
      </c>
      <c r="BY249" s="14" t="n">
        <v>12.729</v>
      </c>
      <c r="BZ249" s="14" t="n">
        <v>0</v>
      </c>
      <c r="CA249" s="14" t="n">
        <v>12.729</v>
      </c>
      <c r="CB249" s="14" t="n">
        <v>0</v>
      </c>
      <c r="CC249" s="14" t="n">
        <v>97.90000000000001</v>
      </c>
      <c r="CD249" s="14" t="n">
        <v>7.95</v>
      </c>
      <c r="CE249" s="14" t="n">
        <v>0.9419999999999999</v>
      </c>
      <c r="CF249" s="14" t="n">
        <v>110.627</v>
      </c>
      <c r="CG249" s="14" t="n">
        <v>0.13</v>
      </c>
      <c r="CH249" s="14" t="n">
        <v>1</v>
      </c>
      <c r="CI249" s="14" t="n">
        <v>0</v>
      </c>
      <c r="CJ249" s="14" t="n">
        <v>0</v>
      </c>
      <c r="CK249" s="14" t="n">
        <v>0</v>
      </c>
      <c r="CL249" s="14" t="n">
        <v>0</v>
      </c>
      <c r="CM249" s="14" t="n">
        <v>0</v>
      </c>
      <c r="CN249" s="14" t="n">
        <v>0</v>
      </c>
      <c r="CO249" s="14" t="n">
        <v>0</v>
      </c>
      <c r="CP249" s="14" t="n">
        <v>0</v>
      </c>
      <c r="CQ249" s="14" t="n">
        <v>1.294</v>
      </c>
      <c r="CR249" s="14" t="n">
        <v>0</v>
      </c>
      <c r="CS249" s="14" t="n">
        <v>5.158</v>
      </c>
      <c r="CT249" s="14" t="n">
        <v>10.485</v>
      </c>
      <c r="CU249" s="14" t="n">
        <v>29.494</v>
      </c>
    </row>
    <row r="250">
      <c r="A250" s="14" t="inlineStr">
        <is>
          <t>SLV2023</t>
        </is>
      </c>
      <c r="B250" s="14" t="inlineStr">
        <is>
          <t>SLV</t>
        </is>
      </c>
      <c r="C250" s="14" t="inlineStr">
        <is>
          <t>SLV</t>
        </is>
      </c>
      <c r="D250" s="14" t="inlineStr">
        <is>
          <t>El Salvador</t>
        </is>
      </c>
      <c r="E250" s="14" t="n">
        <v>2023</v>
      </c>
      <c r="F250" s="14" t="n">
        <v>0.13</v>
      </c>
      <c r="G250" s="14" t="n">
        <v>6.147</v>
      </c>
      <c r="H250" s="14" t="n">
        <v>1.286</v>
      </c>
      <c r="I250" s="14" t="n">
        <v>0.273</v>
      </c>
      <c r="J250" s="14" t="n">
        <v>6.42</v>
      </c>
      <c r="K250" s="14" t="n">
        <v>0</v>
      </c>
      <c r="L250" s="14" t="n">
        <v>1</v>
      </c>
      <c r="M250" s="14" t="n">
        <v>7.886</v>
      </c>
      <c r="N250" s="14" t="n">
        <v>3.857</v>
      </c>
      <c r="O250" s="14" t="n">
        <v>0</v>
      </c>
      <c r="P250" s="14" t="n">
        <v>7.886</v>
      </c>
      <c r="Q250" s="14" t="n">
        <v>0</v>
      </c>
      <c r="R250" s="14" t="n">
        <v>1</v>
      </c>
      <c r="S250" s="14" t="n">
        <v>12.575</v>
      </c>
      <c r="T250" s="14" t="n">
        <v>7.714</v>
      </c>
      <c r="U250" s="14" t="n">
        <v>0.458</v>
      </c>
      <c r="V250" s="14" t="n">
        <v>14.519</v>
      </c>
      <c r="W250" s="14" t="n">
        <v>0.13</v>
      </c>
      <c r="X250" s="14" t="n">
        <v>1</v>
      </c>
      <c r="Y250" s="14" t="n">
        <v>12.478</v>
      </c>
      <c r="Z250" s="14" t="n">
        <v>1.678</v>
      </c>
      <c r="AA250" s="14" t="n">
        <v>0</v>
      </c>
      <c r="AB250" s="14" t="n">
        <v>12.478</v>
      </c>
      <c r="AC250" s="14" t="n">
        <v>0</v>
      </c>
      <c r="AD250" s="14" t="n">
        <v>1</v>
      </c>
      <c r="AE250" s="14" t="n">
        <v>13.763</v>
      </c>
      <c r="AF250" s="14" t="n">
        <v>3.223</v>
      </c>
      <c r="AG250" s="14" t="n">
        <v>0</v>
      </c>
      <c r="AH250" s="14" t="n">
        <v>13.763</v>
      </c>
      <c r="AI250" s="14" t="n">
        <v>0</v>
      </c>
      <c r="AJ250" s="14" t="n">
        <v>1</v>
      </c>
      <c r="AK250" s="14" t="n">
        <v>21.477</v>
      </c>
      <c r="AL250" s="14" t="n">
        <v>11.54</v>
      </c>
      <c r="AM250" s="14" t="n">
        <v>0.309</v>
      </c>
      <c r="AN250" s="14" t="n">
        <v>24.269</v>
      </c>
      <c r="AO250" s="14" t="n">
        <v>0.13</v>
      </c>
      <c r="AP250" s="14" t="n">
        <v>1</v>
      </c>
      <c r="AQ250" s="14" t="n">
        <v>0.791</v>
      </c>
      <c r="AR250" s="14" t="n">
        <v>0.129</v>
      </c>
      <c r="AS250" s="14" t="n">
        <v>0.183</v>
      </c>
      <c r="AT250" s="14" t="n">
        <v>1.1</v>
      </c>
      <c r="AU250" s="14" t="n">
        <v>0.13</v>
      </c>
      <c r="AV250" s="14" t="n">
        <v>1</v>
      </c>
      <c r="AW250" s="14" t="n">
        <v>0.618</v>
      </c>
      <c r="AX250" s="14" t="n">
        <v>0.129</v>
      </c>
      <c r="AY250" s="14" t="n">
        <v>0.34</v>
      </c>
      <c r="AZ250" s="14" t="n">
        <v>1.083</v>
      </c>
      <c r="BA250" s="14" t="n">
        <v>0.13</v>
      </c>
      <c r="BB250" s="14" t="n">
        <v>1</v>
      </c>
      <c r="BC250" s="14" t="n">
        <v>0.554</v>
      </c>
      <c r="BD250" s="14" t="n">
        <v>0.129</v>
      </c>
      <c r="BE250" s="14" t="n">
        <v>-0.343</v>
      </c>
      <c r="BF250" s="14" t="n">
        <v>0.239</v>
      </c>
      <c r="BG250" s="14" t="n">
        <v>0</v>
      </c>
      <c r="BH250" s="14" t="n">
        <v>0</v>
      </c>
      <c r="BI250" s="14" t="n">
        <v>0.5570000000000001</v>
      </c>
      <c r="BJ250" s="14" t="n">
        <v>0.129</v>
      </c>
      <c r="BK250" s="14" t="n">
        <v>0.008</v>
      </c>
      <c r="BL250" s="14" t="n">
        <v>0.63</v>
      </c>
      <c r="BM250" s="14" t="n">
        <v>0.13</v>
      </c>
      <c r="BN250" s="14" t="n">
        <v>1</v>
      </c>
      <c r="BO250" s="14" t="n">
        <v>0</v>
      </c>
      <c r="BP250" s="14" t="n">
        <v>0</v>
      </c>
      <c r="BQ250" s="14" t="n">
        <v>0.147</v>
      </c>
      <c r="BR250" s="14" t="n">
        <v>0</v>
      </c>
      <c r="BS250" s="14" t="n">
        <v>1</v>
      </c>
      <c r="BT250" s="14" t="n">
        <v>0</v>
      </c>
      <c r="BU250" s="14" t="n">
        <v>0</v>
      </c>
      <c r="BV250" s="14" t="n">
        <v>0.141</v>
      </c>
      <c r="BW250" s="14" t="n">
        <v>0.13</v>
      </c>
      <c r="BX250" s="14" t="n">
        <v>1</v>
      </c>
      <c r="BY250" s="14" t="n">
        <v>13.254</v>
      </c>
      <c r="BZ250" s="14" t="n">
        <v>0</v>
      </c>
      <c r="CA250" s="14" t="n">
        <v>13.254</v>
      </c>
      <c r="CB250" s="14" t="n">
        <v>0</v>
      </c>
      <c r="CC250" s="14" t="n">
        <v>83.248</v>
      </c>
      <c r="CD250" s="14" t="n">
        <v>7.95</v>
      </c>
      <c r="CE250" s="14" t="n">
        <v>1.198</v>
      </c>
      <c r="CF250" s="14" t="n">
        <v>94.06999999999999</v>
      </c>
      <c r="CG250" s="14" t="n">
        <v>0.13</v>
      </c>
      <c r="CH250" s="14" t="n">
        <v>1</v>
      </c>
      <c r="CI250" s="14" t="n">
        <v>0</v>
      </c>
      <c r="CJ250" s="14" t="n">
        <v>0</v>
      </c>
      <c r="CK250" s="14" t="n">
        <v>0</v>
      </c>
      <c r="CL250" s="14" t="n">
        <v>0</v>
      </c>
      <c r="CM250" s="14" t="n">
        <v>0</v>
      </c>
      <c r="CN250" s="14" t="n">
        <v>0</v>
      </c>
      <c r="CO250" s="14" t="n">
        <v>0</v>
      </c>
      <c r="CP250" s="14" t="n">
        <v>0</v>
      </c>
      <c r="CQ250" s="14" t="n">
        <v>1.348</v>
      </c>
      <c r="CR250" s="14" t="n">
        <v>0</v>
      </c>
      <c r="CS250" s="14" t="n">
        <v>5.37</v>
      </c>
      <c r="CT250" s="14" t="n">
        <v>4.861</v>
      </c>
      <c r="CU250" s="14" t="n">
        <v>11.192</v>
      </c>
    </row>
    <row r="251">
      <c r="A251" s="14" t="inlineStr">
        <is>
          <t>SLV2024</t>
        </is>
      </c>
      <c r="B251" s="14" t="inlineStr">
        <is>
          <t>SLV</t>
        </is>
      </c>
      <c r="C251" s="14" t="inlineStr">
        <is>
          <t>SLV</t>
        </is>
      </c>
      <c r="D251" s="14" t="inlineStr">
        <is>
          <t>El Salvador</t>
        </is>
      </c>
      <c r="E251" s="14" t="n">
        <v>2024</v>
      </c>
      <c r="F251" s="14" t="n">
        <v>0.13</v>
      </c>
      <c r="G251" s="14" t="n">
        <v>5.575</v>
      </c>
      <c r="H251" s="14" t="n">
        <v>1.324</v>
      </c>
      <c r="I251" s="14" t="n">
        <v>0.213</v>
      </c>
      <c r="J251" s="14" t="n">
        <v>5.787</v>
      </c>
      <c r="K251" s="14" t="n">
        <v>0</v>
      </c>
      <c r="L251" s="14" t="n">
        <v>1</v>
      </c>
      <c r="M251" s="14" t="n">
        <v>7.124</v>
      </c>
      <c r="N251" s="14" t="n">
        <v>3.971</v>
      </c>
      <c r="O251" s="14" t="n">
        <v>0</v>
      </c>
      <c r="P251" s="14" t="n">
        <v>7.124</v>
      </c>
      <c r="Q251" s="14" t="n">
        <v>0</v>
      </c>
      <c r="R251" s="14" t="n">
        <v>1</v>
      </c>
      <c r="S251" s="14" t="n">
        <v>12.193</v>
      </c>
      <c r="T251" s="14" t="n">
        <v>7.942</v>
      </c>
      <c r="U251" s="14" t="n">
        <v>0.432</v>
      </c>
      <c r="V251" s="14" t="n">
        <v>14.018</v>
      </c>
      <c r="W251" s="14" t="n">
        <v>0.13</v>
      </c>
      <c r="X251" s="14" t="n">
        <v>1</v>
      </c>
      <c r="Y251" s="14" t="n">
        <v>11.447</v>
      </c>
      <c r="Z251" s="14" t="n">
        <v>1.54</v>
      </c>
      <c r="AA251" s="14" t="n">
        <v>0</v>
      </c>
      <c r="AB251" s="14" t="n">
        <v>11.447</v>
      </c>
      <c r="AC251" s="14" t="n">
        <v>0</v>
      </c>
      <c r="AD251" s="14" t="n">
        <v>1</v>
      </c>
      <c r="AE251" s="14" t="n">
        <v>12.771</v>
      </c>
      <c r="AF251" s="14" t="n">
        <v>2.991</v>
      </c>
      <c r="AG251" s="14" t="n">
        <v>0</v>
      </c>
      <c r="AH251" s="14" t="n">
        <v>12.771</v>
      </c>
      <c r="AI251" s="14" t="n">
        <v>0</v>
      </c>
      <c r="AJ251" s="14" t="n">
        <v>1</v>
      </c>
      <c r="AK251" s="14" t="n">
        <v>20.712</v>
      </c>
      <c r="AL251" s="14" t="n">
        <v>11.129</v>
      </c>
      <c r="AM251" s="14" t="n">
        <v>0.367</v>
      </c>
      <c r="AN251" s="14" t="n">
        <v>23.405</v>
      </c>
      <c r="AO251" s="14" t="n">
        <v>0.13</v>
      </c>
      <c r="AP251" s="14" t="n">
        <v>1</v>
      </c>
      <c r="AQ251" s="14" t="n">
        <v>0.756</v>
      </c>
      <c r="AR251" s="14" t="n">
        <v>0.132</v>
      </c>
      <c r="AS251" s="14" t="n">
        <v>0.143</v>
      </c>
      <c r="AT251" s="14" t="n">
        <v>1.016</v>
      </c>
      <c r="AU251" s="14" t="n">
        <v>0.13</v>
      </c>
      <c r="AV251" s="14" t="n">
        <v>1</v>
      </c>
      <c r="AW251" s="14" t="n">
        <v>0.655</v>
      </c>
      <c r="AX251" s="14" t="n">
        <v>0.132</v>
      </c>
      <c r="AY251" s="14" t="n">
        <v>0.207</v>
      </c>
      <c r="AZ251" s="14" t="n">
        <v>0.974</v>
      </c>
      <c r="BA251" s="14" t="n">
        <v>0.13</v>
      </c>
      <c r="BB251" s="14" t="n">
        <v>1</v>
      </c>
      <c r="BC251" s="14" t="n">
        <v>0.534</v>
      </c>
      <c r="BD251" s="14" t="n">
        <v>0.132</v>
      </c>
      <c r="BE251" s="14" t="n">
        <v>-0.321</v>
      </c>
      <c r="BF251" s="14" t="n">
        <v>0.24</v>
      </c>
      <c r="BG251" s="14" t="n">
        <v>0</v>
      </c>
      <c r="BH251" s="14" t="n">
        <v>0</v>
      </c>
      <c r="BI251" s="14" t="n">
        <v>0.5679999999999999</v>
      </c>
      <c r="BJ251" s="14" t="n">
        <v>0.132</v>
      </c>
      <c r="BK251" s="14" t="n">
        <v>0.01</v>
      </c>
      <c r="BL251" s="14" t="n">
        <v>0.642</v>
      </c>
      <c r="BM251" s="14" t="n">
        <v>0.13</v>
      </c>
      <c r="BN251" s="14" t="n">
        <v>1</v>
      </c>
      <c r="BO251" s="14" t="n">
        <v>0</v>
      </c>
      <c r="BP251" s="14" t="n">
        <v>0</v>
      </c>
      <c r="BQ251" s="14" t="n">
        <v>0.194</v>
      </c>
      <c r="BR251" s="14" t="n">
        <v>0</v>
      </c>
      <c r="BS251" s="14" t="n">
        <v>1</v>
      </c>
      <c r="BT251" s="14" t="n">
        <v>0</v>
      </c>
      <c r="BU251" s="14" t="n">
        <v>0</v>
      </c>
      <c r="BV251" s="14" t="n">
        <v>0.205</v>
      </c>
      <c r="BW251" s="14" t="n">
        <v>0.13</v>
      </c>
      <c r="BX251" s="14" t="n">
        <v>1</v>
      </c>
      <c r="BY251" s="14" t="n">
        <v>13.646</v>
      </c>
      <c r="BZ251" s="14" t="n">
        <v>0</v>
      </c>
      <c r="CA251" s="14" t="n">
        <v>13.646</v>
      </c>
      <c r="CB251" s="14" t="n">
        <v>0</v>
      </c>
      <c r="CC251" s="14" t="n">
        <v>82.58799999999999</v>
      </c>
      <c r="CD251" s="14" t="n">
        <v>7.95</v>
      </c>
      <c r="CE251" s="14" t="n">
        <v>1.462</v>
      </c>
      <c r="CF251" s="14" t="n">
        <v>93.324</v>
      </c>
      <c r="CG251" s="14" t="n">
        <v>0.13</v>
      </c>
      <c r="CH251" s="14" t="n">
        <v>1</v>
      </c>
      <c r="CI251" s="14" t="n">
        <v>0</v>
      </c>
      <c r="CJ251" s="14" t="n">
        <v>0</v>
      </c>
      <c r="CK251" s="14" t="n">
        <v>0</v>
      </c>
      <c r="CL251" s="14" t="n">
        <v>0</v>
      </c>
      <c r="CM251" s="14" t="n">
        <v>0</v>
      </c>
      <c r="CN251" s="14" t="n">
        <v>0</v>
      </c>
      <c r="CO251" s="14" t="n">
        <v>0</v>
      </c>
      <c r="CP251" s="14" t="n">
        <v>0</v>
      </c>
      <c r="CQ251" s="14" t="n">
        <v>1.387</v>
      </c>
      <c r="CR251" s="14" t="n">
        <v>0</v>
      </c>
      <c r="CS251" s="14" t="n">
        <v>5.529</v>
      </c>
      <c r="CT251" s="14" t="n">
        <v>4.251</v>
      </c>
      <c r="CU251" s="14" t="n">
        <v>10.123</v>
      </c>
    </row>
    <row r="252">
      <c r="A252" s="14" t="inlineStr">
        <is>
          <t>GNQ2021</t>
        </is>
      </c>
      <c r="B252" s="14" t="inlineStr">
        <is>
          <t>GNQ</t>
        </is>
      </c>
      <c r="C252" s="14" t="inlineStr">
        <is>
          <t>GNQ</t>
        </is>
      </c>
      <c r="D252" s="14" t="inlineStr">
        <is>
          <t>Equatorial Guinea</t>
        </is>
      </c>
      <c r="E252" s="14" t="n">
        <v>2021</v>
      </c>
      <c r="F252" s="14" t="n">
        <v>0.15</v>
      </c>
      <c r="G252" s="14" t="n">
        <v>5.897</v>
      </c>
      <c r="H252" s="14" t="n">
        <v>1.143</v>
      </c>
      <c r="I252" s="14" t="n">
        <v>0</v>
      </c>
      <c r="J252" s="14" t="n">
        <v>5.897</v>
      </c>
      <c r="K252" s="14" t="n">
        <v>0</v>
      </c>
      <c r="L252" s="14" t="n">
        <v>1</v>
      </c>
      <c r="M252" s="14" t="n">
        <v>7.964</v>
      </c>
      <c r="N252" s="14" t="n">
        <v>3.43</v>
      </c>
      <c r="O252" s="14" t="n">
        <v>0</v>
      </c>
      <c r="P252" s="14" t="n">
        <v>7.964</v>
      </c>
      <c r="Q252" s="14" t="n">
        <v>0</v>
      </c>
      <c r="R252" s="14" t="n">
        <v>1</v>
      </c>
      <c r="S252" s="14" t="n">
        <v>11.613</v>
      </c>
      <c r="T252" s="14" t="n">
        <v>6.86</v>
      </c>
      <c r="U252" s="14" t="n">
        <v>0</v>
      </c>
      <c r="V252" s="14" t="n">
        <v>13.355</v>
      </c>
      <c r="W252" s="14" t="n">
        <v>0.15</v>
      </c>
      <c r="X252" s="14" t="n">
        <v>1</v>
      </c>
      <c r="Y252" s="14" t="n">
        <v>4.09</v>
      </c>
      <c r="Z252" s="14" t="n">
        <v>0.449</v>
      </c>
      <c r="AA252" s="14" t="n">
        <v>0</v>
      </c>
      <c r="AB252" s="14" t="n">
        <v>4.09</v>
      </c>
      <c r="AC252" s="14" t="n">
        <v>0</v>
      </c>
      <c r="AD252" s="14" t="n">
        <v>1</v>
      </c>
      <c r="AE252" s="14" t="n">
        <v>4.662</v>
      </c>
      <c r="AF252" s="14" t="n">
        <v>0.907</v>
      </c>
      <c r="AG252" s="14" t="n">
        <v>0</v>
      </c>
      <c r="AH252" s="14" t="n">
        <v>4.662</v>
      </c>
      <c r="AI252" s="14" t="n">
        <v>0</v>
      </c>
      <c r="AJ252" s="14" t="n">
        <v>1</v>
      </c>
      <c r="AK252" s="14" t="n">
        <v>8.092000000000001</v>
      </c>
      <c r="AL252" s="14" t="n">
        <v>3.817</v>
      </c>
      <c r="AM252" s="14" t="n">
        <v>0</v>
      </c>
      <c r="AN252" s="14" t="n">
        <v>9.305</v>
      </c>
      <c r="AO252" s="14" t="n">
        <v>0.15</v>
      </c>
      <c r="AP252" s="14" t="n">
        <v>1</v>
      </c>
      <c r="AQ252" s="14" t="n">
        <v>0.619</v>
      </c>
      <c r="AR252" s="14" t="n">
        <v>0.114</v>
      </c>
      <c r="AS252" s="14" t="n">
        <v>0.129</v>
      </c>
      <c r="AT252" s="14" t="n">
        <v>0.861</v>
      </c>
      <c r="AU252" s="14" t="n">
        <v>0.15</v>
      </c>
      <c r="AV252" s="14" t="n">
        <v>1</v>
      </c>
      <c r="AW252" s="14" t="n">
        <v>0.599</v>
      </c>
      <c r="AX252" s="14" t="n">
        <v>0.114</v>
      </c>
      <c r="AY252" s="14" t="n">
        <v>-0.052</v>
      </c>
      <c r="AZ252" s="14" t="n">
        <v>0.629</v>
      </c>
      <c r="BA252" s="14" t="n">
        <v>0.15</v>
      </c>
      <c r="BB252" s="14" t="n">
        <v>1</v>
      </c>
      <c r="BC252" s="14" t="n">
        <v>0.439</v>
      </c>
      <c r="BD252" s="14" t="n">
        <v>0.114</v>
      </c>
      <c r="BE252" s="14" t="n">
        <v>0</v>
      </c>
      <c r="BF252" s="14" t="n">
        <v>0.505</v>
      </c>
      <c r="BG252" s="14" t="n">
        <v>0.15</v>
      </c>
      <c r="BH252" s="14" t="n">
        <v>1</v>
      </c>
      <c r="BI252" s="14" t="n">
        <v>0.505</v>
      </c>
      <c r="BJ252" s="14" t="n">
        <v>0.114</v>
      </c>
      <c r="BK252" s="14" t="n">
        <v>-0.169</v>
      </c>
      <c r="BL252" s="14" t="n">
        <v>0.386</v>
      </c>
      <c r="BM252" s="14" t="n">
        <v>0</v>
      </c>
      <c r="BN252" s="14" t="n">
        <v>0</v>
      </c>
      <c r="BO252" s="14" t="n">
        <v>0</v>
      </c>
      <c r="BP252" s="14" t="n">
        <v>0</v>
      </c>
      <c r="BQ252" s="14" t="n">
        <v>0.082</v>
      </c>
      <c r="BR252" s="14" t="n">
        <v>0</v>
      </c>
      <c r="BS252" s="14" t="n">
        <v>1</v>
      </c>
      <c r="BT252" s="14" t="n">
        <v>0</v>
      </c>
      <c r="BU252" s="14" t="n">
        <v>0</v>
      </c>
      <c r="BV252" s="14" t="n">
        <v>0.109</v>
      </c>
      <c r="BW252" s="14" t="n">
        <v>0</v>
      </c>
      <c r="BX252" s="14" t="n">
        <v>1</v>
      </c>
      <c r="BY252" s="14" t="n">
        <v>11.787</v>
      </c>
      <c r="BZ252" s="14" t="n">
        <v>0</v>
      </c>
      <c r="CA252" s="14" t="n">
        <v>11.787</v>
      </c>
      <c r="CB252" s="14" t="n">
        <v>0</v>
      </c>
      <c r="CC252" s="14" t="n">
        <v>78.125</v>
      </c>
      <c r="CD252" s="14" t="n">
        <v>7.95</v>
      </c>
      <c r="CE252" s="14" t="n">
        <v>0</v>
      </c>
      <c r="CF252" s="14" t="n">
        <v>89.84399999999999</v>
      </c>
      <c r="CG252" s="14" t="n">
        <v>0.15</v>
      </c>
      <c r="CH252" s="14" t="n">
        <v>1</v>
      </c>
      <c r="CI252" s="14" t="n">
        <v>0</v>
      </c>
      <c r="CJ252" s="14" t="n">
        <v>0</v>
      </c>
      <c r="CK252" s="14" t="n">
        <v>0</v>
      </c>
      <c r="CL252" s="14" t="n">
        <v>0</v>
      </c>
      <c r="CM252" s="14" t="n">
        <v>0</v>
      </c>
      <c r="CN252" s="14" t="n">
        <v>0</v>
      </c>
      <c r="CO252" s="14" t="n">
        <v>0</v>
      </c>
      <c r="CP252" s="14" t="n">
        <v>0</v>
      </c>
      <c r="CQ252" s="14" t="n">
        <v>1.198</v>
      </c>
      <c r="CR252" s="14" t="n">
        <v>1</v>
      </c>
      <c r="CS252" s="14" t="n">
        <v>3.518</v>
      </c>
      <c r="CT252" s="14" t="n">
        <v>4.753</v>
      </c>
      <c r="CU252" s="14" t="n">
        <v>14.129</v>
      </c>
    </row>
    <row r="253">
      <c r="A253" s="14" t="inlineStr">
        <is>
          <t>GNQ2022</t>
        </is>
      </c>
      <c r="B253" s="14" t="inlineStr">
        <is>
          <t>GNQ</t>
        </is>
      </c>
      <c r="C253" s="14" t="inlineStr">
        <is>
          <t>GNQ</t>
        </is>
      </c>
      <c r="D253" s="14" t="inlineStr">
        <is>
          <t>Equatorial Guinea</t>
        </is>
      </c>
      <c r="E253" s="14" t="n">
        <v>2022</v>
      </c>
      <c r="F253" s="14" t="n">
        <v>0.15</v>
      </c>
      <c r="G253" s="14" t="n">
        <v>11.72</v>
      </c>
      <c r="H253" s="14" t="n">
        <v>1.235</v>
      </c>
      <c r="I253" s="14" t="n">
        <v>0</v>
      </c>
      <c r="J253" s="14" t="n">
        <v>11.72</v>
      </c>
      <c r="K253" s="14" t="n">
        <v>0</v>
      </c>
      <c r="L253" s="14" t="n">
        <v>1</v>
      </c>
      <c r="M253" s="14" t="n">
        <v>9.782999999999999</v>
      </c>
      <c r="N253" s="14" t="n">
        <v>3.704</v>
      </c>
      <c r="O253" s="14" t="n">
        <v>0</v>
      </c>
      <c r="P253" s="14" t="n">
        <v>9.782999999999999</v>
      </c>
      <c r="Q253" s="14" t="n">
        <v>0</v>
      </c>
      <c r="R253" s="14" t="n">
        <v>1</v>
      </c>
      <c r="S253" s="14" t="n">
        <v>17.893</v>
      </c>
      <c r="T253" s="14" t="n">
        <v>7.408</v>
      </c>
      <c r="U253" s="14" t="n">
        <v>0.199</v>
      </c>
      <c r="V253" s="14" t="n">
        <v>20.577</v>
      </c>
      <c r="W253" s="14" t="n">
        <v>0.15</v>
      </c>
      <c r="X253" s="14" t="n">
        <v>1</v>
      </c>
      <c r="Y253" s="14" t="n">
        <v>4.417</v>
      </c>
      <c r="Z253" s="14" t="n">
        <v>0.485</v>
      </c>
      <c r="AA253" s="14" t="n">
        <v>0</v>
      </c>
      <c r="AB253" s="14" t="n">
        <v>4.417</v>
      </c>
      <c r="AC253" s="14" t="n">
        <v>0</v>
      </c>
      <c r="AD253" s="14" t="n">
        <v>1</v>
      </c>
      <c r="AE253" s="14" t="n">
        <v>5.034</v>
      </c>
      <c r="AF253" s="14" t="n">
        <v>0.979</v>
      </c>
      <c r="AG253" s="14" t="n">
        <v>0</v>
      </c>
      <c r="AH253" s="14" t="n">
        <v>5.034</v>
      </c>
      <c r="AI253" s="14" t="n">
        <v>0</v>
      </c>
      <c r="AJ253" s="14" t="n">
        <v>1</v>
      </c>
      <c r="AK253" s="14" t="n">
        <v>8.738</v>
      </c>
      <c r="AL253" s="14" t="n">
        <v>4.122</v>
      </c>
      <c r="AM253" s="14" t="n">
        <v>0.097</v>
      </c>
      <c r="AN253" s="14" t="n">
        <v>10.049</v>
      </c>
      <c r="AO253" s="14" t="n">
        <v>0.15</v>
      </c>
      <c r="AP253" s="14" t="n">
        <v>1</v>
      </c>
      <c r="AQ253" s="14" t="n">
        <v>0.861</v>
      </c>
      <c r="AR253" s="14" t="n">
        <v>0.123</v>
      </c>
      <c r="AS253" s="14" t="n">
        <v>-0.179</v>
      </c>
      <c r="AT253" s="14" t="n">
        <v>0.785</v>
      </c>
      <c r="AU253" s="14" t="n">
        <v>0.15</v>
      </c>
      <c r="AV253" s="14" t="n">
        <v>1</v>
      </c>
      <c r="AW253" s="14" t="n">
        <v>0.986</v>
      </c>
      <c r="AX253" s="14" t="n">
        <v>0.123</v>
      </c>
      <c r="AY253" s="14" t="n">
        <v>-0.338</v>
      </c>
      <c r="AZ253" s="14" t="n">
        <v>0.746</v>
      </c>
      <c r="BA253" s="14" t="n">
        <v>0.15</v>
      </c>
      <c r="BB253" s="14" t="n">
        <v>1</v>
      </c>
      <c r="BC253" s="14" t="n">
        <v>0.598</v>
      </c>
      <c r="BD253" s="14" t="n">
        <v>0.123</v>
      </c>
      <c r="BE253" s="14" t="n">
        <v>0.007</v>
      </c>
      <c r="BF253" s="14" t="n">
        <v>0.6879999999999999</v>
      </c>
      <c r="BG253" s="14" t="n">
        <v>0.15</v>
      </c>
      <c r="BH253" s="14" t="n">
        <v>1</v>
      </c>
      <c r="BI253" s="14" t="n">
        <v>0.612</v>
      </c>
      <c r="BJ253" s="14" t="n">
        <v>0.123</v>
      </c>
      <c r="BK253" s="14" t="n">
        <v>-0.314</v>
      </c>
      <c r="BL253" s="14" t="n">
        <v>0.343</v>
      </c>
      <c r="BM253" s="14" t="n">
        <v>0</v>
      </c>
      <c r="BN253" s="14" t="n">
        <v>0</v>
      </c>
      <c r="BO253" s="14" t="n">
        <v>0</v>
      </c>
      <c r="BP253" s="14" t="n">
        <v>0</v>
      </c>
      <c r="BQ253" s="14" t="n">
        <v>0.089</v>
      </c>
      <c r="BR253" s="14" t="n">
        <v>0</v>
      </c>
      <c r="BS253" s="14" t="n">
        <v>1</v>
      </c>
      <c r="BT253" s="14" t="n">
        <v>0</v>
      </c>
      <c r="BU253" s="14" t="n">
        <v>0</v>
      </c>
      <c r="BV253" s="14" t="n">
        <v>0.117</v>
      </c>
      <c r="BW253" s="14" t="n">
        <v>0</v>
      </c>
      <c r="BX253" s="14" t="n">
        <v>1</v>
      </c>
      <c r="BY253" s="14" t="n">
        <v>12.729</v>
      </c>
      <c r="BZ253" s="14" t="n">
        <v>0</v>
      </c>
      <c r="CA253" s="14" t="n">
        <v>12.729</v>
      </c>
      <c r="CB253" s="14" t="n">
        <v>0</v>
      </c>
      <c r="CC253" s="14" t="n">
        <v>97.90000000000001</v>
      </c>
      <c r="CD253" s="14" t="n">
        <v>7.95</v>
      </c>
      <c r="CE253" s="14" t="n">
        <v>1.087</v>
      </c>
      <c r="CF253" s="14" t="n">
        <v>112.585</v>
      </c>
      <c r="CG253" s="14" t="n">
        <v>0.15</v>
      </c>
      <c r="CH253" s="14" t="n">
        <v>1</v>
      </c>
      <c r="CI253" s="14" t="n">
        <v>0</v>
      </c>
      <c r="CJ253" s="14" t="n">
        <v>0</v>
      </c>
      <c r="CK253" s="14" t="n">
        <v>0</v>
      </c>
      <c r="CL253" s="14" t="n">
        <v>0</v>
      </c>
      <c r="CM253" s="14" t="n">
        <v>0</v>
      </c>
      <c r="CN253" s="14" t="n">
        <v>0</v>
      </c>
      <c r="CO253" s="14" t="n">
        <v>0</v>
      </c>
      <c r="CP253" s="14" t="n">
        <v>0</v>
      </c>
      <c r="CQ253" s="14" t="n">
        <v>1.294</v>
      </c>
      <c r="CR253" s="14" t="n">
        <v>1</v>
      </c>
      <c r="CS253" s="14" t="n">
        <v>3.8</v>
      </c>
      <c r="CT253" s="14" t="n">
        <v>10.485</v>
      </c>
      <c r="CU253" s="14" t="n">
        <v>28.059</v>
      </c>
    </row>
    <row r="254">
      <c r="A254" s="14" t="inlineStr">
        <is>
          <t>GNQ2023</t>
        </is>
      </c>
      <c r="B254" s="14" t="inlineStr">
        <is>
          <t>GNQ</t>
        </is>
      </c>
      <c r="C254" s="14" t="inlineStr">
        <is>
          <t>GNQ</t>
        </is>
      </c>
      <c r="D254" s="14" t="inlineStr">
        <is>
          <t>Equatorial Guinea</t>
        </is>
      </c>
      <c r="E254" s="14" t="n">
        <v>2023</v>
      </c>
      <c r="F254" s="14" t="n">
        <v>0.15</v>
      </c>
      <c r="G254" s="14" t="n">
        <v>6.147</v>
      </c>
      <c r="H254" s="14" t="n">
        <v>1.286</v>
      </c>
      <c r="I254" s="14" t="n">
        <v>0</v>
      </c>
      <c r="J254" s="14" t="n">
        <v>6.147</v>
      </c>
      <c r="K254" s="14" t="n">
        <v>0</v>
      </c>
      <c r="L254" s="14" t="n">
        <v>1</v>
      </c>
      <c r="M254" s="14" t="n">
        <v>7.886</v>
      </c>
      <c r="N254" s="14" t="n">
        <v>3.857</v>
      </c>
      <c r="O254" s="14" t="n">
        <v>0</v>
      </c>
      <c r="P254" s="14" t="n">
        <v>7.886</v>
      </c>
      <c r="Q254" s="14" t="n">
        <v>0</v>
      </c>
      <c r="R254" s="14" t="n">
        <v>1</v>
      </c>
      <c r="S254" s="14" t="n">
        <v>12.575</v>
      </c>
      <c r="T254" s="14" t="n">
        <v>7.714</v>
      </c>
      <c r="U254" s="14" t="n">
        <v>0.209</v>
      </c>
      <c r="V254" s="14" t="n">
        <v>14.461</v>
      </c>
      <c r="W254" s="14" t="n">
        <v>0.15</v>
      </c>
      <c r="X254" s="14" t="n">
        <v>1</v>
      </c>
      <c r="Y254" s="14" t="n">
        <v>4.599</v>
      </c>
      <c r="Z254" s="14" t="n">
        <v>0.505</v>
      </c>
      <c r="AA254" s="14" t="n">
        <v>0</v>
      </c>
      <c r="AB254" s="14" t="n">
        <v>4.599</v>
      </c>
      <c r="AC254" s="14" t="n">
        <v>0</v>
      </c>
      <c r="AD254" s="14" t="n">
        <v>1</v>
      </c>
      <c r="AE254" s="14" t="n">
        <v>5.242</v>
      </c>
      <c r="AF254" s="14" t="n">
        <v>1.019</v>
      </c>
      <c r="AG254" s="14" t="n">
        <v>0</v>
      </c>
      <c r="AH254" s="14" t="n">
        <v>5.242</v>
      </c>
      <c r="AI254" s="14" t="n">
        <v>0</v>
      </c>
      <c r="AJ254" s="14" t="n">
        <v>1</v>
      </c>
      <c r="AK254" s="14" t="n">
        <v>9.099</v>
      </c>
      <c r="AL254" s="14" t="n">
        <v>4.292</v>
      </c>
      <c r="AM254" s="14" t="n">
        <v>0.151</v>
      </c>
      <c r="AN254" s="14" t="n">
        <v>10.464</v>
      </c>
      <c r="AO254" s="14" t="n">
        <v>0.15</v>
      </c>
      <c r="AP254" s="14" t="n">
        <v>1</v>
      </c>
      <c r="AQ254" s="14" t="n">
        <v>0.76</v>
      </c>
      <c r="AR254" s="14" t="n">
        <v>0.129</v>
      </c>
      <c r="AS254" s="14" t="n">
        <v>-0.055</v>
      </c>
      <c r="AT254" s="14" t="n">
        <v>0.8110000000000001</v>
      </c>
      <c r="AU254" s="14" t="n">
        <v>0.15</v>
      </c>
      <c r="AV254" s="14" t="n">
        <v>1</v>
      </c>
      <c r="AW254" s="14" t="n">
        <v>0.8110000000000001</v>
      </c>
      <c r="AX254" s="14" t="n">
        <v>0.129</v>
      </c>
      <c r="AY254" s="14" t="n">
        <v>-0.136</v>
      </c>
      <c r="AZ254" s="14" t="n">
        <v>0.776</v>
      </c>
      <c r="BA254" s="14" t="n">
        <v>0.15</v>
      </c>
      <c r="BB254" s="14" t="n">
        <v>1</v>
      </c>
      <c r="BC254" s="14" t="n">
        <v>0.535</v>
      </c>
      <c r="BD254" s="14" t="n">
        <v>0.129</v>
      </c>
      <c r="BE254" s="14" t="n">
        <v>0.008999999999999999</v>
      </c>
      <c r="BF254" s="14" t="n">
        <v>0.615</v>
      </c>
      <c r="BG254" s="14" t="n">
        <v>0.15</v>
      </c>
      <c r="BH254" s="14" t="n">
        <v>1</v>
      </c>
      <c r="BI254" s="14" t="n">
        <v>0.579</v>
      </c>
      <c r="BJ254" s="14" t="n">
        <v>0.129</v>
      </c>
      <c r="BK254" s="14" t="n">
        <v>-0.279</v>
      </c>
      <c r="BL254" s="14" t="n">
        <v>0.346</v>
      </c>
      <c r="BM254" s="14" t="n">
        <v>0</v>
      </c>
      <c r="BN254" s="14" t="n">
        <v>0</v>
      </c>
      <c r="BO254" s="14" t="n">
        <v>0</v>
      </c>
      <c r="BP254" s="14" t="n">
        <v>0</v>
      </c>
      <c r="BQ254" s="14" t="n">
        <v>0.092</v>
      </c>
      <c r="BR254" s="14" t="n">
        <v>0</v>
      </c>
      <c r="BS254" s="14" t="n">
        <v>1</v>
      </c>
      <c r="BT254" s="14" t="n">
        <v>0</v>
      </c>
      <c r="BU254" s="14" t="n">
        <v>0</v>
      </c>
      <c r="BV254" s="14" t="n">
        <v>0.122</v>
      </c>
      <c r="BW254" s="14" t="n">
        <v>0</v>
      </c>
      <c r="BX254" s="14" t="n">
        <v>1</v>
      </c>
      <c r="BY254" s="14" t="n">
        <v>13.254</v>
      </c>
      <c r="BZ254" s="14" t="n">
        <v>0</v>
      </c>
      <c r="CA254" s="14" t="n">
        <v>13.254</v>
      </c>
      <c r="CB254" s="14" t="n">
        <v>0</v>
      </c>
      <c r="CC254" s="14" t="n">
        <v>83.248</v>
      </c>
      <c r="CD254" s="14" t="n">
        <v>7.95</v>
      </c>
      <c r="CE254" s="14" t="n">
        <v>1.383</v>
      </c>
      <c r="CF254" s="14" t="n">
        <v>95.735</v>
      </c>
      <c r="CG254" s="14" t="n">
        <v>0.15</v>
      </c>
      <c r="CH254" s="14" t="n">
        <v>1</v>
      </c>
      <c r="CI254" s="14" t="n">
        <v>0</v>
      </c>
      <c r="CJ254" s="14" t="n">
        <v>0</v>
      </c>
      <c r="CK254" s="14" t="n">
        <v>0</v>
      </c>
      <c r="CL254" s="14" t="n">
        <v>0</v>
      </c>
      <c r="CM254" s="14" t="n">
        <v>0</v>
      </c>
      <c r="CN254" s="14" t="n">
        <v>0</v>
      </c>
      <c r="CO254" s="14" t="n">
        <v>0</v>
      </c>
      <c r="CP254" s="14" t="n">
        <v>0</v>
      </c>
      <c r="CQ254" s="14" t="n">
        <v>1.348</v>
      </c>
      <c r="CR254" s="14" t="n">
        <v>1</v>
      </c>
      <c r="CS254" s="14" t="n">
        <v>3.956</v>
      </c>
      <c r="CT254" s="14" t="n">
        <v>4.861</v>
      </c>
      <c r="CU254" s="14" t="n">
        <v>9.260999999999999</v>
      </c>
    </row>
    <row r="255">
      <c r="A255" s="14" t="inlineStr">
        <is>
          <t>GNQ2024</t>
        </is>
      </c>
      <c r="B255" s="14" t="inlineStr">
        <is>
          <t>GNQ</t>
        </is>
      </c>
      <c r="C255" s="14" t="inlineStr">
        <is>
          <t>GNQ</t>
        </is>
      </c>
      <c r="D255" s="14" t="inlineStr">
        <is>
          <t>Equatorial Guinea</t>
        </is>
      </c>
      <c r="E255" s="14" t="n">
        <v>2024</v>
      </c>
      <c r="F255" s="14" t="n">
        <v>0.15</v>
      </c>
      <c r="G255" s="14" t="n">
        <v>5.575</v>
      </c>
      <c r="H255" s="14" t="n">
        <v>1.324</v>
      </c>
      <c r="I255" s="14" t="n">
        <v>0</v>
      </c>
      <c r="J255" s="14" t="n">
        <v>5.575</v>
      </c>
      <c r="K255" s="14" t="n">
        <v>0</v>
      </c>
      <c r="L255" s="14" t="n">
        <v>1</v>
      </c>
      <c r="M255" s="14" t="n">
        <v>7.124</v>
      </c>
      <c r="N255" s="14" t="n">
        <v>3.971</v>
      </c>
      <c r="O255" s="14" t="n">
        <v>0</v>
      </c>
      <c r="P255" s="14" t="n">
        <v>7.124</v>
      </c>
      <c r="Q255" s="14" t="n">
        <v>0</v>
      </c>
      <c r="R255" s="14" t="n">
        <v>1</v>
      </c>
      <c r="S255" s="14" t="n">
        <v>12.193</v>
      </c>
      <c r="T255" s="14" t="n">
        <v>7.942</v>
      </c>
      <c r="U255" s="14" t="n">
        <v>0.249</v>
      </c>
      <c r="V255" s="14" t="n">
        <v>14.022</v>
      </c>
      <c r="W255" s="14" t="n">
        <v>0.15</v>
      </c>
      <c r="X255" s="14" t="n">
        <v>1</v>
      </c>
      <c r="Y255" s="14" t="n">
        <v>4.735</v>
      </c>
      <c r="Z255" s="14" t="n">
        <v>0.52</v>
      </c>
      <c r="AA255" s="14" t="n">
        <v>0</v>
      </c>
      <c r="AB255" s="14" t="n">
        <v>4.735</v>
      </c>
      <c r="AC255" s="14" t="n">
        <v>0</v>
      </c>
      <c r="AD255" s="14" t="n">
        <v>1</v>
      </c>
      <c r="AE255" s="14" t="n">
        <v>5.397</v>
      </c>
      <c r="AF255" s="14" t="n">
        <v>1.049</v>
      </c>
      <c r="AG255" s="14" t="n">
        <v>0</v>
      </c>
      <c r="AH255" s="14" t="n">
        <v>5.397</v>
      </c>
      <c r="AI255" s="14" t="n">
        <v>0</v>
      </c>
      <c r="AJ255" s="14" t="n">
        <v>1</v>
      </c>
      <c r="AK255" s="14" t="n">
        <v>9.368</v>
      </c>
      <c r="AL255" s="14" t="n">
        <v>4.419</v>
      </c>
      <c r="AM255" s="14" t="n">
        <v>0.191</v>
      </c>
      <c r="AN255" s="14" t="n">
        <v>10.773</v>
      </c>
      <c r="AO255" s="14" t="n">
        <v>0.15</v>
      </c>
      <c r="AP255" s="14" t="n">
        <v>1</v>
      </c>
      <c r="AQ255" s="14" t="n">
        <v>0.724</v>
      </c>
      <c r="AR255" s="14" t="n">
        <v>0.132</v>
      </c>
      <c r="AS255" s="14" t="n">
        <v>-0.019</v>
      </c>
      <c r="AT255" s="14" t="n">
        <v>0.8110000000000001</v>
      </c>
      <c r="AU255" s="14" t="n">
        <v>0.15</v>
      </c>
      <c r="AV255" s="14" t="n">
        <v>1</v>
      </c>
      <c r="AW255" s="14" t="n">
        <v>0.75</v>
      </c>
      <c r="AX255" s="14" t="n">
        <v>0.132</v>
      </c>
      <c r="AY255" s="14" t="n">
        <v>-0.075</v>
      </c>
      <c r="AZ255" s="14" t="n">
        <v>0.776</v>
      </c>
      <c r="BA255" s="14" t="n">
        <v>0.15</v>
      </c>
      <c r="BB255" s="14" t="n">
        <v>1</v>
      </c>
      <c r="BC255" s="14" t="n">
        <v>0.513</v>
      </c>
      <c r="BD255" s="14" t="n">
        <v>0.132</v>
      </c>
      <c r="BE255" s="14" t="n">
        <v>0.01</v>
      </c>
      <c r="BF255" s="14" t="n">
        <v>0.59</v>
      </c>
      <c r="BG255" s="14" t="n">
        <v>0.15</v>
      </c>
      <c r="BH255" s="14" t="n">
        <v>1</v>
      </c>
      <c r="BI255" s="14" t="n">
        <v>0.591</v>
      </c>
      <c r="BJ255" s="14" t="n">
        <v>0.132</v>
      </c>
      <c r="BK255" s="14" t="n">
        <v>-0.291</v>
      </c>
      <c r="BL255" s="14" t="n">
        <v>0.346</v>
      </c>
      <c r="BM255" s="14" t="n">
        <v>0</v>
      </c>
      <c r="BN255" s="14" t="n">
        <v>0</v>
      </c>
      <c r="BO255" s="14" t="n">
        <v>0</v>
      </c>
      <c r="BP255" s="14" t="n">
        <v>0</v>
      </c>
      <c r="BQ255" s="14" t="n">
        <v>0.095</v>
      </c>
      <c r="BR255" s="14" t="n">
        <v>0</v>
      </c>
      <c r="BS255" s="14" t="n">
        <v>1</v>
      </c>
      <c r="BT255" s="14" t="n">
        <v>0</v>
      </c>
      <c r="BU255" s="14" t="n">
        <v>0</v>
      </c>
      <c r="BV255" s="14" t="n">
        <v>0.126</v>
      </c>
      <c r="BW255" s="14" t="n">
        <v>0</v>
      </c>
      <c r="BX255" s="14" t="n">
        <v>1</v>
      </c>
      <c r="BY255" s="14" t="n">
        <v>13.646</v>
      </c>
      <c r="BZ255" s="14" t="n">
        <v>0</v>
      </c>
      <c r="CA255" s="14" t="n">
        <v>13.646</v>
      </c>
      <c r="CB255" s="14" t="n">
        <v>0</v>
      </c>
      <c r="CC255" s="14" t="n">
        <v>82.58799999999999</v>
      </c>
      <c r="CD255" s="14" t="n">
        <v>7.95</v>
      </c>
      <c r="CE255" s="14" t="n">
        <v>1.687</v>
      </c>
      <c r="CF255" s="14" t="n">
        <v>94.976</v>
      </c>
      <c r="CG255" s="14" t="n">
        <v>0.15</v>
      </c>
      <c r="CH255" s="14" t="n">
        <v>1</v>
      </c>
      <c r="CI255" s="14" t="n">
        <v>0</v>
      </c>
      <c r="CJ255" s="14" t="n">
        <v>0</v>
      </c>
      <c r="CK255" s="14" t="n">
        <v>0</v>
      </c>
      <c r="CL255" s="14" t="n">
        <v>0</v>
      </c>
      <c r="CM255" s="14" t="n">
        <v>0</v>
      </c>
      <c r="CN255" s="14" t="n">
        <v>0</v>
      </c>
      <c r="CO255" s="14" t="n">
        <v>0</v>
      </c>
      <c r="CP255" s="14" t="n">
        <v>0</v>
      </c>
      <c r="CQ255" s="14" t="n">
        <v>1.387</v>
      </c>
      <c r="CR255" s="14" t="n">
        <v>1</v>
      </c>
      <c r="CS255" s="14" t="n">
        <v>4.073</v>
      </c>
      <c r="CT255" s="14" t="n">
        <v>4.251</v>
      </c>
      <c r="CU255" s="14" t="n">
        <v>7.598</v>
      </c>
    </row>
    <row r="256">
      <c r="A256" s="14" t="inlineStr">
        <is>
          <t>ERI2021</t>
        </is>
      </c>
      <c r="B256" s="14" t="inlineStr">
        <is>
          <t>ERI</t>
        </is>
      </c>
      <c r="C256" s="14" t="inlineStr">
        <is>
          <t>ERI</t>
        </is>
      </c>
      <c r="D256" s="14" t="inlineStr">
        <is>
          <t>Eritrea</t>
        </is>
      </c>
      <c r="E256" s="14" t="n">
        <v>2021</v>
      </c>
      <c r="F256" s="14" t="n">
        <v>0.08500000000000001</v>
      </c>
      <c r="G256" s="14" t="n">
        <v>5.897</v>
      </c>
      <c r="H256" s="14" t="n">
        <v>1.143</v>
      </c>
      <c r="I256" s="14" t="n">
        <v>0</v>
      </c>
      <c r="J256" s="14" t="n">
        <v>5.897</v>
      </c>
      <c r="K256" s="14" t="n">
        <v>0</v>
      </c>
      <c r="L256" s="14" t="n">
        <v>1</v>
      </c>
      <c r="M256" s="14" t="n">
        <v>7.964</v>
      </c>
      <c r="N256" s="14" t="n">
        <v>3.43</v>
      </c>
      <c r="O256" s="14" t="n">
        <v>0</v>
      </c>
      <c r="P256" s="14" t="n">
        <v>7.964</v>
      </c>
      <c r="Q256" s="14" t="n">
        <v>0</v>
      </c>
      <c r="R256" s="14" t="n">
        <v>1</v>
      </c>
      <c r="S256" s="14" t="n">
        <v>11.613</v>
      </c>
      <c r="T256" s="14" t="n">
        <v>6.86</v>
      </c>
      <c r="U256" s="14" t="n">
        <v>0</v>
      </c>
      <c r="V256" s="14" t="n">
        <v>12.6</v>
      </c>
      <c r="W256" s="14" t="n">
        <v>0.08500000000000001</v>
      </c>
      <c r="X256" s="14" t="n">
        <v>1</v>
      </c>
      <c r="Y256" s="14" t="n">
        <v>16.305</v>
      </c>
      <c r="Z256" s="14" t="n">
        <v>2.204</v>
      </c>
      <c r="AA256" s="14" t="n">
        <v>0</v>
      </c>
      <c r="AB256" s="14" t="n">
        <v>16.305</v>
      </c>
      <c r="AC256" s="14" t="n">
        <v>0</v>
      </c>
      <c r="AD256" s="14" t="n">
        <v>1</v>
      </c>
      <c r="AE256" s="14" t="n">
        <v>17.449</v>
      </c>
      <c r="AF256" s="14" t="n">
        <v>4.08</v>
      </c>
      <c r="AG256" s="14" t="n">
        <v>0</v>
      </c>
      <c r="AH256" s="14" t="n">
        <v>17.449</v>
      </c>
      <c r="AI256" s="14" t="n">
        <v>0</v>
      </c>
      <c r="AJ256" s="14" t="n">
        <v>1</v>
      </c>
      <c r="AK256" s="14" t="n">
        <v>24.309</v>
      </c>
      <c r="AL256" s="14" t="n">
        <v>12.947</v>
      </c>
      <c r="AM256" s="14" t="n">
        <v>0</v>
      </c>
      <c r="AN256" s="14" t="n">
        <v>26.375</v>
      </c>
      <c r="AO256" s="14" t="n">
        <v>0.08500000000000001</v>
      </c>
      <c r="AP256" s="14" t="n">
        <v>1</v>
      </c>
      <c r="AQ256" s="14" t="n">
        <v>0.619</v>
      </c>
      <c r="AR256" s="14" t="n">
        <v>0.114</v>
      </c>
      <c r="AS256" s="14" t="n">
        <v>0</v>
      </c>
      <c r="AT256" s="14" t="n">
        <v>0.672</v>
      </c>
      <c r="AU256" s="14" t="n">
        <v>0.08500000000000001</v>
      </c>
      <c r="AV256" s="14" t="n">
        <v>1</v>
      </c>
      <c r="AW256" s="14" t="n">
        <v>0.599</v>
      </c>
      <c r="AX256" s="14" t="n">
        <v>0.114</v>
      </c>
      <c r="AY256" s="14" t="n">
        <v>0</v>
      </c>
      <c r="AZ256" s="14" t="n">
        <v>0.65</v>
      </c>
      <c r="BA256" s="14" t="n">
        <v>0.08500000000000001</v>
      </c>
      <c r="BB256" s="14" t="n">
        <v>1</v>
      </c>
      <c r="BC256" s="14" t="n">
        <v>0.439</v>
      </c>
      <c r="BD256" s="14" t="n">
        <v>0.114</v>
      </c>
      <c r="BE256" s="14" t="n">
        <v>0</v>
      </c>
      <c r="BF256" s="14" t="n">
        <v>0.476</v>
      </c>
      <c r="BG256" s="14" t="n">
        <v>0.08500000000000001</v>
      </c>
      <c r="BH256" s="14" t="n">
        <v>1</v>
      </c>
      <c r="BI256" s="14" t="n">
        <v>0.505</v>
      </c>
      <c r="BJ256" s="14" t="n">
        <v>0.114</v>
      </c>
      <c r="BK256" s="14" t="n">
        <v>0</v>
      </c>
      <c r="BL256" s="14" t="n">
        <v>0.548</v>
      </c>
      <c r="BM256" s="14" t="n">
        <v>0.08500000000000001</v>
      </c>
      <c r="BN256" s="14" t="n">
        <v>1</v>
      </c>
      <c r="BO256" s="14" t="n">
        <v>0</v>
      </c>
      <c r="BP256" s="14" t="n">
        <v>0</v>
      </c>
      <c r="BQ256" s="14" t="n">
        <v>0.24</v>
      </c>
      <c r="BR256" s="14" t="n">
        <v>0</v>
      </c>
      <c r="BS256" s="14" t="n">
        <v>0.167</v>
      </c>
      <c r="BT256" s="14" t="n">
        <v>0</v>
      </c>
      <c r="BU256" s="14" t="n">
        <v>0</v>
      </c>
      <c r="BV256" s="14" t="n">
        <v>0.24</v>
      </c>
      <c r="BW256" s="14" t="n">
        <v>0.08500000000000001</v>
      </c>
      <c r="BX256" s="14" t="n">
        <v>0.167</v>
      </c>
      <c r="BY256" s="14" t="n">
        <v>11.787</v>
      </c>
      <c r="BZ256" s="14" t="n">
        <v>0</v>
      </c>
      <c r="CA256" s="14" t="n">
        <v>11.787</v>
      </c>
      <c r="CB256" s="14" t="n">
        <v>0</v>
      </c>
      <c r="CC256" s="14" t="n">
        <v>78.125</v>
      </c>
      <c r="CD256" s="14" t="n">
        <v>7.95</v>
      </c>
      <c r="CE256" s="14" t="n">
        <v>0</v>
      </c>
      <c r="CF256" s="14" t="n">
        <v>84.76600000000001</v>
      </c>
      <c r="CG256" s="14" t="n">
        <v>0.08500000000000001</v>
      </c>
      <c r="CH256" s="14" t="n">
        <v>1</v>
      </c>
      <c r="CI256" s="14" t="n">
        <v>0</v>
      </c>
      <c r="CJ256" s="14" t="n">
        <v>0</v>
      </c>
      <c r="CK256" s="14" t="n">
        <v>0</v>
      </c>
      <c r="CL256" s="14" t="n">
        <v>0</v>
      </c>
      <c r="CM256" s="14" t="n">
        <v>0</v>
      </c>
      <c r="CN256" s="14" t="n">
        <v>0</v>
      </c>
      <c r="CO256" s="14" t="n">
        <v>0</v>
      </c>
      <c r="CP256" s="14" t="n">
        <v>0</v>
      </c>
      <c r="CQ256" s="14" t="n">
        <v>1.198</v>
      </c>
      <c r="CR256" s="14" t="n">
        <v>0</v>
      </c>
      <c r="CS256" s="14" t="n">
        <v>4.776</v>
      </c>
      <c r="CT256" s="14" t="n">
        <v>4.753</v>
      </c>
      <c r="CU256" s="14" t="n">
        <v>15.162</v>
      </c>
    </row>
    <row r="257">
      <c r="A257" s="14" t="inlineStr">
        <is>
          <t>ERI2022</t>
        </is>
      </c>
      <c r="B257" s="14" t="inlineStr">
        <is>
          <t>ERI</t>
        </is>
      </c>
      <c r="C257" s="14" t="inlineStr">
        <is>
          <t>ERI</t>
        </is>
      </c>
      <c r="D257" s="14" t="inlineStr">
        <is>
          <t>Eritrea</t>
        </is>
      </c>
      <c r="E257" s="14" t="n">
        <v>2022</v>
      </c>
      <c r="F257" s="14" t="n">
        <v>0.08500000000000001</v>
      </c>
      <c r="G257" s="14" t="n">
        <v>11.72</v>
      </c>
      <c r="H257" s="14" t="n">
        <v>1.235</v>
      </c>
      <c r="I257" s="14" t="n">
        <v>0</v>
      </c>
      <c r="J257" s="14" t="n">
        <v>11.72</v>
      </c>
      <c r="K257" s="14" t="n">
        <v>0</v>
      </c>
      <c r="L257" s="14" t="n">
        <v>1</v>
      </c>
      <c r="M257" s="14" t="n">
        <v>9.782999999999999</v>
      </c>
      <c r="N257" s="14" t="n">
        <v>3.704</v>
      </c>
      <c r="O257" s="14" t="n">
        <v>0</v>
      </c>
      <c r="P257" s="14" t="n">
        <v>9.782999999999999</v>
      </c>
      <c r="Q257" s="14" t="n">
        <v>0</v>
      </c>
      <c r="R257" s="14" t="n">
        <v>1</v>
      </c>
      <c r="S257" s="14" t="n">
        <v>17.893</v>
      </c>
      <c r="T257" s="14" t="n">
        <v>7.408</v>
      </c>
      <c r="U257" s="14" t="n">
        <v>0.113</v>
      </c>
      <c r="V257" s="14" t="n">
        <v>19.414</v>
      </c>
      <c r="W257" s="14" t="n">
        <v>0.08500000000000001</v>
      </c>
      <c r="X257" s="14" t="n">
        <v>1</v>
      </c>
      <c r="Y257" s="14" t="n">
        <v>32.56</v>
      </c>
      <c r="Z257" s="14" t="n">
        <v>4.401</v>
      </c>
      <c r="AA257" s="14" t="n">
        <v>0</v>
      </c>
      <c r="AB257" s="14" t="n">
        <v>32.56</v>
      </c>
      <c r="AC257" s="14" t="n">
        <v>0</v>
      </c>
      <c r="AD257" s="14" t="n">
        <v>1</v>
      </c>
      <c r="AE257" s="14" t="n">
        <v>33.795</v>
      </c>
      <c r="AF257" s="14" t="n">
        <v>7.902</v>
      </c>
      <c r="AG257" s="14" t="n">
        <v>0</v>
      </c>
      <c r="AH257" s="14" t="n">
        <v>33.795</v>
      </c>
      <c r="AI257" s="14" t="n">
        <v>0</v>
      </c>
      <c r="AJ257" s="14" t="n">
        <v>1</v>
      </c>
      <c r="AK257" s="14" t="n">
        <v>41.203</v>
      </c>
      <c r="AL257" s="14" t="n">
        <v>21.945</v>
      </c>
      <c r="AM257" s="14" t="n">
        <v>0.259</v>
      </c>
      <c r="AN257" s="14" t="n">
        <v>44.705</v>
      </c>
      <c r="AO257" s="14" t="n">
        <v>0.08500000000000001</v>
      </c>
      <c r="AP257" s="14" t="n">
        <v>1</v>
      </c>
      <c r="AQ257" s="14" t="n">
        <v>0.861</v>
      </c>
      <c r="AR257" s="14" t="n">
        <v>0.123</v>
      </c>
      <c r="AS257" s="14" t="n">
        <v>0.005</v>
      </c>
      <c r="AT257" s="14" t="n">
        <v>0.9340000000000001</v>
      </c>
      <c r="AU257" s="14" t="n">
        <v>0.08500000000000001</v>
      </c>
      <c r="AV257" s="14" t="n">
        <v>1</v>
      </c>
      <c r="AW257" s="14" t="n">
        <v>0.986</v>
      </c>
      <c r="AX257" s="14" t="n">
        <v>0.123</v>
      </c>
      <c r="AY257" s="14" t="n">
        <v>0.006</v>
      </c>
      <c r="AZ257" s="14" t="n">
        <v>1.07</v>
      </c>
      <c r="BA257" s="14" t="n">
        <v>0.08500000000000001</v>
      </c>
      <c r="BB257" s="14" t="n">
        <v>1</v>
      </c>
      <c r="BC257" s="14" t="n">
        <v>0.598</v>
      </c>
      <c r="BD257" s="14" t="n">
        <v>0.123</v>
      </c>
      <c r="BE257" s="14" t="n">
        <v>0.004</v>
      </c>
      <c r="BF257" s="14" t="n">
        <v>0.649</v>
      </c>
      <c r="BG257" s="14" t="n">
        <v>0.08500000000000001</v>
      </c>
      <c r="BH257" s="14" t="n">
        <v>1</v>
      </c>
      <c r="BI257" s="14" t="n">
        <v>0.612</v>
      </c>
      <c r="BJ257" s="14" t="n">
        <v>0.123</v>
      </c>
      <c r="BK257" s="14" t="n">
        <v>0.004</v>
      </c>
      <c r="BL257" s="14" t="n">
        <v>0.664</v>
      </c>
      <c r="BM257" s="14" t="n">
        <v>0.08500000000000001</v>
      </c>
      <c r="BN257" s="14" t="n">
        <v>1</v>
      </c>
      <c r="BO257" s="14" t="n">
        <v>0</v>
      </c>
      <c r="BP257" s="14" t="n">
        <v>0</v>
      </c>
      <c r="BQ257" s="14" t="n">
        <v>0.24</v>
      </c>
      <c r="BR257" s="14" t="n">
        <v>0</v>
      </c>
      <c r="BS257" s="14" t="n">
        <v>0.167</v>
      </c>
      <c r="BT257" s="14" t="n">
        <v>0</v>
      </c>
      <c r="BU257" s="14" t="n">
        <v>0</v>
      </c>
      <c r="BV257" s="14" t="n">
        <v>0.24</v>
      </c>
      <c r="BW257" s="14" t="n">
        <v>0.08500000000000001</v>
      </c>
      <c r="BX257" s="14" t="n">
        <v>0.167</v>
      </c>
      <c r="BY257" s="14" t="n">
        <v>12.729</v>
      </c>
      <c r="BZ257" s="14" t="n">
        <v>0</v>
      </c>
      <c r="CA257" s="14" t="n">
        <v>12.729</v>
      </c>
      <c r="CB257" s="14" t="n">
        <v>0</v>
      </c>
      <c r="CC257" s="14" t="n">
        <v>97.90000000000001</v>
      </c>
      <c r="CD257" s="14" t="n">
        <v>7.95</v>
      </c>
      <c r="CE257" s="14" t="n">
        <v>0.616</v>
      </c>
      <c r="CF257" s="14" t="n">
        <v>106.222</v>
      </c>
      <c r="CG257" s="14" t="n">
        <v>0.08500000000000001</v>
      </c>
      <c r="CH257" s="14" t="n">
        <v>1</v>
      </c>
      <c r="CI257" s="14" t="n">
        <v>0</v>
      </c>
      <c r="CJ257" s="14" t="n">
        <v>0</v>
      </c>
      <c r="CK257" s="14" t="n">
        <v>0</v>
      </c>
      <c r="CL257" s="14" t="n">
        <v>0</v>
      </c>
      <c r="CM257" s="14" t="n">
        <v>0</v>
      </c>
      <c r="CN257" s="14" t="n">
        <v>0</v>
      </c>
      <c r="CO257" s="14" t="n">
        <v>0</v>
      </c>
      <c r="CP257" s="14" t="n">
        <v>0</v>
      </c>
      <c r="CQ257" s="14" t="n">
        <v>1.294</v>
      </c>
      <c r="CR257" s="14" t="n">
        <v>0</v>
      </c>
      <c r="CS257" s="14" t="n">
        <v>5.158</v>
      </c>
      <c r="CT257" s="14" t="n">
        <v>10.485</v>
      </c>
      <c r="CU257" s="14" t="n">
        <v>31.326</v>
      </c>
    </row>
    <row r="258">
      <c r="A258" s="14" t="inlineStr">
        <is>
          <t>ERI2023</t>
        </is>
      </c>
      <c r="B258" s="14" t="inlineStr">
        <is>
          <t>ERI</t>
        </is>
      </c>
      <c r="C258" s="14" t="inlineStr">
        <is>
          <t>ERI</t>
        </is>
      </c>
      <c r="D258" s="14" t="inlineStr">
        <is>
          <t>Eritrea</t>
        </is>
      </c>
      <c r="E258" s="14" t="n">
        <v>2023</v>
      </c>
      <c r="F258" s="14" t="n">
        <v>0.08500000000000001</v>
      </c>
      <c r="G258" s="14" t="n">
        <v>6.147</v>
      </c>
      <c r="H258" s="14" t="n">
        <v>1.286</v>
      </c>
      <c r="I258" s="14" t="n">
        <v>0</v>
      </c>
      <c r="J258" s="14" t="n">
        <v>6.147</v>
      </c>
      <c r="K258" s="14" t="n">
        <v>0</v>
      </c>
      <c r="L258" s="14" t="n">
        <v>1</v>
      </c>
      <c r="M258" s="14" t="n">
        <v>7.886</v>
      </c>
      <c r="N258" s="14" t="n">
        <v>3.857</v>
      </c>
      <c r="O258" s="14" t="n">
        <v>0</v>
      </c>
      <c r="P258" s="14" t="n">
        <v>7.886</v>
      </c>
      <c r="Q258" s="14" t="n">
        <v>0</v>
      </c>
      <c r="R258" s="14" t="n">
        <v>1</v>
      </c>
      <c r="S258" s="14" t="n">
        <v>12.575</v>
      </c>
      <c r="T258" s="14" t="n">
        <v>7.714</v>
      </c>
      <c r="U258" s="14" t="n">
        <v>0.118</v>
      </c>
      <c r="V258" s="14" t="n">
        <v>13.644</v>
      </c>
      <c r="W258" s="14" t="n">
        <v>0.08500000000000001</v>
      </c>
      <c r="X258" s="14" t="n">
        <v>1</v>
      </c>
      <c r="Y258" s="14" t="n">
        <v>12.908</v>
      </c>
      <c r="Z258" s="14" t="n">
        <v>1.745</v>
      </c>
      <c r="AA258" s="14" t="n">
        <v>0</v>
      </c>
      <c r="AB258" s="14" t="n">
        <v>12.908</v>
      </c>
      <c r="AC258" s="14" t="n">
        <v>0</v>
      </c>
      <c r="AD258" s="14" t="n">
        <v>1</v>
      </c>
      <c r="AE258" s="14" t="n">
        <v>14.194</v>
      </c>
      <c r="AF258" s="14" t="n">
        <v>3.319</v>
      </c>
      <c r="AG258" s="14" t="n">
        <v>0</v>
      </c>
      <c r="AH258" s="14" t="n">
        <v>14.194</v>
      </c>
      <c r="AI258" s="14" t="n">
        <v>0</v>
      </c>
      <c r="AJ258" s="14" t="n">
        <v>1</v>
      </c>
      <c r="AK258" s="14" t="n">
        <v>21.908</v>
      </c>
      <c r="AL258" s="14" t="n">
        <v>11.668</v>
      </c>
      <c r="AM258" s="14" t="n">
        <v>0.206</v>
      </c>
      <c r="AN258" s="14" t="n">
        <v>23.77</v>
      </c>
      <c r="AO258" s="14" t="n">
        <v>0.08500000000000001</v>
      </c>
      <c r="AP258" s="14" t="n">
        <v>1</v>
      </c>
      <c r="AQ258" s="14" t="n">
        <v>0.76</v>
      </c>
      <c r="AR258" s="14" t="n">
        <v>0.129</v>
      </c>
      <c r="AS258" s="14" t="n">
        <v>0.007</v>
      </c>
      <c r="AT258" s="14" t="n">
        <v>0.825</v>
      </c>
      <c r="AU258" s="14" t="n">
        <v>0.08500000000000001</v>
      </c>
      <c r="AV258" s="14" t="n">
        <v>1</v>
      </c>
      <c r="AW258" s="14" t="n">
        <v>0.8110000000000001</v>
      </c>
      <c r="AX258" s="14" t="n">
        <v>0.129</v>
      </c>
      <c r="AY258" s="14" t="n">
        <v>0.008</v>
      </c>
      <c r="AZ258" s="14" t="n">
        <v>0.88</v>
      </c>
      <c r="BA258" s="14" t="n">
        <v>0.08500000000000001</v>
      </c>
      <c r="BB258" s="14" t="n">
        <v>1</v>
      </c>
      <c r="BC258" s="14" t="n">
        <v>0.535</v>
      </c>
      <c r="BD258" s="14" t="n">
        <v>0.129</v>
      </c>
      <c r="BE258" s="14" t="n">
        <v>0.005</v>
      </c>
      <c r="BF258" s="14" t="n">
        <v>0.58</v>
      </c>
      <c r="BG258" s="14" t="n">
        <v>0.08500000000000001</v>
      </c>
      <c r="BH258" s="14" t="n">
        <v>1</v>
      </c>
      <c r="BI258" s="14" t="n">
        <v>0.579</v>
      </c>
      <c r="BJ258" s="14" t="n">
        <v>0.129</v>
      </c>
      <c r="BK258" s="14" t="n">
        <v>0.005</v>
      </c>
      <c r="BL258" s="14" t="n">
        <v>0.629</v>
      </c>
      <c r="BM258" s="14" t="n">
        <v>0.08500000000000001</v>
      </c>
      <c r="BN258" s="14" t="n">
        <v>1</v>
      </c>
      <c r="BO258" s="14" t="n">
        <v>0</v>
      </c>
      <c r="BP258" s="14" t="n">
        <v>0</v>
      </c>
      <c r="BQ258" s="14" t="n">
        <v>0.24</v>
      </c>
      <c r="BR258" s="14" t="n">
        <v>0</v>
      </c>
      <c r="BS258" s="14" t="n">
        <v>0.167</v>
      </c>
      <c r="BT258" s="14" t="n">
        <v>0</v>
      </c>
      <c r="BU258" s="14" t="n">
        <v>0</v>
      </c>
      <c r="BV258" s="14" t="n">
        <v>0.24</v>
      </c>
      <c r="BW258" s="14" t="n">
        <v>0.08500000000000001</v>
      </c>
      <c r="BX258" s="14" t="n">
        <v>0.167</v>
      </c>
      <c r="BY258" s="14" t="n">
        <v>13.254</v>
      </c>
      <c r="BZ258" s="14" t="n">
        <v>0</v>
      </c>
      <c r="CA258" s="14" t="n">
        <v>13.254</v>
      </c>
      <c r="CB258" s="14" t="n">
        <v>0</v>
      </c>
      <c r="CC258" s="14" t="n">
        <v>83.248</v>
      </c>
      <c r="CD258" s="14" t="n">
        <v>7.95</v>
      </c>
      <c r="CE258" s="14" t="n">
        <v>0.783</v>
      </c>
      <c r="CF258" s="14" t="n">
        <v>90.324</v>
      </c>
      <c r="CG258" s="14" t="n">
        <v>0.08500000000000001</v>
      </c>
      <c r="CH258" s="14" t="n">
        <v>1</v>
      </c>
      <c r="CI258" s="14" t="n">
        <v>0</v>
      </c>
      <c r="CJ258" s="14" t="n">
        <v>0</v>
      </c>
      <c r="CK258" s="14" t="n">
        <v>0</v>
      </c>
      <c r="CL258" s="14" t="n">
        <v>0</v>
      </c>
      <c r="CM258" s="14" t="n">
        <v>0</v>
      </c>
      <c r="CN258" s="14" t="n">
        <v>0</v>
      </c>
      <c r="CO258" s="14" t="n">
        <v>0</v>
      </c>
      <c r="CP258" s="14" t="n">
        <v>0</v>
      </c>
      <c r="CQ258" s="14" t="n">
        <v>1.348</v>
      </c>
      <c r="CR258" s="14" t="n">
        <v>0</v>
      </c>
      <c r="CS258" s="14" t="n">
        <v>5.37</v>
      </c>
      <c r="CT258" s="14" t="n">
        <v>4.861</v>
      </c>
      <c r="CU258" s="14" t="n">
        <v>11.622</v>
      </c>
    </row>
    <row r="259">
      <c r="A259" s="14" t="inlineStr">
        <is>
          <t>ERI2024</t>
        </is>
      </c>
      <c r="B259" s="14" t="inlineStr">
        <is>
          <t>ERI</t>
        </is>
      </c>
      <c r="C259" s="14" t="inlineStr">
        <is>
          <t>ERI</t>
        </is>
      </c>
      <c r="D259" s="14" t="inlineStr">
        <is>
          <t>Eritrea</t>
        </is>
      </c>
      <c r="E259" s="14" t="n">
        <v>2024</v>
      </c>
      <c r="F259" s="14" t="n">
        <v>0.08500000000000001</v>
      </c>
      <c r="G259" s="14" t="n">
        <v>5.575</v>
      </c>
      <c r="H259" s="14" t="n">
        <v>1.324</v>
      </c>
      <c r="I259" s="14" t="n">
        <v>0</v>
      </c>
      <c r="J259" s="14" t="n">
        <v>5.575</v>
      </c>
      <c r="K259" s="14" t="n">
        <v>0</v>
      </c>
      <c r="L259" s="14" t="n">
        <v>1</v>
      </c>
      <c r="M259" s="14" t="n">
        <v>7.124</v>
      </c>
      <c r="N259" s="14" t="n">
        <v>3.971</v>
      </c>
      <c r="O259" s="14" t="n">
        <v>0</v>
      </c>
      <c r="P259" s="14" t="n">
        <v>7.124</v>
      </c>
      <c r="Q259" s="14" t="n">
        <v>0</v>
      </c>
      <c r="R259" s="14" t="n">
        <v>1</v>
      </c>
      <c r="S259" s="14" t="n">
        <v>12.193</v>
      </c>
      <c r="T259" s="14" t="n">
        <v>7.942</v>
      </c>
      <c r="U259" s="14" t="n">
        <v>0.141</v>
      </c>
      <c r="V259" s="14" t="n">
        <v>13.229</v>
      </c>
      <c r="W259" s="14" t="n">
        <v>0.08500000000000001</v>
      </c>
      <c r="X259" s="14" t="n">
        <v>1</v>
      </c>
      <c r="Y259" s="14" t="n">
        <v>11.492</v>
      </c>
      <c r="Z259" s="14" t="n">
        <v>1.553</v>
      </c>
      <c r="AA259" s="14" t="n">
        <v>0</v>
      </c>
      <c r="AB259" s="14" t="n">
        <v>11.492</v>
      </c>
      <c r="AC259" s="14" t="n">
        <v>0</v>
      </c>
      <c r="AD259" s="14" t="n">
        <v>1</v>
      </c>
      <c r="AE259" s="14" t="n">
        <v>12.815</v>
      </c>
      <c r="AF259" s="14" t="n">
        <v>2.997</v>
      </c>
      <c r="AG259" s="14" t="n">
        <v>0</v>
      </c>
      <c r="AH259" s="14" t="n">
        <v>12.815</v>
      </c>
      <c r="AI259" s="14" t="n">
        <v>0</v>
      </c>
      <c r="AJ259" s="14" t="n">
        <v>1</v>
      </c>
      <c r="AK259" s="14" t="n">
        <v>20.757</v>
      </c>
      <c r="AL259" s="14" t="n">
        <v>11.055</v>
      </c>
      <c r="AM259" s="14" t="n">
        <v>0.24</v>
      </c>
      <c r="AN259" s="14" t="n">
        <v>22.521</v>
      </c>
      <c r="AO259" s="14" t="n">
        <v>0.08500000000000001</v>
      </c>
      <c r="AP259" s="14" t="n">
        <v>1</v>
      </c>
      <c r="AQ259" s="14" t="n">
        <v>0.724</v>
      </c>
      <c r="AR259" s="14" t="n">
        <v>0.132</v>
      </c>
      <c r="AS259" s="14" t="n">
        <v>0.008</v>
      </c>
      <c r="AT259" s="14" t="n">
        <v>0.786</v>
      </c>
      <c r="AU259" s="14" t="n">
        <v>0.08500000000000001</v>
      </c>
      <c r="AV259" s="14" t="n">
        <v>1</v>
      </c>
      <c r="AW259" s="14" t="n">
        <v>0.75</v>
      </c>
      <c r="AX259" s="14" t="n">
        <v>0.132</v>
      </c>
      <c r="AY259" s="14" t="n">
        <v>0.008999999999999999</v>
      </c>
      <c r="AZ259" s="14" t="n">
        <v>0.8139999999999999</v>
      </c>
      <c r="BA259" s="14" t="n">
        <v>0.08500000000000001</v>
      </c>
      <c r="BB259" s="14" t="n">
        <v>1</v>
      </c>
      <c r="BC259" s="14" t="n">
        <v>0.513</v>
      </c>
      <c r="BD259" s="14" t="n">
        <v>0.132</v>
      </c>
      <c r="BE259" s="14" t="n">
        <v>0.006</v>
      </c>
      <c r="BF259" s="14" t="n">
        <v>0.5570000000000001</v>
      </c>
      <c r="BG259" s="14" t="n">
        <v>0.08500000000000001</v>
      </c>
      <c r="BH259" s="14" t="n">
        <v>1</v>
      </c>
      <c r="BI259" s="14" t="n">
        <v>0.591</v>
      </c>
      <c r="BJ259" s="14" t="n">
        <v>0.132</v>
      </c>
      <c r="BK259" s="14" t="n">
        <v>0.007</v>
      </c>
      <c r="BL259" s="14" t="n">
        <v>0.642</v>
      </c>
      <c r="BM259" s="14" t="n">
        <v>0.08500000000000001</v>
      </c>
      <c r="BN259" s="14" t="n">
        <v>1</v>
      </c>
      <c r="BO259" s="14" t="n">
        <v>0</v>
      </c>
      <c r="BP259" s="14" t="n">
        <v>0</v>
      </c>
      <c r="BQ259" s="14" t="n">
        <v>0.247</v>
      </c>
      <c r="BR259" s="14" t="n">
        <v>0</v>
      </c>
      <c r="BS259" s="14" t="n">
        <v>0.167</v>
      </c>
      <c r="BT259" s="14" t="n">
        <v>0</v>
      </c>
      <c r="BU259" s="14" t="n">
        <v>0</v>
      </c>
      <c r="BV259" s="14" t="n">
        <v>0.247</v>
      </c>
      <c r="BW259" s="14" t="n">
        <v>0.08500000000000001</v>
      </c>
      <c r="BX259" s="14" t="n">
        <v>0.167</v>
      </c>
      <c r="BY259" s="14" t="n">
        <v>13.646</v>
      </c>
      <c r="BZ259" s="14" t="n">
        <v>0</v>
      </c>
      <c r="CA259" s="14" t="n">
        <v>13.646</v>
      </c>
      <c r="CB259" s="14" t="n">
        <v>0</v>
      </c>
      <c r="CC259" s="14" t="n">
        <v>82.58799999999999</v>
      </c>
      <c r="CD259" s="14" t="n">
        <v>7.95</v>
      </c>
      <c r="CE259" s="14" t="n">
        <v>0.956</v>
      </c>
      <c r="CF259" s="14" t="n">
        <v>89.608</v>
      </c>
      <c r="CG259" s="14" t="n">
        <v>0.08500000000000001</v>
      </c>
      <c r="CH259" s="14" t="n">
        <v>1</v>
      </c>
      <c r="CI259" s="14" t="n">
        <v>0</v>
      </c>
      <c r="CJ259" s="14" t="n">
        <v>0</v>
      </c>
      <c r="CK259" s="14" t="n">
        <v>0</v>
      </c>
      <c r="CL259" s="14" t="n">
        <v>0</v>
      </c>
      <c r="CM259" s="14" t="n">
        <v>0</v>
      </c>
      <c r="CN259" s="14" t="n">
        <v>0</v>
      </c>
      <c r="CO259" s="14" t="n">
        <v>0</v>
      </c>
      <c r="CP259" s="14" t="n">
        <v>0</v>
      </c>
      <c r="CQ259" s="14" t="n">
        <v>1.387</v>
      </c>
      <c r="CR259" s="14" t="n">
        <v>0</v>
      </c>
      <c r="CS259" s="14" t="n">
        <v>5.529</v>
      </c>
      <c r="CT259" s="14" t="n">
        <v>4.251</v>
      </c>
      <c r="CU259" s="14" t="n">
        <v>10.168</v>
      </c>
    </row>
    <row r="260">
      <c r="A260" s="14" t="inlineStr">
        <is>
          <t>EST2021</t>
        </is>
      </c>
      <c r="B260" s="14" t="inlineStr">
        <is>
          <t>EST</t>
        </is>
      </c>
      <c r="C260" s="14" t="inlineStr">
        <is>
          <t>EST</t>
        </is>
      </c>
      <c r="D260" s="14" t="inlineStr">
        <is>
          <t>Estonia</t>
        </is>
      </c>
      <c r="E260" s="14" t="n">
        <v>2021</v>
      </c>
      <c r="F260" s="14" t="n">
        <v>0.2</v>
      </c>
      <c r="G260" s="14" t="n">
        <v>1.774</v>
      </c>
      <c r="H260" s="14" t="n">
        <v>0.572</v>
      </c>
      <c r="I260" s="14" t="n">
        <v>2.742</v>
      </c>
      <c r="J260" s="14" t="n">
        <v>4.515</v>
      </c>
      <c r="K260" s="14" t="n">
        <v>0</v>
      </c>
      <c r="L260" s="14" t="n">
        <v>1</v>
      </c>
      <c r="M260" s="14" t="n">
        <v>2.919</v>
      </c>
      <c r="N260" s="14" t="n">
        <v>1.717</v>
      </c>
      <c r="O260" s="14" t="n">
        <v>2.702</v>
      </c>
      <c r="P260" s="14" t="n">
        <v>5.621</v>
      </c>
      <c r="Q260" s="14" t="n">
        <v>0</v>
      </c>
      <c r="R260" s="14" t="n">
        <v>1</v>
      </c>
      <c r="S260" s="14" t="n">
        <v>4.635</v>
      </c>
      <c r="T260" s="14" t="n">
        <v>3.434</v>
      </c>
      <c r="U260" s="14" t="n">
        <v>0.756</v>
      </c>
      <c r="V260" s="14" t="n">
        <v>6.47</v>
      </c>
      <c r="W260" s="14" t="n">
        <v>0.2</v>
      </c>
      <c r="X260" s="14" t="n">
        <v>1</v>
      </c>
      <c r="Y260" s="14" t="n">
        <v>11.978</v>
      </c>
      <c r="Z260" s="14" t="n">
        <v>1.323</v>
      </c>
      <c r="AA260" s="14" t="n">
        <v>5.549</v>
      </c>
      <c r="AB260" s="14" t="n">
        <v>17.527</v>
      </c>
      <c r="AC260" s="14" t="n">
        <v>0</v>
      </c>
      <c r="AD260" s="14" t="n">
        <v>1</v>
      </c>
      <c r="AE260" s="14" t="n">
        <v>11.934</v>
      </c>
      <c r="AF260" s="14" t="n">
        <v>2.348</v>
      </c>
      <c r="AG260" s="14" t="n">
        <v>5.593</v>
      </c>
      <c r="AH260" s="14" t="n">
        <v>17.527</v>
      </c>
      <c r="AI260" s="14" t="n">
        <v>0</v>
      </c>
      <c r="AJ260" s="14" t="n">
        <v>1</v>
      </c>
      <c r="AK260" s="14" t="n">
        <v>16.329</v>
      </c>
      <c r="AL260" s="14" t="n">
        <v>8.013999999999999</v>
      </c>
      <c r="AM260" s="14" t="n">
        <v>-0.107</v>
      </c>
      <c r="AN260" s="14" t="n">
        <v>19.466</v>
      </c>
      <c r="AO260" s="14" t="n">
        <v>0.2</v>
      </c>
      <c r="AP260" s="14" t="n">
        <v>1</v>
      </c>
      <c r="AQ260" s="14" t="n">
        <v>0.619</v>
      </c>
      <c r="AR260" s="14" t="n">
        <v>0.114</v>
      </c>
      <c r="AS260" s="14" t="n">
        <v>0.787</v>
      </c>
      <c r="AT260" s="14" t="n">
        <v>1.687</v>
      </c>
      <c r="AU260" s="14" t="n">
        <v>0.2</v>
      </c>
      <c r="AV260" s="14" t="n">
        <v>1</v>
      </c>
      <c r="AW260" s="14" t="n">
        <v>0.599</v>
      </c>
      <c r="AX260" s="14" t="n">
        <v>0.114</v>
      </c>
      <c r="AY260" s="14" t="n">
        <v>0.621</v>
      </c>
      <c r="AZ260" s="14" t="n">
        <v>1.465</v>
      </c>
      <c r="BA260" s="14" t="n">
        <v>0.2</v>
      </c>
      <c r="BB260" s="14" t="n">
        <v>1</v>
      </c>
      <c r="BC260" s="14" t="n">
        <v>0.439</v>
      </c>
      <c r="BD260" s="14" t="n">
        <v>0.114</v>
      </c>
      <c r="BE260" s="14" t="n">
        <v>0.261</v>
      </c>
      <c r="BF260" s="14" t="n">
        <v>0.839</v>
      </c>
      <c r="BG260" s="14" t="n">
        <v>0.2</v>
      </c>
      <c r="BH260" s="14" t="n">
        <v>1</v>
      </c>
      <c r="BI260" s="14" t="n">
        <v>0.505</v>
      </c>
      <c r="BJ260" s="14" t="n">
        <v>0.114</v>
      </c>
      <c r="BK260" s="14" t="n">
        <v>0.362</v>
      </c>
      <c r="BL260" s="14" t="n">
        <v>1.04</v>
      </c>
      <c r="BM260" s="14" t="n">
        <v>0.2</v>
      </c>
      <c r="BN260" s="14" t="n">
        <v>1</v>
      </c>
      <c r="BO260" s="14" t="n">
        <v>0</v>
      </c>
      <c r="BP260" s="14" t="n">
        <v>0.015</v>
      </c>
      <c r="BQ260" s="14" t="n">
        <v>0.125</v>
      </c>
      <c r="BR260" s="14" t="n">
        <v>0</v>
      </c>
      <c r="BS260" s="14" t="n">
        <v>1</v>
      </c>
      <c r="BT260" s="14" t="n">
        <v>0</v>
      </c>
      <c r="BU260" s="14" t="n">
        <v>0.015</v>
      </c>
      <c r="BV260" s="14" t="n">
        <v>0.193</v>
      </c>
      <c r="BW260" s="14" t="n">
        <v>0.2</v>
      </c>
      <c r="BX260" s="14" t="n">
        <v>0.667</v>
      </c>
      <c r="BY260" s="14" t="n">
        <v>11.787</v>
      </c>
      <c r="BZ260" s="14" t="n">
        <v>0</v>
      </c>
      <c r="CA260" s="14" t="n">
        <v>11.787</v>
      </c>
      <c r="CB260" s="14" t="n">
        <v>0</v>
      </c>
      <c r="CC260" s="14" t="n">
        <v>78.125</v>
      </c>
      <c r="CD260" s="14" t="n">
        <v>7.95</v>
      </c>
      <c r="CE260" s="14" t="n">
        <v>68.926</v>
      </c>
      <c r="CF260" s="14" t="n">
        <v>176.461</v>
      </c>
      <c r="CG260" s="14" t="n">
        <v>0.2</v>
      </c>
      <c r="CH260" s="14" t="n">
        <v>1</v>
      </c>
      <c r="CI260" s="14" t="n">
        <v>0</v>
      </c>
      <c r="CJ260" s="14" t="n">
        <v>0</v>
      </c>
      <c r="CK260" s="14" t="n">
        <v>0</v>
      </c>
      <c r="CL260" s="14" t="n">
        <v>0</v>
      </c>
      <c r="CM260" s="14" t="n">
        <v>0</v>
      </c>
      <c r="CN260" s="14" t="n">
        <v>0</v>
      </c>
      <c r="CO260" s="14" t="n">
        <v>0</v>
      </c>
      <c r="CP260" s="14" t="n">
        <v>0.999</v>
      </c>
      <c r="CQ260" s="14" t="n">
        <v>1.198</v>
      </c>
      <c r="CR260" s="14" t="n">
        <v>0</v>
      </c>
      <c r="CS260" s="14" t="n">
        <v>4.776</v>
      </c>
      <c r="CT260" s="14" t="n">
        <v>3.852</v>
      </c>
      <c r="CU260" s="14" t="n">
        <v>8.009</v>
      </c>
    </row>
    <row r="261">
      <c r="A261" s="14" t="inlineStr">
        <is>
          <t>EST2022</t>
        </is>
      </c>
      <c r="B261" s="14" t="inlineStr">
        <is>
          <t>EST</t>
        </is>
      </c>
      <c r="C261" s="14" t="inlineStr">
        <is>
          <t>EST</t>
        </is>
      </c>
      <c r="D261" s="14" t="inlineStr">
        <is>
          <t>Estonia</t>
        </is>
      </c>
      <c r="E261" s="14" t="n">
        <v>2022</v>
      </c>
      <c r="F261" s="14" t="n">
        <v>0.2</v>
      </c>
      <c r="G261" s="14" t="n">
        <v>1.914</v>
      </c>
      <c r="H261" s="14" t="n">
        <v>0.618</v>
      </c>
      <c r="I261" s="14" t="n">
        <v>9.448</v>
      </c>
      <c r="J261" s="14" t="n">
        <v>11.362</v>
      </c>
      <c r="K261" s="14" t="n">
        <v>0</v>
      </c>
      <c r="L261" s="14" t="n">
        <v>1</v>
      </c>
      <c r="M261" s="14" t="n">
        <v>3.15</v>
      </c>
      <c r="N261" s="14" t="n">
        <v>1.853</v>
      </c>
      <c r="O261" s="14" t="n">
        <v>8.891</v>
      </c>
      <c r="P261" s="14" t="n">
        <v>12.041</v>
      </c>
      <c r="Q261" s="14" t="n">
        <v>0</v>
      </c>
      <c r="R261" s="14" t="n">
        <v>1</v>
      </c>
      <c r="S261" s="14" t="n">
        <v>5.003</v>
      </c>
      <c r="T261" s="14" t="n">
        <v>3.706</v>
      </c>
      <c r="U261" s="14" t="n">
        <v>0.8090000000000001</v>
      </c>
      <c r="V261" s="14" t="n">
        <v>6.872</v>
      </c>
      <c r="W261" s="14" t="n">
        <v>0.2</v>
      </c>
      <c r="X261" s="14" t="n">
        <v>1</v>
      </c>
      <c r="Y261" s="14" t="n">
        <v>29.224</v>
      </c>
      <c r="Z261" s="14" t="n">
        <v>3.066</v>
      </c>
      <c r="AA261" s="14" t="n">
        <v>10.043</v>
      </c>
      <c r="AB261" s="14" t="n">
        <v>39.267</v>
      </c>
      <c r="AC261" s="14" t="n">
        <v>0</v>
      </c>
      <c r="AD261" s="14" t="n">
        <v>1</v>
      </c>
      <c r="AE261" s="14" t="n">
        <v>29.272</v>
      </c>
      <c r="AF261" s="14" t="n">
        <v>5.427</v>
      </c>
      <c r="AG261" s="14" t="n">
        <v>9.994999999999999</v>
      </c>
      <c r="AH261" s="14" t="n">
        <v>39.267</v>
      </c>
      <c r="AI261" s="14" t="n">
        <v>0</v>
      </c>
      <c r="AJ261" s="14" t="n">
        <v>1</v>
      </c>
      <c r="AK261" s="14" t="n">
        <v>34.211</v>
      </c>
      <c r="AL261" s="14" t="n">
        <v>16.337</v>
      </c>
      <c r="AM261" s="14" t="n">
        <v>-7.457</v>
      </c>
      <c r="AN261" s="14" t="n">
        <v>32.105</v>
      </c>
      <c r="AO261" s="14" t="n">
        <v>0.2</v>
      </c>
      <c r="AP261" s="14" t="n">
        <v>1</v>
      </c>
      <c r="AQ261" s="14" t="n">
        <v>0.861</v>
      </c>
      <c r="AR261" s="14" t="n">
        <v>0.123</v>
      </c>
      <c r="AS261" s="14" t="n">
        <v>0.763</v>
      </c>
      <c r="AT261" s="14" t="n">
        <v>1.949</v>
      </c>
      <c r="AU261" s="14" t="n">
        <v>0.2</v>
      </c>
      <c r="AV261" s="14" t="n">
        <v>1</v>
      </c>
      <c r="AW261" s="14" t="n">
        <v>0.986</v>
      </c>
      <c r="AX261" s="14" t="n">
        <v>0.123</v>
      </c>
      <c r="AY261" s="14" t="n">
        <v>0.585</v>
      </c>
      <c r="AZ261" s="14" t="n">
        <v>1.885</v>
      </c>
      <c r="BA261" s="14" t="n">
        <v>0.2</v>
      </c>
      <c r="BB261" s="14" t="n">
        <v>1</v>
      </c>
      <c r="BC261" s="14" t="n">
        <v>0.598</v>
      </c>
      <c r="BD261" s="14" t="n">
        <v>0.123</v>
      </c>
      <c r="BE261" s="14" t="n">
        <v>0.154</v>
      </c>
      <c r="BF261" s="14" t="n">
        <v>0.902</v>
      </c>
      <c r="BG261" s="14" t="n">
        <v>0.2</v>
      </c>
      <c r="BH261" s="14" t="n">
        <v>1</v>
      </c>
      <c r="BI261" s="14" t="n">
        <v>0.612</v>
      </c>
      <c r="BJ261" s="14" t="n">
        <v>0.123</v>
      </c>
      <c r="BK261" s="14" t="n">
        <v>0.593</v>
      </c>
      <c r="BL261" s="14" t="n">
        <v>1.447</v>
      </c>
      <c r="BM261" s="14" t="n">
        <v>0.2</v>
      </c>
      <c r="BN261" s="14" t="n">
        <v>1</v>
      </c>
      <c r="BO261" s="14" t="n">
        <v>0</v>
      </c>
      <c r="BP261" s="14" t="n">
        <v>0.013</v>
      </c>
      <c r="BQ261" s="14" t="n">
        <v>0.206</v>
      </c>
      <c r="BR261" s="14" t="n">
        <v>0</v>
      </c>
      <c r="BS261" s="14" t="n">
        <v>1</v>
      </c>
      <c r="BT261" s="14" t="n">
        <v>0</v>
      </c>
      <c r="BU261" s="14" t="n">
        <v>0.013</v>
      </c>
      <c r="BV261" s="14" t="n">
        <v>0.248</v>
      </c>
      <c r="BW261" s="14" t="n">
        <v>0.2</v>
      </c>
      <c r="BX261" s="14" t="n">
        <v>0.667</v>
      </c>
      <c r="BY261" s="14" t="n">
        <v>12.729</v>
      </c>
      <c r="BZ261" s="14" t="n">
        <v>0</v>
      </c>
      <c r="CA261" s="14" t="n">
        <v>12.729</v>
      </c>
      <c r="CB261" s="14" t="n">
        <v>0</v>
      </c>
      <c r="CC261" s="14" t="n">
        <v>97.90000000000001</v>
      </c>
      <c r="CD261" s="14" t="n">
        <v>7.95</v>
      </c>
      <c r="CE261" s="14" t="n">
        <v>127.099</v>
      </c>
      <c r="CF261" s="14" t="n">
        <v>269.999</v>
      </c>
      <c r="CG261" s="14" t="n">
        <v>0.2</v>
      </c>
      <c r="CH261" s="14" t="n">
        <v>1</v>
      </c>
      <c r="CI261" s="14" t="n">
        <v>0</v>
      </c>
      <c r="CJ261" s="14" t="n">
        <v>0</v>
      </c>
      <c r="CK261" s="14" t="n">
        <v>0</v>
      </c>
      <c r="CL261" s="14" t="n">
        <v>0</v>
      </c>
      <c r="CM261" s="14" t="n">
        <v>0</v>
      </c>
      <c r="CN261" s="14" t="n">
        <v>0</v>
      </c>
      <c r="CO261" s="14" t="n">
        <v>0</v>
      </c>
      <c r="CP261" s="14" t="n">
        <v>0.999</v>
      </c>
      <c r="CQ261" s="14" t="n">
        <v>1.294</v>
      </c>
      <c r="CR261" s="14" t="n">
        <v>0</v>
      </c>
      <c r="CS261" s="14" t="n">
        <v>5.158</v>
      </c>
      <c r="CT261" s="14" t="n">
        <v>4.748</v>
      </c>
      <c r="CU261" s="14" t="n">
        <v>25.164</v>
      </c>
    </row>
    <row r="262">
      <c r="A262" s="14" t="inlineStr">
        <is>
          <t>EST2023</t>
        </is>
      </c>
      <c r="B262" s="14" t="inlineStr">
        <is>
          <t>EST</t>
        </is>
      </c>
      <c r="C262" s="14" t="inlineStr">
        <is>
          <t>EST</t>
        </is>
      </c>
      <c r="D262" s="14" t="inlineStr">
        <is>
          <t>Estonia</t>
        </is>
      </c>
      <c r="E262" s="14" t="n">
        <v>2023</v>
      </c>
      <c r="F262" s="14" t="n">
        <v>0.2</v>
      </c>
      <c r="G262" s="14" t="n">
        <v>1.995</v>
      </c>
      <c r="H262" s="14" t="n">
        <v>0.643</v>
      </c>
      <c r="I262" s="14" t="n">
        <v>10.898</v>
      </c>
      <c r="J262" s="14" t="n">
        <v>12.893</v>
      </c>
      <c r="K262" s="14" t="n">
        <v>0</v>
      </c>
      <c r="L262" s="14" t="n">
        <v>1</v>
      </c>
      <c r="M262" s="14" t="n">
        <v>3.277</v>
      </c>
      <c r="N262" s="14" t="n">
        <v>1.929</v>
      </c>
      <c r="O262" s="14" t="n">
        <v>10.305</v>
      </c>
      <c r="P262" s="14" t="n">
        <v>13.582</v>
      </c>
      <c r="Q262" s="14" t="n">
        <v>0</v>
      </c>
      <c r="R262" s="14" t="n">
        <v>1</v>
      </c>
      <c r="S262" s="14" t="n">
        <v>5.21</v>
      </c>
      <c r="T262" s="14" t="n">
        <v>3.858</v>
      </c>
      <c r="U262" s="14" t="n">
        <v>0.822</v>
      </c>
      <c r="V262" s="14" t="n">
        <v>7.082</v>
      </c>
      <c r="W262" s="14" t="n">
        <v>0.2</v>
      </c>
      <c r="X262" s="14" t="n">
        <v>1</v>
      </c>
      <c r="Y262" s="14" t="n">
        <v>18.916</v>
      </c>
      <c r="Z262" s="14" t="n">
        <v>2.119</v>
      </c>
      <c r="AA262" s="14" t="n">
        <v>7.721</v>
      </c>
      <c r="AB262" s="14" t="n">
        <v>26.637</v>
      </c>
      <c r="AC262" s="14" t="n">
        <v>0</v>
      </c>
      <c r="AD262" s="14" t="n">
        <v>1</v>
      </c>
      <c r="AE262" s="14" t="n">
        <v>19.014</v>
      </c>
      <c r="AF262" s="14" t="n">
        <v>3.787</v>
      </c>
      <c r="AG262" s="14" t="n">
        <v>7.622</v>
      </c>
      <c r="AH262" s="14" t="n">
        <v>26.637</v>
      </c>
      <c r="AI262" s="14" t="n">
        <v>0</v>
      </c>
      <c r="AJ262" s="14" t="n">
        <v>1</v>
      </c>
      <c r="AK262" s="14" t="n">
        <v>24.157</v>
      </c>
      <c r="AL262" s="14" t="n">
        <v>11.967</v>
      </c>
      <c r="AM262" s="14" t="n">
        <v>-0.507</v>
      </c>
      <c r="AN262" s="14" t="n">
        <v>28.38</v>
      </c>
      <c r="AO262" s="14" t="n">
        <v>0.2</v>
      </c>
      <c r="AP262" s="14" t="n">
        <v>1</v>
      </c>
      <c r="AQ262" s="14" t="n">
        <v>0.76</v>
      </c>
      <c r="AR262" s="14" t="n">
        <v>0.129</v>
      </c>
      <c r="AS262" s="14" t="n">
        <v>0.786</v>
      </c>
      <c r="AT262" s="14" t="n">
        <v>1.856</v>
      </c>
      <c r="AU262" s="14" t="n">
        <v>0.2</v>
      </c>
      <c r="AV262" s="14" t="n">
        <v>1</v>
      </c>
      <c r="AW262" s="14" t="n">
        <v>0.8110000000000001</v>
      </c>
      <c r="AX262" s="14" t="n">
        <v>0.129</v>
      </c>
      <c r="AY262" s="14" t="n">
        <v>0.638</v>
      </c>
      <c r="AZ262" s="14" t="n">
        <v>1.739</v>
      </c>
      <c r="BA262" s="14" t="n">
        <v>0.2</v>
      </c>
      <c r="BB262" s="14" t="n">
        <v>1</v>
      </c>
      <c r="BC262" s="14" t="n">
        <v>0.535</v>
      </c>
      <c r="BD262" s="14" t="n">
        <v>0.129</v>
      </c>
      <c r="BE262" s="14" t="n">
        <v>0.095</v>
      </c>
      <c r="BF262" s="14" t="n">
        <v>0.755</v>
      </c>
      <c r="BG262" s="14" t="n">
        <v>0.2</v>
      </c>
      <c r="BH262" s="14" t="n">
        <v>1</v>
      </c>
      <c r="BI262" s="14" t="n">
        <v>0.579</v>
      </c>
      <c r="BJ262" s="14" t="n">
        <v>0.129</v>
      </c>
      <c r="BK262" s="14" t="n">
        <v>0.449</v>
      </c>
      <c r="BL262" s="14" t="n">
        <v>1.234</v>
      </c>
      <c r="BM262" s="14" t="n">
        <v>0.2</v>
      </c>
      <c r="BN262" s="14" t="n">
        <v>1</v>
      </c>
      <c r="BO262" s="14" t="n">
        <v>0</v>
      </c>
      <c r="BP262" s="14" t="n">
        <v>0.014</v>
      </c>
      <c r="BQ262" s="14" t="n">
        <v>0.147</v>
      </c>
      <c r="BR262" s="14" t="n">
        <v>0</v>
      </c>
      <c r="BS262" s="14" t="n">
        <v>1</v>
      </c>
      <c r="BT262" s="14" t="n">
        <v>0</v>
      </c>
      <c r="BU262" s="14" t="n">
        <v>0.014</v>
      </c>
      <c r="BV262" s="14" t="n">
        <v>0.243</v>
      </c>
      <c r="BW262" s="14" t="n">
        <v>0.2</v>
      </c>
      <c r="BX262" s="14" t="n">
        <v>0.667</v>
      </c>
      <c r="BY262" s="14" t="n">
        <v>13.254</v>
      </c>
      <c r="BZ262" s="14" t="n">
        <v>0</v>
      </c>
      <c r="CA262" s="14" t="n">
        <v>13.254</v>
      </c>
      <c r="CB262" s="14" t="n">
        <v>0</v>
      </c>
      <c r="CC262" s="14" t="n">
        <v>83.248</v>
      </c>
      <c r="CD262" s="14" t="n">
        <v>7.95</v>
      </c>
      <c r="CE262" s="14" t="n">
        <v>119.584</v>
      </c>
      <c r="CF262" s="14" t="n">
        <v>243.399</v>
      </c>
      <c r="CG262" s="14" t="n">
        <v>0.2</v>
      </c>
      <c r="CH262" s="14" t="n">
        <v>1</v>
      </c>
      <c r="CI262" s="14" t="n">
        <v>0</v>
      </c>
      <c r="CJ262" s="14" t="n">
        <v>0</v>
      </c>
      <c r="CK262" s="14" t="n">
        <v>0</v>
      </c>
      <c r="CL262" s="14" t="n">
        <v>0</v>
      </c>
      <c r="CM262" s="14" t="n">
        <v>0</v>
      </c>
      <c r="CN262" s="14" t="n">
        <v>0</v>
      </c>
      <c r="CO262" s="14" t="n">
        <v>0</v>
      </c>
      <c r="CP262" s="14" t="n">
        <v>1</v>
      </c>
      <c r="CQ262" s="14" t="n">
        <v>1.348</v>
      </c>
      <c r="CR262" s="14" t="n">
        <v>0</v>
      </c>
      <c r="CS262" s="14" t="n">
        <v>5.37</v>
      </c>
      <c r="CT262" s="14" t="n">
        <v>23.964</v>
      </c>
      <c r="CU262" s="14" t="n">
        <v>14.805</v>
      </c>
    </row>
    <row r="263">
      <c r="A263" s="14" t="inlineStr">
        <is>
          <t>EST2024</t>
        </is>
      </c>
      <c r="B263" s="14" t="inlineStr">
        <is>
          <t>EST</t>
        </is>
      </c>
      <c r="C263" s="14" t="inlineStr">
        <is>
          <t>EST</t>
        </is>
      </c>
      <c r="D263" s="14" t="inlineStr">
        <is>
          <t>Estonia</t>
        </is>
      </c>
      <c r="E263" s="14" t="n">
        <v>2024</v>
      </c>
      <c r="F263" s="14" t="n">
        <v>0.2</v>
      </c>
      <c r="G263" s="14" t="n">
        <v>2.051</v>
      </c>
      <c r="H263" s="14" t="n">
        <v>0.662</v>
      </c>
      <c r="I263" s="14" t="n">
        <v>7.203</v>
      </c>
      <c r="J263" s="14" t="n">
        <v>9.254</v>
      </c>
      <c r="K263" s="14" t="n">
        <v>0</v>
      </c>
      <c r="L263" s="14" t="n">
        <v>1</v>
      </c>
      <c r="M263" s="14" t="n">
        <v>3.374</v>
      </c>
      <c r="N263" s="14" t="n">
        <v>1.986</v>
      </c>
      <c r="O263" s="14" t="n">
        <v>6.799</v>
      </c>
      <c r="P263" s="14" t="n">
        <v>10.173</v>
      </c>
      <c r="Q263" s="14" t="n">
        <v>0</v>
      </c>
      <c r="R263" s="14" t="n">
        <v>1</v>
      </c>
      <c r="S263" s="14" t="n">
        <v>5.361</v>
      </c>
      <c r="T263" s="14" t="n">
        <v>3.972</v>
      </c>
      <c r="U263" s="14" t="n">
        <v>0.894</v>
      </c>
      <c r="V263" s="14" t="n">
        <v>7.409</v>
      </c>
      <c r="W263" s="14" t="n">
        <v>0.22</v>
      </c>
      <c r="X263" s="14" t="n">
        <v>1</v>
      </c>
      <c r="Y263" s="14" t="n">
        <v>15.644</v>
      </c>
      <c r="Z263" s="14" t="n">
        <v>1.975</v>
      </c>
      <c r="AA263" s="14" t="n">
        <v>4.912</v>
      </c>
      <c r="AB263" s="14" t="n">
        <v>20.556</v>
      </c>
      <c r="AC263" s="14" t="n">
        <v>0</v>
      </c>
      <c r="AD263" s="14" t="n">
        <v>1</v>
      </c>
      <c r="AE263" s="14" t="n">
        <v>15.644</v>
      </c>
      <c r="AF263" s="14" t="n">
        <v>3.427</v>
      </c>
      <c r="AG263" s="14" t="n">
        <v>4.912</v>
      </c>
      <c r="AH263" s="14" t="n">
        <v>20.556</v>
      </c>
      <c r="AI263" s="14" t="n">
        <v>0</v>
      </c>
      <c r="AJ263" s="14" t="n">
        <v>1</v>
      </c>
      <c r="AK263" s="14" t="n">
        <v>20.238</v>
      </c>
      <c r="AL263" s="14" t="n">
        <v>10.294</v>
      </c>
      <c r="AM263" s="14" t="n">
        <v>-2.021</v>
      </c>
      <c r="AN263" s="14" t="n">
        <v>22.225</v>
      </c>
      <c r="AO263" s="14" t="n">
        <v>0.22</v>
      </c>
      <c r="AP263" s="14" t="n">
        <v>1</v>
      </c>
      <c r="AQ263" s="14" t="n">
        <v>0.724</v>
      </c>
      <c r="AR263" s="14" t="n">
        <v>0.132</v>
      </c>
      <c r="AS263" s="14" t="n">
        <v>0.761</v>
      </c>
      <c r="AT263" s="14" t="n">
        <v>1.812</v>
      </c>
      <c r="AU263" s="14" t="n">
        <v>0.22</v>
      </c>
      <c r="AV263" s="14" t="n">
        <v>1</v>
      </c>
      <c r="AW263" s="14" t="n">
        <v>0.75</v>
      </c>
      <c r="AX263" s="14" t="n">
        <v>0.132</v>
      </c>
      <c r="AY263" s="14" t="n">
        <v>0.615</v>
      </c>
      <c r="AZ263" s="14" t="n">
        <v>1.666</v>
      </c>
      <c r="BA263" s="14" t="n">
        <v>0.22</v>
      </c>
      <c r="BB263" s="14" t="n">
        <v>1</v>
      </c>
      <c r="BC263" s="14" t="n">
        <v>0.513</v>
      </c>
      <c r="BD263" s="14" t="n">
        <v>0.132</v>
      </c>
      <c r="BE263" s="14" t="n">
        <v>0.108</v>
      </c>
      <c r="BF263" s="14" t="n">
        <v>0.758</v>
      </c>
      <c r="BG263" s="14" t="n">
        <v>0.22</v>
      </c>
      <c r="BH263" s="14" t="n">
        <v>1</v>
      </c>
      <c r="BI263" s="14" t="n">
        <v>0.591</v>
      </c>
      <c r="BJ263" s="14" t="n">
        <v>0.132</v>
      </c>
      <c r="BK263" s="14" t="n">
        <v>0.359</v>
      </c>
      <c r="BL263" s="14" t="n">
        <v>1.159</v>
      </c>
      <c r="BM263" s="14" t="n">
        <v>0.22</v>
      </c>
      <c r="BN263" s="14" t="n">
        <v>1</v>
      </c>
      <c r="BO263" s="14" t="n">
        <v>0</v>
      </c>
      <c r="BP263" s="14" t="n">
        <v>0.013</v>
      </c>
      <c r="BQ263" s="14" t="n">
        <v>0.151</v>
      </c>
      <c r="BR263" s="14" t="n">
        <v>0</v>
      </c>
      <c r="BS263" s="14" t="n">
        <v>1</v>
      </c>
      <c r="BT263" s="14" t="n">
        <v>0</v>
      </c>
      <c r="BU263" s="14" t="n">
        <v>0.013</v>
      </c>
      <c r="BV263" s="14" t="n">
        <v>0.244</v>
      </c>
      <c r="BW263" s="14" t="n">
        <v>0.22</v>
      </c>
      <c r="BX263" s="14" t="n">
        <v>0.667</v>
      </c>
      <c r="BY263" s="14" t="n">
        <v>13.646</v>
      </c>
      <c r="BZ263" s="14" t="n">
        <v>0</v>
      </c>
      <c r="CA263" s="14" t="n">
        <v>13.646</v>
      </c>
      <c r="CB263" s="14" t="n">
        <v>0</v>
      </c>
      <c r="CC263" s="14" t="n">
        <v>82.58799999999999</v>
      </c>
      <c r="CD263" s="14" t="n">
        <v>7.95</v>
      </c>
      <c r="CE263" s="14" t="n">
        <v>102.705</v>
      </c>
      <c r="CF263" s="14" t="n">
        <v>226.058</v>
      </c>
      <c r="CG263" s="14" t="n">
        <v>0.22</v>
      </c>
      <c r="CH263" s="14" t="n">
        <v>1</v>
      </c>
      <c r="CI263" s="14" t="n">
        <v>0</v>
      </c>
      <c r="CJ263" s="14" t="n">
        <v>0</v>
      </c>
      <c r="CK263" s="14" t="n">
        <v>0</v>
      </c>
      <c r="CL263" s="14" t="n">
        <v>0</v>
      </c>
      <c r="CM263" s="14" t="n">
        <v>0</v>
      </c>
      <c r="CN263" s="14" t="n">
        <v>0</v>
      </c>
      <c r="CO263" s="14" t="n">
        <v>0</v>
      </c>
      <c r="CP263" s="14" t="n">
        <v>1</v>
      </c>
      <c r="CQ263" s="14" t="n">
        <v>1.387</v>
      </c>
      <c r="CR263" s="14" t="n">
        <v>0</v>
      </c>
      <c r="CS263" s="14" t="n">
        <v>5.529</v>
      </c>
      <c r="CT263" s="14" t="n">
        <v>11.886</v>
      </c>
      <c r="CU263" s="14" t="n">
        <v>10.037</v>
      </c>
    </row>
    <row r="264">
      <c r="A264" s="14" t="inlineStr">
        <is>
          <t>SWZ2021</t>
        </is>
      </c>
      <c r="B264" s="14" t="inlineStr">
        <is>
          <t>SWZ</t>
        </is>
      </c>
      <c r="C264" s="14" t="inlineStr">
        <is>
          <t>SWZ</t>
        </is>
      </c>
      <c r="D264" s="14" t="inlineStr">
        <is>
          <t>Eswatini</t>
        </is>
      </c>
      <c r="E264" s="14" t="n">
        <v>2021</v>
      </c>
      <c r="F264" s="14" t="n">
        <v>0.15</v>
      </c>
      <c r="G264" s="14" t="n">
        <v>5.897</v>
      </c>
      <c r="H264" s="14" t="n">
        <v>1.143</v>
      </c>
      <c r="I264" s="14" t="n">
        <v>0</v>
      </c>
      <c r="J264" s="14" t="n">
        <v>5.897</v>
      </c>
      <c r="K264" s="14" t="n">
        <v>0</v>
      </c>
      <c r="L264" s="14" t="n">
        <v>1</v>
      </c>
      <c r="M264" s="14" t="n">
        <v>7.964</v>
      </c>
      <c r="N264" s="14" t="n">
        <v>3.43</v>
      </c>
      <c r="O264" s="14" t="n">
        <v>0</v>
      </c>
      <c r="P264" s="14" t="n">
        <v>7.964</v>
      </c>
      <c r="Q264" s="14" t="n">
        <v>0</v>
      </c>
      <c r="R264" s="14" t="n">
        <v>1</v>
      </c>
      <c r="S264" s="14" t="n">
        <v>11.613</v>
      </c>
      <c r="T264" s="14" t="n">
        <v>6.86</v>
      </c>
      <c r="U264" s="14" t="n">
        <v>0</v>
      </c>
      <c r="V264" s="14" t="n">
        <v>13.355</v>
      </c>
      <c r="W264" s="14" t="n">
        <v>0.15</v>
      </c>
      <c r="X264" s="14" t="n">
        <v>1</v>
      </c>
      <c r="Y264" s="14" t="n">
        <v>15.672</v>
      </c>
      <c r="Z264" s="14" t="n">
        <v>2.118</v>
      </c>
      <c r="AA264" s="14" t="n">
        <v>0</v>
      </c>
      <c r="AB264" s="14" t="n">
        <v>15.672</v>
      </c>
      <c r="AC264" s="14" t="n">
        <v>0</v>
      </c>
      <c r="AD264" s="14" t="n">
        <v>1</v>
      </c>
      <c r="AE264" s="14" t="n">
        <v>16.816</v>
      </c>
      <c r="AF264" s="14" t="n">
        <v>3.932</v>
      </c>
      <c r="AG264" s="14" t="n">
        <v>0</v>
      </c>
      <c r="AH264" s="14" t="n">
        <v>16.816</v>
      </c>
      <c r="AI264" s="14" t="n">
        <v>0</v>
      </c>
      <c r="AJ264" s="14" t="n">
        <v>1</v>
      </c>
      <c r="AK264" s="14" t="n">
        <v>23.675</v>
      </c>
      <c r="AL264" s="14" t="n">
        <v>12.609</v>
      </c>
      <c r="AM264" s="14" t="n">
        <v>0</v>
      </c>
      <c r="AN264" s="14" t="n">
        <v>27.227</v>
      </c>
      <c r="AO264" s="14" t="n">
        <v>0.15</v>
      </c>
      <c r="AP264" s="14" t="n">
        <v>1</v>
      </c>
      <c r="AQ264" s="14" t="n">
        <v>0.619</v>
      </c>
      <c r="AR264" s="14" t="n">
        <v>0.114</v>
      </c>
      <c r="AS264" s="14" t="n">
        <v>0.243</v>
      </c>
      <c r="AT264" s="14" t="n">
        <v>0.992</v>
      </c>
      <c r="AU264" s="14" t="n">
        <v>0.15</v>
      </c>
      <c r="AV264" s="14" t="n">
        <v>1</v>
      </c>
      <c r="AW264" s="14" t="n">
        <v>0.599</v>
      </c>
      <c r="AX264" s="14" t="n">
        <v>0.114</v>
      </c>
      <c r="AY264" s="14" t="n">
        <v>0.188</v>
      </c>
      <c r="AZ264" s="14" t="n">
        <v>0.906</v>
      </c>
      <c r="BA264" s="14" t="n">
        <v>0.15</v>
      </c>
      <c r="BB264" s="14" t="n">
        <v>1</v>
      </c>
      <c r="BC264" s="14" t="n">
        <v>0.439</v>
      </c>
      <c r="BD264" s="14" t="n">
        <v>0.114</v>
      </c>
      <c r="BE264" s="14" t="n">
        <v>0</v>
      </c>
      <c r="BF264" s="14" t="n">
        <v>0.505</v>
      </c>
      <c r="BG264" s="14" t="n">
        <v>0.15</v>
      </c>
      <c r="BH264" s="14" t="n">
        <v>1</v>
      </c>
      <c r="BI264" s="14" t="n">
        <v>0.505</v>
      </c>
      <c r="BJ264" s="14" t="n">
        <v>0.114</v>
      </c>
      <c r="BK264" s="14" t="n">
        <v>0</v>
      </c>
      <c r="BL264" s="14" t="n">
        <v>0.58</v>
      </c>
      <c r="BM264" s="14" t="n">
        <v>0.15</v>
      </c>
      <c r="BN264" s="14" t="n">
        <v>1</v>
      </c>
      <c r="BO264" s="14" t="n">
        <v>0</v>
      </c>
      <c r="BP264" s="14" t="n">
        <v>0</v>
      </c>
      <c r="BQ264" s="14" t="n">
        <v>0.078</v>
      </c>
      <c r="BR264" s="14" t="n">
        <v>0</v>
      </c>
      <c r="BS264" s="14" t="n">
        <v>1</v>
      </c>
      <c r="BT264" s="14" t="n">
        <v>0</v>
      </c>
      <c r="BU264" s="14" t="n">
        <v>0</v>
      </c>
      <c r="BV264" s="14" t="n">
        <v>0.118</v>
      </c>
      <c r="BW264" s="14" t="n">
        <v>0.15</v>
      </c>
      <c r="BX264" s="14" t="n">
        <v>1</v>
      </c>
      <c r="BY264" s="14" t="n">
        <v>11.787</v>
      </c>
      <c r="BZ264" s="14" t="n">
        <v>0</v>
      </c>
      <c r="CA264" s="14" t="n">
        <v>11.787</v>
      </c>
      <c r="CB264" s="14" t="n">
        <v>0</v>
      </c>
      <c r="CC264" s="14" t="n">
        <v>78.125</v>
      </c>
      <c r="CD264" s="14" t="n">
        <v>7.95</v>
      </c>
      <c r="CE264" s="14" t="n">
        <v>0</v>
      </c>
      <c r="CF264" s="14" t="n">
        <v>89.84399999999999</v>
      </c>
      <c r="CG264" s="14" t="n">
        <v>0.15</v>
      </c>
      <c r="CH264" s="14" t="n">
        <v>1</v>
      </c>
      <c r="CI264" s="14" t="n">
        <v>0</v>
      </c>
      <c r="CJ264" s="14" t="n">
        <v>0</v>
      </c>
      <c r="CK264" s="14" t="n">
        <v>0</v>
      </c>
      <c r="CL264" s="14" t="n">
        <v>0</v>
      </c>
      <c r="CM264" s="14" t="n">
        <v>0</v>
      </c>
      <c r="CN264" s="14" t="n">
        <v>0</v>
      </c>
      <c r="CO264" s="14" t="n">
        <v>0</v>
      </c>
      <c r="CP264" s="14" t="n">
        <v>0</v>
      </c>
      <c r="CQ264" s="14" t="n">
        <v>1.198</v>
      </c>
      <c r="CR264" s="14" t="n">
        <v>0</v>
      </c>
      <c r="CS264" s="14" t="n">
        <v>4.776</v>
      </c>
      <c r="CT264" s="14" t="n">
        <v>4.753</v>
      </c>
      <c r="CU264" s="14" t="n">
        <v>15.162</v>
      </c>
    </row>
    <row r="265">
      <c r="A265" s="14" t="inlineStr">
        <is>
          <t>SWZ2022</t>
        </is>
      </c>
      <c r="B265" s="14" t="inlineStr">
        <is>
          <t>SWZ</t>
        </is>
      </c>
      <c r="C265" s="14" t="inlineStr">
        <is>
          <t>SWZ</t>
        </is>
      </c>
      <c r="D265" s="14" t="inlineStr">
        <is>
          <t>Eswatini</t>
        </is>
      </c>
      <c r="E265" s="14" t="n">
        <v>2022</v>
      </c>
      <c r="F265" s="14" t="n">
        <v>0.15</v>
      </c>
      <c r="G265" s="14" t="n">
        <v>11.72</v>
      </c>
      <c r="H265" s="14" t="n">
        <v>1.235</v>
      </c>
      <c r="I265" s="14" t="n">
        <v>0</v>
      </c>
      <c r="J265" s="14" t="n">
        <v>11.72</v>
      </c>
      <c r="K265" s="14" t="n">
        <v>0</v>
      </c>
      <c r="L265" s="14" t="n">
        <v>1</v>
      </c>
      <c r="M265" s="14" t="n">
        <v>9.782999999999999</v>
      </c>
      <c r="N265" s="14" t="n">
        <v>3.704</v>
      </c>
      <c r="O265" s="14" t="n">
        <v>0</v>
      </c>
      <c r="P265" s="14" t="n">
        <v>9.782999999999999</v>
      </c>
      <c r="Q265" s="14" t="n">
        <v>0</v>
      </c>
      <c r="R265" s="14" t="n">
        <v>1</v>
      </c>
      <c r="S265" s="14" t="n">
        <v>17.893</v>
      </c>
      <c r="T265" s="14" t="n">
        <v>7.408</v>
      </c>
      <c r="U265" s="14" t="n">
        <v>0.199</v>
      </c>
      <c r="V265" s="14" t="n">
        <v>20.577</v>
      </c>
      <c r="W265" s="14" t="n">
        <v>0.15</v>
      </c>
      <c r="X265" s="14" t="n">
        <v>1</v>
      </c>
      <c r="Y265" s="14" t="n">
        <v>31.7</v>
      </c>
      <c r="Z265" s="14" t="n">
        <v>4.284</v>
      </c>
      <c r="AA265" s="14" t="n">
        <v>0</v>
      </c>
      <c r="AB265" s="14" t="n">
        <v>31.7</v>
      </c>
      <c r="AC265" s="14" t="n">
        <v>0</v>
      </c>
      <c r="AD265" s="14" t="n">
        <v>1</v>
      </c>
      <c r="AE265" s="14" t="n">
        <v>32.935</v>
      </c>
      <c r="AF265" s="14" t="n">
        <v>7.701</v>
      </c>
      <c r="AG265" s="14" t="n">
        <v>0</v>
      </c>
      <c r="AH265" s="14" t="n">
        <v>32.935</v>
      </c>
      <c r="AI265" s="14" t="n">
        <v>0</v>
      </c>
      <c r="AJ265" s="14" t="n">
        <v>1</v>
      </c>
      <c r="AK265" s="14" t="n">
        <v>40.343</v>
      </c>
      <c r="AL265" s="14" t="n">
        <v>21.486</v>
      </c>
      <c r="AM265" s="14" t="n">
        <v>0.448</v>
      </c>
      <c r="AN265" s="14" t="n">
        <v>46.394</v>
      </c>
      <c r="AO265" s="14" t="n">
        <v>0.15</v>
      </c>
      <c r="AP265" s="14" t="n">
        <v>1</v>
      </c>
      <c r="AQ265" s="14" t="n">
        <v>0.861</v>
      </c>
      <c r="AR265" s="14" t="n">
        <v>0.123</v>
      </c>
      <c r="AS265" s="14" t="n">
        <v>0.25</v>
      </c>
      <c r="AT265" s="14" t="n">
        <v>1.263</v>
      </c>
      <c r="AU265" s="14" t="n">
        <v>0.15</v>
      </c>
      <c r="AV265" s="14" t="n">
        <v>1</v>
      </c>
      <c r="AW265" s="14" t="n">
        <v>0.986</v>
      </c>
      <c r="AX265" s="14" t="n">
        <v>0.123</v>
      </c>
      <c r="AY265" s="14" t="n">
        <v>0.172</v>
      </c>
      <c r="AZ265" s="14" t="n">
        <v>1.317</v>
      </c>
      <c r="BA265" s="14" t="n">
        <v>0.15</v>
      </c>
      <c r="BB265" s="14" t="n">
        <v>1</v>
      </c>
      <c r="BC265" s="14" t="n">
        <v>0.598</v>
      </c>
      <c r="BD265" s="14" t="n">
        <v>0.123</v>
      </c>
      <c r="BE265" s="14" t="n">
        <v>0.007</v>
      </c>
      <c r="BF265" s="14" t="n">
        <v>0.6879999999999999</v>
      </c>
      <c r="BG265" s="14" t="n">
        <v>0.15</v>
      </c>
      <c r="BH265" s="14" t="n">
        <v>1</v>
      </c>
      <c r="BI265" s="14" t="n">
        <v>0.612</v>
      </c>
      <c r="BJ265" s="14" t="n">
        <v>0.123</v>
      </c>
      <c r="BK265" s="14" t="n">
        <v>0.007</v>
      </c>
      <c r="BL265" s="14" t="n">
        <v>0.704</v>
      </c>
      <c r="BM265" s="14" t="n">
        <v>0.15</v>
      </c>
      <c r="BN265" s="14" t="n">
        <v>1</v>
      </c>
      <c r="BO265" s="14" t="n">
        <v>0</v>
      </c>
      <c r="BP265" s="14" t="n">
        <v>0</v>
      </c>
      <c r="BQ265" s="14" t="n">
        <v>0.07000000000000001</v>
      </c>
      <c r="BR265" s="14" t="n">
        <v>0</v>
      </c>
      <c r="BS265" s="14" t="n">
        <v>1</v>
      </c>
      <c r="BT265" s="14" t="n">
        <v>0</v>
      </c>
      <c r="BU265" s="14" t="n">
        <v>0</v>
      </c>
      <c r="BV265" s="14" t="n">
        <v>0.108</v>
      </c>
      <c r="BW265" s="14" t="n">
        <v>0.15</v>
      </c>
      <c r="BX265" s="14" t="n">
        <v>1</v>
      </c>
      <c r="BY265" s="14" t="n">
        <v>12.729</v>
      </c>
      <c r="BZ265" s="14" t="n">
        <v>0</v>
      </c>
      <c r="CA265" s="14" t="n">
        <v>12.729</v>
      </c>
      <c r="CB265" s="14" t="n">
        <v>0</v>
      </c>
      <c r="CC265" s="14" t="n">
        <v>97.90000000000001</v>
      </c>
      <c r="CD265" s="14" t="n">
        <v>7.95</v>
      </c>
      <c r="CE265" s="14" t="n">
        <v>1.087</v>
      </c>
      <c r="CF265" s="14" t="n">
        <v>112.585</v>
      </c>
      <c r="CG265" s="14" t="n">
        <v>0.15</v>
      </c>
      <c r="CH265" s="14" t="n">
        <v>1</v>
      </c>
      <c r="CI265" s="14" t="n">
        <v>0</v>
      </c>
      <c r="CJ265" s="14" t="n">
        <v>0</v>
      </c>
      <c r="CK265" s="14" t="n">
        <v>0</v>
      </c>
      <c r="CL265" s="14" t="n">
        <v>0</v>
      </c>
      <c r="CM265" s="14" t="n">
        <v>0</v>
      </c>
      <c r="CN265" s="14" t="n">
        <v>0</v>
      </c>
      <c r="CO265" s="14" t="n">
        <v>0</v>
      </c>
      <c r="CP265" s="14" t="n">
        <v>0</v>
      </c>
      <c r="CQ265" s="14" t="n">
        <v>1.294</v>
      </c>
      <c r="CR265" s="14" t="n">
        <v>0</v>
      </c>
      <c r="CS265" s="14" t="n">
        <v>5.158</v>
      </c>
      <c r="CT265" s="14" t="n">
        <v>10.485</v>
      </c>
      <c r="CU265" s="14" t="n">
        <v>31.326</v>
      </c>
    </row>
    <row r="266">
      <c r="A266" s="14" t="inlineStr">
        <is>
          <t>SWZ2023</t>
        </is>
      </c>
      <c r="B266" s="14" t="inlineStr">
        <is>
          <t>SWZ</t>
        </is>
      </c>
      <c r="C266" s="14" t="inlineStr">
        <is>
          <t>SWZ</t>
        </is>
      </c>
      <c r="D266" s="14" t="inlineStr">
        <is>
          <t>Eswatini</t>
        </is>
      </c>
      <c r="E266" s="14" t="n">
        <v>2023</v>
      </c>
      <c r="F266" s="14" t="n">
        <v>0.15</v>
      </c>
      <c r="G266" s="14" t="n">
        <v>6.147</v>
      </c>
      <c r="H266" s="14" t="n">
        <v>1.286</v>
      </c>
      <c r="I266" s="14" t="n">
        <v>0</v>
      </c>
      <c r="J266" s="14" t="n">
        <v>6.147</v>
      </c>
      <c r="K266" s="14" t="n">
        <v>0</v>
      </c>
      <c r="L266" s="14" t="n">
        <v>1</v>
      </c>
      <c r="M266" s="14" t="n">
        <v>7.886</v>
      </c>
      <c r="N266" s="14" t="n">
        <v>3.857</v>
      </c>
      <c r="O266" s="14" t="n">
        <v>0</v>
      </c>
      <c r="P266" s="14" t="n">
        <v>7.886</v>
      </c>
      <c r="Q266" s="14" t="n">
        <v>0</v>
      </c>
      <c r="R266" s="14" t="n">
        <v>1</v>
      </c>
      <c r="S266" s="14" t="n">
        <v>12.575</v>
      </c>
      <c r="T266" s="14" t="n">
        <v>7.714</v>
      </c>
      <c r="U266" s="14" t="n">
        <v>0.209</v>
      </c>
      <c r="V266" s="14" t="n">
        <v>14.461</v>
      </c>
      <c r="W266" s="14" t="n">
        <v>0.15</v>
      </c>
      <c r="X266" s="14" t="n">
        <v>1</v>
      </c>
      <c r="Y266" s="14" t="n">
        <v>12.364</v>
      </c>
      <c r="Z266" s="14" t="n">
        <v>1.671</v>
      </c>
      <c r="AA266" s="14" t="n">
        <v>0</v>
      </c>
      <c r="AB266" s="14" t="n">
        <v>12.364</v>
      </c>
      <c r="AC266" s="14" t="n">
        <v>0</v>
      </c>
      <c r="AD266" s="14" t="n">
        <v>1</v>
      </c>
      <c r="AE266" s="14" t="n">
        <v>13.649</v>
      </c>
      <c r="AF266" s="14" t="n">
        <v>3.192</v>
      </c>
      <c r="AG266" s="14" t="n">
        <v>0</v>
      </c>
      <c r="AH266" s="14" t="n">
        <v>13.649</v>
      </c>
      <c r="AI266" s="14" t="n">
        <v>0</v>
      </c>
      <c r="AJ266" s="14" t="n">
        <v>1</v>
      </c>
      <c r="AK266" s="14" t="n">
        <v>21.363</v>
      </c>
      <c r="AL266" s="14" t="n">
        <v>11.378</v>
      </c>
      <c r="AM266" s="14" t="n">
        <v>0.355</v>
      </c>
      <c r="AN266" s="14" t="n">
        <v>24.568</v>
      </c>
      <c r="AO266" s="14" t="n">
        <v>0.15</v>
      </c>
      <c r="AP266" s="14" t="n">
        <v>1</v>
      </c>
      <c r="AQ266" s="14" t="n">
        <v>0.76</v>
      </c>
      <c r="AR266" s="14" t="n">
        <v>0.129</v>
      </c>
      <c r="AS266" s="14" t="n">
        <v>0.282</v>
      </c>
      <c r="AT266" s="14" t="n">
        <v>1.18</v>
      </c>
      <c r="AU266" s="14" t="n">
        <v>0.15</v>
      </c>
      <c r="AV266" s="14" t="n">
        <v>1</v>
      </c>
      <c r="AW266" s="14" t="n">
        <v>0.8110000000000001</v>
      </c>
      <c r="AX266" s="14" t="n">
        <v>0.129</v>
      </c>
      <c r="AY266" s="14" t="n">
        <v>0.21</v>
      </c>
      <c r="AZ266" s="14" t="n">
        <v>1.156</v>
      </c>
      <c r="BA266" s="14" t="n">
        <v>0.15</v>
      </c>
      <c r="BB266" s="14" t="n">
        <v>1</v>
      </c>
      <c r="BC266" s="14" t="n">
        <v>0.535</v>
      </c>
      <c r="BD266" s="14" t="n">
        <v>0.129</v>
      </c>
      <c r="BE266" s="14" t="n">
        <v>0.008999999999999999</v>
      </c>
      <c r="BF266" s="14" t="n">
        <v>0.615</v>
      </c>
      <c r="BG266" s="14" t="n">
        <v>0.15</v>
      </c>
      <c r="BH266" s="14" t="n">
        <v>1</v>
      </c>
      <c r="BI266" s="14" t="n">
        <v>0.579</v>
      </c>
      <c r="BJ266" s="14" t="n">
        <v>0.129</v>
      </c>
      <c r="BK266" s="14" t="n">
        <v>0.01</v>
      </c>
      <c r="BL266" s="14" t="n">
        <v>0.666</v>
      </c>
      <c r="BM266" s="14" t="n">
        <v>0.15</v>
      </c>
      <c r="BN266" s="14" t="n">
        <v>1</v>
      </c>
      <c r="BO266" s="14" t="n">
        <v>0</v>
      </c>
      <c r="BP266" s="14" t="n">
        <v>0</v>
      </c>
      <c r="BQ266" s="14" t="n">
        <v>0.079</v>
      </c>
      <c r="BR266" s="14" t="n">
        <v>0</v>
      </c>
      <c r="BS266" s="14" t="n">
        <v>1</v>
      </c>
      <c r="BT266" s="14" t="n">
        <v>0</v>
      </c>
      <c r="BU266" s="14" t="n">
        <v>0</v>
      </c>
      <c r="BV266" s="14" t="n">
        <v>0.116</v>
      </c>
      <c r="BW266" s="14" t="n">
        <v>0.15</v>
      </c>
      <c r="BX266" s="14" t="n">
        <v>1</v>
      </c>
      <c r="BY266" s="14" t="n">
        <v>13.254</v>
      </c>
      <c r="BZ266" s="14" t="n">
        <v>0</v>
      </c>
      <c r="CA266" s="14" t="n">
        <v>13.254</v>
      </c>
      <c r="CB266" s="14" t="n">
        <v>0</v>
      </c>
      <c r="CC266" s="14" t="n">
        <v>83.248</v>
      </c>
      <c r="CD266" s="14" t="n">
        <v>7.95</v>
      </c>
      <c r="CE266" s="14" t="n">
        <v>1.383</v>
      </c>
      <c r="CF266" s="14" t="n">
        <v>95.735</v>
      </c>
      <c r="CG266" s="14" t="n">
        <v>0.15</v>
      </c>
      <c r="CH266" s="14" t="n">
        <v>1</v>
      </c>
      <c r="CI266" s="14" t="n">
        <v>0</v>
      </c>
      <c r="CJ266" s="14" t="n">
        <v>0</v>
      </c>
      <c r="CK266" s="14" t="n">
        <v>0</v>
      </c>
      <c r="CL266" s="14" t="n">
        <v>0</v>
      </c>
      <c r="CM266" s="14" t="n">
        <v>0</v>
      </c>
      <c r="CN266" s="14" t="n">
        <v>0</v>
      </c>
      <c r="CO266" s="14" t="n">
        <v>0</v>
      </c>
      <c r="CP266" s="14" t="n">
        <v>0</v>
      </c>
      <c r="CQ266" s="14" t="n">
        <v>1.348</v>
      </c>
      <c r="CR266" s="14" t="n">
        <v>0</v>
      </c>
      <c r="CS266" s="14" t="n">
        <v>5.37</v>
      </c>
      <c r="CT266" s="14" t="n">
        <v>4.861</v>
      </c>
      <c r="CU266" s="14" t="n">
        <v>11.622</v>
      </c>
    </row>
    <row r="267">
      <c r="A267" s="14" t="inlineStr">
        <is>
          <t>SWZ2024</t>
        </is>
      </c>
      <c r="B267" s="14" t="inlineStr">
        <is>
          <t>SWZ</t>
        </is>
      </c>
      <c r="C267" s="14" t="inlineStr">
        <is>
          <t>SWZ</t>
        </is>
      </c>
      <c r="D267" s="14" t="inlineStr">
        <is>
          <t>Eswatini</t>
        </is>
      </c>
      <c r="E267" s="14" t="n">
        <v>2024</v>
      </c>
      <c r="F267" s="14" t="n">
        <v>0.15</v>
      </c>
      <c r="G267" s="14" t="n">
        <v>5.575</v>
      </c>
      <c r="H267" s="14" t="n">
        <v>1.324</v>
      </c>
      <c r="I267" s="14" t="n">
        <v>0</v>
      </c>
      <c r="J267" s="14" t="n">
        <v>5.575</v>
      </c>
      <c r="K267" s="14" t="n">
        <v>0</v>
      </c>
      <c r="L267" s="14" t="n">
        <v>1</v>
      </c>
      <c r="M267" s="14" t="n">
        <v>7.124</v>
      </c>
      <c r="N267" s="14" t="n">
        <v>3.971</v>
      </c>
      <c r="O267" s="14" t="n">
        <v>0</v>
      </c>
      <c r="P267" s="14" t="n">
        <v>7.124</v>
      </c>
      <c r="Q267" s="14" t="n">
        <v>0</v>
      </c>
      <c r="R267" s="14" t="n">
        <v>1</v>
      </c>
      <c r="S267" s="14" t="n">
        <v>12.193</v>
      </c>
      <c r="T267" s="14" t="n">
        <v>7.942</v>
      </c>
      <c r="U267" s="14" t="n">
        <v>0.249</v>
      </c>
      <c r="V267" s="14" t="n">
        <v>14.022</v>
      </c>
      <c r="W267" s="14" t="n">
        <v>0.15</v>
      </c>
      <c r="X267" s="14" t="n">
        <v>1</v>
      </c>
      <c r="Y267" s="14" t="n">
        <v>11.088</v>
      </c>
      <c r="Z267" s="14" t="n">
        <v>1.499</v>
      </c>
      <c r="AA267" s="14" t="n">
        <v>0</v>
      </c>
      <c r="AB267" s="14" t="n">
        <v>11.088</v>
      </c>
      <c r="AC267" s="14" t="n">
        <v>0</v>
      </c>
      <c r="AD267" s="14" t="n">
        <v>1</v>
      </c>
      <c r="AE267" s="14" t="n">
        <v>12.412</v>
      </c>
      <c r="AF267" s="14" t="n">
        <v>2.902</v>
      </c>
      <c r="AG267" s="14" t="n">
        <v>0</v>
      </c>
      <c r="AH267" s="14" t="n">
        <v>12.412</v>
      </c>
      <c r="AI267" s="14" t="n">
        <v>0</v>
      </c>
      <c r="AJ267" s="14" t="n">
        <v>1</v>
      </c>
      <c r="AK267" s="14" t="n">
        <v>20.353</v>
      </c>
      <c r="AL267" s="14" t="n">
        <v>10.84</v>
      </c>
      <c r="AM267" s="14" t="n">
        <v>0.416</v>
      </c>
      <c r="AN267" s="14" t="n">
        <v>23.406</v>
      </c>
      <c r="AO267" s="14" t="n">
        <v>0.15</v>
      </c>
      <c r="AP267" s="14" t="n">
        <v>1</v>
      </c>
      <c r="AQ267" s="14" t="n">
        <v>0.724</v>
      </c>
      <c r="AR267" s="14" t="n">
        <v>0.132</v>
      </c>
      <c r="AS267" s="14" t="n">
        <v>0.301</v>
      </c>
      <c r="AT267" s="14" t="n">
        <v>1.156</v>
      </c>
      <c r="AU267" s="14" t="n">
        <v>0.15</v>
      </c>
      <c r="AV267" s="14" t="n">
        <v>1</v>
      </c>
      <c r="AW267" s="14" t="n">
        <v>0.75</v>
      </c>
      <c r="AX267" s="14" t="n">
        <v>0.132</v>
      </c>
      <c r="AY267" s="14" t="n">
        <v>0.23</v>
      </c>
      <c r="AZ267" s="14" t="n">
        <v>1.105</v>
      </c>
      <c r="BA267" s="14" t="n">
        <v>0.15</v>
      </c>
      <c r="BB267" s="14" t="n">
        <v>1</v>
      </c>
      <c r="BC267" s="14" t="n">
        <v>0.513</v>
      </c>
      <c r="BD267" s="14" t="n">
        <v>0.132</v>
      </c>
      <c r="BE267" s="14" t="n">
        <v>0.01</v>
      </c>
      <c r="BF267" s="14" t="n">
        <v>0.59</v>
      </c>
      <c r="BG267" s="14" t="n">
        <v>0.15</v>
      </c>
      <c r="BH267" s="14" t="n">
        <v>1</v>
      </c>
      <c r="BI267" s="14" t="n">
        <v>0.591</v>
      </c>
      <c r="BJ267" s="14" t="n">
        <v>0.132</v>
      </c>
      <c r="BK267" s="14" t="n">
        <v>0.012</v>
      </c>
      <c r="BL267" s="14" t="n">
        <v>0.68</v>
      </c>
      <c r="BM267" s="14" t="n">
        <v>0.15</v>
      </c>
      <c r="BN267" s="14" t="n">
        <v>1</v>
      </c>
      <c r="BO267" s="14" t="n">
        <v>0</v>
      </c>
      <c r="BP267" s="14" t="n">
        <v>0</v>
      </c>
      <c r="BQ267" s="14" t="n">
        <v>0.08799999999999999</v>
      </c>
      <c r="BR267" s="14" t="n">
        <v>0</v>
      </c>
      <c r="BS267" s="14" t="n">
        <v>1</v>
      </c>
      <c r="BT267" s="14" t="n">
        <v>0</v>
      </c>
      <c r="BU267" s="14" t="n">
        <v>0</v>
      </c>
      <c r="BV267" s="14" t="n">
        <v>0.124</v>
      </c>
      <c r="BW267" s="14" t="n">
        <v>0.15</v>
      </c>
      <c r="BX267" s="14" t="n">
        <v>1</v>
      </c>
      <c r="BY267" s="14" t="n">
        <v>13.646</v>
      </c>
      <c r="BZ267" s="14" t="n">
        <v>0</v>
      </c>
      <c r="CA267" s="14" t="n">
        <v>13.646</v>
      </c>
      <c r="CB267" s="14" t="n">
        <v>0</v>
      </c>
      <c r="CC267" s="14" t="n">
        <v>82.58799999999999</v>
      </c>
      <c r="CD267" s="14" t="n">
        <v>7.95</v>
      </c>
      <c r="CE267" s="14" t="n">
        <v>1.687</v>
      </c>
      <c r="CF267" s="14" t="n">
        <v>94.976</v>
      </c>
      <c r="CG267" s="14" t="n">
        <v>0.15</v>
      </c>
      <c r="CH267" s="14" t="n">
        <v>1</v>
      </c>
      <c r="CI267" s="14" t="n">
        <v>0</v>
      </c>
      <c r="CJ267" s="14" t="n">
        <v>0</v>
      </c>
      <c r="CK267" s="14" t="n">
        <v>0</v>
      </c>
      <c r="CL267" s="14" t="n">
        <v>0</v>
      </c>
      <c r="CM267" s="14" t="n">
        <v>0</v>
      </c>
      <c r="CN267" s="14" t="n">
        <v>0</v>
      </c>
      <c r="CO267" s="14" t="n">
        <v>0</v>
      </c>
      <c r="CP267" s="14" t="n">
        <v>0</v>
      </c>
      <c r="CQ267" s="14" t="n">
        <v>1.387</v>
      </c>
      <c r="CR267" s="14" t="n">
        <v>0</v>
      </c>
      <c r="CS267" s="14" t="n">
        <v>5.529</v>
      </c>
      <c r="CT267" s="14" t="n">
        <v>4.251</v>
      </c>
      <c r="CU267" s="14" t="n">
        <v>10.168</v>
      </c>
    </row>
    <row r="268">
      <c r="A268" s="14" t="inlineStr">
        <is>
          <t>ETH2021</t>
        </is>
      </c>
      <c r="B268" s="14" t="inlineStr">
        <is>
          <t>ETH</t>
        </is>
      </c>
      <c r="C268" s="14" t="inlineStr">
        <is>
          <t>ETH</t>
        </is>
      </c>
      <c r="D268" s="14" t="inlineStr">
        <is>
          <t>Ethiopia</t>
        </is>
      </c>
      <c r="E268" s="14" t="n">
        <v>2021</v>
      </c>
      <c r="F268" s="14" t="n">
        <v>0.15</v>
      </c>
      <c r="G268" s="14" t="n">
        <v>4.108</v>
      </c>
      <c r="H268" s="14" t="n">
        <v>0.896</v>
      </c>
      <c r="I268" s="14" t="n">
        <v>0</v>
      </c>
      <c r="J268" s="14" t="n">
        <v>4.108</v>
      </c>
      <c r="K268" s="14" t="n">
        <v>0</v>
      </c>
      <c r="L268" s="14" t="n">
        <v>1</v>
      </c>
      <c r="M268" s="14" t="n">
        <v>5.775</v>
      </c>
      <c r="N268" s="14" t="n">
        <v>2.687</v>
      </c>
      <c r="O268" s="14" t="n">
        <v>0.119</v>
      </c>
      <c r="P268" s="14" t="n">
        <v>5.894</v>
      </c>
      <c r="Q268" s="14" t="n">
        <v>0</v>
      </c>
      <c r="R268" s="14" t="n">
        <v>1</v>
      </c>
      <c r="S268" s="14" t="n">
        <v>8.585000000000001</v>
      </c>
      <c r="T268" s="14" t="n">
        <v>5.373</v>
      </c>
      <c r="U268" s="14" t="n">
        <v>0</v>
      </c>
      <c r="V268" s="14" t="n">
        <v>9.872999999999999</v>
      </c>
      <c r="W268" s="14" t="n">
        <v>0.15</v>
      </c>
      <c r="X268" s="14" t="n">
        <v>1</v>
      </c>
      <c r="Y268" s="14" t="n">
        <v>3.969</v>
      </c>
      <c r="Z268" s="14" t="n">
        <v>0.536</v>
      </c>
      <c r="AA268" s="14" t="n">
        <v>0</v>
      </c>
      <c r="AB268" s="14" t="n">
        <v>3.969</v>
      </c>
      <c r="AC268" s="14" t="n">
        <v>0</v>
      </c>
      <c r="AD268" s="14" t="n">
        <v>1</v>
      </c>
      <c r="AE268" s="14" t="n">
        <v>5.112</v>
      </c>
      <c r="AF268" s="14" t="n">
        <v>1.195</v>
      </c>
      <c r="AG268" s="14" t="n">
        <v>0</v>
      </c>
      <c r="AH268" s="14" t="n">
        <v>5.112</v>
      </c>
      <c r="AI268" s="14" t="n">
        <v>0</v>
      </c>
      <c r="AJ268" s="14" t="n">
        <v>1</v>
      </c>
      <c r="AK268" s="14" t="n">
        <v>11.972</v>
      </c>
      <c r="AL268" s="14" t="n">
        <v>6.376</v>
      </c>
      <c r="AM268" s="14" t="n">
        <v>0</v>
      </c>
      <c r="AN268" s="14" t="n">
        <v>13.768</v>
      </c>
      <c r="AO268" s="14" t="n">
        <v>0.15</v>
      </c>
      <c r="AP268" s="14" t="n">
        <v>1</v>
      </c>
      <c r="AQ268" s="14" t="n">
        <v>0.619</v>
      </c>
      <c r="AR268" s="14" t="n">
        <v>0.114</v>
      </c>
      <c r="AS268" s="14" t="n">
        <v>-0.099</v>
      </c>
      <c r="AT268" s="14" t="n">
        <v>0.598</v>
      </c>
      <c r="AU268" s="14" t="n">
        <v>0.15</v>
      </c>
      <c r="AV268" s="14" t="n">
        <v>1</v>
      </c>
      <c r="AW268" s="14" t="n">
        <v>0.599</v>
      </c>
      <c r="AX268" s="14" t="n">
        <v>0.114</v>
      </c>
      <c r="AY268" s="14" t="n">
        <v>-0.133</v>
      </c>
      <c r="AZ268" s="14" t="n">
        <v>0.537</v>
      </c>
      <c r="BA268" s="14" t="n">
        <v>0.15</v>
      </c>
      <c r="BB268" s="14" t="n">
        <v>1</v>
      </c>
      <c r="BC268" s="14" t="n">
        <v>0.439</v>
      </c>
      <c r="BD268" s="14" t="n">
        <v>0.114</v>
      </c>
      <c r="BE268" s="14" t="n">
        <v>0.016</v>
      </c>
      <c r="BF268" s="14" t="n">
        <v>0.523</v>
      </c>
      <c r="BG268" s="14" t="n">
        <v>0.15</v>
      </c>
      <c r="BH268" s="14" t="n">
        <v>1</v>
      </c>
      <c r="BI268" s="14" t="n">
        <v>0.505</v>
      </c>
      <c r="BJ268" s="14" t="n">
        <v>0.114</v>
      </c>
      <c r="BK268" s="14" t="n">
        <v>0.032</v>
      </c>
      <c r="BL268" s="14" t="n">
        <v>0.537</v>
      </c>
      <c r="BM268" s="14" t="n">
        <v>0</v>
      </c>
      <c r="BN268" s="14" t="n">
        <v>1</v>
      </c>
      <c r="BO268" s="14" t="n">
        <v>0</v>
      </c>
      <c r="BP268" s="14" t="n">
        <v>0</v>
      </c>
      <c r="BQ268" s="14" t="n">
        <v>0.028</v>
      </c>
      <c r="BR268" s="14" t="n">
        <v>0</v>
      </c>
      <c r="BS268" s="14" t="n">
        <v>0.667</v>
      </c>
      <c r="BT268" s="14" t="n">
        <v>0</v>
      </c>
      <c r="BU268" s="14" t="n">
        <v>0</v>
      </c>
      <c r="BV268" s="14" t="n">
        <v>0.048</v>
      </c>
      <c r="BW268" s="14" t="n">
        <v>0.15</v>
      </c>
      <c r="BX268" s="14" t="n">
        <v>0.667</v>
      </c>
      <c r="BY268" s="14" t="n">
        <v>11.787</v>
      </c>
      <c r="BZ268" s="14" t="n">
        <v>0</v>
      </c>
      <c r="CA268" s="14" t="n">
        <v>11.787</v>
      </c>
      <c r="CB268" s="14" t="n">
        <v>0</v>
      </c>
      <c r="CC268" s="14" t="n">
        <v>78.125</v>
      </c>
      <c r="CD268" s="14" t="n">
        <v>7.95</v>
      </c>
      <c r="CE268" s="14" t="n">
        <v>-2.409</v>
      </c>
      <c r="CF268" s="14" t="n">
        <v>87.07299999999999</v>
      </c>
      <c r="CG268" s="14" t="n">
        <v>0.15</v>
      </c>
      <c r="CH268" s="14" t="n">
        <v>1</v>
      </c>
      <c r="CI268" s="14" t="n">
        <v>0</v>
      </c>
      <c r="CJ268" s="14" t="n">
        <v>0</v>
      </c>
      <c r="CK268" s="14" t="n">
        <v>0</v>
      </c>
      <c r="CL268" s="14" t="n">
        <v>0</v>
      </c>
      <c r="CM268" s="14" t="n">
        <v>0</v>
      </c>
      <c r="CN268" s="14" t="n">
        <v>0</v>
      </c>
      <c r="CO268" s="14" t="n">
        <v>0</v>
      </c>
      <c r="CP268" s="14" t="n">
        <v>0.433</v>
      </c>
      <c r="CQ268" s="14" t="n">
        <v>1.198</v>
      </c>
      <c r="CR268" s="14" t="n">
        <v>0</v>
      </c>
      <c r="CS268" s="14" t="n">
        <v>4.049</v>
      </c>
      <c r="CT268" s="14" t="n">
        <v>4.753</v>
      </c>
      <c r="CU268" s="14" t="n">
        <v>15.162</v>
      </c>
    </row>
    <row r="269">
      <c r="A269" s="14" t="inlineStr">
        <is>
          <t>ETH2022</t>
        </is>
      </c>
      <c r="B269" s="14" t="inlineStr">
        <is>
          <t>ETH</t>
        </is>
      </c>
      <c r="C269" s="14" t="inlineStr">
        <is>
          <t>ETH</t>
        </is>
      </c>
      <c r="D269" s="14" t="inlineStr">
        <is>
          <t>Ethiopia</t>
        </is>
      </c>
      <c r="E269" s="14" t="n">
        <v>2022</v>
      </c>
      <c r="F269" s="14" t="n">
        <v>0.15</v>
      </c>
      <c r="G269" s="14" t="n">
        <v>7.468</v>
      </c>
      <c r="H269" s="14" t="n">
        <v>0.967</v>
      </c>
      <c r="I269" s="14" t="n">
        <v>0</v>
      </c>
      <c r="J269" s="14" t="n">
        <v>7.468</v>
      </c>
      <c r="K269" s="14" t="n">
        <v>0</v>
      </c>
      <c r="L269" s="14" t="n">
        <v>1</v>
      </c>
      <c r="M269" s="14" t="n">
        <v>6.906</v>
      </c>
      <c r="N269" s="14" t="n">
        <v>2.901</v>
      </c>
      <c r="O269" s="14" t="n">
        <v>0.159</v>
      </c>
      <c r="P269" s="14" t="n">
        <v>7.065</v>
      </c>
      <c r="Q269" s="14" t="n">
        <v>0</v>
      </c>
      <c r="R269" s="14" t="n">
        <v>1</v>
      </c>
      <c r="S269" s="14" t="n">
        <v>12.304</v>
      </c>
      <c r="T269" s="14" t="n">
        <v>5.803</v>
      </c>
      <c r="U269" s="14" t="n">
        <v>0.137</v>
      </c>
      <c r="V269" s="14" t="n">
        <v>14.149</v>
      </c>
      <c r="W269" s="14" t="n">
        <v>0.15</v>
      </c>
      <c r="X269" s="14" t="n">
        <v>1</v>
      </c>
      <c r="Y269" s="14" t="n">
        <v>15.126</v>
      </c>
      <c r="Z269" s="14" t="n">
        <v>2.044</v>
      </c>
      <c r="AA269" s="14" t="n">
        <v>0</v>
      </c>
      <c r="AB269" s="14" t="n">
        <v>15.126</v>
      </c>
      <c r="AC269" s="14" t="n">
        <v>0</v>
      </c>
      <c r="AD269" s="14" t="n">
        <v>1</v>
      </c>
      <c r="AE269" s="14" t="n">
        <v>16.361</v>
      </c>
      <c r="AF269" s="14" t="n">
        <v>3.826</v>
      </c>
      <c r="AG269" s="14" t="n">
        <v>0</v>
      </c>
      <c r="AH269" s="14" t="n">
        <v>16.361</v>
      </c>
      <c r="AI269" s="14" t="n">
        <v>0</v>
      </c>
      <c r="AJ269" s="14" t="n">
        <v>1</v>
      </c>
      <c r="AK269" s="14" t="n">
        <v>23.769</v>
      </c>
      <c r="AL269" s="14" t="n">
        <v>12.659</v>
      </c>
      <c r="AM269" s="14" t="n">
        <v>0.264</v>
      </c>
      <c r="AN269" s="14" t="n">
        <v>27.334</v>
      </c>
      <c r="AO269" s="14" t="n">
        <v>0.15</v>
      </c>
      <c r="AP269" s="14" t="n">
        <v>1</v>
      </c>
      <c r="AQ269" s="14" t="n">
        <v>0.861</v>
      </c>
      <c r="AR269" s="14" t="n">
        <v>0.123</v>
      </c>
      <c r="AS269" s="14" t="n">
        <v>-0.139</v>
      </c>
      <c r="AT269" s="14" t="n">
        <v>0.83</v>
      </c>
      <c r="AU269" s="14" t="n">
        <v>0.15</v>
      </c>
      <c r="AV269" s="14" t="n">
        <v>1</v>
      </c>
      <c r="AW269" s="14" t="n">
        <v>0.986</v>
      </c>
      <c r="AX269" s="14" t="n">
        <v>0.123</v>
      </c>
      <c r="AY269" s="14" t="n">
        <v>-0.267</v>
      </c>
      <c r="AZ269" s="14" t="n">
        <v>0.827</v>
      </c>
      <c r="BA269" s="14" t="n">
        <v>0.15</v>
      </c>
      <c r="BB269" s="14" t="n">
        <v>1</v>
      </c>
      <c r="BC269" s="14" t="n">
        <v>0.598</v>
      </c>
      <c r="BD269" s="14" t="n">
        <v>0.123</v>
      </c>
      <c r="BE269" s="14" t="n">
        <v>0.03</v>
      </c>
      <c r="BF269" s="14" t="n">
        <v>0.714</v>
      </c>
      <c r="BG269" s="14" t="n">
        <v>0.15</v>
      </c>
      <c r="BH269" s="14" t="n">
        <v>1</v>
      </c>
      <c r="BI269" s="14" t="n">
        <v>0.612</v>
      </c>
      <c r="BJ269" s="14" t="n">
        <v>0.123</v>
      </c>
      <c r="BK269" s="14" t="n">
        <v>0.214</v>
      </c>
      <c r="BL269" s="14" t="n">
        <v>0.827</v>
      </c>
      <c r="BM269" s="14" t="n">
        <v>0</v>
      </c>
      <c r="BN269" s="14" t="n">
        <v>1</v>
      </c>
      <c r="BO269" s="14" t="n">
        <v>0</v>
      </c>
      <c r="BP269" s="14" t="n">
        <v>0</v>
      </c>
      <c r="BQ269" s="14" t="n">
        <v>0.023</v>
      </c>
      <c r="BR269" s="14" t="n">
        <v>0</v>
      </c>
      <c r="BS269" s="14" t="n">
        <v>0.667</v>
      </c>
      <c r="BT269" s="14" t="n">
        <v>0</v>
      </c>
      <c r="BU269" s="14" t="n">
        <v>0</v>
      </c>
      <c r="BV269" s="14" t="n">
        <v>0.041</v>
      </c>
      <c r="BW269" s="14" t="n">
        <v>0.15</v>
      </c>
      <c r="BX269" s="14" t="n">
        <v>0.667</v>
      </c>
      <c r="BY269" s="14" t="n">
        <v>12.729</v>
      </c>
      <c r="BZ269" s="14" t="n">
        <v>0</v>
      </c>
      <c r="CA269" s="14" t="n">
        <v>12.729</v>
      </c>
      <c r="CB269" s="14" t="n">
        <v>0</v>
      </c>
      <c r="CC269" s="14" t="n">
        <v>97.90000000000001</v>
      </c>
      <c r="CD269" s="14" t="n">
        <v>7.95</v>
      </c>
      <c r="CE269" s="14" t="n">
        <v>22.085</v>
      </c>
      <c r="CF269" s="14" t="n">
        <v>137.983</v>
      </c>
      <c r="CG269" s="14" t="n">
        <v>0.15</v>
      </c>
      <c r="CH269" s="14" t="n">
        <v>1</v>
      </c>
      <c r="CI269" s="14" t="n">
        <v>0</v>
      </c>
      <c r="CJ269" s="14" t="n">
        <v>0</v>
      </c>
      <c r="CK269" s="14" t="n">
        <v>0</v>
      </c>
      <c r="CL269" s="14" t="n">
        <v>0</v>
      </c>
      <c r="CM269" s="14" t="n">
        <v>0</v>
      </c>
      <c r="CN269" s="14" t="n">
        <v>0</v>
      </c>
      <c r="CO269" s="14" t="n">
        <v>0</v>
      </c>
      <c r="CP269" s="14" t="n">
        <v>0.433</v>
      </c>
      <c r="CQ269" s="14" t="n">
        <v>1.294</v>
      </c>
      <c r="CR269" s="14" t="n">
        <v>0</v>
      </c>
      <c r="CS269" s="14" t="n">
        <v>4.373</v>
      </c>
      <c r="CT269" s="14" t="n">
        <v>10.485</v>
      </c>
      <c r="CU269" s="14" t="n">
        <v>31.326</v>
      </c>
    </row>
    <row r="270">
      <c r="A270" s="14" t="inlineStr">
        <is>
          <t>ETH2023</t>
        </is>
      </c>
      <c r="B270" s="14" t="inlineStr">
        <is>
          <t>ETH</t>
        </is>
      </c>
      <c r="C270" s="14" t="inlineStr">
        <is>
          <t>ETH</t>
        </is>
      </c>
      <c r="D270" s="14" t="inlineStr">
        <is>
          <t>Ethiopia</t>
        </is>
      </c>
      <c r="E270" s="14" t="n">
        <v>2023</v>
      </c>
      <c r="F270" s="14" t="n">
        <v>0.15</v>
      </c>
      <c r="G270" s="14" t="n">
        <v>4.457</v>
      </c>
      <c r="H270" s="14" t="n">
        <v>1.024</v>
      </c>
      <c r="I270" s="14" t="n">
        <v>0</v>
      </c>
      <c r="J270" s="14" t="n">
        <v>4.457</v>
      </c>
      <c r="K270" s="14" t="n">
        <v>0</v>
      </c>
      <c r="L270" s="14" t="n">
        <v>1</v>
      </c>
      <c r="M270" s="14" t="n">
        <v>6.012</v>
      </c>
      <c r="N270" s="14" t="n">
        <v>3.073</v>
      </c>
      <c r="O270" s="14" t="n">
        <v>0.111</v>
      </c>
      <c r="P270" s="14" t="n">
        <v>6.123</v>
      </c>
      <c r="Q270" s="14" t="n">
        <v>0</v>
      </c>
      <c r="R270" s="14" t="n">
        <v>1</v>
      </c>
      <c r="S270" s="14" t="n">
        <v>9.579000000000001</v>
      </c>
      <c r="T270" s="14" t="n">
        <v>6.146</v>
      </c>
      <c r="U270" s="14" t="n">
        <v>0.159</v>
      </c>
      <c r="V270" s="14" t="n">
        <v>11.016</v>
      </c>
      <c r="W270" s="14" t="n">
        <v>0.15</v>
      </c>
      <c r="X270" s="14" t="n">
        <v>1</v>
      </c>
      <c r="Y270" s="14" t="n">
        <v>7.362</v>
      </c>
      <c r="Z270" s="14" t="n">
        <v>0.995</v>
      </c>
      <c r="AA270" s="14" t="n">
        <v>0</v>
      </c>
      <c r="AB270" s="14" t="n">
        <v>7.362</v>
      </c>
      <c r="AC270" s="14" t="n">
        <v>0</v>
      </c>
      <c r="AD270" s="14" t="n">
        <v>1</v>
      </c>
      <c r="AE270" s="14" t="n">
        <v>8.648</v>
      </c>
      <c r="AF270" s="14" t="n">
        <v>2.022</v>
      </c>
      <c r="AG270" s="14" t="n">
        <v>0</v>
      </c>
      <c r="AH270" s="14" t="n">
        <v>8.648</v>
      </c>
      <c r="AI270" s="14" t="n">
        <v>0</v>
      </c>
      <c r="AJ270" s="14" t="n">
        <v>1</v>
      </c>
      <c r="AK270" s="14" t="n">
        <v>16.362</v>
      </c>
      <c r="AL270" s="14" t="n">
        <v>8.714</v>
      </c>
      <c r="AM270" s="14" t="n">
        <v>0.272</v>
      </c>
      <c r="AN270" s="14" t="n">
        <v>18.816</v>
      </c>
      <c r="AO270" s="14" t="n">
        <v>0.15</v>
      </c>
      <c r="AP270" s="14" t="n">
        <v>1</v>
      </c>
      <c r="AQ270" s="14" t="n">
        <v>0.76</v>
      </c>
      <c r="AR270" s="14" t="n">
        <v>0.129</v>
      </c>
      <c r="AS270" s="14" t="n">
        <v>0.342</v>
      </c>
      <c r="AT270" s="14" t="n">
        <v>1.268</v>
      </c>
      <c r="AU270" s="14" t="n">
        <v>0.15</v>
      </c>
      <c r="AV270" s="14" t="n">
        <v>1</v>
      </c>
      <c r="AW270" s="14" t="n">
        <v>0.8110000000000001</v>
      </c>
      <c r="AX270" s="14" t="n">
        <v>0.129</v>
      </c>
      <c r="AY270" s="14" t="n">
        <v>0.343</v>
      </c>
      <c r="AZ270" s="14" t="n">
        <v>1.328</v>
      </c>
      <c r="BA270" s="14" t="n">
        <v>0.15</v>
      </c>
      <c r="BB270" s="14" t="n">
        <v>1</v>
      </c>
      <c r="BC270" s="14" t="n">
        <v>0.535</v>
      </c>
      <c r="BD270" s="14" t="n">
        <v>0.129</v>
      </c>
      <c r="BE270" s="14" t="n">
        <v>0.029</v>
      </c>
      <c r="BF270" s="14" t="n">
        <v>0.638</v>
      </c>
      <c r="BG270" s="14" t="n">
        <v>0.15</v>
      </c>
      <c r="BH270" s="14" t="n">
        <v>1</v>
      </c>
      <c r="BI270" s="14" t="n">
        <v>0.579</v>
      </c>
      <c r="BJ270" s="14" t="n">
        <v>0.129</v>
      </c>
      <c r="BK270" s="14" t="n">
        <v>0.739</v>
      </c>
      <c r="BL270" s="14" t="n">
        <v>1.318</v>
      </c>
      <c r="BM270" s="14" t="n">
        <v>0</v>
      </c>
      <c r="BN270" s="14" t="n">
        <v>1</v>
      </c>
      <c r="BO270" s="14" t="n">
        <v>0</v>
      </c>
      <c r="BP270" s="14" t="n">
        <v>0</v>
      </c>
      <c r="BQ270" s="14" t="n">
        <v>0.022</v>
      </c>
      <c r="BR270" s="14" t="n">
        <v>0</v>
      </c>
      <c r="BS270" s="14" t="n">
        <v>0.667</v>
      </c>
      <c r="BT270" s="14" t="n">
        <v>0</v>
      </c>
      <c r="BU270" s="14" t="n">
        <v>0</v>
      </c>
      <c r="BV270" s="14" t="n">
        <v>0.039</v>
      </c>
      <c r="BW270" s="14" t="n">
        <v>0.15</v>
      </c>
      <c r="BX270" s="14" t="n">
        <v>0.667</v>
      </c>
      <c r="BY270" s="14" t="n">
        <v>13.254</v>
      </c>
      <c r="BZ270" s="14" t="n">
        <v>0</v>
      </c>
      <c r="CA270" s="14" t="n">
        <v>13.254</v>
      </c>
      <c r="CB270" s="14" t="n">
        <v>0</v>
      </c>
      <c r="CC270" s="14" t="n">
        <v>83.248</v>
      </c>
      <c r="CD270" s="14" t="n">
        <v>7.95</v>
      </c>
      <c r="CE270" s="14" t="n">
        <v>92.107</v>
      </c>
      <c r="CF270" s="14" t="n">
        <v>201.659</v>
      </c>
      <c r="CG270" s="14" t="n">
        <v>0.15</v>
      </c>
      <c r="CH270" s="14" t="n">
        <v>1</v>
      </c>
      <c r="CI270" s="14" t="n">
        <v>0</v>
      </c>
      <c r="CJ270" s="14" t="n">
        <v>0</v>
      </c>
      <c r="CK270" s="14" t="n">
        <v>0</v>
      </c>
      <c r="CL270" s="14" t="n">
        <v>0</v>
      </c>
      <c r="CM270" s="14" t="n">
        <v>0</v>
      </c>
      <c r="CN270" s="14" t="n">
        <v>0</v>
      </c>
      <c r="CO270" s="14" t="n">
        <v>0</v>
      </c>
      <c r="CP270" s="14" t="n">
        <v>0.407</v>
      </c>
      <c r="CQ270" s="14" t="n">
        <v>1.348</v>
      </c>
      <c r="CR270" s="14" t="n">
        <v>0</v>
      </c>
      <c r="CS270" s="14" t="n">
        <v>4.553</v>
      </c>
      <c r="CT270" s="14" t="n">
        <v>4.861</v>
      </c>
      <c r="CU270" s="14" t="n">
        <v>11.622</v>
      </c>
    </row>
    <row r="271">
      <c r="A271" s="14" t="inlineStr">
        <is>
          <t>ETH2024</t>
        </is>
      </c>
      <c r="B271" s="14" t="inlineStr">
        <is>
          <t>ETH</t>
        </is>
      </c>
      <c r="C271" s="14" t="inlineStr">
        <is>
          <t>ETH</t>
        </is>
      </c>
      <c r="D271" s="14" t="inlineStr">
        <is>
          <t>Ethiopia</t>
        </is>
      </c>
      <c r="E271" s="14" t="n">
        <v>2024</v>
      </c>
      <c r="F271" s="14" t="n">
        <v>0.15</v>
      </c>
      <c r="G271" s="14" t="n">
        <v>4.142</v>
      </c>
      <c r="H271" s="14" t="n">
        <v>1.055</v>
      </c>
      <c r="I271" s="14" t="n">
        <v>0</v>
      </c>
      <c r="J271" s="14" t="n">
        <v>4.142</v>
      </c>
      <c r="K271" s="14" t="n">
        <v>0</v>
      </c>
      <c r="L271" s="14" t="n">
        <v>1</v>
      </c>
      <c r="M271" s="14" t="n">
        <v>5.599</v>
      </c>
      <c r="N271" s="14" t="n">
        <v>3.164</v>
      </c>
      <c r="O271" s="14" t="n">
        <v>0.08699999999999999</v>
      </c>
      <c r="P271" s="14" t="n">
        <v>5.686</v>
      </c>
      <c r="Q271" s="14" t="n">
        <v>0</v>
      </c>
      <c r="R271" s="14" t="n">
        <v>1</v>
      </c>
      <c r="S271" s="14" t="n">
        <v>9.414999999999999</v>
      </c>
      <c r="T271" s="14" t="n">
        <v>6.328</v>
      </c>
      <c r="U271" s="14" t="n">
        <v>0.192</v>
      </c>
      <c r="V271" s="14" t="n">
        <v>10.827</v>
      </c>
      <c r="W271" s="14" t="n">
        <v>0.15</v>
      </c>
      <c r="X271" s="14" t="n">
        <v>1</v>
      </c>
      <c r="Y271" s="14" t="n">
        <v>6.861</v>
      </c>
      <c r="Z271" s="14" t="n">
        <v>0.927</v>
      </c>
      <c r="AA271" s="14" t="n">
        <v>0</v>
      </c>
      <c r="AB271" s="14" t="n">
        <v>6.861</v>
      </c>
      <c r="AC271" s="14" t="n">
        <v>0</v>
      </c>
      <c r="AD271" s="14" t="n">
        <v>1</v>
      </c>
      <c r="AE271" s="14" t="n">
        <v>8.185</v>
      </c>
      <c r="AF271" s="14" t="n">
        <v>1.914</v>
      </c>
      <c r="AG271" s="14" t="n">
        <v>0</v>
      </c>
      <c r="AH271" s="14" t="n">
        <v>8.185</v>
      </c>
      <c r="AI271" s="14" t="n">
        <v>0</v>
      </c>
      <c r="AJ271" s="14" t="n">
        <v>1</v>
      </c>
      <c r="AK271" s="14" t="n">
        <v>16.127</v>
      </c>
      <c r="AL271" s="14" t="n">
        <v>8.589</v>
      </c>
      <c r="AM271" s="14" t="n">
        <v>0.33</v>
      </c>
      <c r="AN271" s="14" t="n">
        <v>18.546</v>
      </c>
      <c r="AO271" s="14" t="n">
        <v>0.15</v>
      </c>
      <c r="AP271" s="14" t="n">
        <v>1</v>
      </c>
      <c r="AQ271" s="14" t="n">
        <v>0.724</v>
      </c>
      <c r="AR271" s="14" t="n">
        <v>0.132</v>
      </c>
      <c r="AS271" s="14" t="n">
        <v>0.142</v>
      </c>
      <c r="AT271" s="14" t="n">
        <v>0.996</v>
      </c>
      <c r="AU271" s="14" t="n">
        <v>0.15</v>
      </c>
      <c r="AV271" s="14" t="n">
        <v>1</v>
      </c>
      <c r="AW271" s="14" t="n">
        <v>0.75</v>
      </c>
      <c r="AX271" s="14" t="n">
        <v>0.132</v>
      </c>
      <c r="AY271" s="14" t="n">
        <v>0.128</v>
      </c>
      <c r="AZ271" s="14" t="n">
        <v>1.009</v>
      </c>
      <c r="BA271" s="14" t="n">
        <v>0.15</v>
      </c>
      <c r="BB271" s="14" t="n">
        <v>1</v>
      </c>
      <c r="BC271" s="14" t="n">
        <v>0.513</v>
      </c>
      <c r="BD271" s="14" t="n">
        <v>0.132</v>
      </c>
      <c r="BE271" s="14" t="n">
        <v>0.029</v>
      </c>
      <c r="BF271" s="14" t="n">
        <v>0.611</v>
      </c>
      <c r="BG271" s="14" t="n">
        <v>0.15</v>
      </c>
      <c r="BH271" s="14" t="n">
        <v>1</v>
      </c>
      <c r="BI271" s="14" t="n">
        <v>0.591</v>
      </c>
      <c r="BJ271" s="14" t="n">
        <v>0.132</v>
      </c>
      <c r="BK271" s="14" t="n">
        <v>0.405</v>
      </c>
      <c r="BL271" s="14" t="n">
        <v>0.997</v>
      </c>
      <c r="BM271" s="14" t="n">
        <v>0</v>
      </c>
      <c r="BN271" s="14" t="n">
        <v>1</v>
      </c>
      <c r="BO271" s="14" t="n">
        <v>0</v>
      </c>
      <c r="BP271" s="14" t="n">
        <v>0</v>
      </c>
      <c r="BQ271" s="14" t="n">
        <v>0.023</v>
      </c>
      <c r="BR271" s="14" t="n">
        <v>0</v>
      </c>
      <c r="BS271" s="14" t="n">
        <v>0.667</v>
      </c>
      <c r="BT271" s="14" t="n">
        <v>0</v>
      </c>
      <c r="BU271" s="14" t="n">
        <v>0</v>
      </c>
      <c r="BV271" s="14" t="n">
        <v>0.04</v>
      </c>
      <c r="BW271" s="14" t="n">
        <v>0.15</v>
      </c>
      <c r="BX271" s="14" t="n">
        <v>0.667</v>
      </c>
      <c r="BY271" s="14" t="n">
        <v>13.646</v>
      </c>
      <c r="BZ271" s="14" t="n">
        <v>0</v>
      </c>
      <c r="CA271" s="14" t="n">
        <v>13.646</v>
      </c>
      <c r="CB271" s="14" t="n">
        <v>0</v>
      </c>
      <c r="CC271" s="14" t="n">
        <v>82.58799999999999</v>
      </c>
      <c r="CD271" s="14" t="n">
        <v>7.95</v>
      </c>
      <c r="CE271" s="14" t="n">
        <v>52.055</v>
      </c>
      <c r="CF271" s="14" t="n">
        <v>154.84</v>
      </c>
      <c r="CG271" s="14" t="n">
        <v>0.15</v>
      </c>
      <c r="CH271" s="14" t="n">
        <v>1</v>
      </c>
      <c r="CI271" s="14" t="n">
        <v>0</v>
      </c>
      <c r="CJ271" s="14" t="n">
        <v>0</v>
      </c>
      <c r="CK271" s="14" t="n">
        <v>0</v>
      </c>
      <c r="CL271" s="14" t="n">
        <v>0</v>
      </c>
      <c r="CM271" s="14" t="n">
        <v>0</v>
      </c>
      <c r="CN271" s="14" t="n">
        <v>0</v>
      </c>
      <c r="CO271" s="14" t="n">
        <v>0</v>
      </c>
      <c r="CP271" s="14" t="n">
        <v>0.407</v>
      </c>
      <c r="CQ271" s="14" t="n">
        <v>1.387</v>
      </c>
      <c r="CR271" s="14" t="n">
        <v>0</v>
      </c>
      <c r="CS271" s="14" t="n">
        <v>4.688</v>
      </c>
      <c r="CT271" s="14" t="n">
        <v>4.251</v>
      </c>
      <c r="CU271" s="14" t="n">
        <v>10.168</v>
      </c>
    </row>
    <row r="272">
      <c r="A272" s="14" t="inlineStr">
        <is>
          <t>FRO2021</t>
        </is>
      </c>
      <c r="B272" s="14" t="inlineStr">
        <is>
          <t>FRO</t>
        </is>
      </c>
      <c r="C272" s="14" t="inlineStr">
        <is>
          <t>FRO</t>
        </is>
      </c>
      <c r="D272" s="14" t="inlineStr">
        <is>
          <t>Faroe Islands</t>
        </is>
      </c>
      <c r="E272" s="14" t="n">
        <v>2021</v>
      </c>
      <c r="F272" s="14" t="n">
        <v>0</v>
      </c>
      <c r="G272" s="14" t="n">
        <v>5.553</v>
      </c>
      <c r="H272" s="14" t="n">
        <v>1.143</v>
      </c>
      <c r="I272" s="14" t="n">
        <v>0</v>
      </c>
      <c r="J272" s="14" t="n">
        <v>5.553</v>
      </c>
      <c r="K272" s="14" t="n">
        <v>0</v>
      </c>
      <c r="L272" s="14" t="n">
        <v>1</v>
      </c>
      <c r="M272" s="14" t="n">
        <v>7.964</v>
      </c>
      <c r="N272" s="14" t="n">
        <v>3.43</v>
      </c>
      <c r="O272" s="14" t="n">
        <v>0</v>
      </c>
      <c r="P272" s="14" t="n">
        <v>7.964</v>
      </c>
      <c r="Q272" s="14" t="n">
        <v>0</v>
      </c>
      <c r="R272" s="14" t="n">
        <v>1</v>
      </c>
      <c r="S272" s="14" t="n">
        <v>11.27</v>
      </c>
      <c r="T272" s="14" t="n">
        <v>6.86</v>
      </c>
      <c r="U272" s="14" t="n">
        <v>0</v>
      </c>
      <c r="V272" s="14" t="n">
        <v>11.27</v>
      </c>
      <c r="W272" s="14" t="n">
        <v>0</v>
      </c>
      <c r="X272" s="14" t="n">
        <v>1</v>
      </c>
      <c r="Y272" s="14" t="n">
        <v>16.305</v>
      </c>
      <c r="Z272" s="14" t="n">
        <v>2.204</v>
      </c>
      <c r="AA272" s="14" t="n">
        <v>0</v>
      </c>
      <c r="AB272" s="14" t="n">
        <v>16.305</v>
      </c>
      <c r="AC272" s="14" t="n">
        <v>0</v>
      </c>
      <c r="AD272" s="14" t="n">
        <v>1</v>
      </c>
      <c r="AE272" s="14" t="n">
        <v>17.449</v>
      </c>
      <c r="AF272" s="14" t="n">
        <v>4.08</v>
      </c>
      <c r="AG272" s="14" t="n">
        <v>0</v>
      </c>
      <c r="AH272" s="14" t="n">
        <v>17.449</v>
      </c>
      <c r="AI272" s="14" t="n">
        <v>0</v>
      </c>
      <c r="AJ272" s="14" t="n">
        <v>1</v>
      </c>
      <c r="AK272" s="14" t="n">
        <v>24.309</v>
      </c>
      <c r="AL272" s="14" t="n">
        <v>12.947</v>
      </c>
      <c r="AM272" s="14" t="n">
        <v>0</v>
      </c>
      <c r="AN272" s="14" t="n">
        <v>24.309</v>
      </c>
      <c r="AO272" s="14" t="n">
        <v>0</v>
      </c>
      <c r="AP272" s="14" t="n">
        <v>1</v>
      </c>
      <c r="AQ272" s="14" t="n">
        <v>0.619</v>
      </c>
      <c r="AR272" s="14" t="n">
        <v>0.114</v>
      </c>
      <c r="AS272" s="14" t="n">
        <v>0</v>
      </c>
      <c r="AT272" s="14" t="n">
        <v>0.619</v>
      </c>
      <c r="AU272" s="14" t="n">
        <v>0</v>
      </c>
      <c r="AV272" s="14" t="n">
        <v>1</v>
      </c>
      <c r="AW272" s="14" t="n">
        <v>0.599</v>
      </c>
      <c r="AX272" s="14" t="n">
        <v>0.114</v>
      </c>
      <c r="AY272" s="14" t="n">
        <v>0</v>
      </c>
      <c r="AZ272" s="14" t="n">
        <v>0.599</v>
      </c>
      <c r="BA272" s="14" t="n">
        <v>0</v>
      </c>
      <c r="BB272" s="14" t="n">
        <v>1</v>
      </c>
      <c r="BC272" s="14" t="n">
        <v>0.439</v>
      </c>
      <c r="BD272" s="14" t="n">
        <v>0.114</v>
      </c>
      <c r="BE272" s="14" t="n">
        <v>0</v>
      </c>
      <c r="BF272" s="14" t="n">
        <v>0.439</v>
      </c>
      <c r="BG272" s="14" t="n">
        <v>0</v>
      </c>
      <c r="BH272" s="14" t="n">
        <v>1</v>
      </c>
      <c r="BI272" s="14" t="n">
        <v>0.505</v>
      </c>
      <c r="BJ272" s="14" t="n">
        <v>0.114</v>
      </c>
      <c r="BK272" s="14" t="n">
        <v>0</v>
      </c>
      <c r="BL272" s="14" t="n">
        <v>0.505</v>
      </c>
      <c r="BM272" s="14" t="n">
        <v>0</v>
      </c>
      <c r="BN272" s="14" t="n">
        <v>1</v>
      </c>
      <c r="BO272" s="14" t="n">
        <v>0</v>
      </c>
      <c r="BP272" s="14" t="n">
        <v>0</v>
      </c>
      <c r="BQ272" s="14" t="n">
        <v>0</v>
      </c>
      <c r="BR272" s="14" t="n">
        <v>0</v>
      </c>
      <c r="BS272" s="14" t="n">
        <v>1</v>
      </c>
      <c r="BT272" s="14" t="n">
        <v>0</v>
      </c>
      <c r="BU272" s="14" t="n">
        <v>0</v>
      </c>
      <c r="BV272" s="14" t="n">
        <v>0</v>
      </c>
      <c r="BW272" s="14" t="n">
        <v>0</v>
      </c>
      <c r="BX272" s="14" t="n">
        <v>1</v>
      </c>
      <c r="BY272" s="14" t="n">
        <v>11.787</v>
      </c>
      <c r="BZ272" s="14" t="n">
        <v>0</v>
      </c>
      <c r="CA272" s="14" t="n">
        <v>11.787</v>
      </c>
      <c r="CB272" s="14" t="n">
        <v>0</v>
      </c>
      <c r="CC272" s="14" t="n">
        <v>78.125</v>
      </c>
      <c r="CD272" s="14" t="n">
        <v>7.95</v>
      </c>
      <c r="CE272" s="14" t="n">
        <v>0</v>
      </c>
      <c r="CF272" s="14" t="n">
        <v>78.125</v>
      </c>
      <c r="CG272" s="14" t="n">
        <v>0</v>
      </c>
      <c r="CH272" s="14" t="n">
        <v>1</v>
      </c>
      <c r="CI272" s="14" t="n">
        <v>0</v>
      </c>
      <c r="CJ272" s="14" t="n">
        <v>0</v>
      </c>
      <c r="CK272" s="14" t="n">
        <v>0</v>
      </c>
      <c r="CL272" s="14" t="n">
        <v>0</v>
      </c>
      <c r="CM272" s="14" t="n">
        <v>0</v>
      </c>
      <c r="CN272" s="14" t="n">
        <v>0</v>
      </c>
      <c r="CO272" s="14" t="n">
        <v>0</v>
      </c>
      <c r="CP272" s="14" t="n">
        <v>0</v>
      </c>
      <c r="CQ272" s="14" t="n">
        <v>1.198</v>
      </c>
      <c r="CR272" s="14" t="n">
        <v>0</v>
      </c>
      <c r="CS272" s="14" t="n">
        <v>4.776</v>
      </c>
      <c r="CT272" s="14" t="n">
        <v>4.41</v>
      </c>
      <c r="CU272" s="14" t="n">
        <v>15.162</v>
      </c>
    </row>
    <row r="273">
      <c r="A273" s="14" t="inlineStr">
        <is>
          <t>FRO2022</t>
        </is>
      </c>
      <c r="B273" s="14" t="inlineStr">
        <is>
          <t>FRO</t>
        </is>
      </c>
      <c r="C273" s="14" t="inlineStr">
        <is>
          <t>FRO</t>
        </is>
      </c>
      <c r="D273" s="14" t="inlineStr">
        <is>
          <t>Faroe Islands</t>
        </is>
      </c>
      <c r="E273" s="14" t="n">
        <v>2022</v>
      </c>
      <c r="F273" s="14" t="n">
        <v>0</v>
      </c>
      <c r="G273" s="14" t="n">
        <v>7.077</v>
      </c>
      <c r="H273" s="14" t="n">
        <v>1.235</v>
      </c>
      <c r="I273" s="14" t="n">
        <v>0</v>
      </c>
      <c r="J273" s="14" t="n">
        <v>7.077</v>
      </c>
      <c r="K273" s="14" t="n">
        <v>0</v>
      </c>
      <c r="L273" s="14" t="n">
        <v>1</v>
      </c>
      <c r="M273" s="14" t="n">
        <v>9.782999999999999</v>
      </c>
      <c r="N273" s="14" t="n">
        <v>3.704</v>
      </c>
      <c r="O273" s="14" t="n">
        <v>0</v>
      </c>
      <c r="P273" s="14" t="n">
        <v>9.782999999999999</v>
      </c>
      <c r="Q273" s="14" t="n">
        <v>0</v>
      </c>
      <c r="R273" s="14" t="n">
        <v>1</v>
      </c>
      <c r="S273" s="14" t="n">
        <v>13.25</v>
      </c>
      <c r="T273" s="14" t="n">
        <v>7.408</v>
      </c>
      <c r="U273" s="14" t="n">
        <v>0</v>
      </c>
      <c r="V273" s="14" t="n">
        <v>13.25</v>
      </c>
      <c r="W273" s="14" t="n">
        <v>0</v>
      </c>
      <c r="X273" s="14" t="n">
        <v>1</v>
      </c>
      <c r="Y273" s="14" t="n">
        <v>32.56</v>
      </c>
      <c r="Z273" s="14" t="n">
        <v>4.401</v>
      </c>
      <c r="AA273" s="14" t="n">
        <v>0</v>
      </c>
      <c r="AB273" s="14" t="n">
        <v>32.56</v>
      </c>
      <c r="AC273" s="14" t="n">
        <v>0</v>
      </c>
      <c r="AD273" s="14" t="n">
        <v>1</v>
      </c>
      <c r="AE273" s="14" t="n">
        <v>33.795</v>
      </c>
      <c r="AF273" s="14" t="n">
        <v>7.902</v>
      </c>
      <c r="AG273" s="14" t="n">
        <v>0</v>
      </c>
      <c r="AH273" s="14" t="n">
        <v>33.795</v>
      </c>
      <c r="AI273" s="14" t="n">
        <v>0</v>
      </c>
      <c r="AJ273" s="14" t="n">
        <v>1</v>
      </c>
      <c r="AK273" s="14" t="n">
        <v>41.203</v>
      </c>
      <c r="AL273" s="14" t="n">
        <v>21.945</v>
      </c>
      <c r="AM273" s="14" t="n">
        <v>0</v>
      </c>
      <c r="AN273" s="14" t="n">
        <v>41.203</v>
      </c>
      <c r="AO273" s="14" t="n">
        <v>0</v>
      </c>
      <c r="AP273" s="14" t="n">
        <v>1</v>
      </c>
      <c r="AQ273" s="14" t="n">
        <v>0.861</v>
      </c>
      <c r="AR273" s="14" t="n">
        <v>0.123</v>
      </c>
      <c r="AS273" s="14" t="n">
        <v>0</v>
      </c>
      <c r="AT273" s="14" t="n">
        <v>0.861</v>
      </c>
      <c r="AU273" s="14" t="n">
        <v>0</v>
      </c>
      <c r="AV273" s="14" t="n">
        <v>1</v>
      </c>
      <c r="AW273" s="14" t="n">
        <v>0.986</v>
      </c>
      <c r="AX273" s="14" t="n">
        <v>0.123</v>
      </c>
      <c r="AY273" s="14" t="n">
        <v>0</v>
      </c>
      <c r="AZ273" s="14" t="n">
        <v>0.986</v>
      </c>
      <c r="BA273" s="14" t="n">
        <v>0</v>
      </c>
      <c r="BB273" s="14" t="n">
        <v>1</v>
      </c>
      <c r="BC273" s="14" t="n">
        <v>0.598</v>
      </c>
      <c r="BD273" s="14" t="n">
        <v>0.123</v>
      </c>
      <c r="BE273" s="14" t="n">
        <v>0</v>
      </c>
      <c r="BF273" s="14" t="n">
        <v>0.598</v>
      </c>
      <c r="BG273" s="14" t="n">
        <v>0</v>
      </c>
      <c r="BH273" s="14" t="n">
        <v>1</v>
      </c>
      <c r="BI273" s="14" t="n">
        <v>0.612</v>
      </c>
      <c r="BJ273" s="14" t="n">
        <v>0.123</v>
      </c>
      <c r="BK273" s="14" t="n">
        <v>0</v>
      </c>
      <c r="BL273" s="14" t="n">
        <v>0.612</v>
      </c>
      <c r="BM273" s="14" t="n">
        <v>0</v>
      </c>
      <c r="BN273" s="14" t="n">
        <v>1</v>
      </c>
      <c r="BO273" s="14" t="n">
        <v>0</v>
      </c>
      <c r="BP273" s="14" t="n">
        <v>0</v>
      </c>
      <c r="BQ273" s="14" t="n">
        <v>0</v>
      </c>
      <c r="BR273" s="14" t="n">
        <v>0</v>
      </c>
      <c r="BS273" s="14" t="n">
        <v>1</v>
      </c>
      <c r="BT273" s="14" t="n">
        <v>0</v>
      </c>
      <c r="BU273" s="14" t="n">
        <v>0</v>
      </c>
      <c r="BV273" s="14" t="n">
        <v>0</v>
      </c>
      <c r="BW273" s="14" t="n">
        <v>0</v>
      </c>
      <c r="BX273" s="14" t="n">
        <v>1</v>
      </c>
      <c r="BY273" s="14" t="n">
        <v>12.729</v>
      </c>
      <c r="BZ273" s="14" t="n">
        <v>0</v>
      </c>
      <c r="CA273" s="14" t="n">
        <v>12.729</v>
      </c>
      <c r="CB273" s="14" t="n">
        <v>0</v>
      </c>
      <c r="CC273" s="14" t="n">
        <v>97.90000000000001</v>
      </c>
      <c r="CD273" s="14" t="n">
        <v>7.95</v>
      </c>
      <c r="CE273" s="14" t="n">
        <v>0</v>
      </c>
      <c r="CF273" s="14" t="n">
        <v>97.90000000000001</v>
      </c>
      <c r="CG273" s="14" t="n">
        <v>0</v>
      </c>
      <c r="CH273" s="14" t="n">
        <v>1</v>
      </c>
      <c r="CI273" s="14" t="n">
        <v>0</v>
      </c>
      <c r="CJ273" s="14" t="n">
        <v>0</v>
      </c>
      <c r="CK273" s="14" t="n">
        <v>0</v>
      </c>
      <c r="CL273" s="14" t="n">
        <v>0</v>
      </c>
      <c r="CM273" s="14" t="n">
        <v>0</v>
      </c>
      <c r="CN273" s="14" t="n">
        <v>0</v>
      </c>
      <c r="CO273" s="14" t="n">
        <v>0</v>
      </c>
      <c r="CP273" s="14" t="n">
        <v>0</v>
      </c>
      <c r="CQ273" s="14" t="n">
        <v>1.294</v>
      </c>
      <c r="CR273" s="14" t="n">
        <v>0</v>
      </c>
      <c r="CS273" s="14" t="n">
        <v>5.158</v>
      </c>
      <c r="CT273" s="14" t="n">
        <v>5.842</v>
      </c>
      <c r="CU273" s="14" t="n">
        <v>31.326</v>
      </c>
    </row>
    <row r="274">
      <c r="A274" s="14" t="inlineStr">
        <is>
          <t>FRO2023</t>
        </is>
      </c>
      <c r="B274" s="14" t="inlineStr">
        <is>
          <t>FRO</t>
        </is>
      </c>
      <c r="C274" s="14" t="inlineStr">
        <is>
          <t>FRO</t>
        </is>
      </c>
      <c r="D274" s="14" t="inlineStr">
        <is>
          <t>Faroe Islands</t>
        </is>
      </c>
      <c r="E274" s="14" t="n">
        <v>2023</v>
      </c>
      <c r="F274" s="14" t="n">
        <v>0</v>
      </c>
      <c r="G274" s="14" t="n">
        <v>4.752</v>
      </c>
      <c r="H274" s="14" t="n">
        <v>1.286</v>
      </c>
      <c r="I274" s="14" t="n">
        <v>0</v>
      </c>
      <c r="J274" s="14" t="n">
        <v>4.752</v>
      </c>
      <c r="K274" s="14" t="n">
        <v>0</v>
      </c>
      <c r="L274" s="14" t="n">
        <v>1</v>
      </c>
      <c r="M274" s="14" t="n">
        <v>7.886</v>
      </c>
      <c r="N274" s="14" t="n">
        <v>3.857</v>
      </c>
      <c r="O274" s="14" t="n">
        <v>0</v>
      </c>
      <c r="P274" s="14" t="n">
        <v>7.886</v>
      </c>
      <c r="Q274" s="14" t="n">
        <v>0</v>
      </c>
      <c r="R274" s="14" t="n">
        <v>1</v>
      </c>
      <c r="S274" s="14" t="n">
        <v>11.18</v>
      </c>
      <c r="T274" s="14" t="n">
        <v>7.714</v>
      </c>
      <c r="U274" s="14" t="n">
        <v>0</v>
      </c>
      <c r="V274" s="14" t="n">
        <v>11.18</v>
      </c>
      <c r="W274" s="14" t="n">
        <v>0</v>
      </c>
      <c r="X274" s="14" t="n">
        <v>1</v>
      </c>
      <c r="Y274" s="14" t="n">
        <v>12.908</v>
      </c>
      <c r="Z274" s="14" t="n">
        <v>1.745</v>
      </c>
      <c r="AA274" s="14" t="n">
        <v>0</v>
      </c>
      <c r="AB274" s="14" t="n">
        <v>12.908</v>
      </c>
      <c r="AC274" s="14" t="n">
        <v>0</v>
      </c>
      <c r="AD274" s="14" t="n">
        <v>1</v>
      </c>
      <c r="AE274" s="14" t="n">
        <v>14.194</v>
      </c>
      <c r="AF274" s="14" t="n">
        <v>3.319</v>
      </c>
      <c r="AG274" s="14" t="n">
        <v>0</v>
      </c>
      <c r="AH274" s="14" t="n">
        <v>14.194</v>
      </c>
      <c r="AI274" s="14" t="n">
        <v>0</v>
      </c>
      <c r="AJ274" s="14" t="n">
        <v>1</v>
      </c>
      <c r="AK274" s="14" t="n">
        <v>21.908</v>
      </c>
      <c r="AL274" s="14" t="n">
        <v>11.668</v>
      </c>
      <c r="AM274" s="14" t="n">
        <v>0</v>
      </c>
      <c r="AN274" s="14" t="n">
        <v>21.908</v>
      </c>
      <c r="AO274" s="14" t="n">
        <v>0</v>
      </c>
      <c r="AP274" s="14" t="n">
        <v>1</v>
      </c>
      <c r="AQ274" s="14" t="n">
        <v>0.76</v>
      </c>
      <c r="AR274" s="14" t="n">
        <v>0.129</v>
      </c>
      <c r="AS274" s="14" t="n">
        <v>0</v>
      </c>
      <c r="AT274" s="14" t="n">
        <v>0.76</v>
      </c>
      <c r="AU274" s="14" t="n">
        <v>0</v>
      </c>
      <c r="AV274" s="14" t="n">
        <v>1</v>
      </c>
      <c r="AW274" s="14" t="n">
        <v>0.8110000000000001</v>
      </c>
      <c r="AX274" s="14" t="n">
        <v>0.129</v>
      </c>
      <c r="AY274" s="14" t="n">
        <v>0</v>
      </c>
      <c r="AZ274" s="14" t="n">
        <v>0.8110000000000001</v>
      </c>
      <c r="BA274" s="14" t="n">
        <v>0</v>
      </c>
      <c r="BB274" s="14" t="n">
        <v>1</v>
      </c>
      <c r="BC274" s="14" t="n">
        <v>0.535</v>
      </c>
      <c r="BD274" s="14" t="n">
        <v>0.129</v>
      </c>
      <c r="BE274" s="14" t="n">
        <v>0</v>
      </c>
      <c r="BF274" s="14" t="n">
        <v>0.535</v>
      </c>
      <c r="BG274" s="14" t="n">
        <v>0</v>
      </c>
      <c r="BH274" s="14" t="n">
        <v>1</v>
      </c>
      <c r="BI274" s="14" t="n">
        <v>0.579</v>
      </c>
      <c r="BJ274" s="14" t="n">
        <v>0.129</v>
      </c>
      <c r="BK274" s="14" t="n">
        <v>0</v>
      </c>
      <c r="BL274" s="14" t="n">
        <v>0.579</v>
      </c>
      <c r="BM274" s="14" t="n">
        <v>0</v>
      </c>
      <c r="BN274" s="14" t="n">
        <v>1</v>
      </c>
      <c r="BO274" s="14" t="n">
        <v>0</v>
      </c>
      <c r="BP274" s="14" t="n">
        <v>0</v>
      </c>
      <c r="BQ274" s="14" t="n">
        <v>0</v>
      </c>
      <c r="BR274" s="14" t="n">
        <v>0</v>
      </c>
      <c r="BS274" s="14" t="n">
        <v>1</v>
      </c>
      <c r="BT274" s="14" t="n">
        <v>0</v>
      </c>
      <c r="BU274" s="14" t="n">
        <v>0</v>
      </c>
      <c r="BV274" s="14" t="n">
        <v>0</v>
      </c>
      <c r="BW274" s="14" t="n">
        <v>0</v>
      </c>
      <c r="BX274" s="14" t="n">
        <v>1</v>
      </c>
      <c r="BY274" s="14" t="n">
        <v>13.254</v>
      </c>
      <c r="BZ274" s="14" t="n">
        <v>0</v>
      </c>
      <c r="CA274" s="14" t="n">
        <v>13.254</v>
      </c>
      <c r="CB274" s="14" t="n">
        <v>0</v>
      </c>
      <c r="CC274" s="14" t="n">
        <v>83.248</v>
      </c>
      <c r="CD274" s="14" t="n">
        <v>7.95</v>
      </c>
      <c r="CE274" s="14" t="n">
        <v>0</v>
      </c>
      <c r="CF274" s="14" t="n">
        <v>83.248</v>
      </c>
      <c r="CG274" s="14" t="n">
        <v>0</v>
      </c>
      <c r="CH274" s="14" t="n">
        <v>1</v>
      </c>
      <c r="CI274" s="14" t="n">
        <v>0</v>
      </c>
      <c r="CJ274" s="14" t="n">
        <v>0</v>
      </c>
      <c r="CK274" s="14" t="n">
        <v>0</v>
      </c>
      <c r="CL274" s="14" t="n">
        <v>0</v>
      </c>
      <c r="CM274" s="14" t="n">
        <v>0</v>
      </c>
      <c r="CN274" s="14" t="n">
        <v>0</v>
      </c>
      <c r="CO274" s="14" t="n">
        <v>0</v>
      </c>
      <c r="CP274" s="14" t="n">
        <v>0</v>
      </c>
      <c r="CQ274" s="14" t="n">
        <v>1.348</v>
      </c>
      <c r="CR274" s="14" t="n">
        <v>0</v>
      </c>
      <c r="CS274" s="14" t="n">
        <v>5.37</v>
      </c>
      <c r="CT274" s="14" t="n">
        <v>3.466</v>
      </c>
      <c r="CU274" s="14" t="n">
        <v>11.622</v>
      </c>
    </row>
    <row r="275">
      <c r="A275" s="14" t="inlineStr">
        <is>
          <t>FRO2024</t>
        </is>
      </c>
      <c r="B275" s="14" t="inlineStr">
        <is>
          <t>FRO</t>
        </is>
      </c>
      <c r="C275" s="14" t="inlineStr">
        <is>
          <t>FRO</t>
        </is>
      </c>
      <c r="D275" s="14" t="inlineStr">
        <is>
          <t>Faroe Islands</t>
        </is>
      </c>
      <c r="E275" s="14" t="n">
        <v>2024</v>
      </c>
      <c r="F275" s="14" t="n">
        <v>0</v>
      </c>
      <c r="G275" s="14" t="n">
        <v>4.351</v>
      </c>
      <c r="H275" s="14" t="n">
        <v>1.324</v>
      </c>
      <c r="I275" s="14" t="n">
        <v>0</v>
      </c>
      <c r="J275" s="14" t="n">
        <v>4.351</v>
      </c>
      <c r="K275" s="14" t="n">
        <v>0</v>
      </c>
      <c r="L275" s="14" t="n">
        <v>1</v>
      </c>
      <c r="M275" s="14" t="n">
        <v>7.124</v>
      </c>
      <c r="N275" s="14" t="n">
        <v>3.971</v>
      </c>
      <c r="O275" s="14" t="n">
        <v>0</v>
      </c>
      <c r="P275" s="14" t="n">
        <v>7.124</v>
      </c>
      <c r="Q275" s="14" t="n">
        <v>0</v>
      </c>
      <c r="R275" s="14" t="n">
        <v>1</v>
      </c>
      <c r="S275" s="14" t="n">
        <v>10.969</v>
      </c>
      <c r="T275" s="14" t="n">
        <v>7.942</v>
      </c>
      <c r="U275" s="14" t="n">
        <v>0</v>
      </c>
      <c r="V275" s="14" t="n">
        <v>10.969</v>
      </c>
      <c r="W275" s="14" t="n">
        <v>0</v>
      </c>
      <c r="X275" s="14" t="n">
        <v>1</v>
      </c>
      <c r="Y275" s="14" t="n">
        <v>11.492</v>
      </c>
      <c r="Z275" s="14" t="n">
        <v>1.553</v>
      </c>
      <c r="AA275" s="14" t="n">
        <v>0</v>
      </c>
      <c r="AB275" s="14" t="n">
        <v>11.492</v>
      </c>
      <c r="AC275" s="14" t="n">
        <v>0</v>
      </c>
      <c r="AD275" s="14" t="n">
        <v>1</v>
      </c>
      <c r="AE275" s="14" t="n">
        <v>12.815</v>
      </c>
      <c r="AF275" s="14" t="n">
        <v>2.997</v>
      </c>
      <c r="AG275" s="14" t="n">
        <v>0</v>
      </c>
      <c r="AH275" s="14" t="n">
        <v>12.815</v>
      </c>
      <c r="AI275" s="14" t="n">
        <v>0</v>
      </c>
      <c r="AJ275" s="14" t="n">
        <v>1</v>
      </c>
      <c r="AK275" s="14" t="n">
        <v>20.757</v>
      </c>
      <c r="AL275" s="14" t="n">
        <v>11.055</v>
      </c>
      <c r="AM275" s="14" t="n">
        <v>0</v>
      </c>
      <c r="AN275" s="14" t="n">
        <v>20.757</v>
      </c>
      <c r="AO275" s="14" t="n">
        <v>0</v>
      </c>
      <c r="AP275" s="14" t="n">
        <v>1</v>
      </c>
      <c r="AQ275" s="14" t="n">
        <v>0.724</v>
      </c>
      <c r="AR275" s="14" t="n">
        <v>0.132</v>
      </c>
      <c r="AS275" s="14" t="n">
        <v>0</v>
      </c>
      <c r="AT275" s="14" t="n">
        <v>0.724</v>
      </c>
      <c r="AU275" s="14" t="n">
        <v>0</v>
      </c>
      <c r="AV275" s="14" t="n">
        <v>1</v>
      </c>
      <c r="AW275" s="14" t="n">
        <v>0.75</v>
      </c>
      <c r="AX275" s="14" t="n">
        <v>0.132</v>
      </c>
      <c r="AY275" s="14" t="n">
        <v>0</v>
      </c>
      <c r="AZ275" s="14" t="n">
        <v>0.75</v>
      </c>
      <c r="BA275" s="14" t="n">
        <v>0</v>
      </c>
      <c r="BB275" s="14" t="n">
        <v>1</v>
      </c>
      <c r="BC275" s="14" t="n">
        <v>0.513</v>
      </c>
      <c r="BD275" s="14" t="n">
        <v>0.132</v>
      </c>
      <c r="BE275" s="14" t="n">
        <v>0</v>
      </c>
      <c r="BF275" s="14" t="n">
        <v>0.513</v>
      </c>
      <c r="BG275" s="14" t="n">
        <v>0</v>
      </c>
      <c r="BH275" s="14" t="n">
        <v>1</v>
      </c>
      <c r="BI275" s="14" t="n">
        <v>0.591</v>
      </c>
      <c r="BJ275" s="14" t="n">
        <v>0.132</v>
      </c>
      <c r="BK275" s="14" t="n">
        <v>0</v>
      </c>
      <c r="BL275" s="14" t="n">
        <v>0.591</v>
      </c>
      <c r="BM275" s="14" t="n">
        <v>0</v>
      </c>
      <c r="BN275" s="14" t="n">
        <v>1</v>
      </c>
      <c r="BO275" s="14" t="n">
        <v>0</v>
      </c>
      <c r="BP275" s="14" t="n">
        <v>0</v>
      </c>
      <c r="BQ275" s="14" t="n">
        <v>0</v>
      </c>
      <c r="BR275" s="14" t="n">
        <v>0</v>
      </c>
      <c r="BS275" s="14" t="n">
        <v>1</v>
      </c>
      <c r="BT275" s="14" t="n">
        <v>0</v>
      </c>
      <c r="BU275" s="14" t="n">
        <v>0</v>
      </c>
      <c r="BV275" s="14" t="n">
        <v>0</v>
      </c>
      <c r="BW275" s="14" t="n">
        <v>0</v>
      </c>
      <c r="BX275" s="14" t="n">
        <v>1</v>
      </c>
      <c r="BY275" s="14" t="n">
        <v>13.646</v>
      </c>
      <c r="BZ275" s="14" t="n">
        <v>0</v>
      </c>
      <c r="CA275" s="14" t="n">
        <v>13.646</v>
      </c>
      <c r="CB275" s="14" t="n">
        <v>0</v>
      </c>
      <c r="CC275" s="14" t="n">
        <v>82.58799999999999</v>
      </c>
      <c r="CD275" s="14" t="n">
        <v>7.95</v>
      </c>
      <c r="CE275" s="14" t="n">
        <v>0</v>
      </c>
      <c r="CF275" s="14" t="n">
        <v>82.58799999999999</v>
      </c>
      <c r="CG275" s="14" t="n">
        <v>0</v>
      </c>
      <c r="CH275" s="14" t="n">
        <v>1</v>
      </c>
      <c r="CI275" s="14" t="n">
        <v>0</v>
      </c>
      <c r="CJ275" s="14" t="n">
        <v>0</v>
      </c>
      <c r="CK275" s="14" t="n">
        <v>0</v>
      </c>
      <c r="CL275" s="14" t="n">
        <v>0</v>
      </c>
      <c r="CM275" s="14" t="n">
        <v>0</v>
      </c>
      <c r="CN275" s="14" t="n">
        <v>0</v>
      </c>
      <c r="CO275" s="14" t="n">
        <v>0</v>
      </c>
      <c r="CP275" s="14" t="n">
        <v>0</v>
      </c>
      <c r="CQ275" s="14" t="n">
        <v>1.387</v>
      </c>
      <c r="CR275" s="14" t="n">
        <v>0</v>
      </c>
      <c r="CS275" s="14" t="n">
        <v>5.529</v>
      </c>
      <c r="CT275" s="14" t="n">
        <v>3.027</v>
      </c>
      <c r="CU275" s="14" t="n">
        <v>10.168</v>
      </c>
    </row>
    <row r="276">
      <c r="A276" s="14" t="inlineStr">
        <is>
          <t>FJI2021</t>
        </is>
      </c>
      <c r="B276" s="14" t="inlineStr">
        <is>
          <t>FJI</t>
        </is>
      </c>
      <c r="C276" s="14" t="inlineStr">
        <is>
          <t>FJI</t>
        </is>
      </c>
      <c r="D276" s="14" t="inlineStr">
        <is>
          <t>Fiji</t>
        </is>
      </c>
      <c r="E276" s="14" t="n">
        <v>2021</v>
      </c>
      <c r="F276" s="14" t="n">
        <v>0.09</v>
      </c>
      <c r="G276" s="14" t="n">
        <v>4.747</v>
      </c>
      <c r="H276" s="14" t="n">
        <v>1.143</v>
      </c>
      <c r="I276" s="14" t="n">
        <v>0</v>
      </c>
      <c r="J276" s="14" t="n">
        <v>4.747</v>
      </c>
      <c r="K276" s="14" t="n">
        <v>0</v>
      </c>
      <c r="L276" s="14" t="n">
        <v>1</v>
      </c>
      <c r="M276" s="14" t="n">
        <v>7.964</v>
      </c>
      <c r="N276" s="14" t="n">
        <v>3.43</v>
      </c>
      <c r="O276" s="14" t="n">
        <v>0</v>
      </c>
      <c r="P276" s="14" t="n">
        <v>7.964</v>
      </c>
      <c r="Q276" s="14" t="n">
        <v>0</v>
      </c>
      <c r="R276" s="14" t="n">
        <v>1</v>
      </c>
      <c r="S276" s="14" t="n">
        <v>10.464</v>
      </c>
      <c r="T276" s="14" t="n">
        <v>6.86</v>
      </c>
      <c r="U276" s="14" t="n">
        <v>0</v>
      </c>
      <c r="V276" s="14" t="n">
        <v>12.034</v>
      </c>
      <c r="W276" s="14" t="n">
        <v>0.15</v>
      </c>
      <c r="X276" s="14" t="n">
        <v>1</v>
      </c>
      <c r="Y276" s="14" t="n">
        <v>5.49</v>
      </c>
      <c r="Z276" s="14" t="n">
        <v>0.677</v>
      </c>
      <c r="AA276" s="14" t="n">
        <v>0</v>
      </c>
      <c r="AB276" s="14" t="n">
        <v>5.49</v>
      </c>
      <c r="AC276" s="14" t="n">
        <v>0</v>
      </c>
      <c r="AD276" s="14" t="n">
        <v>1</v>
      </c>
      <c r="AE276" s="14" t="n">
        <v>6.633</v>
      </c>
      <c r="AF276" s="14" t="n">
        <v>1.446</v>
      </c>
      <c r="AG276" s="14" t="n">
        <v>0</v>
      </c>
      <c r="AH276" s="14" t="n">
        <v>6.633</v>
      </c>
      <c r="AI276" s="14" t="n">
        <v>0</v>
      </c>
      <c r="AJ276" s="14" t="n">
        <v>1</v>
      </c>
      <c r="AK276" s="14" t="n">
        <v>13.493</v>
      </c>
      <c r="AL276" s="14" t="n">
        <v>7.001</v>
      </c>
      <c r="AM276" s="14" t="n">
        <v>0</v>
      </c>
      <c r="AN276" s="14" t="n">
        <v>15.517</v>
      </c>
      <c r="AO276" s="14" t="n">
        <v>0.15</v>
      </c>
      <c r="AP276" s="14" t="n">
        <v>1</v>
      </c>
      <c r="AQ276" s="14" t="n">
        <v>0.621</v>
      </c>
      <c r="AR276" s="14" t="n">
        <v>0.114</v>
      </c>
      <c r="AS276" s="14" t="n">
        <v>0.366</v>
      </c>
      <c r="AT276" s="14" t="n">
        <v>1.134</v>
      </c>
      <c r="AU276" s="14" t="n">
        <v>0.15</v>
      </c>
      <c r="AV276" s="14" t="n">
        <v>1</v>
      </c>
      <c r="AW276" s="14" t="n">
        <v>0.593</v>
      </c>
      <c r="AX276" s="14" t="n">
        <v>0.114</v>
      </c>
      <c r="AY276" s="14" t="n">
        <v>0.201</v>
      </c>
      <c r="AZ276" s="14" t="n">
        <v>0.866</v>
      </c>
      <c r="BA276" s="14" t="n">
        <v>0.09</v>
      </c>
      <c r="BB276" s="14" t="n">
        <v>1</v>
      </c>
      <c r="BC276" s="14" t="n">
        <v>0.44</v>
      </c>
      <c r="BD276" s="14" t="n">
        <v>0.114</v>
      </c>
      <c r="BE276" s="14" t="n">
        <v>0.258</v>
      </c>
      <c r="BF276" s="14" t="n">
        <v>0.761</v>
      </c>
      <c r="BG276" s="14" t="n">
        <v>0.09</v>
      </c>
      <c r="BH276" s="14" t="n">
        <v>1</v>
      </c>
      <c r="BI276" s="14" t="n">
        <v>0.5600000000000001</v>
      </c>
      <c r="BJ276" s="14" t="n">
        <v>0.114</v>
      </c>
      <c r="BK276" s="14" t="n">
        <v>0.079</v>
      </c>
      <c r="BL276" s="14" t="n">
        <v>0.696</v>
      </c>
      <c r="BM276" s="14" t="n">
        <v>0.09</v>
      </c>
      <c r="BN276" s="14" t="n">
        <v>1</v>
      </c>
      <c r="BO276" s="14" t="n">
        <v>0</v>
      </c>
      <c r="BP276" s="14" t="n">
        <v>0</v>
      </c>
      <c r="BQ276" s="14" t="n">
        <v>0.169</v>
      </c>
      <c r="BR276" s="14" t="n">
        <v>0</v>
      </c>
      <c r="BS276" s="14" t="n">
        <v>1</v>
      </c>
      <c r="BT276" s="14" t="n">
        <v>0</v>
      </c>
      <c r="BU276" s="14" t="n">
        <v>0</v>
      </c>
      <c r="BV276" s="14" t="n">
        <v>0.164</v>
      </c>
      <c r="BW276" s="14" t="n">
        <v>0</v>
      </c>
      <c r="BX276" s="14" t="n">
        <v>1</v>
      </c>
      <c r="BY276" s="14" t="n">
        <v>11.787</v>
      </c>
      <c r="BZ276" s="14" t="n">
        <v>0</v>
      </c>
      <c r="CA276" s="14" t="n">
        <v>11.787</v>
      </c>
      <c r="CB276" s="14" t="n">
        <v>0</v>
      </c>
      <c r="CC276" s="14" t="n">
        <v>81.69499999999999</v>
      </c>
      <c r="CD276" s="14" t="n">
        <v>7.95</v>
      </c>
      <c r="CE276" s="14" t="n">
        <v>0</v>
      </c>
      <c r="CF276" s="14" t="n">
        <v>93.95</v>
      </c>
      <c r="CG276" s="14" t="n">
        <v>0.15</v>
      </c>
      <c r="CH276" s="14" t="n">
        <v>1</v>
      </c>
      <c r="CI276" s="14" t="n">
        <v>0</v>
      </c>
      <c r="CJ276" s="14" t="n">
        <v>0</v>
      </c>
      <c r="CK276" s="14" t="n">
        <v>0</v>
      </c>
      <c r="CL276" s="14" t="n">
        <v>0</v>
      </c>
      <c r="CM276" s="14" t="n">
        <v>0</v>
      </c>
      <c r="CN276" s="14" t="n">
        <v>0</v>
      </c>
      <c r="CO276" s="14" t="n">
        <v>0</v>
      </c>
      <c r="CP276" s="14" t="n">
        <v>0</v>
      </c>
      <c r="CQ276" s="14" t="n">
        <v>1.198</v>
      </c>
      <c r="CR276" s="14" t="n">
        <v>0</v>
      </c>
      <c r="CS276" s="14" t="n">
        <v>4.776</v>
      </c>
      <c r="CT276" s="14" t="n">
        <v>3.604</v>
      </c>
      <c r="CU276" s="14" t="n">
        <v>9.407999999999999</v>
      </c>
    </row>
    <row r="277">
      <c r="A277" s="14" t="inlineStr">
        <is>
          <t>FJI2022</t>
        </is>
      </c>
      <c r="B277" s="14" t="inlineStr">
        <is>
          <t>FJI</t>
        </is>
      </c>
      <c r="C277" s="14" t="inlineStr">
        <is>
          <t>FJI</t>
        </is>
      </c>
      <c r="D277" s="14" t="inlineStr">
        <is>
          <t>Fiji</t>
        </is>
      </c>
      <c r="E277" s="14" t="n">
        <v>2022</v>
      </c>
      <c r="F277" s="14" t="n">
        <v>0.09</v>
      </c>
      <c r="G277" s="14" t="n">
        <v>8.788</v>
      </c>
      <c r="H277" s="14" t="n">
        <v>1.235</v>
      </c>
      <c r="I277" s="14" t="n">
        <v>0</v>
      </c>
      <c r="J277" s="14" t="n">
        <v>8.788</v>
      </c>
      <c r="K277" s="14" t="n">
        <v>0</v>
      </c>
      <c r="L277" s="14" t="n">
        <v>1</v>
      </c>
      <c r="M277" s="14" t="n">
        <v>9.782999999999999</v>
      </c>
      <c r="N277" s="14" t="n">
        <v>3.704</v>
      </c>
      <c r="O277" s="14" t="n">
        <v>0</v>
      </c>
      <c r="P277" s="14" t="n">
        <v>9.782999999999999</v>
      </c>
      <c r="Q277" s="14" t="n">
        <v>0</v>
      </c>
      <c r="R277" s="14" t="n">
        <v>1</v>
      </c>
      <c r="S277" s="14" t="n">
        <v>14.962</v>
      </c>
      <c r="T277" s="14" t="n">
        <v>7.408</v>
      </c>
      <c r="U277" s="14" t="n">
        <v>0.166</v>
      </c>
      <c r="V277" s="14" t="n">
        <v>17.206</v>
      </c>
      <c r="W277" s="14" t="n">
        <v>0.15</v>
      </c>
      <c r="X277" s="14" t="n">
        <v>1</v>
      </c>
      <c r="Y277" s="14" t="n">
        <v>6.392</v>
      </c>
      <c r="Z277" s="14" t="n">
        <v>0.789</v>
      </c>
      <c r="AA277" s="14" t="n">
        <v>0</v>
      </c>
      <c r="AB277" s="14" t="n">
        <v>6.392</v>
      </c>
      <c r="AC277" s="14" t="n">
        <v>0</v>
      </c>
      <c r="AD277" s="14" t="n">
        <v>1</v>
      </c>
      <c r="AE277" s="14" t="n">
        <v>7.627</v>
      </c>
      <c r="AF277" s="14" t="n">
        <v>1.663</v>
      </c>
      <c r="AG277" s="14" t="n">
        <v>0</v>
      </c>
      <c r="AH277" s="14" t="n">
        <v>7.627</v>
      </c>
      <c r="AI277" s="14" t="n">
        <v>0</v>
      </c>
      <c r="AJ277" s="14" t="n">
        <v>1</v>
      </c>
      <c r="AK277" s="14" t="n">
        <v>15.035</v>
      </c>
      <c r="AL277" s="14" t="n">
        <v>7.801</v>
      </c>
      <c r="AM277" s="14" t="n">
        <v>0.167</v>
      </c>
      <c r="AN277" s="14" t="n">
        <v>17.29</v>
      </c>
      <c r="AO277" s="14" t="n">
        <v>0.15</v>
      </c>
      <c r="AP277" s="14" t="n">
        <v>1</v>
      </c>
      <c r="AQ277" s="14" t="n">
        <v>0.847</v>
      </c>
      <c r="AR277" s="14" t="n">
        <v>0.123</v>
      </c>
      <c r="AS277" s="14" t="n">
        <v>0.33</v>
      </c>
      <c r="AT277" s="14" t="n">
        <v>1.354</v>
      </c>
      <c r="AU277" s="14" t="n">
        <v>0.15</v>
      </c>
      <c r="AV277" s="14" t="n">
        <v>1</v>
      </c>
      <c r="AW277" s="14" t="n">
        <v>0.947</v>
      </c>
      <c r="AX277" s="14" t="n">
        <v>0.123</v>
      </c>
      <c r="AY277" s="14" t="n">
        <v>0.173</v>
      </c>
      <c r="AZ277" s="14" t="n">
        <v>1.221</v>
      </c>
      <c r="BA277" s="14" t="n">
        <v>0.09</v>
      </c>
      <c r="BB277" s="14" t="n">
        <v>1</v>
      </c>
      <c r="BC277" s="14" t="n">
        <v>0.589</v>
      </c>
      <c r="BD277" s="14" t="n">
        <v>0.123</v>
      </c>
      <c r="BE277" s="14" t="n">
        <v>0.259</v>
      </c>
      <c r="BF277" s="14" t="n">
        <v>0.924</v>
      </c>
      <c r="BG277" s="14" t="n">
        <v>0.09</v>
      </c>
      <c r="BH277" s="14" t="n">
        <v>1</v>
      </c>
      <c r="BI277" s="14" t="n">
        <v>0.6889999999999999</v>
      </c>
      <c r="BJ277" s="14" t="n">
        <v>0.123</v>
      </c>
      <c r="BK277" s="14" t="n">
        <v>0.236</v>
      </c>
      <c r="BL277" s="14" t="n">
        <v>1.008</v>
      </c>
      <c r="BM277" s="14" t="n">
        <v>0.09</v>
      </c>
      <c r="BN277" s="14" t="n">
        <v>1</v>
      </c>
      <c r="BO277" s="14" t="n">
        <v>0</v>
      </c>
      <c r="BP277" s="14" t="n">
        <v>0</v>
      </c>
      <c r="BQ277" s="14" t="n">
        <v>0.182</v>
      </c>
      <c r="BR277" s="14" t="n">
        <v>0</v>
      </c>
      <c r="BS277" s="14" t="n">
        <v>1</v>
      </c>
      <c r="BT277" s="14" t="n">
        <v>0</v>
      </c>
      <c r="BU277" s="14" t="n">
        <v>0</v>
      </c>
      <c r="BV277" s="14" t="n">
        <v>0.177</v>
      </c>
      <c r="BW277" s="14" t="n">
        <v>0</v>
      </c>
      <c r="BX277" s="14" t="n">
        <v>1</v>
      </c>
      <c r="BY277" s="14" t="n">
        <v>12.729</v>
      </c>
      <c r="BZ277" s="14" t="n">
        <v>0</v>
      </c>
      <c r="CA277" s="14" t="n">
        <v>12.729</v>
      </c>
      <c r="CB277" s="14" t="n">
        <v>0</v>
      </c>
      <c r="CC277" s="14" t="n">
        <v>102.477</v>
      </c>
      <c r="CD277" s="14" t="n">
        <v>7.95</v>
      </c>
      <c r="CE277" s="14" t="n">
        <v>1.138</v>
      </c>
      <c r="CF277" s="14" t="n">
        <v>117.848</v>
      </c>
      <c r="CG277" s="14" t="n">
        <v>0.15</v>
      </c>
      <c r="CH277" s="14" t="n">
        <v>1</v>
      </c>
      <c r="CI277" s="14" t="n">
        <v>0</v>
      </c>
      <c r="CJ277" s="14" t="n">
        <v>0</v>
      </c>
      <c r="CK277" s="14" t="n">
        <v>0</v>
      </c>
      <c r="CL277" s="14" t="n">
        <v>0</v>
      </c>
      <c r="CM277" s="14" t="n">
        <v>0</v>
      </c>
      <c r="CN277" s="14" t="n">
        <v>0</v>
      </c>
      <c r="CO277" s="14" t="n">
        <v>0</v>
      </c>
      <c r="CP277" s="14" t="n">
        <v>0</v>
      </c>
      <c r="CQ277" s="14" t="n">
        <v>1.294</v>
      </c>
      <c r="CR277" s="14" t="n">
        <v>0</v>
      </c>
      <c r="CS277" s="14" t="n">
        <v>5.158</v>
      </c>
      <c r="CT277" s="14" t="n">
        <v>7.554</v>
      </c>
      <c r="CU277" s="14" t="n">
        <v>16.097</v>
      </c>
    </row>
    <row r="278">
      <c r="A278" s="14" t="inlineStr">
        <is>
          <t>FJI2023</t>
        </is>
      </c>
      <c r="B278" s="14" t="inlineStr">
        <is>
          <t>FJI</t>
        </is>
      </c>
      <c r="C278" s="14" t="inlineStr">
        <is>
          <t>FJI</t>
        </is>
      </c>
      <c r="D278" s="14" t="inlineStr">
        <is>
          <t>Fiji</t>
        </is>
      </c>
      <c r="E278" s="14" t="n">
        <v>2023</v>
      </c>
      <c r="F278" s="14" t="n">
        <v>0.09</v>
      </c>
      <c r="G278" s="14" t="n">
        <v>5.77</v>
      </c>
      <c r="H278" s="14" t="n">
        <v>1.286</v>
      </c>
      <c r="I278" s="14" t="n">
        <v>0</v>
      </c>
      <c r="J278" s="14" t="n">
        <v>5.77</v>
      </c>
      <c r="K278" s="14" t="n">
        <v>0</v>
      </c>
      <c r="L278" s="14" t="n">
        <v>1</v>
      </c>
      <c r="M278" s="14" t="n">
        <v>7.886</v>
      </c>
      <c r="N278" s="14" t="n">
        <v>3.857</v>
      </c>
      <c r="O278" s="14" t="n">
        <v>0</v>
      </c>
      <c r="P278" s="14" t="n">
        <v>7.886</v>
      </c>
      <c r="Q278" s="14" t="n">
        <v>0</v>
      </c>
      <c r="R278" s="14" t="n">
        <v>1</v>
      </c>
      <c r="S278" s="14" t="n">
        <v>12.198</v>
      </c>
      <c r="T278" s="14" t="n">
        <v>7.714</v>
      </c>
      <c r="U278" s="14" t="n">
        <v>0.203</v>
      </c>
      <c r="V278" s="14" t="n">
        <v>14.028</v>
      </c>
      <c r="W278" s="14" t="n">
        <v>0.15</v>
      </c>
      <c r="X278" s="14" t="n">
        <v>1</v>
      </c>
      <c r="Y278" s="14" t="n">
        <v>6.656</v>
      </c>
      <c r="Z278" s="14" t="n">
        <v>0.821</v>
      </c>
      <c r="AA278" s="14" t="n">
        <v>0</v>
      </c>
      <c r="AB278" s="14" t="n">
        <v>6.656</v>
      </c>
      <c r="AC278" s="14" t="n">
        <v>0</v>
      </c>
      <c r="AD278" s="14" t="n">
        <v>1</v>
      </c>
      <c r="AE278" s="14" t="n">
        <v>7.942</v>
      </c>
      <c r="AF278" s="14" t="n">
        <v>1.731</v>
      </c>
      <c r="AG278" s="14" t="n">
        <v>0</v>
      </c>
      <c r="AH278" s="14" t="n">
        <v>7.942</v>
      </c>
      <c r="AI278" s="14" t="n">
        <v>0</v>
      </c>
      <c r="AJ278" s="14" t="n">
        <v>1</v>
      </c>
      <c r="AK278" s="14" t="n">
        <v>15.656</v>
      </c>
      <c r="AL278" s="14" t="n">
        <v>8.122999999999999</v>
      </c>
      <c r="AM278" s="14" t="n">
        <v>0.26</v>
      </c>
      <c r="AN278" s="14" t="n">
        <v>18.004</v>
      </c>
      <c r="AO278" s="14" t="n">
        <v>0.15</v>
      </c>
      <c r="AP278" s="14" t="n">
        <v>1</v>
      </c>
      <c r="AQ278" s="14" t="n">
        <v>0.749</v>
      </c>
      <c r="AR278" s="14" t="n">
        <v>0.129</v>
      </c>
      <c r="AS278" s="14" t="n">
        <v>0.346</v>
      </c>
      <c r="AT278" s="14" t="n">
        <v>1.259</v>
      </c>
      <c r="AU278" s="14" t="n">
        <v>0.15</v>
      </c>
      <c r="AV278" s="14" t="n">
        <v>1</v>
      </c>
      <c r="AW278" s="14" t="n">
        <v>0.783</v>
      </c>
      <c r="AX278" s="14" t="n">
        <v>0.129</v>
      </c>
      <c r="AY278" s="14" t="n">
        <v>0.215</v>
      </c>
      <c r="AZ278" s="14" t="n">
        <v>1.088</v>
      </c>
      <c r="BA278" s="14" t="n">
        <v>0.09</v>
      </c>
      <c r="BB278" s="14" t="n">
        <v>1</v>
      </c>
      <c r="BC278" s="14" t="n">
        <v>0.527</v>
      </c>
      <c r="BD278" s="14" t="n">
        <v>0.129</v>
      </c>
      <c r="BE278" s="14" t="n">
        <v>0.212</v>
      </c>
      <c r="BF278" s="14" t="n">
        <v>0.806</v>
      </c>
      <c r="BG278" s="14" t="n">
        <v>0.09</v>
      </c>
      <c r="BH278" s="14" t="n">
        <v>1</v>
      </c>
      <c r="BI278" s="14" t="n">
        <v>0.64</v>
      </c>
      <c r="BJ278" s="14" t="n">
        <v>0.129</v>
      </c>
      <c r="BK278" s="14" t="n">
        <v>0.201</v>
      </c>
      <c r="BL278" s="14" t="n">
        <v>0.916</v>
      </c>
      <c r="BM278" s="14" t="n">
        <v>0.09</v>
      </c>
      <c r="BN278" s="14" t="n">
        <v>1</v>
      </c>
      <c r="BO278" s="14" t="n">
        <v>0</v>
      </c>
      <c r="BP278" s="14" t="n">
        <v>0</v>
      </c>
      <c r="BQ278" s="14" t="n">
        <v>0.19</v>
      </c>
      <c r="BR278" s="14" t="n">
        <v>0</v>
      </c>
      <c r="BS278" s="14" t="n">
        <v>1</v>
      </c>
      <c r="BT278" s="14" t="n">
        <v>0</v>
      </c>
      <c r="BU278" s="14" t="n">
        <v>0</v>
      </c>
      <c r="BV278" s="14" t="n">
        <v>0.185</v>
      </c>
      <c r="BW278" s="14" t="n">
        <v>0</v>
      </c>
      <c r="BX278" s="14" t="n">
        <v>1</v>
      </c>
      <c r="BY278" s="14" t="n">
        <v>13.254</v>
      </c>
      <c r="BZ278" s="14" t="n">
        <v>0</v>
      </c>
      <c r="CA278" s="14" t="n">
        <v>13.254</v>
      </c>
      <c r="CB278" s="14" t="n">
        <v>0</v>
      </c>
      <c r="CC278" s="14" t="n">
        <v>87.07899999999999</v>
      </c>
      <c r="CD278" s="14" t="n">
        <v>7.95</v>
      </c>
      <c r="CE278" s="14" t="n">
        <v>1.446</v>
      </c>
      <c r="CF278" s="14" t="n">
        <v>100.141</v>
      </c>
      <c r="CG278" s="14" t="n">
        <v>0.15</v>
      </c>
      <c r="CH278" s="14" t="n">
        <v>1</v>
      </c>
      <c r="CI278" s="14" t="n">
        <v>0</v>
      </c>
      <c r="CJ278" s="14" t="n">
        <v>0</v>
      </c>
      <c r="CK278" s="14" t="n">
        <v>0</v>
      </c>
      <c r="CL278" s="14" t="n">
        <v>0</v>
      </c>
      <c r="CM278" s="14" t="n">
        <v>0</v>
      </c>
      <c r="CN278" s="14" t="n">
        <v>0</v>
      </c>
      <c r="CO278" s="14" t="n">
        <v>0</v>
      </c>
      <c r="CP278" s="14" t="n">
        <v>0</v>
      </c>
      <c r="CQ278" s="14" t="n">
        <v>1.348</v>
      </c>
      <c r="CR278" s="14" t="n">
        <v>0</v>
      </c>
      <c r="CS278" s="14" t="n">
        <v>5.37</v>
      </c>
      <c r="CT278" s="14" t="n">
        <v>4.484</v>
      </c>
      <c r="CU278" s="14" t="n">
        <v>12.529</v>
      </c>
    </row>
    <row r="279">
      <c r="A279" s="14" t="inlineStr">
        <is>
          <t>FJI2024</t>
        </is>
      </c>
      <c r="B279" s="14" t="inlineStr">
        <is>
          <t>FJI</t>
        </is>
      </c>
      <c r="C279" s="14" t="inlineStr">
        <is>
          <t>FJI</t>
        </is>
      </c>
      <c r="D279" s="14" t="inlineStr">
        <is>
          <t>Fiji</t>
        </is>
      </c>
      <c r="E279" s="14" t="n">
        <v>2024</v>
      </c>
      <c r="F279" s="14" t="n">
        <v>0.09</v>
      </c>
      <c r="G279" s="14" t="n">
        <v>4.833</v>
      </c>
      <c r="H279" s="14" t="n">
        <v>1.324</v>
      </c>
      <c r="I279" s="14" t="n">
        <v>0</v>
      </c>
      <c r="J279" s="14" t="n">
        <v>4.833</v>
      </c>
      <c r="K279" s="14" t="n">
        <v>0</v>
      </c>
      <c r="L279" s="14" t="n">
        <v>1</v>
      </c>
      <c r="M279" s="14" t="n">
        <v>7.124</v>
      </c>
      <c r="N279" s="14" t="n">
        <v>3.971</v>
      </c>
      <c r="O279" s="14" t="n">
        <v>0</v>
      </c>
      <c r="P279" s="14" t="n">
        <v>7.124</v>
      </c>
      <c r="Q279" s="14" t="n">
        <v>0</v>
      </c>
      <c r="R279" s="14" t="n">
        <v>1</v>
      </c>
      <c r="S279" s="14" t="n">
        <v>11.451</v>
      </c>
      <c r="T279" s="14" t="n">
        <v>7.942</v>
      </c>
      <c r="U279" s="14" t="n">
        <v>0.234</v>
      </c>
      <c r="V279" s="14" t="n">
        <v>13.168</v>
      </c>
      <c r="W279" s="14" t="n">
        <v>0.15</v>
      </c>
      <c r="X279" s="14" t="n">
        <v>1</v>
      </c>
      <c r="Y279" s="14" t="n">
        <v>6.853</v>
      </c>
      <c r="Z279" s="14" t="n">
        <v>0.846</v>
      </c>
      <c r="AA279" s="14" t="n">
        <v>0</v>
      </c>
      <c r="AB279" s="14" t="n">
        <v>6.853</v>
      </c>
      <c r="AC279" s="14" t="n">
        <v>0</v>
      </c>
      <c r="AD279" s="14" t="n">
        <v>1</v>
      </c>
      <c r="AE279" s="14" t="n">
        <v>8.176</v>
      </c>
      <c r="AF279" s="14" t="n">
        <v>1.782</v>
      </c>
      <c r="AG279" s="14" t="n">
        <v>0</v>
      </c>
      <c r="AH279" s="14" t="n">
        <v>8.176</v>
      </c>
      <c r="AI279" s="14" t="n">
        <v>0</v>
      </c>
      <c r="AJ279" s="14" t="n">
        <v>1</v>
      </c>
      <c r="AK279" s="14" t="n">
        <v>16.118</v>
      </c>
      <c r="AL279" s="14" t="n">
        <v>8.363</v>
      </c>
      <c r="AM279" s="14" t="n">
        <v>0.329</v>
      </c>
      <c r="AN279" s="14" t="n">
        <v>18.535</v>
      </c>
      <c r="AO279" s="14" t="n">
        <v>0.15</v>
      </c>
      <c r="AP279" s="14" t="n">
        <v>1</v>
      </c>
      <c r="AQ279" s="14" t="n">
        <v>0.72</v>
      </c>
      <c r="AR279" s="14" t="n">
        <v>0.132</v>
      </c>
      <c r="AS279" s="14" t="n">
        <v>0.38</v>
      </c>
      <c r="AT279" s="14" t="n">
        <v>1.264</v>
      </c>
      <c r="AU279" s="14" t="n">
        <v>0.15</v>
      </c>
      <c r="AV279" s="14" t="n">
        <v>1</v>
      </c>
      <c r="AW279" s="14" t="n">
        <v>0.734</v>
      </c>
      <c r="AX279" s="14" t="n">
        <v>0.132</v>
      </c>
      <c r="AY279" s="14" t="n">
        <v>0.163</v>
      </c>
      <c r="AZ279" s="14" t="n">
        <v>1.031</v>
      </c>
      <c r="BA279" s="14" t="n">
        <v>0.15</v>
      </c>
      <c r="BB279" s="14" t="n">
        <v>1</v>
      </c>
      <c r="BC279" s="14" t="n">
        <v>0.51</v>
      </c>
      <c r="BD279" s="14" t="n">
        <v>0.132</v>
      </c>
      <c r="BE279" s="14" t="n">
        <v>0.234</v>
      </c>
      <c r="BF279" s="14" t="n">
        <v>0.856</v>
      </c>
      <c r="BG279" s="14" t="n">
        <v>0.15</v>
      </c>
      <c r="BH279" s="14" t="n">
        <v>1</v>
      </c>
      <c r="BI279" s="14" t="n">
        <v>0.652</v>
      </c>
      <c r="BJ279" s="14" t="n">
        <v>0.132</v>
      </c>
      <c r="BK279" s="14" t="n">
        <v>0.08500000000000001</v>
      </c>
      <c r="BL279" s="14" t="n">
        <v>0.847</v>
      </c>
      <c r="BM279" s="14" t="n">
        <v>0.15</v>
      </c>
      <c r="BN279" s="14" t="n">
        <v>1</v>
      </c>
      <c r="BO279" s="14" t="n">
        <v>0</v>
      </c>
      <c r="BP279" s="14" t="n">
        <v>0</v>
      </c>
      <c r="BQ279" s="14" t="n">
        <v>0.195</v>
      </c>
      <c r="BR279" s="14" t="n">
        <v>0</v>
      </c>
      <c r="BS279" s="14" t="n">
        <v>1</v>
      </c>
      <c r="BT279" s="14" t="n">
        <v>0</v>
      </c>
      <c r="BU279" s="14" t="n">
        <v>0</v>
      </c>
      <c r="BV279" s="14" t="n">
        <v>0.19</v>
      </c>
      <c r="BW279" s="14" t="n">
        <v>0</v>
      </c>
      <c r="BX279" s="14" t="n">
        <v>1</v>
      </c>
      <c r="BY279" s="14" t="n">
        <v>13.646</v>
      </c>
      <c r="BZ279" s="14" t="n">
        <v>0</v>
      </c>
      <c r="CA279" s="14" t="n">
        <v>13.646</v>
      </c>
      <c r="CB279" s="14" t="n">
        <v>0</v>
      </c>
      <c r="CC279" s="14" t="n">
        <v>86.38500000000001</v>
      </c>
      <c r="CD279" s="14" t="n">
        <v>7.95</v>
      </c>
      <c r="CE279" s="14" t="n">
        <v>1.765</v>
      </c>
      <c r="CF279" s="14" t="n">
        <v>99.343</v>
      </c>
      <c r="CG279" s="14" t="n">
        <v>0.15</v>
      </c>
      <c r="CH279" s="14" t="n">
        <v>1</v>
      </c>
      <c r="CI279" s="14" t="n">
        <v>0</v>
      </c>
      <c r="CJ279" s="14" t="n">
        <v>0</v>
      </c>
      <c r="CK279" s="14" t="n">
        <v>0</v>
      </c>
      <c r="CL279" s="14" t="n">
        <v>0</v>
      </c>
      <c r="CM279" s="14" t="n">
        <v>0</v>
      </c>
      <c r="CN279" s="14" t="n">
        <v>0</v>
      </c>
      <c r="CO279" s="14" t="n">
        <v>0</v>
      </c>
      <c r="CP279" s="14" t="n">
        <v>0</v>
      </c>
      <c r="CQ279" s="14" t="n">
        <v>1.387</v>
      </c>
      <c r="CR279" s="14" t="n">
        <v>0</v>
      </c>
      <c r="CS279" s="14" t="n">
        <v>5.529</v>
      </c>
      <c r="CT279" s="14" t="n">
        <v>3.509</v>
      </c>
      <c r="CU279" s="14" t="n">
        <v>10.896</v>
      </c>
    </row>
    <row r="280">
      <c r="A280" s="14" t="inlineStr">
        <is>
          <t>FIN2021</t>
        </is>
      </c>
      <c r="B280" s="14" t="inlineStr">
        <is>
          <t>FIN</t>
        </is>
      </c>
      <c r="C280" s="14" t="inlineStr">
        <is>
          <t>FIN</t>
        </is>
      </c>
      <c r="D280" s="14" t="inlineStr">
        <is>
          <t>Finland</t>
        </is>
      </c>
      <c r="E280" s="14" t="n">
        <v>2021</v>
      </c>
      <c r="F280" s="14" t="n">
        <v>0.24</v>
      </c>
      <c r="G280" s="14" t="n">
        <v>4.778</v>
      </c>
      <c r="H280" s="14" t="n">
        <v>1.045</v>
      </c>
      <c r="I280" s="14" t="n">
        <v>1.672</v>
      </c>
      <c r="J280" s="14" t="n">
        <v>6.45</v>
      </c>
      <c r="K280" s="14" t="n">
        <v>0</v>
      </c>
      <c r="L280" s="14" t="n">
        <v>1</v>
      </c>
      <c r="M280" s="14" t="n">
        <v>10.182</v>
      </c>
      <c r="N280" s="14" t="n">
        <v>4.615</v>
      </c>
      <c r="O280" s="14" t="n">
        <v>5.492</v>
      </c>
      <c r="P280" s="14" t="n">
        <v>15.673</v>
      </c>
      <c r="Q280" s="14" t="n">
        <v>0</v>
      </c>
      <c r="R280" s="14" t="n">
        <v>1</v>
      </c>
      <c r="S280" s="14" t="n">
        <v>8.596</v>
      </c>
      <c r="T280" s="14" t="n">
        <v>5.288</v>
      </c>
      <c r="U280" s="14" t="n">
        <v>6.461</v>
      </c>
      <c r="V280" s="14" t="n">
        <v>18.67</v>
      </c>
      <c r="W280" s="14" t="n">
        <v>0.24</v>
      </c>
      <c r="X280" s="14" t="n">
        <v>1</v>
      </c>
      <c r="Y280" s="14" t="n">
        <v>24.613</v>
      </c>
      <c r="Z280" s="14" t="n">
        <v>2.719</v>
      </c>
      <c r="AA280" s="14" t="n">
        <v>2.766</v>
      </c>
      <c r="AB280" s="14" t="n">
        <v>27.379</v>
      </c>
      <c r="AC280" s="14" t="n">
        <v>0</v>
      </c>
      <c r="AD280" s="14" t="n">
        <v>1</v>
      </c>
      <c r="AE280" s="14" t="n">
        <v>24.569</v>
      </c>
      <c r="AF280" s="14" t="n">
        <v>4.835</v>
      </c>
      <c r="AG280" s="14" t="n">
        <v>2.81</v>
      </c>
      <c r="AH280" s="14" t="n">
        <v>27.379</v>
      </c>
      <c r="AI280" s="14" t="n">
        <v>0</v>
      </c>
      <c r="AJ280" s="14" t="n">
        <v>1</v>
      </c>
      <c r="AK280" s="14" t="n">
        <v>27.798</v>
      </c>
      <c r="AL280" s="14" t="n">
        <v>13.644</v>
      </c>
      <c r="AM280" s="14" t="n">
        <v>6.728</v>
      </c>
      <c r="AN280" s="14" t="n">
        <v>42.813</v>
      </c>
      <c r="AO280" s="14" t="n">
        <v>0.24</v>
      </c>
      <c r="AP280" s="14" t="n">
        <v>1</v>
      </c>
      <c r="AQ280" s="14" t="n">
        <v>0.619</v>
      </c>
      <c r="AR280" s="14" t="n">
        <v>0.114</v>
      </c>
      <c r="AS280" s="14" t="n">
        <v>0.977</v>
      </c>
      <c r="AT280" s="14" t="n">
        <v>1.979</v>
      </c>
      <c r="AU280" s="14" t="n">
        <v>0.24</v>
      </c>
      <c r="AV280" s="14" t="n">
        <v>1</v>
      </c>
      <c r="AW280" s="14" t="n">
        <v>0.599</v>
      </c>
      <c r="AX280" s="14" t="n">
        <v>0.114</v>
      </c>
      <c r="AY280" s="14" t="n">
        <v>0.846</v>
      </c>
      <c r="AZ280" s="14" t="n">
        <v>1.792</v>
      </c>
      <c r="BA280" s="14" t="n">
        <v>0.24</v>
      </c>
      <c r="BB280" s="14" t="n">
        <v>1</v>
      </c>
      <c r="BC280" s="14" t="n">
        <v>0.439</v>
      </c>
      <c r="BD280" s="14" t="n">
        <v>0.114</v>
      </c>
      <c r="BE280" s="14" t="n">
        <v>1.02</v>
      </c>
      <c r="BF280" s="14" t="n">
        <v>1.81</v>
      </c>
      <c r="BG280" s="14" t="n">
        <v>0.24</v>
      </c>
      <c r="BH280" s="14" t="n">
        <v>1</v>
      </c>
      <c r="BI280" s="14" t="n">
        <v>0.505</v>
      </c>
      <c r="BJ280" s="14" t="n">
        <v>0.114</v>
      </c>
      <c r="BK280" s="14" t="n">
        <v>0.455</v>
      </c>
      <c r="BL280" s="14" t="n">
        <v>1.191</v>
      </c>
      <c r="BM280" s="14" t="n">
        <v>0.24</v>
      </c>
      <c r="BN280" s="14" t="n">
        <v>1</v>
      </c>
      <c r="BO280" s="14" t="n">
        <v>0</v>
      </c>
      <c r="BP280" s="14" t="n">
        <v>0.001</v>
      </c>
      <c r="BQ280" s="14" t="n">
        <v>0.075</v>
      </c>
      <c r="BR280" s="14" t="n">
        <v>0</v>
      </c>
      <c r="BS280" s="14" t="n">
        <v>1</v>
      </c>
      <c r="BT280" s="14" t="n">
        <v>0</v>
      </c>
      <c r="BU280" s="14" t="n">
        <v>0.027</v>
      </c>
      <c r="BV280" s="14" t="n">
        <v>0.213</v>
      </c>
      <c r="BW280" s="14" t="n">
        <v>0.24</v>
      </c>
      <c r="BX280" s="14" t="n">
        <v>0.833</v>
      </c>
      <c r="BY280" s="14" t="n">
        <v>11.787</v>
      </c>
      <c r="BZ280" s="14" t="n">
        <v>0</v>
      </c>
      <c r="CA280" s="14" t="n">
        <v>11.787</v>
      </c>
      <c r="CB280" s="14" t="n">
        <v>0</v>
      </c>
      <c r="CC280" s="14" t="n">
        <v>78.125</v>
      </c>
      <c r="CD280" s="14" t="n">
        <v>7.95</v>
      </c>
      <c r="CE280" s="14" t="n">
        <v>86.602</v>
      </c>
      <c r="CF280" s="14" t="n">
        <v>204.261</v>
      </c>
      <c r="CG280" s="14" t="n">
        <v>0.24</v>
      </c>
      <c r="CH280" s="14" t="n">
        <v>1</v>
      </c>
      <c r="CI280" s="14" t="n">
        <v>0</v>
      </c>
      <c r="CJ280" s="14" t="n">
        <v>0</v>
      </c>
      <c r="CK280" s="14" t="n">
        <v>0</v>
      </c>
      <c r="CL280" s="14" t="n">
        <v>0</v>
      </c>
      <c r="CM280" s="14" t="n">
        <v>0</v>
      </c>
      <c r="CN280" s="14" t="n">
        <v>0</v>
      </c>
      <c r="CO280" s="14" t="n">
        <v>0</v>
      </c>
      <c r="CP280" s="14" t="n">
        <v>0</v>
      </c>
      <c r="CQ280" s="14" t="n">
        <v>1.198</v>
      </c>
      <c r="CR280" s="14" t="n">
        <v>0</v>
      </c>
      <c r="CS280" s="14" t="n">
        <v>4.776</v>
      </c>
      <c r="CT280" s="14" t="n">
        <v>5.092</v>
      </c>
      <c r="CU280" s="14" t="n">
        <v>15.162</v>
      </c>
    </row>
    <row r="281">
      <c r="A281" s="14" t="inlineStr">
        <is>
          <t>FIN2022</t>
        </is>
      </c>
      <c r="B281" s="14" t="inlineStr">
        <is>
          <t>FIN</t>
        </is>
      </c>
      <c r="C281" s="14" t="inlineStr">
        <is>
          <t>FIN</t>
        </is>
      </c>
      <c r="D281" s="14" t="inlineStr">
        <is>
          <t>Finland</t>
        </is>
      </c>
      <c r="E281" s="14" t="n">
        <v>2022</v>
      </c>
      <c r="F281" s="14" t="n">
        <v>0.24</v>
      </c>
      <c r="G281" s="14" t="n">
        <v>9.715999999999999</v>
      </c>
      <c r="H281" s="14" t="n">
        <v>1.509</v>
      </c>
      <c r="I281" s="14" t="n">
        <v>8.492000000000001</v>
      </c>
      <c r="J281" s="14" t="n">
        <v>18.208</v>
      </c>
      <c r="K281" s="14" t="n">
        <v>0</v>
      </c>
      <c r="L281" s="14" t="n">
        <v>1</v>
      </c>
      <c r="M281" s="14" t="n">
        <v>19.09</v>
      </c>
      <c r="N281" s="14" t="n">
        <v>7.883</v>
      </c>
      <c r="O281" s="14" t="n">
        <v>9.555999999999999</v>
      </c>
      <c r="P281" s="14" t="n">
        <v>28.646</v>
      </c>
      <c r="Q281" s="14" t="n">
        <v>0</v>
      </c>
      <c r="R281" s="14" t="n">
        <v>1</v>
      </c>
      <c r="S281" s="14" t="n">
        <v>18.457</v>
      </c>
      <c r="T281" s="14" t="n">
        <v>7.118</v>
      </c>
      <c r="U281" s="14" t="n">
        <v>8.238</v>
      </c>
      <c r="V281" s="14" t="n">
        <v>32.525</v>
      </c>
      <c r="W281" s="14" t="n">
        <v>0.24</v>
      </c>
      <c r="X281" s="14" t="n">
        <v>1</v>
      </c>
      <c r="Y281" s="14" t="n">
        <v>40.868</v>
      </c>
      <c r="Z281" s="14" t="n">
        <v>4.287</v>
      </c>
      <c r="AA281" s="14" t="n">
        <v>10.547</v>
      </c>
      <c r="AB281" s="14" t="n">
        <v>51.415</v>
      </c>
      <c r="AC281" s="14" t="n">
        <v>0</v>
      </c>
      <c r="AD281" s="14" t="n">
        <v>1</v>
      </c>
      <c r="AE281" s="14" t="n">
        <v>40.916</v>
      </c>
      <c r="AF281" s="14" t="n">
        <v>7.585</v>
      </c>
      <c r="AG281" s="14" t="n">
        <v>10.499</v>
      </c>
      <c r="AH281" s="14" t="n">
        <v>51.415</v>
      </c>
      <c r="AI281" s="14" t="n">
        <v>0</v>
      </c>
      <c r="AJ281" s="14" t="n">
        <v>1</v>
      </c>
      <c r="AK281" s="14" t="n">
        <v>44.693</v>
      </c>
      <c r="AL281" s="14" t="n">
        <v>21.343</v>
      </c>
      <c r="AM281" s="14" t="n">
        <v>8.207000000000001</v>
      </c>
      <c r="AN281" s="14" t="n">
        <v>64.45099999999999</v>
      </c>
      <c r="AO281" s="14" t="n">
        <v>0.24</v>
      </c>
      <c r="AP281" s="14" t="n">
        <v>1</v>
      </c>
      <c r="AQ281" s="14" t="n">
        <v>0.861</v>
      </c>
      <c r="AR281" s="14" t="n">
        <v>0.123</v>
      </c>
      <c r="AS281" s="14" t="n">
        <v>0.93</v>
      </c>
      <c r="AT281" s="14" t="n">
        <v>2.22</v>
      </c>
      <c r="AU281" s="14" t="n">
        <v>0.24</v>
      </c>
      <c r="AV281" s="14" t="n">
        <v>1</v>
      </c>
      <c r="AW281" s="14" t="n">
        <v>0.986</v>
      </c>
      <c r="AX281" s="14" t="n">
        <v>0.123</v>
      </c>
      <c r="AY281" s="14" t="n">
        <v>0.8159999999999999</v>
      </c>
      <c r="AZ281" s="14" t="n">
        <v>2.234</v>
      </c>
      <c r="BA281" s="14" t="n">
        <v>0.24</v>
      </c>
      <c r="BB281" s="14" t="n">
        <v>1</v>
      </c>
      <c r="BC281" s="14" t="n">
        <v>0.598</v>
      </c>
      <c r="BD281" s="14" t="n">
        <v>0.123</v>
      </c>
      <c r="BE281" s="14" t="n">
        <v>1.132</v>
      </c>
      <c r="BF281" s="14" t="n">
        <v>2.144</v>
      </c>
      <c r="BG281" s="14" t="n">
        <v>0.24</v>
      </c>
      <c r="BH281" s="14" t="n">
        <v>1</v>
      </c>
      <c r="BI281" s="14" t="n">
        <v>0.612</v>
      </c>
      <c r="BJ281" s="14" t="n">
        <v>0.123</v>
      </c>
      <c r="BK281" s="14" t="n">
        <v>0.8110000000000001</v>
      </c>
      <c r="BL281" s="14" t="n">
        <v>1.765</v>
      </c>
      <c r="BM281" s="14" t="n">
        <v>0.24</v>
      </c>
      <c r="BN281" s="14" t="n">
        <v>1</v>
      </c>
      <c r="BO281" s="14" t="n">
        <v>0</v>
      </c>
      <c r="BP281" s="14" t="n">
        <v>0.001</v>
      </c>
      <c r="BQ281" s="14" t="n">
        <v>0.115</v>
      </c>
      <c r="BR281" s="14" t="n">
        <v>0</v>
      </c>
      <c r="BS281" s="14" t="n">
        <v>1</v>
      </c>
      <c r="BT281" s="14" t="n">
        <v>0</v>
      </c>
      <c r="BU281" s="14" t="n">
        <v>0.024</v>
      </c>
      <c r="BV281" s="14" t="n">
        <v>0.232</v>
      </c>
      <c r="BW281" s="14" t="n">
        <v>0.24</v>
      </c>
      <c r="BX281" s="14" t="n">
        <v>0.833</v>
      </c>
      <c r="BY281" s="14" t="n">
        <v>12.729</v>
      </c>
      <c r="BZ281" s="14" t="n">
        <v>0</v>
      </c>
      <c r="CA281" s="14" t="n">
        <v>12.729</v>
      </c>
      <c r="CB281" s="14" t="n">
        <v>0</v>
      </c>
      <c r="CC281" s="14" t="n">
        <v>97.90000000000001</v>
      </c>
      <c r="CD281" s="14" t="n">
        <v>7.95</v>
      </c>
      <c r="CE281" s="14" t="n">
        <v>164.453</v>
      </c>
      <c r="CF281" s="14" t="n">
        <v>325.318</v>
      </c>
      <c r="CG281" s="14" t="n">
        <v>0.24</v>
      </c>
      <c r="CH281" s="14" t="n">
        <v>1</v>
      </c>
      <c r="CI281" s="14" t="n">
        <v>0</v>
      </c>
      <c r="CJ281" s="14" t="n">
        <v>0</v>
      </c>
      <c r="CK281" s="14" t="n">
        <v>0</v>
      </c>
      <c r="CL281" s="14" t="n">
        <v>0</v>
      </c>
      <c r="CM281" s="14" t="n">
        <v>0</v>
      </c>
      <c r="CN281" s="14" t="n">
        <v>0</v>
      </c>
      <c r="CO281" s="14" t="n">
        <v>0</v>
      </c>
      <c r="CP281" s="14" t="n">
        <v>0</v>
      </c>
      <c r="CQ281" s="14" t="n">
        <v>1.294</v>
      </c>
      <c r="CR281" s="14" t="n">
        <v>0</v>
      </c>
      <c r="CS281" s="14" t="n">
        <v>5.158</v>
      </c>
      <c r="CT281" s="14" t="n">
        <v>12.195</v>
      </c>
      <c r="CU281" s="14" t="n">
        <v>31.326</v>
      </c>
    </row>
    <row r="282">
      <c r="A282" s="14" t="inlineStr">
        <is>
          <t>FIN2023</t>
        </is>
      </c>
      <c r="B282" s="14" t="inlineStr">
        <is>
          <t>FIN</t>
        </is>
      </c>
      <c r="C282" s="14" t="inlineStr">
        <is>
          <t>FIN</t>
        </is>
      </c>
      <c r="D282" s="14" t="inlineStr">
        <is>
          <t>Finland</t>
        </is>
      </c>
      <c r="E282" s="14" t="n">
        <v>2023</v>
      </c>
      <c r="F282" s="14" t="n">
        <v>0.24</v>
      </c>
      <c r="G282" s="14" t="n">
        <v>9.474</v>
      </c>
      <c r="H282" s="14" t="n">
        <v>2.158</v>
      </c>
      <c r="I282" s="14" t="n">
        <v>9.842000000000001</v>
      </c>
      <c r="J282" s="14" t="n">
        <v>19.317</v>
      </c>
      <c r="K282" s="14" t="n">
        <v>0</v>
      </c>
      <c r="L282" s="14" t="n">
        <v>1</v>
      </c>
      <c r="M282" s="14" t="n">
        <v>27.274</v>
      </c>
      <c r="N282" s="14" t="n">
        <v>13.527</v>
      </c>
      <c r="O282" s="14" t="n">
        <v>10.943</v>
      </c>
      <c r="P282" s="14" t="n">
        <v>38.217</v>
      </c>
      <c r="Q282" s="14" t="n">
        <v>0</v>
      </c>
      <c r="R282" s="14" t="n">
        <v>1</v>
      </c>
      <c r="S282" s="14" t="n">
        <v>11.809</v>
      </c>
      <c r="T282" s="14" t="n">
        <v>6.898</v>
      </c>
      <c r="U282" s="14" t="n">
        <v>8.473000000000001</v>
      </c>
      <c r="V282" s="14" t="n">
        <v>24.499</v>
      </c>
      <c r="W282" s="14" t="n">
        <v>0.24</v>
      </c>
      <c r="X282" s="14" t="n">
        <v>1</v>
      </c>
      <c r="Y282" s="14" t="n">
        <v>21.216</v>
      </c>
      <c r="Z282" s="14" t="n">
        <v>2.376</v>
      </c>
      <c r="AA282" s="14" t="n">
        <v>16.525</v>
      </c>
      <c r="AB282" s="14" t="n">
        <v>37.74</v>
      </c>
      <c r="AC282" s="14" t="n">
        <v>0</v>
      </c>
      <c r="AD282" s="14" t="n">
        <v>1</v>
      </c>
      <c r="AE282" s="14" t="n">
        <v>21.314</v>
      </c>
      <c r="AF282" s="14" t="n">
        <v>4.245</v>
      </c>
      <c r="AG282" s="14" t="n">
        <v>16.426</v>
      </c>
      <c r="AH282" s="14" t="n">
        <v>37.74</v>
      </c>
      <c r="AI282" s="14" t="n">
        <v>0</v>
      </c>
      <c r="AJ282" s="14" t="n">
        <v>1</v>
      </c>
      <c r="AK282" s="14" t="n">
        <v>25.398</v>
      </c>
      <c r="AL282" s="14" t="n">
        <v>12.581</v>
      </c>
      <c r="AM282" s="14" t="n">
        <v>8.102</v>
      </c>
      <c r="AN282" s="14" t="n">
        <v>40.464</v>
      </c>
      <c r="AO282" s="14" t="n">
        <v>0.24</v>
      </c>
      <c r="AP282" s="14" t="n">
        <v>1</v>
      </c>
      <c r="AQ282" s="14" t="n">
        <v>0.76</v>
      </c>
      <c r="AR282" s="14" t="n">
        <v>0.129</v>
      </c>
      <c r="AS282" s="14" t="n">
        <v>0.922</v>
      </c>
      <c r="AT282" s="14" t="n">
        <v>2.086</v>
      </c>
      <c r="AU282" s="14" t="n">
        <v>0.24</v>
      </c>
      <c r="AV282" s="14" t="n">
        <v>1</v>
      </c>
      <c r="AW282" s="14" t="n">
        <v>0.8110000000000001</v>
      </c>
      <c r="AX282" s="14" t="n">
        <v>0.129</v>
      </c>
      <c r="AY282" s="14" t="n">
        <v>0.878</v>
      </c>
      <c r="AZ282" s="14" t="n">
        <v>2.095</v>
      </c>
      <c r="BA282" s="14" t="n">
        <v>0.24</v>
      </c>
      <c r="BB282" s="14" t="n">
        <v>1</v>
      </c>
      <c r="BC282" s="14" t="n">
        <v>0.535</v>
      </c>
      <c r="BD282" s="14" t="n">
        <v>0.129</v>
      </c>
      <c r="BE282" s="14" t="n">
        <v>1.277</v>
      </c>
      <c r="BF282" s="14" t="n">
        <v>2.247</v>
      </c>
      <c r="BG282" s="14" t="n">
        <v>0.24</v>
      </c>
      <c r="BH282" s="14" t="n">
        <v>1</v>
      </c>
      <c r="BI282" s="14" t="n">
        <v>0.579</v>
      </c>
      <c r="BJ282" s="14" t="n">
        <v>0.129</v>
      </c>
      <c r="BK282" s="14" t="n">
        <v>0.676</v>
      </c>
      <c r="BL282" s="14" t="n">
        <v>1.557</v>
      </c>
      <c r="BM282" s="14" t="n">
        <v>0.24</v>
      </c>
      <c r="BN282" s="14" t="n">
        <v>1</v>
      </c>
      <c r="BO282" s="14" t="n">
        <v>0</v>
      </c>
      <c r="BP282" s="14" t="n">
        <v>0.001</v>
      </c>
      <c r="BQ282" s="14" t="n">
        <v>0.081</v>
      </c>
      <c r="BR282" s="14" t="n">
        <v>0</v>
      </c>
      <c r="BS282" s="14" t="n">
        <v>1</v>
      </c>
      <c r="BT282" s="14" t="n">
        <v>0</v>
      </c>
      <c r="BU282" s="14" t="n">
        <v>0.024</v>
      </c>
      <c r="BV282" s="14" t="n">
        <v>0.268</v>
      </c>
      <c r="BW282" s="14" t="n">
        <v>0.24</v>
      </c>
      <c r="BX282" s="14" t="n">
        <v>0.833</v>
      </c>
      <c r="BY282" s="14" t="n">
        <v>13.254</v>
      </c>
      <c r="BZ282" s="14" t="n">
        <v>0</v>
      </c>
      <c r="CA282" s="14" t="n">
        <v>13.254</v>
      </c>
      <c r="CB282" s="14" t="n">
        <v>0</v>
      </c>
      <c r="CC282" s="14" t="n">
        <v>83.248</v>
      </c>
      <c r="CD282" s="14" t="n">
        <v>7.95</v>
      </c>
      <c r="CE282" s="14" t="n">
        <v>164.946</v>
      </c>
      <c r="CF282" s="14" t="n">
        <v>307.76</v>
      </c>
      <c r="CG282" s="14" t="n">
        <v>0.24</v>
      </c>
      <c r="CH282" s="14" t="n">
        <v>1</v>
      </c>
      <c r="CI282" s="14" t="n">
        <v>0</v>
      </c>
      <c r="CJ282" s="14" t="n">
        <v>0</v>
      </c>
      <c r="CK282" s="14" t="n">
        <v>0</v>
      </c>
      <c r="CL282" s="14" t="n">
        <v>0</v>
      </c>
      <c r="CM282" s="14" t="n">
        <v>0</v>
      </c>
      <c r="CN282" s="14" t="n">
        <v>0</v>
      </c>
      <c r="CO282" s="14" t="n">
        <v>0</v>
      </c>
      <c r="CP282" s="14" t="n">
        <v>0</v>
      </c>
      <c r="CQ282" s="14" t="n">
        <v>1.348</v>
      </c>
      <c r="CR282" s="14" t="n">
        <v>0</v>
      </c>
      <c r="CS282" s="14" t="n">
        <v>5.37</v>
      </c>
      <c r="CT282" s="14" t="n">
        <v>5.868</v>
      </c>
      <c r="CU282" s="14" t="n">
        <v>11.622</v>
      </c>
    </row>
    <row r="283">
      <c r="A283" s="14" t="inlineStr">
        <is>
          <t>FIN2024</t>
        </is>
      </c>
      <c r="B283" s="14" t="inlineStr">
        <is>
          <t>FIN</t>
        </is>
      </c>
      <c r="C283" s="14" t="inlineStr">
        <is>
          <t>FIN</t>
        </is>
      </c>
      <c r="D283" s="14" t="inlineStr">
        <is>
          <t>Finland</t>
        </is>
      </c>
      <c r="E283" s="14" t="n">
        <v>2024</v>
      </c>
      <c r="F283" s="14" t="n">
        <v>0.24</v>
      </c>
      <c r="G283" s="14" t="n">
        <v>8.827999999999999</v>
      </c>
      <c r="H283" s="14" t="n">
        <v>2.236</v>
      </c>
      <c r="I283" s="14" t="n">
        <v>6.45</v>
      </c>
      <c r="J283" s="14" t="n">
        <v>15.278</v>
      </c>
      <c r="K283" s="14" t="n">
        <v>0</v>
      </c>
      <c r="L283" s="14" t="n">
        <v>1</v>
      </c>
      <c r="M283" s="14" t="n">
        <v>25.12</v>
      </c>
      <c r="N283" s="14" t="n">
        <v>13.684</v>
      </c>
      <c r="O283" s="14" t="n">
        <v>7.647</v>
      </c>
      <c r="P283" s="14" t="n">
        <v>32.766</v>
      </c>
      <c r="Q283" s="14" t="n">
        <v>0</v>
      </c>
      <c r="R283" s="14" t="n">
        <v>1</v>
      </c>
      <c r="S283" s="14" t="n">
        <v>11.015</v>
      </c>
      <c r="T283" s="14" t="n">
        <v>7.101</v>
      </c>
      <c r="U283" s="14" t="n">
        <v>10.183</v>
      </c>
      <c r="V283" s="14" t="n">
        <v>25.454</v>
      </c>
      <c r="W283" s="14" t="n">
        <v>0.24</v>
      </c>
      <c r="X283" s="14" t="n">
        <v>1</v>
      </c>
      <c r="Y283" s="14" t="n">
        <v>20.216</v>
      </c>
      <c r="Z283" s="14" t="n">
        <v>2.553</v>
      </c>
      <c r="AA283" s="14" t="n">
        <v>10</v>
      </c>
      <c r="AB283" s="14" t="n">
        <v>30.216</v>
      </c>
      <c r="AC283" s="14" t="n">
        <v>0</v>
      </c>
      <c r="AD283" s="14" t="n">
        <v>1</v>
      </c>
      <c r="AE283" s="14" t="n">
        <v>20.216</v>
      </c>
      <c r="AF283" s="14" t="n">
        <v>4.428</v>
      </c>
      <c r="AG283" s="14" t="n">
        <v>10</v>
      </c>
      <c r="AH283" s="14" t="n">
        <v>30.216</v>
      </c>
      <c r="AI283" s="14" t="n">
        <v>0</v>
      </c>
      <c r="AJ283" s="14" t="n">
        <v>1</v>
      </c>
      <c r="AK283" s="14" t="n">
        <v>24.247</v>
      </c>
      <c r="AL283" s="14" t="n">
        <v>12.333</v>
      </c>
      <c r="AM283" s="14" t="n">
        <v>9.122</v>
      </c>
      <c r="AN283" s="14" t="n">
        <v>40.068</v>
      </c>
      <c r="AO283" s="14" t="n">
        <v>0.24</v>
      </c>
      <c r="AP283" s="14" t="n">
        <v>1</v>
      </c>
      <c r="AQ283" s="14" t="n">
        <v>0.724</v>
      </c>
      <c r="AR283" s="14" t="n">
        <v>0.132</v>
      </c>
      <c r="AS283" s="14" t="n">
        <v>0.848</v>
      </c>
      <c r="AT283" s="14" t="n">
        <v>1.95</v>
      </c>
      <c r="AU283" s="14" t="n">
        <v>0.24</v>
      </c>
      <c r="AV283" s="14" t="n">
        <v>1</v>
      </c>
      <c r="AW283" s="14" t="n">
        <v>0.75</v>
      </c>
      <c r="AX283" s="14" t="n">
        <v>0.132</v>
      </c>
      <c r="AY283" s="14" t="n">
        <v>0.791</v>
      </c>
      <c r="AZ283" s="14" t="n">
        <v>1.911</v>
      </c>
      <c r="BA283" s="14" t="n">
        <v>0.24</v>
      </c>
      <c r="BB283" s="14" t="n">
        <v>1</v>
      </c>
      <c r="BC283" s="14" t="n">
        <v>0.513</v>
      </c>
      <c r="BD283" s="14" t="n">
        <v>0.132</v>
      </c>
      <c r="BE283" s="14" t="n">
        <v>1.13</v>
      </c>
      <c r="BF283" s="14" t="n">
        <v>2.038</v>
      </c>
      <c r="BG283" s="14" t="n">
        <v>0.24</v>
      </c>
      <c r="BH283" s="14" t="n">
        <v>1</v>
      </c>
      <c r="BI283" s="14" t="n">
        <v>0.591</v>
      </c>
      <c r="BJ283" s="14" t="n">
        <v>0.132</v>
      </c>
      <c r="BK283" s="14" t="n">
        <v>0.548</v>
      </c>
      <c r="BL283" s="14" t="n">
        <v>1.412</v>
      </c>
      <c r="BM283" s="14" t="n">
        <v>0.24</v>
      </c>
      <c r="BN283" s="14" t="n">
        <v>1</v>
      </c>
      <c r="BO283" s="14" t="n">
        <v>0</v>
      </c>
      <c r="BP283" s="14" t="n">
        <v>0.001</v>
      </c>
      <c r="BQ283" s="14" t="n">
        <v>0.06900000000000001</v>
      </c>
      <c r="BR283" s="14" t="n">
        <v>0</v>
      </c>
      <c r="BS283" s="14" t="n">
        <v>1</v>
      </c>
      <c r="BT283" s="14" t="n">
        <v>0</v>
      </c>
      <c r="BU283" s="14" t="n">
        <v>0.024</v>
      </c>
      <c r="BV283" s="14" t="n">
        <v>0.306</v>
      </c>
      <c r="BW283" s="14" t="n">
        <v>0.24</v>
      </c>
      <c r="BX283" s="14" t="n">
        <v>0.833</v>
      </c>
      <c r="BY283" s="14" t="n">
        <v>13.646</v>
      </c>
      <c r="BZ283" s="14" t="n">
        <v>0</v>
      </c>
      <c r="CA283" s="14" t="n">
        <v>13.646</v>
      </c>
      <c r="CB283" s="14" t="n">
        <v>0</v>
      </c>
      <c r="CC283" s="14" t="n">
        <v>82.58799999999999</v>
      </c>
      <c r="CD283" s="14" t="n">
        <v>7.95</v>
      </c>
      <c r="CE283" s="14" t="n">
        <v>141.248</v>
      </c>
      <c r="CF283" s="14" t="n">
        <v>277.557</v>
      </c>
      <c r="CG283" s="14" t="n">
        <v>0.24</v>
      </c>
      <c r="CH283" s="14" t="n">
        <v>1</v>
      </c>
      <c r="CI283" s="14" t="n">
        <v>0</v>
      </c>
      <c r="CJ283" s="14" t="n">
        <v>0</v>
      </c>
      <c r="CK283" s="14" t="n">
        <v>0</v>
      </c>
      <c r="CL283" s="14" t="n">
        <v>0</v>
      </c>
      <c r="CM283" s="14" t="n">
        <v>0</v>
      </c>
      <c r="CN283" s="14" t="n">
        <v>0</v>
      </c>
      <c r="CO283" s="14" t="n">
        <v>0</v>
      </c>
      <c r="CP283" s="14" t="n">
        <v>0</v>
      </c>
      <c r="CQ283" s="14" t="n">
        <v>1.387</v>
      </c>
      <c r="CR283" s="14" t="n">
        <v>0</v>
      </c>
      <c r="CS283" s="14" t="n">
        <v>5.529</v>
      </c>
      <c r="CT283" s="14" t="n">
        <v>4.592</v>
      </c>
      <c r="CU283" s="14" t="n">
        <v>10.168</v>
      </c>
    </row>
    <row r="284">
      <c r="A284" s="14" t="inlineStr">
        <is>
          <t>FRA2021</t>
        </is>
      </c>
      <c r="B284" s="14" t="inlineStr">
        <is>
          <t>FRA</t>
        </is>
      </c>
      <c r="C284" s="14" t="inlineStr">
        <is>
          <t>FRA</t>
        </is>
      </c>
      <c r="D284" s="14" t="inlineStr">
        <is>
          <t>France</t>
        </is>
      </c>
      <c r="E284" s="14" t="n">
        <v>2021</v>
      </c>
      <c r="F284" s="14" t="n">
        <v>0.2</v>
      </c>
      <c r="G284" s="14" t="n">
        <v>5.022</v>
      </c>
      <c r="H284" s="14" t="n">
        <v>1.099</v>
      </c>
      <c r="I284" s="14" t="n">
        <v>1.186</v>
      </c>
      <c r="J284" s="14" t="n">
        <v>6.208</v>
      </c>
      <c r="K284" s="14" t="n">
        <v>0</v>
      </c>
      <c r="L284" s="14" t="n">
        <v>1</v>
      </c>
      <c r="M284" s="14" t="n">
        <v>6.592</v>
      </c>
      <c r="N284" s="14" t="n">
        <v>2.988</v>
      </c>
      <c r="O284" s="14" t="n">
        <v>1.494</v>
      </c>
      <c r="P284" s="14" t="n">
        <v>8.086</v>
      </c>
      <c r="Q284" s="14" t="n">
        <v>0</v>
      </c>
      <c r="R284" s="14" t="n">
        <v>1</v>
      </c>
      <c r="S284" s="14" t="n">
        <v>11.069</v>
      </c>
      <c r="T284" s="14" t="n">
        <v>5.94</v>
      </c>
      <c r="U284" s="14" t="n">
        <v>0.235</v>
      </c>
      <c r="V284" s="14" t="n">
        <v>13.564</v>
      </c>
      <c r="W284" s="14" t="n">
        <v>0.2</v>
      </c>
      <c r="X284" s="14" t="n">
        <v>1</v>
      </c>
      <c r="Y284" s="14" t="n">
        <v>21.184</v>
      </c>
      <c r="Z284" s="14" t="n">
        <v>2.34</v>
      </c>
      <c r="AA284" s="14" t="n">
        <v>-6.568</v>
      </c>
      <c r="AB284" s="14" t="n">
        <v>14.616</v>
      </c>
      <c r="AC284" s="14" t="n">
        <v>0</v>
      </c>
      <c r="AD284" s="14" t="n">
        <v>1</v>
      </c>
      <c r="AE284" s="14" t="n">
        <v>21.14</v>
      </c>
      <c r="AF284" s="14" t="n">
        <v>4.16</v>
      </c>
      <c r="AG284" s="14" t="n">
        <v>-6.514</v>
      </c>
      <c r="AH284" s="14" t="n">
        <v>14.627</v>
      </c>
      <c r="AI284" s="14" t="n">
        <v>0</v>
      </c>
      <c r="AJ284" s="14" t="n">
        <v>1</v>
      </c>
      <c r="AK284" s="14" t="n">
        <v>27.169</v>
      </c>
      <c r="AL284" s="14" t="n">
        <v>13.335</v>
      </c>
      <c r="AM284" s="14" t="n">
        <v>-6.925</v>
      </c>
      <c r="AN284" s="14" t="n">
        <v>24.293</v>
      </c>
      <c r="AO284" s="14" t="n">
        <v>0.2</v>
      </c>
      <c r="AP284" s="14" t="n">
        <v>1</v>
      </c>
      <c r="AQ284" s="14" t="n">
        <v>0.619</v>
      </c>
      <c r="AR284" s="14" t="n">
        <v>0.114</v>
      </c>
      <c r="AS284" s="14" t="n">
        <v>0.912</v>
      </c>
      <c r="AT284" s="14" t="n">
        <v>1.837</v>
      </c>
      <c r="AU284" s="14" t="n">
        <v>0.2</v>
      </c>
      <c r="AV284" s="14" t="n">
        <v>1</v>
      </c>
      <c r="AW284" s="14" t="n">
        <v>0.599</v>
      </c>
      <c r="AX284" s="14" t="n">
        <v>0.114</v>
      </c>
      <c r="AY284" s="14" t="n">
        <v>0.8110000000000001</v>
      </c>
      <c r="AZ284" s="14" t="n">
        <v>1.693</v>
      </c>
      <c r="BA284" s="14" t="n">
        <v>0.2</v>
      </c>
      <c r="BB284" s="14" t="n">
        <v>1</v>
      </c>
      <c r="BC284" s="14" t="n">
        <v>0.439</v>
      </c>
      <c r="BD284" s="14" t="n">
        <v>0.114</v>
      </c>
      <c r="BE284" s="14" t="n">
        <v>0.401</v>
      </c>
      <c r="BF284" s="14" t="n">
        <v>1.008</v>
      </c>
      <c r="BG284" s="14" t="n">
        <v>0.2</v>
      </c>
      <c r="BH284" s="14" t="n">
        <v>1</v>
      </c>
      <c r="BI284" s="14" t="n">
        <v>0.505</v>
      </c>
      <c r="BJ284" s="14" t="n">
        <v>0.114</v>
      </c>
      <c r="BK284" s="14" t="n">
        <v>0.386</v>
      </c>
      <c r="BL284" s="14" t="n">
        <v>1.069</v>
      </c>
      <c r="BM284" s="14" t="n">
        <v>0.2</v>
      </c>
      <c r="BN284" s="14" t="n">
        <v>1</v>
      </c>
      <c r="BO284" s="14" t="n">
        <v>0</v>
      </c>
      <c r="BP284" s="14" t="n">
        <v>0.01</v>
      </c>
      <c r="BQ284" s="14" t="n">
        <v>0.095</v>
      </c>
      <c r="BR284" s="14" t="n">
        <v>0</v>
      </c>
      <c r="BS284" s="14" t="n">
        <v>1</v>
      </c>
      <c r="BT284" s="14" t="n">
        <v>0</v>
      </c>
      <c r="BU284" s="14" t="n">
        <v>0.045</v>
      </c>
      <c r="BV284" s="14" t="n">
        <v>0.235</v>
      </c>
      <c r="BW284" s="14" t="n">
        <v>0.2</v>
      </c>
      <c r="BX284" s="14" t="n">
        <v>1</v>
      </c>
      <c r="BY284" s="14" t="n">
        <v>11.787</v>
      </c>
      <c r="BZ284" s="14" t="n">
        <v>0</v>
      </c>
      <c r="CA284" s="14" t="n">
        <v>11.787</v>
      </c>
      <c r="CB284" s="14" t="n">
        <v>0</v>
      </c>
      <c r="CC284" s="14" t="n">
        <v>78.125</v>
      </c>
      <c r="CD284" s="14" t="n">
        <v>7.95</v>
      </c>
      <c r="CE284" s="14" t="n">
        <v>68.496</v>
      </c>
      <c r="CF284" s="14" t="n">
        <v>175.945</v>
      </c>
      <c r="CG284" s="14" t="n">
        <v>0.2</v>
      </c>
      <c r="CH284" s="14" t="n">
        <v>1</v>
      </c>
      <c r="CI284" s="14" t="n">
        <v>0</v>
      </c>
      <c r="CJ284" s="14" t="n">
        <v>0</v>
      </c>
      <c r="CK284" s="14" t="n">
        <v>0</v>
      </c>
      <c r="CL284" s="14" t="n">
        <v>0</v>
      </c>
      <c r="CM284" s="14" t="n">
        <v>0</v>
      </c>
      <c r="CN284" s="14" t="n">
        <v>0.083</v>
      </c>
      <c r="CO284" s="14" t="n">
        <v>0.052</v>
      </c>
      <c r="CP284" s="14" t="n">
        <v>0</v>
      </c>
      <c r="CQ284" s="14" t="n">
        <v>1.198</v>
      </c>
      <c r="CR284" s="14" t="n">
        <v>0</v>
      </c>
      <c r="CS284" s="14" t="n">
        <v>4.776</v>
      </c>
      <c r="CT284" s="14" t="n">
        <v>6.569</v>
      </c>
      <c r="CU284" s="14" t="n">
        <v>14.962</v>
      </c>
    </row>
    <row r="285">
      <c r="A285" s="14" t="inlineStr">
        <is>
          <t>FRA2022</t>
        </is>
      </c>
      <c r="B285" s="14" t="inlineStr">
        <is>
          <t>FRA</t>
        </is>
      </c>
      <c r="C285" s="14" t="inlineStr">
        <is>
          <t>FRA</t>
        </is>
      </c>
      <c r="D285" s="14" t="inlineStr">
        <is>
          <t>France</t>
        </is>
      </c>
      <c r="E285" s="14" t="n">
        <v>2022</v>
      </c>
      <c r="F285" s="14" t="n">
        <v>0.2</v>
      </c>
      <c r="G285" s="14" t="n">
        <v>9.981999999999999</v>
      </c>
      <c r="H285" s="14" t="n">
        <v>1.55</v>
      </c>
      <c r="I285" s="14" t="n">
        <v>8.218</v>
      </c>
      <c r="J285" s="14" t="n">
        <v>18.2</v>
      </c>
      <c r="K285" s="14" t="n">
        <v>0</v>
      </c>
      <c r="L285" s="14" t="n">
        <v>1</v>
      </c>
      <c r="M285" s="14" t="n">
        <v>6.924</v>
      </c>
      <c r="N285" s="14" t="n">
        <v>2.859</v>
      </c>
      <c r="O285" s="14" t="n">
        <v>8.829000000000001</v>
      </c>
      <c r="P285" s="14" t="n">
        <v>15.753</v>
      </c>
      <c r="Q285" s="14" t="n">
        <v>0</v>
      </c>
      <c r="R285" s="14" t="n">
        <v>1</v>
      </c>
      <c r="S285" s="14" t="n">
        <v>18.537</v>
      </c>
      <c r="T285" s="14" t="n">
        <v>6.733</v>
      </c>
      <c r="U285" s="14" t="n">
        <v>3.459</v>
      </c>
      <c r="V285" s="14" t="n">
        <v>26.01</v>
      </c>
      <c r="W285" s="14" t="n">
        <v>0.2</v>
      </c>
      <c r="X285" s="14" t="n">
        <v>1</v>
      </c>
      <c r="Y285" s="14" t="n">
        <v>35.155</v>
      </c>
      <c r="Z285" s="14" t="n">
        <v>3.688</v>
      </c>
      <c r="AA285" s="14" t="n">
        <v>-10.589</v>
      </c>
      <c r="AB285" s="14" t="n">
        <v>24.567</v>
      </c>
      <c r="AC285" s="14" t="n">
        <v>0</v>
      </c>
      <c r="AD285" s="14" t="n">
        <v>1</v>
      </c>
      <c r="AE285" s="14" t="n">
        <v>35.203</v>
      </c>
      <c r="AF285" s="14" t="n">
        <v>6.526</v>
      </c>
      <c r="AG285" s="14" t="n">
        <v>-10.56</v>
      </c>
      <c r="AH285" s="14" t="n">
        <v>24.644</v>
      </c>
      <c r="AI285" s="14" t="n">
        <v>0</v>
      </c>
      <c r="AJ285" s="14" t="n">
        <v>1</v>
      </c>
      <c r="AK285" s="14" t="n">
        <v>41.781</v>
      </c>
      <c r="AL285" s="14" t="n">
        <v>19.952</v>
      </c>
      <c r="AM285" s="14" t="n">
        <v>-19.017</v>
      </c>
      <c r="AN285" s="14" t="n">
        <v>27.316</v>
      </c>
      <c r="AO285" s="14" t="n">
        <v>0.2</v>
      </c>
      <c r="AP285" s="14" t="n">
        <v>1</v>
      </c>
      <c r="AQ285" s="14" t="n">
        <v>0.861</v>
      </c>
      <c r="AR285" s="14" t="n">
        <v>0.123</v>
      </c>
      <c r="AS285" s="14" t="n">
        <v>0.726</v>
      </c>
      <c r="AT285" s="14" t="n">
        <v>1.905</v>
      </c>
      <c r="AU285" s="14" t="n">
        <v>0.2</v>
      </c>
      <c r="AV285" s="14" t="n">
        <v>1</v>
      </c>
      <c r="AW285" s="14" t="n">
        <v>0.986</v>
      </c>
      <c r="AX285" s="14" t="n">
        <v>0.123</v>
      </c>
      <c r="AY285" s="14" t="n">
        <v>0.633</v>
      </c>
      <c r="AZ285" s="14" t="n">
        <v>1.942</v>
      </c>
      <c r="BA285" s="14" t="n">
        <v>0.2</v>
      </c>
      <c r="BB285" s="14" t="n">
        <v>1</v>
      </c>
      <c r="BC285" s="14" t="n">
        <v>0.598</v>
      </c>
      <c r="BD285" s="14" t="n">
        <v>0.123</v>
      </c>
      <c r="BE285" s="14" t="n">
        <v>0.143</v>
      </c>
      <c r="BF285" s="14" t="n">
        <v>0.89</v>
      </c>
      <c r="BG285" s="14" t="n">
        <v>0.2</v>
      </c>
      <c r="BH285" s="14" t="n">
        <v>1</v>
      </c>
      <c r="BI285" s="14" t="n">
        <v>0.612</v>
      </c>
      <c r="BJ285" s="14" t="n">
        <v>0.123</v>
      </c>
      <c r="BK285" s="14" t="n">
        <v>0.6820000000000001</v>
      </c>
      <c r="BL285" s="14" t="n">
        <v>1.553</v>
      </c>
      <c r="BM285" s="14" t="n">
        <v>0.2</v>
      </c>
      <c r="BN285" s="14" t="n">
        <v>1</v>
      </c>
      <c r="BO285" s="14" t="n">
        <v>0</v>
      </c>
      <c r="BP285" s="14" t="n">
        <v>0.002</v>
      </c>
      <c r="BQ285" s="14" t="n">
        <v>0.118</v>
      </c>
      <c r="BR285" s="14" t="n">
        <v>0</v>
      </c>
      <c r="BS285" s="14" t="n">
        <v>1</v>
      </c>
      <c r="BT285" s="14" t="n">
        <v>0</v>
      </c>
      <c r="BU285" s="14" t="n">
        <v>0.021</v>
      </c>
      <c r="BV285" s="14" t="n">
        <v>0.226</v>
      </c>
      <c r="BW285" s="14" t="n">
        <v>0.2</v>
      </c>
      <c r="BX285" s="14" t="n">
        <v>1</v>
      </c>
      <c r="BY285" s="14" t="n">
        <v>12.729</v>
      </c>
      <c r="BZ285" s="14" t="n">
        <v>0</v>
      </c>
      <c r="CA285" s="14" t="n">
        <v>12.729</v>
      </c>
      <c r="CB285" s="14" t="n">
        <v>0</v>
      </c>
      <c r="CC285" s="14" t="n">
        <v>97.90000000000001</v>
      </c>
      <c r="CD285" s="14" t="n">
        <v>7.95</v>
      </c>
      <c r="CE285" s="14" t="n">
        <v>142.287</v>
      </c>
      <c r="CF285" s="14" t="n">
        <v>288.224</v>
      </c>
      <c r="CG285" s="14" t="n">
        <v>0.2</v>
      </c>
      <c r="CH285" s="14" t="n">
        <v>1</v>
      </c>
      <c r="CI285" s="14" t="n">
        <v>0</v>
      </c>
      <c r="CJ285" s="14" t="n">
        <v>0</v>
      </c>
      <c r="CK285" s="14" t="n">
        <v>0</v>
      </c>
      <c r="CL285" s="14" t="n">
        <v>0</v>
      </c>
      <c r="CM285" s="14" t="n">
        <v>0</v>
      </c>
      <c r="CN285" s="14" t="n">
        <v>0.083</v>
      </c>
      <c r="CO285" s="14" t="n">
        <v>0.055</v>
      </c>
      <c r="CP285" s="14" t="n">
        <v>0</v>
      </c>
      <c r="CQ285" s="14" t="n">
        <v>1.294</v>
      </c>
      <c r="CR285" s="14" t="n">
        <v>0</v>
      </c>
      <c r="CS285" s="14" t="n">
        <v>5.158</v>
      </c>
      <c r="CT285" s="14" t="n">
        <v>14.147</v>
      </c>
      <c r="CU285" s="14" t="n">
        <v>28.842</v>
      </c>
    </row>
    <row r="286">
      <c r="A286" s="14" t="inlineStr">
        <is>
          <t>FRA2023</t>
        </is>
      </c>
      <c r="B286" s="14" t="inlineStr">
        <is>
          <t>FRA</t>
        </is>
      </c>
      <c r="C286" s="14" t="inlineStr">
        <is>
          <t>FRA</t>
        </is>
      </c>
      <c r="D286" s="14" t="inlineStr">
        <is>
          <t>France</t>
        </is>
      </c>
      <c r="E286" s="14" t="n">
        <v>2023</v>
      </c>
      <c r="F286" s="14" t="n">
        <v>0.2</v>
      </c>
      <c r="G286" s="14" t="n">
        <v>18.6</v>
      </c>
      <c r="H286" s="14" t="n">
        <v>4.236</v>
      </c>
      <c r="I286" s="14" t="n">
        <v>9.523999999999999</v>
      </c>
      <c r="J286" s="14" t="n">
        <v>28.123</v>
      </c>
      <c r="K286" s="14" t="n">
        <v>0</v>
      </c>
      <c r="L286" s="14" t="n">
        <v>1</v>
      </c>
      <c r="M286" s="14" t="n">
        <v>15.994</v>
      </c>
      <c r="N286" s="14" t="n">
        <v>7.932</v>
      </c>
      <c r="O286" s="14" t="n">
        <v>9.815</v>
      </c>
      <c r="P286" s="14" t="n">
        <v>25.809</v>
      </c>
      <c r="Q286" s="14" t="n">
        <v>0</v>
      </c>
      <c r="R286" s="14" t="n">
        <v>1</v>
      </c>
      <c r="S286" s="14" t="n">
        <v>16.116</v>
      </c>
      <c r="T286" s="14" t="n">
        <v>6.751</v>
      </c>
      <c r="U286" s="14" t="n">
        <v>3.568</v>
      </c>
      <c r="V286" s="14" t="n">
        <v>23.109</v>
      </c>
      <c r="W286" s="14" t="n">
        <v>0.2</v>
      </c>
      <c r="X286" s="14" t="n">
        <v>1</v>
      </c>
      <c r="Y286" s="14" t="n">
        <v>18.138</v>
      </c>
      <c r="Z286" s="14" t="n">
        <v>2.032</v>
      </c>
      <c r="AA286" s="14" t="n">
        <v>11.559</v>
      </c>
      <c r="AB286" s="14" t="n">
        <v>29.698</v>
      </c>
      <c r="AC286" s="14" t="n">
        <v>0</v>
      </c>
      <c r="AD286" s="14" t="n">
        <v>1</v>
      </c>
      <c r="AE286" s="14" t="n">
        <v>18.237</v>
      </c>
      <c r="AF286" s="14" t="n">
        <v>3.632</v>
      </c>
      <c r="AG286" s="14" t="n">
        <v>11.55</v>
      </c>
      <c r="AH286" s="14" t="n">
        <v>29.787</v>
      </c>
      <c r="AI286" s="14" t="n">
        <v>0</v>
      </c>
      <c r="AJ286" s="14" t="n">
        <v>1</v>
      </c>
      <c r="AK286" s="14" t="n">
        <v>25.12</v>
      </c>
      <c r="AL286" s="14" t="n">
        <v>12.444</v>
      </c>
      <c r="AM286" s="14" t="n">
        <v>2.725</v>
      </c>
      <c r="AN286" s="14" t="n">
        <v>33.414</v>
      </c>
      <c r="AO286" s="14" t="n">
        <v>0.2</v>
      </c>
      <c r="AP286" s="14" t="n">
        <v>1</v>
      </c>
      <c r="AQ286" s="14" t="n">
        <v>0.76</v>
      </c>
      <c r="AR286" s="14" t="n">
        <v>0.129</v>
      </c>
      <c r="AS286" s="14" t="n">
        <v>0.9340000000000001</v>
      </c>
      <c r="AT286" s="14" t="n">
        <v>2.034</v>
      </c>
      <c r="AU286" s="14" t="n">
        <v>0.2</v>
      </c>
      <c r="AV286" s="14" t="n">
        <v>1</v>
      </c>
      <c r="AW286" s="14" t="n">
        <v>0.8110000000000001</v>
      </c>
      <c r="AX286" s="14" t="n">
        <v>0.129</v>
      </c>
      <c r="AY286" s="14" t="n">
        <v>0.806</v>
      </c>
      <c r="AZ286" s="14" t="n">
        <v>1.941</v>
      </c>
      <c r="BA286" s="14" t="n">
        <v>0.2</v>
      </c>
      <c r="BB286" s="14" t="n">
        <v>1</v>
      </c>
      <c r="BC286" s="14" t="n">
        <v>0.535</v>
      </c>
      <c r="BD286" s="14" t="n">
        <v>0.129</v>
      </c>
      <c r="BE286" s="14" t="n">
        <v>0.347</v>
      </c>
      <c r="BF286" s="14" t="n">
        <v>1.058</v>
      </c>
      <c r="BG286" s="14" t="n">
        <v>0.2</v>
      </c>
      <c r="BH286" s="14" t="n">
        <v>1</v>
      </c>
      <c r="BI286" s="14" t="n">
        <v>0.579</v>
      </c>
      <c r="BJ286" s="14" t="n">
        <v>0.129</v>
      </c>
      <c r="BK286" s="14" t="n">
        <v>0.5629999999999999</v>
      </c>
      <c r="BL286" s="14" t="n">
        <v>1.371</v>
      </c>
      <c r="BM286" s="14" t="n">
        <v>0.2</v>
      </c>
      <c r="BN286" s="14" t="n">
        <v>1</v>
      </c>
      <c r="BO286" s="14" t="n">
        <v>0</v>
      </c>
      <c r="BP286" s="14" t="n">
        <v>0.001</v>
      </c>
      <c r="BQ286" s="14" t="n">
        <v>0.168</v>
      </c>
      <c r="BR286" s="14" t="n">
        <v>0</v>
      </c>
      <c r="BS286" s="14" t="n">
        <v>1</v>
      </c>
      <c r="BT286" s="14" t="n">
        <v>0</v>
      </c>
      <c r="BU286" s="14" t="n">
        <v>0.008</v>
      </c>
      <c r="BV286" s="14" t="n">
        <v>0.264</v>
      </c>
      <c r="BW286" s="14" t="n">
        <v>0.2</v>
      </c>
      <c r="BX286" s="14" t="n">
        <v>1</v>
      </c>
      <c r="BY286" s="14" t="n">
        <v>13.254</v>
      </c>
      <c r="BZ286" s="14" t="n">
        <v>0</v>
      </c>
      <c r="CA286" s="14" t="n">
        <v>13.254</v>
      </c>
      <c r="CB286" s="14" t="n">
        <v>0</v>
      </c>
      <c r="CC286" s="14" t="n">
        <v>83.248</v>
      </c>
      <c r="CD286" s="14" t="n">
        <v>7.95</v>
      </c>
      <c r="CE286" s="14" t="n">
        <v>138.203</v>
      </c>
      <c r="CF286" s="14" t="n">
        <v>265.741</v>
      </c>
      <c r="CG286" s="14" t="n">
        <v>0.2</v>
      </c>
      <c r="CH286" s="14" t="n">
        <v>1</v>
      </c>
      <c r="CI286" s="14" t="n">
        <v>0</v>
      </c>
      <c r="CJ286" s="14" t="n">
        <v>0</v>
      </c>
      <c r="CK286" s="14" t="n">
        <v>0</v>
      </c>
      <c r="CL286" s="14" t="n">
        <v>0</v>
      </c>
      <c r="CM286" s="14" t="n">
        <v>0</v>
      </c>
      <c r="CN286" s="14" t="n">
        <v>0.028</v>
      </c>
      <c r="CO286" s="14" t="n">
        <v>0.056</v>
      </c>
      <c r="CP286" s="14" t="n">
        <v>0</v>
      </c>
      <c r="CQ286" s="14" t="n">
        <v>1.348</v>
      </c>
      <c r="CR286" s="14" t="n">
        <v>0</v>
      </c>
      <c r="CS286" s="14" t="n">
        <v>5.37</v>
      </c>
      <c r="CT286" s="14" t="n">
        <v>12.035</v>
      </c>
      <c r="CU286" s="14" t="n">
        <v>11.774</v>
      </c>
    </row>
    <row r="287">
      <c r="A287" s="14" t="inlineStr">
        <is>
          <t>FRA2024</t>
        </is>
      </c>
      <c r="B287" s="14" t="inlineStr">
        <is>
          <t>FRA</t>
        </is>
      </c>
      <c r="C287" s="14" t="inlineStr">
        <is>
          <t>FRA</t>
        </is>
      </c>
      <c r="D287" s="14" t="inlineStr">
        <is>
          <t>France</t>
        </is>
      </c>
      <c r="E287" s="14" t="n">
        <v>2024</v>
      </c>
      <c r="F287" s="14" t="n">
        <v>0.2</v>
      </c>
      <c r="G287" s="14" t="n">
        <v>18.133</v>
      </c>
      <c r="H287" s="14" t="n">
        <v>4.594</v>
      </c>
      <c r="I287" s="14" t="n">
        <v>6.241</v>
      </c>
      <c r="J287" s="14" t="n">
        <v>24.374</v>
      </c>
      <c r="K287" s="14" t="n">
        <v>0</v>
      </c>
      <c r="L287" s="14" t="n">
        <v>1</v>
      </c>
      <c r="M287" s="14" t="n">
        <v>15.063</v>
      </c>
      <c r="N287" s="14" t="n">
        <v>8.206</v>
      </c>
      <c r="O287" s="14" t="n">
        <v>6.98</v>
      </c>
      <c r="P287" s="14" t="n">
        <v>22.044</v>
      </c>
      <c r="Q287" s="14" t="n">
        <v>0</v>
      </c>
      <c r="R287" s="14" t="n">
        <v>1</v>
      </c>
      <c r="S287" s="14" t="n">
        <v>15.689</v>
      </c>
      <c r="T287" s="14" t="n">
        <v>6.95</v>
      </c>
      <c r="U287" s="14" t="n">
        <v>3.711</v>
      </c>
      <c r="V287" s="14" t="n">
        <v>22.663</v>
      </c>
      <c r="W287" s="14" t="n">
        <v>0.2</v>
      </c>
      <c r="X287" s="14" t="n">
        <v>1</v>
      </c>
      <c r="Y287" s="14" t="n">
        <v>17.329</v>
      </c>
      <c r="Z287" s="14" t="n">
        <v>2.188</v>
      </c>
      <c r="AA287" s="14" t="n">
        <v>7.154</v>
      </c>
      <c r="AB287" s="14" t="n">
        <v>24.484</v>
      </c>
      <c r="AC287" s="14" t="n">
        <v>0</v>
      </c>
      <c r="AD287" s="14" t="n">
        <v>1</v>
      </c>
      <c r="AE287" s="14" t="n">
        <v>17.329</v>
      </c>
      <c r="AF287" s="14" t="n">
        <v>3.796</v>
      </c>
      <c r="AG287" s="14" t="n">
        <v>7.213</v>
      </c>
      <c r="AH287" s="14" t="n">
        <v>24.543</v>
      </c>
      <c r="AI287" s="14" t="n">
        <v>0</v>
      </c>
      <c r="AJ287" s="14" t="n">
        <v>1</v>
      </c>
      <c r="AK287" s="14" t="n">
        <v>25.826</v>
      </c>
      <c r="AL287" s="14" t="n">
        <v>13.136</v>
      </c>
      <c r="AM287" s="14" t="n">
        <v>5.846</v>
      </c>
      <c r="AN287" s="14" t="n">
        <v>38.007</v>
      </c>
      <c r="AO287" s="14" t="n">
        <v>0.2</v>
      </c>
      <c r="AP287" s="14" t="n">
        <v>1</v>
      </c>
      <c r="AQ287" s="14" t="n">
        <v>0.724</v>
      </c>
      <c r="AR287" s="14" t="n">
        <v>0.132</v>
      </c>
      <c r="AS287" s="14" t="n">
        <v>0.918</v>
      </c>
      <c r="AT287" s="14" t="n">
        <v>1.971</v>
      </c>
      <c r="AU287" s="14" t="n">
        <v>0.2</v>
      </c>
      <c r="AV287" s="14" t="n">
        <v>1</v>
      </c>
      <c r="AW287" s="14" t="n">
        <v>0.75</v>
      </c>
      <c r="AX287" s="14" t="n">
        <v>0.132</v>
      </c>
      <c r="AY287" s="14" t="n">
        <v>0.779</v>
      </c>
      <c r="AZ287" s="14" t="n">
        <v>1.835</v>
      </c>
      <c r="BA287" s="14" t="n">
        <v>0.2</v>
      </c>
      <c r="BB287" s="14" t="n">
        <v>1</v>
      </c>
      <c r="BC287" s="14" t="n">
        <v>0.513</v>
      </c>
      <c r="BD287" s="14" t="n">
        <v>0.132</v>
      </c>
      <c r="BE287" s="14" t="n">
        <v>0.377</v>
      </c>
      <c r="BF287" s="14" t="n">
        <v>1.068</v>
      </c>
      <c r="BG287" s="14" t="n">
        <v>0.2</v>
      </c>
      <c r="BH287" s="14" t="n">
        <v>1</v>
      </c>
      <c r="BI287" s="14" t="n">
        <v>0.591</v>
      </c>
      <c r="BJ287" s="14" t="n">
        <v>0.132</v>
      </c>
      <c r="BK287" s="14" t="n">
        <v>0.47</v>
      </c>
      <c r="BL287" s="14" t="n">
        <v>1.274</v>
      </c>
      <c r="BM287" s="14" t="n">
        <v>0.2</v>
      </c>
      <c r="BN287" s="14" t="n">
        <v>1</v>
      </c>
      <c r="BO287" s="14" t="n">
        <v>0</v>
      </c>
      <c r="BP287" s="14" t="n">
        <v>0.006</v>
      </c>
      <c r="BQ287" s="14" t="n">
        <v>0.119</v>
      </c>
      <c r="BR287" s="14" t="n">
        <v>0</v>
      </c>
      <c r="BS287" s="14" t="n">
        <v>1</v>
      </c>
      <c r="BT287" s="14" t="n">
        <v>0</v>
      </c>
      <c r="BU287" s="14" t="n">
        <v>0.027</v>
      </c>
      <c r="BV287" s="14" t="n">
        <v>0.312</v>
      </c>
      <c r="BW287" s="14" t="n">
        <v>0.2</v>
      </c>
      <c r="BX287" s="14" t="n">
        <v>1</v>
      </c>
      <c r="BY287" s="14" t="n">
        <v>13.646</v>
      </c>
      <c r="BZ287" s="14" t="n">
        <v>0</v>
      </c>
      <c r="CA287" s="14" t="n">
        <v>13.646</v>
      </c>
      <c r="CB287" s="14" t="n">
        <v>0</v>
      </c>
      <c r="CC287" s="14" t="n">
        <v>82.58799999999999</v>
      </c>
      <c r="CD287" s="14" t="n">
        <v>7.95</v>
      </c>
      <c r="CE287" s="14" t="n">
        <v>115.763</v>
      </c>
      <c r="CF287" s="14" t="n">
        <v>238.021</v>
      </c>
      <c r="CG287" s="14" t="n">
        <v>0.2</v>
      </c>
      <c r="CH287" s="14" t="n">
        <v>1</v>
      </c>
      <c r="CI287" s="14" t="n">
        <v>0</v>
      </c>
      <c r="CJ287" s="14" t="n">
        <v>0</v>
      </c>
      <c r="CK287" s="14" t="n">
        <v>0</v>
      </c>
      <c r="CL287" s="14" t="n">
        <v>0</v>
      </c>
      <c r="CM287" s="14" t="n">
        <v>0</v>
      </c>
      <c r="CN287" s="14" t="n">
        <v>0.007</v>
      </c>
      <c r="CO287" s="14" t="n">
        <v>0.057</v>
      </c>
      <c r="CP287" s="14" t="n">
        <v>0</v>
      </c>
      <c r="CQ287" s="14" t="n">
        <v>1.387</v>
      </c>
      <c r="CR287" s="14" t="n">
        <v>0</v>
      </c>
      <c r="CS287" s="14" t="n">
        <v>5.529</v>
      </c>
      <c r="CT287" s="14" t="n">
        <v>11.187</v>
      </c>
      <c r="CU287" s="14" t="n">
        <v>9.994</v>
      </c>
    </row>
    <row r="288">
      <c r="A288" s="14" t="inlineStr">
        <is>
          <t>PYF2021</t>
        </is>
      </c>
      <c r="B288" s="14" t="inlineStr">
        <is>
          <t>PYF</t>
        </is>
      </c>
      <c r="C288" s="14" t="inlineStr">
        <is>
          <t>PYF</t>
        </is>
      </c>
      <c r="D288" s="14" t="inlineStr">
        <is>
          <t>French Polynesia</t>
        </is>
      </c>
      <c r="E288" s="14" t="n">
        <v>2021</v>
      </c>
      <c r="F288" s="14" t="n">
        <v>0.13</v>
      </c>
      <c r="G288" s="14" t="n">
        <v>4.747</v>
      </c>
      <c r="H288" s="14" t="n">
        <v>1.143</v>
      </c>
      <c r="I288" s="14" t="n">
        <v>0</v>
      </c>
      <c r="J288" s="14" t="n">
        <v>4.747</v>
      </c>
      <c r="K288" s="14" t="n">
        <v>0</v>
      </c>
      <c r="L288" s="14" t="n">
        <v>1</v>
      </c>
      <c r="M288" s="14" t="n">
        <v>7.964</v>
      </c>
      <c r="N288" s="14" t="n">
        <v>3.43</v>
      </c>
      <c r="O288" s="14" t="n">
        <v>0</v>
      </c>
      <c r="P288" s="14" t="n">
        <v>7.964</v>
      </c>
      <c r="Q288" s="14" t="n">
        <v>0</v>
      </c>
      <c r="R288" s="14" t="n">
        <v>1</v>
      </c>
      <c r="S288" s="14" t="n">
        <v>10.464</v>
      </c>
      <c r="T288" s="14" t="n">
        <v>6.86</v>
      </c>
      <c r="U288" s="14" t="n">
        <v>0</v>
      </c>
      <c r="V288" s="14" t="n">
        <v>11.824</v>
      </c>
      <c r="W288" s="14" t="n">
        <v>0.13</v>
      </c>
      <c r="X288" s="14" t="n">
        <v>1</v>
      </c>
      <c r="Y288" s="14" t="n">
        <v>10.551</v>
      </c>
      <c r="Z288" s="14" t="n">
        <v>1.302</v>
      </c>
      <c r="AA288" s="14" t="n">
        <v>0</v>
      </c>
      <c r="AB288" s="14" t="n">
        <v>10.551</v>
      </c>
      <c r="AC288" s="14" t="n">
        <v>0</v>
      </c>
      <c r="AD288" s="14" t="n">
        <v>1</v>
      </c>
      <c r="AE288" s="14" t="n">
        <v>11.694</v>
      </c>
      <c r="AF288" s="14" t="n">
        <v>2.549</v>
      </c>
      <c r="AG288" s="14" t="n">
        <v>0</v>
      </c>
      <c r="AH288" s="14" t="n">
        <v>11.694</v>
      </c>
      <c r="AI288" s="14" t="n">
        <v>0</v>
      </c>
      <c r="AJ288" s="14" t="n">
        <v>1</v>
      </c>
      <c r="AK288" s="14" t="n">
        <v>18.554</v>
      </c>
      <c r="AL288" s="14" t="n">
        <v>9.627000000000001</v>
      </c>
      <c r="AM288" s="14" t="n">
        <v>0</v>
      </c>
      <c r="AN288" s="14" t="n">
        <v>20.966</v>
      </c>
      <c r="AO288" s="14" t="n">
        <v>0.13</v>
      </c>
      <c r="AP288" s="14" t="n">
        <v>1</v>
      </c>
      <c r="AQ288" s="14" t="n">
        <v>0.621</v>
      </c>
      <c r="AR288" s="14" t="n">
        <v>0.114</v>
      </c>
      <c r="AS288" s="14" t="n">
        <v>0</v>
      </c>
      <c r="AT288" s="14" t="n">
        <v>0.701</v>
      </c>
      <c r="AU288" s="14" t="n">
        <v>0.13</v>
      </c>
      <c r="AV288" s="14" t="n">
        <v>1</v>
      </c>
      <c r="AW288" s="14" t="n">
        <v>0.593</v>
      </c>
      <c r="AX288" s="14" t="n">
        <v>0.114</v>
      </c>
      <c r="AY288" s="14" t="n">
        <v>0</v>
      </c>
      <c r="AZ288" s="14" t="n">
        <v>0.67</v>
      </c>
      <c r="BA288" s="14" t="n">
        <v>0.13</v>
      </c>
      <c r="BB288" s="14" t="n">
        <v>1</v>
      </c>
      <c r="BC288" s="14" t="n">
        <v>0.44</v>
      </c>
      <c r="BD288" s="14" t="n">
        <v>0.114</v>
      </c>
      <c r="BE288" s="14" t="n">
        <v>0</v>
      </c>
      <c r="BF288" s="14" t="n">
        <v>0.497</v>
      </c>
      <c r="BG288" s="14" t="n">
        <v>0.13</v>
      </c>
      <c r="BH288" s="14" t="n">
        <v>1</v>
      </c>
      <c r="BI288" s="14" t="n">
        <v>0.5600000000000001</v>
      </c>
      <c r="BJ288" s="14" t="n">
        <v>0.114</v>
      </c>
      <c r="BK288" s="14" t="n">
        <v>0</v>
      </c>
      <c r="BL288" s="14" t="n">
        <v>0.633</v>
      </c>
      <c r="BM288" s="14" t="n">
        <v>0.13</v>
      </c>
      <c r="BN288" s="14" t="n">
        <v>1</v>
      </c>
      <c r="BO288" s="14" t="n">
        <v>0</v>
      </c>
      <c r="BP288" s="14" t="n">
        <v>0</v>
      </c>
      <c r="BQ288" s="14" t="n">
        <v>0</v>
      </c>
      <c r="BR288" s="14" t="n">
        <v>0</v>
      </c>
      <c r="BS288" s="14" t="n">
        <v>1</v>
      </c>
      <c r="BT288" s="14" t="n">
        <v>0</v>
      </c>
      <c r="BU288" s="14" t="n">
        <v>0</v>
      </c>
      <c r="BV288" s="14" t="n">
        <v>0</v>
      </c>
      <c r="BW288" s="14" t="n">
        <v>0.13</v>
      </c>
      <c r="BX288" s="14" t="n">
        <v>1</v>
      </c>
      <c r="BY288" s="14" t="n">
        <v>11.787</v>
      </c>
      <c r="BZ288" s="14" t="n">
        <v>0</v>
      </c>
      <c r="CA288" s="14" t="n">
        <v>11.787</v>
      </c>
      <c r="CB288" s="14" t="n">
        <v>0</v>
      </c>
      <c r="CC288" s="14" t="n">
        <v>81.69499999999999</v>
      </c>
      <c r="CD288" s="14" t="n">
        <v>7.95</v>
      </c>
      <c r="CE288" s="14" t="n">
        <v>0</v>
      </c>
      <c r="CF288" s="14" t="n">
        <v>92.316</v>
      </c>
      <c r="CG288" s="14" t="n">
        <v>0.13</v>
      </c>
      <c r="CH288" s="14" t="n">
        <v>1</v>
      </c>
      <c r="CI288" s="14" t="n">
        <v>0</v>
      </c>
      <c r="CJ288" s="14" t="n">
        <v>0</v>
      </c>
      <c r="CK288" s="14" t="n">
        <v>0</v>
      </c>
      <c r="CL288" s="14" t="n">
        <v>0</v>
      </c>
      <c r="CM288" s="14" t="n">
        <v>0</v>
      </c>
      <c r="CN288" s="14" t="n">
        <v>0</v>
      </c>
      <c r="CO288" s="14" t="n">
        <v>0</v>
      </c>
      <c r="CP288" s="14" t="n">
        <v>0</v>
      </c>
      <c r="CQ288" s="14" t="n">
        <v>1.198</v>
      </c>
      <c r="CR288" s="14" t="n">
        <v>0</v>
      </c>
      <c r="CS288" s="14" t="n">
        <v>4.776</v>
      </c>
      <c r="CT288" s="14" t="n">
        <v>3.604</v>
      </c>
      <c r="CU288" s="14" t="n">
        <v>9.407999999999999</v>
      </c>
    </row>
    <row r="289">
      <c r="A289" s="14" t="inlineStr">
        <is>
          <t>PYF2022</t>
        </is>
      </c>
      <c r="B289" s="14" t="inlineStr">
        <is>
          <t>PYF</t>
        </is>
      </c>
      <c r="C289" s="14" t="inlineStr">
        <is>
          <t>PYF</t>
        </is>
      </c>
      <c r="D289" s="14" t="inlineStr">
        <is>
          <t>French Polynesia</t>
        </is>
      </c>
      <c r="E289" s="14" t="n">
        <v>2022</v>
      </c>
      <c r="F289" s="14" t="n">
        <v>0.13</v>
      </c>
      <c r="G289" s="14" t="n">
        <v>8.788</v>
      </c>
      <c r="H289" s="14" t="n">
        <v>1.235</v>
      </c>
      <c r="I289" s="14" t="n">
        <v>0</v>
      </c>
      <c r="J289" s="14" t="n">
        <v>8.788</v>
      </c>
      <c r="K289" s="14" t="n">
        <v>0</v>
      </c>
      <c r="L289" s="14" t="n">
        <v>1</v>
      </c>
      <c r="M289" s="14" t="n">
        <v>9.782999999999999</v>
      </c>
      <c r="N289" s="14" t="n">
        <v>3.704</v>
      </c>
      <c r="O289" s="14" t="n">
        <v>0</v>
      </c>
      <c r="P289" s="14" t="n">
        <v>9.782999999999999</v>
      </c>
      <c r="Q289" s="14" t="n">
        <v>0</v>
      </c>
      <c r="R289" s="14" t="n">
        <v>1</v>
      </c>
      <c r="S289" s="14" t="n">
        <v>14.962</v>
      </c>
      <c r="T289" s="14" t="n">
        <v>7.408</v>
      </c>
      <c r="U289" s="14" t="n">
        <v>0.144</v>
      </c>
      <c r="V289" s="14" t="n">
        <v>16.907</v>
      </c>
      <c r="W289" s="14" t="n">
        <v>0.13</v>
      </c>
      <c r="X289" s="14" t="n">
        <v>1</v>
      </c>
      <c r="Y289" s="14" t="n">
        <v>17.332</v>
      </c>
      <c r="Z289" s="14" t="n">
        <v>2.139</v>
      </c>
      <c r="AA289" s="14" t="n">
        <v>0</v>
      </c>
      <c r="AB289" s="14" t="n">
        <v>17.332</v>
      </c>
      <c r="AC289" s="14" t="n">
        <v>0</v>
      </c>
      <c r="AD289" s="14" t="n">
        <v>1</v>
      </c>
      <c r="AE289" s="14" t="n">
        <v>18.566</v>
      </c>
      <c r="AF289" s="14" t="n">
        <v>4.048</v>
      </c>
      <c r="AG289" s="14" t="n">
        <v>0</v>
      </c>
      <c r="AH289" s="14" t="n">
        <v>18.566</v>
      </c>
      <c r="AI289" s="14" t="n">
        <v>0</v>
      </c>
      <c r="AJ289" s="14" t="n">
        <v>1</v>
      </c>
      <c r="AK289" s="14" t="n">
        <v>25.974</v>
      </c>
      <c r="AL289" s="14" t="n">
        <v>13.478</v>
      </c>
      <c r="AM289" s="14" t="n">
        <v>0.25</v>
      </c>
      <c r="AN289" s="14" t="n">
        <v>29.351</v>
      </c>
      <c r="AO289" s="14" t="n">
        <v>0.13</v>
      </c>
      <c r="AP289" s="14" t="n">
        <v>1</v>
      </c>
      <c r="AQ289" s="14" t="n">
        <v>0.847</v>
      </c>
      <c r="AR289" s="14" t="n">
        <v>0.123</v>
      </c>
      <c r="AS289" s="14" t="n">
        <v>0.008</v>
      </c>
      <c r="AT289" s="14" t="n">
        <v>0.957</v>
      </c>
      <c r="AU289" s="14" t="n">
        <v>0.13</v>
      </c>
      <c r="AV289" s="14" t="n">
        <v>1</v>
      </c>
      <c r="AW289" s="14" t="n">
        <v>0.947</v>
      </c>
      <c r="AX289" s="14" t="n">
        <v>0.123</v>
      </c>
      <c r="AY289" s="14" t="n">
        <v>0.008999999999999999</v>
      </c>
      <c r="AZ289" s="14" t="n">
        <v>1.07</v>
      </c>
      <c r="BA289" s="14" t="n">
        <v>0.13</v>
      </c>
      <c r="BB289" s="14" t="n">
        <v>1</v>
      </c>
      <c r="BC289" s="14" t="n">
        <v>0.589</v>
      </c>
      <c r="BD289" s="14" t="n">
        <v>0.123</v>
      </c>
      <c r="BE289" s="14" t="n">
        <v>0.006</v>
      </c>
      <c r="BF289" s="14" t="n">
        <v>0.665</v>
      </c>
      <c r="BG289" s="14" t="n">
        <v>0.13</v>
      </c>
      <c r="BH289" s="14" t="n">
        <v>1</v>
      </c>
      <c r="BI289" s="14" t="n">
        <v>0.6889999999999999</v>
      </c>
      <c r="BJ289" s="14" t="n">
        <v>0.123</v>
      </c>
      <c r="BK289" s="14" t="n">
        <v>0.007</v>
      </c>
      <c r="BL289" s="14" t="n">
        <v>0.778</v>
      </c>
      <c r="BM289" s="14" t="n">
        <v>0.13</v>
      </c>
      <c r="BN289" s="14" t="n">
        <v>1</v>
      </c>
      <c r="BO289" s="14" t="n">
        <v>0</v>
      </c>
      <c r="BP289" s="14" t="n">
        <v>0</v>
      </c>
      <c r="BQ289" s="14" t="n">
        <v>0</v>
      </c>
      <c r="BR289" s="14" t="n">
        <v>0</v>
      </c>
      <c r="BS289" s="14" t="n">
        <v>1</v>
      </c>
      <c r="BT289" s="14" t="n">
        <v>0</v>
      </c>
      <c r="BU289" s="14" t="n">
        <v>0</v>
      </c>
      <c r="BV289" s="14" t="n">
        <v>0</v>
      </c>
      <c r="BW289" s="14" t="n">
        <v>0.13</v>
      </c>
      <c r="BX289" s="14" t="n">
        <v>1</v>
      </c>
      <c r="BY289" s="14" t="n">
        <v>12.729</v>
      </c>
      <c r="BZ289" s="14" t="n">
        <v>0</v>
      </c>
      <c r="CA289" s="14" t="n">
        <v>12.729</v>
      </c>
      <c r="CB289" s="14" t="n">
        <v>0</v>
      </c>
      <c r="CC289" s="14" t="n">
        <v>102.477</v>
      </c>
      <c r="CD289" s="14" t="n">
        <v>7.95</v>
      </c>
      <c r="CE289" s="14" t="n">
        <v>0.986</v>
      </c>
      <c r="CF289" s="14" t="n">
        <v>115.798</v>
      </c>
      <c r="CG289" s="14" t="n">
        <v>0.13</v>
      </c>
      <c r="CH289" s="14" t="n">
        <v>1</v>
      </c>
      <c r="CI289" s="14" t="n">
        <v>0</v>
      </c>
      <c r="CJ289" s="14" t="n">
        <v>0</v>
      </c>
      <c r="CK289" s="14" t="n">
        <v>0</v>
      </c>
      <c r="CL289" s="14" t="n">
        <v>0</v>
      </c>
      <c r="CM289" s="14" t="n">
        <v>0</v>
      </c>
      <c r="CN289" s="14" t="n">
        <v>0</v>
      </c>
      <c r="CO289" s="14" t="n">
        <v>0</v>
      </c>
      <c r="CP289" s="14" t="n">
        <v>0</v>
      </c>
      <c r="CQ289" s="14" t="n">
        <v>1.294</v>
      </c>
      <c r="CR289" s="14" t="n">
        <v>0</v>
      </c>
      <c r="CS289" s="14" t="n">
        <v>5.158</v>
      </c>
      <c r="CT289" s="14" t="n">
        <v>7.554</v>
      </c>
      <c r="CU289" s="14" t="n">
        <v>16.097</v>
      </c>
    </row>
    <row r="290">
      <c r="A290" s="14" t="inlineStr">
        <is>
          <t>PYF2023</t>
        </is>
      </c>
      <c r="B290" s="14" t="inlineStr">
        <is>
          <t>PYF</t>
        </is>
      </c>
      <c r="C290" s="14" t="inlineStr">
        <is>
          <t>PYF</t>
        </is>
      </c>
      <c r="D290" s="14" t="inlineStr">
        <is>
          <t>French Polynesia</t>
        </is>
      </c>
      <c r="E290" s="14" t="n">
        <v>2023</v>
      </c>
      <c r="F290" s="14" t="n">
        <v>0.13</v>
      </c>
      <c r="G290" s="14" t="n">
        <v>5.77</v>
      </c>
      <c r="H290" s="14" t="n">
        <v>1.286</v>
      </c>
      <c r="I290" s="14" t="n">
        <v>0</v>
      </c>
      <c r="J290" s="14" t="n">
        <v>5.77</v>
      </c>
      <c r="K290" s="14" t="n">
        <v>0</v>
      </c>
      <c r="L290" s="14" t="n">
        <v>1</v>
      </c>
      <c r="M290" s="14" t="n">
        <v>7.886</v>
      </c>
      <c r="N290" s="14" t="n">
        <v>3.857</v>
      </c>
      <c r="O290" s="14" t="n">
        <v>0</v>
      </c>
      <c r="P290" s="14" t="n">
        <v>7.886</v>
      </c>
      <c r="Q290" s="14" t="n">
        <v>0</v>
      </c>
      <c r="R290" s="14" t="n">
        <v>1</v>
      </c>
      <c r="S290" s="14" t="n">
        <v>12.198</v>
      </c>
      <c r="T290" s="14" t="n">
        <v>7.714</v>
      </c>
      <c r="U290" s="14" t="n">
        <v>0.176</v>
      </c>
      <c r="V290" s="14" t="n">
        <v>13.784</v>
      </c>
      <c r="W290" s="14" t="n">
        <v>0.13</v>
      </c>
      <c r="X290" s="14" t="n">
        <v>1</v>
      </c>
      <c r="Y290" s="14" t="n">
        <v>13.814</v>
      </c>
      <c r="Z290" s="14" t="n">
        <v>1.705</v>
      </c>
      <c r="AA290" s="14" t="n">
        <v>0</v>
      </c>
      <c r="AB290" s="14" t="n">
        <v>13.814</v>
      </c>
      <c r="AC290" s="14" t="n">
        <v>0</v>
      </c>
      <c r="AD290" s="14" t="n">
        <v>1</v>
      </c>
      <c r="AE290" s="14" t="n">
        <v>15.1</v>
      </c>
      <c r="AF290" s="14" t="n">
        <v>3.292</v>
      </c>
      <c r="AG290" s="14" t="n">
        <v>0</v>
      </c>
      <c r="AH290" s="14" t="n">
        <v>15.1</v>
      </c>
      <c r="AI290" s="14" t="n">
        <v>0</v>
      </c>
      <c r="AJ290" s="14" t="n">
        <v>1</v>
      </c>
      <c r="AK290" s="14" t="n">
        <v>22.814</v>
      </c>
      <c r="AL290" s="14" t="n">
        <v>11.838</v>
      </c>
      <c r="AM290" s="14" t="n">
        <v>0.328</v>
      </c>
      <c r="AN290" s="14" t="n">
        <v>25.78</v>
      </c>
      <c r="AO290" s="14" t="n">
        <v>0.13</v>
      </c>
      <c r="AP290" s="14" t="n">
        <v>1</v>
      </c>
      <c r="AQ290" s="14" t="n">
        <v>0.749</v>
      </c>
      <c r="AR290" s="14" t="n">
        <v>0.129</v>
      </c>
      <c r="AS290" s="14" t="n">
        <v>0.011</v>
      </c>
      <c r="AT290" s="14" t="n">
        <v>0.846</v>
      </c>
      <c r="AU290" s="14" t="n">
        <v>0.13</v>
      </c>
      <c r="AV290" s="14" t="n">
        <v>1</v>
      </c>
      <c r="AW290" s="14" t="n">
        <v>0.783</v>
      </c>
      <c r="AX290" s="14" t="n">
        <v>0.129</v>
      </c>
      <c r="AY290" s="14" t="n">
        <v>0.011</v>
      </c>
      <c r="AZ290" s="14" t="n">
        <v>0.884</v>
      </c>
      <c r="BA290" s="14" t="n">
        <v>0.13</v>
      </c>
      <c r="BB290" s="14" t="n">
        <v>1</v>
      </c>
      <c r="BC290" s="14" t="n">
        <v>0.527</v>
      </c>
      <c r="BD290" s="14" t="n">
        <v>0.129</v>
      </c>
      <c r="BE290" s="14" t="n">
        <v>0.008</v>
      </c>
      <c r="BF290" s="14" t="n">
        <v>0.596</v>
      </c>
      <c r="BG290" s="14" t="n">
        <v>0.13</v>
      </c>
      <c r="BH290" s="14" t="n">
        <v>1</v>
      </c>
      <c r="BI290" s="14" t="n">
        <v>0.64</v>
      </c>
      <c r="BJ290" s="14" t="n">
        <v>0.129</v>
      </c>
      <c r="BK290" s="14" t="n">
        <v>0.008999999999999999</v>
      </c>
      <c r="BL290" s="14" t="n">
        <v>0.723</v>
      </c>
      <c r="BM290" s="14" t="n">
        <v>0.13</v>
      </c>
      <c r="BN290" s="14" t="n">
        <v>1</v>
      </c>
      <c r="BO290" s="14" t="n">
        <v>0</v>
      </c>
      <c r="BP290" s="14" t="n">
        <v>0</v>
      </c>
      <c r="BQ290" s="14" t="n">
        <v>0</v>
      </c>
      <c r="BR290" s="14" t="n">
        <v>0</v>
      </c>
      <c r="BS290" s="14" t="n">
        <v>1</v>
      </c>
      <c r="BT290" s="14" t="n">
        <v>0</v>
      </c>
      <c r="BU290" s="14" t="n">
        <v>0</v>
      </c>
      <c r="BV290" s="14" t="n">
        <v>0</v>
      </c>
      <c r="BW290" s="14" t="n">
        <v>0.13</v>
      </c>
      <c r="BX290" s="14" t="n">
        <v>1</v>
      </c>
      <c r="BY290" s="14" t="n">
        <v>13.254</v>
      </c>
      <c r="BZ290" s="14" t="n">
        <v>0</v>
      </c>
      <c r="CA290" s="14" t="n">
        <v>13.254</v>
      </c>
      <c r="CB290" s="14" t="n">
        <v>0</v>
      </c>
      <c r="CC290" s="14" t="n">
        <v>87.07899999999999</v>
      </c>
      <c r="CD290" s="14" t="n">
        <v>7.95</v>
      </c>
      <c r="CE290" s="14" t="n">
        <v>1.253</v>
      </c>
      <c r="CF290" s="14" t="n">
        <v>98.399</v>
      </c>
      <c r="CG290" s="14" t="n">
        <v>0.13</v>
      </c>
      <c r="CH290" s="14" t="n">
        <v>1</v>
      </c>
      <c r="CI290" s="14" t="n">
        <v>0</v>
      </c>
      <c r="CJ290" s="14" t="n">
        <v>0</v>
      </c>
      <c r="CK290" s="14" t="n">
        <v>0</v>
      </c>
      <c r="CL290" s="14" t="n">
        <v>0</v>
      </c>
      <c r="CM290" s="14" t="n">
        <v>0</v>
      </c>
      <c r="CN290" s="14" t="n">
        <v>0</v>
      </c>
      <c r="CO290" s="14" t="n">
        <v>0</v>
      </c>
      <c r="CP290" s="14" t="n">
        <v>0</v>
      </c>
      <c r="CQ290" s="14" t="n">
        <v>1.348</v>
      </c>
      <c r="CR290" s="14" t="n">
        <v>0</v>
      </c>
      <c r="CS290" s="14" t="n">
        <v>5.37</v>
      </c>
      <c r="CT290" s="14" t="n">
        <v>4.484</v>
      </c>
      <c r="CU290" s="14" t="n">
        <v>12.529</v>
      </c>
    </row>
    <row r="291">
      <c r="A291" s="14" t="inlineStr">
        <is>
          <t>PYF2024</t>
        </is>
      </c>
      <c r="B291" s="14" t="inlineStr">
        <is>
          <t>PYF</t>
        </is>
      </c>
      <c r="C291" s="14" t="inlineStr">
        <is>
          <t>PYF</t>
        </is>
      </c>
      <c r="D291" s="14" t="inlineStr">
        <is>
          <t>French Polynesia</t>
        </is>
      </c>
      <c r="E291" s="14" t="n">
        <v>2024</v>
      </c>
      <c r="F291" s="14" t="n">
        <v>0.13</v>
      </c>
      <c r="G291" s="14" t="n">
        <v>4.833</v>
      </c>
      <c r="H291" s="14" t="n">
        <v>1.324</v>
      </c>
      <c r="I291" s="14" t="n">
        <v>0</v>
      </c>
      <c r="J291" s="14" t="n">
        <v>4.833</v>
      </c>
      <c r="K291" s="14" t="n">
        <v>0</v>
      </c>
      <c r="L291" s="14" t="n">
        <v>1</v>
      </c>
      <c r="M291" s="14" t="n">
        <v>7.124</v>
      </c>
      <c r="N291" s="14" t="n">
        <v>3.971</v>
      </c>
      <c r="O291" s="14" t="n">
        <v>0</v>
      </c>
      <c r="P291" s="14" t="n">
        <v>7.124</v>
      </c>
      <c r="Q291" s="14" t="n">
        <v>0</v>
      </c>
      <c r="R291" s="14" t="n">
        <v>1</v>
      </c>
      <c r="S291" s="14" t="n">
        <v>11.451</v>
      </c>
      <c r="T291" s="14" t="n">
        <v>7.942</v>
      </c>
      <c r="U291" s="14" t="n">
        <v>0.203</v>
      </c>
      <c r="V291" s="14" t="n">
        <v>12.939</v>
      </c>
      <c r="W291" s="14" t="n">
        <v>0.13</v>
      </c>
      <c r="X291" s="14" t="n">
        <v>1</v>
      </c>
      <c r="Y291" s="14" t="n">
        <v>12.219</v>
      </c>
      <c r="Z291" s="14" t="n">
        <v>1.508</v>
      </c>
      <c r="AA291" s="14" t="n">
        <v>0</v>
      </c>
      <c r="AB291" s="14" t="n">
        <v>12.219</v>
      </c>
      <c r="AC291" s="14" t="n">
        <v>0</v>
      </c>
      <c r="AD291" s="14" t="n">
        <v>1</v>
      </c>
      <c r="AE291" s="14" t="n">
        <v>13.543</v>
      </c>
      <c r="AF291" s="14" t="n">
        <v>2.952</v>
      </c>
      <c r="AG291" s="14" t="n">
        <v>0</v>
      </c>
      <c r="AH291" s="14" t="n">
        <v>13.543</v>
      </c>
      <c r="AI291" s="14" t="n">
        <v>0</v>
      </c>
      <c r="AJ291" s="14" t="n">
        <v>1</v>
      </c>
      <c r="AK291" s="14" t="n">
        <v>21.484</v>
      </c>
      <c r="AL291" s="14" t="n">
        <v>11.148</v>
      </c>
      <c r="AM291" s="14" t="n">
        <v>0.38</v>
      </c>
      <c r="AN291" s="14" t="n">
        <v>24.277</v>
      </c>
      <c r="AO291" s="14" t="n">
        <v>0.13</v>
      </c>
      <c r="AP291" s="14" t="n">
        <v>1</v>
      </c>
      <c r="AQ291" s="14" t="n">
        <v>0.72</v>
      </c>
      <c r="AR291" s="14" t="n">
        <v>0.132</v>
      </c>
      <c r="AS291" s="14" t="n">
        <v>0.013</v>
      </c>
      <c r="AT291" s="14" t="n">
        <v>0.8139999999999999</v>
      </c>
      <c r="AU291" s="14" t="n">
        <v>0.13</v>
      </c>
      <c r="AV291" s="14" t="n">
        <v>1</v>
      </c>
      <c r="AW291" s="14" t="n">
        <v>0.734</v>
      </c>
      <c r="AX291" s="14" t="n">
        <v>0.132</v>
      </c>
      <c r="AY291" s="14" t="n">
        <v>0.013</v>
      </c>
      <c r="AZ291" s="14" t="n">
        <v>0.829</v>
      </c>
      <c r="BA291" s="14" t="n">
        <v>0.13</v>
      </c>
      <c r="BB291" s="14" t="n">
        <v>1</v>
      </c>
      <c r="BC291" s="14" t="n">
        <v>0.51</v>
      </c>
      <c r="BD291" s="14" t="n">
        <v>0.132</v>
      </c>
      <c r="BE291" s="14" t="n">
        <v>0.008999999999999999</v>
      </c>
      <c r="BF291" s="14" t="n">
        <v>0.577</v>
      </c>
      <c r="BG291" s="14" t="n">
        <v>0.13</v>
      </c>
      <c r="BH291" s="14" t="n">
        <v>1</v>
      </c>
      <c r="BI291" s="14" t="n">
        <v>0.652</v>
      </c>
      <c r="BJ291" s="14" t="n">
        <v>0.132</v>
      </c>
      <c r="BK291" s="14" t="n">
        <v>0.012</v>
      </c>
      <c r="BL291" s="14" t="n">
        <v>0.737</v>
      </c>
      <c r="BM291" s="14" t="n">
        <v>0.13</v>
      </c>
      <c r="BN291" s="14" t="n">
        <v>1</v>
      </c>
      <c r="BO291" s="14" t="n">
        <v>0</v>
      </c>
      <c r="BP291" s="14" t="n">
        <v>0</v>
      </c>
      <c r="BQ291" s="14" t="n">
        <v>0</v>
      </c>
      <c r="BR291" s="14" t="n">
        <v>0</v>
      </c>
      <c r="BS291" s="14" t="n">
        <v>1</v>
      </c>
      <c r="BT291" s="14" t="n">
        <v>0</v>
      </c>
      <c r="BU291" s="14" t="n">
        <v>0</v>
      </c>
      <c r="BV291" s="14" t="n">
        <v>0</v>
      </c>
      <c r="BW291" s="14" t="n">
        <v>0.13</v>
      </c>
      <c r="BX291" s="14" t="n">
        <v>1</v>
      </c>
      <c r="BY291" s="14" t="n">
        <v>13.646</v>
      </c>
      <c r="BZ291" s="14" t="n">
        <v>0</v>
      </c>
      <c r="CA291" s="14" t="n">
        <v>13.646</v>
      </c>
      <c r="CB291" s="14" t="n">
        <v>0</v>
      </c>
      <c r="CC291" s="14" t="n">
        <v>86.38500000000001</v>
      </c>
      <c r="CD291" s="14" t="n">
        <v>7.95</v>
      </c>
      <c r="CE291" s="14" t="n">
        <v>1.53</v>
      </c>
      <c r="CF291" s="14" t="n">
        <v>97.616</v>
      </c>
      <c r="CG291" s="14" t="n">
        <v>0.13</v>
      </c>
      <c r="CH291" s="14" t="n">
        <v>1</v>
      </c>
      <c r="CI291" s="14" t="n">
        <v>0</v>
      </c>
      <c r="CJ291" s="14" t="n">
        <v>0</v>
      </c>
      <c r="CK291" s="14" t="n">
        <v>0</v>
      </c>
      <c r="CL291" s="14" t="n">
        <v>0</v>
      </c>
      <c r="CM291" s="14" t="n">
        <v>0</v>
      </c>
      <c r="CN291" s="14" t="n">
        <v>0</v>
      </c>
      <c r="CO291" s="14" t="n">
        <v>0</v>
      </c>
      <c r="CP291" s="14" t="n">
        <v>0</v>
      </c>
      <c r="CQ291" s="14" t="n">
        <v>1.387</v>
      </c>
      <c r="CR291" s="14" t="n">
        <v>0</v>
      </c>
      <c r="CS291" s="14" t="n">
        <v>5.529</v>
      </c>
      <c r="CT291" s="14" t="n">
        <v>3.509</v>
      </c>
      <c r="CU291" s="14" t="n">
        <v>10.896</v>
      </c>
    </row>
    <row r="292">
      <c r="A292" s="14" t="inlineStr">
        <is>
          <t>GAB2021</t>
        </is>
      </c>
      <c r="B292" s="14" t="inlineStr">
        <is>
          <t>GAB</t>
        </is>
      </c>
      <c r="C292" s="14" t="inlineStr">
        <is>
          <t>GAB</t>
        </is>
      </c>
      <c r="D292" s="14" t="inlineStr">
        <is>
          <t>Gabon</t>
        </is>
      </c>
      <c r="E292" s="14" t="n">
        <v>2021</v>
      </c>
      <c r="F292" s="14" t="n">
        <v>0.18</v>
      </c>
      <c r="G292" s="14" t="n">
        <v>5.897</v>
      </c>
      <c r="H292" s="14" t="n">
        <v>1.143</v>
      </c>
      <c r="I292" s="14" t="n">
        <v>0.475</v>
      </c>
      <c r="J292" s="14" t="n">
        <v>6.372</v>
      </c>
      <c r="K292" s="14" t="n">
        <v>0</v>
      </c>
      <c r="L292" s="14" t="n">
        <v>1</v>
      </c>
      <c r="M292" s="14" t="n">
        <v>7.964</v>
      </c>
      <c r="N292" s="14" t="n">
        <v>3.43</v>
      </c>
      <c r="O292" s="14" t="n">
        <v>0.453</v>
      </c>
      <c r="P292" s="14" t="n">
        <v>8.417999999999999</v>
      </c>
      <c r="Q292" s="14" t="n">
        <v>0</v>
      </c>
      <c r="R292" s="14" t="n">
        <v>1</v>
      </c>
      <c r="S292" s="14" t="n">
        <v>11.613</v>
      </c>
      <c r="T292" s="14" t="n">
        <v>6.86</v>
      </c>
      <c r="U292" s="14" t="n">
        <v>0.475</v>
      </c>
      <c r="V292" s="14" t="n">
        <v>14.265</v>
      </c>
      <c r="W292" s="14" t="n">
        <v>0.18</v>
      </c>
      <c r="X292" s="14" t="n">
        <v>1</v>
      </c>
      <c r="Y292" s="14" t="n">
        <v>5.347</v>
      </c>
      <c r="Z292" s="14" t="n">
        <v>0.393</v>
      </c>
      <c r="AA292" s="14" t="n">
        <v>-0.127</v>
      </c>
      <c r="AB292" s="14" t="n">
        <v>5.22</v>
      </c>
      <c r="AC292" s="14" t="n">
        <v>0</v>
      </c>
      <c r="AD292" s="14" t="n">
        <v>1</v>
      </c>
      <c r="AE292" s="14" t="n">
        <v>5.919</v>
      </c>
      <c r="AF292" s="14" t="n">
        <v>0.8</v>
      </c>
      <c r="AG292" s="14" t="n">
        <v>-0.127</v>
      </c>
      <c r="AH292" s="14" t="n">
        <v>5.792</v>
      </c>
      <c r="AI292" s="14" t="n">
        <v>0</v>
      </c>
      <c r="AJ292" s="14" t="n">
        <v>1</v>
      </c>
      <c r="AK292" s="14" t="n">
        <v>9.349</v>
      </c>
      <c r="AL292" s="14" t="n">
        <v>3.473</v>
      </c>
      <c r="AM292" s="14" t="n">
        <v>-0.108</v>
      </c>
      <c r="AN292" s="14" t="n">
        <v>10.905</v>
      </c>
      <c r="AO292" s="14" t="n">
        <v>0.18</v>
      </c>
      <c r="AP292" s="14" t="n">
        <v>1</v>
      </c>
      <c r="AQ292" s="14" t="n">
        <v>0.619</v>
      </c>
      <c r="AR292" s="14" t="n">
        <v>0.114</v>
      </c>
      <c r="AS292" s="14" t="n">
        <v>0.306</v>
      </c>
      <c r="AT292" s="14" t="n">
        <v>1.091</v>
      </c>
      <c r="AU292" s="14" t="n">
        <v>0.18</v>
      </c>
      <c r="AV292" s="14" t="n">
        <v>1</v>
      </c>
      <c r="AW292" s="14" t="n">
        <v>0.599</v>
      </c>
      <c r="AX292" s="14" t="n">
        <v>0.114</v>
      </c>
      <c r="AY292" s="14" t="n">
        <v>0.295</v>
      </c>
      <c r="AZ292" s="14" t="n">
        <v>1.055</v>
      </c>
      <c r="BA292" s="14" t="n">
        <v>0.18</v>
      </c>
      <c r="BB292" s="14" t="n">
        <v>1</v>
      </c>
      <c r="BC292" s="14" t="n">
        <v>0.439</v>
      </c>
      <c r="BD292" s="14" t="n">
        <v>0.114</v>
      </c>
      <c r="BE292" s="14" t="n">
        <v>-0.068</v>
      </c>
      <c r="BF292" s="14" t="n">
        <v>0.438</v>
      </c>
      <c r="BG292" s="14" t="n">
        <v>0</v>
      </c>
      <c r="BH292" s="14" t="n">
        <v>0</v>
      </c>
      <c r="BI292" s="14" t="n">
        <v>0.505</v>
      </c>
      <c r="BJ292" s="14" t="n">
        <v>0.114</v>
      </c>
      <c r="BK292" s="14" t="n">
        <v>0.183</v>
      </c>
      <c r="BL292" s="14" t="n">
        <v>0.8110000000000001</v>
      </c>
      <c r="BM292" s="14" t="n">
        <v>0.18</v>
      </c>
      <c r="BN292" s="14" t="n">
        <v>1</v>
      </c>
      <c r="BO292" s="14" t="n">
        <v>0</v>
      </c>
      <c r="BP292" s="14" t="n">
        <v>-0.016</v>
      </c>
      <c r="BQ292" s="14" t="n">
        <v>0.197</v>
      </c>
      <c r="BR292" s="14" t="n">
        <v>0</v>
      </c>
      <c r="BS292" s="14" t="n">
        <v>0.5</v>
      </c>
      <c r="BT292" s="14" t="n">
        <v>0</v>
      </c>
      <c r="BU292" s="14" t="n">
        <v>-0.016</v>
      </c>
      <c r="BV292" s="14" t="n">
        <v>0.222</v>
      </c>
      <c r="BW292" s="14" t="n">
        <v>0.18</v>
      </c>
      <c r="BX292" s="14" t="n">
        <v>0.333</v>
      </c>
      <c r="BY292" s="14" t="n">
        <v>11.787</v>
      </c>
      <c r="BZ292" s="14" t="n">
        <v>0</v>
      </c>
      <c r="CA292" s="14" t="n">
        <v>11.787</v>
      </c>
      <c r="CB292" s="14" t="n">
        <v>0</v>
      </c>
      <c r="CC292" s="14" t="n">
        <v>78.125</v>
      </c>
      <c r="CD292" s="14" t="n">
        <v>7.95</v>
      </c>
      <c r="CE292" s="14" t="n">
        <v>31.221</v>
      </c>
      <c r="CF292" s="14" t="n">
        <v>129.028</v>
      </c>
      <c r="CG292" s="14" t="n">
        <v>0.18</v>
      </c>
      <c r="CH292" s="14" t="n">
        <v>1</v>
      </c>
      <c r="CI292" s="14" t="n">
        <v>0</v>
      </c>
      <c r="CJ292" s="14" t="n">
        <v>0</v>
      </c>
      <c r="CK292" s="14" t="n">
        <v>0</v>
      </c>
      <c r="CL292" s="14" t="n">
        <v>0</v>
      </c>
      <c r="CM292" s="14" t="n">
        <v>0</v>
      </c>
      <c r="CN292" s="14" t="n">
        <v>0</v>
      </c>
      <c r="CO292" s="14" t="n">
        <v>0</v>
      </c>
      <c r="CP292" s="14" t="n">
        <v>0</v>
      </c>
      <c r="CQ292" s="14" t="n">
        <v>1.198</v>
      </c>
      <c r="CR292" s="14" t="n">
        <v>1</v>
      </c>
      <c r="CS292" s="14" t="n">
        <v>4.776</v>
      </c>
      <c r="CT292" s="14" t="n">
        <v>4.753</v>
      </c>
      <c r="CU292" s="14" t="n">
        <v>15.162</v>
      </c>
    </row>
    <row r="293">
      <c r="A293" s="14" t="inlineStr">
        <is>
          <t>GAB2022</t>
        </is>
      </c>
      <c r="B293" s="14" t="inlineStr">
        <is>
          <t>GAB</t>
        </is>
      </c>
      <c r="C293" s="14" t="inlineStr">
        <is>
          <t>GAB</t>
        </is>
      </c>
      <c r="D293" s="14" t="inlineStr">
        <is>
          <t>Gabon</t>
        </is>
      </c>
      <c r="E293" s="14" t="n">
        <v>2022</v>
      </c>
      <c r="F293" s="14" t="n">
        <v>0.18</v>
      </c>
      <c r="G293" s="14" t="n">
        <v>11.72</v>
      </c>
      <c r="H293" s="14" t="n">
        <v>1.235</v>
      </c>
      <c r="I293" s="14" t="n">
        <v>1.132</v>
      </c>
      <c r="J293" s="14" t="n">
        <v>12.852</v>
      </c>
      <c r="K293" s="14" t="n">
        <v>0</v>
      </c>
      <c r="L293" s="14" t="n">
        <v>1</v>
      </c>
      <c r="M293" s="14" t="n">
        <v>9.782999999999999</v>
      </c>
      <c r="N293" s="14" t="n">
        <v>3.704</v>
      </c>
      <c r="O293" s="14" t="n">
        <v>0.656</v>
      </c>
      <c r="P293" s="14" t="n">
        <v>10.439</v>
      </c>
      <c r="Q293" s="14" t="n">
        <v>0</v>
      </c>
      <c r="R293" s="14" t="n">
        <v>1</v>
      </c>
      <c r="S293" s="14" t="n">
        <v>17.893</v>
      </c>
      <c r="T293" s="14" t="n">
        <v>7.408</v>
      </c>
      <c r="U293" s="14" t="n">
        <v>1.386</v>
      </c>
      <c r="V293" s="14" t="n">
        <v>22.45</v>
      </c>
      <c r="W293" s="14" t="n">
        <v>0.18</v>
      </c>
      <c r="X293" s="14" t="n">
        <v>1</v>
      </c>
      <c r="Y293" s="14" t="n">
        <v>5.775</v>
      </c>
      <c r="Z293" s="14" t="n">
        <v>0.425</v>
      </c>
      <c r="AA293" s="14" t="n">
        <v>-0.137</v>
      </c>
      <c r="AB293" s="14" t="n">
        <v>5.637</v>
      </c>
      <c r="AC293" s="14" t="n">
        <v>0</v>
      </c>
      <c r="AD293" s="14" t="n">
        <v>1</v>
      </c>
      <c r="AE293" s="14" t="n">
        <v>6.392</v>
      </c>
      <c r="AF293" s="14" t="n">
        <v>0.864</v>
      </c>
      <c r="AG293" s="14" t="n">
        <v>-0.137</v>
      </c>
      <c r="AH293" s="14" t="n">
        <v>6.255</v>
      </c>
      <c r="AI293" s="14" t="n">
        <v>0</v>
      </c>
      <c r="AJ293" s="14" t="n">
        <v>1</v>
      </c>
      <c r="AK293" s="14" t="n">
        <v>10.096</v>
      </c>
      <c r="AL293" s="14" t="n">
        <v>3.751</v>
      </c>
      <c r="AM293" s="14" t="n">
        <v>0.016</v>
      </c>
      <c r="AN293" s="14" t="n">
        <v>11.776</v>
      </c>
      <c r="AO293" s="14" t="n">
        <v>0.18</v>
      </c>
      <c r="AP293" s="14" t="n">
        <v>1</v>
      </c>
      <c r="AQ293" s="14" t="n">
        <v>0.861</v>
      </c>
      <c r="AR293" s="14" t="n">
        <v>0.123</v>
      </c>
      <c r="AS293" s="14" t="n">
        <v>-0.039</v>
      </c>
      <c r="AT293" s="14" t="n">
        <v>0.97</v>
      </c>
      <c r="AU293" s="14" t="n">
        <v>0.18</v>
      </c>
      <c r="AV293" s="14" t="n">
        <v>1</v>
      </c>
      <c r="AW293" s="14" t="n">
        <v>0.986</v>
      </c>
      <c r="AX293" s="14" t="n">
        <v>0.123</v>
      </c>
      <c r="AY293" s="14" t="n">
        <v>-0.191</v>
      </c>
      <c r="AZ293" s="14" t="n">
        <v>0.9379999999999999</v>
      </c>
      <c r="BA293" s="14" t="n">
        <v>0.18</v>
      </c>
      <c r="BB293" s="14" t="n">
        <v>1</v>
      </c>
      <c r="BC293" s="14" t="n">
        <v>0.598</v>
      </c>
      <c r="BD293" s="14" t="n">
        <v>0.123</v>
      </c>
      <c r="BE293" s="14" t="n">
        <v>-0.268</v>
      </c>
      <c r="BF293" s="14" t="n">
        <v>0.389</v>
      </c>
      <c r="BG293" s="14" t="n">
        <v>0</v>
      </c>
      <c r="BH293" s="14" t="n">
        <v>0</v>
      </c>
      <c r="BI293" s="14" t="n">
        <v>0.612</v>
      </c>
      <c r="BJ293" s="14" t="n">
        <v>0.123</v>
      </c>
      <c r="BK293" s="14" t="n">
        <v>-0.001</v>
      </c>
      <c r="BL293" s="14" t="n">
        <v>0.721</v>
      </c>
      <c r="BM293" s="14" t="n">
        <v>0.18</v>
      </c>
      <c r="BN293" s="14" t="n">
        <v>1</v>
      </c>
      <c r="BO293" s="14" t="n">
        <v>0</v>
      </c>
      <c r="BP293" s="14" t="n">
        <v>-0.016</v>
      </c>
      <c r="BQ293" s="14" t="n">
        <v>0.172</v>
      </c>
      <c r="BR293" s="14" t="n">
        <v>0</v>
      </c>
      <c r="BS293" s="14" t="n">
        <v>0.5</v>
      </c>
      <c r="BT293" s="14" t="n">
        <v>0</v>
      </c>
      <c r="BU293" s="14" t="n">
        <v>-0.016</v>
      </c>
      <c r="BV293" s="14" t="n">
        <v>0.197</v>
      </c>
      <c r="BW293" s="14" t="n">
        <v>0.18</v>
      </c>
      <c r="BX293" s="14" t="n">
        <v>0.333</v>
      </c>
      <c r="BY293" s="14" t="n">
        <v>12.729</v>
      </c>
      <c r="BZ293" s="14" t="n">
        <v>0</v>
      </c>
      <c r="CA293" s="14" t="n">
        <v>12.729</v>
      </c>
      <c r="CB293" s="14" t="n">
        <v>0</v>
      </c>
      <c r="CC293" s="14" t="n">
        <v>97.90000000000001</v>
      </c>
      <c r="CD293" s="14" t="n">
        <v>7.95</v>
      </c>
      <c r="CE293" s="14" t="n">
        <v>-0.6899999999999999</v>
      </c>
      <c r="CF293" s="14" t="n">
        <v>114.708</v>
      </c>
      <c r="CG293" s="14" t="n">
        <v>0.18</v>
      </c>
      <c r="CH293" s="14" t="n">
        <v>1</v>
      </c>
      <c r="CI293" s="14" t="n">
        <v>0</v>
      </c>
      <c r="CJ293" s="14" t="n">
        <v>0</v>
      </c>
      <c r="CK293" s="14" t="n">
        <v>0</v>
      </c>
      <c r="CL293" s="14" t="n">
        <v>0</v>
      </c>
      <c r="CM293" s="14" t="n">
        <v>0</v>
      </c>
      <c r="CN293" s="14" t="n">
        <v>0</v>
      </c>
      <c r="CO293" s="14" t="n">
        <v>0</v>
      </c>
      <c r="CP293" s="14" t="n">
        <v>0</v>
      </c>
      <c r="CQ293" s="14" t="n">
        <v>1.294</v>
      </c>
      <c r="CR293" s="14" t="n">
        <v>1</v>
      </c>
      <c r="CS293" s="14" t="n">
        <v>5.158</v>
      </c>
      <c r="CT293" s="14" t="n">
        <v>10.485</v>
      </c>
      <c r="CU293" s="14" t="n">
        <v>31.326</v>
      </c>
    </row>
    <row r="294">
      <c r="A294" s="14" t="inlineStr">
        <is>
          <t>GAB2023</t>
        </is>
      </c>
      <c r="B294" s="14" t="inlineStr">
        <is>
          <t>GAB</t>
        </is>
      </c>
      <c r="C294" s="14" t="inlineStr">
        <is>
          <t>GAB</t>
        </is>
      </c>
      <c r="D294" s="14" t="inlineStr">
        <is>
          <t>Gabon</t>
        </is>
      </c>
      <c r="E294" s="14" t="n">
        <v>2023</v>
      </c>
      <c r="F294" s="14" t="n">
        <v>0.18</v>
      </c>
      <c r="G294" s="14" t="n">
        <v>6.147</v>
      </c>
      <c r="H294" s="14" t="n">
        <v>1.286</v>
      </c>
      <c r="I294" s="14" t="n">
        <v>0.547</v>
      </c>
      <c r="J294" s="14" t="n">
        <v>6.693</v>
      </c>
      <c r="K294" s="14" t="n">
        <v>0</v>
      </c>
      <c r="L294" s="14" t="n">
        <v>1</v>
      </c>
      <c r="M294" s="14" t="n">
        <v>7.886</v>
      </c>
      <c r="N294" s="14" t="n">
        <v>3.857</v>
      </c>
      <c r="O294" s="14" t="n">
        <v>0.453</v>
      </c>
      <c r="P294" s="14" t="n">
        <v>8.339</v>
      </c>
      <c r="Q294" s="14" t="n">
        <v>0</v>
      </c>
      <c r="R294" s="14" t="n">
        <v>1</v>
      </c>
      <c r="S294" s="14" t="n">
        <v>12.575</v>
      </c>
      <c r="T294" s="14" t="n">
        <v>7.714</v>
      </c>
      <c r="U294" s="14" t="n">
        <v>0.8080000000000001</v>
      </c>
      <c r="V294" s="14" t="n">
        <v>15.484</v>
      </c>
      <c r="W294" s="14" t="n">
        <v>0.18</v>
      </c>
      <c r="X294" s="14" t="n">
        <v>1</v>
      </c>
      <c r="Y294" s="14" t="n">
        <v>6.013</v>
      </c>
      <c r="Z294" s="14" t="n">
        <v>0.442</v>
      </c>
      <c r="AA294" s="14" t="n">
        <v>-0.143</v>
      </c>
      <c r="AB294" s="14" t="n">
        <v>5.87</v>
      </c>
      <c r="AC294" s="14" t="n">
        <v>0</v>
      </c>
      <c r="AD294" s="14" t="n">
        <v>1</v>
      </c>
      <c r="AE294" s="14" t="n">
        <v>6.656</v>
      </c>
      <c r="AF294" s="14" t="n">
        <v>0.9</v>
      </c>
      <c r="AG294" s="14" t="n">
        <v>-0.143</v>
      </c>
      <c r="AH294" s="14" t="n">
        <v>6.513</v>
      </c>
      <c r="AI294" s="14" t="n">
        <v>0</v>
      </c>
      <c r="AJ294" s="14" t="n">
        <v>1</v>
      </c>
      <c r="AK294" s="14" t="n">
        <v>10.513</v>
      </c>
      <c r="AL294" s="14" t="n">
        <v>3.906</v>
      </c>
      <c r="AM294" s="14" t="n">
        <v>0.08599999999999999</v>
      </c>
      <c r="AN294" s="14" t="n">
        <v>12.262</v>
      </c>
      <c r="AO294" s="14" t="n">
        <v>0.18</v>
      </c>
      <c r="AP294" s="14" t="n">
        <v>1</v>
      </c>
      <c r="AQ294" s="14" t="n">
        <v>0.76</v>
      </c>
      <c r="AR294" s="14" t="n">
        <v>0.129</v>
      </c>
      <c r="AS294" s="14" t="n">
        <v>0.09</v>
      </c>
      <c r="AT294" s="14" t="n">
        <v>1.004</v>
      </c>
      <c r="AU294" s="14" t="n">
        <v>0.18</v>
      </c>
      <c r="AV294" s="14" t="n">
        <v>1</v>
      </c>
      <c r="AW294" s="14" t="n">
        <v>0.8110000000000001</v>
      </c>
      <c r="AX294" s="14" t="n">
        <v>0.129</v>
      </c>
      <c r="AY294" s="14" t="n">
        <v>0.005</v>
      </c>
      <c r="AZ294" s="14" t="n">
        <v>0.963</v>
      </c>
      <c r="BA294" s="14" t="n">
        <v>0.18</v>
      </c>
      <c r="BB294" s="14" t="n">
        <v>1</v>
      </c>
      <c r="BC294" s="14" t="n">
        <v>0.535</v>
      </c>
      <c r="BD294" s="14" t="n">
        <v>0.129</v>
      </c>
      <c r="BE294" s="14" t="n">
        <v>-0.196</v>
      </c>
      <c r="BF294" s="14" t="n">
        <v>0.4</v>
      </c>
      <c r="BG294" s="14" t="n">
        <v>0</v>
      </c>
      <c r="BH294" s="14" t="n">
        <v>0</v>
      </c>
      <c r="BI294" s="14" t="n">
        <v>0.579</v>
      </c>
      <c r="BJ294" s="14" t="n">
        <v>0.129</v>
      </c>
      <c r="BK294" s="14" t="n">
        <v>0.049</v>
      </c>
      <c r="BL294" s="14" t="n">
        <v>0.742</v>
      </c>
      <c r="BM294" s="14" t="n">
        <v>0.18</v>
      </c>
      <c r="BN294" s="14" t="n">
        <v>1</v>
      </c>
      <c r="BO294" s="14" t="n">
        <v>0</v>
      </c>
      <c r="BP294" s="14" t="n">
        <v>-0.016</v>
      </c>
      <c r="BQ294" s="14" t="n">
        <v>0.178</v>
      </c>
      <c r="BR294" s="14" t="n">
        <v>0</v>
      </c>
      <c r="BS294" s="14" t="n">
        <v>0.5</v>
      </c>
      <c r="BT294" s="14" t="n">
        <v>0</v>
      </c>
      <c r="BU294" s="14" t="n">
        <v>-0.016</v>
      </c>
      <c r="BV294" s="14" t="n">
        <v>0.203</v>
      </c>
      <c r="BW294" s="14" t="n">
        <v>0.18</v>
      </c>
      <c r="BX294" s="14" t="n">
        <v>0.333</v>
      </c>
      <c r="BY294" s="14" t="n">
        <v>13.254</v>
      </c>
      <c r="BZ294" s="14" t="n">
        <v>0</v>
      </c>
      <c r="CA294" s="14" t="n">
        <v>13.254</v>
      </c>
      <c r="CB294" s="14" t="n">
        <v>0</v>
      </c>
      <c r="CC294" s="14" t="n">
        <v>83.248</v>
      </c>
      <c r="CD294" s="14" t="n">
        <v>7.95</v>
      </c>
      <c r="CE294" s="14" t="n">
        <v>16.717</v>
      </c>
      <c r="CF294" s="14" t="n">
        <v>117.958</v>
      </c>
      <c r="CG294" s="14" t="n">
        <v>0.18</v>
      </c>
      <c r="CH294" s="14" t="n">
        <v>1</v>
      </c>
      <c r="CI294" s="14" t="n">
        <v>0</v>
      </c>
      <c r="CJ294" s="14" t="n">
        <v>0</v>
      </c>
      <c r="CK294" s="14" t="n">
        <v>0</v>
      </c>
      <c r="CL294" s="14" t="n">
        <v>0</v>
      </c>
      <c r="CM294" s="14" t="n">
        <v>0</v>
      </c>
      <c r="CN294" s="14" t="n">
        <v>0</v>
      </c>
      <c r="CO294" s="14" t="n">
        <v>0</v>
      </c>
      <c r="CP294" s="14" t="n">
        <v>0</v>
      </c>
      <c r="CQ294" s="14" t="n">
        <v>1.348</v>
      </c>
      <c r="CR294" s="14" t="n">
        <v>1</v>
      </c>
      <c r="CS294" s="14" t="n">
        <v>5.37</v>
      </c>
      <c r="CT294" s="14" t="n">
        <v>4.861</v>
      </c>
      <c r="CU294" s="14" t="n">
        <v>11.622</v>
      </c>
    </row>
    <row r="295">
      <c r="A295" s="14" t="inlineStr">
        <is>
          <t>GAB2024</t>
        </is>
      </c>
      <c r="B295" s="14" t="inlineStr">
        <is>
          <t>GAB</t>
        </is>
      </c>
      <c r="C295" s="14" t="inlineStr">
        <is>
          <t>GAB</t>
        </is>
      </c>
      <c r="D295" s="14" t="inlineStr">
        <is>
          <t>Gabon</t>
        </is>
      </c>
      <c r="E295" s="14" t="n">
        <v>2024</v>
      </c>
      <c r="F295" s="14" t="n">
        <v>0.18</v>
      </c>
      <c r="G295" s="14" t="n">
        <v>5.575</v>
      </c>
      <c r="H295" s="14" t="n">
        <v>1.324</v>
      </c>
      <c r="I295" s="14" t="n">
        <v>0.425</v>
      </c>
      <c r="J295" s="14" t="n">
        <v>6</v>
      </c>
      <c r="K295" s="14" t="n">
        <v>0</v>
      </c>
      <c r="L295" s="14" t="n">
        <v>1</v>
      </c>
      <c r="M295" s="14" t="n">
        <v>7.124</v>
      </c>
      <c r="N295" s="14" t="n">
        <v>3.971</v>
      </c>
      <c r="O295" s="14" t="n">
        <v>0.315</v>
      </c>
      <c r="P295" s="14" t="n">
        <v>7.439</v>
      </c>
      <c r="Q295" s="14" t="n">
        <v>0</v>
      </c>
      <c r="R295" s="14" t="n">
        <v>1</v>
      </c>
      <c r="S295" s="14" t="n">
        <v>12.193</v>
      </c>
      <c r="T295" s="14" t="n">
        <v>7.942</v>
      </c>
      <c r="U295" s="14" t="n">
        <v>0.734</v>
      </c>
      <c r="V295" s="14" t="n">
        <v>14.889</v>
      </c>
      <c r="W295" s="14" t="n">
        <v>0.18</v>
      </c>
      <c r="X295" s="14" t="n">
        <v>1</v>
      </c>
      <c r="Y295" s="14" t="n">
        <v>6.191</v>
      </c>
      <c r="Z295" s="14" t="n">
        <v>0.455</v>
      </c>
      <c r="AA295" s="14" t="n">
        <v>-0.131</v>
      </c>
      <c r="AB295" s="14" t="n">
        <v>6.06</v>
      </c>
      <c r="AC295" s="14" t="n">
        <v>0</v>
      </c>
      <c r="AD295" s="14" t="n">
        <v>1</v>
      </c>
      <c r="AE295" s="14" t="n">
        <v>6.853</v>
      </c>
      <c r="AF295" s="14" t="n">
        <v>0.926</v>
      </c>
      <c r="AG295" s="14" t="n">
        <v>-0.131</v>
      </c>
      <c r="AH295" s="14" t="n">
        <v>6.721</v>
      </c>
      <c r="AI295" s="14" t="n">
        <v>0</v>
      </c>
      <c r="AJ295" s="14" t="n">
        <v>1</v>
      </c>
      <c r="AK295" s="14" t="n">
        <v>10.823</v>
      </c>
      <c r="AL295" s="14" t="n">
        <v>4.021</v>
      </c>
      <c r="AM295" s="14" t="n">
        <v>0.131</v>
      </c>
      <c r="AN295" s="14" t="n">
        <v>12.617</v>
      </c>
      <c r="AO295" s="14" t="n">
        <v>0.18</v>
      </c>
      <c r="AP295" s="14" t="n">
        <v>1</v>
      </c>
      <c r="AQ295" s="14" t="n">
        <v>0.724</v>
      </c>
      <c r="AR295" s="14" t="n">
        <v>0.132</v>
      </c>
      <c r="AS295" s="14" t="n">
        <v>0.12</v>
      </c>
      <c r="AT295" s="14" t="n">
        <v>0.997</v>
      </c>
      <c r="AU295" s="14" t="n">
        <v>0.18</v>
      </c>
      <c r="AV295" s="14" t="n">
        <v>1</v>
      </c>
      <c r="AW295" s="14" t="n">
        <v>0.75</v>
      </c>
      <c r="AX295" s="14" t="n">
        <v>0.132</v>
      </c>
      <c r="AY295" s="14" t="n">
        <v>0.054</v>
      </c>
      <c r="AZ295" s="14" t="n">
        <v>0.949</v>
      </c>
      <c r="BA295" s="14" t="n">
        <v>0.18</v>
      </c>
      <c r="BB295" s="14" t="n">
        <v>1</v>
      </c>
      <c r="BC295" s="14" t="n">
        <v>0.513</v>
      </c>
      <c r="BD295" s="14" t="n">
        <v>0.132</v>
      </c>
      <c r="BE295" s="14" t="n">
        <v>-0.231</v>
      </c>
      <c r="BF295" s="14" t="n">
        <v>0.333</v>
      </c>
      <c r="BG295" s="14" t="n">
        <v>0</v>
      </c>
      <c r="BH295" s="14" t="n">
        <v>0</v>
      </c>
      <c r="BI295" s="14" t="n">
        <v>0.591</v>
      </c>
      <c r="BJ295" s="14" t="n">
        <v>0.132</v>
      </c>
      <c r="BK295" s="14" t="n">
        <v>0.034</v>
      </c>
      <c r="BL295" s="14" t="n">
        <v>0.738</v>
      </c>
      <c r="BM295" s="14" t="n">
        <v>0.18</v>
      </c>
      <c r="BN295" s="14" t="n">
        <v>1</v>
      </c>
      <c r="BO295" s="14" t="n">
        <v>0</v>
      </c>
      <c r="BP295" s="14" t="n">
        <v>-0.017</v>
      </c>
      <c r="BQ295" s="14" t="n">
        <v>0.178</v>
      </c>
      <c r="BR295" s="14" t="n">
        <v>0</v>
      </c>
      <c r="BS295" s="14" t="n">
        <v>0.5</v>
      </c>
      <c r="BT295" s="14" t="n">
        <v>0</v>
      </c>
      <c r="BU295" s="14" t="n">
        <v>-0.017</v>
      </c>
      <c r="BV295" s="14" t="n">
        <v>0.203</v>
      </c>
      <c r="BW295" s="14" t="n">
        <v>0.18</v>
      </c>
      <c r="BX295" s="14" t="n">
        <v>0.333</v>
      </c>
      <c r="BY295" s="14" t="n">
        <v>13.646</v>
      </c>
      <c r="BZ295" s="14" t="n">
        <v>0</v>
      </c>
      <c r="CA295" s="14" t="n">
        <v>13.646</v>
      </c>
      <c r="CB295" s="14" t="n">
        <v>0</v>
      </c>
      <c r="CC295" s="14" t="n">
        <v>82.58799999999999</v>
      </c>
      <c r="CD295" s="14" t="n">
        <v>7.95</v>
      </c>
      <c r="CE295" s="14" t="n">
        <v>22.851</v>
      </c>
      <c r="CF295" s="14" t="n">
        <v>121.44</v>
      </c>
      <c r="CG295" s="14" t="n">
        <v>0.18</v>
      </c>
      <c r="CH295" s="14" t="n">
        <v>1</v>
      </c>
      <c r="CI295" s="14" t="n">
        <v>0</v>
      </c>
      <c r="CJ295" s="14" t="n">
        <v>0</v>
      </c>
      <c r="CK295" s="14" t="n">
        <v>0</v>
      </c>
      <c r="CL295" s="14" t="n">
        <v>0</v>
      </c>
      <c r="CM295" s="14" t="n">
        <v>0</v>
      </c>
      <c r="CN295" s="14" t="n">
        <v>0</v>
      </c>
      <c r="CO295" s="14" t="n">
        <v>0</v>
      </c>
      <c r="CP295" s="14" t="n">
        <v>0</v>
      </c>
      <c r="CQ295" s="14" t="n">
        <v>1.387</v>
      </c>
      <c r="CR295" s="14" t="n">
        <v>1</v>
      </c>
      <c r="CS295" s="14" t="n">
        <v>5.529</v>
      </c>
      <c r="CT295" s="14" t="n">
        <v>4.251</v>
      </c>
      <c r="CU295" s="14" t="n">
        <v>10.168</v>
      </c>
    </row>
    <row r="296">
      <c r="A296" s="14" t="inlineStr">
        <is>
          <t>GMB2021</t>
        </is>
      </c>
      <c r="B296" s="14" t="inlineStr">
        <is>
          <t>GMB</t>
        </is>
      </c>
      <c r="C296" s="14" t="inlineStr">
        <is>
          <t>GMB</t>
        </is>
      </c>
      <c r="D296" s="14" t="inlineStr">
        <is>
          <t>Gambia, The</t>
        </is>
      </c>
      <c r="E296" s="14" t="n">
        <v>2021</v>
      </c>
      <c r="F296" s="14" t="n">
        <v>0.15</v>
      </c>
      <c r="G296" s="14" t="n">
        <v>5.897</v>
      </c>
      <c r="H296" s="14" t="n">
        <v>1.143</v>
      </c>
      <c r="I296" s="14" t="n">
        <v>0</v>
      </c>
      <c r="J296" s="14" t="n">
        <v>5.897</v>
      </c>
      <c r="K296" s="14" t="n">
        <v>0</v>
      </c>
      <c r="L296" s="14" t="n">
        <v>1</v>
      </c>
      <c r="M296" s="14" t="n">
        <v>7.964</v>
      </c>
      <c r="N296" s="14" t="n">
        <v>3.43</v>
      </c>
      <c r="O296" s="14" t="n">
        <v>0</v>
      </c>
      <c r="P296" s="14" t="n">
        <v>7.964</v>
      </c>
      <c r="Q296" s="14" t="n">
        <v>0</v>
      </c>
      <c r="R296" s="14" t="n">
        <v>1</v>
      </c>
      <c r="S296" s="14" t="n">
        <v>11.613</v>
      </c>
      <c r="T296" s="14" t="n">
        <v>6.86</v>
      </c>
      <c r="U296" s="14" t="n">
        <v>0</v>
      </c>
      <c r="V296" s="14" t="n">
        <v>13.355</v>
      </c>
      <c r="W296" s="14" t="n">
        <v>0.15</v>
      </c>
      <c r="X296" s="14" t="n">
        <v>1</v>
      </c>
      <c r="Y296" s="14" t="n">
        <v>16.302</v>
      </c>
      <c r="Z296" s="14" t="n">
        <v>2.203</v>
      </c>
      <c r="AA296" s="14" t="n">
        <v>0</v>
      </c>
      <c r="AB296" s="14" t="n">
        <v>16.302</v>
      </c>
      <c r="AC296" s="14" t="n">
        <v>0</v>
      </c>
      <c r="AD296" s="14" t="n">
        <v>1</v>
      </c>
      <c r="AE296" s="14" t="n">
        <v>17.445</v>
      </c>
      <c r="AF296" s="14" t="n">
        <v>4.079</v>
      </c>
      <c r="AG296" s="14" t="n">
        <v>0</v>
      </c>
      <c r="AH296" s="14" t="n">
        <v>17.445</v>
      </c>
      <c r="AI296" s="14" t="n">
        <v>0</v>
      </c>
      <c r="AJ296" s="14" t="n">
        <v>1</v>
      </c>
      <c r="AK296" s="14" t="n">
        <v>24.305</v>
      </c>
      <c r="AL296" s="14" t="n">
        <v>12.945</v>
      </c>
      <c r="AM296" s="14" t="n">
        <v>0</v>
      </c>
      <c r="AN296" s="14" t="n">
        <v>27.951</v>
      </c>
      <c r="AO296" s="14" t="n">
        <v>0.15</v>
      </c>
      <c r="AP296" s="14" t="n">
        <v>1</v>
      </c>
      <c r="AQ296" s="14" t="n">
        <v>0.619</v>
      </c>
      <c r="AR296" s="14" t="n">
        <v>0.114</v>
      </c>
      <c r="AS296" s="14" t="n">
        <v>0.277</v>
      </c>
      <c r="AT296" s="14" t="n">
        <v>1.03</v>
      </c>
      <c r="AU296" s="14" t="n">
        <v>0.15</v>
      </c>
      <c r="AV296" s="14" t="n">
        <v>1</v>
      </c>
      <c r="AW296" s="14" t="n">
        <v>0.599</v>
      </c>
      <c r="AX296" s="14" t="n">
        <v>0.114</v>
      </c>
      <c r="AY296" s="14" t="n">
        <v>0.261</v>
      </c>
      <c r="AZ296" s="14" t="n">
        <v>0.989</v>
      </c>
      <c r="BA296" s="14" t="n">
        <v>0.15</v>
      </c>
      <c r="BB296" s="14" t="n">
        <v>1</v>
      </c>
      <c r="BC296" s="14" t="n">
        <v>0.439</v>
      </c>
      <c r="BD296" s="14" t="n">
        <v>0.114</v>
      </c>
      <c r="BE296" s="14" t="n">
        <v>0</v>
      </c>
      <c r="BF296" s="14" t="n">
        <v>0.505</v>
      </c>
      <c r="BG296" s="14" t="n">
        <v>0.15</v>
      </c>
      <c r="BH296" s="14" t="n">
        <v>1</v>
      </c>
      <c r="BI296" s="14" t="n">
        <v>0.505</v>
      </c>
      <c r="BJ296" s="14" t="n">
        <v>0.114</v>
      </c>
      <c r="BK296" s="14" t="n">
        <v>0.222</v>
      </c>
      <c r="BL296" s="14" t="n">
        <v>0.836</v>
      </c>
      <c r="BM296" s="14" t="n">
        <v>0.15</v>
      </c>
      <c r="BN296" s="14" t="n">
        <v>1</v>
      </c>
      <c r="BO296" s="14" t="n">
        <v>0</v>
      </c>
      <c r="BP296" s="14" t="n">
        <v>0</v>
      </c>
      <c r="BQ296" s="14" t="n">
        <v>0</v>
      </c>
      <c r="BR296" s="14" t="n">
        <v>0</v>
      </c>
      <c r="BS296" s="14" t="n">
        <v>1</v>
      </c>
      <c r="BT296" s="14" t="n">
        <v>0</v>
      </c>
      <c r="BU296" s="14" t="n">
        <v>0</v>
      </c>
      <c r="BV296" s="14" t="n">
        <v>0</v>
      </c>
      <c r="BW296" s="14" t="n">
        <v>0.15</v>
      </c>
      <c r="BX296" s="14" t="n">
        <v>1</v>
      </c>
      <c r="BY296" s="14" t="n">
        <v>11.787</v>
      </c>
      <c r="BZ296" s="14" t="n">
        <v>0</v>
      </c>
      <c r="CA296" s="14" t="n">
        <v>11.787</v>
      </c>
      <c r="CB296" s="14" t="n">
        <v>0</v>
      </c>
      <c r="CC296" s="14" t="n">
        <v>78.125</v>
      </c>
      <c r="CD296" s="14" t="n">
        <v>7.95</v>
      </c>
      <c r="CE296" s="14" t="n">
        <v>0</v>
      </c>
      <c r="CF296" s="14" t="n">
        <v>89.84399999999999</v>
      </c>
      <c r="CG296" s="14" t="n">
        <v>0.15</v>
      </c>
      <c r="CH296" s="14" t="n">
        <v>1</v>
      </c>
      <c r="CI296" s="14" t="n">
        <v>0</v>
      </c>
      <c r="CJ296" s="14" t="n">
        <v>0</v>
      </c>
      <c r="CK296" s="14" t="n">
        <v>0</v>
      </c>
      <c r="CL296" s="14" t="n">
        <v>0</v>
      </c>
      <c r="CM296" s="14" t="n">
        <v>0</v>
      </c>
      <c r="CN296" s="14" t="n">
        <v>0</v>
      </c>
      <c r="CO296" s="14" t="n">
        <v>0</v>
      </c>
      <c r="CP296" s="14" t="n">
        <v>0</v>
      </c>
      <c r="CQ296" s="14" t="n">
        <v>1.198</v>
      </c>
      <c r="CR296" s="14" t="n">
        <v>0</v>
      </c>
      <c r="CS296" s="14" t="n">
        <v>4.776</v>
      </c>
      <c r="CT296" s="14" t="n">
        <v>4.753</v>
      </c>
      <c r="CU296" s="14" t="n">
        <v>15.162</v>
      </c>
    </row>
    <row r="297">
      <c r="A297" s="14" t="inlineStr">
        <is>
          <t>GMB2022</t>
        </is>
      </c>
      <c r="B297" s="14" t="inlineStr">
        <is>
          <t>GMB</t>
        </is>
      </c>
      <c r="C297" s="14" t="inlineStr">
        <is>
          <t>GMB</t>
        </is>
      </c>
      <c r="D297" s="14" t="inlineStr">
        <is>
          <t>Gambia, The</t>
        </is>
      </c>
      <c r="E297" s="14" t="n">
        <v>2022</v>
      </c>
      <c r="F297" s="14" t="n">
        <v>0.15</v>
      </c>
      <c r="G297" s="14" t="n">
        <v>11.72</v>
      </c>
      <c r="H297" s="14" t="n">
        <v>1.235</v>
      </c>
      <c r="I297" s="14" t="n">
        <v>0</v>
      </c>
      <c r="J297" s="14" t="n">
        <v>11.72</v>
      </c>
      <c r="K297" s="14" t="n">
        <v>0</v>
      </c>
      <c r="L297" s="14" t="n">
        <v>1</v>
      </c>
      <c r="M297" s="14" t="n">
        <v>9.782999999999999</v>
      </c>
      <c r="N297" s="14" t="n">
        <v>3.704</v>
      </c>
      <c r="O297" s="14" t="n">
        <v>0</v>
      </c>
      <c r="P297" s="14" t="n">
        <v>9.782999999999999</v>
      </c>
      <c r="Q297" s="14" t="n">
        <v>0</v>
      </c>
      <c r="R297" s="14" t="n">
        <v>1</v>
      </c>
      <c r="S297" s="14" t="n">
        <v>17.893</v>
      </c>
      <c r="T297" s="14" t="n">
        <v>7.408</v>
      </c>
      <c r="U297" s="14" t="n">
        <v>0.199</v>
      </c>
      <c r="V297" s="14" t="n">
        <v>20.577</v>
      </c>
      <c r="W297" s="14" t="n">
        <v>0.15</v>
      </c>
      <c r="X297" s="14" t="n">
        <v>1</v>
      </c>
      <c r="Y297" s="14" t="n">
        <v>32.551</v>
      </c>
      <c r="Z297" s="14" t="n">
        <v>4.399</v>
      </c>
      <c r="AA297" s="14" t="n">
        <v>0</v>
      </c>
      <c r="AB297" s="14" t="n">
        <v>32.551</v>
      </c>
      <c r="AC297" s="14" t="n">
        <v>0</v>
      </c>
      <c r="AD297" s="14" t="n">
        <v>1</v>
      </c>
      <c r="AE297" s="14" t="n">
        <v>33.786</v>
      </c>
      <c r="AF297" s="14" t="n">
        <v>7.9</v>
      </c>
      <c r="AG297" s="14" t="n">
        <v>0</v>
      </c>
      <c r="AH297" s="14" t="n">
        <v>33.786</v>
      </c>
      <c r="AI297" s="14" t="n">
        <v>0</v>
      </c>
      <c r="AJ297" s="14" t="n">
        <v>1</v>
      </c>
      <c r="AK297" s="14" t="n">
        <v>41.194</v>
      </c>
      <c r="AL297" s="14" t="n">
        <v>21.94</v>
      </c>
      <c r="AM297" s="14" t="n">
        <v>0.457</v>
      </c>
      <c r="AN297" s="14" t="n">
        <v>47.373</v>
      </c>
      <c r="AO297" s="14" t="n">
        <v>0.15</v>
      </c>
      <c r="AP297" s="14" t="n">
        <v>1</v>
      </c>
      <c r="AQ297" s="14" t="n">
        <v>0.861</v>
      </c>
      <c r="AR297" s="14" t="n">
        <v>0.123</v>
      </c>
      <c r="AS297" s="14" t="n">
        <v>0.264</v>
      </c>
      <c r="AT297" s="14" t="n">
        <v>1.294</v>
      </c>
      <c r="AU297" s="14" t="n">
        <v>0.15</v>
      </c>
      <c r="AV297" s="14" t="n">
        <v>1</v>
      </c>
      <c r="AW297" s="14" t="n">
        <v>0.986</v>
      </c>
      <c r="AX297" s="14" t="n">
        <v>0.123</v>
      </c>
      <c r="AY297" s="14" t="n">
        <v>0.076</v>
      </c>
      <c r="AZ297" s="14" t="n">
        <v>1.222</v>
      </c>
      <c r="BA297" s="14" t="n">
        <v>0.15</v>
      </c>
      <c r="BB297" s="14" t="n">
        <v>1</v>
      </c>
      <c r="BC297" s="14" t="n">
        <v>0.598</v>
      </c>
      <c r="BD297" s="14" t="n">
        <v>0.123</v>
      </c>
      <c r="BE297" s="14" t="n">
        <v>0.007</v>
      </c>
      <c r="BF297" s="14" t="n">
        <v>0.6879999999999999</v>
      </c>
      <c r="BG297" s="14" t="n">
        <v>0.15</v>
      </c>
      <c r="BH297" s="14" t="n">
        <v>1</v>
      </c>
      <c r="BI297" s="14" t="n">
        <v>0.612</v>
      </c>
      <c r="BJ297" s="14" t="n">
        <v>0.123</v>
      </c>
      <c r="BK297" s="14" t="n">
        <v>0.543</v>
      </c>
      <c r="BL297" s="14" t="n">
        <v>1.328</v>
      </c>
      <c r="BM297" s="14" t="n">
        <v>0.15</v>
      </c>
      <c r="BN297" s="14" t="n">
        <v>1</v>
      </c>
      <c r="BO297" s="14" t="n">
        <v>0</v>
      </c>
      <c r="BP297" s="14" t="n">
        <v>0</v>
      </c>
      <c r="BQ297" s="14" t="n">
        <v>0</v>
      </c>
      <c r="BR297" s="14" t="n">
        <v>0</v>
      </c>
      <c r="BS297" s="14" t="n">
        <v>1</v>
      </c>
      <c r="BT297" s="14" t="n">
        <v>0</v>
      </c>
      <c r="BU297" s="14" t="n">
        <v>0</v>
      </c>
      <c r="BV297" s="14" t="n">
        <v>0</v>
      </c>
      <c r="BW297" s="14" t="n">
        <v>0.15</v>
      </c>
      <c r="BX297" s="14" t="n">
        <v>1</v>
      </c>
      <c r="BY297" s="14" t="n">
        <v>12.729</v>
      </c>
      <c r="BZ297" s="14" t="n">
        <v>0</v>
      </c>
      <c r="CA297" s="14" t="n">
        <v>12.729</v>
      </c>
      <c r="CB297" s="14" t="n">
        <v>0</v>
      </c>
      <c r="CC297" s="14" t="n">
        <v>97.90000000000001</v>
      </c>
      <c r="CD297" s="14" t="n">
        <v>7.95</v>
      </c>
      <c r="CE297" s="14" t="n">
        <v>1.087</v>
      </c>
      <c r="CF297" s="14" t="n">
        <v>112.585</v>
      </c>
      <c r="CG297" s="14" t="n">
        <v>0.15</v>
      </c>
      <c r="CH297" s="14" t="n">
        <v>1</v>
      </c>
      <c r="CI297" s="14" t="n">
        <v>0</v>
      </c>
      <c r="CJ297" s="14" t="n">
        <v>0</v>
      </c>
      <c r="CK297" s="14" t="n">
        <v>0</v>
      </c>
      <c r="CL297" s="14" t="n">
        <v>0</v>
      </c>
      <c r="CM297" s="14" t="n">
        <v>0</v>
      </c>
      <c r="CN297" s="14" t="n">
        <v>0</v>
      </c>
      <c r="CO297" s="14" t="n">
        <v>0</v>
      </c>
      <c r="CP297" s="14" t="n">
        <v>0</v>
      </c>
      <c r="CQ297" s="14" t="n">
        <v>1.294</v>
      </c>
      <c r="CR297" s="14" t="n">
        <v>0</v>
      </c>
      <c r="CS297" s="14" t="n">
        <v>5.158</v>
      </c>
      <c r="CT297" s="14" t="n">
        <v>10.485</v>
      </c>
      <c r="CU297" s="14" t="n">
        <v>31.326</v>
      </c>
    </row>
    <row r="298">
      <c r="A298" s="14" t="inlineStr">
        <is>
          <t>GMB2023</t>
        </is>
      </c>
      <c r="B298" s="14" t="inlineStr">
        <is>
          <t>GMB</t>
        </is>
      </c>
      <c r="C298" s="14" t="inlineStr">
        <is>
          <t>GMB</t>
        </is>
      </c>
      <c r="D298" s="14" t="inlineStr">
        <is>
          <t>Gambia, The</t>
        </is>
      </c>
      <c r="E298" s="14" t="n">
        <v>2023</v>
      </c>
      <c r="F298" s="14" t="n">
        <v>0.15</v>
      </c>
      <c r="G298" s="14" t="n">
        <v>6.147</v>
      </c>
      <c r="H298" s="14" t="n">
        <v>1.286</v>
      </c>
      <c r="I298" s="14" t="n">
        <v>0</v>
      </c>
      <c r="J298" s="14" t="n">
        <v>6.147</v>
      </c>
      <c r="K298" s="14" t="n">
        <v>0</v>
      </c>
      <c r="L298" s="14" t="n">
        <v>1</v>
      </c>
      <c r="M298" s="14" t="n">
        <v>7.886</v>
      </c>
      <c r="N298" s="14" t="n">
        <v>3.857</v>
      </c>
      <c r="O298" s="14" t="n">
        <v>0</v>
      </c>
      <c r="P298" s="14" t="n">
        <v>7.886</v>
      </c>
      <c r="Q298" s="14" t="n">
        <v>0</v>
      </c>
      <c r="R298" s="14" t="n">
        <v>1</v>
      </c>
      <c r="S298" s="14" t="n">
        <v>12.575</v>
      </c>
      <c r="T298" s="14" t="n">
        <v>7.714</v>
      </c>
      <c r="U298" s="14" t="n">
        <v>0.209</v>
      </c>
      <c r="V298" s="14" t="n">
        <v>14.461</v>
      </c>
      <c r="W298" s="14" t="n">
        <v>0.15</v>
      </c>
      <c r="X298" s="14" t="n">
        <v>1</v>
      </c>
      <c r="Y298" s="14" t="n">
        <v>12.286</v>
      </c>
      <c r="Z298" s="14" t="n">
        <v>1.661</v>
      </c>
      <c r="AA298" s="14" t="n">
        <v>0</v>
      </c>
      <c r="AB298" s="14" t="n">
        <v>12.286</v>
      </c>
      <c r="AC298" s="14" t="n">
        <v>0</v>
      </c>
      <c r="AD298" s="14" t="n">
        <v>1</v>
      </c>
      <c r="AE298" s="14" t="n">
        <v>13.572</v>
      </c>
      <c r="AF298" s="14" t="n">
        <v>3.174</v>
      </c>
      <c r="AG298" s="14" t="n">
        <v>0</v>
      </c>
      <c r="AH298" s="14" t="n">
        <v>13.572</v>
      </c>
      <c r="AI298" s="14" t="n">
        <v>0</v>
      </c>
      <c r="AJ298" s="14" t="n">
        <v>1</v>
      </c>
      <c r="AK298" s="14" t="n">
        <v>21.286</v>
      </c>
      <c r="AL298" s="14" t="n">
        <v>11.337</v>
      </c>
      <c r="AM298" s="14" t="n">
        <v>0.354</v>
      </c>
      <c r="AN298" s="14" t="n">
        <v>24.479</v>
      </c>
      <c r="AO298" s="14" t="n">
        <v>0.15</v>
      </c>
      <c r="AP298" s="14" t="n">
        <v>1</v>
      </c>
      <c r="AQ298" s="14" t="n">
        <v>0.76</v>
      </c>
      <c r="AR298" s="14" t="n">
        <v>0.129</v>
      </c>
      <c r="AS298" s="14" t="n">
        <v>0.299</v>
      </c>
      <c r="AT298" s="14" t="n">
        <v>1.218</v>
      </c>
      <c r="AU298" s="14" t="n">
        <v>0.15</v>
      </c>
      <c r="AV298" s="14" t="n">
        <v>1</v>
      </c>
      <c r="AW298" s="14" t="n">
        <v>0.8110000000000001</v>
      </c>
      <c r="AX298" s="14" t="n">
        <v>0.129</v>
      </c>
      <c r="AY298" s="14" t="n">
        <v>0.212</v>
      </c>
      <c r="AZ298" s="14" t="n">
        <v>1.177</v>
      </c>
      <c r="BA298" s="14" t="n">
        <v>0.15</v>
      </c>
      <c r="BB298" s="14" t="n">
        <v>1</v>
      </c>
      <c r="BC298" s="14" t="n">
        <v>0.535</v>
      </c>
      <c r="BD298" s="14" t="n">
        <v>0.129</v>
      </c>
      <c r="BE298" s="14" t="n">
        <v>0.008999999999999999</v>
      </c>
      <c r="BF298" s="14" t="n">
        <v>0.615</v>
      </c>
      <c r="BG298" s="14" t="n">
        <v>0.15</v>
      </c>
      <c r="BH298" s="14" t="n">
        <v>1</v>
      </c>
      <c r="BI298" s="14" t="n">
        <v>0.579</v>
      </c>
      <c r="BJ298" s="14" t="n">
        <v>0.129</v>
      </c>
      <c r="BK298" s="14" t="n">
        <v>0.43</v>
      </c>
      <c r="BL298" s="14" t="n">
        <v>1.161</v>
      </c>
      <c r="BM298" s="14" t="n">
        <v>0.15</v>
      </c>
      <c r="BN298" s="14" t="n">
        <v>1</v>
      </c>
      <c r="BO298" s="14" t="n">
        <v>0</v>
      </c>
      <c r="BP298" s="14" t="n">
        <v>0</v>
      </c>
      <c r="BQ298" s="14" t="n">
        <v>0</v>
      </c>
      <c r="BR298" s="14" t="n">
        <v>0</v>
      </c>
      <c r="BS298" s="14" t="n">
        <v>1</v>
      </c>
      <c r="BT298" s="14" t="n">
        <v>0</v>
      </c>
      <c r="BU298" s="14" t="n">
        <v>0</v>
      </c>
      <c r="BV298" s="14" t="n">
        <v>0</v>
      </c>
      <c r="BW298" s="14" t="n">
        <v>0.15</v>
      </c>
      <c r="BX298" s="14" t="n">
        <v>1</v>
      </c>
      <c r="BY298" s="14" t="n">
        <v>13.254</v>
      </c>
      <c r="BZ298" s="14" t="n">
        <v>0</v>
      </c>
      <c r="CA298" s="14" t="n">
        <v>13.254</v>
      </c>
      <c r="CB298" s="14" t="n">
        <v>0</v>
      </c>
      <c r="CC298" s="14" t="n">
        <v>83.248</v>
      </c>
      <c r="CD298" s="14" t="n">
        <v>7.95</v>
      </c>
      <c r="CE298" s="14" t="n">
        <v>1.383</v>
      </c>
      <c r="CF298" s="14" t="n">
        <v>95.735</v>
      </c>
      <c r="CG298" s="14" t="n">
        <v>0.15</v>
      </c>
      <c r="CH298" s="14" t="n">
        <v>1</v>
      </c>
      <c r="CI298" s="14" t="n">
        <v>0</v>
      </c>
      <c r="CJ298" s="14" t="n">
        <v>0</v>
      </c>
      <c r="CK298" s="14" t="n">
        <v>0</v>
      </c>
      <c r="CL298" s="14" t="n">
        <v>0</v>
      </c>
      <c r="CM298" s="14" t="n">
        <v>0</v>
      </c>
      <c r="CN298" s="14" t="n">
        <v>0</v>
      </c>
      <c r="CO298" s="14" t="n">
        <v>0</v>
      </c>
      <c r="CP298" s="14" t="n">
        <v>0</v>
      </c>
      <c r="CQ298" s="14" t="n">
        <v>1.348</v>
      </c>
      <c r="CR298" s="14" t="n">
        <v>0</v>
      </c>
      <c r="CS298" s="14" t="n">
        <v>5.37</v>
      </c>
      <c r="CT298" s="14" t="n">
        <v>4.861</v>
      </c>
      <c r="CU298" s="14" t="n">
        <v>11.622</v>
      </c>
    </row>
    <row r="299">
      <c r="A299" s="14" t="inlineStr">
        <is>
          <t>GMB2024</t>
        </is>
      </c>
      <c r="B299" s="14" t="inlineStr">
        <is>
          <t>GMB</t>
        </is>
      </c>
      <c r="C299" s="14" t="inlineStr">
        <is>
          <t>GMB</t>
        </is>
      </c>
      <c r="D299" s="14" t="inlineStr">
        <is>
          <t>Gambia, The</t>
        </is>
      </c>
      <c r="E299" s="14" t="n">
        <v>2024</v>
      </c>
      <c r="F299" s="14" t="n">
        <v>0.15</v>
      </c>
      <c r="G299" s="14" t="n">
        <v>5.575</v>
      </c>
      <c r="H299" s="14" t="n">
        <v>1.324</v>
      </c>
      <c r="I299" s="14" t="n">
        <v>0</v>
      </c>
      <c r="J299" s="14" t="n">
        <v>5.575</v>
      </c>
      <c r="K299" s="14" t="n">
        <v>0</v>
      </c>
      <c r="L299" s="14" t="n">
        <v>1</v>
      </c>
      <c r="M299" s="14" t="n">
        <v>7.124</v>
      </c>
      <c r="N299" s="14" t="n">
        <v>3.971</v>
      </c>
      <c r="O299" s="14" t="n">
        <v>0</v>
      </c>
      <c r="P299" s="14" t="n">
        <v>7.124</v>
      </c>
      <c r="Q299" s="14" t="n">
        <v>0</v>
      </c>
      <c r="R299" s="14" t="n">
        <v>1</v>
      </c>
      <c r="S299" s="14" t="n">
        <v>12.193</v>
      </c>
      <c r="T299" s="14" t="n">
        <v>7.942</v>
      </c>
      <c r="U299" s="14" t="n">
        <v>0.249</v>
      </c>
      <c r="V299" s="14" t="n">
        <v>14.022</v>
      </c>
      <c r="W299" s="14" t="n">
        <v>0.15</v>
      </c>
      <c r="X299" s="14" t="n">
        <v>1</v>
      </c>
      <c r="Y299" s="14" t="n">
        <v>11.016</v>
      </c>
      <c r="Z299" s="14" t="n">
        <v>1.489</v>
      </c>
      <c r="AA299" s="14" t="n">
        <v>0</v>
      </c>
      <c r="AB299" s="14" t="n">
        <v>11.016</v>
      </c>
      <c r="AC299" s="14" t="n">
        <v>0</v>
      </c>
      <c r="AD299" s="14" t="n">
        <v>1</v>
      </c>
      <c r="AE299" s="14" t="n">
        <v>12.339</v>
      </c>
      <c r="AF299" s="14" t="n">
        <v>2.885</v>
      </c>
      <c r="AG299" s="14" t="n">
        <v>0</v>
      </c>
      <c r="AH299" s="14" t="n">
        <v>12.339</v>
      </c>
      <c r="AI299" s="14" t="n">
        <v>0</v>
      </c>
      <c r="AJ299" s="14" t="n">
        <v>1</v>
      </c>
      <c r="AK299" s="14" t="n">
        <v>20.281</v>
      </c>
      <c r="AL299" s="14" t="n">
        <v>10.802</v>
      </c>
      <c r="AM299" s="14" t="n">
        <v>0.414</v>
      </c>
      <c r="AN299" s="14" t="n">
        <v>23.323</v>
      </c>
      <c r="AO299" s="14" t="n">
        <v>0.15</v>
      </c>
      <c r="AP299" s="14" t="n">
        <v>1</v>
      </c>
      <c r="AQ299" s="14" t="n">
        <v>0.724</v>
      </c>
      <c r="AR299" s="14" t="n">
        <v>0.132</v>
      </c>
      <c r="AS299" s="14" t="n">
        <v>0.301</v>
      </c>
      <c r="AT299" s="14" t="n">
        <v>1.179</v>
      </c>
      <c r="AU299" s="14" t="n">
        <v>0.15</v>
      </c>
      <c r="AV299" s="14" t="n">
        <v>1</v>
      </c>
      <c r="AW299" s="14" t="n">
        <v>0.75</v>
      </c>
      <c r="AX299" s="14" t="n">
        <v>0.132</v>
      </c>
      <c r="AY299" s="14" t="n">
        <v>0.273</v>
      </c>
      <c r="AZ299" s="14" t="n">
        <v>1.177</v>
      </c>
      <c r="BA299" s="14" t="n">
        <v>0.15</v>
      </c>
      <c r="BB299" s="14" t="n">
        <v>1</v>
      </c>
      <c r="BC299" s="14" t="n">
        <v>0.513</v>
      </c>
      <c r="BD299" s="14" t="n">
        <v>0.132</v>
      </c>
      <c r="BE299" s="14" t="n">
        <v>0.01</v>
      </c>
      <c r="BF299" s="14" t="n">
        <v>0.59</v>
      </c>
      <c r="BG299" s="14" t="n">
        <v>0.15</v>
      </c>
      <c r="BH299" s="14" t="n">
        <v>1</v>
      </c>
      <c r="BI299" s="14" t="n">
        <v>0.591</v>
      </c>
      <c r="BJ299" s="14" t="n">
        <v>0.132</v>
      </c>
      <c r="BK299" s="14" t="n">
        <v>0.353</v>
      </c>
      <c r="BL299" s="14" t="n">
        <v>1.086</v>
      </c>
      <c r="BM299" s="14" t="n">
        <v>0.15</v>
      </c>
      <c r="BN299" s="14" t="n">
        <v>1</v>
      </c>
      <c r="BO299" s="14" t="n">
        <v>0</v>
      </c>
      <c r="BP299" s="14" t="n">
        <v>0</v>
      </c>
      <c r="BQ299" s="14" t="n">
        <v>0</v>
      </c>
      <c r="BR299" s="14" t="n">
        <v>0</v>
      </c>
      <c r="BS299" s="14" t="n">
        <v>1</v>
      </c>
      <c r="BT299" s="14" t="n">
        <v>0</v>
      </c>
      <c r="BU299" s="14" t="n">
        <v>0</v>
      </c>
      <c r="BV299" s="14" t="n">
        <v>0</v>
      </c>
      <c r="BW299" s="14" t="n">
        <v>0.15</v>
      </c>
      <c r="BX299" s="14" t="n">
        <v>1</v>
      </c>
      <c r="BY299" s="14" t="n">
        <v>13.646</v>
      </c>
      <c r="BZ299" s="14" t="n">
        <v>0</v>
      </c>
      <c r="CA299" s="14" t="n">
        <v>13.646</v>
      </c>
      <c r="CB299" s="14" t="n">
        <v>0</v>
      </c>
      <c r="CC299" s="14" t="n">
        <v>82.58799999999999</v>
      </c>
      <c r="CD299" s="14" t="n">
        <v>7.95</v>
      </c>
      <c r="CE299" s="14" t="n">
        <v>1.687</v>
      </c>
      <c r="CF299" s="14" t="n">
        <v>94.976</v>
      </c>
      <c r="CG299" s="14" t="n">
        <v>0.15</v>
      </c>
      <c r="CH299" s="14" t="n">
        <v>1</v>
      </c>
      <c r="CI299" s="14" t="n">
        <v>0</v>
      </c>
      <c r="CJ299" s="14" t="n">
        <v>0</v>
      </c>
      <c r="CK299" s="14" t="n">
        <v>0</v>
      </c>
      <c r="CL299" s="14" t="n">
        <v>0</v>
      </c>
      <c r="CM299" s="14" t="n">
        <v>0</v>
      </c>
      <c r="CN299" s="14" t="n">
        <v>0</v>
      </c>
      <c r="CO299" s="14" t="n">
        <v>0</v>
      </c>
      <c r="CP299" s="14" t="n">
        <v>0</v>
      </c>
      <c r="CQ299" s="14" t="n">
        <v>1.387</v>
      </c>
      <c r="CR299" s="14" t="n">
        <v>0</v>
      </c>
      <c r="CS299" s="14" t="n">
        <v>5.529</v>
      </c>
      <c r="CT299" s="14" t="n">
        <v>4.251</v>
      </c>
      <c r="CU299" s="14" t="n">
        <v>10.168</v>
      </c>
    </row>
    <row r="300">
      <c r="A300" s="14" t="inlineStr">
        <is>
          <t>GEO2021</t>
        </is>
      </c>
      <c r="B300" s="14" t="inlineStr">
        <is>
          <t>GEO</t>
        </is>
      </c>
      <c r="C300" s="14" t="inlineStr">
        <is>
          <t>GEO</t>
        </is>
      </c>
      <c r="D300" s="14" t="inlineStr">
        <is>
          <t>Georgia</t>
        </is>
      </c>
      <c r="E300" s="14" t="n">
        <v>2021</v>
      </c>
      <c r="F300" s="14" t="n">
        <v>0.18</v>
      </c>
      <c r="G300" s="14" t="n">
        <v>4.526</v>
      </c>
      <c r="H300" s="14" t="n">
        <v>0.988</v>
      </c>
      <c r="I300" s="14" t="n">
        <v>0</v>
      </c>
      <c r="J300" s="14" t="n">
        <v>4.526</v>
      </c>
      <c r="K300" s="14" t="n">
        <v>0</v>
      </c>
      <c r="L300" s="14" t="n">
        <v>1</v>
      </c>
      <c r="M300" s="14" t="n">
        <v>6.593</v>
      </c>
      <c r="N300" s="14" t="n">
        <v>2.964</v>
      </c>
      <c r="O300" s="14" t="n">
        <v>0</v>
      </c>
      <c r="P300" s="14" t="n">
        <v>6.593</v>
      </c>
      <c r="Q300" s="14" t="n">
        <v>0</v>
      </c>
      <c r="R300" s="14" t="n">
        <v>1</v>
      </c>
      <c r="S300" s="14" t="n">
        <v>9.467000000000001</v>
      </c>
      <c r="T300" s="14" t="n">
        <v>5.929</v>
      </c>
      <c r="U300" s="14" t="n">
        <v>0</v>
      </c>
      <c r="V300" s="14" t="n">
        <v>11.171</v>
      </c>
      <c r="W300" s="14" t="n">
        <v>0.18</v>
      </c>
      <c r="X300" s="14" t="n">
        <v>1</v>
      </c>
      <c r="Y300" s="14" t="n">
        <v>5.503</v>
      </c>
      <c r="Z300" s="14" t="n">
        <v>1.016</v>
      </c>
      <c r="AA300" s="14" t="n">
        <v>0.424</v>
      </c>
      <c r="AB300" s="14" t="n">
        <v>5.927</v>
      </c>
      <c r="AC300" s="14" t="n">
        <v>0</v>
      </c>
      <c r="AD300" s="14" t="n">
        <v>1</v>
      </c>
      <c r="AE300" s="14" t="n">
        <v>6.643</v>
      </c>
      <c r="AF300" s="14" t="n">
        <v>1.966</v>
      </c>
      <c r="AG300" s="14" t="n">
        <v>-0.716</v>
      </c>
      <c r="AH300" s="14" t="n">
        <v>5.927</v>
      </c>
      <c r="AI300" s="14" t="n">
        <v>0</v>
      </c>
      <c r="AJ300" s="14" t="n">
        <v>1</v>
      </c>
      <c r="AK300" s="14" t="n">
        <v>13.483</v>
      </c>
      <c r="AL300" s="14" t="n">
        <v>7.955</v>
      </c>
      <c r="AM300" s="14" t="n">
        <v>-9.92</v>
      </c>
      <c r="AN300" s="14" t="n">
        <v>4.204</v>
      </c>
      <c r="AO300" s="14" t="n">
        <v>0</v>
      </c>
      <c r="AP300" s="14" t="n">
        <v>0</v>
      </c>
      <c r="AQ300" s="14" t="n">
        <v>0.619</v>
      </c>
      <c r="AR300" s="14" t="n">
        <v>0.114</v>
      </c>
      <c r="AS300" s="14" t="n">
        <v>0.154</v>
      </c>
      <c r="AT300" s="14" t="n">
        <v>0.913</v>
      </c>
      <c r="AU300" s="14" t="n">
        <v>0.18</v>
      </c>
      <c r="AV300" s="14" t="n">
        <v>1</v>
      </c>
      <c r="AW300" s="14" t="n">
        <v>0.599</v>
      </c>
      <c r="AX300" s="14" t="n">
        <v>0.114</v>
      </c>
      <c r="AY300" s="14" t="n">
        <v>0.143</v>
      </c>
      <c r="AZ300" s="14" t="n">
        <v>0.876</v>
      </c>
      <c r="BA300" s="14" t="n">
        <v>0.18</v>
      </c>
      <c r="BB300" s="14" t="n">
        <v>1</v>
      </c>
      <c r="BC300" s="14" t="n">
        <v>0.439</v>
      </c>
      <c r="BD300" s="14" t="n">
        <v>0.114</v>
      </c>
      <c r="BE300" s="14" t="n">
        <v>-0.024</v>
      </c>
      <c r="BF300" s="14" t="n">
        <v>0.489</v>
      </c>
      <c r="BG300" s="14" t="n">
        <v>0.18</v>
      </c>
      <c r="BH300" s="14" t="n">
        <v>1</v>
      </c>
      <c r="BI300" s="14" t="n">
        <v>0.505</v>
      </c>
      <c r="BJ300" s="14" t="n">
        <v>0.114</v>
      </c>
      <c r="BK300" s="14" t="n">
        <v>0</v>
      </c>
      <c r="BL300" s="14" t="n">
        <v>0.596</v>
      </c>
      <c r="BM300" s="14" t="n">
        <v>0.18</v>
      </c>
      <c r="BN300" s="14" t="n">
        <v>1</v>
      </c>
      <c r="BO300" s="14" t="n">
        <v>0</v>
      </c>
      <c r="BP300" s="14" t="n">
        <v>0</v>
      </c>
      <c r="BQ300" s="14" t="n">
        <v>0.08500000000000001</v>
      </c>
      <c r="BR300" s="14" t="n">
        <v>0</v>
      </c>
      <c r="BS300" s="14" t="n">
        <v>1</v>
      </c>
      <c r="BT300" s="14" t="n">
        <v>0</v>
      </c>
      <c r="BU300" s="14" t="n">
        <v>0</v>
      </c>
      <c r="BV300" s="14" t="n">
        <v>0.076</v>
      </c>
      <c r="BW300" s="14" t="n">
        <v>0.18</v>
      </c>
      <c r="BX300" s="14" t="n">
        <v>1</v>
      </c>
      <c r="BY300" s="14" t="n">
        <v>11.787</v>
      </c>
      <c r="BZ300" s="14" t="n">
        <v>0</v>
      </c>
      <c r="CA300" s="14" t="n">
        <v>11.787</v>
      </c>
      <c r="CB300" s="14" t="n">
        <v>0</v>
      </c>
      <c r="CC300" s="14" t="n">
        <v>78.125</v>
      </c>
      <c r="CD300" s="14" t="n">
        <v>7.95</v>
      </c>
      <c r="CE300" s="14" t="n">
        <v>0</v>
      </c>
      <c r="CF300" s="14" t="n">
        <v>92.188</v>
      </c>
      <c r="CG300" s="14" t="n">
        <v>0.18</v>
      </c>
      <c r="CH300" s="14" t="n">
        <v>1</v>
      </c>
      <c r="CI300" s="14" t="n">
        <v>0</v>
      </c>
      <c r="CJ300" s="14" t="n">
        <v>0</v>
      </c>
      <c r="CK300" s="14" t="n">
        <v>0</v>
      </c>
      <c r="CL300" s="14" t="n">
        <v>0</v>
      </c>
      <c r="CM300" s="14" t="n">
        <v>0</v>
      </c>
      <c r="CN300" s="14" t="n">
        <v>0.003</v>
      </c>
      <c r="CO300" s="14" t="n">
        <v>0</v>
      </c>
      <c r="CP300" s="14" t="n">
        <v>0.271</v>
      </c>
      <c r="CQ300" s="14" t="n">
        <v>1.198</v>
      </c>
      <c r="CR300" s="14" t="n">
        <v>0.006</v>
      </c>
      <c r="CS300" s="14" t="n">
        <v>4.776</v>
      </c>
      <c r="CT300" s="14" t="n">
        <v>4.41</v>
      </c>
      <c r="CU300" s="14" t="n">
        <v>7.061</v>
      </c>
    </row>
    <row r="301">
      <c r="A301" s="14" t="inlineStr">
        <is>
          <t>GEO2022</t>
        </is>
      </c>
      <c r="B301" s="14" t="inlineStr">
        <is>
          <t>GEO</t>
        </is>
      </c>
      <c r="C301" s="14" t="inlineStr">
        <is>
          <t>GEO</t>
        </is>
      </c>
      <c r="D301" s="14" t="inlineStr">
        <is>
          <t>Georgia</t>
        </is>
      </c>
      <c r="E301" s="14" t="n">
        <v>2022</v>
      </c>
      <c r="F301" s="14" t="n">
        <v>0.18</v>
      </c>
      <c r="G301" s="14" t="n">
        <v>5.382</v>
      </c>
      <c r="H301" s="14" t="n">
        <v>1.032</v>
      </c>
      <c r="I301" s="14" t="n">
        <v>0</v>
      </c>
      <c r="J301" s="14" t="n">
        <v>5.382</v>
      </c>
      <c r="K301" s="14" t="n">
        <v>0</v>
      </c>
      <c r="L301" s="14" t="n">
        <v>1</v>
      </c>
      <c r="M301" s="14" t="n">
        <v>7.605</v>
      </c>
      <c r="N301" s="14" t="n">
        <v>3.096</v>
      </c>
      <c r="O301" s="14" t="n">
        <v>0</v>
      </c>
      <c r="P301" s="14" t="n">
        <v>7.605</v>
      </c>
      <c r="Q301" s="14" t="n">
        <v>0</v>
      </c>
      <c r="R301" s="14" t="n">
        <v>1</v>
      </c>
      <c r="S301" s="14" t="n">
        <v>10.542</v>
      </c>
      <c r="T301" s="14" t="n">
        <v>6.193</v>
      </c>
      <c r="U301" s="14" t="n">
        <v>0.14</v>
      </c>
      <c r="V301" s="14" t="n">
        <v>12.44</v>
      </c>
      <c r="W301" s="14" t="n">
        <v>0.18</v>
      </c>
      <c r="X301" s="14" t="n">
        <v>1</v>
      </c>
      <c r="Y301" s="14" t="n">
        <v>5.916</v>
      </c>
      <c r="Z301" s="14" t="n">
        <v>1.092</v>
      </c>
      <c r="AA301" s="14" t="n">
        <v>2.316</v>
      </c>
      <c r="AB301" s="14" t="n">
        <v>8.233000000000001</v>
      </c>
      <c r="AC301" s="14" t="n">
        <v>0</v>
      </c>
      <c r="AD301" s="14" t="n">
        <v>1</v>
      </c>
      <c r="AE301" s="14" t="n">
        <v>7.149</v>
      </c>
      <c r="AF301" s="14" t="n">
        <v>2.116</v>
      </c>
      <c r="AG301" s="14" t="n">
        <v>1.084</v>
      </c>
      <c r="AH301" s="14" t="n">
        <v>8.233000000000001</v>
      </c>
      <c r="AI301" s="14" t="n">
        <v>0</v>
      </c>
      <c r="AJ301" s="14" t="n">
        <v>1</v>
      </c>
      <c r="AK301" s="14" t="n">
        <v>14.541</v>
      </c>
      <c r="AL301" s="14" t="n">
        <v>8.579000000000001</v>
      </c>
      <c r="AM301" s="14" t="n">
        <v>-10.428</v>
      </c>
      <c r="AN301" s="14" t="n">
        <v>4.853</v>
      </c>
      <c r="AO301" s="14" t="n">
        <v>0</v>
      </c>
      <c r="AP301" s="14" t="n">
        <v>0</v>
      </c>
      <c r="AQ301" s="14" t="n">
        <v>0.861</v>
      </c>
      <c r="AR301" s="14" t="n">
        <v>0.123</v>
      </c>
      <c r="AS301" s="14" t="n">
        <v>0.196</v>
      </c>
      <c r="AT301" s="14" t="n">
        <v>1.247</v>
      </c>
      <c r="AU301" s="14" t="n">
        <v>0.18</v>
      </c>
      <c r="AV301" s="14" t="n">
        <v>1</v>
      </c>
      <c r="AW301" s="14" t="n">
        <v>0.986</v>
      </c>
      <c r="AX301" s="14" t="n">
        <v>0.123</v>
      </c>
      <c r="AY301" s="14" t="n">
        <v>0.184</v>
      </c>
      <c r="AZ301" s="14" t="n">
        <v>1.38</v>
      </c>
      <c r="BA301" s="14" t="n">
        <v>0.18</v>
      </c>
      <c r="BB301" s="14" t="n">
        <v>1</v>
      </c>
      <c r="BC301" s="14" t="n">
        <v>0.598</v>
      </c>
      <c r="BD301" s="14" t="n">
        <v>0.123</v>
      </c>
      <c r="BE301" s="14" t="n">
        <v>-0.024</v>
      </c>
      <c r="BF301" s="14" t="n">
        <v>0.677</v>
      </c>
      <c r="BG301" s="14" t="n">
        <v>0.18</v>
      </c>
      <c r="BH301" s="14" t="n">
        <v>1</v>
      </c>
      <c r="BI301" s="14" t="n">
        <v>0.612</v>
      </c>
      <c r="BJ301" s="14" t="n">
        <v>0.123</v>
      </c>
      <c r="BK301" s="14" t="n">
        <v>0.008</v>
      </c>
      <c r="BL301" s="14" t="n">
        <v>0.723</v>
      </c>
      <c r="BM301" s="14" t="n">
        <v>0.18</v>
      </c>
      <c r="BN301" s="14" t="n">
        <v>1</v>
      </c>
      <c r="BO301" s="14" t="n">
        <v>0</v>
      </c>
      <c r="BP301" s="14" t="n">
        <v>0</v>
      </c>
      <c r="BQ301" s="14" t="n">
        <v>0.098</v>
      </c>
      <c r="BR301" s="14" t="n">
        <v>0</v>
      </c>
      <c r="BS301" s="14" t="n">
        <v>1</v>
      </c>
      <c r="BT301" s="14" t="n">
        <v>0</v>
      </c>
      <c r="BU301" s="14" t="n">
        <v>0</v>
      </c>
      <c r="BV301" s="14" t="n">
        <v>0.089</v>
      </c>
      <c r="BW301" s="14" t="n">
        <v>0.18</v>
      </c>
      <c r="BX301" s="14" t="n">
        <v>1</v>
      </c>
      <c r="BY301" s="14" t="n">
        <v>12.729</v>
      </c>
      <c r="BZ301" s="14" t="n">
        <v>0</v>
      </c>
      <c r="CA301" s="14" t="n">
        <v>12.729</v>
      </c>
      <c r="CB301" s="14" t="n">
        <v>0</v>
      </c>
      <c r="CC301" s="14" t="n">
        <v>97.90000000000001</v>
      </c>
      <c r="CD301" s="14" t="n">
        <v>7.95</v>
      </c>
      <c r="CE301" s="14" t="n">
        <v>1.304</v>
      </c>
      <c r="CF301" s="14" t="n">
        <v>115.522</v>
      </c>
      <c r="CG301" s="14" t="n">
        <v>0.18</v>
      </c>
      <c r="CH301" s="14" t="n">
        <v>1</v>
      </c>
      <c r="CI301" s="14" t="n">
        <v>0</v>
      </c>
      <c r="CJ301" s="14" t="n">
        <v>0</v>
      </c>
      <c r="CK301" s="14" t="n">
        <v>0</v>
      </c>
      <c r="CL301" s="14" t="n">
        <v>0</v>
      </c>
      <c r="CM301" s="14" t="n">
        <v>0</v>
      </c>
      <c r="CN301" s="14" t="n">
        <v>0.005</v>
      </c>
      <c r="CO301" s="14" t="n">
        <v>0</v>
      </c>
      <c r="CP301" s="14" t="n">
        <v>0.328</v>
      </c>
      <c r="CQ301" s="14" t="n">
        <v>1.294</v>
      </c>
      <c r="CR301" s="14" t="n">
        <v>0.004</v>
      </c>
      <c r="CS301" s="14" t="n">
        <v>5.158</v>
      </c>
      <c r="CT301" s="14" t="n">
        <v>5.842</v>
      </c>
      <c r="CU301" s="14" t="n">
        <v>24.927</v>
      </c>
    </row>
    <row r="302">
      <c r="A302" s="14" t="inlineStr">
        <is>
          <t>GEO2023</t>
        </is>
      </c>
      <c r="B302" s="14" t="inlineStr">
        <is>
          <t>GEO</t>
        </is>
      </c>
      <c r="C302" s="14" t="inlineStr">
        <is>
          <t>GEO</t>
        </is>
      </c>
      <c r="D302" s="14" t="inlineStr">
        <is>
          <t>Georgia</t>
        </is>
      </c>
      <c r="E302" s="14" t="n">
        <v>2023</v>
      </c>
      <c r="F302" s="14" t="n">
        <v>0.18</v>
      </c>
      <c r="G302" s="14" t="n">
        <v>3.875</v>
      </c>
      <c r="H302" s="14" t="n">
        <v>1.082</v>
      </c>
      <c r="I302" s="14" t="n">
        <v>0</v>
      </c>
      <c r="J302" s="14" t="n">
        <v>3.875</v>
      </c>
      <c r="K302" s="14" t="n">
        <v>0</v>
      </c>
      <c r="L302" s="14" t="n">
        <v>1</v>
      </c>
      <c r="M302" s="14" t="n">
        <v>6.423</v>
      </c>
      <c r="N302" s="14" t="n">
        <v>3.245</v>
      </c>
      <c r="O302" s="14" t="n">
        <v>0</v>
      </c>
      <c r="P302" s="14" t="n">
        <v>6.423</v>
      </c>
      <c r="Q302" s="14" t="n">
        <v>0</v>
      </c>
      <c r="R302" s="14" t="n">
        <v>1</v>
      </c>
      <c r="S302" s="14" t="n">
        <v>9.284000000000001</v>
      </c>
      <c r="T302" s="14" t="n">
        <v>6.49</v>
      </c>
      <c r="U302" s="14" t="n">
        <v>0.185</v>
      </c>
      <c r="V302" s="14" t="n">
        <v>10.955</v>
      </c>
      <c r="W302" s="14" t="n">
        <v>0.18</v>
      </c>
      <c r="X302" s="14" t="n">
        <v>1</v>
      </c>
      <c r="Y302" s="14" t="n">
        <v>5.127</v>
      </c>
      <c r="Z302" s="14" t="n">
        <v>0.946</v>
      </c>
      <c r="AA302" s="14" t="n">
        <v>3.869</v>
      </c>
      <c r="AB302" s="14" t="n">
        <v>8.996</v>
      </c>
      <c r="AC302" s="14" t="n">
        <v>0</v>
      </c>
      <c r="AD302" s="14" t="n">
        <v>1</v>
      </c>
      <c r="AE302" s="14" t="n">
        <v>6.409</v>
      </c>
      <c r="AF302" s="14" t="n">
        <v>1.897</v>
      </c>
      <c r="AG302" s="14" t="n">
        <v>2.587</v>
      </c>
      <c r="AH302" s="14" t="n">
        <v>8.996</v>
      </c>
      <c r="AI302" s="14" t="n">
        <v>0</v>
      </c>
      <c r="AJ302" s="14" t="n">
        <v>1</v>
      </c>
      <c r="AK302" s="14" t="n">
        <v>14.103</v>
      </c>
      <c r="AL302" s="14" t="n">
        <v>8.321</v>
      </c>
      <c r="AM302" s="14" t="n">
        <v>-9.542</v>
      </c>
      <c r="AN302" s="14" t="n">
        <v>5.381</v>
      </c>
      <c r="AO302" s="14" t="n">
        <v>0</v>
      </c>
      <c r="AP302" s="14" t="n">
        <v>0</v>
      </c>
      <c r="AQ302" s="14" t="n">
        <v>0.76</v>
      </c>
      <c r="AR302" s="14" t="n">
        <v>0.129</v>
      </c>
      <c r="AS302" s="14" t="n">
        <v>0.192</v>
      </c>
      <c r="AT302" s="14" t="n">
        <v>1.124</v>
      </c>
      <c r="AU302" s="14" t="n">
        <v>0.18</v>
      </c>
      <c r="AV302" s="14" t="n">
        <v>1</v>
      </c>
      <c r="AW302" s="14" t="n">
        <v>0.8110000000000001</v>
      </c>
      <c r="AX302" s="14" t="n">
        <v>0.129</v>
      </c>
      <c r="AY302" s="14" t="n">
        <v>0.263</v>
      </c>
      <c r="AZ302" s="14" t="n">
        <v>1.268</v>
      </c>
      <c r="BA302" s="14" t="n">
        <v>0.18</v>
      </c>
      <c r="BB302" s="14" t="n">
        <v>1</v>
      </c>
      <c r="BC302" s="14" t="n">
        <v>0.535</v>
      </c>
      <c r="BD302" s="14" t="n">
        <v>0.129</v>
      </c>
      <c r="BE302" s="14" t="n">
        <v>0.047</v>
      </c>
      <c r="BF302" s="14" t="n">
        <v>0.6870000000000001</v>
      </c>
      <c r="BG302" s="14" t="n">
        <v>0.18</v>
      </c>
      <c r="BH302" s="14" t="n">
        <v>1</v>
      </c>
      <c r="BI302" s="14" t="n">
        <v>0.579</v>
      </c>
      <c r="BJ302" s="14" t="n">
        <v>0.129</v>
      </c>
      <c r="BK302" s="14" t="n">
        <v>0.012</v>
      </c>
      <c r="BL302" s="14" t="n">
        <v>0.6840000000000001</v>
      </c>
      <c r="BM302" s="14" t="n">
        <v>0.18</v>
      </c>
      <c r="BN302" s="14" t="n">
        <v>1</v>
      </c>
      <c r="BO302" s="14" t="n">
        <v>0</v>
      </c>
      <c r="BP302" s="14" t="n">
        <v>0</v>
      </c>
      <c r="BQ302" s="14" t="n">
        <v>0.1</v>
      </c>
      <c r="BR302" s="14" t="n">
        <v>0</v>
      </c>
      <c r="BS302" s="14" t="n">
        <v>1</v>
      </c>
      <c r="BT302" s="14" t="n">
        <v>0</v>
      </c>
      <c r="BU302" s="14" t="n">
        <v>0</v>
      </c>
      <c r="BV302" s="14" t="n">
        <v>0.093</v>
      </c>
      <c r="BW302" s="14" t="n">
        <v>0.18</v>
      </c>
      <c r="BX302" s="14" t="n">
        <v>1</v>
      </c>
      <c r="BY302" s="14" t="n">
        <v>13.254</v>
      </c>
      <c r="BZ302" s="14" t="n">
        <v>0</v>
      </c>
      <c r="CA302" s="14" t="n">
        <v>13.254</v>
      </c>
      <c r="CB302" s="14" t="n">
        <v>0</v>
      </c>
      <c r="CC302" s="14" t="n">
        <v>83.248</v>
      </c>
      <c r="CD302" s="14" t="n">
        <v>7.95</v>
      </c>
      <c r="CE302" s="14" t="n">
        <v>1.659</v>
      </c>
      <c r="CF302" s="14" t="n">
        <v>98.233</v>
      </c>
      <c r="CG302" s="14" t="n">
        <v>0.18</v>
      </c>
      <c r="CH302" s="14" t="n">
        <v>1</v>
      </c>
      <c r="CI302" s="14" t="n">
        <v>0</v>
      </c>
      <c r="CJ302" s="14" t="n">
        <v>0</v>
      </c>
      <c r="CK302" s="14" t="n">
        <v>0</v>
      </c>
      <c r="CL302" s="14" t="n">
        <v>0</v>
      </c>
      <c r="CM302" s="14" t="n">
        <v>0</v>
      </c>
      <c r="CN302" s="14" t="n">
        <v>0.005</v>
      </c>
      <c r="CO302" s="14" t="n">
        <v>0</v>
      </c>
      <c r="CP302" s="14" t="n">
        <v>0.317</v>
      </c>
      <c r="CQ302" s="14" t="n">
        <v>1.348</v>
      </c>
      <c r="CR302" s="14" t="n">
        <v>0.005</v>
      </c>
      <c r="CS302" s="14" t="n">
        <v>5.37</v>
      </c>
      <c r="CT302" s="14" t="n">
        <v>3.466</v>
      </c>
      <c r="CU302" s="14" t="n">
        <v>15.127</v>
      </c>
    </row>
    <row r="303">
      <c r="A303" s="14" t="inlineStr">
        <is>
          <t>GEO2024</t>
        </is>
      </c>
      <c r="B303" s="14" t="inlineStr">
        <is>
          <t>GEO</t>
        </is>
      </c>
      <c r="C303" s="14" t="inlineStr">
        <is>
          <t>GEO</t>
        </is>
      </c>
      <c r="D303" s="14" t="inlineStr">
        <is>
          <t>Georgia</t>
        </is>
      </c>
      <c r="E303" s="14" t="n">
        <v>2024</v>
      </c>
      <c r="F303" s="14" t="n">
        <v>0.18</v>
      </c>
      <c r="G303" s="14" t="n">
        <v>3.62</v>
      </c>
      <c r="H303" s="14" t="n">
        <v>1.114</v>
      </c>
      <c r="I303" s="14" t="n">
        <v>0</v>
      </c>
      <c r="J303" s="14" t="n">
        <v>3.62</v>
      </c>
      <c r="K303" s="14" t="n">
        <v>0</v>
      </c>
      <c r="L303" s="14" t="n">
        <v>1</v>
      </c>
      <c r="M303" s="14" t="n">
        <v>5.933</v>
      </c>
      <c r="N303" s="14" t="n">
        <v>3.341</v>
      </c>
      <c r="O303" s="14" t="n">
        <v>0</v>
      </c>
      <c r="P303" s="14" t="n">
        <v>5.933</v>
      </c>
      <c r="Q303" s="14" t="n">
        <v>0</v>
      </c>
      <c r="R303" s="14" t="n">
        <v>1</v>
      </c>
      <c r="S303" s="14" t="n">
        <v>9.188000000000001</v>
      </c>
      <c r="T303" s="14" t="n">
        <v>6.682</v>
      </c>
      <c r="U303" s="14" t="n">
        <v>0.225</v>
      </c>
      <c r="V303" s="14" t="n">
        <v>10.842</v>
      </c>
      <c r="W303" s="14" t="n">
        <v>0.18</v>
      </c>
      <c r="X303" s="14" t="n">
        <v>1</v>
      </c>
      <c r="Y303" s="14" t="n">
        <v>4.952</v>
      </c>
      <c r="Z303" s="14" t="n">
        <v>0.914</v>
      </c>
      <c r="AA303" s="14" t="n">
        <v>3.71</v>
      </c>
      <c r="AB303" s="14" t="n">
        <v>8.662000000000001</v>
      </c>
      <c r="AC303" s="14" t="n">
        <v>0</v>
      </c>
      <c r="AD303" s="14" t="n">
        <v>1</v>
      </c>
      <c r="AE303" s="14" t="n">
        <v>6.272</v>
      </c>
      <c r="AF303" s="14" t="n">
        <v>1.856</v>
      </c>
      <c r="AG303" s="14" t="n">
        <v>2.39</v>
      </c>
      <c r="AH303" s="14" t="n">
        <v>8.662000000000001</v>
      </c>
      <c r="AI303" s="14" t="n">
        <v>0</v>
      </c>
      <c r="AJ303" s="14" t="n">
        <v>1</v>
      </c>
      <c r="AK303" s="14" t="n">
        <v>14.193</v>
      </c>
      <c r="AL303" s="14" t="n">
        <v>8.374000000000001</v>
      </c>
      <c r="AM303" s="14" t="n">
        <v>-9.763</v>
      </c>
      <c r="AN303" s="14" t="n">
        <v>5.227</v>
      </c>
      <c r="AO303" s="14" t="n">
        <v>0</v>
      </c>
      <c r="AP303" s="14" t="n">
        <v>0</v>
      </c>
      <c r="AQ303" s="14" t="n">
        <v>0.724</v>
      </c>
      <c r="AR303" s="14" t="n">
        <v>0.132</v>
      </c>
      <c r="AS303" s="14" t="n">
        <v>0.28</v>
      </c>
      <c r="AT303" s="14" t="n">
        <v>1.185</v>
      </c>
      <c r="AU303" s="14" t="n">
        <v>0.18</v>
      </c>
      <c r="AV303" s="14" t="n">
        <v>1</v>
      </c>
      <c r="AW303" s="14" t="n">
        <v>0.75</v>
      </c>
      <c r="AX303" s="14" t="n">
        <v>0.132</v>
      </c>
      <c r="AY303" s="14" t="n">
        <v>0.254</v>
      </c>
      <c r="AZ303" s="14" t="n">
        <v>1.185</v>
      </c>
      <c r="BA303" s="14" t="n">
        <v>0.18</v>
      </c>
      <c r="BB303" s="14" t="n">
        <v>1</v>
      </c>
      <c r="BC303" s="14" t="n">
        <v>0.513</v>
      </c>
      <c r="BD303" s="14" t="n">
        <v>0.132</v>
      </c>
      <c r="BE303" s="14" t="n">
        <v>0.038</v>
      </c>
      <c r="BF303" s="14" t="n">
        <v>0.65</v>
      </c>
      <c r="BG303" s="14" t="n">
        <v>0.18</v>
      </c>
      <c r="BH303" s="14" t="n">
        <v>1</v>
      </c>
      <c r="BI303" s="14" t="n">
        <v>0.591</v>
      </c>
      <c r="BJ303" s="14" t="n">
        <v>0.132</v>
      </c>
      <c r="BK303" s="14" t="n">
        <v>0.014</v>
      </c>
      <c r="BL303" s="14" t="n">
        <v>0.698</v>
      </c>
      <c r="BM303" s="14" t="n">
        <v>0.18</v>
      </c>
      <c r="BN303" s="14" t="n">
        <v>1</v>
      </c>
      <c r="BO303" s="14" t="n">
        <v>0</v>
      </c>
      <c r="BP303" s="14" t="n">
        <v>0</v>
      </c>
      <c r="BQ303" s="14" t="n">
        <v>0.042</v>
      </c>
      <c r="BR303" s="14" t="n">
        <v>0</v>
      </c>
      <c r="BS303" s="14" t="n">
        <v>1</v>
      </c>
      <c r="BT303" s="14" t="n">
        <v>0</v>
      </c>
      <c r="BU303" s="14" t="n">
        <v>0</v>
      </c>
      <c r="BV303" s="14" t="n">
        <v>0.076</v>
      </c>
      <c r="BW303" s="14" t="n">
        <v>0.18</v>
      </c>
      <c r="BX303" s="14" t="n">
        <v>1</v>
      </c>
      <c r="BY303" s="14" t="n">
        <v>13.646</v>
      </c>
      <c r="BZ303" s="14" t="n">
        <v>0</v>
      </c>
      <c r="CA303" s="14" t="n">
        <v>13.646</v>
      </c>
      <c r="CB303" s="14" t="n">
        <v>0</v>
      </c>
      <c r="CC303" s="14" t="n">
        <v>82.58799999999999</v>
      </c>
      <c r="CD303" s="14" t="n">
        <v>7.95</v>
      </c>
      <c r="CE303" s="14" t="n">
        <v>2.025</v>
      </c>
      <c r="CF303" s="14" t="n">
        <v>97.45399999999999</v>
      </c>
      <c r="CG303" s="14" t="n">
        <v>0.18</v>
      </c>
      <c r="CH303" s="14" t="n">
        <v>1</v>
      </c>
      <c r="CI303" s="14" t="n">
        <v>0</v>
      </c>
      <c r="CJ303" s="14" t="n">
        <v>0</v>
      </c>
      <c r="CK303" s="14" t="n">
        <v>0</v>
      </c>
      <c r="CL303" s="14" t="n">
        <v>0</v>
      </c>
      <c r="CM303" s="14" t="n">
        <v>0</v>
      </c>
      <c r="CN303" s="14" t="n">
        <v>0.004</v>
      </c>
      <c r="CO303" s="14" t="n">
        <v>0</v>
      </c>
      <c r="CP303" s="14" t="n">
        <v>0.317</v>
      </c>
      <c r="CQ303" s="14" t="n">
        <v>1.387</v>
      </c>
      <c r="CR303" s="14" t="n">
        <v>0.005</v>
      </c>
      <c r="CS303" s="14" t="n">
        <v>5.529</v>
      </c>
      <c r="CT303" s="14" t="n">
        <v>3.027</v>
      </c>
      <c r="CU303" s="14" t="n">
        <v>12.788</v>
      </c>
    </row>
    <row r="304">
      <c r="A304" s="14" t="inlineStr">
        <is>
          <t>DEU2021</t>
        </is>
      </c>
      <c r="B304" s="14" t="inlineStr">
        <is>
          <t>DEU</t>
        </is>
      </c>
      <c r="C304" s="14" t="inlineStr">
        <is>
          <t>DEU</t>
        </is>
      </c>
      <c r="D304" s="14" t="inlineStr">
        <is>
          <t>Germany</t>
        </is>
      </c>
      <c r="E304" s="14" t="n">
        <v>2021</v>
      </c>
      <c r="F304" s="14" t="n">
        <v>0.19</v>
      </c>
      <c r="G304" s="14" t="n">
        <v>5.04</v>
      </c>
      <c r="H304" s="14" t="n">
        <v>1.103</v>
      </c>
      <c r="I304" s="14" t="n">
        <v>2.041</v>
      </c>
      <c r="J304" s="14" t="n">
        <v>7.08</v>
      </c>
      <c r="K304" s="14" t="n">
        <v>0</v>
      </c>
      <c r="L304" s="14" t="n">
        <v>1</v>
      </c>
      <c r="M304" s="14" t="n">
        <v>4.959</v>
      </c>
      <c r="N304" s="14" t="n">
        <v>2.248</v>
      </c>
      <c r="O304" s="14" t="n">
        <v>2.121</v>
      </c>
      <c r="P304" s="14" t="n">
        <v>7.08</v>
      </c>
      <c r="Q304" s="14" t="n">
        <v>0</v>
      </c>
      <c r="R304" s="14" t="n">
        <v>1</v>
      </c>
      <c r="S304" s="14" t="n">
        <v>7.593</v>
      </c>
      <c r="T304" s="14" t="n">
        <v>5.178</v>
      </c>
      <c r="U304" s="14" t="n">
        <v>0.39</v>
      </c>
      <c r="V304" s="14" t="n">
        <v>9.5</v>
      </c>
      <c r="W304" s="14" t="n">
        <v>0.19</v>
      </c>
      <c r="X304" s="14" t="n">
        <v>1</v>
      </c>
      <c r="Y304" s="14" t="n">
        <v>13.481</v>
      </c>
      <c r="Z304" s="14" t="n">
        <v>1.489</v>
      </c>
      <c r="AA304" s="14" t="n">
        <v>-0.846</v>
      </c>
      <c r="AB304" s="14" t="n">
        <v>12.635</v>
      </c>
      <c r="AC304" s="14" t="n">
        <v>0</v>
      </c>
      <c r="AD304" s="14" t="n">
        <v>1</v>
      </c>
      <c r="AE304" s="14" t="n">
        <v>13.437</v>
      </c>
      <c r="AF304" s="14" t="n">
        <v>2.644</v>
      </c>
      <c r="AG304" s="14" t="n">
        <v>-0.803</v>
      </c>
      <c r="AH304" s="14" t="n">
        <v>12.635</v>
      </c>
      <c r="AI304" s="14" t="n">
        <v>0</v>
      </c>
      <c r="AJ304" s="14" t="n">
        <v>1</v>
      </c>
      <c r="AK304" s="14" t="n">
        <v>19.686</v>
      </c>
      <c r="AL304" s="14" t="n">
        <v>9.662000000000001</v>
      </c>
      <c r="AM304" s="14" t="n">
        <v>-1.203</v>
      </c>
      <c r="AN304" s="14" t="n">
        <v>21.995</v>
      </c>
      <c r="AO304" s="14" t="n">
        <v>0.19</v>
      </c>
      <c r="AP304" s="14" t="n">
        <v>1</v>
      </c>
      <c r="AQ304" s="14" t="n">
        <v>0.619</v>
      </c>
      <c r="AR304" s="14" t="n">
        <v>0.114</v>
      </c>
      <c r="AS304" s="14" t="n">
        <v>0.954</v>
      </c>
      <c r="AT304" s="14" t="n">
        <v>1.872</v>
      </c>
      <c r="AU304" s="14" t="n">
        <v>0.19</v>
      </c>
      <c r="AV304" s="14" t="n">
        <v>1</v>
      </c>
      <c r="AW304" s="14" t="n">
        <v>0.599</v>
      </c>
      <c r="AX304" s="14" t="n">
        <v>0.114</v>
      </c>
      <c r="AY304" s="14" t="n">
        <v>0.781</v>
      </c>
      <c r="AZ304" s="14" t="n">
        <v>1.643</v>
      </c>
      <c r="BA304" s="14" t="n">
        <v>0.19</v>
      </c>
      <c r="BB304" s="14" t="n">
        <v>1</v>
      </c>
      <c r="BC304" s="14" t="n">
        <v>0.439</v>
      </c>
      <c r="BD304" s="14" t="n">
        <v>0.114</v>
      </c>
      <c r="BE304" s="14" t="n">
        <v>0.293</v>
      </c>
      <c r="BF304" s="14" t="n">
        <v>0.871</v>
      </c>
      <c r="BG304" s="14" t="n">
        <v>0.19</v>
      </c>
      <c r="BH304" s="14" t="n">
        <v>1</v>
      </c>
      <c r="BI304" s="14" t="n">
        <v>0.505</v>
      </c>
      <c r="BJ304" s="14" t="n">
        <v>0.114</v>
      </c>
      <c r="BK304" s="14" t="n">
        <v>0.203</v>
      </c>
      <c r="BL304" s="14" t="n">
        <v>0.842</v>
      </c>
      <c r="BM304" s="14" t="n">
        <v>0.19</v>
      </c>
      <c r="BN304" s="14" t="n">
        <v>1</v>
      </c>
      <c r="BO304" s="14" t="n">
        <v>0</v>
      </c>
      <c r="BP304" s="14" t="n">
        <v>0.07000000000000001</v>
      </c>
      <c r="BQ304" s="14" t="n">
        <v>0.155</v>
      </c>
      <c r="BR304" s="14" t="n">
        <v>0</v>
      </c>
      <c r="BS304" s="14" t="n">
        <v>1</v>
      </c>
      <c r="BT304" s="14" t="n">
        <v>0</v>
      </c>
      <c r="BU304" s="14" t="n">
        <v>0.133</v>
      </c>
      <c r="BV304" s="14" t="n">
        <v>0.38</v>
      </c>
      <c r="BW304" s="14" t="n">
        <v>0.19</v>
      </c>
      <c r="BX304" s="14" t="n">
        <v>0.833</v>
      </c>
      <c r="BY304" s="14" t="n">
        <v>11.787</v>
      </c>
      <c r="BZ304" s="14" t="n">
        <v>0</v>
      </c>
      <c r="CA304" s="14" t="n">
        <v>11.787</v>
      </c>
      <c r="CB304" s="14" t="n">
        <v>0</v>
      </c>
      <c r="CC304" s="14" t="n">
        <v>78.125</v>
      </c>
      <c r="CD304" s="14" t="n">
        <v>7.95</v>
      </c>
      <c r="CE304" s="14" t="n">
        <v>49.943</v>
      </c>
      <c r="CF304" s="14" t="n">
        <v>152.401</v>
      </c>
      <c r="CG304" s="14" t="n">
        <v>0.19</v>
      </c>
      <c r="CH304" s="14" t="n">
        <v>1</v>
      </c>
      <c r="CI304" s="14" t="n">
        <v>0</v>
      </c>
      <c r="CJ304" s="14" t="n">
        <v>0</v>
      </c>
      <c r="CK304" s="14" t="n">
        <v>0</v>
      </c>
      <c r="CL304" s="14" t="n">
        <v>0.543</v>
      </c>
      <c r="CM304" s="14" t="n">
        <v>0</v>
      </c>
      <c r="CN304" s="14" t="n">
        <v>0.083</v>
      </c>
      <c r="CO304" s="14" t="n">
        <v>0.06</v>
      </c>
      <c r="CP304" s="14" t="n">
        <v>0</v>
      </c>
      <c r="CQ304" s="14" t="n">
        <v>1.198</v>
      </c>
      <c r="CR304" s="14" t="n">
        <v>0</v>
      </c>
      <c r="CS304" s="14" t="n">
        <v>5.593</v>
      </c>
      <c r="CT304" s="14" t="n">
        <v>3.587</v>
      </c>
      <c r="CU304" s="14" t="n">
        <v>9.709</v>
      </c>
    </row>
    <row r="305">
      <c r="A305" s="14" t="inlineStr">
        <is>
          <t>DEU2022</t>
        </is>
      </c>
      <c r="B305" s="14" t="inlineStr">
        <is>
          <t>DEU</t>
        </is>
      </c>
      <c r="C305" s="14" t="inlineStr">
        <is>
          <t>DEU</t>
        </is>
      </c>
      <c r="D305" s="14" t="inlineStr">
        <is>
          <t>Germany</t>
        </is>
      </c>
      <c r="E305" s="14" t="n">
        <v>2022</v>
      </c>
      <c r="F305" s="14" t="n">
        <v>0.19</v>
      </c>
      <c r="G305" s="14" t="n">
        <v>11.6</v>
      </c>
      <c r="H305" s="14" t="n">
        <v>1.801</v>
      </c>
      <c r="I305" s="14" t="n">
        <v>8.446</v>
      </c>
      <c r="J305" s="14" t="n">
        <v>20.046</v>
      </c>
      <c r="K305" s="14" t="n">
        <v>0</v>
      </c>
      <c r="L305" s="14" t="n">
        <v>1</v>
      </c>
      <c r="M305" s="14" t="n">
        <v>11.442</v>
      </c>
      <c r="N305" s="14" t="n">
        <v>4.725</v>
      </c>
      <c r="O305" s="14" t="n">
        <v>8.603</v>
      </c>
      <c r="P305" s="14" t="n">
        <v>20.046</v>
      </c>
      <c r="Q305" s="14" t="n">
        <v>0</v>
      </c>
      <c r="R305" s="14" t="n">
        <v>1</v>
      </c>
      <c r="S305" s="14" t="n">
        <v>12.4</v>
      </c>
      <c r="T305" s="14" t="n">
        <v>5.676</v>
      </c>
      <c r="U305" s="14" t="n">
        <v>0.553</v>
      </c>
      <c r="V305" s="14" t="n">
        <v>15.2</v>
      </c>
      <c r="W305" s="14" t="n">
        <v>0.19</v>
      </c>
      <c r="X305" s="14" t="n">
        <v>1</v>
      </c>
      <c r="Y305" s="14" t="n">
        <v>40.745</v>
      </c>
      <c r="Z305" s="14" t="n">
        <v>4.274</v>
      </c>
      <c r="AA305" s="14" t="n">
        <v>-19.147</v>
      </c>
      <c r="AB305" s="14" t="n">
        <v>21.599</v>
      </c>
      <c r="AC305" s="14" t="n">
        <v>0</v>
      </c>
      <c r="AD305" s="14" t="n">
        <v>1</v>
      </c>
      <c r="AE305" s="14" t="n">
        <v>40.793</v>
      </c>
      <c r="AF305" s="14" t="n">
        <v>7.562</v>
      </c>
      <c r="AG305" s="14" t="n">
        <v>-19.195</v>
      </c>
      <c r="AH305" s="14" t="n">
        <v>21.599</v>
      </c>
      <c r="AI305" s="14" t="n">
        <v>0</v>
      </c>
      <c r="AJ305" s="14" t="n">
        <v>1</v>
      </c>
      <c r="AK305" s="14" t="n">
        <v>47.591</v>
      </c>
      <c r="AL305" s="14" t="n">
        <v>22.726</v>
      </c>
      <c r="AM305" s="14" t="n">
        <v>-26.114</v>
      </c>
      <c r="AN305" s="14" t="n">
        <v>25.557</v>
      </c>
      <c r="AO305" s="14" t="n">
        <v>0.19</v>
      </c>
      <c r="AP305" s="14" t="n">
        <v>1</v>
      </c>
      <c r="AQ305" s="14" t="n">
        <v>0.861</v>
      </c>
      <c r="AR305" s="14" t="n">
        <v>0.123</v>
      </c>
      <c r="AS305" s="14" t="n">
        <v>0.841</v>
      </c>
      <c r="AT305" s="14" t="n">
        <v>2.025</v>
      </c>
      <c r="AU305" s="14" t="n">
        <v>0.19</v>
      </c>
      <c r="AV305" s="14" t="n">
        <v>1</v>
      </c>
      <c r="AW305" s="14" t="n">
        <v>0.986</v>
      </c>
      <c r="AX305" s="14" t="n">
        <v>0.123</v>
      </c>
      <c r="AY305" s="14" t="n">
        <v>0.743</v>
      </c>
      <c r="AZ305" s="14" t="n">
        <v>2.058</v>
      </c>
      <c r="BA305" s="14" t="n">
        <v>0.19</v>
      </c>
      <c r="BB305" s="14" t="n">
        <v>1</v>
      </c>
      <c r="BC305" s="14" t="n">
        <v>0.598</v>
      </c>
      <c r="BD305" s="14" t="n">
        <v>0.123</v>
      </c>
      <c r="BE305" s="14" t="n">
        <v>0.313</v>
      </c>
      <c r="BF305" s="14" t="n">
        <v>1.084</v>
      </c>
      <c r="BG305" s="14" t="n">
        <v>0.19</v>
      </c>
      <c r="BH305" s="14" t="n">
        <v>1</v>
      </c>
      <c r="BI305" s="14" t="n">
        <v>0.612</v>
      </c>
      <c r="BJ305" s="14" t="n">
        <v>0.123</v>
      </c>
      <c r="BK305" s="14" t="n">
        <v>0.5669999999999999</v>
      </c>
      <c r="BL305" s="14" t="n">
        <v>1.404</v>
      </c>
      <c r="BM305" s="14" t="n">
        <v>0.19</v>
      </c>
      <c r="BN305" s="14" t="n">
        <v>1</v>
      </c>
      <c r="BO305" s="14" t="n">
        <v>0</v>
      </c>
      <c r="BP305" s="14" t="n">
        <v>0.03</v>
      </c>
      <c r="BQ305" s="14" t="n">
        <v>0.195</v>
      </c>
      <c r="BR305" s="14" t="n">
        <v>0</v>
      </c>
      <c r="BS305" s="14" t="n">
        <v>1</v>
      </c>
      <c r="BT305" s="14" t="n">
        <v>0</v>
      </c>
      <c r="BU305" s="14" t="n">
        <v>0.07099999999999999</v>
      </c>
      <c r="BV305" s="14" t="n">
        <v>0.349</v>
      </c>
      <c r="BW305" s="14" t="n">
        <v>0.19</v>
      </c>
      <c r="BX305" s="14" t="n">
        <v>0.833</v>
      </c>
      <c r="BY305" s="14" t="n">
        <v>12.729</v>
      </c>
      <c r="BZ305" s="14" t="n">
        <v>0</v>
      </c>
      <c r="CA305" s="14" t="n">
        <v>12.729</v>
      </c>
      <c r="CB305" s="14" t="n">
        <v>0</v>
      </c>
      <c r="CC305" s="14" t="n">
        <v>97.90000000000001</v>
      </c>
      <c r="CD305" s="14" t="n">
        <v>7.95</v>
      </c>
      <c r="CE305" s="14" t="n">
        <v>128.724</v>
      </c>
      <c r="CF305" s="14" t="n">
        <v>269.683</v>
      </c>
      <c r="CG305" s="14" t="n">
        <v>0.19</v>
      </c>
      <c r="CH305" s="14" t="n">
        <v>1</v>
      </c>
      <c r="CI305" s="14" t="n">
        <v>0</v>
      </c>
      <c r="CJ305" s="14" t="n">
        <v>0</v>
      </c>
      <c r="CK305" s="14" t="n">
        <v>0</v>
      </c>
      <c r="CL305" s="14" t="n">
        <v>0.586</v>
      </c>
      <c r="CM305" s="14" t="n">
        <v>0</v>
      </c>
      <c r="CN305" s="14" t="n">
        <v>0.083</v>
      </c>
      <c r="CO305" s="14" t="n">
        <v>0.064</v>
      </c>
      <c r="CP305" s="14" t="n">
        <v>0</v>
      </c>
      <c r="CQ305" s="14" t="n">
        <v>1.294</v>
      </c>
      <c r="CR305" s="14" t="n">
        <v>0</v>
      </c>
      <c r="CS305" s="14" t="n">
        <v>6.04</v>
      </c>
      <c r="CT305" s="14" t="n">
        <v>11.494</v>
      </c>
      <c r="CU305" s="14" t="n">
        <v>36.882</v>
      </c>
    </row>
    <row r="306">
      <c r="A306" s="14" t="inlineStr">
        <is>
          <t>DEU2023</t>
        </is>
      </c>
      <c r="B306" s="14" t="inlineStr">
        <is>
          <t>DEU</t>
        </is>
      </c>
      <c r="C306" s="14" t="inlineStr">
        <is>
          <t>DEU</t>
        </is>
      </c>
      <c r="D306" s="14" t="inlineStr">
        <is>
          <t>Germany</t>
        </is>
      </c>
      <c r="E306" s="14" t="n">
        <v>2023</v>
      </c>
      <c r="F306" s="14" t="n">
        <v>0.19</v>
      </c>
      <c r="G306" s="14" t="n">
        <v>7.951</v>
      </c>
      <c r="H306" s="14" t="n">
        <v>1.811</v>
      </c>
      <c r="I306" s="14" t="n">
        <v>9.787000000000001</v>
      </c>
      <c r="J306" s="14" t="n">
        <v>17.738</v>
      </c>
      <c r="K306" s="14" t="n">
        <v>0</v>
      </c>
      <c r="L306" s="14" t="n">
        <v>1</v>
      </c>
      <c r="M306" s="14" t="n">
        <v>7.777</v>
      </c>
      <c r="N306" s="14" t="n">
        <v>3.857</v>
      </c>
      <c r="O306" s="14" t="n">
        <v>9.961</v>
      </c>
      <c r="P306" s="14" t="n">
        <v>17.738</v>
      </c>
      <c r="Q306" s="14" t="n">
        <v>0</v>
      </c>
      <c r="R306" s="14" t="n">
        <v>1</v>
      </c>
      <c r="S306" s="14" t="n">
        <v>10.66</v>
      </c>
      <c r="T306" s="14" t="n">
        <v>5.816</v>
      </c>
      <c r="U306" s="14" t="n">
        <v>0.589</v>
      </c>
      <c r="V306" s="14" t="n">
        <v>13.111</v>
      </c>
      <c r="W306" s="14" t="n">
        <v>0.19</v>
      </c>
      <c r="X306" s="14" t="n">
        <v>1</v>
      </c>
      <c r="Y306" s="14" t="n">
        <v>18.171</v>
      </c>
      <c r="Z306" s="14" t="n">
        <v>2.035</v>
      </c>
      <c r="AA306" s="14" t="n">
        <v>10.693</v>
      </c>
      <c r="AB306" s="14" t="n">
        <v>28.864</v>
      </c>
      <c r="AC306" s="14" t="n">
        <v>0</v>
      </c>
      <c r="AD306" s="14" t="n">
        <v>1</v>
      </c>
      <c r="AE306" s="14" t="n">
        <v>18.27</v>
      </c>
      <c r="AF306" s="14" t="n">
        <v>3.639</v>
      </c>
      <c r="AG306" s="14" t="n">
        <v>10.595</v>
      </c>
      <c r="AH306" s="14" t="n">
        <v>28.864</v>
      </c>
      <c r="AI306" s="14" t="n">
        <v>0</v>
      </c>
      <c r="AJ306" s="14" t="n">
        <v>1</v>
      </c>
      <c r="AK306" s="14" t="n">
        <v>25.373</v>
      </c>
      <c r="AL306" s="14" t="n">
        <v>12.569</v>
      </c>
      <c r="AM306" s="14" t="n">
        <v>4.593</v>
      </c>
      <c r="AN306" s="14" t="n">
        <v>35.659</v>
      </c>
      <c r="AO306" s="14" t="n">
        <v>0.19</v>
      </c>
      <c r="AP306" s="14" t="n">
        <v>1</v>
      </c>
      <c r="AQ306" s="14" t="n">
        <v>0.76</v>
      </c>
      <c r="AR306" s="14" t="n">
        <v>0.129</v>
      </c>
      <c r="AS306" s="14" t="n">
        <v>0.921</v>
      </c>
      <c r="AT306" s="14" t="n">
        <v>2</v>
      </c>
      <c r="AU306" s="14" t="n">
        <v>0.19</v>
      </c>
      <c r="AV306" s="14" t="n">
        <v>1</v>
      </c>
      <c r="AW306" s="14" t="n">
        <v>0.8110000000000001</v>
      </c>
      <c r="AX306" s="14" t="n">
        <v>0.129</v>
      </c>
      <c r="AY306" s="14" t="n">
        <v>0.758</v>
      </c>
      <c r="AZ306" s="14" t="n">
        <v>1.868</v>
      </c>
      <c r="BA306" s="14" t="n">
        <v>0.19</v>
      </c>
      <c r="BB306" s="14" t="n">
        <v>1</v>
      </c>
      <c r="BC306" s="14" t="n">
        <v>0.535</v>
      </c>
      <c r="BD306" s="14" t="n">
        <v>0.129</v>
      </c>
      <c r="BE306" s="14" t="n">
        <v>0.401</v>
      </c>
      <c r="BF306" s="14" t="n">
        <v>1.113</v>
      </c>
      <c r="BG306" s="14" t="n">
        <v>0.19</v>
      </c>
      <c r="BH306" s="14" t="n">
        <v>1</v>
      </c>
      <c r="BI306" s="14" t="n">
        <v>0.579</v>
      </c>
      <c r="BJ306" s="14" t="n">
        <v>0.129</v>
      </c>
      <c r="BK306" s="14" t="n">
        <v>0.363</v>
      </c>
      <c r="BL306" s="14" t="n">
        <v>1.122</v>
      </c>
      <c r="BM306" s="14" t="n">
        <v>0.19</v>
      </c>
      <c r="BN306" s="14" t="n">
        <v>1</v>
      </c>
      <c r="BO306" s="14" t="n">
        <v>0</v>
      </c>
      <c r="BP306" s="14" t="n">
        <v>0.022</v>
      </c>
      <c r="BQ306" s="14" t="n">
        <v>0.199</v>
      </c>
      <c r="BR306" s="14" t="n">
        <v>0</v>
      </c>
      <c r="BS306" s="14" t="n">
        <v>1</v>
      </c>
      <c r="BT306" s="14" t="n">
        <v>0</v>
      </c>
      <c r="BU306" s="14" t="n">
        <v>0.054</v>
      </c>
      <c r="BV306" s="14" t="n">
        <v>0.44</v>
      </c>
      <c r="BW306" s="14" t="n">
        <v>0.19</v>
      </c>
      <c r="BX306" s="14" t="n">
        <v>0.833</v>
      </c>
      <c r="BY306" s="14" t="n">
        <v>13.254</v>
      </c>
      <c r="BZ306" s="14" t="n">
        <v>0</v>
      </c>
      <c r="CA306" s="14" t="n">
        <v>13.254</v>
      </c>
      <c r="CB306" s="14" t="n">
        <v>0</v>
      </c>
      <c r="CC306" s="14" t="n">
        <v>83.248</v>
      </c>
      <c r="CD306" s="14" t="n">
        <v>7.95</v>
      </c>
      <c r="CE306" s="14" t="n">
        <v>116.06</v>
      </c>
      <c r="CF306" s="14" t="n">
        <v>237.176</v>
      </c>
      <c r="CG306" s="14" t="n">
        <v>0.19</v>
      </c>
      <c r="CH306" s="14" t="n">
        <v>1</v>
      </c>
      <c r="CI306" s="14" t="n">
        <v>0</v>
      </c>
      <c r="CJ306" s="14" t="n">
        <v>0</v>
      </c>
      <c r="CK306" s="14" t="n">
        <v>0</v>
      </c>
      <c r="CL306" s="14" t="n">
        <v>0.61</v>
      </c>
      <c r="CM306" s="14" t="n">
        <v>0</v>
      </c>
      <c r="CN306" s="14" t="n">
        <v>0.08</v>
      </c>
      <c r="CO306" s="14" t="n">
        <v>0.064</v>
      </c>
      <c r="CP306" s="14" t="n">
        <v>0</v>
      </c>
      <c r="CQ306" s="14" t="n">
        <v>1.348</v>
      </c>
      <c r="CR306" s="14" t="n">
        <v>0</v>
      </c>
      <c r="CS306" s="14" t="n">
        <v>6.289</v>
      </c>
      <c r="CT306" s="14" t="n">
        <v>8.233000000000001</v>
      </c>
      <c r="CU306" s="14" t="n">
        <v>14.257</v>
      </c>
    </row>
    <row r="307">
      <c r="A307" s="14" t="inlineStr">
        <is>
          <t>DEU2024</t>
        </is>
      </c>
      <c r="B307" s="14" t="inlineStr">
        <is>
          <t>DEU</t>
        </is>
      </c>
      <c r="C307" s="14" t="inlineStr">
        <is>
          <t>DEU</t>
        </is>
      </c>
      <c r="D307" s="14" t="inlineStr">
        <is>
          <t>Germany</t>
        </is>
      </c>
      <c r="E307" s="14" t="n">
        <v>2024</v>
      </c>
      <c r="F307" s="14" t="n">
        <v>0.19</v>
      </c>
      <c r="G307" s="14" t="n">
        <v>7.042</v>
      </c>
      <c r="H307" s="14" t="n">
        <v>1.784</v>
      </c>
      <c r="I307" s="14" t="n">
        <v>6.414</v>
      </c>
      <c r="J307" s="14" t="n">
        <v>13.456</v>
      </c>
      <c r="K307" s="14" t="n">
        <v>0</v>
      </c>
      <c r="L307" s="14" t="n">
        <v>1</v>
      </c>
      <c r="M307" s="14" t="n">
        <v>6.908</v>
      </c>
      <c r="N307" s="14" t="n">
        <v>3.763</v>
      </c>
      <c r="O307" s="14" t="n">
        <v>6.548</v>
      </c>
      <c r="P307" s="14" t="n">
        <v>13.456</v>
      </c>
      <c r="Q307" s="14" t="n">
        <v>0</v>
      </c>
      <c r="R307" s="14" t="n">
        <v>1</v>
      </c>
      <c r="S307" s="14" t="n">
        <v>10.253</v>
      </c>
      <c r="T307" s="14" t="n">
        <v>5.987</v>
      </c>
      <c r="U307" s="14" t="n">
        <v>5.647</v>
      </c>
      <c r="V307" s="14" t="n">
        <v>18.444</v>
      </c>
      <c r="W307" s="14" t="n">
        <v>0.19</v>
      </c>
      <c r="X307" s="14" t="n">
        <v>1</v>
      </c>
      <c r="Y307" s="14" t="n">
        <v>17.078</v>
      </c>
      <c r="Z307" s="14" t="n">
        <v>2.156</v>
      </c>
      <c r="AA307" s="14" t="n">
        <v>7.499</v>
      </c>
      <c r="AB307" s="14" t="n">
        <v>24.576</v>
      </c>
      <c r="AC307" s="14" t="n">
        <v>0</v>
      </c>
      <c r="AD307" s="14" t="n">
        <v>1</v>
      </c>
      <c r="AE307" s="14" t="n">
        <v>17.078</v>
      </c>
      <c r="AF307" s="14" t="n">
        <v>3.741</v>
      </c>
      <c r="AG307" s="14" t="n">
        <v>7.499</v>
      </c>
      <c r="AH307" s="14" t="n">
        <v>24.576</v>
      </c>
      <c r="AI307" s="14" t="n">
        <v>0</v>
      </c>
      <c r="AJ307" s="14" t="n">
        <v>1</v>
      </c>
      <c r="AK307" s="14" t="n">
        <v>25.797</v>
      </c>
      <c r="AL307" s="14" t="n">
        <v>13.121</v>
      </c>
      <c r="AM307" s="14" t="n">
        <v>4.974</v>
      </c>
      <c r="AN307" s="14" t="n">
        <v>36.618</v>
      </c>
      <c r="AO307" s="14" t="n">
        <v>0.19</v>
      </c>
      <c r="AP307" s="14" t="n">
        <v>1</v>
      </c>
      <c r="AQ307" s="14" t="n">
        <v>0.724</v>
      </c>
      <c r="AR307" s="14" t="n">
        <v>0.132</v>
      </c>
      <c r="AS307" s="14" t="n">
        <v>0.905</v>
      </c>
      <c r="AT307" s="14" t="n">
        <v>1.939</v>
      </c>
      <c r="AU307" s="14" t="n">
        <v>0.19</v>
      </c>
      <c r="AV307" s="14" t="n">
        <v>1</v>
      </c>
      <c r="AW307" s="14" t="n">
        <v>0.75</v>
      </c>
      <c r="AX307" s="14" t="n">
        <v>0.132</v>
      </c>
      <c r="AY307" s="14" t="n">
        <v>0.748</v>
      </c>
      <c r="AZ307" s="14" t="n">
        <v>1.783</v>
      </c>
      <c r="BA307" s="14" t="n">
        <v>0.19</v>
      </c>
      <c r="BB307" s="14" t="n">
        <v>1</v>
      </c>
      <c r="BC307" s="14" t="n">
        <v>0.513</v>
      </c>
      <c r="BD307" s="14" t="n">
        <v>0.132</v>
      </c>
      <c r="BE307" s="14" t="n">
        <v>0.393</v>
      </c>
      <c r="BF307" s="14" t="n">
        <v>1.078</v>
      </c>
      <c r="BG307" s="14" t="n">
        <v>0.19</v>
      </c>
      <c r="BH307" s="14" t="n">
        <v>1</v>
      </c>
      <c r="BI307" s="14" t="n">
        <v>0.591</v>
      </c>
      <c r="BJ307" s="14" t="n">
        <v>0.132</v>
      </c>
      <c r="BK307" s="14" t="n">
        <v>0.293</v>
      </c>
      <c r="BL307" s="14" t="n">
        <v>1.053</v>
      </c>
      <c r="BM307" s="14" t="n">
        <v>0.19</v>
      </c>
      <c r="BN307" s="14" t="n">
        <v>1</v>
      </c>
      <c r="BO307" s="14" t="n">
        <v>0</v>
      </c>
      <c r="BP307" s="14" t="n">
        <v>0.022</v>
      </c>
      <c r="BQ307" s="14" t="n">
        <v>0.184</v>
      </c>
      <c r="BR307" s="14" t="n">
        <v>0</v>
      </c>
      <c r="BS307" s="14" t="n">
        <v>1</v>
      </c>
      <c r="BT307" s="14" t="n">
        <v>0</v>
      </c>
      <c r="BU307" s="14" t="n">
        <v>0.056</v>
      </c>
      <c r="BV307" s="14" t="n">
        <v>0.427</v>
      </c>
      <c r="BW307" s="14" t="n">
        <v>0.19</v>
      </c>
      <c r="BX307" s="14" t="n">
        <v>0.833</v>
      </c>
      <c r="BY307" s="14" t="n">
        <v>13.646</v>
      </c>
      <c r="BZ307" s="14" t="n">
        <v>0</v>
      </c>
      <c r="CA307" s="14" t="n">
        <v>13.646</v>
      </c>
      <c r="CB307" s="14" t="n">
        <v>0</v>
      </c>
      <c r="CC307" s="14" t="n">
        <v>82.58799999999999</v>
      </c>
      <c r="CD307" s="14" t="n">
        <v>7.95</v>
      </c>
      <c r="CE307" s="14" t="n">
        <v>96.38</v>
      </c>
      <c r="CF307" s="14" t="n">
        <v>212.972</v>
      </c>
      <c r="CG307" s="14" t="n">
        <v>0.19</v>
      </c>
      <c r="CH307" s="14" t="n">
        <v>1</v>
      </c>
      <c r="CI307" s="14" t="n">
        <v>0</v>
      </c>
      <c r="CJ307" s="14" t="n">
        <v>0</v>
      </c>
      <c r="CK307" s="14" t="n">
        <v>0</v>
      </c>
      <c r="CL307" s="14" t="n">
        <v>0.628</v>
      </c>
      <c r="CM307" s="14" t="n">
        <v>0</v>
      </c>
      <c r="CN307" s="14" t="n">
        <v>0.074</v>
      </c>
      <c r="CO307" s="14" t="n">
        <v>0.065</v>
      </c>
      <c r="CP307" s="14" t="n">
        <v>0</v>
      </c>
      <c r="CQ307" s="14" t="n">
        <v>1.387</v>
      </c>
      <c r="CR307" s="14" t="n">
        <v>0</v>
      </c>
      <c r="CS307" s="14" t="n">
        <v>6.475</v>
      </c>
      <c r="CT307" s="14" t="n">
        <v>7.055</v>
      </c>
      <c r="CU307" s="14" t="n">
        <v>10.98</v>
      </c>
    </row>
    <row r="308">
      <c r="A308" s="14" t="inlineStr">
        <is>
          <t>GHA2021</t>
        </is>
      </c>
      <c r="B308" s="14" t="inlineStr">
        <is>
          <t>GHA</t>
        </is>
      </c>
      <c r="C308" s="14" t="inlineStr">
        <is>
          <t>GHA</t>
        </is>
      </c>
      <c r="D308" s="14" t="inlineStr">
        <is>
          <t>Ghana</t>
        </is>
      </c>
      <c r="E308" s="14" t="n">
        <v>2021</v>
      </c>
      <c r="F308" s="14" t="n">
        <v>0.181</v>
      </c>
      <c r="G308" s="14" t="n">
        <v>5.897</v>
      </c>
      <c r="H308" s="14" t="n">
        <v>1.143</v>
      </c>
      <c r="I308" s="14" t="n">
        <v>0.238</v>
      </c>
      <c r="J308" s="14" t="n">
        <v>6.134</v>
      </c>
      <c r="K308" s="14" t="n">
        <v>0</v>
      </c>
      <c r="L308" s="14" t="n">
        <v>1</v>
      </c>
      <c r="M308" s="14" t="n">
        <v>7.964</v>
      </c>
      <c r="N308" s="14" t="n">
        <v>3.43</v>
      </c>
      <c r="O308" s="14" t="n">
        <v>0.227</v>
      </c>
      <c r="P308" s="14" t="n">
        <v>8.191000000000001</v>
      </c>
      <c r="Q308" s="14" t="n">
        <v>0</v>
      </c>
      <c r="R308" s="14" t="n">
        <v>1</v>
      </c>
      <c r="S308" s="14" t="n">
        <v>11.613</v>
      </c>
      <c r="T308" s="14" t="n">
        <v>6.86</v>
      </c>
      <c r="U308" s="14" t="n">
        <v>0.238</v>
      </c>
      <c r="V308" s="14" t="n">
        <v>14</v>
      </c>
      <c r="W308" s="14" t="n">
        <v>0.181</v>
      </c>
      <c r="X308" s="14" t="n">
        <v>1</v>
      </c>
      <c r="Y308" s="14" t="n">
        <v>5.197</v>
      </c>
      <c r="Z308" s="14" t="n">
        <v>0.493</v>
      </c>
      <c r="AA308" s="14" t="n">
        <v>1.656</v>
      </c>
      <c r="AB308" s="14" t="n">
        <v>6.853</v>
      </c>
      <c r="AC308" s="14" t="n">
        <v>0</v>
      </c>
      <c r="AD308" s="14" t="n">
        <v>1</v>
      </c>
      <c r="AE308" s="14" t="n">
        <v>5.853</v>
      </c>
      <c r="AF308" s="14" t="n">
        <v>0.997</v>
      </c>
      <c r="AG308" s="14" t="n">
        <v>1.656</v>
      </c>
      <c r="AH308" s="14" t="n">
        <v>7.509</v>
      </c>
      <c r="AI308" s="14" t="n">
        <v>0</v>
      </c>
      <c r="AJ308" s="14" t="n">
        <v>1</v>
      </c>
      <c r="AK308" s="14" t="n">
        <v>9.789999999999999</v>
      </c>
      <c r="AL308" s="14" t="n">
        <v>4.257</v>
      </c>
      <c r="AM308" s="14" t="n">
        <v>-0.968</v>
      </c>
      <c r="AN308" s="14" t="n">
        <v>10.421</v>
      </c>
      <c r="AO308" s="14" t="n">
        <v>0.181</v>
      </c>
      <c r="AP308" s="14" t="n">
        <v>1</v>
      </c>
      <c r="AQ308" s="14" t="n">
        <v>0.619</v>
      </c>
      <c r="AR308" s="14" t="n">
        <v>0.114</v>
      </c>
      <c r="AS308" s="14" t="n">
        <v>0.278</v>
      </c>
      <c r="AT308" s="14" t="n">
        <v>1.059</v>
      </c>
      <c r="AU308" s="14" t="n">
        <v>0.181</v>
      </c>
      <c r="AV308" s="14" t="n">
        <v>1</v>
      </c>
      <c r="AW308" s="14" t="n">
        <v>0.599</v>
      </c>
      <c r="AX308" s="14" t="n">
        <v>0.114</v>
      </c>
      <c r="AY308" s="14" t="n">
        <v>0.296</v>
      </c>
      <c r="AZ308" s="14" t="n">
        <v>1.058</v>
      </c>
      <c r="BA308" s="14" t="n">
        <v>0.181</v>
      </c>
      <c r="BB308" s="14" t="n">
        <v>1</v>
      </c>
      <c r="BC308" s="14" t="n">
        <v>0.439</v>
      </c>
      <c r="BD308" s="14" t="n">
        <v>0.114</v>
      </c>
      <c r="BE308" s="14" t="n">
        <v>0.186</v>
      </c>
      <c r="BF308" s="14" t="n">
        <v>0.739</v>
      </c>
      <c r="BG308" s="14" t="n">
        <v>0.181</v>
      </c>
      <c r="BH308" s="14" t="n">
        <v>1</v>
      </c>
      <c r="BI308" s="14" t="n">
        <v>0.505</v>
      </c>
      <c r="BJ308" s="14" t="n">
        <v>0.114</v>
      </c>
      <c r="BK308" s="14" t="n">
        <v>0.238</v>
      </c>
      <c r="BL308" s="14" t="n">
        <v>0.877</v>
      </c>
      <c r="BM308" s="14" t="n">
        <v>0.181</v>
      </c>
      <c r="BN308" s="14" t="n">
        <v>1</v>
      </c>
      <c r="BO308" s="14" t="n">
        <v>0</v>
      </c>
      <c r="BP308" s="14" t="n">
        <v>-0.036</v>
      </c>
      <c r="BQ308" s="14" t="n">
        <v>0.225</v>
      </c>
      <c r="BR308" s="14" t="n">
        <v>0</v>
      </c>
      <c r="BS308" s="14" t="n">
        <v>1</v>
      </c>
      <c r="BT308" s="14" t="n">
        <v>0</v>
      </c>
      <c r="BU308" s="14" t="n">
        <v>-0.036</v>
      </c>
      <c r="BV308" s="14" t="n">
        <v>0.117</v>
      </c>
      <c r="BW308" s="14" t="n">
        <v>0</v>
      </c>
      <c r="BX308" s="14" t="n">
        <v>1</v>
      </c>
      <c r="BY308" s="14" t="n">
        <v>11.787</v>
      </c>
      <c r="BZ308" s="14" t="n">
        <v>0</v>
      </c>
      <c r="CA308" s="14" t="n">
        <v>11.787</v>
      </c>
      <c r="CB308" s="14" t="n">
        <v>0</v>
      </c>
      <c r="CC308" s="14" t="n">
        <v>78.125</v>
      </c>
      <c r="CD308" s="14" t="n">
        <v>7.95</v>
      </c>
      <c r="CE308" s="14" t="n">
        <v>-48.001</v>
      </c>
      <c r="CF308" s="14" t="n">
        <v>35.586</v>
      </c>
      <c r="CG308" s="14" t="n">
        <v>0</v>
      </c>
      <c r="CH308" s="14" t="n">
        <v>1</v>
      </c>
      <c r="CI308" s="14" t="n">
        <v>0</v>
      </c>
      <c r="CJ308" s="14" t="n">
        <v>0</v>
      </c>
      <c r="CK308" s="14" t="n">
        <v>0</v>
      </c>
      <c r="CL308" s="14" t="n">
        <v>0</v>
      </c>
      <c r="CM308" s="14" t="n">
        <v>0</v>
      </c>
      <c r="CN308" s="14" t="n">
        <v>0</v>
      </c>
      <c r="CO308" s="14" t="n">
        <v>0</v>
      </c>
      <c r="CP308" s="14" t="n">
        <v>0</v>
      </c>
      <c r="CQ308" s="14" t="n">
        <v>1.198</v>
      </c>
      <c r="CR308" s="14" t="n">
        <v>0.852</v>
      </c>
      <c r="CS308" s="14" t="n">
        <v>2.702</v>
      </c>
      <c r="CT308" s="14" t="n">
        <v>4.753</v>
      </c>
      <c r="CU308" s="14" t="n">
        <v>15.162</v>
      </c>
    </row>
    <row r="309">
      <c r="A309" s="14" t="inlineStr">
        <is>
          <t>GHA2022</t>
        </is>
      </c>
      <c r="B309" s="14" t="inlineStr">
        <is>
          <t>GHA</t>
        </is>
      </c>
      <c r="C309" s="14" t="inlineStr">
        <is>
          <t>GHA</t>
        </is>
      </c>
      <c r="D309" s="14" t="inlineStr">
        <is>
          <t>Ghana</t>
        </is>
      </c>
      <c r="E309" s="14" t="n">
        <v>2022</v>
      </c>
      <c r="F309" s="14" t="n">
        <v>0.185</v>
      </c>
      <c r="G309" s="14" t="n">
        <v>11.72</v>
      </c>
      <c r="H309" s="14" t="n">
        <v>1.235</v>
      </c>
      <c r="I309" s="14" t="n">
        <v>0.5659999999999999</v>
      </c>
      <c r="J309" s="14" t="n">
        <v>12.286</v>
      </c>
      <c r="K309" s="14" t="n">
        <v>0</v>
      </c>
      <c r="L309" s="14" t="n">
        <v>1</v>
      </c>
      <c r="M309" s="14" t="n">
        <v>9.782999999999999</v>
      </c>
      <c r="N309" s="14" t="n">
        <v>3.704</v>
      </c>
      <c r="O309" s="14" t="n">
        <v>0.328</v>
      </c>
      <c r="P309" s="14" t="n">
        <v>10.111</v>
      </c>
      <c r="Q309" s="14" t="n">
        <v>0</v>
      </c>
      <c r="R309" s="14" t="n">
        <v>1</v>
      </c>
      <c r="S309" s="14" t="n">
        <v>17.893</v>
      </c>
      <c r="T309" s="14" t="n">
        <v>7.408</v>
      </c>
      <c r="U309" s="14" t="n">
        <v>0.819</v>
      </c>
      <c r="V309" s="14" t="n">
        <v>21.874</v>
      </c>
      <c r="W309" s="14" t="n">
        <v>0.185</v>
      </c>
      <c r="X309" s="14" t="n">
        <v>1</v>
      </c>
      <c r="Y309" s="14" t="n">
        <v>7.724</v>
      </c>
      <c r="Z309" s="14" t="n">
        <v>0.732</v>
      </c>
      <c r="AA309" s="14" t="n">
        <v>1.405</v>
      </c>
      <c r="AB309" s="14" t="n">
        <v>9.129</v>
      </c>
      <c r="AC309" s="14" t="n">
        <v>0</v>
      </c>
      <c r="AD309" s="14" t="n">
        <v>1</v>
      </c>
      <c r="AE309" s="14" t="n">
        <v>8.430999999999999</v>
      </c>
      <c r="AF309" s="14" t="n">
        <v>1.436</v>
      </c>
      <c r="AG309" s="14" t="n">
        <v>1.405</v>
      </c>
      <c r="AH309" s="14" t="n">
        <v>9.835000000000001</v>
      </c>
      <c r="AI309" s="14" t="n">
        <v>0</v>
      </c>
      <c r="AJ309" s="14" t="n">
        <v>1</v>
      </c>
      <c r="AK309" s="14" t="n">
        <v>12.67</v>
      </c>
      <c r="AL309" s="14" t="n">
        <v>5.509</v>
      </c>
      <c r="AM309" s="14" t="n">
        <v>-0.778</v>
      </c>
      <c r="AN309" s="14" t="n">
        <v>13.902</v>
      </c>
      <c r="AO309" s="14" t="n">
        <v>0.185</v>
      </c>
      <c r="AP309" s="14" t="n">
        <v>1</v>
      </c>
      <c r="AQ309" s="14" t="n">
        <v>0.861</v>
      </c>
      <c r="AR309" s="14" t="n">
        <v>0.123</v>
      </c>
      <c r="AS309" s="14" t="n">
        <v>0.312</v>
      </c>
      <c r="AT309" s="14" t="n">
        <v>1.39</v>
      </c>
      <c r="AU309" s="14" t="n">
        <v>0.185</v>
      </c>
      <c r="AV309" s="14" t="n">
        <v>1</v>
      </c>
      <c r="AW309" s="14" t="n">
        <v>0.986</v>
      </c>
      <c r="AX309" s="14" t="n">
        <v>0.123</v>
      </c>
      <c r="AY309" s="14" t="n">
        <v>0.365</v>
      </c>
      <c r="AZ309" s="14" t="n">
        <v>1.601</v>
      </c>
      <c r="BA309" s="14" t="n">
        <v>0.185</v>
      </c>
      <c r="BB309" s="14" t="n">
        <v>1</v>
      </c>
      <c r="BC309" s="14" t="n">
        <v>0.598</v>
      </c>
      <c r="BD309" s="14" t="n">
        <v>0.123</v>
      </c>
      <c r="BE309" s="14" t="n">
        <v>0.101</v>
      </c>
      <c r="BF309" s="14" t="n">
        <v>0.828</v>
      </c>
      <c r="BG309" s="14" t="n">
        <v>0.185</v>
      </c>
      <c r="BH309" s="14" t="n">
        <v>1</v>
      </c>
      <c r="BI309" s="14" t="n">
        <v>0.612</v>
      </c>
      <c r="BJ309" s="14" t="n">
        <v>0.123</v>
      </c>
      <c r="BK309" s="14" t="n">
        <v>0.59</v>
      </c>
      <c r="BL309" s="14" t="n">
        <v>1.425</v>
      </c>
      <c r="BM309" s="14" t="n">
        <v>0.185</v>
      </c>
      <c r="BN309" s="14" t="n">
        <v>1</v>
      </c>
      <c r="BO309" s="14" t="n">
        <v>0</v>
      </c>
      <c r="BP309" s="14" t="n">
        <v>-0.036</v>
      </c>
      <c r="BQ309" s="14" t="n">
        <v>0.106</v>
      </c>
      <c r="BR309" s="14" t="n">
        <v>0</v>
      </c>
      <c r="BS309" s="14" t="n">
        <v>1</v>
      </c>
      <c r="BT309" s="14" t="n">
        <v>0</v>
      </c>
      <c r="BU309" s="14" t="n">
        <v>-0.036</v>
      </c>
      <c r="BV309" s="14" t="n">
        <v>0.098</v>
      </c>
      <c r="BW309" s="14" t="n">
        <v>0</v>
      </c>
      <c r="BX309" s="14" t="n">
        <v>1</v>
      </c>
      <c r="BY309" s="14" t="n">
        <v>12.729</v>
      </c>
      <c r="BZ309" s="14" t="n">
        <v>0</v>
      </c>
      <c r="CA309" s="14" t="n">
        <v>12.729</v>
      </c>
      <c r="CB309" s="14" t="n">
        <v>0</v>
      </c>
      <c r="CC309" s="14" t="n">
        <v>97.90000000000001</v>
      </c>
      <c r="CD309" s="14" t="n">
        <v>7.95</v>
      </c>
      <c r="CE309" s="14" t="n">
        <v>-34.232</v>
      </c>
      <c r="CF309" s="14" t="n">
        <v>75.446</v>
      </c>
      <c r="CG309" s="14" t="n">
        <v>0</v>
      </c>
      <c r="CH309" s="14" t="n">
        <v>1</v>
      </c>
      <c r="CI309" s="14" t="n">
        <v>0</v>
      </c>
      <c r="CJ309" s="14" t="n">
        <v>0</v>
      </c>
      <c r="CK309" s="14" t="n">
        <v>0</v>
      </c>
      <c r="CL309" s="14" t="n">
        <v>0</v>
      </c>
      <c r="CM309" s="14" t="n">
        <v>0</v>
      </c>
      <c r="CN309" s="14" t="n">
        <v>0</v>
      </c>
      <c r="CO309" s="14" t="n">
        <v>0</v>
      </c>
      <c r="CP309" s="14" t="n">
        <v>0</v>
      </c>
      <c r="CQ309" s="14" t="n">
        <v>1.294</v>
      </c>
      <c r="CR309" s="14" t="n">
        <v>0.855</v>
      </c>
      <c r="CS309" s="14" t="n">
        <v>2.918</v>
      </c>
      <c r="CT309" s="14" t="n">
        <v>10.485</v>
      </c>
      <c r="CU309" s="14" t="n">
        <v>31.326</v>
      </c>
    </row>
    <row r="310">
      <c r="A310" s="14" t="inlineStr">
        <is>
          <t>GHA2023</t>
        </is>
      </c>
      <c r="B310" s="14" t="inlineStr">
        <is>
          <t>GHA</t>
        </is>
      </c>
      <c r="C310" s="14" t="inlineStr">
        <is>
          <t>GHA</t>
        </is>
      </c>
      <c r="D310" s="14" t="inlineStr">
        <is>
          <t>Ghana</t>
        </is>
      </c>
      <c r="E310" s="14" t="n">
        <v>2023</v>
      </c>
      <c r="F310" s="14" t="n">
        <v>0.185</v>
      </c>
      <c r="G310" s="14" t="n">
        <v>6.147</v>
      </c>
      <c r="H310" s="14" t="n">
        <v>1.286</v>
      </c>
      <c r="I310" s="14" t="n">
        <v>0.273</v>
      </c>
      <c r="J310" s="14" t="n">
        <v>6.42</v>
      </c>
      <c r="K310" s="14" t="n">
        <v>0</v>
      </c>
      <c r="L310" s="14" t="n">
        <v>1</v>
      </c>
      <c r="M310" s="14" t="n">
        <v>7.886</v>
      </c>
      <c r="N310" s="14" t="n">
        <v>3.857</v>
      </c>
      <c r="O310" s="14" t="n">
        <v>0.227</v>
      </c>
      <c r="P310" s="14" t="n">
        <v>8.113</v>
      </c>
      <c r="Q310" s="14" t="n">
        <v>0</v>
      </c>
      <c r="R310" s="14" t="n">
        <v>1</v>
      </c>
      <c r="S310" s="14" t="n">
        <v>12.575</v>
      </c>
      <c r="T310" s="14" t="n">
        <v>7.714</v>
      </c>
      <c r="U310" s="14" t="n">
        <v>0.536</v>
      </c>
      <c r="V310" s="14" t="n">
        <v>15.225</v>
      </c>
      <c r="W310" s="14" t="n">
        <v>0.185</v>
      </c>
      <c r="X310" s="14" t="n">
        <v>1</v>
      </c>
      <c r="Y310" s="14" t="n">
        <v>3.79</v>
      </c>
      <c r="Z310" s="14" t="n">
        <v>0.359</v>
      </c>
      <c r="AA310" s="14" t="n">
        <v>0.912</v>
      </c>
      <c r="AB310" s="14" t="n">
        <v>4.702</v>
      </c>
      <c r="AC310" s="14" t="n">
        <v>0</v>
      </c>
      <c r="AD310" s="14" t="n">
        <v>1</v>
      </c>
      <c r="AE310" s="14" t="n">
        <v>4.542</v>
      </c>
      <c r="AF310" s="14" t="n">
        <v>0.774</v>
      </c>
      <c r="AG310" s="14" t="n">
        <v>0.912</v>
      </c>
      <c r="AH310" s="14" t="n">
        <v>5.454</v>
      </c>
      <c r="AI310" s="14" t="n">
        <v>0</v>
      </c>
      <c r="AJ310" s="14" t="n">
        <v>1</v>
      </c>
      <c r="AK310" s="14" t="n">
        <v>9.055</v>
      </c>
      <c r="AL310" s="14" t="n">
        <v>3.937</v>
      </c>
      <c r="AM310" s="14" t="n">
        <v>-0.9350000000000001</v>
      </c>
      <c r="AN310" s="14" t="n">
        <v>9.428000000000001</v>
      </c>
      <c r="AO310" s="14" t="n">
        <v>0.185</v>
      </c>
      <c r="AP310" s="14" t="n">
        <v>1</v>
      </c>
      <c r="AQ310" s="14" t="n">
        <v>0.76</v>
      </c>
      <c r="AR310" s="14" t="n">
        <v>0.129</v>
      </c>
      <c r="AS310" s="14" t="n">
        <v>0.271</v>
      </c>
      <c r="AT310" s="14" t="n">
        <v>1.222</v>
      </c>
      <c r="AU310" s="14" t="n">
        <v>0.185</v>
      </c>
      <c r="AV310" s="14" t="n">
        <v>1</v>
      </c>
      <c r="AW310" s="14" t="n">
        <v>0.8110000000000001</v>
      </c>
      <c r="AX310" s="14" t="n">
        <v>0.129</v>
      </c>
      <c r="AY310" s="14" t="n">
        <v>0.281</v>
      </c>
      <c r="AZ310" s="14" t="n">
        <v>1.295</v>
      </c>
      <c r="BA310" s="14" t="n">
        <v>0.185</v>
      </c>
      <c r="BB310" s="14" t="n">
        <v>1</v>
      </c>
      <c r="BC310" s="14" t="n">
        <v>0.535</v>
      </c>
      <c r="BD310" s="14" t="n">
        <v>0.129</v>
      </c>
      <c r="BE310" s="14" t="n">
        <v>0.082</v>
      </c>
      <c r="BF310" s="14" t="n">
        <v>0.731</v>
      </c>
      <c r="BG310" s="14" t="n">
        <v>0.185</v>
      </c>
      <c r="BH310" s="14" t="n">
        <v>1</v>
      </c>
      <c r="BI310" s="14" t="n">
        <v>0.579</v>
      </c>
      <c r="BJ310" s="14" t="n">
        <v>0.129</v>
      </c>
      <c r="BK310" s="14" t="n">
        <v>0.408</v>
      </c>
      <c r="BL310" s="14" t="n">
        <v>1.17</v>
      </c>
      <c r="BM310" s="14" t="n">
        <v>0.185</v>
      </c>
      <c r="BN310" s="14" t="n">
        <v>1</v>
      </c>
      <c r="BO310" s="14" t="n">
        <v>0</v>
      </c>
      <c r="BP310" s="14" t="n">
        <v>-0.036</v>
      </c>
      <c r="BQ310" s="14" t="n">
        <v>0.13</v>
      </c>
      <c r="BR310" s="14" t="n">
        <v>0</v>
      </c>
      <c r="BS310" s="14" t="n">
        <v>1</v>
      </c>
      <c r="BT310" s="14" t="n">
        <v>0</v>
      </c>
      <c r="BU310" s="14" t="n">
        <v>-0.036</v>
      </c>
      <c r="BV310" s="14" t="n">
        <v>0.138</v>
      </c>
      <c r="BW310" s="14" t="n">
        <v>0</v>
      </c>
      <c r="BX310" s="14" t="n">
        <v>1</v>
      </c>
      <c r="BY310" s="14" t="n">
        <v>13.254</v>
      </c>
      <c r="BZ310" s="14" t="n">
        <v>0</v>
      </c>
      <c r="CA310" s="14" t="n">
        <v>13.254</v>
      </c>
      <c r="CB310" s="14" t="n">
        <v>0</v>
      </c>
      <c r="CC310" s="14" t="n">
        <v>83.248</v>
      </c>
      <c r="CD310" s="14" t="n">
        <v>7.95</v>
      </c>
      <c r="CE310" s="14" t="n">
        <v>12.887</v>
      </c>
      <c r="CF310" s="14" t="n">
        <v>113.92</v>
      </c>
      <c r="CG310" s="14" t="n">
        <v>0</v>
      </c>
      <c r="CH310" s="14" t="n">
        <v>1</v>
      </c>
      <c r="CI310" s="14" t="n">
        <v>0</v>
      </c>
      <c r="CJ310" s="14" t="n">
        <v>0</v>
      </c>
      <c r="CK310" s="14" t="n">
        <v>0</v>
      </c>
      <c r="CL310" s="14" t="n">
        <v>0</v>
      </c>
      <c r="CM310" s="14" t="n">
        <v>0</v>
      </c>
      <c r="CN310" s="14" t="n">
        <v>0</v>
      </c>
      <c r="CO310" s="14" t="n">
        <v>0</v>
      </c>
      <c r="CP310" s="14" t="n">
        <v>0</v>
      </c>
      <c r="CQ310" s="14" t="n">
        <v>1.348</v>
      </c>
      <c r="CR310" s="14" t="n">
        <v>0.83</v>
      </c>
      <c r="CS310" s="14" t="n">
        <v>3.038</v>
      </c>
      <c r="CT310" s="14" t="n">
        <v>4.861</v>
      </c>
      <c r="CU310" s="14" t="n">
        <v>11.622</v>
      </c>
    </row>
    <row r="311">
      <c r="A311" s="14" t="inlineStr">
        <is>
          <t>GHA2024</t>
        </is>
      </c>
      <c r="B311" s="14" t="inlineStr">
        <is>
          <t>GHA</t>
        </is>
      </c>
      <c r="C311" s="14" t="inlineStr">
        <is>
          <t>GHA</t>
        </is>
      </c>
      <c r="D311" s="14" t="inlineStr">
        <is>
          <t>Ghana</t>
        </is>
      </c>
      <c r="E311" s="14" t="n">
        <v>2024</v>
      </c>
      <c r="F311" s="14" t="n">
        <v>0.185</v>
      </c>
      <c r="G311" s="14" t="n">
        <v>5.575</v>
      </c>
      <c r="H311" s="14" t="n">
        <v>1.324</v>
      </c>
      <c r="I311" s="14" t="n">
        <v>0.213</v>
      </c>
      <c r="J311" s="14" t="n">
        <v>5.787</v>
      </c>
      <c r="K311" s="14" t="n">
        <v>0</v>
      </c>
      <c r="L311" s="14" t="n">
        <v>1</v>
      </c>
      <c r="M311" s="14" t="n">
        <v>7.124</v>
      </c>
      <c r="N311" s="14" t="n">
        <v>3.971</v>
      </c>
      <c r="O311" s="14" t="n">
        <v>0.158</v>
      </c>
      <c r="P311" s="14" t="n">
        <v>7.281</v>
      </c>
      <c r="Q311" s="14" t="n">
        <v>0</v>
      </c>
      <c r="R311" s="14" t="n">
        <v>1</v>
      </c>
      <c r="S311" s="14" t="n">
        <v>12.193</v>
      </c>
      <c r="T311" s="14" t="n">
        <v>7.942</v>
      </c>
      <c r="U311" s="14" t="n">
        <v>0.525</v>
      </c>
      <c r="V311" s="14" t="n">
        <v>14.7</v>
      </c>
      <c r="W311" s="14" t="n">
        <v>0.185</v>
      </c>
      <c r="X311" s="14" t="n">
        <v>1</v>
      </c>
      <c r="Y311" s="14" t="n">
        <v>3.902</v>
      </c>
      <c r="Z311" s="14" t="n">
        <v>0.37</v>
      </c>
      <c r="AA311" s="14" t="n">
        <v>0.924</v>
      </c>
      <c r="AB311" s="14" t="n">
        <v>4.826</v>
      </c>
      <c r="AC311" s="14" t="n">
        <v>0</v>
      </c>
      <c r="AD311" s="14" t="n">
        <v>1</v>
      </c>
      <c r="AE311" s="14" t="n">
        <v>4.676</v>
      </c>
      <c r="AF311" s="14" t="n">
        <v>0.797</v>
      </c>
      <c r="AG311" s="14" t="n">
        <v>0.924</v>
      </c>
      <c r="AH311" s="14" t="n">
        <v>5.6</v>
      </c>
      <c r="AI311" s="14" t="n">
        <v>0</v>
      </c>
      <c r="AJ311" s="14" t="n">
        <v>1</v>
      </c>
      <c r="AK311" s="14" t="n">
        <v>9.321999999999999</v>
      </c>
      <c r="AL311" s="14" t="n">
        <v>4.053</v>
      </c>
      <c r="AM311" s="14" t="n">
        <v>-1.002</v>
      </c>
      <c r="AN311" s="14" t="n">
        <v>9.616</v>
      </c>
      <c r="AO311" s="14" t="n">
        <v>0.185</v>
      </c>
      <c r="AP311" s="14" t="n">
        <v>1</v>
      </c>
      <c r="AQ311" s="14" t="n">
        <v>0.724</v>
      </c>
      <c r="AR311" s="14" t="n">
        <v>0.132</v>
      </c>
      <c r="AS311" s="14" t="n">
        <v>0.406</v>
      </c>
      <c r="AT311" s="14" t="n">
        <v>1.34</v>
      </c>
      <c r="AU311" s="14" t="n">
        <v>0.185</v>
      </c>
      <c r="AV311" s="14" t="n">
        <v>1</v>
      </c>
      <c r="AW311" s="14" t="n">
        <v>0.75</v>
      </c>
      <c r="AX311" s="14" t="n">
        <v>0.132</v>
      </c>
      <c r="AY311" s="14" t="n">
        <v>0.368</v>
      </c>
      <c r="AZ311" s="14" t="n">
        <v>1.325</v>
      </c>
      <c r="BA311" s="14" t="n">
        <v>0.185</v>
      </c>
      <c r="BB311" s="14" t="n">
        <v>1</v>
      </c>
      <c r="BC311" s="14" t="n">
        <v>0.513</v>
      </c>
      <c r="BD311" s="14" t="n">
        <v>0.132</v>
      </c>
      <c r="BE311" s="14" t="n">
        <v>0.09</v>
      </c>
      <c r="BF311" s="14" t="n">
        <v>0.715</v>
      </c>
      <c r="BG311" s="14" t="n">
        <v>0.185</v>
      </c>
      <c r="BH311" s="14" t="n">
        <v>1</v>
      </c>
      <c r="BI311" s="14" t="n">
        <v>0.591</v>
      </c>
      <c r="BJ311" s="14" t="n">
        <v>0.132</v>
      </c>
      <c r="BK311" s="14" t="n">
        <v>0.313</v>
      </c>
      <c r="BL311" s="14" t="n">
        <v>1.072</v>
      </c>
      <c r="BM311" s="14" t="n">
        <v>0.185</v>
      </c>
      <c r="BN311" s="14" t="n">
        <v>1</v>
      </c>
      <c r="BO311" s="14" t="n">
        <v>0</v>
      </c>
      <c r="BP311" s="14" t="n">
        <v>-0.037</v>
      </c>
      <c r="BQ311" s="14" t="n">
        <v>0.14</v>
      </c>
      <c r="BR311" s="14" t="n">
        <v>0</v>
      </c>
      <c r="BS311" s="14" t="n">
        <v>1</v>
      </c>
      <c r="BT311" s="14" t="n">
        <v>0</v>
      </c>
      <c r="BU311" s="14" t="n">
        <v>-0.037</v>
      </c>
      <c r="BV311" s="14" t="n">
        <v>0.16</v>
      </c>
      <c r="BW311" s="14" t="n">
        <v>0</v>
      </c>
      <c r="BX311" s="14" t="n">
        <v>1</v>
      </c>
      <c r="BY311" s="14" t="n">
        <v>13.646</v>
      </c>
      <c r="BZ311" s="14" t="n">
        <v>0</v>
      </c>
      <c r="CA311" s="14" t="n">
        <v>13.646</v>
      </c>
      <c r="CB311" s="14" t="n">
        <v>0</v>
      </c>
      <c r="CC311" s="14" t="n">
        <v>82.58799999999999</v>
      </c>
      <c r="CD311" s="14" t="n">
        <v>7.95</v>
      </c>
      <c r="CE311" s="14" t="n">
        <v>-0.579</v>
      </c>
      <c r="CF311" s="14" t="n">
        <v>97.18000000000001</v>
      </c>
      <c r="CG311" s="14" t="n">
        <v>0</v>
      </c>
      <c r="CH311" s="14" t="n">
        <v>1</v>
      </c>
      <c r="CI311" s="14" t="n">
        <v>0</v>
      </c>
      <c r="CJ311" s="14" t="n">
        <v>0</v>
      </c>
      <c r="CK311" s="14" t="n">
        <v>0</v>
      </c>
      <c r="CL311" s="14" t="n">
        <v>0</v>
      </c>
      <c r="CM311" s="14" t="n">
        <v>0</v>
      </c>
      <c r="CN311" s="14" t="n">
        <v>0</v>
      </c>
      <c r="CO311" s="14" t="n">
        <v>0</v>
      </c>
      <c r="CP311" s="14" t="n">
        <v>0</v>
      </c>
      <c r="CQ311" s="14" t="n">
        <v>1.387</v>
      </c>
      <c r="CR311" s="14" t="n">
        <v>0.83</v>
      </c>
      <c r="CS311" s="14" t="n">
        <v>3.128</v>
      </c>
      <c r="CT311" s="14" t="n">
        <v>4.251</v>
      </c>
      <c r="CU311" s="14" t="n">
        <v>10.168</v>
      </c>
    </row>
    <row r="312">
      <c r="A312" s="14" t="inlineStr">
        <is>
          <t>GIB2021</t>
        </is>
      </c>
      <c r="B312" s="14" t="inlineStr">
        <is>
          <t>GIB</t>
        </is>
      </c>
      <c r="C312" s="14" t="inlineStr">
        <is>
          <t>GIB</t>
        </is>
      </c>
      <c r="D312" s="14" t="inlineStr">
        <is>
          <t>Gibraltar</t>
        </is>
      </c>
      <c r="E312" s="14" t="n">
        <v>2021</v>
      </c>
      <c r="F312" s="14" t="n">
        <v>0</v>
      </c>
      <c r="G312" s="14" t="n">
        <v>5.553</v>
      </c>
      <c r="H312" s="14" t="n">
        <v>1.143</v>
      </c>
      <c r="I312" s="14" t="n">
        <v>0</v>
      </c>
      <c r="J312" s="14" t="n">
        <v>5.553</v>
      </c>
      <c r="K312" s="14" t="n">
        <v>0</v>
      </c>
      <c r="L312" s="14" t="n">
        <v>1</v>
      </c>
      <c r="M312" s="14" t="n">
        <v>7.964</v>
      </c>
      <c r="N312" s="14" t="n">
        <v>3.43</v>
      </c>
      <c r="O312" s="14" t="n">
        <v>0</v>
      </c>
      <c r="P312" s="14" t="n">
        <v>7.964</v>
      </c>
      <c r="Q312" s="14" t="n">
        <v>0</v>
      </c>
      <c r="R312" s="14" t="n">
        <v>1</v>
      </c>
      <c r="S312" s="14" t="n">
        <v>11.27</v>
      </c>
      <c r="T312" s="14" t="n">
        <v>6.86</v>
      </c>
      <c r="U312" s="14" t="n">
        <v>0</v>
      </c>
      <c r="V312" s="14" t="n">
        <v>11.27</v>
      </c>
      <c r="W312" s="14" t="n">
        <v>0</v>
      </c>
      <c r="X312" s="14" t="n">
        <v>1</v>
      </c>
      <c r="Y312" s="14" t="n">
        <v>16.305</v>
      </c>
      <c r="Z312" s="14" t="n">
        <v>2.204</v>
      </c>
      <c r="AA312" s="14" t="n">
        <v>0</v>
      </c>
      <c r="AB312" s="14" t="n">
        <v>16.305</v>
      </c>
      <c r="AC312" s="14" t="n">
        <v>0</v>
      </c>
      <c r="AD312" s="14" t="n">
        <v>1</v>
      </c>
      <c r="AE312" s="14" t="n">
        <v>17.449</v>
      </c>
      <c r="AF312" s="14" t="n">
        <v>4.08</v>
      </c>
      <c r="AG312" s="14" t="n">
        <v>0</v>
      </c>
      <c r="AH312" s="14" t="n">
        <v>17.449</v>
      </c>
      <c r="AI312" s="14" t="n">
        <v>0</v>
      </c>
      <c r="AJ312" s="14" t="n">
        <v>1</v>
      </c>
      <c r="AK312" s="14" t="n">
        <v>24.309</v>
      </c>
      <c r="AL312" s="14" t="n">
        <v>12.947</v>
      </c>
      <c r="AM312" s="14" t="n">
        <v>0</v>
      </c>
      <c r="AN312" s="14" t="n">
        <v>24.309</v>
      </c>
      <c r="AO312" s="14" t="n">
        <v>0</v>
      </c>
      <c r="AP312" s="14" t="n">
        <v>1</v>
      </c>
      <c r="AQ312" s="14" t="n">
        <v>0.619</v>
      </c>
      <c r="AR312" s="14" t="n">
        <v>0.114</v>
      </c>
      <c r="AS312" s="14" t="n">
        <v>0</v>
      </c>
      <c r="AT312" s="14" t="n">
        <v>0.619</v>
      </c>
      <c r="AU312" s="14" t="n">
        <v>0</v>
      </c>
      <c r="AV312" s="14" t="n">
        <v>1</v>
      </c>
      <c r="AW312" s="14" t="n">
        <v>0.599</v>
      </c>
      <c r="AX312" s="14" t="n">
        <v>0.114</v>
      </c>
      <c r="AY312" s="14" t="n">
        <v>0</v>
      </c>
      <c r="AZ312" s="14" t="n">
        <v>0.599</v>
      </c>
      <c r="BA312" s="14" t="n">
        <v>0</v>
      </c>
      <c r="BB312" s="14" t="n">
        <v>1</v>
      </c>
      <c r="BC312" s="14" t="n">
        <v>0.439</v>
      </c>
      <c r="BD312" s="14" t="n">
        <v>0.114</v>
      </c>
      <c r="BE312" s="14" t="n">
        <v>0</v>
      </c>
      <c r="BF312" s="14" t="n">
        <v>0.439</v>
      </c>
      <c r="BG312" s="14" t="n">
        <v>0</v>
      </c>
      <c r="BH312" s="14" t="n">
        <v>1</v>
      </c>
      <c r="BI312" s="14" t="n">
        <v>0.505</v>
      </c>
      <c r="BJ312" s="14" t="n">
        <v>0.114</v>
      </c>
      <c r="BK312" s="14" t="n">
        <v>0</v>
      </c>
      <c r="BL312" s="14" t="n">
        <v>0.505</v>
      </c>
      <c r="BM312" s="14" t="n">
        <v>0</v>
      </c>
      <c r="BN312" s="14" t="n">
        <v>1</v>
      </c>
      <c r="BO312" s="14" t="n">
        <v>0</v>
      </c>
      <c r="BP312" s="14" t="n">
        <v>0</v>
      </c>
      <c r="BQ312" s="14" t="n">
        <v>0</v>
      </c>
      <c r="BR312" s="14" t="n">
        <v>0</v>
      </c>
      <c r="BS312" s="14" t="n">
        <v>1</v>
      </c>
      <c r="BT312" s="14" t="n">
        <v>0</v>
      </c>
      <c r="BU312" s="14" t="n">
        <v>0</v>
      </c>
      <c r="BV312" s="14" t="n">
        <v>0</v>
      </c>
      <c r="BW312" s="14" t="n">
        <v>0</v>
      </c>
      <c r="BX312" s="14" t="n">
        <v>1</v>
      </c>
      <c r="BY312" s="14" t="n">
        <v>11.787</v>
      </c>
      <c r="BZ312" s="14" t="n">
        <v>0</v>
      </c>
      <c r="CA312" s="14" t="n">
        <v>11.787</v>
      </c>
      <c r="CB312" s="14" t="n">
        <v>0</v>
      </c>
      <c r="CC312" s="14" t="n">
        <v>78.125</v>
      </c>
      <c r="CD312" s="14" t="n">
        <v>7.95</v>
      </c>
      <c r="CE312" s="14" t="n">
        <v>0</v>
      </c>
      <c r="CF312" s="14" t="n">
        <v>78.125</v>
      </c>
      <c r="CG312" s="14" t="n">
        <v>0</v>
      </c>
      <c r="CH312" s="14" t="n">
        <v>1</v>
      </c>
      <c r="CI312" s="14" t="n">
        <v>0</v>
      </c>
      <c r="CJ312" s="14" t="n">
        <v>0</v>
      </c>
      <c r="CK312" s="14" t="n">
        <v>0</v>
      </c>
      <c r="CL312" s="14" t="n">
        <v>0</v>
      </c>
      <c r="CM312" s="14" t="n">
        <v>0</v>
      </c>
      <c r="CN312" s="14" t="n">
        <v>0</v>
      </c>
      <c r="CO312" s="14" t="n">
        <v>0</v>
      </c>
      <c r="CP312" s="14" t="n">
        <v>0</v>
      </c>
      <c r="CQ312" s="14" t="n">
        <v>1.198</v>
      </c>
      <c r="CR312" s="14" t="n">
        <v>0</v>
      </c>
      <c r="CS312" s="14" t="n">
        <v>4.776</v>
      </c>
      <c r="CT312" s="14" t="n">
        <v>4.41</v>
      </c>
      <c r="CU312" s="14" t="n">
        <v>15.162</v>
      </c>
    </row>
    <row r="313">
      <c r="A313" s="14" t="inlineStr">
        <is>
          <t>GIB2022</t>
        </is>
      </c>
      <c r="B313" s="14" t="inlineStr">
        <is>
          <t>GIB</t>
        </is>
      </c>
      <c r="C313" s="14" t="inlineStr">
        <is>
          <t>GIB</t>
        </is>
      </c>
      <c r="D313" s="14" t="inlineStr">
        <is>
          <t>Gibraltar</t>
        </is>
      </c>
      <c r="E313" s="14" t="n">
        <v>2022</v>
      </c>
      <c r="F313" s="14" t="n">
        <v>0</v>
      </c>
      <c r="G313" s="14" t="n">
        <v>7.077</v>
      </c>
      <c r="H313" s="14" t="n">
        <v>1.235</v>
      </c>
      <c r="I313" s="14" t="n">
        <v>0</v>
      </c>
      <c r="J313" s="14" t="n">
        <v>7.077</v>
      </c>
      <c r="K313" s="14" t="n">
        <v>0</v>
      </c>
      <c r="L313" s="14" t="n">
        <v>1</v>
      </c>
      <c r="M313" s="14" t="n">
        <v>9.782999999999999</v>
      </c>
      <c r="N313" s="14" t="n">
        <v>3.704</v>
      </c>
      <c r="O313" s="14" t="n">
        <v>0</v>
      </c>
      <c r="P313" s="14" t="n">
        <v>9.782999999999999</v>
      </c>
      <c r="Q313" s="14" t="n">
        <v>0</v>
      </c>
      <c r="R313" s="14" t="n">
        <v>1</v>
      </c>
      <c r="S313" s="14" t="n">
        <v>13.25</v>
      </c>
      <c r="T313" s="14" t="n">
        <v>7.408</v>
      </c>
      <c r="U313" s="14" t="n">
        <v>0</v>
      </c>
      <c r="V313" s="14" t="n">
        <v>13.25</v>
      </c>
      <c r="W313" s="14" t="n">
        <v>0</v>
      </c>
      <c r="X313" s="14" t="n">
        <v>1</v>
      </c>
      <c r="Y313" s="14" t="n">
        <v>32.56</v>
      </c>
      <c r="Z313" s="14" t="n">
        <v>4.401</v>
      </c>
      <c r="AA313" s="14" t="n">
        <v>0</v>
      </c>
      <c r="AB313" s="14" t="n">
        <v>32.56</v>
      </c>
      <c r="AC313" s="14" t="n">
        <v>0</v>
      </c>
      <c r="AD313" s="14" t="n">
        <v>1</v>
      </c>
      <c r="AE313" s="14" t="n">
        <v>33.795</v>
      </c>
      <c r="AF313" s="14" t="n">
        <v>7.902</v>
      </c>
      <c r="AG313" s="14" t="n">
        <v>0</v>
      </c>
      <c r="AH313" s="14" t="n">
        <v>33.795</v>
      </c>
      <c r="AI313" s="14" t="n">
        <v>0</v>
      </c>
      <c r="AJ313" s="14" t="n">
        <v>1</v>
      </c>
      <c r="AK313" s="14" t="n">
        <v>41.203</v>
      </c>
      <c r="AL313" s="14" t="n">
        <v>21.945</v>
      </c>
      <c r="AM313" s="14" t="n">
        <v>0</v>
      </c>
      <c r="AN313" s="14" t="n">
        <v>41.203</v>
      </c>
      <c r="AO313" s="14" t="n">
        <v>0</v>
      </c>
      <c r="AP313" s="14" t="n">
        <v>1</v>
      </c>
      <c r="AQ313" s="14" t="n">
        <v>0.861</v>
      </c>
      <c r="AR313" s="14" t="n">
        <v>0.123</v>
      </c>
      <c r="AS313" s="14" t="n">
        <v>0</v>
      </c>
      <c r="AT313" s="14" t="n">
        <v>0.861</v>
      </c>
      <c r="AU313" s="14" t="n">
        <v>0</v>
      </c>
      <c r="AV313" s="14" t="n">
        <v>1</v>
      </c>
      <c r="AW313" s="14" t="n">
        <v>0.986</v>
      </c>
      <c r="AX313" s="14" t="n">
        <v>0.123</v>
      </c>
      <c r="AY313" s="14" t="n">
        <v>0</v>
      </c>
      <c r="AZ313" s="14" t="n">
        <v>0.986</v>
      </c>
      <c r="BA313" s="14" t="n">
        <v>0</v>
      </c>
      <c r="BB313" s="14" t="n">
        <v>1</v>
      </c>
      <c r="BC313" s="14" t="n">
        <v>0.598</v>
      </c>
      <c r="BD313" s="14" t="n">
        <v>0.123</v>
      </c>
      <c r="BE313" s="14" t="n">
        <v>0</v>
      </c>
      <c r="BF313" s="14" t="n">
        <v>0.598</v>
      </c>
      <c r="BG313" s="14" t="n">
        <v>0</v>
      </c>
      <c r="BH313" s="14" t="n">
        <v>1</v>
      </c>
      <c r="BI313" s="14" t="n">
        <v>0.612</v>
      </c>
      <c r="BJ313" s="14" t="n">
        <v>0.123</v>
      </c>
      <c r="BK313" s="14" t="n">
        <v>0</v>
      </c>
      <c r="BL313" s="14" t="n">
        <v>0.612</v>
      </c>
      <c r="BM313" s="14" t="n">
        <v>0</v>
      </c>
      <c r="BN313" s="14" t="n">
        <v>1</v>
      </c>
      <c r="BO313" s="14" t="n">
        <v>0</v>
      </c>
      <c r="BP313" s="14" t="n">
        <v>0</v>
      </c>
      <c r="BQ313" s="14" t="n">
        <v>0</v>
      </c>
      <c r="BR313" s="14" t="n">
        <v>0</v>
      </c>
      <c r="BS313" s="14" t="n">
        <v>1</v>
      </c>
      <c r="BT313" s="14" t="n">
        <v>0</v>
      </c>
      <c r="BU313" s="14" t="n">
        <v>0</v>
      </c>
      <c r="BV313" s="14" t="n">
        <v>0</v>
      </c>
      <c r="BW313" s="14" t="n">
        <v>0</v>
      </c>
      <c r="BX313" s="14" t="n">
        <v>1</v>
      </c>
      <c r="BY313" s="14" t="n">
        <v>12.729</v>
      </c>
      <c r="BZ313" s="14" t="n">
        <v>0</v>
      </c>
      <c r="CA313" s="14" t="n">
        <v>12.729</v>
      </c>
      <c r="CB313" s="14" t="n">
        <v>0</v>
      </c>
      <c r="CC313" s="14" t="n">
        <v>97.90000000000001</v>
      </c>
      <c r="CD313" s="14" t="n">
        <v>7.95</v>
      </c>
      <c r="CE313" s="14" t="n">
        <v>0</v>
      </c>
      <c r="CF313" s="14" t="n">
        <v>97.90000000000001</v>
      </c>
      <c r="CG313" s="14" t="n">
        <v>0</v>
      </c>
      <c r="CH313" s="14" t="n">
        <v>1</v>
      </c>
      <c r="CI313" s="14" t="n">
        <v>0</v>
      </c>
      <c r="CJ313" s="14" t="n">
        <v>0</v>
      </c>
      <c r="CK313" s="14" t="n">
        <v>0</v>
      </c>
      <c r="CL313" s="14" t="n">
        <v>0</v>
      </c>
      <c r="CM313" s="14" t="n">
        <v>0</v>
      </c>
      <c r="CN313" s="14" t="n">
        <v>0</v>
      </c>
      <c r="CO313" s="14" t="n">
        <v>0</v>
      </c>
      <c r="CP313" s="14" t="n">
        <v>0</v>
      </c>
      <c r="CQ313" s="14" t="n">
        <v>1.294</v>
      </c>
      <c r="CR313" s="14" t="n">
        <v>0</v>
      </c>
      <c r="CS313" s="14" t="n">
        <v>5.158</v>
      </c>
      <c r="CT313" s="14" t="n">
        <v>5.842</v>
      </c>
      <c r="CU313" s="14" t="n">
        <v>31.326</v>
      </c>
    </row>
    <row r="314">
      <c r="A314" s="14" t="inlineStr">
        <is>
          <t>GIB2023</t>
        </is>
      </c>
      <c r="B314" s="14" t="inlineStr">
        <is>
          <t>GIB</t>
        </is>
      </c>
      <c r="C314" s="14" t="inlineStr">
        <is>
          <t>GIB</t>
        </is>
      </c>
      <c r="D314" s="14" t="inlineStr">
        <is>
          <t>Gibraltar</t>
        </is>
      </c>
      <c r="E314" s="14" t="n">
        <v>2023</v>
      </c>
      <c r="F314" s="14" t="n">
        <v>0</v>
      </c>
      <c r="G314" s="14" t="n">
        <v>4.752</v>
      </c>
      <c r="H314" s="14" t="n">
        <v>1.286</v>
      </c>
      <c r="I314" s="14" t="n">
        <v>0</v>
      </c>
      <c r="J314" s="14" t="n">
        <v>4.752</v>
      </c>
      <c r="K314" s="14" t="n">
        <v>0</v>
      </c>
      <c r="L314" s="14" t="n">
        <v>1</v>
      </c>
      <c r="M314" s="14" t="n">
        <v>7.886</v>
      </c>
      <c r="N314" s="14" t="n">
        <v>3.857</v>
      </c>
      <c r="O314" s="14" t="n">
        <v>0</v>
      </c>
      <c r="P314" s="14" t="n">
        <v>7.886</v>
      </c>
      <c r="Q314" s="14" t="n">
        <v>0</v>
      </c>
      <c r="R314" s="14" t="n">
        <v>1</v>
      </c>
      <c r="S314" s="14" t="n">
        <v>11.18</v>
      </c>
      <c r="T314" s="14" t="n">
        <v>7.714</v>
      </c>
      <c r="U314" s="14" t="n">
        <v>0</v>
      </c>
      <c r="V314" s="14" t="n">
        <v>11.18</v>
      </c>
      <c r="W314" s="14" t="n">
        <v>0</v>
      </c>
      <c r="X314" s="14" t="n">
        <v>1</v>
      </c>
      <c r="Y314" s="14" t="n">
        <v>12.908</v>
      </c>
      <c r="Z314" s="14" t="n">
        <v>1.745</v>
      </c>
      <c r="AA314" s="14" t="n">
        <v>0</v>
      </c>
      <c r="AB314" s="14" t="n">
        <v>12.908</v>
      </c>
      <c r="AC314" s="14" t="n">
        <v>0</v>
      </c>
      <c r="AD314" s="14" t="n">
        <v>1</v>
      </c>
      <c r="AE314" s="14" t="n">
        <v>14.194</v>
      </c>
      <c r="AF314" s="14" t="n">
        <v>3.319</v>
      </c>
      <c r="AG314" s="14" t="n">
        <v>0</v>
      </c>
      <c r="AH314" s="14" t="n">
        <v>14.194</v>
      </c>
      <c r="AI314" s="14" t="n">
        <v>0</v>
      </c>
      <c r="AJ314" s="14" t="n">
        <v>1</v>
      </c>
      <c r="AK314" s="14" t="n">
        <v>21.908</v>
      </c>
      <c r="AL314" s="14" t="n">
        <v>11.668</v>
      </c>
      <c r="AM314" s="14" t="n">
        <v>0</v>
      </c>
      <c r="AN314" s="14" t="n">
        <v>21.908</v>
      </c>
      <c r="AO314" s="14" t="n">
        <v>0</v>
      </c>
      <c r="AP314" s="14" t="n">
        <v>1</v>
      </c>
      <c r="AQ314" s="14" t="n">
        <v>0.76</v>
      </c>
      <c r="AR314" s="14" t="n">
        <v>0.129</v>
      </c>
      <c r="AS314" s="14" t="n">
        <v>0</v>
      </c>
      <c r="AT314" s="14" t="n">
        <v>0.76</v>
      </c>
      <c r="AU314" s="14" t="n">
        <v>0</v>
      </c>
      <c r="AV314" s="14" t="n">
        <v>1</v>
      </c>
      <c r="AW314" s="14" t="n">
        <v>0.8110000000000001</v>
      </c>
      <c r="AX314" s="14" t="n">
        <v>0.129</v>
      </c>
      <c r="AY314" s="14" t="n">
        <v>0</v>
      </c>
      <c r="AZ314" s="14" t="n">
        <v>0.8110000000000001</v>
      </c>
      <c r="BA314" s="14" t="n">
        <v>0</v>
      </c>
      <c r="BB314" s="14" t="n">
        <v>1</v>
      </c>
      <c r="BC314" s="14" t="n">
        <v>0.535</v>
      </c>
      <c r="BD314" s="14" t="n">
        <v>0.129</v>
      </c>
      <c r="BE314" s="14" t="n">
        <v>0</v>
      </c>
      <c r="BF314" s="14" t="n">
        <v>0.535</v>
      </c>
      <c r="BG314" s="14" t="n">
        <v>0</v>
      </c>
      <c r="BH314" s="14" t="n">
        <v>1</v>
      </c>
      <c r="BI314" s="14" t="n">
        <v>0.579</v>
      </c>
      <c r="BJ314" s="14" t="n">
        <v>0.129</v>
      </c>
      <c r="BK314" s="14" t="n">
        <v>0</v>
      </c>
      <c r="BL314" s="14" t="n">
        <v>0.579</v>
      </c>
      <c r="BM314" s="14" t="n">
        <v>0</v>
      </c>
      <c r="BN314" s="14" t="n">
        <v>1</v>
      </c>
      <c r="BO314" s="14" t="n">
        <v>0</v>
      </c>
      <c r="BP314" s="14" t="n">
        <v>0</v>
      </c>
      <c r="BQ314" s="14" t="n">
        <v>0</v>
      </c>
      <c r="BR314" s="14" t="n">
        <v>0</v>
      </c>
      <c r="BS314" s="14" t="n">
        <v>1</v>
      </c>
      <c r="BT314" s="14" t="n">
        <v>0</v>
      </c>
      <c r="BU314" s="14" t="n">
        <v>0</v>
      </c>
      <c r="BV314" s="14" t="n">
        <v>0</v>
      </c>
      <c r="BW314" s="14" t="n">
        <v>0</v>
      </c>
      <c r="BX314" s="14" t="n">
        <v>1</v>
      </c>
      <c r="BY314" s="14" t="n">
        <v>13.254</v>
      </c>
      <c r="BZ314" s="14" t="n">
        <v>0</v>
      </c>
      <c r="CA314" s="14" t="n">
        <v>13.254</v>
      </c>
      <c r="CB314" s="14" t="n">
        <v>0</v>
      </c>
      <c r="CC314" s="14" t="n">
        <v>83.248</v>
      </c>
      <c r="CD314" s="14" t="n">
        <v>7.95</v>
      </c>
      <c r="CE314" s="14" t="n">
        <v>0</v>
      </c>
      <c r="CF314" s="14" t="n">
        <v>83.248</v>
      </c>
      <c r="CG314" s="14" t="n">
        <v>0</v>
      </c>
      <c r="CH314" s="14" t="n">
        <v>1</v>
      </c>
      <c r="CI314" s="14" t="n">
        <v>0</v>
      </c>
      <c r="CJ314" s="14" t="n">
        <v>0</v>
      </c>
      <c r="CK314" s="14" t="n">
        <v>0</v>
      </c>
      <c r="CL314" s="14" t="n">
        <v>0</v>
      </c>
      <c r="CM314" s="14" t="n">
        <v>0</v>
      </c>
      <c r="CN314" s="14" t="n">
        <v>0</v>
      </c>
      <c r="CO314" s="14" t="n">
        <v>0</v>
      </c>
      <c r="CP314" s="14" t="n">
        <v>0</v>
      </c>
      <c r="CQ314" s="14" t="n">
        <v>1.348</v>
      </c>
      <c r="CR314" s="14" t="n">
        <v>0</v>
      </c>
      <c r="CS314" s="14" t="n">
        <v>5.37</v>
      </c>
      <c r="CT314" s="14" t="n">
        <v>3.466</v>
      </c>
      <c r="CU314" s="14" t="n">
        <v>11.622</v>
      </c>
    </row>
    <row r="315">
      <c r="A315" s="14" t="inlineStr">
        <is>
          <t>GIB2024</t>
        </is>
      </c>
      <c r="B315" s="14" t="inlineStr">
        <is>
          <t>GIB</t>
        </is>
      </c>
      <c r="C315" s="14" t="inlineStr">
        <is>
          <t>GIB</t>
        </is>
      </c>
      <c r="D315" s="14" t="inlineStr">
        <is>
          <t>Gibraltar</t>
        </is>
      </c>
      <c r="E315" s="14" t="n">
        <v>2024</v>
      </c>
      <c r="F315" s="14" t="n">
        <v>0</v>
      </c>
      <c r="G315" s="14" t="n">
        <v>4.351</v>
      </c>
      <c r="H315" s="14" t="n">
        <v>1.324</v>
      </c>
      <c r="I315" s="14" t="n">
        <v>0</v>
      </c>
      <c r="J315" s="14" t="n">
        <v>4.351</v>
      </c>
      <c r="K315" s="14" t="n">
        <v>0</v>
      </c>
      <c r="L315" s="14" t="n">
        <v>1</v>
      </c>
      <c r="M315" s="14" t="n">
        <v>7.124</v>
      </c>
      <c r="N315" s="14" t="n">
        <v>3.971</v>
      </c>
      <c r="O315" s="14" t="n">
        <v>0</v>
      </c>
      <c r="P315" s="14" t="n">
        <v>7.124</v>
      </c>
      <c r="Q315" s="14" t="n">
        <v>0</v>
      </c>
      <c r="R315" s="14" t="n">
        <v>1</v>
      </c>
      <c r="S315" s="14" t="n">
        <v>10.969</v>
      </c>
      <c r="T315" s="14" t="n">
        <v>7.942</v>
      </c>
      <c r="U315" s="14" t="n">
        <v>0</v>
      </c>
      <c r="V315" s="14" t="n">
        <v>10.969</v>
      </c>
      <c r="W315" s="14" t="n">
        <v>0</v>
      </c>
      <c r="X315" s="14" t="n">
        <v>1</v>
      </c>
      <c r="Y315" s="14" t="n">
        <v>11.492</v>
      </c>
      <c r="Z315" s="14" t="n">
        <v>1.553</v>
      </c>
      <c r="AA315" s="14" t="n">
        <v>0</v>
      </c>
      <c r="AB315" s="14" t="n">
        <v>11.492</v>
      </c>
      <c r="AC315" s="14" t="n">
        <v>0</v>
      </c>
      <c r="AD315" s="14" t="n">
        <v>1</v>
      </c>
      <c r="AE315" s="14" t="n">
        <v>12.815</v>
      </c>
      <c r="AF315" s="14" t="n">
        <v>2.997</v>
      </c>
      <c r="AG315" s="14" t="n">
        <v>0</v>
      </c>
      <c r="AH315" s="14" t="n">
        <v>12.815</v>
      </c>
      <c r="AI315" s="14" t="n">
        <v>0</v>
      </c>
      <c r="AJ315" s="14" t="n">
        <v>1</v>
      </c>
      <c r="AK315" s="14" t="n">
        <v>20.757</v>
      </c>
      <c r="AL315" s="14" t="n">
        <v>11.055</v>
      </c>
      <c r="AM315" s="14" t="n">
        <v>0</v>
      </c>
      <c r="AN315" s="14" t="n">
        <v>20.757</v>
      </c>
      <c r="AO315" s="14" t="n">
        <v>0</v>
      </c>
      <c r="AP315" s="14" t="n">
        <v>1</v>
      </c>
      <c r="AQ315" s="14" t="n">
        <v>0.724</v>
      </c>
      <c r="AR315" s="14" t="n">
        <v>0.132</v>
      </c>
      <c r="AS315" s="14" t="n">
        <v>0</v>
      </c>
      <c r="AT315" s="14" t="n">
        <v>0.724</v>
      </c>
      <c r="AU315" s="14" t="n">
        <v>0</v>
      </c>
      <c r="AV315" s="14" t="n">
        <v>1</v>
      </c>
      <c r="AW315" s="14" t="n">
        <v>0.75</v>
      </c>
      <c r="AX315" s="14" t="n">
        <v>0.132</v>
      </c>
      <c r="AY315" s="14" t="n">
        <v>0</v>
      </c>
      <c r="AZ315" s="14" t="n">
        <v>0.75</v>
      </c>
      <c r="BA315" s="14" t="n">
        <v>0</v>
      </c>
      <c r="BB315" s="14" t="n">
        <v>1</v>
      </c>
      <c r="BC315" s="14" t="n">
        <v>0.513</v>
      </c>
      <c r="BD315" s="14" t="n">
        <v>0.132</v>
      </c>
      <c r="BE315" s="14" t="n">
        <v>0</v>
      </c>
      <c r="BF315" s="14" t="n">
        <v>0.513</v>
      </c>
      <c r="BG315" s="14" t="n">
        <v>0</v>
      </c>
      <c r="BH315" s="14" t="n">
        <v>1</v>
      </c>
      <c r="BI315" s="14" t="n">
        <v>0.591</v>
      </c>
      <c r="BJ315" s="14" t="n">
        <v>0.132</v>
      </c>
      <c r="BK315" s="14" t="n">
        <v>0</v>
      </c>
      <c r="BL315" s="14" t="n">
        <v>0.591</v>
      </c>
      <c r="BM315" s="14" t="n">
        <v>0</v>
      </c>
      <c r="BN315" s="14" t="n">
        <v>1</v>
      </c>
      <c r="BO315" s="14" t="n">
        <v>0</v>
      </c>
      <c r="BP315" s="14" t="n">
        <v>0</v>
      </c>
      <c r="BQ315" s="14" t="n">
        <v>0</v>
      </c>
      <c r="BR315" s="14" t="n">
        <v>0</v>
      </c>
      <c r="BS315" s="14" t="n">
        <v>1</v>
      </c>
      <c r="BT315" s="14" t="n">
        <v>0</v>
      </c>
      <c r="BU315" s="14" t="n">
        <v>0</v>
      </c>
      <c r="BV315" s="14" t="n">
        <v>0</v>
      </c>
      <c r="BW315" s="14" t="n">
        <v>0</v>
      </c>
      <c r="BX315" s="14" t="n">
        <v>1</v>
      </c>
      <c r="BY315" s="14" t="n">
        <v>13.646</v>
      </c>
      <c r="BZ315" s="14" t="n">
        <v>0</v>
      </c>
      <c r="CA315" s="14" t="n">
        <v>13.646</v>
      </c>
      <c r="CB315" s="14" t="n">
        <v>0</v>
      </c>
      <c r="CC315" s="14" t="n">
        <v>82.58799999999999</v>
      </c>
      <c r="CD315" s="14" t="n">
        <v>7.95</v>
      </c>
      <c r="CE315" s="14" t="n">
        <v>0</v>
      </c>
      <c r="CF315" s="14" t="n">
        <v>82.58799999999999</v>
      </c>
      <c r="CG315" s="14" t="n">
        <v>0</v>
      </c>
      <c r="CH315" s="14" t="n">
        <v>1</v>
      </c>
      <c r="CI315" s="14" t="n">
        <v>0</v>
      </c>
      <c r="CJ315" s="14" t="n">
        <v>0</v>
      </c>
      <c r="CK315" s="14" t="n">
        <v>0</v>
      </c>
      <c r="CL315" s="14" t="n">
        <v>0</v>
      </c>
      <c r="CM315" s="14" t="n">
        <v>0</v>
      </c>
      <c r="CN315" s="14" t="n">
        <v>0</v>
      </c>
      <c r="CO315" s="14" t="n">
        <v>0</v>
      </c>
      <c r="CP315" s="14" t="n">
        <v>0</v>
      </c>
      <c r="CQ315" s="14" t="n">
        <v>1.387</v>
      </c>
      <c r="CR315" s="14" t="n">
        <v>0</v>
      </c>
      <c r="CS315" s="14" t="n">
        <v>5.529</v>
      </c>
      <c r="CT315" s="14" t="n">
        <v>3.027</v>
      </c>
      <c r="CU315" s="14" t="n">
        <v>10.168</v>
      </c>
    </row>
    <row r="316">
      <c r="A316" s="14" t="inlineStr">
        <is>
          <t>GRC2021</t>
        </is>
      </c>
      <c r="B316" s="14" t="inlineStr">
        <is>
          <t>GRC</t>
        </is>
      </c>
      <c r="C316" s="14" t="inlineStr">
        <is>
          <t>GRC</t>
        </is>
      </c>
      <c r="D316" s="14" t="inlineStr">
        <is>
          <t>Greece</t>
        </is>
      </c>
      <c r="E316" s="14" t="n">
        <v>2021</v>
      </c>
      <c r="F316" s="14" t="n">
        <v>0.24</v>
      </c>
      <c r="G316" s="14" t="n">
        <v>2.042</v>
      </c>
      <c r="H316" s="14" t="n">
        <v>0.627</v>
      </c>
      <c r="I316" s="14" t="n">
        <v>1.596</v>
      </c>
      <c r="J316" s="14" t="n">
        <v>3.639</v>
      </c>
      <c r="K316" s="14" t="n">
        <v>0</v>
      </c>
      <c r="L316" s="14" t="n">
        <v>1</v>
      </c>
      <c r="M316" s="14" t="n">
        <v>3.398</v>
      </c>
      <c r="N316" s="14" t="n">
        <v>1.88</v>
      </c>
      <c r="O316" s="14" t="n">
        <v>1.501</v>
      </c>
      <c r="P316" s="14" t="n">
        <v>4.899</v>
      </c>
      <c r="Q316" s="14" t="n">
        <v>0</v>
      </c>
      <c r="R316" s="14" t="n">
        <v>1</v>
      </c>
      <c r="S316" s="14" t="n">
        <v>5.175</v>
      </c>
      <c r="T316" s="14" t="n">
        <v>3.759</v>
      </c>
      <c r="U316" s="14" t="n">
        <v>0.355</v>
      </c>
      <c r="V316" s="14" t="n">
        <v>6.857</v>
      </c>
      <c r="W316" s="14" t="n">
        <v>0.24</v>
      </c>
      <c r="X316" s="14" t="n">
        <v>1</v>
      </c>
      <c r="Y316" s="14" t="n">
        <v>16.757</v>
      </c>
      <c r="Z316" s="14" t="n">
        <v>1.851</v>
      </c>
      <c r="AA316" s="14" t="n">
        <v>-3.528</v>
      </c>
      <c r="AB316" s="14" t="n">
        <v>13.229</v>
      </c>
      <c r="AC316" s="14" t="n">
        <v>0</v>
      </c>
      <c r="AD316" s="14" t="n">
        <v>1</v>
      </c>
      <c r="AE316" s="14" t="n">
        <v>16.714</v>
      </c>
      <c r="AF316" s="14" t="n">
        <v>3.289</v>
      </c>
      <c r="AG316" s="14" t="n">
        <v>-3.484</v>
      </c>
      <c r="AH316" s="14" t="n">
        <v>13.229</v>
      </c>
      <c r="AI316" s="14" t="n">
        <v>0</v>
      </c>
      <c r="AJ316" s="14" t="n">
        <v>1</v>
      </c>
      <c r="AK316" s="14" t="n">
        <v>22.638</v>
      </c>
      <c r="AL316" s="14" t="n">
        <v>11.111</v>
      </c>
      <c r="AM316" s="14" t="n">
        <v>-3.253</v>
      </c>
      <c r="AN316" s="14" t="n">
        <v>24.037</v>
      </c>
      <c r="AO316" s="14" t="n">
        <v>0.24</v>
      </c>
      <c r="AP316" s="14" t="n">
        <v>1</v>
      </c>
      <c r="AQ316" s="14" t="n">
        <v>0.619</v>
      </c>
      <c r="AR316" s="14" t="n">
        <v>0.114</v>
      </c>
      <c r="AS316" s="14" t="n">
        <v>0.951</v>
      </c>
      <c r="AT316" s="14" t="n">
        <v>1.947</v>
      </c>
      <c r="AU316" s="14" t="n">
        <v>0.24</v>
      </c>
      <c r="AV316" s="14" t="n">
        <v>1</v>
      </c>
      <c r="AW316" s="14" t="n">
        <v>0.599</v>
      </c>
      <c r="AX316" s="14" t="n">
        <v>0.114</v>
      </c>
      <c r="AY316" s="14" t="n">
        <v>0.71</v>
      </c>
      <c r="AZ316" s="14" t="n">
        <v>1.624</v>
      </c>
      <c r="BA316" s="14" t="n">
        <v>0.24</v>
      </c>
      <c r="BB316" s="14" t="n">
        <v>1</v>
      </c>
      <c r="BC316" s="14" t="n">
        <v>0.439</v>
      </c>
      <c r="BD316" s="14" t="n">
        <v>0.114</v>
      </c>
      <c r="BE316" s="14" t="n">
        <v>0.391</v>
      </c>
      <c r="BF316" s="14" t="n">
        <v>1.029</v>
      </c>
      <c r="BG316" s="14" t="n">
        <v>0.24</v>
      </c>
      <c r="BH316" s="14" t="n">
        <v>1</v>
      </c>
      <c r="BI316" s="14" t="n">
        <v>0.505</v>
      </c>
      <c r="BJ316" s="14" t="n">
        <v>0.114</v>
      </c>
      <c r="BK316" s="14" t="n">
        <v>0.455</v>
      </c>
      <c r="BL316" s="14" t="n">
        <v>1.19</v>
      </c>
      <c r="BM316" s="14" t="n">
        <v>0.24</v>
      </c>
      <c r="BN316" s="14" t="n">
        <v>1</v>
      </c>
      <c r="BO316" s="14" t="n">
        <v>0</v>
      </c>
      <c r="BP316" s="14" t="n">
        <v>0.011</v>
      </c>
      <c r="BQ316" s="14" t="n">
        <v>0.135</v>
      </c>
      <c r="BR316" s="14" t="n">
        <v>0</v>
      </c>
      <c r="BS316" s="14" t="n">
        <v>1</v>
      </c>
      <c r="BT316" s="14" t="n">
        <v>0</v>
      </c>
      <c r="BU316" s="14" t="n">
        <v>0.033</v>
      </c>
      <c r="BV316" s="14" t="n">
        <v>0.216</v>
      </c>
      <c r="BW316" s="14" t="n">
        <v>0.24</v>
      </c>
      <c r="BX316" s="14" t="n">
        <v>1</v>
      </c>
      <c r="BY316" s="14" t="n">
        <v>11.787</v>
      </c>
      <c r="BZ316" s="14" t="n">
        <v>0</v>
      </c>
      <c r="CA316" s="14" t="n">
        <v>11.787</v>
      </c>
      <c r="CB316" s="14" t="n">
        <v>0</v>
      </c>
      <c r="CC316" s="14" t="n">
        <v>78.125</v>
      </c>
      <c r="CD316" s="14" t="n">
        <v>7.95</v>
      </c>
      <c r="CE316" s="14" t="n">
        <v>81.51600000000001</v>
      </c>
      <c r="CF316" s="14" t="n">
        <v>197.955</v>
      </c>
      <c r="CG316" s="14" t="n">
        <v>0.24</v>
      </c>
      <c r="CH316" s="14" t="n">
        <v>1</v>
      </c>
      <c r="CI316" s="14" t="n">
        <v>0</v>
      </c>
      <c r="CJ316" s="14" t="n">
        <v>0</v>
      </c>
      <c r="CK316" s="14" t="n">
        <v>0</v>
      </c>
      <c r="CL316" s="14" t="n">
        <v>0</v>
      </c>
      <c r="CM316" s="14" t="n">
        <v>0</v>
      </c>
      <c r="CN316" s="14" t="n">
        <v>0</v>
      </c>
      <c r="CO316" s="14" t="n">
        <v>0</v>
      </c>
      <c r="CP316" s="14" t="n">
        <v>0.904</v>
      </c>
      <c r="CQ316" s="14" t="n">
        <v>1.198</v>
      </c>
      <c r="CR316" s="14" t="n">
        <v>0</v>
      </c>
      <c r="CS316" s="14" t="n">
        <v>4.776</v>
      </c>
      <c r="CT316" s="14" t="n">
        <v>3.464</v>
      </c>
      <c r="CU316" s="14" t="n">
        <v>13.013</v>
      </c>
    </row>
    <row r="317">
      <c r="A317" s="14" t="inlineStr">
        <is>
          <t>GRC2022</t>
        </is>
      </c>
      <c r="B317" s="14" t="inlineStr">
        <is>
          <t>GRC</t>
        </is>
      </c>
      <c r="C317" s="14" t="inlineStr">
        <is>
          <t>GRC</t>
        </is>
      </c>
      <c r="D317" s="14" t="inlineStr">
        <is>
          <t>Greece</t>
        </is>
      </c>
      <c r="E317" s="14" t="n">
        <v>2022</v>
      </c>
      <c r="F317" s="14" t="n">
        <v>0.24</v>
      </c>
      <c r="G317" s="14" t="n">
        <v>2.192</v>
      </c>
      <c r="H317" s="14" t="n">
        <v>0.638</v>
      </c>
      <c r="I317" s="14" t="n">
        <v>8.765000000000001</v>
      </c>
      <c r="J317" s="14" t="n">
        <v>10.957</v>
      </c>
      <c r="K317" s="14" t="n">
        <v>0</v>
      </c>
      <c r="L317" s="14" t="n">
        <v>1</v>
      </c>
      <c r="M317" s="14" t="n">
        <v>3.369</v>
      </c>
      <c r="N317" s="14" t="n">
        <v>1.914</v>
      </c>
      <c r="O317" s="14" t="n">
        <v>8.196</v>
      </c>
      <c r="P317" s="14" t="n">
        <v>11.565</v>
      </c>
      <c r="Q317" s="14" t="n">
        <v>0</v>
      </c>
      <c r="R317" s="14" t="n">
        <v>1</v>
      </c>
      <c r="S317" s="14" t="n">
        <v>5.383</v>
      </c>
      <c r="T317" s="14" t="n">
        <v>3.829</v>
      </c>
      <c r="U317" s="14" t="n">
        <v>0.441</v>
      </c>
      <c r="V317" s="14" t="n">
        <v>7.096</v>
      </c>
      <c r="W317" s="14" t="n">
        <v>0.24</v>
      </c>
      <c r="X317" s="14" t="n">
        <v>1</v>
      </c>
      <c r="Y317" s="14" t="n">
        <v>35.158</v>
      </c>
      <c r="Z317" s="14" t="n">
        <v>3.688</v>
      </c>
      <c r="AA317" s="14" t="n">
        <v>-0.449</v>
      </c>
      <c r="AB317" s="14" t="n">
        <v>34.71</v>
      </c>
      <c r="AC317" s="14" t="n">
        <v>0</v>
      </c>
      <c r="AD317" s="14" t="n">
        <v>1</v>
      </c>
      <c r="AE317" s="14" t="n">
        <v>35.206</v>
      </c>
      <c r="AF317" s="14" t="n">
        <v>6.527</v>
      </c>
      <c r="AG317" s="14" t="n">
        <v>-0.497</v>
      </c>
      <c r="AH317" s="14" t="n">
        <v>34.71</v>
      </c>
      <c r="AI317" s="14" t="n">
        <v>0</v>
      </c>
      <c r="AJ317" s="14" t="n">
        <v>1</v>
      </c>
      <c r="AK317" s="14" t="n">
        <v>41.679</v>
      </c>
      <c r="AL317" s="14" t="n">
        <v>19.903</v>
      </c>
      <c r="AM317" s="14" t="n">
        <v>-13.136</v>
      </c>
      <c r="AN317" s="14" t="n">
        <v>35.393</v>
      </c>
      <c r="AO317" s="14" t="n">
        <v>0.24</v>
      </c>
      <c r="AP317" s="14" t="n">
        <v>1</v>
      </c>
      <c r="AQ317" s="14" t="n">
        <v>0.861</v>
      </c>
      <c r="AR317" s="14" t="n">
        <v>0.123</v>
      </c>
      <c r="AS317" s="14" t="n">
        <v>0.881</v>
      </c>
      <c r="AT317" s="14" t="n">
        <v>2.16</v>
      </c>
      <c r="AU317" s="14" t="n">
        <v>0.24</v>
      </c>
      <c r="AV317" s="14" t="n">
        <v>1</v>
      </c>
      <c r="AW317" s="14" t="n">
        <v>0.986</v>
      </c>
      <c r="AX317" s="14" t="n">
        <v>0.123</v>
      </c>
      <c r="AY317" s="14" t="n">
        <v>0.601</v>
      </c>
      <c r="AZ317" s="14" t="n">
        <v>1.968</v>
      </c>
      <c r="BA317" s="14" t="n">
        <v>0.24</v>
      </c>
      <c r="BB317" s="14" t="n">
        <v>1</v>
      </c>
      <c r="BC317" s="14" t="n">
        <v>0.598</v>
      </c>
      <c r="BD317" s="14" t="n">
        <v>0.123</v>
      </c>
      <c r="BE317" s="14" t="n">
        <v>0.285</v>
      </c>
      <c r="BF317" s="14" t="n">
        <v>1.095</v>
      </c>
      <c r="BG317" s="14" t="n">
        <v>0.24</v>
      </c>
      <c r="BH317" s="14" t="n">
        <v>1</v>
      </c>
      <c r="BI317" s="14" t="n">
        <v>0.612</v>
      </c>
      <c r="BJ317" s="14" t="n">
        <v>0.123</v>
      </c>
      <c r="BK317" s="14" t="n">
        <v>0.571</v>
      </c>
      <c r="BL317" s="14" t="n">
        <v>1.467</v>
      </c>
      <c r="BM317" s="14" t="n">
        <v>0.24</v>
      </c>
      <c r="BN317" s="14" t="n">
        <v>1</v>
      </c>
      <c r="BO317" s="14" t="n">
        <v>0</v>
      </c>
      <c r="BP317" s="14" t="n">
        <v>-0.097</v>
      </c>
      <c r="BQ317" s="14" t="n">
        <v>0.201</v>
      </c>
      <c r="BR317" s="14" t="n">
        <v>0</v>
      </c>
      <c r="BS317" s="14" t="n">
        <v>1</v>
      </c>
      <c r="BT317" s="14" t="n">
        <v>0</v>
      </c>
      <c r="BU317" s="14" t="n">
        <v>-0.17</v>
      </c>
      <c r="BV317" s="14" t="n">
        <v>0.239</v>
      </c>
      <c r="BW317" s="14" t="n">
        <v>0.24</v>
      </c>
      <c r="BX317" s="14" t="n">
        <v>1</v>
      </c>
      <c r="BY317" s="14" t="n">
        <v>12.729</v>
      </c>
      <c r="BZ317" s="14" t="n">
        <v>0</v>
      </c>
      <c r="CA317" s="14" t="n">
        <v>12.729</v>
      </c>
      <c r="CB317" s="14" t="n">
        <v>0</v>
      </c>
      <c r="CC317" s="14" t="n">
        <v>97.90000000000001</v>
      </c>
      <c r="CD317" s="14" t="n">
        <v>7.95</v>
      </c>
      <c r="CE317" s="14" t="n">
        <v>131.101</v>
      </c>
      <c r="CF317" s="14" t="n">
        <v>283.961</v>
      </c>
      <c r="CG317" s="14" t="n">
        <v>0.24</v>
      </c>
      <c r="CH317" s="14" t="n">
        <v>1</v>
      </c>
      <c r="CI317" s="14" t="n">
        <v>0</v>
      </c>
      <c r="CJ317" s="14" t="n">
        <v>0</v>
      </c>
      <c r="CK317" s="14" t="n">
        <v>0</v>
      </c>
      <c r="CL317" s="14" t="n">
        <v>0</v>
      </c>
      <c r="CM317" s="14" t="n">
        <v>0</v>
      </c>
      <c r="CN317" s="14" t="n">
        <v>0</v>
      </c>
      <c r="CO317" s="14" t="n">
        <v>0</v>
      </c>
      <c r="CP317" s="14" t="n">
        <v>0.966</v>
      </c>
      <c r="CQ317" s="14" t="n">
        <v>1.294</v>
      </c>
      <c r="CR317" s="14" t="n">
        <v>0</v>
      </c>
      <c r="CS317" s="14" t="n">
        <v>5.158</v>
      </c>
      <c r="CT317" s="14" t="n">
        <v>9.039999999999999</v>
      </c>
      <c r="CU317" s="14" t="n">
        <v>31.323</v>
      </c>
    </row>
    <row r="318">
      <c r="A318" s="14" t="inlineStr">
        <is>
          <t>GRC2023</t>
        </is>
      </c>
      <c r="B318" s="14" t="inlineStr">
        <is>
          <t>GRC</t>
        </is>
      </c>
      <c r="C318" s="14" t="inlineStr">
        <is>
          <t>GRC</t>
        </is>
      </c>
      <c r="D318" s="14" t="inlineStr">
        <is>
          <t>Greece</t>
        </is>
      </c>
      <c r="E318" s="14" t="n">
        <v>2023</v>
      </c>
      <c r="F318" s="14" t="n">
        <v>0.24</v>
      </c>
      <c r="G318" s="14" t="n">
        <v>2.14</v>
      </c>
      <c r="H318" s="14" t="n">
        <v>0.659</v>
      </c>
      <c r="I318" s="14" t="n">
        <v>10.158</v>
      </c>
      <c r="J318" s="14" t="n">
        <v>12.297</v>
      </c>
      <c r="K318" s="14" t="n">
        <v>0</v>
      </c>
      <c r="L318" s="14" t="n">
        <v>1</v>
      </c>
      <c r="M318" s="14" t="n">
        <v>3.393</v>
      </c>
      <c r="N318" s="14" t="n">
        <v>1.978</v>
      </c>
      <c r="O318" s="14" t="n">
        <v>9.504</v>
      </c>
      <c r="P318" s="14" t="n">
        <v>12.898</v>
      </c>
      <c r="Q318" s="14" t="n">
        <v>0</v>
      </c>
      <c r="R318" s="14" t="n">
        <v>1</v>
      </c>
      <c r="S318" s="14" t="n">
        <v>5.436</v>
      </c>
      <c r="T318" s="14" t="n">
        <v>3.955</v>
      </c>
      <c r="U318" s="14" t="n">
        <v>0.477</v>
      </c>
      <c r="V318" s="14" t="n">
        <v>7.142</v>
      </c>
      <c r="W318" s="14" t="n">
        <v>0.24</v>
      </c>
      <c r="X318" s="14" t="n">
        <v>1</v>
      </c>
      <c r="Y318" s="14" t="n">
        <v>16.156</v>
      </c>
      <c r="Z318" s="14" t="n">
        <v>1.81</v>
      </c>
      <c r="AA318" s="14" t="n">
        <v>8.715</v>
      </c>
      <c r="AB318" s="14" t="n">
        <v>24.871</v>
      </c>
      <c r="AC318" s="14" t="n">
        <v>0</v>
      </c>
      <c r="AD318" s="14" t="n">
        <v>1</v>
      </c>
      <c r="AE318" s="14" t="n">
        <v>16.255</v>
      </c>
      <c r="AF318" s="14" t="n">
        <v>3.237</v>
      </c>
      <c r="AG318" s="14" t="n">
        <v>8.616</v>
      </c>
      <c r="AH318" s="14" t="n">
        <v>24.871</v>
      </c>
      <c r="AI318" s="14" t="n">
        <v>0</v>
      </c>
      <c r="AJ318" s="14" t="n">
        <v>1</v>
      </c>
      <c r="AK318" s="14" t="n">
        <v>23.033</v>
      </c>
      <c r="AL318" s="14" t="n">
        <v>11.41</v>
      </c>
      <c r="AM318" s="14" t="n">
        <v>2.557</v>
      </c>
      <c r="AN318" s="14" t="n">
        <v>31.731</v>
      </c>
      <c r="AO318" s="14" t="n">
        <v>0.24</v>
      </c>
      <c r="AP318" s="14" t="n">
        <v>1</v>
      </c>
      <c r="AQ318" s="14" t="n">
        <v>0.76</v>
      </c>
      <c r="AR318" s="14" t="n">
        <v>0.129</v>
      </c>
      <c r="AS318" s="14" t="n">
        <v>0.898</v>
      </c>
      <c r="AT318" s="14" t="n">
        <v>2.057</v>
      </c>
      <c r="AU318" s="14" t="n">
        <v>0.24</v>
      </c>
      <c r="AV318" s="14" t="n">
        <v>1</v>
      </c>
      <c r="AW318" s="14" t="n">
        <v>0.8110000000000001</v>
      </c>
      <c r="AX318" s="14" t="n">
        <v>0.129</v>
      </c>
      <c r="AY318" s="14" t="n">
        <v>0.67</v>
      </c>
      <c r="AZ318" s="14" t="n">
        <v>1.837</v>
      </c>
      <c r="BA318" s="14" t="n">
        <v>0.24</v>
      </c>
      <c r="BB318" s="14" t="n">
        <v>1</v>
      </c>
      <c r="BC318" s="14" t="n">
        <v>0.535</v>
      </c>
      <c r="BD318" s="14" t="n">
        <v>0.129</v>
      </c>
      <c r="BE318" s="14" t="n">
        <v>0.253</v>
      </c>
      <c r="BF318" s="14" t="n">
        <v>0.977</v>
      </c>
      <c r="BG318" s="14" t="n">
        <v>0.24</v>
      </c>
      <c r="BH318" s="14" t="n">
        <v>1</v>
      </c>
      <c r="BI318" s="14" t="n">
        <v>0.579</v>
      </c>
      <c r="BJ318" s="14" t="n">
        <v>0.129</v>
      </c>
      <c r="BK318" s="14" t="n">
        <v>0.535</v>
      </c>
      <c r="BL318" s="14" t="n">
        <v>1.382</v>
      </c>
      <c r="BM318" s="14" t="n">
        <v>0.24</v>
      </c>
      <c r="BN318" s="14" t="n">
        <v>1</v>
      </c>
      <c r="BO318" s="14" t="n">
        <v>0</v>
      </c>
      <c r="BP318" s="14" t="n">
        <v>0.01</v>
      </c>
      <c r="BQ318" s="14" t="n">
        <v>0.165</v>
      </c>
      <c r="BR318" s="14" t="n">
        <v>0</v>
      </c>
      <c r="BS318" s="14" t="n">
        <v>1</v>
      </c>
      <c r="BT318" s="14" t="n">
        <v>0</v>
      </c>
      <c r="BU318" s="14" t="n">
        <v>0.032</v>
      </c>
      <c r="BV318" s="14" t="n">
        <v>0.251</v>
      </c>
      <c r="BW318" s="14" t="n">
        <v>0.24</v>
      </c>
      <c r="BX318" s="14" t="n">
        <v>1</v>
      </c>
      <c r="BY318" s="14" t="n">
        <v>13.254</v>
      </c>
      <c r="BZ318" s="14" t="n">
        <v>0</v>
      </c>
      <c r="CA318" s="14" t="n">
        <v>13.254</v>
      </c>
      <c r="CB318" s="14" t="n">
        <v>0</v>
      </c>
      <c r="CC318" s="14" t="n">
        <v>83.248</v>
      </c>
      <c r="CD318" s="14" t="n">
        <v>7.95</v>
      </c>
      <c r="CE318" s="14" t="n">
        <v>130.771</v>
      </c>
      <c r="CF318" s="14" t="n">
        <v>265.383</v>
      </c>
      <c r="CG318" s="14" t="n">
        <v>0.24</v>
      </c>
      <c r="CH318" s="14" t="n">
        <v>1</v>
      </c>
      <c r="CI318" s="14" t="n">
        <v>0</v>
      </c>
      <c r="CJ318" s="14" t="n">
        <v>0</v>
      </c>
      <c r="CK318" s="14" t="n">
        <v>0</v>
      </c>
      <c r="CL318" s="14" t="n">
        <v>0</v>
      </c>
      <c r="CM318" s="14" t="n">
        <v>0</v>
      </c>
      <c r="CN318" s="14" t="n">
        <v>0</v>
      </c>
      <c r="CO318" s="14" t="n">
        <v>0</v>
      </c>
      <c r="CP318" s="14" t="n">
        <v>0.975</v>
      </c>
      <c r="CQ318" s="14" t="n">
        <v>1.348</v>
      </c>
      <c r="CR318" s="14" t="n">
        <v>0</v>
      </c>
      <c r="CS318" s="14" t="n">
        <v>5.37</v>
      </c>
      <c r="CT318" s="14" t="n">
        <v>6.569</v>
      </c>
      <c r="CU318" s="14" t="n">
        <v>12.27</v>
      </c>
    </row>
    <row r="319">
      <c r="A319" s="14" t="inlineStr">
        <is>
          <t>GRC2024</t>
        </is>
      </c>
      <c r="B319" s="14" t="inlineStr">
        <is>
          <t>GRC</t>
        </is>
      </c>
      <c r="C319" s="14" t="inlineStr">
        <is>
          <t>GRC</t>
        </is>
      </c>
      <c r="D319" s="14" t="inlineStr">
        <is>
          <t>Greece</t>
        </is>
      </c>
      <c r="E319" s="14" t="n">
        <v>2024</v>
      </c>
      <c r="F319" s="14" t="n">
        <v>0.24</v>
      </c>
      <c r="G319" s="14" t="n">
        <v>2.153</v>
      </c>
      <c r="H319" s="14" t="n">
        <v>0.679</v>
      </c>
      <c r="I319" s="14" t="n">
        <v>6.657</v>
      </c>
      <c r="J319" s="14" t="n">
        <v>8.81</v>
      </c>
      <c r="K319" s="14" t="n">
        <v>0</v>
      </c>
      <c r="L319" s="14" t="n">
        <v>1</v>
      </c>
      <c r="M319" s="14" t="n">
        <v>3.468</v>
      </c>
      <c r="N319" s="14" t="n">
        <v>2.036</v>
      </c>
      <c r="O319" s="14" t="n">
        <v>6.24</v>
      </c>
      <c r="P319" s="14" t="n">
        <v>9.708</v>
      </c>
      <c r="Q319" s="14" t="n">
        <v>0</v>
      </c>
      <c r="R319" s="14" t="n">
        <v>1</v>
      </c>
      <c r="S319" s="14" t="n">
        <v>5.546</v>
      </c>
      <c r="T319" s="14" t="n">
        <v>4.072</v>
      </c>
      <c r="U319" s="14" t="n">
        <v>0.526</v>
      </c>
      <c r="V319" s="14" t="n">
        <v>7.291</v>
      </c>
      <c r="W319" s="14" t="n">
        <v>0.24</v>
      </c>
      <c r="X319" s="14" t="n">
        <v>1</v>
      </c>
      <c r="Y319" s="14" t="n">
        <v>12.457</v>
      </c>
      <c r="Z319" s="14" t="n">
        <v>1.573</v>
      </c>
      <c r="AA319" s="14" t="n">
        <v>4.821</v>
      </c>
      <c r="AB319" s="14" t="n">
        <v>17.278</v>
      </c>
      <c r="AC319" s="14" t="n">
        <v>0</v>
      </c>
      <c r="AD319" s="14" t="n">
        <v>1</v>
      </c>
      <c r="AE319" s="14" t="n">
        <v>12.457</v>
      </c>
      <c r="AF319" s="14" t="n">
        <v>2.729</v>
      </c>
      <c r="AG319" s="14" t="n">
        <v>4.821</v>
      </c>
      <c r="AH319" s="14" t="n">
        <v>17.278</v>
      </c>
      <c r="AI319" s="14" t="n">
        <v>0</v>
      </c>
      <c r="AJ319" s="14" t="n">
        <v>1</v>
      </c>
      <c r="AK319" s="14" t="n">
        <v>19.921</v>
      </c>
      <c r="AL319" s="14" t="n">
        <v>10.132</v>
      </c>
      <c r="AM319" s="14" t="n">
        <v>0.553</v>
      </c>
      <c r="AN319" s="14" t="n">
        <v>25.388</v>
      </c>
      <c r="AO319" s="14" t="n">
        <v>0.24</v>
      </c>
      <c r="AP319" s="14" t="n">
        <v>1</v>
      </c>
      <c r="AQ319" s="14" t="n">
        <v>0.724</v>
      </c>
      <c r="AR319" s="14" t="n">
        <v>0.132</v>
      </c>
      <c r="AS319" s="14" t="n">
        <v>0.895</v>
      </c>
      <c r="AT319" s="14" t="n">
        <v>2.008</v>
      </c>
      <c r="AU319" s="14" t="n">
        <v>0.24</v>
      </c>
      <c r="AV319" s="14" t="n">
        <v>1</v>
      </c>
      <c r="AW319" s="14" t="n">
        <v>0.75</v>
      </c>
      <c r="AX319" s="14" t="n">
        <v>0.132</v>
      </c>
      <c r="AY319" s="14" t="n">
        <v>0.671</v>
      </c>
      <c r="AZ319" s="14" t="n">
        <v>1.762</v>
      </c>
      <c r="BA319" s="14" t="n">
        <v>0.24</v>
      </c>
      <c r="BB319" s="14" t="n">
        <v>1</v>
      </c>
      <c r="BC319" s="14" t="n">
        <v>0.513</v>
      </c>
      <c r="BD319" s="14" t="n">
        <v>0.132</v>
      </c>
      <c r="BE319" s="14" t="n">
        <v>0.258</v>
      </c>
      <c r="BF319" s="14" t="n">
        <v>0.956</v>
      </c>
      <c r="BG319" s="14" t="n">
        <v>0.24</v>
      </c>
      <c r="BH319" s="14" t="n">
        <v>1</v>
      </c>
      <c r="BI319" s="14" t="n">
        <v>0.591</v>
      </c>
      <c r="BJ319" s="14" t="n">
        <v>0.132</v>
      </c>
      <c r="BK319" s="14" t="n">
        <v>0.475</v>
      </c>
      <c r="BL319" s="14" t="n">
        <v>1.322</v>
      </c>
      <c r="BM319" s="14" t="n">
        <v>0.24</v>
      </c>
      <c r="BN319" s="14" t="n">
        <v>1</v>
      </c>
      <c r="BO319" s="14" t="n">
        <v>0</v>
      </c>
      <c r="BP319" s="14" t="n">
        <v>0.011</v>
      </c>
      <c r="BQ319" s="14" t="n">
        <v>0.152</v>
      </c>
      <c r="BR319" s="14" t="n">
        <v>0</v>
      </c>
      <c r="BS319" s="14" t="n">
        <v>1</v>
      </c>
      <c r="BT319" s="14" t="n">
        <v>0</v>
      </c>
      <c r="BU319" s="14" t="n">
        <v>0.025</v>
      </c>
      <c r="BV319" s="14" t="n">
        <v>0.245</v>
      </c>
      <c r="BW319" s="14" t="n">
        <v>0.24</v>
      </c>
      <c r="BX319" s="14" t="n">
        <v>1</v>
      </c>
      <c r="BY319" s="14" t="n">
        <v>13.646</v>
      </c>
      <c r="BZ319" s="14" t="n">
        <v>0</v>
      </c>
      <c r="CA319" s="14" t="n">
        <v>13.646</v>
      </c>
      <c r="CB319" s="14" t="n">
        <v>0</v>
      </c>
      <c r="CC319" s="14" t="n">
        <v>82.58799999999999</v>
      </c>
      <c r="CD319" s="14" t="n">
        <v>7.95</v>
      </c>
      <c r="CE319" s="14" t="n">
        <v>119.18</v>
      </c>
      <c r="CF319" s="14" t="n">
        <v>250.192</v>
      </c>
      <c r="CG319" s="14" t="n">
        <v>0.24</v>
      </c>
      <c r="CH319" s="14" t="n">
        <v>1</v>
      </c>
      <c r="CI319" s="14" t="n">
        <v>0</v>
      </c>
      <c r="CJ319" s="14" t="n">
        <v>0</v>
      </c>
      <c r="CK319" s="14" t="n">
        <v>0</v>
      </c>
      <c r="CL319" s="14" t="n">
        <v>0</v>
      </c>
      <c r="CM319" s="14" t="n">
        <v>0</v>
      </c>
      <c r="CN319" s="14" t="n">
        <v>0</v>
      </c>
      <c r="CO319" s="14" t="n">
        <v>0</v>
      </c>
      <c r="CP319" s="14" t="n">
        <v>0.975</v>
      </c>
      <c r="CQ319" s="14" t="n">
        <v>1.387</v>
      </c>
      <c r="CR319" s="14" t="n">
        <v>0</v>
      </c>
      <c r="CS319" s="14" t="n">
        <v>5.529</v>
      </c>
      <c r="CT319" s="14" t="n">
        <v>4.797</v>
      </c>
      <c r="CU319" s="14" t="n">
        <v>9.568</v>
      </c>
    </row>
    <row r="320">
      <c r="A320" s="14" t="inlineStr">
        <is>
          <t>GRL2021</t>
        </is>
      </c>
      <c r="B320" s="14" t="inlineStr">
        <is>
          <t>GRL</t>
        </is>
      </c>
      <c r="C320" s="14" t="inlineStr">
        <is>
          <t>GRL</t>
        </is>
      </c>
      <c r="D320" s="14" t="inlineStr">
        <is>
          <t>Greenland</t>
        </is>
      </c>
      <c r="E320" s="14" t="n">
        <v>2021</v>
      </c>
      <c r="F320" s="14" t="n">
        <v>0</v>
      </c>
      <c r="G320" s="14" t="n">
        <v>5.553</v>
      </c>
      <c r="H320" s="14" t="n">
        <v>1.143</v>
      </c>
      <c r="I320" s="14" t="n">
        <v>0</v>
      </c>
      <c r="J320" s="14" t="n">
        <v>5.553</v>
      </c>
      <c r="K320" s="14" t="n">
        <v>0</v>
      </c>
      <c r="L320" s="14" t="n">
        <v>1</v>
      </c>
      <c r="M320" s="14" t="n">
        <v>7.964</v>
      </c>
      <c r="N320" s="14" t="n">
        <v>3.43</v>
      </c>
      <c r="O320" s="14" t="n">
        <v>0</v>
      </c>
      <c r="P320" s="14" t="n">
        <v>7.964</v>
      </c>
      <c r="Q320" s="14" t="n">
        <v>0</v>
      </c>
      <c r="R320" s="14" t="n">
        <v>1</v>
      </c>
      <c r="S320" s="14" t="n">
        <v>11.27</v>
      </c>
      <c r="T320" s="14" t="n">
        <v>6.86</v>
      </c>
      <c r="U320" s="14" t="n">
        <v>0</v>
      </c>
      <c r="V320" s="14" t="n">
        <v>11.27</v>
      </c>
      <c r="W320" s="14" t="n">
        <v>0</v>
      </c>
      <c r="X320" s="14" t="n">
        <v>1</v>
      </c>
      <c r="Y320" s="14" t="n">
        <v>16.305</v>
      </c>
      <c r="Z320" s="14" t="n">
        <v>2.204</v>
      </c>
      <c r="AA320" s="14" t="n">
        <v>0</v>
      </c>
      <c r="AB320" s="14" t="n">
        <v>16.305</v>
      </c>
      <c r="AC320" s="14" t="n">
        <v>0</v>
      </c>
      <c r="AD320" s="14" t="n">
        <v>1</v>
      </c>
      <c r="AE320" s="14" t="n">
        <v>17.449</v>
      </c>
      <c r="AF320" s="14" t="n">
        <v>4.08</v>
      </c>
      <c r="AG320" s="14" t="n">
        <v>0</v>
      </c>
      <c r="AH320" s="14" t="n">
        <v>17.449</v>
      </c>
      <c r="AI320" s="14" t="n">
        <v>0</v>
      </c>
      <c r="AJ320" s="14" t="n">
        <v>1</v>
      </c>
      <c r="AK320" s="14" t="n">
        <v>24.309</v>
      </c>
      <c r="AL320" s="14" t="n">
        <v>12.947</v>
      </c>
      <c r="AM320" s="14" t="n">
        <v>0</v>
      </c>
      <c r="AN320" s="14" t="n">
        <v>24.309</v>
      </c>
      <c r="AO320" s="14" t="n">
        <v>0</v>
      </c>
      <c r="AP320" s="14" t="n">
        <v>1</v>
      </c>
      <c r="AQ320" s="14" t="n">
        <v>0.619</v>
      </c>
      <c r="AR320" s="14" t="n">
        <v>0.114</v>
      </c>
      <c r="AS320" s="14" t="n">
        <v>0.118</v>
      </c>
      <c r="AT320" s="14" t="n">
        <v>0.737</v>
      </c>
      <c r="AU320" s="14" t="n">
        <v>0</v>
      </c>
      <c r="AV320" s="14" t="n">
        <v>1</v>
      </c>
      <c r="AW320" s="14" t="n">
        <v>0.599</v>
      </c>
      <c r="AX320" s="14" t="n">
        <v>0.114</v>
      </c>
      <c r="AY320" s="14" t="n">
        <v>0.127</v>
      </c>
      <c r="AZ320" s="14" t="n">
        <v>0.726</v>
      </c>
      <c r="BA320" s="14" t="n">
        <v>0</v>
      </c>
      <c r="BB320" s="14" t="n">
        <v>0</v>
      </c>
      <c r="BC320" s="14" t="n">
        <v>0.439</v>
      </c>
      <c r="BD320" s="14" t="n">
        <v>0.114</v>
      </c>
      <c r="BE320" s="14" t="n">
        <v>0</v>
      </c>
      <c r="BF320" s="14" t="n">
        <v>0.439</v>
      </c>
      <c r="BG320" s="14" t="n">
        <v>0</v>
      </c>
      <c r="BH320" s="14" t="n">
        <v>1</v>
      </c>
      <c r="BI320" s="14" t="n">
        <v>0.505</v>
      </c>
      <c r="BJ320" s="14" t="n">
        <v>0.114</v>
      </c>
      <c r="BK320" s="14" t="n">
        <v>0.242</v>
      </c>
      <c r="BL320" s="14" t="n">
        <v>0.747</v>
      </c>
      <c r="BM320" s="14" t="n">
        <v>0</v>
      </c>
      <c r="BN320" s="14" t="n">
        <v>1</v>
      </c>
      <c r="BO320" s="14" t="n">
        <v>0</v>
      </c>
      <c r="BP320" s="14" t="n">
        <v>0</v>
      </c>
      <c r="BQ320" s="14" t="n">
        <v>0</v>
      </c>
      <c r="BR320" s="14" t="n">
        <v>0</v>
      </c>
      <c r="BS320" s="14" t="n">
        <v>1</v>
      </c>
      <c r="BT320" s="14" t="n">
        <v>0</v>
      </c>
      <c r="BU320" s="14" t="n">
        <v>0</v>
      </c>
      <c r="BV320" s="14" t="n">
        <v>0</v>
      </c>
      <c r="BW320" s="14" t="n">
        <v>0</v>
      </c>
      <c r="BX320" s="14" t="n">
        <v>1</v>
      </c>
      <c r="BY320" s="14" t="n">
        <v>11.787</v>
      </c>
      <c r="BZ320" s="14" t="n">
        <v>0</v>
      </c>
      <c r="CA320" s="14" t="n">
        <v>11.787</v>
      </c>
      <c r="CB320" s="14" t="n">
        <v>0</v>
      </c>
      <c r="CC320" s="14" t="n">
        <v>78.125</v>
      </c>
      <c r="CD320" s="14" t="n">
        <v>7.95</v>
      </c>
      <c r="CE320" s="14" t="n">
        <v>40.653</v>
      </c>
      <c r="CF320" s="14" t="n">
        <v>118.778</v>
      </c>
      <c r="CG320" s="14" t="n">
        <v>0</v>
      </c>
      <c r="CH320" s="14" t="n">
        <v>1</v>
      </c>
      <c r="CI320" s="14" t="n">
        <v>0</v>
      </c>
      <c r="CJ320" s="14" t="n">
        <v>0</v>
      </c>
      <c r="CK320" s="14" t="n">
        <v>0</v>
      </c>
      <c r="CL320" s="14" t="n">
        <v>0</v>
      </c>
      <c r="CM320" s="14" t="n">
        <v>0</v>
      </c>
      <c r="CN320" s="14" t="n">
        <v>0</v>
      </c>
      <c r="CO320" s="14" t="n">
        <v>0</v>
      </c>
      <c r="CP320" s="14" t="n">
        <v>0</v>
      </c>
      <c r="CQ320" s="14" t="n">
        <v>1.198</v>
      </c>
      <c r="CR320" s="14" t="n">
        <v>0</v>
      </c>
      <c r="CS320" s="14" t="n">
        <v>4.776</v>
      </c>
      <c r="CT320" s="14" t="n">
        <v>4.41</v>
      </c>
      <c r="CU320" s="14" t="n">
        <v>15.162</v>
      </c>
    </row>
    <row r="321">
      <c r="A321" s="14" t="inlineStr">
        <is>
          <t>GRL2022</t>
        </is>
      </c>
      <c r="B321" s="14" t="inlineStr">
        <is>
          <t>GRL</t>
        </is>
      </c>
      <c r="C321" s="14" t="inlineStr">
        <is>
          <t>GRL</t>
        </is>
      </c>
      <c r="D321" s="14" t="inlineStr">
        <is>
          <t>Greenland</t>
        </is>
      </c>
      <c r="E321" s="14" t="n">
        <v>2022</v>
      </c>
      <c r="F321" s="14" t="n">
        <v>0</v>
      </c>
      <c r="G321" s="14" t="n">
        <v>7.077</v>
      </c>
      <c r="H321" s="14" t="n">
        <v>1.235</v>
      </c>
      <c r="I321" s="14" t="n">
        <v>0</v>
      </c>
      <c r="J321" s="14" t="n">
        <v>7.077</v>
      </c>
      <c r="K321" s="14" t="n">
        <v>0</v>
      </c>
      <c r="L321" s="14" t="n">
        <v>1</v>
      </c>
      <c r="M321" s="14" t="n">
        <v>9.782999999999999</v>
      </c>
      <c r="N321" s="14" t="n">
        <v>3.704</v>
      </c>
      <c r="O321" s="14" t="n">
        <v>0</v>
      </c>
      <c r="P321" s="14" t="n">
        <v>9.782999999999999</v>
      </c>
      <c r="Q321" s="14" t="n">
        <v>0</v>
      </c>
      <c r="R321" s="14" t="n">
        <v>1</v>
      </c>
      <c r="S321" s="14" t="n">
        <v>13.25</v>
      </c>
      <c r="T321" s="14" t="n">
        <v>7.408</v>
      </c>
      <c r="U321" s="14" t="n">
        <v>0</v>
      </c>
      <c r="V321" s="14" t="n">
        <v>13.25</v>
      </c>
      <c r="W321" s="14" t="n">
        <v>0</v>
      </c>
      <c r="X321" s="14" t="n">
        <v>1</v>
      </c>
      <c r="Y321" s="14" t="n">
        <v>32.56</v>
      </c>
      <c r="Z321" s="14" t="n">
        <v>4.401</v>
      </c>
      <c r="AA321" s="14" t="n">
        <v>0</v>
      </c>
      <c r="AB321" s="14" t="n">
        <v>32.56</v>
      </c>
      <c r="AC321" s="14" t="n">
        <v>0</v>
      </c>
      <c r="AD321" s="14" t="n">
        <v>1</v>
      </c>
      <c r="AE321" s="14" t="n">
        <v>33.795</v>
      </c>
      <c r="AF321" s="14" t="n">
        <v>7.902</v>
      </c>
      <c r="AG321" s="14" t="n">
        <v>0</v>
      </c>
      <c r="AH321" s="14" t="n">
        <v>33.795</v>
      </c>
      <c r="AI321" s="14" t="n">
        <v>0</v>
      </c>
      <c r="AJ321" s="14" t="n">
        <v>1</v>
      </c>
      <c r="AK321" s="14" t="n">
        <v>41.203</v>
      </c>
      <c r="AL321" s="14" t="n">
        <v>21.945</v>
      </c>
      <c r="AM321" s="14" t="n">
        <v>0</v>
      </c>
      <c r="AN321" s="14" t="n">
        <v>41.203</v>
      </c>
      <c r="AO321" s="14" t="n">
        <v>0</v>
      </c>
      <c r="AP321" s="14" t="n">
        <v>1</v>
      </c>
      <c r="AQ321" s="14" t="n">
        <v>0.861</v>
      </c>
      <c r="AR321" s="14" t="n">
        <v>0.123</v>
      </c>
      <c r="AS321" s="14" t="n">
        <v>-0.23</v>
      </c>
      <c r="AT321" s="14" t="n">
        <v>0.631</v>
      </c>
      <c r="AU321" s="14" t="n">
        <v>0</v>
      </c>
      <c r="AV321" s="14" t="n">
        <v>1</v>
      </c>
      <c r="AW321" s="14" t="n">
        <v>0.986</v>
      </c>
      <c r="AX321" s="14" t="n">
        <v>0.123</v>
      </c>
      <c r="AY321" s="14" t="n">
        <v>-0.361</v>
      </c>
      <c r="AZ321" s="14" t="n">
        <v>0.625</v>
      </c>
      <c r="BA321" s="14" t="n">
        <v>0</v>
      </c>
      <c r="BB321" s="14" t="n">
        <v>0</v>
      </c>
      <c r="BC321" s="14" t="n">
        <v>0.598</v>
      </c>
      <c r="BD321" s="14" t="n">
        <v>0.123</v>
      </c>
      <c r="BE321" s="14" t="n">
        <v>0</v>
      </c>
      <c r="BF321" s="14" t="n">
        <v>0.598</v>
      </c>
      <c r="BG321" s="14" t="n">
        <v>0</v>
      </c>
      <c r="BH321" s="14" t="n">
        <v>1</v>
      </c>
      <c r="BI321" s="14" t="n">
        <v>0.612</v>
      </c>
      <c r="BJ321" s="14" t="n">
        <v>0.123</v>
      </c>
      <c r="BK321" s="14" t="n">
        <v>0.031</v>
      </c>
      <c r="BL321" s="14" t="n">
        <v>0.643</v>
      </c>
      <c r="BM321" s="14" t="n">
        <v>0</v>
      </c>
      <c r="BN321" s="14" t="n">
        <v>1</v>
      </c>
      <c r="BO321" s="14" t="n">
        <v>0</v>
      </c>
      <c r="BP321" s="14" t="n">
        <v>0</v>
      </c>
      <c r="BQ321" s="14" t="n">
        <v>0</v>
      </c>
      <c r="BR321" s="14" t="n">
        <v>0</v>
      </c>
      <c r="BS321" s="14" t="n">
        <v>1</v>
      </c>
      <c r="BT321" s="14" t="n">
        <v>0</v>
      </c>
      <c r="BU321" s="14" t="n">
        <v>0</v>
      </c>
      <c r="BV321" s="14" t="n">
        <v>0</v>
      </c>
      <c r="BW321" s="14" t="n">
        <v>0</v>
      </c>
      <c r="BX321" s="14" t="n">
        <v>1</v>
      </c>
      <c r="BY321" s="14" t="n">
        <v>12.729</v>
      </c>
      <c r="BZ321" s="14" t="n">
        <v>0</v>
      </c>
      <c r="CA321" s="14" t="n">
        <v>12.729</v>
      </c>
      <c r="CB321" s="14" t="n">
        <v>0</v>
      </c>
      <c r="CC321" s="14" t="n">
        <v>97.90000000000001</v>
      </c>
      <c r="CD321" s="14" t="n">
        <v>7.95</v>
      </c>
      <c r="CE321" s="14" t="n">
        <v>4.338</v>
      </c>
      <c r="CF321" s="14" t="n">
        <v>102.238</v>
      </c>
      <c r="CG321" s="14" t="n">
        <v>0</v>
      </c>
      <c r="CH321" s="14" t="n">
        <v>1</v>
      </c>
      <c r="CI321" s="14" t="n">
        <v>0</v>
      </c>
      <c r="CJ321" s="14" t="n">
        <v>0</v>
      </c>
      <c r="CK321" s="14" t="n">
        <v>0</v>
      </c>
      <c r="CL321" s="14" t="n">
        <v>0</v>
      </c>
      <c r="CM321" s="14" t="n">
        <v>0</v>
      </c>
      <c r="CN321" s="14" t="n">
        <v>0</v>
      </c>
      <c r="CO321" s="14" t="n">
        <v>0</v>
      </c>
      <c r="CP321" s="14" t="n">
        <v>0</v>
      </c>
      <c r="CQ321" s="14" t="n">
        <v>1.294</v>
      </c>
      <c r="CR321" s="14" t="n">
        <v>0</v>
      </c>
      <c r="CS321" s="14" t="n">
        <v>5.158</v>
      </c>
      <c r="CT321" s="14" t="n">
        <v>5.842</v>
      </c>
      <c r="CU321" s="14" t="n">
        <v>31.326</v>
      </c>
    </row>
    <row r="322">
      <c r="A322" s="14" t="inlineStr">
        <is>
          <t>GRL2023</t>
        </is>
      </c>
      <c r="B322" s="14" t="inlineStr">
        <is>
          <t>GRL</t>
        </is>
      </c>
      <c r="C322" s="14" t="inlineStr">
        <is>
          <t>GRL</t>
        </is>
      </c>
      <c r="D322" s="14" t="inlineStr">
        <is>
          <t>Greenland</t>
        </is>
      </c>
      <c r="E322" s="14" t="n">
        <v>2023</v>
      </c>
      <c r="F322" s="14" t="n">
        <v>0</v>
      </c>
      <c r="G322" s="14" t="n">
        <v>4.752</v>
      </c>
      <c r="H322" s="14" t="n">
        <v>1.286</v>
      </c>
      <c r="I322" s="14" t="n">
        <v>0</v>
      </c>
      <c r="J322" s="14" t="n">
        <v>4.752</v>
      </c>
      <c r="K322" s="14" t="n">
        <v>0</v>
      </c>
      <c r="L322" s="14" t="n">
        <v>1</v>
      </c>
      <c r="M322" s="14" t="n">
        <v>7.886</v>
      </c>
      <c r="N322" s="14" t="n">
        <v>3.857</v>
      </c>
      <c r="O322" s="14" t="n">
        <v>0</v>
      </c>
      <c r="P322" s="14" t="n">
        <v>7.886</v>
      </c>
      <c r="Q322" s="14" t="n">
        <v>0</v>
      </c>
      <c r="R322" s="14" t="n">
        <v>1</v>
      </c>
      <c r="S322" s="14" t="n">
        <v>11.18</v>
      </c>
      <c r="T322" s="14" t="n">
        <v>7.714</v>
      </c>
      <c r="U322" s="14" t="n">
        <v>0</v>
      </c>
      <c r="V322" s="14" t="n">
        <v>11.18</v>
      </c>
      <c r="W322" s="14" t="n">
        <v>0</v>
      </c>
      <c r="X322" s="14" t="n">
        <v>1</v>
      </c>
      <c r="Y322" s="14" t="n">
        <v>12.908</v>
      </c>
      <c r="Z322" s="14" t="n">
        <v>1.745</v>
      </c>
      <c r="AA322" s="14" t="n">
        <v>0</v>
      </c>
      <c r="AB322" s="14" t="n">
        <v>12.908</v>
      </c>
      <c r="AC322" s="14" t="n">
        <v>0</v>
      </c>
      <c r="AD322" s="14" t="n">
        <v>1</v>
      </c>
      <c r="AE322" s="14" t="n">
        <v>14.194</v>
      </c>
      <c r="AF322" s="14" t="n">
        <v>3.319</v>
      </c>
      <c r="AG322" s="14" t="n">
        <v>0</v>
      </c>
      <c r="AH322" s="14" t="n">
        <v>14.194</v>
      </c>
      <c r="AI322" s="14" t="n">
        <v>0</v>
      </c>
      <c r="AJ322" s="14" t="n">
        <v>1</v>
      </c>
      <c r="AK322" s="14" t="n">
        <v>21.908</v>
      </c>
      <c r="AL322" s="14" t="n">
        <v>11.668</v>
      </c>
      <c r="AM322" s="14" t="n">
        <v>0</v>
      </c>
      <c r="AN322" s="14" t="n">
        <v>21.908</v>
      </c>
      <c r="AO322" s="14" t="n">
        <v>0</v>
      </c>
      <c r="AP322" s="14" t="n">
        <v>1</v>
      </c>
      <c r="AQ322" s="14" t="n">
        <v>0.76</v>
      </c>
      <c r="AR322" s="14" t="n">
        <v>0.129</v>
      </c>
      <c r="AS322" s="14" t="n">
        <v>-0.111</v>
      </c>
      <c r="AT322" s="14" t="n">
        <v>0.649</v>
      </c>
      <c r="AU322" s="14" t="n">
        <v>0</v>
      </c>
      <c r="AV322" s="14" t="n">
        <v>1</v>
      </c>
      <c r="AW322" s="14" t="n">
        <v>0.8110000000000001</v>
      </c>
      <c r="AX322" s="14" t="n">
        <v>0.129</v>
      </c>
      <c r="AY322" s="14" t="n">
        <v>-0.17</v>
      </c>
      <c r="AZ322" s="14" t="n">
        <v>0.642</v>
      </c>
      <c r="BA322" s="14" t="n">
        <v>0</v>
      </c>
      <c r="BB322" s="14" t="n">
        <v>0</v>
      </c>
      <c r="BC322" s="14" t="n">
        <v>0.535</v>
      </c>
      <c r="BD322" s="14" t="n">
        <v>0.129</v>
      </c>
      <c r="BE322" s="14" t="n">
        <v>0</v>
      </c>
      <c r="BF322" s="14" t="n">
        <v>0.535</v>
      </c>
      <c r="BG322" s="14" t="n">
        <v>0</v>
      </c>
      <c r="BH322" s="14" t="n">
        <v>1</v>
      </c>
      <c r="BI322" s="14" t="n">
        <v>0.579</v>
      </c>
      <c r="BJ322" s="14" t="n">
        <v>0.129</v>
      </c>
      <c r="BK322" s="14" t="n">
        <v>0.081</v>
      </c>
      <c r="BL322" s="14" t="n">
        <v>0.66</v>
      </c>
      <c r="BM322" s="14" t="n">
        <v>0</v>
      </c>
      <c r="BN322" s="14" t="n">
        <v>1</v>
      </c>
      <c r="BO322" s="14" t="n">
        <v>0</v>
      </c>
      <c r="BP322" s="14" t="n">
        <v>0</v>
      </c>
      <c r="BQ322" s="14" t="n">
        <v>0</v>
      </c>
      <c r="BR322" s="14" t="n">
        <v>0</v>
      </c>
      <c r="BS322" s="14" t="n">
        <v>1</v>
      </c>
      <c r="BT322" s="14" t="n">
        <v>0</v>
      </c>
      <c r="BU322" s="14" t="n">
        <v>0</v>
      </c>
      <c r="BV322" s="14" t="n">
        <v>0</v>
      </c>
      <c r="BW322" s="14" t="n">
        <v>0</v>
      </c>
      <c r="BX322" s="14" t="n">
        <v>1</v>
      </c>
      <c r="BY322" s="14" t="n">
        <v>13.254</v>
      </c>
      <c r="BZ322" s="14" t="n">
        <v>0</v>
      </c>
      <c r="CA322" s="14" t="n">
        <v>13.254</v>
      </c>
      <c r="CB322" s="14" t="n">
        <v>0</v>
      </c>
      <c r="CC322" s="14" t="n">
        <v>83.248</v>
      </c>
      <c r="CD322" s="14" t="n">
        <v>7.95</v>
      </c>
      <c r="CE322" s="14" t="n">
        <v>21.757</v>
      </c>
      <c r="CF322" s="14" t="n">
        <v>105.005</v>
      </c>
      <c r="CG322" s="14" t="n">
        <v>0</v>
      </c>
      <c r="CH322" s="14" t="n">
        <v>1</v>
      </c>
      <c r="CI322" s="14" t="n">
        <v>0</v>
      </c>
      <c r="CJ322" s="14" t="n">
        <v>0</v>
      </c>
      <c r="CK322" s="14" t="n">
        <v>0</v>
      </c>
      <c r="CL322" s="14" t="n">
        <v>0</v>
      </c>
      <c r="CM322" s="14" t="n">
        <v>0</v>
      </c>
      <c r="CN322" s="14" t="n">
        <v>0</v>
      </c>
      <c r="CO322" s="14" t="n">
        <v>0</v>
      </c>
      <c r="CP322" s="14" t="n">
        <v>0</v>
      </c>
      <c r="CQ322" s="14" t="n">
        <v>1.348</v>
      </c>
      <c r="CR322" s="14" t="n">
        <v>0</v>
      </c>
      <c r="CS322" s="14" t="n">
        <v>5.37</v>
      </c>
      <c r="CT322" s="14" t="n">
        <v>3.466</v>
      </c>
      <c r="CU322" s="14" t="n">
        <v>11.622</v>
      </c>
    </row>
    <row r="323">
      <c r="A323" s="14" t="inlineStr">
        <is>
          <t>GRL2024</t>
        </is>
      </c>
      <c r="B323" s="14" t="inlineStr">
        <is>
          <t>GRL</t>
        </is>
      </c>
      <c r="C323" s="14" t="inlineStr">
        <is>
          <t>GRL</t>
        </is>
      </c>
      <c r="D323" s="14" t="inlineStr">
        <is>
          <t>Greenland</t>
        </is>
      </c>
      <c r="E323" s="14" t="n">
        <v>2024</v>
      </c>
      <c r="F323" s="14" t="n">
        <v>0</v>
      </c>
      <c r="G323" s="14" t="n">
        <v>4.351</v>
      </c>
      <c r="H323" s="14" t="n">
        <v>1.324</v>
      </c>
      <c r="I323" s="14" t="n">
        <v>0</v>
      </c>
      <c r="J323" s="14" t="n">
        <v>4.351</v>
      </c>
      <c r="K323" s="14" t="n">
        <v>0</v>
      </c>
      <c r="L323" s="14" t="n">
        <v>1</v>
      </c>
      <c r="M323" s="14" t="n">
        <v>7.124</v>
      </c>
      <c r="N323" s="14" t="n">
        <v>3.971</v>
      </c>
      <c r="O323" s="14" t="n">
        <v>0</v>
      </c>
      <c r="P323" s="14" t="n">
        <v>7.124</v>
      </c>
      <c r="Q323" s="14" t="n">
        <v>0</v>
      </c>
      <c r="R323" s="14" t="n">
        <v>1</v>
      </c>
      <c r="S323" s="14" t="n">
        <v>10.969</v>
      </c>
      <c r="T323" s="14" t="n">
        <v>7.942</v>
      </c>
      <c r="U323" s="14" t="n">
        <v>0</v>
      </c>
      <c r="V323" s="14" t="n">
        <v>10.969</v>
      </c>
      <c r="W323" s="14" t="n">
        <v>0</v>
      </c>
      <c r="X323" s="14" t="n">
        <v>1</v>
      </c>
      <c r="Y323" s="14" t="n">
        <v>11.492</v>
      </c>
      <c r="Z323" s="14" t="n">
        <v>1.553</v>
      </c>
      <c r="AA323" s="14" t="n">
        <v>0</v>
      </c>
      <c r="AB323" s="14" t="n">
        <v>11.492</v>
      </c>
      <c r="AC323" s="14" t="n">
        <v>0</v>
      </c>
      <c r="AD323" s="14" t="n">
        <v>1</v>
      </c>
      <c r="AE323" s="14" t="n">
        <v>12.815</v>
      </c>
      <c r="AF323" s="14" t="n">
        <v>2.997</v>
      </c>
      <c r="AG323" s="14" t="n">
        <v>0</v>
      </c>
      <c r="AH323" s="14" t="n">
        <v>12.815</v>
      </c>
      <c r="AI323" s="14" t="n">
        <v>0</v>
      </c>
      <c r="AJ323" s="14" t="n">
        <v>1</v>
      </c>
      <c r="AK323" s="14" t="n">
        <v>20.757</v>
      </c>
      <c r="AL323" s="14" t="n">
        <v>11.055</v>
      </c>
      <c r="AM323" s="14" t="n">
        <v>0</v>
      </c>
      <c r="AN323" s="14" t="n">
        <v>20.757</v>
      </c>
      <c r="AO323" s="14" t="n">
        <v>0</v>
      </c>
      <c r="AP323" s="14" t="n">
        <v>1</v>
      </c>
      <c r="AQ323" s="14" t="n">
        <v>0.724</v>
      </c>
      <c r="AR323" s="14" t="n">
        <v>0.132</v>
      </c>
      <c r="AS323" s="14" t="n">
        <v>-0.06</v>
      </c>
      <c r="AT323" s="14" t="n">
        <v>0.664</v>
      </c>
      <c r="AU323" s="14" t="n">
        <v>0</v>
      </c>
      <c r="AV323" s="14" t="n">
        <v>1</v>
      </c>
      <c r="AW323" s="14" t="n">
        <v>0.75</v>
      </c>
      <c r="AX323" s="14" t="n">
        <v>0.132</v>
      </c>
      <c r="AY323" s="14" t="n">
        <v>-0.093</v>
      </c>
      <c r="AZ323" s="14" t="n">
        <v>0.658</v>
      </c>
      <c r="BA323" s="14" t="n">
        <v>0</v>
      </c>
      <c r="BB323" s="14" t="n">
        <v>0</v>
      </c>
      <c r="BC323" s="14" t="n">
        <v>0.513</v>
      </c>
      <c r="BD323" s="14" t="n">
        <v>0.132</v>
      </c>
      <c r="BE323" s="14" t="n">
        <v>0</v>
      </c>
      <c r="BF323" s="14" t="n">
        <v>0.513</v>
      </c>
      <c r="BG323" s="14" t="n">
        <v>0</v>
      </c>
      <c r="BH323" s="14" t="n">
        <v>1</v>
      </c>
      <c r="BI323" s="14" t="n">
        <v>0.591</v>
      </c>
      <c r="BJ323" s="14" t="n">
        <v>0.132</v>
      </c>
      <c r="BK323" s="14" t="n">
        <v>0.08699999999999999</v>
      </c>
      <c r="BL323" s="14" t="n">
        <v>0.679</v>
      </c>
      <c r="BM323" s="14" t="n">
        <v>0</v>
      </c>
      <c r="BN323" s="14" t="n">
        <v>1</v>
      </c>
      <c r="BO323" s="14" t="n">
        <v>0</v>
      </c>
      <c r="BP323" s="14" t="n">
        <v>0</v>
      </c>
      <c r="BQ323" s="14" t="n">
        <v>0</v>
      </c>
      <c r="BR323" s="14" t="n">
        <v>0</v>
      </c>
      <c r="BS323" s="14" t="n">
        <v>1</v>
      </c>
      <c r="BT323" s="14" t="n">
        <v>0</v>
      </c>
      <c r="BU323" s="14" t="n">
        <v>0</v>
      </c>
      <c r="BV323" s="14" t="n">
        <v>0</v>
      </c>
      <c r="BW323" s="14" t="n">
        <v>0</v>
      </c>
      <c r="BX323" s="14" t="n">
        <v>1</v>
      </c>
      <c r="BY323" s="14" t="n">
        <v>13.646</v>
      </c>
      <c r="BZ323" s="14" t="n">
        <v>0</v>
      </c>
      <c r="CA323" s="14" t="n">
        <v>13.646</v>
      </c>
      <c r="CB323" s="14" t="n">
        <v>0</v>
      </c>
      <c r="CC323" s="14" t="n">
        <v>82.58799999999999</v>
      </c>
      <c r="CD323" s="14" t="n">
        <v>7.95</v>
      </c>
      <c r="CE323" s="14" t="n">
        <v>24.901</v>
      </c>
      <c r="CF323" s="14" t="n">
        <v>107.489</v>
      </c>
      <c r="CG323" s="14" t="n">
        <v>0</v>
      </c>
      <c r="CH323" s="14" t="n">
        <v>1</v>
      </c>
      <c r="CI323" s="14" t="n">
        <v>0</v>
      </c>
      <c r="CJ323" s="14" t="n">
        <v>0</v>
      </c>
      <c r="CK323" s="14" t="n">
        <v>0</v>
      </c>
      <c r="CL323" s="14" t="n">
        <v>0</v>
      </c>
      <c r="CM323" s="14" t="n">
        <v>0</v>
      </c>
      <c r="CN323" s="14" t="n">
        <v>0</v>
      </c>
      <c r="CO323" s="14" t="n">
        <v>0</v>
      </c>
      <c r="CP323" s="14" t="n">
        <v>0</v>
      </c>
      <c r="CQ323" s="14" t="n">
        <v>1.387</v>
      </c>
      <c r="CR323" s="14" t="n">
        <v>0</v>
      </c>
      <c r="CS323" s="14" t="n">
        <v>5.529</v>
      </c>
      <c r="CT323" s="14" t="n">
        <v>3.027</v>
      </c>
      <c r="CU323" s="14" t="n">
        <v>10.168</v>
      </c>
    </row>
    <row r="324">
      <c r="A324" s="14" t="inlineStr">
        <is>
          <t>GRD2021</t>
        </is>
      </c>
      <c r="B324" s="14" t="inlineStr">
        <is>
          <t>GRD</t>
        </is>
      </c>
      <c r="C324" s="14" t="inlineStr">
        <is>
          <t>GRD</t>
        </is>
      </c>
      <c r="D324" s="14" t="inlineStr">
        <is>
          <t>Grenada</t>
        </is>
      </c>
      <c r="E324" s="14" t="n">
        <v>2021</v>
      </c>
      <c r="F324" s="14" t="n">
        <v>0.15</v>
      </c>
      <c r="G324" s="14" t="n">
        <v>5.897</v>
      </c>
      <c r="H324" s="14" t="n">
        <v>1.143</v>
      </c>
      <c r="I324" s="14" t="n">
        <v>0</v>
      </c>
      <c r="J324" s="14" t="n">
        <v>5.897</v>
      </c>
      <c r="K324" s="14" t="n">
        <v>0</v>
      </c>
      <c r="L324" s="14" t="n">
        <v>1</v>
      </c>
      <c r="M324" s="14" t="n">
        <v>7.964</v>
      </c>
      <c r="N324" s="14" t="n">
        <v>3.43</v>
      </c>
      <c r="O324" s="14" t="n">
        <v>0</v>
      </c>
      <c r="P324" s="14" t="n">
        <v>7.964</v>
      </c>
      <c r="Q324" s="14" t="n">
        <v>0</v>
      </c>
      <c r="R324" s="14" t="n">
        <v>1</v>
      </c>
      <c r="S324" s="14" t="n">
        <v>11.613</v>
      </c>
      <c r="T324" s="14" t="n">
        <v>6.86</v>
      </c>
      <c r="U324" s="14" t="n">
        <v>0</v>
      </c>
      <c r="V324" s="14" t="n">
        <v>13.355</v>
      </c>
      <c r="W324" s="14" t="n">
        <v>0.15</v>
      </c>
      <c r="X324" s="14" t="n">
        <v>1</v>
      </c>
      <c r="Y324" s="14" t="n">
        <v>17.127</v>
      </c>
      <c r="Z324" s="14" t="n">
        <v>2.304</v>
      </c>
      <c r="AA324" s="14" t="n">
        <v>0</v>
      </c>
      <c r="AB324" s="14" t="n">
        <v>17.127</v>
      </c>
      <c r="AC324" s="14" t="n">
        <v>0</v>
      </c>
      <c r="AD324" s="14" t="n">
        <v>1</v>
      </c>
      <c r="AE324" s="14" t="n">
        <v>18.27</v>
      </c>
      <c r="AF324" s="14" t="n">
        <v>4.278</v>
      </c>
      <c r="AG324" s="14" t="n">
        <v>0</v>
      </c>
      <c r="AH324" s="14" t="n">
        <v>18.27</v>
      </c>
      <c r="AI324" s="14" t="n">
        <v>0</v>
      </c>
      <c r="AJ324" s="14" t="n">
        <v>1</v>
      </c>
      <c r="AK324" s="14" t="n">
        <v>25.13</v>
      </c>
      <c r="AL324" s="14" t="n">
        <v>13.503</v>
      </c>
      <c r="AM324" s="14" t="n">
        <v>0</v>
      </c>
      <c r="AN324" s="14" t="n">
        <v>28.899</v>
      </c>
      <c r="AO324" s="14" t="n">
        <v>0.15</v>
      </c>
      <c r="AP324" s="14" t="n">
        <v>1</v>
      </c>
      <c r="AQ324" s="14" t="n">
        <v>1.224</v>
      </c>
      <c r="AR324" s="14" t="n">
        <v>0.224</v>
      </c>
      <c r="AS324" s="14" t="n">
        <v>0.048</v>
      </c>
      <c r="AT324" s="14" t="n">
        <v>1.272</v>
      </c>
      <c r="AU324" s="14" t="n">
        <v>0</v>
      </c>
      <c r="AV324" s="14" t="n">
        <v>1</v>
      </c>
      <c r="AW324" s="14" t="n">
        <v>1.099</v>
      </c>
      <c r="AX324" s="14" t="n">
        <v>0.212</v>
      </c>
      <c r="AY324" s="14" t="n">
        <v>0.062</v>
      </c>
      <c r="AZ324" s="14" t="n">
        <v>1.161</v>
      </c>
      <c r="BA324" s="14" t="n">
        <v>0</v>
      </c>
      <c r="BB324" s="14" t="n">
        <v>1</v>
      </c>
      <c r="BC324" s="14" t="n">
        <v>0.458</v>
      </c>
      <c r="BD324" s="14" t="n">
        <v>0.114</v>
      </c>
      <c r="BE324" s="14" t="n">
        <v>0.266</v>
      </c>
      <c r="BF324" s="14" t="n">
        <v>0.832</v>
      </c>
      <c r="BG324" s="14" t="n">
        <v>0.15</v>
      </c>
      <c r="BH324" s="14" t="n">
        <v>1</v>
      </c>
      <c r="BI324" s="14" t="n">
        <v>0.491</v>
      </c>
      <c r="BJ324" s="14" t="n">
        <v>0.114</v>
      </c>
      <c r="BK324" s="14" t="n">
        <v>0.237</v>
      </c>
      <c r="BL324" s="14" t="n">
        <v>0.838</v>
      </c>
      <c r="BM324" s="14" t="n">
        <v>0.15</v>
      </c>
      <c r="BN324" s="14" t="n">
        <v>1</v>
      </c>
      <c r="BO324" s="14" t="n">
        <v>0</v>
      </c>
      <c r="BP324" s="14" t="n">
        <v>0</v>
      </c>
      <c r="BQ324" s="14" t="n">
        <v>0.263</v>
      </c>
      <c r="BR324" s="14" t="n">
        <v>0</v>
      </c>
      <c r="BS324" s="14" t="n">
        <v>1</v>
      </c>
      <c r="BT324" s="14" t="n">
        <v>0</v>
      </c>
      <c r="BU324" s="14" t="n">
        <v>0</v>
      </c>
      <c r="BV324" s="14" t="n">
        <v>0.294</v>
      </c>
      <c r="BW324" s="14" t="n">
        <v>0.15</v>
      </c>
      <c r="BX324" s="14" t="n">
        <v>1</v>
      </c>
      <c r="BY324" s="14" t="n">
        <v>11.787</v>
      </c>
      <c r="BZ324" s="14" t="n">
        <v>0</v>
      </c>
      <c r="CA324" s="14" t="n">
        <v>11.787</v>
      </c>
      <c r="CB324" s="14" t="n">
        <v>0</v>
      </c>
      <c r="CC324" s="14" t="n">
        <v>78.125</v>
      </c>
      <c r="CD324" s="14" t="n">
        <v>7.95</v>
      </c>
      <c r="CE324" s="14" t="n">
        <v>34.476</v>
      </c>
      <c r="CF324" s="14" t="n">
        <v>129.492</v>
      </c>
      <c r="CG324" s="14" t="n">
        <v>0.15</v>
      </c>
      <c r="CH324" s="14" t="n">
        <v>1</v>
      </c>
      <c r="CI324" s="14" t="n">
        <v>0</v>
      </c>
      <c r="CJ324" s="14" t="n">
        <v>0</v>
      </c>
      <c r="CK324" s="14" t="n">
        <v>0</v>
      </c>
      <c r="CL324" s="14" t="n">
        <v>0</v>
      </c>
      <c r="CM324" s="14" t="n">
        <v>0</v>
      </c>
      <c r="CN324" s="14" t="n">
        <v>0</v>
      </c>
      <c r="CO324" s="14" t="n">
        <v>0</v>
      </c>
      <c r="CP324" s="14" t="n">
        <v>0</v>
      </c>
      <c r="CQ324" s="14" t="n">
        <v>1.198</v>
      </c>
      <c r="CR324" s="14" t="n">
        <v>0</v>
      </c>
      <c r="CS324" s="14" t="n">
        <v>4.776</v>
      </c>
      <c r="CT324" s="14" t="n">
        <v>4.753</v>
      </c>
      <c r="CU324" s="14" t="n">
        <v>15.983</v>
      </c>
    </row>
    <row r="325">
      <c r="A325" s="14" t="inlineStr">
        <is>
          <t>GRD2022</t>
        </is>
      </c>
      <c r="B325" s="14" t="inlineStr">
        <is>
          <t>GRD</t>
        </is>
      </c>
      <c r="C325" s="14" t="inlineStr">
        <is>
          <t>GRD</t>
        </is>
      </c>
      <c r="D325" s="14" t="inlineStr">
        <is>
          <t>Grenada</t>
        </is>
      </c>
      <c r="E325" s="14" t="n">
        <v>2022</v>
      </c>
      <c r="F325" s="14" t="n">
        <v>0.15</v>
      </c>
      <c r="G325" s="14" t="n">
        <v>11.72</v>
      </c>
      <c r="H325" s="14" t="n">
        <v>1.235</v>
      </c>
      <c r="I325" s="14" t="n">
        <v>0</v>
      </c>
      <c r="J325" s="14" t="n">
        <v>11.72</v>
      </c>
      <c r="K325" s="14" t="n">
        <v>0</v>
      </c>
      <c r="L325" s="14" t="n">
        <v>1</v>
      </c>
      <c r="M325" s="14" t="n">
        <v>9.782999999999999</v>
      </c>
      <c r="N325" s="14" t="n">
        <v>3.704</v>
      </c>
      <c r="O325" s="14" t="n">
        <v>0</v>
      </c>
      <c r="P325" s="14" t="n">
        <v>9.782999999999999</v>
      </c>
      <c r="Q325" s="14" t="n">
        <v>0</v>
      </c>
      <c r="R325" s="14" t="n">
        <v>1</v>
      </c>
      <c r="S325" s="14" t="n">
        <v>17.893</v>
      </c>
      <c r="T325" s="14" t="n">
        <v>7.408</v>
      </c>
      <c r="U325" s="14" t="n">
        <v>0.199</v>
      </c>
      <c r="V325" s="14" t="n">
        <v>20.577</v>
      </c>
      <c r="W325" s="14" t="n">
        <v>0.15</v>
      </c>
      <c r="X325" s="14" t="n">
        <v>1</v>
      </c>
      <c r="Y325" s="14" t="n">
        <v>30.728</v>
      </c>
      <c r="Z325" s="14" t="n">
        <v>4.133</v>
      </c>
      <c r="AA325" s="14" t="n">
        <v>0</v>
      </c>
      <c r="AB325" s="14" t="n">
        <v>30.728</v>
      </c>
      <c r="AC325" s="14" t="n">
        <v>0</v>
      </c>
      <c r="AD325" s="14" t="n">
        <v>1</v>
      </c>
      <c r="AE325" s="14" t="n">
        <v>31.963</v>
      </c>
      <c r="AF325" s="14" t="n">
        <v>7.485</v>
      </c>
      <c r="AG325" s="14" t="n">
        <v>0</v>
      </c>
      <c r="AH325" s="14" t="n">
        <v>31.963</v>
      </c>
      <c r="AI325" s="14" t="n">
        <v>0</v>
      </c>
      <c r="AJ325" s="14" t="n">
        <v>1</v>
      </c>
      <c r="AK325" s="14" t="n">
        <v>39.371</v>
      </c>
      <c r="AL325" s="14" t="n">
        <v>21.155</v>
      </c>
      <c r="AM325" s="14" t="n">
        <v>0.437</v>
      </c>
      <c r="AN325" s="14" t="n">
        <v>45.277</v>
      </c>
      <c r="AO325" s="14" t="n">
        <v>0.15</v>
      </c>
      <c r="AP325" s="14" t="n">
        <v>1</v>
      </c>
      <c r="AQ325" s="14" t="n">
        <v>1.085</v>
      </c>
      <c r="AR325" s="14" t="n">
        <v>0.155</v>
      </c>
      <c r="AS325" s="14" t="n">
        <v>0.067</v>
      </c>
      <c r="AT325" s="14" t="n">
        <v>1.152</v>
      </c>
      <c r="AU325" s="14" t="n">
        <v>0</v>
      </c>
      <c r="AV325" s="14" t="n">
        <v>1</v>
      </c>
      <c r="AW325" s="14" t="n">
        <v>1.101</v>
      </c>
      <c r="AX325" s="14" t="n">
        <v>0.143</v>
      </c>
      <c r="AY325" s="14" t="n">
        <v>0.101</v>
      </c>
      <c r="AZ325" s="14" t="n">
        <v>1.202</v>
      </c>
      <c r="BA325" s="14" t="n">
        <v>0</v>
      </c>
      <c r="BB325" s="14" t="n">
        <v>1</v>
      </c>
      <c r="BC325" s="14" t="n">
        <v>0.62</v>
      </c>
      <c r="BD325" s="14" t="n">
        <v>0.123</v>
      </c>
      <c r="BE325" s="14" t="n">
        <v>0.103</v>
      </c>
      <c r="BF325" s="14" t="n">
        <v>0.832</v>
      </c>
      <c r="BG325" s="14" t="n">
        <v>0.15</v>
      </c>
      <c r="BH325" s="14" t="n">
        <v>1</v>
      </c>
      <c r="BI325" s="14" t="n">
        <v>0.608</v>
      </c>
      <c r="BJ325" s="14" t="n">
        <v>0.123</v>
      </c>
      <c r="BK325" s="14" t="n">
        <v>0.5580000000000001</v>
      </c>
      <c r="BL325" s="14" t="n">
        <v>1.341</v>
      </c>
      <c r="BM325" s="14" t="n">
        <v>0.15</v>
      </c>
      <c r="BN325" s="14" t="n">
        <v>1</v>
      </c>
      <c r="BO325" s="14" t="n">
        <v>0</v>
      </c>
      <c r="BP325" s="14" t="n">
        <v>0</v>
      </c>
      <c r="BQ325" s="14" t="n">
        <v>0.376</v>
      </c>
      <c r="BR325" s="14" t="n">
        <v>0</v>
      </c>
      <c r="BS325" s="14" t="n">
        <v>1</v>
      </c>
      <c r="BT325" s="14" t="n">
        <v>0</v>
      </c>
      <c r="BU325" s="14" t="n">
        <v>0</v>
      </c>
      <c r="BV325" s="14" t="n">
        <v>0.408</v>
      </c>
      <c r="BW325" s="14" t="n">
        <v>0.075</v>
      </c>
      <c r="BX325" s="14" t="n">
        <v>1</v>
      </c>
      <c r="BY325" s="14" t="n">
        <v>12.729</v>
      </c>
      <c r="BZ325" s="14" t="n">
        <v>0</v>
      </c>
      <c r="CA325" s="14" t="n">
        <v>12.729</v>
      </c>
      <c r="CB325" s="14" t="n">
        <v>0</v>
      </c>
      <c r="CC325" s="14" t="n">
        <v>97.90000000000001</v>
      </c>
      <c r="CD325" s="14" t="n">
        <v>7.95</v>
      </c>
      <c r="CE325" s="14" t="n">
        <v>35.467</v>
      </c>
      <c r="CF325" s="14" t="n">
        <v>153.372</v>
      </c>
      <c r="CG325" s="14" t="n">
        <v>0.15</v>
      </c>
      <c r="CH325" s="14" t="n">
        <v>1</v>
      </c>
      <c r="CI325" s="14" t="n">
        <v>0</v>
      </c>
      <c r="CJ325" s="14" t="n">
        <v>0</v>
      </c>
      <c r="CK325" s="14" t="n">
        <v>0</v>
      </c>
      <c r="CL325" s="14" t="n">
        <v>0</v>
      </c>
      <c r="CM325" s="14" t="n">
        <v>0</v>
      </c>
      <c r="CN325" s="14" t="n">
        <v>0</v>
      </c>
      <c r="CO325" s="14" t="n">
        <v>0</v>
      </c>
      <c r="CP325" s="14" t="n">
        <v>0</v>
      </c>
      <c r="CQ325" s="14" t="n">
        <v>1.294</v>
      </c>
      <c r="CR325" s="14" t="n">
        <v>0</v>
      </c>
      <c r="CS325" s="14" t="n">
        <v>5.158</v>
      </c>
      <c r="CT325" s="14" t="n">
        <v>10.485</v>
      </c>
      <c r="CU325" s="14" t="n">
        <v>29.494</v>
      </c>
    </row>
    <row r="326">
      <c r="A326" s="14" t="inlineStr">
        <is>
          <t>GRD2023</t>
        </is>
      </c>
      <c r="B326" s="14" t="inlineStr">
        <is>
          <t>GRD</t>
        </is>
      </c>
      <c r="C326" s="14" t="inlineStr">
        <is>
          <t>GRD</t>
        </is>
      </c>
      <c r="D326" s="14" t="inlineStr">
        <is>
          <t>Grenada</t>
        </is>
      </c>
      <c r="E326" s="14" t="n">
        <v>2023</v>
      </c>
      <c r="F326" s="14" t="n">
        <v>0.15</v>
      </c>
      <c r="G326" s="14" t="n">
        <v>6.147</v>
      </c>
      <c r="H326" s="14" t="n">
        <v>1.286</v>
      </c>
      <c r="I326" s="14" t="n">
        <v>0</v>
      </c>
      <c r="J326" s="14" t="n">
        <v>6.147</v>
      </c>
      <c r="K326" s="14" t="n">
        <v>0</v>
      </c>
      <c r="L326" s="14" t="n">
        <v>1</v>
      </c>
      <c r="M326" s="14" t="n">
        <v>7.886</v>
      </c>
      <c r="N326" s="14" t="n">
        <v>3.857</v>
      </c>
      <c r="O326" s="14" t="n">
        <v>0</v>
      </c>
      <c r="P326" s="14" t="n">
        <v>7.886</v>
      </c>
      <c r="Q326" s="14" t="n">
        <v>0</v>
      </c>
      <c r="R326" s="14" t="n">
        <v>1</v>
      </c>
      <c r="S326" s="14" t="n">
        <v>12.575</v>
      </c>
      <c r="T326" s="14" t="n">
        <v>7.714</v>
      </c>
      <c r="U326" s="14" t="n">
        <v>0.209</v>
      </c>
      <c r="V326" s="14" t="n">
        <v>14.461</v>
      </c>
      <c r="W326" s="14" t="n">
        <v>0.15</v>
      </c>
      <c r="X326" s="14" t="n">
        <v>1</v>
      </c>
      <c r="Y326" s="14" t="n">
        <v>12.478</v>
      </c>
      <c r="Z326" s="14" t="n">
        <v>1.678</v>
      </c>
      <c r="AA326" s="14" t="n">
        <v>0</v>
      </c>
      <c r="AB326" s="14" t="n">
        <v>12.478</v>
      </c>
      <c r="AC326" s="14" t="n">
        <v>0</v>
      </c>
      <c r="AD326" s="14" t="n">
        <v>1</v>
      </c>
      <c r="AE326" s="14" t="n">
        <v>13.763</v>
      </c>
      <c r="AF326" s="14" t="n">
        <v>3.223</v>
      </c>
      <c r="AG326" s="14" t="n">
        <v>0</v>
      </c>
      <c r="AH326" s="14" t="n">
        <v>13.763</v>
      </c>
      <c r="AI326" s="14" t="n">
        <v>0</v>
      </c>
      <c r="AJ326" s="14" t="n">
        <v>1</v>
      </c>
      <c r="AK326" s="14" t="n">
        <v>21.477</v>
      </c>
      <c r="AL326" s="14" t="n">
        <v>11.54</v>
      </c>
      <c r="AM326" s="14" t="n">
        <v>0.357</v>
      </c>
      <c r="AN326" s="14" t="n">
        <v>24.699</v>
      </c>
      <c r="AO326" s="14" t="n">
        <v>0.15</v>
      </c>
      <c r="AP326" s="14" t="n">
        <v>1</v>
      </c>
      <c r="AQ326" s="14" t="n">
        <v>0.9389999999999999</v>
      </c>
      <c r="AR326" s="14" t="n">
        <v>0.158</v>
      </c>
      <c r="AS326" s="14" t="n">
        <v>0.338</v>
      </c>
      <c r="AT326" s="14" t="n">
        <v>1.277</v>
      </c>
      <c r="AU326" s="14" t="n">
        <v>0</v>
      </c>
      <c r="AV326" s="14" t="n">
        <v>1</v>
      </c>
      <c r="AW326" s="14" t="n">
        <v>0.919</v>
      </c>
      <c r="AX326" s="14" t="n">
        <v>0.157</v>
      </c>
      <c r="AY326" s="14" t="n">
        <v>0.346</v>
      </c>
      <c r="AZ326" s="14" t="n">
        <v>1.265</v>
      </c>
      <c r="BA326" s="14" t="n">
        <v>0</v>
      </c>
      <c r="BB326" s="14" t="n">
        <v>1</v>
      </c>
      <c r="BC326" s="14" t="n">
        <v>0.554</v>
      </c>
      <c r="BD326" s="14" t="n">
        <v>0.129</v>
      </c>
      <c r="BE326" s="14" t="n">
        <v>0.169</v>
      </c>
      <c r="BF326" s="14" t="n">
        <v>0.832</v>
      </c>
      <c r="BG326" s="14" t="n">
        <v>0.15</v>
      </c>
      <c r="BH326" s="14" t="n">
        <v>1</v>
      </c>
      <c r="BI326" s="14" t="n">
        <v>0.5570000000000001</v>
      </c>
      <c r="BJ326" s="14" t="n">
        <v>0.129</v>
      </c>
      <c r="BK326" s="14" t="n">
        <v>0.471</v>
      </c>
      <c r="BL326" s="14" t="n">
        <v>1.182</v>
      </c>
      <c r="BM326" s="14" t="n">
        <v>0.15</v>
      </c>
      <c r="BN326" s="14" t="n">
        <v>1</v>
      </c>
      <c r="BO326" s="14" t="n">
        <v>0</v>
      </c>
      <c r="BP326" s="14" t="n">
        <v>0</v>
      </c>
      <c r="BQ326" s="14" t="n">
        <v>0.349</v>
      </c>
      <c r="BR326" s="14" t="n">
        <v>0</v>
      </c>
      <c r="BS326" s="14" t="n">
        <v>1</v>
      </c>
      <c r="BT326" s="14" t="n">
        <v>0</v>
      </c>
      <c r="BU326" s="14" t="n">
        <v>0</v>
      </c>
      <c r="BV326" s="14" t="n">
        <v>0.38</v>
      </c>
      <c r="BW326" s="14" t="n">
        <v>0.075</v>
      </c>
      <c r="BX326" s="14" t="n">
        <v>1</v>
      </c>
      <c r="BY326" s="14" t="n">
        <v>13.254</v>
      </c>
      <c r="BZ326" s="14" t="n">
        <v>0</v>
      </c>
      <c r="CA326" s="14" t="n">
        <v>13.254</v>
      </c>
      <c r="CB326" s="14" t="n">
        <v>0</v>
      </c>
      <c r="CC326" s="14" t="n">
        <v>83.248</v>
      </c>
      <c r="CD326" s="14" t="n">
        <v>7.95</v>
      </c>
      <c r="CE326" s="14" t="n">
        <v>28.379</v>
      </c>
      <c r="CF326" s="14" t="n">
        <v>128.371</v>
      </c>
      <c r="CG326" s="14" t="n">
        <v>0.15</v>
      </c>
      <c r="CH326" s="14" t="n">
        <v>1</v>
      </c>
      <c r="CI326" s="14" t="n">
        <v>0</v>
      </c>
      <c r="CJ326" s="14" t="n">
        <v>0</v>
      </c>
      <c r="CK326" s="14" t="n">
        <v>0</v>
      </c>
      <c r="CL326" s="14" t="n">
        <v>0</v>
      </c>
      <c r="CM326" s="14" t="n">
        <v>0</v>
      </c>
      <c r="CN326" s="14" t="n">
        <v>0</v>
      </c>
      <c r="CO326" s="14" t="n">
        <v>0</v>
      </c>
      <c r="CP326" s="14" t="n">
        <v>0</v>
      </c>
      <c r="CQ326" s="14" t="n">
        <v>1.348</v>
      </c>
      <c r="CR326" s="14" t="n">
        <v>0</v>
      </c>
      <c r="CS326" s="14" t="n">
        <v>5.37</v>
      </c>
      <c r="CT326" s="14" t="n">
        <v>4.861</v>
      </c>
      <c r="CU326" s="14" t="n">
        <v>11.192</v>
      </c>
    </row>
    <row r="327">
      <c r="A327" s="14" t="inlineStr">
        <is>
          <t>GRD2024</t>
        </is>
      </c>
      <c r="B327" s="14" t="inlineStr">
        <is>
          <t>GRD</t>
        </is>
      </c>
      <c r="C327" s="14" t="inlineStr">
        <is>
          <t>GRD</t>
        </is>
      </c>
      <c r="D327" s="14" t="inlineStr">
        <is>
          <t>Grenada</t>
        </is>
      </c>
      <c r="E327" s="14" t="n">
        <v>2024</v>
      </c>
      <c r="F327" s="14" t="n">
        <v>0.15</v>
      </c>
      <c r="G327" s="14" t="n">
        <v>5.575</v>
      </c>
      <c r="H327" s="14" t="n">
        <v>1.324</v>
      </c>
      <c r="I327" s="14" t="n">
        <v>0</v>
      </c>
      <c r="J327" s="14" t="n">
        <v>5.575</v>
      </c>
      <c r="K327" s="14" t="n">
        <v>0</v>
      </c>
      <c r="L327" s="14" t="n">
        <v>1</v>
      </c>
      <c r="M327" s="14" t="n">
        <v>7.124</v>
      </c>
      <c r="N327" s="14" t="n">
        <v>3.971</v>
      </c>
      <c r="O327" s="14" t="n">
        <v>0</v>
      </c>
      <c r="P327" s="14" t="n">
        <v>7.124</v>
      </c>
      <c r="Q327" s="14" t="n">
        <v>0</v>
      </c>
      <c r="R327" s="14" t="n">
        <v>1</v>
      </c>
      <c r="S327" s="14" t="n">
        <v>12.193</v>
      </c>
      <c r="T327" s="14" t="n">
        <v>7.942</v>
      </c>
      <c r="U327" s="14" t="n">
        <v>0.249</v>
      </c>
      <c r="V327" s="14" t="n">
        <v>14.022</v>
      </c>
      <c r="W327" s="14" t="n">
        <v>0.15</v>
      </c>
      <c r="X327" s="14" t="n">
        <v>1</v>
      </c>
      <c r="Y327" s="14" t="n">
        <v>11.447</v>
      </c>
      <c r="Z327" s="14" t="n">
        <v>1.54</v>
      </c>
      <c r="AA327" s="14" t="n">
        <v>0</v>
      </c>
      <c r="AB327" s="14" t="n">
        <v>11.447</v>
      </c>
      <c r="AC327" s="14" t="n">
        <v>0</v>
      </c>
      <c r="AD327" s="14" t="n">
        <v>1</v>
      </c>
      <c r="AE327" s="14" t="n">
        <v>12.771</v>
      </c>
      <c r="AF327" s="14" t="n">
        <v>2.991</v>
      </c>
      <c r="AG327" s="14" t="n">
        <v>0</v>
      </c>
      <c r="AH327" s="14" t="n">
        <v>12.771</v>
      </c>
      <c r="AI327" s="14" t="n">
        <v>0</v>
      </c>
      <c r="AJ327" s="14" t="n">
        <v>1</v>
      </c>
      <c r="AK327" s="14" t="n">
        <v>20.712</v>
      </c>
      <c r="AL327" s="14" t="n">
        <v>11.129</v>
      </c>
      <c r="AM327" s="14" t="n">
        <v>0.423</v>
      </c>
      <c r="AN327" s="14" t="n">
        <v>23.819</v>
      </c>
      <c r="AO327" s="14" t="n">
        <v>0.15</v>
      </c>
      <c r="AP327" s="14" t="n">
        <v>1</v>
      </c>
      <c r="AQ327" s="14" t="n">
        <v>0.922</v>
      </c>
      <c r="AR327" s="14" t="n">
        <v>0.168</v>
      </c>
      <c r="AS327" s="14" t="n">
        <v>0.335</v>
      </c>
      <c r="AT327" s="14" t="n">
        <v>1.257</v>
      </c>
      <c r="AU327" s="14" t="n">
        <v>0</v>
      </c>
      <c r="AV327" s="14" t="n">
        <v>1</v>
      </c>
      <c r="AW327" s="14" t="n">
        <v>0.863</v>
      </c>
      <c r="AX327" s="14" t="n">
        <v>0.158</v>
      </c>
      <c r="AY327" s="14" t="n">
        <v>0.35</v>
      </c>
      <c r="AZ327" s="14" t="n">
        <v>1.214</v>
      </c>
      <c r="BA327" s="14" t="n">
        <v>0</v>
      </c>
      <c r="BB327" s="14" t="n">
        <v>1</v>
      </c>
      <c r="BC327" s="14" t="n">
        <v>0.534</v>
      </c>
      <c r="BD327" s="14" t="n">
        <v>0.132</v>
      </c>
      <c r="BE327" s="14" t="n">
        <v>0.19</v>
      </c>
      <c r="BF327" s="14" t="n">
        <v>0.832</v>
      </c>
      <c r="BG327" s="14" t="n">
        <v>0.15</v>
      </c>
      <c r="BH327" s="14" t="n">
        <v>1</v>
      </c>
      <c r="BI327" s="14" t="n">
        <v>0.5679999999999999</v>
      </c>
      <c r="BJ327" s="14" t="n">
        <v>0.132</v>
      </c>
      <c r="BK327" s="14" t="n">
        <v>0.364</v>
      </c>
      <c r="BL327" s="14" t="n">
        <v>1.072</v>
      </c>
      <c r="BM327" s="14" t="n">
        <v>0.15</v>
      </c>
      <c r="BN327" s="14" t="n">
        <v>1</v>
      </c>
      <c r="BO327" s="14" t="n">
        <v>0</v>
      </c>
      <c r="BP327" s="14" t="n">
        <v>0</v>
      </c>
      <c r="BQ327" s="14" t="n">
        <v>0.33</v>
      </c>
      <c r="BR327" s="14" t="n">
        <v>0</v>
      </c>
      <c r="BS327" s="14" t="n">
        <v>1</v>
      </c>
      <c r="BT327" s="14" t="n">
        <v>0</v>
      </c>
      <c r="BU327" s="14" t="n">
        <v>0</v>
      </c>
      <c r="BV327" s="14" t="n">
        <v>0.361</v>
      </c>
      <c r="BW327" s="14" t="n">
        <v>0.075</v>
      </c>
      <c r="BX327" s="14" t="n">
        <v>1</v>
      </c>
      <c r="BY327" s="14" t="n">
        <v>13.646</v>
      </c>
      <c r="BZ327" s="14" t="n">
        <v>0</v>
      </c>
      <c r="CA327" s="14" t="n">
        <v>13.646</v>
      </c>
      <c r="CB327" s="14" t="n">
        <v>0</v>
      </c>
      <c r="CC327" s="14" t="n">
        <v>82.58799999999999</v>
      </c>
      <c r="CD327" s="14" t="n">
        <v>7.95</v>
      </c>
      <c r="CE327" s="14" t="n">
        <v>31.916</v>
      </c>
      <c r="CF327" s="14" t="n">
        <v>129.043</v>
      </c>
      <c r="CG327" s="14" t="n">
        <v>0.15</v>
      </c>
      <c r="CH327" s="14" t="n">
        <v>1</v>
      </c>
      <c r="CI327" s="14" t="n">
        <v>0</v>
      </c>
      <c r="CJ327" s="14" t="n">
        <v>0</v>
      </c>
      <c r="CK327" s="14" t="n">
        <v>0</v>
      </c>
      <c r="CL327" s="14" t="n">
        <v>0</v>
      </c>
      <c r="CM327" s="14" t="n">
        <v>0</v>
      </c>
      <c r="CN327" s="14" t="n">
        <v>0</v>
      </c>
      <c r="CO327" s="14" t="n">
        <v>0</v>
      </c>
      <c r="CP327" s="14" t="n">
        <v>0</v>
      </c>
      <c r="CQ327" s="14" t="n">
        <v>1.387</v>
      </c>
      <c r="CR327" s="14" t="n">
        <v>0</v>
      </c>
      <c r="CS327" s="14" t="n">
        <v>5.529</v>
      </c>
      <c r="CT327" s="14" t="n">
        <v>4.251</v>
      </c>
      <c r="CU327" s="14" t="n">
        <v>10.123</v>
      </c>
    </row>
    <row r="328">
      <c r="A328" s="14" t="inlineStr">
        <is>
          <t>GUM2021</t>
        </is>
      </c>
      <c r="B328" s="14" t="inlineStr">
        <is>
          <t>GUM</t>
        </is>
      </c>
      <c r="C328" s="14" t="inlineStr">
        <is>
          <t>GUM</t>
        </is>
      </c>
      <c r="D328" s="14" t="inlineStr">
        <is>
          <t>Guam</t>
        </is>
      </c>
      <c r="E328" s="14" t="n">
        <v>2021</v>
      </c>
      <c r="F328" s="14" t="n">
        <v>0.04</v>
      </c>
      <c r="G328" s="14" t="n">
        <v>4.747</v>
      </c>
      <c r="H328" s="14" t="n">
        <v>1.143</v>
      </c>
      <c r="I328" s="14" t="n">
        <v>0</v>
      </c>
      <c r="J328" s="14" t="n">
        <v>4.747</v>
      </c>
      <c r="K328" s="14" t="n">
        <v>0</v>
      </c>
      <c r="L328" s="14" t="n">
        <v>1</v>
      </c>
      <c r="M328" s="14" t="n">
        <v>7.964</v>
      </c>
      <c r="N328" s="14" t="n">
        <v>3.43</v>
      </c>
      <c r="O328" s="14" t="n">
        <v>0</v>
      </c>
      <c r="P328" s="14" t="n">
        <v>7.964</v>
      </c>
      <c r="Q328" s="14" t="n">
        <v>0</v>
      </c>
      <c r="R328" s="14" t="n">
        <v>1</v>
      </c>
      <c r="S328" s="14" t="n">
        <v>10.464</v>
      </c>
      <c r="T328" s="14" t="n">
        <v>6.86</v>
      </c>
      <c r="U328" s="14" t="n">
        <v>0</v>
      </c>
      <c r="V328" s="14" t="n">
        <v>10.883</v>
      </c>
      <c r="W328" s="14" t="n">
        <v>0.04</v>
      </c>
      <c r="X328" s="14" t="n">
        <v>1</v>
      </c>
      <c r="Y328" s="14" t="n">
        <v>10.551</v>
      </c>
      <c r="Z328" s="14" t="n">
        <v>1.302</v>
      </c>
      <c r="AA328" s="14" t="n">
        <v>0</v>
      </c>
      <c r="AB328" s="14" t="n">
        <v>10.551</v>
      </c>
      <c r="AC328" s="14" t="n">
        <v>0</v>
      </c>
      <c r="AD328" s="14" t="n">
        <v>1</v>
      </c>
      <c r="AE328" s="14" t="n">
        <v>11.694</v>
      </c>
      <c r="AF328" s="14" t="n">
        <v>2.549</v>
      </c>
      <c r="AG328" s="14" t="n">
        <v>0</v>
      </c>
      <c r="AH328" s="14" t="n">
        <v>11.694</v>
      </c>
      <c r="AI328" s="14" t="n">
        <v>0</v>
      </c>
      <c r="AJ328" s="14" t="n">
        <v>1</v>
      </c>
      <c r="AK328" s="14" t="n">
        <v>18.554</v>
      </c>
      <c r="AL328" s="14" t="n">
        <v>9.627000000000001</v>
      </c>
      <c r="AM328" s="14" t="n">
        <v>0</v>
      </c>
      <c r="AN328" s="14" t="n">
        <v>19.296</v>
      </c>
      <c r="AO328" s="14" t="n">
        <v>0.04</v>
      </c>
      <c r="AP328" s="14" t="n">
        <v>1</v>
      </c>
      <c r="AQ328" s="14" t="n">
        <v>0.621</v>
      </c>
      <c r="AR328" s="14" t="n">
        <v>0.114</v>
      </c>
      <c r="AS328" s="14" t="n">
        <v>0</v>
      </c>
      <c r="AT328" s="14" t="n">
        <v>0.645</v>
      </c>
      <c r="AU328" s="14" t="n">
        <v>0.04</v>
      </c>
      <c r="AV328" s="14" t="n">
        <v>1</v>
      </c>
      <c r="AW328" s="14" t="n">
        <v>0.593</v>
      </c>
      <c r="AX328" s="14" t="n">
        <v>0.114</v>
      </c>
      <c r="AY328" s="14" t="n">
        <v>0</v>
      </c>
      <c r="AZ328" s="14" t="n">
        <v>0.617</v>
      </c>
      <c r="BA328" s="14" t="n">
        <v>0.04</v>
      </c>
      <c r="BB328" s="14" t="n">
        <v>1</v>
      </c>
      <c r="BC328" s="14" t="n">
        <v>0.44</v>
      </c>
      <c r="BD328" s="14" t="n">
        <v>0.114</v>
      </c>
      <c r="BE328" s="14" t="n">
        <v>0</v>
      </c>
      <c r="BF328" s="14" t="n">
        <v>0.457</v>
      </c>
      <c r="BG328" s="14" t="n">
        <v>0.04</v>
      </c>
      <c r="BH328" s="14" t="n">
        <v>1</v>
      </c>
      <c r="BI328" s="14" t="n">
        <v>0.5600000000000001</v>
      </c>
      <c r="BJ328" s="14" t="n">
        <v>0.114</v>
      </c>
      <c r="BK328" s="14" t="n">
        <v>0</v>
      </c>
      <c r="BL328" s="14" t="n">
        <v>0.583</v>
      </c>
      <c r="BM328" s="14" t="n">
        <v>0.04</v>
      </c>
      <c r="BN328" s="14" t="n">
        <v>1</v>
      </c>
      <c r="BO328" s="14" t="n">
        <v>0</v>
      </c>
      <c r="BP328" s="14" t="n">
        <v>0</v>
      </c>
      <c r="BQ328" s="14" t="n">
        <v>0</v>
      </c>
      <c r="BR328" s="14" t="n">
        <v>0</v>
      </c>
      <c r="BS328" s="14" t="n">
        <v>1</v>
      </c>
      <c r="BT328" s="14" t="n">
        <v>0</v>
      </c>
      <c r="BU328" s="14" t="n">
        <v>0</v>
      </c>
      <c r="BV328" s="14" t="n">
        <v>0</v>
      </c>
      <c r="BW328" s="14" t="n">
        <v>0.04</v>
      </c>
      <c r="BX328" s="14" t="n">
        <v>1</v>
      </c>
      <c r="BY328" s="14" t="n">
        <v>11.787</v>
      </c>
      <c r="BZ328" s="14" t="n">
        <v>0</v>
      </c>
      <c r="CA328" s="14" t="n">
        <v>11.787</v>
      </c>
      <c r="CB328" s="14" t="n">
        <v>0</v>
      </c>
      <c r="CC328" s="14" t="n">
        <v>81.69499999999999</v>
      </c>
      <c r="CD328" s="14" t="n">
        <v>7.95</v>
      </c>
      <c r="CE328" s="14" t="n">
        <v>0</v>
      </c>
      <c r="CF328" s="14" t="n">
        <v>84.96299999999999</v>
      </c>
      <c r="CG328" s="14" t="n">
        <v>0.04</v>
      </c>
      <c r="CH328" s="14" t="n">
        <v>1</v>
      </c>
      <c r="CI328" s="14" t="n">
        <v>0</v>
      </c>
      <c r="CJ328" s="14" t="n">
        <v>0</v>
      </c>
      <c r="CK328" s="14" t="n">
        <v>0</v>
      </c>
      <c r="CL328" s="14" t="n">
        <v>0</v>
      </c>
      <c r="CM328" s="14" t="n">
        <v>0</v>
      </c>
      <c r="CN328" s="14" t="n">
        <v>0</v>
      </c>
      <c r="CO328" s="14" t="n">
        <v>0</v>
      </c>
      <c r="CP328" s="14" t="n">
        <v>0</v>
      </c>
      <c r="CQ328" s="14" t="n">
        <v>1.198</v>
      </c>
      <c r="CR328" s="14" t="n">
        <v>0</v>
      </c>
      <c r="CS328" s="14" t="n">
        <v>4.776</v>
      </c>
      <c r="CT328" s="14" t="n">
        <v>3.604</v>
      </c>
      <c r="CU328" s="14" t="n">
        <v>9.407999999999999</v>
      </c>
    </row>
    <row r="329">
      <c r="A329" s="14" t="inlineStr">
        <is>
          <t>GUM2022</t>
        </is>
      </c>
      <c r="B329" s="14" t="inlineStr">
        <is>
          <t>GUM</t>
        </is>
      </c>
      <c r="C329" s="14" t="inlineStr">
        <is>
          <t>GUM</t>
        </is>
      </c>
      <c r="D329" s="14" t="inlineStr">
        <is>
          <t>Guam</t>
        </is>
      </c>
      <c r="E329" s="14" t="n">
        <v>2022</v>
      </c>
      <c r="F329" s="14" t="n">
        <v>0.04</v>
      </c>
      <c r="G329" s="14" t="n">
        <v>8.788</v>
      </c>
      <c r="H329" s="14" t="n">
        <v>1.235</v>
      </c>
      <c r="I329" s="14" t="n">
        <v>0</v>
      </c>
      <c r="J329" s="14" t="n">
        <v>8.788</v>
      </c>
      <c r="K329" s="14" t="n">
        <v>0</v>
      </c>
      <c r="L329" s="14" t="n">
        <v>1</v>
      </c>
      <c r="M329" s="14" t="n">
        <v>9.782999999999999</v>
      </c>
      <c r="N329" s="14" t="n">
        <v>3.704</v>
      </c>
      <c r="O329" s="14" t="n">
        <v>0</v>
      </c>
      <c r="P329" s="14" t="n">
        <v>9.782999999999999</v>
      </c>
      <c r="Q329" s="14" t="n">
        <v>0</v>
      </c>
      <c r="R329" s="14" t="n">
        <v>1</v>
      </c>
      <c r="S329" s="14" t="n">
        <v>14.962</v>
      </c>
      <c r="T329" s="14" t="n">
        <v>7.408</v>
      </c>
      <c r="U329" s="14" t="n">
        <v>0.044</v>
      </c>
      <c r="V329" s="14" t="n">
        <v>15.56</v>
      </c>
      <c r="W329" s="14" t="n">
        <v>0.04</v>
      </c>
      <c r="X329" s="14" t="n">
        <v>1</v>
      </c>
      <c r="Y329" s="14" t="n">
        <v>17.332</v>
      </c>
      <c r="Z329" s="14" t="n">
        <v>2.139</v>
      </c>
      <c r="AA329" s="14" t="n">
        <v>0</v>
      </c>
      <c r="AB329" s="14" t="n">
        <v>17.332</v>
      </c>
      <c r="AC329" s="14" t="n">
        <v>0</v>
      </c>
      <c r="AD329" s="14" t="n">
        <v>1</v>
      </c>
      <c r="AE329" s="14" t="n">
        <v>18.566</v>
      </c>
      <c r="AF329" s="14" t="n">
        <v>4.048</v>
      </c>
      <c r="AG329" s="14" t="n">
        <v>0</v>
      </c>
      <c r="AH329" s="14" t="n">
        <v>18.566</v>
      </c>
      <c r="AI329" s="14" t="n">
        <v>0</v>
      </c>
      <c r="AJ329" s="14" t="n">
        <v>1</v>
      </c>
      <c r="AK329" s="14" t="n">
        <v>25.974</v>
      </c>
      <c r="AL329" s="14" t="n">
        <v>13.478</v>
      </c>
      <c r="AM329" s="14" t="n">
        <v>0.077</v>
      </c>
      <c r="AN329" s="14" t="n">
        <v>27.013</v>
      </c>
      <c r="AO329" s="14" t="n">
        <v>0.04</v>
      </c>
      <c r="AP329" s="14" t="n">
        <v>1</v>
      </c>
      <c r="AQ329" s="14" t="n">
        <v>0.847</v>
      </c>
      <c r="AR329" s="14" t="n">
        <v>0.123</v>
      </c>
      <c r="AS329" s="14" t="n">
        <v>0.003</v>
      </c>
      <c r="AT329" s="14" t="n">
        <v>0.881</v>
      </c>
      <c r="AU329" s="14" t="n">
        <v>0.04</v>
      </c>
      <c r="AV329" s="14" t="n">
        <v>1</v>
      </c>
      <c r="AW329" s="14" t="n">
        <v>0.947</v>
      </c>
      <c r="AX329" s="14" t="n">
        <v>0.123</v>
      </c>
      <c r="AY329" s="14" t="n">
        <v>0.003</v>
      </c>
      <c r="AZ329" s="14" t="n">
        <v>0.985</v>
      </c>
      <c r="BA329" s="14" t="n">
        <v>0.04</v>
      </c>
      <c r="BB329" s="14" t="n">
        <v>1</v>
      </c>
      <c r="BC329" s="14" t="n">
        <v>0.589</v>
      </c>
      <c r="BD329" s="14" t="n">
        <v>0.123</v>
      </c>
      <c r="BE329" s="14" t="n">
        <v>0.002</v>
      </c>
      <c r="BF329" s="14" t="n">
        <v>0.612</v>
      </c>
      <c r="BG329" s="14" t="n">
        <v>0.04</v>
      </c>
      <c r="BH329" s="14" t="n">
        <v>1</v>
      </c>
      <c r="BI329" s="14" t="n">
        <v>0.6889999999999999</v>
      </c>
      <c r="BJ329" s="14" t="n">
        <v>0.123</v>
      </c>
      <c r="BK329" s="14" t="n">
        <v>0.002</v>
      </c>
      <c r="BL329" s="14" t="n">
        <v>0.716</v>
      </c>
      <c r="BM329" s="14" t="n">
        <v>0.04</v>
      </c>
      <c r="BN329" s="14" t="n">
        <v>1</v>
      </c>
      <c r="BO329" s="14" t="n">
        <v>0</v>
      </c>
      <c r="BP329" s="14" t="n">
        <v>0</v>
      </c>
      <c r="BQ329" s="14" t="n">
        <v>0</v>
      </c>
      <c r="BR329" s="14" t="n">
        <v>0</v>
      </c>
      <c r="BS329" s="14" t="n">
        <v>1</v>
      </c>
      <c r="BT329" s="14" t="n">
        <v>0</v>
      </c>
      <c r="BU329" s="14" t="n">
        <v>0</v>
      </c>
      <c r="BV329" s="14" t="n">
        <v>0</v>
      </c>
      <c r="BW329" s="14" t="n">
        <v>0.04</v>
      </c>
      <c r="BX329" s="14" t="n">
        <v>1</v>
      </c>
      <c r="BY329" s="14" t="n">
        <v>12.729</v>
      </c>
      <c r="BZ329" s="14" t="n">
        <v>0</v>
      </c>
      <c r="CA329" s="14" t="n">
        <v>12.729</v>
      </c>
      <c r="CB329" s="14" t="n">
        <v>0</v>
      </c>
      <c r="CC329" s="14" t="n">
        <v>102.477</v>
      </c>
      <c r="CD329" s="14" t="n">
        <v>7.95</v>
      </c>
      <c r="CE329" s="14" t="n">
        <v>0.303</v>
      </c>
      <c r="CF329" s="14" t="n">
        <v>106.576</v>
      </c>
      <c r="CG329" s="14" t="n">
        <v>0.04</v>
      </c>
      <c r="CH329" s="14" t="n">
        <v>1</v>
      </c>
      <c r="CI329" s="14" t="n">
        <v>0</v>
      </c>
      <c r="CJ329" s="14" t="n">
        <v>0</v>
      </c>
      <c r="CK329" s="14" t="n">
        <v>0</v>
      </c>
      <c r="CL329" s="14" t="n">
        <v>0</v>
      </c>
      <c r="CM329" s="14" t="n">
        <v>0</v>
      </c>
      <c r="CN329" s="14" t="n">
        <v>0</v>
      </c>
      <c r="CO329" s="14" t="n">
        <v>0</v>
      </c>
      <c r="CP329" s="14" t="n">
        <v>0</v>
      </c>
      <c r="CQ329" s="14" t="n">
        <v>1.294</v>
      </c>
      <c r="CR329" s="14" t="n">
        <v>0</v>
      </c>
      <c r="CS329" s="14" t="n">
        <v>5.158</v>
      </c>
      <c r="CT329" s="14" t="n">
        <v>7.554</v>
      </c>
      <c r="CU329" s="14" t="n">
        <v>16.097</v>
      </c>
    </row>
    <row r="330">
      <c r="A330" s="14" t="inlineStr">
        <is>
          <t>GUM2023</t>
        </is>
      </c>
      <c r="B330" s="14" t="inlineStr">
        <is>
          <t>GUM</t>
        </is>
      </c>
      <c r="C330" s="14" t="inlineStr">
        <is>
          <t>GUM</t>
        </is>
      </c>
      <c r="D330" s="14" t="inlineStr">
        <is>
          <t>Guam</t>
        </is>
      </c>
      <c r="E330" s="14" t="n">
        <v>2023</v>
      </c>
      <c r="F330" s="14" t="n">
        <v>0.04</v>
      </c>
      <c r="G330" s="14" t="n">
        <v>5.77</v>
      </c>
      <c r="H330" s="14" t="n">
        <v>1.286</v>
      </c>
      <c r="I330" s="14" t="n">
        <v>0</v>
      </c>
      <c r="J330" s="14" t="n">
        <v>5.77</v>
      </c>
      <c r="K330" s="14" t="n">
        <v>0</v>
      </c>
      <c r="L330" s="14" t="n">
        <v>1</v>
      </c>
      <c r="M330" s="14" t="n">
        <v>7.886</v>
      </c>
      <c r="N330" s="14" t="n">
        <v>3.857</v>
      </c>
      <c r="O330" s="14" t="n">
        <v>0</v>
      </c>
      <c r="P330" s="14" t="n">
        <v>7.886</v>
      </c>
      <c r="Q330" s="14" t="n">
        <v>0</v>
      </c>
      <c r="R330" s="14" t="n">
        <v>1</v>
      </c>
      <c r="S330" s="14" t="n">
        <v>12.198</v>
      </c>
      <c r="T330" s="14" t="n">
        <v>7.714</v>
      </c>
      <c r="U330" s="14" t="n">
        <v>0.054</v>
      </c>
      <c r="V330" s="14" t="n">
        <v>12.686</v>
      </c>
      <c r="W330" s="14" t="n">
        <v>0.04</v>
      </c>
      <c r="X330" s="14" t="n">
        <v>1</v>
      </c>
      <c r="Y330" s="14" t="n">
        <v>13.814</v>
      </c>
      <c r="Z330" s="14" t="n">
        <v>1.705</v>
      </c>
      <c r="AA330" s="14" t="n">
        <v>0</v>
      </c>
      <c r="AB330" s="14" t="n">
        <v>13.814</v>
      </c>
      <c r="AC330" s="14" t="n">
        <v>0</v>
      </c>
      <c r="AD330" s="14" t="n">
        <v>1</v>
      </c>
      <c r="AE330" s="14" t="n">
        <v>15.1</v>
      </c>
      <c r="AF330" s="14" t="n">
        <v>3.292</v>
      </c>
      <c r="AG330" s="14" t="n">
        <v>0</v>
      </c>
      <c r="AH330" s="14" t="n">
        <v>15.1</v>
      </c>
      <c r="AI330" s="14" t="n">
        <v>0</v>
      </c>
      <c r="AJ330" s="14" t="n">
        <v>1</v>
      </c>
      <c r="AK330" s="14" t="n">
        <v>22.814</v>
      </c>
      <c r="AL330" s="14" t="n">
        <v>11.838</v>
      </c>
      <c r="AM330" s="14" t="n">
        <v>0.101</v>
      </c>
      <c r="AN330" s="14" t="n">
        <v>23.726</v>
      </c>
      <c r="AO330" s="14" t="n">
        <v>0.04</v>
      </c>
      <c r="AP330" s="14" t="n">
        <v>1</v>
      </c>
      <c r="AQ330" s="14" t="n">
        <v>0.749</v>
      </c>
      <c r="AR330" s="14" t="n">
        <v>0.129</v>
      </c>
      <c r="AS330" s="14" t="n">
        <v>0.003</v>
      </c>
      <c r="AT330" s="14" t="n">
        <v>0.779</v>
      </c>
      <c r="AU330" s="14" t="n">
        <v>0.04</v>
      </c>
      <c r="AV330" s="14" t="n">
        <v>1</v>
      </c>
      <c r="AW330" s="14" t="n">
        <v>0.783</v>
      </c>
      <c r="AX330" s="14" t="n">
        <v>0.129</v>
      </c>
      <c r="AY330" s="14" t="n">
        <v>0.003</v>
      </c>
      <c r="AZ330" s="14" t="n">
        <v>0.8139999999999999</v>
      </c>
      <c r="BA330" s="14" t="n">
        <v>0.04</v>
      </c>
      <c r="BB330" s="14" t="n">
        <v>1</v>
      </c>
      <c r="BC330" s="14" t="n">
        <v>0.527</v>
      </c>
      <c r="BD330" s="14" t="n">
        <v>0.129</v>
      </c>
      <c r="BE330" s="14" t="n">
        <v>0.002</v>
      </c>
      <c r="BF330" s="14" t="n">
        <v>0.549</v>
      </c>
      <c r="BG330" s="14" t="n">
        <v>0.04</v>
      </c>
      <c r="BH330" s="14" t="n">
        <v>1</v>
      </c>
      <c r="BI330" s="14" t="n">
        <v>0.64</v>
      </c>
      <c r="BJ330" s="14" t="n">
        <v>0.129</v>
      </c>
      <c r="BK330" s="14" t="n">
        <v>0.003</v>
      </c>
      <c r="BL330" s="14" t="n">
        <v>0.665</v>
      </c>
      <c r="BM330" s="14" t="n">
        <v>0.04</v>
      </c>
      <c r="BN330" s="14" t="n">
        <v>1</v>
      </c>
      <c r="BO330" s="14" t="n">
        <v>0</v>
      </c>
      <c r="BP330" s="14" t="n">
        <v>0</v>
      </c>
      <c r="BQ330" s="14" t="n">
        <v>0</v>
      </c>
      <c r="BR330" s="14" t="n">
        <v>0</v>
      </c>
      <c r="BS330" s="14" t="n">
        <v>1</v>
      </c>
      <c r="BT330" s="14" t="n">
        <v>0</v>
      </c>
      <c r="BU330" s="14" t="n">
        <v>0</v>
      </c>
      <c r="BV330" s="14" t="n">
        <v>0</v>
      </c>
      <c r="BW330" s="14" t="n">
        <v>0.04</v>
      </c>
      <c r="BX330" s="14" t="n">
        <v>1</v>
      </c>
      <c r="BY330" s="14" t="n">
        <v>13.254</v>
      </c>
      <c r="BZ330" s="14" t="n">
        <v>0</v>
      </c>
      <c r="CA330" s="14" t="n">
        <v>13.254</v>
      </c>
      <c r="CB330" s="14" t="n">
        <v>0</v>
      </c>
      <c r="CC330" s="14" t="n">
        <v>87.07899999999999</v>
      </c>
      <c r="CD330" s="14" t="n">
        <v>7.95</v>
      </c>
      <c r="CE330" s="14" t="n">
        <v>0.386</v>
      </c>
      <c r="CF330" s="14" t="n">
        <v>90.562</v>
      </c>
      <c r="CG330" s="14" t="n">
        <v>0.04</v>
      </c>
      <c r="CH330" s="14" t="n">
        <v>1</v>
      </c>
      <c r="CI330" s="14" t="n">
        <v>0</v>
      </c>
      <c r="CJ330" s="14" t="n">
        <v>0</v>
      </c>
      <c r="CK330" s="14" t="n">
        <v>0</v>
      </c>
      <c r="CL330" s="14" t="n">
        <v>0</v>
      </c>
      <c r="CM330" s="14" t="n">
        <v>0</v>
      </c>
      <c r="CN330" s="14" t="n">
        <v>0</v>
      </c>
      <c r="CO330" s="14" t="n">
        <v>0</v>
      </c>
      <c r="CP330" s="14" t="n">
        <v>0</v>
      </c>
      <c r="CQ330" s="14" t="n">
        <v>1.348</v>
      </c>
      <c r="CR330" s="14" t="n">
        <v>0</v>
      </c>
      <c r="CS330" s="14" t="n">
        <v>5.37</v>
      </c>
      <c r="CT330" s="14" t="n">
        <v>4.484</v>
      </c>
      <c r="CU330" s="14" t="n">
        <v>12.529</v>
      </c>
    </row>
    <row r="331">
      <c r="A331" s="14" t="inlineStr">
        <is>
          <t>GUM2024</t>
        </is>
      </c>
      <c r="B331" s="14" t="inlineStr">
        <is>
          <t>GUM</t>
        </is>
      </c>
      <c r="C331" s="14" t="inlineStr">
        <is>
          <t>GUM</t>
        </is>
      </c>
      <c r="D331" s="14" t="inlineStr">
        <is>
          <t>Guam</t>
        </is>
      </c>
      <c r="E331" s="14" t="n">
        <v>2024</v>
      </c>
      <c r="F331" s="14" t="n">
        <v>0.04</v>
      </c>
      <c r="G331" s="14" t="n">
        <v>4.833</v>
      </c>
      <c r="H331" s="14" t="n">
        <v>1.324</v>
      </c>
      <c r="I331" s="14" t="n">
        <v>0</v>
      </c>
      <c r="J331" s="14" t="n">
        <v>4.833</v>
      </c>
      <c r="K331" s="14" t="n">
        <v>0</v>
      </c>
      <c r="L331" s="14" t="n">
        <v>1</v>
      </c>
      <c r="M331" s="14" t="n">
        <v>7.124</v>
      </c>
      <c r="N331" s="14" t="n">
        <v>3.971</v>
      </c>
      <c r="O331" s="14" t="n">
        <v>0</v>
      </c>
      <c r="P331" s="14" t="n">
        <v>7.124</v>
      </c>
      <c r="Q331" s="14" t="n">
        <v>0</v>
      </c>
      <c r="R331" s="14" t="n">
        <v>1</v>
      </c>
      <c r="S331" s="14" t="n">
        <v>11.451</v>
      </c>
      <c r="T331" s="14" t="n">
        <v>7.942</v>
      </c>
      <c r="U331" s="14" t="n">
        <v>0.062</v>
      </c>
      <c r="V331" s="14" t="n">
        <v>11.909</v>
      </c>
      <c r="W331" s="14" t="n">
        <v>0.04</v>
      </c>
      <c r="X331" s="14" t="n">
        <v>1</v>
      </c>
      <c r="Y331" s="14" t="n">
        <v>12.219</v>
      </c>
      <c r="Z331" s="14" t="n">
        <v>1.508</v>
      </c>
      <c r="AA331" s="14" t="n">
        <v>0</v>
      </c>
      <c r="AB331" s="14" t="n">
        <v>12.219</v>
      </c>
      <c r="AC331" s="14" t="n">
        <v>0</v>
      </c>
      <c r="AD331" s="14" t="n">
        <v>1</v>
      </c>
      <c r="AE331" s="14" t="n">
        <v>13.543</v>
      </c>
      <c r="AF331" s="14" t="n">
        <v>2.952</v>
      </c>
      <c r="AG331" s="14" t="n">
        <v>0</v>
      </c>
      <c r="AH331" s="14" t="n">
        <v>13.543</v>
      </c>
      <c r="AI331" s="14" t="n">
        <v>0</v>
      </c>
      <c r="AJ331" s="14" t="n">
        <v>1</v>
      </c>
      <c r="AK331" s="14" t="n">
        <v>21.484</v>
      </c>
      <c r="AL331" s="14" t="n">
        <v>11.148</v>
      </c>
      <c r="AM331" s="14" t="n">
        <v>0.117</v>
      </c>
      <c r="AN331" s="14" t="n">
        <v>22.344</v>
      </c>
      <c r="AO331" s="14" t="n">
        <v>0.04</v>
      </c>
      <c r="AP331" s="14" t="n">
        <v>1</v>
      </c>
      <c r="AQ331" s="14" t="n">
        <v>0.72</v>
      </c>
      <c r="AR331" s="14" t="n">
        <v>0.132</v>
      </c>
      <c r="AS331" s="14" t="n">
        <v>0.004</v>
      </c>
      <c r="AT331" s="14" t="n">
        <v>0.749</v>
      </c>
      <c r="AU331" s="14" t="n">
        <v>0.04</v>
      </c>
      <c r="AV331" s="14" t="n">
        <v>1</v>
      </c>
      <c r="AW331" s="14" t="n">
        <v>0.734</v>
      </c>
      <c r="AX331" s="14" t="n">
        <v>0.132</v>
      </c>
      <c r="AY331" s="14" t="n">
        <v>0.004</v>
      </c>
      <c r="AZ331" s="14" t="n">
        <v>0.763</v>
      </c>
      <c r="BA331" s="14" t="n">
        <v>0.04</v>
      </c>
      <c r="BB331" s="14" t="n">
        <v>1</v>
      </c>
      <c r="BC331" s="14" t="n">
        <v>0.51</v>
      </c>
      <c r="BD331" s="14" t="n">
        <v>0.132</v>
      </c>
      <c r="BE331" s="14" t="n">
        <v>0.003</v>
      </c>
      <c r="BF331" s="14" t="n">
        <v>0.531</v>
      </c>
      <c r="BG331" s="14" t="n">
        <v>0.04</v>
      </c>
      <c r="BH331" s="14" t="n">
        <v>1</v>
      </c>
      <c r="BI331" s="14" t="n">
        <v>0.652</v>
      </c>
      <c r="BJ331" s="14" t="n">
        <v>0.132</v>
      </c>
      <c r="BK331" s="14" t="n">
        <v>0.004</v>
      </c>
      <c r="BL331" s="14" t="n">
        <v>0.678</v>
      </c>
      <c r="BM331" s="14" t="n">
        <v>0.04</v>
      </c>
      <c r="BN331" s="14" t="n">
        <v>1</v>
      </c>
      <c r="BO331" s="14" t="n">
        <v>0</v>
      </c>
      <c r="BP331" s="14" t="n">
        <v>0</v>
      </c>
      <c r="BQ331" s="14" t="n">
        <v>0</v>
      </c>
      <c r="BR331" s="14" t="n">
        <v>0</v>
      </c>
      <c r="BS331" s="14" t="n">
        <v>1</v>
      </c>
      <c r="BT331" s="14" t="n">
        <v>0</v>
      </c>
      <c r="BU331" s="14" t="n">
        <v>0</v>
      </c>
      <c r="BV331" s="14" t="n">
        <v>0</v>
      </c>
      <c r="BW331" s="14" t="n">
        <v>0.04</v>
      </c>
      <c r="BX331" s="14" t="n">
        <v>1</v>
      </c>
      <c r="BY331" s="14" t="n">
        <v>13.646</v>
      </c>
      <c r="BZ331" s="14" t="n">
        <v>0</v>
      </c>
      <c r="CA331" s="14" t="n">
        <v>13.646</v>
      </c>
      <c r="CB331" s="14" t="n">
        <v>0</v>
      </c>
      <c r="CC331" s="14" t="n">
        <v>86.38500000000001</v>
      </c>
      <c r="CD331" s="14" t="n">
        <v>7.95</v>
      </c>
      <c r="CE331" s="14" t="n">
        <v>0.471</v>
      </c>
      <c r="CF331" s="14" t="n">
        <v>89.84099999999999</v>
      </c>
      <c r="CG331" s="14" t="n">
        <v>0.04</v>
      </c>
      <c r="CH331" s="14" t="n">
        <v>1</v>
      </c>
      <c r="CI331" s="14" t="n">
        <v>0</v>
      </c>
      <c r="CJ331" s="14" t="n">
        <v>0</v>
      </c>
      <c r="CK331" s="14" t="n">
        <v>0</v>
      </c>
      <c r="CL331" s="14" t="n">
        <v>0</v>
      </c>
      <c r="CM331" s="14" t="n">
        <v>0</v>
      </c>
      <c r="CN331" s="14" t="n">
        <v>0</v>
      </c>
      <c r="CO331" s="14" t="n">
        <v>0</v>
      </c>
      <c r="CP331" s="14" t="n">
        <v>0</v>
      </c>
      <c r="CQ331" s="14" t="n">
        <v>1.387</v>
      </c>
      <c r="CR331" s="14" t="n">
        <v>0</v>
      </c>
      <c r="CS331" s="14" t="n">
        <v>5.529</v>
      </c>
      <c r="CT331" s="14" t="n">
        <v>3.509</v>
      </c>
      <c r="CU331" s="14" t="n">
        <v>10.896</v>
      </c>
    </row>
    <row r="332">
      <c r="A332" s="14" t="inlineStr">
        <is>
          <t>GTM2021</t>
        </is>
      </c>
      <c r="B332" s="14" t="inlineStr">
        <is>
          <t>GTM</t>
        </is>
      </c>
      <c r="C332" s="14" t="inlineStr">
        <is>
          <t>GTM</t>
        </is>
      </c>
      <c r="D332" s="14" t="inlineStr">
        <is>
          <t>Guatemala</t>
        </is>
      </c>
      <c r="E332" s="14" t="n">
        <v>2021</v>
      </c>
      <c r="F332" s="14" t="n">
        <v>0.12</v>
      </c>
      <c r="G332" s="14" t="n">
        <v>5.897</v>
      </c>
      <c r="H332" s="14" t="n">
        <v>1.143</v>
      </c>
      <c r="I332" s="14" t="n">
        <v>0.238</v>
      </c>
      <c r="J332" s="14" t="n">
        <v>6.134</v>
      </c>
      <c r="K332" s="14" t="n">
        <v>0</v>
      </c>
      <c r="L332" s="14" t="n">
        <v>1</v>
      </c>
      <c r="M332" s="14" t="n">
        <v>7.964</v>
      </c>
      <c r="N332" s="14" t="n">
        <v>3.43</v>
      </c>
      <c r="O332" s="14" t="n">
        <v>0</v>
      </c>
      <c r="P332" s="14" t="n">
        <v>7.964</v>
      </c>
      <c r="Q332" s="14" t="n">
        <v>0</v>
      </c>
      <c r="R332" s="14" t="n">
        <v>1</v>
      </c>
      <c r="S332" s="14" t="n">
        <v>11.613</v>
      </c>
      <c r="T332" s="14" t="n">
        <v>6.86</v>
      </c>
      <c r="U332" s="14" t="n">
        <v>0</v>
      </c>
      <c r="V332" s="14" t="n">
        <v>13.007</v>
      </c>
      <c r="W332" s="14" t="n">
        <v>0.12</v>
      </c>
      <c r="X332" s="14" t="n">
        <v>1</v>
      </c>
      <c r="Y332" s="14" t="n">
        <v>5.347</v>
      </c>
      <c r="Z332" s="14" t="n">
        <v>0.389</v>
      </c>
      <c r="AA332" s="14" t="n">
        <v>0</v>
      </c>
      <c r="AB332" s="14" t="n">
        <v>5.347</v>
      </c>
      <c r="AC332" s="14" t="n">
        <v>0</v>
      </c>
      <c r="AD332" s="14" t="n">
        <v>1</v>
      </c>
      <c r="AE332" s="14" t="n">
        <v>5.919</v>
      </c>
      <c r="AF332" s="14" t="n">
        <v>0.796</v>
      </c>
      <c r="AG332" s="14" t="n">
        <v>0</v>
      </c>
      <c r="AH332" s="14" t="n">
        <v>5.919</v>
      </c>
      <c r="AI332" s="14" t="n">
        <v>0</v>
      </c>
      <c r="AJ332" s="14" t="n">
        <v>1</v>
      </c>
      <c r="AK332" s="14" t="n">
        <v>9.349</v>
      </c>
      <c r="AL332" s="14" t="n">
        <v>3.497</v>
      </c>
      <c r="AM332" s="14" t="n">
        <v>0</v>
      </c>
      <c r="AN332" s="14" t="n">
        <v>10.471</v>
      </c>
      <c r="AO332" s="14" t="n">
        <v>0.12</v>
      </c>
      <c r="AP332" s="14" t="n">
        <v>1</v>
      </c>
      <c r="AQ332" s="14" t="n">
        <v>0.649</v>
      </c>
      <c r="AR332" s="14" t="n">
        <v>0.114</v>
      </c>
      <c r="AS332" s="14" t="n">
        <v>0.169</v>
      </c>
      <c r="AT332" s="14" t="n">
        <v>0.917</v>
      </c>
      <c r="AU332" s="14" t="n">
        <v>0.12</v>
      </c>
      <c r="AV332" s="14" t="n">
        <v>1</v>
      </c>
      <c r="AW332" s="14" t="n">
        <v>0.577</v>
      </c>
      <c r="AX332" s="14" t="n">
        <v>0.114</v>
      </c>
      <c r="AY332" s="14" t="n">
        <v>0.104</v>
      </c>
      <c r="AZ332" s="14" t="n">
        <v>0.763</v>
      </c>
      <c r="BA332" s="14" t="n">
        <v>0.12</v>
      </c>
      <c r="BB332" s="14" t="n">
        <v>1</v>
      </c>
      <c r="BC332" s="14" t="n">
        <v>0.458</v>
      </c>
      <c r="BD332" s="14" t="n">
        <v>0.114</v>
      </c>
      <c r="BE332" s="14" t="n">
        <v>-0.059</v>
      </c>
      <c r="BF332" s="14" t="n">
        <v>0.447</v>
      </c>
      <c r="BG332" s="14" t="n">
        <v>0</v>
      </c>
      <c r="BH332" s="14" t="n">
        <v>0</v>
      </c>
      <c r="BI332" s="14" t="n">
        <v>0.491</v>
      </c>
      <c r="BJ332" s="14" t="n">
        <v>0.114</v>
      </c>
      <c r="BK332" s="14" t="n">
        <v>0.415</v>
      </c>
      <c r="BL332" s="14" t="n">
        <v>1.015</v>
      </c>
      <c r="BM332" s="14" t="n">
        <v>0.12</v>
      </c>
      <c r="BN332" s="14" t="n">
        <v>1</v>
      </c>
      <c r="BO332" s="14" t="n">
        <v>0</v>
      </c>
      <c r="BP332" s="14" t="n">
        <v>0</v>
      </c>
      <c r="BQ332" s="14" t="n">
        <v>0.132</v>
      </c>
      <c r="BR332" s="14" t="n">
        <v>0</v>
      </c>
      <c r="BS332" s="14" t="n">
        <v>1</v>
      </c>
      <c r="BT332" s="14" t="n">
        <v>0</v>
      </c>
      <c r="BU332" s="14" t="n">
        <v>0</v>
      </c>
      <c r="BV332" s="14" t="n">
        <v>0.223</v>
      </c>
      <c r="BW332" s="14" t="n">
        <v>0.12</v>
      </c>
      <c r="BX332" s="14" t="n">
        <v>0.833</v>
      </c>
      <c r="BY332" s="14" t="n">
        <v>11.787</v>
      </c>
      <c r="BZ332" s="14" t="n">
        <v>0</v>
      </c>
      <c r="CA332" s="14" t="n">
        <v>11.787</v>
      </c>
      <c r="CB332" s="14" t="n">
        <v>0</v>
      </c>
      <c r="CC332" s="14" t="n">
        <v>78.125</v>
      </c>
      <c r="CD332" s="14" t="n">
        <v>7.95</v>
      </c>
      <c r="CE332" s="14" t="n">
        <v>6.6</v>
      </c>
      <c r="CF332" s="14" t="n">
        <v>94.892</v>
      </c>
      <c r="CG332" s="14" t="n">
        <v>0.12</v>
      </c>
      <c r="CH332" s="14" t="n">
        <v>1</v>
      </c>
      <c r="CI332" s="14" t="n">
        <v>0</v>
      </c>
      <c r="CJ332" s="14" t="n">
        <v>0</v>
      </c>
      <c r="CK332" s="14" t="n">
        <v>0</v>
      </c>
      <c r="CL332" s="14" t="n">
        <v>0</v>
      </c>
      <c r="CM332" s="14" t="n">
        <v>0</v>
      </c>
      <c r="CN332" s="14" t="n">
        <v>0</v>
      </c>
      <c r="CO332" s="14" t="n">
        <v>0</v>
      </c>
      <c r="CP332" s="14" t="n">
        <v>0</v>
      </c>
      <c r="CQ332" s="14" t="n">
        <v>1.198</v>
      </c>
      <c r="CR332" s="14" t="n">
        <v>1</v>
      </c>
      <c r="CS332" s="14" t="n">
        <v>4.776</v>
      </c>
      <c r="CT332" s="14" t="n">
        <v>4.753</v>
      </c>
      <c r="CU332" s="14" t="n">
        <v>15.983</v>
      </c>
    </row>
    <row r="333">
      <c r="A333" s="14" t="inlineStr">
        <is>
          <t>GTM2022</t>
        </is>
      </c>
      <c r="B333" s="14" t="inlineStr">
        <is>
          <t>GTM</t>
        </is>
      </c>
      <c r="C333" s="14" t="inlineStr">
        <is>
          <t>GTM</t>
        </is>
      </c>
      <c r="D333" s="14" t="inlineStr">
        <is>
          <t>Guatemala</t>
        </is>
      </c>
      <c r="E333" s="14" t="n">
        <v>2022</v>
      </c>
      <c r="F333" s="14" t="n">
        <v>0.12</v>
      </c>
      <c r="G333" s="14" t="n">
        <v>11.72</v>
      </c>
      <c r="H333" s="14" t="n">
        <v>1.235</v>
      </c>
      <c r="I333" s="14" t="n">
        <v>0.524</v>
      </c>
      <c r="J333" s="14" t="n">
        <v>12.244</v>
      </c>
      <c r="K333" s="14" t="n">
        <v>0</v>
      </c>
      <c r="L333" s="14" t="n">
        <v>1</v>
      </c>
      <c r="M333" s="14" t="n">
        <v>9.782999999999999</v>
      </c>
      <c r="N333" s="14" t="n">
        <v>3.704</v>
      </c>
      <c r="O333" s="14" t="n">
        <v>0</v>
      </c>
      <c r="P333" s="14" t="n">
        <v>9.782999999999999</v>
      </c>
      <c r="Q333" s="14" t="n">
        <v>0</v>
      </c>
      <c r="R333" s="14" t="n">
        <v>1</v>
      </c>
      <c r="S333" s="14" t="n">
        <v>17.893</v>
      </c>
      <c r="T333" s="14" t="n">
        <v>7.408</v>
      </c>
      <c r="U333" s="14" t="n">
        <v>0.159</v>
      </c>
      <c r="V333" s="14" t="n">
        <v>20.041</v>
      </c>
      <c r="W333" s="14" t="n">
        <v>0.12</v>
      </c>
      <c r="X333" s="14" t="n">
        <v>1</v>
      </c>
      <c r="Y333" s="14" t="n">
        <v>5.775</v>
      </c>
      <c r="Z333" s="14" t="n">
        <v>0.42</v>
      </c>
      <c r="AA333" s="14" t="n">
        <v>0</v>
      </c>
      <c r="AB333" s="14" t="n">
        <v>5.775</v>
      </c>
      <c r="AC333" s="14" t="n">
        <v>0</v>
      </c>
      <c r="AD333" s="14" t="n">
        <v>1</v>
      </c>
      <c r="AE333" s="14" t="n">
        <v>6.392</v>
      </c>
      <c r="AF333" s="14" t="n">
        <v>0.86</v>
      </c>
      <c r="AG333" s="14" t="n">
        <v>0</v>
      </c>
      <c r="AH333" s="14" t="n">
        <v>6.392</v>
      </c>
      <c r="AI333" s="14" t="n">
        <v>0</v>
      </c>
      <c r="AJ333" s="14" t="n">
        <v>1</v>
      </c>
      <c r="AK333" s="14" t="n">
        <v>10.096</v>
      </c>
      <c r="AL333" s="14" t="n">
        <v>3.776</v>
      </c>
      <c r="AM333" s="14" t="n">
        <v>0.09</v>
      </c>
      <c r="AN333" s="14" t="n">
        <v>11.308</v>
      </c>
      <c r="AO333" s="14" t="n">
        <v>0.12</v>
      </c>
      <c r="AP333" s="14" t="n">
        <v>1</v>
      </c>
      <c r="AQ333" s="14" t="n">
        <v>0.896</v>
      </c>
      <c r="AR333" s="14" t="n">
        <v>0.123</v>
      </c>
      <c r="AS333" s="14" t="n">
        <v>0.161</v>
      </c>
      <c r="AT333" s="14" t="n">
        <v>1.183</v>
      </c>
      <c r="AU333" s="14" t="n">
        <v>0.12</v>
      </c>
      <c r="AV333" s="14" t="n">
        <v>1</v>
      </c>
      <c r="AW333" s="14" t="n">
        <v>0.89</v>
      </c>
      <c r="AX333" s="14" t="n">
        <v>0.123</v>
      </c>
      <c r="AY333" s="14" t="n">
        <v>0.131</v>
      </c>
      <c r="AZ333" s="14" t="n">
        <v>1.144</v>
      </c>
      <c r="BA333" s="14" t="n">
        <v>0.12</v>
      </c>
      <c r="BB333" s="14" t="n">
        <v>1</v>
      </c>
      <c r="BC333" s="14" t="n">
        <v>0.62</v>
      </c>
      <c r="BD333" s="14" t="n">
        <v>0.123</v>
      </c>
      <c r="BE333" s="14" t="n">
        <v>-0.207</v>
      </c>
      <c r="BF333" s="14" t="n">
        <v>0.463</v>
      </c>
      <c r="BG333" s="14" t="n">
        <v>0</v>
      </c>
      <c r="BH333" s="14" t="n">
        <v>0</v>
      </c>
      <c r="BI333" s="14" t="n">
        <v>0.608</v>
      </c>
      <c r="BJ333" s="14" t="n">
        <v>0.123</v>
      </c>
      <c r="BK333" s="14" t="n">
        <v>0.529</v>
      </c>
      <c r="BL333" s="14" t="n">
        <v>1.273</v>
      </c>
      <c r="BM333" s="14" t="n">
        <v>0.12</v>
      </c>
      <c r="BN333" s="14" t="n">
        <v>1</v>
      </c>
      <c r="BO333" s="14" t="n">
        <v>0</v>
      </c>
      <c r="BP333" s="14" t="n">
        <v>0</v>
      </c>
      <c r="BQ333" s="14" t="n">
        <v>0.141</v>
      </c>
      <c r="BR333" s="14" t="n">
        <v>0</v>
      </c>
      <c r="BS333" s="14" t="n">
        <v>1</v>
      </c>
      <c r="BT333" s="14" t="n">
        <v>0</v>
      </c>
      <c r="BU333" s="14" t="n">
        <v>0</v>
      </c>
      <c r="BV333" s="14" t="n">
        <v>0.133</v>
      </c>
      <c r="BW333" s="14" t="n">
        <v>0.12</v>
      </c>
      <c r="BX333" s="14" t="n">
        <v>0.833</v>
      </c>
      <c r="BY333" s="14" t="n">
        <v>12.729</v>
      </c>
      <c r="BZ333" s="14" t="n">
        <v>0</v>
      </c>
      <c r="CA333" s="14" t="n">
        <v>12.729</v>
      </c>
      <c r="CB333" s="14" t="n">
        <v>0</v>
      </c>
      <c r="CC333" s="14" t="n">
        <v>97.90000000000001</v>
      </c>
      <c r="CD333" s="14" t="n">
        <v>7.95</v>
      </c>
      <c r="CE333" s="14" t="n">
        <v>6.598</v>
      </c>
      <c r="CF333" s="14" t="n">
        <v>116.007</v>
      </c>
      <c r="CG333" s="14" t="n">
        <v>0.12</v>
      </c>
      <c r="CH333" s="14" t="n">
        <v>1</v>
      </c>
      <c r="CI333" s="14" t="n">
        <v>0</v>
      </c>
      <c r="CJ333" s="14" t="n">
        <v>0</v>
      </c>
      <c r="CK333" s="14" t="n">
        <v>0</v>
      </c>
      <c r="CL333" s="14" t="n">
        <v>0</v>
      </c>
      <c r="CM333" s="14" t="n">
        <v>0</v>
      </c>
      <c r="CN333" s="14" t="n">
        <v>0</v>
      </c>
      <c r="CO333" s="14" t="n">
        <v>0</v>
      </c>
      <c r="CP333" s="14" t="n">
        <v>0</v>
      </c>
      <c r="CQ333" s="14" t="n">
        <v>1.294</v>
      </c>
      <c r="CR333" s="14" t="n">
        <v>1</v>
      </c>
      <c r="CS333" s="14" t="n">
        <v>5.158</v>
      </c>
      <c r="CT333" s="14" t="n">
        <v>10.485</v>
      </c>
      <c r="CU333" s="14" t="n">
        <v>29.494</v>
      </c>
    </row>
    <row r="334">
      <c r="A334" s="14" t="inlineStr">
        <is>
          <t>GTM2023</t>
        </is>
      </c>
      <c r="B334" s="14" t="inlineStr">
        <is>
          <t>GTM</t>
        </is>
      </c>
      <c r="C334" s="14" t="inlineStr">
        <is>
          <t>GTM</t>
        </is>
      </c>
      <c r="D334" s="14" t="inlineStr">
        <is>
          <t>Guatemala</t>
        </is>
      </c>
      <c r="E334" s="14" t="n">
        <v>2023</v>
      </c>
      <c r="F334" s="14" t="n">
        <v>0.12</v>
      </c>
      <c r="G334" s="14" t="n">
        <v>5.295</v>
      </c>
      <c r="H334" s="14" t="n">
        <v>1.154</v>
      </c>
      <c r="I334" s="14" t="n">
        <v>0.193</v>
      </c>
      <c r="J334" s="14" t="n">
        <v>5.488</v>
      </c>
      <c r="K334" s="14" t="n">
        <v>0</v>
      </c>
      <c r="L334" s="14" t="n">
        <v>1</v>
      </c>
      <c r="M334" s="14" t="n">
        <v>6.941</v>
      </c>
      <c r="N334" s="14" t="n">
        <v>3.462</v>
      </c>
      <c r="O334" s="14" t="n">
        <v>0</v>
      </c>
      <c r="P334" s="14" t="n">
        <v>6.941</v>
      </c>
      <c r="Q334" s="14" t="n">
        <v>0</v>
      </c>
      <c r="R334" s="14" t="n">
        <v>1</v>
      </c>
      <c r="S334" s="14" t="n">
        <v>11.065</v>
      </c>
      <c r="T334" s="14" t="n">
        <v>6.924</v>
      </c>
      <c r="U334" s="14" t="n">
        <v>0.147</v>
      </c>
      <c r="V334" s="14" t="n">
        <v>12.393</v>
      </c>
      <c r="W334" s="14" t="n">
        <v>0.12</v>
      </c>
      <c r="X334" s="14" t="n">
        <v>1</v>
      </c>
      <c r="Y334" s="14" t="n">
        <v>6.013</v>
      </c>
      <c r="Z334" s="14" t="n">
        <v>0.438</v>
      </c>
      <c r="AA334" s="14" t="n">
        <v>0</v>
      </c>
      <c r="AB334" s="14" t="n">
        <v>6.013</v>
      </c>
      <c r="AC334" s="14" t="n">
        <v>0</v>
      </c>
      <c r="AD334" s="14" t="n">
        <v>1</v>
      </c>
      <c r="AE334" s="14" t="n">
        <v>6.656</v>
      </c>
      <c r="AF334" s="14" t="n">
        <v>0.895</v>
      </c>
      <c r="AG334" s="14" t="n">
        <v>0</v>
      </c>
      <c r="AH334" s="14" t="n">
        <v>6.656</v>
      </c>
      <c r="AI334" s="14" t="n">
        <v>0</v>
      </c>
      <c r="AJ334" s="14" t="n">
        <v>1</v>
      </c>
      <c r="AK334" s="14" t="n">
        <v>10.513</v>
      </c>
      <c r="AL334" s="14" t="n">
        <v>3.932</v>
      </c>
      <c r="AM334" s="14" t="n">
        <v>0.14</v>
      </c>
      <c r="AN334" s="14" t="n">
        <v>11.775</v>
      </c>
      <c r="AO334" s="14" t="n">
        <v>0.12</v>
      </c>
      <c r="AP334" s="14" t="n">
        <v>1</v>
      </c>
      <c r="AQ334" s="14" t="n">
        <v>0.791</v>
      </c>
      <c r="AR334" s="14" t="n">
        <v>0.129</v>
      </c>
      <c r="AS334" s="14" t="n">
        <v>0.227</v>
      </c>
      <c r="AT334" s="14" t="n">
        <v>1.14</v>
      </c>
      <c r="AU334" s="14" t="n">
        <v>0.12</v>
      </c>
      <c r="AV334" s="14" t="n">
        <v>1</v>
      </c>
      <c r="AW334" s="14" t="n">
        <v>0.618</v>
      </c>
      <c r="AX334" s="14" t="n">
        <v>0.129</v>
      </c>
      <c r="AY334" s="14" t="n">
        <v>0.349</v>
      </c>
      <c r="AZ334" s="14" t="n">
        <v>1.083</v>
      </c>
      <c r="BA334" s="14" t="n">
        <v>0.12</v>
      </c>
      <c r="BB334" s="14" t="n">
        <v>1</v>
      </c>
      <c r="BC334" s="14" t="n">
        <v>0.554</v>
      </c>
      <c r="BD334" s="14" t="n">
        <v>0.129</v>
      </c>
      <c r="BE334" s="14" t="n">
        <v>-0.139</v>
      </c>
      <c r="BF334" s="14" t="n">
        <v>0.465</v>
      </c>
      <c r="BG334" s="14" t="n">
        <v>0</v>
      </c>
      <c r="BH334" s="14" t="n">
        <v>0</v>
      </c>
      <c r="BI334" s="14" t="n">
        <v>0.5570000000000001</v>
      </c>
      <c r="BJ334" s="14" t="n">
        <v>0.129</v>
      </c>
      <c r="BK334" s="14" t="n">
        <v>0.571</v>
      </c>
      <c r="BL334" s="14" t="n">
        <v>1.264</v>
      </c>
      <c r="BM334" s="14" t="n">
        <v>0.12</v>
      </c>
      <c r="BN334" s="14" t="n">
        <v>1</v>
      </c>
      <c r="BO334" s="14" t="n">
        <v>0</v>
      </c>
      <c r="BP334" s="14" t="n">
        <v>0</v>
      </c>
      <c r="BQ334" s="14" t="n">
        <v>0.127</v>
      </c>
      <c r="BR334" s="14" t="n">
        <v>0</v>
      </c>
      <c r="BS334" s="14" t="n">
        <v>1</v>
      </c>
      <c r="BT334" s="14" t="n">
        <v>0</v>
      </c>
      <c r="BU334" s="14" t="n">
        <v>0</v>
      </c>
      <c r="BV334" s="14" t="n">
        <v>0.115</v>
      </c>
      <c r="BW334" s="14" t="n">
        <v>0.12</v>
      </c>
      <c r="BX334" s="14" t="n">
        <v>0.833</v>
      </c>
      <c r="BY334" s="14" t="n">
        <v>13.254</v>
      </c>
      <c r="BZ334" s="14" t="n">
        <v>0</v>
      </c>
      <c r="CA334" s="14" t="n">
        <v>13.254</v>
      </c>
      <c r="CB334" s="14" t="n">
        <v>0</v>
      </c>
      <c r="CC334" s="14" t="n">
        <v>83.248</v>
      </c>
      <c r="CD334" s="14" t="n">
        <v>7.95</v>
      </c>
      <c r="CE334" s="14" t="n">
        <v>9.125999999999999</v>
      </c>
      <c r="CF334" s="14" t="n">
        <v>102.103</v>
      </c>
      <c r="CG334" s="14" t="n">
        <v>0.12</v>
      </c>
      <c r="CH334" s="14" t="n">
        <v>1</v>
      </c>
      <c r="CI334" s="14" t="n">
        <v>0</v>
      </c>
      <c r="CJ334" s="14" t="n">
        <v>0</v>
      </c>
      <c r="CK334" s="14" t="n">
        <v>0</v>
      </c>
      <c r="CL334" s="14" t="n">
        <v>0</v>
      </c>
      <c r="CM334" s="14" t="n">
        <v>0</v>
      </c>
      <c r="CN334" s="14" t="n">
        <v>0</v>
      </c>
      <c r="CO334" s="14" t="n">
        <v>0</v>
      </c>
      <c r="CP334" s="14" t="n">
        <v>0.205</v>
      </c>
      <c r="CQ334" s="14" t="n">
        <v>1.348</v>
      </c>
      <c r="CR334" s="14" t="n">
        <v>1</v>
      </c>
      <c r="CS334" s="14" t="n">
        <v>5.37</v>
      </c>
      <c r="CT334" s="14" t="n">
        <v>4.861</v>
      </c>
      <c r="CU334" s="14" t="n">
        <v>11.192</v>
      </c>
    </row>
    <row r="335">
      <c r="A335" s="14" t="inlineStr">
        <is>
          <t>GTM2024</t>
        </is>
      </c>
      <c r="B335" s="14" t="inlineStr">
        <is>
          <t>GTM</t>
        </is>
      </c>
      <c r="C335" s="14" t="inlineStr">
        <is>
          <t>GTM</t>
        </is>
      </c>
      <c r="D335" s="14" t="inlineStr">
        <is>
          <t>Guatemala</t>
        </is>
      </c>
      <c r="E335" s="14" t="n">
        <v>2024</v>
      </c>
      <c r="F335" s="14" t="n">
        <v>0.12</v>
      </c>
      <c r="G335" s="14" t="n">
        <v>4.852</v>
      </c>
      <c r="H335" s="14" t="n">
        <v>1.188</v>
      </c>
      <c r="I335" s="14" t="n">
        <v>0.169</v>
      </c>
      <c r="J335" s="14" t="n">
        <v>5.021</v>
      </c>
      <c r="K335" s="14" t="n">
        <v>0</v>
      </c>
      <c r="L335" s="14" t="n">
        <v>1</v>
      </c>
      <c r="M335" s="14" t="n">
        <v>6.355</v>
      </c>
      <c r="N335" s="14" t="n">
        <v>3.564</v>
      </c>
      <c r="O335" s="14" t="n">
        <v>0</v>
      </c>
      <c r="P335" s="14" t="n">
        <v>6.355</v>
      </c>
      <c r="Q335" s="14" t="n">
        <v>0</v>
      </c>
      <c r="R335" s="14" t="n">
        <v>1</v>
      </c>
      <c r="S335" s="14" t="n">
        <v>10.792</v>
      </c>
      <c r="T335" s="14" t="n">
        <v>7.128</v>
      </c>
      <c r="U335" s="14" t="n">
        <v>0.176</v>
      </c>
      <c r="V335" s="14" t="n">
        <v>12.087</v>
      </c>
      <c r="W335" s="14" t="n">
        <v>0.12</v>
      </c>
      <c r="X335" s="14" t="n">
        <v>1</v>
      </c>
      <c r="Y335" s="14" t="n">
        <v>6.191</v>
      </c>
      <c r="Z335" s="14" t="n">
        <v>0.451</v>
      </c>
      <c r="AA335" s="14" t="n">
        <v>0</v>
      </c>
      <c r="AB335" s="14" t="n">
        <v>6.191</v>
      </c>
      <c r="AC335" s="14" t="n">
        <v>0</v>
      </c>
      <c r="AD335" s="14" t="n">
        <v>1</v>
      </c>
      <c r="AE335" s="14" t="n">
        <v>6.853</v>
      </c>
      <c r="AF335" s="14" t="n">
        <v>0.922</v>
      </c>
      <c r="AG335" s="14" t="n">
        <v>0</v>
      </c>
      <c r="AH335" s="14" t="n">
        <v>6.853</v>
      </c>
      <c r="AI335" s="14" t="n">
        <v>0</v>
      </c>
      <c r="AJ335" s="14" t="n">
        <v>1</v>
      </c>
      <c r="AK335" s="14" t="n">
        <v>10.823</v>
      </c>
      <c r="AL335" s="14" t="n">
        <v>4.048</v>
      </c>
      <c r="AM335" s="14" t="n">
        <v>0.177</v>
      </c>
      <c r="AN335" s="14" t="n">
        <v>12.122</v>
      </c>
      <c r="AO335" s="14" t="n">
        <v>0.12</v>
      </c>
      <c r="AP335" s="14" t="n">
        <v>1</v>
      </c>
      <c r="AQ335" s="14" t="n">
        <v>0.756</v>
      </c>
      <c r="AR335" s="14" t="n">
        <v>0.132</v>
      </c>
      <c r="AS335" s="14" t="n">
        <v>0.201</v>
      </c>
      <c r="AT335" s="14" t="n">
        <v>1.072</v>
      </c>
      <c r="AU335" s="14" t="n">
        <v>0.12</v>
      </c>
      <c r="AV335" s="14" t="n">
        <v>1</v>
      </c>
      <c r="AW335" s="14" t="n">
        <v>0.655</v>
      </c>
      <c r="AX335" s="14" t="n">
        <v>0.132</v>
      </c>
      <c r="AY335" s="14" t="n">
        <v>0.232</v>
      </c>
      <c r="AZ335" s="14" t="n">
        <v>0.994</v>
      </c>
      <c r="BA335" s="14" t="n">
        <v>0.12</v>
      </c>
      <c r="BB335" s="14" t="n">
        <v>1</v>
      </c>
      <c r="BC335" s="14" t="n">
        <v>0.534</v>
      </c>
      <c r="BD335" s="14" t="n">
        <v>0.132</v>
      </c>
      <c r="BE335" s="14" t="n">
        <v>-0.164</v>
      </c>
      <c r="BF335" s="14" t="n">
        <v>0.413</v>
      </c>
      <c r="BG335" s="14" t="n">
        <v>0</v>
      </c>
      <c r="BH335" s="14" t="n">
        <v>0</v>
      </c>
      <c r="BI335" s="14" t="n">
        <v>0.5679999999999999</v>
      </c>
      <c r="BJ335" s="14" t="n">
        <v>0.132</v>
      </c>
      <c r="BK335" s="14" t="n">
        <v>0.5570000000000001</v>
      </c>
      <c r="BL335" s="14" t="n">
        <v>1.26</v>
      </c>
      <c r="BM335" s="14" t="n">
        <v>0.12</v>
      </c>
      <c r="BN335" s="14" t="n">
        <v>1</v>
      </c>
      <c r="BO335" s="14" t="n">
        <v>0</v>
      </c>
      <c r="BP335" s="14" t="n">
        <v>0</v>
      </c>
      <c r="BQ335" s="14" t="n">
        <v>0.156</v>
      </c>
      <c r="BR335" s="14" t="n">
        <v>0</v>
      </c>
      <c r="BS335" s="14" t="n">
        <v>1</v>
      </c>
      <c r="BT335" s="14" t="n">
        <v>0</v>
      </c>
      <c r="BU335" s="14" t="n">
        <v>0</v>
      </c>
      <c r="BV335" s="14" t="n">
        <v>0.209</v>
      </c>
      <c r="BW335" s="14" t="n">
        <v>0.12</v>
      </c>
      <c r="BX335" s="14" t="n">
        <v>0.833</v>
      </c>
      <c r="BY335" s="14" t="n">
        <v>13.646</v>
      </c>
      <c r="BZ335" s="14" t="n">
        <v>0</v>
      </c>
      <c r="CA335" s="14" t="n">
        <v>13.646</v>
      </c>
      <c r="CB335" s="14" t="n">
        <v>0</v>
      </c>
      <c r="CC335" s="14" t="n">
        <v>82.58799999999999</v>
      </c>
      <c r="CD335" s="14" t="n">
        <v>7.95</v>
      </c>
      <c r="CE335" s="14" t="n">
        <v>9.972</v>
      </c>
      <c r="CF335" s="14" t="n">
        <v>101.999</v>
      </c>
      <c r="CG335" s="14" t="n">
        <v>0.12</v>
      </c>
      <c r="CH335" s="14" t="n">
        <v>1</v>
      </c>
      <c r="CI335" s="14" t="n">
        <v>0</v>
      </c>
      <c r="CJ335" s="14" t="n">
        <v>0</v>
      </c>
      <c r="CK335" s="14" t="n">
        <v>0</v>
      </c>
      <c r="CL335" s="14" t="n">
        <v>0</v>
      </c>
      <c r="CM335" s="14" t="n">
        <v>0</v>
      </c>
      <c r="CN335" s="14" t="n">
        <v>0</v>
      </c>
      <c r="CO335" s="14" t="n">
        <v>0</v>
      </c>
      <c r="CP335" s="14" t="n">
        <v>0.205</v>
      </c>
      <c r="CQ335" s="14" t="n">
        <v>1.387</v>
      </c>
      <c r="CR335" s="14" t="n">
        <v>1</v>
      </c>
      <c r="CS335" s="14" t="n">
        <v>5.529</v>
      </c>
      <c r="CT335" s="14" t="n">
        <v>4.251</v>
      </c>
      <c r="CU335" s="14" t="n">
        <v>10.123</v>
      </c>
    </row>
    <row r="336">
      <c r="A336" s="14" t="inlineStr">
        <is>
          <t>GIN2021</t>
        </is>
      </c>
      <c r="B336" s="14" t="inlineStr">
        <is>
          <t>GIN</t>
        </is>
      </c>
      <c r="C336" s="14" t="inlineStr">
        <is>
          <t>GIN</t>
        </is>
      </c>
      <c r="D336" s="14" t="inlineStr">
        <is>
          <t>Guinea</t>
        </is>
      </c>
      <c r="E336" s="14" t="n">
        <v>2021</v>
      </c>
      <c r="F336" s="14" t="n">
        <v>0.18</v>
      </c>
      <c r="G336" s="14" t="n">
        <v>5.897</v>
      </c>
      <c r="H336" s="14" t="n">
        <v>1.143</v>
      </c>
      <c r="I336" s="14" t="n">
        <v>0</v>
      </c>
      <c r="J336" s="14" t="n">
        <v>5.897</v>
      </c>
      <c r="K336" s="14" t="n">
        <v>0</v>
      </c>
      <c r="L336" s="14" t="n">
        <v>1</v>
      </c>
      <c r="M336" s="14" t="n">
        <v>7.964</v>
      </c>
      <c r="N336" s="14" t="n">
        <v>3.43</v>
      </c>
      <c r="O336" s="14" t="n">
        <v>0</v>
      </c>
      <c r="P336" s="14" t="n">
        <v>7.964</v>
      </c>
      <c r="Q336" s="14" t="n">
        <v>0</v>
      </c>
      <c r="R336" s="14" t="n">
        <v>1</v>
      </c>
      <c r="S336" s="14" t="n">
        <v>11.613</v>
      </c>
      <c r="T336" s="14" t="n">
        <v>6.86</v>
      </c>
      <c r="U336" s="14" t="n">
        <v>0</v>
      </c>
      <c r="V336" s="14" t="n">
        <v>13.704</v>
      </c>
      <c r="W336" s="14" t="n">
        <v>0.18</v>
      </c>
      <c r="X336" s="14" t="n">
        <v>1</v>
      </c>
      <c r="Y336" s="14" t="n">
        <v>13.209</v>
      </c>
      <c r="Z336" s="14" t="n">
        <v>1.785</v>
      </c>
      <c r="AA336" s="14" t="n">
        <v>0</v>
      </c>
      <c r="AB336" s="14" t="n">
        <v>13.209</v>
      </c>
      <c r="AC336" s="14" t="n">
        <v>0</v>
      </c>
      <c r="AD336" s="14" t="n">
        <v>1</v>
      </c>
      <c r="AE336" s="14" t="n">
        <v>14.352</v>
      </c>
      <c r="AF336" s="14" t="n">
        <v>3.356</v>
      </c>
      <c r="AG336" s="14" t="n">
        <v>0</v>
      </c>
      <c r="AH336" s="14" t="n">
        <v>14.352</v>
      </c>
      <c r="AI336" s="14" t="n">
        <v>0</v>
      </c>
      <c r="AJ336" s="14" t="n">
        <v>1</v>
      </c>
      <c r="AK336" s="14" t="n">
        <v>21.212</v>
      </c>
      <c r="AL336" s="14" t="n">
        <v>11.298</v>
      </c>
      <c r="AM336" s="14" t="n">
        <v>0</v>
      </c>
      <c r="AN336" s="14" t="n">
        <v>25.03</v>
      </c>
      <c r="AO336" s="14" t="n">
        <v>0.18</v>
      </c>
      <c r="AP336" s="14" t="n">
        <v>1</v>
      </c>
      <c r="AQ336" s="14" t="n">
        <v>0.619</v>
      </c>
      <c r="AR336" s="14" t="n">
        <v>0.114</v>
      </c>
      <c r="AS336" s="14" t="n">
        <v>0.358</v>
      </c>
      <c r="AT336" s="14" t="n">
        <v>1.153</v>
      </c>
      <c r="AU336" s="14" t="n">
        <v>0.18</v>
      </c>
      <c r="AV336" s="14" t="n">
        <v>1</v>
      </c>
      <c r="AW336" s="14" t="n">
        <v>0.599</v>
      </c>
      <c r="AX336" s="14" t="n">
        <v>0.114</v>
      </c>
      <c r="AY336" s="14" t="n">
        <v>0.315</v>
      </c>
      <c r="AZ336" s="14" t="n">
        <v>1.079</v>
      </c>
      <c r="BA336" s="14" t="n">
        <v>0.18</v>
      </c>
      <c r="BB336" s="14" t="n">
        <v>1</v>
      </c>
      <c r="BC336" s="14" t="n">
        <v>0.439</v>
      </c>
      <c r="BD336" s="14" t="n">
        <v>0.114</v>
      </c>
      <c r="BE336" s="14" t="n">
        <v>0</v>
      </c>
      <c r="BF336" s="14" t="n">
        <v>0.518</v>
      </c>
      <c r="BG336" s="14" t="n">
        <v>0.18</v>
      </c>
      <c r="BH336" s="14" t="n">
        <v>1</v>
      </c>
      <c r="BI336" s="14" t="n">
        <v>0.505</v>
      </c>
      <c r="BJ336" s="14" t="n">
        <v>0.114</v>
      </c>
      <c r="BK336" s="14" t="n">
        <v>0.418</v>
      </c>
      <c r="BL336" s="14" t="n">
        <v>1.089</v>
      </c>
      <c r="BM336" s="14" t="n">
        <v>0.18</v>
      </c>
      <c r="BN336" s="14" t="n">
        <v>1</v>
      </c>
      <c r="BO336" s="14" t="n">
        <v>0</v>
      </c>
      <c r="BP336" s="14" t="n">
        <v>0</v>
      </c>
      <c r="BQ336" s="14" t="n">
        <v>0.185</v>
      </c>
      <c r="BR336" s="14" t="n">
        <v>0</v>
      </c>
      <c r="BS336" s="14" t="n">
        <v>1</v>
      </c>
      <c r="BT336" s="14" t="n">
        <v>0</v>
      </c>
      <c r="BU336" s="14" t="n">
        <v>0</v>
      </c>
      <c r="BV336" s="14" t="n">
        <v>0.039</v>
      </c>
      <c r="BW336" s="14" t="n">
        <v>0.18</v>
      </c>
      <c r="BX336" s="14" t="n">
        <v>1</v>
      </c>
      <c r="BY336" s="14" t="n">
        <v>11.787</v>
      </c>
      <c r="BZ336" s="14" t="n">
        <v>0</v>
      </c>
      <c r="CA336" s="14" t="n">
        <v>11.787</v>
      </c>
      <c r="CB336" s="14" t="n">
        <v>0</v>
      </c>
      <c r="CC336" s="14" t="n">
        <v>78.125</v>
      </c>
      <c r="CD336" s="14" t="n">
        <v>7.95</v>
      </c>
      <c r="CE336" s="14" t="n">
        <v>0</v>
      </c>
      <c r="CF336" s="14" t="n">
        <v>92.188</v>
      </c>
      <c r="CG336" s="14" t="n">
        <v>0.18</v>
      </c>
      <c r="CH336" s="14" t="n">
        <v>1</v>
      </c>
      <c r="CI336" s="14" t="n">
        <v>0</v>
      </c>
      <c r="CJ336" s="14" t="n">
        <v>0</v>
      </c>
      <c r="CK336" s="14" t="n">
        <v>0</v>
      </c>
      <c r="CL336" s="14" t="n">
        <v>0</v>
      </c>
      <c r="CM336" s="14" t="n">
        <v>0</v>
      </c>
      <c r="CN336" s="14" t="n">
        <v>0</v>
      </c>
      <c r="CO336" s="14" t="n">
        <v>0</v>
      </c>
      <c r="CP336" s="14" t="n">
        <v>0</v>
      </c>
      <c r="CQ336" s="14" t="n">
        <v>1.198</v>
      </c>
      <c r="CR336" s="14" t="n">
        <v>0</v>
      </c>
      <c r="CS336" s="14" t="n">
        <v>4.776</v>
      </c>
      <c r="CT336" s="14" t="n">
        <v>4.753</v>
      </c>
      <c r="CU336" s="14" t="n">
        <v>15.162</v>
      </c>
    </row>
    <row r="337">
      <c r="A337" s="14" t="inlineStr">
        <is>
          <t>GIN2022</t>
        </is>
      </c>
      <c r="B337" s="14" t="inlineStr">
        <is>
          <t>GIN</t>
        </is>
      </c>
      <c r="C337" s="14" t="inlineStr">
        <is>
          <t>GIN</t>
        </is>
      </c>
      <c r="D337" s="14" t="inlineStr">
        <is>
          <t>Guinea</t>
        </is>
      </c>
      <c r="E337" s="14" t="n">
        <v>2022</v>
      </c>
      <c r="F337" s="14" t="n">
        <v>0.18</v>
      </c>
      <c r="G337" s="14" t="n">
        <v>11.72</v>
      </c>
      <c r="H337" s="14" t="n">
        <v>1.235</v>
      </c>
      <c r="I337" s="14" t="n">
        <v>0</v>
      </c>
      <c r="J337" s="14" t="n">
        <v>11.72</v>
      </c>
      <c r="K337" s="14" t="n">
        <v>0</v>
      </c>
      <c r="L337" s="14" t="n">
        <v>1</v>
      </c>
      <c r="M337" s="14" t="n">
        <v>9.782999999999999</v>
      </c>
      <c r="N337" s="14" t="n">
        <v>3.704</v>
      </c>
      <c r="O337" s="14" t="n">
        <v>0</v>
      </c>
      <c r="P337" s="14" t="n">
        <v>9.782999999999999</v>
      </c>
      <c r="Q337" s="14" t="n">
        <v>0</v>
      </c>
      <c r="R337" s="14" t="n">
        <v>1</v>
      </c>
      <c r="S337" s="14" t="n">
        <v>17.893</v>
      </c>
      <c r="T337" s="14" t="n">
        <v>7.408</v>
      </c>
      <c r="U337" s="14" t="n">
        <v>0.238</v>
      </c>
      <c r="V337" s="14" t="n">
        <v>21.114</v>
      </c>
      <c r="W337" s="14" t="n">
        <v>0.18</v>
      </c>
      <c r="X337" s="14" t="n">
        <v>1</v>
      </c>
      <c r="Y337" s="14" t="n">
        <v>25.267</v>
      </c>
      <c r="Z337" s="14" t="n">
        <v>3.415</v>
      </c>
      <c r="AA337" s="14" t="n">
        <v>0</v>
      </c>
      <c r="AB337" s="14" t="n">
        <v>25.267</v>
      </c>
      <c r="AC337" s="14" t="n">
        <v>0</v>
      </c>
      <c r="AD337" s="14" t="n">
        <v>1</v>
      </c>
      <c r="AE337" s="14" t="n">
        <v>26.501</v>
      </c>
      <c r="AF337" s="14" t="n">
        <v>6.197</v>
      </c>
      <c r="AG337" s="14" t="n">
        <v>0</v>
      </c>
      <c r="AH337" s="14" t="n">
        <v>26.501</v>
      </c>
      <c r="AI337" s="14" t="n">
        <v>0</v>
      </c>
      <c r="AJ337" s="14" t="n">
        <v>1</v>
      </c>
      <c r="AK337" s="14" t="n">
        <v>33.91</v>
      </c>
      <c r="AL337" s="14" t="n">
        <v>18.06</v>
      </c>
      <c r="AM337" s="14" t="n">
        <v>0.452</v>
      </c>
      <c r="AN337" s="14" t="n">
        <v>40.013</v>
      </c>
      <c r="AO337" s="14" t="n">
        <v>0.18</v>
      </c>
      <c r="AP337" s="14" t="n">
        <v>1</v>
      </c>
      <c r="AQ337" s="14" t="n">
        <v>0.861</v>
      </c>
      <c r="AR337" s="14" t="n">
        <v>0.123</v>
      </c>
      <c r="AS337" s="14" t="n">
        <v>0.374</v>
      </c>
      <c r="AT337" s="14" t="n">
        <v>1.438</v>
      </c>
      <c r="AU337" s="14" t="n">
        <v>0.18</v>
      </c>
      <c r="AV337" s="14" t="n">
        <v>1</v>
      </c>
      <c r="AW337" s="14" t="n">
        <v>0.986</v>
      </c>
      <c r="AX337" s="14" t="n">
        <v>0.123</v>
      </c>
      <c r="AY337" s="14" t="n">
        <v>0.248</v>
      </c>
      <c r="AZ337" s="14" t="n">
        <v>1.438</v>
      </c>
      <c r="BA337" s="14" t="n">
        <v>0.18</v>
      </c>
      <c r="BB337" s="14" t="n">
        <v>1</v>
      </c>
      <c r="BC337" s="14" t="n">
        <v>0.598</v>
      </c>
      <c r="BD337" s="14" t="n">
        <v>0.123</v>
      </c>
      <c r="BE337" s="14" t="n">
        <v>0.008</v>
      </c>
      <c r="BF337" s="14" t="n">
        <v>0.705</v>
      </c>
      <c r="BG337" s="14" t="n">
        <v>0.18</v>
      </c>
      <c r="BH337" s="14" t="n">
        <v>1</v>
      </c>
      <c r="BI337" s="14" t="n">
        <v>0.612</v>
      </c>
      <c r="BJ337" s="14" t="n">
        <v>0.123</v>
      </c>
      <c r="BK337" s="14" t="n">
        <v>0.41</v>
      </c>
      <c r="BL337" s="14" t="n">
        <v>1.191</v>
      </c>
      <c r="BM337" s="14" t="n">
        <v>0.18</v>
      </c>
      <c r="BN337" s="14" t="n">
        <v>1</v>
      </c>
      <c r="BO337" s="14" t="n">
        <v>0</v>
      </c>
      <c r="BP337" s="14" t="n">
        <v>0</v>
      </c>
      <c r="BQ337" s="14" t="n">
        <v>0.207</v>
      </c>
      <c r="BR337" s="14" t="n">
        <v>0</v>
      </c>
      <c r="BS337" s="14" t="n">
        <v>1</v>
      </c>
      <c r="BT337" s="14" t="n">
        <v>0</v>
      </c>
      <c r="BU337" s="14" t="n">
        <v>0</v>
      </c>
      <c r="BV337" s="14" t="n">
        <v>0.044</v>
      </c>
      <c r="BW337" s="14" t="n">
        <v>0.18</v>
      </c>
      <c r="BX337" s="14" t="n">
        <v>1</v>
      </c>
      <c r="BY337" s="14" t="n">
        <v>12.729</v>
      </c>
      <c r="BZ337" s="14" t="n">
        <v>0</v>
      </c>
      <c r="CA337" s="14" t="n">
        <v>12.729</v>
      </c>
      <c r="CB337" s="14" t="n">
        <v>0</v>
      </c>
      <c r="CC337" s="14" t="n">
        <v>97.90000000000001</v>
      </c>
      <c r="CD337" s="14" t="n">
        <v>7.95</v>
      </c>
      <c r="CE337" s="14" t="n">
        <v>1.304</v>
      </c>
      <c r="CF337" s="14" t="n">
        <v>115.522</v>
      </c>
      <c r="CG337" s="14" t="n">
        <v>0.18</v>
      </c>
      <c r="CH337" s="14" t="n">
        <v>1</v>
      </c>
      <c r="CI337" s="14" t="n">
        <v>0</v>
      </c>
      <c r="CJ337" s="14" t="n">
        <v>0</v>
      </c>
      <c r="CK337" s="14" t="n">
        <v>0</v>
      </c>
      <c r="CL337" s="14" t="n">
        <v>0</v>
      </c>
      <c r="CM337" s="14" t="n">
        <v>0</v>
      </c>
      <c r="CN337" s="14" t="n">
        <v>0</v>
      </c>
      <c r="CO337" s="14" t="n">
        <v>0</v>
      </c>
      <c r="CP337" s="14" t="n">
        <v>0</v>
      </c>
      <c r="CQ337" s="14" t="n">
        <v>1.294</v>
      </c>
      <c r="CR337" s="14" t="n">
        <v>0</v>
      </c>
      <c r="CS337" s="14" t="n">
        <v>5.158</v>
      </c>
      <c r="CT337" s="14" t="n">
        <v>10.485</v>
      </c>
      <c r="CU337" s="14" t="n">
        <v>31.326</v>
      </c>
    </row>
    <row r="338">
      <c r="A338" s="14" t="inlineStr">
        <is>
          <t>GIN2023</t>
        </is>
      </c>
      <c r="B338" s="14" t="inlineStr">
        <is>
          <t>GIN</t>
        </is>
      </c>
      <c r="C338" s="14" t="inlineStr">
        <is>
          <t>GIN</t>
        </is>
      </c>
      <c r="D338" s="14" t="inlineStr">
        <is>
          <t>Guinea</t>
        </is>
      </c>
      <c r="E338" s="14" t="n">
        <v>2023</v>
      </c>
      <c r="F338" s="14" t="n">
        <v>0.18</v>
      </c>
      <c r="G338" s="14" t="n">
        <v>6.147</v>
      </c>
      <c r="H338" s="14" t="n">
        <v>1.286</v>
      </c>
      <c r="I338" s="14" t="n">
        <v>0</v>
      </c>
      <c r="J338" s="14" t="n">
        <v>6.147</v>
      </c>
      <c r="K338" s="14" t="n">
        <v>0</v>
      </c>
      <c r="L338" s="14" t="n">
        <v>1</v>
      </c>
      <c r="M338" s="14" t="n">
        <v>7.886</v>
      </c>
      <c r="N338" s="14" t="n">
        <v>3.857</v>
      </c>
      <c r="O338" s="14" t="n">
        <v>0</v>
      </c>
      <c r="P338" s="14" t="n">
        <v>7.886</v>
      </c>
      <c r="Q338" s="14" t="n">
        <v>0</v>
      </c>
      <c r="R338" s="14" t="n">
        <v>1</v>
      </c>
      <c r="S338" s="14" t="n">
        <v>12.575</v>
      </c>
      <c r="T338" s="14" t="n">
        <v>7.714</v>
      </c>
      <c r="U338" s="14" t="n">
        <v>0.251</v>
      </c>
      <c r="V338" s="14" t="n">
        <v>14.839</v>
      </c>
      <c r="W338" s="14" t="n">
        <v>0.18</v>
      </c>
      <c r="X338" s="14" t="n">
        <v>1</v>
      </c>
      <c r="Y338" s="14" t="n">
        <v>10.86</v>
      </c>
      <c r="Z338" s="14" t="n">
        <v>1.468</v>
      </c>
      <c r="AA338" s="14" t="n">
        <v>0</v>
      </c>
      <c r="AB338" s="14" t="n">
        <v>10.86</v>
      </c>
      <c r="AC338" s="14" t="n">
        <v>0</v>
      </c>
      <c r="AD338" s="14" t="n">
        <v>1</v>
      </c>
      <c r="AE338" s="14" t="n">
        <v>12.146</v>
      </c>
      <c r="AF338" s="14" t="n">
        <v>2.84</v>
      </c>
      <c r="AG338" s="14" t="n">
        <v>0</v>
      </c>
      <c r="AH338" s="14" t="n">
        <v>12.146</v>
      </c>
      <c r="AI338" s="14" t="n">
        <v>0</v>
      </c>
      <c r="AJ338" s="14" t="n">
        <v>1</v>
      </c>
      <c r="AK338" s="14" t="n">
        <v>19.86</v>
      </c>
      <c r="AL338" s="14" t="n">
        <v>10.577</v>
      </c>
      <c r="AM338" s="14" t="n">
        <v>0.396</v>
      </c>
      <c r="AN338" s="14" t="n">
        <v>23.434</v>
      </c>
      <c r="AO338" s="14" t="n">
        <v>0.18</v>
      </c>
      <c r="AP338" s="14" t="n">
        <v>1</v>
      </c>
      <c r="AQ338" s="14" t="n">
        <v>0.76</v>
      </c>
      <c r="AR338" s="14" t="n">
        <v>0.129</v>
      </c>
      <c r="AS338" s="14" t="n">
        <v>0.416</v>
      </c>
      <c r="AT338" s="14" t="n">
        <v>1.361</v>
      </c>
      <c r="AU338" s="14" t="n">
        <v>0.18</v>
      </c>
      <c r="AV338" s="14" t="n">
        <v>1</v>
      </c>
      <c r="AW338" s="14" t="n">
        <v>0.8110000000000001</v>
      </c>
      <c r="AX338" s="14" t="n">
        <v>0.129</v>
      </c>
      <c r="AY338" s="14" t="n">
        <v>0.333</v>
      </c>
      <c r="AZ338" s="14" t="n">
        <v>1.324</v>
      </c>
      <c r="BA338" s="14" t="n">
        <v>0.18</v>
      </c>
      <c r="BB338" s="14" t="n">
        <v>1</v>
      </c>
      <c r="BC338" s="14" t="n">
        <v>0.535</v>
      </c>
      <c r="BD338" s="14" t="n">
        <v>0.129</v>
      </c>
      <c r="BE338" s="14" t="n">
        <v>0.011</v>
      </c>
      <c r="BF338" s="14" t="n">
        <v>0.631</v>
      </c>
      <c r="BG338" s="14" t="n">
        <v>0.18</v>
      </c>
      <c r="BH338" s="14" t="n">
        <v>1</v>
      </c>
      <c r="BI338" s="14" t="n">
        <v>0.579</v>
      </c>
      <c r="BJ338" s="14" t="n">
        <v>0.129</v>
      </c>
      <c r="BK338" s="14" t="n">
        <v>0.482</v>
      </c>
      <c r="BL338" s="14" t="n">
        <v>1.227</v>
      </c>
      <c r="BM338" s="14" t="n">
        <v>0.18</v>
      </c>
      <c r="BN338" s="14" t="n">
        <v>1</v>
      </c>
      <c r="BO338" s="14" t="n">
        <v>0</v>
      </c>
      <c r="BP338" s="14" t="n">
        <v>0</v>
      </c>
      <c r="BQ338" s="14" t="n">
        <v>0.212</v>
      </c>
      <c r="BR338" s="14" t="n">
        <v>0</v>
      </c>
      <c r="BS338" s="14" t="n">
        <v>1</v>
      </c>
      <c r="BT338" s="14" t="n">
        <v>0</v>
      </c>
      <c r="BU338" s="14" t="n">
        <v>0</v>
      </c>
      <c r="BV338" s="14" t="n">
        <v>0.045</v>
      </c>
      <c r="BW338" s="14" t="n">
        <v>0.18</v>
      </c>
      <c r="BX338" s="14" t="n">
        <v>1</v>
      </c>
      <c r="BY338" s="14" t="n">
        <v>13.254</v>
      </c>
      <c r="BZ338" s="14" t="n">
        <v>0</v>
      </c>
      <c r="CA338" s="14" t="n">
        <v>13.254</v>
      </c>
      <c r="CB338" s="14" t="n">
        <v>0</v>
      </c>
      <c r="CC338" s="14" t="n">
        <v>83.248</v>
      </c>
      <c r="CD338" s="14" t="n">
        <v>7.95</v>
      </c>
      <c r="CE338" s="14" t="n">
        <v>1.659</v>
      </c>
      <c r="CF338" s="14" t="n">
        <v>98.233</v>
      </c>
      <c r="CG338" s="14" t="n">
        <v>0.18</v>
      </c>
      <c r="CH338" s="14" t="n">
        <v>1</v>
      </c>
      <c r="CI338" s="14" t="n">
        <v>0</v>
      </c>
      <c r="CJ338" s="14" t="n">
        <v>0</v>
      </c>
      <c r="CK338" s="14" t="n">
        <v>0</v>
      </c>
      <c r="CL338" s="14" t="n">
        <v>0</v>
      </c>
      <c r="CM338" s="14" t="n">
        <v>0</v>
      </c>
      <c r="CN338" s="14" t="n">
        <v>0</v>
      </c>
      <c r="CO338" s="14" t="n">
        <v>0</v>
      </c>
      <c r="CP338" s="14" t="n">
        <v>0</v>
      </c>
      <c r="CQ338" s="14" t="n">
        <v>1.348</v>
      </c>
      <c r="CR338" s="14" t="n">
        <v>0</v>
      </c>
      <c r="CS338" s="14" t="n">
        <v>5.37</v>
      </c>
      <c r="CT338" s="14" t="n">
        <v>4.861</v>
      </c>
      <c r="CU338" s="14" t="n">
        <v>11.622</v>
      </c>
    </row>
    <row r="339">
      <c r="A339" s="14" t="inlineStr">
        <is>
          <t>GIN2024</t>
        </is>
      </c>
      <c r="B339" s="14" t="inlineStr">
        <is>
          <t>GIN</t>
        </is>
      </c>
      <c r="C339" s="14" t="inlineStr">
        <is>
          <t>GIN</t>
        </is>
      </c>
      <c r="D339" s="14" t="inlineStr">
        <is>
          <t>Guinea</t>
        </is>
      </c>
      <c r="E339" s="14" t="n">
        <v>2024</v>
      </c>
      <c r="F339" s="14" t="n">
        <v>0.18</v>
      </c>
      <c r="G339" s="14" t="n">
        <v>5.575</v>
      </c>
      <c r="H339" s="14" t="n">
        <v>1.324</v>
      </c>
      <c r="I339" s="14" t="n">
        <v>0</v>
      </c>
      <c r="J339" s="14" t="n">
        <v>5.575</v>
      </c>
      <c r="K339" s="14" t="n">
        <v>0</v>
      </c>
      <c r="L339" s="14" t="n">
        <v>1</v>
      </c>
      <c r="M339" s="14" t="n">
        <v>7.124</v>
      </c>
      <c r="N339" s="14" t="n">
        <v>3.971</v>
      </c>
      <c r="O339" s="14" t="n">
        <v>0</v>
      </c>
      <c r="P339" s="14" t="n">
        <v>7.124</v>
      </c>
      <c r="Q339" s="14" t="n">
        <v>0</v>
      </c>
      <c r="R339" s="14" t="n">
        <v>1</v>
      </c>
      <c r="S339" s="14" t="n">
        <v>12.193</v>
      </c>
      <c r="T339" s="14" t="n">
        <v>7.942</v>
      </c>
      <c r="U339" s="14" t="n">
        <v>0.299</v>
      </c>
      <c r="V339" s="14" t="n">
        <v>14.388</v>
      </c>
      <c r="W339" s="14" t="n">
        <v>0.18</v>
      </c>
      <c r="X339" s="14" t="n">
        <v>1</v>
      </c>
      <c r="Y339" s="14" t="n">
        <v>9.858000000000001</v>
      </c>
      <c r="Z339" s="14" t="n">
        <v>1.332</v>
      </c>
      <c r="AA339" s="14" t="n">
        <v>0</v>
      </c>
      <c r="AB339" s="14" t="n">
        <v>9.858000000000001</v>
      </c>
      <c r="AC339" s="14" t="n">
        <v>0</v>
      </c>
      <c r="AD339" s="14" t="n">
        <v>1</v>
      </c>
      <c r="AE339" s="14" t="n">
        <v>11.182</v>
      </c>
      <c r="AF339" s="14" t="n">
        <v>2.615</v>
      </c>
      <c r="AG339" s="14" t="n">
        <v>0</v>
      </c>
      <c r="AH339" s="14" t="n">
        <v>11.182</v>
      </c>
      <c r="AI339" s="14" t="n">
        <v>0</v>
      </c>
      <c r="AJ339" s="14" t="n">
        <v>1</v>
      </c>
      <c r="AK339" s="14" t="n">
        <v>19.123</v>
      </c>
      <c r="AL339" s="14" t="n">
        <v>10.185</v>
      </c>
      <c r="AM339" s="14" t="n">
        <v>0.469</v>
      </c>
      <c r="AN339" s="14" t="n">
        <v>22.566</v>
      </c>
      <c r="AO339" s="14" t="n">
        <v>0.18</v>
      </c>
      <c r="AP339" s="14" t="n">
        <v>1</v>
      </c>
      <c r="AQ339" s="14" t="n">
        <v>0.724</v>
      </c>
      <c r="AR339" s="14" t="n">
        <v>0.132</v>
      </c>
      <c r="AS339" s="14" t="n">
        <v>0.441</v>
      </c>
      <c r="AT339" s="14" t="n">
        <v>1.342</v>
      </c>
      <c r="AU339" s="14" t="n">
        <v>0.18</v>
      </c>
      <c r="AV339" s="14" t="n">
        <v>1</v>
      </c>
      <c r="AW339" s="14" t="n">
        <v>0.75</v>
      </c>
      <c r="AX339" s="14" t="n">
        <v>0.132</v>
      </c>
      <c r="AY339" s="14" t="n">
        <v>0.374</v>
      </c>
      <c r="AZ339" s="14" t="n">
        <v>1.294</v>
      </c>
      <c r="BA339" s="14" t="n">
        <v>0.18</v>
      </c>
      <c r="BB339" s="14" t="n">
        <v>1</v>
      </c>
      <c r="BC339" s="14" t="n">
        <v>0.513</v>
      </c>
      <c r="BD339" s="14" t="n">
        <v>0.132</v>
      </c>
      <c r="BE339" s="14" t="n">
        <v>0.013</v>
      </c>
      <c r="BF339" s="14" t="n">
        <v>0.605</v>
      </c>
      <c r="BG339" s="14" t="n">
        <v>0.18</v>
      </c>
      <c r="BH339" s="14" t="n">
        <v>1</v>
      </c>
      <c r="BI339" s="14" t="n">
        <v>0.591</v>
      </c>
      <c r="BJ339" s="14" t="n">
        <v>0.132</v>
      </c>
      <c r="BK339" s="14" t="n">
        <v>0.505</v>
      </c>
      <c r="BL339" s="14" t="n">
        <v>1.263</v>
      </c>
      <c r="BM339" s="14" t="n">
        <v>0.18</v>
      </c>
      <c r="BN339" s="14" t="n">
        <v>1</v>
      </c>
      <c r="BO339" s="14" t="n">
        <v>0</v>
      </c>
      <c r="BP339" s="14" t="n">
        <v>0</v>
      </c>
      <c r="BQ339" s="14" t="n">
        <v>0.218</v>
      </c>
      <c r="BR339" s="14" t="n">
        <v>0</v>
      </c>
      <c r="BS339" s="14" t="n">
        <v>1</v>
      </c>
      <c r="BT339" s="14" t="n">
        <v>0</v>
      </c>
      <c r="BU339" s="14" t="n">
        <v>0</v>
      </c>
      <c r="BV339" s="14" t="n">
        <v>0.046</v>
      </c>
      <c r="BW339" s="14" t="n">
        <v>0.18</v>
      </c>
      <c r="BX339" s="14" t="n">
        <v>1</v>
      </c>
      <c r="BY339" s="14" t="n">
        <v>13.646</v>
      </c>
      <c r="BZ339" s="14" t="n">
        <v>0</v>
      </c>
      <c r="CA339" s="14" t="n">
        <v>13.646</v>
      </c>
      <c r="CB339" s="14" t="n">
        <v>0</v>
      </c>
      <c r="CC339" s="14" t="n">
        <v>82.58799999999999</v>
      </c>
      <c r="CD339" s="14" t="n">
        <v>7.95</v>
      </c>
      <c r="CE339" s="14" t="n">
        <v>2.025</v>
      </c>
      <c r="CF339" s="14" t="n">
        <v>97.45399999999999</v>
      </c>
      <c r="CG339" s="14" t="n">
        <v>0.18</v>
      </c>
      <c r="CH339" s="14" t="n">
        <v>1</v>
      </c>
      <c r="CI339" s="14" t="n">
        <v>0</v>
      </c>
      <c r="CJ339" s="14" t="n">
        <v>0</v>
      </c>
      <c r="CK339" s="14" t="n">
        <v>0</v>
      </c>
      <c r="CL339" s="14" t="n">
        <v>0</v>
      </c>
      <c r="CM339" s="14" t="n">
        <v>0</v>
      </c>
      <c r="CN339" s="14" t="n">
        <v>0</v>
      </c>
      <c r="CO339" s="14" t="n">
        <v>0</v>
      </c>
      <c r="CP339" s="14" t="n">
        <v>0</v>
      </c>
      <c r="CQ339" s="14" t="n">
        <v>1.387</v>
      </c>
      <c r="CR339" s="14" t="n">
        <v>0</v>
      </c>
      <c r="CS339" s="14" t="n">
        <v>5.529</v>
      </c>
      <c r="CT339" s="14" t="n">
        <v>4.251</v>
      </c>
      <c r="CU339" s="14" t="n">
        <v>10.168</v>
      </c>
    </row>
    <row r="340">
      <c r="A340" s="14" t="inlineStr">
        <is>
          <t>GNB2021</t>
        </is>
      </c>
      <c r="B340" s="14" t="inlineStr">
        <is>
          <t>GNB</t>
        </is>
      </c>
      <c r="C340" s="14" t="inlineStr">
        <is>
          <t>GNB</t>
        </is>
      </c>
      <c r="D340" s="14" t="inlineStr">
        <is>
          <t>Guinea-Bissau</t>
        </is>
      </c>
      <c r="E340" s="14" t="n">
        <v>2021</v>
      </c>
      <c r="F340" s="14" t="n">
        <v>0.17</v>
      </c>
      <c r="G340" s="14" t="n">
        <v>5.897</v>
      </c>
      <c r="H340" s="14" t="n">
        <v>1.143</v>
      </c>
      <c r="I340" s="14" t="n">
        <v>0</v>
      </c>
      <c r="J340" s="14" t="n">
        <v>5.897</v>
      </c>
      <c r="K340" s="14" t="n">
        <v>0</v>
      </c>
      <c r="L340" s="14" t="n">
        <v>1</v>
      </c>
      <c r="M340" s="14" t="n">
        <v>7.964</v>
      </c>
      <c r="N340" s="14" t="n">
        <v>3.43</v>
      </c>
      <c r="O340" s="14" t="n">
        <v>0</v>
      </c>
      <c r="P340" s="14" t="n">
        <v>7.964</v>
      </c>
      <c r="Q340" s="14" t="n">
        <v>0</v>
      </c>
      <c r="R340" s="14" t="n">
        <v>1</v>
      </c>
      <c r="S340" s="14" t="n">
        <v>11.613</v>
      </c>
      <c r="T340" s="14" t="n">
        <v>6.86</v>
      </c>
      <c r="U340" s="14" t="n">
        <v>0</v>
      </c>
      <c r="V340" s="14" t="n">
        <v>13.588</v>
      </c>
      <c r="W340" s="14" t="n">
        <v>0.17</v>
      </c>
      <c r="X340" s="14" t="n">
        <v>1</v>
      </c>
      <c r="Y340" s="14" t="n">
        <v>16.305</v>
      </c>
      <c r="Z340" s="14" t="n">
        <v>2.204</v>
      </c>
      <c r="AA340" s="14" t="n">
        <v>0</v>
      </c>
      <c r="AB340" s="14" t="n">
        <v>16.305</v>
      </c>
      <c r="AC340" s="14" t="n">
        <v>0</v>
      </c>
      <c r="AD340" s="14" t="n">
        <v>1</v>
      </c>
      <c r="AE340" s="14" t="n">
        <v>17.449</v>
      </c>
      <c r="AF340" s="14" t="n">
        <v>4.08</v>
      </c>
      <c r="AG340" s="14" t="n">
        <v>0</v>
      </c>
      <c r="AH340" s="14" t="n">
        <v>17.449</v>
      </c>
      <c r="AI340" s="14" t="n">
        <v>0</v>
      </c>
      <c r="AJ340" s="14" t="n">
        <v>1</v>
      </c>
      <c r="AK340" s="14" t="n">
        <v>24.309</v>
      </c>
      <c r="AL340" s="14" t="n">
        <v>12.947</v>
      </c>
      <c r="AM340" s="14" t="n">
        <v>0</v>
      </c>
      <c r="AN340" s="14" t="n">
        <v>28.441</v>
      </c>
      <c r="AO340" s="14" t="n">
        <v>0.17</v>
      </c>
      <c r="AP340" s="14" t="n">
        <v>1</v>
      </c>
      <c r="AQ340" s="14" t="n">
        <v>0.619</v>
      </c>
      <c r="AR340" s="14" t="n">
        <v>0.114</v>
      </c>
      <c r="AS340" s="14" t="n">
        <v>0.378</v>
      </c>
      <c r="AT340" s="14" t="n">
        <v>1.187</v>
      </c>
      <c r="AU340" s="14" t="n">
        <v>0.19</v>
      </c>
      <c r="AV340" s="14" t="n">
        <v>1</v>
      </c>
      <c r="AW340" s="14" t="n">
        <v>0.599</v>
      </c>
      <c r="AX340" s="14" t="n">
        <v>0.114</v>
      </c>
      <c r="AY340" s="14" t="n">
        <v>0.411</v>
      </c>
      <c r="AZ340" s="14" t="n">
        <v>1.203</v>
      </c>
      <c r="BA340" s="14" t="n">
        <v>0.19</v>
      </c>
      <c r="BB340" s="14" t="n">
        <v>1</v>
      </c>
      <c r="BC340" s="14" t="n">
        <v>0.439</v>
      </c>
      <c r="BD340" s="14" t="n">
        <v>0.114</v>
      </c>
      <c r="BE340" s="14" t="n">
        <v>0</v>
      </c>
      <c r="BF340" s="14" t="n">
        <v>0.514</v>
      </c>
      <c r="BG340" s="14" t="n">
        <v>0.17</v>
      </c>
      <c r="BH340" s="14" t="n">
        <v>1</v>
      </c>
      <c r="BI340" s="14" t="n">
        <v>0.505</v>
      </c>
      <c r="BJ340" s="14" t="n">
        <v>0.114</v>
      </c>
      <c r="BK340" s="14" t="n">
        <v>0.099</v>
      </c>
      <c r="BL340" s="14" t="n">
        <v>0.706</v>
      </c>
      <c r="BM340" s="14" t="n">
        <v>0.17</v>
      </c>
      <c r="BN340" s="14" t="n">
        <v>1</v>
      </c>
      <c r="BO340" s="14" t="n">
        <v>0</v>
      </c>
      <c r="BP340" s="14" t="n">
        <v>0</v>
      </c>
      <c r="BQ340" s="14" t="n">
        <v>0.361</v>
      </c>
      <c r="BR340" s="14" t="n">
        <v>0</v>
      </c>
      <c r="BS340" s="14" t="n">
        <v>1</v>
      </c>
      <c r="BT340" s="14" t="n">
        <v>0</v>
      </c>
      <c r="BU340" s="14" t="n">
        <v>0</v>
      </c>
      <c r="BV340" s="14" t="n">
        <v>0.361</v>
      </c>
      <c r="BW340" s="14" t="n">
        <v>0.17</v>
      </c>
      <c r="BX340" s="14" t="n">
        <v>1</v>
      </c>
      <c r="BY340" s="14" t="n">
        <v>11.787</v>
      </c>
      <c r="BZ340" s="14" t="n">
        <v>0</v>
      </c>
      <c r="CA340" s="14" t="n">
        <v>11.787</v>
      </c>
      <c r="CB340" s="14" t="n">
        <v>0</v>
      </c>
      <c r="CC340" s="14" t="n">
        <v>78.125</v>
      </c>
      <c r="CD340" s="14" t="n">
        <v>7.95</v>
      </c>
      <c r="CE340" s="14" t="n">
        <v>0</v>
      </c>
      <c r="CF340" s="14" t="n">
        <v>91.40600000000001</v>
      </c>
      <c r="CG340" s="14" t="n">
        <v>0.17</v>
      </c>
      <c r="CH340" s="14" t="n">
        <v>1</v>
      </c>
      <c r="CI340" s="14" t="n">
        <v>0</v>
      </c>
      <c r="CJ340" s="14" t="n">
        <v>0</v>
      </c>
      <c r="CK340" s="14" t="n">
        <v>0</v>
      </c>
      <c r="CL340" s="14" t="n">
        <v>0</v>
      </c>
      <c r="CM340" s="14" t="n">
        <v>0</v>
      </c>
      <c r="CN340" s="14" t="n">
        <v>0</v>
      </c>
      <c r="CO340" s="14" t="n">
        <v>0</v>
      </c>
      <c r="CP340" s="14" t="n">
        <v>0</v>
      </c>
      <c r="CQ340" s="14" t="n">
        <v>1.198</v>
      </c>
      <c r="CR340" s="14" t="n">
        <v>0</v>
      </c>
      <c r="CS340" s="14" t="n">
        <v>4.776</v>
      </c>
      <c r="CT340" s="14" t="n">
        <v>4.753</v>
      </c>
      <c r="CU340" s="14" t="n">
        <v>15.162</v>
      </c>
    </row>
    <row r="341">
      <c r="A341" s="14" t="inlineStr">
        <is>
          <t>GNB2022</t>
        </is>
      </c>
      <c r="B341" s="14" t="inlineStr">
        <is>
          <t>GNB</t>
        </is>
      </c>
      <c r="C341" s="14" t="inlineStr">
        <is>
          <t>GNB</t>
        </is>
      </c>
      <c r="D341" s="14" t="inlineStr">
        <is>
          <t>Guinea-Bissau</t>
        </is>
      </c>
      <c r="E341" s="14" t="n">
        <v>2022</v>
      </c>
      <c r="F341" s="14" t="n">
        <v>0.17</v>
      </c>
      <c r="G341" s="14" t="n">
        <v>11.72</v>
      </c>
      <c r="H341" s="14" t="n">
        <v>1.235</v>
      </c>
      <c r="I341" s="14" t="n">
        <v>0</v>
      </c>
      <c r="J341" s="14" t="n">
        <v>11.72</v>
      </c>
      <c r="K341" s="14" t="n">
        <v>0</v>
      </c>
      <c r="L341" s="14" t="n">
        <v>1</v>
      </c>
      <c r="M341" s="14" t="n">
        <v>9.782999999999999</v>
      </c>
      <c r="N341" s="14" t="n">
        <v>3.704</v>
      </c>
      <c r="O341" s="14" t="n">
        <v>0</v>
      </c>
      <c r="P341" s="14" t="n">
        <v>9.782999999999999</v>
      </c>
      <c r="Q341" s="14" t="n">
        <v>0</v>
      </c>
      <c r="R341" s="14" t="n">
        <v>1</v>
      </c>
      <c r="S341" s="14" t="n">
        <v>17.893</v>
      </c>
      <c r="T341" s="14" t="n">
        <v>7.408</v>
      </c>
      <c r="U341" s="14" t="n">
        <v>0.225</v>
      </c>
      <c r="V341" s="14" t="n">
        <v>20.935</v>
      </c>
      <c r="W341" s="14" t="n">
        <v>0.17</v>
      </c>
      <c r="X341" s="14" t="n">
        <v>1</v>
      </c>
      <c r="Y341" s="14" t="n">
        <v>32.56</v>
      </c>
      <c r="Z341" s="14" t="n">
        <v>4.401</v>
      </c>
      <c r="AA341" s="14" t="n">
        <v>0</v>
      </c>
      <c r="AB341" s="14" t="n">
        <v>32.56</v>
      </c>
      <c r="AC341" s="14" t="n">
        <v>0</v>
      </c>
      <c r="AD341" s="14" t="n">
        <v>1</v>
      </c>
      <c r="AE341" s="14" t="n">
        <v>33.795</v>
      </c>
      <c r="AF341" s="14" t="n">
        <v>7.902</v>
      </c>
      <c r="AG341" s="14" t="n">
        <v>0</v>
      </c>
      <c r="AH341" s="14" t="n">
        <v>33.795</v>
      </c>
      <c r="AI341" s="14" t="n">
        <v>0</v>
      </c>
      <c r="AJ341" s="14" t="n">
        <v>1</v>
      </c>
      <c r="AK341" s="14" t="n">
        <v>41.203</v>
      </c>
      <c r="AL341" s="14" t="n">
        <v>21.945</v>
      </c>
      <c r="AM341" s="14" t="n">
        <v>0.518</v>
      </c>
      <c r="AN341" s="14" t="n">
        <v>48.208</v>
      </c>
      <c r="AO341" s="14" t="n">
        <v>0.17</v>
      </c>
      <c r="AP341" s="14" t="n">
        <v>1</v>
      </c>
      <c r="AQ341" s="14" t="n">
        <v>0.861</v>
      </c>
      <c r="AR341" s="14" t="n">
        <v>0.123</v>
      </c>
      <c r="AS341" s="14" t="n">
        <v>0.239</v>
      </c>
      <c r="AT341" s="14" t="n">
        <v>1.291</v>
      </c>
      <c r="AU341" s="14" t="n">
        <v>0.19</v>
      </c>
      <c r="AV341" s="14" t="n">
        <v>1</v>
      </c>
      <c r="AW341" s="14" t="n">
        <v>0.986</v>
      </c>
      <c r="AX341" s="14" t="n">
        <v>0.123</v>
      </c>
      <c r="AY341" s="14" t="n">
        <v>0.146</v>
      </c>
      <c r="AZ341" s="14" t="n">
        <v>1.329</v>
      </c>
      <c r="BA341" s="14" t="n">
        <v>0.19</v>
      </c>
      <c r="BB341" s="14" t="n">
        <v>1</v>
      </c>
      <c r="BC341" s="14" t="n">
        <v>0.598</v>
      </c>
      <c r="BD341" s="14" t="n">
        <v>0.123</v>
      </c>
      <c r="BE341" s="14" t="n">
        <v>0.008</v>
      </c>
      <c r="BF341" s="14" t="n">
        <v>0.699</v>
      </c>
      <c r="BG341" s="14" t="n">
        <v>0.17</v>
      </c>
      <c r="BH341" s="14" t="n">
        <v>1</v>
      </c>
      <c r="BI341" s="14" t="n">
        <v>0.612</v>
      </c>
      <c r="BJ341" s="14" t="n">
        <v>0.123</v>
      </c>
      <c r="BK341" s="14" t="n">
        <v>0.106</v>
      </c>
      <c r="BL341" s="14" t="n">
        <v>0.83</v>
      </c>
      <c r="BM341" s="14" t="n">
        <v>0.17</v>
      </c>
      <c r="BN341" s="14" t="n">
        <v>1</v>
      </c>
      <c r="BO341" s="14" t="n">
        <v>0</v>
      </c>
      <c r="BP341" s="14" t="n">
        <v>0</v>
      </c>
      <c r="BQ341" s="14" t="n">
        <v>0.389</v>
      </c>
      <c r="BR341" s="14" t="n">
        <v>0</v>
      </c>
      <c r="BS341" s="14" t="n">
        <v>1</v>
      </c>
      <c r="BT341" s="14" t="n">
        <v>0</v>
      </c>
      <c r="BU341" s="14" t="n">
        <v>0</v>
      </c>
      <c r="BV341" s="14" t="n">
        <v>0.389</v>
      </c>
      <c r="BW341" s="14" t="n">
        <v>0.17</v>
      </c>
      <c r="BX341" s="14" t="n">
        <v>1</v>
      </c>
      <c r="BY341" s="14" t="n">
        <v>12.729</v>
      </c>
      <c r="BZ341" s="14" t="n">
        <v>0</v>
      </c>
      <c r="CA341" s="14" t="n">
        <v>12.729</v>
      </c>
      <c r="CB341" s="14" t="n">
        <v>0</v>
      </c>
      <c r="CC341" s="14" t="n">
        <v>97.90000000000001</v>
      </c>
      <c r="CD341" s="14" t="n">
        <v>7.95</v>
      </c>
      <c r="CE341" s="14" t="n">
        <v>1.232</v>
      </c>
      <c r="CF341" s="14" t="n">
        <v>114.543</v>
      </c>
      <c r="CG341" s="14" t="n">
        <v>0.17</v>
      </c>
      <c r="CH341" s="14" t="n">
        <v>1</v>
      </c>
      <c r="CI341" s="14" t="n">
        <v>0</v>
      </c>
      <c r="CJ341" s="14" t="n">
        <v>0</v>
      </c>
      <c r="CK341" s="14" t="n">
        <v>0</v>
      </c>
      <c r="CL341" s="14" t="n">
        <v>0</v>
      </c>
      <c r="CM341" s="14" t="n">
        <v>0</v>
      </c>
      <c r="CN341" s="14" t="n">
        <v>0</v>
      </c>
      <c r="CO341" s="14" t="n">
        <v>0</v>
      </c>
      <c r="CP341" s="14" t="n">
        <v>0</v>
      </c>
      <c r="CQ341" s="14" t="n">
        <v>1.294</v>
      </c>
      <c r="CR341" s="14" t="n">
        <v>0</v>
      </c>
      <c r="CS341" s="14" t="n">
        <v>5.158</v>
      </c>
      <c r="CT341" s="14" t="n">
        <v>10.485</v>
      </c>
      <c r="CU341" s="14" t="n">
        <v>31.326</v>
      </c>
    </row>
    <row r="342">
      <c r="A342" s="14" t="inlineStr">
        <is>
          <t>GNB2023</t>
        </is>
      </c>
      <c r="B342" s="14" t="inlineStr">
        <is>
          <t>GNB</t>
        </is>
      </c>
      <c r="C342" s="14" t="inlineStr">
        <is>
          <t>GNB</t>
        </is>
      </c>
      <c r="D342" s="14" t="inlineStr">
        <is>
          <t>Guinea-Bissau</t>
        </is>
      </c>
      <c r="E342" s="14" t="n">
        <v>2023</v>
      </c>
      <c r="F342" s="14" t="n">
        <v>0.17</v>
      </c>
      <c r="G342" s="14" t="n">
        <v>6.147</v>
      </c>
      <c r="H342" s="14" t="n">
        <v>1.286</v>
      </c>
      <c r="I342" s="14" t="n">
        <v>0</v>
      </c>
      <c r="J342" s="14" t="n">
        <v>6.147</v>
      </c>
      <c r="K342" s="14" t="n">
        <v>0</v>
      </c>
      <c r="L342" s="14" t="n">
        <v>1</v>
      </c>
      <c r="M342" s="14" t="n">
        <v>7.886</v>
      </c>
      <c r="N342" s="14" t="n">
        <v>3.857</v>
      </c>
      <c r="O342" s="14" t="n">
        <v>0</v>
      </c>
      <c r="P342" s="14" t="n">
        <v>7.886</v>
      </c>
      <c r="Q342" s="14" t="n">
        <v>0</v>
      </c>
      <c r="R342" s="14" t="n">
        <v>1</v>
      </c>
      <c r="S342" s="14" t="n">
        <v>12.575</v>
      </c>
      <c r="T342" s="14" t="n">
        <v>7.714</v>
      </c>
      <c r="U342" s="14" t="n">
        <v>0.237</v>
      </c>
      <c r="V342" s="14" t="n">
        <v>14.713</v>
      </c>
      <c r="W342" s="14" t="n">
        <v>0.17</v>
      </c>
      <c r="X342" s="14" t="n">
        <v>1</v>
      </c>
      <c r="Y342" s="14" t="n">
        <v>12.908</v>
      </c>
      <c r="Z342" s="14" t="n">
        <v>1.745</v>
      </c>
      <c r="AA342" s="14" t="n">
        <v>0</v>
      </c>
      <c r="AB342" s="14" t="n">
        <v>12.908</v>
      </c>
      <c r="AC342" s="14" t="n">
        <v>0</v>
      </c>
      <c r="AD342" s="14" t="n">
        <v>1</v>
      </c>
      <c r="AE342" s="14" t="n">
        <v>14.194</v>
      </c>
      <c r="AF342" s="14" t="n">
        <v>3.319</v>
      </c>
      <c r="AG342" s="14" t="n">
        <v>0</v>
      </c>
      <c r="AH342" s="14" t="n">
        <v>14.194</v>
      </c>
      <c r="AI342" s="14" t="n">
        <v>0</v>
      </c>
      <c r="AJ342" s="14" t="n">
        <v>1</v>
      </c>
      <c r="AK342" s="14" t="n">
        <v>21.908</v>
      </c>
      <c r="AL342" s="14" t="n">
        <v>11.668</v>
      </c>
      <c r="AM342" s="14" t="n">
        <v>0.412</v>
      </c>
      <c r="AN342" s="14" t="n">
        <v>25.632</v>
      </c>
      <c r="AO342" s="14" t="n">
        <v>0.17</v>
      </c>
      <c r="AP342" s="14" t="n">
        <v>1</v>
      </c>
      <c r="AQ342" s="14" t="n">
        <v>0.76</v>
      </c>
      <c r="AR342" s="14" t="n">
        <v>0.129</v>
      </c>
      <c r="AS342" s="14" t="n">
        <v>0.387</v>
      </c>
      <c r="AT342" s="14" t="n">
        <v>1.337</v>
      </c>
      <c r="AU342" s="14" t="n">
        <v>0.19</v>
      </c>
      <c r="AV342" s="14" t="n">
        <v>1</v>
      </c>
      <c r="AW342" s="14" t="n">
        <v>0.8110000000000001</v>
      </c>
      <c r="AX342" s="14" t="n">
        <v>0.129</v>
      </c>
      <c r="AY342" s="14" t="n">
        <v>0.36</v>
      </c>
      <c r="AZ342" s="14" t="n">
        <v>1.365</v>
      </c>
      <c r="BA342" s="14" t="n">
        <v>0.19</v>
      </c>
      <c r="BB342" s="14" t="n">
        <v>1</v>
      </c>
      <c r="BC342" s="14" t="n">
        <v>0.535</v>
      </c>
      <c r="BD342" s="14" t="n">
        <v>0.129</v>
      </c>
      <c r="BE342" s="14" t="n">
        <v>0.01</v>
      </c>
      <c r="BF342" s="14" t="n">
        <v>0.626</v>
      </c>
      <c r="BG342" s="14" t="n">
        <v>0.17</v>
      </c>
      <c r="BH342" s="14" t="n">
        <v>1</v>
      </c>
      <c r="BI342" s="14" t="n">
        <v>0.579</v>
      </c>
      <c r="BJ342" s="14" t="n">
        <v>0.129</v>
      </c>
      <c r="BK342" s="14" t="n">
        <v>0.122</v>
      </c>
      <c r="BL342" s="14" t="n">
        <v>0.806</v>
      </c>
      <c r="BM342" s="14" t="n">
        <v>0.17</v>
      </c>
      <c r="BN342" s="14" t="n">
        <v>1</v>
      </c>
      <c r="BO342" s="14" t="n">
        <v>0</v>
      </c>
      <c r="BP342" s="14" t="n">
        <v>0</v>
      </c>
      <c r="BQ342" s="14" t="n">
        <v>0.406</v>
      </c>
      <c r="BR342" s="14" t="n">
        <v>0</v>
      </c>
      <c r="BS342" s="14" t="n">
        <v>1</v>
      </c>
      <c r="BT342" s="14" t="n">
        <v>0</v>
      </c>
      <c r="BU342" s="14" t="n">
        <v>0</v>
      </c>
      <c r="BV342" s="14" t="n">
        <v>0.406</v>
      </c>
      <c r="BW342" s="14" t="n">
        <v>0.17</v>
      </c>
      <c r="BX342" s="14" t="n">
        <v>1</v>
      </c>
      <c r="BY342" s="14" t="n">
        <v>13.254</v>
      </c>
      <c r="BZ342" s="14" t="n">
        <v>0</v>
      </c>
      <c r="CA342" s="14" t="n">
        <v>13.254</v>
      </c>
      <c r="CB342" s="14" t="n">
        <v>0</v>
      </c>
      <c r="CC342" s="14" t="n">
        <v>83.248</v>
      </c>
      <c r="CD342" s="14" t="n">
        <v>7.95</v>
      </c>
      <c r="CE342" s="14" t="n">
        <v>1.567</v>
      </c>
      <c r="CF342" s="14" t="n">
        <v>97.40000000000001</v>
      </c>
      <c r="CG342" s="14" t="n">
        <v>0.17</v>
      </c>
      <c r="CH342" s="14" t="n">
        <v>1</v>
      </c>
      <c r="CI342" s="14" t="n">
        <v>0</v>
      </c>
      <c r="CJ342" s="14" t="n">
        <v>0</v>
      </c>
      <c r="CK342" s="14" t="n">
        <v>0</v>
      </c>
      <c r="CL342" s="14" t="n">
        <v>0</v>
      </c>
      <c r="CM342" s="14" t="n">
        <v>0</v>
      </c>
      <c r="CN342" s="14" t="n">
        <v>0</v>
      </c>
      <c r="CO342" s="14" t="n">
        <v>0</v>
      </c>
      <c r="CP342" s="14" t="n">
        <v>0</v>
      </c>
      <c r="CQ342" s="14" t="n">
        <v>1.348</v>
      </c>
      <c r="CR342" s="14" t="n">
        <v>0</v>
      </c>
      <c r="CS342" s="14" t="n">
        <v>5.37</v>
      </c>
      <c r="CT342" s="14" t="n">
        <v>4.861</v>
      </c>
      <c r="CU342" s="14" t="n">
        <v>11.622</v>
      </c>
    </row>
    <row r="343">
      <c r="A343" s="14" t="inlineStr">
        <is>
          <t>GNB2024</t>
        </is>
      </c>
      <c r="B343" s="14" t="inlineStr">
        <is>
          <t>GNB</t>
        </is>
      </c>
      <c r="C343" s="14" t="inlineStr">
        <is>
          <t>GNB</t>
        </is>
      </c>
      <c r="D343" s="14" t="inlineStr">
        <is>
          <t>Guinea-Bissau</t>
        </is>
      </c>
      <c r="E343" s="14" t="n">
        <v>2024</v>
      </c>
      <c r="F343" s="14" t="n">
        <v>0.17</v>
      </c>
      <c r="G343" s="14" t="n">
        <v>5.575</v>
      </c>
      <c r="H343" s="14" t="n">
        <v>1.324</v>
      </c>
      <c r="I343" s="14" t="n">
        <v>0</v>
      </c>
      <c r="J343" s="14" t="n">
        <v>5.575</v>
      </c>
      <c r="K343" s="14" t="n">
        <v>0</v>
      </c>
      <c r="L343" s="14" t="n">
        <v>1</v>
      </c>
      <c r="M343" s="14" t="n">
        <v>7.124</v>
      </c>
      <c r="N343" s="14" t="n">
        <v>3.971</v>
      </c>
      <c r="O343" s="14" t="n">
        <v>0</v>
      </c>
      <c r="P343" s="14" t="n">
        <v>7.124</v>
      </c>
      <c r="Q343" s="14" t="n">
        <v>0</v>
      </c>
      <c r="R343" s="14" t="n">
        <v>1</v>
      </c>
      <c r="S343" s="14" t="n">
        <v>12.193</v>
      </c>
      <c r="T343" s="14" t="n">
        <v>7.942</v>
      </c>
      <c r="U343" s="14" t="n">
        <v>0.282</v>
      </c>
      <c r="V343" s="14" t="n">
        <v>14.266</v>
      </c>
      <c r="W343" s="14" t="n">
        <v>0.17</v>
      </c>
      <c r="X343" s="14" t="n">
        <v>1</v>
      </c>
      <c r="Y343" s="14" t="n">
        <v>11.492</v>
      </c>
      <c r="Z343" s="14" t="n">
        <v>1.553</v>
      </c>
      <c r="AA343" s="14" t="n">
        <v>0</v>
      </c>
      <c r="AB343" s="14" t="n">
        <v>11.492</v>
      </c>
      <c r="AC343" s="14" t="n">
        <v>0</v>
      </c>
      <c r="AD343" s="14" t="n">
        <v>1</v>
      </c>
      <c r="AE343" s="14" t="n">
        <v>12.815</v>
      </c>
      <c r="AF343" s="14" t="n">
        <v>2.997</v>
      </c>
      <c r="AG343" s="14" t="n">
        <v>0</v>
      </c>
      <c r="AH343" s="14" t="n">
        <v>12.815</v>
      </c>
      <c r="AI343" s="14" t="n">
        <v>0</v>
      </c>
      <c r="AJ343" s="14" t="n">
        <v>1</v>
      </c>
      <c r="AK343" s="14" t="n">
        <v>20.757</v>
      </c>
      <c r="AL343" s="14" t="n">
        <v>11.055</v>
      </c>
      <c r="AM343" s="14" t="n">
        <v>0.481</v>
      </c>
      <c r="AN343" s="14" t="n">
        <v>24.286</v>
      </c>
      <c r="AO343" s="14" t="n">
        <v>0.17</v>
      </c>
      <c r="AP343" s="14" t="n">
        <v>1</v>
      </c>
      <c r="AQ343" s="14" t="n">
        <v>0.724</v>
      </c>
      <c r="AR343" s="14" t="n">
        <v>0.132</v>
      </c>
      <c r="AS343" s="14" t="n">
        <v>0.46</v>
      </c>
      <c r="AT343" s="14" t="n">
        <v>1.374</v>
      </c>
      <c r="AU343" s="14" t="n">
        <v>0.19</v>
      </c>
      <c r="AV343" s="14" t="n">
        <v>1</v>
      </c>
      <c r="AW343" s="14" t="n">
        <v>0.75</v>
      </c>
      <c r="AX343" s="14" t="n">
        <v>0.132</v>
      </c>
      <c r="AY343" s="14" t="n">
        <v>0.455</v>
      </c>
      <c r="AZ343" s="14" t="n">
        <v>1.397</v>
      </c>
      <c r="BA343" s="14" t="n">
        <v>0.19</v>
      </c>
      <c r="BB343" s="14" t="n">
        <v>1</v>
      </c>
      <c r="BC343" s="14" t="n">
        <v>0.513</v>
      </c>
      <c r="BD343" s="14" t="n">
        <v>0.132</v>
      </c>
      <c r="BE343" s="14" t="n">
        <v>0.012</v>
      </c>
      <c r="BF343" s="14" t="n">
        <v>0.6</v>
      </c>
      <c r="BG343" s="14" t="n">
        <v>0.17</v>
      </c>
      <c r="BH343" s="14" t="n">
        <v>1</v>
      </c>
      <c r="BI343" s="14" t="n">
        <v>0.591</v>
      </c>
      <c r="BJ343" s="14" t="n">
        <v>0.132</v>
      </c>
      <c r="BK343" s="14" t="n">
        <v>0.13</v>
      </c>
      <c r="BL343" s="14" t="n">
        <v>0.824</v>
      </c>
      <c r="BM343" s="14" t="n">
        <v>0.17</v>
      </c>
      <c r="BN343" s="14" t="n">
        <v>1</v>
      </c>
      <c r="BO343" s="14" t="n">
        <v>0</v>
      </c>
      <c r="BP343" s="14" t="n">
        <v>0</v>
      </c>
      <c r="BQ343" s="14" t="n">
        <v>0.418</v>
      </c>
      <c r="BR343" s="14" t="n">
        <v>0</v>
      </c>
      <c r="BS343" s="14" t="n">
        <v>1</v>
      </c>
      <c r="BT343" s="14" t="n">
        <v>0</v>
      </c>
      <c r="BU343" s="14" t="n">
        <v>0</v>
      </c>
      <c r="BV343" s="14" t="n">
        <v>0.418</v>
      </c>
      <c r="BW343" s="14" t="n">
        <v>0.17</v>
      </c>
      <c r="BX343" s="14" t="n">
        <v>1</v>
      </c>
      <c r="BY343" s="14" t="n">
        <v>13.646</v>
      </c>
      <c r="BZ343" s="14" t="n">
        <v>0</v>
      </c>
      <c r="CA343" s="14" t="n">
        <v>13.646</v>
      </c>
      <c r="CB343" s="14" t="n">
        <v>0</v>
      </c>
      <c r="CC343" s="14" t="n">
        <v>82.58799999999999</v>
      </c>
      <c r="CD343" s="14" t="n">
        <v>7.95</v>
      </c>
      <c r="CE343" s="14" t="n">
        <v>1.912</v>
      </c>
      <c r="CF343" s="14" t="n">
        <v>96.628</v>
      </c>
      <c r="CG343" s="14" t="n">
        <v>0.17</v>
      </c>
      <c r="CH343" s="14" t="n">
        <v>1</v>
      </c>
      <c r="CI343" s="14" t="n">
        <v>0</v>
      </c>
      <c r="CJ343" s="14" t="n">
        <v>0</v>
      </c>
      <c r="CK343" s="14" t="n">
        <v>0</v>
      </c>
      <c r="CL343" s="14" t="n">
        <v>0</v>
      </c>
      <c r="CM343" s="14" t="n">
        <v>0</v>
      </c>
      <c r="CN343" s="14" t="n">
        <v>0</v>
      </c>
      <c r="CO343" s="14" t="n">
        <v>0</v>
      </c>
      <c r="CP343" s="14" t="n">
        <v>0</v>
      </c>
      <c r="CQ343" s="14" t="n">
        <v>1.387</v>
      </c>
      <c r="CR343" s="14" t="n">
        <v>0</v>
      </c>
      <c r="CS343" s="14" t="n">
        <v>5.529</v>
      </c>
      <c r="CT343" s="14" t="n">
        <v>4.251</v>
      </c>
      <c r="CU343" s="14" t="n">
        <v>10.168</v>
      </c>
    </row>
    <row r="344">
      <c r="A344" s="14" t="inlineStr">
        <is>
          <t>GUY2021</t>
        </is>
      </c>
      <c r="B344" s="14" t="inlineStr">
        <is>
          <t>GUY</t>
        </is>
      </c>
      <c r="C344" s="14" t="inlineStr">
        <is>
          <t>GUY</t>
        </is>
      </c>
      <c r="D344" s="14" t="inlineStr">
        <is>
          <t>Guyana</t>
        </is>
      </c>
      <c r="E344" s="14" t="n">
        <v>2021</v>
      </c>
      <c r="F344" s="14" t="n">
        <v>0.16</v>
      </c>
      <c r="G344" s="14" t="n">
        <v>5.897</v>
      </c>
      <c r="H344" s="14" t="n">
        <v>1.143</v>
      </c>
      <c r="I344" s="14" t="n">
        <v>0</v>
      </c>
      <c r="J344" s="14" t="n">
        <v>5.897</v>
      </c>
      <c r="K344" s="14" t="n">
        <v>0</v>
      </c>
      <c r="L344" s="14" t="n">
        <v>1</v>
      </c>
      <c r="M344" s="14" t="n">
        <v>7.964</v>
      </c>
      <c r="N344" s="14" t="n">
        <v>3.43</v>
      </c>
      <c r="O344" s="14" t="n">
        <v>0</v>
      </c>
      <c r="P344" s="14" t="n">
        <v>7.964</v>
      </c>
      <c r="Q344" s="14" t="n">
        <v>0</v>
      </c>
      <c r="R344" s="14" t="n">
        <v>1</v>
      </c>
      <c r="S344" s="14" t="n">
        <v>11.613</v>
      </c>
      <c r="T344" s="14" t="n">
        <v>6.86</v>
      </c>
      <c r="U344" s="14" t="n">
        <v>0</v>
      </c>
      <c r="V344" s="14" t="n">
        <v>13.471</v>
      </c>
      <c r="W344" s="14" t="n">
        <v>0.16</v>
      </c>
      <c r="X344" s="14" t="n">
        <v>1</v>
      </c>
      <c r="Y344" s="14" t="n">
        <v>14.024</v>
      </c>
      <c r="Z344" s="14" t="n">
        <v>1.883</v>
      </c>
      <c r="AA344" s="14" t="n">
        <v>0</v>
      </c>
      <c r="AB344" s="14" t="n">
        <v>14.024</v>
      </c>
      <c r="AC344" s="14" t="n">
        <v>0</v>
      </c>
      <c r="AD344" s="14" t="n">
        <v>1</v>
      </c>
      <c r="AE344" s="14" t="n">
        <v>15.167</v>
      </c>
      <c r="AF344" s="14" t="n">
        <v>3.546</v>
      </c>
      <c r="AG344" s="14" t="n">
        <v>0</v>
      </c>
      <c r="AH344" s="14" t="n">
        <v>15.167</v>
      </c>
      <c r="AI344" s="14" t="n">
        <v>0</v>
      </c>
      <c r="AJ344" s="14" t="n">
        <v>1</v>
      </c>
      <c r="AK344" s="14" t="n">
        <v>22.027</v>
      </c>
      <c r="AL344" s="14" t="n">
        <v>11.827</v>
      </c>
      <c r="AM344" s="14" t="n">
        <v>0</v>
      </c>
      <c r="AN344" s="14" t="n">
        <v>25.551</v>
      </c>
      <c r="AO344" s="14" t="n">
        <v>0.16</v>
      </c>
      <c r="AP344" s="14" t="n">
        <v>1</v>
      </c>
      <c r="AQ344" s="14" t="n">
        <v>0.64</v>
      </c>
      <c r="AR344" s="14" t="n">
        <v>0.117</v>
      </c>
      <c r="AS344" s="14" t="n">
        <v>0.121</v>
      </c>
      <c r="AT344" s="14" t="n">
        <v>0.883</v>
      </c>
      <c r="AU344" s="14" t="n">
        <v>0.16</v>
      </c>
      <c r="AV344" s="14" t="n">
        <v>1</v>
      </c>
      <c r="AW344" s="14" t="n">
        <v>0.44</v>
      </c>
      <c r="AX344" s="14" t="n">
        <v>0.08500000000000001</v>
      </c>
      <c r="AY344" s="14" t="n">
        <v>0.283</v>
      </c>
      <c r="AZ344" s="14" t="n">
        <v>0.838</v>
      </c>
      <c r="BA344" s="14" t="n">
        <v>0.16</v>
      </c>
      <c r="BB344" s="14" t="n">
        <v>1</v>
      </c>
      <c r="BC344" s="14" t="n">
        <v>0.458</v>
      </c>
      <c r="BD344" s="14" t="n">
        <v>0.114</v>
      </c>
      <c r="BE344" s="14" t="n">
        <v>0</v>
      </c>
      <c r="BF344" s="14" t="n">
        <v>0.531</v>
      </c>
      <c r="BG344" s="14" t="n">
        <v>0.16</v>
      </c>
      <c r="BH344" s="14" t="n">
        <v>1</v>
      </c>
      <c r="BI344" s="14" t="n">
        <v>0.491</v>
      </c>
      <c r="BJ344" s="14" t="n">
        <v>0.114</v>
      </c>
      <c r="BK344" s="14" t="n">
        <v>0.003</v>
      </c>
      <c r="BL344" s="14" t="n">
        <v>0.573</v>
      </c>
      <c r="BM344" s="14" t="n">
        <v>0.16</v>
      </c>
      <c r="BN344" s="14" t="n">
        <v>1</v>
      </c>
      <c r="BO344" s="14" t="n">
        <v>0</v>
      </c>
      <c r="BP344" s="14" t="n">
        <v>0</v>
      </c>
      <c r="BQ344" s="14" t="n">
        <v>0.257</v>
      </c>
      <c r="BR344" s="14" t="n">
        <v>0</v>
      </c>
      <c r="BS344" s="14" t="n">
        <v>0.833</v>
      </c>
      <c r="BT344" s="14" t="n">
        <v>0</v>
      </c>
      <c r="BU344" s="14" t="n">
        <v>0</v>
      </c>
      <c r="BV344" s="14" t="n">
        <v>0.309</v>
      </c>
      <c r="BW344" s="14" t="n">
        <v>0</v>
      </c>
      <c r="BX344" s="14" t="n">
        <v>1</v>
      </c>
      <c r="BY344" s="14" t="n">
        <v>11.787</v>
      </c>
      <c r="BZ344" s="14" t="n">
        <v>0</v>
      </c>
      <c r="CA344" s="14" t="n">
        <v>11.787</v>
      </c>
      <c r="CB344" s="14" t="n">
        <v>0</v>
      </c>
      <c r="CC344" s="14" t="n">
        <v>78.125</v>
      </c>
      <c r="CD344" s="14" t="n">
        <v>7.95</v>
      </c>
      <c r="CE344" s="14" t="n">
        <v>40.179</v>
      </c>
      <c r="CF344" s="14" t="n">
        <v>137.232</v>
      </c>
      <c r="CG344" s="14" t="n">
        <v>0.16</v>
      </c>
      <c r="CH344" s="14" t="n">
        <v>1</v>
      </c>
      <c r="CI344" s="14" t="n">
        <v>0</v>
      </c>
      <c r="CJ344" s="14" t="n">
        <v>0</v>
      </c>
      <c r="CK344" s="14" t="n">
        <v>0</v>
      </c>
      <c r="CL344" s="14" t="n">
        <v>0</v>
      </c>
      <c r="CM344" s="14" t="n">
        <v>0</v>
      </c>
      <c r="CN344" s="14" t="n">
        <v>0</v>
      </c>
      <c r="CO344" s="14" t="n">
        <v>0</v>
      </c>
      <c r="CP344" s="14" t="n">
        <v>0</v>
      </c>
      <c r="CQ344" s="14" t="n">
        <v>1.198</v>
      </c>
      <c r="CR344" s="14" t="n">
        <v>0</v>
      </c>
      <c r="CS344" s="14" t="n">
        <v>3.568</v>
      </c>
      <c r="CT344" s="14" t="n">
        <v>4.753</v>
      </c>
      <c r="CU344" s="14" t="n">
        <v>15.983</v>
      </c>
    </row>
    <row r="345">
      <c r="A345" s="14" t="inlineStr">
        <is>
          <t>GUY2022</t>
        </is>
      </c>
      <c r="B345" s="14" t="inlineStr">
        <is>
          <t>GUY</t>
        </is>
      </c>
      <c r="C345" s="14" t="inlineStr">
        <is>
          <t>GUY</t>
        </is>
      </c>
      <c r="D345" s="14" t="inlineStr">
        <is>
          <t>Guyana</t>
        </is>
      </c>
      <c r="E345" s="14" t="n">
        <v>2022</v>
      </c>
      <c r="F345" s="14" t="n">
        <v>0.16</v>
      </c>
      <c r="G345" s="14" t="n">
        <v>11.72</v>
      </c>
      <c r="H345" s="14" t="n">
        <v>1.235</v>
      </c>
      <c r="I345" s="14" t="n">
        <v>0</v>
      </c>
      <c r="J345" s="14" t="n">
        <v>11.72</v>
      </c>
      <c r="K345" s="14" t="n">
        <v>0</v>
      </c>
      <c r="L345" s="14" t="n">
        <v>1</v>
      </c>
      <c r="M345" s="14" t="n">
        <v>9.782999999999999</v>
      </c>
      <c r="N345" s="14" t="n">
        <v>3.704</v>
      </c>
      <c r="O345" s="14" t="n">
        <v>0</v>
      </c>
      <c r="P345" s="14" t="n">
        <v>9.782999999999999</v>
      </c>
      <c r="Q345" s="14" t="n">
        <v>0</v>
      </c>
      <c r="R345" s="14" t="n">
        <v>1</v>
      </c>
      <c r="S345" s="14" t="n">
        <v>17.893</v>
      </c>
      <c r="T345" s="14" t="n">
        <v>7.408</v>
      </c>
      <c r="U345" s="14" t="n">
        <v>0.212</v>
      </c>
      <c r="V345" s="14" t="n">
        <v>20.756</v>
      </c>
      <c r="W345" s="14" t="n">
        <v>0.16</v>
      </c>
      <c r="X345" s="14" t="n">
        <v>1</v>
      </c>
      <c r="Y345" s="14" t="n">
        <v>24.111</v>
      </c>
      <c r="Z345" s="14" t="n">
        <v>3.237</v>
      </c>
      <c r="AA345" s="14" t="n">
        <v>0</v>
      </c>
      <c r="AB345" s="14" t="n">
        <v>24.111</v>
      </c>
      <c r="AC345" s="14" t="n">
        <v>0</v>
      </c>
      <c r="AD345" s="14" t="n">
        <v>1</v>
      </c>
      <c r="AE345" s="14" t="n">
        <v>25.339</v>
      </c>
      <c r="AF345" s="14" t="n">
        <v>5.925</v>
      </c>
      <c r="AG345" s="14" t="n">
        <v>0</v>
      </c>
      <c r="AH345" s="14" t="n">
        <v>25.339</v>
      </c>
      <c r="AI345" s="14" t="n">
        <v>0</v>
      </c>
      <c r="AJ345" s="14" t="n">
        <v>1</v>
      </c>
      <c r="AK345" s="14" t="n">
        <v>32.709</v>
      </c>
      <c r="AL345" s="14" t="n">
        <v>17.562</v>
      </c>
      <c r="AM345" s="14" t="n">
        <v>0.387</v>
      </c>
      <c r="AN345" s="14" t="n">
        <v>37.942</v>
      </c>
      <c r="AO345" s="14" t="n">
        <v>0.16</v>
      </c>
      <c r="AP345" s="14" t="n">
        <v>1</v>
      </c>
      <c r="AQ345" s="14" t="n">
        <v>0.6860000000000001</v>
      </c>
      <c r="AR345" s="14" t="n">
        <v>0.098</v>
      </c>
      <c r="AS345" s="14" t="n">
        <v>0.231</v>
      </c>
      <c r="AT345" s="14" t="n">
        <v>1.064</v>
      </c>
      <c r="AU345" s="14" t="n">
        <v>0.16</v>
      </c>
      <c r="AV345" s="14" t="n">
        <v>1</v>
      </c>
      <c r="AW345" s="14" t="n">
        <v>0.453</v>
      </c>
      <c r="AX345" s="14" t="n">
        <v>0.059</v>
      </c>
      <c r="AY345" s="14" t="n">
        <v>0.537</v>
      </c>
      <c r="AZ345" s="14" t="n">
        <v>1.148</v>
      </c>
      <c r="BA345" s="14" t="n">
        <v>0.16</v>
      </c>
      <c r="BB345" s="14" t="n">
        <v>1</v>
      </c>
      <c r="BC345" s="14" t="n">
        <v>0.62</v>
      </c>
      <c r="BD345" s="14" t="n">
        <v>0.123</v>
      </c>
      <c r="BE345" s="14" t="n">
        <v>0.007</v>
      </c>
      <c r="BF345" s="14" t="n">
        <v>0.72</v>
      </c>
      <c r="BG345" s="14" t="n">
        <v>0.16</v>
      </c>
      <c r="BH345" s="14" t="n">
        <v>1</v>
      </c>
      <c r="BI345" s="14" t="n">
        <v>0.608</v>
      </c>
      <c r="BJ345" s="14" t="n">
        <v>0.123</v>
      </c>
      <c r="BK345" s="14" t="n">
        <v>0.284</v>
      </c>
      <c r="BL345" s="14" t="n">
        <v>1.035</v>
      </c>
      <c r="BM345" s="14" t="n">
        <v>0.16</v>
      </c>
      <c r="BN345" s="14" t="n">
        <v>1</v>
      </c>
      <c r="BO345" s="14" t="n">
        <v>0</v>
      </c>
      <c r="BP345" s="14" t="n">
        <v>0</v>
      </c>
      <c r="BQ345" s="14" t="n">
        <v>0.277</v>
      </c>
      <c r="BR345" s="14" t="n">
        <v>0</v>
      </c>
      <c r="BS345" s="14" t="n">
        <v>0.833</v>
      </c>
      <c r="BT345" s="14" t="n">
        <v>0</v>
      </c>
      <c r="BU345" s="14" t="n">
        <v>0</v>
      </c>
      <c r="BV345" s="14" t="n">
        <v>0.333</v>
      </c>
      <c r="BW345" s="14" t="n">
        <v>0</v>
      </c>
      <c r="BX345" s="14" t="n">
        <v>1</v>
      </c>
      <c r="BY345" s="14" t="n">
        <v>12.729</v>
      </c>
      <c r="BZ345" s="14" t="n">
        <v>0</v>
      </c>
      <c r="CA345" s="14" t="n">
        <v>12.729</v>
      </c>
      <c r="CB345" s="14" t="n">
        <v>0</v>
      </c>
      <c r="CC345" s="14" t="n">
        <v>97.90000000000001</v>
      </c>
      <c r="CD345" s="14" t="n">
        <v>7.95</v>
      </c>
      <c r="CE345" s="14" t="n">
        <v>43.175</v>
      </c>
      <c r="CF345" s="14" t="n">
        <v>161.731</v>
      </c>
      <c r="CG345" s="14" t="n">
        <v>0.16</v>
      </c>
      <c r="CH345" s="14" t="n">
        <v>1</v>
      </c>
      <c r="CI345" s="14" t="n">
        <v>0</v>
      </c>
      <c r="CJ345" s="14" t="n">
        <v>0</v>
      </c>
      <c r="CK345" s="14" t="n">
        <v>0</v>
      </c>
      <c r="CL345" s="14" t="n">
        <v>0</v>
      </c>
      <c r="CM345" s="14" t="n">
        <v>0</v>
      </c>
      <c r="CN345" s="14" t="n">
        <v>0</v>
      </c>
      <c r="CO345" s="14" t="n">
        <v>0</v>
      </c>
      <c r="CP345" s="14" t="n">
        <v>0</v>
      </c>
      <c r="CQ345" s="14" t="n">
        <v>1.294</v>
      </c>
      <c r="CR345" s="14" t="n">
        <v>0.011</v>
      </c>
      <c r="CS345" s="14" t="n">
        <v>3.854</v>
      </c>
      <c r="CT345" s="14" t="n">
        <v>10.485</v>
      </c>
      <c r="CU345" s="14" t="n">
        <v>29.494</v>
      </c>
    </row>
    <row r="346">
      <c r="A346" s="14" t="inlineStr">
        <is>
          <t>GUY2023</t>
        </is>
      </c>
      <c r="B346" s="14" t="inlineStr">
        <is>
          <t>GUY</t>
        </is>
      </c>
      <c r="C346" s="14" t="inlineStr">
        <is>
          <t>GUY</t>
        </is>
      </c>
      <c r="D346" s="14" t="inlineStr">
        <is>
          <t>Guyana</t>
        </is>
      </c>
      <c r="E346" s="14" t="n">
        <v>2023</v>
      </c>
      <c r="F346" s="14" t="n">
        <v>0.16</v>
      </c>
      <c r="G346" s="14" t="n">
        <v>6.147</v>
      </c>
      <c r="H346" s="14" t="n">
        <v>1.286</v>
      </c>
      <c r="I346" s="14" t="n">
        <v>0</v>
      </c>
      <c r="J346" s="14" t="n">
        <v>6.147</v>
      </c>
      <c r="K346" s="14" t="n">
        <v>0</v>
      </c>
      <c r="L346" s="14" t="n">
        <v>1</v>
      </c>
      <c r="M346" s="14" t="n">
        <v>7.886</v>
      </c>
      <c r="N346" s="14" t="n">
        <v>3.857</v>
      </c>
      <c r="O346" s="14" t="n">
        <v>0</v>
      </c>
      <c r="P346" s="14" t="n">
        <v>7.886</v>
      </c>
      <c r="Q346" s="14" t="n">
        <v>0</v>
      </c>
      <c r="R346" s="14" t="n">
        <v>1</v>
      </c>
      <c r="S346" s="14" t="n">
        <v>12.575</v>
      </c>
      <c r="T346" s="14" t="n">
        <v>7.714</v>
      </c>
      <c r="U346" s="14" t="n">
        <v>0.223</v>
      </c>
      <c r="V346" s="14" t="n">
        <v>14.587</v>
      </c>
      <c r="W346" s="14" t="n">
        <v>0.16</v>
      </c>
      <c r="X346" s="14" t="n">
        <v>1</v>
      </c>
      <c r="Y346" s="14" t="n">
        <v>10.683</v>
      </c>
      <c r="Z346" s="14" t="n">
        <v>1.434</v>
      </c>
      <c r="AA346" s="14" t="n">
        <v>0</v>
      </c>
      <c r="AB346" s="14" t="n">
        <v>10.683</v>
      </c>
      <c r="AC346" s="14" t="n">
        <v>0</v>
      </c>
      <c r="AD346" s="14" t="n">
        <v>1</v>
      </c>
      <c r="AE346" s="14" t="n">
        <v>11.969</v>
      </c>
      <c r="AF346" s="14" t="n">
        <v>2.799</v>
      </c>
      <c r="AG346" s="14" t="n">
        <v>0</v>
      </c>
      <c r="AH346" s="14" t="n">
        <v>11.969</v>
      </c>
      <c r="AI346" s="14" t="n">
        <v>0</v>
      </c>
      <c r="AJ346" s="14" t="n">
        <v>1</v>
      </c>
      <c r="AK346" s="14" t="n">
        <v>19.683</v>
      </c>
      <c r="AL346" s="14" t="n">
        <v>10.568</v>
      </c>
      <c r="AM346" s="14" t="n">
        <v>0.349</v>
      </c>
      <c r="AN346" s="14" t="n">
        <v>22.832</v>
      </c>
      <c r="AO346" s="14" t="n">
        <v>0.16</v>
      </c>
      <c r="AP346" s="14" t="n">
        <v>1</v>
      </c>
      <c r="AQ346" s="14" t="n">
        <v>0.726</v>
      </c>
      <c r="AR346" s="14" t="n">
        <v>0.122</v>
      </c>
      <c r="AS346" s="14" t="n">
        <v>0.126</v>
      </c>
      <c r="AT346" s="14" t="n">
        <v>0.989</v>
      </c>
      <c r="AU346" s="14" t="n">
        <v>0.16</v>
      </c>
      <c r="AV346" s="14" t="n">
        <v>1</v>
      </c>
      <c r="AW346" s="14" t="n">
        <v>0.947</v>
      </c>
      <c r="AX346" s="14" t="n">
        <v>0.162</v>
      </c>
      <c r="AY346" s="14" t="n">
        <v>0.08699999999999999</v>
      </c>
      <c r="AZ346" s="14" t="n">
        <v>1.2</v>
      </c>
      <c r="BA346" s="14" t="n">
        <v>0.16</v>
      </c>
      <c r="BB346" s="14" t="n">
        <v>1</v>
      </c>
      <c r="BC346" s="14" t="n">
        <v>0.554</v>
      </c>
      <c r="BD346" s="14" t="n">
        <v>0.129</v>
      </c>
      <c r="BE346" s="14" t="n">
        <v>0.01</v>
      </c>
      <c r="BF346" s="14" t="n">
        <v>0.643</v>
      </c>
      <c r="BG346" s="14" t="n">
        <v>0.16</v>
      </c>
      <c r="BH346" s="14" t="n">
        <v>1</v>
      </c>
      <c r="BI346" s="14" t="n">
        <v>0.5570000000000001</v>
      </c>
      <c r="BJ346" s="14" t="n">
        <v>0.129</v>
      </c>
      <c r="BK346" s="14" t="n">
        <v>0.414</v>
      </c>
      <c r="BL346" s="14" t="n">
        <v>1.127</v>
      </c>
      <c r="BM346" s="14" t="n">
        <v>0.16</v>
      </c>
      <c r="BN346" s="14" t="n">
        <v>1</v>
      </c>
      <c r="BO346" s="14" t="n">
        <v>0</v>
      </c>
      <c r="BP346" s="14" t="n">
        <v>0</v>
      </c>
      <c r="BQ346" s="14" t="n">
        <v>0.288</v>
      </c>
      <c r="BR346" s="14" t="n">
        <v>0</v>
      </c>
      <c r="BS346" s="14" t="n">
        <v>0.833</v>
      </c>
      <c r="BT346" s="14" t="n">
        <v>0</v>
      </c>
      <c r="BU346" s="14" t="n">
        <v>0</v>
      </c>
      <c r="BV346" s="14" t="n">
        <v>0.347</v>
      </c>
      <c r="BW346" s="14" t="n">
        <v>0</v>
      </c>
      <c r="BX346" s="14" t="n">
        <v>1</v>
      </c>
      <c r="BY346" s="14" t="n">
        <v>13.254</v>
      </c>
      <c r="BZ346" s="14" t="n">
        <v>0</v>
      </c>
      <c r="CA346" s="14" t="n">
        <v>13.254</v>
      </c>
      <c r="CB346" s="14" t="n">
        <v>0</v>
      </c>
      <c r="CC346" s="14" t="n">
        <v>83.248</v>
      </c>
      <c r="CD346" s="14" t="n">
        <v>7.95</v>
      </c>
      <c r="CE346" s="14" t="n">
        <v>48.102</v>
      </c>
      <c r="CF346" s="14" t="n">
        <v>149.714</v>
      </c>
      <c r="CG346" s="14" t="n">
        <v>0.16</v>
      </c>
      <c r="CH346" s="14" t="n">
        <v>1</v>
      </c>
      <c r="CI346" s="14" t="n">
        <v>0</v>
      </c>
      <c r="CJ346" s="14" t="n">
        <v>0</v>
      </c>
      <c r="CK346" s="14" t="n">
        <v>0</v>
      </c>
      <c r="CL346" s="14" t="n">
        <v>0</v>
      </c>
      <c r="CM346" s="14" t="n">
        <v>0</v>
      </c>
      <c r="CN346" s="14" t="n">
        <v>0</v>
      </c>
      <c r="CO346" s="14" t="n">
        <v>0</v>
      </c>
      <c r="CP346" s="14" t="n">
        <v>0</v>
      </c>
      <c r="CQ346" s="14" t="n">
        <v>1.348</v>
      </c>
      <c r="CR346" s="14" t="n">
        <v>0</v>
      </c>
      <c r="CS346" s="14" t="n">
        <v>4.013</v>
      </c>
      <c r="CT346" s="14" t="n">
        <v>4.861</v>
      </c>
      <c r="CU346" s="14" t="n">
        <v>11.192</v>
      </c>
    </row>
    <row r="347">
      <c r="A347" s="14" t="inlineStr">
        <is>
          <t>GUY2024</t>
        </is>
      </c>
      <c r="B347" s="14" t="inlineStr">
        <is>
          <t>GUY</t>
        </is>
      </c>
      <c r="C347" s="14" t="inlineStr">
        <is>
          <t>GUY</t>
        </is>
      </c>
      <c r="D347" s="14" t="inlineStr">
        <is>
          <t>Guyana</t>
        </is>
      </c>
      <c r="E347" s="14" t="n">
        <v>2024</v>
      </c>
      <c r="F347" s="14" t="n">
        <v>0.16</v>
      </c>
      <c r="G347" s="14" t="n">
        <v>5.575</v>
      </c>
      <c r="H347" s="14" t="n">
        <v>1.324</v>
      </c>
      <c r="I347" s="14" t="n">
        <v>0</v>
      </c>
      <c r="J347" s="14" t="n">
        <v>5.575</v>
      </c>
      <c r="K347" s="14" t="n">
        <v>0</v>
      </c>
      <c r="L347" s="14" t="n">
        <v>1</v>
      </c>
      <c r="M347" s="14" t="n">
        <v>7.124</v>
      </c>
      <c r="N347" s="14" t="n">
        <v>3.971</v>
      </c>
      <c r="O347" s="14" t="n">
        <v>0</v>
      </c>
      <c r="P347" s="14" t="n">
        <v>7.124</v>
      </c>
      <c r="Q347" s="14" t="n">
        <v>0</v>
      </c>
      <c r="R347" s="14" t="n">
        <v>1</v>
      </c>
      <c r="S347" s="14" t="n">
        <v>12.193</v>
      </c>
      <c r="T347" s="14" t="n">
        <v>7.942</v>
      </c>
      <c r="U347" s="14" t="n">
        <v>0.266</v>
      </c>
      <c r="V347" s="14" t="n">
        <v>14.144</v>
      </c>
      <c r="W347" s="14" t="n">
        <v>0.16</v>
      </c>
      <c r="X347" s="14" t="n">
        <v>1</v>
      </c>
      <c r="Y347" s="14" t="n">
        <v>11.344</v>
      </c>
      <c r="Z347" s="14" t="n">
        <v>1.523</v>
      </c>
      <c r="AA347" s="14" t="n">
        <v>0</v>
      </c>
      <c r="AB347" s="14" t="n">
        <v>11.344</v>
      </c>
      <c r="AC347" s="14" t="n">
        <v>0</v>
      </c>
      <c r="AD347" s="14" t="n">
        <v>1</v>
      </c>
      <c r="AE347" s="14" t="n">
        <v>12.667</v>
      </c>
      <c r="AF347" s="14" t="n">
        <v>2.962</v>
      </c>
      <c r="AG347" s="14" t="n">
        <v>0</v>
      </c>
      <c r="AH347" s="14" t="n">
        <v>12.667</v>
      </c>
      <c r="AI347" s="14" t="n">
        <v>0</v>
      </c>
      <c r="AJ347" s="14" t="n">
        <v>1</v>
      </c>
      <c r="AK347" s="14" t="n">
        <v>20.609</v>
      </c>
      <c r="AL347" s="14" t="n">
        <v>11.066</v>
      </c>
      <c r="AM347" s="14" t="n">
        <v>0.449</v>
      </c>
      <c r="AN347" s="14" t="n">
        <v>23.907</v>
      </c>
      <c r="AO347" s="14" t="n">
        <v>0.16</v>
      </c>
      <c r="AP347" s="14" t="n">
        <v>1</v>
      </c>
      <c r="AQ347" s="14" t="n">
        <v>0.827</v>
      </c>
      <c r="AR347" s="14" t="n">
        <v>0.15</v>
      </c>
      <c r="AS347" s="14" t="n">
        <v>0.025</v>
      </c>
      <c r="AT347" s="14" t="n">
        <v>0.989</v>
      </c>
      <c r="AU347" s="14" t="n">
        <v>0.16</v>
      </c>
      <c r="AV347" s="14" t="n">
        <v>1</v>
      </c>
      <c r="AW347" s="14" t="n">
        <v>1.04</v>
      </c>
      <c r="AX347" s="14" t="n">
        <v>0.191</v>
      </c>
      <c r="AY347" s="14" t="n">
        <v>-0.007</v>
      </c>
      <c r="AZ347" s="14" t="n">
        <v>1.199</v>
      </c>
      <c r="BA347" s="14" t="n">
        <v>0.16</v>
      </c>
      <c r="BB347" s="14" t="n">
        <v>1</v>
      </c>
      <c r="BC347" s="14" t="n">
        <v>0.534</v>
      </c>
      <c r="BD347" s="14" t="n">
        <v>0.132</v>
      </c>
      <c r="BE347" s="14" t="n">
        <v>0.012</v>
      </c>
      <c r="BF347" s="14" t="n">
        <v>0.619</v>
      </c>
      <c r="BG347" s="14" t="n">
        <v>0.16</v>
      </c>
      <c r="BH347" s="14" t="n">
        <v>1</v>
      </c>
      <c r="BI347" s="14" t="n">
        <v>0.5679999999999999</v>
      </c>
      <c r="BJ347" s="14" t="n">
        <v>0.132</v>
      </c>
      <c r="BK347" s="14" t="n">
        <v>0.404</v>
      </c>
      <c r="BL347" s="14" t="n">
        <v>1.127</v>
      </c>
      <c r="BM347" s="14" t="n">
        <v>0.16</v>
      </c>
      <c r="BN347" s="14" t="n">
        <v>1</v>
      </c>
      <c r="BO347" s="14" t="n">
        <v>0</v>
      </c>
      <c r="BP347" s="14" t="n">
        <v>0</v>
      </c>
      <c r="BQ347" s="14" t="n">
        <v>0.297</v>
      </c>
      <c r="BR347" s="14" t="n">
        <v>0</v>
      </c>
      <c r="BS347" s="14" t="n">
        <v>0.833</v>
      </c>
      <c r="BT347" s="14" t="n">
        <v>0</v>
      </c>
      <c r="BU347" s="14" t="n">
        <v>0</v>
      </c>
      <c r="BV347" s="14" t="n">
        <v>0.357</v>
      </c>
      <c r="BW347" s="14" t="n">
        <v>0</v>
      </c>
      <c r="BX347" s="14" t="n">
        <v>1</v>
      </c>
      <c r="BY347" s="14" t="n">
        <v>13.646</v>
      </c>
      <c r="BZ347" s="14" t="n">
        <v>0</v>
      </c>
      <c r="CA347" s="14" t="n">
        <v>13.646</v>
      </c>
      <c r="CB347" s="14" t="n">
        <v>0</v>
      </c>
      <c r="CC347" s="14" t="n">
        <v>82.58799999999999</v>
      </c>
      <c r="CD347" s="14" t="n">
        <v>7.95</v>
      </c>
      <c r="CE347" s="14" t="n">
        <v>50.436</v>
      </c>
      <c r="CF347" s="14" t="n">
        <v>151.016</v>
      </c>
      <c r="CG347" s="14" t="n">
        <v>0.16</v>
      </c>
      <c r="CH347" s="14" t="n">
        <v>1</v>
      </c>
      <c r="CI347" s="14" t="n">
        <v>0</v>
      </c>
      <c r="CJ347" s="14" t="n">
        <v>0</v>
      </c>
      <c r="CK347" s="14" t="n">
        <v>0</v>
      </c>
      <c r="CL347" s="14" t="n">
        <v>0</v>
      </c>
      <c r="CM347" s="14" t="n">
        <v>0</v>
      </c>
      <c r="CN347" s="14" t="n">
        <v>0</v>
      </c>
      <c r="CO347" s="14" t="n">
        <v>0</v>
      </c>
      <c r="CP347" s="14" t="n">
        <v>0</v>
      </c>
      <c r="CQ347" s="14" t="n">
        <v>1.387</v>
      </c>
      <c r="CR347" s="14" t="n">
        <v>0</v>
      </c>
      <c r="CS347" s="14" t="n">
        <v>4.131</v>
      </c>
      <c r="CT347" s="14" t="n">
        <v>4.251</v>
      </c>
      <c r="CU347" s="14" t="n">
        <v>10.123</v>
      </c>
    </row>
    <row r="348">
      <c r="A348" s="14" t="inlineStr">
        <is>
          <t>HTI2021</t>
        </is>
      </c>
      <c r="B348" s="14" t="inlineStr">
        <is>
          <t>HTI</t>
        </is>
      </c>
      <c r="C348" s="14" t="inlineStr">
        <is>
          <t>HTI</t>
        </is>
      </c>
      <c r="D348" s="14" t="inlineStr">
        <is>
          <t>Haiti</t>
        </is>
      </c>
      <c r="E348" s="14" t="n">
        <v>2021</v>
      </c>
      <c r="F348" s="14" t="n">
        <v>0</v>
      </c>
      <c r="G348" s="14" t="n">
        <v>5.897</v>
      </c>
      <c r="H348" s="14" t="n">
        <v>1.143</v>
      </c>
      <c r="I348" s="14" t="n">
        <v>0</v>
      </c>
      <c r="J348" s="14" t="n">
        <v>5.897</v>
      </c>
      <c r="K348" s="14" t="n">
        <v>0</v>
      </c>
      <c r="L348" s="14" t="n">
        <v>1</v>
      </c>
      <c r="M348" s="14" t="n">
        <v>7.964</v>
      </c>
      <c r="N348" s="14" t="n">
        <v>3.43</v>
      </c>
      <c r="O348" s="14" t="n">
        <v>0</v>
      </c>
      <c r="P348" s="14" t="n">
        <v>7.964</v>
      </c>
      <c r="Q348" s="14" t="n">
        <v>0</v>
      </c>
      <c r="R348" s="14" t="n">
        <v>1</v>
      </c>
      <c r="S348" s="14" t="n">
        <v>11.613</v>
      </c>
      <c r="T348" s="14" t="n">
        <v>6.86</v>
      </c>
      <c r="U348" s="14" t="n">
        <v>0</v>
      </c>
      <c r="V348" s="14" t="n">
        <v>11.613</v>
      </c>
      <c r="W348" s="14" t="n">
        <v>0</v>
      </c>
      <c r="X348" s="14" t="n">
        <v>1</v>
      </c>
      <c r="Y348" s="14" t="n">
        <v>17.127</v>
      </c>
      <c r="Z348" s="14" t="n">
        <v>2.304</v>
      </c>
      <c r="AA348" s="14" t="n">
        <v>0</v>
      </c>
      <c r="AB348" s="14" t="n">
        <v>17.127</v>
      </c>
      <c r="AC348" s="14" t="n">
        <v>0</v>
      </c>
      <c r="AD348" s="14" t="n">
        <v>1</v>
      </c>
      <c r="AE348" s="14" t="n">
        <v>18.27</v>
      </c>
      <c r="AF348" s="14" t="n">
        <v>4.278</v>
      </c>
      <c r="AG348" s="14" t="n">
        <v>0</v>
      </c>
      <c r="AH348" s="14" t="n">
        <v>18.27</v>
      </c>
      <c r="AI348" s="14" t="n">
        <v>0</v>
      </c>
      <c r="AJ348" s="14" t="n">
        <v>1</v>
      </c>
      <c r="AK348" s="14" t="n">
        <v>25.13</v>
      </c>
      <c r="AL348" s="14" t="n">
        <v>13.503</v>
      </c>
      <c r="AM348" s="14" t="n">
        <v>0</v>
      </c>
      <c r="AN348" s="14" t="n">
        <v>25.13</v>
      </c>
      <c r="AO348" s="14" t="n">
        <v>0</v>
      </c>
      <c r="AP348" s="14" t="n">
        <v>1</v>
      </c>
      <c r="AQ348" s="14" t="n">
        <v>0.649</v>
      </c>
      <c r="AR348" s="14" t="n">
        <v>0.114</v>
      </c>
      <c r="AS348" s="14" t="n">
        <v>0.182</v>
      </c>
      <c r="AT348" s="14" t="n">
        <v>0.831</v>
      </c>
      <c r="AU348" s="14" t="n">
        <v>0</v>
      </c>
      <c r="AV348" s="14" t="n">
        <v>1</v>
      </c>
      <c r="AW348" s="14" t="n">
        <v>0.577</v>
      </c>
      <c r="AX348" s="14" t="n">
        <v>0.114</v>
      </c>
      <c r="AY348" s="14" t="n">
        <v>0.034</v>
      </c>
      <c r="AZ348" s="14" t="n">
        <v>0.61</v>
      </c>
      <c r="BA348" s="14" t="n">
        <v>0</v>
      </c>
      <c r="BB348" s="14" t="n">
        <v>1</v>
      </c>
      <c r="BC348" s="14" t="n">
        <v>0.458</v>
      </c>
      <c r="BD348" s="14" t="n">
        <v>0.114</v>
      </c>
      <c r="BE348" s="14" t="n">
        <v>0</v>
      </c>
      <c r="BF348" s="14" t="n">
        <v>0.458</v>
      </c>
      <c r="BG348" s="14" t="n">
        <v>0</v>
      </c>
      <c r="BH348" s="14" t="n">
        <v>1</v>
      </c>
      <c r="BI348" s="14" t="n">
        <v>0.491</v>
      </c>
      <c r="BJ348" s="14" t="n">
        <v>0.114</v>
      </c>
      <c r="BK348" s="14" t="n">
        <v>0.013</v>
      </c>
      <c r="BL348" s="14" t="n">
        <v>0.504</v>
      </c>
      <c r="BM348" s="14" t="n">
        <v>0</v>
      </c>
      <c r="BN348" s="14" t="n">
        <v>1</v>
      </c>
      <c r="BO348" s="14" t="n">
        <v>0</v>
      </c>
      <c r="BP348" s="14" t="n">
        <v>0</v>
      </c>
      <c r="BQ348" s="14" t="n">
        <v>0.139</v>
      </c>
      <c r="BR348" s="14" t="n">
        <v>0</v>
      </c>
      <c r="BS348" s="14" t="n">
        <v>1</v>
      </c>
      <c r="BT348" s="14" t="n">
        <v>0</v>
      </c>
      <c r="BU348" s="14" t="n">
        <v>0</v>
      </c>
      <c r="BV348" s="14" t="n">
        <v>0.079</v>
      </c>
      <c r="BW348" s="14" t="n">
        <v>0</v>
      </c>
      <c r="BX348" s="14" t="n">
        <v>1</v>
      </c>
      <c r="BY348" s="14" t="n">
        <v>11.787</v>
      </c>
      <c r="BZ348" s="14" t="n">
        <v>0</v>
      </c>
      <c r="CA348" s="14" t="n">
        <v>11.787</v>
      </c>
      <c r="CB348" s="14" t="n">
        <v>0</v>
      </c>
      <c r="CC348" s="14" t="n">
        <v>78.125</v>
      </c>
      <c r="CD348" s="14" t="n">
        <v>7.95</v>
      </c>
      <c r="CE348" s="14" t="n">
        <v>90.447</v>
      </c>
      <c r="CF348" s="14" t="n">
        <v>168.572</v>
      </c>
      <c r="CG348" s="14" t="n">
        <v>0</v>
      </c>
      <c r="CH348" s="14" t="n">
        <v>1</v>
      </c>
      <c r="CI348" s="14" t="n">
        <v>0</v>
      </c>
      <c r="CJ348" s="14" t="n">
        <v>0</v>
      </c>
      <c r="CK348" s="14" t="n">
        <v>0</v>
      </c>
      <c r="CL348" s="14" t="n">
        <v>0</v>
      </c>
      <c r="CM348" s="14" t="n">
        <v>0</v>
      </c>
      <c r="CN348" s="14" t="n">
        <v>0</v>
      </c>
      <c r="CO348" s="14" t="n">
        <v>0</v>
      </c>
      <c r="CP348" s="14" t="n">
        <v>0</v>
      </c>
      <c r="CQ348" s="14" t="n">
        <v>1.198</v>
      </c>
      <c r="CR348" s="14" t="n">
        <v>0</v>
      </c>
      <c r="CS348" s="14" t="n">
        <v>4.776</v>
      </c>
      <c r="CT348" s="14" t="n">
        <v>4.753</v>
      </c>
      <c r="CU348" s="14" t="n">
        <v>15.983</v>
      </c>
    </row>
    <row r="349">
      <c r="A349" s="14" t="inlineStr">
        <is>
          <t>HTI2022</t>
        </is>
      </c>
      <c r="B349" s="14" t="inlineStr">
        <is>
          <t>HTI</t>
        </is>
      </c>
      <c r="C349" s="14" t="inlineStr">
        <is>
          <t>HTI</t>
        </is>
      </c>
      <c r="D349" s="14" t="inlineStr">
        <is>
          <t>Haiti</t>
        </is>
      </c>
      <c r="E349" s="14" t="n">
        <v>2022</v>
      </c>
      <c r="F349" s="14" t="n">
        <v>0</v>
      </c>
      <c r="G349" s="14" t="n">
        <v>11.72</v>
      </c>
      <c r="H349" s="14" t="n">
        <v>1.235</v>
      </c>
      <c r="I349" s="14" t="n">
        <v>0</v>
      </c>
      <c r="J349" s="14" t="n">
        <v>11.72</v>
      </c>
      <c r="K349" s="14" t="n">
        <v>0</v>
      </c>
      <c r="L349" s="14" t="n">
        <v>1</v>
      </c>
      <c r="M349" s="14" t="n">
        <v>9.782999999999999</v>
      </c>
      <c r="N349" s="14" t="n">
        <v>3.704</v>
      </c>
      <c r="O349" s="14" t="n">
        <v>0</v>
      </c>
      <c r="P349" s="14" t="n">
        <v>9.782999999999999</v>
      </c>
      <c r="Q349" s="14" t="n">
        <v>0</v>
      </c>
      <c r="R349" s="14" t="n">
        <v>1</v>
      </c>
      <c r="S349" s="14" t="n">
        <v>17.893</v>
      </c>
      <c r="T349" s="14" t="n">
        <v>7.408</v>
      </c>
      <c r="U349" s="14" t="n">
        <v>0</v>
      </c>
      <c r="V349" s="14" t="n">
        <v>17.893</v>
      </c>
      <c r="W349" s="14" t="n">
        <v>0</v>
      </c>
      <c r="X349" s="14" t="n">
        <v>1</v>
      </c>
      <c r="Y349" s="14" t="n">
        <v>30.728</v>
      </c>
      <c r="Z349" s="14" t="n">
        <v>4.133</v>
      </c>
      <c r="AA349" s="14" t="n">
        <v>0</v>
      </c>
      <c r="AB349" s="14" t="n">
        <v>30.728</v>
      </c>
      <c r="AC349" s="14" t="n">
        <v>0</v>
      </c>
      <c r="AD349" s="14" t="n">
        <v>1</v>
      </c>
      <c r="AE349" s="14" t="n">
        <v>31.963</v>
      </c>
      <c r="AF349" s="14" t="n">
        <v>7.485</v>
      </c>
      <c r="AG349" s="14" t="n">
        <v>0</v>
      </c>
      <c r="AH349" s="14" t="n">
        <v>31.963</v>
      </c>
      <c r="AI349" s="14" t="n">
        <v>0</v>
      </c>
      <c r="AJ349" s="14" t="n">
        <v>1</v>
      </c>
      <c r="AK349" s="14" t="n">
        <v>39.371</v>
      </c>
      <c r="AL349" s="14" t="n">
        <v>21.155</v>
      </c>
      <c r="AM349" s="14" t="n">
        <v>0</v>
      </c>
      <c r="AN349" s="14" t="n">
        <v>39.371</v>
      </c>
      <c r="AO349" s="14" t="n">
        <v>0</v>
      </c>
      <c r="AP349" s="14" t="n">
        <v>1</v>
      </c>
      <c r="AQ349" s="14" t="n">
        <v>0.896</v>
      </c>
      <c r="AR349" s="14" t="n">
        <v>0.123</v>
      </c>
      <c r="AS349" s="14" t="n">
        <v>0.181</v>
      </c>
      <c r="AT349" s="14" t="n">
        <v>1.077</v>
      </c>
      <c r="AU349" s="14" t="n">
        <v>0</v>
      </c>
      <c r="AV349" s="14" t="n">
        <v>1</v>
      </c>
      <c r="AW349" s="14" t="n">
        <v>0.89</v>
      </c>
      <c r="AX349" s="14" t="n">
        <v>0.123</v>
      </c>
      <c r="AY349" s="14" t="n">
        <v>-0.094</v>
      </c>
      <c r="AZ349" s="14" t="n">
        <v>0.796</v>
      </c>
      <c r="BA349" s="14" t="n">
        <v>0</v>
      </c>
      <c r="BB349" s="14" t="n">
        <v>1</v>
      </c>
      <c r="BC349" s="14" t="n">
        <v>0.62</v>
      </c>
      <c r="BD349" s="14" t="n">
        <v>0.123</v>
      </c>
      <c r="BE349" s="14" t="n">
        <v>0</v>
      </c>
      <c r="BF349" s="14" t="n">
        <v>0.62</v>
      </c>
      <c r="BG349" s="14" t="n">
        <v>0</v>
      </c>
      <c r="BH349" s="14" t="n">
        <v>1</v>
      </c>
      <c r="BI349" s="14" t="n">
        <v>0.608</v>
      </c>
      <c r="BJ349" s="14" t="n">
        <v>0.123</v>
      </c>
      <c r="BK349" s="14" t="n">
        <v>-0.063</v>
      </c>
      <c r="BL349" s="14" t="n">
        <v>0.545</v>
      </c>
      <c r="BM349" s="14" t="n">
        <v>0</v>
      </c>
      <c r="BN349" s="14" t="n">
        <v>1</v>
      </c>
      <c r="BO349" s="14" t="n">
        <v>0</v>
      </c>
      <c r="BP349" s="14" t="n">
        <v>0</v>
      </c>
      <c r="BQ349" s="14" t="n">
        <v>0.115</v>
      </c>
      <c r="BR349" s="14" t="n">
        <v>0</v>
      </c>
      <c r="BS349" s="14" t="n">
        <v>1</v>
      </c>
      <c r="BT349" s="14" t="n">
        <v>0</v>
      </c>
      <c r="BU349" s="14" t="n">
        <v>0</v>
      </c>
      <c r="BV349" s="14" t="n">
        <v>0.065</v>
      </c>
      <c r="BW349" s="14" t="n">
        <v>0</v>
      </c>
      <c r="BX349" s="14" t="n">
        <v>1</v>
      </c>
      <c r="BY349" s="14" t="n">
        <v>12.729</v>
      </c>
      <c r="BZ349" s="14" t="n">
        <v>0</v>
      </c>
      <c r="CA349" s="14" t="n">
        <v>12.729</v>
      </c>
      <c r="CB349" s="14" t="n">
        <v>0</v>
      </c>
      <c r="CC349" s="14" t="n">
        <v>97.90000000000001</v>
      </c>
      <c r="CD349" s="14" t="n">
        <v>7.95</v>
      </c>
      <c r="CE349" s="14" t="n">
        <v>97.675</v>
      </c>
      <c r="CF349" s="14" t="n">
        <v>195.575</v>
      </c>
      <c r="CG349" s="14" t="n">
        <v>0</v>
      </c>
      <c r="CH349" s="14" t="n">
        <v>1</v>
      </c>
      <c r="CI349" s="14" t="n">
        <v>0</v>
      </c>
      <c r="CJ349" s="14" t="n">
        <v>0</v>
      </c>
      <c r="CK349" s="14" t="n">
        <v>0</v>
      </c>
      <c r="CL349" s="14" t="n">
        <v>0</v>
      </c>
      <c r="CM349" s="14" t="n">
        <v>0</v>
      </c>
      <c r="CN349" s="14" t="n">
        <v>0</v>
      </c>
      <c r="CO349" s="14" t="n">
        <v>0</v>
      </c>
      <c r="CP349" s="14" t="n">
        <v>0</v>
      </c>
      <c r="CQ349" s="14" t="n">
        <v>1.294</v>
      </c>
      <c r="CR349" s="14" t="n">
        <v>0</v>
      </c>
      <c r="CS349" s="14" t="n">
        <v>5.158</v>
      </c>
      <c r="CT349" s="14" t="n">
        <v>10.485</v>
      </c>
      <c r="CU349" s="14" t="n">
        <v>29.494</v>
      </c>
    </row>
    <row r="350">
      <c r="A350" s="14" t="inlineStr">
        <is>
          <t>HTI2023</t>
        </is>
      </c>
      <c r="B350" s="14" t="inlineStr">
        <is>
          <t>HTI</t>
        </is>
      </c>
      <c r="C350" s="14" t="inlineStr">
        <is>
          <t>HTI</t>
        </is>
      </c>
      <c r="D350" s="14" t="inlineStr">
        <is>
          <t>Haiti</t>
        </is>
      </c>
      <c r="E350" s="14" t="n">
        <v>2023</v>
      </c>
      <c r="F350" s="14" t="n">
        <v>0</v>
      </c>
      <c r="G350" s="14" t="n">
        <v>6.147</v>
      </c>
      <c r="H350" s="14" t="n">
        <v>1.286</v>
      </c>
      <c r="I350" s="14" t="n">
        <v>0</v>
      </c>
      <c r="J350" s="14" t="n">
        <v>6.147</v>
      </c>
      <c r="K350" s="14" t="n">
        <v>0</v>
      </c>
      <c r="L350" s="14" t="n">
        <v>1</v>
      </c>
      <c r="M350" s="14" t="n">
        <v>7.886</v>
      </c>
      <c r="N350" s="14" t="n">
        <v>3.857</v>
      </c>
      <c r="O350" s="14" t="n">
        <v>0</v>
      </c>
      <c r="P350" s="14" t="n">
        <v>7.886</v>
      </c>
      <c r="Q350" s="14" t="n">
        <v>0</v>
      </c>
      <c r="R350" s="14" t="n">
        <v>1</v>
      </c>
      <c r="S350" s="14" t="n">
        <v>12.575</v>
      </c>
      <c r="T350" s="14" t="n">
        <v>7.714</v>
      </c>
      <c r="U350" s="14" t="n">
        <v>0</v>
      </c>
      <c r="V350" s="14" t="n">
        <v>12.575</v>
      </c>
      <c r="W350" s="14" t="n">
        <v>0</v>
      </c>
      <c r="X350" s="14" t="n">
        <v>1</v>
      </c>
      <c r="Y350" s="14" t="n">
        <v>12.478</v>
      </c>
      <c r="Z350" s="14" t="n">
        <v>1.678</v>
      </c>
      <c r="AA350" s="14" t="n">
        <v>0</v>
      </c>
      <c r="AB350" s="14" t="n">
        <v>12.478</v>
      </c>
      <c r="AC350" s="14" t="n">
        <v>0</v>
      </c>
      <c r="AD350" s="14" t="n">
        <v>1</v>
      </c>
      <c r="AE350" s="14" t="n">
        <v>13.763</v>
      </c>
      <c r="AF350" s="14" t="n">
        <v>3.223</v>
      </c>
      <c r="AG350" s="14" t="n">
        <v>0</v>
      </c>
      <c r="AH350" s="14" t="n">
        <v>13.763</v>
      </c>
      <c r="AI350" s="14" t="n">
        <v>0</v>
      </c>
      <c r="AJ350" s="14" t="n">
        <v>1</v>
      </c>
      <c r="AK350" s="14" t="n">
        <v>21.477</v>
      </c>
      <c r="AL350" s="14" t="n">
        <v>11.54</v>
      </c>
      <c r="AM350" s="14" t="n">
        <v>0</v>
      </c>
      <c r="AN350" s="14" t="n">
        <v>21.477</v>
      </c>
      <c r="AO350" s="14" t="n">
        <v>0</v>
      </c>
      <c r="AP350" s="14" t="n">
        <v>1</v>
      </c>
      <c r="AQ350" s="14" t="n">
        <v>0.791</v>
      </c>
      <c r="AR350" s="14" t="n">
        <v>0.129</v>
      </c>
      <c r="AS350" s="14" t="n">
        <v>0.2</v>
      </c>
      <c r="AT350" s="14" t="n">
        <v>0.991</v>
      </c>
      <c r="AU350" s="14" t="n">
        <v>0</v>
      </c>
      <c r="AV350" s="14" t="n">
        <v>1</v>
      </c>
      <c r="AW350" s="14" t="n">
        <v>0.618</v>
      </c>
      <c r="AX350" s="14" t="n">
        <v>0.129</v>
      </c>
      <c r="AY350" s="14" t="n">
        <v>0.053</v>
      </c>
      <c r="AZ350" s="14" t="n">
        <v>0.671</v>
      </c>
      <c r="BA350" s="14" t="n">
        <v>0</v>
      </c>
      <c r="BB350" s="14" t="n">
        <v>1</v>
      </c>
      <c r="BC350" s="14" t="n">
        <v>0.554</v>
      </c>
      <c r="BD350" s="14" t="n">
        <v>0.129</v>
      </c>
      <c r="BE350" s="14" t="n">
        <v>0</v>
      </c>
      <c r="BF350" s="14" t="n">
        <v>0.554</v>
      </c>
      <c r="BG350" s="14" t="n">
        <v>0</v>
      </c>
      <c r="BH350" s="14" t="n">
        <v>1</v>
      </c>
      <c r="BI350" s="14" t="n">
        <v>0.5570000000000001</v>
      </c>
      <c r="BJ350" s="14" t="n">
        <v>0.129</v>
      </c>
      <c r="BK350" s="14" t="n">
        <v>0.01</v>
      </c>
      <c r="BL350" s="14" t="n">
        <v>0.5669999999999999</v>
      </c>
      <c r="BM350" s="14" t="n">
        <v>0</v>
      </c>
      <c r="BN350" s="14" t="n">
        <v>1</v>
      </c>
      <c r="BO350" s="14" t="n">
        <v>0</v>
      </c>
      <c r="BP350" s="14" t="n">
        <v>0</v>
      </c>
      <c r="BQ350" s="14" t="n">
        <v>0.165</v>
      </c>
      <c r="BR350" s="14" t="n">
        <v>0</v>
      </c>
      <c r="BS350" s="14" t="n">
        <v>1</v>
      </c>
      <c r="BT350" s="14" t="n">
        <v>0</v>
      </c>
      <c r="BU350" s="14" t="n">
        <v>0</v>
      </c>
      <c r="BV350" s="14" t="n">
        <v>0.113</v>
      </c>
      <c r="BW350" s="14" t="n">
        <v>0</v>
      </c>
      <c r="BX350" s="14" t="n">
        <v>1</v>
      </c>
      <c r="BY350" s="14" t="n">
        <v>13.254</v>
      </c>
      <c r="BZ350" s="14" t="n">
        <v>0</v>
      </c>
      <c r="CA350" s="14" t="n">
        <v>13.254</v>
      </c>
      <c r="CB350" s="14" t="n">
        <v>0</v>
      </c>
      <c r="CC350" s="14" t="n">
        <v>83.248</v>
      </c>
      <c r="CD350" s="14" t="n">
        <v>7.95</v>
      </c>
      <c r="CE350" s="14" t="n">
        <v>101.707</v>
      </c>
      <c r="CF350" s="14" t="n">
        <v>184.955</v>
      </c>
      <c r="CG350" s="14" t="n">
        <v>0</v>
      </c>
      <c r="CH350" s="14" t="n">
        <v>1</v>
      </c>
      <c r="CI350" s="14" t="n">
        <v>0</v>
      </c>
      <c r="CJ350" s="14" t="n">
        <v>0</v>
      </c>
      <c r="CK350" s="14" t="n">
        <v>0</v>
      </c>
      <c r="CL350" s="14" t="n">
        <v>0</v>
      </c>
      <c r="CM350" s="14" t="n">
        <v>0</v>
      </c>
      <c r="CN350" s="14" t="n">
        <v>0</v>
      </c>
      <c r="CO350" s="14" t="n">
        <v>0</v>
      </c>
      <c r="CP350" s="14" t="n">
        <v>0</v>
      </c>
      <c r="CQ350" s="14" t="n">
        <v>1.348</v>
      </c>
      <c r="CR350" s="14" t="n">
        <v>0</v>
      </c>
      <c r="CS350" s="14" t="n">
        <v>5.37</v>
      </c>
      <c r="CT350" s="14" t="n">
        <v>4.861</v>
      </c>
      <c r="CU350" s="14" t="n">
        <v>11.192</v>
      </c>
    </row>
    <row r="351">
      <c r="A351" s="14" t="inlineStr">
        <is>
          <t>HTI2024</t>
        </is>
      </c>
      <c r="B351" s="14" t="inlineStr">
        <is>
          <t>HTI</t>
        </is>
      </c>
      <c r="C351" s="14" t="inlineStr">
        <is>
          <t>HTI</t>
        </is>
      </c>
      <c r="D351" s="14" t="inlineStr">
        <is>
          <t>Haiti</t>
        </is>
      </c>
      <c r="E351" s="14" t="n">
        <v>2024</v>
      </c>
      <c r="F351" s="14" t="n">
        <v>0</v>
      </c>
      <c r="G351" s="14" t="n">
        <v>5.575</v>
      </c>
      <c r="H351" s="14" t="n">
        <v>1.324</v>
      </c>
      <c r="I351" s="14" t="n">
        <v>0</v>
      </c>
      <c r="J351" s="14" t="n">
        <v>5.575</v>
      </c>
      <c r="K351" s="14" t="n">
        <v>0</v>
      </c>
      <c r="L351" s="14" t="n">
        <v>1</v>
      </c>
      <c r="M351" s="14" t="n">
        <v>7.124</v>
      </c>
      <c r="N351" s="14" t="n">
        <v>3.971</v>
      </c>
      <c r="O351" s="14" t="n">
        <v>0</v>
      </c>
      <c r="P351" s="14" t="n">
        <v>7.124</v>
      </c>
      <c r="Q351" s="14" t="n">
        <v>0</v>
      </c>
      <c r="R351" s="14" t="n">
        <v>1</v>
      </c>
      <c r="S351" s="14" t="n">
        <v>12.193</v>
      </c>
      <c r="T351" s="14" t="n">
        <v>7.942</v>
      </c>
      <c r="U351" s="14" t="n">
        <v>0</v>
      </c>
      <c r="V351" s="14" t="n">
        <v>12.193</v>
      </c>
      <c r="W351" s="14" t="n">
        <v>0</v>
      </c>
      <c r="X351" s="14" t="n">
        <v>1</v>
      </c>
      <c r="Y351" s="14" t="n">
        <v>11.447</v>
      </c>
      <c r="Z351" s="14" t="n">
        <v>1.54</v>
      </c>
      <c r="AA351" s="14" t="n">
        <v>0</v>
      </c>
      <c r="AB351" s="14" t="n">
        <v>11.447</v>
      </c>
      <c r="AC351" s="14" t="n">
        <v>0</v>
      </c>
      <c r="AD351" s="14" t="n">
        <v>1</v>
      </c>
      <c r="AE351" s="14" t="n">
        <v>12.771</v>
      </c>
      <c r="AF351" s="14" t="n">
        <v>2.991</v>
      </c>
      <c r="AG351" s="14" t="n">
        <v>0</v>
      </c>
      <c r="AH351" s="14" t="n">
        <v>12.771</v>
      </c>
      <c r="AI351" s="14" t="n">
        <v>0</v>
      </c>
      <c r="AJ351" s="14" t="n">
        <v>1</v>
      </c>
      <c r="AK351" s="14" t="n">
        <v>20.712</v>
      </c>
      <c r="AL351" s="14" t="n">
        <v>11.129</v>
      </c>
      <c r="AM351" s="14" t="n">
        <v>0</v>
      </c>
      <c r="AN351" s="14" t="n">
        <v>20.712</v>
      </c>
      <c r="AO351" s="14" t="n">
        <v>0</v>
      </c>
      <c r="AP351" s="14" t="n">
        <v>1</v>
      </c>
      <c r="AQ351" s="14" t="n">
        <v>0.756</v>
      </c>
      <c r="AR351" s="14" t="n">
        <v>0.132</v>
      </c>
      <c r="AS351" s="14" t="n">
        <v>0.21</v>
      </c>
      <c r="AT351" s="14" t="n">
        <v>0.966</v>
      </c>
      <c r="AU351" s="14" t="n">
        <v>0</v>
      </c>
      <c r="AV351" s="14" t="n">
        <v>1</v>
      </c>
      <c r="AW351" s="14" t="n">
        <v>0.655</v>
      </c>
      <c r="AX351" s="14" t="n">
        <v>0.132</v>
      </c>
      <c r="AY351" s="14" t="n">
        <v>0.045</v>
      </c>
      <c r="AZ351" s="14" t="n">
        <v>0.7</v>
      </c>
      <c r="BA351" s="14" t="n">
        <v>0</v>
      </c>
      <c r="BB351" s="14" t="n">
        <v>1</v>
      </c>
      <c r="BC351" s="14" t="n">
        <v>0.534</v>
      </c>
      <c r="BD351" s="14" t="n">
        <v>0.132</v>
      </c>
      <c r="BE351" s="14" t="n">
        <v>0</v>
      </c>
      <c r="BF351" s="14" t="n">
        <v>0.534</v>
      </c>
      <c r="BG351" s="14" t="n">
        <v>0</v>
      </c>
      <c r="BH351" s="14" t="n">
        <v>1</v>
      </c>
      <c r="BI351" s="14" t="n">
        <v>0.5679999999999999</v>
      </c>
      <c r="BJ351" s="14" t="n">
        <v>0.132</v>
      </c>
      <c r="BK351" s="14" t="n">
        <v>0.016</v>
      </c>
      <c r="BL351" s="14" t="n">
        <v>0.584</v>
      </c>
      <c r="BM351" s="14" t="n">
        <v>0</v>
      </c>
      <c r="BN351" s="14" t="n">
        <v>1</v>
      </c>
      <c r="BO351" s="14" t="n">
        <v>0</v>
      </c>
      <c r="BP351" s="14" t="n">
        <v>0</v>
      </c>
      <c r="BQ351" s="14" t="n">
        <v>0.17</v>
      </c>
      <c r="BR351" s="14" t="n">
        <v>0</v>
      </c>
      <c r="BS351" s="14" t="n">
        <v>1</v>
      </c>
      <c r="BT351" s="14" t="n">
        <v>0</v>
      </c>
      <c r="BU351" s="14" t="n">
        <v>0</v>
      </c>
      <c r="BV351" s="14" t="n">
        <v>0.116</v>
      </c>
      <c r="BW351" s="14" t="n">
        <v>0</v>
      </c>
      <c r="BX351" s="14" t="n">
        <v>1</v>
      </c>
      <c r="BY351" s="14" t="n">
        <v>13.646</v>
      </c>
      <c r="BZ351" s="14" t="n">
        <v>0</v>
      </c>
      <c r="CA351" s="14" t="n">
        <v>13.646</v>
      </c>
      <c r="CB351" s="14" t="n">
        <v>0</v>
      </c>
      <c r="CC351" s="14" t="n">
        <v>82.58799999999999</v>
      </c>
      <c r="CD351" s="14" t="n">
        <v>7.95</v>
      </c>
      <c r="CE351" s="14" t="n">
        <v>104.709</v>
      </c>
      <c r="CF351" s="14" t="n">
        <v>187.297</v>
      </c>
      <c r="CG351" s="14" t="n">
        <v>0</v>
      </c>
      <c r="CH351" s="14" t="n">
        <v>1</v>
      </c>
      <c r="CI351" s="14" t="n">
        <v>0</v>
      </c>
      <c r="CJ351" s="14" t="n">
        <v>0</v>
      </c>
      <c r="CK351" s="14" t="n">
        <v>0</v>
      </c>
      <c r="CL351" s="14" t="n">
        <v>0</v>
      </c>
      <c r="CM351" s="14" t="n">
        <v>0</v>
      </c>
      <c r="CN351" s="14" t="n">
        <v>0</v>
      </c>
      <c r="CO351" s="14" t="n">
        <v>0</v>
      </c>
      <c r="CP351" s="14" t="n">
        <v>0</v>
      </c>
      <c r="CQ351" s="14" t="n">
        <v>1.387</v>
      </c>
      <c r="CR351" s="14" t="n">
        <v>0</v>
      </c>
      <c r="CS351" s="14" t="n">
        <v>5.529</v>
      </c>
      <c r="CT351" s="14" t="n">
        <v>4.251</v>
      </c>
      <c r="CU351" s="14" t="n">
        <v>10.123</v>
      </c>
    </row>
    <row r="352">
      <c r="A352" s="14" t="inlineStr">
        <is>
          <t>HND2021</t>
        </is>
      </c>
      <c r="B352" s="14" t="inlineStr">
        <is>
          <t>HND</t>
        </is>
      </c>
      <c r="C352" s="14" t="inlineStr">
        <is>
          <t>HND</t>
        </is>
      </c>
      <c r="D352" s="14" t="inlineStr">
        <is>
          <t>Honduras</t>
        </is>
      </c>
      <c r="E352" s="14" t="n">
        <v>2021</v>
      </c>
      <c r="F352" s="14" t="n">
        <v>0.15</v>
      </c>
      <c r="G352" s="14" t="n">
        <v>5.897</v>
      </c>
      <c r="H352" s="14" t="n">
        <v>1.143</v>
      </c>
      <c r="I352" s="14" t="n">
        <v>0</v>
      </c>
      <c r="J352" s="14" t="n">
        <v>5.897</v>
      </c>
      <c r="K352" s="14" t="n">
        <v>0</v>
      </c>
      <c r="L352" s="14" t="n">
        <v>1</v>
      </c>
      <c r="M352" s="14" t="n">
        <v>7.964</v>
      </c>
      <c r="N352" s="14" t="n">
        <v>3.43</v>
      </c>
      <c r="O352" s="14" t="n">
        <v>0</v>
      </c>
      <c r="P352" s="14" t="n">
        <v>7.964</v>
      </c>
      <c r="Q352" s="14" t="n">
        <v>0</v>
      </c>
      <c r="R352" s="14" t="n">
        <v>1</v>
      </c>
      <c r="S352" s="14" t="n">
        <v>11.613</v>
      </c>
      <c r="T352" s="14" t="n">
        <v>6.86</v>
      </c>
      <c r="U352" s="14" t="n">
        <v>0</v>
      </c>
      <c r="V352" s="14" t="n">
        <v>13.355</v>
      </c>
      <c r="W352" s="14" t="n">
        <v>0.15</v>
      </c>
      <c r="X352" s="14" t="n">
        <v>1</v>
      </c>
      <c r="Y352" s="14" t="n">
        <v>4.284</v>
      </c>
      <c r="Z352" s="14" t="n">
        <v>0.576</v>
      </c>
      <c r="AA352" s="14" t="n">
        <v>0</v>
      </c>
      <c r="AB352" s="14" t="n">
        <v>4.284</v>
      </c>
      <c r="AC352" s="14" t="n">
        <v>0</v>
      </c>
      <c r="AD352" s="14" t="n">
        <v>1</v>
      </c>
      <c r="AE352" s="14" t="n">
        <v>5.427</v>
      </c>
      <c r="AF352" s="14" t="n">
        <v>1.271</v>
      </c>
      <c r="AG352" s="14" t="n">
        <v>0</v>
      </c>
      <c r="AH352" s="14" t="n">
        <v>5.427</v>
      </c>
      <c r="AI352" s="14" t="n">
        <v>0</v>
      </c>
      <c r="AJ352" s="14" t="n">
        <v>1</v>
      </c>
      <c r="AK352" s="14" t="n">
        <v>12.287</v>
      </c>
      <c r="AL352" s="14" t="n">
        <v>6.602</v>
      </c>
      <c r="AM352" s="14" t="n">
        <v>0</v>
      </c>
      <c r="AN352" s="14" t="n">
        <v>14.13</v>
      </c>
      <c r="AO352" s="14" t="n">
        <v>0.15</v>
      </c>
      <c r="AP352" s="14" t="n">
        <v>1</v>
      </c>
      <c r="AQ352" s="14" t="n">
        <v>0.649</v>
      </c>
      <c r="AR352" s="14" t="n">
        <v>0.114</v>
      </c>
      <c r="AS352" s="14" t="n">
        <v>0.361</v>
      </c>
      <c r="AT352" s="14" t="n">
        <v>1.01</v>
      </c>
      <c r="AU352" s="14" t="n">
        <v>0</v>
      </c>
      <c r="AV352" s="14" t="n">
        <v>1</v>
      </c>
      <c r="AW352" s="14" t="n">
        <v>0.577</v>
      </c>
      <c r="AX352" s="14" t="n">
        <v>0.114</v>
      </c>
      <c r="AY352" s="14" t="n">
        <v>0.308</v>
      </c>
      <c r="AZ352" s="14" t="n">
        <v>0.885</v>
      </c>
      <c r="BA352" s="14" t="n">
        <v>0</v>
      </c>
      <c r="BB352" s="14" t="n">
        <v>1</v>
      </c>
      <c r="BC352" s="14" t="n">
        <v>0.458</v>
      </c>
      <c r="BD352" s="14" t="n">
        <v>0.114</v>
      </c>
      <c r="BE352" s="14" t="n">
        <v>0.046</v>
      </c>
      <c r="BF352" s="14" t="n">
        <v>0.505</v>
      </c>
      <c r="BG352" s="14" t="n">
        <v>0</v>
      </c>
      <c r="BH352" s="14" t="n">
        <v>0</v>
      </c>
      <c r="BI352" s="14" t="n">
        <v>0.491</v>
      </c>
      <c r="BJ352" s="14" t="n">
        <v>0.114</v>
      </c>
      <c r="BK352" s="14" t="n">
        <v>0.178</v>
      </c>
      <c r="BL352" s="14" t="n">
        <v>0.669</v>
      </c>
      <c r="BM352" s="14" t="n">
        <v>0</v>
      </c>
      <c r="BN352" s="14" t="n">
        <v>1</v>
      </c>
      <c r="BO352" s="14" t="n">
        <v>0</v>
      </c>
      <c r="BP352" s="14" t="n">
        <v>0</v>
      </c>
      <c r="BQ352" s="14" t="n">
        <v>0.139</v>
      </c>
      <c r="BR352" s="14" t="n">
        <v>0</v>
      </c>
      <c r="BS352" s="14" t="n">
        <v>0.5</v>
      </c>
      <c r="BT352" s="14" t="n">
        <v>0</v>
      </c>
      <c r="BU352" s="14" t="n">
        <v>0</v>
      </c>
      <c r="BV352" s="14" t="n">
        <v>0.164</v>
      </c>
      <c r="BW352" s="14" t="n">
        <v>0</v>
      </c>
      <c r="BX352" s="14" t="n">
        <v>0.5</v>
      </c>
      <c r="BY352" s="14" t="n">
        <v>11.787</v>
      </c>
      <c r="BZ352" s="14" t="n">
        <v>0</v>
      </c>
      <c r="CA352" s="14" t="n">
        <v>11.787</v>
      </c>
      <c r="CB352" s="14" t="n">
        <v>0</v>
      </c>
      <c r="CC352" s="14" t="n">
        <v>78.125</v>
      </c>
      <c r="CD352" s="14" t="n">
        <v>7.95</v>
      </c>
      <c r="CE352" s="14" t="n">
        <v>0</v>
      </c>
      <c r="CF352" s="14" t="n">
        <v>89.84399999999999</v>
      </c>
      <c r="CG352" s="14" t="n">
        <v>0.15</v>
      </c>
      <c r="CH352" s="14" t="n">
        <v>1</v>
      </c>
      <c r="CI352" s="14" t="n">
        <v>0</v>
      </c>
      <c r="CJ352" s="14" t="n">
        <v>0</v>
      </c>
      <c r="CK352" s="14" t="n">
        <v>0</v>
      </c>
      <c r="CL352" s="14" t="n">
        <v>0</v>
      </c>
      <c r="CM352" s="14" t="n">
        <v>0</v>
      </c>
      <c r="CN352" s="14" t="n">
        <v>0</v>
      </c>
      <c r="CO352" s="14" t="n">
        <v>0</v>
      </c>
      <c r="CP352" s="14" t="n">
        <v>0</v>
      </c>
      <c r="CQ352" s="14" t="n">
        <v>1.198</v>
      </c>
      <c r="CR352" s="14" t="n">
        <v>0</v>
      </c>
      <c r="CS352" s="14" t="n">
        <v>4.776</v>
      </c>
      <c r="CT352" s="14" t="n">
        <v>4.753</v>
      </c>
      <c r="CU352" s="14" t="n">
        <v>15.983</v>
      </c>
    </row>
    <row r="353">
      <c r="A353" s="14" t="inlineStr">
        <is>
          <t>HND2022</t>
        </is>
      </c>
      <c r="B353" s="14" t="inlineStr">
        <is>
          <t>HND</t>
        </is>
      </c>
      <c r="C353" s="14" t="inlineStr">
        <is>
          <t>HND</t>
        </is>
      </c>
      <c r="D353" s="14" t="inlineStr">
        <is>
          <t>Honduras</t>
        </is>
      </c>
      <c r="E353" s="14" t="n">
        <v>2022</v>
      </c>
      <c r="F353" s="14" t="n">
        <v>0.15</v>
      </c>
      <c r="G353" s="14" t="n">
        <v>11.72</v>
      </c>
      <c r="H353" s="14" t="n">
        <v>1.235</v>
      </c>
      <c r="I353" s="14" t="n">
        <v>0</v>
      </c>
      <c r="J353" s="14" t="n">
        <v>11.72</v>
      </c>
      <c r="K353" s="14" t="n">
        <v>0</v>
      </c>
      <c r="L353" s="14" t="n">
        <v>1</v>
      </c>
      <c r="M353" s="14" t="n">
        <v>9.782999999999999</v>
      </c>
      <c r="N353" s="14" t="n">
        <v>3.704</v>
      </c>
      <c r="O353" s="14" t="n">
        <v>0</v>
      </c>
      <c r="P353" s="14" t="n">
        <v>9.782999999999999</v>
      </c>
      <c r="Q353" s="14" t="n">
        <v>0</v>
      </c>
      <c r="R353" s="14" t="n">
        <v>1</v>
      </c>
      <c r="S353" s="14" t="n">
        <v>17.893</v>
      </c>
      <c r="T353" s="14" t="n">
        <v>7.408</v>
      </c>
      <c r="U353" s="14" t="n">
        <v>0.199</v>
      </c>
      <c r="V353" s="14" t="n">
        <v>20.577</v>
      </c>
      <c r="W353" s="14" t="n">
        <v>0.15</v>
      </c>
      <c r="X353" s="14" t="n">
        <v>1</v>
      </c>
      <c r="Y353" s="14" t="n">
        <v>4.627</v>
      </c>
      <c r="Z353" s="14" t="n">
        <v>0.622</v>
      </c>
      <c r="AA353" s="14" t="n">
        <v>0</v>
      </c>
      <c r="AB353" s="14" t="n">
        <v>4.627</v>
      </c>
      <c r="AC353" s="14" t="n">
        <v>0</v>
      </c>
      <c r="AD353" s="14" t="n">
        <v>1</v>
      </c>
      <c r="AE353" s="14" t="n">
        <v>5.861</v>
      </c>
      <c r="AF353" s="14" t="n">
        <v>1.373</v>
      </c>
      <c r="AG353" s="14" t="n">
        <v>0</v>
      </c>
      <c r="AH353" s="14" t="n">
        <v>5.861</v>
      </c>
      <c r="AI353" s="14" t="n">
        <v>0</v>
      </c>
      <c r="AJ353" s="14" t="n">
        <v>1</v>
      </c>
      <c r="AK353" s="14" t="n">
        <v>13.269</v>
      </c>
      <c r="AL353" s="14" t="n">
        <v>7.13</v>
      </c>
      <c r="AM353" s="14" t="n">
        <v>0.147</v>
      </c>
      <c r="AN353" s="14" t="n">
        <v>15.26</v>
      </c>
      <c r="AO353" s="14" t="n">
        <v>0.15</v>
      </c>
      <c r="AP353" s="14" t="n">
        <v>1</v>
      </c>
      <c r="AQ353" s="14" t="n">
        <v>0.896</v>
      </c>
      <c r="AR353" s="14" t="n">
        <v>0.123</v>
      </c>
      <c r="AS353" s="14" t="n">
        <v>0.269</v>
      </c>
      <c r="AT353" s="14" t="n">
        <v>1.165</v>
      </c>
      <c r="AU353" s="14" t="n">
        <v>0</v>
      </c>
      <c r="AV353" s="14" t="n">
        <v>1</v>
      </c>
      <c r="AW353" s="14" t="n">
        <v>0.89</v>
      </c>
      <c r="AX353" s="14" t="n">
        <v>0.123</v>
      </c>
      <c r="AY353" s="14" t="n">
        <v>0.309</v>
      </c>
      <c r="AZ353" s="14" t="n">
        <v>1.199</v>
      </c>
      <c r="BA353" s="14" t="n">
        <v>0</v>
      </c>
      <c r="BB353" s="14" t="n">
        <v>1</v>
      </c>
      <c r="BC353" s="14" t="n">
        <v>0.62</v>
      </c>
      <c r="BD353" s="14" t="n">
        <v>0.123</v>
      </c>
      <c r="BE353" s="14" t="n">
        <v>-0.109</v>
      </c>
      <c r="BF353" s="14" t="n">
        <v>0.512</v>
      </c>
      <c r="BG353" s="14" t="n">
        <v>0</v>
      </c>
      <c r="BH353" s="14" t="n">
        <v>0</v>
      </c>
      <c r="BI353" s="14" t="n">
        <v>0.608</v>
      </c>
      <c r="BJ353" s="14" t="n">
        <v>0.123</v>
      </c>
      <c r="BK353" s="14" t="n">
        <v>0.471</v>
      </c>
      <c r="BL353" s="14" t="n">
        <v>1.079</v>
      </c>
      <c r="BM353" s="14" t="n">
        <v>0</v>
      </c>
      <c r="BN353" s="14" t="n">
        <v>1</v>
      </c>
      <c r="BO353" s="14" t="n">
        <v>0</v>
      </c>
      <c r="BP353" s="14" t="n">
        <v>0</v>
      </c>
      <c r="BQ353" s="14" t="n">
        <v>0.136</v>
      </c>
      <c r="BR353" s="14" t="n">
        <v>0</v>
      </c>
      <c r="BS353" s="14" t="n">
        <v>0.5</v>
      </c>
      <c r="BT353" s="14" t="n">
        <v>0</v>
      </c>
      <c r="BU353" s="14" t="n">
        <v>0</v>
      </c>
      <c r="BV353" s="14" t="n">
        <v>0.161</v>
      </c>
      <c r="BW353" s="14" t="n">
        <v>0</v>
      </c>
      <c r="BX353" s="14" t="n">
        <v>0.5</v>
      </c>
      <c r="BY353" s="14" t="n">
        <v>12.729</v>
      </c>
      <c r="BZ353" s="14" t="n">
        <v>0</v>
      </c>
      <c r="CA353" s="14" t="n">
        <v>12.729</v>
      </c>
      <c r="CB353" s="14" t="n">
        <v>0</v>
      </c>
      <c r="CC353" s="14" t="n">
        <v>97.90000000000001</v>
      </c>
      <c r="CD353" s="14" t="n">
        <v>7.95</v>
      </c>
      <c r="CE353" s="14" t="n">
        <v>1.087</v>
      </c>
      <c r="CF353" s="14" t="n">
        <v>112.585</v>
      </c>
      <c r="CG353" s="14" t="n">
        <v>0.15</v>
      </c>
      <c r="CH353" s="14" t="n">
        <v>1</v>
      </c>
      <c r="CI353" s="14" t="n">
        <v>0</v>
      </c>
      <c r="CJ353" s="14" t="n">
        <v>0</v>
      </c>
      <c r="CK353" s="14" t="n">
        <v>0</v>
      </c>
      <c r="CL353" s="14" t="n">
        <v>0</v>
      </c>
      <c r="CM353" s="14" t="n">
        <v>0</v>
      </c>
      <c r="CN353" s="14" t="n">
        <v>0</v>
      </c>
      <c r="CO353" s="14" t="n">
        <v>0</v>
      </c>
      <c r="CP353" s="14" t="n">
        <v>0</v>
      </c>
      <c r="CQ353" s="14" t="n">
        <v>1.294</v>
      </c>
      <c r="CR353" s="14" t="n">
        <v>0</v>
      </c>
      <c r="CS353" s="14" t="n">
        <v>5.158</v>
      </c>
      <c r="CT353" s="14" t="n">
        <v>10.485</v>
      </c>
      <c r="CU353" s="14" t="n">
        <v>29.494</v>
      </c>
    </row>
    <row r="354">
      <c r="A354" s="14" t="inlineStr">
        <is>
          <t>HND2023</t>
        </is>
      </c>
      <c r="B354" s="14" t="inlineStr">
        <is>
          <t>HND</t>
        </is>
      </c>
      <c r="C354" s="14" t="inlineStr">
        <is>
          <t>HND</t>
        </is>
      </c>
      <c r="D354" s="14" t="inlineStr">
        <is>
          <t>Honduras</t>
        </is>
      </c>
      <c r="E354" s="14" t="n">
        <v>2023</v>
      </c>
      <c r="F354" s="14" t="n">
        <v>0.15</v>
      </c>
      <c r="G354" s="14" t="n">
        <v>6.147</v>
      </c>
      <c r="H354" s="14" t="n">
        <v>1.286</v>
      </c>
      <c r="I354" s="14" t="n">
        <v>0</v>
      </c>
      <c r="J354" s="14" t="n">
        <v>6.147</v>
      </c>
      <c r="K354" s="14" t="n">
        <v>0</v>
      </c>
      <c r="L354" s="14" t="n">
        <v>1</v>
      </c>
      <c r="M354" s="14" t="n">
        <v>7.886</v>
      </c>
      <c r="N354" s="14" t="n">
        <v>3.857</v>
      </c>
      <c r="O354" s="14" t="n">
        <v>0</v>
      </c>
      <c r="P354" s="14" t="n">
        <v>7.886</v>
      </c>
      <c r="Q354" s="14" t="n">
        <v>0</v>
      </c>
      <c r="R354" s="14" t="n">
        <v>1</v>
      </c>
      <c r="S354" s="14" t="n">
        <v>12.575</v>
      </c>
      <c r="T354" s="14" t="n">
        <v>7.714</v>
      </c>
      <c r="U354" s="14" t="n">
        <v>0.209</v>
      </c>
      <c r="V354" s="14" t="n">
        <v>14.461</v>
      </c>
      <c r="W354" s="14" t="n">
        <v>0.15</v>
      </c>
      <c r="X354" s="14" t="n">
        <v>1</v>
      </c>
      <c r="Y354" s="14" t="n">
        <v>4.818</v>
      </c>
      <c r="Z354" s="14" t="n">
        <v>0.648</v>
      </c>
      <c r="AA354" s="14" t="n">
        <v>0</v>
      </c>
      <c r="AB354" s="14" t="n">
        <v>4.818</v>
      </c>
      <c r="AC354" s="14" t="n">
        <v>0</v>
      </c>
      <c r="AD354" s="14" t="n">
        <v>1</v>
      </c>
      <c r="AE354" s="14" t="n">
        <v>6.103</v>
      </c>
      <c r="AF354" s="14" t="n">
        <v>1.429</v>
      </c>
      <c r="AG354" s="14" t="n">
        <v>0</v>
      </c>
      <c r="AH354" s="14" t="n">
        <v>6.103</v>
      </c>
      <c r="AI354" s="14" t="n">
        <v>0</v>
      </c>
      <c r="AJ354" s="14" t="n">
        <v>1</v>
      </c>
      <c r="AK354" s="14" t="n">
        <v>13.817</v>
      </c>
      <c r="AL354" s="14" t="n">
        <v>7.424</v>
      </c>
      <c r="AM354" s="14" t="n">
        <v>0.229</v>
      </c>
      <c r="AN354" s="14" t="n">
        <v>15.89</v>
      </c>
      <c r="AO354" s="14" t="n">
        <v>0.15</v>
      </c>
      <c r="AP354" s="14" t="n">
        <v>1</v>
      </c>
      <c r="AQ354" s="14" t="n">
        <v>0.791</v>
      </c>
      <c r="AR354" s="14" t="n">
        <v>0.129</v>
      </c>
      <c r="AS354" s="14" t="n">
        <v>0.28</v>
      </c>
      <c r="AT354" s="14" t="n">
        <v>1.071</v>
      </c>
      <c r="AU354" s="14" t="n">
        <v>0</v>
      </c>
      <c r="AV354" s="14" t="n">
        <v>1</v>
      </c>
      <c r="AW354" s="14" t="n">
        <v>0.618</v>
      </c>
      <c r="AX354" s="14" t="n">
        <v>0.129</v>
      </c>
      <c r="AY354" s="14" t="n">
        <v>0.389</v>
      </c>
      <c r="AZ354" s="14" t="n">
        <v>1.007</v>
      </c>
      <c r="BA354" s="14" t="n">
        <v>0</v>
      </c>
      <c r="BB354" s="14" t="n">
        <v>1</v>
      </c>
      <c r="BC354" s="14" t="n">
        <v>0.554</v>
      </c>
      <c r="BD354" s="14" t="n">
        <v>0.129</v>
      </c>
      <c r="BE354" s="14" t="n">
        <v>-0.08</v>
      </c>
      <c r="BF354" s="14" t="n">
        <v>0.474</v>
      </c>
      <c r="BG354" s="14" t="n">
        <v>0</v>
      </c>
      <c r="BH354" s="14" t="n">
        <v>0</v>
      </c>
      <c r="BI354" s="14" t="n">
        <v>0.5570000000000001</v>
      </c>
      <c r="BJ354" s="14" t="n">
        <v>0.129</v>
      </c>
      <c r="BK354" s="14" t="n">
        <v>0.381</v>
      </c>
      <c r="BL354" s="14" t="n">
        <v>0.9389999999999999</v>
      </c>
      <c r="BM354" s="14" t="n">
        <v>0</v>
      </c>
      <c r="BN354" s="14" t="n">
        <v>1</v>
      </c>
      <c r="BO354" s="14" t="n">
        <v>0</v>
      </c>
      <c r="BP354" s="14" t="n">
        <v>0</v>
      </c>
      <c r="BQ354" s="14" t="n">
        <v>0.194</v>
      </c>
      <c r="BR354" s="14" t="n">
        <v>0</v>
      </c>
      <c r="BS354" s="14" t="n">
        <v>0.5</v>
      </c>
      <c r="BT354" s="14" t="n">
        <v>0</v>
      </c>
      <c r="BU354" s="14" t="n">
        <v>0</v>
      </c>
      <c r="BV354" s="14" t="n">
        <v>0.184</v>
      </c>
      <c r="BW354" s="14" t="n">
        <v>0</v>
      </c>
      <c r="BX354" s="14" t="n">
        <v>0.5</v>
      </c>
      <c r="BY354" s="14" t="n">
        <v>13.254</v>
      </c>
      <c r="BZ354" s="14" t="n">
        <v>0</v>
      </c>
      <c r="CA354" s="14" t="n">
        <v>13.254</v>
      </c>
      <c r="CB354" s="14" t="n">
        <v>0</v>
      </c>
      <c r="CC354" s="14" t="n">
        <v>83.248</v>
      </c>
      <c r="CD354" s="14" t="n">
        <v>7.95</v>
      </c>
      <c r="CE354" s="14" t="n">
        <v>1.383</v>
      </c>
      <c r="CF354" s="14" t="n">
        <v>95.735</v>
      </c>
      <c r="CG354" s="14" t="n">
        <v>0.15</v>
      </c>
      <c r="CH354" s="14" t="n">
        <v>1</v>
      </c>
      <c r="CI354" s="14" t="n">
        <v>0</v>
      </c>
      <c r="CJ354" s="14" t="n">
        <v>0</v>
      </c>
      <c r="CK354" s="14" t="n">
        <v>0</v>
      </c>
      <c r="CL354" s="14" t="n">
        <v>0</v>
      </c>
      <c r="CM354" s="14" t="n">
        <v>0</v>
      </c>
      <c r="CN354" s="14" t="n">
        <v>0</v>
      </c>
      <c r="CO354" s="14" t="n">
        <v>0</v>
      </c>
      <c r="CP354" s="14" t="n">
        <v>0</v>
      </c>
      <c r="CQ354" s="14" t="n">
        <v>1.348</v>
      </c>
      <c r="CR354" s="14" t="n">
        <v>0</v>
      </c>
      <c r="CS354" s="14" t="n">
        <v>5.37</v>
      </c>
      <c r="CT354" s="14" t="n">
        <v>4.861</v>
      </c>
      <c r="CU354" s="14" t="n">
        <v>11.192</v>
      </c>
    </row>
    <row r="355">
      <c r="A355" s="14" t="inlineStr">
        <is>
          <t>HND2024</t>
        </is>
      </c>
      <c r="B355" s="14" t="inlineStr">
        <is>
          <t>HND</t>
        </is>
      </c>
      <c r="C355" s="14" t="inlineStr">
        <is>
          <t>HND</t>
        </is>
      </c>
      <c r="D355" s="14" t="inlineStr">
        <is>
          <t>Honduras</t>
        </is>
      </c>
      <c r="E355" s="14" t="n">
        <v>2024</v>
      </c>
      <c r="F355" s="14" t="n">
        <v>0.15</v>
      </c>
      <c r="G355" s="14" t="n">
        <v>5.575</v>
      </c>
      <c r="H355" s="14" t="n">
        <v>1.324</v>
      </c>
      <c r="I355" s="14" t="n">
        <v>0</v>
      </c>
      <c r="J355" s="14" t="n">
        <v>5.575</v>
      </c>
      <c r="K355" s="14" t="n">
        <v>0</v>
      </c>
      <c r="L355" s="14" t="n">
        <v>1</v>
      </c>
      <c r="M355" s="14" t="n">
        <v>7.124</v>
      </c>
      <c r="N355" s="14" t="n">
        <v>3.971</v>
      </c>
      <c r="O355" s="14" t="n">
        <v>0</v>
      </c>
      <c r="P355" s="14" t="n">
        <v>7.124</v>
      </c>
      <c r="Q355" s="14" t="n">
        <v>0</v>
      </c>
      <c r="R355" s="14" t="n">
        <v>1</v>
      </c>
      <c r="S355" s="14" t="n">
        <v>12.193</v>
      </c>
      <c r="T355" s="14" t="n">
        <v>7.942</v>
      </c>
      <c r="U355" s="14" t="n">
        <v>0.249</v>
      </c>
      <c r="V355" s="14" t="n">
        <v>14.022</v>
      </c>
      <c r="W355" s="14" t="n">
        <v>0.15</v>
      </c>
      <c r="X355" s="14" t="n">
        <v>1</v>
      </c>
      <c r="Y355" s="14" t="n">
        <v>4.96</v>
      </c>
      <c r="Z355" s="14" t="n">
        <v>0.667</v>
      </c>
      <c r="AA355" s="14" t="n">
        <v>0</v>
      </c>
      <c r="AB355" s="14" t="n">
        <v>4.96</v>
      </c>
      <c r="AC355" s="14" t="n">
        <v>0</v>
      </c>
      <c r="AD355" s="14" t="n">
        <v>1</v>
      </c>
      <c r="AE355" s="14" t="n">
        <v>6.283</v>
      </c>
      <c r="AF355" s="14" t="n">
        <v>1.471</v>
      </c>
      <c r="AG355" s="14" t="n">
        <v>0</v>
      </c>
      <c r="AH355" s="14" t="n">
        <v>6.283</v>
      </c>
      <c r="AI355" s="14" t="n">
        <v>0</v>
      </c>
      <c r="AJ355" s="14" t="n">
        <v>1</v>
      </c>
      <c r="AK355" s="14" t="n">
        <v>14.225</v>
      </c>
      <c r="AL355" s="14" t="n">
        <v>7.643</v>
      </c>
      <c r="AM355" s="14" t="n">
        <v>0.291</v>
      </c>
      <c r="AN355" s="14" t="n">
        <v>16.359</v>
      </c>
      <c r="AO355" s="14" t="n">
        <v>0.15</v>
      </c>
      <c r="AP355" s="14" t="n">
        <v>1</v>
      </c>
      <c r="AQ355" s="14" t="n">
        <v>0.756</v>
      </c>
      <c r="AR355" s="14" t="n">
        <v>0.132</v>
      </c>
      <c r="AS355" s="14" t="n">
        <v>0.26</v>
      </c>
      <c r="AT355" s="14" t="n">
        <v>1.016</v>
      </c>
      <c r="AU355" s="14" t="n">
        <v>0</v>
      </c>
      <c r="AV355" s="14" t="n">
        <v>1</v>
      </c>
      <c r="AW355" s="14" t="n">
        <v>0.655</v>
      </c>
      <c r="AX355" s="14" t="n">
        <v>0.132</v>
      </c>
      <c r="AY355" s="14" t="n">
        <v>0.27</v>
      </c>
      <c r="AZ355" s="14" t="n">
        <v>0.926</v>
      </c>
      <c r="BA355" s="14" t="n">
        <v>0</v>
      </c>
      <c r="BB355" s="14" t="n">
        <v>1</v>
      </c>
      <c r="BC355" s="14" t="n">
        <v>0.534</v>
      </c>
      <c r="BD355" s="14" t="n">
        <v>0.132</v>
      </c>
      <c r="BE355" s="14" t="n">
        <v>-0.055</v>
      </c>
      <c r="BF355" s="14" t="n">
        <v>0.479</v>
      </c>
      <c r="BG355" s="14" t="n">
        <v>0</v>
      </c>
      <c r="BH355" s="14" t="n">
        <v>0</v>
      </c>
      <c r="BI355" s="14" t="n">
        <v>0.5679999999999999</v>
      </c>
      <c r="BJ355" s="14" t="n">
        <v>0.132</v>
      </c>
      <c r="BK355" s="14" t="n">
        <v>0.282</v>
      </c>
      <c r="BL355" s="14" t="n">
        <v>0.85</v>
      </c>
      <c r="BM355" s="14" t="n">
        <v>0</v>
      </c>
      <c r="BN355" s="14" t="n">
        <v>1</v>
      </c>
      <c r="BO355" s="14" t="n">
        <v>0</v>
      </c>
      <c r="BP355" s="14" t="n">
        <v>0</v>
      </c>
      <c r="BQ355" s="14" t="n">
        <v>0.177</v>
      </c>
      <c r="BR355" s="14" t="n">
        <v>0</v>
      </c>
      <c r="BS355" s="14" t="n">
        <v>0.5</v>
      </c>
      <c r="BT355" s="14" t="n">
        <v>0</v>
      </c>
      <c r="BU355" s="14" t="n">
        <v>0</v>
      </c>
      <c r="BV355" s="14" t="n">
        <v>0.21</v>
      </c>
      <c r="BW355" s="14" t="n">
        <v>0</v>
      </c>
      <c r="BX355" s="14" t="n">
        <v>0.5</v>
      </c>
      <c r="BY355" s="14" t="n">
        <v>13.646</v>
      </c>
      <c r="BZ355" s="14" t="n">
        <v>0</v>
      </c>
      <c r="CA355" s="14" t="n">
        <v>13.646</v>
      </c>
      <c r="CB355" s="14" t="n">
        <v>0</v>
      </c>
      <c r="CC355" s="14" t="n">
        <v>82.58799999999999</v>
      </c>
      <c r="CD355" s="14" t="n">
        <v>7.95</v>
      </c>
      <c r="CE355" s="14" t="n">
        <v>1.687</v>
      </c>
      <c r="CF355" s="14" t="n">
        <v>94.976</v>
      </c>
      <c r="CG355" s="14" t="n">
        <v>0.15</v>
      </c>
      <c r="CH355" s="14" t="n">
        <v>1</v>
      </c>
      <c r="CI355" s="14" t="n">
        <v>0</v>
      </c>
      <c r="CJ355" s="14" t="n">
        <v>0</v>
      </c>
      <c r="CK355" s="14" t="n">
        <v>0</v>
      </c>
      <c r="CL355" s="14" t="n">
        <v>0</v>
      </c>
      <c r="CM355" s="14" t="n">
        <v>0</v>
      </c>
      <c r="CN355" s="14" t="n">
        <v>0</v>
      </c>
      <c r="CO355" s="14" t="n">
        <v>0</v>
      </c>
      <c r="CP355" s="14" t="n">
        <v>0</v>
      </c>
      <c r="CQ355" s="14" t="n">
        <v>1.387</v>
      </c>
      <c r="CR355" s="14" t="n">
        <v>0</v>
      </c>
      <c r="CS355" s="14" t="n">
        <v>5.529</v>
      </c>
      <c r="CT355" s="14" t="n">
        <v>4.251</v>
      </c>
      <c r="CU355" s="14" t="n">
        <v>10.123</v>
      </c>
    </row>
    <row r="356">
      <c r="A356" s="14" t="inlineStr">
        <is>
          <t>HKG2021</t>
        </is>
      </c>
      <c r="B356" s="14" t="inlineStr">
        <is>
          <t>HKG</t>
        </is>
      </c>
      <c r="C356" s="14" t="inlineStr">
        <is>
          <t>HKG</t>
        </is>
      </c>
      <c r="D356" s="14" t="inlineStr">
        <is>
          <t>Hong Kong SAR</t>
        </is>
      </c>
      <c r="E356" s="14" t="n">
        <v>2021</v>
      </c>
      <c r="F356" s="14" t="n">
        <v>0</v>
      </c>
      <c r="G356" s="14" t="n">
        <v>4.747</v>
      </c>
      <c r="H356" s="14" t="n">
        <v>1.143</v>
      </c>
      <c r="I356" s="14" t="n">
        <v>0</v>
      </c>
      <c r="J356" s="14" t="n">
        <v>4.747</v>
      </c>
      <c r="K356" s="14" t="n">
        <v>0</v>
      </c>
      <c r="L356" s="14" t="n">
        <v>1</v>
      </c>
      <c r="M356" s="14" t="n">
        <v>7.964</v>
      </c>
      <c r="N356" s="14" t="n">
        <v>3.43</v>
      </c>
      <c r="O356" s="14" t="n">
        <v>0</v>
      </c>
      <c r="P356" s="14" t="n">
        <v>7.964</v>
      </c>
      <c r="Q356" s="14" t="n">
        <v>0</v>
      </c>
      <c r="R356" s="14" t="n">
        <v>1</v>
      </c>
      <c r="S356" s="14" t="n">
        <v>10.464</v>
      </c>
      <c r="T356" s="14" t="n">
        <v>6.86</v>
      </c>
      <c r="U356" s="14" t="n">
        <v>0</v>
      </c>
      <c r="V356" s="14" t="n">
        <v>10.464</v>
      </c>
      <c r="W356" s="14" t="n">
        <v>0</v>
      </c>
      <c r="X356" s="14" t="n">
        <v>1</v>
      </c>
      <c r="Y356" s="14" t="n">
        <v>39.729</v>
      </c>
      <c r="Z356" s="14" t="n">
        <v>4.388</v>
      </c>
      <c r="AA356" s="14" t="n">
        <v>-2.984</v>
      </c>
      <c r="AB356" s="14" t="n">
        <v>36.745</v>
      </c>
      <c r="AC356" s="14" t="n">
        <v>0</v>
      </c>
      <c r="AD356" s="14" t="n">
        <v>1</v>
      </c>
      <c r="AE356" s="14" t="n">
        <v>39.686</v>
      </c>
      <c r="AF356" s="14" t="n">
        <v>7.809</v>
      </c>
      <c r="AG356" s="14" t="n">
        <v>-2.941</v>
      </c>
      <c r="AH356" s="14" t="n">
        <v>36.745</v>
      </c>
      <c r="AI356" s="14" t="n">
        <v>0</v>
      </c>
      <c r="AJ356" s="14" t="n">
        <v>1</v>
      </c>
      <c r="AK356" s="14" t="n">
        <v>44.125</v>
      </c>
      <c r="AL356" s="14" t="n">
        <v>21.657</v>
      </c>
      <c r="AM356" s="14" t="n">
        <v>-6.361</v>
      </c>
      <c r="AN356" s="14" t="n">
        <v>37.763</v>
      </c>
      <c r="AO356" s="14" t="n">
        <v>0</v>
      </c>
      <c r="AP356" s="14" t="n">
        <v>1</v>
      </c>
      <c r="AQ356" s="14" t="n">
        <v>0.621</v>
      </c>
      <c r="AR356" s="14" t="n">
        <v>0.114</v>
      </c>
      <c r="AS356" s="14" t="n">
        <v>1.889</v>
      </c>
      <c r="AT356" s="14" t="n">
        <v>2.51</v>
      </c>
      <c r="AU356" s="14" t="n">
        <v>0</v>
      </c>
      <c r="AV356" s="14" t="n">
        <v>1</v>
      </c>
      <c r="AW356" s="14" t="n">
        <v>0.593</v>
      </c>
      <c r="AX356" s="14" t="n">
        <v>0.114</v>
      </c>
      <c r="AY356" s="14" t="n">
        <v>1.54</v>
      </c>
      <c r="AZ356" s="14" t="n">
        <v>2.133</v>
      </c>
      <c r="BA356" s="14" t="n">
        <v>0</v>
      </c>
      <c r="BB356" s="14" t="n">
        <v>1</v>
      </c>
      <c r="BC356" s="14" t="n">
        <v>0.44</v>
      </c>
      <c r="BD356" s="14" t="n">
        <v>0.114</v>
      </c>
      <c r="BE356" s="14" t="n">
        <v>1.705</v>
      </c>
      <c r="BF356" s="14" t="n">
        <v>2.145</v>
      </c>
      <c r="BG356" s="14" t="n">
        <v>0</v>
      </c>
      <c r="BH356" s="14" t="n">
        <v>1</v>
      </c>
      <c r="BI356" s="14" t="n">
        <v>0.5600000000000001</v>
      </c>
      <c r="BJ356" s="14" t="n">
        <v>0.114</v>
      </c>
      <c r="BK356" s="14" t="n">
        <v>0</v>
      </c>
      <c r="BL356" s="14" t="n">
        <v>0.5600000000000001</v>
      </c>
      <c r="BM356" s="14" t="n">
        <v>0</v>
      </c>
      <c r="BN356" s="14" t="n">
        <v>1</v>
      </c>
      <c r="BO356" s="14" t="n">
        <v>0</v>
      </c>
      <c r="BP356" s="14" t="n">
        <v>0</v>
      </c>
      <c r="BQ356" s="14" t="n">
        <v>0.15</v>
      </c>
      <c r="BR356" s="14" t="n">
        <v>0</v>
      </c>
      <c r="BS356" s="14" t="n">
        <v>0.833</v>
      </c>
      <c r="BT356" s="14" t="n">
        <v>0</v>
      </c>
      <c r="BU356" s="14" t="n">
        <v>0</v>
      </c>
      <c r="BV356" s="14" t="n">
        <v>0.152</v>
      </c>
      <c r="BW356" s="14" t="n">
        <v>0</v>
      </c>
      <c r="BX356" s="14" t="n">
        <v>1</v>
      </c>
      <c r="BY356" s="14" t="n">
        <v>11.787</v>
      </c>
      <c r="BZ356" s="14" t="n">
        <v>0</v>
      </c>
      <c r="CA356" s="14" t="n">
        <v>11.787</v>
      </c>
      <c r="CB356" s="14" t="n">
        <v>0</v>
      </c>
      <c r="CC356" s="14" t="n">
        <v>81.69499999999999</v>
      </c>
      <c r="CD356" s="14" t="n">
        <v>7.95</v>
      </c>
      <c r="CE356" s="14" t="n">
        <v>0</v>
      </c>
      <c r="CF356" s="14" t="n">
        <v>81.69499999999999</v>
      </c>
      <c r="CG356" s="14" t="n">
        <v>0</v>
      </c>
      <c r="CH356" s="14" t="n">
        <v>1</v>
      </c>
      <c r="CI356" s="14" t="n">
        <v>0</v>
      </c>
      <c r="CJ356" s="14" t="n">
        <v>0</v>
      </c>
      <c r="CK356" s="14" t="n">
        <v>0</v>
      </c>
      <c r="CL356" s="14" t="n">
        <v>0</v>
      </c>
      <c r="CM356" s="14" t="n">
        <v>0</v>
      </c>
      <c r="CN356" s="14" t="n">
        <v>0</v>
      </c>
      <c r="CO356" s="14" t="n">
        <v>0</v>
      </c>
      <c r="CP356" s="14" t="n">
        <v>0</v>
      </c>
      <c r="CQ356" s="14" t="n">
        <v>1.198</v>
      </c>
      <c r="CR356" s="14" t="n">
        <v>0</v>
      </c>
      <c r="CS356" s="14" t="n">
        <v>4.776</v>
      </c>
      <c r="CT356" s="14" t="n">
        <v>3.604</v>
      </c>
      <c r="CU356" s="14" t="n">
        <v>9.127000000000001</v>
      </c>
    </row>
    <row r="357">
      <c r="A357" s="14" t="inlineStr">
        <is>
          <t>HKG2022</t>
        </is>
      </c>
      <c r="B357" s="14" t="inlineStr">
        <is>
          <t>HKG</t>
        </is>
      </c>
      <c r="C357" s="14" t="inlineStr">
        <is>
          <t>HKG</t>
        </is>
      </c>
      <c r="D357" s="14" t="inlineStr">
        <is>
          <t>Hong Kong SAR</t>
        </is>
      </c>
      <c r="E357" s="14" t="n">
        <v>2022</v>
      </c>
      <c r="F357" s="14" t="n">
        <v>0</v>
      </c>
      <c r="G357" s="14" t="n">
        <v>8.788</v>
      </c>
      <c r="H357" s="14" t="n">
        <v>1.235</v>
      </c>
      <c r="I357" s="14" t="n">
        <v>0</v>
      </c>
      <c r="J357" s="14" t="n">
        <v>8.788</v>
      </c>
      <c r="K357" s="14" t="n">
        <v>0</v>
      </c>
      <c r="L357" s="14" t="n">
        <v>1</v>
      </c>
      <c r="M357" s="14" t="n">
        <v>9.782999999999999</v>
      </c>
      <c r="N357" s="14" t="n">
        <v>3.704</v>
      </c>
      <c r="O357" s="14" t="n">
        <v>0</v>
      </c>
      <c r="P357" s="14" t="n">
        <v>9.782999999999999</v>
      </c>
      <c r="Q357" s="14" t="n">
        <v>0</v>
      </c>
      <c r="R357" s="14" t="n">
        <v>1</v>
      </c>
      <c r="S357" s="14" t="n">
        <v>14.962</v>
      </c>
      <c r="T357" s="14" t="n">
        <v>7.408</v>
      </c>
      <c r="U357" s="14" t="n">
        <v>0</v>
      </c>
      <c r="V357" s="14" t="n">
        <v>14.962</v>
      </c>
      <c r="W357" s="14" t="n">
        <v>0</v>
      </c>
      <c r="X357" s="14" t="n">
        <v>1</v>
      </c>
      <c r="Y357" s="14" t="n">
        <v>42.267</v>
      </c>
      <c r="Z357" s="14" t="n">
        <v>4.434</v>
      </c>
      <c r="AA357" s="14" t="n">
        <v>-2.985</v>
      </c>
      <c r="AB357" s="14" t="n">
        <v>39.283</v>
      </c>
      <c r="AC357" s="14" t="n">
        <v>0</v>
      </c>
      <c r="AD357" s="14" t="n">
        <v>1</v>
      </c>
      <c r="AE357" s="14" t="n">
        <v>42.315</v>
      </c>
      <c r="AF357" s="14" t="n">
        <v>7.844</v>
      </c>
      <c r="AG357" s="14" t="n">
        <v>-3.032</v>
      </c>
      <c r="AH357" s="14" t="n">
        <v>39.283</v>
      </c>
      <c r="AI357" s="14" t="n">
        <v>0</v>
      </c>
      <c r="AJ357" s="14" t="n">
        <v>1</v>
      </c>
      <c r="AK357" s="14" t="n">
        <v>47.254</v>
      </c>
      <c r="AL357" s="14" t="n">
        <v>22.566</v>
      </c>
      <c r="AM357" s="14" t="n">
        <v>-7.404</v>
      </c>
      <c r="AN357" s="14" t="n">
        <v>39.85</v>
      </c>
      <c r="AO357" s="14" t="n">
        <v>0</v>
      </c>
      <c r="AP357" s="14" t="n">
        <v>1</v>
      </c>
      <c r="AQ357" s="14" t="n">
        <v>0.847</v>
      </c>
      <c r="AR357" s="14" t="n">
        <v>0.123</v>
      </c>
      <c r="AS357" s="14" t="n">
        <v>2.052</v>
      </c>
      <c r="AT357" s="14" t="n">
        <v>2.899</v>
      </c>
      <c r="AU357" s="14" t="n">
        <v>0</v>
      </c>
      <c r="AV357" s="14" t="n">
        <v>1</v>
      </c>
      <c r="AW357" s="14" t="n">
        <v>0.947</v>
      </c>
      <c r="AX357" s="14" t="n">
        <v>0.123</v>
      </c>
      <c r="AY357" s="14" t="n">
        <v>1.685</v>
      </c>
      <c r="AZ357" s="14" t="n">
        <v>2.632</v>
      </c>
      <c r="BA357" s="14" t="n">
        <v>0</v>
      </c>
      <c r="BB357" s="14" t="n">
        <v>1</v>
      </c>
      <c r="BC357" s="14" t="n">
        <v>0.589</v>
      </c>
      <c r="BD357" s="14" t="n">
        <v>0.123</v>
      </c>
      <c r="BE357" s="14" t="n">
        <v>1.74</v>
      </c>
      <c r="BF357" s="14" t="n">
        <v>2.329</v>
      </c>
      <c r="BG357" s="14" t="n">
        <v>0</v>
      </c>
      <c r="BH357" s="14" t="n">
        <v>1</v>
      </c>
      <c r="BI357" s="14" t="n">
        <v>0.6889999999999999</v>
      </c>
      <c r="BJ357" s="14" t="n">
        <v>0.123</v>
      </c>
      <c r="BK357" s="14" t="n">
        <v>0</v>
      </c>
      <c r="BL357" s="14" t="n">
        <v>0.6889999999999999</v>
      </c>
      <c r="BM357" s="14" t="n">
        <v>0</v>
      </c>
      <c r="BN357" s="14" t="n">
        <v>1</v>
      </c>
      <c r="BO357" s="14" t="n">
        <v>0</v>
      </c>
      <c r="BP357" s="14" t="n">
        <v>0</v>
      </c>
      <c r="BQ357" s="14" t="n">
        <v>0.164</v>
      </c>
      <c r="BR357" s="14" t="n">
        <v>0</v>
      </c>
      <c r="BS357" s="14" t="n">
        <v>0.833</v>
      </c>
      <c r="BT357" s="14" t="n">
        <v>0</v>
      </c>
      <c r="BU357" s="14" t="n">
        <v>0</v>
      </c>
      <c r="BV357" s="14" t="n">
        <v>0.17</v>
      </c>
      <c r="BW357" s="14" t="n">
        <v>0</v>
      </c>
      <c r="BX357" s="14" t="n">
        <v>1</v>
      </c>
      <c r="BY357" s="14" t="n">
        <v>12.729</v>
      </c>
      <c r="BZ357" s="14" t="n">
        <v>0</v>
      </c>
      <c r="CA357" s="14" t="n">
        <v>12.729</v>
      </c>
      <c r="CB357" s="14" t="n">
        <v>0</v>
      </c>
      <c r="CC357" s="14" t="n">
        <v>102.477</v>
      </c>
      <c r="CD357" s="14" t="n">
        <v>7.95</v>
      </c>
      <c r="CE357" s="14" t="n">
        <v>0</v>
      </c>
      <c r="CF357" s="14" t="n">
        <v>102.477</v>
      </c>
      <c r="CG357" s="14" t="n">
        <v>0</v>
      </c>
      <c r="CH357" s="14" t="n">
        <v>1</v>
      </c>
      <c r="CI357" s="14" t="n">
        <v>0</v>
      </c>
      <c r="CJ357" s="14" t="n">
        <v>0</v>
      </c>
      <c r="CK357" s="14" t="n">
        <v>0</v>
      </c>
      <c r="CL357" s="14" t="n">
        <v>0</v>
      </c>
      <c r="CM357" s="14" t="n">
        <v>0</v>
      </c>
      <c r="CN357" s="14" t="n">
        <v>0</v>
      </c>
      <c r="CO357" s="14" t="n">
        <v>0</v>
      </c>
      <c r="CP357" s="14" t="n">
        <v>0</v>
      </c>
      <c r="CQ357" s="14" t="n">
        <v>1.294</v>
      </c>
      <c r="CR357" s="14" t="n">
        <v>0</v>
      </c>
      <c r="CS357" s="14" t="n">
        <v>5.158</v>
      </c>
      <c r="CT357" s="14" t="n">
        <v>7.554</v>
      </c>
      <c r="CU357" s="14" t="n">
        <v>11.574</v>
      </c>
    </row>
    <row r="358">
      <c r="A358" s="14" t="inlineStr">
        <is>
          <t>HKG2023</t>
        </is>
      </c>
      <c r="B358" s="14" t="inlineStr">
        <is>
          <t>HKG</t>
        </is>
      </c>
      <c r="C358" s="14" t="inlineStr">
        <is>
          <t>HKG</t>
        </is>
      </c>
      <c r="D358" s="14" t="inlineStr">
        <is>
          <t>Hong Kong SAR</t>
        </is>
      </c>
      <c r="E358" s="14" t="n">
        <v>2023</v>
      </c>
      <c r="F358" s="14" t="n">
        <v>0</v>
      </c>
      <c r="G358" s="14" t="n">
        <v>5.77</v>
      </c>
      <c r="H358" s="14" t="n">
        <v>1.286</v>
      </c>
      <c r="I358" s="14" t="n">
        <v>0</v>
      </c>
      <c r="J358" s="14" t="n">
        <v>5.77</v>
      </c>
      <c r="K358" s="14" t="n">
        <v>0</v>
      </c>
      <c r="L358" s="14" t="n">
        <v>1</v>
      </c>
      <c r="M358" s="14" t="n">
        <v>7.886</v>
      </c>
      <c r="N358" s="14" t="n">
        <v>3.857</v>
      </c>
      <c r="O358" s="14" t="n">
        <v>0</v>
      </c>
      <c r="P358" s="14" t="n">
        <v>7.886</v>
      </c>
      <c r="Q358" s="14" t="n">
        <v>0</v>
      </c>
      <c r="R358" s="14" t="n">
        <v>1</v>
      </c>
      <c r="S358" s="14" t="n">
        <v>12.198</v>
      </c>
      <c r="T358" s="14" t="n">
        <v>7.714</v>
      </c>
      <c r="U358" s="14" t="n">
        <v>0</v>
      </c>
      <c r="V358" s="14" t="n">
        <v>12.198</v>
      </c>
      <c r="W358" s="14" t="n">
        <v>0</v>
      </c>
      <c r="X358" s="14" t="n">
        <v>1</v>
      </c>
      <c r="Y358" s="14" t="n">
        <v>35.424</v>
      </c>
      <c r="Z358" s="14" t="n">
        <v>3.968</v>
      </c>
      <c r="AA358" s="14" t="n">
        <v>3.114</v>
      </c>
      <c r="AB358" s="14" t="n">
        <v>38.538</v>
      </c>
      <c r="AC358" s="14" t="n">
        <v>0</v>
      </c>
      <c r="AD358" s="14" t="n">
        <v>1</v>
      </c>
      <c r="AE358" s="14" t="n">
        <v>35.523</v>
      </c>
      <c r="AF358" s="14" t="n">
        <v>7.075</v>
      </c>
      <c r="AG358" s="14" t="n">
        <v>3.015</v>
      </c>
      <c r="AH358" s="14" t="n">
        <v>38.538</v>
      </c>
      <c r="AI358" s="14" t="n">
        <v>0</v>
      </c>
      <c r="AJ358" s="14" t="n">
        <v>1</v>
      </c>
      <c r="AK358" s="14" t="n">
        <v>40.666</v>
      </c>
      <c r="AL358" s="14" t="n">
        <v>20.145</v>
      </c>
      <c r="AM358" s="14" t="n">
        <v>-1.125</v>
      </c>
      <c r="AN358" s="14" t="n">
        <v>39.54</v>
      </c>
      <c r="AO358" s="14" t="n">
        <v>0</v>
      </c>
      <c r="AP358" s="14" t="n">
        <v>1</v>
      </c>
      <c r="AQ358" s="14" t="n">
        <v>0.749</v>
      </c>
      <c r="AR358" s="14" t="n">
        <v>0.129</v>
      </c>
      <c r="AS358" s="14" t="n">
        <v>2.268</v>
      </c>
      <c r="AT358" s="14" t="n">
        <v>3.016</v>
      </c>
      <c r="AU358" s="14" t="n">
        <v>0</v>
      </c>
      <c r="AV358" s="14" t="n">
        <v>1</v>
      </c>
      <c r="AW358" s="14" t="n">
        <v>0.783</v>
      </c>
      <c r="AX358" s="14" t="n">
        <v>0.129</v>
      </c>
      <c r="AY358" s="14" t="n">
        <v>1.983</v>
      </c>
      <c r="AZ358" s="14" t="n">
        <v>2.765</v>
      </c>
      <c r="BA358" s="14" t="n">
        <v>0</v>
      </c>
      <c r="BB358" s="14" t="n">
        <v>1</v>
      </c>
      <c r="BC358" s="14" t="n">
        <v>0.527</v>
      </c>
      <c r="BD358" s="14" t="n">
        <v>0.129</v>
      </c>
      <c r="BE358" s="14" t="n">
        <v>1.888</v>
      </c>
      <c r="BF358" s="14" t="n">
        <v>2.416</v>
      </c>
      <c r="BG358" s="14" t="n">
        <v>0</v>
      </c>
      <c r="BH358" s="14" t="n">
        <v>1</v>
      </c>
      <c r="BI358" s="14" t="n">
        <v>0.64</v>
      </c>
      <c r="BJ358" s="14" t="n">
        <v>0.129</v>
      </c>
      <c r="BK358" s="14" t="n">
        <v>0</v>
      </c>
      <c r="BL358" s="14" t="n">
        <v>0.64</v>
      </c>
      <c r="BM358" s="14" t="n">
        <v>0</v>
      </c>
      <c r="BN358" s="14" t="n">
        <v>1</v>
      </c>
      <c r="BO358" s="14" t="n">
        <v>0</v>
      </c>
      <c r="BP358" s="14" t="n">
        <v>0</v>
      </c>
      <c r="BQ358" s="14" t="n">
        <v>0.184</v>
      </c>
      <c r="BR358" s="14" t="n">
        <v>0</v>
      </c>
      <c r="BS358" s="14" t="n">
        <v>0.833</v>
      </c>
      <c r="BT358" s="14" t="n">
        <v>0</v>
      </c>
      <c r="BU358" s="14" t="n">
        <v>0</v>
      </c>
      <c r="BV358" s="14" t="n">
        <v>0.198</v>
      </c>
      <c r="BW358" s="14" t="n">
        <v>0</v>
      </c>
      <c r="BX358" s="14" t="n">
        <v>1</v>
      </c>
      <c r="BY358" s="14" t="n">
        <v>13.254</v>
      </c>
      <c r="BZ358" s="14" t="n">
        <v>0</v>
      </c>
      <c r="CA358" s="14" t="n">
        <v>13.254</v>
      </c>
      <c r="CB358" s="14" t="n">
        <v>0</v>
      </c>
      <c r="CC358" s="14" t="n">
        <v>87.07899999999999</v>
      </c>
      <c r="CD358" s="14" t="n">
        <v>7.95</v>
      </c>
      <c r="CE358" s="14" t="n">
        <v>0</v>
      </c>
      <c r="CF358" s="14" t="n">
        <v>87.07899999999999</v>
      </c>
      <c r="CG358" s="14" t="n">
        <v>0</v>
      </c>
      <c r="CH358" s="14" t="n">
        <v>1</v>
      </c>
      <c r="CI358" s="14" t="n">
        <v>0</v>
      </c>
      <c r="CJ358" s="14" t="n">
        <v>0</v>
      </c>
      <c r="CK358" s="14" t="n">
        <v>0</v>
      </c>
      <c r="CL358" s="14" t="n">
        <v>0</v>
      </c>
      <c r="CM358" s="14" t="n">
        <v>0</v>
      </c>
      <c r="CN358" s="14" t="n">
        <v>0</v>
      </c>
      <c r="CO358" s="14" t="n">
        <v>0</v>
      </c>
      <c r="CP358" s="14" t="n">
        <v>0</v>
      </c>
      <c r="CQ358" s="14" t="n">
        <v>1.348</v>
      </c>
      <c r="CR358" s="14" t="n">
        <v>0</v>
      </c>
      <c r="CS358" s="14" t="n">
        <v>4.68</v>
      </c>
      <c r="CT358" s="14" t="n">
        <v>4.484</v>
      </c>
      <c r="CU358" s="14" t="n">
        <v>4.68</v>
      </c>
    </row>
    <row r="359">
      <c r="A359" s="14" t="inlineStr">
        <is>
          <t>HKG2024</t>
        </is>
      </c>
      <c r="B359" s="14" t="inlineStr">
        <is>
          <t>HKG</t>
        </is>
      </c>
      <c r="C359" s="14" t="inlineStr">
        <is>
          <t>HKG</t>
        </is>
      </c>
      <c r="D359" s="14" t="inlineStr">
        <is>
          <t>Hong Kong SAR</t>
        </is>
      </c>
      <c r="E359" s="14" t="n">
        <v>2024</v>
      </c>
      <c r="F359" s="14" t="n">
        <v>0</v>
      </c>
      <c r="G359" s="14" t="n">
        <v>4.833</v>
      </c>
      <c r="H359" s="14" t="n">
        <v>1.324</v>
      </c>
      <c r="I359" s="14" t="n">
        <v>0</v>
      </c>
      <c r="J359" s="14" t="n">
        <v>4.833</v>
      </c>
      <c r="K359" s="14" t="n">
        <v>0</v>
      </c>
      <c r="L359" s="14" t="n">
        <v>1</v>
      </c>
      <c r="M359" s="14" t="n">
        <v>7.124</v>
      </c>
      <c r="N359" s="14" t="n">
        <v>3.971</v>
      </c>
      <c r="O359" s="14" t="n">
        <v>0</v>
      </c>
      <c r="P359" s="14" t="n">
        <v>7.124</v>
      </c>
      <c r="Q359" s="14" t="n">
        <v>0</v>
      </c>
      <c r="R359" s="14" t="n">
        <v>1</v>
      </c>
      <c r="S359" s="14" t="n">
        <v>11.451</v>
      </c>
      <c r="T359" s="14" t="n">
        <v>7.942</v>
      </c>
      <c r="U359" s="14" t="n">
        <v>0</v>
      </c>
      <c r="V359" s="14" t="n">
        <v>11.451</v>
      </c>
      <c r="W359" s="14" t="n">
        <v>0</v>
      </c>
      <c r="X359" s="14" t="n">
        <v>1</v>
      </c>
      <c r="Y359" s="14" t="n">
        <v>39.742</v>
      </c>
      <c r="Z359" s="14" t="n">
        <v>5.018</v>
      </c>
      <c r="AA359" s="14" t="n">
        <v>0</v>
      </c>
      <c r="AB359" s="14" t="n">
        <v>39.742</v>
      </c>
      <c r="AC359" s="14" t="n">
        <v>0</v>
      </c>
      <c r="AD359" s="14" t="n">
        <v>1</v>
      </c>
      <c r="AE359" s="14" t="n">
        <v>39.742</v>
      </c>
      <c r="AF359" s="14" t="n">
        <v>8.706</v>
      </c>
      <c r="AG359" s="14" t="n">
        <v>0</v>
      </c>
      <c r="AH359" s="14" t="n">
        <v>39.742</v>
      </c>
      <c r="AI359" s="14" t="n">
        <v>0</v>
      </c>
      <c r="AJ359" s="14" t="n">
        <v>1</v>
      </c>
      <c r="AK359" s="14" t="n">
        <v>44.582</v>
      </c>
      <c r="AL359" s="14" t="n">
        <v>22.676</v>
      </c>
      <c r="AM359" s="14" t="n">
        <v>-3.843</v>
      </c>
      <c r="AN359" s="14" t="n">
        <v>40.739</v>
      </c>
      <c r="AO359" s="14" t="n">
        <v>0</v>
      </c>
      <c r="AP359" s="14" t="n">
        <v>1</v>
      </c>
      <c r="AQ359" s="14" t="n">
        <v>0.72</v>
      </c>
      <c r="AR359" s="14" t="n">
        <v>0.132</v>
      </c>
      <c r="AS359" s="14" t="n">
        <v>2.506</v>
      </c>
      <c r="AT359" s="14" t="n">
        <v>3.226</v>
      </c>
      <c r="AU359" s="14" t="n">
        <v>0</v>
      </c>
      <c r="AV359" s="14" t="n">
        <v>1</v>
      </c>
      <c r="AW359" s="14" t="n">
        <v>0.734</v>
      </c>
      <c r="AX359" s="14" t="n">
        <v>0.132</v>
      </c>
      <c r="AY359" s="14" t="n">
        <v>2.349</v>
      </c>
      <c r="AZ359" s="14" t="n">
        <v>3.083</v>
      </c>
      <c r="BA359" s="14" t="n">
        <v>0</v>
      </c>
      <c r="BB359" s="14" t="n">
        <v>1</v>
      </c>
      <c r="BC359" s="14" t="n">
        <v>0.51</v>
      </c>
      <c r="BD359" s="14" t="n">
        <v>0.132</v>
      </c>
      <c r="BE359" s="14" t="n">
        <v>1.973</v>
      </c>
      <c r="BF359" s="14" t="n">
        <v>2.483</v>
      </c>
      <c r="BG359" s="14" t="n">
        <v>0</v>
      </c>
      <c r="BH359" s="14" t="n">
        <v>1</v>
      </c>
      <c r="BI359" s="14" t="n">
        <v>0.652</v>
      </c>
      <c r="BJ359" s="14" t="n">
        <v>0.132</v>
      </c>
      <c r="BK359" s="14" t="n">
        <v>0</v>
      </c>
      <c r="BL359" s="14" t="n">
        <v>0.652</v>
      </c>
      <c r="BM359" s="14" t="n">
        <v>0</v>
      </c>
      <c r="BN359" s="14" t="n">
        <v>1</v>
      </c>
      <c r="BO359" s="14" t="n">
        <v>0</v>
      </c>
      <c r="BP359" s="14" t="n">
        <v>0</v>
      </c>
      <c r="BQ359" s="14" t="n">
        <v>0.17</v>
      </c>
      <c r="BR359" s="14" t="n">
        <v>0</v>
      </c>
      <c r="BS359" s="14" t="n">
        <v>0.833</v>
      </c>
      <c r="BT359" s="14" t="n">
        <v>0</v>
      </c>
      <c r="BU359" s="14" t="n">
        <v>0</v>
      </c>
      <c r="BV359" s="14" t="n">
        <v>0.179</v>
      </c>
      <c r="BW359" s="14" t="n">
        <v>0</v>
      </c>
      <c r="BX359" s="14" t="n">
        <v>1</v>
      </c>
      <c r="BY359" s="14" t="n">
        <v>13.646</v>
      </c>
      <c r="BZ359" s="14" t="n">
        <v>0</v>
      </c>
      <c r="CA359" s="14" t="n">
        <v>13.646</v>
      </c>
      <c r="CB359" s="14" t="n">
        <v>0</v>
      </c>
      <c r="CC359" s="14" t="n">
        <v>86.38500000000001</v>
      </c>
      <c r="CD359" s="14" t="n">
        <v>7.95</v>
      </c>
      <c r="CE359" s="14" t="n">
        <v>0</v>
      </c>
      <c r="CF359" s="14" t="n">
        <v>86.38500000000001</v>
      </c>
      <c r="CG359" s="14" t="n">
        <v>0</v>
      </c>
      <c r="CH359" s="14" t="n">
        <v>1</v>
      </c>
      <c r="CI359" s="14" t="n">
        <v>0</v>
      </c>
      <c r="CJ359" s="14" t="n">
        <v>0</v>
      </c>
      <c r="CK359" s="14" t="n">
        <v>0</v>
      </c>
      <c r="CL359" s="14" t="n">
        <v>0</v>
      </c>
      <c r="CM359" s="14" t="n">
        <v>0</v>
      </c>
      <c r="CN359" s="14" t="n">
        <v>0</v>
      </c>
      <c r="CO359" s="14" t="n">
        <v>0</v>
      </c>
      <c r="CP359" s="14" t="n">
        <v>0</v>
      </c>
      <c r="CQ359" s="14" t="n">
        <v>1.387</v>
      </c>
      <c r="CR359" s="14" t="n">
        <v>0</v>
      </c>
      <c r="CS359" s="14" t="n">
        <v>4.07</v>
      </c>
      <c r="CT359" s="14" t="n">
        <v>3.509</v>
      </c>
      <c r="CU359" s="14" t="n">
        <v>4.07</v>
      </c>
    </row>
    <row r="360">
      <c r="A360" s="14" t="inlineStr">
        <is>
          <t>HUN2021</t>
        </is>
      </c>
      <c r="B360" s="14" t="inlineStr">
        <is>
          <t>HUN</t>
        </is>
      </c>
      <c r="C360" s="14" t="inlineStr">
        <is>
          <t>HUN</t>
        </is>
      </c>
      <c r="D360" s="14" t="inlineStr">
        <is>
          <t>Hungary</t>
        </is>
      </c>
      <c r="E360" s="14" t="n">
        <v>2021</v>
      </c>
      <c r="F360" s="14" t="n">
        <v>0.27</v>
      </c>
      <c r="G360" s="14" t="n">
        <v>4.784</v>
      </c>
      <c r="H360" s="14" t="n">
        <v>0.9320000000000001</v>
      </c>
      <c r="I360" s="14" t="n">
        <v>1.023</v>
      </c>
      <c r="J360" s="14" t="n">
        <v>5.807</v>
      </c>
      <c r="K360" s="14" t="n">
        <v>0</v>
      </c>
      <c r="L360" s="14" t="n">
        <v>1</v>
      </c>
      <c r="M360" s="14" t="n">
        <v>7.131</v>
      </c>
      <c r="N360" s="14" t="n">
        <v>2.796</v>
      </c>
      <c r="O360" s="14" t="n">
        <v>1.06</v>
      </c>
      <c r="P360" s="14" t="n">
        <v>8.192</v>
      </c>
      <c r="Q360" s="14" t="n">
        <v>0</v>
      </c>
      <c r="R360" s="14" t="n">
        <v>1</v>
      </c>
      <c r="S360" s="14" t="n">
        <v>5.602</v>
      </c>
      <c r="T360" s="14" t="n">
        <v>3.472</v>
      </c>
      <c r="U360" s="14" t="n">
        <v>0.036</v>
      </c>
      <c r="V360" s="14" t="n">
        <v>7.16</v>
      </c>
      <c r="W360" s="14" t="n">
        <v>0.27</v>
      </c>
      <c r="X360" s="14" t="n">
        <v>1</v>
      </c>
      <c r="Y360" s="14" t="n">
        <v>17.959</v>
      </c>
      <c r="Z360" s="14" t="n">
        <v>1.984</v>
      </c>
      <c r="AA360" s="14" t="n">
        <v>-6.131</v>
      </c>
      <c r="AB360" s="14" t="n">
        <v>11.828</v>
      </c>
      <c r="AC360" s="14" t="n">
        <v>0</v>
      </c>
      <c r="AD360" s="14" t="n">
        <v>1</v>
      </c>
      <c r="AE360" s="14" t="n">
        <v>17.915</v>
      </c>
      <c r="AF360" s="14" t="n">
        <v>3.525</v>
      </c>
      <c r="AG360" s="14" t="n">
        <v>-6.087</v>
      </c>
      <c r="AH360" s="14" t="n">
        <v>11.828</v>
      </c>
      <c r="AI360" s="14" t="n">
        <v>0</v>
      </c>
      <c r="AJ360" s="14" t="n">
        <v>1</v>
      </c>
      <c r="AK360" s="14" t="n">
        <v>20.226</v>
      </c>
      <c r="AL360" s="14" t="n">
        <v>9.927</v>
      </c>
      <c r="AM360" s="14" t="n">
        <v>-12.316</v>
      </c>
      <c r="AN360" s="14" t="n">
        <v>10.046</v>
      </c>
      <c r="AO360" s="14" t="n">
        <v>0</v>
      </c>
      <c r="AP360" s="14" t="n">
        <v>0</v>
      </c>
      <c r="AQ360" s="14" t="n">
        <v>0.619</v>
      </c>
      <c r="AR360" s="14" t="n">
        <v>0.114</v>
      </c>
      <c r="AS360" s="14" t="n">
        <v>0.526</v>
      </c>
      <c r="AT360" s="14" t="n">
        <v>1.455</v>
      </c>
      <c r="AU360" s="14" t="n">
        <v>0.27</v>
      </c>
      <c r="AV360" s="14" t="n">
        <v>1</v>
      </c>
      <c r="AW360" s="14" t="n">
        <v>0.599</v>
      </c>
      <c r="AX360" s="14" t="n">
        <v>0.114</v>
      </c>
      <c r="AY360" s="14" t="n">
        <v>0.5580000000000001</v>
      </c>
      <c r="AZ360" s="14" t="n">
        <v>1.47</v>
      </c>
      <c r="BA360" s="14" t="n">
        <v>0.27</v>
      </c>
      <c r="BB360" s="14" t="n">
        <v>1</v>
      </c>
      <c r="BC360" s="14" t="n">
        <v>0.439</v>
      </c>
      <c r="BD360" s="14" t="n">
        <v>0.114</v>
      </c>
      <c r="BE360" s="14" t="n">
        <v>0.284</v>
      </c>
      <c r="BF360" s="14" t="n">
        <v>0.919</v>
      </c>
      <c r="BG360" s="14" t="n">
        <v>0.27</v>
      </c>
      <c r="BH360" s="14" t="n">
        <v>1</v>
      </c>
      <c r="BI360" s="14" t="n">
        <v>0.505</v>
      </c>
      <c r="BJ360" s="14" t="n">
        <v>0.114</v>
      </c>
      <c r="BK360" s="14" t="n">
        <v>0.653</v>
      </c>
      <c r="BL360" s="14" t="n">
        <v>1.471</v>
      </c>
      <c r="BM360" s="14" t="n">
        <v>0.27</v>
      </c>
      <c r="BN360" s="14" t="n">
        <v>1</v>
      </c>
      <c r="BO360" s="14" t="n">
        <v>0</v>
      </c>
      <c r="BP360" s="14" t="n">
        <v>0.008</v>
      </c>
      <c r="BQ360" s="14" t="n">
        <v>0.098</v>
      </c>
      <c r="BR360" s="14" t="n">
        <v>0</v>
      </c>
      <c r="BS360" s="14" t="n">
        <v>0.833</v>
      </c>
      <c r="BT360" s="14" t="n">
        <v>0</v>
      </c>
      <c r="BU360" s="14" t="n">
        <v>0</v>
      </c>
      <c r="BV360" s="14" t="n">
        <v>0.119</v>
      </c>
      <c r="BW360" s="14" t="n">
        <v>0.27</v>
      </c>
      <c r="BX360" s="14" t="n">
        <v>1</v>
      </c>
      <c r="BY360" s="14" t="n">
        <v>11.787</v>
      </c>
      <c r="BZ360" s="14" t="n">
        <v>0</v>
      </c>
      <c r="CA360" s="14" t="n">
        <v>11.787</v>
      </c>
      <c r="CB360" s="14" t="n">
        <v>0</v>
      </c>
      <c r="CC360" s="14" t="n">
        <v>78.125</v>
      </c>
      <c r="CD360" s="14" t="n">
        <v>7.95</v>
      </c>
      <c r="CE360" s="14" t="n">
        <v>110.456</v>
      </c>
      <c r="CF360" s="14" t="n">
        <v>239.498</v>
      </c>
      <c r="CG360" s="14" t="n">
        <v>0.27</v>
      </c>
      <c r="CH360" s="14" t="n">
        <v>1</v>
      </c>
      <c r="CI360" s="14" t="n">
        <v>0</v>
      </c>
      <c r="CJ360" s="14" t="n">
        <v>0</v>
      </c>
      <c r="CK360" s="14" t="n">
        <v>0</v>
      </c>
      <c r="CL360" s="14" t="n">
        <v>0</v>
      </c>
      <c r="CM360" s="14" t="n">
        <v>0</v>
      </c>
      <c r="CN360" s="14" t="n">
        <v>0</v>
      </c>
      <c r="CO360" s="14" t="n">
        <v>0</v>
      </c>
      <c r="CP360" s="14" t="n">
        <v>0.37</v>
      </c>
      <c r="CQ360" s="14" t="n">
        <v>1.198</v>
      </c>
      <c r="CR360" s="14" t="n">
        <v>0</v>
      </c>
      <c r="CS360" s="14" t="n">
        <v>3.093</v>
      </c>
      <c r="CT360" s="14" t="n">
        <v>5.408</v>
      </c>
      <c r="CU360" s="14" t="n">
        <v>12.007</v>
      </c>
    </row>
    <row r="361">
      <c r="A361" s="14" t="inlineStr">
        <is>
          <t>HUN2022</t>
        </is>
      </c>
      <c r="B361" s="14" t="inlineStr">
        <is>
          <t>HUN</t>
        </is>
      </c>
      <c r="C361" s="14" t="inlineStr">
        <is>
          <t>HUN</t>
        </is>
      </c>
      <c r="D361" s="14" t="inlineStr">
        <is>
          <t>Hungary</t>
        </is>
      </c>
      <c r="E361" s="14" t="n">
        <v>2022</v>
      </c>
      <c r="F361" s="14" t="n">
        <v>0.27</v>
      </c>
      <c r="G361" s="14" t="n">
        <v>4.052</v>
      </c>
      <c r="H361" s="14" t="n">
        <v>0.928</v>
      </c>
      <c r="I361" s="14" t="n">
        <v>8.752000000000001</v>
      </c>
      <c r="J361" s="14" t="n">
        <v>12.804</v>
      </c>
      <c r="K361" s="14" t="n">
        <v>0</v>
      </c>
      <c r="L361" s="14" t="n">
        <v>1</v>
      </c>
      <c r="M361" s="14" t="n">
        <v>8.563000000000001</v>
      </c>
      <c r="N361" s="14" t="n">
        <v>2.785</v>
      </c>
      <c r="O361" s="14" t="n">
        <v>8.436999999999999</v>
      </c>
      <c r="P361" s="14" t="n">
        <v>17</v>
      </c>
      <c r="Q361" s="14" t="n">
        <v>0</v>
      </c>
      <c r="R361" s="14" t="n">
        <v>1</v>
      </c>
      <c r="S361" s="14" t="n">
        <v>5.701</v>
      </c>
      <c r="T361" s="14" t="n">
        <v>2.792</v>
      </c>
      <c r="U361" s="14" t="n">
        <v>0.038</v>
      </c>
      <c r="V361" s="14" t="n">
        <v>7.288</v>
      </c>
      <c r="W361" s="14" t="n">
        <v>0.27</v>
      </c>
      <c r="X361" s="14" t="n">
        <v>1</v>
      </c>
      <c r="Y361" s="14" t="n">
        <v>43.743</v>
      </c>
      <c r="Z361" s="14" t="n">
        <v>4.589</v>
      </c>
      <c r="AA361" s="14" t="n">
        <v>-7.658</v>
      </c>
      <c r="AB361" s="14" t="n">
        <v>36.085</v>
      </c>
      <c r="AC361" s="14" t="n">
        <v>0</v>
      </c>
      <c r="AD361" s="14" t="n">
        <v>1</v>
      </c>
      <c r="AE361" s="14" t="n">
        <v>43.791</v>
      </c>
      <c r="AF361" s="14" t="n">
        <v>8.118</v>
      </c>
      <c r="AG361" s="14" t="n">
        <v>-7.706</v>
      </c>
      <c r="AH361" s="14" t="n">
        <v>36.085</v>
      </c>
      <c r="AI361" s="14" t="n">
        <v>0</v>
      </c>
      <c r="AJ361" s="14" t="n">
        <v>1</v>
      </c>
      <c r="AK361" s="14" t="n">
        <v>46.65</v>
      </c>
      <c r="AL361" s="14" t="n">
        <v>22.277</v>
      </c>
      <c r="AM361" s="14" t="n">
        <v>-39.278</v>
      </c>
      <c r="AN361" s="14" t="n">
        <v>9.363</v>
      </c>
      <c r="AO361" s="14" t="n">
        <v>0</v>
      </c>
      <c r="AP361" s="14" t="n">
        <v>0</v>
      </c>
      <c r="AQ361" s="14" t="n">
        <v>0.861</v>
      </c>
      <c r="AR361" s="14" t="n">
        <v>0.123</v>
      </c>
      <c r="AS361" s="14" t="n">
        <v>0.251</v>
      </c>
      <c r="AT361" s="14" t="n">
        <v>1.412</v>
      </c>
      <c r="AU361" s="14" t="n">
        <v>0.27</v>
      </c>
      <c r="AV361" s="14" t="n">
        <v>1</v>
      </c>
      <c r="AW361" s="14" t="n">
        <v>0.986</v>
      </c>
      <c r="AX361" s="14" t="n">
        <v>0.123</v>
      </c>
      <c r="AY361" s="14" t="n">
        <v>0.265</v>
      </c>
      <c r="AZ361" s="14" t="n">
        <v>1.589</v>
      </c>
      <c r="BA361" s="14" t="n">
        <v>0.27</v>
      </c>
      <c r="BB361" s="14" t="n">
        <v>1</v>
      </c>
      <c r="BC361" s="14" t="n">
        <v>0.598</v>
      </c>
      <c r="BD361" s="14" t="n">
        <v>0.123</v>
      </c>
      <c r="BE361" s="14" t="n">
        <v>0.194</v>
      </c>
      <c r="BF361" s="14" t="n">
        <v>1.006</v>
      </c>
      <c r="BG361" s="14" t="n">
        <v>0.27</v>
      </c>
      <c r="BH361" s="14" t="n">
        <v>1</v>
      </c>
      <c r="BI361" s="14" t="n">
        <v>0.612</v>
      </c>
      <c r="BJ361" s="14" t="n">
        <v>0.123</v>
      </c>
      <c r="BK361" s="14" t="n">
        <v>0.613</v>
      </c>
      <c r="BL361" s="14" t="n">
        <v>1.556</v>
      </c>
      <c r="BM361" s="14" t="n">
        <v>0.27</v>
      </c>
      <c r="BN361" s="14" t="n">
        <v>1</v>
      </c>
      <c r="BO361" s="14" t="n">
        <v>0</v>
      </c>
      <c r="BP361" s="14" t="n">
        <v>-0.002</v>
      </c>
      <c r="BQ361" s="14" t="n">
        <v>0.223</v>
      </c>
      <c r="BR361" s="14" t="n">
        <v>0</v>
      </c>
      <c r="BS361" s="14" t="n">
        <v>0.833</v>
      </c>
      <c r="BT361" s="14" t="n">
        <v>0</v>
      </c>
      <c r="BU361" s="14" t="n">
        <v>0</v>
      </c>
      <c r="BV361" s="14" t="n">
        <v>0.107</v>
      </c>
      <c r="BW361" s="14" t="n">
        <v>0.27</v>
      </c>
      <c r="BX361" s="14" t="n">
        <v>1</v>
      </c>
      <c r="BY361" s="14" t="n">
        <v>12.729</v>
      </c>
      <c r="BZ361" s="14" t="n">
        <v>0</v>
      </c>
      <c r="CA361" s="14" t="n">
        <v>12.729</v>
      </c>
      <c r="CB361" s="14" t="n">
        <v>0</v>
      </c>
      <c r="CC361" s="14" t="n">
        <v>97.90000000000001</v>
      </c>
      <c r="CD361" s="14" t="n">
        <v>7.95</v>
      </c>
      <c r="CE361" s="14" t="n">
        <v>128.96</v>
      </c>
      <c r="CF361" s="14" t="n">
        <v>288.112</v>
      </c>
      <c r="CG361" s="14" t="n">
        <v>0.27</v>
      </c>
      <c r="CH361" s="14" t="n">
        <v>1</v>
      </c>
      <c r="CI361" s="14" t="n">
        <v>0</v>
      </c>
      <c r="CJ361" s="14" t="n">
        <v>0</v>
      </c>
      <c r="CK361" s="14" t="n">
        <v>0</v>
      </c>
      <c r="CL361" s="14" t="n">
        <v>0</v>
      </c>
      <c r="CM361" s="14" t="n">
        <v>0</v>
      </c>
      <c r="CN361" s="14" t="n">
        <v>0</v>
      </c>
      <c r="CO361" s="14" t="n">
        <v>0</v>
      </c>
      <c r="CP361" s="14" t="n">
        <v>0.496</v>
      </c>
      <c r="CQ361" s="14" t="n">
        <v>1.294</v>
      </c>
      <c r="CR361" s="14" t="n">
        <v>0</v>
      </c>
      <c r="CS361" s="14" t="n">
        <v>3.34</v>
      </c>
      <c r="CT361" s="14" t="n">
        <v>4.925</v>
      </c>
      <c r="CU361" s="14" t="n">
        <v>37.7</v>
      </c>
    </row>
    <row r="362">
      <c r="A362" s="14" t="inlineStr">
        <is>
          <t>HUN2023</t>
        </is>
      </c>
      <c r="B362" s="14" t="inlineStr">
        <is>
          <t>HUN</t>
        </is>
      </c>
      <c r="C362" s="14" t="inlineStr">
        <is>
          <t>HUN</t>
        </is>
      </c>
      <c r="D362" s="14" t="inlineStr">
        <is>
          <t>Hungary</t>
        </is>
      </c>
      <c r="E362" s="14" t="n">
        <v>2023</v>
      </c>
      <c r="F362" s="14" t="n">
        <v>0.27</v>
      </c>
      <c r="G362" s="14" t="n">
        <v>2.574</v>
      </c>
      <c r="H362" s="14" t="n">
        <v>0.868</v>
      </c>
      <c r="I362" s="14" t="n">
        <v>10.142</v>
      </c>
      <c r="J362" s="14" t="n">
        <v>12.717</v>
      </c>
      <c r="K362" s="14" t="n">
        <v>0</v>
      </c>
      <c r="L362" s="14" t="n">
        <v>1</v>
      </c>
      <c r="M362" s="14" t="n">
        <v>5.996</v>
      </c>
      <c r="N362" s="14" t="n">
        <v>2.605</v>
      </c>
      <c r="O362" s="14" t="n">
        <v>9.769</v>
      </c>
      <c r="P362" s="14" t="n">
        <v>15.765</v>
      </c>
      <c r="Q362" s="14" t="n">
        <v>0</v>
      </c>
      <c r="R362" s="14" t="n">
        <v>1</v>
      </c>
      <c r="S362" s="14" t="n">
        <v>7.537</v>
      </c>
      <c r="T362" s="14" t="n">
        <v>4.727</v>
      </c>
      <c r="U362" s="14" t="n">
        <v>0.04</v>
      </c>
      <c r="V362" s="14" t="n">
        <v>9.622</v>
      </c>
      <c r="W362" s="14" t="n">
        <v>0.27</v>
      </c>
      <c r="X362" s="14" t="n">
        <v>1</v>
      </c>
      <c r="Y362" s="14" t="n">
        <v>19.798</v>
      </c>
      <c r="Z362" s="14" t="n">
        <v>2.218</v>
      </c>
      <c r="AA362" s="14" t="n">
        <v>13.859</v>
      </c>
      <c r="AB362" s="14" t="n">
        <v>33.657</v>
      </c>
      <c r="AC362" s="14" t="n">
        <v>0</v>
      </c>
      <c r="AD362" s="14" t="n">
        <v>1</v>
      </c>
      <c r="AE362" s="14" t="n">
        <v>19.896</v>
      </c>
      <c r="AF362" s="14" t="n">
        <v>3.963</v>
      </c>
      <c r="AG362" s="14" t="n">
        <v>13.76</v>
      </c>
      <c r="AH362" s="14" t="n">
        <v>33.657</v>
      </c>
      <c r="AI362" s="14" t="n">
        <v>0</v>
      </c>
      <c r="AJ362" s="14" t="n">
        <v>1</v>
      </c>
      <c r="AK362" s="14" t="n">
        <v>23.062</v>
      </c>
      <c r="AL362" s="14" t="n">
        <v>11.424</v>
      </c>
      <c r="AM362" s="14" t="n">
        <v>-15.123</v>
      </c>
      <c r="AN362" s="14" t="n">
        <v>10.082</v>
      </c>
      <c r="AO362" s="14" t="n">
        <v>0</v>
      </c>
      <c r="AP362" s="14" t="n">
        <v>0</v>
      </c>
      <c r="AQ362" s="14" t="n">
        <v>0.76</v>
      </c>
      <c r="AR362" s="14" t="n">
        <v>0.129</v>
      </c>
      <c r="AS362" s="14" t="n">
        <v>0.589</v>
      </c>
      <c r="AT362" s="14" t="n">
        <v>1.713</v>
      </c>
      <c r="AU362" s="14" t="n">
        <v>0.27</v>
      </c>
      <c r="AV362" s="14" t="n">
        <v>1</v>
      </c>
      <c r="AW362" s="14" t="n">
        <v>0.8110000000000001</v>
      </c>
      <c r="AX362" s="14" t="n">
        <v>0.129</v>
      </c>
      <c r="AY362" s="14" t="n">
        <v>0.569</v>
      </c>
      <c r="AZ362" s="14" t="n">
        <v>1.754</v>
      </c>
      <c r="BA362" s="14" t="n">
        <v>0.27</v>
      </c>
      <c r="BB362" s="14" t="n">
        <v>1</v>
      </c>
      <c r="BC362" s="14" t="n">
        <v>0.535</v>
      </c>
      <c r="BD362" s="14" t="n">
        <v>0.129</v>
      </c>
      <c r="BE362" s="14" t="n">
        <v>0.208</v>
      </c>
      <c r="BF362" s="14" t="n">
        <v>0.9429999999999999</v>
      </c>
      <c r="BG362" s="14" t="n">
        <v>0.27</v>
      </c>
      <c r="BH362" s="14" t="n">
        <v>1</v>
      </c>
      <c r="BI362" s="14" t="n">
        <v>0.579</v>
      </c>
      <c r="BJ362" s="14" t="n">
        <v>0.129</v>
      </c>
      <c r="BK362" s="14" t="n">
        <v>0.8</v>
      </c>
      <c r="BL362" s="14" t="n">
        <v>1.752</v>
      </c>
      <c r="BM362" s="14" t="n">
        <v>0.27</v>
      </c>
      <c r="BN362" s="14" t="n">
        <v>1</v>
      </c>
      <c r="BO362" s="14" t="n">
        <v>0</v>
      </c>
      <c r="BP362" s="14" t="n">
        <v>0.008999999999999999</v>
      </c>
      <c r="BQ362" s="14" t="n">
        <v>0.262</v>
      </c>
      <c r="BR362" s="14" t="n">
        <v>0</v>
      </c>
      <c r="BS362" s="14" t="n">
        <v>0.833</v>
      </c>
      <c r="BT362" s="14" t="n">
        <v>0</v>
      </c>
      <c r="BU362" s="14" t="n">
        <v>0</v>
      </c>
      <c r="BV362" s="14" t="n">
        <v>0.124</v>
      </c>
      <c r="BW362" s="14" t="n">
        <v>0.27</v>
      </c>
      <c r="BX362" s="14" t="n">
        <v>1</v>
      </c>
      <c r="BY362" s="14" t="n">
        <v>13.254</v>
      </c>
      <c r="BZ362" s="14" t="n">
        <v>0</v>
      </c>
      <c r="CA362" s="14" t="n">
        <v>13.254</v>
      </c>
      <c r="CB362" s="14" t="n">
        <v>0</v>
      </c>
      <c r="CC362" s="14" t="n">
        <v>83.248</v>
      </c>
      <c r="CD362" s="14" t="n">
        <v>7.95</v>
      </c>
      <c r="CE362" s="14" t="n">
        <v>172.959</v>
      </c>
      <c r="CF362" s="14" t="n">
        <v>325.383</v>
      </c>
      <c r="CG362" s="14" t="n">
        <v>0.27</v>
      </c>
      <c r="CH362" s="14" t="n">
        <v>1</v>
      </c>
      <c r="CI362" s="14" t="n">
        <v>0</v>
      </c>
      <c r="CJ362" s="14" t="n">
        <v>0</v>
      </c>
      <c r="CK362" s="14" t="n">
        <v>0</v>
      </c>
      <c r="CL362" s="14" t="n">
        <v>0</v>
      </c>
      <c r="CM362" s="14" t="n">
        <v>0</v>
      </c>
      <c r="CN362" s="14" t="n">
        <v>0</v>
      </c>
      <c r="CO362" s="14" t="n">
        <v>0</v>
      </c>
      <c r="CP362" s="14" t="n">
        <v>0.649</v>
      </c>
      <c r="CQ362" s="14" t="n">
        <v>1.348</v>
      </c>
      <c r="CR362" s="14" t="n">
        <v>0</v>
      </c>
      <c r="CS362" s="14" t="n">
        <v>3.478</v>
      </c>
      <c r="CT362" s="14" t="n">
        <v>2.37</v>
      </c>
      <c r="CU362" s="14" t="n">
        <v>13.704</v>
      </c>
    </row>
    <row r="363">
      <c r="A363" s="14" t="inlineStr">
        <is>
          <t>HUN2024</t>
        </is>
      </c>
      <c r="B363" s="14" t="inlineStr">
        <is>
          <t>HUN</t>
        </is>
      </c>
      <c r="C363" s="14" t="inlineStr">
        <is>
          <t>HUN</t>
        </is>
      </c>
      <c r="D363" s="14" t="inlineStr">
        <is>
          <t>Hungary</t>
        </is>
      </c>
      <c r="E363" s="14" t="n">
        <v>2024</v>
      </c>
      <c r="F363" s="14" t="n">
        <v>0.27</v>
      </c>
      <c r="G363" s="14" t="n">
        <v>2.445</v>
      </c>
      <c r="H363" s="14" t="n">
        <v>0.894</v>
      </c>
      <c r="I363" s="14" t="n">
        <v>9.936</v>
      </c>
      <c r="J363" s="14" t="n">
        <v>12.382</v>
      </c>
      <c r="K363" s="14" t="n">
        <v>0</v>
      </c>
      <c r="L363" s="14" t="n">
        <v>1</v>
      </c>
      <c r="M363" s="14" t="n">
        <v>6.327</v>
      </c>
      <c r="N363" s="14" t="n">
        <v>2.682</v>
      </c>
      <c r="O363" s="14" t="n">
        <v>6.436</v>
      </c>
      <c r="P363" s="14" t="n">
        <v>12.763</v>
      </c>
      <c r="Q363" s="14" t="n">
        <v>0</v>
      </c>
      <c r="R363" s="14" t="n">
        <v>1</v>
      </c>
      <c r="S363" s="14" t="n">
        <v>3.262</v>
      </c>
      <c r="T363" s="14" t="n">
        <v>2.16</v>
      </c>
      <c r="U363" s="14" t="n">
        <v>4.042</v>
      </c>
      <c r="V363" s="14" t="n">
        <v>9.276999999999999</v>
      </c>
      <c r="W363" s="14" t="n">
        <v>0.27</v>
      </c>
      <c r="X363" s="14" t="n">
        <v>1</v>
      </c>
      <c r="Y363" s="14" t="n">
        <v>17.328</v>
      </c>
      <c r="Z363" s="14" t="n">
        <v>2.188</v>
      </c>
      <c r="AA363" s="14" t="n">
        <v>4.862</v>
      </c>
      <c r="AB363" s="14" t="n">
        <v>22.19</v>
      </c>
      <c r="AC363" s="14" t="n">
        <v>0</v>
      </c>
      <c r="AD363" s="14" t="n">
        <v>1</v>
      </c>
      <c r="AE363" s="14" t="n">
        <v>17.328</v>
      </c>
      <c r="AF363" s="14" t="n">
        <v>3.796</v>
      </c>
      <c r="AG363" s="14" t="n">
        <v>4.862</v>
      </c>
      <c r="AH363" s="14" t="n">
        <v>22.19</v>
      </c>
      <c r="AI363" s="14" t="n">
        <v>0</v>
      </c>
      <c r="AJ363" s="14" t="n">
        <v>1</v>
      </c>
      <c r="AK363" s="14" t="n">
        <v>17.328</v>
      </c>
      <c r="AL363" s="14" t="n">
        <v>8.813000000000001</v>
      </c>
      <c r="AM363" s="14" t="n">
        <v>-10.343</v>
      </c>
      <c r="AN363" s="14" t="n">
        <v>8.871</v>
      </c>
      <c r="AO363" s="14" t="n">
        <v>0</v>
      </c>
      <c r="AP363" s="14" t="n">
        <v>0</v>
      </c>
      <c r="AQ363" s="14" t="n">
        <v>0.724</v>
      </c>
      <c r="AR363" s="14" t="n">
        <v>0.132</v>
      </c>
      <c r="AS363" s="14" t="n">
        <v>0.596</v>
      </c>
      <c r="AT363" s="14" t="n">
        <v>1.677</v>
      </c>
      <c r="AU363" s="14" t="n">
        <v>0.27</v>
      </c>
      <c r="AV363" s="14" t="n">
        <v>1</v>
      </c>
      <c r="AW363" s="14" t="n">
        <v>0.75</v>
      </c>
      <c r="AX363" s="14" t="n">
        <v>0.132</v>
      </c>
      <c r="AY363" s="14" t="n">
        <v>0.6</v>
      </c>
      <c r="AZ363" s="14" t="n">
        <v>1.714</v>
      </c>
      <c r="BA363" s="14" t="n">
        <v>0.27</v>
      </c>
      <c r="BB363" s="14" t="n">
        <v>1</v>
      </c>
      <c r="BC363" s="14" t="n">
        <v>0.513</v>
      </c>
      <c r="BD363" s="14" t="n">
        <v>0.132</v>
      </c>
      <c r="BE363" s="14" t="n">
        <v>0.243</v>
      </c>
      <c r="BF363" s="14" t="n">
        <v>0.96</v>
      </c>
      <c r="BG363" s="14" t="n">
        <v>0.27</v>
      </c>
      <c r="BH363" s="14" t="n">
        <v>1</v>
      </c>
      <c r="BI363" s="14" t="n">
        <v>0.591</v>
      </c>
      <c r="BJ363" s="14" t="n">
        <v>0.132</v>
      </c>
      <c r="BK363" s="14" t="n">
        <v>0.674</v>
      </c>
      <c r="BL363" s="14" t="n">
        <v>1.607</v>
      </c>
      <c r="BM363" s="14" t="n">
        <v>0.27</v>
      </c>
      <c r="BN363" s="14" t="n">
        <v>1</v>
      </c>
      <c r="BO363" s="14" t="n">
        <v>0</v>
      </c>
      <c r="BP363" s="14" t="n">
        <v>0.02</v>
      </c>
      <c r="BQ363" s="14" t="n">
        <v>0.193</v>
      </c>
      <c r="BR363" s="14" t="n">
        <v>0</v>
      </c>
      <c r="BS363" s="14" t="n">
        <v>0.833</v>
      </c>
      <c r="BT363" s="14" t="n">
        <v>0</v>
      </c>
      <c r="BU363" s="14" t="n">
        <v>0</v>
      </c>
      <c r="BV363" s="14" t="n">
        <v>0.115</v>
      </c>
      <c r="BW363" s="14" t="n">
        <v>0.27</v>
      </c>
      <c r="BX363" s="14" t="n">
        <v>1</v>
      </c>
      <c r="BY363" s="14" t="n">
        <v>13.646</v>
      </c>
      <c r="BZ363" s="14" t="n">
        <v>0</v>
      </c>
      <c r="CA363" s="14" t="n">
        <v>13.646</v>
      </c>
      <c r="CB363" s="14" t="n">
        <v>0</v>
      </c>
      <c r="CC363" s="14" t="n">
        <v>82.58799999999999</v>
      </c>
      <c r="CD363" s="14" t="n">
        <v>7.95</v>
      </c>
      <c r="CE363" s="14" t="n">
        <v>154.404</v>
      </c>
      <c r="CF363" s="14" t="n">
        <v>300.979</v>
      </c>
      <c r="CG363" s="14" t="n">
        <v>0.27</v>
      </c>
      <c r="CH363" s="14" t="n">
        <v>1</v>
      </c>
      <c r="CI363" s="14" t="n">
        <v>0</v>
      </c>
      <c r="CJ363" s="14" t="n">
        <v>0</v>
      </c>
      <c r="CK363" s="14" t="n">
        <v>0</v>
      </c>
      <c r="CL363" s="14" t="n">
        <v>0</v>
      </c>
      <c r="CM363" s="14" t="n">
        <v>0</v>
      </c>
      <c r="CN363" s="14" t="n">
        <v>0</v>
      </c>
      <c r="CO363" s="14" t="n">
        <v>0</v>
      </c>
      <c r="CP363" s="14" t="n">
        <v>0.649</v>
      </c>
      <c r="CQ363" s="14" t="n">
        <v>1.387</v>
      </c>
      <c r="CR363" s="14" t="n">
        <v>0</v>
      </c>
      <c r="CS363" s="14" t="n">
        <v>3.581</v>
      </c>
      <c r="CT363" s="14" t="n">
        <v>1.854</v>
      </c>
      <c r="CU363" s="14" t="n">
        <v>9.872999999999999</v>
      </c>
    </row>
    <row r="364">
      <c r="A364" s="14" t="inlineStr">
        <is>
          <t>ISL2021</t>
        </is>
      </c>
      <c r="B364" s="14" t="inlineStr">
        <is>
          <t>ISL</t>
        </is>
      </c>
      <c r="C364" s="14" t="inlineStr">
        <is>
          <t>ISL</t>
        </is>
      </c>
      <c r="D364" s="14" t="inlineStr">
        <is>
          <t>Iceland</t>
        </is>
      </c>
      <c r="E364" s="14" t="n">
        <v>2021</v>
      </c>
      <c r="F364" s="14" t="n">
        <v>0.24</v>
      </c>
      <c r="G364" s="14" t="n">
        <v>6.008</v>
      </c>
      <c r="H364" s="14" t="n">
        <v>1.143</v>
      </c>
      <c r="I364" s="14" t="n">
        <v>2.593</v>
      </c>
      <c r="J364" s="14" t="n">
        <v>8.601000000000001</v>
      </c>
      <c r="K364" s="14" t="n">
        <v>0</v>
      </c>
      <c r="L364" s="14" t="n">
        <v>1</v>
      </c>
      <c r="M364" s="14" t="n">
        <v>7.964</v>
      </c>
      <c r="N364" s="14" t="n">
        <v>3.43</v>
      </c>
      <c r="O364" s="14" t="n">
        <v>2.547</v>
      </c>
      <c r="P364" s="14" t="n">
        <v>10.512</v>
      </c>
      <c r="Q364" s="14" t="n">
        <v>0</v>
      </c>
      <c r="R364" s="14" t="n">
        <v>1</v>
      </c>
      <c r="S364" s="14" t="n">
        <v>11.725</v>
      </c>
      <c r="T364" s="14" t="n">
        <v>6.86</v>
      </c>
      <c r="U364" s="14" t="n">
        <v>0</v>
      </c>
      <c r="V364" s="14" t="n">
        <v>14.539</v>
      </c>
      <c r="W364" s="14" t="n">
        <v>0.24</v>
      </c>
      <c r="X364" s="14" t="n">
        <v>1</v>
      </c>
      <c r="Y364" s="14" t="n">
        <v>13.336</v>
      </c>
      <c r="Z364" s="14" t="n">
        <v>1.946</v>
      </c>
      <c r="AA364" s="14" t="n">
        <v>1.968</v>
      </c>
      <c r="AB364" s="14" t="n">
        <v>15.304</v>
      </c>
      <c r="AC364" s="14" t="n">
        <v>0</v>
      </c>
      <c r="AD364" s="14" t="n">
        <v>1</v>
      </c>
      <c r="AE364" s="14" t="n">
        <v>14.48</v>
      </c>
      <c r="AF364" s="14" t="n">
        <v>3.623</v>
      </c>
      <c r="AG364" s="14" t="n">
        <v>1.969</v>
      </c>
      <c r="AH364" s="14" t="n">
        <v>16.448</v>
      </c>
      <c r="AI364" s="14" t="n">
        <v>0</v>
      </c>
      <c r="AJ364" s="14" t="n">
        <v>1</v>
      </c>
      <c r="AK364" s="14" t="n">
        <v>21.34</v>
      </c>
      <c r="AL364" s="14" t="n">
        <v>11.853</v>
      </c>
      <c r="AM364" s="14" t="n">
        <v>0.624</v>
      </c>
      <c r="AN364" s="14" t="n">
        <v>27.235</v>
      </c>
      <c r="AO364" s="14" t="n">
        <v>0.24</v>
      </c>
      <c r="AP364" s="14" t="n">
        <v>1</v>
      </c>
      <c r="AQ364" s="14" t="n">
        <v>0.619</v>
      </c>
      <c r="AR364" s="14" t="n">
        <v>0.114</v>
      </c>
      <c r="AS364" s="14" t="n">
        <v>0.9360000000000001</v>
      </c>
      <c r="AT364" s="14" t="n">
        <v>1.928</v>
      </c>
      <c r="AU364" s="14" t="n">
        <v>0.24</v>
      </c>
      <c r="AV364" s="14" t="n">
        <v>1</v>
      </c>
      <c r="AW364" s="14" t="n">
        <v>0.599</v>
      </c>
      <c r="AX364" s="14" t="n">
        <v>0.114</v>
      </c>
      <c r="AY364" s="14" t="n">
        <v>0.865</v>
      </c>
      <c r="AZ364" s="14" t="n">
        <v>1.816</v>
      </c>
      <c r="BA364" s="14" t="n">
        <v>0.24</v>
      </c>
      <c r="BB364" s="14" t="n">
        <v>1</v>
      </c>
      <c r="BC364" s="14" t="n">
        <v>0.439</v>
      </c>
      <c r="BD364" s="14" t="n">
        <v>0.114</v>
      </c>
      <c r="BE364" s="14" t="n">
        <v>0.019</v>
      </c>
      <c r="BF364" s="14" t="n">
        <v>0.5669999999999999</v>
      </c>
      <c r="BG364" s="14" t="n">
        <v>0.24</v>
      </c>
      <c r="BH364" s="14" t="n">
        <v>1</v>
      </c>
      <c r="BI364" s="14" t="n">
        <v>0.505</v>
      </c>
      <c r="BJ364" s="14" t="n">
        <v>0.114</v>
      </c>
      <c r="BK364" s="14" t="n">
        <v>0.453</v>
      </c>
      <c r="BL364" s="14" t="n">
        <v>1.188</v>
      </c>
      <c r="BM364" s="14" t="n">
        <v>0.24</v>
      </c>
      <c r="BN364" s="14" t="n">
        <v>1</v>
      </c>
      <c r="BO364" s="14" t="n">
        <v>0</v>
      </c>
      <c r="BP364" s="14" t="n">
        <v>0.004</v>
      </c>
      <c r="BQ364" s="14" t="n">
        <v>0.057</v>
      </c>
      <c r="BR364" s="14" t="n">
        <v>0</v>
      </c>
      <c r="BS364" s="14" t="n">
        <v>1</v>
      </c>
      <c r="BT364" s="14" t="n">
        <v>0</v>
      </c>
      <c r="BU364" s="14" t="n">
        <v>0.003</v>
      </c>
      <c r="BV364" s="14" t="n">
        <v>0.162</v>
      </c>
      <c r="BW364" s="14" t="n">
        <v>0.24</v>
      </c>
      <c r="BX364" s="14" t="n">
        <v>0.833</v>
      </c>
      <c r="BY364" s="14" t="n">
        <v>11.787</v>
      </c>
      <c r="BZ364" s="14" t="n">
        <v>0</v>
      </c>
      <c r="CA364" s="14" t="n">
        <v>11.787</v>
      </c>
      <c r="CB364" s="14" t="n">
        <v>0</v>
      </c>
      <c r="CC364" s="14" t="n">
        <v>78.125</v>
      </c>
      <c r="CD364" s="14" t="n">
        <v>7.95</v>
      </c>
      <c r="CE364" s="14" t="n">
        <v>77.274</v>
      </c>
      <c r="CF364" s="14" t="n">
        <v>192.695</v>
      </c>
      <c r="CG364" s="14" t="n">
        <v>0.24</v>
      </c>
      <c r="CH364" s="14" t="n">
        <v>1</v>
      </c>
      <c r="CI364" s="14" t="n">
        <v>0</v>
      </c>
      <c r="CJ364" s="14" t="n">
        <v>0</v>
      </c>
      <c r="CK364" s="14" t="n">
        <v>0</v>
      </c>
      <c r="CL364" s="14" t="n">
        <v>0</v>
      </c>
      <c r="CM364" s="14" t="n">
        <v>0</v>
      </c>
      <c r="CN364" s="14" t="n">
        <v>0</v>
      </c>
      <c r="CO364" s="14" t="n">
        <v>0</v>
      </c>
      <c r="CP364" s="14" t="n">
        <v>0</v>
      </c>
      <c r="CQ364" s="14" t="n">
        <v>1.198</v>
      </c>
      <c r="CR364" s="14" t="n">
        <v>0</v>
      </c>
      <c r="CS364" s="14" t="n">
        <v>4.776</v>
      </c>
      <c r="CT364" s="14" t="n">
        <v>4.865</v>
      </c>
      <c r="CU364" s="14" t="n">
        <v>15.658</v>
      </c>
    </row>
    <row r="365">
      <c r="A365" s="14" t="inlineStr">
        <is>
          <t>ISL2022</t>
        </is>
      </c>
      <c r="B365" s="14" t="inlineStr">
        <is>
          <t>ISL</t>
        </is>
      </c>
      <c r="C365" s="14" t="inlineStr">
        <is>
          <t>ISL</t>
        </is>
      </c>
      <c r="D365" s="14" t="inlineStr">
        <is>
          <t>Iceland</t>
        </is>
      </c>
      <c r="E365" s="14" t="n">
        <v>2022</v>
      </c>
      <c r="F365" s="14" t="n">
        <v>0.24</v>
      </c>
      <c r="G365" s="14" t="n">
        <v>12.793</v>
      </c>
      <c r="H365" s="14" t="n">
        <v>1.235</v>
      </c>
      <c r="I365" s="14" t="n">
        <v>8.414</v>
      </c>
      <c r="J365" s="14" t="n">
        <v>21.207</v>
      </c>
      <c r="K365" s="14" t="n">
        <v>0</v>
      </c>
      <c r="L365" s="14" t="n">
        <v>1</v>
      </c>
      <c r="M365" s="14" t="n">
        <v>9.782999999999999</v>
      </c>
      <c r="N365" s="14" t="n">
        <v>3.704</v>
      </c>
      <c r="O365" s="14" t="n">
        <v>8.266</v>
      </c>
      <c r="P365" s="14" t="n">
        <v>18.049</v>
      </c>
      <c r="Q365" s="14" t="n">
        <v>0</v>
      </c>
      <c r="R365" s="14" t="n">
        <v>1</v>
      </c>
      <c r="S365" s="14" t="n">
        <v>18.967</v>
      </c>
      <c r="T365" s="14" t="n">
        <v>7.408</v>
      </c>
      <c r="U365" s="14" t="n">
        <v>0.337</v>
      </c>
      <c r="V365" s="14" t="n">
        <v>23.519</v>
      </c>
      <c r="W365" s="14" t="n">
        <v>0.24</v>
      </c>
      <c r="X365" s="14" t="n">
        <v>1</v>
      </c>
      <c r="Y365" s="14" t="n">
        <v>12.446</v>
      </c>
      <c r="Z365" s="14" t="n">
        <v>1.816</v>
      </c>
      <c r="AA365" s="14" t="n">
        <v>6.829</v>
      </c>
      <c r="AB365" s="14" t="n">
        <v>19.275</v>
      </c>
      <c r="AC365" s="14" t="n">
        <v>0</v>
      </c>
      <c r="AD365" s="14" t="n">
        <v>1</v>
      </c>
      <c r="AE365" s="14" t="n">
        <v>13.68</v>
      </c>
      <c r="AF365" s="14" t="n">
        <v>3.423</v>
      </c>
      <c r="AG365" s="14" t="n">
        <v>6.831</v>
      </c>
      <c r="AH365" s="14" t="n">
        <v>20.511</v>
      </c>
      <c r="AI365" s="14" t="n">
        <v>0</v>
      </c>
      <c r="AJ365" s="14" t="n">
        <v>1</v>
      </c>
      <c r="AK365" s="14" t="n">
        <v>21.089</v>
      </c>
      <c r="AL365" s="14" t="n">
        <v>11.713</v>
      </c>
      <c r="AM365" s="14" t="n">
        <v>2.41</v>
      </c>
      <c r="AN365" s="14" t="n">
        <v>28.63</v>
      </c>
      <c r="AO365" s="14" t="n">
        <v>0.24</v>
      </c>
      <c r="AP365" s="14" t="n">
        <v>1</v>
      </c>
      <c r="AQ365" s="14" t="n">
        <v>0.861</v>
      </c>
      <c r="AR365" s="14" t="n">
        <v>0.123</v>
      </c>
      <c r="AS365" s="14" t="n">
        <v>0.993</v>
      </c>
      <c r="AT365" s="14" t="n">
        <v>2.299</v>
      </c>
      <c r="AU365" s="14" t="n">
        <v>0.24</v>
      </c>
      <c r="AV365" s="14" t="n">
        <v>1</v>
      </c>
      <c r="AW365" s="14" t="n">
        <v>0.986</v>
      </c>
      <c r="AX365" s="14" t="n">
        <v>0.123</v>
      </c>
      <c r="AY365" s="14" t="n">
        <v>0.852</v>
      </c>
      <c r="AZ365" s="14" t="n">
        <v>2.279</v>
      </c>
      <c r="BA365" s="14" t="n">
        <v>0.24</v>
      </c>
      <c r="BB365" s="14" t="n">
        <v>1</v>
      </c>
      <c r="BC365" s="14" t="n">
        <v>0.598</v>
      </c>
      <c r="BD365" s="14" t="n">
        <v>0.123</v>
      </c>
      <c r="BE365" s="14" t="n">
        <v>0.07099999999999999</v>
      </c>
      <c r="BF365" s="14" t="n">
        <v>0.8139999999999999</v>
      </c>
      <c r="BG365" s="14" t="n">
        <v>0.24</v>
      </c>
      <c r="BH365" s="14" t="n">
        <v>1</v>
      </c>
      <c r="BI365" s="14" t="n">
        <v>0.612</v>
      </c>
      <c r="BJ365" s="14" t="n">
        <v>0.123</v>
      </c>
      <c r="BK365" s="14" t="n">
        <v>0.301</v>
      </c>
      <c r="BL365" s="14" t="n">
        <v>1.132</v>
      </c>
      <c r="BM365" s="14" t="n">
        <v>0.24</v>
      </c>
      <c r="BN365" s="14" t="n">
        <v>1</v>
      </c>
      <c r="BO365" s="14" t="n">
        <v>0</v>
      </c>
      <c r="BP365" s="14" t="n">
        <v>0.002</v>
      </c>
      <c r="BQ365" s="14" t="n">
        <v>0.06900000000000001</v>
      </c>
      <c r="BR365" s="14" t="n">
        <v>0</v>
      </c>
      <c r="BS365" s="14" t="n">
        <v>1</v>
      </c>
      <c r="BT365" s="14" t="n">
        <v>0</v>
      </c>
      <c r="BU365" s="14" t="n">
        <v>0.003</v>
      </c>
      <c r="BV365" s="14" t="n">
        <v>0.162</v>
      </c>
      <c r="BW365" s="14" t="n">
        <v>0.24</v>
      </c>
      <c r="BX365" s="14" t="n">
        <v>0.833</v>
      </c>
      <c r="BY365" s="14" t="n">
        <v>12.729</v>
      </c>
      <c r="BZ365" s="14" t="n">
        <v>0</v>
      </c>
      <c r="CA365" s="14" t="n">
        <v>12.729</v>
      </c>
      <c r="CB365" s="14" t="n">
        <v>0</v>
      </c>
      <c r="CC365" s="14" t="n">
        <v>97.90000000000001</v>
      </c>
      <c r="CD365" s="14" t="n">
        <v>7.95</v>
      </c>
      <c r="CE365" s="14" t="n">
        <v>50.254</v>
      </c>
      <c r="CF365" s="14" t="n">
        <v>183.711</v>
      </c>
      <c r="CG365" s="14" t="n">
        <v>0.24</v>
      </c>
      <c r="CH365" s="14" t="n">
        <v>1</v>
      </c>
      <c r="CI365" s="14" t="n">
        <v>0</v>
      </c>
      <c r="CJ365" s="14" t="n">
        <v>0</v>
      </c>
      <c r="CK365" s="14" t="n">
        <v>0</v>
      </c>
      <c r="CL365" s="14" t="n">
        <v>0</v>
      </c>
      <c r="CM365" s="14" t="n">
        <v>0</v>
      </c>
      <c r="CN365" s="14" t="n">
        <v>0</v>
      </c>
      <c r="CO365" s="14" t="n">
        <v>0</v>
      </c>
      <c r="CP365" s="14" t="n">
        <v>0</v>
      </c>
      <c r="CQ365" s="14" t="n">
        <v>1.294</v>
      </c>
      <c r="CR365" s="14" t="n">
        <v>0</v>
      </c>
      <c r="CS365" s="14" t="n">
        <v>5.158</v>
      </c>
      <c r="CT365" s="14" t="n">
        <v>11.559</v>
      </c>
      <c r="CU365" s="14" t="n">
        <v>29.266</v>
      </c>
    </row>
    <row r="366">
      <c r="A366" s="14" t="inlineStr">
        <is>
          <t>ISL2023</t>
        </is>
      </c>
      <c r="B366" s="14" t="inlineStr">
        <is>
          <t>ISL</t>
        </is>
      </c>
      <c r="C366" s="14" t="inlineStr">
        <is>
          <t>ISL</t>
        </is>
      </c>
      <c r="D366" s="14" t="inlineStr">
        <is>
          <t>Iceland</t>
        </is>
      </c>
      <c r="E366" s="14" t="n">
        <v>2023</v>
      </c>
      <c r="F366" s="14" t="n">
        <v>0.24</v>
      </c>
      <c r="G366" s="14" t="n">
        <v>6.426</v>
      </c>
      <c r="H366" s="14" t="n">
        <v>1.286</v>
      </c>
      <c r="I366" s="14" t="n">
        <v>9.750999999999999</v>
      </c>
      <c r="J366" s="14" t="n">
        <v>16.177</v>
      </c>
      <c r="K366" s="14" t="n">
        <v>0</v>
      </c>
      <c r="L366" s="14" t="n">
        <v>1</v>
      </c>
      <c r="M366" s="14" t="n">
        <v>7.886</v>
      </c>
      <c r="N366" s="14" t="n">
        <v>3.857</v>
      </c>
      <c r="O366" s="14" t="n">
        <v>9.579000000000001</v>
      </c>
      <c r="P366" s="14" t="n">
        <v>17.465</v>
      </c>
      <c r="Q366" s="14" t="n">
        <v>0</v>
      </c>
      <c r="R366" s="14" t="n">
        <v>1</v>
      </c>
      <c r="S366" s="14" t="n">
        <v>12.854</v>
      </c>
      <c r="T366" s="14" t="n">
        <v>7.714</v>
      </c>
      <c r="U366" s="14" t="n">
        <v>0.342</v>
      </c>
      <c r="V366" s="14" t="n">
        <v>15.939</v>
      </c>
      <c r="W366" s="14" t="n">
        <v>0.24</v>
      </c>
      <c r="X366" s="14" t="n">
        <v>1</v>
      </c>
      <c r="Y366" s="14" t="n">
        <v>12.546</v>
      </c>
      <c r="Z366" s="14" t="n">
        <v>1.83</v>
      </c>
      <c r="AA366" s="14" t="n">
        <v>7.71</v>
      </c>
      <c r="AB366" s="14" t="n">
        <v>20.256</v>
      </c>
      <c r="AC366" s="14" t="n">
        <v>0</v>
      </c>
      <c r="AD366" s="14" t="n">
        <v>1</v>
      </c>
      <c r="AE366" s="14" t="n">
        <v>13.832</v>
      </c>
      <c r="AF366" s="14" t="n">
        <v>3.461</v>
      </c>
      <c r="AG366" s="14" t="n">
        <v>7.713</v>
      </c>
      <c r="AH366" s="14" t="n">
        <v>21.545</v>
      </c>
      <c r="AI366" s="14" t="n">
        <v>0</v>
      </c>
      <c r="AJ366" s="14" t="n">
        <v>1</v>
      </c>
      <c r="AK366" s="14" t="n">
        <v>21.546</v>
      </c>
      <c r="AL366" s="14" t="n">
        <v>11.967</v>
      </c>
      <c r="AM366" s="14" t="n">
        <v>2.744</v>
      </c>
      <c r="AN366" s="14" t="n">
        <v>29.339</v>
      </c>
      <c r="AO366" s="14" t="n">
        <v>0.24</v>
      </c>
      <c r="AP366" s="14" t="n">
        <v>1</v>
      </c>
      <c r="AQ366" s="14" t="n">
        <v>0.76</v>
      </c>
      <c r="AR366" s="14" t="n">
        <v>0.129</v>
      </c>
      <c r="AS366" s="14" t="n">
        <v>1.085</v>
      </c>
      <c r="AT366" s="14" t="n">
        <v>2.289</v>
      </c>
      <c r="AU366" s="14" t="n">
        <v>0.24</v>
      </c>
      <c r="AV366" s="14" t="n">
        <v>1</v>
      </c>
      <c r="AW366" s="14" t="n">
        <v>0.8110000000000001</v>
      </c>
      <c r="AX366" s="14" t="n">
        <v>0.129</v>
      </c>
      <c r="AY366" s="14" t="n">
        <v>1.042</v>
      </c>
      <c r="AZ366" s="14" t="n">
        <v>2.298</v>
      </c>
      <c r="BA366" s="14" t="n">
        <v>0.24</v>
      </c>
      <c r="BB366" s="14" t="n">
        <v>1</v>
      </c>
      <c r="BC366" s="14" t="n">
        <v>0.535</v>
      </c>
      <c r="BD366" s="14" t="n">
        <v>0.129</v>
      </c>
      <c r="BE366" s="14" t="n">
        <v>0.078</v>
      </c>
      <c r="BF366" s="14" t="n">
        <v>0.741</v>
      </c>
      <c r="BG366" s="14" t="n">
        <v>0.24</v>
      </c>
      <c r="BH366" s="14" t="n">
        <v>1</v>
      </c>
      <c r="BI366" s="14" t="n">
        <v>0.579</v>
      </c>
      <c r="BJ366" s="14" t="n">
        <v>0.129</v>
      </c>
      <c r="BK366" s="14" t="n">
        <v>0.458</v>
      </c>
      <c r="BL366" s="14" t="n">
        <v>1.286</v>
      </c>
      <c r="BM366" s="14" t="n">
        <v>0.24</v>
      </c>
      <c r="BN366" s="14" t="n">
        <v>1</v>
      </c>
      <c r="BO366" s="14" t="n">
        <v>0</v>
      </c>
      <c r="BP366" s="14" t="n">
        <v>0.002</v>
      </c>
      <c r="BQ366" s="14" t="n">
        <v>0.073</v>
      </c>
      <c r="BR366" s="14" t="n">
        <v>0</v>
      </c>
      <c r="BS366" s="14" t="n">
        <v>1</v>
      </c>
      <c r="BT366" s="14" t="n">
        <v>0</v>
      </c>
      <c r="BU366" s="14" t="n">
        <v>0.003</v>
      </c>
      <c r="BV366" s="14" t="n">
        <v>0.17</v>
      </c>
      <c r="BW366" s="14" t="n">
        <v>0.24</v>
      </c>
      <c r="BX366" s="14" t="n">
        <v>0.833</v>
      </c>
      <c r="BY366" s="14" t="n">
        <v>13.254</v>
      </c>
      <c r="BZ366" s="14" t="n">
        <v>0</v>
      </c>
      <c r="CA366" s="14" t="n">
        <v>13.254</v>
      </c>
      <c r="CB366" s="14" t="n">
        <v>0</v>
      </c>
      <c r="CC366" s="14" t="n">
        <v>83.248</v>
      </c>
      <c r="CD366" s="14" t="n">
        <v>7.95</v>
      </c>
      <c r="CE366" s="14" t="n">
        <v>85.05500000000001</v>
      </c>
      <c r="CF366" s="14" t="n">
        <v>208.696</v>
      </c>
      <c r="CG366" s="14" t="n">
        <v>0.24</v>
      </c>
      <c r="CH366" s="14" t="n">
        <v>1</v>
      </c>
      <c r="CI366" s="14" t="n">
        <v>0</v>
      </c>
      <c r="CJ366" s="14" t="n">
        <v>0</v>
      </c>
      <c r="CK366" s="14" t="n">
        <v>0</v>
      </c>
      <c r="CL366" s="14" t="n">
        <v>0</v>
      </c>
      <c r="CM366" s="14" t="n">
        <v>0</v>
      </c>
      <c r="CN366" s="14" t="n">
        <v>0</v>
      </c>
      <c r="CO366" s="14" t="n">
        <v>0</v>
      </c>
      <c r="CP366" s="14" t="n">
        <v>0</v>
      </c>
      <c r="CQ366" s="14" t="n">
        <v>1.348</v>
      </c>
      <c r="CR366" s="14" t="n">
        <v>0</v>
      </c>
      <c r="CS366" s="14" t="n">
        <v>5.37</v>
      </c>
      <c r="CT366" s="14" t="n">
        <v>5.14</v>
      </c>
      <c r="CU366" s="14" t="n">
        <v>11.72</v>
      </c>
    </row>
    <row r="367">
      <c r="A367" s="14" t="inlineStr">
        <is>
          <t>ISL2024</t>
        </is>
      </c>
      <c r="B367" s="14" t="inlineStr">
        <is>
          <t>ISL</t>
        </is>
      </c>
      <c r="C367" s="14" t="inlineStr">
        <is>
          <t>ISL</t>
        </is>
      </c>
      <c r="D367" s="14" t="inlineStr">
        <is>
          <t>Iceland</t>
        </is>
      </c>
      <c r="E367" s="14" t="n">
        <v>2024</v>
      </c>
      <c r="F367" s="14" t="n">
        <v>0.24</v>
      </c>
      <c r="G367" s="14" t="n">
        <v>5.346</v>
      </c>
      <c r="H367" s="14" t="n">
        <v>1.324</v>
      </c>
      <c r="I367" s="14" t="n">
        <v>6.39</v>
      </c>
      <c r="J367" s="14" t="n">
        <v>11.736</v>
      </c>
      <c r="K367" s="14" t="n">
        <v>0</v>
      </c>
      <c r="L367" s="14" t="n">
        <v>1</v>
      </c>
      <c r="M367" s="14" t="n">
        <v>7.124</v>
      </c>
      <c r="N367" s="14" t="n">
        <v>3.971</v>
      </c>
      <c r="O367" s="14" t="n">
        <v>6.278</v>
      </c>
      <c r="P367" s="14" t="n">
        <v>13.401</v>
      </c>
      <c r="Q367" s="14" t="n">
        <v>0</v>
      </c>
      <c r="R367" s="14" t="n">
        <v>1</v>
      </c>
      <c r="S367" s="14" t="n">
        <v>11.964</v>
      </c>
      <c r="T367" s="14" t="n">
        <v>7.942</v>
      </c>
      <c r="U367" s="14" t="n">
        <v>0.391</v>
      </c>
      <c r="V367" s="14" t="n">
        <v>14.835</v>
      </c>
      <c r="W367" s="14" t="n">
        <v>0.24</v>
      </c>
      <c r="X367" s="14" t="n">
        <v>1</v>
      </c>
      <c r="Y367" s="14" t="n">
        <v>10.08</v>
      </c>
      <c r="Z367" s="14" t="n">
        <v>1.471</v>
      </c>
      <c r="AA367" s="14" t="n">
        <v>5.867</v>
      </c>
      <c r="AB367" s="14" t="n">
        <v>15.947</v>
      </c>
      <c r="AC367" s="14" t="n">
        <v>0</v>
      </c>
      <c r="AD367" s="14" t="n">
        <v>1</v>
      </c>
      <c r="AE367" s="14" t="n">
        <v>11.404</v>
      </c>
      <c r="AF367" s="14" t="n">
        <v>2.853</v>
      </c>
      <c r="AG367" s="14" t="n">
        <v>5.869</v>
      </c>
      <c r="AH367" s="14" t="n">
        <v>17.273</v>
      </c>
      <c r="AI367" s="14" t="n">
        <v>0</v>
      </c>
      <c r="AJ367" s="14" t="n">
        <v>1</v>
      </c>
      <c r="AK367" s="14" t="n">
        <v>19.345</v>
      </c>
      <c r="AL367" s="14" t="n">
        <v>10.745</v>
      </c>
      <c r="AM367" s="14" t="n">
        <v>2.905</v>
      </c>
      <c r="AN367" s="14" t="n">
        <v>26.717</v>
      </c>
      <c r="AO367" s="14" t="n">
        <v>0.24</v>
      </c>
      <c r="AP367" s="14" t="n">
        <v>1</v>
      </c>
      <c r="AQ367" s="14" t="n">
        <v>0.724</v>
      </c>
      <c r="AR367" s="14" t="n">
        <v>0.132</v>
      </c>
      <c r="AS367" s="14" t="n">
        <v>1.097</v>
      </c>
      <c r="AT367" s="14" t="n">
        <v>2.259</v>
      </c>
      <c r="AU367" s="14" t="n">
        <v>0.24</v>
      </c>
      <c r="AV367" s="14" t="n">
        <v>1</v>
      </c>
      <c r="AW367" s="14" t="n">
        <v>0.75</v>
      </c>
      <c r="AX367" s="14" t="n">
        <v>0.132</v>
      </c>
      <c r="AY367" s="14" t="n">
        <v>1.096</v>
      </c>
      <c r="AZ367" s="14" t="n">
        <v>2.289</v>
      </c>
      <c r="BA367" s="14" t="n">
        <v>0.24</v>
      </c>
      <c r="BB367" s="14" t="n">
        <v>1</v>
      </c>
      <c r="BC367" s="14" t="n">
        <v>0.513</v>
      </c>
      <c r="BD367" s="14" t="n">
        <v>0.132</v>
      </c>
      <c r="BE367" s="14" t="n">
        <v>0.08400000000000001</v>
      </c>
      <c r="BF367" s="14" t="n">
        <v>0.717</v>
      </c>
      <c r="BG367" s="14" t="n">
        <v>0.24</v>
      </c>
      <c r="BH367" s="14" t="n">
        <v>1</v>
      </c>
      <c r="BI367" s="14" t="n">
        <v>0.591</v>
      </c>
      <c r="BJ367" s="14" t="n">
        <v>0.132</v>
      </c>
      <c r="BK367" s="14" t="n">
        <v>0.466</v>
      </c>
      <c r="BL367" s="14" t="n">
        <v>1.312</v>
      </c>
      <c r="BM367" s="14" t="n">
        <v>0.24</v>
      </c>
      <c r="BN367" s="14" t="n">
        <v>1</v>
      </c>
      <c r="BO367" s="14" t="n">
        <v>0</v>
      </c>
      <c r="BP367" s="14" t="n">
        <v>0.002</v>
      </c>
      <c r="BQ367" s="14" t="n">
        <v>0.081</v>
      </c>
      <c r="BR367" s="14" t="n">
        <v>0</v>
      </c>
      <c r="BS367" s="14" t="n">
        <v>1</v>
      </c>
      <c r="BT367" s="14" t="n">
        <v>0</v>
      </c>
      <c r="BU367" s="14" t="n">
        <v>0.003</v>
      </c>
      <c r="BV367" s="14" t="n">
        <v>0.19</v>
      </c>
      <c r="BW367" s="14" t="n">
        <v>0.24</v>
      </c>
      <c r="BX367" s="14" t="n">
        <v>0.833</v>
      </c>
      <c r="BY367" s="14" t="n">
        <v>13.646</v>
      </c>
      <c r="BZ367" s="14" t="n">
        <v>0</v>
      </c>
      <c r="CA367" s="14" t="n">
        <v>13.646</v>
      </c>
      <c r="CB367" s="14" t="n">
        <v>0</v>
      </c>
      <c r="CC367" s="14" t="n">
        <v>82.58799999999999</v>
      </c>
      <c r="CD367" s="14" t="n">
        <v>7.95</v>
      </c>
      <c r="CE367" s="14" t="n">
        <v>89.01000000000001</v>
      </c>
      <c r="CF367" s="14" t="n">
        <v>212.781</v>
      </c>
      <c r="CG367" s="14" t="n">
        <v>0.24</v>
      </c>
      <c r="CH367" s="14" t="n">
        <v>1</v>
      </c>
      <c r="CI367" s="14" t="n">
        <v>0</v>
      </c>
      <c r="CJ367" s="14" t="n">
        <v>0</v>
      </c>
      <c r="CK367" s="14" t="n">
        <v>0</v>
      </c>
      <c r="CL367" s="14" t="n">
        <v>0</v>
      </c>
      <c r="CM367" s="14" t="n">
        <v>0</v>
      </c>
      <c r="CN367" s="14" t="n">
        <v>0</v>
      </c>
      <c r="CO367" s="14" t="n">
        <v>0</v>
      </c>
      <c r="CP367" s="14" t="n">
        <v>0</v>
      </c>
      <c r="CQ367" s="14" t="n">
        <v>1.387</v>
      </c>
      <c r="CR367" s="14" t="n">
        <v>0</v>
      </c>
      <c r="CS367" s="14" t="n">
        <v>5.529</v>
      </c>
      <c r="CT367" s="14" t="n">
        <v>4.022</v>
      </c>
      <c r="CU367" s="14" t="n">
        <v>9.494999999999999</v>
      </c>
    </row>
    <row r="368">
      <c r="A368" s="14" t="inlineStr">
        <is>
          <t>IND2021</t>
        </is>
      </c>
      <c r="B368" s="14" t="inlineStr">
        <is>
          <t>IND</t>
        </is>
      </c>
      <c r="C368" s="14" t="inlineStr">
        <is>
          <t>IND</t>
        </is>
      </c>
      <c r="D368" s="14" t="inlineStr">
        <is>
          <t>India</t>
        </is>
      </c>
      <c r="E368" s="14" t="n">
        <v>2021</v>
      </c>
      <c r="F368" s="14" t="n">
        <v>0.18</v>
      </c>
      <c r="G368" s="14" t="n">
        <v>2.467</v>
      </c>
      <c r="H368" s="14" t="n">
        <v>0.722</v>
      </c>
      <c r="I368" s="14" t="n">
        <v>0.407</v>
      </c>
      <c r="J368" s="14" t="n">
        <v>2.873</v>
      </c>
      <c r="K368" s="14" t="n">
        <v>0</v>
      </c>
      <c r="L368" s="14" t="n">
        <v>1</v>
      </c>
      <c r="M368" s="14" t="n">
        <v>3.936</v>
      </c>
      <c r="N368" s="14" t="n">
        <v>2.166</v>
      </c>
      <c r="O368" s="14" t="n">
        <v>0.352</v>
      </c>
      <c r="P368" s="14" t="n">
        <v>4.288</v>
      </c>
      <c r="Q368" s="14" t="n">
        <v>0</v>
      </c>
      <c r="R368" s="14" t="n">
        <v>1</v>
      </c>
      <c r="S368" s="14" t="n">
        <v>6.077</v>
      </c>
      <c r="T368" s="14" t="n">
        <v>4.332</v>
      </c>
      <c r="U368" s="14" t="n">
        <v>0.401</v>
      </c>
      <c r="V368" s="14" t="n">
        <v>7.643</v>
      </c>
      <c r="W368" s="14" t="n">
        <v>0.18</v>
      </c>
      <c r="X368" s="14" t="n">
        <v>1</v>
      </c>
      <c r="Y368" s="14" t="n">
        <v>11.183</v>
      </c>
      <c r="Z368" s="14" t="n">
        <v>0.993</v>
      </c>
      <c r="AA368" s="14" t="n">
        <v>-8.353</v>
      </c>
      <c r="AB368" s="14" t="n">
        <v>2.83</v>
      </c>
      <c r="AC368" s="14" t="n">
        <v>0</v>
      </c>
      <c r="AD368" s="14" t="n">
        <v>0</v>
      </c>
      <c r="AE368" s="14" t="n">
        <v>12.04</v>
      </c>
      <c r="AF368" s="14" t="n">
        <v>1.945</v>
      </c>
      <c r="AG368" s="14" t="n">
        <v>-9.210000000000001</v>
      </c>
      <c r="AH368" s="14" t="n">
        <v>2.83</v>
      </c>
      <c r="AI368" s="14" t="n">
        <v>0</v>
      </c>
      <c r="AJ368" s="14" t="n">
        <v>0</v>
      </c>
      <c r="AK368" s="14" t="n">
        <v>17.18</v>
      </c>
      <c r="AL368" s="14" t="n">
        <v>7.291</v>
      </c>
      <c r="AM368" s="14" t="n">
        <v>-14.197</v>
      </c>
      <c r="AN368" s="14" t="n">
        <v>2.983</v>
      </c>
      <c r="AO368" s="14" t="n">
        <v>0</v>
      </c>
      <c r="AP368" s="14" t="n">
        <v>0</v>
      </c>
      <c r="AQ368" s="14" t="n">
        <v>0.51</v>
      </c>
      <c r="AR368" s="14" t="n">
        <v>0.093</v>
      </c>
      <c r="AS368" s="14" t="n">
        <v>0.619</v>
      </c>
      <c r="AT368" s="14" t="n">
        <v>1.332</v>
      </c>
      <c r="AU368" s="14" t="n">
        <v>0.18</v>
      </c>
      <c r="AV368" s="14" t="n">
        <v>1</v>
      </c>
      <c r="AW368" s="14" t="n">
        <v>0.506</v>
      </c>
      <c r="AX368" s="14" t="n">
        <v>0.098</v>
      </c>
      <c r="AY368" s="14" t="n">
        <v>0.516</v>
      </c>
      <c r="AZ368" s="14" t="n">
        <v>1.206</v>
      </c>
      <c r="BA368" s="14" t="n">
        <v>0.18</v>
      </c>
      <c r="BB368" s="14" t="n">
        <v>1</v>
      </c>
      <c r="BC368" s="14" t="n">
        <v>0.452</v>
      </c>
      <c r="BD368" s="14" t="n">
        <v>0.117</v>
      </c>
      <c r="BE368" s="14" t="n">
        <v>0.18</v>
      </c>
      <c r="BF368" s="14" t="n">
        <v>0.745</v>
      </c>
      <c r="BG368" s="14" t="n">
        <v>0.18</v>
      </c>
      <c r="BH368" s="14" t="n">
        <v>1</v>
      </c>
      <c r="BI368" s="14" t="n">
        <v>0.212</v>
      </c>
      <c r="BJ368" s="14" t="n">
        <v>0.047</v>
      </c>
      <c r="BK368" s="14" t="n">
        <v>0.157</v>
      </c>
      <c r="BL368" s="14" t="n">
        <v>0.436</v>
      </c>
      <c r="BM368" s="14" t="n">
        <v>0.18</v>
      </c>
      <c r="BN368" s="14" t="n">
        <v>1</v>
      </c>
      <c r="BO368" s="14" t="n">
        <v>0</v>
      </c>
      <c r="BP368" s="14" t="n">
        <v>-0.01</v>
      </c>
      <c r="BQ368" s="14" t="n">
        <v>0.09</v>
      </c>
      <c r="BR368" s="14" t="n">
        <v>0</v>
      </c>
      <c r="BS368" s="14" t="n">
        <v>1</v>
      </c>
      <c r="BT368" s="14" t="n">
        <v>0</v>
      </c>
      <c r="BU368" s="14" t="n">
        <v>-0.01</v>
      </c>
      <c r="BV368" s="14" t="n">
        <v>0.049</v>
      </c>
      <c r="BW368" s="14" t="n">
        <v>0</v>
      </c>
      <c r="BX368" s="14" t="n">
        <v>0.833</v>
      </c>
      <c r="BY368" s="14" t="n">
        <v>11.787</v>
      </c>
      <c r="BZ368" s="14" t="n">
        <v>0</v>
      </c>
      <c r="CA368" s="14" t="n">
        <v>11.787</v>
      </c>
      <c r="CB368" s="14" t="n">
        <v>0</v>
      </c>
      <c r="CC368" s="14" t="n">
        <v>40.451</v>
      </c>
      <c r="CD368" s="14" t="n">
        <v>-33.294</v>
      </c>
      <c r="CE368" s="14" t="n">
        <v>32.351</v>
      </c>
      <c r="CF368" s="14" t="n">
        <v>85.90600000000001</v>
      </c>
      <c r="CG368" s="14" t="n">
        <v>0.18</v>
      </c>
      <c r="CH368" s="14" t="n">
        <v>1</v>
      </c>
      <c r="CI368" s="14" t="n">
        <v>0</v>
      </c>
      <c r="CJ368" s="14" t="n">
        <v>0</v>
      </c>
      <c r="CK368" s="14" t="n">
        <v>0</v>
      </c>
      <c r="CL368" s="14" t="n">
        <v>0.008999999999999999</v>
      </c>
      <c r="CM368" s="14" t="n">
        <v>0</v>
      </c>
      <c r="CN368" s="14" t="n">
        <v>0</v>
      </c>
      <c r="CO368" s="14" t="n">
        <v>0</v>
      </c>
      <c r="CP368" s="14" t="n">
        <v>0.737</v>
      </c>
      <c r="CQ368" s="14" t="n">
        <v>1.108</v>
      </c>
      <c r="CR368" s="14" t="n">
        <v>0.501</v>
      </c>
      <c r="CS368" s="14" t="n">
        <v>4.438</v>
      </c>
      <c r="CT368" s="14" t="n">
        <v>3.529</v>
      </c>
      <c r="CU368" s="14" t="n">
        <v>16.25</v>
      </c>
    </row>
    <row r="369">
      <c r="A369" s="14" t="inlineStr">
        <is>
          <t>IND2022</t>
        </is>
      </c>
      <c r="B369" s="14" t="inlineStr">
        <is>
          <t>IND</t>
        </is>
      </c>
      <c r="C369" s="14" t="inlineStr">
        <is>
          <t>IND</t>
        </is>
      </c>
      <c r="D369" s="14" t="inlineStr">
        <is>
          <t>India</t>
        </is>
      </c>
      <c r="E369" s="14" t="n">
        <v>2022</v>
      </c>
      <c r="F369" s="14" t="n">
        <v>0.18</v>
      </c>
      <c r="G369" s="14" t="n">
        <v>3.116</v>
      </c>
      <c r="H369" s="14" t="n">
        <v>0.782</v>
      </c>
      <c r="I369" s="14" t="n">
        <v>0.443</v>
      </c>
      <c r="J369" s="14" t="n">
        <v>3.559</v>
      </c>
      <c r="K369" s="14" t="n">
        <v>0</v>
      </c>
      <c r="L369" s="14" t="n">
        <v>1</v>
      </c>
      <c r="M369" s="14" t="n">
        <v>4.748</v>
      </c>
      <c r="N369" s="14" t="n">
        <v>2.346</v>
      </c>
      <c r="O369" s="14" t="n">
        <v>0.396</v>
      </c>
      <c r="P369" s="14" t="n">
        <v>5.143</v>
      </c>
      <c r="Q369" s="14" t="n">
        <v>0</v>
      </c>
      <c r="R369" s="14" t="n">
        <v>1</v>
      </c>
      <c r="S369" s="14" t="n">
        <v>7.025</v>
      </c>
      <c r="T369" s="14" t="n">
        <v>4.691</v>
      </c>
      <c r="U369" s="14" t="n">
        <v>0.537</v>
      </c>
      <c r="V369" s="14" t="n">
        <v>8.805999999999999</v>
      </c>
      <c r="W369" s="14" t="n">
        <v>0.18</v>
      </c>
      <c r="X369" s="14" t="n">
        <v>1</v>
      </c>
      <c r="Y369" s="14" t="n">
        <v>15.918</v>
      </c>
      <c r="Z369" s="14" t="n">
        <v>1.414</v>
      </c>
      <c r="AA369" s="14" t="n">
        <v>-10.308</v>
      </c>
      <c r="AB369" s="14" t="n">
        <v>5.61</v>
      </c>
      <c r="AC369" s="14" t="n">
        <v>0</v>
      </c>
      <c r="AD369" s="14" t="n">
        <v>0</v>
      </c>
      <c r="AE369" s="14" t="n">
        <v>16.816</v>
      </c>
      <c r="AF369" s="14" t="n">
        <v>2.716</v>
      </c>
      <c r="AG369" s="14" t="n">
        <v>-11.206</v>
      </c>
      <c r="AH369" s="14" t="n">
        <v>5.61</v>
      </c>
      <c r="AI369" s="14" t="n">
        <v>0</v>
      </c>
      <c r="AJ369" s="14" t="n">
        <v>0</v>
      </c>
      <c r="AK369" s="14" t="n">
        <v>22.199</v>
      </c>
      <c r="AL369" s="14" t="n">
        <v>9.422000000000001</v>
      </c>
      <c r="AM369" s="14" t="n">
        <v>-16.282</v>
      </c>
      <c r="AN369" s="14" t="n">
        <v>5.918</v>
      </c>
      <c r="AO369" s="14" t="n">
        <v>0</v>
      </c>
      <c r="AP369" s="14" t="n">
        <v>0</v>
      </c>
      <c r="AQ369" s="14" t="n">
        <v>0.644</v>
      </c>
      <c r="AR369" s="14" t="n">
        <v>0.092</v>
      </c>
      <c r="AS369" s="14" t="n">
        <v>0.489</v>
      </c>
      <c r="AT369" s="14" t="n">
        <v>1.336</v>
      </c>
      <c r="AU369" s="14" t="n">
        <v>0.18</v>
      </c>
      <c r="AV369" s="14" t="n">
        <v>1</v>
      </c>
      <c r="AW369" s="14" t="n">
        <v>0.574</v>
      </c>
      <c r="AX369" s="14" t="n">
        <v>0.075</v>
      </c>
      <c r="AY369" s="14" t="n">
        <v>0.436</v>
      </c>
      <c r="AZ369" s="14" t="n">
        <v>1.192</v>
      </c>
      <c r="BA369" s="14" t="n">
        <v>0.18</v>
      </c>
      <c r="BB369" s="14" t="n">
        <v>1</v>
      </c>
      <c r="BC369" s="14" t="n">
        <v>0.5</v>
      </c>
      <c r="BD369" s="14" t="n">
        <v>0.103</v>
      </c>
      <c r="BE369" s="14" t="n">
        <v>0.224</v>
      </c>
      <c r="BF369" s="14" t="n">
        <v>0.855</v>
      </c>
      <c r="BG369" s="14" t="n">
        <v>0.18</v>
      </c>
      <c r="BH369" s="14" t="n">
        <v>1</v>
      </c>
      <c r="BI369" s="14" t="n">
        <v>0.375</v>
      </c>
      <c r="BJ369" s="14" t="n">
        <v>0.073</v>
      </c>
      <c r="BK369" s="14" t="n">
        <v>0.223</v>
      </c>
      <c r="BL369" s="14" t="n">
        <v>0.706</v>
      </c>
      <c r="BM369" s="14" t="n">
        <v>0.18</v>
      </c>
      <c r="BN369" s="14" t="n">
        <v>1</v>
      </c>
      <c r="BO369" s="14" t="n">
        <v>0</v>
      </c>
      <c r="BP369" s="14" t="n">
        <v>-0.013</v>
      </c>
      <c r="BQ369" s="14" t="n">
        <v>0.13</v>
      </c>
      <c r="BR369" s="14" t="n">
        <v>0</v>
      </c>
      <c r="BS369" s="14" t="n">
        <v>1</v>
      </c>
      <c r="BT369" s="14" t="n">
        <v>0</v>
      </c>
      <c r="BU369" s="14" t="n">
        <v>-0.013</v>
      </c>
      <c r="BV369" s="14" t="n">
        <v>0.067</v>
      </c>
      <c r="BW369" s="14" t="n">
        <v>0</v>
      </c>
      <c r="BX369" s="14" t="n">
        <v>0.833</v>
      </c>
      <c r="BY369" s="14" t="n">
        <v>12.729</v>
      </c>
      <c r="BZ369" s="14" t="n">
        <v>0</v>
      </c>
      <c r="CA369" s="14" t="n">
        <v>12.729</v>
      </c>
      <c r="CB369" s="14" t="n">
        <v>0</v>
      </c>
      <c r="CC369" s="14" t="n">
        <v>81.131</v>
      </c>
      <c r="CD369" s="14" t="n">
        <v>-13.396</v>
      </c>
      <c r="CE369" s="14" t="n">
        <v>48.289</v>
      </c>
      <c r="CF369" s="14" t="n">
        <v>152.715</v>
      </c>
      <c r="CG369" s="14" t="n">
        <v>0.18</v>
      </c>
      <c r="CH369" s="14" t="n">
        <v>1</v>
      </c>
      <c r="CI369" s="14" t="n">
        <v>0</v>
      </c>
      <c r="CJ369" s="14" t="n">
        <v>0</v>
      </c>
      <c r="CK369" s="14" t="n">
        <v>0</v>
      </c>
      <c r="CL369" s="14" t="n">
        <v>0.01</v>
      </c>
      <c r="CM369" s="14" t="n">
        <v>0</v>
      </c>
      <c r="CN369" s="14" t="n">
        <v>0</v>
      </c>
      <c r="CO369" s="14" t="n">
        <v>0</v>
      </c>
      <c r="CP369" s="14" t="n">
        <v>0.733</v>
      </c>
      <c r="CQ369" s="14" t="n">
        <v>1.197</v>
      </c>
      <c r="CR369" s="14" t="n">
        <v>0.547</v>
      </c>
      <c r="CS369" s="14" t="n">
        <v>4.792</v>
      </c>
      <c r="CT369" s="14" t="n">
        <v>5.463</v>
      </c>
      <c r="CU369" s="14" t="n">
        <v>27.353</v>
      </c>
    </row>
    <row r="370">
      <c r="A370" s="14" t="inlineStr">
        <is>
          <t>IND2023</t>
        </is>
      </c>
      <c r="B370" s="14" t="inlineStr">
        <is>
          <t>IND</t>
        </is>
      </c>
      <c r="C370" s="14" t="inlineStr">
        <is>
          <t>IND</t>
        </is>
      </c>
      <c r="D370" s="14" t="inlineStr">
        <is>
          <t>India</t>
        </is>
      </c>
      <c r="E370" s="14" t="n">
        <v>2023</v>
      </c>
      <c r="F370" s="14" t="n">
        <v>0.18</v>
      </c>
      <c r="G370" s="14" t="n">
        <v>2.673</v>
      </c>
      <c r="H370" s="14" t="n">
        <v>0.8090000000000001</v>
      </c>
      <c r="I370" s="14" t="n">
        <v>0.375</v>
      </c>
      <c r="J370" s="14" t="n">
        <v>3.048</v>
      </c>
      <c r="K370" s="14" t="n">
        <v>0</v>
      </c>
      <c r="L370" s="14" t="n">
        <v>1</v>
      </c>
      <c r="M370" s="14" t="n">
        <v>4.372</v>
      </c>
      <c r="N370" s="14" t="n">
        <v>2.427</v>
      </c>
      <c r="O370" s="14" t="n">
        <v>0.332</v>
      </c>
      <c r="P370" s="14" t="n">
        <v>4.704</v>
      </c>
      <c r="Q370" s="14" t="n">
        <v>0</v>
      </c>
      <c r="R370" s="14" t="n">
        <v>1</v>
      </c>
      <c r="S370" s="14" t="n">
        <v>6.718</v>
      </c>
      <c r="T370" s="14" t="n">
        <v>4.854</v>
      </c>
      <c r="U370" s="14" t="n">
        <v>0.511</v>
      </c>
      <c r="V370" s="14" t="n">
        <v>8.364000000000001</v>
      </c>
      <c r="W370" s="14" t="n">
        <v>0.18</v>
      </c>
      <c r="X370" s="14" t="n">
        <v>1</v>
      </c>
      <c r="Y370" s="14" t="n">
        <v>9.414</v>
      </c>
      <c r="Z370" s="14" t="n">
        <v>0.836</v>
      </c>
      <c r="AA370" s="14" t="n">
        <v>-1.504</v>
      </c>
      <c r="AB370" s="14" t="n">
        <v>7.91</v>
      </c>
      <c r="AC370" s="14" t="n">
        <v>0</v>
      </c>
      <c r="AD370" s="14" t="n">
        <v>0</v>
      </c>
      <c r="AE370" s="14" t="n">
        <v>10.369</v>
      </c>
      <c r="AF370" s="14" t="n">
        <v>1.675</v>
      </c>
      <c r="AG370" s="14" t="n">
        <v>-2.459</v>
      </c>
      <c r="AH370" s="14" t="n">
        <v>7.91</v>
      </c>
      <c r="AI370" s="14" t="n">
        <v>0</v>
      </c>
      <c r="AJ370" s="14" t="n">
        <v>0</v>
      </c>
      <c r="AK370" s="14" t="n">
        <v>16.1</v>
      </c>
      <c r="AL370" s="14" t="n">
        <v>6.833</v>
      </c>
      <c r="AM370" s="14" t="n">
        <v>-7.75</v>
      </c>
      <c r="AN370" s="14" t="n">
        <v>8.35</v>
      </c>
      <c r="AO370" s="14" t="n">
        <v>0</v>
      </c>
      <c r="AP370" s="14" t="n">
        <v>0</v>
      </c>
      <c r="AQ370" s="14" t="n">
        <v>0.613</v>
      </c>
      <c r="AR370" s="14" t="n">
        <v>0.103</v>
      </c>
      <c r="AS370" s="14" t="n">
        <v>0.456</v>
      </c>
      <c r="AT370" s="14" t="n">
        <v>1.261</v>
      </c>
      <c r="AU370" s="14" t="n">
        <v>0.18</v>
      </c>
      <c r="AV370" s="14" t="n">
        <v>1</v>
      </c>
      <c r="AW370" s="14" t="n">
        <v>0.5620000000000001</v>
      </c>
      <c r="AX370" s="14" t="n">
        <v>0.096</v>
      </c>
      <c r="AY370" s="14" t="n">
        <v>0.397</v>
      </c>
      <c r="AZ370" s="14" t="n">
        <v>1.132</v>
      </c>
      <c r="BA370" s="14" t="n">
        <v>0.18</v>
      </c>
      <c r="BB370" s="14" t="n">
        <v>1</v>
      </c>
      <c r="BC370" s="14" t="n">
        <v>0.419</v>
      </c>
      <c r="BD370" s="14" t="n">
        <v>0.101</v>
      </c>
      <c r="BE370" s="14" t="n">
        <v>0.19</v>
      </c>
      <c r="BF370" s="14" t="n">
        <v>0.719</v>
      </c>
      <c r="BG370" s="14" t="n">
        <v>0.18</v>
      </c>
      <c r="BH370" s="14" t="n">
        <v>1</v>
      </c>
      <c r="BI370" s="14" t="n">
        <v>0.331</v>
      </c>
      <c r="BJ370" s="14" t="n">
        <v>0.07199999999999999</v>
      </c>
      <c r="BK370" s="14" t="n">
        <v>0.201</v>
      </c>
      <c r="BL370" s="14" t="n">
        <v>0.628</v>
      </c>
      <c r="BM370" s="14" t="n">
        <v>0.18</v>
      </c>
      <c r="BN370" s="14" t="n">
        <v>1</v>
      </c>
      <c r="BO370" s="14" t="n">
        <v>0</v>
      </c>
      <c r="BP370" s="14" t="n">
        <v>-0.02</v>
      </c>
      <c r="BQ370" s="14" t="n">
        <v>0.12</v>
      </c>
      <c r="BR370" s="14" t="n">
        <v>0</v>
      </c>
      <c r="BS370" s="14" t="n">
        <v>1</v>
      </c>
      <c r="BT370" s="14" t="n">
        <v>0</v>
      </c>
      <c r="BU370" s="14" t="n">
        <v>-0.02</v>
      </c>
      <c r="BV370" s="14" t="n">
        <v>0.08400000000000001</v>
      </c>
      <c r="BW370" s="14" t="n">
        <v>0</v>
      </c>
      <c r="BX370" s="14" t="n">
        <v>0.833</v>
      </c>
      <c r="BY370" s="14" t="n">
        <v>13.254</v>
      </c>
      <c r="BZ370" s="14" t="n">
        <v>0</v>
      </c>
      <c r="CA370" s="14" t="n">
        <v>13.254</v>
      </c>
      <c r="CB370" s="14" t="n">
        <v>0</v>
      </c>
      <c r="CC370" s="14" t="n">
        <v>71.121</v>
      </c>
      <c r="CD370" s="14" t="n">
        <v>-8.007999999999999</v>
      </c>
      <c r="CE370" s="14" t="n">
        <v>41.536</v>
      </c>
      <c r="CF370" s="14" t="n">
        <v>132.935</v>
      </c>
      <c r="CG370" s="14" t="n">
        <v>0.18</v>
      </c>
      <c r="CH370" s="14" t="n">
        <v>1</v>
      </c>
      <c r="CI370" s="14" t="n">
        <v>0</v>
      </c>
      <c r="CJ370" s="14" t="n">
        <v>0</v>
      </c>
      <c r="CK370" s="14" t="n">
        <v>0</v>
      </c>
      <c r="CL370" s="14" t="n">
        <v>0.011</v>
      </c>
      <c r="CM370" s="14" t="n">
        <v>0</v>
      </c>
      <c r="CN370" s="14" t="n">
        <v>0</v>
      </c>
      <c r="CO370" s="14" t="n">
        <v>0</v>
      </c>
      <c r="CP370" s="14" t="n">
        <v>0.742</v>
      </c>
      <c r="CQ370" s="14" t="n">
        <v>1.246</v>
      </c>
      <c r="CR370" s="14" t="n">
        <v>0.514</v>
      </c>
      <c r="CS370" s="14" t="n">
        <v>4.99</v>
      </c>
      <c r="CT370" s="14" t="n">
        <v>3.638</v>
      </c>
      <c r="CU370" s="14" t="n">
        <v>12.13</v>
      </c>
    </row>
    <row r="371">
      <c r="A371" s="14" t="inlineStr">
        <is>
          <t>IND2024</t>
        </is>
      </c>
      <c r="B371" s="14" t="inlineStr">
        <is>
          <t>IND</t>
        </is>
      </c>
      <c r="C371" s="14" t="inlineStr">
        <is>
          <t>IND</t>
        </is>
      </c>
      <c r="D371" s="14" t="inlineStr">
        <is>
          <t>India</t>
        </is>
      </c>
      <c r="E371" s="14" t="n">
        <v>2024</v>
      </c>
      <c r="F371" s="14" t="n">
        <v>0.18</v>
      </c>
      <c r="G371" s="14" t="n">
        <v>2.629</v>
      </c>
      <c r="H371" s="14" t="n">
        <v>0.833</v>
      </c>
      <c r="I371" s="14" t="n">
        <v>0.374</v>
      </c>
      <c r="J371" s="14" t="n">
        <v>3.003</v>
      </c>
      <c r="K371" s="14" t="n">
        <v>0</v>
      </c>
      <c r="L371" s="14" t="n">
        <v>1</v>
      </c>
      <c r="M371" s="14" t="n">
        <v>4.396</v>
      </c>
      <c r="N371" s="14" t="n">
        <v>2.498</v>
      </c>
      <c r="O371" s="14" t="n">
        <v>0.331</v>
      </c>
      <c r="P371" s="14" t="n">
        <v>4.727</v>
      </c>
      <c r="Q371" s="14" t="n">
        <v>0</v>
      </c>
      <c r="R371" s="14" t="n">
        <v>1</v>
      </c>
      <c r="S371" s="14" t="n">
        <v>6.793</v>
      </c>
      <c r="T371" s="14" t="n">
        <v>4.997</v>
      </c>
      <c r="U371" s="14" t="n">
        <v>0.544</v>
      </c>
      <c r="V371" s="14" t="n">
        <v>8.451000000000001</v>
      </c>
      <c r="W371" s="14" t="n">
        <v>0.18</v>
      </c>
      <c r="X371" s="14" t="n">
        <v>1</v>
      </c>
      <c r="Y371" s="14" t="n">
        <v>8.808999999999999</v>
      </c>
      <c r="Z371" s="14" t="n">
        <v>0.782</v>
      </c>
      <c r="AA371" s="14" t="n">
        <v>-1.189</v>
      </c>
      <c r="AB371" s="14" t="n">
        <v>7.62</v>
      </c>
      <c r="AC371" s="14" t="n">
        <v>0</v>
      </c>
      <c r="AD371" s="14" t="n">
        <v>0</v>
      </c>
      <c r="AE371" s="14" t="n">
        <v>9.792</v>
      </c>
      <c r="AF371" s="14" t="n">
        <v>1.582</v>
      </c>
      <c r="AG371" s="14" t="n">
        <v>-2.172</v>
      </c>
      <c r="AH371" s="14" t="n">
        <v>7.62</v>
      </c>
      <c r="AI371" s="14" t="n">
        <v>0</v>
      </c>
      <c r="AJ371" s="14" t="n">
        <v>0</v>
      </c>
      <c r="AK371" s="14" t="n">
        <v>15.692</v>
      </c>
      <c r="AL371" s="14" t="n">
        <v>6.66</v>
      </c>
      <c r="AM371" s="14" t="n">
        <v>-7.654</v>
      </c>
      <c r="AN371" s="14" t="n">
        <v>8.038</v>
      </c>
      <c r="AO371" s="14" t="n">
        <v>0</v>
      </c>
      <c r="AP371" s="14" t="n">
        <v>0</v>
      </c>
      <c r="AQ371" s="14" t="n">
        <v>0.598</v>
      </c>
      <c r="AR371" s="14" t="n">
        <v>0.109</v>
      </c>
      <c r="AS371" s="14" t="n">
        <v>0.433</v>
      </c>
      <c r="AT371" s="14" t="n">
        <v>1.216</v>
      </c>
      <c r="AU371" s="14" t="n">
        <v>0.18</v>
      </c>
      <c r="AV371" s="14" t="n">
        <v>1</v>
      </c>
      <c r="AW371" s="14" t="n">
        <v>0.539</v>
      </c>
      <c r="AX371" s="14" t="n">
        <v>0.099</v>
      </c>
      <c r="AY371" s="14" t="n">
        <v>0.385</v>
      </c>
      <c r="AZ371" s="14" t="n">
        <v>1.091</v>
      </c>
      <c r="BA371" s="14" t="n">
        <v>0.18</v>
      </c>
      <c r="BB371" s="14" t="n">
        <v>1</v>
      </c>
      <c r="BC371" s="14" t="n">
        <v>0.408</v>
      </c>
      <c r="BD371" s="14" t="n">
        <v>0.105</v>
      </c>
      <c r="BE371" s="14" t="n">
        <v>0.183</v>
      </c>
      <c r="BF371" s="14" t="n">
        <v>0.697</v>
      </c>
      <c r="BG371" s="14" t="n">
        <v>0.18</v>
      </c>
      <c r="BH371" s="14" t="n">
        <v>1</v>
      </c>
      <c r="BI371" s="14" t="n">
        <v>0.287</v>
      </c>
      <c r="BJ371" s="14" t="n">
        <v>0.063</v>
      </c>
      <c r="BK371" s="14" t="n">
        <v>0.193</v>
      </c>
      <c r="BL371" s="14" t="n">
        <v>0.5669999999999999</v>
      </c>
      <c r="BM371" s="14" t="n">
        <v>0.18</v>
      </c>
      <c r="BN371" s="14" t="n">
        <v>1</v>
      </c>
      <c r="BO371" s="14" t="n">
        <v>0</v>
      </c>
      <c r="BP371" s="14" t="n">
        <v>-0.021</v>
      </c>
      <c r="BQ371" s="14" t="n">
        <v>0.11</v>
      </c>
      <c r="BR371" s="14" t="n">
        <v>0</v>
      </c>
      <c r="BS371" s="14" t="n">
        <v>1</v>
      </c>
      <c r="BT371" s="14" t="n">
        <v>0</v>
      </c>
      <c r="BU371" s="14" t="n">
        <v>-0.021</v>
      </c>
      <c r="BV371" s="14" t="n">
        <v>0.08400000000000001</v>
      </c>
      <c r="BW371" s="14" t="n">
        <v>0</v>
      </c>
      <c r="BX371" s="14" t="n">
        <v>0.833</v>
      </c>
      <c r="BY371" s="14" t="n">
        <v>13.646</v>
      </c>
      <c r="BZ371" s="14" t="n">
        <v>0</v>
      </c>
      <c r="CA371" s="14" t="n">
        <v>13.646</v>
      </c>
      <c r="CB371" s="14" t="n">
        <v>0</v>
      </c>
      <c r="CC371" s="14" t="n">
        <v>61.32</v>
      </c>
      <c r="CD371" s="14" t="n">
        <v>-17.116</v>
      </c>
      <c r="CE371" s="14" t="n">
        <v>38.337</v>
      </c>
      <c r="CF371" s="14" t="n">
        <v>117.594</v>
      </c>
      <c r="CG371" s="14" t="n">
        <v>0.18</v>
      </c>
      <c r="CH371" s="14" t="n">
        <v>1</v>
      </c>
      <c r="CI371" s="14" t="n">
        <v>0</v>
      </c>
      <c r="CJ371" s="14" t="n">
        <v>0</v>
      </c>
      <c r="CK371" s="14" t="n">
        <v>0</v>
      </c>
      <c r="CL371" s="14" t="n">
        <v>0.011</v>
      </c>
      <c r="CM371" s="14" t="n">
        <v>0</v>
      </c>
      <c r="CN371" s="14" t="n">
        <v>0</v>
      </c>
      <c r="CO371" s="14" t="n">
        <v>0</v>
      </c>
      <c r="CP371" s="14" t="n">
        <v>0.742</v>
      </c>
      <c r="CQ371" s="14" t="n">
        <v>1.283</v>
      </c>
      <c r="CR371" s="14" t="n">
        <v>0.514</v>
      </c>
      <c r="CS371" s="14" t="n">
        <v>5.137</v>
      </c>
      <c r="CT371" s="14" t="n">
        <v>3.269</v>
      </c>
      <c r="CU371" s="14" t="n">
        <v>10.67</v>
      </c>
    </row>
    <row r="372">
      <c r="A372" s="14" t="inlineStr">
        <is>
          <t>IDN2021</t>
        </is>
      </c>
      <c r="B372" s="14" t="inlineStr">
        <is>
          <t>IDN</t>
        </is>
      </c>
      <c r="C372" s="14" t="inlineStr">
        <is>
          <t>IDN</t>
        </is>
      </c>
      <c r="D372" s="14" t="inlineStr">
        <is>
          <t>Indonesia</t>
        </is>
      </c>
      <c r="E372" s="14" t="n">
        <v>2021</v>
      </c>
      <c r="F372" s="14" t="n">
        <v>0.1</v>
      </c>
      <c r="G372" s="14" t="n">
        <v>2.859</v>
      </c>
      <c r="H372" s="14" t="n">
        <v>0.626</v>
      </c>
      <c r="I372" s="14" t="n">
        <v>-0.4</v>
      </c>
      <c r="J372" s="14" t="n">
        <v>2.459</v>
      </c>
      <c r="K372" s="14" t="n">
        <v>0</v>
      </c>
      <c r="L372" s="14" t="n">
        <v>1</v>
      </c>
      <c r="M372" s="14" t="n">
        <v>2.814</v>
      </c>
      <c r="N372" s="14" t="n">
        <v>1.275</v>
      </c>
      <c r="O372" s="14" t="n">
        <v>-0.209</v>
      </c>
      <c r="P372" s="14" t="n">
        <v>2.604</v>
      </c>
      <c r="Q372" s="14" t="n">
        <v>0</v>
      </c>
      <c r="R372" s="14" t="n">
        <v>1</v>
      </c>
      <c r="S372" s="14" t="n">
        <v>2.584</v>
      </c>
      <c r="T372" s="14" t="n">
        <v>1.601</v>
      </c>
      <c r="U372" s="14" t="n">
        <v>0.032</v>
      </c>
      <c r="V372" s="14" t="n">
        <v>2.877</v>
      </c>
      <c r="W372" s="14" t="n">
        <v>0.1</v>
      </c>
      <c r="X372" s="14" t="n">
        <v>1</v>
      </c>
      <c r="Y372" s="14" t="n">
        <v>4.121</v>
      </c>
      <c r="Z372" s="14" t="n">
        <v>0.455</v>
      </c>
      <c r="AA372" s="14" t="n">
        <v>1.561</v>
      </c>
      <c r="AB372" s="14" t="n">
        <v>5.683</v>
      </c>
      <c r="AC372" s="14" t="n">
        <v>0</v>
      </c>
      <c r="AD372" s="14" t="n">
        <v>1</v>
      </c>
      <c r="AE372" s="14" t="n">
        <v>4.693</v>
      </c>
      <c r="AF372" s="14" t="n">
        <v>0.918</v>
      </c>
      <c r="AG372" s="14" t="n">
        <v>0.989</v>
      </c>
      <c r="AH372" s="14" t="n">
        <v>5.683</v>
      </c>
      <c r="AI372" s="14" t="n">
        <v>0</v>
      </c>
      <c r="AJ372" s="14" t="n">
        <v>1</v>
      </c>
      <c r="AK372" s="14" t="n">
        <v>8.122999999999999</v>
      </c>
      <c r="AL372" s="14" t="n">
        <v>3.855</v>
      </c>
      <c r="AM372" s="14" t="n">
        <v>2.387</v>
      </c>
      <c r="AN372" s="14" t="n">
        <v>11.561</v>
      </c>
      <c r="AO372" s="14" t="n">
        <v>0.1</v>
      </c>
      <c r="AP372" s="14" t="n">
        <v>1</v>
      </c>
      <c r="AQ372" s="14" t="n">
        <v>0.621</v>
      </c>
      <c r="AR372" s="14" t="n">
        <v>0.114</v>
      </c>
      <c r="AS372" s="14" t="n">
        <v>-0.178</v>
      </c>
      <c r="AT372" s="14" t="n">
        <v>0.495</v>
      </c>
      <c r="AU372" s="14" t="n">
        <v>0</v>
      </c>
      <c r="AV372" s="14" t="n">
        <v>0</v>
      </c>
      <c r="AW372" s="14" t="n">
        <v>0.593</v>
      </c>
      <c r="AX372" s="14" t="n">
        <v>0.114</v>
      </c>
      <c r="AY372" s="14" t="n">
        <v>-0.225</v>
      </c>
      <c r="AZ372" s="14" t="n">
        <v>0.405</v>
      </c>
      <c r="BA372" s="14" t="n">
        <v>0</v>
      </c>
      <c r="BB372" s="14" t="n">
        <v>0</v>
      </c>
      <c r="BC372" s="14" t="n">
        <v>0.44</v>
      </c>
      <c r="BD372" s="14" t="n">
        <v>0.114</v>
      </c>
      <c r="BE372" s="14" t="n">
        <v>-0.293</v>
      </c>
      <c r="BF372" s="14" t="n">
        <v>0.161</v>
      </c>
      <c r="BG372" s="14" t="n">
        <v>0</v>
      </c>
      <c r="BH372" s="14" t="n">
        <v>0</v>
      </c>
      <c r="BI372" s="14" t="n">
        <v>0.5600000000000001</v>
      </c>
      <c r="BJ372" s="14" t="n">
        <v>0.114</v>
      </c>
      <c r="BK372" s="14" t="n">
        <v>-0.398</v>
      </c>
      <c r="BL372" s="14" t="n">
        <v>0.179</v>
      </c>
      <c r="BM372" s="14" t="n">
        <v>0</v>
      </c>
      <c r="BN372" s="14" t="n">
        <v>0</v>
      </c>
      <c r="BO372" s="14" t="n">
        <v>0</v>
      </c>
      <c r="BP372" s="14" t="n">
        <v>-0.005</v>
      </c>
      <c r="BQ372" s="14" t="n">
        <v>0.076</v>
      </c>
      <c r="BR372" s="14" t="n">
        <v>0</v>
      </c>
      <c r="BS372" s="14" t="n">
        <v>0.667</v>
      </c>
      <c r="BT372" s="14" t="n">
        <v>0</v>
      </c>
      <c r="BU372" s="14" t="n">
        <v>-0.005</v>
      </c>
      <c r="BV372" s="14" t="n">
        <v>0.07199999999999999</v>
      </c>
      <c r="BW372" s="14" t="n">
        <v>0</v>
      </c>
      <c r="BX372" s="14" t="n">
        <v>0.667</v>
      </c>
      <c r="BY372" s="14" t="n">
        <v>11.787</v>
      </c>
      <c r="BZ372" s="14" t="n">
        <v>0</v>
      </c>
      <c r="CA372" s="14" t="n">
        <v>11.787</v>
      </c>
      <c r="CB372" s="14" t="n">
        <v>0</v>
      </c>
      <c r="CC372" s="14" t="n">
        <v>81.69499999999999</v>
      </c>
      <c r="CD372" s="14" t="n">
        <v>7.95</v>
      </c>
      <c r="CE372" s="14" t="n">
        <v>-56.426</v>
      </c>
      <c r="CF372" s="14" t="n">
        <v>27.797</v>
      </c>
      <c r="CG372" s="14" t="n">
        <v>0</v>
      </c>
      <c r="CH372" s="14" t="n">
        <v>0</v>
      </c>
      <c r="CI372" s="14" t="n">
        <v>0</v>
      </c>
      <c r="CJ372" s="14" t="n">
        <v>0</v>
      </c>
      <c r="CK372" s="14" t="n">
        <v>0</v>
      </c>
      <c r="CL372" s="14" t="n">
        <v>5.263</v>
      </c>
      <c r="CM372" s="14" t="n">
        <v>0</v>
      </c>
      <c r="CN372" s="14" t="n">
        <v>0.302</v>
      </c>
      <c r="CO372" s="14" t="n">
        <v>0.22</v>
      </c>
      <c r="CP372" s="14" t="n">
        <v>0</v>
      </c>
      <c r="CQ372" s="14" t="n">
        <v>1.137</v>
      </c>
      <c r="CR372" s="14" t="n">
        <v>1</v>
      </c>
      <c r="CS372" s="14" t="n">
        <v>3.55</v>
      </c>
      <c r="CT372" s="14" t="n">
        <v>4.633</v>
      </c>
      <c r="CU372" s="14" t="n">
        <v>14.129</v>
      </c>
    </row>
    <row r="373">
      <c r="A373" s="14" t="inlineStr">
        <is>
          <t>IDN2022</t>
        </is>
      </c>
      <c r="B373" s="14" t="inlineStr">
        <is>
          <t>IDN</t>
        </is>
      </c>
      <c r="C373" s="14" t="inlineStr">
        <is>
          <t>IDN</t>
        </is>
      </c>
      <c r="D373" s="14" t="inlineStr">
        <is>
          <t>Indonesia</t>
        </is>
      </c>
      <c r="E373" s="14" t="n">
        <v>2022</v>
      </c>
      <c r="F373" s="14" t="n">
        <v>0.11</v>
      </c>
      <c r="G373" s="14" t="n">
        <v>2.78</v>
      </c>
      <c r="H373" s="14" t="n">
        <v>0.432</v>
      </c>
      <c r="I373" s="14" t="n">
        <v>-0.181</v>
      </c>
      <c r="J373" s="14" t="n">
        <v>2.598</v>
      </c>
      <c r="K373" s="14" t="n">
        <v>0</v>
      </c>
      <c r="L373" s="14" t="n">
        <v>1</v>
      </c>
      <c r="M373" s="14" t="n">
        <v>2.967</v>
      </c>
      <c r="N373" s="14" t="n">
        <v>1.225</v>
      </c>
      <c r="O373" s="14" t="n">
        <v>-0.105</v>
      </c>
      <c r="P373" s="14" t="n">
        <v>2.863</v>
      </c>
      <c r="Q373" s="14" t="n">
        <v>0</v>
      </c>
      <c r="R373" s="14" t="n">
        <v>1</v>
      </c>
      <c r="S373" s="14" t="n">
        <v>2.909</v>
      </c>
      <c r="T373" s="14" t="n">
        <v>1.425</v>
      </c>
      <c r="U373" s="14" t="n">
        <v>0.059</v>
      </c>
      <c r="V373" s="14" t="n">
        <v>3.241</v>
      </c>
      <c r="W373" s="14" t="n">
        <v>0.1</v>
      </c>
      <c r="X373" s="14" t="n">
        <v>1</v>
      </c>
      <c r="Y373" s="14" t="n">
        <v>4.451</v>
      </c>
      <c r="Z373" s="14" t="n">
        <v>0.491</v>
      </c>
      <c r="AA373" s="14" t="n">
        <v>0.855</v>
      </c>
      <c r="AB373" s="14" t="n">
        <v>5.306</v>
      </c>
      <c r="AC373" s="14" t="n">
        <v>0</v>
      </c>
      <c r="AD373" s="14" t="n">
        <v>1</v>
      </c>
      <c r="AE373" s="14" t="n">
        <v>5.068</v>
      </c>
      <c r="AF373" s="14" t="n">
        <v>0.992</v>
      </c>
      <c r="AG373" s="14" t="n">
        <v>1.068</v>
      </c>
      <c r="AH373" s="14" t="n">
        <v>6.137</v>
      </c>
      <c r="AI373" s="14" t="n">
        <v>0</v>
      </c>
      <c r="AJ373" s="14" t="n">
        <v>1</v>
      </c>
      <c r="AK373" s="14" t="n">
        <v>8.772</v>
      </c>
      <c r="AL373" s="14" t="n">
        <v>4.163</v>
      </c>
      <c r="AM373" s="14" t="n">
        <v>2.662</v>
      </c>
      <c r="AN373" s="14" t="n">
        <v>12.485</v>
      </c>
      <c r="AO373" s="14" t="n">
        <v>0.1</v>
      </c>
      <c r="AP373" s="14" t="n">
        <v>1</v>
      </c>
      <c r="AQ373" s="14" t="n">
        <v>0.847</v>
      </c>
      <c r="AR373" s="14" t="n">
        <v>0.123</v>
      </c>
      <c r="AS373" s="14" t="n">
        <v>-0.189</v>
      </c>
      <c r="AT373" s="14" t="n">
        <v>0.737</v>
      </c>
      <c r="AU373" s="14" t="n">
        <v>0</v>
      </c>
      <c r="AV373" s="14" t="n">
        <v>0</v>
      </c>
      <c r="AW373" s="14" t="n">
        <v>0.947</v>
      </c>
      <c r="AX373" s="14" t="n">
        <v>0.123</v>
      </c>
      <c r="AY373" s="14" t="n">
        <v>-0.42</v>
      </c>
      <c r="AZ373" s="14" t="n">
        <v>0.579</v>
      </c>
      <c r="BA373" s="14" t="n">
        <v>0</v>
      </c>
      <c r="BB373" s="14" t="n">
        <v>0</v>
      </c>
      <c r="BC373" s="14" t="n">
        <v>0.589</v>
      </c>
      <c r="BD373" s="14" t="n">
        <v>0.123</v>
      </c>
      <c r="BE373" s="14" t="n">
        <v>-0.447</v>
      </c>
      <c r="BF373" s="14" t="n">
        <v>0.155</v>
      </c>
      <c r="BG373" s="14" t="n">
        <v>0</v>
      </c>
      <c r="BH373" s="14" t="n">
        <v>0</v>
      </c>
      <c r="BI373" s="14" t="n">
        <v>0.6889999999999999</v>
      </c>
      <c r="BJ373" s="14" t="n">
        <v>0.123</v>
      </c>
      <c r="BK373" s="14" t="n">
        <v>-0.542</v>
      </c>
      <c r="BL373" s="14" t="n">
        <v>0.161</v>
      </c>
      <c r="BM373" s="14" t="n">
        <v>0</v>
      </c>
      <c r="BN373" s="14" t="n">
        <v>0</v>
      </c>
      <c r="BO373" s="14" t="n">
        <v>0</v>
      </c>
      <c r="BP373" s="14" t="n">
        <v>-0.023</v>
      </c>
      <c r="BQ373" s="14" t="n">
        <v>0.073</v>
      </c>
      <c r="BR373" s="14" t="n">
        <v>0</v>
      </c>
      <c r="BS373" s="14" t="n">
        <v>0.667</v>
      </c>
      <c r="BT373" s="14" t="n">
        <v>0</v>
      </c>
      <c r="BU373" s="14" t="n">
        <v>-0.023</v>
      </c>
      <c r="BV373" s="14" t="n">
        <v>0.076</v>
      </c>
      <c r="BW373" s="14" t="n">
        <v>0</v>
      </c>
      <c r="BX373" s="14" t="n">
        <v>0.667</v>
      </c>
      <c r="BY373" s="14" t="n">
        <v>12.729</v>
      </c>
      <c r="BZ373" s="14" t="n">
        <v>0</v>
      </c>
      <c r="CA373" s="14" t="n">
        <v>12.729</v>
      </c>
      <c r="CB373" s="14" t="n">
        <v>0</v>
      </c>
      <c r="CC373" s="14" t="n">
        <v>102.477</v>
      </c>
      <c r="CD373" s="14" t="n">
        <v>7.95</v>
      </c>
      <c r="CE373" s="14" t="n">
        <v>-78.348</v>
      </c>
      <c r="CF373" s="14" t="n">
        <v>26.783</v>
      </c>
      <c r="CG373" s="14" t="n">
        <v>0</v>
      </c>
      <c r="CH373" s="14" t="n">
        <v>0</v>
      </c>
      <c r="CI373" s="14" t="n">
        <v>0</v>
      </c>
      <c r="CJ373" s="14" t="n">
        <v>0</v>
      </c>
      <c r="CK373" s="14" t="n">
        <v>0</v>
      </c>
      <c r="CL373" s="14" t="n">
        <v>5.683</v>
      </c>
      <c r="CM373" s="14" t="n">
        <v>0</v>
      </c>
      <c r="CN373" s="14" t="n">
        <v>0.322</v>
      </c>
      <c r="CO373" s="14" t="n">
        <v>0.226</v>
      </c>
      <c r="CP373" s="14" t="n">
        <v>0</v>
      </c>
      <c r="CQ373" s="14" t="n">
        <v>1.227</v>
      </c>
      <c r="CR373" s="14" t="n">
        <v>1</v>
      </c>
      <c r="CS373" s="14" t="n">
        <v>3.834</v>
      </c>
      <c r="CT373" s="14" t="n">
        <v>7.75</v>
      </c>
      <c r="CU373" s="14" t="n">
        <v>28.059</v>
      </c>
    </row>
    <row r="374">
      <c r="A374" s="14" t="inlineStr">
        <is>
          <t>IDN2023</t>
        </is>
      </c>
      <c r="B374" s="14" t="inlineStr">
        <is>
          <t>IDN</t>
        </is>
      </c>
      <c r="C374" s="14" t="inlineStr">
        <is>
          <t>IDN</t>
        </is>
      </c>
      <c r="D374" s="14" t="inlineStr">
        <is>
          <t>Indonesia</t>
        </is>
      </c>
      <c r="E374" s="14" t="n">
        <v>2023</v>
      </c>
      <c r="F374" s="14" t="n">
        <v>0.11</v>
      </c>
      <c r="G374" s="14" t="n">
        <v>2.765</v>
      </c>
      <c r="H374" s="14" t="n">
        <v>0.63</v>
      </c>
      <c r="I374" s="14" t="n">
        <v>0.08599999999999999</v>
      </c>
      <c r="J374" s="14" t="n">
        <v>2.85</v>
      </c>
      <c r="K374" s="14" t="n">
        <v>0</v>
      </c>
      <c r="L374" s="14" t="n">
        <v>1</v>
      </c>
      <c r="M374" s="14" t="n">
        <v>2.926</v>
      </c>
      <c r="N374" s="14" t="n">
        <v>1.451</v>
      </c>
      <c r="O374" s="14" t="n">
        <v>0</v>
      </c>
      <c r="P374" s="14" t="n">
        <v>2.926</v>
      </c>
      <c r="Q374" s="14" t="n">
        <v>0</v>
      </c>
      <c r="R374" s="14" t="n">
        <v>1</v>
      </c>
      <c r="S374" s="14" t="n">
        <v>2.96</v>
      </c>
      <c r="T374" s="14" t="n">
        <v>1.856</v>
      </c>
      <c r="U374" s="14" t="n">
        <v>0.061</v>
      </c>
      <c r="V374" s="14" t="n">
        <v>3.287</v>
      </c>
      <c r="W374" s="14" t="n">
        <v>0.1</v>
      </c>
      <c r="X374" s="14" t="n">
        <v>1</v>
      </c>
      <c r="Y374" s="14" t="n">
        <v>4.635</v>
      </c>
      <c r="Z374" s="14" t="n">
        <v>0.512</v>
      </c>
      <c r="AA374" s="14" t="n">
        <v>0.191</v>
      </c>
      <c r="AB374" s="14" t="n">
        <v>4.826</v>
      </c>
      <c r="AC374" s="14" t="n">
        <v>0</v>
      </c>
      <c r="AD374" s="14" t="n">
        <v>1</v>
      </c>
      <c r="AE374" s="14" t="n">
        <v>5.277</v>
      </c>
      <c r="AF374" s="14" t="n">
        <v>1.033</v>
      </c>
      <c r="AG374" s="14" t="n">
        <v>1.113</v>
      </c>
      <c r="AH374" s="14" t="n">
        <v>6.39</v>
      </c>
      <c r="AI374" s="14" t="n">
        <v>0</v>
      </c>
      <c r="AJ374" s="14" t="n">
        <v>1</v>
      </c>
      <c r="AK374" s="14" t="n">
        <v>9.134</v>
      </c>
      <c r="AL374" s="14" t="n">
        <v>4.335</v>
      </c>
      <c r="AM374" s="14" t="n">
        <v>2.815</v>
      </c>
      <c r="AN374" s="14" t="n">
        <v>13.001</v>
      </c>
      <c r="AO374" s="14" t="n">
        <v>0.1</v>
      </c>
      <c r="AP374" s="14" t="n">
        <v>1</v>
      </c>
      <c r="AQ374" s="14" t="n">
        <v>0.749</v>
      </c>
      <c r="AR374" s="14" t="n">
        <v>0.129</v>
      </c>
      <c r="AS374" s="14" t="n">
        <v>-0.128</v>
      </c>
      <c r="AT374" s="14" t="n">
        <v>0.696</v>
      </c>
      <c r="AU374" s="14" t="n">
        <v>0</v>
      </c>
      <c r="AV374" s="14" t="n">
        <v>0</v>
      </c>
      <c r="AW374" s="14" t="n">
        <v>0.783</v>
      </c>
      <c r="AX374" s="14" t="n">
        <v>0.129</v>
      </c>
      <c r="AY374" s="14" t="n">
        <v>-0.294</v>
      </c>
      <c r="AZ374" s="14" t="n">
        <v>0.538</v>
      </c>
      <c r="BA374" s="14" t="n">
        <v>0</v>
      </c>
      <c r="BB374" s="14" t="n">
        <v>0</v>
      </c>
      <c r="BC374" s="14" t="n">
        <v>0.527</v>
      </c>
      <c r="BD374" s="14" t="n">
        <v>0.129</v>
      </c>
      <c r="BE374" s="14" t="n">
        <v>-0.39</v>
      </c>
      <c r="BF374" s="14" t="n">
        <v>0.151</v>
      </c>
      <c r="BG374" s="14" t="n">
        <v>0</v>
      </c>
      <c r="BH374" s="14" t="n">
        <v>0</v>
      </c>
      <c r="BI374" s="14" t="n">
        <v>0.64</v>
      </c>
      <c r="BJ374" s="14" t="n">
        <v>0.129</v>
      </c>
      <c r="BK374" s="14" t="n">
        <v>-0.468</v>
      </c>
      <c r="BL374" s="14" t="n">
        <v>0.189</v>
      </c>
      <c r="BM374" s="14" t="n">
        <v>0</v>
      </c>
      <c r="BN374" s="14" t="n">
        <v>0</v>
      </c>
      <c r="BO374" s="14" t="n">
        <v>0</v>
      </c>
      <c r="BP374" s="14" t="n">
        <v>-0.002</v>
      </c>
      <c r="BQ374" s="14" t="n">
        <v>0.07099999999999999</v>
      </c>
      <c r="BR374" s="14" t="n">
        <v>0</v>
      </c>
      <c r="BS374" s="14" t="n">
        <v>0.667</v>
      </c>
      <c r="BT374" s="14" t="n">
        <v>0</v>
      </c>
      <c r="BU374" s="14" t="n">
        <v>-0.002</v>
      </c>
      <c r="BV374" s="14" t="n">
        <v>0.076</v>
      </c>
      <c r="BW374" s="14" t="n">
        <v>0</v>
      </c>
      <c r="BX374" s="14" t="n">
        <v>0.667</v>
      </c>
      <c r="BY374" s="14" t="n">
        <v>13.254</v>
      </c>
      <c r="BZ374" s="14" t="n">
        <v>0</v>
      </c>
      <c r="CA374" s="14" t="n">
        <v>13.254</v>
      </c>
      <c r="CB374" s="14" t="n">
        <v>0</v>
      </c>
      <c r="CC374" s="14" t="n">
        <v>87.07899999999999</v>
      </c>
      <c r="CD374" s="14" t="n">
        <v>7.95</v>
      </c>
      <c r="CE374" s="14" t="n">
        <v>-63.524</v>
      </c>
      <c r="CF374" s="14" t="n">
        <v>26.146</v>
      </c>
      <c r="CG374" s="14" t="n">
        <v>0</v>
      </c>
      <c r="CH374" s="14" t="n">
        <v>0</v>
      </c>
      <c r="CI374" s="14" t="n">
        <v>0</v>
      </c>
      <c r="CJ374" s="14" t="n">
        <v>0</v>
      </c>
      <c r="CK374" s="14" t="n">
        <v>0</v>
      </c>
      <c r="CL374" s="14" t="n">
        <v>5.918</v>
      </c>
      <c r="CM374" s="14" t="n">
        <v>0</v>
      </c>
      <c r="CN374" s="14" t="n">
        <v>0.337</v>
      </c>
      <c r="CO374" s="14" t="n">
        <v>0.232</v>
      </c>
      <c r="CP374" s="14" t="n">
        <v>0</v>
      </c>
      <c r="CQ374" s="14" t="n">
        <v>1.278</v>
      </c>
      <c r="CR374" s="14" t="n">
        <v>1</v>
      </c>
      <c r="CS374" s="14" t="n">
        <v>3.992</v>
      </c>
      <c r="CT374" s="14" t="n">
        <v>5.207</v>
      </c>
      <c r="CU374" s="14" t="n">
        <v>9.260999999999999</v>
      </c>
    </row>
    <row r="375">
      <c r="A375" s="14" t="inlineStr">
        <is>
          <t>IDN2024</t>
        </is>
      </c>
      <c r="B375" s="14" t="inlineStr">
        <is>
          <t>IDN</t>
        </is>
      </c>
      <c r="C375" s="14" t="inlineStr">
        <is>
          <t>IDN</t>
        </is>
      </c>
      <c r="D375" s="14" t="inlineStr">
        <is>
          <t>Indonesia</t>
        </is>
      </c>
      <c r="E375" s="14" t="n">
        <v>2024</v>
      </c>
      <c r="F375" s="14" t="n">
        <v>0.11</v>
      </c>
      <c r="G375" s="14" t="n">
        <v>2.672</v>
      </c>
      <c r="H375" s="14" t="n">
        <v>0.677</v>
      </c>
      <c r="I375" s="14" t="n">
        <v>0.08</v>
      </c>
      <c r="J375" s="14" t="n">
        <v>2.752</v>
      </c>
      <c r="K375" s="14" t="n">
        <v>0</v>
      </c>
      <c r="L375" s="14" t="n">
        <v>1</v>
      </c>
      <c r="M375" s="14" t="n">
        <v>2.98</v>
      </c>
      <c r="N375" s="14" t="n">
        <v>1.623</v>
      </c>
      <c r="O375" s="14" t="n">
        <v>0</v>
      </c>
      <c r="P375" s="14" t="n">
        <v>2.98</v>
      </c>
      <c r="Q375" s="14" t="n">
        <v>0</v>
      </c>
      <c r="R375" s="14" t="n">
        <v>1</v>
      </c>
      <c r="S375" s="14" t="n">
        <v>2.971</v>
      </c>
      <c r="T375" s="14" t="n">
        <v>1.967</v>
      </c>
      <c r="U375" s="14" t="n">
        <v>0.059</v>
      </c>
      <c r="V375" s="14" t="n">
        <v>3.288</v>
      </c>
      <c r="W375" s="14" t="n">
        <v>0.1</v>
      </c>
      <c r="X375" s="14" t="n">
        <v>1</v>
      </c>
      <c r="Y375" s="14" t="n">
        <v>4.771</v>
      </c>
      <c r="Z375" s="14" t="n">
        <v>0.527</v>
      </c>
      <c r="AA375" s="14" t="n">
        <v>0.197</v>
      </c>
      <c r="AB375" s="14" t="n">
        <v>4.968</v>
      </c>
      <c r="AC375" s="14" t="n">
        <v>0</v>
      </c>
      <c r="AD375" s="14" t="n">
        <v>1</v>
      </c>
      <c r="AE375" s="14" t="n">
        <v>5.433</v>
      </c>
      <c r="AF375" s="14" t="n">
        <v>1.063</v>
      </c>
      <c r="AG375" s="14" t="n">
        <v>1.145</v>
      </c>
      <c r="AH375" s="14" t="n">
        <v>6.579</v>
      </c>
      <c r="AI375" s="14" t="n">
        <v>0</v>
      </c>
      <c r="AJ375" s="14" t="n">
        <v>1</v>
      </c>
      <c r="AK375" s="14" t="n">
        <v>9.404</v>
      </c>
      <c r="AL375" s="14" t="n">
        <v>4.463</v>
      </c>
      <c r="AM375" s="14" t="n">
        <v>2.929</v>
      </c>
      <c r="AN375" s="14" t="n">
        <v>13.384</v>
      </c>
      <c r="AO375" s="14" t="n">
        <v>0.1</v>
      </c>
      <c r="AP375" s="14" t="n">
        <v>1</v>
      </c>
      <c r="AQ375" s="14" t="n">
        <v>0.72</v>
      </c>
      <c r="AR375" s="14" t="n">
        <v>0.132</v>
      </c>
      <c r="AS375" s="14" t="n">
        <v>-0.15</v>
      </c>
      <c r="AT375" s="14" t="n">
        <v>0.639</v>
      </c>
      <c r="AU375" s="14" t="n">
        <v>0</v>
      </c>
      <c r="AV375" s="14" t="n">
        <v>0</v>
      </c>
      <c r="AW375" s="14" t="n">
        <v>0.734</v>
      </c>
      <c r="AX375" s="14" t="n">
        <v>0.132</v>
      </c>
      <c r="AY375" s="14" t="n">
        <v>-0.209</v>
      </c>
      <c r="AZ375" s="14" t="n">
        <v>0.577</v>
      </c>
      <c r="BA375" s="14" t="n">
        <v>0</v>
      </c>
      <c r="BB375" s="14" t="n">
        <v>0</v>
      </c>
      <c r="BC375" s="14" t="n">
        <v>0.51</v>
      </c>
      <c r="BD375" s="14" t="n">
        <v>0.132</v>
      </c>
      <c r="BE375" s="14" t="n">
        <v>-0.356</v>
      </c>
      <c r="BF375" s="14" t="n">
        <v>0.155</v>
      </c>
      <c r="BG375" s="14" t="n">
        <v>0</v>
      </c>
      <c r="BH375" s="14" t="n">
        <v>0</v>
      </c>
      <c r="BI375" s="14" t="n">
        <v>0.652</v>
      </c>
      <c r="BJ375" s="14" t="n">
        <v>0.132</v>
      </c>
      <c r="BK375" s="14" t="n">
        <v>-0.458</v>
      </c>
      <c r="BL375" s="14" t="n">
        <v>0.194</v>
      </c>
      <c r="BM375" s="14" t="n">
        <v>0</v>
      </c>
      <c r="BN375" s="14" t="n">
        <v>0</v>
      </c>
      <c r="BO375" s="14" t="n">
        <v>0</v>
      </c>
      <c r="BP375" s="14" t="n">
        <v>-0.002</v>
      </c>
      <c r="BQ375" s="14" t="n">
        <v>0.067</v>
      </c>
      <c r="BR375" s="14" t="n">
        <v>0</v>
      </c>
      <c r="BS375" s="14" t="n">
        <v>0.667</v>
      </c>
      <c r="BT375" s="14" t="n">
        <v>0</v>
      </c>
      <c r="BU375" s="14" t="n">
        <v>-0.002</v>
      </c>
      <c r="BV375" s="14" t="n">
        <v>0.073</v>
      </c>
      <c r="BW375" s="14" t="n">
        <v>0</v>
      </c>
      <c r="BX375" s="14" t="n">
        <v>0.667</v>
      </c>
      <c r="BY375" s="14" t="n">
        <v>13.646</v>
      </c>
      <c r="BZ375" s="14" t="n">
        <v>0</v>
      </c>
      <c r="CA375" s="14" t="n">
        <v>13.646</v>
      </c>
      <c r="CB375" s="14" t="n">
        <v>0</v>
      </c>
      <c r="CC375" s="14" t="n">
        <v>86.38500000000001</v>
      </c>
      <c r="CD375" s="14" t="n">
        <v>7.95</v>
      </c>
      <c r="CE375" s="14" t="n">
        <v>-59.592</v>
      </c>
      <c r="CF375" s="14" t="n">
        <v>26.794</v>
      </c>
      <c r="CG375" s="14" t="n">
        <v>0</v>
      </c>
      <c r="CH375" s="14" t="n">
        <v>0</v>
      </c>
      <c r="CI375" s="14" t="n">
        <v>0</v>
      </c>
      <c r="CJ375" s="14" t="n">
        <v>0</v>
      </c>
      <c r="CK375" s="14" t="n">
        <v>0</v>
      </c>
      <c r="CL375" s="14" t="n">
        <v>6.093</v>
      </c>
      <c r="CM375" s="14" t="n">
        <v>0</v>
      </c>
      <c r="CN375" s="14" t="n">
        <v>0.363</v>
      </c>
      <c r="CO375" s="14" t="n">
        <v>0.229</v>
      </c>
      <c r="CP375" s="14" t="n">
        <v>0</v>
      </c>
      <c r="CQ375" s="14" t="n">
        <v>1.316</v>
      </c>
      <c r="CR375" s="14" t="n">
        <v>1</v>
      </c>
      <c r="CS375" s="14" t="n">
        <v>4.11</v>
      </c>
      <c r="CT375" s="14" t="n">
        <v>3.682</v>
      </c>
      <c r="CU375" s="14" t="n">
        <v>7.598</v>
      </c>
    </row>
    <row r="376">
      <c r="A376" s="14" t="inlineStr">
        <is>
          <t>IRN2021</t>
        </is>
      </c>
      <c r="B376" s="14" t="inlineStr">
        <is>
          <t>IRN</t>
        </is>
      </c>
      <c r="C376" s="14" t="inlineStr">
        <is>
          <t>IRN</t>
        </is>
      </c>
      <c r="D376" s="14" t="inlineStr">
        <is>
          <t>Iran</t>
        </is>
      </c>
      <c r="E376" s="14" t="n">
        <v>2021</v>
      </c>
      <c r="F376" s="14" t="n">
        <v>0.09</v>
      </c>
      <c r="G376" s="14" t="n">
        <v>3.05</v>
      </c>
      <c r="H376" s="14" t="n">
        <v>0.843</v>
      </c>
      <c r="I376" s="14" t="n">
        <v>0.077</v>
      </c>
      <c r="J376" s="14" t="n">
        <v>3.127</v>
      </c>
      <c r="K376" s="14" t="n">
        <v>0</v>
      </c>
      <c r="L376" s="14" t="n">
        <v>1</v>
      </c>
      <c r="M376" s="14" t="n">
        <v>4.662</v>
      </c>
      <c r="N376" s="14" t="n">
        <v>2.528</v>
      </c>
      <c r="O376" s="14" t="n">
        <v>0.08400000000000001</v>
      </c>
      <c r="P376" s="14" t="n">
        <v>4.746</v>
      </c>
      <c r="Q376" s="14" t="n">
        <v>0</v>
      </c>
      <c r="R376" s="14" t="n">
        <v>1</v>
      </c>
      <c r="S376" s="14" t="n">
        <v>7.262</v>
      </c>
      <c r="T376" s="14" t="n">
        <v>5.055</v>
      </c>
      <c r="U376" s="14" t="n">
        <v>0.077</v>
      </c>
      <c r="V376" s="14" t="n">
        <v>8</v>
      </c>
      <c r="W376" s="14" t="n">
        <v>0.09</v>
      </c>
      <c r="X376" s="14" t="n">
        <v>1</v>
      </c>
      <c r="Y376" s="14" t="n">
        <v>2.987</v>
      </c>
      <c r="Z376" s="14" t="n">
        <v>0.455</v>
      </c>
      <c r="AA376" s="14" t="n">
        <v>-1.246</v>
      </c>
      <c r="AB376" s="14" t="n">
        <v>1.741</v>
      </c>
      <c r="AC376" s="14" t="n">
        <v>0</v>
      </c>
      <c r="AD376" s="14" t="n">
        <v>0</v>
      </c>
      <c r="AE376" s="14" t="n">
        <v>3.56</v>
      </c>
      <c r="AF376" s="14" t="n">
        <v>0.922</v>
      </c>
      <c r="AG376" s="14" t="n">
        <v>-2.36</v>
      </c>
      <c r="AH376" s="14" t="n">
        <v>1.2</v>
      </c>
      <c r="AI376" s="14" t="n">
        <v>0</v>
      </c>
      <c r="AJ376" s="14" t="n">
        <v>0</v>
      </c>
      <c r="AK376" s="14" t="n">
        <v>6.997</v>
      </c>
      <c r="AL376" s="14" t="n">
        <v>3.924</v>
      </c>
      <c r="AM376" s="14" t="n">
        <v>-2.583</v>
      </c>
      <c r="AN376" s="14" t="n">
        <v>4.414</v>
      </c>
      <c r="AO376" s="14" t="n">
        <v>0</v>
      </c>
      <c r="AP376" s="14" t="n">
        <v>0</v>
      </c>
      <c r="AQ376" s="14" t="n">
        <v>0.469</v>
      </c>
      <c r="AR376" s="14" t="n">
        <v>0.114</v>
      </c>
      <c r="AS376" s="14" t="n">
        <v>-0.249</v>
      </c>
      <c r="AT376" s="14" t="n">
        <v>0.24</v>
      </c>
      <c r="AU376" s="14" t="n">
        <v>0</v>
      </c>
      <c r="AV376" s="14" t="n">
        <v>0</v>
      </c>
      <c r="AW376" s="14" t="n">
        <v>0.449</v>
      </c>
      <c r="AX376" s="14" t="n">
        <v>0.114</v>
      </c>
      <c r="AY376" s="14" t="n">
        <v>-0.391</v>
      </c>
      <c r="AZ376" s="14" t="n">
        <v>0.064</v>
      </c>
      <c r="BA376" s="14" t="n">
        <v>0</v>
      </c>
      <c r="BB376" s="14" t="n">
        <v>0</v>
      </c>
      <c r="BC376" s="14" t="n">
        <v>0.342</v>
      </c>
      <c r="BD376" s="14" t="n">
        <v>0.114</v>
      </c>
      <c r="BE376" s="14" t="n">
        <v>0</v>
      </c>
      <c r="BF376" s="14" t="n">
        <v>0.373</v>
      </c>
      <c r="BG376" s="14" t="n">
        <v>0.09</v>
      </c>
      <c r="BH376" s="14" t="n">
        <v>1</v>
      </c>
      <c r="BI376" s="14" t="n">
        <v>0.426</v>
      </c>
      <c r="BJ376" s="14" t="n">
        <v>0.114</v>
      </c>
      <c r="BK376" s="14" t="n">
        <v>0</v>
      </c>
      <c r="BL376" s="14" t="n">
        <v>0.465</v>
      </c>
      <c r="BM376" s="14" t="n">
        <v>0.09</v>
      </c>
      <c r="BN376" s="14" t="n">
        <v>1</v>
      </c>
      <c r="BO376" s="14" t="n">
        <v>0</v>
      </c>
      <c r="BP376" s="14" t="n">
        <v>-0.073</v>
      </c>
      <c r="BQ376" s="14" t="n">
        <v>0.018</v>
      </c>
      <c r="BR376" s="14" t="n">
        <v>0</v>
      </c>
      <c r="BS376" s="14" t="n">
        <v>1</v>
      </c>
      <c r="BT376" s="14" t="n">
        <v>0</v>
      </c>
      <c r="BU376" s="14" t="n">
        <v>-0.073</v>
      </c>
      <c r="BV376" s="14" t="n">
        <v>0.032</v>
      </c>
      <c r="BW376" s="14" t="n">
        <v>0</v>
      </c>
      <c r="BX376" s="14" t="n">
        <v>0.833</v>
      </c>
      <c r="BY376" s="14" t="n">
        <v>11.787</v>
      </c>
      <c r="BZ376" s="14" t="n">
        <v>0</v>
      </c>
      <c r="CA376" s="14" t="n">
        <v>11.787</v>
      </c>
      <c r="CB376" s="14" t="n">
        <v>0</v>
      </c>
      <c r="CC376" s="14" t="n">
        <v>59.572</v>
      </c>
      <c r="CD376" s="14" t="n">
        <v>7.95</v>
      </c>
      <c r="CE376" s="14" t="n">
        <v>0</v>
      </c>
      <c r="CF376" s="14" t="n">
        <v>64.93300000000001</v>
      </c>
      <c r="CG376" s="14" t="n">
        <v>0.09</v>
      </c>
      <c r="CH376" s="14" t="n">
        <v>1</v>
      </c>
      <c r="CI376" s="14" t="n">
        <v>0</v>
      </c>
      <c r="CJ376" s="14" t="n">
        <v>0</v>
      </c>
      <c r="CK376" s="14" t="n">
        <v>0</v>
      </c>
      <c r="CL376" s="14" t="n">
        <v>0</v>
      </c>
      <c r="CM376" s="14" t="n">
        <v>0</v>
      </c>
      <c r="CN376" s="14" t="n">
        <v>0</v>
      </c>
      <c r="CO376" s="14" t="n">
        <v>0</v>
      </c>
      <c r="CP376" s="14" t="n">
        <v>0.526</v>
      </c>
      <c r="CQ376" s="14" t="n">
        <v>1.198</v>
      </c>
      <c r="CR376" s="14" t="n">
        <v>0.998</v>
      </c>
      <c r="CS376" s="14" t="n">
        <v>2.399</v>
      </c>
      <c r="CT376" s="14" t="n">
        <v>3.327</v>
      </c>
      <c r="CU376" s="14" t="n">
        <v>9.891</v>
      </c>
    </row>
    <row r="377">
      <c r="A377" s="14" t="inlineStr">
        <is>
          <t>IRN2022</t>
        </is>
      </c>
      <c r="B377" s="14" t="inlineStr">
        <is>
          <t>IRN</t>
        </is>
      </c>
      <c r="C377" s="14" t="inlineStr">
        <is>
          <t>IRN</t>
        </is>
      </c>
      <c r="D377" s="14" t="inlineStr">
        <is>
          <t>Iran</t>
        </is>
      </c>
      <c r="E377" s="14" t="n">
        <v>2022</v>
      </c>
      <c r="F377" s="14" t="n">
        <v>0.09</v>
      </c>
      <c r="G377" s="14" t="n">
        <v>4.998</v>
      </c>
      <c r="H377" s="14" t="n">
        <v>0.903</v>
      </c>
      <c r="I377" s="14" t="n">
        <v>0.18</v>
      </c>
      <c r="J377" s="14" t="n">
        <v>5.178</v>
      </c>
      <c r="K377" s="14" t="n">
        <v>0</v>
      </c>
      <c r="L377" s="14" t="n">
        <v>1</v>
      </c>
      <c r="M377" s="14" t="n">
        <v>5.375</v>
      </c>
      <c r="N377" s="14" t="n">
        <v>2.71</v>
      </c>
      <c r="O377" s="14" t="n">
        <v>0.118</v>
      </c>
      <c r="P377" s="14" t="n">
        <v>5.494</v>
      </c>
      <c r="Q377" s="14" t="n">
        <v>0</v>
      </c>
      <c r="R377" s="14" t="n">
        <v>1</v>
      </c>
      <c r="S377" s="14" t="n">
        <v>9.513999999999999</v>
      </c>
      <c r="T377" s="14" t="n">
        <v>5.42</v>
      </c>
      <c r="U377" s="14" t="n">
        <v>0.244</v>
      </c>
      <c r="V377" s="14" t="n">
        <v>10.567</v>
      </c>
      <c r="W377" s="14" t="n">
        <v>0.09</v>
      </c>
      <c r="X377" s="14" t="n">
        <v>1</v>
      </c>
      <c r="Y377" s="14" t="n">
        <v>3.21</v>
      </c>
      <c r="Z377" s="14" t="n">
        <v>0.489</v>
      </c>
      <c r="AA377" s="14" t="n">
        <v>-1.345</v>
      </c>
      <c r="AB377" s="14" t="n">
        <v>1.865</v>
      </c>
      <c r="AC377" s="14" t="n">
        <v>0</v>
      </c>
      <c r="AD377" s="14" t="n">
        <v>0</v>
      </c>
      <c r="AE377" s="14" t="n">
        <v>3.828</v>
      </c>
      <c r="AF377" s="14" t="n">
        <v>0.992</v>
      </c>
      <c r="AG377" s="14" t="n">
        <v>-2.549</v>
      </c>
      <c r="AH377" s="14" t="n">
        <v>1.28</v>
      </c>
      <c r="AI377" s="14" t="n">
        <v>0</v>
      </c>
      <c r="AJ377" s="14" t="n">
        <v>0</v>
      </c>
      <c r="AK377" s="14" t="n">
        <v>7.54</v>
      </c>
      <c r="AL377" s="14" t="n">
        <v>4.228</v>
      </c>
      <c r="AM377" s="14" t="n">
        <v>-2.789</v>
      </c>
      <c r="AN377" s="14" t="n">
        <v>4.751</v>
      </c>
      <c r="AO377" s="14" t="n">
        <v>0</v>
      </c>
      <c r="AP377" s="14" t="n">
        <v>0</v>
      </c>
      <c r="AQ377" s="14" t="n">
        <v>0.63</v>
      </c>
      <c r="AR377" s="14" t="n">
        <v>0.123</v>
      </c>
      <c r="AS377" s="14" t="n">
        <v>-0.42</v>
      </c>
      <c r="AT377" s="14" t="n">
        <v>0.229</v>
      </c>
      <c r="AU377" s="14" t="n">
        <v>0</v>
      </c>
      <c r="AV377" s="14" t="n">
        <v>0</v>
      </c>
      <c r="AW377" s="14" t="n">
        <v>0.7</v>
      </c>
      <c r="AX377" s="14" t="n">
        <v>0.123</v>
      </c>
      <c r="AY377" s="14" t="n">
        <v>-0.642</v>
      </c>
      <c r="AZ377" s="14" t="n">
        <v>0.062</v>
      </c>
      <c r="BA377" s="14" t="n">
        <v>0</v>
      </c>
      <c r="BB377" s="14" t="n">
        <v>0</v>
      </c>
      <c r="BC377" s="14" t="n">
        <v>0.449</v>
      </c>
      <c r="BD377" s="14" t="n">
        <v>0.123</v>
      </c>
      <c r="BE377" s="14" t="n">
        <v>0.003</v>
      </c>
      <c r="BF377" s="14" t="n">
        <v>0.489</v>
      </c>
      <c r="BG377" s="14" t="n">
        <v>0.09</v>
      </c>
      <c r="BH377" s="14" t="n">
        <v>1</v>
      </c>
      <c r="BI377" s="14" t="n">
        <v>0.519</v>
      </c>
      <c r="BJ377" s="14" t="n">
        <v>0.123</v>
      </c>
      <c r="BK377" s="14" t="n">
        <v>0.003</v>
      </c>
      <c r="BL377" s="14" t="n">
        <v>0.5659999999999999</v>
      </c>
      <c r="BM377" s="14" t="n">
        <v>0.09</v>
      </c>
      <c r="BN377" s="14" t="n">
        <v>1</v>
      </c>
      <c r="BO377" s="14" t="n">
        <v>0</v>
      </c>
      <c r="BP377" s="14" t="n">
        <v>-0.073</v>
      </c>
      <c r="BQ377" s="14" t="n">
        <v>0.017</v>
      </c>
      <c r="BR377" s="14" t="n">
        <v>0</v>
      </c>
      <c r="BS377" s="14" t="n">
        <v>1</v>
      </c>
      <c r="BT377" s="14" t="n">
        <v>0</v>
      </c>
      <c r="BU377" s="14" t="n">
        <v>-0.073</v>
      </c>
      <c r="BV377" s="14" t="n">
        <v>0.031</v>
      </c>
      <c r="BW377" s="14" t="n">
        <v>0</v>
      </c>
      <c r="BX377" s="14" t="n">
        <v>0.833</v>
      </c>
      <c r="BY377" s="14" t="n">
        <v>12.729</v>
      </c>
      <c r="BZ377" s="14" t="n">
        <v>0</v>
      </c>
      <c r="CA377" s="14" t="n">
        <v>12.729</v>
      </c>
      <c r="CB377" s="14" t="n">
        <v>0</v>
      </c>
      <c r="CC377" s="14" t="n">
        <v>74.119</v>
      </c>
      <c r="CD377" s="14" t="n">
        <v>7.95</v>
      </c>
      <c r="CE377" s="14" t="n">
        <v>0.494</v>
      </c>
      <c r="CF377" s="14" t="n">
        <v>80.789</v>
      </c>
      <c r="CG377" s="14" t="n">
        <v>0.09</v>
      </c>
      <c r="CH377" s="14" t="n">
        <v>1</v>
      </c>
      <c r="CI377" s="14" t="n">
        <v>0</v>
      </c>
      <c r="CJ377" s="14" t="n">
        <v>0</v>
      </c>
      <c r="CK377" s="14" t="n">
        <v>0</v>
      </c>
      <c r="CL377" s="14" t="n">
        <v>0</v>
      </c>
      <c r="CM377" s="14" t="n">
        <v>0</v>
      </c>
      <c r="CN377" s="14" t="n">
        <v>0</v>
      </c>
      <c r="CO377" s="14" t="n">
        <v>0</v>
      </c>
      <c r="CP377" s="14" t="n">
        <v>0.537</v>
      </c>
      <c r="CQ377" s="14" t="n">
        <v>1.294</v>
      </c>
      <c r="CR377" s="14" t="n">
        <v>0.998</v>
      </c>
      <c r="CS377" s="14" t="n">
        <v>2.591</v>
      </c>
      <c r="CT377" s="14" t="n">
        <v>7.34</v>
      </c>
      <c r="CU377" s="14" t="n">
        <v>19.642</v>
      </c>
    </row>
    <row r="378">
      <c r="A378" s="14" t="inlineStr">
        <is>
          <t>IRN2023</t>
        </is>
      </c>
      <c r="B378" s="14" t="inlineStr">
        <is>
          <t>IRN</t>
        </is>
      </c>
      <c r="C378" s="14" t="inlineStr">
        <is>
          <t>IRN</t>
        </is>
      </c>
      <c r="D378" s="14" t="inlineStr">
        <is>
          <t>Iran</t>
        </is>
      </c>
      <c r="E378" s="14" t="n">
        <v>2023</v>
      </c>
      <c r="F378" s="14" t="n">
        <v>0.09</v>
      </c>
      <c r="G378" s="14" t="n">
        <v>2.89</v>
      </c>
      <c r="H378" s="14" t="n">
        <v>0.857</v>
      </c>
      <c r="I378" s="14" t="n">
        <v>0.063</v>
      </c>
      <c r="J378" s="14" t="n">
        <v>2.952</v>
      </c>
      <c r="K378" s="14" t="n">
        <v>0</v>
      </c>
      <c r="L378" s="14" t="n">
        <v>1</v>
      </c>
      <c r="M378" s="14" t="n">
        <v>4.41</v>
      </c>
      <c r="N378" s="14" t="n">
        <v>2.571</v>
      </c>
      <c r="O378" s="14" t="n">
        <v>0.059</v>
      </c>
      <c r="P378" s="14" t="n">
        <v>4.469</v>
      </c>
      <c r="Q378" s="14" t="n">
        <v>0</v>
      </c>
      <c r="R378" s="14" t="n">
        <v>1</v>
      </c>
      <c r="S378" s="14" t="n">
        <v>7.176</v>
      </c>
      <c r="T378" s="14" t="n">
        <v>5.143</v>
      </c>
      <c r="U378" s="14" t="n">
        <v>0.135</v>
      </c>
      <c r="V378" s="14" t="n">
        <v>7.89</v>
      </c>
      <c r="W378" s="14" t="n">
        <v>0.09</v>
      </c>
      <c r="X378" s="14" t="n">
        <v>1</v>
      </c>
      <c r="Y378" s="14" t="n">
        <v>3.342</v>
      </c>
      <c r="Z378" s="14" t="n">
        <v>0.509</v>
      </c>
      <c r="AA378" s="14" t="n">
        <v>-0.9320000000000001</v>
      </c>
      <c r="AB378" s="14" t="n">
        <v>2.41</v>
      </c>
      <c r="AC378" s="14" t="n">
        <v>0</v>
      </c>
      <c r="AD378" s="14" t="n">
        <v>0</v>
      </c>
      <c r="AE378" s="14" t="n">
        <v>3.986</v>
      </c>
      <c r="AF378" s="14" t="n">
        <v>1.033</v>
      </c>
      <c r="AG378" s="14" t="n">
        <v>-2.186</v>
      </c>
      <c r="AH378" s="14" t="n">
        <v>1.801</v>
      </c>
      <c r="AI378" s="14" t="n">
        <v>0</v>
      </c>
      <c r="AJ378" s="14" t="n">
        <v>0</v>
      </c>
      <c r="AK378" s="14" t="n">
        <v>7.851</v>
      </c>
      <c r="AL378" s="14" t="n">
        <v>4.403</v>
      </c>
      <c r="AM378" s="14" t="n">
        <v>-2.907</v>
      </c>
      <c r="AN378" s="14" t="n">
        <v>4.944</v>
      </c>
      <c r="AO378" s="14" t="n">
        <v>0</v>
      </c>
      <c r="AP378" s="14" t="n">
        <v>0</v>
      </c>
      <c r="AQ378" s="14" t="n">
        <v>0.5629999999999999</v>
      </c>
      <c r="AR378" s="14" t="n">
        <v>0.129</v>
      </c>
      <c r="AS378" s="14" t="n">
        <v>-0.303</v>
      </c>
      <c r="AT378" s="14" t="n">
        <v>0.283</v>
      </c>
      <c r="AU378" s="14" t="n">
        <v>0</v>
      </c>
      <c r="AV378" s="14" t="n">
        <v>0</v>
      </c>
      <c r="AW378" s="14" t="n">
        <v>0.586</v>
      </c>
      <c r="AX378" s="14" t="n">
        <v>0.129</v>
      </c>
      <c r="AY378" s="14" t="n">
        <v>-0.528</v>
      </c>
      <c r="AZ378" s="14" t="n">
        <v>0.063</v>
      </c>
      <c r="BA378" s="14" t="n">
        <v>0</v>
      </c>
      <c r="BB378" s="14" t="n">
        <v>0</v>
      </c>
      <c r="BC378" s="14" t="n">
        <v>0.408</v>
      </c>
      <c r="BD378" s="14" t="n">
        <v>0.129</v>
      </c>
      <c r="BE378" s="14" t="n">
        <v>0.004</v>
      </c>
      <c r="BF378" s="14" t="n">
        <v>0.444</v>
      </c>
      <c r="BG378" s="14" t="n">
        <v>0.09</v>
      </c>
      <c r="BH378" s="14" t="n">
        <v>1</v>
      </c>
      <c r="BI378" s="14" t="n">
        <v>0.486</v>
      </c>
      <c r="BJ378" s="14" t="n">
        <v>0.129</v>
      </c>
      <c r="BK378" s="14" t="n">
        <v>0.005</v>
      </c>
      <c r="BL378" s="14" t="n">
        <v>0.53</v>
      </c>
      <c r="BM378" s="14" t="n">
        <v>0.09</v>
      </c>
      <c r="BN378" s="14" t="n">
        <v>1</v>
      </c>
      <c r="BO378" s="14" t="n">
        <v>0</v>
      </c>
      <c r="BP378" s="14" t="n">
        <v>-0.073</v>
      </c>
      <c r="BQ378" s="14" t="n">
        <v>0.018</v>
      </c>
      <c r="BR378" s="14" t="n">
        <v>0</v>
      </c>
      <c r="BS378" s="14" t="n">
        <v>1</v>
      </c>
      <c r="BT378" s="14" t="n">
        <v>0</v>
      </c>
      <c r="BU378" s="14" t="n">
        <v>-0.073</v>
      </c>
      <c r="BV378" s="14" t="n">
        <v>0.031</v>
      </c>
      <c r="BW378" s="14" t="n">
        <v>0</v>
      </c>
      <c r="BX378" s="14" t="n">
        <v>0.833</v>
      </c>
      <c r="BY378" s="14" t="n">
        <v>13.254</v>
      </c>
      <c r="BZ378" s="14" t="n">
        <v>0</v>
      </c>
      <c r="CA378" s="14" t="n">
        <v>13.254</v>
      </c>
      <c r="CB378" s="14" t="n">
        <v>0</v>
      </c>
      <c r="CC378" s="14" t="n">
        <v>63.34</v>
      </c>
      <c r="CD378" s="14" t="n">
        <v>7.95</v>
      </c>
      <c r="CE378" s="14" t="n">
        <v>0.631</v>
      </c>
      <c r="CF378" s="14" t="n">
        <v>69.041</v>
      </c>
      <c r="CG378" s="14" t="n">
        <v>0.09</v>
      </c>
      <c r="CH378" s="14" t="n">
        <v>1</v>
      </c>
      <c r="CI378" s="14" t="n">
        <v>0</v>
      </c>
      <c r="CJ378" s="14" t="n">
        <v>0</v>
      </c>
      <c r="CK378" s="14" t="n">
        <v>0</v>
      </c>
      <c r="CL378" s="14" t="n">
        <v>0</v>
      </c>
      <c r="CM378" s="14" t="n">
        <v>0</v>
      </c>
      <c r="CN378" s="14" t="n">
        <v>0</v>
      </c>
      <c r="CO378" s="14" t="n">
        <v>0</v>
      </c>
      <c r="CP378" s="14" t="n">
        <v>0.667</v>
      </c>
      <c r="CQ378" s="14" t="n">
        <v>1.348</v>
      </c>
      <c r="CR378" s="14" t="n">
        <v>0.998</v>
      </c>
      <c r="CS378" s="14" t="n">
        <v>2.698</v>
      </c>
      <c r="CT378" s="14" t="n">
        <v>3.403</v>
      </c>
      <c r="CU378" s="14" t="n">
        <v>6.483</v>
      </c>
    </row>
    <row r="379">
      <c r="A379" s="14" t="inlineStr">
        <is>
          <t>IRN2024</t>
        </is>
      </c>
      <c r="B379" s="14" t="inlineStr">
        <is>
          <t>IRN</t>
        </is>
      </c>
      <c r="C379" s="14" t="inlineStr">
        <is>
          <t>IRN</t>
        </is>
      </c>
      <c r="D379" s="14" t="inlineStr">
        <is>
          <t>Iran</t>
        </is>
      </c>
      <c r="E379" s="14" t="n">
        <v>2024</v>
      </c>
      <c r="F379" s="14" t="n">
        <v>0.09</v>
      </c>
      <c r="G379" s="14" t="n">
        <v>2.799</v>
      </c>
      <c r="H379" s="14" t="n">
        <v>0.882</v>
      </c>
      <c r="I379" s="14" t="n">
        <v>0.049</v>
      </c>
      <c r="J379" s="14" t="n">
        <v>2.848</v>
      </c>
      <c r="K379" s="14" t="n">
        <v>0</v>
      </c>
      <c r="L379" s="14" t="n">
        <v>1</v>
      </c>
      <c r="M379" s="14" t="n">
        <v>4.308</v>
      </c>
      <c r="N379" s="14" t="n">
        <v>2.647</v>
      </c>
      <c r="O379" s="14" t="n">
        <v>0.041</v>
      </c>
      <c r="P379" s="14" t="n">
        <v>4.349</v>
      </c>
      <c r="Q379" s="14" t="n">
        <v>0</v>
      </c>
      <c r="R379" s="14" t="n">
        <v>1</v>
      </c>
      <c r="S379" s="14" t="n">
        <v>7.212</v>
      </c>
      <c r="T379" s="14" t="n">
        <v>5.295</v>
      </c>
      <c r="U379" s="14" t="n">
        <v>0.138</v>
      </c>
      <c r="V379" s="14" t="n">
        <v>7.914</v>
      </c>
      <c r="W379" s="14" t="n">
        <v>0.09</v>
      </c>
      <c r="X379" s="14" t="n">
        <v>1</v>
      </c>
      <c r="Y379" s="14" t="n">
        <v>3.441</v>
      </c>
      <c r="Z379" s="14" t="n">
        <v>0.524</v>
      </c>
      <c r="AA379" s="14" t="n">
        <v>-0.96</v>
      </c>
      <c r="AB379" s="14" t="n">
        <v>2.481</v>
      </c>
      <c r="AC379" s="14" t="n">
        <v>0</v>
      </c>
      <c r="AD379" s="14" t="n">
        <v>0</v>
      </c>
      <c r="AE379" s="14" t="n">
        <v>4.104</v>
      </c>
      <c r="AF379" s="14" t="n">
        <v>1.063</v>
      </c>
      <c r="AG379" s="14" t="n">
        <v>-2.25</v>
      </c>
      <c r="AH379" s="14" t="n">
        <v>1.854</v>
      </c>
      <c r="AI379" s="14" t="n">
        <v>0</v>
      </c>
      <c r="AJ379" s="14" t="n">
        <v>0</v>
      </c>
      <c r="AK379" s="14" t="n">
        <v>8.083</v>
      </c>
      <c r="AL379" s="14" t="n">
        <v>4.533</v>
      </c>
      <c r="AM379" s="14" t="n">
        <v>-2.879</v>
      </c>
      <c r="AN379" s="14" t="n">
        <v>5.204</v>
      </c>
      <c r="AO379" s="14" t="n">
        <v>0</v>
      </c>
      <c r="AP379" s="14" t="n">
        <v>0</v>
      </c>
      <c r="AQ379" s="14" t="n">
        <v>0.544</v>
      </c>
      <c r="AR379" s="14" t="n">
        <v>0.132</v>
      </c>
      <c r="AS379" s="14" t="n">
        <v>-0.284</v>
      </c>
      <c r="AT379" s="14" t="n">
        <v>0.283</v>
      </c>
      <c r="AU379" s="14" t="n">
        <v>0</v>
      </c>
      <c r="AV379" s="14" t="n">
        <v>0</v>
      </c>
      <c r="AW379" s="14" t="n">
        <v>0.553</v>
      </c>
      <c r="AX379" s="14" t="n">
        <v>0.132</v>
      </c>
      <c r="AY379" s="14" t="n">
        <v>-0.495</v>
      </c>
      <c r="AZ379" s="14" t="n">
        <v>0.063</v>
      </c>
      <c r="BA379" s="14" t="n">
        <v>0</v>
      </c>
      <c r="BB379" s="14" t="n">
        <v>0</v>
      </c>
      <c r="BC379" s="14" t="n">
        <v>0.397</v>
      </c>
      <c r="BD379" s="14" t="n">
        <v>0.132</v>
      </c>
      <c r="BE379" s="14" t="n">
        <v>0.005</v>
      </c>
      <c r="BF379" s="14" t="n">
        <v>0.433</v>
      </c>
      <c r="BG379" s="14" t="n">
        <v>0.09</v>
      </c>
      <c r="BH379" s="14" t="n">
        <v>1</v>
      </c>
      <c r="BI379" s="14" t="n">
        <v>0.496</v>
      </c>
      <c r="BJ379" s="14" t="n">
        <v>0.132</v>
      </c>
      <c r="BK379" s="14" t="n">
        <v>0.006</v>
      </c>
      <c r="BL379" s="14" t="n">
        <v>0.541</v>
      </c>
      <c r="BM379" s="14" t="n">
        <v>0.09</v>
      </c>
      <c r="BN379" s="14" t="n">
        <v>1</v>
      </c>
      <c r="BO379" s="14" t="n">
        <v>0</v>
      </c>
      <c r="BP379" s="14" t="n">
        <v>-0.075</v>
      </c>
      <c r="BQ379" s="14" t="n">
        <v>0.019</v>
      </c>
      <c r="BR379" s="14" t="n">
        <v>0</v>
      </c>
      <c r="BS379" s="14" t="n">
        <v>1</v>
      </c>
      <c r="BT379" s="14" t="n">
        <v>0</v>
      </c>
      <c r="BU379" s="14" t="n">
        <v>-0.075</v>
      </c>
      <c r="BV379" s="14" t="n">
        <v>0.039</v>
      </c>
      <c r="BW379" s="14" t="n">
        <v>0</v>
      </c>
      <c r="BX379" s="14" t="n">
        <v>0.833</v>
      </c>
      <c r="BY379" s="14" t="n">
        <v>13.646</v>
      </c>
      <c r="BZ379" s="14" t="n">
        <v>0</v>
      </c>
      <c r="CA379" s="14" t="n">
        <v>13.646</v>
      </c>
      <c r="CB379" s="14" t="n">
        <v>0</v>
      </c>
      <c r="CC379" s="14" t="n">
        <v>62.855</v>
      </c>
      <c r="CD379" s="14" t="n">
        <v>7.95</v>
      </c>
      <c r="CE379" s="14" t="n">
        <v>0.771</v>
      </c>
      <c r="CF379" s="14" t="n">
        <v>68.512</v>
      </c>
      <c r="CG379" s="14" t="n">
        <v>0.09</v>
      </c>
      <c r="CH379" s="14" t="n">
        <v>1</v>
      </c>
      <c r="CI379" s="14" t="n">
        <v>0</v>
      </c>
      <c r="CJ379" s="14" t="n">
        <v>0</v>
      </c>
      <c r="CK379" s="14" t="n">
        <v>0</v>
      </c>
      <c r="CL379" s="14" t="n">
        <v>0</v>
      </c>
      <c r="CM379" s="14" t="n">
        <v>0</v>
      </c>
      <c r="CN379" s="14" t="n">
        <v>0</v>
      </c>
      <c r="CO379" s="14" t="n">
        <v>0</v>
      </c>
      <c r="CP379" s="14" t="n">
        <v>0.667</v>
      </c>
      <c r="CQ379" s="14" t="n">
        <v>1.387</v>
      </c>
      <c r="CR379" s="14" t="n">
        <v>0.998</v>
      </c>
      <c r="CS379" s="14" t="n">
        <v>2.778</v>
      </c>
      <c r="CT379" s="14" t="n">
        <v>2.976</v>
      </c>
      <c r="CU379" s="14" t="n">
        <v>5.319</v>
      </c>
    </row>
    <row r="380">
      <c r="A380" s="14" t="inlineStr">
        <is>
          <t>IRQ2021</t>
        </is>
      </c>
      <c r="B380" s="14" t="inlineStr">
        <is>
          <t>IRQ</t>
        </is>
      </c>
      <c r="C380" s="14" t="inlineStr">
        <is>
          <t>IRQ</t>
        </is>
      </c>
      <c r="D380" s="14" t="inlineStr">
        <is>
          <t>Iraq</t>
        </is>
      </c>
      <c r="E380" s="14" t="n">
        <v>2021</v>
      </c>
      <c r="F380" s="14" t="n">
        <v>0</v>
      </c>
      <c r="G380" s="14" t="n">
        <v>5.897</v>
      </c>
      <c r="H380" s="14" t="n">
        <v>1.143</v>
      </c>
      <c r="I380" s="14" t="n">
        <v>0.233</v>
      </c>
      <c r="J380" s="14" t="n">
        <v>6.13</v>
      </c>
      <c r="K380" s="14" t="n">
        <v>0</v>
      </c>
      <c r="L380" s="14" t="n">
        <v>1</v>
      </c>
      <c r="M380" s="14" t="n">
        <v>7.964</v>
      </c>
      <c r="N380" s="14" t="n">
        <v>3.43</v>
      </c>
      <c r="O380" s="14" t="n">
        <v>0.252</v>
      </c>
      <c r="P380" s="14" t="n">
        <v>8.217000000000001</v>
      </c>
      <c r="Q380" s="14" t="n">
        <v>0</v>
      </c>
      <c r="R380" s="14" t="n">
        <v>1</v>
      </c>
      <c r="S380" s="14" t="n">
        <v>11.613</v>
      </c>
      <c r="T380" s="14" t="n">
        <v>6.86</v>
      </c>
      <c r="U380" s="14" t="n">
        <v>0.233</v>
      </c>
      <c r="V380" s="14" t="n">
        <v>11.846</v>
      </c>
      <c r="W380" s="14" t="n">
        <v>0</v>
      </c>
      <c r="X380" s="14" t="n">
        <v>1</v>
      </c>
      <c r="Y380" s="14" t="n">
        <v>7.559</v>
      </c>
      <c r="Z380" s="14" t="n">
        <v>0.788</v>
      </c>
      <c r="AA380" s="14" t="n">
        <v>-2.972</v>
      </c>
      <c r="AB380" s="14" t="n">
        <v>4.588</v>
      </c>
      <c r="AC380" s="14" t="n">
        <v>0</v>
      </c>
      <c r="AD380" s="14" t="n">
        <v>0</v>
      </c>
      <c r="AE380" s="14" t="n">
        <v>8.419</v>
      </c>
      <c r="AF380" s="14" t="n">
        <v>1.557</v>
      </c>
      <c r="AG380" s="14" t="n">
        <v>-4.373</v>
      </c>
      <c r="AH380" s="14" t="n">
        <v>4.046</v>
      </c>
      <c r="AI380" s="14" t="n">
        <v>0</v>
      </c>
      <c r="AJ380" s="14" t="n">
        <v>0</v>
      </c>
      <c r="AK380" s="14" t="n">
        <v>13.577</v>
      </c>
      <c r="AL380" s="14" t="n">
        <v>6.201</v>
      </c>
      <c r="AM380" s="14" t="n">
        <v>0</v>
      </c>
      <c r="AN380" s="14" t="n">
        <v>13.577</v>
      </c>
      <c r="AO380" s="14" t="n">
        <v>0</v>
      </c>
      <c r="AP380" s="14" t="n">
        <v>1</v>
      </c>
      <c r="AQ380" s="14" t="n">
        <v>0.621</v>
      </c>
      <c r="AR380" s="14" t="n">
        <v>0.114</v>
      </c>
      <c r="AS380" s="14" t="n">
        <v>-0.264</v>
      </c>
      <c r="AT380" s="14" t="n">
        <v>0.357</v>
      </c>
      <c r="AU380" s="14" t="n">
        <v>0</v>
      </c>
      <c r="AV380" s="14" t="n">
        <v>0</v>
      </c>
      <c r="AW380" s="14" t="n">
        <v>0.593</v>
      </c>
      <c r="AX380" s="14" t="n">
        <v>0.114</v>
      </c>
      <c r="AY380" s="14" t="n">
        <v>-0.381</v>
      </c>
      <c r="AZ380" s="14" t="n">
        <v>0.212</v>
      </c>
      <c r="BA380" s="14" t="n">
        <v>0</v>
      </c>
      <c r="BB380" s="14" t="n">
        <v>0</v>
      </c>
      <c r="BC380" s="14" t="n">
        <v>0.44</v>
      </c>
      <c r="BD380" s="14" t="n">
        <v>0.114</v>
      </c>
      <c r="BE380" s="14" t="n">
        <v>0</v>
      </c>
      <c r="BF380" s="14" t="n">
        <v>0.44</v>
      </c>
      <c r="BG380" s="14" t="n">
        <v>0</v>
      </c>
      <c r="BH380" s="14" t="n">
        <v>1</v>
      </c>
      <c r="BI380" s="14" t="n">
        <v>0.5600000000000001</v>
      </c>
      <c r="BJ380" s="14" t="n">
        <v>0.114</v>
      </c>
      <c r="BK380" s="14" t="n">
        <v>0</v>
      </c>
      <c r="BL380" s="14" t="n">
        <v>0.5600000000000001</v>
      </c>
      <c r="BM380" s="14" t="n">
        <v>0</v>
      </c>
      <c r="BN380" s="14" t="n">
        <v>1</v>
      </c>
      <c r="BO380" s="14" t="n">
        <v>0</v>
      </c>
      <c r="BP380" s="14" t="n">
        <v>0</v>
      </c>
      <c r="BQ380" s="14" t="n">
        <v>0.041</v>
      </c>
      <c r="BR380" s="14" t="n">
        <v>0</v>
      </c>
      <c r="BS380" s="14" t="n">
        <v>0.667</v>
      </c>
      <c r="BT380" s="14" t="n">
        <v>0</v>
      </c>
      <c r="BU380" s="14" t="n">
        <v>0</v>
      </c>
      <c r="BV380" s="14" t="n">
        <v>0.024</v>
      </c>
      <c r="BW380" s="14" t="n">
        <v>0</v>
      </c>
      <c r="BX380" s="14" t="n">
        <v>0.833</v>
      </c>
      <c r="BY380" s="14" t="n">
        <v>11.787</v>
      </c>
      <c r="BZ380" s="14" t="n">
        <v>0</v>
      </c>
      <c r="CA380" s="14" t="n">
        <v>11.787</v>
      </c>
      <c r="CB380" s="14" t="n">
        <v>0</v>
      </c>
      <c r="CC380" s="14" t="n">
        <v>81.69499999999999</v>
      </c>
      <c r="CD380" s="14" t="n">
        <v>7.95</v>
      </c>
      <c r="CE380" s="14" t="n">
        <v>0</v>
      </c>
      <c r="CF380" s="14" t="n">
        <v>81.69499999999999</v>
      </c>
      <c r="CG380" s="14" t="n">
        <v>0</v>
      </c>
      <c r="CH380" s="14" t="n">
        <v>1</v>
      </c>
      <c r="CI380" s="14" t="n">
        <v>0</v>
      </c>
      <c r="CJ380" s="14" t="n">
        <v>0</v>
      </c>
      <c r="CK380" s="14" t="n">
        <v>0</v>
      </c>
      <c r="CL380" s="14" t="n">
        <v>0</v>
      </c>
      <c r="CM380" s="14" t="n">
        <v>0</v>
      </c>
      <c r="CN380" s="14" t="n">
        <v>0</v>
      </c>
      <c r="CO380" s="14" t="n">
        <v>0</v>
      </c>
      <c r="CP380" s="14" t="n">
        <v>0</v>
      </c>
      <c r="CQ380" s="14" t="n">
        <v>1.198</v>
      </c>
      <c r="CR380" s="14" t="n">
        <v>0.496</v>
      </c>
      <c r="CS380" s="14" t="n">
        <v>3.207</v>
      </c>
      <c r="CT380" s="14" t="n">
        <v>4.753</v>
      </c>
      <c r="CU380" s="14" t="n">
        <v>14.162</v>
      </c>
    </row>
    <row r="381">
      <c r="A381" s="14" t="inlineStr">
        <is>
          <t>IRQ2022</t>
        </is>
      </c>
      <c r="B381" s="14" t="inlineStr">
        <is>
          <t>IRQ</t>
        </is>
      </c>
      <c r="C381" s="14" t="inlineStr">
        <is>
          <t>IRQ</t>
        </is>
      </c>
      <c r="D381" s="14" t="inlineStr">
        <is>
          <t>Iraq</t>
        </is>
      </c>
      <c r="E381" s="14" t="n">
        <v>2022</v>
      </c>
      <c r="F381" s="14" t="n">
        <v>0</v>
      </c>
      <c r="G381" s="14" t="n">
        <v>11.72</v>
      </c>
      <c r="H381" s="14" t="n">
        <v>1.235</v>
      </c>
      <c r="I381" s="14" t="n">
        <v>0.555</v>
      </c>
      <c r="J381" s="14" t="n">
        <v>12.275</v>
      </c>
      <c r="K381" s="14" t="n">
        <v>0</v>
      </c>
      <c r="L381" s="14" t="n">
        <v>1</v>
      </c>
      <c r="M381" s="14" t="n">
        <v>9.782999999999999</v>
      </c>
      <c r="N381" s="14" t="n">
        <v>3.704</v>
      </c>
      <c r="O381" s="14" t="n">
        <v>0.365</v>
      </c>
      <c r="P381" s="14" t="n">
        <v>10.148</v>
      </c>
      <c r="Q381" s="14" t="n">
        <v>0</v>
      </c>
      <c r="R381" s="14" t="n">
        <v>1</v>
      </c>
      <c r="S381" s="14" t="n">
        <v>17.893</v>
      </c>
      <c r="T381" s="14" t="n">
        <v>7.408</v>
      </c>
      <c r="U381" s="14" t="n">
        <v>0.555</v>
      </c>
      <c r="V381" s="14" t="n">
        <v>18.448</v>
      </c>
      <c r="W381" s="14" t="n">
        <v>0</v>
      </c>
      <c r="X381" s="14" t="n">
        <v>1</v>
      </c>
      <c r="Y381" s="14" t="n">
        <v>12.691</v>
      </c>
      <c r="Z381" s="14" t="n">
        <v>1.323</v>
      </c>
      <c r="AA381" s="14" t="n">
        <v>-7.177</v>
      </c>
      <c r="AB381" s="14" t="n">
        <v>5.514</v>
      </c>
      <c r="AC381" s="14" t="n">
        <v>0</v>
      </c>
      <c r="AD381" s="14" t="n">
        <v>0</v>
      </c>
      <c r="AE381" s="14" t="n">
        <v>13.61</v>
      </c>
      <c r="AF381" s="14" t="n">
        <v>2.516</v>
      </c>
      <c r="AG381" s="14" t="n">
        <v>-8.682</v>
      </c>
      <c r="AH381" s="14" t="n">
        <v>4.929</v>
      </c>
      <c r="AI381" s="14" t="n">
        <v>0</v>
      </c>
      <c r="AJ381" s="14" t="n">
        <v>0</v>
      </c>
      <c r="AK381" s="14" t="n">
        <v>19.125</v>
      </c>
      <c r="AL381" s="14" t="n">
        <v>8.734</v>
      </c>
      <c r="AM381" s="14" t="n">
        <v>0</v>
      </c>
      <c r="AN381" s="14" t="n">
        <v>19.125</v>
      </c>
      <c r="AO381" s="14" t="n">
        <v>0</v>
      </c>
      <c r="AP381" s="14" t="n">
        <v>1</v>
      </c>
      <c r="AQ381" s="14" t="n">
        <v>0.847</v>
      </c>
      <c r="AR381" s="14" t="n">
        <v>0.123</v>
      </c>
      <c r="AS381" s="14" t="n">
        <v>-0.407</v>
      </c>
      <c r="AT381" s="14" t="n">
        <v>0.44</v>
      </c>
      <c r="AU381" s="14" t="n">
        <v>0</v>
      </c>
      <c r="AV381" s="14" t="n">
        <v>0</v>
      </c>
      <c r="AW381" s="14" t="n">
        <v>0.947</v>
      </c>
      <c r="AX381" s="14" t="n">
        <v>0.123</v>
      </c>
      <c r="AY381" s="14" t="n">
        <v>-0.646</v>
      </c>
      <c r="AZ381" s="14" t="n">
        <v>0.301</v>
      </c>
      <c r="BA381" s="14" t="n">
        <v>0</v>
      </c>
      <c r="BB381" s="14" t="n">
        <v>0</v>
      </c>
      <c r="BC381" s="14" t="n">
        <v>0.589</v>
      </c>
      <c r="BD381" s="14" t="n">
        <v>0.123</v>
      </c>
      <c r="BE381" s="14" t="n">
        <v>0</v>
      </c>
      <c r="BF381" s="14" t="n">
        <v>0.589</v>
      </c>
      <c r="BG381" s="14" t="n">
        <v>0</v>
      </c>
      <c r="BH381" s="14" t="n">
        <v>1</v>
      </c>
      <c r="BI381" s="14" t="n">
        <v>0.6889999999999999</v>
      </c>
      <c r="BJ381" s="14" t="n">
        <v>0.123</v>
      </c>
      <c r="BK381" s="14" t="n">
        <v>0</v>
      </c>
      <c r="BL381" s="14" t="n">
        <v>0.6889999999999999</v>
      </c>
      <c r="BM381" s="14" t="n">
        <v>0</v>
      </c>
      <c r="BN381" s="14" t="n">
        <v>1</v>
      </c>
      <c r="BO381" s="14" t="n">
        <v>0</v>
      </c>
      <c r="BP381" s="14" t="n">
        <v>0</v>
      </c>
      <c r="BQ381" s="14" t="n">
        <v>0.041</v>
      </c>
      <c r="BR381" s="14" t="n">
        <v>0</v>
      </c>
      <c r="BS381" s="14" t="n">
        <v>0.667</v>
      </c>
      <c r="BT381" s="14" t="n">
        <v>0</v>
      </c>
      <c r="BU381" s="14" t="n">
        <v>0</v>
      </c>
      <c r="BV381" s="14" t="n">
        <v>0.007</v>
      </c>
      <c r="BW381" s="14" t="n">
        <v>0</v>
      </c>
      <c r="BX381" s="14" t="n">
        <v>0.833</v>
      </c>
      <c r="BY381" s="14" t="n">
        <v>12.729</v>
      </c>
      <c r="BZ381" s="14" t="n">
        <v>0</v>
      </c>
      <c r="CA381" s="14" t="n">
        <v>12.729</v>
      </c>
      <c r="CB381" s="14" t="n">
        <v>0</v>
      </c>
      <c r="CC381" s="14" t="n">
        <v>102.477</v>
      </c>
      <c r="CD381" s="14" t="n">
        <v>7.95</v>
      </c>
      <c r="CE381" s="14" t="n">
        <v>0</v>
      </c>
      <c r="CF381" s="14" t="n">
        <v>102.477</v>
      </c>
      <c r="CG381" s="14" t="n">
        <v>0</v>
      </c>
      <c r="CH381" s="14" t="n">
        <v>1</v>
      </c>
      <c r="CI381" s="14" t="n">
        <v>0</v>
      </c>
      <c r="CJ381" s="14" t="n">
        <v>0</v>
      </c>
      <c r="CK381" s="14" t="n">
        <v>0</v>
      </c>
      <c r="CL381" s="14" t="n">
        <v>0</v>
      </c>
      <c r="CM381" s="14" t="n">
        <v>0</v>
      </c>
      <c r="CN381" s="14" t="n">
        <v>0</v>
      </c>
      <c r="CO381" s="14" t="n">
        <v>0</v>
      </c>
      <c r="CP381" s="14" t="n">
        <v>0</v>
      </c>
      <c r="CQ381" s="14" t="n">
        <v>1.294</v>
      </c>
      <c r="CR381" s="14" t="n">
        <v>0.511</v>
      </c>
      <c r="CS381" s="14" t="n">
        <v>3.463</v>
      </c>
      <c r="CT381" s="14" t="n">
        <v>10.485</v>
      </c>
      <c r="CU381" s="14" t="n">
        <v>30.326</v>
      </c>
    </row>
    <row r="382">
      <c r="A382" s="14" t="inlineStr">
        <is>
          <t>IRQ2023</t>
        </is>
      </c>
      <c r="B382" s="14" t="inlineStr">
        <is>
          <t>IRQ</t>
        </is>
      </c>
      <c r="C382" s="14" t="inlineStr">
        <is>
          <t>IRQ</t>
        </is>
      </c>
      <c r="D382" s="14" t="inlineStr">
        <is>
          <t>Iraq</t>
        </is>
      </c>
      <c r="E382" s="14" t="n">
        <v>2023</v>
      </c>
      <c r="F382" s="14" t="n">
        <v>0</v>
      </c>
      <c r="G382" s="14" t="n">
        <v>6.147</v>
      </c>
      <c r="H382" s="14" t="n">
        <v>1.286</v>
      </c>
      <c r="I382" s="14" t="n">
        <v>0.268</v>
      </c>
      <c r="J382" s="14" t="n">
        <v>6.415</v>
      </c>
      <c r="K382" s="14" t="n">
        <v>0</v>
      </c>
      <c r="L382" s="14" t="n">
        <v>1</v>
      </c>
      <c r="M382" s="14" t="n">
        <v>7.886</v>
      </c>
      <c r="N382" s="14" t="n">
        <v>3.857</v>
      </c>
      <c r="O382" s="14" t="n">
        <v>0.252</v>
      </c>
      <c r="P382" s="14" t="n">
        <v>8.138</v>
      </c>
      <c r="Q382" s="14" t="n">
        <v>0</v>
      </c>
      <c r="R382" s="14" t="n">
        <v>1</v>
      </c>
      <c r="S382" s="14" t="n">
        <v>12.575</v>
      </c>
      <c r="T382" s="14" t="n">
        <v>7.714</v>
      </c>
      <c r="U382" s="14" t="n">
        <v>0.268</v>
      </c>
      <c r="V382" s="14" t="n">
        <v>12.843</v>
      </c>
      <c r="W382" s="14" t="n">
        <v>0</v>
      </c>
      <c r="X382" s="14" t="n">
        <v>1</v>
      </c>
      <c r="Y382" s="14" t="n">
        <v>6.738</v>
      </c>
      <c r="Z382" s="14" t="n">
        <v>0.702</v>
      </c>
      <c r="AA382" s="14" t="n">
        <v>-1.579</v>
      </c>
      <c r="AB382" s="14" t="n">
        <v>5.159</v>
      </c>
      <c r="AC382" s="14" t="n">
        <v>0</v>
      </c>
      <c r="AD382" s="14" t="n">
        <v>0</v>
      </c>
      <c r="AE382" s="14" t="n">
        <v>7.696</v>
      </c>
      <c r="AF382" s="14" t="n">
        <v>1.423</v>
      </c>
      <c r="AG382" s="14" t="n">
        <v>-3.146</v>
      </c>
      <c r="AH382" s="14" t="n">
        <v>4.55</v>
      </c>
      <c r="AI382" s="14" t="n">
        <v>0</v>
      </c>
      <c r="AJ382" s="14" t="n">
        <v>0</v>
      </c>
      <c r="AK382" s="14" t="n">
        <v>13.442</v>
      </c>
      <c r="AL382" s="14" t="n">
        <v>6.139</v>
      </c>
      <c r="AM382" s="14" t="n">
        <v>0</v>
      </c>
      <c r="AN382" s="14" t="n">
        <v>13.442</v>
      </c>
      <c r="AO382" s="14" t="n">
        <v>0</v>
      </c>
      <c r="AP382" s="14" t="n">
        <v>1</v>
      </c>
      <c r="AQ382" s="14" t="n">
        <v>0.749</v>
      </c>
      <c r="AR382" s="14" t="n">
        <v>0.129</v>
      </c>
      <c r="AS382" s="14" t="n">
        <v>-0.378</v>
      </c>
      <c r="AT382" s="14" t="n">
        <v>0.371</v>
      </c>
      <c r="AU382" s="14" t="n">
        <v>0</v>
      </c>
      <c r="AV382" s="14" t="n">
        <v>0</v>
      </c>
      <c r="AW382" s="14" t="n">
        <v>0.783</v>
      </c>
      <c r="AX382" s="14" t="n">
        <v>0.129</v>
      </c>
      <c r="AY382" s="14" t="n">
        <v>-0.513</v>
      </c>
      <c r="AZ382" s="14" t="n">
        <v>0.269</v>
      </c>
      <c r="BA382" s="14" t="n">
        <v>0</v>
      </c>
      <c r="BB382" s="14" t="n">
        <v>0</v>
      </c>
      <c r="BC382" s="14" t="n">
        <v>0.527</v>
      </c>
      <c r="BD382" s="14" t="n">
        <v>0.129</v>
      </c>
      <c r="BE382" s="14" t="n">
        <v>0</v>
      </c>
      <c r="BF382" s="14" t="n">
        <v>0.527</v>
      </c>
      <c r="BG382" s="14" t="n">
        <v>0</v>
      </c>
      <c r="BH382" s="14" t="n">
        <v>1</v>
      </c>
      <c r="BI382" s="14" t="n">
        <v>0.64</v>
      </c>
      <c r="BJ382" s="14" t="n">
        <v>0.129</v>
      </c>
      <c r="BK382" s="14" t="n">
        <v>0</v>
      </c>
      <c r="BL382" s="14" t="n">
        <v>0.64</v>
      </c>
      <c r="BM382" s="14" t="n">
        <v>0</v>
      </c>
      <c r="BN382" s="14" t="n">
        <v>1</v>
      </c>
      <c r="BO382" s="14" t="n">
        <v>0</v>
      </c>
      <c r="BP382" s="14" t="n">
        <v>0</v>
      </c>
      <c r="BQ382" s="14" t="n">
        <v>0.045</v>
      </c>
      <c r="BR382" s="14" t="n">
        <v>0</v>
      </c>
      <c r="BS382" s="14" t="n">
        <v>0.667</v>
      </c>
      <c r="BT382" s="14" t="n">
        <v>0</v>
      </c>
      <c r="BU382" s="14" t="n">
        <v>0</v>
      </c>
      <c r="BV382" s="14" t="n">
        <v>0.007</v>
      </c>
      <c r="BW382" s="14" t="n">
        <v>0</v>
      </c>
      <c r="BX382" s="14" t="n">
        <v>0.833</v>
      </c>
      <c r="BY382" s="14" t="n">
        <v>13.254</v>
      </c>
      <c r="BZ382" s="14" t="n">
        <v>0</v>
      </c>
      <c r="CA382" s="14" t="n">
        <v>13.254</v>
      </c>
      <c r="CB382" s="14" t="n">
        <v>0</v>
      </c>
      <c r="CC382" s="14" t="n">
        <v>87.07899999999999</v>
      </c>
      <c r="CD382" s="14" t="n">
        <v>7.95</v>
      </c>
      <c r="CE382" s="14" t="n">
        <v>0</v>
      </c>
      <c r="CF382" s="14" t="n">
        <v>87.07899999999999</v>
      </c>
      <c r="CG382" s="14" t="n">
        <v>0</v>
      </c>
      <c r="CH382" s="14" t="n">
        <v>1</v>
      </c>
      <c r="CI382" s="14" t="n">
        <v>0</v>
      </c>
      <c r="CJ382" s="14" t="n">
        <v>0</v>
      </c>
      <c r="CK382" s="14" t="n">
        <v>0</v>
      </c>
      <c r="CL382" s="14" t="n">
        <v>0</v>
      </c>
      <c r="CM382" s="14" t="n">
        <v>0</v>
      </c>
      <c r="CN382" s="14" t="n">
        <v>0</v>
      </c>
      <c r="CO382" s="14" t="n">
        <v>0</v>
      </c>
      <c r="CP382" s="14" t="n">
        <v>0</v>
      </c>
      <c r="CQ382" s="14" t="n">
        <v>1.348</v>
      </c>
      <c r="CR382" s="14" t="n">
        <v>0.51</v>
      </c>
      <c r="CS382" s="14" t="n">
        <v>3.606</v>
      </c>
      <c r="CT382" s="14" t="n">
        <v>4.861</v>
      </c>
      <c r="CU382" s="14" t="n">
        <v>10.622</v>
      </c>
    </row>
    <row r="383">
      <c r="A383" s="14" t="inlineStr">
        <is>
          <t>IRQ2024</t>
        </is>
      </c>
      <c r="B383" s="14" t="inlineStr">
        <is>
          <t>IRQ</t>
        </is>
      </c>
      <c r="C383" s="14" t="inlineStr">
        <is>
          <t>IRQ</t>
        </is>
      </c>
      <c r="D383" s="14" t="inlineStr">
        <is>
          <t>Iraq</t>
        </is>
      </c>
      <c r="E383" s="14" t="n">
        <v>2024</v>
      </c>
      <c r="F383" s="14" t="n">
        <v>0</v>
      </c>
      <c r="G383" s="14" t="n">
        <v>5.575</v>
      </c>
      <c r="H383" s="14" t="n">
        <v>1.324</v>
      </c>
      <c r="I383" s="14" t="n">
        <v>0.208</v>
      </c>
      <c r="J383" s="14" t="n">
        <v>5.783</v>
      </c>
      <c r="K383" s="14" t="n">
        <v>0</v>
      </c>
      <c r="L383" s="14" t="n">
        <v>1</v>
      </c>
      <c r="M383" s="14" t="n">
        <v>7.124</v>
      </c>
      <c r="N383" s="14" t="n">
        <v>3.971</v>
      </c>
      <c r="O383" s="14" t="n">
        <v>0.176</v>
      </c>
      <c r="P383" s="14" t="n">
        <v>7.299</v>
      </c>
      <c r="Q383" s="14" t="n">
        <v>0</v>
      </c>
      <c r="R383" s="14" t="n">
        <v>1</v>
      </c>
      <c r="S383" s="14" t="n">
        <v>12.193</v>
      </c>
      <c r="T383" s="14" t="n">
        <v>7.942</v>
      </c>
      <c r="U383" s="14" t="n">
        <v>0.208</v>
      </c>
      <c r="V383" s="14" t="n">
        <v>12.401</v>
      </c>
      <c r="W383" s="14" t="n">
        <v>0</v>
      </c>
      <c r="X383" s="14" t="n">
        <v>1</v>
      </c>
      <c r="Y383" s="14" t="n">
        <v>6.389</v>
      </c>
      <c r="Z383" s="14" t="n">
        <v>0.666</v>
      </c>
      <c r="AA383" s="14" t="n">
        <v>-1.078</v>
      </c>
      <c r="AB383" s="14" t="n">
        <v>5.311</v>
      </c>
      <c r="AC383" s="14" t="n">
        <v>0</v>
      </c>
      <c r="AD383" s="14" t="n">
        <v>0</v>
      </c>
      <c r="AE383" s="14" t="n">
        <v>7.375</v>
      </c>
      <c r="AF383" s="14" t="n">
        <v>1.364</v>
      </c>
      <c r="AG383" s="14" t="n">
        <v>-2.691</v>
      </c>
      <c r="AH383" s="14" t="n">
        <v>4.684</v>
      </c>
      <c r="AI383" s="14" t="n">
        <v>0</v>
      </c>
      <c r="AJ383" s="14" t="n">
        <v>0</v>
      </c>
      <c r="AK383" s="14" t="n">
        <v>13.291</v>
      </c>
      <c r="AL383" s="14" t="n">
        <v>6.07</v>
      </c>
      <c r="AM383" s="14" t="n">
        <v>0</v>
      </c>
      <c r="AN383" s="14" t="n">
        <v>13.291</v>
      </c>
      <c r="AO383" s="14" t="n">
        <v>0</v>
      </c>
      <c r="AP383" s="14" t="n">
        <v>1</v>
      </c>
      <c r="AQ383" s="14" t="n">
        <v>0.72</v>
      </c>
      <c r="AR383" s="14" t="n">
        <v>0.132</v>
      </c>
      <c r="AS383" s="14" t="n">
        <v>-0.346</v>
      </c>
      <c r="AT383" s="14" t="n">
        <v>0.374</v>
      </c>
      <c r="AU383" s="14" t="n">
        <v>0</v>
      </c>
      <c r="AV383" s="14" t="n">
        <v>0</v>
      </c>
      <c r="AW383" s="14" t="n">
        <v>0.734</v>
      </c>
      <c r="AX383" s="14" t="n">
        <v>0.132</v>
      </c>
      <c r="AY383" s="14" t="n">
        <v>-0.472</v>
      </c>
      <c r="AZ383" s="14" t="n">
        <v>0.262</v>
      </c>
      <c r="BA383" s="14" t="n">
        <v>0</v>
      </c>
      <c r="BB383" s="14" t="n">
        <v>0</v>
      </c>
      <c r="BC383" s="14" t="n">
        <v>0.51</v>
      </c>
      <c r="BD383" s="14" t="n">
        <v>0.132</v>
      </c>
      <c r="BE383" s="14" t="n">
        <v>0</v>
      </c>
      <c r="BF383" s="14" t="n">
        <v>0.51</v>
      </c>
      <c r="BG383" s="14" t="n">
        <v>0</v>
      </c>
      <c r="BH383" s="14" t="n">
        <v>1</v>
      </c>
      <c r="BI383" s="14" t="n">
        <v>0.652</v>
      </c>
      <c r="BJ383" s="14" t="n">
        <v>0.132</v>
      </c>
      <c r="BK383" s="14" t="n">
        <v>0</v>
      </c>
      <c r="BL383" s="14" t="n">
        <v>0.652</v>
      </c>
      <c r="BM383" s="14" t="n">
        <v>0</v>
      </c>
      <c r="BN383" s="14" t="n">
        <v>1</v>
      </c>
      <c r="BO383" s="14" t="n">
        <v>0</v>
      </c>
      <c r="BP383" s="14" t="n">
        <v>0</v>
      </c>
      <c r="BQ383" s="14" t="n">
        <v>0.046</v>
      </c>
      <c r="BR383" s="14" t="n">
        <v>0</v>
      </c>
      <c r="BS383" s="14" t="n">
        <v>0.667</v>
      </c>
      <c r="BT383" s="14" t="n">
        <v>0</v>
      </c>
      <c r="BU383" s="14" t="n">
        <v>0</v>
      </c>
      <c r="BV383" s="14" t="n">
        <v>0.011</v>
      </c>
      <c r="BW383" s="14" t="n">
        <v>0</v>
      </c>
      <c r="BX383" s="14" t="n">
        <v>0.833</v>
      </c>
      <c r="BY383" s="14" t="n">
        <v>13.646</v>
      </c>
      <c r="BZ383" s="14" t="n">
        <v>0</v>
      </c>
      <c r="CA383" s="14" t="n">
        <v>13.646</v>
      </c>
      <c r="CB383" s="14" t="n">
        <v>0</v>
      </c>
      <c r="CC383" s="14" t="n">
        <v>86.38500000000001</v>
      </c>
      <c r="CD383" s="14" t="n">
        <v>7.95</v>
      </c>
      <c r="CE383" s="14" t="n">
        <v>0</v>
      </c>
      <c r="CF383" s="14" t="n">
        <v>86.38500000000001</v>
      </c>
      <c r="CG383" s="14" t="n">
        <v>0</v>
      </c>
      <c r="CH383" s="14" t="n">
        <v>1</v>
      </c>
      <c r="CI383" s="14" t="n">
        <v>0</v>
      </c>
      <c r="CJ383" s="14" t="n">
        <v>0</v>
      </c>
      <c r="CK383" s="14" t="n">
        <v>0</v>
      </c>
      <c r="CL383" s="14" t="n">
        <v>0</v>
      </c>
      <c r="CM383" s="14" t="n">
        <v>0</v>
      </c>
      <c r="CN383" s="14" t="n">
        <v>0</v>
      </c>
      <c r="CO383" s="14" t="n">
        <v>0</v>
      </c>
      <c r="CP383" s="14" t="n">
        <v>0</v>
      </c>
      <c r="CQ383" s="14" t="n">
        <v>1.387</v>
      </c>
      <c r="CR383" s="14" t="n">
        <v>0.51</v>
      </c>
      <c r="CS383" s="14" t="n">
        <v>3.712</v>
      </c>
      <c r="CT383" s="14" t="n">
        <v>4.251</v>
      </c>
      <c r="CU383" s="14" t="n">
        <v>9.167999999999999</v>
      </c>
    </row>
    <row r="384">
      <c r="A384" s="14" t="inlineStr">
        <is>
          <t>IRL2021</t>
        </is>
      </c>
      <c r="B384" s="14" t="inlineStr">
        <is>
          <t>IRL</t>
        </is>
      </c>
      <c r="C384" s="14" t="inlineStr">
        <is>
          <t>IRL</t>
        </is>
      </c>
      <c r="D384" s="14" t="inlineStr">
        <is>
          <t>Ireland</t>
        </is>
      </c>
      <c r="E384" s="14" t="n">
        <v>2021</v>
      </c>
      <c r="F384" s="14" t="n">
        <v>0</v>
      </c>
      <c r="G384" s="14" t="n">
        <v>5.803</v>
      </c>
      <c r="H384" s="14" t="n">
        <v>1.009</v>
      </c>
      <c r="I384" s="14" t="n">
        <v>2.635</v>
      </c>
      <c r="J384" s="14" t="n">
        <v>8.439</v>
      </c>
      <c r="K384" s="14" t="n">
        <v>0</v>
      </c>
      <c r="L384" s="14" t="n">
        <v>1</v>
      </c>
      <c r="M384" s="14" t="n">
        <v>6.777</v>
      </c>
      <c r="N384" s="14" t="n">
        <v>3.027</v>
      </c>
      <c r="O384" s="14" t="n">
        <v>4.103</v>
      </c>
      <c r="P384" s="14" t="n">
        <v>10.88</v>
      </c>
      <c r="Q384" s="14" t="n">
        <v>0</v>
      </c>
      <c r="R384" s="14" t="n">
        <v>1</v>
      </c>
      <c r="S384" s="14" t="n">
        <v>20.489</v>
      </c>
      <c r="T384" s="14" t="n">
        <v>12.697</v>
      </c>
      <c r="U384" s="14" t="n">
        <v>1.67</v>
      </c>
      <c r="V384" s="14" t="n">
        <v>22.159</v>
      </c>
      <c r="W384" s="14" t="n">
        <v>0</v>
      </c>
      <c r="X384" s="14" t="n">
        <v>1</v>
      </c>
      <c r="Y384" s="14" t="n">
        <v>17.723</v>
      </c>
      <c r="Z384" s="14" t="n">
        <v>1.958</v>
      </c>
      <c r="AA384" s="14" t="n">
        <v>-1.64</v>
      </c>
      <c r="AB384" s="14" t="n">
        <v>16.083</v>
      </c>
      <c r="AC384" s="14" t="n">
        <v>0</v>
      </c>
      <c r="AD384" s="14" t="n">
        <v>1</v>
      </c>
      <c r="AE384" s="14" t="n">
        <v>17.679</v>
      </c>
      <c r="AF384" s="14" t="n">
        <v>3.479</v>
      </c>
      <c r="AG384" s="14" t="n">
        <v>-1.597</v>
      </c>
      <c r="AH384" s="14" t="n">
        <v>16.083</v>
      </c>
      <c r="AI384" s="14" t="n">
        <v>0</v>
      </c>
      <c r="AJ384" s="14" t="n">
        <v>1</v>
      </c>
      <c r="AK384" s="14" t="n">
        <v>27.839</v>
      </c>
      <c r="AL384" s="14" t="n">
        <v>13.664</v>
      </c>
      <c r="AM384" s="14" t="n">
        <v>-4.796</v>
      </c>
      <c r="AN384" s="14" t="n">
        <v>23.043</v>
      </c>
      <c r="AO384" s="14" t="n">
        <v>0</v>
      </c>
      <c r="AP384" s="14" t="n">
        <v>1</v>
      </c>
      <c r="AQ384" s="14" t="n">
        <v>0.619</v>
      </c>
      <c r="AR384" s="14" t="n">
        <v>0.114</v>
      </c>
      <c r="AS384" s="14" t="n">
        <v>1.173</v>
      </c>
      <c r="AT384" s="14" t="n">
        <v>1.792</v>
      </c>
      <c r="AU384" s="14" t="n">
        <v>0</v>
      </c>
      <c r="AV384" s="14" t="n">
        <v>1</v>
      </c>
      <c r="AW384" s="14" t="n">
        <v>0.599</v>
      </c>
      <c r="AX384" s="14" t="n">
        <v>0.114</v>
      </c>
      <c r="AY384" s="14" t="n">
        <v>1.073</v>
      </c>
      <c r="AZ384" s="14" t="n">
        <v>1.673</v>
      </c>
      <c r="BA384" s="14" t="n">
        <v>0</v>
      </c>
      <c r="BB384" s="14" t="n">
        <v>1</v>
      </c>
      <c r="BC384" s="14" t="n">
        <v>0.439</v>
      </c>
      <c r="BD384" s="14" t="n">
        <v>0.114</v>
      </c>
      <c r="BE384" s="14" t="n">
        <v>0.034</v>
      </c>
      <c r="BF384" s="14" t="n">
        <v>0.473</v>
      </c>
      <c r="BG384" s="14" t="n">
        <v>0</v>
      </c>
      <c r="BH384" s="14" t="n">
        <v>1</v>
      </c>
      <c r="BI384" s="14" t="n">
        <v>0.505</v>
      </c>
      <c r="BJ384" s="14" t="n">
        <v>0.114</v>
      </c>
      <c r="BK384" s="14" t="n">
        <v>0.533</v>
      </c>
      <c r="BL384" s="14" t="n">
        <v>1.038</v>
      </c>
      <c r="BM384" s="14" t="n">
        <v>0</v>
      </c>
      <c r="BN384" s="14" t="n">
        <v>1</v>
      </c>
      <c r="BO384" s="14" t="n">
        <v>0</v>
      </c>
      <c r="BP384" s="14" t="n">
        <v>0.008</v>
      </c>
      <c r="BQ384" s="14" t="n">
        <v>0.151</v>
      </c>
      <c r="BR384" s="14" t="n">
        <v>0</v>
      </c>
      <c r="BS384" s="14" t="n">
        <v>1</v>
      </c>
      <c r="BT384" s="14" t="n">
        <v>0</v>
      </c>
      <c r="BU384" s="14" t="n">
        <v>0.022</v>
      </c>
      <c r="BV384" s="14" t="n">
        <v>0.327</v>
      </c>
      <c r="BW384" s="14" t="n">
        <v>0</v>
      </c>
      <c r="BX384" s="14" t="n">
        <v>0.833</v>
      </c>
      <c r="BY384" s="14" t="n">
        <v>11.787</v>
      </c>
      <c r="BZ384" s="14" t="n">
        <v>0</v>
      </c>
      <c r="CA384" s="14" t="n">
        <v>11.787</v>
      </c>
      <c r="CB384" s="14" t="n">
        <v>0</v>
      </c>
      <c r="CC384" s="14" t="n">
        <v>78.125</v>
      </c>
      <c r="CD384" s="14" t="n">
        <v>7.95</v>
      </c>
      <c r="CE384" s="14" t="n">
        <v>67.696</v>
      </c>
      <c r="CF384" s="14" t="n">
        <v>145.821</v>
      </c>
      <c r="CG384" s="14" t="n">
        <v>0</v>
      </c>
      <c r="CH384" s="14" t="n">
        <v>1</v>
      </c>
      <c r="CI384" s="14" t="n">
        <v>0</v>
      </c>
      <c r="CJ384" s="14" t="n">
        <v>0</v>
      </c>
      <c r="CK384" s="14" t="n">
        <v>0</v>
      </c>
      <c r="CL384" s="14" t="n">
        <v>0</v>
      </c>
      <c r="CM384" s="14" t="n">
        <v>0</v>
      </c>
      <c r="CN384" s="14" t="n">
        <v>0.102</v>
      </c>
      <c r="CO384" s="14" t="n">
        <v>0</v>
      </c>
      <c r="CP384" s="14" t="n">
        <v>0.235</v>
      </c>
      <c r="CQ384" s="14" t="n">
        <v>1.198</v>
      </c>
      <c r="CR384" s="14" t="n">
        <v>0</v>
      </c>
      <c r="CS384" s="14" t="n">
        <v>5.769</v>
      </c>
      <c r="CT384" s="14" t="n">
        <v>5.9</v>
      </c>
      <c r="CU384" s="14" t="n">
        <v>12.069</v>
      </c>
    </row>
    <row r="385">
      <c r="A385" s="14" t="inlineStr">
        <is>
          <t>IRL2022</t>
        </is>
      </c>
      <c r="B385" s="14" t="inlineStr">
        <is>
          <t>IRL</t>
        </is>
      </c>
      <c r="C385" s="14" t="inlineStr">
        <is>
          <t>IRL</t>
        </is>
      </c>
      <c r="D385" s="14" t="inlineStr">
        <is>
          <t>Ireland</t>
        </is>
      </c>
      <c r="E385" s="14" t="n">
        <v>2022</v>
      </c>
      <c r="F385" s="14" t="n">
        <v>0.23</v>
      </c>
      <c r="G385" s="14" t="n">
        <v>11.617</v>
      </c>
      <c r="H385" s="14" t="n">
        <v>1.151</v>
      </c>
      <c r="I385" s="14" t="n">
        <v>12.568</v>
      </c>
      <c r="J385" s="14" t="n">
        <v>24.185</v>
      </c>
      <c r="K385" s="14" t="n">
        <v>0</v>
      </c>
      <c r="L385" s="14" t="n">
        <v>1</v>
      </c>
      <c r="M385" s="14" t="n">
        <v>8.882999999999999</v>
      </c>
      <c r="N385" s="14" t="n">
        <v>3.453</v>
      </c>
      <c r="O385" s="14" t="n">
        <v>8.948</v>
      </c>
      <c r="P385" s="14" t="n">
        <v>17.831</v>
      </c>
      <c r="Q385" s="14" t="n">
        <v>0</v>
      </c>
      <c r="R385" s="14" t="n">
        <v>1</v>
      </c>
      <c r="S385" s="14" t="n">
        <v>20.869</v>
      </c>
      <c r="T385" s="14" t="n">
        <v>10.221</v>
      </c>
      <c r="U385" s="14" t="n">
        <v>2.732</v>
      </c>
      <c r="V385" s="14" t="n">
        <v>29.029</v>
      </c>
      <c r="W385" s="14" t="n">
        <v>0.23</v>
      </c>
      <c r="X385" s="14" t="n">
        <v>1</v>
      </c>
      <c r="Y385" s="14" t="n">
        <v>28.249</v>
      </c>
      <c r="Z385" s="14" t="n">
        <v>2.963</v>
      </c>
      <c r="AA385" s="14" t="n">
        <v>-1.596</v>
      </c>
      <c r="AB385" s="14" t="n">
        <v>26.653</v>
      </c>
      <c r="AC385" s="14" t="n">
        <v>0</v>
      </c>
      <c r="AD385" s="14" t="n">
        <v>1</v>
      </c>
      <c r="AE385" s="14" t="n">
        <v>28.296</v>
      </c>
      <c r="AF385" s="14" t="n">
        <v>5.246</v>
      </c>
      <c r="AG385" s="14" t="n">
        <v>-1.643</v>
      </c>
      <c r="AH385" s="14" t="n">
        <v>26.653</v>
      </c>
      <c r="AI385" s="14" t="n">
        <v>0</v>
      </c>
      <c r="AJ385" s="14" t="n">
        <v>1</v>
      </c>
      <c r="AK385" s="14" t="n">
        <v>39.005</v>
      </c>
      <c r="AL385" s="14" t="n">
        <v>18.626</v>
      </c>
      <c r="AM385" s="14" t="n">
        <v>-10.578</v>
      </c>
      <c r="AN385" s="14" t="n">
        <v>34.965</v>
      </c>
      <c r="AO385" s="14" t="n">
        <v>0.23</v>
      </c>
      <c r="AP385" s="14" t="n">
        <v>1</v>
      </c>
      <c r="AQ385" s="14" t="n">
        <v>0.861</v>
      </c>
      <c r="AR385" s="14" t="n">
        <v>0.123</v>
      </c>
      <c r="AS385" s="14" t="n">
        <v>0.723</v>
      </c>
      <c r="AT385" s="14" t="n">
        <v>1.949</v>
      </c>
      <c r="AU385" s="14" t="n">
        <v>0.23</v>
      </c>
      <c r="AV385" s="14" t="n">
        <v>1</v>
      </c>
      <c r="AW385" s="14" t="n">
        <v>0.986</v>
      </c>
      <c r="AX385" s="14" t="n">
        <v>0.123</v>
      </c>
      <c r="AY385" s="14" t="n">
        <v>0.634</v>
      </c>
      <c r="AZ385" s="14" t="n">
        <v>1.993</v>
      </c>
      <c r="BA385" s="14" t="n">
        <v>0.23</v>
      </c>
      <c r="BB385" s="14" t="n">
        <v>1</v>
      </c>
      <c r="BC385" s="14" t="n">
        <v>0.598</v>
      </c>
      <c r="BD385" s="14" t="n">
        <v>0.123</v>
      </c>
      <c r="BE385" s="14" t="n">
        <v>0.067</v>
      </c>
      <c r="BF385" s="14" t="n">
        <v>0.804</v>
      </c>
      <c r="BG385" s="14" t="n">
        <v>0.23</v>
      </c>
      <c r="BH385" s="14" t="n">
        <v>1</v>
      </c>
      <c r="BI385" s="14" t="n">
        <v>0.612</v>
      </c>
      <c r="BJ385" s="14" t="n">
        <v>0.123</v>
      </c>
      <c r="BK385" s="14" t="n">
        <v>0.614</v>
      </c>
      <c r="BL385" s="14" t="n">
        <v>1.509</v>
      </c>
      <c r="BM385" s="14" t="n">
        <v>0.23</v>
      </c>
      <c r="BN385" s="14" t="n">
        <v>1</v>
      </c>
      <c r="BO385" s="14" t="n">
        <v>0</v>
      </c>
      <c r="BP385" s="14" t="n">
        <v>0.004</v>
      </c>
      <c r="BQ385" s="14" t="n">
        <v>0.222</v>
      </c>
      <c r="BR385" s="14" t="n">
        <v>0</v>
      </c>
      <c r="BS385" s="14" t="n">
        <v>1</v>
      </c>
      <c r="BT385" s="14" t="n">
        <v>0</v>
      </c>
      <c r="BU385" s="14" t="n">
        <v>-0.077</v>
      </c>
      <c r="BV385" s="14" t="n">
        <v>0.292</v>
      </c>
      <c r="BW385" s="14" t="n">
        <v>0.23</v>
      </c>
      <c r="BX385" s="14" t="n">
        <v>0.833</v>
      </c>
      <c r="BY385" s="14" t="n">
        <v>12.729</v>
      </c>
      <c r="BZ385" s="14" t="n">
        <v>0</v>
      </c>
      <c r="CA385" s="14" t="n">
        <v>12.729</v>
      </c>
      <c r="CB385" s="14" t="n">
        <v>0</v>
      </c>
      <c r="CC385" s="14" t="n">
        <v>97.90000000000001</v>
      </c>
      <c r="CD385" s="14" t="n">
        <v>7.95</v>
      </c>
      <c r="CE385" s="14" t="n">
        <v>101.769</v>
      </c>
      <c r="CF385" s="14" t="n">
        <v>245.593</v>
      </c>
      <c r="CG385" s="14" t="n">
        <v>0.23</v>
      </c>
      <c r="CH385" s="14" t="n">
        <v>1</v>
      </c>
      <c r="CI385" s="14" t="n">
        <v>0</v>
      </c>
      <c r="CJ385" s="14" t="n">
        <v>0</v>
      </c>
      <c r="CK385" s="14" t="n">
        <v>0</v>
      </c>
      <c r="CL385" s="14" t="n">
        <v>0</v>
      </c>
      <c r="CM385" s="14" t="n">
        <v>0</v>
      </c>
      <c r="CN385" s="14" t="n">
        <v>0.11</v>
      </c>
      <c r="CO385" s="14" t="n">
        <v>0</v>
      </c>
      <c r="CP385" s="14" t="n">
        <v>0.136</v>
      </c>
      <c r="CQ385" s="14" t="n">
        <v>1.294</v>
      </c>
      <c r="CR385" s="14" t="n">
        <v>0</v>
      </c>
      <c r="CS385" s="14" t="n">
        <v>6.23</v>
      </c>
      <c r="CT385" s="14" t="n">
        <v>11.905</v>
      </c>
      <c r="CU385" s="14" t="n">
        <v>22.503</v>
      </c>
    </row>
    <row r="386">
      <c r="A386" s="14" t="inlineStr">
        <is>
          <t>IRL2023</t>
        </is>
      </c>
      <c r="B386" s="14" t="inlineStr">
        <is>
          <t>IRL</t>
        </is>
      </c>
      <c r="C386" s="14" t="inlineStr">
        <is>
          <t>IRL</t>
        </is>
      </c>
      <c r="D386" s="14" t="inlineStr">
        <is>
          <t>Ireland</t>
        </is>
      </c>
      <c r="E386" s="14" t="n">
        <v>2023</v>
      </c>
      <c r="F386" s="14" t="n">
        <v>0.23</v>
      </c>
      <c r="G386" s="14" t="n">
        <v>7.473</v>
      </c>
      <c r="H386" s="14" t="n">
        <v>0.999</v>
      </c>
      <c r="I386" s="14" t="n">
        <v>14.645</v>
      </c>
      <c r="J386" s="14" t="n">
        <v>22.118</v>
      </c>
      <c r="K386" s="14" t="n">
        <v>0</v>
      </c>
      <c r="L386" s="14" t="n">
        <v>1</v>
      </c>
      <c r="M386" s="14" t="n">
        <v>5.831</v>
      </c>
      <c r="N386" s="14" t="n">
        <v>2.997</v>
      </c>
      <c r="O386" s="14" t="n">
        <v>9.936</v>
      </c>
      <c r="P386" s="14" t="n">
        <v>15.767</v>
      </c>
      <c r="Q386" s="14" t="n">
        <v>0</v>
      </c>
      <c r="R386" s="14" t="n">
        <v>1</v>
      </c>
      <c r="S386" s="14" t="n">
        <v>28.627</v>
      </c>
      <c r="T386" s="14" t="n">
        <v>17.952</v>
      </c>
      <c r="U386" s="14" t="n">
        <v>3.417</v>
      </c>
      <c r="V386" s="14" t="n">
        <v>39.415</v>
      </c>
      <c r="W386" s="14" t="n">
        <v>0.23</v>
      </c>
      <c r="X386" s="14" t="n">
        <v>1</v>
      </c>
      <c r="Y386" s="14" t="n">
        <v>18.781</v>
      </c>
      <c r="Z386" s="14" t="n">
        <v>2.104</v>
      </c>
      <c r="AA386" s="14" t="n">
        <v>8.837999999999999</v>
      </c>
      <c r="AB386" s="14" t="n">
        <v>27.619</v>
      </c>
      <c r="AC386" s="14" t="n">
        <v>0</v>
      </c>
      <c r="AD386" s="14" t="n">
        <v>1</v>
      </c>
      <c r="AE386" s="14" t="n">
        <v>18.88</v>
      </c>
      <c r="AF386" s="14" t="n">
        <v>3.76</v>
      </c>
      <c r="AG386" s="14" t="n">
        <v>8.739000000000001</v>
      </c>
      <c r="AH386" s="14" t="n">
        <v>27.619</v>
      </c>
      <c r="AI386" s="14" t="n">
        <v>0</v>
      </c>
      <c r="AJ386" s="14" t="n">
        <v>1</v>
      </c>
      <c r="AK386" s="14" t="n">
        <v>29.894</v>
      </c>
      <c r="AL386" s="14" t="n">
        <v>14.809</v>
      </c>
      <c r="AM386" s="14" t="n">
        <v>7.994</v>
      </c>
      <c r="AN386" s="14" t="n">
        <v>46.602</v>
      </c>
      <c r="AO386" s="14" t="n">
        <v>0.23</v>
      </c>
      <c r="AP386" s="14" t="n">
        <v>1</v>
      </c>
      <c r="AQ386" s="14" t="n">
        <v>0.76</v>
      </c>
      <c r="AR386" s="14" t="n">
        <v>0.129</v>
      </c>
      <c r="AS386" s="14" t="n">
        <v>0.714</v>
      </c>
      <c r="AT386" s="14" t="n">
        <v>1.814</v>
      </c>
      <c r="AU386" s="14" t="n">
        <v>0.23</v>
      </c>
      <c r="AV386" s="14" t="n">
        <v>1</v>
      </c>
      <c r="AW386" s="14" t="n">
        <v>0.8110000000000001</v>
      </c>
      <c r="AX386" s="14" t="n">
        <v>0.129</v>
      </c>
      <c r="AY386" s="14" t="n">
        <v>0.648</v>
      </c>
      <c r="AZ386" s="14" t="n">
        <v>1.795</v>
      </c>
      <c r="BA386" s="14" t="n">
        <v>0.23</v>
      </c>
      <c r="BB386" s="14" t="n">
        <v>1</v>
      </c>
      <c r="BC386" s="14" t="n">
        <v>0.535</v>
      </c>
      <c r="BD386" s="14" t="n">
        <v>0.129</v>
      </c>
      <c r="BE386" s="14" t="n">
        <v>0.082</v>
      </c>
      <c r="BF386" s="14" t="n">
        <v>0.74</v>
      </c>
      <c r="BG386" s="14" t="n">
        <v>0.23</v>
      </c>
      <c r="BH386" s="14" t="n">
        <v>1</v>
      </c>
      <c r="BI386" s="14" t="n">
        <v>0.579</v>
      </c>
      <c r="BJ386" s="14" t="n">
        <v>0.129</v>
      </c>
      <c r="BK386" s="14" t="n">
        <v>0.502</v>
      </c>
      <c r="BL386" s="14" t="n">
        <v>1.33</v>
      </c>
      <c r="BM386" s="14" t="n">
        <v>0.23</v>
      </c>
      <c r="BN386" s="14" t="n">
        <v>1</v>
      </c>
      <c r="BO386" s="14" t="n">
        <v>0</v>
      </c>
      <c r="BP386" s="14" t="n">
        <v>-0.008</v>
      </c>
      <c r="BQ386" s="14" t="n">
        <v>0.236</v>
      </c>
      <c r="BR386" s="14" t="n">
        <v>0</v>
      </c>
      <c r="BS386" s="14" t="n">
        <v>1</v>
      </c>
      <c r="BT386" s="14" t="n">
        <v>0</v>
      </c>
      <c r="BU386" s="14" t="n">
        <v>-0.168</v>
      </c>
      <c r="BV386" s="14" t="n">
        <v>0.353</v>
      </c>
      <c r="BW386" s="14" t="n">
        <v>0.23</v>
      </c>
      <c r="BX386" s="14" t="n">
        <v>0.833</v>
      </c>
      <c r="BY386" s="14" t="n">
        <v>13.254</v>
      </c>
      <c r="BZ386" s="14" t="n">
        <v>0</v>
      </c>
      <c r="CA386" s="14" t="n">
        <v>13.254</v>
      </c>
      <c r="CB386" s="14" t="n">
        <v>0</v>
      </c>
      <c r="CC386" s="14" t="n">
        <v>83.248</v>
      </c>
      <c r="CD386" s="14" t="n">
        <v>7.95</v>
      </c>
      <c r="CE386" s="14" t="n">
        <v>98.267</v>
      </c>
      <c r="CF386" s="14" t="n">
        <v>223.263</v>
      </c>
      <c r="CG386" s="14" t="n">
        <v>0.23</v>
      </c>
      <c r="CH386" s="14" t="n">
        <v>1</v>
      </c>
      <c r="CI386" s="14" t="n">
        <v>0</v>
      </c>
      <c r="CJ386" s="14" t="n">
        <v>0</v>
      </c>
      <c r="CK386" s="14" t="n">
        <v>0</v>
      </c>
      <c r="CL386" s="14" t="n">
        <v>0</v>
      </c>
      <c r="CM386" s="14" t="n">
        <v>0</v>
      </c>
      <c r="CN386" s="14" t="n">
        <v>0.096</v>
      </c>
      <c r="CO386" s="14" t="n">
        <v>0</v>
      </c>
      <c r="CP386" s="14" t="n">
        <v>0.446</v>
      </c>
      <c r="CQ386" s="14" t="n">
        <v>1.348</v>
      </c>
      <c r="CR386" s="14" t="n">
        <v>0</v>
      </c>
      <c r="CS386" s="14" t="n">
        <v>6.487</v>
      </c>
      <c r="CT386" s="14" t="n">
        <v>10.597</v>
      </c>
      <c r="CU386" s="14" t="n">
        <v>12.985</v>
      </c>
    </row>
    <row r="387">
      <c r="A387" s="14" t="inlineStr">
        <is>
          <t>IRL2024</t>
        </is>
      </c>
      <c r="B387" s="14" t="inlineStr">
        <is>
          <t>IRL</t>
        </is>
      </c>
      <c r="C387" s="14" t="inlineStr">
        <is>
          <t>IRL</t>
        </is>
      </c>
      <c r="D387" s="14" t="inlineStr">
        <is>
          <t>Ireland</t>
        </is>
      </c>
      <c r="E387" s="14" t="n">
        <v>2024</v>
      </c>
      <c r="F387" s="14" t="n">
        <v>0.23</v>
      </c>
      <c r="G387" s="14" t="n">
        <v>5.075</v>
      </c>
      <c r="H387" s="14" t="n">
        <v>1.029</v>
      </c>
      <c r="I387" s="14" t="n">
        <v>12.071</v>
      </c>
      <c r="J387" s="14" t="n">
        <v>17.146</v>
      </c>
      <c r="K387" s="14" t="n">
        <v>0</v>
      </c>
      <c r="L387" s="14" t="n">
        <v>1</v>
      </c>
      <c r="M387" s="14" t="n">
        <v>5.452</v>
      </c>
      <c r="N387" s="14" t="n">
        <v>3.086</v>
      </c>
      <c r="O387" s="14" t="n">
        <v>6.981</v>
      </c>
      <c r="P387" s="14" t="n">
        <v>12.433</v>
      </c>
      <c r="Q387" s="14" t="n">
        <v>0</v>
      </c>
      <c r="R387" s="14" t="n">
        <v>1</v>
      </c>
      <c r="S387" s="14" t="n">
        <v>23.818</v>
      </c>
      <c r="T387" s="14" t="n">
        <v>15.769</v>
      </c>
      <c r="U387" s="14" t="n">
        <v>4.016</v>
      </c>
      <c r="V387" s="14" t="n">
        <v>34.236</v>
      </c>
      <c r="W387" s="14" t="n">
        <v>0.23</v>
      </c>
      <c r="X387" s="14" t="n">
        <v>1</v>
      </c>
      <c r="Y387" s="14" t="n">
        <v>17.553</v>
      </c>
      <c r="Z387" s="14" t="n">
        <v>2.216</v>
      </c>
      <c r="AA387" s="14" t="n">
        <v>6.446</v>
      </c>
      <c r="AB387" s="14" t="n">
        <v>23.998</v>
      </c>
      <c r="AC387" s="14" t="n">
        <v>0</v>
      </c>
      <c r="AD387" s="14" t="n">
        <v>1</v>
      </c>
      <c r="AE387" s="14" t="n">
        <v>17.553</v>
      </c>
      <c r="AF387" s="14" t="n">
        <v>3.845</v>
      </c>
      <c r="AG387" s="14" t="n">
        <v>6.446</v>
      </c>
      <c r="AH387" s="14" t="n">
        <v>23.998</v>
      </c>
      <c r="AI387" s="14" t="n">
        <v>0</v>
      </c>
      <c r="AJ387" s="14" t="n">
        <v>1</v>
      </c>
      <c r="AK387" s="14" t="n">
        <v>29.169</v>
      </c>
      <c r="AL387" s="14" t="n">
        <v>14.836</v>
      </c>
      <c r="AM387" s="14" t="n">
        <v>2.827</v>
      </c>
      <c r="AN387" s="14" t="n">
        <v>39.354</v>
      </c>
      <c r="AO387" s="14" t="n">
        <v>0.23</v>
      </c>
      <c r="AP387" s="14" t="n">
        <v>1</v>
      </c>
      <c r="AQ387" s="14" t="n">
        <v>0.724</v>
      </c>
      <c r="AR387" s="14" t="n">
        <v>0.132</v>
      </c>
      <c r="AS387" s="14" t="n">
        <v>0.8139999999999999</v>
      </c>
      <c r="AT387" s="14" t="n">
        <v>1.892</v>
      </c>
      <c r="AU387" s="14" t="n">
        <v>0.23</v>
      </c>
      <c r="AV387" s="14" t="n">
        <v>1</v>
      </c>
      <c r="AW387" s="14" t="n">
        <v>0.75</v>
      </c>
      <c r="AX387" s="14" t="n">
        <v>0.132</v>
      </c>
      <c r="AY387" s="14" t="n">
        <v>0.746</v>
      </c>
      <c r="AZ387" s="14" t="n">
        <v>1.84</v>
      </c>
      <c r="BA387" s="14" t="n">
        <v>0.23</v>
      </c>
      <c r="BB387" s="14" t="n">
        <v>1</v>
      </c>
      <c r="BC387" s="14" t="n">
        <v>0.513</v>
      </c>
      <c r="BD387" s="14" t="n">
        <v>0.132</v>
      </c>
      <c r="BE387" s="14" t="n">
        <v>0.095</v>
      </c>
      <c r="BF387" s="14" t="n">
        <v>0.725</v>
      </c>
      <c r="BG387" s="14" t="n">
        <v>0.23</v>
      </c>
      <c r="BH387" s="14" t="n">
        <v>1</v>
      </c>
      <c r="BI387" s="14" t="n">
        <v>0.591</v>
      </c>
      <c r="BJ387" s="14" t="n">
        <v>0.132</v>
      </c>
      <c r="BK387" s="14" t="n">
        <v>0.486</v>
      </c>
      <c r="BL387" s="14" t="n">
        <v>1.325</v>
      </c>
      <c r="BM387" s="14" t="n">
        <v>0.23</v>
      </c>
      <c r="BN387" s="14" t="n">
        <v>1</v>
      </c>
      <c r="BO387" s="14" t="n">
        <v>0</v>
      </c>
      <c r="BP387" s="14" t="n">
        <v>0.003</v>
      </c>
      <c r="BQ387" s="14" t="n">
        <v>0.227</v>
      </c>
      <c r="BR387" s="14" t="n">
        <v>0</v>
      </c>
      <c r="BS387" s="14" t="n">
        <v>1</v>
      </c>
      <c r="BT387" s="14" t="n">
        <v>0</v>
      </c>
      <c r="BU387" s="14" t="n">
        <v>-0.131</v>
      </c>
      <c r="BV387" s="14" t="n">
        <v>0.305</v>
      </c>
      <c r="BW387" s="14" t="n">
        <v>0.23</v>
      </c>
      <c r="BX387" s="14" t="n">
        <v>0.833</v>
      </c>
      <c r="BY387" s="14" t="n">
        <v>13.646</v>
      </c>
      <c r="BZ387" s="14" t="n">
        <v>0</v>
      </c>
      <c r="CA387" s="14" t="n">
        <v>13.646</v>
      </c>
      <c r="CB387" s="14" t="n">
        <v>0</v>
      </c>
      <c r="CC387" s="14" t="n">
        <v>82.58799999999999</v>
      </c>
      <c r="CD387" s="14" t="n">
        <v>7.95</v>
      </c>
      <c r="CE387" s="14" t="n">
        <v>83.56</v>
      </c>
      <c r="CF387" s="14" t="n">
        <v>204.361</v>
      </c>
      <c r="CG387" s="14" t="n">
        <v>0.23</v>
      </c>
      <c r="CH387" s="14" t="n">
        <v>1</v>
      </c>
      <c r="CI387" s="14" t="n">
        <v>0</v>
      </c>
      <c r="CJ387" s="14" t="n">
        <v>0</v>
      </c>
      <c r="CK387" s="14" t="n">
        <v>0</v>
      </c>
      <c r="CL387" s="14" t="n">
        <v>0</v>
      </c>
      <c r="CM387" s="14" t="n">
        <v>0</v>
      </c>
      <c r="CN387" s="14" t="n">
        <v>0.098</v>
      </c>
      <c r="CO387" s="14" t="n">
        <v>0</v>
      </c>
      <c r="CP387" s="14" t="n">
        <v>0.446</v>
      </c>
      <c r="CQ387" s="14" t="n">
        <v>1.387</v>
      </c>
      <c r="CR387" s="14" t="n">
        <v>0</v>
      </c>
      <c r="CS387" s="14" t="n">
        <v>6.679</v>
      </c>
      <c r="CT387" s="14" t="n">
        <v>6.185</v>
      </c>
      <c r="CU387" s="14" t="n">
        <v>9.958</v>
      </c>
    </row>
    <row r="388">
      <c r="A388" s="14" t="inlineStr">
        <is>
          <t>IMN2021</t>
        </is>
      </c>
      <c r="B388" s="14" t="inlineStr">
        <is>
          <t>IMN</t>
        </is>
      </c>
      <c r="C388" s="14" t="inlineStr">
        <is>
          <t>IMN</t>
        </is>
      </c>
      <c r="D388" s="14" t="inlineStr">
        <is>
          <t>Isle of Man</t>
        </is>
      </c>
      <c r="E388" s="14" t="n">
        <v>2021</v>
      </c>
      <c r="F388" s="14" t="n">
        <v>0.2</v>
      </c>
      <c r="G388" s="14" t="n">
        <v>5.553</v>
      </c>
      <c r="H388" s="14" t="n">
        <v>1.143</v>
      </c>
      <c r="I388" s="14" t="n">
        <v>0</v>
      </c>
      <c r="J388" s="14" t="n">
        <v>5.553</v>
      </c>
      <c r="K388" s="14" t="n">
        <v>0</v>
      </c>
      <c r="L388" s="14" t="n">
        <v>1</v>
      </c>
      <c r="M388" s="14" t="n">
        <v>7.964</v>
      </c>
      <c r="N388" s="14" t="n">
        <v>3.43</v>
      </c>
      <c r="O388" s="14" t="n">
        <v>0</v>
      </c>
      <c r="P388" s="14" t="n">
        <v>7.964</v>
      </c>
      <c r="Q388" s="14" t="n">
        <v>0</v>
      </c>
      <c r="R388" s="14" t="n">
        <v>1</v>
      </c>
      <c r="S388" s="14" t="n">
        <v>11.27</v>
      </c>
      <c r="T388" s="14" t="n">
        <v>6.86</v>
      </c>
      <c r="U388" s="14" t="n">
        <v>0</v>
      </c>
      <c r="V388" s="14" t="n">
        <v>13.524</v>
      </c>
      <c r="W388" s="14" t="n">
        <v>0.2</v>
      </c>
      <c r="X388" s="14" t="n">
        <v>1</v>
      </c>
      <c r="Y388" s="14" t="n">
        <v>16.305</v>
      </c>
      <c r="Z388" s="14" t="n">
        <v>2.204</v>
      </c>
      <c r="AA388" s="14" t="n">
        <v>0</v>
      </c>
      <c r="AB388" s="14" t="n">
        <v>16.305</v>
      </c>
      <c r="AC388" s="14" t="n">
        <v>0</v>
      </c>
      <c r="AD388" s="14" t="n">
        <v>1</v>
      </c>
      <c r="AE388" s="14" t="n">
        <v>17.449</v>
      </c>
      <c r="AF388" s="14" t="n">
        <v>4.08</v>
      </c>
      <c r="AG388" s="14" t="n">
        <v>0</v>
      </c>
      <c r="AH388" s="14" t="n">
        <v>17.449</v>
      </c>
      <c r="AI388" s="14" t="n">
        <v>0</v>
      </c>
      <c r="AJ388" s="14" t="n">
        <v>1</v>
      </c>
      <c r="AK388" s="14" t="n">
        <v>24.309</v>
      </c>
      <c r="AL388" s="14" t="n">
        <v>12.947</v>
      </c>
      <c r="AM388" s="14" t="n">
        <v>0</v>
      </c>
      <c r="AN388" s="14" t="n">
        <v>29.17</v>
      </c>
      <c r="AO388" s="14" t="n">
        <v>0.2</v>
      </c>
      <c r="AP388" s="14" t="n">
        <v>1</v>
      </c>
      <c r="AQ388" s="14" t="n">
        <v>0.619</v>
      </c>
      <c r="AR388" s="14" t="n">
        <v>0.114</v>
      </c>
      <c r="AS388" s="14" t="n">
        <v>0</v>
      </c>
      <c r="AT388" s="14" t="n">
        <v>0.743</v>
      </c>
      <c r="AU388" s="14" t="n">
        <v>0.2</v>
      </c>
      <c r="AV388" s="14" t="n">
        <v>1</v>
      </c>
      <c r="AW388" s="14" t="n">
        <v>0.599</v>
      </c>
      <c r="AX388" s="14" t="n">
        <v>0.114</v>
      </c>
      <c r="AY388" s="14" t="n">
        <v>0</v>
      </c>
      <c r="AZ388" s="14" t="n">
        <v>0.719</v>
      </c>
      <c r="BA388" s="14" t="n">
        <v>0.2</v>
      </c>
      <c r="BB388" s="14" t="n">
        <v>1</v>
      </c>
      <c r="BC388" s="14" t="n">
        <v>0.439</v>
      </c>
      <c r="BD388" s="14" t="n">
        <v>0.114</v>
      </c>
      <c r="BE388" s="14" t="n">
        <v>0</v>
      </c>
      <c r="BF388" s="14" t="n">
        <v>0.527</v>
      </c>
      <c r="BG388" s="14" t="n">
        <v>0.2</v>
      </c>
      <c r="BH388" s="14" t="n">
        <v>1</v>
      </c>
      <c r="BI388" s="14" t="n">
        <v>0.505</v>
      </c>
      <c r="BJ388" s="14" t="n">
        <v>0.114</v>
      </c>
      <c r="BK388" s="14" t="n">
        <v>0</v>
      </c>
      <c r="BL388" s="14" t="n">
        <v>0.606</v>
      </c>
      <c r="BM388" s="14" t="n">
        <v>0.2</v>
      </c>
      <c r="BN388" s="14" t="n">
        <v>1</v>
      </c>
      <c r="BO388" s="14" t="n">
        <v>0</v>
      </c>
      <c r="BP388" s="14" t="n">
        <v>0</v>
      </c>
      <c r="BQ388" s="14" t="n">
        <v>0</v>
      </c>
      <c r="BR388" s="14" t="n">
        <v>0</v>
      </c>
      <c r="BS388" s="14" t="n">
        <v>1</v>
      </c>
      <c r="BT388" s="14" t="n">
        <v>0</v>
      </c>
      <c r="BU388" s="14" t="n">
        <v>0</v>
      </c>
      <c r="BV388" s="14" t="n">
        <v>0</v>
      </c>
      <c r="BW388" s="14" t="n">
        <v>0.2</v>
      </c>
      <c r="BX388" s="14" t="n">
        <v>1</v>
      </c>
      <c r="BY388" s="14" t="n">
        <v>11.787</v>
      </c>
      <c r="BZ388" s="14" t="n">
        <v>0</v>
      </c>
      <c r="CA388" s="14" t="n">
        <v>11.787</v>
      </c>
      <c r="CB388" s="14" t="n">
        <v>0</v>
      </c>
      <c r="CC388" s="14" t="n">
        <v>78.125</v>
      </c>
      <c r="CD388" s="14" t="n">
        <v>7.95</v>
      </c>
      <c r="CE388" s="14" t="n">
        <v>0</v>
      </c>
      <c r="CF388" s="14" t="n">
        <v>93.75</v>
      </c>
      <c r="CG388" s="14" t="n">
        <v>0.2</v>
      </c>
      <c r="CH388" s="14" t="n">
        <v>1</v>
      </c>
      <c r="CI388" s="14" t="n">
        <v>0</v>
      </c>
      <c r="CJ388" s="14" t="n">
        <v>0</v>
      </c>
      <c r="CK388" s="14" t="n">
        <v>0</v>
      </c>
      <c r="CL388" s="14" t="n">
        <v>0</v>
      </c>
      <c r="CM388" s="14" t="n">
        <v>0</v>
      </c>
      <c r="CN388" s="14" t="n">
        <v>0</v>
      </c>
      <c r="CO388" s="14" t="n">
        <v>0</v>
      </c>
      <c r="CP388" s="14" t="n">
        <v>0</v>
      </c>
      <c r="CQ388" s="14" t="n">
        <v>1.198</v>
      </c>
      <c r="CR388" s="14" t="n">
        <v>0</v>
      </c>
      <c r="CS388" s="14" t="n">
        <v>4.776</v>
      </c>
      <c r="CT388" s="14" t="n">
        <v>4.41</v>
      </c>
      <c r="CU388" s="14" t="n">
        <v>15.162</v>
      </c>
    </row>
    <row r="389">
      <c r="A389" s="14" t="inlineStr">
        <is>
          <t>IMN2022</t>
        </is>
      </c>
      <c r="B389" s="14" t="inlineStr">
        <is>
          <t>IMN</t>
        </is>
      </c>
      <c r="C389" s="14" t="inlineStr">
        <is>
          <t>IMN</t>
        </is>
      </c>
      <c r="D389" s="14" t="inlineStr">
        <is>
          <t>Isle of Man</t>
        </is>
      </c>
      <c r="E389" s="14" t="n">
        <v>2022</v>
      </c>
      <c r="F389" s="14" t="n">
        <v>0.2</v>
      </c>
      <c r="G389" s="14" t="n">
        <v>7.077</v>
      </c>
      <c r="H389" s="14" t="n">
        <v>1.235</v>
      </c>
      <c r="I389" s="14" t="n">
        <v>0</v>
      </c>
      <c r="J389" s="14" t="n">
        <v>7.077</v>
      </c>
      <c r="K389" s="14" t="n">
        <v>0</v>
      </c>
      <c r="L389" s="14" t="n">
        <v>1</v>
      </c>
      <c r="M389" s="14" t="n">
        <v>9.782999999999999</v>
      </c>
      <c r="N389" s="14" t="n">
        <v>3.704</v>
      </c>
      <c r="O389" s="14" t="n">
        <v>0</v>
      </c>
      <c r="P389" s="14" t="n">
        <v>9.782999999999999</v>
      </c>
      <c r="Q389" s="14" t="n">
        <v>0</v>
      </c>
      <c r="R389" s="14" t="n">
        <v>1</v>
      </c>
      <c r="S389" s="14" t="n">
        <v>13.25</v>
      </c>
      <c r="T389" s="14" t="n">
        <v>7.408</v>
      </c>
      <c r="U389" s="14" t="n">
        <v>0.196</v>
      </c>
      <c r="V389" s="14" t="n">
        <v>15.9</v>
      </c>
      <c r="W389" s="14" t="n">
        <v>0.2</v>
      </c>
      <c r="X389" s="14" t="n">
        <v>1</v>
      </c>
      <c r="Y389" s="14" t="n">
        <v>32.56</v>
      </c>
      <c r="Z389" s="14" t="n">
        <v>4.401</v>
      </c>
      <c r="AA389" s="14" t="n">
        <v>0</v>
      </c>
      <c r="AB389" s="14" t="n">
        <v>32.56</v>
      </c>
      <c r="AC389" s="14" t="n">
        <v>0</v>
      </c>
      <c r="AD389" s="14" t="n">
        <v>1</v>
      </c>
      <c r="AE389" s="14" t="n">
        <v>33.795</v>
      </c>
      <c r="AF389" s="14" t="n">
        <v>7.902</v>
      </c>
      <c r="AG389" s="14" t="n">
        <v>0</v>
      </c>
      <c r="AH389" s="14" t="n">
        <v>33.795</v>
      </c>
      <c r="AI389" s="14" t="n">
        <v>0</v>
      </c>
      <c r="AJ389" s="14" t="n">
        <v>1</v>
      </c>
      <c r="AK389" s="14" t="n">
        <v>41.203</v>
      </c>
      <c r="AL389" s="14" t="n">
        <v>21.945</v>
      </c>
      <c r="AM389" s="14" t="n">
        <v>0.61</v>
      </c>
      <c r="AN389" s="14" t="n">
        <v>49.444</v>
      </c>
      <c r="AO389" s="14" t="n">
        <v>0.2</v>
      </c>
      <c r="AP389" s="14" t="n">
        <v>1</v>
      </c>
      <c r="AQ389" s="14" t="n">
        <v>0.861</v>
      </c>
      <c r="AR389" s="14" t="n">
        <v>0.123</v>
      </c>
      <c r="AS389" s="14" t="n">
        <v>0.013</v>
      </c>
      <c r="AT389" s="14" t="n">
        <v>1.033</v>
      </c>
      <c r="AU389" s="14" t="n">
        <v>0.2</v>
      </c>
      <c r="AV389" s="14" t="n">
        <v>1</v>
      </c>
      <c r="AW389" s="14" t="n">
        <v>0.986</v>
      </c>
      <c r="AX389" s="14" t="n">
        <v>0.123</v>
      </c>
      <c r="AY389" s="14" t="n">
        <v>0.015</v>
      </c>
      <c r="AZ389" s="14" t="n">
        <v>1.183</v>
      </c>
      <c r="BA389" s="14" t="n">
        <v>0.2</v>
      </c>
      <c r="BB389" s="14" t="n">
        <v>1</v>
      </c>
      <c r="BC389" s="14" t="n">
        <v>0.598</v>
      </c>
      <c r="BD389" s="14" t="n">
        <v>0.123</v>
      </c>
      <c r="BE389" s="14" t="n">
        <v>0.008999999999999999</v>
      </c>
      <c r="BF389" s="14" t="n">
        <v>0.717</v>
      </c>
      <c r="BG389" s="14" t="n">
        <v>0.2</v>
      </c>
      <c r="BH389" s="14" t="n">
        <v>1</v>
      </c>
      <c r="BI389" s="14" t="n">
        <v>0.612</v>
      </c>
      <c r="BJ389" s="14" t="n">
        <v>0.123</v>
      </c>
      <c r="BK389" s="14" t="n">
        <v>0.008999999999999999</v>
      </c>
      <c r="BL389" s="14" t="n">
        <v>0.735</v>
      </c>
      <c r="BM389" s="14" t="n">
        <v>0.2</v>
      </c>
      <c r="BN389" s="14" t="n">
        <v>1</v>
      </c>
      <c r="BO389" s="14" t="n">
        <v>0</v>
      </c>
      <c r="BP389" s="14" t="n">
        <v>0</v>
      </c>
      <c r="BQ389" s="14" t="n">
        <v>0</v>
      </c>
      <c r="BR389" s="14" t="n">
        <v>0</v>
      </c>
      <c r="BS389" s="14" t="n">
        <v>1</v>
      </c>
      <c r="BT389" s="14" t="n">
        <v>0</v>
      </c>
      <c r="BU389" s="14" t="n">
        <v>0</v>
      </c>
      <c r="BV389" s="14" t="n">
        <v>0</v>
      </c>
      <c r="BW389" s="14" t="n">
        <v>0.2</v>
      </c>
      <c r="BX389" s="14" t="n">
        <v>1</v>
      </c>
      <c r="BY389" s="14" t="n">
        <v>12.729</v>
      </c>
      <c r="BZ389" s="14" t="n">
        <v>0</v>
      </c>
      <c r="CA389" s="14" t="n">
        <v>12.729</v>
      </c>
      <c r="CB389" s="14" t="n">
        <v>0</v>
      </c>
      <c r="CC389" s="14" t="n">
        <v>97.90000000000001</v>
      </c>
      <c r="CD389" s="14" t="n">
        <v>7.95</v>
      </c>
      <c r="CE389" s="14" t="n">
        <v>1.449</v>
      </c>
      <c r="CF389" s="14" t="n">
        <v>117.48</v>
      </c>
      <c r="CG389" s="14" t="n">
        <v>0.2</v>
      </c>
      <c r="CH389" s="14" t="n">
        <v>1</v>
      </c>
      <c r="CI389" s="14" t="n">
        <v>0</v>
      </c>
      <c r="CJ389" s="14" t="n">
        <v>0</v>
      </c>
      <c r="CK389" s="14" t="n">
        <v>0</v>
      </c>
      <c r="CL389" s="14" t="n">
        <v>0</v>
      </c>
      <c r="CM389" s="14" t="n">
        <v>0</v>
      </c>
      <c r="CN389" s="14" t="n">
        <v>0</v>
      </c>
      <c r="CO389" s="14" t="n">
        <v>0</v>
      </c>
      <c r="CP389" s="14" t="n">
        <v>0</v>
      </c>
      <c r="CQ389" s="14" t="n">
        <v>1.294</v>
      </c>
      <c r="CR389" s="14" t="n">
        <v>0</v>
      </c>
      <c r="CS389" s="14" t="n">
        <v>5.158</v>
      </c>
      <c r="CT389" s="14" t="n">
        <v>5.842</v>
      </c>
      <c r="CU389" s="14" t="n">
        <v>31.326</v>
      </c>
    </row>
    <row r="390">
      <c r="A390" s="14" t="inlineStr">
        <is>
          <t>IMN2023</t>
        </is>
      </c>
      <c r="B390" s="14" t="inlineStr">
        <is>
          <t>IMN</t>
        </is>
      </c>
      <c r="C390" s="14" t="inlineStr">
        <is>
          <t>IMN</t>
        </is>
      </c>
      <c r="D390" s="14" t="inlineStr">
        <is>
          <t>Isle of Man</t>
        </is>
      </c>
      <c r="E390" s="14" t="n">
        <v>2023</v>
      </c>
      <c r="F390" s="14" t="n">
        <v>0.2</v>
      </c>
      <c r="G390" s="14" t="n">
        <v>4.752</v>
      </c>
      <c r="H390" s="14" t="n">
        <v>1.286</v>
      </c>
      <c r="I390" s="14" t="n">
        <v>0</v>
      </c>
      <c r="J390" s="14" t="n">
        <v>4.752</v>
      </c>
      <c r="K390" s="14" t="n">
        <v>0</v>
      </c>
      <c r="L390" s="14" t="n">
        <v>1</v>
      </c>
      <c r="M390" s="14" t="n">
        <v>7.886</v>
      </c>
      <c r="N390" s="14" t="n">
        <v>3.857</v>
      </c>
      <c r="O390" s="14" t="n">
        <v>0</v>
      </c>
      <c r="P390" s="14" t="n">
        <v>7.886</v>
      </c>
      <c r="Q390" s="14" t="n">
        <v>0</v>
      </c>
      <c r="R390" s="14" t="n">
        <v>1</v>
      </c>
      <c r="S390" s="14" t="n">
        <v>11.18</v>
      </c>
      <c r="T390" s="14" t="n">
        <v>7.714</v>
      </c>
      <c r="U390" s="14" t="n">
        <v>0.248</v>
      </c>
      <c r="V390" s="14" t="n">
        <v>13.416</v>
      </c>
      <c r="W390" s="14" t="n">
        <v>0.2</v>
      </c>
      <c r="X390" s="14" t="n">
        <v>1</v>
      </c>
      <c r="Y390" s="14" t="n">
        <v>12.908</v>
      </c>
      <c r="Z390" s="14" t="n">
        <v>1.745</v>
      </c>
      <c r="AA390" s="14" t="n">
        <v>0</v>
      </c>
      <c r="AB390" s="14" t="n">
        <v>12.908</v>
      </c>
      <c r="AC390" s="14" t="n">
        <v>0</v>
      </c>
      <c r="AD390" s="14" t="n">
        <v>1</v>
      </c>
      <c r="AE390" s="14" t="n">
        <v>14.194</v>
      </c>
      <c r="AF390" s="14" t="n">
        <v>3.319</v>
      </c>
      <c r="AG390" s="14" t="n">
        <v>0</v>
      </c>
      <c r="AH390" s="14" t="n">
        <v>14.194</v>
      </c>
      <c r="AI390" s="14" t="n">
        <v>0</v>
      </c>
      <c r="AJ390" s="14" t="n">
        <v>1</v>
      </c>
      <c r="AK390" s="14" t="n">
        <v>21.908</v>
      </c>
      <c r="AL390" s="14" t="n">
        <v>11.668</v>
      </c>
      <c r="AM390" s="14" t="n">
        <v>0.485</v>
      </c>
      <c r="AN390" s="14" t="n">
        <v>26.289</v>
      </c>
      <c r="AO390" s="14" t="n">
        <v>0.2</v>
      </c>
      <c r="AP390" s="14" t="n">
        <v>1</v>
      </c>
      <c r="AQ390" s="14" t="n">
        <v>0.76</v>
      </c>
      <c r="AR390" s="14" t="n">
        <v>0.129</v>
      </c>
      <c r="AS390" s="14" t="n">
        <v>0.017</v>
      </c>
      <c r="AT390" s="14" t="n">
        <v>0.913</v>
      </c>
      <c r="AU390" s="14" t="n">
        <v>0.2</v>
      </c>
      <c r="AV390" s="14" t="n">
        <v>1</v>
      </c>
      <c r="AW390" s="14" t="n">
        <v>0.8110000000000001</v>
      </c>
      <c r="AX390" s="14" t="n">
        <v>0.129</v>
      </c>
      <c r="AY390" s="14" t="n">
        <v>0.018</v>
      </c>
      <c r="AZ390" s="14" t="n">
        <v>0.974</v>
      </c>
      <c r="BA390" s="14" t="n">
        <v>0.2</v>
      </c>
      <c r="BB390" s="14" t="n">
        <v>1</v>
      </c>
      <c r="BC390" s="14" t="n">
        <v>0.535</v>
      </c>
      <c r="BD390" s="14" t="n">
        <v>0.129</v>
      </c>
      <c r="BE390" s="14" t="n">
        <v>0.012</v>
      </c>
      <c r="BF390" s="14" t="n">
        <v>0.642</v>
      </c>
      <c r="BG390" s="14" t="n">
        <v>0.2</v>
      </c>
      <c r="BH390" s="14" t="n">
        <v>1</v>
      </c>
      <c r="BI390" s="14" t="n">
        <v>0.579</v>
      </c>
      <c r="BJ390" s="14" t="n">
        <v>0.129</v>
      </c>
      <c r="BK390" s="14" t="n">
        <v>0.013</v>
      </c>
      <c r="BL390" s="14" t="n">
        <v>0.695</v>
      </c>
      <c r="BM390" s="14" t="n">
        <v>0.2</v>
      </c>
      <c r="BN390" s="14" t="n">
        <v>1</v>
      </c>
      <c r="BO390" s="14" t="n">
        <v>0</v>
      </c>
      <c r="BP390" s="14" t="n">
        <v>0</v>
      </c>
      <c r="BQ390" s="14" t="n">
        <v>0</v>
      </c>
      <c r="BR390" s="14" t="n">
        <v>0</v>
      </c>
      <c r="BS390" s="14" t="n">
        <v>1</v>
      </c>
      <c r="BT390" s="14" t="n">
        <v>0</v>
      </c>
      <c r="BU390" s="14" t="n">
        <v>0</v>
      </c>
      <c r="BV390" s="14" t="n">
        <v>0</v>
      </c>
      <c r="BW390" s="14" t="n">
        <v>0.2</v>
      </c>
      <c r="BX390" s="14" t="n">
        <v>1</v>
      </c>
      <c r="BY390" s="14" t="n">
        <v>13.254</v>
      </c>
      <c r="BZ390" s="14" t="n">
        <v>0</v>
      </c>
      <c r="CA390" s="14" t="n">
        <v>13.254</v>
      </c>
      <c r="CB390" s="14" t="n">
        <v>0</v>
      </c>
      <c r="CC390" s="14" t="n">
        <v>83.248</v>
      </c>
      <c r="CD390" s="14" t="n">
        <v>7.95</v>
      </c>
      <c r="CE390" s="14" t="n">
        <v>1.843</v>
      </c>
      <c r="CF390" s="14" t="n">
        <v>99.898</v>
      </c>
      <c r="CG390" s="14" t="n">
        <v>0.2</v>
      </c>
      <c r="CH390" s="14" t="n">
        <v>1</v>
      </c>
      <c r="CI390" s="14" t="n">
        <v>0</v>
      </c>
      <c r="CJ390" s="14" t="n">
        <v>0</v>
      </c>
      <c r="CK390" s="14" t="n">
        <v>0</v>
      </c>
      <c r="CL390" s="14" t="n">
        <v>0</v>
      </c>
      <c r="CM390" s="14" t="n">
        <v>0</v>
      </c>
      <c r="CN390" s="14" t="n">
        <v>0</v>
      </c>
      <c r="CO390" s="14" t="n">
        <v>0</v>
      </c>
      <c r="CP390" s="14" t="n">
        <v>0</v>
      </c>
      <c r="CQ390" s="14" t="n">
        <v>1.348</v>
      </c>
      <c r="CR390" s="14" t="n">
        <v>0</v>
      </c>
      <c r="CS390" s="14" t="n">
        <v>5.37</v>
      </c>
      <c r="CT390" s="14" t="n">
        <v>3.466</v>
      </c>
      <c r="CU390" s="14" t="n">
        <v>11.622</v>
      </c>
    </row>
    <row r="391">
      <c r="A391" s="14" t="inlineStr">
        <is>
          <t>IMN2024</t>
        </is>
      </c>
      <c r="B391" s="14" t="inlineStr">
        <is>
          <t>IMN</t>
        </is>
      </c>
      <c r="C391" s="14" t="inlineStr">
        <is>
          <t>IMN</t>
        </is>
      </c>
      <c r="D391" s="14" t="inlineStr">
        <is>
          <t>Isle of Man</t>
        </is>
      </c>
      <c r="E391" s="14" t="n">
        <v>2024</v>
      </c>
      <c r="F391" s="14" t="n">
        <v>0.2</v>
      </c>
      <c r="G391" s="14" t="n">
        <v>4.351</v>
      </c>
      <c r="H391" s="14" t="n">
        <v>1.324</v>
      </c>
      <c r="I391" s="14" t="n">
        <v>0</v>
      </c>
      <c r="J391" s="14" t="n">
        <v>4.351</v>
      </c>
      <c r="K391" s="14" t="n">
        <v>0</v>
      </c>
      <c r="L391" s="14" t="n">
        <v>1</v>
      </c>
      <c r="M391" s="14" t="n">
        <v>7.124</v>
      </c>
      <c r="N391" s="14" t="n">
        <v>3.971</v>
      </c>
      <c r="O391" s="14" t="n">
        <v>0</v>
      </c>
      <c r="P391" s="14" t="n">
        <v>7.124</v>
      </c>
      <c r="Q391" s="14" t="n">
        <v>0</v>
      </c>
      <c r="R391" s="14" t="n">
        <v>1</v>
      </c>
      <c r="S391" s="14" t="n">
        <v>10.969</v>
      </c>
      <c r="T391" s="14" t="n">
        <v>7.942</v>
      </c>
      <c r="U391" s="14" t="n">
        <v>0.299</v>
      </c>
      <c r="V391" s="14" t="n">
        <v>13.162</v>
      </c>
      <c r="W391" s="14" t="n">
        <v>0.2</v>
      </c>
      <c r="X391" s="14" t="n">
        <v>1</v>
      </c>
      <c r="Y391" s="14" t="n">
        <v>11.492</v>
      </c>
      <c r="Z391" s="14" t="n">
        <v>1.553</v>
      </c>
      <c r="AA391" s="14" t="n">
        <v>0</v>
      </c>
      <c r="AB391" s="14" t="n">
        <v>11.492</v>
      </c>
      <c r="AC391" s="14" t="n">
        <v>0</v>
      </c>
      <c r="AD391" s="14" t="n">
        <v>1</v>
      </c>
      <c r="AE391" s="14" t="n">
        <v>12.815</v>
      </c>
      <c r="AF391" s="14" t="n">
        <v>2.997</v>
      </c>
      <c r="AG391" s="14" t="n">
        <v>0</v>
      </c>
      <c r="AH391" s="14" t="n">
        <v>12.815</v>
      </c>
      <c r="AI391" s="14" t="n">
        <v>0</v>
      </c>
      <c r="AJ391" s="14" t="n">
        <v>1</v>
      </c>
      <c r="AK391" s="14" t="n">
        <v>20.757</v>
      </c>
      <c r="AL391" s="14" t="n">
        <v>11.055</v>
      </c>
      <c r="AM391" s="14" t="n">
        <v>0.5649999999999999</v>
      </c>
      <c r="AN391" s="14" t="n">
        <v>24.909</v>
      </c>
      <c r="AO391" s="14" t="n">
        <v>0.2</v>
      </c>
      <c r="AP391" s="14" t="n">
        <v>1</v>
      </c>
      <c r="AQ391" s="14" t="n">
        <v>0.724</v>
      </c>
      <c r="AR391" s="14" t="n">
        <v>0.132</v>
      </c>
      <c r="AS391" s="14" t="n">
        <v>0.02</v>
      </c>
      <c r="AT391" s="14" t="n">
        <v>0.869</v>
      </c>
      <c r="AU391" s="14" t="n">
        <v>0.2</v>
      </c>
      <c r="AV391" s="14" t="n">
        <v>1</v>
      </c>
      <c r="AW391" s="14" t="n">
        <v>0.75</v>
      </c>
      <c r="AX391" s="14" t="n">
        <v>0.132</v>
      </c>
      <c r="AY391" s="14" t="n">
        <v>0.02</v>
      </c>
      <c r="AZ391" s="14" t="n">
        <v>0.9</v>
      </c>
      <c r="BA391" s="14" t="n">
        <v>0.2</v>
      </c>
      <c r="BB391" s="14" t="n">
        <v>1</v>
      </c>
      <c r="BC391" s="14" t="n">
        <v>0.513</v>
      </c>
      <c r="BD391" s="14" t="n">
        <v>0.132</v>
      </c>
      <c r="BE391" s="14" t="n">
        <v>0.014</v>
      </c>
      <c r="BF391" s="14" t="n">
        <v>0.616</v>
      </c>
      <c r="BG391" s="14" t="n">
        <v>0.2</v>
      </c>
      <c r="BH391" s="14" t="n">
        <v>1</v>
      </c>
      <c r="BI391" s="14" t="n">
        <v>0.591</v>
      </c>
      <c r="BJ391" s="14" t="n">
        <v>0.132</v>
      </c>
      <c r="BK391" s="14" t="n">
        <v>0.016</v>
      </c>
      <c r="BL391" s="14" t="n">
        <v>0.71</v>
      </c>
      <c r="BM391" s="14" t="n">
        <v>0.2</v>
      </c>
      <c r="BN391" s="14" t="n">
        <v>1</v>
      </c>
      <c r="BO391" s="14" t="n">
        <v>0</v>
      </c>
      <c r="BP391" s="14" t="n">
        <v>0</v>
      </c>
      <c r="BQ391" s="14" t="n">
        <v>0</v>
      </c>
      <c r="BR391" s="14" t="n">
        <v>0</v>
      </c>
      <c r="BS391" s="14" t="n">
        <v>1</v>
      </c>
      <c r="BT391" s="14" t="n">
        <v>0</v>
      </c>
      <c r="BU391" s="14" t="n">
        <v>0</v>
      </c>
      <c r="BV391" s="14" t="n">
        <v>0</v>
      </c>
      <c r="BW391" s="14" t="n">
        <v>0.2</v>
      </c>
      <c r="BX391" s="14" t="n">
        <v>1</v>
      </c>
      <c r="BY391" s="14" t="n">
        <v>13.646</v>
      </c>
      <c r="BZ391" s="14" t="n">
        <v>0</v>
      </c>
      <c r="CA391" s="14" t="n">
        <v>13.646</v>
      </c>
      <c r="CB391" s="14" t="n">
        <v>0</v>
      </c>
      <c r="CC391" s="14" t="n">
        <v>82.58799999999999</v>
      </c>
      <c r="CD391" s="14" t="n">
        <v>7.95</v>
      </c>
      <c r="CE391" s="14" t="n">
        <v>2.25</v>
      </c>
      <c r="CF391" s="14" t="n">
        <v>99.10599999999999</v>
      </c>
      <c r="CG391" s="14" t="n">
        <v>0.2</v>
      </c>
      <c r="CH391" s="14" t="n">
        <v>1</v>
      </c>
      <c r="CI391" s="14" t="n">
        <v>0</v>
      </c>
      <c r="CJ391" s="14" t="n">
        <v>0</v>
      </c>
      <c r="CK391" s="14" t="n">
        <v>0</v>
      </c>
      <c r="CL391" s="14" t="n">
        <v>0</v>
      </c>
      <c r="CM391" s="14" t="n">
        <v>0</v>
      </c>
      <c r="CN391" s="14" t="n">
        <v>0</v>
      </c>
      <c r="CO391" s="14" t="n">
        <v>0</v>
      </c>
      <c r="CP391" s="14" t="n">
        <v>0</v>
      </c>
      <c r="CQ391" s="14" t="n">
        <v>1.387</v>
      </c>
      <c r="CR391" s="14" t="n">
        <v>0</v>
      </c>
      <c r="CS391" s="14" t="n">
        <v>5.529</v>
      </c>
      <c r="CT391" s="14" t="n">
        <v>3.027</v>
      </c>
      <c r="CU391" s="14" t="n">
        <v>10.168</v>
      </c>
    </row>
    <row r="392">
      <c r="A392" s="14" t="inlineStr">
        <is>
          <t>ISR2021</t>
        </is>
      </c>
      <c r="B392" s="14" t="inlineStr">
        <is>
          <t>ISR</t>
        </is>
      </c>
      <c r="C392" s="14" t="inlineStr">
        <is>
          <t>ISR</t>
        </is>
      </c>
      <c r="D392" s="14" t="inlineStr">
        <is>
          <t>Israel</t>
        </is>
      </c>
      <c r="E392" s="14" t="n">
        <v>2021</v>
      </c>
      <c r="F392" s="14" t="n">
        <v>0.17</v>
      </c>
      <c r="G392" s="14" t="n">
        <v>5.897</v>
      </c>
      <c r="H392" s="14" t="n">
        <v>1.143</v>
      </c>
      <c r="I392" s="14" t="n">
        <v>-4.577</v>
      </c>
      <c r="J392" s="14" t="n">
        <v>1.319</v>
      </c>
      <c r="K392" s="14" t="n">
        <v>0</v>
      </c>
      <c r="L392" s="14" t="n">
        <v>1</v>
      </c>
      <c r="M392" s="14" t="n">
        <v>1.311</v>
      </c>
      <c r="N392" s="14" t="n">
        <v>0.594</v>
      </c>
      <c r="O392" s="14" t="n">
        <v>0.008</v>
      </c>
      <c r="P392" s="14" t="n">
        <v>1.319</v>
      </c>
      <c r="Q392" s="14" t="n">
        <v>0</v>
      </c>
      <c r="R392" s="14" t="n">
        <v>1</v>
      </c>
      <c r="S392" s="14" t="n">
        <v>11.613</v>
      </c>
      <c r="T392" s="14" t="n">
        <v>6.86</v>
      </c>
      <c r="U392" s="14" t="n">
        <v>0</v>
      </c>
      <c r="V392" s="14" t="n">
        <v>13.588</v>
      </c>
      <c r="W392" s="14" t="n">
        <v>0.17</v>
      </c>
      <c r="X392" s="14" t="n">
        <v>1</v>
      </c>
      <c r="Y392" s="14" t="n">
        <v>2.463</v>
      </c>
      <c r="Z392" s="14" t="n">
        <v>0.275</v>
      </c>
      <c r="AA392" s="14" t="n">
        <v>-0.33</v>
      </c>
      <c r="AB392" s="14" t="n">
        <v>2.133</v>
      </c>
      <c r="AC392" s="14" t="n">
        <v>0</v>
      </c>
      <c r="AD392" s="14" t="n">
        <v>1</v>
      </c>
      <c r="AE392" s="14" t="n">
        <v>3.044</v>
      </c>
      <c r="AF392" s="14" t="n">
        <v>0.601</v>
      </c>
      <c r="AG392" s="14" t="n">
        <v>0.126</v>
      </c>
      <c r="AH392" s="14" t="n">
        <v>3.17</v>
      </c>
      <c r="AI392" s="14" t="n">
        <v>0</v>
      </c>
      <c r="AJ392" s="14" t="n">
        <v>1</v>
      </c>
      <c r="AK392" s="14" t="n">
        <v>6.529</v>
      </c>
      <c r="AL392" s="14" t="n">
        <v>3.106</v>
      </c>
      <c r="AM392" s="14" t="n">
        <v>0.142</v>
      </c>
      <c r="AN392" s="14" t="n">
        <v>7.805</v>
      </c>
      <c r="AO392" s="14" t="n">
        <v>0.17</v>
      </c>
      <c r="AP392" s="14" t="n">
        <v>1</v>
      </c>
      <c r="AQ392" s="14" t="n">
        <v>0.621</v>
      </c>
      <c r="AR392" s="14" t="n">
        <v>0.114</v>
      </c>
      <c r="AS392" s="14" t="n">
        <v>1.063</v>
      </c>
      <c r="AT392" s="14" t="n">
        <v>1.97</v>
      </c>
      <c r="AU392" s="14" t="n">
        <v>0.17</v>
      </c>
      <c r="AV392" s="14" t="n">
        <v>1</v>
      </c>
      <c r="AW392" s="14" t="n">
        <v>0.593</v>
      </c>
      <c r="AX392" s="14" t="n">
        <v>0.114</v>
      </c>
      <c r="AY392" s="14" t="n">
        <v>1.006</v>
      </c>
      <c r="AZ392" s="14" t="n">
        <v>1.871</v>
      </c>
      <c r="BA392" s="14" t="n">
        <v>0.17</v>
      </c>
      <c r="BB392" s="14" t="n">
        <v>1</v>
      </c>
      <c r="BC392" s="14" t="n">
        <v>0.44</v>
      </c>
      <c r="BD392" s="14" t="n">
        <v>0.114</v>
      </c>
      <c r="BE392" s="14" t="n">
        <v>0.406</v>
      </c>
      <c r="BF392" s="14" t="n">
        <v>0.99</v>
      </c>
      <c r="BG392" s="14" t="n">
        <v>0.17</v>
      </c>
      <c r="BH392" s="14" t="n">
        <v>1</v>
      </c>
      <c r="BI392" s="14" t="n">
        <v>0.5600000000000001</v>
      </c>
      <c r="BJ392" s="14" t="n">
        <v>0.114</v>
      </c>
      <c r="BK392" s="14" t="n">
        <v>0.676</v>
      </c>
      <c r="BL392" s="14" t="n">
        <v>1.447</v>
      </c>
      <c r="BM392" s="14" t="n">
        <v>0.17</v>
      </c>
      <c r="BN392" s="14" t="n">
        <v>1</v>
      </c>
      <c r="BO392" s="14" t="n">
        <v>0</v>
      </c>
      <c r="BP392" s="14" t="n">
        <v>0.02</v>
      </c>
      <c r="BQ392" s="14" t="n">
        <v>0.142</v>
      </c>
      <c r="BR392" s="14" t="n">
        <v>0</v>
      </c>
      <c r="BS392" s="14" t="n">
        <v>1</v>
      </c>
      <c r="BT392" s="14" t="n">
        <v>0</v>
      </c>
      <c r="BU392" s="14" t="n">
        <v>0</v>
      </c>
      <c r="BV392" s="14" t="n">
        <v>0.17</v>
      </c>
      <c r="BW392" s="14" t="n">
        <v>0.17</v>
      </c>
      <c r="BX392" s="14" t="n">
        <v>0.833</v>
      </c>
      <c r="BY392" s="14" t="n">
        <v>11.787</v>
      </c>
      <c r="BZ392" s="14" t="n">
        <v>0</v>
      </c>
      <c r="CA392" s="14" t="n">
        <v>11.787</v>
      </c>
      <c r="CB392" s="14" t="n">
        <v>0</v>
      </c>
      <c r="CC392" s="14" t="n">
        <v>81.69499999999999</v>
      </c>
      <c r="CD392" s="14" t="n">
        <v>7.95</v>
      </c>
      <c r="CE392" s="14" t="n">
        <v>1.553</v>
      </c>
      <c r="CF392" s="14" t="n">
        <v>97.40000000000001</v>
      </c>
      <c r="CG392" s="14" t="n">
        <v>0.17</v>
      </c>
      <c r="CH392" s="14" t="n">
        <v>1</v>
      </c>
      <c r="CI392" s="14" t="n">
        <v>0</v>
      </c>
      <c r="CJ392" s="14" t="n">
        <v>0</v>
      </c>
      <c r="CK392" s="14" t="n">
        <v>0</v>
      </c>
      <c r="CL392" s="14" t="n">
        <v>0</v>
      </c>
      <c r="CM392" s="14" t="n">
        <v>0</v>
      </c>
      <c r="CN392" s="14" t="n">
        <v>0.132</v>
      </c>
      <c r="CO392" s="14" t="n">
        <v>0</v>
      </c>
      <c r="CP392" s="14" t="n">
        <v>0</v>
      </c>
      <c r="CQ392" s="14" t="n">
        <v>1.198</v>
      </c>
      <c r="CR392" s="14" t="n">
        <v>0.984</v>
      </c>
      <c r="CS392" s="14" t="n">
        <v>1.882</v>
      </c>
      <c r="CT392" s="14" t="n">
        <v>4.753</v>
      </c>
      <c r="CU392" s="14" t="n">
        <v>14.129</v>
      </c>
    </row>
    <row r="393">
      <c r="A393" s="14" t="inlineStr">
        <is>
          <t>ISR2022</t>
        </is>
      </c>
      <c r="B393" s="14" t="inlineStr">
        <is>
          <t>ISR</t>
        </is>
      </c>
      <c r="C393" s="14" t="inlineStr">
        <is>
          <t>ISR</t>
        </is>
      </c>
      <c r="D393" s="14" t="inlineStr">
        <is>
          <t>Israel</t>
        </is>
      </c>
      <c r="E393" s="14" t="n">
        <v>2022</v>
      </c>
      <c r="F393" s="14" t="n">
        <v>0.17</v>
      </c>
      <c r="G393" s="14" t="n">
        <v>11.72</v>
      </c>
      <c r="H393" s="14" t="n">
        <v>1.235</v>
      </c>
      <c r="I393" s="14" t="n">
        <v>0.643</v>
      </c>
      <c r="J393" s="14" t="n">
        <v>12.363</v>
      </c>
      <c r="K393" s="14" t="n">
        <v>0</v>
      </c>
      <c r="L393" s="14" t="n">
        <v>1</v>
      </c>
      <c r="M393" s="14" t="n">
        <v>1.611</v>
      </c>
      <c r="N393" s="14" t="n">
        <v>0.665</v>
      </c>
      <c r="O393" s="14" t="n">
        <v>0.6830000000000001</v>
      </c>
      <c r="P393" s="14" t="n">
        <v>2.294</v>
      </c>
      <c r="Q393" s="14" t="n">
        <v>0</v>
      </c>
      <c r="R393" s="14" t="n">
        <v>1</v>
      </c>
      <c r="S393" s="14" t="n">
        <v>17.893</v>
      </c>
      <c r="T393" s="14" t="n">
        <v>7.408</v>
      </c>
      <c r="U393" s="14" t="n">
        <v>0.225</v>
      </c>
      <c r="V393" s="14" t="n">
        <v>20.935</v>
      </c>
      <c r="W393" s="14" t="n">
        <v>0.17</v>
      </c>
      <c r="X393" s="14" t="n">
        <v>1</v>
      </c>
      <c r="Y393" s="14" t="n">
        <v>2.652</v>
      </c>
      <c r="Z393" s="14" t="n">
        <v>0.296</v>
      </c>
      <c r="AA393" s="14" t="n">
        <v>-0.292</v>
      </c>
      <c r="AB393" s="14" t="n">
        <v>2.359</v>
      </c>
      <c r="AC393" s="14" t="n">
        <v>0</v>
      </c>
      <c r="AD393" s="14" t="n">
        <v>1</v>
      </c>
      <c r="AE393" s="14" t="n">
        <v>3.272</v>
      </c>
      <c r="AF393" s="14" t="n">
        <v>0.646</v>
      </c>
      <c r="AG393" s="14" t="n">
        <v>0.123</v>
      </c>
      <c r="AH393" s="14" t="n">
        <v>3.395</v>
      </c>
      <c r="AI393" s="14" t="n">
        <v>0</v>
      </c>
      <c r="AJ393" s="14" t="n">
        <v>1</v>
      </c>
      <c r="AK393" s="14" t="n">
        <v>6.99</v>
      </c>
      <c r="AL393" s="14" t="n">
        <v>3.326</v>
      </c>
      <c r="AM393" s="14" t="n">
        <v>0.228</v>
      </c>
      <c r="AN393" s="14" t="n">
        <v>8.34</v>
      </c>
      <c r="AO393" s="14" t="n">
        <v>0.17</v>
      </c>
      <c r="AP393" s="14" t="n">
        <v>1</v>
      </c>
      <c r="AQ393" s="14" t="n">
        <v>0.847</v>
      </c>
      <c r="AR393" s="14" t="n">
        <v>0.123</v>
      </c>
      <c r="AS393" s="14" t="n">
        <v>0.953</v>
      </c>
      <c r="AT393" s="14" t="n">
        <v>2.106</v>
      </c>
      <c r="AU393" s="14" t="n">
        <v>0.17</v>
      </c>
      <c r="AV393" s="14" t="n">
        <v>1</v>
      </c>
      <c r="AW393" s="14" t="n">
        <v>0.947</v>
      </c>
      <c r="AX393" s="14" t="n">
        <v>0.123</v>
      </c>
      <c r="AY393" s="14" t="n">
        <v>0.763</v>
      </c>
      <c r="AZ393" s="14" t="n">
        <v>2.001</v>
      </c>
      <c r="BA393" s="14" t="n">
        <v>0.17</v>
      </c>
      <c r="BB393" s="14" t="n">
        <v>1</v>
      </c>
      <c r="BC393" s="14" t="n">
        <v>0.589</v>
      </c>
      <c r="BD393" s="14" t="n">
        <v>0.123</v>
      </c>
      <c r="BE393" s="14" t="n">
        <v>0.347</v>
      </c>
      <c r="BF393" s="14" t="n">
        <v>1.095</v>
      </c>
      <c r="BG393" s="14" t="n">
        <v>0.17</v>
      </c>
      <c r="BH393" s="14" t="n">
        <v>1</v>
      </c>
      <c r="BI393" s="14" t="n">
        <v>0.6889999999999999</v>
      </c>
      <c r="BJ393" s="14" t="n">
        <v>0.123</v>
      </c>
      <c r="BK393" s="14" t="n">
        <v>1.123</v>
      </c>
      <c r="BL393" s="14" t="n">
        <v>2.12</v>
      </c>
      <c r="BM393" s="14" t="n">
        <v>0.17</v>
      </c>
      <c r="BN393" s="14" t="n">
        <v>1</v>
      </c>
      <c r="BO393" s="14" t="n">
        <v>0</v>
      </c>
      <c r="BP393" s="14" t="n">
        <v>0.023</v>
      </c>
      <c r="BQ393" s="14" t="n">
        <v>0.172</v>
      </c>
      <c r="BR393" s="14" t="n">
        <v>0</v>
      </c>
      <c r="BS393" s="14" t="n">
        <v>1</v>
      </c>
      <c r="BT393" s="14" t="n">
        <v>0</v>
      </c>
      <c r="BU393" s="14" t="n">
        <v>0</v>
      </c>
      <c r="BV393" s="14" t="n">
        <v>0.175</v>
      </c>
      <c r="BW393" s="14" t="n">
        <v>0.17</v>
      </c>
      <c r="BX393" s="14" t="n">
        <v>0.833</v>
      </c>
      <c r="BY393" s="14" t="n">
        <v>12.729</v>
      </c>
      <c r="BZ393" s="14" t="n">
        <v>0</v>
      </c>
      <c r="CA393" s="14" t="n">
        <v>12.729</v>
      </c>
      <c r="CB393" s="14" t="n">
        <v>0</v>
      </c>
      <c r="CC393" s="14" t="n">
        <v>102.477</v>
      </c>
      <c r="CD393" s="14" t="n">
        <v>7.95</v>
      </c>
      <c r="CE393" s="14" t="n">
        <v>0.511</v>
      </c>
      <c r="CF393" s="14" t="n">
        <v>118.999</v>
      </c>
      <c r="CG393" s="14" t="n">
        <v>0.17</v>
      </c>
      <c r="CH393" s="14" t="n">
        <v>1</v>
      </c>
      <c r="CI393" s="14" t="n">
        <v>0</v>
      </c>
      <c r="CJ393" s="14" t="n">
        <v>0</v>
      </c>
      <c r="CK393" s="14" t="n">
        <v>0</v>
      </c>
      <c r="CL393" s="14" t="n">
        <v>0</v>
      </c>
      <c r="CM393" s="14" t="n">
        <v>0</v>
      </c>
      <c r="CN393" s="14" t="n">
        <v>0.157</v>
      </c>
      <c r="CO393" s="14" t="n">
        <v>0</v>
      </c>
      <c r="CP393" s="14" t="n">
        <v>0</v>
      </c>
      <c r="CQ393" s="14" t="n">
        <v>1.294</v>
      </c>
      <c r="CR393" s="14" t="n">
        <v>0.996</v>
      </c>
      <c r="CS393" s="14" t="n">
        <v>2.032</v>
      </c>
      <c r="CT393" s="14" t="n">
        <v>10.485</v>
      </c>
      <c r="CU393" s="14" t="n">
        <v>28.059</v>
      </c>
    </row>
    <row r="394">
      <c r="A394" s="14" t="inlineStr">
        <is>
          <t>ISR2023</t>
        </is>
      </c>
      <c r="B394" s="14" t="inlineStr">
        <is>
          <t>ISR</t>
        </is>
      </c>
      <c r="C394" s="14" t="inlineStr">
        <is>
          <t>ISR</t>
        </is>
      </c>
      <c r="D394" s="14" t="inlineStr">
        <is>
          <t>Israel</t>
        </is>
      </c>
      <c r="E394" s="14" t="n">
        <v>2023</v>
      </c>
      <c r="F394" s="14" t="n">
        <v>0.17</v>
      </c>
      <c r="G394" s="14" t="n">
        <v>5.796</v>
      </c>
      <c r="H394" s="14" t="n">
        <v>1.231</v>
      </c>
      <c r="I394" s="14" t="n">
        <v>0.012</v>
      </c>
      <c r="J394" s="14" t="n">
        <v>5.807</v>
      </c>
      <c r="K394" s="14" t="n">
        <v>0</v>
      </c>
      <c r="L394" s="14" t="n">
        <v>1</v>
      </c>
      <c r="M394" s="14" t="n">
        <v>1.234</v>
      </c>
      <c r="N394" s="14" t="n">
        <v>0.612</v>
      </c>
      <c r="O394" s="14" t="n">
        <v>1.359</v>
      </c>
      <c r="P394" s="14" t="n">
        <v>2.593</v>
      </c>
      <c r="Q394" s="14" t="n">
        <v>0</v>
      </c>
      <c r="R394" s="14" t="n">
        <v>1</v>
      </c>
      <c r="S394" s="14" t="n">
        <v>11.952</v>
      </c>
      <c r="T394" s="14" t="n">
        <v>7.388</v>
      </c>
      <c r="U394" s="14" t="n">
        <v>0.225</v>
      </c>
      <c r="V394" s="14" t="n">
        <v>13.984</v>
      </c>
      <c r="W394" s="14" t="n">
        <v>0.17</v>
      </c>
      <c r="X394" s="14" t="n">
        <v>1</v>
      </c>
      <c r="Y394" s="14" t="n">
        <v>2.759</v>
      </c>
      <c r="Z394" s="14" t="n">
        <v>0.308</v>
      </c>
      <c r="AA394" s="14" t="n">
        <v>-0.255</v>
      </c>
      <c r="AB394" s="14" t="n">
        <v>2.504</v>
      </c>
      <c r="AC394" s="14" t="n">
        <v>0</v>
      </c>
      <c r="AD394" s="14" t="n">
        <v>1</v>
      </c>
      <c r="AE394" s="14" t="n">
        <v>3.402</v>
      </c>
      <c r="AF394" s="14" t="n">
        <v>0.671</v>
      </c>
      <c r="AG394" s="14" t="n">
        <v>0.12</v>
      </c>
      <c r="AH394" s="14" t="n">
        <v>3.522</v>
      </c>
      <c r="AI394" s="14" t="n">
        <v>0</v>
      </c>
      <c r="AJ394" s="14" t="n">
        <v>1</v>
      </c>
      <c r="AK394" s="14" t="n">
        <v>7.259</v>
      </c>
      <c r="AL394" s="14" t="n">
        <v>3.453</v>
      </c>
      <c r="AM394" s="14" t="n">
        <v>0.274</v>
      </c>
      <c r="AN394" s="14" t="n">
        <v>8.65</v>
      </c>
      <c r="AO394" s="14" t="n">
        <v>0.17</v>
      </c>
      <c r="AP394" s="14" t="n">
        <v>1</v>
      </c>
      <c r="AQ394" s="14" t="n">
        <v>0.749</v>
      </c>
      <c r="AR394" s="14" t="n">
        <v>0.129</v>
      </c>
      <c r="AS394" s="14" t="n">
        <v>0.904</v>
      </c>
      <c r="AT394" s="14" t="n">
        <v>1.933</v>
      </c>
      <c r="AU394" s="14" t="n">
        <v>0.17</v>
      </c>
      <c r="AV394" s="14" t="n">
        <v>1</v>
      </c>
      <c r="AW394" s="14" t="n">
        <v>0.783</v>
      </c>
      <c r="AX394" s="14" t="n">
        <v>0.129</v>
      </c>
      <c r="AY394" s="14" t="n">
        <v>0.787</v>
      </c>
      <c r="AZ394" s="14" t="n">
        <v>1.836</v>
      </c>
      <c r="BA394" s="14" t="n">
        <v>0.17</v>
      </c>
      <c r="BB394" s="14" t="n">
        <v>1</v>
      </c>
      <c r="BC394" s="14" t="n">
        <v>0.527</v>
      </c>
      <c r="BD394" s="14" t="n">
        <v>0.129</v>
      </c>
      <c r="BE394" s="14" t="n">
        <v>0.257</v>
      </c>
      <c r="BF394" s="14" t="n">
        <v>0.918</v>
      </c>
      <c r="BG394" s="14" t="n">
        <v>0.17</v>
      </c>
      <c r="BH394" s="14" t="n">
        <v>1</v>
      </c>
      <c r="BI394" s="14" t="n">
        <v>0.64</v>
      </c>
      <c r="BJ394" s="14" t="n">
        <v>0.129</v>
      </c>
      <c r="BK394" s="14" t="n">
        <v>1.078</v>
      </c>
      <c r="BL394" s="14" t="n">
        <v>2.01</v>
      </c>
      <c r="BM394" s="14" t="n">
        <v>0.17</v>
      </c>
      <c r="BN394" s="14" t="n">
        <v>1</v>
      </c>
      <c r="BO394" s="14" t="n">
        <v>0</v>
      </c>
      <c r="BP394" s="14" t="n">
        <v>0.024</v>
      </c>
      <c r="BQ394" s="14" t="n">
        <v>0.133</v>
      </c>
      <c r="BR394" s="14" t="n">
        <v>0</v>
      </c>
      <c r="BS394" s="14" t="n">
        <v>1</v>
      </c>
      <c r="BT394" s="14" t="n">
        <v>0</v>
      </c>
      <c r="BU394" s="14" t="n">
        <v>0</v>
      </c>
      <c r="BV394" s="14" t="n">
        <v>0.172</v>
      </c>
      <c r="BW394" s="14" t="n">
        <v>0.17</v>
      </c>
      <c r="BX394" s="14" t="n">
        <v>0.833</v>
      </c>
      <c r="BY394" s="14" t="n">
        <v>13.254</v>
      </c>
      <c r="BZ394" s="14" t="n">
        <v>0</v>
      </c>
      <c r="CA394" s="14" t="n">
        <v>13.254</v>
      </c>
      <c r="CB394" s="14" t="n">
        <v>0</v>
      </c>
      <c r="CC394" s="14" t="n">
        <v>87.07899999999999</v>
      </c>
      <c r="CD394" s="14" t="n">
        <v>7.95</v>
      </c>
      <c r="CE394" s="14" t="n">
        <v>0.824</v>
      </c>
      <c r="CF394" s="14" t="n">
        <v>100.946</v>
      </c>
      <c r="CG394" s="14" t="n">
        <v>0.17</v>
      </c>
      <c r="CH394" s="14" t="n">
        <v>1</v>
      </c>
      <c r="CI394" s="14" t="n">
        <v>0</v>
      </c>
      <c r="CJ394" s="14" t="n">
        <v>0</v>
      </c>
      <c r="CK394" s="14" t="n">
        <v>0</v>
      </c>
      <c r="CL394" s="14" t="n">
        <v>0</v>
      </c>
      <c r="CM394" s="14" t="n">
        <v>0</v>
      </c>
      <c r="CN394" s="14" t="n">
        <v>0.178</v>
      </c>
      <c r="CO394" s="14" t="n">
        <v>0</v>
      </c>
      <c r="CP394" s="14" t="n">
        <v>0.08500000000000001</v>
      </c>
      <c r="CQ394" s="14" t="n">
        <v>1.348</v>
      </c>
      <c r="CR394" s="14" t="n">
        <v>1</v>
      </c>
      <c r="CS394" s="14" t="n">
        <v>2.116</v>
      </c>
      <c r="CT394" s="14" t="n">
        <v>4.861</v>
      </c>
      <c r="CU394" s="14" t="n">
        <v>9.260999999999999</v>
      </c>
    </row>
    <row r="395">
      <c r="A395" s="14" t="inlineStr">
        <is>
          <t>ISR2024</t>
        </is>
      </c>
      <c r="B395" s="14" t="inlineStr">
        <is>
          <t>ISR</t>
        </is>
      </c>
      <c r="C395" s="14" t="inlineStr">
        <is>
          <t>ISR</t>
        </is>
      </c>
      <c r="D395" s="14" t="inlineStr">
        <is>
          <t>Israel</t>
        </is>
      </c>
      <c r="E395" s="14" t="n">
        <v>2024</v>
      </c>
      <c r="F395" s="14" t="n">
        <v>0.17</v>
      </c>
      <c r="G395" s="14" t="n">
        <v>5.277</v>
      </c>
      <c r="H395" s="14" t="n">
        <v>1.268</v>
      </c>
      <c r="I395" s="14" t="n">
        <v>0.012</v>
      </c>
      <c r="J395" s="14" t="n">
        <v>5.289</v>
      </c>
      <c r="K395" s="14" t="n">
        <v>0</v>
      </c>
      <c r="L395" s="14" t="n">
        <v>1</v>
      </c>
      <c r="M395" s="14" t="n">
        <v>1.121</v>
      </c>
      <c r="N395" s="14" t="n">
        <v>0.61</v>
      </c>
      <c r="O395" s="14" t="n">
        <v>1.399</v>
      </c>
      <c r="P395" s="14" t="n">
        <v>2.519</v>
      </c>
      <c r="Q395" s="14" t="n">
        <v>0</v>
      </c>
      <c r="R395" s="14" t="n">
        <v>1</v>
      </c>
      <c r="S395" s="14" t="n">
        <v>11.615</v>
      </c>
      <c r="T395" s="14" t="n">
        <v>7.606</v>
      </c>
      <c r="U395" s="14" t="n">
        <v>0.269</v>
      </c>
      <c r="V395" s="14" t="n">
        <v>13.59</v>
      </c>
      <c r="W395" s="14" t="n">
        <v>0.17</v>
      </c>
      <c r="X395" s="14" t="n">
        <v>1</v>
      </c>
      <c r="Y395" s="14" t="n">
        <v>2.84</v>
      </c>
      <c r="Z395" s="14" t="n">
        <v>0.317</v>
      </c>
      <c r="AA395" s="14" t="n">
        <v>-0.263</v>
      </c>
      <c r="AB395" s="14" t="n">
        <v>2.578</v>
      </c>
      <c r="AC395" s="14" t="n">
        <v>0</v>
      </c>
      <c r="AD395" s="14" t="n">
        <v>1</v>
      </c>
      <c r="AE395" s="14" t="n">
        <v>3.502</v>
      </c>
      <c r="AF395" s="14" t="n">
        <v>0.6909999999999999</v>
      </c>
      <c r="AG395" s="14" t="n">
        <v>0.124</v>
      </c>
      <c r="AH395" s="14" t="n">
        <v>3.626</v>
      </c>
      <c r="AI395" s="14" t="n">
        <v>0</v>
      </c>
      <c r="AJ395" s="14" t="n">
        <v>1</v>
      </c>
      <c r="AK395" s="14" t="n">
        <v>7.473</v>
      </c>
      <c r="AL395" s="14" t="n">
        <v>3.555</v>
      </c>
      <c r="AM395" s="14" t="n">
        <v>0.315</v>
      </c>
      <c r="AN395" s="14" t="n">
        <v>8.904999999999999</v>
      </c>
      <c r="AO395" s="14" t="n">
        <v>0.17</v>
      </c>
      <c r="AP395" s="14" t="n">
        <v>1</v>
      </c>
      <c r="AQ395" s="14" t="n">
        <v>0.72</v>
      </c>
      <c r="AR395" s="14" t="n">
        <v>0.132</v>
      </c>
      <c r="AS395" s="14" t="n">
        <v>1.046</v>
      </c>
      <c r="AT395" s="14" t="n">
        <v>2.066</v>
      </c>
      <c r="AU395" s="14" t="n">
        <v>0.17</v>
      </c>
      <c r="AV395" s="14" t="n">
        <v>1</v>
      </c>
      <c r="AW395" s="14" t="n">
        <v>0.734</v>
      </c>
      <c r="AX395" s="14" t="n">
        <v>0.132</v>
      </c>
      <c r="AY395" s="14" t="n">
        <v>0.944</v>
      </c>
      <c r="AZ395" s="14" t="n">
        <v>1.963</v>
      </c>
      <c r="BA395" s="14" t="n">
        <v>0.17</v>
      </c>
      <c r="BB395" s="14" t="n">
        <v>1</v>
      </c>
      <c r="BC395" s="14" t="n">
        <v>0.51</v>
      </c>
      <c r="BD395" s="14" t="n">
        <v>0.132</v>
      </c>
      <c r="BE395" s="14" t="n">
        <v>0.281</v>
      </c>
      <c r="BF395" s="14" t="n">
        <v>0.926</v>
      </c>
      <c r="BG395" s="14" t="n">
        <v>0.17</v>
      </c>
      <c r="BH395" s="14" t="n">
        <v>1</v>
      </c>
      <c r="BI395" s="14" t="n">
        <v>0.652</v>
      </c>
      <c r="BJ395" s="14" t="n">
        <v>0.132</v>
      </c>
      <c r="BK395" s="14" t="n">
        <v>1.351</v>
      </c>
      <c r="BL395" s="14" t="n">
        <v>2.344</v>
      </c>
      <c r="BM395" s="14" t="n">
        <v>0.17</v>
      </c>
      <c r="BN395" s="14" t="n">
        <v>1</v>
      </c>
      <c r="BO395" s="14" t="n">
        <v>0</v>
      </c>
      <c r="BP395" s="14" t="n">
        <v>0.025</v>
      </c>
      <c r="BQ395" s="14" t="n">
        <v>0.093</v>
      </c>
      <c r="BR395" s="14" t="n">
        <v>0</v>
      </c>
      <c r="BS395" s="14" t="n">
        <v>1</v>
      </c>
      <c r="BT395" s="14" t="n">
        <v>0</v>
      </c>
      <c r="BU395" s="14" t="n">
        <v>0</v>
      </c>
      <c r="BV395" s="14" t="n">
        <v>0.174</v>
      </c>
      <c r="BW395" s="14" t="n">
        <v>0.17</v>
      </c>
      <c r="BX395" s="14" t="n">
        <v>0.833</v>
      </c>
      <c r="BY395" s="14" t="n">
        <v>13.646</v>
      </c>
      <c r="BZ395" s="14" t="n">
        <v>0</v>
      </c>
      <c r="CA395" s="14" t="n">
        <v>13.646</v>
      </c>
      <c r="CB395" s="14" t="n">
        <v>0</v>
      </c>
      <c r="CC395" s="14" t="n">
        <v>86.38500000000001</v>
      </c>
      <c r="CD395" s="14" t="n">
        <v>7.95</v>
      </c>
      <c r="CE395" s="14" t="n">
        <v>1.158</v>
      </c>
      <c r="CF395" s="14" t="n">
        <v>100.107</v>
      </c>
      <c r="CG395" s="14" t="n">
        <v>0.17</v>
      </c>
      <c r="CH395" s="14" t="n">
        <v>1</v>
      </c>
      <c r="CI395" s="14" t="n">
        <v>0</v>
      </c>
      <c r="CJ395" s="14" t="n">
        <v>0</v>
      </c>
      <c r="CK395" s="14" t="n">
        <v>0</v>
      </c>
      <c r="CL395" s="14" t="n">
        <v>0</v>
      </c>
      <c r="CM395" s="14" t="n">
        <v>0</v>
      </c>
      <c r="CN395" s="14" t="n">
        <v>0.212</v>
      </c>
      <c r="CO395" s="14" t="n">
        <v>0</v>
      </c>
      <c r="CP395" s="14" t="n">
        <v>0.08500000000000001</v>
      </c>
      <c r="CQ395" s="14" t="n">
        <v>1.387</v>
      </c>
      <c r="CR395" s="14" t="n">
        <v>1</v>
      </c>
      <c r="CS395" s="14" t="n">
        <v>2.179</v>
      </c>
      <c r="CT395" s="14" t="n">
        <v>4.251</v>
      </c>
      <c r="CU395" s="14" t="n">
        <v>7.598</v>
      </c>
    </row>
    <row r="396">
      <c r="A396" s="14" t="inlineStr">
        <is>
          <t>ITA2021</t>
        </is>
      </c>
      <c r="B396" s="14" t="inlineStr">
        <is>
          <t>ITA</t>
        </is>
      </c>
      <c r="C396" s="14" t="inlineStr">
        <is>
          <t>ITA</t>
        </is>
      </c>
      <c r="D396" s="14" t="inlineStr">
        <is>
          <t>Italy</t>
        </is>
      </c>
      <c r="E396" s="14" t="n">
        <v>2021</v>
      </c>
      <c r="F396" s="14" t="n">
        <v>0.22</v>
      </c>
      <c r="G396" s="14" t="n">
        <v>6.008</v>
      </c>
      <c r="H396" s="14" t="n">
        <v>1.143</v>
      </c>
      <c r="I396" s="14" t="n">
        <v>1.659</v>
      </c>
      <c r="J396" s="14" t="n">
        <v>7.668</v>
      </c>
      <c r="K396" s="14" t="n">
        <v>0</v>
      </c>
      <c r="L396" s="14" t="n">
        <v>1</v>
      </c>
      <c r="M396" s="14" t="n">
        <v>7.964</v>
      </c>
      <c r="N396" s="14" t="n">
        <v>3.43</v>
      </c>
      <c r="O396" s="14" t="n">
        <v>1.702</v>
      </c>
      <c r="P396" s="14" t="n">
        <v>9.666</v>
      </c>
      <c r="Q396" s="14" t="n">
        <v>0</v>
      </c>
      <c r="R396" s="14" t="n">
        <v>1</v>
      </c>
      <c r="S396" s="14" t="n">
        <v>11.725</v>
      </c>
      <c r="T396" s="14" t="n">
        <v>6.86</v>
      </c>
      <c r="U396" s="14" t="n">
        <v>0</v>
      </c>
      <c r="V396" s="14" t="n">
        <v>14.305</v>
      </c>
      <c r="W396" s="14" t="n">
        <v>0.22</v>
      </c>
      <c r="X396" s="14" t="n">
        <v>1</v>
      </c>
      <c r="Y396" s="14" t="n">
        <v>20.005</v>
      </c>
      <c r="Z396" s="14" t="n">
        <v>2.21</v>
      </c>
      <c r="AA396" s="14" t="n">
        <v>-8.103</v>
      </c>
      <c r="AB396" s="14" t="n">
        <v>11.901</v>
      </c>
      <c r="AC396" s="14" t="n">
        <v>0</v>
      </c>
      <c r="AD396" s="14" t="n">
        <v>1</v>
      </c>
      <c r="AE396" s="14" t="n">
        <v>19.961</v>
      </c>
      <c r="AF396" s="14" t="n">
        <v>3.928</v>
      </c>
      <c r="AG396" s="14" t="n">
        <v>-8.06</v>
      </c>
      <c r="AH396" s="14" t="n">
        <v>11.901</v>
      </c>
      <c r="AI396" s="14" t="n">
        <v>0</v>
      </c>
      <c r="AJ396" s="14" t="n">
        <v>1</v>
      </c>
      <c r="AK396" s="14" t="n">
        <v>28.296</v>
      </c>
      <c r="AL396" s="14" t="n">
        <v>13.888</v>
      </c>
      <c r="AM396" s="14" t="n">
        <v>-5.3</v>
      </c>
      <c r="AN396" s="14" t="n">
        <v>28.055</v>
      </c>
      <c r="AO396" s="14" t="n">
        <v>0.22</v>
      </c>
      <c r="AP396" s="14" t="n">
        <v>1</v>
      </c>
      <c r="AQ396" s="14" t="n">
        <v>0.619</v>
      </c>
      <c r="AR396" s="14" t="n">
        <v>0.114</v>
      </c>
      <c r="AS396" s="14" t="n">
        <v>0.956</v>
      </c>
      <c r="AT396" s="14" t="n">
        <v>1.922</v>
      </c>
      <c r="AU396" s="14" t="n">
        <v>0.22</v>
      </c>
      <c r="AV396" s="14" t="n">
        <v>1</v>
      </c>
      <c r="AW396" s="14" t="n">
        <v>0.599</v>
      </c>
      <c r="AX396" s="14" t="n">
        <v>0.114</v>
      </c>
      <c r="AY396" s="14" t="n">
        <v>0.841</v>
      </c>
      <c r="AZ396" s="14" t="n">
        <v>1.758</v>
      </c>
      <c r="BA396" s="14" t="n">
        <v>0.22</v>
      </c>
      <c r="BB396" s="14" t="n">
        <v>1</v>
      </c>
      <c r="BC396" s="14" t="n">
        <v>0.439</v>
      </c>
      <c r="BD396" s="14" t="n">
        <v>0.114</v>
      </c>
      <c r="BE396" s="14" t="n">
        <v>0.244</v>
      </c>
      <c r="BF396" s="14" t="n">
        <v>0.833</v>
      </c>
      <c r="BG396" s="14" t="n">
        <v>0.22</v>
      </c>
      <c r="BH396" s="14" t="n">
        <v>1</v>
      </c>
      <c r="BI396" s="14" t="n">
        <v>0.505</v>
      </c>
      <c r="BJ396" s="14" t="n">
        <v>0.114</v>
      </c>
      <c r="BK396" s="14" t="n">
        <v>0.744</v>
      </c>
      <c r="BL396" s="14" t="n">
        <v>1.523</v>
      </c>
      <c r="BM396" s="14" t="n">
        <v>0.22</v>
      </c>
      <c r="BN396" s="14" t="n">
        <v>1</v>
      </c>
      <c r="BO396" s="14" t="n">
        <v>0</v>
      </c>
      <c r="BP396" s="14" t="n">
        <v>0.024</v>
      </c>
      <c r="BQ396" s="14" t="n">
        <v>0.15</v>
      </c>
      <c r="BR396" s="14" t="n">
        <v>0</v>
      </c>
      <c r="BS396" s="14" t="n">
        <v>1</v>
      </c>
      <c r="BT396" s="14" t="n">
        <v>0</v>
      </c>
      <c r="BU396" s="14" t="n">
        <v>0.06</v>
      </c>
      <c r="BV396" s="14" t="n">
        <v>0.273</v>
      </c>
      <c r="BW396" s="14" t="n">
        <v>0.22</v>
      </c>
      <c r="BX396" s="14" t="n">
        <v>1</v>
      </c>
      <c r="BY396" s="14" t="n">
        <v>11.787</v>
      </c>
      <c r="BZ396" s="14" t="n">
        <v>0</v>
      </c>
      <c r="CA396" s="14" t="n">
        <v>11.787</v>
      </c>
      <c r="CB396" s="14" t="n">
        <v>0</v>
      </c>
      <c r="CC396" s="14" t="n">
        <v>78.125</v>
      </c>
      <c r="CD396" s="14" t="n">
        <v>7.95</v>
      </c>
      <c r="CE396" s="14" t="n">
        <v>125.913</v>
      </c>
      <c r="CF396" s="14" t="n">
        <v>248.926</v>
      </c>
      <c r="CG396" s="14" t="n">
        <v>0.22</v>
      </c>
      <c r="CH396" s="14" t="n">
        <v>1</v>
      </c>
      <c r="CI396" s="14" t="n">
        <v>0</v>
      </c>
      <c r="CJ396" s="14" t="n">
        <v>0</v>
      </c>
      <c r="CK396" s="14" t="n">
        <v>0</v>
      </c>
      <c r="CL396" s="14" t="n">
        <v>0</v>
      </c>
      <c r="CM396" s="14" t="n">
        <v>0</v>
      </c>
      <c r="CN396" s="14" t="n">
        <v>0.012</v>
      </c>
      <c r="CO396" s="14" t="n">
        <v>0</v>
      </c>
      <c r="CP396" s="14" t="n">
        <v>0</v>
      </c>
      <c r="CQ396" s="14" t="n">
        <v>1.198</v>
      </c>
      <c r="CR396" s="14" t="n">
        <v>0</v>
      </c>
      <c r="CS396" s="14" t="n">
        <v>8.928000000000001</v>
      </c>
      <c r="CT396" s="14" t="n">
        <v>4.865</v>
      </c>
      <c r="CU396" s="14" t="n">
        <v>15.302</v>
      </c>
    </row>
    <row r="397">
      <c r="A397" s="14" t="inlineStr">
        <is>
          <t>ITA2022</t>
        </is>
      </c>
      <c r="B397" s="14" t="inlineStr">
        <is>
          <t>ITA</t>
        </is>
      </c>
      <c r="C397" s="14" t="inlineStr">
        <is>
          <t>ITA</t>
        </is>
      </c>
      <c r="D397" s="14" t="inlineStr">
        <is>
          <t>Italy</t>
        </is>
      </c>
      <c r="E397" s="14" t="n">
        <v>2022</v>
      </c>
      <c r="F397" s="14" t="n">
        <v>0.22</v>
      </c>
      <c r="G397" s="14" t="n">
        <v>12.793</v>
      </c>
      <c r="H397" s="14" t="n">
        <v>1.235</v>
      </c>
      <c r="I397" s="14" t="n">
        <v>8.537000000000001</v>
      </c>
      <c r="J397" s="14" t="n">
        <v>21.331</v>
      </c>
      <c r="K397" s="14" t="n">
        <v>0</v>
      </c>
      <c r="L397" s="14" t="n">
        <v>1</v>
      </c>
      <c r="M397" s="14" t="n">
        <v>9.782999999999999</v>
      </c>
      <c r="N397" s="14" t="n">
        <v>3.704</v>
      </c>
      <c r="O397" s="14" t="n">
        <v>8.579000000000001</v>
      </c>
      <c r="P397" s="14" t="n">
        <v>18.361</v>
      </c>
      <c r="Q397" s="14" t="n">
        <v>0</v>
      </c>
      <c r="R397" s="14" t="n">
        <v>1</v>
      </c>
      <c r="S397" s="14" t="n">
        <v>18.967</v>
      </c>
      <c r="T397" s="14" t="n">
        <v>7.408</v>
      </c>
      <c r="U397" s="14" t="n">
        <v>0.309</v>
      </c>
      <c r="V397" s="14" t="n">
        <v>23.14</v>
      </c>
      <c r="W397" s="14" t="n">
        <v>0.22</v>
      </c>
      <c r="X397" s="14" t="n">
        <v>1</v>
      </c>
      <c r="Y397" s="14" t="n">
        <v>41.268</v>
      </c>
      <c r="Z397" s="14" t="n">
        <v>4.329</v>
      </c>
      <c r="AA397" s="14" t="n">
        <v>-9.202</v>
      </c>
      <c r="AB397" s="14" t="n">
        <v>32.066</v>
      </c>
      <c r="AC397" s="14" t="n">
        <v>0</v>
      </c>
      <c r="AD397" s="14" t="n">
        <v>1</v>
      </c>
      <c r="AE397" s="14" t="n">
        <v>41.316</v>
      </c>
      <c r="AF397" s="14" t="n">
        <v>7.659</v>
      </c>
      <c r="AG397" s="14" t="n">
        <v>-9.249000000000001</v>
      </c>
      <c r="AH397" s="14" t="n">
        <v>32.066</v>
      </c>
      <c r="AI397" s="14" t="n">
        <v>0</v>
      </c>
      <c r="AJ397" s="14" t="n">
        <v>1</v>
      </c>
      <c r="AK397" s="14" t="n">
        <v>50.199</v>
      </c>
      <c r="AL397" s="14" t="n">
        <v>23.972</v>
      </c>
      <c r="AM397" s="14" t="n">
        <v>-22.673</v>
      </c>
      <c r="AN397" s="14" t="n">
        <v>33.581</v>
      </c>
      <c r="AO397" s="14" t="n">
        <v>0.22</v>
      </c>
      <c r="AP397" s="14" t="n">
        <v>1</v>
      </c>
      <c r="AQ397" s="14" t="n">
        <v>0.861</v>
      </c>
      <c r="AR397" s="14" t="n">
        <v>0.123</v>
      </c>
      <c r="AS397" s="14" t="n">
        <v>0.705</v>
      </c>
      <c r="AT397" s="14" t="n">
        <v>1.91</v>
      </c>
      <c r="AU397" s="14" t="n">
        <v>0.22</v>
      </c>
      <c r="AV397" s="14" t="n">
        <v>1</v>
      </c>
      <c r="AW397" s="14" t="n">
        <v>0.986</v>
      </c>
      <c r="AX397" s="14" t="n">
        <v>0.123</v>
      </c>
      <c r="AY397" s="14" t="n">
        <v>0.581</v>
      </c>
      <c r="AZ397" s="14" t="n">
        <v>1.912</v>
      </c>
      <c r="BA397" s="14" t="n">
        <v>0.22</v>
      </c>
      <c r="BB397" s="14" t="n">
        <v>1</v>
      </c>
      <c r="BC397" s="14" t="n">
        <v>0.598</v>
      </c>
      <c r="BD397" s="14" t="n">
        <v>0.123</v>
      </c>
      <c r="BE397" s="14" t="n">
        <v>0.105</v>
      </c>
      <c r="BF397" s="14" t="n">
        <v>0.857</v>
      </c>
      <c r="BG397" s="14" t="n">
        <v>0.22</v>
      </c>
      <c r="BH397" s="14" t="n">
        <v>1</v>
      </c>
      <c r="BI397" s="14" t="n">
        <v>0.612</v>
      </c>
      <c r="BJ397" s="14" t="n">
        <v>0.123</v>
      </c>
      <c r="BK397" s="14" t="n">
        <v>0.91</v>
      </c>
      <c r="BL397" s="14" t="n">
        <v>1.858</v>
      </c>
      <c r="BM397" s="14" t="n">
        <v>0.22</v>
      </c>
      <c r="BN397" s="14" t="n">
        <v>1</v>
      </c>
      <c r="BO397" s="14" t="n">
        <v>0</v>
      </c>
      <c r="BP397" s="14" t="n">
        <v>0.003</v>
      </c>
      <c r="BQ397" s="14" t="n">
        <v>0.275</v>
      </c>
      <c r="BR397" s="14" t="n">
        <v>0</v>
      </c>
      <c r="BS397" s="14" t="n">
        <v>1</v>
      </c>
      <c r="BT397" s="14" t="n">
        <v>0</v>
      </c>
      <c r="BU397" s="14" t="n">
        <v>0.016</v>
      </c>
      <c r="BV397" s="14" t="n">
        <v>0.356</v>
      </c>
      <c r="BW397" s="14" t="n">
        <v>0.22</v>
      </c>
      <c r="BX397" s="14" t="n">
        <v>1</v>
      </c>
      <c r="BY397" s="14" t="n">
        <v>12.729</v>
      </c>
      <c r="BZ397" s="14" t="n">
        <v>0</v>
      </c>
      <c r="CA397" s="14" t="n">
        <v>12.729</v>
      </c>
      <c r="CB397" s="14" t="n">
        <v>0</v>
      </c>
      <c r="CC397" s="14" t="n">
        <v>97.90000000000001</v>
      </c>
      <c r="CD397" s="14" t="n">
        <v>7.95</v>
      </c>
      <c r="CE397" s="14" t="n">
        <v>177.071</v>
      </c>
      <c r="CF397" s="14" t="n">
        <v>335.464</v>
      </c>
      <c r="CG397" s="14" t="n">
        <v>0.22</v>
      </c>
      <c r="CH397" s="14" t="n">
        <v>1</v>
      </c>
      <c r="CI397" s="14" t="n">
        <v>0</v>
      </c>
      <c r="CJ397" s="14" t="n">
        <v>0</v>
      </c>
      <c r="CK397" s="14" t="n">
        <v>0</v>
      </c>
      <c r="CL397" s="14" t="n">
        <v>0</v>
      </c>
      <c r="CM397" s="14" t="n">
        <v>0</v>
      </c>
      <c r="CN397" s="14" t="n">
        <v>0.013</v>
      </c>
      <c r="CO397" s="14" t="n">
        <v>0</v>
      </c>
      <c r="CP397" s="14" t="n">
        <v>0</v>
      </c>
      <c r="CQ397" s="14" t="n">
        <v>1.294</v>
      </c>
      <c r="CR397" s="14" t="n">
        <v>0</v>
      </c>
      <c r="CS397" s="14" t="n">
        <v>9.641999999999999</v>
      </c>
      <c r="CT397" s="14" t="n">
        <v>11.559</v>
      </c>
      <c r="CU397" s="14" t="n">
        <v>36.473</v>
      </c>
    </row>
    <row r="398">
      <c r="A398" s="14" t="inlineStr">
        <is>
          <t>ITA2023</t>
        </is>
      </c>
      <c r="B398" s="14" t="inlineStr">
        <is>
          <t>ITA</t>
        </is>
      </c>
      <c r="C398" s="14" t="inlineStr">
        <is>
          <t>ITA</t>
        </is>
      </c>
      <c r="D398" s="14" t="inlineStr">
        <is>
          <t>Italy</t>
        </is>
      </c>
      <c r="E398" s="14" t="n">
        <v>2023</v>
      </c>
      <c r="F398" s="14" t="n">
        <v>0.22</v>
      </c>
      <c r="G398" s="14" t="n">
        <v>6.42</v>
      </c>
      <c r="H398" s="14" t="n">
        <v>1.285</v>
      </c>
      <c r="I398" s="14" t="n">
        <v>9.959</v>
      </c>
      <c r="J398" s="14" t="n">
        <v>16.379</v>
      </c>
      <c r="K398" s="14" t="n">
        <v>0</v>
      </c>
      <c r="L398" s="14" t="n">
        <v>1</v>
      </c>
      <c r="M398" s="14" t="n">
        <v>7.88</v>
      </c>
      <c r="N398" s="14" t="n">
        <v>3.854</v>
      </c>
      <c r="O398" s="14" t="n">
        <v>9.890000000000001</v>
      </c>
      <c r="P398" s="14" t="n">
        <v>17.77</v>
      </c>
      <c r="Q398" s="14" t="n">
        <v>0</v>
      </c>
      <c r="R398" s="14" t="n">
        <v>1</v>
      </c>
      <c r="S398" s="14" t="n">
        <v>12.844</v>
      </c>
      <c r="T398" s="14" t="n">
        <v>7.709</v>
      </c>
      <c r="U398" s="14" t="n">
        <v>0.313</v>
      </c>
      <c r="V398" s="14" t="n">
        <v>15.67</v>
      </c>
      <c r="W398" s="14" t="n">
        <v>0.22</v>
      </c>
      <c r="X398" s="14" t="n">
        <v>1</v>
      </c>
      <c r="Y398" s="14" t="n">
        <v>17.593</v>
      </c>
      <c r="Z398" s="14" t="n">
        <v>1.971</v>
      </c>
      <c r="AA398" s="14" t="n">
        <v>11.014</v>
      </c>
      <c r="AB398" s="14" t="n">
        <v>28.607</v>
      </c>
      <c r="AC398" s="14" t="n">
        <v>0</v>
      </c>
      <c r="AD398" s="14" t="n">
        <v>1</v>
      </c>
      <c r="AE398" s="14" t="n">
        <v>17.692</v>
      </c>
      <c r="AF398" s="14" t="n">
        <v>3.524</v>
      </c>
      <c r="AG398" s="14" t="n">
        <v>10.915</v>
      </c>
      <c r="AH398" s="14" t="n">
        <v>28.607</v>
      </c>
      <c r="AI398" s="14" t="n">
        <v>0</v>
      </c>
      <c r="AJ398" s="14" t="n">
        <v>1</v>
      </c>
      <c r="AK398" s="14" t="n">
        <v>26.881</v>
      </c>
      <c r="AL398" s="14" t="n">
        <v>13.316</v>
      </c>
      <c r="AM398" s="14" t="n">
        <v>1.772</v>
      </c>
      <c r="AN398" s="14" t="n">
        <v>34.957</v>
      </c>
      <c r="AO398" s="14" t="n">
        <v>0.22</v>
      </c>
      <c r="AP398" s="14" t="n">
        <v>1</v>
      </c>
      <c r="AQ398" s="14" t="n">
        <v>0.76</v>
      </c>
      <c r="AR398" s="14" t="n">
        <v>0.129</v>
      </c>
      <c r="AS398" s="14" t="n">
        <v>0.894</v>
      </c>
      <c r="AT398" s="14" t="n">
        <v>2.018</v>
      </c>
      <c r="AU398" s="14" t="n">
        <v>0.22</v>
      </c>
      <c r="AV398" s="14" t="n">
        <v>1</v>
      </c>
      <c r="AW398" s="14" t="n">
        <v>0.8110000000000001</v>
      </c>
      <c r="AX398" s="14" t="n">
        <v>0.129</v>
      </c>
      <c r="AY398" s="14" t="n">
        <v>0.779</v>
      </c>
      <c r="AZ398" s="14" t="n">
        <v>1.941</v>
      </c>
      <c r="BA398" s="14" t="n">
        <v>0.22</v>
      </c>
      <c r="BB398" s="14" t="n">
        <v>1</v>
      </c>
      <c r="BC398" s="14" t="n">
        <v>0.535</v>
      </c>
      <c r="BD398" s="14" t="n">
        <v>0.129</v>
      </c>
      <c r="BE398" s="14" t="n">
        <v>0.13</v>
      </c>
      <c r="BF398" s="14" t="n">
        <v>0.8110000000000001</v>
      </c>
      <c r="BG398" s="14" t="n">
        <v>0.22</v>
      </c>
      <c r="BH398" s="14" t="n">
        <v>1</v>
      </c>
      <c r="BI398" s="14" t="n">
        <v>0.579</v>
      </c>
      <c r="BJ398" s="14" t="n">
        <v>0.129</v>
      </c>
      <c r="BK398" s="14" t="n">
        <v>0.799</v>
      </c>
      <c r="BL398" s="14" t="n">
        <v>1.682</v>
      </c>
      <c r="BM398" s="14" t="n">
        <v>0.22</v>
      </c>
      <c r="BN398" s="14" t="n">
        <v>1</v>
      </c>
      <c r="BO398" s="14" t="n">
        <v>0</v>
      </c>
      <c r="BP398" s="14" t="n">
        <v>0.018</v>
      </c>
      <c r="BQ398" s="14" t="n">
        <v>0.211</v>
      </c>
      <c r="BR398" s="14" t="n">
        <v>0</v>
      </c>
      <c r="BS398" s="14" t="n">
        <v>1</v>
      </c>
      <c r="BT398" s="14" t="n">
        <v>0</v>
      </c>
      <c r="BU398" s="14" t="n">
        <v>0.039</v>
      </c>
      <c r="BV398" s="14" t="n">
        <v>0.385</v>
      </c>
      <c r="BW398" s="14" t="n">
        <v>0.22</v>
      </c>
      <c r="BX398" s="14" t="n">
        <v>1</v>
      </c>
      <c r="BY398" s="14" t="n">
        <v>13.254</v>
      </c>
      <c r="BZ398" s="14" t="n">
        <v>0</v>
      </c>
      <c r="CA398" s="14" t="n">
        <v>13.254</v>
      </c>
      <c r="CB398" s="14" t="n">
        <v>0</v>
      </c>
      <c r="CC398" s="14" t="n">
        <v>83.248</v>
      </c>
      <c r="CD398" s="14" t="n">
        <v>7.95</v>
      </c>
      <c r="CE398" s="14" t="n">
        <v>174.803</v>
      </c>
      <c r="CF398" s="14" t="n">
        <v>314.822</v>
      </c>
      <c r="CG398" s="14" t="n">
        <v>0.22</v>
      </c>
      <c r="CH398" s="14" t="n">
        <v>1</v>
      </c>
      <c r="CI398" s="14" t="n">
        <v>0</v>
      </c>
      <c r="CJ398" s="14" t="n">
        <v>0</v>
      </c>
      <c r="CK398" s="14" t="n">
        <v>0</v>
      </c>
      <c r="CL398" s="14" t="n">
        <v>0</v>
      </c>
      <c r="CM398" s="14" t="n">
        <v>0</v>
      </c>
      <c r="CN398" s="14" t="n">
        <v>0.012</v>
      </c>
      <c r="CO398" s="14" t="n">
        <v>0</v>
      </c>
      <c r="CP398" s="14" t="n">
        <v>0.001</v>
      </c>
      <c r="CQ398" s="14" t="n">
        <v>1.348</v>
      </c>
      <c r="CR398" s="14" t="n">
        <v>0</v>
      </c>
      <c r="CS398" s="14" t="n">
        <v>10.04</v>
      </c>
      <c r="CT398" s="14" t="n">
        <v>5.14</v>
      </c>
      <c r="CU398" s="14" t="n">
        <v>12.748</v>
      </c>
    </row>
    <row r="399">
      <c r="A399" s="14" t="inlineStr">
        <is>
          <t>ITA2024</t>
        </is>
      </c>
      <c r="B399" s="14" t="inlineStr">
        <is>
          <t>ITA</t>
        </is>
      </c>
      <c r="C399" s="14" t="inlineStr">
        <is>
          <t>ITA</t>
        </is>
      </c>
      <c r="D399" s="14" t="inlineStr">
        <is>
          <t>Italy</t>
        </is>
      </c>
      <c r="E399" s="14" t="n">
        <v>2024</v>
      </c>
      <c r="F399" s="14" t="n">
        <v>0.22</v>
      </c>
      <c r="G399" s="14" t="n">
        <v>5.342</v>
      </c>
      <c r="H399" s="14" t="n">
        <v>1.323</v>
      </c>
      <c r="I399" s="14" t="n">
        <v>6.7</v>
      </c>
      <c r="J399" s="14" t="n">
        <v>12.042</v>
      </c>
      <c r="K399" s="14" t="n">
        <v>0</v>
      </c>
      <c r="L399" s="14" t="n">
        <v>1</v>
      </c>
      <c r="M399" s="14" t="n">
        <v>7.119</v>
      </c>
      <c r="N399" s="14" t="n">
        <v>3.968</v>
      </c>
      <c r="O399" s="14" t="n">
        <v>6.566</v>
      </c>
      <c r="P399" s="14" t="n">
        <v>13.685</v>
      </c>
      <c r="Q399" s="14" t="n">
        <v>0</v>
      </c>
      <c r="R399" s="14" t="n">
        <v>1</v>
      </c>
      <c r="S399" s="14" t="n">
        <v>11.955</v>
      </c>
      <c r="T399" s="14" t="n">
        <v>7.936</v>
      </c>
      <c r="U399" s="14" t="n">
        <v>0.358</v>
      </c>
      <c r="V399" s="14" t="n">
        <v>14.585</v>
      </c>
      <c r="W399" s="14" t="n">
        <v>0.22</v>
      </c>
      <c r="X399" s="14" t="n">
        <v>1</v>
      </c>
      <c r="Y399" s="14" t="n">
        <v>15.923</v>
      </c>
      <c r="Z399" s="14" t="n">
        <v>2.011</v>
      </c>
      <c r="AA399" s="14" t="n">
        <v>4.577</v>
      </c>
      <c r="AB399" s="14" t="n">
        <v>20.5</v>
      </c>
      <c r="AC399" s="14" t="n">
        <v>0</v>
      </c>
      <c r="AD399" s="14" t="n">
        <v>1</v>
      </c>
      <c r="AE399" s="14" t="n">
        <v>15.923</v>
      </c>
      <c r="AF399" s="14" t="n">
        <v>3.488</v>
      </c>
      <c r="AG399" s="14" t="n">
        <v>4.577</v>
      </c>
      <c r="AH399" s="14" t="n">
        <v>20.5</v>
      </c>
      <c r="AI399" s="14" t="n">
        <v>0</v>
      </c>
      <c r="AJ399" s="14" t="n">
        <v>1</v>
      </c>
      <c r="AK399" s="14" t="n">
        <v>28.511</v>
      </c>
      <c r="AL399" s="14" t="n">
        <v>14.501</v>
      </c>
      <c r="AM399" s="14" t="n">
        <v>5.087</v>
      </c>
      <c r="AN399" s="14" t="n">
        <v>40.99</v>
      </c>
      <c r="AO399" s="14" t="n">
        <v>0.22</v>
      </c>
      <c r="AP399" s="14" t="n">
        <v>1</v>
      </c>
      <c r="AQ399" s="14" t="n">
        <v>0.724</v>
      </c>
      <c r="AR399" s="14" t="n">
        <v>0.132</v>
      </c>
      <c r="AS399" s="14" t="n">
        <v>0.891</v>
      </c>
      <c r="AT399" s="14" t="n">
        <v>1.971</v>
      </c>
      <c r="AU399" s="14" t="n">
        <v>0.22</v>
      </c>
      <c r="AV399" s="14" t="n">
        <v>1</v>
      </c>
      <c r="AW399" s="14" t="n">
        <v>0.75</v>
      </c>
      <c r="AX399" s="14" t="n">
        <v>0.132</v>
      </c>
      <c r="AY399" s="14" t="n">
        <v>0.773</v>
      </c>
      <c r="AZ399" s="14" t="n">
        <v>1.858</v>
      </c>
      <c r="BA399" s="14" t="n">
        <v>0.22</v>
      </c>
      <c r="BB399" s="14" t="n">
        <v>1</v>
      </c>
      <c r="BC399" s="14" t="n">
        <v>0.513</v>
      </c>
      <c r="BD399" s="14" t="n">
        <v>0.132</v>
      </c>
      <c r="BE399" s="14" t="n">
        <v>0.129</v>
      </c>
      <c r="BF399" s="14" t="n">
        <v>0.784</v>
      </c>
      <c r="BG399" s="14" t="n">
        <v>0.22</v>
      </c>
      <c r="BH399" s="14" t="n">
        <v>1</v>
      </c>
      <c r="BI399" s="14" t="n">
        <v>0.591</v>
      </c>
      <c r="BJ399" s="14" t="n">
        <v>0.132</v>
      </c>
      <c r="BK399" s="14" t="n">
        <v>0.711</v>
      </c>
      <c r="BL399" s="14" t="n">
        <v>1.589</v>
      </c>
      <c r="BM399" s="14" t="n">
        <v>0.22</v>
      </c>
      <c r="BN399" s="14" t="n">
        <v>1</v>
      </c>
      <c r="BO399" s="14" t="n">
        <v>0</v>
      </c>
      <c r="BP399" s="14" t="n">
        <v>0.022</v>
      </c>
      <c r="BQ399" s="14" t="n">
        <v>0.176</v>
      </c>
      <c r="BR399" s="14" t="n">
        <v>0</v>
      </c>
      <c r="BS399" s="14" t="n">
        <v>1</v>
      </c>
      <c r="BT399" s="14" t="n">
        <v>0</v>
      </c>
      <c r="BU399" s="14" t="n">
        <v>0.06</v>
      </c>
      <c r="BV399" s="14" t="n">
        <v>0.346</v>
      </c>
      <c r="BW399" s="14" t="n">
        <v>0.22</v>
      </c>
      <c r="BX399" s="14" t="n">
        <v>1</v>
      </c>
      <c r="BY399" s="14" t="n">
        <v>13.646</v>
      </c>
      <c r="BZ399" s="14" t="n">
        <v>0</v>
      </c>
      <c r="CA399" s="14" t="n">
        <v>13.646</v>
      </c>
      <c r="CB399" s="14" t="n">
        <v>0</v>
      </c>
      <c r="CC399" s="14" t="n">
        <v>82.58799999999999</v>
      </c>
      <c r="CD399" s="14" t="n">
        <v>7.95</v>
      </c>
      <c r="CE399" s="14" t="n">
        <v>151.239</v>
      </c>
      <c r="CF399" s="14" t="n">
        <v>285.269</v>
      </c>
      <c r="CG399" s="14" t="n">
        <v>0.22</v>
      </c>
      <c r="CH399" s="14" t="n">
        <v>1</v>
      </c>
      <c r="CI399" s="14" t="n">
        <v>0</v>
      </c>
      <c r="CJ399" s="14" t="n">
        <v>0</v>
      </c>
      <c r="CK399" s="14" t="n">
        <v>0</v>
      </c>
      <c r="CL399" s="14" t="n">
        <v>0</v>
      </c>
      <c r="CM399" s="14" t="n">
        <v>0</v>
      </c>
      <c r="CN399" s="14" t="n">
        <v>0.012</v>
      </c>
      <c r="CO399" s="14" t="n">
        <v>0</v>
      </c>
      <c r="CP399" s="14" t="n">
        <v>0.001</v>
      </c>
      <c r="CQ399" s="14" t="n">
        <v>1.387</v>
      </c>
      <c r="CR399" s="14" t="n">
        <v>0</v>
      </c>
      <c r="CS399" s="14" t="n">
        <v>10.336</v>
      </c>
      <c r="CT399" s="14" t="n">
        <v>4.022</v>
      </c>
      <c r="CU399" s="14" t="n">
        <v>10.977</v>
      </c>
    </row>
    <row r="400">
      <c r="A400" s="14" t="inlineStr">
        <is>
          <t>JAM2021</t>
        </is>
      </c>
      <c r="B400" s="14" t="inlineStr">
        <is>
          <t>JAM</t>
        </is>
      </c>
      <c r="C400" s="14" t="inlineStr">
        <is>
          <t>JAM</t>
        </is>
      </c>
      <c r="D400" s="14" t="inlineStr">
        <is>
          <t>Jamaica</t>
        </is>
      </c>
      <c r="E400" s="14" t="n">
        <v>2021</v>
      </c>
      <c r="F400" s="14" t="n">
        <v>0.15</v>
      </c>
      <c r="G400" s="14" t="n">
        <v>5.316</v>
      </c>
      <c r="H400" s="14" t="n">
        <v>1.063</v>
      </c>
      <c r="I400" s="14" t="n">
        <v>0</v>
      </c>
      <c r="J400" s="14" t="n">
        <v>5.316</v>
      </c>
      <c r="K400" s="14" t="n">
        <v>0</v>
      </c>
      <c r="L400" s="14" t="n">
        <v>1</v>
      </c>
      <c r="M400" s="14" t="n">
        <v>7.253</v>
      </c>
      <c r="N400" s="14" t="n">
        <v>3.188</v>
      </c>
      <c r="O400" s="14" t="n">
        <v>0.195</v>
      </c>
      <c r="P400" s="14" t="n">
        <v>7.448</v>
      </c>
      <c r="Q400" s="14" t="n">
        <v>0</v>
      </c>
      <c r="R400" s="14" t="n">
        <v>1</v>
      </c>
      <c r="S400" s="14" t="n">
        <v>10.63</v>
      </c>
      <c r="T400" s="14" t="n">
        <v>6.377</v>
      </c>
      <c r="U400" s="14" t="n">
        <v>0</v>
      </c>
      <c r="V400" s="14" t="n">
        <v>12.224</v>
      </c>
      <c r="W400" s="14" t="n">
        <v>0.15</v>
      </c>
      <c r="X400" s="14" t="n">
        <v>1</v>
      </c>
      <c r="Y400" s="14" t="n">
        <v>17.125</v>
      </c>
      <c r="Z400" s="14" t="n">
        <v>2.298</v>
      </c>
      <c r="AA400" s="14" t="n">
        <v>0.031</v>
      </c>
      <c r="AB400" s="14" t="n">
        <v>17.156</v>
      </c>
      <c r="AC400" s="14" t="n">
        <v>0</v>
      </c>
      <c r="AD400" s="14" t="n">
        <v>1</v>
      </c>
      <c r="AE400" s="14" t="n">
        <v>18.268</v>
      </c>
      <c r="AF400" s="14" t="n">
        <v>4.27</v>
      </c>
      <c r="AG400" s="14" t="n">
        <v>0</v>
      </c>
      <c r="AH400" s="14" t="n">
        <v>18.268</v>
      </c>
      <c r="AI400" s="14" t="n">
        <v>0</v>
      </c>
      <c r="AJ400" s="14" t="n">
        <v>1</v>
      </c>
      <c r="AK400" s="14" t="n">
        <v>25.128</v>
      </c>
      <c r="AL400" s="14" t="n">
        <v>13.489</v>
      </c>
      <c r="AM400" s="14" t="n">
        <v>0</v>
      </c>
      <c r="AN400" s="14" t="n">
        <v>28.897</v>
      </c>
      <c r="AO400" s="14" t="n">
        <v>0.15</v>
      </c>
      <c r="AP400" s="14" t="n">
        <v>1</v>
      </c>
      <c r="AQ400" s="14" t="n">
        <v>0.649</v>
      </c>
      <c r="AR400" s="14" t="n">
        <v>0.114</v>
      </c>
      <c r="AS400" s="14" t="n">
        <v>0.379</v>
      </c>
      <c r="AT400" s="14" t="n">
        <v>1.182</v>
      </c>
      <c r="AU400" s="14" t="n">
        <v>0.15</v>
      </c>
      <c r="AV400" s="14" t="n">
        <v>1</v>
      </c>
      <c r="AW400" s="14" t="n">
        <v>0.577</v>
      </c>
      <c r="AX400" s="14" t="n">
        <v>0.114</v>
      </c>
      <c r="AY400" s="14" t="n">
        <v>0.38</v>
      </c>
      <c r="AZ400" s="14" t="n">
        <v>1.1</v>
      </c>
      <c r="BA400" s="14" t="n">
        <v>0.15</v>
      </c>
      <c r="BB400" s="14" t="n">
        <v>1</v>
      </c>
      <c r="BC400" s="14" t="n">
        <v>0.458</v>
      </c>
      <c r="BD400" s="14" t="n">
        <v>0.114</v>
      </c>
      <c r="BE400" s="14" t="n">
        <v>-0.123</v>
      </c>
      <c r="BF400" s="14" t="n">
        <v>0.386</v>
      </c>
      <c r="BG400" s="14" t="n">
        <v>0</v>
      </c>
      <c r="BH400" s="14" t="n">
        <v>0</v>
      </c>
      <c r="BI400" s="14" t="n">
        <v>0.491</v>
      </c>
      <c r="BJ400" s="14" t="n">
        <v>0.114</v>
      </c>
      <c r="BK400" s="14" t="n">
        <v>0.308</v>
      </c>
      <c r="BL400" s="14" t="n">
        <v>0.919</v>
      </c>
      <c r="BM400" s="14" t="n">
        <v>0.15</v>
      </c>
      <c r="BN400" s="14" t="n">
        <v>1</v>
      </c>
      <c r="BO400" s="14" t="n">
        <v>0</v>
      </c>
      <c r="BP400" s="14" t="n">
        <v>0</v>
      </c>
      <c r="BQ400" s="14" t="n">
        <v>0.187</v>
      </c>
      <c r="BR400" s="14" t="n">
        <v>0</v>
      </c>
      <c r="BS400" s="14" t="n">
        <v>0.667</v>
      </c>
      <c r="BT400" s="14" t="n">
        <v>0</v>
      </c>
      <c r="BU400" s="14" t="n">
        <v>0</v>
      </c>
      <c r="BV400" s="14" t="n">
        <v>0.746</v>
      </c>
      <c r="BW400" s="14" t="n">
        <v>0.15</v>
      </c>
      <c r="BX400" s="14" t="n">
        <v>0.667</v>
      </c>
      <c r="BY400" s="14" t="n">
        <v>11.787</v>
      </c>
      <c r="BZ400" s="14" t="n">
        <v>0</v>
      </c>
      <c r="CA400" s="14" t="n">
        <v>11.787</v>
      </c>
      <c r="CB400" s="14" t="n">
        <v>0</v>
      </c>
      <c r="CC400" s="14" t="n">
        <v>78.125</v>
      </c>
      <c r="CD400" s="14" t="n">
        <v>7.95</v>
      </c>
      <c r="CE400" s="14" t="n">
        <v>-25.568</v>
      </c>
      <c r="CF400" s="14" t="n">
        <v>52.557</v>
      </c>
      <c r="CG400" s="14" t="n">
        <v>0</v>
      </c>
      <c r="CH400" s="14" t="n">
        <v>0</v>
      </c>
      <c r="CI400" s="14" t="n">
        <v>0</v>
      </c>
      <c r="CJ400" s="14" t="n">
        <v>0</v>
      </c>
      <c r="CK400" s="14" t="n">
        <v>0</v>
      </c>
      <c r="CL400" s="14" t="n">
        <v>0</v>
      </c>
      <c r="CM400" s="14" t="n">
        <v>0</v>
      </c>
      <c r="CN400" s="14" t="n">
        <v>0</v>
      </c>
      <c r="CO400" s="14" t="n">
        <v>0</v>
      </c>
      <c r="CP400" s="14" t="n">
        <v>0.141</v>
      </c>
      <c r="CQ400" s="14" t="n">
        <v>1.198</v>
      </c>
      <c r="CR400" s="14" t="n">
        <v>0</v>
      </c>
      <c r="CS400" s="14" t="n">
        <v>4.776</v>
      </c>
      <c r="CT400" s="14" t="n">
        <v>4.753</v>
      </c>
      <c r="CU400" s="14" t="n">
        <v>15.983</v>
      </c>
    </row>
    <row r="401">
      <c r="A401" s="14" t="inlineStr">
        <is>
          <t>JAM2022</t>
        </is>
      </c>
      <c r="B401" s="14" t="inlineStr">
        <is>
          <t>JAM</t>
        </is>
      </c>
      <c r="C401" s="14" t="inlineStr">
        <is>
          <t>JAM</t>
        </is>
      </c>
      <c r="D401" s="14" t="inlineStr">
        <is>
          <t>Jamaica</t>
        </is>
      </c>
      <c r="E401" s="14" t="n">
        <v>2022</v>
      </c>
      <c r="F401" s="14" t="n">
        <v>0.15</v>
      </c>
      <c r="G401" s="14" t="n">
        <v>10.338</v>
      </c>
      <c r="H401" s="14" t="n">
        <v>1.148</v>
      </c>
      <c r="I401" s="14" t="n">
        <v>0</v>
      </c>
      <c r="J401" s="14" t="n">
        <v>10.338</v>
      </c>
      <c r="K401" s="14" t="n">
        <v>0</v>
      </c>
      <c r="L401" s="14" t="n">
        <v>1</v>
      </c>
      <c r="M401" s="14" t="n">
        <v>8.848000000000001</v>
      </c>
      <c r="N401" s="14" t="n">
        <v>3.443</v>
      </c>
      <c r="O401" s="14" t="n">
        <v>0.261</v>
      </c>
      <c r="P401" s="14" t="n">
        <v>9.109</v>
      </c>
      <c r="Q401" s="14" t="n">
        <v>0</v>
      </c>
      <c r="R401" s="14" t="n">
        <v>1</v>
      </c>
      <c r="S401" s="14" t="n">
        <v>16.077</v>
      </c>
      <c r="T401" s="14" t="n">
        <v>6.886</v>
      </c>
      <c r="U401" s="14" t="n">
        <v>0.178</v>
      </c>
      <c r="V401" s="14" t="n">
        <v>18.489</v>
      </c>
      <c r="W401" s="14" t="n">
        <v>0.15</v>
      </c>
      <c r="X401" s="14" t="n">
        <v>1</v>
      </c>
      <c r="Y401" s="14" t="n">
        <v>30.657</v>
      </c>
      <c r="Z401" s="14" t="n">
        <v>4.114</v>
      </c>
      <c r="AA401" s="14" t="n">
        <v>0.031</v>
      </c>
      <c r="AB401" s="14" t="n">
        <v>30.688</v>
      </c>
      <c r="AC401" s="14" t="n">
        <v>0</v>
      </c>
      <c r="AD401" s="14" t="n">
        <v>1</v>
      </c>
      <c r="AE401" s="14" t="n">
        <v>31.89</v>
      </c>
      <c r="AF401" s="14" t="n">
        <v>7.453</v>
      </c>
      <c r="AG401" s="14" t="n">
        <v>0.015</v>
      </c>
      <c r="AH401" s="14" t="n">
        <v>31.906</v>
      </c>
      <c r="AI401" s="14" t="n">
        <v>0</v>
      </c>
      <c r="AJ401" s="14" t="n">
        <v>1</v>
      </c>
      <c r="AK401" s="14" t="n">
        <v>39.288</v>
      </c>
      <c r="AL401" s="14" t="n">
        <v>21.091</v>
      </c>
      <c r="AM401" s="14" t="n">
        <v>0.436</v>
      </c>
      <c r="AN401" s="14" t="n">
        <v>45.182</v>
      </c>
      <c r="AO401" s="14" t="n">
        <v>0.15</v>
      </c>
      <c r="AP401" s="14" t="n">
        <v>1</v>
      </c>
      <c r="AQ401" s="14" t="n">
        <v>0.896</v>
      </c>
      <c r="AR401" s="14" t="n">
        <v>0.123</v>
      </c>
      <c r="AS401" s="14" t="n">
        <v>0.428</v>
      </c>
      <c r="AT401" s="14" t="n">
        <v>1.523</v>
      </c>
      <c r="AU401" s="14" t="n">
        <v>0.15</v>
      </c>
      <c r="AV401" s="14" t="n">
        <v>1</v>
      </c>
      <c r="AW401" s="14" t="n">
        <v>0.89</v>
      </c>
      <c r="AX401" s="14" t="n">
        <v>0.123</v>
      </c>
      <c r="AY401" s="14" t="n">
        <v>0.519</v>
      </c>
      <c r="AZ401" s="14" t="n">
        <v>1.621</v>
      </c>
      <c r="BA401" s="14" t="n">
        <v>0.15</v>
      </c>
      <c r="BB401" s="14" t="n">
        <v>1</v>
      </c>
      <c r="BC401" s="14" t="n">
        <v>0.62</v>
      </c>
      <c r="BD401" s="14" t="n">
        <v>0.123</v>
      </c>
      <c r="BE401" s="14" t="n">
        <v>-0.274</v>
      </c>
      <c r="BF401" s="14" t="n">
        <v>0.399</v>
      </c>
      <c r="BG401" s="14" t="n">
        <v>0</v>
      </c>
      <c r="BH401" s="14" t="n">
        <v>0</v>
      </c>
      <c r="BI401" s="14" t="n">
        <v>0.608</v>
      </c>
      <c r="BJ401" s="14" t="n">
        <v>0.123</v>
      </c>
      <c r="BK401" s="14" t="n">
        <v>0.667</v>
      </c>
      <c r="BL401" s="14" t="n">
        <v>1.466</v>
      </c>
      <c r="BM401" s="14" t="n">
        <v>0.15</v>
      </c>
      <c r="BN401" s="14" t="n">
        <v>1</v>
      </c>
      <c r="BO401" s="14" t="n">
        <v>0</v>
      </c>
      <c r="BP401" s="14" t="n">
        <v>0</v>
      </c>
      <c r="BQ401" s="14" t="n">
        <v>0.21</v>
      </c>
      <c r="BR401" s="14" t="n">
        <v>0</v>
      </c>
      <c r="BS401" s="14" t="n">
        <v>0.667</v>
      </c>
      <c r="BT401" s="14" t="n">
        <v>0</v>
      </c>
      <c r="BU401" s="14" t="n">
        <v>0</v>
      </c>
      <c r="BV401" s="14" t="n">
        <v>0.704</v>
      </c>
      <c r="BW401" s="14" t="n">
        <v>0.15</v>
      </c>
      <c r="BX401" s="14" t="n">
        <v>0.667</v>
      </c>
      <c r="BY401" s="14" t="n">
        <v>12.729</v>
      </c>
      <c r="BZ401" s="14" t="n">
        <v>0</v>
      </c>
      <c r="CA401" s="14" t="n">
        <v>12.729</v>
      </c>
      <c r="CB401" s="14" t="n">
        <v>0</v>
      </c>
      <c r="CC401" s="14" t="n">
        <v>97.90000000000001</v>
      </c>
      <c r="CD401" s="14" t="n">
        <v>7.95</v>
      </c>
      <c r="CE401" s="14" t="n">
        <v>-33.629</v>
      </c>
      <c r="CF401" s="14" t="n">
        <v>64.271</v>
      </c>
      <c r="CG401" s="14" t="n">
        <v>0</v>
      </c>
      <c r="CH401" s="14" t="n">
        <v>0</v>
      </c>
      <c r="CI401" s="14" t="n">
        <v>0</v>
      </c>
      <c r="CJ401" s="14" t="n">
        <v>0</v>
      </c>
      <c r="CK401" s="14" t="n">
        <v>0</v>
      </c>
      <c r="CL401" s="14" t="n">
        <v>0</v>
      </c>
      <c r="CM401" s="14" t="n">
        <v>0</v>
      </c>
      <c r="CN401" s="14" t="n">
        <v>0</v>
      </c>
      <c r="CO401" s="14" t="n">
        <v>0</v>
      </c>
      <c r="CP401" s="14" t="n">
        <v>0.141</v>
      </c>
      <c r="CQ401" s="14" t="n">
        <v>1.294</v>
      </c>
      <c r="CR401" s="14" t="n">
        <v>0.003</v>
      </c>
      <c r="CS401" s="14" t="n">
        <v>5.158</v>
      </c>
      <c r="CT401" s="14" t="n">
        <v>10.485</v>
      </c>
      <c r="CU401" s="14" t="n">
        <v>29.494</v>
      </c>
    </row>
    <row r="402">
      <c r="A402" s="14" t="inlineStr">
        <is>
          <t>JAM2023</t>
        </is>
      </c>
      <c r="B402" s="14" t="inlineStr">
        <is>
          <t>JAM</t>
        </is>
      </c>
      <c r="C402" s="14" t="inlineStr">
        <is>
          <t>JAM</t>
        </is>
      </c>
      <c r="D402" s="14" t="inlineStr">
        <is>
          <t>Jamaica</t>
        </is>
      </c>
      <c r="E402" s="14" t="n">
        <v>2023</v>
      </c>
      <c r="F402" s="14" t="n">
        <v>0.15</v>
      </c>
      <c r="G402" s="14" t="n">
        <v>6.147</v>
      </c>
      <c r="H402" s="14" t="n">
        <v>1.286</v>
      </c>
      <c r="I402" s="14" t="n">
        <v>0</v>
      </c>
      <c r="J402" s="14" t="n">
        <v>6.147</v>
      </c>
      <c r="K402" s="14" t="n">
        <v>0</v>
      </c>
      <c r="L402" s="14" t="n">
        <v>1</v>
      </c>
      <c r="M402" s="14" t="n">
        <v>7.886</v>
      </c>
      <c r="N402" s="14" t="n">
        <v>3.857</v>
      </c>
      <c r="O402" s="14" t="n">
        <v>0.201</v>
      </c>
      <c r="P402" s="14" t="n">
        <v>8.087999999999999</v>
      </c>
      <c r="Q402" s="14" t="n">
        <v>0</v>
      </c>
      <c r="R402" s="14" t="n">
        <v>1</v>
      </c>
      <c r="S402" s="14" t="n">
        <v>12.575</v>
      </c>
      <c r="T402" s="14" t="n">
        <v>7.714</v>
      </c>
      <c r="U402" s="14" t="n">
        <v>0.209</v>
      </c>
      <c r="V402" s="14" t="n">
        <v>14.461</v>
      </c>
      <c r="W402" s="14" t="n">
        <v>0.15</v>
      </c>
      <c r="X402" s="14" t="n">
        <v>1</v>
      </c>
      <c r="Y402" s="14" t="n">
        <v>12.478</v>
      </c>
      <c r="Z402" s="14" t="n">
        <v>1.674</v>
      </c>
      <c r="AA402" s="14" t="n">
        <v>0.031</v>
      </c>
      <c r="AB402" s="14" t="n">
        <v>12.508</v>
      </c>
      <c r="AC402" s="14" t="n">
        <v>0</v>
      </c>
      <c r="AD402" s="14" t="n">
        <v>1</v>
      </c>
      <c r="AE402" s="14" t="n">
        <v>13.763</v>
      </c>
      <c r="AF402" s="14" t="n">
        <v>3.217</v>
      </c>
      <c r="AG402" s="14" t="n">
        <v>0.031</v>
      </c>
      <c r="AH402" s="14" t="n">
        <v>13.794</v>
      </c>
      <c r="AI402" s="14" t="n">
        <v>0</v>
      </c>
      <c r="AJ402" s="14" t="n">
        <v>1</v>
      </c>
      <c r="AK402" s="14" t="n">
        <v>21.477</v>
      </c>
      <c r="AL402" s="14" t="n">
        <v>11.53</v>
      </c>
      <c r="AM402" s="14" t="n">
        <v>0.357</v>
      </c>
      <c r="AN402" s="14" t="n">
        <v>24.699</v>
      </c>
      <c r="AO402" s="14" t="n">
        <v>0.15</v>
      </c>
      <c r="AP402" s="14" t="n">
        <v>1</v>
      </c>
      <c r="AQ402" s="14" t="n">
        <v>0.791</v>
      </c>
      <c r="AR402" s="14" t="n">
        <v>0.129</v>
      </c>
      <c r="AS402" s="14" t="n">
        <v>0.399</v>
      </c>
      <c r="AT402" s="14" t="n">
        <v>1.368</v>
      </c>
      <c r="AU402" s="14" t="n">
        <v>0.15</v>
      </c>
      <c r="AV402" s="14" t="n">
        <v>1</v>
      </c>
      <c r="AW402" s="14" t="n">
        <v>0.618</v>
      </c>
      <c r="AX402" s="14" t="n">
        <v>0.129</v>
      </c>
      <c r="AY402" s="14" t="n">
        <v>0.614</v>
      </c>
      <c r="AZ402" s="14" t="n">
        <v>1.417</v>
      </c>
      <c r="BA402" s="14" t="n">
        <v>0.15</v>
      </c>
      <c r="BB402" s="14" t="n">
        <v>1</v>
      </c>
      <c r="BC402" s="14" t="n">
        <v>0.554</v>
      </c>
      <c r="BD402" s="14" t="n">
        <v>0.129</v>
      </c>
      <c r="BE402" s="14" t="n">
        <v>-0.216</v>
      </c>
      <c r="BF402" s="14" t="n">
        <v>0.389</v>
      </c>
      <c r="BG402" s="14" t="n">
        <v>0</v>
      </c>
      <c r="BH402" s="14" t="n">
        <v>0</v>
      </c>
      <c r="BI402" s="14" t="n">
        <v>0.5570000000000001</v>
      </c>
      <c r="BJ402" s="14" t="n">
        <v>0.129</v>
      </c>
      <c r="BK402" s="14" t="n">
        <v>0.733</v>
      </c>
      <c r="BL402" s="14" t="n">
        <v>1.484</v>
      </c>
      <c r="BM402" s="14" t="n">
        <v>0.15</v>
      </c>
      <c r="BN402" s="14" t="n">
        <v>1</v>
      </c>
      <c r="BO402" s="14" t="n">
        <v>0</v>
      </c>
      <c r="BP402" s="14" t="n">
        <v>0</v>
      </c>
      <c r="BQ402" s="14" t="n">
        <v>0.21</v>
      </c>
      <c r="BR402" s="14" t="n">
        <v>0</v>
      </c>
      <c r="BS402" s="14" t="n">
        <v>0.667</v>
      </c>
      <c r="BT402" s="14" t="n">
        <v>0</v>
      </c>
      <c r="BU402" s="14" t="n">
        <v>0</v>
      </c>
      <c r="BV402" s="14" t="n">
        <v>0.704</v>
      </c>
      <c r="BW402" s="14" t="n">
        <v>0.15</v>
      </c>
      <c r="BX402" s="14" t="n">
        <v>0.667</v>
      </c>
      <c r="BY402" s="14" t="n">
        <v>13.254</v>
      </c>
      <c r="BZ402" s="14" t="n">
        <v>0</v>
      </c>
      <c r="CA402" s="14" t="n">
        <v>13.254</v>
      </c>
      <c r="CB402" s="14" t="n">
        <v>0</v>
      </c>
      <c r="CC402" s="14" t="n">
        <v>83.248</v>
      </c>
      <c r="CD402" s="14" t="n">
        <v>7.95</v>
      </c>
      <c r="CE402" s="14" t="n">
        <v>-26.705</v>
      </c>
      <c r="CF402" s="14" t="n">
        <v>56.543</v>
      </c>
      <c r="CG402" s="14" t="n">
        <v>0</v>
      </c>
      <c r="CH402" s="14" t="n">
        <v>0</v>
      </c>
      <c r="CI402" s="14" t="n">
        <v>0</v>
      </c>
      <c r="CJ402" s="14" t="n">
        <v>0</v>
      </c>
      <c r="CK402" s="14" t="n">
        <v>0</v>
      </c>
      <c r="CL402" s="14" t="n">
        <v>0</v>
      </c>
      <c r="CM402" s="14" t="n">
        <v>0</v>
      </c>
      <c r="CN402" s="14" t="n">
        <v>0</v>
      </c>
      <c r="CO402" s="14" t="n">
        <v>0</v>
      </c>
      <c r="CP402" s="14" t="n">
        <v>0</v>
      </c>
      <c r="CQ402" s="14" t="n">
        <v>1.348</v>
      </c>
      <c r="CR402" s="14" t="n">
        <v>0</v>
      </c>
      <c r="CS402" s="14" t="n">
        <v>5.37</v>
      </c>
      <c r="CT402" s="14" t="n">
        <v>4.861</v>
      </c>
      <c r="CU402" s="14" t="n">
        <v>11.192</v>
      </c>
    </row>
    <row r="403">
      <c r="A403" s="14" t="inlineStr">
        <is>
          <t>JAM2024</t>
        </is>
      </c>
      <c r="B403" s="14" t="inlineStr">
        <is>
          <t>JAM</t>
        </is>
      </c>
      <c r="C403" s="14" t="inlineStr">
        <is>
          <t>JAM</t>
        </is>
      </c>
      <c r="D403" s="14" t="inlineStr">
        <is>
          <t>Jamaica</t>
        </is>
      </c>
      <c r="E403" s="14" t="n">
        <v>2024</v>
      </c>
      <c r="F403" s="14" t="n">
        <v>0.15</v>
      </c>
      <c r="G403" s="14" t="n">
        <v>5.575</v>
      </c>
      <c r="H403" s="14" t="n">
        <v>1.324</v>
      </c>
      <c r="I403" s="14" t="n">
        <v>0</v>
      </c>
      <c r="J403" s="14" t="n">
        <v>5.575</v>
      </c>
      <c r="K403" s="14" t="n">
        <v>0</v>
      </c>
      <c r="L403" s="14" t="n">
        <v>1</v>
      </c>
      <c r="M403" s="14" t="n">
        <v>7.124</v>
      </c>
      <c r="N403" s="14" t="n">
        <v>3.971</v>
      </c>
      <c r="O403" s="14" t="n">
        <v>0.158</v>
      </c>
      <c r="P403" s="14" t="n">
        <v>7.281</v>
      </c>
      <c r="Q403" s="14" t="n">
        <v>0</v>
      </c>
      <c r="R403" s="14" t="n">
        <v>1</v>
      </c>
      <c r="S403" s="14" t="n">
        <v>12.193</v>
      </c>
      <c r="T403" s="14" t="n">
        <v>7.942</v>
      </c>
      <c r="U403" s="14" t="n">
        <v>0.249</v>
      </c>
      <c r="V403" s="14" t="n">
        <v>14.022</v>
      </c>
      <c r="W403" s="14" t="n">
        <v>0.15</v>
      </c>
      <c r="X403" s="14" t="n">
        <v>1</v>
      </c>
      <c r="Y403" s="14" t="n">
        <v>11.447</v>
      </c>
      <c r="Z403" s="14" t="n">
        <v>1.536</v>
      </c>
      <c r="AA403" s="14" t="n">
        <v>0.032</v>
      </c>
      <c r="AB403" s="14" t="n">
        <v>11.479</v>
      </c>
      <c r="AC403" s="14" t="n">
        <v>0</v>
      </c>
      <c r="AD403" s="14" t="n">
        <v>1</v>
      </c>
      <c r="AE403" s="14" t="n">
        <v>12.771</v>
      </c>
      <c r="AF403" s="14" t="n">
        <v>2.985</v>
      </c>
      <c r="AG403" s="14" t="n">
        <v>0.032</v>
      </c>
      <c r="AH403" s="14" t="n">
        <v>12.802</v>
      </c>
      <c r="AI403" s="14" t="n">
        <v>0</v>
      </c>
      <c r="AJ403" s="14" t="n">
        <v>1</v>
      </c>
      <c r="AK403" s="14" t="n">
        <v>20.712</v>
      </c>
      <c r="AL403" s="14" t="n">
        <v>11.119</v>
      </c>
      <c r="AM403" s="14" t="n">
        <v>0.423</v>
      </c>
      <c r="AN403" s="14" t="n">
        <v>23.819</v>
      </c>
      <c r="AO403" s="14" t="n">
        <v>0.15</v>
      </c>
      <c r="AP403" s="14" t="n">
        <v>1</v>
      </c>
      <c r="AQ403" s="14" t="n">
        <v>0.756</v>
      </c>
      <c r="AR403" s="14" t="n">
        <v>0.132</v>
      </c>
      <c r="AS403" s="14" t="n">
        <v>0.412</v>
      </c>
      <c r="AT403" s="14" t="n">
        <v>1.343</v>
      </c>
      <c r="AU403" s="14" t="n">
        <v>0.15</v>
      </c>
      <c r="AV403" s="14" t="n">
        <v>1</v>
      </c>
      <c r="AW403" s="14" t="n">
        <v>0.655</v>
      </c>
      <c r="AX403" s="14" t="n">
        <v>0.132</v>
      </c>
      <c r="AY403" s="14" t="n">
        <v>0.477</v>
      </c>
      <c r="AZ403" s="14" t="n">
        <v>1.302</v>
      </c>
      <c r="BA403" s="14" t="n">
        <v>0.15</v>
      </c>
      <c r="BB403" s="14" t="n">
        <v>1</v>
      </c>
      <c r="BC403" s="14" t="n">
        <v>0.534</v>
      </c>
      <c r="BD403" s="14" t="n">
        <v>0.132</v>
      </c>
      <c r="BE403" s="14" t="n">
        <v>-0.186</v>
      </c>
      <c r="BF403" s="14" t="n">
        <v>0.399</v>
      </c>
      <c r="BG403" s="14" t="n">
        <v>0</v>
      </c>
      <c r="BH403" s="14" t="n">
        <v>0</v>
      </c>
      <c r="BI403" s="14" t="n">
        <v>0.5679999999999999</v>
      </c>
      <c r="BJ403" s="14" t="n">
        <v>0.132</v>
      </c>
      <c r="BK403" s="14" t="n">
        <v>0.544</v>
      </c>
      <c r="BL403" s="14" t="n">
        <v>1.279</v>
      </c>
      <c r="BM403" s="14" t="n">
        <v>0.15</v>
      </c>
      <c r="BN403" s="14" t="n">
        <v>1</v>
      </c>
      <c r="BO403" s="14" t="n">
        <v>0</v>
      </c>
      <c r="BP403" s="14" t="n">
        <v>0</v>
      </c>
      <c r="BQ403" s="14" t="n">
        <v>0.182</v>
      </c>
      <c r="BR403" s="14" t="n">
        <v>0</v>
      </c>
      <c r="BS403" s="14" t="n">
        <v>0.667</v>
      </c>
      <c r="BT403" s="14" t="n">
        <v>0</v>
      </c>
      <c r="BU403" s="14" t="n">
        <v>0</v>
      </c>
      <c r="BV403" s="14" t="n">
        <v>0.741</v>
      </c>
      <c r="BW403" s="14" t="n">
        <v>0.15</v>
      </c>
      <c r="BX403" s="14" t="n">
        <v>0.667</v>
      </c>
      <c r="BY403" s="14" t="n">
        <v>13.646</v>
      </c>
      <c r="BZ403" s="14" t="n">
        <v>0</v>
      </c>
      <c r="CA403" s="14" t="n">
        <v>13.646</v>
      </c>
      <c r="CB403" s="14" t="n">
        <v>0</v>
      </c>
      <c r="CC403" s="14" t="n">
        <v>82.58799999999999</v>
      </c>
      <c r="CD403" s="14" t="n">
        <v>7.95</v>
      </c>
      <c r="CE403" s="14" t="n">
        <v>-26.107</v>
      </c>
      <c r="CF403" s="14" t="n">
        <v>56.481</v>
      </c>
      <c r="CG403" s="14" t="n">
        <v>0</v>
      </c>
      <c r="CH403" s="14" t="n">
        <v>0</v>
      </c>
      <c r="CI403" s="14" t="n">
        <v>0</v>
      </c>
      <c r="CJ403" s="14" t="n">
        <v>0</v>
      </c>
      <c r="CK403" s="14" t="n">
        <v>0</v>
      </c>
      <c r="CL403" s="14" t="n">
        <v>0</v>
      </c>
      <c r="CM403" s="14" t="n">
        <v>0</v>
      </c>
      <c r="CN403" s="14" t="n">
        <v>0</v>
      </c>
      <c r="CO403" s="14" t="n">
        <v>0</v>
      </c>
      <c r="CP403" s="14" t="n">
        <v>0</v>
      </c>
      <c r="CQ403" s="14" t="n">
        <v>1.387</v>
      </c>
      <c r="CR403" s="14" t="n">
        <v>0</v>
      </c>
      <c r="CS403" s="14" t="n">
        <v>5.529</v>
      </c>
      <c r="CT403" s="14" t="n">
        <v>4.251</v>
      </c>
      <c r="CU403" s="14" t="n">
        <v>10.123</v>
      </c>
    </row>
    <row r="404">
      <c r="A404" s="14" t="inlineStr">
        <is>
          <t>JPN2021</t>
        </is>
      </c>
      <c r="B404" s="14" t="inlineStr">
        <is>
          <t>JPN</t>
        </is>
      </c>
      <c r="C404" s="14" t="inlineStr">
        <is>
          <t>JPN</t>
        </is>
      </c>
      <c r="D404" s="14" t="inlineStr">
        <is>
          <t>Japan</t>
        </is>
      </c>
      <c r="E404" s="14" t="n">
        <v>2021</v>
      </c>
      <c r="F404" s="14" t="n">
        <v>0.1</v>
      </c>
      <c r="G404" s="14" t="n">
        <v>4.565</v>
      </c>
      <c r="H404" s="14" t="n">
        <v>0.999</v>
      </c>
      <c r="I404" s="14" t="n">
        <v>0.425</v>
      </c>
      <c r="J404" s="14" t="n">
        <v>4.99</v>
      </c>
      <c r="K404" s="14" t="n">
        <v>0</v>
      </c>
      <c r="L404" s="14" t="n">
        <v>1</v>
      </c>
      <c r="M404" s="14" t="n">
        <v>4.633</v>
      </c>
      <c r="N404" s="14" t="n">
        <v>2.1</v>
      </c>
      <c r="O404" s="14" t="n">
        <v>0.357</v>
      </c>
      <c r="P404" s="14" t="n">
        <v>4.99</v>
      </c>
      <c r="Q404" s="14" t="n">
        <v>0</v>
      </c>
      <c r="R404" s="14" t="n">
        <v>1</v>
      </c>
      <c r="S404" s="14" t="n">
        <v>11.632</v>
      </c>
      <c r="T404" s="14" t="n">
        <v>6.86</v>
      </c>
      <c r="U404" s="14" t="n">
        <v>0.393</v>
      </c>
      <c r="V404" s="14" t="n">
        <v>13.228</v>
      </c>
      <c r="W404" s="14" t="n">
        <v>0.1</v>
      </c>
      <c r="X404" s="14" t="n">
        <v>1</v>
      </c>
      <c r="Y404" s="14" t="n">
        <v>20.239</v>
      </c>
      <c r="Z404" s="14" t="n">
        <v>2.236</v>
      </c>
      <c r="AA404" s="14" t="n">
        <v>1.91</v>
      </c>
      <c r="AB404" s="14" t="n">
        <v>22.149</v>
      </c>
      <c r="AC404" s="14" t="n">
        <v>0</v>
      </c>
      <c r="AD404" s="14" t="n">
        <v>1</v>
      </c>
      <c r="AE404" s="14" t="n">
        <v>20.221</v>
      </c>
      <c r="AF404" s="14" t="n">
        <v>3.979</v>
      </c>
      <c r="AG404" s="14" t="n">
        <v>1.928</v>
      </c>
      <c r="AH404" s="14" t="n">
        <v>22.149</v>
      </c>
      <c r="AI404" s="14" t="n">
        <v>0</v>
      </c>
      <c r="AJ404" s="14" t="n">
        <v>1</v>
      </c>
      <c r="AK404" s="14" t="n">
        <v>24.579</v>
      </c>
      <c r="AL404" s="14" t="n">
        <v>12.064</v>
      </c>
      <c r="AM404" s="14" t="n">
        <v>1.76</v>
      </c>
      <c r="AN404" s="14" t="n">
        <v>28.974</v>
      </c>
      <c r="AO404" s="14" t="n">
        <v>0.1</v>
      </c>
      <c r="AP404" s="14" t="n">
        <v>1</v>
      </c>
      <c r="AQ404" s="14" t="n">
        <v>0.621</v>
      </c>
      <c r="AR404" s="14" t="n">
        <v>0.114</v>
      </c>
      <c r="AS404" s="14" t="n">
        <v>0.572</v>
      </c>
      <c r="AT404" s="14" t="n">
        <v>1.312</v>
      </c>
      <c r="AU404" s="14" t="n">
        <v>0.1</v>
      </c>
      <c r="AV404" s="14" t="n">
        <v>1</v>
      </c>
      <c r="AW404" s="14" t="n">
        <v>0.593</v>
      </c>
      <c r="AX404" s="14" t="n">
        <v>0.114</v>
      </c>
      <c r="AY404" s="14" t="n">
        <v>0.47</v>
      </c>
      <c r="AZ404" s="14" t="n">
        <v>1.169</v>
      </c>
      <c r="BA404" s="14" t="n">
        <v>0.1</v>
      </c>
      <c r="BB404" s="14" t="n">
        <v>1</v>
      </c>
      <c r="BC404" s="14" t="n">
        <v>0.44</v>
      </c>
      <c r="BD404" s="14" t="n">
        <v>0.114</v>
      </c>
      <c r="BE404" s="14" t="n">
        <v>0.468</v>
      </c>
      <c r="BF404" s="14" t="n">
        <v>0.999</v>
      </c>
      <c r="BG404" s="14" t="n">
        <v>0.1</v>
      </c>
      <c r="BH404" s="14" t="n">
        <v>1</v>
      </c>
      <c r="BI404" s="14" t="n">
        <v>0.5600000000000001</v>
      </c>
      <c r="BJ404" s="14" t="n">
        <v>0.114</v>
      </c>
      <c r="BK404" s="14" t="n">
        <v>0.175</v>
      </c>
      <c r="BL404" s="14" t="n">
        <v>0.8080000000000001</v>
      </c>
      <c r="BM404" s="14" t="n">
        <v>0.1</v>
      </c>
      <c r="BN404" s="14" t="n">
        <v>1</v>
      </c>
      <c r="BO404" s="14" t="n">
        <v>0</v>
      </c>
      <c r="BP404" s="14" t="n">
        <v>0.003</v>
      </c>
      <c r="BQ404" s="14" t="n">
        <v>0.136</v>
      </c>
      <c r="BR404" s="14" t="n">
        <v>0</v>
      </c>
      <c r="BS404" s="14" t="n">
        <v>1</v>
      </c>
      <c r="BT404" s="14" t="n">
        <v>0</v>
      </c>
      <c r="BU404" s="14" t="n">
        <v>0.004</v>
      </c>
      <c r="BV404" s="14" t="n">
        <v>0.236</v>
      </c>
      <c r="BW404" s="14" t="n">
        <v>0.1</v>
      </c>
      <c r="BX404" s="14" t="n">
        <v>0.833</v>
      </c>
      <c r="BY404" s="14" t="n">
        <v>11.787</v>
      </c>
      <c r="BZ404" s="14" t="n">
        <v>0</v>
      </c>
      <c r="CA404" s="14" t="n">
        <v>11.787</v>
      </c>
      <c r="CB404" s="14" t="n">
        <v>0</v>
      </c>
      <c r="CC404" s="14" t="n">
        <v>81.69499999999999</v>
      </c>
      <c r="CD404" s="14" t="n">
        <v>7.95</v>
      </c>
      <c r="CE404" s="14" t="n">
        <v>9.481</v>
      </c>
      <c r="CF404" s="14" t="n">
        <v>100.294</v>
      </c>
      <c r="CG404" s="14" t="n">
        <v>0.1</v>
      </c>
      <c r="CH404" s="14" t="n">
        <v>1</v>
      </c>
      <c r="CI404" s="14" t="n">
        <v>0</v>
      </c>
      <c r="CJ404" s="14" t="n">
        <v>0</v>
      </c>
      <c r="CK404" s="14" t="n">
        <v>0</v>
      </c>
      <c r="CL404" s="14" t="n">
        <v>0</v>
      </c>
      <c r="CM404" s="14" t="n">
        <v>0</v>
      </c>
      <c r="CN404" s="14" t="n">
        <v>0.705</v>
      </c>
      <c r="CO404" s="14" t="n">
        <v>0.111</v>
      </c>
      <c r="CP404" s="14" t="n">
        <v>0</v>
      </c>
      <c r="CQ404" s="14" t="n">
        <v>1.198</v>
      </c>
      <c r="CR404" s="14" t="n">
        <v>0</v>
      </c>
      <c r="CS404" s="14" t="n">
        <v>2.122</v>
      </c>
      <c r="CT404" s="14" t="n">
        <v>4.772</v>
      </c>
      <c r="CU404" s="14" t="n">
        <v>9.760999999999999</v>
      </c>
    </row>
    <row r="405">
      <c r="A405" s="14" t="inlineStr">
        <is>
          <t>JPN2022</t>
        </is>
      </c>
      <c r="B405" s="14" t="inlineStr">
        <is>
          <t>JPN</t>
        </is>
      </c>
      <c r="C405" s="14" t="inlineStr">
        <is>
          <t>JPN</t>
        </is>
      </c>
      <c r="D405" s="14" t="inlineStr">
        <is>
          <t>Japan</t>
        </is>
      </c>
      <c r="E405" s="14" t="n">
        <v>2022</v>
      </c>
      <c r="F405" s="14" t="n">
        <v>0.1</v>
      </c>
      <c r="G405" s="14" t="n">
        <v>10.216</v>
      </c>
      <c r="H405" s="14" t="n">
        <v>1.586</v>
      </c>
      <c r="I405" s="14" t="n">
        <v>0.423</v>
      </c>
      <c r="J405" s="14" t="n">
        <v>10.638</v>
      </c>
      <c r="K405" s="14" t="n">
        <v>0</v>
      </c>
      <c r="L405" s="14" t="n">
        <v>1</v>
      </c>
      <c r="M405" s="14" t="n">
        <v>10.181</v>
      </c>
      <c r="N405" s="14" t="n">
        <v>4.204</v>
      </c>
      <c r="O405" s="14" t="n">
        <v>0.458</v>
      </c>
      <c r="P405" s="14" t="n">
        <v>10.638</v>
      </c>
      <c r="Q405" s="14" t="n">
        <v>0</v>
      </c>
      <c r="R405" s="14" t="n">
        <v>1</v>
      </c>
      <c r="S405" s="14" t="n">
        <v>17.555</v>
      </c>
      <c r="T405" s="14" t="n">
        <v>7.408</v>
      </c>
      <c r="U405" s="14" t="n">
        <v>0.528</v>
      </c>
      <c r="V405" s="14" t="n">
        <v>19.744</v>
      </c>
      <c r="W405" s="14" t="n">
        <v>0.1</v>
      </c>
      <c r="X405" s="14" t="n">
        <v>1</v>
      </c>
      <c r="Y405" s="14" t="n">
        <v>27.894</v>
      </c>
      <c r="Z405" s="14" t="n">
        <v>2.926</v>
      </c>
      <c r="AA405" s="14" t="n">
        <v>-2.103</v>
      </c>
      <c r="AB405" s="14" t="n">
        <v>25.791</v>
      </c>
      <c r="AC405" s="14" t="n">
        <v>0</v>
      </c>
      <c r="AD405" s="14" t="n">
        <v>1</v>
      </c>
      <c r="AE405" s="14" t="n">
        <v>27.968</v>
      </c>
      <c r="AF405" s="14" t="n">
        <v>5.185</v>
      </c>
      <c r="AG405" s="14" t="n">
        <v>-2.177</v>
      </c>
      <c r="AH405" s="14" t="n">
        <v>25.791</v>
      </c>
      <c r="AI405" s="14" t="n">
        <v>0</v>
      </c>
      <c r="AJ405" s="14" t="n">
        <v>1</v>
      </c>
      <c r="AK405" s="14" t="n">
        <v>32.874</v>
      </c>
      <c r="AL405" s="14" t="n">
        <v>15.699</v>
      </c>
      <c r="AM405" s="14" t="n">
        <v>-1.572</v>
      </c>
      <c r="AN405" s="14" t="n">
        <v>34.433</v>
      </c>
      <c r="AO405" s="14" t="n">
        <v>0.1</v>
      </c>
      <c r="AP405" s="14" t="n">
        <v>1</v>
      </c>
      <c r="AQ405" s="14" t="n">
        <v>0.847</v>
      </c>
      <c r="AR405" s="14" t="n">
        <v>0.123</v>
      </c>
      <c r="AS405" s="14" t="n">
        <v>0.247</v>
      </c>
      <c r="AT405" s="14" t="n">
        <v>1.203</v>
      </c>
      <c r="AU405" s="14" t="n">
        <v>0.1</v>
      </c>
      <c r="AV405" s="14" t="n">
        <v>1</v>
      </c>
      <c r="AW405" s="14" t="n">
        <v>0.947</v>
      </c>
      <c r="AX405" s="14" t="n">
        <v>0.123</v>
      </c>
      <c r="AY405" s="14" t="n">
        <v>0.043</v>
      </c>
      <c r="AZ405" s="14" t="n">
        <v>1.088</v>
      </c>
      <c r="BA405" s="14" t="n">
        <v>0.1</v>
      </c>
      <c r="BB405" s="14" t="n">
        <v>1</v>
      </c>
      <c r="BC405" s="14" t="n">
        <v>0.589</v>
      </c>
      <c r="BD405" s="14" t="n">
        <v>0.123</v>
      </c>
      <c r="BE405" s="14" t="n">
        <v>0.299</v>
      </c>
      <c r="BF405" s="14" t="n">
        <v>0.976</v>
      </c>
      <c r="BG405" s="14" t="n">
        <v>0.1</v>
      </c>
      <c r="BH405" s="14" t="n">
        <v>1</v>
      </c>
      <c r="BI405" s="14" t="n">
        <v>0.6889999999999999</v>
      </c>
      <c r="BJ405" s="14" t="n">
        <v>0.123</v>
      </c>
      <c r="BK405" s="14" t="n">
        <v>0.04</v>
      </c>
      <c r="BL405" s="14" t="n">
        <v>0.802</v>
      </c>
      <c r="BM405" s="14" t="n">
        <v>0.1</v>
      </c>
      <c r="BN405" s="14" t="n">
        <v>1</v>
      </c>
      <c r="BO405" s="14" t="n">
        <v>0</v>
      </c>
      <c r="BP405" s="14" t="n">
        <v>0.003</v>
      </c>
      <c r="BQ405" s="14" t="n">
        <v>0.157</v>
      </c>
      <c r="BR405" s="14" t="n">
        <v>0</v>
      </c>
      <c r="BS405" s="14" t="n">
        <v>1</v>
      </c>
      <c r="BT405" s="14" t="n">
        <v>0</v>
      </c>
      <c r="BU405" s="14" t="n">
        <v>0.004</v>
      </c>
      <c r="BV405" s="14" t="n">
        <v>0.235</v>
      </c>
      <c r="BW405" s="14" t="n">
        <v>0.1</v>
      </c>
      <c r="BX405" s="14" t="n">
        <v>0.833</v>
      </c>
      <c r="BY405" s="14" t="n">
        <v>12.729</v>
      </c>
      <c r="BZ405" s="14" t="n">
        <v>0</v>
      </c>
      <c r="CA405" s="14" t="n">
        <v>12.729</v>
      </c>
      <c r="CB405" s="14" t="n">
        <v>0</v>
      </c>
      <c r="CC405" s="14" t="n">
        <v>102.477</v>
      </c>
      <c r="CD405" s="14" t="n">
        <v>7.95</v>
      </c>
      <c r="CE405" s="14" t="n">
        <v>-12.53</v>
      </c>
      <c r="CF405" s="14" t="n">
        <v>98.941</v>
      </c>
      <c r="CG405" s="14" t="n">
        <v>0.1</v>
      </c>
      <c r="CH405" s="14" t="n">
        <v>1</v>
      </c>
      <c r="CI405" s="14" t="n">
        <v>0</v>
      </c>
      <c r="CJ405" s="14" t="n">
        <v>0</v>
      </c>
      <c r="CK405" s="14" t="n">
        <v>0</v>
      </c>
      <c r="CL405" s="14" t="n">
        <v>0</v>
      </c>
      <c r="CM405" s="14" t="n">
        <v>0</v>
      </c>
      <c r="CN405" s="14" t="n">
        <v>0.758</v>
      </c>
      <c r="CO405" s="14" t="n">
        <v>0.114</v>
      </c>
      <c r="CP405" s="14" t="n">
        <v>0</v>
      </c>
      <c r="CQ405" s="14" t="n">
        <v>1.294</v>
      </c>
      <c r="CR405" s="14" t="n">
        <v>0</v>
      </c>
      <c r="CS405" s="14" t="n">
        <v>2.292</v>
      </c>
      <c r="CT405" s="14" t="n">
        <v>10.146</v>
      </c>
      <c r="CU405" s="14" t="n">
        <v>17.325</v>
      </c>
    </row>
    <row r="406">
      <c r="A406" s="14" t="inlineStr">
        <is>
          <t>JPN2023</t>
        </is>
      </c>
      <c r="B406" s="14" t="inlineStr">
        <is>
          <t>JPN</t>
        </is>
      </c>
      <c r="C406" s="14" t="inlineStr">
        <is>
          <t>JPN</t>
        </is>
      </c>
      <c r="D406" s="14" t="inlineStr">
        <is>
          <t>Japan</t>
        </is>
      </c>
      <c r="E406" s="14" t="n">
        <v>2023</v>
      </c>
      <c r="F406" s="14" t="n">
        <v>0.1</v>
      </c>
      <c r="G406" s="14" t="n">
        <v>8.067</v>
      </c>
      <c r="H406" s="14" t="n">
        <v>1.837</v>
      </c>
      <c r="I406" s="14" t="n">
        <v>0.387</v>
      </c>
      <c r="J406" s="14" t="n">
        <v>8.452999999999999</v>
      </c>
      <c r="K406" s="14" t="n">
        <v>0</v>
      </c>
      <c r="L406" s="14" t="n">
        <v>1</v>
      </c>
      <c r="M406" s="14" t="n">
        <v>8.089</v>
      </c>
      <c r="N406" s="14" t="n">
        <v>4.012</v>
      </c>
      <c r="O406" s="14" t="n">
        <v>0.364</v>
      </c>
      <c r="P406" s="14" t="n">
        <v>8.452999999999999</v>
      </c>
      <c r="Q406" s="14" t="n">
        <v>0</v>
      </c>
      <c r="R406" s="14" t="n">
        <v>1</v>
      </c>
      <c r="S406" s="14" t="n">
        <v>14.993</v>
      </c>
      <c r="T406" s="14" t="n">
        <v>7.714</v>
      </c>
      <c r="U406" s="14" t="n">
        <v>0.532</v>
      </c>
      <c r="V406" s="14" t="n">
        <v>16.89</v>
      </c>
      <c r="W406" s="14" t="n">
        <v>0.1</v>
      </c>
      <c r="X406" s="14" t="n">
        <v>1</v>
      </c>
      <c r="Y406" s="14" t="n">
        <v>23.48</v>
      </c>
      <c r="Z406" s="14" t="n">
        <v>2.63</v>
      </c>
      <c r="AA406" s="14" t="n">
        <v>-0.545</v>
      </c>
      <c r="AB406" s="14" t="n">
        <v>22.934</v>
      </c>
      <c r="AC406" s="14" t="n">
        <v>0</v>
      </c>
      <c r="AD406" s="14" t="n">
        <v>1</v>
      </c>
      <c r="AE406" s="14" t="n">
        <v>23.604</v>
      </c>
      <c r="AF406" s="14" t="n">
        <v>4.701</v>
      </c>
      <c r="AG406" s="14" t="n">
        <v>-0.67</v>
      </c>
      <c r="AH406" s="14" t="n">
        <v>22.934</v>
      </c>
      <c r="AI406" s="14" t="n">
        <v>0</v>
      </c>
      <c r="AJ406" s="14" t="n">
        <v>1</v>
      </c>
      <c r="AK406" s="14" t="n">
        <v>28.646</v>
      </c>
      <c r="AL406" s="14" t="n">
        <v>14.191</v>
      </c>
      <c r="AM406" s="14" t="n">
        <v>-7.275</v>
      </c>
      <c r="AN406" s="14" t="n">
        <v>23.508</v>
      </c>
      <c r="AO406" s="14" t="n">
        <v>0.1</v>
      </c>
      <c r="AP406" s="14" t="n">
        <v>1</v>
      </c>
      <c r="AQ406" s="14" t="n">
        <v>0.749</v>
      </c>
      <c r="AR406" s="14" t="n">
        <v>0.129</v>
      </c>
      <c r="AS406" s="14" t="n">
        <v>0.285</v>
      </c>
      <c r="AT406" s="14" t="n">
        <v>1.137</v>
      </c>
      <c r="AU406" s="14" t="n">
        <v>0.1</v>
      </c>
      <c r="AV406" s="14" t="n">
        <v>1</v>
      </c>
      <c r="AW406" s="14" t="n">
        <v>0.783</v>
      </c>
      <c r="AX406" s="14" t="n">
        <v>0.129</v>
      </c>
      <c r="AY406" s="14" t="n">
        <v>0.16</v>
      </c>
      <c r="AZ406" s="14" t="n">
        <v>1.037</v>
      </c>
      <c r="BA406" s="14" t="n">
        <v>0.1</v>
      </c>
      <c r="BB406" s="14" t="n">
        <v>1</v>
      </c>
      <c r="BC406" s="14" t="n">
        <v>0.527</v>
      </c>
      <c r="BD406" s="14" t="n">
        <v>0.129</v>
      </c>
      <c r="BE406" s="14" t="n">
        <v>0.288</v>
      </c>
      <c r="BF406" s="14" t="n">
        <v>0.897</v>
      </c>
      <c r="BG406" s="14" t="n">
        <v>0.1</v>
      </c>
      <c r="BH406" s="14" t="n">
        <v>1</v>
      </c>
      <c r="BI406" s="14" t="n">
        <v>0.64</v>
      </c>
      <c r="BJ406" s="14" t="n">
        <v>0.129</v>
      </c>
      <c r="BK406" s="14" t="n">
        <v>0.051</v>
      </c>
      <c r="BL406" s="14" t="n">
        <v>0.76</v>
      </c>
      <c r="BM406" s="14" t="n">
        <v>0.1</v>
      </c>
      <c r="BN406" s="14" t="n">
        <v>1</v>
      </c>
      <c r="BO406" s="14" t="n">
        <v>0</v>
      </c>
      <c r="BP406" s="14" t="n">
        <v>0.008</v>
      </c>
      <c r="BQ406" s="14" t="n">
        <v>0.162</v>
      </c>
      <c r="BR406" s="14" t="n">
        <v>0</v>
      </c>
      <c r="BS406" s="14" t="n">
        <v>1</v>
      </c>
      <c r="BT406" s="14" t="n">
        <v>0</v>
      </c>
      <c r="BU406" s="14" t="n">
        <v>0.004</v>
      </c>
      <c r="BV406" s="14" t="n">
        <v>0.188</v>
      </c>
      <c r="BW406" s="14" t="n">
        <v>0.1</v>
      </c>
      <c r="BX406" s="14" t="n">
        <v>0.833</v>
      </c>
      <c r="BY406" s="14" t="n">
        <v>13.254</v>
      </c>
      <c r="BZ406" s="14" t="n">
        <v>0</v>
      </c>
      <c r="CA406" s="14" t="n">
        <v>13.254</v>
      </c>
      <c r="CB406" s="14" t="n">
        <v>0</v>
      </c>
      <c r="CC406" s="14" t="n">
        <v>87.07899999999999</v>
      </c>
      <c r="CD406" s="14" t="n">
        <v>7.95</v>
      </c>
      <c r="CE406" s="14" t="n">
        <v>-0.6879999999999999</v>
      </c>
      <c r="CF406" s="14" t="n">
        <v>95.03</v>
      </c>
      <c r="CG406" s="14" t="n">
        <v>0.1</v>
      </c>
      <c r="CH406" s="14" t="n">
        <v>1</v>
      </c>
      <c r="CI406" s="14" t="n">
        <v>0</v>
      </c>
      <c r="CJ406" s="14" t="n">
        <v>0</v>
      </c>
      <c r="CK406" s="14" t="n">
        <v>0</v>
      </c>
      <c r="CL406" s="14" t="n">
        <v>0</v>
      </c>
      <c r="CM406" s="14" t="n">
        <v>0</v>
      </c>
      <c r="CN406" s="14" t="n">
        <v>0.733</v>
      </c>
      <c r="CO406" s="14" t="n">
        <v>0.1</v>
      </c>
      <c r="CP406" s="14" t="n">
        <v>0</v>
      </c>
      <c r="CQ406" s="14" t="n">
        <v>1.348</v>
      </c>
      <c r="CR406" s="14" t="n">
        <v>0</v>
      </c>
      <c r="CS406" s="14" t="n">
        <v>2.387</v>
      </c>
      <c r="CT406" s="14" t="n">
        <v>7.279</v>
      </c>
      <c r="CU406" s="14" t="n">
        <v>12.859</v>
      </c>
    </row>
    <row r="407">
      <c r="A407" s="14" t="inlineStr">
        <is>
          <t>JPN2024</t>
        </is>
      </c>
      <c r="B407" s="14" t="inlineStr">
        <is>
          <t>JPN</t>
        </is>
      </c>
      <c r="C407" s="14" t="inlineStr">
        <is>
          <t>JPN</t>
        </is>
      </c>
      <c r="D407" s="14" t="inlineStr">
        <is>
          <t>Japan</t>
        </is>
      </c>
      <c r="E407" s="14" t="n">
        <v>2024</v>
      </c>
      <c r="F407" s="14" t="n">
        <v>0.1</v>
      </c>
      <c r="G407" s="14" t="n">
        <v>7.372</v>
      </c>
      <c r="H407" s="14" t="n">
        <v>1.868</v>
      </c>
      <c r="I407" s="14" t="n">
        <v>0.369</v>
      </c>
      <c r="J407" s="14" t="n">
        <v>7.741</v>
      </c>
      <c r="K407" s="14" t="n">
        <v>0</v>
      </c>
      <c r="L407" s="14" t="n">
        <v>1</v>
      </c>
      <c r="M407" s="14" t="n">
        <v>7.404</v>
      </c>
      <c r="N407" s="14" t="n">
        <v>4.033</v>
      </c>
      <c r="O407" s="14" t="n">
        <v>0.336</v>
      </c>
      <c r="P407" s="14" t="n">
        <v>7.741</v>
      </c>
      <c r="Q407" s="14" t="n">
        <v>0</v>
      </c>
      <c r="R407" s="14" t="n">
        <v>1</v>
      </c>
      <c r="S407" s="14" t="n">
        <v>13.453</v>
      </c>
      <c r="T407" s="14" t="n">
        <v>7.942</v>
      </c>
      <c r="U407" s="14" t="n">
        <v>0.532</v>
      </c>
      <c r="V407" s="14" t="n">
        <v>15.177</v>
      </c>
      <c r="W407" s="14" t="n">
        <v>0.1</v>
      </c>
      <c r="X407" s="14" t="n">
        <v>1</v>
      </c>
      <c r="Y407" s="14" t="n">
        <v>20.53</v>
      </c>
      <c r="Z407" s="14" t="n">
        <v>2.592</v>
      </c>
      <c r="AA407" s="14" t="n">
        <v>0.276</v>
      </c>
      <c r="AB407" s="14" t="n">
        <v>20.806</v>
      </c>
      <c r="AC407" s="14" t="n">
        <v>0</v>
      </c>
      <c r="AD407" s="14" t="n">
        <v>1</v>
      </c>
      <c r="AE407" s="14" t="n">
        <v>20.553</v>
      </c>
      <c r="AF407" s="14" t="n">
        <v>4.502</v>
      </c>
      <c r="AG407" s="14" t="n">
        <v>0.253</v>
      </c>
      <c r="AH407" s="14" t="n">
        <v>20.806</v>
      </c>
      <c r="AI407" s="14" t="n">
        <v>0</v>
      </c>
      <c r="AJ407" s="14" t="n">
        <v>1</v>
      </c>
      <c r="AK407" s="14" t="n">
        <v>22.154</v>
      </c>
      <c r="AL407" s="14" t="n">
        <v>11.268</v>
      </c>
      <c r="AM407" s="14" t="n">
        <v>-1.61</v>
      </c>
      <c r="AN407" s="14" t="n">
        <v>22.598</v>
      </c>
      <c r="AO407" s="14" t="n">
        <v>0.1</v>
      </c>
      <c r="AP407" s="14" t="n">
        <v>1</v>
      </c>
      <c r="AQ407" s="14" t="n">
        <v>0.72</v>
      </c>
      <c r="AR407" s="14" t="n">
        <v>0.132</v>
      </c>
      <c r="AS407" s="14" t="n">
        <v>0.254</v>
      </c>
      <c r="AT407" s="14" t="n">
        <v>1.072</v>
      </c>
      <c r="AU407" s="14" t="n">
        <v>0.1</v>
      </c>
      <c r="AV407" s="14" t="n">
        <v>1</v>
      </c>
      <c r="AW407" s="14" t="n">
        <v>0.734</v>
      </c>
      <c r="AX407" s="14" t="n">
        <v>0.132</v>
      </c>
      <c r="AY407" s="14" t="n">
        <v>0.155</v>
      </c>
      <c r="AZ407" s="14" t="n">
        <v>0.977</v>
      </c>
      <c r="BA407" s="14" t="n">
        <v>0.1</v>
      </c>
      <c r="BB407" s="14" t="n">
        <v>1</v>
      </c>
      <c r="BC407" s="14" t="n">
        <v>0.51</v>
      </c>
      <c r="BD407" s="14" t="n">
        <v>0.132</v>
      </c>
      <c r="BE407" s="14" t="n">
        <v>0.281</v>
      </c>
      <c r="BF407" s="14" t="n">
        <v>0.87</v>
      </c>
      <c r="BG407" s="14" t="n">
        <v>0.1</v>
      </c>
      <c r="BH407" s="14" t="n">
        <v>1</v>
      </c>
      <c r="BI407" s="14" t="n">
        <v>0.652</v>
      </c>
      <c r="BJ407" s="14" t="n">
        <v>0.132</v>
      </c>
      <c r="BK407" s="14" t="n">
        <v>-0.004</v>
      </c>
      <c r="BL407" s="14" t="n">
        <v>0.713</v>
      </c>
      <c r="BM407" s="14" t="n">
        <v>0.1</v>
      </c>
      <c r="BN407" s="14" t="n">
        <v>1</v>
      </c>
      <c r="BO407" s="14" t="n">
        <v>0</v>
      </c>
      <c r="BP407" s="14" t="n">
        <v>0.007</v>
      </c>
      <c r="BQ407" s="14" t="n">
        <v>0.135</v>
      </c>
      <c r="BR407" s="14" t="n">
        <v>0</v>
      </c>
      <c r="BS407" s="14" t="n">
        <v>1</v>
      </c>
      <c r="BT407" s="14" t="n">
        <v>0</v>
      </c>
      <c r="BU407" s="14" t="n">
        <v>0.004</v>
      </c>
      <c r="BV407" s="14" t="n">
        <v>0.189</v>
      </c>
      <c r="BW407" s="14" t="n">
        <v>0.1</v>
      </c>
      <c r="BX407" s="14" t="n">
        <v>0.833</v>
      </c>
      <c r="BY407" s="14" t="n">
        <v>13.646</v>
      </c>
      <c r="BZ407" s="14" t="n">
        <v>0</v>
      </c>
      <c r="CA407" s="14" t="n">
        <v>13.646</v>
      </c>
      <c r="CB407" s="14" t="n">
        <v>0</v>
      </c>
      <c r="CC407" s="14" t="n">
        <v>86.38500000000001</v>
      </c>
      <c r="CD407" s="14" t="n">
        <v>7.95</v>
      </c>
      <c r="CE407" s="14" t="n">
        <v>-3.654</v>
      </c>
      <c r="CF407" s="14" t="n">
        <v>91.005</v>
      </c>
      <c r="CG407" s="14" t="n">
        <v>0.1</v>
      </c>
      <c r="CH407" s="14" t="n">
        <v>1</v>
      </c>
      <c r="CI407" s="14" t="n">
        <v>0</v>
      </c>
      <c r="CJ407" s="14" t="n">
        <v>0</v>
      </c>
      <c r="CK407" s="14" t="n">
        <v>0</v>
      </c>
      <c r="CL407" s="14" t="n">
        <v>0</v>
      </c>
      <c r="CM407" s="14" t="n">
        <v>0</v>
      </c>
      <c r="CN407" s="14" t="n">
        <v>0.725</v>
      </c>
      <c r="CO407" s="14" t="n">
        <v>0.102</v>
      </c>
      <c r="CP407" s="14" t="n">
        <v>0</v>
      </c>
      <c r="CQ407" s="14" t="n">
        <v>1.387</v>
      </c>
      <c r="CR407" s="14" t="n">
        <v>0</v>
      </c>
      <c r="CS407" s="14" t="n">
        <v>2.457</v>
      </c>
      <c r="CT407" s="14" t="n">
        <v>5.511</v>
      </c>
      <c r="CU407" s="14" t="n">
        <v>11.183</v>
      </c>
    </row>
    <row r="408">
      <c r="A408" s="14" t="inlineStr">
        <is>
          <t>JOR2021</t>
        </is>
      </c>
      <c r="B408" s="14" t="inlineStr">
        <is>
          <t>JOR</t>
        </is>
      </c>
      <c r="C408" s="14" t="inlineStr">
        <is>
          <t>JOR</t>
        </is>
      </c>
      <c r="D408" s="14" t="inlineStr">
        <is>
          <t>Jordan</t>
        </is>
      </c>
      <c r="E408" s="14" t="n">
        <v>2021</v>
      </c>
      <c r="F408" s="14" t="n">
        <v>0.16</v>
      </c>
      <c r="G408" s="14" t="n">
        <v>5.897</v>
      </c>
      <c r="H408" s="14" t="n">
        <v>1.143</v>
      </c>
      <c r="I408" s="14" t="n">
        <v>0</v>
      </c>
      <c r="J408" s="14" t="n">
        <v>5.897</v>
      </c>
      <c r="K408" s="14" t="n">
        <v>0</v>
      </c>
      <c r="L408" s="14" t="n">
        <v>1</v>
      </c>
      <c r="M408" s="14" t="n">
        <v>7.964</v>
      </c>
      <c r="N408" s="14" t="n">
        <v>3.43</v>
      </c>
      <c r="O408" s="14" t="n">
        <v>0</v>
      </c>
      <c r="P408" s="14" t="n">
        <v>7.964</v>
      </c>
      <c r="Q408" s="14" t="n">
        <v>0</v>
      </c>
      <c r="R408" s="14" t="n">
        <v>1</v>
      </c>
      <c r="S408" s="14" t="n">
        <v>11.613</v>
      </c>
      <c r="T408" s="14" t="n">
        <v>6.86</v>
      </c>
      <c r="U408" s="14" t="n">
        <v>0</v>
      </c>
      <c r="V408" s="14" t="n">
        <v>13.471</v>
      </c>
      <c r="W408" s="14" t="n">
        <v>0.16</v>
      </c>
      <c r="X408" s="14" t="n">
        <v>1</v>
      </c>
      <c r="Y408" s="14" t="n">
        <v>12.117</v>
      </c>
      <c r="Z408" s="14" t="n">
        <v>1.947</v>
      </c>
      <c r="AA408" s="14" t="n">
        <v>-5.436</v>
      </c>
      <c r="AB408" s="14" t="n">
        <v>6.681</v>
      </c>
      <c r="AC408" s="14" t="n">
        <v>0</v>
      </c>
      <c r="AD408" s="14" t="n">
        <v>0</v>
      </c>
      <c r="AE408" s="14" t="n">
        <v>13.261</v>
      </c>
      <c r="AF408" s="14" t="n">
        <v>3.587</v>
      </c>
      <c r="AG408" s="14" t="n">
        <v>-6.58</v>
      </c>
      <c r="AH408" s="14" t="n">
        <v>6.681</v>
      </c>
      <c r="AI408" s="14" t="n">
        <v>0</v>
      </c>
      <c r="AJ408" s="14" t="n">
        <v>0</v>
      </c>
      <c r="AK408" s="14" t="n">
        <v>20.12</v>
      </c>
      <c r="AL408" s="14" t="n">
        <v>11.609</v>
      </c>
      <c r="AM408" s="14" t="n">
        <v>-12.82</v>
      </c>
      <c r="AN408" s="14" t="n">
        <v>7.3</v>
      </c>
      <c r="AO408" s="14" t="n">
        <v>0</v>
      </c>
      <c r="AP408" s="14" t="n">
        <v>0</v>
      </c>
      <c r="AQ408" s="14" t="n">
        <v>0.621</v>
      </c>
      <c r="AR408" s="14" t="n">
        <v>0.114</v>
      </c>
      <c r="AS408" s="14" t="n">
        <v>0.612</v>
      </c>
      <c r="AT408" s="14" t="n">
        <v>1.43</v>
      </c>
      <c r="AU408" s="14" t="n">
        <v>0.16</v>
      </c>
      <c r="AV408" s="14" t="n">
        <v>1</v>
      </c>
      <c r="AW408" s="14" t="n">
        <v>0.593</v>
      </c>
      <c r="AX408" s="14" t="n">
        <v>0.114</v>
      </c>
      <c r="AY408" s="14" t="n">
        <v>0.11</v>
      </c>
      <c r="AZ408" s="14" t="n">
        <v>0.8149999999999999</v>
      </c>
      <c r="BA408" s="14" t="n">
        <v>0.16</v>
      </c>
      <c r="BB408" s="14" t="n">
        <v>1</v>
      </c>
      <c r="BC408" s="14" t="n">
        <v>0.44</v>
      </c>
      <c r="BD408" s="14" t="n">
        <v>0.114</v>
      </c>
      <c r="BE408" s="14" t="n">
        <v>-0.076</v>
      </c>
      <c r="BF408" s="14" t="n">
        <v>0.423</v>
      </c>
      <c r="BG408" s="14" t="n">
        <v>0</v>
      </c>
      <c r="BH408" s="14" t="n">
        <v>0</v>
      </c>
      <c r="BI408" s="14" t="n">
        <v>0.5600000000000001</v>
      </c>
      <c r="BJ408" s="14" t="n">
        <v>0.114</v>
      </c>
      <c r="BK408" s="14" t="n">
        <v>0.105</v>
      </c>
      <c r="BL408" s="14" t="n">
        <v>0.772</v>
      </c>
      <c r="BM408" s="14" t="n">
        <v>0.16</v>
      </c>
      <c r="BN408" s="14" t="n">
        <v>1</v>
      </c>
      <c r="BO408" s="14" t="n">
        <v>0</v>
      </c>
      <c r="BP408" s="14" t="n">
        <v>0</v>
      </c>
      <c r="BQ408" s="14" t="n">
        <v>0.2</v>
      </c>
      <c r="BR408" s="14" t="n">
        <v>0</v>
      </c>
      <c r="BS408" s="14" t="n">
        <v>0.333</v>
      </c>
      <c r="BT408" s="14" t="n">
        <v>0</v>
      </c>
      <c r="BU408" s="14" t="n">
        <v>0</v>
      </c>
      <c r="BV408" s="14" t="n">
        <v>0.25</v>
      </c>
      <c r="BW408" s="14" t="n">
        <v>0.16</v>
      </c>
      <c r="BX408" s="14" t="n">
        <v>0.5</v>
      </c>
      <c r="BY408" s="14" t="n">
        <v>11.787</v>
      </c>
      <c r="BZ408" s="14" t="n">
        <v>0</v>
      </c>
      <c r="CA408" s="14" t="n">
        <v>11.787</v>
      </c>
      <c r="CB408" s="14" t="n">
        <v>0</v>
      </c>
      <c r="CC408" s="14" t="n">
        <v>81.69499999999999</v>
      </c>
      <c r="CD408" s="14" t="n">
        <v>7.95</v>
      </c>
      <c r="CE408" s="14" t="n">
        <v>-19.9</v>
      </c>
      <c r="CF408" s="14" t="n">
        <v>71.68300000000001</v>
      </c>
      <c r="CG408" s="14" t="n">
        <v>0</v>
      </c>
      <c r="CH408" s="14" t="n">
        <v>1</v>
      </c>
      <c r="CI408" s="14" t="n">
        <v>0</v>
      </c>
      <c r="CJ408" s="14" t="n">
        <v>0</v>
      </c>
      <c r="CK408" s="14" t="n">
        <v>0</v>
      </c>
      <c r="CL408" s="14" t="n">
        <v>0</v>
      </c>
      <c r="CM408" s="14" t="n">
        <v>0</v>
      </c>
      <c r="CN408" s="14" t="n">
        <v>0</v>
      </c>
      <c r="CO408" s="14" t="n">
        <v>0</v>
      </c>
      <c r="CP408" s="14" t="n">
        <v>0</v>
      </c>
      <c r="CQ408" s="14" t="n">
        <v>1.198</v>
      </c>
      <c r="CR408" s="14" t="n">
        <v>0</v>
      </c>
      <c r="CS408" s="14" t="n">
        <v>5.028</v>
      </c>
      <c r="CT408" s="14" t="n">
        <v>4.753</v>
      </c>
      <c r="CU408" s="14" t="n">
        <v>14.162</v>
      </c>
    </row>
    <row r="409">
      <c r="A409" s="14" t="inlineStr">
        <is>
          <t>JOR2022</t>
        </is>
      </c>
      <c r="B409" s="14" t="inlineStr">
        <is>
          <t>JOR</t>
        </is>
      </c>
      <c r="C409" s="14" t="inlineStr">
        <is>
          <t>JOR</t>
        </is>
      </c>
      <c r="D409" s="14" t="inlineStr">
        <is>
          <t>Jordan</t>
        </is>
      </c>
      <c r="E409" s="14" t="n">
        <v>2022</v>
      </c>
      <c r="F409" s="14" t="n">
        <v>0.16</v>
      </c>
      <c r="G409" s="14" t="n">
        <v>11.72</v>
      </c>
      <c r="H409" s="14" t="n">
        <v>1.235</v>
      </c>
      <c r="I409" s="14" t="n">
        <v>0</v>
      </c>
      <c r="J409" s="14" t="n">
        <v>11.72</v>
      </c>
      <c r="K409" s="14" t="n">
        <v>0</v>
      </c>
      <c r="L409" s="14" t="n">
        <v>1</v>
      </c>
      <c r="M409" s="14" t="n">
        <v>9.782999999999999</v>
      </c>
      <c r="N409" s="14" t="n">
        <v>3.704</v>
      </c>
      <c r="O409" s="14" t="n">
        <v>0</v>
      </c>
      <c r="P409" s="14" t="n">
        <v>9.782999999999999</v>
      </c>
      <c r="Q409" s="14" t="n">
        <v>0</v>
      </c>
      <c r="R409" s="14" t="n">
        <v>1</v>
      </c>
      <c r="S409" s="14" t="n">
        <v>17.893</v>
      </c>
      <c r="T409" s="14" t="n">
        <v>7.408</v>
      </c>
      <c r="U409" s="14" t="n">
        <v>0.212</v>
      </c>
      <c r="V409" s="14" t="n">
        <v>20.756</v>
      </c>
      <c r="W409" s="14" t="n">
        <v>0.16</v>
      </c>
      <c r="X409" s="14" t="n">
        <v>1</v>
      </c>
      <c r="Y409" s="14" t="n">
        <v>23.109</v>
      </c>
      <c r="Z409" s="14" t="n">
        <v>3.713</v>
      </c>
      <c r="AA409" s="14" t="n">
        <v>-15.732</v>
      </c>
      <c r="AB409" s="14" t="n">
        <v>7.377</v>
      </c>
      <c r="AC409" s="14" t="n">
        <v>0</v>
      </c>
      <c r="AD409" s="14" t="n">
        <v>0</v>
      </c>
      <c r="AE409" s="14" t="n">
        <v>24.32</v>
      </c>
      <c r="AF409" s="14" t="n">
        <v>6.578</v>
      </c>
      <c r="AG409" s="14" t="n">
        <v>-16.943</v>
      </c>
      <c r="AH409" s="14" t="n">
        <v>7.377</v>
      </c>
      <c r="AI409" s="14" t="n">
        <v>0</v>
      </c>
      <c r="AJ409" s="14" t="n">
        <v>0</v>
      </c>
      <c r="AK409" s="14" t="n">
        <v>31.586</v>
      </c>
      <c r="AL409" s="14" t="n">
        <v>18.225</v>
      </c>
      <c r="AM409" s="14" t="n">
        <v>-13.845</v>
      </c>
      <c r="AN409" s="14" t="n">
        <v>17.741</v>
      </c>
      <c r="AO409" s="14" t="n">
        <v>0</v>
      </c>
      <c r="AP409" s="14" t="n">
        <v>0</v>
      </c>
      <c r="AQ409" s="14" t="n">
        <v>0.847</v>
      </c>
      <c r="AR409" s="14" t="n">
        <v>0.123</v>
      </c>
      <c r="AS409" s="14" t="n">
        <v>0.5620000000000001</v>
      </c>
      <c r="AT409" s="14" t="n">
        <v>1.634</v>
      </c>
      <c r="AU409" s="14" t="n">
        <v>0.16</v>
      </c>
      <c r="AV409" s="14" t="n">
        <v>1</v>
      </c>
      <c r="AW409" s="14" t="n">
        <v>0.947</v>
      </c>
      <c r="AX409" s="14" t="n">
        <v>0.123</v>
      </c>
      <c r="AY409" s="14" t="n">
        <v>-0.073</v>
      </c>
      <c r="AZ409" s="14" t="n">
        <v>1.014</v>
      </c>
      <c r="BA409" s="14" t="n">
        <v>0.16</v>
      </c>
      <c r="BB409" s="14" t="n">
        <v>1</v>
      </c>
      <c r="BC409" s="14" t="n">
        <v>0.589</v>
      </c>
      <c r="BD409" s="14" t="n">
        <v>0.123</v>
      </c>
      <c r="BE409" s="14" t="n">
        <v>-0.224</v>
      </c>
      <c r="BF409" s="14" t="n">
        <v>0.423</v>
      </c>
      <c r="BG409" s="14" t="n">
        <v>0</v>
      </c>
      <c r="BH409" s="14" t="n">
        <v>0</v>
      </c>
      <c r="BI409" s="14" t="n">
        <v>0.6889999999999999</v>
      </c>
      <c r="BJ409" s="14" t="n">
        <v>0.123</v>
      </c>
      <c r="BK409" s="14" t="n">
        <v>0.183</v>
      </c>
      <c r="BL409" s="14" t="n">
        <v>1.011</v>
      </c>
      <c r="BM409" s="14" t="n">
        <v>0.16</v>
      </c>
      <c r="BN409" s="14" t="n">
        <v>1</v>
      </c>
      <c r="BO409" s="14" t="n">
        <v>0</v>
      </c>
      <c r="BP409" s="14" t="n">
        <v>0</v>
      </c>
      <c r="BQ409" s="14" t="n">
        <v>0.2</v>
      </c>
      <c r="BR409" s="14" t="n">
        <v>0</v>
      </c>
      <c r="BS409" s="14" t="n">
        <v>0.333</v>
      </c>
      <c r="BT409" s="14" t="n">
        <v>0</v>
      </c>
      <c r="BU409" s="14" t="n">
        <v>0</v>
      </c>
      <c r="BV409" s="14" t="n">
        <v>0.25</v>
      </c>
      <c r="BW409" s="14" t="n">
        <v>0.16</v>
      </c>
      <c r="BX409" s="14" t="n">
        <v>0.5</v>
      </c>
      <c r="BY409" s="14" t="n">
        <v>12.729</v>
      </c>
      <c r="BZ409" s="14" t="n">
        <v>0</v>
      </c>
      <c r="CA409" s="14" t="n">
        <v>12.729</v>
      </c>
      <c r="CB409" s="14" t="n">
        <v>0</v>
      </c>
      <c r="CC409" s="14" t="n">
        <v>102.477</v>
      </c>
      <c r="CD409" s="14" t="n">
        <v>7.95</v>
      </c>
      <c r="CE409" s="14" t="n">
        <v>-27.42</v>
      </c>
      <c r="CF409" s="14" t="n">
        <v>87.066</v>
      </c>
      <c r="CG409" s="14" t="n">
        <v>0</v>
      </c>
      <c r="CH409" s="14" t="n">
        <v>1</v>
      </c>
      <c r="CI409" s="14" t="n">
        <v>0</v>
      </c>
      <c r="CJ409" s="14" t="n">
        <v>0</v>
      </c>
      <c r="CK409" s="14" t="n">
        <v>0</v>
      </c>
      <c r="CL409" s="14" t="n">
        <v>0</v>
      </c>
      <c r="CM409" s="14" t="n">
        <v>0</v>
      </c>
      <c r="CN409" s="14" t="n">
        <v>0</v>
      </c>
      <c r="CO409" s="14" t="n">
        <v>0</v>
      </c>
      <c r="CP409" s="14" t="n">
        <v>0</v>
      </c>
      <c r="CQ409" s="14" t="n">
        <v>1.294</v>
      </c>
      <c r="CR409" s="14" t="n">
        <v>0.038</v>
      </c>
      <c r="CS409" s="14" t="n">
        <v>5.43</v>
      </c>
      <c r="CT409" s="14" t="n">
        <v>10.485</v>
      </c>
      <c r="CU409" s="14" t="n">
        <v>30.326</v>
      </c>
    </row>
    <row r="410">
      <c r="A410" s="14" t="inlineStr">
        <is>
          <t>JOR2023</t>
        </is>
      </c>
      <c r="B410" s="14" t="inlineStr">
        <is>
          <t>JOR</t>
        </is>
      </c>
      <c r="C410" s="14" t="inlineStr">
        <is>
          <t>JOR</t>
        </is>
      </c>
      <c r="D410" s="14" t="inlineStr">
        <is>
          <t>Jordan</t>
        </is>
      </c>
      <c r="E410" s="14" t="n">
        <v>2023</v>
      </c>
      <c r="F410" s="14" t="n">
        <v>0.16</v>
      </c>
      <c r="G410" s="14" t="n">
        <v>6.147</v>
      </c>
      <c r="H410" s="14" t="n">
        <v>1.286</v>
      </c>
      <c r="I410" s="14" t="n">
        <v>0</v>
      </c>
      <c r="J410" s="14" t="n">
        <v>6.147</v>
      </c>
      <c r="K410" s="14" t="n">
        <v>0</v>
      </c>
      <c r="L410" s="14" t="n">
        <v>1</v>
      </c>
      <c r="M410" s="14" t="n">
        <v>7.886</v>
      </c>
      <c r="N410" s="14" t="n">
        <v>3.857</v>
      </c>
      <c r="O410" s="14" t="n">
        <v>0</v>
      </c>
      <c r="P410" s="14" t="n">
        <v>7.886</v>
      </c>
      <c r="Q410" s="14" t="n">
        <v>0</v>
      </c>
      <c r="R410" s="14" t="n">
        <v>1</v>
      </c>
      <c r="S410" s="14" t="n">
        <v>12.575</v>
      </c>
      <c r="T410" s="14" t="n">
        <v>7.714</v>
      </c>
      <c r="U410" s="14" t="n">
        <v>0.223</v>
      </c>
      <c r="V410" s="14" t="n">
        <v>14.587</v>
      </c>
      <c r="W410" s="14" t="n">
        <v>0.16</v>
      </c>
      <c r="X410" s="14" t="n">
        <v>1</v>
      </c>
      <c r="Y410" s="14" t="n">
        <v>9.709</v>
      </c>
      <c r="Z410" s="14" t="n">
        <v>1.56</v>
      </c>
      <c r="AA410" s="14" t="n">
        <v>-3.112</v>
      </c>
      <c r="AB410" s="14" t="n">
        <v>6.597</v>
      </c>
      <c r="AC410" s="14" t="n">
        <v>0</v>
      </c>
      <c r="AD410" s="14" t="n">
        <v>0</v>
      </c>
      <c r="AE410" s="14" t="n">
        <v>10.969</v>
      </c>
      <c r="AF410" s="14" t="n">
        <v>2.967</v>
      </c>
      <c r="AG410" s="14" t="n">
        <v>-4.372</v>
      </c>
      <c r="AH410" s="14" t="n">
        <v>6.597</v>
      </c>
      <c r="AI410" s="14" t="n">
        <v>0</v>
      </c>
      <c r="AJ410" s="14" t="n">
        <v>0</v>
      </c>
      <c r="AK410" s="14" t="n">
        <v>18.53</v>
      </c>
      <c r="AL410" s="14" t="n">
        <v>10.692</v>
      </c>
      <c r="AM410" s="14" t="n">
        <v>-14.984</v>
      </c>
      <c r="AN410" s="14" t="n">
        <v>4.114</v>
      </c>
      <c r="AO410" s="14" t="n">
        <v>0</v>
      </c>
      <c r="AP410" s="14" t="n">
        <v>0</v>
      </c>
      <c r="AQ410" s="14" t="n">
        <v>0.749</v>
      </c>
      <c r="AR410" s="14" t="n">
        <v>0.129</v>
      </c>
      <c r="AS410" s="14" t="n">
        <v>0.673</v>
      </c>
      <c r="AT410" s="14" t="n">
        <v>1.649</v>
      </c>
      <c r="AU410" s="14" t="n">
        <v>0.16</v>
      </c>
      <c r="AV410" s="14" t="n">
        <v>1</v>
      </c>
      <c r="AW410" s="14" t="n">
        <v>0.783</v>
      </c>
      <c r="AX410" s="14" t="n">
        <v>0.129</v>
      </c>
      <c r="AY410" s="14" t="n">
        <v>0.154</v>
      </c>
      <c r="AZ410" s="14" t="n">
        <v>1.086</v>
      </c>
      <c r="BA410" s="14" t="n">
        <v>0.16</v>
      </c>
      <c r="BB410" s="14" t="n">
        <v>1</v>
      </c>
      <c r="BC410" s="14" t="n">
        <v>0.527</v>
      </c>
      <c r="BD410" s="14" t="n">
        <v>0.129</v>
      </c>
      <c r="BE410" s="14" t="n">
        <v>-0.163</v>
      </c>
      <c r="BF410" s="14" t="n">
        <v>0.423</v>
      </c>
      <c r="BG410" s="14" t="n">
        <v>0</v>
      </c>
      <c r="BH410" s="14" t="n">
        <v>0</v>
      </c>
      <c r="BI410" s="14" t="n">
        <v>0.64</v>
      </c>
      <c r="BJ410" s="14" t="n">
        <v>0.129</v>
      </c>
      <c r="BK410" s="14" t="n">
        <v>0.113</v>
      </c>
      <c r="BL410" s="14" t="n">
        <v>0.873</v>
      </c>
      <c r="BM410" s="14" t="n">
        <v>0.16</v>
      </c>
      <c r="BN410" s="14" t="n">
        <v>1</v>
      </c>
      <c r="BO410" s="14" t="n">
        <v>0</v>
      </c>
      <c r="BP410" s="14" t="n">
        <v>0</v>
      </c>
      <c r="BQ410" s="14" t="n">
        <v>0.2</v>
      </c>
      <c r="BR410" s="14" t="n">
        <v>0</v>
      </c>
      <c r="BS410" s="14" t="n">
        <v>0.333</v>
      </c>
      <c r="BT410" s="14" t="n">
        <v>0</v>
      </c>
      <c r="BU410" s="14" t="n">
        <v>0</v>
      </c>
      <c r="BV410" s="14" t="n">
        <v>0.25</v>
      </c>
      <c r="BW410" s="14" t="n">
        <v>0.16</v>
      </c>
      <c r="BX410" s="14" t="n">
        <v>0.5</v>
      </c>
      <c r="BY410" s="14" t="n">
        <v>13.254</v>
      </c>
      <c r="BZ410" s="14" t="n">
        <v>0</v>
      </c>
      <c r="CA410" s="14" t="n">
        <v>13.254</v>
      </c>
      <c r="CB410" s="14" t="n">
        <v>0</v>
      </c>
      <c r="CC410" s="14" t="n">
        <v>87.07899999999999</v>
      </c>
      <c r="CD410" s="14" t="n">
        <v>7.95</v>
      </c>
      <c r="CE410" s="14" t="n">
        <v>-18.965</v>
      </c>
      <c r="CF410" s="14" t="n">
        <v>79.012</v>
      </c>
      <c r="CG410" s="14" t="n">
        <v>0</v>
      </c>
      <c r="CH410" s="14" t="n">
        <v>1</v>
      </c>
      <c r="CI410" s="14" t="n">
        <v>0</v>
      </c>
      <c r="CJ410" s="14" t="n">
        <v>0</v>
      </c>
      <c r="CK410" s="14" t="n">
        <v>0</v>
      </c>
      <c r="CL410" s="14" t="n">
        <v>0</v>
      </c>
      <c r="CM410" s="14" t="n">
        <v>0</v>
      </c>
      <c r="CN410" s="14" t="n">
        <v>0</v>
      </c>
      <c r="CO410" s="14" t="n">
        <v>0</v>
      </c>
      <c r="CP410" s="14" t="n">
        <v>0</v>
      </c>
      <c r="CQ410" s="14" t="n">
        <v>1.348</v>
      </c>
      <c r="CR410" s="14" t="n">
        <v>0.04</v>
      </c>
      <c r="CS410" s="14" t="n">
        <v>5.654</v>
      </c>
      <c r="CT410" s="14" t="n">
        <v>4.861</v>
      </c>
      <c r="CU410" s="14" t="n">
        <v>10.622</v>
      </c>
    </row>
    <row r="411">
      <c r="A411" s="14" t="inlineStr">
        <is>
          <t>JOR2024</t>
        </is>
      </c>
      <c r="B411" s="14" t="inlineStr">
        <is>
          <t>JOR</t>
        </is>
      </c>
      <c r="C411" s="14" t="inlineStr">
        <is>
          <t>JOR</t>
        </is>
      </c>
      <c r="D411" s="14" t="inlineStr">
        <is>
          <t>Jordan</t>
        </is>
      </c>
      <c r="E411" s="14" t="n">
        <v>2024</v>
      </c>
      <c r="F411" s="14" t="n">
        <v>0.16</v>
      </c>
      <c r="G411" s="14" t="n">
        <v>5.575</v>
      </c>
      <c r="H411" s="14" t="n">
        <v>1.324</v>
      </c>
      <c r="I411" s="14" t="n">
        <v>0</v>
      </c>
      <c r="J411" s="14" t="n">
        <v>5.575</v>
      </c>
      <c r="K411" s="14" t="n">
        <v>0</v>
      </c>
      <c r="L411" s="14" t="n">
        <v>1</v>
      </c>
      <c r="M411" s="14" t="n">
        <v>7.124</v>
      </c>
      <c r="N411" s="14" t="n">
        <v>3.971</v>
      </c>
      <c r="O411" s="14" t="n">
        <v>0</v>
      </c>
      <c r="P411" s="14" t="n">
        <v>7.124</v>
      </c>
      <c r="Q411" s="14" t="n">
        <v>0</v>
      </c>
      <c r="R411" s="14" t="n">
        <v>1</v>
      </c>
      <c r="S411" s="14" t="n">
        <v>12.193</v>
      </c>
      <c r="T411" s="14" t="n">
        <v>7.942</v>
      </c>
      <c r="U411" s="14" t="n">
        <v>0.266</v>
      </c>
      <c r="V411" s="14" t="n">
        <v>14.144</v>
      </c>
      <c r="W411" s="14" t="n">
        <v>0.16</v>
      </c>
      <c r="X411" s="14" t="n">
        <v>1</v>
      </c>
      <c r="Y411" s="14" t="n">
        <v>8.787000000000001</v>
      </c>
      <c r="Z411" s="14" t="n">
        <v>1.412</v>
      </c>
      <c r="AA411" s="14" t="n">
        <v>-2.038</v>
      </c>
      <c r="AB411" s="14" t="n">
        <v>6.749</v>
      </c>
      <c r="AC411" s="14" t="n">
        <v>0</v>
      </c>
      <c r="AD411" s="14" t="n">
        <v>0</v>
      </c>
      <c r="AE411" s="14" t="n">
        <v>10.084</v>
      </c>
      <c r="AF411" s="14" t="n">
        <v>2.727</v>
      </c>
      <c r="AG411" s="14" t="n">
        <v>-3.335</v>
      </c>
      <c r="AH411" s="14" t="n">
        <v>6.749</v>
      </c>
      <c r="AI411" s="14" t="n">
        <v>0</v>
      </c>
      <c r="AJ411" s="14" t="n">
        <v>0</v>
      </c>
      <c r="AK411" s="14" t="n">
        <v>17.868</v>
      </c>
      <c r="AL411" s="14" t="n">
        <v>10.31</v>
      </c>
      <c r="AM411" s="14" t="n">
        <v>-14.396</v>
      </c>
      <c r="AN411" s="14" t="n">
        <v>4.028</v>
      </c>
      <c r="AO411" s="14" t="n">
        <v>0</v>
      </c>
      <c r="AP411" s="14" t="n">
        <v>0</v>
      </c>
      <c r="AQ411" s="14" t="n">
        <v>0.72</v>
      </c>
      <c r="AR411" s="14" t="n">
        <v>0.132</v>
      </c>
      <c r="AS411" s="14" t="n">
        <v>0.667</v>
      </c>
      <c r="AT411" s="14" t="n">
        <v>1.608</v>
      </c>
      <c r="AU411" s="14" t="n">
        <v>0.16</v>
      </c>
      <c r="AV411" s="14" t="n">
        <v>1</v>
      </c>
      <c r="AW411" s="14" t="n">
        <v>0.734</v>
      </c>
      <c r="AX411" s="14" t="n">
        <v>0.132</v>
      </c>
      <c r="AY411" s="14" t="n">
        <v>0.122</v>
      </c>
      <c r="AZ411" s="14" t="n">
        <v>0.993</v>
      </c>
      <c r="BA411" s="14" t="n">
        <v>0.16</v>
      </c>
      <c r="BB411" s="14" t="n">
        <v>1</v>
      </c>
      <c r="BC411" s="14" t="n">
        <v>0.51</v>
      </c>
      <c r="BD411" s="14" t="n">
        <v>0.132</v>
      </c>
      <c r="BE411" s="14" t="n">
        <v>-0.146</v>
      </c>
      <c r="BF411" s="14" t="n">
        <v>0.423</v>
      </c>
      <c r="BG411" s="14" t="n">
        <v>0</v>
      </c>
      <c r="BH411" s="14" t="n">
        <v>0</v>
      </c>
      <c r="BI411" s="14" t="n">
        <v>0.652</v>
      </c>
      <c r="BJ411" s="14" t="n">
        <v>0.132</v>
      </c>
      <c r="BK411" s="14" t="n">
        <v>0.101</v>
      </c>
      <c r="BL411" s="14" t="n">
        <v>0.873</v>
      </c>
      <c r="BM411" s="14" t="n">
        <v>0.16</v>
      </c>
      <c r="BN411" s="14" t="n">
        <v>1</v>
      </c>
      <c r="BO411" s="14" t="n">
        <v>0</v>
      </c>
      <c r="BP411" s="14" t="n">
        <v>0</v>
      </c>
      <c r="BQ411" s="14" t="n">
        <v>0.197</v>
      </c>
      <c r="BR411" s="14" t="n">
        <v>0</v>
      </c>
      <c r="BS411" s="14" t="n">
        <v>0.333</v>
      </c>
      <c r="BT411" s="14" t="n">
        <v>0</v>
      </c>
      <c r="BU411" s="14" t="n">
        <v>0</v>
      </c>
      <c r="BV411" s="14" t="n">
        <v>0.223</v>
      </c>
      <c r="BW411" s="14" t="n">
        <v>0.16</v>
      </c>
      <c r="BX411" s="14" t="n">
        <v>0.5</v>
      </c>
      <c r="BY411" s="14" t="n">
        <v>13.646</v>
      </c>
      <c r="BZ411" s="14" t="n">
        <v>0</v>
      </c>
      <c r="CA411" s="14" t="n">
        <v>13.646</v>
      </c>
      <c r="CB411" s="14" t="n">
        <v>0</v>
      </c>
      <c r="CC411" s="14" t="n">
        <v>86.38500000000001</v>
      </c>
      <c r="CD411" s="14" t="n">
        <v>7.95</v>
      </c>
      <c r="CE411" s="14" t="n">
        <v>-16.132</v>
      </c>
      <c r="CF411" s="14" t="n">
        <v>81.494</v>
      </c>
      <c r="CG411" s="14" t="n">
        <v>0</v>
      </c>
      <c r="CH411" s="14" t="n">
        <v>1</v>
      </c>
      <c r="CI411" s="14" t="n">
        <v>0</v>
      </c>
      <c r="CJ411" s="14" t="n">
        <v>0</v>
      </c>
      <c r="CK411" s="14" t="n">
        <v>0</v>
      </c>
      <c r="CL411" s="14" t="n">
        <v>0</v>
      </c>
      <c r="CM411" s="14" t="n">
        <v>0</v>
      </c>
      <c r="CN411" s="14" t="n">
        <v>0</v>
      </c>
      <c r="CO411" s="14" t="n">
        <v>0</v>
      </c>
      <c r="CP411" s="14" t="n">
        <v>0</v>
      </c>
      <c r="CQ411" s="14" t="n">
        <v>1.387</v>
      </c>
      <c r="CR411" s="14" t="n">
        <v>0.04</v>
      </c>
      <c r="CS411" s="14" t="n">
        <v>5.821</v>
      </c>
      <c r="CT411" s="14" t="n">
        <v>4.251</v>
      </c>
      <c r="CU411" s="14" t="n">
        <v>9.167999999999999</v>
      </c>
    </row>
    <row r="412">
      <c r="A412" s="14" t="inlineStr">
        <is>
          <t>KAZ2021</t>
        </is>
      </c>
      <c r="B412" s="14" t="inlineStr">
        <is>
          <t>KAZ</t>
        </is>
      </c>
      <c r="C412" s="14" t="inlineStr">
        <is>
          <t>KAZ</t>
        </is>
      </c>
      <c r="D412" s="14" t="inlineStr">
        <is>
          <t>Kazakhstan</t>
        </is>
      </c>
      <c r="E412" s="14" t="n">
        <v>2021</v>
      </c>
      <c r="F412" s="14" t="n">
        <v>0.12</v>
      </c>
      <c r="G412" s="14" t="n">
        <v>3.092</v>
      </c>
      <c r="H412" s="14" t="n">
        <v>0.588</v>
      </c>
      <c r="I412" s="14" t="n">
        <v>1.063</v>
      </c>
      <c r="J412" s="14" t="n">
        <v>4.155</v>
      </c>
      <c r="K412" s="14" t="n">
        <v>0</v>
      </c>
      <c r="L412" s="14" t="n">
        <v>1</v>
      </c>
      <c r="M412" s="14" t="n">
        <v>3.058</v>
      </c>
      <c r="N412" s="14" t="n">
        <v>1.764</v>
      </c>
      <c r="O412" s="14" t="n">
        <v>0.067</v>
      </c>
      <c r="P412" s="14" t="n">
        <v>3.125</v>
      </c>
      <c r="Q412" s="14" t="n">
        <v>0</v>
      </c>
      <c r="R412" s="14" t="n">
        <v>1</v>
      </c>
      <c r="S412" s="14" t="n">
        <v>1.004</v>
      </c>
      <c r="T412" s="14" t="n">
        <v>0.622</v>
      </c>
      <c r="U412" s="14" t="n">
        <v>0.003</v>
      </c>
      <c r="V412" s="14" t="n">
        <v>1.128</v>
      </c>
      <c r="W412" s="14" t="n">
        <v>0.12</v>
      </c>
      <c r="X412" s="14" t="n">
        <v>1</v>
      </c>
      <c r="Y412" s="14" t="n">
        <v>7.283</v>
      </c>
      <c r="Z412" s="14" t="n">
        <v>1.041</v>
      </c>
      <c r="AA412" s="14" t="n">
        <v>-6.017</v>
      </c>
      <c r="AB412" s="14" t="n">
        <v>1.266</v>
      </c>
      <c r="AC412" s="14" t="n">
        <v>0</v>
      </c>
      <c r="AD412" s="14" t="n">
        <v>0</v>
      </c>
      <c r="AE412" s="14" t="n">
        <v>7.922</v>
      </c>
      <c r="AF412" s="14" t="n">
        <v>1.932</v>
      </c>
      <c r="AG412" s="14" t="n">
        <v>-6.656</v>
      </c>
      <c r="AH412" s="14" t="n">
        <v>1.266</v>
      </c>
      <c r="AI412" s="14" t="n">
        <v>0</v>
      </c>
      <c r="AJ412" s="14" t="n">
        <v>0</v>
      </c>
      <c r="AK412" s="14" t="n">
        <v>11.757</v>
      </c>
      <c r="AL412" s="14" t="n">
        <v>6.311</v>
      </c>
      <c r="AM412" s="14" t="n">
        <v>-10.356</v>
      </c>
      <c r="AN412" s="14" t="n">
        <v>1.569</v>
      </c>
      <c r="AO412" s="14" t="n">
        <v>0</v>
      </c>
      <c r="AP412" s="14" t="n">
        <v>0</v>
      </c>
      <c r="AQ412" s="14" t="n">
        <v>0.619</v>
      </c>
      <c r="AR412" s="14" t="n">
        <v>0.114</v>
      </c>
      <c r="AS412" s="14" t="n">
        <v>-0.241</v>
      </c>
      <c r="AT412" s="14" t="n">
        <v>0.423</v>
      </c>
      <c r="AU412" s="14" t="n">
        <v>0</v>
      </c>
      <c r="AV412" s="14" t="n">
        <v>0</v>
      </c>
      <c r="AW412" s="14" t="n">
        <v>0.599</v>
      </c>
      <c r="AX412" s="14" t="n">
        <v>0.114</v>
      </c>
      <c r="AY412" s="14" t="n">
        <v>-0.14</v>
      </c>
      <c r="AZ412" s="14" t="n">
        <v>0.515</v>
      </c>
      <c r="BA412" s="14" t="n">
        <v>0</v>
      </c>
      <c r="BB412" s="14" t="n">
        <v>1</v>
      </c>
      <c r="BC412" s="14" t="n">
        <v>0.439</v>
      </c>
      <c r="BD412" s="14" t="n">
        <v>0.114</v>
      </c>
      <c r="BE412" s="14" t="n">
        <v>-0.349</v>
      </c>
      <c r="BF412" s="14" t="n">
        <v>0.09</v>
      </c>
      <c r="BG412" s="14" t="n">
        <v>0</v>
      </c>
      <c r="BH412" s="14" t="n">
        <v>0</v>
      </c>
      <c r="BI412" s="14" t="n">
        <v>0.505</v>
      </c>
      <c r="BJ412" s="14" t="n">
        <v>0.114</v>
      </c>
      <c r="BK412" s="14" t="n">
        <v>0.004</v>
      </c>
      <c r="BL412" s="14" t="n">
        <v>0.57</v>
      </c>
      <c r="BM412" s="14" t="n">
        <v>0.12</v>
      </c>
      <c r="BN412" s="14" t="n">
        <v>1</v>
      </c>
      <c r="BO412" s="14" t="n">
        <v>0</v>
      </c>
      <c r="BP412" s="14" t="n">
        <v>-0.039</v>
      </c>
      <c r="BQ412" s="14" t="n">
        <v>0.059</v>
      </c>
      <c r="BR412" s="14" t="n">
        <v>0</v>
      </c>
      <c r="BS412" s="14" t="n">
        <v>0.833</v>
      </c>
      <c r="BT412" s="14" t="n">
        <v>0</v>
      </c>
      <c r="BU412" s="14" t="n">
        <v>-0.039</v>
      </c>
      <c r="BV412" s="14" t="n">
        <v>0.037</v>
      </c>
      <c r="BW412" s="14" t="n">
        <v>0</v>
      </c>
      <c r="BX412" s="14" t="n">
        <v>0.667</v>
      </c>
      <c r="BY412" s="14" t="n">
        <v>11.787</v>
      </c>
      <c r="BZ412" s="14" t="n">
        <v>0</v>
      </c>
      <c r="CA412" s="14" t="n">
        <v>11.787</v>
      </c>
      <c r="CB412" s="14" t="n">
        <v>0</v>
      </c>
      <c r="CC412" s="14" t="n">
        <v>78.125</v>
      </c>
      <c r="CD412" s="14" t="n">
        <v>7.95</v>
      </c>
      <c r="CE412" s="14" t="n">
        <v>-2.386</v>
      </c>
      <c r="CF412" s="14" t="n">
        <v>84.828</v>
      </c>
      <c r="CG412" s="14" t="n">
        <v>0.12</v>
      </c>
      <c r="CH412" s="14" t="n">
        <v>1</v>
      </c>
      <c r="CI412" s="14" t="n">
        <v>0</v>
      </c>
      <c r="CJ412" s="14" t="n">
        <v>0</v>
      </c>
      <c r="CK412" s="14" t="n">
        <v>0</v>
      </c>
      <c r="CL412" s="14" t="n">
        <v>0</v>
      </c>
      <c r="CM412" s="14" t="n">
        <v>0</v>
      </c>
      <c r="CN412" s="14" t="n">
        <v>0</v>
      </c>
      <c r="CO412" s="14" t="n">
        <v>0</v>
      </c>
      <c r="CP412" s="14" t="n">
        <v>0.971</v>
      </c>
      <c r="CQ412" s="14" t="n">
        <v>1.198</v>
      </c>
      <c r="CR412" s="14" t="n">
        <v>0.882</v>
      </c>
      <c r="CS412" s="14" t="n">
        <v>6.634</v>
      </c>
      <c r="CT412" s="14" t="n">
        <v>4.41</v>
      </c>
      <c r="CU412" s="14" t="n">
        <v>14.129</v>
      </c>
    </row>
    <row r="413">
      <c r="A413" s="14" t="inlineStr">
        <is>
          <t>KAZ2022</t>
        </is>
      </c>
      <c r="B413" s="14" t="inlineStr">
        <is>
          <t>KAZ</t>
        </is>
      </c>
      <c r="C413" s="14" t="inlineStr">
        <is>
          <t>KAZ</t>
        </is>
      </c>
      <c r="D413" s="14" t="inlineStr">
        <is>
          <t>Kazakhstan</t>
        </is>
      </c>
      <c r="E413" s="14" t="n">
        <v>2022</v>
      </c>
      <c r="F413" s="14" t="n">
        <v>0.12</v>
      </c>
      <c r="G413" s="14" t="n">
        <v>3.29</v>
      </c>
      <c r="H413" s="14" t="n">
        <v>0.625</v>
      </c>
      <c r="I413" s="14" t="n">
        <v>1.186</v>
      </c>
      <c r="J413" s="14" t="n">
        <v>4.476</v>
      </c>
      <c r="K413" s="14" t="n">
        <v>0</v>
      </c>
      <c r="L413" s="14" t="n">
        <v>1</v>
      </c>
      <c r="M413" s="14" t="n">
        <v>3.233</v>
      </c>
      <c r="N413" s="14" t="n">
        <v>1.876</v>
      </c>
      <c r="O413" s="14" t="n">
        <v>0.107</v>
      </c>
      <c r="P413" s="14" t="n">
        <v>3.34</v>
      </c>
      <c r="Q413" s="14" t="n">
        <v>0</v>
      </c>
      <c r="R413" s="14" t="n">
        <v>1</v>
      </c>
      <c r="S413" s="14" t="n">
        <v>1.007</v>
      </c>
      <c r="T413" s="14" t="n">
        <v>0.493</v>
      </c>
      <c r="U413" s="14" t="n">
        <v>0.004</v>
      </c>
      <c r="V413" s="14" t="n">
        <v>1.133</v>
      </c>
      <c r="W413" s="14" t="n">
        <v>0.12</v>
      </c>
      <c r="X413" s="14" t="n">
        <v>1</v>
      </c>
      <c r="Y413" s="14" t="n">
        <v>7.793</v>
      </c>
      <c r="Z413" s="14" t="n">
        <v>1.114</v>
      </c>
      <c r="AA413" s="14" t="n">
        <v>-6.568</v>
      </c>
      <c r="AB413" s="14" t="n">
        <v>1.226</v>
      </c>
      <c r="AC413" s="14" t="n">
        <v>0</v>
      </c>
      <c r="AD413" s="14" t="n">
        <v>0</v>
      </c>
      <c r="AE413" s="14" t="n">
        <v>8.445</v>
      </c>
      <c r="AF413" s="14" t="n">
        <v>2.06</v>
      </c>
      <c r="AG413" s="14" t="n">
        <v>-7.22</v>
      </c>
      <c r="AH413" s="14" t="n">
        <v>1.226</v>
      </c>
      <c r="AI413" s="14" t="n">
        <v>0</v>
      </c>
      <c r="AJ413" s="14" t="n">
        <v>0</v>
      </c>
      <c r="AK413" s="14" t="n">
        <v>12.359</v>
      </c>
      <c r="AL413" s="14" t="n">
        <v>6.633</v>
      </c>
      <c r="AM413" s="14" t="n">
        <v>-11.021</v>
      </c>
      <c r="AN413" s="14" t="n">
        <v>1.498</v>
      </c>
      <c r="AO413" s="14" t="n">
        <v>0</v>
      </c>
      <c r="AP413" s="14" t="n">
        <v>0</v>
      </c>
      <c r="AQ413" s="14" t="n">
        <v>0.861</v>
      </c>
      <c r="AR413" s="14" t="n">
        <v>0.123</v>
      </c>
      <c r="AS413" s="14" t="n">
        <v>-0.492</v>
      </c>
      <c r="AT413" s="14" t="n">
        <v>0.413</v>
      </c>
      <c r="AU413" s="14" t="n">
        <v>0</v>
      </c>
      <c r="AV413" s="14" t="n">
        <v>0</v>
      </c>
      <c r="AW413" s="14" t="n">
        <v>0.986</v>
      </c>
      <c r="AX413" s="14" t="n">
        <v>0.123</v>
      </c>
      <c r="AY413" s="14" t="n">
        <v>-0.46</v>
      </c>
      <c r="AZ413" s="14" t="n">
        <v>0.589</v>
      </c>
      <c r="BA413" s="14" t="n">
        <v>0</v>
      </c>
      <c r="BB413" s="14" t="n">
        <v>1</v>
      </c>
      <c r="BC413" s="14" t="n">
        <v>0.598</v>
      </c>
      <c r="BD413" s="14" t="n">
        <v>0.123</v>
      </c>
      <c r="BE413" s="14" t="n">
        <v>-0.466</v>
      </c>
      <c r="BF413" s="14" t="n">
        <v>0.147</v>
      </c>
      <c r="BG413" s="14" t="n">
        <v>0</v>
      </c>
      <c r="BH413" s="14" t="n">
        <v>0</v>
      </c>
      <c r="BI413" s="14" t="n">
        <v>0.612</v>
      </c>
      <c r="BJ413" s="14" t="n">
        <v>0.123</v>
      </c>
      <c r="BK413" s="14" t="n">
        <v>0.016</v>
      </c>
      <c r="BL413" s="14" t="n">
        <v>0.697</v>
      </c>
      <c r="BM413" s="14" t="n">
        <v>0.12</v>
      </c>
      <c r="BN413" s="14" t="n">
        <v>1</v>
      </c>
      <c r="BO413" s="14" t="n">
        <v>0</v>
      </c>
      <c r="BP413" s="14" t="n">
        <v>-0.039</v>
      </c>
      <c r="BQ413" s="14" t="n">
        <v>0.055</v>
      </c>
      <c r="BR413" s="14" t="n">
        <v>0</v>
      </c>
      <c r="BS413" s="14" t="n">
        <v>0.833</v>
      </c>
      <c r="BT413" s="14" t="n">
        <v>0</v>
      </c>
      <c r="BU413" s="14" t="n">
        <v>-0.039</v>
      </c>
      <c r="BV413" s="14" t="n">
        <v>0.034</v>
      </c>
      <c r="BW413" s="14" t="n">
        <v>0</v>
      </c>
      <c r="BX413" s="14" t="n">
        <v>0.667</v>
      </c>
      <c r="BY413" s="14" t="n">
        <v>12.729</v>
      </c>
      <c r="BZ413" s="14" t="n">
        <v>0</v>
      </c>
      <c r="CA413" s="14" t="n">
        <v>12.729</v>
      </c>
      <c r="CB413" s="14" t="n">
        <v>0</v>
      </c>
      <c r="CC413" s="14" t="n">
        <v>97.90000000000001</v>
      </c>
      <c r="CD413" s="14" t="n">
        <v>7.95</v>
      </c>
      <c r="CE413" s="14" t="n">
        <v>-4.784</v>
      </c>
      <c r="CF413" s="14" t="n">
        <v>103.372</v>
      </c>
      <c r="CG413" s="14" t="n">
        <v>0.12</v>
      </c>
      <c r="CH413" s="14" t="n">
        <v>1</v>
      </c>
      <c r="CI413" s="14" t="n">
        <v>0</v>
      </c>
      <c r="CJ413" s="14" t="n">
        <v>0</v>
      </c>
      <c r="CK413" s="14" t="n">
        <v>0</v>
      </c>
      <c r="CL413" s="14" t="n">
        <v>0</v>
      </c>
      <c r="CM413" s="14" t="n">
        <v>0</v>
      </c>
      <c r="CN413" s="14" t="n">
        <v>0</v>
      </c>
      <c r="CO413" s="14" t="n">
        <v>0</v>
      </c>
      <c r="CP413" s="14" t="n">
        <v>0.987</v>
      </c>
      <c r="CQ413" s="14" t="n">
        <v>1.294</v>
      </c>
      <c r="CR413" s="14" t="n">
        <v>0.944</v>
      </c>
      <c r="CS413" s="14" t="n">
        <v>7.164</v>
      </c>
      <c r="CT413" s="14" t="n">
        <v>5.842</v>
      </c>
      <c r="CU413" s="14" t="n">
        <v>28.059</v>
      </c>
    </row>
    <row r="414">
      <c r="A414" s="14" t="inlineStr">
        <is>
          <t>KAZ2023</t>
        </is>
      </c>
      <c r="B414" s="14" t="inlineStr">
        <is>
          <t>KAZ</t>
        </is>
      </c>
      <c r="C414" s="14" t="inlineStr">
        <is>
          <t>KAZ</t>
        </is>
      </c>
      <c r="D414" s="14" t="inlineStr">
        <is>
          <t>Kazakhstan</t>
        </is>
      </c>
      <c r="E414" s="14" t="n">
        <v>2023</v>
      </c>
      <c r="F414" s="14" t="n">
        <v>0.12</v>
      </c>
      <c r="G414" s="14" t="n">
        <v>3.393</v>
      </c>
      <c r="H414" s="14" t="n">
        <v>0.652</v>
      </c>
      <c r="I414" s="14" t="n">
        <v>1.236</v>
      </c>
      <c r="J414" s="14" t="n">
        <v>4.63</v>
      </c>
      <c r="K414" s="14" t="n">
        <v>0</v>
      </c>
      <c r="L414" s="14" t="n">
        <v>1</v>
      </c>
      <c r="M414" s="14" t="n">
        <v>3.34</v>
      </c>
      <c r="N414" s="14" t="n">
        <v>1.955</v>
      </c>
      <c r="O414" s="14" t="n">
        <v>0.113</v>
      </c>
      <c r="P414" s="14" t="n">
        <v>3.453</v>
      </c>
      <c r="Q414" s="14" t="n">
        <v>0</v>
      </c>
      <c r="R414" s="14" t="n">
        <v>1</v>
      </c>
      <c r="S414" s="14" t="n">
        <v>1.098</v>
      </c>
      <c r="T414" s="14" t="n">
        <v>0.6889999999999999</v>
      </c>
      <c r="U414" s="14" t="n">
        <v>0.002</v>
      </c>
      <c r="V414" s="14" t="n">
        <v>1.233</v>
      </c>
      <c r="W414" s="14" t="n">
        <v>0.12</v>
      </c>
      <c r="X414" s="14" t="n">
        <v>1</v>
      </c>
      <c r="Y414" s="14" t="n">
        <v>8.026</v>
      </c>
      <c r="Z414" s="14" t="n">
        <v>1.147</v>
      </c>
      <c r="AA414" s="14" t="n">
        <v>-6.673</v>
      </c>
      <c r="AB414" s="14" t="n">
        <v>1.352</v>
      </c>
      <c r="AC414" s="14" t="n">
        <v>0</v>
      </c>
      <c r="AD414" s="14" t="n">
        <v>0</v>
      </c>
      <c r="AE414" s="14" t="n">
        <v>8.680999999999999</v>
      </c>
      <c r="AF414" s="14" t="n">
        <v>2.117</v>
      </c>
      <c r="AG414" s="14" t="n">
        <v>-7.329</v>
      </c>
      <c r="AH414" s="14" t="n">
        <v>1.352</v>
      </c>
      <c r="AI414" s="14" t="n">
        <v>0</v>
      </c>
      <c r="AJ414" s="14" t="n">
        <v>0</v>
      </c>
      <c r="AK414" s="14" t="n">
        <v>12.613</v>
      </c>
      <c r="AL414" s="14" t="n">
        <v>6.77</v>
      </c>
      <c r="AM414" s="14" t="n">
        <v>-11.139</v>
      </c>
      <c r="AN414" s="14" t="n">
        <v>1.652</v>
      </c>
      <c r="AO414" s="14" t="n">
        <v>0</v>
      </c>
      <c r="AP414" s="14" t="n">
        <v>0</v>
      </c>
      <c r="AQ414" s="14" t="n">
        <v>0.76</v>
      </c>
      <c r="AR414" s="14" t="n">
        <v>0.129</v>
      </c>
      <c r="AS414" s="14" t="n">
        <v>-0.341</v>
      </c>
      <c r="AT414" s="14" t="n">
        <v>0.47</v>
      </c>
      <c r="AU414" s="14" t="n">
        <v>0</v>
      </c>
      <c r="AV414" s="14" t="n">
        <v>0</v>
      </c>
      <c r="AW414" s="14" t="n">
        <v>0.8110000000000001</v>
      </c>
      <c r="AX414" s="14" t="n">
        <v>0.129</v>
      </c>
      <c r="AY414" s="14" t="n">
        <v>-0.165</v>
      </c>
      <c r="AZ414" s="14" t="n">
        <v>0.724</v>
      </c>
      <c r="BA414" s="14" t="n">
        <v>0</v>
      </c>
      <c r="BB414" s="14" t="n">
        <v>1</v>
      </c>
      <c r="BC414" s="14" t="n">
        <v>0.535</v>
      </c>
      <c r="BD414" s="14" t="n">
        <v>0.129</v>
      </c>
      <c r="BE414" s="14" t="n">
        <v>-0.391</v>
      </c>
      <c r="BF414" s="14" t="n">
        <v>0.161</v>
      </c>
      <c r="BG414" s="14" t="n">
        <v>0</v>
      </c>
      <c r="BH414" s="14" t="n">
        <v>0</v>
      </c>
      <c r="BI414" s="14" t="n">
        <v>0.579</v>
      </c>
      <c r="BJ414" s="14" t="n">
        <v>0.129</v>
      </c>
      <c r="BK414" s="14" t="n">
        <v>0.017</v>
      </c>
      <c r="BL414" s="14" t="n">
        <v>0.66</v>
      </c>
      <c r="BM414" s="14" t="n">
        <v>0.12</v>
      </c>
      <c r="BN414" s="14" t="n">
        <v>1</v>
      </c>
      <c r="BO414" s="14" t="n">
        <v>0</v>
      </c>
      <c r="BP414" s="14" t="n">
        <v>-0.039</v>
      </c>
      <c r="BQ414" s="14" t="n">
        <v>0.08400000000000001</v>
      </c>
      <c r="BR414" s="14" t="n">
        <v>0</v>
      </c>
      <c r="BS414" s="14" t="n">
        <v>0.833</v>
      </c>
      <c r="BT414" s="14" t="n">
        <v>0</v>
      </c>
      <c r="BU414" s="14" t="n">
        <v>-0.039</v>
      </c>
      <c r="BV414" s="14" t="n">
        <v>0.056</v>
      </c>
      <c r="BW414" s="14" t="n">
        <v>0</v>
      </c>
      <c r="BX414" s="14" t="n">
        <v>0.667</v>
      </c>
      <c r="BY414" s="14" t="n">
        <v>13.254</v>
      </c>
      <c r="BZ414" s="14" t="n">
        <v>0</v>
      </c>
      <c r="CA414" s="14" t="n">
        <v>13.254</v>
      </c>
      <c r="CB414" s="14" t="n">
        <v>0</v>
      </c>
      <c r="CC414" s="14" t="n">
        <v>83.248</v>
      </c>
      <c r="CD414" s="14" t="n">
        <v>7.95</v>
      </c>
      <c r="CE414" s="14" t="n">
        <v>-9.756</v>
      </c>
      <c r="CF414" s="14" t="n">
        <v>81.232</v>
      </c>
      <c r="CG414" s="14" t="n">
        <v>0.12</v>
      </c>
      <c r="CH414" s="14" t="n">
        <v>1</v>
      </c>
      <c r="CI414" s="14" t="n">
        <v>0</v>
      </c>
      <c r="CJ414" s="14" t="n">
        <v>0</v>
      </c>
      <c r="CK414" s="14" t="n">
        <v>0</v>
      </c>
      <c r="CL414" s="14" t="n">
        <v>0</v>
      </c>
      <c r="CM414" s="14" t="n">
        <v>0</v>
      </c>
      <c r="CN414" s="14" t="n">
        <v>0</v>
      </c>
      <c r="CO414" s="14" t="n">
        <v>0</v>
      </c>
      <c r="CP414" s="14" t="n">
        <v>0.986</v>
      </c>
      <c r="CQ414" s="14" t="n">
        <v>1.348</v>
      </c>
      <c r="CR414" s="14" t="n">
        <v>0.98</v>
      </c>
      <c r="CS414" s="14" t="n">
        <v>7.46</v>
      </c>
      <c r="CT414" s="14" t="n">
        <v>3.466</v>
      </c>
      <c r="CU414" s="14" t="n">
        <v>9.260999999999999</v>
      </c>
    </row>
    <row r="415">
      <c r="A415" s="14" t="inlineStr">
        <is>
          <t>KAZ2024</t>
        </is>
      </c>
      <c r="B415" s="14" t="inlineStr">
        <is>
          <t>KAZ</t>
        </is>
      </c>
      <c r="C415" s="14" t="inlineStr">
        <is>
          <t>KAZ</t>
        </is>
      </c>
      <c r="D415" s="14" t="inlineStr">
        <is>
          <t>Kazakhstan</t>
        </is>
      </c>
      <c r="E415" s="14" t="n">
        <v>2024</v>
      </c>
      <c r="F415" s="14" t="n">
        <v>0.12</v>
      </c>
      <c r="G415" s="14" t="n">
        <v>3.486</v>
      </c>
      <c r="H415" s="14" t="n">
        <v>0.671</v>
      </c>
      <c r="I415" s="14" t="n">
        <v>1.267</v>
      </c>
      <c r="J415" s="14" t="n">
        <v>4.753</v>
      </c>
      <c r="K415" s="14" t="n">
        <v>0</v>
      </c>
      <c r="L415" s="14" t="n">
        <v>1</v>
      </c>
      <c r="M415" s="14" t="n">
        <v>3.425</v>
      </c>
      <c r="N415" s="14" t="n">
        <v>2.013</v>
      </c>
      <c r="O415" s="14" t="n">
        <v>0.11</v>
      </c>
      <c r="P415" s="14" t="n">
        <v>3.535</v>
      </c>
      <c r="Q415" s="14" t="n">
        <v>0</v>
      </c>
      <c r="R415" s="14" t="n">
        <v>1</v>
      </c>
      <c r="S415" s="14" t="n">
        <v>1.167</v>
      </c>
      <c r="T415" s="14" t="n">
        <v>0.773</v>
      </c>
      <c r="U415" s="14" t="n">
        <v>0.002</v>
      </c>
      <c r="V415" s="14" t="n">
        <v>1.309</v>
      </c>
      <c r="W415" s="14" t="n">
        <v>0.12</v>
      </c>
      <c r="X415" s="14" t="n">
        <v>1</v>
      </c>
      <c r="Y415" s="14" t="n">
        <v>8.180999999999999</v>
      </c>
      <c r="Z415" s="14" t="n">
        <v>1.169</v>
      </c>
      <c r="AA415" s="14" t="n">
        <v>-6.675</v>
      </c>
      <c r="AB415" s="14" t="n">
        <v>1.506</v>
      </c>
      <c r="AC415" s="14" t="n">
        <v>0</v>
      </c>
      <c r="AD415" s="14" t="n">
        <v>0</v>
      </c>
      <c r="AE415" s="14" t="n">
        <v>8.856</v>
      </c>
      <c r="AF415" s="14" t="n">
        <v>2.16</v>
      </c>
      <c r="AG415" s="14" t="n">
        <v>-7.349</v>
      </c>
      <c r="AH415" s="14" t="n">
        <v>1.506</v>
      </c>
      <c r="AI415" s="14" t="n">
        <v>0</v>
      </c>
      <c r="AJ415" s="14" t="n">
        <v>0</v>
      </c>
      <c r="AK415" s="14" t="n">
        <v>12.904</v>
      </c>
      <c r="AL415" s="14" t="n">
        <v>6.926</v>
      </c>
      <c r="AM415" s="14" t="n">
        <v>-11.357</v>
      </c>
      <c r="AN415" s="14" t="n">
        <v>1.733</v>
      </c>
      <c r="AO415" s="14" t="n">
        <v>0</v>
      </c>
      <c r="AP415" s="14" t="n">
        <v>0</v>
      </c>
      <c r="AQ415" s="14" t="n">
        <v>0.724</v>
      </c>
      <c r="AR415" s="14" t="n">
        <v>0.132</v>
      </c>
      <c r="AS415" s="14" t="n">
        <v>-0.287</v>
      </c>
      <c r="AT415" s="14" t="n">
        <v>0.49</v>
      </c>
      <c r="AU415" s="14" t="n">
        <v>0</v>
      </c>
      <c r="AV415" s="14" t="n">
        <v>0</v>
      </c>
      <c r="AW415" s="14" t="n">
        <v>0.75</v>
      </c>
      <c r="AX415" s="14" t="n">
        <v>0.132</v>
      </c>
      <c r="AY415" s="14" t="n">
        <v>-0.121</v>
      </c>
      <c r="AZ415" s="14" t="n">
        <v>0.705</v>
      </c>
      <c r="BA415" s="14" t="n">
        <v>0</v>
      </c>
      <c r="BB415" s="14" t="n">
        <v>1</v>
      </c>
      <c r="BC415" s="14" t="n">
        <v>0.513</v>
      </c>
      <c r="BD415" s="14" t="n">
        <v>0.132</v>
      </c>
      <c r="BE415" s="14" t="n">
        <v>-0.356</v>
      </c>
      <c r="BF415" s="14" t="n">
        <v>0.176</v>
      </c>
      <c r="BG415" s="14" t="n">
        <v>0</v>
      </c>
      <c r="BH415" s="14" t="n">
        <v>0</v>
      </c>
      <c r="BI415" s="14" t="n">
        <v>0.591</v>
      </c>
      <c r="BJ415" s="14" t="n">
        <v>0.132</v>
      </c>
      <c r="BK415" s="14" t="n">
        <v>0.02</v>
      </c>
      <c r="BL415" s="14" t="n">
        <v>0.673</v>
      </c>
      <c r="BM415" s="14" t="n">
        <v>0.12</v>
      </c>
      <c r="BN415" s="14" t="n">
        <v>1</v>
      </c>
      <c r="BO415" s="14" t="n">
        <v>0</v>
      </c>
      <c r="BP415" s="14" t="n">
        <v>-0.041</v>
      </c>
      <c r="BQ415" s="14" t="n">
        <v>0.078</v>
      </c>
      <c r="BR415" s="14" t="n">
        <v>0</v>
      </c>
      <c r="BS415" s="14" t="n">
        <v>0.833</v>
      </c>
      <c r="BT415" s="14" t="n">
        <v>0</v>
      </c>
      <c r="BU415" s="14" t="n">
        <v>-0.041</v>
      </c>
      <c r="BV415" s="14" t="n">
        <v>0.058</v>
      </c>
      <c r="BW415" s="14" t="n">
        <v>0</v>
      </c>
      <c r="BX415" s="14" t="n">
        <v>0.667</v>
      </c>
      <c r="BY415" s="14" t="n">
        <v>13.646</v>
      </c>
      <c r="BZ415" s="14" t="n">
        <v>0</v>
      </c>
      <c r="CA415" s="14" t="n">
        <v>13.646</v>
      </c>
      <c r="CB415" s="14" t="n">
        <v>0</v>
      </c>
      <c r="CC415" s="14" t="n">
        <v>82.58799999999999</v>
      </c>
      <c r="CD415" s="14" t="n">
        <v>7.95</v>
      </c>
      <c r="CE415" s="14" t="n">
        <v>-9.571999999999999</v>
      </c>
      <c r="CF415" s="14" t="n">
        <v>80.46299999999999</v>
      </c>
      <c r="CG415" s="14" t="n">
        <v>0.12</v>
      </c>
      <c r="CH415" s="14" t="n">
        <v>1</v>
      </c>
      <c r="CI415" s="14" t="n">
        <v>0</v>
      </c>
      <c r="CJ415" s="14" t="n">
        <v>0</v>
      </c>
      <c r="CK415" s="14" t="n">
        <v>0</v>
      </c>
      <c r="CL415" s="14" t="n">
        <v>0</v>
      </c>
      <c r="CM415" s="14" t="n">
        <v>0</v>
      </c>
      <c r="CN415" s="14" t="n">
        <v>0</v>
      </c>
      <c r="CO415" s="14" t="n">
        <v>0</v>
      </c>
      <c r="CP415" s="14" t="n">
        <v>0.986</v>
      </c>
      <c r="CQ415" s="14" t="n">
        <v>1.387</v>
      </c>
      <c r="CR415" s="14" t="n">
        <v>0.98</v>
      </c>
      <c r="CS415" s="14" t="n">
        <v>7.598</v>
      </c>
      <c r="CT415" s="14" t="n">
        <v>3.027</v>
      </c>
      <c r="CU415" s="14" t="n">
        <v>7.598</v>
      </c>
    </row>
    <row r="416">
      <c r="A416" s="14" t="inlineStr">
        <is>
          <t>KEN2021</t>
        </is>
      </c>
      <c r="B416" s="14" t="inlineStr">
        <is>
          <t>KEN</t>
        </is>
      </c>
      <c r="C416" s="14" t="inlineStr">
        <is>
          <t>KEN</t>
        </is>
      </c>
      <c r="D416" s="14" t="inlineStr">
        <is>
          <t>Kenya</t>
        </is>
      </c>
      <c r="E416" s="14" t="n">
        <v>2021</v>
      </c>
      <c r="F416" s="14" t="n">
        <v>0.16</v>
      </c>
      <c r="G416" s="14" t="n">
        <v>5.897</v>
      </c>
      <c r="H416" s="14" t="n">
        <v>1.143</v>
      </c>
      <c r="I416" s="14" t="n">
        <v>0</v>
      </c>
      <c r="J416" s="14" t="n">
        <v>5.897</v>
      </c>
      <c r="K416" s="14" t="n">
        <v>0</v>
      </c>
      <c r="L416" s="14" t="n">
        <v>1</v>
      </c>
      <c r="M416" s="14" t="n">
        <v>7.964</v>
      </c>
      <c r="N416" s="14" t="n">
        <v>3.43</v>
      </c>
      <c r="O416" s="14" t="n">
        <v>0</v>
      </c>
      <c r="P416" s="14" t="n">
        <v>7.964</v>
      </c>
      <c r="Q416" s="14" t="n">
        <v>0</v>
      </c>
      <c r="R416" s="14" t="n">
        <v>1</v>
      </c>
      <c r="S416" s="14" t="n">
        <v>11.613</v>
      </c>
      <c r="T416" s="14" t="n">
        <v>6.86</v>
      </c>
      <c r="U416" s="14" t="n">
        <v>0</v>
      </c>
      <c r="V416" s="14" t="n">
        <v>12.542</v>
      </c>
      <c r="W416" s="14" t="n">
        <v>0.08</v>
      </c>
      <c r="X416" s="14" t="n">
        <v>1</v>
      </c>
      <c r="Y416" s="14" t="n">
        <v>4.783</v>
      </c>
      <c r="Z416" s="14" t="n">
        <v>0.646</v>
      </c>
      <c r="AA416" s="14" t="n">
        <v>0</v>
      </c>
      <c r="AB416" s="14" t="n">
        <v>4.783</v>
      </c>
      <c r="AC416" s="14" t="n">
        <v>0</v>
      </c>
      <c r="AD416" s="14" t="n">
        <v>1</v>
      </c>
      <c r="AE416" s="14" t="n">
        <v>5.926</v>
      </c>
      <c r="AF416" s="14" t="n">
        <v>1.386</v>
      </c>
      <c r="AG416" s="14" t="n">
        <v>0</v>
      </c>
      <c r="AH416" s="14" t="n">
        <v>5.926</v>
      </c>
      <c r="AI416" s="14" t="n">
        <v>0</v>
      </c>
      <c r="AJ416" s="14" t="n">
        <v>1</v>
      </c>
      <c r="AK416" s="14" t="n">
        <v>12.786</v>
      </c>
      <c r="AL416" s="14" t="n">
        <v>6.81</v>
      </c>
      <c r="AM416" s="14" t="n">
        <v>0</v>
      </c>
      <c r="AN416" s="14" t="n">
        <v>13.809</v>
      </c>
      <c r="AO416" s="14" t="n">
        <v>0.08</v>
      </c>
      <c r="AP416" s="14" t="n">
        <v>1</v>
      </c>
      <c r="AQ416" s="14" t="n">
        <v>0.508</v>
      </c>
      <c r="AR416" s="14" t="n">
        <v>0.093</v>
      </c>
      <c r="AS416" s="14" t="n">
        <v>0.554</v>
      </c>
      <c r="AT416" s="14" t="n">
        <v>1.147</v>
      </c>
      <c r="AU416" s="14" t="n">
        <v>0.08</v>
      </c>
      <c r="AV416" s="14" t="n">
        <v>1</v>
      </c>
      <c r="AW416" s="14" t="n">
        <v>0.585</v>
      </c>
      <c r="AX416" s="14" t="n">
        <v>0.113</v>
      </c>
      <c r="AY416" s="14" t="n">
        <v>0.332</v>
      </c>
      <c r="AZ416" s="14" t="n">
        <v>0.99</v>
      </c>
      <c r="BA416" s="14" t="n">
        <v>0.08</v>
      </c>
      <c r="BB416" s="14" t="n">
        <v>1</v>
      </c>
      <c r="BC416" s="14" t="n">
        <v>0.439</v>
      </c>
      <c r="BD416" s="14" t="n">
        <v>0.114</v>
      </c>
      <c r="BE416" s="14" t="n">
        <v>0.364</v>
      </c>
      <c r="BF416" s="14" t="n">
        <v>0.867</v>
      </c>
      <c r="BG416" s="14" t="n">
        <v>0.08</v>
      </c>
      <c r="BH416" s="14" t="n">
        <v>1</v>
      </c>
      <c r="BI416" s="14" t="n">
        <v>0.528</v>
      </c>
      <c r="BJ416" s="14" t="n">
        <v>0.117</v>
      </c>
      <c r="BK416" s="14" t="n">
        <v>0.318</v>
      </c>
      <c r="BL416" s="14" t="n">
        <v>0.914</v>
      </c>
      <c r="BM416" s="14" t="n">
        <v>0.08</v>
      </c>
      <c r="BN416" s="14" t="n">
        <v>1</v>
      </c>
      <c r="BO416" s="14" t="n">
        <v>0</v>
      </c>
      <c r="BP416" s="14" t="n">
        <v>0.08500000000000001</v>
      </c>
      <c r="BQ416" s="14" t="n">
        <v>0.31</v>
      </c>
      <c r="BR416" s="14" t="n">
        <v>0</v>
      </c>
      <c r="BS416" s="14" t="n">
        <v>0.667</v>
      </c>
      <c r="BT416" s="14" t="n">
        <v>0</v>
      </c>
      <c r="BU416" s="14" t="n">
        <v>0.08500000000000001</v>
      </c>
      <c r="BV416" s="14" t="n">
        <v>0.31</v>
      </c>
      <c r="BW416" s="14" t="n">
        <v>0.08</v>
      </c>
      <c r="BX416" s="14" t="n">
        <v>1</v>
      </c>
      <c r="BY416" s="14" t="n">
        <v>11.787</v>
      </c>
      <c r="BZ416" s="14" t="n">
        <v>0</v>
      </c>
      <c r="CA416" s="14" t="n">
        <v>11.787</v>
      </c>
      <c r="CB416" s="14" t="n">
        <v>0</v>
      </c>
      <c r="CC416" s="14" t="n">
        <v>78.125</v>
      </c>
      <c r="CD416" s="14" t="n">
        <v>7.95</v>
      </c>
      <c r="CE416" s="14" t="n">
        <v>56.411</v>
      </c>
      <c r="CF416" s="14" t="n">
        <v>145.299</v>
      </c>
      <c r="CG416" s="14" t="n">
        <v>0.08</v>
      </c>
      <c r="CH416" s="14" t="n">
        <v>1</v>
      </c>
      <c r="CI416" s="14" t="n">
        <v>0</v>
      </c>
      <c r="CJ416" s="14" t="n">
        <v>0</v>
      </c>
      <c r="CK416" s="14" t="n">
        <v>0</v>
      </c>
      <c r="CL416" s="14" t="n">
        <v>0</v>
      </c>
      <c r="CM416" s="14" t="n">
        <v>0</v>
      </c>
      <c r="CN416" s="14" t="n">
        <v>0</v>
      </c>
      <c r="CO416" s="14" t="n">
        <v>0</v>
      </c>
      <c r="CP416" s="14" t="n">
        <v>0</v>
      </c>
      <c r="CQ416" s="14" t="n">
        <v>1.198</v>
      </c>
      <c r="CR416" s="14" t="n">
        <v>0</v>
      </c>
      <c r="CS416" s="14" t="n">
        <v>4.776</v>
      </c>
      <c r="CT416" s="14" t="n">
        <v>4.753</v>
      </c>
      <c r="CU416" s="14" t="n">
        <v>15.162</v>
      </c>
    </row>
    <row r="417">
      <c r="A417" s="14" t="inlineStr">
        <is>
          <t>KEN2022</t>
        </is>
      </c>
      <c r="B417" s="14" t="inlineStr">
        <is>
          <t>KEN</t>
        </is>
      </c>
      <c r="C417" s="14" t="inlineStr">
        <is>
          <t>KEN</t>
        </is>
      </c>
      <c r="D417" s="14" t="inlineStr">
        <is>
          <t>Kenya</t>
        </is>
      </c>
      <c r="E417" s="14" t="n">
        <v>2022</v>
      </c>
      <c r="F417" s="14" t="n">
        <v>0.16</v>
      </c>
      <c r="G417" s="14" t="n">
        <v>11.72</v>
      </c>
      <c r="H417" s="14" t="n">
        <v>1.235</v>
      </c>
      <c r="I417" s="14" t="n">
        <v>0</v>
      </c>
      <c r="J417" s="14" t="n">
        <v>11.72</v>
      </c>
      <c r="K417" s="14" t="n">
        <v>0</v>
      </c>
      <c r="L417" s="14" t="n">
        <v>1</v>
      </c>
      <c r="M417" s="14" t="n">
        <v>9.782999999999999</v>
      </c>
      <c r="N417" s="14" t="n">
        <v>3.704</v>
      </c>
      <c r="O417" s="14" t="n">
        <v>0</v>
      </c>
      <c r="P417" s="14" t="n">
        <v>9.782999999999999</v>
      </c>
      <c r="Q417" s="14" t="n">
        <v>0</v>
      </c>
      <c r="R417" s="14" t="n">
        <v>1</v>
      </c>
      <c r="S417" s="14" t="n">
        <v>17.893</v>
      </c>
      <c r="T417" s="14" t="n">
        <v>7.408</v>
      </c>
      <c r="U417" s="14" t="n">
        <v>0.106</v>
      </c>
      <c r="V417" s="14" t="n">
        <v>19.325</v>
      </c>
      <c r="W417" s="14" t="n">
        <v>0.08</v>
      </c>
      <c r="X417" s="14" t="n">
        <v>1</v>
      </c>
      <c r="Y417" s="14" t="n">
        <v>6.819</v>
      </c>
      <c r="Z417" s="14" t="n">
        <v>0.922</v>
      </c>
      <c r="AA417" s="14" t="n">
        <v>0</v>
      </c>
      <c r="AB417" s="14" t="n">
        <v>6.819</v>
      </c>
      <c r="AC417" s="14" t="n">
        <v>0</v>
      </c>
      <c r="AD417" s="14" t="n">
        <v>1</v>
      </c>
      <c r="AE417" s="14" t="n">
        <v>8.053000000000001</v>
      </c>
      <c r="AF417" s="14" t="n">
        <v>1.883</v>
      </c>
      <c r="AG417" s="14" t="n">
        <v>0</v>
      </c>
      <c r="AH417" s="14" t="n">
        <v>8.053000000000001</v>
      </c>
      <c r="AI417" s="14" t="n">
        <v>0</v>
      </c>
      <c r="AJ417" s="14" t="n">
        <v>1</v>
      </c>
      <c r="AK417" s="14" t="n">
        <v>15.461</v>
      </c>
      <c r="AL417" s="14" t="n">
        <v>8.234999999999999</v>
      </c>
      <c r="AM417" s="14" t="n">
        <v>0.092</v>
      </c>
      <c r="AN417" s="14" t="n">
        <v>16.698</v>
      </c>
      <c r="AO417" s="14" t="n">
        <v>0.08</v>
      </c>
      <c r="AP417" s="14" t="n">
        <v>1</v>
      </c>
      <c r="AQ417" s="14" t="n">
        <v>0.53</v>
      </c>
      <c r="AR417" s="14" t="n">
        <v>0.076</v>
      </c>
      <c r="AS417" s="14" t="n">
        <v>0.703</v>
      </c>
      <c r="AT417" s="14" t="n">
        <v>1.332</v>
      </c>
      <c r="AU417" s="14" t="n">
        <v>0.08</v>
      </c>
      <c r="AV417" s="14" t="n">
        <v>1</v>
      </c>
      <c r="AW417" s="14" t="n">
        <v>0.486</v>
      </c>
      <c r="AX417" s="14" t="n">
        <v>0.063</v>
      </c>
      <c r="AY417" s="14" t="n">
        <v>0.608</v>
      </c>
      <c r="AZ417" s="14" t="n">
        <v>1.182</v>
      </c>
      <c r="BA417" s="14" t="n">
        <v>0.08</v>
      </c>
      <c r="BB417" s="14" t="n">
        <v>1</v>
      </c>
      <c r="BC417" s="14" t="n">
        <v>0.598</v>
      </c>
      <c r="BD417" s="14" t="n">
        <v>0.123</v>
      </c>
      <c r="BE417" s="14" t="n">
        <v>0.382</v>
      </c>
      <c r="BF417" s="14" t="n">
        <v>1.058</v>
      </c>
      <c r="BG417" s="14" t="n">
        <v>0.08</v>
      </c>
      <c r="BH417" s="14" t="n">
        <v>1</v>
      </c>
      <c r="BI417" s="14" t="n">
        <v>0.394</v>
      </c>
      <c r="BJ417" s="14" t="n">
        <v>0.077</v>
      </c>
      <c r="BK417" s="14" t="n">
        <v>0.604</v>
      </c>
      <c r="BL417" s="14" t="n">
        <v>1.078</v>
      </c>
      <c r="BM417" s="14" t="n">
        <v>0.08</v>
      </c>
      <c r="BN417" s="14" t="n">
        <v>1</v>
      </c>
      <c r="BO417" s="14" t="n">
        <v>0</v>
      </c>
      <c r="BP417" s="14" t="n">
        <v>0.114</v>
      </c>
      <c r="BQ417" s="14" t="n">
        <v>0.175</v>
      </c>
      <c r="BR417" s="14" t="n">
        <v>0</v>
      </c>
      <c r="BS417" s="14" t="n">
        <v>0.667</v>
      </c>
      <c r="BT417" s="14" t="n">
        <v>0</v>
      </c>
      <c r="BU417" s="14" t="n">
        <v>0.114</v>
      </c>
      <c r="BV417" s="14" t="n">
        <v>0.22</v>
      </c>
      <c r="BW417" s="14" t="n">
        <v>0.08</v>
      </c>
      <c r="BX417" s="14" t="n">
        <v>1</v>
      </c>
      <c r="BY417" s="14" t="n">
        <v>12.729</v>
      </c>
      <c r="BZ417" s="14" t="n">
        <v>0</v>
      </c>
      <c r="CA417" s="14" t="n">
        <v>12.729</v>
      </c>
      <c r="CB417" s="14" t="n">
        <v>0</v>
      </c>
      <c r="CC417" s="14" t="n">
        <v>97.90000000000001</v>
      </c>
      <c r="CD417" s="14" t="n">
        <v>7.95</v>
      </c>
      <c r="CE417" s="14" t="n">
        <v>61.206</v>
      </c>
      <c r="CF417" s="14" t="n">
        <v>171.834</v>
      </c>
      <c r="CG417" s="14" t="n">
        <v>0.08</v>
      </c>
      <c r="CH417" s="14" t="n">
        <v>1</v>
      </c>
      <c r="CI417" s="14" t="n">
        <v>0</v>
      </c>
      <c r="CJ417" s="14" t="n">
        <v>0</v>
      </c>
      <c r="CK417" s="14" t="n">
        <v>0</v>
      </c>
      <c r="CL417" s="14" t="n">
        <v>0</v>
      </c>
      <c r="CM417" s="14" t="n">
        <v>0</v>
      </c>
      <c r="CN417" s="14" t="n">
        <v>0</v>
      </c>
      <c r="CO417" s="14" t="n">
        <v>0</v>
      </c>
      <c r="CP417" s="14" t="n">
        <v>0</v>
      </c>
      <c r="CQ417" s="14" t="n">
        <v>1.294</v>
      </c>
      <c r="CR417" s="14" t="n">
        <v>0</v>
      </c>
      <c r="CS417" s="14" t="n">
        <v>5.158</v>
      </c>
      <c r="CT417" s="14" t="n">
        <v>10.485</v>
      </c>
      <c r="CU417" s="14" t="n">
        <v>31.326</v>
      </c>
    </row>
    <row r="418">
      <c r="A418" s="14" t="inlineStr">
        <is>
          <t>KEN2023</t>
        </is>
      </c>
      <c r="B418" s="14" t="inlineStr">
        <is>
          <t>KEN</t>
        </is>
      </c>
      <c r="C418" s="14" t="inlineStr">
        <is>
          <t>KEN</t>
        </is>
      </c>
      <c r="D418" s="14" t="inlineStr">
        <is>
          <t>Kenya</t>
        </is>
      </c>
      <c r="E418" s="14" t="n">
        <v>2023</v>
      </c>
      <c r="F418" s="14" t="n">
        <v>0.16</v>
      </c>
      <c r="G418" s="14" t="n">
        <v>6.147</v>
      </c>
      <c r="H418" s="14" t="n">
        <v>1.286</v>
      </c>
      <c r="I418" s="14" t="n">
        <v>0</v>
      </c>
      <c r="J418" s="14" t="n">
        <v>6.147</v>
      </c>
      <c r="K418" s="14" t="n">
        <v>0</v>
      </c>
      <c r="L418" s="14" t="n">
        <v>1</v>
      </c>
      <c r="M418" s="14" t="n">
        <v>7.886</v>
      </c>
      <c r="N418" s="14" t="n">
        <v>3.857</v>
      </c>
      <c r="O418" s="14" t="n">
        <v>0</v>
      </c>
      <c r="P418" s="14" t="n">
        <v>7.886</v>
      </c>
      <c r="Q418" s="14" t="n">
        <v>0</v>
      </c>
      <c r="R418" s="14" t="n">
        <v>1</v>
      </c>
      <c r="S418" s="14" t="n">
        <v>12.575</v>
      </c>
      <c r="T418" s="14" t="n">
        <v>7.714</v>
      </c>
      <c r="U418" s="14" t="n">
        <v>0.223</v>
      </c>
      <c r="V418" s="14" t="n">
        <v>14.587</v>
      </c>
      <c r="W418" s="14" t="n">
        <v>0.16</v>
      </c>
      <c r="X418" s="14" t="n">
        <v>1</v>
      </c>
      <c r="Y418" s="14" t="n">
        <v>9.321999999999999</v>
      </c>
      <c r="Z418" s="14" t="n">
        <v>1.26</v>
      </c>
      <c r="AA418" s="14" t="n">
        <v>0</v>
      </c>
      <c r="AB418" s="14" t="n">
        <v>9.321999999999999</v>
      </c>
      <c r="AC418" s="14" t="n">
        <v>0</v>
      </c>
      <c r="AD418" s="14" t="n">
        <v>1</v>
      </c>
      <c r="AE418" s="14" t="n">
        <v>10.607</v>
      </c>
      <c r="AF418" s="14" t="n">
        <v>2.48</v>
      </c>
      <c r="AG418" s="14" t="n">
        <v>0</v>
      </c>
      <c r="AH418" s="14" t="n">
        <v>10.607</v>
      </c>
      <c r="AI418" s="14" t="n">
        <v>0</v>
      </c>
      <c r="AJ418" s="14" t="n">
        <v>1</v>
      </c>
      <c r="AK418" s="14" t="n">
        <v>18.321</v>
      </c>
      <c r="AL418" s="14" t="n">
        <v>9.757999999999999</v>
      </c>
      <c r="AM418" s="14" t="n">
        <v>0.325</v>
      </c>
      <c r="AN418" s="14" t="n">
        <v>21.253</v>
      </c>
      <c r="AO418" s="14" t="n">
        <v>0.16</v>
      </c>
      <c r="AP418" s="14" t="n">
        <v>1</v>
      </c>
      <c r="AQ418" s="14" t="n">
        <v>0.705</v>
      </c>
      <c r="AR418" s="14" t="n">
        <v>0.119</v>
      </c>
      <c r="AS418" s="14" t="n">
        <v>0.494</v>
      </c>
      <c r="AT418" s="14" t="n">
        <v>1.39</v>
      </c>
      <c r="AU418" s="14" t="n">
        <v>0.16</v>
      </c>
      <c r="AV418" s="14" t="n">
        <v>1</v>
      </c>
      <c r="AW418" s="14" t="n">
        <v>0.704</v>
      </c>
      <c r="AX418" s="14" t="n">
        <v>0.121</v>
      </c>
      <c r="AY418" s="14" t="n">
        <v>0.407</v>
      </c>
      <c r="AZ418" s="14" t="n">
        <v>1.288</v>
      </c>
      <c r="BA418" s="14" t="n">
        <v>0.16</v>
      </c>
      <c r="BB418" s="14" t="n">
        <v>1</v>
      </c>
      <c r="BC418" s="14" t="n">
        <v>0.535</v>
      </c>
      <c r="BD418" s="14" t="n">
        <v>0.129</v>
      </c>
      <c r="BE418" s="14" t="n">
        <v>0.229</v>
      </c>
      <c r="BF418" s="14" t="n">
        <v>0.886</v>
      </c>
      <c r="BG418" s="14" t="n">
        <v>0.16</v>
      </c>
      <c r="BH418" s="14" t="n">
        <v>1</v>
      </c>
      <c r="BI418" s="14" t="n">
        <v>0.636</v>
      </c>
      <c r="BJ418" s="14" t="n">
        <v>0.138</v>
      </c>
      <c r="BK418" s="14" t="n">
        <v>0.42</v>
      </c>
      <c r="BL418" s="14" t="n">
        <v>1.226</v>
      </c>
      <c r="BM418" s="14" t="n">
        <v>0.16</v>
      </c>
      <c r="BN418" s="14" t="n">
        <v>1</v>
      </c>
      <c r="BO418" s="14" t="n">
        <v>0</v>
      </c>
      <c r="BP418" s="14" t="n">
        <v>0.11</v>
      </c>
      <c r="BQ418" s="14" t="n">
        <v>0.19</v>
      </c>
      <c r="BR418" s="14" t="n">
        <v>0</v>
      </c>
      <c r="BS418" s="14" t="n">
        <v>0.667</v>
      </c>
      <c r="BT418" s="14" t="n">
        <v>0</v>
      </c>
      <c r="BU418" s="14" t="n">
        <v>0.11</v>
      </c>
      <c r="BV418" s="14" t="n">
        <v>0.23</v>
      </c>
      <c r="BW418" s="14" t="n">
        <v>0.16</v>
      </c>
      <c r="BX418" s="14" t="n">
        <v>1</v>
      </c>
      <c r="BY418" s="14" t="n">
        <v>13.254</v>
      </c>
      <c r="BZ418" s="14" t="n">
        <v>0</v>
      </c>
      <c r="CA418" s="14" t="n">
        <v>13.254</v>
      </c>
      <c r="CB418" s="14" t="n">
        <v>0</v>
      </c>
      <c r="CC418" s="14" t="n">
        <v>83.248</v>
      </c>
      <c r="CD418" s="14" t="n">
        <v>7.95</v>
      </c>
      <c r="CE418" s="14" t="n">
        <v>85.47199999999999</v>
      </c>
      <c r="CF418" s="14" t="n">
        <v>195.715</v>
      </c>
      <c r="CG418" s="14" t="n">
        <v>0.16</v>
      </c>
      <c r="CH418" s="14" t="n">
        <v>1</v>
      </c>
      <c r="CI418" s="14" t="n">
        <v>0</v>
      </c>
      <c r="CJ418" s="14" t="n">
        <v>0</v>
      </c>
      <c r="CK418" s="14" t="n">
        <v>0</v>
      </c>
      <c r="CL418" s="14" t="n">
        <v>0</v>
      </c>
      <c r="CM418" s="14" t="n">
        <v>0</v>
      </c>
      <c r="CN418" s="14" t="n">
        <v>0</v>
      </c>
      <c r="CO418" s="14" t="n">
        <v>0</v>
      </c>
      <c r="CP418" s="14" t="n">
        <v>0</v>
      </c>
      <c r="CQ418" s="14" t="n">
        <v>1.348</v>
      </c>
      <c r="CR418" s="14" t="n">
        <v>0</v>
      </c>
      <c r="CS418" s="14" t="n">
        <v>5.37</v>
      </c>
      <c r="CT418" s="14" t="n">
        <v>4.861</v>
      </c>
      <c r="CU418" s="14" t="n">
        <v>11.622</v>
      </c>
    </row>
    <row r="419">
      <c r="A419" s="14" t="inlineStr">
        <is>
          <t>KEN2024</t>
        </is>
      </c>
      <c r="B419" s="14" t="inlineStr">
        <is>
          <t>KEN</t>
        </is>
      </c>
      <c r="C419" s="14" t="inlineStr">
        <is>
          <t>KEN</t>
        </is>
      </c>
      <c r="D419" s="14" t="inlineStr">
        <is>
          <t>Kenya</t>
        </is>
      </c>
      <c r="E419" s="14" t="n">
        <v>2024</v>
      </c>
      <c r="F419" s="14" t="n">
        <v>0.16</v>
      </c>
      <c r="G419" s="14" t="n">
        <v>5.575</v>
      </c>
      <c r="H419" s="14" t="n">
        <v>1.324</v>
      </c>
      <c r="I419" s="14" t="n">
        <v>0</v>
      </c>
      <c r="J419" s="14" t="n">
        <v>5.575</v>
      </c>
      <c r="K419" s="14" t="n">
        <v>0</v>
      </c>
      <c r="L419" s="14" t="n">
        <v>1</v>
      </c>
      <c r="M419" s="14" t="n">
        <v>7.124</v>
      </c>
      <c r="N419" s="14" t="n">
        <v>3.971</v>
      </c>
      <c r="O419" s="14" t="n">
        <v>0</v>
      </c>
      <c r="P419" s="14" t="n">
        <v>7.124</v>
      </c>
      <c r="Q419" s="14" t="n">
        <v>0</v>
      </c>
      <c r="R419" s="14" t="n">
        <v>1</v>
      </c>
      <c r="S419" s="14" t="n">
        <v>12.193</v>
      </c>
      <c r="T419" s="14" t="n">
        <v>7.942</v>
      </c>
      <c r="U419" s="14" t="n">
        <v>0.266</v>
      </c>
      <c r="V419" s="14" t="n">
        <v>14.144</v>
      </c>
      <c r="W419" s="14" t="n">
        <v>0.16</v>
      </c>
      <c r="X419" s="14" t="n">
        <v>1</v>
      </c>
      <c r="Y419" s="14" t="n">
        <v>8.831</v>
      </c>
      <c r="Z419" s="14" t="n">
        <v>1.193</v>
      </c>
      <c r="AA419" s="14" t="n">
        <v>0</v>
      </c>
      <c r="AB419" s="14" t="n">
        <v>8.831</v>
      </c>
      <c r="AC419" s="14" t="n">
        <v>0</v>
      </c>
      <c r="AD419" s="14" t="n">
        <v>1</v>
      </c>
      <c r="AE419" s="14" t="n">
        <v>10.154</v>
      </c>
      <c r="AF419" s="14" t="n">
        <v>2.374</v>
      </c>
      <c r="AG419" s="14" t="n">
        <v>0</v>
      </c>
      <c r="AH419" s="14" t="n">
        <v>10.154</v>
      </c>
      <c r="AI419" s="14" t="n">
        <v>0</v>
      </c>
      <c r="AJ419" s="14" t="n">
        <v>1</v>
      </c>
      <c r="AK419" s="14" t="n">
        <v>18.096</v>
      </c>
      <c r="AL419" s="14" t="n">
        <v>9.638</v>
      </c>
      <c r="AM419" s="14" t="n">
        <v>0.394</v>
      </c>
      <c r="AN419" s="14" t="n">
        <v>20.991</v>
      </c>
      <c r="AO419" s="14" t="n">
        <v>0.16</v>
      </c>
      <c r="AP419" s="14" t="n">
        <v>1</v>
      </c>
      <c r="AQ419" s="14" t="n">
        <v>0.645</v>
      </c>
      <c r="AR419" s="14" t="n">
        <v>0.117</v>
      </c>
      <c r="AS419" s="14" t="n">
        <v>0.583</v>
      </c>
      <c r="AT419" s="14" t="n">
        <v>1.425</v>
      </c>
      <c r="AU419" s="14" t="n">
        <v>0.16</v>
      </c>
      <c r="AV419" s="14" t="n">
        <v>1</v>
      </c>
      <c r="AW419" s="14" t="n">
        <v>0.748</v>
      </c>
      <c r="AX419" s="14" t="n">
        <v>0.137</v>
      </c>
      <c r="AY419" s="14" t="n">
        <v>0.393</v>
      </c>
      <c r="AZ419" s="14" t="n">
        <v>1.324</v>
      </c>
      <c r="BA419" s="14" t="n">
        <v>0.16</v>
      </c>
      <c r="BB419" s="14" t="n">
        <v>1</v>
      </c>
      <c r="BC419" s="14" t="n">
        <v>0.513</v>
      </c>
      <c r="BD419" s="14" t="n">
        <v>0.132</v>
      </c>
      <c r="BE419" s="14" t="n">
        <v>0.337</v>
      </c>
      <c r="BF419" s="14" t="n">
        <v>0.986</v>
      </c>
      <c r="BG419" s="14" t="n">
        <v>0.16</v>
      </c>
      <c r="BH419" s="14" t="n">
        <v>1</v>
      </c>
      <c r="BI419" s="14" t="n">
        <v>0.675</v>
      </c>
      <c r="BJ419" s="14" t="n">
        <v>0.148</v>
      </c>
      <c r="BK419" s="14" t="n">
        <v>0.401</v>
      </c>
      <c r="BL419" s="14" t="n">
        <v>1.248</v>
      </c>
      <c r="BM419" s="14" t="n">
        <v>0.16</v>
      </c>
      <c r="BN419" s="14" t="n">
        <v>1</v>
      </c>
      <c r="BO419" s="14" t="n">
        <v>0</v>
      </c>
      <c r="BP419" s="14" t="n">
        <v>0.089</v>
      </c>
      <c r="BQ419" s="14" t="n">
        <v>0.19</v>
      </c>
      <c r="BR419" s="14" t="n">
        <v>0</v>
      </c>
      <c r="BS419" s="14" t="n">
        <v>0.667</v>
      </c>
      <c r="BT419" s="14" t="n">
        <v>0</v>
      </c>
      <c r="BU419" s="14" t="n">
        <v>0.089</v>
      </c>
      <c r="BV419" s="14" t="n">
        <v>0.26</v>
      </c>
      <c r="BW419" s="14" t="n">
        <v>0.16</v>
      </c>
      <c r="BX419" s="14" t="n">
        <v>1</v>
      </c>
      <c r="BY419" s="14" t="n">
        <v>13.646</v>
      </c>
      <c r="BZ419" s="14" t="n">
        <v>0</v>
      </c>
      <c r="CA419" s="14" t="n">
        <v>13.646</v>
      </c>
      <c r="CB419" s="14" t="n">
        <v>0</v>
      </c>
      <c r="CC419" s="14" t="n">
        <v>82.58799999999999</v>
      </c>
      <c r="CD419" s="14" t="n">
        <v>7.95</v>
      </c>
      <c r="CE419" s="14" t="n">
        <v>88.598</v>
      </c>
      <c r="CF419" s="14" t="n">
        <v>198.575</v>
      </c>
      <c r="CG419" s="14" t="n">
        <v>0.16</v>
      </c>
      <c r="CH419" s="14" t="n">
        <v>1</v>
      </c>
      <c r="CI419" s="14" t="n">
        <v>0</v>
      </c>
      <c r="CJ419" s="14" t="n">
        <v>0</v>
      </c>
      <c r="CK419" s="14" t="n">
        <v>0</v>
      </c>
      <c r="CL419" s="14" t="n">
        <v>0</v>
      </c>
      <c r="CM419" s="14" t="n">
        <v>0</v>
      </c>
      <c r="CN419" s="14" t="n">
        <v>0</v>
      </c>
      <c r="CO419" s="14" t="n">
        <v>0</v>
      </c>
      <c r="CP419" s="14" t="n">
        <v>0</v>
      </c>
      <c r="CQ419" s="14" t="n">
        <v>1.387</v>
      </c>
      <c r="CR419" s="14" t="n">
        <v>0</v>
      </c>
      <c r="CS419" s="14" t="n">
        <v>5.529</v>
      </c>
      <c r="CT419" s="14" t="n">
        <v>4.251</v>
      </c>
      <c r="CU419" s="14" t="n">
        <v>10.168</v>
      </c>
    </row>
    <row r="420">
      <c r="A420" s="14" t="inlineStr">
        <is>
          <t>KIR2021</t>
        </is>
      </c>
      <c r="B420" s="14" t="inlineStr">
        <is>
          <t>KIR</t>
        </is>
      </c>
      <c r="C420" s="14" t="inlineStr">
        <is>
          <t>KIR</t>
        </is>
      </c>
      <c r="D420" s="14" t="inlineStr">
        <is>
          <t>Kiribati</t>
        </is>
      </c>
      <c r="E420" s="14" t="n">
        <v>2021</v>
      </c>
      <c r="F420" s="14" t="n">
        <v>0.125</v>
      </c>
      <c r="G420" s="14" t="n">
        <v>4.747</v>
      </c>
      <c r="H420" s="14" t="n">
        <v>1.143</v>
      </c>
      <c r="I420" s="14" t="n">
        <v>0</v>
      </c>
      <c r="J420" s="14" t="n">
        <v>4.747</v>
      </c>
      <c r="K420" s="14" t="n">
        <v>0</v>
      </c>
      <c r="L420" s="14" t="n">
        <v>1</v>
      </c>
      <c r="M420" s="14" t="n">
        <v>7.964</v>
      </c>
      <c r="N420" s="14" t="n">
        <v>3.43</v>
      </c>
      <c r="O420" s="14" t="n">
        <v>0</v>
      </c>
      <c r="P420" s="14" t="n">
        <v>7.964</v>
      </c>
      <c r="Q420" s="14" t="n">
        <v>0</v>
      </c>
      <c r="R420" s="14" t="n">
        <v>1</v>
      </c>
      <c r="S420" s="14" t="n">
        <v>10.464</v>
      </c>
      <c r="T420" s="14" t="n">
        <v>6.86</v>
      </c>
      <c r="U420" s="14" t="n">
        <v>0</v>
      </c>
      <c r="V420" s="14" t="n">
        <v>11.772</v>
      </c>
      <c r="W420" s="14" t="n">
        <v>0.125</v>
      </c>
      <c r="X420" s="14" t="n">
        <v>1</v>
      </c>
      <c r="Y420" s="14" t="n">
        <v>10.551</v>
      </c>
      <c r="Z420" s="14" t="n">
        <v>1.302</v>
      </c>
      <c r="AA420" s="14" t="n">
        <v>0</v>
      </c>
      <c r="AB420" s="14" t="n">
        <v>10.551</v>
      </c>
      <c r="AC420" s="14" t="n">
        <v>0</v>
      </c>
      <c r="AD420" s="14" t="n">
        <v>1</v>
      </c>
      <c r="AE420" s="14" t="n">
        <v>11.694</v>
      </c>
      <c r="AF420" s="14" t="n">
        <v>2.549</v>
      </c>
      <c r="AG420" s="14" t="n">
        <v>0</v>
      </c>
      <c r="AH420" s="14" t="n">
        <v>11.694</v>
      </c>
      <c r="AI420" s="14" t="n">
        <v>0</v>
      </c>
      <c r="AJ420" s="14" t="n">
        <v>1</v>
      </c>
      <c r="AK420" s="14" t="n">
        <v>18.554</v>
      </c>
      <c r="AL420" s="14" t="n">
        <v>9.627000000000001</v>
      </c>
      <c r="AM420" s="14" t="n">
        <v>0</v>
      </c>
      <c r="AN420" s="14" t="n">
        <v>20.873</v>
      </c>
      <c r="AO420" s="14" t="n">
        <v>0.125</v>
      </c>
      <c r="AP420" s="14" t="n">
        <v>1</v>
      </c>
      <c r="AQ420" s="14" t="n">
        <v>0.621</v>
      </c>
      <c r="AR420" s="14" t="n">
        <v>0.114</v>
      </c>
      <c r="AS420" s="14" t="n">
        <v>0</v>
      </c>
      <c r="AT420" s="14" t="n">
        <v>0.698</v>
      </c>
      <c r="AU420" s="14" t="n">
        <v>0.125</v>
      </c>
      <c r="AV420" s="14" t="n">
        <v>1</v>
      </c>
      <c r="AW420" s="14" t="n">
        <v>0.593</v>
      </c>
      <c r="AX420" s="14" t="n">
        <v>0.114</v>
      </c>
      <c r="AY420" s="14" t="n">
        <v>0</v>
      </c>
      <c r="AZ420" s="14" t="n">
        <v>0.667</v>
      </c>
      <c r="BA420" s="14" t="n">
        <v>0.125</v>
      </c>
      <c r="BB420" s="14" t="n">
        <v>1</v>
      </c>
      <c r="BC420" s="14" t="n">
        <v>0.44</v>
      </c>
      <c r="BD420" s="14" t="n">
        <v>0.114</v>
      </c>
      <c r="BE420" s="14" t="n">
        <v>0</v>
      </c>
      <c r="BF420" s="14" t="n">
        <v>0.495</v>
      </c>
      <c r="BG420" s="14" t="n">
        <v>0.125</v>
      </c>
      <c r="BH420" s="14" t="n">
        <v>1</v>
      </c>
      <c r="BI420" s="14" t="n">
        <v>0.5600000000000001</v>
      </c>
      <c r="BJ420" s="14" t="n">
        <v>0.114</v>
      </c>
      <c r="BK420" s="14" t="n">
        <v>0</v>
      </c>
      <c r="BL420" s="14" t="n">
        <v>0.63</v>
      </c>
      <c r="BM420" s="14" t="n">
        <v>0.125</v>
      </c>
      <c r="BN420" s="14" t="n">
        <v>1</v>
      </c>
      <c r="BO420" s="14" t="n">
        <v>0</v>
      </c>
      <c r="BP420" s="14" t="n">
        <v>0</v>
      </c>
      <c r="BQ420" s="14" t="n">
        <v>0</v>
      </c>
      <c r="BR420" s="14" t="n">
        <v>0</v>
      </c>
      <c r="BS420" s="14" t="n">
        <v>1</v>
      </c>
      <c r="BT420" s="14" t="n">
        <v>0</v>
      </c>
      <c r="BU420" s="14" t="n">
        <v>0</v>
      </c>
      <c r="BV420" s="14" t="n">
        <v>0</v>
      </c>
      <c r="BW420" s="14" t="n">
        <v>0.125</v>
      </c>
      <c r="BX420" s="14" t="n">
        <v>1</v>
      </c>
      <c r="BY420" s="14" t="n">
        <v>11.787</v>
      </c>
      <c r="BZ420" s="14" t="n">
        <v>0</v>
      </c>
      <c r="CA420" s="14" t="n">
        <v>11.787</v>
      </c>
      <c r="CB420" s="14" t="n">
        <v>0</v>
      </c>
      <c r="CC420" s="14" t="n">
        <v>81.69499999999999</v>
      </c>
      <c r="CD420" s="14" t="n">
        <v>7.95</v>
      </c>
      <c r="CE420" s="14" t="n">
        <v>0</v>
      </c>
      <c r="CF420" s="14" t="n">
        <v>91.907</v>
      </c>
      <c r="CG420" s="14" t="n">
        <v>0.125</v>
      </c>
      <c r="CH420" s="14" t="n">
        <v>1</v>
      </c>
      <c r="CI420" s="14" t="n">
        <v>0</v>
      </c>
      <c r="CJ420" s="14" t="n">
        <v>0</v>
      </c>
      <c r="CK420" s="14" t="n">
        <v>0</v>
      </c>
      <c r="CL420" s="14" t="n">
        <v>0</v>
      </c>
      <c r="CM420" s="14" t="n">
        <v>0</v>
      </c>
      <c r="CN420" s="14" t="n">
        <v>0</v>
      </c>
      <c r="CO420" s="14" t="n">
        <v>0</v>
      </c>
      <c r="CP420" s="14" t="n">
        <v>0</v>
      </c>
      <c r="CQ420" s="14" t="n">
        <v>1.198</v>
      </c>
      <c r="CR420" s="14" t="n">
        <v>0</v>
      </c>
      <c r="CS420" s="14" t="n">
        <v>4.776</v>
      </c>
      <c r="CT420" s="14" t="n">
        <v>3.604</v>
      </c>
      <c r="CU420" s="14" t="n">
        <v>9.407999999999999</v>
      </c>
    </row>
    <row r="421">
      <c r="A421" s="14" t="inlineStr">
        <is>
          <t>KIR2022</t>
        </is>
      </c>
      <c r="B421" s="14" t="inlineStr">
        <is>
          <t>KIR</t>
        </is>
      </c>
      <c r="C421" s="14" t="inlineStr">
        <is>
          <t>KIR</t>
        </is>
      </c>
      <c r="D421" s="14" t="inlineStr">
        <is>
          <t>Kiribati</t>
        </is>
      </c>
      <c r="E421" s="14" t="n">
        <v>2022</v>
      </c>
      <c r="F421" s="14" t="n">
        <v>0.125</v>
      </c>
      <c r="G421" s="14" t="n">
        <v>8.788</v>
      </c>
      <c r="H421" s="14" t="n">
        <v>1.235</v>
      </c>
      <c r="I421" s="14" t="n">
        <v>0</v>
      </c>
      <c r="J421" s="14" t="n">
        <v>8.788</v>
      </c>
      <c r="K421" s="14" t="n">
        <v>0</v>
      </c>
      <c r="L421" s="14" t="n">
        <v>1</v>
      </c>
      <c r="M421" s="14" t="n">
        <v>9.782999999999999</v>
      </c>
      <c r="N421" s="14" t="n">
        <v>3.704</v>
      </c>
      <c r="O421" s="14" t="n">
        <v>0</v>
      </c>
      <c r="P421" s="14" t="n">
        <v>9.782999999999999</v>
      </c>
      <c r="Q421" s="14" t="n">
        <v>0</v>
      </c>
      <c r="R421" s="14" t="n">
        <v>1</v>
      </c>
      <c r="S421" s="14" t="n">
        <v>14.962</v>
      </c>
      <c r="T421" s="14" t="n">
        <v>7.408</v>
      </c>
      <c r="U421" s="14" t="n">
        <v>0.138</v>
      </c>
      <c r="V421" s="14" t="n">
        <v>16.832</v>
      </c>
      <c r="W421" s="14" t="n">
        <v>0.125</v>
      </c>
      <c r="X421" s="14" t="n">
        <v>1</v>
      </c>
      <c r="Y421" s="14" t="n">
        <v>17.332</v>
      </c>
      <c r="Z421" s="14" t="n">
        <v>2.139</v>
      </c>
      <c r="AA421" s="14" t="n">
        <v>0</v>
      </c>
      <c r="AB421" s="14" t="n">
        <v>17.332</v>
      </c>
      <c r="AC421" s="14" t="n">
        <v>0</v>
      </c>
      <c r="AD421" s="14" t="n">
        <v>1</v>
      </c>
      <c r="AE421" s="14" t="n">
        <v>18.566</v>
      </c>
      <c r="AF421" s="14" t="n">
        <v>4.048</v>
      </c>
      <c r="AG421" s="14" t="n">
        <v>0</v>
      </c>
      <c r="AH421" s="14" t="n">
        <v>18.566</v>
      </c>
      <c r="AI421" s="14" t="n">
        <v>0</v>
      </c>
      <c r="AJ421" s="14" t="n">
        <v>1</v>
      </c>
      <c r="AK421" s="14" t="n">
        <v>25.974</v>
      </c>
      <c r="AL421" s="14" t="n">
        <v>13.478</v>
      </c>
      <c r="AM421" s="14" t="n">
        <v>0.24</v>
      </c>
      <c r="AN421" s="14" t="n">
        <v>29.221</v>
      </c>
      <c r="AO421" s="14" t="n">
        <v>0.125</v>
      </c>
      <c r="AP421" s="14" t="n">
        <v>1</v>
      </c>
      <c r="AQ421" s="14" t="n">
        <v>0.847</v>
      </c>
      <c r="AR421" s="14" t="n">
        <v>0.123</v>
      </c>
      <c r="AS421" s="14" t="n">
        <v>0.008</v>
      </c>
      <c r="AT421" s="14" t="n">
        <v>0.952</v>
      </c>
      <c r="AU421" s="14" t="n">
        <v>0.125</v>
      </c>
      <c r="AV421" s="14" t="n">
        <v>1</v>
      </c>
      <c r="AW421" s="14" t="n">
        <v>0.947</v>
      </c>
      <c r="AX421" s="14" t="n">
        <v>0.123</v>
      </c>
      <c r="AY421" s="14" t="n">
        <v>0.008999999999999999</v>
      </c>
      <c r="AZ421" s="14" t="n">
        <v>1.065</v>
      </c>
      <c r="BA421" s="14" t="n">
        <v>0.125</v>
      </c>
      <c r="BB421" s="14" t="n">
        <v>1</v>
      </c>
      <c r="BC421" s="14" t="n">
        <v>0.589</v>
      </c>
      <c r="BD421" s="14" t="n">
        <v>0.123</v>
      </c>
      <c r="BE421" s="14" t="n">
        <v>0.005</v>
      </c>
      <c r="BF421" s="14" t="n">
        <v>0.662</v>
      </c>
      <c r="BG421" s="14" t="n">
        <v>0.125</v>
      </c>
      <c r="BH421" s="14" t="n">
        <v>1</v>
      </c>
      <c r="BI421" s="14" t="n">
        <v>0.6889999999999999</v>
      </c>
      <c r="BJ421" s="14" t="n">
        <v>0.123</v>
      </c>
      <c r="BK421" s="14" t="n">
        <v>0.006</v>
      </c>
      <c r="BL421" s="14" t="n">
        <v>0.775</v>
      </c>
      <c r="BM421" s="14" t="n">
        <v>0.125</v>
      </c>
      <c r="BN421" s="14" t="n">
        <v>1</v>
      </c>
      <c r="BO421" s="14" t="n">
        <v>0</v>
      </c>
      <c r="BP421" s="14" t="n">
        <v>0</v>
      </c>
      <c r="BQ421" s="14" t="n">
        <v>0</v>
      </c>
      <c r="BR421" s="14" t="n">
        <v>0</v>
      </c>
      <c r="BS421" s="14" t="n">
        <v>1</v>
      </c>
      <c r="BT421" s="14" t="n">
        <v>0</v>
      </c>
      <c r="BU421" s="14" t="n">
        <v>0</v>
      </c>
      <c r="BV421" s="14" t="n">
        <v>0</v>
      </c>
      <c r="BW421" s="14" t="n">
        <v>0.125</v>
      </c>
      <c r="BX421" s="14" t="n">
        <v>1</v>
      </c>
      <c r="BY421" s="14" t="n">
        <v>12.729</v>
      </c>
      <c r="BZ421" s="14" t="n">
        <v>0</v>
      </c>
      <c r="CA421" s="14" t="n">
        <v>12.729</v>
      </c>
      <c r="CB421" s="14" t="n">
        <v>0</v>
      </c>
      <c r="CC421" s="14" t="n">
        <v>102.477</v>
      </c>
      <c r="CD421" s="14" t="n">
        <v>7.95</v>
      </c>
      <c r="CE421" s="14" t="n">
        <v>0.948</v>
      </c>
      <c r="CF421" s="14" t="n">
        <v>115.286</v>
      </c>
      <c r="CG421" s="14" t="n">
        <v>0.125</v>
      </c>
      <c r="CH421" s="14" t="n">
        <v>1</v>
      </c>
      <c r="CI421" s="14" t="n">
        <v>0</v>
      </c>
      <c r="CJ421" s="14" t="n">
        <v>0</v>
      </c>
      <c r="CK421" s="14" t="n">
        <v>0</v>
      </c>
      <c r="CL421" s="14" t="n">
        <v>0</v>
      </c>
      <c r="CM421" s="14" t="n">
        <v>0</v>
      </c>
      <c r="CN421" s="14" t="n">
        <v>0</v>
      </c>
      <c r="CO421" s="14" t="n">
        <v>0</v>
      </c>
      <c r="CP421" s="14" t="n">
        <v>0</v>
      </c>
      <c r="CQ421" s="14" t="n">
        <v>1.294</v>
      </c>
      <c r="CR421" s="14" t="n">
        <v>0</v>
      </c>
      <c r="CS421" s="14" t="n">
        <v>5.158</v>
      </c>
      <c r="CT421" s="14" t="n">
        <v>7.554</v>
      </c>
      <c r="CU421" s="14" t="n">
        <v>16.097</v>
      </c>
    </row>
    <row r="422">
      <c r="A422" s="14" t="inlineStr">
        <is>
          <t>KIR2023</t>
        </is>
      </c>
      <c r="B422" s="14" t="inlineStr">
        <is>
          <t>KIR</t>
        </is>
      </c>
      <c r="C422" s="14" t="inlineStr">
        <is>
          <t>KIR</t>
        </is>
      </c>
      <c r="D422" s="14" t="inlineStr">
        <is>
          <t>Kiribati</t>
        </is>
      </c>
      <c r="E422" s="14" t="n">
        <v>2023</v>
      </c>
      <c r="F422" s="14" t="n">
        <v>0.125</v>
      </c>
      <c r="G422" s="14" t="n">
        <v>5.77</v>
      </c>
      <c r="H422" s="14" t="n">
        <v>1.286</v>
      </c>
      <c r="I422" s="14" t="n">
        <v>0</v>
      </c>
      <c r="J422" s="14" t="n">
        <v>5.77</v>
      </c>
      <c r="K422" s="14" t="n">
        <v>0</v>
      </c>
      <c r="L422" s="14" t="n">
        <v>1</v>
      </c>
      <c r="M422" s="14" t="n">
        <v>7.886</v>
      </c>
      <c r="N422" s="14" t="n">
        <v>3.857</v>
      </c>
      <c r="O422" s="14" t="n">
        <v>0</v>
      </c>
      <c r="P422" s="14" t="n">
        <v>7.886</v>
      </c>
      <c r="Q422" s="14" t="n">
        <v>0</v>
      </c>
      <c r="R422" s="14" t="n">
        <v>1</v>
      </c>
      <c r="S422" s="14" t="n">
        <v>12.198</v>
      </c>
      <c r="T422" s="14" t="n">
        <v>7.714</v>
      </c>
      <c r="U422" s="14" t="n">
        <v>0.169</v>
      </c>
      <c r="V422" s="14" t="n">
        <v>13.723</v>
      </c>
      <c r="W422" s="14" t="n">
        <v>0.125</v>
      </c>
      <c r="X422" s="14" t="n">
        <v>1</v>
      </c>
      <c r="Y422" s="14" t="n">
        <v>13.814</v>
      </c>
      <c r="Z422" s="14" t="n">
        <v>1.705</v>
      </c>
      <c r="AA422" s="14" t="n">
        <v>0</v>
      </c>
      <c r="AB422" s="14" t="n">
        <v>13.814</v>
      </c>
      <c r="AC422" s="14" t="n">
        <v>0</v>
      </c>
      <c r="AD422" s="14" t="n">
        <v>1</v>
      </c>
      <c r="AE422" s="14" t="n">
        <v>15.1</v>
      </c>
      <c r="AF422" s="14" t="n">
        <v>3.292</v>
      </c>
      <c r="AG422" s="14" t="n">
        <v>0</v>
      </c>
      <c r="AH422" s="14" t="n">
        <v>15.1</v>
      </c>
      <c r="AI422" s="14" t="n">
        <v>0</v>
      </c>
      <c r="AJ422" s="14" t="n">
        <v>1</v>
      </c>
      <c r="AK422" s="14" t="n">
        <v>22.814</v>
      </c>
      <c r="AL422" s="14" t="n">
        <v>11.838</v>
      </c>
      <c r="AM422" s="14" t="n">
        <v>0.316</v>
      </c>
      <c r="AN422" s="14" t="n">
        <v>25.666</v>
      </c>
      <c r="AO422" s="14" t="n">
        <v>0.125</v>
      </c>
      <c r="AP422" s="14" t="n">
        <v>1</v>
      </c>
      <c r="AQ422" s="14" t="n">
        <v>0.749</v>
      </c>
      <c r="AR422" s="14" t="n">
        <v>0.129</v>
      </c>
      <c r="AS422" s="14" t="n">
        <v>0.01</v>
      </c>
      <c r="AT422" s="14" t="n">
        <v>0.842</v>
      </c>
      <c r="AU422" s="14" t="n">
        <v>0.125</v>
      </c>
      <c r="AV422" s="14" t="n">
        <v>1</v>
      </c>
      <c r="AW422" s="14" t="n">
        <v>0.783</v>
      </c>
      <c r="AX422" s="14" t="n">
        <v>0.129</v>
      </c>
      <c r="AY422" s="14" t="n">
        <v>0.011</v>
      </c>
      <c r="AZ422" s="14" t="n">
        <v>0.88</v>
      </c>
      <c r="BA422" s="14" t="n">
        <v>0.125</v>
      </c>
      <c r="BB422" s="14" t="n">
        <v>1</v>
      </c>
      <c r="BC422" s="14" t="n">
        <v>0.527</v>
      </c>
      <c r="BD422" s="14" t="n">
        <v>0.129</v>
      </c>
      <c r="BE422" s="14" t="n">
        <v>0.007</v>
      </c>
      <c r="BF422" s="14" t="n">
        <v>0.593</v>
      </c>
      <c r="BG422" s="14" t="n">
        <v>0.125</v>
      </c>
      <c r="BH422" s="14" t="n">
        <v>1</v>
      </c>
      <c r="BI422" s="14" t="n">
        <v>0.64</v>
      </c>
      <c r="BJ422" s="14" t="n">
        <v>0.129</v>
      </c>
      <c r="BK422" s="14" t="n">
        <v>0.008999999999999999</v>
      </c>
      <c r="BL422" s="14" t="n">
        <v>0.72</v>
      </c>
      <c r="BM422" s="14" t="n">
        <v>0.125</v>
      </c>
      <c r="BN422" s="14" t="n">
        <v>1</v>
      </c>
      <c r="BO422" s="14" t="n">
        <v>0</v>
      </c>
      <c r="BP422" s="14" t="n">
        <v>0</v>
      </c>
      <c r="BQ422" s="14" t="n">
        <v>0</v>
      </c>
      <c r="BR422" s="14" t="n">
        <v>0</v>
      </c>
      <c r="BS422" s="14" t="n">
        <v>1</v>
      </c>
      <c r="BT422" s="14" t="n">
        <v>0</v>
      </c>
      <c r="BU422" s="14" t="n">
        <v>0</v>
      </c>
      <c r="BV422" s="14" t="n">
        <v>0</v>
      </c>
      <c r="BW422" s="14" t="n">
        <v>0.125</v>
      </c>
      <c r="BX422" s="14" t="n">
        <v>1</v>
      </c>
      <c r="BY422" s="14" t="n">
        <v>13.254</v>
      </c>
      <c r="BZ422" s="14" t="n">
        <v>0</v>
      </c>
      <c r="CA422" s="14" t="n">
        <v>13.254</v>
      </c>
      <c r="CB422" s="14" t="n">
        <v>0</v>
      </c>
      <c r="CC422" s="14" t="n">
        <v>87.07899999999999</v>
      </c>
      <c r="CD422" s="14" t="n">
        <v>7.95</v>
      </c>
      <c r="CE422" s="14" t="n">
        <v>1.205</v>
      </c>
      <c r="CF422" s="14" t="n">
        <v>97.964</v>
      </c>
      <c r="CG422" s="14" t="n">
        <v>0.125</v>
      </c>
      <c r="CH422" s="14" t="n">
        <v>1</v>
      </c>
      <c r="CI422" s="14" t="n">
        <v>0</v>
      </c>
      <c r="CJ422" s="14" t="n">
        <v>0</v>
      </c>
      <c r="CK422" s="14" t="n">
        <v>0</v>
      </c>
      <c r="CL422" s="14" t="n">
        <v>0</v>
      </c>
      <c r="CM422" s="14" t="n">
        <v>0</v>
      </c>
      <c r="CN422" s="14" t="n">
        <v>0</v>
      </c>
      <c r="CO422" s="14" t="n">
        <v>0</v>
      </c>
      <c r="CP422" s="14" t="n">
        <v>0</v>
      </c>
      <c r="CQ422" s="14" t="n">
        <v>1.348</v>
      </c>
      <c r="CR422" s="14" t="n">
        <v>0</v>
      </c>
      <c r="CS422" s="14" t="n">
        <v>5.37</v>
      </c>
      <c r="CT422" s="14" t="n">
        <v>4.484</v>
      </c>
      <c r="CU422" s="14" t="n">
        <v>12.529</v>
      </c>
    </row>
    <row r="423">
      <c r="A423" s="14" t="inlineStr">
        <is>
          <t>KIR2024</t>
        </is>
      </c>
      <c r="B423" s="14" t="inlineStr">
        <is>
          <t>KIR</t>
        </is>
      </c>
      <c r="C423" s="14" t="inlineStr">
        <is>
          <t>KIR</t>
        </is>
      </c>
      <c r="D423" s="14" t="inlineStr">
        <is>
          <t>Kiribati</t>
        </is>
      </c>
      <c r="E423" s="14" t="n">
        <v>2024</v>
      </c>
      <c r="F423" s="14" t="n">
        <v>0.125</v>
      </c>
      <c r="G423" s="14" t="n">
        <v>4.833</v>
      </c>
      <c r="H423" s="14" t="n">
        <v>1.324</v>
      </c>
      <c r="I423" s="14" t="n">
        <v>0</v>
      </c>
      <c r="J423" s="14" t="n">
        <v>4.833</v>
      </c>
      <c r="K423" s="14" t="n">
        <v>0</v>
      </c>
      <c r="L423" s="14" t="n">
        <v>1</v>
      </c>
      <c r="M423" s="14" t="n">
        <v>7.124</v>
      </c>
      <c r="N423" s="14" t="n">
        <v>3.971</v>
      </c>
      <c r="O423" s="14" t="n">
        <v>0</v>
      </c>
      <c r="P423" s="14" t="n">
        <v>7.124</v>
      </c>
      <c r="Q423" s="14" t="n">
        <v>0</v>
      </c>
      <c r="R423" s="14" t="n">
        <v>1</v>
      </c>
      <c r="S423" s="14" t="n">
        <v>11.451</v>
      </c>
      <c r="T423" s="14" t="n">
        <v>7.942</v>
      </c>
      <c r="U423" s="14" t="n">
        <v>0.195</v>
      </c>
      <c r="V423" s="14" t="n">
        <v>12.882</v>
      </c>
      <c r="W423" s="14" t="n">
        <v>0.125</v>
      </c>
      <c r="X423" s="14" t="n">
        <v>1</v>
      </c>
      <c r="Y423" s="14" t="n">
        <v>12.219</v>
      </c>
      <c r="Z423" s="14" t="n">
        <v>1.508</v>
      </c>
      <c r="AA423" s="14" t="n">
        <v>0</v>
      </c>
      <c r="AB423" s="14" t="n">
        <v>12.219</v>
      </c>
      <c r="AC423" s="14" t="n">
        <v>0</v>
      </c>
      <c r="AD423" s="14" t="n">
        <v>1</v>
      </c>
      <c r="AE423" s="14" t="n">
        <v>13.543</v>
      </c>
      <c r="AF423" s="14" t="n">
        <v>2.952</v>
      </c>
      <c r="AG423" s="14" t="n">
        <v>0</v>
      </c>
      <c r="AH423" s="14" t="n">
        <v>13.543</v>
      </c>
      <c r="AI423" s="14" t="n">
        <v>0</v>
      </c>
      <c r="AJ423" s="14" t="n">
        <v>1</v>
      </c>
      <c r="AK423" s="14" t="n">
        <v>21.484</v>
      </c>
      <c r="AL423" s="14" t="n">
        <v>11.148</v>
      </c>
      <c r="AM423" s="14" t="n">
        <v>0.366</v>
      </c>
      <c r="AN423" s="14" t="n">
        <v>24.17</v>
      </c>
      <c r="AO423" s="14" t="n">
        <v>0.125</v>
      </c>
      <c r="AP423" s="14" t="n">
        <v>1</v>
      </c>
      <c r="AQ423" s="14" t="n">
        <v>0.72</v>
      </c>
      <c r="AR423" s="14" t="n">
        <v>0.132</v>
      </c>
      <c r="AS423" s="14" t="n">
        <v>0.012</v>
      </c>
      <c r="AT423" s="14" t="n">
        <v>0.8100000000000001</v>
      </c>
      <c r="AU423" s="14" t="n">
        <v>0.125</v>
      </c>
      <c r="AV423" s="14" t="n">
        <v>1</v>
      </c>
      <c r="AW423" s="14" t="n">
        <v>0.734</v>
      </c>
      <c r="AX423" s="14" t="n">
        <v>0.132</v>
      </c>
      <c r="AY423" s="14" t="n">
        <v>0.012</v>
      </c>
      <c r="AZ423" s="14" t="n">
        <v>0.825</v>
      </c>
      <c r="BA423" s="14" t="n">
        <v>0.125</v>
      </c>
      <c r="BB423" s="14" t="n">
        <v>1</v>
      </c>
      <c r="BC423" s="14" t="n">
        <v>0.51</v>
      </c>
      <c r="BD423" s="14" t="n">
        <v>0.132</v>
      </c>
      <c r="BE423" s="14" t="n">
        <v>0.008999999999999999</v>
      </c>
      <c r="BF423" s="14" t="n">
        <v>0.574</v>
      </c>
      <c r="BG423" s="14" t="n">
        <v>0.125</v>
      </c>
      <c r="BH423" s="14" t="n">
        <v>1</v>
      </c>
      <c r="BI423" s="14" t="n">
        <v>0.652</v>
      </c>
      <c r="BJ423" s="14" t="n">
        <v>0.132</v>
      </c>
      <c r="BK423" s="14" t="n">
        <v>0.011</v>
      </c>
      <c r="BL423" s="14" t="n">
        <v>0.734</v>
      </c>
      <c r="BM423" s="14" t="n">
        <v>0.125</v>
      </c>
      <c r="BN423" s="14" t="n">
        <v>1</v>
      </c>
      <c r="BO423" s="14" t="n">
        <v>0</v>
      </c>
      <c r="BP423" s="14" t="n">
        <v>0</v>
      </c>
      <c r="BQ423" s="14" t="n">
        <v>0</v>
      </c>
      <c r="BR423" s="14" t="n">
        <v>0</v>
      </c>
      <c r="BS423" s="14" t="n">
        <v>1</v>
      </c>
      <c r="BT423" s="14" t="n">
        <v>0</v>
      </c>
      <c r="BU423" s="14" t="n">
        <v>0</v>
      </c>
      <c r="BV423" s="14" t="n">
        <v>0</v>
      </c>
      <c r="BW423" s="14" t="n">
        <v>0.125</v>
      </c>
      <c r="BX423" s="14" t="n">
        <v>1</v>
      </c>
      <c r="BY423" s="14" t="n">
        <v>13.646</v>
      </c>
      <c r="BZ423" s="14" t="n">
        <v>0</v>
      </c>
      <c r="CA423" s="14" t="n">
        <v>13.646</v>
      </c>
      <c r="CB423" s="14" t="n">
        <v>0</v>
      </c>
      <c r="CC423" s="14" t="n">
        <v>86.38500000000001</v>
      </c>
      <c r="CD423" s="14" t="n">
        <v>7.95</v>
      </c>
      <c r="CE423" s="14" t="n">
        <v>1.471</v>
      </c>
      <c r="CF423" s="14" t="n">
        <v>97.184</v>
      </c>
      <c r="CG423" s="14" t="n">
        <v>0.125</v>
      </c>
      <c r="CH423" s="14" t="n">
        <v>1</v>
      </c>
      <c r="CI423" s="14" t="n">
        <v>0</v>
      </c>
      <c r="CJ423" s="14" t="n">
        <v>0</v>
      </c>
      <c r="CK423" s="14" t="n">
        <v>0</v>
      </c>
      <c r="CL423" s="14" t="n">
        <v>0</v>
      </c>
      <c r="CM423" s="14" t="n">
        <v>0</v>
      </c>
      <c r="CN423" s="14" t="n">
        <v>0</v>
      </c>
      <c r="CO423" s="14" t="n">
        <v>0</v>
      </c>
      <c r="CP423" s="14" t="n">
        <v>0</v>
      </c>
      <c r="CQ423" s="14" t="n">
        <v>1.387</v>
      </c>
      <c r="CR423" s="14" t="n">
        <v>0</v>
      </c>
      <c r="CS423" s="14" t="n">
        <v>5.529</v>
      </c>
      <c r="CT423" s="14" t="n">
        <v>3.509</v>
      </c>
      <c r="CU423" s="14" t="n">
        <v>10.896</v>
      </c>
    </row>
    <row r="424">
      <c r="A424" s="14" t="inlineStr">
        <is>
          <t>KOR2021</t>
        </is>
      </c>
      <c r="B424" s="14" t="inlineStr">
        <is>
          <t>KOR</t>
        </is>
      </c>
      <c r="C424" s="14" t="inlineStr">
        <is>
          <t>KOR</t>
        </is>
      </c>
      <c r="D424" s="14" t="inlineStr">
        <is>
          <t>Korea</t>
        </is>
      </c>
      <c r="E424" s="14" t="n">
        <v>2021</v>
      </c>
      <c r="F424" s="14" t="n">
        <v>0.1</v>
      </c>
      <c r="G424" s="14" t="n">
        <v>4.446</v>
      </c>
      <c r="H424" s="14" t="n">
        <v>0.973</v>
      </c>
      <c r="I424" s="14" t="n">
        <v>2.735</v>
      </c>
      <c r="J424" s="14" t="n">
        <v>7.181</v>
      </c>
      <c r="K424" s="14" t="n">
        <v>0</v>
      </c>
      <c r="L424" s="14" t="n">
        <v>1</v>
      </c>
      <c r="M424" s="14" t="n">
        <v>5.764</v>
      </c>
      <c r="N424" s="14" t="n">
        <v>2.612</v>
      </c>
      <c r="O424" s="14" t="n">
        <v>1.417</v>
      </c>
      <c r="P424" s="14" t="n">
        <v>7.181</v>
      </c>
      <c r="Q424" s="14" t="n">
        <v>0</v>
      </c>
      <c r="R424" s="14" t="n">
        <v>1</v>
      </c>
      <c r="S424" s="14" t="n">
        <v>11.463</v>
      </c>
      <c r="T424" s="14" t="n">
        <v>7.103</v>
      </c>
      <c r="U424" s="14" t="n">
        <v>-3.064</v>
      </c>
      <c r="V424" s="14" t="n">
        <v>8.398</v>
      </c>
      <c r="W424" s="14" t="n">
        <v>0</v>
      </c>
      <c r="X424" s="14" t="n">
        <v>0</v>
      </c>
      <c r="Y424" s="14" t="n">
        <v>13.956</v>
      </c>
      <c r="Z424" s="14" t="n">
        <v>1.542</v>
      </c>
      <c r="AA424" s="14" t="n">
        <v>0.147</v>
      </c>
      <c r="AB424" s="14" t="n">
        <v>14.103</v>
      </c>
      <c r="AC424" s="14" t="n">
        <v>0</v>
      </c>
      <c r="AD424" s="14" t="n">
        <v>1</v>
      </c>
      <c r="AE424" s="14" t="n">
        <v>14.038</v>
      </c>
      <c r="AF424" s="14" t="n">
        <v>2.762</v>
      </c>
      <c r="AG424" s="14" t="n">
        <v>1.631</v>
      </c>
      <c r="AH424" s="14" t="n">
        <v>15.669</v>
      </c>
      <c r="AI424" s="14" t="n">
        <v>0</v>
      </c>
      <c r="AJ424" s="14" t="n">
        <v>1</v>
      </c>
      <c r="AK424" s="14" t="n">
        <v>17.765</v>
      </c>
      <c r="AL424" s="14" t="n">
        <v>8.718999999999999</v>
      </c>
      <c r="AM424" s="14" t="n">
        <v>-5.204</v>
      </c>
      <c r="AN424" s="14" t="n">
        <v>13.817</v>
      </c>
      <c r="AO424" s="14" t="n">
        <v>0</v>
      </c>
      <c r="AP424" s="14" t="n">
        <v>0</v>
      </c>
      <c r="AQ424" s="14" t="n">
        <v>0.621</v>
      </c>
      <c r="AR424" s="14" t="n">
        <v>0.114</v>
      </c>
      <c r="AS424" s="14" t="n">
        <v>0.623</v>
      </c>
      <c r="AT424" s="14" t="n">
        <v>1.367</v>
      </c>
      <c r="AU424" s="14" t="n">
        <v>0.1</v>
      </c>
      <c r="AV424" s="14" t="n">
        <v>1</v>
      </c>
      <c r="AW424" s="14" t="n">
        <v>0.593</v>
      </c>
      <c r="AX424" s="14" t="n">
        <v>0.114</v>
      </c>
      <c r="AY424" s="14" t="n">
        <v>0.512</v>
      </c>
      <c r="AZ424" s="14" t="n">
        <v>1.216</v>
      </c>
      <c r="BA424" s="14" t="n">
        <v>0.1</v>
      </c>
      <c r="BB424" s="14" t="n">
        <v>1</v>
      </c>
      <c r="BC424" s="14" t="n">
        <v>0.44</v>
      </c>
      <c r="BD424" s="14" t="n">
        <v>0.114</v>
      </c>
      <c r="BE424" s="14" t="n">
        <v>0.141</v>
      </c>
      <c r="BF424" s="14" t="n">
        <v>0.639</v>
      </c>
      <c r="BG424" s="14" t="n">
        <v>0.1</v>
      </c>
      <c r="BH424" s="14" t="n">
        <v>1</v>
      </c>
      <c r="BI424" s="14" t="n">
        <v>0.5600000000000001</v>
      </c>
      <c r="BJ424" s="14" t="n">
        <v>0.114</v>
      </c>
      <c r="BK424" s="14" t="n">
        <v>0.192</v>
      </c>
      <c r="BL424" s="14" t="n">
        <v>0.828</v>
      </c>
      <c r="BM424" s="14" t="n">
        <v>0.1</v>
      </c>
      <c r="BN424" s="14" t="n">
        <v>1</v>
      </c>
      <c r="BO424" s="14" t="n">
        <v>0</v>
      </c>
      <c r="BP424" s="14" t="n">
        <v>0.003</v>
      </c>
      <c r="BQ424" s="14" t="n">
        <v>0.091</v>
      </c>
      <c r="BR424" s="14" t="n">
        <v>0</v>
      </c>
      <c r="BS424" s="14" t="n">
        <v>0.833</v>
      </c>
      <c r="BT424" s="14" t="n">
        <v>0</v>
      </c>
      <c r="BU424" s="14" t="n">
        <v>0.004</v>
      </c>
      <c r="BV424" s="14" t="n">
        <v>0.094</v>
      </c>
      <c r="BW424" s="14" t="n">
        <v>0</v>
      </c>
      <c r="BX424" s="14" t="n">
        <v>0.667</v>
      </c>
      <c r="BY424" s="14" t="n">
        <v>2.587</v>
      </c>
      <c r="BZ424" s="14" t="n">
        <v>0</v>
      </c>
      <c r="CA424" s="14" t="n">
        <v>2.587</v>
      </c>
      <c r="CB424" s="14" t="n">
        <v>0</v>
      </c>
      <c r="CC424" s="14" t="n">
        <v>81.69499999999999</v>
      </c>
      <c r="CD424" s="14" t="n">
        <v>7.95</v>
      </c>
      <c r="CE424" s="14" t="n">
        <v>-1.133</v>
      </c>
      <c r="CF424" s="14" t="n">
        <v>88.619</v>
      </c>
      <c r="CG424" s="14" t="n">
        <v>0.1</v>
      </c>
      <c r="CH424" s="14" t="n">
        <v>1</v>
      </c>
      <c r="CI424" s="14" t="n">
        <v>0</v>
      </c>
      <c r="CJ424" s="14" t="n">
        <v>0</v>
      </c>
      <c r="CK424" s="14" t="n">
        <v>0</v>
      </c>
      <c r="CL424" s="14" t="n">
        <v>0.029</v>
      </c>
      <c r="CM424" s="14" t="n">
        <v>0</v>
      </c>
      <c r="CN424" s="14" t="n">
        <v>0</v>
      </c>
      <c r="CO424" s="14" t="n">
        <v>0</v>
      </c>
      <c r="CP424" s="14" t="n">
        <v>0</v>
      </c>
      <c r="CQ424" s="14" t="n">
        <v>1.198</v>
      </c>
      <c r="CR424" s="14" t="n">
        <v>0</v>
      </c>
      <c r="CS424" s="14" t="n">
        <v>1.655</v>
      </c>
      <c r="CT424" s="14" t="n">
        <v>5.524</v>
      </c>
      <c r="CU424" s="14" t="n">
        <v>10.311</v>
      </c>
    </row>
    <row r="425">
      <c r="A425" s="14" t="inlineStr">
        <is>
          <t>KOR2022</t>
        </is>
      </c>
      <c r="B425" s="14" t="inlineStr">
        <is>
          <t>KOR</t>
        </is>
      </c>
      <c r="C425" s="14" t="inlineStr">
        <is>
          <t>KOR</t>
        </is>
      </c>
      <c r="D425" s="14" t="inlineStr">
        <is>
          <t>Korea</t>
        </is>
      </c>
      <c r="E425" s="14" t="n">
        <v>2022</v>
      </c>
      <c r="F425" s="14" t="n">
        <v>0.1</v>
      </c>
      <c r="G425" s="14" t="n">
        <v>3.98</v>
      </c>
      <c r="H425" s="14" t="n">
        <v>0.618</v>
      </c>
      <c r="I425" s="14" t="n">
        <v>3.182</v>
      </c>
      <c r="J425" s="14" t="n">
        <v>7.162</v>
      </c>
      <c r="K425" s="14" t="n">
        <v>0</v>
      </c>
      <c r="L425" s="14" t="n">
        <v>1</v>
      </c>
      <c r="M425" s="14" t="n">
        <v>4.988</v>
      </c>
      <c r="N425" s="14" t="n">
        <v>2.06</v>
      </c>
      <c r="O425" s="14" t="n">
        <v>2.174</v>
      </c>
      <c r="P425" s="14" t="n">
        <v>7.162</v>
      </c>
      <c r="Q425" s="14" t="n">
        <v>0</v>
      </c>
      <c r="R425" s="14" t="n">
        <v>1</v>
      </c>
      <c r="S425" s="14" t="n">
        <v>8.478</v>
      </c>
      <c r="T425" s="14" t="n">
        <v>4.152</v>
      </c>
      <c r="U425" s="14" t="n">
        <v>-1.275</v>
      </c>
      <c r="V425" s="14" t="n">
        <v>7.203</v>
      </c>
      <c r="W425" s="14" t="n">
        <v>0</v>
      </c>
      <c r="X425" s="14" t="n">
        <v>0</v>
      </c>
      <c r="Y425" s="14" t="n">
        <v>23.589</v>
      </c>
      <c r="Z425" s="14" t="n">
        <v>2.475</v>
      </c>
      <c r="AA425" s="14" t="n">
        <v>1.306</v>
      </c>
      <c r="AB425" s="14" t="n">
        <v>24.896</v>
      </c>
      <c r="AC425" s="14" t="n">
        <v>0</v>
      </c>
      <c r="AD425" s="14" t="n">
        <v>1</v>
      </c>
      <c r="AE425" s="14" t="n">
        <v>23.763</v>
      </c>
      <c r="AF425" s="14" t="n">
        <v>4.405</v>
      </c>
      <c r="AG425" s="14" t="n">
        <v>0.034</v>
      </c>
      <c r="AH425" s="14" t="n">
        <v>23.797</v>
      </c>
      <c r="AI425" s="14" t="n">
        <v>0</v>
      </c>
      <c r="AJ425" s="14" t="n">
        <v>1</v>
      </c>
      <c r="AK425" s="14" t="n">
        <v>28.038</v>
      </c>
      <c r="AL425" s="14" t="n">
        <v>13.389</v>
      </c>
      <c r="AM425" s="14" t="n">
        <v>-15.252</v>
      </c>
      <c r="AN425" s="14" t="n">
        <v>14.064</v>
      </c>
      <c r="AO425" s="14" t="n">
        <v>0</v>
      </c>
      <c r="AP425" s="14" t="n">
        <v>0</v>
      </c>
      <c r="AQ425" s="14" t="n">
        <v>0.847</v>
      </c>
      <c r="AR425" s="14" t="n">
        <v>0.123</v>
      </c>
      <c r="AS425" s="14" t="n">
        <v>0.406</v>
      </c>
      <c r="AT425" s="14" t="n">
        <v>1.378</v>
      </c>
      <c r="AU425" s="14" t="n">
        <v>0.1</v>
      </c>
      <c r="AV425" s="14" t="n">
        <v>1</v>
      </c>
      <c r="AW425" s="14" t="n">
        <v>0.947</v>
      </c>
      <c r="AX425" s="14" t="n">
        <v>0.123</v>
      </c>
      <c r="AY425" s="14" t="n">
        <v>0.351</v>
      </c>
      <c r="AZ425" s="14" t="n">
        <v>1.427</v>
      </c>
      <c r="BA425" s="14" t="n">
        <v>0.1</v>
      </c>
      <c r="BB425" s="14" t="n">
        <v>1</v>
      </c>
      <c r="BC425" s="14" t="n">
        <v>0.589</v>
      </c>
      <c r="BD425" s="14" t="n">
        <v>0.123</v>
      </c>
      <c r="BE425" s="14" t="n">
        <v>0.015</v>
      </c>
      <c r="BF425" s="14" t="n">
        <v>0.664</v>
      </c>
      <c r="BG425" s="14" t="n">
        <v>0.1</v>
      </c>
      <c r="BH425" s="14" t="n">
        <v>1</v>
      </c>
      <c r="BI425" s="14" t="n">
        <v>0.6889999999999999</v>
      </c>
      <c r="BJ425" s="14" t="n">
        <v>0.123</v>
      </c>
      <c r="BK425" s="14" t="n">
        <v>0.354</v>
      </c>
      <c r="BL425" s="14" t="n">
        <v>1.147</v>
      </c>
      <c r="BM425" s="14" t="n">
        <v>0.1</v>
      </c>
      <c r="BN425" s="14" t="n">
        <v>1</v>
      </c>
      <c r="BO425" s="14" t="n">
        <v>0</v>
      </c>
      <c r="BP425" s="14" t="n">
        <v>0.003</v>
      </c>
      <c r="BQ425" s="14" t="n">
        <v>0.094</v>
      </c>
      <c r="BR425" s="14" t="n">
        <v>0</v>
      </c>
      <c r="BS425" s="14" t="n">
        <v>0.833</v>
      </c>
      <c r="BT425" s="14" t="n">
        <v>0</v>
      </c>
      <c r="BU425" s="14" t="n">
        <v>0.003</v>
      </c>
      <c r="BV425" s="14" t="n">
        <v>0.092</v>
      </c>
      <c r="BW425" s="14" t="n">
        <v>0</v>
      </c>
      <c r="BX425" s="14" t="n">
        <v>0.667</v>
      </c>
      <c r="BY425" s="14" t="n">
        <v>2.794</v>
      </c>
      <c r="BZ425" s="14" t="n">
        <v>0</v>
      </c>
      <c r="CA425" s="14" t="n">
        <v>2.794</v>
      </c>
      <c r="CB425" s="14" t="n">
        <v>0</v>
      </c>
      <c r="CC425" s="14" t="n">
        <v>102.477</v>
      </c>
      <c r="CD425" s="14" t="n">
        <v>7.95</v>
      </c>
      <c r="CE425" s="14" t="n">
        <v>-5.812</v>
      </c>
      <c r="CF425" s="14" t="n">
        <v>106.331</v>
      </c>
      <c r="CG425" s="14" t="n">
        <v>0.1</v>
      </c>
      <c r="CH425" s="14" t="n">
        <v>1</v>
      </c>
      <c r="CI425" s="14" t="n">
        <v>0</v>
      </c>
      <c r="CJ425" s="14" t="n">
        <v>0</v>
      </c>
      <c r="CK425" s="14" t="n">
        <v>0</v>
      </c>
      <c r="CL425" s="14" t="n">
        <v>0.031</v>
      </c>
      <c r="CM425" s="14" t="n">
        <v>0</v>
      </c>
      <c r="CN425" s="14" t="n">
        <v>0</v>
      </c>
      <c r="CO425" s="14" t="n">
        <v>0</v>
      </c>
      <c r="CP425" s="14" t="n">
        <v>0</v>
      </c>
      <c r="CQ425" s="14" t="n">
        <v>1.294</v>
      </c>
      <c r="CR425" s="14" t="n">
        <v>0</v>
      </c>
      <c r="CS425" s="14" t="n">
        <v>1.788</v>
      </c>
      <c r="CT425" s="14" t="n">
        <v>11.201</v>
      </c>
      <c r="CU425" s="14" t="n">
        <v>19.853</v>
      </c>
    </row>
    <row r="426">
      <c r="A426" s="14" t="inlineStr">
        <is>
          <t>KOR2023</t>
        </is>
      </c>
      <c r="B426" s="14" t="inlineStr">
        <is>
          <t>KOR</t>
        </is>
      </c>
      <c r="C426" s="14" t="inlineStr">
        <is>
          <t>KOR</t>
        </is>
      </c>
      <c r="D426" s="14" t="inlineStr">
        <is>
          <t>Korea</t>
        </is>
      </c>
      <c r="E426" s="14" t="n">
        <v>2023</v>
      </c>
      <c r="F426" s="14" t="n">
        <v>0.1</v>
      </c>
      <c r="G426" s="14" t="n">
        <v>4.112</v>
      </c>
      <c r="H426" s="14" t="n">
        <v>0.9370000000000001</v>
      </c>
      <c r="I426" s="14" t="n">
        <v>2.31</v>
      </c>
      <c r="J426" s="14" t="n">
        <v>6.422</v>
      </c>
      <c r="K426" s="14" t="n">
        <v>0</v>
      </c>
      <c r="L426" s="14" t="n">
        <v>1</v>
      </c>
      <c r="M426" s="14" t="n">
        <v>5.052</v>
      </c>
      <c r="N426" s="14" t="n">
        <v>2.505</v>
      </c>
      <c r="O426" s="14" t="n">
        <v>1.371</v>
      </c>
      <c r="P426" s="14" t="n">
        <v>6.422</v>
      </c>
      <c r="Q426" s="14" t="n">
        <v>0</v>
      </c>
      <c r="R426" s="14" t="n">
        <v>1</v>
      </c>
      <c r="S426" s="14" t="n">
        <v>8.856999999999999</v>
      </c>
      <c r="T426" s="14" t="n">
        <v>5.554</v>
      </c>
      <c r="U426" s="14" t="n">
        <v>-0.821</v>
      </c>
      <c r="V426" s="14" t="n">
        <v>8.035</v>
      </c>
      <c r="W426" s="14" t="n">
        <v>0</v>
      </c>
      <c r="X426" s="14" t="n">
        <v>0</v>
      </c>
      <c r="Y426" s="14" t="n">
        <v>18.667</v>
      </c>
      <c r="Z426" s="14" t="n">
        <v>2.091</v>
      </c>
      <c r="AA426" s="14" t="n">
        <v>3.185</v>
      </c>
      <c r="AB426" s="14" t="n">
        <v>21.852</v>
      </c>
      <c r="AC426" s="14" t="n">
        <v>0</v>
      </c>
      <c r="AD426" s="14" t="n">
        <v>1</v>
      </c>
      <c r="AE426" s="14" t="n">
        <v>18.892</v>
      </c>
      <c r="AF426" s="14" t="n">
        <v>3.763</v>
      </c>
      <c r="AG426" s="14" t="n">
        <v>1.952</v>
      </c>
      <c r="AH426" s="14" t="n">
        <v>20.844</v>
      </c>
      <c r="AI426" s="14" t="n">
        <v>0</v>
      </c>
      <c r="AJ426" s="14" t="n">
        <v>1</v>
      </c>
      <c r="AK426" s="14" t="n">
        <v>23.473</v>
      </c>
      <c r="AL426" s="14" t="n">
        <v>11.628</v>
      </c>
      <c r="AM426" s="14" t="n">
        <v>-7.703</v>
      </c>
      <c r="AN426" s="14" t="n">
        <v>17.346</v>
      </c>
      <c r="AO426" s="14" t="n">
        <v>0</v>
      </c>
      <c r="AP426" s="14" t="n">
        <v>0</v>
      </c>
      <c r="AQ426" s="14" t="n">
        <v>0.749</v>
      </c>
      <c r="AR426" s="14" t="n">
        <v>0.129</v>
      </c>
      <c r="AS426" s="14" t="n">
        <v>0.373</v>
      </c>
      <c r="AT426" s="14" t="n">
        <v>1.234</v>
      </c>
      <c r="AU426" s="14" t="n">
        <v>0.1</v>
      </c>
      <c r="AV426" s="14" t="n">
        <v>1</v>
      </c>
      <c r="AW426" s="14" t="n">
        <v>0.783</v>
      </c>
      <c r="AX426" s="14" t="n">
        <v>0.129</v>
      </c>
      <c r="AY426" s="14" t="n">
        <v>0.304</v>
      </c>
      <c r="AZ426" s="14" t="n">
        <v>1.195</v>
      </c>
      <c r="BA426" s="14" t="n">
        <v>0.1</v>
      </c>
      <c r="BB426" s="14" t="n">
        <v>1</v>
      </c>
      <c r="BC426" s="14" t="n">
        <v>0.527</v>
      </c>
      <c r="BD426" s="14" t="n">
        <v>0.129</v>
      </c>
      <c r="BE426" s="14" t="n">
        <v>-0.019</v>
      </c>
      <c r="BF426" s="14" t="n">
        <v>0.5590000000000001</v>
      </c>
      <c r="BG426" s="14" t="n">
        <v>0.1</v>
      </c>
      <c r="BH426" s="14" t="n">
        <v>1</v>
      </c>
      <c r="BI426" s="14" t="n">
        <v>0.64</v>
      </c>
      <c r="BJ426" s="14" t="n">
        <v>0.129</v>
      </c>
      <c r="BK426" s="14" t="n">
        <v>0.338</v>
      </c>
      <c r="BL426" s="14" t="n">
        <v>1.076</v>
      </c>
      <c r="BM426" s="14" t="n">
        <v>0.1</v>
      </c>
      <c r="BN426" s="14" t="n">
        <v>1</v>
      </c>
      <c r="BO426" s="14" t="n">
        <v>0</v>
      </c>
      <c r="BP426" s="14" t="n">
        <v>0.006</v>
      </c>
      <c r="BQ426" s="14" t="n">
        <v>0.118</v>
      </c>
      <c r="BR426" s="14" t="n">
        <v>0</v>
      </c>
      <c r="BS426" s="14" t="n">
        <v>0.833</v>
      </c>
      <c r="BT426" s="14" t="n">
        <v>0</v>
      </c>
      <c r="BU426" s="14" t="n">
        <v>0.004</v>
      </c>
      <c r="BV426" s="14" t="n">
        <v>0.115</v>
      </c>
      <c r="BW426" s="14" t="n">
        <v>0</v>
      </c>
      <c r="BX426" s="14" t="n">
        <v>0.667</v>
      </c>
      <c r="BY426" s="14" t="n">
        <v>2.909</v>
      </c>
      <c r="BZ426" s="14" t="n">
        <v>0</v>
      </c>
      <c r="CA426" s="14" t="n">
        <v>2.909</v>
      </c>
      <c r="CB426" s="14" t="n">
        <v>0</v>
      </c>
      <c r="CC426" s="14" t="n">
        <v>87.07899999999999</v>
      </c>
      <c r="CD426" s="14" t="n">
        <v>7.95</v>
      </c>
      <c r="CE426" s="14" t="n">
        <v>1.761</v>
      </c>
      <c r="CF426" s="14" t="n">
        <v>97.724</v>
      </c>
      <c r="CG426" s="14" t="n">
        <v>0.1</v>
      </c>
      <c r="CH426" s="14" t="n">
        <v>1</v>
      </c>
      <c r="CI426" s="14" t="n">
        <v>0</v>
      </c>
      <c r="CJ426" s="14" t="n">
        <v>0</v>
      </c>
      <c r="CK426" s="14" t="n">
        <v>0</v>
      </c>
      <c r="CL426" s="14" t="n">
        <v>0.032</v>
      </c>
      <c r="CM426" s="14" t="n">
        <v>0</v>
      </c>
      <c r="CN426" s="14" t="n">
        <v>0</v>
      </c>
      <c r="CO426" s="14" t="n">
        <v>0</v>
      </c>
      <c r="CP426" s="14" t="n">
        <v>0</v>
      </c>
      <c r="CQ426" s="14" t="n">
        <v>1.348</v>
      </c>
      <c r="CR426" s="14" t="n">
        <v>0</v>
      </c>
      <c r="CS426" s="14" t="n">
        <v>1.861</v>
      </c>
      <c r="CT426" s="14" t="n">
        <v>6.044</v>
      </c>
      <c r="CU426" s="14" t="n">
        <v>14.879</v>
      </c>
    </row>
    <row r="427">
      <c r="A427" s="14" t="inlineStr">
        <is>
          <t>KOR2024</t>
        </is>
      </c>
      <c r="B427" s="14" t="inlineStr">
        <is>
          <t>KOR</t>
        </is>
      </c>
      <c r="C427" s="14" t="inlineStr">
        <is>
          <t>KOR</t>
        </is>
      </c>
      <c r="D427" s="14" t="inlineStr">
        <is>
          <t>Korea</t>
        </is>
      </c>
      <c r="E427" s="14" t="n">
        <v>2024</v>
      </c>
      <c r="F427" s="14" t="n">
        <v>0.1</v>
      </c>
      <c r="G427" s="14" t="n">
        <v>3.912</v>
      </c>
      <c r="H427" s="14" t="n">
        <v>0.991</v>
      </c>
      <c r="I427" s="14" t="n">
        <v>1.843</v>
      </c>
      <c r="J427" s="14" t="n">
        <v>5.755</v>
      </c>
      <c r="K427" s="14" t="n">
        <v>0</v>
      </c>
      <c r="L427" s="14" t="n">
        <v>1</v>
      </c>
      <c r="M427" s="14" t="n">
        <v>4.883</v>
      </c>
      <c r="N427" s="14" t="n">
        <v>2.66</v>
      </c>
      <c r="O427" s="14" t="n">
        <v>0.873</v>
      </c>
      <c r="P427" s="14" t="n">
        <v>5.755</v>
      </c>
      <c r="Q427" s="14" t="n">
        <v>0</v>
      </c>
      <c r="R427" s="14" t="n">
        <v>1</v>
      </c>
      <c r="S427" s="14" t="n">
        <v>9.073</v>
      </c>
      <c r="T427" s="14" t="n">
        <v>6.007</v>
      </c>
      <c r="U427" s="14" t="n">
        <v>-1.293</v>
      </c>
      <c r="V427" s="14" t="n">
        <v>7.78</v>
      </c>
      <c r="W427" s="14" t="n">
        <v>0</v>
      </c>
      <c r="X427" s="14" t="n">
        <v>0</v>
      </c>
      <c r="Y427" s="14" t="n">
        <v>14.959</v>
      </c>
      <c r="Z427" s="14" t="n">
        <v>1.889</v>
      </c>
      <c r="AA427" s="14" t="n">
        <v>0.919</v>
      </c>
      <c r="AB427" s="14" t="n">
        <v>15.878</v>
      </c>
      <c r="AC427" s="14" t="n">
        <v>0</v>
      </c>
      <c r="AD427" s="14" t="n">
        <v>1</v>
      </c>
      <c r="AE427" s="14" t="n">
        <v>16.804</v>
      </c>
      <c r="AF427" s="14" t="n">
        <v>3.681</v>
      </c>
      <c r="AG427" s="14" t="n">
        <v>1.372</v>
      </c>
      <c r="AH427" s="14" t="n">
        <v>18.176</v>
      </c>
      <c r="AI427" s="14" t="n">
        <v>0</v>
      </c>
      <c r="AJ427" s="14" t="n">
        <v>1</v>
      </c>
      <c r="AK427" s="14" t="n">
        <v>20.889</v>
      </c>
      <c r="AL427" s="14" t="n">
        <v>10.624</v>
      </c>
      <c r="AM427" s="14" t="n">
        <v>-5.023</v>
      </c>
      <c r="AN427" s="14" t="n">
        <v>17.452</v>
      </c>
      <c r="AO427" s="14" t="n">
        <v>0</v>
      </c>
      <c r="AP427" s="14" t="n">
        <v>0</v>
      </c>
      <c r="AQ427" s="14" t="n">
        <v>0.72</v>
      </c>
      <c r="AR427" s="14" t="n">
        <v>0.132</v>
      </c>
      <c r="AS427" s="14" t="n">
        <v>0.354</v>
      </c>
      <c r="AT427" s="14" t="n">
        <v>1.182</v>
      </c>
      <c r="AU427" s="14" t="n">
        <v>0.1</v>
      </c>
      <c r="AV427" s="14" t="n">
        <v>1</v>
      </c>
      <c r="AW427" s="14" t="n">
        <v>0.734</v>
      </c>
      <c r="AX427" s="14" t="n">
        <v>0.132</v>
      </c>
      <c r="AY427" s="14" t="n">
        <v>0.27</v>
      </c>
      <c r="AZ427" s="14" t="n">
        <v>1.105</v>
      </c>
      <c r="BA427" s="14" t="n">
        <v>0.1</v>
      </c>
      <c r="BB427" s="14" t="n">
        <v>1</v>
      </c>
      <c r="BC427" s="14" t="n">
        <v>0.51</v>
      </c>
      <c r="BD427" s="14" t="n">
        <v>0.132</v>
      </c>
      <c r="BE427" s="14" t="n">
        <v>-0.005</v>
      </c>
      <c r="BF427" s="14" t="n">
        <v>0.556</v>
      </c>
      <c r="BG427" s="14" t="n">
        <v>0.1</v>
      </c>
      <c r="BH427" s="14" t="n">
        <v>1</v>
      </c>
      <c r="BI427" s="14" t="n">
        <v>0.652</v>
      </c>
      <c r="BJ427" s="14" t="n">
        <v>0.132</v>
      </c>
      <c r="BK427" s="14" t="n">
        <v>0.249</v>
      </c>
      <c r="BL427" s="14" t="n">
        <v>0.991</v>
      </c>
      <c r="BM427" s="14" t="n">
        <v>0.1</v>
      </c>
      <c r="BN427" s="14" t="n">
        <v>1</v>
      </c>
      <c r="BO427" s="14" t="n">
        <v>0</v>
      </c>
      <c r="BP427" s="14" t="n">
        <v>0.004</v>
      </c>
      <c r="BQ427" s="14" t="n">
        <v>0.116</v>
      </c>
      <c r="BR427" s="14" t="n">
        <v>0</v>
      </c>
      <c r="BS427" s="14" t="n">
        <v>0.833</v>
      </c>
      <c r="BT427" s="14" t="n">
        <v>0</v>
      </c>
      <c r="BU427" s="14" t="n">
        <v>0.004</v>
      </c>
      <c r="BV427" s="14" t="n">
        <v>0.115</v>
      </c>
      <c r="BW427" s="14" t="n">
        <v>0</v>
      </c>
      <c r="BX427" s="14" t="n">
        <v>0.667</v>
      </c>
      <c r="BY427" s="14" t="n">
        <v>2.995</v>
      </c>
      <c r="BZ427" s="14" t="n">
        <v>0</v>
      </c>
      <c r="CA427" s="14" t="n">
        <v>2.995</v>
      </c>
      <c r="CB427" s="14" t="n">
        <v>0</v>
      </c>
      <c r="CC427" s="14" t="n">
        <v>86.38500000000001</v>
      </c>
      <c r="CD427" s="14" t="n">
        <v>7.95</v>
      </c>
      <c r="CE427" s="14" t="n">
        <v>-6.537</v>
      </c>
      <c r="CF427" s="14" t="n">
        <v>87.833</v>
      </c>
      <c r="CG427" s="14" t="n">
        <v>0.1</v>
      </c>
      <c r="CH427" s="14" t="n">
        <v>1</v>
      </c>
      <c r="CI427" s="14" t="n">
        <v>0</v>
      </c>
      <c r="CJ427" s="14" t="n">
        <v>0</v>
      </c>
      <c r="CK427" s="14" t="n">
        <v>0</v>
      </c>
      <c r="CL427" s="14" t="n">
        <v>0.033</v>
      </c>
      <c r="CM427" s="14" t="n">
        <v>0</v>
      </c>
      <c r="CN427" s="14" t="n">
        <v>0</v>
      </c>
      <c r="CO427" s="14" t="n">
        <v>0</v>
      </c>
      <c r="CP427" s="14" t="n">
        <v>0</v>
      </c>
      <c r="CQ427" s="14" t="n">
        <v>1.387</v>
      </c>
      <c r="CR427" s="14" t="n">
        <v>0</v>
      </c>
      <c r="CS427" s="14" t="n">
        <v>1.916</v>
      </c>
      <c r="CT427" s="14" t="n">
        <v>5.005</v>
      </c>
      <c r="CU427" s="14" t="n">
        <v>11.813</v>
      </c>
    </row>
    <row r="428">
      <c r="A428" s="14" t="inlineStr">
        <is>
          <t>PRK2021</t>
        </is>
      </c>
      <c r="B428" s="14" t="inlineStr">
        <is>
          <t>PRK</t>
        </is>
      </c>
      <c r="C428" s="14" t="inlineStr">
        <is>
          <t>PRK</t>
        </is>
      </c>
      <c r="D428" s="14" t="inlineStr">
        <is>
          <t>Korea, Dem. People's Rep.</t>
        </is>
      </c>
      <c r="E428" s="14" t="n">
        <v>2021</v>
      </c>
      <c r="F428" s="14" t="n">
        <v>0</v>
      </c>
      <c r="G428" s="14" t="n">
        <v>1.785</v>
      </c>
      <c r="H428" s="14" t="n">
        <v>0.575</v>
      </c>
      <c r="I428" s="14" t="n">
        <v>0</v>
      </c>
      <c r="J428" s="14" t="n">
        <v>1.785</v>
      </c>
      <c r="K428" s="14" t="n">
        <v>0</v>
      </c>
      <c r="L428" s="14" t="n">
        <v>1</v>
      </c>
      <c r="M428" s="14" t="n">
        <v>2.939</v>
      </c>
      <c r="N428" s="14" t="n">
        <v>1.724</v>
      </c>
      <c r="O428" s="14" t="n">
        <v>0</v>
      </c>
      <c r="P428" s="14" t="n">
        <v>2.939</v>
      </c>
      <c r="Q428" s="14" t="n">
        <v>0</v>
      </c>
      <c r="R428" s="14" t="n">
        <v>1</v>
      </c>
      <c r="S428" s="14" t="n">
        <v>4.658</v>
      </c>
      <c r="T428" s="14" t="n">
        <v>3.447</v>
      </c>
      <c r="U428" s="14" t="n">
        <v>0</v>
      </c>
      <c r="V428" s="14" t="n">
        <v>4.658</v>
      </c>
      <c r="W428" s="14" t="n">
        <v>0</v>
      </c>
      <c r="X428" s="14" t="n">
        <v>1</v>
      </c>
      <c r="Y428" s="14" t="n">
        <v>10.551</v>
      </c>
      <c r="Z428" s="14" t="n">
        <v>1.302</v>
      </c>
      <c r="AA428" s="14" t="n">
        <v>0</v>
      </c>
      <c r="AB428" s="14" t="n">
        <v>10.551</v>
      </c>
      <c r="AC428" s="14" t="n">
        <v>0</v>
      </c>
      <c r="AD428" s="14" t="n">
        <v>1</v>
      </c>
      <c r="AE428" s="14" t="n">
        <v>11.694</v>
      </c>
      <c r="AF428" s="14" t="n">
        <v>2.549</v>
      </c>
      <c r="AG428" s="14" t="n">
        <v>0</v>
      </c>
      <c r="AH428" s="14" t="n">
        <v>11.694</v>
      </c>
      <c r="AI428" s="14" t="n">
        <v>0</v>
      </c>
      <c r="AJ428" s="14" t="n">
        <v>1</v>
      </c>
      <c r="AK428" s="14" t="n">
        <v>18.554</v>
      </c>
      <c r="AL428" s="14" t="n">
        <v>9.627000000000001</v>
      </c>
      <c r="AM428" s="14" t="n">
        <v>0</v>
      </c>
      <c r="AN428" s="14" t="n">
        <v>18.554</v>
      </c>
      <c r="AO428" s="14" t="n">
        <v>0</v>
      </c>
      <c r="AP428" s="14" t="n">
        <v>1</v>
      </c>
      <c r="AQ428" s="14" t="n">
        <v>0.621</v>
      </c>
      <c r="AR428" s="14" t="n">
        <v>0.114</v>
      </c>
      <c r="AS428" s="14" t="n">
        <v>0</v>
      </c>
      <c r="AT428" s="14" t="n">
        <v>0.621</v>
      </c>
      <c r="AU428" s="14" t="n">
        <v>0</v>
      </c>
      <c r="AV428" s="14" t="n">
        <v>1</v>
      </c>
      <c r="AW428" s="14" t="n">
        <v>0.593</v>
      </c>
      <c r="AX428" s="14" t="n">
        <v>0.114</v>
      </c>
      <c r="AY428" s="14" t="n">
        <v>0</v>
      </c>
      <c r="AZ428" s="14" t="n">
        <v>0.593</v>
      </c>
      <c r="BA428" s="14" t="n">
        <v>0</v>
      </c>
      <c r="BB428" s="14" t="n">
        <v>1</v>
      </c>
      <c r="BC428" s="14" t="n">
        <v>0.44</v>
      </c>
      <c r="BD428" s="14" t="n">
        <v>0.114</v>
      </c>
      <c r="BE428" s="14" t="n">
        <v>0</v>
      </c>
      <c r="BF428" s="14" t="n">
        <v>0.44</v>
      </c>
      <c r="BG428" s="14" t="n">
        <v>0</v>
      </c>
      <c r="BH428" s="14" t="n">
        <v>1</v>
      </c>
      <c r="BI428" s="14" t="n">
        <v>0.5600000000000001</v>
      </c>
      <c r="BJ428" s="14" t="n">
        <v>0.114</v>
      </c>
      <c r="BK428" s="14" t="n">
        <v>0</v>
      </c>
      <c r="BL428" s="14" t="n">
        <v>0.5600000000000001</v>
      </c>
      <c r="BM428" s="14" t="n">
        <v>0</v>
      </c>
      <c r="BN428" s="14" t="n">
        <v>1</v>
      </c>
      <c r="BO428" s="14" t="n">
        <v>0</v>
      </c>
      <c r="BP428" s="14" t="n">
        <v>0</v>
      </c>
      <c r="BQ428" s="14" t="n">
        <v>0</v>
      </c>
      <c r="BR428" s="14" t="n">
        <v>0</v>
      </c>
      <c r="BS428" s="14" t="n">
        <v>1</v>
      </c>
      <c r="BT428" s="14" t="n">
        <v>0</v>
      </c>
      <c r="BU428" s="14" t="n">
        <v>0</v>
      </c>
      <c r="BV428" s="14" t="n">
        <v>0</v>
      </c>
      <c r="BW428" s="14" t="n">
        <v>0</v>
      </c>
      <c r="BX428" s="14" t="n">
        <v>1</v>
      </c>
      <c r="BY428" s="14" t="n">
        <v>11.787</v>
      </c>
      <c r="BZ428" s="14" t="n">
        <v>0</v>
      </c>
      <c r="CA428" s="14" t="n">
        <v>11.787</v>
      </c>
      <c r="CB428" s="14" t="n">
        <v>0</v>
      </c>
      <c r="CC428" s="14" t="n">
        <v>81.69499999999999</v>
      </c>
      <c r="CD428" s="14" t="n">
        <v>7.95</v>
      </c>
      <c r="CE428" s="14" t="n">
        <v>0</v>
      </c>
      <c r="CF428" s="14" t="n">
        <v>81.69499999999999</v>
      </c>
      <c r="CG428" s="14" t="n">
        <v>0</v>
      </c>
      <c r="CH428" s="14" t="n">
        <v>1</v>
      </c>
      <c r="CI428" s="14" t="n">
        <v>0</v>
      </c>
      <c r="CJ428" s="14" t="n">
        <v>0</v>
      </c>
      <c r="CK428" s="14" t="n">
        <v>0</v>
      </c>
      <c r="CL428" s="14" t="n">
        <v>0</v>
      </c>
      <c r="CM428" s="14" t="n">
        <v>0</v>
      </c>
      <c r="CN428" s="14" t="n">
        <v>0</v>
      </c>
      <c r="CO428" s="14" t="n">
        <v>0</v>
      </c>
      <c r="CP428" s="14" t="n">
        <v>0.995</v>
      </c>
      <c r="CQ428" s="14" t="n">
        <v>1.198</v>
      </c>
      <c r="CR428" s="14" t="n">
        <v>0</v>
      </c>
      <c r="CS428" s="14" t="n">
        <v>4.776</v>
      </c>
      <c r="CT428" s="14" t="n">
        <v>3.604</v>
      </c>
      <c r="CU428" s="14" t="n">
        <v>9.407999999999999</v>
      </c>
    </row>
    <row r="429">
      <c r="A429" s="14" t="inlineStr">
        <is>
          <t>PRK2022</t>
        </is>
      </c>
      <c r="B429" s="14" t="inlineStr">
        <is>
          <t>PRK</t>
        </is>
      </c>
      <c r="C429" s="14" t="inlineStr">
        <is>
          <t>PRK</t>
        </is>
      </c>
      <c r="D429" s="14" t="inlineStr">
        <is>
          <t>Korea, Dem. People's Rep.</t>
        </is>
      </c>
      <c r="E429" s="14" t="n">
        <v>2022</v>
      </c>
      <c r="F429" s="14" t="n">
        <v>0</v>
      </c>
      <c r="G429" s="14" t="n">
        <v>1.928</v>
      </c>
      <c r="H429" s="14" t="n">
        <v>0.619</v>
      </c>
      <c r="I429" s="14" t="n">
        <v>0</v>
      </c>
      <c r="J429" s="14" t="n">
        <v>1.928</v>
      </c>
      <c r="K429" s="14" t="n">
        <v>0</v>
      </c>
      <c r="L429" s="14" t="n">
        <v>1</v>
      </c>
      <c r="M429" s="14" t="n">
        <v>3.162</v>
      </c>
      <c r="N429" s="14" t="n">
        <v>1.856</v>
      </c>
      <c r="O429" s="14" t="n">
        <v>0</v>
      </c>
      <c r="P429" s="14" t="n">
        <v>3.162</v>
      </c>
      <c r="Q429" s="14" t="n">
        <v>0</v>
      </c>
      <c r="R429" s="14" t="n">
        <v>1</v>
      </c>
      <c r="S429" s="14" t="n">
        <v>5.022</v>
      </c>
      <c r="T429" s="14" t="n">
        <v>3.713</v>
      </c>
      <c r="U429" s="14" t="n">
        <v>0</v>
      </c>
      <c r="V429" s="14" t="n">
        <v>5.022</v>
      </c>
      <c r="W429" s="14" t="n">
        <v>0</v>
      </c>
      <c r="X429" s="14" t="n">
        <v>1</v>
      </c>
      <c r="Y429" s="14" t="n">
        <v>17.332</v>
      </c>
      <c r="Z429" s="14" t="n">
        <v>2.139</v>
      </c>
      <c r="AA429" s="14" t="n">
        <v>0</v>
      </c>
      <c r="AB429" s="14" t="n">
        <v>17.332</v>
      </c>
      <c r="AC429" s="14" t="n">
        <v>0</v>
      </c>
      <c r="AD429" s="14" t="n">
        <v>1</v>
      </c>
      <c r="AE429" s="14" t="n">
        <v>18.566</v>
      </c>
      <c r="AF429" s="14" t="n">
        <v>4.048</v>
      </c>
      <c r="AG429" s="14" t="n">
        <v>0</v>
      </c>
      <c r="AH429" s="14" t="n">
        <v>18.566</v>
      </c>
      <c r="AI429" s="14" t="n">
        <v>0</v>
      </c>
      <c r="AJ429" s="14" t="n">
        <v>1</v>
      </c>
      <c r="AK429" s="14" t="n">
        <v>25.974</v>
      </c>
      <c r="AL429" s="14" t="n">
        <v>13.478</v>
      </c>
      <c r="AM429" s="14" t="n">
        <v>0</v>
      </c>
      <c r="AN429" s="14" t="n">
        <v>25.974</v>
      </c>
      <c r="AO429" s="14" t="n">
        <v>0</v>
      </c>
      <c r="AP429" s="14" t="n">
        <v>1</v>
      </c>
      <c r="AQ429" s="14" t="n">
        <v>0.847</v>
      </c>
      <c r="AR429" s="14" t="n">
        <v>0.123</v>
      </c>
      <c r="AS429" s="14" t="n">
        <v>0</v>
      </c>
      <c r="AT429" s="14" t="n">
        <v>0.847</v>
      </c>
      <c r="AU429" s="14" t="n">
        <v>0</v>
      </c>
      <c r="AV429" s="14" t="n">
        <v>1</v>
      </c>
      <c r="AW429" s="14" t="n">
        <v>0.947</v>
      </c>
      <c r="AX429" s="14" t="n">
        <v>0.123</v>
      </c>
      <c r="AY429" s="14" t="n">
        <v>0</v>
      </c>
      <c r="AZ429" s="14" t="n">
        <v>0.947</v>
      </c>
      <c r="BA429" s="14" t="n">
        <v>0</v>
      </c>
      <c r="BB429" s="14" t="n">
        <v>1</v>
      </c>
      <c r="BC429" s="14" t="n">
        <v>0.589</v>
      </c>
      <c r="BD429" s="14" t="n">
        <v>0.123</v>
      </c>
      <c r="BE429" s="14" t="n">
        <v>0</v>
      </c>
      <c r="BF429" s="14" t="n">
        <v>0.589</v>
      </c>
      <c r="BG429" s="14" t="n">
        <v>0</v>
      </c>
      <c r="BH429" s="14" t="n">
        <v>1</v>
      </c>
      <c r="BI429" s="14" t="n">
        <v>0.6889999999999999</v>
      </c>
      <c r="BJ429" s="14" t="n">
        <v>0.123</v>
      </c>
      <c r="BK429" s="14" t="n">
        <v>0</v>
      </c>
      <c r="BL429" s="14" t="n">
        <v>0.6889999999999999</v>
      </c>
      <c r="BM429" s="14" t="n">
        <v>0</v>
      </c>
      <c r="BN429" s="14" t="n">
        <v>1</v>
      </c>
      <c r="BO429" s="14" t="n">
        <v>0</v>
      </c>
      <c r="BP429" s="14" t="n">
        <v>0</v>
      </c>
      <c r="BQ429" s="14" t="n">
        <v>0</v>
      </c>
      <c r="BR429" s="14" t="n">
        <v>0</v>
      </c>
      <c r="BS429" s="14" t="n">
        <v>1</v>
      </c>
      <c r="BT429" s="14" t="n">
        <v>0</v>
      </c>
      <c r="BU429" s="14" t="n">
        <v>0</v>
      </c>
      <c r="BV429" s="14" t="n">
        <v>0</v>
      </c>
      <c r="BW429" s="14" t="n">
        <v>0</v>
      </c>
      <c r="BX429" s="14" t="n">
        <v>1</v>
      </c>
      <c r="BY429" s="14" t="n">
        <v>12.729</v>
      </c>
      <c r="BZ429" s="14" t="n">
        <v>0</v>
      </c>
      <c r="CA429" s="14" t="n">
        <v>12.729</v>
      </c>
      <c r="CB429" s="14" t="n">
        <v>0</v>
      </c>
      <c r="CC429" s="14" t="n">
        <v>102.477</v>
      </c>
      <c r="CD429" s="14" t="n">
        <v>7.95</v>
      </c>
      <c r="CE429" s="14" t="n">
        <v>0</v>
      </c>
      <c r="CF429" s="14" t="n">
        <v>102.477</v>
      </c>
      <c r="CG429" s="14" t="n">
        <v>0</v>
      </c>
      <c r="CH429" s="14" t="n">
        <v>1</v>
      </c>
      <c r="CI429" s="14" t="n">
        <v>0</v>
      </c>
      <c r="CJ429" s="14" t="n">
        <v>0</v>
      </c>
      <c r="CK429" s="14" t="n">
        <v>0</v>
      </c>
      <c r="CL429" s="14" t="n">
        <v>0</v>
      </c>
      <c r="CM429" s="14" t="n">
        <v>0</v>
      </c>
      <c r="CN429" s="14" t="n">
        <v>0</v>
      </c>
      <c r="CO429" s="14" t="n">
        <v>0</v>
      </c>
      <c r="CP429" s="14" t="n">
        <v>0.998</v>
      </c>
      <c r="CQ429" s="14" t="n">
        <v>1.294</v>
      </c>
      <c r="CR429" s="14" t="n">
        <v>0</v>
      </c>
      <c r="CS429" s="14" t="n">
        <v>5.158</v>
      </c>
      <c r="CT429" s="14" t="n">
        <v>7.554</v>
      </c>
      <c r="CU429" s="14" t="n">
        <v>16.097</v>
      </c>
    </row>
    <row r="430">
      <c r="A430" s="14" t="inlineStr">
        <is>
          <t>PRK2023</t>
        </is>
      </c>
      <c r="B430" s="14" t="inlineStr">
        <is>
          <t>PRK</t>
        </is>
      </c>
      <c r="C430" s="14" t="inlineStr">
        <is>
          <t>PRK</t>
        </is>
      </c>
      <c r="D430" s="14" t="inlineStr">
        <is>
          <t>Korea, Dem. People's Rep.</t>
        </is>
      </c>
      <c r="E430" s="14" t="n">
        <v>2023</v>
      </c>
      <c r="F430" s="14" t="n">
        <v>0</v>
      </c>
      <c r="G430" s="14" t="n">
        <v>1.99</v>
      </c>
      <c r="H430" s="14" t="n">
        <v>0.643</v>
      </c>
      <c r="I430" s="14" t="n">
        <v>0</v>
      </c>
      <c r="J430" s="14" t="n">
        <v>1.99</v>
      </c>
      <c r="K430" s="14" t="n">
        <v>0</v>
      </c>
      <c r="L430" s="14" t="n">
        <v>1</v>
      </c>
      <c r="M430" s="14" t="n">
        <v>3.276</v>
      </c>
      <c r="N430" s="14" t="n">
        <v>1.928</v>
      </c>
      <c r="O430" s="14" t="n">
        <v>0</v>
      </c>
      <c r="P430" s="14" t="n">
        <v>3.276</v>
      </c>
      <c r="Q430" s="14" t="n">
        <v>0</v>
      </c>
      <c r="R430" s="14" t="n">
        <v>1</v>
      </c>
      <c r="S430" s="14" t="n">
        <v>5.205</v>
      </c>
      <c r="T430" s="14" t="n">
        <v>3.857</v>
      </c>
      <c r="U430" s="14" t="n">
        <v>0</v>
      </c>
      <c r="V430" s="14" t="n">
        <v>5.205</v>
      </c>
      <c r="W430" s="14" t="n">
        <v>0</v>
      </c>
      <c r="X430" s="14" t="n">
        <v>1</v>
      </c>
      <c r="Y430" s="14" t="n">
        <v>13.814</v>
      </c>
      <c r="Z430" s="14" t="n">
        <v>1.705</v>
      </c>
      <c r="AA430" s="14" t="n">
        <v>0</v>
      </c>
      <c r="AB430" s="14" t="n">
        <v>13.814</v>
      </c>
      <c r="AC430" s="14" t="n">
        <v>0</v>
      </c>
      <c r="AD430" s="14" t="n">
        <v>1</v>
      </c>
      <c r="AE430" s="14" t="n">
        <v>15.1</v>
      </c>
      <c r="AF430" s="14" t="n">
        <v>3.292</v>
      </c>
      <c r="AG430" s="14" t="n">
        <v>0</v>
      </c>
      <c r="AH430" s="14" t="n">
        <v>15.1</v>
      </c>
      <c r="AI430" s="14" t="n">
        <v>0</v>
      </c>
      <c r="AJ430" s="14" t="n">
        <v>1</v>
      </c>
      <c r="AK430" s="14" t="n">
        <v>22.814</v>
      </c>
      <c r="AL430" s="14" t="n">
        <v>11.838</v>
      </c>
      <c r="AM430" s="14" t="n">
        <v>0</v>
      </c>
      <c r="AN430" s="14" t="n">
        <v>22.814</v>
      </c>
      <c r="AO430" s="14" t="n">
        <v>0</v>
      </c>
      <c r="AP430" s="14" t="n">
        <v>1</v>
      </c>
      <c r="AQ430" s="14" t="n">
        <v>0.749</v>
      </c>
      <c r="AR430" s="14" t="n">
        <v>0.129</v>
      </c>
      <c r="AS430" s="14" t="n">
        <v>0</v>
      </c>
      <c r="AT430" s="14" t="n">
        <v>0.749</v>
      </c>
      <c r="AU430" s="14" t="n">
        <v>0</v>
      </c>
      <c r="AV430" s="14" t="n">
        <v>1</v>
      </c>
      <c r="AW430" s="14" t="n">
        <v>0.783</v>
      </c>
      <c r="AX430" s="14" t="n">
        <v>0.129</v>
      </c>
      <c r="AY430" s="14" t="n">
        <v>0</v>
      </c>
      <c r="AZ430" s="14" t="n">
        <v>0.783</v>
      </c>
      <c r="BA430" s="14" t="n">
        <v>0</v>
      </c>
      <c r="BB430" s="14" t="n">
        <v>1</v>
      </c>
      <c r="BC430" s="14" t="n">
        <v>0.527</v>
      </c>
      <c r="BD430" s="14" t="n">
        <v>0.129</v>
      </c>
      <c r="BE430" s="14" t="n">
        <v>0</v>
      </c>
      <c r="BF430" s="14" t="n">
        <v>0.527</v>
      </c>
      <c r="BG430" s="14" t="n">
        <v>0</v>
      </c>
      <c r="BH430" s="14" t="n">
        <v>1</v>
      </c>
      <c r="BI430" s="14" t="n">
        <v>0.64</v>
      </c>
      <c r="BJ430" s="14" t="n">
        <v>0.129</v>
      </c>
      <c r="BK430" s="14" t="n">
        <v>0</v>
      </c>
      <c r="BL430" s="14" t="n">
        <v>0.64</v>
      </c>
      <c r="BM430" s="14" t="n">
        <v>0</v>
      </c>
      <c r="BN430" s="14" t="n">
        <v>1</v>
      </c>
      <c r="BO430" s="14" t="n">
        <v>0</v>
      </c>
      <c r="BP430" s="14" t="n">
        <v>0</v>
      </c>
      <c r="BQ430" s="14" t="n">
        <v>0</v>
      </c>
      <c r="BR430" s="14" t="n">
        <v>0</v>
      </c>
      <c r="BS430" s="14" t="n">
        <v>1</v>
      </c>
      <c r="BT430" s="14" t="n">
        <v>0</v>
      </c>
      <c r="BU430" s="14" t="n">
        <v>0</v>
      </c>
      <c r="BV430" s="14" t="n">
        <v>0</v>
      </c>
      <c r="BW430" s="14" t="n">
        <v>0</v>
      </c>
      <c r="BX430" s="14" t="n">
        <v>1</v>
      </c>
      <c r="BY430" s="14" t="n">
        <v>13.254</v>
      </c>
      <c r="BZ430" s="14" t="n">
        <v>0</v>
      </c>
      <c r="CA430" s="14" t="n">
        <v>13.254</v>
      </c>
      <c r="CB430" s="14" t="n">
        <v>0</v>
      </c>
      <c r="CC430" s="14" t="n">
        <v>87.07899999999999</v>
      </c>
      <c r="CD430" s="14" t="n">
        <v>7.95</v>
      </c>
      <c r="CE430" s="14" t="n">
        <v>0</v>
      </c>
      <c r="CF430" s="14" t="n">
        <v>87.07899999999999</v>
      </c>
      <c r="CG430" s="14" t="n">
        <v>0</v>
      </c>
      <c r="CH430" s="14" t="n">
        <v>1</v>
      </c>
      <c r="CI430" s="14" t="n">
        <v>0</v>
      </c>
      <c r="CJ430" s="14" t="n">
        <v>0</v>
      </c>
      <c r="CK430" s="14" t="n">
        <v>0</v>
      </c>
      <c r="CL430" s="14" t="n">
        <v>0</v>
      </c>
      <c r="CM430" s="14" t="n">
        <v>0</v>
      </c>
      <c r="CN430" s="14" t="n">
        <v>0</v>
      </c>
      <c r="CO430" s="14" t="n">
        <v>0</v>
      </c>
      <c r="CP430" s="14" t="n">
        <v>1</v>
      </c>
      <c r="CQ430" s="14" t="n">
        <v>1.348</v>
      </c>
      <c r="CR430" s="14" t="n">
        <v>0</v>
      </c>
      <c r="CS430" s="14" t="n">
        <v>5.37</v>
      </c>
      <c r="CT430" s="14" t="n">
        <v>4.484</v>
      </c>
      <c r="CU430" s="14" t="n">
        <v>12.529</v>
      </c>
    </row>
    <row r="431">
      <c r="A431" s="14" t="inlineStr">
        <is>
          <t>PRK2024</t>
        </is>
      </c>
      <c r="B431" s="14" t="inlineStr">
        <is>
          <t>PRK</t>
        </is>
      </c>
      <c r="C431" s="14" t="inlineStr">
        <is>
          <t>PRK</t>
        </is>
      </c>
      <c r="D431" s="14" t="inlineStr">
        <is>
          <t>Korea, Dem. People's Rep.</t>
        </is>
      </c>
      <c r="E431" s="14" t="n">
        <v>2024</v>
      </c>
      <c r="F431" s="14" t="n">
        <v>0</v>
      </c>
      <c r="G431" s="14" t="n">
        <v>2.049</v>
      </c>
      <c r="H431" s="14" t="n">
        <v>0.662</v>
      </c>
      <c r="I431" s="14" t="n">
        <v>0</v>
      </c>
      <c r="J431" s="14" t="n">
        <v>2.049</v>
      </c>
      <c r="K431" s="14" t="n">
        <v>0</v>
      </c>
      <c r="L431" s="14" t="n">
        <v>1</v>
      </c>
      <c r="M431" s="14" t="n">
        <v>3.373</v>
      </c>
      <c r="N431" s="14" t="n">
        <v>1.985</v>
      </c>
      <c r="O431" s="14" t="n">
        <v>0</v>
      </c>
      <c r="P431" s="14" t="n">
        <v>3.373</v>
      </c>
      <c r="Q431" s="14" t="n">
        <v>0</v>
      </c>
      <c r="R431" s="14" t="n">
        <v>1</v>
      </c>
      <c r="S431" s="14" t="n">
        <v>5.358</v>
      </c>
      <c r="T431" s="14" t="n">
        <v>3.971</v>
      </c>
      <c r="U431" s="14" t="n">
        <v>0</v>
      </c>
      <c r="V431" s="14" t="n">
        <v>5.358</v>
      </c>
      <c r="W431" s="14" t="n">
        <v>0</v>
      </c>
      <c r="X431" s="14" t="n">
        <v>1</v>
      </c>
      <c r="Y431" s="14" t="n">
        <v>12.219</v>
      </c>
      <c r="Z431" s="14" t="n">
        <v>1.508</v>
      </c>
      <c r="AA431" s="14" t="n">
        <v>0</v>
      </c>
      <c r="AB431" s="14" t="n">
        <v>12.219</v>
      </c>
      <c r="AC431" s="14" t="n">
        <v>0</v>
      </c>
      <c r="AD431" s="14" t="n">
        <v>1</v>
      </c>
      <c r="AE431" s="14" t="n">
        <v>13.543</v>
      </c>
      <c r="AF431" s="14" t="n">
        <v>2.952</v>
      </c>
      <c r="AG431" s="14" t="n">
        <v>0</v>
      </c>
      <c r="AH431" s="14" t="n">
        <v>13.543</v>
      </c>
      <c r="AI431" s="14" t="n">
        <v>0</v>
      </c>
      <c r="AJ431" s="14" t="n">
        <v>1</v>
      </c>
      <c r="AK431" s="14" t="n">
        <v>21.484</v>
      </c>
      <c r="AL431" s="14" t="n">
        <v>11.148</v>
      </c>
      <c r="AM431" s="14" t="n">
        <v>0</v>
      </c>
      <c r="AN431" s="14" t="n">
        <v>21.484</v>
      </c>
      <c r="AO431" s="14" t="n">
        <v>0</v>
      </c>
      <c r="AP431" s="14" t="n">
        <v>1</v>
      </c>
      <c r="AQ431" s="14" t="n">
        <v>0.72</v>
      </c>
      <c r="AR431" s="14" t="n">
        <v>0.132</v>
      </c>
      <c r="AS431" s="14" t="n">
        <v>0</v>
      </c>
      <c r="AT431" s="14" t="n">
        <v>0.72</v>
      </c>
      <c r="AU431" s="14" t="n">
        <v>0</v>
      </c>
      <c r="AV431" s="14" t="n">
        <v>1</v>
      </c>
      <c r="AW431" s="14" t="n">
        <v>0.734</v>
      </c>
      <c r="AX431" s="14" t="n">
        <v>0.132</v>
      </c>
      <c r="AY431" s="14" t="n">
        <v>0</v>
      </c>
      <c r="AZ431" s="14" t="n">
        <v>0.734</v>
      </c>
      <c r="BA431" s="14" t="n">
        <v>0</v>
      </c>
      <c r="BB431" s="14" t="n">
        <v>1</v>
      </c>
      <c r="BC431" s="14" t="n">
        <v>0.51</v>
      </c>
      <c r="BD431" s="14" t="n">
        <v>0.132</v>
      </c>
      <c r="BE431" s="14" t="n">
        <v>0</v>
      </c>
      <c r="BF431" s="14" t="n">
        <v>0.51</v>
      </c>
      <c r="BG431" s="14" t="n">
        <v>0</v>
      </c>
      <c r="BH431" s="14" t="n">
        <v>1</v>
      </c>
      <c r="BI431" s="14" t="n">
        <v>0.652</v>
      </c>
      <c r="BJ431" s="14" t="n">
        <v>0.132</v>
      </c>
      <c r="BK431" s="14" t="n">
        <v>0</v>
      </c>
      <c r="BL431" s="14" t="n">
        <v>0.652</v>
      </c>
      <c r="BM431" s="14" t="n">
        <v>0</v>
      </c>
      <c r="BN431" s="14" t="n">
        <v>1</v>
      </c>
      <c r="BO431" s="14" t="n">
        <v>0</v>
      </c>
      <c r="BP431" s="14" t="n">
        <v>0</v>
      </c>
      <c r="BQ431" s="14" t="n">
        <v>0</v>
      </c>
      <c r="BR431" s="14" t="n">
        <v>0</v>
      </c>
      <c r="BS431" s="14" t="n">
        <v>1</v>
      </c>
      <c r="BT431" s="14" t="n">
        <v>0</v>
      </c>
      <c r="BU431" s="14" t="n">
        <v>0</v>
      </c>
      <c r="BV431" s="14" t="n">
        <v>0</v>
      </c>
      <c r="BW431" s="14" t="n">
        <v>0</v>
      </c>
      <c r="BX431" s="14" t="n">
        <v>1</v>
      </c>
      <c r="BY431" s="14" t="n">
        <v>13.646</v>
      </c>
      <c r="BZ431" s="14" t="n">
        <v>0</v>
      </c>
      <c r="CA431" s="14" t="n">
        <v>13.646</v>
      </c>
      <c r="CB431" s="14" t="n">
        <v>0</v>
      </c>
      <c r="CC431" s="14" t="n">
        <v>86.38500000000001</v>
      </c>
      <c r="CD431" s="14" t="n">
        <v>7.95</v>
      </c>
      <c r="CE431" s="14" t="n">
        <v>0</v>
      </c>
      <c r="CF431" s="14" t="n">
        <v>86.38500000000001</v>
      </c>
      <c r="CG431" s="14" t="n">
        <v>0</v>
      </c>
      <c r="CH431" s="14" t="n">
        <v>1</v>
      </c>
      <c r="CI431" s="14" t="n">
        <v>0</v>
      </c>
      <c r="CJ431" s="14" t="n">
        <v>0</v>
      </c>
      <c r="CK431" s="14" t="n">
        <v>0</v>
      </c>
      <c r="CL431" s="14" t="n">
        <v>0</v>
      </c>
      <c r="CM431" s="14" t="n">
        <v>0</v>
      </c>
      <c r="CN431" s="14" t="n">
        <v>0</v>
      </c>
      <c r="CO431" s="14" t="n">
        <v>0</v>
      </c>
      <c r="CP431" s="14" t="n">
        <v>1</v>
      </c>
      <c r="CQ431" s="14" t="n">
        <v>1.387</v>
      </c>
      <c r="CR431" s="14" t="n">
        <v>0</v>
      </c>
      <c r="CS431" s="14" t="n">
        <v>5.529</v>
      </c>
      <c r="CT431" s="14" t="n">
        <v>3.509</v>
      </c>
      <c r="CU431" s="14" t="n">
        <v>10.896</v>
      </c>
    </row>
    <row r="432">
      <c r="A432" s="14" t="inlineStr">
        <is>
          <t>XKX2021</t>
        </is>
      </c>
      <c r="B432" s="14" t="inlineStr">
        <is>
          <t>XKX</t>
        </is>
      </c>
      <c r="C432" s="14" t="inlineStr">
        <is>
          <t>XKX</t>
        </is>
      </c>
      <c r="D432" s="14" t="inlineStr">
        <is>
          <t>Kosovo</t>
        </is>
      </c>
      <c r="E432" s="14" t="n">
        <v>2021</v>
      </c>
      <c r="F432" s="14" t="n">
        <v>0.18</v>
      </c>
      <c r="G432" s="14" t="n">
        <v>1.811</v>
      </c>
      <c r="H432" s="14" t="n">
        <v>0.578</v>
      </c>
      <c r="I432" s="14" t="n">
        <v>0</v>
      </c>
      <c r="J432" s="14" t="n">
        <v>1.812</v>
      </c>
      <c r="K432" s="14" t="n">
        <v>0</v>
      </c>
      <c r="L432" s="14" t="n">
        <v>1</v>
      </c>
      <c r="M432" s="14" t="n">
        <v>2.968</v>
      </c>
      <c r="N432" s="14" t="n">
        <v>1.734</v>
      </c>
      <c r="O432" s="14" t="n">
        <v>0</v>
      </c>
      <c r="P432" s="14" t="n">
        <v>2.969</v>
      </c>
      <c r="Q432" s="14" t="n">
        <v>0</v>
      </c>
      <c r="R432" s="14" t="n">
        <v>1</v>
      </c>
      <c r="S432" s="14" t="n">
        <v>4.701</v>
      </c>
      <c r="T432" s="14" t="n">
        <v>3.467</v>
      </c>
      <c r="U432" s="14" t="n">
        <v>0</v>
      </c>
      <c r="V432" s="14" t="n">
        <v>5.547</v>
      </c>
      <c r="W432" s="14" t="n">
        <v>0.18</v>
      </c>
      <c r="X432" s="14" t="n">
        <v>1</v>
      </c>
      <c r="Y432" s="14" t="n">
        <v>16.305</v>
      </c>
      <c r="Z432" s="14" t="n">
        <v>2.204</v>
      </c>
      <c r="AA432" s="14" t="n">
        <v>0.151</v>
      </c>
      <c r="AB432" s="14" t="n">
        <v>16.456</v>
      </c>
      <c r="AC432" s="14" t="n">
        <v>0</v>
      </c>
      <c r="AD432" s="14" t="n">
        <v>1</v>
      </c>
      <c r="AE432" s="14" t="n">
        <v>17.449</v>
      </c>
      <c r="AF432" s="14" t="n">
        <v>4.08</v>
      </c>
      <c r="AG432" s="14" t="n">
        <v>0.151</v>
      </c>
      <c r="AH432" s="14" t="n">
        <v>17.599</v>
      </c>
      <c r="AI432" s="14" t="n">
        <v>0</v>
      </c>
      <c r="AJ432" s="14" t="n">
        <v>1</v>
      </c>
      <c r="AK432" s="14" t="n">
        <v>24.309</v>
      </c>
      <c r="AL432" s="14" t="n">
        <v>12.947</v>
      </c>
      <c r="AM432" s="14" t="n">
        <v>0.151</v>
      </c>
      <c r="AN432" s="14" t="n">
        <v>28.862</v>
      </c>
      <c r="AO432" s="14" t="n">
        <v>0.18</v>
      </c>
      <c r="AP432" s="14" t="n">
        <v>1</v>
      </c>
      <c r="AQ432" s="14" t="n">
        <v>0.619</v>
      </c>
      <c r="AR432" s="14" t="n">
        <v>0.114</v>
      </c>
      <c r="AS432" s="14" t="n">
        <v>0.514</v>
      </c>
      <c r="AT432" s="14" t="n">
        <v>1.337</v>
      </c>
      <c r="AU432" s="14" t="n">
        <v>0.18</v>
      </c>
      <c r="AV432" s="14" t="n">
        <v>1</v>
      </c>
      <c r="AW432" s="14" t="n">
        <v>0.599</v>
      </c>
      <c r="AX432" s="14" t="n">
        <v>0.114</v>
      </c>
      <c r="AY432" s="14" t="n">
        <v>0.513</v>
      </c>
      <c r="AZ432" s="14" t="n">
        <v>1.313</v>
      </c>
      <c r="BA432" s="14" t="n">
        <v>0.18</v>
      </c>
      <c r="BB432" s="14" t="n">
        <v>1</v>
      </c>
      <c r="BC432" s="14" t="n">
        <v>0.439</v>
      </c>
      <c r="BD432" s="14" t="n">
        <v>0.114</v>
      </c>
      <c r="BE432" s="14" t="n">
        <v>0</v>
      </c>
      <c r="BF432" s="14" t="n">
        <v>0.518</v>
      </c>
      <c r="BG432" s="14" t="n">
        <v>0.18</v>
      </c>
      <c r="BH432" s="14" t="n">
        <v>1</v>
      </c>
      <c r="BI432" s="14" t="n">
        <v>0.505</v>
      </c>
      <c r="BJ432" s="14" t="n">
        <v>0.114</v>
      </c>
      <c r="BK432" s="14" t="n">
        <v>0</v>
      </c>
      <c r="BL432" s="14" t="n">
        <v>0.596</v>
      </c>
      <c r="BM432" s="14" t="n">
        <v>0.18</v>
      </c>
      <c r="BN432" s="14" t="n">
        <v>1</v>
      </c>
      <c r="BO432" s="14" t="n">
        <v>0</v>
      </c>
      <c r="BP432" s="14" t="n">
        <v>0</v>
      </c>
      <c r="BQ432" s="14" t="n">
        <v>0.081</v>
      </c>
      <c r="BR432" s="14" t="n">
        <v>0</v>
      </c>
      <c r="BS432" s="14" t="n">
        <v>0.667</v>
      </c>
      <c r="BT432" s="14" t="n">
        <v>0</v>
      </c>
      <c r="BU432" s="14" t="n">
        <v>0</v>
      </c>
      <c r="BV432" s="14" t="n">
        <v>0.07099999999999999</v>
      </c>
      <c r="BW432" s="14" t="n">
        <v>0.08</v>
      </c>
      <c r="BX432" s="14" t="n">
        <v>0.333</v>
      </c>
      <c r="BY432" s="14" t="n">
        <v>11.787</v>
      </c>
      <c r="BZ432" s="14" t="n">
        <v>0</v>
      </c>
      <c r="CA432" s="14" t="n">
        <v>11.787</v>
      </c>
      <c r="CB432" s="14" t="n">
        <v>0</v>
      </c>
      <c r="CC432" s="14" t="n">
        <v>78.125</v>
      </c>
      <c r="CD432" s="14" t="n">
        <v>7.95</v>
      </c>
      <c r="CE432" s="14" t="n">
        <v>0</v>
      </c>
      <c r="CF432" s="14" t="n">
        <v>92.188</v>
      </c>
      <c r="CG432" s="14" t="n">
        <v>0.18</v>
      </c>
      <c r="CH432" s="14" t="n">
        <v>1</v>
      </c>
      <c r="CI432" s="14" t="n">
        <v>0</v>
      </c>
      <c r="CJ432" s="14" t="n">
        <v>0</v>
      </c>
      <c r="CK432" s="14" t="n">
        <v>0</v>
      </c>
      <c r="CL432" s="14" t="n">
        <v>0</v>
      </c>
      <c r="CM432" s="14" t="n">
        <v>0</v>
      </c>
      <c r="CN432" s="14" t="n">
        <v>0</v>
      </c>
      <c r="CO432" s="14" t="n">
        <v>0</v>
      </c>
      <c r="CP432" s="14" t="n">
        <v>0.989</v>
      </c>
      <c r="CQ432" s="14" t="n">
        <v>1.198</v>
      </c>
      <c r="CR432" s="14" t="n">
        <v>0</v>
      </c>
      <c r="CS432" s="14" t="n">
        <v>4.776</v>
      </c>
      <c r="CT432" s="14" t="n">
        <v>4.41</v>
      </c>
      <c r="CU432" s="14" t="n">
        <v>15.162</v>
      </c>
    </row>
    <row r="433">
      <c r="A433" s="14" t="inlineStr">
        <is>
          <t>XKX2022</t>
        </is>
      </c>
      <c r="B433" s="14" t="inlineStr">
        <is>
          <t>XKX</t>
        </is>
      </c>
      <c r="C433" s="14" t="inlineStr">
        <is>
          <t>XKX</t>
        </is>
      </c>
      <c r="D433" s="14" t="inlineStr">
        <is>
          <t>Kosovo</t>
        </is>
      </c>
      <c r="E433" s="14" t="n">
        <v>2022</v>
      </c>
      <c r="F433" s="14" t="n">
        <v>0.18</v>
      </c>
      <c r="G433" s="14" t="n">
        <v>1.932</v>
      </c>
      <c r="H433" s="14" t="n">
        <v>0.62</v>
      </c>
      <c r="I433" s="14" t="n">
        <v>0</v>
      </c>
      <c r="J433" s="14" t="n">
        <v>1.932</v>
      </c>
      <c r="K433" s="14" t="n">
        <v>0</v>
      </c>
      <c r="L433" s="14" t="n">
        <v>1</v>
      </c>
      <c r="M433" s="14" t="n">
        <v>3.173</v>
      </c>
      <c r="N433" s="14" t="n">
        <v>1.859</v>
      </c>
      <c r="O433" s="14" t="n">
        <v>0</v>
      </c>
      <c r="P433" s="14" t="n">
        <v>3.173</v>
      </c>
      <c r="Q433" s="14" t="n">
        <v>0</v>
      </c>
      <c r="R433" s="14" t="n">
        <v>1</v>
      </c>
      <c r="S433" s="14" t="n">
        <v>5.031</v>
      </c>
      <c r="T433" s="14" t="n">
        <v>3.719</v>
      </c>
      <c r="U433" s="14" t="n">
        <v>0.067</v>
      </c>
      <c r="V433" s="14" t="n">
        <v>5.937</v>
      </c>
      <c r="W433" s="14" t="n">
        <v>0.18</v>
      </c>
      <c r="X433" s="14" t="n">
        <v>1</v>
      </c>
      <c r="Y433" s="14" t="n">
        <v>32.56</v>
      </c>
      <c r="Z433" s="14" t="n">
        <v>4.401</v>
      </c>
      <c r="AA433" s="14" t="n">
        <v>0.311</v>
      </c>
      <c r="AB433" s="14" t="n">
        <v>32.871</v>
      </c>
      <c r="AC433" s="14" t="n">
        <v>0</v>
      </c>
      <c r="AD433" s="14" t="n">
        <v>1</v>
      </c>
      <c r="AE433" s="14" t="n">
        <v>33.795</v>
      </c>
      <c r="AF433" s="14" t="n">
        <v>7.902</v>
      </c>
      <c r="AG433" s="14" t="n">
        <v>0.311</v>
      </c>
      <c r="AH433" s="14" t="n">
        <v>34.106</v>
      </c>
      <c r="AI433" s="14" t="n">
        <v>0</v>
      </c>
      <c r="AJ433" s="14" t="n">
        <v>1</v>
      </c>
      <c r="AK433" s="14" t="n">
        <v>41.203</v>
      </c>
      <c r="AL433" s="14" t="n">
        <v>21.945</v>
      </c>
      <c r="AM433" s="14" t="n">
        <v>0.864</v>
      </c>
      <c r="AN433" s="14" t="n">
        <v>48.987</v>
      </c>
      <c r="AO433" s="14" t="n">
        <v>0.18</v>
      </c>
      <c r="AP433" s="14" t="n">
        <v>1</v>
      </c>
      <c r="AQ433" s="14" t="n">
        <v>0.861</v>
      </c>
      <c r="AR433" s="14" t="n">
        <v>0.123</v>
      </c>
      <c r="AS433" s="14" t="n">
        <v>0.449</v>
      </c>
      <c r="AT433" s="14" t="n">
        <v>1.546</v>
      </c>
      <c r="AU433" s="14" t="n">
        <v>0.18</v>
      </c>
      <c r="AV433" s="14" t="n">
        <v>1</v>
      </c>
      <c r="AW433" s="14" t="n">
        <v>0.986</v>
      </c>
      <c r="AX433" s="14" t="n">
        <v>0.123</v>
      </c>
      <c r="AY433" s="14" t="n">
        <v>0.431</v>
      </c>
      <c r="AZ433" s="14" t="n">
        <v>1.672</v>
      </c>
      <c r="BA433" s="14" t="n">
        <v>0.18</v>
      </c>
      <c r="BB433" s="14" t="n">
        <v>1</v>
      </c>
      <c r="BC433" s="14" t="n">
        <v>0.598</v>
      </c>
      <c r="BD433" s="14" t="n">
        <v>0.123</v>
      </c>
      <c r="BE433" s="14" t="n">
        <v>0.008</v>
      </c>
      <c r="BF433" s="14" t="n">
        <v>0.705</v>
      </c>
      <c r="BG433" s="14" t="n">
        <v>0.18</v>
      </c>
      <c r="BH433" s="14" t="n">
        <v>1</v>
      </c>
      <c r="BI433" s="14" t="n">
        <v>0.612</v>
      </c>
      <c r="BJ433" s="14" t="n">
        <v>0.123</v>
      </c>
      <c r="BK433" s="14" t="n">
        <v>0.008</v>
      </c>
      <c r="BL433" s="14" t="n">
        <v>0.723</v>
      </c>
      <c r="BM433" s="14" t="n">
        <v>0.18</v>
      </c>
      <c r="BN433" s="14" t="n">
        <v>1</v>
      </c>
      <c r="BO433" s="14" t="n">
        <v>0</v>
      </c>
      <c r="BP433" s="14" t="n">
        <v>0</v>
      </c>
      <c r="BQ433" s="14" t="n">
        <v>0.07199999999999999</v>
      </c>
      <c r="BR433" s="14" t="n">
        <v>0</v>
      </c>
      <c r="BS433" s="14" t="n">
        <v>0.667</v>
      </c>
      <c r="BT433" s="14" t="n">
        <v>0</v>
      </c>
      <c r="BU433" s="14" t="n">
        <v>0</v>
      </c>
      <c r="BV433" s="14" t="n">
        <v>0.063</v>
      </c>
      <c r="BW433" s="14" t="n">
        <v>0.08</v>
      </c>
      <c r="BX433" s="14" t="n">
        <v>0.333</v>
      </c>
      <c r="BY433" s="14" t="n">
        <v>12.729</v>
      </c>
      <c r="BZ433" s="14" t="n">
        <v>0</v>
      </c>
      <c r="CA433" s="14" t="n">
        <v>12.729</v>
      </c>
      <c r="CB433" s="14" t="n">
        <v>0</v>
      </c>
      <c r="CC433" s="14" t="n">
        <v>97.90000000000001</v>
      </c>
      <c r="CD433" s="14" t="n">
        <v>7.95</v>
      </c>
      <c r="CE433" s="14" t="n">
        <v>1.304</v>
      </c>
      <c r="CF433" s="14" t="n">
        <v>115.522</v>
      </c>
      <c r="CG433" s="14" t="n">
        <v>0.18</v>
      </c>
      <c r="CH433" s="14" t="n">
        <v>1</v>
      </c>
      <c r="CI433" s="14" t="n">
        <v>0</v>
      </c>
      <c r="CJ433" s="14" t="n">
        <v>0</v>
      </c>
      <c r="CK433" s="14" t="n">
        <v>0</v>
      </c>
      <c r="CL433" s="14" t="n">
        <v>0</v>
      </c>
      <c r="CM433" s="14" t="n">
        <v>0</v>
      </c>
      <c r="CN433" s="14" t="n">
        <v>0</v>
      </c>
      <c r="CO433" s="14" t="n">
        <v>0</v>
      </c>
      <c r="CP433" s="14" t="n">
        <v>0.996</v>
      </c>
      <c r="CQ433" s="14" t="n">
        <v>1.294</v>
      </c>
      <c r="CR433" s="14" t="n">
        <v>0</v>
      </c>
      <c r="CS433" s="14" t="n">
        <v>5.158</v>
      </c>
      <c r="CT433" s="14" t="n">
        <v>5.842</v>
      </c>
      <c r="CU433" s="14" t="n">
        <v>31.326</v>
      </c>
    </row>
    <row r="434">
      <c r="A434" s="14" t="inlineStr">
        <is>
          <t>XKX2023</t>
        </is>
      </c>
      <c r="B434" s="14" t="inlineStr">
        <is>
          <t>XKX</t>
        </is>
      </c>
      <c r="C434" s="14" t="inlineStr">
        <is>
          <t>XKX</t>
        </is>
      </c>
      <c r="D434" s="14" t="inlineStr">
        <is>
          <t>Kosovo</t>
        </is>
      </c>
      <c r="E434" s="14" t="n">
        <v>2023</v>
      </c>
      <c r="F434" s="14" t="n">
        <v>0.18</v>
      </c>
      <c r="G434" s="14" t="n">
        <v>2.012</v>
      </c>
      <c r="H434" s="14" t="n">
        <v>0.648</v>
      </c>
      <c r="I434" s="14" t="n">
        <v>0</v>
      </c>
      <c r="J434" s="14" t="n">
        <v>2.012</v>
      </c>
      <c r="K434" s="14" t="n">
        <v>0</v>
      </c>
      <c r="L434" s="14" t="n">
        <v>1</v>
      </c>
      <c r="M434" s="14" t="n">
        <v>3.312</v>
      </c>
      <c r="N434" s="14" t="n">
        <v>1.944</v>
      </c>
      <c r="O434" s="14" t="n">
        <v>0</v>
      </c>
      <c r="P434" s="14" t="n">
        <v>3.312</v>
      </c>
      <c r="Q434" s="14" t="n">
        <v>0</v>
      </c>
      <c r="R434" s="14" t="n">
        <v>1</v>
      </c>
      <c r="S434" s="14" t="n">
        <v>5.251</v>
      </c>
      <c r="T434" s="14" t="n">
        <v>3.887</v>
      </c>
      <c r="U434" s="14" t="n">
        <v>0.105</v>
      </c>
      <c r="V434" s="14" t="n">
        <v>6.197</v>
      </c>
      <c r="W434" s="14" t="n">
        <v>0.18</v>
      </c>
      <c r="X434" s="14" t="n">
        <v>1</v>
      </c>
      <c r="Y434" s="14" t="n">
        <v>12.908</v>
      </c>
      <c r="Z434" s="14" t="n">
        <v>1.745</v>
      </c>
      <c r="AA434" s="14" t="n">
        <v>0.115</v>
      </c>
      <c r="AB434" s="14" t="n">
        <v>13.023</v>
      </c>
      <c r="AC434" s="14" t="n">
        <v>0</v>
      </c>
      <c r="AD434" s="14" t="n">
        <v>1</v>
      </c>
      <c r="AE434" s="14" t="n">
        <v>14.194</v>
      </c>
      <c r="AF434" s="14" t="n">
        <v>3.319</v>
      </c>
      <c r="AG434" s="14" t="n">
        <v>0.115</v>
      </c>
      <c r="AH434" s="14" t="n">
        <v>14.309</v>
      </c>
      <c r="AI434" s="14" t="n">
        <v>0</v>
      </c>
      <c r="AJ434" s="14" t="n">
        <v>1</v>
      </c>
      <c r="AK434" s="14" t="n">
        <v>21.908</v>
      </c>
      <c r="AL434" s="14" t="n">
        <v>11.668</v>
      </c>
      <c r="AM434" s="14" t="n">
        <v>0.554</v>
      </c>
      <c r="AN434" s="14" t="n">
        <v>25.987</v>
      </c>
      <c r="AO434" s="14" t="n">
        <v>0.18</v>
      </c>
      <c r="AP434" s="14" t="n">
        <v>1</v>
      </c>
      <c r="AQ434" s="14" t="n">
        <v>0.76</v>
      </c>
      <c r="AR434" s="14" t="n">
        <v>0.129</v>
      </c>
      <c r="AS434" s="14" t="n">
        <v>0.486</v>
      </c>
      <c r="AT434" s="14" t="n">
        <v>1.471</v>
      </c>
      <c r="AU434" s="14" t="n">
        <v>0.18</v>
      </c>
      <c r="AV434" s="14" t="n">
        <v>1</v>
      </c>
      <c r="AW434" s="14" t="n">
        <v>0.8110000000000001</v>
      </c>
      <c r="AX434" s="14" t="n">
        <v>0.129</v>
      </c>
      <c r="AY434" s="14" t="n">
        <v>0.453</v>
      </c>
      <c r="AZ434" s="14" t="n">
        <v>1.492</v>
      </c>
      <c r="BA434" s="14" t="n">
        <v>0.18</v>
      </c>
      <c r="BB434" s="14" t="n">
        <v>1</v>
      </c>
      <c r="BC434" s="14" t="n">
        <v>0.535</v>
      </c>
      <c r="BD434" s="14" t="n">
        <v>0.129</v>
      </c>
      <c r="BE434" s="14" t="n">
        <v>0.011</v>
      </c>
      <c r="BF434" s="14" t="n">
        <v>0.631</v>
      </c>
      <c r="BG434" s="14" t="n">
        <v>0.18</v>
      </c>
      <c r="BH434" s="14" t="n">
        <v>1</v>
      </c>
      <c r="BI434" s="14" t="n">
        <v>0.579</v>
      </c>
      <c r="BJ434" s="14" t="n">
        <v>0.129</v>
      </c>
      <c r="BK434" s="14" t="n">
        <v>0.012</v>
      </c>
      <c r="BL434" s="14" t="n">
        <v>0.6840000000000001</v>
      </c>
      <c r="BM434" s="14" t="n">
        <v>0.18</v>
      </c>
      <c r="BN434" s="14" t="n">
        <v>1</v>
      </c>
      <c r="BO434" s="14" t="n">
        <v>0</v>
      </c>
      <c r="BP434" s="14" t="n">
        <v>0</v>
      </c>
      <c r="BQ434" s="14" t="n">
        <v>0.082</v>
      </c>
      <c r="BR434" s="14" t="n">
        <v>0</v>
      </c>
      <c r="BS434" s="14" t="n">
        <v>0.667</v>
      </c>
      <c r="BT434" s="14" t="n">
        <v>0</v>
      </c>
      <c r="BU434" s="14" t="n">
        <v>0</v>
      </c>
      <c r="BV434" s="14" t="n">
        <v>0.076</v>
      </c>
      <c r="BW434" s="14" t="n">
        <v>0.08</v>
      </c>
      <c r="BX434" s="14" t="n">
        <v>0.333</v>
      </c>
      <c r="BY434" s="14" t="n">
        <v>13.254</v>
      </c>
      <c r="BZ434" s="14" t="n">
        <v>0</v>
      </c>
      <c r="CA434" s="14" t="n">
        <v>13.254</v>
      </c>
      <c r="CB434" s="14" t="n">
        <v>0</v>
      </c>
      <c r="CC434" s="14" t="n">
        <v>83.248</v>
      </c>
      <c r="CD434" s="14" t="n">
        <v>7.95</v>
      </c>
      <c r="CE434" s="14" t="n">
        <v>1.659</v>
      </c>
      <c r="CF434" s="14" t="n">
        <v>98.233</v>
      </c>
      <c r="CG434" s="14" t="n">
        <v>0.18</v>
      </c>
      <c r="CH434" s="14" t="n">
        <v>1</v>
      </c>
      <c r="CI434" s="14" t="n">
        <v>0</v>
      </c>
      <c r="CJ434" s="14" t="n">
        <v>0</v>
      </c>
      <c r="CK434" s="14" t="n">
        <v>0</v>
      </c>
      <c r="CL434" s="14" t="n">
        <v>0</v>
      </c>
      <c r="CM434" s="14" t="n">
        <v>0</v>
      </c>
      <c r="CN434" s="14" t="n">
        <v>0</v>
      </c>
      <c r="CO434" s="14" t="n">
        <v>0</v>
      </c>
      <c r="CP434" s="14" t="n">
        <v>0.992</v>
      </c>
      <c r="CQ434" s="14" t="n">
        <v>1.348</v>
      </c>
      <c r="CR434" s="14" t="n">
        <v>0</v>
      </c>
      <c r="CS434" s="14" t="n">
        <v>5.37</v>
      </c>
      <c r="CT434" s="14" t="n">
        <v>3.466</v>
      </c>
      <c r="CU434" s="14" t="n">
        <v>11.622</v>
      </c>
    </row>
    <row r="435">
      <c r="A435" s="14" t="inlineStr">
        <is>
          <t>XKX2024</t>
        </is>
      </c>
      <c r="B435" s="14" t="inlineStr">
        <is>
          <t>XKX</t>
        </is>
      </c>
      <c r="C435" s="14" t="inlineStr">
        <is>
          <t>XKX</t>
        </is>
      </c>
      <c r="D435" s="14" t="inlineStr">
        <is>
          <t>Kosovo</t>
        </is>
      </c>
      <c r="E435" s="14" t="n">
        <v>2024</v>
      </c>
      <c r="F435" s="14" t="n">
        <v>0.18</v>
      </c>
      <c r="G435" s="14" t="n">
        <v>2.067</v>
      </c>
      <c r="H435" s="14" t="n">
        <v>0.667</v>
      </c>
      <c r="I435" s="14" t="n">
        <v>0</v>
      </c>
      <c r="J435" s="14" t="n">
        <v>2.067</v>
      </c>
      <c r="K435" s="14" t="n">
        <v>0</v>
      </c>
      <c r="L435" s="14" t="n">
        <v>1</v>
      </c>
      <c r="M435" s="14" t="n">
        <v>3.402</v>
      </c>
      <c r="N435" s="14" t="n">
        <v>2.001</v>
      </c>
      <c r="O435" s="14" t="n">
        <v>0</v>
      </c>
      <c r="P435" s="14" t="n">
        <v>3.402</v>
      </c>
      <c r="Q435" s="14" t="n">
        <v>0</v>
      </c>
      <c r="R435" s="14" t="n">
        <v>1</v>
      </c>
      <c r="S435" s="14" t="n">
        <v>5.402</v>
      </c>
      <c r="T435" s="14" t="n">
        <v>4.002</v>
      </c>
      <c r="U435" s="14" t="n">
        <v>0.133</v>
      </c>
      <c r="V435" s="14" t="n">
        <v>6.375</v>
      </c>
      <c r="W435" s="14" t="n">
        <v>0.18</v>
      </c>
      <c r="X435" s="14" t="n">
        <v>1</v>
      </c>
      <c r="Y435" s="14" t="n">
        <v>11.492</v>
      </c>
      <c r="Z435" s="14" t="n">
        <v>1.553</v>
      </c>
      <c r="AA435" s="14" t="n">
        <v>0.101</v>
      </c>
      <c r="AB435" s="14" t="n">
        <v>11.593</v>
      </c>
      <c r="AC435" s="14" t="n">
        <v>0</v>
      </c>
      <c r="AD435" s="14" t="n">
        <v>1</v>
      </c>
      <c r="AE435" s="14" t="n">
        <v>12.815</v>
      </c>
      <c r="AF435" s="14" t="n">
        <v>2.997</v>
      </c>
      <c r="AG435" s="14" t="n">
        <v>0.101</v>
      </c>
      <c r="AH435" s="14" t="n">
        <v>12.916</v>
      </c>
      <c r="AI435" s="14" t="n">
        <v>0</v>
      </c>
      <c r="AJ435" s="14" t="n">
        <v>1</v>
      </c>
      <c r="AK435" s="14" t="n">
        <v>20.757</v>
      </c>
      <c r="AL435" s="14" t="n">
        <v>11.055</v>
      </c>
      <c r="AM435" s="14" t="n">
        <v>0.612</v>
      </c>
      <c r="AN435" s="14" t="n">
        <v>24.613</v>
      </c>
      <c r="AO435" s="14" t="n">
        <v>0.18</v>
      </c>
      <c r="AP435" s="14" t="n">
        <v>1</v>
      </c>
      <c r="AQ435" s="14" t="n">
        <v>0.724</v>
      </c>
      <c r="AR435" s="14" t="n">
        <v>0.132</v>
      </c>
      <c r="AS435" s="14" t="n">
        <v>0.385</v>
      </c>
      <c r="AT435" s="14" t="n">
        <v>1.309</v>
      </c>
      <c r="AU435" s="14" t="n">
        <v>0.18</v>
      </c>
      <c r="AV435" s="14" t="n">
        <v>1</v>
      </c>
      <c r="AW435" s="14" t="n">
        <v>0.75</v>
      </c>
      <c r="AX435" s="14" t="n">
        <v>0.132</v>
      </c>
      <c r="AY435" s="14" t="n">
        <v>0.322</v>
      </c>
      <c r="AZ435" s="14" t="n">
        <v>1.266</v>
      </c>
      <c r="BA435" s="14" t="n">
        <v>0.18</v>
      </c>
      <c r="BB435" s="14" t="n">
        <v>1</v>
      </c>
      <c r="BC435" s="14" t="n">
        <v>0.513</v>
      </c>
      <c r="BD435" s="14" t="n">
        <v>0.132</v>
      </c>
      <c r="BE435" s="14" t="n">
        <v>0.013</v>
      </c>
      <c r="BF435" s="14" t="n">
        <v>0.605</v>
      </c>
      <c r="BG435" s="14" t="n">
        <v>0.18</v>
      </c>
      <c r="BH435" s="14" t="n">
        <v>1</v>
      </c>
      <c r="BI435" s="14" t="n">
        <v>0.591</v>
      </c>
      <c r="BJ435" s="14" t="n">
        <v>0.132</v>
      </c>
      <c r="BK435" s="14" t="n">
        <v>0.014</v>
      </c>
      <c r="BL435" s="14" t="n">
        <v>0.698</v>
      </c>
      <c r="BM435" s="14" t="n">
        <v>0.18</v>
      </c>
      <c r="BN435" s="14" t="n">
        <v>1</v>
      </c>
      <c r="BO435" s="14" t="n">
        <v>0</v>
      </c>
      <c r="BP435" s="14" t="n">
        <v>0</v>
      </c>
      <c r="BQ435" s="14" t="n">
        <v>0.07199999999999999</v>
      </c>
      <c r="BR435" s="14" t="n">
        <v>0</v>
      </c>
      <c r="BS435" s="14" t="n">
        <v>0.667</v>
      </c>
      <c r="BT435" s="14" t="n">
        <v>0</v>
      </c>
      <c r="BU435" s="14" t="n">
        <v>0</v>
      </c>
      <c r="BV435" s="14" t="n">
        <v>0.078</v>
      </c>
      <c r="BW435" s="14" t="n">
        <v>0.08</v>
      </c>
      <c r="BX435" s="14" t="n">
        <v>0.333</v>
      </c>
      <c r="BY435" s="14" t="n">
        <v>13.646</v>
      </c>
      <c r="BZ435" s="14" t="n">
        <v>0</v>
      </c>
      <c r="CA435" s="14" t="n">
        <v>13.646</v>
      </c>
      <c r="CB435" s="14" t="n">
        <v>0</v>
      </c>
      <c r="CC435" s="14" t="n">
        <v>82.58799999999999</v>
      </c>
      <c r="CD435" s="14" t="n">
        <v>7.95</v>
      </c>
      <c r="CE435" s="14" t="n">
        <v>2.025</v>
      </c>
      <c r="CF435" s="14" t="n">
        <v>97.45399999999999</v>
      </c>
      <c r="CG435" s="14" t="n">
        <v>0.18</v>
      </c>
      <c r="CH435" s="14" t="n">
        <v>1</v>
      </c>
      <c r="CI435" s="14" t="n">
        <v>0</v>
      </c>
      <c r="CJ435" s="14" t="n">
        <v>0</v>
      </c>
      <c r="CK435" s="14" t="n">
        <v>0</v>
      </c>
      <c r="CL435" s="14" t="n">
        <v>0</v>
      </c>
      <c r="CM435" s="14" t="n">
        <v>0</v>
      </c>
      <c r="CN435" s="14" t="n">
        <v>0</v>
      </c>
      <c r="CO435" s="14" t="n">
        <v>0</v>
      </c>
      <c r="CP435" s="14" t="n">
        <v>0.992</v>
      </c>
      <c r="CQ435" s="14" t="n">
        <v>1.387</v>
      </c>
      <c r="CR435" s="14" t="n">
        <v>0</v>
      </c>
      <c r="CS435" s="14" t="n">
        <v>5.529</v>
      </c>
      <c r="CT435" s="14" t="n">
        <v>3.027</v>
      </c>
      <c r="CU435" s="14" t="n">
        <v>10.168</v>
      </c>
    </row>
    <row r="436">
      <c r="A436" s="14" t="inlineStr">
        <is>
          <t>KWT2021</t>
        </is>
      </c>
      <c r="B436" s="14" t="inlineStr">
        <is>
          <t>KWT</t>
        </is>
      </c>
      <c r="C436" s="14" t="inlineStr">
        <is>
          <t>KWT</t>
        </is>
      </c>
      <c r="D436" s="14" t="inlineStr">
        <is>
          <t>Kuwait</t>
        </is>
      </c>
      <c r="E436" s="14" t="n">
        <v>2021</v>
      </c>
      <c r="F436" s="14" t="n">
        <v>0</v>
      </c>
      <c r="G436" s="14" t="n">
        <v>5.897</v>
      </c>
      <c r="H436" s="14" t="n">
        <v>1.143</v>
      </c>
      <c r="I436" s="14" t="n">
        <v>0.238</v>
      </c>
      <c r="J436" s="14" t="n">
        <v>6.134</v>
      </c>
      <c r="K436" s="14" t="n">
        <v>0</v>
      </c>
      <c r="L436" s="14" t="n">
        <v>1</v>
      </c>
      <c r="M436" s="14" t="n">
        <v>7.964</v>
      </c>
      <c r="N436" s="14" t="n">
        <v>3.43</v>
      </c>
      <c r="O436" s="14" t="n">
        <v>0.227</v>
      </c>
      <c r="P436" s="14" t="n">
        <v>8.191000000000001</v>
      </c>
      <c r="Q436" s="14" t="n">
        <v>0</v>
      </c>
      <c r="R436" s="14" t="n">
        <v>1</v>
      </c>
      <c r="S436" s="14" t="n">
        <v>11.613</v>
      </c>
      <c r="T436" s="14" t="n">
        <v>6.86</v>
      </c>
      <c r="U436" s="14" t="n">
        <v>0.238</v>
      </c>
      <c r="V436" s="14" t="n">
        <v>11.851</v>
      </c>
      <c r="W436" s="14" t="n">
        <v>0</v>
      </c>
      <c r="X436" s="14" t="n">
        <v>1</v>
      </c>
      <c r="Y436" s="14" t="n">
        <v>5.535</v>
      </c>
      <c r="Z436" s="14" t="n">
        <v>0.602</v>
      </c>
      <c r="AA436" s="14" t="n">
        <v>-1.946</v>
      </c>
      <c r="AB436" s="14" t="n">
        <v>3.589</v>
      </c>
      <c r="AC436" s="14" t="n">
        <v>0</v>
      </c>
      <c r="AD436" s="14" t="n">
        <v>0</v>
      </c>
      <c r="AE436" s="14" t="n">
        <v>6.293</v>
      </c>
      <c r="AF436" s="14" t="n">
        <v>1.212</v>
      </c>
      <c r="AG436" s="14" t="n">
        <v>-3.253</v>
      </c>
      <c r="AH436" s="14" t="n">
        <v>3.04</v>
      </c>
      <c r="AI436" s="14" t="n">
        <v>0</v>
      </c>
      <c r="AJ436" s="14" t="n">
        <v>0</v>
      </c>
      <c r="AK436" s="14" t="n">
        <v>10.846</v>
      </c>
      <c r="AL436" s="14" t="n">
        <v>5.097</v>
      </c>
      <c r="AM436" s="14" t="n">
        <v>-2.153</v>
      </c>
      <c r="AN436" s="14" t="n">
        <v>8.694000000000001</v>
      </c>
      <c r="AO436" s="14" t="n">
        <v>0</v>
      </c>
      <c r="AP436" s="14" t="n">
        <v>0</v>
      </c>
      <c r="AQ436" s="14" t="n">
        <v>0.621</v>
      </c>
      <c r="AR436" s="14" t="n">
        <v>0.114</v>
      </c>
      <c r="AS436" s="14" t="n">
        <v>-0.272</v>
      </c>
      <c r="AT436" s="14" t="n">
        <v>0.348</v>
      </c>
      <c r="AU436" s="14" t="n">
        <v>0</v>
      </c>
      <c r="AV436" s="14" t="n">
        <v>0</v>
      </c>
      <c r="AW436" s="14" t="n">
        <v>0.593</v>
      </c>
      <c r="AX436" s="14" t="n">
        <v>0.114</v>
      </c>
      <c r="AY436" s="14" t="n">
        <v>-0.212</v>
      </c>
      <c r="AZ436" s="14" t="n">
        <v>0.381</v>
      </c>
      <c r="BA436" s="14" t="n">
        <v>0</v>
      </c>
      <c r="BB436" s="14" t="n">
        <v>0</v>
      </c>
      <c r="BC436" s="14" t="n">
        <v>0.44</v>
      </c>
      <c r="BD436" s="14" t="n">
        <v>0.114</v>
      </c>
      <c r="BE436" s="14" t="n">
        <v>0</v>
      </c>
      <c r="BF436" s="14" t="n">
        <v>0.44</v>
      </c>
      <c r="BG436" s="14" t="n">
        <v>0</v>
      </c>
      <c r="BH436" s="14" t="n">
        <v>1</v>
      </c>
      <c r="BI436" s="14" t="n">
        <v>0.5600000000000001</v>
      </c>
      <c r="BJ436" s="14" t="n">
        <v>0.114</v>
      </c>
      <c r="BK436" s="14" t="n">
        <v>-0.179</v>
      </c>
      <c r="BL436" s="14" t="n">
        <v>0.381</v>
      </c>
      <c r="BM436" s="14" t="n">
        <v>0</v>
      </c>
      <c r="BN436" s="14" t="n">
        <v>0</v>
      </c>
      <c r="BO436" s="14" t="n">
        <v>0</v>
      </c>
      <c r="BP436" s="14" t="n">
        <v>-0.073</v>
      </c>
      <c r="BQ436" s="14" t="n">
        <v>0.033</v>
      </c>
      <c r="BR436" s="14" t="n">
        <v>0</v>
      </c>
      <c r="BS436" s="14" t="n">
        <v>0.833</v>
      </c>
      <c r="BT436" s="14" t="n">
        <v>0</v>
      </c>
      <c r="BU436" s="14" t="n">
        <v>-0.073</v>
      </c>
      <c r="BV436" s="14" t="n">
        <v>0.016</v>
      </c>
      <c r="BW436" s="14" t="n">
        <v>0</v>
      </c>
      <c r="BX436" s="14" t="n">
        <v>0.833</v>
      </c>
      <c r="BY436" s="14" t="n">
        <v>11.787</v>
      </c>
      <c r="BZ436" s="14" t="n">
        <v>0</v>
      </c>
      <c r="CA436" s="14" t="n">
        <v>11.787</v>
      </c>
      <c r="CB436" s="14" t="n">
        <v>0</v>
      </c>
      <c r="CC436" s="14" t="n">
        <v>81.69499999999999</v>
      </c>
      <c r="CD436" s="14" t="n">
        <v>7.95</v>
      </c>
      <c r="CE436" s="14" t="n">
        <v>0</v>
      </c>
      <c r="CF436" s="14" t="n">
        <v>81.69499999999999</v>
      </c>
      <c r="CG436" s="14" t="n">
        <v>0</v>
      </c>
      <c r="CH436" s="14" t="n">
        <v>1</v>
      </c>
      <c r="CI436" s="14" t="n">
        <v>0</v>
      </c>
      <c r="CJ436" s="14" t="n">
        <v>0</v>
      </c>
      <c r="CK436" s="14" t="n">
        <v>0</v>
      </c>
      <c r="CL436" s="14" t="n">
        <v>0</v>
      </c>
      <c r="CM436" s="14" t="n">
        <v>0</v>
      </c>
      <c r="CN436" s="14" t="n">
        <v>0</v>
      </c>
      <c r="CO436" s="14" t="n">
        <v>0</v>
      </c>
      <c r="CP436" s="14" t="n">
        <v>0</v>
      </c>
      <c r="CQ436" s="14" t="n">
        <v>1.198</v>
      </c>
      <c r="CR436" s="14" t="n">
        <v>0.673</v>
      </c>
      <c r="CS436" s="14" t="n">
        <v>4.776</v>
      </c>
      <c r="CT436" s="14" t="n">
        <v>4.753</v>
      </c>
      <c r="CU436" s="14" t="n">
        <v>14.162</v>
      </c>
    </row>
    <row r="437">
      <c r="A437" s="14" t="inlineStr">
        <is>
          <t>KWT2022</t>
        </is>
      </c>
      <c r="B437" s="14" t="inlineStr">
        <is>
          <t>KWT</t>
        </is>
      </c>
      <c r="C437" s="14" t="inlineStr">
        <is>
          <t>KWT</t>
        </is>
      </c>
      <c r="D437" s="14" t="inlineStr">
        <is>
          <t>Kuwait</t>
        </is>
      </c>
      <c r="E437" s="14" t="n">
        <v>2022</v>
      </c>
      <c r="F437" s="14" t="n">
        <v>0</v>
      </c>
      <c r="G437" s="14" t="n">
        <v>11.72</v>
      </c>
      <c r="H437" s="14" t="n">
        <v>1.235</v>
      </c>
      <c r="I437" s="14" t="n">
        <v>0.5659999999999999</v>
      </c>
      <c r="J437" s="14" t="n">
        <v>12.286</v>
      </c>
      <c r="K437" s="14" t="n">
        <v>0</v>
      </c>
      <c r="L437" s="14" t="n">
        <v>1</v>
      </c>
      <c r="M437" s="14" t="n">
        <v>9.782999999999999</v>
      </c>
      <c r="N437" s="14" t="n">
        <v>3.704</v>
      </c>
      <c r="O437" s="14" t="n">
        <v>0.328</v>
      </c>
      <c r="P437" s="14" t="n">
        <v>10.111</v>
      </c>
      <c r="Q437" s="14" t="n">
        <v>0</v>
      </c>
      <c r="R437" s="14" t="n">
        <v>1</v>
      </c>
      <c r="S437" s="14" t="n">
        <v>17.893</v>
      </c>
      <c r="T437" s="14" t="n">
        <v>7.408</v>
      </c>
      <c r="U437" s="14" t="n">
        <v>0.5659999999999999</v>
      </c>
      <c r="V437" s="14" t="n">
        <v>18.459</v>
      </c>
      <c r="W437" s="14" t="n">
        <v>0</v>
      </c>
      <c r="X437" s="14" t="n">
        <v>1</v>
      </c>
      <c r="Y437" s="14" t="n">
        <v>9.510999999999999</v>
      </c>
      <c r="Z437" s="14" t="n">
        <v>1.035</v>
      </c>
      <c r="AA437" s="14" t="n">
        <v>-2.102</v>
      </c>
      <c r="AB437" s="14" t="n">
        <v>7.409</v>
      </c>
      <c r="AC437" s="14" t="n">
        <v>0</v>
      </c>
      <c r="AD437" s="14" t="n">
        <v>0</v>
      </c>
      <c r="AE437" s="14" t="n">
        <v>10.338</v>
      </c>
      <c r="AF437" s="14" t="n">
        <v>1.991</v>
      </c>
      <c r="AG437" s="14" t="n">
        <v>-3.513</v>
      </c>
      <c r="AH437" s="14" t="n">
        <v>6.824</v>
      </c>
      <c r="AI437" s="14" t="n">
        <v>0</v>
      </c>
      <c r="AJ437" s="14" t="n">
        <v>0</v>
      </c>
      <c r="AK437" s="14" t="n">
        <v>15.297</v>
      </c>
      <c r="AL437" s="14" t="n">
        <v>7.188</v>
      </c>
      <c r="AM437" s="14" t="n">
        <v>-2.02</v>
      </c>
      <c r="AN437" s="14" t="n">
        <v>13.277</v>
      </c>
      <c r="AO437" s="14" t="n">
        <v>0</v>
      </c>
      <c r="AP437" s="14" t="n">
        <v>0</v>
      </c>
      <c r="AQ437" s="14" t="n">
        <v>0.847</v>
      </c>
      <c r="AR437" s="14" t="n">
        <v>0.123</v>
      </c>
      <c r="AS437" s="14" t="n">
        <v>-0.504</v>
      </c>
      <c r="AT437" s="14" t="n">
        <v>0.343</v>
      </c>
      <c r="AU437" s="14" t="n">
        <v>0</v>
      </c>
      <c r="AV437" s="14" t="n">
        <v>0</v>
      </c>
      <c r="AW437" s="14" t="n">
        <v>0.947</v>
      </c>
      <c r="AX437" s="14" t="n">
        <v>0.123</v>
      </c>
      <c r="AY437" s="14" t="n">
        <v>-0.571</v>
      </c>
      <c r="AZ437" s="14" t="n">
        <v>0.376</v>
      </c>
      <c r="BA437" s="14" t="n">
        <v>0</v>
      </c>
      <c r="BB437" s="14" t="n">
        <v>0</v>
      </c>
      <c r="BC437" s="14" t="n">
        <v>0.589</v>
      </c>
      <c r="BD437" s="14" t="n">
        <v>0.123</v>
      </c>
      <c r="BE437" s="14" t="n">
        <v>0</v>
      </c>
      <c r="BF437" s="14" t="n">
        <v>0.589</v>
      </c>
      <c r="BG437" s="14" t="n">
        <v>0</v>
      </c>
      <c r="BH437" s="14" t="n">
        <v>1</v>
      </c>
      <c r="BI437" s="14" t="n">
        <v>0.6889999999999999</v>
      </c>
      <c r="BJ437" s="14" t="n">
        <v>0.123</v>
      </c>
      <c r="BK437" s="14" t="n">
        <v>-0.313</v>
      </c>
      <c r="BL437" s="14" t="n">
        <v>0.376</v>
      </c>
      <c r="BM437" s="14" t="n">
        <v>0</v>
      </c>
      <c r="BN437" s="14" t="n">
        <v>0</v>
      </c>
      <c r="BO437" s="14" t="n">
        <v>0</v>
      </c>
      <c r="BP437" s="14" t="n">
        <v>-0.073</v>
      </c>
      <c r="BQ437" s="14" t="n">
        <v>0.032</v>
      </c>
      <c r="BR437" s="14" t="n">
        <v>0</v>
      </c>
      <c r="BS437" s="14" t="n">
        <v>0.833</v>
      </c>
      <c r="BT437" s="14" t="n">
        <v>0</v>
      </c>
      <c r="BU437" s="14" t="n">
        <v>-0.073</v>
      </c>
      <c r="BV437" s="14" t="n">
        <v>0.016</v>
      </c>
      <c r="BW437" s="14" t="n">
        <v>0</v>
      </c>
      <c r="BX437" s="14" t="n">
        <v>0.833</v>
      </c>
      <c r="BY437" s="14" t="n">
        <v>12.729</v>
      </c>
      <c r="BZ437" s="14" t="n">
        <v>0</v>
      </c>
      <c r="CA437" s="14" t="n">
        <v>12.729</v>
      </c>
      <c r="CB437" s="14" t="n">
        <v>0</v>
      </c>
      <c r="CC437" s="14" t="n">
        <v>102.477</v>
      </c>
      <c r="CD437" s="14" t="n">
        <v>7.95</v>
      </c>
      <c r="CE437" s="14" t="n">
        <v>0</v>
      </c>
      <c r="CF437" s="14" t="n">
        <v>102.477</v>
      </c>
      <c r="CG437" s="14" t="n">
        <v>0</v>
      </c>
      <c r="CH437" s="14" t="n">
        <v>1</v>
      </c>
      <c r="CI437" s="14" t="n">
        <v>0</v>
      </c>
      <c r="CJ437" s="14" t="n">
        <v>0</v>
      </c>
      <c r="CK437" s="14" t="n">
        <v>0</v>
      </c>
      <c r="CL437" s="14" t="n">
        <v>0</v>
      </c>
      <c r="CM437" s="14" t="n">
        <v>0</v>
      </c>
      <c r="CN437" s="14" t="n">
        <v>0</v>
      </c>
      <c r="CO437" s="14" t="n">
        <v>0</v>
      </c>
      <c r="CP437" s="14" t="n">
        <v>0</v>
      </c>
      <c r="CQ437" s="14" t="n">
        <v>1.294</v>
      </c>
      <c r="CR437" s="14" t="n">
        <v>0.661</v>
      </c>
      <c r="CS437" s="14" t="n">
        <v>5.158</v>
      </c>
      <c r="CT437" s="14" t="n">
        <v>10.485</v>
      </c>
      <c r="CU437" s="14" t="n">
        <v>30.326</v>
      </c>
    </row>
    <row r="438">
      <c r="A438" s="14" t="inlineStr">
        <is>
          <t>KWT2023</t>
        </is>
      </c>
      <c r="B438" s="14" t="inlineStr">
        <is>
          <t>KWT</t>
        </is>
      </c>
      <c r="C438" s="14" t="inlineStr">
        <is>
          <t>KWT</t>
        </is>
      </c>
      <c r="D438" s="14" t="inlineStr">
        <is>
          <t>Kuwait</t>
        </is>
      </c>
      <c r="E438" s="14" t="n">
        <v>2023</v>
      </c>
      <c r="F438" s="14" t="n">
        <v>0</v>
      </c>
      <c r="G438" s="14" t="n">
        <v>6.147</v>
      </c>
      <c r="H438" s="14" t="n">
        <v>1.286</v>
      </c>
      <c r="I438" s="14" t="n">
        <v>0.273</v>
      </c>
      <c r="J438" s="14" t="n">
        <v>6.42</v>
      </c>
      <c r="K438" s="14" t="n">
        <v>0</v>
      </c>
      <c r="L438" s="14" t="n">
        <v>1</v>
      </c>
      <c r="M438" s="14" t="n">
        <v>7.886</v>
      </c>
      <c r="N438" s="14" t="n">
        <v>3.857</v>
      </c>
      <c r="O438" s="14" t="n">
        <v>0.227</v>
      </c>
      <c r="P438" s="14" t="n">
        <v>8.113</v>
      </c>
      <c r="Q438" s="14" t="n">
        <v>0</v>
      </c>
      <c r="R438" s="14" t="n">
        <v>1</v>
      </c>
      <c r="S438" s="14" t="n">
        <v>12.575</v>
      </c>
      <c r="T438" s="14" t="n">
        <v>7.714</v>
      </c>
      <c r="U438" s="14" t="n">
        <v>0.273</v>
      </c>
      <c r="V438" s="14" t="n">
        <v>12.848</v>
      </c>
      <c r="W438" s="14" t="n">
        <v>0</v>
      </c>
      <c r="X438" s="14" t="n">
        <v>1</v>
      </c>
      <c r="Y438" s="14" t="n">
        <v>6.804</v>
      </c>
      <c r="Z438" s="14" t="n">
        <v>0.741</v>
      </c>
      <c r="AA438" s="14" t="n">
        <v>-1.266</v>
      </c>
      <c r="AB438" s="14" t="n">
        <v>5.538</v>
      </c>
      <c r="AC438" s="14" t="n">
        <v>0</v>
      </c>
      <c r="AD438" s="14" t="n">
        <v>0</v>
      </c>
      <c r="AE438" s="14" t="n">
        <v>7.656</v>
      </c>
      <c r="AF438" s="14" t="n">
        <v>1.474</v>
      </c>
      <c r="AG438" s="14" t="n">
        <v>-2.727</v>
      </c>
      <c r="AH438" s="14" t="n">
        <v>4.929</v>
      </c>
      <c r="AI438" s="14" t="n">
        <v>0</v>
      </c>
      <c r="AJ438" s="14" t="n">
        <v>0</v>
      </c>
      <c r="AK438" s="14" t="n">
        <v>12.768</v>
      </c>
      <c r="AL438" s="14" t="n">
        <v>6</v>
      </c>
      <c r="AM438" s="14" t="n">
        <v>-2.487</v>
      </c>
      <c r="AN438" s="14" t="n">
        <v>10.282</v>
      </c>
      <c r="AO438" s="14" t="n">
        <v>0</v>
      </c>
      <c r="AP438" s="14" t="n">
        <v>0</v>
      </c>
      <c r="AQ438" s="14" t="n">
        <v>0.749</v>
      </c>
      <c r="AR438" s="14" t="n">
        <v>0.129</v>
      </c>
      <c r="AS438" s="14" t="n">
        <v>-0.407</v>
      </c>
      <c r="AT438" s="14" t="n">
        <v>0.342</v>
      </c>
      <c r="AU438" s="14" t="n">
        <v>0</v>
      </c>
      <c r="AV438" s="14" t="n">
        <v>0</v>
      </c>
      <c r="AW438" s="14" t="n">
        <v>0.783</v>
      </c>
      <c r="AX438" s="14" t="n">
        <v>0.129</v>
      </c>
      <c r="AY438" s="14" t="n">
        <v>-0.408</v>
      </c>
      <c r="AZ438" s="14" t="n">
        <v>0.374</v>
      </c>
      <c r="BA438" s="14" t="n">
        <v>0</v>
      </c>
      <c r="BB438" s="14" t="n">
        <v>0</v>
      </c>
      <c r="BC438" s="14" t="n">
        <v>0.527</v>
      </c>
      <c r="BD438" s="14" t="n">
        <v>0.129</v>
      </c>
      <c r="BE438" s="14" t="n">
        <v>0</v>
      </c>
      <c r="BF438" s="14" t="n">
        <v>0.527</v>
      </c>
      <c r="BG438" s="14" t="n">
        <v>0</v>
      </c>
      <c r="BH438" s="14" t="n">
        <v>1</v>
      </c>
      <c r="BI438" s="14" t="n">
        <v>0.64</v>
      </c>
      <c r="BJ438" s="14" t="n">
        <v>0.129</v>
      </c>
      <c r="BK438" s="14" t="n">
        <v>-0.265</v>
      </c>
      <c r="BL438" s="14" t="n">
        <v>0.374</v>
      </c>
      <c r="BM438" s="14" t="n">
        <v>0</v>
      </c>
      <c r="BN438" s="14" t="n">
        <v>0</v>
      </c>
      <c r="BO438" s="14" t="n">
        <v>0</v>
      </c>
      <c r="BP438" s="14" t="n">
        <v>-0.073</v>
      </c>
      <c r="BQ438" s="14" t="n">
        <v>0.033</v>
      </c>
      <c r="BR438" s="14" t="n">
        <v>0</v>
      </c>
      <c r="BS438" s="14" t="n">
        <v>0.833</v>
      </c>
      <c r="BT438" s="14" t="n">
        <v>0</v>
      </c>
      <c r="BU438" s="14" t="n">
        <v>-0.073</v>
      </c>
      <c r="BV438" s="14" t="n">
        <v>0.016</v>
      </c>
      <c r="BW438" s="14" t="n">
        <v>0</v>
      </c>
      <c r="BX438" s="14" t="n">
        <v>0.833</v>
      </c>
      <c r="BY438" s="14" t="n">
        <v>13.254</v>
      </c>
      <c r="BZ438" s="14" t="n">
        <v>0</v>
      </c>
      <c r="CA438" s="14" t="n">
        <v>13.254</v>
      </c>
      <c r="CB438" s="14" t="n">
        <v>0</v>
      </c>
      <c r="CC438" s="14" t="n">
        <v>87.07899999999999</v>
      </c>
      <c r="CD438" s="14" t="n">
        <v>7.95</v>
      </c>
      <c r="CE438" s="14" t="n">
        <v>0</v>
      </c>
      <c r="CF438" s="14" t="n">
        <v>87.07899999999999</v>
      </c>
      <c r="CG438" s="14" t="n">
        <v>0</v>
      </c>
      <c r="CH438" s="14" t="n">
        <v>1</v>
      </c>
      <c r="CI438" s="14" t="n">
        <v>0</v>
      </c>
      <c r="CJ438" s="14" t="n">
        <v>0</v>
      </c>
      <c r="CK438" s="14" t="n">
        <v>0</v>
      </c>
      <c r="CL438" s="14" t="n">
        <v>0</v>
      </c>
      <c r="CM438" s="14" t="n">
        <v>0</v>
      </c>
      <c r="CN438" s="14" t="n">
        <v>0</v>
      </c>
      <c r="CO438" s="14" t="n">
        <v>0</v>
      </c>
      <c r="CP438" s="14" t="n">
        <v>0</v>
      </c>
      <c r="CQ438" s="14" t="n">
        <v>1.348</v>
      </c>
      <c r="CR438" s="14" t="n">
        <v>0.675</v>
      </c>
      <c r="CS438" s="14" t="n">
        <v>5.37</v>
      </c>
      <c r="CT438" s="14" t="n">
        <v>4.861</v>
      </c>
      <c r="CU438" s="14" t="n">
        <v>10.622</v>
      </c>
    </row>
    <row r="439">
      <c r="A439" s="14" t="inlineStr">
        <is>
          <t>KWT2024</t>
        </is>
      </c>
      <c r="B439" s="14" t="inlineStr">
        <is>
          <t>KWT</t>
        </is>
      </c>
      <c r="C439" s="14" t="inlineStr">
        <is>
          <t>KWT</t>
        </is>
      </c>
      <c r="D439" s="14" t="inlineStr">
        <is>
          <t>Kuwait</t>
        </is>
      </c>
      <c r="E439" s="14" t="n">
        <v>2024</v>
      </c>
      <c r="F439" s="14" t="n">
        <v>0</v>
      </c>
      <c r="G439" s="14" t="n">
        <v>5.575</v>
      </c>
      <c r="H439" s="14" t="n">
        <v>1.324</v>
      </c>
      <c r="I439" s="14" t="n">
        <v>0.213</v>
      </c>
      <c r="J439" s="14" t="n">
        <v>5.787</v>
      </c>
      <c r="K439" s="14" t="n">
        <v>0</v>
      </c>
      <c r="L439" s="14" t="n">
        <v>1</v>
      </c>
      <c r="M439" s="14" t="n">
        <v>7.124</v>
      </c>
      <c r="N439" s="14" t="n">
        <v>3.971</v>
      </c>
      <c r="O439" s="14" t="n">
        <v>0.158</v>
      </c>
      <c r="P439" s="14" t="n">
        <v>7.281</v>
      </c>
      <c r="Q439" s="14" t="n">
        <v>0</v>
      </c>
      <c r="R439" s="14" t="n">
        <v>1</v>
      </c>
      <c r="S439" s="14" t="n">
        <v>12.193</v>
      </c>
      <c r="T439" s="14" t="n">
        <v>7.942</v>
      </c>
      <c r="U439" s="14" t="n">
        <v>0.213</v>
      </c>
      <c r="V439" s="14" t="n">
        <v>12.405</v>
      </c>
      <c r="W439" s="14" t="n">
        <v>0</v>
      </c>
      <c r="X439" s="14" t="n">
        <v>1</v>
      </c>
      <c r="Y439" s="14" t="n">
        <v>6.797</v>
      </c>
      <c r="Z439" s="14" t="n">
        <v>0.74</v>
      </c>
      <c r="AA439" s="14" t="n">
        <v>-1.303</v>
      </c>
      <c r="AB439" s="14" t="n">
        <v>5.493</v>
      </c>
      <c r="AC439" s="14" t="n">
        <v>0</v>
      </c>
      <c r="AD439" s="14" t="n">
        <v>0</v>
      </c>
      <c r="AE439" s="14" t="n">
        <v>7.674</v>
      </c>
      <c r="AF439" s="14" t="n">
        <v>1.478</v>
      </c>
      <c r="AG439" s="14" t="n">
        <v>-2.808</v>
      </c>
      <c r="AH439" s="14" t="n">
        <v>4.866</v>
      </c>
      <c r="AI439" s="14" t="n">
        <v>0</v>
      </c>
      <c r="AJ439" s="14" t="n">
        <v>0</v>
      </c>
      <c r="AK439" s="14" t="n">
        <v>12.937</v>
      </c>
      <c r="AL439" s="14" t="n">
        <v>6.079</v>
      </c>
      <c r="AM439" s="14" t="n">
        <v>-2.306</v>
      </c>
      <c r="AN439" s="14" t="n">
        <v>10.632</v>
      </c>
      <c r="AO439" s="14" t="n">
        <v>0</v>
      </c>
      <c r="AP439" s="14" t="n">
        <v>0</v>
      </c>
      <c r="AQ439" s="14" t="n">
        <v>0.72</v>
      </c>
      <c r="AR439" s="14" t="n">
        <v>0.132</v>
      </c>
      <c r="AS439" s="14" t="n">
        <v>-0.378</v>
      </c>
      <c r="AT439" s="14" t="n">
        <v>0.342</v>
      </c>
      <c r="AU439" s="14" t="n">
        <v>0</v>
      </c>
      <c r="AV439" s="14" t="n">
        <v>0</v>
      </c>
      <c r="AW439" s="14" t="n">
        <v>0.734</v>
      </c>
      <c r="AX439" s="14" t="n">
        <v>0.132</v>
      </c>
      <c r="AY439" s="14" t="n">
        <v>-0.359</v>
      </c>
      <c r="AZ439" s="14" t="n">
        <v>0.375</v>
      </c>
      <c r="BA439" s="14" t="n">
        <v>0</v>
      </c>
      <c r="BB439" s="14" t="n">
        <v>0</v>
      </c>
      <c r="BC439" s="14" t="n">
        <v>0.51</v>
      </c>
      <c r="BD439" s="14" t="n">
        <v>0.132</v>
      </c>
      <c r="BE439" s="14" t="n">
        <v>0</v>
      </c>
      <c r="BF439" s="14" t="n">
        <v>0.51</v>
      </c>
      <c r="BG439" s="14" t="n">
        <v>0</v>
      </c>
      <c r="BH439" s="14" t="n">
        <v>1</v>
      </c>
      <c r="BI439" s="14" t="n">
        <v>0.652</v>
      </c>
      <c r="BJ439" s="14" t="n">
        <v>0.132</v>
      </c>
      <c r="BK439" s="14" t="n">
        <v>-0.277</v>
      </c>
      <c r="BL439" s="14" t="n">
        <v>0.375</v>
      </c>
      <c r="BM439" s="14" t="n">
        <v>0</v>
      </c>
      <c r="BN439" s="14" t="n">
        <v>0</v>
      </c>
      <c r="BO439" s="14" t="n">
        <v>0</v>
      </c>
      <c r="BP439" s="14" t="n">
        <v>-0.075</v>
      </c>
      <c r="BQ439" s="14" t="n">
        <v>0.056</v>
      </c>
      <c r="BR439" s="14" t="n">
        <v>0</v>
      </c>
      <c r="BS439" s="14" t="n">
        <v>0.833</v>
      </c>
      <c r="BT439" s="14" t="n">
        <v>0</v>
      </c>
      <c r="BU439" s="14" t="n">
        <v>-0.075</v>
      </c>
      <c r="BV439" s="14" t="n">
        <v>0.029</v>
      </c>
      <c r="BW439" s="14" t="n">
        <v>0</v>
      </c>
      <c r="BX439" s="14" t="n">
        <v>0.833</v>
      </c>
      <c r="BY439" s="14" t="n">
        <v>13.646</v>
      </c>
      <c r="BZ439" s="14" t="n">
        <v>0</v>
      </c>
      <c r="CA439" s="14" t="n">
        <v>13.646</v>
      </c>
      <c r="CB439" s="14" t="n">
        <v>0</v>
      </c>
      <c r="CC439" s="14" t="n">
        <v>86.38500000000001</v>
      </c>
      <c r="CD439" s="14" t="n">
        <v>7.95</v>
      </c>
      <c r="CE439" s="14" t="n">
        <v>0</v>
      </c>
      <c r="CF439" s="14" t="n">
        <v>86.38500000000001</v>
      </c>
      <c r="CG439" s="14" t="n">
        <v>0</v>
      </c>
      <c r="CH439" s="14" t="n">
        <v>1</v>
      </c>
      <c r="CI439" s="14" t="n">
        <v>0</v>
      </c>
      <c r="CJ439" s="14" t="n">
        <v>0</v>
      </c>
      <c r="CK439" s="14" t="n">
        <v>0</v>
      </c>
      <c r="CL439" s="14" t="n">
        <v>0</v>
      </c>
      <c r="CM439" s="14" t="n">
        <v>0</v>
      </c>
      <c r="CN439" s="14" t="n">
        <v>0</v>
      </c>
      <c r="CO439" s="14" t="n">
        <v>0</v>
      </c>
      <c r="CP439" s="14" t="n">
        <v>0</v>
      </c>
      <c r="CQ439" s="14" t="n">
        <v>1.387</v>
      </c>
      <c r="CR439" s="14" t="n">
        <v>0.675</v>
      </c>
      <c r="CS439" s="14" t="n">
        <v>5.529</v>
      </c>
      <c r="CT439" s="14" t="n">
        <v>4.251</v>
      </c>
      <c r="CU439" s="14" t="n">
        <v>9.167999999999999</v>
      </c>
    </row>
    <row r="440">
      <c r="A440" s="14" t="inlineStr">
        <is>
          <t>KGZ2021</t>
        </is>
      </c>
      <c r="B440" s="14" t="inlineStr">
        <is>
          <t>KGZ</t>
        </is>
      </c>
      <c r="C440" s="14" t="inlineStr">
        <is>
          <t>KGZ</t>
        </is>
      </c>
      <c r="D440" s="14" t="inlineStr">
        <is>
          <t>Kyrgyz Republic</t>
        </is>
      </c>
      <c r="E440" s="14" t="n">
        <v>2021</v>
      </c>
      <c r="F440" s="14" t="n">
        <v>0.12</v>
      </c>
      <c r="G440" s="14" t="n">
        <v>3.218</v>
      </c>
      <c r="H440" s="14" t="n">
        <v>0.79</v>
      </c>
      <c r="I440" s="14" t="n">
        <v>0.042</v>
      </c>
      <c r="J440" s="14" t="n">
        <v>3.26</v>
      </c>
      <c r="K440" s="14" t="n">
        <v>0</v>
      </c>
      <c r="L440" s="14" t="n">
        <v>1</v>
      </c>
      <c r="M440" s="14" t="n">
        <v>4.846</v>
      </c>
      <c r="N440" s="14" t="n">
        <v>2.371</v>
      </c>
      <c r="O440" s="14" t="n">
        <v>0.08699999999999999</v>
      </c>
      <c r="P440" s="14" t="n">
        <v>4.933</v>
      </c>
      <c r="Q440" s="14" t="n">
        <v>0</v>
      </c>
      <c r="R440" s="14" t="n">
        <v>1</v>
      </c>
      <c r="S440" s="14" t="n">
        <v>1.718</v>
      </c>
      <c r="T440" s="14" t="n">
        <v>1.065</v>
      </c>
      <c r="U440" s="14" t="n">
        <v>0.042</v>
      </c>
      <c r="V440" s="14" t="n">
        <v>1.972</v>
      </c>
      <c r="W440" s="14" t="n">
        <v>0.12</v>
      </c>
      <c r="X440" s="14" t="n">
        <v>1</v>
      </c>
      <c r="Y440" s="14" t="n">
        <v>6.203</v>
      </c>
      <c r="Z440" s="14" t="n">
        <v>0.8070000000000001</v>
      </c>
      <c r="AA440" s="14" t="n">
        <v>0.719</v>
      </c>
      <c r="AB440" s="14" t="n">
        <v>6.922</v>
      </c>
      <c r="AC440" s="14" t="n">
        <v>0</v>
      </c>
      <c r="AD440" s="14" t="n">
        <v>1</v>
      </c>
      <c r="AE440" s="14" t="n">
        <v>7.317</v>
      </c>
      <c r="AF440" s="14" t="n">
        <v>1.655</v>
      </c>
      <c r="AG440" s="14" t="n">
        <v>0.719</v>
      </c>
      <c r="AH440" s="14" t="n">
        <v>8.036</v>
      </c>
      <c r="AI440" s="14" t="n">
        <v>0</v>
      </c>
      <c r="AJ440" s="14" t="n">
        <v>1</v>
      </c>
      <c r="AK440" s="14" t="n">
        <v>14</v>
      </c>
      <c r="AL440" s="14" t="n">
        <v>7.309</v>
      </c>
      <c r="AM440" s="14" t="n">
        <v>-9.162000000000001</v>
      </c>
      <c r="AN440" s="14" t="n">
        <v>5.419</v>
      </c>
      <c r="AO440" s="14" t="n">
        <v>0</v>
      </c>
      <c r="AP440" s="14" t="n">
        <v>0</v>
      </c>
      <c r="AQ440" s="14" t="n">
        <v>0.619</v>
      </c>
      <c r="AR440" s="14" t="n">
        <v>0.114</v>
      </c>
      <c r="AS440" s="14" t="n">
        <v>-0.081</v>
      </c>
      <c r="AT440" s="14" t="n">
        <v>0.603</v>
      </c>
      <c r="AU440" s="14" t="n">
        <v>0.12</v>
      </c>
      <c r="AV440" s="14" t="n">
        <v>1</v>
      </c>
      <c r="AW440" s="14" t="n">
        <v>0.599</v>
      </c>
      <c r="AX440" s="14" t="n">
        <v>0.114</v>
      </c>
      <c r="AY440" s="14" t="n">
        <v>-0.094</v>
      </c>
      <c r="AZ440" s="14" t="n">
        <v>0.5659999999999999</v>
      </c>
      <c r="BA440" s="14" t="n">
        <v>0.12</v>
      </c>
      <c r="BB440" s="14" t="n">
        <v>1</v>
      </c>
      <c r="BC440" s="14" t="n">
        <v>0.439</v>
      </c>
      <c r="BD440" s="14" t="n">
        <v>0.114</v>
      </c>
      <c r="BE440" s="14" t="n">
        <v>0.159</v>
      </c>
      <c r="BF440" s="14" t="n">
        <v>0.67</v>
      </c>
      <c r="BG440" s="14" t="n">
        <v>0.12</v>
      </c>
      <c r="BH440" s="14" t="n">
        <v>1</v>
      </c>
      <c r="BI440" s="14" t="n">
        <v>0.505</v>
      </c>
      <c r="BJ440" s="14" t="n">
        <v>0.114</v>
      </c>
      <c r="BK440" s="14" t="n">
        <v>0.04</v>
      </c>
      <c r="BL440" s="14" t="n">
        <v>0.61</v>
      </c>
      <c r="BM440" s="14" t="n">
        <v>0.12</v>
      </c>
      <c r="BN440" s="14" t="n">
        <v>1</v>
      </c>
      <c r="BO440" s="14" t="n">
        <v>0</v>
      </c>
      <c r="BP440" s="14" t="n">
        <v>0</v>
      </c>
      <c r="BQ440" s="14" t="n">
        <v>0.033</v>
      </c>
      <c r="BR440" s="14" t="n">
        <v>0</v>
      </c>
      <c r="BS440" s="14" t="n">
        <v>0.833</v>
      </c>
      <c r="BT440" s="14" t="n">
        <v>0</v>
      </c>
      <c r="BU440" s="14" t="n">
        <v>0</v>
      </c>
      <c r="BV440" s="14" t="n">
        <v>0.01</v>
      </c>
      <c r="BW440" s="14" t="n">
        <v>0.12</v>
      </c>
      <c r="BX440" s="14" t="n">
        <v>0.667</v>
      </c>
      <c r="BY440" s="14" t="n">
        <v>11.787</v>
      </c>
      <c r="BZ440" s="14" t="n">
        <v>0</v>
      </c>
      <c r="CA440" s="14" t="n">
        <v>11.787</v>
      </c>
      <c r="CB440" s="14" t="n">
        <v>0</v>
      </c>
      <c r="CC440" s="14" t="n">
        <v>78.125</v>
      </c>
      <c r="CD440" s="14" t="n">
        <v>7.95</v>
      </c>
      <c r="CE440" s="14" t="n">
        <v>3.664</v>
      </c>
      <c r="CF440" s="14" t="n">
        <v>91.604</v>
      </c>
      <c r="CG440" s="14" t="n">
        <v>0.12</v>
      </c>
      <c r="CH440" s="14" t="n">
        <v>1</v>
      </c>
      <c r="CI440" s="14" t="n">
        <v>0</v>
      </c>
      <c r="CJ440" s="14" t="n">
        <v>0</v>
      </c>
      <c r="CK440" s="14" t="n">
        <v>0</v>
      </c>
      <c r="CL440" s="14" t="n">
        <v>0</v>
      </c>
      <c r="CM440" s="14" t="n">
        <v>0</v>
      </c>
      <c r="CN440" s="14" t="n">
        <v>0</v>
      </c>
      <c r="CO440" s="14" t="n">
        <v>0</v>
      </c>
      <c r="CP440" s="14" t="n">
        <v>0.617</v>
      </c>
      <c r="CQ440" s="14" t="n">
        <v>1.198</v>
      </c>
      <c r="CR440" s="14" t="n">
        <v>0.051</v>
      </c>
      <c r="CS440" s="14" t="n">
        <v>4.776</v>
      </c>
      <c r="CT440" s="14" t="n">
        <v>4.41</v>
      </c>
      <c r="CU440" s="14" t="n">
        <v>15.162</v>
      </c>
    </row>
    <row r="441">
      <c r="A441" s="14" t="inlineStr">
        <is>
          <t>KGZ2022</t>
        </is>
      </c>
      <c r="B441" s="14" t="inlineStr">
        <is>
          <t>KGZ</t>
        </is>
      </c>
      <c r="C441" s="14" t="inlineStr">
        <is>
          <t>KGZ</t>
        </is>
      </c>
      <c r="D441" s="14" t="inlineStr">
        <is>
          <t>Kyrgyz Republic</t>
        </is>
      </c>
      <c r="E441" s="14" t="n">
        <v>2022</v>
      </c>
      <c r="F441" s="14" t="n">
        <v>0.12</v>
      </c>
      <c r="G441" s="14" t="n">
        <v>3.315</v>
      </c>
      <c r="H441" s="14" t="n">
        <v>0.785</v>
      </c>
      <c r="I441" s="14" t="n">
        <v>0.04</v>
      </c>
      <c r="J441" s="14" t="n">
        <v>3.355</v>
      </c>
      <c r="K441" s="14" t="n">
        <v>0</v>
      </c>
      <c r="L441" s="14" t="n">
        <v>1</v>
      </c>
      <c r="M441" s="14" t="n">
        <v>4.95</v>
      </c>
      <c r="N441" s="14" t="n">
        <v>2.355</v>
      </c>
      <c r="O441" s="14" t="n">
        <v>0.083</v>
      </c>
      <c r="P441" s="14" t="n">
        <v>5.033</v>
      </c>
      <c r="Q441" s="14" t="n">
        <v>0</v>
      </c>
      <c r="R441" s="14" t="n">
        <v>1</v>
      </c>
      <c r="S441" s="14" t="n">
        <v>1.947</v>
      </c>
      <c r="T441" s="14" t="n">
        <v>0.954</v>
      </c>
      <c r="U441" s="14" t="n">
        <v>0.04</v>
      </c>
      <c r="V441" s="14" t="n">
        <v>2.225</v>
      </c>
      <c r="W441" s="14" t="n">
        <v>0.12</v>
      </c>
      <c r="X441" s="14" t="n">
        <v>1</v>
      </c>
      <c r="Y441" s="14" t="n">
        <v>6.355</v>
      </c>
      <c r="Z441" s="14" t="n">
        <v>0.827</v>
      </c>
      <c r="AA441" s="14" t="n">
        <v>1.469</v>
      </c>
      <c r="AB441" s="14" t="n">
        <v>7.824</v>
      </c>
      <c r="AC441" s="14" t="n">
        <v>0</v>
      </c>
      <c r="AD441" s="14" t="n">
        <v>1</v>
      </c>
      <c r="AE441" s="14" t="n">
        <v>7.551</v>
      </c>
      <c r="AF441" s="14" t="n">
        <v>1.708</v>
      </c>
      <c r="AG441" s="14" t="n">
        <v>1.469</v>
      </c>
      <c r="AH441" s="14" t="n">
        <v>9.02</v>
      </c>
      <c r="AI441" s="14" t="n">
        <v>0</v>
      </c>
      <c r="AJ441" s="14" t="n">
        <v>1</v>
      </c>
      <c r="AK441" s="14" t="n">
        <v>14.729</v>
      </c>
      <c r="AL441" s="14" t="n">
        <v>7.689</v>
      </c>
      <c r="AM441" s="14" t="n">
        <v>-9.862</v>
      </c>
      <c r="AN441" s="14" t="n">
        <v>5.45</v>
      </c>
      <c r="AO441" s="14" t="n">
        <v>0</v>
      </c>
      <c r="AP441" s="14" t="n">
        <v>0</v>
      </c>
      <c r="AQ441" s="14" t="n">
        <v>0.861</v>
      </c>
      <c r="AR441" s="14" t="n">
        <v>0.123</v>
      </c>
      <c r="AS441" s="14" t="n">
        <v>-0.183</v>
      </c>
      <c r="AT441" s="14" t="n">
        <v>0.759</v>
      </c>
      <c r="AU441" s="14" t="n">
        <v>0.12</v>
      </c>
      <c r="AV441" s="14" t="n">
        <v>1</v>
      </c>
      <c r="AW441" s="14" t="n">
        <v>0.986</v>
      </c>
      <c r="AX441" s="14" t="n">
        <v>0.123</v>
      </c>
      <c r="AY441" s="14" t="n">
        <v>-0.253</v>
      </c>
      <c r="AZ441" s="14" t="n">
        <v>0.821</v>
      </c>
      <c r="BA441" s="14" t="n">
        <v>0.12</v>
      </c>
      <c r="BB441" s="14" t="n">
        <v>1</v>
      </c>
      <c r="BC441" s="14" t="n">
        <v>0.598</v>
      </c>
      <c r="BD441" s="14" t="n">
        <v>0.123</v>
      </c>
      <c r="BE441" s="14" t="n">
        <v>0.139</v>
      </c>
      <c r="BF441" s="14" t="n">
        <v>0.825</v>
      </c>
      <c r="BG441" s="14" t="n">
        <v>0.12</v>
      </c>
      <c r="BH441" s="14" t="n">
        <v>1</v>
      </c>
      <c r="BI441" s="14" t="n">
        <v>0.612</v>
      </c>
      <c r="BJ441" s="14" t="n">
        <v>0.123</v>
      </c>
      <c r="BK441" s="14" t="n">
        <v>0.049</v>
      </c>
      <c r="BL441" s="14" t="n">
        <v>0.734</v>
      </c>
      <c r="BM441" s="14" t="n">
        <v>0.12</v>
      </c>
      <c r="BN441" s="14" t="n">
        <v>1</v>
      </c>
      <c r="BO441" s="14" t="n">
        <v>0</v>
      </c>
      <c r="BP441" s="14" t="n">
        <v>0</v>
      </c>
      <c r="BQ441" s="14" t="n">
        <v>0.033</v>
      </c>
      <c r="BR441" s="14" t="n">
        <v>0</v>
      </c>
      <c r="BS441" s="14" t="n">
        <v>0.833</v>
      </c>
      <c r="BT441" s="14" t="n">
        <v>0</v>
      </c>
      <c r="BU441" s="14" t="n">
        <v>0</v>
      </c>
      <c r="BV441" s="14" t="n">
        <v>0.01</v>
      </c>
      <c r="BW441" s="14" t="n">
        <v>0.12</v>
      </c>
      <c r="BX441" s="14" t="n">
        <v>0.667</v>
      </c>
      <c r="BY441" s="14" t="n">
        <v>12.729</v>
      </c>
      <c r="BZ441" s="14" t="n">
        <v>0</v>
      </c>
      <c r="CA441" s="14" t="n">
        <v>12.729</v>
      </c>
      <c r="CB441" s="14" t="n">
        <v>0</v>
      </c>
      <c r="CC441" s="14" t="n">
        <v>97.90000000000001</v>
      </c>
      <c r="CD441" s="14" t="n">
        <v>7.95</v>
      </c>
      <c r="CE441" s="14" t="n">
        <v>5.369</v>
      </c>
      <c r="CF441" s="14" t="n">
        <v>114.643</v>
      </c>
      <c r="CG441" s="14" t="n">
        <v>0.12</v>
      </c>
      <c r="CH441" s="14" t="n">
        <v>1</v>
      </c>
      <c r="CI441" s="14" t="n">
        <v>0</v>
      </c>
      <c r="CJ441" s="14" t="n">
        <v>0</v>
      </c>
      <c r="CK441" s="14" t="n">
        <v>0</v>
      </c>
      <c r="CL441" s="14" t="n">
        <v>0</v>
      </c>
      <c r="CM441" s="14" t="n">
        <v>0</v>
      </c>
      <c r="CN441" s="14" t="n">
        <v>0</v>
      </c>
      <c r="CO441" s="14" t="n">
        <v>0</v>
      </c>
      <c r="CP441" s="14" t="n">
        <v>0.728</v>
      </c>
      <c r="CQ441" s="14" t="n">
        <v>1.294</v>
      </c>
      <c r="CR441" s="14" t="n">
        <v>0.062</v>
      </c>
      <c r="CS441" s="14" t="n">
        <v>5.158</v>
      </c>
      <c r="CT441" s="14" t="n">
        <v>5.842</v>
      </c>
      <c r="CU441" s="14" t="n">
        <v>31.326</v>
      </c>
    </row>
    <row r="442">
      <c r="A442" s="14" t="inlineStr">
        <is>
          <t>KGZ2023</t>
        </is>
      </c>
      <c r="B442" s="14" t="inlineStr">
        <is>
          <t>KGZ</t>
        </is>
      </c>
      <c r="C442" s="14" t="inlineStr">
        <is>
          <t>KGZ</t>
        </is>
      </c>
      <c r="D442" s="14" t="inlineStr">
        <is>
          <t>Kyrgyz Republic</t>
        </is>
      </c>
      <c r="E442" s="14" t="n">
        <v>2023</v>
      </c>
      <c r="F442" s="14" t="n">
        <v>0.12</v>
      </c>
      <c r="G442" s="14" t="n">
        <v>2.728</v>
      </c>
      <c r="H442" s="14" t="n">
        <v>0.8139999999999999</v>
      </c>
      <c r="I442" s="14" t="n">
        <v>0.023</v>
      </c>
      <c r="J442" s="14" t="n">
        <v>2.751</v>
      </c>
      <c r="K442" s="14" t="n">
        <v>0</v>
      </c>
      <c r="L442" s="14" t="n">
        <v>1</v>
      </c>
      <c r="M442" s="14" t="n">
        <v>4.507</v>
      </c>
      <c r="N442" s="14" t="n">
        <v>2.443</v>
      </c>
      <c r="O442" s="14" t="n">
        <v>0.054</v>
      </c>
      <c r="P442" s="14" t="n">
        <v>4.561</v>
      </c>
      <c r="Q442" s="14" t="n">
        <v>0</v>
      </c>
      <c r="R442" s="14" t="n">
        <v>1</v>
      </c>
      <c r="S442" s="14" t="n">
        <v>2.149</v>
      </c>
      <c r="T442" s="14" t="n">
        <v>1.347</v>
      </c>
      <c r="U442" s="14" t="n">
        <v>0.023</v>
      </c>
      <c r="V442" s="14" t="n">
        <v>2.432</v>
      </c>
      <c r="W442" s="14" t="n">
        <v>0.12</v>
      </c>
      <c r="X442" s="14" t="n">
        <v>1</v>
      </c>
      <c r="Y442" s="14" t="n">
        <v>4.551</v>
      </c>
      <c r="Z442" s="14" t="n">
        <v>0.592</v>
      </c>
      <c r="AA442" s="14" t="n">
        <v>0.548</v>
      </c>
      <c r="AB442" s="14" t="n">
        <v>5.098</v>
      </c>
      <c r="AC442" s="14" t="n">
        <v>0</v>
      </c>
      <c r="AD442" s="14" t="n">
        <v>1</v>
      </c>
      <c r="AE442" s="14" t="n">
        <v>5.799</v>
      </c>
      <c r="AF442" s="14" t="n">
        <v>1.312</v>
      </c>
      <c r="AG442" s="14" t="n">
        <v>0.548</v>
      </c>
      <c r="AH442" s="14" t="n">
        <v>6.347</v>
      </c>
      <c r="AI442" s="14" t="n">
        <v>0</v>
      </c>
      <c r="AJ442" s="14" t="n">
        <v>1</v>
      </c>
      <c r="AK442" s="14" t="n">
        <v>13.291</v>
      </c>
      <c r="AL442" s="14" t="n">
        <v>6.938</v>
      </c>
      <c r="AM442" s="14" t="n">
        <v>-8.300000000000001</v>
      </c>
      <c r="AN442" s="14" t="n">
        <v>5.59</v>
      </c>
      <c r="AO442" s="14" t="n">
        <v>0</v>
      </c>
      <c r="AP442" s="14" t="n">
        <v>0</v>
      </c>
      <c r="AQ442" s="14" t="n">
        <v>0.76</v>
      </c>
      <c r="AR442" s="14" t="n">
        <v>0.129</v>
      </c>
      <c r="AS442" s="14" t="n">
        <v>-0.16</v>
      </c>
      <c r="AT442" s="14" t="n">
        <v>0.672</v>
      </c>
      <c r="AU442" s="14" t="n">
        <v>0.12</v>
      </c>
      <c r="AV442" s="14" t="n">
        <v>1</v>
      </c>
      <c r="AW442" s="14" t="n">
        <v>0.8110000000000001</v>
      </c>
      <c r="AX442" s="14" t="n">
        <v>0.129</v>
      </c>
      <c r="AY442" s="14" t="n">
        <v>-0.08</v>
      </c>
      <c r="AZ442" s="14" t="n">
        <v>0.819</v>
      </c>
      <c r="BA442" s="14" t="n">
        <v>0.12</v>
      </c>
      <c r="BB442" s="14" t="n">
        <v>1</v>
      </c>
      <c r="BC442" s="14" t="n">
        <v>0.535</v>
      </c>
      <c r="BD442" s="14" t="n">
        <v>0.129</v>
      </c>
      <c r="BE442" s="14" t="n">
        <v>0.218</v>
      </c>
      <c r="BF442" s="14" t="n">
        <v>0.843</v>
      </c>
      <c r="BG442" s="14" t="n">
        <v>0.12</v>
      </c>
      <c r="BH442" s="14" t="n">
        <v>1</v>
      </c>
      <c r="BI442" s="14" t="n">
        <v>0.579</v>
      </c>
      <c r="BJ442" s="14" t="n">
        <v>0.129</v>
      </c>
      <c r="BK442" s="14" t="n">
        <v>0.049</v>
      </c>
      <c r="BL442" s="14" t="n">
        <v>0.695</v>
      </c>
      <c r="BM442" s="14" t="n">
        <v>0.12</v>
      </c>
      <c r="BN442" s="14" t="n">
        <v>1</v>
      </c>
      <c r="BO442" s="14" t="n">
        <v>0</v>
      </c>
      <c r="BP442" s="14" t="n">
        <v>0</v>
      </c>
      <c r="BQ442" s="14" t="n">
        <v>0.037</v>
      </c>
      <c r="BR442" s="14" t="n">
        <v>0</v>
      </c>
      <c r="BS442" s="14" t="n">
        <v>0.833</v>
      </c>
      <c r="BT442" s="14" t="n">
        <v>0</v>
      </c>
      <c r="BU442" s="14" t="n">
        <v>0</v>
      </c>
      <c r="BV442" s="14" t="n">
        <v>0.013</v>
      </c>
      <c r="BW442" s="14" t="n">
        <v>0.12</v>
      </c>
      <c r="BX442" s="14" t="n">
        <v>0.667</v>
      </c>
      <c r="BY442" s="14" t="n">
        <v>13.254</v>
      </c>
      <c r="BZ442" s="14" t="n">
        <v>0</v>
      </c>
      <c r="CA442" s="14" t="n">
        <v>13.254</v>
      </c>
      <c r="CB442" s="14" t="n">
        <v>0</v>
      </c>
      <c r="CC442" s="14" t="n">
        <v>83.248</v>
      </c>
      <c r="CD442" s="14" t="n">
        <v>7.95</v>
      </c>
      <c r="CE442" s="14" t="n">
        <v>4.919</v>
      </c>
      <c r="CF442" s="14" t="n">
        <v>97.452</v>
      </c>
      <c r="CG442" s="14" t="n">
        <v>0.12</v>
      </c>
      <c r="CH442" s="14" t="n">
        <v>1</v>
      </c>
      <c r="CI442" s="14" t="n">
        <v>0</v>
      </c>
      <c r="CJ442" s="14" t="n">
        <v>0</v>
      </c>
      <c r="CK442" s="14" t="n">
        <v>0</v>
      </c>
      <c r="CL442" s="14" t="n">
        <v>0</v>
      </c>
      <c r="CM442" s="14" t="n">
        <v>0</v>
      </c>
      <c r="CN442" s="14" t="n">
        <v>0</v>
      </c>
      <c r="CO442" s="14" t="n">
        <v>0</v>
      </c>
      <c r="CP442" s="14" t="n">
        <v>0.733</v>
      </c>
      <c r="CQ442" s="14" t="n">
        <v>1.348</v>
      </c>
      <c r="CR442" s="14" t="n">
        <v>0.058</v>
      </c>
      <c r="CS442" s="14" t="n">
        <v>5.37</v>
      </c>
      <c r="CT442" s="14" t="n">
        <v>3.466</v>
      </c>
      <c r="CU442" s="14" t="n">
        <v>11.622</v>
      </c>
    </row>
    <row r="443">
      <c r="A443" s="14" t="inlineStr">
        <is>
          <t>KGZ2024</t>
        </is>
      </c>
      <c r="B443" s="14" t="inlineStr">
        <is>
          <t>KGZ</t>
        </is>
      </c>
      <c r="C443" s="14" t="inlineStr">
        <is>
          <t>KGZ</t>
        </is>
      </c>
      <c r="D443" s="14" t="inlineStr">
        <is>
          <t>Kyrgyz Republic</t>
        </is>
      </c>
      <c r="E443" s="14" t="n">
        <v>2024</v>
      </c>
      <c r="F443" s="14" t="n">
        <v>0.12</v>
      </c>
      <c r="G443" s="14" t="n">
        <v>2.664</v>
      </c>
      <c r="H443" s="14" t="n">
        <v>0.838</v>
      </c>
      <c r="I443" s="14" t="n">
        <v>0.02</v>
      </c>
      <c r="J443" s="14" t="n">
        <v>2.684</v>
      </c>
      <c r="K443" s="14" t="n">
        <v>0</v>
      </c>
      <c r="L443" s="14" t="n">
        <v>1</v>
      </c>
      <c r="M443" s="14" t="n">
        <v>4.374</v>
      </c>
      <c r="N443" s="14" t="n">
        <v>2.515</v>
      </c>
      <c r="O443" s="14" t="n">
        <v>0.042</v>
      </c>
      <c r="P443" s="14" t="n">
        <v>4.416</v>
      </c>
      <c r="Q443" s="14" t="n">
        <v>0</v>
      </c>
      <c r="R443" s="14" t="n">
        <v>1</v>
      </c>
      <c r="S443" s="14" t="n">
        <v>2.315</v>
      </c>
      <c r="T443" s="14" t="n">
        <v>1.533</v>
      </c>
      <c r="U443" s="14" t="n">
        <v>0.02</v>
      </c>
      <c r="V443" s="14" t="n">
        <v>2.616</v>
      </c>
      <c r="W443" s="14" t="n">
        <v>0.12</v>
      </c>
      <c r="X443" s="14" t="n">
        <v>1</v>
      </c>
      <c r="Y443" s="14" t="n">
        <v>4.685</v>
      </c>
      <c r="Z443" s="14" t="n">
        <v>0.61</v>
      </c>
      <c r="AA443" s="14" t="n">
        <v>0.479</v>
      </c>
      <c r="AB443" s="14" t="n">
        <v>5.164</v>
      </c>
      <c r="AC443" s="14" t="n">
        <v>0</v>
      </c>
      <c r="AD443" s="14" t="n">
        <v>1</v>
      </c>
      <c r="AE443" s="14" t="n">
        <v>5.97</v>
      </c>
      <c r="AF443" s="14" t="n">
        <v>1.351</v>
      </c>
      <c r="AG443" s="14" t="n">
        <v>0.479</v>
      </c>
      <c r="AH443" s="14" t="n">
        <v>6.45</v>
      </c>
      <c r="AI443" s="14" t="n">
        <v>0</v>
      </c>
      <c r="AJ443" s="14" t="n">
        <v>1</v>
      </c>
      <c r="AK443" s="14" t="n">
        <v>13.683</v>
      </c>
      <c r="AL443" s="14" t="n">
        <v>7.143</v>
      </c>
      <c r="AM443" s="14" t="n">
        <v>-8.122</v>
      </c>
      <c r="AN443" s="14" t="n">
        <v>6.228</v>
      </c>
      <c r="AO443" s="14" t="n">
        <v>0</v>
      </c>
      <c r="AP443" s="14" t="n">
        <v>0</v>
      </c>
      <c r="AQ443" s="14" t="n">
        <v>0.724</v>
      </c>
      <c r="AR443" s="14" t="n">
        <v>0.132</v>
      </c>
      <c r="AS443" s="14" t="n">
        <v>-0.057</v>
      </c>
      <c r="AT443" s="14" t="n">
        <v>0.748</v>
      </c>
      <c r="AU443" s="14" t="n">
        <v>0.12</v>
      </c>
      <c r="AV443" s="14" t="n">
        <v>1</v>
      </c>
      <c r="AW443" s="14" t="n">
        <v>0.75</v>
      </c>
      <c r="AX443" s="14" t="n">
        <v>0.132</v>
      </c>
      <c r="AY443" s="14" t="n">
        <v>0.01</v>
      </c>
      <c r="AZ443" s="14" t="n">
        <v>0.851</v>
      </c>
      <c r="BA443" s="14" t="n">
        <v>0.12</v>
      </c>
      <c r="BB443" s="14" t="n">
        <v>1</v>
      </c>
      <c r="BC443" s="14" t="n">
        <v>0.513</v>
      </c>
      <c r="BD443" s="14" t="n">
        <v>0.132</v>
      </c>
      <c r="BE443" s="14" t="n">
        <v>0.251</v>
      </c>
      <c r="BF443" s="14" t="n">
        <v>0.856</v>
      </c>
      <c r="BG443" s="14" t="n">
        <v>0.12</v>
      </c>
      <c r="BH443" s="14" t="n">
        <v>1</v>
      </c>
      <c r="BI443" s="14" t="n">
        <v>0.591</v>
      </c>
      <c r="BJ443" s="14" t="n">
        <v>0.132</v>
      </c>
      <c r="BK443" s="14" t="n">
        <v>0.052</v>
      </c>
      <c r="BL443" s="14" t="n">
        <v>0.709</v>
      </c>
      <c r="BM443" s="14" t="n">
        <v>0.12</v>
      </c>
      <c r="BN443" s="14" t="n">
        <v>1</v>
      </c>
      <c r="BO443" s="14" t="n">
        <v>0</v>
      </c>
      <c r="BP443" s="14" t="n">
        <v>0</v>
      </c>
      <c r="BQ443" s="14" t="n">
        <v>0.029</v>
      </c>
      <c r="BR443" s="14" t="n">
        <v>0</v>
      </c>
      <c r="BS443" s="14" t="n">
        <v>0.833</v>
      </c>
      <c r="BT443" s="14" t="n">
        <v>0</v>
      </c>
      <c r="BU443" s="14" t="n">
        <v>0</v>
      </c>
      <c r="BV443" s="14" t="n">
        <v>0.013</v>
      </c>
      <c r="BW443" s="14" t="n">
        <v>0.12</v>
      </c>
      <c r="BX443" s="14" t="n">
        <v>0.667</v>
      </c>
      <c r="BY443" s="14" t="n">
        <v>13.646</v>
      </c>
      <c r="BZ443" s="14" t="n">
        <v>0</v>
      </c>
      <c r="CA443" s="14" t="n">
        <v>13.646</v>
      </c>
      <c r="CB443" s="14" t="n">
        <v>0</v>
      </c>
      <c r="CC443" s="14" t="n">
        <v>82.58799999999999</v>
      </c>
      <c r="CD443" s="14" t="n">
        <v>7.95</v>
      </c>
      <c r="CE443" s="14" t="n">
        <v>5.146</v>
      </c>
      <c r="CF443" s="14" t="n">
        <v>96.682</v>
      </c>
      <c r="CG443" s="14" t="n">
        <v>0.12</v>
      </c>
      <c r="CH443" s="14" t="n">
        <v>1</v>
      </c>
      <c r="CI443" s="14" t="n">
        <v>0</v>
      </c>
      <c r="CJ443" s="14" t="n">
        <v>0</v>
      </c>
      <c r="CK443" s="14" t="n">
        <v>0</v>
      </c>
      <c r="CL443" s="14" t="n">
        <v>0</v>
      </c>
      <c r="CM443" s="14" t="n">
        <v>0</v>
      </c>
      <c r="CN443" s="14" t="n">
        <v>0</v>
      </c>
      <c r="CO443" s="14" t="n">
        <v>0</v>
      </c>
      <c r="CP443" s="14" t="n">
        <v>0.733</v>
      </c>
      <c r="CQ443" s="14" t="n">
        <v>1.387</v>
      </c>
      <c r="CR443" s="14" t="n">
        <v>0.058</v>
      </c>
      <c r="CS443" s="14" t="n">
        <v>5.529</v>
      </c>
      <c r="CT443" s="14" t="n">
        <v>3.027</v>
      </c>
      <c r="CU443" s="14" t="n">
        <v>10.168</v>
      </c>
    </row>
    <row r="444">
      <c r="A444" s="14" t="inlineStr">
        <is>
          <t>LAO2021</t>
        </is>
      </c>
      <c r="B444" s="14" t="inlineStr">
        <is>
          <t>LAO</t>
        </is>
      </c>
      <c r="C444" s="14" t="inlineStr">
        <is>
          <t>LAO</t>
        </is>
      </c>
      <c r="D444" s="14" t="inlineStr">
        <is>
          <t>Lao P.D.R.</t>
        </is>
      </c>
      <c r="E444" s="14" t="n">
        <v>2021</v>
      </c>
      <c r="F444" s="14" t="n">
        <v>0.1</v>
      </c>
      <c r="G444" s="14" t="n">
        <v>1.77</v>
      </c>
      <c r="H444" s="14" t="n">
        <v>0.572</v>
      </c>
      <c r="I444" s="14" t="n">
        <v>-1.157</v>
      </c>
      <c r="J444" s="14" t="n">
        <v>0.613</v>
      </c>
      <c r="K444" s="14" t="n">
        <v>0</v>
      </c>
      <c r="L444" s="14" t="n">
        <v>0</v>
      </c>
      <c r="M444" s="14" t="n">
        <v>2.913</v>
      </c>
      <c r="N444" s="14" t="n">
        <v>1.715</v>
      </c>
      <c r="O444" s="14" t="n">
        <v>-2.3</v>
      </c>
      <c r="P444" s="14" t="n">
        <v>0.613</v>
      </c>
      <c r="Q444" s="14" t="n">
        <v>0</v>
      </c>
      <c r="R444" s="14" t="n">
        <v>0</v>
      </c>
      <c r="S444" s="14" t="n">
        <v>4.628</v>
      </c>
      <c r="T444" s="14" t="n">
        <v>3.43</v>
      </c>
      <c r="U444" s="14" t="n">
        <v>0</v>
      </c>
      <c r="V444" s="14" t="n">
        <v>5.091</v>
      </c>
      <c r="W444" s="14" t="n">
        <v>0.1</v>
      </c>
      <c r="X444" s="14" t="n">
        <v>1</v>
      </c>
      <c r="Y444" s="14" t="n">
        <v>5.923</v>
      </c>
      <c r="Z444" s="14" t="n">
        <v>0.731</v>
      </c>
      <c r="AA444" s="14" t="n">
        <v>0</v>
      </c>
      <c r="AB444" s="14" t="n">
        <v>5.923</v>
      </c>
      <c r="AC444" s="14" t="n">
        <v>0</v>
      </c>
      <c r="AD444" s="14" t="n">
        <v>1</v>
      </c>
      <c r="AE444" s="14" t="n">
        <v>7.066</v>
      </c>
      <c r="AF444" s="14" t="n">
        <v>1.54</v>
      </c>
      <c r="AG444" s="14" t="n">
        <v>0</v>
      </c>
      <c r="AH444" s="14" t="n">
        <v>7.066</v>
      </c>
      <c r="AI444" s="14" t="n">
        <v>0</v>
      </c>
      <c r="AJ444" s="14" t="n">
        <v>1</v>
      </c>
      <c r="AK444" s="14" t="n">
        <v>13.926</v>
      </c>
      <c r="AL444" s="14" t="n">
        <v>7.226</v>
      </c>
      <c r="AM444" s="14" t="n">
        <v>0</v>
      </c>
      <c r="AN444" s="14" t="n">
        <v>15.318</v>
      </c>
      <c r="AO444" s="14" t="n">
        <v>0.1</v>
      </c>
      <c r="AP444" s="14" t="n">
        <v>1</v>
      </c>
      <c r="AQ444" s="14" t="n">
        <v>0.6</v>
      </c>
      <c r="AR444" s="14" t="n">
        <v>0.11</v>
      </c>
      <c r="AS444" s="14" t="n">
        <v>0.418</v>
      </c>
      <c r="AT444" s="14" t="n">
        <v>1.12</v>
      </c>
      <c r="AU444" s="14" t="n">
        <v>0.1</v>
      </c>
      <c r="AV444" s="14" t="n">
        <v>1</v>
      </c>
      <c r="AW444" s="14" t="n">
        <v>0.639</v>
      </c>
      <c r="AX444" s="14" t="n">
        <v>0.124</v>
      </c>
      <c r="AY444" s="14" t="n">
        <v>0.25</v>
      </c>
      <c r="AZ444" s="14" t="n">
        <v>0.979</v>
      </c>
      <c r="BA444" s="14" t="n">
        <v>0.1</v>
      </c>
      <c r="BB444" s="14" t="n">
        <v>1</v>
      </c>
      <c r="BC444" s="14" t="n">
        <v>0.44</v>
      </c>
      <c r="BD444" s="14" t="n">
        <v>0.114</v>
      </c>
      <c r="BE444" s="14" t="n">
        <v>0</v>
      </c>
      <c r="BF444" s="14" t="n">
        <v>0.484</v>
      </c>
      <c r="BG444" s="14" t="n">
        <v>0.1</v>
      </c>
      <c r="BH444" s="14" t="n">
        <v>1</v>
      </c>
      <c r="BI444" s="14" t="n">
        <v>0.5600000000000001</v>
      </c>
      <c r="BJ444" s="14" t="n">
        <v>0.114</v>
      </c>
      <c r="BK444" s="14" t="n">
        <v>0</v>
      </c>
      <c r="BL444" s="14" t="n">
        <v>0.616</v>
      </c>
      <c r="BM444" s="14" t="n">
        <v>0.1</v>
      </c>
      <c r="BN444" s="14" t="n">
        <v>1</v>
      </c>
      <c r="BO444" s="14" t="n">
        <v>0</v>
      </c>
      <c r="BP444" s="14" t="n">
        <v>0</v>
      </c>
      <c r="BQ444" s="14" t="n">
        <v>0.075</v>
      </c>
      <c r="BR444" s="14" t="n">
        <v>0</v>
      </c>
      <c r="BS444" s="14" t="n">
        <v>0.667</v>
      </c>
      <c r="BT444" s="14" t="n">
        <v>0</v>
      </c>
      <c r="BU444" s="14" t="n">
        <v>0</v>
      </c>
      <c r="BV444" s="14" t="n">
        <v>0.043</v>
      </c>
      <c r="BW444" s="14" t="n">
        <v>0.1</v>
      </c>
      <c r="BX444" s="14" t="n">
        <v>0.667</v>
      </c>
      <c r="BY444" s="14" t="n">
        <v>11.787</v>
      </c>
      <c r="BZ444" s="14" t="n">
        <v>0</v>
      </c>
      <c r="CA444" s="14" t="n">
        <v>11.787</v>
      </c>
      <c r="CB444" s="14" t="n">
        <v>0</v>
      </c>
      <c r="CC444" s="14" t="n">
        <v>81.69499999999999</v>
      </c>
      <c r="CD444" s="14" t="n">
        <v>7.95</v>
      </c>
      <c r="CE444" s="14" t="n">
        <v>13.857</v>
      </c>
      <c r="CF444" s="14" t="n">
        <v>105.107</v>
      </c>
      <c r="CG444" s="14" t="n">
        <v>0.1</v>
      </c>
      <c r="CH444" s="14" t="n">
        <v>1</v>
      </c>
      <c r="CI444" s="14" t="n">
        <v>0</v>
      </c>
      <c r="CJ444" s="14" t="n">
        <v>0</v>
      </c>
      <c r="CK444" s="14" t="n">
        <v>0</v>
      </c>
      <c r="CL444" s="14" t="n">
        <v>0</v>
      </c>
      <c r="CM444" s="14" t="n">
        <v>0</v>
      </c>
      <c r="CN444" s="14" t="n">
        <v>0</v>
      </c>
      <c r="CO444" s="14" t="n">
        <v>0</v>
      </c>
      <c r="CP444" s="14" t="n">
        <v>1</v>
      </c>
      <c r="CQ444" s="14" t="n">
        <v>1.198</v>
      </c>
      <c r="CR444" s="14" t="n">
        <v>0</v>
      </c>
      <c r="CS444" s="14" t="n">
        <v>4.776</v>
      </c>
      <c r="CT444" s="14" t="n">
        <v>3.604</v>
      </c>
      <c r="CU444" s="14" t="n">
        <v>9.407999999999999</v>
      </c>
    </row>
    <row r="445">
      <c r="A445" s="14" t="inlineStr">
        <is>
          <t>LAO2022</t>
        </is>
      </c>
      <c r="B445" s="14" t="inlineStr">
        <is>
          <t>LAO</t>
        </is>
      </c>
      <c r="C445" s="14" t="inlineStr">
        <is>
          <t>LAO</t>
        </is>
      </c>
      <c r="D445" s="14" t="inlineStr">
        <is>
          <t>Lao P.D.R.</t>
        </is>
      </c>
      <c r="E445" s="14" t="n">
        <v>2022</v>
      </c>
      <c r="F445" s="14" t="n">
        <v>0.1</v>
      </c>
      <c r="G445" s="14" t="n">
        <v>1.911</v>
      </c>
      <c r="H445" s="14" t="n">
        <v>0.617</v>
      </c>
      <c r="I445" s="14" t="n">
        <v>-1.249</v>
      </c>
      <c r="J445" s="14" t="n">
        <v>0.662</v>
      </c>
      <c r="K445" s="14" t="n">
        <v>0</v>
      </c>
      <c r="L445" s="14" t="n">
        <v>0</v>
      </c>
      <c r="M445" s="14" t="n">
        <v>3.146</v>
      </c>
      <c r="N445" s="14" t="n">
        <v>1.852</v>
      </c>
      <c r="O445" s="14" t="n">
        <v>-2.484</v>
      </c>
      <c r="P445" s="14" t="n">
        <v>0.662</v>
      </c>
      <c r="Q445" s="14" t="n">
        <v>0</v>
      </c>
      <c r="R445" s="14" t="n">
        <v>0</v>
      </c>
      <c r="S445" s="14" t="n">
        <v>4.998</v>
      </c>
      <c r="T445" s="14" t="n">
        <v>3.704</v>
      </c>
      <c r="U445" s="14" t="n">
        <v>0.037</v>
      </c>
      <c r="V445" s="14" t="n">
        <v>5.498</v>
      </c>
      <c r="W445" s="14" t="n">
        <v>0.1</v>
      </c>
      <c r="X445" s="14" t="n">
        <v>1</v>
      </c>
      <c r="Y445" s="14" t="n">
        <v>6.401</v>
      </c>
      <c r="Z445" s="14" t="n">
        <v>0.79</v>
      </c>
      <c r="AA445" s="14" t="n">
        <v>0</v>
      </c>
      <c r="AB445" s="14" t="n">
        <v>6.401</v>
      </c>
      <c r="AC445" s="14" t="n">
        <v>0</v>
      </c>
      <c r="AD445" s="14" t="n">
        <v>1</v>
      </c>
      <c r="AE445" s="14" t="n">
        <v>7.635</v>
      </c>
      <c r="AF445" s="14" t="n">
        <v>1.665</v>
      </c>
      <c r="AG445" s="14" t="n">
        <v>0</v>
      </c>
      <c r="AH445" s="14" t="n">
        <v>7.635</v>
      </c>
      <c r="AI445" s="14" t="n">
        <v>0</v>
      </c>
      <c r="AJ445" s="14" t="n">
        <v>1</v>
      </c>
      <c r="AK445" s="14" t="n">
        <v>15.043</v>
      </c>
      <c r="AL445" s="14" t="n">
        <v>7.806</v>
      </c>
      <c r="AM445" s="14" t="n">
        <v>0.111</v>
      </c>
      <c r="AN445" s="14" t="n">
        <v>16.548</v>
      </c>
      <c r="AO445" s="14" t="n">
        <v>0.1</v>
      </c>
      <c r="AP445" s="14" t="n">
        <v>1</v>
      </c>
      <c r="AQ445" s="14" t="n">
        <v>0.788</v>
      </c>
      <c r="AR445" s="14" t="n">
        <v>0.113</v>
      </c>
      <c r="AS445" s="14" t="n">
        <v>0.598</v>
      </c>
      <c r="AT445" s="14" t="n">
        <v>1.483</v>
      </c>
      <c r="AU445" s="14" t="n">
        <v>0.07000000000000001</v>
      </c>
      <c r="AV445" s="14" t="n">
        <v>1</v>
      </c>
      <c r="AW445" s="14" t="n">
        <v>0.839</v>
      </c>
      <c r="AX445" s="14" t="n">
        <v>0.109</v>
      </c>
      <c r="AY445" s="14" t="n">
        <v>0.362</v>
      </c>
      <c r="AZ445" s="14" t="n">
        <v>1.286</v>
      </c>
      <c r="BA445" s="14" t="n">
        <v>0.07000000000000001</v>
      </c>
      <c r="BB445" s="14" t="n">
        <v>1</v>
      </c>
      <c r="BC445" s="14" t="n">
        <v>0.589</v>
      </c>
      <c r="BD445" s="14" t="n">
        <v>0.123</v>
      </c>
      <c r="BE445" s="14" t="n">
        <v>0.004</v>
      </c>
      <c r="BF445" s="14" t="n">
        <v>0.647</v>
      </c>
      <c r="BG445" s="14" t="n">
        <v>0.1</v>
      </c>
      <c r="BH445" s="14" t="n">
        <v>1</v>
      </c>
      <c r="BI445" s="14" t="n">
        <v>0.6889999999999999</v>
      </c>
      <c r="BJ445" s="14" t="n">
        <v>0.123</v>
      </c>
      <c r="BK445" s="14" t="n">
        <v>0.005</v>
      </c>
      <c r="BL445" s="14" t="n">
        <v>0.758</v>
      </c>
      <c r="BM445" s="14" t="n">
        <v>0.1</v>
      </c>
      <c r="BN445" s="14" t="n">
        <v>1</v>
      </c>
      <c r="BO445" s="14" t="n">
        <v>0</v>
      </c>
      <c r="BP445" s="14" t="n">
        <v>0</v>
      </c>
      <c r="BQ445" s="14" t="n">
        <v>0.048</v>
      </c>
      <c r="BR445" s="14" t="n">
        <v>0</v>
      </c>
      <c r="BS445" s="14" t="n">
        <v>0.667</v>
      </c>
      <c r="BT445" s="14" t="n">
        <v>0</v>
      </c>
      <c r="BU445" s="14" t="n">
        <v>0</v>
      </c>
      <c r="BV445" s="14" t="n">
        <v>0.039</v>
      </c>
      <c r="BW445" s="14" t="n">
        <v>0.1</v>
      </c>
      <c r="BX445" s="14" t="n">
        <v>0.667</v>
      </c>
      <c r="BY445" s="14" t="n">
        <v>12.729</v>
      </c>
      <c r="BZ445" s="14" t="n">
        <v>0</v>
      </c>
      <c r="CA445" s="14" t="n">
        <v>12.729</v>
      </c>
      <c r="CB445" s="14" t="n">
        <v>0</v>
      </c>
      <c r="CC445" s="14" t="n">
        <v>102.477</v>
      </c>
      <c r="CD445" s="14" t="n">
        <v>7.95</v>
      </c>
      <c r="CE445" s="14" t="n">
        <v>14.528</v>
      </c>
      <c r="CF445" s="14" t="n">
        <v>127.76</v>
      </c>
      <c r="CG445" s="14" t="n">
        <v>0.1</v>
      </c>
      <c r="CH445" s="14" t="n">
        <v>1</v>
      </c>
      <c r="CI445" s="14" t="n">
        <v>0</v>
      </c>
      <c r="CJ445" s="14" t="n">
        <v>0</v>
      </c>
      <c r="CK445" s="14" t="n">
        <v>0</v>
      </c>
      <c r="CL445" s="14" t="n">
        <v>0</v>
      </c>
      <c r="CM445" s="14" t="n">
        <v>0</v>
      </c>
      <c r="CN445" s="14" t="n">
        <v>0</v>
      </c>
      <c r="CO445" s="14" t="n">
        <v>0</v>
      </c>
      <c r="CP445" s="14" t="n">
        <v>1</v>
      </c>
      <c r="CQ445" s="14" t="n">
        <v>1.294</v>
      </c>
      <c r="CR445" s="14" t="n">
        <v>0</v>
      </c>
      <c r="CS445" s="14" t="n">
        <v>5.158</v>
      </c>
      <c r="CT445" s="14" t="n">
        <v>7.554</v>
      </c>
      <c r="CU445" s="14" t="n">
        <v>16.097</v>
      </c>
    </row>
    <row r="446">
      <c r="A446" s="14" t="inlineStr">
        <is>
          <t>LAO2023</t>
        </is>
      </c>
      <c r="B446" s="14" t="inlineStr">
        <is>
          <t>LAO</t>
        </is>
      </c>
      <c r="C446" s="14" t="inlineStr">
        <is>
          <t>LAO</t>
        </is>
      </c>
      <c r="D446" s="14" t="inlineStr">
        <is>
          <t>Lao P.D.R.</t>
        </is>
      </c>
      <c r="E446" s="14" t="n">
        <v>2023</v>
      </c>
      <c r="F446" s="14" t="n">
        <v>0.1</v>
      </c>
      <c r="G446" s="14" t="n">
        <v>1.99</v>
      </c>
      <c r="H446" s="14" t="n">
        <v>0.643</v>
      </c>
      <c r="I446" s="14" t="n">
        <v>-1.301</v>
      </c>
      <c r="J446" s="14" t="n">
        <v>0.6889999999999999</v>
      </c>
      <c r="K446" s="14" t="n">
        <v>0</v>
      </c>
      <c r="L446" s="14" t="n">
        <v>0</v>
      </c>
      <c r="M446" s="14" t="n">
        <v>3.276</v>
      </c>
      <c r="N446" s="14" t="n">
        <v>1.928</v>
      </c>
      <c r="O446" s="14" t="n">
        <v>-2.587</v>
      </c>
      <c r="P446" s="14" t="n">
        <v>0.6889999999999999</v>
      </c>
      <c r="Q446" s="14" t="n">
        <v>0</v>
      </c>
      <c r="R446" s="14" t="n">
        <v>0</v>
      </c>
      <c r="S446" s="14" t="n">
        <v>5.205</v>
      </c>
      <c r="T446" s="14" t="n">
        <v>3.857</v>
      </c>
      <c r="U446" s="14" t="n">
        <v>0.058</v>
      </c>
      <c r="V446" s="14" t="n">
        <v>5.725</v>
      </c>
      <c r="W446" s="14" t="n">
        <v>0.1</v>
      </c>
      <c r="X446" s="14" t="n">
        <v>1</v>
      </c>
      <c r="Y446" s="14" t="n">
        <v>6.662</v>
      </c>
      <c r="Z446" s="14" t="n">
        <v>0.822</v>
      </c>
      <c r="AA446" s="14" t="n">
        <v>0</v>
      </c>
      <c r="AB446" s="14" t="n">
        <v>6.662</v>
      </c>
      <c r="AC446" s="14" t="n">
        <v>0</v>
      </c>
      <c r="AD446" s="14" t="n">
        <v>1</v>
      </c>
      <c r="AE446" s="14" t="n">
        <v>7.947</v>
      </c>
      <c r="AF446" s="14" t="n">
        <v>1.733</v>
      </c>
      <c r="AG446" s="14" t="n">
        <v>0</v>
      </c>
      <c r="AH446" s="14" t="n">
        <v>7.947</v>
      </c>
      <c r="AI446" s="14" t="n">
        <v>0</v>
      </c>
      <c r="AJ446" s="14" t="n">
        <v>1</v>
      </c>
      <c r="AK446" s="14" t="n">
        <v>15.661</v>
      </c>
      <c r="AL446" s="14" t="n">
        <v>8.125999999999999</v>
      </c>
      <c r="AM446" s="14" t="n">
        <v>0.173</v>
      </c>
      <c r="AN446" s="14" t="n">
        <v>17.227</v>
      </c>
      <c r="AO446" s="14" t="n">
        <v>0.1</v>
      </c>
      <c r="AP446" s="14" t="n">
        <v>1</v>
      </c>
      <c r="AQ446" s="14" t="n">
        <v>0.766</v>
      </c>
      <c r="AR446" s="14" t="n">
        <v>0.129</v>
      </c>
      <c r="AS446" s="14" t="n">
        <v>0.528</v>
      </c>
      <c r="AT446" s="14" t="n">
        <v>1.385</v>
      </c>
      <c r="AU446" s="14" t="n">
        <v>0.07000000000000001</v>
      </c>
      <c r="AV446" s="14" t="n">
        <v>1</v>
      </c>
      <c r="AW446" s="14" t="n">
        <v>0.765</v>
      </c>
      <c r="AX446" s="14" t="n">
        <v>0.131</v>
      </c>
      <c r="AY446" s="14" t="n">
        <v>0.319</v>
      </c>
      <c r="AZ446" s="14" t="n">
        <v>1.161</v>
      </c>
      <c r="BA446" s="14" t="n">
        <v>0.07000000000000001</v>
      </c>
      <c r="BB446" s="14" t="n">
        <v>1</v>
      </c>
      <c r="BC446" s="14" t="n">
        <v>0.527</v>
      </c>
      <c r="BD446" s="14" t="n">
        <v>0.129</v>
      </c>
      <c r="BE446" s="14" t="n">
        <v>0.006</v>
      </c>
      <c r="BF446" s="14" t="n">
        <v>0.58</v>
      </c>
      <c r="BG446" s="14" t="n">
        <v>0.1</v>
      </c>
      <c r="BH446" s="14" t="n">
        <v>1</v>
      </c>
      <c r="BI446" s="14" t="n">
        <v>0.64</v>
      </c>
      <c r="BJ446" s="14" t="n">
        <v>0.129</v>
      </c>
      <c r="BK446" s="14" t="n">
        <v>0.007</v>
      </c>
      <c r="BL446" s="14" t="n">
        <v>0.704</v>
      </c>
      <c r="BM446" s="14" t="n">
        <v>0.1</v>
      </c>
      <c r="BN446" s="14" t="n">
        <v>1</v>
      </c>
      <c r="BO446" s="14" t="n">
        <v>0</v>
      </c>
      <c r="BP446" s="14" t="n">
        <v>0</v>
      </c>
      <c r="BQ446" s="14" t="n">
        <v>0.039</v>
      </c>
      <c r="BR446" s="14" t="n">
        <v>0</v>
      </c>
      <c r="BS446" s="14" t="n">
        <v>0.667</v>
      </c>
      <c r="BT446" s="14" t="n">
        <v>0</v>
      </c>
      <c r="BU446" s="14" t="n">
        <v>0</v>
      </c>
      <c r="BV446" s="14" t="n">
        <v>0.032</v>
      </c>
      <c r="BW446" s="14" t="n">
        <v>0.1</v>
      </c>
      <c r="BX446" s="14" t="n">
        <v>0.667</v>
      </c>
      <c r="BY446" s="14" t="n">
        <v>13.254</v>
      </c>
      <c r="BZ446" s="14" t="n">
        <v>0</v>
      </c>
      <c r="CA446" s="14" t="n">
        <v>13.254</v>
      </c>
      <c r="CB446" s="14" t="n">
        <v>0</v>
      </c>
      <c r="CC446" s="14" t="n">
        <v>87.07899999999999</v>
      </c>
      <c r="CD446" s="14" t="n">
        <v>7.95</v>
      </c>
      <c r="CE446" s="14" t="n">
        <v>17.159</v>
      </c>
      <c r="CF446" s="14" t="n">
        <v>113.406</v>
      </c>
      <c r="CG446" s="14" t="n">
        <v>0.1</v>
      </c>
      <c r="CH446" s="14" t="n">
        <v>1</v>
      </c>
      <c r="CI446" s="14" t="n">
        <v>0</v>
      </c>
      <c r="CJ446" s="14" t="n">
        <v>0</v>
      </c>
      <c r="CK446" s="14" t="n">
        <v>0</v>
      </c>
      <c r="CL446" s="14" t="n">
        <v>0</v>
      </c>
      <c r="CM446" s="14" t="n">
        <v>0</v>
      </c>
      <c r="CN446" s="14" t="n">
        <v>0</v>
      </c>
      <c r="CO446" s="14" t="n">
        <v>0</v>
      </c>
      <c r="CP446" s="14" t="n">
        <v>1</v>
      </c>
      <c r="CQ446" s="14" t="n">
        <v>1.348</v>
      </c>
      <c r="CR446" s="14" t="n">
        <v>0</v>
      </c>
      <c r="CS446" s="14" t="n">
        <v>5.37</v>
      </c>
      <c r="CT446" s="14" t="n">
        <v>4.484</v>
      </c>
      <c r="CU446" s="14" t="n">
        <v>12.529</v>
      </c>
    </row>
    <row r="447">
      <c r="A447" s="14" t="inlineStr">
        <is>
          <t>LAO2024</t>
        </is>
      </c>
      <c r="B447" s="14" t="inlineStr">
        <is>
          <t>LAO</t>
        </is>
      </c>
      <c r="C447" s="14" t="inlineStr">
        <is>
          <t>LAO</t>
        </is>
      </c>
      <c r="D447" s="14" t="inlineStr">
        <is>
          <t>Lao P.D.R.</t>
        </is>
      </c>
      <c r="E447" s="14" t="n">
        <v>2024</v>
      </c>
      <c r="F447" s="14" t="n">
        <v>0.1</v>
      </c>
      <c r="G447" s="14" t="n">
        <v>2.049</v>
      </c>
      <c r="H447" s="14" t="n">
        <v>0.662</v>
      </c>
      <c r="I447" s="14" t="n">
        <v>-1.339</v>
      </c>
      <c r="J447" s="14" t="n">
        <v>0.71</v>
      </c>
      <c r="K447" s="14" t="n">
        <v>0</v>
      </c>
      <c r="L447" s="14" t="n">
        <v>0</v>
      </c>
      <c r="M447" s="14" t="n">
        <v>3.373</v>
      </c>
      <c r="N447" s="14" t="n">
        <v>1.985</v>
      </c>
      <c r="O447" s="14" t="n">
        <v>-2.663</v>
      </c>
      <c r="P447" s="14" t="n">
        <v>0.71</v>
      </c>
      <c r="Q447" s="14" t="n">
        <v>0</v>
      </c>
      <c r="R447" s="14" t="n">
        <v>0</v>
      </c>
      <c r="S447" s="14" t="n">
        <v>5.358</v>
      </c>
      <c r="T447" s="14" t="n">
        <v>3.971</v>
      </c>
      <c r="U447" s="14" t="n">
        <v>0.073</v>
      </c>
      <c r="V447" s="14" t="n">
        <v>5.894</v>
      </c>
      <c r="W447" s="14" t="n">
        <v>0.1</v>
      </c>
      <c r="X447" s="14" t="n">
        <v>1</v>
      </c>
      <c r="Y447" s="14" t="n">
        <v>6.857</v>
      </c>
      <c r="Z447" s="14" t="n">
        <v>0.846</v>
      </c>
      <c r="AA447" s="14" t="n">
        <v>0</v>
      </c>
      <c r="AB447" s="14" t="n">
        <v>6.857</v>
      </c>
      <c r="AC447" s="14" t="n">
        <v>0</v>
      </c>
      <c r="AD447" s="14" t="n">
        <v>1</v>
      </c>
      <c r="AE447" s="14" t="n">
        <v>8.18</v>
      </c>
      <c r="AF447" s="14" t="n">
        <v>1.783</v>
      </c>
      <c r="AG447" s="14" t="n">
        <v>0</v>
      </c>
      <c r="AH447" s="14" t="n">
        <v>8.18</v>
      </c>
      <c r="AI447" s="14" t="n">
        <v>0</v>
      </c>
      <c r="AJ447" s="14" t="n">
        <v>1</v>
      </c>
      <c r="AK447" s="14" t="n">
        <v>16.122</v>
      </c>
      <c r="AL447" s="14" t="n">
        <v>8.365</v>
      </c>
      <c r="AM447" s="14" t="n">
        <v>0.22</v>
      </c>
      <c r="AN447" s="14" t="n">
        <v>17.734</v>
      </c>
      <c r="AO447" s="14" t="n">
        <v>0.1</v>
      </c>
      <c r="AP447" s="14" t="n">
        <v>1</v>
      </c>
      <c r="AQ447" s="14" t="n">
        <v>0.78</v>
      </c>
      <c r="AR447" s="14" t="n">
        <v>0.142</v>
      </c>
      <c r="AS447" s="14" t="n">
        <v>0.529</v>
      </c>
      <c r="AT447" s="14" t="n">
        <v>1.439</v>
      </c>
      <c r="AU447" s="14" t="n">
        <v>0.1</v>
      </c>
      <c r="AV447" s="14" t="n">
        <v>1</v>
      </c>
      <c r="AW447" s="14" t="n">
        <v>0.711</v>
      </c>
      <c r="AX447" s="14" t="n">
        <v>0.131</v>
      </c>
      <c r="AY447" s="14" t="n">
        <v>0.302</v>
      </c>
      <c r="AZ447" s="14" t="n">
        <v>1.114</v>
      </c>
      <c r="BA447" s="14" t="n">
        <v>0.1</v>
      </c>
      <c r="BB447" s="14" t="n">
        <v>1</v>
      </c>
      <c r="BC447" s="14" t="n">
        <v>0.51</v>
      </c>
      <c r="BD447" s="14" t="n">
        <v>0.132</v>
      </c>
      <c r="BE447" s="14" t="n">
        <v>0.007</v>
      </c>
      <c r="BF447" s="14" t="n">
        <v>0.5610000000000001</v>
      </c>
      <c r="BG447" s="14" t="n">
        <v>0.1</v>
      </c>
      <c r="BH447" s="14" t="n">
        <v>1</v>
      </c>
      <c r="BI447" s="14" t="n">
        <v>0.652</v>
      </c>
      <c r="BJ447" s="14" t="n">
        <v>0.132</v>
      </c>
      <c r="BK447" s="14" t="n">
        <v>0.008999999999999999</v>
      </c>
      <c r="BL447" s="14" t="n">
        <v>0.717</v>
      </c>
      <c r="BM447" s="14" t="n">
        <v>0.1</v>
      </c>
      <c r="BN447" s="14" t="n">
        <v>1</v>
      </c>
      <c r="BO447" s="14" t="n">
        <v>0</v>
      </c>
      <c r="BP447" s="14" t="n">
        <v>0</v>
      </c>
      <c r="BQ447" s="14" t="n">
        <v>0.04</v>
      </c>
      <c r="BR447" s="14" t="n">
        <v>0</v>
      </c>
      <c r="BS447" s="14" t="n">
        <v>0.667</v>
      </c>
      <c r="BT447" s="14" t="n">
        <v>0</v>
      </c>
      <c r="BU447" s="14" t="n">
        <v>0</v>
      </c>
      <c r="BV447" s="14" t="n">
        <v>0.021</v>
      </c>
      <c r="BW447" s="14" t="n">
        <v>0.1</v>
      </c>
      <c r="BX447" s="14" t="n">
        <v>0.667</v>
      </c>
      <c r="BY447" s="14" t="n">
        <v>13.646</v>
      </c>
      <c r="BZ447" s="14" t="n">
        <v>0</v>
      </c>
      <c r="CA447" s="14" t="n">
        <v>13.646</v>
      </c>
      <c r="CB447" s="14" t="n">
        <v>0</v>
      </c>
      <c r="CC447" s="14" t="n">
        <v>86.38500000000001</v>
      </c>
      <c r="CD447" s="14" t="n">
        <v>7.95</v>
      </c>
      <c r="CE447" s="14" t="n">
        <v>18.192</v>
      </c>
      <c r="CF447" s="14" t="n">
        <v>113.489</v>
      </c>
      <c r="CG447" s="14" t="n">
        <v>0.1</v>
      </c>
      <c r="CH447" s="14" t="n">
        <v>1</v>
      </c>
      <c r="CI447" s="14" t="n">
        <v>0</v>
      </c>
      <c r="CJ447" s="14" t="n">
        <v>0</v>
      </c>
      <c r="CK447" s="14" t="n">
        <v>0</v>
      </c>
      <c r="CL447" s="14" t="n">
        <v>0</v>
      </c>
      <c r="CM447" s="14" t="n">
        <v>0</v>
      </c>
      <c r="CN447" s="14" t="n">
        <v>0</v>
      </c>
      <c r="CO447" s="14" t="n">
        <v>0</v>
      </c>
      <c r="CP447" s="14" t="n">
        <v>1</v>
      </c>
      <c r="CQ447" s="14" t="n">
        <v>1.387</v>
      </c>
      <c r="CR447" s="14" t="n">
        <v>0</v>
      </c>
      <c r="CS447" s="14" t="n">
        <v>5.529</v>
      </c>
      <c r="CT447" s="14" t="n">
        <v>3.509</v>
      </c>
      <c r="CU447" s="14" t="n">
        <v>10.896</v>
      </c>
    </row>
    <row r="448">
      <c r="A448" s="14" t="inlineStr">
        <is>
          <t>LVA2021</t>
        </is>
      </c>
      <c r="B448" s="14" t="inlineStr">
        <is>
          <t>LVA</t>
        </is>
      </c>
      <c r="C448" s="14" t="inlineStr">
        <is>
          <t>LVA</t>
        </is>
      </c>
      <c r="D448" s="14" t="inlineStr">
        <is>
          <t>Latvia</t>
        </is>
      </c>
      <c r="E448" s="14" t="n">
        <v>2021</v>
      </c>
      <c r="F448" s="14" t="n">
        <v>0.21</v>
      </c>
      <c r="G448" s="14" t="n">
        <v>7.696</v>
      </c>
      <c r="H448" s="14" t="n">
        <v>1.684</v>
      </c>
      <c r="I448" s="14" t="n">
        <v>1.122</v>
      </c>
      <c r="J448" s="14" t="n">
        <v>8.819000000000001</v>
      </c>
      <c r="K448" s="14" t="n">
        <v>0</v>
      </c>
      <c r="L448" s="14" t="n">
        <v>1</v>
      </c>
      <c r="M448" s="14" t="n">
        <v>12.8</v>
      </c>
      <c r="N448" s="14" t="n">
        <v>5.801</v>
      </c>
      <c r="O448" s="14" t="n">
        <v>1.88</v>
      </c>
      <c r="P448" s="14" t="n">
        <v>14.68</v>
      </c>
      <c r="Q448" s="14" t="n">
        <v>0</v>
      </c>
      <c r="R448" s="14" t="n">
        <v>1</v>
      </c>
      <c r="S448" s="14" t="n">
        <v>10.53</v>
      </c>
      <c r="T448" s="14" t="n">
        <v>6.526</v>
      </c>
      <c r="U448" s="14" t="n">
        <v>0.412</v>
      </c>
      <c r="V448" s="14" t="n">
        <v>13.24</v>
      </c>
      <c r="W448" s="14" t="n">
        <v>0.21</v>
      </c>
      <c r="X448" s="14" t="n">
        <v>1</v>
      </c>
      <c r="Y448" s="14" t="n">
        <v>19.845</v>
      </c>
      <c r="Z448" s="14" t="n">
        <v>2.192</v>
      </c>
      <c r="AA448" s="14" t="n">
        <v>-1.756</v>
      </c>
      <c r="AB448" s="14" t="n">
        <v>18.088</v>
      </c>
      <c r="AC448" s="14" t="n">
        <v>0</v>
      </c>
      <c r="AD448" s="14" t="n">
        <v>1</v>
      </c>
      <c r="AE448" s="14" t="n">
        <v>19.801</v>
      </c>
      <c r="AF448" s="14" t="n">
        <v>3.896</v>
      </c>
      <c r="AG448" s="14" t="n">
        <v>-1.713</v>
      </c>
      <c r="AH448" s="14" t="n">
        <v>18.088</v>
      </c>
      <c r="AI448" s="14" t="n">
        <v>0</v>
      </c>
      <c r="AJ448" s="14" t="n">
        <v>1</v>
      </c>
      <c r="AK448" s="14" t="n">
        <v>22.065</v>
      </c>
      <c r="AL448" s="14" t="n">
        <v>10.83</v>
      </c>
      <c r="AM448" s="14" t="n">
        <v>-12.148</v>
      </c>
      <c r="AN448" s="14" t="n">
        <v>12</v>
      </c>
      <c r="AO448" s="14" t="n">
        <v>0</v>
      </c>
      <c r="AP448" s="14" t="n">
        <v>0</v>
      </c>
      <c r="AQ448" s="14" t="n">
        <v>0.619</v>
      </c>
      <c r="AR448" s="14" t="n">
        <v>0.114</v>
      </c>
      <c r="AS448" s="14" t="n">
        <v>0.6889999999999999</v>
      </c>
      <c r="AT448" s="14" t="n">
        <v>1.583</v>
      </c>
      <c r="AU448" s="14" t="n">
        <v>0.21</v>
      </c>
      <c r="AV448" s="14" t="n">
        <v>1</v>
      </c>
      <c r="AW448" s="14" t="n">
        <v>0.599</v>
      </c>
      <c r="AX448" s="14" t="n">
        <v>0.114</v>
      </c>
      <c r="AY448" s="14" t="n">
        <v>0.602</v>
      </c>
      <c r="AZ448" s="14" t="n">
        <v>1.454</v>
      </c>
      <c r="BA448" s="14" t="n">
        <v>0.21</v>
      </c>
      <c r="BB448" s="14" t="n">
        <v>1</v>
      </c>
      <c r="BC448" s="14" t="n">
        <v>0.439</v>
      </c>
      <c r="BD448" s="14" t="n">
        <v>0.114</v>
      </c>
      <c r="BE448" s="14" t="n">
        <v>0.196</v>
      </c>
      <c r="BF448" s="14" t="n">
        <v>0.768</v>
      </c>
      <c r="BG448" s="14" t="n">
        <v>0.21</v>
      </c>
      <c r="BH448" s="14" t="n">
        <v>1</v>
      </c>
      <c r="BI448" s="14" t="n">
        <v>0.505</v>
      </c>
      <c r="BJ448" s="14" t="n">
        <v>0.114</v>
      </c>
      <c r="BK448" s="14" t="n">
        <v>0.388</v>
      </c>
      <c r="BL448" s="14" t="n">
        <v>1.08</v>
      </c>
      <c r="BM448" s="14" t="n">
        <v>0.21</v>
      </c>
      <c r="BN448" s="14" t="n">
        <v>1</v>
      </c>
      <c r="BO448" s="14" t="n">
        <v>0</v>
      </c>
      <c r="BP448" s="14" t="n">
        <v>0.015</v>
      </c>
      <c r="BQ448" s="14" t="n">
        <v>0.15</v>
      </c>
      <c r="BR448" s="14" t="n">
        <v>0</v>
      </c>
      <c r="BS448" s="14" t="n">
        <v>1</v>
      </c>
      <c r="BT448" s="14" t="n">
        <v>0</v>
      </c>
      <c r="BU448" s="14" t="n">
        <v>0.017</v>
      </c>
      <c r="BV448" s="14" t="n">
        <v>0.21</v>
      </c>
      <c r="BW448" s="14" t="n">
        <v>0.21</v>
      </c>
      <c r="BX448" s="14" t="n">
        <v>1</v>
      </c>
      <c r="BY448" s="14" t="n">
        <v>11.787</v>
      </c>
      <c r="BZ448" s="14" t="n">
        <v>0</v>
      </c>
      <c r="CA448" s="14" t="n">
        <v>11.787</v>
      </c>
      <c r="CB448" s="14" t="n">
        <v>0</v>
      </c>
      <c r="CC448" s="14" t="n">
        <v>78.125</v>
      </c>
      <c r="CD448" s="14" t="n">
        <v>7.95</v>
      </c>
      <c r="CE448" s="14" t="n">
        <v>46.319</v>
      </c>
      <c r="CF448" s="14" t="n">
        <v>150.577</v>
      </c>
      <c r="CG448" s="14" t="n">
        <v>0.21</v>
      </c>
      <c r="CH448" s="14" t="n">
        <v>1</v>
      </c>
      <c r="CI448" s="14" t="n">
        <v>0</v>
      </c>
      <c r="CJ448" s="14" t="n">
        <v>0</v>
      </c>
      <c r="CK448" s="14" t="n">
        <v>0</v>
      </c>
      <c r="CL448" s="14" t="n">
        <v>0</v>
      </c>
      <c r="CM448" s="14" t="n">
        <v>0</v>
      </c>
      <c r="CN448" s="14" t="n">
        <v>0</v>
      </c>
      <c r="CO448" s="14" t="n">
        <v>0</v>
      </c>
      <c r="CP448" s="14" t="n">
        <v>0</v>
      </c>
      <c r="CQ448" s="14" t="n">
        <v>1.198</v>
      </c>
      <c r="CR448" s="14" t="n">
        <v>0</v>
      </c>
      <c r="CS448" s="14" t="n">
        <v>4.776</v>
      </c>
      <c r="CT448" s="14" t="n">
        <v>3.196</v>
      </c>
      <c r="CU448" s="14" t="n">
        <v>9.923999999999999</v>
      </c>
    </row>
    <row r="449">
      <c r="A449" s="14" t="inlineStr">
        <is>
          <t>LVA2022</t>
        </is>
      </c>
      <c r="B449" s="14" t="inlineStr">
        <is>
          <t>LVA</t>
        </is>
      </c>
      <c r="C449" s="14" t="inlineStr">
        <is>
          <t>LVA</t>
        </is>
      </c>
      <c r="D449" s="14" t="inlineStr">
        <is>
          <t>Latvia</t>
        </is>
      </c>
      <c r="E449" s="14" t="n">
        <v>2022</v>
      </c>
      <c r="F449" s="14" t="n">
        <v>0.21</v>
      </c>
      <c r="G449" s="14" t="n">
        <v>14.772</v>
      </c>
      <c r="H449" s="14" t="n">
        <v>2.294</v>
      </c>
      <c r="I449" s="14" t="n">
        <v>9.361000000000001</v>
      </c>
      <c r="J449" s="14" t="n">
        <v>24.133</v>
      </c>
      <c r="K449" s="14" t="n">
        <v>0</v>
      </c>
      <c r="L449" s="14" t="n">
        <v>1</v>
      </c>
      <c r="M449" s="14" t="n">
        <v>24.235</v>
      </c>
      <c r="N449" s="14" t="n">
        <v>10.008</v>
      </c>
      <c r="O449" s="14" t="n">
        <v>8.893000000000001</v>
      </c>
      <c r="P449" s="14" t="n">
        <v>33.128</v>
      </c>
      <c r="Q449" s="14" t="n">
        <v>0</v>
      </c>
      <c r="R449" s="14" t="n">
        <v>1</v>
      </c>
      <c r="S449" s="14" t="n">
        <v>17.529</v>
      </c>
      <c r="T449" s="14" t="n">
        <v>8.585000000000001</v>
      </c>
      <c r="U449" s="14" t="n">
        <v>0.394</v>
      </c>
      <c r="V449" s="14" t="n">
        <v>21.687</v>
      </c>
      <c r="W449" s="14" t="n">
        <v>0.21</v>
      </c>
      <c r="X449" s="14" t="n">
        <v>1</v>
      </c>
      <c r="Y449" s="14" t="n">
        <v>44.636</v>
      </c>
      <c r="Z449" s="14" t="n">
        <v>4.683</v>
      </c>
      <c r="AA449" s="14" t="n">
        <v>-1.283</v>
      </c>
      <c r="AB449" s="14" t="n">
        <v>43.353</v>
      </c>
      <c r="AC449" s="14" t="n">
        <v>0</v>
      </c>
      <c r="AD449" s="14" t="n">
        <v>1</v>
      </c>
      <c r="AE449" s="14" t="n">
        <v>44.683</v>
      </c>
      <c r="AF449" s="14" t="n">
        <v>8.284000000000001</v>
      </c>
      <c r="AG449" s="14" t="n">
        <v>-1.331</v>
      </c>
      <c r="AH449" s="14" t="n">
        <v>43.353</v>
      </c>
      <c r="AI449" s="14" t="n">
        <v>0</v>
      </c>
      <c r="AJ449" s="14" t="n">
        <v>1</v>
      </c>
      <c r="AK449" s="14" t="n">
        <v>47.496</v>
      </c>
      <c r="AL449" s="14" t="n">
        <v>22.681</v>
      </c>
      <c r="AM449" s="14" t="n">
        <v>-28.421</v>
      </c>
      <c r="AN449" s="14" t="n">
        <v>23.08</v>
      </c>
      <c r="AO449" s="14" t="n">
        <v>0</v>
      </c>
      <c r="AP449" s="14" t="n">
        <v>0</v>
      </c>
      <c r="AQ449" s="14" t="n">
        <v>0.861</v>
      </c>
      <c r="AR449" s="14" t="n">
        <v>0.123</v>
      </c>
      <c r="AS449" s="14" t="n">
        <v>0.695</v>
      </c>
      <c r="AT449" s="14" t="n">
        <v>1.882</v>
      </c>
      <c r="AU449" s="14" t="n">
        <v>0.21</v>
      </c>
      <c r="AV449" s="14" t="n">
        <v>1</v>
      </c>
      <c r="AW449" s="14" t="n">
        <v>0.986</v>
      </c>
      <c r="AX449" s="14" t="n">
        <v>0.123</v>
      </c>
      <c r="AY449" s="14" t="n">
        <v>0.5629999999999999</v>
      </c>
      <c r="AZ449" s="14" t="n">
        <v>1.875</v>
      </c>
      <c r="BA449" s="14" t="n">
        <v>0.21</v>
      </c>
      <c r="BB449" s="14" t="n">
        <v>1</v>
      </c>
      <c r="BC449" s="14" t="n">
        <v>0.598</v>
      </c>
      <c r="BD449" s="14" t="n">
        <v>0.123</v>
      </c>
      <c r="BE449" s="14" t="n">
        <v>0.104</v>
      </c>
      <c r="BF449" s="14" t="n">
        <v>0.85</v>
      </c>
      <c r="BG449" s="14" t="n">
        <v>0.21</v>
      </c>
      <c r="BH449" s="14" t="n">
        <v>1</v>
      </c>
      <c r="BI449" s="14" t="n">
        <v>0.612</v>
      </c>
      <c r="BJ449" s="14" t="n">
        <v>0.123</v>
      </c>
      <c r="BK449" s="14" t="n">
        <v>0.646</v>
      </c>
      <c r="BL449" s="14" t="n">
        <v>1.523</v>
      </c>
      <c r="BM449" s="14" t="n">
        <v>0.21</v>
      </c>
      <c r="BN449" s="14" t="n">
        <v>1</v>
      </c>
      <c r="BO449" s="14" t="n">
        <v>0</v>
      </c>
      <c r="BP449" s="14" t="n">
        <v>-0.006</v>
      </c>
      <c r="BQ449" s="14" t="n">
        <v>0.162</v>
      </c>
      <c r="BR449" s="14" t="n">
        <v>0</v>
      </c>
      <c r="BS449" s="14" t="n">
        <v>1</v>
      </c>
      <c r="BT449" s="14" t="n">
        <v>0</v>
      </c>
      <c r="BU449" s="14" t="n">
        <v>-0.016</v>
      </c>
      <c r="BV449" s="14" t="n">
        <v>0.227</v>
      </c>
      <c r="BW449" s="14" t="n">
        <v>0.21</v>
      </c>
      <c r="BX449" s="14" t="n">
        <v>1</v>
      </c>
      <c r="BY449" s="14" t="n">
        <v>12.729</v>
      </c>
      <c r="BZ449" s="14" t="n">
        <v>0</v>
      </c>
      <c r="CA449" s="14" t="n">
        <v>12.729</v>
      </c>
      <c r="CB449" s="14" t="n">
        <v>0</v>
      </c>
      <c r="CC449" s="14" t="n">
        <v>97.90000000000001</v>
      </c>
      <c r="CD449" s="14" t="n">
        <v>7.95</v>
      </c>
      <c r="CE449" s="14" t="n">
        <v>117.716</v>
      </c>
      <c r="CF449" s="14" t="n">
        <v>260.896</v>
      </c>
      <c r="CG449" s="14" t="n">
        <v>0.21</v>
      </c>
      <c r="CH449" s="14" t="n">
        <v>1</v>
      </c>
      <c r="CI449" s="14" t="n">
        <v>0</v>
      </c>
      <c r="CJ449" s="14" t="n">
        <v>0</v>
      </c>
      <c r="CK449" s="14" t="n">
        <v>0</v>
      </c>
      <c r="CL449" s="14" t="n">
        <v>0</v>
      </c>
      <c r="CM449" s="14" t="n">
        <v>0</v>
      </c>
      <c r="CN449" s="14" t="n">
        <v>0</v>
      </c>
      <c r="CO449" s="14" t="n">
        <v>0</v>
      </c>
      <c r="CP449" s="14" t="n">
        <v>0</v>
      </c>
      <c r="CQ449" s="14" t="n">
        <v>1.294</v>
      </c>
      <c r="CR449" s="14" t="n">
        <v>0</v>
      </c>
      <c r="CS449" s="14" t="n">
        <v>5.158</v>
      </c>
      <c r="CT449" s="14" t="n">
        <v>8.084</v>
      </c>
      <c r="CU449" s="14" t="n">
        <v>34.623</v>
      </c>
    </row>
    <row r="450">
      <c r="A450" s="14" t="inlineStr">
        <is>
          <t>LVA2023</t>
        </is>
      </c>
      <c r="B450" s="14" t="inlineStr">
        <is>
          <t>LVA</t>
        </is>
      </c>
      <c r="C450" s="14" t="inlineStr">
        <is>
          <t>LVA</t>
        </is>
      </c>
      <c r="D450" s="14" t="inlineStr">
        <is>
          <t>Latvia</t>
        </is>
      </c>
      <c r="E450" s="14" t="n">
        <v>2023</v>
      </c>
      <c r="F450" s="14" t="n">
        <v>0.21</v>
      </c>
      <c r="G450" s="14" t="n">
        <v>11.055</v>
      </c>
      <c r="H450" s="14" t="n">
        <v>2.518</v>
      </c>
      <c r="I450" s="14" t="n">
        <v>10.692</v>
      </c>
      <c r="J450" s="14" t="n">
        <v>21.746</v>
      </c>
      <c r="K450" s="14" t="n">
        <v>0</v>
      </c>
      <c r="L450" s="14" t="n">
        <v>1</v>
      </c>
      <c r="M450" s="14" t="n">
        <v>18.447</v>
      </c>
      <c r="N450" s="14" t="n">
        <v>9.148999999999999</v>
      </c>
      <c r="O450" s="14" t="n">
        <v>10.159</v>
      </c>
      <c r="P450" s="14" t="n">
        <v>28.606</v>
      </c>
      <c r="Q450" s="14" t="n">
        <v>0</v>
      </c>
      <c r="R450" s="14" t="n">
        <v>1</v>
      </c>
      <c r="S450" s="14" t="n">
        <v>13.852</v>
      </c>
      <c r="T450" s="14" t="n">
        <v>8.686</v>
      </c>
      <c r="U450" s="14" t="n">
        <v>0.376</v>
      </c>
      <c r="V450" s="14" t="n">
        <v>17.216</v>
      </c>
      <c r="W450" s="14" t="n">
        <v>0.21</v>
      </c>
      <c r="X450" s="14" t="n">
        <v>1</v>
      </c>
      <c r="Y450" s="14" t="n">
        <v>24.508</v>
      </c>
      <c r="Z450" s="14" t="n">
        <v>2.745</v>
      </c>
      <c r="AA450" s="14" t="n">
        <v>8.243</v>
      </c>
      <c r="AB450" s="14" t="n">
        <v>32.751</v>
      </c>
      <c r="AC450" s="14" t="n">
        <v>0</v>
      </c>
      <c r="AD450" s="14" t="n">
        <v>1</v>
      </c>
      <c r="AE450" s="14" t="n">
        <v>24.607</v>
      </c>
      <c r="AF450" s="14" t="n">
        <v>4.901</v>
      </c>
      <c r="AG450" s="14" t="n">
        <v>8.144</v>
      </c>
      <c r="AH450" s="14" t="n">
        <v>32.751</v>
      </c>
      <c r="AI450" s="14" t="n">
        <v>0</v>
      </c>
      <c r="AJ450" s="14" t="n">
        <v>1</v>
      </c>
      <c r="AK450" s="14" t="n">
        <v>27.725</v>
      </c>
      <c r="AL450" s="14" t="n">
        <v>13.734</v>
      </c>
      <c r="AM450" s="14" t="n">
        <v>-11.619</v>
      </c>
      <c r="AN450" s="14" t="n">
        <v>19.487</v>
      </c>
      <c r="AO450" s="14" t="n">
        <v>0</v>
      </c>
      <c r="AP450" s="14" t="n">
        <v>0</v>
      </c>
      <c r="AQ450" s="14" t="n">
        <v>0.76</v>
      </c>
      <c r="AR450" s="14" t="n">
        <v>0.129</v>
      </c>
      <c r="AS450" s="14" t="n">
        <v>0.706</v>
      </c>
      <c r="AT450" s="14" t="n">
        <v>1.774</v>
      </c>
      <c r="AU450" s="14" t="n">
        <v>0.21</v>
      </c>
      <c r="AV450" s="14" t="n">
        <v>1</v>
      </c>
      <c r="AW450" s="14" t="n">
        <v>0.8110000000000001</v>
      </c>
      <c r="AX450" s="14" t="n">
        <v>0.129</v>
      </c>
      <c r="AY450" s="14" t="n">
        <v>0.613</v>
      </c>
      <c r="AZ450" s="14" t="n">
        <v>1.724</v>
      </c>
      <c r="BA450" s="14" t="n">
        <v>0.21</v>
      </c>
      <c r="BB450" s="14" t="n">
        <v>1</v>
      </c>
      <c r="BC450" s="14" t="n">
        <v>0.535</v>
      </c>
      <c r="BD450" s="14" t="n">
        <v>0.129</v>
      </c>
      <c r="BE450" s="14" t="n">
        <v>0.131</v>
      </c>
      <c r="BF450" s="14" t="n">
        <v>0.805</v>
      </c>
      <c r="BG450" s="14" t="n">
        <v>0.21</v>
      </c>
      <c r="BH450" s="14" t="n">
        <v>1</v>
      </c>
      <c r="BI450" s="14" t="n">
        <v>0.579</v>
      </c>
      <c r="BJ450" s="14" t="n">
        <v>0.129</v>
      </c>
      <c r="BK450" s="14" t="n">
        <v>0.582</v>
      </c>
      <c r="BL450" s="14" t="n">
        <v>1.406</v>
      </c>
      <c r="BM450" s="14" t="n">
        <v>0.21</v>
      </c>
      <c r="BN450" s="14" t="n">
        <v>1</v>
      </c>
      <c r="BO450" s="14" t="n">
        <v>0</v>
      </c>
      <c r="BP450" s="14" t="n">
        <v>-0.004</v>
      </c>
      <c r="BQ450" s="14" t="n">
        <v>0.169</v>
      </c>
      <c r="BR450" s="14" t="n">
        <v>0</v>
      </c>
      <c r="BS450" s="14" t="n">
        <v>1</v>
      </c>
      <c r="BT450" s="14" t="n">
        <v>0</v>
      </c>
      <c r="BU450" s="14" t="n">
        <v>-0.011</v>
      </c>
      <c r="BV450" s="14" t="n">
        <v>0.247</v>
      </c>
      <c r="BW450" s="14" t="n">
        <v>0.21</v>
      </c>
      <c r="BX450" s="14" t="n">
        <v>1</v>
      </c>
      <c r="BY450" s="14" t="n">
        <v>13.254</v>
      </c>
      <c r="BZ450" s="14" t="n">
        <v>0</v>
      </c>
      <c r="CA450" s="14" t="n">
        <v>13.254</v>
      </c>
      <c r="CB450" s="14" t="n">
        <v>0</v>
      </c>
      <c r="CC450" s="14" t="n">
        <v>83.248</v>
      </c>
      <c r="CD450" s="14" t="n">
        <v>7.95</v>
      </c>
      <c r="CE450" s="14" t="n">
        <v>117.476</v>
      </c>
      <c r="CF450" s="14" t="n">
        <v>242.876</v>
      </c>
      <c r="CG450" s="14" t="n">
        <v>0.21</v>
      </c>
      <c r="CH450" s="14" t="n">
        <v>1</v>
      </c>
      <c r="CI450" s="14" t="n">
        <v>0</v>
      </c>
      <c r="CJ450" s="14" t="n">
        <v>0</v>
      </c>
      <c r="CK450" s="14" t="n">
        <v>0</v>
      </c>
      <c r="CL450" s="14" t="n">
        <v>0</v>
      </c>
      <c r="CM450" s="14" t="n">
        <v>0</v>
      </c>
      <c r="CN450" s="14" t="n">
        <v>0</v>
      </c>
      <c r="CO450" s="14" t="n">
        <v>0</v>
      </c>
      <c r="CP450" s="14" t="n">
        <v>0</v>
      </c>
      <c r="CQ450" s="14" t="n">
        <v>1.348</v>
      </c>
      <c r="CR450" s="14" t="n">
        <v>0</v>
      </c>
      <c r="CS450" s="14" t="n">
        <v>5.37</v>
      </c>
      <c r="CT450" s="14" t="n">
        <v>5.839</v>
      </c>
      <c r="CU450" s="14" t="n">
        <v>14.444</v>
      </c>
    </row>
    <row r="451">
      <c r="A451" s="14" t="inlineStr">
        <is>
          <t>LVA2024</t>
        </is>
      </c>
      <c r="B451" s="14" t="inlineStr">
        <is>
          <t>LVA</t>
        </is>
      </c>
      <c r="C451" s="14" t="inlineStr">
        <is>
          <t>LVA</t>
        </is>
      </c>
      <c r="D451" s="14" t="inlineStr">
        <is>
          <t>Latvia</t>
        </is>
      </c>
      <c r="E451" s="14" t="n">
        <v>2024</v>
      </c>
      <c r="F451" s="14" t="n">
        <v>0.21</v>
      </c>
      <c r="G451" s="14" t="n">
        <v>10.254</v>
      </c>
      <c r="H451" s="14" t="n">
        <v>2.598</v>
      </c>
      <c r="I451" s="14" t="n">
        <v>7.508</v>
      </c>
      <c r="J451" s="14" t="n">
        <v>17.762</v>
      </c>
      <c r="K451" s="14" t="n">
        <v>0</v>
      </c>
      <c r="L451" s="14" t="n">
        <v>1</v>
      </c>
      <c r="M451" s="14" t="n">
        <v>17.287</v>
      </c>
      <c r="N451" s="14" t="n">
        <v>9.417</v>
      </c>
      <c r="O451" s="14" t="n">
        <v>6.896</v>
      </c>
      <c r="P451" s="14" t="n">
        <v>24.183</v>
      </c>
      <c r="Q451" s="14" t="n">
        <v>0</v>
      </c>
      <c r="R451" s="14" t="n">
        <v>1</v>
      </c>
      <c r="S451" s="14" t="n">
        <v>12.997</v>
      </c>
      <c r="T451" s="14" t="n">
        <v>8.605</v>
      </c>
      <c r="U451" s="14" t="n">
        <v>0.388</v>
      </c>
      <c r="V451" s="14" t="n">
        <v>16.196</v>
      </c>
      <c r="W451" s="14" t="n">
        <v>0.21</v>
      </c>
      <c r="X451" s="14" t="n">
        <v>1</v>
      </c>
      <c r="Y451" s="14" t="n">
        <v>25.808</v>
      </c>
      <c r="Z451" s="14" t="n">
        <v>3.259</v>
      </c>
      <c r="AA451" s="14" t="n">
        <v>4.103</v>
      </c>
      <c r="AB451" s="14" t="n">
        <v>29.911</v>
      </c>
      <c r="AC451" s="14" t="n">
        <v>0</v>
      </c>
      <c r="AD451" s="14" t="n">
        <v>1</v>
      </c>
      <c r="AE451" s="14" t="n">
        <v>25.808</v>
      </c>
      <c r="AF451" s="14" t="n">
        <v>5.653</v>
      </c>
      <c r="AG451" s="14" t="n">
        <v>4.103</v>
      </c>
      <c r="AH451" s="14" t="n">
        <v>29.911</v>
      </c>
      <c r="AI451" s="14" t="n">
        <v>0</v>
      </c>
      <c r="AJ451" s="14" t="n">
        <v>1</v>
      </c>
      <c r="AK451" s="14" t="n">
        <v>25.808</v>
      </c>
      <c r="AL451" s="14" t="n">
        <v>13.127</v>
      </c>
      <c r="AM451" s="14" t="n">
        <v>-9.726000000000001</v>
      </c>
      <c r="AN451" s="14" t="n">
        <v>19.46</v>
      </c>
      <c r="AO451" s="14" t="n">
        <v>0</v>
      </c>
      <c r="AP451" s="14" t="n">
        <v>0</v>
      </c>
      <c r="AQ451" s="14" t="n">
        <v>0.724</v>
      </c>
      <c r="AR451" s="14" t="n">
        <v>0.132</v>
      </c>
      <c r="AS451" s="14" t="n">
        <v>0.726</v>
      </c>
      <c r="AT451" s="14" t="n">
        <v>1.755</v>
      </c>
      <c r="AU451" s="14" t="n">
        <v>0.21</v>
      </c>
      <c r="AV451" s="14" t="n">
        <v>1</v>
      </c>
      <c r="AW451" s="14" t="n">
        <v>0.75</v>
      </c>
      <c r="AX451" s="14" t="n">
        <v>0.132</v>
      </c>
      <c r="AY451" s="14" t="n">
        <v>0.665</v>
      </c>
      <c r="AZ451" s="14" t="n">
        <v>1.712</v>
      </c>
      <c r="BA451" s="14" t="n">
        <v>0.21</v>
      </c>
      <c r="BB451" s="14" t="n">
        <v>1</v>
      </c>
      <c r="BC451" s="14" t="n">
        <v>0.513</v>
      </c>
      <c r="BD451" s="14" t="n">
        <v>0.132</v>
      </c>
      <c r="BE451" s="14" t="n">
        <v>0.152</v>
      </c>
      <c r="BF451" s="14" t="n">
        <v>0.805</v>
      </c>
      <c r="BG451" s="14" t="n">
        <v>0.21</v>
      </c>
      <c r="BH451" s="14" t="n">
        <v>1</v>
      </c>
      <c r="BI451" s="14" t="n">
        <v>0.591</v>
      </c>
      <c r="BJ451" s="14" t="n">
        <v>0.132</v>
      </c>
      <c r="BK451" s="14" t="n">
        <v>0.518</v>
      </c>
      <c r="BL451" s="14" t="n">
        <v>1.343</v>
      </c>
      <c r="BM451" s="14" t="n">
        <v>0.21</v>
      </c>
      <c r="BN451" s="14" t="n">
        <v>1</v>
      </c>
      <c r="BO451" s="14" t="n">
        <v>0</v>
      </c>
      <c r="BP451" s="14" t="n">
        <v>0.002</v>
      </c>
      <c r="BQ451" s="14" t="n">
        <v>0.185</v>
      </c>
      <c r="BR451" s="14" t="n">
        <v>0</v>
      </c>
      <c r="BS451" s="14" t="n">
        <v>1</v>
      </c>
      <c r="BT451" s="14" t="n">
        <v>0</v>
      </c>
      <c r="BU451" s="14" t="n">
        <v>-0.008</v>
      </c>
      <c r="BV451" s="14" t="n">
        <v>0.266</v>
      </c>
      <c r="BW451" s="14" t="n">
        <v>0.21</v>
      </c>
      <c r="BX451" s="14" t="n">
        <v>1</v>
      </c>
      <c r="BY451" s="14" t="n">
        <v>13.646</v>
      </c>
      <c r="BZ451" s="14" t="n">
        <v>0</v>
      </c>
      <c r="CA451" s="14" t="n">
        <v>13.646</v>
      </c>
      <c r="CB451" s="14" t="n">
        <v>0</v>
      </c>
      <c r="CC451" s="14" t="n">
        <v>82.58799999999999</v>
      </c>
      <c r="CD451" s="14" t="n">
        <v>7.95</v>
      </c>
      <c r="CE451" s="14" t="n">
        <v>104.908</v>
      </c>
      <c r="CF451" s="14" t="n">
        <v>226.87</v>
      </c>
      <c r="CG451" s="14" t="n">
        <v>0.21</v>
      </c>
      <c r="CH451" s="14" t="n">
        <v>1</v>
      </c>
      <c r="CI451" s="14" t="n">
        <v>0</v>
      </c>
      <c r="CJ451" s="14" t="n">
        <v>0</v>
      </c>
      <c r="CK451" s="14" t="n">
        <v>0</v>
      </c>
      <c r="CL451" s="14" t="n">
        <v>0</v>
      </c>
      <c r="CM451" s="14" t="n">
        <v>0</v>
      </c>
      <c r="CN451" s="14" t="n">
        <v>0</v>
      </c>
      <c r="CO451" s="14" t="n">
        <v>0</v>
      </c>
      <c r="CP451" s="14" t="n">
        <v>0</v>
      </c>
      <c r="CQ451" s="14" t="n">
        <v>1.387</v>
      </c>
      <c r="CR451" s="14" t="n">
        <v>0</v>
      </c>
      <c r="CS451" s="14" t="n">
        <v>5.529</v>
      </c>
      <c r="CT451" s="14" t="n">
        <v>6.097</v>
      </c>
      <c r="CU451" s="14" t="n">
        <v>10.123</v>
      </c>
    </row>
    <row r="452">
      <c r="A452" s="14" t="inlineStr">
        <is>
          <t>LBN2021</t>
        </is>
      </c>
      <c r="B452" s="14" t="inlineStr">
        <is>
          <t>LBN</t>
        </is>
      </c>
      <c r="C452" s="14" t="inlineStr">
        <is>
          <t>LBN</t>
        </is>
      </c>
      <c r="D452" s="14" t="inlineStr">
        <is>
          <t>Lebanon</t>
        </is>
      </c>
      <c r="E452" s="14" t="n">
        <v>2021</v>
      </c>
      <c r="F452" s="14" t="n">
        <v>0.11</v>
      </c>
      <c r="G452" s="14" t="n">
        <v>5.897</v>
      </c>
      <c r="H452" s="14" t="n">
        <v>1.143</v>
      </c>
      <c r="I452" s="14" t="n">
        <v>0</v>
      </c>
      <c r="J452" s="14" t="n">
        <v>5.897</v>
      </c>
      <c r="K452" s="14" t="n">
        <v>0</v>
      </c>
      <c r="L452" s="14" t="n">
        <v>1</v>
      </c>
      <c r="M452" s="14" t="n">
        <v>7.964</v>
      </c>
      <c r="N452" s="14" t="n">
        <v>3.43</v>
      </c>
      <c r="O452" s="14" t="n">
        <v>0</v>
      </c>
      <c r="P452" s="14" t="n">
        <v>7.964</v>
      </c>
      <c r="Q452" s="14" t="n">
        <v>0</v>
      </c>
      <c r="R452" s="14" t="n">
        <v>1</v>
      </c>
      <c r="S452" s="14" t="n">
        <v>11.613</v>
      </c>
      <c r="T452" s="14" t="n">
        <v>6.86</v>
      </c>
      <c r="U452" s="14" t="n">
        <v>0</v>
      </c>
      <c r="V452" s="14" t="n">
        <v>12.891</v>
      </c>
      <c r="W452" s="14" t="n">
        <v>0.11</v>
      </c>
      <c r="X452" s="14" t="n">
        <v>1</v>
      </c>
      <c r="Y452" s="14" t="n">
        <v>15.305</v>
      </c>
      <c r="Z452" s="14" t="n">
        <v>2.497</v>
      </c>
      <c r="AA452" s="14" t="n">
        <v>0</v>
      </c>
      <c r="AB452" s="14" t="n">
        <v>15.305</v>
      </c>
      <c r="AC452" s="14" t="n">
        <v>0</v>
      </c>
      <c r="AD452" s="14" t="n">
        <v>1</v>
      </c>
      <c r="AE452" s="14" t="n">
        <v>16.449</v>
      </c>
      <c r="AF452" s="14" t="n">
        <v>4.508</v>
      </c>
      <c r="AG452" s="14" t="n">
        <v>0</v>
      </c>
      <c r="AH452" s="14" t="n">
        <v>16.449</v>
      </c>
      <c r="AI452" s="14" t="n">
        <v>0</v>
      </c>
      <c r="AJ452" s="14" t="n">
        <v>1</v>
      </c>
      <c r="AK452" s="14" t="n">
        <v>23.309</v>
      </c>
      <c r="AL452" s="14" t="n">
        <v>13.555</v>
      </c>
      <c r="AM452" s="14" t="n">
        <v>0</v>
      </c>
      <c r="AN452" s="14" t="n">
        <v>25.872</v>
      </c>
      <c r="AO452" s="14" t="n">
        <v>0.11</v>
      </c>
      <c r="AP452" s="14" t="n">
        <v>1</v>
      </c>
      <c r="AQ452" s="14" t="n">
        <v>0.621</v>
      </c>
      <c r="AR452" s="14" t="n">
        <v>0.114</v>
      </c>
      <c r="AS452" s="14" t="n">
        <v>0.16</v>
      </c>
      <c r="AT452" s="14" t="n">
        <v>0.867</v>
      </c>
      <c r="AU452" s="14" t="n">
        <v>0.11</v>
      </c>
      <c r="AV452" s="14" t="n">
        <v>1</v>
      </c>
      <c r="AW452" s="14" t="n">
        <v>0.593</v>
      </c>
      <c r="AX452" s="14" t="n">
        <v>0.114</v>
      </c>
      <c r="AY452" s="14" t="n">
        <v>0.306</v>
      </c>
      <c r="AZ452" s="14" t="n">
        <v>0.998</v>
      </c>
      <c r="BA452" s="14" t="n">
        <v>0</v>
      </c>
      <c r="BB452" s="14" t="n">
        <v>1</v>
      </c>
      <c r="BC452" s="14" t="n">
        <v>0.44</v>
      </c>
      <c r="BD452" s="14" t="n">
        <v>0.114</v>
      </c>
      <c r="BE452" s="14" t="n">
        <v>-0.013</v>
      </c>
      <c r="BF452" s="14" t="n">
        <v>0.474</v>
      </c>
      <c r="BG452" s="14" t="n">
        <v>0.11</v>
      </c>
      <c r="BH452" s="14" t="n">
        <v>1</v>
      </c>
      <c r="BI452" s="14" t="n">
        <v>0.5600000000000001</v>
      </c>
      <c r="BJ452" s="14" t="n">
        <v>0.114</v>
      </c>
      <c r="BK452" s="14" t="n">
        <v>0</v>
      </c>
      <c r="BL452" s="14" t="n">
        <v>0.622</v>
      </c>
      <c r="BM452" s="14" t="n">
        <v>0.11</v>
      </c>
      <c r="BN452" s="14" t="n">
        <v>1</v>
      </c>
      <c r="BO452" s="14" t="n">
        <v>0</v>
      </c>
      <c r="BP452" s="14" t="n">
        <v>0</v>
      </c>
      <c r="BQ452" s="14" t="n">
        <v>0.076</v>
      </c>
      <c r="BR452" s="14" t="n">
        <v>0</v>
      </c>
      <c r="BS452" s="14" t="n">
        <v>0.667</v>
      </c>
      <c r="BT452" s="14" t="n">
        <v>0</v>
      </c>
      <c r="BU452" s="14" t="n">
        <v>0</v>
      </c>
      <c r="BV452" s="14" t="n">
        <v>0.036</v>
      </c>
      <c r="BW452" s="14" t="n">
        <v>0.11</v>
      </c>
      <c r="BX452" s="14" t="n">
        <v>0.667</v>
      </c>
      <c r="BY452" s="14" t="n">
        <v>11.787</v>
      </c>
      <c r="BZ452" s="14" t="n">
        <v>0</v>
      </c>
      <c r="CA452" s="14" t="n">
        <v>11.787</v>
      </c>
      <c r="CB452" s="14" t="n">
        <v>0</v>
      </c>
      <c r="CC452" s="14" t="n">
        <v>81.69499999999999</v>
      </c>
      <c r="CD452" s="14" t="n">
        <v>7.95</v>
      </c>
      <c r="CE452" s="14" t="n">
        <v>0</v>
      </c>
      <c r="CF452" s="14" t="n">
        <v>90.682</v>
      </c>
      <c r="CG452" s="14" t="n">
        <v>0.11</v>
      </c>
      <c r="CH452" s="14" t="n">
        <v>1</v>
      </c>
      <c r="CI452" s="14" t="n">
        <v>0</v>
      </c>
      <c r="CJ452" s="14" t="n">
        <v>0</v>
      </c>
      <c r="CK452" s="14" t="n">
        <v>0</v>
      </c>
      <c r="CL452" s="14" t="n">
        <v>0</v>
      </c>
      <c r="CM452" s="14" t="n">
        <v>0</v>
      </c>
      <c r="CN452" s="14" t="n">
        <v>0</v>
      </c>
      <c r="CO452" s="14" t="n">
        <v>0</v>
      </c>
      <c r="CP452" s="14" t="n">
        <v>0</v>
      </c>
      <c r="CQ452" s="14" t="n">
        <v>1.198</v>
      </c>
      <c r="CR452" s="14" t="n">
        <v>0</v>
      </c>
      <c r="CS452" s="14" t="n">
        <v>4.776</v>
      </c>
      <c r="CT452" s="14" t="n">
        <v>4.753</v>
      </c>
      <c r="CU452" s="14" t="n">
        <v>14.162</v>
      </c>
    </row>
    <row r="453">
      <c r="A453" s="14" t="inlineStr">
        <is>
          <t>LBN2022</t>
        </is>
      </c>
      <c r="B453" s="14" t="inlineStr">
        <is>
          <t>LBN</t>
        </is>
      </c>
      <c r="C453" s="14" t="inlineStr">
        <is>
          <t>LBN</t>
        </is>
      </c>
      <c r="D453" s="14" t="inlineStr">
        <is>
          <t>Lebanon</t>
        </is>
      </c>
      <c r="E453" s="14" t="n">
        <v>2022</v>
      </c>
      <c r="F453" s="14" t="n">
        <v>0.11</v>
      </c>
      <c r="G453" s="14" t="n">
        <v>11.72</v>
      </c>
      <c r="H453" s="14" t="n">
        <v>1.235</v>
      </c>
      <c r="I453" s="14" t="n">
        <v>0</v>
      </c>
      <c r="J453" s="14" t="n">
        <v>11.72</v>
      </c>
      <c r="K453" s="14" t="n">
        <v>0</v>
      </c>
      <c r="L453" s="14" t="n">
        <v>1</v>
      </c>
      <c r="M453" s="14" t="n">
        <v>9.782999999999999</v>
      </c>
      <c r="N453" s="14" t="n">
        <v>3.704</v>
      </c>
      <c r="O453" s="14" t="n">
        <v>0</v>
      </c>
      <c r="P453" s="14" t="n">
        <v>9.782999999999999</v>
      </c>
      <c r="Q453" s="14" t="n">
        <v>0</v>
      </c>
      <c r="R453" s="14" t="n">
        <v>1</v>
      </c>
      <c r="S453" s="14" t="n">
        <v>17.893</v>
      </c>
      <c r="T453" s="14" t="n">
        <v>7.408</v>
      </c>
      <c r="U453" s="14" t="n">
        <v>0.146</v>
      </c>
      <c r="V453" s="14" t="n">
        <v>19.862</v>
      </c>
      <c r="W453" s="14" t="n">
        <v>0.11</v>
      </c>
      <c r="X453" s="14" t="n">
        <v>1</v>
      </c>
      <c r="Y453" s="14" t="n">
        <v>31.56</v>
      </c>
      <c r="Z453" s="14" t="n">
        <v>5.148</v>
      </c>
      <c r="AA453" s="14" t="n">
        <v>0</v>
      </c>
      <c r="AB453" s="14" t="n">
        <v>31.56</v>
      </c>
      <c r="AC453" s="14" t="n">
        <v>0</v>
      </c>
      <c r="AD453" s="14" t="n">
        <v>1</v>
      </c>
      <c r="AE453" s="14" t="n">
        <v>32.795</v>
      </c>
      <c r="AF453" s="14" t="n">
        <v>8.988</v>
      </c>
      <c r="AG453" s="14" t="n">
        <v>0</v>
      </c>
      <c r="AH453" s="14" t="n">
        <v>32.795</v>
      </c>
      <c r="AI453" s="14" t="n">
        <v>0</v>
      </c>
      <c r="AJ453" s="14" t="n">
        <v>1</v>
      </c>
      <c r="AK453" s="14" t="n">
        <v>40.203</v>
      </c>
      <c r="AL453" s="14" t="n">
        <v>23.38</v>
      </c>
      <c r="AM453" s="14" t="n">
        <v>0.327</v>
      </c>
      <c r="AN453" s="14" t="n">
        <v>44.626</v>
      </c>
      <c r="AO453" s="14" t="n">
        <v>0.11</v>
      </c>
      <c r="AP453" s="14" t="n">
        <v>1</v>
      </c>
      <c r="AQ453" s="14" t="n">
        <v>0.847</v>
      </c>
      <c r="AR453" s="14" t="n">
        <v>0.123</v>
      </c>
      <c r="AS453" s="14" t="n">
        <v>0.164</v>
      </c>
      <c r="AT453" s="14" t="n">
        <v>1.113</v>
      </c>
      <c r="AU453" s="14" t="n">
        <v>0.11</v>
      </c>
      <c r="AV453" s="14" t="n">
        <v>1</v>
      </c>
      <c r="AW453" s="14" t="n">
        <v>0.947</v>
      </c>
      <c r="AX453" s="14" t="n">
        <v>0.123</v>
      </c>
      <c r="AY453" s="14" t="n">
        <v>0.124</v>
      </c>
      <c r="AZ453" s="14" t="n">
        <v>1.071</v>
      </c>
      <c r="BA453" s="14" t="n">
        <v>0</v>
      </c>
      <c r="BB453" s="14" t="n">
        <v>1</v>
      </c>
      <c r="BC453" s="14" t="n">
        <v>0.589</v>
      </c>
      <c r="BD453" s="14" t="n">
        <v>0.123</v>
      </c>
      <c r="BE453" s="14" t="n">
        <v>-0.02</v>
      </c>
      <c r="BF453" s="14" t="n">
        <v>0.625</v>
      </c>
      <c r="BG453" s="14" t="n">
        <v>0.11</v>
      </c>
      <c r="BH453" s="14" t="n">
        <v>1</v>
      </c>
      <c r="BI453" s="14" t="n">
        <v>0.6889999999999999</v>
      </c>
      <c r="BJ453" s="14" t="n">
        <v>0.123</v>
      </c>
      <c r="BK453" s="14" t="n">
        <v>0.006</v>
      </c>
      <c r="BL453" s="14" t="n">
        <v>0.765</v>
      </c>
      <c r="BM453" s="14" t="n">
        <v>0.11</v>
      </c>
      <c r="BN453" s="14" t="n">
        <v>1</v>
      </c>
      <c r="BO453" s="14" t="n">
        <v>0</v>
      </c>
      <c r="BP453" s="14" t="n">
        <v>0</v>
      </c>
      <c r="BQ453" s="14" t="n">
        <v>0.015</v>
      </c>
      <c r="BR453" s="14" t="n">
        <v>0</v>
      </c>
      <c r="BS453" s="14" t="n">
        <v>0.667</v>
      </c>
      <c r="BT453" s="14" t="n">
        <v>0</v>
      </c>
      <c r="BU453" s="14" t="n">
        <v>0</v>
      </c>
      <c r="BV453" s="14" t="n">
        <v>0.007</v>
      </c>
      <c r="BW453" s="14" t="n">
        <v>0.11</v>
      </c>
      <c r="BX453" s="14" t="n">
        <v>0.667</v>
      </c>
      <c r="BY453" s="14" t="n">
        <v>12.729</v>
      </c>
      <c r="BZ453" s="14" t="n">
        <v>0</v>
      </c>
      <c r="CA453" s="14" t="n">
        <v>12.729</v>
      </c>
      <c r="CB453" s="14" t="n">
        <v>0</v>
      </c>
      <c r="CC453" s="14" t="n">
        <v>102.477</v>
      </c>
      <c r="CD453" s="14" t="n">
        <v>7.95</v>
      </c>
      <c r="CE453" s="14" t="n">
        <v>0.834</v>
      </c>
      <c r="CF453" s="14" t="n">
        <v>113.749</v>
      </c>
      <c r="CG453" s="14" t="n">
        <v>0.11</v>
      </c>
      <c r="CH453" s="14" t="n">
        <v>1</v>
      </c>
      <c r="CI453" s="14" t="n">
        <v>0</v>
      </c>
      <c r="CJ453" s="14" t="n">
        <v>0</v>
      </c>
      <c r="CK453" s="14" t="n">
        <v>0</v>
      </c>
      <c r="CL453" s="14" t="n">
        <v>0</v>
      </c>
      <c r="CM453" s="14" t="n">
        <v>0</v>
      </c>
      <c r="CN453" s="14" t="n">
        <v>0</v>
      </c>
      <c r="CO453" s="14" t="n">
        <v>0</v>
      </c>
      <c r="CP453" s="14" t="n">
        <v>0</v>
      </c>
      <c r="CQ453" s="14" t="n">
        <v>1.294</v>
      </c>
      <c r="CR453" s="14" t="n">
        <v>0</v>
      </c>
      <c r="CS453" s="14" t="n">
        <v>5.158</v>
      </c>
      <c r="CT453" s="14" t="n">
        <v>10.485</v>
      </c>
      <c r="CU453" s="14" t="n">
        <v>30.326</v>
      </c>
    </row>
    <row r="454">
      <c r="A454" s="14" t="inlineStr">
        <is>
          <t>LBN2023</t>
        </is>
      </c>
      <c r="B454" s="14" t="inlineStr">
        <is>
          <t>LBN</t>
        </is>
      </c>
      <c r="C454" s="14" t="inlineStr">
        <is>
          <t>LBN</t>
        </is>
      </c>
      <c r="D454" s="14" t="inlineStr">
        <is>
          <t>Lebanon</t>
        </is>
      </c>
      <c r="E454" s="14" t="n">
        <v>2023</v>
      </c>
      <c r="F454" s="14" t="n">
        <v>0.11</v>
      </c>
      <c r="G454" s="14" t="n">
        <v>6.147</v>
      </c>
      <c r="H454" s="14" t="n">
        <v>1.4</v>
      </c>
      <c r="I454" s="14" t="n">
        <v>0</v>
      </c>
      <c r="J454" s="14" t="n">
        <v>6.147</v>
      </c>
      <c r="K454" s="14" t="n">
        <v>0</v>
      </c>
      <c r="L454" s="14" t="n">
        <v>1</v>
      </c>
      <c r="M454" s="14" t="n">
        <v>7.886</v>
      </c>
      <c r="N454" s="14" t="n">
        <v>3.911</v>
      </c>
      <c r="O454" s="14" t="n">
        <v>0</v>
      </c>
      <c r="P454" s="14" t="n">
        <v>7.886</v>
      </c>
      <c r="Q454" s="14" t="n">
        <v>0</v>
      </c>
      <c r="R454" s="14" t="n">
        <v>1</v>
      </c>
      <c r="S454" s="14" t="n">
        <v>12.575</v>
      </c>
      <c r="T454" s="14" t="n">
        <v>7.886</v>
      </c>
      <c r="U454" s="14" t="n">
        <v>0.153</v>
      </c>
      <c r="V454" s="14" t="n">
        <v>13.958</v>
      </c>
      <c r="W454" s="14" t="n">
        <v>0.11</v>
      </c>
      <c r="X454" s="14" t="n">
        <v>1</v>
      </c>
      <c r="Y454" s="14" t="n">
        <v>11.908</v>
      </c>
      <c r="Z454" s="14" t="n">
        <v>1.334</v>
      </c>
      <c r="AA454" s="14" t="n">
        <v>0</v>
      </c>
      <c r="AB454" s="14" t="n">
        <v>11.908</v>
      </c>
      <c r="AC454" s="14" t="n">
        <v>0</v>
      </c>
      <c r="AD454" s="14" t="n">
        <v>1</v>
      </c>
      <c r="AE454" s="14" t="n">
        <v>13.194</v>
      </c>
      <c r="AF454" s="14" t="n">
        <v>2.628</v>
      </c>
      <c r="AG454" s="14" t="n">
        <v>0</v>
      </c>
      <c r="AH454" s="14" t="n">
        <v>13.194</v>
      </c>
      <c r="AI454" s="14" t="n">
        <v>0</v>
      </c>
      <c r="AJ454" s="14" t="n">
        <v>1</v>
      </c>
      <c r="AK454" s="14" t="n">
        <v>20.908</v>
      </c>
      <c r="AL454" s="14" t="n">
        <v>10.357</v>
      </c>
      <c r="AM454" s="14" t="n">
        <v>0.255</v>
      </c>
      <c r="AN454" s="14" t="n">
        <v>23.207</v>
      </c>
      <c r="AO454" s="14" t="n">
        <v>0.11</v>
      </c>
      <c r="AP454" s="14" t="n">
        <v>1</v>
      </c>
      <c r="AQ454" s="14" t="n">
        <v>0.749</v>
      </c>
      <c r="AR454" s="14" t="n">
        <v>0.126</v>
      </c>
      <c r="AS454" s="14" t="n">
        <v>0.187</v>
      </c>
      <c r="AT454" s="14" t="n">
        <v>1.026</v>
      </c>
      <c r="AU454" s="14" t="n">
        <v>0.11</v>
      </c>
      <c r="AV454" s="14" t="n">
        <v>1</v>
      </c>
      <c r="AW454" s="14" t="n">
        <v>0.783</v>
      </c>
      <c r="AX454" s="14" t="n">
        <v>0.134</v>
      </c>
      <c r="AY454" s="14" t="n">
        <v>0.13</v>
      </c>
      <c r="AZ454" s="14" t="n">
        <v>0.912</v>
      </c>
      <c r="BA454" s="14" t="n">
        <v>0</v>
      </c>
      <c r="BB454" s="14" t="n">
        <v>1</v>
      </c>
      <c r="BC454" s="14" t="n">
        <v>0.527</v>
      </c>
      <c r="BD454" s="14" t="n">
        <v>0.127</v>
      </c>
      <c r="BE454" s="14" t="n">
        <v>-0.011</v>
      </c>
      <c r="BF454" s="14" t="n">
        <v>0.5659999999999999</v>
      </c>
      <c r="BG454" s="14" t="n">
        <v>0.11</v>
      </c>
      <c r="BH454" s="14" t="n">
        <v>1</v>
      </c>
      <c r="BI454" s="14" t="n">
        <v>0.64</v>
      </c>
      <c r="BJ454" s="14" t="n">
        <v>0.139</v>
      </c>
      <c r="BK454" s="14" t="n">
        <v>0.008</v>
      </c>
      <c r="BL454" s="14" t="n">
        <v>0.71</v>
      </c>
      <c r="BM454" s="14" t="n">
        <v>0.11</v>
      </c>
      <c r="BN454" s="14" t="n">
        <v>1</v>
      </c>
      <c r="BO454" s="14" t="n">
        <v>0</v>
      </c>
      <c r="BP454" s="14" t="n">
        <v>0</v>
      </c>
      <c r="BQ454" s="14" t="n">
        <v>0.013</v>
      </c>
      <c r="BR454" s="14" t="n">
        <v>0</v>
      </c>
      <c r="BS454" s="14" t="n">
        <v>0.667</v>
      </c>
      <c r="BT454" s="14" t="n">
        <v>0</v>
      </c>
      <c r="BU454" s="14" t="n">
        <v>0</v>
      </c>
      <c r="BV454" s="14" t="n">
        <v>0.01</v>
      </c>
      <c r="BW454" s="14" t="n">
        <v>0.11</v>
      </c>
      <c r="BX454" s="14" t="n">
        <v>0.667</v>
      </c>
      <c r="BY454" s="14" t="n">
        <v>13.254</v>
      </c>
      <c r="BZ454" s="14" t="n">
        <v>0</v>
      </c>
      <c r="CA454" s="14" t="n">
        <v>13.254</v>
      </c>
      <c r="CB454" s="14" t="n">
        <v>0</v>
      </c>
      <c r="CC454" s="14" t="n">
        <v>87.07899999999999</v>
      </c>
      <c r="CD454" s="14" t="n">
        <v>7.95</v>
      </c>
      <c r="CE454" s="14" t="n">
        <v>1.061</v>
      </c>
      <c r="CF454" s="14" t="n">
        <v>96.658</v>
      </c>
      <c r="CG454" s="14" t="n">
        <v>0.11</v>
      </c>
      <c r="CH454" s="14" t="n">
        <v>1</v>
      </c>
      <c r="CI454" s="14" t="n">
        <v>1</v>
      </c>
      <c r="CJ454" s="14" t="n">
        <v>1</v>
      </c>
      <c r="CK454" s="14" t="n">
        <v>0</v>
      </c>
      <c r="CL454" s="14" t="n">
        <v>0</v>
      </c>
      <c r="CM454" s="14" t="n">
        <v>0</v>
      </c>
      <c r="CN454" s="14" t="n">
        <v>0</v>
      </c>
      <c r="CO454" s="14" t="n">
        <v>0</v>
      </c>
      <c r="CP454" s="14" t="n">
        <v>0</v>
      </c>
      <c r="CQ454" s="14" t="n">
        <v>1.348</v>
      </c>
      <c r="CR454" s="14" t="n">
        <v>0</v>
      </c>
      <c r="CS454" s="14" t="n">
        <v>5.37</v>
      </c>
      <c r="CT454" s="14" t="n">
        <v>4.861</v>
      </c>
      <c r="CU454" s="14" t="n">
        <v>10.622</v>
      </c>
    </row>
    <row r="455">
      <c r="A455" s="14" t="inlineStr">
        <is>
          <t>LBN2024</t>
        </is>
      </c>
      <c r="B455" s="14" t="inlineStr">
        <is>
          <t>LBN</t>
        </is>
      </c>
      <c r="C455" s="14" t="inlineStr">
        <is>
          <t>LBN</t>
        </is>
      </c>
      <c r="D455" s="14" t="inlineStr">
        <is>
          <t>Lebanon</t>
        </is>
      </c>
      <c r="E455" s="14" t="n">
        <v>2024</v>
      </c>
      <c r="F455" s="14" t="n">
        <v>0.11</v>
      </c>
      <c r="G455" s="14" t="n">
        <v>5.575</v>
      </c>
      <c r="H455" s="14" t="n">
        <v>1.412</v>
      </c>
      <c r="I455" s="14" t="n">
        <v>0</v>
      </c>
      <c r="J455" s="14" t="n">
        <v>5.575</v>
      </c>
      <c r="K455" s="14" t="n">
        <v>0</v>
      </c>
      <c r="L455" s="14" t="n">
        <v>1</v>
      </c>
      <c r="M455" s="14" t="n">
        <v>7.124</v>
      </c>
      <c r="N455" s="14" t="n">
        <v>3.881</v>
      </c>
      <c r="O455" s="14" t="n">
        <v>0</v>
      </c>
      <c r="P455" s="14" t="n">
        <v>7.124</v>
      </c>
      <c r="Q455" s="14" t="n">
        <v>0</v>
      </c>
      <c r="R455" s="14" t="n">
        <v>1</v>
      </c>
      <c r="S455" s="14" t="n">
        <v>12.193</v>
      </c>
      <c r="T455" s="14" t="n">
        <v>8.071999999999999</v>
      </c>
      <c r="U455" s="14" t="n">
        <v>0.183</v>
      </c>
      <c r="V455" s="14" t="n">
        <v>13.534</v>
      </c>
      <c r="W455" s="14" t="n">
        <v>0.11</v>
      </c>
      <c r="X455" s="14" t="n">
        <v>1</v>
      </c>
      <c r="Y455" s="14" t="n">
        <v>10.492</v>
      </c>
      <c r="Z455" s="14" t="n">
        <v>1.325</v>
      </c>
      <c r="AA455" s="14" t="n">
        <v>0</v>
      </c>
      <c r="AB455" s="14" t="n">
        <v>10.492</v>
      </c>
      <c r="AC455" s="14" t="n">
        <v>0</v>
      </c>
      <c r="AD455" s="14" t="n">
        <v>1</v>
      </c>
      <c r="AE455" s="14" t="n">
        <v>11.815</v>
      </c>
      <c r="AF455" s="14" t="n">
        <v>2.588</v>
      </c>
      <c r="AG455" s="14" t="n">
        <v>0</v>
      </c>
      <c r="AH455" s="14" t="n">
        <v>11.815</v>
      </c>
      <c r="AI455" s="14" t="n">
        <v>0</v>
      </c>
      <c r="AJ455" s="14" t="n">
        <v>1</v>
      </c>
      <c r="AK455" s="14" t="n">
        <v>19.757</v>
      </c>
      <c r="AL455" s="14" t="n">
        <v>10.049</v>
      </c>
      <c r="AM455" s="14" t="n">
        <v>0.296</v>
      </c>
      <c r="AN455" s="14" t="n">
        <v>21.93</v>
      </c>
      <c r="AO455" s="14" t="n">
        <v>0.11</v>
      </c>
      <c r="AP455" s="14" t="n">
        <v>1</v>
      </c>
      <c r="AQ455" s="14" t="n">
        <v>0.72</v>
      </c>
      <c r="AR455" s="14" t="n">
        <v>0.131</v>
      </c>
      <c r="AS455" s="14" t="n">
        <v>0.199</v>
      </c>
      <c r="AT455" s="14" t="n">
        <v>1.005</v>
      </c>
      <c r="AU455" s="14" t="n">
        <v>0.11</v>
      </c>
      <c r="AV455" s="14" t="n">
        <v>1</v>
      </c>
      <c r="AW455" s="14" t="n">
        <v>0.734</v>
      </c>
      <c r="AX455" s="14" t="n">
        <v>0.135</v>
      </c>
      <c r="AY455" s="14" t="n">
        <v>0.047</v>
      </c>
      <c r="AZ455" s="14" t="n">
        <v>0.867</v>
      </c>
      <c r="BA455" s="14" t="n">
        <v>0</v>
      </c>
      <c r="BB455" s="14" t="n">
        <v>1</v>
      </c>
      <c r="BC455" s="14" t="n">
        <v>0.51</v>
      </c>
      <c r="BD455" s="14" t="n">
        <v>0.131</v>
      </c>
      <c r="BE455" s="14" t="n">
        <v>-0.007</v>
      </c>
      <c r="BF455" s="14" t="n">
        <v>0.55</v>
      </c>
      <c r="BG455" s="14" t="n">
        <v>0.11</v>
      </c>
      <c r="BH455" s="14" t="n">
        <v>1</v>
      </c>
      <c r="BI455" s="14" t="n">
        <v>0.652</v>
      </c>
      <c r="BJ455" s="14" t="n">
        <v>0.143</v>
      </c>
      <c r="BK455" s="14" t="n">
        <v>0.01</v>
      </c>
      <c r="BL455" s="14" t="n">
        <v>0.724</v>
      </c>
      <c r="BM455" s="14" t="n">
        <v>0.11</v>
      </c>
      <c r="BN455" s="14" t="n">
        <v>1</v>
      </c>
      <c r="BO455" s="14" t="n">
        <v>0</v>
      </c>
      <c r="BP455" s="14" t="n">
        <v>0</v>
      </c>
      <c r="BQ455" s="14" t="n">
        <v>0.014</v>
      </c>
      <c r="BR455" s="14" t="n">
        <v>0</v>
      </c>
      <c r="BS455" s="14" t="n">
        <v>0.667</v>
      </c>
      <c r="BT455" s="14" t="n">
        <v>0</v>
      </c>
      <c r="BU455" s="14" t="n">
        <v>0</v>
      </c>
      <c r="BV455" s="14" t="n">
        <v>0.01</v>
      </c>
      <c r="BW455" s="14" t="n">
        <v>0.11</v>
      </c>
      <c r="BX455" s="14" t="n">
        <v>0.667</v>
      </c>
      <c r="BY455" s="14" t="n">
        <v>13.646</v>
      </c>
      <c r="BZ455" s="14" t="n">
        <v>0</v>
      </c>
      <c r="CA455" s="14" t="n">
        <v>13.646</v>
      </c>
      <c r="CB455" s="14" t="n">
        <v>0</v>
      </c>
      <c r="CC455" s="14" t="n">
        <v>86.38500000000001</v>
      </c>
      <c r="CD455" s="14" t="n">
        <v>7.95</v>
      </c>
      <c r="CE455" s="14" t="n">
        <v>1.294</v>
      </c>
      <c r="CF455" s="14" t="n">
        <v>95.88800000000001</v>
      </c>
      <c r="CG455" s="14" t="n">
        <v>0.11</v>
      </c>
      <c r="CH455" s="14" t="n">
        <v>1</v>
      </c>
      <c r="CI455" s="14" t="n">
        <v>1</v>
      </c>
      <c r="CJ455" s="14" t="n">
        <v>1</v>
      </c>
      <c r="CK455" s="14" t="n">
        <v>0</v>
      </c>
      <c r="CL455" s="14" t="n">
        <v>0</v>
      </c>
      <c r="CM455" s="14" t="n">
        <v>0</v>
      </c>
      <c r="CN455" s="14" t="n">
        <v>0</v>
      </c>
      <c r="CO455" s="14" t="n">
        <v>0</v>
      </c>
      <c r="CP455" s="14" t="n">
        <v>0</v>
      </c>
      <c r="CQ455" s="14" t="n">
        <v>1.387</v>
      </c>
      <c r="CR455" s="14" t="n">
        <v>0</v>
      </c>
      <c r="CS455" s="14" t="n">
        <v>5.529</v>
      </c>
      <c r="CT455" s="14" t="n">
        <v>4.251</v>
      </c>
      <c r="CU455" s="14" t="n">
        <v>9.167999999999999</v>
      </c>
    </row>
    <row r="456">
      <c r="A456" s="14" t="inlineStr">
        <is>
          <t>LSO2021</t>
        </is>
      </c>
      <c r="B456" s="14" t="inlineStr">
        <is>
          <t>LSO</t>
        </is>
      </c>
      <c r="C456" s="14" t="inlineStr">
        <is>
          <t>LSO</t>
        </is>
      </c>
      <c r="D456" s="14" t="inlineStr">
        <is>
          <t>Lesotho</t>
        </is>
      </c>
      <c r="E456" s="14" t="n">
        <v>2021</v>
      </c>
      <c r="F456" s="14" t="n">
        <v>0.15</v>
      </c>
      <c r="G456" s="14" t="n">
        <v>5.897</v>
      </c>
      <c r="H456" s="14" t="n">
        <v>1.143</v>
      </c>
      <c r="I456" s="14" t="n">
        <v>0</v>
      </c>
      <c r="J456" s="14" t="n">
        <v>5.897</v>
      </c>
      <c r="K456" s="14" t="n">
        <v>0</v>
      </c>
      <c r="L456" s="14" t="n">
        <v>1</v>
      </c>
      <c r="M456" s="14" t="n">
        <v>7.964</v>
      </c>
      <c r="N456" s="14" t="n">
        <v>3.43</v>
      </c>
      <c r="O456" s="14" t="n">
        <v>0</v>
      </c>
      <c r="P456" s="14" t="n">
        <v>7.964</v>
      </c>
      <c r="Q456" s="14" t="n">
        <v>0</v>
      </c>
      <c r="R456" s="14" t="n">
        <v>1</v>
      </c>
      <c r="S456" s="14" t="n">
        <v>11.613</v>
      </c>
      <c r="T456" s="14" t="n">
        <v>6.86</v>
      </c>
      <c r="U456" s="14" t="n">
        <v>0</v>
      </c>
      <c r="V456" s="14" t="n">
        <v>13.355</v>
      </c>
      <c r="W456" s="14" t="n">
        <v>0.15</v>
      </c>
      <c r="X456" s="14" t="n">
        <v>1</v>
      </c>
      <c r="Y456" s="14" t="n">
        <v>16.305</v>
      </c>
      <c r="Z456" s="14" t="n">
        <v>2.204</v>
      </c>
      <c r="AA456" s="14" t="n">
        <v>0</v>
      </c>
      <c r="AB456" s="14" t="n">
        <v>16.305</v>
      </c>
      <c r="AC456" s="14" t="n">
        <v>0</v>
      </c>
      <c r="AD456" s="14" t="n">
        <v>1</v>
      </c>
      <c r="AE456" s="14" t="n">
        <v>17.448</v>
      </c>
      <c r="AF456" s="14" t="n">
        <v>4.08</v>
      </c>
      <c r="AG456" s="14" t="n">
        <v>0</v>
      </c>
      <c r="AH456" s="14" t="n">
        <v>17.448</v>
      </c>
      <c r="AI456" s="14" t="n">
        <v>0</v>
      </c>
      <c r="AJ456" s="14" t="n">
        <v>1</v>
      </c>
      <c r="AK456" s="14" t="n">
        <v>24.308</v>
      </c>
      <c r="AL456" s="14" t="n">
        <v>12.946</v>
      </c>
      <c r="AM456" s="14" t="n">
        <v>0</v>
      </c>
      <c r="AN456" s="14" t="n">
        <v>27.955</v>
      </c>
      <c r="AO456" s="14" t="n">
        <v>0.15</v>
      </c>
      <c r="AP456" s="14" t="n">
        <v>1</v>
      </c>
      <c r="AQ456" s="14" t="n">
        <v>0.619</v>
      </c>
      <c r="AR456" s="14" t="n">
        <v>0.114</v>
      </c>
      <c r="AS456" s="14" t="n">
        <v>0.192</v>
      </c>
      <c r="AT456" s="14" t="n">
        <v>0.9330000000000001</v>
      </c>
      <c r="AU456" s="14" t="n">
        <v>0.15</v>
      </c>
      <c r="AV456" s="14" t="n">
        <v>1</v>
      </c>
      <c r="AW456" s="14" t="n">
        <v>0.599</v>
      </c>
      <c r="AX456" s="14" t="n">
        <v>0.114</v>
      </c>
      <c r="AY456" s="14" t="n">
        <v>0.209</v>
      </c>
      <c r="AZ456" s="14" t="n">
        <v>0.929</v>
      </c>
      <c r="BA456" s="14" t="n">
        <v>0.15</v>
      </c>
      <c r="BB456" s="14" t="n">
        <v>1</v>
      </c>
      <c r="BC456" s="14" t="n">
        <v>0.439</v>
      </c>
      <c r="BD456" s="14" t="n">
        <v>0.114</v>
      </c>
      <c r="BE456" s="14" t="n">
        <v>0</v>
      </c>
      <c r="BF456" s="14" t="n">
        <v>0.505</v>
      </c>
      <c r="BG456" s="14" t="n">
        <v>0.15</v>
      </c>
      <c r="BH456" s="14" t="n">
        <v>1</v>
      </c>
      <c r="BI456" s="14" t="n">
        <v>0.505</v>
      </c>
      <c r="BJ456" s="14" t="n">
        <v>0.114</v>
      </c>
      <c r="BK456" s="14" t="n">
        <v>0.056</v>
      </c>
      <c r="BL456" s="14" t="n">
        <v>0.645</v>
      </c>
      <c r="BM456" s="14" t="n">
        <v>0.15</v>
      </c>
      <c r="BN456" s="14" t="n">
        <v>1</v>
      </c>
      <c r="BO456" s="14" t="n">
        <v>0</v>
      </c>
      <c r="BP456" s="14" t="n">
        <v>0</v>
      </c>
      <c r="BQ456" s="14" t="n">
        <v>0.019</v>
      </c>
      <c r="BR456" s="14" t="n">
        <v>0</v>
      </c>
      <c r="BS456" s="14" t="n">
        <v>1</v>
      </c>
      <c r="BT456" s="14" t="n">
        <v>0</v>
      </c>
      <c r="BU456" s="14" t="n">
        <v>0</v>
      </c>
      <c r="BV456" s="14" t="n">
        <v>0.1</v>
      </c>
      <c r="BW456" s="14" t="n">
        <v>0.15</v>
      </c>
      <c r="BX456" s="14" t="n">
        <v>0.833</v>
      </c>
      <c r="BY456" s="14" t="n">
        <v>11.787</v>
      </c>
      <c r="BZ456" s="14" t="n">
        <v>0</v>
      </c>
      <c r="CA456" s="14" t="n">
        <v>11.787</v>
      </c>
      <c r="CB456" s="14" t="n">
        <v>0</v>
      </c>
      <c r="CC456" s="14" t="n">
        <v>78.125</v>
      </c>
      <c r="CD456" s="14" t="n">
        <v>7.95</v>
      </c>
      <c r="CE456" s="14" t="n">
        <v>9.135</v>
      </c>
      <c r="CF456" s="14" t="n">
        <v>100.349</v>
      </c>
      <c r="CG456" s="14" t="n">
        <v>0.15</v>
      </c>
      <c r="CH456" s="14" t="n">
        <v>1</v>
      </c>
      <c r="CI456" s="14" t="n">
        <v>0</v>
      </c>
      <c r="CJ456" s="14" t="n">
        <v>0</v>
      </c>
      <c r="CK456" s="14" t="n">
        <v>0</v>
      </c>
      <c r="CL456" s="14" t="n">
        <v>0</v>
      </c>
      <c r="CM456" s="14" t="n">
        <v>0</v>
      </c>
      <c r="CN456" s="14" t="n">
        <v>0</v>
      </c>
      <c r="CO456" s="14" t="n">
        <v>0</v>
      </c>
      <c r="CP456" s="14" t="n">
        <v>0</v>
      </c>
      <c r="CQ456" s="14" t="n">
        <v>1.198</v>
      </c>
      <c r="CR456" s="14" t="n">
        <v>0</v>
      </c>
      <c r="CS456" s="14" t="n">
        <v>4.776</v>
      </c>
      <c r="CT456" s="14" t="n">
        <v>4.753</v>
      </c>
      <c r="CU456" s="14" t="n">
        <v>15.162</v>
      </c>
    </row>
    <row r="457">
      <c r="A457" s="14" t="inlineStr">
        <is>
          <t>LSO2022</t>
        </is>
      </c>
      <c r="B457" s="14" t="inlineStr">
        <is>
          <t>LSO</t>
        </is>
      </c>
      <c r="C457" s="14" t="inlineStr">
        <is>
          <t>LSO</t>
        </is>
      </c>
      <c r="D457" s="14" t="inlineStr">
        <is>
          <t>Lesotho</t>
        </is>
      </c>
      <c r="E457" s="14" t="n">
        <v>2022</v>
      </c>
      <c r="F457" s="14" t="n">
        <v>0.15</v>
      </c>
      <c r="G457" s="14" t="n">
        <v>11.72</v>
      </c>
      <c r="H457" s="14" t="n">
        <v>1.235</v>
      </c>
      <c r="I457" s="14" t="n">
        <v>0</v>
      </c>
      <c r="J457" s="14" t="n">
        <v>11.72</v>
      </c>
      <c r="K457" s="14" t="n">
        <v>0</v>
      </c>
      <c r="L457" s="14" t="n">
        <v>1</v>
      </c>
      <c r="M457" s="14" t="n">
        <v>9.782999999999999</v>
      </c>
      <c r="N457" s="14" t="n">
        <v>3.704</v>
      </c>
      <c r="O457" s="14" t="n">
        <v>0</v>
      </c>
      <c r="P457" s="14" t="n">
        <v>9.782999999999999</v>
      </c>
      <c r="Q457" s="14" t="n">
        <v>0</v>
      </c>
      <c r="R457" s="14" t="n">
        <v>1</v>
      </c>
      <c r="S457" s="14" t="n">
        <v>17.893</v>
      </c>
      <c r="T457" s="14" t="n">
        <v>7.408</v>
      </c>
      <c r="U457" s="14" t="n">
        <v>0.199</v>
      </c>
      <c r="V457" s="14" t="n">
        <v>20.577</v>
      </c>
      <c r="W457" s="14" t="n">
        <v>0.15</v>
      </c>
      <c r="X457" s="14" t="n">
        <v>1</v>
      </c>
      <c r="Y457" s="14" t="n">
        <v>32.52</v>
      </c>
      <c r="Z457" s="14" t="n">
        <v>4.395</v>
      </c>
      <c r="AA457" s="14" t="n">
        <v>0</v>
      </c>
      <c r="AB457" s="14" t="n">
        <v>32.52</v>
      </c>
      <c r="AC457" s="14" t="n">
        <v>0</v>
      </c>
      <c r="AD457" s="14" t="n">
        <v>1</v>
      </c>
      <c r="AE457" s="14" t="n">
        <v>33.755</v>
      </c>
      <c r="AF457" s="14" t="n">
        <v>7.893</v>
      </c>
      <c r="AG457" s="14" t="n">
        <v>0</v>
      </c>
      <c r="AH457" s="14" t="n">
        <v>33.755</v>
      </c>
      <c r="AI457" s="14" t="n">
        <v>0</v>
      </c>
      <c r="AJ457" s="14" t="n">
        <v>1</v>
      </c>
      <c r="AK457" s="14" t="n">
        <v>41.163</v>
      </c>
      <c r="AL457" s="14" t="n">
        <v>21.923</v>
      </c>
      <c r="AM457" s="14" t="n">
        <v>0.457</v>
      </c>
      <c r="AN457" s="14" t="n">
        <v>47.338</v>
      </c>
      <c r="AO457" s="14" t="n">
        <v>0.15</v>
      </c>
      <c r="AP457" s="14" t="n">
        <v>1</v>
      </c>
      <c r="AQ457" s="14" t="n">
        <v>0.861</v>
      </c>
      <c r="AR457" s="14" t="n">
        <v>0.123</v>
      </c>
      <c r="AS457" s="14" t="n">
        <v>0.247</v>
      </c>
      <c r="AT457" s="14" t="n">
        <v>1.275</v>
      </c>
      <c r="AU457" s="14" t="n">
        <v>0.15</v>
      </c>
      <c r="AV457" s="14" t="n">
        <v>1</v>
      </c>
      <c r="AW457" s="14" t="n">
        <v>0.986</v>
      </c>
      <c r="AX457" s="14" t="n">
        <v>0.123</v>
      </c>
      <c r="AY457" s="14" t="n">
        <v>0.201</v>
      </c>
      <c r="AZ457" s="14" t="n">
        <v>1.366</v>
      </c>
      <c r="BA457" s="14" t="n">
        <v>0.15</v>
      </c>
      <c r="BB457" s="14" t="n">
        <v>1</v>
      </c>
      <c r="BC457" s="14" t="n">
        <v>0.598</v>
      </c>
      <c r="BD457" s="14" t="n">
        <v>0.123</v>
      </c>
      <c r="BE457" s="14" t="n">
        <v>0.007</v>
      </c>
      <c r="BF457" s="14" t="n">
        <v>0.6879999999999999</v>
      </c>
      <c r="BG457" s="14" t="n">
        <v>0.15</v>
      </c>
      <c r="BH457" s="14" t="n">
        <v>1</v>
      </c>
      <c r="BI457" s="14" t="n">
        <v>0.612</v>
      </c>
      <c r="BJ457" s="14" t="n">
        <v>0.123</v>
      </c>
      <c r="BK457" s="14" t="n">
        <v>0.271</v>
      </c>
      <c r="BL457" s="14" t="n">
        <v>1.016</v>
      </c>
      <c r="BM457" s="14" t="n">
        <v>0.15</v>
      </c>
      <c r="BN457" s="14" t="n">
        <v>1</v>
      </c>
      <c r="BO457" s="14" t="n">
        <v>0</v>
      </c>
      <c r="BP457" s="14" t="n">
        <v>0</v>
      </c>
      <c r="BQ457" s="14" t="n">
        <v>0.016</v>
      </c>
      <c r="BR457" s="14" t="n">
        <v>0</v>
      </c>
      <c r="BS457" s="14" t="n">
        <v>1</v>
      </c>
      <c r="BT457" s="14" t="n">
        <v>0</v>
      </c>
      <c r="BU457" s="14" t="n">
        <v>0</v>
      </c>
      <c r="BV457" s="14" t="n">
        <v>0.08799999999999999</v>
      </c>
      <c r="BW457" s="14" t="n">
        <v>0.15</v>
      </c>
      <c r="BX457" s="14" t="n">
        <v>0.833</v>
      </c>
      <c r="BY457" s="14" t="n">
        <v>12.729</v>
      </c>
      <c r="BZ457" s="14" t="n">
        <v>0</v>
      </c>
      <c r="CA457" s="14" t="n">
        <v>12.729</v>
      </c>
      <c r="CB457" s="14" t="n">
        <v>0</v>
      </c>
      <c r="CC457" s="14" t="n">
        <v>97.90000000000001</v>
      </c>
      <c r="CD457" s="14" t="n">
        <v>7.95</v>
      </c>
      <c r="CE457" s="14" t="n">
        <v>40.15</v>
      </c>
      <c r="CF457" s="14" t="n">
        <v>158.758</v>
      </c>
      <c r="CG457" s="14" t="n">
        <v>0.15</v>
      </c>
      <c r="CH457" s="14" t="n">
        <v>1</v>
      </c>
      <c r="CI457" s="14" t="n">
        <v>0</v>
      </c>
      <c r="CJ457" s="14" t="n">
        <v>0</v>
      </c>
      <c r="CK457" s="14" t="n">
        <v>0</v>
      </c>
      <c r="CL457" s="14" t="n">
        <v>0</v>
      </c>
      <c r="CM457" s="14" t="n">
        <v>0</v>
      </c>
      <c r="CN457" s="14" t="n">
        <v>0</v>
      </c>
      <c r="CO457" s="14" t="n">
        <v>0</v>
      </c>
      <c r="CP457" s="14" t="n">
        <v>0</v>
      </c>
      <c r="CQ457" s="14" t="n">
        <v>1.294</v>
      </c>
      <c r="CR457" s="14" t="n">
        <v>0</v>
      </c>
      <c r="CS457" s="14" t="n">
        <v>5.158</v>
      </c>
      <c r="CT457" s="14" t="n">
        <v>10.485</v>
      </c>
      <c r="CU457" s="14" t="n">
        <v>31.326</v>
      </c>
    </row>
    <row r="458">
      <c r="A458" s="14" t="inlineStr">
        <is>
          <t>LSO2023</t>
        </is>
      </c>
      <c r="B458" s="14" t="inlineStr">
        <is>
          <t>LSO</t>
        </is>
      </c>
      <c r="C458" s="14" t="inlineStr">
        <is>
          <t>LSO</t>
        </is>
      </c>
      <c r="D458" s="14" t="inlineStr">
        <is>
          <t>Lesotho</t>
        </is>
      </c>
      <c r="E458" s="14" t="n">
        <v>2023</v>
      </c>
      <c r="F458" s="14" t="n">
        <v>0.15</v>
      </c>
      <c r="G458" s="14" t="n">
        <v>6.147</v>
      </c>
      <c r="H458" s="14" t="n">
        <v>1.286</v>
      </c>
      <c r="I458" s="14" t="n">
        <v>0</v>
      </c>
      <c r="J458" s="14" t="n">
        <v>6.147</v>
      </c>
      <c r="K458" s="14" t="n">
        <v>0</v>
      </c>
      <c r="L458" s="14" t="n">
        <v>1</v>
      </c>
      <c r="M458" s="14" t="n">
        <v>7.886</v>
      </c>
      <c r="N458" s="14" t="n">
        <v>3.857</v>
      </c>
      <c r="O458" s="14" t="n">
        <v>0</v>
      </c>
      <c r="P458" s="14" t="n">
        <v>7.886</v>
      </c>
      <c r="Q458" s="14" t="n">
        <v>0</v>
      </c>
      <c r="R458" s="14" t="n">
        <v>1</v>
      </c>
      <c r="S458" s="14" t="n">
        <v>12.575</v>
      </c>
      <c r="T458" s="14" t="n">
        <v>7.714</v>
      </c>
      <c r="U458" s="14" t="n">
        <v>0.209</v>
      </c>
      <c r="V458" s="14" t="n">
        <v>14.461</v>
      </c>
      <c r="W458" s="14" t="n">
        <v>0.15</v>
      </c>
      <c r="X458" s="14" t="n">
        <v>1</v>
      </c>
      <c r="Y458" s="14" t="n">
        <v>12.907</v>
      </c>
      <c r="Z458" s="14" t="n">
        <v>1.744</v>
      </c>
      <c r="AA458" s="14" t="n">
        <v>0</v>
      </c>
      <c r="AB458" s="14" t="n">
        <v>12.907</v>
      </c>
      <c r="AC458" s="14" t="n">
        <v>0</v>
      </c>
      <c r="AD458" s="14" t="n">
        <v>1</v>
      </c>
      <c r="AE458" s="14" t="n">
        <v>14.193</v>
      </c>
      <c r="AF458" s="14" t="n">
        <v>3.319</v>
      </c>
      <c r="AG458" s="14" t="n">
        <v>0</v>
      </c>
      <c r="AH458" s="14" t="n">
        <v>14.193</v>
      </c>
      <c r="AI458" s="14" t="n">
        <v>0</v>
      </c>
      <c r="AJ458" s="14" t="n">
        <v>1</v>
      </c>
      <c r="AK458" s="14" t="n">
        <v>21.907</v>
      </c>
      <c r="AL458" s="14" t="n">
        <v>11.667</v>
      </c>
      <c r="AM458" s="14" t="n">
        <v>0.364</v>
      </c>
      <c r="AN458" s="14" t="n">
        <v>25.193</v>
      </c>
      <c r="AO458" s="14" t="n">
        <v>0.15</v>
      </c>
      <c r="AP458" s="14" t="n">
        <v>1</v>
      </c>
      <c r="AQ458" s="14" t="n">
        <v>0.76</v>
      </c>
      <c r="AR458" s="14" t="n">
        <v>0.129</v>
      </c>
      <c r="AS458" s="14" t="n">
        <v>0.228</v>
      </c>
      <c r="AT458" s="14" t="n">
        <v>1.136</v>
      </c>
      <c r="AU458" s="14" t="n">
        <v>0.15</v>
      </c>
      <c r="AV458" s="14" t="n">
        <v>1</v>
      </c>
      <c r="AW458" s="14" t="n">
        <v>0.8110000000000001</v>
      </c>
      <c r="AX458" s="14" t="n">
        <v>0.129</v>
      </c>
      <c r="AY458" s="14" t="n">
        <v>0.243</v>
      </c>
      <c r="AZ458" s="14" t="n">
        <v>1.213</v>
      </c>
      <c r="BA458" s="14" t="n">
        <v>0.15</v>
      </c>
      <c r="BB458" s="14" t="n">
        <v>1</v>
      </c>
      <c r="BC458" s="14" t="n">
        <v>0.535</v>
      </c>
      <c r="BD458" s="14" t="n">
        <v>0.129</v>
      </c>
      <c r="BE458" s="14" t="n">
        <v>0.008999999999999999</v>
      </c>
      <c r="BF458" s="14" t="n">
        <v>0.615</v>
      </c>
      <c r="BG458" s="14" t="n">
        <v>0.15</v>
      </c>
      <c r="BH458" s="14" t="n">
        <v>1</v>
      </c>
      <c r="BI458" s="14" t="n">
        <v>0.579</v>
      </c>
      <c r="BJ458" s="14" t="n">
        <v>0.129</v>
      </c>
      <c r="BK458" s="14" t="n">
        <v>0.219</v>
      </c>
      <c r="BL458" s="14" t="n">
        <v>0.918</v>
      </c>
      <c r="BM458" s="14" t="n">
        <v>0.15</v>
      </c>
      <c r="BN458" s="14" t="n">
        <v>1</v>
      </c>
      <c r="BO458" s="14" t="n">
        <v>0</v>
      </c>
      <c r="BP458" s="14" t="n">
        <v>0</v>
      </c>
      <c r="BQ458" s="14" t="n">
        <v>0.021</v>
      </c>
      <c r="BR458" s="14" t="n">
        <v>0</v>
      </c>
      <c r="BS458" s="14" t="n">
        <v>1</v>
      </c>
      <c r="BT458" s="14" t="n">
        <v>0</v>
      </c>
      <c r="BU458" s="14" t="n">
        <v>0</v>
      </c>
      <c r="BV458" s="14" t="n">
        <v>0.1</v>
      </c>
      <c r="BW458" s="14" t="n">
        <v>0.15</v>
      </c>
      <c r="BX458" s="14" t="n">
        <v>0.833</v>
      </c>
      <c r="BY458" s="14" t="n">
        <v>13.254</v>
      </c>
      <c r="BZ458" s="14" t="n">
        <v>0</v>
      </c>
      <c r="CA458" s="14" t="n">
        <v>13.254</v>
      </c>
      <c r="CB458" s="14" t="n">
        <v>0</v>
      </c>
      <c r="CC458" s="14" t="n">
        <v>83.248</v>
      </c>
      <c r="CD458" s="14" t="n">
        <v>7.95</v>
      </c>
      <c r="CE458" s="14" t="n">
        <v>43.547</v>
      </c>
      <c r="CF458" s="14" t="n">
        <v>145.815</v>
      </c>
      <c r="CG458" s="14" t="n">
        <v>0.15</v>
      </c>
      <c r="CH458" s="14" t="n">
        <v>1</v>
      </c>
      <c r="CI458" s="14" t="n">
        <v>0</v>
      </c>
      <c r="CJ458" s="14" t="n">
        <v>0</v>
      </c>
      <c r="CK458" s="14" t="n">
        <v>0</v>
      </c>
      <c r="CL458" s="14" t="n">
        <v>0</v>
      </c>
      <c r="CM458" s="14" t="n">
        <v>0</v>
      </c>
      <c r="CN458" s="14" t="n">
        <v>0</v>
      </c>
      <c r="CO458" s="14" t="n">
        <v>0</v>
      </c>
      <c r="CP458" s="14" t="n">
        <v>0</v>
      </c>
      <c r="CQ458" s="14" t="n">
        <v>1.348</v>
      </c>
      <c r="CR458" s="14" t="n">
        <v>0</v>
      </c>
      <c r="CS458" s="14" t="n">
        <v>5.37</v>
      </c>
      <c r="CT458" s="14" t="n">
        <v>4.861</v>
      </c>
      <c r="CU458" s="14" t="n">
        <v>11.622</v>
      </c>
    </row>
    <row r="459">
      <c r="A459" s="14" t="inlineStr">
        <is>
          <t>LSO2024</t>
        </is>
      </c>
      <c r="B459" s="14" t="inlineStr">
        <is>
          <t>LSO</t>
        </is>
      </c>
      <c r="C459" s="14" t="inlineStr">
        <is>
          <t>LSO</t>
        </is>
      </c>
      <c r="D459" s="14" t="inlineStr">
        <is>
          <t>Lesotho</t>
        </is>
      </c>
      <c r="E459" s="14" t="n">
        <v>2024</v>
      </c>
      <c r="F459" s="14" t="n">
        <v>0.15</v>
      </c>
      <c r="G459" s="14" t="n">
        <v>5.575</v>
      </c>
      <c r="H459" s="14" t="n">
        <v>1.324</v>
      </c>
      <c r="I459" s="14" t="n">
        <v>0</v>
      </c>
      <c r="J459" s="14" t="n">
        <v>5.575</v>
      </c>
      <c r="K459" s="14" t="n">
        <v>0</v>
      </c>
      <c r="L459" s="14" t="n">
        <v>1</v>
      </c>
      <c r="M459" s="14" t="n">
        <v>7.124</v>
      </c>
      <c r="N459" s="14" t="n">
        <v>3.971</v>
      </c>
      <c r="O459" s="14" t="n">
        <v>0</v>
      </c>
      <c r="P459" s="14" t="n">
        <v>7.124</v>
      </c>
      <c r="Q459" s="14" t="n">
        <v>0</v>
      </c>
      <c r="R459" s="14" t="n">
        <v>1</v>
      </c>
      <c r="S459" s="14" t="n">
        <v>12.193</v>
      </c>
      <c r="T459" s="14" t="n">
        <v>7.942</v>
      </c>
      <c r="U459" s="14" t="n">
        <v>0.249</v>
      </c>
      <c r="V459" s="14" t="n">
        <v>14.022</v>
      </c>
      <c r="W459" s="14" t="n">
        <v>0.15</v>
      </c>
      <c r="X459" s="14" t="n">
        <v>1</v>
      </c>
      <c r="Y459" s="14" t="n">
        <v>11.491</v>
      </c>
      <c r="Z459" s="14" t="n">
        <v>1.553</v>
      </c>
      <c r="AA459" s="14" t="n">
        <v>0</v>
      </c>
      <c r="AB459" s="14" t="n">
        <v>11.491</v>
      </c>
      <c r="AC459" s="14" t="n">
        <v>0</v>
      </c>
      <c r="AD459" s="14" t="n">
        <v>1</v>
      </c>
      <c r="AE459" s="14" t="n">
        <v>12.815</v>
      </c>
      <c r="AF459" s="14" t="n">
        <v>2.996</v>
      </c>
      <c r="AG459" s="14" t="n">
        <v>0</v>
      </c>
      <c r="AH459" s="14" t="n">
        <v>12.815</v>
      </c>
      <c r="AI459" s="14" t="n">
        <v>0</v>
      </c>
      <c r="AJ459" s="14" t="n">
        <v>1</v>
      </c>
      <c r="AK459" s="14" t="n">
        <v>20.756</v>
      </c>
      <c r="AL459" s="14" t="n">
        <v>11.055</v>
      </c>
      <c r="AM459" s="14" t="n">
        <v>0.424</v>
      </c>
      <c r="AN459" s="14" t="n">
        <v>23.87</v>
      </c>
      <c r="AO459" s="14" t="n">
        <v>0.15</v>
      </c>
      <c r="AP459" s="14" t="n">
        <v>1</v>
      </c>
      <c r="AQ459" s="14" t="n">
        <v>0.724</v>
      </c>
      <c r="AR459" s="14" t="n">
        <v>0.132</v>
      </c>
      <c r="AS459" s="14" t="n">
        <v>0.272</v>
      </c>
      <c r="AT459" s="14" t="n">
        <v>1.145</v>
      </c>
      <c r="AU459" s="14" t="n">
        <v>0.15</v>
      </c>
      <c r="AV459" s="14" t="n">
        <v>1</v>
      </c>
      <c r="AW459" s="14" t="n">
        <v>0.75</v>
      </c>
      <c r="AX459" s="14" t="n">
        <v>0.132</v>
      </c>
      <c r="AY459" s="14" t="n">
        <v>0.268</v>
      </c>
      <c r="AZ459" s="14" t="n">
        <v>1.17</v>
      </c>
      <c r="BA459" s="14" t="n">
        <v>0.15</v>
      </c>
      <c r="BB459" s="14" t="n">
        <v>1</v>
      </c>
      <c r="BC459" s="14" t="n">
        <v>0.513</v>
      </c>
      <c r="BD459" s="14" t="n">
        <v>0.132</v>
      </c>
      <c r="BE459" s="14" t="n">
        <v>0.01</v>
      </c>
      <c r="BF459" s="14" t="n">
        <v>0.59</v>
      </c>
      <c r="BG459" s="14" t="n">
        <v>0.15</v>
      </c>
      <c r="BH459" s="14" t="n">
        <v>1</v>
      </c>
      <c r="BI459" s="14" t="n">
        <v>0.591</v>
      </c>
      <c r="BJ459" s="14" t="n">
        <v>0.132</v>
      </c>
      <c r="BK459" s="14" t="n">
        <v>0.162</v>
      </c>
      <c r="BL459" s="14" t="n">
        <v>0.867</v>
      </c>
      <c r="BM459" s="14" t="n">
        <v>0.15</v>
      </c>
      <c r="BN459" s="14" t="n">
        <v>1</v>
      </c>
      <c r="BO459" s="14" t="n">
        <v>0</v>
      </c>
      <c r="BP459" s="14" t="n">
        <v>0</v>
      </c>
      <c r="BQ459" s="14" t="n">
        <v>0.019</v>
      </c>
      <c r="BR459" s="14" t="n">
        <v>0</v>
      </c>
      <c r="BS459" s="14" t="n">
        <v>1</v>
      </c>
      <c r="BT459" s="14" t="n">
        <v>0</v>
      </c>
      <c r="BU459" s="14" t="n">
        <v>0</v>
      </c>
      <c r="BV459" s="14" t="n">
        <v>0.096</v>
      </c>
      <c r="BW459" s="14" t="n">
        <v>0.15</v>
      </c>
      <c r="BX459" s="14" t="n">
        <v>0.833</v>
      </c>
      <c r="BY459" s="14" t="n">
        <v>13.646</v>
      </c>
      <c r="BZ459" s="14" t="n">
        <v>0</v>
      </c>
      <c r="CA459" s="14" t="n">
        <v>13.646</v>
      </c>
      <c r="CB459" s="14" t="n">
        <v>0</v>
      </c>
      <c r="CC459" s="14" t="n">
        <v>82.58799999999999</v>
      </c>
      <c r="CD459" s="14" t="n">
        <v>7.95</v>
      </c>
      <c r="CE459" s="14" t="n">
        <v>37.36</v>
      </c>
      <c r="CF459" s="14" t="n">
        <v>137.94</v>
      </c>
      <c r="CG459" s="14" t="n">
        <v>0.15</v>
      </c>
      <c r="CH459" s="14" t="n">
        <v>1</v>
      </c>
      <c r="CI459" s="14" t="n">
        <v>0</v>
      </c>
      <c r="CJ459" s="14" t="n">
        <v>0</v>
      </c>
      <c r="CK459" s="14" t="n">
        <v>0</v>
      </c>
      <c r="CL459" s="14" t="n">
        <v>0</v>
      </c>
      <c r="CM459" s="14" t="n">
        <v>0</v>
      </c>
      <c r="CN459" s="14" t="n">
        <v>0</v>
      </c>
      <c r="CO459" s="14" t="n">
        <v>0</v>
      </c>
      <c r="CP459" s="14" t="n">
        <v>0</v>
      </c>
      <c r="CQ459" s="14" t="n">
        <v>1.387</v>
      </c>
      <c r="CR459" s="14" t="n">
        <v>0</v>
      </c>
      <c r="CS459" s="14" t="n">
        <v>5.529</v>
      </c>
      <c r="CT459" s="14" t="n">
        <v>4.251</v>
      </c>
      <c r="CU459" s="14" t="n">
        <v>10.168</v>
      </c>
    </row>
    <row r="460">
      <c r="A460" s="14" t="inlineStr">
        <is>
          <t>LBR2021</t>
        </is>
      </c>
      <c r="B460" s="14" t="inlineStr">
        <is>
          <t>LBR</t>
        </is>
      </c>
      <c r="C460" s="14" t="inlineStr">
        <is>
          <t>LBR</t>
        </is>
      </c>
      <c r="D460" s="14" t="inlineStr">
        <is>
          <t>Liberia</t>
        </is>
      </c>
      <c r="E460" s="14" t="n">
        <v>2021</v>
      </c>
      <c r="F460" s="14" t="n">
        <v>0.1</v>
      </c>
      <c r="G460" s="14" t="n">
        <v>5.897</v>
      </c>
      <c r="H460" s="14" t="n">
        <v>1.143</v>
      </c>
      <c r="I460" s="14" t="n">
        <v>0</v>
      </c>
      <c r="J460" s="14" t="n">
        <v>5.897</v>
      </c>
      <c r="K460" s="14" t="n">
        <v>0</v>
      </c>
      <c r="L460" s="14" t="n">
        <v>1</v>
      </c>
      <c r="M460" s="14" t="n">
        <v>7.964</v>
      </c>
      <c r="N460" s="14" t="n">
        <v>3.43</v>
      </c>
      <c r="O460" s="14" t="n">
        <v>0</v>
      </c>
      <c r="P460" s="14" t="n">
        <v>7.964</v>
      </c>
      <c r="Q460" s="14" t="n">
        <v>0</v>
      </c>
      <c r="R460" s="14" t="n">
        <v>1</v>
      </c>
      <c r="S460" s="14" t="n">
        <v>11.613</v>
      </c>
      <c r="T460" s="14" t="n">
        <v>6.86</v>
      </c>
      <c r="U460" s="14" t="n">
        <v>0</v>
      </c>
      <c r="V460" s="14" t="n">
        <v>12.775</v>
      </c>
      <c r="W460" s="14" t="n">
        <v>0.1</v>
      </c>
      <c r="X460" s="14" t="n">
        <v>1</v>
      </c>
      <c r="Y460" s="14" t="n">
        <v>16.305</v>
      </c>
      <c r="Z460" s="14" t="n">
        <v>2.204</v>
      </c>
      <c r="AA460" s="14" t="n">
        <v>0</v>
      </c>
      <c r="AB460" s="14" t="n">
        <v>16.305</v>
      </c>
      <c r="AC460" s="14" t="n">
        <v>0</v>
      </c>
      <c r="AD460" s="14" t="n">
        <v>1</v>
      </c>
      <c r="AE460" s="14" t="n">
        <v>17.449</v>
      </c>
      <c r="AF460" s="14" t="n">
        <v>4.08</v>
      </c>
      <c r="AG460" s="14" t="n">
        <v>0</v>
      </c>
      <c r="AH460" s="14" t="n">
        <v>17.449</v>
      </c>
      <c r="AI460" s="14" t="n">
        <v>0</v>
      </c>
      <c r="AJ460" s="14" t="n">
        <v>1</v>
      </c>
      <c r="AK460" s="14" t="n">
        <v>24.309</v>
      </c>
      <c r="AL460" s="14" t="n">
        <v>12.947</v>
      </c>
      <c r="AM460" s="14" t="n">
        <v>0</v>
      </c>
      <c r="AN460" s="14" t="n">
        <v>26.739</v>
      </c>
      <c r="AO460" s="14" t="n">
        <v>0.1</v>
      </c>
      <c r="AP460" s="14" t="n">
        <v>1</v>
      </c>
      <c r="AQ460" s="14" t="n">
        <v>0.619</v>
      </c>
      <c r="AR460" s="14" t="n">
        <v>0.114</v>
      </c>
      <c r="AS460" s="14" t="n">
        <v>0.139</v>
      </c>
      <c r="AT460" s="14" t="n">
        <v>0.834</v>
      </c>
      <c r="AU460" s="14" t="n">
        <v>0.1</v>
      </c>
      <c r="AV460" s="14" t="n">
        <v>0</v>
      </c>
      <c r="AW460" s="14" t="n">
        <v>0.599</v>
      </c>
      <c r="AX460" s="14" t="n">
        <v>0.114</v>
      </c>
      <c r="AY460" s="14" t="n">
        <v>0.325</v>
      </c>
      <c r="AZ460" s="14" t="n">
        <v>1.017</v>
      </c>
      <c r="BA460" s="14" t="n">
        <v>0.1</v>
      </c>
      <c r="BB460" s="14" t="n">
        <v>1</v>
      </c>
      <c r="BC460" s="14" t="n">
        <v>0.439</v>
      </c>
      <c r="BD460" s="14" t="n">
        <v>0.114</v>
      </c>
      <c r="BE460" s="14" t="n">
        <v>0</v>
      </c>
      <c r="BF460" s="14" t="n">
        <v>0.483</v>
      </c>
      <c r="BG460" s="14" t="n">
        <v>0.1</v>
      </c>
      <c r="BH460" s="14" t="n">
        <v>1</v>
      </c>
      <c r="BI460" s="14" t="n">
        <v>0.505</v>
      </c>
      <c r="BJ460" s="14" t="n">
        <v>0.114</v>
      </c>
      <c r="BK460" s="14" t="n">
        <v>0.224</v>
      </c>
      <c r="BL460" s="14" t="n">
        <v>0.802</v>
      </c>
      <c r="BM460" s="14" t="n">
        <v>0.1</v>
      </c>
      <c r="BN460" s="14" t="n">
        <v>1</v>
      </c>
      <c r="BO460" s="14" t="n">
        <v>0</v>
      </c>
      <c r="BP460" s="14" t="n">
        <v>0</v>
      </c>
      <c r="BQ460" s="14" t="n">
        <v>0.179</v>
      </c>
      <c r="BR460" s="14" t="n">
        <v>0</v>
      </c>
      <c r="BS460" s="14" t="n">
        <v>0.833</v>
      </c>
      <c r="BT460" s="14" t="n">
        <v>0</v>
      </c>
      <c r="BU460" s="14" t="n">
        <v>0</v>
      </c>
      <c r="BV460" s="14" t="n">
        <v>0.213</v>
      </c>
      <c r="BW460" s="14" t="n">
        <v>0.1</v>
      </c>
      <c r="BX460" s="14" t="n">
        <v>0.833</v>
      </c>
      <c r="BY460" s="14" t="n">
        <v>11.787</v>
      </c>
      <c r="BZ460" s="14" t="n">
        <v>0</v>
      </c>
      <c r="CA460" s="14" t="n">
        <v>11.787</v>
      </c>
      <c r="CB460" s="14" t="n">
        <v>0</v>
      </c>
      <c r="CC460" s="14" t="n">
        <v>78.125</v>
      </c>
      <c r="CD460" s="14" t="n">
        <v>7.95</v>
      </c>
      <c r="CE460" s="14" t="n">
        <v>0</v>
      </c>
      <c r="CF460" s="14" t="n">
        <v>85.938</v>
      </c>
      <c r="CG460" s="14" t="n">
        <v>0.1</v>
      </c>
      <c r="CH460" s="14" t="n">
        <v>1</v>
      </c>
      <c r="CI460" s="14" t="n">
        <v>0</v>
      </c>
      <c r="CJ460" s="14" t="n">
        <v>0</v>
      </c>
      <c r="CK460" s="14" t="n">
        <v>0</v>
      </c>
      <c r="CL460" s="14" t="n">
        <v>0</v>
      </c>
      <c r="CM460" s="14" t="n">
        <v>0</v>
      </c>
      <c r="CN460" s="14" t="n">
        <v>0</v>
      </c>
      <c r="CO460" s="14" t="n">
        <v>0</v>
      </c>
      <c r="CP460" s="14" t="n">
        <v>0</v>
      </c>
      <c r="CQ460" s="14" t="n">
        <v>1.198</v>
      </c>
      <c r="CR460" s="14" t="n">
        <v>0</v>
      </c>
      <c r="CS460" s="14" t="n">
        <v>4.776</v>
      </c>
      <c r="CT460" s="14" t="n">
        <v>4.753</v>
      </c>
      <c r="CU460" s="14" t="n">
        <v>15.162</v>
      </c>
    </row>
    <row r="461">
      <c r="A461" s="14" t="inlineStr">
        <is>
          <t>LBR2022</t>
        </is>
      </c>
      <c r="B461" s="14" t="inlineStr">
        <is>
          <t>LBR</t>
        </is>
      </c>
      <c r="C461" s="14" t="inlineStr">
        <is>
          <t>LBR</t>
        </is>
      </c>
      <c r="D461" s="14" t="inlineStr">
        <is>
          <t>Liberia</t>
        </is>
      </c>
      <c r="E461" s="14" t="n">
        <v>2022</v>
      </c>
      <c r="F461" s="14" t="n">
        <v>0.1</v>
      </c>
      <c r="G461" s="14" t="n">
        <v>11.72</v>
      </c>
      <c r="H461" s="14" t="n">
        <v>1.235</v>
      </c>
      <c r="I461" s="14" t="n">
        <v>0</v>
      </c>
      <c r="J461" s="14" t="n">
        <v>11.72</v>
      </c>
      <c r="K461" s="14" t="n">
        <v>0</v>
      </c>
      <c r="L461" s="14" t="n">
        <v>1</v>
      </c>
      <c r="M461" s="14" t="n">
        <v>9.782999999999999</v>
      </c>
      <c r="N461" s="14" t="n">
        <v>3.704</v>
      </c>
      <c r="O461" s="14" t="n">
        <v>0</v>
      </c>
      <c r="P461" s="14" t="n">
        <v>9.782999999999999</v>
      </c>
      <c r="Q461" s="14" t="n">
        <v>0</v>
      </c>
      <c r="R461" s="14" t="n">
        <v>1</v>
      </c>
      <c r="S461" s="14" t="n">
        <v>17.893</v>
      </c>
      <c r="T461" s="14" t="n">
        <v>7.408</v>
      </c>
      <c r="U461" s="14" t="n">
        <v>0.132</v>
      </c>
      <c r="V461" s="14" t="n">
        <v>19.683</v>
      </c>
      <c r="W461" s="14" t="n">
        <v>0.1</v>
      </c>
      <c r="X461" s="14" t="n">
        <v>1</v>
      </c>
      <c r="Y461" s="14" t="n">
        <v>32.56</v>
      </c>
      <c r="Z461" s="14" t="n">
        <v>4.401</v>
      </c>
      <c r="AA461" s="14" t="n">
        <v>0</v>
      </c>
      <c r="AB461" s="14" t="n">
        <v>32.56</v>
      </c>
      <c r="AC461" s="14" t="n">
        <v>0</v>
      </c>
      <c r="AD461" s="14" t="n">
        <v>1</v>
      </c>
      <c r="AE461" s="14" t="n">
        <v>33.795</v>
      </c>
      <c r="AF461" s="14" t="n">
        <v>7.902</v>
      </c>
      <c r="AG461" s="14" t="n">
        <v>0</v>
      </c>
      <c r="AH461" s="14" t="n">
        <v>33.795</v>
      </c>
      <c r="AI461" s="14" t="n">
        <v>0</v>
      </c>
      <c r="AJ461" s="14" t="n">
        <v>1</v>
      </c>
      <c r="AK461" s="14" t="n">
        <v>41.203</v>
      </c>
      <c r="AL461" s="14" t="n">
        <v>21.945</v>
      </c>
      <c r="AM461" s="14" t="n">
        <v>0.305</v>
      </c>
      <c r="AN461" s="14" t="n">
        <v>45.324</v>
      </c>
      <c r="AO461" s="14" t="n">
        <v>0.1</v>
      </c>
      <c r="AP461" s="14" t="n">
        <v>1</v>
      </c>
      <c r="AQ461" s="14" t="n">
        <v>0.861</v>
      </c>
      <c r="AR461" s="14" t="n">
        <v>0.123</v>
      </c>
      <c r="AS461" s="14" t="n">
        <v>0.257</v>
      </c>
      <c r="AT461" s="14" t="n">
        <v>1.23</v>
      </c>
      <c r="AU461" s="14" t="n">
        <v>0.1</v>
      </c>
      <c r="AV461" s="14" t="n">
        <v>0</v>
      </c>
      <c r="AW461" s="14" t="n">
        <v>0.986</v>
      </c>
      <c r="AX461" s="14" t="n">
        <v>0.123</v>
      </c>
      <c r="AY461" s="14" t="n">
        <v>0.384</v>
      </c>
      <c r="AZ461" s="14" t="n">
        <v>1.507</v>
      </c>
      <c r="BA461" s="14" t="n">
        <v>0.1</v>
      </c>
      <c r="BB461" s="14" t="n">
        <v>1</v>
      </c>
      <c r="BC461" s="14" t="n">
        <v>0.598</v>
      </c>
      <c r="BD461" s="14" t="n">
        <v>0.123</v>
      </c>
      <c r="BE461" s="14" t="n">
        <v>0.004</v>
      </c>
      <c r="BF461" s="14" t="n">
        <v>0.658</v>
      </c>
      <c r="BG461" s="14" t="n">
        <v>0.1</v>
      </c>
      <c r="BH461" s="14" t="n">
        <v>1</v>
      </c>
      <c r="BI461" s="14" t="n">
        <v>0.612</v>
      </c>
      <c r="BJ461" s="14" t="n">
        <v>0.123</v>
      </c>
      <c r="BK461" s="14" t="n">
        <v>0.242</v>
      </c>
      <c r="BL461" s="14" t="n">
        <v>0.9330000000000001</v>
      </c>
      <c r="BM461" s="14" t="n">
        <v>0.1</v>
      </c>
      <c r="BN461" s="14" t="n">
        <v>1</v>
      </c>
      <c r="BO461" s="14" t="n">
        <v>0</v>
      </c>
      <c r="BP461" s="14" t="n">
        <v>0</v>
      </c>
      <c r="BQ461" s="14" t="n">
        <v>0.179</v>
      </c>
      <c r="BR461" s="14" t="n">
        <v>0</v>
      </c>
      <c r="BS461" s="14" t="n">
        <v>0.833</v>
      </c>
      <c r="BT461" s="14" t="n">
        <v>0</v>
      </c>
      <c r="BU461" s="14" t="n">
        <v>0</v>
      </c>
      <c r="BV461" s="14" t="n">
        <v>0.213</v>
      </c>
      <c r="BW461" s="14" t="n">
        <v>0.1</v>
      </c>
      <c r="BX461" s="14" t="n">
        <v>0.833</v>
      </c>
      <c r="BY461" s="14" t="n">
        <v>12.729</v>
      </c>
      <c r="BZ461" s="14" t="n">
        <v>0</v>
      </c>
      <c r="CA461" s="14" t="n">
        <v>12.729</v>
      </c>
      <c r="CB461" s="14" t="n">
        <v>0</v>
      </c>
      <c r="CC461" s="14" t="n">
        <v>97.90000000000001</v>
      </c>
      <c r="CD461" s="14" t="n">
        <v>7.95</v>
      </c>
      <c r="CE461" s="14" t="n">
        <v>0.725</v>
      </c>
      <c r="CF461" s="14" t="n">
        <v>107.69</v>
      </c>
      <c r="CG461" s="14" t="n">
        <v>0.1</v>
      </c>
      <c r="CH461" s="14" t="n">
        <v>1</v>
      </c>
      <c r="CI461" s="14" t="n">
        <v>0</v>
      </c>
      <c r="CJ461" s="14" t="n">
        <v>0</v>
      </c>
      <c r="CK461" s="14" t="n">
        <v>0</v>
      </c>
      <c r="CL461" s="14" t="n">
        <v>0</v>
      </c>
      <c r="CM461" s="14" t="n">
        <v>0</v>
      </c>
      <c r="CN461" s="14" t="n">
        <v>0</v>
      </c>
      <c r="CO461" s="14" t="n">
        <v>0</v>
      </c>
      <c r="CP461" s="14" t="n">
        <v>0</v>
      </c>
      <c r="CQ461" s="14" t="n">
        <v>1.294</v>
      </c>
      <c r="CR461" s="14" t="n">
        <v>0</v>
      </c>
      <c r="CS461" s="14" t="n">
        <v>5.158</v>
      </c>
      <c r="CT461" s="14" t="n">
        <v>10.485</v>
      </c>
      <c r="CU461" s="14" t="n">
        <v>31.326</v>
      </c>
    </row>
    <row r="462">
      <c r="A462" s="14" t="inlineStr">
        <is>
          <t>LBR2023</t>
        </is>
      </c>
      <c r="B462" s="14" t="inlineStr">
        <is>
          <t>LBR</t>
        </is>
      </c>
      <c r="C462" s="14" t="inlineStr">
        <is>
          <t>LBR</t>
        </is>
      </c>
      <c r="D462" s="14" t="inlineStr">
        <is>
          <t>Liberia</t>
        </is>
      </c>
      <c r="E462" s="14" t="n">
        <v>2023</v>
      </c>
      <c r="F462" s="14" t="n">
        <v>0.1</v>
      </c>
      <c r="G462" s="14" t="n">
        <v>6.147</v>
      </c>
      <c r="H462" s="14" t="n">
        <v>1.286</v>
      </c>
      <c r="I462" s="14" t="n">
        <v>0</v>
      </c>
      <c r="J462" s="14" t="n">
        <v>6.147</v>
      </c>
      <c r="K462" s="14" t="n">
        <v>0</v>
      </c>
      <c r="L462" s="14" t="n">
        <v>1</v>
      </c>
      <c r="M462" s="14" t="n">
        <v>7.886</v>
      </c>
      <c r="N462" s="14" t="n">
        <v>3.857</v>
      </c>
      <c r="O462" s="14" t="n">
        <v>0</v>
      </c>
      <c r="P462" s="14" t="n">
        <v>7.886</v>
      </c>
      <c r="Q462" s="14" t="n">
        <v>0</v>
      </c>
      <c r="R462" s="14" t="n">
        <v>1</v>
      </c>
      <c r="S462" s="14" t="n">
        <v>12.575</v>
      </c>
      <c r="T462" s="14" t="n">
        <v>7.714</v>
      </c>
      <c r="U462" s="14" t="n">
        <v>0.139</v>
      </c>
      <c r="V462" s="14" t="n">
        <v>13.833</v>
      </c>
      <c r="W462" s="14" t="n">
        <v>0.1</v>
      </c>
      <c r="X462" s="14" t="n">
        <v>1</v>
      </c>
      <c r="Y462" s="14" t="n">
        <v>12.908</v>
      </c>
      <c r="Z462" s="14" t="n">
        <v>1.745</v>
      </c>
      <c r="AA462" s="14" t="n">
        <v>0</v>
      </c>
      <c r="AB462" s="14" t="n">
        <v>12.908</v>
      </c>
      <c r="AC462" s="14" t="n">
        <v>0</v>
      </c>
      <c r="AD462" s="14" t="n">
        <v>1</v>
      </c>
      <c r="AE462" s="14" t="n">
        <v>14.194</v>
      </c>
      <c r="AF462" s="14" t="n">
        <v>3.319</v>
      </c>
      <c r="AG462" s="14" t="n">
        <v>0</v>
      </c>
      <c r="AH462" s="14" t="n">
        <v>14.194</v>
      </c>
      <c r="AI462" s="14" t="n">
        <v>0</v>
      </c>
      <c r="AJ462" s="14" t="n">
        <v>1</v>
      </c>
      <c r="AK462" s="14" t="n">
        <v>21.908</v>
      </c>
      <c r="AL462" s="14" t="n">
        <v>11.668</v>
      </c>
      <c r="AM462" s="14" t="n">
        <v>0.243</v>
      </c>
      <c r="AN462" s="14" t="n">
        <v>24.098</v>
      </c>
      <c r="AO462" s="14" t="n">
        <v>0.1</v>
      </c>
      <c r="AP462" s="14" t="n">
        <v>1</v>
      </c>
      <c r="AQ462" s="14" t="n">
        <v>0.76</v>
      </c>
      <c r="AR462" s="14" t="n">
        <v>0.129</v>
      </c>
      <c r="AS462" s="14" t="n">
        <v>-0.357</v>
      </c>
      <c r="AT462" s="14" t="n">
        <v>0.444</v>
      </c>
      <c r="AU462" s="14" t="n">
        <v>0.1</v>
      </c>
      <c r="AV462" s="14" t="n">
        <v>0</v>
      </c>
      <c r="AW462" s="14" t="n">
        <v>0.8110000000000001</v>
      </c>
      <c r="AX462" s="14" t="n">
        <v>0.129</v>
      </c>
      <c r="AY462" s="14" t="n">
        <v>0.474</v>
      </c>
      <c r="AZ462" s="14" t="n">
        <v>1.413</v>
      </c>
      <c r="BA462" s="14" t="n">
        <v>0.1</v>
      </c>
      <c r="BB462" s="14" t="n">
        <v>1</v>
      </c>
      <c r="BC462" s="14" t="n">
        <v>0.535</v>
      </c>
      <c r="BD462" s="14" t="n">
        <v>0.129</v>
      </c>
      <c r="BE462" s="14" t="n">
        <v>0.006</v>
      </c>
      <c r="BF462" s="14" t="n">
        <v>0.588</v>
      </c>
      <c r="BG462" s="14" t="n">
        <v>0.1</v>
      </c>
      <c r="BH462" s="14" t="n">
        <v>1</v>
      </c>
      <c r="BI462" s="14" t="n">
        <v>0.579</v>
      </c>
      <c r="BJ462" s="14" t="n">
        <v>0.129</v>
      </c>
      <c r="BK462" s="14" t="n">
        <v>0.26</v>
      </c>
      <c r="BL462" s="14" t="n">
        <v>0.913</v>
      </c>
      <c r="BM462" s="14" t="n">
        <v>0.1</v>
      </c>
      <c r="BN462" s="14" t="n">
        <v>1</v>
      </c>
      <c r="BO462" s="14" t="n">
        <v>0</v>
      </c>
      <c r="BP462" s="14" t="n">
        <v>0</v>
      </c>
      <c r="BQ462" s="14" t="n">
        <v>0.19</v>
      </c>
      <c r="BR462" s="14" t="n">
        <v>0</v>
      </c>
      <c r="BS462" s="14" t="n">
        <v>0.833</v>
      </c>
      <c r="BT462" s="14" t="n">
        <v>0</v>
      </c>
      <c r="BU462" s="14" t="n">
        <v>0</v>
      </c>
      <c r="BV462" s="14" t="n">
        <v>0.264</v>
      </c>
      <c r="BW462" s="14" t="n">
        <v>0.1</v>
      </c>
      <c r="BX462" s="14" t="n">
        <v>0.833</v>
      </c>
      <c r="BY462" s="14" t="n">
        <v>13.254</v>
      </c>
      <c r="BZ462" s="14" t="n">
        <v>0</v>
      </c>
      <c r="CA462" s="14" t="n">
        <v>13.254</v>
      </c>
      <c r="CB462" s="14" t="n">
        <v>0</v>
      </c>
      <c r="CC462" s="14" t="n">
        <v>83.248</v>
      </c>
      <c r="CD462" s="14" t="n">
        <v>7.95</v>
      </c>
      <c r="CE462" s="14" t="n">
        <v>0.922</v>
      </c>
      <c r="CF462" s="14" t="n">
        <v>91.57299999999999</v>
      </c>
      <c r="CG462" s="14" t="n">
        <v>0.1</v>
      </c>
      <c r="CH462" s="14" t="n">
        <v>1</v>
      </c>
      <c r="CI462" s="14" t="n">
        <v>0</v>
      </c>
      <c r="CJ462" s="14" t="n">
        <v>0</v>
      </c>
      <c r="CK462" s="14" t="n">
        <v>0</v>
      </c>
      <c r="CL462" s="14" t="n">
        <v>0</v>
      </c>
      <c r="CM462" s="14" t="n">
        <v>0</v>
      </c>
      <c r="CN462" s="14" t="n">
        <v>0</v>
      </c>
      <c r="CO462" s="14" t="n">
        <v>0</v>
      </c>
      <c r="CP462" s="14" t="n">
        <v>0</v>
      </c>
      <c r="CQ462" s="14" t="n">
        <v>1.348</v>
      </c>
      <c r="CR462" s="14" t="n">
        <v>0</v>
      </c>
      <c r="CS462" s="14" t="n">
        <v>5.37</v>
      </c>
      <c r="CT462" s="14" t="n">
        <v>4.861</v>
      </c>
      <c r="CU462" s="14" t="n">
        <v>11.622</v>
      </c>
    </row>
    <row r="463">
      <c r="A463" s="14" t="inlineStr">
        <is>
          <t>LBR2024</t>
        </is>
      </c>
      <c r="B463" s="14" t="inlineStr">
        <is>
          <t>LBR</t>
        </is>
      </c>
      <c r="C463" s="14" t="inlineStr">
        <is>
          <t>LBR</t>
        </is>
      </c>
      <c r="D463" s="14" t="inlineStr">
        <is>
          <t>Liberia</t>
        </is>
      </c>
      <c r="E463" s="14" t="n">
        <v>2024</v>
      </c>
      <c r="F463" s="14" t="n">
        <v>0.1</v>
      </c>
      <c r="G463" s="14" t="n">
        <v>5.575</v>
      </c>
      <c r="H463" s="14" t="n">
        <v>1.324</v>
      </c>
      <c r="I463" s="14" t="n">
        <v>0</v>
      </c>
      <c r="J463" s="14" t="n">
        <v>5.575</v>
      </c>
      <c r="K463" s="14" t="n">
        <v>0</v>
      </c>
      <c r="L463" s="14" t="n">
        <v>1</v>
      </c>
      <c r="M463" s="14" t="n">
        <v>7.124</v>
      </c>
      <c r="N463" s="14" t="n">
        <v>3.971</v>
      </c>
      <c r="O463" s="14" t="n">
        <v>0</v>
      </c>
      <c r="P463" s="14" t="n">
        <v>7.124</v>
      </c>
      <c r="Q463" s="14" t="n">
        <v>0</v>
      </c>
      <c r="R463" s="14" t="n">
        <v>1</v>
      </c>
      <c r="S463" s="14" t="n">
        <v>12.193</v>
      </c>
      <c r="T463" s="14" t="n">
        <v>7.942</v>
      </c>
      <c r="U463" s="14" t="n">
        <v>0.166</v>
      </c>
      <c r="V463" s="14" t="n">
        <v>13.412</v>
      </c>
      <c r="W463" s="14" t="n">
        <v>0.1</v>
      </c>
      <c r="X463" s="14" t="n">
        <v>1</v>
      </c>
      <c r="Y463" s="14" t="n">
        <v>11.492</v>
      </c>
      <c r="Z463" s="14" t="n">
        <v>1.553</v>
      </c>
      <c r="AA463" s="14" t="n">
        <v>0</v>
      </c>
      <c r="AB463" s="14" t="n">
        <v>11.492</v>
      </c>
      <c r="AC463" s="14" t="n">
        <v>0</v>
      </c>
      <c r="AD463" s="14" t="n">
        <v>1</v>
      </c>
      <c r="AE463" s="14" t="n">
        <v>12.815</v>
      </c>
      <c r="AF463" s="14" t="n">
        <v>2.997</v>
      </c>
      <c r="AG463" s="14" t="n">
        <v>0</v>
      </c>
      <c r="AH463" s="14" t="n">
        <v>12.815</v>
      </c>
      <c r="AI463" s="14" t="n">
        <v>0</v>
      </c>
      <c r="AJ463" s="14" t="n">
        <v>1</v>
      </c>
      <c r="AK463" s="14" t="n">
        <v>20.757</v>
      </c>
      <c r="AL463" s="14" t="n">
        <v>11.055</v>
      </c>
      <c r="AM463" s="14" t="n">
        <v>0.283</v>
      </c>
      <c r="AN463" s="14" t="n">
        <v>22.833</v>
      </c>
      <c r="AO463" s="14" t="n">
        <v>0.1</v>
      </c>
      <c r="AP463" s="14" t="n">
        <v>1</v>
      </c>
      <c r="AQ463" s="14" t="n">
        <v>0.724</v>
      </c>
      <c r="AR463" s="14" t="n">
        <v>0.132</v>
      </c>
      <c r="AS463" s="14" t="n">
        <v>-0.357</v>
      </c>
      <c r="AT463" s="14" t="n">
        <v>0.398</v>
      </c>
      <c r="AU463" s="14" t="n">
        <v>0.1</v>
      </c>
      <c r="AV463" s="14" t="n">
        <v>0</v>
      </c>
      <c r="AW463" s="14" t="n">
        <v>0.75</v>
      </c>
      <c r="AX463" s="14" t="n">
        <v>0.132</v>
      </c>
      <c r="AY463" s="14" t="n">
        <v>0.532</v>
      </c>
      <c r="AZ463" s="14" t="n">
        <v>1.391</v>
      </c>
      <c r="BA463" s="14" t="n">
        <v>0.1</v>
      </c>
      <c r="BB463" s="14" t="n">
        <v>1</v>
      </c>
      <c r="BC463" s="14" t="n">
        <v>0.513</v>
      </c>
      <c r="BD463" s="14" t="n">
        <v>0.132</v>
      </c>
      <c r="BE463" s="14" t="n">
        <v>0.007</v>
      </c>
      <c r="BF463" s="14" t="n">
        <v>0.5639999999999999</v>
      </c>
      <c r="BG463" s="14" t="n">
        <v>0.1</v>
      </c>
      <c r="BH463" s="14" t="n">
        <v>1</v>
      </c>
      <c r="BI463" s="14" t="n">
        <v>0.591</v>
      </c>
      <c r="BJ463" s="14" t="n">
        <v>0.132</v>
      </c>
      <c r="BK463" s="14" t="n">
        <v>0.27</v>
      </c>
      <c r="BL463" s="14" t="n">
        <v>0.9350000000000001</v>
      </c>
      <c r="BM463" s="14" t="n">
        <v>0.1</v>
      </c>
      <c r="BN463" s="14" t="n">
        <v>1</v>
      </c>
      <c r="BO463" s="14" t="n">
        <v>0</v>
      </c>
      <c r="BP463" s="14" t="n">
        <v>0</v>
      </c>
      <c r="BQ463" s="14" t="n">
        <v>0.196</v>
      </c>
      <c r="BR463" s="14" t="n">
        <v>0</v>
      </c>
      <c r="BS463" s="14" t="n">
        <v>0.833</v>
      </c>
      <c r="BT463" s="14" t="n">
        <v>0</v>
      </c>
      <c r="BU463" s="14" t="n">
        <v>0</v>
      </c>
      <c r="BV463" s="14" t="n">
        <v>0.272</v>
      </c>
      <c r="BW463" s="14" t="n">
        <v>0.1</v>
      </c>
      <c r="BX463" s="14" t="n">
        <v>0.833</v>
      </c>
      <c r="BY463" s="14" t="n">
        <v>13.646</v>
      </c>
      <c r="BZ463" s="14" t="n">
        <v>0</v>
      </c>
      <c r="CA463" s="14" t="n">
        <v>13.646</v>
      </c>
      <c r="CB463" s="14" t="n">
        <v>0</v>
      </c>
      <c r="CC463" s="14" t="n">
        <v>82.58799999999999</v>
      </c>
      <c r="CD463" s="14" t="n">
        <v>7.95</v>
      </c>
      <c r="CE463" s="14" t="n">
        <v>1.125</v>
      </c>
      <c r="CF463" s="14" t="n">
        <v>90.84699999999999</v>
      </c>
      <c r="CG463" s="14" t="n">
        <v>0.1</v>
      </c>
      <c r="CH463" s="14" t="n">
        <v>1</v>
      </c>
      <c r="CI463" s="14" t="n">
        <v>0</v>
      </c>
      <c r="CJ463" s="14" t="n">
        <v>0</v>
      </c>
      <c r="CK463" s="14" t="n">
        <v>0</v>
      </c>
      <c r="CL463" s="14" t="n">
        <v>0</v>
      </c>
      <c r="CM463" s="14" t="n">
        <v>0</v>
      </c>
      <c r="CN463" s="14" t="n">
        <v>0</v>
      </c>
      <c r="CO463" s="14" t="n">
        <v>0</v>
      </c>
      <c r="CP463" s="14" t="n">
        <v>0</v>
      </c>
      <c r="CQ463" s="14" t="n">
        <v>1.387</v>
      </c>
      <c r="CR463" s="14" t="n">
        <v>0</v>
      </c>
      <c r="CS463" s="14" t="n">
        <v>5.529</v>
      </c>
      <c r="CT463" s="14" t="n">
        <v>4.251</v>
      </c>
      <c r="CU463" s="14" t="n">
        <v>10.168</v>
      </c>
    </row>
    <row r="464">
      <c r="A464" s="14" t="inlineStr">
        <is>
          <t>LBY2021</t>
        </is>
      </c>
      <c r="B464" s="14" t="inlineStr">
        <is>
          <t>LBY</t>
        </is>
      </c>
      <c r="C464" s="14" t="inlineStr">
        <is>
          <t>LBY</t>
        </is>
      </c>
      <c r="D464" s="14" t="inlineStr">
        <is>
          <t>Libya</t>
        </is>
      </c>
      <c r="E464" s="14" t="n">
        <v>2021</v>
      </c>
      <c r="F464" s="14" t="n">
        <v>0</v>
      </c>
      <c r="G464" s="14" t="n">
        <v>5.897</v>
      </c>
      <c r="H464" s="14" t="n">
        <v>1.143</v>
      </c>
      <c r="I464" s="14" t="n">
        <v>0.233</v>
      </c>
      <c r="J464" s="14" t="n">
        <v>6.13</v>
      </c>
      <c r="K464" s="14" t="n">
        <v>0</v>
      </c>
      <c r="L464" s="14" t="n">
        <v>1</v>
      </c>
      <c r="M464" s="14" t="n">
        <v>7.964</v>
      </c>
      <c r="N464" s="14" t="n">
        <v>3.43</v>
      </c>
      <c r="O464" s="14" t="n">
        <v>0.252</v>
      </c>
      <c r="P464" s="14" t="n">
        <v>8.217000000000001</v>
      </c>
      <c r="Q464" s="14" t="n">
        <v>0</v>
      </c>
      <c r="R464" s="14" t="n">
        <v>1</v>
      </c>
      <c r="S464" s="14" t="n">
        <v>11.613</v>
      </c>
      <c r="T464" s="14" t="n">
        <v>6.86</v>
      </c>
      <c r="U464" s="14" t="n">
        <v>0.233</v>
      </c>
      <c r="V464" s="14" t="n">
        <v>11.846</v>
      </c>
      <c r="W464" s="14" t="n">
        <v>0</v>
      </c>
      <c r="X464" s="14" t="n">
        <v>1</v>
      </c>
      <c r="Y464" s="14" t="n">
        <v>7.447</v>
      </c>
      <c r="Z464" s="14" t="n">
        <v>0.8169999999999999</v>
      </c>
      <c r="AA464" s="14" t="n">
        <v>-6.685</v>
      </c>
      <c r="AB464" s="14" t="n">
        <v>0.761</v>
      </c>
      <c r="AC464" s="14" t="n">
        <v>0</v>
      </c>
      <c r="AD464" s="14" t="n">
        <v>0</v>
      </c>
      <c r="AE464" s="14" t="n">
        <v>8.018000000000001</v>
      </c>
      <c r="AF464" s="14" t="n">
        <v>1.559</v>
      </c>
      <c r="AG464" s="14" t="n">
        <v>-7.799</v>
      </c>
      <c r="AH464" s="14" t="n">
        <v>0.219</v>
      </c>
      <c r="AI464" s="14" t="n">
        <v>0</v>
      </c>
      <c r="AJ464" s="14" t="n">
        <v>0</v>
      </c>
      <c r="AK464" s="14" t="n">
        <v>11.448</v>
      </c>
      <c r="AL464" s="14" t="n">
        <v>5.4</v>
      </c>
      <c r="AM464" s="14" t="n">
        <v>-0.656</v>
      </c>
      <c r="AN464" s="14" t="n">
        <v>10.792</v>
      </c>
      <c r="AO464" s="14" t="n">
        <v>0</v>
      </c>
      <c r="AP464" s="14" t="n">
        <v>1</v>
      </c>
      <c r="AQ464" s="14" t="n">
        <v>0.621</v>
      </c>
      <c r="AR464" s="14" t="n">
        <v>0.114</v>
      </c>
      <c r="AS464" s="14" t="n">
        <v>-0.587</v>
      </c>
      <c r="AT464" s="14" t="n">
        <v>0.033</v>
      </c>
      <c r="AU464" s="14" t="n">
        <v>0</v>
      </c>
      <c r="AV464" s="14" t="n">
        <v>0</v>
      </c>
      <c r="AW464" s="14" t="n">
        <v>0.593</v>
      </c>
      <c r="AX464" s="14" t="n">
        <v>0.114</v>
      </c>
      <c r="AY464" s="14" t="n">
        <v>-0.5600000000000001</v>
      </c>
      <c r="AZ464" s="14" t="n">
        <v>0.033</v>
      </c>
      <c r="BA464" s="14" t="n">
        <v>0</v>
      </c>
      <c r="BB464" s="14" t="n">
        <v>0</v>
      </c>
      <c r="BC464" s="14" t="n">
        <v>0.44</v>
      </c>
      <c r="BD464" s="14" t="n">
        <v>0.114</v>
      </c>
      <c r="BE464" s="14" t="n">
        <v>-0.43</v>
      </c>
      <c r="BF464" s="14" t="n">
        <v>0.01</v>
      </c>
      <c r="BG464" s="14" t="n">
        <v>0</v>
      </c>
      <c r="BH464" s="14" t="n">
        <v>0</v>
      </c>
      <c r="BI464" s="14" t="n">
        <v>0.5600000000000001</v>
      </c>
      <c r="BJ464" s="14" t="n">
        <v>0.114</v>
      </c>
      <c r="BK464" s="14" t="n">
        <v>-0.54</v>
      </c>
      <c r="BL464" s="14" t="n">
        <v>0.02</v>
      </c>
      <c r="BM464" s="14" t="n">
        <v>0</v>
      </c>
      <c r="BN464" s="14" t="n">
        <v>0</v>
      </c>
      <c r="BO464" s="14" t="n">
        <v>0</v>
      </c>
      <c r="BP464" s="14" t="n">
        <v>-0.028</v>
      </c>
      <c r="BQ464" s="14" t="n">
        <v>0</v>
      </c>
      <c r="BR464" s="14" t="n">
        <v>0</v>
      </c>
      <c r="BS464" s="14" t="n">
        <v>1</v>
      </c>
      <c r="BT464" s="14" t="n">
        <v>0</v>
      </c>
      <c r="BU464" s="14" t="n">
        <v>-0.028</v>
      </c>
      <c r="BV464" s="14" t="n">
        <v>0.006</v>
      </c>
      <c r="BW464" s="14" t="n">
        <v>0</v>
      </c>
      <c r="BX464" s="14" t="n">
        <v>1</v>
      </c>
      <c r="BY464" s="14" t="n">
        <v>11.787</v>
      </c>
      <c r="BZ464" s="14" t="n">
        <v>0</v>
      </c>
      <c r="CA464" s="14" t="n">
        <v>11.787</v>
      </c>
      <c r="CB464" s="14" t="n">
        <v>0</v>
      </c>
      <c r="CC464" s="14" t="n">
        <v>81.69499999999999</v>
      </c>
      <c r="CD464" s="14" t="n">
        <v>7.95</v>
      </c>
      <c r="CE464" s="14" t="n">
        <v>-80.105</v>
      </c>
      <c r="CF464" s="14" t="n">
        <v>1.59</v>
      </c>
      <c r="CG464" s="14" t="n">
        <v>0</v>
      </c>
      <c r="CH464" s="14" t="n">
        <v>0</v>
      </c>
      <c r="CI464" s="14" t="n">
        <v>0</v>
      </c>
      <c r="CJ464" s="14" t="n">
        <v>0</v>
      </c>
      <c r="CK464" s="14" t="n">
        <v>0</v>
      </c>
      <c r="CL464" s="14" t="n">
        <v>0</v>
      </c>
      <c r="CM464" s="14" t="n">
        <v>0</v>
      </c>
      <c r="CN464" s="14" t="n">
        <v>0</v>
      </c>
      <c r="CO464" s="14" t="n">
        <v>0</v>
      </c>
      <c r="CP464" s="14" t="n">
        <v>0</v>
      </c>
      <c r="CQ464" s="14" t="n">
        <v>1.198</v>
      </c>
      <c r="CR464" s="14" t="n">
        <v>1</v>
      </c>
      <c r="CS464" s="14" t="n">
        <v>6.875</v>
      </c>
      <c r="CT464" s="14" t="n">
        <v>4.753</v>
      </c>
      <c r="CU464" s="14" t="n">
        <v>14.129</v>
      </c>
    </row>
    <row r="465">
      <c r="A465" s="14" t="inlineStr">
        <is>
          <t>LBY2022</t>
        </is>
      </c>
      <c r="B465" s="14" t="inlineStr">
        <is>
          <t>LBY</t>
        </is>
      </c>
      <c r="C465" s="14" t="inlineStr">
        <is>
          <t>LBY</t>
        </is>
      </c>
      <c r="D465" s="14" t="inlineStr">
        <is>
          <t>Libya</t>
        </is>
      </c>
      <c r="E465" s="14" t="n">
        <v>2022</v>
      </c>
      <c r="F465" s="14" t="n">
        <v>0</v>
      </c>
      <c r="G465" s="14" t="n">
        <v>11.72</v>
      </c>
      <c r="H465" s="14" t="n">
        <v>1.235</v>
      </c>
      <c r="I465" s="14" t="n">
        <v>0.555</v>
      </c>
      <c r="J465" s="14" t="n">
        <v>12.275</v>
      </c>
      <c r="K465" s="14" t="n">
        <v>0</v>
      </c>
      <c r="L465" s="14" t="n">
        <v>1</v>
      </c>
      <c r="M465" s="14" t="n">
        <v>9.782999999999999</v>
      </c>
      <c r="N465" s="14" t="n">
        <v>3.704</v>
      </c>
      <c r="O465" s="14" t="n">
        <v>0.365</v>
      </c>
      <c r="P465" s="14" t="n">
        <v>10.148</v>
      </c>
      <c r="Q465" s="14" t="n">
        <v>0</v>
      </c>
      <c r="R465" s="14" t="n">
        <v>1</v>
      </c>
      <c r="S465" s="14" t="n">
        <v>17.893</v>
      </c>
      <c r="T465" s="14" t="n">
        <v>7.408</v>
      </c>
      <c r="U465" s="14" t="n">
        <v>0.555</v>
      </c>
      <c r="V465" s="14" t="n">
        <v>18.448</v>
      </c>
      <c r="W465" s="14" t="n">
        <v>0</v>
      </c>
      <c r="X465" s="14" t="n">
        <v>1</v>
      </c>
      <c r="Y465" s="14" t="n">
        <v>8.042</v>
      </c>
      <c r="Z465" s="14" t="n">
        <v>0.882</v>
      </c>
      <c r="AA465" s="14" t="n">
        <v>-7.22</v>
      </c>
      <c r="AB465" s="14" t="n">
        <v>0.822</v>
      </c>
      <c r="AC465" s="14" t="n">
        <v>0</v>
      </c>
      <c r="AD465" s="14" t="n">
        <v>0</v>
      </c>
      <c r="AE465" s="14" t="n">
        <v>8.659000000000001</v>
      </c>
      <c r="AF465" s="14" t="n">
        <v>1.684</v>
      </c>
      <c r="AG465" s="14" t="n">
        <v>-8.422000000000001</v>
      </c>
      <c r="AH465" s="14" t="n">
        <v>0.237</v>
      </c>
      <c r="AI465" s="14" t="n">
        <v>0</v>
      </c>
      <c r="AJ465" s="14" t="n">
        <v>0</v>
      </c>
      <c r="AK465" s="14" t="n">
        <v>12.363</v>
      </c>
      <c r="AL465" s="14" t="n">
        <v>5.832</v>
      </c>
      <c r="AM465" s="14" t="n">
        <v>-1.667</v>
      </c>
      <c r="AN465" s="14" t="n">
        <v>10.696</v>
      </c>
      <c r="AO465" s="14" t="n">
        <v>0</v>
      </c>
      <c r="AP465" s="14" t="n">
        <v>1</v>
      </c>
      <c r="AQ465" s="14" t="n">
        <v>0.847</v>
      </c>
      <c r="AR465" s="14" t="n">
        <v>0.123</v>
      </c>
      <c r="AS465" s="14" t="n">
        <v>-0.8149999999999999</v>
      </c>
      <c r="AT465" s="14" t="n">
        <v>0.031</v>
      </c>
      <c r="AU465" s="14" t="n">
        <v>0</v>
      </c>
      <c r="AV465" s="14" t="n">
        <v>0</v>
      </c>
      <c r="AW465" s="14" t="n">
        <v>0.947</v>
      </c>
      <c r="AX465" s="14" t="n">
        <v>0.123</v>
      </c>
      <c r="AY465" s="14" t="n">
        <v>-0.916</v>
      </c>
      <c r="AZ465" s="14" t="n">
        <v>0.031</v>
      </c>
      <c r="BA465" s="14" t="n">
        <v>0</v>
      </c>
      <c r="BB465" s="14" t="n">
        <v>0</v>
      </c>
      <c r="BC465" s="14" t="n">
        <v>0.589</v>
      </c>
      <c r="BD465" s="14" t="n">
        <v>0.123</v>
      </c>
      <c r="BE465" s="14" t="n">
        <v>-0.579</v>
      </c>
      <c r="BF465" s="14" t="n">
        <v>0.01</v>
      </c>
      <c r="BG465" s="14" t="n">
        <v>0</v>
      </c>
      <c r="BH465" s="14" t="n">
        <v>0</v>
      </c>
      <c r="BI465" s="14" t="n">
        <v>0.6889999999999999</v>
      </c>
      <c r="BJ465" s="14" t="n">
        <v>0.123</v>
      </c>
      <c r="BK465" s="14" t="n">
        <v>-0.67</v>
      </c>
      <c r="BL465" s="14" t="n">
        <v>0.019</v>
      </c>
      <c r="BM465" s="14" t="n">
        <v>0</v>
      </c>
      <c r="BN465" s="14" t="n">
        <v>0</v>
      </c>
      <c r="BO465" s="14" t="n">
        <v>0</v>
      </c>
      <c r="BP465" s="14" t="n">
        <v>-0.104</v>
      </c>
      <c r="BQ465" s="14" t="n">
        <v>0</v>
      </c>
      <c r="BR465" s="14" t="n">
        <v>0</v>
      </c>
      <c r="BS465" s="14" t="n">
        <v>1</v>
      </c>
      <c r="BT465" s="14" t="n">
        <v>0</v>
      </c>
      <c r="BU465" s="14" t="n">
        <v>-0.104</v>
      </c>
      <c r="BV465" s="14" t="n">
        <v>0.005</v>
      </c>
      <c r="BW465" s="14" t="n">
        <v>0</v>
      </c>
      <c r="BX465" s="14" t="n">
        <v>1</v>
      </c>
      <c r="BY465" s="14" t="n">
        <v>12.729</v>
      </c>
      <c r="BZ465" s="14" t="n">
        <v>0</v>
      </c>
      <c r="CA465" s="14" t="n">
        <v>12.729</v>
      </c>
      <c r="CB465" s="14" t="n">
        <v>0</v>
      </c>
      <c r="CC465" s="14" t="n">
        <v>102.477</v>
      </c>
      <c r="CD465" s="14" t="n">
        <v>7.95</v>
      </c>
      <c r="CE465" s="14" t="n">
        <v>-100.887</v>
      </c>
      <c r="CF465" s="14" t="n">
        <v>1.59</v>
      </c>
      <c r="CG465" s="14" t="n">
        <v>0</v>
      </c>
      <c r="CH465" s="14" t="n">
        <v>0</v>
      </c>
      <c r="CI465" s="14" t="n">
        <v>0</v>
      </c>
      <c r="CJ465" s="14" t="n">
        <v>0</v>
      </c>
      <c r="CK465" s="14" t="n">
        <v>0</v>
      </c>
      <c r="CL465" s="14" t="n">
        <v>0</v>
      </c>
      <c r="CM465" s="14" t="n">
        <v>0</v>
      </c>
      <c r="CN465" s="14" t="n">
        <v>0</v>
      </c>
      <c r="CO465" s="14" t="n">
        <v>0</v>
      </c>
      <c r="CP465" s="14" t="n">
        <v>0</v>
      </c>
      <c r="CQ465" s="14" t="n">
        <v>1.294</v>
      </c>
      <c r="CR465" s="14" t="n">
        <v>1</v>
      </c>
      <c r="CS465" s="14" t="n">
        <v>7.424</v>
      </c>
      <c r="CT465" s="14" t="n">
        <v>10.485</v>
      </c>
      <c r="CU465" s="14" t="n">
        <v>28.059</v>
      </c>
    </row>
    <row r="466">
      <c r="A466" s="14" t="inlineStr">
        <is>
          <t>LBY2023</t>
        </is>
      </c>
      <c r="B466" s="14" t="inlineStr">
        <is>
          <t>LBY</t>
        </is>
      </c>
      <c r="C466" s="14" t="inlineStr">
        <is>
          <t>LBY</t>
        </is>
      </c>
      <c r="D466" s="14" t="inlineStr">
        <is>
          <t>Libya</t>
        </is>
      </c>
      <c r="E466" s="14" t="n">
        <v>2023</v>
      </c>
      <c r="F466" s="14" t="n">
        <v>0</v>
      </c>
      <c r="G466" s="14" t="n">
        <v>6.147</v>
      </c>
      <c r="H466" s="14" t="n">
        <v>1.286</v>
      </c>
      <c r="I466" s="14" t="n">
        <v>0.268</v>
      </c>
      <c r="J466" s="14" t="n">
        <v>6.415</v>
      </c>
      <c r="K466" s="14" t="n">
        <v>0</v>
      </c>
      <c r="L466" s="14" t="n">
        <v>1</v>
      </c>
      <c r="M466" s="14" t="n">
        <v>7.886</v>
      </c>
      <c r="N466" s="14" t="n">
        <v>3.857</v>
      </c>
      <c r="O466" s="14" t="n">
        <v>0.252</v>
      </c>
      <c r="P466" s="14" t="n">
        <v>8.138</v>
      </c>
      <c r="Q466" s="14" t="n">
        <v>0</v>
      </c>
      <c r="R466" s="14" t="n">
        <v>1</v>
      </c>
      <c r="S466" s="14" t="n">
        <v>12.575</v>
      </c>
      <c r="T466" s="14" t="n">
        <v>7.714</v>
      </c>
      <c r="U466" s="14" t="n">
        <v>0.268</v>
      </c>
      <c r="V466" s="14" t="n">
        <v>12.843</v>
      </c>
      <c r="W466" s="14" t="n">
        <v>0</v>
      </c>
      <c r="X466" s="14" t="n">
        <v>1</v>
      </c>
      <c r="Y466" s="14" t="n">
        <v>8.374000000000001</v>
      </c>
      <c r="Z466" s="14" t="n">
        <v>0.919</v>
      </c>
      <c r="AA466" s="14" t="n">
        <v>-7.527</v>
      </c>
      <c r="AB466" s="14" t="n">
        <v>0.846</v>
      </c>
      <c r="AC466" s="14" t="n">
        <v>0</v>
      </c>
      <c r="AD466" s="14" t="n">
        <v>0</v>
      </c>
      <c r="AE466" s="14" t="n">
        <v>9.016</v>
      </c>
      <c r="AF466" s="14" t="n">
        <v>1.753</v>
      </c>
      <c r="AG466" s="14" t="n">
        <v>-8.779999999999999</v>
      </c>
      <c r="AH466" s="14" t="n">
        <v>0.237</v>
      </c>
      <c r="AI466" s="14" t="n">
        <v>0</v>
      </c>
      <c r="AJ466" s="14" t="n">
        <v>0</v>
      </c>
      <c r="AK466" s="14" t="n">
        <v>12.873</v>
      </c>
      <c r="AL466" s="14" t="n">
        <v>6.073</v>
      </c>
      <c r="AM466" s="14" t="n">
        <v>-0.76</v>
      </c>
      <c r="AN466" s="14" t="n">
        <v>12.114</v>
      </c>
      <c r="AO466" s="14" t="n">
        <v>0</v>
      </c>
      <c r="AP466" s="14" t="n">
        <v>1</v>
      </c>
      <c r="AQ466" s="14" t="n">
        <v>0.749</v>
      </c>
      <c r="AR466" s="14" t="n">
        <v>0.129</v>
      </c>
      <c r="AS466" s="14" t="n">
        <v>-0.718</v>
      </c>
      <c r="AT466" s="14" t="n">
        <v>0.031</v>
      </c>
      <c r="AU466" s="14" t="n">
        <v>0</v>
      </c>
      <c r="AV466" s="14" t="n">
        <v>0</v>
      </c>
      <c r="AW466" s="14" t="n">
        <v>0.783</v>
      </c>
      <c r="AX466" s="14" t="n">
        <v>0.129</v>
      </c>
      <c r="AY466" s="14" t="n">
        <v>-0.751</v>
      </c>
      <c r="AZ466" s="14" t="n">
        <v>0.031</v>
      </c>
      <c r="BA466" s="14" t="n">
        <v>0</v>
      </c>
      <c r="BB466" s="14" t="n">
        <v>0</v>
      </c>
      <c r="BC466" s="14" t="n">
        <v>0.527</v>
      </c>
      <c r="BD466" s="14" t="n">
        <v>0.129</v>
      </c>
      <c r="BE466" s="14" t="n">
        <v>-0.513</v>
      </c>
      <c r="BF466" s="14" t="n">
        <v>0.014</v>
      </c>
      <c r="BG466" s="14" t="n">
        <v>0</v>
      </c>
      <c r="BH466" s="14" t="n">
        <v>0</v>
      </c>
      <c r="BI466" s="14" t="n">
        <v>0.64</v>
      </c>
      <c r="BJ466" s="14" t="n">
        <v>0.129</v>
      </c>
      <c r="BK466" s="14" t="n">
        <v>-0.621</v>
      </c>
      <c r="BL466" s="14" t="n">
        <v>0.019</v>
      </c>
      <c r="BM466" s="14" t="n">
        <v>0</v>
      </c>
      <c r="BN466" s="14" t="n">
        <v>0</v>
      </c>
      <c r="BO466" s="14" t="n">
        <v>0</v>
      </c>
      <c r="BP466" s="14" t="n">
        <v>-0.061</v>
      </c>
      <c r="BQ466" s="14" t="n">
        <v>0</v>
      </c>
      <c r="BR466" s="14" t="n">
        <v>0</v>
      </c>
      <c r="BS466" s="14" t="n">
        <v>1</v>
      </c>
      <c r="BT466" s="14" t="n">
        <v>0</v>
      </c>
      <c r="BU466" s="14" t="n">
        <v>-0.061</v>
      </c>
      <c r="BV466" s="14" t="n">
        <v>0.005</v>
      </c>
      <c r="BW466" s="14" t="n">
        <v>0</v>
      </c>
      <c r="BX466" s="14" t="n">
        <v>1</v>
      </c>
      <c r="BY466" s="14" t="n">
        <v>13.254</v>
      </c>
      <c r="BZ466" s="14" t="n">
        <v>0</v>
      </c>
      <c r="CA466" s="14" t="n">
        <v>13.254</v>
      </c>
      <c r="CB466" s="14" t="n">
        <v>0</v>
      </c>
      <c r="CC466" s="14" t="n">
        <v>87.07899999999999</v>
      </c>
      <c r="CD466" s="14" t="n">
        <v>7.95</v>
      </c>
      <c r="CE466" s="14" t="n">
        <v>-85.489</v>
      </c>
      <c r="CF466" s="14" t="n">
        <v>1.59</v>
      </c>
      <c r="CG466" s="14" t="n">
        <v>0</v>
      </c>
      <c r="CH466" s="14" t="n">
        <v>0</v>
      </c>
      <c r="CI466" s="14" t="n">
        <v>0</v>
      </c>
      <c r="CJ466" s="14" t="n">
        <v>0</v>
      </c>
      <c r="CK466" s="14" t="n">
        <v>0</v>
      </c>
      <c r="CL466" s="14" t="n">
        <v>0</v>
      </c>
      <c r="CM466" s="14" t="n">
        <v>0</v>
      </c>
      <c r="CN466" s="14" t="n">
        <v>0</v>
      </c>
      <c r="CO466" s="14" t="n">
        <v>0</v>
      </c>
      <c r="CP466" s="14" t="n">
        <v>0</v>
      </c>
      <c r="CQ466" s="14" t="n">
        <v>1.348</v>
      </c>
      <c r="CR466" s="14" t="n">
        <v>1</v>
      </c>
      <c r="CS466" s="14" t="n">
        <v>7.731</v>
      </c>
      <c r="CT466" s="14" t="n">
        <v>4.861</v>
      </c>
      <c r="CU466" s="14" t="n">
        <v>9.260999999999999</v>
      </c>
    </row>
    <row r="467">
      <c r="A467" s="14" t="inlineStr">
        <is>
          <t>LBY2024</t>
        </is>
      </c>
      <c r="B467" s="14" t="inlineStr">
        <is>
          <t>LBY</t>
        </is>
      </c>
      <c r="C467" s="14" t="inlineStr">
        <is>
          <t>LBY</t>
        </is>
      </c>
      <c r="D467" s="14" t="inlineStr">
        <is>
          <t>Libya</t>
        </is>
      </c>
      <c r="E467" s="14" t="n">
        <v>2024</v>
      </c>
      <c r="F467" s="14" t="n">
        <v>0</v>
      </c>
      <c r="G467" s="14" t="n">
        <v>5.575</v>
      </c>
      <c r="H467" s="14" t="n">
        <v>1.324</v>
      </c>
      <c r="I467" s="14" t="n">
        <v>0.208</v>
      </c>
      <c r="J467" s="14" t="n">
        <v>5.783</v>
      </c>
      <c r="K467" s="14" t="n">
        <v>0</v>
      </c>
      <c r="L467" s="14" t="n">
        <v>1</v>
      </c>
      <c r="M467" s="14" t="n">
        <v>7.124</v>
      </c>
      <c r="N467" s="14" t="n">
        <v>3.971</v>
      </c>
      <c r="O467" s="14" t="n">
        <v>0.176</v>
      </c>
      <c r="P467" s="14" t="n">
        <v>7.299</v>
      </c>
      <c r="Q467" s="14" t="n">
        <v>0</v>
      </c>
      <c r="R467" s="14" t="n">
        <v>1</v>
      </c>
      <c r="S467" s="14" t="n">
        <v>12.193</v>
      </c>
      <c r="T467" s="14" t="n">
        <v>7.942</v>
      </c>
      <c r="U467" s="14" t="n">
        <v>0.208</v>
      </c>
      <c r="V467" s="14" t="n">
        <v>12.401</v>
      </c>
      <c r="W467" s="14" t="n">
        <v>0</v>
      </c>
      <c r="X467" s="14" t="n">
        <v>1</v>
      </c>
      <c r="Y467" s="14" t="n">
        <v>8.26</v>
      </c>
      <c r="Z467" s="14" t="n">
        <v>0.906</v>
      </c>
      <c r="AA467" s="14" t="n">
        <v>-7.389</v>
      </c>
      <c r="AB467" s="14" t="n">
        <v>0.871</v>
      </c>
      <c r="AC467" s="14" t="n">
        <v>0</v>
      </c>
      <c r="AD467" s="14" t="n">
        <v>0</v>
      </c>
      <c r="AE467" s="14" t="n">
        <v>8.922000000000001</v>
      </c>
      <c r="AF467" s="14" t="n">
        <v>1.735</v>
      </c>
      <c r="AG467" s="14" t="n">
        <v>-8.678000000000001</v>
      </c>
      <c r="AH467" s="14" t="n">
        <v>0.244</v>
      </c>
      <c r="AI467" s="14" t="n">
        <v>0</v>
      </c>
      <c r="AJ467" s="14" t="n">
        <v>0</v>
      </c>
      <c r="AK467" s="14" t="n">
        <v>12.892</v>
      </c>
      <c r="AL467" s="14" t="n">
        <v>6.082</v>
      </c>
      <c r="AM467" s="14" t="n">
        <v>-0.696</v>
      </c>
      <c r="AN467" s="14" t="n">
        <v>12.197</v>
      </c>
      <c r="AO467" s="14" t="n">
        <v>0</v>
      </c>
      <c r="AP467" s="14" t="n">
        <v>1</v>
      </c>
      <c r="AQ467" s="14" t="n">
        <v>0.72</v>
      </c>
      <c r="AR467" s="14" t="n">
        <v>0.132</v>
      </c>
      <c r="AS467" s="14" t="n">
        <v>-0.6879999999999999</v>
      </c>
      <c r="AT467" s="14" t="n">
        <v>0.032</v>
      </c>
      <c r="AU467" s="14" t="n">
        <v>0</v>
      </c>
      <c r="AV467" s="14" t="n">
        <v>0</v>
      </c>
      <c r="AW467" s="14" t="n">
        <v>0.734</v>
      </c>
      <c r="AX467" s="14" t="n">
        <v>0.132</v>
      </c>
      <c r="AY467" s="14" t="n">
        <v>-0.702</v>
      </c>
      <c r="AZ467" s="14" t="n">
        <v>0.032</v>
      </c>
      <c r="BA467" s="14" t="n">
        <v>0</v>
      </c>
      <c r="BB467" s="14" t="n">
        <v>0</v>
      </c>
      <c r="BC467" s="14" t="n">
        <v>0.51</v>
      </c>
      <c r="BD467" s="14" t="n">
        <v>0.132</v>
      </c>
      <c r="BE467" s="14" t="n">
        <v>-0.496</v>
      </c>
      <c r="BF467" s="14" t="n">
        <v>0.014</v>
      </c>
      <c r="BG467" s="14" t="n">
        <v>0</v>
      </c>
      <c r="BH467" s="14" t="n">
        <v>0</v>
      </c>
      <c r="BI467" s="14" t="n">
        <v>0.652</v>
      </c>
      <c r="BJ467" s="14" t="n">
        <v>0.132</v>
      </c>
      <c r="BK467" s="14" t="n">
        <v>-0.633</v>
      </c>
      <c r="BL467" s="14" t="n">
        <v>0.019</v>
      </c>
      <c r="BM467" s="14" t="n">
        <v>0</v>
      </c>
      <c r="BN467" s="14" t="n">
        <v>0</v>
      </c>
      <c r="BO467" s="14" t="n">
        <v>0</v>
      </c>
      <c r="BP467" s="14" t="n">
        <v>-0.063</v>
      </c>
      <c r="BQ467" s="14" t="n">
        <v>0</v>
      </c>
      <c r="BR467" s="14" t="n">
        <v>0</v>
      </c>
      <c r="BS467" s="14" t="n">
        <v>1</v>
      </c>
      <c r="BT467" s="14" t="n">
        <v>0</v>
      </c>
      <c r="BU467" s="14" t="n">
        <v>-0.063</v>
      </c>
      <c r="BV467" s="14" t="n">
        <v>0.005</v>
      </c>
      <c r="BW467" s="14" t="n">
        <v>0</v>
      </c>
      <c r="BX467" s="14" t="n">
        <v>1</v>
      </c>
      <c r="BY467" s="14" t="n">
        <v>13.646</v>
      </c>
      <c r="BZ467" s="14" t="n">
        <v>0</v>
      </c>
      <c r="CA467" s="14" t="n">
        <v>13.646</v>
      </c>
      <c r="CB467" s="14" t="n">
        <v>0</v>
      </c>
      <c r="CC467" s="14" t="n">
        <v>86.38500000000001</v>
      </c>
      <c r="CD467" s="14" t="n">
        <v>7.95</v>
      </c>
      <c r="CE467" s="14" t="n">
        <v>-84.795</v>
      </c>
      <c r="CF467" s="14" t="n">
        <v>1.59</v>
      </c>
      <c r="CG467" s="14" t="n">
        <v>0</v>
      </c>
      <c r="CH467" s="14" t="n">
        <v>0</v>
      </c>
      <c r="CI467" s="14" t="n">
        <v>0</v>
      </c>
      <c r="CJ467" s="14" t="n">
        <v>0</v>
      </c>
      <c r="CK467" s="14" t="n">
        <v>0</v>
      </c>
      <c r="CL467" s="14" t="n">
        <v>0</v>
      </c>
      <c r="CM467" s="14" t="n">
        <v>0</v>
      </c>
      <c r="CN467" s="14" t="n">
        <v>0</v>
      </c>
      <c r="CO467" s="14" t="n">
        <v>0</v>
      </c>
      <c r="CP467" s="14" t="n">
        <v>0</v>
      </c>
      <c r="CQ467" s="14" t="n">
        <v>1.387</v>
      </c>
      <c r="CR467" s="14" t="n">
        <v>1</v>
      </c>
      <c r="CS467" s="14" t="n">
        <v>7.598</v>
      </c>
      <c r="CT467" s="14" t="n">
        <v>4.251</v>
      </c>
      <c r="CU467" s="14" t="n">
        <v>7.598</v>
      </c>
    </row>
    <row r="468">
      <c r="A468" s="14" t="inlineStr">
        <is>
          <t>LIE2021</t>
        </is>
      </c>
      <c r="B468" s="14" t="inlineStr">
        <is>
          <t>LIE</t>
        </is>
      </c>
      <c r="C468" s="14" t="inlineStr">
        <is>
          <t>LIE</t>
        </is>
      </c>
      <c r="D468" s="14" t="inlineStr">
        <is>
          <t>Liechtenstein</t>
        </is>
      </c>
      <c r="E468" s="14" t="n">
        <v>2021</v>
      </c>
      <c r="F468" s="14" t="n">
        <v>0.077</v>
      </c>
      <c r="G468" s="14" t="n">
        <v>5.553</v>
      </c>
      <c r="H468" s="14" t="n">
        <v>1.143</v>
      </c>
      <c r="I468" s="14" t="n">
        <v>3.278</v>
      </c>
      <c r="J468" s="14" t="n">
        <v>8.831</v>
      </c>
      <c r="K468" s="14" t="n">
        <v>0</v>
      </c>
      <c r="L468" s="14" t="n">
        <v>1</v>
      </c>
      <c r="M468" s="14" t="n">
        <v>7.964</v>
      </c>
      <c r="N468" s="14" t="n">
        <v>3.43</v>
      </c>
      <c r="O468" s="14" t="n">
        <v>3.269</v>
      </c>
      <c r="P468" s="14" t="n">
        <v>11.234</v>
      </c>
      <c r="Q468" s="14" t="n">
        <v>0</v>
      </c>
      <c r="R468" s="14" t="n">
        <v>1</v>
      </c>
      <c r="S468" s="14" t="n">
        <v>11.27</v>
      </c>
      <c r="T468" s="14" t="n">
        <v>6.86</v>
      </c>
      <c r="U468" s="14" t="n">
        <v>2.24</v>
      </c>
      <c r="V468" s="14" t="n">
        <v>14.55</v>
      </c>
      <c r="W468" s="14" t="n">
        <v>0.077</v>
      </c>
      <c r="X468" s="14" t="n">
        <v>1</v>
      </c>
      <c r="Y468" s="14" t="n">
        <v>27.896</v>
      </c>
      <c r="Z468" s="14" t="n">
        <v>3.081</v>
      </c>
      <c r="AA468" s="14" t="n">
        <v>-10.453</v>
      </c>
      <c r="AB468" s="14" t="n">
        <v>17.443</v>
      </c>
      <c r="AC468" s="14" t="n">
        <v>0</v>
      </c>
      <c r="AD468" s="14" t="n">
        <v>1</v>
      </c>
      <c r="AE468" s="14" t="n">
        <v>27.853</v>
      </c>
      <c r="AF468" s="14" t="n">
        <v>5.481</v>
      </c>
      <c r="AG468" s="14" t="n">
        <v>-10.41</v>
      </c>
      <c r="AH468" s="14" t="n">
        <v>17.443</v>
      </c>
      <c r="AI468" s="14" t="n">
        <v>0</v>
      </c>
      <c r="AJ468" s="14" t="n">
        <v>1</v>
      </c>
      <c r="AK468" s="14" t="n">
        <v>37.014</v>
      </c>
      <c r="AL468" s="14" t="n">
        <v>18.167</v>
      </c>
      <c r="AM468" s="14" t="n">
        <v>-15.073</v>
      </c>
      <c r="AN468" s="14" t="n">
        <v>23.631</v>
      </c>
      <c r="AO468" s="14" t="n">
        <v>0.077</v>
      </c>
      <c r="AP468" s="14" t="n">
        <v>1</v>
      </c>
      <c r="AQ468" s="14" t="n">
        <v>0.619</v>
      </c>
      <c r="AR468" s="14" t="n">
        <v>0.114</v>
      </c>
      <c r="AS468" s="14" t="n">
        <v>0.073</v>
      </c>
      <c r="AT468" s="14" t="n">
        <v>0.745</v>
      </c>
      <c r="AU468" s="14" t="n">
        <v>0.077</v>
      </c>
      <c r="AV468" s="14" t="n">
        <v>1</v>
      </c>
      <c r="AW468" s="14" t="n">
        <v>0.599</v>
      </c>
      <c r="AX468" s="14" t="n">
        <v>0.114</v>
      </c>
      <c r="AY468" s="14" t="n">
        <v>0.074</v>
      </c>
      <c r="AZ468" s="14" t="n">
        <v>0.725</v>
      </c>
      <c r="BA468" s="14" t="n">
        <v>0.077</v>
      </c>
      <c r="BB468" s="14" t="n">
        <v>1</v>
      </c>
      <c r="BC468" s="14" t="n">
        <v>0.439</v>
      </c>
      <c r="BD468" s="14" t="n">
        <v>0.114</v>
      </c>
      <c r="BE468" s="14" t="n">
        <v>0.046</v>
      </c>
      <c r="BF468" s="14" t="n">
        <v>0.523</v>
      </c>
      <c r="BG468" s="14" t="n">
        <v>0.077</v>
      </c>
      <c r="BH468" s="14" t="n">
        <v>1</v>
      </c>
      <c r="BI468" s="14" t="n">
        <v>0.505</v>
      </c>
      <c r="BJ468" s="14" t="n">
        <v>0.114</v>
      </c>
      <c r="BK468" s="14" t="n">
        <v>0.067</v>
      </c>
      <c r="BL468" s="14" t="n">
        <v>0.616</v>
      </c>
      <c r="BM468" s="14" t="n">
        <v>0.077</v>
      </c>
      <c r="BN468" s="14" t="n">
        <v>1</v>
      </c>
      <c r="BO468" s="14" t="n">
        <v>0</v>
      </c>
      <c r="BP468" s="14" t="n">
        <v>0</v>
      </c>
      <c r="BQ468" s="14" t="n">
        <v>0</v>
      </c>
      <c r="BR468" s="14" t="n">
        <v>0</v>
      </c>
      <c r="BS468" s="14" t="n">
        <v>1</v>
      </c>
      <c r="BT468" s="14" t="n">
        <v>0</v>
      </c>
      <c r="BU468" s="14" t="n">
        <v>0.016</v>
      </c>
      <c r="BV468" s="14" t="n">
        <v>0.248</v>
      </c>
      <c r="BW468" s="14" t="n">
        <v>0.077</v>
      </c>
      <c r="BX468" s="14" t="n">
        <v>1</v>
      </c>
      <c r="BY468" s="14" t="n">
        <v>11.787</v>
      </c>
      <c r="BZ468" s="14" t="n">
        <v>0</v>
      </c>
      <c r="CA468" s="14" t="n">
        <v>11.787</v>
      </c>
      <c r="CB468" s="14" t="n">
        <v>0</v>
      </c>
      <c r="CC468" s="14" t="n">
        <v>78.125</v>
      </c>
      <c r="CD468" s="14" t="n">
        <v>7.95</v>
      </c>
      <c r="CE468" s="14" t="n">
        <v>42.747</v>
      </c>
      <c r="CF468" s="14" t="n">
        <v>130.179</v>
      </c>
      <c r="CG468" s="14" t="n">
        <v>0.077</v>
      </c>
      <c r="CH468" s="14" t="n">
        <v>1</v>
      </c>
      <c r="CI468" s="14" t="n">
        <v>0</v>
      </c>
      <c r="CJ468" s="14" t="n">
        <v>0</v>
      </c>
      <c r="CK468" s="14" t="n">
        <v>0</v>
      </c>
      <c r="CL468" s="14" t="n">
        <v>0</v>
      </c>
      <c r="CM468" s="14" t="n">
        <v>0</v>
      </c>
      <c r="CN468" s="14" t="n">
        <v>0</v>
      </c>
      <c r="CO468" s="14" t="n">
        <v>0</v>
      </c>
      <c r="CP468" s="14" t="n">
        <v>0</v>
      </c>
      <c r="CQ468" s="14" t="n">
        <v>1.198</v>
      </c>
      <c r="CR468" s="14" t="n">
        <v>0</v>
      </c>
      <c r="CS468" s="14" t="n">
        <v>4.776</v>
      </c>
      <c r="CT468" s="14" t="n">
        <v>4.41</v>
      </c>
      <c r="CU468" s="14" t="n">
        <v>15.162</v>
      </c>
    </row>
    <row r="469">
      <c r="A469" s="14" t="inlineStr">
        <is>
          <t>LIE2022</t>
        </is>
      </c>
      <c r="B469" s="14" t="inlineStr">
        <is>
          <t>LIE</t>
        </is>
      </c>
      <c r="C469" s="14" t="inlineStr">
        <is>
          <t>LIE</t>
        </is>
      </c>
      <c r="D469" s="14" t="inlineStr">
        <is>
          <t>Liechtenstein</t>
        </is>
      </c>
      <c r="E469" s="14" t="n">
        <v>2022</v>
      </c>
      <c r="F469" s="14" t="n">
        <v>0.077</v>
      </c>
      <c r="G469" s="14" t="n">
        <v>7.077</v>
      </c>
      <c r="H469" s="14" t="n">
        <v>1.235</v>
      </c>
      <c r="I469" s="14" t="n">
        <v>8.454000000000001</v>
      </c>
      <c r="J469" s="14" t="n">
        <v>15.531</v>
      </c>
      <c r="K469" s="14" t="n">
        <v>0</v>
      </c>
      <c r="L469" s="14" t="n">
        <v>1</v>
      </c>
      <c r="M469" s="14" t="n">
        <v>9.782999999999999</v>
      </c>
      <c r="N469" s="14" t="n">
        <v>3.704</v>
      </c>
      <c r="O469" s="14" t="n">
        <v>8.411</v>
      </c>
      <c r="P469" s="14" t="n">
        <v>18.194</v>
      </c>
      <c r="Q469" s="14" t="n">
        <v>0</v>
      </c>
      <c r="R469" s="14" t="n">
        <v>1</v>
      </c>
      <c r="S469" s="14" t="n">
        <v>13.25</v>
      </c>
      <c r="T469" s="14" t="n">
        <v>7.408</v>
      </c>
      <c r="U469" s="14" t="n">
        <v>11.56</v>
      </c>
      <c r="V469" s="14" t="n">
        <v>26.569</v>
      </c>
      <c r="W469" s="14" t="n">
        <v>0.077</v>
      </c>
      <c r="X469" s="14" t="n">
        <v>1</v>
      </c>
      <c r="Y469" s="14" t="n">
        <v>44.151</v>
      </c>
      <c r="Z469" s="14" t="n">
        <v>4.632</v>
      </c>
      <c r="AA469" s="14" t="n">
        <v>-8.944000000000001</v>
      </c>
      <c r="AB469" s="14" t="n">
        <v>35.207</v>
      </c>
      <c r="AC469" s="14" t="n">
        <v>0</v>
      </c>
      <c r="AD469" s="14" t="n">
        <v>1</v>
      </c>
      <c r="AE469" s="14" t="n">
        <v>44.199</v>
      </c>
      <c r="AF469" s="14" t="n">
        <v>8.194000000000001</v>
      </c>
      <c r="AG469" s="14" t="n">
        <v>-8.99</v>
      </c>
      <c r="AH469" s="14" t="n">
        <v>35.209</v>
      </c>
      <c r="AI469" s="14" t="n">
        <v>0</v>
      </c>
      <c r="AJ469" s="14" t="n">
        <v>1</v>
      </c>
      <c r="AK469" s="14" t="n">
        <v>53.909</v>
      </c>
      <c r="AL469" s="14" t="n">
        <v>25.744</v>
      </c>
      <c r="AM469" s="14" t="n">
        <v>-13.26</v>
      </c>
      <c r="AN469" s="14" t="n">
        <v>43.778</v>
      </c>
      <c r="AO469" s="14" t="n">
        <v>0.077</v>
      </c>
      <c r="AP469" s="14" t="n">
        <v>1</v>
      </c>
      <c r="AQ469" s="14" t="n">
        <v>0.861</v>
      </c>
      <c r="AR469" s="14" t="n">
        <v>0.123</v>
      </c>
      <c r="AS469" s="14" t="n">
        <v>0.312</v>
      </c>
      <c r="AT469" s="14" t="n">
        <v>1.256</v>
      </c>
      <c r="AU469" s="14" t="n">
        <v>0.077</v>
      </c>
      <c r="AV469" s="14" t="n">
        <v>1</v>
      </c>
      <c r="AW469" s="14" t="n">
        <v>0.986</v>
      </c>
      <c r="AX469" s="14" t="n">
        <v>0.123</v>
      </c>
      <c r="AY469" s="14" t="n">
        <v>0.345</v>
      </c>
      <c r="AZ469" s="14" t="n">
        <v>1.425</v>
      </c>
      <c r="BA469" s="14" t="n">
        <v>0.077</v>
      </c>
      <c r="BB469" s="14" t="n">
        <v>1</v>
      </c>
      <c r="BC469" s="14" t="n">
        <v>0.598</v>
      </c>
      <c r="BD469" s="14" t="n">
        <v>0.123</v>
      </c>
      <c r="BE469" s="14" t="n">
        <v>0.22</v>
      </c>
      <c r="BF469" s="14" t="n">
        <v>0.876</v>
      </c>
      <c r="BG469" s="14" t="n">
        <v>0.077</v>
      </c>
      <c r="BH469" s="14" t="n">
        <v>1</v>
      </c>
      <c r="BI469" s="14" t="n">
        <v>0.612</v>
      </c>
      <c r="BJ469" s="14" t="n">
        <v>0.123</v>
      </c>
      <c r="BK469" s="14" t="n">
        <v>0.314</v>
      </c>
      <c r="BL469" s="14" t="n">
        <v>0.993</v>
      </c>
      <c r="BM469" s="14" t="n">
        <v>0.077</v>
      </c>
      <c r="BN469" s="14" t="n">
        <v>1</v>
      </c>
      <c r="BO469" s="14" t="n">
        <v>0</v>
      </c>
      <c r="BP469" s="14" t="n">
        <v>0</v>
      </c>
      <c r="BQ469" s="14" t="n">
        <v>0</v>
      </c>
      <c r="BR469" s="14" t="n">
        <v>0</v>
      </c>
      <c r="BS469" s="14" t="n">
        <v>1</v>
      </c>
      <c r="BT469" s="14" t="n">
        <v>0</v>
      </c>
      <c r="BU469" s="14" t="n">
        <v>0.016</v>
      </c>
      <c r="BV469" s="14" t="n">
        <v>0.238</v>
      </c>
      <c r="BW469" s="14" t="n">
        <v>0.077</v>
      </c>
      <c r="BX469" s="14" t="n">
        <v>1</v>
      </c>
      <c r="BY469" s="14" t="n">
        <v>12.729</v>
      </c>
      <c r="BZ469" s="14" t="n">
        <v>0</v>
      </c>
      <c r="CA469" s="14" t="n">
        <v>12.729</v>
      </c>
      <c r="CB469" s="14" t="n">
        <v>0</v>
      </c>
      <c r="CC469" s="14" t="n">
        <v>97.90000000000001</v>
      </c>
      <c r="CD469" s="14" t="n">
        <v>7.95</v>
      </c>
      <c r="CE469" s="14" t="n">
        <v>43.51</v>
      </c>
      <c r="CF469" s="14" t="n">
        <v>151.435</v>
      </c>
      <c r="CG469" s="14" t="n">
        <v>0.077</v>
      </c>
      <c r="CH469" s="14" t="n">
        <v>1</v>
      </c>
      <c r="CI469" s="14" t="n">
        <v>0</v>
      </c>
      <c r="CJ469" s="14" t="n">
        <v>0</v>
      </c>
      <c r="CK469" s="14" t="n">
        <v>0</v>
      </c>
      <c r="CL469" s="14" t="n">
        <v>0</v>
      </c>
      <c r="CM469" s="14" t="n">
        <v>0</v>
      </c>
      <c r="CN469" s="14" t="n">
        <v>0</v>
      </c>
      <c r="CO469" s="14" t="n">
        <v>0</v>
      </c>
      <c r="CP469" s="14" t="n">
        <v>0</v>
      </c>
      <c r="CQ469" s="14" t="n">
        <v>1.294</v>
      </c>
      <c r="CR469" s="14" t="n">
        <v>0</v>
      </c>
      <c r="CS469" s="14" t="n">
        <v>5.158</v>
      </c>
      <c r="CT469" s="14" t="n">
        <v>5.842</v>
      </c>
      <c r="CU469" s="14" t="n">
        <v>31.326</v>
      </c>
    </row>
    <row r="470">
      <c r="A470" s="14" t="inlineStr">
        <is>
          <t>LIE2023</t>
        </is>
      </c>
      <c r="B470" s="14" t="inlineStr">
        <is>
          <t>LIE</t>
        </is>
      </c>
      <c r="C470" s="14" t="inlineStr">
        <is>
          <t>LIE</t>
        </is>
      </c>
      <c r="D470" s="14" t="inlineStr">
        <is>
          <t>Liechtenstein</t>
        </is>
      </c>
      <c r="E470" s="14" t="n">
        <v>2023</v>
      </c>
      <c r="F470" s="14" t="n">
        <v>0.077</v>
      </c>
      <c r="G470" s="14" t="n">
        <v>4.752</v>
      </c>
      <c r="H470" s="14" t="n">
        <v>1.286</v>
      </c>
      <c r="I470" s="14" t="n">
        <v>9.773999999999999</v>
      </c>
      <c r="J470" s="14" t="n">
        <v>14.526</v>
      </c>
      <c r="K470" s="14" t="n">
        <v>0</v>
      </c>
      <c r="L470" s="14" t="n">
        <v>1</v>
      </c>
      <c r="M470" s="14" t="n">
        <v>7.886</v>
      </c>
      <c r="N470" s="14" t="n">
        <v>3.857</v>
      </c>
      <c r="O470" s="14" t="n">
        <v>9.721</v>
      </c>
      <c r="P470" s="14" t="n">
        <v>17.607</v>
      </c>
      <c r="Q470" s="14" t="n">
        <v>0</v>
      </c>
      <c r="R470" s="14" t="n">
        <v>1</v>
      </c>
      <c r="S470" s="14" t="n">
        <v>11.18</v>
      </c>
      <c r="T470" s="14" t="n">
        <v>7.714</v>
      </c>
      <c r="U470" s="14" t="n">
        <v>12.154</v>
      </c>
      <c r="V470" s="14" t="n">
        <v>24.918</v>
      </c>
      <c r="W470" s="14" t="n">
        <v>0.077</v>
      </c>
      <c r="X470" s="14" t="n">
        <v>1</v>
      </c>
      <c r="Y470" s="14" t="n">
        <v>24.499</v>
      </c>
      <c r="Z470" s="14" t="n">
        <v>2.744</v>
      </c>
      <c r="AA470" s="14" t="n">
        <v>23.233</v>
      </c>
      <c r="AB470" s="14" t="n">
        <v>47.732</v>
      </c>
      <c r="AC470" s="14" t="n">
        <v>0</v>
      </c>
      <c r="AD470" s="14" t="n">
        <v>1</v>
      </c>
      <c r="AE470" s="14" t="n">
        <v>24.598</v>
      </c>
      <c r="AF470" s="14" t="n">
        <v>4.899</v>
      </c>
      <c r="AG470" s="14" t="n">
        <v>23.137</v>
      </c>
      <c r="AH470" s="14" t="n">
        <v>47.734</v>
      </c>
      <c r="AI470" s="14" t="n">
        <v>0</v>
      </c>
      <c r="AJ470" s="14" t="n">
        <v>1</v>
      </c>
      <c r="AK470" s="14" t="n">
        <v>34.613</v>
      </c>
      <c r="AL470" s="14" t="n">
        <v>17.146</v>
      </c>
      <c r="AM470" s="14" t="n">
        <v>21.899</v>
      </c>
      <c r="AN470" s="14" t="n">
        <v>60.863</v>
      </c>
      <c r="AO470" s="14" t="n">
        <v>0.077</v>
      </c>
      <c r="AP470" s="14" t="n">
        <v>1</v>
      </c>
      <c r="AQ470" s="14" t="n">
        <v>0.76</v>
      </c>
      <c r="AR470" s="14" t="n">
        <v>0.129</v>
      </c>
      <c r="AS470" s="14" t="n">
        <v>0.324</v>
      </c>
      <c r="AT470" s="14" t="n">
        <v>1.158</v>
      </c>
      <c r="AU470" s="14" t="n">
        <v>0.077</v>
      </c>
      <c r="AV470" s="14" t="n">
        <v>1</v>
      </c>
      <c r="AW470" s="14" t="n">
        <v>0.8110000000000001</v>
      </c>
      <c r="AX470" s="14" t="n">
        <v>0.129</v>
      </c>
      <c r="AY470" s="14" t="n">
        <v>0.358</v>
      </c>
      <c r="AZ470" s="14" t="n">
        <v>1.248</v>
      </c>
      <c r="BA470" s="14" t="n">
        <v>0.077</v>
      </c>
      <c r="BB470" s="14" t="n">
        <v>1</v>
      </c>
      <c r="BC470" s="14" t="n">
        <v>0.535</v>
      </c>
      <c r="BD470" s="14" t="n">
        <v>0.129</v>
      </c>
      <c r="BE470" s="14" t="n">
        <v>0.23</v>
      </c>
      <c r="BF470" s="14" t="n">
        <v>0.8169999999999999</v>
      </c>
      <c r="BG470" s="14" t="n">
        <v>0.077</v>
      </c>
      <c r="BH470" s="14" t="n">
        <v>1</v>
      </c>
      <c r="BI470" s="14" t="n">
        <v>0.579</v>
      </c>
      <c r="BJ470" s="14" t="n">
        <v>0.129</v>
      </c>
      <c r="BK470" s="14" t="n">
        <v>0.33</v>
      </c>
      <c r="BL470" s="14" t="n">
        <v>0.972</v>
      </c>
      <c r="BM470" s="14" t="n">
        <v>0.077</v>
      </c>
      <c r="BN470" s="14" t="n">
        <v>1</v>
      </c>
      <c r="BO470" s="14" t="n">
        <v>0</v>
      </c>
      <c r="BP470" s="14" t="n">
        <v>0</v>
      </c>
      <c r="BQ470" s="14" t="n">
        <v>0</v>
      </c>
      <c r="BR470" s="14" t="n">
        <v>0</v>
      </c>
      <c r="BS470" s="14" t="n">
        <v>1</v>
      </c>
      <c r="BT470" s="14" t="n">
        <v>0</v>
      </c>
      <c r="BU470" s="14" t="n">
        <v>0.017</v>
      </c>
      <c r="BV470" s="14" t="n">
        <v>0.429</v>
      </c>
      <c r="BW470" s="14" t="n">
        <v>0.077</v>
      </c>
      <c r="BX470" s="14" t="n">
        <v>1</v>
      </c>
      <c r="BY470" s="14" t="n">
        <v>13.254</v>
      </c>
      <c r="BZ470" s="14" t="n">
        <v>0</v>
      </c>
      <c r="CA470" s="14" t="n">
        <v>13.254</v>
      </c>
      <c r="CB470" s="14" t="n">
        <v>0</v>
      </c>
      <c r="CC470" s="14" t="n">
        <v>83.248</v>
      </c>
      <c r="CD470" s="14" t="n">
        <v>7.95</v>
      </c>
      <c r="CE470" s="14" t="n">
        <v>49.955</v>
      </c>
      <c r="CF470" s="14" t="n">
        <v>142.247</v>
      </c>
      <c r="CG470" s="14" t="n">
        <v>0.077</v>
      </c>
      <c r="CH470" s="14" t="n">
        <v>1</v>
      </c>
      <c r="CI470" s="14" t="n">
        <v>0</v>
      </c>
      <c r="CJ470" s="14" t="n">
        <v>0</v>
      </c>
      <c r="CK470" s="14" t="n">
        <v>0</v>
      </c>
      <c r="CL470" s="14" t="n">
        <v>0</v>
      </c>
      <c r="CM470" s="14" t="n">
        <v>0</v>
      </c>
      <c r="CN470" s="14" t="n">
        <v>0</v>
      </c>
      <c r="CO470" s="14" t="n">
        <v>0</v>
      </c>
      <c r="CP470" s="14" t="n">
        <v>0</v>
      </c>
      <c r="CQ470" s="14" t="n">
        <v>1.348</v>
      </c>
      <c r="CR470" s="14" t="n">
        <v>0</v>
      </c>
      <c r="CS470" s="14" t="n">
        <v>5.37</v>
      </c>
      <c r="CT470" s="14" t="n">
        <v>3.466</v>
      </c>
      <c r="CU470" s="14" t="n">
        <v>11.622</v>
      </c>
    </row>
    <row r="471">
      <c r="A471" s="14" t="inlineStr">
        <is>
          <t>LIE2024</t>
        </is>
      </c>
      <c r="B471" s="14" t="inlineStr">
        <is>
          <t>LIE</t>
        </is>
      </c>
      <c r="C471" s="14" t="inlineStr">
        <is>
          <t>LIE</t>
        </is>
      </c>
      <c r="D471" s="14" t="inlineStr">
        <is>
          <t>Liechtenstein</t>
        </is>
      </c>
      <c r="E471" s="14" t="n">
        <v>2024</v>
      </c>
      <c r="F471" s="14" t="n">
        <v>0.077</v>
      </c>
      <c r="G471" s="14" t="n">
        <v>4.351</v>
      </c>
      <c r="H471" s="14" t="n">
        <v>1.324</v>
      </c>
      <c r="I471" s="14" t="n">
        <v>6.411</v>
      </c>
      <c r="J471" s="14" t="n">
        <v>10.762</v>
      </c>
      <c r="K471" s="14" t="n">
        <v>0</v>
      </c>
      <c r="L471" s="14" t="n">
        <v>1</v>
      </c>
      <c r="M471" s="14" t="n">
        <v>7.124</v>
      </c>
      <c r="N471" s="14" t="n">
        <v>3.971</v>
      </c>
      <c r="O471" s="14" t="n">
        <v>6.375</v>
      </c>
      <c r="P471" s="14" t="n">
        <v>13.499</v>
      </c>
      <c r="Q471" s="14" t="n">
        <v>0</v>
      </c>
      <c r="R471" s="14" t="n">
        <v>1</v>
      </c>
      <c r="S471" s="14" t="n">
        <v>10.969</v>
      </c>
      <c r="T471" s="14" t="n">
        <v>7.942</v>
      </c>
      <c r="U471" s="14" t="n">
        <v>12.675</v>
      </c>
      <c r="V471" s="14" t="n">
        <v>25.2</v>
      </c>
      <c r="W471" s="14" t="n">
        <v>0.077</v>
      </c>
      <c r="X471" s="14" t="n">
        <v>1</v>
      </c>
      <c r="Y471" s="14" t="n">
        <v>24.941</v>
      </c>
      <c r="Z471" s="14" t="n">
        <v>3.149</v>
      </c>
      <c r="AA471" s="14" t="n">
        <v>10.573</v>
      </c>
      <c r="AB471" s="14" t="n">
        <v>35.514</v>
      </c>
      <c r="AC471" s="14" t="n">
        <v>0</v>
      </c>
      <c r="AD471" s="14" t="n">
        <v>1</v>
      </c>
      <c r="AE471" s="14" t="n">
        <v>24.941</v>
      </c>
      <c r="AF471" s="14" t="n">
        <v>5.464</v>
      </c>
      <c r="AG471" s="14" t="n">
        <v>10.574</v>
      </c>
      <c r="AH471" s="14" t="n">
        <v>35.516</v>
      </c>
      <c r="AI471" s="14" t="n">
        <v>0</v>
      </c>
      <c r="AJ471" s="14" t="n">
        <v>1</v>
      </c>
      <c r="AK471" s="14" t="n">
        <v>36.821</v>
      </c>
      <c r="AL471" s="14" t="n">
        <v>18.728</v>
      </c>
      <c r="AM471" s="14" t="n">
        <v>6.906</v>
      </c>
      <c r="AN471" s="14" t="n">
        <v>47.094</v>
      </c>
      <c r="AO471" s="14" t="n">
        <v>0.077</v>
      </c>
      <c r="AP471" s="14" t="n">
        <v>1</v>
      </c>
      <c r="AQ471" s="14" t="n">
        <v>0.724</v>
      </c>
      <c r="AR471" s="14" t="n">
        <v>0.132</v>
      </c>
      <c r="AS471" s="14" t="n">
        <v>0.337</v>
      </c>
      <c r="AT471" s="14" t="n">
        <v>1.131</v>
      </c>
      <c r="AU471" s="14" t="n">
        <v>0.077</v>
      </c>
      <c r="AV471" s="14" t="n">
        <v>1</v>
      </c>
      <c r="AW471" s="14" t="n">
        <v>0.75</v>
      </c>
      <c r="AX471" s="14" t="n">
        <v>0.132</v>
      </c>
      <c r="AY471" s="14" t="n">
        <v>0.371</v>
      </c>
      <c r="AZ471" s="14" t="n">
        <v>1.195</v>
      </c>
      <c r="BA471" s="14" t="n">
        <v>0.077</v>
      </c>
      <c r="BB471" s="14" t="n">
        <v>1</v>
      </c>
      <c r="BC471" s="14" t="n">
        <v>0.513</v>
      </c>
      <c r="BD471" s="14" t="n">
        <v>0.132</v>
      </c>
      <c r="BE471" s="14" t="n">
        <v>0.239</v>
      </c>
      <c r="BF471" s="14" t="n">
        <v>0.802</v>
      </c>
      <c r="BG471" s="14" t="n">
        <v>0.077</v>
      </c>
      <c r="BH471" s="14" t="n">
        <v>1</v>
      </c>
      <c r="BI471" s="14" t="n">
        <v>0.591</v>
      </c>
      <c r="BJ471" s="14" t="n">
        <v>0.132</v>
      </c>
      <c r="BK471" s="14" t="n">
        <v>0.345</v>
      </c>
      <c r="BL471" s="14" t="n">
        <v>0.998</v>
      </c>
      <c r="BM471" s="14" t="n">
        <v>0.077</v>
      </c>
      <c r="BN471" s="14" t="n">
        <v>1</v>
      </c>
      <c r="BO471" s="14" t="n">
        <v>0</v>
      </c>
      <c r="BP471" s="14" t="n">
        <v>0</v>
      </c>
      <c r="BQ471" s="14" t="n">
        <v>0</v>
      </c>
      <c r="BR471" s="14" t="n">
        <v>0</v>
      </c>
      <c r="BS471" s="14" t="n">
        <v>1</v>
      </c>
      <c r="BT471" s="14" t="n">
        <v>0</v>
      </c>
      <c r="BU471" s="14" t="n">
        <v>0.017</v>
      </c>
      <c r="BV471" s="14" t="n">
        <v>0.341</v>
      </c>
      <c r="BW471" s="14" t="n">
        <v>0.077</v>
      </c>
      <c r="BX471" s="14" t="n">
        <v>1</v>
      </c>
      <c r="BY471" s="14" t="n">
        <v>13.646</v>
      </c>
      <c r="BZ471" s="14" t="n">
        <v>0</v>
      </c>
      <c r="CA471" s="14" t="n">
        <v>13.646</v>
      </c>
      <c r="CB471" s="14" t="n">
        <v>0</v>
      </c>
      <c r="CC471" s="14" t="n">
        <v>82.58799999999999</v>
      </c>
      <c r="CD471" s="14" t="n">
        <v>7.95</v>
      </c>
      <c r="CE471" s="14" t="n">
        <v>33.79</v>
      </c>
      <c r="CF471" s="14" t="n">
        <v>124.039</v>
      </c>
      <c r="CG471" s="14" t="n">
        <v>0.077</v>
      </c>
      <c r="CH471" s="14" t="n">
        <v>1</v>
      </c>
      <c r="CI471" s="14" t="n">
        <v>0</v>
      </c>
      <c r="CJ471" s="14" t="n">
        <v>0</v>
      </c>
      <c r="CK471" s="14" t="n">
        <v>0</v>
      </c>
      <c r="CL471" s="14" t="n">
        <v>0</v>
      </c>
      <c r="CM471" s="14" t="n">
        <v>0</v>
      </c>
      <c r="CN471" s="14" t="n">
        <v>0</v>
      </c>
      <c r="CO471" s="14" t="n">
        <v>0</v>
      </c>
      <c r="CP471" s="14" t="n">
        <v>0</v>
      </c>
      <c r="CQ471" s="14" t="n">
        <v>1.387</v>
      </c>
      <c r="CR471" s="14" t="n">
        <v>0</v>
      </c>
      <c r="CS471" s="14" t="n">
        <v>5.529</v>
      </c>
      <c r="CT471" s="14" t="n">
        <v>3.027</v>
      </c>
      <c r="CU471" s="14" t="n">
        <v>10.168</v>
      </c>
    </row>
    <row r="472">
      <c r="A472" s="14" t="inlineStr">
        <is>
          <t>LTU2021</t>
        </is>
      </c>
      <c r="B472" s="14" t="inlineStr">
        <is>
          <t>LTU</t>
        </is>
      </c>
      <c r="C472" s="14" t="inlineStr">
        <is>
          <t>LTU</t>
        </is>
      </c>
      <c r="D472" s="14" t="inlineStr">
        <is>
          <t>Lithuania</t>
        </is>
      </c>
      <c r="E472" s="14" t="n">
        <v>2021</v>
      </c>
      <c r="F472" s="14" t="n">
        <v>0.21</v>
      </c>
      <c r="G472" s="14" t="n">
        <v>4.161</v>
      </c>
      <c r="H472" s="14" t="n">
        <v>1.085</v>
      </c>
      <c r="I472" s="14" t="n">
        <v>0.629</v>
      </c>
      <c r="J472" s="14" t="n">
        <v>4.79</v>
      </c>
      <c r="K472" s="14" t="n">
        <v>0</v>
      </c>
      <c r="L472" s="14" t="n">
        <v>1</v>
      </c>
      <c r="M472" s="14" t="n">
        <v>7.446</v>
      </c>
      <c r="N472" s="14" t="n">
        <v>3.254</v>
      </c>
      <c r="O472" s="14" t="n">
        <v>0.718</v>
      </c>
      <c r="P472" s="14" t="n">
        <v>8.164</v>
      </c>
      <c r="Q472" s="14" t="n">
        <v>0</v>
      </c>
      <c r="R472" s="14" t="n">
        <v>1</v>
      </c>
      <c r="S472" s="14" t="n">
        <v>9.584</v>
      </c>
      <c r="T472" s="14" t="n">
        <v>6.508</v>
      </c>
      <c r="U472" s="14" t="n">
        <v>0.276</v>
      </c>
      <c r="V472" s="14" t="n">
        <v>11.93</v>
      </c>
      <c r="W472" s="14" t="n">
        <v>0.21</v>
      </c>
      <c r="X472" s="14" t="n">
        <v>1</v>
      </c>
      <c r="Y472" s="14" t="n">
        <v>10.282</v>
      </c>
      <c r="Z472" s="14" t="n">
        <v>1.136</v>
      </c>
      <c r="AA472" s="14" t="n">
        <v>6.572</v>
      </c>
      <c r="AB472" s="14" t="n">
        <v>16.854</v>
      </c>
      <c r="AC472" s="14" t="n">
        <v>0</v>
      </c>
      <c r="AD472" s="14" t="n">
        <v>1</v>
      </c>
      <c r="AE472" s="14" t="n">
        <v>10.239</v>
      </c>
      <c r="AF472" s="14" t="n">
        <v>2.015</v>
      </c>
      <c r="AG472" s="14" t="n">
        <v>6.616</v>
      </c>
      <c r="AH472" s="14" t="n">
        <v>16.854</v>
      </c>
      <c r="AI472" s="14" t="n">
        <v>0</v>
      </c>
      <c r="AJ472" s="14" t="n">
        <v>1</v>
      </c>
      <c r="AK472" s="14" t="n">
        <v>14.812</v>
      </c>
      <c r="AL472" s="14" t="n">
        <v>7.27</v>
      </c>
      <c r="AM472" s="14" t="n">
        <v>-5.467</v>
      </c>
      <c r="AN472" s="14" t="n">
        <v>11.308</v>
      </c>
      <c r="AO472" s="14" t="n">
        <v>0.21</v>
      </c>
      <c r="AP472" s="14" t="n">
        <v>1</v>
      </c>
      <c r="AQ472" s="14" t="n">
        <v>0.619</v>
      </c>
      <c r="AR472" s="14" t="n">
        <v>0.114</v>
      </c>
      <c r="AS472" s="14" t="n">
        <v>0.635</v>
      </c>
      <c r="AT472" s="14" t="n">
        <v>1.517</v>
      </c>
      <c r="AU472" s="14" t="n">
        <v>0.21</v>
      </c>
      <c r="AV472" s="14" t="n">
        <v>1</v>
      </c>
      <c r="AW472" s="14" t="n">
        <v>0.599</v>
      </c>
      <c r="AX472" s="14" t="n">
        <v>0.114</v>
      </c>
      <c r="AY472" s="14" t="n">
        <v>0.554</v>
      </c>
      <c r="AZ472" s="14" t="n">
        <v>1.395</v>
      </c>
      <c r="BA472" s="14" t="n">
        <v>0.21</v>
      </c>
      <c r="BB472" s="14" t="n">
        <v>1</v>
      </c>
      <c r="BC472" s="14" t="n">
        <v>0.439</v>
      </c>
      <c r="BD472" s="14" t="n">
        <v>0.114</v>
      </c>
      <c r="BE472" s="14" t="n">
        <v>0.18</v>
      </c>
      <c r="BF472" s="14" t="n">
        <v>0.749</v>
      </c>
      <c r="BG472" s="14" t="n">
        <v>0.21</v>
      </c>
      <c r="BH472" s="14" t="n">
        <v>1</v>
      </c>
      <c r="BI472" s="14" t="n">
        <v>0.505</v>
      </c>
      <c r="BJ472" s="14" t="n">
        <v>0.114</v>
      </c>
      <c r="BK472" s="14" t="n">
        <v>0.08599999999999999</v>
      </c>
      <c r="BL472" s="14" t="n">
        <v>0.715</v>
      </c>
      <c r="BM472" s="14" t="n">
        <v>0.21</v>
      </c>
      <c r="BN472" s="14" t="n">
        <v>1</v>
      </c>
      <c r="BO472" s="14" t="n">
        <v>0</v>
      </c>
      <c r="BP472" s="14" t="n">
        <v>0.013</v>
      </c>
      <c r="BQ472" s="14" t="n">
        <v>0.107</v>
      </c>
      <c r="BR472" s="14" t="n">
        <v>0</v>
      </c>
      <c r="BS472" s="14" t="n">
        <v>1</v>
      </c>
      <c r="BT472" s="14" t="n">
        <v>0</v>
      </c>
      <c r="BU472" s="14" t="n">
        <v>0.012</v>
      </c>
      <c r="BV472" s="14" t="n">
        <v>0.167</v>
      </c>
      <c r="BW472" s="14" t="n">
        <v>0.21</v>
      </c>
      <c r="BX472" s="14" t="n">
        <v>1</v>
      </c>
      <c r="BY472" s="14" t="n">
        <v>11.787</v>
      </c>
      <c r="BZ472" s="14" t="n">
        <v>0</v>
      </c>
      <c r="CA472" s="14" t="n">
        <v>11.787</v>
      </c>
      <c r="CB472" s="14" t="n">
        <v>0</v>
      </c>
      <c r="CC472" s="14" t="n">
        <v>78.125</v>
      </c>
      <c r="CD472" s="14" t="n">
        <v>7.95</v>
      </c>
      <c r="CE472" s="14" t="n">
        <v>18.405</v>
      </c>
      <c r="CF472" s="14" t="n">
        <v>116.802</v>
      </c>
      <c r="CG472" s="14" t="n">
        <v>0.21</v>
      </c>
      <c r="CH472" s="14" t="n">
        <v>1</v>
      </c>
      <c r="CI472" s="14" t="n">
        <v>0</v>
      </c>
      <c r="CJ472" s="14" t="n">
        <v>0</v>
      </c>
      <c r="CK472" s="14" t="n">
        <v>0</v>
      </c>
      <c r="CL472" s="14" t="n">
        <v>0</v>
      </c>
      <c r="CM472" s="14" t="n">
        <v>0</v>
      </c>
      <c r="CN472" s="14" t="n">
        <v>0</v>
      </c>
      <c r="CO472" s="14" t="n">
        <v>0</v>
      </c>
      <c r="CP472" s="14" t="n">
        <v>0.103</v>
      </c>
      <c r="CQ472" s="14" t="n">
        <v>1.198</v>
      </c>
      <c r="CR472" s="14" t="n">
        <v>0</v>
      </c>
      <c r="CS472" s="14" t="n">
        <v>4.776</v>
      </c>
      <c r="CT472" s="14" t="n">
        <v>3.291</v>
      </c>
      <c r="CU472" s="14" t="n">
        <v>9.837999999999999</v>
      </c>
    </row>
    <row r="473">
      <c r="A473" s="14" t="inlineStr">
        <is>
          <t>LTU2022</t>
        </is>
      </c>
      <c r="B473" s="14" t="inlineStr">
        <is>
          <t>LTU</t>
        </is>
      </c>
      <c r="C473" s="14" t="inlineStr">
        <is>
          <t>LTU</t>
        </is>
      </c>
      <c r="D473" s="14" t="inlineStr">
        <is>
          <t>Lithuania</t>
        </is>
      </c>
      <c r="E473" s="14" t="n">
        <v>2022</v>
      </c>
      <c r="F473" s="14" t="n">
        <v>0.21</v>
      </c>
      <c r="G473" s="14" t="n">
        <v>7.093</v>
      </c>
      <c r="H473" s="14" t="n">
        <v>1.235</v>
      </c>
      <c r="I473" s="14" t="n">
        <v>8.541</v>
      </c>
      <c r="J473" s="14" t="n">
        <v>15.634</v>
      </c>
      <c r="K473" s="14" t="n">
        <v>0</v>
      </c>
      <c r="L473" s="14" t="n">
        <v>1</v>
      </c>
      <c r="M473" s="14" t="n">
        <v>9.782999999999999</v>
      </c>
      <c r="N473" s="14" t="n">
        <v>3.704</v>
      </c>
      <c r="O473" s="14" t="n">
        <v>8.52</v>
      </c>
      <c r="P473" s="14" t="n">
        <v>18.303</v>
      </c>
      <c r="Q473" s="14" t="n">
        <v>0</v>
      </c>
      <c r="R473" s="14" t="n">
        <v>1</v>
      </c>
      <c r="S473" s="14" t="n">
        <v>13.266</v>
      </c>
      <c r="T473" s="14" t="n">
        <v>7.408</v>
      </c>
      <c r="U473" s="14" t="n">
        <v>0.579</v>
      </c>
      <c r="V473" s="14" t="n">
        <v>16.497</v>
      </c>
      <c r="W473" s="14" t="n">
        <v>0.21</v>
      </c>
      <c r="X473" s="14" t="n">
        <v>1</v>
      </c>
      <c r="Y473" s="14" t="n">
        <v>27.254</v>
      </c>
      <c r="Z473" s="14" t="n">
        <v>2.859</v>
      </c>
      <c r="AA473" s="14" t="n">
        <v>10.709</v>
      </c>
      <c r="AB473" s="14" t="n">
        <v>37.963</v>
      </c>
      <c r="AC473" s="14" t="n">
        <v>0</v>
      </c>
      <c r="AD473" s="14" t="n">
        <v>1</v>
      </c>
      <c r="AE473" s="14" t="n">
        <v>27.302</v>
      </c>
      <c r="AF473" s="14" t="n">
        <v>5.061</v>
      </c>
      <c r="AG473" s="14" t="n">
        <v>10.661</v>
      </c>
      <c r="AH473" s="14" t="n">
        <v>37.963</v>
      </c>
      <c r="AI473" s="14" t="n">
        <v>0</v>
      </c>
      <c r="AJ473" s="14" t="n">
        <v>1</v>
      </c>
      <c r="AK473" s="14" t="n">
        <v>32.241</v>
      </c>
      <c r="AL473" s="14" t="n">
        <v>15.396</v>
      </c>
      <c r="AM473" s="14" t="n">
        <v>-9.576000000000001</v>
      </c>
      <c r="AN473" s="14" t="n">
        <v>27.424</v>
      </c>
      <c r="AO473" s="14" t="n">
        <v>0.21</v>
      </c>
      <c r="AP473" s="14" t="n">
        <v>1</v>
      </c>
      <c r="AQ473" s="14" t="n">
        <v>0.861</v>
      </c>
      <c r="AR473" s="14" t="n">
        <v>0.123</v>
      </c>
      <c r="AS473" s="14" t="n">
        <v>0.625</v>
      </c>
      <c r="AT473" s="14" t="n">
        <v>1.799</v>
      </c>
      <c r="AU473" s="14" t="n">
        <v>0.21</v>
      </c>
      <c r="AV473" s="14" t="n">
        <v>1</v>
      </c>
      <c r="AW473" s="14" t="n">
        <v>0.986</v>
      </c>
      <c r="AX473" s="14" t="n">
        <v>0.123</v>
      </c>
      <c r="AY473" s="14" t="n">
        <v>0.537</v>
      </c>
      <c r="AZ473" s="14" t="n">
        <v>1.843</v>
      </c>
      <c r="BA473" s="14" t="n">
        <v>0.21</v>
      </c>
      <c r="BB473" s="14" t="n">
        <v>1</v>
      </c>
      <c r="BC473" s="14" t="n">
        <v>0.598</v>
      </c>
      <c r="BD473" s="14" t="n">
        <v>0.123</v>
      </c>
      <c r="BE473" s="14" t="n">
        <v>0.054</v>
      </c>
      <c r="BF473" s="14" t="n">
        <v>0.789</v>
      </c>
      <c r="BG473" s="14" t="n">
        <v>0.21</v>
      </c>
      <c r="BH473" s="14" t="n">
        <v>1</v>
      </c>
      <c r="BI473" s="14" t="n">
        <v>0.612</v>
      </c>
      <c r="BJ473" s="14" t="n">
        <v>0.123</v>
      </c>
      <c r="BK473" s="14" t="n">
        <v>0.414</v>
      </c>
      <c r="BL473" s="14" t="n">
        <v>1.242</v>
      </c>
      <c r="BM473" s="14" t="n">
        <v>0.21</v>
      </c>
      <c r="BN473" s="14" t="n">
        <v>1</v>
      </c>
      <c r="BO473" s="14" t="n">
        <v>0</v>
      </c>
      <c r="BP473" s="14" t="n">
        <v>0.002</v>
      </c>
      <c r="BQ473" s="14" t="n">
        <v>0.229</v>
      </c>
      <c r="BR473" s="14" t="n">
        <v>0</v>
      </c>
      <c r="BS473" s="14" t="n">
        <v>1</v>
      </c>
      <c r="BT473" s="14" t="n">
        <v>0</v>
      </c>
      <c r="BU473" s="14" t="n">
        <v>0.002</v>
      </c>
      <c r="BV473" s="14" t="n">
        <v>0.207</v>
      </c>
      <c r="BW473" s="14" t="n">
        <v>0.21</v>
      </c>
      <c r="BX473" s="14" t="n">
        <v>1</v>
      </c>
      <c r="BY473" s="14" t="n">
        <v>12.729</v>
      </c>
      <c r="BZ473" s="14" t="n">
        <v>0</v>
      </c>
      <c r="CA473" s="14" t="n">
        <v>12.729</v>
      </c>
      <c r="CB473" s="14" t="n">
        <v>0</v>
      </c>
      <c r="CC473" s="14" t="n">
        <v>97.90000000000001</v>
      </c>
      <c r="CD473" s="14" t="n">
        <v>7.95</v>
      </c>
      <c r="CE473" s="14" t="n">
        <v>98.617</v>
      </c>
      <c r="CF473" s="14" t="n">
        <v>237.786</v>
      </c>
      <c r="CG473" s="14" t="n">
        <v>0.21</v>
      </c>
      <c r="CH473" s="14" t="n">
        <v>1</v>
      </c>
      <c r="CI473" s="14" t="n">
        <v>0</v>
      </c>
      <c r="CJ473" s="14" t="n">
        <v>0</v>
      </c>
      <c r="CK473" s="14" t="n">
        <v>0</v>
      </c>
      <c r="CL473" s="14" t="n">
        <v>0</v>
      </c>
      <c r="CM473" s="14" t="n">
        <v>0</v>
      </c>
      <c r="CN473" s="14" t="n">
        <v>0</v>
      </c>
      <c r="CO473" s="14" t="n">
        <v>0</v>
      </c>
      <c r="CP473" s="14" t="n">
        <v>0</v>
      </c>
      <c r="CQ473" s="14" t="n">
        <v>1.294</v>
      </c>
      <c r="CR473" s="14" t="n">
        <v>0</v>
      </c>
      <c r="CS473" s="14" t="n">
        <v>5.158</v>
      </c>
      <c r="CT473" s="14" t="n">
        <v>5.858</v>
      </c>
      <c r="CU473" s="14" t="n">
        <v>26.718</v>
      </c>
    </row>
    <row r="474">
      <c r="A474" s="14" t="inlineStr">
        <is>
          <t>LTU2023</t>
        </is>
      </c>
      <c r="B474" s="14" t="inlineStr">
        <is>
          <t>LTU</t>
        </is>
      </c>
      <c r="C474" s="14" t="inlineStr">
        <is>
          <t>LTU</t>
        </is>
      </c>
      <c r="D474" s="14" t="inlineStr">
        <is>
          <t>Lithuania</t>
        </is>
      </c>
      <c r="E474" s="14" t="n">
        <v>2023</v>
      </c>
      <c r="F474" s="14" t="n">
        <v>0.21</v>
      </c>
      <c r="G474" s="14" t="n">
        <v>6.244</v>
      </c>
      <c r="H474" s="14" t="n">
        <v>1.207</v>
      </c>
      <c r="I474" s="14" t="n">
        <v>9.898</v>
      </c>
      <c r="J474" s="14" t="n">
        <v>16.143</v>
      </c>
      <c r="K474" s="14" t="n">
        <v>0</v>
      </c>
      <c r="L474" s="14" t="n">
        <v>1</v>
      </c>
      <c r="M474" s="14" t="n">
        <v>7.318</v>
      </c>
      <c r="N474" s="14" t="n">
        <v>3.62</v>
      </c>
      <c r="O474" s="14" t="n">
        <v>9.855</v>
      </c>
      <c r="P474" s="14" t="n">
        <v>17.174</v>
      </c>
      <c r="Q474" s="14" t="n">
        <v>0</v>
      </c>
      <c r="R474" s="14" t="n">
        <v>1</v>
      </c>
      <c r="S474" s="14" t="n">
        <v>12.277</v>
      </c>
      <c r="T474" s="14" t="n">
        <v>7.239</v>
      </c>
      <c r="U474" s="14" t="n">
        <v>0.755</v>
      </c>
      <c r="V474" s="14" t="n">
        <v>15.41</v>
      </c>
      <c r="W474" s="14" t="n">
        <v>0.21</v>
      </c>
      <c r="X474" s="14" t="n">
        <v>1</v>
      </c>
      <c r="Y474" s="14" t="n">
        <v>24.357</v>
      </c>
      <c r="Z474" s="14" t="n">
        <v>2.728</v>
      </c>
      <c r="AA474" s="14" t="n">
        <v>1.014</v>
      </c>
      <c r="AB474" s="14" t="n">
        <v>25.371</v>
      </c>
      <c r="AC474" s="14" t="n">
        <v>0</v>
      </c>
      <c r="AD474" s="14" t="n">
        <v>1</v>
      </c>
      <c r="AE474" s="14" t="n">
        <v>24.456</v>
      </c>
      <c r="AF474" s="14" t="n">
        <v>4.871</v>
      </c>
      <c r="AG474" s="14" t="n">
        <v>0.915</v>
      </c>
      <c r="AH474" s="14" t="n">
        <v>25.371</v>
      </c>
      <c r="AI474" s="14" t="n">
        <v>0</v>
      </c>
      <c r="AJ474" s="14" t="n">
        <v>1</v>
      </c>
      <c r="AK474" s="14" t="n">
        <v>29.599</v>
      </c>
      <c r="AL474" s="14" t="n">
        <v>14.662</v>
      </c>
      <c r="AM474" s="14" t="n">
        <v>11.385</v>
      </c>
      <c r="AN474" s="14" t="n">
        <v>49.591</v>
      </c>
      <c r="AO474" s="14" t="n">
        <v>0.21</v>
      </c>
      <c r="AP474" s="14" t="n">
        <v>1</v>
      </c>
      <c r="AQ474" s="14" t="n">
        <v>0.76</v>
      </c>
      <c r="AR474" s="14" t="n">
        <v>0.129</v>
      </c>
      <c r="AS474" s="14" t="n">
        <v>0.598</v>
      </c>
      <c r="AT474" s="14" t="n">
        <v>1.644</v>
      </c>
      <c r="AU474" s="14" t="n">
        <v>0.21</v>
      </c>
      <c r="AV474" s="14" t="n">
        <v>1</v>
      </c>
      <c r="AW474" s="14" t="n">
        <v>0.8110000000000001</v>
      </c>
      <c r="AX474" s="14" t="n">
        <v>0.129</v>
      </c>
      <c r="AY474" s="14" t="n">
        <v>0.526</v>
      </c>
      <c r="AZ474" s="14" t="n">
        <v>1.618</v>
      </c>
      <c r="BA474" s="14" t="n">
        <v>0.21</v>
      </c>
      <c r="BB474" s="14" t="n">
        <v>1</v>
      </c>
      <c r="BC474" s="14" t="n">
        <v>0.535</v>
      </c>
      <c r="BD474" s="14" t="n">
        <v>0.129</v>
      </c>
      <c r="BE474" s="14" t="n">
        <v>0.006</v>
      </c>
      <c r="BF474" s="14" t="n">
        <v>0.654</v>
      </c>
      <c r="BG474" s="14" t="n">
        <v>0.21</v>
      </c>
      <c r="BH474" s="14" t="n">
        <v>1</v>
      </c>
      <c r="BI474" s="14" t="n">
        <v>0.579</v>
      </c>
      <c r="BJ474" s="14" t="n">
        <v>0.129</v>
      </c>
      <c r="BK474" s="14" t="n">
        <v>0.279</v>
      </c>
      <c r="BL474" s="14" t="n">
        <v>1.038</v>
      </c>
      <c r="BM474" s="14" t="n">
        <v>0.21</v>
      </c>
      <c r="BN474" s="14" t="n">
        <v>1</v>
      </c>
      <c r="BO474" s="14" t="n">
        <v>0</v>
      </c>
      <c r="BP474" s="14" t="n">
        <v>-0.008</v>
      </c>
      <c r="BQ474" s="14" t="n">
        <v>0.138</v>
      </c>
      <c r="BR474" s="14" t="n">
        <v>0</v>
      </c>
      <c r="BS474" s="14" t="n">
        <v>1</v>
      </c>
      <c r="BT474" s="14" t="n">
        <v>0</v>
      </c>
      <c r="BU474" s="14" t="n">
        <v>-0.008999999999999999</v>
      </c>
      <c r="BV474" s="14" t="n">
        <v>0.273</v>
      </c>
      <c r="BW474" s="14" t="n">
        <v>0.21</v>
      </c>
      <c r="BX474" s="14" t="n">
        <v>1</v>
      </c>
      <c r="BY474" s="14" t="n">
        <v>13.254</v>
      </c>
      <c r="BZ474" s="14" t="n">
        <v>0</v>
      </c>
      <c r="CA474" s="14" t="n">
        <v>13.254</v>
      </c>
      <c r="CB474" s="14" t="n">
        <v>0</v>
      </c>
      <c r="CC474" s="14" t="n">
        <v>83.248</v>
      </c>
      <c r="CD474" s="14" t="n">
        <v>7.95</v>
      </c>
      <c r="CE474" s="14" t="n">
        <v>92.075</v>
      </c>
      <c r="CF474" s="14" t="n">
        <v>212.14</v>
      </c>
      <c r="CG474" s="14" t="n">
        <v>0.21</v>
      </c>
      <c r="CH474" s="14" t="n">
        <v>1</v>
      </c>
      <c r="CI474" s="14" t="n">
        <v>0</v>
      </c>
      <c r="CJ474" s="14" t="n">
        <v>0</v>
      </c>
      <c r="CK474" s="14" t="n">
        <v>0</v>
      </c>
      <c r="CL474" s="14" t="n">
        <v>0</v>
      </c>
      <c r="CM474" s="14" t="n">
        <v>0</v>
      </c>
      <c r="CN474" s="14" t="n">
        <v>0</v>
      </c>
      <c r="CO474" s="14" t="n">
        <v>0</v>
      </c>
      <c r="CP474" s="14" t="n">
        <v>0.123</v>
      </c>
      <c r="CQ474" s="14" t="n">
        <v>1.348</v>
      </c>
      <c r="CR474" s="14" t="n">
        <v>0</v>
      </c>
      <c r="CS474" s="14" t="n">
        <v>5.37</v>
      </c>
      <c r="CT474" s="14" t="n">
        <v>5.556</v>
      </c>
      <c r="CU474" s="14" t="n">
        <v>23.771</v>
      </c>
    </row>
    <row r="475">
      <c r="A475" s="14" t="inlineStr">
        <is>
          <t>LTU2024</t>
        </is>
      </c>
      <c r="B475" s="14" t="inlineStr">
        <is>
          <t>LTU</t>
        </is>
      </c>
      <c r="C475" s="14" t="inlineStr">
        <is>
          <t>LTU</t>
        </is>
      </c>
      <c r="D475" s="14" t="inlineStr">
        <is>
          <t>Lithuania</t>
        </is>
      </c>
      <c r="E475" s="14" t="n">
        <v>2024</v>
      </c>
      <c r="F475" s="14" t="n">
        <v>0.21</v>
      </c>
      <c r="G475" s="14" t="n">
        <v>5.582</v>
      </c>
      <c r="H475" s="14" t="n">
        <v>1.242</v>
      </c>
      <c r="I475" s="14" t="n">
        <v>6.487</v>
      </c>
      <c r="J475" s="14" t="n">
        <v>12.069</v>
      </c>
      <c r="K475" s="14" t="n">
        <v>0</v>
      </c>
      <c r="L475" s="14" t="n">
        <v>1</v>
      </c>
      <c r="M475" s="14" t="n">
        <v>6.662</v>
      </c>
      <c r="N475" s="14" t="n">
        <v>3.726</v>
      </c>
      <c r="O475" s="14" t="n">
        <v>6.49</v>
      </c>
      <c r="P475" s="14" t="n">
        <v>13.152</v>
      </c>
      <c r="Q475" s="14" t="n">
        <v>0</v>
      </c>
      <c r="R475" s="14" t="n">
        <v>1</v>
      </c>
      <c r="S475" s="14" t="n">
        <v>11.793</v>
      </c>
      <c r="T475" s="14" t="n">
        <v>7.453</v>
      </c>
      <c r="U475" s="14" t="n">
        <v>0.823</v>
      </c>
      <c r="V475" s="14" t="n">
        <v>14.841</v>
      </c>
      <c r="W475" s="14" t="n">
        <v>0.21</v>
      </c>
      <c r="X475" s="14" t="n">
        <v>1</v>
      </c>
      <c r="Y475" s="14" t="n">
        <v>12.917</v>
      </c>
      <c r="Z475" s="14" t="n">
        <v>1.631</v>
      </c>
      <c r="AA475" s="14" t="n">
        <v>4.143</v>
      </c>
      <c r="AB475" s="14" t="n">
        <v>17.06</v>
      </c>
      <c r="AC475" s="14" t="n">
        <v>0</v>
      </c>
      <c r="AD475" s="14" t="n">
        <v>1</v>
      </c>
      <c r="AE475" s="14" t="n">
        <v>12.917</v>
      </c>
      <c r="AF475" s="14" t="n">
        <v>2.83</v>
      </c>
      <c r="AG475" s="14" t="n">
        <v>4.143</v>
      </c>
      <c r="AH475" s="14" t="n">
        <v>17.06</v>
      </c>
      <c r="AI475" s="14" t="n">
        <v>0</v>
      </c>
      <c r="AJ475" s="14" t="n">
        <v>1</v>
      </c>
      <c r="AK475" s="14" t="n">
        <v>18.212</v>
      </c>
      <c r="AL475" s="14" t="n">
        <v>9.263</v>
      </c>
      <c r="AM475" s="14" t="n">
        <v>-1.627</v>
      </c>
      <c r="AN475" s="14" t="n">
        <v>20.067</v>
      </c>
      <c r="AO475" s="14" t="n">
        <v>0.21</v>
      </c>
      <c r="AP475" s="14" t="n">
        <v>1</v>
      </c>
      <c r="AQ475" s="14" t="n">
        <v>0.724</v>
      </c>
      <c r="AR475" s="14" t="n">
        <v>0.132</v>
      </c>
      <c r="AS475" s="14" t="n">
        <v>0.576</v>
      </c>
      <c r="AT475" s="14" t="n">
        <v>1.574</v>
      </c>
      <c r="AU475" s="14" t="n">
        <v>0.21</v>
      </c>
      <c r="AV475" s="14" t="n">
        <v>1</v>
      </c>
      <c r="AW475" s="14" t="n">
        <v>0.75</v>
      </c>
      <c r="AX475" s="14" t="n">
        <v>0.132</v>
      </c>
      <c r="AY475" s="14" t="n">
        <v>0.553</v>
      </c>
      <c r="AZ475" s="14" t="n">
        <v>1.576</v>
      </c>
      <c r="BA475" s="14" t="n">
        <v>0.21</v>
      </c>
      <c r="BB475" s="14" t="n">
        <v>1</v>
      </c>
      <c r="BC475" s="14" t="n">
        <v>0.513</v>
      </c>
      <c r="BD475" s="14" t="n">
        <v>0.132</v>
      </c>
      <c r="BE475" s="14" t="n">
        <v>0.064</v>
      </c>
      <c r="BF475" s="14" t="n">
        <v>0.698</v>
      </c>
      <c r="BG475" s="14" t="n">
        <v>0.21</v>
      </c>
      <c r="BH475" s="14" t="n">
        <v>1</v>
      </c>
      <c r="BI475" s="14" t="n">
        <v>0.591</v>
      </c>
      <c r="BJ475" s="14" t="n">
        <v>0.132</v>
      </c>
      <c r="BK475" s="14" t="n">
        <v>0.219</v>
      </c>
      <c r="BL475" s="14" t="n">
        <v>0.981</v>
      </c>
      <c r="BM475" s="14" t="n">
        <v>0.21</v>
      </c>
      <c r="BN475" s="14" t="n">
        <v>1</v>
      </c>
      <c r="BO475" s="14" t="n">
        <v>0</v>
      </c>
      <c r="BP475" s="14" t="n">
        <v>0</v>
      </c>
      <c r="BQ475" s="14" t="n">
        <v>0.156</v>
      </c>
      <c r="BR475" s="14" t="n">
        <v>0</v>
      </c>
      <c r="BS475" s="14" t="n">
        <v>1</v>
      </c>
      <c r="BT475" s="14" t="n">
        <v>0</v>
      </c>
      <c r="BU475" s="14" t="n">
        <v>0</v>
      </c>
      <c r="BV475" s="14" t="n">
        <v>0.241</v>
      </c>
      <c r="BW475" s="14" t="n">
        <v>0.21</v>
      </c>
      <c r="BX475" s="14" t="n">
        <v>1</v>
      </c>
      <c r="BY475" s="14" t="n">
        <v>13.646</v>
      </c>
      <c r="BZ475" s="14" t="n">
        <v>0</v>
      </c>
      <c r="CA475" s="14" t="n">
        <v>13.646</v>
      </c>
      <c r="CB475" s="14" t="n">
        <v>0</v>
      </c>
      <c r="CC475" s="14" t="n">
        <v>82.58799999999999</v>
      </c>
      <c r="CD475" s="14" t="n">
        <v>7.95</v>
      </c>
      <c r="CE475" s="14" t="n">
        <v>74.059</v>
      </c>
      <c r="CF475" s="14" t="n">
        <v>189.543</v>
      </c>
      <c r="CG475" s="14" t="n">
        <v>0.21</v>
      </c>
      <c r="CH475" s="14" t="n">
        <v>1</v>
      </c>
      <c r="CI475" s="14" t="n">
        <v>0</v>
      </c>
      <c r="CJ475" s="14" t="n">
        <v>0</v>
      </c>
      <c r="CK475" s="14" t="n">
        <v>0</v>
      </c>
      <c r="CL475" s="14" t="n">
        <v>0</v>
      </c>
      <c r="CM475" s="14" t="n">
        <v>0</v>
      </c>
      <c r="CN475" s="14" t="n">
        <v>0</v>
      </c>
      <c r="CO475" s="14" t="n">
        <v>0</v>
      </c>
      <c r="CP475" s="14" t="n">
        <v>0.123</v>
      </c>
      <c r="CQ475" s="14" t="n">
        <v>1.387</v>
      </c>
      <c r="CR475" s="14" t="n">
        <v>0</v>
      </c>
      <c r="CS475" s="14" t="n">
        <v>5.529</v>
      </c>
      <c r="CT475" s="14" t="n">
        <v>4.755</v>
      </c>
      <c r="CU475" s="14" t="n">
        <v>11.45</v>
      </c>
    </row>
    <row r="476">
      <c r="A476" s="14" t="inlineStr">
        <is>
          <t>LUX2021</t>
        </is>
      </c>
      <c r="B476" s="14" t="inlineStr">
        <is>
          <t>LUX</t>
        </is>
      </c>
      <c r="C476" s="14" t="inlineStr">
        <is>
          <t>LUX</t>
        </is>
      </c>
      <c r="D476" s="14" t="inlineStr">
        <is>
          <t>Luxembourg</t>
        </is>
      </c>
      <c r="E476" s="14" t="n">
        <v>2021</v>
      </c>
      <c r="F476" s="14" t="n">
        <v>0.17</v>
      </c>
      <c r="G476" s="14" t="n">
        <v>20.242</v>
      </c>
      <c r="H476" s="14" t="n">
        <v>1.128</v>
      </c>
      <c r="I476" s="14" t="n">
        <v>2.388</v>
      </c>
      <c r="J476" s="14" t="n">
        <v>22.63</v>
      </c>
      <c r="K476" s="14" t="n">
        <v>0</v>
      </c>
      <c r="L476" s="14" t="n">
        <v>1</v>
      </c>
      <c r="M476" s="14" t="n">
        <v>7.832</v>
      </c>
      <c r="N476" s="14" t="n">
        <v>3.385</v>
      </c>
      <c r="O476" s="14" t="n">
        <v>2.638</v>
      </c>
      <c r="P476" s="14" t="n">
        <v>10.47</v>
      </c>
      <c r="Q476" s="14" t="n">
        <v>0</v>
      </c>
      <c r="R476" s="14" t="n">
        <v>1</v>
      </c>
      <c r="S476" s="14" t="n">
        <v>25.883</v>
      </c>
      <c r="T476" s="14" t="n">
        <v>6.77</v>
      </c>
      <c r="U476" s="14" t="n">
        <v>0</v>
      </c>
      <c r="V476" s="14" t="n">
        <v>30.284</v>
      </c>
      <c r="W476" s="14" t="n">
        <v>0.17</v>
      </c>
      <c r="X476" s="14" t="n">
        <v>1</v>
      </c>
      <c r="Y476" s="14" t="n">
        <v>18.008</v>
      </c>
      <c r="Z476" s="14" t="n">
        <v>1.989</v>
      </c>
      <c r="AA476" s="14" t="n">
        <v>-3.858</v>
      </c>
      <c r="AB476" s="14" t="n">
        <v>14.15</v>
      </c>
      <c r="AC476" s="14" t="n">
        <v>0</v>
      </c>
      <c r="AD476" s="14" t="n">
        <v>1</v>
      </c>
      <c r="AE476" s="14" t="n">
        <v>17.964</v>
      </c>
      <c r="AF476" s="14" t="n">
        <v>3.535</v>
      </c>
      <c r="AG476" s="14" t="n">
        <v>-3.815</v>
      </c>
      <c r="AH476" s="14" t="n">
        <v>14.15</v>
      </c>
      <c r="AI476" s="14" t="n">
        <v>0</v>
      </c>
      <c r="AJ476" s="14" t="n">
        <v>1</v>
      </c>
      <c r="AK476" s="14" t="n">
        <v>22.537</v>
      </c>
      <c r="AL476" s="14" t="n">
        <v>11.061</v>
      </c>
      <c r="AM476" s="14" t="n">
        <v>-7.409</v>
      </c>
      <c r="AN476" s="14" t="n">
        <v>17.7</v>
      </c>
      <c r="AO476" s="14" t="n">
        <v>0</v>
      </c>
      <c r="AP476" s="14" t="n">
        <v>1</v>
      </c>
      <c r="AQ476" s="14" t="n">
        <v>0.619</v>
      </c>
      <c r="AR476" s="14" t="n">
        <v>0.114</v>
      </c>
      <c r="AS476" s="14" t="n">
        <v>0.727</v>
      </c>
      <c r="AT476" s="14" t="n">
        <v>1.575</v>
      </c>
      <c r="AU476" s="14" t="n">
        <v>0.17</v>
      </c>
      <c r="AV476" s="14" t="n">
        <v>1</v>
      </c>
      <c r="AW476" s="14" t="n">
        <v>0.599</v>
      </c>
      <c r="AX476" s="14" t="n">
        <v>0.114</v>
      </c>
      <c r="AY476" s="14" t="n">
        <v>0.638</v>
      </c>
      <c r="AZ476" s="14" t="n">
        <v>1.447</v>
      </c>
      <c r="BA476" s="14" t="n">
        <v>0.17</v>
      </c>
      <c r="BB476" s="14" t="n">
        <v>1</v>
      </c>
      <c r="BC476" s="14" t="n">
        <v>0.439</v>
      </c>
      <c r="BD476" s="14" t="n">
        <v>0.114</v>
      </c>
      <c r="BE476" s="14" t="n">
        <v>0.213</v>
      </c>
      <c r="BF476" s="14" t="n">
        <v>0.763</v>
      </c>
      <c r="BG476" s="14" t="n">
        <v>0.17</v>
      </c>
      <c r="BH476" s="14" t="n">
        <v>1</v>
      </c>
      <c r="BI476" s="14" t="n">
        <v>0.505</v>
      </c>
      <c r="BJ476" s="14" t="n">
        <v>0.114</v>
      </c>
      <c r="BK476" s="14" t="n">
        <v>0.166</v>
      </c>
      <c r="BL476" s="14" t="n">
        <v>0.785</v>
      </c>
      <c r="BM476" s="14" t="n">
        <v>0.17</v>
      </c>
      <c r="BN476" s="14" t="n">
        <v>1</v>
      </c>
      <c r="BO476" s="14" t="n">
        <v>0</v>
      </c>
      <c r="BP476" s="14" t="n">
        <v>0</v>
      </c>
      <c r="BQ476" s="14" t="n">
        <v>0.07000000000000001</v>
      </c>
      <c r="BR476" s="14" t="n">
        <v>0</v>
      </c>
      <c r="BS476" s="14" t="n">
        <v>1</v>
      </c>
      <c r="BT476" s="14" t="n">
        <v>0</v>
      </c>
      <c r="BU476" s="14" t="n">
        <v>0.044</v>
      </c>
      <c r="BV476" s="14" t="n">
        <v>0.235</v>
      </c>
      <c r="BW476" s="14" t="n">
        <v>0.17</v>
      </c>
      <c r="BX476" s="14" t="n">
        <v>0.833</v>
      </c>
      <c r="BY476" s="14" t="n">
        <v>11.787</v>
      </c>
      <c r="BZ476" s="14" t="n">
        <v>0</v>
      </c>
      <c r="CA476" s="14" t="n">
        <v>11.787</v>
      </c>
      <c r="CB476" s="14" t="n">
        <v>0</v>
      </c>
      <c r="CC476" s="14" t="n">
        <v>78.125</v>
      </c>
      <c r="CD476" s="14" t="n">
        <v>7.95</v>
      </c>
      <c r="CE476" s="14" t="n">
        <v>38.814</v>
      </c>
      <c r="CF476" s="14" t="n">
        <v>136.818</v>
      </c>
      <c r="CG476" s="14" t="n">
        <v>0.17</v>
      </c>
      <c r="CH476" s="14" t="n">
        <v>1</v>
      </c>
      <c r="CI476" s="14" t="n">
        <v>0</v>
      </c>
      <c r="CJ476" s="14" t="n">
        <v>0</v>
      </c>
      <c r="CK476" s="14" t="n">
        <v>0</v>
      </c>
      <c r="CL476" s="14" t="n">
        <v>0</v>
      </c>
      <c r="CM476" s="14" t="n">
        <v>0</v>
      </c>
      <c r="CN476" s="14" t="n">
        <v>0</v>
      </c>
      <c r="CO476" s="14" t="n">
        <v>0</v>
      </c>
      <c r="CP476" s="14" t="n">
        <v>0.026</v>
      </c>
      <c r="CQ476" s="14" t="n">
        <v>1.198</v>
      </c>
      <c r="CR476" s="14" t="n">
        <v>0</v>
      </c>
      <c r="CS476" s="14" t="n">
        <v>4.776</v>
      </c>
      <c r="CT476" s="14" t="n">
        <v>19.598</v>
      </c>
      <c r="CU476" s="14" t="n">
        <v>8.483000000000001</v>
      </c>
    </row>
    <row r="477">
      <c r="A477" s="14" t="inlineStr">
        <is>
          <t>LUX2022</t>
        </is>
      </c>
      <c r="B477" s="14" t="inlineStr">
        <is>
          <t>LUX</t>
        </is>
      </c>
      <c r="C477" s="14" t="inlineStr">
        <is>
          <t>LUX</t>
        </is>
      </c>
      <c r="D477" s="14" t="inlineStr">
        <is>
          <t>Luxembourg</t>
        </is>
      </c>
      <c r="E477" s="14" t="n">
        <v>2022</v>
      </c>
      <c r="F477" s="14" t="n">
        <v>0.17</v>
      </c>
      <c r="G477" s="14" t="n">
        <v>51.306</v>
      </c>
      <c r="H477" s="14" t="n">
        <v>1.235</v>
      </c>
      <c r="I477" s="14" t="n">
        <v>8.414</v>
      </c>
      <c r="J477" s="14" t="n">
        <v>59.72</v>
      </c>
      <c r="K477" s="14" t="n">
        <v>0</v>
      </c>
      <c r="L477" s="14" t="n">
        <v>1</v>
      </c>
      <c r="M477" s="14" t="n">
        <v>9.782999999999999</v>
      </c>
      <c r="N477" s="14" t="n">
        <v>3.704</v>
      </c>
      <c r="O477" s="14" t="n">
        <v>8.696</v>
      </c>
      <c r="P477" s="14" t="n">
        <v>18.479</v>
      </c>
      <c r="Q477" s="14" t="n">
        <v>0</v>
      </c>
      <c r="R477" s="14" t="n">
        <v>1</v>
      </c>
      <c r="S477" s="14" t="n">
        <v>57.479</v>
      </c>
      <c r="T477" s="14" t="n">
        <v>7.408</v>
      </c>
      <c r="U477" s="14" t="n">
        <v>4.097</v>
      </c>
      <c r="V477" s="14" t="n">
        <v>71.149</v>
      </c>
      <c r="W477" s="14" t="n">
        <v>0.17</v>
      </c>
      <c r="X477" s="14" t="n">
        <v>1</v>
      </c>
      <c r="Y477" s="14" t="n">
        <v>17.17</v>
      </c>
      <c r="Z477" s="14" t="n">
        <v>1.801</v>
      </c>
      <c r="AA477" s="14" t="n">
        <v>15.647</v>
      </c>
      <c r="AB477" s="14" t="n">
        <v>32.817</v>
      </c>
      <c r="AC477" s="14" t="n">
        <v>0</v>
      </c>
      <c r="AD477" s="14" t="n">
        <v>1</v>
      </c>
      <c r="AE477" s="14" t="n">
        <v>17.218</v>
      </c>
      <c r="AF477" s="14" t="n">
        <v>3.192</v>
      </c>
      <c r="AG477" s="14" t="n">
        <v>15.599</v>
      </c>
      <c r="AH477" s="14" t="n">
        <v>32.817</v>
      </c>
      <c r="AI477" s="14" t="n">
        <v>0</v>
      </c>
      <c r="AJ477" s="14" t="n">
        <v>1</v>
      </c>
      <c r="AK477" s="14" t="n">
        <v>22.157</v>
      </c>
      <c r="AL477" s="14" t="n">
        <v>10.581</v>
      </c>
      <c r="AM477" s="14" t="n">
        <v>-0.324</v>
      </c>
      <c r="AN477" s="14" t="n">
        <v>25.545</v>
      </c>
      <c r="AO477" s="14" t="n">
        <v>0</v>
      </c>
      <c r="AP477" s="14" t="n">
        <v>1</v>
      </c>
      <c r="AQ477" s="14" t="n">
        <v>0.861</v>
      </c>
      <c r="AR477" s="14" t="n">
        <v>0.123</v>
      </c>
      <c r="AS477" s="14" t="n">
        <v>0.648</v>
      </c>
      <c r="AT477" s="14" t="n">
        <v>1.765</v>
      </c>
      <c r="AU477" s="14" t="n">
        <v>0.17</v>
      </c>
      <c r="AV477" s="14" t="n">
        <v>1</v>
      </c>
      <c r="AW477" s="14" t="n">
        <v>0.986</v>
      </c>
      <c r="AX477" s="14" t="n">
        <v>0.123</v>
      </c>
      <c r="AY477" s="14" t="n">
        <v>0.584</v>
      </c>
      <c r="AZ477" s="14" t="n">
        <v>1.837</v>
      </c>
      <c r="BA477" s="14" t="n">
        <v>0.17</v>
      </c>
      <c r="BB477" s="14" t="n">
        <v>1</v>
      </c>
      <c r="BC477" s="14" t="n">
        <v>0.598</v>
      </c>
      <c r="BD477" s="14" t="n">
        <v>0.123</v>
      </c>
      <c r="BE477" s="14" t="n">
        <v>0.13</v>
      </c>
      <c r="BF477" s="14" t="n">
        <v>0.851</v>
      </c>
      <c r="BG477" s="14" t="n">
        <v>0.17</v>
      </c>
      <c r="BH477" s="14" t="n">
        <v>1</v>
      </c>
      <c r="BI477" s="14" t="n">
        <v>0.612</v>
      </c>
      <c r="BJ477" s="14" t="n">
        <v>0.123</v>
      </c>
      <c r="BK477" s="14" t="n">
        <v>0.455</v>
      </c>
      <c r="BL477" s="14" t="n">
        <v>1.248</v>
      </c>
      <c r="BM477" s="14" t="n">
        <v>0.17</v>
      </c>
      <c r="BN477" s="14" t="n">
        <v>1</v>
      </c>
      <c r="BO477" s="14" t="n">
        <v>0</v>
      </c>
      <c r="BP477" s="14" t="n">
        <v>0</v>
      </c>
      <c r="BQ477" s="14" t="n">
        <v>0.095</v>
      </c>
      <c r="BR477" s="14" t="n">
        <v>0</v>
      </c>
      <c r="BS477" s="14" t="n">
        <v>1</v>
      </c>
      <c r="BT477" s="14" t="n">
        <v>0</v>
      </c>
      <c r="BU477" s="14" t="n">
        <v>0.021</v>
      </c>
      <c r="BV477" s="14" t="n">
        <v>0.214</v>
      </c>
      <c r="BW477" s="14" t="n">
        <v>0.17</v>
      </c>
      <c r="BX477" s="14" t="n">
        <v>0.833</v>
      </c>
      <c r="BY477" s="14" t="n">
        <v>12.729</v>
      </c>
      <c r="BZ477" s="14" t="n">
        <v>0</v>
      </c>
      <c r="CA477" s="14" t="n">
        <v>12.729</v>
      </c>
      <c r="CB477" s="14" t="n">
        <v>0</v>
      </c>
      <c r="CC477" s="14" t="n">
        <v>97.90000000000001</v>
      </c>
      <c r="CD477" s="14" t="n">
        <v>7.95</v>
      </c>
      <c r="CE477" s="14" t="n">
        <v>105.678</v>
      </c>
      <c r="CF477" s="14" t="n">
        <v>238.187</v>
      </c>
      <c r="CG477" s="14" t="n">
        <v>0.17</v>
      </c>
      <c r="CH477" s="14" t="n">
        <v>1</v>
      </c>
      <c r="CI477" s="14" t="n">
        <v>0</v>
      </c>
      <c r="CJ477" s="14" t="n">
        <v>0</v>
      </c>
      <c r="CK477" s="14" t="n">
        <v>0</v>
      </c>
      <c r="CL477" s="14" t="n">
        <v>0</v>
      </c>
      <c r="CM477" s="14" t="n">
        <v>0</v>
      </c>
      <c r="CN477" s="14" t="n">
        <v>0</v>
      </c>
      <c r="CO477" s="14" t="n">
        <v>0</v>
      </c>
      <c r="CP477" s="14" t="n">
        <v>0</v>
      </c>
      <c r="CQ477" s="14" t="n">
        <v>1.294</v>
      </c>
      <c r="CR477" s="14" t="n">
        <v>0</v>
      </c>
      <c r="CS477" s="14" t="n">
        <v>5.158</v>
      </c>
      <c r="CT477" s="14" t="n">
        <v>50.071</v>
      </c>
      <c r="CU477" s="14" t="n">
        <v>7.554</v>
      </c>
    </row>
    <row r="478">
      <c r="A478" s="14" t="inlineStr">
        <is>
          <t>LUX2023</t>
        </is>
      </c>
      <c r="B478" s="14" t="inlineStr">
        <is>
          <t>LUX</t>
        </is>
      </c>
      <c r="C478" s="14" t="inlineStr">
        <is>
          <t>LUX</t>
        </is>
      </c>
      <c r="D478" s="14" t="inlineStr">
        <is>
          <t>Luxembourg</t>
        </is>
      </c>
      <c r="E478" s="14" t="n">
        <v>2023</v>
      </c>
      <c r="F478" s="14" t="n">
        <v>0.17</v>
      </c>
      <c r="G478" s="14" t="n">
        <v>25.29</v>
      </c>
      <c r="H478" s="14" t="n">
        <v>1.283</v>
      </c>
      <c r="I478" s="14" t="n">
        <v>9.750999999999999</v>
      </c>
      <c r="J478" s="14" t="n">
        <v>35.041</v>
      </c>
      <c r="K478" s="14" t="n">
        <v>0</v>
      </c>
      <c r="L478" s="14" t="n">
        <v>1</v>
      </c>
      <c r="M478" s="14" t="n">
        <v>7.869</v>
      </c>
      <c r="N478" s="14" t="n">
        <v>3.85</v>
      </c>
      <c r="O478" s="14" t="n">
        <v>10.033</v>
      </c>
      <c r="P478" s="14" t="n">
        <v>17.901</v>
      </c>
      <c r="Q478" s="14" t="n">
        <v>0</v>
      </c>
      <c r="R478" s="14" t="n">
        <v>1</v>
      </c>
      <c r="S478" s="14" t="n">
        <v>31.707</v>
      </c>
      <c r="T478" s="14" t="n">
        <v>7.699</v>
      </c>
      <c r="U478" s="14" t="n">
        <v>4.55</v>
      </c>
      <c r="V478" s="14" t="n">
        <v>41.636</v>
      </c>
      <c r="W478" s="14" t="n">
        <v>0.17</v>
      </c>
      <c r="X478" s="14" t="n">
        <v>1</v>
      </c>
      <c r="Y478" s="14" t="n">
        <v>17.42</v>
      </c>
      <c r="Z478" s="14" t="n">
        <v>1.951</v>
      </c>
      <c r="AA478" s="14" t="n">
        <v>19.513</v>
      </c>
      <c r="AB478" s="14" t="n">
        <v>36.933</v>
      </c>
      <c r="AC478" s="14" t="n">
        <v>0</v>
      </c>
      <c r="AD478" s="14" t="n">
        <v>1</v>
      </c>
      <c r="AE478" s="14" t="n">
        <v>17.519</v>
      </c>
      <c r="AF478" s="14" t="n">
        <v>3.489</v>
      </c>
      <c r="AG478" s="14" t="n">
        <v>19.415</v>
      </c>
      <c r="AH478" s="14" t="n">
        <v>36.933</v>
      </c>
      <c r="AI478" s="14" t="n">
        <v>0</v>
      </c>
      <c r="AJ478" s="14" t="n">
        <v>1</v>
      </c>
      <c r="AK478" s="14" t="n">
        <v>22.661</v>
      </c>
      <c r="AL478" s="14" t="n">
        <v>11.226</v>
      </c>
      <c r="AM478" s="14" t="n">
        <v>-0.518</v>
      </c>
      <c r="AN478" s="14" t="n">
        <v>25.908</v>
      </c>
      <c r="AO478" s="14" t="n">
        <v>0</v>
      </c>
      <c r="AP478" s="14" t="n">
        <v>1</v>
      </c>
      <c r="AQ478" s="14" t="n">
        <v>0.76</v>
      </c>
      <c r="AR478" s="14" t="n">
        <v>0.129</v>
      </c>
      <c r="AS478" s="14" t="n">
        <v>0.6899999999999999</v>
      </c>
      <c r="AT478" s="14" t="n">
        <v>1.697</v>
      </c>
      <c r="AU478" s="14" t="n">
        <v>0.17</v>
      </c>
      <c r="AV478" s="14" t="n">
        <v>1</v>
      </c>
      <c r="AW478" s="14" t="n">
        <v>0.8110000000000001</v>
      </c>
      <c r="AX478" s="14" t="n">
        <v>0.129</v>
      </c>
      <c r="AY478" s="14" t="n">
        <v>0.607</v>
      </c>
      <c r="AZ478" s="14" t="n">
        <v>1.659</v>
      </c>
      <c r="BA478" s="14" t="n">
        <v>0.17</v>
      </c>
      <c r="BB478" s="14" t="n">
        <v>1</v>
      </c>
      <c r="BC478" s="14" t="n">
        <v>0.535</v>
      </c>
      <c r="BD478" s="14" t="n">
        <v>0.129</v>
      </c>
      <c r="BE478" s="14" t="n">
        <v>0.112</v>
      </c>
      <c r="BF478" s="14" t="n">
        <v>0.757</v>
      </c>
      <c r="BG478" s="14" t="n">
        <v>0.17</v>
      </c>
      <c r="BH478" s="14" t="n">
        <v>1</v>
      </c>
      <c r="BI478" s="14" t="n">
        <v>0.579</v>
      </c>
      <c r="BJ478" s="14" t="n">
        <v>0.129</v>
      </c>
      <c r="BK478" s="14" t="n">
        <v>0.288</v>
      </c>
      <c r="BL478" s="14" t="n">
        <v>1.015</v>
      </c>
      <c r="BM478" s="14" t="n">
        <v>0.17</v>
      </c>
      <c r="BN478" s="14" t="n">
        <v>1</v>
      </c>
      <c r="BO478" s="14" t="n">
        <v>0</v>
      </c>
      <c r="BP478" s="14" t="n">
        <v>0</v>
      </c>
      <c r="BQ478" s="14" t="n">
        <v>0.175</v>
      </c>
      <c r="BR478" s="14" t="n">
        <v>0</v>
      </c>
      <c r="BS478" s="14" t="n">
        <v>1</v>
      </c>
      <c r="BT478" s="14" t="n">
        <v>0</v>
      </c>
      <c r="BU478" s="14" t="n">
        <v>-0.115</v>
      </c>
      <c r="BV478" s="14" t="n">
        <v>0.217</v>
      </c>
      <c r="BW478" s="14" t="n">
        <v>0.17</v>
      </c>
      <c r="BX478" s="14" t="n">
        <v>0.833</v>
      </c>
      <c r="BY478" s="14" t="n">
        <v>13.254</v>
      </c>
      <c r="BZ478" s="14" t="n">
        <v>0</v>
      </c>
      <c r="CA478" s="14" t="n">
        <v>13.254</v>
      </c>
      <c r="CB478" s="14" t="n">
        <v>0</v>
      </c>
      <c r="CC478" s="14" t="n">
        <v>83.248</v>
      </c>
      <c r="CD478" s="14" t="n">
        <v>7.95</v>
      </c>
      <c r="CE478" s="14" t="n">
        <v>101.368</v>
      </c>
      <c r="CF478" s="14" t="n">
        <v>216</v>
      </c>
      <c r="CG478" s="14" t="n">
        <v>0.17</v>
      </c>
      <c r="CH478" s="14" t="n">
        <v>1</v>
      </c>
      <c r="CI478" s="14" t="n">
        <v>0</v>
      </c>
      <c r="CJ478" s="14" t="n">
        <v>0</v>
      </c>
      <c r="CK478" s="14" t="n">
        <v>0</v>
      </c>
      <c r="CL478" s="14" t="n">
        <v>0</v>
      </c>
      <c r="CM478" s="14" t="n">
        <v>0</v>
      </c>
      <c r="CN478" s="14" t="n">
        <v>0</v>
      </c>
      <c r="CO478" s="14" t="n">
        <v>0</v>
      </c>
      <c r="CP478" s="14" t="n">
        <v>0.004</v>
      </c>
      <c r="CQ478" s="14" t="n">
        <v>1.348</v>
      </c>
      <c r="CR478" s="14" t="n">
        <v>0</v>
      </c>
      <c r="CS478" s="14" t="n">
        <v>5.37</v>
      </c>
      <c r="CT478" s="14" t="n">
        <v>24.093</v>
      </c>
      <c r="CU478" s="14" t="n">
        <v>7.753</v>
      </c>
    </row>
    <row r="479">
      <c r="A479" s="14" t="inlineStr">
        <is>
          <t>LUX2024</t>
        </is>
      </c>
      <c r="B479" s="14" t="inlineStr">
        <is>
          <t>LUX</t>
        </is>
      </c>
      <c r="C479" s="14" t="inlineStr">
        <is>
          <t>LUX</t>
        </is>
      </c>
      <c r="D479" s="14" t="inlineStr">
        <is>
          <t>Luxembourg</t>
        </is>
      </c>
      <c r="E479" s="14" t="n">
        <v>2024</v>
      </c>
      <c r="F479" s="14" t="n">
        <v>0.17</v>
      </c>
      <c r="G479" s="14" t="n">
        <v>20.108</v>
      </c>
      <c r="H479" s="14" t="n">
        <v>1.321</v>
      </c>
      <c r="I479" s="14" t="n">
        <v>6.39</v>
      </c>
      <c r="J479" s="14" t="n">
        <v>26.498</v>
      </c>
      <c r="K479" s="14" t="n">
        <v>0</v>
      </c>
      <c r="L479" s="14" t="n">
        <v>1</v>
      </c>
      <c r="M479" s="14" t="n">
        <v>7.109</v>
      </c>
      <c r="N479" s="14" t="n">
        <v>3.963</v>
      </c>
      <c r="O479" s="14" t="n">
        <v>6.649</v>
      </c>
      <c r="P479" s="14" t="n">
        <v>13.758</v>
      </c>
      <c r="Q479" s="14" t="n">
        <v>0</v>
      </c>
      <c r="R479" s="14" t="n">
        <v>1</v>
      </c>
      <c r="S479" s="14" t="n">
        <v>26.714</v>
      </c>
      <c r="T479" s="14" t="n">
        <v>7.927</v>
      </c>
      <c r="U479" s="14" t="n">
        <v>5.134</v>
      </c>
      <c r="V479" s="14" t="n">
        <v>36.419</v>
      </c>
      <c r="W479" s="14" t="n">
        <v>0.17</v>
      </c>
      <c r="X479" s="14" t="n">
        <v>1</v>
      </c>
      <c r="Y479" s="14" t="n">
        <v>20.004</v>
      </c>
      <c r="Z479" s="14" t="n">
        <v>2.526</v>
      </c>
      <c r="AA479" s="14" t="n">
        <v>5.192</v>
      </c>
      <c r="AB479" s="14" t="n">
        <v>25.196</v>
      </c>
      <c r="AC479" s="14" t="n">
        <v>0</v>
      </c>
      <c r="AD479" s="14" t="n">
        <v>1</v>
      </c>
      <c r="AE479" s="14" t="n">
        <v>20.004</v>
      </c>
      <c r="AF479" s="14" t="n">
        <v>4.382</v>
      </c>
      <c r="AG479" s="14" t="n">
        <v>5.192</v>
      </c>
      <c r="AH479" s="14" t="n">
        <v>25.196</v>
      </c>
      <c r="AI479" s="14" t="n">
        <v>0</v>
      </c>
      <c r="AJ479" s="14" t="n">
        <v>1</v>
      </c>
      <c r="AK479" s="14" t="n">
        <v>25.298</v>
      </c>
      <c r="AL479" s="14" t="n">
        <v>12.867</v>
      </c>
      <c r="AM479" s="14" t="n">
        <v>-4.546</v>
      </c>
      <c r="AN479" s="14" t="n">
        <v>24.28</v>
      </c>
      <c r="AO479" s="14" t="n">
        <v>0</v>
      </c>
      <c r="AP479" s="14" t="n">
        <v>1</v>
      </c>
      <c r="AQ479" s="14" t="n">
        <v>0.724</v>
      </c>
      <c r="AR479" s="14" t="n">
        <v>0.132</v>
      </c>
      <c r="AS479" s="14" t="n">
        <v>0.698</v>
      </c>
      <c r="AT479" s="14" t="n">
        <v>1.664</v>
      </c>
      <c r="AU479" s="14" t="n">
        <v>0.17</v>
      </c>
      <c r="AV479" s="14" t="n">
        <v>1</v>
      </c>
      <c r="AW479" s="14" t="n">
        <v>0.75</v>
      </c>
      <c r="AX479" s="14" t="n">
        <v>0.132</v>
      </c>
      <c r="AY479" s="14" t="n">
        <v>0.622</v>
      </c>
      <c r="AZ479" s="14" t="n">
        <v>1.606</v>
      </c>
      <c r="BA479" s="14" t="n">
        <v>0.17</v>
      </c>
      <c r="BB479" s="14" t="n">
        <v>1</v>
      </c>
      <c r="BC479" s="14" t="n">
        <v>0.513</v>
      </c>
      <c r="BD479" s="14" t="n">
        <v>0.132</v>
      </c>
      <c r="BE479" s="14" t="n">
        <v>0.16</v>
      </c>
      <c r="BF479" s="14" t="n">
        <v>0.787</v>
      </c>
      <c r="BG479" s="14" t="n">
        <v>0.17</v>
      </c>
      <c r="BH479" s="14" t="n">
        <v>1</v>
      </c>
      <c r="BI479" s="14" t="n">
        <v>0.591</v>
      </c>
      <c r="BJ479" s="14" t="n">
        <v>0.132</v>
      </c>
      <c r="BK479" s="14" t="n">
        <v>0.224</v>
      </c>
      <c r="BL479" s="14" t="n">
        <v>0.954</v>
      </c>
      <c r="BM479" s="14" t="n">
        <v>0.17</v>
      </c>
      <c r="BN479" s="14" t="n">
        <v>1</v>
      </c>
      <c r="BO479" s="14" t="n">
        <v>0</v>
      </c>
      <c r="BP479" s="14" t="n">
        <v>0</v>
      </c>
      <c r="BQ479" s="14" t="n">
        <v>0.147</v>
      </c>
      <c r="BR479" s="14" t="n">
        <v>0</v>
      </c>
      <c r="BS479" s="14" t="n">
        <v>1</v>
      </c>
      <c r="BT479" s="14" t="n">
        <v>0</v>
      </c>
      <c r="BU479" s="14" t="n">
        <v>-0.124</v>
      </c>
      <c r="BV479" s="14" t="n">
        <v>0.219</v>
      </c>
      <c r="BW479" s="14" t="n">
        <v>0.17</v>
      </c>
      <c r="BX479" s="14" t="n">
        <v>0.833</v>
      </c>
      <c r="BY479" s="14" t="n">
        <v>13.646</v>
      </c>
      <c r="BZ479" s="14" t="n">
        <v>0</v>
      </c>
      <c r="CA479" s="14" t="n">
        <v>13.646</v>
      </c>
      <c r="CB479" s="14" t="n">
        <v>0</v>
      </c>
      <c r="CC479" s="14" t="n">
        <v>82.58799999999999</v>
      </c>
      <c r="CD479" s="14" t="n">
        <v>7.95</v>
      </c>
      <c r="CE479" s="14" t="n">
        <v>81.879</v>
      </c>
      <c r="CF479" s="14" t="n">
        <v>192.427</v>
      </c>
      <c r="CG479" s="14" t="n">
        <v>0.17</v>
      </c>
      <c r="CH479" s="14" t="n">
        <v>1</v>
      </c>
      <c r="CI479" s="14" t="n">
        <v>0</v>
      </c>
      <c r="CJ479" s="14" t="n">
        <v>0</v>
      </c>
      <c r="CK479" s="14" t="n">
        <v>0</v>
      </c>
      <c r="CL479" s="14" t="n">
        <v>0</v>
      </c>
      <c r="CM479" s="14" t="n">
        <v>0</v>
      </c>
      <c r="CN479" s="14" t="n">
        <v>0</v>
      </c>
      <c r="CO479" s="14" t="n">
        <v>0</v>
      </c>
      <c r="CP479" s="14" t="n">
        <v>0.004</v>
      </c>
      <c r="CQ479" s="14" t="n">
        <v>1.387</v>
      </c>
      <c r="CR479" s="14" t="n">
        <v>0</v>
      </c>
      <c r="CS479" s="14" t="n">
        <v>5.529</v>
      </c>
      <c r="CT479" s="14" t="n">
        <v>18.853</v>
      </c>
      <c r="CU479" s="14" t="n">
        <v>7.81</v>
      </c>
    </row>
    <row r="480">
      <c r="A480" s="14" t="inlineStr">
        <is>
          <t>MAC2021</t>
        </is>
      </c>
      <c r="B480" s="14" t="inlineStr">
        <is>
          <t>MAC</t>
        </is>
      </c>
      <c r="C480" s="14" t="inlineStr">
        <is>
          <t>MAC</t>
        </is>
      </c>
      <c r="D480" s="14" t="inlineStr">
        <is>
          <t>Macao SAR</t>
        </is>
      </c>
      <c r="E480" s="14" t="n">
        <v>2021</v>
      </c>
      <c r="F480" s="14" t="n">
        <v>0</v>
      </c>
      <c r="G480" s="14" t="n">
        <v>4.747</v>
      </c>
      <c r="H480" s="14" t="n">
        <v>1.143</v>
      </c>
      <c r="I480" s="14" t="n">
        <v>0</v>
      </c>
      <c r="J480" s="14" t="n">
        <v>4.747</v>
      </c>
      <c r="K480" s="14" t="n">
        <v>0</v>
      </c>
      <c r="L480" s="14" t="n">
        <v>1</v>
      </c>
      <c r="M480" s="14" t="n">
        <v>7.964</v>
      </c>
      <c r="N480" s="14" t="n">
        <v>3.43</v>
      </c>
      <c r="O480" s="14" t="n">
        <v>0</v>
      </c>
      <c r="P480" s="14" t="n">
        <v>7.964</v>
      </c>
      <c r="Q480" s="14" t="n">
        <v>0</v>
      </c>
      <c r="R480" s="14" t="n">
        <v>1</v>
      </c>
      <c r="S480" s="14" t="n">
        <v>10.464</v>
      </c>
      <c r="T480" s="14" t="n">
        <v>6.86</v>
      </c>
      <c r="U480" s="14" t="n">
        <v>0</v>
      </c>
      <c r="V480" s="14" t="n">
        <v>10.464</v>
      </c>
      <c r="W480" s="14" t="n">
        <v>0</v>
      </c>
      <c r="X480" s="14" t="n">
        <v>1</v>
      </c>
      <c r="Y480" s="14" t="n">
        <v>10.551</v>
      </c>
      <c r="Z480" s="14" t="n">
        <v>1.302</v>
      </c>
      <c r="AA480" s="14" t="n">
        <v>0</v>
      </c>
      <c r="AB480" s="14" t="n">
        <v>10.551</v>
      </c>
      <c r="AC480" s="14" t="n">
        <v>0</v>
      </c>
      <c r="AD480" s="14" t="n">
        <v>1</v>
      </c>
      <c r="AE480" s="14" t="n">
        <v>11.694</v>
      </c>
      <c r="AF480" s="14" t="n">
        <v>2.549</v>
      </c>
      <c r="AG480" s="14" t="n">
        <v>0</v>
      </c>
      <c r="AH480" s="14" t="n">
        <v>11.694</v>
      </c>
      <c r="AI480" s="14" t="n">
        <v>0</v>
      </c>
      <c r="AJ480" s="14" t="n">
        <v>1</v>
      </c>
      <c r="AK480" s="14" t="n">
        <v>18.554</v>
      </c>
      <c r="AL480" s="14" t="n">
        <v>9.627000000000001</v>
      </c>
      <c r="AM480" s="14" t="n">
        <v>0</v>
      </c>
      <c r="AN480" s="14" t="n">
        <v>18.554</v>
      </c>
      <c r="AO480" s="14" t="n">
        <v>0</v>
      </c>
      <c r="AP480" s="14" t="n">
        <v>1</v>
      </c>
      <c r="AQ480" s="14" t="n">
        <v>0.621</v>
      </c>
      <c r="AR480" s="14" t="n">
        <v>0.114</v>
      </c>
      <c r="AS480" s="14" t="n">
        <v>0</v>
      </c>
      <c r="AT480" s="14" t="n">
        <v>0.621</v>
      </c>
      <c r="AU480" s="14" t="n">
        <v>0</v>
      </c>
      <c r="AV480" s="14" t="n">
        <v>1</v>
      </c>
      <c r="AW480" s="14" t="n">
        <v>0.593</v>
      </c>
      <c r="AX480" s="14" t="n">
        <v>0.114</v>
      </c>
      <c r="AY480" s="14" t="n">
        <v>0</v>
      </c>
      <c r="AZ480" s="14" t="n">
        <v>0.593</v>
      </c>
      <c r="BA480" s="14" t="n">
        <v>0</v>
      </c>
      <c r="BB480" s="14" t="n">
        <v>1</v>
      </c>
      <c r="BC480" s="14" t="n">
        <v>0.44</v>
      </c>
      <c r="BD480" s="14" t="n">
        <v>0.114</v>
      </c>
      <c r="BE480" s="14" t="n">
        <v>0</v>
      </c>
      <c r="BF480" s="14" t="n">
        <v>0.44</v>
      </c>
      <c r="BG480" s="14" t="n">
        <v>0</v>
      </c>
      <c r="BH480" s="14" t="n">
        <v>1</v>
      </c>
      <c r="BI480" s="14" t="n">
        <v>0.5600000000000001</v>
      </c>
      <c r="BJ480" s="14" t="n">
        <v>0.114</v>
      </c>
      <c r="BK480" s="14" t="n">
        <v>0</v>
      </c>
      <c r="BL480" s="14" t="n">
        <v>0.5600000000000001</v>
      </c>
      <c r="BM480" s="14" t="n">
        <v>0</v>
      </c>
      <c r="BN480" s="14" t="n">
        <v>1</v>
      </c>
      <c r="BO480" s="14" t="n">
        <v>0</v>
      </c>
      <c r="BP480" s="14" t="n">
        <v>0</v>
      </c>
      <c r="BQ480" s="14" t="n">
        <v>0.157</v>
      </c>
      <c r="BR480" s="14" t="n">
        <v>0</v>
      </c>
      <c r="BS480" s="14" t="n">
        <v>1</v>
      </c>
      <c r="BT480" s="14" t="n">
        <v>0</v>
      </c>
      <c r="BU480" s="14" t="n">
        <v>0</v>
      </c>
      <c r="BV480" s="14" t="n">
        <v>0.149</v>
      </c>
      <c r="BW480" s="14" t="n">
        <v>0</v>
      </c>
      <c r="BX480" s="14" t="n">
        <v>0.833</v>
      </c>
      <c r="BY480" s="14" t="n">
        <v>11.787</v>
      </c>
      <c r="BZ480" s="14" t="n">
        <v>0</v>
      </c>
      <c r="CA480" s="14" t="n">
        <v>11.787</v>
      </c>
      <c r="CB480" s="14" t="n">
        <v>0</v>
      </c>
      <c r="CC480" s="14" t="n">
        <v>81.69499999999999</v>
      </c>
      <c r="CD480" s="14" t="n">
        <v>7.95</v>
      </c>
      <c r="CE480" s="14" t="n">
        <v>0</v>
      </c>
      <c r="CF480" s="14" t="n">
        <v>81.69499999999999</v>
      </c>
      <c r="CG480" s="14" t="n">
        <v>0</v>
      </c>
      <c r="CH480" s="14" t="n">
        <v>1</v>
      </c>
      <c r="CI480" s="14" t="n">
        <v>0</v>
      </c>
      <c r="CJ480" s="14" t="n">
        <v>0</v>
      </c>
      <c r="CK480" s="14" t="n">
        <v>0</v>
      </c>
      <c r="CL480" s="14" t="n">
        <v>0</v>
      </c>
      <c r="CM480" s="14" t="n">
        <v>0</v>
      </c>
      <c r="CN480" s="14" t="n">
        <v>0</v>
      </c>
      <c r="CO480" s="14" t="n">
        <v>0</v>
      </c>
      <c r="CP480" s="14" t="n">
        <v>0</v>
      </c>
      <c r="CQ480" s="14" t="n">
        <v>1.198</v>
      </c>
      <c r="CR480" s="14" t="n">
        <v>0</v>
      </c>
      <c r="CS480" s="14" t="n">
        <v>4.776</v>
      </c>
      <c r="CT480" s="14" t="n">
        <v>3.604</v>
      </c>
      <c r="CU480" s="14" t="n">
        <v>9.407999999999999</v>
      </c>
    </row>
    <row r="481">
      <c r="A481" s="14" t="inlineStr">
        <is>
          <t>MAC2022</t>
        </is>
      </c>
      <c r="B481" s="14" t="inlineStr">
        <is>
          <t>MAC</t>
        </is>
      </c>
      <c r="C481" s="14" t="inlineStr">
        <is>
          <t>MAC</t>
        </is>
      </c>
      <c r="D481" s="14" t="inlineStr">
        <is>
          <t>Macao SAR</t>
        </is>
      </c>
      <c r="E481" s="14" t="n">
        <v>2022</v>
      </c>
      <c r="F481" s="14" t="n">
        <v>0</v>
      </c>
      <c r="G481" s="14" t="n">
        <v>8.788</v>
      </c>
      <c r="H481" s="14" t="n">
        <v>1.235</v>
      </c>
      <c r="I481" s="14" t="n">
        <v>0</v>
      </c>
      <c r="J481" s="14" t="n">
        <v>8.788</v>
      </c>
      <c r="K481" s="14" t="n">
        <v>0</v>
      </c>
      <c r="L481" s="14" t="n">
        <v>1</v>
      </c>
      <c r="M481" s="14" t="n">
        <v>9.782999999999999</v>
      </c>
      <c r="N481" s="14" t="n">
        <v>3.704</v>
      </c>
      <c r="O481" s="14" t="n">
        <v>0</v>
      </c>
      <c r="P481" s="14" t="n">
        <v>9.782999999999999</v>
      </c>
      <c r="Q481" s="14" t="n">
        <v>0</v>
      </c>
      <c r="R481" s="14" t="n">
        <v>1</v>
      </c>
      <c r="S481" s="14" t="n">
        <v>14.962</v>
      </c>
      <c r="T481" s="14" t="n">
        <v>7.408</v>
      </c>
      <c r="U481" s="14" t="n">
        <v>0</v>
      </c>
      <c r="V481" s="14" t="n">
        <v>14.962</v>
      </c>
      <c r="W481" s="14" t="n">
        <v>0</v>
      </c>
      <c r="X481" s="14" t="n">
        <v>1</v>
      </c>
      <c r="Y481" s="14" t="n">
        <v>17.332</v>
      </c>
      <c r="Z481" s="14" t="n">
        <v>2.139</v>
      </c>
      <c r="AA481" s="14" t="n">
        <v>0</v>
      </c>
      <c r="AB481" s="14" t="n">
        <v>17.332</v>
      </c>
      <c r="AC481" s="14" t="n">
        <v>0</v>
      </c>
      <c r="AD481" s="14" t="n">
        <v>1</v>
      </c>
      <c r="AE481" s="14" t="n">
        <v>18.566</v>
      </c>
      <c r="AF481" s="14" t="n">
        <v>4.048</v>
      </c>
      <c r="AG481" s="14" t="n">
        <v>0</v>
      </c>
      <c r="AH481" s="14" t="n">
        <v>18.566</v>
      </c>
      <c r="AI481" s="14" t="n">
        <v>0</v>
      </c>
      <c r="AJ481" s="14" t="n">
        <v>1</v>
      </c>
      <c r="AK481" s="14" t="n">
        <v>25.974</v>
      </c>
      <c r="AL481" s="14" t="n">
        <v>13.478</v>
      </c>
      <c r="AM481" s="14" t="n">
        <v>0</v>
      </c>
      <c r="AN481" s="14" t="n">
        <v>25.974</v>
      </c>
      <c r="AO481" s="14" t="n">
        <v>0</v>
      </c>
      <c r="AP481" s="14" t="n">
        <v>1</v>
      </c>
      <c r="AQ481" s="14" t="n">
        <v>0.847</v>
      </c>
      <c r="AR481" s="14" t="n">
        <v>0.123</v>
      </c>
      <c r="AS481" s="14" t="n">
        <v>0</v>
      </c>
      <c r="AT481" s="14" t="n">
        <v>0.847</v>
      </c>
      <c r="AU481" s="14" t="n">
        <v>0</v>
      </c>
      <c r="AV481" s="14" t="n">
        <v>1</v>
      </c>
      <c r="AW481" s="14" t="n">
        <v>0.947</v>
      </c>
      <c r="AX481" s="14" t="n">
        <v>0.123</v>
      </c>
      <c r="AY481" s="14" t="n">
        <v>0</v>
      </c>
      <c r="AZ481" s="14" t="n">
        <v>0.947</v>
      </c>
      <c r="BA481" s="14" t="n">
        <v>0</v>
      </c>
      <c r="BB481" s="14" t="n">
        <v>1</v>
      </c>
      <c r="BC481" s="14" t="n">
        <v>0.589</v>
      </c>
      <c r="BD481" s="14" t="n">
        <v>0.123</v>
      </c>
      <c r="BE481" s="14" t="n">
        <v>0</v>
      </c>
      <c r="BF481" s="14" t="n">
        <v>0.589</v>
      </c>
      <c r="BG481" s="14" t="n">
        <v>0</v>
      </c>
      <c r="BH481" s="14" t="n">
        <v>1</v>
      </c>
      <c r="BI481" s="14" t="n">
        <v>0.6889999999999999</v>
      </c>
      <c r="BJ481" s="14" t="n">
        <v>0.123</v>
      </c>
      <c r="BK481" s="14" t="n">
        <v>0</v>
      </c>
      <c r="BL481" s="14" t="n">
        <v>0.6889999999999999</v>
      </c>
      <c r="BM481" s="14" t="n">
        <v>0</v>
      </c>
      <c r="BN481" s="14" t="n">
        <v>1</v>
      </c>
      <c r="BO481" s="14" t="n">
        <v>0</v>
      </c>
      <c r="BP481" s="14" t="n">
        <v>0</v>
      </c>
      <c r="BQ481" s="14" t="n">
        <v>0.16</v>
      </c>
      <c r="BR481" s="14" t="n">
        <v>0</v>
      </c>
      <c r="BS481" s="14" t="n">
        <v>1</v>
      </c>
      <c r="BT481" s="14" t="n">
        <v>0</v>
      </c>
      <c r="BU481" s="14" t="n">
        <v>0</v>
      </c>
      <c r="BV481" s="14" t="n">
        <v>0.155</v>
      </c>
      <c r="BW481" s="14" t="n">
        <v>0</v>
      </c>
      <c r="BX481" s="14" t="n">
        <v>0.833</v>
      </c>
      <c r="BY481" s="14" t="n">
        <v>12.729</v>
      </c>
      <c r="BZ481" s="14" t="n">
        <v>0</v>
      </c>
      <c r="CA481" s="14" t="n">
        <v>12.729</v>
      </c>
      <c r="CB481" s="14" t="n">
        <v>0</v>
      </c>
      <c r="CC481" s="14" t="n">
        <v>102.477</v>
      </c>
      <c r="CD481" s="14" t="n">
        <v>7.95</v>
      </c>
      <c r="CE481" s="14" t="n">
        <v>0</v>
      </c>
      <c r="CF481" s="14" t="n">
        <v>102.477</v>
      </c>
      <c r="CG481" s="14" t="n">
        <v>0</v>
      </c>
      <c r="CH481" s="14" t="n">
        <v>1</v>
      </c>
      <c r="CI481" s="14" t="n">
        <v>0</v>
      </c>
      <c r="CJ481" s="14" t="n">
        <v>0</v>
      </c>
      <c r="CK481" s="14" t="n">
        <v>0</v>
      </c>
      <c r="CL481" s="14" t="n">
        <v>0</v>
      </c>
      <c r="CM481" s="14" t="n">
        <v>0</v>
      </c>
      <c r="CN481" s="14" t="n">
        <v>0</v>
      </c>
      <c r="CO481" s="14" t="n">
        <v>0</v>
      </c>
      <c r="CP481" s="14" t="n">
        <v>0</v>
      </c>
      <c r="CQ481" s="14" t="n">
        <v>1.294</v>
      </c>
      <c r="CR481" s="14" t="n">
        <v>0</v>
      </c>
      <c r="CS481" s="14" t="n">
        <v>5.158</v>
      </c>
      <c r="CT481" s="14" t="n">
        <v>7.554</v>
      </c>
      <c r="CU481" s="14" t="n">
        <v>16.097</v>
      </c>
    </row>
    <row r="482">
      <c r="A482" s="14" t="inlineStr">
        <is>
          <t>MAC2023</t>
        </is>
      </c>
      <c r="B482" s="14" t="inlineStr">
        <is>
          <t>MAC</t>
        </is>
      </c>
      <c r="C482" s="14" t="inlineStr">
        <is>
          <t>MAC</t>
        </is>
      </c>
      <c r="D482" s="14" t="inlineStr">
        <is>
          <t>Macao SAR</t>
        </is>
      </c>
      <c r="E482" s="14" t="n">
        <v>2023</v>
      </c>
      <c r="F482" s="14" t="n">
        <v>0</v>
      </c>
      <c r="G482" s="14" t="n">
        <v>5.77</v>
      </c>
      <c r="H482" s="14" t="n">
        <v>1.286</v>
      </c>
      <c r="I482" s="14" t="n">
        <v>0</v>
      </c>
      <c r="J482" s="14" t="n">
        <v>5.77</v>
      </c>
      <c r="K482" s="14" t="n">
        <v>0</v>
      </c>
      <c r="L482" s="14" t="n">
        <v>1</v>
      </c>
      <c r="M482" s="14" t="n">
        <v>7.886</v>
      </c>
      <c r="N482" s="14" t="n">
        <v>3.857</v>
      </c>
      <c r="O482" s="14" t="n">
        <v>0</v>
      </c>
      <c r="P482" s="14" t="n">
        <v>7.886</v>
      </c>
      <c r="Q482" s="14" t="n">
        <v>0</v>
      </c>
      <c r="R482" s="14" t="n">
        <v>1</v>
      </c>
      <c r="S482" s="14" t="n">
        <v>12.198</v>
      </c>
      <c r="T482" s="14" t="n">
        <v>7.714</v>
      </c>
      <c r="U482" s="14" t="n">
        <v>0</v>
      </c>
      <c r="V482" s="14" t="n">
        <v>12.198</v>
      </c>
      <c r="W482" s="14" t="n">
        <v>0</v>
      </c>
      <c r="X482" s="14" t="n">
        <v>1</v>
      </c>
      <c r="Y482" s="14" t="n">
        <v>13.814</v>
      </c>
      <c r="Z482" s="14" t="n">
        <v>1.705</v>
      </c>
      <c r="AA482" s="14" t="n">
        <v>0</v>
      </c>
      <c r="AB482" s="14" t="n">
        <v>13.814</v>
      </c>
      <c r="AC482" s="14" t="n">
        <v>0</v>
      </c>
      <c r="AD482" s="14" t="n">
        <v>1</v>
      </c>
      <c r="AE482" s="14" t="n">
        <v>15.1</v>
      </c>
      <c r="AF482" s="14" t="n">
        <v>3.292</v>
      </c>
      <c r="AG482" s="14" t="n">
        <v>0</v>
      </c>
      <c r="AH482" s="14" t="n">
        <v>15.1</v>
      </c>
      <c r="AI482" s="14" t="n">
        <v>0</v>
      </c>
      <c r="AJ482" s="14" t="n">
        <v>1</v>
      </c>
      <c r="AK482" s="14" t="n">
        <v>22.814</v>
      </c>
      <c r="AL482" s="14" t="n">
        <v>11.838</v>
      </c>
      <c r="AM482" s="14" t="n">
        <v>0</v>
      </c>
      <c r="AN482" s="14" t="n">
        <v>22.814</v>
      </c>
      <c r="AO482" s="14" t="n">
        <v>0</v>
      </c>
      <c r="AP482" s="14" t="n">
        <v>1</v>
      </c>
      <c r="AQ482" s="14" t="n">
        <v>0.749</v>
      </c>
      <c r="AR482" s="14" t="n">
        <v>0.129</v>
      </c>
      <c r="AS482" s="14" t="n">
        <v>0</v>
      </c>
      <c r="AT482" s="14" t="n">
        <v>0.749</v>
      </c>
      <c r="AU482" s="14" t="n">
        <v>0</v>
      </c>
      <c r="AV482" s="14" t="n">
        <v>1</v>
      </c>
      <c r="AW482" s="14" t="n">
        <v>0.783</v>
      </c>
      <c r="AX482" s="14" t="n">
        <v>0.129</v>
      </c>
      <c r="AY482" s="14" t="n">
        <v>0</v>
      </c>
      <c r="AZ482" s="14" t="n">
        <v>0.783</v>
      </c>
      <c r="BA482" s="14" t="n">
        <v>0</v>
      </c>
      <c r="BB482" s="14" t="n">
        <v>1</v>
      </c>
      <c r="BC482" s="14" t="n">
        <v>0.527</v>
      </c>
      <c r="BD482" s="14" t="n">
        <v>0.129</v>
      </c>
      <c r="BE482" s="14" t="n">
        <v>0</v>
      </c>
      <c r="BF482" s="14" t="n">
        <v>0.527</v>
      </c>
      <c r="BG482" s="14" t="n">
        <v>0</v>
      </c>
      <c r="BH482" s="14" t="n">
        <v>1</v>
      </c>
      <c r="BI482" s="14" t="n">
        <v>0.64</v>
      </c>
      <c r="BJ482" s="14" t="n">
        <v>0.129</v>
      </c>
      <c r="BK482" s="14" t="n">
        <v>0</v>
      </c>
      <c r="BL482" s="14" t="n">
        <v>0.64</v>
      </c>
      <c r="BM482" s="14" t="n">
        <v>0</v>
      </c>
      <c r="BN482" s="14" t="n">
        <v>1</v>
      </c>
      <c r="BO482" s="14" t="n">
        <v>0</v>
      </c>
      <c r="BP482" s="14" t="n">
        <v>0</v>
      </c>
      <c r="BQ482" s="14" t="n">
        <v>0.161</v>
      </c>
      <c r="BR482" s="14" t="n">
        <v>0</v>
      </c>
      <c r="BS482" s="14" t="n">
        <v>1</v>
      </c>
      <c r="BT482" s="14" t="n">
        <v>0</v>
      </c>
      <c r="BU482" s="14" t="n">
        <v>0</v>
      </c>
      <c r="BV482" s="14" t="n">
        <v>0.156</v>
      </c>
      <c r="BW482" s="14" t="n">
        <v>0</v>
      </c>
      <c r="BX482" s="14" t="n">
        <v>0.833</v>
      </c>
      <c r="BY482" s="14" t="n">
        <v>13.254</v>
      </c>
      <c r="BZ482" s="14" t="n">
        <v>0</v>
      </c>
      <c r="CA482" s="14" t="n">
        <v>13.254</v>
      </c>
      <c r="CB482" s="14" t="n">
        <v>0</v>
      </c>
      <c r="CC482" s="14" t="n">
        <v>87.07899999999999</v>
      </c>
      <c r="CD482" s="14" t="n">
        <v>7.95</v>
      </c>
      <c r="CE482" s="14" t="n">
        <v>0</v>
      </c>
      <c r="CF482" s="14" t="n">
        <v>87.07899999999999</v>
      </c>
      <c r="CG482" s="14" t="n">
        <v>0</v>
      </c>
      <c r="CH482" s="14" t="n">
        <v>1</v>
      </c>
      <c r="CI482" s="14" t="n">
        <v>0</v>
      </c>
      <c r="CJ482" s="14" t="n">
        <v>0</v>
      </c>
      <c r="CK482" s="14" t="n">
        <v>0</v>
      </c>
      <c r="CL482" s="14" t="n">
        <v>0</v>
      </c>
      <c r="CM482" s="14" t="n">
        <v>0</v>
      </c>
      <c r="CN482" s="14" t="n">
        <v>0</v>
      </c>
      <c r="CO482" s="14" t="n">
        <v>0</v>
      </c>
      <c r="CP482" s="14" t="n">
        <v>0</v>
      </c>
      <c r="CQ482" s="14" t="n">
        <v>1.348</v>
      </c>
      <c r="CR482" s="14" t="n">
        <v>0</v>
      </c>
      <c r="CS482" s="14" t="n">
        <v>5.37</v>
      </c>
      <c r="CT482" s="14" t="n">
        <v>4.484</v>
      </c>
      <c r="CU482" s="14" t="n">
        <v>12.529</v>
      </c>
    </row>
    <row r="483">
      <c r="A483" s="14" t="inlineStr">
        <is>
          <t>MAC2024</t>
        </is>
      </c>
      <c r="B483" s="14" t="inlineStr">
        <is>
          <t>MAC</t>
        </is>
      </c>
      <c r="C483" s="14" t="inlineStr">
        <is>
          <t>MAC</t>
        </is>
      </c>
      <c r="D483" s="14" t="inlineStr">
        <is>
          <t>Macao SAR</t>
        </is>
      </c>
      <c r="E483" s="14" t="n">
        <v>2024</v>
      </c>
      <c r="F483" s="14" t="n">
        <v>0</v>
      </c>
      <c r="G483" s="14" t="n">
        <v>4.833</v>
      </c>
      <c r="H483" s="14" t="n">
        <v>1.324</v>
      </c>
      <c r="I483" s="14" t="n">
        <v>0</v>
      </c>
      <c r="J483" s="14" t="n">
        <v>4.833</v>
      </c>
      <c r="K483" s="14" t="n">
        <v>0</v>
      </c>
      <c r="L483" s="14" t="n">
        <v>1</v>
      </c>
      <c r="M483" s="14" t="n">
        <v>7.124</v>
      </c>
      <c r="N483" s="14" t="n">
        <v>3.971</v>
      </c>
      <c r="O483" s="14" t="n">
        <v>0</v>
      </c>
      <c r="P483" s="14" t="n">
        <v>7.124</v>
      </c>
      <c r="Q483" s="14" t="n">
        <v>0</v>
      </c>
      <c r="R483" s="14" t="n">
        <v>1</v>
      </c>
      <c r="S483" s="14" t="n">
        <v>11.451</v>
      </c>
      <c r="T483" s="14" t="n">
        <v>7.942</v>
      </c>
      <c r="U483" s="14" t="n">
        <v>0</v>
      </c>
      <c r="V483" s="14" t="n">
        <v>11.451</v>
      </c>
      <c r="W483" s="14" t="n">
        <v>0</v>
      </c>
      <c r="X483" s="14" t="n">
        <v>1</v>
      </c>
      <c r="Y483" s="14" t="n">
        <v>12.219</v>
      </c>
      <c r="Z483" s="14" t="n">
        <v>1.508</v>
      </c>
      <c r="AA483" s="14" t="n">
        <v>0</v>
      </c>
      <c r="AB483" s="14" t="n">
        <v>12.219</v>
      </c>
      <c r="AC483" s="14" t="n">
        <v>0</v>
      </c>
      <c r="AD483" s="14" t="n">
        <v>1</v>
      </c>
      <c r="AE483" s="14" t="n">
        <v>13.543</v>
      </c>
      <c r="AF483" s="14" t="n">
        <v>2.952</v>
      </c>
      <c r="AG483" s="14" t="n">
        <v>0</v>
      </c>
      <c r="AH483" s="14" t="n">
        <v>13.543</v>
      </c>
      <c r="AI483" s="14" t="n">
        <v>0</v>
      </c>
      <c r="AJ483" s="14" t="n">
        <v>1</v>
      </c>
      <c r="AK483" s="14" t="n">
        <v>21.484</v>
      </c>
      <c r="AL483" s="14" t="n">
        <v>11.148</v>
      </c>
      <c r="AM483" s="14" t="n">
        <v>0</v>
      </c>
      <c r="AN483" s="14" t="n">
        <v>21.484</v>
      </c>
      <c r="AO483" s="14" t="n">
        <v>0</v>
      </c>
      <c r="AP483" s="14" t="n">
        <v>1</v>
      </c>
      <c r="AQ483" s="14" t="n">
        <v>0.72</v>
      </c>
      <c r="AR483" s="14" t="n">
        <v>0.132</v>
      </c>
      <c r="AS483" s="14" t="n">
        <v>0</v>
      </c>
      <c r="AT483" s="14" t="n">
        <v>0.72</v>
      </c>
      <c r="AU483" s="14" t="n">
        <v>0</v>
      </c>
      <c r="AV483" s="14" t="n">
        <v>1</v>
      </c>
      <c r="AW483" s="14" t="n">
        <v>0.734</v>
      </c>
      <c r="AX483" s="14" t="n">
        <v>0.132</v>
      </c>
      <c r="AY483" s="14" t="n">
        <v>0</v>
      </c>
      <c r="AZ483" s="14" t="n">
        <v>0.734</v>
      </c>
      <c r="BA483" s="14" t="n">
        <v>0</v>
      </c>
      <c r="BB483" s="14" t="n">
        <v>1</v>
      </c>
      <c r="BC483" s="14" t="n">
        <v>0.51</v>
      </c>
      <c r="BD483" s="14" t="n">
        <v>0.132</v>
      </c>
      <c r="BE483" s="14" t="n">
        <v>0</v>
      </c>
      <c r="BF483" s="14" t="n">
        <v>0.51</v>
      </c>
      <c r="BG483" s="14" t="n">
        <v>0</v>
      </c>
      <c r="BH483" s="14" t="n">
        <v>1</v>
      </c>
      <c r="BI483" s="14" t="n">
        <v>0.652</v>
      </c>
      <c r="BJ483" s="14" t="n">
        <v>0.132</v>
      </c>
      <c r="BK483" s="14" t="n">
        <v>0</v>
      </c>
      <c r="BL483" s="14" t="n">
        <v>0.652</v>
      </c>
      <c r="BM483" s="14" t="n">
        <v>0</v>
      </c>
      <c r="BN483" s="14" t="n">
        <v>1</v>
      </c>
      <c r="BO483" s="14" t="n">
        <v>0</v>
      </c>
      <c r="BP483" s="14" t="n">
        <v>0</v>
      </c>
      <c r="BQ483" s="14" t="n">
        <v>0.162</v>
      </c>
      <c r="BR483" s="14" t="n">
        <v>0</v>
      </c>
      <c r="BS483" s="14" t="n">
        <v>1</v>
      </c>
      <c r="BT483" s="14" t="n">
        <v>0</v>
      </c>
      <c r="BU483" s="14" t="n">
        <v>0</v>
      </c>
      <c r="BV483" s="14" t="n">
        <v>0.157</v>
      </c>
      <c r="BW483" s="14" t="n">
        <v>0</v>
      </c>
      <c r="BX483" s="14" t="n">
        <v>0.833</v>
      </c>
      <c r="BY483" s="14" t="n">
        <v>13.646</v>
      </c>
      <c r="BZ483" s="14" t="n">
        <v>0</v>
      </c>
      <c r="CA483" s="14" t="n">
        <v>13.646</v>
      </c>
      <c r="CB483" s="14" t="n">
        <v>0</v>
      </c>
      <c r="CC483" s="14" t="n">
        <v>86.38500000000001</v>
      </c>
      <c r="CD483" s="14" t="n">
        <v>7.95</v>
      </c>
      <c r="CE483" s="14" t="n">
        <v>0</v>
      </c>
      <c r="CF483" s="14" t="n">
        <v>86.38500000000001</v>
      </c>
      <c r="CG483" s="14" t="n">
        <v>0</v>
      </c>
      <c r="CH483" s="14" t="n">
        <v>1</v>
      </c>
      <c r="CI483" s="14" t="n">
        <v>0</v>
      </c>
      <c r="CJ483" s="14" t="n">
        <v>0</v>
      </c>
      <c r="CK483" s="14" t="n">
        <v>0</v>
      </c>
      <c r="CL483" s="14" t="n">
        <v>0</v>
      </c>
      <c r="CM483" s="14" t="n">
        <v>0</v>
      </c>
      <c r="CN483" s="14" t="n">
        <v>0</v>
      </c>
      <c r="CO483" s="14" t="n">
        <v>0</v>
      </c>
      <c r="CP483" s="14" t="n">
        <v>0</v>
      </c>
      <c r="CQ483" s="14" t="n">
        <v>1.387</v>
      </c>
      <c r="CR483" s="14" t="n">
        <v>0</v>
      </c>
      <c r="CS483" s="14" t="n">
        <v>5.529</v>
      </c>
      <c r="CT483" s="14" t="n">
        <v>3.509</v>
      </c>
      <c r="CU483" s="14" t="n">
        <v>10.896</v>
      </c>
    </row>
    <row r="484">
      <c r="A484" s="14" t="inlineStr">
        <is>
          <t>MDG2021</t>
        </is>
      </c>
      <c r="B484" s="14" t="inlineStr">
        <is>
          <t>MDG</t>
        </is>
      </c>
      <c r="C484" s="14" t="inlineStr">
        <is>
          <t>MDG</t>
        </is>
      </c>
      <c r="D484" s="14" t="inlineStr">
        <is>
          <t>Madagascar</t>
        </is>
      </c>
      <c r="E484" s="14" t="n">
        <v>2021</v>
      </c>
      <c r="F484" s="14" t="n">
        <v>0.2</v>
      </c>
      <c r="G484" s="14" t="n">
        <v>5.659</v>
      </c>
      <c r="H484" s="14" t="n">
        <v>1.238</v>
      </c>
      <c r="I484" s="14" t="n">
        <v>0.238</v>
      </c>
      <c r="J484" s="14" t="n">
        <v>5.897</v>
      </c>
      <c r="K484" s="14" t="n">
        <v>0</v>
      </c>
      <c r="L484" s="14" t="n">
        <v>1</v>
      </c>
      <c r="M484" s="14" t="n">
        <v>7.512</v>
      </c>
      <c r="N484" s="14" t="n">
        <v>3.404</v>
      </c>
      <c r="O484" s="14" t="n">
        <v>0.906</v>
      </c>
      <c r="P484" s="14" t="n">
        <v>8.417999999999999</v>
      </c>
      <c r="Q484" s="14" t="n">
        <v>0</v>
      </c>
      <c r="R484" s="14" t="n">
        <v>1</v>
      </c>
      <c r="S484" s="14" t="n">
        <v>11.376</v>
      </c>
      <c r="T484" s="14" t="n">
        <v>7.05</v>
      </c>
      <c r="U484" s="14" t="n">
        <v>0.238</v>
      </c>
      <c r="V484" s="14" t="n">
        <v>13.936</v>
      </c>
      <c r="W484" s="14" t="n">
        <v>0.2</v>
      </c>
      <c r="X484" s="14" t="n">
        <v>1</v>
      </c>
      <c r="Y484" s="14" t="n">
        <v>5.919</v>
      </c>
      <c r="Z484" s="14" t="n">
        <v>0.8</v>
      </c>
      <c r="AA484" s="14" t="n">
        <v>-0.002</v>
      </c>
      <c r="AB484" s="14" t="n">
        <v>5.917</v>
      </c>
      <c r="AC484" s="14" t="n">
        <v>0</v>
      </c>
      <c r="AD484" s="14" t="n">
        <v>1</v>
      </c>
      <c r="AE484" s="14" t="n">
        <v>7.062</v>
      </c>
      <c r="AF484" s="14" t="n">
        <v>1.651</v>
      </c>
      <c r="AG484" s="14" t="n">
        <v>-0.001</v>
      </c>
      <c r="AH484" s="14" t="n">
        <v>7.061</v>
      </c>
      <c r="AI484" s="14" t="n">
        <v>0</v>
      </c>
      <c r="AJ484" s="14" t="n">
        <v>1</v>
      </c>
      <c r="AK484" s="14" t="n">
        <v>13.922</v>
      </c>
      <c r="AL484" s="14" t="n">
        <v>7.415</v>
      </c>
      <c r="AM484" s="14" t="n">
        <v>-0.001</v>
      </c>
      <c r="AN484" s="14" t="n">
        <v>16.705</v>
      </c>
      <c r="AO484" s="14" t="n">
        <v>0.2</v>
      </c>
      <c r="AP484" s="14" t="n">
        <v>1</v>
      </c>
      <c r="AQ484" s="14" t="n">
        <v>0.619</v>
      </c>
      <c r="AR484" s="14" t="n">
        <v>0.113</v>
      </c>
      <c r="AS484" s="14" t="n">
        <v>0.273</v>
      </c>
      <c r="AT484" s="14" t="n">
        <v>1.071</v>
      </c>
      <c r="AU484" s="14" t="n">
        <v>0.2</v>
      </c>
      <c r="AV484" s="14" t="n">
        <v>1</v>
      </c>
      <c r="AW484" s="14" t="n">
        <v>0.503</v>
      </c>
      <c r="AX484" s="14" t="n">
        <v>0.097</v>
      </c>
      <c r="AY484" s="14" t="n">
        <v>0.237</v>
      </c>
      <c r="AZ484" s="14" t="n">
        <v>0.888</v>
      </c>
      <c r="BA484" s="14" t="n">
        <v>0.2</v>
      </c>
      <c r="BB484" s="14" t="n">
        <v>1</v>
      </c>
      <c r="BC484" s="14" t="n">
        <v>0.44</v>
      </c>
      <c r="BD484" s="14" t="n">
        <v>0.114</v>
      </c>
      <c r="BE484" s="14" t="n">
        <v>0.019</v>
      </c>
      <c r="BF484" s="14" t="n">
        <v>0.551</v>
      </c>
      <c r="BG484" s="14" t="n">
        <v>0.2</v>
      </c>
      <c r="BH484" s="14" t="n">
        <v>0</v>
      </c>
      <c r="BI484" s="14" t="n">
        <v>0.491</v>
      </c>
      <c r="BJ484" s="14" t="n">
        <v>0.109</v>
      </c>
      <c r="BK484" s="14" t="n">
        <v>-0.028</v>
      </c>
      <c r="BL484" s="14" t="n">
        <v>0.556</v>
      </c>
      <c r="BM484" s="14" t="n">
        <v>0.2</v>
      </c>
      <c r="BN484" s="14" t="n">
        <v>1</v>
      </c>
      <c r="BO484" s="14" t="n">
        <v>0</v>
      </c>
      <c r="BP484" s="14" t="n">
        <v>0</v>
      </c>
      <c r="BQ484" s="14" t="n">
        <v>0.117</v>
      </c>
      <c r="BR484" s="14" t="n">
        <v>0</v>
      </c>
      <c r="BS484" s="14" t="n">
        <v>0.667</v>
      </c>
      <c r="BT484" s="14" t="n">
        <v>0</v>
      </c>
      <c r="BU484" s="14" t="n">
        <v>0</v>
      </c>
      <c r="BV484" s="14" t="n">
        <v>0.153</v>
      </c>
      <c r="BW484" s="14" t="n">
        <v>0.2</v>
      </c>
      <c r="BX484" s="14" t="n">
        <v>0.833</v>
      </c>
      <c r="BY484" s="14" t="n">
        <v>11.787</v>
      </c>
      <c r="BZ484" s="14" t="n">
        <v>0</v>
      </c>
      <c r="CA484" s="14" t="n">
        <v>11.787</v>
      </c>
      <c r="CB484" s="14" t="n">
        <v>0</v>
      </c>
      <c r="CC484" s="14" t="n">
        <v>75.786</v>
      </c>
      <c r="CD484" s="14" t="n">
        <v>5.611</v>
      </c>
      <c r="CE484" s="14" t="n">
        <v>-2.098</v>
      </c>
      <c r="CF484" s="14" t="n">
        <v>88.426</v>
      </c>
      <c r="CG484" s="14" t="n">
        <v>0.2</v>
      </c>
      <c r="CH484" s="14" t="n">
        <v>1</v>
      </c>
      <c r="CI484" s="14" t="n">
        <v>0</v>
      </c>
      <c r="CJ484" s="14" t="n">
        <v>0</v>
      </c>
      <c r="CK484" s="14" t="n">
        <v>0</v>
      </c>
      <c r="CL484" s="14" t="n">
        <v>0</v>
      </c>
      <c r="CM484" s="14" t="n">
        <v>0</v>
      </c>
      <c r="CN484" s="14" t="n">
        <v>0</v>
      </c>
      <c r="CO484" s="14" t="n">
        <v>0</v>
      </c>
      <c r="CP484" s="14" t="n">
        <v>0</v>
      </c>
      <c r="CQ484" s="14" t="n">
        <v>1.198</v>
      </c>
      <c r="CR484" s="14" t="n">
        <v>0</v>
      </c>
      <c r="CS484" s="14" t="n">
        <v>4.776</v>
      </c>
      <c r="CT484" s="14" t="n">
        <v>4.753</v>
      </c>
      <c r="CU484" s="14" t="n">
        <v>15.162</v>
      </c>
    </row>
    <row r="485">
      <c r="A485" s="14" t="inlineStr">
        <is>
          <t>MDG2022</t>
        </is>
      </c>
      <c r="B485" s="14" t="inlineStr">
        <is>
          <t>MDG</t>
        </is>
      </c>
      <c r="C485" s="14" t="inlineStr">
        <is>
          <t>MDG</t>
        </is>
      </c>
      <c r="D485" s="14" t="inlineStr">
        <is>
          <t>Madagascar</t>
        </is>
      </c>
      <c r="E485" s="14" t="n">
        <v>2022</v>
      </c>
      <c r="F485" s="14" t="n">
        <v>0.2</v>
      </c>
      <c r="G485" s="14" t="n">
        <v>11.196</v>
      </c>
      <c r="H485" s="14" t="n">
        <v>1.739</v>
      </c>
      <c r="I485" s="14" t="n">
        <v>0.524</v>
      </c>
      <c r="J485" s="14" t="n">
        <v>11.72</v>
      </c>
      <c r="K485" s="14" t="n">
        <v>0</v>
      </c>
      <c r="L485" s="14" t="n">
        <v>1</v>
      </c>
      <c r="M485" s="14" t="n">
        <v>9.173999999999999</v>
      </c>
      <c r="N485" s="14" t="n">
        <v>3.788</v>
      </c>
      <c r="O485" s="14" t="n">
        <v>1.216</v>
      </c>
      <c r="P485" s="14" t="n">
        <v>10.39</v>
      </c>
      <c r="Q485" s="14" t="n">
        <v>0</v>
      </c>
      <c r="R485" s="14" t="n">
        <v>1</v>
      </c>
      <c r="S485" s="14" t="n">
        <v>17.104</v>
      </c>
      <c r="T485" s="14" t="n">
        <v>8.377000000000001</v>
      </c>
      <c r="U485" s="14" t="n">
        <v>0.789</v>
      </c>
      <c r="V485" s="14" t="n">
        <v>21.472</v>
      </c>
      <c r="W485" s="14" t="n">
        <v>0.2</v>
      </c>
      <c r="X485" s="14" t="n">
        <v>1</v>
      </c>
      <c r="Y485" s="14" t="n">
        <v>6.392</v>
      </c>
      <c r="Z485" s="14" t="n">
        <v>0.864</v>
      </c>
      <c r="AA485" s="14" t="n">
        <v>-0.002</v>
      </c>
      <c r="AB485" s="14" t="n">
        <v>6.39</v>
      </c>
      <c r="AC485" s="14" t="n">
        <v>0</v>
      </c>
      <c r="AD485" s="14" t="n">
        <v>1</v>
      </c>
      <c r="AE485" s="14" t="n">
        <v>7.627</v>
      </c>
      <c r="AF485" s="14" t="n">
        <v>1.783</v>
      </c>
      <c r="AG485" s="14" t="n">
        <v>-0.002</v>
      </c>
      <c r="AH485" s="14" t="n">
        <v>7.625</v>
      </c>
      <c r="AI485" s="14" t="n">
        <v>0</v>
      </c>
      <c r="AJ485" s="14" t="n">
        <v>1</v>
      </c>
      <c r="AK485" s="14" t="n">
        <v>15.035</v>
      </c>
      <c r="AL485" s="14" t="n">
        <v>8.007999999999999</v>
      </c>
      <c r="AM485" s="14" t="n">
        <v>-0.002</v>
      </c>
      <c r="AN485" s="14" t="n">
        <v>18.04</v>
      </c>
      <c r="AO485" s="14" t="n">
        <v>0.2</v>
      </c>
      <c r="AP485" s="14" t="n">
        <v>1</v>
      </c>
      <c r="AQ485" s="14" t="n">
        <v>0.861</v>
      </c>
      <c r="AR485" s="14" t="n">
        <v>0.123</v>
      </c>
      <c r="AS485" s="14" t="n">
        <v>0.149</v>
      </c>
      <c r="AT485" s="14" t="n">
        <v>1.212</v>
      </c>
      <c r="AU485" s="14" t="n">
        <v>0.2</v>
      </c>
      <c r="AV485" s="14" t="n">
        <v>1</v>
      </c>
      <c r="AW485" s="14" t="n">
        <v>0.8139999999999999</v>
      </c>
      <c r="AX485" s="14" t="n">
        <v>0.106</v>
      </c>
      <c r="AY485" s="14" t="n">
        <v>0.025</v>
      </c>
      <c r="AZ485" s="14" t="n">
        <v>1.006</v>
      </c>
      <c r="BA485" s="14" t="n">
        <v>0.2</v>
      </c>
      <c r="BB485" s="14" t="n">
        <v>1</v>
      </c>
      <c r="BC485" s="14" t="n">
        <v>0.592</v>
      </c>
      <c r="BD485" s="14" t="n">
        <v>0.122</v>
      </c>
      <c r="BE485" s="14" t="n">
        <v>-0.056</v>
      </c>
      <c r="BF485" s="14" t="n">
        <v>0.643</v>
      </c>
      <c r="BG485" s="14" t="n">
        <v>0.2</v>
      </c>
      <c r="BH485" s="14" t="n">
        <v>0</v>
      </c>
      <c r="BI485" s="14" t="n">
        <v>0.598</v>
      </c>
      <c r="BJ485" s="14" t="n">
        <v>0.117</v>
      </c>
      <c r="BK485" s="14" t="n">
        <v>-0.134</v>
      </c>
      <c r="BL485" s="14" t="n">
        <v>0.5570000000000001</v>
      </c>
      <c r="BM485" s="14" t="n">
        <v>0.2</v>
      </c>
      <c r="BN485" s="14" t="n">
        <v>1</v>
      </c>
      <c r="BO485" s="14" t="n">
        <v>0</v>
      </c>
      <c r="BP485" s="14" t="n">
        <v>0</v>
      </c>
      <c r="BQ485" s="14" t="n">
        <v>0.108</v>
      </c>
      <c r="BR485" s="14" t="n">
        <v>0</v>
      </c>
      <c r="BS485" s="14" t="n">
        <v>0.667</v>
      </c>
      <c r="BT485" s="14" t="n">
        <v>0</v>
      </c>
      <c r="BU485" s="14" t="n">
        <v>0</v>
      </c>
      <c r="BV485" s="14" t="n">
        <v>0.141</v>
      </c>
      <c r="BW485" s="14" t="n">
        <v>0.2</v>
      </c>
      <c r="BX485" s="14" t="n">
        <v>0.833</v>
      </c>
      <c r="BY485" s="14" t="n">
        <v>12.729</v>
      </c>
      <c r="BZ485" s="14" t="n">
        <v>0</v>
      </c>
      <c r="CA485" s="14" t="n">
        <v>12.729</v>
      </c>
      <c r="CB485" s="14" t="n">
        <v>0</v>
      </c>
      <c r="CC485" s="14" t="n">
        <v>94.901</v>
      </c>
      <c r="CD485" s="14" t="n">
        <v>4.952</v>
      </c>
      <c r="CE485" s="14" t="n">
        <v>-21.351</v>
      </c>
      <c r="CF485" s="14" t="n">
        <v>88.261</v>
      </c>
      <c r="CG485" s="14" t="n">
        <v>0.2</v>
      </c>
      <c r="CH485" s="14" t="n">
        <v>1</v>
      </c>
      <c r="CI485" s="14" t="n">
        <v>0</v>
      </c>
      <c r="CJ485" s="14" t="n">
        <v>0</v>
      </c>
      <c r="CK485" s="14" t="n">
        <v>0</v>
      </c>
      <c r="CL485" s="14" t="n">
        <v>0</v>
      </c>
      <c r="CM485" s="14" t="n">
        <v>0</v>
      </c>
      <c r="CN485" s="14" t="n">
        <v>0</v>
      </c>
      <c r="CO485" s="14" t="n">
        <v>0</v>
      </c>
      <c r="CP485" s="14" t="n">
        <v>0</v>
      </c>
      <c r="CQ485" s="14" t="n">
        <v>1.294</v>
      </c>
      <c r="CR485" s="14" t="n">
        <v>0</v>
      </c>
      <c r="CS485" s="14" t="n">
        <v>5.158</v>
      </c>
      <c r="CT485" s="14" t="n">
        <v>10.485</v>
      </c>
      <c r="CU485" s="14" t="n">
        <v>31.326</v>
      </c>
    </row>
    <row r="486">
      <c r="A486" s="14" t="inlineStr">
        <is>
          <t>MDG2023</t>
        </is>
      </c>
      <c r="B486" s="14" t="inlineStr">
        <is>
          <t>MDG</t>
        </is>
      </c>
      <c r="C486" s="14" t="inlineStr">
        <is>
          <t>MDG</t>
        </is>
      </c>
      <c r="D486" s="14" t="inlineStr">
        <is>
          <t>Madagascar</t>
        </is>
      </c>
      <c r="E486" s="14" t="n">
        <v>2023</v>
      </c>
      <c r="F486" s="14" t="n">
        <v>0.2</v>
      </c>
      <c r="G486" s="14" t="n">
        <v>5.904</v>
      </c>
      <c r="H486" s="14" t="n">
        <v>1.345</v>
      </c>
      <c r="I486" s="14" t="n">
        <v>0.243</v>
      </c>
      <c r="J486" s="14" t="n">
        <v>6.147</v>
      </c>
      <c r="K486" s="14" t="n">
        <v>0</v>
      </c>
      <c r="L486" s="14" t="n">
        <v>1</v>
      </c>
      <c r="M486" s="14" t="n">
        <v>7.483</v>
      </c>
      <c r="N486" s="14" t="n">
        <v>3.711</v>
      </c>
      <c r="O486" s="14" t="n">
        <v>0.806</v>
      </c>
      <c r="P486" s="14" t="n">
        <v>8.289</v>
      </c>
      <c r="Q486" s="14" t="n">
        <v>0</v>
      </c>
      <c r="R486" s="14" t="n">
        <v>1</v>
      </c>
      <c r="S486" s="14" t="n">
        <v>12.054</v>
      </c>
      <c r="T486" s="14" t="n">
        <v>7.559</v>
      </c>
      <c r="U486" s="14" t="n">
        <v>0.521</v>
      </c>
      <c r="V486" s="14" t="n">
        <v>15.09</v>
      </c>
      <c r="W486" s="14" t="n">
        <v>0.2</v>
      </c>
      <c r="X486" s="14" t="n">
        <v>1</v>
      </c>
      <c r="Y486" s="14" t="n">
        <v>6.656</v>
      </c>
      <c r="Z486" s="14" t="n">
        <v>0.9</v>
      </c>
      <c r="AA486" s="14" t="n">
        <v>-0.002</v>
      </c>
      <c r="AB486" s="14" t="n">
        <v>6.654</v>
      </c>
      <c r="AC486" s="14" t="n">
        <v>0</v>
      </c>
      <c r="AD486" s="14" t="n">
        <v>1</v>
      </c>
      <c r="AE486" s="14" t="n">
        <v>7.942</v>
      </c>
      <c r="AF486" s="14" t="n">
        <v>1.857</v>
      </c>
      <c r="AG486" s="14" t="n">
        <v>-0.002</v>
      </c>
      <c r="AH486" s="14" t="n">
        <v>7.94</v>
      </c>
      <c r="AI486" s="14" t="n">
        <v>0</v>
      </c>
      <c r="AJ486" s="14" t="n">
        <v>1</v>
      </c>
      <c r="AK486" s="14" t="n">
        <v>15.656</v>
      </c>
      <c r="AL486" s="14" t="n">
        <v>8.337999999999999</v>
      </c>
      <c r="AM486" s="14" t="n">
        <v>-0.002</v>
      </c>
      <c r="AN486" s="14" t="n">
        <v>18.784</v>
      </c>
      <c r="AO486" s="14" t="n">
        <v>0.2</v>
      </c>
      <c r="AP486" s="14" t="n">
        <v>1</v>
      </c>
      <c r="AQ486" s="14" t="n">
        <v>0.761</v>
      </c>
      <c r="AR486" s="14" t="n">
        <v>0.128</v>
      </c>
      <c r="AS486" s="14" t="n">
        <v>0.349</v>
      </c>
      <c r="AT486" s="14" t="n">
        <v>1.332</v>
      </c>
      <c r="AU486" s="14" t="n">
        <v>0.2</v>
      </c>
      <c r="AV486" s="14" t="n">
        <v>1</v>
      </c>
      <c r="AW486" s="14" t="n">
        <v>0.675</v>
      </c>
      <c r="AX486" s="14" t="n">
        <v>0.116</v>
      </c>
      <c r="AY486" s="14" t="n">
        <v>0.247</v>
      </c>
      <c r="AZ486" s="14" t="n">
        <v>1.106</v>
      </c>
      <c r="BA486" s="14" t="n">
        <v>0.2</v>
      </c>
      <c r="BB486" s="14" t="n">
        <v>1</v>
      </c>
      <c r="BC486" s="14" t="n">
        <v>0.527</v>
      </c>
      <c r="BD486" s="14" t="n">
        <v>0.127</v>
      </c>
      <c r="BE486" s="14" t="n">
        <v>-0.138</v>
      </c>
      <c r="BF486" s="14" t="n">
        <v>0.467</v>
      </c>
      <c r="BG486" s="14" t="n">
        <v>0.2</v>
      </c>
      <c r="BH486" s="14" t="n">
        <v>0</v>
      </c>
      <c r="BI486" s="14" t="n">
        <v>0.5639999999999999</v>
      </c>
      <c r="BJ486" s="14" t="n">
        <v>0.123</v>
      </c>
      <c r="BK486" s="14" t="n">
        <v>-0.107</v>
      </c>
      <c r="BL486" s="14" t="n">
        <v>0.549</v>
      </c>
      <c r="BM486" s="14" t="n">
        <v>0.2</v>
      </c>
      <c r="BN486" s="14" t="n">
        <v>1</v>
      </c>
      <c r="BO486" s="14" t="n">
        <v>0</v>
      </c>
      <c r="BP486" s="14" t="n">
        <v>0</v>
      </c>
      <c r="BQ486" s="14" t="n">
        <v>0.112</v>
      </c>
      <c r="BR486" s="14" t="n">
        <v>0</v>
      </c>
      <c r="BS486" s="14" t="n">
        <v>0.667</v>
      </c>
      <c r="BT486" s="14" t="n">
        <v>0</v>
      </c>
      <c r="BU486" s="14" t="n">
        <v>0</v>
      </c>
      <c r="BV486" s="14" t="n">
        <v>0.13</v>
      </c>
      <c r="BW486" s="14" t="n">
        <v>0.2</v>
      </c>
      <c r="BX486" s="14" t="n">
        <v>0.833</v>
      </c>
      <c r="BY486" s="14" t="n">
        <v>13.254</v>
      </c>
      <c r="BZ486" s="14" t="n">
        <v>0</v>
      </c>
      <c r="CA486" s="14" t="n">
        <v>13.254</v>
      </c>
      <c r="CB486" s="14" t="n">
        <v>0</v>
      </c>
      <c r="CC486" s="14" t="n">
        <v>80.739</v>
      </c>
      <c r="CD486" s="14" t="n">
        <v>5.441</v>
      </c>
      <c r="CE486" s="14" t="n">
        <v>-8.051</v>
      </c>
      <c r="CF486" s="14" t="n">
        <v>87.22499999999999</v>
      </c>
      <c r="CG486" s="14" t="n">
        <v>0.2</v>
      </c>
      <c r="CH486" s="14" t="n">
        <v>1</v>
      </c>
      <c r="CI486" s="14" t="n">
        <v>0</v>
      </c>
      <c r="CJ486" s="14" t="n">
        <v>0</v>
      </c>
      <c r="CK486" s="14" t="n">
        <v>0</v>
      </c>
      <c r="CL486" s="14" t="n">
        <v>0</v>
      </c>
      <c r="CM486" s="14" t="n">
        <v>0</v>
      </c>
      <c r="CN486" s="14" t="n">
        <v>0</v>
      </c>
      <c r="CO486" s="14" t="n">
        <v>0</v>
      </c>
      <c r="CP486" s="14" t="n">
        <v>0</v>
      </c>
      <c r="CQ486" s="14" t="n">
        <v>1.348</v>
      </c>
      <c r="CR486" s="14" t="n">
        <v>0</v>
      </c>
      <c r="CS486" s="14" t="n">
        <v>5.37</v>
      </c>
      <c r="CT486" s="14" t="n">
        <v>4.861</v>
      </c>
      <c r="CU486" s="14" t="n">
        <v>11.622</v>
      </c>
    </row>
    <row r="487">
      <c r="A487" s="14" t="inlineStr">
        <is>
          <t>MDG2024</t>
        </is>
      </c>
      <c r="B487" s="14" t="inlineStr">
        <is>
          <t>MDG</t>
        </is>
      </c>
      <c r="C487" s="14" t="inlineStr">
        <is>
          <t>MDG</t>
        </is>
      </c>
      <c r="D487" s="14" t="inlineStr">
        <is>
          <t>Madagascar</t>
        </is>
      </c>
      <c r="E487" s="14" t="n">
        <v>2024</v>
      </c>
      <c r="F487" s="14" t="n">
        <v>0.2</v>
      </c>
      <c r="G487" s="14" t="n">
        <v>5.362</v>
      </c>
      <c r="H487" s="14" t="n">
        <v>1.358</v>
      </c>
      <c r="I487" s="14" t="n">
        <v>0.213</v>
      </c>
      <c r="J487" s="14" t="n">
        <v>5.575</v>
      </c>
      <c r="K487" s="14" t="n">
        <v>0</v>
      </c>
      <c r="L487" s="14" t="n">
        <v>1</v>
      </c>
      <c r="M487" s="14" t="n">
        <v>6.83</v>
      </c>
      <c r="N487" s="14" t="n">
        <v>3.72</v>
      </c>
      <c r="O487" s="14" t="n">
        <v>0.632</v>
      </c>
      <c r="P487" s="14" t="n">
        <v>7.462</v>
      </c>
      <c r="Q487" s="14" t="n">
        <v>0</v>
      </c>
      <c r="R487" s="14" t="n">
        <v>1</v>
      </c>
      <c r="S487" s="14" t="n">
        <v>11.65</v>
      </c>
      <c r="T487" s="14" t="n">
        <v>7.713</v>
      </c>
      <c r="U487" s="14" t="n">
        <v>0.546</v>
      </c>
      <c r="V487" s="14" t="n">
        <v>14.635</v>
      </c>
      <c r="W487" s="14" t="n">
        <v>0.2</v>
      </c>
      <c r="X487" s="14" t="n">
        <v>1</v>
      </c>
      <c r="Y487" s="14" t="n">
        <v>6.853</v>
      </c>
      <c r="Z487" s="14" t="n">
        <v>0.926</v>
      </c>
      <c r="AA487" s="14" t="n">
        <v>0</v>
      </c>
      <c r="AB487" s="14" t="n">
        <v>6.853</v>
      </c>
      <c r="AC487" s="14" t="n">
        <v>0</v>
      </c>
      <c r="AD487" s="14" t="n">
        <v>1</v>
      </c>
      <c r="AE487" s="14" t="n">
        <v>8.176</v>
      </c>
      <c r="AF487" s="14" t="n">
        <v>1.912</v>
      </c>
      <c r="AG487" s="14" t="n">
        <v>0.001</v>
      </c>
      <c r="AH487" s="14" t="n">
        <v>8.177</v>
      </c>
      <c r="AI487" s="14" t="n">
        <v>0</v>
      </c>
      <c r="AJ487" s="14" t="n">
        <v>1</v>
      </c>
      <c r="AK487" s="14" t="n">
        <v>16.118</v>
      </c>
      <c r="AL487" s="14" t="n">
        <v>8.584</v>
      </c>
      <c r="AM487" s="14" t="n">
        <v>0.004</v>
      </c>
      <c r="AN487" s="14" t="n">
        <v>19.346</v>
      </c>
      <c r="AO487" s="14" t="n">
        <v>0.2</v>
      </c>
      <c r="AP487" s="14" t="n">
        <v>1</v>
      </c>
      <c r="AQ487" s="14" t="n">
        <v>0.6840000000000001</v>
      </c>
      <c r="AR487" s="14" t="n">
        <v>0.124</v>
      </c>
      <c r="AS487" s="14" t="n">
        <v>0.362</v>
      </c>
      <c r="AT487" s="14" t="n">
        <v>1.255</v>
      </c>
      <c r="AU487" s="14" t="n">
        <v>0.2</v>
      </c>
      <c r="AV487" s="14" t="n">
        <v>1</v>
      </c>
      <c r="AW487" s="14" t="n">
        <v>0.593</v>
      </c>
      <c r="AX487" s="14" t="n">
        <v>0.109</v>
      </c>
      <c r="AY487" s="14" t="n">
        <v>0.276</v>
      </c>
      <c r="AZ487" s="14" t="n">
        <v>1.043</v>
      </c>
      <c r="BA487" s="14" t="n">
        <v>0.2</v>
      </c>
      <c r="BB487" s="14" t="n">
        <v>1</v>
      </c>
      <c r="BC487" s="14" t="n">
        <v>0.505</v>
      </c>
      <c r="BD487" s="14" t="n">
        <v>0.13</v>
      </c>
      <c r="BE487" s="14" t="n">
        <v>-0.142</v>
      </c>
      <c r="BF487" s="14" t="n">
        <v>0.436</v>
      </c>
      <c r="BG487" s="14" t="n">
        <v>0.2</v>
      </c>
      <c r="BH487" s="14" t="n">
        <v>0</v>
      </c>
      <c r="BI487" s="14" t="n">
        <v>0.5600000000000001</v>
      </c>
      <c r="BJ487" s="14" t="n">
        <v>0.123</v>
      </c>
      <c r="BK487" s="14" t="n">
        <v>-0.129</v>
      </c>
      <c r="BL487" s="14" t="n">
        <v>0.517</v>
      </c>
      <c r="BM487" s="14" t="n">
        <v>0.2</v>
      </c>
      <c r="BN487" s="14" t="n">
        <v>1</v>
      </c>
      <c r="BO487" s="14" t="n">
        <v>0</v>
      </c>
      <c r="BP487" s="14" t="n">
        <v>0</v>
      </c>
      <c r="BQ487" s="14" t="n">
        <v>0.178</v>
      </c>
      <c r="BR487" s="14" t="n">
        <v>0</v>
      </c>
      <c r="BS487" s="14" t="n">
        <v>0.667</v>
      </c>
      <c r="BT487" s="14" t="n">
        <v>0</v>
      </c>
      <c r="BU487" s="14" t="n">
        <v>0</v>
      </c>
      <c r="BV487" s="14" t="n">
        <v>0.128</v>
      </c>
      <c r="BW487" s="14" t="n">
        <v>0.2</v>
      </c>
      <c r="BX487" s="14" t="n">
        <v>0.833</v>
      </c>
      <c r="BY487" s="14" t="n">
        <v>13.646</v>
      </c>
      <c r="BZ487" s="14" t="n">
        <v>0</v>
      </c>
      <c r="CA487" s="14" t="n">
        <v>13.646</v>
      </c>
      <c r="CB487" s="14" t="n">
        <v>0</v>
      </c>
      <c r="CC487" s="14" t="n">
        <v>78.089</v>
      </c>
      <c r="CD487" s="14" t="n">
        <v>3.451</v>
      </c>
      <c r="CE487" s="14" t="n">
        <v>-4.42</v>
      </c>
      <c r="CF487" s="14" t="n">
        <v>88.40300000000001</v>
      </c>
      <c r="CG487" s="14" t="n">
        <v>0.2</v>
      </c>
      <c r="CH487" s="14" t="n">
        <v>1</v>
      </c>
      <c r="CI487" s="14" t="n">
        <v>0</v>
      </c>
      <c r="CJ487" s="14" t="n">
        <v>0</v>
      </c>
      <c r="CK487" s="14" t="n">
        <v>0</v>
      </c>
      <c r="CL487" s="14" t="n">
        <v>0</v>
      </c>
      <c r="CM487" s="14" t="n">
        <v>0</v>
      </c>
      <c r="CN487" s="14" t="n">
        <v>0</v>
      </c>
      <c r="CO487" s="14" t="n">
        <v>0</v>
      </c>
      <c r="CP487" s="14" t="n">
        <v>0</v>
      </c>
      <c r="CQ487" s="14" t="n">
        <v>1.387</v>
      </c>
      <c r="CR487" s="14" t="n">
        <v>0</v>
      </c>
      <c r="CS487" s="14" t="n">
        <v>5.529</v>
      </c>
      <c r="CT487" s="14" t="n">
        <v>4.251</v>
      </c>
      <c r="CU487" s="14" t="n">
        <v>10.168</v>
      </c>
    </row>
    <row r="488">
      <c r="A488" s="14" t="inlineStr">
        <is>
          <t>MWI2021</t>
        </is>
      </c>
      <c r="B488" s="14" t="inlineStr">
        <is>
          <t>MWI</t>
        </is>
      </c>
      <c r="C488" s="14" t="inlineStr">
        <is>
          <t>MWI</t>
        </is>
      </c>
      <c r="D488" s="14" t="inlineStr">
        <is>
          <t>Malawi</t>
        </is>
      </c>
      <c r="E488" s="14" t="n">
        <v>2021</v>
      </c>
      <c r="F488" s="14" t="n">
        <v>0.165</v>
      </c>
      <c r="G488" s="14" t="n">
        <v>5.897</v>
      </c>
      <c r="H488" s="14" t="n">
        <v>1.143</v>
      </c>
      <c r="I488" s="14" t="n">
        <v>0</v>
      </c>
      <c r="J488" s="14" t="n">
        <v>5.897</v>
      </c>
      <c r="K488" s="14" t="n">
        <v>0</v>
      </c>
      <c r="L488" s="14" t="n">
        <v>1</v>
      </c>
      <c r="M488" s="14" t="n">
        <v>7.964</v>
      </c>
      <c r="N488" s="14" t="n">
        <v>3.43</v>
      </c>
      <c r="O488" s="14" t="n">
        <v>0</v>
      </c>
      <c r="P488" s="14" t="n">
        <v>7.964</v>
      </c>
      <c r="Q488" s="14" t="n">
        <v>0</v>
      </c>
      <c r="R488" s="14" t="n">
        <v>1</v>
      </c>
      <c r="S488" s="14" t="n">
        <v>11.613</v>
      </c>
      <c r="T488" s="14" t="n">
        <v>6.86</v>
      </c>
      <c r="U488" s="14" t="n">
        <v>0</v>
      </c>
      <c r="V488" s="14" t="n">
        <v>13.53</v>
      </c>
      <c r="W488" s="14" t="n">
        <v>0.165</v>
      </c>
      <c r="X488" s="14" t="n">
        <v>1</v>
      </c>
      <c r="Y488" s="14" t="n">
        <v>16.297</v>
      </c>
      <c r="Z488" s="14" t="n">
        <v>2.203</v>
      </c>
      <c r="AA488" s="14" t="n">
        <v>0</v>
      </c>
      <c r="AB488" s="14" t="n">
        <v>16.297</v>
      </c>
      <c r="AC488" s="14" t="n">
        <v>0</v>
      </c>
      <c r="AD488" s="14" t="n">
        <v>1</v>
      </c>
      <c r="AE488" s="14" t="n">
        <v>17.44</v>
      </c>
      <c r="AF488" s="14" t="n">
        <v>4.078</v>
      </c>
      <c r="AG488" s="14" t="n">
        <v>0</v>
      </c>
      <c r="AH488" s="14" t="n">
        <v>17.44</v>
      </c>
      <c r="AI488" s="14" t="n">
        <v>0</v>
      </c>
      <c r="AJ488" s="14" t="n">
        <v>1</v>
      </c>
      <c r="AK488" s="14" t="n">
        <v>24.3</v>
      </c>
      <c r="AL488" s="14" t="n">
        <v>12.942</v>
      </c>
      <c r="AM488" s="14" t="n">
        <v>0</v>
      </c>
      <c r="AN488" s="14" t="n">
        <v>28.309</v>
      </c>
      <c r="AO488" s="14" t="n">
        <v>0.165</v>
      </c>
      <c r="AP488" s="14" t="n">
        <v>1</v>
      </c>
      <c r="AQ488" s="14" t="n">
        <v>0.619</v>
      </c>
      <c r="AR488" s="14" t="n">
        <v>0.114</v>
      </c>
      <c r="AS488" s="14" t="n">
        <v>0.398</v>
      </c>
      <c r="AT488" s="14" t="n">
        <v>1.19</v>
      </c>
      <c r="AU488" s="14" t="n">
        <v>0.17</v>
      </c>
      <c r="AV488" s="14" t="n">
        <v>1</v>
      </c>
      <c r="AW488" s="14" t="n">
        <v>0.599</v>
      </c>
      <c r="AX488" s="14" t="n">
        <v>0.114</v>
      </c>
      <c r="AY488" s="14" t="n">
        <v>0.409</v>
      </c>
      <c r="AZ488" s="14" t="n">
        <v>1.18</v>
      </c>
      <c r="BA488" s="14" t="n">
        <v>0.17</v>
      </c>
      <c r="BB488" s="14" t="n">
        <v>1</v>
      </c>
      <c r="BC488" s="14" t="n">
        <v>0.439</v>
      </c>
      <c r="BD488" s="14" t="n">
        <v>0.114</v>
      </c>
      <c r="BE488" s="14" t="n">
        <v>0.823</v>
      </c>
      <c r="BF488" s="14" t="n">
        <v>1.471</v>
      </c>
      <c r="BG488" s="14" t="n">
        <v>0.165</v>
      </c>
      <c r="BH488" s="14" t="n">
        <v>1</v>
      </c>
      <c r="BI488" s="14" t="n">
        <v>0.505</v>
      </c>
      <c r="BJ488" s="14" t="n">
        <v>0.114</v>
      </c>
      <c r="BK488" s="14" t="n">
        <v>0.276</v>
      </c>
      <c r="BL488" s="14" t="n">
        <v>0.91</v>
      </c>
      <c r="BM488" s="14" t="n">
        <v>0.165</v>
      </c>
      <c r="BN488" s="14" t="n">
        <v>1</v>
      </c>
      <c r="BO488" s="14" t="n">
        <v>0</v>
      </c>
      <c r="BP488" s="14" t="n">
        <v>0</v>
      </c>
      <c r="BQ488" s="14" t="n">
        <v>0.142</v>
      </c>
      <c r="BR488" s="14" t="n">
        <v>0</v>
      </c>
      <c r="BS488" s="14" t="n">
        <v>0.833</v>
      </c>
      <c r="BT488" s="14" t="n">
        <v>0</v>
      </c>
      <c r="BU488" s="14" t="n">
        <v>0</v>
      </c>
      <c r="BV488" s="14" t="n">
        <v>0.081</v>
      </c>
      <c r="BW488" s="14" t="n">
        <v>0.165</v>
      </c>
      <c r="BX488" s="14" t="n">
        <v>0.833</v>
      </c>
      <c r="BY488" s="14" t="n">
        <v>11.787</v>
      </c>
      <c r="BZ488" s="14" t="n">
        <v>0</v>
      </c>
      <c r="CA488" s="14" t="n">
        <v>11.787</v>
      </c>
      <c r="CB488" s="14" t="n">
        <v>0</v>
      </c>
      <c r="CC488" s="14" t="n">
        <v>78.125</v>
      </c>
      <c r="CD488" s="14" t="n">
        <v>7.95</v>
      </c>
      <c r="CE488" s="14" t="n">
        <v>44.918</v>
      </c>
      <c r="CF488" s="14" t="n">
        <v>143.345</v>
      </c>
      <c r="CG488" s="14" t="n">
        <v>0.165</v>
      </c>
      <c r="CH488" s="14" t="n">
        <v>1</v>
      </c>
      <c r="CI488" s="14" t="n">
        <v>0</v>
      </c>
      <c r="CJ488" s="14" t="n">
        <v>0</v>
      </c>
      <c r="CK488" s="14" t="n">
        <v>0</v>
      </c>
      <c r="CL488" s="14" t="n">
        <v>0</v>
      </c>
      <c r="CM488" s="14" t="n">
        <v>0</v>
      </c>
      <c r="CN488" s="14" t="n">
        <v>0</v>
      </c>
      <c r="CO488" s="14" t="n">
        <v>0</v>
      </c>
      <c r="CP488" s="14" t="n">
        <v>0</v>
      </c>
      <c r="CQ488" s="14" t="n">
        <v>1.198</v>
      </c>
      <c r="CR488" s="14" t="n">
        <v>0</v>
      </c>
      <c r="CS488" s="14" t="n">
        <v>4.776</v>
      </c>
      <c r="CT488" s="14" t="n">
        <v>4.753</v>
      </c>
      <c r="CU488" s="14" t="n">
        <v>15.162</v>
      </c>
    </row>
    <row r="489">
      <c r="A489" s="14" t="inlineStr">
        <is>
          <t>MWI2022</t>
        </is>
      </c>
      <c r="B489" s="14" t="inlineStr">
        <is>
          <t>MWI</t>
        </is>
      </c>
      <c r="C489" s="14" t="inlineStr">
        <is>
          <t>MWI</t>
        </is>
      </c>
      <c r="D489" s="14" t="inlineStr">
        <is>
          <t>Malawi</t>
        </is>
      </c>
      <c r="E489" s="14" t="n">
        <v>2022</v>
      </c>
      <c r="F489" s="14" t="n">
        <v>0.165</v>
      </c>
      <c r="G489" s="14" t="n">
        <v>11.72</v>
      </c>
      <c r="H489" s="14" t="n">
        <v>1.235</v>
      </c>
      <c r="I489" s="14" t="n">
        <v>0</v>
      </c>
      <c r="J489" s="14" t="n">
        <v>11.72</v>
      </c>
      <c r="K489" s="14" t="n">
        <v>0</v>
      </c>
      <c r="L489" s="14" t="n">
        <v>1</v>
      </c>
      <c r="M489" s="14" t="n">
        <v>9.782999999999999</v>
      </c>
      <c r="N489" s="14" t="n">
        <v>3.704</v>
      </c>
      <c r="O489" s="14" t="n">
        <v>0</v>
      </c>
      <c r="P489" s="14" t="n">
        <v>9.782999999999999</v>
      </c>
      <c r="Q489" s="14" t="n">
        <v>0</v>
      </c>
      <c r="R489" s="14" t="n">
        <v>1</v>
      </c>
      <c r="S489" s="14" t="n">
        <v>17.893</v>
      </c>
      <c r="T489" s="14" t="n">
        <v>7.408</v>
      </c>
      <c r="U489" s="14" t="n">
        <v>0.219</v>
      </c>
      <c r="V489" s="14" t="n">
        <v>20.846</v>
      </c>
      <c r="W489" s="14" t="n">
        <v>0.165</v>
      </c>
      <c r="X489" s="14" t="n">
        <v>1</v>
      </c>
      <c r="Y489" s="14" t="n">
        <v>32.539</v>
      </c>
      <c r="Z489" s="14" t="n">
        <v>4.398</v>
      </c>
      <c r="AA489" s="14" t="n">
        <v>0</v>
      </c>
      <c r="AB489" s="14" t="n">
        <v>32.539</v>
      </c>
      <c r="AC489" s="14" t="n">
        <v>0</v>
      </c>
      <c r="AD489" s="14" t="n">
        <v>1</v>
      </c>
      <c r="AE489" s="14" t="n">
        <v>33.774</v>
      </c>
      <c r="AF489" s="14" t="n">
        <v>7.897</v>
      </c>
      <c r="AG489" s="14" t="n">
        <v>0</v>
      </c>
      <c r="AH489" s="14" t="n">
        <v>33.774</v>
      </c>
      <c r="AI489" s="14" t="n">
        <v>0</v>
      </c>
      <c r="AJ489" s="14" t="n">
        <v>1</v>
      </c>
      <c r="AK489" s="14" t="n">
        <v>41.182</v>
      </c>
      <c r="AL489" s="14" t="n">
        <v>21.933</v>
      </c>
      <c r="AM489" s="14" t="n">
        <v>0.503</v>
      </c>
      <c r="AN489" s="14" t="n">
        <v>47.977</v>
      </c>
      <c r="AO489" s="14" t="n">
        <v>0.165</v>
      </c>
      <c r="AP489" s="14" t="n">
        <v>1</v>
      </c>
      <c r="AQ489" s="14" t="n">
        <v>0.861</v>
      </c>
      <c r="AR489" s="14" t="n">
        <v>0.123</v>
      </c>
      <c r="AS489" s="14" t="n">
        <v>0.583</v>
      </c>
      <c r="AT489" s="14" t="n">
        <v>1.69</v>
      </c>
      <c r="AU489" s="14" t="n">
        <v>0.17</v>
      </c>
      <c r="AV489" s="14" t="n">
        <v>1</v>
      </c>
      <c r="AW489" s="14" t="n">
        <v>0.986</v>
      </c>
      <c r="AX489" s="14" t="n">
        <v>0.123</v>
      </c>
      <c r="AY489" s="14" t="n">
        <v>0.501</v>
      </c>
      <c r="AZ489" s="14" t="n">
        <v>1.74</v>
      </c>
      <c r="BA489" s="14" t="n">
        <v>0.17</v>
      </c>
      <c r="BB489" s="14" t="n">
        <v>1</v>
      </c>
      <c r="BC489" s="14" t="n">
        <v>0.598</v>
      </c>
      <c r="BD489" s="14" t="n">
        <v>0.123</v>
      </c>
      <c r="BE489" s="14" t="n">
        <v>0.73</v>
      </c>
      <c r="BF489" s="14" t="n">
        <v>1.547</v>
      </c>
      <c r="BG489" s="14" t="n">
        <v>0.165</v>
      </c>
      <c r="BH489" s="14" t="n">
        <v>1</v>
      </c>
      <c r="BI489" s="14" t="n">
        <v>0.612</v>
      </c>
      <c r="BJ489" s="14" t="n">
        <v>0.123</v>
      </c>
      <c r="BK489" s="14" t="n">
        <v>0.383</v>
      </c>
      <c r="BL489" s="14" t="n">
        <v>1.16</v>
      </c>
      <c r="BM489" s="14" t="n">
        <v>0.165</v>
      </c>
      <c r="BN489" s="14" t="n">
        <v>1</v>
      </c>
      <c r="BO489" s="14" t="n">
        <v>0</v>
      </c>
      <c r="BP489" s="14" t="n">
        <v>0</v>
      </c>
      <c r="BQ489" s="14" t="n">
        <v>0.12</v>
      </c>
      <c r="BR489" s="14" t="n">
        <v>0</v>
      </c>
      <c r="BS489" s="14" t="n">
        <v>0.833</v>
      </c>
      <c r="BT489" s="14" t="n">
        <v>0</v>
      </c>
      <c r="BU489" s="14" t="n">
        <v>0</v>
      </c>
      <c r="BV489" s="14" t="n">
        <v>0.06900000000000001</v>
      </c>
      <c r="BW489" s="14" t="n">
        <v>0.165</v>
      </c>
      <c r="BX489" s="14" t="n">
        <v>0.833</v>
      </c>
      <c r="BY489" s="14" t="n">
        <v>12.729</v>
      </c>
      <c r="BZ489" s="14" t="n">
        <v>0</v>
      </c>
      <c r="CA489" s="14" t="n">
        <v>12.729</v>
      </c>
      <c r="CB489" s="14" t="n">
        <v>0</v>
      </c>
      <c r="CC489" s="14" t="n">
        <v>97.90000000000001</v>
      </c>
      <c r="CD489" s="14" t="n">
        <v>7.95</v>
      </c>
      <c r="CE489" s="14" t="n">
        <v>58.218</v>
      </c>
      <c r="CF489" s="14" t="n">
        <v>181.878</v>
      </c>
      <c r="CG489" s="14" t="n">
        <v>0.165</v>
      </c>
      <c r="CH489" s="14" t="n">
        <v>1</v>
      </c>
      <c r="CI489" s="14" t="n">
        <v>0</v>
      </c>
      <c r="CJ489" s="14" t="n">
        <v>0</v>
      </c>
      <c r="CK489" s="14" t="n">
        <v>0</v>
      </c>
      <c r="CL489" s="14" t="n">
        <v>0</v>
      </c>
      <c r="CM489" s="14" t="n">
        <v>0</v>
      </c>
      <c r="CN489" s="14" t="n">
        <v>0</v>
      </c>
      <c r="CO489" s="14" t="n">
        <v>0</v>
      </c>
      <c r="CP489" s="14" t="n">
        <v>0</v>
      </c>
      <c r="CQ489" s="14" t="n">
        <v>1.294</v>
      </c>
      <c r="CR489" s="14" t="n">
        <v>0</v>
      </c>
      <c r="CS489" s="14" t="n">
        <v>5.158</v>
      </c>
      <c r="CT489" s="14" t="n">
        <v>10.485</v>
      </c>
      <c r="CU489" s="14" t="n">
        <v>31.326</v>
      </c>
    </row>
    <row r="490">
      <c r="A490" s="14" t="inlineStr">
        <is>
          <t>MWI2023</t>
        </is>
      </c>
      <c r="B490" s="14" t="inlineStr">
        <is>
          <t>MWI</t>
        </is>
      </c>
      <c r="C490" s="14" t="inlineStr">
        <is>
          <t>MWI</t>
        </is>
      </c>
      <c r="D490" s="14" t="inlineStr">
        <is>
          <t>Malawi</t>
        </is>
      </c>
      <c r="E490" s="14" t="n">
        <v>2023</v>
      </c>
      <c r="F490" s="14" t="n">
        <v>0.165</v>
      </c>
      <c r="G490" s="14" t="n">
        <v>6.147</v>
      </c>
      <c r="H490" s="14" t="n">
        <v>1.286</v>
      </c>
      <c r="I490" s="14" t="n">
        <v>0</v>
      </c>
      <c r="J490" s="14" t="n">
        <v>6.147</v>
      </c>
      <c r="K490" s="14" t="n">
        <v>0</v>
      </c>
      <c r="L490" s="14" t="n">
        <v>1</v>
      </c>
      <c r="M490" s="14" t="n">
        <v>7.886</v>
      </c>
      <c r="N490" s="14" t="n">
        <v>3.857</v>
      </c>
      <c r="O490" s="14" t="n">
        <v>0</v>
      </c>
      <c r="P490" s="14" t="n">
        <v>7.886</v>
      </c>
      <c r="Q490" s="14" t="n">
        <v>0</v>
      </c>
      <c r="R490" s="14" t="n">
        <v>1</v>
      </c>
      <c r="S490" s="14" t="n">
        <v>12.575</v>
      </c>
      <c r="T490" s="14" t="n">
        <v>7.714</v>
      </c>
      <c r="U490" s="14" t="n">
        <v>0.23</v>
      </c>
      <c r="V490" s="14" t="n">
        <v>14.65</v>
      </c>
      <c r="W490" s="14" t="n">
        <v>0.165</v>
      </c>
      <c r="X490" s="14" t="n">
        <v>1</v>
      </c>
      <c r="Y490" s="14" t="n">
        <v>12.835</v>
      </c>
      <c r="Z490" s="14" t="n">
        <v>1.735</v>
      </c>
      <c r="AA490" s="14" t="n">
        <v>0</v>
      </c>
      <c r="AB490" s="14" t="n">
        <v>12.835</v>
      </c>
      <c r="AC490" s="14" t="n">
        <v>0</v>
      </c>
      <c r="AD490" s="14" t="n">
        <v>1</v>
      </c>
      <c r="AE490" s="14" t="n">
        <v>14.121</v>
      </c>
      <c r="AF490" s="14" t="n">
        <v>3.302</v>
      </c>
      <c r="AG490" s="14" t="n">
        <v>0</v>
      </c>
      <c r="AH490" s="14" t="n">
        <v>14.121</v>
      </c>
      <c r="AI490" s="14" t="n">
        <v>0</v>
      </c>
      <c r="AJ490" s="14" t="n">
        <v>1</v>
      </c>
      <c r="AK490" s="14" t="n">
        <v>21.835</v>
      </c>
      <c r="AL490" s="14" t="n">
        <v>11.629</v>
      </c>
      <c r="AM490" s="14" t="n">
        <v>0.399</v>
      </c>
      <c r="AN490" s="14" t="n">
        <v>25.437</v>
      </c>
      <c r="AO490" s="14" t="n">
        <v>0.165</v>
      </c>
      <c r="AP490" s="14" t="n">
        <v>1</v>
      </c>
      <c r="AQ490" s="14" t="n">
        <v>0.76</v>
      </c>
      <c r="AR490" s="14" t="n">
        <v>0.129</v>
      </c>
      <c r="AS490" s="14" t="n">
        <v>0.547</v>
      </c>
      <c r="AT490" s="14" t="n">
        <v>1.53</v>
      </c>
      <c r="AU490" s="14" t="n">
        <v>0.17</v>
      </c>
      <c r="AV490" s="14" t="n">
        <v>1</v>
      </c>
      <c r="AW490" s="14" t="n">
        <v>0.8110000000000001</v>
      </c>
      <c r="AX490" s="14" t="n">
        <v>0.129</v>
      </c>
      <c r="AY490" s="14" t="n">
        <v>0.719</v>
      </c>
      <c r="AZ490" s="14" t="n">
        <v>1.79</v>
      </c>
      <c r="BA490" s="14" t="n">
        <v>0.17</v>
      </c>
      <c r="BB490" s="14" t="n">
        <v>1</v>
      </c>
      <c r="BC490" s="14" t="n">
        <v>0.535</v>
      </c>
      <c r="BD490" s="14" t="n">
        <v>0.129</v>
      </c>
      <c r="BE490" s="14" t="n">
        <v>0.62</v>
      </c>
      <c r="BF490" s="14" t="n">
        <v>1.345</v>
      </c>
      <c r="BG490" s="14" t="n">
        <v>0.165</v>
      </c>
      <c r="BH490" s="14" t="n">
        <v>1</v>
      </c>
      <c r="BI490" s="14" t="n">
        <v>0.579</v>
      </c>
      <c r="BJ490" s="14" t="n">
        <v>0.129</v>
      </c>
      <c r="BK490" s="14" t="n">
        <v>0.442</v>
      </c>
      <c r="BL490" s="14" t="n">
        <v>1.19</v>
      </c>
      <c r="BM490" s="14" t="n">
        <v>0.165</v>
      </c>
      <c r="BN490" s="14" t="n">
        <v>1</v>
      </c>
      <c r="BO490" s="14" t="n">
        <v>0</v>
      </c>
      <c r="BP490" s="14" t="n">
        <v>0</v>
      </c>
      <c r="BQ490" s="14" t="n">
        <v>0.136</v>
      </c>
      <c r="BR490" s="14" t="n">
        <v>0</v>
      </c>
      <c r="BS490" s="14" t="n">
        <v>0.833</v>
      </c>
      <c r="BT490" s="14" t="n">
        <v>0</v>
      </c>
      <c r="BU490" s="14" t="n">
        <v>0</v>
      </c>
      <c r="BV490" s="14" t="n">
        <v>0.07099999999999999</v>
      </c>
      <c r="BW490" s="14" t="n">
        <v>0.165</v>
      </c>
      <c r="BX490" s="14" t="n">
        <v>0.833</v>
      </c>
      <c r="BY490" s="14" t="n">
        <v>13.254</v>
      </c>
      <c r="BZ490" s="14" t="n">
        <v>0</v>
      </c>
      <c r="CA490" s="14" t="n">
        <v>13.254</v>
      </c>
      <c r="CB490" s="14" t="n">
        <v>0</v>
      </c>
      <c r="CC490" s="14" t="n">
        <v>83.248</v>
      </c>
      <c r="CD490" s="14" t="n">
        <v>7.95</v>
      </c>
      <c r="CE490" s="14" t="n">
        <v>78.599</v>
      </c>
      <c r="CF490" s="14" t="n">
        <v>188.551</v>
      </c>
      <c r="CG490" s="14" t="n">
        <v>0.165</v>
      </c>
      <c r="CH490" s="14" t="n">
        <v>1</v>
      </c>
      <c r="CI490" s="14" t="n">
        <v>0</v>
      </c>
      <c r="CJ490" s="14" t="n">
        <v>0</v>
      </c>
      <c r="CK490" s="14" t="n">
        <v>0</v>
      </c>
      <c r="CL490" s="14" t="n">
        <v>0</v>
      </c>
      <c r="CM490" s="14" t="n">
        <v>0</v>
      </c>
      <c r="CN490" s="14" t="n">
        <v>0</v>
      </c>
      <c r="CO490" s="14" t="n">
        <v>0</v>
      </c>
      <c r="CP490" s="14" t="n">
        <v>0</v>
      </c>
      <c r="CQ490" s="14" t="n">
        <v>1.348</v>
      </c>
      <c r="CR490" s="14" t="n">
        <v>0</v>
      </c>
      <c r="CS490" s="14" t="n">
        <v>5.37</v>
      </c>
      <c r="CT490" s="14" t="n">
        <v>4.861</v>
      </c>
      <c r="CU490" s="14" t="n">
        <v>11.622</v>
      </c>
    </row>
    <row r="491">
      <c r="A491" s="14" t="inlineStr">
        <is>
          <t>MWI2024</t>
        </is>
      </c>
      <c r="B491" s="14" t="inlineStr">
        <is>
          <t>MWI</t>
        </is>
      </c>
      <c r="C491" s="14" t="inlineStr">
        <is>
          <t>MWI</t>
        </is>
      </c>
      <c r="D491" s="14" t="inlineStr">
        <is>
          <t>Malawi</t>
        </is>
      </c>
      <c r="E491" s="14" t="n">
        <v>2024</v>
      </c>
      <c r="F491" s="14" t="n">
        <v>0.165</v>
      </c>
      <c r="G491" s="14" t="n">
        <v>5.575</v>
      </c>
      <c r="H491" s="14" t="n">
        <v>1.324</v>
      </c>
      <c r="I491" s="14" t="n">
        <v>0</v>
      </c>
      <c r="J491" s="14" t="n">
        <v>5.575</v>
      </c>
      <c r="K491" s="14" t="n">
        <v>0</v>
      </c>
      <c r="L491" s="14" t="n">
        <v>1</v>
      </c>
      <c r="M491" s="14" t="n">
        <v>7.124</v>
      </c>
      <c r="N491" s="14" t="n">
        <v>3.971</v>
      </c>
      <c r="O491" s="14" t="n">
        <v>0</v>
      </c>
      <c r="P491" s="14" t="n">
        <v>7.124</v>
      </c>
      <c r="Q491" s="14" t="n">
        <v>0</v>
      </c>
      <c r="R491" s="14" t="n">
        <v>1</v>
      </c>
      <c r="S491" s="14" t="n">
        <v>12.193</v>
      </c>
      <c r="T491" s="14" t="n">
        <v>7.942</v>
      </c>
      <c r="U491" s="14" t="n">
        <v>0.274</v>
      </c>
      <c r="V491" s="14" t="n">
        <v>14.205</v>
      </c>
      <c r="W491" s="14" t="n">
        <v>0.165</v>
      </c>
      <c r="X491" s="14" t="n">
        <v>1</v>
      </c>
      <c r="Y491" s="14" t="n">
        <v>11.438</v>
      </c>
      <c r="Z491" s="14" t="n">
        <v>1.546</v>
      </c>
      <c r="AA491" s="14" t="n">
        <v>0</v>
      </c>
      <c r="AB491" s="14" t="n">
        <v>11.438</v>
      </c>
      <c r="AC491" s="14" t="n">
        <v>0</v>
      </c>
      <c r="AD491" s="14" t="n">
        <v>1</v>
      </c>
      <c r="AE491" s="14" t="n">
        <v>12.761</v>
      </c>
      <c r="AF491" s="14" t="n">
        <v>2.984</v>
      </c>
      <c r="AG491" s="14" t="n">
        <v>0</v>
      </c>
      <c r="AH491" s="14" t="n">
        <v>12.761</v>
      </c>
      <c r="AI491" s="14" t="n">
        <v>0</v>
      </c>
      <c r="AJ491" s="14" t="n">
        <v>1</v>
      </c>
      <c r="AK491" s="14" t="n">
        <v>20.703</v>
      </c>
      <c r="AL491" s="14" t="n">
        <v>11.026</v>
      </c>
      <c r="AM491" s="14" t="n">
        <v>0.465</v>
      </c>
      <c r="AN491" s="14" t="n">
        <v>24.119</v>
      </c>
      <c r="AO491" s="14" t="n">
        <v>0.165</v>
      </c>
      <c r="AP491" s="14" t="n">
        <v>1</v>
      </c>
      <c r="AQ491" s="14" t="n">
        <v>0.724</v>
      </c>
      <c r="AR491" s="14" t="n">
        <v>0.132</v>
      </c>
      <c r="AS491" s="14" t="n">
        <v>0.532</v>
      </c>
      <c r="AT491" s="14" t="n">
        <v>1.47</v>
      </c>
      <c r="AU491" s="14" t="n">
        <v>0.17</v>
      </c>
      <c r="AV491" s="14" t="n">
        <v>1</v>
      </c>
      <c r="AW491" s="14" t="n">
        <v>0.75</v>
      </c>
      <c r="AX491" s="14" t="n">
        <v>0.132</v>
      </c>
      <c r="AY491" s="14" t="n">
        <v>0.609</v>
      </c>
      <c r="AZ491" s="14" t="n">
        <v>1.59</v>
      </c>
      <c r="BA491" s="14" t="n">
        <v>0.17</v>
      </c>
      <c r="BB491" s="14" t="n">
        <v>1</v>
      </c>
      <c r="BC491" s="14" t="n">
        <v>0.513</v>
      </c>
      <c r="BD491" s="14" t="n">
        <v>0.132</v>
      </c>
      <c r="BE491" s="14" t="n">
        <v>0.437</v>
      </c>
      <c r="BF491" s="14" t="n">
        <v>1.107</v>
      </c>
      <c r="BG491" s="14" t="n">
        <v>0.165</v>
      </c>
      <c r="BH491" s="14" t="n">
        <v>1</v>
      </c>
      <c r="BI491" s="14" t="n">
        <v>0.591</v>
      </c>
      <c r="BJ491" s="14" t="n">
        <v>0.132</v>
      </c>
      <c r="BK491" s="14" t="n">
        <v>0.361</v>
      </c>
      <c r="BL491" s="14" t="n">
        <v>1.11</v>
      </c>
      <c r="BM491" s="14" t="n">
        <v>0.165</v>
      </c>
      <c r="BN491" s="14" t="n">
        <v>1</v>
      </c>
      <c r="BO491" s="14" t="n">
        <v>0</v>
      </c>
      <c r="BP491" s="14" t="n">
        <v>0</v>
      </c>
      <c r="BQ491" s="14" t="n">
        <v>0.159</v>
      </c>
      <c r="BR491" s="14" t="n">
        <v>0</v>
      </c>
      <c r="BS491" s="14" t="n">
        <v>0.833</v>
      </c>
      <c r="BT491" s="14" t="n">
        <v>0</v>
      </c>
      <c r="BU491" s="14" t="n">
        <v>0</v>
      </c>
      <c r="BV491" s="14" t="n">
        <v>0.064</v>
      </c>
      <c r="BW491" s="14" t="n">
        <v>0.165</v>
      </c>
      <c r="BX491" s="14" t="n">
        <v>0.833</v>
      </c>
      <c r="BY491" s="14" t="n">
        <v>13.646</v>
      </c>
      <c r="BZ491" s="14" t="n">
        <v>0</v>
      </c>
      <c r="CA491" s="14" t="n">
        <v>13.646</v>
      </c>
      <c r="CB491" s="14" t="n">
        <v>0</v>
      </c>
      <c r="CC491" s="14" t="n">
        <v>82.58799999999999</v>
      </c>
      <c r="CD491" s="14" t="n">
        <v>7.95</v>
      </c>
      <c r="CE491" s="14" t="n">
        <v>67.48399999999999</v>
      </c>
      <c r="CF491" s="14" t="n">
        <v>174.834</v>
      </c>
      <c r="CG491" s="14" t="n">
        <v>0.165</v>
      </c>
      <c r="CH491" s="14" t="n">
        <v>1</v>
      </c>
      <c r="CI491" s="14" t="n">
        <v>0</v>
      </c>
      <c r="CJ491" s="14" t="n">
        <v>0</v>
      </c>
      <c r="CK491" s="14" t="n">
        <v>0</v>
      </c>
      <c r="CL491" s="14" t="n">
        <v>0</v>
      </c>
      <c r="CM491" s="14" t="n">
        <v>0</v>
      </c>
      <c r="CN491" s="14" t="n">
        <v>0</v>
      </c>
      <c r="CO491" s="14" t="n">
        <v>0</v>
      </c>
      <c r="CP491" s="14" t="n">
        <v>0</v>
      </c>
      <c r="CQ491" s="14" t="n">
        <v>1.387</v>
      </c>
      <c r="CR491" s="14" t="n">
        <v>0</v>
      </c>
      <c r="CS491" s="14" t="n">
        <v>5.529</v>
      </c>
      <c r="CT491" s="14" t="n">
        <v>4.251</v>
      </c>
      <c r="CU491" s="14" t="n">
        <v>10.168</v>
      </c>
    </row>
    <row r="492">
      <c r="A492" s="14" t="inlineStr">
        <is>
          <t>MYS2021</t>
        </is>
      </c>
      <c r="B492" s="14" t="inlineStr">
        <is>
          <t>MYS</t>
        </is>
      </c>
      <c r="C492" s="14" t="inlineStr">
        <is>
          <t>MYS</t>
        </is>
      </c>
      <c r="D492" s="14" t="inlineStr">
        <is>
          <t>Malaysia</t>
        </is>
      </c>
      <c r="E492" s="14" t="n">
        <v>2021</v>
      </c>
      <c r="F492" s="14" t="n">
        <v>0.1</v>
      </c>
      <c r="G492" s="14" t="n">
        <v>4.452</v>
      </c>
      <c r="H492" s="14" t="n">
        <v>1.087</v>
      </c>
      <c r="I492" s="14" t="n">
        <v>0</v>
      </c>
      <c r="J492" s="14" t="n">
        <v>4.452</v>
      </c>
      <c r="K492" s="14" t="n">
        <v>0</v>
      </c>
      <c r="L492" s="14" t="n">
        <v>1</v>
      </c>
      <c r="M492" s="14" t="n">
        <v>7.463</v>
      </c>
      <c r="N492" s="14" t="n">
        <v>3.26</v>
      </c>
      <c r="O492" s="14" t="n">
        <v>0</v>
      </c>
      <c r="P492" s="14" t="n">
        <v>7.463</v>
      </c>
      <c r="Q492" s="14" t="n">
        <v>0</v>
      </c>
      <c r="R492" s="14" t="n">
        <v>1</v>
      </c>
      <c r="S492" s="14" t="n">
        <v>9.884</v>
      </c>
      <c r="T492" s="14" t="n">
        <v>6.519</v>
      </c>
      <c r="U492" s="14" t="n">
        <v>0</v>
      </c>
      <c r="V492" s="14" t="n">
        <v>9.884</v>
      </c>
      <c r="W492" s="14" t="n">
        <v>0</v>
      </c>
      <c r="X492" s="14" t="n">
        <v>1</v>
      </c>
      <c r="Y492" s="14" t="n">
        <v>6.618</v>
      </c>
      <c r="Z492" s="14" t="n">
        <v>0.855</v>
      </c>
      <c r="AA492" s="14" t="n">
        <v>-0.017</v>
      </c>
      <c r="AB492" s="14" t="n">
        <v>6.601</v>
      </c>
      <c r="AC492" s="14" t="n">
        <v>0</v>
      </c>
      <c r="AD492" s="14" t="n">
        <v>1</v>
      </c>
      <c r="AE492" s="14" t="n">
        <v>7.298</v>
      </c>
      <c r="AF492" s="14" t="n">
        <v>1.639</v>
      </c>
      <c r="AG492" s="14" t="n">
        <v>-0.5600000000000001</v>
      </c>
      <c r="AH492" s="14" t="n">
        <v>6.738</v>
      </c>
      <c r="AI492" s="14" t="n">
        <v>0</v>
      </c>
      <c r="AJ492" s="14" t="n">
        <v>1</v>
      </c>
      <c r="AK492" s="14" t="n">
        <v>11.375</v>
      </c>
      <c r="AL492" s="14" t="n">
        <v>5.865</v>
      </c>
      <c r="AM492" s="14" t="n">
        <v>-5.676</v>
      </c>
      <c r="AN492" s="14" t="n">
        <v>6.268</v>
      </c>
      <c r="AO492" s="14" t="n">
        <v>0</v>
      </c>
      <c r="AP492" s="14" t="n">
        <v>0</v>
      </c>
      <c r="AQ492" s="14" t="n">
        <v>0.621</v>
      </c>
      <c r="AR492" s="14" t="n">
        <v>0.114</v>
      </c>
      <c r="AS492" s="14" t="n">
        <v>-0.131</v>
      </c>
      <c r="AT492" s="14" t="n">
        <v>0.489</v>
      </c>
      <c r="AU492" s="14" t="n">
        <v>0</v>
      </c>
      <c r="AV492" s="14" t="n">
        <v>0</v>
      </c>
      <c r="AW492" s="14" t="n">
        <v>0.593</v>
      </c>
      <c r="AX492" s="14" t="n">
        <v>0.114</v>
      </c>
      <c r="AY492" s="14" t="n">
        <v>-0.077</v>
      </c>
      <c r="AZ492" s="14" t="n">
        <v>0.516</v>
      </c>
      <c r="BA492" s="14" t="n">
        <v>0</v>
      </c>
      <c r="BB492" s="14" t="n">
        <v>0</v>
      </c>
      <c r="BC492" s="14" t="n">
        <v>0.44</v>
      </c>
      <c r="BD492" s="14" t="n">
        <v>0.114</v>
      </c>
      <c r="BE492" s="14" t="n">
        <v>-0.09</v>
      </c>
      <c r="BF492" s="14" t="n">
        <v>0.35</v>
      </c>
      <c r="BG492" s="14" t="n">
        <v>0</v>
      </c>
      <c r="BH492" s="14" t="n">
        <v>0</v>
      </c>
      <c r="BI492" s="14" t="n">
        <v>0.5600000000000001</v>
      </c>
      <c r="BJ492" s="14" t="n">
        <v>0.114</v>
      </c>
      <c r="BK492" s="14" t="n">
        <v>0.001</v>
      </c>
      <c r="BL492" s="14" t="n">
        <v>0.5620000000000001</v>
      </c>
      <c r="BM492" s="14" t="n">
        <v>0</v>
      </c>
      <c r="BN492" s="14" t="n">
        <v>1</v>
      </c>
      <c r="BO492" s="14" t="n">
        <v>0</v>
      </c>
      <c r="BP492" s="14" t="n">
        <v>0</v>
      </c>
      <c r="BQ492" s="14" t="n">
        <v>0.092</v>
      </c>
      <c r="BR492" s="14" t="n">
        <v>0</v>
      </c>
      <c r="BS492" s="14" t="n">
        <v>0.333</v>
      </c>
      <c r="BT492" s="14" t="n">
        <v>0</v>
      </c>
      <c r="BU492" s="14" t="n">
        <v>0</v>
      </c>
      <c r="BV492" s="14" t="n">
        <v>0.053</v>
      </c>
      <c r="BW492" s="14" t="n">
        <v>0.1</v>
      </c>
      <c r="BX492" s="14" t="n">
        <v>0.333</v>
      </c>
      <c r="BY492" s="14" t="n">
        <v>11.787</v>
      </c>
      <c r="BZ492" s="14" t="n">
        <v>0</v>
      </c>
      <c r="CA492" s="14" t="n">
        <v>11.787</v>
      </c>
      <c r="CB492" s="14" t="n">
        <v>0</v>
      </c>
      <c r="CC492" s="14" t="n">
        <v>81.69499999999999</v>
      </c>
      <c r="CD492" s="14" t="n">
        <v>7.95</v>
      </c>
      <c r="CE492" s="14" t="n">
        <v>0.211</v>
      </c>
      <c r="CF492" s="14" t="n">
        <v>90.09699999999999</v>
      </c>
      <c r="CG492" s="14" t="n">
        <v>0.1</v>
      </c>
      <c r="CH492" s="14" t="n">
        <v>1</v>
      </c>
      <c r="CI492" s="14" t="n">
        <v>0</v>
      </c>
      <c r="CJ492" s="14" t="n">
        <v>0</v>
      </c>
      <c r="CK492" s="14" t="n">
        <v>0</v>
      </c>
      <c r="CL492" s="14" t="n">
        <v>0</v>
      </c>
      <c r="CM492" s="14" t="n">
        <v>0</v>
      </c>
      <c r="CN492" s="14" t="n">
        <v>0</v>
      </c>
      <c r="CO492" s="14" t="n">
        <v>0</v>
      </c>
      <c r="CP492" s="14" t="n">
        <v>0.099</v>
      </c>
      <c r="CQ492" s="14" t="n">
        <v>1.198</v>
      </c>
      <c r="CR492" s="14" t="n">
        <v>0.8110000000000001</v>
      </c>
      <c r="CS492" s="14" t="n">
        <v>4.606</v>
      </c>
      <c r="CT492" s="14" t="n">
        <v>3.604</v>
      </c>
      <c r="CU492" s="14" t="n">
        <v>14.129</v>
      </c>
    </row>
    <row r="493">
      <c r="A493" s="14" t="inlineStr">
        <is>
          <t>MYS2022</t>
        </is>
      </c>
      <c r="B493" s="14" t="inlineStr">
        <is>
          <t>MYS</t>
        </is>
      </c>
      <c r="C493" s="14" t="inlineStr">
        <is>
          <t>MYS</t>
        </is>
      </c>
      <c r="D493" s="14" t="inlineStr">
        <is>
          <t>Malaysia</t>
        </is>
      </c>
      <c r="E493" s="14" t="n">
        <v>2022</v>
      </c>
      <c r="F493" s="14" t="n">
        <v>0.1</v>
      </c>
      <c r="G493" s="14" t="n">
        <v>8.189</v>
      </c>
      <c r="H493" s="14" t="n">
        <v>1.181</v>
      </c>
      <c r="I493" s="14" t="n">
        <v>0</v>
      </c>
      <c r="J493" s="14" t="n">
        <v>8.189</v>
      </c>
      <c r="K493" s="14" t="n">
        <v>0</v>
      </c>
      <c r="L493" s="14" t="n">
        <v>1</v>
      </c>
      <c r="M493" s="14" t="n">
        <v>9.205</v>
      </c>
      <c r="N493" s="14" t="n">
        <v>3.543</v>
      </c>
      <c r="O493" s="14" t="n">
        <v>0</v>
      </c>
      <c r="P493" s="14" t="n">
        <v>9.205</v>
      </c>
      <c r="Q493" s="14" t="n">
        <v>0</v>
      </c>
      <c r="R493" s="14" t="n">
        <v>1</v>
      </c>
      <c r="S493" s="14" t="n">
        <v>14.094</v>
      </c>
      <c r="T493" s="14" t="n">
        <v>7.086</v>
      </c>
      <c r="U493" s="14" t="n">
        <v>0</v>
      </c>
      <c r="V493" s="14" t="n">
        <v>14.094</v>
      </c>
      <c r="W493" s="14" t="n">
        <v>0</v>
      </c>
      <c r="X493" s="14" t="n">
        <v>1</v>
      </c>
      <c r="Y493" s="14" t="n">
        <v>11.476</v>
      </c>
      <c r="Z493" s="14" t="n">
        <v>1.482</v>
      </c>
      <c r="AA493" s="14" t="n">
        <v>-4.347</v>
      </c>
      <c r="AB493" s="14" t="n">
        <v>7.129</v>
      </c>
      <c r="AC493" s="14" t="n">
        <v>0</v>
      </c>
      <c r="AD493" s="14" t="n">
        <v>1</v>
      </c>
      <c r="AE493" s="14" t="n">
        <v>12.252</v>
      </c>
      <c r="AF493" s="14" t="n">
        <v>2.751</v>
      </c>
      <c r="AG493" s="14" t="n">
        <v>-4.173</v>
      </c>
      <c r="AH493" s="14" t="n">
        <v>8.079000000000001</v>
      </c>
      <c r="AI493" s="14" t="n">
        <v>0</v>
      </c>
      <c r="AJ493" s="14" t="n">
        <v>1</v>
      </c>
      <c r="AK493" s="14" t="n">
        <v>16.907</v>
      </c>
      <c r="AL493" s="14" t="n">
        <v>8.718</v>
      </c>
      <c r="AM493" s="14" t="n">
        <v>-10.079</v>
      </c>
      <c r="AN493" s="14" t="n">
        <v>7.511</v>
      </c>
      <c r="AO493" s="14" t="n">
        <v>0</v>
      </c>
      <c r="AP493" s="14" t="n">
        <v>0</v>
      </c>
      <c r="AQ493" s="14" t="n">
        <v>0.847</v>
      </c>
      <c r="AR493" s="14" t="n">
        <v>0.123</v>
      </c>
      <c r="AS493" s="14" t="n">
        <v>-0.381</v>
      </c>
      <c r="AT493" s="14" t="n">
        <v>0.466</v>
      </c>
      <c r="AU493" s="14" t="n">
        <v>0</v>
      </c>
      <c r="AV493" s="14" t="n">
        <v>0</v>
      </c>
      <c r="AW493" s="14" t="n">
        <v>0.947</v>
      </c>
      <c r="AX493" s="14" t="n">
        <v>0.123</v>
      </c>
      <c r="AY493" s="14" t="n">
        <v>-0.458</v>
      </c>
      <c r="AZ493" s="14" t="n">
        <v>0.489</v>
      </c>
      <c r="BA493" s="14" t="n">
        <v>0</v>
      </c>
      <c r="BB493" s="14" t="n">
        <v>0</v>
      </c>
      <c r="BC493" s="14" t="n">
        <v>0.589</v>
      </c>
      <c r="BD493" s="14" t="n">
        <v>0.123</v>
      </c>
      <c r="BE493" s="14" t="n">
        <v>-0.252</v>
      </c>
      <c r="BF493" s="14" t="n">
        <v>0.337</v>
      </c>
      <c r="BG493" s="14" t="n">
        <v>0</v>
      </c>
      <c r="BH493" s="14" t="n">
        <v>0</v>
      </c>
      <c r="BI493" s="14" t="n">
        <v>0.6889999999999999</v>
      </c>
      <c r="BJ493" s="14" t="n">
        <v>0.123</v>
      </c>
      <c r="BK493" s="14" t="n">
        <v>0.002</v>
      </c>
      <c r="BL493" s="14" t="n">
        <v>0.6909999999999999</v>
      </c>
      <c r="BM493" s="14" t="n">
        <v>0</v>
      </c>
      <c r="BN493" s="14" t="n">
        <v>1</v>
      </c>
      <c r="BO493" s="14" t="n">
        <v>0</v>
      </c>
      <c r="BP493" s="14" t="n">
        <v>-0.014</v>
      </c>
      <c r="BQ493" s="14" t="n">
        <v>0.08599999999999999</v>
      </c>
      <c r="BR493" s="14" t="n">
        <v>0</v>
      </c>
      <c r="BS493" s="14" t="n">
        <v>0.333</v>
      </c>
      <c r="BT493" s="14" t="n">
        <v>0</v>
      </c>
      <c r="BU493" s="14" t="n">
        <v>-0.014</v>
      </c>
      <c r="BV493" s="14" t="n">
        <v>0.05</v>
      </c>
      <c r="BW493" s="14" t="n">
        <v>0.1</v>
      </c>
      <c r="BX493" s="14" t="n">
        <v>0.333</v>
      </c>
      <c r="BY493" s="14" t="n">
        <v>12.729</v>
      </c>
      <c r="BZ493" s="14" t="n">
        <v>0</v>
      </c>
      <c r="CA493" s="14" t="n">
        <v>12.729</v>
      </c>
      <c r="CB493" s="14" t="n">
        <v>0</v>
      </c>
      <c r="CC493" s="14" t="n">
        <v>102.477</v>
      </c>
      <c r="CD493" s="14" t="n">
        <v>7.95</v>
      </c>
      <c r="CE493" s="14" t="n">
        <v>-2.479</v>
      </c>
      <c r="CF493" s="14" t="n">
        <v>109.189</v>
      </c>
      <c r="CG493" s="14" t="n">
        <v>0.1</v>
      </c>
      <c r="CH493" s="14" t="n">
        <v>1</v>
      </c>
      <c r="CI493" s="14" t="n">
        <v>0</v>
      </c>
      <c r="CJ493" s="14" t="n">
        <v>0</v>
      </c>
      <c r="CK493" s="14" t="n">
        <v>0</v>
      </c>
      <c r="CL493" s="14" t="n">
        <v>0</v>
      </c>
      <c r="CM493" s="14" t="n">
        <v>0</v>
      </c>
      <c r="CN493" s="14" t="n">
        <v>0</v>
      </c>
      <c r="CO493" s="14" t="n">
        <v>0</v>
      </c>
      <c r="CP493" s="14" t="n">
        <v>0.08699999999999999</v>
      </c>
      <c r="CQ493" s="14" t="n">
        <v>1.294</v>
      </c>
      <c r="CR493" s="14" t="n">
        <v>0.743</v>
      </c>
      <c r="CS493" s="14" t="n">
        <v>4.974</v>
      </c>
      <c r="CT493" s="14" t="n">
        <v>7.554</v>
      </c>
      <c r="CU493" s="14" t="n">
        <v>28.059</v>
      </c>
    </row>
    <row r="494">
      <c r="A494" s="14" t="inlineStr">
        <is>
          <t>MYS2023</t>
        </is>
      </c>
      <c r="B494" s="14" t="inlineStr">
        <is>
          <t>MYS</t>
        </is>
      </c>
      <c r="C494" s="14" t="inlineStr">
        <is>
          <t>MYS</t>
        </is>
      </c>
      <c r="D494" s="14" t="inlineStr">
        <is>
          <t>Malaysia</t>
        </is>
      </c>
      <c r="E494" s="14" t="n">
        <v>2023</v>
      </c>
      <c r="F494" s="14" t="n">
        <v>0.1</v>
      </c>
      <c r="G494" s="14" t="n">
        <v>5.398</v>
      </c>
      <c r="H494" s="14" t="n">
        <v>1.222</v>
      </c>
      <c r="I494" s="14" t="n">
        <v>0</v>
      </c>
      <c r="J494" s="14" t="n">
        <v>5.398</v>
      </c>
      <c r="K494" s="14" t="n">
        <v>0</v>
      </c>
      <c r="L494" s="14" t="n">
        <v>1</v>
      </c>
      <c r="M494" s="14" t="n">
        <v>7.432</v>
      </c>
      <c r="N494" s="14" t="n">
        <v>3.667</v>
      </c>
      <c r="O494" s="14" t="n">
        <v>0</v>
      </c>
      <c r="P494" s="14" t="n">
        <v>7.432</v>
      </c>
      <c r="Q494" s="14" t="n">
        <v>0</v>
      </c>
      <c r="R494" s="14" t="n">
        <v>1</v>
      </c>
      <c r="S494" s="14" t="n">
        <v>11.509</v>
      </c>
      <c r="T494" s="14" t="n">
        <v>7.334</v>
      </c>
      <c r="U494" s="14" t="n">
        <v>0</v>
      </c>
      <c r="V494" s="14" t="n">
        <v>11.509</v>
      </c>
      <c r="W494" s="14" t="n">
        <v>0</v>
      </c>
      <c r="X494" s="14" t="n">
        <v>1</v>
      </c>
      <c r="Y494" s="14" t="n">
        <v>6.841</v>
      </c>
      <c r="Z494" s="14" t="n">
        <v>0.884</v>
      </c>
      <c r="AA494" s="14" t="n">
        <v>0.582</v>
      </c>
      <c r="AB494" s="14" t="n">
        <v>7.423</v>
      </c>
      <c r="AC494" s="14" t="n">
        <v>0</v>
      </c>
      <c r="AD494" s="14" t="n">
        <v>1</v>
      </c>
      <c r="AE494" s="14" t="n">
        <v>7.623</v>
      </c>
      <c r="AF494" s="14" t="n">
        <v>1.712</v>
      </c>
      <c r="AG494" s="14" t="n">
        <v>0.173</v>
      </c>
      <c r="AH494" s="14" t="n">
        <v>7.796</v>
      </c>
      <c r="AI494" s="14" t="n">
        <v>0</v>
      </c>
      <c r="AJ494" s="14" t="n">
        <v>1</v>
      </c>
      <c r="AK494" s="14" t="n">
        <v>12.312</v>
      </c>
      <c r="AL494" s="14" t="n">
        <v>6.349</v>
      </c>
      <c r="AM494" s="14" t="n">
        <v>-5.723</v>
      </c>
      <c r="AN494" s="14" t="n">
        <v>7.248</v>
      </c>
      <c r="AO494" s="14" t="n">
        <v>0</v>
      </c>
      <c r="AP494" s="14" t="n">
        <v>0</v>
      </c>
      <c r="AQ494" s="14" t="n">
        <v>0.749</v>
      </c>
      <c r="AR494" s="14" t="n">
        <v>0.129</v>
      </c>
      <c r="AS494" s="14" t="n">
        <v>-0.299</v>
      </c>
      <c r="AT494" s="14" t="n">
        <v>0.449</v>
      </c>
      <c r="AU494" s="14" t="n">
        <v>0</v>
      </c>
      <c r="AV494" s="14" t="n">
        <v>0</v>
      </c>
      <c r="AW494" s="14" t="n">
        <v>0.783</v>
      </c>
      <c r="AX494" s="14" t="n">
        <v>0.129</v>
      </c>
      <c r="AY494" s="14" t="n">
        <v>-0.311</v>
      </c>
      <c r="AZ494" s="14" t="n">
        <v>0.471</v>
      </c>
      <c r="BA494" s="14" t="n">
        <v>0</v>
      </c>
      <c r="BB494" s="14" t="n">
        <v>0</v>
      </c>
      <c r="BC494" s="14" t="n">
        <v>0.527</v>
      </c>
      <c r="BD494" s="14" t="n">
        <v>0.129</v>
      </c>
      <c r="BE494" s="14" t="n">
        <v>-0.198</v>
      </c>
      <c r="BF494" s="14" t="n">
        <v>0.329</v>
      </c>
      <c r="BG494" s="14" t="n">
        <v>0</v>
      </c>
      <c r="BH494" s="14" t="n">
        <v>0</v>
      </c>
      <c r="BI494" s="14" t="n">
        <v>0.64</v>
      </c>
      <c r="BJ494" s="14" t="n">
        <v>0.129</v>
      </c>
      <c r="BK494" s="14" t="n">
        <v>0.002</v>
      </c>
      <c r="BL494" s="14" t="n">
        <v>0.641</v>
      </c>
      <c r="BM494" s="14" t="n">
        <v>0</v>
      </c>
      <c r="BN494" s="14" t="n">
        <v>1</v>
      </c>
      <c r="BO494" s="14" t="n">
        <v>0</v>
      </c>
      <c r="BP494" s="14" t="n">
        <v>0</v>
      </c>
      <c r="BQ494" s="14" t="n">
        <v>0.081</v>
      </c>
      <c r="BR494" s="14" t="n">
        <v>0</v>
      </c>
      <c r="BS494" s="14" t="n">
        <v>0.333</v>
      </c>
      <c r="BT494" s="14" t="n">
        <v>0</v>
      </c>
      <c r="BU494" s="14" t="n">
        <v>0</v>
      </c>
      <c r="BV494" s="14" t="n">
        <v>0.046</v>
      </c>
      <c r="BW494" s="14" t="n">
        <v>0.1</v>
      </c>
      <c r="BX494" s="14" t="n">
        <v>0.333</v>
      </c>
      <c r="BY494" s="14" t="n">
        <v>13.254</v>
      </c>
      <c r="BZ494" s="14" t="n">
        <v>0</v>
      </c>
      <c r="CA494" s="14" t="n">
        <v>13.254</v>
      </c>
      <c r="CB494" s="14" t="n">
        <v>0</v>
      </c>
      <c r="CC494" s="14" t="n">
        <v>87.07899999999999</v>
      </c>
      <c r="CD494" s="14" t="n">
        <v>7.95</v>
      </c>
      <c r="CE494" s="14" t="n">
        <v>-2.476</v>
      </c>
      <c r="CF494" s="14" t="n">
        <v>92.044</v>
      </c>
      <c r="CG494" s="14" t="n">
        <v>0.1</v>
      </c>
      <c r="CH494" s="14" t="n">
        <v>1</v>
      </c>
      <c r="CI494" s="14" t="n">
        <v>0</v>
      </c>
      <c r="CJ494" s="14" t="n">
        <v>0</v>
      </c>
      <c r="CK494" s="14" t="n">
        <v>0</v>
      </c>
      <c r="CL494" s="14" t="n">
        <v>0</v>
      </c>
      <c r="CM494" s="14" t="n">
        <v>0</v>
      </c>
      <c r="CN494" s="14" t="n">
        <v>0</v>
      </c>
      <c r="CO494" s="14" t="n">
        <v>0</v>
      </c>
      <c r="CP494" s="14" t="n">
        <v>0.099</v>
      </c>
      <c r="CQ494" s="14" t="n">
        <v>1.348</v>
      </c>
      <c r="CR494" s="14" t="n">
        <v>0.784</v>
      </c>
      <c r="CS494" s="14" t="n">
        <v>5.179</v>
      </c>
      <c r="CT494" s="14" t="n">
        <v>4.484</v>
      </c>
      <c r="CU494" s="14" t="n">
        <v>9.260999999999999</v>
      </c>
    </row>
    <row r="495">
      <c r="A495" s="14" t="inlineStr">
        <is>
          <t>MYS2024</t>
        </is>
      </c>
      <c r="B495" s="14" t="inlineStr">
        <is>
          <t>MYS</t>
        </is>
      </c>
      <c r="C495" s="14" t="inlineStr">
        <is>
          <t>MYS</t>
        </is>
      </c>
      <c r="D495" s="14" t="inlineStr">
        <is>
          <t>Malaysia</t>
        </is>
      </c>
      <c r="E495" s="14" t="n">
        <v>2024</v>
      </c>
      <c r="F495" s="14" t="n">
        <v>0.1</v>
      </c>
      <c r="G495" s="14" t="n">
        <v>4.558</v>
      </c>
      <c r="H495" s="14" t="n">
        <v>1.258</v>
      </c>
      <c r="I495" s="14" t="n">
        <v>0</v>
      </c>
      <c r="J495" s="14" t="n">
        <v>4.558</v>
      </c>
      <c r="K495" s="14" t="n">
        <v>0</v>
      </c>
      <c r="L495" s="14" t="n">
        <v>1</v>
      </c>
      <c r="M495" s="14" t="n">
        <v>6.754</v>
      </c>
      <c r="N495" s="14" t="n">
        <v>3.775</v>
      </c>
      <c r="O495" s="14" t="n">
        <v>0</v>
      </c>
      <c r="P495" s="14" t="n">
        <v>6.754</v>
      </c>
      <c r="Q495" s="14" t="n">
        <v>0</v>
      </c>
      <c r="R495" s="14" t="n">
        <v>1</v>
      </c>
      <c r="S495" s="14" t="n">
        <v>10.851</v>
      </c>
      <c r="T495" s="14" t="n">
        <v>7.55</v>
      </c>
      <c r="U495" s="14" t="n">
        <v>0</v>
      </c>
      <c r="V495" s="14" t="n">
        <v>10.851</v>
      </c>
      <c r="W495" s="14" t="n">
        <v>0</v>
      </c>
      <c r="X495" s="14" t="n">
        <v>1</v>
      </c>
      <c r="Y495" s="14" t="n">
        <v>6.626</v>
      </c>
      <c r="Z495" s="14" t="n">
        <v>0.856</v>
      </c>
      <c r="AA495" s="14" t="n">
        <v>1.017</v>
      </c>
      <c r="AB495" s="14" t="n">
        <v>7.642</v>
      </c>
      <c r="AC495" s="14" t="n">
        <v>0</v>
      </c>
      <c r="AD495" s="14" t="n">
        <v>1</v>
      </c>
      <c r="AE495" s="14" t="n">
        <v>7.43</v>
      </c>
      <c r="AF495" s="14" t="n">
        <v>1.669</v>
      </c>
      <c r="AG495" s="14" t="n">
        <v>0.339</v>
      </c>
      <c r="AH495" s="14" t="n">
        <v>7.769</v>
      </c>
      <c r="AI495" s="14" t="n">
        <v>0</v>
      </c>
      <c r="AJ495" s="14" t="n">
        <v>1</v>
      </c>
      <c r="AK495" s="14" t="n">
        <v>12.258</v>
      </c>
      <c r="AL495" s="14" t="n">
        <v>6.321</v>
      </c>
      <c r="AM495" s="14" t="n">
        <v>-5.692</v>
      </c>
      <c r="AN495" s="14" t="n">
        <v>7.223</v>
      </c>
      <c r="AO495" s="14" t="n">
        <v>0</v>
      </c>
      <c r="AP495" s="14" t="n">
        <v>0</v>
      </c>
      <c r="AQ495" s="14" t="n">
        <v>0.72</v>
      </c>
      <c r="AR495" s="14" t="n">
        <v>0.132</v>
      </c>
      <c r="AS495" s="14" t="n">
        <v>-0.272</v>
      </c>
      <c r="AT495" s="14" t="n">
        <v>0.448</v>
      </c>
      <c r="AU495" s="14" t="n">
        <v>0</v>
      </c>
      <c r="AV495" s="14" t="n">
        <v>0</v>
      </c>
      <c r="AW495" s="14" t="n">
        <v>0.734</v>
      </c>
      <c r="AX495" s="14" t="n">
        <v>0.132</v>
      </c>
      <c r="AY495" s="14" t="n">
        <v>-0.149</v>
      </c>
      <c r="AZ495" s="14" t="n">
        <v>0.585</v>
      </c>
      <c r="BA495" s="14" t="n">
        <v>0</v>
      </c>
      <c r="BB495" s="14" t="n">
        <v>0</v>
      </c>
      <c r="BC495" s="14" t="n">
        <v>0.51</v>
      </c>
      <c r="BD495" s="14" t="n">
        <v>0.132</v>
      </c>
      <c r="BE495" s="14" t="n">
        <v>-0.182</v>
      </c>
      <c r="BF495" s="14" t="n">
        <v>0.329</v>
      </c>
      <c r="BG495" s="14" t="n">
        <v>0</v>
      </c>
      <c r="BH495" s="14" t="n">
        <v>0</v>
      </c>
      <c r="BI495" s="14" t="n">
        <v>0.652</v>
      </c>
      <c r="BJ495" s="14" t="n">
        <v>0.132</v>
      </c>
      <c r="BK495" s="14" t="n">
        <v>0.002</v>
      </c>
      <c r="BL495" s="14" t="n">
        <v>0.654</v>
      </c>
      <c r="BM495" s="14" t="n">
        <v>0</v>
      </c>
      <c r="BN495" s="14" t="n">
        <v>1</v>
      </c>
      <c r="BO495" s="14" t="n">
        <v>0</v>
      </c>
      <c r="BP495" s="14" t="n">
        <v>0</v>
      </c>
      <c r="BQ495" s="14" t="n">
        <v>0.11</v>
      </c>
      <c r="BR495" s="14" t="n">
        <v>0</v>
      </c>
      <c r="BS495" s="14" t="n">
        <v>0.333</v>
      </c>
      <c r="BT495" s="14" t="n">
        <v>0</v>
      </c>
      <c r="BU495" s="14" t="n">
        <v>0</v>
      </c>
      <c r="BV495" s="14" t="n">
        <v>0.043</v>
      </c>
      <c r="BW495" s="14" t="n">
        <v>0.1</v>
      </c>
      <c r="BX495" s="14" t="n">
        <v>0.333</v>
      </c>
      <c r="BY495" s="14" t="n">
        <v>13.646</v>
      </c>
      <c r="BZ495" s="14" t="n">
        <v>0</v>
      </c>
      <c r="CA495" s="14" t="n">
        <v>13.646</v>
      </c>
      <c r="CB495" s="14" t="n">
        <v>0</v>
      </c>
      <c r="CC495" s="14" t="n">
        <v>86.38500000000001</v>
      </c>
      <c r="CD495" s="14" t="n">
        <v>7.95</v>
      </c>
      <c r="CE495" s="14" t="n">
        <v>-2.383</v>
      </c>
      <c r="CF495" s="14" t="n">
        <v>91.161</v>
      </c>
      <c r="CG495" s="14" t="n">
        <v>0.1</v>
      </c>
      <c r="CH495" s="14" t="n">
        <v>1</v>
      </c>
      <c r="CI495" s="14" t="n">
        <v>0</v>
      </c>
      <c r="CJ495" s="14" t="n">
        <v>0</v>
      </c>
      <c r="CK495" s="14" t="n">
        <v>0</v>
      </c>
      <c r="CL495" s="14" t="n">
        <v>0</v>
      </c>
      <c r="CM495" s="14" t="n">
        <v>0</v>
      </c>
      <c r="CN495" s="14" t="n">
        <v>0</v>
      </c>
      <c r="CO495" s="14" t="n">
        <v>0</v>
      </c>
      <c r="CP495" s="14" t="n">
        <v>0.099</v>
      </c>
      <c r="CQ495" s="14" t="n">
        <v>1.387</v>
      </c>
      <c r="CR495" s="14" t="n">
        <v>0.784</v>
      </c>
      <c r="CS495" s="14" t="n">
        <v>5.332</v>
      </c>
      <c r="CT495" s="14" t="n">
        <v>3.509</v>
      </c>
      <c r="CU495" s="14" t="n">
        <v>7.598</v>
      </c>
    </row>
    <row r="496">
      <c r="A496" s="14" t="inlineStr">
        <is>
          <t>MDV2021</t>
        </is>
      </c>
      <c r="B496" s="14" t="inlineStr">
        <is>
          <t>MDV</t>
        </is>
      </c>
      <c r="C496" s="14" t="inlineStr">
        <is>
          <t>MDV</t>
        </is>
      </c>
      <c r="D496" s="14" t="inlineStr">
        <is>
          <t>Maldives</t>
        </is>
      </c>
      <c r="E496" s="14" t="n">
        <v>2021</v>
      </c>
      <c r="F496" s="14" t="n">
        <v>0.06</v>
      </c>
      <c r="G496" s="14" t="n">
        <v>4.747</v>
      </c>
      <c r="H496" s="14" t="n">
        <v>1.143</v>
      </c>
      <c r="I496" s="14" t="n">
        <v>0</v>
      </c>
      <c r="J496" s="14" t="n">
        <v>4.747</v>
      </c>
      <c r="K496" s="14" t="n">
        <v>0</v>
      </c>
      <c r="L496" s="14" t="n">
        <v>1</v>
      </c>
      <c r="M496" s="14" t="n">
        <v>7.964</v>
      </c>
      <c r="N496" s="14" t="n">
        <v>3.43</v>
      </c>
      <c r="O496" s="14" t="n">
        <v>0</v>
      </c>
      <c r="P496" s="14" t="n">
        <v>7.964</v>
      </c>
      <c r="Q496" s="14" t="n">
        <v>0</v>
      </c>
      <c r="R496" s="14" t="n">
        <v>1</v>
      </c>
      <c r="S496" s="14" t="n">
        <v>10.464</v>
      </c>
      <c r="T496" s="14" t="n">
        <v>6.86</v>
      </c>
      <c r="U496" s="14" t="n">
        <v>0</v>
      </c>
      <c r="V496" s="14" t="n">
        <v>11.092</v>
      </c>
      <c r="W496" s="14" t="n">
        <v>0.06</v>
      </c>
      <c r="X496" s="14" t="n">
        <v>1</v>
      </c>
      <c r="Y496" s="14" t="n">
        <v>17.987</v>
      </c>
      <c r="Z496" s="14" t="n">
        <v>2.1</v>
      </c>
      <c r="AA496" s="14" t="n">
        <v>0</v>
      </c>
      <c r="AB496" s="14" t="n">
        <v>17.987</v>
      </c>
      <c r="AC496" s="14" t="n">
        <v>0</v>
      </c>
      <c r="AD496" s="14" t="n">
        <v>1</v>
      </c>
      <c r="AE496" s="14" t="n">
        <v>19.13</v>
      </c>
      <c r="AF496" s="14" t="n">
        <v>3.956</v>
      </c>
      <c r="AG496" s="14" t="n">
        <v>0</v>
      </c>
      <c r="AH496" s="14" t="n">
        <v>19.13</v>
      </c>
      <c r="AI496" s="14" t="n">
        <v>0</v>
      </c>
      <c r="AJ496" s="14" t="n">
        <v>1</v>
      </c>
      <c r="AK496" s="14" t="n">
        <v>25.99</v>
      </c>
      <c r="AL496" s="14" t="n">
        <v>12.953</v>
      </c>
      <c r="AM496" s="14" t="n">
        <v>0</v>
      </c>
      <c r="AN496" s="14" t="n">
        <v>27.549</v>
      </c>
      <c r="AO496" s="14" t="n">
        <v>0.06</v>
      </c>
      <c r="AP496" s="14" t="n">
        <v>1</v>
      </c>
      <c r="AQ496" s="14" t="n">
        <v>0.621</v>
      </c>
      <c r="AR496" s="14" t="n">
        <v>0.114</v>
      </c>
      <c r="AS496" s="14" t="n">
        <v>0.128</v>
      </c>
      <c r="AT496" s="14" t="n">
        <v>0.748</v>
      </c>
      <c r="AU496" s="14" t="n">
        <v>0</v>
      </c>
      <c r="AV496" s="14" t="n">
        <v>1</v>
      </c>
      <c r="AW496" s="14" t="n">
        <v>0.593</v>
      </c>
      <c r="AX496" s="14" t="n">
        <v>0.114</v>
      </c>
      <c r="AY496" s="14" t="n">
        <v>0.093</v>
      </c>
      <c r="AZ496" s="14" t="n">
        <v>0.6860000000000001</v>
      </c>
      <c r="BA496" s="14" t="n">
        <v>0</v>
      </c>
      <c r="BB496" s="14" t="n">
        <v>1</v>
      </c>
      <c r="BC496" s="14" t="n">
        <v>0.44</v>
      </c>
      <c r="BD496" s="14" t="n">
        <v>0.114</v>
      </c>
      <c r="BE496" s="14" t="n">
        <v>0.419</v>
      </c>
      <c r="BF496" s="14" t="n">
        <v>0.911</v>
      </c>
      <c r="BG496" s="14" t="n">
        <v>0.06</v>
      </c>
      <c r="BH496" s="14" t="n">
        <v>1</v>
      </c>
      <c r="BI496" s="14" t="n">
        <v>0.5600000000000001</v>
      </c>
      <c r="BJ496" s="14" t="n">
        <v>0.114</v>
      </c>
      <c r="BK496" s="14" t="n">
        <v>0</v>
      </c>
      <c r="BL496" s="14" t="n">
        <v>0.594</v>
      </c>
      <c r="BM496" s="14" t="n">
        <v>0.06</v>
      </c>
      <c r="BN496" s="14" t="n">
        <v>1</v>
      </c>
      <c r="BO496" s="14" t="n">
        <v>0</v>
      </c>
      <c r="BP496" s="14" t="n">
        <v>0</v>
      </c>
      <c r="BQ496" s="14" t="n">
        <v>0.215</v>
      </c>
      <c r="BR496" s="14" t="n">
        <v>0</v>
      </c>
      <c r="BS496" s="14" t="n">
        <v>0.833</v>
      </c>
      <c r="BT496" s="14" t="n">
        <v>0</v>
      </c>
      <c r="BU496" s="14" t="n">
        <v>0</v>
      </c>
      <c r="BV496" s="14" t="n">
        <v>0.15</v>
      </c>
      <c r="BW496" s="14" t="n">
        <v>0</v>
      </c>
      <c r="BX496" s="14" t="n">
        <v>0.833</v>
      </c>
      <c r="BY496" s="14" t="n">
        <v>11.787</v>
      </c>
      <c r="BZ496" s="14" t="n">
        <v>0</v>
      </c>
      <c r="CA496" s="14" t="n">
        <v>11.787</v>
      </c>
      <c r="CB496" s="14" t="n">
        <v>0</v>
      </c>
      <c r="CC496" s="14" t="n">
        <v>81.69499999999999</v>
      </c>
      <c r="CD496" s="14" t="n">
        <v>7.95</v>
      </c>
      <c r="CE496" s="14" t="n">
        <v>0</v>
      </c>
      <c r="CF496" s="14" t="n">
        <v>86.59699999999999</v>
      </c>
      <c r="CG496" s="14" t="n">
        <v>0.06</v>
      </c>
      <c r="CH496" s="14" t="n">
        <v>1</v>
      </c>
      <c r="CI496" s="14" t="n">
        <v>0</v>
      </c>
      <c r="CJ496" s="14" t="n">
        <v>0</v>
      </c>
      <c r="CK496" s="14" t="n">
        <v>0</v>
      </c>
      <c r="CL496" s="14" t="n">
        <v>0</v>
      </c>
      <c r="CM496" s="14" t="n">
        <v>0</v>
      </c>
      <c r="CN496" s="14" t="n">
        <v>0</v>
      </c>
      <c r="CO496" s="14" t="n">
        <v>0</v>
      </c>
      <c r="CP496" s="14" t="n">
        <v>0</v>
      </c>
      <c r="CQ496" s="14" t="n">
        <v>1.198</v>
      </c>
      <c r="CR496" s="14" t="n">
        <v>0</v>
      </c>
      <c r="CS496" s="14" t="n">
        <v>4.776</v>
      </c>
      <c r="CT496" s="14" t="n">
        <v>3.604</v>
      </c>
      <c r="CU496" s="14" t="n">
        <v>16.843</v>
      </c>
    </row>
    <row r="497">
      <c r="A497" s="14" t="inlineStr">
        <is>
          <t>MDV2022</t>
        </is>
      </c>
      <c r="B497" s="14" t="inlineStr">
        <is>
          <t>MDV</t>
        </is>
      </c>
      <c r="C497" s="14" t="inlineStr">
        <is>
          <t>MDV</t>
        </is>
      </c>
      <c r="D497" s="14" t="inlineStr">
        <is>
          <t>Maldives</t>
        </is>
      </c>
      <c r="E497" s="14" t="n">
        <v>2022</v>
      </c>
      <c r="F497" s="14" t="n">
        <v>0.06</v>
      </c>
      <c r="G497" s="14" t="n">
        <v>8.788</v>
      </c>
      <c r="H497" s="14" t="n">
        <v>1.235</v>
      </c>
      <c r="I497" s="14" t="n">
        <v>0</v>
      </c>
      <c r="J497" s="14" t="n">
        <v>8.788</v>
      </c>
      <c r="K497" s="14" t="n">
        <v>0</v>
      </c>
      <c r="L497" s="14" t="n">
        <v>1</v>
      </c>
      <c r="M497" s="14" t="n">
        <v>9.782999999999999</v>
      </c>
      <c r="N497" s="14" t="n">
        <v>3.704</v>
      </c>
      <c r="O497" s="14" t="n">
        <v>0</v>
      </c>
      <c r="P497" s="14" t="n">
        <v>9.782999999999999</v>
      </c>
      <c r="Q497" s="14" t="n">
        <v>0</v>
      </c>
      <c r="R497" s="14" t="n">
        <v>1</v>
      </c>
      <c r="S497" s="14" t="n">
        <v>14.962</v>
      </c>
      <c r="T497" s="14" t="n">
        <v>7.408</v>
      </c>
      <c r="U497" s="14" t="n">
        <v>0.066</v>
      </c>
      <c r="V497" s="14" t="n">
        <v>15.86</v>
      </c>
      <c r="W497" s="14" t="n">
        <v>0.06</v>
      </c>
      <c r="X497" s="14" t="n">
        <v>1</v>
      </c>
      <c r="Y497" s="14" t="n">
        <v>31.383</v>
      </c>
      <c r="Z497" s="14" t="n">
        <v>3.665</v>
      </c>
      <c r="AA497" s="14" t="n">
        <v>0</v>
      </c>
      <c r="AB497" s="14" t="n">
        <v>31.383</v>
      </c>
      <c r="AC497" s="14" t="n">
        <v>0</v>
      </c>
      <c r="AD497" s="14" t="n">
        <v>1</v>
      </c>
      <c r="AE497" s="14" t="n">
        <v>32.618</v>
      </c>
      <c r="AF497" s="14" t="n">
        <v>6.745</v>
      </c>
      <c r="AG497" s="14" t="n">
        <v>0</v>
      </c>
      <c r="AH497" s="14" t="n">
        <v>32.618</v>
      </c>
      <c r="AI497" s="14" t="n">
        <v>0</v>
      </c>
      <c r="AJ497" s="14" t="n">
        <v>1</v>
      </c>
      <c r="AK497" s="14" t="n">
        <v>40.026</v>
      </c>
      <c r="AL497" s="14" t="n">
        <v>19.948</v>
      </c>
      <c r="AM497" s="14" t="n">
        <v>0.178</v>
      </c>
      <c r="AN497" s="14" t="n">
        <v>42.428</v>
      </c>
      <c r="AO497" s="14" t="n">
        <v>0.06</v>
      </c>
      <c r="AP497" s="14" t="n">
        <v>1</v>
      </c>
      <c r="AQ497" s="14" t="n">
        <v>0.847</v>
      </c>
      <c r="AR497" s="14" t="n">
        <v>0.123</v>
      </c>
      <c r="AS497" s="14" t="n">
        <v>0.138</v>
      </c>
      <c r="AT497" s="14" t="n">
        <v>0.985</v>
      </c>
      <c r="AU497" s="14" t="n">
        <v>0</v>
      </c>
      <c r="AV497" s="14" t="n">
        <v>1</v>
      </c>
      <c r="AW497" s="14" t="n">
        <v>0.947</v>
      </c>
      <c r="AX497" s="14" t="n">
        <v>0.123</v>
      </c>
      <c r="AY497" s="14" t="n">
        <v>0.053</v>
      </c>
      <c r="AZ497" s="14" t="n">
        <v>1</v>
      </c>
      <c r="BA497" s="14" t="n">
        <v>0</v>
      </c>
      <c r="BB497" s="14" t="n">
        <v>1</v>
      </c>
      <c r="BC497" s="14" t="n">
        <v>0.589</v>
      </c>
      <c r="BD497" s="14" t="n">
        <v>0.123</v>
      </c>
      <c r="BE497" s="14" t="n">
        <v>0.451</v>
      </c>
      <c r="BF497" s="14" t="n">
        <v>1.097</v>
      </c>
      <c r="BG497" s="14" t="n">
        <v>0.06</v>
      </c>
      <c r="BH497" s="14" t="n">
        <v>1</v>
      </c>
      <c r="BI497" s="14" t="n">
        <v>0.6889999999999999</v>
      </c>
      <c r="BJ497" s="14" t="n">
        <v>0.123</v>
      </c>
      <c r="BK497" s="14" t="n">
        <v>0.003</v>
      </c>
      <c r="BL497" s="14" t="n">
        <v>0.73</v>
      </c>
      <c r="BM497" s="14" t="n">
        <v>0.06</v>
      </c>
      <c r="BN497" s="14" t="n">
        <v>1</v>
      </c>
      <c r="BO497" s="14" t="n">
        <v>0</v>
      </c>
      <c r="BP497" s="14" t="n">
        <v>0</v>
      </c>
      <c r="BQ497" s="14" t="n">
        <v>0.232</v>
      </c>
      <c r="BR497" s="14" t="n">
        <v>0</v>
      </c>
      <c r="BS497" s="14" t="n">
        <v>0.833</v>
      </c>
      <c r="BT497" s="14" t="n">
        <v>0</v>
      </c>
      <c r="BU497" s="14" t="n">
        <v>0</v>
      </c>
      <c r="BV497" s="14" t="n">
        <v>0.128</v>
      </c>
      <c r="BW497" s="14" t="n">
        <v>0</v>
      </c>
      <c r="BX497" s="14" t="n">
        <v>0.833</v>
      </c>
      <c r="BY497" s="14" t="n">
        <v>12.729</v>
      </c>
      <c r="BZ497" s="14" t="n">
        <v>0</v>
      </c>
      <c r="CA497" s="14" t="n">
        <v>12.729</v>
      </c>
      <c r="CB497" s="14" t="n">
        <v>0</v>
      </c>
      <c r="CC497" s="14" t="n">
        <v>102.477</v>
      </c>
      <c r="CD497" s="14" t="n">
        <v>7.95</v>
      </c>
      <c r="CE497" s="14" t="n">
        <v>0.455</v>
      </c>
      <c r="CF497" s="14" t="n">
        <v>108.625</v>
      </c>
      <c r="CG497" s="14" t="n">
        <v>0.06</v>
      </c>
      <c r="CH497" s="14" t="n">
        <v>1</v>
      </c>
      <c r="CI497" s="14" t="n">
        <v>0</v>
      </c>
      <c r="CJ497" s="14" t="n">
        <v>0</v>
      </c>
      <c r="CK497" s="14" t="n">
        <v>0</v>
      </c>
      <c r="CL497" s="14" t="n">
        <v>0</v>
      </c>
      <c r="CM497" s="14" t="n">
        <v>0</v>
      </c>
      <c r="CN497" s="14" t="n">
        <v>0</v>
      </c>
      <c r="CO497" s="14" t="n">
        <v>0</v>
      </c>
      <c r="CP497" s="14" t="n">
        <v>0</v>
      </c>
      <c r="CQ497" s="14" t="n">
        <v>1.294</v>
      </c>
      <c r="CR497" s="14" t="n">
        <v>0</v>
      </c>
      <c r="CS497" s="14" t="n">
        <v>5.158</v>
      </c>
      <c r="CT497" s="14" t="n">
        <v>7.554</v>
      </c>
      <c r="CU497" s="14" t="n">
        <v>30.149</v>
      </c>
    </row>
    <row r="498">
      <c r="A498" s="14" t="inlineStr">
        <is>
          <t>MDV2023</t>
        </is>
      </c>
      <c r="B498" s="14" t="inlineStr">
        <is>
          <t>MDV</t>
        </is>
      </c>
      <c r="C498" s="14" t="inlineStr">
        <is>
          <t>MDV</t>
        </is>
      </c>
      <c r="D498" s="14" t="inlineStr">
        <is>
          <t>Maldives</t>
        </is>
      </c>
      <c r="E498" s="14" t="n">
        <v>2023</v>
      </c>
      <c r="F498" s="14" t="n">
        <v>0.06</v>
      </c>
      <c r="G498" s="14" t="n">
        <v>5.77</v>
      </c>
      <c r="H498" s="14" t="n">
        <v>1.286</v>
      </c>
      <c r="I498" s="14" t="n">
        <v>0</v>
      </c>
      <c r="J498" s="14" t="n">
        <v>5.77</v>
      </c>
      <c r="K498" s="14" t="n">
        <v>0</v>
      </c>
      <c r="L498" s="14" t="n">
        <v>1</v>
      </c>
      <c r="M498" s="14" t="n">
        <v>7.886</v>
      </c>
      <c r="N498" s="14" t="n">
        <v>3.857</v>
      </c>
      <c r="O498" s="14" t="n">
        <v>0</v>
      </c>
      <c r="P498" s="14" t="n">
        <v>7.886</v>
      </c>
      <c r="Q498" s="14" t="n">
        <v>0</v>
      </c>
      <c r="R498" s="14" t="n">
        <v>1</v>
      </c>
      <c r="S498" s="14" t="n">
        <v>12.198</v>
      </c>
      <c r="T498" s="14" t="n">
        <v>7.714</v>
      </c>
      <c r="U498" s="14" t="n">
        <v>0.081</v>
      </c>
      <c r="V498" s="14" t="n">
        <v>12.93</v>
      </c>
      <c r="W498" s="14" t="n">
        <v>0.06</v>
      </c>
      <c r="X498" s="14" t="n">
        <v>1</v>
      </c>
      <c r="Y498" s="14" t="n">
        <v>13.678</v>
      </c>
      <c r="Z498" s="14" t="n">
        <v>1.597</v>
      </c>
      <c r="AA498" s="14" t="n">
        <v>0</v>
      </c>
      <c r="AB498" s="14" t="n">
        <v>13.678</v>
      </c>
      <c r="AC498" s="14" t="n">
        <v>0</v>
      </c>
      <c r="AD498" s="14" t="n">
        <v>1</v>
      </c>
      <c r="AE498" s="14" t="n">
        <v>14.963</v>
      </c>
      <c r="AF498" s="14" t="n">
        <v>3.094</v>
      </c>
      <c r="AG498" s="14" t="n">
        <v>0</v>
      </c>
      <c r="AH498" s="14" t="n">
        <v>14.963</v>
      </c>
      <c r="AI498" s="14" t="n">
        <v>0</v>
      </c>
      <c r="AJ498" s="14" t="n">
        <v>1</v>
      </c>
      <c r="AK498" s="14" t="n">
        <v>22.677</v>
      </c>
      <c r="AL498" s="14" t="n">
        <v>11.302</v>
      </c>
      <c r="AM498" s="14" t="n">
        <v>0.151</v>
      </c>
      <c r="AN498" s="14" t="n">
        <v>24.038</v>
      </c>
      <c r="AO498" s="14" t="n">
        <v>0.06</v>
      </c>
      <c r="AP498" s="14" t="n">
        <v>1</v>
      </c>
      <c r="AQ498" s="14" t="n">
        <v>0.749</v>
      </c>
      <c r="AR498" s="14" t="n">
        <v>0.129</v>
      </c>
      <c r="AS498" s="14" t="n">
        <v>0.144</v>
      </c>
      <c r="AT498" s="14" t="n">
        <v>0.892</v>
      </c>
      <c r="AU498" s="14" t="n">
        <v>0</v>
      </c>
      <c r="AV498" s="14" t="n">
        <v>1</v>
      </c>
      <c r="AW498" s="14" t="n">
        <v>0.783</v>
      </c>
      <c r="AX498" s="14" t="n">
        <v>0.129</v>
      </c>
      <c r="AY498" s="14" t="n">
        <v>0.24</v>
      </c>
      <c r="AZ498" s="14" t="n">
        <v>1.022</v>
      </c>
      <c r="BA498" s="14" t="n">
        <v>0</v>
      </c>
      <c r="BB498" s="14" t="n">
        <v>1</v>
      </c>
      <c r="BC498" s="14" t="n">
        <v>0.527</v>
      </c>
      <c r="BD498" s="14" t="n">
        <v>0.129</v>
      </c>
      <c r="BE498" s="14" t="n">
        <v>0.476</v>
      </c>
      <c r="BF498" s="14" t="n">
        <v>1.057</v>
      </c>
      <c r="BG498" s="14" t="n">
        <v>0.06</v>
      </c>
      <c r="BH498" s="14" t="n">
        <v>1</v>
      </c>
      <c r="BI498" s="14" t="n">
        <v>0.64</v>
      </c>
      <c r="BJ498" s="14" t="n">
        <v>0.129</v>
      </c>
      <c r="BK498" s="14" t="n">
        <v>0.004</v>
      </c>
      <c r="BL498" s="14" t="n">
        <v>0.678</v>
      </c>
      <c r="BM498" s="14" t="n">
        <v>0.06</v>
      </c>
      <c r="BN498" s="14" t="n">
        <v>1</v>
      </c>
      <c r="BO498" s="14" t="n">
        <v>0</v>
      </c>
      <c r="BP498" s="14" t="n">
        <v>0</v>
      </c>
      <c r="BQ498" s="14" t="n">
        <v>0.242</v>
      </c>
      <c r="BR498" s="14" t="n">
        <v>0</v>
      </c>
      <c r="BS498" s="14" t="n">
        <v>0.833</v>
      </c>
      <c r="BT498" s="14" t="n">
        <v>0</v>
      </c>
      <c r="BU498" s="14" t="n">
        <v>0</v>
      </c>
      <c r="BV498" s="14" t="n">
        <v>0.101</v>
      </c>
      <c r="BW498" s="14" t="n">
        <v>0</v>
      </c>
      <c r="BX498" s="14" t="n">
        <v>0.833</v>
      </c>
      <c r="BY498" s="14" t="n">
        <v>13.254</v>
      </c>
      <c r="BZ498" s="14" t="n">
        <v>0</v>
      </c>
      <c r="CA498" s="14" t="n">
        <v>13.254</v>
      </c>
      <c r="CB498" s="14" t="n">
        <v>0</v>
      </c>
      <c r="CC498" s="14" t="n">
        <v>87.07899999999999</v>
      </c>
      <c r="CD498" s="14" t="n">
        <v>7.95</v>
      </c>
      <c r="CE498" s="14" t="n">
        <v>0.578</v>
      </c>
      <c r="CF498" s="14" t="n">
        <v>92.304</v>
      </c>
      <c r="CG498" s="14" t="n">
        <v>0.06</v>
      </c>
      <c r="CH498" s="14" t="n">
        <v>1</v>
      </c>
      <c r="CI498" s="14" t="n">
        <v>0</v>
      </c>
      <c r="CJ498" s="14" t="n">
        <v>0</v>
      </c>
      <c r="CK498" s="14" t="n">
        <v>0</v>
      </c>
      <c r="CL498" s="14" t="n">
        <v>0</v>
      </c>
      <c r="CM498" s="14" t="n">
        <v>0</v>
      </c>
      <c r="CN498" s="14" t="n">
        <v>0</v>
      </c>
      <c r="CO498" s="14" t="n">
        <v>0</v>
      </c>
      <c r="CP498" s="14" t="n">
        <v>0</v>
      </c>
      <c r="CQ498" s="14" t="n">
        <v>1.348</v>
      </c>
      <c r="CR498" s="14" t="n">
        <v>0</v>
      </c>
      <c r="CS498" s="14" t="n">
        <v>5.37</v>
      </c>
      <c r="CT498" s="14" t="n">
        <v>4.484</v>
      </c>
      <c r="CU498" s="14" t="n">
        <v>12.392</v>
      </c>
    </row>
    <row r="499">
      <c r="A499" s="14" t="inlineStr">
        <is>
          <t>MDV2024</t>
        </is>
      </c>
      <c r="B499" s="14" t="inlineStr">
        <is>
          <t>MDV</t>
        </is>
      </c>
      <c r="C499" s="14" t="inlineStr">
        <is>
          <t>MDV</t>
        </is>
      </c>
      <c r="D499" s="14" t="inlineStr">
        <is>
          <t>Maldives</t>
        </is>
      </c>
      <c r="E499" s="14" t="n">
        <v>2024</v>
      </c>
      <c r="F499" s="14" t="n">
        <v>0.06</v>
      </c>
      <c r="G499" s="14" t="n">
        <v>4.833</v>
      </c>
      <c r="H499" s="14" t="n">
        <v>1.324</v>
      </c>
      <c r="I499" s="14" t="n">
        <v>0</v>
      </c>
      <c r="J499" s="14" t="n">
        <v>4.833</v>
      </c>
      <c r="K499" s="14" t="n">
        <v>0</v>
      </c>
      <c r="L499" s="14" t="n">
        <v>1</v>
      </c>
      <c r="M499" s="14" t="n">
        <v>7.124</v>
      </c>
      <c r="N499" s="14" t="n">
        <v>3.971</v>
      </c>
      <c r="O499" s="14" t="n">
        <v>0</v>
      </c>
      <c r="P499" s="14" t="n">
        <v>7.124</v>
      </c>
      <c r="Q499" s="14" t="n">
        <v>0</v>
      </c>
      <c r="R499" s="14" t="n">
        <v>1</v>
      </c>
      <c r="S499" s="14" t="n">
        <v>11.451</v>
      </c>
      <c r="T499" s="14" t="n">
        <v>7.942</v>
      </c>
      <c r="U499" s="14" t="n">
        <v>0.094</v>
      </c>
      <c r="V499" s="14" t="n">
        <v>12.138</v>
      </c>
      <c r="W499" s="14" t="n">
        <v>0.06</v>
      </c>
      <c r="X499" s="14" t="n">
        <v>1</v>
      </c>
      <c r="Y499" s="14" t="n">
        <v>12.116</v>
      </c>
      <c r="Z499" s="14" t="n">
        <v>1.415</v>
      </c>
      <c r="AA499" s="14" t="n">
        <v>0</v>
      </c>
      <c r="AB499" s="14" t="n">
        <v>12.116</v>
      </c>
      <c r="AC499" s="14" t="n">
        <v>0</v>
      </c>
      <c r="AD499" s="14" t="n">
        <v>1</v>
      </c>
      <c r="AE499" s="14" t="n">
        <v>13.439</v>
      </c>
      <c r="AF499" s="14" t="n">
        <v>2.779</v>
      </c>
      <c r="AG499" s="14" t="n">
        <v>0</v>
      </c>
      <c r="AH499" s="14" t="n">
        <v>13.439</v>
      </c>
      <c r="AI499" s="14" t="n">
        <v>0</v>
      </c>
      <c r="AJ499" s="14" t="n">
        <v>1</v>
      </c>
      <c r="AK499" s="14" t="n">
        <v>21.381</v>
      </c>
      <c r="AL499" s="14" t="n">
        <v>10.656</v>
      </c>
      <c r="AM499" s="14" t="n">
        <v>0.175</v>
      </c>
      <c r="AN499" s="14" t="n">
        <v>22.664</v>
      </c>
      <c r="AO499" s="14" t="n">
        <v>0.06</v>
      </c>
      <c r="AP499" s="14" t="n">
        <v>1</v>
      </c>
      <c r="AQ499" s="14" t="n">
        <v>0.72</v>
      </c>
      <c r="AR499" s="14" t="n">
        <v>0.132</v>
      </c>
      <c r="AS499" s="14" t="n">
        <v>0.148</v>
      </c>
      <c r="AT499" s="14" t="n">
        <v>0.868</v>
      </c>
      <c r="AU499" s="14" t="n">
        <v>0</v>
      </c>
      <c r="AV499" s="14" t="n">
        <v>1</v>
      </c>
      <c r="AW499" s="14" t="n">
        <v>0.734</v>
      </c>
      <c r="AX499" s="14" t="n">
        <v>0.132</v>
      </c>
      <c r="AY499" s="14" t="n">
        <v>0.201</v>
      </c>
      <c r="AZ499" s="14" t="n">
        <v>0.9350000000000001</v>
      </c>
      <c r="BA499" s="14" t="n">
        <v>0</v>
      </c>
      <c r="BB499" s="14" t="n">
        <v>1</v>
      </c>
      <c r="BC499" s="14" t="n">
        <v>0.51</v>
      </c>
      <c r="BD499" s="14" t="n">
        <v>0.132</v>
      </c>
      <c r="BE499" s="14" t="n">
        <v>0.493</v>
      </c>
      <c r="BF499" s="14" t="n">
        <v>1.055</v>
      </c>
      <c r="BG499" s="14" t="n">
        <v>0.06</v>
      </c>
      <c r="BH499" s="14" t="n">
        <v>1</v>
      </c>
      <c r="BI499" s="14" t="n">
        <v>0.652</v>
      </c>
      <c r="BJ499" s="14" t="n">
        <v>0.132</v>
      </c>
      <c r="BK499" s="14" t="n">
        <v>0.005</v>
      </c>
      <c r="BL499" s="14" t="n">
        <v>0.6909999999999999</v>
      </c>
      <c r="BM499" s="14" t="n">
        <v>0.06</v>
      </c>
      <c r="BN499" s="14" t="n">
        <v>1</v>
      </c>
      <c r="BO499" s="14" t="n">
        <v>0</v>
      </c>
      <c r="BP499" s="14" t="n">
        <v>0</v>
      </c>
      <c r="BQ499" s="14" t="n">
        <v>0.249</v>
      </c>
      <c r="BR499" s="14" t="n">
        <v>0</v>
      </c>
      <c r="BS499" s="14" t="n">
        <v>0.833</v>
      </c>
      <c r="BT499" s="14" t="n">
        <v>0</v>
      </c>
      <c r="BU499" s="14" t="n">
        <v>0</v>
      </c>
      <c r="BV499" s="14" t="n">
        <v>0.106</v>
      </c>
      <c r="BW499" s="14" t="n">
        <v>0</v>
      </c>
      <c r="BX499" s="14" t="n">
        <v>0.833</v>
      </c>
      <c r="BY499" s="14" t="n">
        <v>13.646</v>
      </c>
      <c r="BZ499" s="14" t="n">
        <v>0</v>
      </c>
      <c r="CA499" s="14" t="n">
        <v>13.646</v>
      </c>
      <c r="CB499" s="14" t="n">
        <v>0</v>
      </c>
      <c r="CC499" s="14" t="n">
        <v>86.38500000000001</v>
      </c>
      <c r="CD499" s="14" t="n">
        <v>7.95</v>
      </c>
      <c r="CE499" s="14" t="n">
        <v>0.706</v>
      </c>
      <c r="CF499" s="14" t="n">
        <v>91.569</v>
      </c>
      <c r="CG499" s="14" t="n">
        <v>0.06</v>
      </c>
      <c r="CH499" s="14" t="n">
        <v>1</v>
      </c>
      <c r="CI499" s="14" t="n">
        <v>0</v>
      </c>
      <c r="CJ499" s="14" t="n">
        <v>0</v>
      </c>
      <c r="CK499" s="14" t="n">
        <v>0</v>
      </c>
      <c r="CL499" s="14" t="n">
        <v>0</v>
      </c>
      <c r="CM499" s="14" t="n">
        <v>0</v>
      </c>
      <c r="CN499" s="14" t="n">
        <v>0</v>
      </c>
      <c r="CO499" s="14" t="n">
        <v>0</v>
      </c>
      <c r="CP499" s="14" t="n">
        <v>0</v>
      </c>
      <c r="CQ499" s="14" t="n">
        <v>1.387</v>
      </c>
      <c r="CR499" s="14" t="n">
        <v>0</v>
      </c>
      <c r="CS499" s="14" t="n">
        <v>5.529</v>
      </c>
      <c r="CT499" s="14" t="n">
        <v>3.509</v>
      </c>
      <c r="CU499" s="14" t="n">
        <v>10.792</v>
      </c>
    </row>
    <row r="500">
      <c r="A500" s="14" t="inlineStr">
        <is>
          <t>MLI2021</t>
        </is>
      </c>
      <c r="B500" s="14" t="inlineStr">
        <is>
          <t>MLI</t>
        </is>
      </c>
      <c r="C500" s="14" t="inlineStr">
        <is>
          <t>MLI</t>
        </is>
      </c>
      <c r="D500" s="14" t="inlineStr">
        <is>
          <t>Mali</t>
        </is>
      </c>
      <c r="E500" s="14" t="n">
        <v>2021</v>
      </c>
      <c r="F500" s="14" t="n">
        <v>0.18</v>
      </c>
      <c r="G500" s="14" t="n">
        <v>5.659</v>
      </c>
      <c r="H500" s="14" t="n">
        <v>1.238</v>
      </c>
      <c r="I500" s="14" t="n">
        <v>0.238</v>
      </c>
      <c r="J500" s="14" t="n">
        <v>5.897</v>
      </c>
      <c r="K500" s="14" t="n">
        <v>0</v>
      </c>
      <c r="L500" s="14" t="n">
        <v>1</v>
      </c>
      <c r="M500" s="14" t="n">
        <v>7.737</v>
      </c>
      <c r="N500" s="14" t="n">
        <v>3.507</v>
      </c>
      <c r="O500" s="14" t="n">
        <v>0.227</v>
      </c>
      <c r="P500" s="14" t="n">
        <v>7.964</v>
      </c>
      <c r="Q500" s="14" t="n">
        <v>0</v>
      </c>
      <c r="R500" s="14" t="n">
        <v>1</v>
      </c>
      <c r="S500" s="14" t="n">
        <v>11.613</v>
      </c>
      <c r="T500" s="14" t="n">
        <v>6.86</v>
      </c>
      <c r="U500" s="14" t="n">
        <v>-8.686999999999999</v>
      </c>
      <c r="V500" s="14" t="n">
        <v>2.926</v>
      </c>
      <c r="W500" s="14" t="n">
        <v>0</v>
      </c>
      <c r="X500" s="14" t="n">
        <v>0</v>
      </c>
      <c r="Y500" s="14" t="n">
        <v>16.305</v>
      </c>
      <c r="Z500" s="14" t="n">
        <v>2.204</v>
      </c>
      <c r="AA500" s="14" t="n">
        <v>0</v>
      </c>
      <c r="AB500" s="14" t="n">
        <v>16.305</v>
      </c>
      <c r="AC500" s="14" t="n">
        <v>0</v>
      </c>
      <c r="AD500" s="14" t="n">
        <v>1</v>
      </c>
      <c r="AE500" s="14" t="n">
        <v>17.449</v>
      </c>
      <c r="AF500" s="14" t="n">
        <v>4.08</v>
      </c>
      <c r="AG500" s="14" t="n">
        <v>0</v>
      </c>
      <c r="AH500" s="14" t="n">
        <v>17.449</v>
      </c>
      <c r="AI500" s="14" t="n">
        <v>0</v>
      </c>
      <c r="AJ500" s="14" t="n">
        <v>1</v>
      </c>
      <c r="AK500" s="14" t="n">
        <v>24.309</v>
      </c>
      <c r="AL500" s="14" t="n">
        <v>12.947</v>
      </c>
      <c r="AM500" s="14" t="n">
        <v>0</v>
      </c>
      <c r="AN500" s="14" t="n">
        <v>28.684</v>
      </c>
      <c r="AO500" s="14" t="n">
        <v>0.18</v>
      </c>
      <c r="AP500" s="14" t="n">
        <v>1</v>
      </c>
      <c r="AQ500" s="14" t="n">
        <v>0.579</v>
      </c>
      <c r="AR500" s="14" t="n">
        <v>0.106</v>
      </c>
      <c r="AS500" s="14" t="n">
        <v>0.479</v>
      </c>
      <c r="AT500" s="14" t="n">
        <v>1.248</v>
      </c>
      <c r="AU500" s="14" t="n">
        <v>0.18</v>
      </c>
      <c r="AV500" s="14" t="n">
        <v>1</v>
      </c>
      <c r="AW500" s="14" t="n">
        <v>0.551</v>
      </c>
      <c r="AX500" s="14" t="n">
        <v>0.106</v>
      </c>
      <c r="AY500" s="14" t="n">
        <v>0.364</v>
      </c>
      <c r="AZ500" s="14" t="n">
        <v>1.079</v>
      </c>
      <c r="BA500" s="14" t="n">
        <v>0.18</v>
      </c>
      <c r="BB500" s="14" t="n">
        <v>1</v>
      </c>
      <c r="BC500" s="14" t="n">
        <v>0.424</v>
      </c>
      <c r="BD500" s="14" t="n">
        <v>0.109</v>
      </c>
      <c r="BE500" s="14" t="n">
        <v>0.016</v>
      </c>
      <c r="BF500" s="14" t="n">
        <v>0.519</v>
      </c>
      <c r="BG500" s="14" t="n">
        <v>0.18</v>
      </c>
      <c r="BH500" s="14" t="n">
        <v>1</v>
      </c>
      <c r="BI500" s="14" t="n">
        <v>0.473</v>
      </c>
      <c r="BJ500" s="14" t="n">
        <v>0.105</v>
      </c>
      <c r="BK500" s="14" t="n">
        <v>0.884</v>
      </c>
      <c r="BL500" s="14" t="n">
        <v>1.601</v>
      </c>
      <c r="BM500" s="14" t="n">
        <v>0.18</v>
      </c>
      <c r="BN500" s="14" t="n">
        <v>1</v>
      </c>
      <c r="BO500" s="14" t="n">
        <v>0</v>
      </c>
      <c r="BP500" s="14" t="n">
        <v>0</v>
      </c>
      <c r="BQ500" s="14" t="n">
        <v>0.183</v>
      </c>
      <c r="BR500" s="14" t="n">
        <v>0</v>
      </c>
      <c r="BS500" s="14" t="n">
        <v>1</v>
      </c>
      <c r="BT500" s="14" t="n">
        <v>0</v>
      </c>
      <c r="BU500" s="14" t="n">
        <v>0</v>
      </c>
      <c r="BV500" s="14" t="n">
        <v>0.214</v>
      </c>
      <c r="BW500" s="14" t="n">
        <v>0.18</v>
      </c>
      <c r="BX500" s="14" t="n">
        <v>0.833</v>
      </c>
      <c r="BY500" s="14" t="n">
        <v>11.787</v>
      </c>
      <c r="BZ500" s="14" t="n">
        <v>0</v>
      </c>
      <c r="CA500" s="14" t="n">
        <v>11.787</v>
      </c>
      <c r="CB500" s="14" t="n">
        <v>0</v>
      </c>
      <c r="CC500" s="14" t="n">
        <v>72.456</v>
      </c>
      <c r="CD500" s="14" t="n">
        <v>2.281</v>
      </c>
      <c r="CE500" s="14" t="n">
        <v>143.319</v>
      </c>
      <c r="CF500" s="14" t="n">
        <v>254.615</v>
      </c>
      <c r="CG500" s="14" t="n">
        <v>0.18</v>
      </c>
      <c r="CH500" s="14" t="n">
        <v>1</v>
      </c>
      <c r="CI500" s="14" t="n">
        <v>0</v>
      </c>
      <c r="CJ500" s="14" t="n">
        <v>0</v>
      </c>
      <c r="CK500" s="14" t="n">
        <v>0</v>
      </c>
      <c r="CL500" s="14" t="n">
        <v>0</v>
      </c>
      <c r="CM500" s="14" t="n">
        <v>0.109</v>
      </c>
      <c r="CN500" s="14" t="n">
        <v>0</v>
      </c>
      <c r="CO500" s="14" t="n">
        <v>0</v>
      </c>
      <c r="CP500" s="14" t="n">
        <v>0</v>
      </c>
      <c r="CQ500" s="14" t="n">
        <v>1.198</v>
      </c>
      <c r="CR500" s="14" t="n">
        <v>0</v>
      </c>
      <c r="CS500" s="14" t="n">
        <v>4.776</v>
      </c>
      <c r="CT500" s="14" t="n">
        <v>4.753</v>
      </c>
      <c r="CU500" s="14" t="n">
        <v>15.162</v>
      </c>
    </row>
    <row r="501">
      <c r="A501" s="14" t="inlineStr">
        <is>
          <t>MLI2022</t>
        </is>
      </c>
      <c r="B501" s="14" t="inlineStr">
        <is>
          <t>MLI</t>
        </is>
      </c>
      <c r="C501" s="14" t="inlineStr">
        <is>
          <t>MLI</t>
        </is>
      </c>
      <c r="D501" s="14" t="inlineStr">
        <is>
          <t>Mali</t>
        </is>
      </c>
      <c r="E501" s="14" t="n">
        <v>2022</v>
      </c>
      <c r="F501" s="14" t="n">
        <v>0.18</v>
      </c>
      <c r="G501" s="14" t="n">
        <v>11.196</v>
      </c>
      <c r="H501" s="14" t="n">
        <v>1.739</v>
      </c>
      <c r="I501" s="14" t="n">
        <v>0.524</v>
      </c>
      <c r="J501" s="14" t="n">
        <v>11.72</v>
      </c>
      <c r="K501" s="14" t="n">
        <v>0</v>
      </c>
      <c r="L501" s="14" t="n">
        <v>1</v>
      </c>
      <c r="M501" s="14" t="n">
        <v>9.478999999999999</v>
      </c>
      <c r="N501" s="14" t="n">
        <v>3.914</v>
      </c>
      <c r="O501" s="14" t="n">
        <v>0.304</v>
      </c>
      <c r="P501" s="14" t="n">
        <v>9.782999999999999</v>
      </c>
      <c r="Q501" s="14" t="n">
        <v>0</v>
      </c>
      <c r="R501" s="14" t="n">
        <v>1</v>
      </c>
      <c r="S501" s="14" t="n">
        <v>17.893</v>
      </c>
      <c r="T501" s="14" t="n">
        <v>7.408</v>
      </c>
      <c r="U501" s="14" t="n">
        <v>-14.799</v>
      </c>
      <c r="V501" s="14" t="n">
        <v>3.094</v>
      </c>
      <c r="W501" s="14" t="n">
        <v>0</v>
      </c>
      <c r="X501" s="14" t="n">
        <v>0</v>
      </c>
      <c r="Y501" s="14" t="n">
        <v>32.56</v>
      </c>
      <c r="Z501" s="14" t="n">
        <v>4.401</v>
      </c>
      <c r="AA501" s="14" t="n">
        <v>0</v>
      </c>
      <c r="AB501" s="14" t="n">
        <v>32.56</v>
      </c>
      <c r="AC501" s="14" t="n">
        <v>0</v>
      </c>
      <c r="AD501" s="14" t="n">
        <v>1</v>
      </c>
      <c r="AE501" s="14" t="n">
        <v>33.795</v>
      </c>
      <c r="AF501" s="14" t="n">
        <v>7.902</v>
      </c>
      <c r="AG501" s="14" t="n">
        <v>0</v>
      </c>
      <c r="AH501" s="14" t="n">
        <v>33.795</v>
      </c>
      <c r="AI501" s="14" t="n">
        <v>0</v>
      </c>
      <c r="AJ501" s="14" t="n">
        <v>1</v>
      </c>
      <c r="AK501" s="14" t="n">
        <v>41.203</v>
      </c>
      <c r="AL501" s="14" t="n">
        <v>21.945</v>
      </c>
      <c r="AM501" s="14" t="n">
        <v>0</v>
      </c>
      <c r="AN501" s="14" t="n">
        <v>48.62</v>
      </c>
      <c r="AO501" s="14" t="n">
        <v>0.18</v>
      </c>
      <c r="AP501" s="14" t="n">
        <v>1</v>
      </c>
      <c r="AQ501" s="14" t="n">
        <v>0.804</v>
      </c>
      <c r="AR501" s="14" t="n">
        <v>0.115</v>
      </c>
      <c r="AS501" s="14" t="n">
        <v>0.127</v>
      </c>
      <c r="AT501" s="14" t="n">
        <v>1.098</v>
      </c>
      <c r="AU501" s="14" t="n">
        <v>0.18</v>
      </c>
      <c r="AV501" s="14" t="n">
        <v>1</v>
      </c>
      <c r="AW501" s="14" t="n">
        <v>0.9</v>
      </c>
      <c r="AX501" s="14" t="n">
        <v>0.117</v>
      </c>
      <c r="AY501" s="14" t="n">
        <v>-0.091</v>
      </c>
      <c r="AZ501" s="14" t="n">
        <v>0.955</v>
      </c>
      <c r="BA501" s="14" t="n">
        <v>0.18</v>
      </c>
      <c r="BB501" s="14" t="n">
        <v>1</v>
      </c>
      <c r="BC501" s="14" t="n">
        <v>0.5669999999999999</v>
      </c>
      <c r="BD501" s="14" t="n">
        <v>0.117</v>
      </c>
      <c r="BE501" s="14" t="n">
        <v>0.032</v>
      </c>
      <c r="BF501" s="14" t="n">
        <v>0.707</v>
      </c>
      <c r="BG501" s="14" t="n">
        <v>0.18</v>
      </c>
      <c r="BH501" s="14" t="n">
        <v>1</v>
      </c>
      <c r="BI501" s="14" t="n">
        <v>0.573</v>
      </c>
      <c r="BJ501" s="14" t="n">
        <v>0.112</v>
      </c>
      <c r="BK501" s="14" t="n">
        <v>0.649</v>
      </c>
      <c r="BL501" s="14" t="n">
        <v>1.443</v>
      </c>
      <c r="BM501" s="14" t="n">
        <v>0.18</v>
      </c>
      <c r="BN501" s="14" t="n">
        <v>1</v>
      </c>
      <c r="BO501" s="14" t="n">
        <v>0</v>
      </c>
      <c r="BP501" s="14" t="n">
        <v>0</v>
      </c>
      <c r="BQ501" s="14" t="n">
        <v>0.177</v>
      </c>
      <c r="BR501" s="14" t="n">
        <v>0</v>
      </c>
      <c r="BS501" s="14" t="n">
        <v>1</v>
      </c>
      <c r="BT501" s="14" t="n">
        <v>0</v>
      </c>
      <c r="BU501" s="14" t="n">
        <v>0</v>
      </c>
      <c r="BV501" s="14" t="n">
        <v>0.215</v>
      </c>
      <c r="BW501" s="14" t="n">
        <v>0.18</v>
      </c>
      <c r="BX501" s="14" t="n">
        <v>0.833</v>
      </c>
      <c r="BY501" s="14" t="n">
        <v>12.729</v>
      </c>
      <c r="BZ501" s="14" t="n">
        <v>0</v>
      </c>
      <c r="CA501" s="14" t="n">
        <v>12.729</v>
      </c>
      <c r="CB501" s="14" t="n">
        <v>0</v>
      </c>
      <c r="CC501" s="14" t="n">
        <v>90.634</v>
      </c>
      <c r="CD501" s="14" t="n">
        <v>0.6840000000000001</v>
      </c>
      <c r="CE501" s="14" t="n">
        <v>103.785</v>
      </c>
      <c r="CF501" s="14" t="n">
        <v>229.415</v>
      </c>
      <c r="CG501" s="14" t="n">
        <v>0.18</v>
      </c>
      <c r="CH501" s="14" t="n">
        <v>1</v>
      </c>
      <c r="CI501" s="14" t="n">
        <v>0</v>
      </c>
      <c r="CJ501" s="14" t="n">
        <v>0</v>
      </c>
      <c r="CK501" s="14" t="n">
        <v>0</v>
      </c>
      <c r="CL501" s="14" t="n">
        <v>0</v>
      </c>
      <c r="CM501" s="14" t="n">
        <v>0.042</v>
      </c>
      <c r="CN501" s="14" t="n">
        <v>0</v>
      </c>
      <c r="CO501" s="14" t="n">
        <v>0</v>
      </c>
      <c r="CP501" s="14" t="n">
        <v>0</v>
      </c>
      <c r="CQ501" s="14" t="n">
        <v>1.294</v>
      </c>
      <c r="CR501" s="14" t="n">
        <v>0</v>
      </c>
      <c r="CS501" s="14" t="n">
        <v>5.158</v>
      </c>
      <c r="CT501" s="14" t="n">
        <v>10.485</v>
      </c>
      <c r="CU501" s="14" t="n">
        <v>31.326</v>
      </c>
    </row>
    <row r="502">
      <c r="A502" s="14" t="inlineStr">
        <is>
          <t>MLI2023</t>
        </is>
      </c>
      <c r="B502" s="14" t="inlineStr">
        <is>
          <t>MLI</t>
        </is>
      </c>
      <c r="C502" s="14" t="inlineStr">
        <is>
          <t>MLI</t>
        </is>
      </c>
      <c r="D502" s="14" t="inlineStr">
        <is>
          <t>Mali</t>
        </is>
      </c>
      <c r="E502" s="14" t="n">
        <v>2023</v>
      </c>
      <c r="F502" s="14" t="n">
        <v>0.18</v>
      </c>
      <c r="G502" s="14" t="n">
        <v>5.904</v>
      </c>
      <c r="H502" s="14" t="n">
        <v>1.345</v>
      </c>
      <c r="I502" s="14" t="n">
        <v>0.243</v>
      </c>
      <c r="J502" s="14" t="n">
        <v>6.147</v>
      </c>
      <c r="K502" s="14" t="n">
        <v>0</v>
      </c>
      <c r="L502" s="14" t="n">
        <v>1</v>
      </c>
      <c r="M502" s="14" t="n">
        <v>7.685</v>
      </c>
      <c r="N502" s="14" t="n">
        <v>3.811</v>
      </c>
      <c r="O502" s="14" t="n">
        <v>0.201</v>
      </c>
      <c r="P502" s="14" t="n">
        <v>7.886</v>
      </c>
      <c r="Q502" s="14" t="n">
        <v>0</v>
      </c>
      <c r="R502" s="14" t="n">
        <v>1</v>
      </c>
      <c r="S502" s="14" t="n">
        <v>12.575</v>
      </c>
      <c r="T502" s="14" t="n">
        <v>7.714</v>
      </c>
      <c r="U502" s="14" t="n">
        <v>-8.887</v>
      </c>
      <c r="V502" s="14" t="n">
        <v>3.688</v>
      </c>
      <c r="W502" s="14" t="n">
        <v>0</v>
      </c>
      <c r="X502" s="14" t="n">
        <v>0</v>
      </c>
      <c r="Y502" s="14" t="n">
        <v>12.908</v>
      </c>
      <c r="Z502" s="14" t="n">
        <v>1.745</v>
      </c>
      <c r="AA502" s="14" t="n">
        <v>0</v>
      </c>
      <c r="AB502" s="14" t="n">
        <v>12.908</v>
      </c>
      <c r="AC502" s="14" t="n">
        <v>0</v>
      </c>
      <c r="AD502" s="14" t="n">
        <v>1</v>
      </c>
      <c r="AE502" s="14" t="n">
        <v>14.194</v>
      </c>
      <c r="AF502" s="14" t="n">
        <v>3.319</v>
      </c>
      <c r="AG502" s="14" t="n">
        <v>0</v>
      </c>
      <c r="AH502" s="14" t="n">
        <v>14.194</v>
      </c>
      <c r="AI502" s="14" t="n">
        <v>0</v>
      </c>
      <c r="AJ502" s="14" t="n">
        <v>1</v>
      </c>
      <c r="AK502" s="14" t="n">
        <v>21.908</v>
      </c>
      <c r="AL502" s="14" t="n">
        <v>11.668</v>
      </c>
      <c r="AM502" s="14" t="n">
        <v>0</v>
      </c>
      <c r="AN502" s="14" t="n">
        <v>25.851</v>
      </c>
      <c r="AO502" s="14" t="n">
        <v>0.18</v>
      </c>
      <c r="AP502" s="14" t="n">
        <v>1</v>
      </c>
      <c r="AQ502" s="14" t="n">
        <v>0.71</v>
      </c>
      <c r="AR502" s="14" t="n">
        <v>0.12</v>
      </c>
      <c r="AS502" s="14" t="n">
        <v>0.529</v>
      </c>
      <c r="AT502" s="14" t="n">
        <v>1.462</v>
      </c>
      <c r="AU502" s="14" t="n">
        <v>0.18</v>
      </c>
      <c r="AV502" s="14" t="n">
        <v>1</v>
      </c>
      <c r="AW502" s="14" t="n">
        <v>0.743</v>
      </c>
      <c r="AX502" s="14" t="n">
        <v>0.127</v>
      </c>
      <c r="AY502" s="14" t="n">
        <v>0.44</v>
      </c>
      <c r="AZ502" s="14" t="n">
        <v>1.396</v>
      </c>
      <c r="BA502" s="14" t="n">
        <v>0.18</v>
      </c>
      <c r="BB502" s="14" t="n">
        <v>1</v>
      </c>
      <c r="BC502" s="14" t="n">
        <v>0.505</v>
      </c>
      <c r="BD502" s="14" t="n">
        <v>0.121</v>
      </c>
      <c r="BE502" s="14" t="n">
        <v>0.031</v>
      </c>
      <c r="BF502" s="14" t="n">
        <v>0.633</v>
      </c>
      <c r="BG502" s="14" t="n">
        <v>0.18</v>
      </c>
      <c r="BH502" s="14" t="n">
        <v>1</v>
      </c>
      <c r="BI502" s="14" t="n">
        <v>0.543</v>
      </c>
      <c r="BJ502" s="14" t="n">
        <v>0.118</v>
      </c>
      <c r="BK502" s="14" t="n">
        <v>0.544</v>
      </c>
      <c r="BL502" s="14" t="n">
        <v>1.283</v>
      </c>
      <c r="BM502" s="14" t="n">
        <v>0.18</v>
      </c>
      <c r="BN502" s="14" t="n">
        <v>1</v>
      </c>
      <c r="BO502" s="14" t="n">
        <v>0</v>
      </c>
      <c r="BP502" s="14" t="n">
        <v>0</v>
      </c>
      <c r="BQ502" s="14" t="n">
        <v>0.185</v>
      </c>
      <c r="BR502" s="14" t="n">
        <v>0</v>
      </c>
      <c r="BS502" s="14" t="n">
        <v>1</v>
      </c>
      <c r="BT502" s="14" t="n">
        <v>0</v>
      </c>
      <c r="BU502" s="14" t="n">
        <v>0</v>
      </c>
      <c r="BV502" s="14" t="n">
        <v>0.226</v>
      </c>
      <c r="BW502" s="14" t="n">
        <v>0.18</v>
      </c>
      <c r="BX502" s="14" t="n">
        <v>0.833</v>
      </c>
      <c r="BY502" s="14" t="n">
        <v>13.254</v>
      </c>
      <c r="BZ502" s="14" t="n">
        <v>0</v>
      </c>
      <c r="CA502" s="14" t="n">
        <v>13.254</v>
      </c>
      <c r="CB502" s="14" t="n">
        <v>0</v>
      </c>
      <c r="CC502" s="14" t="n">
        <v>77.166</v>
      </c>
      <c r="CD502" s="14" t="n">
        <v>1.868</v>
      </c>
      <c r="CE502" s="14" t="n">
        <v>95.66200000000001</v>
      </c>
      <c r="CF502" s="14" t="n">
        <v>203.937</v>
      </c>
      <c r="CG502" s="14" t="n">
        <v>0.18</v>
      </c>
      <c r="CH502" s="14" t="n">
        <v>1</v>
      </c>
      <c r="CI502" s="14" t="n">
        <v>0</v>
      </c>
      <c r="CJ502" s="14" t="n">
        <v>0</v>
      </c>
      <c r="CK502" s="14" t="n">
        <v>0</v>
      </c>
      <c r="CL502" s="14" t="n">
        <v>0</v>
      </c>
      <c r="CM502" s="14" t="n">
        <v>0.076</v>
      </c>
      <c r="CN502" s="14" t="n">
        <v>0</v>
      </c>
      <c r="CO502" s="14" t="n">
        <v>0</v>
      </c>
      <c r="CP502" s="14" t="n">
        <v>0</v>
      </c>
      <c r="CQ502" s="14" t="n">
        <v>1.348</v>
      </c>
      <c r="CR502" s="14" t="n">
        <v>0</v>
      </c>
      <c r="CS502" s="14" t="n">
        <v>5.37</v>
      </c>
      <c r="CT502" s="14" t="n">
        <v>4.861</v>
      </c>
      <c r="CU502" s="14" t="n">
        <v>11.622</v>
      </c>
    </row>
    <row r="503">
      <c r="A503" s="14" t="inlineStr">
        <is>
          <t>MLI2024</t>
        </is>
      </c>
      <c r="B503" s="14" t="inlineStr">
        <is>
          <t>MLI</t>
        </is>
      </c>
      <c r="C503" s="14" t="inlineStr">
        <is>
          <t>MLI</t>
        </is>
      </c>
      <c r="D503" s="14" t="inlineStr">
        <is>
          <t>Mali</t>
        </is>
      </c>
      <c r="E503" s="14" t="n">
        <v>2024</v>
      </c>
      <c r="F503" s="14" t="n">
        <v>0.18</v>
      </c>
      <c r="G503" s="14" t="n">
        <v>5.362</v>
      </c>
      <c r="H503" s="14" t="n">
        <v>1.358</v>
      </c>
      <c r="I503" s="14" t="n">
        <v>0.213</v>
      </c>
      <c r="J503" s="14" t="n">
        <v>5.575</v>
      </c>
      <c r="K503" s="14" t="n">
        <v>0</v>
      </c>
      <c r="L503" s="14" t="n">
        <v>1</v>
      </c>
      <c r="M503" s="14" t="n">
        <v>6.987</v>
      </c>
      <c r="N503" s="14" t="n">
        <v>3.806</v>
      </c>
      <c r="O503" s="14" t="n">
        <v>0.158</v>
      </c>
      <c r="P503" s="14" t="n">
        <v>7.145</v>
      </c>
      <c r="Q503" s="14" t="n">
        <v>0</v>
      </c>
      <c r="R503" s="14" t="n">
        <v>1</v>
      </c>
      <c r="S503" s="14" t="n">
        <v>12.193</v>
      </c>
      <c r="T503" s="14" t="n">
        <v>7.942</v>
      </c>
      <c r="U503" s="14" t="n">
        <v>-9.286</v>
      </c>
      <c r="V503" s="14" t="n">
        <v>2.907</v>
      </c>
      <c r="W503" s="14" t="n">
        <v>0</v>
      </c>
      <c r="X503" s="14" t="n">
        <v>0</v>
      </c>
      <c r="Y503" s="14" t="n">
        <v>11.492</v>
      </c>
      <c r="Z503" s="14" t="n">
        <v>1.553</v>
      </c>
      <c r="AA503" s="14" t="n">
        <v>0</v>
      </c>
      <c r="AB503" s="14" t="n">
        <v>11.492</v>
      </c>
      <c r="AC503" s="14" t="n">
        <v>0</v>
      </c>
      <c r="AD503" s="14" t="n">
        <v>1</v>
      </c>
      <c r="AE503" s="14" t="n">
        <v>12.815</v>
      </c>
      <c r="AF503" s="14" t="n">
        <v>2.997</v>
      </c>
      <c r="AG503" s="14" t="n">
        <v>0.001</v>
      </c>
      <c r="AH503" s="14" t="n">
        <v>12.816</v>
      </c>
      <c r="AI503" s="14" t="n">
        <v>0</v>
      </c>
      <c r="AJ503" s="14" t="n">
        <v>1</v>
      </c>
      <c r="AK503" s="14" t="n">
        <v>20.757</v>
      </c>
      <c r="AL503" s="14" t="n">
        <v>11.055</v>
      </c>
      <c r="AM503" s="14" t="n">
        <v>0.004</v>
      </c>
      <c r="AN503" s="14" t="n">
        <v>24.498</v>
      </c>
      <c r="AO503" s="14" t="n">
        <v>0.18</v>
      </c>
      <c r="AP503" s="14" t="n">
        <v>1</v>
      </c>
      <c r="AQ503" s="14" t="n">
        <v>0.678</v>
      </c>
      <c r="AR503" s="14" t="n">
        <v>0.123</v>
      </c>
      <c r="AS503" s="14" t="n">
        <v>0.522</v>
      </c>
      <c r="AT503" s="14" t="n">
        <v>1.415</v>
      </c>
      <c r="AU503" s="14" t="n">
        <v>0.18</v>
      </c>
      <c r="AV503" s="14" t="n">
        <v>1</v>
      </c>
      <c r="AW503" s="14" t="n">
        <v>0.6879999999999999</v>
      </c>
      <c r="AX503" s="14" t="n">
        <v>0.126</v>
      </c>
      <c r="AY503" s="14" t="n">
        <v>0.466</v>
      </c>
      <c r="AZ503" s="14" t="n">
        <v>1.362</v>
      </c>
      <c r="BA503" s="14" t="n">
        <v>0.18</v>
      </c>
      <c r="BB503" s="14" t="n">
        <v>1</v>
      </c>
      <c r="BC503" s="14" t="n">
        <v>0.482</v>
      </c>
      <c r="BD503" s="14" t="n">
        <v>0.124</v>
      </c>
      <c r="BE503" s="14" t="n">
        <v>0.032</v>
      </c>
      <c r="BF503" s="14" t="n">
        <v>0.607</v>
      </c>
      <c r="BG503" s="14" t="n">
        <v>0.18</v>
      </c>
      <c r="BH503" s="14" t="n">
        <v>1</v>
      </c>
      <c r="BI503" s="14" t="n">
        <v>0.526</v>
      </c>
      <c r="BJ503" s="14" t="n">
        <v>0.116</v>
      </c>
      <c r="BK503" s="14" t="n">
        <v>0.593</v>
      </c>
      <c r="BL503" s="14" t="n">
        <v>1.321</v>
      </c>
      <c r="BM503" s="14" t="n">
        <v>0.18</v>
      </c>
      <c r="BN503" s="14" t="n">
        <v>1</v>
      </c>
      <c r="BO503" s="14" t="n">
        <v>0</v>
      </c>
      <c r="BP503" s="14" t="n">
        <v>0</v>
      </c>
      <c r="BQ503" s="14" t="n">
        <v>0.171</v>
      </c>
      <c r="BR503" s="14" t="n">
        <v>0</v>
      </c>
      <c r="BS503" s="14" t="n">
        <v>1</v>
      </c>
      <c r="BT503" s="14" t="n">
        <v>0</v>
      </c>
      <c r="BU503" s="14" t="n">
        <v>0</v>
      </c>
      <c r="BV503" s="14" t="n">
        <v>0.236</v>
      </c>
      <c r="BW503" s="14" t="n">
        <v>0.18</v>
      </c>
      <c r="BX503" s="14" t="n">
        <v>0.833</v>
      </c>
      <c r="BY503" s="14" t="n">
        <v>13.646</v>
      </c>
      <c r="BZ503" s="14" t="n">
        <v>0</v>
      </c>
      <c r="CA503" s="14" t="n">
        <v>13.646</v>
      </c>
      <c r="CB503" s="14" t="n">
        <v>0</v>
      </c>
      <c r="CC503" s="14" t="n">
        <v>76.56</v>
      </c>
      <c r="CD503" s="14" t="n">
        <v>1.922</v>
      </c>
      <c r="CE503" s="14" t="n">
        <v>78.998</v>
      </c>
      <c r="CF503" s="14" t="n">
        <v>183.559</v>
      </c>
      <c r="CG503" s="14" t="n">
        <v>0.18</v>
      </c>
      <c r="CH503" s="14" t="n">
        <v>1</v>
      </c>
      <c r="CI503" s="14" t="n">
        <v>0</v>
      </c>
      <c r="CJ503" s="14" t="n">
        <v>0</v>
      </c>
      <c r="CK503" s="14" t="n">
        <v>0</v>
      </c>
      <c r="CL503" s="14" t="n">
        <v>0</v>
      </c>
      <c r="CM503" s="14" t="n">
        <v>0.095</v>
      </c>
      <c r="CN503" s="14" t="n">
        <v>0</v>
      </c>
      <c r="CO503" s="14" t="n">
        <v>0</v>
      </c>
      <c r="CP503" s="14" t="n">
        <v>0</v>
      </c>
      <c r="CQ503" s="14" t="n">
        <v>1.387</v>
      </c>
      <c r="CR503" s="14" t="n">
        <v>0</v>
      </c>
      <c r="CS503" s="14" t="n">
        <v>5.529</v>
      </c>
      <c r="CT503" s="14" t="n">
        <v>4.251</v>
      </c>
      <c r="CU503" s="14" t="n">
        <v>10.168</v>
      </c>
    </row>
    <row r="504">
      <c r="A504" s="14" t="inlineStr">
        <is>
          <t>MLT2021</t>
        </is>
      </c>
      <c r="B504" s="14" t="inlineStr">
        <is>
          <t>MLT</t>
        </is>
      </c>
      <c r="C504" s="14" t="inlineStr">
        <is>
          <t>MLT</t>
        </is>
      </c>
      <c r="D504" s="14" t="inlineStr">
        <is>
          <t>Malta</t>
        </is>
      </c>
      <c r="E504" s="14" t="n">
        <v>2021</v>
      </c>
      <c r="F504" s="14" t="n">
        <v>0.18</v>
      </c>
      <c r="G504" s="14" t="n">
        <v>5.897</v>
      </c>
      <c r="H504" s="14" t="n">
        <v>1.143</v>
      </c>
      <c r="I504" s="14" t="n">
        <v>2.365</v>
      </c>
      <c r="J504" s="14" t="n">
        <v>8.262</v>
      </c>
      <c r="K504" s="14" t="n">
        <v>0</v>
      </c>
      <c r="L504" s="14" t="n">
        <v>1</v>
      </c>
      <c r="M504" s="14" t="n">
        <v>7.964</v>
      </c>
      <c r="N504" s="14" t="n">
        <v>3.43</v>
      </c>
      <c r="O504" s="14" t="n">
        <v>2.41</v>
      </c>
      <c r="P504" s="14" t="n">
        <v>10.375</v>
      </c>
      <c r="Q504" s="14" t="n">
        <v>0</v>
      </c>
      <c r="R504" s="14" t="n">
        <v>1</v>
      </c>
      <c r="S504" s="14" t="n">
        <v>11.613</v>
      </c>
      <c r="T504" s="14" t="n">
        <v>6.86</v>
      </c>
      <c r="U504" s="14" t="n">
        <v>0</v>
      </c>
      <c r="V504" s="14" t="n">
        <v>13.704</v>
      </c>
      <c r="W504" s="14" t="n">
        <v>0.18</v>
      </c>
      <c r="X504" s="14" t="n">
        <v>1</v>
      </c>
      <c r="Y504" s="14" t="n">
        <v>15.305</v>
      </c>
      <c r="Z504" s="14" t="n">
        <v>1.143</v>
      </c>
      <c r="AA504" s="14" t="n">
        <v>1.399</v>
      </c>
      <c r="AB504" s="14" t="n">
        <v>16.705</v>
      </c>
      <c r="AC504" s="14" t="n">
        <v>0</v>
      </c>
      <c r="AD504" s="14" t="n">
        <v>1</v>
      </c>
      <c r="AE504" s="14" t="n">
        <v>16.449</v>
      </c>
      <c r="AF504" s="14" t="n">
        <v>2.287</v>
      </c>
      <c r="AG504" s="14" t="n">
        <v>1.399</v>
      </c>
      <c r="AH504" s="14" t="n">
        <v>17.848</v>
      </c>
      <c r="AI504" s="14" t="n">
        <v>0</v>
      </c>
      <c r="AJ504" s="14" t="n">
        <v>1</v>
      </c>
      <c r="AK504" s="14" t="n">
        <v>23.309</v>
      </c>
      <c r="AL504" s="14" t="n">
        <v>9.147</v>
      </c>
      <c r="AM504" s="14" t="n">
        <v>0</v>
      </c>
      <c r="AN504" s="14" t="n">
        <v>27.504</v>
      </c>
      <c r="AO504" s="14" t="n">
        <v>0.18</v>
      </c>
      <c r="AP504" s="14" t="n">
        <v>1</v>
      </c>
      <c r="AQ504" s="14" t="n">
        <v>0.621</v>
      </c>
      <c r="AR504" s="14" t="n">
        <v>0.114</v>
      </c>
      <c r="AS504" s="14" t="n">
        <v>0.723</v>
      </c>
      <c r="AT504" s="14" t="n">
        <v>1.585</v>
      </c>
      <c r="AU504" s="14" t="n">
        <v>0.18</v>
      </c>
      <c r="AV504" s="14" t="n">
        <v>1</v>
      </c>
      <c r="AW504" s="14" t="n">
        <v>0.593</v>
      </c>
      <c r="AX504" s="14" t="n">
        <v>0.114</v>
      </c>
      <c r="AY504" s="14" t="n">
        <v>0.62</v>
      </c>
      <c r="AZ504" s="14" t="n">
        <v>1.431</v>
      </c>
      <c r="BA504" s="14" t="n">
        <v>0.18</v>
      </c>
      <c r="BB504" s="14" t="n">
        <v>1</v>
      </c>
      <c r="BC504" s="14" t="n">
        <v>0.44</v>
      </c>
      <c r="BD504" s="14" t="n">
        <v>0.114</v>
      </c>
      <c r="BE504" s="14" t="n">
        <v>0.026</v>
      </c>
      <c r="BF504" s="14" t="n">
        <v>0.55</v>
      </c>
      <c r="BG504" s="14" t="n">
        <v>0.18</v>
      </c>
      <c r="BH504" s="14" t="n">
        <v>1</v>
      </c>
      <c r="BI504" s="14" t="n">
        <v>0.5600000000000001</v>
      </c>
      <c r="BJ504" s="14" t="n">
        <v>0.114</v>
      </c>
      <c r="BK504" s="14" t="n">
        <v>0.442</v>
      </c>
      <c r="BL504" s="14" t="n">
        <v>1.183</v>
      </c>
      <c r="BM504" s="14" t="n">
        <v>0.18</v>
      </c>
      <c r="BN504" s="14" t="n">
        <v>1</v>
      </c>
      <c r="BO504" s="14" t="n">
        <v>0</v>
      </c>
      <c r="BP504" s="14" t="n">
        <v>0.002</v>
      </c>
      <c r="BQ504" s="14" t="n">
        <v>0.128</v>
      </c>
      <c r="BR504" s="14" t="n">
        <v>0</v>
      </c>
      <c r="BS504" s="14" t="n">
        <v>1</v>
      </c>
      <c r="BT504" s="14" t="n">
        <v>0</v>
      </c>
      <c r="BU504" s="14" t="n">
        <v>0.002</v>
      </c>
      <c r="BV504" s="14" t="n">
        <v>0.154</v>
      </c>
      <c r="BW504" s="14" t="n">
        <v>0.18</v>
      </c>
      <c r="BX504" s="14" t="n">
        <v>0.667</v>
      </c>
      <c r="BY504" s="14" t="n">
        <v>11.787</v>
      </c>
      <c r="BZ504" s="14" t="n">
        <v>0</v>
      </c>
      <c r="CA504" s="14" t="n">
        <v>11.787</v>
      </c>
      <c r="CB504" s="14" t="n">
        <v>0</v>
      </c>
      <c r="CC504" s="14" t="n">
        <v>81.69499999999999</v>
      </c>
      <c r="CD504" s="14" t="n">
        <v>7.95</v>
      </c>
      <c r="CE504" s="14" t="n">
        <v>87.651</v>
      </c>
      <c r="CF504" s="14" t="n">
        <v>199.829</v>
      </c>
      <c r="CG504" s="14" t="n">
        <v>0.18</v>
      </c>
      <c r="CH504" s="14" t="n">
        <v>1</v>
      </c>
      <c r="CI504" s="14" t="n">
        <v>0</v>
      </c>
      <c r="CJ504" s="14" t="n">
        <v>0</v>
      </c>
      <c r="CK504" s="14" t="n">
        <v>0</v>
      </c>
      <c r="CL504" s="14" t="n">
        <v>0</v>
      </c>
      <c r="CM504" s="14" t="n">
        <v>0</v>
      </c>
      <c r="CN504" s="14" t="n">
        <v>0</v>
      </c>
      <c r="CO504" s="14" t="n">
        <v>0</v>
      </c>
      <c r="CP504" s="14" t="n">
        <v>0</v>
      </c>
      <c r="CQ504" s="14" t="n">
        <v>1.198</v>
      </c>
      <c r="CR504" s="14" t="n">
        <v>0</v>
      </c>
      <c r="CS504" s="14" t="n">
        <v>4.776</v>
      </c>
      <c r="CT504" s="14" t="n">
        <v>4.753</v>
      </c>
      <c r="CU504" s="14" t="n">
        <v>14.162</v>
      </c>
    </row>
    <row r="505">
      <c r="A505" s="14" t="inlineStr">
        <is>
          <t>MLT2022</t>
        </is>
      </c>
      <c r="B505" s="14" t="inlineStr">
        <is>
          <t>MLT</t>
        </is>
      </c>
      <c r="C505" s="14" t="inlineStr">
        <is>
          <t>MLT</t>
        </is>
      </c>
      <c r="D505" s="14" t="inlineStr">
        <is>
          <t>Malta</t>
        </is>
      </c>
      <c r="E505" s="14" t="n">
        <v>2022</v>
      </c>
      <c r="F505" s="14" t="n">
        <v>0.18</v>
      </c>
      <c r="G505" s="14" t="n">
        <v>11.72</v>
      </c>
      <c r="H505" s="14" t="n">
        <v>1.235</v>
      </c>
      <c r="I505" s="14" t="n">
        <v>8.16</v>
      </c>
      <c r="J505" s="14" t="n">
        <v>19.88</v>
      </c>
      <c r="K505" s="14" t="n">
        <v>0</v>
      </c>
      <c r="L505" s="14" t="n">
        <v>1</v>
      </c>
      <c r="M505" s="14" t="n">
        <v>9.782999999999999</v>
      </c>
      <c r="N505" s="14" t="n">
        <v>3.704</v>
      </c>
      <c r="O505" s="14" t="n">
        <v>8.315</v>
      </c>
      <c r="P505" s="14" t="n">
        <v>18.098</v>
      </c>
      <c r="Q505" s="14" t="n">
        <v>0</v>
      </c>
      <c r="R505" s="14" t="n">
        <v>1</v>
      </c>
      <c r="S505" s="14" t="n">
        <v>17.893</v>
      </c>
      <c r="T505" s="14" t="n">
        <v>7.408</v>
      </c>
      <c r="U505" s="14" t="n">
        <v>0.238</v>
      </c>
      <c r="V505" s="14" t="n">
        <v>21.114</v>
      </c>
      <c r="W505" s="14" t="n">
        <v>0.18</v>
      </c>
      <c r="X505" s="14" t="n">
        <v>1</v>
      </c>
      <c r="Y505" s="14" t="n">
        <v>31.56</v>
      </c>
      <c r="Z505" s="14" t="n">
        <v>1.235</v>
      </c>
      <c r="AA505" s="14" t="n">
        <v>4.828</v>
      </c>
      <c r="AB505" s="14" t="n">
        <v>36.388</v>
      </c>
      <c r="AC505" s="14" t="n">
        <v>0</v>
      </c>
      <c r="AD505" s="14" t="n">
        <v>1</v>
      </c>
      <c r="AE505" s="14" t="n">
        <v>32.795</v>
      </c>
      <c r="AF505" s="14" t="n">
        <v>2.469</v>
      </c>
      <c r="AG505" s="14" t="n">
        <v>4.828</v>
      </c>
      <c r="AH505" s="14" t="n">
        <v>37.623</v>
      </c>
      <c r="AI505" s="14" t="n">
        <v>0</v>
      </c>
      <c r="AJ505" s="14" t="n">
        <v>1</v>
      </c>
      <c r="AK505" s="14" t="n">
        <v>40.203</v>
      </c>
      <c r="AL505" s="14" t="n">
        <v>9.878</v>
      </c>
      <c r="AM505" s="14" t="n">
        <v>0.536</v>
      </c>
      <c r="AN505" s="14" t="n">
        <v>47.44</v>
      </c>
      <c r="AO505" s="14" t="n">
        <v>0.18</v>
      </c>
      <c r="AP505" s="14" t="n">
        <v>1</v>
      </c>
      <c r="AQ505" s="14" t="n">
        <v>0.847</v>
      </c>
      <c r="AR505" s="14" t="n">
        <v>0.123</v>
      </c>
      <c r="AS505" s="14" t="n">
        <v>0.349</v>
      </c>
      <c r="AT505" s="14" t="n">
        <v>1.411</v>
      </c>
      <c r="AU505" s="14" t="n">
        <v>0.18</v>
      </c>
      <c r="AV505" s="14" t="n">
        <v>1</v>
      </c>
      <c r="AW505" s="14" t="n">
        <v>0.947</v>
      </c>
      <c r="AX505" s="14" t="n">
        <v>0.123</v>
      </c>
      <c r="AY505" s="14" t="n">
        <v>0.133</v>
      </c>
      <c r="AZ505" s="14" t="n">
        <v>1.274</v>
      </c>
      <c r="BA505" s="14" t="n">
        <v>0.18</v>
      </c>
      <c r="BB505" s="14" t="n">
        <v>1</v>
      </c>
      <c r="BC505" s="14" t="n">
        <v>0.589</v>
      </c>
      <c r="BD505" s="14" t="n">
        <v>0.123</v>
      </c>
      <c r="BE505" s="14" t="n">
        <v>0.038</v>
      </c>
      <c r="BF505" s="14" t="n">
        <v>0.73</v>
      </c>
      <c r="BG505" s="14" t="n">
        <v>0.18</v>
      </c>
      <c r="BH505" s="14" t="n">
        <v>1</v>
      </c>
      <c r="BI505" s="14" t="n">
        <v>0.6889999999999999</v>
      </c>
      <c r="BJ505" s="14" t="n">
        <v>0.123</v>
      </c>
      <c r="BK505" s="14" t="n">
        <v>0.204</v>
      </c>
      <c r="BL505" s="14" t="n">
        <v>1.053</v>
      </c>
      <c r="BM505" s="14" t="n">
        <v>0.18</v>
      </c>
      <c r="BN505" s="14" t="n">
        <v>1</v>
      </c>
      <c r="BO505" s="14" t="n">
        <v>0</v>
      </c>
      <c r="BP505" s="14" t="n">
        <v>0.002</v>
      </c>
      <c r="BQ505" s="14" t="n">
        <v>0.1</v>
      </c>
      <c r="BR505" s="14" t="n">
        <v>0</v>
      </c>
      <c r="BS505" s="14" t="n">
        <v>1</v>
      </c>
      <c r="BT505" s="14" t="n">
        <v>0</v>
      </c>
      <c r="BU505" s="14" t="n">
        <v>0.002</v>
      </c>
      <c r="BV505" s="14" t="n">
        <v>0.136</v>
      </c>
      <c r="BW505" s="14" t="n">
        <v>0.18</v>
      </c>
      <c r="BX505" s="14" t="n">
        <v>0.667</v>
      </c>
      <c r="BY505" s="14" t="n">
        <v>12.729</v>
      </c>
      <c r="BZ505" s="14" t="n">
        <v>0</v>
      </c>
      <c r="CA505" s="14" t="n">
        <v>12.729</v>
      </c>
      <c r="CB505" s="14" t="n">
        <v>0</v>
      </c>
      <c r="CC505" s="14" t="n">
        <v>102.477</v>
      </c>
      <c r="CD505" s="14" t="n">
        <v>7.95</v>
      </c>
      <c r="CE505" s="14" t="n">
        <v>73.83799999999999</v>
      </c>
      <c r="CF505" s="14" t="n">
        <v>208.051</v>
      </c>
      <c r="CG505" s="14" t="n">
        <v>0.18</v>
      </c>
      <c r="CH505" s="14" t="n">
        <v>1</v>
      </c>
      <c r="CI505" s="14" t="n">
        <v>0</v>
      </c>
      <c r="CJ505" s="14" t="n">
        <v>0</v>
      </c>
      <c r="CK505" s="14" t="n">
        <v>0</v>
      </c>
      <c r="CL505" s="14" t="n">
        <v>0</v>
      </c>
      <c r="CM505" s="14" t="n">
        <v>0</v>
      </c>
      <c r="CN505" s="14" t="n">
        <v>0</v>
      </c>
      <c r="CO505" s="14" t="n">
        <v>0</v>
      </c>
      <c r="CP505" s="14" t="n">
        <v>0</v>
      </c>
      <c r="CQ505" s="14" t="n">
        <v>1.294</v>
      </c>
      <c r="CR505" s="14" t="n">
        <v>0</v>
      </c>
      <c r="CS505" s="14" t="n">
        <v>5.158</v>
      </c>
      <c r="CT505" s="14" t="n">
        <v>10.485</v>
      </c>
      <c r="CU505" s="14" t="n">
        <v>30.326</v>
      </c>
    </row>
    <row r="506">
      <c r="A506" s="14" t="inlineStr">
        <is>
          <t>MLT2023</t>
        </is>
      </c>
      <c r="B506" s="14" t="inlineStr">
        <is>
          <t>MLT</t>
        </is>
      </c>
      <c r="C506" s="14" t="inlineStr">
        <is>
          <t>MLT</t>
        </is>
      </c>
      <c r="D506" s="14" t="inlineStr">
        <is>
          <t>Malta</t>
        </is>
      </c>
      <c r="E506" s="14" t="n">
        <v>2023</v>
      </c>
      <c r="F506" s="14" t="n">
        <v>0.18</v>
      </c>
      <c r="G506" s="14" t="n">
        <v>6.147</v>
      </c>
      <c r="H506" s="14" t="n">
        <v>1.286</v>
      </c>
      <c r="I506" s="14" t="n">
        <v>9.457000000000001</v>
      </c>
      <c r="J506" s="14" t="n">
        <v>15.604</v>
      </c>
      <c r="K506" s="14" t="n">
        <v>0</v>
      </c>
      <c r="L506" s="14" t="n">
        <v>1</v>
      </c>
      <c r="M506" s="14" t="n">
        <v>7.886</v>
      </c>
      <c r="N506" s="14" t="n">
        <v>3.857</v>
      </c>
      <c r="O506" s="14" t="n">
        <v>9.635999999999999</v>
      </c>
      <c r="P506" s="14" t="n">
        <v>17.522</v>
      </c>
      <c r="Q506" s="14" t="n">
        <v>0</v>
      </c>
      <c r="R506" s="14" t="n">
        <v>1</v>
      </c>
      <c r="S506" s="14" t="n">
        <v>12.575</v>
      </c>
      <c r="T506" s="14" t="n">
        <v>7.714</v>
      </c>
      <c r="U506" s="14" t="n">
        <v>0.251</v>
      </c>
      <c r="V506" s="14" t="n">
        <v>14.839</v>
      </c>
      <c r="W506" s="14" t="n">
        <v>0.18</v>
      </c>
      <c r="X506" s="14" t="n">
        <v>1</v>
      </c>
      <c r="Y506" s="14" t="n">
        <v>11.908</v>
      </c>
      <c r="Z506" s="14" t="n">
        <v>1.246</v>
      </c>
      <c r="AA506" s="14" t="n">
        <v>5.595</v>
      </c>
      <c r="AB506" s="14" t="n">
        <v>17.503</v>
      </c>
      <c r="AC506" s="14" t="n">
        <v>0</v>
      </c>
      <c r="AD506" s="14" t="n">
        <v>1</v>
      </c>
      <c r="AE506" s="14" t="n">
        <v>13.194</v>
      </c>
      <c r="AF506" s="14" t="n">
        <v>2.493</v>
      </c>
      <c r="AG506" s="14" t="n">
        <v>5.595</v>
      </c>
      <c r="AH506" s="14" t="n">
        <v>18.788</v>
      </c>
      <c r="AI506" s="14" t="n">
        <v>0</v>
      </c>
      <c r="AJ506" s="14" t="n">
        <v>1</v>
      </c>
      <c r="AK506" s="14" t="n">
        <v>20.908</v>
      </c>
      <c r="AL506" s="14" t="n">
        <v>9.972</v>
      </c>
      <c r="AM506" s="14" t="n">
        <v>0.417</v>
      </c>
      <c r="AN506" s="14" t="n">
        <v>24.671</v>
      </c>
      <c r="AO506" s="14" t="n">
        <v>0.18</v>
      </c>
      <c r="AP506" s="14" t="n">
        <v>1</v>
      </c>
      <c r="AQ506" s="14" t="n">
        <v>0.749</v>
      </c>
      <c r="AR506" s="14" t="n">
        <v>0.129</v>
      </c>
      <c r="AS506" s="14" t="n">
        <v>0.479</v>
      </c>
      <c r="AT506" s="14" t="n">
        <v>1.449</v>
      </c>
      <c r="AU506" s="14" t="n">
        <v>0.18</v>
      </c>
      <c r="AV506" s="14" t="n">
        <v>1</v>
      </c>
      <c r="AW506" s="14" t="n">
        <v>0.783</v>
      </c>
      <c r="AX506" s="14" t="n">
        <v>0.129</v>
      </c>
      <c r="AY506" s="14" t="n">
        <v>0.326</v>
      </c>
      <c r="AZ506" s="14" t="n">
        <v>1.308</v>
      </c>
      <c r="BA506" s="14" t="n">
        <v>0.18</v>
      </c>
      <c r="BB506" s="14" t="n">
        <v>1</v>
      </c>
      <c r="BC506" s="14" t="n">
        <v>0.527</v>
      </c>
      <c r="BD506" s="14" t="n">
        <v>0.129</v>
      </c>
      <c r="BE506" s="14" t="n">
        <v>0.041</v>
      </c>
      <c r="BF506" s="14" t="n">
        <v>0.658</v>
      </c>
      <c r="BG506" s="14" t="n">
        <v>0.18</v>
      </c>
      <c r="BH506" s="14" t="n">
        <v>1</v>
      </c>
      <c r="BI506" s="14" t="n">
        <v>0.64</v>
      </c>
      <c r="BJ506" s="14" t="n">
        <v>0.129</v>
      </c>
      <c r="BK506" s="14" t="n">
        <v>0.277</v>
      </c>
      <c r="BL506" s="14" t="n">
        <v>1.081</v>
      </c>
      <c r="BM506" s="14" t="n">
        <v>0.18</v>
      </c>
      <c r="BN506" s="14" t="n">
        <v>1</v>
      </c>
      <c r="BO506" s="14" t="n">
        <v>0</v>
      </c>
      <c r="BP506" s="14" t="n">
        <v>0.002</v>
      </c>
      <c r="BQ506" s="14" t="n">
        <v>0.116</v>
      </c>
      <c r="BR506" s="14" t="n">
        <v>0</v>
      </c>
      <c r="BS506" s="14" t="n">
        <v>1</v>
      </c>
      <c r="BT506" s="14" t="n">
        <v>0</v>
      </c>
      <c r="BU506" s="14" t="n">
        <v>0.002</v>
      </c>
      <c r="BV506" s="14" t="n">
        <v>0.137</v>
      </c>
      <c r="BW506" s="14" t="n">
        <v>0.18</v>
      </c>
      <c r="BX506" s="14" t="n">
        <v>0.667</v>
      </c>
      <c r="BY506" s="14" t="n">
        <v>13.254</v>
      </c>
      <c r="BZ506" s="14" t="n">
        <v>0</v>
      </c>
      <c r="CA506" s="14" t="n">
        <v>13.254</v>
      </c>
      <c r="CB506" s="14" t="n">
        <v>0</v>
      </c>
      <c r="CC506" s="14" t="n">
        <v>87.07899999999999</v>
      </c>
      <c r="CD506" s="14" t="n">
        <v>7.95</v>
      </c>
      <c r="CE506" s="14" t="n">
        <v>98.506</v>
      </c>
      <c r="CF506" s="14" t="n">
        <v>218.991</v>
      </c>
      <c r="CG506" s="14" t="n">
        <v>0.18</v>
      </c>
      <c r="CH506" s="14" t="n">
        <v>1</v>
      </c>
      <c r="CI506" s="14" t="n">
        <v>0</v>
      </c>
      <c r="CJ506" s="14" t="n">
        <v>0</v>
      </c>
      <c r="CK506" s="14" t="n">
        <v>0</v>
      </c>
      <c r="CL506" s="14" t="n">
        <v>0</v>
      </c>
      <c r="CM506" s="14" t="n">
        <v>0</v>
      </c>
      <c r="CN506" s="14" t="n">
        <v>0</v>
      </c>
      <c r="CO506" s="14" t="n">
        <v>0</v>
      </c>
      <c r="CP506" s="14" t="n">
        <v>0</v>
      </c>
      <c r="CQ506" s="14" t="n">
        <v>1.348</v>
      </c>
      <c r="CR506" s="14" t="n">
        <v>0</v>
      </c>
      <c r="CS506" s="14" t="n">
        <v>5.37</v>
      </c>
      <c r="CT506" s="14" t="n">
        <v>4.861</v>
      </c>
      <c r="CU506" s="14" t="n">
        <v>10.622</v>
      </c>
    </row>
    <row r="507">
      <c r="A507" s="14" t="inlineStr">
        <is>
          <t>MLT2024</t>
        </is>
      </c>
      <c r="B507" s="14" t="inlineStr">
        <is>
          <t>MLT</t>
        </is>
      </c>
      <c r="C507" s="14" t="inlineStr">
        <is>
          <t>MLT</t>
        </is>
      </c>
      <c r="D507" s="14" t="inlineStr">
        <is>
          <t>Malta</t>
        </is>
      </c>
      <c r="E507" s="14" t="n">
        <v>2024</v>
      </c>
      <c r="F507" s="14" t="n">
        <v>0.18</v>
      </c>
      <c r="G507" s="14" t="n">
        <v>5.575</v>
      </c>
      <c r="H507" s="14" t="n">
        <v>1.324</v>
      </c>
      <c r="I507" s="14" t="n">
        <v>6.197</v>
      </c>
      <c r="J507" s="14" t="n">
        <v>11.772</v>
      </c>
      <c r="K507" s="14" t="n">
        <v>0</v>
      </c>
      <c r="L507" s="14" t="n">
        <v>1</v>
      </c>
      <c r="M507" s="14" t="n">
        <v>7.124</v>
      </c>
      <c r="N507" s="14" t="n">
        <v>3.971</v>
      </c>
      <c r="O507" s="14" t="n">
        <v>6.315</v>
      </c>
      <c r="P507" s="14" t="n">
        <v>13.439</v>
      </c>
      <c r="Q507" s="14" t="n">
        <v>0</v>
      </c>
      <c r="R507" s="14" t="n">
        <v>1</v>
      </c>
      <c r="S507" s="14" t="n">
        <v>12.193</v>
      </c>
      <c r="T507" s="14" t="n">
        <v>7.942</v>
      </c>
      <c r="U507" s="14" t="n">
        <v>0.299</v>
      </c>
      <c r="V507" s="14" t="n">
        <v>14.388</v>
      </c>
      <c r="W507" s="14" t="n">
        <v>0.18</v>
      </c>
      <c r="X507" s="14" t="n">
        <v>1</v>
      </c>
      <c r="Y507" s="14" t="n">
        <v>10.492</v>
      </c>
      <c r="Z507" s="14" t="n">
        <v>1.283</v>
      </c>
      <c r="AA507" s="14" t="n">
        <v>3.667</v>
      </c>
      <c r="AB507" s="14" t="n">
        <v>14.159</v>
      </c>
      <c r="AC507" s="14" t="n">
        <v>0</v>
      </c>
      <c r="AD507" s="14" t="n">
        <v>1</v>
      </c>
      <c r="AE507" s="14" t="n">
        <v>11.815</v>
      </c>
      <c r="AF507" s="14" t="n">
        <v>2.567</v>
      </c>
      <c r="AG507" s="14" t="n">
        <v>3.667</v>
      </c>
      <c r="AH507" s="14" t="n">
        <v>15.483</v>
      </c>
      <c r="AI507" s="14" t="n">
        <v>0</v>
      </c>
      <c r="AJ507" s="14" t="n">
        <v>1</v>
      </c>
      <c r="AK507" s="14" t="n">
        <v>19.757</v>
      </c>
      <c r="AL507" s="14" t="n">
        <v>10.266</v>
      </c>
      <c r="AM507" s="14" t="n">
        <v>0.484</v>
      </c>
      <c r="AN507" s="14" t="n">
        <v>23.313</v>
      </c>
      <c r="AO507" s="14" t="n">
        <v>0.18</v>
      </c>
      <c r="AP507" s="14" t="n">
        <v>1</v>
      </c>
      <c r="AQ507" s="14" t="n">
        <v>0.72</v>
      </c>
      <c r="AR507" s="14" t="n">
        <v>0.132</v>
      </c>
      <c r="AS507" s="14" t="n">
        <v>0.509</v>
      </c>
      <c r="AT507" s="14" t="n">
        <v>1.45</v>
      </c>
      <c r="AU507" s="14" t="n">
        <v>0.18</v>
      </c>
      <c r="AV507" s="14" t="n">
        <v>1</v>
      </c>
      <c r="AW507" s="14" t="n">
        <v>0.734</v>
      </c>
      <c r="AX507" s="14" t="n">
        <v>0.132</v>
      </c>
      <c r="AY507" s="14" t="n">
        <v>0.376</v>
      </c>
      <c r="AZ507" s="14" t="n">
        <v>1.31</v>
      </c>
      <c r="BA507" s="14" t="n">
        <v>0.18</v>
      </c>
      <c r="BB507" s="14" t="n">
        <v>1</v>
      </c>
      <c r="BC507" s="14" t="n">
        <v>0.51</v>
      </c>
      <c r="BD507" s="14" t="n">
        <v>0.132</v>
      </c>
      <c r="BE507" s="14" t="n">
        <v>0.043</v>
      </c>
      <c r="BF507" s="14" t="n">
        <v>0.638</v>
      </c>
      <c r="BG507" s="14" t="n">
        <v>0.18</v>
      </c>
      <c r="BH507" s="14" t="n">
        <v>1</v>
      </c>
      <c r="BI507" s="14" t="n">
        <v>0.652</v>
      </c>
      <c r="BJ507" s="14" t="n">
        <v>0.132</v>
      </c>
      <c r="BK507" s="14" t="n">
        <v>0.312</v>
      </c>
      <c r="BL507" s="14" t="n">
        <v>1.11</v>
      </c>
      <c r="BM507" s="14" t="n">
        <v>0.18</v>
      </c>
      <c r="BN507" s="14" t="n">
        <v>1</v>
      </c>
      <c r="BO507" s="14" t="n">
        <v>0</v>
      </c>
      <c r="BP507" s="14" t="n">
        <v>0.002</v>
      </c>
      <c r="BQ507" s="14" t="n">
        <v>0.112</v>
      </c>
      <c r="BR507" s="14" t="n">
        <v>0</v>
      </c>
      <c r="BS507" s="14" t="n">
        <v>1</v>
      </c>
      <c r="BT507" s="14" t="n">
        <v>0</v>
      </c>
      <c r="BU507" s="14" t="n">
        <v>0.002</v>
      </c>
      <c r="BV507" s="14" t="n">
        <v>0.139</v>
      </c>
      <c r="BW507" s="14" t="n">
        <v>0.18</v>
      </c>
      <c r="BX507" s="14" t="n">
        <v>0.667</v>
      </c>
      <c r="BY507" s="14" t="n">
        <v>13.646</v>
      </c>
      <c r="BZ507" s="14" t="n">
        <v>0</v>
      </c>
      <c r="CA507" s="14" t="n">
        <v>13.646</v>
      </c>
      <c r="CB507" s="14" t="n">
        <v>0</v>
      </c>
      <c r="CC507" s="14" t="n">
        <v>86.38500000000001</v>
      </c>
      <c r="CD507" s="14" t="n">
        <v>7.95</v>
      </c>
      <c r="CE507" s="14" t="n">
        <v>85.602</v>
      </c>
      <c r="CF507" s="14" t="n">
        <v>202.946</v>
      </c>
      <c r="CG507" s="14" t="n">
        <v>0.18</v>
      </c>
      <c r="CH507" s="14" t="n">
        <v>1</v>
      </c>
      <c r="CI507" s="14" t="n">
        <v>0</v>
      </c>
      <c r="CJ507" s="14" t="n">
        <v>0</v>
      </c>
      <c r="CK507" s="14" t="n">
        <v>0</v>
      </c>
      <c r="CL507" s="14" t="n">
        <v>0</v>
      </c>
      <c r="CM507" s="14" t="n">
        <v>0</v>
      </c>
      <c r="CN507" s="14" t="n">
        <v>0</v>
      </c>
      <c r="CO507" s="14" t="n">
        <v>0</v>
      </c>
      <c r="CP507" s="14" t="n">
        <v>0</v>
      </c>
      <c r="CQ507" s="14" t="n">
        <v>1.387</v>
      </c>
      <c r="CR507" s="14" t="n">
        <v>0</v>
      </c>
      <c r="CS507" s="14" t="n">
        <v>5.529</v>
      </c>
      <c r="CT507" s="14" t="n">
        <v>4.251</v>
      </c>
      <c r="CU507" s="14" t="n">
        <v>9.167999999999999</v>
      </c>
    </row>
    <row r="508">
      <c r="A508" s="14" t="inlineStr">
        <is>
          <t>MHL2021</t>
        </is>
      </c>
      <c r="B508" s="14" t="inlineStr">
        <is>
          <t>MHL</t>
        </is>
      </c>
      <c r="C508" s="14" t="inlineStr">
        <is>
          <t>MHL</t>
        </is>
      </c>
      <c r="D508" s="14" t="inlineStr">
        <is>
          <t>Marshall Islands</t>
        </is>
      </c>
      <c r="E508" s="14" t="n">
        <v>2021</v>
      </c>
      <c r="F508" s="14" t="n">
        <v>0</v>
      </c>
      <c r="G508" s="14" t="n">
        <v>4.747</v>
      </c>
      <c r="H508" s="14" t="n">
        <v>1.143</v>
      </c>
      <c r="I508" s="14" t="n">
        <v>0</v>
      </c>
      <c r="J508" s="14" t="n">
        <v>4.747</v>
      </c>
      <c r="K508" s="14" t="n">
        <v>0</v>
      </c>
      <c r="L508" s="14" t="n">
        <v>1</v>
      </c>
      <c r="M508" s="14" t="n">
        <v>7.964</v>
      </c>
      <c r="N508" s="14" t="n">
        <v>3.43</v>
      </c>
      <c r="O508" s="14" t="n">
        <v>0</v>
      </c>
      <c r="P508" s="14" t="n">
        <v>7.964</v>
      </c>
      <c r="Q508" s="14" t="n">
        <v>0</v>
      </c>
      <c r="R508" s="14" t="n">
        <v>1</v>
      </c>
      <c r="S508" s="14" t="n">
        <v>10.464</v>
      </c>
      <c r="T508" s="14" t="n">
        <v>6.86</v>
      </c>
      <c r="U508" s="14" t="n">
        <v>0</v>
      </c>
      <c r="V508" s="14" t="n">
        <v>10.464</v>
      </c>
      <c r="W508" s="14" t="n">
        <v>0</v>
      </c>
      <c r="X508" s="14" t="n">
        <v>1</v>
      </c>
      <c r="Y508" s="14" t="n">
        <v>10.551</v>
      </c>
      <c r="Z508" s="14" t="n">
        <v>1.302</v>
      </c>
      <c r="AA508" s="14" t="n">
        <v>0</v>
      </c>
      <c r="AB508" s="14" t="n">
        <v>10.551</v>
      </c>
      <c r="AC508" s="14" t="n">
        <v>0</v>
      </c>
      <c r="AD508" s="14" t="n">
        <v>1</v>
      </c>
      <c r="AE508" s="14" t="n">
        <v>11.694</v>
      </c>
      <c r="AF508" s="14" t="n">
        <v>2.549</v>
      </c>
      <c r="AG508" s="14" t="n">
        <v>0</v>
      </c>
      <c r="AH508" s="14" t="n">
        <v>11.694</v>
      </c>
      <c r="AI508" s="14" t="n">
        <v>0</v>
      </c>
      <c r="AJ508" s="14" t="n">
        <v>1</v>
      </c>
      <c r="AK508" s="14" t="n">
        <v>18.554</v>
      </c>
      <c r="AL508" s="14" t="n">
        <v>9.627000000000001</v>
      </c>
      <c r="AM508" s="14" t="n">
        <v>0</v>
      </c>
      <c r="AN508" s="14" t="n">
        <v>18.554</v>
      </c>
      <c r="AO508" s="14" t="n">
        <v>0</v>
      </c>
      <c r="AP508" s="14" t="n">
        <v>1</v>
      </c>
      <c r="AQ508" s="14" t="n">
        <v>0.621</v>
      </c>
      <c r="AR508" s="14" t="n">
        <v>0.114</v>
      </c>
      <c r="AS508" s="14" t="n">
        <v>0</v>
      </c>
      <c r="AT508" s="14" t="n">
        <v>0.621</v>
      </c>
      <c r="AU508" s="14" t="n">
        <v>0</v>
      </c>
      <c r="AV508" s="14" t="n">
        <v>1</v>
      </c>
      <c r="AW508" s="14" t="n">
        <v>0.593</v>
      </c>
      <c r="AX508" s="14" t="n">
        <v>0.114</v>
      </c>
      <c r="AY508" s="14" t="n">
        <v>0</v>
      </c>
      <c r="AZ508" s="14" t="n">
        <v>0.593</v>
      </c>
      <c r="BA508" s="14" t="n">
        <v>0</v>
      </c>
      <c r="BB508" s="14" t="n">
        <v>1</v>
      </c>
      <c r="BC508" s="14" t="n">
        <v>0.44</v>
      </c>
      <c r="BD508" s="14" t="n">
        <v>0.114</v>
      </c>
      <c r="BE508" s="14" t="n">
        <v>0</v>
      </c>
      <c r="BF508" s="14" t="n">
        <v>0.44</v>
      </c>
      <c r="BG508" s="14" t="n">
        <v>0</v>
      </c>
      <c r="BH508" s="14" t="n">
        <v>1</v>
      </c>
      <c r="BI508" s="14" t="n">
        <v>0.5600000000000001</v>
      </c>
      <c r="BJ508" s="14" t="n">
        <v>0.114</v>
      </c>
      <c r="BK508" s="14" t="n">
        <v>0</v>
      </c>
      <c r="BL508" s="14" t="n">
        <v>0.5600000000000001</v>
      </c>
      <c r="BM508" s="14" t="n">
        <v>0</v>
      </c>
      <c r="BN508" s="14" t="n">
        <v>1</v>
      </c>
      <c r="BO508" s="14" t="n">
        <v>0</v>
      </c>
      <c r="BP508" s="14" t="n">
        <v>0</v>
      </c>
      <c r="BQ508" s="14" t="n">
        <v>0</v>
      </c>
      <c r="BR508" s="14" t="n">
        <v>0</v>
      </c>
      <c r="BS508" s="14" t="n">
        <v>1</v>
      </c>
      <c r="BT508" s="14" t="n">
        <v>0</v>
      </c>
      <c r="BU508" s="14" t="n">
        <v>0</v>
      </c>
      <c r="BV508" s="14" t="n">
        <v>0</v>
      </c>
      <c r="BW508" s="14" t="n">
        <v>0</v>
      </c>
      <c r="BX508" s="14" t="n">
        <v>1</v>
      </c>
      <c r="BY508" s="14" t="n">
        <v>11.787</v>
      </c>
      <c r="BZ508" s="14" t="n">
        <v>0</v>
      </c>
      <c r="CA508" s="14" t="n">
        <v>11.787</v>
      </c>
      <c r="CB508" s="14" t="n">
        <v>0</v>
      </c>
      <c r="CC508" s="14" t="n">
        <v>81.69499999999999</v>
      </c>
      <c r="CD508" s="14" t="n">
        <v>7.95</v>
      </c>
      <c r="CE508" s="14" t="n">
        <v>0</v>
      </c>
      <c r="CF508" s="14" t="n">
        <v>81.69499999999999</v>
      </c>
      <c r="CG508" s="14" t="n">
        <v>0</v>
      </c>
      <c r="CH508" s="14" t="n">
        <v>1</v>
      </c>
      <c r="CI508" s="14" t="n">
        <v>0</v>
      </c>
      <c r="CJ508" s="14" t="n">
        <v>0</v>
      </c>
      <c r="CK508" s="14" t="n">
        <v>0</v>
      </c>
      <c r="CL508" s="14" t="n">
        <v>0</v>
      </c>
      <c r="CM508" s="14" t="n">
        <v>0</v>
      </c>
      <c r="CN508" s="14" t="n">
        <v>0</v>
      </c>
      <c r="CO508" s="14" t="n">
        <v>0</v>
      </c>
      <c r="CP508" s="14" t="n">
        <v>0</v>
      </c>
      <c r="CQ508" s="14" t="n">
        <v>1.198</v>
      </c>
      <c r="CR508" s="14" t="n">
        <v>0</v>
      </c>
      <c r="CS508" s="14" t="n">
        <v>4.776</v>
      </c>
      <c r="CT508" s="14" t="n">
        <v>3.604</v>
      </c>
      <c r="CU508" s="14" t="n">
        <v>9.407999999999999</v>
      </c>
    </row>
    <row r="509">
      <c r="A509" s="14" t="inlineStr">
        <is>
          <t>MHL2022</t>
        </is>
      </c>
      <c r="B509" s="14" t="inlineStr">
        <is>
          <t>MHL</t>
        </is>
      </c>
      <c r="C509" s="14" t="inlineStr">
        <is>
          <t>MHL</t>
        </is>
      </c>
      <c r="D509" s="14" t="inlineStr">
        <is>
          <t>Marshall Islands</t>
        </is>
      </c>
      <c r="E509" s="14" t="n">
        <v>2022</v>
      </c>
      <c r="F509" s="14" t="n">
        <v>0</v>
      </c>
      <c r="G509" s="14" t="n">
        <v>8.788</v>
      </c>
      <c r="H509" s="14" t="n">
        <v>1.235</v>
      </c>
      <c r="I509" s="14" t="n">
        <v>0</v>
      </c>
      <c r="J509" s="14" t="n">
        <v>8.788</v>
      </c>
      <c r="K509" s="14" t="n">
        <v>0</v>
      </c>
      <c r="L509" s="14" t="n">
        <v>1</v>
      </c>
      <c r="M509" s="14" t="n">
        <v>9.782999999999999</v>
      </c>
      <c r="N509" s="14" t="n">
        <v>3.704</v>
      </c>
      <c r="O509" s="14" t="n">
        <v>0</v>
      </c>
      <c r="P509" s="14" t="n">
        <v>9.782999999999999</v>
      </c>
      <c r="Q509" s="14" t="n">
        <v>0</v>
      </c>
      <c r="R509" s="14" t="n">
        <v>1</v>
      </c>
      <c r="S509" s="14" t="n">
        <v>14.962</v>
      </c>
      <c r="T509" s="14" t="n">
        <v>7.408</v>
      </c>
      <c r="U509" s="14" t="n">
        <v>0</v>
      </c>
      <c r="V509" s="14" t="n">
        <v>14.962</v>
      </c>
      <c r="W509" s="14" t="n">
        <v>0</v>
      </c>
      <c r="X509" s="14" t="n">
        <v>1</v>
      </c>
      <c r="Y509" s="14" t="n">
        <v>17.332</v>
      </c>
      <c r="Z509" s="14" t="n">
        <v>2.139</v>
      </c>
      <c r="AA509" s="14" t="n">
        <v>0</v>
      </c>
      <c r="AB509" s="14" t="n">
        <v>17.332</v>
      </c>
      <c r="AC509" s="14" t="n">
        <v>0</v>
      </c>
      <c r="AD509" s="14" t="n">
        <v>1</v>
      </c>
      <c r="AE509" s="14" t="n">
        <v>18.566</v>
      </c>
      <c r="AF509" s="14" t="n">
        <v>4.048</v>
      </c>
      <c r="AG509" s="14" t="n">
        <v>0</v>
      </c>
      <c r="AH509" s="14" t="n">
        <v>18.566</v>
      </c>
      <c r="AI509" s="14" t="n">
        <v>0</v>
      </c>
      <c r="AJ509" s="14" t="n">
        <v>1</v>
      </c>
      <c r="AK509" s="14" t="n">
        <v>25.974</v>
      </c>
      <c r="AL509" s="14" t="n">
        <v>13.478</v>
      </c>
      <c r="AM509" s="14" t="n">
        <v>0</v>
      </c>
      <c r="AN509" s="14" t="n">
        <v>25.974</v>
      </c>
      <c r="AO509" s="14" t="n">
        <v>0</v>
      </c>
      <c r="AP509" s="14" t="n">
        <v>1</v>
      </c>
      <c r="AQ509" s="14" t="n">
        <v>0.847</v>
      </c>
      <c r="AR509" s="14" t="n">
        <v>0.123</v>
      </c>
      <c r="AS509" s="14" t="n">
        <v>0</v>
      </c>
      <c r="AT509" s="14" t="n">
        <v>0.847</v>
      </c>
      <c r="AU509" s="14" t="n">
        <v>0</v>
      </c>
      <c r="AV509" s="14" t="n">
        <v>1</v>
      </c>
      <c r="AW509" s="14" t="n">
        <v>0.947</v>
      </c>
      <c r="AX509" s="14" t="n">
        <v>0.123</v>
      </c>
      <c r="AY509" s="14" t="n">
        <v>0</v>
      </c>
      <c r="AZ509" s="14" t="n">
        <v>0.947</v>
      </c>
      <c r="BA509" s="14" t="n">
        <v>0</v>
      </c>
      <c r="BB509" s="14" t="n">
        <v>1</v>
      </c>
      <c r="BC509" s="14" t="n">
        <v>0.589</v>
      </c>
      <c r="BD509" s="14" t="n">
        <v>0.123</v>
      </c>
      <c r="BE509" s="14" t="n">
        <v>0</v>
      </c>
      <c r="BF509" s="14" t="n">
        <v>0.589</v>
      </c>
      <c r="BG509" s="14" t="n">
        <v>0</v>
      </c>
      <c r="BH509" s="14" t="n">
        <v>1</v>
      </c>
      <c r="BI509" s="14" t="n">
        <v>0.6889999999999999</v>
      </c>
      <c r="BJ509" s="14" t="n">
        <v>0.123</v>
      </c>
      <c r="BK509" s="14" t="n">
        <v>0</v>
      </c>
      <c r="BL509" s="14" t="n">
        <v>0.6889999999999999</v>
      </c>
      <c r="BM509" s="14" t="n">
        <v>0</v>
      </c>
      <c r="BN509" s="14" t="n">
        <v>1</v>
      </c>
      <c r="BO509" s="14" t="n">
        <v>0</v>
      </c>
      <c r="BP509" s="14" t="n">
        <v>0</v>
      </c>
      <c r="BQ509" s="14" t="n">
        <v>0</v>
      </c>
      <c r="BR509" s="14" t="n">
        <v>0</v>
      </c>
      <c r="BS509" s="14" t="n">
        <v>1</v>
      </c>
      <c r="BT509" s="14" t="n">
        <v>0</v>
      </c>
      <c r="BU509" s="14" t="n">
        <v>0</v>
      </c>
      <c r="BV509" s="14" t="n">
        <v>0</v>
      </c>
      <c r="BW509" s="14" t="n">
        <v>0</v>
      </c>
      <c r="BX509" s="14" t="n">
        <v>1</v>
      </c>
      <c r="BY509" s="14" t="n">
        <v>12.729</v>
      </c>
      <c r="BZ509" s="14" t="n">
        <v>0</v>
      </c>
      <c r="CA509" s="14" t="n">
        <v>12.729</v>
      </c>
      <c r="CB509" s="14" t="n">
        <v>0</v>
      </c>
      <c r="CC509" s="14" t="n">
        <v>102.477</v>
      </c>
      <c r="CD509" s="14" t="n">
        <v>7.95</v>
      </c>
      <c r="CE509" s="14" t="n">
        <v>0</v>
      </c>
      <c r="CF509" s="14" t="n">
        <v>102.477</v>
      </c>
      <c r="CG509" s="14" t="n">
        <v>0</v>
      </c>
      <c r="CH509" s="14" t="n">
        <v>1</v>
      </c>
      <c r="CI509" s="14" t="n">
        <v>0</v>
      </c>
      <c r="CJ509" s="14" t="n">
        <v>0</v>
      </c>
      <c r="CK509" s="14" t="n">
        <v>0</v>
      </c>
      <c r="CL509" s="14" t="n">
        <v>0</v>
      </c>
      <c r="CM509" s="14" t="n">
        <v>0</v>
      </c>
      <c r="CN509" s="14" t="n">
        <v>0</v>
      </c>
      <c r="CO509" s="14" t="n">
        <v>0</v>
      </c>
      <c r="CP509" s="14" t="n">
        <v>0</v>
      </c>
      <c r="CQ509" s="14" t="n">
        <v>1.294</v>
      </c>
      <c r="CR509" s="14" t="n">
        <v>0</v>
      </c>
      <c r="CS509" s="14" t="n">
        <v>5.158</v>
      </c>
      <c r="CT509" s="14" t="n">
        <v>7.554</v>
      </c>
      <c r="CU509" s="14" t="n">
        <v>16.097</v>
      </c>
    </row>
    <row r="510">
      <c r="A510" s="14" t="inlineStr">
        <is>
          <t>MHL2023</t>
        </is>
      </c>
      <c r="B510" s="14" t="inlineStr">
        <is>
          <t>MHL</t>
        </is>
      </c>
      <c r="C510" s="14" t="inlineStr">
        <is>
          <t>MHL</t>
        </is>
      </c>
      <c r="D510" s="14" t="inlineStr">
        <is>
          <t>Marshall Islands</t>
        </is>
      </c>
      <c r="E510" s="14" t="n">
        <v>2023</v>
      </c>
      <c r="F510" s="14" t="n">
        <v>0</v>
      </c>
      <c r="G510" s="14" t="n">
        <v>5.77</v>
      </c>
      <c r="H510" s="14" t="n">
        <v>1.286</v>
      </c>
      <c r="I510" s="14" t="n">
        <v>0</v>
      </c>
      <c r="J510" s="14" t="n">
        <v>5.77</v>
      </c>
      <c r="K510" s="14" t="n">
        <v>0</v>
      </c>
      <c r="L510" s="14" t="n">
        <v>1</v>
      </c>
      <c r="M510" s="14" t="n">
        <v>7.886</v>
      </c>
      <c r="N510" s="14" t="n">
        <v>3.857</v>
      </c>
      <c r="O510" s="14" t="n">
        <v>0</v>
      </c>
      <c r="P510" s="14" t="n">
        <v>7.886</v>
      </c>
      <c r="Q510" s="14" t="n">
        <v>0</v>
      </c>
      <c r="R510" s="14" t="n">
        <v>1</v>
      </c>
      <c r="S510" s="14" t="n">
        <v>12.198</v>
      </c>
      <c r="T510" s="14" t="n">
        <v>7.714</v>
      </c>
      <c r="U510" s="14" t="n">
        <v>0</v>
      </c>
      <c r="V510" s="14" t="n">
        <v>12.198</v>
      </c>
      <c r="W510" s="14" t="n">
        <v>0</v>
      </c>
      <c r="X510" s="14" t="n">
        <v>1</v>
      </c>
      <c r="Y510" s="14" t="n">
        <v>13.814</v>
      </c>
      <c r="Z510" s="14" t="n">
        <v>1.705</v>
      </c>
      <c r="AA510" s="14" t="n">
        <v>0</v>
      </c>
      <c r="AB510" s="14" t="n">
        <v>13.814</v>
      </c>
      <c r="AC510" s="14" t="n">
        <v>0</v>
      </c>
      <c r="AD510" s="14" t="n">
        <v>1</v>
      </c>
      <c r="AE510" s="14" t="n">
        <v>15.1</v>
      </c>
      <c r="AF510" s="14" t="n">
        <v>3.292</v>
      </c>
      <c r="AG510" s="14" t="n">
        <v>0</v>
      </c>
      <c r="AH510" s="14" t="n">
        <v>15.1</v>
      </c>
      <c r="AI510" s="14" t="n">
        <v>0</v>
      </c>
      <c r="AJ510" s="14" t="n">
        <v>1</v>
      </c>
      <c r="AK510" s="14" t="n">
        <v>22.814</v>
      </c>
      <c r="AL510" s="14" t="n">
        <v>11.838</v>
      </c>
      <c r="AM510" s="14" t="n">
        <v>0</v>
      </c>
      <c r="AN510" s="14" t="n">
        <v>22.814</v>
      </c>
      <c r="AO510" s="14" t="n">
        <v>0</v>
      </c>
      <c r="AP510" s="14" t="n">
        <v>1</v>
      </c>
      <c r="AQ510" s="14" t="n">
        <v>0.749</v>
      </c>
      <c r="AR510" s="14" t="n">
        <v>0.129</v>
      </c>
      <c r="AS510" s="14" t="n">
        <v>0</v>
      </c>
      <c r="AT510" s="14" t="n">
        <v>0.749</v>
      </c>
      <c r="AU510" s="14" t="n">
        <v>0</v>
      </c>
      <c r="AV510" s="14" t="n">
        <v>1</v>
      </c>
      <c r="AW510" s="14" t="n">
        <v>0.783</v>
      </c>
      <c r="AX510" s="14" t="n">
        <v>0.129</v>
      </c>
      <c r="AY510" s="14" t="n">
        <v>0</v>
      </c>
      <c r="AZ510" s="14" t="n">
        <v>0.783</v>
      </c>
      <c r="BA510" s="14" t="n">
        <v>0</v>
      </c>
      <c r="BB510" s="14" t="n">
        <v>1</v>
      </c>
      <c r="BC510" s="14" t="n">
        <v>0.527</v>
      </c>
      <c r="BD510" s="14" t="n">
        <v>0.129</v>
      </c>
      <c r="BE510" s="14" t="n">
        <v>0</v>
      </c>
      <c r="BF510" s="14" t="n">
        <v>0.527</v>
      </c>
      <c r="BG510" s="14" t="n">
        <v>0</v>
      </c>
      <c r="BH510" s="14" t="n">
        <v>1</v>
      </c>
      <c r="BI510" s="14" t="n">
        <v>0.64</v>
      </c>
      <c r="BJ510" s="14" t="n">
        <v>0.129</v>
      </c>
      <c r="BK510" s="14" t="n">
        <v>0</v>
      </c>
      <c r="BL510" s="14" t="n">
        <v>0.64</v>
      </c>
      <c r="BM510" s="14" t="n">
        <v>0</v>
      </c>
      <c r="BN510" s="14" t="n">
        <v>1</v>
      </c>
      <c r="BO510" s="14" t="n">
        <v>0</v>
      </c>
      <c r="BP510" s="14" t="n">
        <v>0</v>
      </c>
      <c r="BQ510" s="14" t="n">
        <v>0</v>
      </c>
      <c r="BR510" s="14" t="n">
        <v>0</v>
      </c>
      <c r="BS510" s="14" t="n">
        <v>1</v>
      </c>
      <c r="BT510" s="14" t="n">
        <v>0</v>
      </c>
      <c r="BU510" s="14" t="n">
        <v>0</v>
      </c>
      <c r="BV510" s="14" t="n">
        <v>0</v>
      </c>
      <c r="BW510" s="14" t="n">
        <v>0</v>
      </c>
      <c r="BX510" s="14" t="n">
        <v>1</v>
      </c>
      <c r="BY510" s="14" t="n">
        <v>13.254</v>
      </c>
      <c r="BZ510" s="14" t="n">
        <v>0</v>
      </c>
      <c r="CA510" s="14" t="n">
        <v>13.254</v>
      </c>
      <c r="CB510" s="14" t="n">
        <v>0</v>
      </c>
      <c r="CC510" s="14" t="n">
        <v>87.07899999999999</v>
      </c>
      <c r="CD510" s="14" t="n">
        <v>7.95</v>
      </c>
      <c r="CE510" s="14" t="n">
        <v>0</v>
      </c>
      <c r="CF510" s="14" t="n">
        <v>87.07899999999999</v>
      </c>
      <c r="CG510" s="14" t="n">
        <v>0</v>
      </c>
      <c r="CH510" s="14" t="n">
        <v>1</v>
      </c>
      <c r="CI510" s="14" t="n">
        <v>0</v>
      </c>
      <c r="CJ510" s="14" t="n">
        <v>0</v>
      </c>
      <c r="CK510" s="14" t="n">
        <v>0</v>
      </c>
      <c r="CL510" s="14" t="n">
        <v>0</v>
      </c>
      <c r="CM510" s="14" t="n">
        <v>0</v>
      </c>
      <c r="CN510" s="14" t="n">
        <v>0</v>
      </c>
      <c r="CO510" s="14" t="n">
        <v>0</v>
      </c>
      <c r="CP510" s="14" t="n">
        <v>0</v>
      </c>
      <c r="CQ510" s="14" t="n">
        <v>1.348</v>
      </c>
      <c r="CR510" s="14" t="n">
        <v>0</v>
      </c>
      <c r="CS510" s="14" t="n">
        <v>5.37</v>
      </c>
      <c r="CT510" s="14" t="n">
        <v>4.484</v>
      </c>
      <c r="CU510" s="14" t="n">
        <v>12.529</v>
      </c>
    </row>
    <row r="511">
      <c r="A511" s="14" t="inlineStr">
        <is>
          <t>MHL2024</t>
        </is>
      </c>
      <c r="B511" s="14" t="inlineStr">
        <is>
          <t>MHL</t>
        </is>
      </c>
      <c r="C511" s="14" t="inlineStr">
        <is>
          <t>MHL</t>
        </is>
      </c>
      <c r="D511" s="14" t="inlineStr">
        <is>
          <t>Marshall Islands</t>
        </is>
      </c>
      <c r="E511" s="14" t="n">
        <v>2024</v>
      </c>
      <c r="F511" s="14" t="n">
        <v>0</v>
      </c>
      <c r="G511" s="14" t="n">
        <v>4.833</v>
      </c>
      <c r="H511" s="14" t="n">
        <v>1.324</v>
      </c>
      <c r="I511" s="14" t="n">
        <v>0</v>
      </c>
      <c r="J511" s="14" t="n">
        <v>4.833</v>
      </c>
      <c r="K511" s="14" t="n">
        <v>0</v>
      </c>
      <c r="L511" s="14" t="n">
        <v>1</v>
      </c>
      <c r="M511" s="14" t="n">
        <v>7.124</v>
      </c>
      <c r="N511" s="14" t="n">
        <v>3.971</v>
      </c>
      <c r="O511" s="14" t="n">
        <v>0</v>
      </c>
      <c r="P511" s="14" t="n">
        <v>7.124</v>
      </c>
      <c r="Q511" s="14" t="n">
        <v>0</v>
      </c>
      <c r="R511" s="14" t="n">
        <v>1</v>
      </c>
      <c r="S511" s="14" t="n">
        <v>11.451</v>
      </c>
      <c r="T511" s="14" t="n">
        <v>7.942</v>
      </c>
      <c r="U511" s="14" t="n">
        <v>0</v>
      </c>
      <c r="V511" s="14" t="n">
        <v>11.451</v>
      </c>
      <c r="W511" s="14" t="n">
        <v>0</v>
      </c>
      <c r="X511" s="14" t="n">
        <v>1</v>
      </c>
      <c r="Y511" s="14" t="n">
        <v>12.219</v>
      </c>
      <c r="Z511" s="14" t="n">
        <v>1.508</v>
      </c>
      <c r="AA511" s="14" t="n">
        <v>0</v>
      </c>
      <c r="AB511" s="14" t="n">
        <v>12.219</v>
      </c>
      <c r="AC511" s="14" t="n">
        <v>0</v>
      </c>
      <c r="AD511" s="14" t="n">
        <v>1</v>
      </c>
      <c r="AE511" s="14" t="n">
        <v>13.543</v>
      </c>
      <c r="AF511" s="14" t="n">
        <v>2.952</v>
      </c>
      <c r="AG511" s="14" t="n">
        <v>0</v>
      </c>
      <c r="AH511" s="14" t="n">
        <v>13.543</v>
      </c>
      <c r="AI511" s="14" t="n">
        <v>0</v>
      </c>
      <c r="AJ511" s="14" t="n">
        <v>1</v>
      </c>
      <c r="AK511" s="14" t="n">
        <v>21.484</v>
      </c>
      <c r="AL511" s="14" t="n">
        <v>11.148</v>
      </c>
      <c r="AM511" s="14" t="n">
        <v>0</v>
      </c>
      <c r="AN511" s="14" t="n">
        <v>21.484</v>
      </c>
      <c r="AO511" s="14" t="n">
        <v>0</v>
      </c>
      <c r="AP511" s="14" t="n">
        <v>1</v>
      </c>
      <c r="AQ511" s="14" t="n">
        <v>0.72</v>
      </c>
      <c r="AR511" s="14" t="n">
        <v>0.132</v>
      </c>
      <c r="AS511" s="14" t="n">
        <v>0</v>
      </c>
      <c r="AT511" s="14" t="n">
        <v>0.72</v>
      </c>
      <c r="AU511" s="14" t="n">
        <v>0</v>
      </c>
      <c r="AV511" s="14" t="n">
        <v>1</v>
      </c>
      <c r="AW511" s="14" t="n">
        <v>0.734</v>
      </c>
      <c r="AX511" s="14" t="n">
        <v>0.132</v>
      </c>
      <c r="AY511" s="14" t="n">
        <v>0</v>
      </c>
      <c r="AZ511" s="14" t="n">
        <v>0.734</v>
      </c>
      <c r="BA511" s="14" t="n">
        <v>0</v>
      </c>
      <c r="BB511" s="14" t="n">
        <v>1</v>
      </c>
      <c r="BC511" s="14" t="n">
        <v>0.51</v>
      </c>
      <c r="BD511" s="14" t="n">
        <v>0.132</v>
      </c>
      <c r="BE511" s="14" t="n">
        <v>0</v>
      </c>
      <c r="BF511" s="14" t="n">
        <v>0.51</v>
      </c>
      <c r="BG511" s="14" t="n">
        <v>0</v>
      </c>
      <c r="BH511" s="14" t="n">
        <v>1</v>
      </c>
      <c r="BI511" s="14" t="n">
        <v>0.652</v>
      </c>
      <c r="BJ511" s="14" t="n">
        <v>0.132</v>
      </c>
      <c r="BK511" s="14" t="n">
        <v>0</v>
      </c>
      <c r="BL511" s="14" t="n">
        <v>0.652</v>
      </c>
      <c r="BM511" s="14" t="n">
        <v>0</v>
      </c>
      <c r="BN511" s="14" t="n">
        <v>1</v>
      </c>
      <c r="BO511" s="14" t="n">
        <v>0</v>
      </c>
      <c r="BP511" s="14" t="n">
        <v>0</v>
      </c>
      <c r="BQ511" s="14" t="n">
        <v>0</v>
      </c>
      <c r="BR511" s="14" t="n">
        <v>0</v>
      </c>
      <c r="BS511" s="14" t="n">
        <v>1</v>
      </c>
      <c r="BT511" s="14" t="n">
        <v>0</v>
      </c>
      <c r="BU511" s="14" t="n">
        <v>0</v>
      </c>
      <c r="BV511" s="14" t="n">
        <v>0</v>
      </c>
      <c r="BW511" s="14" t="n">
        <v>0</v>
      </c>
      <c r="BX511" s="14" t="n">
        <v>1</v>
      </c>
      <c r="BY511" s="14" t="n">
        <v>13.646</v>
      </c>
      <c r="BZ511" s="14" t="n">
        <v>0</v>
      </c>
      <c r="CA511" s="14" t="n">
        <v>13.646</v>
      </c>
      <c r="CB511" s="14" t="n">
        <v>0</v>
      </c>
      <c r="CC511" s="14" t="n">
        <v>86.38500000000001</v>
      </c>
      <c r="CD511" s="14" t="n">
        <v>7.95</v>
      </c>
      <c r="CE511" s="14" t="n">
        <v>0</v>
      </c>
      <c r="CF511" s="14" t="n">
        <v>86.38500000000001</v>
      </c>
      <c r="CG511" s="14" t="n">
        <v>0</v>
      </c>
      <c r="CH511" s="14" t="n">
        <v>1</v>
      </c>
      <c r="CI511" s="14" t="n">
        <v>0</v>
      </c>
      <c r="CJ511" s="14" t="n">
        <v>0</v>
      </c>
      <c r="CK511" s="14" t="n">
        <v>0</v>
      </c>
      <c r="CL511" s="14" t="n">
        <v>0</v>
      </c>
      <c r="CM511" s="14" t="n">
        <v>0</v>
      </c>
      <c r="CN511" s="14" t="n">
        <v>0</v>
      </c>
      <c r="CO511" s="14" t="n">
        <v>0</v>
      </c>
      <c r="CP511" s="14" t="n">
        <v>0</v>
      </c>
      <c r="CQ511" s="14" t="n">
        <v>1.387</v>
      </c>
      <c r="CR511" s="14" t="n">
        <v>0</v>
      </c>
      <c r="CS511" s="14" t="n">
        <v>5.529</v>
      </c>
      <c r="CT511" s="14" t="n">
        <v>3.509</v>
      </c>
      <c r="CU511" s="14" t="n">
        <v>10.896</v>
      </c>
    </row>
    <row r="512">
      <c r="A512" s="14" t="inlineStr">
        <is>
          <t>MRT2021</t>
        </is>
      </c>
      <c r="B512" s="14" t="inlineStr">
        <is>
          <t>MRT</t>
        </is>
      </c>
      <c r="C512" s="14" t="inlineStr">
        <is>
          <t>MRT</t>
        </is>
      </c>
      <c r="D512" s="14" t="inlineStr">
        <is>
          <t>Mauritania</t>
        </is>
      </c>
      <c r="E512" s="14" t="n">
        <v>2021</v>
      </c>
      <c r="F512" s="14" t="n">
        <v>0.16</v>
      </c>
      <c r="G512" s="14" t="n">
        <v>5.897</v>
      </c>
      <c r="H512" s="14" t="n">
        <v>1.143</v>
      </c>
      <c r="I512" s="14" t="n">
        <v>0</v>
      </c>
      <c r="J512" s="14" t="n">
        <v>5.897</v>
      </c>
      <c r="K512" s="14" t="n">
        <v>0</v>
      </c>
      <c r="L512" s="14" t="n">
        <v>1</v>
      </c>
      <c r="M512" s="14" t="n">
        <v>7.964</v>
      </c>
      <c r="N512" s="14" t="n">
        <v>3.43</v>
      </c>
      <c r="O512" s="14" t="n">
        <v>0</v>
      </c>
      <c r="P512" s="14" t="n">
        <v>7.964</v>
      </c>
      <c r="Q512" s="14" t="n">
        <v>0</v>
      </c>
      <c r="R512" s="14" t="n">
        <v>1</v>
      </c>
      <c r="S512" s="14" t="n">
        <v>11.613</v>
      </c>
      <c r="T512" s="14" t="n">
        <v>6.86</v>
      </c>
      <c r="U512" s="14" t="n">
        <v>0</v>
      </c>
      <c r="V512" s="14" t="n">
        <v>13.471</v>
      </c>
      <c r="W512" s="14" t="n">
        <v>0.16</v>
      </c>
      <c r="X512" s="14" t="n">
        <v>1</v>
      </c>
      <c r="Y512" s="14" t="n">
        <v>6.913</v>
      </c>
      <c r="Z512" s="14" t="n">
        <v>0.9340000000000001</v>
      </c>
      <c r="AA512" s="14" t="n">
        <v>0</v>
      </c>
      <c r="AB512" s="14" t="n">
        <v>6.913</v>
      </c>
      <c r="AC512" s="14" t="n">
        <v>0</v>
      </c>
      <c r="AD512" s="14" t="n">
        <v>1</v>
      </c>
      <c r="AE512" s="14" t="n">
        <v>8.055999999999999</v>
      </c>
      <c r="AF512" s="14" t="n">
        <v>1.884</v>
      </c>
      <c r="AG512" s="14" t="n">
        <v>0</v>
      </c>
      <c r="AH512" s="14" t="n">
        <v>8.055999999999999</v>
      </c>
      <c r="AI512" s="14" t="n">
        <v>0</v>
      </c>
      <c r="AJ512" s="14" t="n">
        <v>1</v>
      </c>
      <c r="AK512" s="14" t="n">
        <v>14.916</v>
      </c>
      <c r="AL512" s="14" t="n">
        <v>7.944</v>
      </c>
      <c r="AM512" s="14" t="n">
        <v>0</v>
      </c>
      <c r="AN512" s="14" t="n">
        <v>17.303</v>
      </c>
      <c r="AO512" s="14" t="n">
        <v>0.16</v>
      </c>
      <c r="AP512" s="14" t="n">
        <v>1</v>
      </c>
      <c r="AQ512" s="14" t="n">
        <v>0.619</v>
      </c>
      <c r="AR512" s="14" t="n">
        <v>0.114</v>
      </c>
      <c r="AS512" s="14" t="n">
        <v>0.424</v>
      </c>
      <c r="AT512" s="14" t="n">
        <v>1.21</v>
      </c>
      <c r="AU512" s="14" t="n">
        <v>0.16</v>
      </c>
      <c r="AV512" s="14" t="n">
        <v>1</v>
      </c>
      <c r="AW512" s="14" t="n">
        <v>0.599</v>
      </c>
      <c r="AX512" s="14" t="n">
        <v>0.114</v>
      </c>
      <c r="AY512" s="14" t="n">
        <v>0.32</v>
      </c>
      <c r="AZ512" s="14" t="n">
        <v>1.067</v>
      </c>
      <c r="BA512" s="14" t="n">
        <v>0.16</v>
      </c>
      <c r="BB512" s="14" t="n">
        <v>1</v>
      </c>
      <c r="BC512" s="14" t="n">
        <v>0.439</v>
      </c>
      <c r="BD512" s="14" t="n">
        <v>0.114</v>
      </c>
      <c r="BE512" s="14" t="n">
        <v>-0.099</v>
      </c>
      <c r="BF512" s="14" t="n">
        <v>0.34</v>
      </c>
      <c r="BG512" s="14" t="n">
        <v>0</v>
      </c>
      <c r="BH512" s="14" t="n">
        <v>0</v>
      </c>
      <c r="BI512" s="14" t="n">
        <v>0.505</v>
      </c>
      <c r="BJ512" s="14" t="n">
        <v>0.114</v>
      </c>
      <c r="BK512" s="14" t="n">
        <v>0.659</v>
      </c>
      <c r="BL512" s="14" t="n">
        <v>1.35</v>
      </c>
      <c r="BM512" s="14" t="n">
        <v>0.16</v>
      </c>
      <c r="BN512" s="14" t="n">
        <v>1</v>
      </c>
      <c r="BO512" s="14" t="n">
        <v>0</v>
      </c>
      <c r="BP512" s="14" t="n">
        <v>0</v>
      </c>
      <c r="BQ512" s="14" t="n">
        <v>0.164</v>
      </c>
      <c r="BR512" s="14" t="n">
        <v>0</v>
      </c>
      <c r="BS512" s="14" t="n">
        <v>0.667</v>
      </c>
      <c r="BT512" s="14" t="n">
        <v>0</v>
      </c>
      <c r="BU512" s="14" t="n">
        <v>0</v>
      </c>
      <c r="BV512" s="14" t="n">
        <v>0.164</v>
      </c>
      <c r="BW512" s="14" t="n">
        <v>0</v>
      </c>
      <c r="BX512" s="14" t="n">
        <v>0.667</v>
      </c>
      <c r="BY512" s="14" t="n">
        <v>11.787</v>
      </c>
      <c r="BZ512" s="14" t="n">
        <v>0</v>
      </c>
      <c r="CA512" s="14" t="n">
        <v>11.787</v>
      </c>
      <c r="CB512" s="14" t="n">
        <v>0</v>
      </c>
      <c r="CC512" s="14" t="n">
        <v>78.125</v>
      </c>
      <c r="CD512" s="14" t="n">
        <v>7.95</v>
      </c>
      <c r="CE512" s="14" t="n">
        <v>0</v>
      </c>
      <c r="CF512" s="14" t="n">
        <v>90.625</v>
      </c>
      <c r="CG512" s="14" t="n">
        <v>0.16</v>
      </c>
      <c r="CH512" s="14" t="n">
        <v>1</v>
      </c>
      <c r="CI512" s="14" t="n">
        <v>0</v>
      </c>
      <c r="CJ512" s="14" t="n">
        <v>0</v>
      </c>
      <c r="CK512" s="14" t="n">
        <v>0</v>
      </c>
      <c r="CL512" s="14" t="n">
        <v>0</v>
      </c>
      <c r="CM512" s="14" t="n">
        <v>0</v>
      </c>
      <c r="CN512" s="14" t="n">
        <v>0</v>
      </c>
      <c r="CO512" s="14" t="n">
        <v>0</v>
      </c>
      <c r="CP512" s="14" t="n">
        <v>0</v>
      </c>
      <c r="CQ512" s="14" t="n">
        <v>1.198</v>
      </c>
      <c r="CR512" s="14" t="n">
        <v>0</v>
      </c>
      <c r="CS512" s="14" t="n">
        <v>4.949</v>
      </c>
      <c r="CT512" s="14" t="n">
        <v>4.753</v>
      </c>
      <c r="CU512" s="14" t="n">
        <v>15.162</v>
      </c>
    </row>
    <row r="513">
      <c r="A513" s="14" t="inlineStr">
        <is>
          <t>MRT2022</t>
        </is>
      </c>
      <c r="B513" s="14" t="inlineStr">
        <is>
          <t>MRT</t>
        </is>
      </c>
      <c r="C513" s="14" t="inlineStr">
        <is>
          <t>MRT</t>
        </is>
      </c>
      <c r="D513" s="14" t="inlineStr">
        <is>
          <t>Mauritania</t>
        </is>
      </c>
      <c r="E513" s="14" t="n">
        <v>2022</v>
      </c>
      <c r="F513" s="14" t="n">
        <v>0.16</v>
      </c>
      <c r="G513" s="14" t="n">
        <v>11.72</v>
      </c>
      <c r="H513" s="14" t="n">
        <v>1.235</v>
      </c>
      <c r="I513" s="14" t="n">
        <v>0</v>
      </c>
      <c r="J513" s="14" t="n">
        <v>11.72</v>
      </c>
      <c r="K513" s="14" t="n">
        <v>0</v>
      </c>
      <c r="L513" s="14" t="n">
        <v>1</v>
      </c>
      <c r="M513" s="14" t="n">
        <v>9.782999999999999</v>
      </c>
      <c r="N513" s="14" t="n">
        <v>3.704</v>
      </c>
      <c r="O513" s="14" t="n">
        <v>0</v>
      </c>
      <c r="P513" s="14" t="n">
        <v>9.782999999999999</v>
      </c>
      <c r="Q513" s="14" t="n">
        <v>0</v>
      </c>
      <c r="R513" s="14" t="n">
        <v>1</v>
      </c>
      <c r="S513" s="14" t="n">
        <v>17.893</v>
      </c>
      <c r="T513" s="14" t="n">
        <v>7.408</v>
      </c>
      <c r="U513" s="14" t="n">
        <v>0.212</v>
      </c>
      <c r="V513" s="14" t="n">
        <v>20.756</v>
      </c>
      <c r="W513" s="14" t="n">
        <v>0.16</v>
      </c>
      <c r="X513" s="14" t="n">
        <v>1</v>
      </c>
      <c r="Y513" s="14" t="n">
        <v>6.579</v>
      </c>
      <c r="Z513" s="14" t="n">
        <v>0.889</v>
      </c>
      <c r="AA513" s="14" t="n">
        <v>0</v>
      </c>
      <c r="AB513" s="14" t="n">
        <v>6.579</v>
      </c>
      <c r="AC513" s="14" t="n">
        <v>0</v>
      </c>
      <c r="AD513" s="14" t="n">
        <v>1</v>
      </c>
      <c r="AE513" s="14" t="n">
        <v>7.814</v>
      </c>
      <c r="AF513" s="14" t="n">
        <v>1.827</v>
      </c>
      <c r="AG513" s="14" t="n">
        <v>0</v>
      </c>
      <c r="AH513" s="14" t="n">
        <v>7.814</v>
      </c>
      <c r="AI513" s="14" t="n">
        <v>0</v>
      </c>
      <c r="AJ513" s="14" t="n">
        <v>1</v>
      </c>
      <c r="AK513" s="14" t="n">
        <v>15.222</v>
      </c>
      <c r="AL513" s="14" t="n">
        <v>8.106999999999999</v>
      </c>
      <c r="AM513" s="14" t="n">
        <v>0.18</v>
      </c>
      <c r="AN513" s="14" t="n">
        <v>17.657</v>
      </c>
      <c r="AO513" s="14" t="n">
        <v>0.16</v>
      </c>
      <c r="AP513" s="14" t="n">
        <v>1</v>
      </c>
      <c r="AQ513" s="14" t="n">
        <v>0.861</v>
      </c>
      <c r="AR513" s="14" t="n">
        <v>0.123</v>
      </c>
      <c r="AS513" s="14" t="n">
        <v>0.277</v>
      </c>
      <c r="AT513" s="14" t="n">
        <v>1.321</v>
      </c>
      <c r="AU513" s="14" t="n">
        <v>0.16</v>
      </c>
      <c r="AV513" s="14" t="n">
        <v>1</v>
      </c>
      <c r="AW513" s="14" t="n">
        <v>0.986</v>
      </c>
      <c r="AX513" s="14" t="n">
        <v>0.123</v>
      </c>
      <c r="AY513" s="14" t="n">
        <v>0.018</v>
      </c>
      <c r="AZ513" s="14" t="n">
        <v>1.164</v>
      </c>
      <c r="BA513" s="14" t="n">
        <v>0.16</v>
      </c>
      <c r="BB513" s="14" t="n">
        <v>1</v>
      </c>
      <c r="BC513" s="14" t="n">
        <v>0.598</v>
      </c>
      <c r="BD513" s="14" t="n">
        <v>0.123</v>
      </c>
      <c r="BE513" s="14" t="n">
        <v>-0.272</v>
      </c>
      <c r="BF513" s="14" t="n">
        <v>0.326</v>
      </c>
      <c r="BG513" s="14" t="n">
        <v>0</v>
      </c>
      <c r="BH513" s="14" t="n">
        <v>0</v>
      </c>
      <c r="BI513" s="14" t="n">
        <v>0.612</v>
      </c>
      <c r="BJ513" s="14" t="n">
        <v>0.123</v>
      </c>
      <c r="BK513" s="14" t="n">
        <v>0.505</v>
      </c>
      <c r="BL513" s="14" t="n">
        <v>1.296</v>
      </c>
      <c r="BM513" s="14" t="n">
        <v>0.16</v>
      </c>
      <c r="BN513" s="14" t="n">
        <v>1</v>
      </c>
      <c r="BO513" s="14" t="n">
        <v>0</v>
      </c>
      <c r="BP513" s="14" t="n">
        <v>0</v>
      </c>
      <c r="BQ513" s="14" t="n">
        <v>0.159</v>
      </c>
      <c r="BR513" s="14" t="n">
        <v>0</v>
      </c>
      <c r="BS513" s="14" t="n">
        <v>0.667</v>
      </c>
      <c r="BT513" s="14" t="n">
        <v>0</v>
      </c>
      <c r="BU513" s="14" t="n">
        <v>0</v>
      </c>
      <c r="BV513" s="14" t="n">
        <v>0.159</v>
      </c>
      <c r="BW513" s="14" t="n">
        <v>0</v>
      </c>
      <c r="BX513" s="14" t="n">
        <v>0.667</v>
      </c>
      <c r="BY513" s="14" t="n">
        <v>12.729</v>
      </c>
      <c r="BZ513" s="14" t="n">
        <v>0</v>
      </c>
      <c r="CA513" s="14" t="n">
        <v>12.729</v>
      </c>
      <c r="CB513" s="14" t="n">
        <v>0</v>
      </c>
      <c r="CC513" s="14" t="n">
        <v>97.90000000000001</v>
      </c>
      <c r="CD513" s="14" t="n">
        <v>7.95</v>
      </c>
      <c r="CE513" s="14" t="n">
        <v>1.159</v>
      </c>
      <c r="CF513" s="14" t="n">
        <v>113.564</v>
      </c>
      <c r="CG513" s="14" t="n">
        <v>0.16</v>
      </c>
      <c r="CH513" s="14" t="n">
        <v>1</v>
      </c>
      <c r="CI513" s="14" t="n">
        <v>0</v>
      </c>
      <c r="CJ513" s="14" t="n">
        <v>0</v>
      </c>
      <c r="CK513" s="14" t="n">
        <v>0</v>
      </c>
      <c r="CL513" s="14" t="n">
        <v>0</v>
      </c>
      <c r="CM513" s="14" t="n">
        <v>0</v>
      </c>
      <c r="CN513" s="14" t="n">
        <v>0</v>
      </c>
      <c r="CO513" s="14" t="n">
        <v>0</v>
      </c>
      <c r="CP513" s="14" t="n">
        <v>0</v>
      </c>
      <c r="CQ513" s="14" t="n">
        <v>1.294</v>
      </c>
      <c r="CR513" s="14" t="n">
        <v>0</v>
      </c>
      <c r="CS513" s="14" t="n">
        <v>5.344</v>
      </c>
      <c r="CT513" s="14" t="n">
        <v>10.485</v>
      </c>
      <c r="CU513" s="14" t="n">
        <v>31.326</v>
      </c>
    </row>
    <row r="514">
      <c r="A514" s="14" t="inlineStr">
        <is>
          <t>MRT2023</t>
        </is>
      </c>
      <c r="B514" s="14" t="inlineStr">
        <is>
          <t>MRT</t>
        </is>
      </c>
      <c r="C514" s="14" t="inlineStr">
        <is>
          <t>MRT</t>
        </is>
      </c>
      <c r="D514" s="14" t="inlineStr">
        <is>
          <t>Mauritania</t>
        </is>
      </c>
      <c r="E514" s="14" t="n">
        <v>2023</v>
      </c>
      <c r="F514" s="14" t="n">
        <v>0.16</v>
      </c>
      <c r="G514" s="14" t="n">
        <v>6.147</v>
      </c>
      <c r="H514" s="14" t="n">
        <v>1.286</v>
      </c>
      <c r="I514" s="14" t="n">
        <v>0</v>
      </c>
      <c r="J514" s="14" t="n">
        <v>6.147</v>
      </c>
      <c r="K514" s="14" t="n">
        <v>0</v>
      </c>
      <c r="L514" s="14" t="n">
        <v>1</v>
      </c>
      <c r="M514" s="14" t="n">
        <v>7.886</v>
      </c>
      <c r="N514" s="14" t="n">
        <v>3.857</v>
      </c>
      <c r="O514" s="14" t="n">
        <v>0</v>
      </c>
      <c r="P514" s="14" t="n">
        <v>7.886</v>
      </c>
      <c r="Q514" s="14" t="n">
        <v>0</v>
      </c>
      <c r="R514" s="14" t="n">
        <v>1</v>
      </c>
      <c r="S514" s="14" t="n">
        <v>12.575</v>
      </c>
      <c r="T514" s="14" t="n">
        <v>7.714</v>
      </c>
      <c r="U514" s="14" t="n">
        <v>0.223</v>
      </c>
      <c r="V514" s="14" t="n">
        <v>14.587</v>
      </c>
      <c r="W514" s="14" t="n">
        <v>0.16</v>
      </c>
      <c r="X514" s="14" t="n">
        <v>1</v>
      </c>
      <c r="Y514" s="14" t="n">
        <v>6.85</v>
      </c>
      <c r="Z514" s="14" t="n">
        <v>0.926</v>
      </c>
      <c r="AA514" s="14" t="n">
        <v>0</v>
      </c>
      <c r="AB514" s="14" t="n">
        <v>6.85</v>
      </c>
      <c r="AC514" s="14" t="n">
        <v>0</v>
      </c>
      <c r="AD514" s="14" t="n">
        <v>1</v>
      </c>
      <c r="AE514" s="14" t="n">
        <v>8.135999999999999</v>
      </c>
      <c r="AF514" s="14" t="n">
        <v>1.902</v>
      </c>
      <c r="AG514" s="14" t="n">
        <v>0</v>
      </c>
      <c r="AH514" s="14" t="n">
        <v>8.135999999999999</v>
      </c>
      <c r="AI514" s="14" t="n">
        <v>0</v>
      </c>
      <c r="AJ514" s="14" t="n">
        <v>1</v>
      </c>
      <c r="AK514" s="14" t="n">
        <v>15.85</v>
      </c>
      <c r="AL514" s="14" t="n">
        <v>8.442</v>
      </c>
      <c r="AM514" s="14" t="n">
        <v>0.281</v>
      </c>
      <c r="AN514" s="14" t="n">
        <v>18.386</v>
      </c>
      <c r="AO514" s="14" t="n">
        <v>0.16</v>
      </c>
      <c r="AP514" s="14" t="n">
        <v>1</v>
      </c>
      <c r="AQ514" s="14" t="n">
        <v>0.76</v>
      </c>
      <c r="AR514" s="14" t="n">
        <v>0.129</v>
      </c>
      <c r="AS514" s="14" t="n">
        <v>0.532</v>
      </c>
      <c r="AT514" s="14" t="n">
        <v>1.499</v>
      </c>
      <c r="AU514" s="14" t="n">
        <v>0.16</v>
      </c>
      <c r="AV514" s="14" t="n">
        <v>1</v>
      </c>
      <c r="AW514" s="14" t="n">
        <v>0.8110000000000001</v>
      </c>
      <c r="AX514" s="14" t="n">
        <v>0.129</v>
      </c>
      <c r="AY514" s="14" t="n">
        <v>0.329</v>
      </c>
      <c r="AZ514" s="14" t="n">
        <v>1.323</v>
      </c>
      <c r="BA514" s="14" t="n">
        <v>0.16</v>
      </c>
      <c r="BB514" s="14" t="n">
        <v>1</v>
      </c>
      <c r="BC514" s="14" t="n">
        <v>0.535</v>
      </c>
      <c r="BD514" s="14" t="n">
        <v>0.129</v>
      </c>
      <c r="BE514" s="14" t="n">
        <v>-0.211</v>
      </c>
      <c r="BF514" s="14" t="n">
        <v>0.324</v>
      </c>
      <c r="BG514" s="14" t="n">
        <v>0</v>
      </c>
      <c r="BH514" s="14" t="n">
        <v>0</v>
      </c>
      <c r="BI514" s="14" t="n">
        <v>0.579</v>
      </c>
      <c r="BJ514" s="14" t="n">
        <v>0.129</v>
      </c>
      <c r="BK514" s="14" t="n">
        <v>0.532</v>
      </c>
      <c r="BL514" s="14" t="n">
        <v>1.289</v>
      </c>
      <c r="BM514" s="14" t="n">
        <v>0.16</v>
      </c>
      <c r="BN514" s="14" t="n">
        <v>1</v>
      </c>
      <c r="BO514" s="14" t="n">
        <v>0</v>
      </c>
      <c r="BP514" s="14" t="n">
        <v>0</v>
      </c>
      <c r="BQ514" s="14" t="n">
        <v>0.165</v>
      </c>
      <c r="BR514" s="14" t="n">
        <v>0</v>
      </c>
      <c r="BS514" s="14" t="n">
        <v>0.667</v>
      </c>
      <c r="BT514" s="14" t="n">
        <v>0</v>
      </c>
      <c r="BU514" s="14" t="n">
        <v>0</v>
      </c>
      <c r="BV514" s="14" t="n">
        <v>0.165</v>
      </c>
      <c r="BW514" s="14" t="n">
        <v>0</v>
      </c>
      <c r="BX514" s="14" t="n">
        <v>0.667</v>
      </c>
      <c r="BY514" s="14" t="n">
        <v>13.254</v>
      </c>
      <c r="BZ514" s="14" t="n">
        <v>0</v>
      </c>
      <c r="CA514" s="14" t="n">
        <v>13.254</v>
      </c>
      <c r="CB514" s="14" t="n">
        <v>0</v>
      </c>
      <c r="CC514" s="14" t="n">
        <v>83.248</v>
      </c>
      <c r="CD514" s="14" t="n">
        <v>7.95</v>
      </c>
      <c r="CE514" s="14" t="n">
        <v>1.475</v>
      </c>
      <c r="CF514" s="14" t="n">
        <v>96.568</v>
      </c>
      <c r="CG514" s="14" t="n">
        <v>0.16</v>
      </c>
      <c r="CH514" s="14" t="n">
        <v>1</v>
      </c>
      <c r="CI514" s="14" t="n">
        <v>0</v>
      </c>
      <c r="CJ514" s="14" t="n">
        <v>0</v>
      </c>
      <c r="CK514" s="14" t="n">
        <v>0</v>
      </c>
      <c r="CL514" s="14" t="n">
        <v>0</v>
      </c>
      <c r="CM514" s="14" t="n">
        <v>0</v>
      </c>
      <c r="CN514" s="14" t="n">
        <v>0</v>
      </c>
      <c r="CO514" s="14" t="n">
        <v>0</v>
      </c>
      <c r="CP514" s="14" t="n">
        <v>0</v>
      </c>
      <c r="CQ514" s="14" t="n">
        <v>1.348</v>
      </c>
      <c r="CR514" s="14" t="n">
        <v>0</v>
      </c>
      <c r="CS514" s="14" t="n">
        <v>5.565</v>
      </c>
      <c r="CT514" s="14" t="n">
        <v>4.861</v>
      </c>
      <c r="CU514" s="14" t="n">
        <v>11.622</v>
      </c>
    </row>
    <row r="515">
      <c r="A515" s="14" t="inlineStr">
        <is>
          <t>MRT2024</t>
        </is>
      </c>
      <c r="B515" s="14" t="inlineStr">
        <is>
          <t>MRT</t>
        </is>
      </c>
      <c r="C515" s="14" t="inlineStr">
        <is>
          <t>MRT</t>
        </is>
      </c>
      <c r="D515" s="14" t="inlineStr">
        <is>
          <t>Mauritania</t>
        </is>
      </c>
      <c r="E515" s="14" t="n">
        <v>2024</v>
      </c>
      <c r="F515" s="14" t="n">
        <v>0.16</v>
      </c>
      <c r="G515" s="14" t="n">
        <v>5.575</v>
      </c>
      <c r="H515" s="14" t="n">
        <v>1.324</v>
      </c>
      <c r="I515" s="14" t="n">
        <v>0</v>
      </c>
      <c r="J515" s="14" t="n">
        <v>5.575</v>
      </c>
      <c r="K515" s="14" t="n">
        <v>0</v>
      </c>
      <c r="L515" s="14" t="n">
        <v>1</v>
      </c>
      <c r="M515" s="14" t="n">
        <v>7.124</v>
      </c>
      <c r="N515" s="14" t="n">
        <v>3.971</v>
      </c>
      <c r="O515" s="14" t="n">
        <v>0</v>
      </c>
      <c r="P515" s="14" t="n">
        <v>7.124</v>
      </c>
      <c r="Q515" s="14" t="n">
        <v>0</v>
      </c>
      <c r="R515" s="14" t="n">
        <v>1</v>
      </c>
      <c r="S515" s="14" t="n">
        <v>12.193</v>
      </c>
      <c r="T515" s="14" t="n">
        <v>7.942</v>
      </c>
      <c r="U515" s="14" t="n">
        <v>0.266</v>
      </c>
      <c r="V515" s="14" t="n">
        <v>14.144</v>
      </c>
      <c r="W515" s="14" t="n">
        <v>0.16</v>
      </c>
      <c r="X515" s="14" t="n">
        <v>1</v>
      </c>
      <c r="Y515" s="14" t="n">
        <v>7.053</v>
      </c>
      <c r="Z515" s="14" t="n">
        <v>0.953</v>
      </c>
      <c r="AA515" s="14" t="n">
        <v>0</v>
      </c>
      <c r="AB515" s="14" t="n">
        <v>7.053</v>
      </c>
      <c r="AC515" s="14" t="n">
        <v>0</v>
      </c>
      <c r="AD515" s="14" t="n">
        <v>1</v>
      </c>
      <c r="AE515" s="14" t="n">
        <v>8.375999999999999</v>
      </c>
      <c r="AF515" s="14" t="n">
        <v>1.959</v>
      </c>
      <c r="AG515" s="14" t="n">
        <v>0</v>
      </c>
      <c r="AH515" s="14" t="n">
        <v>8.375999999999999</v>
      </c>
      <c r="AI515" s="14" t="n">
        <v>0</v>
      </c>
      <c r="AJ515" s="14" t="n">
        <v>1</v>
      </c>
      <c r="AK515" s="14" t="n">
        <v>16.318</v>
      </c>
      <c r="AL515" s="14" t="n">
        <v>8.691000000000001</v>
      </c>
      <c r="AM515" s="14" t="n">
        <v>0.356</v>
      </c>
      <c r="AN515" s="14" t="n">
        <v>18.929</v>
      </c>
      <c r="AO515" s="14" t="n">
        <v>0.16</v>
      </c>
      <c r="AP515" s="14" t="n">
        <v>1</v>
      </c>
      <c r="AQ515" s="14" t="n">
        <v>0.724</v>
      </c>
      <c r="AR515" s="14" t="n">
        <v>0.132</v>
      </c>
      <c r="AS515" s="14" t="n">
        <v>0.383</v>
      </c>
      <c r="AT515" s="14" t="n">
        <v>1.285</v>
      </c>
      <c r="AU515" s="14" t="n">
        <v>0.16</v>
      </c>
      <c r="AV515" s="14" t="n">
        <v>1</v>
      </c>
      <c r="AW515" s="14" t="n">
        <v>0.75</v>
      </c>
      <c r="AX515" s="14" t="n">
        <v>0.132</v>
      </c>
      <c r="AY515" s="14" t="n">
        <v>0.286</v>
      </c>
      <c r="AZ515" s="14" t="n">
        <v>1.202</v>
      </c>
      <c r="BA515" s="14" t="n">
        <v>0.16</v>
      </c>
      <c r="BB515" s="14" t="n">
        <v>1</v>
      </c>
      <c r="BC515" s="14" t="n">
        <v>0.513</v>
      </c>
      <c r="BD515" s="14" t="n">
        <v>0.132</v>
      </c>
      <c r="BE515" s="14" t="n">
        <v>-0.194</v>
      </c>
      <c r="BF515" s="14" t="n">
        <v>0.319</v>
      </c>
      <c r="BG515" s="14" t="n">
        <v>0</v>
      </c>
      <c r="BH515" s="14" t="n">
        <v>0</v>
      </c>
      <c r="BI515" s="14" t="n">
        <v>0.591</v>
      </c>
      <c r="BJ515" s="14" t="n">
        <v>0.132</v>
      </c>
      <c r="BK515" s="14" t="n">
        <v>0.544</v>
      </c>
      <c r="BL515" s="14" t="n">
        <v>1.317</v>
      </c>
      <c r="BM515" s="14" t="n">
        <v>0.16</v>
      </c>
      <c r="BN515" s="14" t="n">
        <v>1</v>
      </c>
      <c r="BO515" s="14" t="n">
        <v>0</v>
      </c>
      <c r="BP515" s="14" t="n">
        <v>0</v>
      </c>
      <c r="BQ515" s="14" t="n">
        <v>0.17</v>
      </c>
      <c r="BR515" s="14" t="n">
        <v>0</v>
      </c>
      <c r="BS515" s="14" t="n">
        <v>0.667</v>
      </c>
      <c r="BT515" s="14" t="n">
        <v>0</v>
      </c>
      <c r="BU515" s="14" t="n">
        <v>0</v>
      </c>
      <c r="BV515" s="14" t="n">
        <v>0.17</v>
      </c>
      <c r="BW515" s="14" t="n">
        <v>0</v>
      </c>
      <c r="BX515" s="14" t="n">
        <v>0.667</v>
      </c>
      <c r="BY515" s="14" t="n">
        <v>13.646</v>
      </c>
      <c r="BZ515" s="14" t="n">
        <v>0</v>
      </c>
      <c r="CA515" s="14" t="n">
        <v>13.646</v>
      </c>
      <c r="CB515" s="14" t="n">
        <v>0</v>
      </c>
      <c r="CC515" s="14" t="n">
        <v>82.58799999999999</v>
      </c>
      <c r="CD515" s="14" t="n">
        <v>7.95</v>
      </c>
      <c r="CE515" s="14" t="n">
        <v>1.8</v>
      </c>
      <c r="CF515" s="14" t="n">
        <v>95.80200000000001</v>
      </c>
      <c r="CG515" s="14" t="n">
        <v>0.16</v>
      </c>
      <c r="CH515" s="14" t="n">
        <v>1</v>
      </c>
      <c r="CI515" s="14" t="n">
        <v>0</v>
      </c>
      <c r="CJ515" s="14" t="n">
        <v>0</v>
      </c>
      <c r="CK515" s="14" t="n">
        <v>0</v>
      </c>
      <c r="CL515" s="14" t="n">
        <v>0</v>
      </c>
      <c r="CM515" s="14" t="n">
        <v>0</v>
      </c>
      <c r="CN515" s="14" t="n">
        <v>0</v>
      </c>
      <c r="CO515" s="14" t="n">
        <v>0</v>
      </c>
      <c r="CP515" s="14" t="n">
        <v>0</v>
      </c>
      <c r="CQ515" s="14" t="n">
        <v>1.387</v>
      </c>
      <c r="CR515" s="14" t="n">
        <v>0</v>
      </c>
      <c r="CS515" s="14" t="n">
        <v>5.729</v>
      </c>
      <c r="CT515" s="14" t="n">
        <v>4.251</v>
      </c>
      <c r="CU515" s="14" t="n">
        <v>10.168</v>
      </c>
    </row>
    <row r="516">
      <c r="A516" s="14" t="inlineStr">
        <is>
          <t>MUS2021</t>
        </is>
      </c>
      <c r="B516" s="14" t="inlineStr">
        <is>
          <t>MUS</t>
        </is>
      </c>
      <c r="C516" s="14" t="inlineStr">
        <is>
          <t>MUS</t>
        </is>
      </c>
      <c r="D516" s="14" t="inlineStr">
        <is>
          <t>Mauritius</t>
        </is>
      </c>
      <c r="E516" s="14" t="n">
        <v>2021</v>
      </c>
      <c r="F516" s="14" t="n">
        <v>0.15</v>
      </c>
      <c r="G516" s="14" t="n">
        <v>5.897</v>
      </c>
      <c r="H516" s="14" t="n">
        <v>1.143</v>
      </c>
      <c r="I516" s="14" t="n">
        <v>0</v>
      </c>
      <c r="J516" s="14" t="n">
        <v>5.897</v>
      </c>
      <c r="K516" s="14" t="n">
        <v>0</v>
      </c>
      <c r="L516" s="14" t="n">
        <v>1</v>
      </c>
      <c r="M516" s="14" t="n">
        <v>7.964</v>
      </c>
      <c r="N516" s="14" t="n">
        <v>3.43</v>
      </c>
      <c r="O516" s="14" t="n">
        <v>0.227</v>
      </c>
      <c r="P516" s="14" t="n">
        <v>8.192</v>
      </c>
      <c r="Q516" s="14" t="n">
        <v>0</v>
      </c>
      <c r="R516" s="14" t="n">
        <v>1</v>
      </c>
      <c r="S516" s="14" t="n">
        <v>11.613</v>
      </c>
      <c r="T516" s="14" t="n">
        <v>6.86</v>
      </c>
      <c r="U516" s="14" t="n">
        <v>0</v>
      </c>
      <c r="V516" s="14" t="n">
        <v>13.355</v>
      </c>
      <c r="W516" s="14" t="n">
        <v>0.15</v>
      </c>
      <c r="X516" s="14" t="n">
        <v>1</v>
      </c>
      <c r="Y516" s="14" t="n">
        <v>6.258</v>
      </c>
      <c r="Z516" s="14" t="n">
        <v>0.846</v>
      </c>
      <c r="AA516" s="14" t="n">
        <v>0</v>
      </c>
      <c r="AB516" s="14" t="n">
        <v>6.258</v>
      </c>
      <c r="AC516" s="14" t="n">
        <v>0</v>
      </c>
      <c r="AD516" s="14" t="n">
        <v>1</v>
      </c>
      <c r="AE516" s="14" t="n">
        <v>7.401</v>
      </c>
      <c r="AF516" s="14" t="n">
        <v>1.731</v>
      </c>
      <c r="AG516" s="14" t="n">
        <v>0</v>
      </c>
      <c r="AH516" s="14" t="n">
        <v>7.401</v>
      </c>
      <c r="AI516" s="14" t="n">
        <v>0</v>
      </c>
      <c r="AJ516" s="14" t="n">
        <v>1</v>
      </c>
      <c r="AK516" s="14" t="n">
        <v>14.261</v>
      </c>
      <c r="AL516" s="14" t="n">
        <v>7.595</v>
      </c>
      <c r="AM516" s="14" t="n">
        <v>0</v>
      </c>
      <c r="AN516" s="14" t="n">
        <v>16.401</v>
      </c>
      <c r="AO516" s="14" t="n">
        <v>0.15</v>
      </c>
      <c r="AP516" s="14" t="n">
        <v>1</v>
      </c>
      <c r="AQ516" s="14" t="n">
        <v>0.601</v>
      </c>
      <c r="AR516" s="14" t="n">
        <v>0.11</v>
      </c>
      <c r="AS516" s="14" t="n">
        <v>0.301</v>
      </c>
      <c r="AT516" s="14" t="n">
        <v>1.047</v>
      </c>
      <c r="AU516" s="14" t="n">
        <v>0.16</v>
      </c>
      <c r="AV516" s="14" t="n">
        <v>1</v>
      </c>
      <c r="AW516" s="14" t="n">
        <v>0.586</v>
      </c>
      <c r="AX516" s="14" t="n">
        <v>0.113</v>
      </c>
      <c r="AY516" s="14" t="n">
        <v>0.21</v>
      </c>
      <c r="AZ516" s="14" t="n">
        <v>0.922</v>
      </c>
      <c r="BA516" s="14" t="n">
        <v>0.16</v>
      </c>
      <c r="BB516" s="14" t="n">
        <v>1</v>
      </c>
      <c r="BC516" s="14" t="n">
        <v>0.329</v>
      </c>
      <c r="BD516" s="14" t="n">
        <v>0.08500000000000001</v>
      </c>
      <c r="BE516" s="14" t="n">
        <v>0.005</v>
      </c>
      <c r="BF516" s="14" t="n">
        <v>0.334</v>
      </c>
      <c r="BG516" s="14" t="n">
        <v>0</v>
      </c>
      <c r="BH516" s="14" t="n">
        <v>1</v>
      </c>
      <c r="BI516" s="14" t="n">
        <v>0.885</v>
      </c>
      <c r="BJ516" s="14" t="n">
        <v>0.196</v>
      </c>
      <c r="BK516" s="14" t="n">
        <v>0.122</v>
      </c>
      <c r="BL516" s="14" t="n">
        <v>1.168</v>
      </c>
      <c r="BM516" s="14" t="n">
        <v>0.16</v>
      </c>
      <c r="BN516" s="14" t="n">
        <v>1</v>
      </c>
      <c r="BO516" s="14" t="n">
        <v>0</v>
      </c>
      <c r="BP516" s="14" t="n">
        <v>0</v>
      </c>
      <c r="BQ516" s="14" t="n">
        <v>0.13</v>
      </c>
      <c r="BR516" s="14" t="n">
        <v>0</v>
      </c>
      <c r="BS516" s="14" t="n">
        <v>0.333</v>
      </c>
      <c r="BT516" s="14" t="n">
        <v>0</v>
      </c>
      <c r="BU516" s="14" t="n">
        <v>0</v>
      </c>
      <c r="BV516" s="14" t="n">
        <v>0.145</v>
      </c>
      <c r="BW516" s="14" t="n">
        <v>0.15</v>
      </c>
      <c r="BX516" s="14" t="n">
        <v>0.5</v>
      </c>
      <c r="BY516" s="14" t="n">
        <v>11.787</v>
      </c>
      <c r="BZ516" s="14" t="n">
        <v>0</v>
      </c>
      <c r="CA516" s="14" t="n">
        <v>11.787</v>
      </c>
      <c r="CB516" s="14" t="n">
        <v>0</v>
      </c>
      <c r="CC516" s="14" t="n">
        <v>72.879</v>
      </c>
      <c r="CD516" s="14" t="n">
        <v>2.704</v>
      </c>
      <c r="CE516" s="14" t="n">
        <v>12.966</v>
      </c>
      <c r="CF516" s="14" t="n">
        <v>85.846</v>
      </c>
      <c r="CG516" s="14" t="n">
        <v>0</v>
      </c>
      <c r="CH516" s="14" t="n">
        <v>1</v>
      </c>
      <c r="CI516" s="14" t="n">
        <v>0</v>
      </c>
      <c r="CJ516" s="14" t="n">
        <v>0</v>
      </c>
      <c r="CK516" s="14" t="n">
        <v>0</v>
      </c>
      <c r="CL516" s="14" t="n">
        <v>0</v>
      </c>
      <c r="CM516" s="14" t="n">
        <v>0</v>
      </c>
      <c r="CN516" s="14" t="n">
        <v>0</v>
      </c>
      <c r="CO516" s="14" t="n">
        <v>0</v>
      </c>
      <c r="CP516" s="14" t="n">
        <v>0</v>
      </c>
      <c r="CQ516" s="14" t="n">
        <v>1.198</v>
      </c>
      <c r="CR516" s="14" t="n">
        <v>0</v>
      </c>
      <c r="CS516" s="14" t="n">
        <v>4.776</v>
      </c>
      <c r="CT516" s="14" t="n">
        <v>4.753</v>
      </c>
      <c r="CU516" s="14" t="n">
        <v>15.162</v>
      </c>
    </row>
    <row r="517">
      <c r="A517" s="14" t="inlineStr">
        <is>
          <t>MUS2022</t>
        </is>
      </c>
      <c r="B517" s="14" t="inlineStr">
        <is>
          <t>MUS</t>
        </is>
      </c>
      <c r="C517" s="14" t="inlineStr">
        <is>
          <t>MUS</t>
        </is>
      </c>
      <c r="D517" s="14" t="inlineStr">
        <is>
          <t>Mauritius</t>
        </is>
      </c>
      <c r="E517" s="14" t="n">
        <v>2022</v>
      </c>
      <c r="F517" s="14" t="n">
        <v>0.15</v>
      </c>
      <c r="G517" s="14" t="n">
        <v>11.72</v>
      </c>
      <c r="H517" s="14" t="n">
        <v>1.235</v>
      </c>
      <c r="I517" s="14" t="n">
        <v>0</v>
      </c>
      <c r="J517" s="14" t="n">
        <v>11.72</v>
      </c>
      <c r="K517" s="14" t="n">
        <v>0</v>
      </c>
      <c r="L517" s="14" t="n">
        <v>1</v>
      </c>
      <c r="M517" s="14" t="n">
        <v>9.782999999999999</v>
      </c>
      <c r="N517" s="14" t="n">
        <v>3.704</v>
      </c>
      <c r="O517" s="14" t="n">
        <v>0.245</v>
      </c>
      <c r="P517" s="14" t="n">
        <v>10.028</v>
      </c>
      <c r="Q517" s="14" t="n">
        <v>0</v>
      </c>
      <c r="R517" s="14" t="n">
        <v>1</v>
      </c>
      <c r="S517" s="14" t="n">
        <v>17.893</v>
      </c>
      <c r="T517" s="14" t="n">
        <v>7.408</v>
      </c>
      <c r="U517" s="14" t="n">
        <v>0.199</v>
      </c>
      <c r="V517" s="14" t="n">
        <v>20.577</v>
      </c>
      <c r="W517" s="14" t="n">
        <v>0.15</v>
      </c>
      <c r="X517" s="14" t="n">
        <v>1</v>
      </c>
      <c r="Y517" s="14" t="n">
        <v>6.392</v>
      </c>
      <c r="Z517" s="14" t="n">
        <v>0.864</v>
      </c>
      <c r="AA517" s="14" t="n">
        <v>0</v>
      </c>
      <c r="AB517" s="14" t="n">
        <v>6.392</v>
      </c>
      <c r="AC517" s="14" t="n">
        <v>0</v>
      </c>
      <c r="AD517" s="14" t="n">
        <v>1</v>
      </c>
      <c r="AE517" s="14" t="n">
        <v>7.627</v>
      </c>
      <c r="AF517" s="14" t="n">
        <v>1.783</v>
      </c>
      <c r="AG517" s="14" t="n">
        <v>0</v>
      </c>
      <c r="AH517" s="14" t="n">
        <v>7.627</v>
      </c>
      <c r="AI517" s="14" t="n">
        <v>0</v>
      </c>
      <c r="AJ517" s="14" t="n">
        <v>1</v>
      </c>
      <c r="AK517" s="14" t="n">
        <v>15.035</v>
      </c>
      <c r="AL517" s="14" t="n">
        <v>8.007999999999999</v>
      </c>
      <c r="AM517" s="14" t="n">
        <v>0.167</v>
      </c>
      <c r="AN517" s="14" t="n">
        <v>17.29</v>
      </c>
      <c r="AO517" s="14" t="n">
        <v>0.15</v>
      </c>
      <c r="AP517" s="14" t="n">
        <v>1</v>
      </c>
      <c r="AQ517" s="14" t="n">
        <v>0.526</v>
      </c>
      <c r="AR517" s="14" t="n">
        <v>0.075</v>
      </c>
      <c r="AS517" s="14" t="n">
        <v>0.326</v>
      </c>
      <c r="AT517" s="14" t="n">
        <v>0.988</v>
      </c>
      <c r="AU517" s="14" t="n">
        <v>0.16</v>
      </c>
      <c r="AV517" s="14" t="n">
        <v>1</v>
      </c>
      <c r="AW517" s="14" t="n">
        <v>0.515</v>
      </c>
      <c r="AX517" s="14" t="n">
        <v>0.067</v>
      </c>
      <c r="AY517" s="14" t="n">
        <v>0.235</v>
      </c>
      <c r="AZ517" s="14" t="n">
        <v>0.87</v>
      </c>
      <c r="BA517" s="14" t="n">
        <v>0.16</v>
      </c>
      <c r="BB517" s="14" t="n">
        <v>1</v>
      </c>
      <c r="BC517" s="14" t="n">
        <v>0.309</v>
      </c>
      <c r="BD517" s="14" t="n">
        <v>0.064</v>
      </c>
      <c r="BE517" s="14" t="n">
        <v>0.006</v>
      </c>
      <c r="BF517" s="14" t="n">
        <v>0.315</v>
      </c>
      <c r="BG517" s="14" t="n">
        <v>0</v>
      </c>
      <c r="BH517" s="14" t="n">
        <v>1</v>
      </c>
      <c r="BI517" s="14" t="n">
        <v>0.844</v>
      </c>
      <c r="BJ517" s="14" t="n">
        <v>0.165</v>
      </c>
      <c r="BK517" s="14" t="n">
        <v>0.106</v>
      </c>
      <c r="BL517" s="14" t="n">
        <v>1.102</v>
      </c>
      <c r="BM517" s="14" t="n">
        <v>0.16</v>
      </c>
      <c r="BN517" s="14" t="n">
        <v>1</v>
      </c>
      <c r="BO517" s="14" t="n">
        <v>0</v>
      </c>
      <c r="BP517" s="14" t="n">
        <v>0</v>
      </c>
      <c r="BQ517" s="14" t="n">
        <v>0.122</v>
      </c>
      <c r="BR517" s="14" t="n">
        <v>0</v>
      </c>
      <c r="BS517" s="14" t="n">
        <v>0.333</v>
      </c>
      <c r="BT517" s="14" t="n">
        <v>0</v>
      </c>
      <c r="BU517" s="14" t="n">
        <v>0</v>
      </c>
      <c r="BV517" s="14" t="n">
        <v>0.137</v>
      </c>
      <c r="BW517" s="14" t="n">
        <v>0.15</v>
      </c>
      <c r="BX517" s="14" t="n">
        <v>0.5</v>
      </c>
      <c r="BY517" s="14" t="n">
        <v>12.729</v>
      </c>
      <c r="BZ517" s="14" t="n">
        <v>0</v>
      </c>
      <c r="CA517" s="14" t="n">
        <v>12.729</v>
      </c>
      <c r="CB517" s="14" t="n">
        <v>0</v>
      </c>
      <c r="CC517" s="14" t="n">
        <v>74.241</v>
      </c>
      <c r="CD517" s="14" t="n">
        <v>-15.709</v>
      </c>
      <c r="CE517" s="14" t="n">
        <v>13.531</v>
      </c>
      <c r="CF517" s="14" t="n">
        <v>87.77200000000001</v>
      </c>
      <c r="CG517" s="14" t="n">
        <v>0</v>
      </c>
      <c r="CH517" s="14" t="n">
        <v>1</v>
      </c>
      <c r="CI517" s="14" t="n">
        <v>0</v>
      </c>
      <c r="CJ517" s="14" t="n">
        <v>0</v>
      </c>
      <c r="CK517" s="14" t="n">
        <v>0</v>
      </c>
      <c r="CL517" s="14" t="n">
        <v>0</v>
      </c>
      <c r="CM517" s="14" t="n">
        <v>0</v>
      </c>
      <c r="CN517" s="14" t="n">
        <v>0</v>
      </c>
      <c r="CO517" s="14" t="n">
        <v>0</v>
      </c>
      <c r="CP517" s="14" t="n">
        <v>0</v>
      </c>
      <c r="CQ517" s="14" t="n">
        <v>1.294</v>
      </c>
      <c r="CR517" s="14" t="n">
        <v>0</v>
      </c>
      <c r="CS517" s="14" t="n">
        <v>5.158</v>
      </c>
      <c r="CT517" s="14" t="n">
        <v>10.485</v>
      </c>
      <c r="CU517" s="14" t="n">
        <v>31.326</v>
      </c>
    </row>
    <row r="518">
      <c r="A518" s="14" t="inlineStr">
        <is>
          <t>MUS2023</t>
        </is>
      </c>
      <c r="B518" s="14" t="inlineStr">
        <is>
          <t>MUS</t>
        </is>
      </c>
      <c r="C518" s="14" t="inlineStr">
        <is>
          <t>MUS</t>
        </is>
      </c>
      <c r="D518" s="14" t="inlineStr">
        <is>
          <t>Mauritius</t>
        </is>
      </c>
      <c r="E518" s="14" t="n">
        <v>2023</v>
      </c>
      <c r="F518" s="14" t="n">
        <v>0.15</v>
      </c>
      <c r="G518" s="14" t="n">
        <v>5.882</v>
      </c>
      <c r="H518" s="14" t="n">
        <v>1.245</v>
      </c>
      <c r="I518" s="14" t="n">
        <v>0</v>
      </c>
      <c r="J518" s="14" t="n">
        <v>5.882</v>
      </c>
      <c r="K518" s="14" t="n">
        <v>0</v>
      </c>
      <c r="L518" s="14" t="n">
        <v>1</v>
      </c>
      <c r="M518" s="14" t="n">
        <v>7.592</v>
      </c>
      <c r="N518" s="14" t="n">
        <v>3.734</v>
      </c>
      <c r="O518" s="14" t="n">
        <v>0.255</v>
      </c>
      <c r="P518" s="14" t="n">
        <v>7.848</v>
      </c>
      <c r="Q518" s="14" t="n">
        <v>0</v>
      </c>
      <c r="R518" s="14" t="n">
        <v>1</v>
      </c>
      <c r="S518" s="14" t="n">
        <v>12.105</v>
      </c>
      <c r="T518" s="14" t="n">
        <v>7.468</v>
      </c>
      <c r="U518" s="14" t="n">
        <v>0.201</v>
      </c>
      <c r="V518" s="14" t="n">
        <v>13.921</v>
      </c>
      <c r="W518" s="14" t="n">
        <v>0.15</v>
      </c>
      <c r="X518" s="14" t="n">
        <v>1</v>
      </c>
      <c r="Y518" s="14" t="n">
        <v>6.656</v>
      </c>
      <c r="Z518" s="14" t="n">
        <v>0.9</v>
      </c>
      <c r="AA518" s="14" t="n">
        <v>0</v>
      </c>
      <c r="AB518" s="14" t="n">
        <v>6.656</v>
      </c>
      <c r="AC518" s="14" t="n">
        <v>0</v>
      </c>
      <c r="AD518" s="14" t="n">
        <v>1</v>
      </c>
      <c r="AE518" s="14" t="n">
        <v>7.942</v>
      </c>
      <c r="AF518" s="14" t="n">
        <v>1.857</v>
      </c>
      <c r="AG518" s="14" t="n">
        <v>0</v>
      </c>
      <c r="AH518" s="14" t="n">
        <v>7.942</v>
      </c>
      <c r="AI518" s="14" t="n">
        <v>0</v>
      </c>
      <c r="AJ518" s="14" t="n">
        <v>1</v>
      </c>
      <c r="AK518" s="14" t="n">
        <v>15.656</v>
      </c>
      <c r="AL518" s="14" t="n">
        <v>8.337999999999999</v>
      </c>
      <c r="AM518" s="14" t="n">
        <v>0.26</v>
      </c>
      <c r="AN518" s="14" t="n">
        <v>18.004</v>
      </c>
      <c r="AO518" s="14" t="n">
        <v>0.15</v>
      </c>
      <c r="AP518" s="14" t="n">
        <v>1</v>
      </c>
      <c r="AQ518" s="14" t="n">
        <v>0.743</v>
      </c>
      <c r="AR518" s="14" t="n">
        <v>0.125</v>
      </c>
      <c r="AS518" s="14" t="n">
        <v>0.336</v>
      </c>
      <c r="AT518" s="14" t="n">
        <v>1.251</v>
      </c>
      <c r="AU518" s="14" t="n">
        <v>0.16</v>
      </c>
      <c r="AV518" s="14" t="n">
        <v>1</v>
      </c>
      <c r="AW518" s="14" t="n">
        <v>0.647</v>
      </c>
      <c r="AX518" s="14" t="n">
        <v>0.111</v>
      </c>
      <c r="AY518" s="14" t="n">
        <v>0.305</v>
      </c>
      <c r="AZ518" s="14" t="n">
        <v>1.104</v>
      </c>
      <c r="BA518" s="14" t="n">
        <v>0.16</v>
      </c>
      <c r="BB518" s="14" t="n">
        <v>1</v>
      </c>
      <c r="BC518" s="14" t="n">
        <v>0.302</v>
      </c>
      <c r="BD518" s="14" t="n">
        <v>0.073</v>
      </c>
      <c r="BE518" s="14" t="n">
        <v>0.005</v>
      </c>
      <c r="BF518" s="14" t="n">
        <v>0.308</v>
      </c>
      <c r="BG518" s="14" t="n">
        <v>0</v>
      </c>
      <c r="BH518" s="14" t="n">
        <v>1</v>
      </c>
      <c r="BI518" s="14" t="n">
        <v>0.779</v>
      </c>
      <c r="BJ518" s="14" t="n">
        <v>0.17</v>
      </c>
      <c r="BK518" s="14" t="n">
        <v>0.148</v>
      </c>
      <c r="BL518" s="14" t="n">
        <v>1.076</v>
      </c>
      <c r="BM518" s="14" t="n">
        <v>0.16</v>
      </c>
      <c r="BN518" s="14" t="n">
        <v>1</v>
      </c>
      <c r="BO518" s="14" t="n">
        <v>0</v>
      </c>
      <c r="BP518" s="14" t="n">
        <v>0</v>
      </c>
      <c r="BQ518" s="14" t="n">
        <v>0.128</v>
      </c>
      <c r="BR518" s="14" t="n">
        <v>0</v>
      </c>
      <c r="BS518" s="14" t="n">
        <v>0.333</v>
      </c>
      <c r="BT518" s="14" t="n">
        <v>0</v>
      </c>
      <c r="BU518" s="14" t="n">
        <v>0</v>
      </c>
      <c r="BV518" s="14" t="n">
        <v>0.135</v>
      </c>
      <c r="BW518" s="14" t="n">
        <v>0.15</v>
      </c>
      <c r="BX518" s="14" t="n">
        <v>0.5</v>
      </c>
      <c r="BY518" s="14" t="n">
        <v>13.254</v>
      </c>
      <c r="BZ518" s="14" t="n">
        <v>0</v>
      </c>
      <c r="CA518" s="14" t="n">
        <v>13.254</v>
      </c>
      <c r="CB518" s="14" t="n">
        <v>0</v>
      </c>
      <c r="CC518" s="14" t="n">
        <v>97.506</v>
      </c>
      <c r="CD518" s="14" t="n">
        <v>22.208</v>
      </c>
      <c r="CE518" s="14" t="n">
        <v>15.104</v>
      </c>
      <c r="CF518" s="14" t="n">
        <v>112.61</v>
      </c>
      <c r="CG518" s="14" t="n">
        <v>0</v>
      </c>
      <c r="CH518" s="14" t="n">
        <v>1</v>
      </c>
      <c r="CI518" s="14" t="n">
        <v>0</v>
      </c>
      <c r="CJ518" s="14" t="n">
        <v>0</v>
      </c>
      <c r="CK518" s="14" t="n">
        <v>0</v>
      </c>
      <c r="CL518" s="14" t="n">
        <v>0</v>
      </c>
      <c r="CM518" s="14" t="n">
        <v>0</v>
      </c>
      <c r="CN518" s="14" t="n">
        <v>0</v>
      </c>
      <c r="CO518" s="14" t="n">
        <v>0</v>
      </c>
      <c r="CP518" s="14" t="n">
        <v>0.064</v>
      </c>
      <c r="CQ518" s="14" t="n">
        <v>1.348</v>
      </c>
      <c r="CR518" s="14" t="n">
        <v>0</v>
      </c>
      <c r="CS518" s="14" t="n">
        <v>5.37</v>
      </c>
      <c r="CT518" s="14" t="n">
        <v>4.861</v>
      </c>
      <c r="CU518" s="14" t="n">
        <v>11.622</v>
      </c>
    </row>
    <row r="519">
      <c r="A519" s="14" t="inlineStr">
        <is>
          <t>MUS2024</t>
        </is>
      </c>
      <c r="B519" s="14" t="inlineStr">
        <is>
          <t>MUS</t>
        </is>
      </c>
      <c r="C519" s="14" t="inlineStr">
        <is>
          <t>MUS</t>
        </is>
      </c>
      <c r="D519" s="14" t="inlineStr">
        <is>
          <t>Mauritius</t>
        </is>
      </c>
      <c r="E519" s="14" t="n">
        <v>2024</v>
      </c>
      <c r="F519" s="14" t="n">
        <v>0.15</v>
      </c>
      <c r="G519" s="14" t="n">
        <v>5.35</v>
      </c>
      <c r="H519" s="14" t="n">
        <v>1.281</v>
      </c>
      <c r="I519" s="14" t="n">
        <v>0</v>
      </c>
      <c r="J519" s="14" t="n">
        <v>5.35</v>
      </c>
      <c r="K519" s="14" t="n">
        <v>0</v>
      </c>
      <c r="L519" s="14" t="n">
        <v>1</v>
      </c>
      <c r="M519" s="14" t="n">
        <v>6.884</v>
      </c>
      <c r="N519" s="14" t="n">
        <v>3.844</v>
      </c>
      <c r="O519" s="14" t="n">
        <v>0.263</v>
      </c>
      <c r="P519" s="14" t="n">
        <v>7.147</v>
      </c>
      <c r="Q519" s="14" t="n">
        <v>0</v>
      </c>
      <c r="R519" s="14" t="n">
        <v>1</v>
      </c>
      <c r="S519" s="14" t="n">
        <v>11.757</v>
      </c>
      <c r="T519" s="14" t="n">
        <v>7.689</v>
      </c>
      <c r="U519" s="14" t="n">
        <v>0.24</v>
      </c>
      <c r="V519" s="14" t="n">
        <v>13.521</v>
      </c>
      <c r="W519" s="14" t="n">
        <v>0.15</v>
      </c>
      <c r="X519" s="14" t="n">
        <v>1</v>
      </c>
      <c r="Y519" s="14" t="n">
        <v>3.781</v>
      </c>
      <c r="Z519" s="14" t="n">
        <v>0.511</v>
      </c>
      <c r="AA519" s="14" t="n">
        <v>0</v>
      </c>
      <c r="AB519" s="14" t="n">
        <v>3.781</v>
      </c>
      <c r="AC519" s="14" t="n">
        <v>0</v>
      </c>
      <c r="AD519" s="14" t="n">
        <v>1</v>
      </c>
      <c r="AE519" s="14" t="n">
        <v>5.104</v>
      </c>
      <c r="AF519" s="14" t="n">
        <v>1.194</v>
      </c>
      <c r="AG519" s="14" t="n">
        <v>0</v>
      </c>
      <c r="AH519" s="14" t="n">
        <v>5.104</v>
      </c>
      <c r="AI519" s="14" t="n">
        <v>0</v>
      </c>
      <c r="AJ519" s="14" t="n">
        <v>1</v>
      </c>
      <c r="AK519" s="14" t="n">
        <v>13.046</v>
      </c>
      <c r="AL519" s="14" t="n">
        <v>6.948</v>
      </c>
      <c r="AM519" s="14" t="n">
        <v>0.267</v>
      </c>
      <c r="AN519" s="14" t="n">
        <v>15.003</v>
      </c>
      <c r="AO519" s="14" t="n">
        <v>0.15</v>
      </c>
      <c r="AP519" s="14" t="n">
        <v>1</v>
      </c>
      <c r="AQ519" s="14" t="n">
        <v>0.712</v>
      </c>
      <c r="AR519" s="14" t="n">
        <v>0.129</v>
      </c>
      <c r="AS519" s="14" t="n">
        <v>0.34</v>
      </c>
      <c r="AT519" s="14" t="n">
        <v>1.22</v>
      </c>
      <c r="AU519" s="14" t="n">
        <v>0.16</v>
      </c>
      <c r="AV519" s="14" t="n">
        <v>1</v>
      </c>
      <c r="AW519" s="14" t="n">
        <v>0.648</v>
      </c>
      <c r="AX519" s="14" t="n">
        <v>0.119</v>
      </c>
      <c r="AY519" s="14" t="n">
        <v>0.279</v>
      </c>
      <c r="AZ519" s="14" t="n">
        <v>1.076</v>
      </c>
      <c r="BA519" s="14" t="n">
        <v>0.16</v>
      </c>
      <c r="BB519" s="14" t="n">
        <v>1</v>
      </c>
      <c r="BC519" s="14" t="n">
        <v>0.295</v>
      </c>
      <c r="BD519" s="14" t="n">
        <v>0.076</v>
      </c>
      <c r="BE519" s="14" t="n">
        <v>0.005</v>
      </c>
      <c r="BF519" s="14" t="n">
        <v>0.3</v>
      </c>
      <c r="BG519" s="14" t="n">
        <v>0</v>
      </c>
      <c r="BH519" s="14" t="n">
        <v>1</v>
      </c>
      <c r="BI519" s="14" t="n">
        <v>0.758</v>
      </c>
      <c r="BJ519" s="14" t="n">
        <v>0.167</v>
      </c>
      <c r="BK519" s="14" t="n">
        <v>0.146</v>
      </c>
      <c r="BL519" s="14" t="n">
        <v>1.049</v>
      </c>
      <c r="BM519" s="14" t="n">
        <v>0.16</v>
      </c>
      <c r="BN519" s="14" t="n">
        <v>1</v>
      </c>
      <c r="BO519" s="14" t="n">
        <v>0</v>
      </c>
      <c r="BP519" s="14" t="n">
        <v>0</v>
      </c>
      <c r="BQ519" s="14" t="n">
        <v>0.136</v>
      </c>
      <c r="BR519" s="14" t="n">
        <v>0</v>
      </c>
      <c r="BS519" s="14" t="n">
        <v>0.333</v>
      </c>
      <c r="BT519" s="14" t="n">
        <v>0</v>
      </c>
      <c r="BU519" s="14" t="n">
        <v>0</v>
      </c>
      <c r="BV519" s="14" t="n">
        <v>0.132</v>
      </c>
      <c r="BW519" s="14" t="n">
        <v>0.15</v>
      </c>
      <c r="BX519" s="14" t="n">
        <v>0.5</v>
      </c>
      <c r="BY519" s="14" t="n">
        <v>13.646</v>
      </c>
      <c r="BZ519" s="14" t="n">
        <v>0</v>
      </c>
      <c r="CA519" s="14" t="n">
        <v>13.646</v>
      </c>
      <c r="CB519" s="14" t="n">
        <v>0</v>
      </c>
      <c r="CC519" s="14" t="n">
        <v>100.885</v>
      </c>
      <c r="CD519" s="14" t="n">
        <v>26.247</v>
      </c>
      <c r="CE519" s="14" t="n">
        <v>15.313</v>
      </c>
      <c r="CF519" s="14" t="n">
        <v>116.198</v>
      </c>
      <c r="CG519" s="14" t="n">
        <v>0</v>
      </c>
      <c r="CH519" s="14" t="n">
        <v>1</v>
      </c>
      <c r="CI519" s="14" t="n">
        <v>0</v>
      </c>
      <c r="CJ519" s="14" t="n">
        <v>0</v>
      </c>
      <c r="CK519" s="14" t="n">
        <v>0</v>
      </c>
      <c r="CL519" s="14" t="n">
        <v>0</v>
      </c>
      <c r="CM519" s="14" t="n">
        <v>0</v>
      </c>
      <c r="CN519" s="14" t="n">
        <v>0</v>
      </c>
      <c r="CO519" s="14" t="n">
        <v>0</v>
      </c>
      <c r="CP519" s="14" t="n">
        <v>0.064</v>
      </c>
      <c r="CQ519" s="14" t="n">
        <v>1.387</v>
      </c>
      <c r="CR519" s="14" t="n">
        <v>0</v>
      </c>
      <c r="CS519" s="14" t="n">
        <v>5.529</v>
      </c>
      <c r="CT519" s="14" t="n">
        <v>4.251</v>
      </c>
      <c r="CU519" s="14" t="n">
        <v>10.168</v>
      </c>
    </row>
    <row r="520">
      <c r="A520" s="14" t="inlineStr">
        <is>
          <t>MEX2021</t>
        </is>
      </c>
      <c r="B520" s="14" t="inlineStr">
        <is>
          <t>MEX</t>
        </is>
      </c>
      <c r="C520" s="14" t="inlineStr">
        <is>
          <t>MEX</t>
        </is>
      </c>
      <c r="D520" s="14" t="inlineStr">
        <is>
          <t>Mexico</t>
        </is>
      </c>
      <c r="E520" s="14" t="n">
        <v>2021</v>
      </c>
      <c r="F520" s="14" t="n">
        <v>0.16</v>
      </c>
      <c r="G520" s="14" t="n">
        <v>2.755</v>
      </c>
      <c r="H520" s="14" t="n">
        <v>0.603</v>
      </c>
      <c r="I520" s="14" t="n">
        <v>0.047</v>
      </c>
      <c r="J520" s="14" t="n">
        <v>2.802</v>
      </c>
      <c r="K520" s="14" t="n">
        <v>0</v>
      </c>
      <c r="L520" s="14" t="n">
        <v>1</v>
      </c>
      <c r="M520" s="14" t="n">
        <v>3.178</v>
      </c>
      <c r="N520" s="14" t="n">
        <v>1.44</v>
      </c>
      <c r="O520" s="14" t="n">
        <v>0.049</v>
      </c>
      <c r="P520" s="14" t="n">
        <v>3.227</v>
      </c>
      <c r="Q520" s="14" t="n">
        <v>0</v>
      </c>
      <c r="R520" s="14" t="n">
        <v>1</v>
      </c>
      <c r="S520" s="14" t="n">
        <v>8.807</v>
      </c>
      <c r="T520" s="14" t="n">
        <v>5.482</v>
      </c>
      <c r="U520" s="14" t="n">
        <v>0.047</v>
      </c>
      <c r="V520" s="14" t="n">
        <v>10.27</v>
      </c>
      <c r="W520" s="14" t="n">
        <v>0.16</v>
      </c>
      <c r="X520" s="14" t="n">
        <v>1</v>
      </c>
      <c r="Y520" s="14" t="n">
        <v>5.149</v>
      </c>
      <c r="Z520" s="14" t="n">
        <v>0.569</v>
      </c>
      <c r="AA520" s="14" t="n">
        <v>0.034</v>
      </c>
      <c r="AB520" s="14" t="n">
        <v>5.182</v>
      </c>
      <c r="AC520" s="14" t="n">
        <v>0</v>
      </c>
      <c r="AD520" s="14" t="n">
        <v>1</v>
      </c>
      <c r="AE520" s="14" t="n">
        <v>14.015</v>
      </c>
      <c r="AF520" s="14" t="n">
        <v>2.758</v>
      </c>
      <c r="AG520" s="14" t="n">
        <v>-7.356</v>
      </c>
      <c r="AH520" s="14" t="n">
        <v>6.659</v>
      </c>
      <c r="AI520" s="14" t="n">
        <v>0</v>
      </c>
      <c r="AJ520" s="14" t="n">
        <v>1</v>
      </c>
      <c r="AK520" s="14" t="n">
        <v>19.346</v>
      </c>
      <c r="AL520" s="14" t="n">
        <v>9.494999999999999</v>
      </c>
      <c r="AM520" s="14" t="n">
        <v>-4.052</v>
      </c>
      <c r="AN520" s="14" t="n">
        <v>17.741</v>
      </c>
      <c r="AO520" s="14" t="n">
        <v>0.16</v>
      </c>
      <c r="AP520" s="14" t="n">
        <v>1</v>
      </c>
      <c r="AQ520" s="14" t="n">
        <v>0.649</v>
      </c>
      <c r="AR520" s="14" t="n">
        <v>0.114</v>
      </c>
      <c r="AS520" s="14" t="n">
        <v>0.204</v>
      </c>
      <c r="AT520" s="14" t="n">
        <v>0.99</v>
      </c>
      <c r="AU520" s="14" t="n">
        <v>0.16</v>
      </c>
      <c r="AV520" s="14" t="n">
        <v>1</v>
      </c>
      <c r="AW520" s="14" t="n">
        <v>0.577</v>
      </c>
      <c r="AX520" s="14" t="n">
        <v>0.114</v>
      </c>
      <c r="AY520" s="14" t="n">
        <v>0.335</v>
      </c>
      <c r="AZ520" s="14" t="n">
        <v>1.058</v>
      </c>
      <c r="BA520" s="14" t="n">
        <v>0.16</v>
      </c>
      <c r="BB520" s="14" t="n">
        <v>1</v>
      </c>
      <c r="BC520" s="14" t="n">
        <v>0.458</v>
      </c>
      <c r="BD520" s="14" t="n">
        <v>0.114</v>
      </c>
      <c r="BE520" s="14" t="n">
        <v>0.114</v>
      </c>
      <c r="BF520" s="14" t="n">
        <v>0.663</v>
      </c>
      <c r="BG520" s="14" t="n">
        <v>0.16</v>
      </c>
      <c r="BH520" s="14" t="n">
        <v>1</v>
      </c>
      <c r="BI520" s="14" t="n">
        <v>0.491</v>
      </c>
      <c r="BJ520" s="14" t="n">
        <v>0.114</v>
      </c>
      <c r="BK520" s="14" t="n">
        <v>0.285</v>
      </c>
      <c r="BL520" s="14" t="n">
        <v>0.9</v>
      </c>
      <c r="BM520" s="14" t="n">
        <v>0.16</v>
      </c>
      <c r="BN520" s="14" t="n">
        <v>1</v>
      </c>
      <c r="BO520" s="14" t="n">
        <v>0</v>
      </c>
      <c r="BP520" s="14" t="n">
        <v>-0.007</v>
      </c>
      <c r="BQ520" s="14" t="n">
        <v>0.101</v>
      </c>
      <c r="BR520" s="14" t="n">
        <v>0</v>
      </c>
      <c r="BS520" s="14" t="n">
        <v>1</v>
      </c>
      <c r="BT520" s="14" t="n">
        <v>0</v>
      </c>
      <c r="BU520" s="14" t="n">
        <v>-0.007</v>
      </c>
      <c r="BV520" s="14" t="n">
        <v>0.109</v>
      </c>
      <c r="BW520" s="14" t="n">
        <v>0.16</v>
      </c>
      <c r="BX520" s="14" t="n">
        <v>0.667</v>
      </c>
      <c r="BY520" s="14" t="n">
        <v>11.787</v>
      </c>
      <c r="BZ520" s="14" t="n">
        <v>0</v>
      </c>
      <c r="CA520" s="14" t="n">
        <v>11.787</v>
      </c>
      <c r="CB520" s="14" t="n">
        <v>0</v>
      </c>
      <c r="CC520" s="14" t="n">
        <v>78.125</v>
      </c>
      <c r="CD520" s="14" t="n">
        <v>7.95</v>
      </c>
      <c r="CE520" s="14" t="n">
        <v>-26.724</v>
      </c>
      <c r="CF520" s="14" t="n">
        <v>59.625</v>
      </c>
      <c r="CG520" s="14" t="n">
        <v>0</v>
      </c>
      <c r="CH520" s="14" t="n">
        <v>1</v>
      </c>
      <c r="CI520" s="14" t="n">
        <v>0</v>
      </c>
      <c r="CJ520" s="14" t="n">
        <v>0</v>
      </c>
      <c r="CK520" s="14" t="n">
        <v>0</v>
      </c>
      <c r="CL520" s="14" t="n">
        <v>0</v>
      </c>
      <c r="CM520" s="14" t="n">
        <v>0</v>
      </c>
      <c r="CN520" s="14" t="n">
        <v>1.744</v>
      </c>
      <c r="CO520" s="14" t="n">
        <v>6.028</v>
      </c>
      <c r="CP520" s="14" t="n">
        <v>0</v>
      </c>
      <c r="CQ520" s="14" t="n">
        <v>1.198</v>
      </c>
      <c r="CR520" s="14" t="n">
        <v>0</v>
      </c>
      <c r="CS520" s="14" t="n">
        <v>6.891</v>
      </c>
      <c r="CT520" s="14" t="n">
        <v>4.753</v>
      </c>
      <c r="CU520" s="14" t="n">
        <v>15.983</v>
      </c>
    </row>
    <row r="521">
      <c r="A521" s="14" t="inlineStr">
        <is>
          <t>MEX2022</t>
        </is>
      </c>
      <c r="B521" s="14" t="inlineStr">
        <is>
          <t>MEX</t>
        </is>
      </c>
      <c r="C521" s="14" t="inlineStr">
        <is>
          <t>MEX</t>
        </is>
      </c>
      <c r="D521" s="14" t="inlineStr">
        <is>
          <t>Mexico</t>
        </is>
      </c>
      <c r="E521" s="14" t="n">
        <v>2022</v>
      </c>
      <c r="F521" s="14" t="n">
        <v>0.16</v>
      </c>
      <c r="G521" s="14" t="n">
        <v>6.927</v>
      </c>
      <c r="H521" s="14" t="n">
        <v>1.076</v>
      </c>
      <c r="I521" s="14" t="n">
        <v>0.017</v>
      </c>
      <c r="J521" s="14" t="n">
        <v>6.944</v>
      </c>
      <c r="K521" s="14" t="n">
        <v>0</v>
      </c>
      <c r="L521" s="14" t="n">
        <v>1</v>
      </c>
      <c r="M521" s="14" t="n">
        <v>4.787</v>
      </c>
      <c r="N521" s="14" t="n">
        <v>1.977</v>
      </c>
      <c r="O521" s="14" t="n">
        <v>0.018</v>
      </c>
      <c r="P521" s="14" t="n">
        <v>4.805</v>
      </c>
      <c r="Q521" s="14" t="n">
        <v>0</v>
      </c>
      <c r="R521" s="14" t="n">
        <v>1</v>
      </c>
      <c r="S521" s="14" t="n">
        <v>13.543</v>
      </c>
      <c r="T521" s="14" t="n">
        <v>6.158</v>
      </c>
      <c r="U521" s="14" t="n">
        <v>0.178</v>
      </c>
      <c r="V521" s="14" t="n">
        <v>15.729</v>
      </c>
      <c r="W521" s="14" t="n">
        <v>0.16</v>
      </c>
      <c r="X521" s="14" t="n">
        <v>1</v>
      </c>
      <c r="Y521" s="14" t="n">
        <v>5.125</v>
      </c>
      <c r="Z521" s="14" t="n">
        <v>0.538</v>
      </c>
      <c r="AA521" s="14" t="n">
        <v>0.058</v>
      </c>
      <c r="AB521" s="14" t="n">
        <v>5.184</v>
      </c>
      <c r="AC521" s="14" t="n">
        <v>0</v>
      </c>
      <c r="AD521" s="14" t="n">
        <v>1</v>
      </c>
      <c r="AE521" s="14" t="n">
        <v>27.708</v>
      </c>
      <c r="AF521" s="14" t="n">
        <v>5.137</v>
      </c>
      <c r="AG521" s="14" t="n">
        <v>-19.093</v>
      </c>
      <c r="AH521" s="14" t="n">
        <v>8.615</v>
      </c>
      <c r="AI521" s="14" t="n">
        <v>0</v>
      </c>
      <c r="AJ521" s="14" t="n">
        <v>1</v>
      </c>
      <c r="AK521" s="14" t="n">
        <v>33.587</v>
      </c>
      <c r="AL521" s="14" t="n">
        <v>16.039</v>
      </c>
      <c r="AM521" s="14" t="n">
        <v>-16.538</v>
      </c>
      <c r="AN521" s="14" t="n">
        <v>19.777</v>
      </c>
      <c r="AO521" s="14" t="n">
        <v>0.16</v>
      </c>
      <c r="AP521" s="14" t="n">
        <v>1</v>
      </c>
      <c r="AQ521" s="14" t="n">
        <v>0.896</v>
      </c>
      <c r="AR521" s="14" t="n">
        <v>0.123</v>
      </c>
      <c r="AS521" s="14" t="n">
        <v>0.012</v>
      </c>
      <c r="AT521" s="14" t="n">
        <v>1.053</v>
      </c>
      <c r="AU521" s="14" t="n">
        <v>0.16</v>
      </c>
      <c r="AV521" s="14" t="n">
        <v>1</v>
      </c>
      <c r="AW521" s="14" t="n">
        <v>0.89</v>
      </c>
      <c r="AX521" s="14" t="n">
        <v>0.123</v>
      </c>
      <c r="AY521" s="14" t="n">
        <v>0.083</v>
      </c>
      <c r="AZ521" s="14" t="n">
        <v>1.129</v>
      </c>
      <c r="BA521" s="14" t="n">
        <v>0.16</v>
      </c>
      <c r="BB521" s="14" t="n">
        <v>1</v>
      </c>
      <c r="BC521" s="14" t="n">
        <v>0.62</v>
      </c>
      <c r="BD521" s="14" t="n">
        <v>0.123</v>
      </c>
      <c r="BE521" s="14" t="n">
        <v>-0.028</v>
      </c>
      <c r="BF521" s="14" t="n">
        <v>0.6870000000000001</v>
      </c>
      <c r="BG521" s="14" t="n">
        <v>0.16</v>
      </c>
      <c r="BH521" s="14" t="n">
        <v>1</v>
      </c>
      <c r="BI521" s="14" t="n">
        <v>0.608</v>
      </c>
      <c r="BJ521" s="14" t="n">
        <v>0.123</v>
      </c>
      <c r="BK521" s="14" t="n">
        <v>0.189</v>
      </c>
      <c r="BL521" s="14" t="n">
        <v>0.924</v>
      </c>
      <c r="BM521" s="14" t="n">
        <v>0.16</v>
      </c>
      <c r="BN521" s="14" t="n">
        <v>1</v>
      </c>
      <c r="BO521" s="14" t="n">
        <v>0</v>
      </c>
      <c r="BP521" s="14" t="n">
        <v>-0.011</v>
      </c>
      <c r="BQ521" s="14" t="n">
        <v>0.08599999999999999</v>
      </c>
      <c r="BR521" s="14" t="n">
        <v>0</v>
      </c>
      <c r="BS521" s="14" t="n">
        <v>1</v>
      </c>
      <c r="BT521" s="14" t="n">
        <v>0</v>
      </c>
      <c r="BU521" s="14" t="n">
        <v>-0.011</v>
      </c>
      <c r="BV521" s="14" t="n">
        <v>0.116</v>
      </c>
      <c r="BW521" s="14" t="n">
        <v>0.16</v>
      </c>
      <c r="BX521" s="14" t="n">
        <v>0.667</v>
      </c>
      <c r="BY521" s="14" t="n">
        <v>12.729</v>
      </c>
      <c r="BZ521" s="14" t="n">
        <v>0</v>
      </c>
      <c r="CA521" s="14" t="n">
        <v>12.729</v>
      </c>
      <c r="CB521" s="14" t="n">
        <v>0</v>
      </c>
      <c r="CC521" s="14" t="n">
        <v>97.90000000000001</v>
      </c>
      <c r="CD521" s="14" t="n">
        <v>7.95</v>
      </c>
      <c r="CE521" s="14" t="n">
        <v>-14.562</v>
      </c>
      <c r="CF521" s="14" t="n">
        <v>96.672</v>
      </c>
      <c r="CG521" s="14" t="n">
        <v>0</v>
      </c>
      <c r="CH521" s="14" t="n">
        <v>1</v>
      </c>
      <c r="CI521" s="14" t="n">
        <v>0</v>
      </c>
      <c r="CJ521" s="14" t="n">
        <v>0</v>
      </c>
      <c r="CK521" s="14" t="n">
        <v>0</v>
      </c>
      <c r="CL521" s="14" t="n">
        <v>0</v>
      </c>
      <c r="CM521" s="14" t="n">
        <v>0</v>
      </c>
      <c r="CN521" s="14" t="n">
        <v>2.163</v>
      </c>
      <c r="CO521" s="14" t="n">
        <v>6.73</v>
      </c>
      <c r="CP521" s="14" t="n">
        <v>0</v>
      </c>
      <c r="CQ521" s="14" t="n">
        <v>1.294</v>
      </c>
      <c r="CR521" s="14" t="n">
        <v>0</v>
      </c>
      <c r="CS521" s="14" t="n">
        <v>7.442</v>
      </c>
      <c r="CT521" s="14" t="n">
        <v>10.485</v>
      </c>
      <c r="CU521" s="14" t="n">
        <v>29.494</v>
      </c>
    </row>
    <row r="522">
      <c r="A522" s="14" t="inlineStr">
        <is>
          <t>MEX2023</t>
        </is>
      </c>
      <c r="B522" s="14" t="inlineStr">
        <is>
          <t>MEX</t>
        </is>
      </c>
      <c r="C522" s="14" t="inlineStr">
        <is>
          <t>MEX</t>
        </is>
      </c>
      <c r="D522" s="14" t="inlineStr">
        <is>
          <t>Mexico</t>
        </is>
      </c>
      <c r="E522" s="14" t="n">
        <v>2023</v>
      </c>
      <c r="F522" s="14" t="n">
        <v>0.16</v>
      </c>
      <c r="G522" s="14" t="n">
        <v>3.215</v>
      </c>
      <c r="H522" s="14" t="n">
        <v>0.732</v>
      </c>
      <c r="I522" s="14" t="n">
        <v>0.021</v>
      </c>
      <c r="J522" s="14" t="n">
        <v>3.236</v>
      </c>
      <c r="K522" s="14" t="n">
        <v>0</v>
      </c>
      <c r="L522" s="14" t="n">
        <v>1</v>
      </c>
      <c r="M522" s="14" t="n">
        <v>3.523</v>
      </c>
      <c r="N522" s="14" t="n">
        <v>1.747</v>
      </c>
      <c r="O522" s="14" t="n">
        <v>0.022</v>
      </c>
      <c r="P522" s="14" t="n">
        <v>3.545</v>
      </c>
      <c r="Q522" s="14" t="n">
        <v>0</v>
      </c>
      <c r="R522" s="14" t="n">
        <v>1</v>
      </c>
      <c r="S522" s="14" t="n">
        <v>10.007</v>
      </c>
      <c r="T522" s="14" t="n">
        <v>6.37</v>
      </c>
      <c r="U522" s="14" t="n">
        <v>0.198</v>
      </c>
      <c r="V522" s="14" t="n">
        <v>11.632</v>
      </c>
      <c r="W522" s="14" t="n">
        <v>0.16</v>
      </c>
      <c r="X522" s="14" t="n">
        <v>1</v>
      </c>
      <c r="Y522" s="14" t="n">
        <v>5.575</v>
      </c>
      <c r="Z522" s="14" t="n">
        <v>0.625</v>
      </c>
      <c r="AA522" s="14" t="n">
        <v>0.083</v>
      </c>
      <c r="AB522" s="14" t="n">
        <v>5.659</v>
      </c>
      <c r="AC522" s="14" t="n">
        <v>0</v>
      </c>
      <c r="AD522" s="14" t="n">
        <v>1</v>
      </c>
      <c r="AE522" s="14" t="n">
        <v>9.507999999999999</v>
      </c>
      <c r="AF522" s="14" t="n">
        <v>1.894</v>
      </c>
      <c r="AG522" s="14" t="n">
        <v>-3.056</v>
      </c>
      <c r="AH522" s="14" t="n">
        <v>6.452</v>
      </c>
      <c r="AI522" s="14" t="n">
        <v>0</v>
      </c>
      <c r="AJ522" s="14" t="n">
        <v>1</v>
      </c>
      <c r="AK522" s="14" t="n">
        <v>15.693</v>
      </c>
      <c r="AL522" s="14" t="n">
        <v>7.774</v>
      </c>
      <c r="AM522" s="14" t="n">
        <v>0.774</v>
      </c>
      <c r="AN522" s="14" t="n">
        <v>19.103</v>
      </c>
      <c r="AO522" s="14" t="n">
        <v>0.16</v>
      </c>
      <c r="AP522" s="14" t="n">
        <v>1</v>
      </c>
      <c r="AQ522" s="14" t="n">
        <v>0.791</v>
      </c>
      <c r="AR522" s="14" t="n">
        <v>0.129</v>
      </c>
      <c r="AS522" s="14" t="n">
        <v>0.29</v>
      </c>
      <c r="AT522" s="14" t="n">
        <v>1.253</v>
      </c>
      <c r="AU522" s="14" t="n">
        <v>0.16</v>
      </c>
      <c r="AV522" s="14" t="n">
        <v>1</v>
      </c>
      <c r="AW522" s="14" t="n">
        <v>0.618</v>
      </c>
      <c r="AX522" s="14" t="n">
        <v>0.129</v>
      </c>
      <c r="AY522" s="14" t="n">
        <v>0.528</v>
      </c>
      <c r="AZ522" s="14" t="n">
        <v>1.329</v>
      </c>
      <c r="BA522" s="14" t="n">
        <v>0.16</v>
      </c>
      <c r="BB522" s="14" t="n">
        <v>1</v>
      </c>
      <c r="BC522" s="14" t="n">
        <v>0.554</v>
      </c>
      <c r="BD522" s="14" t="n">
        <v>0.129</v>
      </c>
      <c r="BE522" s="14" t="n">
        <v>-0.093</v>
      </c>
      <c r="BF522" s="14" t="n">
        <v>0.535</v>
      </c>
      <c r="BG522" s="14" t="n">
        <v>0.16</v>
      </c>
      <c r="BH522" s="14" t="n">
        <v>1</v>
      </c>
      <c r="BI522" s="14" t="n">
        <v>0.5570000000000001</v>
      </c>
      <c r="BJ522" s="14" t="n">
        <v>0.129</v>
      </c>
      <c r="BK522" s="14" t="n">
        <v>0.383</v>
      </c>
      <c r="BL522" s="14" t="n">
        <v>1.091</v>
      </c>
      <c r="BM522" s="14" t="n">
        <v>0.16</v>
      </c>
      <c r="BN522" s="14" t="n">
        <v>1</v>
      </c>
      <c r="BO522" s="14" t="n">
        <v>0</v>
      </c>
      <c r="BP522" s="14" t="n">
        <v>-0.002</v>
      </c>
      <c r="BQ522" s="14" t="n">
        <v>0.121</v>
      </c>
      <c r="BR522" s="14" t="n">
        <v>0</v>
      </c>
      <c r="BS522" s="14" t="n">
        <v>1</v>
      </c>
      <c r="BT522" s="14" t="n">
        <v>0</v>
      </c>
      <c r="BU522" s="14" t="n">
        <v>-0.002</v>
      </c>
      <c r="BV522" s="14" t="n">
        <v>0.136</v>
      </c>
      <c r="BW522" s="14" t="n">
        <v>0.16</v>
      </c>
      <c r="BX522" s="14" t="n">
        <v>0.667</v>
      </c>
      <c r="BY522" s="14" t="n">
        <v>13.254</v>
      </c>
      <c r="BZ522" s="14" t="n">
        <v>0</v>
      </c>
      <c r="CA522" s="14" t="n">
        <v>13.254</v>
      </c>
      <c r="CB522" s="14" t="n">
        <v>0</v>
      </c>
      <c r="CC522" s="14" t="n">
        <v>83.248</v>
      </c>
      <c r="CD522" s="14" t="n">
        <v>7.95</v>
      </c>
      <c r="CE522" s="14" t="n">
        <v>15.09</v>
      </c>
      <c r="CF522" s="14" t="n">
        <v>114.072</v>
      </c>
      <c r="CG522" s="14" t="n">
        <v>0</v>
      </c>
      <c r="CH522" s="14" t="n">
        <v>1</v>
      </c>
      <c r="CI522" s="14" t="n">
        <v>0</v>
      </c>
      <c r="CJ522" s="14" t="n">
        <v>0</v>
      </c>
      <c r="CK522" s="14" t="n">
        <v>0</v>
      </c>
      <c r="CL522" s="14" t="n">
        <v>0</v>
      </c>
      <c r="CM522" s="14" t="n">
        <v>0</v>
      </c>
      <c r="CN522" s="14" t="n">
        <v>2.334</v>
      </c>
      <c r="CO522" s="14" t="n">
        <v>7.113</v>
      </c>
      <c r="CP522" s="14" t="n">
        <v>0</v>
      </c>
      <c r="CQ522" s="14" t="n">
        <v>1.348</v>
      </c>
      <c r="CR522" s="14" t="n">
        <v>0</v>
      </c>
      <c r="CS522" s="14" t="n">
        <v>7.749</v>
      </c>
      <c r="CT522" s="14" t="n">
        <v>4.861</v>
      </c>
      <c r="CU522" s="14" t="n">
        <v>11.192</v>
      </c>
    </row>
    <row r="523">
      <c r="A523" s="14" t="inlineStr">
        <is>
          <t>MEX2024</t>
        </is>
      </c>
      <c r="B523" s="14" t="inlineStr">
        <is>
          <t>MEX</t>
        </is>
      </c>
      <c r="C523" s="14" t="inlineStr">
        <is>
          <t>MEX</t>
        </is>
      </c>
      <c r="D523" s="14" t="inlineStr">
        <is>
          <t>Mexico</t>
        </is>
      </c>
      <c r="E523" s="14" t="n">
        <v>2024</v>
      </c>
      <c r="F523" s="14" t="n">
        <v>0.16</v>
      </c>
      <c r="G523" s="14" t="n">
        <v>2.863</v>
      </c>
      <c r="H523" s="14" t="n">
        <v>0.725</v>
      </c>
      <c r="I523" s="14" t="n">
        <v>0.025</v>
      </c>
      <c r="J523" s="14" t="n">
        <v>2.888</v>
      </c>
      <c r="K523" s="14" t="n">
        <v>0</v>
      </c>
      <c r="L523" s="14" t="n">
        <v>1</v>
      </c>
      <c r="M523" s="14" t="n">
        <v>3.06</v>
      </c>
      <c r="N523" s="14" t="n">
        <v>1.667</v>
      </c>
      <c r="O523" s="14" t="n">
        <v>0.026</v>
      </c>
      <c r="P523" s="14" t="n">
        <v>3.085</v>
      </c>
      <c r="Q523" s="14" t="n">
        <v>0</v>
      </c>
      <c r="R523" s="14" t="n">
        <v>1</v>
      </c>
      <c r="S523" s="14" t="n">
        <v>9.811</v>
      </c>
      <c r="T523" s="14" t="n">
        <v>6.558</v>
      </c>
      <c r="U523" s="14" t="n">
        <v>0.239</v>
      </c>
      <c r="V523" s="14" t="n">
        <v>11.41</v>
      </c>
      <c r="W523" s="14" t="n">
        <v>0.16</v>
      </c>
      <c r="X523" s="14" t="n">
        <v>1</v>
      </c>
      <c r="Y523" s="14" t="n">
        <v>4.758</v>
      </c>
      <c r="Z523" s="14" t="n">
        <v>0.601</v>
      </c>
      <c r="AA523" s="14" t="n">
        <v>0.08599999999999999</v>
      </c>
      <c r="AB523" s="14" t="n">
        <v>4.844</v>
      </c>
      <c r="AC523" s="14" t="n">
        <v>0</v>
      </c>
      <c r="AD523" s="14" t="n">
        <v>1</v>
      </c>
      <c r="AE523" s="14" t="n">
        <v>3.757</v>
      </c>
      <c r="AF523" s="14" t="n">
        <v>0.823</v>
      </c>
      <c r="AG523" s="14" t="n">
        <v>0.08599999999999999</v>
      </c>
      <c r="AH523" s="14" t="n">
        <v>3.843</v>
      </c>
      <c r="AI523" s="14" t="n">
        <v>0</v>
      </c>
      <c r="AJ523" s="14" t="n">
        <v>1</v>
      </c>
      <c r="AK523" s="14" t="n">
        <v>10.459</v>
      </c>
      <c r="AL523" s="14" t="n">
        <v>5.32</v>
      </c>
      <c r="AM523" s="14" t="n">
        <v>0</v>
      </c>
      <c r="AN523" s="14" t="n">
        <v>12.132</v>
      </c>
      <c r="AO523" s="14" t="n">
        <v>0.16</v>
      </c>
      <c r="AP523" s="14" t="n">
        <v>1</v>
      </c>
      <c r="AQ523" s="14" t="n">
        <v>0.756</v>
      </c>
      <c r="AR523" s="14" t="n">
        <v>0.132</v>
      </c>
      <c r="AS523" s="14" t="n">
        <v>0.336</v>
      </c>
      <c r="AT523" s="14" t="n">
        <v>1.267</v>
      </c>
      <c r="AU523" s="14" t="n">
        <v>0.16</v>
      </c>
      <c r="AV523" s="14" t="n">
        <v>1</v>
      </c>
      <c r="AW523" s="14" t="n">
        <v>0.655</v>
      </c>
      <c r="AX523" s="14" t="n">
        <v>0.132</v>
      </c>
      <c r="AY523" s="14" t="n">
        <v>0.504</v>
      </c>
      <c r="AZ523" s="14" t="n">
        <v>1.344</v>
      </c>
      <c r="BA523" s="14" t="n">
        <v>0.16</v>
      </c>
      <c r="BB523" s="14" t="n">
        <v>1</v>
      </c>
      <c r="BC523" s="14" t="n">
        <v>0.534</v>
      </c>
      <c r="BD523" s="14" t="n">
        <v>0.132</v>
      </c>
      <c r="BE523" s="14" t="n">
        <v>-0.046</v>
      </c>
      <c r="BF523" s="14" t="n">
        <v>0.5649999999999999</v>
      </c>
      <c r="BG523" s="14" t="n">
        <v>0.16</v>
      </c>
      <c r="BH523" s="14" t="n">
        <v>1</v>
      </c>
      <c r="BI523" s="14" t="n">
        <v>0.5679999999999999</v>
      </c>
      <c r="BJ523" s="14" t="n">
        <v>0.132</v>
      </c>
      <c r="BK523" s="14" t="n">
        <v>0.237</v>
      </c>
      <c r="BL523" s="14" t="n">
        <v>0.9340000000000001</v>
      </c>
      <c r="BM523" s="14" t="n">
        <v>0.16</v>
      </c>
      <c r="BN523" s="14" t="n">
        <v>1</v>
      </c>
      <c r="BO523" s="14" t="n">
        <v>0</v>
      </c>
      <c r="BP523" s="14" t="n">
        <v>-0.002</v>
      </c>
      <c r="BQ523" s="14" t="n">
        <v>0.147</v>
      </c>
      <c r="BR523" s="14" t="n">
        <v>0</v>
      </c>
      <c r="BS523" s="14" t="n">
        <v>1</v>
      </c>
      <c r="BT523" s="14" t="n">
        <v>0</v>
      </c>
      <c r="BU523" s="14" t="n">
        <v>-0.002</v>
      </c>
      <c r="BV523" s="14" t="n">
        <v>0.131</v>
      </c>
      <c r="BW523" s="14" t="n">
        <v>0.16</v>
      </c>
      <c r="BX523" s="14" t="n">
        <v>0.667</v>
      </c>
      <c r="BY523" s="14" t="n">
        <v>13.646</v>
      </c>
      <c r="BZ523" s="14" t="n">
        <v>0</v>
      </c>
      <c r="CA523" s="14" t="n">
        <v>13.646</v>
      </c>
      <c r="CB523" s="14" t="n">
        <v>0</v>
      </c>
      <c r="CC523" s="14" t="n">
        <v>82.58799999999999</v>
      </c>
      <c r="CD523" s="14" t="n">
        <v>7.95</v>
      </c>
      <c r="CE523" s="14" t="n">
        <v>1.588</v>
      </c>
      <c r="CF523" s="14" t="n">
        <v>97.64400000000001</v>
      </c>
      <c r="CG523" s="14" t="n">
        <v>0</v>
      </c>
      <c r="CH523" s="14" t="n">
        <v>1</v>
      </c>
      <c r="CI523" s="14" t="n">
        <v>0</v>
      </c>
      <c r="CJ523" s="14" t="n">
        <v>0</v>
      </c>
      <c r="CK523" s="14" t="n">
        <v>0</v>
      </c>
      <c r="CL523" s="14" t="n">
        <v>0</v>
      </c>
      <c r="CM523" s="14" t="n">
        <v>0</v>
      </c>
      <c r="CN523" s="14" t="n">
        <v>2.582</v>
      </c>
      <c r="CO523" s="14" t="n">
        <v>7.288</v>
      </c>
      <c r="CP523" s="14" t="n">
        <v>0</v>
      </c>
      <c r="CQ523" s="14" t="n">
        <v>1.387</v>
      </c>
      <c r="CR523" s="14" t="n">
        <v>0</v>
      </c>
      <c r="CS523" s="14" t="n">
        <v>7.978</v>
      </c>
      <c r="CT523" s="14" t="n">
        <v>4.251</v>
      </c>
      <c r="CU523" s="14" t="n">
        <v>10.123</v>
      </c>
    </row>
    <row r="524">
      <c r="A524" s="14" t="inlineStr">
        <is>
          <t>FSM2021</t>
        </is>
      </c>
      <c r="B524" s="14" t="inlineStr">
        <is>
          <t>FSM</t>
        </is>
      </c>
      <c r="C524" s="14" t="inlineStr">
        <is>
          <t>FSM</t>
        </is>
      </c>
      <c r="D524" s="14" t="inlineStr">
        <is>
          <t>Micronesia</t>
        </is>
      </c>
      <c r="E524" s="14" t="n">
        <v>2021</v>
      </c>
      <c r="F524" s="14" t="n">
        <v>0</v>
      </c>
      <c r="G524" s="14" t="n">
        <v>4.747</v>
      </c>
      <c r="H524" s="14" t="n">
        <v>1.143</v>
      </c>
      <c r="I524" s="14" t="n">
        <v>0</v>
      </c>
      <c r="J524" s="14" t="n">
        <v>4.747</v>
      </c>
      <c r="K524" s="14" t="n">
        <v>0</v>
      </c>
      <c r="L524" s="14" t="n">
        <v>1</v>
      </c>
      <c r="M524" s="14" t="n">
        <v>7.964</v>
      </c>
      <c r="N524" s="14" t="n">
        <v>3.43</v>
      </c>
      <c r="O524" s="14" t="n">
        <v>0</v>
      </c>
      <c r="P524" s="14" t="n">
        <v>7.964</v>
      </c>
      <c r="Q524" s="14" t="n">
        <v>0</v>
      </c>
      <c r="R524" s="14" t="n">
        <v>1</v>
      </c>
      <c r="S524" s="14" t="n">
        <v>10.464</v>
      </c>
      <c r="T524" s="14" t="n">
        <v>6.86</v>
      </c>
      <c r="U524" s="14" t="n">
        <v>0</v>
      </c>
      <c r="V524" s="14" t="n">
        <v>10.464</v>
      </c>
      <c r="W524" s="14" t="n">
        <v>0</v>
      </c>
      <c r="X524" s="14" t="n">
        <v>1</v>
      </c>
      <c r="Y524" s="14" t="n">
        <v>10.551</v>
      </c>
      <c r="Z524" s="14" t="n">
        <v>1.302</v>
      </c>
      <c r="AA524" s="14" t="n">
        <v>0</v>
      </c>
      <c r="AB524" s="14" t="n">
        <v>10.551</v>
      </c>
      <c r="AC524" s="14" t="n">
        <v>0</v>
      </c>
      <c r="AD524" s="14" t="n">
        <v>1</v>
      </c>
      <c r="AE524" s="14" t="n">
        <v>11.694</v>
      </c>
      <c r="AF524" s="14" t="n">
        <v>2.549</v>
      </c>
      <c r="AG524" s="14" t="n">
        <v>0</v>
      </c>
      <c r="AH524" s="14" t="n">
        <v>11.694</v>
      </c>
      <c r="AI524" s="14" t="n">
        <v>0</v>
      </c>
      <c r="AJ524" s="14" t="n">
        <v>1</v>
      </c>
      <c r="AK524" s="14" t="n">
        <v>18.554</v>
      </c>
      <c r="AL524" s="14" t="n">
        <v>9.627000000000001</v>
      </c>
      <c r="AM524" s="14" t="n">
        <v>0</v>
      </c>
      <c r="AN524" s="14" t="n">
        <v>18.554</v>
      </c>
      <c r="AO524" s="14" t="n">
        <v>0</v>
      </c>
      <c r="AP524" s="14" t="n">
        <v>1</v>
      </c>
      <c r="AQ524" s="14" t="n">
        <v>0.621</v>
      </c>
      <c r="AR524" s="14" t="n">
        <v>0.114</v>
      </c>
      <c r="AS524" s="14" t="n">
        <v>0.726</v>
      </c>
      <c r="AT524" s="14" t="n">
        <v>1.346</v>
      </c>
      <c r="AU524" s="14" t="n">
        <v>0</v>
      </c>
      <c r="AV524" s="14" t="n">
        <v>1</v>
      </c>
      <c r="AW524" s="14" t="n">
        <v>0.593</v>
      </c>
      <c r="AX524" s="14" t="n">
        <v>0.114</v>
      </c>
      <c r="AY524" s="14" t="n">
        <v>0.877</v>
      </c>
      <c r="AZ524" s="14" t="n">
        <v>1.471</v>
      </c>
      <c r="BA524" s="14" t="n">
        <v>0</v>
      </c>
      <c r="BB524" s="14" t="n">
        <v>1</v>
      </c>
      <c r="BC524" s="14" t="n">
        <v>0.44</v>
      </c>
      <c r="BD524" s="14" t="n">
        <v>0.114</v>
      </c>
      <c r="BE524" s="14" t="n">
        <v>0</v>
      </c>
      <c r="BF524" s="14" t="n">
        <v>0.44</v>
      </c>
      <c r="BG524" s="14" t="n">
        <v>0</v>
      </c>
      <c r="BH524" s="14" t="n">
        <v>1</v>
      </c>
      <c r="BI524" s="14" t="n">
        <v>0.5600000000000001</v>
      </c>
      <c r="BJ524" s="14" t="n">
        <v>0.114</v>
      </c>
      <c r="BK524" s="14" t="n">
        <v>0.042</v>
      </c>
      <c r="BL524" s="14" t="n">
        <v>0.603</v>
      </c>
      <c r="BM524" s="14" t="n">
        <v>0</v>
      </c>
      <c r="BN524" s="14" t="n">
        <v>1</v>
      </c>
      <c r="BO524" s="14" t="n">
        <v>0</v>
      </c>
      <c r="BP524" s="14" t="n">
        <v>0</v>
      </c>
      <c r="BQ524" s="14" t="n">
        <v>0.471</v>
      </c>
      <c r="BR524" s="14" t="n">
        <v>0</v>
      </c>
      <c r="BS524" s="14" t="n">
        <v>1</v>
      </c>
      <c r="BT524" s="14" t="n">
        <v>0</v>
      </c>
      <c r="BU524" s="14" t="n">
        <v>0</v>
      </c>
      <c r="BV524" s="14" t="n">
        <v>0.435</v>
      </c>
      <c r="BW524" s="14" t="n">
        <v>0</v>
      </c>
      <c r="BX524" s="14" t="n">
        <v>1</v>
      </c>
      <c r="BY524" s="14" t="n">
        <v>11.787</v>
      </c>
      <c r="BZ524" s="14" t="n">
        <v>0</v>
      </c>
      <c r="CA524" s="14" t="n">
        <v>11.787</v>
      </c>
      <c r="CB524" s="14" t="n">
        <v>0</v>
      </c>
      <c r="CC524" s="14" t="n">
        <v>81.69499999999999</v>
      </c>
      <c r="CD524" s="14" t="n">
        <v>7.95</v>
      </c>
      <c r="CE524" s="14" t="n">
        <v>0</v>
      </c>
      <c r="CF524" s="14" t="n">
        <v>81.69499999999999</v>
      </c>
      <c r="CG524" s="14" t="n">
        <v>0</v>
      </c>
      <c r="CH524" s="14" t="n">
        <v>1</v>
      </c>
      <c r="CI524" s="14" t="n">
        <v>0</v>
      </c>
      <c r="CJ524" s="14" t="n">
        <v>0</v>
      </c>
      <c r="CK524" s="14" t="n">
        <v>0</v>
      </c>
      <c r="CL524" s="14" t="n">
        <v>0</v>
      </c>
      <c r="CM524" s="14" t="n">
        <v>0</v>
      </c>
      <c r="CN524" s="14" t="n">
        <v>0</v>
      </c>
      <c r="CO524" s="14" t="n">
        <v>0</v>
      </c>
      <c r="CP524" s="14" t="n">
        <v>0</v>
      </c>
      <c r="CQ524" s="14" t="n">
        <v>1.198</v>
      </c>
      <c r="CR524" s="14" t="n">
        <v>0</v>
      </c>
      <c r="CS524" s="14" t="n">
        <v>4.776</v>
      </c>
      <c r="CT524" s="14" t="n">
        <v>3.604</v>
      </c>
      <c r="CU524" s="14" t="n">
        <v>9.407999999999999</v>
      </c>
    </row>
    <row r="525">
      <c r="A525" s="14" t="inlineStr">
        <is>
          <t>FSM2022</t>
        </is>
      </c>
      <c r="B525" s="14" t="inlineStr">
        <is>
          <t>FSM</t>
        </is>
      </c>
      <c r="C525" s="14" t="inlineStr">
        <is>
          <t>FSM</t>
        </is>
      </c>
      <c r="D525" s="14" t="inlineStr">
        <is>
          <t>Micronesia</t>
        </is>
      </c>
      <c r="E525" s="14" t="n">
        <v>2022</v>
      </c>
      <c r="F525" s="14" t="n">
        <v>0</v>
      </c>
      <c r="G525" s="14" t="n">
        <v>8.788</v>
      </c>
      <c r="H525" s="14" t="n">
        <v>1.235</v>
      </c>
      <c r="I525" s="14" t="n">
        <v>0</v>
      </c>
      <c r="J525" s="14" t="n">
        <v>8.788</v>
      </c>
      <c r="K525" s="14" t="n">
        <v>0</v>
      </c>
      <c r="L525" s="14" t="n">
        <v>1</v>
      </c>
      <c r="M525" s="14" t="n">
        <v>9.782999999999999</v>
      </c>
      <c r="N525" s="14" t="n">
        <v>3.704</v>
      </c>
      <c r="O525" s="14" t="n">
        <v>0</v>
      </c>
      <c r="P525" s="14" t="n">
        <v>9.782999999999999</v>
      </c>
      <c r="Q525" s="14" t="n">
        <v>0</v>
      </c>
      <c r="R525" s="14" t="n">
        <v>1</v>
      </c>
      <c r="S525" s="14" t="n">
        <v>14.962</v>
      </c>
      <c r="T525" s="14" t="n">
        <v>7.408</v>
      </c>
      <c r="U525" s="14" t="n">
        <v>0</v>
      </c>
      <c r="V525" s="14" t="n">
        <v>14.962</v>
      </c>
      <c r="W525" s="14" t="n">
        <v>0</v>
      </c>
      <c r="X525" s="14" t="n">
        <v>1</v>
      </c>
      <c r="Y525" s="14" t="n">
        <v>17.332</v>
      </c>
      <c r="Z525" s="14" t="n">
        <v>2.139</v>
      </c>
      <c r="AA525" s="14" t="n">
        <v>0</v>
      </c>
      <c r="AB525" s="14" t="n">
        <v>17.332</v>
      </c>
      <c r="AC525" s="14" t="n">
        <v>0</v>
      </c>
      <c r="AD525" s="14" t="n">
        <v>1</v>
      </c>
      <c r="AE525" s="14" t="n">
        <v>18.566</v>
      </c>
      <c r="AF525" s="14" t="n">
        <v>4.048</v>
      </c>
      <c r="AG525" s="14" t="n">
        <v>0</v>
      </c>
      <c r="AH525" s="14" t="n">
        <v>18.566</v>
      </c>
      <c r="AI525" s="14" t="n">
        <v>0</v>
      </c>
      <c r="AJ525" s="14" t="n">
        <v>1</v>
      </c>
      <c r="AK525" s="14" t="n">
        <v>25.974</v>
      </c>
      <c r="AL525" s="14" t="n">
        <v>13.478</v>
      </c>
      <c r="AM525" s="14" t="n">
        <v>0</v>
      </c>
      <c r="AN525" s="14" t="n">
        <v>25.974</v>
      </c>
      <c r="AO525" s="14" t="n">
        <v>0</v>
      </c>
      <c r="AP525" s="14" t="n">
        <v>1</v>
      </c>
      <c r="AQ525" s="14" t="n">
        <v>0.847</v>
      </c>
      <c r="AR525" s="14" t="n">
        <v>0.123</v>
      </c>
      <c r="AS525" s="14" t="n">
        <v>0.784</v>
      </c>
      <c r="AT525" s="14" t="n">
        <v>1.63</v>
      </c>
      <c r="AU525" s="14" t="n">
        <v>0</v>
      </c>
      <c r="AV525" s="14" t="n">
        <v>1</v>
      </c>
      <c r="AW525" s="14" t="n">
        <v>0.947</v>
      </c>
      <c r="AX525" s="14" t="n">
        <v>0.123</v>
      </c>
      <c r="AY525" s="14" t="n">
        <v>0.948</v>
      </c>
      <c r="AZ525" s="14" t="n">
        <v>1.894</v>
      </c>
      <c r="BA525" s="14" t="n">
        <v>0</v>
      </c>
      <c r="BB525" s="14" t="n">
        <v>1</v>
      </c>
      <c r="BC525" s="14" t="n">
        <v>0.589</v>
      </c>
      <c r="BD525" s="14" t="n">
        <v>0.123</v>
      </c>
      <c r="BE525" s="14" t="n">
        <v>0</v>
      </c>
      <c r="BF525" s="14" t="n">
        <v>0.589</v>
      </c>
      <c r="BG525" s="14" t="n">
        <v>0</v>
      </c>
      <c r="BH525" s="14" t="n">
        <v>1</v>
      </c>
      <c r="BI525" s="14" t="n">
        <v>0.6889999999999999</v>
      </c>
      <c r="BJ525" s="14" t="n">
        <v>0.123</v>
      </c>
      <c r="BK525" s="14" t="n">
        <v>0.049</v>
      </c>
      <c r="BL525" s="14" t="n">
        <v>0.738</v>
      </c>
      <c r="BM525" s="14" t="n">
        <v>0</v>
      </c>
      <c r="BN525" s="14" t="n">
        <v>1</v>
      </c>
      <c r="BO525" s="14" t="n">
        <v>0</v>
      </c>
      <c r="BP525" s="14" t="n">
        <v>0</v>
      </c>
      <c r="BQ525" s="14" t="n">
        <v>0.509</v>
      </c>
      <c r="BR525" s="14" t="n">
        <v>0</v>
      </c>
      <c r="BS525" s="14" t="n">
        <v>1</v>
      </c>
      <c r="BT525" s="14" t="n">
        <v>0</v>
      </c>
      <c r="BU525" s="14" t="n">
        <v>0</v>
      </c>
      <c r="BV525" s="14" t="n">
        <v>0.47</v>
      </c>
      <c r="BW525" s="14" t="n">
        <v>0</v>
      </c>
      <c r="BX525" s="14" t="n">
        <v>1</v>
      </c>
      <c r="BY525" s="14" t="n">
        <v>12.729</v>
      </c>
      <c r="BZ525" s="14" t="n">
        <v>0</v>
      </c>
      <c r="CA525" s="14" t="n">
        <v>12.729</v>
      </c>
      <c r="CB525" s="14" t="n">
        <v>0</v>
      </c>
      <c r="CC525" s="14" t="n">
        <v>102.477</v>
      </c>
      <c r="CD525" s="14" t="n">
        <v>7.95</v>
      </c>
      <c r="CE525" s="14" t="n">
        <v>0</v>
      </c>
      <c r="CF525" s="14" t="n">
        <v>102.477</v>
      </c>
      <c r="CG525" s="14" t="n">
        <v>0</v>
      </c>
      <c r="CH525" s="14" t="n">
        <v>1</v>
      </c>
      <c r="CI525" s="14" t="n">
        <v>0</v>
      </c>
      <c r="CJ525" s="14" t="n">
        <v>0</v>
      </c>
      <c r="CK525" s="14" t="n">
        <v>0</v>
      </c>
      <c r="CL525" s="14" t="n">
        <v>0</v>
      </c>
      <c r="CM525" s="14" t="n">
        <v>0</v>
      </c>
      <c r="CN525" s="14" t="n">
        <v>0</v>
      </c>
      <c r="CO525" s="14" t="n">
        <v>0</v>
      </c>
      <c r="CP525" s="14" t="n">
        <v>0</v>
      </c>
      <c r="CQ525" s="14" t="n">
        <v>1.294</v>
      </c>
      <c r="CR525" s="14" t="n">
        <v>0</v>
      </c>
      <c r="CS525" s="14" t="n">
        <v>5.158</v>
      </c>
      <c r="CT525" s="14" t="n">
        <v>7.554</v>
      </c>
      <c r="CU525" s="14" t="n">
        <v>16.097</v>
      </c>
    </row>
    <row r="526">
      <c r="A526" s="14" t="inlineStr">
        <is>
          <t>FSM2023</t>
        </is>
      </c>
      <c r="B526" s="14" t="inlineStr">
        <is>
          <t>FSM</t>
        </is>
      </c>
      <c r="C526" s="14" t="inlineStr">
        <is>
          <t>FSM</t>
        </is>
      </c>
      <c r="D526" s="14" t="inlineStr">
        <is>
          <t>Micronesia</t>
        </is>
      </c>
      <c r="E526" s="14" t="n">
        <v>2023</v>
      </c>
      <c r="F526" s="14" t="n">
        <v>0</v>
      </c>
      <c r="G526" s="14" t="n">
        <v>5.77</v>
      </c>
      <c r="H526" s="14" t="n">
        <v>1.286</v>
      </c>
      <c r="I526" s="14" t="n">
        <v>0</v>
      </c>
      <c r="J526" s="14" t="n">
        <v>5.77</v>
      </c>
      <c r="K526" s="14" t="n">
        <v>0</v>
      </c>
      <c r="L526" s="14" t="n">
        <v>1</v>
      </c>
      <c r="M526" s="14" t="n">
        <v>7.886</v>
      </c>
      <c r="N526" s="14" t="n">
        <v>3.857</v>
      </c>
      <c r="O526" s="14" t="n">
        <v>0</v>
      </c>
      <c r="P526" s="14" t="n">
        <v>7.886</v>
      </c>
      <c r="Q526" s="14" t="n">
        <v>0</v>
      </c>
      <c r="R526" s="14" t="n">
        <v>1</v>
      </c>
      <c r="S526" s="14" t="n">
        <v>12.198</v>
      </c>
      <c r="T526" s="14" t="n">
        <v>7.714</v>
      </c>
      <c r="U526" s="14" t="n">
        <v>0</v>
      </c>
      <c r="V526" s="14" t="n">
        <v>12.198</v>
      </c>
      <c r="W526" s="14" t="n">
        <v>0</v>
      </c>
      <c r="X526" s="14" t="n">
        <v>1</v>
      </c>
      <c r="Y526" s="14" t="n">
        <v>13.814</v>
      </c>
      <c r="Z526" s="14" t="n">
        <v>1.705</v>
      </c>
      <c r="AA526" s="14" t="n">
        <v>0</v>
      </c>
      <c r="AB526" s="14" t="n">
        <v>13.814</v>
      </c>
      <c r="AC526" s="14" t="n">
        <v>0</v>
      </c>
      <c r="AD526" s="14" t="n">
        <v>1</v>
      </c>
      <c r="AE526" s="14" t="n">
        <v>15.1</v>
      </c>
      <c r="AF526" s="14" t="n">
        <v>3.292</v>
      </c>
      <c r="AG526" s="14" t="n">
        <v>0</v>
      </c>
      <c r="AH526" s="14" t="n">
        <v>15.1</v>
      </c>
      <c r="AI526" s="14" t="n">
        <v>0</v>
      </c>
      <c r="AJ526" s="14" t="n">
        <v>1</v>
      </c>
      <c r="AK526" s="14" t="n">
        <v>22.814</v>
      </c>
      <c r="AL526" s="14" t="n">
        <v>11.838</v>
      </c>
      <c r="AM526" s="14" t="n">
        <v>0</v>
      </c>
      <c r="AN526" s="14" t="n">
        <v>22.814</v>
      </c>
      <c r="AO526" s="14" t="n">
        <v>0</v>
      </c>
      <c r="AP526" s="14" t="n">
        <v>1</v>
      </c>
      <c r="AQ526" s="14" t="n">
        <v>0.749</v>
      </c>
      <c r="AR526" s="14" t="n">
        <v>0.129</v>
      </c>
      <c r="AS526" s="14" t="n">
        <v>0.8159999999999999</v>
      </c>
      <c r="AT526" s="14" t="n">
        <v>1.565</v>
      </c>
      <c r="AU526" s="14" t="n">
        <v>0</v>
      </c>
      <c r="AV526" s="14" t="n">
        <v>1</v>
      </c>
      <c r="AW526" s="14" t="n">
        <v>0.783</v>
      </c>
      <c r="AX526" s="14" t="n">
        <v>0.129</v>
      </c>
      <c r="AY526" s="14" t="n">
        <v>0.987</v>
      </c>
      <c r="AZ526" s="14" t="n">
        <v>1.769</v>
      </c>
      <c r="BA526" s="14" t="n">
        <v>0</v>
      </c>
      <c r="BB526" s="14" t="n">
        <v>1</v>
      </c>
      <c r="BC526" s="14" t="n">
        <v>0.527</v>
      </c>
      <c r="BD526" s="14" t="n">
        <v>0.129</v>
      </c>
      <c r="BE526" s="14" t="n">
        <v>0</v>
      </c>
      <c r="BF526" s="14" t="n">
        <v>0.527</v>
      </c>
      <c r="BG526" s="14" t="n">
        <v>0</v>
      </c>
      <c r="BH526" s="14" t="n">
        <v>1</v>
      </c>
      <c r="BI526" s="14" t="n">
        <v>0.64</v>
      </c>
      <c r="BJ526" s="14" t="n">
        <v>0.129</v>
      </c>
      <c r="BK526" s="14" t="n">
        <v>0.048</v>
      </c>
      <c r="BL526" s="14" t="n">
        <v>0.6879999999999999</v>
      </c>
      <c r="BM526" s="14" t="n">
        <v>0</v>
      </c>
      <c r="BN526" s="14" t="n">
        <v>1</v>
      </c>
      <c r="BO526" s="14" t="n">
        <v>0</v>
      </c>
      <c r="BP526" s="14" t="n">
        <v>0</v>
      </c>
      <c r="BQ526" s="14" t="n">
        <v>0.53</v>
      </c>
      <c r="BR526" s="14" t="n">
        <v>0</v>
      </c>
      <c r="BS526" s="14" t="n">
        <v>1</v>
      </c>
      <c r="BT526" s="14" t="n">
        <v>0</v>
      </c>
      <c r="BU526" s="14" t="n">
        <v>0</v>
      </c>
      <c r="BV526" s="14" t="n">
        <v>0.49</v>
      </c>
      <c r="BW526" s="14" t="n">
        <v>0</v>
      </c>
      <c r="BX526" s="14" t="n">
        <v>1</v>
      </c>
      <c r="BY526" s="14" t="n">
        <v>13.254</v>
      </c>
      <c r="BZ526" s="14" t="n">
        <v>0</v>
      </c>
      <c r="CA526" s="14" t="n">
        <v>13.254</v>
      </c>
      <c r="CB526" s="14" t="n">
        <v>0</v>
      </c>
      <c r="CC526" s="14" t="n">
        <v>87.07899999999999</v>
      </c>
      <c r="CD526" s="14" t="n">
        <v>7.95</v>
      </c>
      <c r="CE526" s="14" t="n">
        <v>0</v>
      </c>
      <c r="CF526" s="14" t="n">
        <v>87.07899999999999</v>
      </c>
      <c r="CG526" s="14" t="n">
        <v>0</v>
      </c>
      <c r="CH526" s="14" t="n">
        <v>1</v>
      </c>
      <c r="CI526" s="14" t="n">
        <v>0</v>
      </c>
      <c r="CJ526" s="14" t="n">
        <v>0</v>
      </c>
      <c r="CK526" s="14" t="n">
        <v>0</v>
      </c>
      <c r="CL526" s="14" t="n">
        <v>0</v>
      </c>
      <c r="CM526" s="14" t="n">
        <v>0</v>
      </c>
      <c r="CN526" s="14" t="n">
        <v>0</v>
      </c>
      <c r="CO526" s="14" t="n">
        <v>0</v>
      </c>
      <c r="CP526" s="14" t="n">
        <v>0</v>
      </c>
      <c r="CQ526" s="14" t="n">
        <v>1.348</v>
      </c>
      <c r="CR526" s="14" t="n">
        <v>0</v>
      </c>
      <c r="CS526" s="14" t="n">
        <v>5.37</v>
      </c>
      <c r="CT526" s="14" t="n">
        <v>4.484</v>
      </c>
      <c r="CU526" s="14" t="n">
        <v>12.529</v>
      </c>
    </row>
    <row r="527">
      <c r="A527" s="14" t="inlineStr">
        <is>
          <t>FSM2024</t>
        </is>
      </c>
      <c r="B527" s="14" t="inlineStr">
        <is>
          <t>FSM</t>
        </is>
      </c>
      <c r="C527" s="14" t="inlineStr">
        <is>
          <t>FSM</t>
        </is>
      </c>
      <c r="D527" s="14" t="inlineStr">
        <is>
          <t>Micronesia</t>
        </is>
      </c>
      <c r="E527" s="14" t="n">
        <v>2024</v>
      </c>
      <c r="F527" s="14" t="n">
        <v>0</v>
      </c>
      <c r="G527" s="14" t="n">
        <v>4.833</v>
      </c>
      <c r="H527" s="14" t="n">
        <v>1.324</v>
      </c>
      <c r="I527" s="14" t="n">
        <v>0</v>
      </c>
      <c r="J527" s="14" t="n">
        <v>4.833</v>
      </c>
      <c r="K527" s="14" t="n">
        <v>0</v>
      </c>
      <c r="L527" s="14" t="n">
        <v>1</v>
      </c>
      <c r="M527" s="14" t="n">
        <v>7.124</v>
      </c>
      <c r="N527" s="14" t="n">
        <v>3.971</v>
      </c>
      <c r="O527" s="14" t="n">
        <v>0</v>
      </c>
      <c r="P527" s="14" t="n">
        <v>7.124</v>
      </c>
      <c r="Q527" s="14" t="n">
        <v>0</v>
      </c>
      <c r="R527" s="14" t="n">
        <v>1</v>
      </c>
      <c r="S527" s="14" t="n">
        <v>11.451</v>
      </c>
      <c r="T527" s="14" t="n">
        <v>7.942</v>
      </c>
      <c r="U527" s="14" t="n">
        <v>0</v>
      </c>
      <c r="V527" s="14" t="n">
        <v>11.451</v>
      </c>
      <c r="W527" s="14" t="n">
        <v>0</v>
      </c>
      <c r="X527" s="14" t="n">
        <v>1</v>
      </c>
      <c r="Y527" s="14" t="n">
        <v>12.219</v>
      </c>
      <c r="Z527" s="14" t="n">
        <v>1.508</v>
      </c>
      <c r="AA527" s="14" t="n">
        <v>0</v>
      </c>
      <c r="AB527" s="14" t="n">
        <v>12.219</v>
      </c>
      <c r="AC527" s="14" t="n">
        <v>0</v>
      </c>
      <c r="AD527" s="14" t="n">
        <v>1</v>
      </c>
      <c r="AE527" s="14" t="n">
        <v>13.543</v>
      </c>
      <c r="AF527" s="14" t="n">
        <v>2.952</v>
      </c>
      <c r="AG527" s="14" t="n">
        <v>0</v>
      </c>
      <c r="AH527" s="14" t="n">
        <v>13.543</v>
      </c>
      <c r="AI527" s="14" t="n">
        <v>0</v>
      </c>
      <c r="AJ527" s="14" t="n">
        <v>1</v>
      </c>
      <c r="AK527" s="14" t="n">
        <v>21.484</v>
      </c>
      <c r="AL527" s="14" t="n">
        <v>11.148</v>
      </c>
      <c r="AM527" s="14" t="n">
        <v>0</v>
      </c>
      <c r="AN527" s="14" t="n">
        <v>21.484</v>
      </c>
      <c r="AO527" s="14" t="n">
        <v>0</v>
      </c>
      <c r="AP527" s="14" t="n">
        <v>1</v>
      </c>
      <c r="AQ527" s="14" t="n">
        <v>0.72</v>
      </c>
      <c r="AR527" s="14" t="n">
        <v>0.132</v>
      </c>
      <c r="AS527" s="14" t="n">
        <v>0.84</v>
      </c>
      <c r="AT527" s="14" t="n">
        <v>1.56</v>
      </c>
      <c r="AU527" s="14" t="n">
        <v>0</v>
      </c>
      <c r="AV527" s="14" t="n">
        <v>1</v>
      </c>
      <c r="AW527" s="14" t="n">
        <v>0.734</v>
      </c>
      <c r="AX527" s="14" t="n">
        <v>0.132</v>
      </c>
      <c r="AY527" s="14" t="n">
        <v>1.016</v>
      </c>
      <c r="AZ527" s="14" t="n">
        <v>1.749</v>
      </c>
      <c r="BA527" s="14" t="n">
        <v>0</v>
      </c>
      <c r="BB527" s="14" t="n">
        <v>1</v>
      </c>
      <c r="BC527" s="14" t="n">
        <v>0.51</v>
      </c>
      <c r="BD527" s="14" t="n">
        <v>0.132</v>
      </c>
      <c r="BE527" s="14" t="n">
        <v>0</v>
      </c>
      <c r="BF527" s="14" t="n">
        <v>0.51</v>
      </c>
      <c r="BG527" s="14" t="n">
        <v>0</v>
      </c>
      <c r="BH527" s="14" t="n">
        <v>1</v>
      </c>
      <c r="BI527" s="14" t="n">
        <v>0.652</v>
      </c>
      <c r="BJ527" s="14" t="n">
        <v>0.132</v>
      </c>
      <c r="BK527" s="14" t="n">
        <v>0.049</v>
      </c>
      <c r="BL527" s="14" t="n">
        <v>0.702</v>
      </c>
      <c r="BM527" s="14" t="n">
        <v>0</v>
      </c>
      <c r="BN527" s="14" t="n">
        <v>1</v>
      </c>
      <c r="BO527" s="14" t="n">
        <v>0</v>
      </c>
      <c r="BP527" s="14" t="n">
        <v>0</v>
      </c>
      <c r="BQ527" s="14" t="n">
        <v>0.545</v>
      </c>
      <c r="BR527" s="14" t="n">
        <v>0</v>
      </c>
      <c r="BS527" s="14" t="n">
        <v>1</v>
      </c>
      <c r="BT527" s="14" t="n">
        <v>0</v>
      </c>
      <c r="BU527" s="14" t="n">
        <v>0</v>
      </c>
      <c r="BV527" s="14" t="n">
        <v>0.504</v>
      </c>
      <c r="BW527" s="14" t="n">
        <v>0</v>
      </c>
      <c r="BX527" s="14" t="n">
        <v>1</v>
      </c>
      <c r="BY527" s="14" t="n">
        <v>13.646</v>
      </c>
      <c r="BZ527" s="14" t="n">
        <v>0</v>
      </c>
      <c r="CA527" s="14" t="n">
        <v>13.646</v>
      </c>
      <c r="CB527" s="14" t="n">
        <v>0</v>
      </c>
      <c r="CC527" s="14" t="n">
        <v>86.38500000000001</v>
      </c>
      <c r="CD527" s="14" t="n">
        <v>7.95</v>
      </c>
      <c r="CE527" s="14" t="n">
        <v>0</v>
      </c>
      <c r="CF527" s="14" t="n">
        <v>86.38500000000001</v>
      </c>
      <c r="CG527" s="14" t="n">
        <v>0</v>
      </c>
      <c r="CH527" s="14" t="n">
        <v>1</v>
      </c>
      <c r="CI527" s="14" t="n">
        <v>0</v>
      </c>
      <c r="CJ527" s="14" t="n">
        <v>0</v>
      </c>
      <c r="CK527" s="14" t="n">
        <v>0</v>
      </c>
      <c r="CL527" s="14" t="n">
        <v>0</v>
      </c>
      <c r="CM527" s="14" t="n">
        <v>0</v>
      </c>
      <c r="CN527" s="14" t="n">
        <v>0</v>
      </c>
      <c r="CO527" s="14" t="n">
        <v>0</v>
      </c>
      <c r="CP527" s="14" t="n">
        <v>0</v>
      </c>
      <c r="CQ527" s="14" t="n">
        <v>1.387</v>
      </c>
      <c r="CR527" s="14" t="n">
        <v>0</v>
      </c>
      <c r="CS527" s="14" t="n">
        <v>5.529</v>
      </c>
      <c r="CT527" s="14" t="n">
        <v>3.509</v>
      </c>
      <c r="CU527" s="14" t="n">
        <v>10.896</v>
      </c>
    </row>
    <row r="528">
      <c r="A528" s="14" t="inlineStr">
        <is>
          <t>MDA2021</t>
        </is>
      </c>
      <c r="B528" s="14" t="inlineStr">
        <is>
          <t>MDA</t>
        </is>
      </c>
      <c r="C528" s="14" t="inlineStr">
        <is>
          <t>MDA</t>
        </is>
      </c>
      <c r="D528" s="14" t="inlineStr">
        <is>
          <t>Moldova</t>
        </is>
      </c>
      <c r="E528" s="14" t="n">
        <v>2021</v>
      </c>
      <c r="F528" s="14" t="n">
        <v>0.2</v>
      </c>
      <c r="G528" s="14" t="n">
        <v>4.851</v>
      </c>
      <c r="H528" s="14" t="n">
        <v>1.037</v>
      </c>
      <c r="I528" s="14" t="n">
        <v>0</v>
      </c>
      <c r="J528" s="14" t="n">
        <v>4.851</v>
      </c>
      <c r="K528" s="14" t="n">
        <v>0</v>
      </c>
      <c r="L528" s="14" t="n">
        <v>1</v>
      </c>
      <c r="M528" s="14" t="n">
        <v>7.026</v>
      </c>
      <c r="N528" s="14" t="n">
        <v>3.111</v>
      </c>
      <c r="O528" s="14" t="n">
        <v>0</v>
      </c>
      <c r="P528" s="14" t="n">
        <v>7.026</v>
      </c>
      <c r="Q528" s="14" t="n">
        <v>0</v>
      </c>
      <c r="R528" s="14" t="n">
        <v>1</v>
      </c>
      <c r="S528" s="14" t="n">
        <v>10.036</v>
      </c>
      <c r="T528" s="14" t="n">
        <v>6.223</v>
      </c>
      <c r="U528" s="14" t="n">
        <v>0</v>
      </c>
      <c r="V528" s="14" t="n">
        <v>12.044</v>
      </c>
      <c r="W528" s="14" t="n">
        <v>0.2</v>
      </c>
      <c r="X528" s="14" t="n">
        <v>1</v>
      </c>
      <c r="Y528" s="14" t="n">
        <v>10.315</v>
      </c>
      <c r="Z528" s="14" t="n">
        <v>1.139</v>
      </c>
      <c r="AA528" s="14" t="n">
        <v>-0.163</v>
      </c>
      <c r="AB528" s="14" t="n">
        <v>10.152</v>
      </c>
      <c r="AC528" s="14" t="n">
        <v>0</v>
      </c>
      <c r="AD528" s="14" t="n">
        <v>1</v>
      </c>
      <c r="AE528" s="14" t="n">
        <v>10.579</v>
      </c>
      <c r="AF528" s="14" t="n">
        <v>2.082</v>
      </c>
      <c r="AG528" s="14" t="n">
        <v>-0.115</v>
      </c>
      <c r="AH528" s="14" t="n">
        <v>10.465</v>
      </c>
      <c r="AI528" s="14" t="n">
        <v>0</v>
      </c>
      <c r="AJ528" s="14" t="n">
        <v>1</v>
      </c>
      <c r="AK528" s="14" t="n">
        <v>13.004</v>
      </c>
      <c r="AL528" s="14" t="n">
        <v>6.382</v>
      </c>
      <c r="AM528" s="14" t="n">
        <v>-2.299</v>
      </c>
      <c r="AN528" s="14" t="n">
        <v>11.561</v>
      </c>
      <c r="AO528" s="14" t="n">
        <v>0</v>
      </c>
      <c r="AP528" s="14" t="n">
        <v>1</v>
      </c>
      <c r="AQ528" s="14" t="n">
        <v>0.619</v>
      </c>
      <c r="AR528" s="14" t="n">
        <v>0.114</v>
      </c>
      <c r="AS528" s="14" t="n">
        <v>0.295</v>
      </c>
      <c r="AT528" s="14" t="n">
        <v>1.097</v>
      </c>
      <c r="AU528" s="14" t="n">
        <v>0.2</v>
      </c>
      <c r="AV528" s="14" t="n">
        <v>1</v>
      </c>
      <c r="AW528" s="14" t="n">
        <v>0.599</v>
      </c>
      <c r="AX528" s="14" t="n">
        <v>0.114</v>
      </c>
      <c r="AY528" s="14" t="n">
        <v>0.159</v>
      </c>
      <c r="AZ528" s="14" t="n">
        <v>0.91</v>
      </c>
      <c r="BA528" s="14" t="n">
        <v>0.2</v>
      </c>
      <c r="BB528" s="14" t="n">
        <v>1</v>
      </c>
      <c r="BC528" s="14" t="n">
        <v>0.439</v>
      </c>
      <c r="BD528" s="14" t="n">
        <v>0.114</v>
      </c>
      <c r="BE528" s="14" t="n">
        <v>0.168</v>
      </c>
      <c r="BF528" s="14" t="n">
        <v>0.655</v>
      </c>
      <c r="BG528" s="14" t="n">
        <v>0.08</v>
      </c>
      <c r="BH528" s="14" t="n">
        <v>1</v>
      </c>
      <c r="BI528" s="14" t="n">
        <v>0.505</v>
      </c>
      <c r="BJ528" s="14" t="n">
        <v>0.114</v>
      </c>
      <c r="BK528" s="14" t="n">
        <v>0</v>
      </c>
      <c r="BL528" s="14" t="n">
        <v>0.606</v>
      </c>
      <c r="BM528" s="14" t="n">
        <v>0.2</v>
      </c>
      <c r="BN528" s="14" t="n">
        <v>1</v>
      </c>
      <c r="BO528" s="14" t="n">
        <v>0</v>
      </c>
      <c r="BP528" s="14" t="n">
        <v>0</v>
      </c>
      <c r="BQ528" s="14" t="n">
        <v>0.065</v>
      </c>
      <c r="BR528" s="14" t="n">
        <v>0</v>
      </c>
      <c r="BS528" s="14" t="n">
        <v>1</v>
      </c>
      <c r="BT528" s="14" t="n">
        <v>0</v>
      </c>
      <c r="BU528" s="14" t="n">
        <v>0</v>
      </c>
      <c r="BV528" s="14" t="n">
        <v>0.094</v>
      </c>
      <c r="BW528" s="14" t="n">
        <v>0</v>
      </c>
      <c r="BX528" s="14" t="n">
        <v>1</v>
      </c>
      <c r="BY528" s="14" t="n">
        <v>11.787</v>
      </c>
      <c r="BZ528" s="14" t="n">
        <v>0</v>
      </c>
      <c r="CA528" s="14" t="n">
        <v>11.787</v>
      </c>
      <c r="CB528" s="14" t="n">
        <v>0</v>
      </c>
      <c r="CC528" s="14" t="n">
        <v>78.125</v>
      </c>
      <c r="CD528" s="14" t="n">
        <v>7.95</v>
      </c>
      <c r="CE528" s="14" t="n">
        <v>0</v>
      </c>
      <c r="CF528" s="14" t="n">
        <v>93.75</v>
      </c>
      <c r="CG528" s="14" t="n">
        <v>0.2</v>
      </c>
      <c r="CH528" s="14" t="n">
        <v>1</v>
      </c>
      <c r="CI528" s="14" t="n">
        <v>0</v>
      </c>
      <c r="CJ528" s="14" t="n">
        <v>0</v>
      </c>
      <c r="CK528" s="14" t="n">
        <v>0</v>
      </c>
      <c r="CL528" s="14" t="n">
        <v>0</v>
      </c>
      <c r="CM528" s="14" t="n">
        <v>0</v>
      </c>
      <c r="CN528" s="14" t="n">
        <v>0</v>
      </c>
      <c r="CO528" s="14" t="n">
        <v>0</v>
      </c>
      <c r="CP528" s="14" t="n">
        <v>0.186</v>
      </c>
      <c r="CQ528" s="14" t="n">
        <v>1.198</v>
      </c>
      <c r="CR528" s="14" t="n">
        <v>0</v>
      </c>
      <c r="CS528" s="14" t="n">
        <v>4.776</v>
      </c>
      <c r="CT528" s="14" t="n">
        <v>4.41</v>
      </c>
      <c r="CU528" s="14" t="n">
        <v>22.69</v>
      </c>
    </row>
    <row r="529">
      <c r="A529" s="14" t="inlineStr">
        <is>
          <t>MDA2022</t>
        </is>
      </c>
      <c r="B529" s="14" t="inlineStr">
        <is>
          <t>MDA</t>
        </is>
      </c>
      <c r="C529" s="14" t="inlineStr">
        <is>
          <t>MDA</t>
        </is>
      </c>
      <c r="D529" s="14" t="inlineStr">
        <is>
          <t>Moldova</t>
        </is>
      </c>
      <c r="E529" s="14" t="n">
        <v>2022</v>
      </c>
      <c r="F529" s="14" t="n">
        <v>0.2</v>
      </c>
      <c r="G529" s="14" t="n">
        <v>7.077</v>
      </c>
      <c r="H529" s="14" t="n">
        <v>1.235</v>
      </c>
      <c r="I529" s="14" t="n">
        <v>0</v>
      </c>
      <c r="J529" s="14" t="n">
        <v>7.077</v>
      </c>
      <c r="K529" s="14" t="n">
        <v>0</v>
      </c>
      <c r="L529" s="14" t="n">
        <v>1</v>
      </c>
      <c r="M529" s="14" t="n">
        <v>9.782999999999999</v>
      </c>
      <c r="N529" s="14" t="n">
        <v>3.704</v>
      </c>
      <c r="O529" s="14" t="n">
        <v>0</v>
      </c>
      <c r="P529" s="14" t="n">
        <v>9.782999999999999</v>
      </c>
      <c r="Q529" s="14" t="n">
        <v>0</v>
      </c>
      <c r="R529" s="14" t="n">
        <v>1</v>
      </c>
      <c r="S529" s="14" t="n">
        <v>13.25</v>
      </c>
      <c r="T529" s="14" t="n">
        <v>7.408</v>
      </c>
      <c r="U529" s="14" t="n">
        <v>0.196</v>
      </c>
      <c r="V529" s="14" t="n">
        <v>15.9</v>
      </c>
      <c r="W529" s="14" t="n">
        <v>0.2</v>
      </c>
      <c r="X529" s="14" t="n">
        <v>1</v>
      </c>
      <c r="Y529" s="14" t="n">
        <v>34.875</v>
      </c>
      <c r="Z529" s="14" t="n">
        <v>3.659</v>
      </c>
      <c r="AA529" s="14" t="n">
        <v>0.04</v>
      </c>
      <c r="AB529" s="14" t="n">
        <v>34.914</v>
      </c>
      <c r="AC529" s="14" t="n">
        <v>0</v>
      </c>
      <c r="AD529" s="14" t="n">
        <v>1</v>
      </c>
      <c r="AE529" s="14" t="n">
        <v>35.592</v>
      </c>
      <c r="AF529" s="14" t="n">
        <v>6.598</v>
      </c>
      <c r="AG529" s="14" t="n">
        <v>-0.023</v>
      </c>
      <c r="AH529" s="14" t="n">
        <v>35.569</v>
      </c>
      <c r="AI529" s="14" t="n">
        <v>0</v>
      </c>
      <c r="AJ529" s="14" t="n">
        <v>1</v>
      </c>
      <c r="AK529" s="14" t="n">
        <v>38.086</v>
      </c>
      <c r="AL529" s="14" t="n">
        <v>18.187</v>
      </c>
      <c r="AM529" s="14" t="n">
        <v>-2.101</v>
      </c>
      <c r="AN529" s="14" t="n">
        <v>38.864</v>
      </c>
      <c r="AO529" s="14" t="n">
        <v>0</v>
      </c>
      <c r="AP529" s="14" t="n">
        <v>1</v>
      </c>
      <c r="AQ529" s="14" t="n">
        <v>0.861</v>
      </c>
      <c r="AR529" s="14" t="n">
        <v>0.123</v>
      </c>
      <c r="AS529" s="14" t="n">
        <v>0.296</v>
      </c>
      <c r="AT529" s="14" t="n">
        <v>1.388</v>
      </c>
      <c r="AU529" s="14" t="n">
        <v>0.2</v>
      </c>
      <c r="AV529" s="14" t="n">
        <v>1</v>
      </c>
      <c r="AW529" s="14" t="n">
        <v>0.986</v>
      </c>
      <c r="AX529" s="14" t="n">
        <v>0.123</v>
      </c>
      <c r="AY529" s="14" t="n">
        <v>0.144</v>
      </c>
      <c r="AZ529" s="14" t="n">
        <v>1.356</v>
      </c>
      <c r="BA529" s="14" t="n">
        <v>0.2</v>
      </c>
      <c r="BB529" s="14" t="n">
        <v>1</v>
      </c>
      <c r="BC529" s="14" t="n">
        <v>0.598</v>
      </c>
      <c r="BD529" s="14" t="n">
        <v>0.123</v>
      </c>
      <c r="BE529" s="14" t="n">
        <v>0.179</v>
      </c>
      <c r="BF529" s="14" t="n">
        <v>0.839</v>
      </c>
      <c r="BG529" s="14" t="n">
        <v>0.08</v>
      </c>
      <c r="BH529" s="14" t="n">
        <v>1</v>
      </c>
      <c r="BI529" s="14" t="n">
        <v>0.612</v>
      </c>
      <c r="BJ529" s="14" t="n">
        <v>0.123</v>
      </c>
      <c r="BK529" s="14" t="n">
        <v>0.008999999999999999</v>
      </c>
      <c r="BL529" s="14" t="n">
        <v>0.735</v>
      </c>
      <c r="BM529" s="14" t="n">
        <v>0.2</v>
      </c>
      <c r="BN529" s="14" t="n">
        <v>1</v>
      </c>
      <c r="BO529" s="14" t="n">
        <v>0</v>
      </c>
      <c r="BP529" s="14" t="n">
        <v>0</v>
      </c>
      <c r="BQ529" s="14" t="n">
        <v>0.123</v>
      </c>
      <c r="BR529" s="14" t="n">
        <v>0</v>
      </c>
      <c r="BS529" s="14" t="n">
        <v>1</v>
      </c>
      <c r="BT529" s="14" t="n">
        <v>0</v>
      </c>
      <c r="BU529" s="14" t="n">
        <v>0</v>
      </c>
      <c r="BV529" s="14" t="n">
        <v>0.15</v>
      </c>
      <c r="BW529" s="14" t="n">
        <v>0</v>
      </c>
      <c r="BX529" s="14" t="n">
        <v>1</v>
      </c>
      <c r="BY529" s="14" t="n">
        <v>12.729</v>
      </c>
      <c r="BZ529" s="14" t="n">
        <v>0</v>
      </c>
      <c r="CA529" s="14" t="n">
        <v>12.729</v>
      </c>
      <c r="CB529" s="14" t="n">
        <v>0</v>
      </c>
      <c r="CC529" s="14" t="n">
        <v>97.90000000000001</v>
      </c>
      <c r="CD529" s="14" t="n">
        <v>7.95</v>
      </c>
      <c r="CE529" s="14" t="n">
        <v>1.449</v>
      </c>
      <c r="CF529" s="14" t="n">
        <v>117.48</v>
      </c>
      <c r="CG529" s="14" t="n">
        <v>0.2</v>
      </c>
      <c r="CH529" s="14" t="n">
        <v>1</v>
      </c>
      <c r="CI529" s="14" t="n">
        <v>0</v>
      </c>
      <c r="CJ529" s="14" t="n">
        <v>0</v>
      </c>
      <c r="CK529" s="14" t="n">
        <v>0</v>
      </c>
      <c r="CL529" s="14" t="n">
        <v>0</v>
      </c>
      <c r="CM529" s="14" t="n">
        <v>0</v>
      </c>
      <c r="CN529" s="14" t="n">
        <v>0</v>
      </c>
      <c r="CO529" s="14" t="n">
        <v>0</v>
      </c>
      <c r="CP529" s="14" t="n">
        <v>0</v>
      </c>
      <c r="CQ529" s="14" t="n">
        <v>1.294</v>
      </c>
      <c r="CR529" s="14" t="n">
        <v>0</v>
      </c>
      <c r="CS529" s="14" t="n">
        <v>5.158</v>
      </c>
      <c r="CT529" s="14" t="n">
        <v>5.842</v>
      </c>
      <c r="CU529" s="14" t="n">
        <v>25.012</v>
      </c>
    </row>
    <row r="530">
      <c r="A530" s="14" t="inlineStr">
        <is>
          <t>MDA2023</t>
        </is>
      </c>
      <c r="B530" s="14" t="inlineStr">
        <is>
          <t>MDA</t>
        </is>
      </c>
      <c r="C530" s="14" t="inlineStr">
        <is>
          <t>MDA</t>
        </is>
      </c>
      <c r="D530" s="14" t="inlineStr">
        <is>
          <t>Moldova</t>
        </is>
      </c>
      <c r="E530" s="14" t="n">
        <v>2023</v>
      </c>
      <c r="F530" s="14" t="n">
        <v>0.2</v>
      </c>
      <c r="G530" s="14" t="n">
        <v>4.618</v>
      </c>
      <c r="H530" s="14" t="n">
        <v>1.255</v>
      </c>
      <c r="I530" s="14" t="n">
        <v>0</v>
      </c>
      <c r="J530" s="14" t="n">
        <v>4.618</v>
      </c>
      <c r="K530" s="14" t="n">
        <v>0</v>
      </c>
      <c r="L530" s="14" t="n">
        <v>1</v>
      </c>
      <c r="M530" s="14" t="n">
        <v>7.663</v>
      </c>
      <c r="N530" s="14" t="n">
        <v>3.764</v>
      </c>
      <c r="O530" s="14" t="n">
        <v>0</v>
      </c>
      <c r="P530" s="14" t="n">
        <v>7.663</v>
      </c>
      <c r="Q530" s="14" t="n">
        <v>0</v>
      </c>
      <c r="R530" s="14" t="n">
        <v>1</v>
      </c>
      <c r="S530" s="14" t="n">
        <v>10.89</v>
      </c>
      <c r="T530" s="14" t="n">
        <v>7.527</v>
      </c>
      <c r="U530" s="14" t="n">
        <v>0.241</v>
      </c>
      <c r="V530" s="14" t="n">
        <v>13.068</v>
      </c>
      <c r="W530" s="14" t="n">
        <v>0.2</v>
      </c>
      <c r="X530" s="14" t="n">
        <v>1</v>
      </c>
      <c r="Y530" s="14" t="n">
        <v>39.349</v>
      </c>
      <c r="Z530" s="14" t="n">
        <v>4.408</v>
      </c>
      <c r="AA530" s="14" t="n">
        <v>-0.002</v>
      </c>
      <c r="AB530" s="14" t="n">
        <v>39.347</v>
      </c>
      <c r="AC530" s="14" t="n">
        <v>0</v>
      </c>
      <c r="AD530" s="14" t="n">
        <v>1</v>
      </c>
      <c r="AE530" s="14" t="n">
        <v>40.519</v>
      </c>
      <c r="AF530" s="14" t="n">
        <v>8.07</v>
      </c>
      <c r="AG530" s="14" t="n">
        <v>-0.001</v>
      </c>
      <c r="AH530" s="14" t="n">
        <v>40.518</v>
      </c>
      <c r="AI530" s="14" t="n">
        <v>0</v>
      </c>
      <c r="AJ530" s="14" t="n">
        <v>1</v>
      </c>
      <c r="AK530" s="14" t="n">
        <v>43.54</v>
      </c>
      <c r="AL530" s="14" t="n">
        <v>21.569</v>
      </c>
      <c r="AM530" s="14" t="n">
        <v>-1.995</v>
      </c>
      <c r="AN530" s="14" t="n">
        <v>44.869</v>
      </c>
      <c r="AO530" s="14" t="n">
        <v>0</v>
      </c>
      <c r="AP530" s="14" t="n">
        <v>1</v>
      </c>
      <c r="AQ530" s="14" t="n">
        <v>0.76</v>
      </c>
      <c r="AR530" s="14" t="n">
        <v>0.129</v>
      </c>
      <c r="AS530" s="14" t="n">
        <v>0.358</v>
      </c>
      <c r="AT530" s="14" t="n">
        <v>1.342</v>
      </c>
      <c r="AU530" s="14" t="n">
        <v>0.2</v>
      </c>
      <c r="AV530" s="14" t="n">
        <v>1</v>
      </c>
      <c r="AW530" s="14" t="n">
        <v>0.8110000000000001</v>
      </c>
      <c r="AX530" s="14" t="n">
        <v>0.129</v>
      </c>
      <c r="AY530" s="14" t="n">
        <v>0.18</v>
      </c>
      <c r="AZ530" s="14" t="n">
        <v>1.19</v>
      </c>
      <c r="BA530" s="14" t="n">
        <v>0.2</v>
      </c>
      <c r="BB530" s="14" t="n">
        <v>1</v>
      </c>
      <c r="BC530" s="14" t="n">
        <v>0.535</v>
      </c>
      <c r="BD530" s="14" t="n">
        <v>0.129</v>
      </c>
      <c r="BE530" s="14" t="n">
        <v>0.21</v>
      </c>
      <c r="BF530" s="14" t="n">
        <v>0.804</v>
      </c>
      <c r="BG530" s="14" t="n">
        <v>0.08</v>
      </c>
      <c r="BH530" s="14" t="n">
        <v>1</v>
      </c>
      <c r="BI530" s="14" t="n">
        <v>0.579</v>
      </c>
      <c r="BJ530" s="14" t="n">
        <v>0.129</v>
      </c>
      <c r="BK530" s="14" t="n">
        <v>0.013</v>
      </c>
      <c r="BL530" s="14" t="n">
        <v>0.695</v>
      </c>
      <c r="BM530" s="14" t="n">
        <v>0.2</v>
      </c>
      <c r="BN530" s="14" t="n">
        <v>1</v>
      </c>
      <c r="BO530" s="14" t="n">
        <v>0</v>
      </c>
      <c r="BP530" s="14" t="n">
        <v>0</v>
      </c>
      <c r="BQ530" s="14" t="n">
        <v>0.121</v>
      </c>
      <c r="BR530" s="14" t="n">
        <v>0</v>
      </c>
      <c r="BS530" s="14" t="n">
        <v>1</v>
      </c>
      <c r="BT530" s="14" t="n">
        <v>0</v>
      </c>
      <c r="BU530" s="14" t="n">
        <v>0.002</v>
      </c>
      <c r="BV530" s="14" t="n">
        <v>0.168</v>
      </c>
      <c r="BW530" s="14" t="n">
        <v>0</v>
      </c>
      <c r="BX530" s="14" t="n">
        <v>1</v>
      </c>
      <c r="BY530" s="14" t="n">
        <v>13.254</v>
      </c>
      <c r="BZ530" s="14" t="n">
        <v>0</v>
      </c>
      <c r="CA530" s="14" t="n">
        <v>13.254</v>
      </c>
      <c r="CB530" s="14" t="n">
        <v>0</v>
      </c>
      <c r="CC530" s="14" t="n">
        <v>83.248</v>
      </c>
      <c r="CD530" s="14" t="n">
        <v>7.95</v>
      </c>
      <c r="CE530" s="14" t="n">
        <v>1.843</v>
      </c>
      <c r="CF530" s="14" t="n">
        <v>99.898</v>
      </c>
      <c r="CG530" s="14" t="n">
        <v>0.2</v>
      </c>
      <c r="CH530" s="14" t="n">
        <v>1</v>
      </c>
      <c r="CI530" s="14" t="n">
        <v>0</v>
      </c>
      <c r="CJ530" s="14" t="n">
        <v>0</v>
      </c>
      <c r="CK530" s="14" t="n">
        <v>0</v>
      </c>
      <c r="CL530" s="14" t="n">
        <v>0</v>
      </c>
      <c r="CM530" s="14" t="n">
        <v>0</v>
      </c>
      <c r="CN530" s="14" t="n">
        <v>0</v>
      </c>
      <c r="CO530" s="14" t="n">
        <v>0</v>
      </c>
      <c r="CP530" s="14" t="n">
        <v>0.048</v>
      </c>
      <c r="CQ530" s="14" t="n">
        <v>1.348</v>
      </c>
      <c r="CR530" s="14" t="n">
        <v>0</v>
      </c>
      <c r="CS530" s="14" t="n">
        <v>5.37</v>
      </c>
      <c r="CT530" s="14" t="n">
        <v>3.466</v>
      </c>
      <c r="CU530" s="14" t="n">
        <v>12.34</v>
      </c>
    </row>
    <row r="531">
      <c r="A531" s="14" t="inlineStr">
        <is>
          <t>MDA2024</t>
        </is>
      </c>
      <c r="B531" s="14" t="inlineStr">
        <is>
          <t>MDA</t>
        </is>
      </c>
      <c r="C531" s="14" t="inlineStr">
        <is>
          <t>MDA</t>
        </is>
      </c>
      <c r="D531" s="14" t="inlineStr">
        <is>
          <t>Moldova</t>
        </is>
      </c>
      <c r="E531" s="14" t="n">
        <v>2024</v>
      </c>
      <c r="F531" s="14" t="n">
        <v>0.2</v>
      </c>
      <c r="G531" s="14" t="n">
        <v>4.239</v>
      </c>
      <c r="H531" s="14" t="n">
        <v>1.292</v>
      </c>
      <c r="I531" s="14" t="n">
        <v>0</v>
      </c>
      <c r="J531" s="14" t="n">
        <v>4.239</v>
      </c>
      <c r="K531" s="14" t="n">
        <v>0</v>
      </c>
      <c r="L531" s="14" t="n">
        <v>1</v>
      </c>
      <c r="M531" s="14" t="n">
        <v>6.942</v>
      </c>
      <c r="N531" s="14" t="n">
        <v>3.875</v>
      </c>
      <c r="O531" s="14" t="n">
        <v>0</v>
      </c>
      <c r="P531" s="14" t="n">
        <v>6.942</v>
      </c>
      <c r="Q531" s="14" t="n">
        <v>0</v>
      </c>
      <c r="R531" s="14" t="n">
        <v>1</v>
      </c>
      <c r="S531" s="14" t="n">
        <v>10.697</v>
      </c>
      <c r="T531" s="14" t="n">
        <v>7.749</v>
      </c>
      <c r="U531" s="14" t="n">
        <v>0.291</v>
      </c>
      <c r="V531" s="14" t="n">
        <v>12.836</v>
      </c>
      <c r="W531" s="14" t="n">
        <v>0.2</v>
      </c>
      <c r="X531" s="14" t="n">
        <v>1</v>
      </c>
      <c r="Y531" s="14" t="n">
        <v>20.206</v>
      </c>
      <c r="Z531" s="14" t="n">
        <v>2.551</v>
      </c>
      <c r="AA531" s="14" t="n">
        <v>-0.002</v>
      </c>
      <c r="AB531" s="14" t="n">
        <v>20.204</v>
      </c>
      <c r="AC531" s="14" t="n">
        <v>0</v>
      </c>
      <c r="AD531" s="14" t="n">
        <v>1</v>
      </c>
      <c r="AE531" s="14" t="n">
        <v>22.26</v>
      </c>
      <c r="AF531" s="14" t="n">
        <v>4.876</v>
      </c>
      <c r="AG531" s="14" t="n">
        <v>-0.001</v>
      </c>
      <c r="AH531" s="14" t="n">
        <v>22.259</v>
      </c>
      <c r="AI531" s="14" t="n">
        <v>0</v>
      </c>
      <c r="AJ531" s="14" t="n">
        <v>1</v>
      </c>
      <c r="AK531" s="14" t="n">
        <v>27.474</v>
      </c>
      <c r="AL531" s="14" t="n">
        <v>13.974</v>
      </c>
      <c r="AM531" s="14" t="n">
        <v>-0.584</v>
      </c>
      <c r="AN531" s="14" t="n">
        <v>29.041</v>
      </c>
      <c r="AO531" s="14" t="n">
        <v>0</v>
      </c>
      <c r="AP531" s="14" t="n">
        <v>1</v>
      </c>
      <c r="AQ531" s="14" t="n">
        <v>0.724</v>
      </c>
      <c r="AR531" s="14" t="n">
        <v>0.132</v>
      </c>
      <c r="AS531" s="14" t="n">
        <v>0.41</v>
      </c>
      <c r="AT531" s="14" t="n">
        <v>1.362</v>
      </c>
      <c r="AU531" s="14" t="n">
        <v>0.2</v>
      </c>
      <c r="AV531" s="14" t="n">
        <v>1</v>
      </c>
      <c r="AW531" s="14" t="n">
        <v>0.75</v>
      </c>
      <c r="AX531" s="14" t="n">
        <v>0.132</v>
      </c>
      <c r="AY531" s="14" t="n">
        <v>0.217</v>
      </c>
      <c r="AZ531" s="14" t="n">
        <v>1.161</v>
      </c>
      <c r="BA531" s="14" t="n">
        <v>0.2</v>
      </c>
      <c r="BB531" s="14" t="n">
        <v>1</v>
      </c>
      <c r="BC531" s="14" t="n">
        <v>0.513</v>
      </c>
      <c r="BD531" s="14" t="n">
        <v>0.132</v>
      </c>
      <c r="BE531" s="14" t="n">
        <v>0.212</v>
      </c>
      <c r="BF531" s="14" t="n">
        <v>0.783</v>
      </c>
      <c r="BG531" s="14" t="n">
        <v>0.08</v>
      </c>
      <c r="BH531" s="14" t="n">
        <v>1</v>
      </c>
      <c r="BI531" s="14" t="n">
        <v>0.591</v>
      </c>
      <c r="BJ531" s="14" t="n">
        <v>0.132</v>
      </c>
      <c r="BK531" s="14" t="n">
        <v>0.016</v>
      </c>
      <c r="BL531" s="14" t="n">
        <v>0.71</v>
      </c>
      <c r="BM531" s="14" t="n">
        <v>0.2</v>
      </c>
      <c r="BN531" s="14" t="n">
        <v>1</v>
      </c>
      <c r="BO531" s="14" t="n">
        <v>0</v>
      </c>
      <c r="BP531" s="14" t="n">
        <v>0</v>
      </c>
      <c r="BQ531" s="14" t="n">
        <v>0.095</v>
      </c>
      <c r="BR531" s="14" t="n">
        <v>0</v>
      </c>
      <c r="BS531" s="14" t="n">
        <v>1</v>
      </c>
      <c r="BT531" s="14" t="n">
        <v>0</v>
      </c>
      <c r="BU531" s="14" t="n">
        <v>0.002</v>
      </c>
      <c r="BV531" s="14" t="n">
        <v>0.14</v>
      </c>
      <c r="BW531" s="14" t="n">
        <v>0</v>
      </c>
      <c r="BX531" s="14" t="n">
        <v>1</v>
      </c>
      <c r="BY531" s="14" t="n">
        <v>13.646</v>
      </c>
      <c r="BZ531" s="14" t="n">
        <v>0</v>
      </c>
      <c r="CA531" s="14" t="n">
        <v>13.646</v>
      </c>
      <c r="CB531" s="14" t="n">
        <v>0</v>
      </c>
      <c r="CC531" s="14" t="n">
        <v>82.58799999999999</v>
      </c>
      <c r="CD531" s="14" t="n">
        <v>7.95</v>
      </c>
      <c r="CE531" s="14" t="n">
        <v>2.25</v>
      </c>
      <c r="CF531" s="14" t="n">
        <v>99.10599999999999</v>
      </c>
      <c r="CG531" s="14" t="n">
        <v>0.2</v>
      </c>
      <c r="CH531" s="14" t="n">
        <v>1</v>
      </c>
      <c r="CI531" s="14" t="n">
        <v>0</v>
      </c>
      <c r="CJ531" s="14" t="n">
        <v>0</v>
      </c>
      <c r="CK531" s="14" t="n">
        <v>0</v>
      </c>
      <c r="CL531" s="14" t="n">
        <v>0</v>
      </c>
      <c r="CM531" s="14" t="n">
        <v>0</v>
      </c>
      <c r="CN531" s="14" t="n">
        <v>0</v>
      </c>
      <c r="CO531" s="14" t="n">
        <v>0</v>
      </c>
      <c r="CP531" s="14" t="n">
        <v>0.048</v>
      </c>
      <c r="CQ531" s="14" t="n">
        <v>1.387</v>
      </c>
      <c r="CR531" s="14" t="n">
        <v>0</v>
      </c>
      <c r="CS531" s="14" t="n">
        <v>5.529</v>
      </c>
      <c r="CT531" s="14" t="n">
        <v>3.027</v>
      </c>
      <c r="CU531" s="14" t="n">
        <v>10.432</v>
      </c>
    </row>
    <row r="532">
      <c r="A532" s="14" t="inlineStr">
        <is>
          <t>MCO2021</t>
        </is>
      </c>
      <c r="B532" s="14" t="inlineStr">
        <is>
          <t>MCO</t>
        </is>
      </c>
      <c r="C532" s="14" t="inlineStr">
        <is>
          <t>MCO</t>
        </is>
      </c>
      <c r="D532" s="14" t="inlineStr">
        <is>
          <t>Monaco</t>
        </is>
      </c>
      <c r="E532" s="14" t="n">
        <v>2021</v>
      </c>
      <c r="F532" s="14" t="n">
        <v>0.2</v>
      </c>
      <c r="G532" s="14" t="n">
        <v>5.553</v>
      </c>
      <c r="H532" s="14" t="n">
        <v>1.143</v>
      </c>
      <c r="I532" s="14" t="n">
        <v>0</v>
      </c>
      <c r="J532" s="14" t="n">
        <v>5.553</v>
      </c>
      <c r="K532" s="14" t="n">
        <v>0</v>
      </c>
      <c r="L532" s="14" t="n">
        <v>1</v>
      </c>
      <c r="M532" s="14" t="n">
        <v>7.964</v>
      </c>
      <c r="N532" s="14" t="n">
        <v>3.43</v>
      </c>
      <c r="O532" s="14" t="n">
        <v>0</v>
      </c>
      <c r="P532" s="14" t="n">
        <v>7.964</v>
      </c>
      <c r="Q532" s="14" t="n">
        <v>0</v>
      </c>
      <c r="R532" s="14" t="n">
        <v>1</v>
      </c>
      <c r="S532" s="14" t="n">
        <v>11.27</v>
      </c>
      <c r="T532" s="14" t="n">
        <v>6.86</v>
      </c>
      <c r="U532" s="14" t="n">
        <v>0</v>
      </c>
      <c r="V532" s="14" t="n">
        <v>13.524</v>
      </c>
      <c r="W532" s="14" t="n">
        <v>0.2</v>
      </c>
      <c r="X532" s="14" t="n">
        <v>1</v>
      </c>
      <c r="Y532" s="14" t="n">
        <v>16.305</v>
      </c>
      <c r="Z532" s="14" t="n">
        <v>2.204</v>
      </c>
      <c r="AA532" s="14" t="n">
        <v>0</v>
      </c>
      <c r="AB532" s="14" t="n">
        <v>16.305</v>
      </c>
      <c r="AC532" s="14" t="n">
        <v>0</v>
      </c>
      <c r="AD532" s="14" t="n">
        <v>1</v>
      </c>
      <c r="AE532" s="14" t="n">
        <v>17.449</v>
      </c>
      <c r="AF532" s="14" t="n">
        <v>4.08</v>
      </c>
      <c r="AG532" s="14" t="n">
        <v>0</v>
      </c>
      <c r="AH532" s="14" t="n">
        <v>17.449</v>
      </c>
      <c r="AI532" s="14" t="n">
        <v>0</v>
      </c>
      <c r="AJ532" s="14" t="n">
        <v>1</v>
      </c>
      <c r="AK532" s="14" t="n">
        <v>24.309</v>
      </c>
      <c r="AL532" s="14" t="n">
        <v>12.947</v>
      </c>
      <c r="AM532" s="14" t="n">
        <v>0</v>
      </c>
      <c r="AN532" s="14" t="n">
        <v>29.17</v>
      </c>
      <c r="AO532" s="14" t="n">
        <v>0.2</v>
      </c>
      <c r="AP532" s="14" t="n">
        <v>1</v>
      </c>
      <c r="AQ532" s="14" t="n">
        <v>0.619</v>
      </c>
      <c r="AR532" s="14" t="n">
        <v>0.114</v>
      </c>
      <c r="AS532" s="14" t="n">
        <v>0</v>
      </c>
      <c r="AT532" s="14" t="n">
        <v>0.743</v>
      </c>
      <c r="AU532" s="14" t="n">
        <v>0.2</v>
      </c>
      <c r="AV532" s="14" t="n">
        <v>1</v>
      </c>
      <c r="AW532" s="14" t="n">
        <v>0.599</v>
      </c>
      <c r="AX532" s="14" t="n">
        <v>0.114</v>
      </c>
      <c r="AY532" s="14" t="n">
        <v>0</v>
      </c>
      <c r="AZ532" s="14" t="n">
        <v>0.719</v>
      </c>
      <c r="BA532" s="14" t="n">
        <v>0.2</v>
      </c>
      <c r="BB532" s="14" t="n">
        <v>1</v>
      </c>
      <c r="BC532" s="14" t="n">
        <v>0.439</v>
      </c>
      <c r="BD532" s="14" t="n">
        <v>0.114</v>
      </c>
      <c r="BE532" s="14" t="n">
        <v>0</v>
      </c>
      <c r="BF532" s="14" t="n">
        <v>0.527</v>
      </c>
      <c r="BG532" s="14" t="n">
        <v>0.2</v>
      </c>
      <c r="BH532" s="14" t="n">
        <v>1</v>
      </c>
      <c r="BI532" s="14" t="n">
        <v>0.505</v>
      </c>
      <c r="BJ532" s="14" t="n">
        <v>0.114</v>
      </c>
      <c r="BK532" s="14" t="n">
        <v>0</v>
      </c>
      <c r="BL532" s="14" t="n">
        <v>0.606</v>
      </c>
      <c r="BM532" s="14" t="n">
        <v>0.2</v>
      </c>
      <c r="BN532" s="14" t="n">
        <v>1</v>
      </c>
      <c r="BO532" s="14" t="n">
        <v>0</v>
      </c>
      <c r="BP532" s="14" t="n">
        <v>0</v>
      </c>
      <c r="BQ532" s="14" t="n">
        <v>0</v>
      </c>
      <c r="BR532" s="14" t="n">
        <v>0</v>
      </c>
      <c r="BS532" s="14" t="n">
        <v>1</v>
      </c>
      <c r="BT532" s="14" t="n">
        <v>0</v>
      </c>
      <c r="BU532" s="14" t="n">
        <v>0</v>
      </c>
      <c r="BV532" s="14" t="n">
        <v>0</v>
      </c>
      <c r="BW532" s="14" t="n">
        <v>0.2</v>
      </c>
      <c r="BX532" s="14" t="n">
        <v>1</v>
      </c>
      <c r="BY532" s="14" t="n">
        <v>11.787</v>
      </c>
      <c r="BZ532" s="14" t="n">
        <v>0</v>
      </c>
      <c r="CA532" s="14" t="n">
        <v>11.787</v>
      </c>
      <c r="CB532" s="14" t="n">
        <v>0</v>
      </c>
      <c r="CC532" s="14" t="n">
        <v>78.125</v>
      </c>
      <c r="CD532" s="14" t="n">
        <v>7.95</v>
      </c>
      <c r="CE532" s="14" t="n">
        <v>0</v>
      </c>
      <c r="CF532" s="14" t="n">
        <v>93.75</v>
      </c>
      <c r="CG532" s="14" t="n">
        <v>0.2</v>
      </c>
      <c r="CH532" s="14" t="n">
        <v>1</v>
      </c>
      <c r="CI532" s="14" t="n">
        <v>0</v>
      </c>
      <c r="CJ532" s="14" t="n">
        <v>0</v>
      </c>
      <c r="CK532" s="14" t="n">
        <v>0</v>
      </c>
      <c r="CL532" s="14" t="n">
        <v>0</v>
      </c>
      <c r="CM532" s="14" t="n">
        <v>0</v>
      </c>
      <c r="CN532" s="14" t="n">
        <v>0</v>
      </c>
      <c r="CO532" s="14" t="n">
        <v>0</v>
      </c>
      <c r="CP532" s="14" t="n">
        <v>0</v>
      </c>
      <c r="CQ532" s="14" t="n">
        <v>1.198</v>
      </c>
      <c r="CR532" s="14" t="n">
        <v>0</v>
      </c>
      <c r="CS532" s="14" t="n">
        <v>4.776</v>
      </c>
      <c r="CT532" s="14" t="n">
        <v>4.41</v>
      </c>
      <c r="CU532" s="14" t="n">
        <v>15.162</v>
      </c>
    </row>
    <row r="533">
      <c r="A533" s="14" t="inlineStr">
        <is>
          <t>MCO2022</t>
        </is>
      </c>
      <c r="B533" s="14" t="inlineStr">
        <is>
          <t>MCO</t>
        </is>
      </c>
      <c r="C533" s="14" t="inlineStr">
        <is>
          <t>MCO</t>
        </is>
      </c>
      <c r="D533" s="14" t="inlineStr">
        <is>
          <t>Monaco</t>
        </is>
      </c>
      <c r="E533" s="14" t="n">
        <v>2022</v>
      </c>
      <c r="F533" s="14" t="n">
        <v>0.2</v>
      </c>
      <c r="G533" s="14" t="n">
        <v>7.077</v>
      </c>
      <c r="H533" s="14" t="n">
        <v>1.235</v>
      </c>
      <c r="I533" s="14" t="n">
        <v>0</v>
      </c>
      <c r="J533" s="14" t="n">
        <v>7.077</v>
      </c>
      <c r="K533" s="14" t="n">
        <v>0</v>
      </c>
      <c r="L533" s="14" t="n">
        <v>1</v>
      </c>
      <c r="M533" s="14" t="n">
        <v>9.782999999999999</v>
      </c>
      <c r="N533" s="14" t="n">
        <v>3.704</v>
      </c>
      <c r="O533" s="14" t="n">
        <v>0</v>
      </c>
      <c r="P533" s="14" t="n">
        <v>9.782999999999999</v>
      </c>
      <c r="Q533" s="14" t="n">
        <v>0</v>
      </c>
      <c r="R533" s="14" t="n">
        <v>1</v>
      </c>
      <c r="S533" s="14" t="n">
        <v>13.25</v>
      </c>
      <c r="T533" s="14" t="n">
        <v>7.408</v>
      </c>
      <c r="U533" s="14" t="n">
        <v>0.196</v>
      </c>
      <c r="V533" s="14" t="n">
        <v>15.9</v>
      </c>
      <c r="W533" s="14" t="n">
        <v>0.2</v>
      </c>
      <c r="X533" s="14" t="n">
        <v>1</v>
      </c>
      <c r="Y533" s="14" t="n">
        <v>32.56</v>
      </c>
      <c r="Z533" s="14" t="n">
        <v>4.401</v>
      </c>
      <c r="AA533" s="14" t="n">
        <v>0</v>
      </c>
      <c r="AB533" s="14" t="n">
        <v>32.56</v>
      </c>
      <c r="AC533" s="14" t="n">
        <v>0</v>
      </c>
      <c r="AD533" s="14" t="n">
        <v>1</v>
      </c>
      <c r="AE533" s="14" t="n">
        <v>33.795</v>
      </c>
      <c r="AF533" s="14" t="n">
        <v>7.902</v>
      </c>
      <c r="AG533" s="14" t="n">
        <v>0</v>
      </c>
      <c r="AH533" s="14" t="n">
        <v>33.795</v>
      </c>
      <c r="AI533" s="14" t="n">
        <v>0</v>
      </c>
      <c r="AJ533" s="14" t="n">
        <v>1</v>
      </c>
      <c r="AK533" s="14" t="n">
        <v>41.203</v>
      </c>
      <c r="AL533" s="14" t="n">
        <v>21.945</v>
      </c>
      <c r="AM533" s="14" t="n">
        <v>0.61</v>
      </c>
      <c r="AN533" s="14" t="n">
        <v>49.444</v>
      </c>
      <c r="AO533" s="14" t="n">
        <v>0.2</v>
      </c>
      <c r="AP533" s="14" t="n">
        <v>1</v>
      </c>
      <c r="AQ533" s="14" t="n">
        <v>0.861</v>
      </c>
      <c r="AR533" s="14" t="n">
        <v>0.123</v>
      </c>
      <c r="AS533" s="14" t="n">
        <v>0.013</v>
      </c>
      <c r="AT533" s="14" t="n">
        <v>1.033</v>
      </c>
      <c r="AU533" s="14" t="n">
        <v>0.2</v>
      </c>
      <c r="AV533" s="14" t="n">
        <v>1</v>
      </c>
      <c r="AW533" s="14" t="n">
        <v>0.986</v>
      </c>
      <c r="AX533" s="14" t="n">
        <v>0.123</v>
      </c>
      <c r="AY533" s="14" t="n">
        <v>0.015</v>
      </c>
      <c r="AZ533" s="14" t="n">
        <v>1.183</v>
      </c>
      <c r="BA533" s="14" t="n">
        <v>0.2</v>
      </c>
      <c r="BB533" s="14" t="n">
        <v>1</v>
      </c>
      <c r="BC533" s="14" t="n">
        <v>0.598</v>
      </c>
      <c r="BD533" s="14" t="n">
        <v>0.123</v>
      </c>
      <c r="BE533" s="14" t="n">
        <v>0.008999999999999999</v>
      </c>
      <c r="BF533" s="14" t="n">
        <v>0.717</v>
      </c>
      <c r="BG533" s="14" t="n">
        <v>0.2</v>
      </c>
      <c r="BH533" s="14" t="n">
        <v>1</v>
      </c>
      <c r="BI533" s="14" t="n">
        <v>0.612</v>
      </c>
      <c r="BJ533" s="14" t="n">
        <v>0.123</v>
      </c>
      <c r="BK533" s="14" t="n">
        <v>0.008999999999999999</v>
      </c>
      <c r="BL533" s="14" t="n">
        <v>0.735</v>
      </c>
      <c r="BM533" s="14" t="n">
        <v>0.2</v>
      </c>
      <c r="BN533" s="14" t="n">
        <v>1</v>
      </c>
      <c r="BO533" s="14" t="n">
        <v>0</v>
      </c>
      <c r="BP533" s="14" t="n">
        <v>0</v>
      </c>
      <c r="BQ533" s="14" t="n">
        <v>0</v>
      </c>
      <c r="BR533" s="14" t="n">
        <v>0</v>
      </c>
      <c r="BS533" s="14" t="n">
        <v>1</v>
      </c>
      <c r="BT533" s="14" t="n">
        <v>0</v>
      </c>
      <c r="BU533" s="14" t="n">
        <v>0</v>
      </c>
      <c r="BV533" s="14" t="n">
        <v>0</v>
      </c>
      <c r="BW533" s="14" t="n">
        <v>0.2</v>
      </c>
      <c r="BX533" s="14" t="n">
        <v>1</v>
      </c>
      <c r="BY533" s="14" t="n">
        <v>12.729</v>
      </c>
      <c r="BZ533" s="14" t="n">
        <v>0</v>
      </c>
      <c r="CA533" s="14" t="n">
        <v>12.729</v>
      </c>
      <c r="CB533" s="14" t="n">
        <v>0</v>
      </c>
      <c r="CC533" s="14" t="n">
        <v>97.90000000000001</v>
      </c>
      <c r="CD533" s="14" t="n">
        <v>7.95</v>
      </c>
      <c r="CE533" s="14" t="n">
        <v>1.449</v>
      </c>
      <c r="CF533" s="14" t="n">
        <v>117.48</v>
      </c>
      <c r="CG533" s="14" t="n">
        <v>0.2</v>
      </c>
      <c r="CH533" s="14" t="n">
        <v>1</v>
      </c>
      <c r="CI533" s="14" t="n">
        <v>0</v>
      </c>
      <c r="CJ533" s="14" t="n">
        <v>0</v>
      </c>
      <c r="CK533" s="14" t="n">
        <v>0</v>
      </c>
      <c r="CL533" s="14" t="n">
        <v>0</v>
      </c>
      <c r="CM533" s="14" t="n">
        <v>0</v>
      </c>
      <c r="CN533" s="14" t="n">
        <v>0</v>
      </c>
      <c r="CO533" s="14" t="n">
        <v>0</v>
      </c>
      <c r="CP533" s="14" t="n">
        <v>0</v>
      </c>
      <c r="CQ533" s="14" t="n">
        <v>1.294</v>
      </c>
      <c r="CR533" s="14" t="n">
        <v>0</v>
      </c>
      <c r="CS533" s="14" t="n">
        <v>5.158</v>
      </c>
      <c r="CT533" s="14" t="n">
        <v>5.842</v>
      </c>
      <c r="CU533" s="14" t="n">
        <v>31.326</v>
      </c>
    </row>
    <row r="534">
      <c r="A534" s="14" t="inlineStr">
        <is>
          <t>MCO2023</t>
        </is>
      </c>
      <c r="B534" s="14" t="inlineStr">
        <is>
          <t>MCO</t>
        </is>
      </c>
      <c r="C534" s="14" t="inlineStr">
        <is>
          <t>MCO</t>
        </is>
      </c>
      <c r="D534" s="14" t="inlineStr">
        <is>
          <t>Monaco</t>
        </is>
      </c>
      <c r="E534" s="14" t="n">
        <v>2023</v>
      </c>
      <c r="F534" s="14" t="n">
        <v>0.2</v>
      </c>
      <c r="G534" s="14" t="n">
        <v>4.752</v>
      </c>
      <c r="H534" s="14" t="n">
        <v>1.286</v>
      </c>
      <c r="I534" s="14" t="n">
        <v>0</v>
      </c>
      <c r="J534" s="14" t="n">
        <v>4.752</v>
      </c>
      <c r="K534" s="14" t="n">
        <v>0</v>
      </c>
      <c r="L534" s="14" t="n">
        <v>1</v>
      </c>
      <c r="M534" s="14" t="n">
        <v>7.886</v>
      </c>
      <c r="N534" s="14" t="n">
        <v>3.857</v>
      </c>
      <c r="O534" s="14" t="n">
        <v>0</v>
      </c>
      <c r="P534" s="14" t="n">
        <v>7.886</v>
      </c>
      <c r="Q534" s="14" t="n">
        <v>0</v>
      </c>
      <c r="R534" s="14" t="n">
        <v>1</v>
      </c>
      <c r="S534" s="14" t="n">
        <v>11.18</v>
      </c>
      <c r="T534" s="14" t="n">
        <v>7.714</v>
      </c>
      <c r="U534" s="14" t="n">
        <v>0.248</v>
      </c>
      <c r="V534" s="14" t="n">
        <v>13.416</v>
      </c>
      <c r="W534" s="14" t="n">
        <v>0.2</v>
      </c>
      <c r="X534" s="14" t="n">
        <v>1</v>
      </c>
      <c r="Y534" s="14" t="n">
        <v>12.908</v>
      </c>
      <c r="Z534" s="14" t="n">
        <v>1.745</v>
      </c>
      <c r="AA534" s="14" t="n">
        <v>0</v>
      </c>
      <c r="AB534" s="14" t="n">
        <v>12.908</v>
      </c>
      <c r="AC534" s="14" t="n">
        <v>0</v>
      </c>
      <c r="AD534" s="14" t="n">
        <v>1</v>
      </c>
      <c r="AE534" s="14" t="n">
        <v>14.194</v>
      </c>
      <c r="AF534" s="14" t="n">
        <v>3.319</v>
      </c>
      <c r="AG534" s="14" t="n">
        <v>0</v>
      </c>
      <c r="AH534" s="14" t="n">
        <v>14.194</v>
      </c>
      <c r="AI534" s="14" t="n">
        <v>0</v>
      </c>
      <c r="AJ534" s="14" t="n">
        <v>1</v>
      </c>
      <c r="AK534" s="14" t="n">
        <v>21.908</v>
      </c>
      <c r="AL534" s="14" t="n">
        <v>11.668</v>
      </c>
      <c r="AM534" s="14" t="n">
        <v>0.485</v>
      </c>
      <c r="AN534" s="14" t="n">
        <v>26.289</v>
      </c>
      <c r="AO534" s="14" t="n">
        <v>0.2</v>
      </c>
      <c r="AP534" s="14" t="n">
        <v>1</v>
      </c>
      <c r="AQ534" s="14" t="n">
        <v>0.76</v>
      </c>
      <c r="AR534" s="14" t="n">
        <v>0.129</v>
      </c>
      <c r="AS534" s="14" t="n">
        <v>0.017</v>
      </c>
      <c r="AT534" s="14" t="n">
        <v>0.913</v>
      </c>
      <c r="AU534" s="14" t="n">
        <v>0.2</v>
      </c>
      <c r="AV534" s="14" t="n">
        <v>1</v>
      </c>
      <c r="AW534" s="14" t="n">
        <v>0.8110000000000001</v>
      </c>
      <c r="AX534" s="14" t="n">
        <v>0.129</v>
      </c>
      <c r="AY534" s="14" t="n">
        <v>0.018</v>
      </c>
      <c r="AZ534" s="14" t="n">
        <v>0.974</v>
      </c>
      <c r="BA534" s="14" t="n">
        <v>0.2</v>
      </c>
      <c r="BB534" s="14" t="n">
        <v>1</v>
      </c>
      <c r="BC534" s="14" t="n">
        <v>0.535</v>
      </c>
      <c r="BD534" s="14" t="n">
        <v>0.129</v>
      </c>
      <c r="BE534" s="14" t="n">
        <v>0.012</v>
      </c>
      <c r="BF534" s="14" t="n">
        <v>0.642</v>
      </c>
      <c r="BG534" s="14" t="n">
        <v>0.2</v>
      </c>
      <c r="BH534" s="14" t="n">
        <v>1</v>
      </c>
      <c r="BI534" s="14" t="n">
        <v>0.579</v>
      </c>
      <c r="BJ534" s="14" t="n">
        <v>0.129</v>
      </c>
      <c r="BK534" s="14" t="n">
        <v>0.013</v>
      </c>
      <c r="BL534" s="14" t="n">
        <v>0.695</v>
      </c>
      <c r="BM534" s="14" t="n">
        <v>0.2</v>
      </c>
      <c r="BN534" s="14" t="n">
        <v>1</v>
      </c>
      <c r="BO534" s="14" t="n">
        <v>0</v>
      </c>
      <c r="BP534" s="14" t="n">
        <v>0</v>
      </c>
      <c r="BQ534" s="14" t="n">
        <v>0</v>
      </c>
      <c r="BR534" s="14" t="n">
        <v>0</v>
      </c>
      <c r="BS534" s="14" t="n">
        <v>1</v>
      </c>
      <c r="BT534" s="14" t="n">
        <v>0</v>
      </c>
      <c r="BU534" s="14" t="n">
        <v>0</v>
      </c>
      <c r="BV534" s="14" t="n">
        <v>0</v>
      </c>
      <c r="BW534" s="14" t="n">
        <v>0.2</v>
      </c>
      <c r="BX534" s="14" t="n">
        <v>1</v>
      </c>
      <c r="BY534" s="14" t="n">
        <v>13.254</v>
      </c>
      <c r="BZ534" s="14" t="n">
        <v>0</v>
      </c>
      <c r="CA534" s="14" t="n">
        <v>13.254</v>
      </c>
      <c r="CB534" s="14" t="n">
        <v>0</v>
      </c>
      <c r="CC534" s="14" t="n">
        <v>83.248</v>
      </c>
      <c r="CD534" s="14" t="n">
        <v>7.95</v>
      </c>
      <c r="CE534" s="14" t="n">
        <v>1.843</v>
      </c>
      <c r="CF534" s="14" t="n">
        <v>99.898</v>
      </c>
      <c r="CG534" s="14" t="n">
        <v>0.2</v>
      </c>
      <c r="CH534" s="14" t="n">
        <v>1</v>
      </c>
      <c r="CI534" s="14" t="n">
        <v>0</v>
      </c>
      <c r="CJ534" s="14" t="n">
        <v>0</v>
      </c>
      <c r="CK534" s="14" t="n">
        <v>0</v>
      </c>
      <c r="CL534" s="14" t="n">
        <v>0</v>
      </c>
      <c r="CM534" s="14" t="n">
        <v>0</v>
      </c>
      <c r="CN534" s="14" t="n">
        <v>0</v>
      </c>
      <c r="CO534" s="14" t="n">
        <v>0</v>
      </c>
      <c r="CP534" s="14" t="n">
        <v>0</v>
      </c>
      <c r="CQ534" s="14" t="n">
        <v>1.348</v>
      </c>
      <c r="CR534" s="14" t="n">
        <v>0</v>
      </c>
      <c r="CS534" s="14" t="n">
        <v>5.37</v>
      </c>
      <c r="CT534" s="14" t="n">
        <v>3.466</v>
      </c>
      <c r="CU534" s="14" t="n">
        <v>11.622</v>
      </c>
    </row>
    <row r="535">
      <c r="A535" s="14" t="inlineStr">
        <is>
          <t>MCO2024</t>
        </is>
      </c>
      <c r="B535" s="14" t="inlineStr">
        <is>
          <t>MCO</t>
        </is>
      </c>
      <c r="C535" s="14" t="inlineStr">
        <is>
          <t>MCO</t>
        </is>
      </c>
      <c r="D535" s="14" t="inlineStr">
        <is>
          <t>Monaco</t>
        </is>
      </c>
      <c r="E535" s="14" t="n">
        <v>2024</v>
      </c>
      <c r="F535" s="14" t="n">
        <v>0.2</v>
      </c>
      <c r="G535" s="14" t="n">
        <v>4.351</v>
      </c>
      <c r="H535" s="14" t="n">
        <v>1.324</v>
      </c>
      <c r="I535" s="14" t="n">
        <v>0</v>
      </c>
      <c r="J535" s="14" t="n">
        <v>4.351</v>
      </c>
      <c r="K535" s="14" t="n">
        <v>0</v>
      </c>
      <c r="L535" s="14" t="n">
        <v>1</v>
      </c>
      <c r="M535" s="14" t="n">
        <v>7.124</v>
      </c>
      <c r="N535" s="14" t="n">
        <v>3.971</v>
      </c>
      <c r="O535" s="14" t="n">
        <v>0</v>
      </c>
      <c r="P535" s="14" t="n">
        <v>7.124</v>
      </c>
      <c r="Q535" s="14" t="n">
        <v>0</v>
      </c>
      <c r="R535" s="14" t="n">
        <v>1</v>
      </c>
      <c r="S535" s="14" t="n">
        <v>10.969</v>
      </c>
      <c r="T535" s="14" t="n">
        <v>7.942</v>
      </c>
      <c r="U535" s="14" t="n">
        <v>0.299</v>
      </c>
      <c r="V535" s="14" t="n">
        <v>13.162</v>
      </c>
      <c r="W535" s="14" t="n">
        <v>0.2</v>
      </c>
      <c r="X535" s="14" t="n">
        <v>1</v>
      </c>
      <c r="Y535" s="14" t="n">
        <v>11.492</v>
      </c>
      <c r="Z535" s="14" t="n">
        <v>1.553</v>
      </c>
      <c r="AA535" s="14" t="n">
        <v>0</v>
      </c>
      <c r="AB535" s="14" t="n">
        <v>11.492</v>
      </c>
      <c r="AC535" s="14" t="n">
        <v>0</v>
      </c>
      <c r="AD535" s="14" t="n">
        <v>1</v>
      </c>
      <c r="AE535" s="14" t="n">
        <v>12.815</v>
      </c>
      <c r="AF535" s="14" t="n">
        <v>2.997</v>
      </c>
      <c r="AG535" s="14" t="n">
        <v>0</v>
      </c>
      <c r="AH535" s="14" t="n">
        <v>12.815</v>
      </c>
      <c r="AI535" s="14" t="n">
        <v>0</v>
      </c>
      <c r="AJ535" s="14" t="n">
        <v>1</v>
      </c>
      <c r="AK535" s="14" t="n">
        <v>20.757</v>
      </c>
      <c r="AL535" s="14" t="n">
        <v>11.055</v>
      </c>
      <c r="AM535" s="14" t="n">
        <v>0.5649999999999999</v>
      </c>
      <c r="AN535" s="14" t="n">
        <v>24.909</v>
      </c>
      <c r="AO535" s="14" t="n">
        <v>0.2</v>
      </c>
      <c r="AP535" s="14" t="n">
        <v>1</v>
      </c>
      <c r="AQ535" s="14" t="n">
        <v>0.724</v>
      </c>
      <c r="AR535" s="14" t="n">
        <v>0.132</v>
      </c>
      <c r="AS535" s="14" t="n">
        <v>0.02</v>
      </c>
      <c r="AT535" s="14" t="n">
        <v>0.869</v>
      </c>
      <c r="AU535" s="14" t="n">
        <v>0.2</v>
      </c>
      <c r="AV535" s="14" t="n">
        <v>1</v>
      </c>
      <c r="AW535" s="14" t="n">
        <v>0.75</v>
      </c>
      <c r="AX535" s="14" t="n">
        <v>0.132</v>
      </c>
      <c r="AY535" s="14" t="n">
        <v>0.02</v>
      </c>
      <c r="AZ535" s="14" t="n">
        <v>0.9</v>
      </c>
      <c r="BA535" s="14" t="n">
        <v>0.2</v>
      </c>
      <c r="BB535" s="14" t="n">
        <v>1</v>
      </c>
      <c r="BC535" s="14" t="n">
        <v>0.513</v>
      </c>
      <c r="BD535" s="14" t="n">
        <v>0.132</v>
      </c>
      <c r="BE535" s="14" t="n">
        <v>0.014</v>
      </c>
      <c r="BF535" s="14" t="n">
        <v>0.616</v>
      </c>
      <c r="BG535" s="14" t="n">
        <v>0.2</v>
      </c>
      <c r="BH535" s="14" t="n">
        <v>1</v>
      </c>
      <c r="BI535" s="14" t="n">
        <v>0.591</v>
      </c>
      <c r="BJ535" s="14" t="n">
        <v>0.132</v>
      </c>
      <c r="BK535" s="14" t="n">
        <v>0.016</v>
      </c>
      <c r="BL535" s="14" t="n">
        <v>0.71</v>
      </c>
      <c r="BM535" s="14" t="n">
        <v>0.2</v>
      </c>
      <c r="BN535" s="14" t="n">
        <v>1</v>
      </c>
      <c r="BO535" s="14" t="n">
        <v>0</v>
      </c>
      <c r="BP535" s="14" t="n">
        <v>0</v>
      </c>
      <c r="BQ535" s="14" t="n">
        <v>0</v>
      </c>
      <c r="BR535" s="14" t="n">
        <v>0</v>
      </c>
      <c r="BS535" s="14" t="n">
        <v>1</v>
      </c>
      <c r="BT535" s="14" t="n">
        <v>0</v>
      </c>
      <c r="BU535" s="14" t="n">
        <v>0</v>
      </c>
      <c r="BV535" s="14" t="n">
        <v>0</v>
      </c>
      <c r="BW535" s="14" t="n">
        <v>0.2</v>
      </c>
      <c r="BX535" s="14" t="n">
        <v>1</v>
      </c>
      <c r="BY535" s="14" t="n">
        <v>13.646</v>
      </c>
      <c r="BZ535" s="14" t="n">
        <v>0</v>
      </c>
      <c r="CA535" s="14" t="n">
        <v>13.646</v>
      </c>
      <c r="CB535" s="14" t="n">
        <v>0</v>
      </c>
      <c r="CC535" s="14" t="n">
        <v>82.58799999999999</v>
      </c>
      <c r="CD535" s="14" t="n">
        <v>7.95</v>
      </c>
      <c r="CE535" s="14" t="n">
        <v>2.25</v>
      </c>
      <c r="CF535" s="14" t="n">
        <v>99.10599999999999</v>
      </c>
      <c r="CG535" s="14" t="n">
        <v>0.2</v>
      </c>
      <c r="CH535" s="14" t="n">
        <v>1</v>
      </c>
      <c r="CI535" s="14" t="n">
        <v>0</v>
      </c>
      <c r="CJ535" s="14" t="n">
        <v>0</v>
      </c>
      <c r="CK535" s="14" t="n">
        <v>0</v>
      </c>
      <c r="CL535" s="14" t="n">
        <v>0</v>
      </c>
      <c r="CM535" s="14" t="n">
        <v>0</v>
      </c>
      <c r="CN535" s="14" t="n">
        <v>0</v>
      </c>
      <c r="CO535" s="14" t="n">
        <v>0</v>
      </c>
      <c r="CP535" s="14" t="n">
        <v>0</v>
      </c>
      <c r="CQ535" s="14" t="n">
        <v>1.387</v>
      </c>
      <c r="CR535" s="14" t="n">
        <v>0</v>
      </c>
      <c r="CS535" s="14" t="n">
        <v>5.529</v>
      </c>
      <c r="CT535" s="14" t="n">
        <v>3.027</v>
      </c>
      <c r="CU535" s="14" t="n">
        <v>10.168</v>
      </c>
    </row>
    <row r="536">
      <c r="A536" s="14" t="inlineStr">
        <is>
          <t>MNG2021</t>
        </is>
      </c>
      <c r="B536" s="14" t="inlineStr">
        <is>
          <t>MNG</t>
        </is>
      </c>
      <c r="C536" s="14" t="inlineStr">
        <is>
          <t>MNG</t>
        </is>
      </c>
      <c r="D536" s="14" t="inlineStr">
        <is>
          <t>Mongolia</t>
        </is>
      </c>
      <c r="E536" s="14" t="n">
        <v>2021</v>
      </c>
      <c r="F536" s="14" t="n">
        <v>0.1</v>
      </c>
      <c r="G536" s="14" t="n">
        <v>1.772</v>
      </c>
      <c r="H536" s="14" t="n">
        <v>0.572</v>
      </c>
      <c r="I536" s="14" t="n">
        <v>0</v>
      </c>
      <c r="J536" s="14" t="n">
        <v>1.772</v>
      </c>
      <c r="K536" s="14" t="n">
        <v>0</v>
      </c>
      <c r="L536" s="14" t="n">
        <v>1</v>
      </c>
      <c r="M536" s="14" t="n">
        <v>2.917</v>
      </c>
      <c r="N536" s="14" t="n">
        <v>1.716</v>
      </c>
      <c r="O536" s="14" t="n">
        <v>0</v>
      </c>
      <c r="P536" s="14" t="n">
        <v>2.917</v>
      </c>
      <c r="Q536" s="14" t="n">
        <v>0</v>
      </c>
      <c r="R536" s="14" t="n">
        <v>1</v>
      </c>
      <c r="S536" s="14" t="n">
        <v>4.632</v>
      </c>
      <c r="T536" s="14" t="n">
        <v>3.432</v>
      </c>
      <c r="U536" s="14" t="n">
        <v>0</v>
      </c>
      <c r="V536" s="14" t="n">
        <v>5.096</v>
      </c>
      <c r="W536" s="14" t="n">
        <v>0.1</v>
      </c>
      <c r="X536" s="14" t="n">
        <v>1</v>
      </c>
      <c r="Y536" s="14" t="n">
        <v>10.541</v>
      </c>
      <c r="Z536" s="14" t="n">
        <v>1.301</v>
      </c>
      <c r="AA536" s="14" t="n">
        <v>0</v>
      </c>
      <c r="AB536" s="14" t="n">
        <v>10.541</v>
      </c>
      <c r="AC536" s="14" t="n">
        <v>0</v>
      </c>
      <c r="AD536" s="14" t="n">
        <v>1</v>
      </c>
      <c r="AE536" s="14" t="n">
        <v>11.684</v>
      </c>
      <c r="AF536" s="14" t="n">
        <v>2.547</v>
      </c>
      <c r="AG536" s="14" t="n">
        <v>0</v>
      </c>
      <c r="AH536" s="14" t="n">
        <v>11.684</v>
      </c>
      <c r="AI536" s="14" t="n">
        <v>0</v>
      </c>
      <c r="AJ536" s="14" t="n">
        <v>1</v>
      </c>
      <c r="AK536" s="14" t="n">
        <v>18.544</v>
      </c>
      <c r="AL536" s="14" t="n">
        <v>9.622</v>
      </c>
      <c r="AM536" s="14" t="n">
        <v>0</v>
      </c>
      <c r="AN536" s="14" t="n">
        <v>20.399</v>
      </c>
      <c r="AO536" s="14" t="n">
        <v>0.1</v>
      </c>
      <c r="AP536" s="14" t="n">
        <v>1</v>
      </c>
      <c r="AQ536" s="14" t="n">
        <v>0.621</v>
      </c>
      <c r="AR536" s="14" t="n">
        <v>0.114</v>
      </c>
      <c r="AS536" s="14" t="n">
        <v>-0.066</v>
      </c>
      <c r="AT536" s="14" t="n">
        <v>0.61</v>
      </c>
      <c r="AU536" s="14" t="n">
        <v>0.1</v>
      </c>
      <c r="AV536" s="14" t="n">
        <v>1</v>
      </c>
      <c r="AW536" s="14" t="n">
        <v>0.593</v>
      </c>
      <c r="AX536" s="14" t="n">
        <v>0.114</v>
      </c>
      <c r="AY536" s="14" t="n">
        <v>0.156</v>
      </c>
      <c r="AZ536" s="14" t="n">
        <v>0.824</v>
      </c>
      <c r="BA536" s="14" t="n">
        <v>0.1</v>
      </c>
      <c r="BB536" s="14" t="n">
        <v>1</v>
      </c>
      <c r="BC536" s="14" t="n">
        <v>0.44</v>
      </c>
      <c r="BD536" s="14" t="n">
        <v>0.114</v>
      </c>
      <c r="BE536" s="14" t="n">
        <v>0</v>
      </c>
      <c r="BF536" s="14" t="n">
        <v>0.484</v>
      </c>
      <c r="BG536" s="14" t="n">
        <v>0.1</v>
      </c>
      <c r="BH536" s="14" t="n">
        <v>1</v>
      </c>
      <c r="BI536" s="14" t="n">
        <v>0.5600000000000001</v>
      </c>
      <c r="BJ536" s="14" t="n">
        <v>0.114</v>
      </c>
      <c r="BK536" s="14" t="n">
        <v>0</v>
      </c>
      <c r="BL536" s="14" t="n">
        <v>0.616</v>
      </c>
      <c r="BM536" s="14" t="n">
        <v>0.1</v>
      </c>
      <c r="BN536" s="14" t="n">
        <v>1</v>
      </c>
      <c r="BO536" s="14" t="n">
        <v>0</v>
      </c>
      <c r="BP536" s="14" t="n">
        <v>0</v>
      </c>
      <c r="BQ536" s="14" t="n">
        <v>0.063</v>
      </c>
      <c r="BR536" s="14" t="n">
        <v>0</v>
      </c>
      <c r="BS536" s="14" t="n">
        <v>0.667</v>
      </c>
      <c r="BT536" s="14" t="n">
        <v>0</v>
      </c>
      <c r="BU536" s="14" t="n">
        <v>0</v>
      </c>
      <c r="BV536" s="14" t="n">
        <v>0.047</v>
      </c>
      <c r="BW536" s="14" t="n">
        <v>0</v>
      </c>
      <c r="BX536" s="14" t="n">
        <v>0.667</v>
      </c>
      <c r="BY536" s="14" t="n">
        <v>11.787</v>
      </c>
      <c r="BZ536" s="14" t="n">
        <v>0</v>
      </c>
      <c r="CA536" s="14" t="n">
        <v>11.787</v>
      </c>
      <c r="CB536" s="14" t="n">
        <v>0</v>
      </c>
      <c r="CC536" s="14" t="n">
        <v>81.69499999999999</v>
      </c>
      <c r="CD536" s="14" t="n">
        <v>7.95</v>
      </c>
      <c r="CE536" s="14" t="n">
        <v>0</v>
      </c>
      <c r="CF536" s="14" t="n">
        <v>89.86499999999999</v>
      </c>
      <c r="CG536" s="14" t="n">
        <v>0.1</v>
      </c>
      <c r="CH536" s="14" t="n">
        <v>1</v>
      </c>
      <c r="CI536" s="14" t="n">
        <v>0</v>
      </c>
      <c r="CJ536" s="14" t="n">
        <v>0</v>
      </c>
      <c r="CK536" s="14" t="n">
        <v>0</v>
      </c>
      <c r="CL536" s="14" t="n">
        <v>0</v>
      </c>
      <c r="CM536" s="14" t="n">
        <v>0</v>
      </c>
      <c r="CN536" s="14" t="n">
        <v>0</v>
      </c>
      <c r="CO536" s="14" t="n">
        <v>0</v>
      </c>
      <c r="CP536" s="14" t="n">
        <v>0.999</v>
      </c>
      <c r="CQ536" s="14" t="n">
        <v>1.198</v>
      </c>
      <c r="CR536" s="14" t="n">
        <v>0</v>
      </c>
      <c r="CS536" s="14" t="n">
        <v>4.776</v>
      </c>
      <c r="CT536" s="14" t="n">
        <v>3.604</v>
      </c>
      <c r="CU536" s="14" t="n">
        <v>9.407999999999999</v>
      </c>
    </row>
    <row r="537">
      <c r="A537" s="14" t="inlineStr">
        <is>
          <t>MNG2022</t>
        </is>
      </c>
      <c r="B537" s="14" t="inlineStr">
        <is>
          <t>MNG</t>
        </is>
      </c>
      <c r="C537" s="14" t="inlineStr">
        <is>
          <t>MNG</t>
        </is>
      </c>
      <c r="D537" s="14" t="inlineStr">
        <is>
          <t>Mongolia</t>
        </is>
      </c>
      <c r="E537" s="14" t="n">
        <v>2022</v>
      </c>
      <c r="F537" s="14" t="n">
        <v>0.1</v>
      </c>
      <c r="G537" s="14" t="n">
        <v>1.925</v>
      </c>
      <c r="H537" s="14" t="n">
        <v>0.619</v>
      </c>
      <c r="I537" s="14" t="n">
        <v>0</v>
      </c>
      <c r="J537" s="14" t="n">
        <v>1.925</v>
      </c>
      <c r="K537" s="14" t="n">
        <v>0</v>
      </c>
      <c r="L537" s="14" t="n">
        <v>1</v>
      </c>
      <c r="M537" s="14" t="n">
        <v>3.16</v>
      </c>
      <c r="N537" s="14" t="n">
        <v>1.856</v>
      </c>
      <c r="O537" s="14" t="n">
        <v>0</v>
      </c>
      <c r="P537" s="14" t="n">
        <v>3.16</v>
      </c>
      <c r="Q537" s="14" t="n">
        <v>0</v>
      </c>
      <c r="R537" s="14" t="n">
        <v>1</v>
      </c>
      <c r="S537" s="14" t="n">
        <v>5.019</v>
      </c>
      <c r="T537" s="14" t="n">
        <v>3.712</v>
      </c>
      <c r="U537" s="14" t="n">
        <v>0.037</v>
      </c>
      <c r="V537" s="14" t="n">
        <v>5.52</v>
      </c>
      <c r="W537" s="14" t="n">
        <v>0.1</v>
      </c>
      <c r="X537" s="14" t="n">
        <v>1</v>
      </c>
      <c r="Y537" s="14" t="n">
        <v>17.308</v>
      </c>
      <c r="Z537" s="14" t="n">
        <v>2.136</v>
      </c>
      <c r="AA537" s="14" t="n">
        <v>0</v>
      </c>
      <c r="AB537" s="14" t="n">
        <v>17.308</v>
      </c>
      <c r="AC537" s="14" t="n">
        <v>0</v>
      </c>
      <c r="AD537" s="14" t="n">
        <v>1</v>
      </c>
      <c r="AE537" s="14" t="n">
        <v>18.543</v>
      </c>
      <c r="AF537" s="14" t="n">
        <v>4.043</v>
      </c>
      <c r="AG537" s="14" t="n">
        <v>0</v>
      </c>
      <c r="AH537" s="14" t="n">
        <v>18.543</v>
      </c>
      <c r="AI537" s="14" t="n">
        <v>0</v>
      </c>
      <c r="AJ537" s="14" t="n">
        <v>1</v>
      </c>
      <c r="AK537" s="14" t="n">
        <v>25.951</v>
      </c>
      <c r="AL537" s="14" t="n">
        <v>13.466</v>
      </c>
      <c r="AM537" s="14" t="n">
        <v>0.192</v>
      </c>
      <c r="AN537" s="14" t="n">
        <v>28.546</v>
      </c>
      <c r="AO537" s="14" t="n">
        <v>0.1</v>
      </c>
      <c r="AP537" s="14" t="n">
        <v>1</v>
      </c>
      <c r="AQ537" s="14" t="n">
        <v>0.847</v>
      </c>
      <c r="AR537" s="14" t="n">
        <v>0.123</v>
      </c>
      <c r="AS537" s="14" t="n">
        <v>-0.146</v>
      </c>
      <c r="AT537" s="14" t="n">
        <v>0.771</v>
      </c>
      <c r="AU537" s="14" t="n">
        <v>0.1</v>
      </c>
      <c r="AV537" s="14" t="n">
        <v>1</v>
      </c>
      <c r="AW537" s="14" t="n">
        <v>0.947</v>
      </c>
      <c r="AX537" s="14" t="n">
        <v>0.123</v>
      </c>
      <c r="AY537" s="14" t="n">
        <v>0.077</v>
      </c>
      <c r="AZ537" s="14" t="n">
        <v>1.126</v>
      </c>
      <c r="BA537" s="14" t="n">
        <v>0.1</v>
      </c>
      <c r="BB537" s="14" t="n">
        <v>1</v>
      </c>
      <c r="BC537" s="14" t="n">
        <v>0.589</v>
      </c>
      <c r="BD537" s="14" t="n">
        <v>0.123</v>
      </c>
      <c r="BE537" s="14" t="n">
        <v>0.004</v>
      </c>
      <c r="BF537" s="14" t="n">
        <v>0.647</v>
      </c>
      <c r="BG537" s="14" t="n">
        <v>0.1</v>
      </c>
      <c r="BH537" s="14" t="n">
        <v>1</v>
      </c>
      <c r="BI537" s="14" t="n">
        <v>0.6889999999999999</v>
      </c>
      <c r="BJ537" s="14" t="n">
        <v>0.123</v>
      </c>
      <c r="BK537" s="14" t="n">
        <v>0.005</v>
      </c>
      <c r="BL537" s="14" t="n">
        <v>0.758</v>
      </c>
      <c r="BM537" s="14" t="n">
        <v>0.1</v>
      </c>
      <c r="BN537" s="14" t="n">
        <v>1</v>
      </c>
      <c r="BO537" s="14" t="n">
        <v>0</v>
      </c>
      <c r="BP537" s="14" t="n">
        <v>0</v>
      </c>
      <c r="BQ537" s="14" t="n">
        <v>0.057</v>
      </c>
      <c r="BR537" s="14" t="n">
        <v>0</v>
      </c>
      <c r="BS537" s="14" t="n">
        <v>0.667</v>
      </c>
      <c r="BT537" s="14" t="n">
        <v>0</v>
      </c>
      <c r="BU537" s="14" t="n">
        <v>0</v>
      </c>
      <c r="BV537" s="14" t="n">
        <v>0.043</v>
      </c>
      <c r="BW537" s="14" t="n">
        <v>0</v>
      </c>
      <c r="BX537" s="14" t="n">
        <v>0.667</v>
      </c>
      <c r="BY537" s="14" t="n">
        <v>12.729</v>
      </c>
      <c r="BZ537" s="14" t="n">
        <v>0</v>
      </c>
      <c r="CA537" s="14" t="n">
        <v>12.729</v>
      </c>
      <c r="CB537" s="14" t="n">
        <v>0</v>
      </c>
      <c r="CC537" s="14" t="n">
        <v>102.477</v>
      </c>
      <c r="CD537" s="14" t="n">
        <v>7.95</v>
      </c>
      <c r="CE537" s="14" t="n">
        <v>0.758</v>
      </c>
      <c r="CF537" s="14" t="n">
        <v>112.724</v>
      </c>
      <c r="CG537" s="14" t="n">
        <v>0.1</v>
      </c>
      <c r="CH537" s="14" t="n">
        <v>1</v>
      </c>
      <c r="CI537" s="14" t="n">
        <v>0</v>
      </c>
      <c r="CJ537" s="14" t="n">
        <v>0</v>
      </c>
      <c r="CK537" s="14" t="n">
        <v>0</v>
      </c>
      <c r="CL537" s="14" t="n">
        <v>0</v>
      </c>
      <c r="CM537" s="14" t="n">
        <v>0</v>
      </c>
      <c r="CN537" s="14" t="n">
        <v>0</v>
      </c>
      <c r="CO537" s="14" t="n">
        <v>0</v>
      </c>
      <c r="CP537" s="14" t="n">
        <v>0.998</v>
      </c>
      <c r="CQ537" s="14" t="n">
        <v>1.294</v>
      </c>
      <c r="CR537" s="14" t="n">
        <v>0</v>
      </c>
      <c r="CS537" s="14" t="n">
        <v>5.158</v>
      </c>
      <c r="CT537" s="14" t="n">
        <v>7.554</v>
      </c>
      <c r="CU537" s="14" t="n">
        <v>16.097</v>
      </c>
    </row>
    <row r="538">
      <c r="A538" s="14" t="inlineStr">
        <is>
          <t>MNG2023</t>
        </is>
      </c>
      <c r="B538" s="14" t="inlineStr">
        <is>
          <t>MNG</t>
        </is>
      </c>
      <c r="C538" s="14" t="inlineStr">
        <is>
          <t>MNG</t>
        </is>
      </c>
      <c r="D538" s="14" t="inlineStr">
        <is>
          <t>Mongolia</t>
        </is>
      </c>
      <c r="E538" s="14" t="n">
        <v>2023</v>
      </c>
      <c r="F538" s="14" t="n">
        <v>0.1</v>
      </c>
      <c r="G538" s="14" t="n">
        <v>1.998</v>
      </c>
      <c r="H538" s="14" t="n">
        <v>0.644</v>
      </c>
      <c r="I538" s="14" t="n">
        <v>0</v>
      </c>
      <c r="J538" s="14" t="n">
        <v>1.998</v>
      </c>
      <c r="K538" s="14" t="n">
        <v>0</v>
      </c>
      <c r="L538" s="14" t="n">
        <v>1</v>
      </c>
      <c r="M538" s="14" t="n">
        <v>3.285</v>
      </c>
      <c r="N538" s="14" t="n">
        <v>1.932</v>
      </c>
      <c r="O538" s="14" t="n">
        <v>0</v>
      </c>
      <c r="P538" s="14" t="n">
        <v>3.285</v>
      </c>
      <c r="Q538" s="14" t="n">
        <v>0</v>
      </c>
      <c r="R538" s="14" t="n">
        <v>1</v>
      </c>
      <c r="S538" s="14" t="n">
        <v>5.218</v>
      </c>
      <c r="T538" s="14" t="n">
        <v>3.864</v>
      </c>
      <c r="U538" s="14" t="n">
        <v>0.058</v>
      </c>
      <c r="V538" s="14" t="n">
        <v>5.74</v>
      </c>
      <c r="W538" s="14" t="n">
        <v>0.1</v>
      </c>
      <c r="X538" s="14" t="n">
        <v>1</v>
      </c>
      <c r="Y538" s="14" t="n">
        <v>13.799</v>
      </c>
      <c r="Z538" s="14" t="n">
        <v>1.703</v>
      </c>
      <c r="AA538" s="14" t="n">
        <v>0</v>
      </c>
      <c r="AB538" s="14" t="n">
        <v>13.799</v>
      </c>
      <c r="AC538" s="14" t="n">
        <v>0</v>
      </c>
      <c r="AD538" s="14" t="n">
        <v>1</v>
      </c>
      <c r="AE538" s="14" t="n">
        <v>15.085</v>
      </c>
      <c r="AF538" s="14" t="n">
        <v>3.289</v>
      </c>
      <c r="AG538" s="14" t="n">
        <v>0</v>
      </c>
      <c r="AH538" s="14" t="n">
        <v>15.085</v>
      </c>
      <c r="AI538" s="14" t="n">
        <v>0</v>
      </c>
      <c r="AJ538" s="14" t="n">
        <v>1</v>
      </c>
      <c r="AK538" s="14" t="n">
        <v>22.799</v>
      </c>
      <c r="AL538" s="14" t="n">
        <v>11.83</v>
      </c>
      <c r="AM538" s="14" t="n">
        <v>0.252</v>
      </c>
      <c r="AN538" s="14" t="n">
        <v>25.078</v>
      </c>
      <c r="AO538" s="14" t="n">
        <v>0.1</v>
      </c>
      <c r="AP538" s="14" t="n">
        <v>1</v>
      </c>
      <c r="AQ538" s="14" t="n">
        <v>0.749</v>
      </c>
      <c r="AR538" s="14" t="n">
        <v>0.129</v>
      </c>
      <c r="AS538" s="14" t="n">
        <v>-0.107</v>
      </c>
      <c r="AT538" s="14" t="n">
        <v>0.705</v>
      </c>
      <c r="AU538" s="14" t="n">
        <v>0.1</v>
      </c>
      <c r="AV538" s="14" t="n">
        <v>1</v>
      </c>
      <c r="AW538" s="14" t="n">
        <v>0.783</v>
      </c>
      <c r="AX538" s="14" t="n">
        <v>0.129</v>
      </c>
      <c r="AY538" s="14" t="n">
        <v>0.18</v>
      </c>
      <c r="AZ538" s="14" t="n">
        <v>1.059</v>
      </c>
      <c r="BA538" s="14" t="n">
        <v>0.1</v>
      </c>
      <c r="BB538" s="14" t="n">
        <v>1</v>
      </c>
      <c r="BC538" s="14" t="n">
        <v>0.527</v>
      </c>
      <c r="BD538" s="14" t="n">
        <v>0.129</v>
      </c>
      <c r="BE538" s="14" t="n">
        <v>0.006</v>
      </c>
      <c r="BF538" s="14" t="n">
        <v>0.58</v>
      </c>
      <c r="BG538" s="14" t="n">
        <v>0.1</v>
      </c>
      <c r="BH538" s="14" t="n">
        <v>1</v>
      </c>
      <c r="BI538" s="14" t="n">
        <v>0.64</v>
      </c>
      <c r="BJ538" s="14" t="n">
        <v>0.129</v>
      </c>
      <c r="BK538" s="14" t="n">
        <v>0.007</v>
      </c>
      <c r="BL538" s="14" t="n">
        <v>0.704</v>
      </c>
      <c r="BM538" s="14" t="n">
        <v>0.1</v>
      </c>
      <c r="BN538" s="14" t="n">
        <v>1</v>
      </c>
      <c r="BO538" s="14" t="n">
        <v>0</v>
      </c>
      <c r="BP538" s="14" t="n">
        <v>0</v>
      </c>
      <c r="BQ538" s="14" t="n">
        <v>0.054</v>
      </c>
      <c r="BR538" s="14" t="n">
        <v>0</v>
      </c>
      <c r="BS538" s="14" t="n">
        <v>0.667</v>
      </c>
      <c r="BT538" s="14" t="n">
        <v>0</v>
      </c>
      <c r="BU538" s="14" t="n">
        <v>0</v>
      </c>
      <c r="BV538" s="14" t="n">
        <v>0.04</v>
      </c>
      <c r="BW538" s="14" t="n">
        <v>0</v>
      </c>
      <c r="BX538" s="14" t="n">
        <v>0.667</v>
      </c>
      <c r="BY538" s="14" t="n">
        <v>13.254</v>
      </c>
      <c r="BZ538" s="14" t="n">
        <v>0</v>
      </c>
      <c r="CA538" s="14" t="n">
        <v>13.254</v>
      </c>
      <c r="CB538" s="14" t="n">
        <v>0</v>
      </c>
      <c r="CC538" s="14" t="n">
        <v>87.07899999999999</v>
      </c>
      <c r="CD538" s="14" t="n">
        <v>7.95</v>
      </c>
      <c r="CE538" s="14" t="n">
        <v>0.964</v>
      </c>
      <c r="CF538" s="14" t="n">
        <v>95.78700000000001</v>
      </c>
      <c r="CG538" s="14" t="n">
        <v>0.1</v>
      </c>
      <c r="CH538" s="14" t="n">
        <v>1</v>
      </c>
      <c r="CI538" s="14" t="n">
        <v>0</v>
      </c>
      <c r="CJ538" s="14" t="n">
        <v>0</v>
      </c>
      <c r="CK538" s="14" t="n">
        <v>0</v>
      </c>
      <c r="CL538" s="14" t="n">
        <v>0</v>
      </c>
      <c r="CM538" s="14" t="n">
        <v>0</v>
      </c>
      <c r="CN538" s="14" t="n">
        <v>0</v>
      </c>
      <c r="CO538" s="14" t="n">
        <v>0</v>
      </c>
      <c r="CP538" s="14" t="n">
        <v>0.998</v>
      </c>
      <c r="CQ538" s="14" t="n">
        <v>1.348</v>
      </c>
      <c r="CR538" s="14" t="n">
        <v>0</v>
      </c>
      <c r="CS538" s="14" t="n">
        <v>5.37</v>
      </c>
      <c r="CT538" s="14" t="n">
        <v>4.484</v>
      </c>
      <c r="CU538" s="14" t="n">
        <v>12.529</v>
      </c>
    </row>
    <row r="539">
      <c r="A539" s="14" t="inlineStr">
        <is>
          <t>MNG2024</t>
        </is>
      </c>
      <c r="B539" s="14" t="inlineStr">
        <is>
          <t>MNG</t>
        </is>
      </c>
      <c r="C539" s="14" t="inlineStr">
        <is>
          <t>MNG</t>
        </is>
      </c>
      <c r="D539" s="14" t="inlineStr">
        <is>
          <t>Mongolia</t>
        </is>
      </c>
      <c r="E539" s="14" t="n">
        <v>2024</v>
      </c>
      <c r="F539" s="14" t="n">
        <v>0.1</v>
      </c>
      <c r="G539" s="14" t="n">
        <v>2.054</v>
      </c>
      <c r="H539" s="14" t="n">
        <v>0.663</v>
      </c>
      <c r="I539" s="14" t="n">
        <v>0</v>
      </c>
      <c r="J539" s="14" t="n">
        <v>2.054</v>
      </c>
      <c r="K539" s="14" t="n">
        <v>0</v>
      </c>
      <c r="L539" s="14" t="n">
        <v>1</v>
      </c>
      <c r="M539" s="14" t="n">
        <v>3.38</v>
      </c>
      <c r="N539" s="14" t="n">
        <v>1.989</v>
      </c>
      <c r="O539" s="14" t="n">
        <v>0</v>
      </c>
      <c r="P539" s="14" t="n">
        <v>3.38</v>
      </c>
      <c r="Q539" s="14" t="n">
        <v>0</v>
      </c>
      <c r="R539" s="14" t="n">
        <v>1</v>
      </c>
      <c r="S539" s="14" t="n">
        <v>5.37</v>
      </c>
      <c r="T539" s="14" t="n">
        <v>3.978</v>
      </c>
      <c r="U539" s="14" t="n">
        <v>0.073</v>
      </c>
      <c r="V539" s="14" t="n">
        <v>5.907</v>
      </c>
      <c r="W539" s="14" t="n">
        <v>0.1</v>
      </c>
      <c r="X539" s="14" t="n">
        <v>1</v>
      </c>
      <c r="Y539" s="14" t="n">
        <v>12.208</v>
      </c>
      <c r="Z539" s="14" t="n">
        <v>1.506</v>
      </c>
      <c r="AA539" s="14" t="n">
        <v>0</v>
      </c>
      <c r="AB539" s="14" t="n">
        <v>12.208</v>
      </c>
      <c r="AC539" s="14" t="n">
        <v>0</v>
      </c>
      <c r="AD539" s="14" t="n">
        <v>1</v>
      </c>
      <c r="AE539" s="14" t="n">
        <v>13.531</v>
      </c>
      <c r="AF539" s="14" t="n">
        <v>2.95</v>
      </c>
      <c r="AG539" s="14" t="n">
        <v>0</v>
      </c>
      <c r="AH539" s="14" t="n">
        <v>13.531</v>
      </c>
      <c r="AI539" s="14" t="n">
        <v>0</v>
      </c>
      <c r="AJ539" s="14" t="n">
        <v>1</v>
      </c>
      <c r="AK539" s="14" t="n">
        <v>21.473</v>
      </c>
      <c r="AL539" s="14" t="n">
        <v>11.142</v>
      </c>
      <c r="AM539" s="14" t="n">
        <v>0.292</v>
      </c>
      <c r="AN539" s="14" t="n">
        <v>23.62</v>
      </c>
      <c r="AO539" s="14" t="n">
        <v>0.1</v>
      </c>
      <c r="AP539" s="14" t="n">
        <v>1</v>
      </c>
      <c r="AQ539" s="14" t="n">
        <v>0.72</v>
      </c>
      <c r="AR539" s="14" t="n">
        <v>0.132</v>
      </c>
      <c r="AS539" s="14" t="n">
        <v>-0.064</v>
      </c>
      <c r="AT539" s="14" t="n">
        <v>0.721</v>
      </c>
      <c r="AU539" s="14" t="n">
        <v>0.1</v>
      </c>
      <c r="AV539" s="14" t="n">
        <v>1</v>
      </c>
      <c r="AW539" s="14" t="n">
        <v>0.734</v>
      </c>
      <c r="AX539" s="14" t="n">
        <v>0.132</v>
      </c>
      <c r="AY539" s="14" t="n">
        <v>0.196</v>
      </c>
      <c r="AZ539" s="14" t="n">
        <v>1.023</v>
      </c>
      <c r="BA539" s="14" t="n">
        <v>0.1</v>
      </c>
      <c r="BB539" s="14" t="n">
        <v>1</v>
      </c>
      <c r="BC539" s="14" t="n">
        <v>0.51</v>
      </c>
      <c r="BD539" s="14" t="n">
        <v>0.132</v>
      </c>
      <c r="BE539" s="14" t="n">
        <v>0.007</v>
      </c>
      <c r="BF539" s="14" t="n">
        <v>0.5610000000000001</v>
      </c>
      <c r="BG539" s="14" t="n">
        <v>0.1</v>
      </c>
      <c r="BH539" s="14" t="n">
        <v>1</v>
      </c>
      <c r="BI539" s="14" t="n">
        <v>0.652</v>
      </c>
      <c r="BJ539" s="14" t="n">
        <v>0.132</v>
      </c>
      <c r="BK539" s="14" t="n">
        <v>0.008999999999999999</v>
      </c>
      <c r="BL539" s="14" t="n">
        <v>0.717</v>
      </c>
      <c r="BM539" s="14" t="n">
        <v>0.1</v>
      </c>
      <c r="BN539" s="14" t="n">
        <v>1</v>
      </c>
      <c r="BO539" s="14" t="n">
        <v>0</v>
      </c>
      <c r="BP539" s="14" t="n">
        <v>0</v>
      </c>
      <c r="BQ539" s="14" t="n">
        <v>0.055</v>
      </c>
      <c r="BR539" s="14" t="n">
        <v>0</v>
      </c>
      <c r="BS539" s="14" t="n">
        <v>0.667</v>
      </c>
      <c r="BT539" s="14" t="n">
        <v>0</v>
      </c>
      <c r="BU539" s="14" t="n">
        <v>0</v>
      </c>
      <c r="BV539" s="14" t="n">
        <v>0.041</v>
      </c>
      <c r="BW539" s="14" t="n">
        <v>0</v>
      </c>
      <c r="BX539" s="14" t="n">
        <v>0.667</v>
      </c>
      <c r="BY539" s="14" t="n">
        <v>13.646</v>
      </c>
      <c r="BZ539" s="14" t="n">
        <v>0</v>
      </c>
      <c r="CA539" s="14" t="n">
        <v>13.646</v>
      </c>
      <c r="CB539" s="14" t="n">
        <v>0</v>
      </c>
      <c r="CC539" s="14" t="n">
        <v>86.38500000000001</v>
      </c>
      <c r="CD539" s="14" t="n">
        <v>7.95</v>
      </c>
      <c r="CE539" s="14" t="n">
        <v>1.177</v>
      </c>
      <c r="CF539" s="14" t="n">
        <v>95.024</v>
      </c>
      <c r="CG539" s="14" t="n">
        <v>0.1</v>
      </c>
      <c r="CH539" s="14" t="n">
        <v>1</v>
      </c>
      <c r="CI539" s="14" t="n">
        <v>0</v>
      </c>
      <c r="CJ539" s="14" t="n">
        <v>0</v>
      </c>
      <c r="CK539" s="14" t="n">
        <v>0</v>
      </c>
      <c r="CL539" s="14" t="n">
        <v>0</v>
      </c>
      <c r="CM539" s="14" t="n">
        <v>0</v>
      </c>
      <c r="CN539" s="14" t="n">
        <v>0</v>
      </c>
      <c r="CO539" s="14" t="n">
        <v>0</v>
      </c>
      <c r="CP539" s="14" t="n">
        <v>0.998</v>
      </c>
      <c r="CQ539" s="14" t="n">
        <v>1.387</v>
      </c>
      <c r="CR539" s="14" t="n">
        <v>0</v>
      </c>
      <c r="CS539" s="14" t="n">
        <v>5.529</v>
      </c>
      <c r="CT539" s="14" t="n">
        <v>3.509</v>
      </c>
      <c r="CU539" s="14" t="n">
        <v>10.896</v>
      </c>
    </row>
    <row r="540">
      <c r="A540" s="14" t="inlineStr">
        <is>
          <t>MNE2021</t>
        </is>
      </c>
      <c r="B540" s="14" t="inlineStr">
        <is>
          <t>MNE</t>
        </is>
      </c>
      <c r="C540" s="14" t="inlineStr">
        <is>
          <t>MNE</t>
        </is>
      </c>
      <c r="D540" s="14" t="inlineStr">
        <is>
          <t>Montenegro, Rep. of</t>
        </is>
      </c>
      <c r="E540" s="14" t="n">
        <v>2021</v>
      </c>
      <c r="F540" s="14" t="n">
        <v>0.21</v>
      </c>
      <c r="G540" s="14" t="n">
        <v>1.77</v>
      </c>
      <c r="H540" s="14" t="n">
        <v>0.572</v>
      </c>
      <c r="I540" s="14" t="n">
        <v>0</v>
      </c>
      <c r="J540" s="14" t="n">
        <v>1.77</v>
      </c>
      <c r="K540" s="14" t="n">
        <v>0</v>
      </c>
      <c r="L540" s="14" t="n">
        <v>1</v>
      </c>
      <c r="M540" s="14" t="n">
        <v>2.913</v>
      </c>
      <c r="N540" s="14" t="n">
        <v>1.715</v>
      </c>
      <c r="O540" s="14" t="n">
        <v>0</v>
      </c>
      <c r="P540" s="14" t="n">
        <v>2.913</v>
      </c>
      <c r="Q540" s="14" t="n">
        <v>0</v>
      </c>
      <c r="R540" s="14" t="n">
        <v>1</v>
      </c>
      <c r="S540" s="14" t="n">
        <v>4.628</v>
      </c>
      <c r="T540" s="14" t="n">
        <v>3.43</v>
      </c>
      <c r="U540" s="14" t="n">
        <v>0</v>
      </c>
      <c r="V540" s="14" t="n">
        <v>5.6</v>
      </c>
      <c r="W540" s="14" t="n">
        <v>0.21</v>
      </c>
      <c r="X540" s="14" t="n">
        <v>1</v>
      </c>
      <c r="Y540" s="14" t="n">
        <v>16.305</v>
      </c>
      <c r="Z540" s="14" t="n">
        <v>1.143</v>
      </c>
      <c r="AA540" s="14" t="n">
        <v>0.606</v>
      </c>
      <c r="AB540" s="14" t="n">
        <v>16.912</v>
      </c>
      <c r="AC540" s="14" t="n">
        <v>0</v>
      </c>
      <c r="AD540" s="14" t="n">
        <v>1</v>
      </c>
      <c r="AE540" s="14" t="n">
        <v>17.449</v>
      </c>
      <c r="AF540" s="14" t="n">
        <v>2.287</v>
      </c>
      <c r="AG540" s="14" t="n">
        <v>0.606</v>
      </c>
      <c r="AH540" s="14" t="n">
        <v>18.055</v>
      </c>
      <c r="AI540" s="14" t="n">
        <v>0</v>
      </c>
      <c r="AJ540" s="14" t="n">
        <v>1</v>
      </c>
      <c r="AK540" s="14" t="n">
        <v>24.309</v>
      </c>
      <c r="AL540" s="14" t="n">
        <v>9.147</v>
      </c>
      <c r="AM540" s="14" t="n">
        <v>0</v>
      </c>
      <c r="AN540" s="14" t="n">
        <v>29.413</v>
      </c>
      <c r="AO540" s="14" t="n">
        <v>0.21</v>
      </c>
      <c r="AP540" s="14" t="n">
        <v>1</v>
      </c>
      <c r="AQ540" s="14" t="n">
        <v>0.619</v>
      </c>
      <c r="AR540" s="14" t="n">
        <v>0.114</v>
      </c>
      <c r="AS540" s="14" t="n">
        <v>0.6860000000000001</v>
      </c>
      <c r="AT540" s="14" t="n">
        <v>1.579</v>
      </c>
      <c r="AU540" s="14" t="n">
        <v>0.21</v>
      </c>
      <c r="AV540" s="14" t="n">
        <v>1</v>
      </c>
      <c r="AW540" s="14" t="n">
        <v>0.599</v>
      </c>
      <c r="AX540" s="14" t="n">
        <v>0.114</v>
      </c>
      <c r="AY540" s="14" t="n">
        <v>0.5610000000000001</v>
      </c>
      <c r="AZ540" s="14" t="n">
        <v>1.404</v>
      </c>
      <c r="BA540" s="14" t="n">
        <v>0.21</v>
      </c>
      <c r="BB540" s="14" t="n">
        <v>1</v>
      </c>
      <c r="BC540" s="14" t="n">
        <v>0.439</v>
      </c>
      <c r="BD540" s="14" t="n">
        <v>0.114</v>
      </c>
      <c r="BE540" s="14" t="n">
        <v>0.189</v>
      </c>
      <c r="BF540" s="14" t="n">
        <v>0.76</v>
      </c>
      <c r="BG540" s="14" t="n">
        <v>0.21</v>
      </c>
      <c r="BH540" s="14" t="n">
        <v>1</v>
      </c>
      <c r="BI540" s="14" t="n">
        <v>0.505</v>
      </c>
      <c r="BJ540" s="14" t="n">
        <v>0.114</v>
      </c>
      <c r="BK540" s="14" t="n">
        <v>0</v>
      </c>
      <c r="BL540" s="14" t="n">
        <v>0.611</v>
      </c>
      <c r="BM540" s="14" t="n">
        <v>0.21</v>
      </c>
      <c r="BN540" s="14" t="n">
        <v>1</v>
      </c>
      <c r="BO540" s="14" t="n">
        <v>0</v>
      </c>
      <c r="BP540" s="14" t="n">
        <v>0.01</v>
      </c>
      <c r="BQ540" s="14" t="n">
        <v>0.068</v>
      </c>
      <c r="BR540" s="14" t="n">
        <v>0</v>
      </c>
      <c r="BS540" s="14" t="n">
        <v>1</v>
      </c>
      <c r="BT540" s="14" t="n">
        <v>0</v>
      </c>
      <c r="BU540" s="14" t="n">
        <v>0.005</v>
      </c>
      <c r="BV540" s="14" t="n">
        <v>0.116</v>
      </c>
      <c r="BW540" s="14" t="n">
        <v>0.21</v>
      </c>
      <c r="BX540" s="14" t="n">
        <v>0.5</v>
      </c>
      <c r="BY540" s="14" t="n">
        <v>11.787</v>
      </c>
      <c r="BZ540" s="14" t="n">
        <v>0</v>
      </c>
      <c r="CA540" s="14" t="n">
        <v>11.787</v>
      </c>
      <c r="CB540" s="14" t="n">
        <v>0</v>
      </c>
      <c r="CC540" s="14" t="n">
        <v>78.125</v>
      </c>
      <c r="CD540" s="14" t="n">
        <v>7.95</v>
      </c>
      <c r="CE540" s="14" t="n">
        <v>102.185</v>
      </c>
      <c r="CF540" s="14" t="n">
        <v>218.175</v>
      </c>
      <c r="CG540" s="14" t="n">
        <v>0.21</v>
      </c>
      <c r="CH540" s="14" t="n">
        <v>1</v>
      </c>
      <c r="CI540" s="14" t="n">
        <v>0</v>
      </c>
      <c r="CJ540" s="14" t="n">
        <v>0</v>
      </c>
      <c r="CK540" s="14" t="n">
        <v>0</v>
      </c>
      <c r="CL540" s="14" t="n">
        <v>0</v>
      </c>
      <c r="CM540" s="14" t="n">
        <v>0</v>
      </c>
      <c r="CN540" s="14" t="n">
        <v>0</v>
      </c>
      <c r="CO540" s="14" t="n">
        <v>0</v>
      </c>
      <c r="CP540" s="14" t="n">
        <v>1</v>
      </c>
      <c r="CQ540" s="14" t="n">
        <v>1.198</v>
      </c>
      <c r="CR540" s="14" t="n">
        <v>0</v>
      </c>
      <c r="CS540" s="14" t="n">
        <v>4.776</v>
      </c>
      <c r="CT540" s="14" t="n">
        <v>4.41</v>
      </c>
      <c r="CU540" s="14" t="n">
        <v>15.162</v>
      </c>
    </row>
    <row r="541">
      <c r="A541" s="14" t="inlineStr">
        <is>
          <t>MNE2022</t>
        </is>
      </c>
      <c r="B541" s="14" t="inlineStr">
        <is>
          <t>MNE</t>
        </is>
      </c>
      <c r="C541" s="14" t="inlineStr">
        <is>
          <t>MNE</t>
        </is>
      </c>
      <c r="D541" s="14" t="inlineStr">
        <is>
          <t>Montenegro, Rep. of</t>
        </is>
      </c>
      <c r="E541" s="14" t="n">
        <v>2022</v>
      </c>
      <c r="F541" s="14" t="n">
        <v>0.21</v>
      </c>
      <c r="G541" s="14" t="n">
        <v>1.911</v>
      </c>
      <c r="H541" s="14" t="n">
        <v>0.617</v>
      </c>
      <c r="I541" s="14" t="n">
        <v>0</v>
      </c>
      <c r="J541" s="14" t="n">
        <v>1.911</v>
      </c>
      <c r="K541" s="14" t="n">
        <v>0</v>
      </c>
      <c r="L541" s="14" t="n">
        <v>1</v>
      </c>
      <c r="M541" s="14" t="n">
        <v>3.146</v>
      </c>
      <c r="N541" s="14" t="n">
        <v>1.852</v>
      </c>
      <c r="O541" s="14" t="n">
        <v>0</v>
      </c>
      <c r="P541" s="14" t="n">
        <v>3.146</v>
      </c>
      <c r="Q541" s="14" t="n">
        <v>0</v>
      </c>
      <c r="R541" s="14" t="n">
        <v>1</v>
      </c>
      <c r="S541" s="14" t="n">
        <v>4.998</v>
      </c>
      <c r="T541" s="14" t="n">
        <v>3.704</v>
      </c>
      <c r="U541" s="14" t="n">
        <v>0.078</v>
      </c>
      <c r="V541" s="14" t="n">
        <v>6.048</v>
      </c>
      <c r="W541" s="14" t="n">
        <v>0.21</v>
      </c>
      <c r="X541" s="14" t="n">
        <v>1</v>
      </c>
      <c r="Y541" s="14" t="n">
        <v>32.56</v>
      </c>
      <c r="Z541" s="14" t="n">
        <v>1.235</v>
      </c>
      <c r="AA541" s="14" t="n">
        <v>1.253</v>
      </c>
      <c r="AB541" s="14" t="n">
        <v>33.813</v>
      </c>
      <c r="AC541" s="14" t="n">
        <v>0</v>
      </c>
      <c r="AD541" s="14" t="n">
        <v>1</v>
      </c>
      <c r="AE541" s="14" t="n">
        <v>33.795</v>
      </c>
      <c r="AF541" s="14" t="n">
        <v>2.469</v>
      </c>
      <c r="AG541" s="14" t="n">
        <v>1.253</v>
      </c>
      <c r="AH541" s="14" t="n">
        <v>35.048</v>
      </c>
      <c r="AI541" s="14" t="n">
        <v>0</v>
      </c>
      <c r="AJ541" s="14" t="n">
        <v>1</v>
      </c>
      <c r="AK541" s="14" t="n">
        <v>41.203</v>
      </c>
      <c r="AL541" s="14" t="n">
        <v>9.878</v>
      </c>
      <c r="AM541" s="14" t="n">
        <v>0.64</v>
      </c>
      <c r="AN541" s="14" t="n">
        <v>49.856</v>
      </c>
      <c r="AO541" s="14" t="n">
        <v>0.21</v>
      </c>
      <c r="AP541" s="14" t="n">
        <v>1</v>
      </c>
      <c r="AQ541" s="14" t="n">
        <v>0.861</v>
      </c>
      <c r="AR541" s="14" t="n">
        <v>0.123</v>
      </c>
      <c r="AS541" s="14" t="n">
        <v>0.456</v>
      </c>
      <c r="AT541" s="14" t="n">
        <v>1.593</v>
      </c>
      <c r="AU541" s="14" t="n">
        <v>0.21</v>
      </c>
      <c r="AV541" s="14" t="n">
        <v>1</v>
      </c>
      <c r="AW541" s="14" t="n">
        <v>0.986</v>
      </c>
      <c r="AX541" s="14" t="n">
        <v>0.123</v>
      </c>
      <c r="AY541" s="14" t="n">
        <v>0.38</v>
      </c>
      <c r="AZ541" s="14" t="n">
        <v>1.653</v>
      </c>
      <c r="BA541" s="14" t="n">
        <v>0.21</v>
      </c>
      <c r="BB541" s="14" t="n">
        <v>1</v>
      </c>
      <c r="BC541" s="14" t="n">
        <v>0.598</v>
      </c>
      <c r="BD541" s="14" t="n">
        <v>0.123</v>
      </c>
      <c r="BE541" s="14" t="n">
        <v>0.195</v>
      </c>
      <c r="BF541" s="14" t="n">
        <v>0.944</v>
      </c>
      <c r="BG541" s="14" t="n">
        <v>0.21</v>
      </c>
      <c r="BH541" s="14" t="n">
        <v>1</v>
      </c>
      <c r="BI541" s="14" t="n">
        <v>0.612</v>
      </c>
      <c r="BJ541" s="14" t="n">
        <v>0.123</v>
      </c>
      <c r="BK541" s="14" t="n">
        <v>0.01</v>
      </c>
      <c r="BL541" s="14" t="n">
        <v>0.741</v>
      </c>
      <c r="BM541" s="14" t="n">
        <v>0.21</v>
      </c>
      <c r="BN541" s="14" t="n">
        <v>1</v>
      </c>
      <c r="BO541" s="14" t="n">
        <v>0</v>
      </c>
      <c r="BP541" s="14" t="n">
        <v>0.008999999999999999</v>
      </c>
      <c r="BQ541" s="14" t="n">
        <v>0.064</v>
      </c>
      <c r="BR541" s="14" t="n">
        <v>0</v>
      </c>
      <c r="BS541" s="14" t="n">
        <v>1</v>
      </c>
      <c r="BT541" s="14" t="n">
        <v>0</v>
      </c>
      <c r="BU541" s="14" t="n">
        <v>0.005</v>
      </c>
      <c r="BV541" s="14" t="n">
        <v>0.102</v>
      </c>
      <c r="BW541" s="14" t="n">
        <v>0.21</v>
      </c>
      <c r="BX541" s="14" t="n">
        <v>0.5</v>
      </c>
      <c r="BY541" s="14" t="n">
        <v>12.729</v>
      </c>
      <c r="BZ541" s="14" t="n">
        <v>0</v>
      </c>
      <c r="CA541" s="14" t="n">
        <v>12.729</v>
      </c>
      <c r="CB541" s="14" t="n">
        <v>0</v>
      </c>
      <c r="CC541" s="14" t="n">
        <v>97.90000000000001</v>
      </c>
      <c r="CD541" s="14" t="n">
        <v>7.95</v>
      </c>
      <c r="CE541" s="14" t="n">
        <v>131.354</v>
      </c>
      <c r="CF541" s="14" t="n">
        <v>277.397</v>
      </c>
      <c r="CG541" s="14" t="n">
        <v>0.21</v>
      </c>
      <c r="CH541" s="14" t="n">
        <v>1</v>
      </c>
      <c r="CI541" s="14" t="n">
        <v>0</v>
      </c>
      <c r="CJ541" s="14" t="n">
        <v>0</v>
      </c>
      <c r="CK541" s="14" t="n">
        <v>0</v>
      </c>
      <c r="CL541" s="14" t="n">
        <v>0</v>
      </c>
      <c r="CM541" s="14" t="n">
        <v>0</v>
      </c>
      <c r="CN541" s="14" t="n">
        <v>0</v>
      </c>
      <c r="CO541" s="14" t="n">
        <v>0</v>
      </c>
      <c r="CP541" s="14" t="n">
        <v>1</v>
      </c>
      <c r="CQ541" s="14" t="n">
        <v>1.294</v>
      </c>
      <c r="CR541" s="14" t="n">
        <v>0</v>
      </c>
      <c r="CS541" s="14" t="n">
        <v>5.158</v>
      </c>
      <c r="CT541" s="14" t="n">
        <v>5.842</v>
      </c>
      <c r="CU541" s="14" t="n">
        <v>31.326</v>
      </c>
    </row>
    <row r="542">
      <c r="A542" s="14" t="inlineStr">
        <is>
          <t>MNE2023</t>
        </is>
      </c>
      <c r="B542" s="14" t="inlineStr">
        <is>
          <t>MNE</t>
        </is>
      </c>
      <c r="C542" s="14" t="inlineStr">
        <is>
          <t>MNE</t>
        </is>
      </c>
      <c r="D542" s="14" t="inlineStr">
        <is>
          <t>Montenegro, Rep. of</t>
        </is>
      </c>
      <c r="E542" s="14" t="n">
        <v>2023</v>
      </c>
      <c r="F542" s="14" t="n">
        <v>0.21</v>
      </c>
      <c r="G542" s="14" t="n">
        <v>1.99</v>
      </c>
      <c r="H542" s="14" t="n">
        <v>0.643</v>
      </c>
      <c r="I542" s="14" t="n">
        <v>2.612</v>
      </c>
      <c r="J542" s="14" t="n">
        <v>4.602</v>
      </c>
      <c r="K542" s="14" t="n">
        <v>0</v>
      </c>
      <c r="L542" s="14" t="n">
        <v>1</v>
      </c>
      <c r="M542" s="14" t="n">
        <v>3.276</v>
      </c>
      <c r="N542" s="14" t="n">
        <v>1.928</v>
      </c>
      <c r="O542" s="14" t="n">
        <v>2.595</v>
      </c>
      <c r="P542" s="14" t="n">
        <v>5.871</v>
      </c>
      <c r="Q542" s="14" t="n">
        <v>0</v>
      </c>
      <c r="R542" s="14" t="n">
        <v>1</v>
      </c>
      <c r="S542" s="14" t="n">
        <v>5.205</v>
      </c>
      <c r="T542" s="14" t="n">
        <v>3.857</v>
      </c>
      <c r="U542" s="14" t="n">
        <v>0.121</v>
      </c>
      <c r="V542" s="14" t="n">
        <v>6.297</v>
      </c>
      <c r="W542" s="14" t="n">
        <v>0.21</v>
      </c>
      <c r="X542" s="14" t="n">
        <v>1</v>
      </c>
      <c r="Y542" s="14" t="n">
        <v>12.908</v>
      </c>
      <c r="Z542" s="14" t="n">
        <v>1.286</v>
      </c>
      <c r="AA542" s="14" t="n">
        <v>1.964</v>
      </c>
      <c r="AB542" s="14" t="n">
        <v>14.872</v>
      </c>
      <c r="AC542" s="14" t="n">
        <v>0</v>
      </c>
      <c r="AD542" s="14" t="n">
        <v>1</v>
      </c>
      <c r="AE542" s="14" t="n">
        <v>14.194</v>
      </c>
      <c r="AF542" s="14" t="n">
        <v>2.571</v>
      </c>
      <c r="AG542" s="14" t="n">
        <v>1.964</v>
      </c>
      <c r="AH542" s="14" t="n">
        <v>16.158</v>
      </c>
      <c r="AI542" s="14" t="n">
        <v>0</v>
      </c>
      <c r="AJ542" s="14" t="n">
        <v>1</v>
      </c>
      <c r="AK542" s="14" t="n">
        <v>21.908</v>
      </c>
      <c r="AL542" s="14" t="n">
        <v>10.285</v>
      </c>
      <c r="AM542" s="14" t="n">
        <v>0.509</v>
      </c>
      <c r="AN542" s="14" t="n">
        <v>26.508</v>
      </c>
      <c r="AO542" s="14" t="n">
        <v>0.21</v>
      </c>
      <c r="AP542" s="14" t="n">
        <v>1</v>
      </c>
      <c r="AQ542" s="14" t="n">
        <v>0.76</v>
      </c>
      <c r="AR542" s="14" t="n">
        <v>0.129</v>
      </c>
      <c r="AS542" s="14" t="n">
        <v>0.613</v>
      </c>
      <c r="AT542" s="14" t="n">
        <v>1.662</v>
      </c>
      <c r="AU542" s="14" t="n">
        <v>0.21</v>
      </c>
      <c r="AV542" s="14" t="n">
        <v>1</v>
      </c>
      <c r="AW542" s="14" t="n">
        <v>0.8110000000000001</v>
      </c>
      <c r="AX542" s="14" t="n">
        <v>0.129</v>
      </c>
      <c r="AY542" s="14" t="n">
        <v>0.507</v>
      </c>
      <c r="AZ542" s="14" t="n">
        <v>1.595</v>
      </c>
      <c r="BA542" s="14" t="n">
        <v>0.21</v>
      </c>
      <c r="BB542" s="14" t="n">
        <v>1</v>
      </c>
      <c r="BC542" s="14" t="n">
        <v>0.535</v>
      </c>
      <c r="BD542" s="14" t="n">
        <v>0.129</v>
      </c>
      <c r="BE542" s="14" t="n">
        <v>0.222</v>
      </c>
      <c r="BF542" s="14" t="n">
        <v>0.896</v>
      </c>
      <c r="BG542" s="14" t="n">
        <v>0.21</v>
      </c>
      <c r="BH542" s="14" t="n">
        <v>1</v>
      </c>
      <c r="BI542" s="14" t="n">
        <v>0.579</v>
      </c>
      <c r="BJ542" s="14" t="n">
        <v>0.129</v>
      </c>
      <c r="BK542" s="14" t="n">
        <v>0.013</v>
      </c>
      <c r="BL542" s="14" t="n">
        <v>0.701</v>
      </c>
      <c r="BM542" s="14" t="n">
        <v>0.21</v>
      </c>
      <c r="BN542" s="14" t="n">
        <v>1</v>
      </c>
      <c r="BO542" s="14" t="n">
        <v>0</v>
      </c>
      <c r="BP542" s="14" t="n">
        <v>0.005</v>
      </c>
      <c r="BQ542" s="14" t="n">
        <v>0.059</v>
      </c>
      <c r="BR542" s="14" t="n">
        <v>0</v>
      </c>
      <c r="BS542" s="14" t="n">
        <v>1</v>
      </c>
      <c r="BT542" s="14" t="n">
        <v>0</v>
      </c>
      <c r="BU542" s="14" t="n">
        <v>-0.005</v>
      </c>
      <c r="BV542" s="14" t="n">
        <v>0.105</v>
      </c>
      <c r="BW542" s="14" t="n">
        <v>0.21</v>
      </c>
      <c r="BX542" s="14" t="n">
        <v>0.5</v>
      </c>
      <c r="BY542" s="14" t="n">
        <v>13.254</v>
      </c>
      <c r="BZ542" s="14" t="n">
        <v>0</v>
      </c>
      <c r="CA542" s="14" t="n">
        <v>13.254</v>
      </c>
      <c r="CB542" s="14" t="n">
        <v>0</v>
      </c>
      <c r="CC542" s="14" t="n">
        <v>83.248</v>
      </c>
      <c r="CD542" s="14" t="n">
        <v>7.95</v>
      </c>
      <c r="CE542" s="14" t="n">
        <v>123.229</v>
      </c>
      <c r="CF542" s="14" t="n">
        <v>249.837</v>
      </c>
      <c r="CG542" s="14" t="n">
        <v>0.21</v>
      </c>
      <c r="CH542" s="14" t="n">
        <v>1</v>
      </c>
      <c r="CI542" s="14" t="n">
        <v>0</v>
      </c>
      <c r="CJ542" s="14" t="n">
        <v>0</v>
      </c>
      <c r="CK542" s="14" t="n">
        <v>0</v>
      </c>
      <c r="CL542" s="14" t="n">
        <v>0</v>
      </c>
      <c r="CM542" s="14" t="n">
        <v>0</v>
      </c>
      <c r="CN542" s="14" t="n">
        <v>0</v>
      </c>
      <c r="CO542" s="14" t="n">
        <v>0</v>
      </c>
      <c r="CP542" s="14" t="n">
        <v>1</v>
      </c>
      <c r="CQ542" s="14" t="n">
        <v>1.348</v>
      </c>
      <c r="CR542" s="14" t="n">
        <v>0</v>
      </c>
      <c r="CS542" s="14" t="n">
        <v>5.37</v>
      </c>
      <c r="CT542" s="14" t="n">
        <v>3.466</v>
      </c>
      <c r="CU542" s="14" t="n">
        <v>11.622</v>
      </c>
    </row>
    <row r="543">
      <c r="A543" s="14" t="inlineStr">
        <is>
          <t>MNE2024</t>
        </is>
      </c>
      <c r="B543" s="14" t="inlineStr">
        <is>
          <t>MNE</t>
        </is>
      </c>
      <c r="C543" s="14" t="inlineStr">
        <is>
          <t>MNE</t>
        </is>
      </c>
      <c r="D543" s="14" t="inlineStr">
        <is>
          <t>Montenegro, Rep. of</t>
        </is>
      </c>
      <c r="E543" s="14" t="n">
        <v>2024</v>
      </c>
      <c r="F543" s="14" t="n">
        <v>0.21</v>
      </c>
      <c r="G543" s="14" t="n">
        <v>2.049</v>
      </c>
      <c r="H543" s="14" t="n">
        <v>0.662</v>
      </c>
      <c r="I543" s="14" t="n">
        <v>2.689</v>
      </c>
      <c r="J543" s="14" t="n">
        <v>4.738</v>
      </c>
      <c r="K543" s="14" t="n">
        <v>0</v>
      </c>
      <c r="L543" s="14" t="n">
        <v>1</v>
      </c>
      <c r="M543" s="14" t="n">
        <v>3.373</v>
      </c>
      <c r="N543" s="14" t="n">
        <v>1.985</v>
      </c>
      <c r="O543" s="14" t="n">
        <v>2.671</v>
      </c>
      <c r="P543" s="14" t="n">
        <v>6.044</v>
      </c>
      <c r="Q543" s="14" t="n">
        <v>0</v>
      </c>
      <c r="R543" s="14" t="n">
        <v>1</v>
      </c>
      <c r="S543" s="14" t="n">
        <v>5.358</v>
      </c>
      <c r="T543" s="14" t="n">
        <v>3.971</v>
      </c>
      <c r="U543" s="14" t="n">
        <v>0.153</v>
      </c>
      <c r="V543" s="14" t="n">
        <v>6.483</v>
      </c>
      <c r="W543" s="14" t="n">
        <v>0.21</v>
      </c>
      <c r="X543" s="14" t="n">
        <v>1</v>
      </c>
      <c r="Y543" s="14" t="n">
        <v>11.492</v>
      </c>
      <c r="Z543" s="14" t="n">
        <v>1.324</v>
      </c>
      <c r="AA543" s="14" t="n">
        <v>1.95</v>
      </c>
      <c r="AB543" s="14" t="n">
        <v>13.442</v>
      </c>
      <c r="AC543" s="14" t="n">
        <v>0</v>
      </c>
      <c r="AD543" s="14" t="n">
        <v>1</v>
      </c>
      <c r="AE543" s="14" t="n">
        <v>12.815</v>
      </c>
      <c r="AF543" s="14" t="n">
        <v>2.647</v>
      </c>
      <c r="AG543" s="14" t="n">
        <v>1.95</v>
      </c>
      <c r="AH543" s="14" t="n">
        <v>14.766</v>
      </c>
      <c r="AI543" s="14" t="n">
        <v>0</v>
      </c>
      <c r="AJ543" s="14" t="n">
        <v>1</v>
      </c>
      <c r="AK543" s="14" t="n">
        <v>20.757</v>
      </c>
      <c r="AL543" s="14" t="n">
        <v>10.589</v>
      </c>
      <c r="AM543" s="14" t="n">
        <v>0.594</v>
      </c>
      <c r="AN543" s="14" t="n">
        <v>25.116</v>
      </c>
      <c r="AO543" s="14" t="n">
        <v>0.21</v>
      </c>
      <c r="AP543" s="14" t="n">
        <v>1</v>
      </c>
      <c r="AQ543" s="14" t="n">
        <v>0.724</v>
      </c>
      <c r="AR543" s="14" t="n">
        <v>0.132</v>
      </c>
      <c r="AS543" s="14" t="n">
        <v>0.625</v>
      </c>
      <c r="AT543" s="14" t="n">
        <v>1.632</v>
      </c>
      <c r="AU543" s="14" t="n">
        <v>0.21</v>
      </c>
      <c r="AV543" s="14" t="n">
        <v>1</v>
      </c>
      <c r="AW543" s="14" t="n">
        <v>0.75</v>
      </c>
      <c r="AX543" s="14" t="n">
        <v>0.132</v>
      </c>
      <c r="AY543" s="14" t="n">
        <v>0.511</v>
      </c>
      <c r="AZ543" s="14" t="n">
        <v>1.526</v>
      </c>
      <c r="BA543" s="14" t="n">
        <v>0.21</v>
      </c>
      <c r="BB543" s="14" t="n">
        <v>1</v>
      </c>
      <c r="BC543" s="14" t="n">
        <v>0.513</v>
      </c>
      <c r="BD543" s="14" t="n">
        <v>0.132</v>
      </c>
      <c r="BE543" s="14" t="n">
        <v>0.239</v>
      </c>
      <c r="BF543" s="14" t="n">
        <v>0.884</v>
      </c>
      <c r="BG543" s="14" t="n">
        <v>0.21</v>
      </c>
      <c r="BH543" s="14" t="n">
        <v>1</v>
      </c>
      <c r="BI543" s="14" t="n">
        <v>0.591</v>
      </c>
      <c r="BJ543" s="14" t="n">
        <v>0.132</v>
      </c>
      <c r="BK543" s="14" t="n">
        <v>0.017</v>
      </c>
      <c r="BL543" s="14" t="n">
        <v>0.716</v>
      </c>
      <c r="BM543" s="14" t="n">
        <v>0.21</v>
      </c>
      <c r="BN543" s="14" t="n">
        <v>1</v>
      </c>
      <c r="BO543" s="14" t="n">
        <v>0</v>
      </c>
      <c r="BP543" s="14" t="n">
        <v>0.005</v>
      </c>
      <c r="BQ543" s="14" t="n">
        <v>0.055</v>
      </c>
      <c r="BR543" s="14" t="n">
        <v>0</v>
      </c>
      <c r="BS543" s="14" t="n">
        <v>1</v>
      </c>
      <c r="BT543" s="14" t="n">
        <v>0</v>
      </c>
      <c r="BU543" s="14" t="n">
        <v>-0.008999999999999999</v>
      </c>
      <c r="BV543" s="14" t="n">
        <v>0.107</v>
      </c>
      <c r="BW543" s="14" t="n">
        <v>0.21</v>
      </c>
      <c r="BX543" s="14" t="n">
        <v>0.5</v>
      </c>
      <c r="BY543" s="14" t="n">
        <v>13.646</v>
      </c>
      <c r="BZ543" s="14" t="n">
        <v>0</v>
      </c>
      <c r="CA543" s="14" t="n">
        <v>13.646</v>
      </c>
      <c r="CB543" s="14" t="n">
        <v>0</v>
      </c>
      <c r="CC543" s="14" t="n">
        <v>82.58799999999999</v>
      </c>
      <c r="CD543" s="14" t="n">
        <v>7.95</v>
      </c>
      <c r="CE543" s="14" t="n">
        <v>112.451</v>
      </c>
      <c r="CF543" s="14" t="n">
        <v>235.997</v>
      </c>
      <c r="CG543" s="14" t="n">
        <v>0.21</v>
      </c>
      <c r="CH543" s="14" t="n">
        <v>1</v>
      </c>
      <c r="CI543" s="14" t="n">
        <v>0</v>
      </c>
      <c r="CJ543" s="14" t="n">
        <v>0</v>
      </c>
      <c r="CK543" s="14" t="n">
        <v>0</v>
      </c>
      <c r="CL543" s="14" t="n">
        <v>0</v>
      </c>
      <c r="CM543" s="14" t="n">
        <v>0</v>
      </c>
      <c r="CN543" s="14" t="n">
        <v>0</v>
      </c>
      <c r="CO543" s="14" t="n">
        <v>0</v>
      </c>
      <c r="CP543" s="14" t="n">
        <v>1</v>
      </c>
      <c r="CQ543" s="14" t="n">
        <v>1.387</v>
      </c>
      <c r="CR543" s="14" t="n">
        <v>0</v>
      </c>
      <c r="CS543" s="14" t="n">
        <v>5.529</v>
      </c>
      <c r="CT543" s="14" t="n">
        <v>3.027</v>
      </c>
      <c r="CU543" s="14" t="n">
        <v>10.168</v>
      </c>
    </row>
    <row r="544">
      <c r="A544" s="14" t="inlineStr">
        <is>
          <t>MSR2021</t>
        </is>
      </c>
      <c r="B544" s="14" t="inlineStr">
        <is>
          <t>MSR</t>
        </is>
      </c>
      <c r="C544" s="14" t="inlineStr">
        <is>
          <t>MSR</t>
        </is>
      </c>
      <c r="D544" s="14" t="inlineStr">
        <is>
          <t>Montserrat</t>
        </is>
      </c>
      <c r="E544" s="14" t="n">
        <v>2021</v>
      </c>
      <c r="F544" s="14" t="n">
        <v>0</v>
      </c>
      <c r="G544" s="14" t="n">
        <v>5.897</v>
      </c>
      <c r="H544" s="14" t="n">
        <v>1.143</v>
      </c>
      <c r="I544" s="14" t="n">
        <v>0</v>
      </c>
      <c r="J544" s="14" t="n">
        <v>5.897</v>
      </c>
      <c r="K544" s="14" t="n">
        <v>0</v>
      </c>
      <c r="L544" s="14" t="n">
        <v>1</v>
      </c>
      <c r="M544" s="14" t="n">
        <v>7.964</v>
      </c>
      <c r="N544" s="14" t="n">
        <v>3.43</v>
      </c>
      <c r="O544" s="14" t="n">
        <v>0</v>
      </c>
      <c r="P544" s="14" t="n">
        <v>7.964</v>
      </c>
      <c r="Q544" s="14" t="n">
        <v>0</v>
      </c>
      <c r="R544" s="14" t="n">
        <v>1</v>
      </c>
      <c r="S544" s="14" t="n">
        <v>11.613</v>
      </c>
      <c r="T544" s="14" t="n">
        <v>6.86</v>
      </c>
      <c r="U544" s="14" t="n">
        <v>0</v>
      </c>
      <c r="V544" s="14" t="n">
        <v>11.613</v>
      </c>
      <c r="W544" s="14" t="n">
        <v>0</v>
      </c>
      <c r="X544" s="14" t="n">
        <v>1</v>
      </c>
      <c r="Y544" s="14" t="n">
        <v>5.849</v>
      </c>
      <c r="Z544" s="14" t="n">
        <v>0.787</v>
      </c>
      <c r="AA544" s="14" t="n">
        <v>0</v>
      </c>
      <c r="AB544" s="14" t="n">
        <v>5.849</v>
      </c>
      <c r="AC544" s="14" t="n">
        <v>0</v>
      </c>
      <c r="AD544" s="14" t="n">
        <v>1</v>
      </c>
      <c r="AE544" s="14" t="n">
        <v>6.992</v>
      </c>
      <c r="AF544" s="14" t="n">
        <v>1.637</v>
      </c>
      <c r="AG544" s="14" t="n">
        <v>0</v>
      </c>
      <c r="AH544" s="14" t="n">
        <v>6.992</v>
      </c>
      <c r="AI544" s="14" t="n">
        <v>0</v>
      </c>
      <c r="AJ544" s="14" t="n">
        <v>1</v>
      </c>
      <c r="AK544" s="14" t="n">
        <v>13.852</v>
      </c>
      <c r="AL544" s="14" t="n">
        <v>7.443</v>
      </c>
      <c r="AM544" s="14" t="n">
        <v>0</v>
      </c>
      <c r="AN544" s="14" t="n">
        <v>13.852</v>
      </c>
      <c r="AO544" s="14" t="n">
        <v>0</v>
      </c>
      <c r="AP544" s="14" t="n">
        <v>1</v>
      </c>
      <c r="AQ544" s="14" t="n">
        <v>0.649</v>
      </c>
      <c r="AR544" s="14" t="n">
        <v>0.114</v>
      </c>
      <c r="AS544" s="14" t="n">
        <v>0.896</v>
      </c>
      <c r="AT544" s="14" t="n">
        <v>1.545</v>
      </c>
      <c r="AU544" s="14" t="n">
        <v>0</v>
      </c>
      <c r="AV544" s="14" t="n">
        <v>1</v>
      </c>
      <c r="AW544" s="14" t="n">
        <v>0.577</v>
      </c>
      <c r="AX544" s="14" t="n">
        <v>0.114</v>
      </c>
      <c r="AY544" s="14" t="n">
        <v>0.6870000000000001</v>
      </c>
      <c r="AZ544" s="14" t="n">
        <v>1.264</v>
      </c>
      <c r="BA544" s="14" t="n">
        <v>0</v>
      </c>
      <c r="BB544" s="14" t="n">
        <v>1</v>
      </c>
      <c r="BC544" s="14" t="n">
        <v>0.458</v>
      </c>
      <c r="BD544" s="14" t="n">
        <v>0.114</v>
      </c>
      <c r="BE544" s="14" t="n">
        <v>0.504</v>
      </c>
      <c r="BF544" s="14" t="n">
        <v>0.962</v>
      </c>
      <c r="BG544" s="14" t="n">
        <v>0</v>
      </c>
      <c r="BH544" s="14" t="n">
        <v>1</v>
      </c>
      <c r="BI544" s="14" t="n">
        <v>0.491</v>
      </c>
      <c r="BJ544" s="14" t="n">
        <v>0.114</v>
      </c>
      <c r="BK544" s="14" t="n">
        <v>0</v>
      </c>
      <c r="BL544" s="14" t="n">
        <v>0.491</v>
      </c>
      <c r="BM544" s="14" t="n">
        <v>0</v>
      </c>
      <c r="BN544" s="14" t="n">
        <v>1</v>
      </c>
      <c r="BO544" s="14" t="n">
        <v>0</v>
      </c>
      <c r="BP544" s="14" t="n">
        <v>0</v>
      </c>
      <c r="BQ544" s="14" t="n">
        <v>0</v>
      </c>
      <c r="BR544" s="14" t="n">
        <v>0</v>
      </c>
      <c r="BS544" s="14" t="n">
        <v>1</v>
      </c>
      <c r="BT544" s="14" t="n">
        <v>0</v>
      </c>
      <c r="BU544" s="14" t="n">
        <v>0</v>
      </c>
      <c r="BV544" s="14" t="n">
        <v>0</v>
      </c>
      <c r="BW544" s="14" t="n">
        <v>0</v>
      </c>
      <c r="BX544" s="14" t="n">
        <v>1</v>
      </c>
      <c r="BY544" s="14" t="n">
        <v>11.787</v>
      </c>
      <c r="BZ544" s="14" t="n">
        <v>0</v>
      </c>
      <c r="CA544" s="14" t="n">
        <v>11.787</v>
      </c>
      <c r="CB544" s="14" t="n">
        <v>0</v>
      </c>
      <c r="CC544" s="14" t="n">
        <v>78.125</v>
      </c>
      <c r="CD544" s="14" t="n">
        <v>7.95</v>
      </c>
      <c r="CE544" s="14" t="n">
        <v>0</v>
      </c>
      <c r="CF544" s="14" t="n">
        <v>78.125</v>
      </c>
      <c r="CG544" s="14" t="n">
        <v>0</v>
      </c>
      <c r="CH544" s="14" t="n">
        <v>1</v>
      </c>
      <c r="CI544" s="14" t="n">
        <v>0</v>
      </c>
      <c r="CJ544" s="14" t="n">
        <v>0</v>
      </c>
      <c r="CK544" s="14" t="n">
        <v>0</v>
      </c>
      <c r="CL544" s="14" t="n">
        <v>0</v>
      </c>
      <c r="CM544" s="14" t="n">
        <v>0</v>
      </c>
      <c r="CN544" s="14" t="n">
        <v>0</v>
      </c>
      <c r="CO544" s="14" t="n">
        <v>0</v>
      </c>
      <c r="CP544" s="14" t="n">
        <v>0</v>
      </c>
      <c r="CQ544" s="14" t="n">
        <v>1.198</v>
      </c>
      <c r="CR544" s="14" t="n">
        <v>0</v>
      </c>
      <c r="CS544" s="14" t="n">
        <v>4.776</v>
      </c>
      <c r="CT544" s="14" t="n">
        <v>4.753</v>
      </c>
      <c r="CU544" s="14" t="n">
        <v>15.983</v>
      </c>
    </row>
    <row r="545">
      <c r="A545" s="14" t="inlineStr">
        <is>
          <t>MSR2022</t>
        </is>
      </c>
      <c r="B545" s="14" t="inlineStr">
        <is>
          <t>MSR</t>
        </is>
      </c>
      <c r="C545" s="14" t="inlineStr">
        <is>
          <t>MSR</t>
        </is>
      </c>
      <c r="D545" s="14" t="inlineStr">
        <is>
          <t>Montserrat</t>
        </is>
      </c>
      <c r="E545" s="14" t="n">
        <v>2022</v>
      </c>
      <c r="F545" s="14" t="n">
        <v>0</v>
      </c>
      <c r="G545" s="14" t="n">
        <v>11.72</v>
      </c>
      <c r="H545" s="14" t="n">
        <v>1.235</v>
      </c>
      <c r="I545" s="14" t="n">
        <v>0</v>
      </c>
      <c r="J545" s="14" t="n">
        <v>11.72</v>
      </c>
      <c r="K545" s="14" t="n">
        <v>0</v>
      </c>
      <c r="L545" s="14" t="n">
        <v>1</v>
      </c>
      <c r="M545" s="14" t="n">
        <v>9.782999999999999</v>
      </c>
      <c r="N545" s="14" t="n">
        <v>3.704</v>
      </c>
      <c r="O545" s="14" t="n">
        <v>0</v>
      </c>
      <c r="P545" s="14" t="n">
        <v>9.782999999999999</v>
      </c>
      <c r="Q545" s="14" t="n">
        <v>0</v>
      </c>
      <c r="R545" s="14" t="n">
        <v>1</v>
      </c>
      <c r="S545" s="14" t="n">
        <v>17.893</v>
      </c>
      <c r="T545" s="14" t="n">
        <v>7.408</v>
      </c>
      <c r="U545" s="14" t="n">
        <v>0</v>
      </c>
      <c r="V545" s="14" t="n">
        <v>17.893</v>
      </c>
      <c r="W545" s="14" t="n">
        <v>0</v>
      </c>
      <c r="X545" s="14" t="n">
        <v>1</v>
      </c>
      <c r="Y545" s="14" t="n">
        <v>6.316</v>
      </c>
      <c r="Z545" s="14" t="n">
        <v>0.85</v>
      </c>
      <c r="AA545" s="14" t="n">
        <v>0</v>
      </c>
      <c r="AB545" s="14" t="n">
        <v>6.316</v>
      </c>
      <c r="AC545" s="14" t="n">
        <v>0</v>
      </c>
      <c r="AD545" s="14" t="n">
        <v>1</v>
      </c>
      <c r="AE545" s="14" t="n">
        <v>7.551</v>
      </c>
      <c r="AF545" s="14" t="n">
        <v>1.768</v>
      </c>
      <c r="AG545" s="14" t="n">
        <v>0</v>
      </c>
      <c r="AH545" s="14" t="n">
        <v>7.551</v>
      </c>
      <c r="AI545" s="14" t="n">
        <v>0</v>
      </c>
      <c r="AJ545" s="14" t="n">
        <v>1</v>
      </c>
      <c r="AK545" s="14" t="n">
        <v>14.959</v>
      </c>
      <c r="AL545" s="14" t="n">
        <v>8.038</v>
      </c>
      <c r="AM545" s="14" t="n">
        <v>0</v>
      </c>
      <c r="AN545" s="14" t="n">
        <v>14.959</v>
      </c>
      <c r="AO545" s="14" t="n">
        <v>0</v>
      </c>
      <c r="AP545" s="14" t="n">
        <v>1</v>
      </c>
      <c r="AQ545" s="14" t="n">
        <v>0.896</v>
      </c>
      <c r="AR545" s="14" t="n">
        <v>0.123</v>
      </c>
      <c r="AS545" s="14" t="n">
        <v>0.968</v>
      </c>
      <c r="AT545" s="14" t="n">
        <v>1.864</v>
      </c>
      <c r="AU545" s="14" t="n">
        <v>0</v>
      </c>
      <c r="AV545" s="14" t="n">
        <v>1</v>
      </c>
      <c r="AW545" s="14" t="n">
        <v>0.89</v>
      </c>
      <c r="AX545" s="14" t="n">
        <v>0.123</v>
      </c>
      <c r="AY545" s="14" t="n">
        <v>0.742</v>
      </c>
      <c r="AZ545" s="14" t="n">
        <v>1.632</v>
      </c>
      <c r="BA545" s="14" t="n">
        <v>0</v>
      </c>
      <c r="BB545" s="14" t="n">
        <v>1</v>
      </c>
      <c r="BC545" s="14" t="n">
        <v>0.62</v>
      </c>
      <c r="BD545" s="14" t="n">
        <v>0.123</v>
      </c>
      <c r="BE545" s="14" t="n">
        <v>0.514</v>
      </c>
      <c r="BF545" s="14" t="n">
        <v>1.134</v>
      </c>
      <c r="BG545" s="14" t="n">
        <v>0</v>
      </c>
      <c r="BH545" s="14" t="n">
        <v>1</v>
      </c>
      <c r="BI545" s="14" t="n">
        <v>0.608</v>
      </c>
      <c r="BJ545" s="14" t="n">
        <v>0.123</v>
      </c>
      <c r="BK545" s="14" t="n">
        <v>0</v>
      </c>
      <c r="BL545" s="14" t="n">
        <v>0.608</v>
      </c>
      <c r="BM545" s="14" t="n">
        <v>0</v>
      </c>
      <c r="BN545" s="14" t="n">
        <v>1</v>
      </c>
      <c r="BO545" s="14" t="n">
        <v>0</v>
      </c>
      <c r="BP545" s="14" t="n">
        <v>0</v>
      </c>
      <c r="BQ545" s="14" t="n">
        <v>0</v>
      </c>
      <c r="BR545" s="14" t="n">
        <v>0</v>
      </c>
      <c r="BS545" s="14" t="n">
        <v>1</v>
      </c>
      <c r="BT545" s="14" t="n">
        <v>0</v>
      </c>
      <c r="BU545" s="14" t="n">
        <v>0</v>
      </c>
      <c r="BV545" s="14" t="n">
        <v>0</v>
      </c>
      <c r="BW545" s="14" t="n">
        <v>0</v>
      </c>
      <c r="BX545" s="14" t="n">
        <v>1</v>
      </c>
      <c r="BY545" s="14" t="n">
        <v>12.729</v>
      </c>
      <c r="BZ545" s="14" t="n">
        <v>0</v>
      </c>
      <c r="CA545" s="14" t="n">
        <v>12.729</v>
      </c>
      <c r="CB545" s="14" t="n">
        <v>0</v>
      </c>
      <c r="CC545" s="14" t="n">
        <v>97.90000000000001</v>
      </c>
      <c r="CD545" s="14" t="n">
        <v>7.95</v>
      </c>
      <c r="CE545" s="14" t="n">
        <v>0</v>
      </c>
      <c r="CF545" s="14" t="n">
        <v>97.90000000000001</v>
      </c>
      <c r="CG545" s="14" t="n">
        <v>0</v>
      </c>
      <c r="CH545" s="14" t="n">
        <v>1</v>
      </c>
      <c r="CI545" s="14" t="n">
        <v>0</v>
      </c>
      <c r="CJ545" s="14" t="n">
        <v>0</v>
      </c>
      <c r="CK545" s="14" t="n">
        <v>0</v>
      </c>
      <c r="CL545" s="14" t="n">
        <v>0</v>
      </c>
      <c r="CM545" s="14" t="n">
        <v>0</v>
      </c>
      <c r="CN545" s="14" t="n">
        <v>0</v>
      </c>
      <c r="CO545" s="14" t="n">
        <v>0</v>
      </c>
      <c r="CP545" s="14" t="n">
        <v>0</v>
      </c>
      <c r="CQ545" s="14" t="n">
        <v>1.294</v>
      </c>
      <c r="CR545" s="14" t="n">
        <v>0</v>
      </c>
      <c r="CS545" s="14" t="n">
        <v>5.158</v>
      </c>
      <c r="CT545" s="14" t="n">
        <v>10.485</v>
      </c>
      <c r="CU545" s="14" t="n">
        <v>29.494</v>
      </c>
    </row>
    <row r="546">
      <c r="A546" s="14" t="inlineStr">
        <is>
          <t>MSR2023</t>
        </is>
      </c>
      <c r="B546" s="14" t="inlineStr">
        <is>
          <t>MSR</t>
        </is>
      </c>
      <c r="C546" s="14" t="inlineStr">
        <is>
          <t>MSR</t>
        </is>
      </c>
      <c r="D546" s="14" t="inlineStr">
        <is>
          <t>Montserrat</t>
        </is>
      </c>
      <c r="E546" s="14" t="n">
        <v>2023</v>
      </c>
      <c r="F546" s="14" t="n">
        <v>0</v>
      </c>
      <c r="G546" s="14" t="n">
        <v>6.147</v>
      </c>
      <c r="H546" s="14" t="n">
        <v>1.286</v>
      </c>
      <c r="I546" s="14" t="n">
        <v>0</v>
      </c>
      <c r="J546" s="14" t="n">
        <v>6.147</v>
      </c>
      <c r="K546" s="14" t="n">
        <v>0</v>
      </c>
      <c r="L546" s="14" t="n">
        <v>1</v>
      </c>
      <c r="M546" s="14" t="n">
        <v>7.886</v>
      </c>
      <c r="N546" s="14" t="n">
        <v>3.857</v>
      </c>
      <c r="O546" s="14" t="n">
        <v>0</v>
      </c>
      <c r="P546" s="14" t="n">
        <v>7.886</v>
      </c>
      <c r="Q546" s="14" t="n">
        <v>0</v>
      </c>
      <c r="R546" s="14" t="n">
        <v>1</v>
      </c>
      <c r="S546" s="14" t="n">
        <v>12.575</v>
      </c>
      <c r="T546" s="14" t="n">
        <v>7.714</v>
      </c>
      <c r="U546" s="14" t="n">
        <v>0</v>
      </c>
      <c r="V546" s="14" t="n">
        <v>12.575</v>
      </c>
      <c r="W546" s="14" t="n">
        <v>0</v>
      </c>
      <c r="X546" s="14" t="n">
        <v>1</v>
      </c>
      <c r="Y546" s="14" t="n">
        <v>6.577</v>
      </c>
      <c r="Z546" s="14" t="n">
        <v>0.885</v>
      </c>
      <c r="AA546" s="14" t="n">
        <v>0</v>
      </c>
      <c r="AB546" s="14" t="n">
        <v>6.577</v>
      </c>
      <c r="AC546" s="14" t="n">
        <v>0</v>
      </c>
      <c r="AD546" s="14" t="n">
        <v>1</v>
      </c>
      <c r="AE546" s="14" t="n">
        <v>7.862</v>
      </c>
      <c r="AF546" s="14" t="n">
        <v>1.841</v>
      </c>
      <c r="AG546" s="14" t="n">
        <v>0</v>
      </c>
      <c r="AH546" s="14" t="n">
        <v>7.862</v>
      </c>
      <c r="AI546" s="14" t="n">
        <v>0</v>
      </c>
      <c r="AJ546" s="14" t="n">
        <v>1</v>
      </c>
      <c r="AK546" s="14" t="n">
        <v>15.576</v>
      </c>
      <c r="AL546" s="14" t="n">
        <v>8.369999999999999</v>
      </c>
      <c r="AM546" s="14" t="n">
        <v>0</v>
      </c>
      <c r="AN546" s="14" t="n">
        <v>15.576</v>
      </c>
      <c r="AO546" s="14" t="n">
        <v>0</v>
      </c>
      <c r="AP546" s="14" t="n">
        <v>1</v>
      </c>
      <c r="AQ546" s="14" t="n">
        <v>0.791</v>
      </c>
      <c r="AR546" s="14" t="n">
        <v>0.129</v>
      </c>
      <c r="AS546" s="14" t="n">
        <v>1.007</v>
      </c>
      <c r="AT546" s="14" t="n">
        <v>1.798</v>
      </c>
      <c r="AU546" s="14" t="n">
        <v>0</v>
      </c>
      <c r="AV546" s="14" t="n">
        <v>1</v>
      </c>
      <c r="AW546" s="14" t="n">
        <v>0.618</v>
      </c>
      <c r="AX546" s="14" t="n">
        <v>0.129</v>
      </c>
      <c r="AY546" s="14" t="n">
        <v>0.773</v>
      </c>
      <c r="AZ546" s="14" t="n">
        <v>1.391</v>
      </c>
      <c r="BA546" s="14" t="n">
        <v>0</v>
      </c>
      <c r="BB546" s="14" t="n">
        <v>1</v>
      </c>
      <c r="BC546" s="14" t="n">
        <v>0.554</v>
      </c>
      <c r="BD546" s="14" t="n">
        <v>0.129</v>
      </c>
      <c r="BE546" s="14" t="n">
        <v>0.5570000000000001</v>
      </c>
      <c r="BF546" s="14" t="n">
        <v>1.112</v>
      </c>
      <c r="BG546" s="14" t="n">
        <v>0</v>
      </c>
      <c r="BH546" s="14" t="n">
        <v>1</v>
      </c>
      <c r="BI546" s="14" t="n">
        <v>0.5570000000000001</v>
      </c>
      <c r="BJ546" s="14" t="n">
        <v>0.129</v>
      </c>
      <c r="BK546" s="14" t="n">
        <v>0</v>
      </c>
      <c r="BL546" s="14" t="n">
        <v>0.5570000000000001</v>
      </c>
      <c r="BM546" s="14" t="n">
        <v>0</v>
      </c>
      <c r="BN546" s="14" t="n">
        <v>1</v>
      </c>
      <c r="BO546" s="14" t="n">
        <v>0</v>
      </c>
      <c r="BP546" s="14" t="n">
        <v>0</v>
      </c>
      <c r="BQ546" s="14" t="n">
        <v>0</v>
      </c>
      <c r="BR546" s="14" t="n">
        <v>0</v>
      </c>
      <c r="BS546" s="14" t="n">
        <v>1</v>
      </c>
      <c r="BT546" s="14" t="n">
        <v>0</v>
      </c>
      <c r="BU546" s="14" t="n">
        <v>0</v>
      </c>
      <c r="BV546" s="14" t="n">
        <v>0</v>
      </c>
      <c r="BW546" s="14" t="n">
        <v>0</v>
      </c>
      <c r="BX546" s="14" t="n">
        <v>1</v>
      </c>
      <c r="BY546" s="14" t="n">
        <v>13.254</v>
      </c>
      <c r="BZ546" s="14" t="n">
        <v>0</v>
      </c>
      <c r="CA546" s="14" t="n">
        <v>13.254</v>
      </c>
      <c r="CB546" s="14" t="n">
        <v>0</v>
      </c>
      <c r="CC546" s="14" t="n">
        <v>83.248</v>
      </c>
      <c r="CD546" s="14" t="n">
        <v>7.95</v>
      </c>
      <c r="CE546" s="14" t="n">
        <v>0</v>
      </c>
      <c r="CF546" s="14" t="n">
        <v>83.248</v>
      </c>
      <c r="CG546" s="14" t="n">
        <v>0</v>
      </c>
      <c r="CH546" s="14" t="n">
        <v>1</v>
      </c>
      <c r="CI546" s="14" t="n">
        <v>0</v>
      </c>
      <c r="CJ546" s="14" t="n">
        <v>0</v>
      </c>
      <c r="CK546" s="14" t="n">
        <v>0</v>
      </c>
      <c r="CL546" s="14" t="n">
        <v>0</v>
      </c>
      <c r="CM546" s="14" t="n">
        <v>0</v>
      </c>
      <c r="CN546" s="14" t="n">
        <v>0</v>
      </c>
      <c r="CO546" s="14" t="n">
        <v>0</v>
      </c>
      <c r="CP546" s="14" t="n">
        <v>0</v>
      </c>
      <c r="CQ546" s="14" t="n">
        <v>1.348</v>
      </c>
      <c r="CR546" s="14" t="n">
        <v>0</v>
      </c>
      <c r="CS546" s="14" t="n">
        <v>5.37</v>
      </c>
      <c r="CT546" s="14" t="n">
        <v>4.861</v>
      </c>
      <c r="CU546" s="14" t="n">
        <v>11.192</v>
      </c>
    </row>
    <row r="547">
      <c r="A547" s="14" t="inlineStr">
        <is>
          <t>MSR2024</t>
        </is>
      </c>
      <c r="B547" s="14" t="inlineStr">
        <is>
          <t>MSR</t>
        </is>
      </c>
      <c r="C547" s="14" t="inlineStr">
        <is>
          <t>MSR</t>
        </is>
      </c>
      <c r="D547" s="14" t="inlineStr">
        <is>
          <t>Montserrat</t>
        </is>
      </c>
      <c r="E547" s="14" t="n">
        <v>2024</v>
      </c>
      <c r="F547" s="14" t="n">
        <v>0</v>
      </c>
      <c r="G547" s="14" t="n">
        <v>5.575</v>
      </c>
      <c r="H547" s="14" t="n">
        <v>1.324</v>
      </c>
      <c r="I547" s="14" t="n">
        <v>0</v>
      </c>
      <c r="J547" s="14" t="n">
        <v>5.575</v>
      </c>
      <c r="K547" s="14" t="n">
        <v>0</v>
      </c>
      <c r="L547" s="14" t="n">
        <v>1</v>
      </c>
      <c r="M547" s="14" t="n">
        <v>7.124</v>
      </c>
      <c r="N547" s="14" t="n">
        <v>3.971</v>
      </c>
      <c r="O547" s="14" t="n">
        <v>0</v>
      </c>
      <c r="P547" s="14" t="n">
        <v>7.124</v>
      </c>
      <c r="Q547" s="14" t="n">
        <v>0</v>
      </c>
      <c r="R547" s="14" t="n">
        <v>1</v>
      </c>
      <c r="S547" s="14" t="n">
        <v>12.193</v>
      </c>
      <c r="T547" s="14" t="n">
        <v>7.942</v>
      </c>
      <c r="U547" s="14" t="n">
        <v>0</v>
      </c>
      <c r="V547" s="14" t="n">
        <v>12.193</v>
      </c>
      <c r="W547" s="14" t="n">
        <v>0</v>
      </c>
      <c r="X547" s="14" t="n">
        <v>1</v>
      </c>
      <c r="Y547" s="14" t="n">
        <v>6.771</v>
      </c>
      <c r="Z547" s="14" t="n">
        <v>0.911</v>
      </c>
      <c r="AA547" s="14" t="n">
        <v>0</v>
      </c>
      <c r="AB547" s="14" t="n">
        <v>6.771</v>
      </c>
      <c r="AC547" s="14" t="n">
        <v>0</v>
      </c>
      <c r="AD547" s="14" t="n">
        <v>1</v>
      </c>
      <c r="AE547" s="14" t="n">
        <v>8.095000000000001</v>
      </c>
      <c r="AF547" s="14" t="n">
        <v>1.896</v>
      </c>
      <c r="AG547" s="14" t="n">
        <v>0</v>
      </c>
      <c r="AH547" s="14" t="n">
        <v>8.095000000000001</v>
      </c>
      <c r="AI547" s="14" t="n">
        <v>0</v>
      </c>
      <c r="AJ547" s="14" t="n">
        <v>1</v>
      </c>
      <c r="AK547" s="14" t="n">
        <v>16.036</v>
      </c>
      <c r="AL547" s="14" t="n">
        <v>8.617000000000001</v>
      </c>
      <c r="AM547" s="14" t="n">
        <v>0</v>
      </c>
      <c r="AN547" s="14" t="n">
        <v>16.036</v>
      </c>
      <c r="AO547" s="14" t="n">
        <v>0</v>
      </c>
      <c r="AP547" s="14" t="n">
        <v>1</v>
      </c>
      <c r="AQ547" s="14" t="n">
        <v>0.756</v>
      </c>
      <c r="AR547" s="14" t="n">
        <v>0.132</v>
      </c>
      <c r="AS547" s="14" t="n">
        <v>1.037</v>
      </c>
      <c r="AT547" s="14" t="n">
        <v>1.793</v>
      </c>
      <c r="AU547" s="14" t="n">
        <v>0</v>
      </c>
      <c r="AV547" s="14" t="n">
        <v>1</v>
      </c>
      <c r="AW547" s="14" t="n">
        <v>0.655</v>
      </c>
      <c r="AX547" s="14" t="n">
        <v>0.132</v>
      </c>
      <c r="AY547" s="14" t="n">
        <v>0.796</v>
      </c>
      <c r="AZ547" s="14" t="n">
        <v>1.451</v>
      </c>
      <c r="BA547" s="14" t="n">
        <v>0</v>
      </c>
      <c r="BB547" s="14" t="n">
        <v>1</v>
      </c>
      <c r="BC547" s="14" t="n">
        <v>0.534</v>
      </c>
      <c r="BD547" s="14" t="n">
        <v>0.132</v>
      </c>
      <c r="BE547" s="14" t="n">
        <v>0.583</v>
      </c>
      <c r="BF547" s="14" t="n">
        <v>1.116</v>
      </c>
      <c r="BG547" s="14" t="n">
        <v>0</v>
      </c>
      <c r="BH547" s="14" t="n">
        <v>1</v>
      </c>
      <c r="BI547" s="14" t="n">
        <v>0.5679999999999999</v>
      </c>
      <c r="BJ547" s="14" t="n">
        <v>0.132</v>
      </c>
      <c r="BK547" s="14" t="n">
        <v>0</v>
      </c>
      <c r="BL547" s="14" t="n">
        <v>0.5679999999999999</v>
      </c>
      <c r="BM547" s="14" t="n">
        <v>0</v>
      </c>
      <c r="BN547" s="14" t="n">
        <v>1</v>
      </c>
      <c r="BO547" s="14" t="n">
        <v>0</v>
      </c>
      <c r="BP547" s="14" t="n">
        <v>0</v>
      </c>
      <c r="BQ547" s="14" t="n">
        <v>0</v>
      </c>
      <c r="BR547" s="14" t="n">
        <v>0</v>
      </c>
      <c r="BS547" s="14" t="n">
        <v>1</v>
      </c>
      <c r="BT547" s="14" t="n">
        <v>0</v>
      </c>
      <c r="BU547" s="14" t="n">
        <v>0</v>
      </c>
      <c r="BV547" s="14" t="n">
        <v>0</v>
      </c>
      <c r="BW547" s="14" t="n">
        <v>0</v>
      </c>
      <c r="BX547" s="14" t="n">
        <v>1</v>
      </c>
      <c r="BY547" s="14" t="n">
        <v>13.646</v>
      </c>
      <c r="BZ547" s="14" t="n">
        <v>0</v>
      </c>
      <c r="CA547" s="14" t="n">
        <v>13.646</v>
      </c>
      <c r="CB547" s="14" t="n">
        <v>0</v>
      </c>
      <c r="CC547" s="14" t="n">
        <v>82.58799999999999</v>
      </c>
      <c r="CD547" s="14" t="n">
        <v>7.95</v>
      </c>
      <c r="CE547" s="14" t="n">
        <v>0</v>
      </c>
      <c r="CF547" s="14" t="n">
        <v>82.58799999999999</v>
      </c>
      <c r="CG547" s="14" t="n">
        <v>0</v>
      </c>
      <c r="CH547" s="14" t="n">
        <v>1</v>
      </c>
      <c r="CI547" s="14" t="n">
        <v>0</v>
      </c>
      <c r="CJ547" s="14" t="n">
        <v>0</v>
      </c>
      <c r="CK547" s="14" t="n">
        <v>0</v>
      </c>
      <c r="CL547" s="14" t="n">
        <v>0</v>
      </c>
      <c r="CM547" s="14" t="n">
        <v>0</v>
      </c>
      <c r="CN547" s="14" t="n">
        <v>0</v>
      </c>
      <c r="CO547" s="14" t="n">
        <v>0</v>
      </c>
      <c r="CP547" s="14" t="n">
        <v>0</v>
      </c>
      <c r="CQ547" s="14" t="n">
        <v>1.387</v>
      </c>
      <c r="CR547" s="14" t="n">
        <v>0</v>
      </c>
      <c r="CS547" s="14" t="n">
        <v>5.529</v>
      </c>
      <c r="CT547" s="14" t="n">
        <v>4.251</v>
      </c>
      <c r="CU547" s="14" t="n">
        <v>10.123</v>
      </c>
    </row>
    <row r="548">
      <c r="A548" s="14" t="inlineStr">
        <is>
          <t>MAR2021</t>
        </is>
      </c>
      <c r="B548" s="14" t="inlineStr">
        <is>
          <t>MAR</t>
        </is>
      </c>
      <c r="C548" s="14" t="inlineStr">
        <is>
          <t>MAR</t>
        </is>
      </c>
      <c r="D548" s="14" t="inlineStr">
        <is>
          <t>Morocco</t>
        </is>
      </c>
      <c r="E548" s="14" t="n">
        <v>2021</v>
      </c>
      <c r="F548" s="14" t="n">
        <v>0.2</v>
      </c>
      <c r="G548" s="14" t="n">
        <v>7.191</v>
      </c>
      <c r="H548" s="14" t="n">
        <v>1.573</v>
      </c>
      <c r="I548" s="14" t="n">
        <v>0.119</v>
      </c>
      <c r="J548" s="14" t="n">
        <v>7.31</v>
      </c>
      <c r="K548" s="14" t="n">
        <v>0</v>
      </c>
      <c r="L548" s="14" t="n">
        <v>1</v>
      </c>
      <c r="M548" s="14" t="n">
        <v>7.447</v>
      </c>
      <c r="N548" s="14" t="n">
        <v>3.375</v>
      </c>
      <c r="O548" s="14" t="n">
        <v>0.339</v>
      </c>
      <c r="P548" s="14" t="n">
        <v>7.787</v>
      </c>
      <c r="Q548" s="14" t="n">
        <v>0</v>
      </c>
      <c r="R548" s="14" t="n">
        <v>1</v>
      </c>
      <c r="S548" s="14" t="n">
        <v>11.613</v>
      </c>
      <c r="T548" s="14" t="n">
        <v>6.86</v>
      </c>
      <c r="U548" s="14" t="n">
        <v>0</v>
      </c>
      <c r="V548" s="14" t="n">
        <v>11.613</v>
      </c>
      <c r="W548" s="14" t="n">
        <v>0</v>
      </c>
      <c r="X548" s="14" t="n">
        <v>1</v>
      </c>
      <c r="Y548" s="14" t="n">
        <v>4.568</v>
      </c>
      <c r="Z548" s="14" t="n">
        <v>0.725</v>
      </c>
      <c r="AA548" s="14" t="n">
        <v>0.311</v>
      </c>
      <c r="AB548" s="14" t="n">
        <v>4.879</v>
      </c>
      <c r="AC548" s="14" t="n">
        <v>0</v>
      </c>
      <c r="AD548" s="14" t="n">
        <v>1</v>
      </c>
      <c r="AE548" s="14" t="n">
        <v>5.642</v>
      </c>
      <c r="AF548" s="14" t="n">
        <v>1.509</v>
      </c>
      <c r="AG548" s="14" t="n">
        <v>0.311</v>
      </c>
      <c r="AH548" s="14" t="n">
        <v>5.952</v>
      </c>
      <c r="AI548" s="14" t="n">
        <v>0</v>
      </c>
      <c r="AJ548" s="14" t="n">
        <v>1</v>
      </c>
      <c r="AK548" s="14" t="n">
        <v>12.08</v>
      </c>
      <c r="AL548" s="14" t="n">
        <v>6.925</v>
      </c>
      <c r="AM548" s="14" t="n">
        <v>0</v>
      </c>
      <c r="AN548" s="14" t="n">
        <v>12.08</v>
      </c>
      <c r="AO548" s="14" t="n">
        <v>0</v>
      </c>
      <c r="AP548" s="14" t="n">
        <v>1</v>
      </c>
      <c r="AQ548" s="14" t="n">
        <v>0.621</v>
      </c>
      <c r="AR548" s="14" t="n">
        <v>0.114</v>
      </c>
      <c r="AS548" s="14" t="n">
        <v>0.504</v>
      </c>
      <c r="AT548" s="14" t="n">
        <v>1.237</v>
      </c>
      <c r="AU548" s="14" t="n">
        <v>0.1</v>
      </c>
      <c r="AV548" s="14" t="n">
        <v>1</v>
      </c>
      <c r="AW548" s="14" t="n">
        <v>0.593</v>
      </c>
      <c r="AX548" s="14" t="n">
        <v>0.114</v>
      </c>
      <c r="AY548" s="14" t="n">
        <v>0.351</v>
      </c>
      <c r="AZ548" s="14" t="n">
        <v>1.038</v>
      </c>
      <c r="BA548" s="14" t="n">
        <v>0.1</v>
      </c>
      <c r="BB548" s="14" t="n">
        <v>1</v>
      </c>
      <c r="BC548" s="14" t="n">
        <v>0.44</v>
      </c>
      <c r="BD548" s="14" t="n">
        <v>0.114</v>
      </c>
      <c r="BE548" s="14" t="n">
        <v>-0.251</v>
      </c>
      <c r="BF548" s="14" t="n">
        <v>0.189</v>
      </c>
      <c r="BG548" s="14" t="n">
        <v>0</v>
      </c>
      <c r="BH548" s="14" t="n">
        <v>0</v>
      </c>
      <c r="BI548" s="14" t="n">
        <v>0.5600000000000001</v>
      </c>
      <c r="BJ548" s="14" t="n">
        <v>0.114</v>
      </c>
      <c r="BK548" s="14" t="n">
        <v>0.035</v>
      </c>
      <c r="BL548" s="14" t="n">
        <v>0.595</v>
      </c>
      <c r="BM548" s="14" t="n">
        <v>0</v>
      </c>
      <c r="BN548" s="14" t="n">
        <v>1</v>
      </c>
      <c r="BO548" s="14" t="n">
        <v>0</v>
      </c>
      <c r="BP548" s="14" t="n">
        <v>0</v>
      </c>
      <c r="BQ548" s="14" t="n">
        <v>0.108</v>
      </c>
      <c r="BR548" s="14" t="n">
        <v>0</v>
      </c>
      <c r="BS548" s="14" t="n">
        <v>0.833</v>
      </c>
      <c r="BT548" s="14" t="n">
        <v>0</v>
      </c>
      <c r="BU548" s="14" t="n">
        <v>0</v>
      </c>
      <c r="BV548" s="14" t="n">
        <v>0.1</v>
      </c>
      <c r="BW548" s="14" t="n">
        <v>0</v>
      </c>
      <c r="BX548" s="14" t="n">
        <v>0.833</v>
      </c>
      <c r="BY548" s="14" t="n">
        <v>11.787</v>
      </c>
      <c r="BZ548" s="14" t="n">
        <v>0</v>
      </c>
      <c r="CA548" s="14" t="n">
        <v>11.787</v>
      </c>
      <c r="CB548" s="14" t="n">
        <v>0</v>
      </c>
      <c r="CC548" s="14" t="n">
        <v>81.69499999999999</v>
      </c>
      <c r="CD548" s="14" t="n">
        <v>7.95</v>
      </c>
      <c r="CE548" s="14" t="n">
        <v>-3.099</v>
      </c>
      <c r="CF548" s="14" t="n">
        <v>78.596</v>
      </c>
      <c r="CG548" s="14" t="n">
        <v>0</v>
      </c>
      <c r="CH548" s="14" t="n">
        <v>1</v>
      </c>
      <c r="CI548" s="14" t="n">
        <v>0</v>
      </c>
      <c r="CJ548" s="14" t="n">
        <v>0</v>
      </c>
      <c r="CK548" s="14" t="n">
        <v>0</v>
      </c>
      <c r="CL548" s="14" t="n">
        <v>0</v>
      </c>
      <c r="CM548" s="14" t="n">
        <v>0</v>
      </c>
      <c r="CN548" s="14" t="n">
        <v>0</v>
      </c>
      <c r="CO548" s="14" t="n">
        <v>0</v>
      </c>
      <c r="CP548" s="14" t="n">
        <v>0</v>
      </c>
      <c r="CQ548" s="14" t="n">
        <v>1.198</v>
      </c>
      <c r="CR548" s="14" t="n">
        <v>0.123</v>
      </c>
      <c r="CS548" s="14" t="n">
        <v>5.407</v>
      </c>
      <c r="CT548" s="14" t="n">
        <v>4.753</v>
      </c>
      <c r="CU548" s="14" t="n">
        <v>14.162</v>
      </c>
    </row>
    <row r="549">
      <c r="A549" s="14" t="inlineStr">
        <is>
          <t>MAR2022</t>
        </is>
      </c>
      <c r="B549" s="14" t="inlineStr">
        <is>
          <t>MAR</t>
        </is>
      </c>
      <c r="C549" s="14" t="inlineStr">
        <is>
          <t>MAR</t>
        </is>
      </c>
      <c r="D549" s="14" t="inlineStr">
        <is>
          <t>Morocco</t>
        </is>
      </c>
      <c r="E549" s="14" t="n">
        <v>2022</v>
      </c>
      <c r="F549" s="14" t="n">
        <v>0.2</v>
      </c>
      <c r="G549" s="14" t="n">
        <v>13.009</v>
      </c>
      <c r="H549" s="14" t="n">
        <v>2.02</v>
      </c>
      <c r="I549" s="14" t="n">
        <v>0.262</v>
      </c>
      <c r="J549" s="14" t="n">
        <v>13.271</v>
      </c>
      <c r="K549" s="14" t="n">
        <v>0</v>
      </c>
      <c r="L549" s="14" t="n">
        <v>1</v>
      </c>
      <c r="M549" s="14" t="n">
        <v>9.262</v>
      </c>
      <c r="N549" s="14" t="n">
        <v>3.825</v>
      </c>
      <c r="O549" s="14" t="n">
        <v>0.365</v>
      </c>
      <c r="P549" s="14" t="n">
        <v>9.627000000000001</v>
      </c>
      <c r="Q549" s="14" t="n">
        <v>0</v>
      </c>
      <c r="R549" s="14" t="n">
        <v>1</v>
      </c>
      <c r="S549" s="14" t="n">
        <v>17.886</v>
      </c>
      <c r="T549" s="14" t="n">
        <v>7.406</v>
      </c>
      <c r="U549" s="14" t="n">
        <v>0</v>
      </c>
      <c r="V549" s="14" t="n">
        <v>17.886</v>
      </c>
      <c r="W549" s="14" t="n">
        <v>0</v>
      </c>
      <c r="X549" s="14" t="n">
        <v>1</v>
      </c>
      <c r="Y549" s="14" t="n">
        <v>6.885</v>
      </c>
      <c r="Z549" s="14" t="n">
        <v>1.092</v>
      </c>
      <c r="AA549" s="14" t="n">
        <v>0.526</v>
      </c>
      <c r="AB549" s="14" t="n">
        <v>7.411</v>
      </c>
      <c r="AC549" s="14" t="n">
        <v>0</v>
      </c>
      <c r="AD549" s="14" t="n">
        <v>1</v>
      </c>
      <c r="AE549" s="14" t="n">
        <v>7.931</v>
      </c>
      <c r="AF549" s="14" t="n">
        <v>2.122</v>
      </c>
      <c r="AG549" s="14" t="n">
        <v>0.526</v>
      </c>
      <c r="AH549" s="14" t="n">
        <v>8.457000000000001</v>
      </c>
      <c r="AI549" s="14" t="n">
        <v>0</v>
      </c>
      <c r="AJ549" s="14" t="n">
        <v>1</v>
      </c>
      <c r="AK549" s="14" t="n">
        <v>14.207</v>
      </c>
      <c r="AL549" s="14" t="n">
        <v>8.144</v>
      </c>
      <c r="AM549" s="14" t="n">
        <v>0</v>
      </c>
      <c r="AN549" s="14" t="n">
        <v>14.207</v>
      </c>
      <c r="AO549" s="14" t="n">
        <v>0</v>
      </c>
      <c r="AP549" s="14" t="n">
        <v>1</v>
      </c>
      <c r="AQ549" s="14" t="n">
        <v>0.847</v>
      </c>
      <c r="AR549" s="14" t="n">
        <v>0.123</v>
      </c>
      <c r="AS549" s="14" t="n">
        <v>0.46</v>
      </c>
      <c r="AT549" s="14" t="n">
        <v>1.437</v>
      </c>
      <c r="AU549" s="14" t="n">
        <v>0.1</v>
      </c>
      <c r="AV549" s="14" t="n">
        <v>1</v>
      </c>
      <c r="AW549" s="14" t="n">
        <v>0.947</v>
      </c>
      <c r="AX549" s="14" t="n">
        <v>0.123</v>
      </c>
      <c r="AY549" s="14" t="n">
        <v>0.201</v>
      </c>
      <c r="AZ549" s="14" t="n">
        <v>1.262</v>
      </c>
      <c r="BA549" s="14" t="n">
        <v>0.1</v>
      </c>
      <c r="BB549" s="14" t="n">
        <v>1</v>
      </c>
      <c r="BC549" s="14" t="n">
        <v>0.589</v>
      </c>
      <c r="BD549" s="14" t="n">
        <v>0.123</v>
      </c>
      <c r="BE549" s="14" t="n">
        <v>-0.421</v>
      </c>
      <c r="BF549" s="14" t="n">
        <v>0.167</v>
      </c>
      <c r="BG549" s="14" t="n">
        <v>0</v>
      </c>
      <c r="BH549" s="14" t="n">
        <v>0</v>
      </c>
      <c r="BI549" s="14" t="n">
        <v>0.6889999999999999</v>
      </c>
      <c r="BJ549" s="14" t="n">
        <v>0.123</v>
      </c>
      <c r="BK549" s="14" t="n">
        <v>0.044</v>
      </c>
      <c r="BL549" s="14" t="n">
        <v>0.733</v>
      </c>
      <c r="BM549" s="14" t="n">
        <v>0</v>
      </c>
      <c r="BN549" s="14" t="n">
        <v>1</v>
      </c>
      <c r="BO549" s="14" t="n">
        <v>0</v>
      </c>
      <c r="BP549" s="14" t="n">
        <v>0</v>
      </c>
      <c r="BQ549" s="14" t="n">
        <v>0.1</v>
      </c>
      <c r="BR549" s="14" t="n">
        <v>0</v>
      </c>
      <c r="BS549" s="14" t="n">
        <v>0.833</v>
      </c>
      <c r="BT549" s="14" t="n">
        <v>0</v>
      </c>
      <c r="BU549" s="14" t="n">
        <v>0</v>
      </c>
      <c r="BV549" s="14" t="n">
        <v>0.089</v>
      </c>
      <c r="BW549" s="14" t="n">
        <v>0</v>
      </c>
      <c r="BX549" s="14" t="n">
        <v>0.833</v>
      </c>
      <c r="BY549" s="14" t="n">
        <v>12.729</v>
      </c>
      <c r="BZ549" s="14" t="n">
        <v>0</v>
      </c>
      <c r="CA549" s="14" t="n">
        <v>12.729</v>
      </c>
      <c r="CB549" s="14" t="n">
        <v>0</v>
      </c>
      <c r="CC549" s="14" t="n">
        <v>102.477</v>
      </c>
      <c r="CD549" s="14" t="n">
        <v>7.95</v>
      </c>
      <c r="CE549" s="14" t="n">
        <v>-3.347</v>
      </c>
      <c r="CF549" s="14" t="n">
        <v>99.129</v>
      </c>
      <c r="CG549" s="14" t="n">
        <v>0</v>
      </c>
      <c r="CH549" s="14" t="n">
        <v>1</v>
      </c>
      <c r="CI549" s="14" t="n">
        <v>0</v>
      </c>
      <c r="CJ549" s="14" t="n">
        <v>0</v>
      </c>
      <c r="CK549" s="14" t="n">
        <v>0</v>
      </c>
      <c r="CL549" s="14" t="n">
        <v>0</v>
      </c>
      <c r="CM549" s="14" t="n">
        <v>0</v>
      </c>
      <c r="CN549" s="14" t="n">
        <v>0</v>
      </c>
      <c r="CO549" s="14" t="n">
        <v>0</v>
      </c>
      <c r="CP549" s="14" t="n">
        <v>0</v>
      </c>
      <c r="CQ549" s="14" t="n">
        <v>1.294</v>
      </c>
      <c r="CR549" s="14" t="n">
        <v>0.306</v>
      </c>
      <c r="CS549" s="14" t="n">
        <v>5.839</v>
      </c>
      <c r="CT549" s="14" t="n">
        <v>10.485</v>
      </c>
      <c r="CU549" s="14" t="n">
        <v>30.326</v>
      </c>
    </row>
    <row r="550">
      <c r="A550" s="14" t="inlineStr">
        <is>
          <t>MAR2023</t>
        </is>
      </c>
      <c r="B550" s="14" t="inlineStr">
        <is>
          <t>MAR</t>
        </is>
      </c>
      <c r="C550" s="14" t="inlineStr">
        <is>
          <t>MAR</t>
        </is>
      </c>
      <c r="D550" s="14" t="inlineStr">
        <is>
          <t>Morocco</t>
        </is>
      </c>
      <c r="E550" s="14" t="n">
        <v>2023</v>
      </c>
      <c r="F550" s="14" t="n">
        <v>0.2</v>
      </c>
      <c r="G550" s="14" t="n">
        <v>7.441</v>
      </c>
      <c r="H550" s="14" t="n">
        <v>1.695</v>
      </c>
      <c r="I550" s="14" t="n">
        <v>0.122</v>
      </c>
      <c r="J550" s="14" t="n">
        <v>7.562</v>
      </c>
      <c r="K550" s="14" t="n">
        <v>0</v>
      </c>
      <c r="L550" s="14" t="n">
        <v>1</v>
      </c>
      <c r="M550" s="14" t="n">
        <v>7.369</v>
      </c>
      <c r="N550" s="14" t="n">
        <v>3.655</v>
      </c>
      <c r="O550" s="14" t="n">
        <v>0.301</v>
      </c>
      <c r="P550" s="14" t="n">
        <v>7.67</v>
      </c>
      <c r="Q550" s="14" t="n">
        <v>0</v>
      </c>
      <c r="R550" s="14" t="n">
        <v>1</v>
      </c>
      <c r="S550" s="14" t="n">
        <v>12.575</v>
      </c>
      <c r="T550" s="14" t="n">
        <v>7.714</v>
      </c>
      <c r="U550" s="14" t="n">
        <v>0</v>
      </c>
      <c r="V550" s="14" t="n">
        <v>12.575</v>
      </c>
      <c r="W550" s="14" t="n">
        <v>0</v>
      </c>
      <c r="X550" s="14" t="n">
        <v>1</v>
      </c>
      <c r="Y550" s="14" t="n">
        <v>3.884</v>
      </c>
      <c r="Z550" s="14" t="n">
        <v>0.616</v>
      </c>
      <c r="AA550" s="14" t="n">
        <v>0.252</v>
      </c>
      <c r="AB550" s="14" t="n">
        <v>4.136</v>
      </c>
      <c r="AC550" s="14" t="n">
        <v>0</v>
      </c>
      <c r="AD550" s="14" t="n">
        <v>1</v>
      </c>
      <c r="AE550" s="14" t="n">
        <v>5.137</v>
      </c>
      <c r="AF550" s="14" t="n">
        <v>1.374</v>
      </c>
      <c r="AG550" s="14" t="n">
        <v>0.252</v>
      </c>
      <c r="AH550" s="14" t="n">
        <v>5.389</v>
      </c>
      <c r="AI550" s="14" t="n">
        <v>0</v>
      </c>
      <c r="AJ550" s="14" t="n">
        <v>1</v>
      </c>
      <c r="AK550" s="14" t="n">
        <v>12.653</v>
      </c>
      <c r="AL550" s="14" t="n">
        <v>7.254</v>
      </c>
      <c r="AM550" s="14" t="n">
        <v>0</v>
      </c>
      <c r="AN550" s="14" t="n">
        <v>12.653</v>
      </c>
      <c r="AO550" s="14" t="n">
        <v>0</v>
      </c>
      <c r="AP550" s="14" t="n">
        <v>1</v>
      </c>
      <c r="AQ550" s="14" t="n">
        <v>0.749</v>
      </c>
      <c r="AR550" s="14" t="n">
        <v>0.129</v>
      </c>
      <c r="AS550" s="14" t="n">
        <v>0.574</v>
      </c>
      <c r="AT550" s="14" t="n">
        <v>1.455</v>
      </c>
      <c r="AU550" s="14" t="n">
        <v>0.1</v>
      </c>
      <c r="AV550" s="14" t="n">
        <v>1</v>
      </c>
      <c r="AW550" s="14" t="n">
        <v>0.783</v>
      </c>
      <c r="AX550" s="14" t="n">
        <v>0.129</v>
      </c>
      <c r="AY550" s="14" t="n">
        <v>0.397</v>
      </c>
      <c r="AZ550" s="14" t="n">
        <v>1.297</v>
      </c>
      <c r="BA550" s="14" t="n">
        <v>0.1</v>
      </c>
      <c r="BB550" s="14" t="n">
        <v>1</v>
      </c>
      <c r="BC550" s="14" t="n">
        <v>0.527</v>
      </c>
      <c r="BD550" s="14" t="n">
        <v>0.129</v>
      </c>
      <c r="BE550" s="14" t="n">
        <v>-0.36</v>
      </c>
      <c r="BF550" s="14" t="n">
        <v>0.168</v>
      </c>
      <c r="BG550" s="14" t="n">
        <v>0</v>
      </c>
      <c r="BH550" s="14" t="n">
        <v>0</v>
      </c>
      <c r="BI550" s="14" t="n">
        <v>0.64</v>
      </c>
      <c r="BJ550" s="14" t="n">
        <v>0.129</v>
      </c>
      <c r="BK550" s="14" t="n">
        <v>0.04</v>
      </c>
      <c r="BL550" s="14" t="n">
        <v>0.68</v>
      </c>
      <c r="BM550" s="14" t="n">
        <v>0</v>
      </c>
      <c r="BN550" s="14" t="n">
        <v>1</v>
      </c>
      <c r="BO550" s="14" t="n">
        <v>0</v>
      </c>
      <c r="BP550" s="14" t="n">
        <v>0</v>
      </c>
      <c r="BQ550" s="14" t="n">
        <v>0.1</v>
      </c>
      <c r="BR550" s="14" t="n">
        <v>0</v>
      </c>
      <c r="BS550" s="14" t="n">
        <v>0.833</v>
      </c>
      <c r="BT550" s="14" t="n">
        <v>0</v>
      </c>
      <c r="BU550" s="14" t="n">
        <v>0</v>
      </c>
      <c r="BV550" s="14" t="n">
        <v>0.089</v>
      </c>
      <c r="BW550" s="14" t="n">
        <v>0.14</v>
      </c>
      <c r="BX550" s="14" t="n">
        <v>0.833</v>
      </c>
      <c r="BY550" s="14" t="n">
        <v>13.254</v>
      </c>
      <c r="BZ550" s="14" t="n">
        <v>0</v>
      </c>
      <c r="CA550" s="14" t="n">
        <v>13.254</v>
      </c>
      <c r="CB550" s="14" t="n">
        <v>0</v>
      </c>
      <c r="CC550" s="14" t="n">
        <v>87.07899999999999</v>
      </c>
      <c r="CD550" s="14" t="n">
        <v>7.95</v>
      </c>
      <c r="CE550" s="14" t="n">
        <v>-3.485</v>
      </c>
      <c r="CF550" s="14" t="n">
        <v>83.59399999999999</v>
      </c>
      <c r="CG550" s="14" t="n">
        <v>0</v>
      </c>
      <c r="CH550" s="14" t="n">
        <v>1</v>
      </c>
      <c r="CI550" s="14" t="n">
        <v>0</v>
      </c>
      <c r="CJ550" s="14" t="n">
        <v>0</v>
      </c>
      <c r="CK550" s="14" t="n">
        <v>0</v>
      </c>
      <c r="CL550" s="14" t="n">
        <v>0</v>
      </c>
      <c r="CM550" s="14" t="n">
        <v>0</v>
      </c>
      <c r="CN550" s="14" t="n">
        <v>0</v>
      </c>
      <c r="CO550" s="14" t="n">
        <v>0</v>
      </c>
      <c r="CP550" s="14" t="n">
        <v>0</v>
      </c>
      <c r="CQ550" s="14" t="n">
        <v>1.348</v>
      </c>
      <c r="CR550" s="14" t="n">
        <v>0.051</v>
      </c>
      <c r="CS550" s="14" t="n">
        <v>6.08</v>
      </c>
      <c r="CT550" s="14" t="n">
        <v>4.861</v>
      </c>
      <c r="CU550" s="14" t="n">
        <v>10.622</v>
      </c>
    </row>
    <row r="551">
      <c r="A551" s="14" t="inlineStr">
        <is>
          <t>MAR2024</t>
        </is>
      </c>
      <c r="B551" s="14" t="inlineStr">
        <is>
          <t>MAR</t>
        </is>
      </c>
      <c r="C551" s="14" t="inlineStr">
        <is>
          <t>MAR</t>
        </is>
      </c>
      <c r="D551" s="14" t="inlineStr">
        <is>
          <t>Morocco</t>
        </is>
      </c>
      <c r="E551" s="14" t="n">
        <v>2024</v>
      </c>
      <c r="F551" s="14" t="n">
        <v>0.2</v>
      </c>
      <c r="G551" s="14" t="n">
        <v>6.869</v>
      </c>
      <c r="H551" s="14" t="n">
        <v>1.74</v>
      </c>
      <c r="I551" s="14" t="n">
        <v>0.106</v>
      </c>
      <c r="J551" s="14" t="n">
        <v>6.975</v>
      </c>
      <c r="K551" s="14" t="n">
        <v>0</v>
      </c>
      <c r="L551" s="14" t="n">
        <v>1</v>
      </c>
      <c r="M551" s="14" t="n">
        <v>6.606</v>
      </c>
      <c r="N551" s="14" t="n">
        <v>3.599</v>
      </c>
      <c r="O551" s="14" t="n">
        <v>0.285</v>
      </c>
      <c r="P551" s="14" t="n">
        <v>6.892</v>
      </c>
      <c r="Q551" s="14" t="n">
        <v>0</v>
      </c>
      <c r="R551" s="14" t="n">
        <v>1</v>
      </c>
      <c r="S551" s="14" t="n">
        <v>12.193</v>
      </c>
      <c r="T551" s="14" t="n">
        <v>7.942</v>
      </c>
      <c r="U551" s="14" t="n">
        <v>0</v>
      </c>
      <c r="V551" s="14" t="n">
        <v>12.193</v>
      </c>
      <c r="W551" s="14" t="n">
        <v>0</v>
      </c>
      <c r="X551" s="14" t="n">
        <v>1</v>
      </c>
      <c r="Y551" s="14" t="n">
        <v>3.999</v>
      </c>
      <c r="Z551" s="14" t="n">
        <v>0.634</v>
      </c>
      <c r="AA551" s="14" t="n">
        <v>0.217</v>
      </c>
      <c r="AB551" s="14" t="n">
        <v>4.216</v>
      </c>
      <c r="AC551" s="14" t="n">
        <v>0</v>
      </c>
      <c r="AD551" s="14" t="n">
        <v>1</v>
      </c>
      <c r="AE551" s="14" t="n">
        <v>5.289</v>
      </c>
      <c r="AF551" s="14" t="n">
        <v>1.415</v>
      </c>
      <c r="AG551" s="14" t="n">
        <v>0.217</v>
      </c>
      <c r="AH551" s="14" t="n">
        <v>5.506</v>
      </c>
      <c r="AI551" s="14" t="n">
        <v>0</v>
      </c>
      <c r="AJ551" s="14" t="n">
        <v>1</v>
      </c>
      <c r="AK551" s="14" t="n">
        <v>13.026</v>
      </c>
      <c r="AL551" s="14" t="n">
        <v>7.468</v>
      </c>
      <c r="AM551" s="14" t="n">
        <v>0</v>
      </c>
      <c r="AN551" s="14" t="n">
        <v>13.026</v>
      </c>
      <c r="AO551" s="14" t="n">
        <v>0</v>
      </c>
      <c r="AP551" s="14" t="n">
        <v>1</v>
      </c>
      <c r="AQ551" s="14" t="n">
        <v>0.72</v>
      </c>
      <c r="AR551" s="14" t="n">
        <v>0.132</v>
      </c>
      <c r="AS551" s="14" t="n">
        <v>0.614</v>
      </c>
      <c r="AT551" s="14" t="n">
        <v>1.447</v>
      </c>
      <c r="AU551" s="14" t="n">
        <v>0.1</v>
      </c>
      <c r="AV551" s="14" t="n">
        <v>1</v>
      </c>
      <c r="AW551" s="14" t="n">
        <v>0.734</v>
      </c>
      <c r="AX551" s="14" t="n">
        <v>0.132</v>
      </c>
      <c r="AY551" s="14" t="n">
        <v>0.462</v>
      </c>
      <c r="AZ551" s="14" t="n">
        <v>1.298</v>
      </c>
      <c r="BA551" s="14" t="n">
        <v>0.1</v>
      </c>
      <c r="BB551" s="14" t="n">
        <v>1</v>
      </c>
      <c r="BC551" s="14" t="n">
        <v>0.51</v>
      </c>
      <c r="BD551" s="14" t="n">
        <v>0.132</v>
      </c>
      <c r="BE551" s="14" t="n">
        <v>-0.344</v>
      </c>
      <c r="BF551" s="14" t="n">
        <v>0.166</v>
      </c>
      <c r="BG551" s="14" t="n">
        <v>0</v>
      </c>
      <c r="BH551" s="14" t="n">
        <v>0</v>
      </c>
      <c r="BI551" s="14" t="n">
        <v>0.652</v>
      </c>
      <c r="BJ551" s="14" t="n">
        <v>0.132</v>
      </c>
      <c r="BK551" s="14" t="n">
        <v>0.041</v>
      </c>
      <c r="BL551" s="14" t="n">
        <v>0.6929999999999999</v>
      </c>
      <c r="BM551" s="14" t="n">
        <v>0</v>
      </c>
      <c r="BN551" s="14" t="n">
        <v>1</v>
      </c>
      <c r="BO551" s="14" t="n">
        <v>0</v>
      </c>
      <c r="BP551" s="14" t="n">
        <v>0</v>
      </c>
      <c r="BQ551" s="14" t="n">
        <v>0.099</v>
      </c>
      <c r="BR551" s="14" t="n">
        <v>0</v>
      </c>
      <c r="BS551" s="14" t="n">
        <v>0.833</v>
      </c>
      <c r="BT551" s="14" t="n">
        <v>0</v>
      </c>
      <c r="BU551" s="14" t="n">
        <v>0</v>
      </c>
      <c r="BV551" s="14" t="n">
        <v>0.09</v>
      </c>
      <c r="BW551" s="14" t="n">
        <v>0.16</v>
      </c>
      <c r="BX551" s="14" t="n">
        <v>0.833</v>
      </c>
      <c r="BY551" s="14" t="n">
        <v>13.646</v>
      </c>
      <c r="BZ551" s="14" t="n">
        <v>0</v>
      </c>
      <c r="CA551" s="14" t="n">
        <v>13.646</v>
      </c>
      <c r="CB551" s="14" t="n">
        <v>0</v>
      </c>
      <c r="CC551" s="14" t="n">
        <v>86.38500000000001</v>
      </c>
      <c r="CD551" s="14" t="n">
        <v>7.95</v>
      </c>
      <c r="CE551" s="14" t="n">
        <v>-3.588</v>
      </c>
      <c r="CF551" s="14" t="n">
        <v>82.797</v>
      </c>
      <c r="CG551" s="14" t="n">
        <v>0</v>
      </c>
      <c r="CH551" s="14" t="n">
        <v>1</v>
      </c>
      <c r="CI551" s="14" t="n">
        <v>0</v>
      </c>
      <c r="CJ551" s="14" t="n">
        <v>0</v>
      </c>
      <c r="CK551" s="14" t="n">
        <v>0</v>
      </c>
      <c r="CL551" s="14" t="n">
        <v>0</v>
      </c>
      <c r="CM551" s="14" t="n">
        <v>0</v>
      </c>
      <c r="CN551" s="14" t="n">
        <v>0</v>
      </c>
      <c r="CO551" s="14" t="n">
        <v>0</v>
      </c>
      <c r="CP551" s="14" t="n">
        <v>0</v>
      </c>
      <c r="CQ551" s="14" t="n">
        <v>1.387</v>
      </c>
      <c r="CR551" s="14" t="n">
        <v>0.051</v>
      </c>
      <c r="CS551" s="14" t="n">
        <v>6.26</v>
      </c>
      <c r="CT551" s="14" t="n">
        <v>4.251</v>
      </c>
      <c r="CU551" s="14" t="n">
        <v>9.167999999999999</v>
      </c>
    </row>
    <row r="552">
      <c r="A552" s="14" t="inlineStr">
        <is>
          <t>MOZ2021</t>
        </is>
      </c>
      <c r="B552" s="14" t="inlineStr">
        <is>
          <t>MOZ</t>
        </is>
      </c>
      <c r="C552" s="14" t="inlineStr">
        <is>
          <t>MOZ</t>
        </is>
      </c>
      <c r="D552" s="14" t="inlineStr">
        <is>
          <t>Mozambique</t>
        </is>
      </c>
      <c r="E552" s="14" t="n">
        <v>2021</v>
      </c>
      <c r="F552" s="14" t="n">
        <v>0.17</v>
      </c>
      <c r="G552" s="14" t="n">
        <v>1.77</v>
      </c>
      <c r="H552" s="14" t="n">
        <v>0.572</v>
      </c>
      <c r="I552" s="14" t="n">
        <v>0</v>
      </c>
      <c r="J552" s="14" t="n">
        <v>1.77</v>
      </c>
      <c r="K552" s="14" t="n">
        <v>0</v>
      </c>
      <c r="L552" s="14" t="n">
        <v>1</v>
      </c>
      <c r="M552" s="14" t="n">
        <v>2.913</v>
      </c>
      <c r="N552" s="14" t="n">
        <v>1.715</v>
      </c>
      <c r="O552" s="14" t="n">
        <v>0</v>
      </c>
      <c r="P552" s="14" t="n">
        <v>2.913</v>
      </c>
      <c r="Q552" s="14" t="n">
        <v>0</v>
      </c>
      <c r="R552" s="14" t="n">
        <v>1</v>
      </c>
      <c r="S552" s="14" t="n">
        <v>4.628</v>
      </c>
      <c r="T552" s="14" t="n">
        <v>3.43</v>
      </c>
      <c r="U552" s="14" t="n">
        <v>0</v>
      </c>
      <c r="V552" s="14" t="n">
        <v>5.415</v>
      </c>
      <c r="W552" s="14" t="n">
        <v>0.17</v>
      </c>
      <c r="X552" s="14" t="n">
        <v>1</v>
      </c>
      <c r="Y552" s="14" t="n">
        <v>3.661</v>
      </c>
      <c r="Z552" s="14" t="n">
        <v>0.402</v>
      </c>
      <c r="AA552" s="14" t="n">
        <v>0</v>
      </c>
      <c r="AB552" s="14" t="n">
        <v>3.661</v>
      </c>
      <c r="AC552" s="14" t="n">
        <v>0</v>
      </c>
      <c r="AD552" s="14" t="n">
        <v>1</v>
      </c>
      <c r="AE552" s="14" t="n">
        <v>4.233</v>
      </c>
      <c r="AF552" s="14" t="n">
        <v>0.823</v>
      </c>
      <c r="AG552" s="14" t="n">
        <v>0</v>
      </c>
      <c r="AH552" s="14" t="n">
        <v>4.233</v>
      </c>
      <c r="AI552" s="14" t="n">
        <v>0</v>
      </c>
      <c r="AJ552" s="14" t="n">
        <v>1</v>
      </c>
      <c r="AK552" s="14" t="n">
        <v>7.663</v>
      </c>
      <c r="AL552" s="14" t="n">
        <v>3.615</v>
      </c>
      <c r="AM552" s="14" t="n">
        <v>0</v>
      </c>
      <c r="AN552" s="14" t="n">
        <v>8.965999999999999</v>
      </c>
      <c r="AO552" s="14" t="n">
        <v>0.17</v>
      </c>
      <c r="AP552" s="14" t="n">
        <v>1</v>
      </c>
      <c r="AQ552" s="14" t="n">
        <v>0.619</v>
      </c>
      <c r="AR552" s="14" t="n">
        <v>0.114</v>
      </c>
      <c r="AS552" s="14" t="n">
        <v>0.282</v>
      </c>
      <c r="AT552" s="14" t="n">
        <v>1.055</v>
      </c>
      <c r="AU552" s="14" t="n">
        <v>0.17</v>
      </c>
      <c r="AV552" s="14" t="n">
        <v>1</v>
      </c>
      <c r="AW552" s="14" t="n">
        <v>0.599</v>
      </c>
      <c r="AX552" s="14" t="n">
        <v>0.114</v>
      </c>
      <c r="AY552" s="14" t="n">
        <v>0.206</v>
      </c>
      <c r="AZ552" s="14" t="n">
        <v>0.9429999999999999</v>
      </c>
      <c r="BA552" s="14" t="n">
        <v>0.17</v>
      </c>
      <c r="BB552" s="14" t="n">
        <v>1</v>
      </c>
      <c r="BC552" s="14" t="n">
        <v>0.439</v>
      </c>
      <c r="BD552" s="14" t="n">
        <v>0.114</v>
      </c>
      <c r="BE552" s="14" t="n">
        <v>0.115</v>
      </c>
      <c r="BF552" s="14" t="n">
        <v>0.553</v>
      </c>
      <c r="BG552" s="14" t="n">
        <v>0</v>
      </c>
      <c r="BH552" s="14" t="n">
        <v>1</v>
      </c>
      <c r="BI552" s="14" t="n">
        <v>0.505</v>
      </c>
      <c r="BJ552" s="14" t="n">
        <v>0.114</v>
      </c>
      <c r="BK552" s="14" t="n">
        <v>0.228</v>
      </c>
      <c r="BL552" s="14" t="n">
        <v>0.732</v>
      </c>
      <c r="BM552" s="14" t="n">
        <v>0</v>
      </c>
      <c r="BN552" s="14" t="n">
        <v>1</v>
      </c>
      <c r="BO552" s="14" t="n">
        <v>0</v>
      </c>
      <c r="BP552" s="14" t="n">
        <v>0</v>
      </c>
      <c r="BQ552" s="14" t="n">
        <v>0.08799999999999999</v>
      </c>
      <c r="BR552" s="14" t="n">
        <v>0</v>
      </c>
      <c r="BS552" s="14" t="n">
        <v>0.667</v>
      </c>
      <c r="BT552" s="14" t="n">
        <v>0</v>
      </c>
      <c r="BU552" s="14" t="n">
        <v>0</v>
      </c>
      <c r="BV552" s="14" t="n">
        <v>0.119</v>
      </c>
      <c r="BW552" s="14" t="n">
        <v>0.17</v>
      </c>
      <c r="BX552" s="14" t="n">
        <v>1</v>
      </c>
      <c r="BY552" s="14" t="n">
        <v>11.787</v>
      </c>
      <c r="BZ552" s="14" t="n">
        <v>0</v>
      </c>
      <c r="CA552" s="14" t="n">
        <v>11.787</v>
      </c>
      <c r="CB552" s="14" t="n">
        <v>0</v>
      </c>
      <c r="CC552" s="14" t="n">
        <v>78.125</v>
      </c>
      <c r="CD552" s="14" t="n">
        <v>7.95</v>
      </c>
      <c r="CE552" s="14" t="n">
        <v>13.469</v>
      </c>
      <c r="CF552" s="14" t="n">
        <v>107.165</v>
      </c>
      <c r="CG552" s="14" t="n">
        <v>0.17</v>
      </c>
      <c r="CH552" s="14" t="n">
        <v>1</v>
      </c>
      <c r="CI552" s="14" t="n">
        <v>0</v>
      </c>
      <c r="CJ552" s="14" t="n">
        <v>0</v>
      </c>
      <c r="CK552" s="14" t="n">
        <v>0</v>
      </c>
      <c r="CL552" s="14" t="n">
        <v>0</v>
      </c>
      <c r="CM552" s="14" t="n">
        <v>0</v>
      </c>
      <c r="CN552" s="14" t="n">
        <v>0</v>
      </c>
      <c r="CO552" s="14" t="n">
        <v>0</v>
      </c>
      <c r="CP552" s="14" t="n">
        <v>1</v>
      </c>
      <c r="CQ552" s="14" t="n">
        <v>1.198</v>
      </c>
      <c r="CR552" s="14" t="n">
        <v>1</v>
      </c>
      <c r="CS552" s="14" t="n">
        <v>3.09</v>
      </c>
      <c r="CT552" s="14" t="n">
        <v>4.753</v>
      </c>
      <c r="CU552" s="14" t="n">
        <v>14.129</v>
      </c>
    </row>
    <row r="553">
      <c r="A553" s="14" t="inlineStr">
        <is>
          <t>MOZ2022</t>
        </is>
      </c>
      <c r="B553" s="14" t="inlineStr">
        <is>
          <t>MOZ</t>
        </is>
      </c>
      <c r="C553" s="14" t="inlineStr">
        <is>
          <t>MOZ</t>
        </is>
      </c>
      <c r="D553" s="14" t="inlineStr">
        <is>
          <t>Mozambique</t>
        </is>
      </c>
      <c r="E553" s="14" t="n">
        <v>2022</v>
      </c>
      <c r="F553" s="14" t="n">
        <v>0.17</v>
      </c>
      <c r="G553" s="14" t="n">
        <v>1.911</v>
      </c>
      <c r="H553" s="14" t="n">
        <v>0.617</v>
      </c>
      <c r="I553" s="14" t="n">
        <v>0</v>
      </c>
      <c r="J553" s="14" t="n">
        <v>1.911</v>
      </c>
      <c r="K553" s="14" t="n">
        <v>0</v>
      </c>
      <c r="L553" s="14" t="n">
        <v>1</v>
      </c>
      <c r="M553" s="14" t="n">
        <v>3.146</v>
      </c>
      <c r="N553" s="14" t="n">
        <v>1.852</v>
      </c>
      <c r="O553" s="14" t="n">
        <v>0</v>
      </c>
      <c r="P553" s="14" t="n">
        <v>3.146</v>
      </c>
      <c r="Q553" s="14" t="n">
        <v>0</v>
      </c>
      <c r="R553" s="14" t="n">
        <v>1</v>
      </c>
      <c r="S553" s="14" t="n">
        <v>4.998</v>
      </c>
      <c r="T553" s="14" t="n">
        <v>3.704</v>
      </c>
      <c r="U553" s="14" t="n">
        <v>0.063</v>
      </c>
      <c r="V553" s="14" t="n">
        <v>5.848</v>
      </c>
      <c r="W553" s="14" t="n">
        <v>0.17</v>
      </c>
      <c r="X553" s="14" t="n">
        <v>1</v>
      </c>
      <c r="Y553" s="14" t="n">
        <v>3.954</v>
      </c>
      <c r="Z553" s="14" t="n">
        <v>0.434</v>
      </c>
      <c r="AA553" s="14" t="n">
        <v>0</v>
      </c>
      <c r="AB553" s="14" t="n">
        <v>3.954</v>
      </c>
      <c r="AC553" s="14" t="n">
        <v>0</v>
      </c>
      <c r="AD553" s="14" t="n">
        <v>1</v>
      </c>
      <c r="AE553" s="14" t="n">
        <v>4.571</v>
      </c>
      <c r="AF553" s="14" t="n">
        <v>0.889</v>
      </c>
      <c r="AG553" s="14" t="n">
        <v>0</v>
      </c>
      <c r="AH553" s="14" t="n">
        <v>4.571</v>
      </c>
      <c r="AI553" s="14" t="n">
        <v>0</v>
      </c>
      <c r="AJ553" s="14" t="n">
        <v>1</v>
      </c>
      <c r="AK553" s="14" t="n">
        <v>8.276</v>
      </c>
      <c r="AL553" s="14" t="n">
        <v>3.904</v>
      </c>
      <c r="AM553" s="14" t="n">
        <v>0.104</v>
      </c>
      <c r="AN553" s="14" t="n">
        <v>9.682</v>
      </c>
      <c r="AO553" s="14" t="n">
        <v>0.17</v>
      </c>
      <c r="AP553" s="14" t="n">
        <v>1</v>
      </c>
      <c r="AQ553" s="14" t="n">
        <v>0.861</v>
      </c>
      <c r="AR553" s="14" t="n">
        <v>0.123</v>
      </c>
      <c r="AS553" s="14" t="n">
        <v>0.303</v>
      </c>
      <c r="AT553" s="14" t="n">
        <v>1.362</v>
      </c>
      <c r="AU553" s="14" t="n">
        <v>0.17</v>
      </c>
      <c r="AV553" s="14" t="n">
        <v>1</v>
      </c>
      <c r="AW553" s="14" t="n">
        <v>0.986</v>
      </c>
      <c r="AX553" s="14" t="n">
        <v>0.123</v>
      </c>
      <c r="AY553" s="14" t="n">
        <v>0.191</v>
      </c>
      <c r="AZ553" s="14" t="n">
        <v>1.378</v>
      </c>
      <c r="BA553" s="14" t="n">
        <v>0.17</v>
      </c>
      <c r="BB553" s="14" t="n">
        <v>1</v>
      </c>
      <c r="BC553" s="14" t="n">
        <v>0.598</v>
      </c>
      <c r="BD553" s="14" t="n">
        <v>0.123</v>
      </c>
      <c r="BE553" s="14" t="n">
        <v>0.162</v>
      </c>
      <c r="BF553" s="14" t="n">
        <v>0.759</v>
      </c>
      <c r="BG553" s="14" t="n">
        <v>0</v>
      </c>
      <c r="BH553" s="14" t="n">
        <v>1</v>
      </c>
      <c r="BI553" s="14" t="n">
        <v>0.612</v>
      </c>
      <c r="BJ553" s="14" t="n">
        <v>0.123</v>
      </c>
      <c r="BK553" s="14" t="n">
        <v>0.571</v>
      </c>
      <c r="BL553" s="14" t="n">
        <v>1.184</v>
      </c>
      <c r="BM553" s="14" t="n">
        <v>0</v>
      </c>
      <c r="BN553" s="14" t="n">
        <v>1</v>
      </c>
      <c r="BO553" s="14" t="n">
        <v>0</v>
      </c>
      <c r="BP553" s="14" t="n">
        <v>0</v>
      </c>
      <c r="BQ553" s="14" t="n">
        <v>0.09</v>
      </c>
      <c r="BR553" s="14" t="n">
        <v>0</v>
      </c>
      <c r="BS553" s="14" t="n">
        <v>0.667</v>
      </c>
      <c r="BT553" s="14" t="n">
        <v>0</v>
      </c>
      <c r="BU553" s="14" t="n">
        <v>0</v>
      </c>
      <c r="BV553" s="14" t="n">
        <v>0.094</v>
      </c>
      <c r="BW553" s="14" t="n">
        <v>0.17</v>
      </c>
      <c r="BX553" s="14" t="n">
        <v>1</v>
      </c>
      <c r="BY553" s="14" t="n">
        <v>12.729</v>
      </c>
      <c r="BZ553" s="14" t="n">
        <v>0</v>
      </c>
      <c r="CA553" s="14" t="n">
        <v>12.729</v>
      </c>
      <c r="CB553" s="14" t="n">
        <v>0</v>
      </c>
      <c r="CC553" s="14" t="n">
        <v>97.90000000000001</v>
      </c>
      <c r="CD553" s="14" t="n">
        <v>7.95</v>
      </c>
      <c r="CE553" s="14" t="n">
        <v>60.244</v>
      </c>
      <c r="CF553" s="14" t="n">
        <v>185.028</v>
      </c>
      <c r="CG553" s="14" t="n">
        <v>0.17</v>
      </c>
      <c r="CH553" s="14" t="n">
        <v>1</v>
      </c>
      <c r="CI553" s="14" t="n">
        <v>0</v>
      </c>
      <c r="CJ553" s="14" t="n">
        <v>0</v>
      </c>
      <c r="CK553" s="14" t="n">
        <v>0</v>
      </c>
      <c r="CL553" s="14" t="n">
        <v>0</v>
      </c>
      <c r="CM553" s="14" t="n">
        <v>0</v>
      </c>
      <c r="CN553" s="14" t="n">
        <v>0</v>
      </c>
      <c r="CO553" s="14" t="n">
        <v>0</v>
      </c>
      <c r="CP553" s="14" t="n">
        <v>1</v>
      </c>
      <c r="CQ553" s="14" t="n">
        <v>1.294</v>
      </c>
      <c r="CR553" s="14" t="n">
        <v>1</v>
      </c>
      <c r="CS553" s="14" t="n">
        <v>3.337</v>
      </c>
      <c r="CT553" s="14" t="n">
        <v>10.485</v>
      </c>
      <c r="CU553" s="14" t="n">
        <v>28.059</v>
      </c>
    </row>
    <row r="554">
      <c r="A554" s="14" t="inlineStr">
        <is>
          <t>MOZ2023</t>
        </is>
      </c>
      <c r="B554" s="14" t="inlineStr">
        <is>
          <t>MOZ</t>
        </is>
      </c>
      <c r="C554" s="14" t="inlineStr">
        <is>
          <t>MOZ</t>
        </is>
      </c>
      <c r="D554" s="14" t="inlineStr">
        <is>
          <t>Mozambique</t>
        </is>
      </c>
      <c r="E554" s="14" t="n">
        <v>2023</v>
      </c>
      <c r="F554" s="14" t="n">
        <v>0.17</v>
      </c>
      <c r="G554" s="14" t="n">
        <v>1.99</v>
      </c>
      <c r="H554" s="14" t="n">
        <v>0.643</v>
      </c>
      <c r="I554" s="14" t="n">
        <v>0</v>
      </c>
      <c r="J554" s="14" t="n">
        <v>1.99</v>
      </c>
      <c r="K554" s="14" t="n">
        <v>0</v>
      </c>
      <c r="L554" s="14" t="n">
        <v>1</v>
      </c>
      <c r="M554" s="14" t="n">
        <v>3.276</v>
      </c>
      <c r="N554" s="14" t="n">
        <v>1.928</v>
      </c>
      <c r="O554" s="14" t="n">
        <v>0</v>
      </c>
      <c r="P554" s="14" t="n">
        <v>3.276</v>
      </c>
      <c r="Q554" s="14" t="n">
        <v>0</v>
      </c>
      <c r="R554" s="14" t="n">
        <v>1</v>
      </c>
      <c r="S554" s="14" t="n">
        <v>5.205</v>
      </c>
      <c r="T554" s="14" t="n">
        <v>3.857</v>
      </c>
      <c r="U554" s="14" t="n">
        <v>0.098</v>
      </c>
      <c r="V554" s="14" t="n">
        <v>6.089</v>
      </c>
      <c r="W554" s="14" t="n">
        <v>0.17</v>
      </c>
      <c r="X554" s="14" t="n">
        <v>1</v>
      </c>
      <c r="Y554" s="14" t="n">
        <v>4.117</v>
      </c>
      <c r="Z554" s="14" t="n">
        <v>0.452</v>
      </c>
      <c r="AA554" s="14" t="n">
        <v>0</v>
      </c>
      <c r="AB554" s="14" t="n">
        <v>4.117</v>
      </c>
      <c r="AC554" s="14" t="n">
        <v>0</v>
      </c>
      <c r="AD554" s="14" t="n">
        <v>1</v>
      </c>
      <c r="AE554" s="14" t="n">
        <v>4.76</v>
      </c>
      <c r="AF554" s="14" t="n">
        <v>0.926</v>
      </c>
      <c r="AG554" s="14" t="n">
        <v>0</v>
      </c>
      <c r="AH554" s="14" t="n">
        <v>4.76</v>
      </c>
      <c r="AI554" s="14" t="n">
        <v>0</v>
      </c>
      <c r="AJ554" s="14" t="n">
        <v>1</v>
      </c>
      <c r="AK554" s="14" t="n">
        <v>8.617000000000001</v>
      </c>
      <c r="AL554" s="14" t="n">
        <v>4.065</v>
      </c>
      <c r="AM554" s="14" t="n">
        <v>0.162</v>
      </c>
      <c r="AN554" s="14" t="n">
        <v>10.082</v>
      </c>
      <c r="AO554" s="14" t="n">
        <v>0.17</v>
      </c>
      <c r="AP554" s="14" t="n">
        <v>1</v>
      </c>
      <c r="AQ554" s="14" t="n">
        <v>0.76</v>
      </c>
      <c r="AR554" s="14" t="n">
        <v>0.129</v>
      </c>
      <c r="AS554" s="14" t="n">
        <v>0.393</v>
      </c>
      <c r="AT554" s="14" t="n">
        <v>1.35</v>
      </c>
      <c r="AU554" s="14" t="n">
        <v>0.17</v>
      </c>
      <c r="AV554" s="14" t="n">
        <v>1</v>
      </c>
      <c r="AW554" s="14" t="n">
        <v>0.8110000000000001</v>
      </c>
      <c r="AX554" s="14" t="n">
        <v>0.129</v>
      </c>
      <c r="AY554" s="14" t="n">
        <v>0.409</v>
      </c>
      <c r="AZ554" s="14" t="n">
        <v>1.428</v>
      </c>
      <c r="BA554" s="14" t="n">
        <v>0.17</v>
      </c>
      <c r="BB554" s="14" t="n">
        <v>1</v>
      </c>
      <c r="BC554" s="14" t="n">
        <v>0.535</v>
      </c>
      <c r="BD554" s="14" t="n">
        <v>0.129</v>
      </c>
      <c r="BE554" s="14" t="n">
        <v>0.152</v>
      </c>
      <c r="BF554" s="14" t="n">
        <v>0.6870000000000001</v>
      </c>
      <c r="BG554" s="14" t="n">
        <v>0</v>
      </c>
      <c r="BH554" s="14" t="n">
        <v>1</v>
      </c>
      <c r="BI554" s="14" t="n">
        <v>0.579</v>
      </c>
      <c r="BJ554" s="14" t="n">
        <v>0.129</v>
      </c>
      <c r="BK554" s="14" t="n">
        <v>0.783</v>
      </c>
      <c r="BL554" s="14" t="n">
        <v>1.363</v>
      </c>
      <c r="BM554" s="14" t="n">
        <v>0</v>
      </c>
      <c r="BN554" s="14" t="n">
        <v>1</v>
      </c>
      <c r="BO554" s="14" t="n">
        <v>0</v>
      </c>
      <c r="BP554" s="14" t="n">
        <v>0</v>
      </c>
      <c r="BQ554" s="14" t="n">
        <v>0.09</v>
      </c>
      <c r="BR554" s="14" t="n">
        <v>0</v>
      </c>
      <c r="BS554" s="14" t="n">
        <v>0.667</v>
      </c>
      <c r="BT554" s="14" t="n">
        <v>0</v>
      </c>
      <c r="BU554" s="14" t="n">
        <v>0</v>
      </c>
      <c r="BV554" s="14" t="n">
        <v>0.146</v>
      </c>
      <c r="BW554" s="14" t="n">
        <v>0.17</v>
      </c>
      <c r="BX554" s="14" t="n">
        <v>1</v>
      </c>
      <c r="BY554" s="14" t="n">
        <v>13.254</v>
      </c>
      <c r="BZ554" s="14" t="n">
        <v>0</v>
      </c>
      <c r="CA554" s="14" t="n">
        <v>13.254</v>
      </c>
      <c r="CB554" s="14" t="n">
        <v>0</v>
      </c>
      <c r="CC554" s="14" t="n">
        <v>83.248</v>
      </c>
      <c r="CD554" s="14" t="n">
        <v>7.95</v>
      </c>
      <c r="CE554" s="14" t="n">
        <v>109.708</v>
      </c>
      <c r="CF554" s="14" t="n">
        <v>225.758</v>
      </c>
      <c r="CG554" s="14" t="n">
        <v>0.17</v>
      </c>
      <c r="CH554" s="14" t="n">
        <v>1</v>
      </c>
      <c r="CI554" s="14" t="n">
        <v>0</v>
      </c>
      <c r="CJ554" s="14" t="n">
        <v>0</v>
      </c>
      <c r="CK554" s="14" t="n">
        <v>0</v>
      </c>
      <c r="CL554" s="14" t="n">
        <v>0</v>
      </c>
      <c r="CM554" s="14" t="n">
        <v>0</v>
      </c>
      <c r="CN554" s="14" t="n">
        <v>0</v>
      </c>
      <c r="CO554" s="14" t="n">
        <v>0</v>
      </c>
      <c r="CP554" s="14" t="n">
        <v>1</v>
      </c>
      <c r="CQ554" s="14" t="n">
        <v>1.348</v>
      </c>
      <c r="CR554" s="14" t="n">
        <v>1</v>
      </c>
      <c r="CS554" s="14" t="n">
        <v>3.474</v>
      </c>
      <c r="CT554" s="14" t="n">
        <v>4.861</v>
      </c>
      <c r="CU554" s="14" t="n">
        <v>9.260999999999999</v>
      </c>
    </row>
    <row r="555">
      <c r="A555" s="14" t="inlineStr">
        <is>
          <t>MOZ2024</t>
        </is>
      </c>
      <c r="B555" s="14" t="inlineStr">
        <is>
          <t>MOZ</t>
        </is>
      </c>
      <c r="C555" s="14" t="inlineStr">
        <is>
          <t>MOZ</t>
        </is>
      </c>
      <c r="D555" s="14" t="inlineStr">
        <is>
          <t>Mozambique</t>
        </is>
      </c>
      <c r="E555" s="14" t="n">
        <v>2024</v>
      </c>
      <c r="F555" s="14" t="n">
        <v>0.17</v>
      </c>
      <c r="G555" s="14" t="n">
        <v>2.049</v>
      </c>
      <c r="H555" s="14" t="n">
        <v>0.662</v>
      </c>
      <c r="I555" s="14" t="n">
        <v>0</v>
      </c>
      <c r="J555" s="14" t="n">
        <v>2.049</v>
      </c>
      <c r="K555" s="14" t="n">
        <v>0</v>
      </c>
      <c r="L555" s="14" t="n">
        <v>1</v>
      </c>
      <c r="M555" s="14" t="n">
        <v>3.373</v>
      </c>
      <c r="N555" s="14" t="n">
        <v>1.985</v>
      </c>
      <c r="O555" s="14" t="n">
        <v>0</v>
      </c>
      <c r="P555" s="14" t="n">
        <v>3.373</v>
      </c>
      <c r="Q555" s="14" t="n">
        <v>0</v>
      </c>
      <c r="R555" s="14" t="n">
        <v>1</v>
      </c>
      <c r="S555" s="14" t="n">
        <v>5.358</v>
      </c>
      <c r="T555" s="14" t="n">
        <v>3.971</v>
      </c>
      <c r="U555" s="14" t="n">
        <v>0.124</v>
      </c>
      <c r="V555" s="14" t="n">
        <v>6.269</v>
      </c>
      <c r="W555" s="14" t="n">
        <v>0.17</v>
      </c>
      <c r="X555" s="14" t="n">
        <v>1</v>
      </c>
      <c r="Y555" s="14" t="n">
        <v>4.239</v>
      </c>
      <c r="Z555" s="14" t="n">
        <v>0.465</v>
      </c>
      <c r="AA555" s="14" t="n">
        <v>0</v>
      </c>
      <c r="AB555" s="14" t="n">
        <v>4.239</v>
      </c>
      <c r="AC555" s="14" t="n">
        <v>0</v>
      </c>
      <c r="AD555" s="14" t="n">
        <v>1</v>
      </c>
      <c r="AE555" s="14" t="n">
        <v>4.901</v>
      </c>
      <c r="AF555" s="14" t="n">
        <v>0.953</v>
      </c>
      <c r="AG555" s="14" t="n">
        <v>0</v>
      </c>
      <c r="AH555" s="14" t="n">
        <v>4.901</v>
      </c>
      <c r="AI555" s="14" t="n">
        <v>0</v>
      </c>
      <c r="AJ555" s="14" t="n">
        <v>1</v>
      </c>
      <c r="AK555" s="14" t="n">
        <v>8.871</v>
      </c>
      <c r="AL555" s="14" t="n">
        <v>4.185</v>
      </c>
      <c r="AM555" s="14" t="n">
        <v>0.205</v>
      </c>
      <c r="AN555" s="14" t="n">
        <v>10.38</v>
      </c>
      <c r="AO555" s="14" t="n">
        <v>0.17</v>
      </c>
      <c r="AP555" s="14" t="n">
        <v>1</v>
      </c>
      <c r="AQ555" s="14" t="n">
        <v>0.724</v>
      </c>
      <c r="AR555" s="14" t="n">
        <v>0.132</v>
      </c>
      <c r="AS555" s="14" t="n">
        <v>0.439</v>
      </c>
      <c r="AT555" s="14" t="n">
        <v>1.35</v>
      </c>
      <c r="AU555" s="14" t="n">
        <v>0.16</v>
      </c>
      <c r="AV555" s="14" t="n">
        <v>1</v>
      </c>
      <c r="AW555" s="14" t="n">
        <v>0.75</v>
      </c>
      <c r="AX555" s="14" t="n">
        <v>0.132</v>
      </c>
      <c r="AY555" s="14" t="n">
        <v>0.48</v>
      </c>
      <c r="AZ555" s="14" t="n">
        <v>1.428</v>
      </c>
      <c r="BA555" s="14" t="n">
        <v>0.16</v>
      </c>
      <c r="BB555" s="14" t="n">
        <v>1</v>
      </c>
      <c r="BC555" s="14" t="n">
        <v>0.513</v>
      </c>
      <c r="BD555" s="14" t="n">
        <v>0.132</v>
      </c>
      <c r="BE555" s="14" t="n">
        <v>0.174</v>
      </c>
      <c r="BF555" s="14" t="n">
        <v>0.6870000000000001</v>
      </c>
      <c r="BG555" s="14" t="n">
        <v>0</v>
      </c>
      <c r="BH555" s="14" t="n">
        <v>1</v>
      </c>
      <c r="BI555" s="14" t="n">
        <v>0.591</v>
      </c>
      <c r="BJ555" s="14" t="n">
        <v>0.132</v>
      </c>
      <c r="BK555" s="14" t="n">
        <v>0.771</v>
      </c>
      <c r="BL555" s="14" t="n">
        <v>1.362</v>
      </c>
      <c r="BM555" s="14" t="n">
        <v>0</v>
      </c>
      <c r="BN555" s="14" t="n">
        <v>1</v>
      </c>
      <c r="BO555" s="14" t="n">
        <v>0</v>
      </c>
      <c r="BP555" s="14" t="n">
        <v>0</v>
      </c>
      <c r="BQ555" s="14" t="n">
        <v>0.08500000000000001</v>
      </c>
      <c r="BR555" s="14" t="n">
        <v>0</v>
      </c>
      <c r="BS555" s="14" t="n">
        <v>0.667</v>
      </c>
      <c r="BT555" s="14" t="n">
        <v>0</v>
      </c>
      <c r="BU555" s="14" t="n">
        <v>0</v>
      </c>
      <c r="BV555" s="14" t="n">
        <v>0.109</v>
      </c>
      <c r="BW555" s="14" t="n">
        <v>0.17</v>
      </c>
      <c r="BX555" s="14" t="n">
        <v>1</v>
      </c>
      <c r="BY555" s="14" t="n">
        <v>13.646</v>
      </c>
      <c r="BZ555" s="14" t="n">
        <v>0</v>
      </c>
      <c r="CA555" s="14" t="n">
        <v>13.646</v>
      </c>
      <c r="CB555" s="14" t="n">
        <v>0</v>
      </c>
      <c r="CC555" s="14" t="n">
        <v>82.58799999999999</v>
      </c>
      <c r="CD555" s="14" t="n">
        <v>7.95</v>
      </c>
      <c r="CE555" s="14" t="n">
        <v>111.418</v>
      </c>
      <c r="CF555" s="14" t="n">
        <v>226.986</v>
      </c>
      <c r="CG555" s="14" t="n">
        <v>0.17</v>
      </c>
      <c r="CH555" s="14" t="n">
        <v>1</v>
      </c>
      <c r="CI555" s="14" t="n">
        <v>0</v>
      </c>
      <c r="CJ555" s="14" t="n">
        <v>0</v>
      </c>
      <c r="CK555" s="14" t="n">
        <v>0</v>
      </c>
      <c r="CL555" s="14" t="n">
        <v>0</v>
      </c>
      <c r="CM555" s="14" t="n">
        <v>0</v>
      </c>
      <c r="CN555" s="14" t="n">
        <v>0</v>
      </c>
      <c r="CO555" s="14" t="n">
        <v>0</v>
      </c>
      <c r="CP555" s="14" t="n">
        <v>1</v>
      </c>
      <c r="CQ555" s="14" t="n">
        <v>1.387</v>
      </c>
      <c r="CR555" s="14" t="n">
        <v>1</v>
      </c>
      <c r="CS555" s="14" t="n">
        <v>3.577</v>
      </c>
      <c r="CT555" s="14" t="n">
        <v>4.251</v>
      </c>
      <c r="CU555" s="14" t="n">
        <v>7.598</v>
      </c>
    </row>
    <row r="556">
      <c r="A556" s="14" t="inlineStr">
        <is>
          <t>MMR2021</t>
        </is>
      </c>
      <c r="B556" s="14" t="inlineStr">
        <is>
          <t>MMR</t>
        </is>
      </c>
      <c r="C556" s="14" t="inlineStr">
        <is>
          <t>MMR</t>
        </is>
      </c>
      <c r="D556" s="14" t="inlineStr">
        <is>
          <t>Myanmar</t>
        </is>
      </c>
      <c r="E556" s="14" t="n">
        <v>2021</v>
      </c>
      <c r="F556" s="14" t="n">
        <v>0</v>
      </c>
      <c r="G556" s="14" t="n">
        <v>3.117</v>
      </c>
      <c r="H556" s="14" t="n">
        <v>0.83</v>
      </c>
      <c r="I556" s="14" t="n">
        <v>0</v>
      </c>
      <c r="J556" s="14" t="n">
        <v>3.117</v>
      </c>
      <c r="K556" s="14" t="n">
        <v>0</v>
      </c>
      <c r="L556" s="14" t="n">
        <v>1</v>
      </c>
      <c r="M556" s="14" t="n">
        <v>5.199</v>
      </c>
      <c r="N556" s="14" t="n">
        <v>2.491</v>
      </c>
      <c r="O556" s="14" t="n">
        <v>0</v>
      </c>
      <c r="P556" s="14" t="n">
        <v>5.199</v>
      </c>
      <c r="Q556" s="14" t="n">
        <v>0</v>
      </c>
      <c r="R556" s="14" t="n">
        <v>1</v>
      </c>
      <c r="S556" s="14" t="n">
        <v>7.269</v>
      </c>
      <c r="T556" s="14" t="n">
        <v>4.982</v>
      </c>
      <c r="U556" s="14" t="n">
        <v>0</v>
      </c>
      <c r="V556" s="14" t="n">
        <v>7.269</v>
      </c>
      <c r="W556" s="14" t="n">
        <v>0</v>
      </c>
      <c r="X556" s="14" t="n">
        <v>1</v>
      </c>
      <c r="Y556" s="14" t="n">
        <v>5.305</v>
      </c>
      <c r="Z556" s="14" t="n">
        <v>0.582</v>
      </c>
      <c r="AA556" s="14" t="n">
        <v>0</v>
      </c>
      <c r="AB556" s="14" t="n">
        <v>5.305</v>
      </c>
      <c r="AC556" s="14" t="n">
        <v>0</v>
      </c>
      <c r="AD556" s="14" t="n">
        <v>1</v>
      </c>
      <c r="AE556" s="14" t="n">
        <v>5.877</v>
      </c>
      <c r="AF556" s="14" t="n">
        <v>1.143</v>
      </c>
      <c r="AG556" s="14" t="n">
        <v>0</v>
      </c>
      <c r="AH556" s="14" t="n">
        <v>5.877</v>
      </c>
      <c r="AI556" s="14" t="n">
        <v>0</v>
      </c>
      <c r="AJ556" s="14" t="n">
        <v>1</v>
      </c>
      <c r="AK556" s="14" t="n">
        <v>9.307</v>
      </c>
      <c r="AL556" s="14" t="n">
        <v>4.39</v>
      </c>
      <c r="AM556" s="14" t="n">
        <v>0</v>
      </c>
      <c r="AN556" s="14" t="n">
        <v>9.307</v>
      </c>
      <c r="AO556" s="14" t="n">
        <v>0</v>
      </c>
      <c r="AP556" s="14" t="n">
        <v>1</v>
      </c>
      <c r="AQ556" s="14" t="n">
        <v>0.621</v>
      </c>
      <c r="AR556" s="14" t="n">
        <v>0.114</v>
      </c>
      <c r="AS556" s="14" t="n">
        <v>0.036</v>
      </c>
      <c r="AT556" s="14" t="n">
        <v>0.657</v>
      </c>
      <c r="AU556" s="14" t="n">
        <v>0</v>
      </c>
      <c r="AV556" s="14" t="n">
        <v>1</v>
      </c>
      <c r="AW556" s="14" t="n">
        <v>0.593</v>
      </c>
      <c r="AX556" s="14" t="n">
        <v>0.114</v>
      </c>
      <c r="AY556" s="14" t="n">
        <v>-0.047</v>
      </c>
      <c r="AZ556" s="14" t="n">
        <v>0.546</v>
      </c>
      <c r="BA556" s="14" t="n">
        <v>0</v>
      </c>
      <c r="BB556" s="14" t="n">
        <v>1</v>
      </c>
      <c r="BC556" s="14" t="n">
        <v>0.44</v>
      </c>
      <c r="BD556" s="14" t="n">
        <v>0.114</v>
      </c>
      <c r="BE556" s="14" t="n">
        <v>0</v>
      </c>
      <c r="BF556" s="14" t="n">
        <v>0.44</v>
      </c>
      <c r="BG556" s="14" t="n">
        <v>0</v>
      </c>
      <c r="BH556" s="14" t="n">
        <v>1</v>
      </c>
      <c r="BI556" s="14" t="n">
        <v>0.5600000000000001</v>
      </c>
      <c r="BJ556" s="14" t="n">
        <v>0.114</v>
      </c>
      <c r="BK556" s="14" t="n">
        <v>0</v>
      </c>
      <c r="BL556" s="14" t="n">
        <v>0.5600000000000001</v>
      </c>
      <c r="BM556" s="14" t="n">
        <v>0</v>
      </c>
      <c r="BN556" s="14" t="n">
        <v>1</v>
      </c>
      <c r="BO556" s="14" t="n">
        <v>0</v>
      </c>
      <c r="BP556" s="14" t="n">
        <v>0</v>
      </c>
      <c r="BQ556" s="14" t="n">
        <v>0.081</v>
      </c>
      <c r="BR556" s="14" t="n">
        <v>0</v>
      </c>
      <c r="BS556" s="14" t="n">
        <v>0.833</v>
      </c>
      <c r="BT556" s="14" t="n">
        <v>0</v>
      </c>
      <c r="BU556" s="14" t="n">
        <v>0</v>
      </c>
      <c r="BV556" s="14" t="n">
        <v>0.021</v>
      </c>
      <c r="BW556" s="14" t="n">
        <v>0</v>
      </c>
      <c r="BX556" s="14" t="n">
        <v>0.667</v>
      </c>
      <c r="BY556" s="14" t="n">
        <v>11.787</v>
      </c>
      <c r="BZ556" s="14" t="n">
        <v>0</v>
      </c>
      <c r="CA556" s="14" t="n">
        <v>11.787</v>
      </c>
      <c r="CB556" s="14" t="n">
        <v>0</v>
      </c>
      <c r="CC556" s="14" t="n">
        <v>81.69499999999999</v>
      </c>
      <c r="CD556" s="14" t="n">
        <v>7.95</v>
      </c>
      <c r="CE556" s="14" t="n">
        <v>0</v>
      </c>
      <c r="CF556" s="14" t="n">
        <v>81.69499999999999</v>
      </c>
      <c r="CG556" s="14" t="n">
        <v>0</v>
      </c>
      <c r="CH556" s="14" t="n">
        <v>1</v>
      </c>
      <c r="CI556" s="14" t="n">
        <v>0</v>
      </c>
      <c r="CJ556" s="14" t="n">
        <v>0</v>
      </c>
      <c r="CK556" s="14" t="n">
        <v>0</v>
      </c>
      <c r="CL556" s="14" t="n">
        <v>0</v>
      </c>
      <c r="CM556" s="14" t="n">
        <v>0</v>
      </c>
      <c r="CN556" s="14" t="n">
        <v>0</v>
      </c>
      <c r="CO556" s="14" t="n">
        <v>0</v>
      </c>
      <c r="CP556" s="14" t="n">
        <v>0.548</v>
      </c>
      <c r="CQ556" s="14" t="n">
        <v>1.198</v>
      </c>
      <c r="CR556" s="14" t="n">
        <v>1</v>
      </c>
      <c r="CS556" s="14" t="n">
        <v>4.733</v>
      </c>
      <c r="CT556" s="14" t="n">
        <v>3.604</v>
      </c>
      <c r="CU556" s="14" t="n">
        <v>14.129</v>
      </c>
    </row>
    <row r="557">
      <c r="A557" s="14" t="inlineStr">
        <is>
          <t>MMR2022</t>
        </is>
      </c>
      <c r="B557" s="14" t="inlineStr">
        <is>
          <t>MMR</t>
        </is>
      </c>
      <c r="C557" s="14" t="inlineStr">
        <is>
          <t>MMR</t>
        </is>
      </c>
      <c r="D557" s="14" t="inlineStr">
        <is>
          <t>Myanmar</t>
        </is>
      </c>
      <c r="E557" s="14" t="n">
        <v>2022</v>
      </c>
      <c r="F557" s="14" t="n">
        <v>0</v>
      </c>
      <c r="G557" s="14" t="n">
        <v>1.912</v>
      </c>
      <c r="H557" s="14" t="n">
        <v>0.617</v>
      </c>
      <c r="I557" s="14" t="n">
        <v>0</v>
      </c>
      <c r="J557" s="14" t="n">
        <v>1.912</v>
      </c>
      <c r="K557" s="14" t="n">
        <v>0</v>
      </c>
      <c r="L557" s="14" t="n">
        <v>1</v>
      </c>
      <c r="M557" s="14" t="n">
        <v>3.147</v>
      </c>
      <c r="N557" s="14" t="n">
        <v>1.852</v>
      </c>
      <c r="O557" s="14" t="n">
        <v>0</v>
      </c>
      <c r="P557" s="14" t="n">
        <v>3.147</v>
      </c>
      <c r="Q557" s="14" t="n">
        <v>0</v>
      </c>
      <c r="R557" s="14" t="n">
        <v>1</v>
      </c>
      <c r="S557" s="14" t="n">
        <v>4.999</v>
      </c>
      <c r="T557" s="14" t="n">
        <v>3.704</v>
      </c>
      <c r="U557" s="14" t="n">
        <v>0</v>
      </c>
      <c r="V557" s="14" t="n">
        <v>4.999</v>
      </c>
      <c r="W557" s="14" t="n">
        <v>0</v>
      </c>
      <c r="X557" s="14" t="n">
        <v>1</v>
      </c>
      <c r="Y557" s="14" t="n">
        <v>5.729</v>
      </c>
      <c r="Z557" s="14" t="n">
        <v>0.629</v>
      </c>
      <c r="AA557" s="14" t="n">
        <v>0</v>
      </c>
      <c r="AB557" s="14" t="n">
        <v>5.729</v>
      </c>
      <c r="AC557" s="14" t="n">
        <v>0</v>
      </c>
      <c r="AD557" s="14" t="n">
        <v>1</v>
      </c>
      <c r="AE557" s="14" t="n">
        <v>6.347</v>
      </c>
      <c r="AF557" s="14" t="n">
        <v>1.234</v>
      </c>
      <c r="AG557" s="14" t="n">
        <v>0</v>
      </c>
      <c r="AH557" s="14" t="n">
        <v>6.347</v>
      </c>
      <c r="AI557" s="14" t="n">
        <v>0</v>
      </c>
      <c r="AJ557" s="14" t="n">
        <v>1</v>
      </c>
      <c r="AK557" s="14" t="n">
        <v>10.051</v>
      </c>
      <c r="AL557" s="14" t="n">
        <v>4.741</v>
      </c>
      <c r="AM557" s="14" t="n">
        <v>0</v>
      </c>
      <c r="AN557" s="14" t="n">
        <v>10.051</v>
      </c>
      <c r="AO557" s="14" t="n">
        <v>0</v>
      </c>
      <c r="AP557" s="14" t="n">
        <v>1</v>
      </c>
      <c r="AQ557" s="14" t="n">
        <v>0.847</v>
      </c>
      <c r="AR557" s="14" t="n">
        <v>0.123</v>
      </c>
      <c r="AS557" s="14" t="n">
        <v>0.129</v>
      </c>
      <c r="AT557" s="14" t="n">
        <v>0.975</v>
      </c>
      <c r="AU557" s="14" t="n">
        <v>0</v>
      </c>
      <c r="AV557" s="14" t="n">
        <v>1</v>
      </c>
      <c r="AW557" s="14" t="n">
        <v>0.947</v>
      </c>
      <c r="AX557" s="14" t="n">
        <v>0.123</v>
      </c>
      <c r="AY557" s="14" t="n">
        <v>0.109</v>
      </c>
      <c r="AZ557" s="14" t="n">
        <v>1.056</v>
      </c>
      <c r="BA557" s="14" t="n">
        <v>0</v>
      </c>
      <c r="BB557" s="14" t="n">
        <v>1</v>
      </c>
      <c r="BC557" s="14" t="n">
        <v>0.589</v>
      </c>
      <c r="BD557" s="14" t="n">
        <v>0.123</v>
      </c>
      <c r="BE557" s="14" t="n">
        <v>0</v>
      </c>
      <c r="BF557" s="14" t="n">
        <v>0.589</v>
      </c>
      <c r="BG557" s="14" t="n">
        <v>0</v>
      </c>
      <c r="BH557" s="14" t="n">
        <v>1</v>
      </c>
      <c r="BI557" s="14" t="n">
        <v>0.6889999999999999</v>
      </c>
      <c r="BJ557" s="14" t="n">
        <v>0.123</v>
      </c>
      <c r="BK557" s="14" t="n">
        <v>0</v>
      </c>
      <c r="BL557" s="14" t="n">
        <v>0.6889999999999999</v>
      </c>
      <c r="BM557" s="14" t="n">
        <v>0</v>
      </c>
      <c r="BN557" s="14" t="n">
        <v>1</v>
      </c>
      <c r="BO557" s="14" t="n">
        <v>0</v>
      </c>
      <c r="BP557" s="14" t="n">
        <v>0</v>
      </c>
      <c r="BQ557" s="14" t="n">
        <v>0.07000000000000001</v>
      </c>
      <c r="BR557" s="14" t="n">
        <v>0</v>
      </c>
      <c r="BS557" s="14" t="n">
        <v>0.833</v>
      </c>
      <c r="BT557" s="14" t="n">
        <v>0</v>
      </c>
      <c r="BU557" s="14" t="n">
        <v>0</v>
      </c>
      <c r="BV557" s="14" t="n">
        <v>0.018</v>
      </c>
      <c r="BW557" s="14" t="n">
        <v>0</v>
      </c>
      <c r="BX557" s="14" t="n">
        <v>0.667</v>
      </c>
      <c r="BY557" s="14" t="n">
        <v>12.729</v>
      </c>
      <c r="BZ557" s="14" t="n">
        <v>0</v>
      </c>
      <c r="CA557" s="14" t="n">
        <v>12.729</v>
      </c>
      <c r="CB557" s="14" t="n">
        <v>0</v>
      </c>
      <c r="CC557" s="14" t="n">
        <v>102.477</v>
      </c>
      <c r="CD557" s="14" t="n">
        <v>7.95</v>
      </c>
      <c r="CE557" s="14" t="n">
        <v>0</v>
      </c>
      <c r="CF557" s="14" t="n">
        <v>102.477</v>
      </c>
      <c r="CG557" s="14" t="n">
        <v>0</v>
      </c>
      <c r="CH557" s="14" t="n">
        <v>1</v>
      </c>
      <c r="CI557" s="14" t="n">
        <v>0</v>
      </c>
      <c r="CJ557" s="14" t="n">
        <v>0</v>
      </c>
      <c r="CK557" s="14" t="n">
        <v>0</v>
      </c>
      <c r="CL557" s="14" t="n">
        <v>0</v>
      </c>
      <c r="CM557" s="14" t="n">
        <v>0</v>
      </c>
      <c r="CN557" s="14" t="n">
        <v>0</v>
      </c>
      <c r="CO557" s="14" t="n">
        <v>0</v>
      </c>
      <c r="CP557" s="14" t="n">
        <v>1</v>
      </c>
      <c r="CQ557" s="14" t="n">
        <v>1.294</v>
      </c>
      <c r="CR557" s="14" t="n">
        <v>1</v>
      </c>
      <c r="CS557" s="14" t="n">
        <v>5.112</v>
      </c>
      <c r="CT557" s="14" t="n">
        <v>7.554</v>
      </c>
      <c r="CU557" s="14" t="n">
        <v>28.059</v>
      </c>
    </row>
    <row r="558">
      <c r="A558" s="14" t="inlineStr">
        <is>
          <t>MMR2023</t>
        </is>
      </c>
      <c r="B558" s="14" t="inlineStr">
        <is>
          <t>MMR</t>
        </is>
      </c>
      <c r="C558" s="14" t="inlineStr">
        <is>
          <t>MMR</t>
        </is>
      </c>
      <c r="D558" s="14" t="inlineStr">
        <is>
          <t>Myanmar</t>
        </is>
      </c>
      <c r="E558" s="14" t="n">
        <v>2023</v>
      </c>
      <c r="F558" s="14" t="n">
        <v>0</v>
      </c>
      <c r="G558" s="14" t="n">
        <v>1.99</v>
      </c>
      <c r="H558" s="14" t="n">
        <v>0.643</v>
      </c>
      <c r="I558" s="14" t="n">
        <v>0</v>
      </c>
      <c r="J558" s="14" t="n">
        <v>1.99</v>
      </c>
      <c r="K558" s="14" t="n">
        <v>0</v>
      </c>
      <c r="L558" s="14" t="n">
        <v>1</v>
      </c>
      <c r="M558" s="14" t="n">
        <v>3.276</v>
      </c>
      <c r="N558" s="14" t="n">
        <v>1.928</v>
      </c>
      <c r="O558" s="14" t="n">
        <v>0</v>
      </c>
      <c r="P558" s="14" t="n">
        <v>3.276</v>
      </c>
      <c r="Q558" s="14" t="n">
        <v>0</v>
      </c>
      <c r="R558" s="14" t="n">
        <v>1</v>
      </c>
      <c r="S558" s="14" t="n">
        <v>5.205</v>
      </c>
      <c r="T558" s="14" t="n">
        <v>3.857</v>
      </c>
      <c r="U558" s="14" t="n">
        <v>0</v>
      </c>
      <c r="V558" s="14" t="n">
        <v>5.205</v>
      </c>
      <c r="W558" s="14" t="n">
        <v>0</v>
      </c>
      <c r="X558" s="14" t="n">
        <v>1</v>
      </c>
      <c r="Y558" s="14" t="n">
        <v>5.966</v>
      </c>
      <c r="Z558" s="14" t="n">
        <v>0.655</v>
      </c>
      <c r="AA558" s="14" t="n">
        <v>0</v>
      </c>
      <c r="AB558" s="14" t="n">
        <v>5.966</v>
      </c>
      <c r="AC558" s="14" t="n">
        <v>0</v>
      </c>
      <c r="AD558" s="14" t="n">
        <v>1</v>
      </c>
      <c r="AE558" s="14" t="n">
        <v>6.608</v>
      </c>
      <c r="AF558" s="14" t="n">
        <v>1.285</v>
      </c>
      <c r="AG558" s="14" t="n">
        <v>0</v>
      </c>
      <c r="AH558" s="14" t="n">
        <v>6.608</v>
      </c>
      <c r="AI558" s="14" t="n">
        <v>0</v>
      </c>
      <c r="AJ558" s="14" t="n">
        <v>1</v>
      </c>
      <c r="AK558" s="14" t="n">
        <v>10.465</v>
      </c>
      <c r="AL558" s="14" t="n">
        <v>4.937</v>
      </c>
      <c r="AM558" s="14" t="n">
        <v>0</v>
      </c>
      <c r="AN558" s="14" t="n">
        <v>10.465</v>
      </c>
      <c r="AO558" s="14" t="n">
        <v>0</v>
      </c>
      <c r="AP558" s="14" t="n">
        <v>1</v>
      </c>
      <c r="AQ558" s="14" t="n">
        <v>0.749</v>
      </c>
      <c r="AR558" s="14" t="n">
        <v>0.129</v>
      </c>
      <c r="AS558" s="14" t="n">
        <v>0.581</v>
      </c>
      <c r="AT558" s="14" t="n">
        <v>1.33</v>
      </c>
      <c r="AU558" s="14" t="n">
        <v>0</v>
      </c>
      <c r="AV558" s="14" t="n">
        <v>1</v>
      </c>
      <c r="AW558" s="14" t="n">
        <v>0.783</v>
      </c>
      <c r="AX558" s="14" t="n">
        <v>0.129</v>
      </c>
      <c r="AY558" s="14" t="n">
        <v>0.49</v>
      </c>
      <c r="AZ558" s="14" t="n">
        <v>1.272</v>
      </c>
      <c r="BA558" s="14" t="n">
        <v>0</v>
      </c>
      <c r="BB558" s="14" t="n">
        <v>1</v>
      </c>
      <c r="BC558" s="14" t="n">
        <v>0.527</v>
      </c>
      <c r="BD558" s="14" t="n">
        <v>0.129</v>
      </c>
      <c r="BE558" s="14" t="n">
        <v>0</v>
      </c>
      <c r="BF558" s="14" t="n">
        <v>0.527</v>
      </c>
      <c r="BG558" s="14" t="n">
        <v>0</v>
      </c>
      <c r="BH558" s="14" t="n">
        <v>1</v>
      </c>
      <c r="BI558" s="14" t="n">
        <v>0.64</v>
      </c>
      <c r="BJ558" s="14" t="n">
        <v>0.129</v>
      </c>
      <c r="BK558" s="14" t="n">
        <v>0</v>
      </c>
      <c r="BL558" s="14" t="n">
        <v>0.64</v>
      </c>
      <c r="BM558" s="14" t="n">
        <v>0</v>
      </c>
      <c r="BN558" s="14" t="n">
        <v>1</v>
      </c>
      <c r="BO558" s="14" t="n">
        <v>0</v>
      </c>
      <c r="BP558" s="14" t="n">
        <v>0</v>
      </c>
      <c r="BQ558" s="14" t="n">
        <v>0.064</v>
      </c>
      <c r="BR558" s="14" t="n">
        <v>0</v>
      </c>
      <c r="BS558" s="14" t="n">
        <v>0.833</v>
      </c>
      <c r="BT558" s="14" t="n">
        <v>0</v>
      </c>
      <c r="BU558" s="14" t="n">
        <v>0</v>
      </c>
      <c r="BV558" s="14" t="n">
        <v>0.017</v>
      </c>
      <c r="BW558" s="14" t="n">
        <v>0</v>
      </c>
      <c r="BX558" s="14" t="n">
        <v>0.667</v>
      </c>
      <c r="BY558" s="14" t="n">
        <v>13.254</v>
      </c>
      <c r="BZ558" s="14" t="n">
        <v>0</v>
      </c>
      <c r="CA558" s="14" t="n">
        <v>13.254</v>
      </c>
      <c r="CB558" s="14" t="n">
        <v>0</v>
      </c>
      <c r="CC558" s="14" t="n">
        <v>87.07899999999999</v>
      </c>
      <c r="CD558" s="14" t="n">
        <v>7.95</v>
      </c>
      <c r="CE558" s="14" t="n">
        <v>0</v>
      </c>
      <c r="CF558" s="14" t="n">
        <v>87.07899999999999</v>
      </c>
      <c r="CG558" s="14" t="n">
        <v>0</v>
      </c>
      <c r="CH558" s="14" t="n">
        <v>1</v>
      </c>
      <c r="CI558" s="14" t="n">
        <v>0</v>
      </c>
      <c r="CJ558" s="14" t="n">
        <v>0</v>
      </c>
      <c r="CK558" s="14" t="n">
        <v>0</v>
      </c>
      <c r="CL558" s="14" t="n">
        <v>0</v>
      </c>
      <c r="CM558" s="14" t="n">
        <v>0</v>
      </c>
      <c r="CN558" s="14" t="n">
        <v>0</v>
      </c>
      <c r="CO558" s="14" t="n">
        <v>0</v>
      </c>
      <c r="CP558" s="14" t="n">
        <v>1</v>
      </c>
      <c r="CQ558" s="14" t="n">
        <v>1.348</v>
      </c>
      <c r="CR558" s="14" t="n">
        <v>1</v>
      </c>
      <c r="CS558" s="14" t="n">
        <v>5.323</v>
      </c>
      <c r="CT558" s="14" t="n">
        <v>4.484</v>
      </c>
      <c r="CU558" s="14" t="n">
        <v>9.260999999999999</v>
      </c>
    </row>
    <row r="559">
      <c r="A559" s="14" t="inlineStr">
        <is>
          <t>MMR2024</t>
        </is>
      </c>
      <c r="B559" s="14" t="inlineStr">
        <is>
          <t>MMR</t>
        </is>
      </c>
      <c r="C559" s="14" t="inlineStr">
        <is>
          <t>MMR</t>
        </is>
      </c>
      <c r="D559" s="14" t="inlineStr">
        <is>
          <t>Myanmar</t>
        </is>
      </c>
      <c r="E559" s="14" t="n">
        <v>2024</v>
      </c>
      <c r="F559" s="14" t="n">
        <v>0</v>
      </c>
      <c r="G559" s="14" t="n">
        <v>2.049</v>
      </c>
      <c r="H559" s="14" t="n">
        <v>0.662</v>
      </c>
      <c r="I559" s="14" t="n">
        <v>0</v>
      </c>
      <c r="J559" s="14" t="n">
        <v>2.049</v>
      </c>
      <c r="K559" s="14" t="n">
        <v>0</v>
      </c>
      <c r="L559" s="14" t="n">
        <v>1</v>
      </c>
      <c r="M559" s="14" t="n">
        <v>3.373</v>
      </c>
      <c r="N559" s="14" t="n">
        <v>1.985</v>
      </c>
      <c r="O559" s="14" t="n">
        <v>0</v>
      </c>
      <c r="P559" s="14" t="n">
        <v>3.373</v>
      </c>
      <c r="Q559" s="14" t="n">
        <v>0</v>
      </c>
      <c r="R559" s="14" t="n">
        <v>1</v>
      </c>
      <c r="S559" s="14" t="n">
        <v>5.358</v>
      </c>
      <c r="T559" s="14" t="n">
        <v>3.971</v>
      </c>
      <c r="U559" s="14" t="n">
        <v>0</v>
      </c>
      <c r="V559" s="14" t="n">
        <v>5.358</v>
      </c>
      <c r="W559" s="14" t="n">
        <v>0</v>
      </c>
      <c r="X559" s="14" t="n">
        <v>1</v>
      </c>
      <c r="Y559" s="14" t="n">
        <v>6.142</v>
      </c>
      <c r="Z559" s="14" t="n">
        <v>0.674</v>
      </c>
      <c r="AA559" s="14" t="n">
        <v>0</v>
      </c>
      <c r="AB559" s="14" t="n">
        <v>6.142</v>
      </c>
      <c r="AC559" s="14" t="n">
        <v>0</v>
      </c>
      <c r="AD559" s="14" t="n">
        <v>1</v>
      </c>
      <c r="AE559" s="14" t="n">
        <v>6.804</v>
      </c>
      <c r="AF559" s="14" t="n">
        <v>1.323</v>
      </c>
      <c r="AG559" s="14" t="n">
        <v>0</v>
      </c>
      <c r="AH559" s="14" t="n">
        <v>6.804</v>
      </c>
      <c r="AI559" s="14" t="n">
        <v>0</v>
      </c>
      <c r="AJ559" s="14" t="n">
        <v>1</v>
      </c>
      <c r="AK559" s="14" t="n">
        <v>10.774</v>
      </c>
      <c r="AL559" s="14" t="n">
        <v>5.083</v>
      </c>
      <c r="AM559" s="14" t="n">
        <v>0</v>
      </c>
      <c r="AN559" s="14" t="n">
        <v>10.774</v>
      </c>
      <c r="AO559" s="14" t="n">
        <v>0</v>
      </c>
      <c r="AP559" s="14" t="n">
        <v>1</v>
      </c>
      <c r="AQ559" s="14" t="n">
        <v>0.72</v>
      </c>
      <c r="AR559" s="14" t="n">
        <v>0.132</v>
      </c>
      <c r="AS559" s="14" t="n">
        <v>0.673</v>
      </c>
      <c r="AT559" s="14" t="n">
        <v>1.392</v>
      </c>
      <c r="AU559" s="14" t="n">
        <v>0</v>
      </c>
      <c r="AV559" s="14" t="n">
        <v>1</v>
      </c>
      <c r="AW559" s="14" t="n">
        <v>0.734</v>
      </c>
      <c r="AX559" s="14" t="n">
        <v>0.132</v>
      </c>
      <c r="AY559" s="14" t="n">
        <v>0.377</v>
      </c>
      <c r="AZ559" s="14" t="n">
        <v>1.111</v>
      </c>
      <c r="BA559" s="14" t="n">
        <v>0</v>
      </c>
      <c r="BB559" s="14" t="n">
        <v>1</v>
      </c>
      <c r="BC559" s="14" t="n">
        <v>0.51</v>
      </c>
      <c r="BD559" s="14" t="n">
        <v>0.132</v>
      </c>
      <c r="BE559" s="14" t="n">
        <v>0</v>
      </c>
      <c r="BF559" s="14" t="n">
        <v>0.51</v>
      </c>
      <c r="BG559" s="14" t="n">
        <v>0</v>
      </c>
      <c r="BH559" s="14" t="n">
        <v>1</v>
      </c>
      <c r="BI559" s="14" t="n">
        <v>0.652</v>
      </c>
      <c r="BJ559" s="14" t="n">
        <v>0.132</v>
      </c>
      <c r="BK559" s="14" t="n">
        <v>0</v>
      </c>
      <c r="BL559" s="14" t="n">
        <v>0.652</v>
      </c>
      <c r="BM559" s="14" t="n">
        <v>0</v>
      </c>
      <c r="BN559" s="14" t="n">
        <v>1</v>
      </c>
      <c r="BO559" s="14" t="n">
        <v>0</v>
      </c>
      <c r="BP559" s="14" t="n">
        <v>0</v>
      </c>
      <c r="BQ559" s="14" t="n">
        <v>0.066</v>
      </c>
      <c r="BR559" s="14" t="n">
        <v>0</v>
      </c>
      <c r="BS559" s="14" t="n">
        <v>0.833</v>
      </c>
      <c r="BT559" s="14" t="n">
        <v>0</v>
      </c>
      <c r="BU559" s="14" t="n">
        <v>0</v>
      </c>
      <c r="BV559" s="14" t="n">
        <v>0.017</v>
      </c>
      <c r="BW559" s="14" t="n">
        <v>0</v>
      </c>
      <c r="BX559" s="14" t="n">
        <v>0.667</v>
      </c>
      <c r="BY559" s="14" t="n">
        <v>13.646</v>
      </c>
      <c r="BZ559" s="14" t="n">
        <v>0</v>
      </c>
      <c r="CA559" s="14" t="n">
        <v>13.646</v>
      </c>
      <c r="CB559" s="14" t="n">
        <v>0</v>
      </c>
      <c r="CC559" s="14" t="n">
        <v>86.38500000000001</v>
      </c>
      <c r="CD559" s="14" t="n">
        <v>7.95</v>
      </c>
      <c r="CE559" s="14" t="n">
        <v>0</v>
      </c>
      <c r="CF559" s="14" t="n">
        <v>86.38500000000001</v>
      </c>
      <c r="CG559" s="14" t="n">
        <v>0</v>
      </c>
      <c r="CH559" s="14" t="n">
        <v>1</v>
      </c>
      <c r="CI559" s="14" t="n">
        <v>0</v>
      </c>
      <c r="CJ559" s="14" t="n">
        <v>0</v>
      </c>
      <c r="CK559" s="14" t="n">
        <v>0</v>
      </c>
      <c r="CL559" s="14" t="n">
        <v>0</v>
      </c>
      <c r="CM559" s="14" t="n">
        <v>0</v>
      </c>
      <c r="CN559" s="14" t="n">
        <v>0</v>
      </c>
      <c r="CO559" s="14" t="n">
        <v>0</v>
      </c>
      <c r="CP559" s="14" t="n">
        <v>1</v>
      </c>
      <c r="CQ559" s="14" t="n">
        <v>1.387</v>
      </c>
      <c r="CR559" s="14" t="n">
        <v>1</v>
      </c>
      <c r="CS559" s="14" t="n">
        <v>5.48</v>
      </c>
      <c r="CT559" s="14" t="n">
        <v>3.509</v>
      </c>
      <c r="CU559" s="14" t="n">
        <v>7.598</v>
      </c>
    </row>
    <row r="560">
      <c r="A560" s="14" t="inlineStr">
        <is>
          <t>NAM2021</t>
        </is>
      </c>
      <c r="B560" s="14" t="inlineStr">
        <is>
          <t>NAM</t>
        </is>
      </c>
      <c r="C560" s="14" t="inlineStr">
        <is>
          <t>NAM</t>
        </is>
      </c>
      <c r="D560" s="14" t="inlineStr">
        <is>
          <t>Namibia</t>
        </is>
      </c>
      <c r="E560" s="14" t="n">
        <v>2021</v>
      </c>
      <c r="F560" s="14" t="n">
        <v>0.15</v>
      </c>
      <c r="G560" s="14" t="n">
        <v>5.897</v>
      </c>
      <c r="H560" s="14" t="n">
        <v>1.143</v>
      </c>
      <c r="I560" s="14" t="n">
        <v>0</v>
      </c>
      <c r="J560" s="14" t="n">
        <v>5.897</v>
      </c>
      <c r="K560" s="14" t="n">
        <v>0</v>
      </c>
      <c r="L560" s="14" t="n">
        <v>1</v>
      </c>
      <c r="M560" s="14" t="n">
        <v>7.964</v>
      </c>
      <c r="N560" s="14" t="n">
        <v>3.43</v>
      </c>
      <c r="O560" s="14" t="n">
        <v>0</v>
      </c>
      <c r="P560" s="14" t="n">
        <v>7.964</v>
      </c>
      <c r="Q560" s="14" t="n">
        <v>0</v>
      </c>
      <c r="R560" s="14" t="n">
        <v>1</v>
      </c>
      <c r="S560" s="14" t="n">
        <v>11.613</v>
      </c>
      <c r="T560" s="14" t="n">
        <v>6.86</v>
      </c>
      <c r="U560" s="14" t="n">
        <v>0</v>
      </c>
      <c r="V560" s="14" t="n">
        <v>13.355</v>
      </c>
      <c r="W560" s="14" t="n">
        <v>0.15</v>
      </c>
      <c r="X560" s="14" t="n">
        <v>1</v>
      </c>
      <c r="Y560" s="14" t="n">
        <v>16.268</v>
      </c>
      <c r="Z560" s="14" t="n">
        <v>2.199</v>
      </c>
      <c r="AA560" s="14" t="n">
        <v>0</v>
      </c>
      <c r="AB560" s="14" t="n">
        <v>16.268</v>
      </c>
      <c r="AC560" s="14" t="n">
        <v>0</v>
      </c>
      <c r="AD560" s="14" t="n">
        <v>1</v>
      </c>
      <c r="AE560" s="14" t="n">
        <v>17.411</v>
      </c>
      <c r="AF560" s="14" t="n">
        <v>4.071</v>
      </c>
      <c r="AG560" s="14" t="n">
        <v>0</v>
      </c>
      <c r="AH560" s="14" t="n">
        <v>17.411</v>
      </c>
      <c r="AI560" s="14" t="n">
        <v>0</v>
      </c>
      <c r="AJ560" s="14" t="n">
        <v>1</v>
      </c>
      <c r="AK560" s="14" t="n">
        <v>24.271</v>
      </c>
      <c r="AL560" s="14" t="n">
        <v>12.927</v>
      </c>
      <c r="AM560" s="14" t="n">
        <v>0</v>
      </c>
      <c r="AN560" s="14" t="n">
        <v>27.911</v>
      </c>
      <c r="AO560" s="14" t="n">
        <v>0.15</v>
      </c>
      <c r="AP560" s="14" t="n">
        <v>1</v>
      </c>
      <c r="AQ560" s="14" t="n">
        <v>0.619</v>
      </c>
      <c r="AR560" s="14" t="n">
        <v>0.114</v>
      </c>
      <c r="AS560" s="14" t="n">
        <v>0.171</v>
      </c>
      <c r="AT560" s="14" t="n">
        <v>0.909</v>
      </c>
      <c r="AU560" s="14" t="n">
        <v>0.15</v>
      </c>
      <c r="AV560" s="14" t="n">
        <v>1</v>
      </c>
      <c r="AW560" s="14" t="n">
        <v>0.599</v>
      </c>
      <c r="AX560" s="14" t="n">
        <v>0.114</v>
      </c>
      <c r="AY560" s="14" t="n">
        <v>0.189</v>
      </c>
      <c r="AZ560" s="14" t="n">
        <v>0.907</v>
      </c>
      <c r="BA560" s="14" t="n">
        <v>0.15</v>
      </c>
      <c r="BB560" s="14" t="n">
        <v>1</v>
      </c>
      <c r="BC560" s="14" t="n">
        <v>0.439</v>
      </c>
      <c r="BD560" s="14" t="n">
        <v>0.114</v>
      </c>
      <c r="BE560" s="14" t="n">
        <v>0</v>
      </c>
      <c r="BF560" s="14" t="n">
        <v>0.505</v>
      </c>
      <c r="BG560" s="14" t="n">
        <v>0.15</v>
      </c>
      <c r="BH560" s="14" t="n">
        <v>1</v>
      </c>
      <c r="BI560" s="14" t="n">
        <v>0.505</v>
      </c>
      <c r="BJ560" s="14" t="n">
        <v>0.114</v>
      </c>
      <c r="BK560" s="14" t="n">
        <v>0</v>
      </c>
      <c r="BL560" s="14" t="n">
        <v>0.58</v>
      </c>
      <c r="BM560" s="14" t="n">
        <v>0.15</v>
      </c>
      <c r="BN560" s="14" t="n">
        <v>1</v>
      </c>
      <c r="BO560" s="14" t="n">
        <v>0</v>
      </c>
      <c r="BP560" s="14" t="n">
        <v>0</v>
      </c>
      <c r="BQ560" s="14" t="n">
        <v>0.148</v>
      </c>
      <c r="BR560" s="14" t="n">
        <v>0</v>
      </c>
      <c r="BS560" s="14" t="n">
        <v>0.833</v>
      </c>
      <c r="BT560" s="14" t="n">
        <v>0</v>
      </c>
      <c r="BU560" s="14" t="n">
        <v>0</v>
      </c>
      <c r="BV560" s="14" t="n">
        <v>0.138</v>
      </c>
      <c r="BW560" s="14" t="n">
        <v>0.15</v>
      </c>
      <c r="BX560" s="14" t="n">
        <v>1</v>
      </c>
      <c r="BY560" s="14" t="n">
        <v>11.787</v>
      </c>
      <c r="BZ560" s="14" t="n">
        <v>0</v>
      </c>
      <c r="CA560" s="14" t="n">
        <v>11.787</v>
      </c>
      <c r="CB560" s="14" t="n">
        <v>0</v>
      </c>
      <c r="CC560" s="14" t="n">
        <v>78.125</v>
      </c>
      <c r="CD560" s="14" t="n">
        <v>7.95</v>
      </c>
      <c r="CE560" s="14" t="n">
        <v>0</v>
      </c>
      <c r="CF560" s="14" t="n">
        <v>89.84399999999999</v>
      </c>
      <c r="CG560" s="14" t="n">
        <v>0.15</v>
      </c>
      <c r="CH560" s="14" t="n">
        <v>1</v>
      </c>
      <c r="CI560" s="14" t="n">
        <v>0</v>
      </c>
      <c r="CJ560" s="14" t="n">
        <v>0</v>
      </c>
      <c r="CK560" s="14" t="n">
        <v>0</v>
      </c>
      <c r="CL560" s="14" t="n">
        <v>0</v>
      </c>
      <c r="CM560" s="14" t="n">
        <v>0</v>
      </c>
      <c r="CN560" s="14" t="n">
        <v>0</v>
      </c>
      <c r="CO560" s="14" t="n">
        <v>0</v>
      </c>
      <c r="CP560" s="14" t="n">
        <v>0</v>
      </c>
      <c r="CQ560" s="14" t="n">
        <v>1.198</v>
      </c>
      <c r="CR560" s="14" t="n">
        <v>0</v>
      </c>
      <c r="CS560" s="14" t="n">
        <v>10.295</v>
      </c>
      <c r="CT560" s="14" t="n">
        <v>4.753</v>
      </c>
      <c r="CU560" s="14" t="n">
        <v>15.162</v>
      </c>
    </row>
    <row r="561">
      <c r="A561" s="14" t="inlineStr">
        <is>
          <t>NAM2022</t>
        </is>
      </c>
      <c r="B561" s="14" t="inlineStr">
        <is>
          <t>NAM</t>
        </is>
      </c>
      <c r="C561" s="14" t="inlineStr">
        <is>
          <t>NAM</t>
        </is>
      </c>
      <c r="D561" s="14" t="inlineStr">
        <is>
          <t>Namibia</t>
        </is>
      </c>
      <c r="E561" s="14" t="n">
        <v>2022</v>
      </c>
      <c r="F561" s="14" t="n">
        <v>0.15</v>
      </c>
      <c r="G561" s="14" t="n">
        <v>11.72</v>
      </c>
      <c r="H561" s="14" t="n">
        <v>1.235</v>
      </c>
      <c r="I561" s="14" t="n">
        <v>0</v>
      </c>
      <c r="J561" s="14" t="n">
        <v>11.72</v>
      </c>
      <c r="K561" s="14" t="n">
        <v>0</v>
      </c>
      <c r="L561" s="14" t="n">
        <v>1</v>
      </c>
      <c r="M561" s="14" t="n">
        <v>9.782999999999999</v>
      </c>
      <c r="N561" s="14" t="n">
        <v>3.704</v>
      </c>
      <c r="O561" s="14" t="n">
        <v>0</v>
      </c>
      <c r="P561" s="14" t="n">
        <v>9.782999999999999</v>
      </c>
      <c r="Q561" s="14" t="n">
        <v>0</v>
      </c>
      <c r="R561" s="14" t="n">
        <v>1</v>
      </c>
      <c r="S561" s="14" t="n">
        <v>17.893</v>
      </c>
      <c r="T561" s="14" t="n">
        <v>7.408</v>
      </c>
      <c r="U561" s="14" t="n">
        <v>0.199</v>
      </c>
      <c r="V561" s="14" t="n">
        <v>20.577</v>
      </c>
      <c r="W561" s="14" t="n">
        <v>0.15</v>
      </c>
      <c r="X561" s="14" t="n">
        <v>1</v>
      </c>
      <c r="Y561" s="14" t="n">
        <v>32.398</v>
      </c>
      <c r="Z561" s="14" t="n">
        <v>4.379</v>
      </c>
      <c r="AA561" s="14" t="n">
        <v>0</v>
      </c>
      <c r="AB561" s="14" t="n">
        <v>32.398</v>
      </c>
      <c r="AC561" s="14" t="n">
        <v>0</v>
      </c>
      <c r="AD561" s="14" t="n">
        <v>1</v>
      </c>
      <c r="AE561" s="14" t="n">
        <v>33.633</v>
      </c>
      <c r="AF561" s="14" t="n">
        <v>7.864</v>
      </c>
      <c r="AG561" s="14" t="n">
        <v>0</v>
      </c>
      <c r="AH561" s="14" t="n">
        <v>33.633</v>
      </c>
      <c r="AI561" s="14" t="n">
        <v>0</v>
      </c>
      <c r="AJ561" s="14" t="n">
        <v>1</v>
      </c>
      <c r="AK561" s="14" t="n">
        <v>41.041</v>
      </c>
      <c r="AL561" s="14" t="n">
        <v>21.858</v>
      </c>
      <c r="AM561" s="14" t="n">
        <v>0.456</v>
      </c>
      <c r="AN561" s="14" t="n">
        <v>47.197</v>
      </c>
      <c r="AO561" s="14" t="n">
        <v>0.15</v>
      </c>
      <c r="AP561" s="14" t="n">
        <v>1</v>
      </c>
      <c r="AQ561" s="14" t="n">
        <v>0.861</v>
      </c>
      <c r="AR561" s="14" t="n">
        <v>0.123</v>
      </c>
      <c r="AS561" s="14" t="n">
        <v>0.154</v>
      </c>
      <c r="AT561" s="14" t="n">
        <v>1.167</v>
      </c>
      <c r="AU561" s="14" t="n">
        <v>0.15</v>
      </c>
      <c r="AV561" s="14" t="n">
        <v>1</v>
      </c>
      <c r="AW561" s="14" t="n">
        <v>0.986</v>
      </c>
      <c r="AX561" s="14" t="n">
        <v>0.123</v>
      </c>
      <c r="AY561" s="14" t="n">
        <v>0.105</v>
      </c>
      <c r="AZ561" s="14" t="n">
        <v>1.255</v>
      </c>
      <c r="BA561" s="14" t="n">
        <v>0.15</v>
      </c>
      <c r="BB561" s="14" t="n">
        <v>1</v>
      </c>
      <c r="BC561" s="14" t="n">
        <v>0.598</v>
      </c>
      <c r="BD561" s="14" t="n">
        <v>0.123</v>
      </c>
      <c r="BE561" s="14" t="n">
        <v>0.007</v>
      </c>
      <c r="BF561" s="14" t="n">
        <v>0.6879999999999999</v>
      </c>
      <c r="BG561" s="14" t="n">
        <v>0.15</v>
      </c>
      <c r="BH561" s="14" t="n">
        <v>1</v>
      </c>
      <c r="BI561" s="14" t="n">
        <v>0.612</v>
      </c>
      <c r="BJ561" s="14" t="n">
        <v>0.123</v>
      </c>
      <c r="BK561" s="14" t="n">
        <v>0.007</v>
      </c>
      <c r="BL561" s="14" t="n">
        <v>0.704</v>
      </c>
      <c r="BM561" s="14" t="n">
        <v>0.15</v>
      </c>
      <c r="BN561" s="14" t="n">
        <v>1</v>
      </c>
      <c r="BO561" s="14" t="n">
        <v>0</v>
      </c>
      <c r="BP561" s="14" t="n">
        <v>0</v>
      </c>
      <c r="BQ561" s="14" t="n">
        <v>0.136</v>
      </c>
      <c r="BR561" s="14" t="n">
        <v>0</v>
      </c>
      <c r="BS561" s="14" t="n">
        <v>0.833</v>
      </c>
      <c r="BT561" s="14" t="n">
        <v>0</v>
      </c>
      <c r="BU561" s="14" t="n">
        <v>0</v>
      </c>
      <c r="BV561" s="14" t="n">
        <v>0.127</v>
      </c>
      <c r="BW561" s="14" t="n">
        <v>0.15</v>
      </c>
      <c r="BX561" s="14" t="n">
        <v>1</v>
      </c>
      <c r="BY561" s="14" t="n">
        <v>12.729</v>
      </c>
      <c r="BZ561" s="14" t="n">
        <v>0</v>
      </c>
      <c r="CA561" s="14" t="n">
        <v>12.729</v>
      </c>
      <c r="CB561" s="14" t="n">
        <v>0</v>
      </c>
      <c r="CC561" s="14" t="n">
        <v>97.90000000000001</v>
      </c>
      <c r="CD561" s="14" t="n">
        <v>7.95</v>
      </c>
      <c r="CE561" s="14" t="n">
        <v>1.087</v>
      </c>
      <c r="CF561" s="14" t="n">
        <v>112.585</v>
      </c>
      <c r="CG561" s="14" t="n">
        <v>0.15</v>
      </c>
      <c r="CH561" s="14" t="n">
        <v>1</v>
      </c>
      <c r="CI561" s="14" t="n">
        <v>0</v>
      </c>
      <c r="CJ561" s="14" t="n">
        <v>0</v>
      </c>
      <c r="CK561" s="14" t="n">
        <v>0</v>
      </c>
      <c r="CL561" s="14" t="n">
        <v>0</v>
      </c>
      <c r="CM561" s="14" t="n">
        <v>0</v>
      </c>
      <c r="CN561" s="14" t="n">
        <v>0</v>
      </c>
      <c r="CO561" s="14" t="n">
        <v>0</v>
      </c>
      <c r="CP561" s="14" t="n">
        <v>0</v>
      </c>
      <c r="CQ561" s="14" t="n">
        <v>1.294</v>
      </c>
      <c r="CR561" s="14" t="n">
        <v>0</v>
      </c>
      <c r="CS561" s="14" t="n">
        <v>11.117</v>
      </c>
      <c r="CT561" s="14" t="n">
        <v>10.485</v>
      </c>
      <c r="CU561" s="14" t="n">
        <v>31.326</v>
      </c>
    </row>
    <row r="562">
      <c r="A562" s="14" t="inlineStr">
        <is>
          <t>NAM2023</t>
        </is>
      </c>
      <c r="B562" s="14" t="inlineStr">
        <is>
          <t>NAM</t>
        </is>
      </c>
      <c r="C562" s="14" t="inlineStr">
        <is>
          <t>NAM</t>
        </is>
      </c>
      <c r="D562" s="14" t="inlineStr">
        <is>
          <t>Namibia</t>
        </is>
      </c>
      <c r="E562" s="14" t="n">
        <v>2023</v>
      </c>
      <c r="F562" s="14" t="n">
        <v>0.15</v>
      </c>
      <c r="G562" s="14" t="n">
        <v>6.147</v>
      </c>
      <c r="H562" s="14" t="n">
        <v>1.286</v>
      </c>
      <c r="I562" s="14" t="n">
        <v>0</v>
      </c>
      <c r="J562" s="14" t="n">
        <v>6.147</v>
      </c>
      <c r="K562" s="14" t="n">
        <v>0</v>
      </c>
      <c r="L562" s="14" t="n">
        <v>1</v>
      </c>
      <c r="M562" s="14" t="n">
        <v>7.886</v>
      </c>
      <c r="N562" s="14" t="n">
        <v>3.857</v>
      </c>
      <c r="O562" s="14" t="n">
        <v>0</v>
      </c>
      <c r="P562" s="14" t="n">
        <v>7.886</v>
      </c>
      <c r="Q562" s="14" t="n">
        <v>0</v>
      </c>
      <c r="R562" s="14" t="n">
        <v>1</v>
      </c>
      <c r="S562" s="14" t="n">
        <v>12.575</v>
      </c>
      <c r="T562" s="14" t="n">
        <v>7.714</v>
      </c>
      <c r="U562" s="14" t="n">
        <v>0.209</v>
      </c>
      <c r="V562" s="14" t="n">
        <v>14.461</v>
      </c>
      <c r="W562" s="14" t="n">
        <v>0.15</v>
      </c>
      <c r="X562" s="14" t="n">
        <v>1</v>
      </c>
      <c r="Y562" s="14" t="n">
        <v>12.851</v>
      </c>
      <c r="Z562" s="14" t="n">
        <v>1.737</v>
      </c>
      <c r="AA562" s="14" t="n">
        <v>0</v>
      </c>
      <c r="AB562" s="14" t="n">
        <v>12.851</v>
      </c>
      <c r="AC562" s="14" t="n">
        <v>0</v>
      </c>
      <c r="AD562" s="14" t="n">
        <v>1</v>
      </c>
      <c r="AE562" s="14" t="n">
        <v>14.136</v>
      </c>
      <c r="AF562" s="14" t="n">
        <v>3.306</v>
      </c>
      <c r="AG562" s="14" t="n">
        <v>0</v>
      </c>
      <c r="AH562" s="14" t="n">
        <v>14.136</v>
      </c>
      <c r="AI562" s="14" t="n">
        <v>0</v>
      </c>
      <c r="AJ562" s="14" t="n">
        <v>1</v>
      </c>
      <c r="AK562" s="14" t="n">
        <v>21.85</v>
      </c>
      <c r="AL562" s="14" t="n">
        <v>11.637</v>
      </c>
      <c r="AM562" s="14" t="n">
        <v>0.363</v>
      </c>
      <c r="AN562" s="14" t="n">
        <v>25.128</v>
      </c>
      <c r="AO562" s="14" t="n">
        <v>0.15</v>
      </c>
      <c r="AP562" s="14" t="n">
        <v>1</v>
      </c>
      <c r="AQ562" s="14" t="n">
        <v>0.76</v>
      </c>
      <c r="AR562" s="14" t="n">
        <v>0.129</v>
      </c>
      <c r="AS562" s="14" t="n">
        <v>0.196</v>
      </c>
      <c r="AT562" s="14" t="n">
        <v>1.1</v>
      </c>
      <c r="AU562" s="14" t="n">
        <v>0.15</v>
      </c>
      <c r="AV562" s="14" t="n">
        <v>1</v>
      </c>
      <c r="AW562" s="14" t="n">
        <v>0.8110000000000001</v>
      </c>
      <c r="AX562" s="14" t="n">
        <v>0.129</v>
      </c>
      <c r="AY562" s="14" t="n">
        <v>0.162</v>
      </c>
      <c r="AZ562" s="14" t="n">
        <v>1.12</v>
      </c>
      <c r="BA562" s="14" t="n">
        <v>0.15</v>
      </c>
      <c r="BB562" s="14" t="n">
        <v>1</v>
      </c>
      <c r="BC562" s="14" t="n">
        <v>0.535</v>
      </c>
      <c r="BD562" s="14" t="n">
        <v>0.129</v>
      </c>
      <c r="BE562" s="14" t="n">
        <v>0.008999999999999999</v>
      </c>
      <c r="BF562" s="14" t="n">
        <v>0.615</v>
      </c>
      <c r="BG562" s="14" t="n">
        <v>0.15</v>
      </c>
      <c r="BH562" s="14" t="n">
        <v>1</v>
      </c>
      <c r="BI562" s="14" t="n">
        <v>0.579</v>
      </c>
      <c r="BJ562" s="14" t="n">
        <v>0.129</v>
      </c>
      <c r="BK562" s="14" t="n">
        <v>0.01</v>
      </c>
      <c r="BL562" s="14" t="n">
        <v>0.666</v>
      </c>
      <c r="BM562" s="14" t="n">
        <v>0.15</v>
      </c>
      <c r="BN562" s="14" t="n">
        <v>1</v>
      </c>
      <c r="BO562" s="14" t="n">
        <v>0</v>
      </c>
      <c r="BP562" s="14" t="n">
        <v>0</v>
      </c>
      <c r="BQ562" s="14" t="n">
        <v>0.08699999999999999</v>
      </c>
      <c r="BR562" s="14" t="n">
        <v>0</v>
      </c>
      <c r="BS562" s="14" t="n">
        <v>0.833</v>
      </c>
      <c r="BT562" s="14" t="n">
        <v>0</v>
      </c>
      <c r="BU562" s="14" t="n">
        <v>0</v>
      </c>
      <c r="BV562" s="14" t="n">
        <v>0.131</v>
      </c>
      <c r="BW562" s="14" t="n">
        <v>0.15</v>
      </c>
      <c r="BX562" s="14" t="n">
        <v>1</v>
      </c>
      <c r="BY562" s="14" t="n">
        <v>13.254</v>
      </c>
      <c r="BZ562" s="14" t="n">
        <v>0</v>
      </c>
      <c r="CA562" s="14" t="n">
        <v>13.254</v>
      </c>
      <c r="CB562" s="14" t="n">
        <v>0</v>
      </c>
      <c r="CC562" s="14" t="n">
        <v>83.248</v>
      </c>
      <c r="CD562" s="14" t="n">
        <v>7.95</v>
      </c>
      <c r="CE562" s="14" t="n">
        <v>1.383</v>
      </c>
      <c r="CF562" s="14" t="n">
        <v>95.735</v>
      </c>
      <c r="CG562" s="14" t="n">
        <v>0.15</v>
      </c>
      <c r="CH562" s="14" t="n">
        <v>1</v>
      </c>
      <c r="CI562" s="14" t="n">
        <v>0</v>
      </c>
      <c r="CJ562" s="14" t="n">
        <v>0</v>
      </c>
      <c r="CK562" s="14" t="n">
        <v>0</v>
      </c>
      <c r="CL562" s="14" t="n">
        <v>0</v>
      </c>
      <c r="CM562" s="14" t="n">
        <v>0</v>
      </c>
      <c r="CN562" s="14" t="n">
        <v>0</v>
      </c>
      <c r="CO562" s="14" t="n">
        <v>0</v>
      </c>
      <c r="CP562" s="14" t="n">
        <v>0</v>
      </c>
      <c r="CQ562" s="14" t="n">
        <v>1.348</v>
      </c>
      <c r="CR562" s="14" t="n">
        <v>0</v>
      </c>
      <c r="CS562" s="14" t="n">
        <v>11.576</v>
      </c>
      <c r="CT562" s="14" t="n">
        <v>4.861</v>
      </c>
      <c r="CU562" s="14" t="n">
        <v>11.622</v>
      </c>
    </row>
    <row r="563">
      <c r="A563" s="14" t="inlineStr">
        <is>
          <t>NAM2024</t>
        </is>
      </c>
      <c r="B563" s="14" t="inlineStr">
        <is>
          <t>NAM</t>
        </is>
      </c>
      <c r="C563" s="14" t="inlineStr">
        <is>
          <t>NAM</t>
        </is>
      </c>
      <c r="D563" s="14" t="inlineStr">
        <is>
          <t>Namibia</t>
        </is>
      </c>
      <c r="E563" s="14" t="n">
        <v>2024</v>
      </c>
      <c r="F563" s="14" t="n">
        <v>0.15</v>
      </c>
      <c r="G563" s="14" t="n">
        <v>5.575</v>
      </c>
      <c r="H563" s="14" t="n">
        <v>1.324</v>
      </c>
      <c r="I563" s="14" t="n">
        <v>0</v>
      </c>
      <c r="J563" s="14" t="n">
        <v>5.575</v>
      </c>
      <c r="K563" s="14" t="n">
        <v>0</v>
      </c>
      <c r="L563" s="14" t="n">
        <v>1</v>
      </c>
      <c r="M563" s="14" t="n">
        <v>7.124</v>
      </c>
      <c r="N563" s="14" t="n">
        <v>3.971</v>
      </c>
      <c r="O563" s="14" t="n">
        <v>0</v>
      </c>
      <c r="P563" s="14" t="n">
        <v>7.124</v>
      </c>
      <c r="Q563" s="14" t="n">
        <v>0</v>
      </c>
      <c r="R563" s="14" t="n">
        <v>1</v>
      </c>
      <c r="S563" s="14" t="n">
        <v>12.193</v>
      </c>
      <c r="T563" s="14" t="n">
        <v>7.942</v>
      </c>
      <c r="U563" s="14" t="n">
        <v>0.249</v>
      </c>
      <c r="V563" s="14" t="n">
        <v>14.022</v>
      </c>
      <c r="W563" s="14" t="n">
        <v>0.15</v>
      </c>
      <c r="X563" s="14" t="n">
        <v>1</v>
      </c>
      <c r="Y563" s="14" t="n">
        <v>11.442</v>
      </c>
      <c r="Z563" s="14" t="n">
        <v>1.546</v>
      </c>
      <c r="AA563" s="14" t="n">
        <v>0</v>
      </c>
      <c r="AB563" s="14" t="n">
        <v>11.442</v>
      </c>
      <c r="AC563" s="14" t="n">
        <v>0</v>
      </c>
      <c r="AD563" s="14" t="n">
        <v>1</v>
      </c>
      <c r="AE563" s="14" t="n">
        <v>12.766</v>
      </c>
      <c r="AF563" s="14" t="n">
        <v>2.985</v>
      </c>
      <c r="AG563" s="14" t="n">
        <v>0</v>
      </c>
      <c r="AH563" s="14" t="n">
        <v>12.766</v>
      </c>
      <c r="AI563" s="14" t="n">
        <v>0</v>
      </c>
      <c r="AJ563" s="14" t="n">
        <v>1</v>
      </c>
      <c r="AK563" s="14" t="n">
        <v>20.707</v>
      </c>
      <c r="AL563" s="14" t="n">
        <v>11.029</v>
      </c>
      <c r="AM563" s="14" t="n">
        <v>0.423</v>
      </c>
      <c r="AN563" s="14" t="n">
        <v>23.813</v>
      </c>
      <c r="AO563" s="14" t="n">
        <v>0.15</v>
      </c>
      <c r="AP563" s="14" t="n">
        <v>1</v>
      </c>
      <c r="AQ563" s="14" t="n">
        <v>0.724</v>
      </c>
      <c r="AR563" s="14" t="n">
        <v>0.132</v>
      </c>
      <c r="AS563" s="14" t="n">
        <v>0.291</v>
      </c>
      <c r="AT563" s="14" t="n">
        <v>1.168</v>
      </c>
      <c r="AU563" s="14" t="n">
        <v>0.15</v>
      </c>
      <c r="AV563" s="14" t="n">
        <v>1</v>
      </c>
      <c r="AW563" s="14" t="n">
        <v>0.75</v>
      </c>
      <c r="AX563" s="14" t="n">
        <v>0.132</v>
      </c>
      <c r="AY563" s="14" t="n">
        <v>0.246</v>
      </c>
      <c r="AZ563" s="14" t="n">
        <v>1.146</v>
      </c>
      <c r="BA563" s="14" t="n">
        <v>0.15</v>
      </c>
      <c r="BB563" s="14" t="n">
        <v>1</v>
      </c>
      <c r="BC563" s="14" t="n">
        <v>0.513</v>
      </c>
      <c r="BD563" s="14" t="n">
        <v>0.132</v>
      </c>
      <c r="BE563" s="14" t="n">
        <v>0.01</v>
      </c>
      <c r="BF563" s="14" t="n">
        <v>0.59</v>
      </c>
      <c r="BG563" s="14" t="n">
        <v>0.15</v>
      </c>
      <c r="BH563" s="14" t="n">
        <v>1</v>
      </c>
      <c r="BI563" s="14" t="n">
        <v>0.591</v>
      </c>
      <c r="BJ563" s="14" t="n">
        <v>0.132</v>
      </c>
      <c r="BK563" s="14" t="n">
        <v>0.012</v>
      </c>
      <c r="BL563" s="14" t="n">
        <v>0.68</v>
      </c>
      <c r="BM563" s="14" t="n">
        <v>0.15</v>
      </c>
      <c r="BN563" s="14" t="n">
        <v>1</v>
      </c>
      <c r="BO563" s="14" t="n">
        <v>0</v>
      </c>
      <c r="BP563" s="14" t="n">
        <v>0</v>
      </c>
      <c r="BQ563" s="14" t="n">
        <v>0.089</v>
      </c>
      <c r="BR563" s="14" t="n">
        <v>0</v>
      </c>
      <c r="BS563" s="14" t="n">
        <v>0.833</v>
      </c>
      <c r="BT563" s="14" t="n">
        <v>0</v>
      </c>
      <c r="BU563" s="14" t="n">
        <v>0</v>
      </c>
      <c r="BV563" s="14" t="n">
        <v>0.148</v>
      </c>
      <c r="BW563" s="14" t="n">
        <v>0.15</v>
      </c>
      <c r="BX563" s="14" t="n">
        <v>1</v>
      </c>
      <c r="BY563" s="14" t="n">
        <v>13.646</v>
      </c>
      <c r="BZ563" s="14" t="n">
        <v>0</v>
      </c>
      <c r="CA563" s="14" t="n">
        <v>13.646</v>
      </c>
      <c r="CB563" s="14" t="n">
        <v>0</v>
      </c>
      <c r="CC563" s="14" t="n">
        <v>82.58799999999999</v>
      </c>
      <c r="CD563" s="14" t="n">
        <v>7.95</v>
      </c>
      <c r="CE563" s="14" t="n">
        <v>1.687</v>
      </c>
      <c r="CF563" s="14" t="n">
        <v>94.976</v>
      </c>
      <c r="CG563" s="14" t="n">
        <v>0.15</v>
      </c>
      <c r="CH563" s="14" t="n">
        <v>1</v>
      </c>
      <c r="CI563" s="14" t="n">
        <v>0</v>
      </c>
      <c r="CJ563" s="14" t="n">
        <v>0</v>
      </c>
      <c r="CK563" s="14" t="n">
        <v>0</v>
      </c>
      <c r="CL563" s="14" t="n">
        <v>0</v>
      </c>
      <c r="CM563" s="14" t="n">
        <v>0</v>
      </c>
      <c r="CN563" s="14" t="n">
        <v>0</v>
      </c>
      <c r="CO563" s="14" t="n">
        <v>0</v>
      </c>
      <c r="CP563" s="14" t="n">
        <v>0</v>
      </c>
      <c r="CQ563" s="14" t="n">
        <v>1.387</v>
      </c>
      <c r="CR563" s="14" t="n">
        <v>0</v>
      </c>
      <c r="CS563" s="14" t="n">
        <v>10.168</v>
      </c>
      <c r="CT563" s="14" t="n">
        <v>4.251</v>
      </c>
      <c r="CU563" s="14" t="n">
        <v>10.168</v>
      </c>
    </row>
    <row r="564">
      <c r="A564" s="14" t="inlineStr">
        <is>
          <t>NRU2021</t>
        </is>
      </c>
      <c r="B564" s="14" t="inlineStr">
        <is>
          <t>NRU</t>
        </is>
      </c>
      <c r="C564" s="14" t="inlineStr">
        <is>
          <t>NRU</t>
        </is>
      </c>
      <c r="D564" s="14" t="inlineStr">
        <is>
          <t>Nauru</t>
        </is>
      </c>
      <c r="E564" s="14" t="n">
        <v>2021</v>
      </c>
      <c r="F564" s="14" t="n">
        <v>0</v>
      </c>
      <c r="G564" s="14" t="n">
        <v>4.747</v>
      </c>
      <c r="H564" s="14" t="n">
        <v>1.143</v>
      </c>
      <c r="I564" s="14" t="n">
        <v>0</v>
      </c>
      <c r="J564" s="14" t="n">
        <v>4.747</v>
      </c>
      <c r="K564" s="14" t="n">
        <v>0</v>
      </c>
      <c r="L564" s="14" t="n">
        <v>1</v>
      </c>
      <c r="M564" s="14" t="n">
        <v>7.964</v>
      </c>
      <c r="N564" s="14" t="n">
        <v>3.43</v>
      </c>
      <c r="O564" s="14" t="n">
        <v>0</v>
      </c>
      <c r="P564" s="14" t="n">
        <v>7.964</v>
      </c>
      <c r="Q564" s="14" t="n">
        <v>0</v>
      </c>
      <c r="R564" s="14" t="n">
        <v>1</v>
      </c>
      <c r="S564" s="14" t="n">
        <v>10.464</v>
      </c>
      <c r="T564" s="14" t="n">
        <v>6.86</v>
      </c>
      <c r="U564" s="14" t="n">
        <v>0</v>
      </c>
      <c r="V564" s="14" t="n">
        <v>10.464</v>
      </c>
      <c r="W564" s="14" t="n">
        <v>0</v>
      </c>
      <c r="X564" s="14" t="n">
        <v>1</v>
      </c>
      <c r="Y564" s="14" t="n">
        <v>10.551</v>
      </c>
      <c r="Z564" s="14" t="n">
        <v>1.302</v>
      </c>
      <c r="AA564" s="14" t="n">
        <v>0</v>
      </c>
      <c r="AB564" s="14" t="n">
        <v>10.551</v>
      </c>
      <c r="AC564" s="14" t="n">
        <v>0</v>
      </c>
      <c r="AD564" s="14" t="n">
        <v>1</v>
      </c>
      <c r="AE564" s="14" t="n">
        <v>11.694</v>
      </c>
      <c r="AF564" s="14" t="n">
        <v>2.549</v>
      </c>
      <c r="AG564" s="14" t="n">
        <v>0</v>
      </c>
      <c r="AH564" s="14" t="n">
        <v>11.694</v>
      </c>
      <c r="AI564" s="14" t="n">
        <v>0</v>
      </c>
      <c r="AJ564" s="14" t="n">
        <v>1</v>
      </c>
      <c r="AK564" s="14" t="n">
        <v>18.554</v>
      </c>
      <c r="AL564" s="14" t="n">
        <v>9.627000000000001</v>
      </c>
      <c r="AM564" s="14" t="n">
        <v>0</v>
      </c>
      <c r="AN564" s="14" t="n">
        <v>18.554</v>
      </c>
      <c r="AO564" s="14" t="n">
        <v>0</v>
      </c>
      <c r="AP564" s="14" t="n">
        <v>1</v>
      </c>
      <c r="AQ564" s="14" t="n">
        <v>0.621</v>
      </c>
      <c r="AR564" s="14" t="n">
        <v>0.114</v>
      </c>
      <c r="AS564" s="14" t="n">
        <v>0</v>
      </c>
      <c r="AT564" s="14" t="n">
        <v>0.621</v>
      </c>
      <c r="AU564" s="14" t="n">
        <v>0</v>
      </c>
      <c r="AV564" s="14" t="n">
        <v>1</v>
      </c>
      <c r="AW564" s="14" t="n">
        <v>0.593</v>
      </c>
      <c r="AX564" s="14" t="n">
        <v>0.114</v>
      </c>
      <c r="AY564" s="14" t="n">
        <v>0</v>
      </c>
      <c r="AZ564" s="14" t="n">
        <v>0.593</v>
      </c>
      <c r="BA564" s="14" t="n">
        <v>0</v>
      </c>
      <c r="BB564" s="14" t="n">
        <v>1</v>
      </c>
      <c r="BC564" s="14" t="n">
        <v>0.44</v>
      </c>
      <c r="BD564" s="14" t="n">
        <v>0.114</v>
      </c>
      <c r="BE564" s="14" t="n">
        <v>0</v>
      </c>
      <c r="BF564" s="14" t="n">
        <v>0.44</v>
      </c>
      <c r="BG564" s="14" t="n">
        <v>0</v>
      </c>
      <c r="BH564" s="14" t="n">
        <v>1</v>
      </c>
      <c r="BI564" s="14" t="n">
        <v>0.5600000000000001</v>
      </c>
      <c r="BJ564" s="14" t="n">
        <v>0.114</v>
      </c>
      <c r="BK564" s="14" t="n">
        <v>0</v>
      </c>
      <c r="BL564" s="14" t="n">
        <v>0.5600000000000001</v>
      </c>
      <c r="BM564" s="14" t="n">
        <v>0</v>
      </c>
      <c r="BN564" s="14" t="n">
        <v>1</v>
      </c>
      <c r="BO564" s="14" t="n">
        <v>0</v>
      </c>
      <c r="BP564" s="14" t="n">
        <v>0</v>
      </c>
      <c r="BQ564" s="14" t="n">
        <v>0</v>
      </c>
      <c r="BR564" s="14" t="n">
        <v>0</v>
      </c>
      <c r="BS564" s="14" t="n">
        <v>1</v>
      </c>
      <c r="BT564" s="14" t="n">
        <v>0</v>
      </c>
      <c r="BU564" s="14" t="n">
        <v>0</v>
      </c>
      <c r="BV564" s="14" t="n">
        <v>0</v>
      </c>
      <c r="BW564" s="14" t="n">
        <v>0</v>
      </c>
      <c r="BX564" s="14" t="n">
        <v>1</v>
      </c>
      <c r="BY564" s="14" t="n">
        <v>11.787</v>
      </c>
      <c r="BZ564" s="14" t="n">
        <v>0</v>
      </c>
      <c r="CA564" s="14" t="n">
        <v>11.787</v>
      </c>
      <c r="CB564" s="14" t="n">
        <v>0</v>
      </c>
      <c r="CC564" s="14" t="n">
        <v>81.69499999999999</v>
      </c>
      <c r="CD564" s="14" t="n">
        <v>7.95</v>
      </c>
      <c r="CE564" s="14" t="n">
        <v>0</v>
      </c>
      <c r="CF564" s="14" t="n">
        <v>81.69499999999999</v>
      </c>
      <c r="CG564" s="14" t="n">
        <v>0</v>
      </c>
      <c r="CH564" s="14" t="n">
        <v>1</v>
      </c>
      <c r="CI564" s="14" t="n">
        <v>0</v>
      </c>
      <c r="CJ564" s="14" t="n">
        <v>0</v>
      </c>
      <c r="CK564" s="14" t="n">
        <v>0</v>
      </c>
      <c r="CL564" s="14" t="n">
        <v>0</v>
      </c>
      <c r="CM564" s="14" t="n">
        <v>0</v>
      </c>
      <c r="CN564" s="14" t="n">
        <v>0</v>
      </c>
      <c r="CO564" s="14" t="n">
        <v>0</v>
      </c>
      <c r="CP564" s="14" t="n">
        <v>0</v>
      </c>
      <c r="CQ564" s="14" t="n">
        <v>1.198</v>
      </c>
      <c r="CR564" s="14" t="n">
        <v>0</v>
      </c>
      <c r="CS564" s="14" t="n">
        <v>4.776</v>
      </c>
      <c r="CT564" s="14" t="n">
        <v>3.604</v>
      </c>
      <c r="CU564" s="14" t="n">
        <v>9.407999999999999</v>
      </c>
    </row>
    <row r="565">
      <c r="A565" s="14" t="inlineStr">
        <is>
          <t>NRU2022</t>
        </is>
      </c>
      <c r="B565" s="14" t="inlineStr">
        <is>
          <t>NRU</t>
        </is>
      </c>
      <c r="C565" s="14" t="inlineStr">
        <is>
          <t>NRU</t>
        </is>
      </c>
      <c r="D565" s="14" t="inlineStr">
        <is>
          <t>Nauru</t>
        </is>
      </c>
      <c r="E565" s="14" t="n">
        <v>2022</v>
      </c>
      <c r="F565" s="14" t="n">
        <v>0</v>
      </c>
      <c r="G565" s="14" t="n">
        <v>8.788</v>
      </c>
      <c r="H565" s="14" t="n">
        <v>1.235</v>
      </c>
      <c r="I565" s="14" t="n">
        <v>0</v>
      </c>
      <c r="J565" s="14" t="n">
        <v>8.788</v>
      </c>
      <c r="K565" s="14" t="n">
        <v>0</v>
      </c>
      <c r="L565" s="14" t="n">
        <v>1</v>
      </c>
      <c r="M565" s="14" t="n">
        <v>9.782999999999999</v>
      </c>
      <c r="N565" s="14" t="n">
        <v>3.704</v>
      </c>
      <c r="O565" s="14" t="n">
        <v>0</v>
      </c>
      <c r="P565" s="14" t="n">
        <v>9.782999999999999</v>
      </c>
      <c r="Q565" s="14" t="n">
        <v>0</v>
      </c>
      <c r="R565" s="14" t="n">
        <v>1</v>
      </c>
      <c r="S565" s="14" t="n">
        <v>14.962</v>
      </c>
      <c r="T565" s="14" t="n">
        <v>7.408</v>
      </c>
      <c r="U565" s="14" t="n">
        <v>0</v>
      </c>
      <c r="V565" s="14" t="n">
        <v>14.962</v>
      </c>
      <c r="W565" s="14" t="n">
        <v>0</v>
      </c>
      <c r="X565" s="14" t="n">
        <v>1</v>
      </c>
      <c r="Y565" s="14" t="n">
        <v>17.332</v>
      </c>
      <c r="Z565" s="14" t="n">
        <v>2.139</v>
      </c>
      <c r="AA565" s="14" t="n">
        <v>0</v>
      </c>
      <c r="AB565" s="14" t="n">
        <v>17.332</v>
      </c>
      <c r="AC565" s="14" t="n">
        <v>0</v>
      </c>
      <c r="AD565" s="14" t="n">
        <v>1</v>
      </c>
      <c r="AE565" s="14" t="n">
        <v>18.566</v>
      </c>
      <c r="AF565" s="14" t="n">
        <v>4.048</v>
      </c>
      <c r="AG565" s="14" t="n">
        <v>0</v>
      </c>
      <c r="AH565" s="14" t="n">
        <v>18.566</v>
      </c>
      <c r="AI565" s="14" t="n">
        <v>0</v>
      </c>
      <c r="AJ565" s="14" t="n">
        <v>1</v>
      </c>
      <c r="AK565" s="14" t="n">
        <v>25.974</v>
      </c>
      <c r="AL565" s="14" t="n">
        <v>13.478</v>
      </c>
      <c r="AM565" s="14" t="n">
        <v>0</v>
      </c>
      <c r="AN565" s="14" t="n">
        <v>25.974</v>
      </c>
      <c r="AO565" s="14" t="n">
        <v>0</v>
      </c>
      <c r="AP565" s="14" t="n">
        <v>1</v>
      </c>
      <c r="AQ565" s="14" t="n">
        <v>0.847</v>
      </c>
      <c r="AR565" s="14" t="n">
        <v>0.123</v>
      </c>
      <c r="AS565" s="14" t="n">
        <v>0</v>
      </c>
      <c r="AT565" s="14" t="n">
        <v>0.847</v>
      </c>
      <c r="AU565" s="14" t="n">
        <v>0</v>
      </c>
      <c r="AV565" s="14" t="n">
        <v>1</v>
      </c>
      <c r="AW565" s="14" t="n">
        <v>0.947</v>
      </c>
      <c r="AX565" s="14" t="n">
        <v>0.123</v>
      </c>
      <c r="AY565" s="14" t="n">
        <v>0</v>
      </c>
      <c r="AZ565" s="14" t="n">
        <v>0.947</v>
      </c>
      <c r="BA565" s="14" t="n">
        <v>0</v>
      </c>
      <c r="BB565" s="14" t="n">
        <v>1</v>
      </c>
      <c r="BC565" s="14" t="n">
        <v>0.589</v>
      </c>
      <c r="BD565" s="14" t="n">
        <v>0.123</v>
      </c>
      <c r="BE565" s="14" t="n">
        <v>0</v>
      </c>
      <c r="BF565" s="14" t="n">
        <v>0.589</v>
      </c>
      <c r="BG565" s="14" t="n">
        <v>0</v>
      </c>
      <c r="BH565" s="14" t="n">
        <v>1</v>
      </c>
      <c r="BI565" s="14" t="n">
        <v>0.6889999999999999</v>
      </c>
      <c r="BJ565" s="14" t="n">
        <v>0.123</v>
      </c>
      <c r="BK565" s="14" t="n">
        <v>0</v>
      </c>
      <c r="BL565" s="14" t="n">
        <v>0.6889999999999999</v>
      </c>
      <c r="BM565" s="14" t="n">
        <v>0</v>
      </c>
      <c r="BN565" s="14" t="n">
        <v>1</v>
      </c>
      <c r="BO565" s="14" t="n">
        <v>0</v>
      </c>
      <c r="BP565" s="14" t="n">
        <v>0</v>
      </c>
      <c r="BQ565" s="14" t="n">
        <v>0</v>
      </c>
      <c r="BR565" s="14" t="n">
        <v>0</v>
      </c>
      <c r="BS565" s="14" t="n">
        <v>1</v>
      </c>
      <c r="BT565" s="14" t="n">
        <v>0</v>
      </c>
      <c r="BU565" s="14" t="n">
        <v>0</v>
      </c>
      <c r="BV565" s="14" t="n">
        <v>0</v>
      </c>
      <c r="BW565" s="14" t="n">
        <v>0</v>
      </c>
      <c r="BX565" s="14" t="n">
        <v>1</v>
      </c>
      <c r="BY565" s="14" t="n">
        <v>12.729</v>
      </c>
      <c r="BZ565" s="14" t="n">
        <v>0</v>
      </c>
      <c r="CA565" s="14" t="n">
        <v>12.729</v>
      </c>
      <c r="CB565" s="14" t="n">
        <v>0</v>
      </c>
      <c r="CC565" s="14" t="n">
        <v>102.477</v>
      </c>
      <c r="CD565" s="14" t="n">
        <v>7.95</v>
      </c>
      <c r="CE565" s="14" t="n">
        <v>0</v>
      </c>
      <c r="CF565" s="14" t="n">
        <v>102.477</v>
      </c>
      <c r="CG565" s="14" t="n">
        <v>0</v>
      </c>
      <c r="CH565" s="14" t="n">
        <v>1</v>
      </c>
      <c r="CI565" s="14" t="n">
        <v>0</v>
      </c>
      <c r="CJ565" s="14" t="n">
        <v>0</v>
      </c>
      <c r="CK565" s="14" t="n">
        <v>0</v>
      </c>
      <c r="CL565" s="14" t="n">
        <v>0</v>
      </c>
      <c r="CM565" s="14" t="n">
        <v>0</v>
      </c>
      <c r="CN565" s="14" t="n">
        <v>0</v>
      </c>
      <c r="CO565" s="14" t="n">
        <v>0</v>
      </c>
      <c r="CP565" s="14" t="n">
        <v>0</v>
      </c>
      <c r="CQ565" s="14" t="n">
        <v>1.294</v>
      </c>
      <c r="CR565" s="14" t="n">
        <v>0</v>
      </c>
      <c r="CS565" s="14" t="n">
        <v>5.158</v>
      </c>
      <c r="CT565" s="14" t="n">
        <v>7.554</v>
      </c>
      <c r="CU565" s="14" t="n">
        <v>16.097</v>
      </c>
    </row>
    <row r="566">
      <c r="A566" s="14" t="inlineStr">
        <is>
          <t>NRU2023</t>
        </is>
      </c>
      <c r="B566" s="14" t="inlineStr">
        <is>
          <t>NRU</t>
        </is>
      </c>
      <c r="C566" s="14" t="inlineStr">
        <is>
          <t>NRU</t>
        </is>
      </c>
      <c r="D566" s="14" t="inlineStr">
        <is>
          <t>Nauru</t>
        </is>
      </c>
      <c r="E566" s="14" t="n">
        <v>2023</v>
      </c>
      <c r="F566" s="14" t="n">
        <v>0</v>
      </c>
      <c r="G566" s="14" t="n">
        <v>5.77</v>
      </c>
      <c r="H566" s="14" t="n">
        <v>1.286</v>
      </c>
      <c r="I566" s="14" t="n">
        <v>0</v>
      </c>
      <c r="J566" s="14" t="n">
        <v>5.77</v>
      </c>
      <c r="K566" s="14" t="n">
        <v>0</v>
      </c>
      <c r="L566" s="14" t="n">
        <v>1</v>
      </c>
      <c r="M566" s="14" t="n">
        <v>7.886</v>
      </c>
      <c r="N566" s="14" t="n">
        <v>3.857</v>
      </c>
      <c r="O566" s="14" t="n">
        <v>0</v>
      </c>
      <c r="P566" s="14" t="n">
        <v>7.886</v>
      </c>
      <c r="Q566" s="14" t="n">
        <v>0</v>
      </c>
      <c r="R566" s="14" t="n">
        <v>1</v>
      </c>
      <c r="S566" s="14" t="n">
        <v>12.198</v>
      </c>
      <c r="T566" s="14" t="n">
        <v>7.714</v>
      </c>
      <c r="U566" s="14" t="n">
        <v>0</v>
      </c>
      <c r="V566" s="14" t="n">
        <v>12.198</v>
      </c>
      <c r="W566" s="14" t="n">
        <v>0</v>
      </c>
      <c r="X566" s="14" t="n">
        <v>1</v>
      </c>
      <c r="Y566" s="14" t="n">
        <v>13.814</v>
      </c>
      <c r="Z566" s="14" t="n">
        <v>1.705</v>
      </c>
      <c r="AA566" s="14" t="n">
        <v>0</v>
      </c>
      <c r="AB566" s="14" t="n">
        <v>13.814</v>
      </c>
      <c r="AC566" s="14" t="n">
        <v>0</v>
      </c>
      <c r="AD566" s="14" t="n">
        <v>1</v>
      </c>
      <c r="AE566" s="14" t="n">
        <v>15.1</v>
      </c>
      <c r="AF566" s="14" t="n">
        <v>3.292</v>
      </c>
      <c r="AG566" s="14" t="n">
        <v>0</v>
      </c>
      <c r="AH566" s="14" t="n">
        <v>15.1</v>
      </c>
      <c r="AI566" s="14" t="n">
        <v>0</v>
      </c>
      <c r="AJ566" s="14" t="n">
        <v>1</v>
      </c>
      <c r="AK566" s="14" t="n">
        <v>22.814</v>
      </c>
      <c r="AL566" s="14" t="n">
        <v>11.838</v>
      </c>
      <c r="AM566" s="14" t="n">
        <v>0</v>
      </c>
      <c r="AN566" s="14" t="n">
        <v>22.814</v>
      </c>
      <c r="AO566" s="14" t="n">
        <v>0</v>
      </c>
      <c r="AP566" s="14" t="n">
        <v>1</v>
      </c>
      <c r="AQ566" s="14" t="n">
        <v>0.749</v>
      </c>
      <c r="AR566" s="14" t="n">
        <v>0.129</v>
      </c>
      <c r="AS566" s="14" t="n">
        <v>0</v>
      </c>
      <c r="AT566" s="14" t="n">
        <v>0.749</v>
      </c>
      <c r="AU566" s="14" t="n">
        <v>0</v>
      </c>
      <c r="AV566" s="14" t="n">
        <v>1</v>
      </c>
      <c r="AW566" s="14" t="n">
        <v>0.783</v>
      </c>
      <c r="AX566" s="14" t="n">
        <v>0.129</v>
      </c>
      <c r="AY566" s="14" t="n">
        <v>0</v>
      </c>
      <c r="AZ566" s="14" t="n">
        <v>0.783</v>
      </c>
      <c r="BA566" s="14" t="n">
        <v>0</v>
      </c>
      <c r="BB566" s="14" t="n">
        <v>1</v>
      </c>
      <c r="BC566" s="14" t="n">
        <v>0.527</v>
      </c>
      <c r="BD566" s="14" t="n">
        <v>0.129</v>
      </c>
      <c r="BE566" s="14" t="n">
        <v>0</v>
      </c>
      <c r="BF566" s="14" t="n">
        <v>0.527</v>
      </c>
      <c r="BG566" s="14" t="n">
        <v>0</v>
      </c>
      <c r="BH566" s="14" t="n">
        <v>1</v>
      </c>
      <c r="BI566" s="14" t="n">
        <v>0.64</v>
      </c>
      <c r="BJ566" s="14" t="n">
        <v>0.129</v>
      </c>
      <c r="BK566" s="14" t="n">
        <v>0</v>
      </c>
      <c r="BL566" s="14" t="n">
        <v>0.64</v>
      </c>
      <c r="BM566" s="14" t="n">
        <v>0</v>
      </c>
      <c r="BN566" s="14" t="n">
        <v>1</v>
      </c>
      <c r="BO566" s="14" t="n">
        <v>0</v>
      </c>
      <c r="BP566" s="14" t="n">
        <v>0</v>
      </c>
      <c r="BQ566" s="14" t="n">
        <v>0</v>
      </c>
      <c r="BR566" s="14" t="n">
        <v>0</v>
      </c>
      <c r="BS566" s="14" t="n">
        <v>1</v>
      </c>
      <c r="BT566" s="14" t="n">
        <v>0</v>
      </c>
      <c r="BU566" s="14" t="n">
        <v>0</v>
      </c>
      <c r="BV566" s="14" t="n">
        <v>0</v>
      </c>
      <c r="BW566" s="14" t="n">
        <v>0</v>
      </c>
      <c r="BX566" s="14" t="n">
        <v>1</v>
      </c>
      <c r="BY566" s="14" t="n">
        <v>13.254</v>
      </c>
      <c r="BZ566" s="14" t="n">
        <v>0</v>
      </c>
      <c r="CA566" s="14" t="n">
        <v>13.254</v>
      </c>
      <c r="CB566" s="14" t="n">
        <v>0</v>
      </c>
      <c r="CC566" s="14" t="n">
        <v>87.07899999999999</v>
      </c>
      <c r="CD566" s="14" t="n">
        <v>7.95</v>
      </c>
      <c r="CE566" s="14" t="n">
        <v>0</v>
      </c>
      <c r="CF566" s="14" t="n">
        <v>87.07899999999999</v>
      </c>
      <c r="CG566" s="14" t="n">
        <v>0</v>
      </c>
      <c r="CH566" s="14" t="n">
        <v>1</v>
      </c>
      <c r="CI566" s="14" t="n">
        <v>0</v>
      </c>
      <c r="CJ566" s="14" t="n">
        <v>0</v>
      </c>
      <c r="CK566" s="14" t="n">
        <v>0</v>
      </c>
      <c r="CL566" s="14" t="n">
        <v>0</v>
      </c>
      <c r="CM566" s="14" t="n">
        <v>0</v>
      </c>
      <c r="CN566" s="14" t="n">
        <v>0</v>
      </c>
      <c r="CO566" s="14" t="n">
        <v>0</v>
      </c>
      <c r="CP566" s="14" t="n">
        <v>0</v>
      </c>
      <c r="CQ566" s="14" t="n">
        <v>1.348</v>
      </c>
      <c r="CR566" s="14" t="n">
        <v>0</v>
      </c>
      <c r="CS566" s="14" t="n">
        <v>5.37</v>
      </c>
      <c r="CT566" s="14" t="n">
        <v>4.484</v>
      </c>
      <c r="CU566" s="14" t="n">
        <v>12.529</v>
      </c>
    </row>
    <row r="567">
      <c r="A567" s="14" t="inlineStr">
        <is>
          <t>NRU2024</t>
        </is>
      </c>
      <c r="B567" s="14" t="inlineStr">
        <is>
          <t>NRU</t>
        </is>
      </c>
      <c r="C567" s="14" t="inlineStr">
        <is>
          <t>NRU</t>
        </is>
      </c>
      <c r="D567" s="14" t="inlineStr">
        <is>
          <t>Nauru</t>
        </is>
      </c>
      <c r="E567" s="14" t="n">
        <v>2024</v>
      </c>
      <c r="F567" s="14" t="n">
        <v>0</v>
      </c>
      <c r="G567" s="14" t="n">
        <v>4.833</v>
      </c>
      <c r="H567" s="14" t="n">
        <v>1.324</v>
      </c>
      <c r="I567" s="14" t="n">
        <v>0</v>
      </c>
      <c r="J567" s="14" t="n">
        <v>4.833</v>
      </c>
      <c r="K567" s="14" t="n">
        <v>0</v>
      </c>
      <c r="L567" s="14" t="n">
        <v>1</v>
      </c>
      <c r="M567" s="14" t="n">
        <v>7.124</v>
      </c>
      <c r="N567" s="14" t="n">
        <v>3.971</v>
      </c>
      <c r="O567" s="14" t="n">
        <v>0</v>
      </c>
      <c r="P567" s="14" t="n">
        <v>7.124</v>
      </c>
      <c r="Q567" s="14" t="n">
        <v>0</v>
      </c>
      <c r="R567" s="14" t="n">
        <v>1</v>
      </c>
      <c r="S567" s="14" t="n">
        <v>11.451</v>
      </c>
      <c r="T567" s="14" t="n">
        <v>7.942</v>
      </c>
      <c r="U567" s="14" t="n">
        <v>0</v>
      </c>
      <c r="V567" s="14" t="n">
        <v>11.451</v>
      </c>
      <c r="W567" s="14" t="n">
        <v>0</v>
      </c>
      <c r="X567" s="14" t="n">
        <v>1</v>
      </c>
      <c r="Y567" s="14" t="n">
        <v>12.219</v>
      </c>
      <c r="Z567" s="14" t="n">
        <v>1.508</v>
      </c>
      <c r="AA567" s="14" t="n">
        <v>0</v>
      </c>
      <c r="AB567" s="14" t="n">
        <v>12.219</v>
      </c>
      <c r="AC567" s="14" t="n">
        <v>0</v>
      </c>
      <c r="AD567" s="14" t="n">
        <v>1</v>
      </c>
      <c r="AE567" s="14" t="n">
        <v>13.543</v>
      </c>
      <c r="AF567" s="14" t="n">
        <v>2.952</v>
      </c>
      <c r="AG567" s="14" t="n">
        <v>0</v>
      </c>
      <c r="AH567" s="14" t="n">
        <v>13.543</v>
      </c>
      <c r="AI567" s="14" t="n">
        <v>0</v>
      </c>
      <c r="AJ567" s="14" t="n">
        <v>1</v>
      </c>
      <c r="AK567" s="14" t="n">
        <v>21.484</v>
      </c>
      <c r="AL567" s="14" t="n">
        <v>11.148</v>
      </c>
      <c r="AM567" s="14" t="n">
        <v>0</v>
      </c>
      <c r="AN567" s="14" t="n">
        <v>21.484</v>
      </c>
      <c r="AO567" s="14" t="n">
        <v>0</v>
      </c>
      <c r="AP567" s="14" t="n">
        <v>1</v>
      </c>
      <c r="AQ567" s="14" t="n">
        <v>0.72</v>
      </c>
      <c r="AR567" s="14" t="n">
        <v>0.132</v>
      </c>
      <c r="AS567" s="14" t="n">
        <v>0</v>
      </c>
      <c r="AT567" s="14" t="n">
        <v>0.72</v>
      </c>
      <c r="AU567" s="14" t="n">
        <v>0</v>
      </c>
      <c r="AV567" s="14" t="n">
        <v>1</v>
      </c>
      <c r="AW567" s="14" t="n">
        <v>0.734</v>
      </c>
      <c r="AX567" s="14" t="n">
        <v>0.132</v>
      </c>
      <c r="AY567" s="14" t="n">
        <v>0</v>
      </c>
      <c r="AZ567" s="14" t="n">
        <v>0.734</v>
      </c>
      <c r="BA567" s="14" t="n">
        <v>0</v>
      </c>
      <c r="BB567" s="14" t="n">
        <v>1</v>
      </c>
      <c r="BC567" s="14" t="n">
        <v>0.51</v>
      </c>
      <c r="BD567" s="14" t="n">
        <v>0.132</v>
      </c>
      <c r="BE567" s="14" t="n">
        <v>0</v>
      </c>
      <c r="BF567" s="14" t="n">
        <v>0.51</v>
      </c>
      <c r="BG567" s="14" t="n">
        <v>0</v>
      </c>
      <c r="BH567" s="14" t="n">
        <v>1</v>
      </c>
      <c r="BI567" s="14" t="n">
        <v>0.652</v>
      </c>
      <c r="BJ567" s="14" t="n">
        <v>0.132</v>
      </c>
      <c r="BK567" s="14" t="n">
        <v>0</v>
      </c>
      <c r="BL567" s="14" t="n">
        <v>0.652</v>
      </c>
      <c r="BM567" s="14" t="n">
        <v>0</v>
      </c>
      <c r="BN567" s="14" t="n">
        <v>1</v>
      </c>
      <c r="BO567" s="14" t="n">
        <v>0</v>
      </c>
      <c r="BP567" s="14" t="n">
        <v>0</v>
      </c>
      <c r="BQ567" s="14" t="n">
        <v>0</v>
      </c>
      <c r="BR567" s="14" t="n">
        <v>0</v>
      </c>
      <c r="BS567" s="14" t="n">
        <v>1</v>
      </c>
      <c r="BT567" s="14" t="n">
        <v>0</v>
      </c>
      <c r="BU567" s="14" t="n">
        <v>0</v>
      </c>
      <c r="BV567" s="14" t="n">
        <v>0</v>
      </c>
      <c r="BW567" s="14" t="n">
        <v>0</v>
      </c>
      <c r="BX567" s="14" t="n">
        <v>1</v>
      </c>
      <c r="BY567" s="14" t="n">
        <v>13.646</v>
      </c>
      <c r="BZ567" s="14" t="n">
        <v>0</v>
      </c>
      <c r="CA567" s="14" t="n">
        <v>13.646</v>
      </c>
      <c r="CB567" s="14" t="n">
        <v>0</v>
      </c>
      <c r="CC567" s="14" t="n">
        <v>86.38500000000001</v>
      </c>
      <c r="CD567" s="14" t="n">
        <v>7.95</v>
      </c>
      <c r="CE567" s="14" t="n">
        <v>0</v>
      </c>
      <c r="CF567" s="14" t="n">
        <v>86.38500000000001</v>
      </c>
      <c r="CG567" s="14" t="n">
        <v>0</v>
      </c>
      <c r="CH567" s="14" t="n">
        <v>1</v>
      </c>
      <c r="CI567" s="14" t="n">
        <v>0</v>
      </c>
      <c r="CJ567" s="14" t="n">
        <v>0</v>
      </c>
      <c r="CK567" s="14" t="n">
        <v>0</v>
      </c>
      <c r="CL567" s="14" t="n">
        <v>0</v>
      </c>
      <c r="CM567" s="14" t="n">
        <v>0</v>
      </c>
      <c r="CN567" s="14" t="n">
        <v>0</v>
      </c>
      <c r="CO567" s="14" t="n">
        <v>0</v>
      </c>
      <c r="CP567" s="14" t="n">
        <v>0</v>
      </c>
      <c r="CQ567" s="14" t="n">
        <v>1.387</v>
      </c>
      <c r="CR567" s="14" t="n">
        <v>0</v>
      </c>
      <c r="CS567" s="14" t="n">
        <v>5.529</v>
      </c>
      <c r="CT567" s="14" t="n">
        <v>3.509</v>
      </c>
      <c r="CU567" s="14" t="n">
        <v>10.896</v>
      </c>
    </row>
    <row r="568">
      <c r="A568" s="14" t="inlineStr">
        <is>
          <t>NPL2021</t>
        </is>
      </c>
      <c r="B568" s="14" t="inlineStr">
        <is>
          <t>NPL</t>
        </is>
      </c>
      <c r="C568" s="14" t="inlineStr">
        <is>
          <t>NPL</t>
        </is>
      </c>
      <c r="D568" s="14" t="inlineStr">
        <is>
          <t>Nepal</t>
        </is>
      </c>
      <c r="E568" s="14" t="n">
        <v>2021</v>
      </c>
      <c r="F568" s="14" t="n">
        <v>0.13</v>
      </c>
      <c r="G568" s="14" t="n">
        <v>4.736</v>
      </c>
      <c r="H568" s="14" t="n">
        <v>1.141</v>
      </c>
      <c r="I568" s="14" t="n">
        <v>0</v>
      </c>
      <c r="J568" s="14" t="n">
        <v>4.736</v>
      </c>
      <c r="K568" s="14" t="n">
        <v>0</v>
      </c>
      <c r="L568" s="14" t="n">
        <v>1</v>
      </c>
      <c r="M568" s="14" t="n">
        <v>7.946</v>
      </c>
      <c r="N568" s="14" t="n">
        <v>3.424</v>
      </c>
      <c r="O568" s="14" t="n">
        <v>0</v>
      </c>
      <c r="P568" s="14" t="n">
        <v>7.946</v>
      </c>
      <c r="Q568" s="14" t="n">
        <v>0</v>
      </c>
      <c r="R568" s="14" t="n">
        <v>1</v>
      </c>
      <c r="S568" s="14" t="n">
        <v>10.442</v>
      </c>
      <c r="T568" s="14" t="n">
        <v>6.847</v>
      </c>
      <c r="U568" s="14" t="n">
        <v>0</v>
      </c>
      <c r="V568" s="14" t="n">
        <v>11.8</v>
      </c>
      <c r="W568" s="14" t="n">
        <v>0.13</v>
      </c>
      <c r="X568" s="14" t="n">
        <v>1</v>
      </c>
      <c r="Y568" s="14" t="n">
        <v>5.581</v>
      </c>
      <c r="Z568" s="14" t="n">
        <v>0.652</v>
      </c>
      <c r="AA568" s="14" t="n">
        <v>0</v>
      </c>
      <c r="AB568" s="14" t="n">
        <v>5.581</v>
      </c>
      <c r="AC568" s="14" t="n">
        <v>0</v>
      </c>
      <c r="AD568" s="14" t="n">
        <v>1</v>
      </c>
      <c r="AE568" s="14" t="n">
        <v>6.724</v>
      </c>
      <c r="AF568" s="14" t="n">
        <v>1.39</v>
      </c>
      <c r="AG568" s="14" t="n">
        <v>0</v>
      </c>
      <c r="AH568" s="14" t="n">
        <v>6.724</v>
      </c>
      <c r="AI568" s="14" t="n">
        <v>0</v>
      </c>
      <c r="AJ568" s="14" t="n">
        <v>1</v>
      </c>
      <c r="AK568" s="14" t="n">
        <v>13.584</v>
      </c>
      <c r="AL568" s="14" t="n">
        <v>6.77</v>
      </c>
      <c r="AM568" s="14" t="n">
        <v>0</v>
      </c>
      <c r="AN568" s="14" t="n">
        <v>15.35</v>
      </c>
      <c r="AO568" s="14" t="n">
        <v>0.13</v>
      </c>
      <c r="AP568" s="14" t="n">
        <v>1</v>
      </c>
      <c r="AQ568" s="14" t="n">
        <v>0.621</v>
      </c>
      <c r="AR568" s="14" t="n">
        <v>0.114</v>
      </c>
      <c r="AS568" s="14" t="n">
        <v>0.315</v>
      </c>
      <c r="AT568" s="14" t="n">
        <v>1.057</v>
      </c>
      <c r="AU568" s="14" t="n">
        <v>0.13</v>
      </c>
      <c r="AV568" s="14" t="n">
        <v>1</v>
      </c>
      <c r="AW568" s="14" t="n">
        <v>0.593</v>
      </c>
      <c r="AX568" s="14" t="n">
        <v>0.114</v>
      </c>
      <c r="AY568" s="14" t="n">
        <v>0.219</v>
      </c>
      <c r="AZ568" s="14" t="n">
        <v>0.918</v>
      </c>
      <c r="BA568" s="14" t="n">
        <v>0.13</v>
      </c>
      <c r="BB568" s="14" t="n">
        <v>1</v>
      </c>
      <c r="BC568" s="14" t="n">
        <v>0.44</v>
      </c>
      <c r="BD568" s="14" t="n">
        <v>0.114</v>
      </c>
      <c r="BE568" s="14" t="n">
        <v>0.327</v>
      </c>
      <c r="BF568" s="14" t="n">
        <v>0.867</v>
      </c>
      <c r="BG568" s="14" t="n">
        <v>0.13</v>
      </c>
      <c r="BH568" s="14" t="n">
        <v>1</v>
      </c>
      <c r="BI568" s="14" t="n">
        <v>0.5600000000000001</v>
      </c>
      <c r="BJ568" s="14" t="n">
        <v>0.114</v>
      </c>
      <c r="BK568" s="14" t="n">
        <v>0.363</v>
      </c>
      <c r="BL568" s="14" t="n">
        <v>0.923</v>
      </c>
      <c r="BM568" s="14" t="n">
        <v>0</v>
      </c>
      <c r="BN568" s="14" t="n">
        <v>1</v>
      </c>
      <c r="BO568" s="14" t="n">
        <v>0</v>
      </c>
      <c r="BP568" s="14" t="n">
        <v>0</v>
      </c>
      <c r="BQ568" s="14" t="n">
        <v>0.07099999999999999</v>
      </c>
      <c r="BR568" s="14" t="n">
        <v>0</v>
      </c>
      <c r="BS568" s="14" t="n">
        <v>0.833</v>
      </c>
      <c r="BT568" s="14" t="n">
        <v>0</v>
      </c>
      <c r="BU568" s="14" t="n">
        <v>0</v>
      </c>
      <c r="BV568" s="14" t="n">
        <v>0.08</v>
      </c>
      <c r="BW568" s="14" t="n">
        <v>0</v>
      </c>
      <c r="BX568" s="14" t="n">
        <v>0.833</v>
      </c>
      <c r="BY568" s="14" t="n">
        <v>11.787</v>
      </c>
      <c r="BZ568" s="14" t="n">
        <v>0</v>
      </c>
      <c r="CA568" s="14" t="n">
        <v>11.787</v>
      </c>
      <c r="CB568" s="14" t="n">
        <v>0</v>
      </c>
      <c r="CC568" s="14" t="n">
        <v>81.69499999999999</v>
      </c>
      <c r="CD568" s="14" t="n">
        <v>7.95</v>
      </c>
      <c r="CE568" s="14" t="n">
        <v>46.545</v>
      </c>
      <c r="CF568" s="14" t="n">
        <v>144.912</v>
      </c>
      <c r="CG568" s="14" t="n">
        <v>0.13</v>
      </c>
      <c r="CH568" s="14" t="n">
        <v>1</v>
      </c>
      <c r="CI568" s="14" t="n">
        <v>0</v>
      </c>
      <c r="CJ568" s="14" t="n">
        <v>0</v>
      </c>
      <c r="CK568" s="14" t="n">
        <v>0</v>
      </c>
      <c r="CL568" s="14" t="n">
        <v>0</v>
      </c>
      <c r="CM568" s="14" t="n">
        <v>0</v>
      </c>
      <c r="CN568" s="14" t="n">
        <v>0</v>
      </c>
      <c r="CO568" s="14" t="n">
        <v>0</v>
      </c>
      <c r="CP568" s="14" t="n">
        <v>0.004</v>
      </c>
      <c r="CQ568" s="14" t="n">
        <v>1.198</v>
      </c>
      <c r="CR568" s="14" t="n">
        <v>0</v>
      </c>
      <c r="CS568" s="14" t="n">
        <v>4.776</v>
      </c>
      <c r="CT568" s="14" t="n">
        <v>3.604</v>
      </c>
      <c r="CU568" s="14" t="n">
        <v>16.843</v>
      </c>
    </row>
    <row r="569">
      <c r="A569" s="14" t="inlineStr">
        <is>
          <t>NPL2022</t>
        </is>
      </c>
      <c r="B569" s="14" t="inlineStr">
        <is>
          <t>NPL</t>
        </is>
      </c>
      <c r="C569" s="14" t="inlineStr">
        <is>
          <t>NPL</t>
        </is>
      </c>
      <c r="D569" s="14" t="inlineStr">
        <is>
          <t>Nepal</t>
        </is>
      </c>
      <c r="E569" s="14" t="n">
        <v>2022</v>
      </c>
      <c r="F569" s="14" t="n">
        <v>0.13</v>
      </c>
      <c r="G569" s="14" t="n">
        <v>8.75</v>
      </c>
      <c r="H569" s="14" t="n">
        <v>1.231</v>
      </c>
      <c r="I569" s="14" t="n">
        <v>0</v>
      </c>
      <c r="J569" s="14" t="n">
        <v>8.75</v>
      </c>
      <c r="K569" s="14" t="n">
        <v>0</v>
      </c>
      <c r="L569" s="14" t="n">
        <v>1</v>
      </c>
      <c r="M569" s="14" t="n">
        <v>9.746</v>
      </c>
      <c r="N569" s="14" t="n">
        <v>3.694</v>
      </c>
      <c r="O569" s="14" t="n">
        <v>0</v>
      </c>
      <c r="P569" s="14" t="n">
        <v>9.746</v>
      </c>
      <c r="Q569" s="14" t="n">
        <v>0</v>
      </c>
      <c r="R569" s="14" t="n">
        <v>1</v>
      </c>
      <c r="S569" s="14" t="n">
        <v>14.906</v>
      </c>
      <c r="T569" s="14" t="n">
        <v>7.387</v>
      </c>
      <c r="U569" s="14" t="n">
        <v>0.143</v>
      </c>
      <c r="V569" s="14" t="n">
        <v>16.844</v>
      </c>
      <c r="W569" s="14" t="n">
        <v>0.13</v>
      </c>
      <c r="X569" s="14" t="n">
        <v>1</v>
      </c>
      <c r="Y569" s="14" t="n">
        <v>6.027</v>
      </c>
      <c r="Z569" s="14" t="n">
        <v>0.704</v>
      </c>
      <c r="AA569" s="14" t="n">
        <v>0</v>
      </c>
      <c r="AB569" s="14" t="n">
        <v>6.027</v>
      </c>
      <c r="AC569" s="14" t="n">
        <v>0</v>
      </c>
      <c r="AD569" s="14" t="n">
        <v>1</v>
      </c>
      <c r="AE569" s="14" t="n">
        <v>7.262</v>
      </c>
      <c r="AF569" s="14" t="n">
        <v>1.502</v>
      </c>
      <c r="AG569" s="14" t="n">
        <v>0</v>
      </c>
      <c r="AH569" s="14" t="n">
        <v>7.262</v>
      </c>
      <c r="AI569" s="14" t="n">
        <v>0</v>
      </c>
      <c r="AJ569" s="14" t="n">
        <v>1</v>
      </c>
      <c r="AK569" s="14" t="n">
        <v>14.67</v>
      </c>
      <c r="AL569" s="14" t="n">
        <v>7.311</v>
      </c>
      <c r="AM569" s="14" t="n">
        <v>0.141</v>
      </c>
      <c r="AN569" s="14" t="n">
        <v>16.577</v>
      </c>
      <c r="AO569" s="14" t="n">
        <v>0.13</v>
      </c>
      <c r="AP569" s="14" t="n">
        <v>1</v>
      </c>
      <c r="AQ569" s="14" t="n">
        <v>0.847</v>
      </c>
      <c r="AR569" s="14" t="n">
        <v>0.123</v>
      </c>
      <c r="AS569" s="14" t="n">
        <v>0.349</v>
      </c>
      <c r="AT569" s="14" t="n">
        <v>1.351</v>
      </c>
      <c r="AU569" s="14" t="n">
        <v>0.13</v>
      </c>
      <c r="AV569" s="14" t="n">
        <v>1</v>
      </c>
      <c r="AW569" s="14" t="n">
        <v>0.947</v>
      </c>
      <c r="AX569" s="14" t="n">
        <v>0.123</v>
      </c>
      <c r="AY569" s="14" t="n">
        <v>0.178</v>
      </c>
      <c r="AZ569" s="14" t="n">
        <v>1.271</v>
      </c>
      <c r="BA569" s="14" t="n">
        <v>0.13</v>
      </c>
      <c r="BB569" s="14" t="n">
        <v>1</v>
      </c>
      <c r="BC569" s="14" t="n">
        <v>0.589</v>
      </c>
      <c r="BD569" s="14" t="n">
        <v>0.123</v>
      </c>
      <c r="BE569" s="14" t="n">
        <v>0.231</v>
      </c>
      <c r="BF569" s="14" t="n">
        <v>0.926</v>
      </c>
      <c r="BG569" s="14" t="n">
        <v>0.13</v>
      </c>
      <c r="BH569" s="14" t="n">
        <v>1</v>
      </c>
      <c r="BI569" s="14" t="n">
        <v>0.6889999999999999</v>
      </c>
      <c r="BJ569" s="14" t="n">
        <v>0.123</v>
      </c>
      <c r="BK569" s="14" t="n">
        <v>0.585</v>
      </c>
      <c r="BL569" s="14" t="n">
        <v>1.274</v>
      </c>
      <c r="BM569" s="14" t="n">
        <v>0</v>
      </c>
      <c r="BN569" s="14" t="n">
        <v>1</v>
      </c>
      <c r="BO569" s="14" t="n">
        <v>0</v>
      </c>
      <c r="BP569" s="14" t="n">
        <v>0</v>
      </c>
      <c r="BQ569" s="14" t="n">
        <v>0.073</v>
      </c>
      <c r="BR569" s="14" t="n">
        <v>0</v>
      </c>
      <c r="BS569" s="14" t="n">
        <v>0.833</v>
      </c>
      <c r="BT569" s="14" t="n">
        <v>0</v>
      </c>
      <c r="BU569" s="14" t="n">
        <v>0</v>
      </c>
      <c r="BV569" s="14" t="n">
        <v>0.046</v>
      </c>
      <c r="BW569" s="14" t="n">
        <v>0</v>
      </c>
      <c r="BX569" s="14" t="n">
        <v>0.833</v>
      </c>
      <c r="BY569" s="14" t="n">
        <v>12.729</v>
      </c>
      <c r="BZ569" s="14" t="n">
        <v>0</v>
      </c>
      <c r="CA569" s="14" t="n">
        <v>12.729</v>
      </c>
      <c r="CB569" s="14" t="n">
        <v>0</v>
      </c>
      <c r="CC569" s="14" t="n">
        <v>102.477</v>
      </c>
      <c r="CD569" s="14" t="n">
        <v>7.95</v>
      </c>
      <c r="CE569" s="14" t="n">
        <v>75.86499999999999</v>
      </c>
      <c r="CF569" s="14" t="n">
        <v>201.526</v>
      </c>
      <c r="CG569" s="14" t="n">
        <v>0.13</v>
      </c>
      <c r="CH569" s="14" t="n">
        <v>1</v>
      </c>
      <c r="CI569" s="14" t="n">
        <v>0</v>
      </c>
      <c r="CJ569" s="14" t="n">
        <v>0</v>
      </c>
      <c r="CK569" s="14" t="n">
        <v>0</v>
      </c>
      <c r="CL569" s="14" t="n">
        <v>0</v>
      </c>
      <c r="CM569" s="14" t="n">
        <v>0</v>
      </c>
      <c r="CN569" s="14" t="n">
        <v>0</v>
      </c>
      <c r="CO569" s="14" t="n">
        <v>0</v>
      </c>
      <c r="CP569" s="14" t="n">
        <v>0.006</v>
      </c>
      <c r="CQ569" s="14" t="n">
        <v>1.294</v>
      </c>
      <c r="CR569" s="14" t="n">
        <v>0</v>
      </c>
      <c r="CS569" s="14" t="n">
        <v>5.158</v>
      </c>
      <c r="CT569" s="14" t="n">
        <v>7.554</v>
      </c>
      <c r="CU569" s="14" t="n">
        <v>30.149</v>
      </c>
    </row>
    <row r="570">
      <c r="A570" s="14" t="inlineStr">
        <is>
          <t>NPL2023</t>
        </is>
      </c>
      <c r="B570" s="14" t="inlineStr">
        <is>
          <t>NPL</t>
        </is>
      </c>
      <c r="C570" s="14" t="inlineStr">
        <is>
          <t>NPL</t>
        </is>
      </c>
      <c r="D570" s="14" t="inlineStr">
        <is>
          <t>Nepal</t>
        </is>
      </c>
      <c r="E570" s="14" t="n">
        <v>2023</v>
      </c>
      <c r="F570" s="14" t="n">
        <v>0.13</v>
      </c>
      <c r="G570" s="14" t="n">
        <v>5.749</v>
      </c>
      <c r="H570" s="14" t="n">
        <v>1.282</v>
      </c>
      <c r="I570" s="14" t="n">
        <v>0</v>
      </c>
      <c r="J570" s="14" t="n">
        <v>5.749</v>
      </c>
      <c r="K570" s="14" t="n">
        <v>0</v>
      </c>
      <c r="L570" s="14" t="n">
        <v>1</v>
      </c>
      <c r="M570" s="14" t="n">
        <v>7.861</v>
      </c>
      <c r="N570" s="14" t="n">
        <v>3.846</v>
      </c>
      <c r="O570" s="14" t="n">
        <v>0</v>
      </c>
      <c r="P570" s="14" t="n">
        <v>7.861</v>
      </c>
      <c r="Q570" s="14" t="n">
        <v>0</v>
      </c>
      <c r="R570" s="14" t="n">
        <v>1</v>
      </c>
      <c r="S570" s="14" t="n">
        <v>12.16</v>
      </c>
      <c r="T570" s="14" t="n">
        <v>7.693</v>
      </c>
      <c r="U570" s="14" t="n">
        <v>0.175</v>
      </c>
      <c r="V570" s="14" t="n">
        <v>13.741</v>
      </c>
      <c r="W570" s="14" t="n">
        <v>0.13</v>
      </c>
      <c r="X570" s="14" t="n">
        <v>1</v>
      </c>
      <c r="Y570" s="14" t="n">
        <v>6.276</v>
      </c>
      <c r="Z570" s="14" t="n">
        <v>0.733</v>
      </c>
      <c r="AA570" s="14" t="n">
        <v>0</v>
      </c>
      <c r="AB570" s="14" t="n">
        <v>6.276</v>
      </c>
      <c r="AC570" s="14" t="n">
        <v>0</v>
      </c>
      <c r="AD570" s="14" t="n">
        <v>1</v>
      </c>
      <c r="AE570" s="14" t="n">
        <v>7.561</v>
      </c>
      <c r="AF570" s="14" t="n">
        <v>1.564</v>
      </c>
      <c r="AG570" s="14" t="n">
        <v>0</v>
      </c>
      <c r="AH570" s="14" t="n">
        <v>7.561</v>
      </c>
      <c r="AI570" s="14" t="n">
        <v>0</v>
      </c>
      <c r="AJ570" s="14" t="n">
        <v>1</v>
      </c>
      <c r="AK570" s="14" t="n">
        <v>15.275</v>
      </c>
      <c r="AL570" s="14" t="n">
        <v>7.613</v>
      </c>
      <c r="AM570" s="14" t="n">
        <v>0.22</v>
      </c>
      <c r="AN570" s="14" t="n">
        <v>17.261</v>
      </c>
      <c r="AO570" s="14" t="n">
        <v>0.13</v>
      </c>
      <c r="AP570" s="14" t="n">
        <v>1</v>
      </c>
      <c r="AQ570" s="14" t="n">
        <v>0.749</v>
      </c>
      <c r="AR570" s="14" t="n">
        <v>0.129</v>
      </c>
      <c r="AS570" s="14" t="n">
        <v>0.427</v>
      </c>
      <c r="AT570" s="14" t="n">
        <v>1.329</v>
      </c>
      <c r="AU570" s="14" t="n">
        <v>0.13</v>
      </c>
      <c r="AV570" s="14" t="n">
        <v>1</v>
      </c>
      <c r="AW570" s="14" t="n">
        <v>0.783</v>
      </c>
      <c r="AX570" s="14" t="n">
        <v>0.129</v>
      </c>
      <c r="AY570" s="14" t="n">
        <v>0.328</v>
      </c>
      <c r="AZ570" s="14" t="n">
        <v>1.255</v>
      </c>
      <c r="BA570" s="14" t="n">
        <v>0.13</v>
      </c>
      <c r="BB570" s="14" t="n">
        <v>1</v>
      </c>
      <c r="BC570" s="14" t="n">
        <v>0.527</v>
      </c>
      <c r="BD570" s="14" t="n">
        <v>0.129</v>
      </c>
      <c r="BE570" s="14" t="n">
        <v>0.294</v>
      </c>
      <c r="BF570" s="14" t="n">
        <v>0.928</v>
      </c>
      <c r="BG570" s="14" t="n">
        <v>0.13</v>
      </c>
      <c r="BH570" s="14" t="n">
        <v>1</v>
      </c>
      <c r="BI570" s="14" t="n">
        <v>0.64</v>
      </c>
      <c r="BJ570" s="14" t="n">
        <v>0.129</v>
      </c>
      <c r="BK570" s="14" t="n">
        <v>0.618</v>
      </c>
      <c r="BL570" s="14" t="n">
        <v>1.258</v>
      </c>
      <c r="BM570" s="14" t="n">
        <v>0</v>
      </c>
      <c r="BN570" s="14" t="n">
        <v>1</v>
      </c>
      <c r="BO570" s="14" t="n">
        <v>0</v>
      </c>
      <c r="BP570" s="14" t="n">
        <v>0</v>
      </c>
      <c r="BQ570" s="14" t="n">
        <v>0.063</v>
      </c>
      <c r="BR570" s="14" t="n">
        <v>0</v>
      </c>
      <c r="BS570" s="14" t="n">
        <v>0.833</v>
      </c>
      <c r="BT570" s="14" t="n">
        <v>0</v>
      </c>
      <c r="BU570" s="14" t="n">
        <v>0</v>
      </c>
      <c r="BV570" s="14" t="n">
        <v>0.064</v>
      </c>
      <c r="BW570" s="14" t="n">
        <v>0</v>
      </c>
      <c r="BX570" s="14" t="n">
        <v>0.833</v>
      </c>
      <c r="BY570" s="14" t="n">
        <v>13.254</v>
      </c>
      <c r="BZ570" s="14" t="n">
        <v>0</v>
      </c>
      <c r="CA570" s="14" t="n">
        <v>13.254</v>
      </c>
      <c r="CB570" s="14" t="n">
        <v>0</v>
      </c>
      <c r="CC570" s="14" t="n">
        <v>87.07899999999999</v>
      </c>
      <c r="CD570" s="14" t="n">
        <v>7.95</v>
      </c>
      <c r="CE570" s="14" t="n">
        <v>89.206</v>
      </c>
      <c r="CF570" s="14" t="n">
        <v>199.202</v>
      </c>
      <c r="CG570" s="14" t="n">
        <v>0.13</v>
      </c>
      <c r="CH570" s="14" t="n">
        <v>1</v>
      </c>
      <c r="CI570" s="14" t="n">
        <v>0</v>
      </c>
      <c r="CJ570" s="14" t="n">
        <v>0</v>
      </c>
      <c r="CK570" s="14" t="n">
        <v>0</v>
      </c>
      <c r="CL570" s="14" t="n">
        <v>0</v>
      </c>
      <c r="CM570" s="14" t="n">
        <v>0</v>
      </c>
      <c r="CN570" s="14" t="n">
        <v>0</v>
      </c>
      <c r="CO570" s="14" t="n">
        <v>0</v>
      </c>
      <c r="CP570" s="14" t="n">
        <v>0.006</v>
      </c>
      <c r="CQ570" s="14" t="n">
        <v>1.348</v>
      </c>
      <c r="CR570" s="14" t="n">
        <v>0</v>
      </c>
      <c r="CS570" s="14" t="n">
        <v>5.37</v>
      </c>
      <c r="CT570" s="14" t="n">
        <v>4.484</v>
      </c>
      <c r="CU570" s="14" t="n">
        <v>12.392</v>
      </c>
    </row>
    <row r="571">
      <c r="A571" s="14" t="inlineStr">
        <is>
          <t>NPL2024</t>
        </is>
      </c>
      <c r="B571" s="14" t="inlineStr">
        <is>
          <t>NPL</t>
        </is>
      </c>
      <c r="C571" s="14" t="inlineStr">
        <is>
          <t>NPL</t>
        </is>
      </c>
      <c r="D571" s="14" t="inlineStr">
        <is>
          <t>Nepal</t>
        </is>
      </c>
      <c r="E571" s="14" t="n">
        <v>2024</v>
      </c>
      <c r="F571" s="14" t="n">
        <v>0.13</v>
      </c>
      <c r="G571" s="14" t="n">
        <v>4.817</v>
      </c>
      <c r="H571" s="14" t="n">
        <v>1.32</v>
      </c>
      <c r="I571" s="14" t="n">
        <v>0</v>
      </c>
      <c r="J571" s="14" t="n">
        <v>4.817</v>
      </c>
      <c r="K571" s="14" t="n">
        <v>0</v>
      </c>
      <c r="L571" s="14" t="n">
        <v>1</v>
      </c>
      <c r="M571" s="14" t="n">
        <v>7.103</v>
      </c>
      <c r="N571" s="14" t="n">
        <v>3.96</v>
      </c>
      <c r="O571" s="14" t="n">
        <v>0</v>
      </c>
      <c r="P571" s="14" t="n">
        <v>7.103</v>
      </c>
      <c r="Q571" s="14" t="n">
        <v>0</v>
      </c>
      <c r="R571" s="14" t="n">
        <v>1</v>
      </c>
      <c r="S571" s="14" t="n">
        <v>11.417</v>
      </c>
      <c r="T571" s="14" t="n">
        <v>7.92</v>
      </c>
      <c r="U571" s="14" t="n">
        <v>0.202</v>
      </c>
      <c r="V571" s="14" t="n">
        <v>12.901</v>
      </c>
      <c r="W571" s="14" t="n">
        <v>0.13</v>
      </c>
      <c r="X571" s="14" t="n">
        <v>1</v>
      </c>
      <c r="Y571" s="14" t="n">
        <v>6.461</v>
      </c>
      <c r="Z571" s="14" t="n">
        <v>0.755</v>
      </c>
      <c r="AA571" s="14" t="n">
        <v>0</v>
      </c>
      <c r="AB571" s="14" t="n">
        <v>6.461</v>
      </c>
      <c r="AC571" s="14" t="n">
        <v>0</v>
      </c>
      <c r="AD571" s="14" t="n">
        <v>1</v>
      </c>
      <c r="AE571" s="14" t="n">
        <v>7.785</v>
      </c>
      <c r="AF571" s="14" t="n">
        <v>1.61</v>
      </c>
      <c r="AG571" s="14" t="n">
        <v>0</v>
      </c>
      <c r="AH571" s="14" t="n">
        <v>7.785</v>
      </c>
      <c r="AI571" s="14" t="n">
        <v>0</v>
      </c>
      <c r="AJ571" s="14" t="n">
        <v>1</v>
      </c>
      <c r="AK571" s="14" t="n">
        <v>15.726</v>
      </c>
      <c r="AL571" s="14" t="n">
        <v>7.837</v>
      </c>
      <c r="AM571" s="14" t="n">
        <v>0.278</v>
      </c>
      <c r="AN571" s="14" t="n">
        <v>17.771</v>
      </c>
      <c r="AO571" s="14" t="n">
        <v>0.13</v>
      </c>
      <c r="AP571" s="14" t="n">
        <v>1</v>
      </c>
      <c r="AQ571" s="14" t="n">
        <v>0.72</v>
      </c>
      <c r="AR571" s="14" t="n">
        <v>0.132</v>
      </c>
      <c r="AS571" s="14" t="n">
        <v>0.387</v>
      </c>
      <c r="AT571" s="14" t="n">
        <v>1.251</v>
      </c>
      <c r="AU571" s="14" t="n">
        <v>0.13</v>
      </c>
      <c r="AV571" s="14" t="n">
        <v>1</v>
      </c>
      <c r="AW571" s="14" t="n">
        <v>0.734</v>
      </c>
      <c r="AX571" s="14" t="n">
        <v>0.132</v>
      </c>
      <c r="AY571" s="14" t="n">
        <v>0.301</v>
      </c>
      <c r="AZ571" s="14" t="n">
        <v>1.17</v>
      </c>
      <c r="BA571" s="14" t="n">
        <v>0.13</v>
      </c>
      <c r="BB571" s="14" t="n">
        <v>1</v>
      </c>
      <c r="BC571" s="14" t="n">
        <v>0.51</v>
      </c>
      <c r="BD571" s="14" t="n">
        <v>0.132</v>
      </c>
      <c r="BE571" s="14" t="n">
        <v>0.325</v>
      </c>
      <c r="BF571" s="14" t="n">
        <v>0.944</v>
      </c>
      <c r="BG571" s="14" t="n">
        <v>0.13</v>
      </c>
      <c r="BH571" s="14" t="n">
        <v>1</v>
      </c>
      <c r="BI571" s="14" t="n">
        <v>0.652</v>
      </c>
      <c r="BJ571" s="14" t="n">
        <v>0.132</v>
      </c>
      <c r="BK571" s="14" t="n">
        <v>0.518</v>
      </c>
      <c r="BL571" s="14" t="n">
        <v>1.17</v>
      </c>
      <c r="BM571" s="14" t="n">
        <v>0</v>
      </c>
      <c r="BN571" s="14" t="n">
        <v>1</v>
      </c>
      <c r="BO571" s="14" t="n">
        <v>0</v>
      </c>
      <c r="BP571" s="14" t="n">
        <v>0</v>
      </c>
      <c r="BQ571" s="14" t="n">
        <v>0.068</v>
      </c>
      <c r="BR571" s="14" t="n">
        <v>0</v>
      </c>
      <c r="BS571" s="14" t="n">
        <v>0.833</v>
      </c>
      <c r="BT571" s="14" t="n">
        <v>0</v>
      </c>
      <c r="BU571" s="14" t="n">
        <v>0</v>
      </c>
      <c r="BV571" s="14" t="n">
        <v>0.058</v>
      </c>
      <c r="BW571" s="14" t="n">
        <v>0</v>
      </c>
      <c r="BX571" s="14" t="n">
        <v>0.833</v>
      </c>
      <c r="BY571" s="14" t="n">
        <v>13.646</v>
      </c>
      <c r="BZ571" s="14" t="n">
        <v>0</v>
      </c>
      <c r="CA571" s="14" t="n">
        <v>13.646</v>
      </c>
      <c r="CB571" s="14" t="n">
        <v>0</v>
      </c>
      <c r="CC571" s="14" t="n">
        <v>86.38500000000001</v>
      </c>
      <c r="CD571" s="14" t="n">
        <v>7.95</v>
      </c>
      <c r="CE571" s="14" t="n">
        <v>95.377</v>
      </c>
      <c r="CF571" s="14" t="n">
        <v>201.818</v>
      </c>
      <c r="CG571" s="14" t="n">
        <v>0.13</v>
      </c>
      <c r="CH571" s="14" t="n">
        <v>1</v>
      </c>
      <c r="CI571" s="14" t="n">
        <v>0</v>
      </c>
      <c r="CJ571" s="14" t="n">
        <v>0</v>
      </c>
      <c r="CK571" s="14" t="n">
        <v>0</v>
      </c>
      <c r="CL571" s="14" t="n">
        <v>0</v>
      </c>
      <c r="CM571" s="14" t="n">
        <v>0</v>
      </c>
      <c r="CN571" s="14" t="n">
        <v>0</v>
      </c>
      <c r="CO571" s="14" t="n">
        <v>0</v>
      </c>
      <c r="CP571" s="14" t="n">
        <v>0.006</v>
      </c>
      <c r="CQ571" s="14" t="n">
        <v>1.387</v>
      </c>
      <c r="CR571" s="14" t="n">
        <v>0</v>
      </c>
      <c r="CS571" s="14" t="n">
        <v>5.529</v>
      </c>
      <c r="CT571" s="14" t="n">
        <v>3.509</v>
      </c>
      <c r="CU571" s="14" t="n">
        <v>10.792</v>
      </c>
    </row>
    <row r="572">
      <c r="A572" s="14" t="inlineStr">
        <is>
          <t>NLD2021</t>
        </is>
      </c>
      <c r="B572" s="14" t="inlineStr">
        <is>
          <t>NLD</t>
        </is>
      </c>
      <c r="C572" s="14" t="inlineStr">
        <is>
          <t>NLD</t>
        </is>
      </c>
      <c r="D572" s="14" t="inlineStr">
        <is>
          <t>Netherlands</t>
        </is>
      </c>
      <c r="E572" s="14" t="n">
        <v>2021</v>
      </c>
      <c r="F572" s="14" t="n">
        <v>0.21</v>
      </c>
      <c r="G572" s="14" t="n">
        <v>5.795</v>
      </c>
      <c r="H572" s="14" t="n">
        <v>1.143</v>
      </c>
      <c r="I572" s="14" t="n">
        <v>1.676</v>
      </c>
      <c r="J572" s="14" t="n">
        <v>7.47</v>
      </c>
      <c r="K572" s="14" t="n">
        <v>0</v>
      </c>
      <c r="L572" s="14" t="n">
        <v>1</v>
      </c>
      <c r="M572" s="14" t="n">
        <v>8.943</v>
      </c>
      <c r="N572" s="14" t="n">
        <v>3.43</v>
      </c>
      <c r="O572" s="14" t="n">
        <v>1.76</v>
      </c>
      <c r="P572" s="14" t="n">
        <v>10.704</v>
      </c>
      <c r="Q572" s="14" t="n">
        <v>0</v>
      </c>
      <c r="R572" s="14" t="n">
        <v>1</v>
      </c>
      <c r="S572" s="14" t="n">
        <v>11.511</v>
      </c>
      <c r="T572" s="14" t="n">
        <v>6.86</v>
      </c>
      <c r="U572" s="14" t="n">
        <v>1.068</v>
      </c>
      <c r="V572" s="14" t="n">
        <v>15.221</v>
      </c>
      <c r="W572" s="14" t="n">
        <v>0.21</v>
      </c>
      <c r="X572" s="14" t="n">
        <v>1</v>
      </c>
      <c r="Y572" s="14" t="n">
        <v>17.804</v>
      </c>
      <c r="Z572" s="14" t="n">
        <v>1.967</v>
      </c>
      <c r="AA572" s="14" t="n">
        <v>-2.505</v>
      </c>
      <c r="AB572" s="14" t="n">
        <v>15.299</v>
      </c>
      <c r="AC572" s="14" t="n">
        <v>0</v>
      </c>
      <c r="AD572" s="14" t="n">
        <v>1</v>
      </c>
      <c r="AE572" s="14" t="n">
        <v>17.76</v>
      </c>
      <c r="AF572" s="14" t="n">
        <v>3.495</v>
      </c>
      <c r="AG572" s="14" t="n">
        <v>-2.462</v>
      </c>
      <c r="AH572" s="14" t="n">
        <v>15.299</v>
      </c>
      <c r="AI572" s="14" t="n">
        <v>0</v>
      </c>
      <c r="AJ572" s="14" t="n">
        <v>1</v>
      </c>
      <c r="AK572" s="14" t="n">
        <v>27.505</v>
      </c>
      <c r="AL572" s="14" t="n">
        <v>13.5</v>
      </c>
      <c r="AM572" s="14" t="n">
        <v>0.432</v>
      </c>
      <c r="AN572" s="14" t="n">
        <v>33.804</v>
      </c>
      <c r="AO572" s="14" t="n">
        <v>0.21</v>
      </c>
      <c r="AP572" s="14" t="n">
        <v>1</v>
      </c>
      <c r="AQ572" s="14" t="n">
        <v>0.637</v>
      </c>
      <c r="AR572" s="14" t="n">
        <v>0.114</v>
      </c>
      <c r="AS572" s="14" t="n">
        <v>1.14</v>
      </c>
      <c r="AT572" s="14" t="n">
        <v>2.15</v>
      </c>
      <c r="AU572" s="14" t="n">
        <v>0.21</v>
      </c>
      <c r="AV572" s="14" t="n">
        <v>1</v>
      </c>
      <c r="AW572" s="14" t="n">
        <v>0.599</v>
      </c>
      <c r="AX572" s="14" t="n">
        <v>0.114</v>
      </c>
      <c r="AY572" s="14" t="n">
        <v>0.832</v>
      </c>
      <c r="AZ572" s="14" t="n">
        <v>1.732</v>
      </c>
      <c r="BA572" s="14" t="n">
        <v>0.21</v>
      </c>
      <c r="BB572" s="14" t="n">
        <v>1</v>
      </c>
      <c r="BC572" s="14" t="n">
        <v>0.45</v>
      </c>
      <c r="BD572" s="14" t="n">
        <v>0.114</v>
      </c>
      <c r="BE572" s="14" t="n">
        <v>0.315</v>
      </c>
      <c r="BF572" s="14" t="n">
        <v>0.926</v>
      </c>
      <c r="BG572" s="14" t="n">
        <v>0.21</v>
      </c>
      <c r="BH572" s="14" t="n">
        <v>1</v>
      </c>
      <c r="BI572" s="14" t="n">
        <v>0.505</v>
      </c>
      <c r="BJ572" s="14" t="n">
        <v>0.114</v>
      </c>
      <c r="BK572" s="14" t="n">
        <v>0.75</v>
      </c>
      <c r="BL572" s="14" t="n">
        <v>1.519</v>
      </c>
      <c r="BM572" s="14" t="n">
        <v>0.21</v>
      </c>
      <c r="BN572" s="14" t="n">
        <v>1</v>
      </c>
      <c r="BO572" s="14" t="n">
        <v>0</v>
      </c>
      <c r="BP572" s="14" t="n">
        <v>0.012</v>
      </c>
      <c r="BQ572" s="14" t="n">
        <v>0.1</v>
      </c>
      <c r="BR572" s="14" t="n">
        <v>0</v>
      </c>
      <c r="BS572" s="14" t="n">
        <v>1</v>
      </c>
      <c r="BT572" s="14" t="n">
        <v>0</v>
      </c>
      <c r="BU572" s="14" t="n">
        <v>-0.035</v>
      </c>
      <c r="BV572" s="14" t="n">
        <v>0.161</v>
      </c>
      <c r="BW572" s="14" t="n">
        <v>0.21</v>
      </c>
      <c r="BX572" s="14" t="n">
        <v>1</v>
      </c>
      <c r="BY572" s="14" t="n">
        <v>11.787</v>
      </c>
      <c r="BZ572" s="14" t="n">
        <v>0</v>
      </c>
      <c r="CA572" s="14" t="n">
        <v>11.787</v>
      </c>
      <c r="CB572" s="14" t="n">
        <v>0</v>
      </c>
      <c r="CC572" s="14" t="n">
        <v>73.012</v>
      </c>
      <c r="CD572" s="14" t="n">
        <v>7.95</v>
      </c>
      <c r="CE572" s="14" t="n">
        <v>134.248</v>
      </c>
      <c r="CF572" s="14" t="n">
        <v>250.785</v>
      </c>
      <c r="CG572" s="14" t="n">
        <v>0.21</v>
      </c>
      <c r="CH572" s="14" t="n">
        <v>1</v>
      </c>
      <c r="CI572" s="14" t="n">
        <v>0</v>
      </c>
      <c r="CJ572" s="14" t="n">
        <v>0</v>
      </c>
      <c r="CK572" s="14" t="n">
        <v>0</v>
      </c>
      <c r="CL572" s="14" t="n">
        <v>0</v>
      </c>
      <c r="CM572" s="14" t="n">
        <v>0</v>
      </c>
      <c r="CN572" s="14" t="n">
        <v>0</v>
      </c>
      <c r="CO572" s="14" t="n">
        <v>0</v>
      </c>
      <c r="CP572" s="14" t="n">
        <v>0</v>
      </c>
      <c r="CQ572" s="14" t="n">
        <v>1.198</v>
      </c>
      <c r="CR572" s="14" t="n">
        <v>0</v>
      </c>
      <c r="CS572" s="14" t="n">
        <v>4.446</v>
      </c>
      <c r="CT572" s="14" t="n">
        <v>4.651</v>
      </c>
      <c r="CU572" s="14" t="n">
        <v>15.087</v>
      </c>
    </row>
    <row r="573">
      <c r="A573" s="14" t="inlineStr">
        <is>
          <t>NLD2022</t>
        </is>
      </c>
      <c r="B573" s="14" t="inlineStr">
        <is>
          <t>NLD</t>
        </is>
      </c>
      <c r="C573" s="14" t="inlineStr">
        <is>
          <t>NLD</t>
        </is>
      </c>
      <c r="D573" s="14" t="inlineStr">
        <is>
          <t>Netherlands</t>
        </is>
      </c>
      <c r="E573" s="14" t="n">
        <v>2022</v>
      </c>
      <c r="F573" s="14" t="n">
        <v>0.21</v>
      </c>
      <c r="G573" s="14" t="n">
        <v>12.95</v>
      </c>
      <c r="H573" s="14" t="n">
        <v>1.235</v>
      </c>
      <c r="I573" s="14" t="n">
        <v>8.159000000000001</v>
      </c>
      <c r="J573" s="14" t="n">
        <v>21.109</v>
      </c>
      <c r="K573" s="14" t="n">
        <v>0</v>
      </c>
      <c r="L573" s="14" t="n">
        <v>1</v>
      </c>
      <c r="M573" s="14" t="n">
        <v>15.919</v>
      </c>
      <c r="N573" s="14" t="n">
        <v>3.704</v>
      </c>
      <c r="O573" s="14" t="n">
        <v>8.298</v>
      </c>
      <c r="P573" s="14" t="n">
        <v>24.218</v>
      </c>
      <c r="Q573" s="14" t="n">
        <v>0</v>
      </c>
      <c r="R573" s="14" t="n">
        <v>1</v>
      </c>
      <c r="S573" s="14" t="n">
        <v>19.123</v>
      </c>
      <c r="T573" s="14" t="n">
        <v>7.408</v>
      </c>
      <c r="U573" s="14" t="n">
        <v>1.411</v>
      </c>
      <c r="V573" s="14" t="n">
        <v>24.466</v>
      </c>
      <c r="W573" s="14" t="n">
        <v>0.21</v>
      </c>
      <c r="X573" s="14" t="n">
        <v>1</v>
      </c>
      <c r="Y573" s="14" t="n">
        <v>38.49</v>
      </c>
      <c r="Z573" s="14" t="n">
        <v>4.038</v>
      </c>
      <c r="AA573" s="14" t="n">
        <v>-12.196</v>
      </c>
      <c r="AB573" s="14" t="n">
        <v>26.295</v>
      </c>
      <c r="AC573" s="14" t="n">
        <v>0</v>
      </c>
      <c r="AD573" s="14" t="n">
        <v>1</v>
      </c>
      <c r="AE573" s="14" t="n">
        <v>38.538</v>
      </c>
      <c r="AF573" s="14" t="n">
        <v>7.144</v>
      </c>
      <c r="AG573" s="14" t="n">
        <v>-12.243</v>
      </c>
      <c r="AH573" s="14" t="n">
        <v>26.295</v>
      </c>
      <c r="AI573" s="14" t="n">
        <v>0</v>
      </c>
      <c r="AJ573" s="14" t="n">
        <v>1</v>
      </c>
      <c r="AK573" s="14" t="n">
        <v>48.832</v>
      </c>
      <c r="AL573" s="14" t="n">
        <v>23.319</v>
      </c>
      <c r="AM573" s="14" t="n">
        <v>-10.527</v>
      </c>
      <c r="AN573" s="14" t="n">
        <v>46.348</v>
      </c>
      <c r="AO573" s="14" t="n">
        <v>0.21</v>
      </c>
      <c r="AP573" s="14" t="n">
        <v>1</v>
      </c>
      <c r="AQ573" s="14" t="n">
        <v>0.92</v>
      </c>
      <c r="AR573" s="14" t="n">
        <v>0.123</v>
      </c>
      <c r="AS573" s="14" t="n">
        <v>0.885</v>
      </c>
      <c r="AT573" s="14" t="n">
        <v>2.184</v>
      </c>
      <c r="AU573" s="14" t="n">
        <v>0.21</v>
      </c>
      <c r="AV573" s="14" t="n">
        <v>1</v>
      </c>
      <c r="AW573" s="14" t="n">
        <v>0.986</v>
      </c>
      <c r="AX573" s="14" t="n">
        <v>0.123</v>
      </c>
      <c r="AY573" s="14" t="n">
        <v>0.716</v>
      </c>
      <c r="AZ573" s="14" t="n">
        <v>2.06</v>
      </c>
      <c r="BA573" s="14" t="n">
        <v>0.21</v>
      </c>
      <c r="BB573" s="14" t="n">
        <v>1</v>
      </c>
      <c r="BC573" s="14" t="n">
        <v>0.636</v>
      </c>
      <c r="BD573" s="14" t="n">
        <v>0.123</v>
      </c>
      <c r="BE573" s="14" t="n">
        <v>0.171</v>
      </c>
      <c r="BF573" s="14" t="n">
        <v>0.975</v>
      </c>
      <c r="BG573" s="14" t="n">
        <v>0.21</v>
      </c>
      <c r="BH573" s="14" t="n">
        <v>1</v>
      </c>
      <c r="BI573" s="14" t="n">
        <v>0.612</v>
      </c>
      <c r="BJ573" s="14" t="n">
        <v>0.123</v>
      </c>
      <c r="BK573" s="14" t="n">
        <v>0.995</v>
      </c>
      <c r="BL573" s="14" t="n">
        <v>1.945</v>
      </c>
      <c r="BM573" s="14" t="n">
        <v>0.21</v>
      </c>
      <c r="BN573" s="14" t="n">
        <v>1</v>
      </c>
      <c r="BO573" s="14" t="n">
        <v>0</v>
      </c>
      <c r="BP573" s="14" t="n">
        <v>0.011</v>
      </c>
      <c r="BQ573" s="14" t="n">
        <v>0.169</v>
      </c>
      <c r="BR573" s="14" t="n">
        <v>0</v>
      </c>
      <c r="BS573" s="14" t="n">
        <v>1</v>
      </c>
      <c r="BT573" s="14" t="n">
        <v>0</v>
      </c>
      <c r="BU573" s="14" t="n">
        <v>-0.199</v>
      </c>
      <c r="BV573" s="14" t="n">
        <v>0.095</v>
      </c>
      <c r="BW573" s="14" t="n">
        <v>0.21</v>
      </c>
      <c r="BX573" s="14" t="n">
        <v>1</v>
      </c>
      <c r="BY573" s="14" t="n">
        <v>12.729</v>
      </c>
      <c r="BZ573" s="14" t="n">
        <v>0</v>
      </c>
      <c r="CA573" s="14" t="n">
        <v>12.729</v>
      </c>
      <c r="CB573" s="14" t="n">
        <v>0</v>
      </c>
      <c r="CC573" s="14" t="n">
        <v>90.494</v>
      </c>
      <c r="CD573" s="14" t="n">
        <v>7.95</v>
      </c>
      <c r="CE573" s="14" t="n">
        <v>198.331</v>
      </c>
      <c r="CF573" s="14" t="n">
        <v>349.478</v>
      </c>
      <c r="CG573" s="14" t="n">
        <v>0.21</v>
      </c>
      <c r="CH573" s="14" t="n">
        <v>1</v>
      </c>
      <c r="CI573" s="14" t="n">
        <v>0</v>
      </c>
      <c r="CJ573" s="14" t="n">
        <v>0</v>
      </c>
      <c r="CK573" s="14" t="n">
        <v>0</v>
      </c>
      <c r="CL573" s="14" t="n">
        <v>0</v>
      </c>
      <c r="CM573" s="14" t="n">
        <v>0</v>
      </c>
      <c r="CN573" s="14" t="n">
        <v>0</v>
      </c>
      <c r="CO573" s="14" t="n">
        <v>0</v>
      </c>
      <c r="CP573" s="14" t="n">
        <v>0</v>
      </c>
      <c r="CQ573" s="14" t="n">
        <v>1.294</v>
      </c>
      <c r="CR573" s="14" t="n">
        <v>0</v>
      </c>
      <c r="CS573" s="14" t="n">
        <v>4.801</v>
      </c>
      <c r="CT573" s="14" t="n">
        <v>11.715</v>
      </c>
      <c r="CU573" s="14" t="n">
        <v>35.682</v>
      </c>
    </row>
    <row r="574">
      <c r="A574" s="14" t="inlineStr">
        <is>
          <t>NLD2023</t>
        </is>
      </c>
      <c r="B574" s="14" t="inlineStr">
        <is>
          <t>NLD</t>
        </is>
      </c>
      <c r="C574" s="14" t="inlineStr">
        <is>
          <t>NLD</t>
        </is>
      </c>
      <c r="D574" s="14" t="inlineStr">
        <is>
          <t>Netherlands</t>
        </is>
      </c>
      <c r="E574" s="14" t="n">
        <v>2023</v>
      </c>
      <c r="F574" s="14" t="n">
        <v>0.21</v>
      </c>
      <c r="G574" s="14" t="n">
        <v>7.262</v>
      </c>
      <c r="H574" s="14" t="n">
        <v>1.286</v>
      </c>
      <c r="I574" s="14" t="n">
        <v>9.456</v>
      </c>
      <c r="J574" s="14" t="n">
        <v>16.718</v>
      </c>
      <c r="K574" s="14" t="n">
        <v>0</v>
      </c>
      <c r="L574" s="14" t="n">
        <v>1</v>
      </c>
      <c r="M574" s="14" t="n">
        <v>10.341</v>
      </c>
      <c r="N574" s="14" t="n">
        <v>3.857</v>
      </c>
      <c r="O574" s="14" t="n">
        <v>9.605</v>
      </c>
      <c r="P574" s="14" t="n">
        <v>19.945</v>
      </c>
      <c r="Q574" s="14" t="n">
        <v>0</v>
      </c>
      <c r="R574" s="14" t="n">
        <v>1</v>
      </c>
      <c r="S574" s="14" t="n">
        <v>13.69</v>
      </c>
      <c r="T574" s="14" t="n">
        <v>7.714</v>
      </c>
      <c r="U574" s="14" t="n">
        <v>1.471</v>
      </c>
      <c r="V574" s="14" t="n">
        <v>17.928</v>
      </c>
      <c r="W574" s="14" t="n">
        <v>0.21</v>
      </c>
      <c r="X574" s="14" t="n">
        <v>1</v>
      </c>
      <c r="Y574" s="14" t="n">
        <v>15.112</v>
      </c>
      <c r="Z574" s="14" t="n">
        <v>1.693</v>
      </c>
      <c r="AA574" s="14" t="n">
        <v>13.057</v>
      </c>
      <c r="AB574" s="14" t="n">
        <v>28.169</v>
      </c>
      <c r="AC574" s="14" t="n">
        <v>0</v>
      </c>
      <c r="AD574" s="14" t="n">
        <v>1</v>
      </c>
      <c r="AE574" s="14" t="n">
        <v>15.211</v>
      </c>
      <c r="AF574" s="14" t="n">
        <v>3.029</v>
      </c>
      <c r="AG574" s="14" t="n">
        <v>12.958</v>
      </c>
      <c r="AH574" s="14" t="n">
        <v>28.169</v>
      </c>
      <c r="AI574" s="14" t="n">
        <v>0</v>
      </c>
      <c r="AJ574" s="14" t="n">
        <v>1</v>
      </c>
      <c r="AK574" s="14" t="n">
        <v>25.81</v>
      </c>
      <c r="AL574" s="14" t="n">
        <v>12.786</v>
      </c>
      <c r="AM574" s="14" t="n">
        <v>17.476</v>
      </c>
      <c r="AN574" s="14" t="n">
        <v>52.376</v>
      </c>
      <c r="AO574" s="14" t="n">
        <v>0.21</v>
      </c>
      <c r="AP574" s="14" t="n">
        <v>1</v>
      </c>
      <c r="AQ574" s="14" t="n">
        <v>0.789</v>
      </c>
      <c r="AR574" s="14" t="n">
        <v>0.129</v>
      </c>
      <c r="AS574" s="14" t="n">
        <v>0.929</v>
      </c>
      <c r="AT574" s="14" t="n">
        <v>2.078</v>
      </c>
      <c r="AU574" s="14" t="n">
        <v>0.21</v>
      </c>
      <c r="AV574" s="14" t="n">
        <v>1</v>
      </c>
      <c r="AW574" s="14" t="n">
        <v>0.8110000000000001</v>
      </c>
      <c r="AX574" s="14" t="n">
        <v>0.129</v>
      </c>
      <c r="AY574" s="14" t="n">
        <v>0.721</v>
      </c>
      <c r="AZ574" s="14" t="n">
        <v>1.854</v>
      </c>
      <c r="BA574" s="14" t="n">
        <v>0.21</v>
      </c>
      <c r="BB574" s="14" t="n">
        <v>1</v>
      </c>
      <c r="BC574" s="14" t="n">
        <v>0.553</v>
      </c>
      <c r="BD574" s="14" t="n">
        <v>0.129</v>
      </c>
      <c r="BE574" s="14" t="n">
        <v>0.148</v>
      </c>
      <c r="BF574" s="14" t="n">
        <v>0.848</v>
      </c>
      <c r="BG574" s="14" t="n">
        <v>0.21</v>
      </c>
      <c r="BH574" s="14" t="n">
        <v>1</v>
      </c>
      <c r="BI574" s="14" t="n">
        <v>0.579</v>
      </c>
      <c r="BJ574" s="14" t="n">
        <v>0.129</v>
      </c>
      <c r="BK574" s="14" t="n">
        <v>1.036</v>
      </c>
      <c r="BL574" s="14" t="n">
        <v>1.954</v>
      </c>
      <c r="BM574" s="14" t="n">
        <v>0.21</v>
      </c>
      <c r="BN574" s="14" t="n">
        <v>1</v>
      </c>
      <c r="BO574" s="14" t="n">
        <v>0</v>
      </c>
      <c r="BP574" s="14" t="n">
        <v>0.013</v>
      </c>
      <c r="BQ574" s="14" t="n">
        <v>0.214</v>
      </c>
      <c r="BR574" s="14" t="n">
        <v>0</v>
      </c>
      <c r="BS574" s="14" t="n">
        <v>1</v>
      </c>
      <c r="BT574" s="14" t="n">
        <v>0</v>
      </c>
      <c r="BU574" s="14" t="n">
        <v>-0.102</v>
      </c>
      <c r="BV574" s="14" t="n">
        <v>0.341</v>
      </c>
      <c r="BW574" s="14" t="n">
        <v>0.21</v>
      </c>
      <c r="BX574" s="14" t="n">
        <v>1</v>
      </c>
      <c r="BY574" s="14" t="n">
        <v>13.254</v>
      </c>
      <c r="BZ574" s="14" t="n">
        <v>0</v>
      </c>
      <c r="CA574" s="14" t="n">
        <v>13.254</v>
      </c>
      <c r="CB574" s="14" t="n">
        <v>0</v>
      </c>
      <c r="CC574" s="14" t="n">
        <v>79.035</v>
      </c>
      <c r="CD574" s="14" t="n">
        <v>7.95</v>
      </c>
      <c r="CE574" s="14" t="n">
        <v>230.132</v>
      </c>
      <c r="CF574" s="14" t="n">
        <v>374.092</v>
      </c>
      <c r="CG574" s="14" t="n">
        <v>0.21</v>
      </c>
      <c r="CH574" s="14" t="n">
        <v>1</v>
      </c>
      <c r="CI574" s="14" t="n">
        <v>0</v>
      </c>
      <c r="CJ574" s="14" t="n">
        <v>0</v>
      </c>
      <c r="CK574" s="14" t="n">
        <v>0</v>
      </c>
      <c r="CL574" s="14" t="n">
        <v>0</v>
      </c>
      <c r="CM574" s="14" t="n">
        <v>0</v>
      </c>
      <c r="CN574" s="14" t="n">
        <v>0</v>
      </c>
      <c r="CO574" s="14" t="n">
        <v>0</v>
      </c>
      <c r="CP574" s="14" t="n">
        <v>0</v>
      </c>
      <c r="CQ574" s="14" t="n">
        <v>1.348</v>
      </c>
      <c r="CR574" s="14" t="n">
        <v>0</v>
      </c>
      <c r="CS574" s="14" t="n">
        <v>4.999</v>
      </c>
      <c r="CT574" s="14" t="n">
        <v>5.976</v>
      </c>
      <c r="CU574" s="14" t="n">
        <v>12.253</v>
      </c>
    </row>
    <row r="575">
      <c r="A575" s="14" t="inlineStr">
        <is>
          <t>NLD2024</t>
        </is>
      </c>
      <c r="B575" s="14" t="inlineStr">
        <is>
          <t>NLD</t>
        </is>
      </c>
      <c r="C575" s="14" t="inlineStr">
        <is>
          <t>NLD</t>
        </is>
      </c>
      <c r="D575" s="14" t="inlineStr">
        <is>
          <t>Netherlands</t>
        </is>
      </c>
      <c r="E575" s="14" t="n">
        <v>2024</v>
      </c>
      <c r="F575" s="14" t="n">
        <v>0.21</v>
      </c>
      <c r="G575" s="14" t="n">
        <v>6.635</v>
      </c>
      <c r="H575" s="14" t="n">
        <v>1.324</v>
      </c>
      <c r="I575" s="14" t="n">
        <v>6.197</v>
      </c>
      <c r="J575" s="14" t="n">
        <v>12.833</v>
      </c>
      <c r="K575" s="14" t="n">
        <v>0</v>
      </c>
      <c r="L575" s="14" t="n">
        <v>1</v>
      </c>
      <c r="M575" s="14" t="n">
        <v>9.912000000000001</v>
      </c>
      <c r="N575" s="14" t="n">
        <v>3.971</v>
      </c>
      <c r="O575" s="14" t="n">
        <v>6.318</v>
      </c>
      <c r="P575" s="14" t="n">
        <v>16.231</v>
      </c>
      <c r="Q575" s="14" t="n">
        <v>0</v>
      </c>
      <c r="R575" s="14" t="n">
        <v>1</v>
      </c>
      <c r="S575" s="14" t="n">
        <v>13.253</v>
      </c>
      <c r="T575" s="14" t="n">
        <v>7.942</v>
      </c>
      <c r="U575" s="14" t="n">
        <v>1.572</v>
      </c>
      <c r="V575" s="14" t="n">
        <v>17.44</v>
      </c>
      <c r="W575" s="14" t="n">
        <v>0.21</v>
      </c>
      <c r="X575" s="14" t="n">
        <v>1</v>
      </c>
      <c r="Y575" s="14" t="n">
        <v>12.708</v>
      </c>
      <c r="Z575" s="14" t="n">
        <v>1.605</v>
      </c>
      <c r="AA575" s="14" t="n">
        <v>11.561</v>
      </c>
      <c r="AB575" s="14" t="n">
        <v>24.269</v>
      </c>
      <c r="AC575" s="14" t="n">
        <v>0</v>
      </c>
      <c r="AD575" s="14" t="n">
        <v>1</v>
      </c>
      <c r="AE575" s="14" t="n">
        <v>12.708</v>
      </c>
      <c r="AF575" s="14" t="n">
        <v>2.784</v>
      </c>
      <c r="AG575" s="14" t="n">
        <v>11.561</v>
      </c>
      <c r="AH575" s="14" t="n">
        <v>24.269</v>
      </c>
      <c r="AI575" s="14" t="n">
        <v>0</v>
      </c>
      <c r="AJ575" s="14" t="n">
        <v>1</v>
      </c>
      <c r="AK575" s="14" t="n">
        <v>23.009</v>
      </c>
      <c r="AL575" s="14" t="n">
        <v>11.703</v>
      </c>
      <c r="AM575" s="14" t="n">
        <v>17.943</v>
      </c>
      <c r="AN575" s="14" t="n">
        <v>49.551</v>
      </c>
      <c r="AO575" s="14" t="n">
        <v>0.21</v>
      </c>
      <c r="AP575" s="14" t="n">
        <v>1</v>
      </c>
      <c r="AQ575" s="14" t="n">
        <v>0.751</v>
      </c>
      <c r="AR575" s="14" t="n">
        <v>0.132</v>
      </c>
      <c r="AS575" s="14" t="n">
        <v>1.012</v>
      </c>
      <c r="AT575" s="14" t="n">
        <v>2.132</v>
      </c>
      <c r="AU575" s="14" t="n">
        <v>0.21</v>
      </c>
      <c r="AV575" s="14" t="n">
        <v>1</v>
      </c>
      <c r="AW575" s="14" t="n">
        <v>0.75</v>
      </c>
      <c r="AX575" s="14" t="n">
        <v>0.132</v>
      </c>
      <c r="AY575" s="14" t="n">
        <v>0.793</v>
      </c>
      <c r="AZ575" s="14" t="n">
        <v>1.867</v>
      </c>
      <c r="BA575" s="14" t="n">
        <v>0.21</v>
      </c>
      <c r="BB575" s="14" t="n">
        <v>1</v>
      </c>
      <c r="BC575" s="14" t="n">
        <v>0.53</v>
      </c>
      <c r="BD575" s="14" t="n">
        <v>0.132</v>
      </c>
      <c r="BE575" s="14" t="n">
        <v>0.181</v>
      </c>
      <c r="BF575" s="14" t="n">
        <v>0.86</v>
      </c>
      <c r="BG575" s="14" t="n">
        <v>0.21</v>
      </c>
      <c r="BH575" s="14" t="n">
        <v>1</v>
      </c>
      <c r="BI575" s="14" t="n">
        <v>0.591</v>
      </c>
      <c r="BJ575" s="14" t="n">
        <v>0.132</v>
      </c>
      <c r="BK575" s="14" t="n">
        <v>1.01</v>
      </c>
      <c r="BL575" s="14" t="n">
        <v>1.938</v>
      </c>
      <c r="BM575" s="14" t="n">
        <v>0.21</v>
      </c>
      <c r="BN575" s="14" t="n">
        <v>1</v>
      </c>
      <c r="BO575" s="14" t="n">
        <v>0</v>
      </c>
      <c r="BP575" s="14" t="n">
        <v>0.015</v>
      </c>
      <c r="BQ575" s="14" t="n">
        <v>0.168</v>
      </c>
      <c r="BR575" s="14" t="n">
        <v>0</v>
      </c>
      <c r="BS575" s="14" t="n">
        <v>1</v>
      </c>
      <c r="BT575" s="14" t="n">
        <v>0</v>
      </c>
      <c r="BU575" s="14" t="n">
        <v>-0.078</v>
      </c>
      <c r="BV575" s="14" t="n">
        <v>0.262</v>
      </c>
      <c r="BW575" s="14" t="n">
        <v>0.21</v>
      </c>
      <c r="BX575" s="14" t="n">
        <v>1</v>
      </c>
      <c r="BY575" s="14" t="n">
        <v>13.646</v>
      </c>
      <c r="BZ575" s="14" t="n">
        <v>0</v>
      </c>
      <c r="CA575" s="14" t="n">
        <v>13.646</v>
      </c>
      <c r="CB575" s="14" t="n">
        <v>0</v>
      </c>
      <c r="CC575" s="14" t="n">
        <v>78.41200000000001</v>
      </c>
      <c r="CD575" s="14" t="n">
        <v>7.95</v>
      </c>
      <c r="CE575" s="14" t="n">
        <v>228.151</v>
      </c>
      <c r="CF575" s="14" t="n">
        <v>370.941</v>
      </c>
      <c r="CG575" s="14" t="n">
        <v>0.21</v>
      </c>
      <c r="CH575" s="14" t="n">
        <v>1</v>
      </c>
      <c r="CI575" s="14" t="n">
        <v>0</v>
      </c>
      <c r="CJ575" s="14" t="n">
        <v>0</v>
      </c>
      <c r="CK575" s="14" t="n">
        <v>0</v>
      </c>
      <c r="CL575" s="14" t="n">
        <v>0</v>
      </c>
      <c r="CM575" s="14" t="n">
        <v>0</v>
      </c>
      <c r="CN575" s="14" t="n">
        <v>0</v>
      </c>
      <c r="CO575" s="14" t="n">
        <v>0</v>
      </c>
      <c r="CP575" s="14" t="n">
        <v>0</v>
      </c>
      <c r="CQ575" s="14" t="n">
        <v>1.387</v>
      </c>
      <c r="CR575" s="14" t="n">
        <v>0</v>
      </c>
      <c r="CS575" s="14" t="n">
        <v>5.147</v>
      </c>
      <c r="CT575" s="14" t="n">
        <v>5.312</v>
      </c>
      <c r="CU575" s="14" t="n">
        <v>10.135</v>
      </c>
    </row>
    <row r="576">
      <c r="A576" s="14" t="inlineStr">
        <is>
          <t>NCL2021</t>
        </is>
      </c>
      <c r="B576" s="14" t="inlineStr">
        <is>
          <t>NCL</t>
        </is>
      </c>
      <c r="C576" s="14" t="inlineStr">
        <is>
          <t>NCL</t>
        </is>
      </c>
      <c r="D576" s="14" t="inlineStr">
        <is>
          <t>New Caledonia</t>
        </is>
      </c>
      <c r="E576" s="14" t="n">
        <v>2021</v>
      </c>
      <c r="F576" s="14" t="n">
        <v>0.11</v>
      </c>
      <c r="G576" s="14" t="n">
        <v>4.747</v>
      </c>
      <c r="H576" s="14" t="n">
        <v>1.143</v>
      </c>
      <c r="I576" s="14" t="n">
        <v>0</v>
      </c>
      <c r="J576" s="14" t="n">
        <v>4.747</v>
      </c>
      <c r="K576" s="14" t="n">
        <v>0</v>
      </c>
      <c r="L576" s="14" t="n">
        <v>1</v>
      </c>
      <c r="M576" s="14" t="n">
        <v>7.964</v>
      </c>
      <c r="N576" s="14" t="n">
        <v>3.43</v>
      </c>
      <c r="O576" s="14" t="n">
        <v>0</v>
      </c>
      <c r="P576" s="14" t="n">
        <v>7.964</v>
      </c>
      <c r="Q576" s="14" t="n">
        <v>0</v>
      </c>
      <c r="R576" s="14" t="n">
        <v>1</v>
      </c>
      <c r="S576" s="14" t="n">
        <v>10.464</v>
      </c>
      <c r="T576" s="14" t="n">
        <v>6.86</v>
      </c>
      <c r="U576" s="14" t="n">
        <v>0</v>
      </c>
      <c r="V576" s="14" t="n">
        <v>11.615</v>
      </c>
      <c r="W576" s="14" t="n">
        <v>0.11</v>
      </c>
      <c r="X576" s="14" t="n">
        <v>1</v>
      </c>
      <c r="Y576" s="14" t="n">
        <v>5.626</v>
      </c>
      <c r="Z576" s="14" t="n">
        <v>0.694</v>
      </c>
      <c r="AA576" s="14" t="n">
        <v>0</v>
      </c>
      <c r="AB576" s="14" t="n">
        <v>5.626</v>
      </c>
      <c r="AC576" s="14" t="n">
        <v>0</v>
      </c>
      <c r="AD576" s="14" t="n">
        <v>1</v>
      </c>
      <c r="AE576" s="14" t="n">
        <v>6.769</v>
      </c>
      <c r="AF576" s="14" t="n">
        <v>1.476</v>
      </c>
      <c r="AG576" s="14" t="n">
        <v>0</v>
      </c>
      <c r="AH576" s="14" t="n">
        <v>6.769</v>
      </c>
      <c r="AI576" s="14" t="n">
        <v>0</v>
      </c>
      <c r="AJ576" s="14" t="n">
        <v>1</v>
      </c>
      <c r="AK576" s="14" t="n">
        <v>13.629</v>
      </c>
      <c r="AL576" s="14" t="n">
        <v>7.072</v>
      </c>
      <c r="AM576" s="14" t="n">
        <v>0</v>
      </c>
      <c r="AN576" s="14" t="n">
        <v>15.128</v>
      </c>
      <c r="AO576" s="14" t="n">
        <v>0.11</v>
      </c>
      <c r="AP576" s="14" t="n">
        <v>1</v>
      </c>
      <c r="AQ576" s="14" t="n">
        <v>0.621</v>
      </c>
      <c r="AR576" s="14" t="n">
        <v>0.114</v>
      </c>
      <c r="AS576" s="14" t="n">
        <v>0</v>
      </c>
      <c r="AT576" s="14" t="n">
        <v>0.6889999999999999</v>
      </c>
      <c r="AU576" s="14" t="n">
        <v>0.11</v>
      </c>
      <c r="AV576" s="14" t="n">
        <v>1</v>
      </c>
      <c r="AW576" s="14" t="n">
        <v>0.593</v>
      </c>
      <c r="AX576" s="14" t="n">
        <v>0.114</v>
      </c>
      <c r="AY576" s="14" t="n">
        <v>0</v>
      </c>
      <c r="AZ576" s="14" t="n">
        <v>0.658</v>
      </c>
      <c r="BA576" s="14" t="n">
        <v>0.11</v>
      </c>
      <c r="BB576" s="14" t="n">
        <v>1</v>
      </c>
      <c r="BC576" s="14" t="n">
        <v>0.44</v>
      </c>
      <c r="BD576" s="14" t="n">
        <v>0.114</v>
      </c>
      <c r="BE576" s="14" t="n">
        <v>0</v>
      </c>
      <c r="BF576" s="14" t="n">
        <v>0.488</v>
      </c>
      <c r="BG576" s="14" t="n">
        <v>0.11</v>
      </c>
      <c r="BH576" s="14" t="n">
        <v>1</v>
      </c>
      <c r="BI576" s="14" t="n">
        <v>0.5600000000000001</v>
      </c>
      <c r="BJ576" s="14" t="n">
        <v>0.114</v>
      </c>
      <c r="BK576" s="14" t="n">
        <v>0</v>
      </c>
      <c r="BL576" s="14" t="n">
        <v>0.622</v>
      </c>
      <c r="BM576" s="14" t="n">
        <v>0.11</v>
      </c>
      <c r="BN576" s="14" t="n">
        <v>1</v>
      </c>
      <c r="BO576" s="14" t="n">
        <v>0</v>
      </c>
      <c r="BP576" s="14" t="n">
        <v>0</v>
      </c>
      <c r="BQ576" s="14" t="n">
        <v>0</v>
      </c>
      <c r="BR576" s="14" t="n">
        <v>0</v>
      </c>
      <c r="BS576" s="14" t="n">
        <v>1</v>
      </c>
      <c r="BT576" s="14" t="n">
        <v>0</v>
      </c>
      <c r="BU576" s="14" t="n">
        <v>0</v>
      </c>
      <c r="BV576" s="14" t="n">
        <v>0</v>
      </c>
      <c r="BW576" s="14" t="n">
        <v>0.11</v>
      </c>
      <c r="BX576" s="14" t="n">
        <v>1</v>
      </c>
      <c r="BY576" s="14" t="n">
        <v>11.787</v>
      </c>
      <c r="BZ576" s="14" t="n">
        <v>0</v>
      </c>
      <c r="CA576" s="14" t="n">
        <v>11.787</v>
      </c>
      <c r="CB576" s="14" t="n">
        <v>0</v>
      </c>
      <c r="CC576" s="14" t="n">
        <v>81.69499999999999</v>
      </c>
      <c r="CD576" s="14" t="n">
        <v>7.95</v>
      </c>
      <c r="CE576" s="14" t="n">
        <v>0</v>
      </c>
      <c r="CF576" s="14" t="n">
        <v>90.682</v>
      </c>
      <c r="CG576" s="14" t="n">
        <v>0.11</v>
      </c>
      <c r="CH576" s="14" t="n">
        <v>1</v>
      </c>
      <c r="CI576" s="14" t="n">
        <v>0</v>
      </c>
      <c r="CJ576" s="14" t="n">
        <v>0</v>
      </c>
      <c r="CK576" s="14" t="n">
        <v>0</v>
      </c>
      <c r="CL576" s="14" t="n">
        <v>0</v>
      </c>
      <c r="CM576" s="14" t="n">
        <v>0</v>
      </c>
      <c r="CN576" s="14" t="n">
        <v>0</v>
      </c>
      <c r="CO576" s="14" t="n">
        <v>0</v>
      </c>
      <c r="CP576" s="14" t="n">
        <v>0</v>
      </c>
      <c r="CQ576" s="14" t="n">
        <v>1.198</v>
      </c>
      <c r="CR576" s="14" t="n">
        <v>0</v>
      </c>
      <c r="CS576" s="14" t="n">
        <v>4.776</v>
      </c>
      <c r="CT576" s="14" t="n">
        <v>3.604</v>
      </c>
      <c r="CU576" s="14" t="n">
        <v>9.407999999999999</v>
      </c>
    </row>
    <row r="577">
      <c r="A577" s="14" t="inlineStr">
        <is>
          <t>NCL2022</t>
        </is>
      </c>
      <c r="B577" s="14" t="inlineStr">
        <is>
          <t>NCL</t>
        </is>
      </c>
      <c r="C577" s="14" t="inlineStr">
        <is>
          <t>NCL</t>
        </is>
      </c>
      <c r="D577" s="14" t="inlineStr">
        <is>
          <t>New Caledonia</t>
        </is>
      </c>
      <c r="E577" s="14" t="n">
        <v>2022</v>
      </c>
      <c r="F577" s="14" t="n">
        <v>0.11</v>
      </c>
      <c r="G577" s="14" t="n">
        <v>8.788</v>
      </c>
      <c r="H577" s="14" t="n">
        <v>1.235</v>
      </c>
      <c r="I577" s="14" t="n">
        <v>0</v>
      </c>
      <c r="J577" s="14" t="n">
        <v>8.788</v>
      </c>
      <c r="K577" s="14" t="n">
        <v>0</v>
      </c>
      <c r="L577" s="14" t="n">
        <v>1</v>
      </c>
      <c r="M577" s="14" t="n">
        <v>9.782999999999999</v>
      </c>
      <c r="N577" s="14" t="n">
        <v>3.704</v>
      </c>
      <c r="O577" s="14" t="n">
        <v>0</v>
      </c>
      <c r="P577" s="14" t="n">
        <v>9.782999999999999</v>
      </c>
      <c r="Q577" s="14" t="n">
        <v>0</v>
      </c>
      <c r="R577" s="14" t="n">
        <v>1</v>
      </c>
      <c r="S577" s="14" t="n">
        <v>14.962</v>
      </c>
      <c r="T577" s="14" t="n">
        <v>7.408</v>
      </c>
      <c r="U577" s="14" t="n">
        <v>0.122</v>
      </c>
      <c r="V577" s="14" t="n">
        <v>16.608</v>
      </c>
      <c r="W577" s="14" t="n">
        <v>0.11</v>
      </c>
      <c r="X577" s="14" t="n">
        <v>1</v>
      </c>
      <c r="Y577" s="14" t="n">
        <v>6.599</v>
      </c>
      <c r="Z577" s="14" t="n">
        <v>0.8139999999999999</v>
      </c>
      <c r="AA577" s="14" t="n">
        <v>0</v>
      </c>
      <c r="AB577" s="14" t="n">
        <v>6.599</v>
      </c>
      <c r="AC577" s="14" t="n">
        <v>0</v>
      </c>
      <c r="AD577" s="14" t="n">
        <v>1</v>
      </c>
      <c r="AE577" s="14" t="n">
        <v>7.834</v>
      </c>
      <c r="AF577" s="14" t="n">
        <v>1.708</v>
      </c>
      <c r="AG577" s="14" t="n">
        <v>0</v>
      </c>
      <c r="AH577" s="14" t="n">
        <v>7.834</v>
      </c>
      <c r="AI577" s="14" t="n">
        <v>0</v>
      </c>
      <c r="AJ577" s="14" t="n">
        <v>1</v>
      </c>
      <c r="AK577" s="14" t="n">
        <v>15.242</v>
      </c>
      <c r="AL577" s="14" t="n">
        <v>7.909</v>
      </c>
      <c r="AM577" s="14" t="n">
        <v>0.124</v>
      </c>
      <c r="AN577" s="14" t="n">
        <v>16.919</v>
      </c>
      <c r="AO577" s="14" t="n">
        <v>0.11</v>
      </c>
      <c r="AP577" s="14" t="n">
        <v>1</v>
      </c>
      <c r="AQ577" s="14" t="n">
        <v>0.847</v>
      </c>
      <c r="AR577" s="14" t="n">
        <v>0.123</v>
      </c>
      <c r="AS577" s="14" t="n">
        <v>0.007</v>
      </c>
      <c r="AT577" s="14" t="n">
        <v>0.9399999999999999</v>
      </c>
      <c r="AU577" s="14" t="n">
        <v>0.11</v>
      </c>
      <c r="AV577" s="14" t="n">
        <v>1</v>
      </c>
      <c r="AW577" s="14" t="n">
        <v>0.947</v>
      </c>
      <c r="AX577" s="14" t="n">
        <v>0.123</v>
      </c>
      <c r="AY577" s="14" t="n">
        <v>0.008</v>
      </c>
      <c r="AZ577" s="14" t="n">
        <v>1.051</v>
      </c>
      <c r="BA577" s="14" t="n">
        <v>0.11</v>
      </c>
      <c r="BB577" s="14" t="n">
        <v>1</v>
      </c>
      <c r="BC577" s="14" t="n">
        <v>0.589</v>
      </c>
      <c r="BD577" s="14" t="n">
        <v>0.123</v>
      </c>
      <c r="BE577" s="14" t="n">
        <v>0.005</v>
      </c>
      <c r="BF577" s="14" t="n">
        <v>0.653</v>
      </c>
      <c r="BG577" s="14" t="n">
        <v>0.11</v>
      </c>
      <c r="BH577" s="14" t="n">
        <v>1</v>
      </c>
      <c r="BI577" s="14" t="n">
        <v>0.6889999999999999</v>
      </c>
      <c r="BJ577" s="14" t="n">
        <v>0.123</v>
      </c>
      <c r="BK577" s="14" t="n">
        <v>0.006</v>
      </c>
      <c r="BL577" s="14" t="n">
        <v>0.765</v>
      </c>
      <c r="BM577" s="14" t="n">
        <v>0.11</v>
      </c>
      <c r="BN577" s="14" t="n">
        <v>1</v>
      </c>
      <c r="BO577" s="14" t="n">
        <v>0</v>
      </c>
      <c r="BP577" s="14" t="n">
        <v>0</v>
      </c>
      <c r="BQ577" s="14" t="n">
        <v>0</v>
      </c>
      <c r="BR577" s="14" t="n">
        <v>0</v>
      </c>
      <c r="BS577" s="14" t="n">
        <v>1</v>
      </c>
      <c r="BT577" s="14" t="n">
        <v>0</v>
      </c>
      <c r="BU577" s="14" t="n">
        <v>0</v>
      </c>
      <c r="BV577" s="14" t="n">
        <v>0</v>
      </c>
      <c r="BW577" s="14" t="n">
        <v>0.11</v>
      </c>
      <c r="BX577" s="14" t="n">
        <v>1</v>
      </c>
      <c r="BY577" s="14" t="n">
        <v>12.729</v>
      </c>
      <c r="BZ577" s="14" t="n">
        <v>0</v>
      </c>
      <c r="CA577" s="14" t="n">
        <v>12.729</v>
      </c>
      <c r="CB577" s="14" t="n">
        <v>0</v>
      </c>
      <c r="CC577" s="14" t="n">
        <v>102.477</v>
      </c>
      <c r="CD577" s="14" t="n">
        <v>7.95</v>
      </c>
      <c r="CE577" s="14" t="n">
        <v>0.834</v>
      </c>
      <c r="CF577" s="14" t="n">
        <v>113.749</v>
      </c>
      <c r="CG577" s="14" t="n">
        <v>0.11</v>
      </c>
      <c r="CH577" s="14" t="n">
        <v>1</v>
      </c>
      <c r="CI577" s="14" t="n">
        <v>0</v>
      </c>
      <c r="CJ577" s="14" t="n">
        <v>0</v>
      </c>
      <c r="CK577" s="14" t="n">
        <v>0</v>
      </c>
      <c r="CL577" s="14" t="n">
        <v>0</v>
      </c>
      <c r="CM577" s="14" t="n">
        <v>0</v>
      </c>
      <c r="CN577" s="14" t="n">
        <v>0</v>
      </c>
      <c r="CO577" s="14" t="n">
        <v>0</v>
      </c>
      <c r="CP577" s="14" t="n">
        <v>0</v>
      </c>
      <c r="CQ577" s="14" t="n">
        <v>1.294</v>
      </c>
      <c r="CR577" s="14" t="n">
        <v>0</v>
      </c>
      <c r="CS577" s="14" t="n">
        <v>5.158</v>
      </c>
      <c r="CT577" s="14" t="n">
        <v>7.554</v>
      </c>
      <c r="CU577" s="14" t="n">
        <v>16.097</v>
      </c>
    </row>
    <row r="578">
      <c r="A578" s="14" t="inlineStr">
        <is>
          <t>NCL2023</t>
        </is>
      </c>
      <c r="B578" s="14" t="inlineStr">
        <is>
          <t>NCL</t>
        </is>
      </c>
      <c r="C578" s="14" t="inlineStr">
        <is>
          <t>NCL</t>
        </is>
      </c>
      <c r="D578" s="14" t="inlineStr">
        <is>
          <t>New Caledonia</t>
        </is>
      </c>
      <c r="E578" s="14" t="n">
        <v>2023</v>
      </c>
      <c r="F578" s="14" t="n">
        <v>0.11</v>
      </c>
      <c r="G578" s="14" t="n">
        <v>5.77</v>
      </c>
      <c r="H578" s="14" t="n">
        <v>1.286</v>
      </c>
      <c r="I578" s="14" t="n">
        <v>0</v>
      </c>
      <c r="J578" s="14" t="n">
        <v>5.77</v>
      </c>
      <c r="K578" s="14" t="n">
        <v>0</v>
      </c>
      <c r="L578" s="14" t="n">
        <v>1</v>
      </c>
      <c r="M578" s="14" t="n">
        <v>7.886</v>
      </c>
      <c r="N578" s="14" t="n">
        <v>3.857</v>
      </c>
      <c r="O578" s="14" t="n">
        <v>0</v>
      </c>
      <c r="P578" s="14" t="n">
        <v>7.886</v>
      </c>
      <c r="Q578" s="14" t="n">
        <v>0</v>
      </c>
      <c r="R578" s="14" t="n">
        <v>1</v>
      </c>
      <c r="S578" s="14" t="n">
        <v>12.198</v>
      </c>
      <c r="T578" s="14" t="n">
        <v>7.714</v>
      </c>
      <c r="U578" s="14" t="n">
        <v>0.149</v>
      </c>
      <c r="V578" s="14" t="n">
        <v>13.54</v>
      </c>
      <c r="W578" s="14" t="n">
        <v>0.11</v>
      </c>
      <c r="X578" s="14" t="n">
        <v>1</v>
      </c>
      <c r="Y578" s="14" t="n">
        <v>6.498</v>
      </c>
      <c r="Z578" s="14" t="n">
        <v>0.802</v>
      </c>
      <c r="AA578" s="14" t="n">
        <v>0</v>
      </c>
      <c r="AB578" s="14" t="n">
        <v>6.498</v>
      </c>
      <c r="AC578" s="14" t="n">
        <v>0</v>
      </c>
      <c r="AD578" s="14" t="n">
        <v>1</v>
      </c>
      <c r="AE578" s="14" t="n">
        <v>7.784</v>
      </c>
      <c r="AF578" s="14" t="n">
        <v>1.697</v>
      </c>
      <c r="AG578" s="14" t="n">
        <v>0</v>
      </c>
      <c r="AH578" s="14" t="n">
        <v>7.784</v>
      </c>
      <c r="AI578" s="14" t="n">
        <v>0</v>
      </c>
      <c r="AJ578" s="14" t="n">
        <v>1</v>
      </c>
      <c r="AK578" s="14" t="n">
        <v>15.498</v>
      </c>
      <c r="AL578" s="14" t="n">
        <v>8.042</v>
      </c>
      <c r="AM578" s="14" t="n">
        <v>0.189</v>
      </c>
      <c r="AN578" s="14" t="n">
        <v>17.202</v>
      </c>
      <c r="AO578" s="14" t="n">
        <v>0.11</v>
      </c>
      <c r="AP578" s="14" t="n">
        <v>1</v>
      </c>
      <c r="AQ578" s="14" t="n">
        <v>0.749</v>
      </c>
      <c r="AR578" s="14" t="n">
        <v>0.129</v>
      </c>
      <c r="AS578" s="14" t="n">
        <v>0.008999999999999999</v>
      </c>
      <c r="AT578" s="14" t="n">
        <v>0.831</v>
      </c>
      <c r="AU578" s="14" t="n">
        <v>0.11</v>
      </c>
      <c r="AV578" s="14" t="n">
        <v>1</v>
      </c>
      <c r="AW578" s="14" t="n">
        <v>0.783</v>
      </c>
      <c r="AX578" s="14" t="n">
        <v>0.129</v>
      </c>
      <c r="AY578" s="14" t="n">
        <v>0.01</v>
      </c>
      <c r="AZ578" s="14" t="n">
        <v>0.869</v>
      </c>
      <c r="BA578" s="14" t="n">
        <v>0.11</v>
      </c>
      <c r="BB578" s="14" t="n">
        <v>1</v>
      </c>
      <c r="BC578" s="14" t="n">
        <v>0.527</v>
      </c>
      <c r="BD578" s="14" t="n">
        <v>0.129</v>
      </c>
      <c r="BE578" s="14" t="n">
        <v>0.006</v>
      </c>
      <c r="BF578" s="14" t="n">
        <v>0.585</v>
      </c>
      <c r="BG578" s="14" t="n">
        <v>0.11</v>
      </c>
      <c r="BH578" s="14" t="n">
        <v>1</v>
      </c>
      <c r="BI578" s="14" t="n">
        <v>0.64</v>
      </c>
      <c r="BJ578" s="14" t="n">
        <v>0.129</v>
      </c>
      <c r="BK578" s="14" t="n">
        <v>0.008</v>
      </c>
      <c r="BL578" s="14" t="n">
        <v>0.71</v>
      </c>
      <c r="BM578" s="14" t="n">
        <v>0.11</v>
      </c>
      <c r="BN578" s="14" t="n">
        <v>1</v>
      </c>
      <c r="BO578" s="14" t="n">
        <v>0</v>
      </c>
      <c r="BP578" s="14" t="n">
        <v>0</v>
      </c>
      <c r="BQ578" s="14" t="n">
        <v>0</v>
      </c>
      <c r="BR578" s="14" t="n">
        <v>0</v>
      </c>
      <c r="BS578" s="14" t="n">
        <v>1</v>
      </c>
      <c r="BT578" s="14" t="n">
        <v>0</v>
      </c>
      <c r="BU578" s="14" t="n">
        <v>0</v>
      </c>
      <c r="BV578" s="14" t="n">
        <v>0</v>
      </c>
      <c r="BW578" s="14" t="n">
        <v>0.11</v>
      </c>
      <c r="BX578" s="14" t="n">
        <v>1</v>
      </c>
      <c r="BY578" s="14" t="n">
        <v>13.254</v>
      </c>
      <c r="BZ578" s="14" t="n">
        <v>0</v>
      </c>
      <c r="CA578" s="14" t="n">
        <v>13.254</v>
      </c>
      <c r="CB578" s="14" t="n">
        <v>0</v>
      </c>
      <c r="CC578" s="14" t="n">
        <v>87.07899999999999</v>
      </c>
      <c r="CD578" s="14" t="n">
        <v>7.95</v>
      </c>
      <c r="CE578" s="14" t="n">
        <v>1.061</v>
      </c>
      <c r="CF578" s="14" t="n">
        <v>96.658</v>
      </c>
      <c r="CG578" s="14" t="n">
        <v>0.11</v>
      </c>
      <c r="CH578" s="14" t="n">
        <v>1</v>
      </c>
      <c r="CI578" s="14" t="n">
        <v>0</v>
      </c>
      <c r="CJ578" s="14" t="n">
        <v>0</v>
      </c>
      <c r="CK578" s="14" t="n">
        <v>0</v>
      </c>
      <c r="CL578" s="14" t="n">
        <v>0</v>
      </c>
      <c r="CM578" s="14" t="n">
        <v>0</v>
      </c>
      <c r="CN578" s="14" t="n">
        <v>0</v>
      </c>
      <c r="CO578" s="14" t="n">
        <v>0</v>
      </c>
      <c r="CP578" s="14" t="n">
        <v>0</v>
      </c>
      <c r="CQ578" s="14" t="n">
        <v>1.348</v>
      </c>
      <c r="CR578" s="14" t="n">
        <v>0</v>
      </c>
      <c r="CS578" s="14" t="n">
        <v>5.37</v>
      </c>
      <c r="CT578" s="14" t="n">
        <v>4.484</v>
      </c>
      <c r="CU578" s="14" t="n">
        <v>12.529</v>
      </c>
    </row>
    <row r="579">
      <c r="A579" s="14" t="inlineStr">
        <is>
          <t>NCL2024</t>
        </is>
      </c>
      <c r="B579" s="14" t="inlineStr">
        <is>
          <t>NCL</t>
        </is>
      </c>
      <c r="C579" s="14" t="inlineStr">
        <is>
          <t>NCL</t>
        </is>
      </c>
      <c r="D579" s="14" t="inlineStr">
        <is>
          <t>New Caledonia</t>
        </is>
      </c>
      <c r="E579" s="14" t="n">
        <v>2024</v>
      </c>
      <c r="F579" s="14" t="n">
        <v>0.11</v>
      </c>
      <c r="G579" s="14" t="n">
        <v>4.833</v>
      </c>
      <c r="H579" s="14" t="n">
        <v>1.324</v>
      </c>
      <c r="I579" s="14" t="n">
        <v>0</v>
      </c>
      <c r="J579" s="14" t="n">
        <v>4.833</v>
      </c>
      <c r="K579" s="14" t="n">
        <v>0</v>
      </c>
      <c r="L579" s="14" t="n">
        <v>1</v>
      </c>
      <c r="M579" s="14" t="n">
        <v>7.124</v>
      </c>
      <c r="N579" s="14" t="n">
        <v>3.971</v>
      </c>
      <c r="O579" s="14" t="n">
        <v>0</v>
      </c>
      <c r="P579" s="14" t="n">
        <v>7.124</v>
      </c>
      <c r="Q579" s="14" t="n">
        <v>0</v>
      </c>
      <c r="R579" s="14" t="n">
        <v>1</v>
      </c>
      <c r="S579" s="14" t="n">
        <v>11.451</v>
      </c>
      <c r="T579" s="14" t="n">
        <v>7.942</v>
      </c>
      <c r="U579" s="14" t="n">
        <v>0.172</v>
      </c>
      <c r="V579" s="14" t="n">
        <v>12.71</v>
      </c>
      <c r="W579" s="14" t="n">
        <v>0.11</v>
      </c>
      <c r="X579" s="14" t="n">
        <v>1</v>
      </c>
      <c r="Y579" s="14" t="n">
        <v>6.513</v>
      </c>
      <c r="Z579" s="14" t="n">
        <v>0.804</v>
      </c>
      <c r="AA579" s="14" t="n">
        <v>0</v>
      </c>
      <c r="AB579" s="14" t="n">
        <v>6.513</v>
      </c>
      <c r="AC579" s="14" t="n">
        <v>0</v>
      </c>
      <c r="AD579" s="14" t="n">
        <v>1</v>
      </c>
      <c r="AE579" s="14" t="n">
        <v>7.837</v>
      </c>
      <c r="AF579" s="14" t="n">
        <v>1.708</v>
      </c>
      <c r="AG579" s="14" t="n">
        <v>0</v>
      </c>
      <c r="AH579" s="14" t="n">
        <v>7.837</v>
      </c>
      <c r="AI579" s="14" t="n">
        <v>0</v>
      </c>
      <c r="AJ579" s="14" t="n">
        <v>1</v>
      </c>
      <c r="AK579" s="14" t="n">
        <v>15.778</v>
      </c>
      <c r="AL579" s="14" t="n">
        <v>8.186999999999999</v>
      </c>
      <c r="AM579" s="14" t="n">
        <v>0.236</v>
      </c>
      <c r="AN579" s="14" t="n">
        <v>17.514</v>
      </c>
      <c r="AO579" s="14" t="n">
        <v>0.11</v>
      </c>
      <c r="AP579" s="14" t="n">
        <v>1</v>
      </c>
      <c r="AQ579" s="14" t="n">
        <v>0.72</v>
      </c>
      <c r="AR579" s="14" t="n">
        <v>0.132</v>
      </c>
      <c r="AS579" s="14" t="n">
        <v>0.011</v>
      </c>
      <c r="AT579" s="14" t="n">
        <v>0.799</v>
      </c>
      <c r="AU579" s="14" t="n">
        <v>0.11</v>
      </c>
      <c r="AV579" s="14" t="n">
        <v>1</v>
      </c>
      <c r="AW579" s="14" t="n">
        <v>0.734</v>
      </c>
      <c r="AX579" s="14" t="n">
        <v>0.132</v>
      </c>
      <c r="AY579" s="14" t="n">
        <v>0.011</v>
      </c>
      <c r="AZ579" s="14" t="n">
        <v>0.8139999999999999</v>
      </c>
      <c r="BA579" s="14" t="n">
        <v>0.11</v>
      </c>
      <c r="BB579" s="14" t="n">
        <v>1</v>
      </c>
      <c r="BC579" s="14" t="n">
        <v>0.51</v>
      </c>
      <c r="BD579" s="14" t="n">
        <v>0.132</v>
      </c>
      <c r="BE579" s="14" t="n">
        <v>0.008</v>
      </c>
      <c r="BF579" s="14" t="n">
        <v>0.5659999999999999</v>
      </c>
      <c r="BG579" s="14" t="n">
        <v>0.11</v>
      </c>
      <c r="BH579" s="14" t="n">
        <v>1</v>
      </c>
      <c r="BI579" s="14" t="n">
        <v>0.652</v>
      </c>
      <c r="BJ579" s="14" t="n">
        <v>0.132</v>
      </c>
      <c r="BK579" s="14" t="n">
        <v>0.01</v>
      </c>
      <c r="BL579" s="14" t="n">
        <v>0.724</v>
      </c>
      <c r="BM579" s="14" t="n">
        <v>0.11</v>
      </c>
      <c r="BN579" s="14" t="n">
        <v>1</v>
      </c>
      <c r="BO579" s="14" t="n">
        <v>0</v>
      </c>
      <c r="BP579" s="14" t="n">
        <v>0</v>
      </c>
      <c r="BQ579" s="14" t="n">
        <v>0</v>
      </c>
      <c r="BR579" s="14" t="n">
        <v>0</v>
      </c>
      <c r="BS579" s="14" t="n">
        <v>1</v>
      </c>
      <c r="BT579" s="14" t="n">
        <v>0</v>
      </c>
      <c r="BU579" s="14" t="n">
        <v>0</v>
      </c>
      <c r="BV579" s="14" t="n">
        <v>0</v>
      </c>
      <c r="BW579" s="14" t="n">
        <v>0.11</v>
      </c>
      <c r="BX579" s="14" t="n">
        <v>1</v>
      </c>
      <c r="BY579" s="14" t="n">
        <v>13.646</v>
      </c>
      <c r="BZ579" s="14" t="n">
        <v>0</v>
      </c>
      <c r="CA579" s="14" t="n">
        <v>13.646</v>
      </c>
      <c r="CB579" s="14" t="n">
        <v>0</v>
      </c>
      <c r="CC579" s="14" t="n">
        <v>86.38500000000001</v>
      </c>
      <c r="CD579" s="14" t="n">
        <v>7.95</v>
      </c>
      <c r="CE579" s="14" t="n">
        <v>1.294</v>
      </c>
      <c r="CF579" s="14" t="n">
        <v>95.88800000000001</v>
      </c>
      <c r="CG579" s="14" t="n">
        <v>0.11</v>
      </c>
      <c r="CH579" s="14" t="n">
        <v>1</v>
      </c>
      <c r="CI579" s="14" t="n">
        <v>0</v>
      </c>
      <c r="CJ579" s="14" t="n">
        <v>0</v>
      </c>
      <c r="CK579" s="14" t="n">
        <v>0</v>
      </c>
      <c r="CL579" s="14" t="n">
        <v>0</v>
      </c>
      <c r="CM579" s="14" t="n">
        <v>0</v>
      </c>
      <c r="CN579" s="14" t="n">
        <v>0</v>
      </c>
      <c r="CO579" s="14" t="n">
        <v>0</v>
      </c>
      <c r="CP579" s="14" t="n">
        <v>0</v>
      </c>
      <c r="CQ579" s="14" t="n">
        <v>1.387</v>
      </c>
      <c r="CR579" s="14" t="n">
        <v>0</v>
      </c>
      <c r="CS579" s="14" t="n">
        <v>5.529</v>
      </c>
      <c r="CT579" s="14" t="n">
        <v>3.509</v>
      </c>
      <c r="CU579" s="14" t="n">
        <v>10.896</v>
      </c>
    </row>
    <row r="580">
      <c r="A580" s="14" t="inlineStr">
        <is>
          <t>NZL2021</t>
        </is>
      </c>
      <c r="B580" s="14" t="inlineStr">
        <is>
          <t>NZL</t>
        </is>
      </c>
      <c r="C580" s="14" t="inlineStr">
        <is>
          <t>NZL</t>
        </is>
      </c>
      <c r="D580" s="14" t="inlineStr">
        <is>
          <t>New Zealand</t>
        </is>
      </c>
      <c r="E580" s="14" t="n">
        <v>2021</v>
      </c>
      <c r="F580" s="14" t="n">
        <v>0.15</v>
      </c>
      <c r="G580" s="14" t="n">
        <v>3.496</v>
      </c>
      <c r="H580" s="14" t="n">
        <v>0.903</v>
      </c>
      <c r="I580" s="14" t="n">
        <v>1.873</v>
      </c>
      <c r="J580" s="14" t="n">
        <v>5.369</v>
      </c>
      <c r="K580" s="14" t="n">
        <v>0</v>
      </c>
      <c r="L580" s="14" t="n">
        <v>1</v>
      </c>
      <c r="M580" s="14" t="n">
        <v>5.842</v>
      </c>
      <c r="N580" s="14" t="n">
        <v>2.709</v>
      </c>
      <c r="O580" s="14" t="n">
        <v>1.883</v>
      </c>
      <c r="P580" s="14" t="n">
        <v>7.725</v>
      </c>
      <c r="Q580" s="14" t="n">
        <v>0</v>
      </c>
      <c r="R580" s="14" t="n">
        <v>1</v>
      </c>
      <c r="S580" s="14" t="n">
        <v>8.012</v>
      </c>
      <c r="T580" s="14" t="n">
        <v>5.419</v>
      </c>
      <c r="U580" s="14" t="n">
        <v>1.928</v>
      </c>
      <c r="V580" s="14" t="n">
        <v>11.431</v>
      </c>
      <c r="W580" s="14" t="n">
        <v>0.15</v>
      </c>
      <c r="X580" s="14" t="n">
        <v>1</v>
      </c>
      <c r="Y580" s="14" t="n">
        <v>5.849</v>
      </c>
      <c r="Z580" s="14" t="n">
        <v>0.646</v>
      </c>
      <c r="AA580" s="14" t="n">
        <v>2.404</v>
      </c>
      <c r="AB580" s="14" t="n">
        <v>8.253</v>
      </c>
      <c r="AC580" s="14" t="n">
        <v>0</v>
      </c>
      <c r="AD580" s="14" t="n">
        <v>1</v>
      </c>
      <c r="AE580" s="14" t="n">
        <v>5.779</v>
      </c>
      <c r="AF580" s="14" t="n">
        <v>1.137</v>
      </c>
      <c r="AG580" s="14" t="n">
        <v>2.475</v>
      </c>
      <c r="AH580" s="14" t="n">
        <v>8.253</v>
      </c>
      <c r="AI580" s="14" t="n">
        <v>0</v>
      </c>
      <c r="AJ580" s="14" t="n">
        <v>1</v>
      </c>
      <c r="AK580" s="14" t="n">
        <v>22.175</v>
      </c>
      <c r="AL580" s="14" t="n">
        <v>10.884</v>
      </c>
      <c r="AM580" s="14" t="n">
        <v>1.9</v>
      </c>
      <c r="AN580" s="14" t="n">
        <v>27.686</v>
      </c>
      <c r="AO580" s="14" t="n">
        <v>0.15</v>
      </c>
      <c r="AP580" s="14" t="n">
        <v>1</v>
      </c>
      <c r="AQ580" s="14" t="n">
        <v>0.621</v>
      </c>
      <c r="AR580" s="14" t="n">
        <v>0.114</v>
      </c>
      <c r="AS580" s="14" t="n">
        <v>0.737</v>
      </c>
      <c r="AT580" s="14" t="n">
        <v>1.562</v>
      </c>
      <c r="AU580" s="14" t="n">
        <v>0.15</v>
      </c>
      <c r="AV580" s="14" t="n">
        <v>1</v>
      </c>
      <c r="AW580" s="14" t="n">
        <v>0.593</v>
      </c>
      <c r="AX580" s="14" t="n">
        <v>0.114</v>
      </c>
      <c r="AY580" s="14" t="n">
        <v>0.28</v>
      </c>
      <c r="AZ580" s="14" t="n">
        <v>1.004</v>
      </c>
      <c r="BA580" s="14" t="n">
        <v>0.15</v>
      </c>
      <c r="BB580" s="14" t="n">
        <v>1</v>
      </c>
      <c r="BC580" s="14" t="n">
        <v>0.44</v>
      </c>
      <c r="BD580" s="14" t="n">
        <v>0.114</v>
      </c>
      <c r="BE580" s="14" t="n">
        <v>0.536</v>
      </c>
      <c r="BF580" s="14" t="n">
        <v>1.122</v>
      </c>
      <c r="BG580" s="14" t="n">
        <v>0.15</v>
      </c>
      <c r="BH580" s="14" t="n">
        <v>1</v>
      </c>
      <c r="BI580" s="14" t="n">
        <v>0.5600000000000001</v>
      </c>
      <c r="BJ580" s="14" t="n">
        <v>0.114</v>
      </c>
      <c r="BK580" s="14" t="n">
        <v>-0.023</v>
      </c>
      <c r="BL580" s="14" t="n">
        <v>0.618</v>
      </c>
      <c r="BM580" s="14" t="n">
        <v>0.15</v>
      </c>
      <c r="BN580" s="14" t="n">
        <v>1</v>
      </c>
      <c r="BO580" s="14" t="n">
        <v>0</v>
      </c>
      <c r="BP580" s="14" t="n">
        <v>0.008999999999999999</v>
      </c>
      <c r="BQ580" s="14" t="n">
        <v>0.113</v>
      </c>
      <c r="BR580" s="14" t="n">
        <v>0</v>
      </c>
      <c r="BS580" s="14" t="n">
        <v>1</v>
      </c>
      <c r="BT580" s="14" t="n">
        <v>0</v>
      </c>
      <c r="BU580" s="14" t="n">
        <v>0</v>
      </c>
      <c r="BV580" s="14" t="n">
        <v>0.203</v>
      </c>
      <c r="BW580" s="14" t="n">
        <v>0.15</v>
      </c>
      <c r="BX580" s="14" t="n">
        <v>0.667</v>
      </c>
      <c r="BY580" s="14" t="n">
        <v>11.787</v>
      </c>
      <c r="BZ580" s="14" t="n">
        <v>0</v>
      </c>
      <c r="CA580" s="14" t="n">
        <v>11.787</v>
      </c>
      <c r="CB580" s="14" t="n">
        <v>0</v>
      </c>
      <c r="CC580" s="14" t="n">
        <v>81.69499999999999</v>
      </c>
      <c r="CD580" s="14" t="n">
        <v>7.95</v>
      </c>
      <c r="CE580" s="14" t="n">
        <v>-8.095000000000001</v>
      </c>
      <c r="CF580" s="14" t="n">
        <v>84.64</v>
      </c>
      <c r="CG580" s="14" t="n">
        <v>0</v>
      </c>
      <c r="CH580" s="14" t="n">
        <v>1</v>
      </c>
      <c r="CI580" s="14" t="n">
        <v>0</v>
      </c>
      <c r="CJ580" s="14" t="n">
        <v>0</v>
      </c>
      <c r="CK580" s="14" t="n">
        <v>0</v>
      </c>
      <c r="CL580" s="14" t="n">
        <v>0</v>
      </c>
      <c r="CM580" s="14" t="n">
        <v>0</v>
      </c>
      <c r="CN580" s="14" t="n">
        <v>0</v>
      </c>
      <c r="CO580" s="14" t="n">
        <v>0</v>
      </c>
      <c r="CP580" s="14" t="n">
        <v>0.42</v>
      </c>
      <c r="CQ580" s="14" t="n">
        <v>1.198</v>
      </c>
      <c r="CR580" s="14" t="n">
        <v>0</v>
      </c>
      <c r="CS580" s="14" t="n">
        <v>5.042</v>
      </c>
      <c r="CT580" s="14" t="n">
        <v>3.604</v>
      </c>
      <c r="CU580" s="14" t="n">
        <v>9.407999999999999</v>
      </c>
    </row>
    <row r="581">
      <c r="A581" s="14" t="inlineStr">
        <is>
          <t>NZL2022</t>
        </is>
      </c>
      <c r="B581" s="14" t="inlineStr">
        <is>
          <t>NZL</t>
        </is>
      </c>
      <c r="C581" s="14" t="inlineStr">
        <is>
          <t>NZL</t>
        </is>
      </c>
      <c r="D581" s="14" t="inlineStr">
        <is>
          <t>New Zealand</t>
        </is>
      </c>
      <c r="E581" s="14" t="n">
        <v>2022</v>
      </c>
      <c r="F581" s="14" t="n">
        <v>0.15</v>
      </c>
      <c r="G581" s="14" t="n">
        <v>4.368</v>
      </c>
      <c r="H581" s="14" t="n">
        <v>0.838</v>
      </c>
      <c r="I581" s="14" t="n">
        <v>4.962</v>
      </c>
      <c r="J581" s="14" t="n">
        <v>9.33</v>
      </c>
      <c r="K581" s="14" t="n">
        <v>0</v>
      </c>
      <c r="L581" s="14" t="n">
        <v>1</v>
      </c>
      <c r="M581" s="14" t="n">
        <v>5.517</v>
      </c>
      <c r="N581" s="14" t="n">
        <v>2.514</v>
      </c>
      <c r="O581" s="14" t="n">
        <v>4.989</v>
      </c>
      <c r="P581" s="14" t="n">
        <v>10.506</v>
      </c>
      <c r="Q581" s="14" t="n">
        <v>0</v>
      </c>
      <c r="R581" s="14" t="n">
        <v>1</v>
      </c>
      <c r="S581" s="14" t="n">
        <v>8.558</v>
      </c>
      <c r="T581" s="14" t="n">
        <v>5.027</v>
      </c>
      <c r="U581" s="14" t="n">
        <v>5.26</v>
      </c>
      <c r="V581" s="14" t="n">
        <v>15.716</v>
      </c>
      <c r="W581" s="14" t="n">
        <v>0.15</v>
      </c>
      <c r="X581" s="14" t="n">
        <v>1</v>
      </c>
      <c r="Y581" s="14" t="n">
        <v>12.63</v>
      </c>
      <c r="Z581" s="14" t="n">
        <v>1.325</v>
      </c>
      <c r="AA581" s="14" t="n">
        <v>-1.354</v>
      </c>
      <c r="AB581" s="14" t="n">
        <v>11.276</v>
      </c>
      <c r="AC581" s="14" t="n">
        <v>0</v>
      </c>
      <c r="AD581" s="14" t="n">
        <v>1</v>
      </c>
      <c r="AE581" s="14" t="n">
        <v>12.651</v>
      </c>
      <c r="AF581" s="14" t="n">
        <v>2.345</v>
      </c>
      <c r="AG581" s="14" t="n">
        <v>-1.374</v>
      </c>
      <c r="AH581" s="14" t="n">
        <v>11.276</v>
      </c>
      <c r="AI581" s="14" t="n">
        <v>0</v>
      </c>
      <c r="AJ581" s="14" t="n">
        <v>1</v>
      </c>
      <c r="AK581" s="14" t="n">
        <v>29.595</v>
      </c>
      <c r="AL581" s="14" t="n">
        <v>14.133</v>
      </c>
      <c r="AM581" s="14" t="n">
        <v>-6.076</v>
      </c>
      <c r="AN581" s="14" t="n">
        <v>27.047</v>
      </c>
      <c r="AO581" s="14" t="n">
        <v>0.15</v>
      </c>
      <c r="AP581" s="14" t="n">
        <v>1</v>
      </c>
      <c r="AQ581" s="14" t="n">
        <v>0.847</v>
      </c>
      <c r="AR581" s="14" t="n">
        <v>0.123</v>
      </c>
      <c r="AS581" s="14" t="n">
        <v>0.63</v>
      </c>
      <c r="AT581" s="14" t="n">
        <v>1.699</v>
      </c>
      <c r="AU581" s="14" t="n">
        <v>0.15</v>
      </c>
      <c r="AV581" s="14" t="n">
        <v>1</v>
      </c>
      <c r="AW581" s="14" t="n">
        <v>0.947</v>
      </c>
      <c r="AX581" s="14" t="n">
        <v>0.123</v>
      </c>
      <c r="AY581" s="14" t="n">
        <v>0.347</v>
      </c>
      <c r="AZ581" s="14" t="n">
        <v>1.488</v>
      </c>
      <c r="BA581" s="14" t="n">
        <v>0.15</v>
      </c>
      <c r="BB581" s="14" t="n">
        <v>1</v>
      </c>
      <c r="BC581" s="14" t="n">
        <v>0.589</v>
      </c>
      <c r="BD581" s="14" t="n">
        <v>0.123</v>
      </c>
      <c r="BE581" s="14" t="n">
        <v>0.516</v>
      </c>
      <c r="BF581" s="14" t="n">
        <v>1.27</v>
      </c>
      <c r="BG581" s="14" t="n">
        <v>0.15</v>
      </c>
      <c r="BH581" s="14" t="n">
        <v>1</v>
      </c>
      <c r="BI581" s="14" t="n">
        <v>0.6889999999999999</v>
      </c>
      <c r="BJ581" s="14" t="n">
        <v>0.123</v>
      </c>
      <c r="BK581" s="14" t="n">
        <v>-0.081</v>
      </c>
      <c r="BL581" s="14" t="n">
        <v>0.699</v>
      </c>
      <c r="BM581" s="14" t="n">
        <v>0.15</v>
      </c>
      <c r="BN581" s="14" t="n">
        <v>1</v>
      </c>
      <c r="BO581" s="14" t="n">
        <v>0</v>
      </c>
      <c r="BP581" s="14" t="n">
        <v>0</v>
      </c>
      <c r="BQ581" s="14" t="n">
        <v>0.102</v>
      </c>
      <c r="BR581" s="14" t="n">
        <v>0</v>
      </c>
      <c r="BS581" s="14" t="n">
        <v>1</v>
      </c>
      <c r="BT581" s="14" t="n">
        <v>0</v>
      </c>
      <c r="BU581" s="14" t="n">
        <v>0</v>
      </c>
      <c r="BV581" s="14" t="n">
        <v>0.187</v>
      </c>
      <c r="BW581" s="14" t="n">
        <v>0.15</v>
      </c>
      <c r="BX581" s="14" t="n">
        <v>0.667</v>
      </c>
      <c r="BY581" s="14" t="n">
        <v>12.729</v>
      </c>
      <c r="BZ581" s="14" t="n">
        <v>0</v>
      </c>
      <c r="CA581" s="14" t="n">
        <v>12.729</v>
      </c>
      <c r="CB581" s="14" t="n">
        <v>0</v>
      </c>
      <c r="CC581" s="14" t="n">
        <v>102.477</v>
      </c>
      <c r="CD581" s="14" t="n">
        <v>7.95</v>
      </c>
      <c r="CE581" s="14" t="n">
        <v>-23.306</v>
      </c>
      <c r="CF581" s="14" t="n">
        <v>91.04600000000001</v>
      </c>
      <c r="CG581" s="14" t="n">
        <v>0</v>
      </c>
      <c r="CH581" s="14" t="n">
        <v>1</v>
      </c>
      <c r="CI581" s="14" t="n">
        <v>0</v>
      </c>
      <c r="CJ581" s="14" t="n">
        <v>0</v>
      </c>
      <c r="CK581" s="14" t="n">
        <v>0</v>
      </c>
      <c r="CL581" s="14" t="n">
        <v>0</v>
      </c>
      <c r="CM581" s="14" t="n">
        <v>0</v>
      </c>
      <c r="CN581" s="14" t="n">
        <v>0</v>
      </c>
      <c r="CO581" s="14" t="n">
        <v>0</v>
      </c>
      <c r="CP581" s="14" t="n">
        <v>0.643</v>
      </c>
      <c r="CQ581" s="14" t="n">
        <v>1.294</v>
      </c>
      <c r="CR581" s="14" t="n">
        <v>0</v>
      </c>
      <c r="CS581" s="14" t="n">
        <v>5.445</v>
      </c>
      <c r="CT581" s="14" t="n">
        <v>7.554</v>
      </c>
      <c r="CU581" s="14" t="n">
        <v>16.097</v>
      </c>
    </row>
    <row r="582">
      <c r="A582" s="14" t="inlineStr">
        <is>
          <t>NZL2023</t>
        </is>
      </c>
      <c r="B582" s="14" t="inlineStr">
        <is>
          <t>NZL</t>
        </is>
      </c>
      <c r="C582" s="14" t="inlineStr">
        <is>
          <t>NZL</t>
        </is>
      </c>
      <c r="D582" s="14" t="inlineStr">
        <is>
          <t>New Zealand</t>
        </is>
      </c>
      <c r="E582" s="14" t="n">
        <v>2023</v>
      </c>
      <c r="F582" s="14" t="n">
        <v>0.15</v>
      </c>
      <c r="G582" s="14" t="n">
        <v>2.517</v>
      </c>
      <c r="H582" s="14" t="n">
        <v>0.732</v>
      </c>
      <c r="I582" s="14" t="n">
        <v>3.358</v>
      </c>
      <c r="J582" s="14" t="n">
        <v>5.875</v>
      </c>
      <c r="K582" s="14" t="n">
        <v>0</v>
      </c>
      <c r="L582" s="14" t="n">
        <v>1</v>
      </c>
      <c r="M582" s="14" t="n">
        <v>3.919</v>
      </c>
      <c r="N582" s="14" t="n">
        <v>2.197</v>
      </c>
      <c r="O582" s="14" t="n">
        <v>3.376</v>
      </c>
      <c r="P582" s="14" t="n">
        <v>7.295</v>
      </c>
      <c r="Q582" s="14" t="n">
        <v>0</v>
      </c>
      <c r="R582" s="14" t="n">
        <v>1</v>
      </c>
      <c r="S582" s="14" t="n">
        <v>6.18</v>
      </c>
      <c r="T582" s="14" t="n">
        <v>4.395</v>
      </c>
      <c r="U582" s="14" t="n">
        <v>3.617</v>
      </c>
      <c r="V582" s="14" t="n">
        <v>11.082</v>
      </c>
      <c r="W582" s="14" t="n">
        <v>0.15</v>
      </c>
      <c r="X582" s="14" t="n">
        <v>1</v>
      </c>
      <c r="Y582" s="14" t="n">
        <v>9.112</v>
      </c>
      <c r="Z582" s="14" t="n">
        <v>1.021</v>
      </c>
      <c r="AA582" s="14" t="n">
        <v>0.12</v>
      </c>
      <c r="AB582" s="14" t="n">
        <v>9.231999999999999</v>
      </c>
      <c r="AC582" s="14" t="n">
        <v>0</v>
      </c>
      <c r="AD582" s="14" t="n">
        <v>1</v>
      </c>
      <c r="AE582" s="14" t="n">
        <v>9.183999999999999</v>
      </c>
      <c r="AF582" s="14" t="n">
        <v>1.829</v>
      </c>
      <c r="AG582" s="14" t="n">
        <v>0.048</v>
      </c>
      <c r="AH582" s="14" t="n">
        <v>9.231999999999999</v>
      </c>
      <c r="AI582" s="14" t="n">
        <v>0</v>
      </c>
      <c r="AJ582" s="14" t="n">
        <v>1</v>
      </c>
      <c r="AK582" s="14" t="n">
        <v>26.435</v>
      </c>
      <c r="AL582" s="14" t="n">
        <v>13.095</v>
      </c>
      <c r="AM582" s="14" t="n">
        <v>-1.395</v>
      </c>
      <c r="AN582" s="14" t="n">
        <v>28.795</v>
      </c>
      <c r="AO582" s="14" t="n">
        <v>0.15</v>
      </c>
      <c r="AP582" s="14" t="n">
        <v>1</v>
      </c>
      <c r="AQ582" s="14" t="n">
        <v>0.749</v>
      </c>
      <c r="AR582" s="14" t="n">
        <v>0.129</v>
      </c>
      <c r="AS582" s="14" t="n">
        <v>0.623</v>
      </c>
      <c r="AT582" s="14" t="n">
        <v>1.577</v>
      </c>
      <c r="AU582" s="14" t="n">
        <v>0.15</v>
      </c>
      <c r="AV582" s="14" t="n">
        <v>1</v>
      </c>
      <c r="AW582" s="14" t="n">
        <v>0.783</v>
      </c>
      <c r="AX582" s="14" t="n">
        <v>0.129</v>
      </c>
      <c r="AY582" s="14" t="n">
        <v>0.31</v>
      </c>
      <c r="AZ582" s="14" t="n">
        <v>1.257</v>
      </c>
      <c r="BA582" s="14" t="n">
        <v>0.15</v>
      </c>
      <c r="BB582" s="14" t="n">
        <v>1</v>
      </c>
      <c r="BC582" s="14" t="n">
        <v>0.527</v>
      </c>
      <c r="BD582" s="14" t="n">
        <v>0.129</v>
      </c>
      <c r="BE582" s="14" t="n">
        <v>0.577</v>
      </c>
      <c r="BF582" s="14" t="n">
        <v>1.271</v>
      </c>
      <c r="BG582" s="14" t="n">
        <v>0.15</v>
      </c>
      <c r="BH582" s="14" t="n">
        <v>1</v>
      </c>
      <c r="BI582" s="14" t="n">
        <v>0.64</v>
      </c>
      <c r="BJ582" s="14" t="n">
        <v>0.129</v>
      </c>
      <c r="BK582" s="14" t="n">
        <v>-0.031</v>
      </c>
      <c r="BL582" s="14" t="n">
        <v>0.7</v>
      </c>
      <c r="BM582" s="14" t="n">
        <v>0.15</v>
      </c>
      <c r="BN582" s="14" t="n">
        <v>1</v>
      </c>
      <c r="BO582" s="14" t="n">
        <v>0</v>
      </c>
      <c r="BP582" s="14" t="n">
        <v>0</v>
      </c>
      <c r="BQ582" s="14" t="n">
        <v>0.098</v>
      </c>
      <c r="BR582" s="14" t="n">
        <v>0</v>
      </c>
      <c r="BS582" s="14" t="n">
        <v>1</v>
      </c>
      <c r="BT582" s="14" t="n">
        <v>0</v>
      </c>
      <c r="BU582" s="14" t="n">
        <v>0</v>
      </c>
      <c r="BV582" s="14" t="n">
        <v>0.188</v>
      </c>
      <c r="BW582" s="14" t="n">
        <v>0.15</v>
      </c>
      <c r="BX582" s="14" t="n">
        <v>0.667</v>
      </c>
      <c r="BY582" s="14" t="n">
        <v>13.254</v>
      </c>
      <c r="BZ582" s="14" t="n">
        <v>0</v>
      </c>
      <c r="CA582" s="14" t="n">
        <v>13.254</v>
      </c>
      <c r="CB582" s="14" t="n">
        <v>0</v>
      </c>
      <c r="CC582" s="14" t="n">
        <v>87.07899999999999</v>
      </c>
      <c r="CD582" s="14" t="n">
        <v>7.95</v>
      </c>
      <c r="CE582" s="14" t="n">
        <v>-7.863</v>
      </c>
      <c r="CF582" s="14" t="n">
        <v>91.098</v>
      </c>
      <c r="CG582" s="14" t="n">
        <v>0</v>
      </c>
      <c r="CH582" s="14" t="n">
        <v>1</v>
      </c>
      <c r="CI582" s="14" t="n">
        <v>0</v>
      </c>
      <c r="CJ582" s="14" t="n">
        <v>0</v>
      </c>
      <c r="CK582" s="14" t="n">
        <v>0</v>
      </c>
      <c r="CL582" s="14" t="n">
        <v>0</v>
      </c>
      <c r="CM582" s="14" t="n">
        <v>0</v>
      </c>
      <c r="CN582" s="14" t="n">
        <v>0</v>
      </c>
      <c r="CO582" s="14" t="n">
        <v>0</v>
      </c>
      <c r="CP582" s="14" t="n">
        <v>0.861</v>
      </c>
      <c r="CQ582" s="14" t="n">
        <v>1.348</v>
      </c>
      <c r="CR582" s="14" t="n">
        <v>0</v>
      </c>
      <c r="CS582" s="14" t="n">
        <v>5.669</v>
      </c>
      <c r="CT582" s="14" t="n">
        <v>4.484</v>
      </c>
      <c r="CU582" s="14" t="n">
        <v>12.529</v>
      </c>
    </row>
    <row r="583">
      <c r="A583" s="14" t="inlineStr">
        <is>
          <t>NZL2024</t>
        </is>
      </c>
      <c r="B583" s="14" t="inlineStr">
        <is>
          <t>NZL</t>
        </is>
      </c>
      <c r="C583" s="14" t="inlineStr">
        <is>
          <t>NZL</t>
        </is>
      </c>
      <c r="D583" s="14" t="inlineStr">
        <is>
          <t>New Zealand</t>
        </is>
      </c>
      <c r="E583" s="14" t="n">
        <v>2024</v>
      </c>
      <c r="F583" s="14" t="n">
        <v>0.15</v>
      </c>
      <c r="G583" s="14" t="n">
        <v>2.437</v>
      </c>
      <c r="H583" s="14" t="n">
        <v>0.754</v>
      </c>
      <c r="I583" s="14" t="n">
        <v>3.548</v>
      </c>
      <c r="J583" s="14" t="n">
        <v>5.986</v>
      </c>
      <c r="K583" s="14" t="n">
        <v>0</v>
      </c>
      <c r="L583" s="14" t="n">
        <v>1</v>
      </c>
      <c r="M583" s="14" t="n">
        <v>3.896</v>
      </c>
      <c r="N583" s="14" t="n">
        <v>2.262</v>
      </c>
      <c r="O583" s="14" t="n">
        <v>3.568</v>
      </c>
      <c r="P583" s="14" t="n">
        <v>7.463</v>
      </c>
      <c r="Q583" s="14" t="n">
        <v>0</v>
      </c>
      <c r="R583" s="14" t="n">
        <v>1</v>
      </c>
      <c r="S583" s="14" t="n">
        <v>6.208</v>
      </c>
      <c r="T583" s="14" t="n">
        <v>4.524</v>
      </c>
      <c r="U583" s="14" t="n">
        <v>3.855</v>
      </c>
      <c r="V583" s="14" t="n">
        <v>11.34</v>
      </c>
      <c r="W583" s="14" t="n">
        <v>0.15</v>
      </c>
      <c r="X583" s="14" t="n">
        <v>1</v>
      </c>
      <c r="Y583" s="14" t="n">
        <v>9.395</v>
      </c>
      <c r="Z583" s="14" t="n">
        <v>1.186</v>
      </c>
      <c r="AA583" s="14" t="n">
        <v>2.1</v>
      </c>
      <c r="AB583" s="14" t="n">
        <v>11.495</v>
      </c>
      <c r="AC583" s="14" t="n">
        <v>0</v>
      </c>
      <c r="AD583" s="14" t="n">
        <v>1</v>
      </c>
      <c r="AE583" s="14" t="n">
        <v>9.364000000000001</v>
      </c>
      <c r="AF583" s="14" t="n">
        <v>2.051</v>
      </c>
      <c r="AG583" s="14" t="n">
        <v>2.131</v>
      </c>
      <c r="AH583" s="14" t="n">
        <v>11.495</v>
      </c>
      <c r="AI583" s="14" t="n">
        <v>0</v>
      </c>
      <c r="AJ583" s="14" t="n">
        <v>1</v>
      </c>
      <c r="AK583" s="14" t="n">
        <v>24.008</v>
      </c>
      <c r="AL583" s="14" t="n">
        <v>12.211</v>
      </c>
      <c r="AM583" s="14" t="n">
        <v>0.103</v>
      </c>
      <c r="AN583" s="14" t="n">
        <v>27.728</v>
      </c>
      <c r="AO583" s="14" t="n">
        <v>0.15</v>
      </c>
      <c r="AP583" s="14" t="n">
        <v>1</v>
      </c>
      <c r="AQ583" s="14" t="n">
        <v>0.72</v>
      </c>
      <c r="AR583" s="14" t="n">
        <v>0.132</v>
      </c>
      <c r="AS583" s="14" t="n">
        <v>0.677</v>
      </c>
      <c r="AT583" s="14" t="n">
        <v>1.606</v>
      </c>
      <c r="AU583" s="14" t="n">
        <v>0.15</v>
      </c>
      <c r="AV583" s="14" t="n">
        <v>1</v>
      </c>
      <c r="AW583" s="14" t="n">
        <v>0.734</v>
      </c>
      <c r="AX583" s="14" t="n">
        <v>0.132</v>
      </c>
      <c r="AY583" s="14" t="n">
        <v>0.312</v>
      </c>
      <c r="AZ583" s="14" t="n">
        <v>1.203</v>
      </c>
      <c r="BA583" s="14" t="n">
        <v>0.15</v>
      </c>
      <c r="BB583" s="14" t="n">
        <v>1</v>
      </c>
      <c r="BC583" s="14" t="n">
        <v>0.51</v>
      </c>
      <c r="BD583" s="14" t="n">
        <v>0.132</v>
      </c>
      <c r="BE583" s="14" t="n">
        <v>0.614</v>
      </c>
      <c r="BF583" s="14" t="n">
        <v>1.293</v>
      </c>
      <c r="BG583" s="14" t="n">
        <v>0.15</v>
      </c>
      <c r="BH583" s="14" t="n">
        <v>1</v>
      </c>
      <c r="BI583" s="14" t="n">
        <v>0.652</v>
      </c>
      <c r="BJ583" s="14" t="n">
        <v>0.132</v>
      </c>
      <c r="BK583" s="14" t="n">
        <v>-0.033</v>
      </c>
      <c r="BL583" s="14" t="n">
        <v>0.712</v>
      </c>
      <c r="BM583" s="14" t="n">
        <v>0.15</v>
      </c>
      <c r="BN583" s="14" t="n">
        <v>1</v>
      </c>
      <c r="BO583" s="14" t="n">
        <v>0</v>
      </c>
      <c r="BP583" s="14" t="n">
        <v>0</v>
      </c>
      <c r="BQ583" s="14" t="n">
        <v>0.1</v>
      </c>
      <c r="BR583" s="14" t="n">
        <v>0</v>
      </c>
      <c r="BS583" s="14" t="n">
        <v>1</v>
      </c>
      <c r="BT583" s="14" t="n">
        <v>0</v>
      </c>
      <c r="BU583" s="14" t="n">
        <v>0</v>
      </c>
      <c r="BV583" s="14" t="n">
        <v>0.191</v>
      </c>
      <c r="BW583" s="14" t="n">
        <v>0.15</v>
      </c>
      <c r="BX583" s="14" t="n">
        <v>0.667</v>
      </c>
      <c r="BY583" s="14" t="n">
        <v>13.646</v>
      </c>
      <c r="BZ583" s="14" t="n">
        <v>0</v>
      </c>
      <c r="CA583" s="14" t="n">
        <v>13.646</v>
      </c>
      <c r="CB583" s="14" t="n">
        <v>0</v>
      </c>
      <c r="CC583" s="14" t="n">
        <v>86.38500000000001</v>
      </c>
      <c r="CD583" s="14" t="n">
        <v>7.95</v>
      </c>
      <c r="CE583" s="14" t="n">
        <v>-5.777</v>
      </c>
      <c r="CF583" s="14" t="n">
        <v>92.699</v>
      </c>
      <c r="CG583" s="14" t="n">
        <v>0</v>
      </c>
      <c r="CH583" s="14" t="n">
        <v>1</v>
      </c>
      <c r="CI583" s="14" t="n">
        <v>0</v>
      </c>
      <c r="CJ583" s="14" t="n">
        <v>0</v>
      </c>
      <c r="CK583" s="14" t="n">
        <v>0</v>
      </c>
      <c r="CL583" s="14" t="n">
        <v>0</v>
      </c>
      <c r="CM583" s="14" t="n">
        <v>0</v>
      </c>
      <c r="CN583" s="14" t="n">
        <v>0</v>
      </c>
      <c r="CO583" s="14" t="n">
        <v>0</v>
      </c>
      <c r="CP583" s="14" t="n">
        <v>0.861</v>
      </c>
      <c r="CQ583" s="14" t="n">
        <v>1.387</v>
      </c>
      <c r="CR583" s="14" t="n">
        <v>0</v>
      </c>
      <c r="CS583" s="14" t="n">
        <v>5.837</v>
      </c>
      <c r="CT583" s="14" t="n">
        <v>3.509</v>
      </c>
      <c r="CU583" s="14" t="n">
        <v>10.896</v>
      </c>
    </row>
    <row r="584">
      <c r="A584" s="14" t="inlineStr">
        <is>
          <t>NIC2021</t>
        </is>
      </c>
      <c r="B584" s="14" t="inlineStr">
        <is>
          <t>NIC</t>
        </is>
      </c>
      <c r="C584" s="14" t="inlineStr">
        <is>
          <t>NIC</t>
        </is>
      </c>
      <c r="D584" s="14" t="inlineStr">
        <is>
          <t>Nicaragua</t>
        </is>
      </c>
      <c r="E584" s="14" t="n">
        <v>2021</v>
      </c>
      <c r="F584" s="14" t="n">
        <v>0.15</v>
      </c>
      <c r="G584" s="14" t="n">
        <v>5.897</v>
      </c>
      <c r="H584" s="14" t="n">
        <v>1.143</v>
      </c>
      <c r="I584" s="14" t="n">
        <v>0</v>
      </c>
      <c r="J584" s="14" t="n">
        <v>5.897</v>
      </c>
      <c r="K584" s="14" t="n">
        <v>0</v>
      </c>
      <c r="L584" s="14" t="n">
        <v>1</v>
      </c>
      <c r="M584" s="14" t="n">
        <v>7.964</v>
      </c>
      <c r="N584" s="14" t="n">
        <v>3.43</v>
      </c>
      <c r="O584" s="14" t="n">
        <v>0</v>
      </c>
      <c r="P584" s="14" t="n">
        <v>7.964</v>
      </c>
      <c r="Q584" s="14" t="n">
        <v>0</v>
      </c>
      <c r="R584" s="14" t="n">
        <v>1</v>
      </c>
      <c r="S584" s="14" t="n">
        <v>11.613</v>
      </c>
      <c r="T584" s="14" t="n">
        <v>6.86</v>
      </c>
      <c r="U584" s="14" t="n">
        <v>0</v>
      </c>
      <c r="V584" s="14" t="n">
        <v>13.355</v>
      </c>
      <c r="W584" s="14" t="n">
        <v>0.15</v>
      </c>
      <c r="X584" s="14" t="n">
        <v>1</v>
      </c>
      <c r="Y584" s="14" t="n">
        <v>5.261</v>
      </c>
      <c r="Z584" s="14" t="n">
        <v>0.708</v>
      </c>
      <c r="AA584" s="14" t="n">
        <v>0</v>
      </c>
      <c r="AB584" s="14" t="n">
        <v>5.261</v>
      </c>
      <c r="AC584" s="14" t="n">
        <v>0</v>
      </c>
      <c r="AD584" s="14" t="n">
        <v>1</v>
      </c>
      <c r="AE584" s="14" t="n">
        <v>6.404</v>
      </c>
      <c r="AF584" s="14" t="n">
        <v>1.5</v>
      </c>
      <c r="AG584" s="14" t="n">
        <v>0</v>
      </c>
      <c r="AH584" s="14" t="n">
        <v>6.404</v>
      </c>
      <c r="AI584" s="14" t="n">
        <v>0</v>
      </c>
      <c r="AJ584" s="14" t="n">
        <v>1</v>
      </c>
      <c r="AK584" s="14" t="n">
        <v>13.264</v>
      </c>
      <c r="AL584" s="14" t="n">
        <v>7.127</v>
      </c>
      <c r="AM584" s="14" t="n">
        <v>0</v>
      </c>
      <c r="AN584" s="14" t="n">
        <v>15.253</v>
      </c>
      <c r="AO584" s="14" t="n">
        <v>0.15</v>
      </c>
      <c r="AP584" s="14" t="n">
        <v>1</v>
      </c>
      <c r="AQ584" s="14" t="n">
        <v>0.649</v>
      </c>
      <c r="AR584" s="14" t="n">
        <v>0.114</v>
      </c>
      <c r="AS584" s="14" t="n">
        <v>0.281</v>
      </c>
      <c r="AT584" s="14" t="n">
        <v>1.07</v>
      </c>
      <c r="AU584" s="14" t="n">
        <v>0.15</v>
      </c>
      <c r="AV584" s="14" t="n">
        <v>1</v>
      </c>
      <c r="AW584" s="14" t="n">
        <v>0.577</v>
      </c>
      <c r="AX584" s="14" t="n">
        <v>0.114</v>
      </c>
      <c r="AY584" s="14" t="n">
        <v>0.217</v>
      </c>
      <c r="AZ584" s="14" t="n">
        <v>0.913</v>
      </c>
      <c r="BA584" s="14" t="n">
        <v>0.15</v>
      </c>
      <c r="BB584" s="14" t="n">
        <v>1</v>
      </c>
      <c r="BC584" s="14" t="n">
        <v>0.458</v>
      </c>
      <c r="BD584" s="14" t="n">
        <v>0.114</v>
      </c>
      <c r="BE584" s="14" t="n">
        <v>0.08500000000000001</v>
      </c>
      <c r="BF584" s="14" t="n">
        <v>0.624</v>
      </c>
      <c r="BG584" s="14" t="n">
        <v>0.15</v>
      </c>
      <c r="BH584" s="14" t="n">
        <v>1</v>
      </c>
      <c r="BI584" s="14" t="n">
        <v>0.491</v>
      </c>
      <c r="BJ584" s="14" t="n">
        <v>0.114</v>
      </c>
      <c r="BK584" s="14" t="n">
        <v>0.292</v>
      </c>
      <c r="BL584" s="14" t="n">
        <v>0.901</v>
      </c>
      <c r="BM584" s="14" t="n">
        <v>0.15</v>
      </c>
      <c r="BN584" s="14" t="n">
        <v>1</v>
      </c>
      <c r="BO584" s="14" t="n">
        <v>0</v>
      </c>
      <c r="BP584" s="14" t="n">
        <v>0</v>
      </c>
      <c r="BQ584" s="14" t="n">
        <v>0.179</v>
      </c>
      <c r="BR584" s="14" t="n">
        <v>0</v>
      </c>
      <c r="BS584" s="14" t="n">
        <v>0.667</v>
      </c>
      <c r="BT584" s="14" t="n">
        <v>0</v>
      </c>
      <c r="BU584" s="14" t="n">
        <v>0</v>
      </c>
      <c r="BV584" s="14" t="n">
        <v>0.179</v>
      </c>
      <c r="BW584" s="14" t="n">
        <v>0.15</v>
      </c>
      <c r="BX584" s="14" t="n">
        <v>0.833</v>
      </c>
      <c r="BY584" s="14" t="n">
        <v>11.787</v>
      </c>
      <c r="BZ584" s="14" t="n">
        <v>0</v>
      </c>
      <c r="CA584" s="14" t="n">
        <v>11.787</v>
      </c>
      <c r="CB584" s="14" t="n">
        <v>0</v>
      </c>
      <c r="CC584" s="14" t="n">
        <v>78.125</v>
      </c>
      <c r="CD584" s="14" t="n">
        <v>7.95</v>
      </c>
      <c r="CE584" s="14" t="n">
        <v>1.58</v>
      </c>
      <c r="CF584" s="14" t="n">
        <v>91.66</v>
      </c>
      <c r="CG584" s="14" t="n">
        <v>0.15</v>
      </c>
      <c r="CH584" s="14" t="n">
        <v>1</v>
      </c>
      <c r="CI584" s="14" t="n">
        <v>0</v>
      </c>
      <c r="CJ584" s="14" t="n">
        <v>0</v>
      </c>
      <c r="CK584" s="14" t="n">
        <v>0</v>
      </c>
      <c r="CL584" s="14" t="n">
        <v>0</v>
      </c>
      <c r="CM584" s="14" t="n">
        <v>0</v>
      </c>
      <c r="CN584" s="14" t="n">
        <v>0</v>
      </c>
      <c r="CO584" s="14" t="n">
        <v>0</v>
      </c>
      <c r="CP584" s="14" t="n">
        <v>0</v>
      </c>
      <c r="CQ584" s="14" t="n">
        <v>1.198</v>
      </c>
      <c r="CR584" s="14" t="n">
        <v>0</v>
      </c>
      <c r="CS584" s="14" t="n">
        <v>4.776</v>
      </c>
      <c r="CT584" s="14" t="n">
        <v>4.753</v>
      </c>
      <c r="CU584" s="14" t="n">
        <v>15.983</v>
      </c>
    </row>
    <row r="585">
      <c r="A585" s="14" t="inlineStr">
        <is>
          <t>NIC2022</t>
        </is>
      </c>
      <c r="B585" s="14" t="inlineStr">
        <is>
          <t>NIC</t>
        </is>
      </c>
      <c r="C585" s="14" t="inlineStr">
        <is>
          <t>NIC</t>
        </is>
      </c>
      <c r="D585" s="14" t="inlineStr">
        <is>
          <t>Nicaragua</t>
        </is>
      </c>
      <c r="E585" s="14" t="n">
        <v>2022</v>
      </c>
      <c r="F585" s="14" t="n">
        <v>0.15</v>
      </c>
      <c r="G585" s="14" t="n">
        <v>11.72</v>
      </c>
      <c r="H585" s="14" t="n">
        <v>1.235</v>
      </c>
      <c r="I585" s="14" t="n">
        <v>0</v>
      </c>
      <c r="J585" s="14" t="n">
        <v>11.72</v>
      </c>
      <c r="K585" s="14" t="n">
        <v>0</v>
      </c>
      <c r="L585" s="14" t="n">
        <v>1</v>
      </c>
      <c r="M585" s="14" t="n">
        <v>9.782999999999999</v>
      </c>
      <c r="N585" s="14" t="n">
        <v>3.704</v>
      </c>
      <c r="O585" s="14" t="n">
        <v>0</v>
      </c>
      <c r="P585" s="14" t="n">
        <v>9.782999999999999</v>
      </c>
      <c r="Q585" s="14" t="n">
        <v>0</v>
      </c>
      <c r="R585" s="14" t="n">
        <v>1</v>
      </c>
      <c r="S585" s="14" t="n">
        <v>17.893</v>
      </c>
      <c r="T585" s="14" t="n">
        <v>7.408</v>
      </c>
      <c r="U585" s="14" t="n">
        <v>0.199</v>
      </c>
      <c r="V585" s="14" t="n">
        <v>20.577</v>
      </c>
      <c r="W585" s="14" t="n">
        <v>0.15</v>
      </c>
      <c r="X585" s="14" t="n">
        <v>1</v>
      </c>
      <c r="Y585" s="14" t="n">
        <v>5.681</v>
      </c>
      <c r="Z585" s="14" t="n">
        <v>0.764</v>
      </c>
      <c r="AA585" s="14" t="n">
        <v>0</v>
      </c>
      <c r="AB585" s="14" t="n">
        <v>5.681</v>
      </c>
      <c r="AC585" s="14" t="n">
        <v>0</v>
      </c>
      <c r="AD585" s="14" t="n">
        <v>1</v>
      </c>
      <c r="AE585" s="14" t="n">
        <v>6.916</v>
      </c>
      <c r="AF585" s="14" t="n">
        <v>1.619</v>
      </c>
      <c r="AG585" s="14" t="n">
        <v>0</v>
      </c>
      <c r="AH585" s="14" t="n">
        <v>6.916</v>
      </c>
      <c r="AI585" s="14" t="n">
        <v>0</v>
      </c>
      <c r="AJ585" s="14" t="n">
        <v>1</v>
      </c>
      <c r="AK585" s="14" t="n">
        <v>14.324</v>
      </c>
      <c r="AL585" s="14" t="n">
        <v>7.697</v>
      </c>
      <c r="AM585" s="14" t="n">
        <v>0.159</v>
      </c>
      <c r="AN585" s="14" t="n">
        <v>16.472</v>
      </c>
      <c r="AO585" s="14" t="n">
        <v>0.15</v>
      </c>
      <c r="AP585" s="14" t="n">
        <v>1</v>
      </c>
      <c r="AQ585" s="14" t="n">
        <v>0.896</v>
      </c>
      <c r="AR585" s="14" t="n">
        <v>0.123</v>
      </c>
      <c r="AS585" s="14" t="n">
        <v>0.234</v>
      </c>
      <c r="AT585" s="14" t="n">
        <v>1.3</v>
      </c>
      <c r="AU585" s="14" t="n">
        <v>0.15</v>
      </c>
      <c r="AV585" s="14" t="n">
        <v>1</v>
      </c>
      <c r="AW585" s="14" t="n">
        <v>0.89</v>
      </c>
      <c r="AX585" s="14" t="n">
        <v>0.123</v>
      </c>
      <c r="AY585" s="14" t="n">
        <v>0.134</v>
      </c>
      <c r="AZ585" s="14" t="n">
        <v>1.178</v>
      </c>
      <c r="BA585" s="14" t="n">
        <v>0.15</v>
      </c>
      <c r="BB585" s="14" t="n">
        <v>1</v>
      </c>
      <c r="BC585" s="14" t="n">
        <v>0.62</v>
      </c>
      <c r="BD585" s="14" t="n">
        <v>0.123</v>
      </c>
      <c r="BE585" s="14" t="n">
        <v>-0.044</v>
      </c>
      <c r="BF585" s="14" t="n">
        <v>0.663</v>
      </c>
      <c r="BG585" s="14" t="n">
        <v>0.15</v>
      </c>
      <c r="BH585" s="14" t="n">
        <v>1</v>
      </c>
      <c r="BI585" s="14" t="n">
        <v>0.608</v>
      </c>
      <c r="BJ585" s="14" t="n">
        <v>0.123</v>
      </c>
      <c r="BK585" s="14" t="n">
        <v>0.597</v>
      </c>
      <c r="BL585" s="14" t="n">
        <v>1.386</v>
      </c>
      <c r="BM585" s="14" t="n">
        <v>0.15</v>
      </c>
      <c r="BN585" s="14" t="n">
        <v>1</v>
      </c>
      <c r="BO585" s="14" t="n">
        <v>0</v>
      </c>
      <c r="BP585" s="14" t="n">
        <v>0</v>
      </c>
      <c r="BQ585" s="14" t="n">
        <v>0.179</v>
      </c>
      <c r="BR585" s="14" t="n">
        <v>0</v>
      </c>
      <c r="BS585" s="14" t="n">
        <v>0.667</v>
      </c>
      <c r="BT585" s="14" t="n">
        <v>0</v>
      </c>
      <c r="BU585" s="14" t="n">
        <v>0</v>
      </c>
      <c r="BV585" s="14" t="n">
        <v>0.177</v>
      </c>
      <c r="BW585" s="14" t="n">
        <v>0.15</v>
      </c>
      <c r="BX585" s="14" t="n">
        <v>0.833</v>
      </c>
      <c r="BY585" s="14" t="n">
        <v>12.729</v>
      </c>
      <c r="BZ585" s="14" t="n">
        <v>0</v>
      </c>
      <c r="CA585" s="14" t="n">
        <v>12.729</v>
      </c>
      <c r="CB585" s="14" t="n">
        <v>0</v>
      </c>
      <c r="CC585" s="14" t="n">
        <v>97.90000000000001</v>
      </c>
      <c r="CD585" s="14" t="n">
        <v>7.95</v>
      </c>
      <c r="CE585" s="14" t="n">
        <v>1.027</v>
      </c>
      <c r="CF585" s="14" t="n">
        <v>112.517</v>
      </c>
      <c r="CG585" s="14" t="n">
        <v>0.15</v>
      </c>
      <c r="CH585" s="14" t="n">
        <v>1</v>
      </c>
      <c r="CI585" s="14" t="n">
        <v>0</v>
      </c>
      <c r="CJ585" s="14" t="n">
        <v>0</v>
      </c>
      <c r="CK585" s="14" t="n">
        <v>0</v>
      </c>
      <c r="CL585" s="14" t="n">
        <v>0</v>
      </c>
      <c r="CM585" s="14" t="n">
        <v>0</v>
      </c>
      <c r="CN585" s="14" t="n">
        <v>0</v>
      </c>
      <c r="CO585" s="14" t="n">
        <v>0</v>
      </c>
      <c r="CP585" s="14" t="n">
        <v>0</v>
      </c>
      <c r="CQ585" s="14" t="n">
        <v>1.294</v>
      </c>
      <c r="CR585" s="14" t="n">
        <v>0</v>
      </c>
      <c r="CS585" s="14" t="n">
        <v>5.158</v>
      </c>
      <c r="CT585" s="14" t="n">
        <v>10.485</v>
      </c>
      <c r="CU585" s="14" t="n">
        <v>29.494</v>
      </c>
    </row>
    <row r="586">
      <c r="A586" s="14" t="inlineStr">
        <is>
          <t>NIC2023</t>
        </is>
      </c>
      <c r="B586" s="14" t="inlineStr">
        <is>
          <t>NIC</t>
        </is>
      </c>
      <c r="C586" s="14" t="inlineStr">
        <is>
          <t>NIC</t>
        </is>
      </c>
      <c r="D586" s="14" t="inlineStr">
        <is>
          <t>Nicaragua</t>
        </is>
      </c>
      <c r="E586" s="14" t="n">
        <v>2023</v>
      </c>
      <c r="F586" s="14" t="n">
        <v>0.15</v>
      </c>
      <c r="G586" s="14" t="n">
        <v>6.147</v>
      </c>
      <c r="H586" s="14" t="n">
        <v>1.286</v>
      </c>
      <c r="I586" s="14" t="n">
        <v>0</v>
      </c>
      <c r="J586" s="14" t="n">
        <v>6.147</v>
      </c>
      <c r="K586" s="14" t="n">
        <v>0</v>
      </c>
      <c r="L586" s="14" t="n">
        <v>1</v>
      </c>
      <c r="M586" s="14" t="n">
        <v>7.886</v>
      </c>
      <c r="N586" s="14" t="n">
        <v>3.857</v>
      </c>
      <c r="O586" s="14" t="n">
        <v>0</v>
      </c>
      <c r="P586" s="14" t="n">
        <v>7.886</v>
      </c>
      <c r="Q586" s="14" t="n">
        <v>0</v>
      </c>
      <c r="R586" s="14" t="n">
        <v>1</v>
      </c>
      <c r="S586" s="14" t="n">
        <v>12.575</v>
      </c>
      <c r="T586" s="14" t="n">
        <v>7.714</v>
      </c>
      <c r="U586" s="14" t="n">
        <v>0.209</v>
      </c>
      <c r="V586" s="14" t="n">
        <v>14.461</v>
      </c>
      <c r="W586" s="14" t="n">
        <v>0.15</v>
      </c>
      <c r="X586" s="14" t="n">
        <v>1</v>
      </c>
      <c r="Y586" s="14" t="n">
        <v>5.916</v>
      </c>
      <c r="Z586" s="14" t="n">
        <v>0.796</v>
      </c>
      <c r="AA586" s="14" t="n">
        <v>0</v>
      </c>
      <c r="AB586" s="14" t="n">
        <v>5.916</v>
      </c>
      <c r="AC586" s="14" t="n">
        <v>0</v>
      </c>
      <c r="AD586" s="14" t="n">
        <v>1</v>
      </c>
      <c r="AE586" s="14" t="n">
        <v>7.201</v>
      </c>
      <c r="AF586" s="14" t="n">
        <v>1.686</v>
      </c>
      <c r="AG586" s="14" t="n">
        <v>0</v>
      </c>
      <c r="AH586" s="14" t="n">
        <v>7.201</v>
      </c>
      <c r="AI586" s="14" t="n">
        <v>0</v>
      </c>
      <c r="AJ586" s="14" t="n">
        <v>1</v>
      </c>
      <c r="AK586" s="14" t="n">
        <v>14.915</v>
      </c>
      <c r="AL586" s="14" t="n">
        <v>8.013999999999999</v>
      </c>
      <c r="AM586" s="14" t="n">
        <v>0.248</v>
      </c>
      <c r="AN586" s="14" t="n">
        <v>17.152</v>
      </c>
      <c r="AO586" s="14" t="n">
        <v>0.15</v>
      </c>
      <c r="AP586" s="14" t="n">
        <v>1</v>
      </c>
      <c r="AQ586" s="14" t="n">
        <v>0.791</v>
      </c>
      <c r="AR586" s="14" t="n">
        <v>0.129</v>
      </c>
      <c r="AS586" s="14" t="n">
        <v>0.345</v>
      </c>
      <c r="AT586" s="14" t="n">
        <v>1.306</v>
      </c>
      <c r="AU586" s="14" t="n">
        <v>0.15</v>
      </c>
      <c r="AV586" s="14" t="n">
        <v>1</v>
      </c>
      <c r="AW586" s="14" t="n">
        <v>0.618</v>
      </c>
      <c r="AX586" s="14" t="n">
        <v>0.129</v>
      </c>
      <c r="AY586" s="14" t="n">
        <v>0.423</v>
      </c>
      <c r="AZ586" s="14" t="n">
        <v>1.197</v>
      </c>
      <c r="BA586" s="14" t="n">
        <v>0.15</v>
      </c>
      <c r="BB586" s="14" t="n">
        <v>1</v>
      </c>
      <c r="BC586" s="14" t="n">
        <v>0.554</v>
      </c>
      <c r="BD586" s="14" t="n">
        <v>0.129</v>
      </c>
      <c r="BE586" s="14" t="n">
        <v>0.017</v>
      </c>
      <c r="BF586" s="14" t="n">
        <v>0.657</v>
      </c>
      <c r="BG586" s="14" t="n">
        <v>0.15</v>
      </c>
      <c r="BH586" s="14" t="n">
        <v>1</v>
      </c>
      <c r="BI586" s="14" t="n">
        <v>0.5570000000000001</v>
      </c>
      <c r="BJ586" s="14" t="n">
        <v>0.129</v>
      </c>
      <c r="BK586" s="14" t="n">
        <v>0.651</v>
      </c>
      <c r="BL586" s="14" t="n">
        <v>1.389</v>
      </c>
      <c r="BM586" s="14" t="n">
        <v>0.15</v>
      </c>
      <c r="BN586" s="14" t="n">
        <v>1</v>
      </c>
      <c r="BO586" s="14" t="n">
        <v>0</v>
      </c>
      <c r="BP586" s="14" t="n">
        <v>0</v>
      </c>
      <c r="BQ586" s="14" t="n">
        <v>0.176</v>
      </c>
      <c r="BR586" s="14" t="n">
        <v>0</v>
      </c>
      <c r="BS586" s="14" t="n">
        <v>0.667</v>
      </c>
      <c r="BT586" s="14" t="n">
        <v>0</v>
      </c>
      <c r="BU586" s="14" t="n">
        <v>0</v>
      </c>
      <c r="BV586" s="14" t="n">
        <v>0.174</v>
      </c>
      <c r="BW586" s="14" t="n">
        <v>0.15</v>
      </c>
      <c r="BX586" s="14" t="n">
        <v>0.833</v>
      </c>
      <c r="BY586" s="14" t="n">
        <v>13.254</v>
      </c>
      <c r="BZ586" s="14" t="n">
        <v>0</v>
      </c>
      <c r="CA586" s="14" t="n">
        <v>13.254</v>
      </c>
      <c r="CB586" s="14" t="n">
        <v>0</v>
      </c>
      <c r="CC586" s="14" t="n">
        <v>83.248</v>
      </c>
      <c r="CD586" s="14" t="n">
        <v>7.95</v>
      </c>
      <c r="CE586" s="14" t="n">
        <v>3.799</v>
      </c>
      <c r="CF586" s="14" t="n">
        <v>98.46899999999999</v>
      </c>
      <c r="CG586" s="14" t="n">
        <v>0.15</v>
      </c>
      <c r="CH586" s="14" t="n">
        <v>1</v>
      </c>
      <c r="CI586" s="14" t="n">
        <v>0</v>
      </c>
      <c r="CJ586" s="14" t="n">
        <v>0</v>
      </c>
      <c r="CK586" s="14" t="n">
        <v>0</v>
      </c>
      <c r="CL586" s="14" t="n">
        <v>0</v>
      </c>
      <c r="CM586" s="14" t="n">
        <v>0</v>
      </c>
      <c r="CN586" s="14" t="n">
        <v>0</v>
      </c>
      <c r="CO586" s="14" t="n">
        <v>0</v>
      </c>
      <c r="CP586" s="14" t="n">
        <v>0</v>
      </c>
      <c r="CQ586" s="14" t="n">
        <v>1.348</v>
      </c>
      <c r="CR586" s="14" t="n">
        <v>0</v>
      </c>
      <c r="CS586" s="14" t="n">
        <v>5.37</v>
      </c>
      <c r="CT586" s="14" t="n">
        <v>4.861</v>
      </c>
      <c r="CU586" s="14" t="n">
        <v>11.192</v>
      </c>
    </row>
    <row r="587">
      <c r="A587" s="14" t="inlineStr">
        <is>
          <t>NIC2024</t>
        </is>
      </c>
      <c r="B587" s="14" t="inlineStr">
        <is>
          <t>NIC</t>
        </is>
      </c>
      <c r="C587" s="14" t="inlineStr">
        <is>
          <t>NIC</t>
        </is>
      </c>
      <c r="D587" s="14" t="inlineStr">
        <is>
          <t>Nicaragua</t>
        </is>
      </c>
      <c r="E587" s="14" t="n">
        <v>2024</v>
      </c>
      <c r="F587" s="14" t="n">
        <v>0.15</v>
      </c>
      <c r="G587" s="14" t="n">
        <v>5.575</v>
      </c>
      <c r="H587" s="14" t="n">
        <v>1.324</v>
      </c>
      <c r="I587" s="14" t="n">
        <v>0</v>
      </c>
      <c r="J587" s="14" t="n">
        <v>5.575</v>
      </c>
      <c r="K587" s="14" t="n">
        <v>0</v>
      </c>
      <c r="L587" s="14" t="n">
        <v>1</v>
      </c>
      <c r="M587" s="14" t="n">
        <v>7.124</v>
      </c>
      <c r="N587" s="14" t="n">
        <v>3.971</v>
      </c>
      <c r="O587" s="14" t="n">
        <v>0</v>
      </c>
      <c r="P587" s="14" t="n">
        <v>7.124</v>
      </c>
      <c r="Q587" s="14" t="n">
        <v>0</v>
      </c>
      <c r="R587" s="14" t="n">
        <v>1</v>
      </c>
      <c r="S587" s="14" t="n">
        <v>12.193</v>
      </c>
      <c r="T587" s="14" t="n">
        <v>7.942</v>
      </c>
      <c r="U587" s="14" t="n">
        <v>0.249</v>
      </c>
      <c r="V587" s="14" t="n">
        <v>14.022</v>
      </c>
      <c r="W587" s="14" t="n">
        <v>0.15</v>
      </c>
      <c r="X587" s="14" t="n">
        <v>1</v>
      </c>
      <c r="Y587" s="14" t="n">
        <v>6.09</v>
      </c>
      <c r="Z587" s="14" t="n">
        <v>0.819</v>
      </c>
      <c r="AA587" s="14" t="n">
        <v>0</v>
      </c>
      <c r="AB587" s="14" t="n">
        <v>6.09</v>
      </c>
      <c r="AC587" s="14" t="n">
        <v>0</v>
      </c>
      <c r="AD587" s="14" t="n">
        <v>1</v>
      </c>
      <c r="AE587" s="14" t="n">
        <v>7.414</v>
      </c>
      <c r="AF587" s="14" t="n">
        <v>1.736</v>
      </c>
      <c r="AG587" s="14" t="n">
        <v>0</v>
      </c>
      <c r="AH587" s="14" t="n">
        <v>7.414</v>
      </c>
      <c r="AI587" s="14" t="n">
        <v>0</v>
      </c>
      <c r="AJ587" s="14" t="n">
        <v>1</v>
      </c>
      <c r="AK587" s="14" t="n">
        <v>15.355</v>
      </c>
      <c r="AL587" s="14" t="n">
        <v>8.250999999999999</v>
      </c>
      <c r="AM587" s="14" t="n">
        <v>0.314</v>
      </c>
      <c r="AN587" s="14" t="n">
        <v>17.659</v>
      </c>
      <c r="AO587" s="14" t="n">
        <v>0.15</v>
      </c>
      <c r="AP587" s="14" t="n">
        <v>1</v>
      </c>
      <c r="AQ587" s="14" t="n">
        <v>0.756</v>
      </c>
      <c r="AR587" s="14" t="n">
        <v>0.132</v>
      </c>
      <c r="AS587" s="14" t="n">
        <v>0.381</v>
      </c>
      <c r="AT587" s="14" t="n">
        <v>1.308</v>
      </c>
      <c r="AU587" s="14" t="n">
        <v>0.15</v>
      </c>
      <c r="AV587" s="14" t="n">
        <v>1</v>
      </c>
      <c r="AW587" s="14" t="n">
        <v>0.655</v>
      </c>
      <c r="AX587" s="14" t="n">
        <v>0.132</v>
      </c>
      <c r="AY587" s="14" t="n">
        <v>0.387</v>
      </c>
      <c r="AZ587" s="14" t="n">
        <v>1.199</v>
      </c>
      <c r="BA587" s="14" t="n">
        <v>0.15</v>
      </c>
      <c r="BB587" s="14" t="n">
        <v>1</v>
      </c>
      <c r="BC587" s="14" t="n">
        <v>0.534</v>
      </c>
      <c r="BD587" s="14" t="n">
        <v>0.132</v>
      </c>
      <c r="BE587" s="14" t="n">
        <v>0.036</v>
      </c>
      <c r="BF587" s="14" t="n">
        <v>0.655</v>
      </c>
      <c r="BG587" s="14" t="n">
        <v>0.15</v>
      </c>
      <c r="BH587" s="14" t="n">
        <v>1</v>
      </c>
      <c r="BI587" s="14" t="n">
        <v>0.5679999999999999</v>
      </c>
      <c r="BJ587" s="14" t="n">
        <v>0.132</v>
      </c>
      <c r="BK587" s="14" t="n">
        <v>0.591</v>
      </c>
      <c r="BL587" s="14" t="n">
        <v>1.333</v>
      </c>
      <c r="BM587" s="14" t="n">
        <v>0.15</v>
      </c>
      <c r="BN587" s="14" t="n">
        <v>1</v>
      </c>
      <c r="BO587" s="14" t="n">
        <v>0</v>
      </c>
      <c r="BP587" s="14" t="n">
        <v>0</v>
      </c>
      <c r="BQ587" s="14" t="n">
        <v>0.183</v>
      </c>
      <c r="BR587" s="14" t="n">
        <v>0</v>
      </c>
      <c r="BS587" s="14" t="n">
        <v>0.667</v>
      </c>
      <c r="BT587" s="14" t="n">
        <v>0</v>
      </c>
      <c r="BU587" s="14" t="n">
        <v>0</v>
      </c>
      <c r="BV587" s="14" t="n">
        <v>0.183</v>
      </c>
      <c r="BW587" s="14" t="n">
        <v>0.15</v>
      </c>
      <c r="BX587" s="14" t="n">
        <v>0.833</v>
      </c>
      <c r="BY587" s="14" t="n">
        <v>13.646</v>
      </c>
      <c r="BZ587" s="14" t="n">
        <v>0</v>
      </c>
      <c r="CA587" s="14" t="n">
        <v>13.646</v>
      </c>
      <c r="CB587" s="14" t="n">
        <v>0</v>
      </c>
      <c r="CC587" s="14" t="n">
        <v>82.58799999999999</v>
      </c>
      <c r="CD587" s="14" t="n">
        <v>7.95</v>
      </c>
      <c r="CE587" s="14" t="n">
        <v>4.599</v>
      </c>
      <c r="CF587" s="14" t="n">
        <v>98.258</v>
      </c>
      <c r="CG587" s="14" t="n">
        <v>0.15</v>
      </c>
      <c r="CH587" s="14" t="n">
        <v>1</v>
      </c>
      <c r="CI587" s="14" t="n">
        <v>0</v>
      </c>
      <c r="CJ587" s="14" t="n">
        <v>0</v>
      </c>
      <c r="CK587" s="14" t="n">
        <v>0</v>
      </c>
      <c r="CL587" s="14" t="n">
        <v>0</v>
      </c>
      <c r="CM587" s="14" t="n">
        <v>0</v>
      </c>
      <c r="CN587" s="14" t="n">
        <v>0</v>
      </c>
      <c r="CO587" s="14" t="n">
        <v>0</v>
      </c>
      <c r="CP587" s="14" t="n">
        <v>0</v>
      </c>
      <c r="CQ587" s="14" t="n">
        <v>1.387</v>
      </c>
      <c r="CR587" s="14" t="n">
        <v>0</v>
      </c>
      <c r="CS587" s="14" t="n">
        <v>5.529</v>
      </c>
      <c r="CT587" s="14" t="n">
        <v>4.251</v>
      </c>
      <c r="CU587" s="14" t="n">
        <v>10.123</v>
      </c>
    </row>
    <row r="588">
      <c r="A588" s="14" t="inlineStr">
        <is>
          <t>NER2021</t>
        </is>
      </c>
      <c r="B588" s="14" t="inlineStr">
        <is>
          <t>NER</t>
        </is>
      </c>
      <c r="C588" s="14" t="inlineStr">
        <is>
          <t>NER</t>
        </is>
      </c>
      <c r="D588" s="14" t="inlineStr">
        <is>
          <t>Niger</t>
        </is>
      </c>
      <c r="E588" s="14" t="n">
        <v>2021</v>
      </c>
      <c r="F588" s="14" t="n">
        <v>0.19</v>
      </c>
      <c r="G588" s="14" t="n">
        <v>1.77</v>
      </c>
      <c r="H588" s="14" t="n">
        <v>0.572</v>
      </c>
      <c r="I588" s="14" t="n">
        <v>0</v>
      </c>
      <c r="J588" s="14" t="n">
        <v>1.77</v>
      </c>
      <c r="K588" s="14" t="n">
        <v>0</v>
      </c>
      <c r="L588" s="14" t="n">
        <v>1</v>
      </c>
      <c r="M588" s="14" t="n">
        <v>2.913</v>
      </c>
      <c r="N588" s="14" t="n">
        <v>1.715</v>
      </c>
      <c r="O588" s="14" t="n">
        <v>0</v>
      </c>
      <c r="P588" s="14" t="n">
        <v>2.913</v>
      </c>
      <c r="Q588" s="14" t="n">
        <v>0</v>
      </c>
      <c r="R588" s="14" t="n">
        <v>1</v>
      </c>
      <c r="S588" s="14" t="n">
        <v>4.628</v>
      </c>
      <c r="T588" s="14" t="n">
        <v>3.43</v>
      </c>
      <c r="U588" s="14" t="n">
        <v>0</v>
      </c>
      <c r="V588" s="14" t="n">
        <v>5.508</v>
      </c>
      <c r="W588" s="14" t="n">
        <v>0.19</v>
      </c>
      <c r="X588" s="14" t="n">
        <v>1</v>
      </c>
      <c r="Y588" s="14" t="n">
        <v>5.347</v>
      </c>
      <c r="Z588" s="14" t="n">
        <v>0.393</v>
      </c>
      <c r="AA588" s="14" t="n">
        <v>0</v>
      </c>
      <c r="AB588" s="14" t="n">
        <v>5.347</v>
      </c>
      <c r="AC588" s="14" t="n">
        <v>0</v>
      </c>
      <c r="AD588" s="14" t="n">
        <v>1</v>
      </c>
      <c r="AE588" s="14" t="n">
        <v>5.919</v>
      </c>
      <c r="AF588" s="14" t="n">
        <v>0.8</v>
      </c>
      <c r="AG588" s="14" t="n">
        <v>0</v>
      </c>
      <c r="AH588" s="14" t="n">
        <v>5.919</v>
      </c>
      <c r="AI588" s="14" t="n">
        <v>0</v>
      </c>
      <c r="AJ588" s="14" t="n">
        <v>1</v>
      </c>
      <c r="AK588" s="14" t="n">
        <v>9.349</v>
      </c>
      <c r="AL588" s="14" t="n">
        <v>3.473</v>
      </c>
      <c r="AM588" s="14" t="n">
        <v>0</v>
      </c>
      <c r="AN588" s="14" t="n">
        <v>11.125</v>
      </c>
      <c r="AO588" s="14" t="n">
        <v>0.19</v>
      </c>
      <c r="AP588" s="14" t="n">
        <v>1</v>
      </c>
      <c r="AQ588" s="14" t="n">
        <v>0.619</v>
      </c>
      <c r="AR588" s="14" t="n">
        <v>0.114</v>
      </c>
      <c r="AS588" s="14" t="n">
        <v>0.199</v>
      </c>
      <c r="AT588" s="14" t="n">
        <v>0.974</v>
      </c>
      <c r="AU588" s="14" t="n">
        <v>0.19</v>
      </c>
      <c r="AV588" s="14" t="n">
        <v>1</v>
      </c>
      <c r="AW588" s="14" t="n">
        <v>0.599</v>
      </c>
      <c r="AX588" s="14" t="n">
        <v>0.114</v>
      </c>
      <c r="AY588" s="14" t="n">
        <v>0.367</v>
      </c>
      <c r="AZ588" s="14" t="n">
        <v>1.151</v>
      </c>
      <c r="BA588" s="14" t="n">
        <v>0.19</v>
      </c>
      <c r="BB588" s="14" t="n">
        <v>1</v>
      </c>
      <c r="BC588" s="14" t="n">
        <v>0.439</v>
      </c>
      <c r="BD588" s="14" t="n">
        <v>0.114</v>
      </c>
      <c r="BE588" s="14" t="n">
        <v>-0.2</v>
      </c>
      <c r="BF588" s="14" t="n">
        <v>0.285</v>
      </c>
      <c r="BG588" s="14" t="n">
        <v>0</v>
      </c>
      <c r="BH588" s="14" t="n">
        <v>0</v>
      </c>
      <c r="BI588" s="14" t="n">
        <v>0.505</v>
      </c>
      <c r="BJ588" s="14" t="n">
        <v>0.114</v>
      </c>
      <c r="BK588" s="14" t="n">
        <v>0.247</v>
      </c>
      <c r="BL588" s="14" t="n">
        <v>0.895</v>
      </c>
      <c r="BM588" s="14" t="n">
        <v>0.19</v>
      </c>
      <c r="BN588" s="14" t="n">
        <v>1</v>
      </c>
      <c r="BO588" s="14" t="n">
        <v>0</v>
      </c>
      <c r="BP588" s="14" t="n">
        <v>0</v>
      </c>
      <c r="BQ588" s="14" t="n">
        <v>0.131</v>
      </c>
      <c r="BR588" s="14" t="n">
        <v>0</v>
      </c>
      <c r="BS588" s="14" t="n">
        <v>0.167</v>
      </c>
      <c r="BT588" s="14" t="n">
        <v>0</v>
      </c>
      <c r="BU588" s="14" t="n">
        <v>0</v>
      </c>
      <c r="BV588" s="14" t="n">
        <v>0.155</v>
      </c>
      <c r="BW588" s="14" t="n">
        <v>0.19</v>
      </c>
      <c r="BX588" s="14" t="n">
        <v>0.167</v>
      </c>
      <c r="BY588" s="14" t="n">
        <v>11.787</v>
      </c>
      <c r="BZ588" s="14" t="n">
        <v>0</v>
      </c>
      <c r="CA588" s="14" t="n">
        <v>11.787</v>
      </c>
      <c r="CB588" s="14" t="n">
        <v>0</v>
      </c>
      <c r="CC588" s="14" t="n">
        <v>78.125</v>
      </c>
      <c r="CD588" s="14" t="n">
        <v>7.95</v>
      </c>
      <c r="CE588" s="14" t="n">
        <v>41.386</v>
      </c>
      <c r="CF588" s="14" t="n">
        <v>142.218</v>
      </c>
      <c r="CG588" s="14" t="n">
        <v>0.19</v>
      </c>
      <c r="CH588" s="14" t="n">
        <v>1</v>
      </c>
      <c r="CI588" s="14" t="n">
        <v>0</v>
      </c>
      <c r="CJ588" s="14" t="n">
        <v>0</v>
      </c>
      <c r="CK588" s="14" t="n">
        <v>0</v>
      </c>
      <c r="CL588" s="14" t="n">
        <v>0</v>
      </c>
      <c r="CM588" s="14" t="n">
        <v>0</v>
      </c>
      <c r="CN588" s="14" t="n">
        <v>0</v>
      </c>
      <c r="CO588" s="14" t="n">
        <v>0</v>
      </c>
      <c r="CP588" s="14" t="n">
        <v>1</v>
      </c>
      <c r="CQ588" s="14" t="n">
        <v>1.198</v>
      </c>
      <c r="CR588" s="14" t="n">
        <v>1</v>
      </c>
      <c r="CS588" s="14" t="n">
        <v>4.776</v>
      </c>
      <c r="CT588" s="14" t="n">
        <v>4.753</v>
      </c>
      <c r="CU588" s="14" t="n">
        <v>15.162</v>
      </c>
    </row>
    <row r="589">
      <c r="A589" s="14" t="inlineStr">
        <is>
          <t>NER2022</t>
        </is>
      </c>
      <c r="B589" s="14" t="inlineStr">
        <is>
          <t>NER</t>
        </is>
      </c>
      <c r="C589" s="14" t="inlineStr">
        <is>
          <t>NER</t>
        </is>
      </c>
      <c r="D589" s="14" t="inlineStr">
        <is>
          <t>Niger</t>
        </is>
      </c>
      <c r="E589" s="14" t="n">
        <v>2022</v>
      </c>
      <c r="F589" s="14" t="n">
        <v>0.19</v>
      </c>
      <c r="G589" s="14" t="n">
        <v>1.911</v>
      </c>
      <c r="H589" s="14" t="n">
        <v>0.617</v>
      </c>
      <c r="I589" s="14" t="n">
        <v>0</v>
      </c>
      <c r="J589" s="14" t="n">
        <v>1.911</v>
      </c>
      <c r="K589" s="14" t="n">
        <v>0</v>
      </c>
      <c r="L589" s="14" t="n">
        <v>1</v>
      </c>
      <c r="M589" s="14" t="n">
        <v>3.146</v>
      </c>
      <c r="N589" s="14" t="n">
        <v>1.852</v>
      </c>
      <c r="O589" s="14" t="n">
        <v>0</v>
      </c>
      <c r="P589" s="14" t="n">
        <v>3.146</v>
      </c>
      <c r="Q589" s="14" t="n">
        <v>0</v>
      </c>
      <c r="R589" s="14" t="n">
        <v>1</v>
      </c>
      <c r="S589" s="14" t="n">
        <v>4.998</v>
      </c>
      <c r="T589" s="14" t="n">
        <v>3.704</v>
      </c>
      <c r="U589" s="14" t="n">
        <v>0.07000000000000001</v>
      </c>
      <c r="V589" s="14" t="n">
        <v>5.948</v>
      </c>
      <c r="W589" s="14" t="n">
        <v>0.19</v>
      </c>
      <c r="X589" s="14" t="n">
        <v>1</v>
      </c>
      <c r="Y589" s="14" t="n">
        <v>5.775</v>
      </c>
      <c r="Z589" s="14" t="n">
        <v>0.425</v>
      </c>
      <c r="AA589" s="14" t="n">
        <v>0</v>
      </c>
      <c r="AB589" s="14" t="n">
        <v>5.775</v>
      </c>
      <c r="AC589" s="14" t="n">
        <v>0</v>
      </c>
      <c r="AD589" s="14" t="n">
        <v>1</v>
      </c>
      <c r="AE589" s="14" t="n">
        <v>6.392</v>
      </c>
      <c r="AF589" s="14" t="n">
        <v>0.864</v>
      </c>
      <c r="AG589" s="14" t="n">
        <v>0</v>
      </c>
      <c r="AH589" s="14" t="n">
        <v>6.392</v>
      </c>
      <c r="AI589" s="14" t="n">
        <v>0</v>
      </c>
      <c r="AJ589" s="14" t="n">
        <v>1</v>
      </c>
      <c r="AK589" s="14" t="n">
        <v>10.096</v>
      </c>
      <c r="AL589" s="14" t="n">
        <v>3.751</v>
      </c>
      <c r="AM589" s="14" t="n">
        <v>0.142</v>
      </c>
      <c r="AN589" s="14" t="n">
        <v>12.015</v>
      </c>
      <c r="AO589" s="14" t="n">
        <v>0.19</v>
      </c>
      <c r="AP589" s="14" t="n">
        <v>1</v>
      </c>
      <c r="AQ589" s="14" t="n">
        <v>0.861</v>
      </c>
      <c r="AR589" s="14" t="n">
        <v>0.123</v>
      </c>
      <c r="AS589" s="14" t="n">
        <v>-0.134</v>
      </c>
      <c r="AT589" s="14" t="n">
        <v>0.866</v>
      </c>
      <c r="AU589" s="14" t="n">
        <v>0.19</v>
      </c>
      <c r="AV589" s="14" t="n">
        <v>1</v>
      </c>
      <c r="AW589" s="14" t="n">
        <v>0.986</v>
      </c>
      <c r="AX589" s="14" t="n">
        <v>0.123</v>
      </c>
      <c r="AY589" s="14" t="n">
        <v>-0.127</v>
      </c>
      <c r="AZ589" s="14" t="n">
        <v>1.023</v>
      </c>
      <c r="BA589" s="14" t="n">
        <v>0.19</v>
      </c>
      <c r="BB589" s="14" t="n">
        <v>1</v>
      </c>
      <c r="BC589" s="14" t="n">
        <v>0.598</v>
      </c>
      <c r="BD589" s="14" t="n">
        <v>0.123</v>
      </c>
      <c r="BE589" s="14" t="n">
        <v>-0.385</v>
      </c>
      <c r="BF589" s="14" t="n">
        <v>0.253</v>
      </c>
      <c r="BG589" s="14" t="n">
        <v>0</v>
      </c>
      <c r="BH589" s="14" t="n">
        <v>0</v>
      </c>
      <c r="BI589" s="14" t="n">
        <v>0.612</v>
      </c>
      <c r="BJ589" s="14" t="n">
        <v>0.123</v>
      </c>
      <c r="BK589" s="14" t="n">
        <v>0.057</v>
      </c>
      <c r="BL589" s="14" t="n">
        <v>0.796</v>
      </c>
      <c r="BM589" s="14" t="n">
        <v>0.19</v>
      </c>
      <c r="BN589" s="14" t="n">
        <v>1</v>
      </c>
      <c r="BO589" s="14" t="n">
        <v>0</v>
      </c>
      <c r="BP589" s="14" t="n">
        <v>0</v>
      </c>
      <c r="BQ589" s="14" t="n">
        <v>0.116</v>
      </c>
      <c r="BR589" s="14" t="n">
        <v>0</v>
      </c>
      <c r="BS589" s="14" t="n">
        <v>0.167</v>
      </c>
      <c r="BT589" s="14" t="n">
        <v>0</v>
      </c>
      <c r="BU589" s="14" t="n">
        <v>0</v>
      </c>
      <c r="BV589" s="14" t="n">
        <v>0.138</v>
      </c>
      <c r="BW589" s="14" t="n">
        <v>0.19</v>
      </c>
      <c r="BX589" s="14" t="n">
        <v>0.167</v>
      </c>
      <c r="BY589" s="14" t="n">
        <v>12.729</v>
      </c>
      <c r="BZ589" s="14" t="n">
        <v>0</v>
      </c>
      <c r="CA589" s="14" t="n">
        <v>12.729</v>
      </c>
      <c r="CB589" s="14" t="n">
        <v>0</v>
      </c>
      <c r="CC589" s="14" t="n">
        <v>97.90000000000001</v>
      </c>
      <c r="CD589" s="14" t="n">
        <v>7.95</v>
      </c>
      <c r="CE589" s="14" t="n">
        <v>8.346</v>
      </c>
      <c r="CF589" s="14" t="n">
        <v>126.433</v>
      </c>
      <c r="CG589" s="14" t="n">
        <v>0.19</v>
      </c>
      <c r="CH589" s="14" t="n">
        <v>1</v>
      </c>
      <c r="CI589" s="14" t="n">
        <v>0</v>
      </c>
      <c r="CJ589" s="14" t="n">
        <v>0</v>
      </c>
      <c r="CK589" s="14" t="n">
        <v>0</v>
      </c>
      <c r="CL589" s="14" t="n">
        <v>0</v>
      </c>
      <c r="CM589" s="14" t="n">
        <v>0</v>
      </c>
      <c r="CN589" s="14" t="n">
        <v>0</v>
      </c>
      <c r="CO589" s="14" t="n">
        <v>0</v>
      </c>
      <c r="CP589" s="14" t="n">
        <v>1</v>
      </c>
      <c r="CQ589" s="14" t="n">
        <v>1.294</v>
      </c>
      <c r="CR589" s="14" t="n">
        <v>1</v>
      </c>
      <c r="CS589" s="14" t="n">
        <v>5.158</v>
      </c>
      <c r="CT589" s="14" t="n">
        <v>10.485</v>
      </c>
      <c r="CU589" s="14" t="n">
        <v>31.326</v>
      </c>
    </row>
    <row r="590">
      <c r="A590" s="14" t="inlineStr">
        <is>
          <t>NER2023</t>
        </is>
      </c>
      <c r="B590" s="14" t="inlineStr">
        <is>
          <t>NER</t>
        </is>
      </c>
      <c r="C590" s="14" t="inlineStr">
        <is>
          <t>NER</t>
        </is>
      </c>
      <c r="D590" s="14" t="inlineStr">
        <is>
          <t>Niger</t>
        </is>
      </c>
      <c r="E590" s="14" t="n">
        <v>2023</v>
      </c>
      <c r="F590" s="14" t="n">
        <v>0.19</v>
      </c>
      <c r="G590" s="14" t="n">
        <v>1.99</v>
      </c>
      <c r="H590" s="14" t="n">
        <v>0.643</v>
      </c>
      <c r="I590" s="14" t="n">
        <v>0</v>
      </c>
      <c r="J590" s="14" t="n">
        <v>1.99</v>
      </c>
      <c r="K590" s="14" t="n">
        <v>0</v>
      </c>
      <c r="L590" s="14" t="n">
        <v>1</v>
      </c>
      <c r="M590" s="14" t="n">
        <v>3.276</v>
      </c>
      <c r="N590" s="14" t="n">
        <v>1.928</v>
      </c>
      <c r="O590" s="14" t="n">
        <v>0</v>
      </c>
      <c r="P590" s="14" t="n">
        <v>3.276</v>
      </c>
      <c r="Q590" s="14" t="n">
        <v>0</v>
      </c>
      <c r="R590" s="14" t="n">
        <v>1</v>
      </c>
      <c r="S590" s="14" t="n">
        <v>5.205</v>
      </c>
      <c r="T590" s="14" t="n">
        <v>3.857</v>
      </c>
      <c r="U590" s="14" t="n">
        <v>0.109</v>
      </c>
      <c r="V590" s="14" t="n">
        <v>6.193</v>
      </c>
      <c r="W590" s="14" t="n">
        <v>0.19</v>
      </c>
      <c r="X590" s="14" t="n">
        <v>1</v>
      </c>
      <c r="Y590" s="14" t="n">
        <v>6.013</v>
      </c>
      <c r="Z590" s="14" t="n">
        <v>0.442</v>
      </c>
      <c r="AA590" s="14" t="n">
        <v>0</v>
      </c>
      <c r="AB590" s="14" t="n">
        <v>6.013</v>
      </c>
      <c r="AC590" s="14" t="n">
        <v>0</v>
      </c>
      <c r="AD590" s="14" t="n">
        <v>1</v>
      </c>
      <c r="AE590" s="14" t="n">
        <v>6.656</v>
      </c>
      <c r="AF590" s="14" t="n">
        <v>0.9</v>
      </c>
      <c r="AG590" s="14" t="n">
        <v>0</v>
      </c>
      <c r="AH590" s="14" t="n">
        <v>6.656</v>
      </c>
      <c r="AI590" s="14" t="n">
        <v>0</v>
      </c>
      <c r="AJ590" s="14" t="n">
        <v>1</v>
      </c>
      <c r="AK590" s="14" t="n">
        <v>10.513</v>
      </c>
      <c r="AL590" s="14" t="n">
        <v>3.906</v>
      </c>
      <c r="AM590" s="14" t="n">
        <v>0.221</v>
      </c>
      <c r="AN590" s="14" t="n">
        <v>12.511</v>
      </c>
      <c r="AO590" s="14" t="n">
        <v>0.19</v>
      </c>
      <c r="AP590" s="14" t="n">
        <v>1</v>
      </c>
      <c r="AQ590" s="14" t="n">
        <v>0.76</v>
      </c>
      <c r="AR590" s="14" t="n">
        <v>0.129</v>
      </c>
      <c r="AS590" s="14" t="n">
        <v>-0.037</v>
      </c>
      <c r="AT590" s="14" t="n">
        <v>0.861</v>
      </c>
      <c r="AU590" s="14" t="n">
        <v>0.19</v>
      </c>
      <c r="AV590" s="14" t="n">
        <v>1</v>
      </c>
      <c r="AW590" s="14" t="n">
        <v>0.8110000000000001</v>
      </c>
      <c r="AX590" s="14" t="n">
        <v>0.129</v>
      </c>
      <c r="AY590" s="14" t="n">
        <v>0.06</v>
      </c>
      <c r="AZ590" s="14" t="n">
        <v>1.037</v>
      </c>
      <c r="BA590" s="14" t="n">
        <v>0.19</v>
      </c>
      <c r="BB590" s="14" t="n">
        <v>1</v>
      </c>
      <c r="BC590" s="14" t="n">
        <v>0.535</v>
      </c>
      <c r="BD590" s="14" t="n">
        <v>0.129</v>
      </c>
      <c r="BE590" s="14" t="n">
        <v>-0.316</v>
      </c>
      <c r="BF590" s="14" t="n">
        <v>0.26</v>
      </c>
      <c r="BG590" s="14" t="n">
        <v>0</v>
      </c>
      <c r="BH590" s="14" t="n">
        <v>0</v>
      </c>
      <c r="BI590" s="14" t="n">
        <v>0.579</v>
      </c>
      <c r="BJ590" s="14" t="n">
        <v>0.129</v>
      </c>
      <c r="BK590" s="14" t="n">
        <v>0.109</v>
      </c>
      <c r="BL590" s="14" t="n">
        <v>0.819</v>
      </c>
      <c r="BM590" s="14" t="n">
        <v>0.19</v>
      </c>
      <c r="BN590" s="14" t="n">
        <v>1</v>
      </c>
      <c r="BO590" s="14" t="n">
        <v>0</v>
      </c>
      <c r="BP590" s="14" t="n">
        <v>0</v>
      </c>
      <c r="BQ590" s="14" t="n">
        <v>0.12</v>
      </c>
      <c r="BR590" s="14" t="n">
        <v>0</v>
      </c>
      <c r="BS590" s="14" t="n">
        <v>0.167</v>
      </c>
      <c r="BT590" s="14" t="n">
        <v>0</v>
      </c>
      <c r="BU590" s="14" t="n">
        <v>0</v>
      </c>
      <c r="BV590" s="14" t="n">
        <v>0.142</v>
      </c>
      <c r="BW590" s="14" t="n">
        <v>0.19</v>
      </c>
      <c r="BX590" s="14" t="n">
        <v>0.167</v>
      </c>
      <c r="BY590" s="14" t="n">
        <v>13.254</v>
      </c>
      <c r="BZ590" s="14" t="n">
        <v>0</v>
      </c>
      <c r="CA590" s="14" t="n">
        <v>13.254</v>
      </c>
      <c r="CB590" s="14" t="n">
        <v>0</v>
      </c>
      <c r="CC590" s="14" t="n">
        <v>83.248</v>
      </c>
      <c r="CD590" s="14" t="n">
        <v>7.95</v>
      </c>
      <c r="CE590" s="14" t="n">
        <v>26.009</v>
      </c>
      <c r="CF590" s="14" t="n">
        <v>130.016</v>
      </c>
      <c r="CG590" s="14" t="n">
        <v>0.19</v>
      </c>
      <c r="CH590" s="14" t="n">
        <v>1</v>
      </c>
      <c r="CI590" s="14" t="n">
        <v>0</v>
      </c>
      <c r="CJ590" s="14" t="n">
        <v>0</v>
      </c>
      <c r="CK590" s="14" t="n">
        <v>0</v>
      </c>
      <c r="CL590" s="14" t="n">
        <v>0</v>
      </c>
      <c r="CM590" s="14" t="n">
        <v>0</v>
      </c>
      <c r="CN590" s="14" t="n">
        <v>0</v>
      </c>
      <c r="CO590" s="14" t="n">
        <v>0</v>
      </c>
      <c r="CP590" s="14" t="n">
        <v>1</v>
      </c>
      <c r="CQ590" s="14" t="n">
        <v>1.348</v>
      </c>
      <c r="CR590" s="14" t="n">
        <v>1</v>
      </c>
      <c r="CS590" s="14" t="n">
        <v>5.37</v>
      </c>
      <c r="CT590" s="14" t="n">
        <v>4.861</v>
      </c>
      <c r="CU590" s="14" t="n">
        <v>11.622</v>
      </c>
    </row>
    <row r="591">
      <c r="A591" s="14" t="inlineStr">
        <is>
          <t>NER2024</t>
        </is>
      </c>
      <c r="B591" s="14" t="inlineStr">
        <is>
          <t>NER</t>
        </is>
      </c>
      <c r="C591" s="14" t="inlineStr">
        <is>
          <t>NER</t>
        </is>
      </c>
      <c r="D591" s="14" t="inlineStr">
        <is>
          <t>Niger</t>
        </is>
      </c>
      <c r="E591" s="14" t="n">
        <v>2024</v>
      </c>
      <c r="F591" s="14" t="n">
        <v>0.19</v>
      </c>
      <c r="G591" s="14" t="n">
        <v>2.049</v>
      </c>
      <c r="H591" s="14" t="n">
        <v>0.662</v>
      </c>
      <c r="I591" s="14" t="n">
        <v>0</v>
      </c>
      <c r="J591" s="14" t="n">
        <v>2.049</v>
      </c>
      <c r="K591" s="14" t="n">
        <v>0</v>
      </c>
      <c r="L591" s="14" t="n">
        <v>1</v>
      </c>
      <c r="M591" s="14" t="n">
        <v>3.373</v>
      </c>
      <c r="N591" s="14" t="n">
        <v>1.985</v>
      </c>
      <c r="O591" s="14" t="n">
        <v>0</v>
      </c>
      <c r="P591" s="14" t="n">
        <v>3.373</v>
      </c>
      <c r="Q591" s="14" t="n">
        <v>0</v>
      </c>
      <c r="R591" s="14" t="n">
        <v>1</v>
      </c>
      <c r="S591" s="14" t="n">
        <v>5.358</v>
      </c>
      <c r="T591" s="14" t="n">
        <v>3.971</v>
      </c>
      <c r="U591" s="14" t="n">
        <v>0.139</v>
      </c>
      <c r="V591" s="14" t="n">
        <v>6.376</v>
      </c>
      <c r="W591" s="14" t="n">
        <v>0.19</v>
      </c>
      <c r="X591" s="14" t="n">
        <v>1</v>
      </c>
      <c r="Y591" s="14" t="n">
        <v>6.191</v>
      </c>
      <c r="Z591" s="14" t="n">
        <v>0.455</v>
      </c>
      <c r="AA591" s="14" t="n">
        <v>0</v>
      </c>
      <c r="AB591" s="14" t="n">
        <v>6.191</v>
      </c>
      <c r="AC591" s="14" t="n">
        <v>0</v>
      </c>
      <c r="AD591" s="14" t="n">
        <v>1</v>
      </c>
      <c r="AE591" s="14" t="n">
        <v>6.853</v>
      </c>
      <c r="AF591" s="14" t="n">
        <v>0.926</v>
      </c>
      <c r="AG591" s="14" t="n">
        <v>0</v>
      </c>
      <c r="AH591" s="14" t="n">
        <v>6.853</v>
      </c>
      <c r="AI591" s="14" t="n">
        <v>0</v>
      </c>
      <c r="AJ591" s="14" t="n">
        <v>1</v>
      </c>
      <c r="AK591" s="14" t="n">
        <v>10.823</v>
      </c>
      <c r="AL591" s="14" t="n">
        <v>4.021</v>
      </c>
      <c r="AM591" s="14" t="n">
        <v>0.28</v>
      </c>
      <c r="AN591" s="14" t="n">
        <v>12.88</v>
      </c>
      <c r="AO591" s="14" t="n">
        <v>0.19</v>
      </c>
      <c r="AP591" s="14" t="n">
        <v>1</v>
      </c>
      <c r="AQ591" s="14" t="n">
        <v>0.724</v>
      </c>
      <c r="AR591" s="14" t="n">
        <v>0.132</v>
      </c>
      <c r="AS591" s="14" t="n">
        <v>-0.006</v>
      </c>
      <c r="AT591" s="14" t="n">
        <v>0.855</v>
      </c>
      <c r="AU591" s="14" t="n">
        <v>0.19</v>
      </c>
      <c r="AV591" s="14" t="n">
        <v>1</v>
      </c>
      <c r="AW591" s="14" t="n">
        <v>0.75</v>
      </c>
      <c r="AX591" s="14" t="n">
        <v>0.132</v>
      </c>
      <c r="AY591" s="14" t="n">
        <v>0.261</v>
      </c>
      <c r="AZ591" s="14" t="n">
        <v>1.204</v>
      </c>
      <c r="BA591" s="14" t="n">
        <v>0.19</v>
      </c>
      <c r="BB591" s="14" t="n">
        <v>1</v>
      </c>
      <c r="BC591" s="14" t="n">
        <v>0.513</v>
      </c>
      <c r="BD591" s="14" t="n">
        <v>0.132</v>
      </c>
      <c r="BE591" s="14" t="n">
        <v>-0.294</v>
      </c>
      <c r="BF591" s="14" t="n">
        <v>0.261</v>
      </c>
      <c r="BG591" s="14" t="n">
        <v>0</v>
      </c>
      <c r="BH591" s="14" t="n">
        <v>0</v>
      </c>
      <c r="BI591" s="14" t="n">
        <v>0.591</v>
      </c>
      <c r="BJ591" s="14" t="n">
        <v>0.132</v>
      </c>
      <c r="BK591" s="14" t="n">
        <v>0.134</v>
      </c>
      <c r="BL591" s="14" t="n">
        <v>0.841</v>
      </c>
      <c r="BM591" s="14" t="n">
        <v>0.19</v>
      </c>
      <c r="BN591" s="14" t="n">
        <v>1</v>
      </c>
      <c r="BO591" s="14" t="n">
        <v>0</v>
      </c>
      <c r="BP591" s="14" t="n">
        <v>0</v>
      </c>
      <c r="BQ591" s="14" t="n">
        <v>0.123</v>
      </c>
      <c r="BR591" s="14" t="n">
        <v>0</v>
      </c>
      <c r="BS591" s="14" t="n">
        <v>0.167</v>
      </c>
      <c r="BT591" s="14" t="n">
        <v>0</v>
      </c>
      <c r="BU591" s="14" t="n">
        <v>0</v>
      </c>
      <c r="BV591" s="14" t="n">
        <v>0.146</v>
      </c>
      <c r="BW591" s="14" t="n">
        <v>0.19</v>
      </c>
      <c r="BX591" s="14" t="n">
        <v>0.167</v>
      </c>
      <c r="BY591" s="14" t="n">
        <v>13.646</v>
      </c>
      <c r="BZ591" s="14" t="n">
        <v>0</v>
      </c>
      <c r="CA591" s="14" t="n">
        <v>13.646</v>
      </c>
      <c r="CB591" s="14" t="n">
        <v>0</v>
      </c>
      <c r="CC591" s="14" t="n">
        <v>82.58799999999999</v>
      </c>
      <c r="CD591" s="14" t="n">
        <v>7.95</v>
      </c>
      <c r="CE591" s="14" t="n">
        <v>32.064</v>
      </c>
      <c r="CF591" s="14" t="n">
        <v>132.994</v>
      </c>
      <c r="CG591" s="14" t="n">
        <v>0.19</v>
      </c>
      <c r="CH591" s="14" t="n">
        <v>1</v>
      </c>
      <c r="CI591" s="14" t="n">
        <v>0</v>
      </c>
      <c r="CJ591" s="14" t="n">
        <v>0</v>
      </c>
      <c r="CK591" s="14" t="n">
        <v>0</v>
      </c>
      <c r="CL591" s="14" t="n">
        <v>0</v>
      </c>
      <c r="CM591" s="14" t="n">
        <v>0</v>
      </c>
      <c r="CN591" s="14" t="n">
        <v>0</v>
      </c>
      <c r="CO591" s="14" t="n">
        <v>0</v>
      </c>
      <c r="CP591" s="14" t="n">
        <v>1</v>
      </c>
      <c r="CQ591" s="14" t="n">
        <v>1.387</v>
      </c>
      <c r="CR591" s="14" t="n">
        <v>1</v>
      </c>
      <c r="CS591" s="14" t="n">
        <v>5.529</v>
      </c>
      <c r="CT591" s="14" t="n">
        <v>4.251</v>
      </c>
      <c r="CU591" s="14" t="n">
        <v>10.168</v>
      </c>
    </row>
    <row r="592">
      <c r="A592" s="14" t="inlineStr">
        <is>
          <t>NGA2021</t>
        </is>
      </c>
      <c r="B592" s="14" t="inlineStr">
        <is>
          <t>NGA</t>
        </is>
      </c>
      <c r="C592" s="14" t="inlineStr">
        <is>
          <t>NGA</t>
        </is>
      </c>
      <c r="D592" s="14" t="inlineStr">
        <is>
          <t>Nigeria</t>
        </is>
      </c>
      <c r="E592" s="14" t="n">
        <v>2021</v>
      </c>
      <c r="F592" s="14" t="n">
        <v>0.075</v>
      </c>
      <c r="G592" s="14" t="n">
        <v>1.77</v>
      </c>
      <c r="H592" s="14" t="n">
        <v>0.572</v>
      </c>
      <c r="I592" s="14" t="n">
        <v>0</v>
      </c>
      <c r="J592" s="14" t="n">
        <v>1.77</v>
      </c>
      <c r="K592" s="14" t="n">
        <v>0</v>
      </c>
      <c r="L592" s="14" t="n">
        <v>1</v>
      </c>
      <c r="M592" s="14" t="n">
        <v>2.913</v>
      </c>
      <c r="N592" s="14" t="n">
        <v>1.715</v>
      </c>
      <c r="O592" s="14" t="n">
        <v>0</v>
      </c>
      <c r="P592" s="14" t="n">
        <v>2.913</v>
      </c>
      <c r="Q592" s="14" t="n">
        <v>0</v>
      </c>
      <c r="R592" s="14" t="n">
        <v>1</v>
      </c>
      <c r="S592" s="14" t="n">
        <v>4.628</v>
      </c>
      <c r="T592" s="14" t="n">
        <v>3.43</v>
      </c>
      <c r="U592" s="14" t="n">
        <v>0</v>
      </c>
      <c r="V592" s="14" t="n">
        <v>4.975</v>
      </c>
      <c r="W592" s="14" t="n">
        <v>0.075</v>
      </c>
      <c r="X592" s="14" t="n">
        <v>1</v>
      </c>
      <c r="Y592" s="14" t="n">
        <v>4.26</v>
      </c>
      <c r="Z592" s="14" t="n">
        <v>0.471</v>
      </c>
      <c r="AA592" s="14" t="n">
        <v>0</v>
      </c>
      <c r="AB592" s="14" t="n">
        <v>4.26</v>
      </c>
      <c r="AC592" s="14" t="n">
        <v>0</v>
      </c>
      <c r="AD592" s="14" t="n">
        <v>1</v>
      </c>
      <c r="AE592" s="14" t="n">
        <v>4.467</v>
      </c>
      <c r="AF592" s="14" t="n">
        <v>0.879</v>
      </c>
      <c r="AG592" s="14" t="n">
        <v>0</v>
      </c>
      <c r="AH592" s="14" t="n">
        <v>4.467</v>
      </c>
      <c r="AI592" s="14" t="n">
        <v>0</v>
      </c>
      <c r="AJ592" s="14" t="n">
        <v>1</v>
      </c>
      <c r="AK592" s="14" t="n">
        <v>11.001</v>
      </c>
      <c r="AL592" s="14" t="n">
        <v>5.4</v>
      </c>
      <c r="AM592" s="14" t="n">
        <v>0</v>
      </c>
      <c r="AN592" s="14" t="n">
        <v>11.827</v>
      </c>
      <c r="AO592" s="14" t="n">
        <v>0.075</v>
      </c>
      <c r="AP592" s="14" t="n">
        <v>1</v>
      </c>
      <c r="AQ592" s="14" t="n">
        <v>0.676</v>
      </c>
      <c r="AR592" s="14" t="n">
        <v>0.124</v>
      </c>
      <c r="AS592" s="14" t="n">
        <v>-0.287</v>
      </c>
      <c r="AT592" s="14" t="n">
        <v>0.418</v>
      </c>
      <c r="AU592" s="14" t="n">
        <v>0</v>
      </c>
      <c r="AV592" s="14" t="n">
        <v>0</v>
      </c>
      <c r="AW592" s="14" t="n">
        <v>0.619</v>
      </c>
      <c r="AX592" s="14" t="n">
        <v>0.12</v>
      </c>
      <c r="AY592" s="14" t="n">
        <v>0.012</v>
      </c>
      <c r="AZ592" s="14" t="n">
        <v>0.678</v>
      </c>
      <c r="BA592" s="14" t="n">
        <v>0.075</v>
      </c>
      <c r="BB592" s="14" t="n">
        <v>1</v>
      </c>
      <c r="BC592" s="14" t="n">
        <v>0.434</v>
      </c>
      <c r="BD592" s="14" t="n">
        <v>0.112</v>
      </c>
      <c r="BE592" s="14" t="n">
        <v>0.004</v>
      </c>
      <c r="BF592" s="14" t="n">
        <v>0.471</v>
      </c>
      <c r="BG592" s="14" t="n">
        <v>0.075</v>
      </c>
      <c r="BH592" s="14" t="n">
        <v>1</v>
      </c>
      <c r="BI592" s="14" t="n">
        <v>0.477</v>
      </c>
      <c r="BJ592" s="14" t="n">
        <v>0.105</v>
      </c>
      <c r="BK592" s="14" t="n">
        <v>0.008</v>
      </c>
      <c r="BL592" s="14" t="n">
        <v>0.521</v>
      </c>
      <c r="BM592" s="14" t="n">
        <v>0.075</v>
      </c>
      <c r="BN592" s="14" t="n">
        <v>1</v>
      </c>
      <c r="BO592" s="14" t="n">
        <v>0</v>
      </c>
      <c r="BP592" s="14" t="n">
        <v>-0.016</v>
      </c>
      <c r="BQ592" s="14" t="n">
        <v>0.137</v>
      </c>
      <c r="BR592" s="14" t="n">
        <v>0</v>
      </c>
      <c r="BS592" s="14" t="n">
        <v>0.833</v>
      </c>
      <c r="BT592" s="14" t="n">
        <v>0</v>
      </c>
      <c r="BU592" s="14" t="n">
        <v>-0.016</v>
      </c>
      <c r="BV592" s="14" t="n">
        <v>0.107</v>
      </c>
      <c r="BW592" s="14" t="n">
        <v>0</v>
      </c>
      <c r="BX592" s="14" t="n">
        <v>0.833</v>
      </c>
      <c r="BY592" s="14" t="n">
        <v>11.787</v>
      </c>
      <c r="BZ592" s="14" t="n">
        <v>0</v>
      </c>
      <c r="CA592" s="14" t="n">
        <v>11.787</v>
      </c>
      <c r="CB592" s="14" t="n">
        <v>0</v>
      </c>
      <c r="CC592" s="14" t="n">
        <v>78.125</v>
      </c>
      <c r="CD592" s="14" t="n">
        <v>7.95</v>
      </c>
      <c r="CE592" s="14" t="n">
        <v>67.154</v>
      </c>
      <c r="CF592" s="14" t="n">
        <v>156.175</v>
      </c>
      <c r="CG592" s="14" t="n">
        <v>0.075</v>
      </c>
      <c r="CH592" s="14" t="n">
        <v>1</v>
      </c>
      <c r="CI592" s="14" t="n">
        <v>0</v>
      </c>
      <c r="CJ592" s="14" t="n">
        <v>0</v>
      </c>
      <c r="CK592" s="14" t="n">
        <v>0</v>
      </c>
      <c r="CL592" s="14" t="n">
        <v>0</v>
      </c>
      <c r="CM592" s="14" t="n">
        <v>0</v>
      </c>
      <c r="CN592" s="14" t="n">
        <v>0</v>
      </c>
      <c r="CO592" s="14" t="n">
        <v>0</v>
      </c>
      <c r="CP592" s="14" t="n">
        <v>1</v>
      </c>
      <c r="CQ592" s="14" t="n">
        <v>1.198</v>
      </c>
      <c r="CR592" s="14" t="n">
        <v>0</v>
      </c>
      <c r="CS592" s="14" t="n">
        <v>4.578</v>
      </c>
      <c r="CT592" s="14" t="n">
        <v>4.753</v>
      </c>
      <c r="CU592" s="14" t="n">
        <v>15.629</v>
      </c>
    </row>
    <row r="593">
      <c r="A593" s="14" t="inlineStr">
        <is>
          <t>NGA2022</t>
        </is>
      </c>
      <c r="B593" s="14" t="inlineStr">
        <is>
          <t>NGA</t>
        </is>
      </c>
      <c r="C593" s="14" t="inlineStr">
        <is>
          <t>NGA</t>
        </is>
      </c>
      <c r="D593" s="14" t="inlineStr">
        <is>
          <t>Nigeria</t>
        </is>
      </c>
      <c r="E593" s="14" t="n">
        <v>2022</v>
      </c>
      <c r="F593" s="14" t="n">
        <v>0.075</v>
      </c>
      <c r="G593" s="14" t="n">
        <v>1.911</v>
      </c>
      <c r="H593" s="14" t="n">
        <v>0.617</v>
      </c>
      <c r="I593" s="14" t="n">
        <v>0</v>
      </c>
      <c r="J593" s="14" t="n">
        <v>1.911</v>
      </c>
      <c r="K593" s="14" t="n">
        <v>0</v>
      </c>
      <c r="L593" s="14" t="n">
        <v>1</v>
      </c>
      <c r="M593" s="14" t="n">
        <v>3.146</v>
      </c>
      <c r="N593" s="14" t="n">
        <v>1.852</v>
      </c>
      <c r="O593" s="14" t="n">
        <v>0</v>
      </c>
      <c r="P593" s="14" t="n">
        <v>3.146</v>
      </c>
      <c r="Q593" s="14" t="n">
        <v>0</v>
      </c>
      <c r="R593" s="14" t="n">
        <v>1</v>
      </c>
      <c r="S593" s="14" t="n">
        <v>4.998</v>
      </c>
      <c r="T593" s="14" t="n">
        <v>3.704</v>
      </c>
      <c r="U593" s="14" t="n">
        <v>0.028</v>
      </c>
      <c r="V593" s="14" t="n">
        <v>5.373</v>
      </c>
      <c r="W593" s="14" t="n">
        <v>0.075</v>
      </c>
      <c r="X593" s="14" t="n">
        <v>1</v>
      </c>
      <c r="Y593" s="14" t="n">
        <v>4.351</v>
      </c>
      <c r="Z593" s="14" t="n">
        <v>0.456</v>
      </c>
      <c r="AA593" s="14" t="n">
        <v>0</v>
      </c>
      <c r="AB593" s="14" t="n">
        <v>4.351</v>
      </c>
      <c r="AC593" s="14" t="n">
        <v>0</v>
      </c>
      <c r="AD593" s="14" t="n">
        <v>1</v>
      </c>
      <c r="AE593" s="14" t="n">
        <v>4.649</v>
      </c>
      <c r="AF593" s="14" t="n">
        <v>0.862</v>
      </c>
      <c r="AG593" s="14" t="n">
        <v>0</v>
      </c>
      <c r="AH593" s="14" t="n">
        <v>4.649</v>
      </c>
      <c r="AI593" s="14" t="n">
        <v>0</v>
      </c>
      <c r="AJ593" s="14" t="n">
        <v>1</v>
      </c>
      <c r="AK593" s="14" t="n">
        <v>11.681</v>
      </c>
      <c r="AL593" s="14" t="n">
        <v>5.578</v>
      </c>
      <c r="AM593" s="14" t="n">
        <v>0</v>
      </c>
      <c r="AN593" s="14" t="n">
        <v>12.558</v>
      </c>
      <c r="AO593" s="14" t="n">
        <v>0.075</v>
      </c>
      <c r="AP593" s="14" t="n">
        <v>1</v>
      </c>
      <c r="AQ593" s="14" t="n">
        <v>0.979</v>
      </c>
      <c r="AR593" s="14" t="n">
        <v>0.14</v>
      </c>
      <c r="AS593" s="14" t="n">
        <v>-0.573</v>
      </c>
      <c r="AT593" s="14" t="n">
        <v>0.436</v>
      </c>
      <c r="AU593" s="14" t="n">
        <v>0</v>
      </c>
      <c r="AV593" s="14" t="n">
        <v>0</v>
      </c>
      <c r="AW593" s="14" t="n">
        <v>1.078</v>
      </c>
      <c r="AX593" s="14" t="n">
        <v>0.14</v>
      </c>
      <c r="AY593" s="14" t="n">
        <v>0.018</v>
      </c>
      <c r="AZ593" s="14" t="n">
        <v>1.178</v>
      </c>
      <c r="BA593" s="14" t="n">
        <v>0.075</v>
      </c>
      <c r="BB593" s="14" t="n">
        <v>1</v>
      </c>
      <c r="BC593" s="14" t="n">
        <v>0.526</v>
      </c>
      <c r="BD593" s="14" t="n">
        <v>0.108</v>
      </c>
      <c r="BE593" s="14" t="n">
        <v>0.005</v>
      </c>
      <c r="BF593" s="14" t="n">
        <v>0.571</v>
      </c>
      <c r="BG593" s="14" t="n">
        <v>0.075</v>
      </c>
      <c r="BH593" s="14" t="n">
        <v>1</v>
      </c>
      <c r="BI593" s="14" t="n">
        <v>0.801</v>
      </c>
      <c r="BJ593" s="14" t="n">
        <v>0.156</v>
      </c>
      <c r="BK593" s="14" t="n">
        <v>0.008</v>
      </c>
      <c r="BL593" s="14" t="n">
        <v>0.87</v>
      </c>
      <c r="BM593" s="14" t="n">
        <v>0.075</v>
      </c>
      <c r="BN593" s="14" t="n">
        <v>1</v>
      </c>
      <c r="BO593" s="14" t="n">
        <v>0</v>
      </c>
      <c r="BP593" s="14" t="n">
        <v>-0.016</v>
      </c>
      <c r="BQ593" s="14" t="n">
        <v>0.127</v>
      </c>
      <c r="BR593" s="14" t="n">
        <v>0</v>
      </c>
      <c r="BS593" s="14" t="n">
        <v>0.833</v>
      </c>
      <c r="BT593" s="14" t="n">
        <v>0</v>
      </c>
      <c r="BU593" s="14" t="n">
        <v>-0.016</v>
      </c>
      <c r="BV593" s="14" t="n">
        <v>0.119</v>
      </c>
      <c r="BW593" s="14" t="n">
        <v>0</v>
      </c>
      <c r="BX593" s="14" t="n">
        <v>0.833</v>
      </c>
      <c r="BY593" s="14" t="n">
        <v>12.729</v>
      </c>
      <c r="BZ593" s="14" t="n">
        <v>0</v>
      </c>
      <c r="CA593" s="14" t="n">
        <v>12.729</v>
      </c>
      <c r="CB593" s="14" t="n">
        <v>0</v>
      </c>
      <c r="CC593" s="14" t="n">
        <v>97.90000000000001</v>
      </c>
      <c r="CD593" s="14" t="n">
        <v>7.95</v>
      </c>
      <c r="CE593" s="14" t="n">
        <v>170.073</v>
      </c>
      <c r="CF593" s="14" t="n">
        <v>288.071</v>
      </c>
      <c r="CG593" s="14" t="n">
        <v>0.075</v>
      </c>
      <c r="CH593" s="14" t="n">
        <v>1</v>
      </c>
      <c r="CI593" s="14" t="n">
        <v>0</v>
      </c>
      <c r="CJ593" s="14" t="n">
        <v>0</v>
      </c>
      <c r="CK593" s="14" t="n">
        <v>0</v>
      </c>
      <c r="CL593" s="14" t="n">
        <v>0</v>
      </c>
      <c r="CM593" s="14" t="n">
        <v>0</v>
      </c>
      <c r="CN593" s="14" t="n">
        <v>0</v>
      </c>
      <c r="CO593" s="14" t="n">
        <v>0</v>
      </c>
      <c r="CP593" s="14" t="n">
        <v>1</v>
      </c>
      <c r="CQ593" s="14" t="n">
        <v>1.294</v>
      </c>
      <c r="CR593" s="14" t="n">
        <v>0</v>
      </c>
      <c r="CS593" s="14" t="n">
        <v>4.944</v>
      </c>
      <c r="CT593" s="14" t="n">
        <v>10.485</v>
      </c>
      <c r="CU593" s="14" t="n">
        <v>29.559</v>
      </c>
    </row>
    <row r="594">
      <c r="A594" s="14" t="inlineStr">
        <is>
          <t>NGA2023</t>
        </is>
      </c>
      <c r="B594" s="14" t="inlineStr">
        <is>
          <t>NGA</t>
        </is>
      </c>
      <c r="C594" s="14" t="inlineStr">
        <is>
          <t>NGA</t>
        </is>
      </c>
      <c r="D594" s="14" t="inlineStr">
        <is>
          <t>Nigeria</t>
        </is>
      </c>
      <c r="E594" s="14" t="n">
        <v>2023</v>
      </c>
      <c r="F594" s="14" t="n">
        <v>0.075</v>
      </c>
      <c r="G594" s="14" t="n">
        <v>1.99</v>
      </c>
      <c r="H594" s="14" t="n">
        <v>0.643</v>
      </c>
      <c r="I594" s="14" t="n">
        <v>0</v>
      </c>
      <c r="J594" s="14" t="n">
        <v>1.99</v>
      </c>
      <c r="K594" s="14" t="n">
        <v>0</v>
      </c>
      <c r="L594" s="14" t="n">
        <v>1</v>
      </c>
      <c r="M594" s="14" t="n">
        <v>3.276</v>
      </c>
      <c r="N594" s="14" t="n">
        <v>1.928</v>
      </c>
      <c r="O594" s="14" t="n">
        <v>0</v>
      </c>
      <c r="P594" s="14" t="n">
        <v>3.276</v>
      </c>
      <c r="Q594" s="14" t="n">
        <v>0</v>
      </c>
      <c r="R594" s="14" t="n">
        <v>1</v>
      </c>
      <c r="S594" s="14" t="n">
        <v>5.205</v>
      </c>
      <c r="T594" s="14" t="n">
        <v>3.857</v>
      </c>
      <c r="U594" s="14" t="n">
        <v>0.043</v>
      </c>
      <c r="V594" s="14" t="n">
        <v>5.595</v>
      </c>
      <c r="W594" s="14" t="n">
        <v>0.075</v>
      </c>
      <c r="X594" s="14" t="n">
        <v>1</v>
      </c>
      <c r="Y594" s="14" t="n">
        <v>4.402</v>
      </c>
      <c r="Z594" s="14" t="n">
        <v>0.493</v>
      </c>
      <c r="AA594" s="14" t="n">
        <v>0</v>
      </c>
      <c r="AB594" s="14" t="n">
        <v>4.402</v>
      </c>
      <c r="AC594" s="14" t="n">
        <v>0</v>
      </c>
      <c r="AD594" s="14" t="n">
        <v>1</v>
      </c>
      <c r="AE594" s="14" t="n">
        <v>4.751</v>
      </c>
      <c r="AF594" s="14" t="n">
        <v>0.946</v>
      </c>
      <c r="AG594" s="14" t="n">
        <v>0</v>
      </c>
      <c r="AH594" s="14" t="n">
        <v>4.751</v>
      </c>
      <c r="AI594" s="14" t="n">
        <v>0</v>
      </c>
      <c r="AJ594" s="14" t="n">
        <v>1</v>
      </c>
      <c r="AK594" s="14" t="n">
        <v>12.061</v>
      </c>
      <c r="AL594" s="14" t="n">
        <v>5.975</v>
      </c>
      <c r="AM594" s="14" t="n">
        <v>0</v>
      </c>
      <c r="AN594" s="14" t="n">
        <v>12.965</v>
      </c>
      <c r="AO594" s="14" t="n">
        <v>0.075</v>
      </c>
      <c r="AP594" s="14" t="n">
        <v>1</v>
      </c>
      <c r="AQ594" s="14" t="n">
        <v>0.835</v>
      </c>
      <c r="AR594" s="14" t="n">
        <v>0.141</v>
      </c>
      <c r="AS594" s="14" t="n">
        <v>-0.183</v>
      </c>
      <c r="AT594" s="14" t="n">
        <v>0.702</v>
      </c>
      <c r="AU594" s="14" t="n">
        <v>0</v>
      </c>
      <c r="AV594" s="14" t="n">
        <v>0</v>
      </c>
      <c r="AW594" s="14" t="n">
        <v>0.864</v>
      </c>
      <c r="AX594" s="14" t="n">
        <v>0.148</v>
      </c>
      <c r="AY594" s="14" t="n">
        <v>0.014</v>
      </c>
      <c r="AZ594" s="14" t="n">
        <v>0.945</v>
      </c>
      <c r="BA594" s="14" t="n">
        <v>0.075</v>
      </c>
      <c r="BB594" s="14" t="n">
        <v>1</v>
      </c>
      <c r="BC594" s="14" t="n">
        <v>0.42</v>
      </c>
      <c r="BD594" s="14" t="n">
        <v>0.101</v>
      </c>
      <c r="BE594" s="14" t="n">
        <v>0.004</v>
      </c>
      <c r="BF594" s="14" t="n">
        <v>0.456</v>
      </c>
      <c r="BG594" s="14" t="n">
        <v>0.075</v>
      </c>
      <c r="BH594" s="14" t="n">
        <v>1</v>
      </c>
      <c r="BI594" s="14" t="n">
        <v>0.6830000000000001</v>
      </c>
      <c r="BJ594" s="14" t="n">
        <v>0.149</v>
      </c>
      <c r="BK594" s="14" t="n">
        <v>0.008</v>
      </c>
      <c r="BL594" s="14" t="n">
        <v>0.742</v>
      </c>
      <c r="BM594" s="14" t="n">
        <v>0.075</v>
      </c>
      <c r="BN594" s="14" t="n">
        <v>1</v>
      </c>
      <c r="BO594" s="14" t="n">
        <v>0</v>
      </c>
      <c r="BP594" s="14" t="n">
        <v>-0.016</v>
      </c>
      <c r="BQ594" s="14" t="n">
        <v>0.08400000000000001</v>
      </c>
      <c r="BR594" s="14" t="n">
        <v>0</v>
      </c>
      <c r="BS594" s="14" t="n">
        <v>0.833</v>
      </c>
      <c r="BT594" s="14" t="n">
        <v>0</v>
      </c>
      <c r="BU594" s="14" t="n">
        <v>-0.016</v>
      </c>
      <c r="BV594" s="14" t="n">
        <v>0.078</v>
      </c>
      <c r="BW594" s="14" t="n">
        <v>0</v>
      </c>
      <c r="BX594" s="14" t="n">
        <v>0.833</v>
      </c>
      <c r="BY594" s="14" t="n">
        <v>13.254</v>
      </c>
      <c r="BZ594" s="14" t="n">
        <v>0</v>
      </c>
      <c r="CA594" s="14" t="n">
        <v>13.254</v>
      </c>
      <c r="CB594" s="14" t="n">
        <v>0</v>
      </c>
      <c r="CC594" s="14" t="n">
        <v>83.248</v>
      </c>
      <c r="CD594" s="14" t="n">
        <v>7.95</v>
      </c>
      <c r="CE594" s="14" t="n">
        <v>200.582</v>
      </c>
      <c r="CF594" s="14" t="n">
        <v>305.117</v>
      </c>
      <c r="CG594" s="14" t="n">
        <v>0.075</v>
      </c>
      <c r="CH594" s="14" t="n">
        <v>1</v>
      </c>
      <c r="CI594" s="14" t="n">
        <v>0</v>
      </c>
      <c r="CJ594" s="14" t="n">
        <v>0</v>
      </c>
      <c r="CK594" s="14" t="n">
        <v>0</v>
      </c>
      <c r="CL594" s="14" t="n">
        <v>0</v>
      </c>
      <c r="CM594" s="14" t="n">
        <v>0</v>
      </c>
      <c r="CN594" s="14" t="n">
        <v>0</v>
      </c>
      <c r="CO594" s="14" t="n">
        <v>0</v>
      </c>
      <c r="CP594" s="14" t="n">
        <v>1</v>
      </c>
      <c r="CQ594" s="14" t="n">
        <v>1.348</v>
      </c>
      <c r="CR594" s="14" t="n">
        <v>0</v>
      </c>
      <c r="CS594" s="14" t="n">
        <v>5.148</v>
      </c>
      <c r="CT594" s="14" t="n">
        <v>4.861</v>
      </c>
      <c r="CU594" s="14" t="n">
        <v>10.761</v>
      </c>
    </row>
    <row r="595">
      <c r="A595" s="14" t="inlineStr">
        <is>
          <t>NGA2024</t>
        </is>
      </c>
      <c r="B595" s="14" t="inlineStr">
        <is>
          <t>NGA</t>
        </is>
      </c>
      <c r="C595" s="14" t="inlineStr">
        <is>
          <t>NGA</t>
        </is>
      </c>
      <c r="D595" s="14" t="inlineStr">
        <is>
          <t>Nigeria</t>
        </is>
      </c>
      <c r="E595" s="14" t="n">
        <v>2024</v>
      </c>
      <c r="F595" s="14" t="n">
        <v>0.075</v>
      </c>
      <c r="G595" s="14" t="n">
        <v>2.049</v>
      </c>
      <c r="H595" s="14" t="n">
        <v>0.662</v>
      </c>
      <c r="I595" s="14" t="n">
        <v>0</v>
      </c>
      <c r="J595" s="14" t="n">
        <v>2.049</v>
      </c>
      <c r="K595" s="14" t="n">
        <v>0</v>
      </c>
      <c r="L595" s="14" t="n">
        <v>1</v>
      </c>
      <c r="M595" s="14" t="n">
        <v>3.373</v>
      </c>
      <c r="N595" s="14" t="n">
        <v>1.985</v>
      </c>
      <c r="O595" s="14" t="n">
        <v>0</v>
      </c>
      <c r="P595" s="14" t="n">
        <v>3.373</v>
      </c>
      <c r="Q595" s="14" t="n">
        <v>0</v>
      </c>
      <c r="R595" s="14" t="n">
        <v>1</v>
      </c>
      <c r="S595" s="14" t="n">
        <v>5.358</v>
      </c>
      <c r="T595" s="14" t="n">
        <v>3.971</v>
      </c>
      <c r="U595" s="14" t="n">
        <v>0.055</v>
      </c>
      <c r="V595" s="14" t="n">
        <v>5.76</v>
      </c>
      <c r="W595" s="14" t="n">
        <v>0.075</v>
      </c>
      <c r="X595" s="14" t="n">
        <v>1</v>
      </c>
      <c r="Y595" s="14" t="n">
        <v>4.62</v>
      </c>
      <c r="Z595" s="14" t="n">
        <v>0.583</v>
      </c>
      <c r="AA595" s="14" t="n">
        <v>0</v>
      </c>
      <c r="AB595" s="14" t="n">
        <v>4.62</v>
      </c>
      <c r="AC595" s="14" t="n">
        <v>0</v>
      </c>
      <c r="AD595" s="14" t="n">
        <v>1</v>
      </c>
      <c r="AE595" s="14" t="n">
        <v>5.007</v>
      </c>
      <c r="AF595" s="14" t="n">
        <v>1.097</v>
      </c>
      <c r="AG595" s="14" t="n">
        <v>0</v>
      </c>
      <c r="AH595" s="14" t="n">
        <v>5.007</v>
      </c>
      <c r="AI595" s="14" t="n">
        <v>0</v>
      </c>
      <c r="AJ595" s="14" t="n">
        <v>1</v>
      </c>
      <c r="AK595" s="14" t="n">
        <v>13.449</v>
      </c>
      <c r="AL595" s="14" t="n">
        <v>6.84</v>
      </c>
      <c r="AM595" s="14" t="n">
        <v>0</v>
      </c>
      <c r="AN595" s="14" t="n">
        <v>13.449</v>
      </c>
      <c r="AO595" s="14" t="n">
        <v>0</v>
      </c>
      <c r="AP595" s="14" t="n">
        <v>1</v>
      </c>
      <c r="AQ595" s="14" t="n">
        <v>0.866</v>
      </c>
      <c r="AR595" s="14" t="n">
        <v>0.157</v>
      </c>
      <c r="AS595" s="14" t="n">
        <v>-0.274</v>
      </c>
      <c r="AT595" s="14" t="n">
        <v>0.592</v>
      </c>
      <c r="AU595" s="14" t="n">
        <v>0</v>
      </c>
      <c r="AV595" s="14" t="n">
        <v>0</v>
      </c>
      <c r="AW595" s="14" t="n">
        <v>0.877</v>
      </c>
      <c r="AX595" s="14" t="n">
        <v>0.161</v>
      </c>
      <c r="AY595" s="14" t="n">
        <v>0.013</v>
      </c>
      <c r="AZ595" s="14" t="n">
        <v>0.89</v>
      </c>
      <c r="BA595" s="14" t="n">
        <v>0</v>
      </c>
      <c r="BB595" s="14" t="n">
        <v>1</v>
      </c>
      <c r="BC595" s="14" t="n">
        <v>0.513</v>
      </c>
      <c r="BD595" s="14" t="n">
        <v>0.132</v>
      </c>
      <c r="BE595" s="14" t="n">
        <v>0.004</v>
      </c>
      <c r="BF595" s="14" t="n">
        <v>0.517</v>
      </c>
      <c r="BG595" s="14" t="n">
        <v>0</v>
      </c>
      <c r="BH595" s="14" t="n">
        <v>1</v>
      </c>
      <c r="BI595" s="14" t="n">
        <v>0.714</v>
      </c>
      <c r="BJ595" s="14" t="n">
        <v>0.157</v>
      </c>
      <c r="BK595" s="14" t="n">
        <v>0.008</v>
      </c>
      <c r="BL595" s="14" t="n">
        <v>0.722</v>
      </c>
      <c r="BM595" s="14" t="n">
        <v>0</v>
      </c>
      <c r="BN595" s="14" t="n">
        <v>1</v>
      </c>
      <c r="BO595" s="14" t="n">
        <v>0</v>
      </c>
      <c r="BP595" s="14" t="n">
        <v>-0.016</v>
      </c>
      <c r="BQ595" s="14" t="n">
        <v>0.126</v>
      </c>
      <c r="BR595" s="14" t="n">
        <v>0</v>
      </c>
      <c r="BS595" s="14" t="n">
        <v>0.833</v>
      </c>
      <c r="BT595" s="14" t="n">
        <v>0</v>
      </c>
      <c r="BU595" s="14" t="n">
        <v>-0.016</v>
      </c>
      <c r="BV595" s="14" t="n">
        <v>0.07000000000000001</v>
      </c>
      <c r="BW595" s="14" t="n">
        <v>0</v>
      </c>
      <c r="BX595" s="14" t="n">
        <v>0.833</v>
      </c>
      <c r="BY595" s="14" t="n">
        <v>13.646</v>
      </c>
      <c r="BZ595" s="14" t="n">
        <v>0</v>
      </c>
      <c r="CA595" s="14" t="n">
        <v>13.646</v>
      </c>
      <c r="CB595" s="14" t="n">
        <v>0</v>
      </c>
      <c r="CC595" s="14" t="n">
        <v>82.58799999999999</v>
      </c>
      <c r="CD595" s="14" t="n">
        <v>7.95</v>
      </c>
      <c r="CE595" s="14" t="n">
        <v>210.682</v>
      </c>
      <c r="CF595" s="14" t="n">
        <v>312.077</v>
      </c>
      <c r="CG595" s="14" t="n">
        <v>0.075</v>
      </c>
      <c r="CH595" s="14" t="n">
        <v>1</v>
      </c>
      <c r="CI595" s="14" t="n">
        <v>0</v>
      </c>
      <c r="CJ595" s="14" t="n">
        <v>0</v>
      </c>
      <c r="CK595" s="14" t="n">
        <v>0</v>
      </c>
      <c r="CL595" s="14" t="n">
        <v>0</v>
      </c>
      <c r="CM595" s="14" t="n">
        <v>0</v>
      </c>
      <c r="CN595" s="14" t="n">
        <v>0</v>
      </c>
      <c r="CO595" s="14" t="n">
        <v>0</v>
      </c>
      <c r="CP595" s="14" t="n">
        <v>1</v>
      </c>
      <c r="CQ595" s="14" t="n">
        <v>1.387</v>
      </c>
      <c r="CR595" s="14" t="n">
        <v>0</v>
      </c>
      <c r="CS595" s="14" t="n">
        <v>5.3</v>
      </c>
      <c r="CT595" s="14" t="n">
        <v>4.251</v>
      </c>
      <c r="CU595" s="14" t="n">
        <v>9.098000000000001</v>
      </c>
    </row>
    <row r="596">
      <c r="A596" s="14" t="inlineStr">
        <is>
          <t>MKD2021</t>
        </is>
      </c>
      <c r="B596" s="14" t="inlineStr">
        <is>
          <t>MKD</t>
        </is>
      </c>
      <c r="C596" s="14" t="inlineStr">
        <is>
          <t>MKD</t>
        </is>
      </c>
      <c r="D596" s="14" t="inlineStr">
        <is>
          <t>North Macedonia</t>
        </is>
      </c>
      <c r="E596" s="14" t="n">
        <v>2021</v>
      </c>
      <c r="F596" s="14" t="n">
        <v>0.18</v>
      </c>
      <c r="G596" s="14" t="n">
        <v>2.429</v>
      </c>
      <c r="H596" s="14" t="n">
        <v>0.671</v>
      </c>
      <c r="I596" s="14" t="n">
        <v>0</v>
      </c>
      <c r="J596" s="14" t="n">
        <v>2.429</v>
      </c>
      <c r="K596" s="14" t="n">
        <v>0</v>
      </c>
      <c r="L596" s="14" t="n">
        <v>1</v>
      </c>
      <c r="M596" s="14" t="n">
        <v>3.793</v>
      </c>
      <c r="N596" s="14" t="n">
        <v>2.014</v>
      </c>
      <c r="O596" s="14" t="n">
        <v>0</v>
      </c>
      <c r="P596" s="14" t="n">
        <v>3.793</v>
      </c>
      <c r="Q596" s="14" t="n">
        <v>0</v>
      </c>
      <c r="R596" s="14" t="n">
        <v>1</v>
      </c>
      <c r="S596" s="14" t="n">
        <v>5.785</v>
      </c>
      <c r="T596" s="14" t="n">
        <v>4.027</v>
      </c>
      <c r="U596" s="14" t="n">
        <v>0</v>
      </c>
      <c r="V596" s="14" t="n">
        <v>6.826</v>
      </c>
      <c r="W596" s="14" t="n">
        <v>0.18</v>
      </c>
      <c r="X596" s="14" t="n">
        <v>1</v>
      </c>
      <c r="Y596" s="14" t="n">
        <v>12.393</v>
      </c>
      <c r="Z596" s="14" t="n">
        <v>1.369</v>
      </c>
      <c r="AA596" s="14" t="n">
        <v>-3.434</v>
      </c>
      <c r="AB596" s="14" t="n">
        <v>8.959</v>
      </c>
      <c r="AC596" s="14" t="n">
        <v>0</v>
      </c>
      <c r="AD596" s="14" t="n">
        <v>1</v>
      </c>
      <c r="AE596" s="14" t="n">
        <v>12.35</v>
      </c>
      <c r="AF596" s="14" t="n">
        <v>2.43</v>
      </c>
      <c r="AG596" s="14" t="n">
        <v>-3.391</v>
      </c>
      <c r="AH596" s="14" t="n">
        <v>8.959</v>
      </c>
      <c r="AI596" s="14" t="n">
        <v>0</v>
      </c>
      <c r="AJ596" s="14" t="n">
        <v>1</v>
      </c>
      <c r="AK596" s="14" t="n">
        <v>18.855</v>
      </c>
      <c r="AL596" s="14" t="n">
        <v>9.254</v>
      </c>
      <c r="AM596" s="14" t="n">
        <v>-4.125</v>
      </c>
      <c r="AN596" s="14" t="n">
        <v>17.38</v>
      </c>
      <c r="AO596" s="14" t="n">
        <v>0.18</v>
      </c>
      <c r="AP596" s="14" t="n">
        <v>1</v>
      </c>
      <c r="AQ596" s="14" t="n">
        <v>0.619</v>
      </c>
      <c r="AR596" s="14" t="n">
        <v>0.114</v>
      </c>
      <c r="AS596" s="14" t="n">
        <v>0.511</v>
      </c>
      <c r="AT596" s="14" t="n">
        <v>1.333</v>
      </c>
      <c r="AU596" s="14" t="n">
        <v>0.18</v>
      </c>
      <c r="AV596" s="14" t="n">
        <v>1</v>
      </c>
      <c r="AW596" s="14" t="n">
        <v>0.599</v>
      </c>
      <c r="AX596" s="14" t="n">
        <v>0.114</v>
      </c>
      <c r="AY596" s="14" t="n">
        <v>0.385</v>
      </c>
      <c r="AZ596" s="14" t="n">
        <v>1.162</v>
      </c>
      <c r="BA596" s="14" t="n">
        <v>0.18</v>
      </c>
      <c r="BB596" s="14" t="n">
        <v>1</v>
      </c>
      <c r="BC596" s="14" t="n">
        <v>0.439</v>
      </c>
      <c r="BD596" s="14" t="n">
        <v>0.114</v>
      </c>
      <c r="BE596" s="14" t="n">
        <v>0.145</v>
      </c>
      <c r="BF596" s="14" t="n">
        <v>0.6889999999999999</v>
      </c>
      <c r="BG596" s="14" t="n">
        <v>0.18</v>
      </c>
      <c r="BH596" s="14" t="n">
        <v>1</v>
      </c>
      <c r="BI596" s="14" t="n">
        <v>0.505</v>
      </c>
      <c r="BJ596" s="14" t="n">
        <v>0.114</v>
      </c>
      <c r="BK596" s="14" t="n">
        <v>0</v>
      </c>
      <c r="BL596" s="14" t="n">
        <v>0.596</v>
      </c>
      <c r="BM596" s="14" t="n">
        <v>0.18</v>
      </c>
      <c r="BN596" s="14" t="n">
        <v>1</v>
      </c>
      <c r="BO596" s="14" t="n">
        <v>0</v>
      </c>
      <c r="BP596" s="14" t="n">
        <v>0</v>
      </c>
      <c r="BQ596" s="14" t="n">
        <v>0.099</v>
      </c>
      <c r="BR596" s="14" t="n">
        <v>0</v>
      </c>
      <c r="BS596" s="14" t="n">
        <v>1</v>
      </c>
      <c r="BT596" s="14" t="n">
        <v>0</v>
      </c>
      <c r="BU596" s="14" t="n">
        <v>0</v>
      </c>
      <c r="BV596" s="14" t="n">
        <v>0.099</v>
      </c>
      <c r="BW596" s="14" t="n">
        <v>0.18</v>
      </c>
      <c r="BX596" s="14" t="n">
        <v>0.833</v>
      </c>
      <c r="BY596" s="14" t="n">
        <v>11.787</v>
      </c>
      <c r="BZ596" s="14" t="n">
        <v>0</v>
      </c>
      <c r="CA596" s="14" t="n">
        <v>11.787</v>
      </c>
      <c r="CB596" s="14" t="n">
        <v>0</v>
      </c>
      <c r="CC596" s="14" t="n">
        <v>78.125</v>
      </c>
      <c r="CD596" s="14" t="n">
        <v>7.95</v>
      </c>
      <c r="CE596" s="14" t="n">
        <v>71.649</v>
      </c>
      <c r="CF596" s="14" t="n">
        <v>176.733</v>
      </c>
      <c r="CG596" s="14" t="n">
        <v>0.18</v>
      </c>
      <c r="CH596" s="14" t="n">
        <v>1</v>
      </c>
      <c r="CI596" s="14" t="n">
        <v>0</v>
      </c>
      <c r="CJ596" s="14" t="n">
        <v>0</v>
      </c>
      <c r="CK596" s="14" t="n">
        <v>0</v>
      </c>
      <c r="CL596" s="14" t="n">
        <v>0</v>
      </c>
      <c r="CM596" s="14" t="n">
        <v>0</v>
      </c>
      <c r="CN596" s="14" t="n">
        <v>0</v>
      </c>
      <c r="CO596" s="14" t="n">
        <v>0</v>
      </c>
      <c r="CP596" s="14" t="n">
        <v>0.826</v>
      </c>
      <c r="CQ596" s="14" t="n">
        <v>1.198</v>
      </c>
      <c r="CR596" s="14" t="n">
        <v>0</v>
      </c>
      <c r="CS596" s="14" t="n">
        <v>4.776</v>
      </c>
      <c r="CT596" s="14" t="n">
        <v>4.41</v>
      </c>
      <c r="CU596" s="14" t="n">
        <v>7.753</v>
      </c>
    </row>
    <row r="597">
      <c r="A597" s="14" t="inlineStr">
        <is>
          <t>MKD2022</t>
        </is>
      </c>
      <c r="B597" s="14" t="inlineStr">
        <is>
          <t>MKD</t>
        </is>
      </c>
      <c r="C597" s="14" t="inlineStr">
        <is>
          <t>MKD</t>
        </is>
      </c>
      <c r="D597" s="14" t="inlineStr">
        <is>
          <t>North Macedonia</t>
        </is>
      </c>
      <c r="E597" s="14" t="n">
        <v>2022</v>
      </c>
      <c r="F597" s="14" t="n">
        <v>0.18</v>
      </c>
      <c r="G597" s="14" t="n">
        <v>2.758</v>
      </c>
      <c r="H597" s="14" t="n">
        <v>0.719</v>
      </c>
      <c r="I597" s="14" t="n">
        <v>0</v>
      </c>
      <c r="J597" s="14" t="n">
        <v>2.758</v>
      </c>
      <c r="K597" s="14" t="n">
        <v>0</v>
      </c>
      <c r="L597" s="14" t="n">
        <v>1</v>
      </c>
      <c r="M597" s="14" t="n">
        <v>4.234</v>
      </c>
      <c r="N597" s="14" t="n">
        <v>2.156</v>
      </c>
      <c r="O597" s="14" t="n">
        <v>0</v>
      </c>
      <c r="P597" s="14" t="n">
        <v>4.234</v>
      </c>
      <c r="Q597" s="14" t="n">
        <v>0</v>
      </c>
      <c r="R597" s="14" t="n">
        <v>1</v>
      </c>
      <c r="S597" s="14" t="n">
        <v>6.351</v>
      </c>
      <c r="T597" s="14" t="n">
        <v>4.311</v>
      </c>
      <c r="U597" s="14" t="n">
        <v>0.08500000000000001</v>
      </c>
      <c r="V597" s="14" t="n">
        <v>7.495</v>
      </c>
      <c r="W597" s="14" t="n">
        <v>0.18</v>
      </c>
      <c r="X597" s="14" t="n">
        <v>1</v>
      </c>
      <c r="Y597" s="14" t="n">
        <v>34.673</v>
      </c>
      <c r="Z597" s="14" t="n">
        <v>3.637</v>
      </c>
      <c r="AA597" s="14" t="n">
        <v>-2.016</v>
      </c>
      <c r="AB597" s="14" t="n">
        <v>32.656</v>
      </c>
      <c r="AC597" s="14" t="n">
        <v>0</v>
      </c>
      <c r="AD597" s="14" t="n">
        <v>1</v>
      </c>
      <c r="AE597" s="14" t="n">
        <v>34.721</v>
      </c>
      <c r="AF597" s="14" t="n">
        <v>6.437</v>
      </c>
      <c r="AG597" s="14" t="n">
        <v>-2.064</v>
      </c>
      <c r="AH597" s="14" t="n">
        <v>32.656</v>
      </c>
      <c r="AI597" s="14" t="n">
        <v>0</v>
      </c>
      <c r="AJ597" s="14" t="n">
        <v>1</v>
      </c>
      <c r="AK597" s="14" t="n">
        <v>41.774</v>
      </c>
      <c r="AL597" s="14" t="n">
        <v>19.949</v>
      </c>
      <c r="AM597" s="14" t="n">
        <v>-9.423</v>
      </c>
      <c r="AN597" s="14" t="n">
        <v>38.174</v>
      </c>
      <c r="AO597" s="14" t="n">
        <v>0.18</v>
      </c>
      <c r="AP597" s="14" t="n">
        <v>1</v>
      </c>
      <c r="AQ597" s="14" t="n">
        <v>0.861</v>
      </c>
      <c r="AR597" s="14" t="n">
        <v>0.123</v>
      </c>
      <c r="AS597" s="14" t="n">
        <v>0.414</v>
      </c>
      <c r="AT597" s="14" t="n">
        <v>1.505</v>
      </c>
      <c r="AU597" s="14" t="n">
        <v>0.18</v>
      </c>
      <c r="AV597" s="14" t="n">
        <v>1</v>
      </c>
      <c r="AW597" s="14" t="n">
        <v>0.986</v>
      </c>
      <c r="AX597" s="14" t="n">
        <v>0.123</v>
      </c>
      <c r="AY597" s="14" t="n">
        <v>0.295</v>
      </c>
      <c r="AZ597" s="14" t="n">
        <v>1.512</v>
      </c>
      <c r="BA597" s="14" t="n">
        <v>0.18</v>
      </c>
      <c r="BB597" s="14" t="n">
        <v>1</v>
      </c>
      <c r="BC597" s="14" t="n">
        <v>0.598</v>
      </c>
      <c r="BD597" s="14" t="n">
        <v>0.123</v>
      </c>
      <c r="BE597" s="14" t="n">
        <v>0.114</v>
      </c>
      <c r="BF597" s="14" t="n">
        <v>0.84</v>
      </c>
      <c r="BG597" s="14" t="n">
        <v>0.18</v>
      </c>
      <c r="BH597" s="14" t="n">
        <v>1</v>
      </c>
      <c r="BI597" s="14" t="n">
        <v>0.612</v>
      </c>
      <c r="BJ597" s="14" t="n">
        <v>0.123</v>
      </c>
      <c r="BK597" s="14" t="n">
        <v>0.008</v>
      </c>
      <c r="BL597" s="14" t="n">
        <v>0.723</v>
      </c>
      <c r="BM597" s="14" t="n">
        <v>0.18</v>
      </c>
      <c r="BN597" s="14" t="n">
        <v>1</v>
      </c>
      <c r="BO597" s="14" t="n">
        <v>0</v>
      </c>
      <c r="BP597" s="14" t="n">
        <v>0</v>
      </c>
      <c r="BQ597" s="14" t="n">
        <v>0.27</v>
      </c>
      <c r="BR597" s="14" t="n">
        <v>0</v>
      </c>
      <c r="BS597" s="14" t="n">
        <v>1</v>
      </c>
      <c r="BT597" s="14" t="n">
        <v>0</v>
      </c>
      <c r="BU597" s="14" t="n">
        <v>0</v>
      </c>
      <c r="BV597" s="14" t="n">
        <v>0.104</v>
      </c>
      <c r="BW597" s="14" t="n">
        <v>0.18</v>
      </c>
      <c r="BX597" s="14" t="n">
        <v>0.833</v>
      </c>
      <c r="BY597" s="14" t="n">
        <v>12.729</v>
      </c>
      <c r="BZ597" s="14" t="n">
        <v>0</v>
      </c>
      <c r="CA597" s="14" t="n">
        <v>12.729</v>
      </c>
      <c r="CB597" s="14" t="n">
        <v>0</v>
      </c>
      <c r="CC597" s="14" t="n">
        <v>97.90000000000001</v>
      </c>
      <c r="CD597" s="14" t="n">
        <v>7.95</v>
      </c>
      <c r="CE597" s="14" t="n">
        <v>99.20699999999999</v>
      </c>
      <c r="CF597" s="14" t="n">
        <v>232.586</v>
      </c>
      <c r="CG597" s="14" t="n">
        <v>0.18</v>
      </c>
      <c r="CH597" s="14" t="n">
        <v>1</v>
      </c>
      <c r="CI597" s="14" t="n">
        <v>0</v>
      </c>
      <c r="CJ597" s="14" t="n">
        <v>0</v>
      </c>
      <c r="CK597" s="14" t="n">
        <v>0</v>
      </c>
      <c r="CL597" s="14" t="n">
        <v>0</v>
      </c>
      <c r="CM597" s="14" t="n">
        <v>0</v>
      </c>
      <c r="CN597" s="14" t="n">
        <v>0</v>
      </c>
      <c r="CO597" s="14" t="n">
        <v>0</v>
      </c>
      <c r="CP597" s="14" t="n">
        <v>0.836</v>
      </c>
      <c r="CQ597" s="14" t="n">
        <v>1.294</v>
      </c>
      <c r="CR597" s="14" t="n">
        <v>0</v>
      </c>
      <c r="CS597" s="14" t="n">
        <v>5.158</v>
      </c>
      <c r="CT597" s="14" t="n">
        <v>5.842</v>
      </c>
      <c r="CU597" s="14" t="n">
        <v>29.941</v>
      </c>
    </row>
    <row r="598">
      <c r="A598" s="14" t="inlineStr">
        <is>
          <t>MKD2023</t>
        </is>
      </c>
      <c r="B598" s="14" t="inlineStr">
        <is>
          <t>MKD</t>
        </is>
      </c>
      <c r="C598" s="14" t="inlineStr">
        <is>
          <t>MKD</t>
        </is>
      </c>
      <c r="D598" s="14" t="inlineStr">
        <is>
          <t>North Macedonia</t>
        </is>
      </c>
      <c r="E598" s="14" t="n">
        <v>2023</v>
      </c>
      <c r="F598" s="14" t="n">
        <v>0.18</v>
      </c>
      <c r="G598" s="14" t="n">
        <v>2.76</v>
      </c>
      <c r="H598" s="14" t="n">
        <v>0.822</v>
      </c>
      <c r="I598" s="14" t="n">
        <v>0</v>
      </c>
      <c r="J598" s="14" t="n">
        <v>2.76</v>
      </c>
      <c r="K598" s="14" t="n">
        <v>0</v>
      </c>
      <c r="L598" s="14" t="n">
        <v>1</v>
      </c>
      <c r="M598" s="14" t="n">
        <v>4.561</v>
      </c>
      <c r="N598" s="14" t="n">
        <v>2.466</v>
      </c>
      <c r="O598" s="14" t="n">
        <v>0</v>
      </c>
      <c r="P598" s="14" t="n">
        <v>4.561</v>
      </c>
      <c r="Q598" s="14" t="n">
        <v>0</v>
      </c>
      <c r="R598" s="14" t="n">
        <v>1</v>
      </c>
      <c r="S598" s="14" t="n">
        <v>6.87</v>
      </c>
      <c r="T598" s="14" t="n">
        <v>4.932</v>
      </c>
      <c r="U598" s="14" t="n">
        <v>0.137</v>
      </c>
      <c r="V598" s="14" t="n">
        <v>8.106999999999999</v>
      </c>
      <c r="W598" s="14" t="n">
        <v>0.18</v>
      </c>
      <c r="X598" s="14" t="n">
        <v>1</v>
      </c>
      <c r="Y598" s="14" t="n">
        <v>15.063</v>
      </c>
      <c r="Z598" s="14" t="n">
        <v>1.687</v>
      </c>
      <c r="AA598" s="14" t="n">
        <v>3.549</v>
      </c>
      <c r="AB598" s="14" t="n">
        <v>18.613</v>
      </c>
      <c r="AC598" s="14" t="n">
        <v>0</v>
      </c>
      <c r="AD598" s="14" t="n">
        <v>1</v>
      </c>
      <c r="AE598" s="14" t="n">
        <v>15.162</v>
      </c>
      <c r="AF598" s="14" t="n">
        <v>3.02</v>
      </c>
      <c r="AG598" s="14" t="n">
        <v>3.45</v>
      </c>
      <c r="AH598" s="14" t="n">
        <v>18.613</v>
      </c>
      <c r="AI598" s="14" t="n">
        <v>0</v>
      </c>
      <c r="AJ598" s="14" t="n">
        <v>1</v>
      </c>
      <c r="AK598" s="14" t="n">
        <v>22.521</v>
      </c>
      <c r="AL598" s="14" t="n">
        <v>11.156</v>
      </c>
      <c r="AM598" s="14" t="n">
        <v>2.295</v>
      </c>
      <c r="AN598" s="14" t="n">
        <v>29.283</v>
      </c>
      <c r="AO598" s="14" t="n">
        <v>0.18</v>
      </c>
      <c r="AP598" s="14" t="n">
        <v>1</v>
      </c>
      <c r="AQ598" s="14" t="n">
        <v>0.76</v>
      </c>
      <c r="AR598" s="14" t="n">
        <v>0.129</v>
      </c>
      <c r="AS598" s="14" t="n">
        <v>0.458</v>
      </c>
      <c r="AT598" s="14" t="n">
        <v>1.438</v>
      </c>
      <c r="AU598" s="14" t="n">
        <v>0.18</v>
      </c>
      <c r="AV598" s="14" t="n">
        <v>1</v>
      </c>
      <c r="AW598" s="14" t="n">
        <v>0.8110000000000001</v>
      </c>
      <c r="AX598" s="14" t="n">
        <v>0.129</v>
      </c>
      <c r="AY598" s="14" t="n">
        <v>0.328</v>
      </c>
      <c r="AZ598" s="14" t="n">
        <v>1.345</v>
      </c>
      <c r="BA598" s="14" t="n">
        <v>0.18</v>
      </c>
      <c r="BB598" s="14" t="n">
        <v>1</v>
      </c>
      <c r="BC598" s="14" t="n">
        <v>0.535</v>
      </c>
      <c r="BD598" s="14" t="n">
        <v>0.129</v>
      </c>
      <c r="BE598" s="14" t="n">
        <v>0.139</v>
      </c>
      <c r="BF598" s="14" t="n">
        <v>0.795</v>
      </c>
      <c r="BG598" s="14" t="n">
        <v>0.18</v>
      </c>
      <c r="BH598" s="14" t="n">
        <v>1</v>
      </c>
      <c r="BI598" s="14" t="n">
        <v>0.579</v>
      </c>
      <c r="BJ598" s="14" t="n">
        <v>0.129</v>
      </c>
      <c r="BK598" s="14" t="n">
        <v>0.012</v>
      </c>
      <c r="BL598" s="14" t="n">
        <v>0.6840000000000001</v>
      </c>
      <c r="BM598" s="14" t="n">
        <v>0.18</v>
      </c>
      <c r="BN598" s="14" t="n">
        <v>1</v>
      </c>
      <c r="BO598" s="14" t="n">
        <v>0</v>
      </c>
      <c r="BP598" s="14" t="n">
        <v>0</v>
      </c>
      <c r="BQ598" s="14" t="n">
        <v>0.144</v>
      </c>
      <c r="BR598" s="14" t="n">
        <v>0</v>
      </c>
      <c r="BS598" s="14" t="n">
        <v>1</v>
      </c>
      <c r="BT598" s="14" t="n">
        <v>0</v>
      </c>
      <c r="BU598" s="14" t="n">
        <v>0</v>
      </c>
      <c r="BV598" s="14" t="n">
        <v>0.12</v>
      </c>
      <c r="BW598" s="14" t="n">
        <v>0.18</v>
      </c>
      <c r="BX598" s="14" t="n">
        <v>0.833</v>
      </c>
      <c r="BY598" s="14" t="n">
        <v>13.254</v>
      </c>
      <c r="BZ598" s="14" t="n">
        <v>0</v>
      </c>
      <c r="CA598" s="14" t="n">
        <v>13.254</v>
      </c>
      <c r="CB598" s="14" t="n">
        <v>0</v>
      </c>
      <c r="CC598" s="14" t="n">
        <v>83.248</v>
      </c>
      <c r="CD598" s="14" t="n">
        <v>7.95</v>
      </c>
      <c r="CE598" s="14" t="n">
        <v>95.69199999999999</v>
      </c>
      <c r="CF598" s="14" t="n">
        <v>211.15</v>
      </c>
      <c r="CG598" s="14" t="n">
        <v>0.18</v>
      </c>
      <c r="CH598" s="14" t="n">
        <v>1</v>
      </c>
      <c r="CI598" s="14" t="n">
        <v>0</v>
      </c>
      <c r="CJ598" s="14" t="n">
        <v>0</v>
      </c>
      <c r="CK598" s="14" t="n">
        <v>0</v>
      </c>
      <c r="CL598" s="14" t="n">
        <v>0</v>
      </c>
      <c r="CM598" s="14" t="n">
        <v>0</v>
      </c>
      <c r="CN598" s="14" t="n">
        <v>0</v>
      </c>
      <c r="CO598" s="14" t="n">
        <v>0</v>
      </c>
      <c r="CP598" s="14" t="n">
        <v>0.721</v>
      </c>
      <c r="CQ598" s="14" t="n">
        <v>1.348</v>
      </c>
      <c r="CR598" s="14" t="n">
        <v>0</v>
      </c>
      <c r="CS598" s="14" t="n">
        <v>5.37</v>
      </c>
      <c r="CT598" s="14" t="n">
        <v>3.466</v>
      </c>
      <c r="CU598" s="14" t="n">
        <v>10.281</v>
      </c>
    </row>
    <row r="599">
      <c r="A599" s="14" t="inlineStr">
        <is>
          <t>MKD2024</t>
        </is>
      </c>
      <c r="B599" s="14" t="inlineStr">
        <is>
          <t>MKD</t>
        </is>
      </c>
      <c r="C599" s="14" t="inlineStr">
        <is>
          <t>MKD</t>
        </is>
      </c>
      <c r="D599" s="14" t="inlineStr">
        <is>
          <t>North Macedonia</t>
        </is>
      </c>
      <c r="E599" s="14" t="n">
        <v>2024</v>
      </c>
      <c r="F599" s="14" t="n">
        <v>0.18</v>
      </c>
      <c r="G599" s="14" t="n">
        <v>2.691</v>
      </c>
      <c r="H599" s="14" t="n">
        <v>0.846</v>
      </c>
      <c r="I599" s="14" t="n">
        <v>0</v>
      </c>
      <c r="J599" s="14" t="n">
        <v>2.691</v>
      </c>
      <c r="K599" s="14" t="n">
        <v>0</v>
      </c>
      <c r="L599" s="14" t="n">
        <v>1</v>
      </c>
      <c r="M599" s="14" t="n">
        <v>4.418</v>
      </c>
      <c r="N599" s="14" t="n">
        <v>2.539</v>
      </c>
      <c r="O599" s="14" t="n">
        <v>0</v>
      </c>
      <c r="P599" s="14" t="n">
        <v>4.418</v>
      </c>
      <c r="Q599" s="14" t="n">
        <v>0</v>
      </c>
      <c r="R599" s="14" t="n">
        <v>1</v>
      </c>
      <c r="S599" s="14" t="n">
        <v>6.922</v>
      </c>
      <c r="T599" s="14" t="n">
        <v>5.078</v>
      </c>
      <c r="U599" s="14" t="n">
        <v>0.17</v>
      </c>
      <c r="V599" s="14" t="n">
        <v>8.167999999999999</v>
      </c>
      <c r="W599" s="14" t="n">
        <v>0.18</v>
      </c>
      <c r="X599" s="14" t="n">
        <v>1</v>
      </c>
      <c r="Y599" s="14" t="n">
        <v>14.265</v>
      </c>
      <c r="Z599" s="14" t="n">
        <v>1.801</v>
      </c>
      <c r="AA599" s="14" t="n">
        <v>0.174</v>
      </c>
      <c r="AB599" s="14" t="n">
        <v>14.439</v>
      </c>
      <c r="AC599" s="14" t="n">
        <v>0</v>
      </c>
      <c r="AD599" s="14" t="n">
        <v>1</v>
      </c>
      <c r="AE599" s="14" t="n">
        <v>14.265</v>
      </c>
      <c r="AF599" s="14" t="n">
        <v>3.125</v>
      </c>
      <c r="AG599" s="14" t="n">
        <v>0.174</v>
      </c>
      <c r="AH599" s="14" t="n">
        <v>14.439</v>
      </c>
      <c r="AI599" s="14" t="n">
        <v>0</v>
      </c>
      <c r="AJ599" s="14" t="n">
        <v>1</v>
      </c>
      <c r="AK599" s="14" t="n">
        <v>25.345</v>
      </c>
      <c r="AL599" s="14" t="n">
        <v>12.891</v>
      </c>
      <c r="AM599" s="14" t="n">
        <v>0.174</v>
      </c>
      <c r="AN599" s="14" t="n">
        <v>30.112</v>
      </c>
      <c r="AO599" s="14" t="n">
        <v>0.18</v>
      </c>
      <c r="AP599" s="14" t="n">
        <v>1</v>
      </c>
      <c r="AQ599" s="14" t="n">
        <v>0.724</v>
      </c>
      <c r="AR599" s="14" t="n">
        <v>0.132</v>
      </c>
      <c r="AS599" s="14" t="n">
        <v>0.468</v>
      </c>
      <c r="AT599" s="14" t="n">
        <v>1.406</v>
      </c>
      <c r="AU599" s="14" t="n">
        <v>0.18</v>
      </c>
      <c r="AV599" s="14" t="n">
        <v>1</v>
      </c>
      <c r="AW599" s="14" t="n">
        <v>0.75</v>
      </c>
      <c r="AX599" s="14" t="n">
        <v>0.132</v>
      </c>
      <c r="AY599" s="14" t="n">
        <v>0.34</v>
      </c>
      <c r="AZ599" s="14" t="n">
        <v>1.287</v>
      </c>
      <c r="BA599" s="14" t="n">
        <v>0.18</v>
      </c>
      <c r="BB599" s="14" t="n">
        <v>1</v>
      </c>
      <c r="BC599" s="14" t="n">
        <v>0.513</v>
      </c>
      <c r="BD599" s="14" t="n">
        <v>0.132</v>
      </c>
      <c r="BE599" s="14" t="n">
        <v>0.141</v>
      </c>
      <c r="BF599" s="14" t="n">
        <v>0.771</v>
      </c>
      <c r="BG599" s="14" t="n">
        <v>0.18</v>
      </c>
      <c r="BH599" s="14" t="n">
        <v>1</v>
      </c>
      <c r="BI599" s="14" t="n">
        <v>0.591</v>
      </c>
      <c r="BJ599" s="14" t="n">
        <v>0.132</v>
      </c>
      <c r="BK599" s="14" t="n">
        <v>0.014</v>
      </c>
      <c r="BL599" s="14" t="n">
        <v>0.698</v>
      </c>
      <c r="BM599" s="14" t="n">
        <v>0.18</v>
      </c>
      <c r="BN599" s="14" t="n">
        <v>1</v>
      </c>
      <c r="BO599" s="14" t="n">
        <v>0</v>
      </c>
      <c r="BP599" s="14" t="n">
        <v>0</v>
      </c>
      <c r="BQ599" s="14" t="n">
        <v>0.089</v>
      </c>
      <c r="BR599" s="14" t="n">
        <v>0</v>
      </c>
      <c r="BS599" s="14" t="n">
        <v>1</v>
      </c>
      <c r="BT599" s="14" t="n">
        <v>0</v>
      </c>
      <c r="BU599" s="14" t="n">
        <v>0</v>
      </c>
      <c r="BV599" s="14" t="n">
        <v>0.118</v>
      </c>
      <c r="BW599" s="14" t="n">
        <v>0.18</v>
      </c>
      <c r="BX599" s="14" t="n">
        <v>0.833</v>
      </c>
      <c r="BY599" s="14" t="n">
        <v>13.646</v>
      </c>
      <c r="BZ599" s="14" t="n">
        <v>0</v>
      </c>
      <c r="CA599" s="14" t="n">
        <v>13.646</v>
      </c>
      <c r="CB599" s="14" t="n">
        <v>0</v>
      </c>
      <c r="CC599" s="14" t="n">
        <v>82.58799999999999</v>
      </c>
      <c r="CD599" s="14" t="n">
        <v>7.95</v>
      </c>
      <c r="CE599" s="14" t="n">
        <v>88.624</v>
      </c>
      <c r="CF599" s="14" t="n">
        <v>202.03</v>
      </c>
      <c r="CG599" s="14" t="n">
        <v>0.18</v>
      </c>
      <c r="CH599" s="14" t="n">
        <v>1</v>
      </c>
      <c r="CI599" s="14" t="n">
        <v>0</v>
      </c>
      <c r="CJ599" s="14" t="n">
        <v>0</v>
      </c>
      <c r="CK599" s="14" t="n">
        <v>0</v>
      </c>
      <c r="CL599" s="14" t="n">
        <v>0</v>
      </c>
      <c r="CM599" s="14" t="n">
        <v>0</v>
      </c>
      <c r="CN599" s="14" t="n">
        <v>0</v>
      </c>
      <c r="CO599" s="14" t="n">
        <v>0</v>
      </c>
      <c r="CP599" s="14" t="n">
        <v>0.721</v>
      </c>
      <c r="CQ599" s="14" t="n">
        <v>1.387</v>
      </c>
      <c r="CR599" s="14" t="n">
        <v>0</v>
      </c>
      <c r="CS599" s="14" t="n">
        <v>5.529</v>
      </c>
      <c r="CT599" s="14" t="n">
        <v>3.027</v>
      </c>
      <c r="CU599" s="14" t="n">
        <v>8.691000000000001</v>
      </c>
    </row>
    <row r="600">
      <c r="A600" s="14" t="inlineStr">
        <is>
          <t>MNP2021</t>
        </is>
      </c>
      <c r="B600" s="14" t="inlineStr">
        <is>
          <t>MNP</t>
        </is>
      </c>
      <c r="C600" s="14" t="inlineStr">
        <is>
          <t>MNP</t>
        </is>
      </c>
      <c r="D600" s="14" t="inlineStr">
        <is>
          <t>Northern Mariana Islands</t>
        </is>
      </c>
      <c r="E600" s="14" t="n">
        <v>2021</v>
      </c>
      <c r="F600" s="14" t="n">
        <v>0.05</v>
      </c>
      <c r="G600" s="14" t="n">
        <v>4.747</v>
      </c>
      <c r="H600" s="14" t="n">
        <v>1.143</v>
      </c>
      <c r="I600" s="14" t="n">
        <v>0</v>
      </c>
      <c r="J600" s="14" t="n">
        <v>4.747</v>
      </c>
      <c r="K600" s="14" t="n">
        <v>0</v>
      </c>
      <c r="L600" s="14" t="n">
        <v>1</v>
      </c>
      <c r="M600" s="14" t="n">
        <v>7.964</v>
      </c>
      <c r="N600" s="14" t="n">
        <v>3.43</v>
      </c>
      <c r="O600" s="14" t="n">
        <v>0</v>
      </c>
      <c r="P600" s="14" t="n">
        <v>7.964</v>
      </c>
      <c r="Q600" s="14" t="n">
        <v>0</v>
      </c>
      <c r="R600" s="14" t="n">
        <v>1</v>
      </c>
      <c r="S600" s="14" t="n">
        <v>10.464</v>
      </c>
      <c r="T600" s="14" t="n">
        <v>6.86</v>
      </c>
      <c r="U600" s="14" t="n">
        <v>0</v>
      </c>
      <c r="V600" s="14" t="n">
        <v>10.987</v>
      </c>
      <c r="W600" s="14" t="n">
        <v>0.05</v>
      </c>
      <c r="X600" s="14" t="n">
        <v>1</v>
      </c>
      <c r="Y600" s="14" t="n">
        <v>10.551</v>
      </c>
      <c r="Z600" s="14" t="n">
        <v>1.302</v>
      </c>
      <c r="AA600" s="14" t="n">
        <v>0</v>
      </c>
      <c r="AB600" s="14" t="n">
        <v>10.551</v>
      </c>
      <c r="AC600" s="14" t="n">
        <v>0</v>
      </c>
      <c r="AD600" s="14" t="n">
        <v>1</v>
      </c>
      <c r="AE600" s="14" t="n">
        <v>11.694</v>
      </c>
      <c r="AF600" s="14" t="n">
        <v>2.549</v>
      </c>
      <c r="AG600" s="14" t="n">
        <v>0</v>
      </c>
      <c r="AH600" s="14" t="n">
        <v>11.694</v>
      </c>
      <c r="AI600" s="14" t="n">
        <v>0</v>
      </c>
      <c r="AJ600" s="14" t="n">
        <v>1</v>
      </c>
      <c r="AK600" s="14" t="n">
        <v>18.554</v>
      </c>
      <c r="AL600" s="14" t="n">
        <v>9.627000000000001</v>
      </c>
      <c r="AM600" s="14" t="n">
        <v>0</v>
      </c>
      <c r="AN600" s="14" t="n">
        <v>19.482</v>
      </c>
      <c r="AO600" s="14" t="n">
        <v>0.05</v>
      </c>
      <c r="AP600" s="14" t="n">
        <v>1</v>
      </c>
      <c r="AQ600" s="14" t="n">
        <v>0.621</v>
      </c>
      <c r="AR600" s="14" t="n">
        <v>0.114</v>
      </c>
      <c r="AS600" s="14" t="n">
        <v>0</v>
      </c>
      <c r="AT600" s="14" t="n">
        <v>0.652</v>
      </c>
      <c r="AU600" s="14" t="n">
        <v>0.05</v>
      </c>
      <c r="AV600" s="14" t="n">
        <v>1</v>
      </c>
      <c r="AW600" s="14" t="n">
        <v>0.593</v>
      </c>
      <c r="AX600" s="14" t="n">
        <v>0.114</v>
      </c>
      <c r="AY600" s="14" t="n">
        <v>0</v>
      </c>
      <c r="AZ600" s="14" t="n">
        <v>0.623</v>
      </c>
      <c r="BA600" s="14" t="n">
        <v>0.05</v>
      </c>
      <c r="BB600" s="14" t="n">
        <v>1</v>
      </c>
      <c r="BC600" s="14" t="n">
        <v>0.44</v>
      </c>
      <c r="BD600" s="14" t="n">
        <v>0.114</v>
      </c>
      <c r="BE600" s="14" t="n">
        <v>0</v>
      </c>
      <c r="BF600" s="14" t="n">
        <v>0.462</v>
      </c>
      <c r="BG600" s="14" t="n">
        <v>0.05</v>
      </c>
      <c r="BH600" s="14" t="n">
        <v>1</v>
      </c>
      <c r="BI600" s="14" t="n">
        <v>0.5600000000000001</v>
      </c>
      <c r="BJ600" s="14" t="n">
        <v>0.114</v>
      </c>
      <c r="BK600" s="14" t="n">
        <v>0</v>
      </c>
      <c r="BL600" s="14" t="n">
        <v>0.588</v>
      </c>
      <c r="BM600" s="14" t="n">
        <v>0.05</v>
      </c>
      <c r="BN600" s="14" t="n">
        <v>1</v>
      </c>
      <c r="BO600" s="14" t="n">
        <v>0</v>
      </c>
      <c r="BP600" s="14" t="n">
        <v>0</v>
      </c>
      <c r="BQ600" s="14" t="n">
        <v>0</v>
      </c>
      <c r="BR600" s="14" t="n">
        <v>0</v>
      </c>
      <c r="BS600" s="14" t="n">
        <v>1</v>
      </c>
      <c r="BT600" s="14" t="n">
        <v>0</v>
      </c>
      <c r="BU600" s="14" t="n">
        <v>0</v>
      </c>
      <c r="BV600" s="14" t="n">
        <v>0</v>
      </c>
      <c r="BW600" s="14" t="n">
        <v>0.05</v>
      </c>
      <c r="BX600" s="14" t="n">
        <v>1</v>
      </c>
      <c r="BY600" s="14" t="n">
        <v>11.787</v>
      </c>
      <c r="BZ600" s="14" t="n">
        <v>0</v>
      </c>
      <c r="CA600" s="14" t="n">
        <v>11.787</v>
      </c>
      <c r="CB600" s="14" t="n">
        <v>0</v>
      </c>
      <c r="CC600" s="14" t="n">
        <v>81.69499999999999</v>
      </c>
      <c r="CD600" s="14" t="n">
        <v>7.95</v>
      </c>
      <c r="CE600" s="14" t="n">
        <v>0</v>
      </c>
      <c r="CF600" s="14" t="n">
        <v>85.78</v>
      </c>
      <c r="CG600" s="14" t="n">
        <v>0.05</v>
      </c>
      <c r="CH600" s="14" t="n">
        <v>1</v>
      </c>
      <c r="CI600" s="14" t="n">
        <v>0</v>
      </c>
      <c r="CJ600" s="14" t="n">
        <v>0</v>
      </c>
      <c r="CK600" s="14" t="n">
        <v>0</v>
      </c>
      <c r="CL600" s="14" t="n">
        <v>0</v>
      </c>
      <c r="CM600" s="14" t="n">
        <v>0</v>
      </c>
      <c r="CN600" s="14" t="n">
        <v>0</v>
      </c>
      <c r="CO600" s="14" t="n">
        <v>0</v>
      </c>
      <c r="CP600" s="14" t="n">
        <v>0</v>
      </c>
      <c r="CQ600" s="14" t="n">
        <v>1.198</v>
      </c>
      <c r="CR600" s="14" t="n">
        <v>0</v>
      </c>
      <c r="CS600" s="14" t="n">
        <v>4.776</v>
      </c>
      <c r="CT600" s="14" t="n">
        <v>3.604</v>
      </c>
      <c r="CU600" s="14" t="n">
        <v>9.407999999999999</v>
      </c>
    </row>
    <row r="601">
      <c r="A601" s="14" t="inlineStr">
        <is>
          <t>MNP2022</t>
        </is>
      </c>
      <c r="B601" s="14" t="inlineStr">
        <is>
          <t>MNP</t>
        </is>
      </c>
      <c r="C601" s="14" t="inlineStr">
        <is>
          <t>MNP</t>
        </is>
      </c>
      <c r="D601" s="14" t="inlineStr">
        <is>
          <t>Northern Mariana Islands</t>
        </is>
      </c>
      <c r="E601" s="14" t="n">
        <v>2022</v>
      </c>
      <c r="F601" s="14" t="n">
        <v>0.05</v>
      </c>
      <c r="G601" s="14" t="n">
        <v>8.788</v>
      </c>
      <c r="H601" s="14" t="n">
        <v>1.235</v>
      </c>
      <c r="I601" s="14" t="n">
        <v>0</v>
      </c>
      <c r="J601" s="14" t="n">
        <v>8.788</v>
      </c>
      <c r="K601" s="14" t="n">
        <v>0</v>
      </c>
      <c r="L601" s="14" t="n">
        <v>1</v>
      </c>
      <c r="M601" s="14" t="n">
        <v>9.782999999999999</v>
      </c>
      <c r="N601" s="14" t="n">
        <v>3.704</v>
      </c>
      <c r="O601" s="14" t="n">
        <v>0</v>
      </c>
      <c r="P601" s="14" t="n">
        <v>9.782999999999999</v>
      </c>
      <c r="Q601" s="14" t="n">
        <v>0</v>
      </c>
      <c r="R601" s="14" t="n">
        <v>1</v>
      </c>
      <c r="S601" s="14" t="n">
        <v>14.962</v>
      </c>
      <c r="T601" s="14" t="n">
        <v>7.408</v>
      </c>
      <c r="U601" s="14" t="n">
        <v>0.055</v>
      </c>
      <c r="V601" s="14" t="n">
        <v>15.71</v>
      </c>
      <c r="W601" s="14" t="n">
        <v>0.05</v>
      </c>
      <c r="X601" s="14" t="n">
        <v>1</v>
      </c>
      <c r="Y601" s="14" t="n">
        <v>17.332</v>
      </c>
      <c r="Z601" s="14" t="n">
        <v>2.139</v>
      </c>
      <c r="AA601" s="14" t="n">
        <v>0</v>
      </c>
      <c r="AB601" s="14" t="n">
        <v>17.332</v>
      </c>
      <c r="AC601" s="14" t="n">
        <v>0</v>
      </c>
      <c r="AD601" s="14" t="n">
        <v>1</v>
      </c>
      <c r="AE601" s="14" t="n">
        <v>18.566</v>
      </c>
      <c r="AF601" s="14" t="n">
        <v>4.048</v>
      </c>
      <c r="AG601" s="14" t="n">
        <v>0</v>
      </c>
      <c r="AH601" s="14" t="n">
        <v>18.566</v>
      </c>
      <c r="AI601" s="14" t="n">
        <v>0</v>
      </c>
      <c r="AJ601" s="14" t="n">
        <v>1</v>
      </c>
      <c r="AK601" s="14" t="n">
        <v>25.974</v>
      </c>
      <c r="AL601" s="14" t="n">
        <v>13.478</v>
      </c>
      <c r="AM601" s="14" t="n">
        <v>0.096</v>
      </c>
      <c r="AN601" s="14" t="n">
        <v>27.273</v>
      </c>
      <c r="AO601" s="14" t="n">
        <v>0.05</v>
      </c>
      <c r="AP601" s="14" t="n">
        <v>1</v>
      </c>
      <c r="AQ601" s="14" t="n">
        <v>0.847</v>
      </c>
      <c r="AR601" s="14" t="n">
        <v>0.123</v>
      </c>
      <c r="AS601" s="14" t="n">
        <v>0.003</v>
      </c>
      <c r="AT601" s="14" t="n">
        <v>0.889</v>
      </c>
      <c r="AU601" s="14" t="n">
        <v>0.05</v>
      </c>
      <c r="AV601" s="14" t="n">
        <v>1</v>
      </c>
      <c r="AW601" s="14" t="n">
        <v>0.947</v>
      </c>
      <c r="AX601" s="14" t="n">
        <v>0.123</v>
      </c>
      <c r="AY601" s="14" t="n">
        <v>0.004</v>
      </c>
      <c r="AZ601" s="14" t="n">
        <v>0.994</v>
      </c>
      <c r="BA601" s="14" t="n">
        <v>0.05</v>
      </c>
      <c r="BB601" s="14" t="n">
        <v>1</v>
      </c>
      <c r="BC601" s="14" t="n">
        <v>0.589</v>
      </c>
      <c r="BD601" s="14" t="n">
        <v>0.123</v>
      </c>
      <c r="BE601" s="14" t="n">
        <v>0.002</v>
      </c>
      <c r="BF601" s="14" t="n">
        <v>0.618</v>
      </c>
      <c r="BG601" s="14" t="n">
        <v>0.05</v>
      </c>
      <c r="BH601" s="14" t="n">
        <v>1</v>
      </c>
      <c r="BI601" s="14" t="n">
        <v>0.6889999999999999</v>
      </c>
      <c r="BJ601" s="14" t="n">
        <v>0.123</v>
      </c>
      <c r="BK601" s="14" t="n">
        <v>0.003</v>
      </c>
      <c r="BL601" s="14" t="n">
        <v>0.723</v>
      </c>
      <c r="BM601" s="14" t="n">
        <v>0.05</v>
      </c>
      <c r="BN601" s="14" t="n">
        <v>1</v>
      </c>
      <c r="BO601" s="14" t="n">
        <v>0</v>
      </c>
      <c r="BP601" s="14" t="n">
        <v>0</v>
      </c>
      <c r="BQ601" s="14" t="n">
        <v>0</v>
      </c>
      <c r="BR601" s="14" t="n">
        <v>0</v>
      </c>
      <c r="BS601" s="14" t="n">
        <v>1</v>
      </c>
      <c r="BT601" s="14" t="n">
        <v>0</v>
      </c>
      <c r="BU601" s="14" t="n">
        <v>0</v>
      </c>
      <c r="BV601" s="14" t="n">
        <v>0</v>
      </c>
      <c r="BW601" s="14" t="n">
        <v>0.05</v>
      </c>
      <c r="BX601" s="14" t="n">
        <v>1</v>
      </c>
      <c r="BY601" s="14" t="n">
        <v>12.729</v>
      </c>
      <c r="BZ601" s="14" t="n">
        <v>0</v>
      </c>
      <c r="CA601" s="14" t="n">
        <v>12.729</v>
      </c>
      <c r="CB601" s="14" t="n">
        <v>0</v>
      </c>
      <c r="CC601" s="14" t="n">
        <v>102.477</v>
      </c>
      <c r="CD601" s="14" t="n">
        <v>7.95</v>
      </c>
      <c r="CE601" s="14" t="n">
        <v>0.379</v>
      </c>
      <c r="CF601" s="14" t="n">
        <v>107.6</v>
      </c>
      <c r="CG601" s="14" t="n">
        <v>0.05</v>
      </c>
      <c r="CH601" s="14" t="n">
        <v>1</v>
      </c>
      <c r="CI601" s="14" t="n">
        <v>0</v>
      </c>
      <c r="CJ601" s="14" t="n">
        <v>0</v>
      </c>
      <c r="CK601" s="14" t="n">
        <v>0</v>
      </c>
      <c r="CL601" s="14" t="n">
        <v>0</v>
      </c>
      <c r="CM601" s="14" t="n">
        <v>0</v>
      </c>
      <c r="CN601" s="14" t="n">
        <v>0</v>
      </c>
      <c r="CO601" s="14" t="n">
        <v>0</v>
      </c>
      <c r="CP601" s="14" t="n">
        <v>0</v>
      </c>
      <c r="CQ601" s="14" t="n">
        <v>1.294</v>
      </c>
      <c r="CR601" s="14" t="n">
        <v>0</v>
      </c>
      <c r="CS601" s="14" t="n">
        <v>5.158</v>
      </c>
      <c r="CT601" s="14" t="n">
        <v>7.554</v>
      </c>
      <c r="CU601" s="14" t="n">
        <v>16.097</v>
      </c>
    </row>
    <row r="602">
      <c r="A602" s="14" t="inlineStr">
        <is>
          <t>MNP2023</t>
        </is>
      </c>
      <c r="B602" s="14" t="inlineStr">
        <is>
          <t>MNP</t>
        </is>
      </c>
      <c r="C602" s="14" t="inlineStr">
        <is>
          <t>MNP</t>
        </is>
      </c>
      <c r="D602" s="14" t="inlineStr">
        <is>
          <t>Northern Mariana Islands</t>
        </is>
      </c>
      <c r="E602" s="14" t="n">
        <v>2023</v>
      </c>
      <c r="F602" s="14" t="n">
        <v>0.05</v>
      </c>
      <c r="G602" s="14" t="n">
        <v>5.77</v>
      </c>
      <c r="H602" s="14" t="n">
        <v>1.286</v>
      </c>
      <c r="I602" s="14" t="n">
        <v>0</v>
      </c>
      <c r="J602" s="14" t="n">
        <v>5.77</v>
      </c>
      <c r="K602" s="14" t="n">
        <v>0</v>
      </c>
      <c r="L602" s="14" t="n">
        <v>1</v>
      </c>
      <c r="M602" s="14" t="n">
        <v>7.886</v>
      </c>
      <c r="N602" s="14" t="n">
        <v>3.857</v>
      </c>
      <c r="O602" s="14" t="n">
        <v>0</v>
      </c>
      <c r="P602" s="14" t="n">
        <v>7.886</v>
      </c>
      <c r="Q602" s="14" t="n">
        <v>0</v>
      </c>
      <c r="R602" s="14" t="n">
        <v>1</v>
      </c>
      <c r="S602" s="14" t="n">
        <v>12.198</v>
      </c>
      <c r="T602" s="14" t="n">
        <v>7.714</v>
      </c>
      <c r="U602" s="14" t="n">
        <v>0.068</v>
      </c>
      <c r="V602" s="14" t="n">
        <v>12.808</v>
      </c>
      <c r="W602" s="14" t="n">
        <v>0.05</v>
      </c>
      <c r="X602" s="14" t="n">
        <v>1</v>
      </c>
      <c r="Y602" s="14" t="n">
        <v>13.814</v>
      </c>
      <c r="Z602" s="14" t="n">
        <v>1.705</v>
      </c>
      <c r="AA602" s="14" t="n">
        <v>0</v>
      </c>
      <c r="AB602" s="14" t="n">
        <v>13.814</v>
      </c>
      <c r="AC602" s="14" t="n">
        <v>0</v>
      </c>
      <c r="AD602" s="14" t="n">
        <v>1</v>
      </c>
      <c r="AE602" s="14" t="n">
        <v>15.1</v>
      </c>
      <c r="AF602" s="14" t="n">
        <v>3.292</v>
      </c>
      <c r="AG602" s="14" t="n">
        <v>0</v>
      </c>
      <c r="AH602" s="14" t="n">
        <v>15.1</v>
      </c>
      <c r="AI602" s="14" t="n">
        <v>0</v>
      </c>
      <c r="AJ602" s="14" t="n">
        <v>1</v>
      </c>
      <c r="AK602" s="14" t="n">
        <v>22.814</v>
      </c>
      <c r="AL602" s="14" t="n">
        <v>11.838</v>
      </c>
      <c r="AM602" s="14" t="n">
        <v>0.126</v>
      </c>
      <c r="AN602" s="14" t="n">
        <v>23.955</v>
      </c>
      <c r="AO602" s="14" t="n">
        <v>0.05</v>
      </c>
      <c r="AP602" s="14" t="n">
        <v>1</v>
      </c>
      <c r="AQ602" s="14" t="n">
        <v>0.749</v>
      </c>
      <c r="AR602" s="14" t="n">
        <v>0.129</v>
      </c>
      <c r="AS602" s="14" t="n">
        <v>0.004</v>
      </c>
      <c r="AT602" s="14" t="n">
        <v>0.786</v>
      </c>
      <c r="AU602" s="14" t="n">
        <v>0.05</v>
      </c>
      <c r="AV602" s="14" t="n">
        <v>1</v>
      </c>
      <c r="AW602" s="14" t="n">
        <v>0.783</v>
      </c>
      <c r="AX602" s="14" t="n">
        <v>0.129</v>
      </c>
      <c r="AY602" s="14" t="n">
        <v>0.004</v>
      </c>
      <c r="AZ602" s="14" t="n">
        <v>0.822</v>
      </c>
      <c r="BA602" s="14" t="n">
        <v>0.05</v>
      </c>
      <c r="BB602" s="14" t="n">
        <v>1</v>
      </c>
      <c r="BC602" s="14" t="n">
        <v>0.527</v>
      </c>
      <c r="BD602" s="14" t="n">
        <v>0.129</v>
      </c>
      <c r="BE602" s="14" t="n">
        <v>0.003</v>
      </c>
      <c r="BF602" s="14" t="n">
        <v>0.554</v>
      </c>
      <c r="BG602" s="14" t="n">
        <v>0.05</v>
      </c>
      <c r="BH602" s="14" t="n">
        <v>1</v>
      </c>
      <c r="BI602" s="14" t="n">
        <v>0.64</v>
      </c>
      <c r="BJ602" s="14" t="n">
        <v>0.129</v>
      </c>
      <c r="BK602" s="14" t="n">
        <v>0.004</v>
      </c>
      <c r="BL602" s="14" t="n">
        <v>0.672</v>
      </c>
      <c r="BM602" s="14" t="n">
        <v>0.05</v>
      </c>
      <c r="BN602" s="14" t="n">
        <v>1</v>
      </c>
      <c r="BO602" s="14" t="n">
        <v>0</v>
      </c>
      <c r="BP602" s="14" t="n">
        <v>0</v>
      </c>
      <c r="BQ602" s="14" t="n">
        <v>0</v>
      </c>
      <c r="BR602" s="14" t="n">
        <v>0</v>
      </c>
      <c r="BS602" s="14" t="n">
        <v>1</v>
      </c>
      <c r="BT602" s="14" t="n">
        <v>0</v>
      </c>
      <c r="BU602" s="14" t="n">
        <v>0</v>
      </c>
      <c r="BV602" s="14" t="n">
        <v>0</v>
      </c>
      <c r="BW602" s="14" t="n">
        <v>0.05</v>
      </c>
      <c r="BX602" s="14" t="n">
        <v>1</v>
      </c>
      <c r="BY602" s="14" t="n">
        <v>13.254</v>
      </c>
      <c r="BZ602" s="14" t="n">
        <v>0</v>
      </c>
      <c r="CA602" s="14" t="n">
        <v>13.254</v>
      </c>
      <c r="CB602" s="14" t="n">
        <v>0</v>
      </c>
      <c r="CC602" s="14" t="n">
        <v>87.07899999999999</v>
      </c>
      <c r="CD602" s="14" t="n">
        <v>7.95</v>
      </c>
      <c r="CE602" s="14" t="n">
        <v>0.482</v>
      </c>
      <c r="CF602" s="14" t="n">
        <v>91.43300000000001</v>
      </c>
      <c r="CG602" s="14" t="n">
        <v>0.05</v>
      </c>
      <c r="CH602" s="14" t="n">
        <v>1</v>
      </c>
      <c r="CI602" s="14" t="n">
        <v>0</v>
      </c>
      <c r="CJ602" s="14" t="n">
        <v>0</v>
      </c>
      <c r="CK602" s="14" t="n">
        <v>0</v>
      </c>
      <c r="CL602" s="14" t="n">
        <v>0</v>
      </c>
      <c r="CM602" s="14" t="n">
        <v>0</v>
      </c>
      <c r="CN602" s="14" t="n">
        <v>0</v>
      </c>
      <c r="CO602" s="14" t="n">
        <v>0</v>
      </c>
      <c r="CP602" s="14" t="n">
        <v>0</v>
      </c>
      <c r="CQ602" s="14" t="n">
        <v>1.348</v>
      </c>
      <c r="CR602" s="14" t="n">
        <v>0</v>
      </c>
      <c r="CS602" s="14" t="n">
        <v>5.37</v>
      </c>
      <c r="CT602" s="14" t="n">
        <v>4.484</v>
      </c>
      <c r="CU602" s="14" t="n">
        <v>12.529</v>
      </c>
    </row>
    <row r="603">
      <c r="A603" s="14" t="inlineStr">
        <is>
          <t>MNP2024</t>
        </is>
      </c>
      <c r="B603" s="14" t="inlineStr">
        <is>
          <t>MNP</t>
        </is>
      </c>
      <c r="C603" s="14" t="inlineStr">
        <is>
          <t>MNP</t>
        </is>
      </c>
      <c r="D603" s="14" t="inlineStr">
        <is>
          <t>Northern Mariana Islands</t>
        </is>
      </c>
      <c r="E603" s="14" t="n">
        <v>2024</v>
      </c>
      <c r="F603" s="14" t="n">
        <v>0.05</v>
      </c>
      <c r="G603" s="14" t="n">
        <v>4.833</v>
      </c>
      <c r="H603" s="14" t="n">
        <v>1.324</v>
      </c>
      <c r="I603" s="14" t="n">
        <v>0</v>
      </c>
      <c r="J603" s="14" t="n">
        <v>4.833</v>
      </c>
      <c r="K603" s="14" t="n">
        <v>0</v>
      </c>
      <c r="L603" s="14" t="n">
        <v>1</v>
      </c>
      <c r="M603" s="14" t="n">
        <v>7.124</v>
      </c>
      <c r="N603" s="14" t="n">
        <v>3.971</v>
      </c>
      <c r="O603" s="14" t="n">
        <v>0</v>
      </c>
      <c r="P603" s="14" t="n">
        <v>7.124</v>
      </c>
      <c r="Q603" s="14" t="n">
        <v>0</v>
      </c>
      <c r="R603" s="14" t="n">
        <v>1</v>
      </c>
      <c r="S603" s="14" t="n">
        <v>11.451</v>
      </c>
      <c r="T603" s="14" t="n">
        <v>7.942</v>
      </c>
      <c r="U603" s="14" t="n">
        <v>0.078</v>
      </c>
      <c r="V603" s="14" t="n">
        <v>12.023</v>
      </c>
      <c r="W603" s="14" t="n">
        <v>0.05</v>
      </c>
      <c r="X603" s="14" t="n">
        <v>1</v>
      </c>
      <c r="Y603" s="14" t="n">
        <v>12.219</v>
      </c>
      <c r="Z603" s="14" t="n">
        <v>1.508</v>
      </c>
      <c r="AA603" s="14" t="n">
        <v>0</v>
      </c>
      <c r="AB603" s="14" t="n">
        <v>12.219</v>
      </c>
      <c r="AC603" s="14" t="n">
        <v>0</v>
      </c>
      <c r="AD603" s="14" t="n">
        <v>1</v>
      </c>
      <c r="AE603" s="14" t="n">
        <v>13.543</v>
      </c>
      <c r="AF603" s="14" t="n">
        <v>2.952</v>
      </c>
      <c r="AG603" s="14" t="n">
        <v>0</v>
      </c>
      <c r="AH603" s="14" t="n">
        <v>13.543</v>
      </c>
      <c r="AI603" s="14" t="n">
        <v>0</v>
      </c>
      <c r="AJ603" s="14" t="n">
        <v>1</v>
      </c>
      <c r="AK603" s="14" t="n">
        <v>21.484</v>
      </c>
      <c r="AL603" s="14" t="n">
        <v>11.148</v>
      </c>
      <c r="AM603" s="14" t="n">
        <v>0.146</v>
      </c>
      <c r="AN603" s="14" t="n">
        <v>22.559</v>
      </c>
      <c r="AO603" s="14" t="n">
        <v>0.05</v>
      </c>
      <c r="AP603" s="14" t="n">
        <v>1</v>
      </c>
      <c r="AQ603" s="14" t="n">
        <v>0.72</v>
      </c>
      <c r="AR603" s="14" t="n">
        <v>0.132</v>
      </c>
      <c r="AS603" s="14" t="n">
        <v>0.005</v>
      </c>
      <c r="AT603" s="14" t="n">
        <v>0.756</v>
      </c>
      <c r="AU603" s="14" t="n">
        <v>0.05</v>
      </c>
      <c r="AV603" s="14" t="n">
        <v>1</v>
      </c>
      <c r="AW603" s="14" t="n">
        <v>0.734</v>
      </c>
      <c r="AX603" s="14" t="n">
        <v>0.132</v>
      </c>
      <c r="AY603" s="14" t="n">
        <v>0.005</v>
      </c>
      <c r="AZ603" s="14" t="n">
        <v>0.77</v>
      </c>
      <c r="BA603" s="14" t="n">
        <v>0.05</v>
      </c>
      <c r="BB603" s="14" t="n">
        <v>1</v>
      </c>
      <c r="BC603" s="14" t="n">
        <v>0.51</v>
      </c>
      <c r="BD603" s="14" t="n">
        <v>0.132</v>
      </c>
      <c r="BE603" s="14" t="n">
        <v>0.003</v>
      </c>
      <c r="BF603" s="14" t="n">
        <v>0.536</v>
      </c>
      <c r="BG603" s="14" t="n">
        <v>0.05</v>
      </c>
      <c r="BH603" s="14" t="n">
        <v>1</v>
      </c>
      <c r="BI603" s="14" t="n">
        <v>0.652</v>
      </c>
      <c r="BJ603" s="14" t="n">
        <v>0.132</v>
      </c>
      <c r="BK603" s="14" t="n">
        <v>0.004</v>
      </c>
      <c r="BL603" s="14" t="n">
        <v>0.6850000000000001</v>
      </c>
      <c r="BM603" s="14" t="n">
        <v>0.05</v>
      </c>
      <c r="BN603" s="14" t="n">
        <v>1</v>
      </c>
      <c r="BO603" s="14" t="n">
        <v>0</v>
      </c>
      <c r="BP603" s="14" t="n">
        <v>0</v>
      </c>
      <c r="BQ603" s="14" t="n">
        <v>0</v>
      </c>
      <c r="BR603" s="14" t="n">
        <v>0</v>
      </c>
      <c r="BS603" s="14" t="n">
        <v>1</v>
      </c>
      <c r="BT603" s="14" t="n">
        <v>0</v>
      </c>
      <c r="BU603" s="14" t="n">
        <v>0</v>
      </c>
      <c r="BV603" s="14" t="n">
        <v>0</v>
      </c>
      <c r="BW603" s="14" t="n">
        <v>0.05</v>
      </c>
      <c r="BX603" s="14" t="n">
        <v>1</v>
      </c>
      <c r="BY603" s="14" t="n">
        <v>13.646</v>
      </c>
      <c r="BZ603" s="14" t="n">
        <v>0</v>
      </c>
      <c r="CA603" s="14" t="n">
        <v>13.646</v>
      </c>
      <c r="CB603" s="14" t="n">
        <v>0</v>
      </c>
      <c r="CC603" s="14" t="n">
        <v>86.38500000000001</v>
      </c>
      <c r="CD603" s="14" t="n">
        <v>7.95</v>
      </c>
      <c r="CE603" s="14" t="n">
        <v>0.588</v>
      </c>
      <c r="CF603" s="14" t="n">
        <v>90.705</v>
      </c>
      <c r="CG603" s="14" t="n">
        <v>0.05</v>
      </c>
      <c r="CH603" s="14" t="n">
        <v>1</v>
      </c>
      <c r="CI603" s="14" t="n">
        <v>0</v>
      </c>
      <c r="CJ603" s="14" t="n">
        <v>0</v>
      </c>
      <c r="CK603" s="14" t="n">
        <v>0</v>
      </c>
      <c r="CL603" s="14" t="n">
        <v>0</v>
      </c>
      <c r="CM603" s="14" t="n">
        <v>0</v>
      </c>
      <c r="CN603" s="14" t="n">
        <v>0</v>
      </c>
      <c r="CO603" s="14" t="n">
        <v>0</v>
      </c>
      <c r="CP603" s="14" t="n">
        <v>0</v>
      </c>
      <c r="CQ603" s="14" t="n">
        <v>1.387</v>
      </c>
      <c r="CR603" s="14" t="n">
        <v>0</v>
      </c>
      <c r="CS603" s="14" t="n">
        <v>5.529</v>
      </c>
      <c r="CT603" s="14" t="n">
        <v>3.509</v>
      </c>
      <c r="CU603" s="14" t="n">
        <v>10.896</v>
      </c>
    </row>
    <row r="604">
      <c r="A604" s="14" t="inlineStr">
        <is>
          <t>NOR2021</t>
        </is>
      </c>
      <c r="B604" s="14" t="inlineStr">
        <is>
          <t>NOR</t>
        </is>
      </c>
      <c r="C604" s="14" t="inlineStr">
        <is>
          <t>NOR</t>
        </is>
      </c>
      <c r="D604" s="14" t="inlineStr">
        <is>
          <t>Norway</t>
        </is>
      </c>
      <c r="E604" s="14" t="n">
        <v>2021</v>
      </c>
      <c r="F604" s="14" t="n">
        <v>0.25</v>
      </c>
      <c r="G604" s="14" t="n">
        <v>5.82</v>
      </c>
      <c r="H604" s="14" t="n">
        <v>1.124</v>
      </c>
      <c r="I604" s="14" t="n">
        <v>1.208</v>
      </c>
      <c r="J604" s="14" t="n">
        <v>7.028</v>
      </c>
      <c r="K604" s="14" t="n">
        <v>0</v>
      </c>
      <c r="L604" s="14" t="n">
        <v>1</v>
      </c>
      <c r="M604" s="14" t="n">
        <v>7.793</v>
      </c>
      <c r="N604" s="14" t="n">
        <v>3.372</v>
      </c>
      <c r="O604" s="14" t="n">
        <v>1.226</v>
      </c>
      <c r="P604" s="14" t="n">
        <v>9.019</v>
      </c>
      <c r="Q604" s="14" t="n">
        <v>0</v>
      </c>
      <c r="R604" s="14" t="n">
        <v>1</v>
      </c>
      <c r="S604" s="14" t="n">
        <v>11.44</v>
      </c>
      <c r="T604" s="14" t="n">
        <v>6.744</v>
      </c>
      <c r="U604" s="14" t="n">
        <v>0.514</v>
      </c>
      <c r="V604" s="14" t="n">
        <v>14.943</v>
      </c>
      <c r="W604" s="14" t="n">
        <v>0.25</v>
      </c>
      <c r="X604" s="14" t="n">
        <v>1</v>
      </c>
      <c r="Y604" s="14" t="n">
        <v>3.092</v>
      </c>
      <c r="Z604" s="14" t="n">
        <v>0.248</v>
      </c>
      <c r="AA604" s="14" t="n">
        <v>1.698</v>
      </c>
      <c r="AB604" s="14" t="n">
        <v>4.79</v>
      </c>
      <c r="AC604" s="14" t="n">
        <v>0</v>
      </c>
      <c r="AD604" s="14" t="n">
        <v>1</v>
      </c>
      <c r="AE604" s="14" t="n">
        <v>3.679</v>
      </c>
      <c r="AF604" s="14" t="n">
        <v>0.54</v>
      </c>
      <c r="AG604" s="14" t="n">
        <v>1.698</v>
      </c>
      <c r="AH604" s="14" t="n">
        <v>5.378</v>
      </c>
      <c r="AI604" s="14" t="n">
        <v>0</v>
      </c>
      <c r="AJ604" s="14" t="n">
        <v>1</v>
      </c>
      <c r="AK604" s="14" t="n">
        <v>7.202</v>
      </c>
      <c r="AL604" s="14" t="n">
        <v>2.852</v>
      </c>
      <c r="AM604" s="14" t="n">
        <v>0.984</v>
      </c>
      <c r="AN604" s="14" t="n">
        <v>10.232</v>
      </c>
      <c r="AO604" s="14" t="n">
        <v>0.25</v>
      </c>
      <c r="AP604" s="14" t="n">
        <v>1</v>
      </c>
      <c r="AQ604" s="14" t="n">
        <v>0.619</v>
      </c>
      <c r="AR604" s="14" t="n">
        <v>0.114</v>
      </c>
      <c r="AS604" s="14" t="n">
        <v>1.021</v>
      </c>
      <c r="AT604" s="14" t="n">
        <v>2.05</v>
      </c>
      <c r="AU604" s="14" t="n">
        <v>0.25</v>
      </c>
      <c r="AV604" s="14" t="n">
        <v>1</v>
      </c>
      <c r="AW604" s="14" t="n">
        <v>0.599</v>
      </c>
      <c r="AX604" s="14" t="n">
        <v>0.114</v>
      </c>
      <c r="AY604" s="14" t="n">
        <v>0.882</v>
      </c>
      <c r="AZ604" s="14" t="n">
        <v>1.852</v>
      </c>
      <c r="BA604" s="14" t="n">
        <v>0.25</v>
      </c>
      <c r="BB604" s="14" t="n">
        <v>1</v>
      </c>
      <c r="BC604" s="14" t="n">
        <v>0.439</v>
      </c>
      <c r="BD604" s="14" t="n">
        <v>0.114</v>
      </c>
      <c r="BE604" s="14" t="n">
        <v>0.029</v>
      </c>
      <c r="BF604" s="14" t="n">
        <v>0.585</v>
      </c>
      <c r="BG604" s="14" t="n">
        <v>0.25</v>
      </c>
      <c r="BH604" s="14" t="n">
        <v>1</v>
      </c>
      <c r="BI604" s="14" t="n">
        <v>0.505</v>
      </c>
      <c r="BJ604" s="14" t="n">
        <v>0.114</v>
      </c>
      <c r="BK604" s="14" t="n">
        <v>0.833</v>
      </c>
      <c r="BL604" s="14" t="n">
        <v>1.672</v>
      </c>
      <c r="BM604" s="14" t="n">
        <v>0.25</v>
      </c>
      <c r="BN604" s="14" t="n">
        <v>1</v>
      </c>
      <c r="BO604" s="14" t="n">
        <v>0</v>
      </c>
      <c r="BP604" s="14" t="n">
        <v>0.011</v>
      </c>
      <c r="BQ604" s="14" t="n">
        <v>0.092</v>
      </c>
      <c r="BR604" s="14" t="n">
        <v>0</v>
      </c>
      <c r="BS604" s="14" t="n">
        <v>1</v>
      </c>
      <c r="BT604" s="14" t="n">
        <v>0</v>
      </c>
      <c r="BU604" s="14" t="n">
        <v>0.02</v>
      </c>
      <c r="BV604" s="14" t="n">
        <v>0.238</v>
      </c>
      <c r="BW604" s="14" t="n">
        <v>0.25</v>
      </c>
      <c r="BX604" s="14" t="n">
        <v>1</v>
      </c>
      <c r="BY604" s="14" t="n">
        <v>11.787</v>
      </c>
      <c r="BZ604" s="14" t="n">
        <v>0</v>
      </c>
      <c r="CA604" s="14" t="n">
        <v>11.787</v>
      </c>
      <c r="CB604" s="14" t="n">
        <v>0</v>
      </c>
      <c r="CC604" s="14" t="n">
        <v>78.125</v>
      </c>
      <c r="CD604" s="14" t="n">
        <v>7.95</v>
      </c>
      <c r="CE604" s="14" t="n">
        <v>65.407</v>
      </c>
      <c r="CF604" s="14" t="n">
        <v>179.415</v>
      </c>
      <c r="CG604" s="14" t="n">
        <v>0.25</v>
      </c>
      <c r="CH604" s="14" t="n">
        <v>1</v>
      </c>
      <c r="CI604" s="14" t="n">
        <v>0</v>
      </c>
      <c r="CJ604" s="14" t="n">
        <v>0</v>
      </c>
      <c r="CK604" s="14" t="n">
        <v>0</v>
      </c>
      <c r="CL604" s="14" t="n">
        <v>0</v>
      </c>
      <c r="CM604" s="14" t="n">
        <v>0</v>
      </c>
      <c r="CN604" s="14" t="n">
        <v>0.001</v>
      </c>
      <c r="CO604" s="14" t="n">
        <v>0.001</v>
      </c>
      <c r="CP604" s="14" t="n">
        <v>0.034</v>
      </c>
      <c r="CQ604" s="14" t="n">
        <v>1.198</v>
      </c>
      <c r="CR604" s="14" t="n">
        <v>0.973</v>
      </c>
      <c r="CS604" s="14" t="n">
        <v>2.211</v>
      </c>
      <c r="CT604" s="14" t="n">
        <v>4.819</v>
      </c>
      <c r="CU604" s="14" t="n">
        <v>13.099</v>
      </c>
    </row>
    <row r="605">
      <c r="A605" s="14" t="inlineStr">
        <is>
          <t>NOR2022</t>
        </is>
      </c>
      <c r="B605" s="14" t="inlineStr">
        <is>
          <t>NOR</t>
        </is>
      </c>
      <c r="C605" s="14" t="inlineStr">
        <is>
          <t>NOR</t>
        </is>
      </c>
      <c r="D605" s="14" t="inlineStr">
        <is>
          <t>Norway</t>
        </is>
      </c>
      <c r="E605" s="14" t="n">
        <v>2022</v>
      </c>
      <c r="F605" s="14" t="n">
        <v>0.25</v>
      </c>
      <c r="G605" s="14" t="n">
        <v>12.798</v>
      </c>
      <c r="H605" s="14" t="n">
        <v>1.235</v>
      </c>
      <c r="I605" s="14" t="n">
        <v>8.159000000000001</v>
      </c>
      <c r="J605" s="14" t="n">
        <v>20.957</v>
      </c>
      <c r="K605" s="14" t="n">
        <v>0</v>
      </c>
      <c r="L605" s="14" t="n">
        <v>1</v>
      </c>
      <c r="M605" s="14" t="n">
        <v>9.782999999999999</v>
      </c>
      <c r="N605" s="14" t="n">
        <v>3.704</v>
      </c>
      <c r="O605" s="14" t="n">
        <v>8.284000000000001</v>
      </c>
      <c r="P605" s="14" t="n">
        <v>18.067</v>
      </c>
      <c r="Q605" s="14" t="n">
        <v>0</v>
      </c>
      <c r="R605" s="14" t="n">
        <v>1</v>
      </c>
      <c r="S605" s="14" t="n">
        <v>18.971</v>
      </c>
      <c r="T605" s="14" t="n">
        <v>7.408</v>
      </c>
      <c r="U605" s="14" t="n">
        <v>2.969</v>
      </c>
      <c r="V605" s="14" t="n">
        <v>26.927</v>
      </c>
      <c r="W605" s="14" t="n">
        <v>0.25</v>
      </c>
      <c r="X605" s="14" t="n">
        <v>1</v>
      </c>
      <c r="Y605" s="14" t="n">
        <v>3.365</v>
      </c>
      <c r="Z605" s="14" t="n">
        <v>0.27</v>
      </c>
      <c r="AA605" s="14" t="n">
        <v>7.049</v>
      </c>
      <c r="AB605" s="14" t="n">
        <v>10.414</v>
      </c>
      <c r="AC605" s="14" t="n">
        <v>0</v>
      </c>
      <c r="AD605" s="14" t="n">
        <v>1</v>
      </c>
      <c r="AE605" s="14" t="n">
        <v>3.991</v>
      </c>
      <c r="AF605" s="14" t="n">
        <v>0.586</v>
      </c>
      <c r="AG605" s="14" t="n">
        <v>7.049</v>
      </c>
      <c r="AH605" s="14" t="n">
        <v>11.04</v>
      </c>
      <c r="AI605" s="14" t="n">
        <v>0</v>
      </c>
      <c r="AJ605" s="14" t="n">
        <v>1</v>
      </c>
      <c r="AK605" s="14" t="n">
        <v>7.748</v>
      </c>
      <c r="AL605" s="14" t="n">
        <v>3.068</v>
      </c>
      <c r="AM605" s="14" t="n">
        <v>2.405</v>
      </c>
      <c r="AN605" s="14" t="n">
        <v>12.462</v>
      </c>
      <c r="AO605" s="14" t="n">
        <v>0.25</v>
      </c>
      <c r="AP605" s="14" t="n">
        <v>1</v>
      </c>
      <c r="AQ605" s="14" t="n">
        <v>0.861</v>
      </c>
      <c r="AR605" s="14" t="n">
        <v>0.123</v>
      </c>
      <c r="AS605" s="14" t="n">
        <v>0.991</v>
      </c>
      <c r="AT605" s="14" t="n">
        <v>2.315</v>
      </c>
      <c r="AU605" s="14" t="n">
        <v>0.25</v>
      </c>
      <c r="AV605" s="14" t="n">
        <v>1</v>
      </c>
      <c r="AW605" s="14" t="n">
        <v>0.986</v>
      </c>
      <c r="AX605" s="14" t="n">
        <v>0.123</v>
      </c>
      <c r="AY605" s="14" t="n">
        <v>0.85</v>
      </c>
      <c r="AZ605" s="14" t="n">
        <v>2.296</v>
      </c>
      <c r="BA605" s="14" t="n">
        <v>0.25</v>
      </c>
      <c r="BB605" s="14" t="n">
        <v>1</v>
      </c>
      <c r="BC605" s="14" t="n">
        <v>0.598</v>
      </c>
      <c r="BD605" s="14" t="n">
        <v>0.123</v>
      </c>
      <c r="BE605" s="14" t="n">
        <v>0.078</v>
      </c>
      <c r="BF605" s="14" t="n">
        <v>0.83</v>
      </c>
      <c r="BG605" s="14" t="n">
        <v>0.25</v>
      </c>
      <c r="BH605" s="14" t="n">
        <v>1</v>
      </c>
      <c r="BI605" s="14" t="n">
        <v>0.612</v>
      </c>
      <c r="BJ605" s="14" t="n">
        <v>0.123</v>
      </c>
      <c r="BK605" s="14" t="n">
        <v>0.899</v>
      </c>
      <c r="BL605" s="14" t="n">
        <v>1.889</v>
      </c>
      <c r="BM605" s="14" t="n">
        <v>0.25</v>
      </c>
      <c r="BN605" s="14" t="n">
        <v>1</v>
      </c>
      <c r="BO605" s="14" t="n">
        <v>0</v>
      </c>
      <c r="BP605" s="14" t="n">
        <v>0.01</v>
      </c>
      <c r="BQ605" s="14" t="n">
        <v>0.162</v>
      </c>
      <c r="BR605" s="14" t="n">
        <v>0</v>
      </c>
      <c r="BS605" s="14" t="n">
        <v>1</v>
      </c>
      <c r="BT605" s="14" t="n">
        <v>0</v>
      </c>
      <c r="BU605" s="14" t="n">
        <v>-0.065</v>
      </c>
      <c r="BV605" s="14" t="n">
        <v>0.226</v>
      </c>
      <c r="BW605" s="14" t="n">
        <v>0.25</v>
      </c>
      <c r="BX605" s="14" t="n">
        <v>1</v>
      </c>
      <c r="BY605" s="14" t="n">
        <v>12.729</v>
      </c>
      <c r="BZ605" s="14" t="n">
        <v>0</v>
      </c>
      <c r="CA605" s="14" t="n">
        <v>12.729</v>
      </c>
      <c r="CB605" s="14" t="n">
        <v>0</v>
      </c>
      <c r="CC605" s="14" t="n">
        <v>97.90000000000001</v>
      </c>
      <c r="CD605" s="14" t="n">
        <v>7.95</v>
      </c>
      <c r="CE605" s="14" t="n">
        <v>121.228</v>
      </c>
      <c r="CF605" s="14" t="n">
        <v>273.91</v>
      </c>
      <c r="CG605" s="14" t="n">
        <v>0.25</v>
      </c>
      <c r="CH605" s="14" t="n">
        <v>1</v>
      </c>
      <c r="CI605" s="14" t="n">
        <v>0</v>
      </c>
      <c r="CJ605" s="14" t="n">
        <v>0</v>
      </c>
      <c r="CK605" s="14" t="n">
        <v>0</v>
      </c>
      <c r="CL605" s="14" t="n">
        <v>0</v>
      </c>
      <c r="CM605" s="14" t="n">
        <v>0</v>
      </c>
      <c r="CN605" s="14" t="n">
        <v>0.001</v>
      </c>
      <c r="CO605" s="14" t="n">
        <v>0.001</v>
      </c>
      <c r="CP605" s="14" t="n">
        <v>0</v>
      </c>
      <c r="CQ605" s="14" t="n">
        <v>1.294</v>
      </c>
      <c r="CR605" s="14" t="n">
        <v>0.986</v>
      </c>
      <c r="CS605" s="14" t="n">
        <v>2.388</v>
      </c>
      <c r="CT605" s="14" t="n">
        <v>11.563</v>
      </c>
      <c r="CU605" s="14" t="n">
        <v>26.643</v>
      </c>
    </row>
    <row r="606">
      <c r="A606" s="14" t="inlineStr">
        <is>
          <t>NOR2023</t>
        </is>
      </c>
      <c r="B606" s="14" t="inlineStr">
        <is>
          <t>NOR</t>
        </is>
      </c>
      <c r="C606" s="14" t="inlineStr">
        <is>
          <t>NOR</t>
        </is>
      </c>
      <c r="D606" s="14" t="inlineStr">
        <is>
          <t>Norway</t>
        </is>
      </c>
      <c r="E606" s="14" t="n">
        <v>2023</v>
      </c>
      <c r="F606" s="14" t="n">
        <v>0.25</v>
      </c>
      <c r="G606" s="14" t="n">
        <v>6.174</v>
      </c>
      <c r="H606" s="14" t="n">
        <v>1.254</v>
      </c>
      <c r="I606" s="14" t="n">
        <v>9.456</v>
      </c>
      <c r="J606" s="14" t="n">
        <v>15.63</v>
      </c>
      <c r="K606" s="14" t="n">
        <v>0</v>
      </c>
      <c r="L606" s="14" t="n">
        <v>1</v>
      </c>
      <c r="M606" s="14" t="n">
        <v>7.66</v>
      </c>
      <c r="N606" s="14" t="n">
        <v>3.763</v>
      </c>
      <c r="O606" s="14" t="n">
        <v>9.601000000000001</v>
      </c>
      <c r="P606" s="14" t="n">
        <v>17.261</v>
      </c>
      <c r="Q606" s="14" t="n">
        <v>0</v>
      </c>
      <c r="R606" s="14" t="n">
        <v>1</v>
      </c>
      <c r="S606" s="14" t="n">
        <v>12.445</v>
      </c>
      <c r="T606" s="14" t="n">
        <v>7.525</v>
      </c>
      <c r="U606" s="14" t="n">
        <v>5.099</v>
      </c>
      <c r="V606" s="14" t="n">
        <v>21.338</v>
      </c>
      <c r="W606" s="14" t="n">
        <v>0.25</v>
      </c>
      <c r="X606" s="14" t="n">
        <v>1</v>
      </c>
      <c r="Y606" s="14" t="n">
        <v>3.328</v>
      </c>
      <c r="Z606" s="14" t="n">
        <v>0.267</v>
      </c>
      <c r="AA606" s="14" t="n">
        <v>7.838</v>
      </c>
      <c r="AB606" s="14" t="n">
        <v>11.166</v>
      </c>
      <c r="AC606" s="14" t="n">
        <v>0</v>
      </c>
      <c r="AD606" s="14" t="n">
        <v>1</v>
      </c>
      <c r="AE606" s="14" t="n">
        <v>3.984</v>
      </c>
      <c r="AF606" s="14" t="n">
        <v>0.585</v>
      </c>
      <c r="AG606" s="14" t="n">
        <v>7.838</v>
      </c>
      <c r="AH606" s="14" t="n">
        <v>11.822</v>
      </c>
      <c r="AI606" s="14" t="n">
        <v>0</v>
      </c>
      <c r="AJ606" s="14" t="n">
        <v>1</v>
      </c>
      <c r="AK606" s="14" t="n">
        <v>7.918</v>
      </c>
      <c r="AL606" s="14" t="n">
        <v>3.135</v>
      </c>
      <c r="AM606" s="14" t="n">
        <v>2.524</v>
      </c>
      <c r="AN606" s="14" t="n">
        <v>12.701</v>
      </c>
      <c r="AO606" s="14" t="n">
        <v>0.25</v>
      </c>
      <c r="AP606" s="14" t="n">
        <v>1</v>
      </c>
      <c r="AQ606" s="14" t="n">
        <v>0.76</v>
      </c>
      <c r="AR606" s="14" t="n">
        <v>0.129</v>
      </c>
      <c r="AS606" s="14" t="n">
        <v>0.955</v>
      </c>
      <c r="AT606" s="14" t="n">
        <v>2.144</v>
      </c>
      <c r="AU606" s="14" t="n">
        <v>0.25</v>
      </c>
      <c r="AV606" s="14" t="n">
        <v>1</v>
      </c>
      <c r="AW606" s="14" t="n">
        <v>0.8110000000000001</v>
      </c>
      <c r="AX606" s="14" t="n">
        <v>0.129</v>
      </c>
      <c r="AY606" s="14" t="n">
        <v>0.767</v>
      </c>
      <c r="AZ606" s="14" t="n">
        <v>1.972</v>
      </c>
      <c r="BA606" s="14" t="n">
        <v>0.25</v>
      </c>
      <c r="BB606" s="14" t="n">
        <v>1</v>
      </c>
      <c r="BC606" s="14" t="n">
        <v>0.535</v>
      </c>
      <c r="BD606" s="14" t="n">
        <v>0.129</v>
      </c>
      <c r="BE606" s="14" t="n">
        <v>0.083</v>
      </c>
      <c r="BF606" s="14" t="n">
        <v>0.752</v>
      </c>
      <c r="BG606" s="14" t="n">
        <v>0.25</v>
      </c>
      <c r="BH606" s="14" t="n">
        <v>1</v>
      </c>
      <c r="BI606" s="14" t="n">
        <v>0.579</v>
      </c>
      <c r="BJ606" s="14" t="n">
        <v>0.129</v>
      </c>
      <c r="BK606" s="14" t="n">
        <v>0.912</v>
      </c>
      <c r="BL606" s="14" t="n">
        <v>1.864</v>
      </c>
      <c r="BM606" s="14" t="n">
        <v>0.25</v>
      </c>
      <c r="BN606" s="14" t="n">
        <v>1</v>
      </c>
      <c r="BO606" s="14" t="n">
        <v>0</v>
      </c>
      <c r="BP606" s="14" t="n">
        <v>0.008999999999999999</v>
      </c>
      <c r="BQ606" s="14" t="n">
        <v>0.08599999999999999</v>
      </c>
      <c r="BR606" s="14" t="n">
        <v>0</v>
      </c>
      <c r="BS606" s="14" t="n">
        <v>1</v>
      </c>
      <c r="BT606" s="14" t="n">
        <v>0</v>
      </c>
      <c r="BU606" s="14" t="n">
        <v>-0.005</v>
      </c>
      <c r="BV606" s="14" t="n">
        <v>0.205</v>
      </c>
      <c r="BW606" s="14" t="n">
        <v>0.25</v>
      </c>
      <c r="BX606" s="14" t="n">
        <v>1</v>
      </c>
      <c r="BY606" s="14" t="n">
        <v>13.254</v>
      </c>
      <c r="BZ606" s="14" t="n">
        <v>0</v>
      </c>
      <c r="CA606" s="14" t="n">
        <v>13.254</v>
      </c>
      <c r="CB606" s="14" t="n">
        <v>0</v>
      </c>
      <c r="CC606" s="14" t="n">
        <v>83.248</v>
      </c>
      <c r="CD606" s="14" t="n">
        <v>7.95</v>
      </c>
      <c r="CE606" s="14" t="n">
        <v>112.488</v>
      </c>
      <c r="CF606" s="14" t="n">
        <v>244.67</v>
      </c>
      <c r="CG606" s="14" t="n">
        <v>0.25</v>
      </c>
      <c r="CH606" s="14" t="n">
        <v>1</v>
      </c>
      <c r="CI606" s="14" t="n">
        <v>0</v>
      </c>
      <c r="CJ606" s="14" t="n">
        <v>0</v>
      </c>
      <c r="CK606" s="14" t="n">
        <v>0</v>
      </c>
      <c r="CL606" s="14" t="n">
        <v>0</v>
      </c>
      <c r="CM606" s="14" t="n">
        <v>0</v>
      </c>
      <c r="CN606" s="14" t="n">
        <v>0.001</v>
      </c>
      <c r="CO606" s="14" t="n">
        <v>0.001</v>
      </c>
      <c r="CP606" s="14" t="n">
        <v>0.049</v>
      </c>
      <c r="CQ606" s="14" t="n">
        <v>1.348</v>
      </c>
      <c r="CR606" s="14" t="n">
        <v>0.98</v>
      </c>
      <c r="CS606" s="14" t="n">
        <v>2.487</v>
      </c>
      <c r="CT606" s="14" t="n">
        <v>5.104</v>
      </c>
      <c r="CU606" s="14" t="n">
        <v>11.809</v>
      </c>
    </row>
    <row r="607">
      <c r="A607" s="14" t="inlineStr">
        <is>
          <t>NOR2024</t>
        </is>
      </c>
      <c r="B607" s="14" t="inlineStr">
        <is>
          <t>NOR</t>
        </is>
      </c>
      <c r="C607" s="14" t="inlineStr">
        <is>
          <t>NOR</t>
        </is>
      </c>
      <c r="D607" s="14" t="inlineStr">
        <is>
          <t>Norway</t>
        </is>
      </c>
      <c r="E607" s="14" t="n">
        <v>2024</v>
      </c>
      <c r="F607" s="14" t="n">
        <v>0.25</v>
      </c>
      <c r="G607" s="14" t="n">
        <v>5.604</v>
      </c>
      <c r="H607" s="14" t="n">
        <v>1.291</v>
      </c>
      <c r="I607" s="14" t="n">
        <v>6.197</v>
      </c>
      <c r="J607" s="14" t="n">
        <v>11.801</v>
      </c>
      <c r="K607" s="14" t="n">
        <v>0</v>
      </c>
      <c r="L607" s="14" t="n">
        <v>1</v>
      </c>
      <c r="M607" s="14" t="n">
        <v>6.94</v>
      </c>
      <c r="N607" s="14" t="n">
        <v>3.874</v>
      </c>
      <c r="O607" s="14" t="n">
        <v>6.292</v>
      </c>
      <c r="P607" s="14" t="n">
        <v>13.232</v>
      </c>
      <c r="Q607" s="14" t="n">
        <v>0</v>
      </c>
      <c r="R607" s="14" t="n">
        <v>1</v>
      </c>
      <c r="S607" s="14" t="n">
        <v>12.06</v>
      </c>
      <c r="T607" s="14" t="n">
        <v>7.747</v>
      </c>
      <c r="U607" s="14" t="n">
        <v>5.335</v>
      </c>
      <c r="V607" s="14" t="n">
        <v>21.028</v>
      </c>
      <c r="W607" s="14" t="n">
        <v>0.25</v>
      </c>
      <c r="X607" s="14" t="n">
        <v>1</v>
      </c>
      <c r="Y607" s="14" t="n">
        <v>3.383</v>
      </c>
      <c r="Z607" s="14" t="n">
        <v>0.271</v>
      </c>
      <c r="AA607" s="14" t="n">
        <v>6.301</v>
      </c>
      <c r="AB607" s="14" t="n">
        <v>9.683999999999999</v>
      </c>
      <c r="AC607" s="14" t="n">
        <v>0</v>
      </c>
      <c r="AD607" s="14" t="n">
        <v>1</v>
      </c>
      <c r="AE607" s="14" t="n">
        <v>4.058</v>
      </c>
      <c r="AF607" s="14" t="n">
        <v>0.596</v>
      </c>
      <c r="AG607" s="14" t="n">
        <v>6.301</v>
      </c>
      <c r="AH607" s="14" t="n">
        <v>10.359</v>
      </c>
      <c r="AI607" s="14" t="n">
        <v>0</v>
      </c>
      <c r="AJ607" s="14" t="n">
        <v>1</v>
      </c>
      <c r="AK607" s="14" t="n">
        <v>8.108000000000001</v>
      </c>
      <c r="AL607" s="14" t="n">
        <v>3.211</v>
      </c>
      <c r="AM607" s="14" t="n">
        <v>3</v>
      </c>
      <c r="AN607" s="14" t="n">
        <v>13.428</v>
      </c>
      <c r="AO607" s="14" t="n">
        <v>0.25</v>
      </c>
      <c r="AP607" s="14" t="n">
        <v>1</v>
      </c>
      <c r="AQ607" s="14" t="n">
        <v>0.724</v>
      </c>
      <c r="AR607" s="14" t="n">
        <v>0.132</v>
      </c>
      <c r="AS607" s="14" t="n">
        <v>0.909</v>
      </c>
      <c r="AT607" s="14" t="n">
        <v>2.041</v>
      </c>
      <c r="AU607" s="14" t="n">
        <v>0.25</v>
      </c>
      <c r="AV607" s="14" t="n">
        <v>1</v>
      </c>
      <c r="AW607" s="14" t="n">
        <v>0.75</v>
      </c>
      <c r="AX607" s="14" t="n">
        <v>0.132</v>
      </c>
      <c r="AY607" s="14" t="n">
        <v>0.764</v>
      </c>
      <c r="AZ607" s="14" t="n">
        <v>1.893</v>
      </c>
      <c r="BA607" s="14" t="n">
        <v>0.25</v>
      </c>
      <c r="BB607" s="14" t="n">
        <v>1</v>
      </c>
      <c r="BC607" s="14" t="n">
        <v>0.513</v>
      </c>
      <c r="BD607" s="14" t="n">
        <v>0.132</v>
      </c>
      <c r="BE607" s="14" t="n">
        <v>0.098</v>
      </c>
      <c r="BF607" s="14" t="n">
        <v>0.739</v>
      </c>
      <c r="BG607" s="14" t="n">
        <v>0.25</v>
      </c>
      <c r="BH607" s="14" t="n">
        <v>1</v>
      </c>
      <c r="BI607" s="14" t="n">
        <v>0.591</v>
      </c>
      <c r="BJ607" s="14" t="n">
        <v>0.132</v>
      </c>
      <c r="BK607" s="14" t="n">
        <v>1.019</v>
      </c>
      <c r="BL607" s="14" t="n">
        <v>2.013</v>
      </c>
      <c r="BM607" s="14" t="n">
        <v>0.25</v>
      </c>
      <c r="BN607" s="14" t="n">
        <v>1</v>
      </c>
      <c r="BO607" s="14" t="n">
        <v>0</v>
      </c>
      <c r="BP607" s="14" t="n">
        <v>0.008999999999999999</v>
      </c>
      <c r="BQ607" s="14" t="n">
        <v>0.064</v>
      </c>
      <c r="BR607" s="14" t="n">
        <v>0</v>
      </c>
      <c r="BS607" s="14" t="n">
        <v>1</v>
      </c>
      <c r="BT607" s="14" t="n">
        <v>0</v>
      </c>
      <c r="BU607" s="14" t="n">
        <v>0.008</v>
      </c>
      <c r="BV607" s="14" t="n">
        <v>0.211</v>
      </c>
      <c r="BW607" s="14" t="n">
        <v>0.25</v>
      </c>
      <c r="BX607" s="14" t="n">
        <v>1</v>
      </c>
      <c r="BY607" s="14" t="n">
        <v>13.646</v>
      </c>
      <c r="BZ607" s="14" t="n">
        <v>0</v>
      </c>
      <c r="CA607" s="14" t="n">
        <v>13.646</v>
      </c>
      <c r="CB607" s="14" t="n">
        <v>0</v>
      </c>
      <c r="CC607" s="14" t="n">
        <v>82.58799999999999</v>
      </c>
      <c r="CD607" s="14" t="n">
        <v>7.95</v>
      </c>
      <c r="CE607" s="14" t="n">
        <v>94.55500000000001</v>
      </c>
      <c r="CF607" s="14" t="n">
        <v>221.429</v>
      </c>
      <c r="CG607" s="14" t="n">
        <v>0.25</v>
      </c>
      <c r="CH607" s="14" t="n">
        <v>1</v>
      </c>
      <c r="CI607" s="14" t="n">
        <v>0</v>
      </c>
      <c r="CJ607" s="14" t="n">
        <v>0</v>
      </c>
      <c r="CK607" s="14" t="n">
        <v>0</v>
      </c>
      <c r="CL607" s="14" t="n">
        <v>0</v>
      </c>
      <c r="CM607" s="14" t="n">
        <v>0</v>
      </c>
      <c r="CN607" s="14" t="n">
        <v>0.001</v>
      </c>
      <c r="CO607" s="14" t="n">
        <v>0.001</v>
      </c>
      <c r="CP607" s="14" t="n">
        <v>0.049</v>
      </c>
      <c r="CQ607" s="14" t="n">
        <v>1.387</v>
      </c>
      <c r="CR607" s="14" t="n">
        <v>0.98</v>
      </c>
      <c r="CS607" s="14" t="n">
        <v>2.56</v>
      </c>
      <c r="CT607" s="14" t="n">
        <v>4.463</v>
      </c>
      <c r="CU607" s="14" t="n">
        <v>9.983000000000001</v>
      </c>
    </row>
    <row r="608">
      <c r="A608" s="14" t="inlineStr">
        <is>
          <t>OMN2021</t>
        </is>
      </c>
      <c r="B608" s="14" t="inlineStr">
        <is>
          <t>OMN</t>
        </is>
      </c>
      <c r="C608" s="14" t="inlineStr">
        <is>
          <t>OMN</t>
        </is>
      </c>
      <c r="D608" s="14" t="inlineStr">
        <is>
          <t>Oman</t>
        </is>
      </c>
      <c r="E608" s="14" t="n">
        <v>2021</v>
      </c>
      <c r="F608" s="14" t="n">
        <v>0.05</v>
      </c>
      <c r="G608" s="14" t="n">
        <v>5.897</v>
      </c>
      <c r="H608" s="14" t="n">
        <v>1.143</v>
      </c>
      <c r="I608" s="14" t="n">
        <v>0.238</v>
      </c>
      <c r="J608" s="14" t="n">
        <v>6.134</v>
      </c>
      <c r="K608" s="14" t="n">
        <v>0</v>
      </c>
      <c r="L608" s="14" t="n">
        <v>1</v>
      </c>
      <c r="M608" s="14" t="n">
        <v>7.964</v>
      </c>
      <c r="N608" s="14" t="n">
        <v>3.43</v>
      </c>
      <c r="O608" s="14" t="n">
        <v>0.227</v>
      </c>
      <c r="P608" s="14" t="n">
        <v>8.191000000000001</v>
      </c>
      <c r="Q608" s="14" t="n">
        <v>0</v>
      </c>
      <c r="R608" s="14" t="n">
        <v>1</v>
      </c>
      <c r="S608" s="14" t="n">
        <v>11.613</v>
      </c>
      <c r="T608" s="14" t="n">
        <v>6.86</v>
      </c>
      <c r="U608" s="14" t="n">
        <v>0.238</v>
      </c>
      <c r="V608" s="14" t="n">
        <v>12.444</v>
      </c>
      <c r="W608" s="14" t="n">
        <v>0.05</v>
      </c>
      <c r="X608" s="14" t="n">
        <v>1</v>
      </c>
      <c r="Y608" s="14" t="n">
        <v>5.869</v>
      </c>
      <c r="Z608" s="14" t="n">
        <v>0.6879999999999999</v>
      </c>
      <c r="AA608" s="14" t="n">
        <v>-2.666</v>
      </c>
      <c r="AB608" s="14" t="n">
        <v>3.202</v>
      </c>
      <c r="AC608" s="14" t="n">
        <v>0</v>
      </c>
      <c r="AD608" s="14" t="n">
        <v>0</v>
      </c>
      <c r="AE608" s="14" t="n">
        <v>6.472</v>
      </c>
      <c r="AF608" s="14" t="n">
        <v>1.334</v>
      </c>
      <c r="AG608" s="14" t="n">
        <v>-3.437</v>
      </c>
      <c r="AH608" s="14" t="n">
        <v>3.034</v>
      </c>
      <c r="AI608" s="14" t="n">
        <v>0</v>
      </c>
      <c r="AJ608" s="14" t="n">
        <v>0</v>
      </c>
      <c r="AK608" s="14" t="n">
        <v>10.091</v>
      </c>
      <c r="AL608" s="14" t="n">
        <v>4.936</v>
      </c>
      <c r="AM608" s="14" t="n">
        <v>0.037</v>
      </c>
      <c r="AN608" s="14" t="n">
        <v>10.635</v>
      </c>
      <c r="AO608" s="14" t="n">
        <v>0.05</v>
      </c>
      <c r="AP608" s="14" t="n">
        <v>1</v>
      </c>
      <c r="AQ608" s="14" t="n">
        <v>0.621</v>
      </c>
      <c r="AR608" s="14" t="n">
        <v>0.114</v>
      </c>
      <c r="AS608" s="14" t="n">
        <v>-0.061</v>
      </c>
      <c r="AT608" s="14" t="n">
        <v>0.588</v>
      </c>
      <c r="AU608" s="14" t="n">
        <v>0</v>
      </c>
      <c r="AV608" s="14" t="n">
        <v>0</v>
      </c>
      <c r="AW608" s="14" t="n">
        <v>0.593</v>
      </c>
      <c r="AX608" s="14" t="n">
        <v>0.114</v>
      </c>
      <c r="AY608" s="14" t="n">
        <v>-0.004</v>
      </c>
      <c r="AZ608" s="14" t="n">
        <v>0.619</v>
      </c>
      <c r="BA608" s="14" t="n">
        <v>0.05</v>
      </c>
      <c r="BB608" s="14" t="n">
        <v>1</v>
      </c>
      <c r="BC608" s="14" t="n">
        <v>0.44</v>
      </c>
      <c r="BD608" s="14" t="n">
        <v>0.114</v>
      </c>
      <c r="BE608" s="14" t="n">
        <v>0</v>
      </c>
      <c r="BF608" s="14" t="n">
        <v>0.462</v>
      </c>
      <c r="BG608" s="14" t="n">
        <v>0.05</v>
      </c>
      <c r="BH608" s="14" t="n">
        <v>1</v>
      </c>
      <c r="BI608" s="14" t="n">
        <v>0.5600000000000001</v>
      </c>
      <c r="BJ608" s="14" t="n">
        <v>0.114</v>
      </c>
      <c r="BK608" s="14" t="n">
        <v>0</v>
      </c>
      <c r="BL608" s="14" t="n">
        <v>0.588</v>
      </c>
      <c r="BM608" s="14" t="n">
        <v>0.05</v>
      </c>
      <c r="BN608" s="14" t="n">
        <v>1</v>
      </c>
      <c r="BO608" s="14" t="n">
        <v>0</v>
      </c>
      <c r="BP608" s="14" t="n">
        <v>0</v>
      </c>
      <c r="BQ608" s="14" t="n">
        <v>0.065</v>
      </c>
      <c r="BR608" s="14" t="n">
        <v>0</v>
      </c>
      <c r="BS608" s="14" t="n">
        <v>0.667</v>
      </c>
      <c r="BT608" s="14" t="n">
        <v>0</v>
      </c>
      <c r="BU608" s="14" t="n">
        <v>0</v>
      </c>
      <c r="BV608" s="14" t="n">
        <v>0.052</v>
      </c>
      <c r="BW608" s="14" t="n">
        <v>0.05</v>
      </c>
      <c r="BX608" s="14" t="n">
        <v>0.833</v>
      </c>
      <c r="BY608" s="14" t="n">
        <v>11.787</v>
      </c>
      <c r="BZ608" s="14" t="n">
        <v>0</v>
      </c>
      <c r="CA608" s="14" t="n">
        <v>11.787</v>
      </c>
      <c r="CB608" s="14" t="n">
        <v>0</v>
      </c>
      <c r="CC608" s="14" t="n">
        <v>81.69499999999999</v>
      </c>
      <c r="CD608" s="14" t="n">
        <v>7.95</v>
      </c>
      <c r="CE608" s="14" t="n">
        <v>0</v>
      </c>
      <c r="CF608" s="14" t="n">
        <v>85.78</v>
      </c>
      <c r="CG608" s="14" t="n">
        <v>0.05</v>
      </c>
      <c r="CH608" s="14" t="n">
        <v>1</v>
      </c>
      <c r="CI608" s="14" t="n">
        <v>0</v>
      </c>
      <c r="CJ608" s="14" t="n">
        <v>0</v>
      </c>
      <c r="CK608" s="14" t="n">
        <v>0</v>
      </c>
      <c r="CL608" s="14" t="n">
        <v>0</v>
      </c>
      <c r="CM608" s="14" t="n">
        <v>0</v>
      </c>
      <c r="CN608" s="14" t="n">
        <v>0</v>
      </c>
      <c r="CO608" s="14" t="n">
        <v>0</v>
      </c>
      <c r="CP608" s="14" t="n">
        <v>0</v>
      </c>
      <c r="CQ608" s="14" t="n">
        <v>1.198</v>
      </c>
      <c r="CR608" s="14" t="n">
        <v>0.945</v>
      </c>
      <c r="CS608" s="14" t="n">
        <v>4.908</v>
      </c>
      <c r="CT608" s="14" t="n">
        <v>4.753</v>
      </c>
      <c r="CU608" s="14" t="n">
        <v>14.129</v>
      </c>
    </row>
    <row r="609">
      <c r="A609" s="14" t="inlineStr">
        <is>
          <t>OMN2022</t>
        </is>
      </c>
      <c r="B609" s="14" t="inlineStr">
        <is>
          <t>OMN</t>
        </is>
      </c>
      <c r="C609" s="14" t="inlineStr">
        <is>
          <t>OMN</t>
        </is>
      </c>
      <c r="D609" s="14" t="inlineStr">
        <is>
          <t>Oman</t>
        </is>
      </c>
      <c r="E609" s="14" t="n">
        <v>2022</v>
      </c>
      <c r="F609" s="14" t="n">
        <v>0.05</v>
      </c>
      <c r="G609" s="14" t="n">
        <v>11.72</v>
      </c>
      <c r="H609" s="14" t="n">
        <v>1.235</v>
      </c>
      <c r="I609" s="14" t="n">
        <v>0.5659999999999999</v>
      </c>
      <c r="J609" s="14" t="n">
        <v>12.286</v>
      </c>
      <c r="K609" s="14" t="n">
        <v>0</v>
      </c>
      <c r="L609" s="14" t="n">
        <v>1</v>
      </c>
      <c r="M609" s="14" t="n">
        <v>9.782999999999999</v>
      </c>
      <c r="N609" s="14" t="n">
        <v>3.704</v>
      </c>
      <c r="O609" s="14" t="n">
        <v>0.328</v>
      </c>
      <c r="P609" s="14" t="n">
        <v>10.111</v>
      </c>
      <c r="Q609" s="14" t="n">
        <v>0</v>
      </c>
      <c r="R609" s="14" t="n">
        <v>1</v>
      </c>
      <c r="S609" s="14" t="n">
        <v>17.893</v>
      </c>
      <c r="T609" s="14" t="n">
        <v>7.408</v>
      </c>
      <c r="U609" s="14" t="n">
        <v>0.634</v>
      </c>
      <c r="V609" s="14" t="n">
        <v>19.382</v>
      </c>
      <c r="W609" s="14" t="n">
        <v>0.05</v>
      </c>
      <c r="X609" s="14" t="n">
        <v>1</v>
      </c>
      <c r="Y609" s="14" t="n">
        <v>6.876</v>
      </c>
      <c r="Z609" s="14" t="n">
        <v>0.806</v>
      </c>
      <c r="AA609" s="14" t="n">
        <v>-2.879</v>
      </c>
      <c r="AB609" s="14" t="n">
        <v>3.997</v>
      </c>
      <c r="AC609" s="14" t="n">
        <v>0</v>
      </c>
      <c r="AD609" s="14" t="n">
        <v>0</v>
      </c>
      <c r="AE609" s="14" t="n">
        <v>7.528</v>
      </c>
      <c r="AF609" s="14" t="n">
        <v>1.552</v>
      </c>
      <c r="AG609" s="14" t="n">
        <v>-4.115</v>
      </c>
      <c r="AH609" s="14" t="n">
        <v>3.412</v>
      </c>
      <c r="AI609" s="14" t="n">
        <v>0</v>
      </c>
      <c r="AJ609" s="14" t="n">
        <v>0</v>
      </c>
      <c r="AK609" s="14" t="n">
        <v>11.434</v>
      </c>
      <c r="AL609" s="14" t="n">
        <v>5.593</v>
      </c>
      <c r="AM609" s="14" t="n">
        <v>0.121</v>
      </c>
      <c r="AN609" s="14" t="n">
        <v>12.088</v>
      </c>
      <c r="AO609" s="14" t="n">
        <v>0.05</v>
      </c>
      <c r="AP609" s="14" t="n">
        <v>1</v>
      </c>
      <c r="AQ609" s="14" t="n">
        <v>0.847</v>
      </c>
      <c r="AR609" s="14" t="n">
        <v>0.123</v>
      </c>
      <c r="AS609" s="14" t="n">
        <v>-0.255</v>
      </c>
      <c r="AT609" s="14" t="n">
        <v>0.622</v>
      </c>
      <c r="AU609" s="14" t="n">
        <v>0</v>
      </c>
      <c r="AV609" s="14" t="n">
        <v>0</v>
      </c>
      <c r="AW609" s="14" t="n">
        <v>0.947</v>
      </c>
      <c r="AX609" s="14" t="n">
        <v>0.123</v>
      </c>
      <c r="AY609" s="14" t="n">
        <v>-0.308</v>
      </c>
      <c r="AZ609" s="14" t="n">
        <v>0.671</v>
      </c>
      <c r="BA609" s="14" t="n">
        <v>0.05</v>
      </c>
      <c r="BB609" s="14" t="n">
        <v>1</v>
      </c>
      <c r="BC609" s="14" t="n">
        <v>0.589</v>
      </c>
      <c r="BD609" s="14" t="n">
        <v>0.123</v>
      </c>
      <c r="BE609" s="14" t="n">
        <v>0.002</v>
      </c>
      <c r="BF609" s="14" t="n">
        <v>0.618</v>
      </c>
      <c r="BG609" s="14" t="n">
        <v>0.05</v>
      </c>
      <c r="BH609" s="14" t="n">
        <v>1</v>
      </c>
      <c r="BI609" s="14" t="n">
        <v>0.6889999999999999</v>
      </c>
      <c r="BJ609" s="14" t="n">
        <v>0.123</v>
      </c>
      <c r="BK609" s="14" t="n">
        <v>0.003</v>
      </c>
      <c r="BL609" s="14" t="n">
        <v>0.723</v>
      </c>
      <c r="BM609" s="14" t="n">
        <v>0.05</v>
      </c>
      <c r="BN609" s="14" t="n">
        <v>1</v>
      </c>
      <c r="BO609" s="14" t="n">
        <v>0</v>
      </c>
      <c r="BP609" s="14" t="n">
        <v>0</v>
      </c>
      <c r="BQ609" s="14" t="n">
        <v>0.065</v>
      </c>
      <c r="BR609" s="14" t="n">
        <v>0</v>
      </c>
      <c r="BS609" s="14" t="n">
        <v>0.667</v>
      </c>
      <c r="BT609" s="14" t="n">
        <v>0</v>
      </c>
      <c r="BU609" s="14" t="n">
        <v>0</v>
      </c>
      <c r="BV609" s="14" t="n">
        <v>0.055</v>
      </c>
      <c r="BW609" s="14" t="n">
        <v>0.05</v>
      </c>
      <c r="BX609" s="14" t="n">
        <v>0.833</v>
      </c>
      <c r="BY609" s="14" t="n">
        <v>12.729</v>
      </c>
      <c r="BZ609" s="14" t="n">
        <v>0</v>
      </c>
      <c r="CA609" s="14" t="n">
        <v>12.729</v>
      </c>
      <c r="CB609" s="14" t="n">
        <v>0</v>
      </c>
      <c r="CC609" s="14" t="n">
        <v>102.477</v>
      </c>
      <c r="CD609" s="14" t="n">
        <v>7.95</v>
      </c>
      <c r="CE609" s="14" t="n">
        <v>0.379</v>
      </c>
      <c r="CF609" s="14" t="n">
        <v>107.6</v>
      </c>
      <c r="CG609" s="14" t="n">
        <v>0.05</v>
      </c>
      <c r="CH609" s="14" t="n">
        <v>1</v>
      </c>
      <c r="CI609" s="14" t="n">
        <v>0</v>
      </c>
      <c r="CJ609" s="14" t="n">
        <v>0</v>
      </c>
      <c r="CK609" s="14" t="n">
        <v>0</v>
      </c>
      <c r="CL609" s="14" t="n">
        <v>0</v>
      </c>
      <c r="CM609" s="14" t="n">
        <v>0</v>
      </c>
      <c r="CN609" s="14" t="n">
        <v>0</v>
      </c>
      <c r="CO609" s="14" t="n">
        <v>0</v>
      </c>
      <c r="CP609" s="14" t="n">
        <v>0</v>
      </c>
      <c r="CQ609" s="14" t="n">
        <v>1.294</v>
      </c>
      <c r="CR609" s="14" t="n">
        <v>0.945</v>
      </c>
      <c r="CS609" s="14" t="n">
        <v>5.3</v>
      </c>
      <c r="CT609" s="14" t="n">
        <v>10.485</v>
      </c>
      <c r="CU609" s="14" t="n">
        <v>28.059</v>
      </c>
    </row>
    <row r="610">
      <c r="A610" s="14" t="inlineStr">
        <is>
          <t>OMN2023</t>
        </is>
      </c>
      <c r="B610" s="14" t="inlineStr">
        <is>
          <t>OMN</t>
        </is>
      </c>
      <c r="C610" s="14" t="inlineStr">
        <is>
          <t>OMN</t>
        </is>
      </c>
      <c r="D610" s="14" t="inlineStr">
        <is>
          <t>Oman</t>
        </is>
      </c>
      <c r="E610" s="14" t="n">
        <v>2023</v>
      </c>
      <c r="F610" s="14" t="n">
        <v>0.05</v>
      </c>
      <c r="G610" s="14" t="n">
        <v>6.147</v>
      </c>
      <c r="H610" s="14" t="n">
        <v>1.286</v>
      </c>
      <c r="I610" s="14" t="n">
        <v>0.273</v>
      </c>
      <c r="J610" s="14" t="n">
        <v>6.42</v>
      </c>
      <c r="K610" s="14" t="n">
        <v>0</v>
      </c>
      <c r="L610" s="14" t="n">
        <v>1</v>
      </c>
      <c r="M610" s="14" t="n">
        <v>7.886</v>
      </c>
      <c r="N610" s="14" t="n">
        <v>3.857</v>
      </c>
      <c r="O610" s="14" t="n">
        <v>0.227</v>
      </c>
      <c r="P610" s="14" t="n">
        <v>8.113</v>
      </c>
      <c r="Q610" s="14" t="n">
        <v>0</v>
      </c>
      <c r="R610" s="14" t="n">
        <v>1</v>
      </c>
      <c r="S610" s="14" t="n">
        <v>12.575</v>
      </c>
      <c r="T610" s="14" t="n">
        <v>7.714</v>
      </c>
      <c r="U610" s="14" t="n">
        <v>0.344</v>
      </c>
      <c r="V610" s="14" t="n">
        <v>13.491</v>
      </c>
      <c r="W610" s="14" t="n">
        <v>0.05</v>
      </c>
      <c r="X610" s="14" t="n">
        <v>1</v>
      </c>
      <c r="Y610" s="14" t="n">
        <v>6.442</v>
      </c>
      <c r="Z610" s="14" t="n">
        <v>0.755</v>
      </c>
      <c r="AA610" s="14" t="n">
        <v>-2.421</v>
      </c>
      <c r="AB610" s="14" t="n">
        <v>4.021</v>
      </c>
      <c r="AC610" s="14" t="n">
        <v>0</v>
      </c>
      <c r="AD610" s="14" t="n">
        <v>0</v>
      </c>
      <c r="AE610" s="14" t="n">
        <v>7.128</v>
      </c>
      <c r="AF610" s="14" t="n">
        <v>1.469</v>
      </c>
      <c r="AG610" s="14" t="n">
        <v>-3.716</v>
      </c>
      <c r="AH610" s="14" t="n">
        <v>3.412</v>
      </c>
      <c r="AI610" s="14" t="n">
        <v>0</v>
      </c>
      <c r="AJ610" s="14" t="n">
        <v>0</v>
      </c>
      <c r="AK610" s="14" t="n">
        <v>11.241</v>
      </c>
      <c r="AL610" s="14" t="n">
        <v>5.499</v>
      </c>
      <c r="AM610" s="14" t="n">
        <v>0.095</v>
      </c>
      <c r="AN610" s="14" t="n">
        <v>11.838</v>
      </c>
      <c r="AO610" s="14" t="n">
        <v>0.05</v>
      </c>
      <c r="AP610" s="14" t="n">
        <v>1</v>
      </c>
      <c r="AQ610" s="14" t="n">
        <v>0.749</v>
      </c>
      <c r="AR610" s="14" t="n">
        <v>0.129</v>
      </c>
      <c r="AS610" s="14" t="n">
        <v>-0.157</v>
      </c>
      <c r="AT610" s="14" t="n">
        <v>0.622</v>
      </c>
      <c r="AU610" s="14" t="n">
        <v>0</v>
      </c>
      <c r="AV610" s="14" t="n">
        <v>0</v>
      </c>
      <c r="AW610" s="14" t="n">
        <v>0.783</v>
      </c>
      <c r="AX610" s="14" t="n">
        <v>0.129</v>
      </c>
      <c r="AY610" s="14" t="n">
        <v>-0.143</v>
      </c>
      <c r="AZ610" s="14" t="n">
        <v>0.671</v>
      </c>
      <c r="BA610" s="14" t="n">
        <v>0.05</v>
      </c>
      <c r="BB610" s="14" t="n">
        <v>1</v>
      </c>
      <c r="BC610" s="14" t="n">
        <v>0.527</v>
      </c>
      <c r="BD610" s="14" t="n">
        <v>0.129</v>
      </c>
      <c r="BE610" s="14" t="n">
        <v>0.003</v>
      </c>
      <c r="BF610" s="14" t="n">
        <v>0.554</v>
      </c>
      <c r="BG610" s="14" t="n">
        <v>0.05</v>
      </c>
      <c r="BH610" s="14" t="n">
        <v>1</v>
      </c>
      <c r="BI610" s="14" t="n">
        <v>0.64</v>
      </c>
      <c r="BJ610" s="14" t="n">
        <v>0.129</v>
      </c>
      <c r="BK610" s="14" t="n">
        <v>0.004</v>
      </c>
      <c r="BL610" s="14" t="n">
        <v>0.672</v>
      </c>
      <c r="BM610" s="14" t="n">
        <v>0.05</v>
      </c>
      <c r="BN610" s="14" t="n">
        <v>1</v>
      </c>
      <c r="BO610" s="14" t="n">
        <v>0</v>
      </c>
      <c r="BP610" s="14" t="n">
        <v>0</v>
      </c>
      <c r="BQ610" s="14" t="n">
        <v>0.12</v>
      </c>
      <c r="BR610" s="14" t="n">
        <v>0</v>
      </c>
      <c r="BS610" s="14" t="n">
        <v>0.667</v>
      </c>
      <c r="BT610" s="14" t="n">
        <v>0</v>
      </c>
      <c r="BU610" s="14" t="n">
        <v>0</v>
      </c>
      <c r="BV610" s="14" t="n">
        <v>0.036</v>
      </c>
      <c r="BW610" s="14" t="n">
        <v>0.05</v>
      </c>
      <c r="BX610" s="14" t="n">
        <v>0.833</v>
      </c>
      <c r="BY610" s="14" t="n">
        <v>13.254</v>
      </c>
      <c r="BZ610" s="14" t="n">
        <v>0</v>
      </c>
      <c r="CA610" s="14" t="n">
        <v>13.254</v>
      </c>
      <c r="CB610" s="14" t="n">
        <v>0</v>
      </c>
      <c r="CC610" s="14" t="n">
        <v>87.07899999999999</v>
      </c>
      <c r="CD610" s="14" t="n">
        <v>7.95</v>
      </c>
      <c r="CE610" s="14" t="n">
        <v>0.482</v>
      </c>
      <c r="CF610" s="14" t="n">
        <v>91.43300000000001</v>
      </c>
      <c r="CG610" s="14" t="n">
        <v>0.05</v>
      </c>
      <c r="CH610" s="14" t="n">
        <v>1</v>
      </c>
      <c r="CI610" s="14" t="n">
        <v>0</v>
      </c>
      <c r="CJ610" s="14" t="n">
        <v>0</v>
      </c>
      <c r="CK610" s="14" t="n">
        <v>0</v>
      </c>
      <c r="CL610" s="14" t="n">
        <v>0</v>
      </c>
      <c r="CM610" s="14" t="n">
        <v>0</v>
      </c>
      <c r="CN610" s="14" t="n">
        <v>0</v>
      </c>
      <c r="CO610" s="14" t="n">
        <v>0</v>
      </c>
      <c r="CP610" s="14" t="n">
        <v>0</v>
      </c>
      <c r="CQ610" s="14" t="n">
        <v>1.348</v>
      </c>
      <c r="CR610" s="14" t="n">
        <v>0.9330000000000001</v>
      </c>
      <c r="CS610" s="14" t="n">
        <v>5.519</v>
      </c>
      <c r="CT610" s="14" t="n">
        <v>4.861</v>
      </c>
      <c r="CU610" s="14" t="n">
        <v>9.260999999999999</v>
      </c>
    </row>
    <row r="611">
      <c r="A611" s="14" t="inlineStr">
        <is>
          <t>OMN2024</t>
        </is>
      </c>
      <c r="B611" s="14" t="inlineStr">
        <is>
          <t>OMN</t>
        </is>
      </c>
      <c r="C611" s="14" t="inlineStr">
        <is>
          <t>OMN</t>
        </is>
      </c>
      <c r="D611" s="14" t="inlineStr">
        <is>
          <t>Oman</t>
        </is>
      </c>
      <c r="E611" s="14" t="n">
        <v>2024</v>
      </c>
      <c r="F611" s="14" t="n">
        <v>0.05</v>
      </c>
      <c r="G611" s="14" t="n">
        <v>5.575</v>
      </c>
      <c r="H611" s="14" t="n">
        <v>1.324</v>
      </c>
      <c r="I611" s="14" t="n">
        <v>0.213</v>
      </c>
      <c r="J611" s="14" t="n">
        <v>5.787</v>
      </c>
      <c r="K611" s="14" t="n">
        <v>0</v>
      </c>
      <c r="L611" s="14" t="n">
        <v>1</v>
      </c>
      <c r="M611" s="14" t="n">
        <v>7.124</v>
      </c>
      <c r="N611" s="14" t="n">
        <v>3.971</v>
      </c>
      <c r="O611" s="14" t="n">
        <v>0.158</v>
      </c>
      <c r="P611" s="14" t="n">
        <v>7.281</v>
      </c>
      <c r="Q611" s="14" t="n">
        <v>0</v>
      </c>
      <c r="R611" s="14" t="n">
        <v>1</v>
      </c>
      <c r="S611" s="14" t="n">
        <v>12.193</v>
      </c>
      <c r="T611" s="14" t="n">
        <v>7.942</v>
      </c>
      <c r="U611" s="14" t="n">
        <v>0.297</v>
      </c>
      <c r="V611" s="14" t="n">
        <v>13.026</v>
      </c>
      <c r="W611" s="14" t="n">
        <v>0.05</v>
      </c>
      <c r="X611" s="14" t="n">
        <v>1</v>
      </c>
      <c r="Y611" s="14" t="n">
        <v>6.506</v>
      </c>
      <c r="Z611" s="14" t="n">
        <v>0.762</v>
      </c>
      <c r="AA611" s="14" t="n">
        <v>-2.492</v>
      </c>
      <c r="AB611" s="14" t="n">
        <v>4.014</v>
      </c>
      <c r="AC611" s="14" t="n">
        <v>0</v>
      </c>
      <c r="AD611" s="14" t="n">
        <v>0</v>
      </c>
      <c r="AE611" s="14" t="n">
        <v>7.212</v>
      </c>
      <c r="AF611" s="14" t="n">
        <v>1.487</v>
      </c>
      <c r="AG611" s="14" t="n">
        <v>-3.699</v>
      </c>
      <c r="AH611" s="14" t="n">
        <v>3.513</v>
      </c>
      <c r="AI611" s="14" t="n">
        <v>0</v>
      </c>
      <c r="AJ611" s="14" t="n">
        <v>0</v>
      </c>
      <c r="AK611" s="14" t="n">
        <v>11.447</v>
      </c>
      <c r="AL611" s="14" t="n">
        <v>5.599</v>
      </c>
      <c r="AM611" s="14" t="n">
        <v>0.103</v>
      </c>
      <c r="AN611" s="14" t="n">
        <v>12.046</v>
      </c>
      <c r="AO611" s="14" t="n">
        <v>0.05</v>
      </c>
      <c r="AP611" s="14" t="n">
        <v>1</v>
      </c>
      <c r="AQ611" s="14" t="n">
        <v>0.72</v>
      </c>
      <c r="AR611" s="14" t="n">
        <v>0.132</v>
      </c>
      <c r="AS611" s="14" t="n">
        <v>-0.128</v>
      </c>
      <c r="AT611" s="14" t="n">
        <v>0.622</v>
      </c>
      <c r="AU611" s="14" t="n">
        <v>0</v>
      </c>
      <c r="AV611" s="14" t="n">
        <v>0</v>
      </c>
      <c r="AW611" s="14" t="n">
        <v>0.734</v>
      </c>
      <c r="AX611" s="14" t="n">
        <v>0.132</v>
      </c>
      <c r="AY611" s="14" t="n">
        <v>-0.095</v>
      </c>
      <c r="AZ611" s="14" t="n">
        <v>0.671</v>
      </c>
      <c r="BA611" s="14" t="n">
        <v>0.05</v>
      </c>
      <c r="BB611" s="14" t="n">
        <v>1</v>
      </c>
      <c r="BC611" s="14" t="n">
        <v>0.51</v>
      </c>
      <c r="BD611" s="14" t="n">
        <v>0.132</v>
      </c>
      <c r="BE611" s="14" t="n">
        <v>0.003</v>
      </c>
      <c r="BF611" s="14" t="n">
        <v>0.536</v>
      </c>
      <c r="BG611" s="14" t="n">
        <v>0.05</v>
      </c>
      <c r="BH611" s="14" t="n">
        <v>1</v>
      </c>
      <c r="BI611" s="14" t="n">
        <v>0.652</v>
      </c>
      <c r="BJ611" s="14" t="n">
        <v>0.132</v>
      </c>
      <c r="BK611" s="14" t="n">
        <v>0.004</v>
      </c>
      <c r="BL611" s="14" t="n">
        <v>0.6850000000000001</v>
      </c>
      <c r="BM611" s="14" t="n">
        <v>0.05</v>
      </c>
      <c r="BN611" s="14" t="n">
        <v>1</v>
      </c>
      <c r="BO611" s="14" t="n">
        <v>0</v>
      </c>
      <c r="BP611" s="14" t="n">
        <v>0</v>
      </c>
      <c r="BQ611" s="14" t="n">
        <v>0.09</v>
      </c>
      <c r="BR611" s="14" t="n">
        <v>0</v>
      </c>
      <c r="BS611" s="14" t="n">
        <v>0.667</v>
      </c>
      <c r="BT611" s="14" t="n">
        <v>0</v>
      </c>
      <c r="BU611" s="14" t="n">
        <v>0</v>
      </c>
      <c r="BV611" s="14" t="n">
        <v>0.048</v>
      </c>
      <c r="BW611" s="14" t="n">
        <v>0.05</v>
      </c>
      <c r="BX611" s="14" t="n">
        <v>0.833</v>
      </c>
      <c r="BY611" s="14" t="n">
        <v>13.646</v>
      </c>
      <c r="BZ611" s="14" t="n">
        <v>0</v>
      </c>
      <c r="CA611" s="14" t="n">
        <v>13.646</v>
      </c>
      <c r="CB611" s="14" t="n">
        <v>0</v>
      </c>
      <c r="CC611" s="14" t="n">
        <v>86.38500000000001</v>
      </c>
      <c r="CD611" s="14" t="n">
        <v>7.95</v>
      </c>
      <c r="CE611" s="14" t="n">
        <v>0.588</v>
      </c>
      <c r="CF611" s="14" t="n">
        <v>90.705</v>
      </c>
      <c r="CG611" s="14" t="n">
        <v>0.05</v>
      </c>
      <c r="CH611" s="14" t="n">
        <v>1</v>
      </c>
      <c r="CI611" s="14" t="n">
        <v>0</v>
      </c>
      <c r="CJ611" s="14" t="n">
        <v>0</v>
      </c>
      <c r="CK611" s="14" t="n">
        <v>0</v>
      </c>
      <c r="CL611" s="14" t="n">
        <v>0</v>
      </c>
      <c r="CM611" s="14" t="n">
        <v>0</v>
      </c>
      <c r="CN611" s="14" t="n">
        <v>0</v>
      </c>
      <c r="CO611" s="14" t="n">
        <v>0</v>
      </c>
      <c r="CP611" s="14" t="n">
        <v>0</v>
      </c>
      <c r="CQ611" s="14" t="n">
        <v>1.387</v>
      </c>
      <c r="CR611" s="14" t="n">
        <v>0.9330000000000001</v>
      </c>
      <c r="CS611" s="14" t="n">
        <v>5.681</v>
      </c>
      <c r="CT611" s="14" t="n">
        <v>4.251</v>
      </c>
      <c r="CU611" s="14" t="n">
        <v>7.598</v>
      </c>
    </row>
    <row r="612">
      <c r="A612" s="14" t="inlineStr">
        <is>
          <t>PAK2021</t>
        </is>
      </c>
      <c r="B612" s="14" t="inlineStr">
        <is>
          <t>PAK</t>
        </is>
      </c>
      <c r="C612" s="14" t="inlineStr">
        <is>
          <t>PAK</t>
        </is>
      </c>
      <c r="D612" s="14" t="inlineStr">
        <is>
          <t>Pakistan</t>
        </is>
      </c>
      <c r="E612" s="14" t="n">
        <v>2021</v>
      </c>
      <c r="F612" s="14" t="n">
        <v>0.17</v>
      </c>
      <c r="G612" s="14" t="n">
        <v>4.075</v>
      </c>
      <c r="H612" s="14" t="n">
        <v>1.014</v>
      </c>
      <c r="I612" s="14" t="n">
        <v>0.08400000000000001</v>
      </c>
      <c r="J612" s="14" t="n">
        <v>4.158</v>
      </c>
      <c r="K612" s="14" t="n">
        <v>0</v>
      </c>
      <c r="L612" s="14" t="n">
        <v>1</v>
      </c>
      <c r="M612" s="14" t="n">
        <v>6.823</v>
      </c>
      <c r="N612" s="14" t="n">
        <v>3.042</v>
      </c>
      <c r="O612" s="14" t="n">
        <v>0.105</v>
      </c>
      <c r="P612" s="14" t="n">
        <v>6.928</v>
      </c>
      <c r="Q612" s="14" t="n">
        <v>0</v>
      </c>
      <c r="R612" s="14" t="n">
        <v>1</v>
      </c>
      <c r="S612" s="14" t="n">
        <v>9.145</v>
      </c>
      <c r="T612" s="14" t="n">
        <v>6.085</v>
      </c>
      <c r="U612" s="14" t="n">
        <v>0.08400000000000001</v>
      </c>
      <c r="V612" s="14" t="n">
        <v>10.798</v>
      </c>
      <c r="W612" s="14" t="n">
        <v>0.17</v>
      </c>
      <c r="X612" s="14" t="n">
        <v>1</v>
      </c>
      <c r="Y612" s="14" t="n">
        <v>4.212</v>
      </c>
      <c r="Z612" s="14" t="n">
        <v>0.464</v>
      </c>
      <c r="AA612" s="14" t="n">
        <v>2.346</v>
      </c>
      <c r="AB612" s="14" t="n">
        <v>6.558</v>
      </c>
      <c r="AC612" s="14" t="n">
        <v>0</v>
      </c>
      <c r="AD612" s="14" t="n">
        <v>1</v>
      </c>
      <c r="AE612" s="14" t="n">
        <v>4.963</v>
      </c>
      <c r="AF612" s="14" t="n">
        <v>0.962</v>
      </c>
      <c r="AG612" s="14" t="n">
        <v>1.169</v>
      </c>
      <c r="AH612" s="14" t="n">
        <v>6.132</v>
      </c>
      <c r="AI612" s="14" t="n">
        <v>0</v>
      </c>
      <c r="AJ612" s="14" t="n">
        <v>1</v>
      </c>
      <c r="AK612" s="14" t="n">
        <v>9.471</v>
      </c>
      <c r="AL612" s="14" t="n">
        <v>4.441</v>
      </c>
      <c r="AM612" s="14" t="n">
        <v>-7.979</v>
      </c>
      <c r="AN612" s="14" t="n">
        <v>1.745</v>
      </c>
      <c r="AO612" s="14" t="n">
        <v>0</v>
      </c>
      <c r="AP612" s="14" t="n">
        <v>0</v>
      </c>
      <c r="AQ612" s="14" t="n">
        <v>0.621</v>
      </c>
      <c r="AR612" s="14" t="n">
        <v>0.114</v>
      </c>
      <c r="AS612" s="14" t="n">
        <v>-0.051</v>
      </c>
      <c r="AT612" s="14" t="n">
        <v>0.666</v>
      </c>
      <c r="AU612" s="14" t="n">
        <v>0.17</v>
      </c>
      <c r="AV612" s="14" t="n">
        <v>1</v>
      </c>
      <c r="AW612" s="14" t="n">
        <v>0.593</v>
      </c>
      <c r="AX612" s="14" t="n">
        <v>0.114</v>
      </c>
      <c r="AY612" s="14" t="n">
        <v>-0.012</v>
      </c>
      <c r="AZ612" s="14" t="n">
        <v>0.68</v>
      </c>
      <c r="BA612" s="14" t="n">
        <v>0.17</v>
      </c>
      <c r="BB612" s="14" t="n">
        <v>1</v>
      </c>
      <c r="BC612" s="14" t="n">
        <v>0.44</v>
      </c>
      <c r="BD612" s="14" t="n">
        <v>0.114</v>
      </c>
      <c r="BE612" s="14" t="n">
        <v>0.024</v>
      </c>
      <c r="BF612" s="14" t="n">
        <v>0.543</v>
      </c>
      <c r="BG612" s="14" t="n">
        <v>0.17</v>
      </c>
      <c r="BH612" s="14" t="n">
        <v>1</v>
      </c>
      <c r="BI612" s="14" t="n">
        <v>0.5600000000000001</v>
      </c>
      <c r="BJ612" s="14" t="n">
        <v>0.114</v>
      </c>
      <c r="BK612" s="14" t="n">
        <v>-0.14</v>
      </c>
      <c r="BL612" s="14" t="n">
        <v>0.491</v>
      </c>
      <c r="BM612" s="14" t="n">
        <v>0</v>
      </c>
      <c r="BN612" s="14" t="n">
        <v>0</v>
      </c>
      <c r="BO612" s="14" t="n">
        <v>0</v>
      </c>
      <c r="BP612" s="14" t="n">
        <v>-0.008999999999999999</v>
      </c>
      <c r="BQ612" s="14" t="n">
        <v>0.107</v>
      </c>
      <c r="BR612" s="14" t="n">
        <v>0</v>
      </c>
      <c r="BS612" s="14" t="n">
        <v>1</v>
      </c>
      <c r="BT612" s="14" t="n">
        <v>0</v>
      </c>
      <c r="BU612" s="14" t="n">
        <v>-0.008999999999999999</v>
      </c>
      <c r="BV612" s="14" t="n">
        <v>0.108</v>
      </c>
      <c r="BW612" s="14" t="n">
        <v>0</v>
      </c>
      <c r="BX612" s="14" t="n">
        <v>1</v>
      </c>
      <c r="BY612" s="14" t="n">
        <v>11.787</v>
      </c>
      <c r="BZ612" s="14" t="n">
        <v>0</v>
      </c>
      <c r="CA612" s="14" t="n">
        <v>11.787</v>
      </c>
      <c r="CB612" s="14" t="n">
        <v>0</v>
      </c>
      <c r="CC612" s="14" t="n">
        <v>81.69499999999999</v>
      </c>
      <c r="CD612" s="14" t="n">
        <v>7.95</v>
      </c>
      <c r="CE612" s="14" t="n">
        <v>45.811</v>
      </c>
      <c r="CF612" s="14" t="n">
        <v>149.182</v>
      </c>
      <c r="CG612" s="14" t="n">
        <v>0.17</v>
      </c>
      <c r="CH612" s="14" t="n">
        <v>1</v>
      </c>
      <c r="CI612" s="14" t="n">
        <v>0</v>
      </c>
      <c r="CJ612" s="14" t="n">
        <v>0</v>
      </c>
      <c r="CK612" s="14" t="n">
        <v>0</v>
      </c>
      <c r="CL612" s="14" t="n">
        <v>0</v>
      </c>
      <c r="CM612" s="14" t="n">
        <v>0</v>
      </c>
      <c r="CN612" s="14" t="n">
        <v>0</v>
      </c>
      <c r="CO612" s="14" t="n">
        <v>0</v>
      </c>
      <c r="CP612" s="14" t="n">
        <v>0.226</v>
      </c>
      <c r="CQ612" s="14" t="n">
        <v>1.198</v>
      </c>
      <c r="CR612" s="14" t="n">
        <v>0.6860000000000001</v>
      </c>
      <c r="CS612" s="14" t="n">
        <v>2.13</v>
      </c>
      <c r="CT612" s="14" t="n">
        <v>3.604</v>
      </c>
      <c r="CU612" s="14" t="n">
        <v>6.361</v>
      </c>
    </row>
    <row r="613">
      <c r="A613" s="14" t="inlineStr">
        <is>
          <t>PAK2022</t>
        </is>
      </c>
      <c r="B613" s="14" t="inlineStr">
        <is>
          <t>PAK</t>
        </is>
      </c>
      <c r="C613" s="14" t="inlineStr">
        <is>
          <t>PAK</t>
        </is>
      </c>
      <c r="D613" s="14" t="inlineStr">
        <is>
          <t>Pakistan</t>
        </is>
      </c>
      <c r="E613" s="14" t="n">
        <v>2022</v>
      </c>
      <c r="F613" s="14" t="n">
        <v>0.17</v>
      </c>
      <c r="G613" s="14" t="n">
        <v>7.234</v>
      </c>
      <c r="H613" s="14" t="n">
        <v>1.095</v>
      </c>
      <c r="I613" s="14" t="n">
        <v>0.189</v>
      </c>
      <c r="J613" s="14" t="n">
        <v>7.424</v>
      </c>
      <c r="K613" s="14" t="n">
        <v>0</v>
      </c>
      <c r="L613" s="14" t="n">
        <v>1</v>
      </c>
      <c r="M613" s="14" t="n">
        <v>8.282999999999999</v>
      </c>
      <c r="N613" s="14" t="n">
        <v>3.286</v>
      </c>
      <c r="O613" s="14" t="n">
        <v>0.152</v>
      </c>
      <c r="P613" s="14" t="n">
        <v>8.435</v>
      </c>
      <c r="Q613" s="14" t="n">
        <v>0</v>
      </c>
      <c r="R613" s="14" t="n">
        <v>1</v>
      </c>
      <c r="S613" s="14" t="n">
        <v>12.71</v>
      </c>
      <c r="T613" s="14" t="n">
        <v>6.571</v>
      </c>
      <c r="U613" s="14" t="n">
        <v>0.352</v>
      </c>
      <c r="V613" s="14" t="n">
        <v>15.093</v>
      </c>
      <c r="W613" s="14" t="n">
        <v>0.17</v>
      </c>
      <c r="X613" s="14" t="n">
        <v>1</v>
      </c>
      <c r="Y613" s="14" t="n">
        <v>5.475</v>
      </c>
      <c r="Z613" s="14" t="n">
        <v>0.603</v>
      </c>
      <c r="AA613" s="14" t="n">
        <v>2.534</v>
      </c>
      <c r="AB613" s="14" t="n">
        <v>8.007999999999999</v>
      </c>
      <c r="AC613" s="14" t="n">
        <v>0</v>
      </c>
      <c r="AD613" s="14" t="n">
        <v>1</v>
      </c>
      <c r="AE613" s="14" t="n">
        <v>6.255</v>
      </c>
      <c r="AF613" s="14" t="n">
        <v>1.213</v>
      </c>
      <c r="AG613" s="14" t="n">
        <v>-1.379</v>
      </c>
      <c r="AH613" s="14" t="n">
        <v>4.876</v>
      </c>
      <c r="AI613" s="14" t="n">
        <v>0</v>
      </c>
      <c r="AJ613" s="14" t="n">
        <v>1</v>
      </c>
      <c r="AK613" s="14" t="n">
        <v>10.935</v>
      </c>
      <c r="AL613" s="14" t="n">
        <v>5.127</v>
      </c>
      <c r="AM613" s="14" t="n">
        <v>-9.749000000000001</v>
      </c>
      <c r="AN613" s="14" t="n">
        <v>1.388</v>
      </c>
      <c r="AO613" s="14" t="n">
        <v>0</v>
      </c>
      <c r="AP613" s="14" t="n">
        <v>0</v>
      </c>
      <c r="AQ613" s="14" t="n">
        <v>0.847</v>
      </c>
      <c r="AR613" s="14" t="n">
        <v>0.123</v>
      </c>
      <c r="AS613" s="14" t="n">
        <v>-0.047</v>
      </c>
      <c r="AT613" s="14" t="n">
        <v>0.9360000000000001</v>
      </c>
      <c r="AU613" s="14" t="n">
        <v>0.17</v>
      </c>
      <c r="AV613" s="14" t="n">
        <v>1</v>
      </c>
      <c r="AW613" s="14" t="n">
        <v>0.947</v>
      </c>
      <c r="AX613" s="14" t="n">
        <v>0.123</v>
      </c>
      <c r="AY613" s="14" t="n">
        <v>-0.143</v>
      </c>
      <c r="AZ613" s="14" t="n">
        <v>0.9409999999999999</v>
      </c>
      <c r="BA613" s="14" t="n">
        <v>0.17</v>
      </c>
      <c r="BB613" s="14" t="n">
        <v>1</v>
      </c>
      <c r="BC613" s="14" t="n">
        <v>0.589</v>
      </c>
      <c r="BD613" s="14" t="n">
        <v>0.123</v>
      </c>
      <c r="BE613" s="14" t="n">
        <v>-0.06900000000000001</v>
      </c>
      <c r="BF613" s="14" t="n">
        <v>0.607</v>
      </c>
      <c r="BG613" s="14" t="n">
        <v>0.17</v>
      </c>
      <c r="BH613" s="14" t="n">
        <v>1</v>
      </c>
      <c r="BI613" s="14" t="n">
        <v>0.6889999999999999</v>
      </c>
      <c r="BJ613" s="14" t="n">
        <v>0.123</v>
      </c>
      <c r="BK613" s="14" t="n">
        <v>-0.049</v>
      </c>
      <c r="BL613" s="14" t="n">
        <v>0.749</v>
      </c>
      <c r="BM613" s="14" t="n">
        <v>0</v>
      </c>
      <c r="BN613" s="14" t="n">
        <v>0</v>
      </c>
      <c r="BO613" s="14" t="n">
        <v>0</v>
      </c>
      <c r="BP613" s="14" t="n">
        <v>-0.052</v>
      </c>
      <c r="BQ613" s="14" t="n">
        <v>0.124</v>
      </c>
      <c r="BR613" s="14" t="n">
        <v>0</v>
      </c>
      <c r="BS613" s="14" t="n">
        <v>1</v>
      </c>
      <c r="BT613" s="14" t="n">
        <v>0</v>
      </c>
      <c r="BU613" s="14" t="n">
        <v>-0.052</v>
      </c>
      <c r="BV613" s="14" t="n">
        <v>0.114</v>
      </c>
      <c r="BW613" s="14" t="n">
        <v>0</v>
      </c>
      <c r="BX613" s="14" t="n">
        <v>1</v>
      </c>
      <c r="BY613" s="14" t="n">
        <v>12.729</v>
      </c>
      <c r="BZ613" s="14" t="n">
        <v>0</v>
      </c>
      <c r="CA613" s="14" t="n">
        <v>12.729</v>
      </c>
      <c r="CB613" s="14" t="n">
        <v>0</v>
      </c>
      <c r="CC613" s="14" t="n">
        <v>102.477</v>
      </c>
      <c r="CD613" s="14" t="n">
        <v>7.95</v>
      </c>
      <c r="CE613" s="14" t="n">
        <v>49.287</v>
      </c>
      <c r="CF613" s="14" t="n">
        <v>175.357</v>
      </c>
      <c r="CG613" s="14" t="n">
        <v>0.17</v>
      </c>
      <c r="CH613" s="14" t="n">
        <v>1</v>
      </c>
      <c r="CI613" s="14" t="n">
        <v>0</v>
      </c>
      <c r="CJ613" s="14" t="n">
        <v>0</v>
      </c>
      <c r="CK613" s="14" t="n">
        <v>0</v>
      </c>
      <c r="CL613" s="14" t="n">
        <v>0</v>
      </c>
      <c r="CM613" s="14" t="n">
        <v>0</v>
      </c>
      <c r="CN613" s="14" t="n">
        <v>0</v>
      </c>
      <c r="CO613" s="14" t="n">
        <v>0</v>
      </c>
      <c r="CP613" s="14" t="n">
        <v>0.226</v>
      </c>
      <c r="CQ613" s="14" t="n">
        <v>1.294</v>
      </c>
      <c r="CR613" s="14" t="n">
        <v>0.736</v>
      </c>
      <c r="CS613" s="14" t="n">
        <v>2.3</v>
      </c>
      <c r="CT613" s="14" t="n">
        <v>7.554</v>
      </c>
      <c r="CU613" s="14" t="n">
        <v>11.388</v>
      </c>
    </row>
    <row r="614">
      <c r="A614" s="14" t="inlineStr">
        <is>
          <t>PAK2023</t>
        </is>
      </c>
      <c r="B614" s="14" t="inlineStr">
        <is>
          <t>PAK</t>
        </is>
      </c>
      <c r="C614" s="14" t="inlineStr">
        <is>
          <t>PAK</t>
        </is>
      </c>
      <c r="D614" s="14" t="inlineStr">
        <is>
          <t>Pakistan</t>
        </is>
      </c>
      <c r="E614" s="14" t="n">
        <v>2023</v>
      </c>
      <c r="F614" s="14" t="n">
        <v>0.17</v>
      </c>
      <c r="G614" s="14" t="n">
        <v>4.916</v>
      </c>
      <c r="H614" s="14" t="n">
        <v>1.14</v>
      </c>
      <c r="I614" s="14" t="n">
        <v>0.117</v>
      </c>
      <c r="J614" s="14" t="n">
        <v>5.033</v>
      </c>
      <c r="K614" s="14" t="n">
        <v>0</v>
      </c>
      <c r="L614" s="14" t="n">
        <v>1</v>
      </c>
      <c r="M614" s="14" t="n">
        <v>6.844</v>
      </c>
      <c r="N614" s="14" t="n">
        <v>3.421</v>
      </c>
      <c r="O614" s="14" t="n">
        <v>0.105</v>
      </c>
      <c r="P614" s="14" t="n">
        <v>6.95</v>
      </c>
      <c r="Q614" s="14" t="n">
        <v>0</v>
      </c>
      <c r="R614" s="14" t="n">
        <v>1</v>
      </c>
      <c r="S614" s="14" t="n">
        <v>10.618</v>
      </c>
      <c r="T614" s="14" t="n">
        <v>6.842</v>
      </c>
      <c r="U614" s="14" t="n">
        <v>0.319</v>
      </c>
      <c r="V614" s="14" t="n">
        <v>12.56</v>
      </c>
      <c r="W614" s="14" t="n">
        <v>0.17</v>
      </c>
      <c r="X614" s="14" t="n">
        <v>1</v>
      </c>
      <c r="Y614" s="14" t="n">
        <v>3.79</v>
      </c>
      <c r="Z614" s="14" t="n">
        <v>0.417</v>
      </c>
      <c r="AA614" s="14" t="n">
        <v>2.638</v>
      </c>
      <c r="AB614" s="14" t="n">
        <v>6.429</v>
      </c>
      <c r="AC614" s="14" t="n">
        <v>0</v>
      </c>
      <c r="AD614" s="14" t="n">
        <v>1</v>
      </c>
      <c r="AE614" s="14" t="n">
        <v>4.603</v>
      </c>
      <c r="AF614" s="14" t="n">
        <v>0.892</v>
      </c>
      <c r="AG614" s="14" t="n">
        <v>0.044</v>
      </c>
      <c r="AH614" s="14" t="n">
        <v>4.647</v>
      </c>
      <c r="AI614" s="14" t="n">
        <v>0</v>
      </c>
      <c r="AJ614" s="14" t="n">
        <v>1</v>
      </c>
      <c r="AK614" s="14" t="n">
        <v>9.477</v>
      </c>
      <c r="AL614" s="14" t="n">
        <v>4.444</v>
      </c>
      <c r="AM614" s="14" t="n">
        <v>-8.023</v>
      </c>
      <c r="AN614" s="14" t="n">
        <v>1.701</v>
      </c>
      <c r="AO614" s="14" t="n">
        <v>0</v>
      </c>
      <c r="AP614" s="14" t="n">
        <v>0</v>
      </c>
      <c r="AQ614" s="14" t="n">
        <v>0.749</v>
      </c>
      <c r="AR614" s="14" t="n">
        <v>0.129</v>
      </c>
      <c r="AS614" s="14" t="n">
        <v>-0.032</v>
      </c>
      <c r="AT614" s="14" t="n">
        <v>0.839</v>
      </c>
      <c r="AU614" s="14" t="n">
        <v>0.17</v>
      </c>
      <c r="AV614" s="14" t="n">
        <v>1</v>
      </c>
      <c r="AW614" s="14" t="n">
        <v>0.783</v>
      </c>
      <c r="AX614" s="14" t="n">
        <v>0.129</v>
      </c>
      <c r="AY614" s="14" t="n">
        <v>-0.04</v>
      </c>
      <c r="AZ614" s="14" t="n">
        <v>0.868</v>
      </c>
      <c r="BA614" s="14" t="n">
        <v>0.17</v>
      </c>
      <c r="BB614" s="14" t="n">
        <v>1</v>
      </c>
      <c r="BC614" s="14" t="n">
        <v>0.527</v>
      </c>
      <c r="BD614" s="14" t="n">
        <v>0.129</v>
      </c>
      <c r="BE614" s="14" t="n">
        <v>-0.063</v>
      </c>
      <c r="BF614" s="14" t="n">
        <v>0.543</v>
      </c>
      <c r="BG614" s="14" t="n">
        <v>0.17</v>
      </c>
      <c r="BH614" s="14" t="n">
        <v>1</v>
      </c>
      <c r="BI614" s="14" t="n">
        <v>0.64</v>
      </c>
      <c r="BJ614" s="14" t="n">
        <v>0.129</v>
      </c>
      <c r="BK614" s="14" t="n">
        <v>-0.097</v>
      </c>
      <c r="BL614" s="14" t="n">
        <v>0.634</v>
      </c>
      <c r="BM614" s="14" t="n">
        <v>0</v>
      </c>
      <c r="BN614" s="14" t="n">
        <v>0</v>
      </c>
      <c r="BO614" s="14" t="n">
        <v>0</v>
      </c>
      <c r="BP614" s="14" t="n">
        <v>-0.016</v>
      </c>
      <c r="BQ614" s="14" t="n">
        <v>0.093</v>
      </c>
      <c r="BR614" s="14" t="n">
        <v>0</v>
      </c>
      <c r="BS614" s="14" t="n">
        <v>1</v>
      </c>
      <c r="BT614" s="14" t="n">
        <v>0</v>
      </c>
      <c r="BU614" s="14" t="n">
        <v>-0.016</v>
      </c>
      <c r="BV614" s="14" t="n">
        <v>0.08500000000000001</v>
      </c>
      <c r="BW614" s="14" t="n">
        <v>0</v>
      </c>
      <c r="BX614" s="14" t="n">
        <v>1</v>
      </c>
      <c r="BY614" s="14" t="n">
        <v>13.254</v>
      </c>
      <c r="BZ614" s="14" t="n">
        <v>0</v>
      </c>
      <c r="CA614" s="14" t="n">
        <v>13.254</v>
      </c>
      <c r="CB614" s="14" t="n">
        <v>0</v>
      </c>
      <c r="CC614" s="14" t="n">
        <v>87.07899999999999</v>
      </c>
      <c r="CD614" s="14" t="n">
        <v>7.95</v>
      </c>
      <c r="CE614" s="14" t="n">
        <v>54.831</v>
      </c>
      <c r="CF614" s="14" t="n">
        <v>162.968</v>
      </c>
      <c r="CG614" s="14" t="n">
        <v>0.17</v>
      </c>
      <c r="CH614" s="14" t="n">
        <v>1</v>
      </c>
      <c r="CI614" s="14" t="n">
        <v>0</v>
      </c>
      <c r="CJ614" s="14" t="n">
        <v>0</v>
      </c>
      <c r="CK614" s="14" t="n">
        <v>0</v>
      </c>
      <c r="CL614" s="14" t="n">
        <v>0</v>
      </c>
      <c r="CM614" s="14" t="n">
        <v>0</v>
      </c>
      <c r="CN614" s="14" t="n">
        <v>0</v>
      </c>
      <c r="CO614" s="14" t="n">
        <v>0</v>
      </c>
      <c r="CP614" s="14" t="n">
        <v>0.226</v>
      </c>
      <c r="CQ614" s="14" t="n">
        <v>1.348</v>
      </c>
      <c r="CR614" s="14" t="n">
        <v>0.736</v>
      </c>
      <c r="CS614" s="14" t="n">
        <v>2.395</v>
      </c>
      <c r="CT614" s="14" t="n">
        <v>4.484</v>
      </c>
      <c r="CU614" s="14" t="n">
        <v>4.605</v>
      </c>
    </row>
    <row r="615">
      <c r="A615" s="14" t="inlineStr">
        <is>
          <t>PAK2024</t>
        </is>
      </c>
      <c r="B615" s="14" t="inlineStr">
        <is>
          <t>PAK</t>
        </is>
      </c>
      <c r="C615" s="14" t="inlineStr">
        <is>
          <t>PAK</t>
        </is>
      </c>
      <c r="D615" s="14" t="inlineStr">
        <is>
          <t>Pakistan</t>
        </is>
      </c>
      <c r="E615" s="14" t="n">
        <v>2024</v>
      </c>
      <c r="F615" s="14" t="n">
        <v>0.17</v>
      </c>
      <c r="G615" s="14" t="n">
        <v>4.204</v>
      </c>
      <c r="H615" s="14" t="n">
        <v>1.174</v>
      </c>
      <c r="I615" s="14" t="n">
        <v>0.081</v>
      </c>
      <c r="J615" s="14" t="n">
        <v>4.285</v>
      </c>
      <c r="K615" s="14" t="n">
        <v>0</v>
      </c>
      <c r="L615" s="14" t="n">
        <v>1</v>
      </c>
      <c r="M615" s="14" t="n">
        <v>6.276</v>
      </c>
      <c r="N615" s="14" t="n">
        <v>3.522</v>
      </c>
      <c r="O615" s="14" t="n">
        <v>0.073</v>
      </c>
      <c r="P615" s="14" t="n">
        <v>6.349</v>
      </c>
      <c r="Q615" s="14" t="n">
        <v>0</v>
      </c>
      <c r="R615" s="14" t="n">
        <v>1</v>
      </c>
      <c r="S615" s="14" t="n">
        <v>10.074</v>
      </c>
      <c r="T615" s="14" t="n">
        <v>7.044</v>
      </c>
      <c r="U615" s="14" t="n">
        <v>0.317</v>
      </c>
      <c r="V615" s="14" t="n">
        <v>11.882</v>
      </c>
      <c r="W615" s="14" t="n">
        <v>0.17</v>
      </c>
      <c r="X615" s="14" t="n">
        <v>1</v>
      </c>
      <c r="Y615" s="14" t="n">
        <v>3.708</v>
      </c>
      <c r="Z615" s="14" t="n">
        <v>0.408</v>
      </c>
      <c r="AA615" s="14" t="n">
        <v>2.716</v>
      </c>
      <c r="AB615" s="14" t="n">
        <v>6.424</v>
      </c>
      <c r="AC615" s="14" t="n">
        <v>0</v>
      </c>
      <c r="AD615" s="14" t="n">
        <v>1</v>
      </c>
      <c r="AE615" s="14" t="n">
        <v>4.545</v>
      </c>
      <c r="AF615" s="14" t="n">
        <v>0.881</v>
      </c>
      <c r="AG615" s="14" t="n">
        <v>4.236</v>
      </c>
      <c r="AH615" s="14" t="n">
        <v>8.779999999999999</v>
      </c>
      <c r="AI615" s="14" t="n">
        <v>0</v>
      </c>
      <c r="AJ615" s="14" t="n">
        <v>1</v>
      </c>
      <c r="AK615" s="14" t="n">
        <v>9.563000000000001</v>
      </c>
      <c r="AL615" s="14" t="n">
        <v>4.484</v>
      </c>
      <c r="AM615" s="14" t="n">
        <v>-6.01</v>
      </c>
      <c r="AN615" s="14" t="n">
        <v>4.157</v>
      </c>
      <c r="AO615" s="14" t="n">
        <v>0</v>
      </c>
      <c r="AP615" s="14" t="n">
        <v>0</v>
      </c>
      <c r="AQ615" s="14" t="n">
        <v>0.72</v>
      </c>
      <c r="AR615" s="14" t="n">
        <v>0.132</v>
      </c>
      <c r="AS615" s="14" t="n">
        <v>0.004</v>
      </c>
      <c r="AT615" s="14" t="n">
        <v>0.847</v>
      </c>
      <c r="AU615" s="14" t="n">
        <v>0.17</v>
      </c>
      <c r="AV615" s="14" t="n">
        <v>1</v>
      </c>
      <c r="AW615" s="14" t="n">
        <v>0.734</v>
      </c>
      <c r="AX615" s="14" t="n">
        <v>0.132</v>
      </c>
      <c r="AY615" s="14" t="n">
        <v>-0.015</v>
      </c>
      <c r="AZ615" s="14" t="n">
        <v>0.84</v>
      </c>
      <c r="BA615" s="14" t="n">
        <v>0.17</v>
      </c>
      <c r="BB615" s="14" t="n">
        <v>1</v>
      </c>
      <c r="BC615" s="14" t="n">
        <v>0.51</v>
      </c>
      <c r="BD615" s="14" t="n">
        <v>0.132</v>
      </c>
      <c r="BE615" s="14" t="n">
        <v>-0.028</v>
      </c>
      <c r="BF615" s="14" t="n">
        <v>0.5639999999999999</v>
      </c>
      <c r="BG615" s="14" t="n">
        <v>0.17</v>
      </c>
      <c r="BH615" s="14" t="n">
        <v>1</v>
      </c>
      <c r="BI615" s="14" t="n">
        <v>0.652</v>
      </c>
      <c r="BJ615" s="14" t="n">
        <v>0.132</v>
      </c>
      <c r="BK615" s="14" t="n">
        <v>-0.162</v>
      </c>
      <c r="BL615" s="14" t="n">
        <v>0.573</v>
      </c>
      <c r="BM615" s="14" t="n">
        <v>0</v>
      </c>
      <c r="BN615" s="14" t="n">
        <v>0</v>
      </c>
      <c r="BO615" s="14" t="n">
        <v>0</v>
      </c>
      <c r="BP615" s="14" t="n">
        <v>-0.017</v>
      </c>
      <c r="BQ615" s="14" t="n">
        <v>0.143</v>
      </c>
      <c r="BR615" s="14" t="n">
        <v>0</v>
      </c>
      <c r="BS615" s="14" t="n">
        <v>1</v>
      </c>
      <c r="BT615" s="14" t="n">
        <v>0</v>
      </c>
      <c r="BU615" s="14" t="n">
        <v>-0.017</v>
      </c>
      <c r="BV615" s="14" t="n">
        <v>0.122</v>
      </c>
      <c r="BW615" s="14" t="n">
        <v>0</v>
      </c>
      <c r="BX615" s="14" t="n">
        <v>1</v>
      </c>
      <c r="BY615" s="14" t="n">
        <v>13.646</v>
      </c>
      <c r="BZ615" s="14" t="n">
        <v>0</v>
      </c>
      <c r="CA615" s="14" t="n">
        <v>13.646</v>
      </c>
      <c r="CB615" s="14" t="n">
        <v>0</v>
      </c>
      <c r="CC615" s="14" t="n">
        <v>86.38500000000001</v>
      </c>
      <c r="CD615" s="14" t="n">
        <v>7.95</v>
      </c>
      <c r="CE615" s="14" t="n">
        <v>57.481</v>
      </c>
      <c r="CF615" s="14" t="n">
        <v>164.514</v>
      </c>
      <c r="CG615" s="14" t="n">
        <v>0.17</v>
      </c>
      <c r="CH615" s="14" t="n">
        <v>1</v>
      </c>
      <c r="CI615" s="14" t="n">
        <v>0</v>
      </c>
      <c r="CJ615" s="14" t="n">
        <v>0</v>
      </c>
      <c r="CK615" s="14" t="n">
        <v>0</v>
      </c>
      <c r="CL615" s="14" t="n">
        <v>0</v>
      </c>
      <c r="CM615" s="14" t="n">
        <v>0</v>
      </c>
      <c r="CN615" s="14" t="n">
        <v>0</v>
      </c>
      <c r="CO615" s="14" t="n">
        <v>0</v>
      </c>
      <c r="CP615" s="14" t="n">
        <v>0.226</v>
      </c>
      <c r="CQ615" s="14" t="n">
        <v>1.387</v>
      </c>
      <c r="CR615" s="14" t="n">
        <v>0.736</v>
      </c>
      <c r="CS615" s="14" t="n">
        <v>2.466</v>
      </c>
      <c r="CT615" s="14" t="n">
        <v>3.509</v>
      </c>
      <c r="CU615" s="14" t="n">
        <v>4.004</v>
      </c>
    </row>
    <row r="616">
      <c r="A616" s="14" t="inlineStr">
        <is>
          <t>PLW2021</t>
        </is>
      </c>
      <c r="B616" s="14" t="inlineStr">
        <is>
          <t>PLW</t>
        </is>
      </c>
      <c r="C616" s="14" t="inlineStr">
        <is>
          <t>PLW</t>
        </is>
      </c>
      <c r="D616" s="14" t="inlineStr">
        <is>
          <t>Palau</t>
        </is>
      </c>
      <c r="E616" s="14" t="n">
        <v>2021</v>
      </c>
      <c r="F616" s="14" t="n">
        <v>0</v>
      </c>
      <c r="G616" s="14" t="n">
        <v>4.747</v>
      </c>
      <c r="H616" s="14" t="n">
        <v>1.143</v>
      </c>
      <c r="I616" s="14" t="n">
        <v>0</v>
      </c>
      <c r="J616" s="14" t="n">
        <v>4.747</v>
      </c>
      <c r="K616" s="14" t="n">
        <v>0</v>
      </c>
      <c r="L616" s="14" t="n">
        <v>1</v>
      </c>
      <c r="M616" s="14" t="n">
        <v>7.964</v>
      </c>
      <c r="N616" s="14" t="n">
        <v>3.43</v>
      </c>
      <c r="O616" s="14" t="n">
        <v>0</v>
      </c>
      <c r="P616" s="14" t="n">
        <v>7.964</v>
      </c>
      <c r="Q616" s="14" t="n">
        <v>0</v>
      </c>
      <c r="R616" s="14" t="n">
        <v>1</v>
      </c>
      <c r="S616" s="14" t="n">
        <v>10.464</v>
      </c>
      <c r="T616" s="14" t="n">
        <v>6.86</v>
      </c>
      <c r="U616" s="14" t="n">
        <v>0</v>
      </c>
      <c r="V616" s="14" t="n">
        <v>10.464</v>
      </c>
      <c r="W616" s="14" t="n">
        <v>0</v>
      </c>
      <c r="X616" s="14" t="n">
        <v>1</v>
      </c>
      <c r="Y616" s="14" t="n">
        <v>4.333</v>
      </c>
      <c r="Z616" s="14" t="n">
        <v>0.535</v>
      </c>
      <c r="AA616" s="14" t="n">
        <v>0</v>
      </c>
      <c r="AB616" s="14" t="n">
        <v>4.333</v>
      </c>
      <c r="AC616" s="14" t="n">
        <v>0</v>
      </c>
      <c r="AD616" s="14" t="n">
        <v>1</v>
      </c>
      <c r="AE616" s="14" t="n">
        <v>5.477</v>
      </c>
      <c r="AF616" s="14" t="n">
        <v>1.194</v>
      </c>
      <c r="AG616" s="14" t="n">
        <v>0</v>
      </c>
      <c r="AH616" s="14" t="n">
        <v>5.477</v>
      </c>
      <c r="AI616" s="14" t="n">
        <v>0</v>
      </c>
      <c r="AJ616" s="14" t="n">
        <v>1</v>
      </c>
      <c r="AK616" s="14" t="n">
        <v>12.337</v>
      </c>
      <c r="AL616" s="14" t="n">
        <v>6.401</v>
      </c>
      <c r="AM616" s="14" t="n">
        <v>0</v>
      </c>
      <c r="AN616" s="14" t="n">
        <v>12.337</v>
      </c>
      <c r="AO616" s="14" t="n">
        <v>0</v>
      </c>
      <c r="AP616" s="14" t="n">
        <v>1</v>
      </c>
      <c r="AQ616" s="14" t="n">
        <v>0.621</v>
      </c>
      <c r="AR616" s="14" t="n">
        <v>0.114</v>
      </c>
      <c r="AS616" s="14" t="n">
        <v>0.712</v>
      </c>
      <c r="AT616" s="14" t="n">
        <v>1.332</v>
      </c>
      <c r="AU616" s="14" t="n">
        <v>0</v>
      </c>
      <c r="AV616" s="14" t="n">
        <v>1</v>
      </c>
      <c r="AW616" s="14" t="n">
        <v>0.593</v>
      </c>
      <c r="AX616" s="14" t="n">
        <v>0.114</v>
      </c>
      <c r="AY616" s="14" t="n">
        <v>0.753</v>
      </c>
      <c r="AZ616" s="14" t="n">
        <v>1.346</v>
      </c>
      <c r="BA616" s="14" t="n">
        <v>0</v>
      </c>
      <c r="BB616" s="14" t="n">
        <v>1</v>
      </c>
      <c r="BC616" s="14" t="n">
        <v>0.44</v>
      </c>
      <c r="BD616" s="14" t="n">
        <v>0.114</v>
      </c>
      <c r="BE616" s="14" t="n">
        <v>0.888</v>
      </c>
      <c r="BF616" s="14" t="n">
        <v>1.328</v>
      </c>
      <c r="BG616" s="14" t="n">
        <v>0</v>
      </c>
      <c r="BH616" s="14" t="n">
        <v>1</v>
      </c>
      <c r="BI616" s="14" t="n">
        <v>0.5600000000000001</v>
      </c>
      <c r="BJ616" s="14" t="n">
        <v>0.114</v>
      </c>
      <c r="BK616" s="14" t="n">
        <v>1.65</v>
      </c>
      <c r="BL616" s="14" t="n">
        <v>2.211</v>
      </c>
      <c r="BM616" s="14" t="n">
        <v>0</v>
      </c>
      <c r="BN616" s="14" t="n">
        <v>1</v>
      </c>
      <c r="BO616" s="14" t="n">
        <v>0</v>
      </c>
      <c r="BP616" s="14" t="n">
        <v>0</v>
      </c>
      <c r="BQ616" s="14" t="n">
        <v>0</v>
      </c>
      <c r="BR616" s="14" t="n">
        <v>0</v>
      </c>
      <c r="BS616" s="14" t="n">
        <v>1</v>
      </c>
      <c r="BT616" s="14" t="n">
        <v>0</v>
      </c>
      <c r="BU616" s="14" t="n">
        <v>0</v>
      </c>
      <c r="BV616" s="14" t="n">
        <v>0</v>
      </c>
      <c r="BW616" s="14" t="n">
        <v>0</v>
      </c>
      <c r="BX616" s="14" t="n">
        <v>1</v>
      </c>
      <c r="BY616" s="14" t="n">
        <v>11.787</v>
      </c>
      <c r="BZ616" s="14" t="n">
        <v>0</v>
      </c>
      <c r="CA616" s="14" t="n">
        <v>11.787</v>
      </c>
      <c r="CB616" s="14" t="n">
        <v>0</v>
      </c>
      <c r="CC616" s="14" t="n">
        <v>81.69499999999999</v>
      </c>
      <c r="CD616" s="14" t="n">
        <v>7.95</v>
      </c>
      <c r="CE616" s="14" t="n">
        <v>0</v>
      </c>
      <c r="CF616" s="14" t="n">
        <v>81.69499999999999</v>
      </c>
      <c r="CG616" s="14" t="n">
        <v>0</v>
      </c>
      <c r="CH616" s="14" t="n">
        <v>1</v>
      </c>
      <c r="CI616" s="14" t="n">
        <v>0</v>
      </c>
      <c r="CJ616" s="14" t="n">
        <v>0</v>
      </c>
      <c r="CK616" s="14" t="n">
        <v>0</v>
      </c>
      <c r="CL616" s="14" t="n">
        <v>0</v>
      </c>
      <c r="CM616" s="14" t="n">
        <v>0</v>
      </c>
      <c r="CN616" s="14" t="n">
        <v>0</v>
      </c>
      <c r="CO616" s="14" t="n">
        <v>0</v>
      </c>
      <c r="CP616" s="14" t="n">
        <v>0</v>
      </c>
      <c r="CQ616" s="14" t="n">
        <v>1.198</v>
      </c>
      <c r="CR616" s="14" t="n">
        <v>0</v>
      </c>
      <c r="CS616" s="14" t="n">
        <v>4.776</v>
      </c>
      <c r="CT616" s="14" t="n">
        <v>3.604</v>
      </c>
      <c r="CU616" s="14" t="n">
        <v>9.407999999999999</v>
      </c>
    </row>
    <row r="617">
      <c r="A617" s="14" t="inlineStr">
        <is>
          <t>PLW2022</t>
        </is>
      </c>
      <c r="B617" s="14" t="inlineStr">
        <is>
          <t>PLW</t>
        </is>
      </c>
      <c r="C617" s="14" t="inlineStr">
        <is>
          <t>PLW</t>
        </is>
      </c>
      <c r="D617" s="14" t="inlineStr">
        <is>
          <t>Palau</t>
        </is>
      </c>
      <c r="E617" s="14" t="n">
        <v>2022</v>
      </c>
      <c r="F617" s="14" t="n">
        <v>0</v>
      </c>
      <c r="G617" s="14" t="n">
        <v>8.788</v>
      </c>
      <c r="H617" s="14" t="n">
        <v>1.235</v>
      </c>
      <c r="I617" s="14" t="n">
        <v>0</v>
      </c>
      <c r="J617" s="14" t="n">
        <v>8.788</v>
      </c>
      <c r="K617" s="14" t="n">
        <v>0</v>
      </c>
      <c r="L617" s="14" t="n">
        <v>1</v>
      </c>
      <c r="M617" s="14" t="n">
        <v>9.782999999999999</v>
      </c>
      <c r="N617" s="14" t="n">
        <v>3.704</v>
      </c>
      <c r="O617" s="14" t="n">
        <v>0</v>
      </c>
      <c r="P617" s="14" t="n">
        <v>9.782999999999999</v>
      </c>
      <c r="Q617" s="14" t="n">
        <v>0</v>
      </c>
      <c r="R617" s="14" t="n">
        <v>1</v>
      </c>
      <c r="S617" s="14" t="n">
        <v>14.962</v>
      </c>
      <c r="T617" s="14" t="n">
        <v>7.408</v>
      </c>
      <c r="U617" s="14" t="n">
        <v>0</v>
      </c>
      <c r="V617" s="14" t="n">
        <v>14.962</v>
      </c>
      <c r="W617" s="14" t="n">
        <v>0</v>
      </c>
      <c r="X617" s="14" t="n">
        <v>1</v>
      </c>
      <c r="Y617" s="14" t="n">
        <v>4.68</v>
      </c>
      <c r="Z617" s="14" t="n">
        <v>0.577</v>
      </c>
      <c r="AA617" s="14" t="n">
        <v>0</v>
      </c>
      <c r="AB617" s="14" t="n">
        <v>4.68</v>
      </c>
      <c r="AC617" s="14" t="n">
        <v>0</v>
      </c>
      <c r="AD617" s="14" t="n">
        <v>1</v>
      </c>
      <c r="AE617" s="14" t="n">
        <v>5.914</v>
      </c>
      <c r="AF617" s="14" t="n">
        <v>1.289</v>
      </c>
      <c r="AG617" s="14" t="n">
        <v>0</v>
      </c>
      <c r="AH617" s="14" t="n">
        <v>5.914</v>
      </c>
      <c r="AI617" s="14" t="n">
        <v>0</v>
      </c>
      <c r="AJ617" s="14" t="n">
        <v>1</v>
      </c>
      <c r="AK617" s="14" t="n">
        <v>13.322</v>
      </c>
      <c r="AL617" s="14" t="n">
        <v>6.913</v>
      </c>
      <c r="AM617" s="14" t="n">
        <v>0</v>
      </c>
      <c r="AN617" s="14" t="n">
        <v>13.322</v>
      </c>
      <c r="AO617" s="14" t="n">
        <v>0</v>
      </c>
      <c r="AP617" s="14" t="n">
        <v>1</v>
      </c>
      <c r="AQ617" s="14" t="n">
        <v>0.847</v>
      </c>
      <c r="AR617" s="14" t="n">
        <v>0.123</v>
      </c>
      <c r="AS617" s="14" t="n">
        <v>0.733</v>
      </c>
      <c r="AT617" s="14" t="n">
        <v>1.579</v>
      </c>
      <c r="AU617" s="14" t="n">
        <v>0</v>
      </c>
      <c r="AV617" s="14" t="n">
        <v>1</v>
      </c>
      <c r="AW617" s="14" t="n">
        <v>0.947</v>
      </c>
      <c r="AX617" s="14" t="n">
        <v>0.123</v>
      </c>
      <c r="AY617" s="14" t="n">
        <v>0.8090000000000001</v>
      </c>
      <c r="AZ617" s="14" t="n">
        <v>1.756</v>
      </c>
      <c r="BA617" s="14" t="n">
        <v>0</v>
      </c>
      <c r="BB617" s="14" t="n">
        <v>1</v>
      </c>
      <c r="BC617" s="14" t="n">
        <v>0.589</v>
      </c>
      <c r="BD617" s="14" t="n">
        <v>0.123</v>
      </c>
      <c r="BE617" s="14" t="n">
        <v>0.973</v>
      </c>
      <c r="BF617" s="14" t="n">
        <v>1.561</v>
      </c>
      <c r="BG617" s="14" t="n">
        <v>0</v>
      </c>
      <c r="BH617" s="14" t="n">
        <v>1</v>
      </c>
      <c r="BI617" s="14" t="n">
        <v>0.6889999999999999</v>
      </c>
      <c r="BJ617" s="14" t="n">
        <v>0.123</v>
      </c>
      <c r="BK617" s="14" t="n">
        <v>1.676</v>
      </c>
      <c r="BL617" s="14" t="n">
        <v>2.365</v>
      </c>
      <c r="BM617" s="14" t="n">
        <v>0</v>
      </c>
      <c r="BN617" s="14" t="n">
        <v>1</v>
      </c>
      <c r="BO617" s="14" t="n">
        <v>0</v>
      </c>
      <c r="BP617" s="14" t="n">
        <v>0</v>
      </c>
      <c r="BQ617" s="14" t="n">
        <v>0</v>
      </c>
      <c r="BR617" s="14" t="n">
        <v>0</v>
      </c>
      <c r="BS617" s="14" t="n">
        <v>1</v>
      </c>
      <c r="BT617" s="14" t="n">
        <v>0</v>
      </c>
      <c r="BU617" s="14" t="n">
        <v>0</v>
      </c>
      <c r="BV617" s="14" t="n">
        <v>0</v>
      </c>
      <c r="BW617" s="14" t="n">
        <v>0</v>
      </c>
      <c r="BX617" s="14" t="n">
        <v>1</v>
      </c>
      <c r="BY617" s="14" t="n">
        <v>12.729</v>
      </c>
      <c r="BZ617" s="14" t="n">
        <v>0</v>
      </c>
      <c r="CA617" s="14" t="n">
        <v>12.729</v>
      </c>
      <c r="CB617" s="14" t="n">
        <v>0</v>
      </c>
      <c r="CC617" s="14" t="n">
        <v>102.477</v>
      </c>
      <c r="CD617" s="14" t="n">
        <v>7.95</v>
      </c>
      <c r="CE617" s="14" t="n">
        <v>0</v>
      </c>
      <c r="CF617" s="14" t="n">
        <v>102.477</v>
      </c>
      <c r="CG617" s="14" t="n">
        <v>0</v>
      </c>
      <c r="CH617" s="14" t="n">
        <v>1</v>
      </c>
      <c r="CI617" s="14" t="n">
        <v>0</v>
      </c>
      <c r="CJ617" s="14" t="n">
        <v>0</v>
      </c>
      <c r="CK617" s="14" t="n">
        <v>0</v>
      </c>
      <c r="CL617" s="14" t="n">
        <v>0</v>
      </c>
      <c r="CM617" s="14" t="n">
        <v>0</v>
      </c>
      <c r="CN617" s="14" t="n">
        <v>0</v>
      </c>
      <c r="CO617" s="14" t="n">
        <v>0</v>
      </c>
      <c r="CP617" s="14" t="n">
        <v>0</v>
      </c>
      <c r="CQ617" s="14" t="n">
        <v>1.294</v>
      </c>
      <c r="CR617" s="14" t="n">
        <v>0</v>
      </c>
      <c r="CS617" s="14" t="n">
        <v>5.158</v>
      </c>
      <c r="CT617" s="14" t="n">
        <v>7.554</v>
      </c>
      <c r="CU617" s="14" t="n">
        <v>16.097</v>
      </c>
    </row>
    <row r="618">
      <c r="A618" s="14" t="inlineStr">
        <is>
          <t>PLW2023</t>
        </is>
      </c>
      <c r="B618" s="14" t="inlineStr">
        <is>
          <t>PLW</t>
        </is>
      </c>
      <c r="C618" s="14" t="inlineStr">
        <is>
          <t>PLW</t>
        </is>
      </c>
      <c r="D618" s="14" t="inlineStr">
        <is>
          <t>Palau</t>
        </is>
      </c>
      <c r="E618" s="14" t="n">
        <v>2023</v>
      </c>
      <c r="F618" s="14" t="n">
        <v>0</v>
      </c>
      <c r="G618" s="14" t="n">
        <v>5.77</v>
      </c>
      <c r="H618" s="14" t="n">
        <v>1.286</v>
      </c>
      <c r="I618" s="14" t="n">
        <v>0</v>
      </c>
      <c r="J618" s="14" t="n">
        <v>5.77</v>
      </c>
      <c r="K618" s="14" t="n">
        <v>0</v>
      </c>
      <c r="L618" s="14" t="n">
        <v>1</v>
      </c>
      <c r="M618" s="14" t="n">
        <v>7.886</v>
      </c>
      <c r="N618" s="14" t="n">
        <v>3.857</v>
      </c>
      <c r="O618" s="14" t="n">
        <v>0</v>
      </c>
      <c r="P618" s="14" t="n">
        <v>7.886</v>
      </c>
      <c r="Q618" s="14" t="n">
        <v>0</v>
      </c>
      <c r="R618" s="14" t="n">
        <v>1</v>
      </c>
      <c r="S618" s="14" t="n">
        <v>12.198</v>
      </c>
      <c r="T618" s="14" t="n">
        <v>7.714</v>
      </c>
      <c r="U618" s="14" t="n">
        <v>0</v>
      </c>
      <c r="V618" s="14" t="n">
        <v>12.198</v>
      </c>
      <c r="W618" s="14" t="n">
        <v>0</v>
      </c>
      <c r="X618" s="14" t="n">
        <v>1</v>
      </c>
      <c r="Y618" s="14" t="n">
        <v>4.873</v>
      </c>
      <c r="Z618" s="14" t="n">
        <v>0.601</v>
      </c>
      <c r="AA618" s="14" t="n">
        <v>0</v>
      </c>
      <c r="AB618" s="14" t="n">
        <v>4.873</v>
      </c>
      <c r="AC618" s="14" t="n">
        <v>0</v>
      </c>
      <c r="AD618" s="14" t="n">
        <v>1</v>
      </c>
      <c r="AE618" s="14" t="n">
        <v>6.158</v>
      </c>
      <c r="AF618" s="14" t="n">
        <v>1.343</v>
      </c>
      <c r="AG618" s="14" t="n">
        <v>0</v>
      </c>
      <c r="AH618" s="14" t="n">
        <v>6.158</v>
      </c>
      <c r="AI618" s="14" t="n">
        <v>0</v>
      </c>
      <c r="AJ618" s="14" t="n">
        <v>1</v>
      </c>
      <c r="AK618" s="14" t="n">
        <v>13.872</v>
      </c>
      <c r="AL618" s="14" t="n">
        <v>7.198</v>
      </c>
      <c r="AM618" s="14" t="n">
        <v>0</v>
      </c>
      <c r="AN618" s="14" t="n">
        <v>13.872</v>
      </c>
      <c r="AO618" s="14" t="n">
        <v>0</v>
      </c>
      <c r="AP618" s="14" t="n">
        <v>1</v>
      </c>
      <c r="AQ618" s="14" t="n">
        <v>0.749</v>
      </c>
      <c r="AR618" s="14" t="n">
        <v>0.129</v>
      </c>
      <c r="AS618" s="14" t="n">
        <v>0.802</v>
      </c>
      <c r="AT618" s="14" t="n">
        <v>1.551</v>
      </c>
      <c r="AU618" s="14" t="n">
        <v>0</v>
      </c>
      <c r="AV618" s="14" t="n">
        <v>1</v>
      </c>
      <c r="AW618" s="14" t="n">
        <v>0.783</v>
      </c>
      <c r="AX618" s="14" t="n">
        <v>0.129</v>
      </c>
      <c r="AY618" s="14" t="n">
        <v>0.896</v>
      </c>
      <c r="AZ618" s="14" t="n">
        <v>1.678</v>
      </c>
      <c r="BA618" s="14" t="n">
        <v>0</v>
      </c>
      <c r="BB618" s="14" t="n">
        <v>1</v>
      </c>
      <c r="BC618" s="14" t="n">
        <v>0.527</v>
      </c>
      <c r="BD618" s="14" t="n">
        <v>0.129</v>
      </c>
      <c r="BE618" s="14" t="n">
        <v>1.071</v>
      </c>
      <c r="BF618" s="14" t="n">
        <v>1.599</v>
      </c>
      <c r="BG618" s="14" t="n">
        <v>0</v>
      </c>
      <c r="BH618" s="14" t="n">
        <v>1</v>
      </c>
      <c r="BI618" s="14" t="n">
        <v>0.64</v>
      </c>
      <c r="BJ618" s="14" t="n">
        <v>0.129</v>
      </c>
      <c r="BK618" s="14" t="n">
        <v>1.823</v>
      </c>
      <c r="BL618" s="14" t="n">
        <v>2.463</v>
      </c>
      <c r="BM618" s="14" t="n">
        <v>0</v>
      </c>
      <c r="BN618" s="14" t="n">
        <v>1</v>
      </c>
      <c r="BO618" s="14" t="n">
        <v>0</v>
      </c>
      <c r="BP618" s="14" t="n">
        <v>0</v>
      </c>
      <c r="BQ618" s="14" t="n">
        <v>0</v>
      </c>
      <c r="BR618" s="14" t="n">
        <v>0</v>
      </c>
      <c r="BS618" s="14" t="n">
        <v>1</v>
      </c>
      <c r="BT618" s="14" t="n">
        <v>0</v>
      </c>
      <c r="BU618" s="14" t="n">
        <v>0</v>
      </c>
      <c r="BV618" s="14" t="n">
        <v>0</v>
      </c>
      <c r="BW618" s="14" t="n">
        <v>0</v>
      </c>
      <c r="BX618" s="14" t="n">
        <v>1</v>
      </c>
      <c r="BY618" s="14" t="n">
        <v>13.254</v>
      </c>
      <c r="BZ618" s="14" t="n">
        <v>0</v>
      </c>
      <c r="CA618" s="14" t="n">
        <v>13.254</v>
      </c>
      <c r="CB618" s="14" t="n">
        <v>0</v>
      </c>
      <c r="CC618" s="14" t="n">
        <v>87.07899999999999</v>
      </c>
      <c r="CD618" s="14" t="n">
        <v>7.95</v>
      </c>
      <c r="CE618" s="14" t="n">
        <v>0</v>
      </c>
      <c r="CF618" s="14" t="n">
        <v>87.07899999999999</v>
      </c>
      <c r="CG618" s="14" t="n">
        <v>0</v>
      </c>
      <c r="CH618" s="14" t="n">
        <v>1</v>
      </c>
      <c r="CI618" s="14" t="n">
        <v>0</v>
      </c>
      <c r="CJ618" s="14" t="n">
        <v>0</v>
      </c>
      <c r="CK618" s="14" t="n">
        <v>0</v>
      </c>
      <c r="CL618" s="14" t="n">
        <v>0</v>
      </c>
      <c r="CM618" s="14" t="n">
        <v>0</v>
      </c>
      <c r="CN618" s="14" t="n">
        <v>0</v>
      </c>
      <c r="CO618" s="14" t="n">
        <v>0</v>
      </c>
      <c r="CP618" s="14" t="n">
        <v>0</v>
      </c>
      <c r="CQ618" s="14" t="n">
        <v>1.348</v>
      </c>
      <c r="CR618" s="14" t="n">
        <v>0</v>
      </c>
      <c r="CS618" s="14" t="n">
        <v>5.37</v>
      </c>
      <c r="CT618" s="14" t="n">
        <v>4.484</v>
      </c>
      <c r="CU618" s="14" t="n">
        <v>12.529</v>
      </c>
    </row>
    <row r="619">
      <c r="A619" s="14" t="inlineStr">
        <is>
          <t>PLW2024</t>
        </is>
      </c>
      <c r="B619" s="14" t="inlineStr">
        <is>
          <t>PLW</t>
        </is>
      </c>
      <c r="C619" s="14" t="inlineStr">
        <is>
          <t>PLW</t>
        </is>
      </c>
      <c r="D619" s="14" t="inlineStr">
        <is>
          <t>Palau</t>
        </is>
      </c>
      <c r="E619" s="14" t="n">
        <v>2024</v>
      </c>
      <c r="F619" s="14" t="n">
        <v>0</v>
      </c>
      <c r="G619" s="14" t="n">
        <v>4.833</v>
      </c>
      <c r="H619" s="14" t="n">
        <v>1.324</v>
      </c>
      <c r="I619" s="14" t="n">
        <v>0</v>
      </c>
      <c r="J619" s="14" t="n">
        <v>4.833</v>
      </c>
      <c r="K619" s="14" t="n">
        <v>0</v>
      </c>
      <c r="L619" s="14" t="n">
        <v>1</v>
      </c>
      <c r="M619" s="14" t="n">
        <v>7.124</v>
      </c>
      <c r="N619" s="14" t="n">
        <v>3.971</v>
      </c>
      <c r="O619" s="14" t="n">
        <v>0</v>
      </c>
      <c r="P619" s="14" t="n">
        <v>7.124</v>
      </c>
      <c r="Q619" s="14" t="n">
        <v>0</v>
      </c>
      <c r="R619" s="14" t="n">
        <v>1</v>
      </c>
      <c r="S619" s="14" t="n">
        <v>11.451</v>
      </c>
      <c r="T619" s="14" t="n">
        <v>7.942</v>
      </c>
      <c r="U619" s="14" t="n">
        <v>0</v>
      </c>
      <c r="V619" s="14" t="n">
        <v>11.451</v>
      </c>
      <c r="W619" s="14" t="n">
        <v>0</v>
      </c>
      <c r="X619" s="14" t="n">
        <v>1</v>
      </c>
      <c r="Y619" s="14" t="n">
        <v>5.017</v>
      </c>
      <c r="Z619" s="14" t="n">
        <v>0.619</v>
      </c>
      <c r="AA619" s="14" t="n">
        <v>0</v>
      </c>
      <c r="AB619" s="14" t="n">
        <v>5.017</v>
      </c>
      <c r="AC619" s="14" t="n">
        <v>0</v>
      </c>
      <c r="AD619" s="14" t="n">
        <v>1</v>
      </c>
      <c r="AE619" s="14" t="n">
        <v>6.34</v>
      </c>
      <c r="AF619" s="14" t="n">
        <v>1.382</v>
      </c>
      <c r="AG619" s="14" t="n">
        <v>0</v>
      </c>
      <c r="AH619" s="14" t="n">
        <v>6.34</v>
      </c>
      <c r="AI619" s="14" t="n">
        <v>0</v>
      </c>
      <c r="AJ619" s="14" t="n">
        <v>1</v>
      </c>
      <c r="AK619" s="14" t="n">
        <v>14.282</v>
      </c>
      <c r="AL619" s="14" t="n">
        <v>7.411</v>
      </c>
      <c r="AM619" s="14" t="n">
        <v>0</v>
      </c>
      <c r="AN619" s="14" t="n">
        <v>14.282</v>
      </c>
      <c r="AO619" s="14" t="n">
        <v>0</v>
      </c>
      <c r="AP619" s="14" t="n">
        <v>1</v>
      </c>
      <c r="AQ619" s="14" t="n">
        <v>0.72</v>
      </c>
      <c r="AR619" s="14" t="n">
        <v>0.132</v>
      </c>
      <c r="AS619" s="14" t="n">
        <v>0.841</v>
      </c>
      <c r="AT619" s="14" t="n">
        <v>1.561</v>
      </c>
      <c r="AU619" s="14" t="n">
        <v>0</v>
      </c>
      <c r="AV619" s="14" t="n">
        <v>1</v>
      </c>
      <c r="AW619" s="14" t="n">
        <v>0.734</v>
      </c>
      <c r="AX619" s="14" t="n">
        <v>0.132</v>
      </c>
      <c r="AY619" s="14" t="n">
        <v>0.9409999999999999</v>
      </c>
      <c r="AZ619" s="14" t="n">
        <v>1.675</v>
      </c>
      <c r="BA619" s="14" t="n">
        <v>0</v>
      </c>
      <c r="BB619" s="14" t="n">
        <v>1</v>
      </c>
      <c r="BC619" s="14" t="n">
        <v>0.51</v>
      </c>
      <c r="BD619" s="14" t="n">
        <v>0.132</v>
      </c>
      <c r="BE619" s="14" t="n">
        <v>1.125</v>
      </c>
      <c r="BF619" s="14" t="n">
        <v>1.636</v>
      </c>
      <c r="BG619" s="14" t="n">
        <v>0</v>
      </c>
      <c r="BH619" s="14" t="n">
        <v>1</v>
      </c>
      <c r="BI619" s="14" t="n">
        <v>0.652</v>
      </c>
      <c r="BJ619" s="14" t="n">
        <v>0.132</v>
      </c>
      <c r="BK619" s="14" t="n">
        <v>1.883</v>
      </c>
      <c r="BL619" s="14" t="n">
        <v>2.535</v>
      </c>
      <c r="BM619" s="14" t="n">
        <v>0</v>
      </c>
      <c r="BN619" s="14" t="n">
        <v>1</v>
      </c>
      <c r="BO619" s="14" t="n">
        <v>0</v>
      </c>
      <c r="BP619" s="14" t="n">
        <v>0</v>
      </c>
      <c r="BQ619" s="14" t="n">
        <v>0</v>
      </c>
      <c r="BR619" s="14" t="n">
        <v>0</v>
      </c>
      <c r="BS619" s="14" t="n">
        <v>1</v>
      </c>
      <c r="BT619" s="14" t="n">
        <v>0</v>
      </c>
      <c r="BU619" s="14" t="n">
        <v>0</v>
      </c>
      <c r="BV619" s="14" t="n">
        <v>0</v>
      </c>
      <c r="BW619" s="14" t="n">
        <v>0</v>
      </c>
      <c r="BX619" s="14" t="n">
        <v>1</v>
      </c>
      <c r="BY619" s="14" t="n">
        <v>13.646</v>
      </c>
      <c r="BZ619" s="14" t="n">
        <v>0</v>
      </c>
      <c r="CA619" s="14" t="n">
        <v>13.646</v>
      </c>
      <c r="CB619" s="14" t="n">
        <v>0</v>
      </c>
      <c r="CC619" s="14" t="n">
        <v>86.38500000000001</v>
      </c>
      <c r="CD619" s="14" t="n">
        <v>7.95</v>
      </c>
      <c r="CE619" s="14" t="n">
        <v>0</v>
      </c>
      <c r="CF619" s="14" t="n">
        <v>86.38500000000001</v>
      </c>
      <c r="CG619" s="14" t="n">
        <v>0</v>
      </c>
      <c r="CH619" s="14" t="n">
        <v>1</v>
      </c>
      <c r="CI619" s="14" t="n">
        <v>0</v>
      </c>
      <c r="CJ619" s="14" t="n">
        <v>0</v>
      </c>
      <c r="CK619" s="14" t="n">
        <v>0</v>
      </c>
      <c r="CL619" s="14" t="n">
        <v>0</v>
      </c>
      <c r="CM619" s="14" t="n">
        <v>0</v>
      </c>
      <c r="CN619" s="14" t="n">
        <v>0</v>
      </c>
      <c r="CO619" s="14" t="n">
        <v>0</v>
      </c>
      <c r="CP619" s="14" t="n">
        <v>0</v>
      </c>
      <c r="CQ619" s="14" t="n">
        <v>1.387</v>
      </c>
      <c r="CR619" s="14" t="n">
        <v>0</v>
      </c>
      <c r="CS619" s="14" t="n">
        <v>5.529</v>
      </c>
      <c r="CT619" s="14" t="n">
        <v>3.509</v>
      </c>
      <c r="CU619" s="14" t="n">
        <v>10.896</v>
      </c>
    </row>
    <row r="620">
      <c r="A620" s="14" t="inlineStr">
        <is>
          <t>PAN2021</t>
        </is>
      </c>
      <c r="B620" s="14" t="inlineStr">
        <is>
          <t>PAN</t>
        </is>
      </c>
      <c r="C620" s="14" t="inlineStr">
        <is>
          <t>PAN</t>
        </is>
      </c>
      <c r="D620" s="14" t="inlineStr">
        <is>
          <t>Panama</t>
        </is>
      </c>
      <c r="E620" s="14" t="n">
        <v>2021</v>
      </c>
      <c r="F620" s="14" t="n">
        <v>0.07000000000000001</v>
      </c>
      <c r="G620" s="14" t="n">
        <v>5.897</v>
      </c>
      <c r="H620" s="14" t="n">
        <v>1.143</v>
      </c>
      <c r="I620" s="14" t="n">
        <v>0</v>
      </c>
      <c r="J620" s="14" t="n">
        <v>5.897</v>
      </c>
      <c r="K620" s="14" t="n">
        <v>0</v>
      </c>
      <c r="L620" s="14" t="n">
        <v>1</v>
      </c>
      <c r="M620" s="14" t="n">
        <v>7.964</v>
      </c>
      <c r="N620" s="14" t="n">
        <v>3.43</v>
      </c>
      <c r="O620" s="14" t="n">
        <v>0.227</v>
      </c>
      <c r="P620" s="14" t="n">
        <v>8.191000000000001</v>
      </c>
      <c r="Q620" s="14" t="n">
        <v>0</v>
      </c>
      <c r="R620" s="14" t="n">
        <v>1</v>
      </c>
      <c r="S620" s="14" t="n">
        <v>11.613</v>
      </c>
      <c r="T620" s="14" t="n">
        <v>6.86</v>
      </c>
      <c r="U620" s="14" t="n">
        <v>0</v>
      </c>
      <c r="V620" s="14" t="n">
        <v>12.426</v>
      </c>
      <c r="W620" s="14" t="n">
        <v>0.07000000000000001</v>
      </c>
      <c r="X620" s="14" t="n">
        <v>1</v>
      </c>
      <c r="Y620" s="14" t="n">
        <v>5.919</v>
      </c>
      <c r="Z620" s="14" t="n">
        <v>0.796</v>
      </c>
      <c r="AA620" s="14" t="n">
        <v>0</v>
      </c>
      <c r="AB620" s="14" t="n">
        <v>5.919</v>
      </c>
      <c r="AC620" s="14" t="n">
        <v>0</v>
      </c>
      <c r="AD620" s="14" t="n">
        <v>1</v>
      </c>
      <c r="AE620" s="14" t="n">
        <v>7.062</v>
      </c>
      <c r="AF620" s="14" t="n">
        <v>1.654</v>
      </c>
      <c r="AG620" s="14" t="n">
        <v>0</v>
      </c>
      <c r="AH620" s="14" t="n">
        <v>7.062</v>
      </c>
      <c r="AI620" s="14" t="n">
        <v>0</v>
      </c>
      <c r="AJ620" s="14" t="n">
        <v>1</v>
      </c>
      <c r="AK620" s="14" t="n">
        <v>13.922</v>
      </c>
      <c r="AL620" s="14" t="n">
        <v>7.481</v>
      </c>
      <c r="AM620" s="14" t="n">
        <v>0</v>
      </c>
      <c r="AN620" s="14" t="n">
        <v>14.897</v>
      </c>
      <c r="AO620" s="14" t="n">
        <v>0.07000000000000001</v>
      </c>
      <c r="AP620" s="14" t="n">
        <v>1</v>
      </c>
      <c r="AQ620" s="14" t="n">
        <v>0.649</v>
      </c>
      <c r="AR620" s="14" t="n">
        <v>0.114</v>
      </c>
      <c r="AS620" s="14" t="n">
        <v>0.143</v>
      </c>
      <c r="AT620" s="14" t="n">
        <v>0.847</v>
      </c>
      <c r="AU620" s="14" t="n">
        <v>0.07000000000000001</v>
      </c>
      <c r="AV620" s="14" t="n">
        <v>1</v>
      </c>
      <c r="AW620" s="14" t="n">
        <v>0.577</v>
      </c>
      <c r="AX620" s="14" t="n">
        <v>0.114</v>
      </c>
      <c r="AY620" s="14" t="n">
        <v>0.118</v>
      </c>
      <c r="AZ620" s="14" t="n">
        <v>0.743</v>
      </c>
      <c r="BA620" s="14" t="n">
        <v>0.07000000000000001</v>
      </c>
      <c r="BB620" s="14" t="n">
        <v>1</v>
      </c>
      <c r="BC620" s="14" t="n">
        <v>0.458</v>
      </c>
      <c r="BD620" s="14" t="n">
        <v>0.114</v>
      </c>
      <c r="BE620" s="14" t="n">
        <v>-0.07199999999999999</v>
      </c>
      <c r="BF620" s="14" t="n">
        <v>0.386</v>
      </c>
      <c r="BG620" s="14" t="n">
        <v>0</v>
      </c>
      <c r="BH620" s="14" t="n">
        <v>0</v>
      </c>
      <c r="BI620" s="14" t="n">
        <v>0.491</v>
      </c>
      <c r="BJ620" s="14" t="n">
        <v>0.114</v>
      </c>
      <c r="BK620" s="14" t="n">
        <v>0.07000000000000001</v>
      </c>
      <c r="BL620" s="14" t="n">
        <v>0.6</v>
      </c>
      <c r="BM620" s="14" t="n">
        <v>0.07000000000000001</v>
      </c>
      <c r="BN620" s="14" t="n">
        <v>1</v>
      </c>
      <c r="BO620" s="14" t="n">
        <v>0</v>
      </c>
      <c r="BP620" s="14" t="n">
        <v>0</v>
      </c>
      <c r="BQ620" s="14" t="n">
        <v>0.153</v>
      </c>
      <c r="BR620" s="14" t="n">
        <v>0</v>
      </c>
      <c r="BS620" s="14" t="n">
        <v>1</v>
      </c>
      <c r="BT620" s="14" t="n">
        <v>0</v>
      </c>
      <c r="BU620" s="14" t="n">
        <v>0</v>
      </c>
      <c r="BV620" s="14" t="n">
        <v>0.177</v>
      </c>
      <c r="BW620" s="14" t="n">
        <v>0.07000000000000001</v>
      </c>
      <c r="BX620" s="14" t="n">
        <v>1</v>
      </c>
      <c r="BY620" s="14" t="n">
        <v>11.787</v>
      </c>
      <c r="BZ620" s="14" t="n">
        <v>0</v>
      </c>
      <c r="CA620" s="14" t="n">
        <v>11.787</v>
      </c>
      <c r="CB620" s="14" t="n">
        <v>0</v>
      </c>
      <c r="CC620" s="14" t="n">
        <v>78.125</v>
      </c>
      <c r="CD620" s="14" t="n">
        <v>7.95</v>
      </c>
      <c r="CE620" s="14" t="n">
        <v>-2.731</v>
      </c>
      <c r="CF620" s="14" t="n">
        <v>75.39400000000001</v>
      </c>
      <c r="CG620" s="14" t="n">
        <v>0</v>
      </c>
      <c r="CH620" s="14" t="n">
        <v>1</v>
      </c>
      <c r="CI620" s="14" t="n">
        <v>0</v>
      </c>
      <c r="CJ620" s="14" t="n">
        <v>0</v>
      </c>
      <c r="CK620" s="14" t="n">
        <v>0</v>
      </c>
      <c r="CL620" s="14" t="n">
        <v>0</v>
      </c>
      <c r="CM620" s="14" t="n">
        <v>0</v>
      </c>
      <c r="CN620" s="14" t="n">
        <v>0</v>
      </c>
      <c r="CO620" s="14" t="n">
        <v>0</v>
      </c>
      <c r="CP620" s="14" t="n">
        <v>0</v>
      </c>
      <c r="CQ620" s="14" t="n">
        <v>1.198</v>
      </c>
      <c r="CR620" s="14" t="n">
        <v>0</v>
      </c>
      <c r="CS620" s="14" t="n">
        <v>4.776</v>
      </c>
      <c r="CT620" s="14" t="n">
        <v>4.753</v>
      </c>
      <c r="CU620" s="14" t="n">
        <v>15.983</v>
      </c>
    </row>
    <row r="621">
      <c r="A621" s="14" t="inlineStr">
        <is>
          <t>PAN2022</t>
        </is>
      </c>
      <c r="B621" s="14" t="inlineStr">
        <is>
          <t>PAN</t>
        </is>
      </c>
      <c r="C621" s="14" t="inlineStr">
        <is>
          <t>PAN</t>
        </is>
      </c>
      <c r="D621" s="14" t="inlineStr">
        <is>
          <t>Panama</t>
        </is>
      </c>
      <c r="E621" s="14" t="n">
        <v>2022</v>
      </c>
      <c r="F621" s="14" t="n">
        <v>0.07000000000000001</v>
      </c>
      <c r="G621" s="14" t="n">
        <v>11.72</v>
      </c>
      <c r="H621" s="14" t="n">
        <v>1.235</v>
      </c>
      <c r="I621" s="14" t="n">
        <v>0</v>
      </c>
      <c r="J621" s="14" t="n">
        <v>11.72</v>
      </c>
      <c r="K621" s="14" t="n">
        <v>0</v>
      </c>
      <c r="L621" s="14" t="n">
        <v>1</v>
      </c>
      <c r="M621" s="14" t="n">
        <v>9.782999999999999</v>
      </c>
      <c r="N621" s="14" t="n">
        <v>3.704</v>
      </c>
      <c r="O621" s="14" t="n">
        <v>0.304</v>
      </c>
      <c r="P621" s="14" t="n">
        <v>10.087</v>
      </c>
      <c r="Q621" s="14" t="n">
        <v>0</v>
      </c>
      <c r="R621" s="14" t="n">
        <v>1</v>
      </c>
      <c r="S621" s="14" t="n">
        <v>17.893</v>
      </c>
      <c r="T621" s="14" t="n">
        <v>7.408</v>
      </c>
      <c r="U621" s="14" t="n">
        <v>0.093</v>
      </c>
      <c r="V621" s="14" t="n">
        <v>19.146</v>
      </c>
      <c r="W621" s="14" t="n">
        <v>0.07000000000000001</v>
      </c>
      <c r="X621" s="14" t="n">
        <v>1</v>
      </c>
      <c r="Y621" s="14" t="n">
        <v>6.392</v>
      </c>
      <c r="Z621" s="14" t="n">
        <v>0.86</v>
      </c>
      <c r="AA621" s="14" t="n">
        <v>0</v>
      </c>
      <c r="AB621" s="14" t="n">
        <v>6.392</v>
      </c>
      <c r="AC621" s="14" t="n">
        <v>0</v>
      </c>
      <c r="AD621" s="14" t="n">
        <v>1</v>
      </c>
      <c r="AE621" s="14" t="n">
        <v>7.627</v>
      </c>
      <c r="AF621" s="14" t="n">
        <v>1.786</v>
      </c>
      <c r="AG621" s="14" t="n">
        <v>0</v>
      </c>
      <c r="AH621" s="14" t="n">
        <v>7.627</v>
      </c>
      <c r="AI621" s="14" t="n">
        <v>0</v>
      </c>
      <c r="AJ621" s="14" t="n">
        <v>1</v>
      </c>
      <c r="AK621" s="14" t="n">
        <v>15.035</v>
      </c>
      <c r="AL621" s="14" t="n">
        <v>8.079000000000001</v>
      </c>
      <c r="AM621" s="14" t="n">
        <v>0.078</v>
      </c>
      <c r="AN621" s="14" t="n">
        <v>16.088</v>
      </c>
      <c r="AO621" s="14" t="n">
        <v>0.07000000000000001</v>
      </c>
      <c r="AP621" s="14" t="n">
        <v>1</v>
      </c>
      <c r="AQ621" s="14" t="n">
        <v>0.896</v>
      </c>
      <c r="AR621" s="14" t="n">
        <v>0.123</v>
      </c>
      <c r="AS621" s="14" t="n">
        <v>0.054</v>
      </c>
      <c r="AT621" s="14" t="n">
        <v>1.017</v>
      </c>
      <c r="AU621" s="14" t="n">
        <v>0.07000000000000001</v>
      </c>
      <c r="AV621" s="14" t="n">
        <v>1</v>
      </c>
      <c r="AW621" s="14" t="n">
        <v>0.89</v>
      </c>
      <c r="AX621" s="14" t="n">
        <v>0.123</v>
      </c>
      <c r="AY621" s="14" t="n">
        <v>0.053</v>
      </c>
      <c r="AZ621" s="14" t="n">
        <v>1.009</v>
      </c>
      <c r="BA621" s="14" t="n">
        <v>0.07000000000000001</v>
      </c>
      <c r="BB621" s="14" t="n">
        <v>1</v>
      </c>
      <c r="BC621" s="14" t="n">
        <v>0.62</v>
      </c>
      <c r="BD621" s="14" t="n">
        <v>0.123</v>
      </c>
      <c r="BE621" s="14" t="n">
        <v>-0.078</v>
      </c>
      <c r="BF621" s="14" t="n">
        <v>0.542</v>
      </c>
      <c r="BG621" s="14" t="n">
        <v>0</v>
      </c>
      <c r="BH621" s="14" t="n">
        <v>0</v>
      </c>
      <c r="BI621" s="14" t="n">
        <v>0.608</v>
      </c>
      <c r="BJ621" s="14" t="n">
        <v>0.123</v>
      </c>
      <c r="BK621" s="14" t="n">
        <v>0.074</v>
      </c>
      <c r="BL621" s="14" t="n">
        <v>0.726</v>
      </c>
      <c r="BM621" s="14" t="n">
        <v>0.07000000000000001</v>
      </c>
      <c r="BN621" s="14" t="n">
        <v>1</v>
      </c>
      <c r="BO621" s="14" t="n">
        <v>0</v>
      </c>
      <c r="BP621" s="14" t="n">
        <v>0</v>
      </c>
      <c r="BQ621" s="14" t="n">
        <v>0.169</v>
      </c>
      <c r="BR621" s="14" t="n">
        <v>0</v>
      </c>
      <c r="BS621" s="14" t="n">
        <v>1</v>
      </c>
      <c r="BT621" s="14" t="n">
        <v>0</v>
      </c>
      <c r="BU621" s="14" t="n">
        <v>0</v>
      </c>
      <c r="BV621" s="14" t="n">
        <v>0.205</v>
      </c>
      <c r="BW621" s="14" t="n">
        <v>0.07000000000000001</v>
      </c>
      <c r="BX621" s="14" t="n">
        <v>1</v>
      </c>
      <c r="BY621" s="14" t="n">
        <v>12.729</v>
      </c>
      <c r="BZ621" s="14" t="n">
        <v>0</v>
      </c>
      <c r="CA621" s="14" t="n">
        <v>12.729</v>
      </c>
      <c r="CB621" s="14" t="n">
        <v>0</v>
      </c>
      <c r="CC621" s="14" t="n">
        <v>97.90000000000001</v>
      </c>
      <c r="CD621" s="14" t="n">
        <v>7.95</v>
      </c>
      <c r="CE621" s="14" t="n">
        <v>-2.949</v>
      </c>
      <c r="CF621" s="14" t="n">
        <v>94.95099999999999</v>
      </c>
      <c r="CG621" s="14" t="n">
        <v>0</v>
      </c>
      <c r="CH621" s="14" t="n">
        <v>1</v>
      </c>
      <c r="CI621" s="14" t="n">
        <v>0</v>
      </c>
      <c r="CJ621" s="14" t="n">
        <v>0</v>
      </c>
      <c r="CK621" s="14" t="n">
        <v>0</v>
      </c>
      <c r="CL621" s="14" t="n">
        <v>0</v>
      </c>
      <c r="CM621" s="14" t="n">
        <v>0</v>
      </c>
      <c r="CN621" s="14" t="n">
        <v>0</v>
      </c>
      <c r="CO621" s="14" t="n">
        <v>0</v>
      </c>
      <c r="CP621" s="14" t="n">
        <v>0</v>
      </c>
      <c r="CQ621" s="14" t="n">
        <v>1.294</v>
      </c>
      <c r="CR621" s="14" t="n">
        <v>0</v>
      </c>
      <c r="CS621" s="14" t="n">
        <v>5.158</v>
      </c>
      <c r="CT621" s="14" t="n">
        <v>10.485</v>
      </c>
      <c r="CU621" s="14" t="n">
        <v>29.494</v>
      </c>
    </row>
    <row r="622">
      <c r="A622" s="14" t="inlineStr">
        <is>
          <t>PAN2023</t>
        </is>
      </c>
      <c r="B622" s="14" t="inlineStr">
        <is>
          <t>PAN</t>
        </is>
      </c>
      <c r="C622" s="14" t="inlineStr">
        <is>
          <t>PAN</t>
        </is>
      </c>
      <c r="D622" s="14" t="inlineStr">
        <is>
          <t>Panama</t>
        </is>
      </c>
      <c r="E622" s="14" t="n">
        <v>2023</v>
      </c>
      <c r="F622" s="14" t="n">
        <v>0.07000000000000001</v>
      </c>
      <c r="G622" s="14" t="n">
        <v>6.147</v>
      </c>
      <c r="H622" s="14" t="n">
        <v>1.286</v>
      </c>
      <c r="I622" s="14" t="n">
        <v>0</v>
      </c>
      <c r="J622" s="14" t="n">
        <v>6.147</v>
      </c>
      <c r="K622" s="14" t="n">
        <v>0</v>
      </c>
      <c r="L622" s="14" t="n">
        <v>1</v>
      </c>
      <c r="M622" s="14" t="n">
        <v>7.886</v>
      </c>
      <c r="N622" s="14" t="n">
        <v>3.857</v>
      </c>
      <c r="O622" s="14" t="n">
        <v>0.201</v>
      </c>
      <c r="P622" s="14" t="n">
        <v>8.087999999999999</v>
      </c>
      <c r="Q622" s="14" t="n">
        <v>0</v>
      </c>
      <c r="R622" s="14" t="n">
        <v>1</v>
      </c>
      <c r="S622" s="14" t="n">
        <v>12.575</v>
      </c>
      <c r="T622" s="14" t="n">
        <v>7.714</v>
      </c>
      <c r="U622" s="14" t="n">
        <v>0.097</v>
      </c>
      <c r="V622" s="14" t="n">
        <v>13.455</v>
      </c>
      <c r="W622" s="14" t="n">
        <v>0.07000000000000001</v>
      </c>
      <c r="X622" s="14" t="n">
        <v>1</v>
      </c>
      <c r="Y622" s="14" t="n">
        <v>6.656</v>
      </c>
      <c r="Z622" s="14" t="n">
        <v>0.895</v>
      </c>
      <c r="AA622" s="14" t="n">
        <v>0</v>
      </c>
      <c r="AB622" s="14" t="n">
        <v>6.656</v>
      </c>
      <c r="AC622" s="14" t="n">
        <v>0</v>
      </c>
      <c r="AD622" s="14" t="n">
        <v>1</v>
      </c>
      <c r="AE622" s="14" t="n">
        <v>7.942</v>
      </c>
      <c r="AF622" s="14" t="n">
        <v>1.86</v>
      </c>
      <c r="AG622" s="14" t="n">
        <v>0</v>
      </c>
      <c r="AH622" s="14" t="n">
        <v>7.942</v>
      </c>
      <c r="AI622" s="14" t="n">
        <v>0</v>
      </c>
      <c r="AJ622" s="14" t="n">
        <v>1</v>
      </c>
      <c r="AK622" s="14" t="n">
        <v>15.656</v>
      </c>
      <c r="AL622" s="14" t="n">
        <v>8.412000000000001</v>
      </c>
      <c r="AM622" s="14" t="n">
        <v>0.121</v>
      </c>
      <c r="AN622" s="14" t="n">
        <v>16.752</v>
      </c>
      <c r="AO622" s="14" t="n">
        <v>0.07000000000000001</v>
      </c>
      <c r="AP622" s="14" t="n">
        <v>1</v>
      </c>
      <c r="AQ622" s="14" t="n">
        <v>0.791</v>
      </c>
      <c r="AR622" s="14" t="n">
        <v>0.129</v>
      </c>
      <c r="AS622" s="14" t="n">
        <v>0.103</v>
      </c>
      <c r="AT622" s="14" t="n">
        <v>0.957</v>
      </c>
      <c r="AU622" s="14" t="n">
        <v>0.07000000000000001</v>
      </c>
      <c r="AV622" s="14" t="n">
        <v>1</v>
      </c>
      <c r="AW622" s="14" t="n">
        <v>0.618</v>
      </c>
      <c r="AX622" s="14" t="n">
        <v>0.129</v>
      </c>
      <c r="AY622" s="14" t="n">
        <v>0.256</v>
      </c>
      <c r="AZ622" s="14" t="n">
        <v>0.9350000000000001</v>
      </c>
      <c r="BA622" s="14" t="n">
        <v>0.07000000000000001</v>
      </c>
      <c r="BB622" s="14" t="n">
        <v>1</v>
      </c>
      <c r="BC622" s="14" t="n">
        <v>0.554</v>
      </c>
      <c r="BD622" s="14" t="n">
        <v>0.129</v>
      </c>
      <c r="BE622" s="14" t="n">
        <v>-0.081</v>
      </c>
      <c r="BF622" s="14" t="n">
        <v>0.473</v>
      </c>
      <c r="BG622" s="14" t="n">
        <v>0</v>
      </c>
      <c r="BH622" s="14" t="n">
        <v>0</v>
      </c>
      <c r="BI622" s="14" t="n">
        <v>0.5570000000000001</v>
      </c>
      <c r="BJ622" s="14" t="n">
        <v>0.129</v>
      </c>
      <c r="BK622" s="14" t="n">
        <v>0.083</v>
      </c>
      <c r="BL622" s="14" t="n">
        <v>0.68</v>
      </c>
      <c r="BM622" s="14" t="n">
        <v>0.07000000000000001</v>
      </c>
      <c r="BN622" s="14" t="n">
        <v>1</v>
      </c>
      <c r="BO622" s="14" t="n">
        <v>0</v>
      </c>
      <c r="BP622" s="14" t="n">
        <v>0</v>
      </c>
      <c r="BQ622" s="14" t="n">
        <v>0.21</v>
      </c>
      <c r="BR622" s="14" t="n">
        <v>0</v>
      </c>
      <c r="BS622" s="14" t="n">
        <v>1</v>
      </c>
      <c r="BT622" s="14" t="n">
        <v>0</v>
      </c>
      <c r="BU622" s="14" t="n">
        <v>0</v>
      </c>
      <c r="BV622" s="14" t="n">
        <v>0.193</v>
      </c>
      <c r="BW622" s="14" t="n">
        <v>0.07000000000000001</v>
      </c>
      <c r="BX622" s="14" t="n">
        <v>1</v>
      </c>
      <c r="BY622" s="14" t="n">
        <v>13.254</v>
      </c>
      <c r="BZ622" s="14" t="n">
        <v>0</v>
      </c>
      <c r="CA622" s="14" t="n">
        <v>13.254</v>
      </c>
      <c r="CB622" s="14" t="n">
        <v>0</v>
      </c>
      <c r="CC622" s="14" t="n">
        <v>83.248</v>
      </c>
      <c r="CD622" s="14" t="n">
        <v>7.95</v>
      </c>
      <c r="CE622" s="14" t="n">
        <v>-3.071</v>
      </c>
      <c r="CF622" s="14" t="n">
        <v>80.17700000000001</v>
      </c>
      <c r="CG622" s="14" t="n">
        <v>0</v>
      </c>
      <c r="CH622" s="14" t="n">
        <v>1</v>
      </c>
      <c r="CI622" s="14" t="n">
        <v>0</v>
      </c>
      <c r="CJ622" s="14" t="n">
        <v>0</v>
      </c>
      <c r="CK622" s="14" t="n">
        <v>0</v>
      </c>
      <c r="CL622" s="14" t="n">
        <v>0</v>
      </c>
      <c r="CM622" s="14" t="n">
        <v>0</v>
      </c>
      <c r="CN622" s="14" t="n">
        <v>0</v>
      </c>
      <c r="CO622" s="14" t="n">
        <v>0</v>
      </c>
      <c r="CP622" s="14" t="n">
        <v>0</v>
      </c>
      <c r="CQ622" s="14" t="n">
        <v>1.348</v>
      </c>
      <c r="CR622" s="14" t="n">
        <v>0</v>
      </c>
      <c r="CS622" s="14" t="n">
        <v>5.37</v>
      </c>
      <c r="CT622" s="14" t="n">
        <v>4.861</v>
      </c>
      <c r="CU622" s="14" t="n">
        <v>11.192</v>
      </c>
    </row>
    <row r="623">
      <c r="A623" s="14" t="inlineStr">
        <is>
          <t>PAN2024</t>
        </is>
      </c>
      <c r="B623" s="14" t="inlineStr">
        <is>
          <t>PAN</t>
        </is>
      </c>
      <c r="C623" s="14" t="inlineStr">
        <is>
          <t>PAN</t>
        </is>
      </c>
      <c r="D623" s="14" t="inlineStr">
        <is>
          <t>Panama</t>
        </is>
      </c>
      <c r="E623" s="14" t="n">
        <v>2024</v>
      </c>
      <c r="F623" s="14" t="n">
        <v>0.07000000000000001</v>
      </c>
      <c r="G623" s="14" t="n">
        <v>5.575</v>
      </c>
      <c r="H623" s="14" t="n">
        <v>1.324</v>
      </c>
      <c r="I623" s="14" t="n">
        <v>0</v>
      </c>
      <c r="J623" s="14" t="n">
        <v>5.575</v>
      </c>
      <c r="K623" s="14" t="n">
        <v>0</v>
      </c>
      <c r="L623" s="14" t="n">
        <v>1</v>
      </c>
      <c r="M623" s="14" t="n">
        <v>7.124</v>
      </c>
      <c r="N623" s="14" t="n">
        <v>3.971</v>
      </c>
      <c r="O623" s="14" t="n">
        <v>0.158</v>
      </c>
      <c r="P623" s="14" t="n">
        <v>7.281</v>
      </c>
      <c r="Q623" s="14" t="n">
        <v>0</v>
      </c>
      <c r="R623" s="14" t="n">
        <v>1</v>
      </c>
      <c r="S623" s="14" t="n">
        <v>12.193</v>
      </c>
      <c r="T623" s="14" t="n">
        <v>7.942</v>
      </c>
      <c r="U623" s="14" t="n">
        <v>0.116</v>
      </c>
      <c r="V623" s="14" t="n">
        <v>13.046</v>
      </c>
      <c r="W623" s="14" t="n">
        <v>0.07000000000000001</v>
      </c>
      <c r="X623" s="14" t="n">
        <v>1</v>
      </c>
      <c r="Y623" s="14" t="n">
        <v>6.853</v>
      </c>
      <c r="Z623" s="14" t="n">
        <v>0.922</v>
      </c>
      <c r="AA623" s="14" t="n">
        <v>0</v>
      </c>
      <c r="AB623" s="14" t="n">
        <v>6.853</v>
      </c>
      <c r="AC623" s="14" t="n">
        <v>0</v>
      </c>
      <c r="AD623" s="14" t="n">
        <v>1</v>
      </c>
      <c r="AE623" s="14" t="n">
        <v>8.176</v>
      </c>
      <c r="AF623" s="14" t="n">
        <v>1.915</v>
      </c>
      <c r="AG623" s="14" t="n">
        <v>0</v>
      </c>
      <c r="AH623" s="14" t="n">
        <v>8.176</v>
      </c>
      <c r="AI623" s="14" t="n">
        <v>0</v>
      </c>
      <c r="AJ623" s="14" t="n">
        <v>1</v>
      </c>
      <c r="AK623" s="14" t="n">
        <v>16.118</v>
      </c>
      <c r="AL623" s="14" t="n">
        <v>8.66</v>
      </c>
      <c r="AM623" s="14" t="n">
        <v>0.154</v>
      </c>
      <c r="AN623" s="14" t="n">
        <v>17.246</v>
      </c>
      <c r="AO623" s="14" t="n">
        <v>0.07000000000000001</v>
      </c>
      <c r="AP623" s="14" t="n">
        <v>1</v>
      </c>
      <c r="AQ623" s="14" t="n">
        <v>0.756</v>
      </c>
      <c r="AR623" s="14" t="n">
        <v>0.132</v>
      </c>
      <c r="AS623" s="14" t="n">
        <v>0.121</v>
      </c>
      <c r="AT623" s="14" t="n">
        <v>0.9389999999999999</v>
      </c>
      <c r="AU623" s="14" t="n">
        <v>0.07000000000000001</v>
      </c>
      <c r="AV623" s="14" t="n">
        <v>1</v>
      </c>
      <c r="AW623" s="14" t="n">
        <v>0.655</v>
      </c>
      <c r="AX623" s="14" t="n">
        <v>0.132</v>
      </c>
      <c r="AY623" s="14" t="n">
        <v>0.154</v>
      </c>
      <c r="AZ623" s="14" t="n">
        <v>0.865</v>
      </c>
      <c r="BA623" s="14" t="n">
        <v>0.07000000000000001</v>
      </c>
      <c r="BB623" s="14" t="n">
        <v>1</v>
      </c>
      <c r="BC623" s="14" t="n">
        <v>0.534</v>
      </c>
      <c r="BD623" s="14" t="n">
        <v>0.132</v>
      </c>
      <c r="BE623" s="14" t="n">
        <v>-0.08400000000000001</v>
      </c>
      <c r="BF623" s="14" t="n">
        <v>0.45</v>
      </c>
      <c r="BG623" s="14" t="n">
        <v>0</v>
      </c>
      <c r="BH623" s="14" t="n">
        <v>0</v>
      </c>
      <c r="BI623" s="14" t="n">
        <v>0.5679999999999999</v>
      </c>
      <c r="BJ623" s="14" t="n">
        <v>0.132</v>
      </c>
      <c r="BK623" s="14" t="n">
        <v>0.08699999999999999</v>
      </c>
      <c r="BL623" s="14" t="n">
        <v>0.694</v>
      </c>
      <c r="BM623" s="14" t="n">
        <v>0.07000000000000001</v>
      </c>
      <c r="BN623" s="14" t="n">
        <v>1</v>
      </c>
      <c r="BO623" s="14" t="n">
        <v>0</v>
      </c>
      <c r="BP623" s="14" t="n">
        <v>0</v>
      </c>
      <c r="BQ623" s="14" t="n">
        <v>0.179</v>
      </c>
      <c r="BR623" s="14" t="n">
        <v>0</v>
      </c>
      <c r="BS623" s="14" t="n">
        <v>1</v>
      </c>
      <c r="BT623" s="14" t="n">
        <v>0</v>
      </c>
      <c r="BU623" s="14" t="n">
        <v>0</v>
      </c>
      <c r="BV623" s="14" t="n">
        <v>0.179</v>
      </c>
      <c r="BW623" s="14" t="n">
        <v>0.07000000000000001</v>
      </c>
      <c r="BX623" s="14" t="n">
        <v>1</v>
      </c>
      <c r="BY623" s="14" t="n">
        <v>13.646</v>
      </c>
      <c r="BZ623" s="14" t="n">
        <v>0</v>
      </c>
      <c r="CA623" s="14" t="n">
        <v>13.646</v>
      </c>
      <c r="CB623" s="14" t="n">
        <v>0</v>
      </c>
      <c r="CC623" s="14" t="n">
        <v>82.58799999999999</v>
      </c>
      <c r="CD623" s="14" t="n">
        <v>7.95</v>
      </c>
      <c r="CE623" s="14" t="n">
        <v>-3.161</v>
      </c>
      <c r="CF623" s="14" t="n">
        <v>79.42700000000001</v>
      </c>
      <c r="CG623" s="14" t="n">
        <v>0</v>
      </c>
      <c r="CH623" s="14" t="n">
        <v>1</v>
      </c>
      <c r="CI623" s="14" t="n">
        <v>0</v>
      </c>
      <c r="CJ623" s="14" t="n">
        <v>0</v>
      </c>
      <c r="CK623" s="14" t="n">
        <v>0</v>
      </c>
      <c r="CL623" s="14" t="n">
        <v>0</v>
      </c>
      <c r="CM623" s="14" t="n">
        <v>0</v>
      </c>
      <c r="CN623" s="14" t="n">
        <v>0</v>
      </c>
      <c r="CO623" s="14" t="n">
        <v>0</v>
      </c>
      <c r="CP623" s="14" t="n">
        <v>0</v>
      </c>
      <c r="CQ623" s="14" t="n">
        <v>1.387</v>
      </c>
      <c r="CR623" s="14" t="n">
        <v>0</v>
      </c>
      <c r="CS623" s="14" t="n">
        <v>5.529</v>
      </c>
      <c r="CT623" s="14" t="n">
        <v>4.251</v>
      </c>
      <c r="CU623" s="14" t="n">
        <v>10.123</v>
      </c>
    </row>
    <row r="624">
      <c r="A624" s="14" t="inlineStr">
        <is>
          <t>PNG2021</t>
        </is>
      </c>
      <c r="B624" s="14" t="inlineStr">
        <is>
          <t>PNG</t>
        </is>
      </c>
      <c r="C624" s="14" t="inlineStr">
        <is>
          <t>PNG</t>
        </is>
      </c>
      <c r="D624" s="14" t="inlineStr">
        <is>
          <t>Papua New Guinea</t>
        </is>
      </c>
      <c r="E624" s="14" t="n">
        <v>2021</v>
      </c>
      <c r="F624" s="14" t="n">
        <v>0.1</v>
      </c>
      <c r="G624" s="14" t="n">
        <v>4.747</v>
      </c>
      <c r="H624" s="14" t="n">
        <v>1.143</v>
      </c>
      <c r="I624" s="14" t="n">
        <v>0</v>
      </c>
      <c r="J624" s="14" t="n">
        <v>4.747</v>
      </c>
      <c r="K624" s="14" t="n">
        <v>0</v>
      </c>
      <c r="L624" s="14" t="n">
        <v>1</v>
      </c>
      <c r="M624" s="14" t="n">
        <v>7.964</v>
      </c>
      <c r="N624" s="14" t="n">
        <v>3.43</v>
      </c>
      <c r="O624" s="14" t="n">
        <v>0</v>
      </c>
      <c r="P624" s="14" t="n">
        <v>7.964</v>
      </c>
      <c r="Q624" s="14" t="n">
        <v>0</v>
      </c>
      <c r="R624" s="14" t="n">
        <v>1</v>
      </c>
      <c r="S624" s="14" t="n">
        <v>10.464</v>
      </c>
      <c r="T624" s="14" t="n">
        <v>6.86</v>
      </c>
      <c r="U624" s="14" t="n">
        <v>0</v>
      </c>
      <c r="V624" s="14" t="n">
        <v>11.51</v>
      </c>
      <c r="W624" s="14" t="n">
        <v>0.1</v>
      </c>
      <c r="X624" s="14" t="n">
        <v>1</v>
      </c>
      <c r="Y624" s="14" t="n">
        <v>10.251</v>
      </c>
      <c r="Z624" s="14" t="n">
        <v>1.265</v>
      </c>
      <c r="AA624" s="14" t="n">
        <v>0</v>
      </c>
      <c r="AB624" s="14" t="n">
        <v>10.251</v>
      </c>
      <c r="AC624" s="14" t="n">
        <v>0</v>
      </c>
      <c r="AD624" s="14" t="n">
        <v>1</v>
      </c>
      <c r="AE624" s="14" t="n">
        <v>11.395</v>
      </c>
      <c r="AF624" s="14" t="n">
        <v>2.484</v>
      </c>
      <c r="AG624" s="14" t="n">
        <v>0</v>
      </c>
      <c r="AH624" s="14" t="n">
        <v>11.395</v>
      </c>
      <c r="AI624" s="14" t="n">
        <v>0</v>
      </c>
      <c r="AJ624" s="14" t="n">
        <v>1</v>
      </c>
      <c r="AK624" s="14" t="n">
        <v>18.255</v>
      </c>
      <c r="AL624" s="14" t="n">
        <v>9.472</v>
      </c>
      <c r="AM624" s="14" t="n">
        <v>0</v>
      </c>
      <c r="AN624" s="14" t="n">
        <v>20.08</v>
      </c>
      <c r="AO624" s="14" t="n">
        <v>0.1</v>
      </c>
      <c r="AP624" s="14" t="n">
        <v>1</v>
      </c>
      <c r="AQ624" s="14" t="n">
        <v>0.621</v>
      </c>
      <c r="AR624" s="14" t="n">
        <v>0.114</v>
      </c>
      <c r="AS624" s="14" t="n">
        <v>0.381</v>
      </c>
      <c r="AT624" s="14" t="n">
        <v>1.102</v>
      </c>
      <c r="AU624" s="14" t="n">
        <v>0.1</v>
      </c>
      <c r="AV624" s="14" t="n">
        <v>1</v>
      </c>
      <c r="AW624" s="14" t="n">
        <v>0.593</v>
      </c>
      <c r="AX624" s="14" t="n">
        <v>0.114</v>
      </c>
      <c r="AY624" s="14" t="n">
        <v>0.238</v>
      </c>
      <c r="AZ624" s="14" t="n">
        <v>0.915</v>
      </c>
      <c r="BA624" s="14" t="n">
        <v>0.1</v>
      </c>
      <c r="BB624" s="14" t="n">
        <v>1</v>
      </c>
      <c r="BC624" s="14" t="n">
        <v>0.44</v>
      </c>
      <c r="BD624" s="14" t="n">
        <v>0.114</v>
      </c>
      <c r="BE624" s="14" t="n">
        <v>0</v>
      </c>
      <c r="BF624" s="14" t="n">
        <v>0.484</v>
      </c>
      <c r="BG624" s="14" t="n">
        <v>0.1</v>
      </c>
      <c r="BH624" s="14" t="n">
        <v>1</v>
      </c>
      <c r="BI624" s="14" t="n">
        <v>0.5600000000000001</v>
      </c>
      <c r="BJ624" s="14" t="n">
        <v>0.114</v>
      </c>
      <c r="BK624" s="14" t="n">
        <v>0.164</v>
      </c>
      <c r="BL624" s="14" t="n">
        <v>0.797</v>
      </c>
      <c r="BM624" s="14" t="n">
        <v>0.1</v>
      </c>
      <c r="BN624" s="14" t="n">
        <v>1</v>
      </c>
      <c r="BO624" s="14" t="n">
        <v>0</v>
      </c>
      <c r="BP624" s="14" t="n">
        <v>0</v>
      </c>
      <c r="BQ624" s="14" t="n">
        <v>0.181</v>
      </c>
      <c r="BR624" s="14" t="n">
        <v>0</v>
      </c>
      <c r="BS624" s="14" t="n">
        <v>0.333</v>
      </c>
      <c r="BT624" s="14" t="n">
        <v>0</v>
      </c>
      <c r="BU624" s="14" t="n">
        <v>0</v>
      </c>
      <c r="BV624" s="14" t="n">
        <v>0.253</v>
      </c>
      <c r="BW624" s="14" t="n">
        <v>0.1</v>
      </c>
      <c r="BX624" s="14" t="n">
        <v>0.333</v>
      </c>
      <c r="BY624" s="14" t="n">
        <v>11.787</v>
      </c>
      <c r="BZ624" s="14" t="n">
        <v>0</v>
      </c>
      <c r="CA624" s="14" t="n">
        <v>11.787</v>
      </c>
      <c r="CB624" s="14" t="n">
        <v>0</v>
      </c>
      <c r="CC624" s="14" t="n">
        <v>81.69499999999999</v>
      </c>
      <c r="CD624" s="14" t="n">
        <v>7.95</v>
      </c>
      <c r="CE624" s="14" t="n">
        <v>33.284</v>
      </c>
      <c r="CF624" s="14" t="n">
        <v>126.477</v>
      </c>
      <c r="CG624" s="14" t="n">
        <v>0.1</v>
      </c>
      <c r="CH624" s="14" t="n">
        <v>1</v>
      </c>
      <c r="CI624" s="14" t="n">
        <v>0</v>
      </c>
      <c r="CJ624" s="14" t="n">
        <v>0</v>
      </c>
      <c r="CK624" s="14" t="n">
        <v>0</v>
      </c>
      <c r="CL624" s="14" t="n">
        <v>0</v>
      </c>
      <c r="CM624" s="14" t="n">
        <v>0</v>
      </c>
      <c r="CN624" s="14" t="n">
        <v>0</v>
      </c>
      <c r="CO624" s="14" t="n">
        <v>0</v>
      </c>
      <c r="CP624" s="14" t="n">
        <v>0</v>
      </c>
      <c r="CQ624" s="14" t="n">
        <v>1.198</v>
      </c>
      <c r="CR624" s="14" t="n">
        <v>0</v>
      </c>
      <c r="CS624" s="14" t="n">
        <v>3.279</v>
      </c>
      <c r="CT624" s="14" t="n">
        <v>3.604</v>
      </c>
      <c r="CU624" s="14" t="n">
        <v>9.407999999999999</v>
      </c>
    </row>
    <row r="625">
      <c r="A625" s="14" t="inlineStr">
        <is>
          <t>PNG2022</t>
        </is>
      </c>
      <c r="B625" s="14" t="inlineStr">
        <is>
          <t>PNG</t>
        </is>
      </c>
      <c r="C625" s="14" t="inlineStr">
        <is>
          <t>PNG</t>
        </is>
      </c>
      <c r="D625" s="14" t="inlineStr">
        <is>
          <t>Papua New Guinea</t>
        </is>
      </c>
      <c r="E625" s="14" t="n">
        <v>2022</v>
      </c>
      <c r="F625" s="14" t="n">
        <v>0.1</v>
      </c>
      <c r="G625" s="14" t="n">
        <v>8.788</v>
      </c>
      <c r="H625" s="14" t="n">
        <v>1.235</v>
      </c>
      <c r="I625" s="14" t="n">
        <v>0</v>
      </c>
      <c r="J625" s="14" t="n">
        <v>8.788</v>
      </c>
      <c r="K625" s="14" t="n">
        <v>0</v>
      </c>
      <c r="L625" s="14" t="n">
        <v>1</v>
      </c>
      <c r="M625" s="14" t="n">
        <v>9.782999999999999</v>
      </c>
      <c r="N625" s="14" t="n">
        <v>3.704</v>
      </c>
      <c r="O625" s="14" t="n">
        <v>0</v>
      </c>
      <c r="P625" s="14" t="n">
        <v>9.782999999999999</v>
      </c>
      <c r="Q625" s="14" t="n">
        <v>0</v>
      </c>
      <c r="R625" s="14" t="n">
        <v>1</v>
      </c>
      <c r="S625" s="14" t="n">
        <v>14.962</v>
      </c>
      <c r="T625" s="14" t="n">
        <v>7.408</v>
      </c>
      <c r="U625" s="14" t="n">
        <v>0.111</v>
      </c>
      <c r="V625" s="14" t="n">
        <v>16.458</v>
      </c>
      <c r="W625" s="14" t="n">
        <v>0.1</v>
      </c>
      <c r="X625" s="14" t="n">
        <v>1</v>
      </c>
      <c r="Y625" s="14" t="n">
        <v>16.718</v>
      </c>
      <c r="Z625" s="14" t="n">
        <v>2.063</v>
      </c>
      <c r="AA625" s="14" t="n">
        <v>0</v>
      </c>
      <c r="AB625" s="14" t="n">
        <v>16.718</v>
      </c>
      <c r="AC625" s="14" t="n">
        <v>0</v>
      </c>
      <c r="AD625" s="14" t="n">
        <v>1</v>
      </c>
      <c r="AE625" s="14" t="n">
        <v>17.953</v>
      </c>
      <c r="AF625" s="14" t="n">
        <v>3.914</v>
      </c>
      <c r="AG625" s="14" t="n">
        <v>0</v>
      </c>
      <c r="AH625" s="14" t="n">
        <v>17.953</v>
      </c>
      <c r="AI625" s="14" t="n">
        <v>0</v>
      </c>
      <c r="AJ625" s="14" t="n">
        <v>1</v>
      </c>
      <c r="AK625" s="14" t="n">
        <v>25.361</v>
      </c>
      <c r="AL625" s="14" t="n">
        <v>13.159</v>
      </c>
      <c r="AM625" s="14" t="n">
        <v>0.188</v>
      </c>
      <c r="AN625" s="14" t="n">
        <v>27.897</v>
      </c>
      <c r="AO625" s="14" t="n">
        <v>0.1</v>
      </c>
      <c r="AP625" s="14" t="n">
        <v>1</v>
      </c>
      <c r="AQ625" s="14" t="n">
        <v>0.847</v>
      </c>
      <c r="AR625" s="14" t="n">
        <v>0.123</v>
      </c>
      <c r="AS625" s="14" t="n">
        <v>0.268</v>
      </c>
      <c r="AT625" s="14" t="n">
        <v>1.226</v>
      </c>
      <c r="AU625" s="14" t="n">
        <v>0.1</v>
      </c>
      <c r="AV625" s="14" t="n">
        <v>1</v>
      </c>
      <c r="AW625" s="14" t="n">
        <v>0.947</v>
      </c>
      <c r="AX625" s="14" t="n">
        <v>0.123</v>
      </c>
      <c r="AY625" s="14" t="n">
        <v>0.129</v>
      </c>
      <c r="AZ625" s="14" t="n">
        <v>1.184</v>
      </c>
      <c r="BA625" s="14" t="n">
        <v>0.1</v>
      </c>
      <c r="BB625" s="14" t="n">
        <v>1</v>
      </c>
      <c r="BC625" s="14" t="n">
        <v>0.589</v>
      </c>
      <c r="BD625" s="14" t="n">
        <v>0.123</v>
      </c>
      <c r="BE625" s="14" t="n">
        <v>0.004</v>
      </c>
      <c r="BF625" s="14" t="n">
        <v>0.647</v>
      </c>
      <c r="BG625" s="14" t="n">
        <v>0.1</v>
      </c>
      <c r="BH625" s="14" t="n">
        <v>1</v>
      </c>
      <c r="BI625" s="14" t="n">
        <v>0.6889999999999999</v>
      </c>
      <c r="BJ625" s="14" t="n">
        <v>0.123</v>
      </c>
      <c r="BK625" s="14" t="n">
        <v>0.354</v>
      </c>
      <c r="BL625" s="14" t="n">
        <v>1.148</v>
      </c>
      <c r="BM625" s="14" t="n">
        <v>0.1</v>
      </c>
      <c r="BN625" s="14" t="n">
        <v>1</v>
      </c>
      <c r="BO625" s="14" t="n">
        <v>0</v>
      </c>
      <c r="BP625" s="14" t="n">
        <v>0</v>
      </c>
      <c r="BQ625" s="14" t="n">
        <v>0.181</v>
      </c>
      <c r="BR625" s="14" t="n">
        <v>0</v>
      </c>
      <c r="BS625" s="14" t="n">
        <v>0.333</v>
      </c>
      <c r="BT625" s="14" t="n">
        <v>0</v>
      </c>
      <c r="BU625" s="14" t="n">
        <v>0</v>
      </c>
      <c r="BV625" s="14" t="n">
        <v>0.252</v>
      </c>
      <c r="BW625" s="14" t="n">
        <v>0.1</v>
      </c>
      <c r="BX625" s="14" t="n">
        <v>0.333</v>
      </c>
      <c r="BY625" s="14" t="n">
        <v>12.729</v>
      </c>
      <c r="BZ625" s="14" t="n">
        <v>0</v>
      </c>
      <c r="CA625" s="14" t="n">
        <v>12.729</v>
      </c>
      <c r="CB625" s="14" t="n">
        <v>0</v>
      </c>
      <c r="CC625" s="14" t="n">
        <v>102.477</v>
      </c>
      <c r="CD625" s="14" t="n">
        <v>7.95</v>
      </c>
      <c r="CE625" s="14" t="n">
        <v>63.302</v>
      </c>
      <c r="CF625" s="14" t="n">
        <v>182.356</v>
      </c>
      <c r="CG625" s="14" t="n">
        <v>0.1</v>
      </c>
      <c r="CH625" s="14" t="n">
        <v>1</v>
      </c>
      <c r="CI625" s="14" t="n">
        <v>0</v>
      </c>
      <c r="CJ625" s="14" t="n">
        <v>0</v>
      </c>
      <c r="CK625" s="14" t="n">
        <v>0</v>
      </c>
      <c r="CL625" s="14" t="n">
        <v>0</v>
      </c>
      <c r="CM625" s="14" t="n">
        <v>0</v>
      </c>
      <c r="CN625" s="14" t="n">
        <v>0</v>
      </c>
      <c r="CO625" s="14" t="n">
        <v>0</v>
      </c>
      <c r="CP625" s="14" t="n">
        <v>0</v>
      </c>
      <c r="CQ625" s="14" t="n">
        <v>1.294</v>
      </c>
      <c r="CR625" s="14" t="n">
        <v>0</v>
      </c>
      <c r="CS625" s="14" t="n">
        <v>3.541</v>
      </c>
      <c r="CT625" s="14" t="n">
        <v>7.554</v>
      </c>
      <c r="CU625" s="14" t="n">
        <v>16.097</v>
      </c>
    </row>
    <row r="626">
      <c r="A626" s="14" t="inlineStr">
        <is>
          <t>PNG2023</t>
        </is>
      </c>
      <c r="B626" s="14" t="inlineStr">
        <is>
          <t>PNG</t>
        </is>
      </c>
      <c r="C626" s="14" t="inlineStr">
        <is>
          <t>PNG</t>
        </is>
      </c>
      <c r="D626" s="14" t="inlineStr">
        <is>
          <t>Papua New Guinea</t>
        </is>
      </c>
      <c r="E626" s="14" t="n">
        <v>2023</v>
      </c>
      <c r="F626" s="14" t="n">
        <v>0.1</v>
      </c>
      <c r="G626" s="14" t="n">
        <v>5.77</v>
      </c>
      <c r="H626" s="14" t="n">
        <v>1.286</v>
      </c>
      <c r="I626" s="14" t="n">
        <v>0</v>
      </c>
      <c r="J626" s="14" t="n">
        <v>5.77</v>
      </c>
      <c r="K626" s="14" t="n">
        <v>0</v>
      </c>
      <c r="L626" s="14" t="n">
        <v>1</v>
      </c>
      <c r="M626" s="14" t="n">
        <v>7.886</v>
      </c>
      <c r="N626" s="14" t="n">
        <v>3.857</v>
      </c>
      <c r="O626" s="14" t="n">
        <v>0</v>
      </c>
      <c r="P626" s="14" t="n">
        <v>7.886</v>
      </c>
      <c r="Q626" s="14" t="n">
        <v>0</v>
      </c>
      <c r="R626" s="14" t="n">
        <v>1</v>
      </c>
      <c r="S626" s="14" t="n">
        <v>12.198</v>
      </c>
      <c r="T626" s="14" t="n">
        <v>7.714</v>
      </c>
      <c r="U626" s="14" t="n">
        <v>0.135</v>
      </c>
      <c r="V626" s="14" t="n">
        <v>13.418</v>
      </c>
      <c r="W626" s="14" t="n">
        <v>0.1</v>
      </c>
      <c r="X626" s="14" t="n">
        <v>1</v>
      </c>
      <c r="Y626" s="14" t="n">
        <v>13.382</v>
      </c>
      <c r="Z626" s="14" t="n">
        <v>1.651</v>
      </c>
      <c r="AA626" s="14" t="n">
        <v>0</v>
      </c>
      <c r="AB626" s="14" t="n">
        <v>13.382</v>
      </c>
      <c r="AC626" s="14" t="n">
        <v>0</v>
      </c>
      <c r="AD626" s="14" t="n">
        <v>1</v>
      </c>
      <c r="AE626" s="14" t="n">
        <v>14.668</v>
      </c>
      <c r="AF626" s="14" t="n">
        <v>3.198</v>
      </c>
      <c r="AG626" s="14" t="n">
        <v>0</v>
      </c>
      <c r="AH626" s="14" t="n">
        <v>14.668</v>
      </c>
      <c r="AI626" s="14" t="n">
        <v>0</v>
      </c>
      <c r="AJ626" s="14" t="n">
        <v>1</v>
      </c>
      <c r="AK626" s="14" t="n">
        <v>22.382</v>
      </c>
      <c r="AL626" s="14" t="n">
        <v>11.613</v>
      </c>
      <c r="AM626" s="14" t="n">
        <v>0.248</v>
      </c>
      <c r="AN626" s="14" t="n">
        <v>24.62</v>
      </c>
      <c r="AO626" s="14" t="n">
        <v>0.1</v>
      </c>
      <c r="AP626" s="14" t="n">
        <v>1</v>
      </c>
      <c r="AQ626" s="14" t="n">
        <v>0.749</v>
      </c>
      <c r="AR626" s="14" t="n">
        <v>0.129</v>
      </c>
      <c r="AS626" s="14" t="n">
        <v>0.347</v>
      </c>
      <c r="AT626" s="14" t="n">
        <v>1.206</v>
      </c>
      <c r="AU626" s="14" t="n">
        <v>0.1</v>
      </c>
      <c r="AV626" s="14" t="n">
        <v>1</v>
      </c>
      <c r="AW626" s="14" t="n">
        <v>0.783</v>
      </c>
      <c r="AX626" s="14" t="n">
        <v>0.129</v>
      </c>
      <c r="AY626" s="14" t="n">
        <v>0.29</v>
      </c>
      <c r="AZ626" s="14" t="n">
        <v>1.18</v>
      </c>
      <c r="BA626" s="14" t="n">
        <v>0.1</v>
      </c>
      <c r="BB626" s="14" t="n">
        <v>1</v>
      </c>
      <c r="BC626" s="14" t="n">
        <v>0.527</v>
      </c>
      <c r="BD626" s="14" t="n">
        <v>0.129</v>
      </c>
      <c r="BE626" s="14" t="n">
        <v>0.006</v>
      </c>
      <c r="BF626" s="14" t="n">
        <v>0.58</v>
      </c>
      <c r="BG626" s="14" t="n">
        <v>0.1</v>
      </c>
      <c r="BH626" s="14" t="n">
        <v>1</v>
      </c>
      <c r="BI626" s="14" t="n">
        <v>0.64</v>
      </c>
      <c r="BJ626" s="14" t="n">
        <v>0.129</v>
      </c>
      <c r="BK626" s="14" t="n">
        <v>0.367</v>
      </c>
      <c r="BL626" s="14" t="n">
        <v>1.107</v>
      </c>
      <c r="BM626" s="14" t="n">
        <v>0.1</v>
      </c>
      <c r="BN626" s="14" t="n">
        <v>1</v>
      </c>
      <c r="BO626" s="14" t="n">
        <v>0</v>
      </c>
      <c r="BP626" s="14" t="n">
        <v>0</v>
      </c>
      <c r="BQ626" s="14" t="n">
        <v>0.18</v>
      </c>
      <c r="BR626" s="14" t="n">
        <v>0</v>
      </c>
      <c r="BS626" s="14" t="n">
        <v>0.333</v>
      </c>
      <c r="BT626" s="14" t="n">
        <v>0</v>
      </c>
      <c r="BU626" s="14" t="n">
        <v>0</v>
      </c>
      <c r="BV626" s="14" t="n">
        <v>0.25</v>
      </c>
      <c r="BW626" s="14" t="n">
        <v>0.1</v>
      </c>
      <c r="BX626" s="14" t="n">
        <v>0.333</v>
      </c>
      <c r="BY626" s="14" t="n">
        <v>13.254</v>
      </c>
      <c r="BZ626" s="14" t="n">
        <v>0</v>
      </c>
      <c r="CA626" s="14" t="n">
        <v>13.254</v>
      </c>
      <c r="CB626" s="14" t="n">
        <v>0</v>
      </c>
      <c r="CC626" s="14" t="n">
        <v>87.07899999999999</v>
      </c>
      <c r="CD626" s="14" t="n">
        <v>7.95</v>
      </c>
      <c r="CE626" s="14" t="n">
        <v>73.708</v>
      </c>
      <c r="CF626" s="14" t="n">
        <v>176.866</v>
      </c>
      <c r="CG626" s="14" t="n">
        <v>0.1</v>
      </c>
      <c r="CH626" s="14" t="n">
        <v>1</v>
      </c>
      <c r="CI626" s="14" t="n">
        <v>0</v>
      </c>
      <c r="CJ626" s="14" t="n">
        <v>0</v>
      </c>
      <c r="CK626" s="14" t="n">
        <v>0</v>
      </c>
      <c r="CL626" s="14" t="n">
        <v>0</v>
      </c>
      <c r="CM626" s="14" t="n">
        <v>0</v>
      </c>
      <c r="CN626" s="14" t="n">
        <v>0</v>
      </c>
      <c r="CO626" s="14" t="n">
        <v>0</v>
      </c>
      <c r="CP626" s="14" t="n">
        <v>0</v>
      </c>
      <c r="CQ626" s="14" t="n">
        <v>1.348</v>
      </c>
      <c r="CR626" s="14" t="n">
        <v>0</v>
      </c>
      <c r="CS626" s="14" t="n">
        <v>3.687</v>
      </c>
      <c r="CT626" s="14" t="n">
        <v>4.484</v>
      </c>
      <c r="CU626" s="14" t="n">
        <v>12.529</v>
      </c>
    </row>
    <row r="627">
      <c r="A627" s="14" t="inlineStr">
        <is>
          <t>PNG2024</t>
        </is>
      </c>
      <c r="B627" s="14" t="inlineStr">
        <is>
          <t>PNG</t>
        </is>
      </c>
      <c r="C627" s="14" t="inlineStr">
        <is>
          <t>PNG</t>
        </is>
      </c>
      <c r="D627" s="14" t="inlineStr">
        <is>
          <t>Papua New Guinea</t>
        </is>
      </c>
      <c r="E627" s="14" t="n">
        <v>2024</v>
      </c>
      <c r="F627" s="14" t="n">
        <v>0.1</v>
      </c>
      <c r="G627" s="14" t="n">
        <v>4.833</v>
      </c>
      <c r="H627" s="14" t="n">
        <v>1.324</v>
      </c>
      <c r="I627" s="14" t="n">
        <v>0</v>
      </c>
      <c r="J627" s="14" t="n">
        <v>4.833</v>
      </c>
      <c r="K627" s="14" t="n">
        <v>0</v>
      </c>
      <c r="L627" s="14" t="n">
        <v>1</v>
      </c>
      <c r="M627" s="14" t="n">
        <v>7.124</v>
      </c>
      <c r="N627" s="14" t="n">
        <v>3.971</v>
      </c>
      <c r="O627" s="14" t="n">
        <v>0</v>
      </c>
      <c r="P627" s="14" t="n">
        <v>7.124</v>
      </c>
      <c r="Q627" s="14" t="n">
        <v>0</v>
      </c>
      <c r="R627" s="14" t="n">
        <v>1</v>
      </c>
      <c r="S627" s="14" t="n">
        <v>11.451</v>
      </c>
      <c r="T627" s="14" t="n">
        <v>7.942</v>
      </c>
      <c r="U627" s="14" t="n">
        <v>0.156</v>
      </c>
      <c r="V627" s="14" t="n">
        <v>12.596</v>
      </c>
      <c r="W627" s="14" t="n">
        <v>0.1</v>
      </c>
      <c r="X627" s="14" t="n">
        <v>1</v>
      </c>
      <c r="Y627" s="14" t="n">
        <v>11.872</v>
      </c>
      <c r="Z627" s="14" t="n">
        <v>1.465</v>
      </c>
      <c r="AA627" s="14" t="n">
        <v>0</v>
      </c>
      <c r="AB627" s="14" t="n">
        <v>11.872</v>
      </c>
      <c r="AC627" s="14" t="n">
        <v>0</v>
      </c>
      <c r="AD627" s="14" t="n">
        <v>1</v>
      </c>
      <c r="AE627" s="14" t="n">
        <v>13.196</v>
      </c>
      <c r="AF627" s="14" t="n">
        <v>2.877</v>
      </c>
      <c r="AG627" s="14" t="n">
        <v>0</v>
      </c>
      <c r="AH627" s="14" t="n">
        <v>13.196</v>
      </c>
      <c r="AI627" s="14" t="n">
        <v>0</v>
      </c>
      <c r="AJ627" s="14" t="n">
        <v>1</v>
      </c>
      <c r="AK627" s="14" t="n">
        <v>21.137</v>
      </c>
      <c r="AL627" s="14" t="n">
        <v>10.968</v>
      </c>
      <c r="AM627" s="14" t="n">
        <v>0.288</v>
      </c>
      <c r="AN627" s="14" t="n">
        <v>23.251</v>
      </c>
      <c r="AO627" s="14" t="n">
        <v>0.1</v>
      </c>
      <c r="AP627" s="14" t="n">
        <v>1</v>
      </c>
      <c r="AQ627" s="14" t="n">
        <v>0.72</v>
      </c>
      <c r="AR627" s="14" t="n">
        <v>0.132</v>
      </c>
      <c r="AS627" s="14" t="n">
        <v>0.4</v>
      </c>
      <c r="AT627" s="14" t="n">
        <v>1.231</v>
      </c>
      <c r="AU627" s="14" t="n">
        <v>0.1</v>
      </c>
      <c r="AV627" s="14" t="n">
        <v>1</v>
      </c>
      <c r="AW627" s="14" t="n">
        <v>0.734</v>
      </c>
      <c r="AX627" s="14" t="n">
        <v>0.132</v>
      </c>
      <c r="AY627" s="14" t="n">
        <v>0.286</v>
      </c>
      <c r="AZ627" s="14" t="n">
        <v>1.121</v>
      </c>
      <c r="BA627" s="14" t="n">
        <v>0.1</v>
      </c>
      <c r="BB627" s="14" t="n">
        <v>1</v>
      </c>
      <c r="BC627" s="14" t="n">
        <v>0.51</v>
      </c>
      <c r="BD627" s="14" t="n">
        <v>0.132</v>
      </c>
      <c r="BE627" s="14" t="n">
        <v>0.007</v>
      </c>
      <c r="BF627" s="14" t="n">
        <v>0.5610000000000001</v>
      </c>
      <c r="BG627" s="14" t="n">
        <v>0.1</v>
      </c>
      <c r="BH627" s="14" t="n">
        <v>1</v>
      </c>
      <c r="BI627" s="14" t="n">
        <v>0.652</v>
      </c>
      <c r="BJ627" s="14" t="n">
        <v>0.132</v>
      </c>
      <c r="BK627" s="14" t="n">
        <v>0.274</v>
      </c>
      <c r="BL627" s="14" t="n">
        <v>1.019</v>
      </c>
      <c r="BM627" s="14" t="n">
        <v>0.1</v>
      </c>
      <c r="BN627" s="14" t="n">
        <v>1</v>
      </c>
      <c r="BO627" s="14" t="n">
        <v>0</v>
      </c>
      <c r="BP627" s="14" t="n">
        <v>0</v>
      </c>
      <c r="BQ627" s="14" t="n">
        <v>0.185</v>
      </c>
      <c r="BR627" s="14" t="n">
        <v>0</v>
      </c>
      <c r="BS627" s="14" t="n">
        <v>0.333</v>
      </c>
      <c r="BT627" s="14" t="n">
        <v>0</v>
      </c>
      <c r="BU627" s="14" t="n">
        <v>0</v>
      </c>
      <c r="BV627" s="14" t="n">
        <v>0.258</v>
      </c>
      <c r="BW627" s="14" t="n">
        <v>0.1</v>
      </c>
      <c r="BX627" s="14" t="n">
        <v>0.333</v>
      </c>
      <c r="BY627" s="14" t="n">
        <v>13.646</v>
      </c>
      <c r="BZ627" s="14" t="n">
        <v>0</v>
      </c>
      <c r="CA627" s="14" t="n">
        <v>13.646</v>
      </c>
      <c r="CB627" s="14" t="n">
        <v>0</v>
      </c>
      <c r="CC627" s="14" t="n">
        <v>86.38500000000001</v>
      </c>
      <c r="CD627" s="14" t="n">
        <v>7.95</v>
      </c>
      <c r="CE627" s="14" t="n">
        <v>60.985</v>
      </c>
      <c r="CF627" s="14" t="n">
        <v>162.107</v>
      </c>
      <c r="CG627" s="14" t="n">
        <v>0.1</v>
      </c>
      <c r="CH627" s="14" t="n">
        <v>1</v>
      </c>
      <c r="CI627" s="14" t="n">
        <v>0</v>
      </c>
      <c r="CJ627" s="14" t="n">
        <v>0</v>
      </c>
      <c r="CK627" s="14" t="n">
        <v>0</v>
      </c>
      <c r="CL627" s="14" t="n">
        <v>0</v>
      </c>
      <c r="CM627" s="14" t="n">
        <v>0</v>
      </c>
      <c r="CN627" s="14" t="n">
        <v>0</v>
      </c>
      <c r="CO627" s="14" t="n">
        <v>0</v>
      </c>
      <c r="CP627" s="14" t="n">
        <v>0</v>
      </c>
      <c r="CQ627" s="14" t="n">
        <v>1.387</v>
      </c>
      <c r="CR627" s="14" t="n">
        <v>0</v>
      </c>
      <c r="CS627" s="14" t="n">
        <v>3.796</v>
      </c>
      <c r="CT627" s="14" t="n">
        <v>3.509</v>
      </c>
      <c r="CU627" s="14" t="n">
        <v>10.896</v>
      </c>
    </row>
    <row r="628">
      <c r="A628" s="14" t="inlineStr">
        <is>
          <t>PRY2021</t>
        </is>
      </c>
      <c r="B628" s="14" t="inlineStr">
        <is>
          <t>PRY</t>
        </is>
      </c>
      <c r="C628" s="14" t="inlineStr">
        <is>
          <t>PRY</t>
        </is>
      </c>
      <c r="D628" s="14" t="inlineStr">
        <is>
          <t>Paraguay</t>
        </is>
      </c>
      <c r="E628" s="14" t="n">
        <v>2021</v>
      </c>
      <c r="F628" s="14" t="n">
        <v>0.1</v>
      </c>
      <c r="G628" s="14" t="n">
        <v>5.897</v>
      </c>
      <c r="H628" s="14" t="n">
        <v>1.143</v>
      </c>
      <c r="I628" s="14" t="n">
        <v>0</v>
      </c>
      <c r="J628" s="14" t="n">
        <v>5.897</v>
      </c>
      <c r="K628" s="14" t="n">
        <v>0</v>
      </c>
      <c r="L628" s="14" t="n">
        <v>1</v>
      </c>
      <c r="M628" s="14" t="n">
        <v>7.964</v>
      </c>
      <c r="N628" s="14" t="n">
        <v>3.43</v>
      </c>
      <c r="O628" s="14" t="n">
        <v>0</v>
      </c>
      <c r="P628" s="14" t="n">
        <v>7.964</v>
      </c>
      <c r="Q628" s="14" t="n">
        <v>0</v>
      </c>
      <c r="R628" s="14" t="n">
        <v>1</v>
      </c>
      <c r="S628" s="14" t="n">
        <v>11.613</v>
      </c>
      <c r="T628" s="14" t="n">
        <v>6.86</v>
      </c>
      <c r="U628" s="14" t="n">
        <v>0</v>
      </c>
      <c r="V628" s="14" t="n">
        <v>12.775</v>
      </c>
      <c r="W628" s="14" t="n">
        <v>0.1</v>
      </c>
      <c r="X628" s="14" t="n">
        <v>1</v>
      </c>
      <c r="Y628" s="14" t="n">
        <v>17.127</v>
      </c>
      <c r="Z628" s="14" t="n">
        <v>2.304</v>
      </c>
      <c r="AA628" s="14" t="n">
        <v>0</v>
      </c>
      <c r="AB628" s="14" t="n">
        <v>17.127</v>
      </c>
      <c r="AC628" s="14" t="n">
        <v>0</v>
      </c>
      <c r="AD628" s="14" t="n">
        <v>1</v>
      </c>
      <c r="AE628" s="14" t="n">
        <v>18.27</v>
      </c>
      <c r="AF628" s="14" t="n">
        <v>4.278</v>
      </c>
      <c r="AG628" s="14" t="n">
        <v>0</v>
      </c>
      <c r="AH628" s="14" t="n">
        <v>18.27</v>
      </c>
      <c r="AI628" s="14" t="n">
        <v>0</v>
      </c>
      <c r="AJ628" s="14" t="n">
        <v>1</v>
      </c>
      <c r="AK628" s="14" t="n">
        <v>25.13</v>
      </c>
      <c r="AL628" s="14" t="n">
        <v>13.503</v>
      </c>
      <c r="AM628" s="14" t="n">
        <v>0</v>
      </c>
      <c r="AN628" s="14" t="n">
        <v>27.643</v>
      </c>
      <c r="AO628" s="14" t="n">
        <v>0.1</v>
      </c>
      <c r="AP628" s="14" t="n">
        <v>1</v>
      </c>
      <c r="AQ628" s="14" t="n">
        <v>0.649</v>
      </c>
      <c r="AR628" s="14" t="n">
        <v>0.114</v>
      </c>
      <c r="AS628" s="14" t="n">
        <v>0.237</v>
      </c>
      <c r="AT628" s="14" t="n">
        <v>0.886</v>
      </c>
      <c r="AU628" s="14" t="n">
        <v>0</v>
      </c>
      <c r="AV628" s="14" t="n">
        <v>1</v>
      </c>
      <c r="AW628" s="14" t="n">
        <v>0.577</v>
      </c>
      <c r="AX628" s="14" t="n">
        <v>0.114</v>
      </c>
      <c r="AY628" s="14" t="n">
        <v>0.224</v>
      </c>
      <c r="AZ628" s="14" t="n">
        <v>0.801</v>
      </c>
      <c r="BA628" s="14" t="n">
        <v>0</v>
      </c>
      <c r="BB628" s="14" t="n">
        <v>1</v>
      </c>
      <c r="BC628" s="14" t="n">
        <v>0.458</v>
      </c>
      <c r="BD628" s="14" t="n">
        <v>0.114</v>
      </c>
      <c r="BE628" s="14" t="n">
        <v>0.089</v>
      </c>
      <c r="BF628" s="14" t="n">
        <v>0.547</v>
      </c>
      <c r="BG628" s="14" t="n">
        <v>0</v>
      </c>
      <c r="BH628" s="14" t="n">
        <v>1</v>
      </c>
      <c r="BI628" s="14" t="n">
        <v>0.491</v>
      </c>
      <c r="BJ628" s="14" t="n">
        <v>0.114</v>
      </c>
      <c r="BK628" s="14" t="n">
        <v>0.55</v>
      </c>
      <c r="BL628" s="14" t="n">
        <v>1.041</v>
      </c>
      <c r="BM628" s="14" t="n">
        <v>0</v>
      </c>
      <c r="BN628" s="14" t="n">
        <v>1</v>
      </c>
      <c r="BO628" s="14" t="n">
        <v>0</v>
      </c>
      <c r="BP628" s="14" t="n">
        <v>0</v>
      </c>
      <c r="BQ628" s="14" t="n">
        <v>0.061</v>
      </c>
      <c r="BR628" s="14" t="n">
        <v>0</v>
      </c>
      <c r="BS628" s="14" t="n">
        <v>0.833</v>
      </c>
      <c r="BT628" s="14" t="n">
        <v>0</v>
      </c>
      <c r="BU628" s="14" t="n">
        <v>0</v>
      </c>
      <c r="BV628" s="14" t="n">
        <v>0.057</v>
      </c>
      <c r="BW628" s="14" t="n">
        <v>0.1</v>
      </c>
      <c r="BX628" s="14" t="n">
        <v>0.833</v>
      </c>
      <c r="BY628" s="14" t="n">
        <v>11.787</v>
      </c>
      <c r="BZ628" s="14" t="n">
        <v>0</v>
      </c>
      <c r="CA628" s="14" t="n">
        <v>11.787</v>
      </c>
      <c r="CB628" s="14" t="n">
        <v>0</v>
      </c>
      <c r="CC628" s="14" t="n">
        <v>78.125</v>
      </c>
      <c r="CD628" s="14" t="n">
        <v>7.95</v>
      </c>
      <c r="CE628" s="14" t="n">
        <v>78.56399999999999</v>
      </c>
      <c r="CF628" s="14" t="n">
        <v>172.358</v>
      </c>
      <c r="CG628" s="14" t="n">
        <v>0.1</v>
      </c>
      <c r="CH628" s="14" t="n">
        <v>1</v>
      </c>
      <c r="CI628" s="14" t="n">
        <v>0</v>
      </c>
      <c r="CJ628" s="14" t="n">
        <v>0</v>
      </c>
      <c r="CK628" s="14" t="n">
        <v>0</v>
      </c>
      <c r="CL628" s="14" t="n">
        <v>0</v>
      </c>
      <c r="CM628" s="14" t="n">
        <v>0</v>
      </c>
      <c r="CN628" s="14" t="n">
        <v>0</v>
      </c>
      <c r="CO628" s="14" t="n">
        <v>0</v>
      </c>
      <c r="CP628" s="14" t="n">
        <v>0</v>
      </c>
      <c r="CQ628" s="14" t="n">
        <v>1.198</v>
      </c>
      <c r="CR628" s="14" t="n">
        <v>0</v>
      </c>
      <c r="CS628" s="14" t="n">
        <v>4.776</v>
      </c>
      <c r="CT628" s="14" t="n">
        <v>4.753</v>
      </c>
      <c r="CU628" s="14" t="n">
        <v>15.983</v>
      </c>
    </row>
    <row r="629">
      <c r="A629" s="14" t="inlineStr">
        <is>
          <t>PRY2022</t>
        </is>
      </c>
      <c r="B629" s="14" t="inlineStr">
        <is>
          <t>PRY</t>
        </is>
      </c>
      <c r="C629" s="14" t="inlineStr">
        <is>
          <t>PRY</t>
        </is>
      </c>
      <c r="D629" s="14" t="inlineStr">
        <is>
          <t>Paraguay</t>
        </is>
      </c>
      <c r="E629" s="14" t="n">
        <v>2022</v>
      </c>
      <c r="F629" s="14" t="n">
        <v>0.1</v>
      </c>
      <c r="G629" s="14" t="n">
        <v>11.72</v>
      </c>
      <c r="H629" s="14" t="n">
        <v>1.235</v>
      </c>
      <c r="I629" s="14" t="n">
        <v>0</v>
      </c>
      <c r="J629" s="14" t="n">
        <v>11.72</v>
      </c>
      <c r="K629" s="14" t="n">
        <v>0</v>
      </c>
      <c r="L629" s="14" t="n">
        <v>1</v>
      </c>
      <c r="M629" s="14" t="n">
        <v>9.782999999999999</v>
      </c>
      <c r="N629" s="14" t="n">
        <v>3.704</v>
      </c>
      <c r="O629" s="14" t="n">
        <v>0</v>
      </c>
      <c r="P629" s="14" t="n">
        <v>9.782999999999999</v>
      </c>
      <c r="Q629" s="14" t="n">
        <v>0</v>
      </c>
      <c r="R629" s="14" t="n">
        <v>1</v>
      </c>
      <c r="S629" s="14" t="n">
        <v>17.893</v>
      </c>
      <c r="T629" s="14" t="n">
        <v>7.408</v>
      </c>
      <c r="U629" s="14" t="n">
        <v>0.132</v>
      </c>
      <c r="V629" s="14" t="n">
        <v>19.683</v>
      </c>
      <c r="W629" s="14" t="n">
        <v>0.1</v>
      </c>
      <c r="X629" s="14" t="n">
        <v>1</v>
      </c>
      <c r="Y629" s="14" t="n">
        <v>30.728</v>
      </c>
      <c r="Z629" s="14" t="n">
        <v>4.133</v>
      </c>
      <c r="AA629" s="14" t="n">
        <v>0</v>
      </c>
      <c r="AB629" s="14" t="n">
        <v>30.728</v>
      </c>
      <c r="AC629" s="14" t="n">
        <v>0</v>
      </c>
      <c r="AD629" s="14" t="n">
        <v>1</v>
      </c>
      <c r="AE629" s="14" t="n">
        <v>31.963</v>
      </c>
      <c r="AF629" s="14" t="n">
        <v>7.485</v>
      </c>
      <c r="AG629" s="14" t="n">
        <v>0</v>
      </c>
      <c r="AH629" s="14" t="n">
        <v>31.963</v>
      </c>
      <c r="AI629" s="14" t="n">
        <v>0</v>
      </c>
      <c r="AJ629" s="14" t="n">
        <v>1</v>
      </c>
      <c r="AK629" s="14" t="n">
        <v>39.371</v>
      </c>
      <c r="AL629" s="14" t="n">
        <v>21.155</v>
      </c>
      <c r="AM629" s="14" t="n">
        <v>0.291</v>
      </c>
      <c r="AN629" s="14" t="n">
        <v>43.308</v>
      </c>
      <c r="AO629" s="14" t="n">
        <v>0.1</v>
      </c>
      <c r="AP629" s="14" t="n">
        <v>1</v>
      </c>
      <c r="AQ629" s="14" t="n">
        <v>0.896</v>
      </c>
      <c r="AR629" s="14" t="n">
        <v>0.123</v>
      </c>
      <c r="AS629" s="14" t="n">
        <v>0.211</v>
      </c>
      <c r="AT629" s="14" t="n">
        <v>1.107</v>
      </c>
      <c r="AU629" s="14" t="n">
        <v>0</v>
      </c>
      <c r="AV629" s="14" t="n">
        <v>1</v>
      </c>
      <c r="AW629" s="14" t="n">
        <v>0.89</v>
      </c>
      <c r="AX629" s="14" t="n">
        <v>0.123</v>
      </c>
      <c r="AY629" s="14" t="n">
        <v>0.149</v>
      </c>
      <c r="AZ629" s="14" t="n">
        <v>1.039</v>
      </c>
      <c r="BA629" s="14" t="n">
        <v>0</v>
      </c>
      <c r="BB629" s="14" t="n">
        <v>1</v>
      </c>
      <c r="BC629" s="14" t="n">
        <v>0.62</v>
      </c>
      <c r="BD629" s="14" t="n">
        <v>0.123</v>
      </c>
      <c r="BE629" s="14" t="n">
        <v>0.096</v>
      </c>
      <c r="BF629" s="14" t="n">
        <v>0.716</v>
      </c>
      <c r="BG629" s="14" t="n">
        <v>0</v>
      </c>
      <c r="BH629" s="14" t="n">
        <v>1</v>
      </c>
      <c r="BI629" s="14" t="n">
        <v>0.608</v>
      </c>
      <c r="BJ629" s="14" t="n">
        <v>0.123</v>
      </c>
      <c r="BK629" s="14" t="n">
        <v>0.594</v>
      </c>
      <c r="BL629" s="14" t="n">
        <v>1.201</v>
      </c>
      <c r="BM629" s="14" t="n">
        <v>0</v>
      </c>
      <c r="BN629" s="14" t="n">
        <v>1</v>
      </c>
      <c r="BO629" s="14" t="n">
        <v>0</v>
      </c>
      <c r="BP629" s="14" t="n">
        <v>0</v>
      </c>
      <c r="BQ629" s="14" t="n">
        <v>0.04</v>
      </c>
      <c r="BR629" s="14" t="n">
        <v>0</v>
      </c>
      <c r="BS629" s="14" t="n">
        <v>0.833</v>
      </c>
      <c r="BT629" s="14" t="n">
        <v>0</v>
      </c>
      <c r="BU629" s="14" t="n">
        <v>0</v>
      </c>
      <c r="BV629" s="14" t="n">
        <v>0.034</v>
      </c>
      <c r="BW629" s="14" t="n">
        <v>0.1</v>
      </c>
      <c r="BX629" s="14" t="n">
        <v>0.833</v>
      </c>
      <c r="BY629" s="14" t="n">
        <v>12.729</v>
      </c>
      <c r="BZ629" s="14" t="n">
        <v>0</v>
      </c>
      <c r="CA629" s="14" t="n">
        <v>12.729</v>
      </c>
      <c r="CB629" s="14" t="n">
        <v>0</v>
      </c>
      <c r="CC629" s="14" t="n">
        <v>97.90000000000001</v>
      </c>
      <c r="CD629" s="14" t="n">
        <v>7.95</v>
      </c>
      <c r="CE629" s="14" t="n">
        <v>84.95699999999999</v>
      </c>
      <c r="CF629" s="14" t="n">
        <v>199.665</v>
      </c>
      <c r="CG629" s="14" t="n">
        <v>0.1</v>
      </c>
      <c r="CH629" s="14" t="n">
        <v>1</v>
      </c>
      <c r="CI629" s="14" t="n">
        <v>0</v>
      </c>
      <c r="CJ629" s="14" t="n">
        <v>0</v>
      </c>
      <c r="CK629" s="14" t="n">
        <v>0</v>
      </c>
      <c r="CL629" s="14" t="n">
        <v>0</v>
      </c>
      <c r="CM629" s="14" t="n">
        <v>0</v>
      </c>
      <c r="CN629" s="14" t="n">
        <v>0</v>
      </c>
      <c r="CO629" s="14" t="n">
        <v>0</v>
      </c>
      <c r="CP629" s="14" t="n">
        <v>0</v>
      </c>
      <c r="CQ629" s="14" t="n">
        <v>1.294</v>
      </c>
      <c r="CR629" s="14" t="n">
        <v>0</v>
      </c>
      <c r="CS629" s="14" t="n">
        <v>5.158</v>
      </c>
      <c r="CT629" s="14" t="n">
        <v>10.485</v>
      </c>
      <c r="CU629" s="14" t="n">
        <v>29.494</v>
      </c>
    </row>
    <row r="630">
      <c r="A630" s="14" t="inlineStr">
        <is>
          <t>PRY2023</t>
        </is>
      </c>
      <c r="B630" s="14" t="inlineStr">
        <is>
          <t>PRY</t>
        </is>
      </c>
      <c r="C630" s="14" t="inlineStr">
        <is>
          <t>PRY</t>
        </is>
      </c>
      <c r="D630" s="14" t="inlineStr">
        <is>
          <t>Paraguay</t>
        </is>
      </c>
      <c r="E630" s="14" t="n">
        <v>2023</v>
      </c>
      <c r="F630" s="14" t="n">
        <v>0.1</v>
      </c>
      <c r="G630" s="14" t="n">
        <v>6.147</v>
      </c>
      <c r="H630" s="14" t="n">
        <v>1.286</v>
      </c>
      <c r="I630" s="14" t="n">
        <v>0</v>
      </c>
      <c r="J630" s="14" t="n">
        <v>6.147</v>
      </c>
      <c r="K630" s="14" t="n">
        <v>0</v>
      </c>
      <c r="L630" s="14" t="n">
        <v>1</v>
      </c>
      <c r="M630" s="14" t="n">
        <v>7.886</v>
      </c>
      <c r="N630" s="14" t="n">
        <v>3.857</v>
      </c>
      <c r="O630" s="14" t="n">
        <v>0</v>
      </c>
      <c r="P630" s="14" t="n">
        <v>7.886</v>
      </c>
      <c r="Q630" s="14" t="n">
        <v>0</v>
      </c>
      <c r="R630" s="14" t="n">
        <v>1</v>
      </c>
      <c r="S630" s="14" t="n">
        <v>12.575</v>
      </c>
      <c r="T630" s="14" t="n">
        <v>7.714</v>
      </c>
      <c r="U630" s="14" t="n">
        <v>0.139</v>
      </c>
      <c r="V630" s="14" t="n">
        <v>13.833</v>
      </c>
      <c r="W630" s="14" t="n">
        <v>0.1</v>
      </c>
      <c r="X630" s="14" t="n">
        <v>1</v>
      </c>
      <c r="Y630" s="14" t="n">
        <v>12.478</v>
      </c>
      <c r="Z630" s="14" t="n">
        <v>1.678</v>
      </c>
      <c r="AA630" s="14" t="n">
        <v>0</v>
      </c>
      <c r="AB630" s="14" t="n">
        <v>12.478</v>
      </c>
      <c r="AC630" s="14" t="n">
        <v>0</v>
      </c>
      <c r="AD630" s="14" t="n">
        <v>1</v>
      </c>
      <c r="AE630" s="14" t="n">
        <v>13.763</v>
      </c>
      <c r="AF630" s="14" t="n">
        <v>3.223</v>
      </c>
      <c r="AG630" s="14" t="n">
        <v>0</v>
      </c>
      <c r="AH630" s="14" t="n">
        <v>13.763</v>
      </c>
      <c r="AI630" s="14" t="n">
        <v>0</v>
      </c>
      <c r="AJ630" s="14" t="n">
        <v>1</v>
      </c>
      <c r="AK630" s="14" t="n">
        <v>21.477</v>
      </c>
      <c r="AL630" s="14" t="n">
        <v>11.54</v>
      </c>
      <c r="AM630" s="14" t="n">
        <v>0.238</v>
      </c>
      <c r="AN630" s="14" t="n">
        <v>23.625</v>
      </c>
      <c r="AO630" s="14" t="n">
        <v>0.1</v>
      </c>
      <c r="AP630" s="14" t="n">
        <v>1</v>
      </c>
      <c r="AQ630" s="14" t="n">
        <v>0.791</v>
      </c>
      <c r="AR630" s="14" t="n">
        <v>0.129</v>
      </c>
      <c r="AS630" s="14" t="n">
        <v>0.124</v>
      </c>
      <c r="AT630" s="14" t="n">
        <v>0.915</v>
      </c>
      <c r="AU630" s="14" t="n">
        <v>0</v>
      </c>
      <c r="AV630" s="14" t="n">
        <v>1</v>
      </c>
      <c r="AW630" s="14" t="n">
        <v>0.618</v>
      </c>
      <c r="AX630" s="14" t="n">
        <v>0.129</v>
      </c>
      <c r="AY630" s="14" t="n">
        <v>0.442</v>
      </c>
      <c r="AZ630" s="14" t="n">
        <v>1.06</v>
      </c>
      <c r="BA630" s="14" t="n">
        <v>0</v>
      </c>
      <c r="BB630" s="14" t="n">
        <v>1</v>
      </c>
      <c r="BC630" s="14" t="n">
        <v>0.554</v>
      </c>
      <c r="BD630" s="14" t="n">
        <v>0.129</v>
      </c>
      <c r="BE630" s="14" t="n">
        <v>0.1</v>
      </c>
      <c r="BF630" s="14" t="n">
        <v>0.655</v>
      </c>
      <c r="BG630" s="14" t="n">
        <v>0</v>
      </c>
      <c r="BH630" s="14" t="n">
        <v>1</v>
      </c>
      <c r="BI630" s="14" t="n">
        <v>0.5570000000000001</v>
      </c>
      <c r="BJ630" s="14" t="n">
        <v>0.129</v>
      </c>
      <c r="BK630" s="14" t="n">
        <v>0.618</v>
      </c>
      <c r="BL630" s="14" t="n">
        <v>1.176</v>
      </c>
      <c r="BM630" s="14" t="n">
        <v>0</v>
      </c>
      <c r="BN630" s="14" t="n">
        <v>1</v>
      </c>
      <c r="BO630" s="14" t="n">
        <v>0</v>
      </c>
      <c r="BP630" s="14" t="n">
        <v>0</v>
      </c>
      <c r="BQ630" s="14" t="n">
        <v>0.04</v>
      </c>
      <c r="BR630" s="14" t="n">
        <v>0</v>
      </c>
      <c r="BS630" s="14" t="n">
        <v>0.833</v>
      </c>
      <c r="BT630" s="14" t="n">
        <v>0</v>
      </c>
      <c r="BU630" s="14" t="n">
        <v>0</v>
      </c>
      <c r="BV630" s="14" t="n">
        <v>0.035</v>
      </c>
      <c r="BW630" s="14" t="n">
        <v>0.1</v>
      </c>
      <c r="BX630" s="14" t="n">
        <v>0.833</v>
      </c>
      <c r="BY630" s="14" t="n">
        <v>13.254</v>
      </c>
      <c r="BZ630" s="14" t="n">
        <v>0</v>
      </c>
      <c r="CA630" s="14" t="n">
        <v>13.254</v>
      </c>
      <c r="CB630" s="14" t="n">
        <v>0</v>
      </c>
      <c r="CC630" s="14" t="n">
        <v>83.248</v>
      </c>
      <c r="CD630" s="14" t="n">
        <v>7.95</v>
      </c>
      <c r="CE630" s="14" t="n">
        <v>90.669</v>
      </c>
      <c r="CF630" s="14" t="n">
        <v>189.213</v>
      </c>
      <c r="CG630" s="14" t="n">
        <v>0.1</v>
      </c>
      <c r="CH630" s="14" t="n">
        <v>1</v>
      </c>
      <c r="CI630" s="14" t="n">
        <v>0</v>
      </c>
      <c r="CJ630" s="14" t="n">
        <v>0</v>
      </c>
      <c r="CK630" s="14" t="n">
        <v>0</v>
      </c>
      <c r="CL630" s="14" t="n">
        <v>0</v>
      </c>
      <c r="CM630" s="14" t="n">
        <v>0</v>
      </c>
      <c r="CN630" s="14" t="n">
        <v>0</v>
      </c>
      <c r="CO630" s="14" t="n">
        <v>0</v>
      </c>
      <c r="CP630" s="14" t="n">
        <v>0</v>
      </c>
      <c r="CQ630" s="14" t="n">
        <v>1.348</v>
      </c>
      <c r="CR630" s="14" t="n">
        <v>0</v>
      </c>
      <c r="CS630" s="14" t="n">
        <v>5.37</v>
      </c>
      <c r="CT630" s="14" t="n">
        <v>4.861</v>
      </c>
      <c r="CU630" s="14" t="n">
        <v>11.192</v>
      </c>
    </row>
    <row r="631">
      <c r="A631" s="14" t="inlineStr">
        <is>
          <t>PRY2024</t>
        </is>
      </c>
      <c r="B631" s="14" t="inlineStr">
        <is>
          <t>PRY</t>
        </is>
      </c>
      <c r="C631" s="14" t="inlineStr">
        <is>
          <t>PRY</t>
        </is>
      </c>
      <c r="D631" s="14" t="inlineStr">
        <is>
          <t>Paraguay</t>
        </is>
      </c>
      <c r="E631" s="14" t="n">
        <v>2024</v>
      </c>
      <c r="F631" s="14" t="n">
        <v>0.1</v>
      </c>
      <c r="G631" s="14" t="n">
        <v>5.575</v>
      </c>
      <c r="H631" s="14" t="n">
        <v>1.324</v>
      </c>
      <c r="I631" s="14" t="n">
        <v>0</v>
      </c>
      <c r="J631" s="14" t="n">
        <v>5.575</v>
      </c>
      <c r="K631" s="14" t="n">
        <v>0</v>
      </c>
      <c r="L631" s="14" t="n">
        <v>1</v>
      </c>
      <c r="M631" s="14" t="n">
        <v>7.124</v>
      </c>
      <c r="N631" s="14" t="n">
        <v>3.971</v>
      </c>
      <c r="O631" s="14" t="n">
        <v>0</v>
      </c>
      <c r="P631" s="14" t="n">
        <v>7.124</v>
      </c>
      <c r="Q631" s="14" t="n">
        <v>0</v>
      </c>
      <c r="R631" s="14" t="n">
        <v>1</v>
      </c>
      <c r="S631" s="14" t="n">
        <v>12.193</v>
      </c>
      <c r="T631" s="14" t="n">
        <v>7.942</v>
      </c>
      <c r="U631" s="14" t="n">
        <v>0.166</v>
      </c>
      <c r="V631" s="14" t="n">
        <v>13.412</v>
      </c>
      <c r="W631" s="14" t="n">
        <v>0.1</v>
      </c>
      <c r="X631" s="14" t="n">
        <v>1</v>
      </c>
      <c r="Y631" s="14" t="n">
        <v>11.447</v>
      </c>
      <c r="Z631" s="14" t="n">
        <v>1.54</v>
      </c>
      <c r="AA631" s="14" t="n">
        <v>0</v>
      </c>
      <c r="AB631" s="14" t="n">
        <v>11.447</v>
      </c>
      <c r="AC631" s="14" t="n">
        <v>0</v>
      </c>
      <c r="AD631" s="14" t="n">
        <v>1</v>
      </c>
      <c r="AE631" s="14" t="n">
        <v>12.771</v>
      </c>
      <c r="AF631" s="14" t="n">
        <v>2.991</v>
      </c>
      <c r="AG631" s="14" t="n">
        <v>0</v>
      </c>
      <c r="AH631" s="14" t="n">
        <v>12.771</v>
      </c>
      <c r="AI631" s="14" t="n">
        <v>0</v>
      </c>
      <c r="AJ631" s="14" t="n">
        <v>1</v>
      </c>
      <c r="AK631" s="14" t="n">
        <v>20.712</v>
      </c>
      <c r="AL631" s="14" t="n">
        <v>11.129</v>
      </c>
      <c r="AM631" s="14" t="n">
        <v>0.282</v>
      </c>
      <c r="AN631" s="14" t="n">
        <v>22.784</v>
      </c>
      <c r="AO631" s="14" t="n">
        <v>0.1</v>
      </c>
      <c r="AP631" s="14" t="n">
        <v>1</v>
      </c>
      <c r="AQ631" s="14" t="n">
        <v>0.756</v>
      </c>
      <c r="AR631" s="14" t="n">
        <v>0.132</v>
      </c>
      <c r="AS631" s="14" t="n">
        <v>-0.024</v>
      </c>
      <c r="AT631" s="14" t="n">
        <v>0.732</v>
      </c>
      <c r="AU631" s="14" t="n">
        <v>0</v>
      </c>
      <c r="AV631" s="14" t="n">
        <v>1</v>
      </c>
      <c r="AW631" s="14" t="n">
        <v>0.655</v>
      </c>
      <c r="AX631" s="14" t="n">
        <v>0.132</v>
      </c>
      <c r="AY631" s="14" t="n">
        <v>0.362</v>
      </c>
      <c r="AZ631" s="14" t="n">
        <v>1.017</v>
      </c>
      <c r="BA631" s="14" t="n">
        <v>0</v>
      </c>
      <c r="BB631" s="14" t="n">
        <v>1</v>
      </c>
      <c r="BC631" s="14" t="n">
        <v>0.534</v>
      </c>
      <c r="BD631" s="14" t="n">
        <v>0.132</v>
      </c>
      <c r="BE631" s="14" t="n">
        <v>0.103</v>
      </c>
      <c r="BF631" s="14" t="n">
        <v>0.637</v>
      </c>
      <c r="BG631" s="14" t="n">
        <v>0</v>
      </c>
      <c r="BH631" s="14" t="n">
        <v>1</v>
      </c>
      <c r="BI631" s="14" t="n">
        <v>0.5679999999999999</v>
      </c>
      <c r="BJ631" s="14" t="n">
        <v>0.132</v>
      </c>
      <c r="BK631" s="14" t="n">
        <v>0.637</v>
      </c>
      <c r="BL631" s="14" t="n">
        <v>1.204</v>
      </c>
      <c r="BM631" s="14" t="n">
        <v>0</v>
      </c>
      <c r="BN631" s="14" t="n">
        <v>1</v>
      </c>
      <c r="BO631" s="14" t="n">
        <v>0</v>
      </c>
      <c r="BP631" s="14" t="n">
        <v>0</v>
      </c>
      <c r="BQ631" s="14" t="n">
        <v>0.041</v>
      </c>
      <c r="BR631" s="14" t="n">
        <v>0</v>
      </c>
      <c r="BS631" s="14" t="n">
        <v>0.833</v>
      </c>
      <c r="BT631" s="14" t="n">
        <v>0</v>
      </c>
      <c r="BU631" s="14" t="n">
        <v>0</v>
      </c>
      <c r="BV631" s="14" t="n">
        <v>0.046</v>
      </c>
      <c r="BW631" s="14" t="n">
        <v>0.1</v>
      </c>
      <c r="BX631" s="14" t="n">
        <v>0.833</v>
      </c>
      <c r="BY631" s="14" t="n">
        <v>13.646</v>
      </c>
      <c r="BZ631" s="14" t="n">
        <v>0</v>
      </c>
      <c r="CA631" s="14" t="n">
        <v>13.646</v>
      </c>
      <c r="CB631" s="14" t="n">
        <v>0</v>
      </c>
      <c r="CC631" s="14" t="n">
        <v>82.58799999999999</v>
      </c>
      <c r="CD631" s="14" t="n">
        <v>7.95</v>
      </c>
      <c r="CE631" s="14" t="n">
        <v>94.041</v>
      </c>
      <c r="CF631" s="14" t="n">
        <v>191.681</v>
      </c>
      <c r="CG631" s="14" t="n">
        <v>0.1</v>
      </c>
      <c r="CH631" s="14" t="n">
        <v>1</v>
      </c>
      <c r="CI631" s="14" t="n">
        <v>0</v>
      </c>
      <c r="CJ631" s="14" t="n">
        <v>0</v>
      </c>
      <c r="CK631" s="14" t="n">
        <v>0</v>
      </c>
      <c r="CL631" s="14" t="n">
        <v>0</v>
      </c>
      <c r="CM631" s="14" t="n">
        <v>0</v>
      </c>
      <c r="CN631" s="14" t="n">
        <v>0</v>
      </c>
      <c r="CO631" s="14" t="n">
        <v>0</v>
      </c>
      <c r="CP631" s="14" t="n">
        <v>0</v>
      </c>
      <c r="CQ631" s="14" t="n">
        <v>1.387</v>
      </c>
      <c r="CR631" s="14" t="n">
        <v>0</v>
      </c>
      <c r="CS631" s="14" t="n">
        <v>5.529</v>
      </c>
      <c r="CT631" s="14" t="n">
        <v>4.251</v>
      </c>
      <c r="CU631" s="14" t="n">
        <v>10.123</v>
      </c>
    </row>
    <row r="632">
      <c r="A632" s="14" t="inlineStr">
        <is>
          <t>PER2021</t>
        </is>
      </c>
      <c r="B632" s="14" t="inlineStr">
        <is>
          <t>PER</t>
        </is>
      </c>
      <c r="C632" s="14" t="inlineStr">
        <is>
          <t>PER</t>
        </is>
      </c>
      <c r="D632" s="14" t="inlineStr">
        <is>
          <t>Peru</t>
        </is>
      </c>
      <c r="E632" s="14" t="n">
        <v>2021</v>
      </c>
      <c r="F632" s="14" t="n">
        <v>0.18</v>
      </c>
      <c r="G632" s="14" t="n">
        <v>3.135</v>
      </c>
      <c r="H632" s="14" t="n">
        <v>0.761</v>
      </c>
      <c r="I632" s="14" t="n">
        <v>0.485</v>
      </c>
      <c r="J632" s="14" t="n">
        <v>3.62</v>
      </c>
      <c r="K632" s="14" t="n">
        <v>0</v>
      </c>
      <c r="L632" s="14" t="n">
        <v>1</v>
      </c>
      <c r="M632" s="14" t="n">
        <v>4.584</v>
      </c>
      <c r="N632" s="14" t="n">
        <v>2.282</v>
      </c>
      <c r="O632" s="14" t="n">
        <v>0.451</v>
      </c>
      <c r="P632" s="14" t="n">
        <v>5.035</v>
      </c>
      <c r="Q632" s="14" t="n">
        <v>0</v>
      </c>
      <c r="R632" s="14" t="n">
        <v>1</v>
      </c>
      <c r="S632" s="14" t="n">
        <v>6.938</v>
      </c>
      <c r="T632" s="14" t="n">
        <v>4.564</v>
      </c>
      <c r="U632" s="14" t="n">
        <v>0.485</v>
      </c>
      <c r="V632" s="14" t="n">
        <v>8.76</v>
      </c>
      <c r="W632" s="14" t="n">
        <v>0.18</v>
      </c>
      <c r="X632" s="14" t="n">
        <v>1</v>
      </c>
      <c r="Y632" s="14" t="n">
        <v>4.539</v>
      </c>
      <c r="Z632" s="14" t="n">
        <v>0.498</v>
      </c>
      <c r="AA632" s="14" t="n">
        <v>0</v>
      </c>
      <c r="AB632" s="14" t="n">
        <v>4.539</v>
      </c>
      <c r="AC632" s="14" t="n">
        <v>0</v>
      </c>
      <c r="AD632" s="14" t="n">
        <v>1</v>
      </c>
      <c r="AE632" s="14" t="n">
        <v>5.111</v>
      </c>
      <c r="AF632" s="14" t="n">
        <v>0.994</v>
      </c>
      <c r="AG632" s="14" t="n">
        <v>0</v>
      </c>
      <c r="AH632" s="14" t="n">
        <v>5.111</v>
      </c>
      <c r="AI632" s="14" t="n">
        <v>0</v>
      </c>
      <c r="AJ632" s="14" t="n">
        <v>1</v>
      </c>
      <c r="AK632" s="14" t="n">
        <v>8.541</v>
      </c>
      <c r="AL632" s="14" t="n">
        <v>4.029</v>
      </c>
      <c r="AM632" s="14" t="n">
        <v>0</v>
      </c>
      <c r="AN632" s="14" t="n">
        <v>10.078</v>
      </c>
      <c r="AO632" s="14" t="n">
        <v>0.18</v>
      </c>
      <c r="AP632" s="14" t="n">
        <v>1</v>
      </c>
      <c r="AQ632" s="14" t="n">
        <v>0.649</v>
      </c>
      <c r="AR632" s="14" t="n">
        <v>0.114</v>
      </c>
      <c r="AS632" s="14" t="n">
        <v>0.193</v>
      </c>
      <c r="AT632" s="14" t="n">
        <v>0.993</v>
      </c>
      <c r="AU632" s="14" t="n">
        <v>0.18</v>
      </c>
      <c r="AV632" s="14" t="n">
        <v>1</v>
      </c>
      <c r="AW632" s="14" t="n">
        <v>0.577</v>
      </c>
      <c r="AX632" s="14" t="n">
        <v>0.114</v>
      </c>
      <c r="AY632" s="14" t="n">
        <v>0.256</v>
      </c>
      <c r="AZ632" s="14" t="n">
        <v>0.983</v>
      </c>
      <c r="BA632" s="14" t="n">
        <v>0.18</v>
      </c>
      <c r="BB632" s="14" t="n">
        <v>1</v>
      </c>
      <c r="BC632" s="14" t="n">
        <v>0.458</v>
      </c>
      <c r="BD632" s="14" t="n">
        <v>0.114</v>
      </c>
      <c r="BE632" s="14" t="n">
        <v>0.08599999999999999</v>
      </c>
      <c r="BF632" s="14" t="n">
        <v>0.642</v>
      </c>
      <c r="BG632" s="14" t="n">
        <v>0.18</v>
      </c>
      <c r="BH632" s="14" t="n">
        <v>1</v>
      </c>
      <c r="BI632" s="14" t="n">
        <v>0.491</v>
      </c>
      <c r="BJ632" s="14" t="n">
        <v>0.114</v>
      </c>
      <c r="BK632" s="14" t="n">
        <v>0.336</v>
      </c>
      <c r="BL632" s="14" t="n">
        <v>0.976</v>
      </c>
      <c r="BM632" s="14" t="n">
        <v>0.18</v>
      </c>
      <c r="BN632" s="14" t="n">
        <v>1</v>
      </c>
      <c r="BO632" s="14" t="n">
        <v>0</v>
      </c>
      <c r="BP632" s="14" t="n">
        <v>0</v>
      </c>
      <c r="BQ632" s="14" t="n">
        <v>0.091</v>
      </c>
      <c r="BR632" s="14" t="n">
        <v>0</v>
      </c>
      <c r="BS632" s="14" t="n">
        <v>1</v>
      </c>
      <c r="BT632" s="14" t="n">
        <v>0</v>
      </c>
      <c r="BU632" s="14" t="n">
        <v>0</v>
      </c>
      <c r="BV632" s="14" t="n">
        <v>0.153</v>
      </c>
      <c r="BW632" s="14" t="n">
        <v>0.18</v>
      </c>
      <c r="BX632" s="14" t="n">
        <v>0.833</v>
      </c>
      <c r="BY632" s="14" t="n">
        <v>11.787</v>
      </c>
      <c r="BZ632" s="14" t="n">
        <v>0</v>
      </c>
      <c r="CA632" s="14" t="n">
        <v>11.787</v>
      </c>
      <c r="CB632" s="14" t="n">
        <v>0</v>
      </c>
      <c r="CC632" s="14" t="n">
        <v>78.125</v>
      </c>
      <c r="CD632" s="14" t="n">
        <v>7.95</v>
      </c>
      <c r="CE632" s="14" t="n">
        <v>21.472</v>
      </c>
      <c r="CF632" s="14" t="n">
        <v>117.525</v>
      </c>
      <c r="CG632" s="14" t="n">
        <v>0.18</v>
      </c>
      <c r="CH632" s="14" t="n">
        <v>1</v>
      </c>
      <c r="CI632" s="14" t="n">
        <v>0</v>
      </c>
      <c r="CJ632" s="14" t="n">
        <v>0</v>
      </c>
      <c r="CK632" s="14" t="n">
        <v>0</v>
      </c>
      <c r="CL632" s="14" t="n">
        <v>0</v>
      </c>
      <c r="CM632" s="14" t="n">
        <v>0</v>
      </c>
      <c r="CN632" s="14" t="n">
        <v>0</v>
      </c>
      <c r="CO632" s="14" t="n">
        <v>0</v>
      </c>
      <c r="CP632" s="14" t="n">
        <v>0.669</v>
      </c>
      <c r="CQ632" s="14" t="n">
        <v>1.198</v>
      </c>
      <c r="CR632" s="14" t="n">
        <v>1</v>
      </c>
      <c r="CS632" s="14" t="n">
        <v>3.967</v>
      </c>
      <c r="CT632" s="14" t="n">
        <v>4.753</v>
      </c>
      <c r="CU632" s="14" t="n">
        <v>14.129</v>
      </c>
    </row>
    <row r="633">
      <c r="A633" s="14" t="inlineStr">
        <is>
          <t>PER2022</t>
        </is>
      </c>
      <c r="B633" s="14" t="inlineStr">
        <is>
          <t>PER</t>
        </is>
      </c>
      <c r="C633" s="14" t="inlineStr">
        <is>
          <t>PER</t>
        </is>
      </c>
      <c r="D633" s="14" t="inlineStr">
        <is>
          <t>Peru</t>
        </is>
      </c>
      <c r="E633" s="14" t="n">
        <v>2022</v>
      </c>
      <c r="F633" s="14" t="n">
        <v>0.18</v>
      </c>
      <c r="G633" s="14" t="n">
        <v>6.429</v>
      </c>
      <c r="H633" s="14" t="n">
        <v>0.902</v>
      </c>
      <c r="I633" s="14" t="n">
        <v>0.494</v>
      </c>
      <c r="J633" s="14" t="n">
        <v>6.923</v>
      </c>
      <c r="K633" s="14" t="n">
        <v>0</v>
      </c>
      <c r="L633" s="14" t="n">
        <v>1</v>
      </c>
      <c r="M633" s="14" t="n">
        <v>6.203</v>
      </c>
      <c r="N633" s="14" t="n">
        <v>2.705</v>
      </c>
      <c r="O633" s="14" t="n">
        <v>0.476</v>
      </c>
      <c r="P633" s="14" t="n">
        <v>6.678</v>
      </c>
      <c r="Q633" s="14" t="n">
        <v>0</v>
      </c>
      <c r="R633" s="14" t="n">
        <v>1</v>
      </c>
      <c r="S633" s="14" t="n">
        <v>10.937</v>
      </c>
      <c r="T633" s="14" t="n">
        <v>5.41</v>
      </c>
      <c r="U633" s="14" t="n">
        <v>0.646</v>
      </c>
      <c r="V633" s="14" t="n">
        <v>13.489</v>
      </c>
      <c r="W633" s="14" t="n">
        <v>0.18</v>
      </c>
      <c r="X633" s="14" t="n">
        <v>1</v>
      </c>
      <c r="Y633" s="14" t="n">
        <v>4.902</v>
      </c>
      <c r="Z633" s="14" t="n">
        <v>0.538</v>
      </c>
      <c r="AA633" s="14" t="n">
        <v>0</v>
      </c>
      <c r="AB633" s="14" t="n">
        <v>4.902</v>
      </c>
      <c r="AC633" s="14" t="n">
        <v>0</v>
      </c>
      <c r="AD633" s="14" t="n">
        <v>1</v>
      </c>
      <c r="AE633" s="14" t="n">
        <v>5.519</v>
      </c>
      <c r="AF633" s="14" t="n">
        <v>1.073</v>
      </c>
      <c r="AG633" s="14" t="n">
        <v>0</v>
      </c>
      <c r="AH633" s="14" t="n">
        <v>5.519</v>
      </c>
      <c r="AI633" s="14" t="n">
        <v>0</v>
      </c>
      <c r="AJ633" s="14" t="n">
        <v>1</v>
      </c>
      <c r="AK633" s="14" t="n">
        <v>9.223000000000001</v>
      </c>
      <c r="AL633" s="14" t="n">
        <v>4.351</v>
      </c>
      <c r="AM633" s="14" t="n">
        <v>0.123</v>
      </c>
      <c r="AN633" s="14" t="n">
        <v>10.884</v>
      </c>
      <c r="AO633" s="14" t="n">
        <v>0.18</v>
      </c>
      <c r="AP633" s="14" t="n">
        <v>1</v>
      </c>
      <c r="AQ633" s="14" t="n">
        <v>0.896</v>
      </c>
      <c r="AR633" s="14" t="n">
        <v>0.123</v>
      </c>
      <c r="AS633" s="14" t="n">
        <v>0.234</v>
      </c>
      <c r="AT633" s="14" t="n">
        <v>1.333</v>
      </c>
      <c r="AU633" s="14" t="n">
        <v>0.18</v>
      </c>
      <c r="AV633" s="14" t="n">
        <v>1</v>
      </c>
      <c r="AW633" s="14" t="n">
        <v>0.89</v>
      </c>
      <c r="AX633" s="14" t="n">
        <v>0.123</v>
      </c>
      <c r="AY633" s="14" t="n">
        <v>0.141</v>
      </c>
      <c r="AZ633" s="14" t="n">
        <v>1.217</v>
      </c>
      <c r="BA633" s="14" t="n">
        <v>0.18</v>
      </c>
      <c r="BB633" s="14" t="n">
        <v>1</v>
      </c>
      <c r="BC633" s="14" t="n">
        <v>0.62</v>
      </c>
      <c r="BD633" s="14" t="n">
        <v>0.123</v>
      </c>
      <c r="BE633" s="14" t="n">
        <v>0.033</v>
      </c>
      <c r="BF633" s="14" t="n">
        <v>0.771</v>
      </c>
      <c r="BG633" s="14" t="n">
        <v>0.18</v>
      </c>
      <c r="BH633" s="14" t="n">
        <v>1</v>
      </c>
      <c r="BI633" s="14" t="n">
        <v>0.608</v>
      </c>
      <c r="BJ633" s="14" t="n">
        <v>0.123</v>
      </c>
      <c r="BK633" s="14" t="n">
        <v>0.364</v>
      </c>
      <c r="BL633" s="14" t="n">
        <v>1.131</v>
      </c>
      <c r="BM633" s="14" t="n">
        <v>0.18</v>
      </c>
      <c r="BN633" s="14" t="n">
        <v>1</v>
      </c>
      <c r="BO633" s="14" t="n">
        <v>0</v>
      </c>
      <c r="BP633" s="14" t="n">
        <v>0</v>
      </c>
      <c r="BQ633" s="14" t="n">
        <v>0.045</v>
      </c>
      <c r="BR633" s="14" t="n">
        <v>0</v>
      </c>
      <c r="BS633" s="14" t="n">
        <v>1</v>
      </c>
      <c r="BT633" s="14" t="n">
        <v>0</v>
      </c>
      <c r="BU633" s="14" t="n">
        <v>0</v>
      </c>
      <c r="BV633" s="14" t="n">
        <v>0.233</v>
      </c>
      <c r="BW633" s="14" t="n">
        <v>0.18</v>
      </c>
      <c r="BX633" s="14" t="n">
        <v>0.833</v>
      </c>
      <c r="BY633" s="14" t="n">
        <v>12.729</v>
      </c>
      <c r="BZ633" s="14" t="n">
        <v>0</v>
      </c>
      <c r="CA633" s="14" t="n">
        <v>12.729</v>
      </c>
      <c r="CB633" s="14" t="n">
        <v>0</v>
      </c>
      <c r="CC633" s="14" t="n">
        <v>97.90000000000001</v>
      </c>
      <c r="CD633" s="14" t="n">
        <v>7.95</v>
      </c>
      <c r="CE633" s="14" t="n">
        <v>35.826</v>
      </c>
      <c r="CF633" s="14" t="n">
        <v>157.797</v>
      </c>
      <c r="CG633" s="14" t="n">
        <v>0.18</v>
      </c>
      <c r="CH633" s="14" t="n">
        <v>1</v>
      </c>
      <c r="CI633" s="14" t="n">
        <v>0</v>
      </c>
      <c r="CJ633" s="14" t="n">
        <v>0</v>
      </c>
      <c r="CK633" s="14" t="n">
        <v>0</v>
      </c>
      <c r="CL633" s="14" t="n">
        <v>0</v>
      </c>
      <c r="CM633" s="14" t="n">
        <v>0</v>
      </c>
      <c r="CN633" s="14" t="n">
        <v>0</v>
      </c>
      <c r="CO633" s="14" t="n">
        <v>0</v>
      </c>
      <c r="CP633" s="14" t="n">
        <v>0.539</v>
      </c>
      <c r="CQ633" s="14" t="n">
        <v>1.294</v>
      </c>
      <c r="CR633" s="14" t="n">
        <v>1</v>
      </c>
      <c r="CS633" s="14" t="n">
        <v>4.285</v>
      </c>
      <c r="CT633" s="14" t="n">
        <v>10.485</v>
      </c>
      <c r="CU633" s="14" t="n">
        <v>28.059</v>
      </c>
    </row>
    <row r="634">
      <c r="A634" s="14" t="inlineStr">
        <is>
          <t>PER2023</t>
        </is>
      </c>
      <c r="B634" s="14" t="inlineStr">
        <is>
          <t>PER</t>
        </is>
      </c>
      <c r="C634" s="14" t="inlineStr">
        <is>
          <t>PER</t>
        </is>
      </c>
      <c r="D634" s="14" t="inlineStr">
        <is>
          <t>Peru</t>
        </is>
      </c>
      <c r="E634" s="14" t="n">
        <v>2023</v>
      </c>
      <c r="F634" s="14" t="n">
        <v>0.18</v>
      </c>
      <c r="G634" s="14" t="n">
        <v>3.901</v>
      </c>
      <c r="H634" s="14" t="n">
        <v>0.9379999999999999</v>
      </c>
      <c r="I634" s="14" t="n">
        <v>0.503</v>
      </c>
      <c r="J634" s="14" t="n">
        <v>4.404</v>
      </c>
      <c r="K634" s="14" t="n">
        <v>0</v>
      </c>
      <c r="L634" s="14" t="n">
        <v>1</v>
      </c>
      <c r="M634" s="14" t="n">
        <v>5.396</v>
      </c>
      <c r="N634" s="14" t="n">
        <v>2.815</v>
      </c>
      <c r="O634" s="14" t="n">
        <v>0.5</v>
      </c>
      <c r="P634" s="14" t="n">
        <v>5.896</v>
      </c>
      <c r="Q634" s="14" t="n">
        <v>0</v>
      </c>
      <c r="R634" s="14" t="n">
        <v>1</v>
      </c>
      <c r="S634" s="14" t="n">
        <v>8.593</v>
      </c>
      <c r="T634" s="14" t="n">
        <v>5.63</v>
      </c>
      <c r="U634" s="14" t="n">
        <v>0.6840000000000001</v>
      </c>
      <c r="V634" s="14" t="n">
        <v>10.734</v>
      </c>
      <c r="W634" s="14" t="n">
        <v>0.18</v>
      </c>
      <c r="X634" s="14" t="n">
        <v>1</v>
      </c>
      <c r="Y634" s="14" t="n">
        <v>5.104</v>
      </c>
      <c r="Z634" s="14" t="n">
        <v>0.5600000000000001</v>
      </c>
      <c r="AA634" s="14" t="n">
        <v>0</v>
      </c>
      <c r="AB634" s="14" t="n">
        <v>5.104</v>
      </c>
      <c r="AC634" s="14" t="n">
        <v>0</v>
      </c>
      <c r="AD634" s="14" t="n">
        <v>1</v>
      </c>
      <c r="AE634" s="14" t="n">
        <v>5.747</v>
      </c>
      <c r="AF634" s="14" t="n">
        <v>1.118</v>
      </c>
      <c r="AG634" s="14" t="n">
        <v>0</v>
      </c>
      <c r="AH634" s="14" t="n">
        <v>5.747</v>
      </c>
      <c r="AI634" s="14" t="n">
        <v>0</v>
      </c>
      <c r="AJ634" s="14" t="n">
        <v>1</v>
      </c>
      <c r="AK634" s="14" t="n">
        <v>9.603999999999999</v>
      </c>
      <c r="AL634" s="14" t="n">
        <v>4.53</v>
      </c>
      <c r="AM634" s="14" t="n">
        <v>0.191</v>
      </c>
      <c r="AN634" s="14" t="n">
        <v>11.333</v>
      </c>
      <c r="AO634" s="14" t="n">
        <v>0.18</v>
      </c>
      <c r="AP634" s="14" t="n">
        <v>1</v>
      </c>
      <c r="AQ634" s="14" t="n">
        <v>0.791</v>
      </c>
      <c r="AR634" s="14" t="n">
        <v>0.129</v>
      </c>
      <c r="AS634" s="14" t="n">
        <v>0.23</v>
      </c>
      <c r="AT634" s="14" t="n">
        <v>1.205</v>
      </c>
      <c r="AU634" s="14" t="n">
        <v>0.18</v>
      </c>
      <c r="AV634" s="14" t="n">
        <v>1</v>
      </c>
      <c r="AW634" s="14" t="n">
        <v>0.618</v>
      </c>
      <c r="AX634" s="14" t="n">
        <v>0.129</v>
      </c>
      <c r="AY634" s="14" t="n">
        <v>0.424</v>
      </c>
      <c r="AZ634" s="14" t="n">
        <v>1.23</v>
      </c>
      <c r="BA634" s="14" t="n">
        <v>0.18</v>
      </c>
      <c r="BB634" s="14" t="n">
        <v>1</v>
      </c>
      <c r="BC634" s="14" t="n">
        <v>0.554</v>
      </c>
      <c r="BD634" s="14" t="n">
        <v>0.129</v>
      </c>
      <c r="BE634" s="14" t="n">
        <v>0.035</v>
      </c>
      <c r="BF634" s="14" t="n">
        <v>0.696</v>
      </c>
      <c r="BG634" s="14" t="n">
        <v>0.18</v>
      </c>
      <c r="BH634" s="14" t="n">
        <v>1</v>
      </c>
      <c r="BI634" s="14" t="n">
        <v>0.5570000000000001</v>
      </c>
      <c r="BJ634" s="14" t="n">
        <v>0.129</v>
      </c>
      <c r="BK634" s="14" t="n">
        <v>0.395</v>
      </c>
      <c r="BL634" s="14" t="n">
        <v>1.102</v>
      </c>
      <c r="BM634" s="14" t="n">
        <v>0.18</v>
      </c>
      <c r="BN634" s="14" t="n">
        <v>1</v>
      </c>
      <c r="BO634" s="14" t="n">
        <v>0</v>
      </c>
      <c r="BP634" s="14" t="n">
        <v>0</v>
      </c>
      <c r="BQ634" s="14" t="n">
        <v>0.041</v>
      </c>
      <c r="BR634" s="14" t="n">
        <v>0</v>
      </c>
      <c r="BS634" s="14" t="n">
        <v>1</v>
      </c>
      <c r="BT634" s="14" t="n">
        <v>0</v>
      </c>
      <c r="BU634" s="14" t="n">
        <v>0</v>
      </c>
      <c r="BV634" s="14" t="n">
        <v>0.184</v>
      </c>
      <c r="BW634" s="14" t="n">
        <v>0.18</v>
      </c>
      <c r="BX634" s="14" t="n">
        <v>0.833</v>
      </c>
      <c r="BY634" s="14" t="n">
        <v>13.254</v>
      </c>
      <c r="BZ634" s="14" t="n">
        <v>0</v>
      </c>
      <c r="CA634" s="14" t="n">
        <v>13.254</v>
      </c>
      <c r="CB634" s="14" t="n">
        <v>0</v>
      </c>
      <c r="CC634" s="14" t="n">
        <v>83.248</v>
      </c>
      <c r="CD634" s="14" t="n">
        <v>7.95</v>
      </c>
      <c r="CE634" s="14" t="n">
        <v>40.454</v>
      </c>
      <c r="CF634" s="14" t="n">
        <v>145.968</v>
      </c>
      <c r="CG634" s="14" t="n">
        <v>0.18</v>
      </c>
      <c r="CH634" s="14" t="n">
        <v>1</v>
      </c>
      <c r="CI634" s="14" t="n">
        <v>0</v>
      </c>
      <c r="CJ634" s="14" t="n">
        <v>0</v>
      </c>
      <c r="CK634" s="14" t="n">
        <v>0</v>
      </c>
      <c r="CL634" s="14" t="n">
        <v>0</v>
      </c>
      <c r="CM634" s="14" t="n">
        <v>0</v>
      </c>
      <c r="CN634" s="14" t="n">
        <v>0</v>
      </c>
      <c r="CO634" s="14" t="n">
        <v>0</v>
      </c>
      <c r="CP634" s="14" t="n">
        <v>0.54</v>
      </c>
      <c r="CQ634" s="14" t="n">
        <v>1.348</v>
      </c>
      <c r="CR634" s="14" t="n">
        <v>1</v>
      </c>
      <c r="CS634" s="14" t="n">
        <v>4.461</v>
      </c>
      <c r="CT634" s="14" t="n">
        <v>4.861</v>
      </c>
      <c r="CU634" s="14" t="n">
        <v>9.260999999999999</v>
      </c>
    </row>
    <row r="635">
      <c r="A635" s="14" t="inlineStr">
        <is>
          <t>PER2024</t>
        </is>
      </c>
      <c r="B635" s="14" t="inlineStr">
        <is>
          <t>PER</t>
        </is>
      </c>
      <c r="C635" s="14" t="inlineStr">
        <is>
          <t>PER</t>
        </is>
      </c>
      <c r="D635" s="14" t="inlineStr">
        <is>
          <t>Peru</t>
        </is>
      </c>
      <c r="E635" s="14" t="n">
        <v>2024</v>
      </c>
      <c r="F635" s="14" t="n">
        <v>0.18</v>
      </c>
      <c r="G635" s="14" t="n">
        <v>3.67</v>
      </c>
      <c r="H635" s="14" t="n">
        <v>0.966</v>
      </c>
      <c r="I635" s="14" t="n">
        <v>0.518</v>
      </c>
      <c r="J635" s="14" t="n">
        <v>4.188</v>
      </c>
      <c r="K635" s="14" t="n">
        <v>0</v>
      </c>
      <c r="L635" s="14" t="n">
        <v>1</v>
      </c>
      <c r="M635" s="14" t="n">
        <v>5.097</v>
      </c>
      <c r="N635" s="14" t="n">
        <v>2.898</v>
      </c>
      <c r="O635" s="14" t="n">
        <v>0.515</v>
      </c>
      <c r="P635" s="14" t="n">
        <v>5.612</v>
      </c>
      <c r="Q635" s="14" t="n">
        <v>0</v>
      </c>
      <c r="R635" s="14" t="n">
        <v>1</v>
      </c>
      <c r="S635" s="14" t="n">
        <v>8.500999999999999</v>
      </c>
      <c r="T635" s="14" t="n">
        <v>5.797</v>
      </c>
      <c r="U635" s="14" t="n">
        <v>0.739</v>
      </c>
      <c r="V635" s="14" t="n">
        <v>10.642</v>
      </c>
      <c r="W635" s="14" t="n">
        <v>0.18</v>
      </c>
      <c r="X635" s="14" t="n">
        <v>1</v>
      </c>
      <c r="Y635" s="14" t="n">
        <v>5.255</v>
      </c>
      <c r="Z635" s="14" t="n">
        <v>0.577</v>
      </c>
      <c r="AA635" s="14" t="n">
        <v>0</v>
      </c>
      <c r="AB635" s="14" t="n">
        <v>5.255</v>
      </c>
      <c r="AC635" s="14" t="n">
        <v>0</v>
      </c>
      <c r="AD635" s="14" t="n">
        <v>1</v>
      </c>
      <c r="AE635" s="14" t="n">
        <v>5.917</v>
      </c>
      <c r="AF635" s="14" t="n">
        <v>1.151</v>
      </c>
      <c r="AG635" s="14" t="n">
        <v>0</v>
      </c>
      <c r="AH635" s="14" t="n">
        <v>5.917</v>
      </c>
      <c r="AI635" s="14" t="n">
        <v>0</v>
      </c>
      <c r="AJ635" s="14" t="n">
        <v>1</v>
      </c>
      <c r="AK635" s="14" t="n">
        <v>9.888</v>
      </c>
      <c r="AL635" s="14" t="n">
        <v>4.664</v>
      </c>
      <c r="AM635" s="14" t="n">
        <v>0.242</v>
      </c>
      <c r="AN635" s="14" t="n">
        <v>11.667</v>
      </c>
      <c r="AO635" s="14" t="n">
        <v>0.18</v>
      </c>
      <c r="AP635" s="14" t="n">
        <v>1</v>
      </c>
      <c r="AQ635" s="14" t="n">
        <v>0.756</v>
      </c>
      <c r="AR635" s="14" t="n">
        <v>0.132</v>
      </c>
      <c r="AS635" s="14" t="n">
        <v>0.225</v>
      </c>
      <c r="AT635" s="14" t="n">
        <v>1.157</v>
      </c>
      <c r="AU635" s="14" t="n">
        <v>0.18</v>
      </c>
      <c r="AV635" s="14" t="n">
        <v>1</v>
      </c>
      <c r="AW635" s="14" t="n">
        <v>0.655</v>
      </c>
      <c r="AX635" s="14" t="n">
        <v>0.132</v>
      </c>
      <c r="AY635" s="14" t="n">
        <v>0.366</v>
      </c>
      <c r="AZ635" s="14" t="n">
        <v>1.205</v>
      </c>
      <c r="BA635" s="14" t="n">
        <v>0.18</v>
      </c>
      <c r="BB635" s="14" t="n">
        <v>1</v>
      </c>
      <c r="BC635" s="14" t="n">
        <v>0.534</v>
      </c>
      <c r="BD635" s="14" t="n">
        <v>0.132</v>
      </c>
      <c r="BE635" s="14" t="n">
        <v>0.062</v>
      </c>
      <c r="BF635" s="14" t="n">
        <v>0.702</v>
      </c>
      <c r="BG635" s="14" t="n">
        <v>0.18</v>
      </c>
      <c r="BH635" s="14" t="n">
        <v>1</v>
      </c>
      <c r="BI635" s="14" t="n">
        <v>0.5679999999999999</v>
      </c>
      <c r="BJ635" s="14" t="n">
        <v>0.132</v>
      </c>
      <c r="BK635" s="14" t="n">
        <v>0.412</v>
      </c>
      <c r="BL635" s="14" t="n">
        <v>1.129</v>
      </c>
      <c r="BM635" s="14" t="n">
        <v>0.18</v>
      </c>
      <c r="BN635" s="14" t="n">
        <v>1</v>
      </c>
      <c r="BO635" s="14" t="n">
        <v>0</v>
      </c>
      <c r="BP635" s="14" t="n">
        <v>0</v>
      </c>
      <c r="BQ635" s="14" t="n">
        <v>0.083</v>
      </c>
      <c r="BR635" s="14" t="n">
        <v>0</v>
      </c>
      <c r="BS635" s="14" t="n">
        <v>1</v>
      </c>
      <c r="BT635" s="14" t="n">
        <v>0</v>
      </c>
      <c r="BU635" s="14" t="n">
        <v>0</v>
      </c>
      <c r="BV635" s="14" t="n">
        <v>0.146</v>
      </c>
      <c r="BW635" s="14" t="n">
        <v>0.18</v>
      </c>
      <c r="BX635" s="14" t="n">
        <v>0.833</v>
      </c>
      <c r="BY635" s="14" t="n">
        <v>13.646</v>
      </c>
      <c r="BZ635" s="14" t="n">
        <v>0</v>
      </c>
      <c r="CA635" s="14" t="n">
        <v>13.646</v>
      </c>
      <c r="CB635" s="14" t="n">
        <v>0</v>
      </c>
      <c r="CC635" s="14" t="n">
        <v>82.58799999999999</v>
      </c>
      <c r="CD635" s="14" t="n">
        <v>7.95</v>
      </c>
      <c r="CE635" s="14" t="n">
        <v>42.429</v>
      </c>
      <c r="CF635" s="14" t="n">
        <v>147.52</v>
      </c>
      <c r="CG635" s="14" t="n">
        <v>0.18</v>
      </c>
      <c r="CH635" s="14" t="n">
        <v>1</v>
      </c>
      <c r="CI635" s="14" t="n">
        <v>0</v>
      </c>
      <c r="CJ635" s="14" t="n">
        <v>0</v>
      </c>
      <c r="CK635" s="14" t="n">
        <v>0</v>
      </c>
      <c r="CL635" s="14" t="n">
        <v>0</v>
      </c>
      <c r="CM635" s="14" t="n">
        <v>0</v>
      </c>
      <c r="CN635" s="14" t="n">
        <v>0</v>
      </c>
      <c r="CO635" s="14" t="n">
        <v>0</v>
      </c>
      <c r="CP635" s="14" t="n">
        <v>0.54</v>
      </c>
      <c r="CQ635" s="14" t="n">
        <v>1.387</v>
      </c>
      <c r="CR635" s="14" t="n">
        <v>1</v>
      </c>
      <c r="CS635" s="14" t="n">
        <v>4.593</v>
      </c>
      <c r="CT635" s="14" t="n">
        <v>4.251</v>
      </c>
      <c r="CU635" s="14" t="n">
        <v>7.598</v>
      </c>
    </row>
    <row r="636">
      <c r="A636" s="14" t="inlineStr">
        <is>
          <t>PHL2021</t>
        </is>
      </c>
      <c r="B636" s="14" t="inlineStr">
        <is>
          <t>PHL</t>
        </is>
      </c>
      <c r="C636" s="14" t="inlineStr">
        <is>
          <t>PHL</t>
        </is>
      </c>
      <c r="D636" s="14" t="inlineStr">
        <is>
          <t>Philippines</t>
        </is>
      </c>
      <c r="E636" s="14" t="n">
        <v>2021</v>
      </c>
      <c r="F636" s="14" t="n">
        <v>0.12</v>
      </c>
      <c r="G636" s="14" t="n">
        <v>4.668</v>
      </c>
      <c r="H636" s="14" t="n">
        <v>1.021</v>
      </c>
      <c r="I636" s="14" t="n">
        <v>0.366</v>
      </c>
      <c r="J636" s="14" t="n">
        <v>5.033</v>
      </c>
      <c r="K636" s="14" t="n">
        <v>0</v>
      </c>
      <c r="L636" s="14" t="n">
        <v>1</v>
      </c>
      <c r="M636" s="14" t="n">
        <v>3.11</v>
      </c>
      <c r="N636" s="14" t="n">
        <v>1.41</v>
      </c>
      <c r="O636" s="14" t="n">
        <v>0.179</v>
      </c>
      <c r="P636" s="14" t="n">
        <v>3.289</v>
      </c>
      <c r="Q636" s="14" t="n">
        <v>0</v>
      </c>
      <c r="R636" s="14" t="n">
        <v>1</v>
      </c>
      <c r="S636" s="14" t="n">
        <v>9.896000000000001</v>
      </c>
      <c r="T636" s="14" t="n">
        <v>6.526</v>
      </c>
      <c r="U636" s="14" t="n">
        <v>0</v>
      </c>
      <c r="V636" s="14" t="n">
        <v>11.083</v>
      </c>
      <c r="W636" s="14" t="n">
        <v>0.12</v>
      </c>
      <c r="X636" s="14" t="n">
        <v>1</v>
      </c>
      <c r="Y636" s="14" t="n">
        <v>5.197</v>
      </c>
      <c r="Z636" s="14" t="n">
        <v>0.354</v>
      </c>
      <c r="AA636" s="14" t="n">
        <v>2.12</v>
      </c>
      <c r="AB636" s="14" t="n">
        <v>7.317</v>
      </c>
      <c r="AC636" s="14" t="n">
        <v>0</v>
      </c>
      <c r="AD636" s="14" t="n">
        <v>1</v>
      </c>
      <c r="AE636" s="14" t="n">
        <v>5.769</v>
      </c>
      <c r="AF636" s="14" t="n">
        <v>0.731</v>
      </c>
      <c r="AG636" s="14" t="n">
        <v>3.83</v>
      </c>
      <c r="AH636" s="14" t="n">
        <v>9.599</v>
      </c>
      <c r="AI636" s="14" t="n">
        <v>0</v>
      </c>
      <c r="AJ636" s="14" t="n">
        <v>1</v>
      </c>
      <c r="AK636" s="14" t="n">
        <v>9.199</v>
      </c>
      <c r="AL636" s="14" t="n">
        <v>3.325</v>
      </c>
      <c r="AM636" s="14" t="n">
        <v>0</v>
      </c>
      <c r="AN636" s="14" t="n">
        <v>10.302</v>
      </c>
      <c r="AO636" s="14" t="n">
        <v>0.12</v>
      </c>
      <c r="AP636" s="14" t="n">
        <v>1</v>
      </c>
      <c r="AQ636" s="14" t="n">
        <v>0.805</v>
      </c>
      <c r="AR636" s="14" t="n">
        <v>0.147</v>
      </c>
      <c r="AS636" s="14" t="n">
        <v>0.203</v>
      </c>
      <c r="AT636" s="14" t="n">
        <v>1.129</v>
      </c>
      <c r="AU636" s="14" t="n">
        <v>0.12</v>
      </c>
      <c r="AV636" s="14" t="n">
        <v>1</v>
      </c>
      <c r="AW636" s="14" t="n">
        <v>0.656</v>
      </c>
      <c r="AX636" s="14" t="n">
        <v>0.127</v>
      </c>
      <c r="AY636" s="14" t="n">
        <v>0.122</v>
      </c>
      <c r="AZ636" s="14" t="n">
        <v>0.871</v>
      </c>
      <c r="BA636" s="14" t="n">
        <v>0.12</v>
      </c>
      <c r="BB636" s="14" t="n">
        <v>1</v>
      </c>
      <c r="BC636" s="14" t="n">
        <v>0.679</v>
      </c>
      <c r="BD636" s="14" t="n">
        <v>0.175</v>
      </c>
      <c r="BE636" s="14" t="n">
        <v>0.031</v>
      </c>
      <c r="BF636" s="14" t="n">
        <v>0.795</v>
      </c>
      <c r="BG636" s="14" t="n">
        <v>0.12</v>
      </c>
      <c r="BH636" s="14" t="n">
        <v>1</v>
      </c>
      <c r="BI636" s="14" t="n">
        <v>0.772</v>
      </c>
      <c r="BJ636" s="14" t="n">
        <v>0.171</v>
      </c>
      <c r="BK636" s="14" t="n">
        <v>0.102</v>
      </c>
      <c r="BL636" s="14" t="n">
        <v>0.979</v>
      </c>
      <c r="BM636" s="14" t="n">
        <v>0.12</v>
      </c>
      <c r="BN636" s="14" t="n">
        <v>1</v>
      </c>
      <c r="BO636" s="14" t="n">
        <v>0</v>
      </c>
      <c r="BP636" s="14" t="n">
        <v>0</v>
      </c>
      <c r="BQ636" s="14" t="n">
        <v>0.139</v>
      </c>
      <c r="BR636" s="14" t="n">
        <v>0</v>
      </c>
      <c r="BS636" s="14" t="n">
        <v>1</v>
      </c>
      <c r="BT636" s="14" t="n">
        <v>0</v>
      </c>
      <c r="BU636" s="14" t="n">
        <v>0.001</v>
      </c>
      <c r="BV636" s="14" t="n">
        <v>0.2</v>
      </c>
      <c r="BW636" s="14" t="n">
        <v>0</v>
      </c>
      <c r="BX636" s="14" t="n">
        <v>1</v>
      </c>
      <c r="BY636" s="14" t="n">
        <v>3.307</v>
      </c>
      <c r="BZ636" s="14" t="n">
        <v>0</v>
      </c>
      <c r="CA636" s="14" t="n">
        <v>3.307</v>
      </c>
      <c r="CB636" s="14" t="n">
        <v>0</v>
      </c>
      <c r="CC636" s="14" t="n">
        <v>118.117</v>
      </c>
      <c r="CD636" s="14" t="n">
        <v>44.372</v>
      </c>
      <c r="CE636" s="14" t="n">
        <v>19.369</v>
      </c>
      <c r="CF636" s="14" t="n">
        <v>153.984</v>
      </c>
      <c r="CG636" s="14" t="n">
        <v>0.12</v>
      </c>
      <c r="CH636" s="14" t="n">
        <v>1</v>
      </c>
      <c r="CI636" s="14" t="n">
        <v>0</v>
      </c>
      <c r="CJ636" s="14" t="n">
        <v>0</v>
      </c>
      <c r="CK636" s="14" t="n">
        <v>0</v>
      </c>
      <c r="CL636" s="14" t="n">
        <v>0</v>
      </c>
      <c r="CM636" s="14" t="n">
        <v>0</v>
      </c>
      <c r="CN636" s="14" t="n">
        <v>0</v>
      </c>
      <c r="CO636" s="14" t="n">
        <v>0</v>
      </c>
      <c r="CP636" s="14" t="n">
        <v>0</v>
      </c>
      <c r="CQ636" s="14" t="n">
        <v>1.198</v>
      </c>
      <c r="CR636" s="14" t="n">
        <v>1</v>
      </c>
      <c r="CS636" s="14" t="n">
        <v>4.625</v>
      </c>
      <c r="CT636" s="14" t="n">
        <v>3.604</v>
      </c>
      <c r="CU636" s="14" t="n">
        <v>9.407999999999999</v>
      </c>
    </row>
    <row r="637">
      <c r="A637" s="14" t="inlineStr">
        <is>
          <t>PHL2022</t>
        </is>
      </c>
      <c r="B637" s="14" t="inlineStr">
        <is>
          <t>PHL</t>
        </is>
      </c>
      <c r="C637" s="14" t="inlineStr">
        <is>
          <t>PHL</t>
        </is>
      </c>
      <c r="D637" s="14" t="inlineStr">
        <is>
          <t>Philippines</t>
        </is>
      </c>
      <c r="E637" s="14" t="n">
        <v>2022</v>
      </c>
      <c r="F637" s="14" t="n">
        <v>0.12</v>
      </c>
      <c r="G637" s="14" t="n">
        <v>8.343</v>
      </c>
      <c r="H637" s="14" t="n">
        <v>1.296</v>
      </c>
      <c r="I637" s="14" t="n">
        <v>0.608</v>
      </c>
      <c r="J637" s="14" t="n">
        <v>8.951000000000001</v>
      </c>
      <c r="K637" s="14" t="n">
        <v>0</v>
      </c>
      <c r="L637" s="14" t="n">
        <v>1</v>
      </c>
      <c r="M637" s="14" t="n">
        <v>3.808</v>
      </c>
      <c r="N637" s="14" t="n">
        <v>1.572</v>
      </c>
      <c r="O637" s="14" t="n">
        <v>0.185</v>
      </c>
      <c r="P637" s="14" t="n">
        <v>3.993</v>
      </c>
      <c r="Q637" s="14" t="n">
        <v>0</v>
      </c>
      <c r="R637" s="14" t="n">
        <v>1</v>
      </c>
      <c r="S637" s="14" t="n">
        <v>14.012</v>
      </c>
      <c r="T637" s="14" t="n">
        <v>7.055</v>
      </c>
      <c r="U637" s="14" t="n">
        <v>0.124</v>
      </c>
      <c r="V637" s="14" t="n">
        <v>15.694</v>
      </c>
      <c r="W637" s="14" t="n">
        <v>0.12</v>
      </c>
      <c r="X637" s="14" t="n">
        <v>1</v>
      </c>
      <c r="Y637" s="14" t="n">
        <v>5.612</v>
      </c>
      <c r="Z637" s="14" t="n">
        <v>0.382</v>
      </c>
      <c r="AA637" s="14" t="n">
        <v>2.29</v>
      </c>
      <c r="AB637" s="14" t="n">
        <v>7.902</v>
      </c>
      <c r="AC637" s="14" t="n">
        <v>0</v>
      </c>
      <c r="AD637" s="14" t="n">
        <v>1</v>
      </c>
      <c r="AE637" s="14" t="n">
        <v>6.23</v>
      </c>
      <c r="AF637" s="14" t="n">
        <v>0.79</v>
      </c>
      <c r="AG637" s="14" t="n">
        <v>4.137</v>
      </c>
      <c r="AH637" s="14" t="n">
        <v>10.366</v>
      </c>
      <c r="AI637" s="14" t="n">
        <v>0</v>
      </c>
      <c r="AJ637" s="14" t="n">
        <v>1</v>
      </c>
      <c r="AK637" s="14" t="n">
        <v>9.933999999999999</v>
      </c>
      <c r="AL637" s="14" t="n">
        <v>3.591</v>
      </c>
      <c r="AM637" s="14" t="n">
        <v>0.08799999999999999</v>
      </c>
      <c r="AN637" s="14" t="n">
        <v>11.126</v>
      </c>
      <c r="AO637" s="14" t="n">
        <v>0.12</v>
      </c>
      <c r="AP637" s="14" t="n">
        <v>1</v>
      </c>
      <c r="AQ637" s="14" t="n">
        <v>0.998</v>
      </c>
      <c r="AR637" s="14" t="n">
        <v>0.143</v>
      </c>
      <c r="AS637" s="14" t="n">
        <v>0.184</v>
      </c>
      <c r="AT637" s="14" t="n">
        <v>1.324</v>
      </c>
      <c r="AU637" s="14" t="n">
        <v>0.12</v>
      </c>
      <c r="AV637" s="14" t="n">
        <v>1</v>
      </c>
      <c r="AW637" s="14" t="n">
        <v>1.053</v>
      </c>
      <c r="AX637" s="14" t="n">
        <v>0.137</v>
      </c>
      <c r="AY637" s="14" t="n">
        <v>0.11</v>
      </c>
      <c r="AZ637" s="14" t="n">
        <v>1.303</v>
      </c>
      <c r="BA637" s="14" t="n">
        <v>0.12</v>
      </c>
      <c r="BB637" s="14" t="n">
        <v>1</v>
      </c>
      <c r="BC637" s="14" t="n">
        <v>0.828</v>
      </c>
      <c r="BD637" s="14" t="n">
        <v>0.171</v>
      </c>
      <c r="BE637" s="14" t="n">
        <v>0.036</v>
      </c>
      <c r="BF637" s="14" t="n">
        <v>0.958</v>
      </c>
      <c r="BG637" s="14" t="n">
        <v>0.12</v>
      </c>
      <c r="BH637" s="14" t="n">
        <v>1</v>
      </c>
      <c r="BI637" s="14" t="n">
        <v>1.138</v>
      </c>
      <c r="BJ637" s="14" t="n">
        <v>0.222</v>
      </c>
      <c r="BK637" s="14" t="n">
        <v>0.092</v>
      </c>
      <c r="BL637" s="14" t="n">
        <v>1.378</v>
      </c>
      <c r="BM637" s="14" t="n">
        <v>0.12</v>
      </c>
      <c r="BN637" s="14" t="n">
        <v>1</v>
      </c>
      <c r="BO637" s="14" t="n">
        <v>0</v>
      </c>
      <c r="BP637" s="14" t="n">
        <v>0</v>
      </c>
      <c r="BQ637" s="14" t="n">
        <v>0.141</v>
      </c>
      <c r="BR637" s="14" t="n">
        <v>0</v>
      </c>
      <c r="BS637" s="14" t="n">
        <v>1</v>
      </c>
      <c r="BT637" s="14" t="n">
        <v>0</v>
      </c>
      <c r="BU637" s="14" t="n">
        <v>0.001</v>
      </c>
      <c r="BV637" s="14" t="n">
        <v>0.187</v>
      </c>
      <c r="BW637" s="14" t="n">
        <v>0</v>
      </c>
      <c r="BX637" s="14" t="n">
        <v>1</v>
      </c>
      <c r="BY637" s="14" t="n">
        <v>3.571</v>
      </c>
      <c r="BZ637" s="14" t="n">
        <v>0</v>
      </c>
      <c r="CA637" s="14" t="n">
        <v>3.571</v>
      </c>
      <c r="CB637" s="14" t="n">
        <v>0</v>
      </c>
      <c r="CC637" s="14" t="n">
        <v>174.916</v>
      </c>
      <c r="CD637" s="14" t="n">
        <v>80.39</v>
      </c>
      <c r="CE637" s="14" t="n">
        <v>17.512</v>
      </c>
      <c r="CF637" s="14" t="n">
        <v>215.519</v>
      </c>
      <c r="CG637" s="14" t="n">
        <v>0.12</v>
      </c>
      <c r="CH637" s="14" t="n">
        <v>1</v>
      </c>
      <c r="CI637" s="14" t="n">
        <v>0</v>
      </c>
      <c r="CJ637" s="14" t="n">
        <v>0</v>
      </c>
      <c r="CK637" s="14" t="n">
        <v>0</v>
      </c>
      <c r="CL637" s="14" t="n">
        <v>0</v>
      </c>
      <c r="CM637" s="14" t="n">
        <v>0</v>
      </c>
      <c r="CN637" s="14" t="n">
        <v>0</v>
      </c>
      <c r="CO637" s="14" t="n">
        <v>0</v>
      </c>
      <c r="CP637" s="14" t="n">
        <v>0</v>
      </c>
      <c r="CQ637" s="14" t="n">
        <v>1.294</v>
      </c>
      <c r="CR637" s="14" t="n">
        <v>1</v>
      </c>
      <c r="CS637" s="14" t="n">
        <v>4.995</v>
      </c>
      <c r="CT637" s="14" t="n">
        <v>7.554</v>
      </c>
      <c r="CU637" s="14" t="n">
        <v>16.097</v>
      </c>
    </row>
    <row r="638">
      <c r="A638" s="14" t="inlineStr">
        <is>
          <t>PHL2023</t>
        </is>
      </c>
      <c r="B638" s="14" t="inlineStr">
        <is>
          <t>PHL</t>
        </is>
      </c>
      <c r="C638" s="14" t="inlineStr">
        <is>
          <t>PHL</t>
        </is>
      </c>
      <c r="D638" s="14" t="inlineStr">
        <is>
          <t>Philippines</t>
        </is>
      </c>
      <c r="E638" s="14" t="n">
        <v>2023</v>
      </c>
      <c r="F638" s="14" t="n">
        <v>0.12</v>
      </c>
      <c r="G638" s="14" t="n">
        <v>5.215</v>
      </c>
      <c r="H638" s="14" t="n">
        <v>1.188</v>
      </c>
      <c r="I638" s="14" t="n">
        <v>0.247</v>
      </c>
      <c r="J638" s="14" t="n">
        <v>5.462</v>
      </c>
      <c r="K638" s="14" t="n">
        <v>0</v>
      </c>
      <c r="L638" s="14" t="n">
        <v>1</v>
      </c>
      <c r="M638" s="14" t="n">
        <v>2.894</v>
      </c>
      <c r="N638" s="14" t="n">
        <v>1.435</v>
      </c>
      <c r="O638" s="14" t="n">
        <v>0.154</v>
      </c>
      <c r="P638" s="14" t="n">
        <v>3.048</v>
      </c>
      <c r="Q638" s="14" t="n">
        <v>0</v>
      </c>
      <c r="R638" s="14" t="n">
        <v>1</v>
      </c>
      <c r="S638" s="14" t="n">
        <v>10.783</v>
      </c>
      <c r="T638" s="14" t="n">
        <v>6.933</v>
      </c>
      <c r="U638" s="14" t="n">
        <v>0.143</v>
      </c>
      <c r="V638" s="14" t="n">
        <v>12.076</v>
      </c>
      <c r="W638" s="14" t="n">
        <v>0.12</v>
      </c>
      <c r="X638" s="14" t="n">
        <v>1</v>
      </c>
      <c r="Y638" s="14" t="n">
        <v>5.488</v>
      </c>
      <c r="Z638" s="14" t="n">
        <v>0.373</v>
      </c>
      <c r="AA638" s="14" t="n">
        <v>2.512</v>
      </c>
      <c r="AB638" s="14" t="n">
        <v>8</v>
      </c>
      <c r="AC638" s="14" t="n">
        <v>0</v>
      </c>
      <c r="AD638" s="14" t="n">
        <v>1</v>
      </c>
      <c r="AE638" s="14" t="n">
        <v>6.236</v>
      </c>
      <c r="AF638" s="14" t="n">
        <v>0.791</v>
      </c>
      <c r="AG638" s="14" t="n">
        <v>4.307</v>
      </c>
      <c r="AH638" s="14" t="n">
        <v>10.543</v>
      </c>
      <c r="AI638" s="14" t="n">
        <v>0</v>
      </c>
      <c r="AJ638" s="14" t="n">
        <v>1</v>
      </c>
      <c r="AK638" s="14" t="n">
        <v>10.726</v>
      </c>
      <c r="AL638" s="14" t="n">
        <v>3.878</v>
      </c>
      <c r="AM638" s="14" t="n">
        <v>0.143</v>
      </c>
      <c r="AN638" s="14" t="n">
        <v>12.013</v>
      </c>
      <c r="AO638" s="14" t="n">
        <v>0.12</v>
      </c>
      <c r="AP638" s="14" t="n">
        <v>1</v>
      </c>
      <c r="AQ638" s="14" t="n">
        <v>0.891</v>
      </c>
      <c r="AR638" s="14" t="n">
        <v>0.15</v>
      </c>
      <c r="AS638" s="14" t="n">
        <v>0.18</v>
      </c>
      <c r="AT638" s="14" t="n">
        <v>1.199</v>
      </c>
      <c r="AU638" s="14" t="n">
        <v>0.12</v>
      </c>
      <c r="AV638" s="14" t="n">
        <v>1</v>
      </c>
      <c r="AW638" s="14" t="n">
        <v>0.866</v>
      </c>
      <c r="AX638" s="14" t="n">
        <v>0.148</v>
      </c>
      <c r="AY638" s="14" t="n">
        <v>0.108</v>
      </c>
      <c r="AZ638" s="14" t="n">
        <v>1.091</v>
      </c>
      <c r="BA638" s="14" t="n">
        <v>0.12</v>
      </c>
      <c r="BB638" s="14" t="n">
        <v>1</v>
      </c>
      <c r="BC638" s="14" t="n">
        <v>0.767</v>
      </c>
      <c r="BD638" s="14" t="n">
        <v>0.184</v>
      </c>
      <c r="BE638" s="14" t="n">
        <v>0.038</v>
      </c>
      <c r="BF638" s="14" t="n">
        <v>0.889</v>
      </c>
      <c r="BG638" s="14" t="n">
        <v>0.12</v>
      </c>
      <c r="BH638" s="14" t="n">
        <v>1</v>
      </c>
      <c r="BI638" s="14" t="n">
        <v>1.079</v>
      </c>
      <c r="BJ638" s="14" t="n">
        <v>0.235</v>
      </c>
      <c r="BK638" s="14" t="n">
        <v>0.09</v>
      </c>
      <c r="BL638" s="14" t="n">
        <v>1.309</v>
      </c>
      <c r="BM638" s="14" t="n">
        <v>0.12</v>
      </c>
      <c r="BN638" s="14" t="n">
        <v>1</v>
      </c>
      <c r="BO638" s="14" t="n">
        <v>0</v>
      </c>
      <c r="BP638" s="14" t="n">
        <v>0</v>
      </c>
      <c r="BQ638" s="14" t="n">
        <v>0.164</v>
      </c>
      <c r="BR638" s="14" t="n">
        <v>0</v>
      </c>
      <c r="BS638" s="14" t="n">
        <v>1</v>
      </c>
      <c r="BT638" s="14" t="n">
        <v>0</v>
      </c>
      <c r="BU638" s="14" t="n">
        <v>0.001</v>
      </c>
      <c r="BV638" s="14" t="n">
        <v>0.213</v>
      </c>
      <c r="BW638" s="14" t="n">
        <v>0</v>
      </c>
      <c r="BX638" s="14" t="n">
        <v>1</v>
      </c>
      <c r="BY638" s="14" t="n">
        <v>3.718</v>
      </c>
      <c r="BZ638" s="14" t="n">
        <v>0</v>
      </c>
      <c r="CA638" s="14" t="n">
        <v>3.718</v>
      </c>
      <c r="CB638" s="14" t="n">
        <v>0</v>
      </c>
      <c r="CC638" s="14" t="n">
        <v>168.954</v>
      </c>
      <c r="CD638" s="14" t="n">
        <v>89.825</v>
      </c>
      <c r="CE638" s="14" t="n">
        <v>17.149</v>
      </c>
      <c r="CF638" s="14" t="n">
        <v>208.435</v>
      </c>
      <c r="CG638" s="14" t="n">
        <v>0.12</v>
      </c>
      <c r="CH638" s="14" t="n">
        <v>1</v>
      </c>
      <c r="CI638" s="14" t="n">
        <v>0</v>
      </c>
      <c r="CJ638" s="14" t="n">
        <v>0</v>
      </c>
      <c r="CK638" s="14" t="n">
        <v>0</v>
      </c>
      <c r="CL638" s="14" t="n">
        <v>0</v>
      </c>
      <c r="CM638" s="14" t="n">
        <v>0</v>
      </c>
      <c r="CN638" s="14" t="n">
        <v>0</v>
      </c>
      <c r="CO638" s="14" t="n">
        <v>0</v>
      </c>
      <c r="CP638" s="14" t="n">
        <v>0</v>
      </c>
      <c r="CQ638" s="14" t="n">
        <v>1.348</v>
      </c>
      <c r="CR638" s="14" t="n">
        <v>0.836</v>
      </c>
      <c r="CS638" s="14" t="n">
        <v>5.201</v>
      </c>
      <c r="CT638" s="14" t="n">
        <v>4.484</v>
      </c>
      <c r="CU638" s="14" t="n">
        <v>12.529</v>
      </c>
    </row>
    <row r="639">
      <c r="A639" s="14" t="inlineStr">
        <is>
          <t>PHL2024</t>
        </is>
      </c>
      <c r="B639" s="14" t="inlineStr">
        <is>
          <t>PHL</t>
        </is>
      </c>
      <c r="C639" s="14" t="inlineStr">
        <is>
          <t>PHL</t>
        </is>
      </c>
      <c r="D639" s="14" t="inlineStr">
        <is>
          <t>Philippines</t>
        </is>
      </c>
      <c r="E639" s="14" t="n">
        <v>2024</v>
      </c>
      <c r="F639" s="14" t="n">
        <v>0.12</v>
      </c>
      <c r="G639" s="14" t="n">
        <v>4.479</v>
      </c>
      <c r="H639" s="14" t="n">
        <v>1.135</v>
      </c>
      <c r="I639" s="14" t="n">
        <v>0.224</v>
      </c>
      <c r="J639" s="14" t="n">
        <v>4.703</v>
      </c>
      <c r="K639" s="14" t="n">
        <v>0</v>
      </c>
      <c r="L639" s="14" t="n">
        <v>1</v>
      </c>
      <c r="M639" s="14" t="n">
        <v>2.649</v>
      </c>
      <c r="N639" s="14" t="n">
        <v>1.443</v>
      </c>
      <c r="O639" s="14" t="n">
        <v>0.151</v>
      </c>
      <c r="P639" s="14" t="n">
        <v>2.799</v>
      </c>
      <c r="Q639" s="14" t="n">
        <v>0</v>
      </c>
      <c r="R639" s="14" t="n">
        <v>1</v>
      </c>
      <c r="S639" s="14" t="n">
        <v>10.217</v>
      </c>
      <c r="T639" s="14" t="n">
        <v>7.138</v>
      </c>
      <c r="U639" s="14" t="n">
        <v>0.167</v>
      </c>
      <c r="V639" s="14" t="n">
        <v>11.443</v>
      </c>
      <c r="W639" s="14" t="n">
        <v>0.12</v>
      </c>
      <c r="X639" s="14" t="n">
        <v>1</v>
      </c>
      <c r="Y639" s="14" t="n">
        <v>7.034</v>
      </c>
      <c r="Z639" s="14" t="n">
        <v>0.479</v>
      </c>
      <c r="AA639" s="14" t="n">
        <v>2.088</v>
      </c>
      <c r="AB639" s="14" t="n">
        <v>9.122999999999999</v>
      </c>
      <c r="AC639" s="14" t="n">
        <v>0</v>
      </c>
      <c r="AD639" s="14" t="n">
        <v>1</v>
      </c>
      <c r="AE639" s="14" t="n">
        <v>7.805</v>
      </c>
      <c r="AF639" s="14" t="n">
        <v>0.989</v>
      </c>
      <c r="AG639" s="14" t="n">
        <v>4.435</v>
      </c>
      <c r="AH639" s="14" t="n">
        <v>12.239</v>
      </c>
      <c r="AI639" s="14" t="n">
        <v>0</v>
      </c>
      <c r="AJ639" s="14" t="n">
        <v>1</v>
      </c>
      <c r="AK639" s="14" t="n">
        <v>12.427</v>
      </c>
      <c r="AL639" s="14" t="n">
        <v>4.493</v>
      </c>
      <c r="AM639" s="14" t="n">
        <v>0.203</v>
      </c>
      <c r="AN639" s="14" t="n">
        <v>13.918</v>
      </c>
      <c r="AO639" s="14" t="n">
        <v>0.12</v>
      </c>
      <c r="AP639" s="14" t="n">
        <v>1</v>
      </c>
      <c r="AQ639" s="14" t="n">
        <v>0.839</v>
      </c>
      <c r="AR639" s="14" t="n">
        <v>0.152</v>
      </c>
      <c r="AS639" s="14" t="n">
        <v>0.175</v>
      </c>
      <c r="AT639" s="14" t="n">
        <v>1.135</v>
      </c>
      <c r="AU639" s="14" t="n">
        <v>0.12</v>
      </c>
      <c r="AV639" s="14" t="n">
        <v>1</v>
      </c>
      <c r="AW639" s="14" t="n">
        <v>0.784</v>
      </c>
      <c r="AX639" s="14" t="n">
        <v>0.144</v>
      </c>
      <c r="AY639" s="14" t="n">
        <v>0.105</v>
      </c>
      <c r="AZ639" s="14" t="n">
        <v>0.996</v>
      </c>
      <c r="BA639" s="14" t="n">
        <v>0.12</v>
      </c>
      <c r="BB639" s="14" t="n">
        <v>1</v>
      </c>
      <c r="BC639" s="14" t="n">
        <v>0.749</v>
      </c>
      <c r="BD639" s="14" t="n">
        <v>0.192</v>
      </c>
      <c r="BE639" s="14" t="n">
        <v>0.039</v>
      </c>
      <c r="BF639" s="14" t="n">
        <v>0.869</v>
      </c>
      <c r="BG639" s="14" t="n">
        <v>0.12</v>
      </c>
      <c r="BH639" s="14" t="n">
        <v>1</v>
      </c>
      <c r="BI639" s="14" t="n">
        <v>1.037</v>
      </c>
      <c r="BJ639" s="14" t="n">
        <v>0.228</v>
      </c>
      <c r="BK639" s="14" t="n">
        <v>0.08699999999999999</v>
      </c>
      <c r="BL639" s="14" t="n">
        <v>1.259</v>
      </c>
      <c r="BM639" s="14" t="n">
        <v>0.12</v>
      </c>
      <c r="BN639" s="14" t="n">
        <v>1</v>
      </c>
      <c r="BO639" s="14" t="n">
        <v>0</v>
      </c>
      <c r="BP639" s="14" t="n">
        <v>0</v>
      </c>
      <c r="BQ639" s="14" t="n">
        <v>0.154</v>
      </c>
      <c r="BR639" s="14" t="n">
        <v>0</v>
      </c>
      <c r="BS639" s="14" t="n">
        <v>1</v>
      </c>
      <c r="BT639" s="14" t="n">
        <v>0</v>
      </c>
      <c r="BU639" s="14" t="n">
        <v>0.002</v>
      </c>
      <c r="BV639" s="14" t="n">
        <v>0.202</v>
      </c>
      <c r="BW639" s="14" t="n">
        <v>0</v>
      </c>
      <c r="BX639" s="14" t="n">
        <v>1</v>
      </c>
      <c r="BY639" s="14" t="n">
        <v>3.828</v>
      </c>
      <c r="BZ639" s="14" t="n">
        <v>0</v>
      </c>
      <c r="CA639" s="14" t="n">
        <v>3.828</v>
      </c>
      <c r="CB639" s="14" t="n">
        <v>0</v>
      </c>
      <c r="CC639" s="14" t="n">
        <v>162.963</v>
      </c>
      <c r="CD639" s="14" t="n">
        <v>84.52800000000001</v>
      </c>
      <c r="CE639" s="14" t="n">
        <v>16.652</v>
      </c>
      <c r="CF639" s="14" t="n">
        <v>201.169</v>
      </c>
      <c r="CG639" s="14" t="n">
        <v>0.12</v>
      </c>
      <c r="CH639" s="14" t="n">
        <v>1</v>
      </c>
      <c r="CI639" s="14" t="n">
        <v>0</v>
      </c>
      <c r="CJ639" s="14" t="n">
        <v>0</v>
      </c>
      <c r="CK639" s="14" t="n">
        <v>0</v>
      </c>
      <c r="CL639" s="14" t="n">
        <v>0</v>
      </c>
      <c r="CM639" s="14" t="n">
        <v>0</v>
      </c>
      <c r="CN639" s="14" t="n">
        <v>0</v>
      </c>
      <c r="CO639" s="14" t="n">
        <v>0</v>
      </c>
      <c r="CP639" s="14" t="n">
        <v>0</v>
      </c>
      <c r="CQ639" s="14" t="n">
        <v>1.387</v>
      </c>
      <c r="CR639" s="14" t="n">
        <v>0.836</v>
      </c>
      <c r="CS639" s="14" t="n">
        <v>5.355</v>
      </c>
      <c r="CT639" s="14" t="n">
        <v>3.509</v>
      </c>
      <c r="CU639" s="14" t="n">
        <v>10.896</v>
      </c>
    </row>
    <row r="640">
      <c r="A640" s="14" t="inlineStr">
        <is>
          <t>POL2021</t>
        </is>
      </c>
      <c r="B640" s="14" t="inlineStr">
        <is>
          <t>POL</t>
        </is>
      </c>
      <c r="C640" s="14" t="inlineStr">
        <is>
          <t>POL</t>
        </is>
      </c>
      <c r="D640" s="14" t="inlineStr">
        <is>
          <t>Poland</t>
        </is>
      </c>
      <c r="E640" s="14" t="n">
        <v>2021</v>
      </c>
      <c r="F640" s="14" t="n">
        <v>0.23</v>
      </c>
      <c r="G640" s="14" t="n">
        <v>7.076</v>
      </c>
      <c r="H640" s="14" t="n">
        <v>1.548</v>
      </c>
      <c r="I640" s="14" t="n">
        <v>1.879</v>
      </c>
      <c r="J640" s="14" t="n">
        <v>8.956</v>
      </c>
      <c r="K640" s="14" t="n">
        <v>0</v>
      </c>
      <c r="L640" s="14" t="n">
        <v>1</v>
      </c>
      <c r="M640" s="14" t="n">
        <v>9.444000000000001</v>
      </c>
      <c r="N640" s="14" t="n">
        <v>4.281</v>
      </c>
      <c r="O640" s="14" t="n">
        <v>1.964</v>
      </c>
      <c r="P640" s="14" t="n">
        <v>11.408</v>
      </c>
      <c r="Q640" s="14" t="n">
        <v>0</v>
      </c>
      <c r="R640" s="14" t="n">
        <v>1</v>
      </c>
      <c r="S640" s="14" t="n">
        <v>12.606</v>
      </c>
      <c r="T640" s="14" t="n">
        <v>7.812</v>
      </c>
      <c r="U640" s="14" t="n">
        <v>0.028</v>
      </c>
      <c r="V640" s="14" t="n">
        <v>15.539</v>
      </c>
      <c r="W640" s="14" t="n">
        <v>0.23</v>
      </c>
      <c r="X640" s="14" t="n">
        <v>1</v>
      </c>
      <c r="Y640" s="14" t="n">
        <v>22.447</v>
      </c>
      <c r="Z640" s="14" t="n">
        <v>2.479</v>
      </c>
      <c r="AA640" s="14" t="n">
        <v>-9.981</v>
      </c>
      <c r="AB640" s="14" t="n">
        <v>12.467</v>
      </c>
      <c r="AC640" s="14" t="n">
        <v>0</v>
      </c>
      <c r="AD640" s="14" t="n">
        <v>1</v>
      </c>
      <c r="AE640" s="14" t="n">
        <v>22.477</v>
      </c>
      <c r="AF640" s="14" t="n">
        <v>4.423</v>
      </c>
      <c r="AG640" s="14" t="n">
        <v>-10.01</v>
      </c>
      <c r="AH640" s="14" t="n">
        <v>12.467</v>
      </c>
      <c r="AI640" s="14" t="n">
        <v>0</v>
      </c>
      <c r="AJ640" s="14" t="n">
        <v>1</v>
      </c>
      <c r="AK640" s="14" t="n">
        <v>24.12</v>
      </c>
      <c r="AL640" s="14" t="n">
        <v>11.838</v>
      </c>
      <c r="AM640" s="14" t="n">
        <v>-12.784</v>
      </c>
      <c r="AN640" s="14" t="n">
        <v>13.944</v>
      </c>
      <c r="AO640" s="14" t="n">
        <v>0.23</v>
      </c>
      <c r="AP640" s="14" t="n">
        <v>1</v>
      </c>
      <c r="AQ640" s="14" t="n">
        <v>0.68</v>
      </c>
      <c r="AR640" s="14" t="n">
        <v>0.124</v>
      </c>
      <c r="AS640" s="14" t="n">
        <v>0.474</v>
      </c>
      <c r="AT640" s="14" t="n">
        <v>1.42</v>
      </c>
      <c r="AU640" s="14" t="n">
        <v>0.23</v>
      </c>
      <c r="AV640" s="14" t="n">
        <v>1</v>
      </c>
      <c r="AW640" s="14" t="n">
        <v>0.668</v>
      </c>
      <c r="AX640" s="14" t="n">
        <v>0.129</v>
      </c>
      <c r="AY640" s="14" t="n">
        <v>0.468</v>
      </c>
      <c r="AZ640" s="14" t="n">
        <v>1.397</v>
      </c>
      <c r="BA640" s="14" t="n">
        <v>0.23</v>
      </c>
      <c r="BB640" s="14" t="n">
        <v>1</v>
      </c>
      <c r="BC640" s="14" t="n">
        <v>0.439</v>
      </c>
      <c r="BD640" s="14" t="n">
        <v>0.114</v>
      </c>
      <c r="BE640" s="14" t="n">
        <v>0.126</v>
      </c>
      <c r="BF640" s="14" t="n">
        <v>0.695</v>
      </c>
      <c r="BG640" s="14" t="n">
        <v>0.23</v>
      </c>
      <c r="BH640" s="14" t="n">
        <v>1</v>
      </c>
      <c r="BI640" s="14" t="n">
        <v>0.505</v>
      </c>
      <c r="BJ640" s="14" t="n">
        <v>0.114</v>
      </c>
      <c r="BK640" s="14" t="n">
        <v>-0.018</v>
      </c>
      <c r="BL640" s="14" t="n">
        <v>0.599</v>
      </c>
      <c r="BM640" s="14" t="n">
        <v>0.23</v>
      </c>
      <c r="BN640" s="14" t="n">
        <v>1</v>
      </c>
      <c r="BO640" s="14" t="n">
        <v>0</v>
      </c>
      <c r="BP640" s="14" t="n">
        <v>0.041</v>
      </c>
      <c r="BQ640" s="14" t="n">
        <v>0.107</v>
      </c>
      <c r="BR640" s="14" t="n">
        <v>0</v>
      </c>
      <c r="BS640" s="14" t="n">
        <v>1</v>
      </c>
      <c r="BT640" s="14" t="n">
        <v>0</v>
      </c>
      <c r="BU640" s="14" t="n">
        <v>0.043</v>
      </c>
      <c r="BV640" s="14" t="n">
        <v>0.185</v>
      </c>
      <c r="BW640" s="14" t="n">
        <v>0.23</v>
      </c>
      <c r="BX640" s="14" t="n">
        <v>1</v>
      </c>
      <c r="BY640" s="14" t="n">
        <v>11.787</v>
      </c>
      <c r="BZ640" s="14" t="n">
        <v>0</v>
      </c>
      <c r="CA640" s="14" t="n">
        <v>11.787</v>
      </c>
      <c r="CB640" s="14" t="n">
        <v>0</v>
      </c>
      <c r="CC640" s="14" t="n">
        <v>78.125</v>
      </c>
      <c r="CD640" s="14" t="n">
        <v>7.95</v>
      </c>
      <c r="CE640" s="14" t="n">
        <v>49.868</v>
      </c>
      <c r="CF640" s="14" t="n">
        <v>157.432</v>
      </c>
      <c r="CG640" s="14" t="n">
        <v>0.23</v>
      </c>
      <c r="CH640" s="14" t="n">
        <v>1</v>
      </c>
      <c r="CI640" s="14" t="n">
        <v>0</v>
      </c>
      <c r="CJ640" s="14" t="n">
        <v>0</v>
      </c>
      <c r="CK640" s="14" t="n">
        <v>0</v>
      </c>
      <c r="CL640" s="14" t="n">
        <v>0.8179999999999999</v>
      </c>
      <c r="CM640" s="14" t="n">
        <v>0</v>
      </c>
      <c r="CN640" s="14" t="n">
        <v>0.008999999999999999</v>
      </c>
      <c r="CO640" s="14" t="n">
        <v>0</v>
      </c>
      <c r="CP640" s="14" t="n">
        <v>0</v>
      </c>
      <c r="CQ640" s="14" t="n">
        <v>1.198</v>
      </c>
      <c r="CR640" s="14" t="n">
        <v>0</v>
      </c>
      <c r="CS640" s="14" t="n">
        <v>3.981</v>
      </c>
      <c r="CT640" s="14" t="n">
        <v>3.456</v>
      </c>
      <c r="CU640" s="14" t="n">
        <v>12.489</v>
      </c>
    </row>
    <row r="641">
      <c r="A641" s="14" t="inlineStr">
        <is>
          <t>POL2022</t>
        </is>
      </c>
      <c r="B641" s="14" t="inlineStr">
        <is>
          <t>POL</t>
        </is>
      </c>
      <c r="C641" s="14" t="inlineStr">
        <is>
          <t>POL</t>
        </is>
      </c>
      <c r="D641" s="14" t="inlineStr">
        <is>
          <t>Poland</t>
        </is>
      </c>
      <c r="E641" s="14" t="n">
        <v>2022</v>
      </c>
      <c r="F641" s="14" t="n">
        <v>0.23</v>
      </c>
      <c r="G641" s="14" t="n">
        <v>14.057</v>
      </c>
      <c r="H641" s="14" t="n">
        <v>2.183</v>
      </c>
      <c r="I641" s="14" t="n">
        <v>8.353999999999999</v>
      </c>
      <c r="J641" s="14" t="n">
        <v>22.411</v>
      </c>
      <c r="K641" s="14" t="n">
        <v>0</v>
      </c>
      <c r="L641" s="14" t="n">
        <v>1</v>
      </c>
      <c r="M641" s="14" t="n">
        <v>11.627</v>
      </c>
      <c r="N641" s="14" t="n">
        <v>4.801</v>
      </c>
      <c r="O641" s="14" t="n">
        <v>8.336</v>
      </c>
      <c r="P641" s="14" t="n">
        <v>19.963</v>
      </c>
      <c r="Q641" s="14" t="n">
        <v>0</v>
      </c>
      <c r="R641" s="14" t="n">
        <v>1</v>
      </c>
      <c r="S641" s="14" t="n">
        <v>19.43</v>
      </c>
      <c r="T641" s="14" t="n">
        <v>9.516</v>
      </c>
      <c r="U641" s="14" t="n">
        <v>0.034</v>
      </c>
      <c r="V641" s="14" t="n">
        <v>23.941</v>
      </c>
      <c r="W641" s="14" t="n">
        <v>0.23</v>
      </c>
      <c r="X641" s="14" t="n">
        <v>1</v>
      </c>
      <c r="Y641" s="14" t="n">
        <v>39.508</v>
      </c>
      <c r="Z641" s="14" t="n">
        <v>4.145</v>
      </c>
      <c r="AA641" s="14" t="n">
        <v>-9.605</v>
      </c>
      <c r="AB641" s="14" t="n">
        <v>29.903</v>
      </c>
      <c r="AC641" s="14" t="n">
        <v>0</v>
      </c>
      <c r="AD641" s="14" t="n">
        <v>1</v>
      </c>
      <c r="AE641" s="14" t="n">
        <v>39.629</v>
      </c>
      <c r="AF641" s="14" t="n">
        <v>7.346</v>
      </c>
      <c r="AG641" s="14" t="n">
        <v>-9.725</v>
      </c>
      <c r="AH641" s="14" t="n">
        <v>29.903</v>
      </c>
      <c r="AI641" s="14" t="n">
        <v>0</v>
      </c>
      <c r="AJ641" s="14" t="n">
        <v>1</v>
      </c>
      <c r="AK641" s="14" t="n">
        <v>41.82</v>
      </c>
      <c r="AL641" s="14" t="n">
        <v>19.971</v>
      </c>
      <c r="AM641" s="14" t="n">
        <v>-27.066</v>
      </c>
      <c r="AN641" s="14" t="n">
        <v>16.119</v>
      </c>
      <c r="AO641" s="14" t="n">
        <v>0.093</v>
      </c>
      <c r="AP641" s="14" t="n">
        <v>1</v>
      </c>
      <c r="AQ641" s="14" t="n">
        <v>1.039</v>
      </c>
      <c r="AR641" s="14" t="n">
        <v>0.149</v>
      </c>
      <c r="AS641" s="14" t="n">
        <v>0.33</v>
      </c>
      <c r="AT641" s="14" t="n">
        <v>1.496</v>
      </c>
      <c r="AU641" s="14" t="n">
        <v>0.093</v>
      </c>
      <c r="AV641" s="14" t="n">
        <v>1</v>
      </c>
      <c r="AW641" s="14" t="n">
        <v>1.181</v>
      </c>
      <c r="AX641" s="14" t="n">
        <v>0.153</v>
      </c>
      <c r="AY641" s="14" t="n">
        <v>0.301</v>
      </c>
      <c r="AZ641" s="14" t="n">
        <v>1.619</v>
      </c>
      <c r="BA641" s="14" t="n">
        <v>0.093</v>
      </c>
      <c r="BB641" s="14" t="n">
        <v>1</v>
      </c>
      <c r="BC641" s="14" t="n">
        <v>0.598</v>
      </c>
      <c r="BD641" s="14" t="n">
        <v>0.123</v>
      </c>
      <c r="BE641" s="14" t="n">
        <v>0.07099999999999999</v>
      </c>
      <c r="BF641" s="14" t="n">
        <v>0.731</v>
      </c>
      <c r="BG641" s="14" t="n">
        <v>0.093</v>
      </c>
      <c r="BH641" s="14" t="n">
        <v>1</v>
      </c>
      <c r="BI641" s="14" t="n">
        <v>0.612</v>
      </c>
      <c r="BJ641" s="14" t="n">
        <v>0.123</v>
      </c>
      <c r="BK641" s="14" t="n">
        <v>0.292</v>
      </c>
      <c r="BL641" s="14" t="n">
        <v>1.112</v>
      </c>
      <c r="BM641" s="14" t="n">
        <v>0.23</v>
      </c>
      <c r="BN641" s="14" t="n">
        <v>1</v>
      </c>
      <c r="BO641" s="14" t="n">
        <v>0</v>
      </c>
      <c r="BP641" s="14" t="n">
        <v>0.052</v>
      </c>
      <c r="BQ641" s="14" t="n">
        <v>0.145</v>
      </c>
      <c r="BR641" s="14" t="n">
        <v>0</v>
      </c>
      <c r="BS641" s="14" t="n">
        <v>1</v>
      </c>
      <c r="BT641" s="14" t="n">
        <v>0</v>
      </c>
      <c r="BU641" s="14" t="n">
        <v>0.051</v>
      </c>
      <c r="BV641" s="14" t="n">
        <v>0.162</v>
      </c>
      <c r="BW641" s="14" t="n">
        <v>0.065</v>
      </c>
      <c r="BX641" s="14" t="n">
        <v>1</v>
      </c>
      <c r="BY641" s="14" t="n">
        <v>12.729</v>
      </c>
      <c r="BZ641" s="14" t="n">
        <v>0</v>
      </c>
      <c r="CA641" s="14" t="n">
        <v>12.729</v>
      </c>
      <c r="CB641" s="14" t="n">
        <v>0</v>
      </c>
      <c r="CC641" s="14" t="n">
        <v>97.90000000000001</v>
      </c>
      <c r="CD641" s="14" t="n">
        <v>7.95</v>
      </c>
      <c r="CE641" s="14" t="n">
        <v>124.162</v>
      </c>
      <c r="CF641" s="14" t="n">
        <v>273.136</v>
      </c>
      <c r="CG641" s="14" t="n">
        <v>0.23</v>
      </c>
      <c r="CH641" s="14" t="n">
        <v>1</v>
      </c>
      <c r="CI641" s="14" t="n">
        <v>0</v>
      </c>
      <c r="CJ641" s="14" t="n">
        <v>0</v>
      </c>
      <c r="CK641" s="14" t="n">
        <v>0</v>
      </c>
      <c r="CL641" s="14" t="n">
        <v>0.483</v>
      </c>
      <c r="CM641" s="14" t="n">
        <v>20</v>
      </c>
      <c r="CN641" s="14" t="n">
        <v>0.01</v>
      </c>
      <c r="CO641" s="14" t="n">
        <v>0</v>
      </c>
      <c r="CP641" s="14" t="n">
        <v>0</v>
      </c>
      <c r="CQ641" s="14" t="n">
        <v>1.294</v>
      </c>
      <c r="CR641" s="14" t="n">
        <v>0</v>
      </c>
      <c r="CS641" s="14" t="n">
        <v>4.299</v>
      </c>
      <c r="CT641" s="14" t="n">
        <v>9.295</v>
      </c>
      <c r="CU641" s="14" t="n">
        <v>29.459</v>
      </c>
    </row>
    <row r="642">
      <c r="A642" s="14" t="inlineStr">
        <is>
          <t>POL2023</t>
        </is>
      </c>
      <c r="B642" s="14" t="inlineStr">
        <is>
          <t>POL</t>
        </is>
      </c>
      <c r="C642" s="14" t="inlineStr">
        <is>
          <t>POL</t>
        </is>
      </c>
      <c r="D642" s="14" t="inlineStr">
        <is>
          <t>Poland</t>
        </is>
      </c>
      <c r="E642" s="14" t="n">
        <v>2023</v>
      </c>
      <c r="F642" s="14" t="n">
        <v>0.23</v>
      </c>
      <c r="G642" s="14" t="n">
        <v>7.369</v>
      </c>
      <c r="H642" s="14" t="n">
        <v>1.678</v>
      </c>
      <c r="I642" s="14" t="n">
        <v>9.680999999999999</v>
      </c>
      <c r="J642" s="14" t="n">
        <v>17.05</v>
      </c>
      <c r="K642" s="14" t="n">
        <v>0</v>
      </c>
      <c r="L642" s="14" t="n">
        <v>1</v>
      </c>
      <c r="M642" s="14" t="n">
        <v>9.352</v>
      </c>
      <c r="N642" s="14" t="n">
        <v>4.638</v>
      </c>
      <c r="O642" s="14" t="n">
        <v>9.641</v>
      </c>
      <c r="P642" s="14" t="n">
        <v>18.993</v>
      </c>
      <c r="Q642" s="14" t="n">
        <v>0</v>
      </c>
      <c r="R642" s="14" t="n">
        <v>1</v>
      </c>
      <c r="S642" s="14" t="n">
        <v>13.645</v>
      </c>
      <c r="T642" s="14" t="n">
        <v>8.557</v>
      </c>
      <c r="U642" s="14" t="n">
        <v>0.034</v>
      </c>
      <c r="V642" s="14" t="n">
        <v>16.825</v>
      </c>
      <c r="W642" s="14" t="n">
        <v>0.23</v>
      </c>
      <c r="X642" s="14" t="n">
        <v>1</v>
      </c>
      <c r="Y642" s="14" t="n">
        <v>20.215</v>
      </c>
      <c r="Z642" s="14" t="n">
        <v>2.264</v>
      </c>
      <c r="AA642" s="14" t="n">
        <v>13.865</v>
      </c>
      <c r="AB642" s="14" t="n">
        <v>34.08</v>
      </c>
      <c r="AC642" s="14" t="n">
        <v>0</v>
      </c>
      <c r="AD642" s="14" t="n">
        <v>1</v>
      </c>
      <c r="AE642" s="14" t="n">
        <v>20.387</v>
      </c>
      <c r="AF642" s="14" t="n">
        <v>4.06</v>
      </c>
      <c r="AG642" s="14" t="n">
        <v>13.693</v>
      </c>
      <c r="AH642" s="14" t="n">
        <v>34.08</v>
      </c>
      <c r="AI642" s="14" t="n">
        <v>0</v>
      </c>
      <c r="AJ642" s="14" t="n">
        <v>1</v>
      </c>
      <c r="AK642" s="14" t="n">
        <v>22.885</v>
      </c>
      <c r="AL642" s="14" t="n">
        <v>11.336</v>
      </c>
      <c r="AM642" s="14" t="n">
        <v>-5.636</v>
      </c>
      <c r="AN642" s="14" t="n">
        <v>21.216</v>
      </c>
      <c r="AO642" s="14" t="n">
        <v>0.23</v>
      </c>
      <c r="AP642" s="14" t="n">
        <v>1</v>
      </c>
      <c r="AQ642" s="14" t="n">
        <v>0.8110000000000001</v>
      </c>
      <c r="AR642" s="14" t="n">
        <v>0.137</v>
      </c>
      <c r="AS642" s="14" t="n">
        <v>0.45</v>
      </c>
      <c r="AT642" s="14" t="n">
        <v>1.551</v>
      </c>
      <c r="AU642" s="14" t="n">
        <v>0.23</v>
      </c>
      <c r="AV642" s="14" t="n">
        <v>1</v>
      </c>
      <c r="AW642" s="14" t="n">
        <v>0.865</v>
      </c>
      <c r="AX642" s="14" t="n">
        <v>0.148</v>
      </c>
      <c r="AY642" s="14" t="n">
        <v>0.413</v>
      </c>
      <c r="AZ642" s="14" t="n">
        <v>1.573</v>
      </c>
      <c r="BA642" s="14" t="n">
        <v>0.23</v>
      </c>
      <c r="BB642" s="14" t="n">
        <v>1</v>
      </c>
      <c r="BC642" s="14" t="n">
        <v>0.535</v>
      </c>
      <c r="BD642" s="14" t="n">
        <v>0.129</v>
      </c>
      <c r="BE642" s="14" t="n">
        <v>0.048</v>
      </c>
      <c r="BF642" s="14" t="n">
        <v>0.718</v>
      </c>
      <c r="BG642" s="14" t="n">
        <v>0.23</v>
      </c>
      <c r="BH642" s="14" t="n">
        <v>1</v>
      </c>
      <c r="BI642" s="14" t="n">
        <v>0.579</v>
      </c>
      <c r="BJ642" s="14" t="n">
        <v>0.129</v>
      </c>
      <c r="BK642" s="14" t="n">
        <v>0.226</v>
      </c>
      <c r="BL642" s="14" t="n">
        <v>0.99</v>
      </c>
      <c r="BM642" s="14" t="n">
        <v>0.23</v>
      </c>
      <c r="BN642" s="14" t="n">
        <v>1</v>
      </c>
      <c r="BO642" s="14" t="n">
        <v>0</v>
      </c>
      <c r="BP642" s="14" t="n">
        <v>0.075</v>
      </c>
      <c r="BQ642" s="14" t="n">
        <v>0.216</v>
      </c>
      <c r="BR642" s="14" t="n">
        <v>0</v>
      </c>
      <c r="BS642" s="14" t="n">
        <v>1</v>
      </c>
      <c r="BT642" s="14" t="n">
        <v>0</v>
      </c>
      <c r="BU642" s="14" t="n">
        <v>0.06</v>
      </c>
      <c r="BV642" s="14" t="n">
        <v>0.213</v>
      </c>
      <c r="BW642" s="14" t="n">
        <v>0.23</v>
      </c>
      <c r="BX642" s="14" t="n">
        <v>1</v>
      </c>
      <c r="BY642" s="14" t="n">
        <v>13.254</v>
      </c>
      <c r="BZ642" s="14" t="n">
        <v>0</v>
      </c>
      <c r="CA642" s="14" t="n">
        <v>13.254</v>
      </c>
      <c r="CB642" s="14" t="n">
        <v>0</v>
      </c>
      <c r="CC642" s="14" t="n">
        <v>83.248</v>
      </c>
      <c r="CD642" s="14" t="n">
        <v>7.95</v>
      </c>
      <c r="CE642" s="14" t="n">
        <v>124.29</v>
      </c>
      <c r="CF642" s="14" t="n">
        <v>255.271</v>
      </c>
      <c r="CG642" s="14" t="n">
        <v>0.23</v>
      </c>
      <c r="CH642" s="14" t="n">
        <v>1</v>
      </c>
      <c r="CI642" s="14" t="n">
        <v>0</v>
      </c>
      <c r="CJ642" s="14" t="n">
        <v>0</v>
      </c>
      <c r="CK642" s="14" t="n">
        <v>0</v>
      </c>
      <c r="CL642" s="14" t="n">
        <v>0.503</v>
      </c>
      <c r="CM642" s="14" t="n">
        <v>20.826</v>
      </c>
      <c r="CN642" s="14" t="n">
        <v>0.01</v>
      </c>
      <c r="CO642" s="14" t="n">
        <v>0</v>
      </c>
      <c r="CP642" s="14" t="n">
        <v>0</v>
      </c>
      <c r="CQ642" s="14" t="n">
        <v>1.348</v>
      </c>
      <c r="CR642" s="14" t="n">
        <v>0</v>
      </c>
      <c r="CS642" s="14" t="n">
        <v>4.477</v>
      </c>
      <c r="CT642" s="14" t="n">
        <v>7.086</v>
      </c>
      <c r="CU642" s="14" t="n">
        <v>10.115</v>
      </c>
    </row>
    <row r="643">
      <c r="A643" s="14" t="inlineStr">
        <is>
          <t>POL2024</t>
        </is>
      </c>
      <c r="B643" s="14" t="inlineStr">
        <is>
          <t>POL</t>
        </is>
      </c>
      <c r="C643" s="14" t="inlineStr">
        <is>
          <t>POL</t>
        </is>
      </c>
      <c r="D643" s="14" t="inlineStr">
        <is>
          <t>Poland</t>
        </is>
      </c>
      <c r="E643" s="14" t="n">
        <v>2024</v>
      </c>
      <c r="F643" s="14" t="n">
        <v>0.23</v>
      </c>
      <c r="G643" s="14" t="n">
        <v>6.682</v>
      </c>
      <c r="H643" s="14" t="n">
        <v>1.693</v>
      </c>
      <c r="I643" s="14" t="n">
        <v>6.347</v>
      </c>
      <c r="J643" s="14" t="n">
        <v>13.03</v>
      </c>
      <c r="K643" s="14" t="n">
        <v>0</v>
      </c>
      <c r="L643" s="14" t="n">
        <v>1</v>
      </c>
      <c r="M643" s="14" t="n">
        <v>8.462</v>
      </c>
      <c r="N643" s="14" t="n">
        <v>4.61</v>
      </c>
      <c r="O643" s="14" t="n">
        <v>6.358</v>
      </c>
      <c r="P643" s="14" t="n">
        <v>14.82</v>
      </c>
      <c r="Q643" s="14" t="n">
        <v>0</v>
      </c>
      <c r="R643" s="14" t="n">
        <v>1</v>
      </c>
      <c r="S643" s="14" t="n">
        <v>13.232</v>
      </c>
      <c r="T643" s="14" t="n">
        <v>8.76</v>
      </c>
      <c r="U643" s="14" t="n">
        <v>0.035</v>
      </c>
      <c r="V643" s="14" t="n">
        <v>16.318</v>
      </c>
      <c r="W643" s="14" t="n">
        <v>0.23</v>
      </c>
      <c r="X643" s="14" t="n">
        <v>1</v>
      </c>
      <c r="Y643" s="14" t="n">
        <v>21.212</v>
      </c>
      <c r="Z643" s="14" t="n">
        <v>2.678</v>
      </c>
      <c r="AA643" s="14" t="n">
        <v>4.393</v>
      </c>
      <c r="AB643" s="14" t="n">
        <v>25.605</v>
      </c>
      <c r="AC643" s="14" t="n">
        <v>0</v>
      </c>
      <c r="AD643" s="14" t="n">
        <v>1</v>
      </c>
      <c r="AE643" s="14" t="n">
        <v>21.653</v>
      </c>
      <c r="AF643" s="14" t="n">
        <v>4.743</v>
      </c>
      <c r="AG643" s="14" t="n">
        <v>3.952</v>
      </c>
      <c r="AH643" s="14" t="n">
        <v>25.605</v>
      </c>
      <c r="AI643" s="14" t="n">
        <v>0</v>
      </c>
      <c r="AJ643" s="14" t="n">
        <v>1</v>
      </c>
      <c r="AK643" s="14" t="n">
        <v>23.304</v>
      </c>
      <c r="AL643" s="14" t="n">
        <v>11.853</v>
      </c>
      <c r="AM643" s="14" t="n">
        <v>-4.083</v>
      </c>
      <c r="AN643" s="14" t="n">
        <v>23.641</v>
      </c>
      <c r="AO643" s="14" t="n">
        <v>0.23</v>
      </c>
      <c r="AP643" s="14" t="n">
        <v>1</v>
      </c>
      <c r="AQ643" s="14" t="n">
        <v>0.789</v>
      </c>
      <c r="AR643" s="14" t="n">
        <v>0.143</v>
      </c>
      <c r="AS643" s="14" t="n">
        <v>0.512</v>
      </c>
      <c r="AT643" s="14" t="n">
        <v>1.601</v>
      </c>
      <c r="AU643" s="14" t="n">
        <v>0.23</v>
      </c>
      <c r="AV643" s="14" t="n">
        <v>1</v>
      </c>
      <c r="AW643" s="14" t="n">
        <v>0.822</v>
      </c>
      <c r="AX643" s="14" t="n">
        <v>0.151</v>
      </c>
      <c r="AY643" s="14" t="n">
        <v>0.494</v>
      </c>
      <c r="AZ643" s="14" t="n">
        <v>1.618</v>
      </c>
      <c r="BA643" s="14" t="n">
        <v>0.23</v>
      </c>
      <c r="BB643" s="14" t="n">
        <v>1</v>
      </c>
      <c r="BC643" s="14" t="n">
        <v>0.513</v>
      </c>
      <c r="BD643" s="14" t="n">
        <v>0.132</v>
      </c>
      <c r="BE643" s="14" t="n">
        <v>0.079</v>
      </c>
      <c r="BF643" s="14" t="n">
        <v>0.728</v>
      </c>
      <c r="BG643" s="14" t="n">
        <v>0.23</v>
      </c>
      <c r="BH643" s="14" t="n">
        <v>1</v>
      </c>
      <c r="BI643" s="14" t="n">
        <v>0.591</v>
      </c>
      <c r="BJ643" s="14" t="n">
        <v>0.132</v>
      </c>
      <c r="BK643" s="14" t="n">
        <v>0.191</v>
      </c>
      <c r="BL643" s="14" t="n">
        <v>0.963</v>
      </c>
      <c r="BM643" s="14" t="n">
        <v>0.23</v>
      </c>
      <c r="BN643" s="14" t="n">
        <v>1</v>
      </c>
      <c r="BO643" s="14" t="n">
        <v>0</v>
      </c>
      <c r="BP643" s="14" t="n">
        <v>0.067</v>
      </c>
      <c r="BQ643" s="14" t="n">
        <v>0.182</v>
      </c>
      <c r="BR643" s="14" t="n">
        <v>0</v>
      </c>
      <c r="BS643" s="14" t="n">
        <v>1</v>
      </c>
      <c r="BT643" s="14" t="n">
        <v>0</v>
      </c>
      <c r="BU643" s="14" t="n">
        <v>0.06900000000000001</v>
      </c>
      <c r="BV643" s="14" t="n">
        <v>0.247</v>
      </c>
      <c r="BW643" s="14" t="n">
        <v>0.23</v>
      </c>
      <c r="BX643" s="14" t="n">
        <v>1</v>
      </c>
      <c r="BY643" s="14" t="n">
        <v>13.646</v>
      </c>
      <c r="BZ643" s="14" t="n">
        <v>0</v>
      </c>
      <c r="CA643" s="14" t="n">
        <v>13.646</v>
      </c>
      <c r="CB643" s="14" t="n">
        <v>0</v>
      </c>
      <c r="CC643" s="14" t="n">
        <v>82.58799999999999</v>
      </c>
      <c r="CD643" s="14" t="n">
        <v>7.95</v>
      </c>
      <c r="CE643" s="14" t="n">
        <v>102.469</v>
      </c>
      <c r="CF643" s="14" t="n">
        <v>227.62</v>
      </c>
      <c r="CG643" s="14" t="n">
        <v>0.23</v>
      </c>
      <c r="CH643" s="14" t="n">
        <v>1</v>
      </c>
      <c r="CI643" s="14" t="n">
        <v>0</v>
      </c>
      <c r="CJ643" s="14" t="n">
        <v>0</v>
      </c>
      <c r="CK643" s="14" t="n">
        <v>0</v>
      </c>
      <c r="CL643" s="14" t="n">
        <v>1.8</v>
      </c>
      <c r="CM643" s="14" t="n">
        <v>21.44</v>
      </c>
      <c r="CN643" s="14" t="n">
        <v>0.01</v>
      </c>
      <c r="CO643" s="14" t="n">
        <v>0</v>
      </c>
      <c r="CP643" s="14" t="n">
        <v>0</v>
      </c>
      <c r="CQ643" s="14" t="n">
        <v>1.387</v>
      </c>
      <c r="CR643" s="14" t="n">
        <v>0</v>
      </c>
      <c r="CS643" s="14" t="n">
        <v>4.609</v>
      </c>
      <c r="CT643" s="14" t="n">
        <v>4.705</v>
      </c>
      <c r="CU643" s="14" t="n">
        <v>8.551</v>
      </c>
    </row>
    <row r="644">
      <c r="A644" s="14" t="inlineStr">
        <is>
          <t>PRT2021</t>
        </is>
      </c>
      <c r="B644" s="14" t="inlineStr">
        <is>
          <t>PRT</t>
        </is>
      </c>
      <c r="C644" s="14" t="inlineStr">
        <is>
          <t>PRT</t>
        </is>
      </c>
      <c r="D644" s="14" t="inlineStr">
        <is>
          <t>Portugal</t>
        </is>
      </c>
      <c r="E644" s="14" t="n">
        <v>2021</v>
      </c>
      <c r="F644" s="14" t="n">
        <v>0.23</v>
      </c>
      <c r="G644" s="14" t="n">
        <v>3.432</v>
      </c>
      <c r="H644" s="14" t="n">
        <v>0.751</v>
      </c>
      <c r="I644" s="14" t="n">
        <v>1.422</v>
      </c>
      <c r="J644" s="14" t="n">
        <v>4.854</v>
      </c>
      <c r="K644" s="14" t="n">
        <v>0</v>
      </c>
      <c r="L644" s="14" t="n">
        <v>1</v>
      </c>
      <c r="M644" s="14" t="n">
        <v>6.871</v>
      </c>
      <c r="N644" s="14" t="n">
        <v>3.114</v>
      </c>
      <c r="O644" s="14" t="n">
        <v>2.495</v>
      </c>
      <c r="P644" s="14" t="n">
        <v>9.366</v>
      </c>
      <c r="Q644" s="14" t="n">
        <v>0</v>
      </c>
      <c r="R644" s="14" t="n">
        <v>1</v>
      </c>
      <c r="S644" s="14" t="n">
        <v>5.808</v>
      </c>
      <c r="T644" s="14" t="n">
        <v>3.586</v>
      </c>
      <c r="U644" s="14" t="n">
        <v>1.183</v>
      </c>
      <c r="V644" s="14" t="n">
        <v>8.599</v>
      </c>
      <c r="W644" s="14" t="n">
        <v>0.23</v>
      </c>
      <c r="X644" s="14" t="n">
        <v>1</v>
      </c>
      <c r="Y644" s="14" t="n">
        <v>11.872</v>
      </c>
      <c r="Z644" s="14" t="n">
        <v>1.311</v>
      </c>
      <c r="AA644" s="14" t="n">
        <v>-1.571</v>
      </c>
      <c r="AB644" s="14" t="n">
        <v>10.301</v>
      </c>
      <c r="AC644" s="14" t="n">
        <v>0</v>
      </c>
      <c r="AD644" s="14" t="n">
        <v>1</v>
      </c>
      <c r="AE644" s="14" t="n">
        <v>11.828</v>
      </c>
      <c r="AF644" s="14" t="n">
        <v>2.328</v>
      </c>
      <c r="AG644" s="14" t="n">
        <v>-1.528</v>
      </c>
      <c r="AH644" s="14" t="n">
        <v>10.301</v>
      </c>
      <c r="AI644" s="14" t="n">
        <v>0</v>
      </c>
      <c r="AJ644" s="14" t="n">
        <v>1</v>
      </c>
      <c r="AK644" s="14" t="n">
        <v>21.934</v>
      </c>
      <c r="AL644" s="14" t="n">
        <v>10.765</v>
      </c>
      <c r="AM644" s="14" t="n">
        <v>-1.437</v>
      </c>
      <c r="AN644" s="14" t="n">
        <v>25.21</v>
      </c>
      <c r="AO644" s="14" t="n">
        <v>0.23</v>
      </c>
      <c r="AP644" s="14" t="n">
        <v>1</v>
      </c>
      <c r="AQ644" s="14" t="n">
        <v>0.619</v>
      </c>
      <c r="AR644" s="14" t="n">
        <v>0.114</v>
      </c>
      <c r="AS644" s="14" t="n">
        <v>0.9399999999999999</v>
      </c>
      <c r="AT644" s="14" t="n">
        <v>1.918</v>
      </c>
      <c r="AU644" s="14" t="n">
        <v>0.23</v>
      </c>
      <c r="AV644" s="14" t="n">
        <v>1</v>
      </c>
      <c r="AW644" s="14" t="n">
        <v>0.599</v>
      </c>
      <c r="AX644" s="14" t="n">
        <v>0.114</v>
      </c>
      <c r="AY644" s="14" t="n">
        <v>0.772</v>
      </c>
      <c r="AZ644" s="14" t="n">
        <v>1.687</v>
      </c>
      <c r="BA644" s="14" t="n">
        <v>0.23</v>
      </c>
      <c r="BB644" s="14" t="n">
        <v>1</v>
      </c>
      <c r="BC644" s="14" t="n">
        <v>0.439</v>
      </c>
      <c r="BD644" s="14" t="n">
        <v>0.114</v>
      </c>
      <c r="BE644" s="14" t="n">
        <v>0.258</v>
      </c>
      <c r="BF644" s="14" t="n">
        <v>0.857</v>
      </c>
      <c r="BG644" s="14" t="n">
        <v>0.23</v>
      </c>
      <c r="BH644" s="14" t="n">
        <v>1</v>
      </c>
      <c r="BI644" s="14" t="n">
        <v>0.505</v>
      </c>
      <c r="BJ644" s="14" t="n">
        <v>0.114</v>
      </c>
      <c r="BK644" s="14" t="n">
        <v>0.668</v>
      </c>
      <c r="BL644" s="14" t="n">
        <v>1.442</v>
      </c>
      <c r="BM644" s="14" t="n">
        <v>0.23</v>
      </c>
      <c r="BN644" s="14" t="n">
        <v>1</v>
      </c>
      <c r="BO644" s="14" t="n">
        <v>0</v>
      </c>
      <c r="BP644" s="14" t="n">
        <v>0.028</v>
      </c>
      <c r="BQ644" s="14" t="n">
        <v>0.127</v>
      </c>
      <c r="BR644" s="14" t="n">
        <v>0</v>
      </c>
      <c r="BS644" s="14" t="n">
        <v>1</v>
      </c>
      <c r="BT644" s="14" t="n">
        <v>0</v>
      </c>
      <c r="BU644" s="14" t="n">
        <v>0.074</v>
      </c>
      <c r="BV644" s="14" t="n">
        <v>0.252</v>
      </c>
      <c r="BW644" s="14" t="n">
        <v>0.23</v>
      </c>
      <c r="BX644" s="14" t="n">
        <v>0.667</v>
      </c>
      <c r="BY644" s="14" t="n">
        <v>11.787</v>
      </c>
      <c r="BZ644" s="14" t="n">
        <v>0</v>
      </c>
      <c r="CA644" s="14" t="n">
        <v>11.787</v>
      </c>
      <c r="CB644" s="14" t="n">
        <v>0</v>
      </c>
      <c r="CC644" s="14" t="n">
        <v>78.125</v>
      </c>
      <c r="CD644" s="14" t="n">
        <v>7.95</v>
      </c>
      <c r="CE644" s="14" t="n">
        <v>113.66</v>
      </c>
      <c r="CF644" s="14" t="n">
        <v>235.895</v>
      </c>
      <c r="CG644" s="14" t="n">
        <v>0.23</v>
      </c>
      <c r="CH644" s="14" t="n">
        <v>1</v>
      </c>
      <c r="CI644" s="14" t="n">
        <v>0</v>
      </c>
      <c r="CJ644" s="14" t="n">
        <v>0</v>
      </c>
      <c r="CK644" s="14" t="n">
        <v>0</v>
      </c>
      <c r="CL644" s="14" t="n">
        <v>0</v>
      </c>
      <c r="CM644" s="14" t="n">
        <v>0</v>
      </c>
      <c r="CN644" s="14" t="n">
        <v>0</v>
      </c>
      <c r="CO644" s="14" t="n">
        <v>0</v>
      </c>
      <c r="CP644" s="14" t="n">
        <v>0</v>
      </c>
      <c r="CQ644" s="14" t="n">
        <v>1.198</v>
      </c>
      <c r="CR644" s="14" t="n">
        <v>0</v>
      </c>
      <c r="CS644" s="14" t="n">
        <v>4.776</v>
      </c>
      <c r="CT644" s="14" t="n">
        <v>23.769</v>
      </c>
      <c r="CU644" s="14" t="n">
        <v>8.331</v>
      </c>
    </row>
    <row r="645">
      <c r="A645" s="14" t="inlineStr">
        <is>
          <t>PRT2022</t>
        </is>
      </c>
      <c r="B645" s="14" t="inlineStr">
        <is>
          <t>PRT</t>
        </is>
      </c>
      <c r="C645" s="14" t="inlineStr">
        <is>
          <t>PRT</t>
        </is>
      </c>
      <c r="D645" s="14" t="inlineStr">
        <is>
          <t>Portugal</t>
        </is>
      </c>
      <c r="E645" s="14" t="n">
        <v>2022</v>
      </c>
      <c r="F645" s="14" t="n">
        <v>0.23</v>
      </c>
      <c r="G645" s="14" t="n">
        <v>3.23</v>
      </c>
      <c r="H645" s="14" t="n">
        <v>0.502</v>
      </c>
      <c r="I645" s="14" t="n">
        <v>8.583</v>
      </c>
      <c r="J645" s="14" t="n">
        <v>11.813</v>
      </c>
      <c r="K645" s="14" t="n">
        <v>0</v>
      </c>
      <c r="L645" s="14" t="n">
        <v>1</v>
      </c>
      <c r="M645" s="14" t="n">
        <v>7.063</v>
      </c>
      <c r="N645" s="14" t="n">
        <v>2.917</v>
      </c>
      <c r="O645" s="14" t="n">
        <v>8.829000000000001</v>
      </c>
      <c r="P645" s="14" t="n">
        <v>15.892</v>
      </c>
      <c r="Q645" s="14" t="n">
        <v>0</v>
      </c>
      <c r="R645" s="14" t="n">
        <v>1</v>
      </c>
      <c r="S645" s="14" t="n">
        <v>68.13500000000001</v>
      </c>
      <c r="T645" s="14" t="n">
        <v>7.408</v>
      </c>
      <c r="U645" s="14" t="n">
        <v>2.603</v>
      </c>
      <c r="V645" s="14" t="n">
        <v>85.55200000000001</v>
      </c>
      <c r="W645" s="14" t="n">
        <v>0.23</v>
      </c>
      <c r="X645" s="14" t="n">
        <v>1</v>
      </c>
      <c r="Y645" s="14" t="n">
        <v>24.702</v>
      </c>
      <c r="Z645" s="14" t="n">
        <v>2.591</v>
      </c>
      <c r="AA645" s="14" t="n">
        <v>4.965</v>
      </c>
      <c r="AB645" s="14" t="n">
        <v>29.666</v>
      </c>
      <c r="AC645" s="14" t="n">
        <v>0</v>
      </c>
      <c r="AD645" s="14" t="n">
        <v>1</v>
      </c>
      <c r="AE645" s="14" t="n">
        <v>24.749</v>
      </c>
      <c r="AF645" s="14" t="n">
        <v>4.588</v>
      </c>
      <c r="AG645" s="14" t="n">
        <v>4.917</v>
      </c>
      <c r="AH645" s="14" t="n">
        <v>29.666</v>
      </c>
      <c r="AI645" s="14" t="n">
        <v>0</v>
      </c>
      <c r="AJ645" s="14" t="n">
        <v>1</v>
      </c>
      <c r="AK645" s="14" t="n">
        <v>35.403</v>
      </c>
      <c r="AL645" s="14" t="n">
        <v>16.906</v>
      </c>
      <c r="AM645" s="14" t="n">
        <v>-10.27</v>
      </c>
      <c r="AN645" s="14" t="n">
        <v>30.914</v>
      </c>
      <c r="AO645" s="14" t="n">
        <v>0.23</v>
      </c>
      <c r="AP645" s="14" t="n">
        <v>1</v>
      </c>
      <c r="AQ645" s="14" t="n">
        <v>0.861</v>
      </c>
      <c r="AR645" s="14" t="n">
        <v>0.123</v>
      </c>
      <c r="AS645" s="14" t="n">
        <v>0.72</v>
      </c>
      <c r="AT645" s="14" t="n">
        <v>1.945</v>
      </c>
      <c r="AU645" s="14" t="n">
        <v>0.23</v>
      </c>
      <c r="AV645" s="14" t="n">
        <v>1</v>
      </c>
      <c r="AW645" s="14" t="n">
        <v>0.986</v>
      </c>
      <c r="AX645" s="14" t="n">
        <v>0.123</v>
      </c>
      <c r="AY645" s="14" t="n">
        <v>0.551</v>
      </c>
      <c r="AZ645" s="14" t="n">
        <v>1.891</v>
      </c>
      <c r="BA645" s="14" t="n">
        <v>0.23</v>
      </c>
      <c r="BB645" s="14" t="n">
        <v>1</v>
      </c>
      <c r="BC645" s="14" t="n">
        <v>0.598</v>
      </c>
      <c r="BD645" s="14" t="n">
        <v>0.123</v>
      </c>
      <c r="BE645" s="14" t="n">
        <v>0.168</v>
      </c>
      <c r="BF645" s="14" t="n">
        <v>0.9409999999999999</v>
      </c>
      <c r="BG645" s="14" t="n">
        <v>0.23</v>
      </c>
      <c r="BH645" s="14" t="n">
        <v>1</v>
      </c>
      <c r="BI645" s="14" t="n">
        <v>0.612</v>
      </c>
      <c r="BJ645" s="14" t="n">
        <v>0.123</v>
      </c>
      <c r="BK645" s="14" t="n">
        <v>0.874</v>
      </c>
      <c r="BL645" s="14" t="n">
        <v>1.828</v>
      </c>
      <c r="BM645" s="14" t="n">
        <v>0.23</v>
      </c>
      <c r="BN645" s="14" t="n">
        <v>1</v>
      </c>
      <c r="BO645" s="14" t="n">
        <v>0</v>
      </c>
      <c r="BP645" s="14" t="n">
        <v>-0.028</v>
      </c>
      <c r="BQ645" s="14" t="n">
        <v>0.152</v>
      </c>
      <c r="BR645" s="14" t="n">
        <v>0</v>
      </c>
      <c r="BS645" s="14" t="n">
        <v>1</v>
      </c>
      <c r="BT645" s="14" t="n">
        <v>0</v>
      </c>
      <c r="BU645" s="14" t="n">
        <v>0.002</v>
      </c>
      <c r="BV645" s="14" t="n">
        <v>0.233</v>
      </c>
      <c r="BW645" s="14" t="n">
        <v>0.23</v>
      </c>
      <c r="BX645" s="14" t="n">
        <v>0.667</v>
      </c>
      <c r="BY645" s="14" t="n">
        <v>12.729</v>
      </c>
      <c r="BZ645" s="14" t="n">
        <v>0</v>
      </c>
      <c r="CA645" s="14" t="n">
        <v>12.729</v>
      </c>
      <c r="CB645" s="14" t="n">
        <v>0</v>
      </c>
      <c r="CC645" s="14" t="n">
        <v>97.90000000000001</v>
      </c>
      <c r="CD645" s="14" t="n">
        <v>7.95</v>
      </c>
      <c r="CE645" s="14" t="n">
        <v>171.492</v>
      </c>
      <c r="CF645" s="14" t="n">
        <v>331.352</v>
      </c>
      <c r="CG645" s="14" t="n">
        <v>0.23</v>
      </c>
      <c r="CH645" s="14" t="n">
        <v>1</v>
      </c>
      <c r="CI645" s="14" t="n">
        <v>0</v>
      </c>
      <c r="CJ645" s="14" t="n">
        <v>0</v>
      </c>
      <c r="CK645" s="14" t="n">
        <v>0</v>
      </c>
      <c r="CL645" s="14" t="n">
        <v>0</v>
      </c>
      <c r="CM645" s="14" t="n">
        <v>0</v>
      </c>
      <c r="CN645" s="14" t="n">
        <v>0</v>
      </c>
      <c r="CO645" s="14" t="n">
        <v>0</v>
      </c>
      <c r="CP645" s="14" t="n">
        <v>0</v>
      </c>
      <c r="CQ645" s="14" t="n">
        <v>1.294</v>
      </c>
      <c r="CR645" s="14" t="n">
        <v>0</v>
      </c>
      <c r="CS645" s="14" t="n">
        <v>5.158</v>
      </c>
      <c r="CT645" s="14" t="n">
        <v>60.727</v>
      </c>
      <c r="CU645" s="14" t="n">
        <v>21.07</v>
      </c>
    </row>
    <row r="646">
      <c r="A646" s="14" t="inlineStr">
        <is>
          <t>PRT2023</t>
        </is>
      </c>
      <c r="B646" s="14" t="inlineStr">
        <is>
          <t>PRT</t>
        </is>
      </c>
      <c r="C646" s="14" t="inlineStr">
        <is>
          <t>PRT</t>
        </is>
      </c>
      <c r="D646" s="14" t="inlineStr">
        <is>
          <t>Portugal</t>
        </is>
      </c>
      <c r="E646" s="14" t="n">
        <v>2023</v>
      </c>
      <c r="F646" s="14" t="n">
        <v>0.23</v>
      </c>
      <c r="G646" s="14" t="n">
        <v>4.148</v>
      </c>
      <c r="H646" s="14" t="n">
        <v>0.945</v>
      </c>
      <c r="I646" s="14" t="n">
        <v>9.936999999999999</v>
      </c>
      <c r="J646" s="14" t="n">
        <v>14.084</v>
      </c>
      <c r="K646" s="14" t="n">
        <v>0</v>
      </c>
      <c r="L646" s="14" t="n">
        <v>1</v>
      </c>
      <c r="M646" s="14" t="n">
        <v>9.368</v>
      </c>
      <c r="N646" s="14" t="n">
        <v>4.646</v>
      </c>
      <c r="O646" s="14" t="n">
        <v>9.945</v>
      </c>
      <c r="P646" s="14" t="n">
        <v>19.313</v>
      </c>
      <c r="Q646" s="14" t="n">
        <v>0</v>
      </c>
      <c r="R646" s="14" t="n">
        <v>1</v>
      </c>
      <c r="S646" s="14" t="n">
        <v>30.904</v>
      </c>
      <c r="T646" s="14" t="n">
        <v>6.981</v>
      </c>
      <c r="U646" s="14" t="n">
        <v>2.279</v>
      </c>
      <c r="V646" s="14" t="n">
        <v>39.801</v>
      </c>
      <c r="W646" s="14" t="n">
        <v>0.23</v>
      </c>
      <c r="X646" s="14" t="n">
        <v>1</v>
      </c>
      <c r="Y646" s="14" t="n">
        <v>19.331</v>
      </c>
      <c r="Z646" s="14" t="n">
        <v>2.165</v>
      </c>
      <c r="AA646" s="14" t="n">
        <v>5.348</v>
      </c>
      <c r="AB646" s="14" t="n">
        <v>24.679</v>
      </c>
      <c r="AC646" s="14" t="n">
        <v>0</v>
      </c>
      <c r="AD646" s="14" t="n">
        <v>1</v>
      </c>
      <c r="AE646" s="14" t="n">
        <v>19.43</v>
      </c>
      <c r="AF646" s="14" t="n">
        <v>3.87</v>
      </c>
      <c r="AG646" s="14" t="n">
        <v>5.249</v>
      </c>
      <c r="AH646" s="14" t="n">
        <v>24.679</v>
      </c>
      <c r="AI646" s="14" t="n">
        <v>0</v>
      </c>
      <c r="AJ646" s="14" t="n">
        <v>1</v>
      </c>
      <c r="AK646" s="14" t="n">
        <v>30.389</v>
      </c>
      <c r="AL646" s="14" t="n">
        <v>15.054</v>
      </c>
      <c r="AM646" s="14" t="n">
        <v>3.557</v>
      </c>
      <c r="AN646" s="14" t="n">
        <v>41.754</v>
      </c>
      <c r="AO646" s="14" t="n">
        <v>0.23</v>
      </c>
      <c r="AP646" s="14" t="n">
        <v>1</v>
      </c>
      <c r="AQ646" s="14" t="n">
        <v>0.76</v>
      </c>
      <c r="AR646" s="14" t="n">
        <v>0.129</v>
      </c>
      <c r="AS646" s="14" t="n">
        <v>0.751</v>
      </c>
      <c r="AT646" s="14" t="n">
        <v>1.859</v>
      </c>
      <c r="AU646" s="14" t="n">
        <v>0.23</v>
      </c>
      <c r="AV646" s="14" t="n">
        <v>1</v>
      </c>
      <c r="AW646" s="14" t="n">
        <v>0.8110000000000001</v>
      </c>
      <c r="AX646" s="14" t="n">
        <v>0.129</v>
      </c>
      <c r="AY646" s="14" t="n">
        <v>0.586</v>
      </c>
      <c r="AZ646" s="14" t="n">
        <v>1.719</v>
      </c>
      <c r="BA646" s="14" t="n">
        <v>0.23</v>
      </c>
      <c r="BB646" s="14" t="n">
        <v>1</v>
      </c>
      <c r="BC646" s="14" t="n">
        <v>0.535</v>
      </c>
      <c r="BD646" s="14" t="n">
        <v>0.129</v>
      </c>
      <c r="BE646" s="14" t="n">
        <v>0.186</v>
      </c>
      <c r="BF646" s="14" t="n">
        <v>0.887</v>
      </c>
      <c r="BG646" s="14" t="n">
        <v>0.23</v>
      </c>
      <c r="BH646" s="14" t="n">
        <v>1</v>
      </c>
      <c r="BI646" s="14" t="n">
        <v>0.579</v>
      </c>
      <c r="BJ646" s="14" t="n">
        <v>0.129</v>
      </c>
      <c r="BK646" s="14" t="n">
        <v>0.821</v>
      </c>
      <c r="BL646" s="14" t="n">
        <v>1.722</v>
      </c>
      <c r="BM646" s="14" t="n">
        <v>0.23</v>
      </c>
      <c r="BN646" s="14" t="n">
        <v>1</v>
      </c>
      <c r="BO646" s="14" t="n">
        <v>0</v>
      </c>
      <c r="BP646" s="14" t="n">
        <v>-0.038</v>
      </c>
      <c r="BQ646" s="14" t="n">
        <v>0.094</v>
      </c>
      <c r="BR646" s="14" t="n">
        <v>0</v>
      </c>
      <c r="BS646" s="14" t="n">
        <v>1</v>
      </c>
      <c r="BT646" s="14" t="n">
        <v>0</v>
      </c>
      <c r="BU646" s="14" t="n">
        <v>-0.07099999999999999</v>
      </c>
      <c r="BV646" s="14" t="n">
        <v>0.236</v>
      </c>
      <c r="BW646" s="14" t="n">
        <v>0.23</v>
      </c>
      <c r="BX646" s="14" t="n">
        <v>0.667</v>
      </c>
      <c r="BY646" s="14" t="n">
        <v>13.254</v>
      </c>
      <c r="BZ646" s="14" t="n">
        <v>0</v>
      </c>
      <c r="CA646" s="14" t="n">
        <v>13.254</v>
      </c>
      <c r="CB646" s="14" t="n">
        <v>0</v>
      </c>
      <c r="CC646" s="14" t="n">
        <v>83.248</v>
      </c>
      <c r="CD646" s="14" t="n">
        <v>7.95</v>
      </c>
      <c r="CE646" s="14" t="n">
        <v>177.631</v>
      </c>
      <c r="CF646" s="14" t="n">
        <v>320.881</v>
      </c>
      <c r="CG646" s="14" t="n">
        <v>0.23</v>
      </c>
      <c r="CH646" s="14" t="n">
        <v>1</v>
      </c>
      <c r="CI646" s="14" t="n">
        <v>0</v>
      </c>
      <c r="CJ646" s="14" t="n">
        <v>0</v>
      </c>
      <c r="CK646" s="14" t="n">
        <v>0</v>
      </c>
      <c r="CL646" s="14" t="n">
        <v>0</v>
      </c>
      <c r="CM646" s="14" t="n">
        <v>0</v>
      </c>
      <c r="CN646" s="14" t="n">
        <v>0</v>
      </c>
      <c r="CO646" s="14" t="n">
        <v>0</v>
      </c>
      <c r="CP646" s="14" t="n">
        <v>0</v>
      </c>
      <c r="CQ646" s="14" t="n">
        <v>1.348</v>
      </c>
      <c r="CR646" s="14" t="n">
        <v>0</v>
      </c>
      <c r="CS646" s="14" t="n">
        <v>5.37</v>
      </c>
      <c r="CT646" s="14" t="n">
        <v>29.221</v>
      </c>
      <c r="CU646" s="14" t="n">
        <v>15.648</v>
      </c>
    </row>
    <row r="647">
      <c r="A647" s="14" t="inlineStr">
        <is>
          <t>PRT2024</t>
        </is>
      </c>
      <c r="B647" s="14" t="inlineStr">
        <is>
          <t>PRT</t>
        </is>
      </c>
      <c r="C647" s="14" t="inlineStr">
        <is>
          <t>PRT</t>
        </is>
      </c>
      <c r="D647" s="14" t="inlineStr">
        <is>
          <t>Portugal</t>
        </is>
      </c>
      <c r="E647" s="14" t="n">
        <v>2024</v>
      </c>
      <c r="F647" s="14" t="n">
        <v>0.23</v>
      </c>
      <c r="G647" s="14" t="n">
        <v>4.039</v>
      </c>
      <c r="H647" s="14" t="n">
        <v>1.023</v>
      </c>
      <c r="I647" s="14" t="n">
        <v>6.576</v>
      </c>
      <c r="J647" s="14" t="n">
        <v>10.615</v>
      </c>
      <c r="K647" s="14" t="n">
        <v>0</v>
      </c>
      <c r="L647" s="14" t="n">
        <v>1</v>
      </c>
      <c r="M647" s="14" t="n">
        <v>8.81</v>
      </c>
      <c r="N647" s="14" t="n">
        <v>4.799</v>
      </c>
      <c r="O647" s="14" t="n">
        <v>6.989</v>
      </c>
      <c r="P647" s="14" t="n">
        <v>15.799</v>
      </c>
      <c r="Q647" s="14" t="n">
        <v>0</v>
      </c>
      <c r="R647" s="14" t="n">
        <v>1</v>
      </c>
      <c r="S647" s="14" t="n">
        <v>25.97</v>
      </c>
      <c r="T647" s="14" t="n">
        <v>7.187</v>
      </c>
      <c r="U647" s="14" t="n">
        <v>2.358</v>
      </c>
      <c r="V647" s="14" t="n">
        <v>33.785</v>
      </c>
      <c r="W647" s="14" t="n">
        <v>0.23</v>
      </c>
      <c r="X647" s="14" t="n">
        <v>1</v>
      </c>
      <c r="Y647" s="14" t="n">
        <v>14.363</v>
      </c>
      <c r="Z647" s="14" t="n">
        <v>1.814</v>
      </c>
      <c r="AA647" s="14" t="n">
        <v>4.561</v>
      </c>
      <c r="AB647" s="14" t="n">
        <v>18.924</v>
      </c>
      <c r="AC647" s="14" t="n">
        <v>0</v>
      </c>
      <c r="AD647" s="14" t="n">
        <v>1</v>
      </c>
      <c r="AE647" s="14" t="n">
        <v>14.363</v>
      </c>
      <c r="AF647" s="14" t="n">
        <v>3.146</v>
      </c>
      <c r="AG647" s="14" t="n">
        <v>4.561</v>
      </c>
      <c r="AH647" s="14" t="n">
        <v>18.924</v>
      </c>
      <c r="AI647" s="14" t="n">
        <v>0</v>
      </c>
      <c r="AJ647" s="14" t="n">
        <v>1</v>
      </c>
      <c r="AK647" s="14" t="n">
        <v>26.173</v>
      </c>
      <c r="AL647" s="14" t="n">
        <v>13.312</v>
      </c>
      <c r="AM647" s="14" t="n">
        <v>5.094</v>
      </c>
      <c r="AN647" s="14" t="n">
        <v>38.458</v>
      </c>
      <c r="AO647" s="14" t="n">
        <v>0.23</v>
      </c>
      <c r="AP647" s="14" t="n">
        <v>1</v>
      </c>
      <c r="AQ647" s="14" t="n">
        <v>0.724</v>
      </c>
      <c r="AR647" s="14" t="n">
        <v>0.132</v>
      </c>
      <c r="AS647" s="14" t="n">
        <v>0.786</v>
      </c>
      <c r="AT647" s="14" t="n">
        <v>1.857</v>
      </c>
      <c r="AU647" s="14" t="n">
        <v>0.23</v>
      </c>
      <c r="AV647" s="14" t="n">
        <v>1</v>
      </c>
      <c r="AW647" s="14" t="n">
        <v>0.75</v>
      </c>
      <c r="AX647" s="14" t="n">
        <v>0.132</v>
      </c>
      <c r="AY647" s="14" t="n">
        <v>0.641</v>
      </c>
      <c r="AZ647" s="14" t="n">
        <v>1.711</v>
      </c>
      <c r="BA647" s="14" t="n">
        <v>0.23</v>
      </c>
      <c r="BB647" s="14" t="n">
        <v>1</v>
      </c>
      <c r="BC647" s="14" t="n">
        <v>0.513</v>
      </c>
      <c r="BD647" s="14" t="n">
        <v>0.132</v>
      </c>
      <c r="BE647" s="14" t="n">
        <v>0.238</v>
      </c>
      <c r="BF647" s="14" t="n">
        <v>0.924</v>
      </c>
      <c r="BG647" s="14" t="n">
        <v>0.23</v>
      </c>
      <c r="BH647" s="14" t="n">
        <v>1</v>
      </c>
      <c r="BI647" s="14" t="n">
        <v>0.591</v>
      </c>
      <c r="BJ647" s="14" t="n">
        <v>0.132</v>
      </c>
      <c r="BK647" s="14" t="n">
        <v>0.769</v>
      </c>
      <c r="BL647" s="14" t="n">
        <v>1.673</v>
      </c>
      <c r="BM647" s="14" t="n">
        <v>0.23</v>
      </c>
      <c r="BN647" s="14" t="n">
        <v>1</v>
      </c>
      <c r="BO647" s="14" t="n">
        <v>0</v>
      </c>
      <c r="BP647" s="14" t="n">
        <v>0.008</v>
      </c>
      <c r="BQ647" s="14" t="n">
        <v>0.108</v>
      </c>
      <c r="BR647" s="14" t="n">
        <v>0</v>
      </c>
      <c r="BS647" s="14" t="n">
        <v>1</v>
      </c>
      <c r="BT647" s="14" t="n">
        <v>0</v>
      </c>
      <c r="BU647" s="14" t="n">
        <v>0.041</v>
      </c>
      <c r="BV647" s="14" t="n">
        <v>0.273</v>
      </c>
      <c r="BW647" s="14" t="n">
        <v>0.23</v>
      </c>
      <c r="BX647" s="14" t="n">
        <v>0.667</v>
      </c>
      <c r="BY647" s="14" t="n">
        <v>13.646</v>
      </c>
      <c r="BZ647" s="14" t="n">
        <v>0</v>
      </c>
      <c r="CA647" s="14" t="n">
        <v>13.646</v>
      </c>
      <c r="CB647" s="14" t="n">
        <v>0</v>
      </c>
      <c r="CC647" s="14" t="n">
        <v>82.58799999999999</v>
      </c>
      <c r="CD647" s="14" t="n">
        <v>7.95</v>
      </c>
      <c r="CE647" s="14" t="n">
        <v>166.731</v>
      </c>
      <c r="CF647" s="14" t="n">
        <v>306.663</v>
      </c>
      <c r="CG647" s="14" t="n">
        <v>0.23</v>
      </c>
      <c r="CH647" s="14" t="n">
        <v>1</v>
      </c>
      <c r="CI647" s="14" t="n">
        <v>0</v>
      </c>
      <c r="CJ647" s="14" t="n">
        <v>0</v>
      </c>
      <c r="CK647" s="14" t="n">
        <v>0</v>
      </c>
      <c r="CL647" s="14" t="n">
        <v>0</v>
      </c>
      <c r="CM647" s="14" t="n">
        <v>0</v>
      </c>
      <c r="CN647" s="14" t="n">
        <v>0</v>
      </c>
      <c r="CO647" s="14" t="n">
        <v>0</v>
      </c>
      <c r="CP647" s="14" t="n">
        <v>0</v>
      </c>
      <c r="CQ647" s="14" t="n">
        <v>1.387</v>
      </c>
      <c r="CR647" s="14" t="n">
        <v>0</v>
      </c>
      <c r="CS647" s="14" t="n">
        <v>5.529</v>
      </c>
      <c r="CT647" s="14" t="n">
        <v>22.865</v>
      </c>
      <c r="CU647" s="14" t="n">
        <v>8.265000000000001</v>
      </c>
    </row>
    <row r="648">
      <c r="A648" s="14" t="inlineStr">
        <is>
          <t>PRI2021</t>
        </is>
      </c>
      <c r="B648" s="14" t="inlineStr">
        <is>
          <t>PRI</t>
        </is>
      </c>
      <c r="C648" s="14" t="inlineStr">
        <is>
          <t>PRI</t>
        </is>
      </c>
      <c r="D648" s="14" t="inlineStr">
        <is>
          <t>Puerto Rico</t>
        </is>
      </c>
      <c r="E648" s="14" t="n">
        <v>2021</v>
      </c>
      <c r="F648" s="14" t="n">
        <v>0.115</v>
      </c>
      <c r="G648" s="14" t="n">
        <v>5.897</v>
      </c>
      <c r="H648" s="14" t="n">
        <v>1.143</v>
      </c>
      <c r="I648" s="14" t="n">
        <v>0</v>
      </c>
      <c r="J648" s="14" t="n">
        <v>5.897</v>
      </c>
      <c r="K648" s="14" t="n">
        <v>0</v>
      </c>
      <c r="L648" s="14" t="n">
        <v>1</v>
      </c>
      <c r="M648" s="14" t="n">
        <v>7.964</v>
      </c>
      <c r="N648" s="14" t="n">
        <v>3.43</v>
      </c>
      <c r="O648" s="14" t="n">
        <v>0</v>
      </c>
      <c r="P648" s="14" t="n">
        <v>7.964</v>
      </c>
      <c r="Q648" s="14" t="n">
        <v>0</v>
      </c>
      <c r="R648" s="14" t="n">
        <v>1</v>
      </c>
      <c r="S648" s="14" t="n">
        <v>11.613</v>
      </c>
      <c r="T648" s="14" t="n">
        <v>6.86</v>
      </c>
      <c r="U648" s="14" t="n">
        <v>0</v>
      </c>
      <c r="V648" s="14" t="n">
        <v>12.949</v>
      </c>
      <c r="W648" s="14" t="n">
        <v>0.115</v>
      </c>
      <c r="X648" s="14" t="n">
        <v>1</v>
      </c>
      <c r="Y648" s="14" t="n">
        <v>17.127</v>
      </c>
      <c r="Z648" s="14" t="n">
        <v>2.304</v>
      </c>
      <c r="AA648" s="14" t="n">
        <v>0</v>
      </c>
      <c r="AB648" s="14" t="n">
        <v>17.127</v>
      </c>
      <c r="AC648" s="14" t="n">
        <v>0</v>
      </c>
      <c r="AD648" s="14" t="n">
        <v>1</v>
      </c>
      <c r="AE648" s="14" t="n">
        <v>18.27</v>
      </c>
      <c r="AF648" s="14" t="n">
        <v>4.278</v>
      </c>
      <c r="AG648" s="14" t="n">
        <v>0</v>
      </c>
      <c r="AH648" s="14" t="n">
        <v>18.27</v>
      </c>
      <c r="AI648" s="14" t="n">
        <v>0</v>
      </c>
      <c r="AJ648" s="14" t="n">
        <v>1</v>
      </c>
      <c r="AK648" s="14" t="n">
        <v>25.13</v>
      </c>
      <c r="AL648" s="14" t="n">
        <v>13.503</v>
      </c>
      <c r="AM648" s="14" t="n">
        <v>0</v>
      </c>
      <c r="AN648" s="14" t="n">
        <v>28.02</v>
      </c>
      <c r="AO648" s="14" t="n">
        <v>0.115</v>
      </c>
      <c r="AP648" s="14" t="n">
        <v>1</v>
      </c>
      <c r="AQ648" s="14" t="n">
        <v>0.649</v>
      </c>
      <c r="AR648" s="14" t="n">
        <v>0.114</v>
      </c>
      <c r="AS648" s="14" t="n">
        <v>0.123</v>
      </c>
      <c r="AT648" s="14" t="n">
        <v>0.861</v>
      </c>
      <c r="AU648" s="14" t="n">
        <v>0.115</v>
      </c>
      <c r="AV648" s="14" t="n">
        <v>1</v>
      </c>
      <c r="AW648" s="14" t="n">
        <v>0.577</v>
      </c>
      <c r="AX648" s="14" t="n">
        <v>0.114</v>
      </c>
      <c r="AY648" s="14" t="n">
        <v>0.052</v>
      </c>
      <c r="AZ648" s="14" t="n">
        <v>0.701</v>
      </c>
      <c r="BA648" s="14" t="n">
        <v>0.115</v>
      </c>
      <c r="BB648" s="14" t="n">
        <v>1</v>
      </c>
      <c r="BC648" s="14" t="n">
        <v>0.458</v>
      </c>
      <c r="BD648" s="14" t="n">
        <v>0.114</v>
      </c>
      <c r="BE648" s="14" t="n">
        <v>0</v>
      </c>
      <c r="BF648" s="14" t="n">
        <v>0.511</v>
      </c>
      <c r="BG648" s="14" t="n">
        <v>0.115</v>
      </c>
      <c r="BH648" s="14" t="n">
        <v>1</v>
      </c>
      <c r="BI648" s="14" t="n">
        <v>0.491</v>
      </c>
      <c r="BJ648" s="14" t="n">
        <v>0.114</v>
      </c>
      <c r="BK648" s="14" t="n">
        <v>0</v>
      </c>
      <c r="BL648" s="14" t="n">
        <v>0.548</v>
      </c>
      <c r="BM648" s="14" t="n">
        <v>0.115</v>
      </c>
      <c r="BN648" s="14" t="n">
        <v>1</v>
      </c>
      <c r="BO648" s="14" t="n">
        <v>0</v>
      </c>
      <c r="BP648" s="14" t="n">
        <v>0</v>
      </c>
      <c r="BQ648" s="14" t="n">
        <v>0</v>
      </c>
      <c r="BR648" s="14" t="n">
        <v>0</v>
      </c>
      <c r="BS648" s="14" t="n">
        <v>1</v>
      </c>
      <c r="BT648" s="14" t="n">
        <v>0</v>
      </c>
      <c r="BU648" s="14" t="n">
        <v>0</v>
      </c>
      <c r="BV648" s="14" t="n">
        <v>0</v>
      </c>
      <c r="BW648" s="14" t="n">
        <v>0.115</v>
      </c>
      <c r="BX648" s="14" t="n">
        <v>1</v>
      </c>
      <c r="BY648" s="14" t="n">
        <v>11.787</v>
      </c>
      <c r="BZ648" s="14" t="n">
        <v>0</v>
      </c>
      <c r="CA648" s="14" t="n">
        <v>11.787</v>
      </c>
      <c r="CB648" s="14" t="n">
        <v>0</v>
      </c>
      <c r="CC648" s="14" t="n">
        <v>78.125</v>
      </c>
      <c r="CD648" s="14" t="n">
        <v>7.95</v>
      </c>
      <c r="CE648" s="14" t="n">
        <v>0</v>
      </c>
      <c r="CF648" s="14" t="n">
        <v>87.10899999999999</v>
      </c>
      <c r="CG648" s="14" t="n">
        <v>0.115</v>
      </c>
      <c r="CH648" s="14" t="n">
        <v>1</v>
      </c>
      <c r="CI648" s="14" t="n">
        <v>0</v>
      </c>
      <c r="CJ648" s="14" t="n">
        <v>0</v>
      </c>
      <c r="CK648" s="14" t="n">
        <v>0</v>
      </c>
      <c r="CL648" s="14" t="n">
        <v>0</v>
      </c>
      <c r="CM648" s="14" t="n">
        <v>0</v>
      </c>
      <c r="CN648" s="14" t="n">
        <v>0</v>
      </c>
      <c r="CO648" s="14" t="n">
        <v>0</v>
      </c>
      <c r="CP648" s="14" t="n">
        <v>0</v>
      </c>
      <c r="CQ648" s="14" t="n">
        <v>1.198</v>
      </c>
      <c r="CR648" s="14" t="n">
        <v>0</v>
      </c>
      <c r="CS648" s="14" t="n">
        <v>4.776</v>
      </c>
      <c r="CT648" s="14" t="n">
        <v>4.753</v>
      </c>
      <c r="CU648" s="14" t="n">
        <v>15.983</v>
      </c>
    </row>
    <row r="649">
      <c r="A649" s="14" t="inlineStr">
        <is>
          <t>PRI2022</t>
        </is>
      </c>
      <c r="B649" s="14" t="inlineStr">
        <is>
          <t>PRI</t>
        </is>
      </c>
      <c r="C649" s="14" t="inlineStr">
        <is>
          <t>PRI</t>
        </is>
      </c>
      <c r="D649" s="14" t="inlineStr">
        <is>
          <t>Puerto Rico</t>
        </is>
      </c>
      <c r="E649" s="14" t="n">
        <v>2022</v>
      </c>
      <c r="F649" s="14" t="n">
        <v>0.115</v>
      </c>
      <c r="G649" s="14" t="n">
        <v>11.72</v>
      </c>
      <c r="H649" s="14" t="n">
        <v>1.235</v>
      </c>
      <c r="I649" s="14" t="n">
        <v>0</v>
      </c>
      <c r="J649" s="14" t="n">
        <v>11.72</v>
      </c>
      <c r="K649" s="14" t="n">
        <v>0</v>
      </c>
      <c r="L649" s="14" t="n">
        <v>1</v>
      </c>
      <c r="M649" s="14" t="n">
        <v>9.782999999999999</v>
      </c>
      <c r="N649" s="14" t="n">
        <v>3.704</v>
      </c>
      <c r="O649" s="14" t="n">
        <v>0</v>
      </c>
      <c r="P649" s="14" t="n">
        <v>9.782999999999999</v>
      </c>
      <c r="Q649" s="14" t="n">
        <v>0</v>
      </c>
      <c r="R649" s="14" t="n">
        <v>1</v>
      </c>
      <c r="S649" s="14" t="n">
        <v>17.893</v>
      </c>
      <c r="T649" s="14" t="n">
        <v>7.408</v>
      </c>
      <c r="U649" s="14" t="n">
        <v>0.152</v>
      </c>
      <c r="V649" s="14" t="n">
        <v>19.951</v>
      </c>
      <c r="W649" s="14" t="n">
        <v>0.115</v>
      </c>
      <c r="X649" s="14" t="n">
        <v>1</v>
      </c>
      <c r="Y649" s="14" t="n">
        <v>30.728</v>
      </c>
      <c r="Z649" s="14" t="n">
        <v>4.133</v>
      </c>
      <c r="AA649" s="14" t="n">
        <v>0</v>
      </c>
      <c r="AB649" s="14" t="n">
        <v>30.728</v>
      </c>
      <c r="AC649" s="14" t="n">
        <v>0</v>
      </c>
      <c r="AD649" s="14" t="n">
        <v>1</v>
      </c>
      <c r="AE649" s="14" t="n">
        <v>31.963</v>
      </c>
      <c r="AF649" s="14" t="n">
        <v>7.485</v>
      </c>
      <c r="AG649" s="14" t="n">
        <v>0</v>
      </c>
      <c r="AH649" s="14" t="n">
        <v>31.963</v>
      </c>
      <c r="AI649" s="14" t="n">
        <v>0</v>
      </c>
      <c r="AJ649" s="14" t="n">
        <v>1</v>
      </c>
      <c r="AK649" s="14" t="n">
        <v>39.371</v>
      </c>
      <c r="AL649" s="14" t="n">
        <v>21.155</v>
      </c>
      <c r="AM649" s="14" t="n">
        <v>0.335</v>
      </c>
      <c r="AN649" s="14" t="n">
        <v>43.899</v>
      </c>
      <c r="AO649" s="14" t="n">
        <v>0.115</v>
      </c>
      <c r="AP649" s="14" t="n">
        <v>1</v>
      </c>
      <c r="AQ649" s="14" t="n">
        <v>0.896</v>
      </c>
      <c r="AR649" s="14" t="n">
        <v>0.123</v>
      </c>
      <c r="AS649" s="14" t="n">
        <v>0.14</v>
      </c>
      <c r="AT649" s="14" t="n">
        <v>1.155</v>
      </c>
      <c r="AU649" s="14" t="n">
        <v>0.115</v>
      </c>
      <c r="AV649" s="14" t="n">
        <v>1</v>
      </c>
      <c r="AW649" s="14" t="n">
        <v>0.89</v>
      </c>
      <c r="AX649" s="14" t="n">
        <v>0.123</v>
      </c>
      <c r="AY649" s="14" t="n">
        <v>0.167</v>
      </c>
      <c r="AZ649" s="14" t="n">
        <v>1.179</v>
      </c>
      <c r="BA649" s="14" t="n">
        <v>0.115</v>
      </c>
      <c r="BB649" s="14" t="n">
        <v>1</v>
      </c>
      <c r="BC649" s="14" t="n">
        <v>0.62</v>
      </c>
      <c r="BD649" s="14" t="n">
        <v>0.123</v>
      </c>
      <c r="BE649" s="14" t="n">
        <v>0.005</v>
      </c>
      <c r="BF649" s="14" t="n">
        <v>0.6919999999999999</v>
      </c>
      <c r="BG649" s="14" t="n">
        <v>0.115</v>
      </c>
      <c r="BH649" s="14" t="n">
        <v>1</v>
      </c>
      <c r="BI649" s="14" t="n">
        <v>0.608</v>
      </c>
      <c r="BJ649" s="14" t="n">
        <v>0.123</v>
      </c>
      <c r="BK649" s="14" t="n">
        <v>0.005</v>
      </c>
      <c r="BL649" s="14" t="n">
        <v>0.677</v>
      </c>
      <c r="BM649" s="14" t="n">
        <v>0.115</v>
      </c>
      <c r="BN649" s="14" t="n">
        <v>1</v>
      </c>
      <c r="BO649" s="14" t="n">
        <v>0</v>
      </c>
      <c r="BP649" s="14" t="n">
        <v>0</v>
      </c>
      <c r="BQ649" s="14" t="n">
        <v>0</v>
      </c>
      <c r="BR649" s="14" t="n">
        <v>0</v>
      </c>
      <c r="BS649" s="14" t="n">
        <v>1</v>
      </c>
      <c r="BT649" s="14" t="n">
        <v>0</v>
      </c>
      <c r="BU649" s="14" t="n">
        <v>0</v>
      </c>
      <c r="BV649" s="14" t="n">
        <v>0</v>
      </c>
      <c r="BW649" s="14" t="n">
        <v>0.115</v>
      </c>
      <c r="BX649" s="14" t="n">
        <v>1</v>
      </c>
      <c r="BY649" s="14" t="n">
        <v>12.729</v>
      </c>
      <c r="BZ649" s="14" t="n">
        <v>0</v>
      </c>
      <c r="CA649" s="14" t="n">
        <v>12.729</v>
      </c>
      <c r="CB649" s="14" t="n">
        <v>0</v>
      </c>
      <c r="CC649" s="14" t="n">
        <v>97.90000000000001</v>
      </c>
      <c r="CD649" s="14" t="n">
        <v>7.95</v>
      </c>
      <c r="CE649" s="14" t="n">
        <v>0.833</v>
      </c>
      <c r="CF649" s="14" t="n">
        <v>109.159</v>
      </c>
      <c r="CG649" s="14" t="n">
        <v>0.115</v>
      </c>
      <c r="CH649" s="14" t="n">
        <v>1</v>
      </c>
      <c r="CI649" s="14" t="n">
        <v>0</v>
      </c>
      <c r="CJ649" s="14" t="n">
        <v>0</v>
      </c>
      <c r="CK649" s="14" t="n">
        <v>0</v>
      </c>
      <c r="CL649" s="14" t="n">
        <v>0</v>
      </c>
      <c r="CM649" s="14" t="n">
        <v>0</v>
      </c>
      <c r="CN649" s="14" t="n">
        <v>0</v>
      </c>
      <c r="CO649" s="14" t="n">
        <v>0</v>
      </c>
      <c r="CP649" s="14" t="n">
        <v>0</v>
      </c>
      <c r="CQ649" s="14" t="n">
        <v>1.294</v>
      </c>
      <c r="CR649" s="14" t="n">
        <v>0</v>
      </c>
      <c r="CS649" s="14" t="n">
        <v>5.158</v>
      </c>
      <c r="CT649" s="14" t="n">
        <v>10.485</v>
      </c>
      <c r="CU649" s="14" t="n">
        <v>29.494</v>
      </c>
    </row>
    <row r="650">
      <c r="A650" s="14" t="inlineStr">
        <is>
          <t>PRI2023</t>
        </is>
      </c>
      <c r="B650" s="14" t="inlineStr">
        <is>
          <t>PRI</t>
        </is>
      </c>
      <c r="C650" s="14" t="inlineStr">
        <is>
          <t>PRI</t>
        </is>
      </c>
      <c r="D650" s="14" t="inlineStr">
        <is>
          <t>Puerto Rico</t>
        </is>
      </c>
      <c r="E650" s="14" t="n">
        <v>2023</v>
      </c>
      <c r="F650" s="14" t="n">
        <v>0.115</v>
      </c>
      <c r="G650" s="14" t="n">
        <v>6.147</v>
      </c>
      <c r="H650" s="14" t="n">
        <v>1.286</v>
      </c>
      <c r="I650" s="14" t="n">
        <v>0</v>
      </c>
      <c r="J650" s="14" t="n">
        <v>6.147</v>
      </c>
      <c r="K650" s="14" t="n">
        <v>0</v>
      </c>
      <c r="L650" s="14" t="n">
        <v>1</v>
      </c>
      <c r="M650" s="14" t="n">
        <v>7.886</v>
      </c>
      <c r="N650" s="14" t="n">
        <v>3.857</v>
      </c>
      <c r="O650" s="14" t="n">
        <v>0</v>
      </c>
      <c r="P650" s="14" t="n">
        <v>7.886</v>
      </c>
      <c r="Q650" s="14" t="n">
        <v>0</v>
      </c>
      <c r="R650" s="14" t="n">
        <v>1</v>
      </c>
      <c r="S650" s="14" t="n">
        <v>12.575</v>
      </c>
      <c r="T650" s="14" t="n">
        <v>7.714</v>
      </c>
      <c r="U650" s="14" t="n">
        <v>0.16</v>
      </c>
      <c r="V650" s="14" t="n">
        <v>14.021</v>
      </c>
      <c r="W650" s="14" t="n">
        <v>0.115</v>
      </c>
      <c r="X650" s="14" t="n">
        <v>1</v>
      </c>
      <c r="Y650" s="14" t="n">
        <v>12.478</v>
      </c>
      <c r="Z650" s="14" t="n">
        <v>1.678</v>
      </c>
      <c r="AA650" s="14" t="n">
        <v>0</v>
      </c>
      <c r="AB650" s="14" t="n">
        <v>12.478</v>
      </c>
      <c r="AC650" s="14" t="n">
        <v>0</v>
      </c>
      <c r="AD650" s="14" t="n">
        <v>1</v>
      </c>
      <c r="AE650" s="14" t="n">
        <v>13.763</v>
      </c>
      <c r="AF650" s="14" t="n">
        <v>3.223</v>
      </c>
      <c r="AG650" s="14" t="n">
        <v>0</v>
      </c>
      <c r="AH650" s="14" t="n">
        <v>13.763</v>
      </c>
      <c r="AI650" s="14" t="n">
        <v>0</v>
      </c>
      <c r="AJ650" s="14" t="n">
        <v>1</v>
      </c>
      <c r="AK650" s="14" t="n">
        <v>21.477</v>
      </c>
      <c r="AL650" s="14" t="n">
        <v>11.54</v>
      </c>
      <c r="AM650" s="14" t="n">
        <v>0.273</v>
      </c>
      <c r="AN650" s="14" t="n">
        <v>23.947</v>
      </c>
      <c r="AO650" s="14" t="n">
        <v>0.115</v>
      </c>
      <c r="AP650" s="14" t="n">
        <v>1</v>
      </c>
      <c r="AQ650" s="14" t="n">
        <v>0.791</v>
      </c>
      <c r="AR650" s="14" t="n">
        <v>0.129</v>
      </c>
      <c r="AS650" s="14" t="n">
        <v>0.139</v>
      </c>
      <c r="AT650" s="14" t="n">
        <v>1.037</v>
      </c>
      <c r="AU650" s="14" t="n">
        <v>0.115</v>
      </c>
      <c r="AV650" s="14" t="n">
        <v>1</v>
      </c>
      <c r="AW650" s="14" t="n">
        <v>0.618</v>
      </c>
      <c r="AX650" s="14" t="n">
        <v>0.129</v>
      </c>
      <c r="AY650" s="14" t="n">
        <v>0.264</v>
      </c>
      <c r="AZ650" s="14" t="n">
        <v>0.984</v>
      </c>
      <c r="BA650" s="14" t="n">
        <v>0.115</v>
      </c>
      <c r="BB650" s="14" t="n">
        <v>1</v>
      </c>
      <c r="BC650" s="14" t="n">
        <v>0.554</v>
      </c>
      <c r="BD650" s="14" t="n">
        <v>0.129</v>
      </c>
      <c r="BE650" s="14" t="n">
        <v>0.007</v>
      </c>
      <c r="BF650" s="14" t="n">
        <v>0.618</v>
      </c>
      <c r="BG650" s="14" t="n">
        <v>0.115</v>
      </c>
      <c r="BH650" s="14" t="n">
        <v>1</v>
      </c>
      <c r="BI650" s="14" t="n">
        <v>0.5570000000000001</v>
      </c>
      <c r="BJ650" s="14" t="n">
        <v>0.129</v>
      </c>
      <c r="BK650" s="14" t="n">
        <v>0.007</v>
      </c>
      <c r="BL650" s="14" t="n">
        <v>0.621</v>
      </c>
      <c r="BM650" s="14" t="n">
        <v>0.115</v>
      </c>
      <c r="BN650" s="14" t="n">
        <v>1</v>
      </c>
      <c r="BO650" s="14" t="n">
        <v>0</v>
      </c>
      <c r="BP650" s="14" t="n">
        <v>0</v>
      </c>
      <c r="BQ650" s="14" t="n">
        <v>0</v>
      </c>
      <c r="BR650" s="14" t="n">
        <v>0</v>
      </c>
      <c r="BS650" s="14" t="n">
        <v>1</v>
      </c>
      <c r="BT650" s="14" t="n">
        <v>0</v>
      </c>
      <c r="BU650" s="14" t="n">
        <v>0</v>
      </c>
      <c r="BV650" s="14" t="n">
        <v>0</v>
      </c>
      <c r="BW650" s="14" t="n">
        <v>0.115</v>
      </c>
      <c r="BX650" s="14" t="n">
        <v>1</v>
      </c>
      <c r="BY650" s="14" t="n">
        <v>13.254</v>
      </c>
      <c r="BZ650" s="14" t="n">
        <v>0</v>
      </c>
      <c r="CA650" s="14" t="n">
        <v>13.254</v>
      </c>
      <c r="CB650" s="14" t="n">
        <v>0</v>
      </c>
      <c r="CC650" s="14" t="n">
        <v>83.248</v>
      </c>
      <c r="CD650" s="14" t="n">
        <v>7.95</v>
      </c>
      <c r="CE650" s="14" t="n">
        <v>1.06</v>
      </c>
      <c r="CF650" s="14" t="n">
        <v>92.822</v>
      </c>
      <c r="CG650" s="14" t="n">
        <v>0.115</v>
      </c>
      <c r="CH650" s="14" t="n">
        <v>1</v>
      </c>
      <c r="CI650" s="14" t="n">
        <v>0</v>
      </c>
      <c r="CJ650" s="14" t="n">
        <v>0</v>
      </c>
      <c r="CK650" s="14" t="n">
        <v>0</v>
      </c>
      <c r="CL650" s="14" t="n">
        <v>0</v>
      </c>
      <c r="CM650" s="14" t="n">
        <v>0</v>
      </c>
      <c r="CN650" s="14" t="n">
        <v>0</v>
      </c>
      <c r="CO650" s="14" t="n">
        <v>0</v>
      </c>
      <c r="CP650" s="14" t="n">
        <v>0</v>
      </c>
      <c r="CQ650" s="14" t="n">
        <v>1.348</v>
      </c>
      <c r="CR650" s="14" t="n">
        <v>0</v>
      </c>
      <c r="CS650" s="14" t="n">
        <v>5.37</v>
      </c>
      <c r="CT650" s="14" t="n">
        <v>4.861</v>
      </c>
      <c r="CU650" s="14" t="n">
        <v>11.192</v>
      </c>
    </row>
    <row r="651">
      <c r="A651" s="14" t="inlineStr">
        <is>
          <t>PRI2024</t>
        </is>
      </c>
      <c r="B651" s="14" t="inlineStr">
        <is>
          <t>PRI</t>
        </is>
      </c>
      <c r="C651" s="14" t="inlineStr">
        <is>
          <t>PRI</t>
        </is>
      </c>
      <c r="D651" s="14" t="inlineStr">
        <is>
          <t>Puerto Rico</t>
        </is>
      </c>
      <c r="E651" s="14" t="n">
        <v>2024</v>
      </c>
      <c r="F651" s="14" t="n">
        <v>0.115</v>
      </c>
      <c r="G651" s="14" t="n">
        <v>5.575</v>
      </c>
      <c r="H651" s="14" t="n">
        <v>1.324</v>
      </c>
      <c r="I651" s="14" t="n">
        <v>0</v>
      </c>
      <c r="J651" s="14" t="n">
        <v>5.575</v>
      </c>
      <c r="K651" s="14" t="n">
        <v>0</v>
      </c>
      <c r="L651" s="14" t="n">
        <v>1</v>
      </c>
      <c r="M651" s="14" t="n">
        <v>7.124</v>
      </c>
      <c r="N651" s="14" t="n">
        <v>3.971</v>
      </c>
      <c r="O651" s="14" t="n">
        <v>0</v>
      </c>
      <c r="P651" s="14" t="n">
        <v>7.124</v>
      </c>
      <c r="Q651" s="14" t="n">
        <v>0</v>
      </c>
      <c r="R651" s="14" t="n">
        <v>1</v>
      </c>
      <c r="S651" s="14" t="n">
        <v>12.193</v>
      </c>
      <c r="T651" s="14" t="n">
        <v>7.942</v>
      </c>
      <c r="U651" s="14" t="n">
        <v>0.191</v>
      </c>
      <c r="V651" s="14" t="n">
        <v>13.595</v>
      </c>
      <c r="W651" s="14" t="n">
        <v>0.115</v>
      </c>
      <c r="X651" s="14" t="n">
        <v>1</v>
      </c>
      <c r="Y651" s="14" t="n">
        <v>11.447</v>
      </c>
      <c r="Z651" s="14" t="n">
        <v>1.54</v>
      </c>
      <c r="AA651" s="14" t="n">
        <v>0</v>
      </c>
      <c r="AB651" s="14" t="n">
        <v>11.447</v>
      </c>
      <c r="AC651" s="14" t="n">
        <v>0</v>
      </c>
      <c r="AD651" s="14" t="n">
        <v>1</v>
      </c>
      <c r="AE651" s="14" t="n">
        <v>12.771</v>
      </c>
      <c r="AF651" s="14" t="n">
        <v>2.991</v>
      </c>
      <c r="AG651" s="14" t="n">
        <v>0</v>
      </c>
      <c r="AH651" s="14" t="n">
        <v>12.771</v>
      </c>
      <c r="AI651" s="14" t="n">
        <v>0</v>
      </c>
      <c r="AJ651" s="14" t="n">
        <v>1</v>
      </c>
      <c r="AK651" s="14" t="n">
        <v>20.712</v>
      </c>
      <c r="AL651" s="14" t="n">
        <v>11.129</v>
      </c>
      <c r="AM651" s="14" t="n">
        <v>0.324</v>
      </c>
      <c r="AN651" s="14" t="n">
        <v>23.094</v>
      </c>
      <c r="AO651" s="14" t="n">
        <v>0.115</v>
      </c>
      <c r="AP651" s="14" t="n">
        <v>1</v>
      </c>
      <c r="AQ651" s="14" t="n">
        <v>0.756</v>
      </c>
      <c r="AR651" s="14" t="n">
        <v>0.132</v>
      </c>
      <c r="AS651" s="14" t="n">
        <v>0.141</v>
      </c>
      <c r="AT651" s="14" t="n">
        <v>1</v>
      </c>
      <c r="AU651" s="14" t="n">
        <v>0.115</v>
      </c>
      <c r="AV651" s="14" t="n">
        <v>1</v>
      </c>
      <c r="AW651" s="14" t="n">
        <v>0.655</v>
      </c>
      <c r="AX651" s="14" t="n">
        <v>0.132</v>
      </c>
      <c r="AY651" s="14" t="n">
        <v>0.126</v>
      </c>
      <c r="AZ651" s="14" t="n">
        <v>0.871</v>
      </c>
      <c r="BA651" s="14" t="n">
        <v>0.115</v>
      </c>
      <c r="BB651" s="14" t="n">
        <v>1</v>
      </c>
      <c r="BC651" s="14" t="n">
        <v>0.534</v>
      </c>
      <c r="BD651" s="14" t="n">
        <v>0.132</v>
      </c>
      <c r="BE651" s="14" t="n">
        <v>0.008</v>
      </c>
      <c r="BF651" s="14" t="n">
        <v>0.595</v>
      </c>
      <c r="BG651" s="14" t="n">
        <v>0.115</v>
      </c>
      <c r="BH651" s="14" t="n">
        <v>1</v>
      </c>
      <c r="BI651" s="14" t="n">
        <v>0.5679999999999999</v>
      </c>
      <c r="BJ651" s="14" t="n">
        <v>0.132</v>
      </c>
      <c r="BK651" s="14" t="n">
        <v>0.008999999999999999</v>
      </c>
      <c r="BL651" s="14" t="n">
        <v>0.633</v>
      </c>
      <c r="BM651" s="14" t="n">
        <v>0.115</v>
      </c>
      <c r="BN651" s="14" t="n">
        <v>1</v>
      </c>
      <c r="BO651" s="14" t="n">
        <v>0</v>
      </c>
      <c r="BP651" s="14" t="n">
        <v>0</v>
      </c>
      <c r="BQ651" s="14" t="n">
        <v>0</v>
      </c>
      <c r="BR651" s="14" t="n">
        <v>0</v>
      </c>
      <c r="BS651" s="14" t="n">
        <v>1</v>
      </c>
      <c r="BT651" s="14" t="n">
        <v>0</v>
      </c>
      <c r="BU651" s="14" t="n">
        <v>0</v>
      </c>
      <c r="BV651" s="14" t="n">
        <v>0</v>
      </c>
      <c r="BW651" s="14" t="n">
        <v>0.115</v>
      </c>
      <c r="BX651" s="14" t="n">
        <v>1</v>
      </c>
      <c r="BY651" s="14" t="n">
        <v>13.646</v>
      </c>
      <c r="BZ651" s="14" t="n">
        <v>0</v>
      </c>
      <c r="CA651" s="14" t="n">
        <v>13.646</v>
      </c>
      <c r="CB651" s="14" t="n">
        <v>0</v>
      </c>
      <c r="CC651" s="14" t="n">
        <v>82.58799999999999</v>
      </c>
      <c r="CD651" s="14" t="n">
        <v>7.95</v>
      </c>
      <c r="CE651" s="14" t="n">
        <v>1.294</v>
      </c>
      <c r="CF651" s="14" t="n">
        <v>92.086</v>
      </c>
      <c r="CG651" s="14" t="n">
        <v>0.115</v>
      </c>
      <c r="CH651" s="14" t="n">
        <v>1</v>
      </c>
      <c r="CI651" s="14" t="n">
        <v>0</v>
      </c>
      <c r="CJ651" s="14" t="n">
        <v>0</v>
      </c>
      <c r="CK651" s="14" t="n">
        <v>0</v>
      </c>
      <c r="CL651" s="14" t="n">
        <v>0</v>
      </c>
      <c r="CM651" s="14" t="n">
        <v>0</v>
      </c>
      <c r="CN651" s="14" t="n">
        <v>0</v>
      </c>
      <c r="CO651" s="14" t="n">
        <v>0</v>
      </c>
      <c r="CP651" s="14" t="n">
        <v>0</v>
      </c>
      <c r="CQ651" s="14" t="n">
        <v>1.387</v>
      </c>
      <c r="CR651" s="14" t="n">
        <v>0</v>
      </c>
      <c r="CS651" s="14" t="n">
        <v>5.529</v>
      </c>
      <c r="CT651" s="14" t="n">
        <v>4.251</v>
      </c>
      <c r="CU651" s="14" t="n">
        <v>10.123</v>
      </c>
    </row>
    <row r="652">
      <c r="A652" s="14" t="inlineStr">
        <is>
          <t>QAT2021</t>
        </is>
      </c>
      <c r="B652" s="14" t="inlineStr">
        <is>
          <t>QAT</t>
        </is>
      </c>
      <c r="C652" s="14" t="inlineStr">
        <is>
          <t>QAT</t>
        </is>
      </c>
      <c r="D652" s="14" t="inlineStr">
        <is>
          <t>Qatar</t>
        </is>
      </c>
      <c r="E652" s="14" t="n">
        <v>2021</v>
      </c>
      <c r="F652" s="14" t="n">
        <v>0</v>
      </c>
      <c r="G652" s="14" t="n">
        <v>5.897</v>
      </c>
      <c r="H652" s="14" t="n">
        <v>1.143</v>
      </c>
      <c r="I652" s="14" t="n">
        <v>0.238</v>
      </c>
      <c r="J652" s="14" t="n">
        <v>6.134</v>
      </c>
      <c r="K652" s="14" t="n">
        <v>0</v>
      </c>
      <c r="L652" s="14" t="n">
        <v>1</v>
      </c>
      <c r="M652" s="14" t="n">
        <v>7.964</v>
      </c>
      <c r="N652" s="14" t="n">
        <v>3.43</v>
      </c>
      <c r="O652" s="14" t="n">
        <v>0.227</v>
      </c>
      <c r="P652" s="14" t="n">
        <v>8.191000000000001</v>
      </c>
      <c r="Q652" s="14" t="n">
        <v>0</v>
      </c>
      <c r="R652" s="14" t="n">
        <v>1</v>
      </c>
      <c r="S652" s="14" t="n">
        <v>11.613</v>
      </c>
      <c r="T652" s="14" t="n">
        <v>6.86</v>
      </c>
      <c r="U652" s="14" t="n">
        <v>0.238</v>
      </c>
      <c r="V652" s="14" t="n">
        <v>11.851</v>
      </c>
      <c r="W652" s="14" t="n">
        <v>0</v>
      </c>
      <c r="X652" s="14" t="n">
        <v>1</v>
      </c>
      <c r="Y652" s="14" t="n">
        <v>1.802</v>
      </c>
      <c r="Z652" s="14" t="n">
        <v>0</v>
      </c>
      <c r="AA652" s="14" t="n">
        <v>-0.837</v>
      </c>
      <c r="AB652" s="14" t="n">
        <v>0.965</v>
      </c>
      <c r="AC652" s="14" t="n">
        <v>0</v>
      </c>
      <c r="AD652" s="14" t="n">
        <v>0</v>
      </c>
      <c r="AE652" s="14" t="n">
        <v>1.802</v>
      </c>
      <c r="AF652" s="14" t="n">
        <v>0</v>
      </c>
      <c r="AG652" s="14" t="n">
        <v>-0.837</v>
      </c>
      <c r="AH652" s="14" t="n">
        <v>0.965</v>
      </c>
      <c r="AI652" s="14" t="n">
        <v>0</v>
      </c>
      <c r="AJ652" s="14" t="n">
        <v>0</v>
      </c>
      <c r="AK652" s="14" t="n">
        <v>5.232</v>
      </c>
      <c r="AL652" s="14" t="n">
        <v>1.855</v>
      </c>
      <c r="AM652" s="14" t="n">
        <v>-0.493</v>
      </c>
      <c r="AN652" s="14" t="n">
        <v>4.739</v>
      </c>
      <c r="AO652" s="14" t="n">
        <v>0</v>
      </c>
      <c r="AP652" s="14" t="n">
        <v>1</v>
      </c>
      <c r="AQ652" s="14" t="n">
        <v>0.621</v>
      </c>
      <c r="AR652" s="14" t="n">
        <v>0.114</v>
      </c>
      <c r="AS652" s="14" t="n">
        <v>-0.104</v>
      </c>
      <c r="AT652" s="14" t="n">
        <v>0.516</v>
      </c>
      <c r="AU652" s="14" t="n">
        <v>0</v>
      </c>
      <c r="AV652" s="14" t="n">
        <v>0</v>
      </c>
      <c r="AW652" s="14" t="n">
        <v>0.593</v>
      </c>
      <c r="AX652" s="14" t="n">
        <v>0.114</v>
      </c>
      <c r="AY652" s="14" t="n">
        <v>-0.106</v>
      </c>
      <c r="AZ652" s="14" t="n">
        <v>0.487</v>
      </c>
      <c r="BA652" s="14" t="n">
        <v>0</v>
      </c>
      <c r="BB652" s="14" t="n">
        <v>0</v>
      </c>
      <c r="BC652" s="14" t="n">
        <v>0.44</v>
      </c>
      <c r="BD652" s="14" t="n">
        <v>0.114</v>
      </c>
      <c r="BE652" s="14" t="n">
        <v>0</v>
      </c>
      <c r="BF652" s="14" t="n">
        <v>0.44</v>
      </c>
      <c r="BG652" s="14" t="n">
        <v>0</v>
      </c>
      <c r="BH652" s="14" t="n">
        <v>1</v>
      </c>
      <c r="BI652" s="14" t="n">
        <v>0.5600000000000001</v>
      </c>
      <c r="BJ652" s="14" t="n">
        <v>0.114</v>
      </c>
      <c r="BK652" s="14" t="n">
        <v>0</v>
      </c>
      <c r="BL652" s="14" t="n">
        <v>0.5600000000000001</v>
      </c>
      <c r="BM652" s="14" t="n">
        <v>0</v>
      </c>
      <c r="BN652" s="14" t="n">
        <v>1</v>
      </c>
      <c r="BO652" s="14" t="n">
        <v>0</v>
      </c>
      <c r="BP652" s="14" t="n">
        <v>-0.038</v>
      </c>
      <c r="BQ652" s="14" t="n">
        <v>0.035</v>
      </c>
      <c r="BR652" s="14" t="n">
        <v>0</v>
      </c>
      <c r="BS652" s="14" t="n">
        <v>0.333</v>
      </c>
      <c r="BT652" s="14" t="n">
        <v>0</v>
      </c>
      <c r="BU652" s="14" t="n">
        <v>-0.038</v>
      </c>
      <c r="BV652" s="14" t="n">
        <v>0.038</v>
      </c>
      <c r="BW652" s="14" t="n">
        <v>0</v>
      </c>
      <c r="BX652" s="14" t="n">
        <v>0</v>
      </c>
      <c r="BY652" s="14" t="n">
        <v>11.787</v>
      </c>
      <c r="BZ652" s="14" t="n">
        <v>0</v>
      </c>
      <c r="CA652" s="14" t="n">
        <v>11.787</v>
      </c>
      <c r="CB652" s="14" t="n">
        <v>0</v>
      </c>
      <c r="CC652" s="14" t="n">
        <v>81.69499999999999</v>
      </c>
      <c r="CD652" s="14" t="n">
        <v>7.95</v>
      </c>
      <c r="CE652" s="14" t="n">
        <v>0</v>
      </c>
      <c r="CF652" s="14" t="n">
        <v>81.69499999999999</v>
      </c>
      <c r="CG652" s="14" t="n">
        <v>0</v>
      </c>
      <c r="CH652" s="14" t="n">
        <v>1</v>
      </c>
      <c r="CI652" s="14" t="n">
        <v>0</v>
      </c>
      <c r="CJ652" s="14" t="n">
        <v>0</v>
      </c>
      <c r="CK652" s="14" t="n">
        <v>0</v>
      </c>
      <c r="CL652" s="14" t="n">
        <v>0</v>
      </c>
      <c r="CM652" s="14" t="n">
        <v>0</v>
      </c>
      <c r="CN652" s="14" t="n">
        <v>0</v>
      </c>
      <c r="CO652" s="14" t="n">
        <v>0</v>
      </c>
      <c r="CP652" s="14" t="n">
        <v>0</v>
      </c>
      <c r="CQ652" s="14" t="n">
        <v>1.198</v>
      </c>
      <c r="CR652" s="14" t="n">
        <v>1</v>
      </c>
      <c r="CS652" s="14" t="n">
        <v>1.802</v>
      </c>
      <c r="CT652" s="14" t="n">
        <v>4.753</v>
      </c>
      <c r="CU652" s="14" t="n">
        <v>15.929</v>
      </c>
    </row>
    <row r="653">
      <c r="A653" s="14" t="inlineStr">
        <is>
          <t>QAT2022</t>
        </is>
      </c>
      <c r="B653" s="14" t="inlineStr">
        <is>
          <t>QAT</t>
        </is>
      </c>
      <c r="C653" s="14" t="inlineStr">
        <is>
          <t>QAT</t>
        </is>
      </c>
      <c r="D653" s="14" t="inlineStr">
        <is>
          <t>Qatar</t>
        </is>
      </c>
      <c r="E653" s="14" t="n">
        <v>2022</v>
      </c>
      <c r="F653" s="14" t="n">
        <v>0</v>
      </c>
      <c r="G653" s="14" t="n">
        <v>11.72</v>
      </c>
      <c r="H653" s="14" t="n">
        <v>1.235</v>
      </c>
      <c r="I653" s="14" t="n">
        <v>0.5659999999999999</v>
      </c>
      <c r="J653" s="14" t="n">
        <v>12.286</v>
      </c>
      <c r="K653" s="14" t="n">
        <v>0</v>
      </c>
      <c r="L653" s="14" t="n">
        <v>1</v>
      </c>
      <c r="M653" s="14" t="n">
        <v>9.782999999999999</v>
      </c>
      <c r="N653" s="14" t="n">
        <v>3.704</v>
      </c>
      <c r="O653" s="14" t="n">
        <v>0.328</v>
      </c>
      <c r="P653" s="14" t="n">
        <v>10.111</v>
      </c>
      <c r="Q653" s="14" t="n">
        <v>0</v>
      </c>
      <c r="R653" s="14" t="n">
        <v>1</v>
      </c>
      <c r="S653" s="14" t="n">
        <v>17.893</v>
      </c>
      <c r="T653" s="14" t="n">
        <v>7.408</v>
      </c>
      <c r="U653" s="14" t="n">
        <v>0.5659999999999999</v>
      </c>
      <c r="V653" s="14" t="n">
        <v>18.459</v>
      </c>
      <c r="W653" s="14" t="n">
        <v>0</v>
      </c>
      <c r="X653" s="14" t="n">
        <v>1</v>
      </c>
      <c r="Y653" s="14" t="n">
        <v>1.946</v>
      </c>
      <c r="Z653" s="14" t="n">
        <v>0</v>
      </c>
      <c r="AA653" s="14" t="n">
        <v>-0.904</v>
      </c>
      <c r="AB653" s="14" t="n">
        <v>1.043</v>
      </c>
      <c r="AC653" s="14" t="n">
        <v>0</v>
      </c>
      <c r="AD653" s="14" t="n">
        <v>0</v>
      </c>
      <c r="AE653" s="14" t="n">
        <v>1.946</v>
      </c>
      <c r="AF653" s="14" t="n">
        <v>0</v>
      </c>
      <c r="AG653" s="14" t="n">
        <v>-0.904</v>
      </c>
      <c r="AH653" s="14" t="n">
        <v>1.043</v>
      </c>
      <c r="AI653" s="14" t="n">
        <v>0</v>
      </c>
      <c r="AJ653" s="14" t="n">
        <v>0</v>
      </c>
      <c r="AK653" s="14" t="n">
        <v>5.65</v>
      </c>
      <c r="AL653" s="14" t="n">
        <v>2.003</v>
      </c>
      <c r="AM653" s="14" t="n">
        <v>-0.532</v>
      </c>
      <c r="AN653" s="14" t="n">
        <v>5.118</v>
      </c>
      <c r="AO653" s="14" t="n">
        <v>0</v>
      </c>
      <c r="AP653" s="14" t="n">
        <v>1</v>
      </c>
      <c r="AQ653" s="14" t="n">
        <v>0.847</v>
      </c>
      <c r="AR653" s="14" t="n">
        <v>0.123</v>
      </c>
      <c r="AS653" s="14" t="n">
        <v>-0.27</v>
      </c>
      <c r="AT653" s="14" t="n">
        <v>0.577</v>
      </c>
      <c r="AU653" s="14" t="n">
        <v>0</v>
      </c>
      <c r="AV653" s="14" t="n">
        <v>0</v>
      </c>
      <c r="AW653" s="14" t="n">
        <v>0.947</v>
      </c>
      <c r="AX653" s="14" t="n">
        <v>0.123</v>
      </c>
      <c r="AY653" s="14" t="n">
        <v>-0.384</v>
      </c>
      <c r="AZ653" s="14" t="n">
        <v>0.5629999999999999</v>
      </c>
      <c r="BA653" s="14" t="n">
        <v>0</v>
      </c>
      <c r="BB653" s="14" t="n">
        <v>0</v>
      </c>
      <c r="BC653" s="14" t="n">
        <v>0.589</v>
      </c>
      <c r="BD653" s="14" t="n">
        <v>0.123</v>
      </c>
      <c r="BE653" s="14" t="n">
        <v>0</v>
      </c>
      <c r="BF653" s="14" t="n">
        <v>0.589</v>
      </c>
      <c r="BG653" s="14" t="n">
        <v>0</v>
      </c>
      <c r="BH653" s="14" t="n">
        <v>1</v>
      </c>
      <c r="BI653" s="14" t="n">
        <v>0.6889999999999999</v>
      </c>
      <c r="BJ653" s="14" t="n">
        <v>0.123</v>
      </c>
      <c r="BK653" s="14" t="n">
        <v>0</v>
      </c>
      <c r="BL653" s="14" t="n">
        <v>0.6889999999999999</v>
      </c>
      <c r="BM653" s="14" t="n">
        <v>0</v>
      </c>
      <c r="BN653" s="14" t="n">
        <v>1</v>
      </c>
      <c r="BO653" s="14" t="n">
        <v>0</v>
      </c>
      <c r="BP653" s="14" t="n">
        <v>-0.038</v>
      </c>
      <c r="BQ653" s="14" t="n">
        <v>0.035</v>
      </c>
      <c r="BR653" s="14" t="n">
        <v>0</v>
      </c>
      <c r="BS653" s="14" t="n">
        <v>0.333</v>
      </c>
      <c r="BT653" s="14" t="n">
        <v>0</v>
      </c>
      <c r="BU653" s="14" t="n">
        <v>-0.038</v>
      </c>
      <c r="BV653" s="14" t="n">
        <v>0.038</v>
      </c>
      <c r="BW653" s="14" t="n">
        <v>0</v>
      </c>
      <c r="BX653" s="14" t="n">
        <v>0</v>
      </c>
      <c r="BY653" s="14" t="n">
        <v>12.729</v>
      </c>
      <c r="BZ653" s="14" t="n">
        <v>0</v>
      </c>
      <c r="CA653" s="14" t="n">
        <v>12.729</v>
      </c>
      <c r="CB653" s="14" t="n">
        <v>0</v>
      </c>
      <c r="CC653" s="14" t="n">
        <v>102.477</v>
      </c>
      <c r="CD653" s="14" t="n">
        <v>7.95</v>
      </c>
      <c r="CE653" s="14" t="n">
        <v>0</v>
      </c>
      <c r="CF653" s="14" t="n">
        <v>102.477</v>
      </c>
      <c r="CG653" s="14" t="n">
        <v>0</v>
      </c>
      <c r="CH653" s="14" t="n">
        <v>1</v>
      </c>
      <c r="CI653" s="14" t="n">
        <v>0</v>
      </c>
      <c r="CJ653" s="14" t="n">
        <v>0</v>
      </c>
      <c r="CK653" s="14" t="n">
        <v>0</v>
      </c>
      <c r="CL653" s="14" t="n">
        <v>0</v>
      </c>
      <c r="CM653" s="14" t="n">
        <v>0</v>
      </c>
      <c r="CN653" s="14" t="n">
        <v>0</v>
      </c>
      <c r="CO653" s="14" t="n">
        <v>0</v>
      </c>
      <c r="CP653" s="14" t="n">
        <v>0</v>
      </c>
      <c r="CQ653" s="14" t="n">
        <v>1.294</v>
      </c>
      <c r="CR653" s="14" t="n">
        <v>1</v>
      </c>
      <c r="CS653" s="14" t="n">
        <v>1.946</v>
      </c>
      <c r="CT653" s="14" t="n">
        <v>10.485</v>
      </c>
      <c r="CU653" s="14" t="n">
        <v>29.859</v>
      </c>
    </row>
    <row r="654">
      <c r="A654" s="14" t="inlineStr">
        <is>
          <t>QAT2023</t>
        </is>
      </c>
      <c r="B654" s="14" t="inlineStr">
        <is>
          <t>QAT</t>
        </is>
      </c>
      <c r="C654" s="14" t="inlineStr">
        <is>
          <t>QAT</t>
        </is>
      </c>
      <c r="D654" s="14" t="inlineStr">
        <is>
          <t>Qatar</t>
        </is>
      </c>
      <c r="E654" s="14" t="n">
        <v>2023</v>
      </c>
      <c r="F654" s="14" t="n">
        <v>0</v>
      </c>
      <c r="G654" s="14" t="n">
        <v>6.147</v>
      </c>
      <c r="H654" s="14" t="n">
        <v>1.286</v>
      </c>
      <c r="I654" s="14" t="n">
        <v>0.273</v>
      </c>
      <c r="J654" s="14" t="n">
        <v>6.42</v>
      </c>
      <c r="K654" s="14" t="n">
        <v>0</v>
      </c>
      <c r="L654" s="14" t="n">
        <v>1</v>
      </c>
      <c r="M654" s="14" t="n">
        <v>7.886</v>
      </c>
      <c r="N654" s="14" t="n">
        <v>3.857</v>
      </c>
      <c r="O654" s="14" t="n">
        <v>0.227</v>
      </c>
      <c r="P654" s="14" t="n">
        <v>8.113</v>
      </c>
      <c r="Q654" s="14" t="n">
        <v>0</v>
      </c>
      <c r="R654" s="14" t="n">
        <v>1</v>
      </c>
      <c r="S654" s="14" t="n">
        <v>12.575</v>
      </c>
      <c r="T654" s="14" t="n">
        <v>7.714</v>
      </c>
      <c r="U654" s="14" t="n">
        <v>0.273</v>
      </c>
      <c r="V654" s="14" t="n">
        <v>12.848</v>
      </c>
      <c r="W654" s="14" t="n">
        <v>0</v>
      </c>
      <c r="X654" s="14" t="n">
        <v>1</v>
      </c>
      <c r="Y654" s="14" t="n">
        <v>2.027</v>
      </c>
      <c r="Z654" s="14" t="n">
        <v>0</v>
      </c>
      <c r="AA654" s="14" t="n">
        <v>-0.984</v>
      </c>
      <c r="AB654" s="14" t="n">
        <v>1.043</v>
      </c>
      <c r="AC654" s="14" t="n">
        <v>0</v>
      </c>
      <c r="AD654" s="14" t="n">
        <v>0</v>
      </c>
      <c r="AE654" s="14" t="n">
        <v>2.027</v>
      </c>
      <c r="AF654" s="14" t="n">
        <v>0</v>
      </c>
      <c r="AG654" s="14" t="n">
        <v>-0.984</v>
      </c>
      <c r="AH654" s="14" t="n">
        <v>1.043</v>
      </c>
      <c r="AI654" s="14" t="n">
        <v>0</v>
      </c>
      <c r="AJ654" s="14" t="n">
        <v>0</v>
      </c>
      <c r="AK654" s="14" t="n">
        <v>5.884</v>
      </c>
      <c r="AL654" s="14" t="n">
        <v>2.086</v>
      </c>
      <c r="AM654" s="14" t="n">
        <v>-0.554</v>
      </c>
      <c r="AN654" s="14" t="n">
        <v>5.329</v>
      </c>
      <c r="AO654" s="14" t="n">
        <v>0</v>
      </c>
      <c r="AP654" s="14" t="n">
        <v>1</v>
      </c>
      <c r="AQ654" s="14" t="n">
        <v>0.749</v>
      </c>
      <c r="AR654" s="14" t="n">
        <v>0.129</v>
      </c>
      <c r="AS654" s="14" t="n">
        <v>-0.172</v>
      </c>
      <c r="AT654" s="14" t="n">
        <v>0.577</v>
      </c>
      <c r="AU654" s="14" t="n">
        <v>0</v>
      </c>
      <c r="AV654" s="14" t="n">
        <v>0</v>
      </c>
      <c r="AW654" s="14" t="n">
        <v>0.783</v>
      </c>
      <c r="AX654" s="14" t="n">
        <v>0.129</v>
      </c>
      <c r="AY654" s="14" t="n">
        <v>-0.219</v>
      </c>
      <c r="AZ654" s="14" t="n">
        <v>0.5629999999999999</v>
      </c>
      <c r="BA654" s="14" t="n">
        <v>0</v>
      </c>
      <c r="BB654" s="14" t="n">
        <v>0</v>
      </c>
      <c r="BC654" s="14" t="n">
        <v>0.527</v>
      </c>
      <c r="BD654" s="14" t="n">
        <v>0.129</v>
      </c>
      <c r="BE654" s="14" t="n">
        <v>0</v>
      </c>
      <c r="BF654" s="14" t="n">
        <v>0.527</v>
      </c>
      <c r="BG654" s="14" t="n">
        <v>0</v>
      </c>
      <c r="BH654" s="14" t="n">
        <v>1</v>
      </c>
      <c r="BI654" s="14" t="n">
        <v>0.64</v>
      </c>
      <c r="BJ654" s="14" t="n">
        <v>0.129</v>
      </c>
      <c r="BK654" s="14" t="n">
        <v>0</v>
      </c>
      <c r="BL654" s="14" t="n">
        <v>0.64</v>
      </c>
      <c r="BM654" s="14" t="n">
        <v>0</v>
      </c>
      <c r="BN654" s="14" t="n">
        <v>1</v>
      </c>
      <c r="BO654" s="14" t="n">
        <v>0</v>
      </c>
      <c r="BP654" s="14" t="n">
        <v>-0.038</v>
      </c>
      <c r="BQ654" s="14" t="n">
        <v>0.036</v>
      </c>
      <c r="BR654" s="14" t="n">
        <v>0</v>
      </c>
      <c r="BS654" s="14" t="n">
        <v>0.333</v>
      </c>
      <c r="BT654" s="14" t="n">
        <v>0</v>
      </c>
      <c r="BU654" s="14" t="n">
        <v>-0.038</v>
      </c>
      <c r="BV654" s="14" t="n">
        <v>0.038</v>
      </c>
      <c r="BW654" s="14" t="n">
        <v>0</v>
      </c>
      <c r="BX654" s="14" t="n">
        <v>0</v>
      </c>
      <c r="BY654" s="14" t="n">
        <v>13.254</v>
      </c>
      <c r="BZ654" s="14" t="n">
        <v>0</v>
      </c>
      <c r="CA654" s="14" t="n">
        <v>13.254</v>
      </c>
      <c r="CB654" s="14" t="n">
        <v>0</v>
      </c>
      <c r="CC654" s="14" t="n">
        <v>87.07899999999999</v>
      </c>
      <c r="CD654" s="14" t="n">
        <v>7.95</v>
      </c>
      <c r="CE654" s="14" t="n">
        <v>0</v>
      </c>
      <c r="CF654" s="14" t="n">
        <v>87.07899999999999</v>
      </c>
      <c r="CG654" s="14" t="n">
        <v>0</v>
      </c>
      <c r="CH654" s="14" t="n">
        <v>1</v>
      </c>
      <c r="CI654" s="14" t="n">
        <v>0</v>
      </c>
      <c r="CJ654" s="14" t="n">
        <v>0</v>
      </c>
      <c r="CK654" s="14" t="n">
        <v>0</v>
      </c>
      <c r="CL654" s="14" t="n">
        <v>0</v>
      </c>
      <c r="CM654" s="14" t="n">
        <v>0</v>
      </c>
      <c r="CN654" s="14" t="n">
        <v>0</v>
      </c>
      <c r="CO654" s="14" t="n">
        <v>0</v>
      </c>
      <c r="CP654" s="14" t="n">
        <v>0</v>
      </c>
      <c r="CQ654" s="14" t="n">
        <v>1.348</v>
      </c>
      <c r="CR654" s="14" t="n">
        <v>1</v>
      </c>
      <c r="CS654" s="14" t="n">
        <v>2.027</v>
      </c>
      <c r="CT654" s="14" t="n">
        <v>4.861</v>
      </c>
      <c r="CU654" s="14" t="n">
        <v>11.061</v>
      </c>
    </row>
    <row r="655">
      <c r="A655" s="14" t="inlineStr">
        <is>
          <t>QAT2024</t>
        </is>
      </c>
      <c r="B655" s="14" t="inlineStr">
        <is>
          <t>QAT</t>
        </is>
      </c>
      <c r="C655" s="14" t="inlineStr">
        <is>
          <t>QAT</t>
        </is>
      </c>
      <c r="D655" s="14" t="inlineStr">
        <is>
          <t>Qatar</t>
        </is>
      </c>
      <c r="E655" s="14" t="n">
        <v>2024</v>
      </c>
      <c r="F655" s="14" t="n">
        <v>0</v>
      </c>
      <c r="G655" s="14" t="n">
        <v>5.575</v>
      </c>
      <c r="H655" s="14" t="n">
        <v>1.324</v>
      </c>
      <c r="I655" s="14" t="n">
        <v>0.213</v>
      </c>
      <c r="J655" s="14" t="n">
        <v>5.787</v>
      </c>
      <c r="K655" s="14" t="n">
        <v>0</v>
      </c>
      <c r="L655" s="14" t="n">
        <v>1</v>
      </c>
      <c r="M655" s="14" t="n">
        <v>7.124</v>
      </c>
      <c r="N655" s="14" t="n">
        <v>3.971</v>
      </c>
      <c r="O655" s="14" t="n">
        <v>0.158</v>
      </c>
      <c r="P655" s="14" t="n">
        <v>7.281</v>
      </c>
      <c r="Q655" s="14" t="n">
        <v>0</v>
      </c>
      <c r="R655" s="14" t="n">
        <v>1</v>
      </c>
      <c r="S655" s="14" t="n">
        <v>12.193</v>
      </c>
      <c r="T655" s="14" t="n">
        <v>7.942</v>
      </c>
      <c r="U655" s="14" t="n">
        <v>0.213</v>
      </c>
      <c r="V655" s="14" t="n">
        <v>12.405</v>
      </c>
      <c r="W655" s="14" t="n">
        <v>0</v>
      </c>
      <c r="X655" s="14" t="n">
        <v>1</v>
      </c>
      <c r="Y655" s="14" t="n">
        <v>2.086</v>
      </c>
      <c r="Z655" s="14" t="n">
        <v>0</v>
      </c>
      <c r="AA655" s="14" t="n">
        <v>-1.013</v>
      </c>
      <c r="AB655" s="14" t="n">
        <v>1.073</v>
      </c>
      <c r="AC655" s="14" t="n">
        <v>0</v>
      </c>
      <c r="AD655" s="14" t="n">
        <v>0</v>
      </c>
      <c r="AE655" s="14" t="n">
        <v>2.086</v>
      </c>
      <c r="AF655" s="14" t="n">
        <v>0</v>
      </c>
      <c r="AG655" s="14" t="n">
        <v>-1.013</v>
      </c>
      <c r="AH655" s="14" t="n">
        <v>1.073</v>
      </c>
      <c r="AI655" s="14" t="n">
        <v>0</v>
      </c>
      <c r="AJ655" s="14" t="n">
        <v>0</v>
      </c>
      <c r="AK655" s="14" t="n">
        <v>6.057</v>
      </c>
      <c r="AL655" s="14" t="n">
        <v>2.147</v>
      </c>
      <c r="AM655" s="14" t="n">
        <v>-0.507</v>
      </c>
      <c r="AN655" s="14" t="n">
        <v>5.55</v>
      </c>
      <c r="AO655" s="14" t="n">
        <v>0</v>
      </c>
      <c r="AP655" s="14" t="n">
        <v>1</v>
      </c>
      <c r="AQ655" s="14" t="n">
        <v>0.72</v>
      </c>
      <c r="AR655" s="14" t="n">
        <v>0.132</v>
      </c>
      <c r="AS655" s="14" t="n">
        <v>-0.144</v>
      </c>
      <c r="AT655" s="14" t="n">
        <v>0.576</v>
      </c>
      <c r="AU655" s="14" t="n">
        <v>0</v>
      </c>
      <c r="AV655" s="14" t="n">
        <v>0</v>
      </c>
      <c r="AW655" s="14" t="n">
        <v>0.734</v>
      </c>
      <c r="AX655" s="14" t="n">
        <v>0.132</v>
      </c>
      <c r="AY655" s="14" t="n">
        <v>-0.172</v>
      </c>
      <c r="AZ655" s="14" t="n">
        <v>0.5620000000000001</v>
      </c>
      <c r="BA655" s="14" t="n">
        <v>0</v>
      </c>
      <c r="BB655" s="14" t="n">
        <v>0</v>
      </c>
      <c r="BC655" s="14" t="n">
        <v>0.51</v>
      </c>
      <c r="BD655" s="14" t="n">
        <v>0.132</v>
      </c>
      <c r="BE655" s="14" t="n">
        <v>0</v>
      </c>
      <c r="BF655" s="14" t="n">
        <v>0.51</v>
      </c>
      <c r="BG655" s="14" t="n">
        <v>0</v>
      </c>
      <c r="BH655" s="14" t="n">
        <v>1</v>
      </c>
      <c r="BI655" s="14" t="n">
        <v>0.652</v>
      </c>
      <c r="BJ655" s="14" t="n">
        <v>0.132</v>
      </c>
      <c r="BK655" s="14" t="n">
        <v>0</v>
      </c>
      <c r="BL655" s="14" t="n">
        <v>0.652</v>
      </c>
      <c r="BM655" s="14" t="n">
        <v>0</v>
      </c>
      <c r="BN655" s="14" t="n">
        <v>1</v>
      </c>
      <c r="BO655" s="14" t="n">
        <v>0</v>
      </c>
      <c r="BP655" s="14" t="n">
        <v>-0.039</v>
      </c>
      <c r="BQ655" s="14" t="n">
        <v>0.039</v>
      </c>
      <c r="BR655" s="14" t="n">
        <v>0</v>
      </c>
      <c r="BS655" s="14" t="n">
        <v>0.333</v>
      </c>
      <c r="BT655" s="14" t="n">
        <v>0</v>
      </c>
      <c r="BU655" s="14" t="n">
        <v>-0.039</v>
      </c>
      <c r="BV655" s="14" t="n">
        <v>0.038</v>
      </c>
      <c r="BW655" s="14" t="n">
        <v>0</v>
      </c>
      <c r="BX655" s="14" t="n">
        <v>0</v>
      </c>
      <c r="BY655" s="14" t="n">
        <v>13.646</v>
      </c>
      <c r="BZ655" s="14" t="n">
        <v>0</v>
      </c>
      <c r="CA655" s="14" t="n">
        <v>13.646</v>
      </c>
      <c r="CB655" s="14" t="n">
        <v>0</v>
      </c>
      <c r="CC655" s="14" t="n">
        <v>86.38500000000001</v>
      </c>
      <c r="CD655" s="14" t="n">
        <v>7.95</v>
      </c>
      <c r="CE655" s="14" t="n">
        <v>0</v>
      </c>
      <c r="CF655" s="14" t="n">
        <v>86.38500000000001</v>
      </c>
      <c r="CG655" s="14" t="n">
        <v>0</v>
      </c>
      <c r="CH655" s="14" t="n">
        <v>1</v>
      </c>
      <c r="CI655" s="14" t="n">
        <v>0</v>
      </c>
      <c r="CJ655" s="14" t="n">
        <v>0</v>
      </c>
      <c r="CK655" s="14" t="n">
        <v>0</v>
      </c>
      <c r="CL655" s="14" t="n">
        <v>0</v>
      </c>
      <c r="CM655" s="14" t="n">
        <v>0</v>
      </c>
      <c r="CN655" s="14" t="n">
        <v>0</v>
      </c>
      <c r="CO655" s="14" t="n">
        <v>0</v>
      </c>
      <c r="CP655" s="14" t="n">
        <v>0</v>
      </c>
      <c r="CQ655" s="14" t="n">
        <v>1.387</v>
      </c>
      <c r="CR655" s="14" t="n">
        <v>1</v>
      </c>
      <c r="CS655" s="14" t="n">
        <v>2.086</v>
      </c>
      <c r="CT655" s="14" t="n">
        <v>4.251</v>
      </c>
      <c r="CU655" s="14" t="n">
        <v>9.398</v>
      </c>
    </row>
    <row r="656">
      <c r="A656" s="14" t="inlineStr">
        <is>
          <t>ROU2021</t>
        </is>
      </c>
      <c r="B656" s="14" t="inlineStr">
        <is>
          <t>ROU</t>
        </is>
      </c>
      <c r="C656" s="14" t="inlineStr">
        <is>
          <t>ROU</t>
        </is>
      </c>
      <c r="D656" s="14" t="inlineStr">
        <is>
          <t>Romania</t>
        </is>
      </c>
      <c r="E656" s="14" t="n">
        <v>2021</v>
      </c>
      <c r="F656" s="14" t="n">
        <v>0.19</v>
      </c>
      <c r="G656" s="14" t="n">
        <v>2.657</v>
      </c>
      <c r="H656" s="14" t="n">
        <v>0.709</v>
      </c>
      <c r="I656" s="14" t="n">
        <v>0.8110000000000001</v>
      </c>
      <c r="J656" s="14" t="n">
        <v>3.469</v>
      </c>
      <c r="K656" s="14" t="n">
        <v>0</v>
      </c>
      <c r="L656" s="14" t="n">
        <v>1</v>
      </c>
      <c r="M656" s="14" t="n">
        <v>4.128</v>
      </c>
      <c r="N656" s="14" t="n">
        <v>2.127</v>
      </c>
      <c r="O656" s="14" t="n">
        <v>0.797</v>
      </c>
      <c r="P656" s="14" t="n">
        <v>4.925</v>
      </c>
      <c r="Q656" s="14" t="n">
        <v>0</v>
      </c>
      <c r="R656" s="14" t="n">
        <v>1</v>
      </c>
      <c r="S656" s="14" t="n">
        <v>6.203</v>
      </c>
      <c r="T656" s="14" t="n">
        <v>4.254</v>
      </c>
      <c r="U656" s="14" t="n">
        <v>0.281</v>
      </c>
      <c r="V656" s="14" t="n">
        <v>7.716</v>
      </c>
      <c r="W656" s="14" t="n">
        <v>0.19</v>
      </c>
      <c r="X656" s="14" t="n">
        <v>1</v>
      </c>
      <c r="Y656" s="14" t="n">
        <v>12.354</v>
      </c>
      <c r="Z656" s="14" t="n">
        <v>1.365</v>
      </c>
      <c r="AA656" s="14" t="n">
        <v>-0.743</v>
      </c>
      <c r="AB656" s="14" t="n">
        <v>11.611</v>
      </c>
      <c r="AC656" s="14" t="n">
        <v>0</v>
      </c>
      <c r="AD656" s="14" t="n">
        <v>1</v>
      </c>
      <c r="AE656" s="14" t="n">
        <v>12.31</v>
      </c>
      <c r="AF656" s="14" t="n">
        <v>2.422</v>
      </c>
      <c r="AG656" s="14" t="n">
        <v>-0.699</v>
      </c>
      <c r="AH656" s="14" t="n">
        <v>11.611</v>
      </c>
      <c r="AI656" s="14" t="n">
        <v>0</v>
      </c>
      <c r="AJ656" s="14" t="n">
        <v>1</v>
      </c>
      <c r="AK656" s="14" t="n">
        <v>15.241</v>
      </c>
      <c r="AL656" s="14" t="n">
        <v>7.481</v>
      </c>
      <c r="AM656" s="14" t="n">
        <v>-2.238</v>
      </c>
      <c r="AN656" s="14" t="n">
        <v>13.004</v>
      </c>
      <c r="AO656" s="14" t="n">
        <v>0</v>
      </c>
      <c r="AP656" s="14" t="n">
        <v>1</v>
      </c>
      <c r="AQ656" s="14" t="n">
        <v>0.619</v>
      </c>
      <c r="AR656" s="14" t="n">
        <v>0.114</v>
      </c>
      <c r="AS656" s="14" t="n">
        <v>0.631</v>
      </c>
      <c r="AT656" s="14" t="n">
        <v>1.373</v>
      </c>
      <c r="AU656" s="14" t="n">
        <v>0.098</v>
      </c>
      <c r="AV656" s="14" t="n">
        <v>1</v>
      </c>
      <c r="AW656" s="14" t="n">
        <v>0.599</v>
      </c>
      <c r="AX656" s="14" t="n">
        <v>0.114</v>
      </c>
      <c r="AY656" s="14" t="n">
        <v>0.623</v>
      </c>
      <c r="AZ656" s="14" t="n">
        <v>1.353</v>
      </c>
      <c r="BA656" s="14" t="n">
        <v>0.107</v>
      </c>
      <c r="BB656" s="14" t="n">
        <v>1</v>
      </c>
      <c r="BC656" s="14" t="n">
        <v>0.439</v>
      </c>
      <c r="BD656" s="14" t="n">
        <v>0.114</v>
      </c>
      <c r="BE656" s="14" t="n">
        <v>0.207</v>
      </c>
      <c r="BF656" s="14" t="n">
        <v>0.734</v>
      </c>
      <c r="BG656" s="14" t="n">
        <v>0.137</v>
      </c>
      <c r="BH656" s="14" t="n">
        <v>1</v>
      </c>
      <c r="BI656" s="14" t="n">
        <v>0.505</v>
      </c>
      <c r="BJ656" s="14" t="n">
        <v>0.114</v>
      </c>
      <c r="BK656" s="14" t="n">
        <v>0.442</v>
      </c>
      <c r="BL656" s="14" t="n">
        <v>1.126</v>
      </c>
      <c r="BM656" s="14" t="n">
        <v>0.19</v>
      </c>
      <c r="BN656" s="14" t="n">
        <v>1</v>
      </c>
      <c r="BO656" s="14" t="n">
        <v>0</v>
      </c>
      <c r="BP656" s="14" t="n">
        <v>0.018</v>
      </c>
      <c r="BQ656" s="14" t="n">
        <v>0.128</v>
      </c>
      <c r="BR656" s="14" t="n">
        <v>0</v>
      </c>
      <c r="BS656" s="14" t="n">
        <v>1</v>
      </c>
      <c r="BT656" s="14" t="n">
        <v>0</v>
      </c>
      <c r="BU656" s="14" t="n">
        <v>0.021</v>
      </c>
      <c r="BV656" s="14" t="n">
        <v>0.186</v>
      </c>
      <c r="BW656" s="14" t="n">
        <v>0.19</v>
      </c>
      <c r="BX656" s="14" t="n">
        <v>1</v>
      </c>
      <c r="BY656" s="14" t="n">
        <v>4.634</v>
      </c>
      <c r="BZ656" s="14" t="n">
        <v>0</v>
      </c>
      <c r="CA656" s="14" t="n">
        <v>4.634</v>
      </c>
      <c r="CB656" s="14" t="n">
        <v>0</v>
      </c>
      <c r="CC656" s="14" t="n">
        <v>78.125</v>
      </c>
      <c r="CD656" s="14" t="n">
        <v>7.95</v>
      </c>
      <c r="CE656" s="14" t="n">
        <v>76.261</v>
      </c>
      <c r="CF656" s="14" t="n">
        <v>183.72</v>
      </c>
      <c r="CG656" s="14" t="n">
        <v>0.19</v>
      </c>
      <c r="CH656" s="14" t="n">
        <v>1</v>
      </c>
      <c r="CI656" s="14" t="n">
        <v>0</v>
      </c>
      <c r="CJ656" s="14" t="n">
        <v>0</v>
      </c>
      <c r="CK656" s="14" t="n">
        <v>0</v>
      </c>
      <c r="CL656" s="14" t="n">
        <v>0</v>
      </c>
      <c r="CM656" s="14" t="n">
        <v>0.023</v>
      </c>
      <c r="CN656" s="14" t="n">
        <v>0.292</v>
      </c>
      <c r="CO656" s="14" t="n">
        <v>0</v>
      </c>
      <c r="CP656" s="14" t="n">
        <v>0.76</v>
      </c>
      <c r="CQ656" s="14" t="n">
        <v>1.198</v>
      </c>
      <c r="CR656" s="14" t="n">
        <v>0</v>
      </c>
      <c r="CS656" s="14" t="n">
        <v>1.301</v>
      </c>
      <c r="CT656" s="14" t="n">
        <v>4.318</v>
      </c>
      <c r="CU656" s="14" t="n">
        <v>1.301</v>
      </c>
    </row>
    <row r="657">
      <c r="A657" s="14" t="inlineStr">
        <is>
          <t>ROU2022</t>
        </is>
      </c>
      <c r="B657" s="14" t="inlineStr">
        <is>
          <t>ROU</t>
        </is>
      </c>
      <c r="C657" s="14" t="inlineStr">
        <is>
          <t>ROU</t>
        </is>
      </c>
      <c r="D657" s="14" t="inlineStr">
        <is>
          <t>Romania</t>
        </is>
      </c>
      <c r="E657" s="14" t="n">
        <v>2022</v>
      </c>
      <c r="F657" s="14" t="n">
        <v>0.19</v>
      </c>
      <c r="G657" s="14" t="n">
        <v>4.446</v>
      </c>
      <c r="H657" s="14" t="n">
        <v>0.749</v>
      </c>
      <c r="I657" s="14" t="n">
        <v>8.585000000000001</v>
      </c>
      <c r="J657" s="14" t="n">
        <v>13.031</v>
      </c>
      <c r="K657" s="14" t="n">
        <v>0</v>
      </c>
      <c r="L657" s="14" t="n">
        <v>1</v>
      </c>
      <c r="M657" s="14" t="n">
        <v>4.562</v>
      </c>
      <c r="N657" s="14" t="n">
        <v>2.247</v>
      </c>
      <c r="O657" s="14" t="n">
        <v>8.438000000000001</v>
      </c>
      <c r="P657" s="14" t="n">
        <v>13</v>
      </c>
      <c r="Q657" s="14" t="n">
        <v>0</v>
      </c>
      <c r="R657" s="14" t="n">
        <v>1</v>
      </c>
      <c r="S657" s="14" t="n">
        <v>8.191000000000001</v>
      </c>
      <c r="T657" s="14" t="n">
        <v>4.495</v>
      </c>
      <c r="U657" s="14" t="n">
        <v>0.423</v>
      </c>
      <c r="V657" s="14" t="n">
        <v>10.109</v>
      </c>
      <c r="W657" s="14" t="n">
        <v>0.19</v>
      </c>
      <c r="X657" s="14" t="n">
        <v>1</v>
      </c>
      <c r="Y657" s="14" t="n">
        <v>12.627</v>
      </c>
      <c r="Z657" s="14" t="n">
        <v>1.325</v>
      </c>
      <c r="AA657" s="14" t="n">
        <v>26.05</v>
      </c>
      <c r="AB657" s="14" t="n">
        <v>38.677</v>
      </c>
      <c r="AC657" s="14" t="n">
        <v>0</v>
      </c>
      <c r="AD657" s="14" t="n">
        <v>1</v>
      </c>
      <c r="AE657" s="14" t="n">
        <v>12.675</v>
      </c>
      <c r="AF657" s="14" t="n">
        <v>2.35</v>
      </c>
      <c r="AG657" s="14" t="n">
        <v>26.002</v>
      </c>
      <c r="AH657" s="14" t="n">
        <v>38.677</v>
      </c>
      <c r="AI657" s="14" t="n">
        <v>0</v>
      </c>
      <c r="AJ657" s="14" t="n">
        <v>1</v>
      </c>
      <c r="AK657" s="14" t="n">
        <v>15.823</v>
      </c>
      <c r="AL657" s="14" t="n">
        <v>7.556</v>
      </c>
      <c r="AM657" s="14" t="n">
        <v>11.613</v>
      </c>
      <c r="AN657" s="14" t="n">
        <v>27.436</v>
      </c>
      <c r="AO657" s="14" t="n">
        <v>0</v>
      </c>
      <c r="AP657" s="14" t="n">
        <v>1</v>
      </c>
      <c r="AQ657" s="14" t="n">
        <v>0.861</v>
      </c>
      <c r="AR657" s="14" t="n">
        <v>0.123</v>
      </c>
      <c r="AS657" s="14" t="n">
        <v>0.612</v>
      </c>
      <c r="AT657" s="14" t="n">
        <v>1.617</v>
      </c>
      <c r="AU657" s="14" t="n">
        <v>0.098</v>
      </c>
      <c r="AV657" s="14" t="n">
        <v>1</v>
      </c>
      <c r="AW657" s="14" t="n">
        <v>0.986</v>
      </c>
      <c r="AX657" s="14" t="n">
        <v>0.123</v>
      </c>
      <c r="AY657" s="14" t="n">
        <v>0.603</v>
      </c>
      <c r="AZ657" s="14" t="n">
        <v>1.759</v>
      </c>
      <c r="BA657" s="14" t="n">
        <v>0.107</v>
      </c>
      <c r="BB657" s="14" t="n">
        <v>1</v>
      </c>
      <c r="BC657" s="14" t="n">
        <v>0.598</v>
      </c>
      <c r="BD657" s="14" t="n">
        <v>0.123</v>
      </c>
      <c r="BE657" s="14" t="n">
        <v>0.159</v>
      </c>
      <c r="BF657" s="14" t="n">
        <v>0.86</v>
      </c>
      <c r="BG657" s="14" t="n">
        <v>0.137</v>
      </c>
      <c r="BH657" s="14" t="n">
        <v>1</v>
      </c>
      <c r="BI657" s="14" t="n">
        <v>0.612</v>
      </c>
      <c r="BJ657" s="14" t="n">
        <v>0.123</v>
      </c>
      <c r="BK657" s="14" t="n">
        <v>0.798</v>
      </c>
      <c r="BL657" s="14" t="n">
        <v>1.679</v>
      </c>
      <c r="BM657" s="14" t="n">
        <v>0.19</v>
      </c>
      <c r="BN657" s="14" t="n">
        <v>1</v>
      </c>
      <c r="BO657" s="14" t="n">
        <v>0</v>
      </c>
      <c r="BP657" s="14" t="n">
        <v>0.017</v>
      </c>
      <c r="BQ657" s="14" t="n">
        <v>0.238</v>
      </c>
      <c r="BR657" s="14" t="n">
        <v>0</v>
      </c>
      <c r="BS657" s="14" t="n">
        <v>1</v>
      </c>
      <c r="BT657" s="14" t="n">
        <v>0</v>
      </c>
      <c r="BU657" s="14" t="n">
        <v>0.021</v>
      </c>
      <c r="BV657" s="14" t="n">
        <v>0.304</v>
      </c>
      <c r="BW657" s="14" t="n">
        <v>0.19</v>
      </c>
      <c r="BX657" s="14" t="n">
        <v>1</v>
      </c>
      <c r="BY657" s="14" t="n">
        <v>5.005</v>
      </c>
      <c r="BZ657" s="14" t="n">
        <v>0</v>
      </c>
      <c r="CA657" s="14" t="n">
        <v>5.005</v>
      </c>
      <c r="CB657" s="14" t="n">
        <v>0</v>
      </c>
      <c r="CC657" s="14" t="n">
        <v>97.90000000000001</v>
      </c>
      <c r="CD657" s="14" t="n">
        <v>7.95</v>
      </c>
      <c r="CE657" s="14" t="n">
        <v>161.932</v>
      </c>
      <c r="CF657" s="14" t="n">
        <v>309.2</v>
      </c>
      <c r="CG657" s="14" t="n">
        <v>0.19</v>
      </c>
      <c r="CH657" s="14" t="n">
        <v>1</v>
      </c>
      <c r="CI657" s="14" t="n">
        <v>0</v>
      </c>
      <c r="CJ657" s="14" t="n">
        <v>0</v>
      </c>
      <c r="CK657" s="14" t="n">
        <v>0</v>
      </c>
      <c r="CL657" s="14" t="n">
        <v>0</v>
      </c>
      <c r="CM657" s="14" t="n">
        <v>0.025</v>
      </c>
      <c r="CN657" s="14" t="n">
        <v>0.314</v>
      </c>
      <c r="CO657" s="14" t="n">
        <v>0</v>
      </c>
      <c r="CP657" s="14" t="n">
        <v>0.787</v>
      </c>
      <c r="CQ657" s="14" t="n">
        <v>1.294</v>
      </c>
      <c r="CR657" s="14" t="n">
        <v>0</v>
      </c>
      <c r="CS657" s="14" t="n">
        <v>1.483</v>
      </c>
      <c r="CT657" s="14" t="n">
        <v>12.553</v>
      </c>
      <c r="CU657" s="14" t="n">
        <v>1.483</v>
      </c>
    </row>
    <row r="658">
      <c r="A658" s="14" t="inlineStr">
        <is>
          <t>ROU2023</t>
        </is>
      </c>
      <c r="B658" s="14" t="inlineStr">
        <is>
          <t>ROU</t>
        </is>
      </c>
      <c r="C658" s="14" t="inlineStr">
        <is>
          <t>ROU</t>
        </is>
      </c>
      <c r="D658" s="14" t="inlineStr">
        <is>
          <t>Romania</t>
        </is>
      </c>
      <c r="E658" s="14" t="n">
        <v>2023</v>
      </c>
      <c r="F658" s="14" t="n">
        <v>0.19</v>
      </c>
      <c r="G658" s="14" t="n">
        <v>3.52</v>
      </c>
      <c r="H658" s="14" t="n">
        <v>0.739</v>
      </c>
      <c r="I658" s="14" t="n">
        <v>9.664999999999999</v>
      </c>
      <c r="J658" s="14" t="n">
        <v>13.186</v>
      </c>
      <c r="K658" s="14" t="n">
        <v>0</v>
      </c>
      <c r="L658" s="14" t="n">
        <v>1</v>
      </c>
      <c r="M658" s="14" t="n">
        <v>3.968</v>
      </c>
      <c r="N658" s="14" t="n">
        <v>2.218</v>
      </c>
      <c r="O658" s="14" t="n">
        <v>9.726000000000001</v>
      </c>
      <c r="P658" s="14" t="n">
        <v>13.694</v>
      </c>
      <c r="Q658" s="14" t="n">
        <v>0</v>
      </c>
      <c r="R658" s="14" t="n">
        <v>1</v>
      </c>
      <c r="S658" s="14" t="n">
        <v>7.217</v>
      </c>
      <c r="T658" s="14" t="n">
        <v>4.436</v>
      </c>
      <c r="U658" s="14" t="n">
        <v>0.474</v>
      </c>
      <c r="V658" s="14" t="n">
        <v>8.964</v>
      </c>
      <c r="W658" s="14" t="n">
        <v>0.19</v>
      </c>
      <c r="X658" s="14" t="n">
        <v>1</v>
      </c>
      <c r="Y658" s="14" t="n">
        <v>12.508</v>
      </c>
      <c r="Z658" s="14" t="n">
        <v>1.401</v>
      </c>
      <c r="AA658" s="14" t="n">
        <v>10.124</v>
      </c>
      <c r="AB658" s="14" t="n">
        <v>22.631</v>
      </c>
      <c r="AC658" s="14" t="n">
        <v>0</v>
      </c>
      <c r="AD658" s="14" t="n">
        <v>1</v>
      </c>
      <c r="AE658" s="14" t="n">
        <v>12.607</v>
      </c>
      <c r="AF658" s="14" t="n">
        <v>2.511</v>
      </c>
      <c r="AG658" s="14" t="n">
        <v>10.025</v>
      </c>
      <c r="AH658" s="14" t="n">
        <v>22.631</v>
      </c>
      <c r="AI658" s="14" t="n">
        <v>0</v>
      </c>
      <c r="AJ658" s="14" t="n">
        <v>1</v>
      </c>
      <c r="AK658" s="14" t="n">
        <v>15.9</v>
      </c>
      <c r="AL658" s="14" t="n">
        <v>7.876</v>
      </c>
      <c r="AM658" s="14" t="n">
        <v>0.723</v>
      </c>
      <c r="AN658" s="14" t="n">
        <v>16.623</v>
      </c>
      <c r="AO658" s="14" t="n">
        <v>0</v>
      </c>
      <c r="AP658" s="14" t="n">
        <v>1</v>
      </c>
      <c r="AQ658" s="14" t="n">
        <v>0.76</v>
      </c>
      <c r="AR658" s="14" t="n">
        <v>0.129</v>
      </c>
      <c r="AS658" s="14" t="n">
        <v>0.59</v>
      </c>
      <c r="AT658" s="14" t="n">
        <v>1.483</v>
      </c>
      <c r="AU658" s="14" t="n">
        <v>0.098</v>
      </c>
      <c r="AV658" s="14" t="n">
        <v>1</v>
      </c>
      <c r="AW658" s="14" t="n">
        <v>0.8110000000000001</v>
      </c>
      <c r="AX658" s="14" t="n">
        <v>0.129</v>
      </c>
      <c r="AY658" s="14" t="n">
        <v>0.603</v>
      </c>
      <c r="AZ658" s="14" t="n">
        <v>1.565</v>
      </c>
      <c r="BA658" s="14" t="n">
        <v>0.107</v>
      </c>
      <c r="BB658" s="14" t="n">
        <v>1</v>
      </c>
      <c r="BC658" s="14" t="n">
        <v>0.535</v>
      </c>
      <c r="BD658" s="14" t="n">
        <v>0.129</v>
      </c>
      <c r="BE658" s="14" t="n">
        <v>0.17</v>
      </c>
      <c r="BF658" s="14" t="n">
        <v>0.802</v>
      </c>
      <c r="BG658" s="14" t="n">
        <v>0.137</v>
      </c>
      <c r="BH658" s="14" t="n">
        <v>1</v>
      </c>
      <c r="BI658" s="14" t="n">
        <v>0.579</v>
      </c>
      <c r="BJ658" s="14" t="n">
        <v>0.129</v>
      </c>
      <c r="BK658" s="14" t="n">
        <v>0.647</v>
      </c>
      <c r="BL658" s="14" t="n">
        <v>1.46</v>
      </c>
      <c r="BM658" s="14" t="n">
        <v>0.19</v>
      </c>
      <c r="BN658" s="14" t="n">
        <v>1</v>
      </c>
      <c r="BO658" s="14" t="n">
        <v>0</v>
      </c>
      <c r="BP658" s="14" t="n">
        <v>0.014</v>
      </c>
      <c r="BQ658" s="14" t="n">
        <v>0.173</v>
      </c>
      <c r="BR658" s="14" t="n">
        <v>0</v>
      </c>
      <c r="BS658" s="14" t="n">
        <v>1</v>
      </c>
      <c r="BT658" s="14" t="n">
        <v>0</v>
      </c>
      <c r="BU658" s="14" t="n">
        <v>0.017</v>
      </c>
      <c r="BV658" s="14" t="n">
        <v>0.206</v>
      </c>
      <c r="BW658" s="14" t="n">
        <v>0.19</v>
      </c>
      <c r="BX658" s="14" t="n">
        <v>1</v>
      </c>
      <c r="BY658" s="14" t="n">
        <v>5.211</v>
      </c>
      <c r="BZ658" s="14" t="n">
        <v>0</v>
      </c>
      <c r="CA658" s="14" t="n">
        <v>5.211</v>
      </c>
      <c r="CB658" s="14" t="n">
        <v>0</v>
      </c>
      <c r="CC658" s="14" t="n">
        <v>83.248</v>
      </c>
      <c r="CD658" s="14" t="n">
        <v>7.95</v>
      </c>
      <c r="CE658" s="14" t="n">
        <v>152.661</v>
      </c>
      <c r="CF658" s="14" t="n">
        <v>280.731</v>
      </c>
      <c r="CG658" s="14" t="n">
        <v>0.19</v>
      </c>
      <c r="CH658" s="14" t="n">
        <v>1</v>
      </c>
      <c r="CI658" s="14" t="n">
        <v>0</v>
      </c>
      <c r="CJ658" s="14" t="n">
        <v>0</v>
      </c>
      <c r="CK658" s="14" t="n">
        <v>0</v>
      </c>
      <c r="CL658" s="14" t="n">
        <v>0</v>
      </c>
      <c r="CM658" s="14" t="n">
        <v>0.026</v>
      </c>
      <c r="CN658" s="14" t="n">
        <v>0.328</v>
      </c>
      <c r="CO658" s="14" t="n">
        <v>0</v>
      </c>
      <c r="CP658" s="14" t="n">
        <v>0.85</v>
      </c>
      <c r="CQ658" s="14" t="n">
        <v>1.348</v>
      </c>
      <c r="CR658" s="14" t="n">
        <v>0</v>
      </c>
      <c r="CS658" s="14" t="n">
        <v>1.313</v>
      </c>
      <c r="CT658" s="14" t="n">
        <v>10.896</v>
      </c>
      <c r="CU658" s="14" t="n">
        <v>1.313</v>
      </c>
    </row>
    <row r="659">
      <c r="A659" s="14" t="inlineStr">
        <is>
          <t>ROU2024</t>
        </is>
      </c>
      <c r="B659" s="14" t="inlineStr">
        <is>
          <t>ROU</t>
        </is>
      </c>
      <c r="C659" s="14" t="inlineStr">
        <is>
          <t>ROU</t>
        </is>
      </c>
      <c r="D659" s="14" t="inlineStr">
        <is>
          <t>Romania</t>
        </is>
      </c>
      <c r="E659" s="14" t="n">
        <v>2024</v>
      </c>
      <c r="F659" s="14" t="n">
        <v>0.19</v>
      </c>
      <c r="G659" s="14" t="n">
        <v>3.141</v>
      </c>
      <c r="H659" s="14" t="n">
        <v>0.761</v>
      </c>
      <c r="I659" s="14" t="n">
        <v>6.237</v>
      </c>
      <c r="J659" s="14" t="n">
        <v>9.377000000000001</v>
      </c>
      <c r="K659" s="14" t="n">
        <v>0</v>
      </c>
      <c r="L659" s="14" t="n">
        <v>1</v>
      </c>
      <c r="M659" s="14" t="n">
        <v>3.936</v>
      </c>
      <c r="N659" s="14" t="n">
        <v>2.283</v>
      </c>
      <c r="O659" s="14" t="n">
        <v>6.357</v>
      </c>
      <c r="P659" s="14" t="n">
        <v>10.292</v>
      </c>
      <c r="Q659" s="14" t="n">
        <v>0</v>
      </c>
      <c r="R659" s="14" t="n">
        <v>1</v>
      </c>
      <c r="S659" s="14" t="n">
        <v>6.946</v>
      </c>
      <c r="T659" s="14" t="n">
        <v>4.567</v>
      </c>
      <c r="U659" s="14" t="n">
        <v>0.514</v>
      </c>
      <c r="V659" s="14" t="n">
        <v>8.653</v>
      </c>
      <c r="W659" s="14" t="n">
        <v>0.19</v>
      </c>
      <c r="X659" s="14" t="n">
        <v>1</v>
      </c>
      <c r="Y659" s="14" t="n">
        <v>14.578</v>
      </c>
      <c r="Z659" s="14" t="n">
        <v>1.841</v>
      </c>
      <c r="AA659" s="14" t="n">
        <v>3.912</v>
      </c>
      <c r="AB659" s="14" t="n">
        <v>18.49</v>
      </c>
      <c r="AC659" s="14" t="n">
        <v>0</v>
      </c>
      <c r="AD659" s="14" t="n">
        <v>1</v>
      </c>
      <c r="AE659" s="14" t="n">
        <v>14.578</v>
      </c>
      <c r="AF659" s="14" t="n">
        <v>3.193</v>
      </c>
      <c r="AG659" s="14" t="n">
        <v>3.912</v>
      </c>
      <c r="AH659" s="14" t="n">
        <v>18.49</v>
      </c>
      <c r="AI659" s="14" t="n">
        <v>0</v>
      </c>
      <c r="AJ659" s="14" t="n">
        <v>1</v>
      </c>
      <c r="AK659" s="14" t="n">
        <v>17.969</v>
      </c>
      <c r="AL659" s="14" t="n">
        <v>9.138999999999999</v>
      </c>
      <c r="AM659" s="14" t="n">
        <v>-1.107</v>
      </c>
      <c r="AN659" s="14" t="n">
        <v>16.862</v>
      </c>
      <c r="AO659" s="14" t="n">
        <v>0</v>
      </c>
      <c r="AP659" s="14" t="n">
        <v>1</v>
      </c>
      <c r="AQ659" s="14" t="n">
        <v>0.724</v>
      </c>
      <c r="AR659" s="14" t="n">
        <v>0.132</v>
      </c>
      <c r="AS659" s="14" t="n">
        <v>0.694</v>
      </c>
      <c r="AT659" s="14" t="n">
        <v>1.557</v>
      </c>
      <c r="AU659" s="14" t="n">
        <v>0.098</v>
      </c>
      <c r="AV659" s="14" t="n">
        <v>1</v>
      </c>
      <c r="AW659" s="14" t="n">
        <v>0.75</v>
      </c>
      <c r="AX659" s="14" t="n">
        <v>0.132</v>
      </c>
      <c r="AY659" s="14" t="n">
        <v>0.681</v>
      </c>
      <c r="AZ659" s="14" t="n">
        <v>1.583</v>
      </c>
      <c r="BA659" s="14" t="n">
        <v>0.107</v>
      </c>
      <c r="BB659" s="14" t="n">
        <v>1</v>
      </c>
      <c r="BC659" s="14" t="n">
        <v>0.513</v>
      </c>
      <c r="BD659" s="14" t="n">
        <v>0.132</v>
      </c>
      <c r="BE659" s="14" t="n">
        <v>0.148</v>
      </c>
      <c r="BF659" s="14" t="n">
        <v>0.752</v>
      </c>
      <c r="BG659" s="14" t="n">
        <v>0.137</v>
      </c>
      <c r="BH659" s="14" t="n">
        <v>1</v>
      </c>
      <c r="BI659" s="14" t="n">
        <v>0.591</v>
      </c>
      <c r="BJ659" s="14" t="n">
        <v>0.132</v>
      </c>
      <c r="BK659" s="14" t="n">
        <v>0.7</v>
      </c>
      <c r="BL659" s="14" t="n">
        <v>1.498</v>
      </c>
      <c r="BM659" s="14" t="n">
        <v>0.19</v>
      </c>
      <c r="BN659" s="14" t="n">
        <v>1</v>
      </c>
      <c r="BO659" s="14" t="n">
        <v>0</v>
      </c>
      <c r="BP659" s="14" t="n">
        <v>0.017</v>
      </c>
      <c r="BQ659" s="14" t="n">
        <v>0.167</v>
      </c>
      <c r="BR659" s="14" t="n">
        <v>0</v>
      </c>
      <c r="BS659" s="14" t="n">
        <v>1</v>
      </c>
      <c r="BT659" s="14" t="n">
        <v>0</v>
      </c>
      <c r="BU659" s="14" t="n">
        <v>0.02</v>
      </c>
      <c r="BV659" s="14" t="n">
        <v>0.203</v>
      </c>
      <c r="BW659" s="14" t="n">
        <v>0.19</v>
      </c>
      <c r="BX659" s="14" t="n">
        <v>1</v>
      </c>
      <c r="BY659" s="14" t="n">
        <v>5.365</v>
      </c>
      <c r="BZ659" s="14" t="n">
        <v>0</v>
      </c>
      <c r="CA659" s="14" t="n">
        <v>5.365</v>
      </c>
      <c r="CB659" s="14" t="n">
        <v>0</v>
      </c>
      <c r="CC659" s="14" t="n">
        <v>82.58799999999999</v>
      </c>
      <c r="CD659" s="14" t="n">
        <v>7.95</v>
      </c>
      <c r="CE659" s="14" t="n">
        <v>81.268</v>
      </c>
      <c r="CF659" s="14" t="n">
        <v>194.989</v>
      </c>
      <c r="CG659" s="14" t="n">
        <v>0.19</v>
      </c>
      <c r="CH659" s="14" t="n">
        <v>1</v>
      </c>
      <c r="CI659" s="14" t="n">
        <v>0</v>
      </c>
      <c r="CJ659" s="14" t="n">
        <v>0</v>
      </c>
      <c r="CK659" s="14" t="n">
        <v>0</v>
      </c>
      <c r="CL659" s="14" t="n">
        <v>0</v>
      </c>
      <c r="CM659" s="14" t="n">
        <v>0.027</v>
      </c>
      <c r="CN659" s="14" t="n">
        <v>0.313</v>
      </c>
      <c r="CO659" s="14" t="n">
        <v>0</v>
      </c>
      <c r="CP659" s="14" t="n">
        <v>0.85</v>
      </c>
      <c r="CQ659" s="14" t="n">
        <v>1.387</v>
      </c>
      <c r="CR659" s="14" t="n">
        <v>0</v>
      </c>
      <c r="CS659" s="14" t="n">
        <v>1.569</v>
      </c>
      <c r="CT659" s="14" t="n">
        <v>7.996</v>
      </c>
      <c r="CU659" s="14" t="n">
        <v>1.569</v>
      </c>
    </row>
    <row r="660">
      <c r="A660" s="14" t="inlineStr">
        <is>
          <t>RUS2021</t>
        </is>
      </c>
      <c r="B660" s="14" t="inlineStr">
        <is>
          <t>RUS</t>
        </is>
      </c>
      <c r="C660" s="14" t="inlineStr">
        <is>
          <t>RUS</t>
        </is>
      </c>
      <c r="D660" s="14" t="inlineStr">
        <is>
          <t>Russia</t>
        </is>
      </c>
      <c r="E660" s="14" t="n">
        <v>2021</v>
      </c>
      <c r="F660" s="14" t="n">
        <v>0.2</v>
      </c>
      <c r="G660" s="14" t="n">
        <v>1.501</v>
      </c>
      <c r="H660" s="14" t="n">
        <v>0.328</v>
      </c>
      <c r="I660" s="14" t="n">
        <v>0.008999999999999999</v>
      </c>
      <c r="J660" s="14" t="n">
        <v>1.51</v>
      </c>
      <c r="K660" s="14" t="n">
        <v>0</v>
      </c>
      <c r="L660" s="14" t="n">
        <v>1</v>
      </c>
      <c r="M660" s="14" t="n">
        <v>6.714</v>
      </c>
      <c r="N660" s="14" t="n">
        <v>3.043</v>
      </c>
      <c r="O660" s="14" t="n">
        <v>0.026</v>
      </c>
      <c r="P660" s="14" t="n">
        <v>6.74</v>
      </c>
      <c r="Q660" s="14" t="n">
        <v>0</v>
      </c>
      <c r="R660" s="14" t="n">
        <v>1</v>
      </c>
      <c r="S660" s="14" t="n">
        <v>2.561</v>
      </c>
      <c r="T660" s="14" t="n">
        <v>1.587</v>
      </c>
      <c r="U660" s="14" t="n">
        <v>0.014</v>
      </c>
      <c r="V660" s="14" t="n">
        <v>3.09</v>
      </c>
      <c r="W660" s="14" t="n">
        <v>0.2</v>
      </c>
      <c r="X660" s="14" t="n">
        <v>1</v>
      </c>
      <c r="Y660" s="14" t="n">
        <v>6.678</v>
      </c>
      <c r="Z660" s="14" t="n">
        <v>0</v>
      </c>
      <c r="AA660" s="14" t="n">
        <v>-4.088</v>
      </c>
      <c r="AB660" s="14" t="n">
        <v>2.59</v>
      </c>
      <c r="AC660" s="14" t="n">
        <v>0</v>
      </c>
      <c r="AD660" s="14" t="n">
        <v>1</v>
      </c>
      <c r="AE660" s="14" t="n">
        <v>6.678</v>
      </c>
      <c r="AF660" s="14" t="n">
        <v>0</v>
      </c>
      <c r="AG660" s="14" t="n">
        <v>-4.088</v>
      </c>
      <c r="AH660" s="14" t="n">
        <v>2.59</v>
      </c>
      <c r="AI660" s="14" t="n">
        <v>0</v>
      </c>
      <c r="AJ660" s="14" t="n">
        <v>1</v>
      </c>
      <c r="AK660" s="14" t="n">
        <v>10.16</v>
      </c>
      <c r="AL660" s="14" t="n">
        <v>4.418</v>
      </c>
      <c r="AM660" s="14" t="n">
        <v>-8.385</v>
      </c>
      <c r="AN660" s="14" t="n">
        <v>2.13</v>
      </c>
      <c r="AO660" s="14" t="n">
        <v>0</v>
      </c>
      <c r="AP660" s="14" t="n">
        <v>0</v>
      </c>
      <c r="AQ660" s="14" t="n">
        <v>0.614</v>
      </c>
      <c r="AR660" s="14" t="n">
        <v>0.112</v>
      </c>
      <c r="AS660" s="14" t="n">
        <v>-0.089</v>
      </c>
      <c r="AT660" s="14" t="n">
        <v>0.63</v>
      </c>
      <c r="AU660" s="14" t="n">
        <v>0.2</v>
      </c>
      <c r="AV660" s="14" t="n">
        <v>1</v>
      </c>
      <c r="AW660" s="14" t="n">
        <v>0.626</v>
      </c>
      <c r="AX660" s="14" t="n">
        <v>0.121</v>
      </c>
      <c r="AY660" s="14" t="n">
        <v>-0.008999999999999999</v>
      </c>
      <c r="AZ660" s="14" t="n">
        <v>0.74</v>
      </c>
      <c r="BA660" s="14" t="n">
        <v>0.2</v>
      </c>
      <c r="BB660" s="14" t="n">
        <v>1</v>
      </c>
      <c r="BC660" s="14" t="n">
        <v>0.439</v>
      </c>
      <c r="BD660" s="14" t="n">
        <v>0.114</v>
      </c>
      <c r="BE660" s="14" t="n">
        <v>-0.153</v>
      </c>
      <c r="BF660" s="14" t="n">
        <v>0.343</v>
      </c>
      <c r="BG660" s="14" t="n">
        <v>0</v>
      </c>
      <c r="BH660" s="14" t="n">
        <v>0</v>
      </c>
      <c r="BI660" s="14" t="n">
        <v>0.578</v>
      </c>
      <c r="BJ660" s="14" t="n">
        <v>0.128</v>
      </c>
      <c r="BK660" s="14" t="n">
        <v>-0.019</v>
      </c>
      <c r="BL660" s="14" t="n">
        <v>0.67</v>
      </c>
      <c r="BM660" s="14" t="n">
        <v>0.2</v>
      </c>
      <c r="BN660" s="14" t="n">
        <v>1</v>
      </c>
      <c r="BO660" s="14" t="n">
        <v>0</v>
      </c>
      <c r="BP660" s="14" t="n">
        <v>-0.035</v>
      </c>
      <c r="BQ660" s="14" t="n">
        <v>0.032</v>
      </c>
      <c r="BR660" s="14" t="n">
        <v>0</v>
      </c>
      <c r="BS660" s="14" t="n">
        <v>1</v>
      </c>
      <c r="BT660" s="14" t="n">
        <v>0</v>
      </c>
      <c r="BU660" s="14" t="n">
        <v>-0.035</v>
      </c>
      <c r="BV660" s="14" t="n">
        <v>0.048</v>
      </c>
      <c r="BW660" s="14" t="n">
        <v>0</v>
      </c>
      <c r="BX660" s="14" t="n">
        <v>1</v>
      </c>
      <c r="BY660" s="14" t="n">
        <v>1.431</v>
      </c>
      <c r="BZ660" s="14" t="n">
        <v>0</v>
      </c>
      <c r="CA660" s="14" t="n">
        <v>1.431</v>
      </c>
      <c r="CB660" s="14" t="n">
        <v>0</v>
      </c>
      <c r="CC660" s="14" t="n">
        <v>78.125</v>
      </c>
      <c r="CD660" s="14" t="n">
        <v>7.95</v>
      </c>
      <c r="CE660" s="14" t="n">
        <v>-22.475</v>
      </c>
      <c r="CF660" s="14" t="n">
        <v>66.78</v>
      </c>
      <c r="CG660" s="14" t="n">
        <v>0</v>
      </c>
      <c r="CH660" s="14" t="n">
        <v>1</v>
      </c>
      <c r="CI660" s="14" t="n">
        <v>0</v>
      </c>
      <c r="CJ660" s="14" t="n">
        <v>0</v>
      </c>
      <c r="CK660" s="14" t="n">
        <v>0</v>
      </c>
      <c r="CL660" s="14" t="n">
        <v>0.043</v>
      </c>
      <c r="CM660" s="14" t="n">
        <v>0</v>
      </c>
      <c r="CN660" s="14" t="n">
        <v>1.568</v>
      </c>
      <c r="CO660" s="14" t="n">
        <v>9.936999999999999</v>
      </c>
      <c r="CP660" s="14" t="n">
        <v>0</v>
      </c>
      <c r="CQ660" s="14" t="n">
        <v>1.137</v>
      </c>
      <c r="CR660" s="14" t="n">
        <v>0.985</v>
      </c>
      <c r="CS660" s="14" t="n">
        <v>6.678</v>
      </c>
      <c r="CT660" s="14" t="n">
        <v>3.312</v>
      </c>
      <c r="CU660" s="14" t="n">
        <v>7.249</v>
      </c>
    </row>
    <row r="661">
      <c r="A661" s="14" t="inlineStr">
        <is>
          <t>RUS2022</t>
        </is>
      </c>
      <c r="B661" s="14" t="inlineStr">
        <is>
          <t>RUS</t>
        </is>
      </c>
      <c r="C661" s="14" t="inlineStr">
        <is>
          <t>RUS</t>
        </is>
      </c>
      <c r="D661" s="14" t="inlineStr">
        <is>
          <t>Russia</t>
        </is>
      </c>
      <c r="E661" s="14" t="n">
        <v>2022</v>
      </c>
      <c r="F661" s="14" t="n">
        <v>0.2</v>
      </c>
      <c r="G661" s="14" t="n">
        <v>1.52</v>
      </c>
      <c r="H661" s="14" t="n">
        <v>0.236</v>
      </c>
      <c r="I661" s="14" t="n">
        <v>0.01</v>
      </c>
      <c r="J661" s="14" t="n">
        <v>1.53</v>
      </c>
      <c r="K661" s="14" t="n">
        <v>0</v>
      </c>
      <c r="L661" s="14" t="n">
        <v>1</v>
      </c>
      <c r="M661" s="14" t="n">
        <v>6.298</v>
      </c>
      <c r="N661" s="14" t="n">
        <v>2.601</v>
      </c>
      <c r="O661" s="14" t="n">
        <v>0.032</v>
      </c>
      <c r="P661" s="14" t="n">
        <v>6.33</v>
      </c>
      <c r="Q661" s="14" t="n">
        <v>0</v>
      </c>
      <c r="R661" s="14" t="n">
        <v>1</v>
      </c>
      <c r="S661" s="14" t="n">
        <v>3.075</v>
      </c>
      <c r="T661" s="14" t="n">
        <v>1.506</v>
      </c>
      <c r="U661" s="14" t="n">
        <v>0.017</v>
      </c>
      <c r="V661" s="14" t="n">
        <v>3.71</v>
      </c>
      <c r="W661" s="14" t="n">
        <v>0.2</v>
      </c>
      <c r="X661" s="14" t="n">
        <v>1</v>
      </c>
      <c r="Y661" s="14" t="n">
        <v>7.212</v>
      </c>
      <c r="Z661" s="14" t="n">
        <v>0</v>
      </c>
      <c r="AA661" s="14" t="n">
        <v>-4.202</v>
      </c>
      <c r="AB661" s="14" t="n">
        <v>3.01</v>
      </c>
      <c r="AC661" s="14" t="n">
        <v>0</v>
      </c>
      <c r="AD661" s="14" t="n">
        <v>1</v>
      </c>
      <c r="AE661" s="14" t="n">
        <v>7.212</v>
      </c>
      <c r="AF661" s="14" t="n">
        <v>0</v>
      </c>
      <c r="AG661" s="14" t="n">
        <v>-4.202</v>
      </c>
      <c r="AH661" s="14" t="n">
        <v>3.01</v>
      </c>
      <c r="AI661" s="14" t="n">
        <v>0</v>
      </c>
      <c r="AJ661" s="14" t="n">
        <v>1</v>
      </c>
      <c r="AK661" s="14" t="n">
        <v>10.972</v>
      </c>
      <c r="AL661" s="14" t="n">
        <v>4.771</v>
      </c>
      <c r="AM661" s="14" t="n">
        <v>-9.071999999999999</v>
      </c>
      <c r="AN661" s="14" t="n">
        <v>2.28</v>
      </c>
      <c r="AO661" s="14" t="n">
        <v>0</v>
      </c>
      <c r="AP661" s="14" t="n">
        <v>0</v>
      </c>
      <c r="AQ661" s="14" t="n">
        <v>0.528</v>
      </c>
      <c r="AR661" s="14" t="n">
        <v>0.076</v>
      </c>
      <c r="AS661" s="14" t="n">
        <v>0.031</v>
      </c>
      <c r="AT661" s="14" t="n">
        <v>0.67</v>
      </c>
      <c r="AU661" s="14" t="n">
        <v>0.2</v>
      </c>
      <c r="AV661" s="14" t="n">
        <v>1</v>
      </c>
      <c r="AW661" s="14" t="n">
        <v>0.826</v>
      </c>
      <c r="AX661" s="14" t="n">
        <v>0.107</v>
      </c>
      <c r="AY661" s="14" t="n">
        <v>-0.109</v>
      </c>
      <c r="AZ661" s="14" t="n">
        <v>0.86</v>
      </c>
      <c r="BA661" s="14" t="n">
        <v>0.2</v>
      </c>
      <c r="BB661" s="14" t="n">
        <v>1</v>
      </c>
      <c r="BC661" s="14" t="n">
        <v>0.598</v>
      </c>
      <c r="BD661" s="14" t="n">
        <v>0.123</v>
      </c>
      <c r="BE661" s="14" t="n">
        <v>-0.442</v>
      </c>
      <c r="BF661" s="14" t="n">
        <v>0.187</v>
      </c>
      <c r="BG661" s="14" t="n">
        <v>0</v>
      </c>
      <c r="BH661" s="14" t="n">
        <v>0</v>
      </c>
      <c r="BI661" s="14" t="n">
        <v>0.983</v>
      </c>
      <c r="BJ661" s="14" t="n">
        <v>0.192</v>
      </c>
      <c r="BK661" s="14" t="n">
        <v>-0.25</v>
      </c>
      <c r="BL661" s="14" t="n">
        <v>0.88</v>
      </c>
      <c r="BM661" s="14" t="n">
        <v>0.2</v>
      </c>
      <c r="BN661" s="14" t="n">
        <v>1</v>
      </c>
      <c r="BO661" s="14" t="n">
        <v>0</v>
      </c>
      <c r="BP661" s="14" t="n">
        <v>-0.035</v>
      </c>
      <c r="BQ661" s="14" t="n">
        <v>0.038</v>
      </c>
      <c r="BR661" s="14" t="n">
        <v>0</v>
      </c>
      <c r="BS661" s="14" t="n">
        <v>1</v>
      </c>
      <c r="BT661" s="14" t="n">
        <v>0</v>
      </c>
      <c r="BU661" s="14" t="n">
        <v>-0.035</v>
      </c>
      <c r="BV661" s="14" t="n">
        <v>0.057</v>
      </c>
      <c r="BW661" s="14" t="n">
        <v>0</v>
      </c>
      <c r="BX661" s="14" t="n">
        <v>1</v>
      </c>
      <c r="BY661" s="14" t="n">
        <v>1.545</v>
      </c>
      <c r="BZ661" s="14" t="n">
        <v>0</v>
      </c>
      <c r="CA661" s="14" t="n">
        <v>1.545</v>
      </c>
      <c r="CB661" s="14" t="n">
        <v>0</v>
      </c>
      <c r="CC661" s="14" t="n">
        <v>97.90000000000001</v>
      </c>
      <c r="CD661" s="14" t="n">
        <v>7.95</v>
      </c>
      <c r="CE661" s="14" t="n">
        <v>-68.75</v>
      </c>
      <c r="CF661" s="14" t="n">
        <v>34.98</v>
      </c>
      <c r="CG661" s="14" t="n">
        <v>0</v>
      </c>
      <c r="CH661" s="14" t="n">
        <v>1</v>
      </c>
      <c r="CI661" s="14" t="n">
        <v>0</v>
      </c>
      <c r="CJ661" s="14" t="n">
        <v>0</v>
      </c>
      <c r="CK661" s="14" t="n">
        <v>0</v>
      </c>
      <c r="CL661" s="14" t="n">
        <v>0.046</v>
      </c>
      <c r="CM661" s="14" t="n">
        <v>0</v>
      </c>
      <c r="CN661" s="14" t="n">
        <v>1.468</v>
      </c>
      <c r="CO661" s="14" t="n">
        <v>10.89</v>
      </c>
      <c r="CP661" s="14" t="n">
        <v>0</v>
      </c>
      <c r="CQ661" s="14" t="n">
        <v>1.227</v>
      </c>
      <c r="CR661" s="14" t="n">
        <v>0.985</v>
      </c>
      <c r="CS661" s="14" t="n">
        <v>7.212</v>
      </c>
      <c r="CT661" s="14" t="n">
        <v>4.358</v>
      </c>
      <c r="CU661" s="14" t="n">
        <v>10.577</v>
      </c>
    </row>
    <row r="662">
      <c r="A662" s="14" t="inlineStr">
        <is>
          <t>RUS2023</t>
        </is>
      </c>
      <c r="B662" s="14" t="inlineStr">
        <is>
          <t>RUS</t>
        </is>
      </c>
      <c r="C662" s="14" t="inlineStr">
        <is>
          <t>RUS</t>
        </is>
      </c>
      <c r="D662" s="14" t="inlineStr">
        <is>
          <t>Russia</t>
        </is>
      </c>
      <c r="E662" s="14" t="n">
        <v>2023</v>
      </c>
      <c r="F662" s="14" t="n">
        <v>0.2</v>
      </c>
      <c r="G662" s="14" t="n">
        <v>1.415</v>
      </c>
      <c r="H662" s="14" t="n">
        <v>0.322</v>
      </c>
      <c r="I662" s="14" t="n">
        <v>0.005</v>
      </c>
      <c r="J662" s="14" t="n">
        <v>1.42</v>
      </c>
      <c r="K662" s="14" t="n">
        <v>0</v>
      </c>
      <c r="L662" s="14" t="n">
        <v>1</v>
      </c>
      <c r="M662" s="14" t="n">
        <v>5.905</v>
      </c>
      <c r="N662" s="14" t="n">
        <v>2.929</v>
      </c>
      <c r="O662" s="14" t="n">
        <v>0.015</v>
      </c>
      <c r="P662" s="14" t="n">
        <v>5.92</v>
      </c>
      <c r="Q662" s="14" t="n">
        <v>0</v>
      </c>
      <c r="R662" s="14" t="n">
        <v>1</v>
      </c>
      <c r="S662" s="14" t="n">
        <v>2.442</v>
      </c>
      <c r="T662" s="14" t="n">
        <v>1.531</v>
      </c>
      <c r="U662" s="14" t="n">
        <v>0.008</v>
      </c>
      <c r="V662" s="14" t="n">
        <v>2.94</v>
      </c>
      <c r="W662" s="14" t="n">
        <v>0.2</v>
      </c>
      <c r="X662" s="14" t="n">
        <v>1</v>
      </c>
      <c r="Y662" s="14" t="n">
        <v>2.905</v>
      </c>
      <c r="Z662" s="14" t="n">
        <v>0</v>
      </c>
      <c r="AA662" s="14" t="n">
        <v>-0.485</v>
      </c>
      <c r="AB662" s="14" t="n">
        <v>2.42</v>
      </c>
      <c r="AC662" s="14" t="n">
        <v>0</v>
      </c>
      <c r="AD662" s="14" t="n">
        <v>1</v>
      </c>
      <c r="AE662" s="14" t="n">
        <v>2.905</v>
      </c>
      <c r="AF662" s="14" t="n">
        <v>0</v>
      </c>
      <c r="AG662" s="14" t="n">
        <v>-0.485</v>
      </c>
      <c r="AH662" s="14" t="n">
        <v>2.42</v>
      </c>
      <c r="AI662" s="14" t="n">
        <v>0</v>
      </c>
      <c r="AJ662" s="14" t="n">
        <v>1</v>
      </c>
      <c r="AK662" s="14" t="n">
        <v>6.805</v>
      </c>
      <c r="AL662" s="14" t="n">
        <v>2.959</v>
      </c>
      <c r="AM662" s="14" t="n">
        <v>-5.188</v>
      </c>
      <c r="AN662" s="14" t="n">
        <v>1.94</v>
      </c>
      <c r="AO662" s="14" t="n">
        <v>0</v>
      </c>
      <c r="AP662" s="14" t="n">
        <v>0</v>
      </c>
      <c r="AQ662" s="14" t="n">
        <v>0.626</v>
      </c>
      <c r="AR662" s="14" t="n">
        <v>0.106</v>
      </c>
      <c r="AS662" s="14" t="n">
        <v>-0.16</v>
      </c>
      <c r="AT662" s="14" t="n">
        <v>0.5600000000000001</v>
      </c>
      <c r="AU662" s="14" t="n">
        <v>0.2</v>
      </c>
      <c r="AV662" s="14" t="n">
        <v>1</v>
      </c>
      <c r="AW662" s="14" t="n">
        <v>0.746</v>
      </c>
      <c r="AX662" s="14" t="n">
        <v>0.128</v>
      </c>
      <c r="AY662" s="14" t="n">
        <v>-0.13</v>
      </c>
      <c r="AZ662" s="14" t="n">
        <v>0.74</v>
      </c>
      <c r="BA662" s="14" t="n">
        <v>0.2</v>
      </c>
      <c r="BB662" s="14" t="n">
        <v>1</v>
      </c>
      <c r="BC662" s="14" t="n">
        <v>0.454</v>
      </c>
      <c r="BD662" s="14" t="n">
        <v>0.129</v>
      </c>
      <c r="BE662" s="14" t="n">
        <v>-0.247</v>
      </c>
      <c r="BF662" s="14" t="n">
        <v>0.248</v>
      </c>
      <c r="BG662" s="14" t="n">
        <v>0</v>
      </c>
      <c r="BH662" s="14" t="n">
        <v>0</v>
      </c>
      <c r="BI662" s="14" t="n">
        <v>0.873</v>
      </c>
      <c r="BJ662" s="14" t="n">
        <v>0.19</v>
      </c>
      <c r="BK662" s="14" t="n">
        <v>-0.19</v>
      </c>
      <c r="BL662" s="14" t="n">
        <v>0.82</v>
      </c>
      <c r="BM662" s="14" t="n">
        <v>0.2</v>
      </c>
      <c r="BN662" s="14" t="n">
        <v>1</v>
      </c>
      <c r="BO662" s="14" t="n">
        <v>0</v>
      </c>
      <c r="BP662" s="14" t="n">
        <v>-0.035</v>
      </c>
      <c r="BQ662" s="14" t="n">
        <v>0.03</v>
      </c>
      <c r="BR662" s="14" t="n">
        <v>0</v>
      </c>
      <c r="BS662" s="14" t="n">
        <v>1</v>
      </c>
      <c r="BT662" s="14" t="n">
        <v>0</v>
      </c>
      <c r="BU662" s="14" t="n">
        <v>-0.035</v>
      </c>
      <c r="BV662" s="14" t="n">
        <v>0.045</v>
      </c>
      <c r="BW662" s="14" t="n">
        <v>0</v>
      </c>
      <c r="BX662" s="14" t="n">
        <v>1</v>
      </c>
      <c r="BY662" s="14" t="n">
        <v>1.609</v>
      </c>
      <c r="BZ662" s="14" t="n">
        <v>0</v>
      </c>
      <c r="CA662" s="14" t="n">
        <v>1.609</v>
      </c>
      <c r="CB662" s="14" t="n">
        <v>0</v>
      </c>
      <c r="CC662" s="14" t="n">
        <v>68.188</v>
      </c>
      <c r="CD662" s="14" t="n">
        <v>7.95</v>
      </c>
      <c r="CE662" s="14" t="n">
        <v>-24.463</v>
      </c>
      <c r="CF662" s="14" t="n">
        <v>52.47</v>
      </c>
      <c r="CG662" s="14" t="n">
        <v>0</v>
      </c>
      <c r="CH662" s="14" t="n">
        <v>1</v>
      </c>
      <c r="CI662" s="14" t="n">
        <v>0</v>
      </c>
      <c r="CJ662" s="14" t="n">
        <v>0</v>
      </c>
      <c r="CK662" s="14" t="n">
        <v>0</v>
      </c>
      <c r="CL662" s="14" t="n">
        <v>0.048</v>
      </c>
      <c r="CM662" s="14" t="n">
        <v>0</v>
      </c>
      <c r="CN662" s="14" t="n">
        <v>1.467</v>
      </c>
      <c r="CO662" s="14" t="n">
        <v>11.195</v>
      </c>
      <c r="CP662" s="14" t="n">
        <v>0</v>
      </c>
      <c r="CQ662" s="14" t="n">
        <v>1.278</v>
      </c>
      <c r="CR662" s="14" t="n">
        <v>0.989</v>
      </c>
      <c r="CS662" s="14" t="n">
        <v>2.905</v>
      </c>
      <c r="CT662" s="14" t="n">
        <v>2.138</v>
      </c>
      <c r="CU662" s="14" t="n">
        <v>2.905</v>
      </c>
    </row>
    <row r="663">
      <c r="A663" s="14" t="inlineStr">
        <is>
          <t>RUS2024</t>
        </is>
      </c>
      <c r="B663" s="14" t="inlineStr">
        <is>
          <t>RUS</t>
        </is>
      </c>
      <c r="C663" s="14" t="inlineStr">
        <is>
          <t>RUS</t>
        </is>
      </c>
      <c r="D663" s="14" t="inlineStr">
        <is>
          <t>Russia</t>
        </is>
      </c>
      <c r="E663" s="14" t="n">
        <v>2024</v>
      </c>
      <c r="F663" s="14" t="n">
        <v>0.2</v>
      </c>
      <c r="G663" s="14" t="n">
        <v>1.376</v>
      </c>
      <c r="H663" s="14" t="n">
        <v>0.349</v>
      </c>
      <c r="I663" s="14" t="n">
        <v>0.004</v>
      </c>
      <c r="J663" s="14" t="n">
        <v>1.38</v>
      </c>
      <c r="K663" s="14" t="n">
        <v>0</v>
      </c>
      <c r="L663" s="14" t="n">
        <v>1</v>
      </c>
      <c r="M663" s="14" t="n">
        <v>4.347</v>
      </c>
      <c r="N663" s="14" t="n">
        <v>2.368</v>
      </c>
      <c r="O663" s="14" t="n">
        <v>0.013</v>
      </c>
      <c r="P663" s="14" t="n">
        <v>4.36</v>
      </c>
      <c r="Q663" s="14" t="n">
        <v>0</v>
      </c>
      <c r="R663" s="14" t="n">
        <v>1</v>
      </c>
      <c r="S663" s="14" t="n">
        <v>2.593</v>
      </c>
      <c r="T663" s="14" t="n">
        <v>1.717</v>
      </c>
      <c r="U663" s="14" t="n">
        <v>0.007</v>
      </c>
      <c r="V663" s="14" t="n">
        <v>3.12</v>
      </c>
      <c r="W663" s="14" t="n">
        <v>0.2</v>
      </c>
      <c r="X663" s="14" t="n">
        <v>1</v>
      </c>
      <c r="Y663" s="14" t="n">
        <v>2.456</v>
      </c>
      <c r="Z663" s="14" t="n">
        <v>0</v>
      </c>
      <c r="AA663" s="14" t="n">
        <v>-0.106</v>
      </c>
      <c r="AB663" s="14" t="n">
        <v>2.35</v>
      </c>
      <c r="AC663" s="14" t="n">
        <v>0</v>
      </c>
      <c r="AD663" s="14" t="n">
        <v>1</v>
      </c>
      <c r="AE663" s="14" t="n">
        <v>2.456</v>
      </c>
      <c r="AF663" s="14" t="n">
        <v>0</v>
      </c>
      <c r="AG663" s="14" t="n">
        <v>-0.106</v>
      </c>
      <c r="AH663" s="14" t="n">
        <v>2.35</v>
      </c>
      <c r="AI663" s="14" t="n">
        <v>0</v>
      </c>
      <c r="AJ663" s="14" t="n">
        <v>1</v>
      </c>
      <c r="AK663" s="14" t="n">
        <v>6.471</v>
      </c>
      <c r="AL663" s="14" t="n">
        <v>2.814</v>
      </c>
      <c r="AM663" s="14" t="n">
        <v>-4.879</v>
      </c>
      <c r="AN663" s="14" t="n">
        <v>1.91</v>
      </c>
      <c r="AO663" s="14" t="n">
        <v>0</v>
      </c>
      <c r="AP663" s="14" t="n">
        <v>0</v>
      </c>
      <c r="AQ663" s="14" t="n">
        <v>0.55</v>
      </c>
      <c r="AR663" s="14" t="n">
        <v>0.1</v>
      </c>
      <c r="AS663" s="14" t="n">
        <v>-0.1</v>
      </c>
      <c r="AT663" s="14" t="n">
        <v>0.54</v>
      </c>
      <c r="AU663" s="14" t="n">
        <v>0.2</v>
      </c>
      <c r="AV663" s="14" t="n">
        <v>1</v>
      </c>
      <c r="AW663" s="14" t="n">
        <v>0.655</v>
      </c>
      <c r="AX663" s="14" t="n">
        <v>0.12</v>
      </c>
      <c r="AY663" s="14" t="n">
        <v>-0.08</v>
      </c>
      <c r="AZ663" s="14" t="n">
        <v>0.6899999999999999</v>
      </c>
      <c r="BA663" s="14" t="n">
        <v>0.2</v>
      </c>
      <c r="BB663" s="14" t="n">
        <v>1</v>
      </c>
      <c r="BC663" s="14" t="n">
        <v>0.437</v>
      </c>
      <c r="BD663" s="14" t="n">
        <v>0.132</v>
      </c>
      <c r="BE663" s="14" t="n">
        <v>-0.256</v>
      </c>
      <c r="BF663" s="14" t="n">
        <v>0.217</v>
      </c>
      <c r="BG663" s="14" t="n">
        <v>0</v>
      </c>
      <c r="BH663" s="14" t="n">
        <v>0</v>
      </c>
      <c r="BI663" s="14" t="n">
        <v>0.781</v>
      </c>
      <c r="BJ663" s="14" t="n">
        <v>0.172</v>
      </c>
      <c r="BK663" s="14" t="n">
        <v>-0.14</v>
      </c>
      <c r="BL663" s="14" t="n">
        <v>0.77</v>
      </c>
      <c r="BM663" s="14" t="n">
        <v>0.2</v>
      </c>
      <c r="BN663" s="14" t="n">
        <v>1</v>
      </c>
      <c r="BO663" s="14" t="n">
        <v>0</v>
      </c>
      <c r="BP663" s="14" t="n">
        <v>-0.036</v>
      </c>
      <c r="BQ663" s="14" t="n">
        <v>0.03</v>
      </c>
      <c r="BR663" s="14" t="n">
        <v>0</v>
      </c>
      <c r="BS663" s="14" t="n">
        <v>1</v>
      </c>
      <c r="BT663" s="14" t="n">
        <v>0</v>
      </c>
      <c r="BU663" s="14" t="n">
        <v>-0.036</v>
      </c>
      <c r="BV663" s="14" t="n">
        <v>0.043</v>
      </c>
      <c r="BW663" s="14" t="n">
        <v>0</v>
      </c>
      <c r="BX663" s="14" t="n">
        <v>1</v>
      </c>
      <c r="BY663" s="14" t="n">
        <v>1.657</v>
      </c>
      <c r="BZ663" s="14" t="n">
        <v>0</v>
      </c>
      <c r="CA663" s="14" t="n">
        <v>1.657</v>
      </c>
      <c r="CB663" s="14" t="n">
        <v>0</v>
      </c>
      <c r="CC663" s="14" t="n">
        <v>67.66</v>
      </c>
      <c r="CD663" s="14" t="n">
        <v>7.95</v>
      </c>
      <c r="CE663" s="14" t="n">
        <v>-14.66</v>
      </c>
      <c r="CF663" s="14" t="n">
        <v>63.6</v>
      </c>
      <c r="CG663" s="14" t="n">
        <v>0</v>
      </c>
      <c r="CH663" s="14" t="n">
        <v>1</v>
      </c>
      <c r="CI663" s="14" t="n">
        <v>0</v>
      </c>
      <c r="CJ663" s="14" t="n">
        <v>0</v>
      </c>
      <c r="CK663" s="14" t="n">
        <v>0</v>
      </c>
      <c r="CL663" s="14" t="n">
        <v>0.05</v>
      </c>
      <c r="CM663" s="14" t="n">
        <v>0</v>
      </c>
      <c r="CN663" s="14" t="n">
        <v>1.606</v>
      </c>
      <c r="CO663" s="14" t="n">
        <v>11.462</v>
      </c>
      <c r="CP663" s="14" t="n">
        <v>0</v>
      </c>
      <c r="CQ663" s="14" t="n">
        <v>1.316</v>
      </c>
      <c r="CR663" s="14" t="n">
        <v>0.989</v>
      </c>
      <c r="CS663" s="14" t="n">
        <v>2.456</v>
      </c>
      <c r="CT663" s="14" t="n">
        <v>1.895</v>
      </c>
      <c r="CU663" s="14" t="n">
        <v>2.456</v>
      </c>
    </row>
    <row r="664">
      <c r="A664" s="14" t="inlineStr">
        <is>
          <t>RWA2021</t>
        </is>
      </c>
      <c r="B664" s="14" t="inlineStr">
        <is>
          <t>RWA</t>
        </is>
      </c>
      <c r="C664" s="14" t="inlineStr">
        <is>
          <t>RWA</t>
        </is>
      </c>
      <c r="D664" s="14" t="inlineStr">
        <is>
          <t>Rwanda</t>
        </is>
      </c>
      <c r="E664" s="14" t="n">
        <v>2021</v>
      </c>
      <c r="F664" s="14" t="n">
        <v>0.18</v>
      </c>
      <c r="G664" s="14" t="n">
        <v>2.321</v>
      </c>
      <c r="H664" s="14" t="n">
        <v>0.508</v>
      </c>
      <c r="I664" s="14" t="n">
        <v>0</v>
      </c>
      <c r="J664" s="14" t="n">
        <v>2.321</v>
      </c>
      <c r="K664" s="14" t="n">
        <v>0</v>
      </c>
      <c r="L664" s="14" t="n">
        <v>1</v>
      </c>
      <c r="M664" s="14" t="n">
        <v>1.906</v>
      </c>
      <c r="N664" s="14" t="n">
        <v>0.864</v>
      </c>
      <c r="O664" s="14" t="n">
        <v>0</v>
      </c>
      <c r="P664" s="14" t="n">
        <v>1.906</v>
      </c>
      <c r="Q664" s="14" t="n">
        <v>0</v>
      </c>
      <c r="R664" s="14" t="n">
        <v>1</v>
      </c>
      <c r="S664" s="14" t="n">
        <v>1.733</v>
      </c>
      <c r="T664" s="14" t="n">
        <v>1.074</v>
      </c>
      <c r="U664" s="14" t="n">
        <v>0</v>
      </c>
      <c r="V664" s="14" t="n">
        <v>2.045</v>
      </c>
      <c r="W664" s="14" t="n">
        <v>0.18</v>
      </c>
      <c r="X664" s="14" t="n">
        <v>1</v>
      </c>
      <c r="Y664" s="14" t="n">
        <v>16.287</v>
      </c>
      <c r="Z664" s="14" t="n">
        <v>2.201</v>
      </c>
      <c r="AA664" s="14" t="n">
        <v>-8.888999999999999</v>
      </c>
      <c r="AB664" s="14" t="n">
        <v>7.397</v>
      </c>
      <c r="AC664" s="14" t="n">
        <v>0</v>
      </c>
      <c r="AD664" s="14" t="n">
        <v>0</v>
      </c>
      <c r="AE664" s="14" t="n">
        <v>17.43</v>
      </c>
      <c r="AF664" s="14" t="n">
        <v>4.076</v>
      </c>
      <c r="AG664" s="14" t="n">
        <v>-10.032</v>
      </c>
      <c r="AH664" s="14" t="n">
        <v>7.397</v>
      </c>
      <c r="AI664" s="14" t="n">
        <v>0</v>
      </c>
      <c r="AJ664" s="14" t="n">
        <v>0</v>
      </c>
      <c r="AK664" s="14" t="n">
        <v>24.29</v>
      </c>
      <c r="AL664" s="14" t="n">
        <v>12.937</v>
      </c>
      <c r="AM664" s="14" t="n">
        <v>-15.545</v>
      </c>
      <c r="AN664" s="14" t="n">
        <v>8.744999999999999</v>
      </c>
      <c r="AO664" s="14" t="n">
        <v>0</v>
      </c>
      <c r="AP664" s="14" t="n">
        <v>0</v>
      </c>
      <c r="AQ664" s="14" t="n">
        <v>0.619</v>
      </c>
      <c r="AR664" s="14" t="n">
        <v>0.114</v>
      </c>
      <c r="AS664" s="14" t="n">
        <v>0.266</v>
      </c>
      <c r="AT664" s="14" t="n">
        <v>1.044</v>
      </c>
      <c r="AU664" s="14" t="n">
        <v>0.18</v>
      </c>
      <c r="AV664" s="14" t="n">
        <v>1</v>
      </c>
      <c r="AW664" s="14" t="n">
        <v>0.599</v>
      </c>
      <c r="AX664" s="14" t="n">
        <v>0.114</v>
      </c>
      <c r="AY664" s="14" t="n">
        <v>0.298</v>
      </c>
      <c r="AZ664" s="14" t="n">
        <v>1.058</v>
      </c>
      <c r="BA664" s="14" t="n">
        <v>0.18</v>
      </c>
      <c r="BB664" s="14" t="n">
        <v>1</v>
      </c>
      <c r="BC664" s="14" t="n">
        <v>0.439</v>
      </c>
      <c r="BD664" s="14" t="n">
        <v>0.114</v>
      </c>
      <c r="BE664" s="14" t="n">
        <v>0.102</v>
      </c>
      <c r="BF664" s="14" t="n">
        <v>0.638</v>
      </c>
      <c r="BG664" s="14" t="n">
        <v>0.18</v>
      </c>
      <c r="BH664" s="14" t="n">
        <v>1</v>
      </c>
      <c r="BI664" s="14" t="n">
        <v>0.505</v>
      </c>
      <c r="BJ664" s="14" t="n">
        <v>0.114</v>
      </c>
      <c r="BK664" s="14" t="n">
        <v>0.06</v>
      </c>
      <c r="BL664" s="14" t="n">
        <v>0.666</v>
      </c>
      <c r="BM664" s="14" t="n">
        <v>0.18</v>
      </c>
      <c r="BN664" s="14" t="n">
        <v>1</v>
      </c>
      <c r="BO664" s="14" t="n">
        <v>0</v>
      </c>
      <c r="BP664" s="14" t="n">
        <v>0</v>
      </c>
      <c r="BQ664" s="14" t="n">
        <v>0.094</v>
      </c>
      <c r="BR664" s="14" t="n">
        <v>0</v>
      </c>
      <c r="BS664" s="14" t="n">
        <v>0.667</v>
      </c>
      <c r="BT664" s="14" t="n">
        <v>0</v>
      </c>
      <c r="BU664" s="14" t="n">
        <v>0</v>
      </c>
      <c r="BV664" s="14" t="n">
        <v>0.249</v>
      </c>
      <c r="BW664" s="14" t="n">
        <v>0.18</v>
      </c>
      <c r="BX664" s="14" t="n">
        <v>0.5</v>
      </c>
      <c r="BY664" s="14" t="n">
        <v>13.912</v>
      </c>
      <c r="BZ664" s="14" t="n">
        <v>0</v>
      </c>
      <c r="CA664" s="14" t="n">
        <v>13.912</v>
      </c>
      <c r="CB664" s="14" t="n">
        <v>0</v>
      </c>
      <c r="CC664" s="14" t="n">
        <v>78.125</v>
      </c>
      <c r="CD664" s="14" t="n">
        <v>7.95</v>
      </c>
      <c r="CE664" s="14" t="n">
        <v>18.221</v>
      </c>
      <c r="CF664" s="14" t="n">
        <v>113.689</v>
      </c>
      <c r="CG664" s="14" t="n">
        <v>0.18</v>
      </c>
      <c r="CH664" s="14" t="n">
        <v>1</v>
      </c>
      <c r="CI664" s="14" t="n">
        <v>0</v>
      </c>
      <c r="CJ664" s="14" t="n">
        <v>0</v>
      </c>
      <c r="CK664" s="14" t="n">
        <v>0</v>
      </c>
      <c r="CL664" s="14" t="n">
        <v>0</v>
      </c>
      <c r="CM664" s="14" t="n">
        <v>0</v>
      </c>
      <c r="CN664" s="14" t="n">
        <v>0</v>
      </c>
      <c r="CO664" s="14" t="n">
        <v>0</v>
      </c>
      <c r="CP664" s="14" t="n">
        <v>0</v>
      </c>
      <c r="CQ664" s="14" t="n">
        <v>1.198</v>
      </c>
      <c r="CR664" s="14" t="n">
        <v>0</v>
      </c>
      <c r="CS664" s="14" t="n">
        <v>4.776</v>
      </c>
      <c r="CT664" s="14" t="n">
        <v>4.753</v>
      </c>
      <c r="CU664" s="14" t="n">
        <v>15.162</v>
      </c>
    </row>
    <row r="665">
      <c r="A665" s="14" t="inlineStr">
        <is>
          <t>RWA2022</t>
        </is>
      </c>
      <c r="B665" s="14" t="inlineStr">
        <is>
          <t>RWA</t>
        </is>
      </c>
      <c r="C665" s="14" t="inlineStr">
        <is>
          <t>RWA</t>
        </is>
      </c>
      <c r="D665" s="14" t="inlineStr">
        <is>
          <t>Rwanda</t>
        </is>
      </c>
      <c r="E665" s="14" t="n">
        <v>2022</v>
      </c>
      <c r="F665" s="14" t="n">
        <v>0.18</v>
      </c>
      <c r="G665" s="14" t="n">
        <v>4.196</v>
      </c>
      <c r="H665" s="14" t="n">
        <v>0.652</v>
      </c>
      <c r="I665" s="14" t="n">
        <v>0</v>
      </c>
      <c r="J665" s="14" t="n">
        <v>4.196</v>
      </c>
      <c r="K665" s="14" t="n">
        <v>0</v>
      </c>
      <c r="L665" s="14" t="n">
        <v>1</v>
      </c>
      <c r="M665" s="14" t="n">
        <v>2.049</v>
      </c>
      <c r="N665" s="14" t="n">
        <v>0.846</v>
      </c>
      <c r="O665" s="14" t="n">
        <v>0</v>
      </c>
      <c r="P665" s="14" t="n">
        <v>2.049</v>
      </c>
      <c r="Q665" s="14" t="n">
        <v>0</v>
      </c>
      <c r="R665" s="14" t="n">
        <v>1</v>
      </c>
      <c r="S665" s="14" t="n">
        <v>2.168</v>
      </c>
      <c r="T665" s="14" t="n">
        <v>1.062</v>
      </c>
      <c r="U665" s="14" t="n">
        <v>0.029</v>
      </c>
      <c r="V665" s="14" t="n">
        <v>2.558</v>
      </c>
      <c r="W665" s="14" t="n">
        <v>0.18</v>
      </c>
      <c r="X665" s="14" t="n">
        <v>1</v>
      </c>
      <c r="Y665" s="14" t="n">
        <v>32.517</v>
      </c>
      <c r="Z665" s="14" t="n">
        <v>4.395</v>
      </c>
      <c r="AA665" s="14" t="n">
        <v>-19.662</v>
      </c>
      <c r="AB665" s="14" t="n">
        <v>12.855</v>
      </c>
      <c r="AC665" s="14" t="n">
        <v>0</v>
      </c>
      <c r="AD665" s="14" t="n">
        <v>0</v>
      </c>
      <c r="AE665" s="14" t="n">
        <v>33.751</v>
      </c>
      <c r="AF665" s="14" t="n">
        <v>7.892</v>
      </c>
      <c r="AG665" s="14" t="n">
        <v>-20.896</v>
      </c>
      <c r="AH665" s="14" t="n">
        <v>12.855</v>
      </c>
      <c r="AI665" s="14" t="n">
        <v>0</v>
      </c>
      <c r="AJ665" s="14" t="n">
        <v>0</v>
      </c>
      <c r="AK665" s="14" t="n">
        <v>41.16</v>
      </c>
      <c r="AL665" s="14" t="n">
        <v>21.921</v>
      </c>
      <c r="AM665" s="14" t="n">
        <v>-25.953</v>
      </c>
      <c r="AN665" s="14" t="n">
        <v>15.207</v>
      </c>
      <c r="AO665" s="14" t="n">
        <v>0</v>
      </c>
      <c r="AP665" s="14" t="n">
        <v>0</v>
      </c>
      <c r="AQ665" s="14" t="n">
        <v>0.861</v>
      </c>
      <c r="AR665" s="14" t="n">
        <v>0.123</v>
      </c>
      <c r="AS665" s="14" t="n">
        <v>0.252</v>
      </c>
      <c r="AT665" s="14" t="n">
        <v>1.313</v>
      </c>
      <c r="AU665" s="14" t="n">
        <v>0.18</v>
      </c>
      <c r="AV665" s="14" t="n">
        <v>1</v>
      </c>
      <c r="AW665" s="14" t="n">
        <v>0.986</v>
      </c>
      <c r="AX665" s="14" t="n">
        <v>0.123</v>
      </c>
      <c r="AY665" s="14" t="n">
        <v>0.156</v>
      </c>
      <c r="AZ665" s="14" t="n">
        <v>1.347</v>
      </c>
      <c r="BA665" s="14" t="n">
        <v>0.18</v>
      </c>
      <c r="BB665" s="14" t="n">
        <v>1</v>
      </c>
      <c r="BC665" s="14" t="n">
        <v>0.598</v>
      </c>
      <c r="BD665" s="14" t="n">
        <v>0.123</v>
      </c>
      <c r="BE665" s="14" t="n">
        <v>0.1</v>
      </c>
      <c r="BF665" s="14" t="n">
        <v>0.8129999999999999</v>
      </c>
      <c r="BG665" s="14" t="n">
        <v>0.18</v>
      </c>
      <c r="BH665" s="14" t="n">
        <v>1</v>
      </c>
      <c r="BI665" s="14" t="n">
        <v>0.612</v>
      </c>
      <c r="BJ665" s="14" t="n">
        <v>0.123</v>
      </c>
      <c r="BK665" s="14" t="n">
        <v>0.063</v>
      </c>
      <c r="BL665" s="14" t="n">
        <v>0.787</v>
      </c>
      <c r="BM665" s="14" t="n">
        <v>0.18</v>
      </c>
      <c r="BN665" s="14" t="n">
        <v>1</v>
      </c>
      <c r="BO665" s="14" t="n">
        <v>0</v>
      </c>
      <c r="BP665" s="14" t="n">
        <v>0</v>
      </c>
      <c r="BQ665" s="14" t="n">
        <v>0.103</v>
      </c>
      <c r="BR665" s="14" t="n">
        <v>0</v>
      </c>
      <c r="BS665" s="14" t="n">
        <v>0.667</v>
      </c>
      <c r="BT665" s="14" t="n">
        <v>0</v>
      </c>
      <c r="BU665" s="14" t="n">
        <v>0</v>
      </c>
      <c r="BV665" s="14" t="n">
        <v>0.241</v>
      </c>
      <c r="BW665" s="14" t="n">
        <v>0.18</v>
      </c>
      <c r="BX665" s="14" t="n">
        <v>0.5</v>
      </c>
      <c r="BY665" s="14" t="n">
        <v>15.024</v>
      </c>
      <c r="BZ665" s="14" t="n">
        <v>0</v>
      </c>
      <c r="CA665" s="14" t="n">
        <v>15.024</v>
      </c>
      <c r="CB665" s="14" t="n">
        <v>0</v>
      </c>
      <c r="CC665" s="14" t="n">
        <v>97.90000000000001</v>
      </c>
      <c r="CD665" s="14" t="n">
        <v>7.95</v>
      </c>
      <c r="CE665" s="14" t="n">
        <v>40.098</v>
      </c>
      <c r="CF665" s="14" t="n">
        <v>160.697</v>
      </c>
      <c r="CG665" s="14" t="n">
        <v>0.18</v>
      </c>
      <c r="CH665" s="14" t="n">
        <v>1</v>
      </c>
      <c r="CI665" s="14" t="n">
        <v>0</v>
      </c>
      <c r="CJ665" s="14" t="n">
        <v>0</v>
      </c>
      <c r="CK665" s="14" t="n">
        <v>0</v>
      </c>
      <c r="CL665" s="14" t="n">
        <v>0</v>
      </c>
      <c r="CM665" s="14" t="n">
        <v>0</v>
      </c>
      <c r="CN665" s="14" t="n">
        <v>0</v>
      </c>
      <c r="CO665" s="14" t="n">
        <v>0</v>
      </c>
      <c r="CP665" s="14" t="n">
        <v>0</v>
      </c>
      <c r="CQ665" s="14" t="n">
        <v>1.294</v>
      </c>
      <c r="CR665" s="14" t="n">
        <v>0</v>
      </c>
      <c r="CS665" s="14" t="n">
        <v>5.158</v>
      </c>
      <c r="CT665" s="14" t="n">
        <v>10.485</v>
      </c>
      <c r="CU665" s="14" t="n">
        <v>31.326</v>
      </c>
    </row>
    <row r="666">
      <c r="A666" s="14" t="inlineStr">
        <is>
          <t>RWA2023</t>
        </is>
      </c>
      <c r="B666" s="14" t="inlineStr">
        <is>
          <t>RWA</t>
        </is>
      </c>
      <c r="C666" s="14" t="inlineStr">
        <is>
          <t>RWA</t>
        </is>
      </c>
      <c r="D666" s="14" t="inlineStr">
        <is>
          <t>Rwanda</t>
        </is>
      </c>
      <c r="E666" s="14" t="n">
        <v>2023</v>
      </c>
      <c r="F666" s="14" t="n">
        <v>0.18</v>
      </c>
      <c r="G666" s="14" t="n">
        <v>4.84</v>
      </c>
      <c r="H666" s="14" t="n">
        <v>1.102</v>
      </c>
      <c r="I666" s="14" t="n">
        <v>0</v>
      </c>
      <c r="J666" s="14" t="n">
        <v>4.84</v>
      </c>
      <c r="K666" s="14" t="n">
        <v>0</v>
      </c>
      <c r="L666" s="14" t="n">
        <v>1</v>
      </c>
      <c r="M666" s="14" t="n">
        <v>2.898</v>
      </c>
      <c r="N666" s="14" t="n">
        <v>1.437</v>
      </c>
      <c r="O666" s="14" t="n">
        <v>0</v>
      </c>
      <c r="P666" s="14" t="n">
        <v>2.898</v>
      </c>
      <c r="Q666" s="14" t="n">
        <v>0</v>
      </c>
      <c r="R666" s="14" t="n">
        <v>1</v>
      </c>
      <c r="S666" s="14" t="n">
        <v>2.804</v>
      </c>
      <c r="T666" s="14" t="n">
        <v>1.759</v>
      </c>
      <c r="U666" s="14" t="n">
        <v>0.056</v>
      </c>
      <c r="V666" s="14" t="n">
        <v>3.309</v>
      </c>
      <c r="W666" s="14" t="n">
        <v>0.18</v>
      </c>
      <c r="X666" s="14" t="n">
        <v>1</v>
      </c>
      <c r="Y666" s="14" t="n">
        <v>12.895</v>
      </c>
      <c r="Z666" s="14" t="n">
        <v>1.743</v>
      </c>
      <c r="AA666" s="14" t="n">
        <v>-6.343</v>
      </c>
      <c r="AB666" s="14" t="n">
        <v>6.552</v>
      </c>
      <c r="AC666" s="14" t="n">
        <v>0</v>
      </c>
      <c r="AD666" s="14" t="n">
        <v>0</v>
      </c>
      <c r="AE666" s="14" t="n">
        <v>14.181</v>
      </c>
      <c r="AF666" s="14" t="n">
        <v>3.316</v>
      </c>
      <c r="AG666" s="14" t="n">
        <v>-7.629</v>
      </c>
      <c r="AH666" s="14" t="n">
        <v>6.552</v>
      </c>
      <c r="AI666" s="14" t="n">
        <v>0</v>
      </c>
      <c r="AJ666" s="14" t="n">
        <v>0</v>
      </c>
      <c r="AK666" s="14" t="n">
        <v>21.895</v>
      </c>
      <c r="AL666" s="14" t="n">
        <v>11.661</v>
      </c>
      <c r="AM666" s="14" t="n">
        <v>-14.154</v>
      </c>
      <c r="AN666" s="14" t="n">
        <v>7.741</v>
      </c>
      <c r="AO666" s="14" t="n">
        <v>0</v>
      </c>
      <c r="AP666" s="14" t="n">
        <v>0</v>
      </c>
      <c r="AQ666" s="14" t="n">
        <v>0.76</v>
      </c>
      <c r="AR666" s="14" t="n">
        <v>0.129</v>
      </c>
      <c r="AS666" s="14" t="n">
        <v>0.376</v>
      </c>
      <c r="AT666" s="14" t="n">
        <v>1.341</v>
      </c>
      <c r="AU666" s="14" t="n">
        <v>0.18</v>
      </c>
      <c r="AV666" s="14" t="n">
        <v>1</v>
      </c>
      <c r="AW666" s="14" t="n">
        <v>0.8110000000000001</v>
      </c>
      <c r="AX666" s="14" t="n">
        <v>0.129</v>
      </c>
      <c r="AY666" s="14" t="n">
        <v>0.333</v>
      </c>
      <c r="AZ666" s="14" t="n">
        <v>1.35</v>
      </c>
      <c r="BA666" s="14" t="n">
        <v>0.18</v>
      </c>
      <c r="BB666" s="14" t="n">
        <v>1</v>
      </c>
      <c r="BC666" s="14" t="n">
        <v>0.535</v>
      </c>
      <c r="BD666" s="14" t="n">
        <v>0.129</v>
      </c>
      <c r="BE666" s="14" t="n">
        <v>0.121</v>
      </c>
      <c r="BF666" s="14" t="n">
        <v>0.759</v>
      </c>
      <c r="BG666" s="14" t="n">
        <v>0.18</v>
      </c>
      <c r="BH666" s="14" t="n">
        <v>1</v>
      </c>
      <c r="BI666" s="14" t="n">
        <v>0.579</v>
      </c>
      <c r="BJ666" s="14" t="n">
        <v>0.129</v>
      </c>
      <c r="BK666" s="14" t="n">
        <v>0.078</v>
      </c>
      <c r="BL666" s="14" t="n">
        <v>0.761</v>
      </c>
      <c r="BM666" s="14" t="n">
        <v>0.18</v>
      </c>
      <c r="BN666" s="14" t="n">
        <v>1</v>
      </c>
      <c r="BO666" s="14" t="n">
        <v>0</v>
      </c>
      <c r="BP666" s="14" t="n">
        <v>0</v>
      </c>
      <c r="BQ666" s="14" t="n">
        <v>0.095</v>
      </c>
      <c r="BR666" s="14" t="n">
        <v>0</v>
      </c>
      <c r="BS666" s="14" t="n">
        <v>0.667</v>
      </c>
      <c r="BT666" s="14" t="n">
        <v>0</v>
      </c>
      <c r="BU666" s="14" t="n">
        <v>0</v>
      </c>
      <c r="BV666" s="14" t="n">
        <v>0.215</v>
      </c>
      <c r="BW666" s="14" t="n">
        <v>0.18</v>
      </c>
      <c r="BX666" s="14" t="n">
        <v>0.5</v>
      </c>
      <c r="BY666" s="14" t="n">
        <v>15.644</v>
      </c>
      <c r="BZ666" s="14" t="n">
        <v>0</v>
      </c>
      <c r="CA666" s="14" t="n">
        <v>15.644</v>
      </c>
      <c r="CB666" s="14" t="n">
        <v>0</v>
      </c>
      <c r="CC666" s="14" t="n">
        <v>83.248</v>
      </c>
      <c r="CD666" s="14" t="n">
        <v>7.95</v>
      </c>
      <c r="CE666" s="14" t="n">
        <v>41.036</v>
      </c>
      <c r="CF666" s="14" t="n">
        <v>143.79</v>
      </c>
      <c r="CG666" s="14" t="n">
        <v>0.18</v>
      </c>
      <c r="CH666" s="14" t="n">
        <v>1</v>
      </c>
      <c r="CI666" s="14" t="n">
        <v>0</v>
      </c>
      <c r="CJ666" s="14" t="n">
        <v>0</v>
      </c>
      <c r="CK666" s="14" t="n">
        <v>0</v>
      </c>
      <c r="CL666" s="14" t="n">
        <v>0</v>
      </c>
      <c r="CM666" s="14" t="n">
        <v>0</v>
      </c>
      <c r="CN666" s="14" t="n">
        <v>0</v>
      </c>
      <c r="CO666" s="14" t="n">
        <v>0</v>
      </c>
      <c r="CP666" s="14" t="n">
        <v>0</v>
      </c>
      <c r="CQ666" s="14" t="n">
        <v>1.348</v>
      </c>
      <c r="CR666" s="14" t="n">
        <v>0</v>
      </c>
      <c r="CS666" s="14" t="n">
        <v>5.37</v>
      </c>
      <c r="CT666" s="14" t="n">
        <v>4.861</v>
      </c>
      <c r="CU666" s="14" t="n">
        <v>11.622</v>
      </c>
    </row>
    <row r="667">
      <c r="A667" s="14" t="inlineStr">
        <is>
          <t>RWA2024</t>
        </is>
      </c>
      <c r="B667" s="14" t="inlineStr">
        <is>
          <t>RWA</t>
        </is>
      </c>
      <c r="C667" s="14" t="inlineStr">
        <is>
          <t>RWA</t>
        </is>
      </c>
      <c r="D667" s="14" t="inlineStr">
        <is>
          <t>Rwanda</t>
        </is>
      </c>
      <c r="E667" s="14" t="n">
        <v>2024</v>
      </c>
      <c r="F667" s="14" t="n">
        <v>0.18</v>
      </c>
      <c r="G667" s="14" t="n">
        <v>4.268</v>
      </c>
      <c r="H667" s="14" t="n">
        <v>1.081</v>
      </c>
      <c r="I667" s="14" t="n">
        <v>0</v>
      </c>
      <c r="J667" s="14" t="n">
        <v>4.268</v>
      </c>
      <c r="K667" s="14" t="n">
        <v>0</v>
      </c>
      <c r="L667" s="14" t="n">
        <v>1</v>
      </c>
      <c r="M667" s="14" t="n">
        <v>2.618</v>
      </c>
      <c r="N667" s="14" t="n">
        <v>1.426</v>
      </c>
      <c r="O667" s="14" t="n">
        <v>0</v>
      </c>
      <c r="P667" s="14" t="n">
        <v>2.618</v>
      </c>
      <c r="Q667" s="14" t="n">
        <v>0</v>
      </c>
      <c r="R667" s="14" t="n">
        <v>1</v>
      </c>
      <c r="S667" s="14" t="n">
        <v>2.719</v>
      </c>
      <c r="T667" s="14" t="n">
        <v>1.8</v>
      </c>
      <c r="U667" s="14" t="n">
        <v>0.067</v>
      </c>
      <c r="V667" s="14" t="n">
        <v>3.208</v>
      </c>
      <c r="W667" s="14" t="n">
        <v>0.18</v>
      </c>
      <c r="X667" s="14" t="n">
        <v>1</v>
      </c>
      <c r="Y667" s="14" t="n">
        <v>11.482</v>
      </c>
      <c r="Z667" s="14" t="n">
        <v>1.552</v>
      </c>
      <c r="AA667" s="14" t="n">
        <v>-5.321</v>
      </c>
      <c r="AB667" s="14" t="n">
        <v>6.161</v>
      </c>
      <c r="AC667" s="14" t="n">
        <v>0</v>
      </c>
      <c r="AD667" s="14" t="n">
        <v>0</v>
      </c>
      <c r="AE667" s="14" t="n">
        <v>12.805</v>
      </c>
      <c r="AF667" s="14" t="n">
        <v>2.994</v>
      </c>
      <c r="AG667" s="14" t="n">
        <v>-6.645</v>
      </c>
      <c r="AH667" s="14" t="n">
        <v>6.161</v>
      </c>
      <c r="AI667" s="14" t="n">
        <v>0</v>
      </c>
      <c r="AJ667" s="14" t="n">
        <v>0</v>
      </c>
      <c r="AK667" s="14" t="n">
        <v>20.747</v>
      </c>
      <c r="AL667" s="14" t="n">
        <v>11.05</v>
      </c>
      <c r="AM667" s="14" t="n">
        <v>-13.47</v>
      </c>
      <c r="AN667" s="14" t="n">
        <v>7.277</v>
      </c>
      <c r="AO667" s="14" t="n">
        <v>0</v>
      </c>
      <c r="AP667" s="14" t="n">
        <v>0</v>
      </c>
      <c r="AQ667" s="14" t="n">
        <v>0.724</v>
      </c>
      <c r="AR667" s="14" t="n">
        <v>0.132</v>
      </c>
      <c r="AS667" s="14" t="n">
        <v>0.292</v>
      </c>
      <c r="AT667" s="14" t="n">
        <v>1.199</v>
      </c>
      <c r="AU667" s="14" t="n">
        <v>0.18</v>
      </c>
      <c r="AV667" s="14" t="n">
        <v>1</v>
      </c>
      <c r="AW667" s="14" t="n">
        <v>0.75</v>
      </c>
      <c r="AX667" s="14" t="n">
        <v>0.132</v>
      </c>
      <c r="AY667" s="14" t="n">
        <v>0.307</v>
      </c>
      <c r="AZ667" s="14" t="n">
        <v>1.248</v>
      </c>
      <c r="BA667" s="14" t="n">
        <v>0.18</v>
      </c>
      <c r="BB667" s="14" t="n">
        <v>1</v>
      </c>
      <c r="BC667" s="14" t="n">
        <v>0.513</v>
      </c>
      <c r="BD667" s="14" t="n">
        <v>0.132</v>
      </c>
      <c r="BE667" s="14" t="n">
        <v>0.133</v>
      </c>
      <c r="BF667" s="14" t="n">
        <v>0.744</v>
      </c>
      <c r="BG667" s="14" t="n">
        <v>0.18</v>
      </c>
      <c r="BH667" s="14" t="n">
        <v>1</v>
      </c>
      <c r="BI667" s="14" t="n">
        <v>0.591</v>
      </c>
      <c r="BJ667" s="14" t="n">
        <v>0.132</v>
      </c>
      <c r="BK667" s="14" t="n">
        <v>0.08400000000000001</v>
      </c>
      <c r="BL667" s="14" t="n">
        <v>0.778</v>
      </c>
      <c r="BM667" s="14" t="n">
        <v>0.18</v>
      </c>
      <c r="BN667" s="14" t="n">
        <v>1</v>
      </c>
      <c r="BO667" s="14" t="n">
        <v>0</v>
      </c>
      <c r="BP667" s="14" t="n">
        <v>0</v>
      </c>
      <c r="BQ667" s="14" t="n">
        <v>0.054</v>
      </c>
      <c r="BR667" s="14" t="n">
        <v>0</v>
      </c>
      <c r="BS667" s="14" t="n">
        <v>0.667</v>
      </c>
      <c r="BT667" s="14" t="n">
        <v>0</v>
      </c>
      <c r="BU667" s="14" t="n">
        <v>0</v>
      </c>
      <c r="BV667" s="14" t="n">
        <v>0.165</v>
      </c>
      <c r="BW667" s="14" t="n">
        <v>0.18</v>
      </c>
      <c r="BX667" s="14" t="n">
        <v>0.5</v>
      </c>
      <c r="BY667" s="14" t="n">
        <v>16.106</v>
      </c>
      <c r="BZ667" s="14" t="n">
        <v>0</v>
      </c>
      <c r="CA667" s="14" t="n">
        <v>16.106</v>
      </c>
      <c r="CB667" s="14" t="n">
        <v>0</v>
      </c>
      <c r="CC667" s="14" t="n">
        <v>82.58799999999999</v>
      </c>
      <c r="CD667" s="14" t="n">
        <v>7.95</v>
      </c>
      <c r="CE667" s="14" t="n">
        <v>42.545</v>
      </c>
      <c r="CF667" s="14" t="n">
        <v>144.123</v>
      </c>
      <c r="CG667" s="14" t="n">
        <v>0.18</v>
      </c>
      <c r="CH667" s="14" t="n">
        <v>1</v>
      </c>
      <c r="CI667" s="14" t="n">
        <v>0</v>
      </c>
      <c r="CJ667" s="14" t="n">
        <v>0</v>
      </c>
      <c r="CK667" s="14" t="n">
        <v>0</v>
      </c>
      <c r="CL667" s="14" t="n">
        <v>0</v>
      </c>
      <c r="CM667" s="14" t="n">
        <v>0</v>
      </c>
      <c r="CN667" s="14" t="n">
        <v>0</v>
      </c>
      <c r="CO667" s="14" t="n">
        <v>0</v>
      </c>
      <c r="CP667" s="14" t="n">
        <v>0</v>
      </c>
      <c r="CQ667" s="14" t="n">
        <v>1.387</v>
      </c>
      <c r="CR667" s="14" t="n">
        <v>0</v>
      </c>
      <c r="CS667" s="14" t="n">
        <v>5.529</v>
      </c>
      <c r="CT667" s="14" t="n">
        <v>4.251</v>
      </c>
      <c r="CU667" s="14" t="n">
        <v>10.168</v>
      </c>
    </row>
    <row r="668">
      <c r="A668" s="14" t="inlineStr">
        <is>
          <t>WSM2021</t>
        </is>
      </c>
      <c r="B668" s="14" t="inlineStr">
        <is>
          <t>WSM</t>
        </is>
      </c>
      <c r="C668" s="14" t="inlineStr">
        <is>
          <t>WSM</t>
        </is>
      </c>
      <c r="D668" s="14" t="inlineStr">
        <is>
          <t>Samoa</t>
        </is>
      </c>
      <c r="E668" s="14" t="n">
        <v>2021</v>
      </c>
      <c r="F668" s="14" t="n">
        <v>0.15</v>
      </c>
      <c r="G668" s="14" t="n">
        <v>4.747</v>
      </c>
      <c r="H668" s="14" t="n">
        <v>1.143</v>
      </c>
      <c r="I668" s="14" t="n">
        <v>0</v>
      </c>
      <c r="J668" s="14" t="n">
        <v>4.747</v>
      </c>
      <c r="K668" s="14" t="n">
        <v>0</v>
      </c>
      <c r="L668" s="14" t="n">
        <v>1</v>
      </c>
      <c r="M668" s="14" t="n">
        <v>7.964</v>
      </c>
      <c r="N668" s="14" t="n">
        <v>3.43</v>
      </c>
      <c r="O668" s="14" t="n">
        <v>0</v>
      </c>
      <c r="P668" s="14" t="n">
        <v>7.964</v>
      </c>
      <c r="Q668" s="14" t="n">
        <v>0</v>
      </c>
      <c r="R668" s="14" t="n">
        <v>1</v>
      </c>
      <c r="S668" s="14" t="n">
        <v>10.464</v>
      </c>
      <c r="T668" s="14" t="n">
        <v>6.86</v>
      </c>
      <c r="U668" s="14" t="n">
        <v>0</v>
      </c>
      <c r="V668" s="14" t="n">
        <v>12.034</v>
      </c>
      <c r="W668" s="14" t="n">
        <v>0.15</v>
      </c>
      <c r="X668" s="14" t="n">
        <v>1</v>
      </c>
      <c r="Y668" s="14" t="n">
        <v>9.503</v>
      </c>
      <c r="Z668" s="14" t="n">
        <v>1.173</v>
      </c>
      <c r="AA668" s="14" t="n">
        <v>0</v>
      </c>
      <c r="AB668" s="14" t="n">
        <v>9.503</v>
      </c>
      <c r="AC668" s="14" t="n">
        <v>0</v>
      </c>
      <c r="AD668" s="14" t="n">
        <v>1</v>
      </c>
      <c r="AE668" s="14" t="n">
        <v>10.647</v>
      </c>
      <c r="AF668" s="14" t="n">
        <v>2.321</v>
      </c>
      <c r="AG668" s="14" t="n">
        <v>0</v>
      </c>
      <c r="AH668" s="14" t="n">
        <v>10.647</v>
      </c>
      <c r="AI668" s="14" t="n">
        <v>0</v>
      </c>
      <c r="AJ668" s="14" t="n">
        <v>1</v>
      </c>
      <c r="AK668" s="14" t="n">
        <v>17.507</v>
      </c>
      <c r="AL668" s="14" t="n">
        <v>9.084</v>
      </c>
      <c r="AM668" s="14" t="n">
        <v>0</v>
      </c>
      <c r="AN668" s="14" t="n">
        <v>20.132</v>
      </c>
      <c r="AO668" s="14" t="n">
        <v>0.15</v>
      </c>
      <c r="AP668" s="14" t="n">
        <v>1</v>
      </c>
      <c r="AQ668" s="14" t="n">
        <v>0.621</v>
      </c>
      <c r="AR668" s="14" t="n">
        <v>0.114</v>
      </c>
      <c r="AS668" s="14" t="n">
        <v>0</v>
      </c>
      <c r="AT668" s="14" t="n">
        <v>0.714</v>
      </c>
      <c r="AU668" s="14" t="n">
        <v>0.15</v>
      </c>
      <c r="AV668" s="14" t="n">
        <v>1</v>
      </c>
      <c r="AW668" s="14" t="n">
        <v>0.593</v>
      </c>
      <c r="AX668" s="14" t="n">
        <v>0.114</v>
      </c>
      <c r="AY668" s="14" t="n">
        <v>0</v>
      </c>
      <c r="AZ668" s="14" t="n">
        <v>0.6820000000000001</v>
      </c>
      <c r="BA668" s="14" t="n">
        <v>0.15</v>
      </c>
      <c r="BB668" s="14" t="n">
        <v>1</v>
      </c>
      <c r="BC668" s="14" t="n">
        <v>0.44</v>
      </c>
      <c r="BD668" s="14" t="n">
        <v>0.114</v>
      </c>
      <c r="BE668" s="14" t="n">
        <v>0</v>
      </c>
      <c r="BF668" s="14" t="n">
        <v>0.506</v>
      </c>
      <c r="BG668" s="14" t="n">
        <v>0.15</v>
      </c>
      <c r="BH668" s="14" t="n">
        <v>1</v>
      </c>
      <c r="BI668" s="14" t="n">
        <v>0.5600000000000001</v>
      </c>
      <c r="BJ668" s="14" t="n">
        <v>0.114</v>
      </c>
      <c r="BK668" s="14" t="n">
        <v>0</v>
      </c>
      <c r="BL668" s="14" t="n">
        <v>0.644</v>
      </c>
      <c r="BM668" s="14" t="n">
        <v>0.15</v>
      </c>
      <c r="BN668" s="14" t="n">
        <v>1</v>
      </c>
      <c r="BO668" s="14" t="n">
        <v>0</v>
      </c>
      <c r="BP668" s="14" t="n">
        <v>0</v>
      </c>
      <c r="BQ668" s="14" t="n">
        <v>0</v>
      </c>
      <c r="BR668" s="14" t="n">
        <v>0</v>
      </c>
      <c r="BS668" s="14" t="n">
        <v>1</v>
      </c>
      <c r="BT668" s="14" t="n">
        <v>0</v>
      </c>
      <c r="BU668" s="14" t="n">
        <v>0</v>
      </c>
      <c r="BV668" s="14" t="n">
        <v>0</v>
      </c>
      <c r="BW668" s="14" t="n">
        <v>0.15</v>
      </c>
      <c r="BX668" s="14" t="n">
        <v>1</v>
      </c>
      <c r="BY668" s="14" t="n">
        <v>11.787</v>
      </c>
      <c r="BZ668" s="14" t="n">
        <v>0</v>
      </c>
      <c r="CA668" s="14" t="n">
        <v>11.787</v>
      </c>
      <c r="CB668" s="14" t="n">
        <v>0</v>
      </c>
      <c r="CC668" s="14" t="n">
        <v>81.69499999999999</v>
      </c>
      <c r="CD668" s="14" t="n">
        <v>7.95</v>
      </c>
      <c r="CE668" s="14" t="n">
        <v>0</v>
      </c>
      <c r="CF668" s="14" t="n">
        <v>93.95</v>
      </c>
      <c r="CG668" s="14" t="n">
        <v>0.15</v>
      </c>
      <c r="CH668" s="14" t="n">
        <v>1</v>
      </c>
      <c r="CI668" s="14" t="n">
        <v>0</v>
      </c>
      <c r="CJ668" s="14" t="n">
        <v>0</v>
      </c>
      <c r="CK668" s="14" t="n">
        <v>0</v>
      </c>
      <c r="CL668" s="14" t="n">
        <v>0</v>
      </c>
      <c r="CM668" s="14" t="n">
        <v>0</v>
      </c>
      <c r="CN668" s="14" t="n">
        <v>0</v>
      </c>
      <c r="CO668" s="14" t="n">
        <v>0</v>
      </c>
      <c r="CP668" s="14" t="n">
        <v>0</v>
      </c>
      <c r="CQ668" s="14" t="n">
        <v>1.198</v>
      </c>
      <c r="CR668" s="14" t="n">
        <v>0</v>
      </c>
      <c r="CS668" s="14" t="n">
        <v>4.776</v>
      </c>
      <c r="CT668" s="14" t="n">
        <v>3.604</v>
      </c>
      <c r="CU668" s="14" t="n">
        <v>9.407999999999999</v>
      </c>
    </row>
    <row r="669">
      <c r="A669" s="14" t="inlineStr">
        <is>
          <t>WSM2022</t>
        </is>
      </c>
      <c r="B669" s="14" t="inlineStr">
        <is>
          <t>WSM</t>
        </is>
      </c>
      <c r="C669" s="14" t="inlineStr">
        <is>
          <t>WSM</t>
        </is>
      </c>
      <c r="D669" s="14" t="inlineStr">
        <is>
          <t>Samoa</t>
        </is>
      </c>
      <c r="E669" s="14" t="n">
        <v>2022</v>
      </c>
      <c r="F669" s="14" t="n">
        <v>0.15</v>
      </c>
      <c r="G669" s="14" t="n">
        <v>8.788</v>
      </c>
      <c r="H669" s="14" t="n">
        <v>1.235</v>
      </c>
      <c r="I669" s="14" t="n">
        <v>0</v>
      </c>
      <c r="J669" s="14" t="n">
        <v>8.788</v>
      </c>
      <c r="K669" s="14" t="n">
        <v>0</v>
      </c>
      <c r="L669" s="14" t="n">
        <v>1</v>
      </c>
      <c r="M669" s="14" t="n">
        <v>9.782999999999999</v>
      </c>
      <c r="N669" s="14" t="n">
        <v>3.704</v>
      </c>
      <c r="O669" s="14" t="n">
        <v>0</v>
      </c>
      <c r="P669" s="14" t="n">
        <v>9.782999999999999</v>
      </c>
      <c r="Q669" s="14" t="n">
        <v>0</v>
      </c>
      <c r="R669" s="14" t="n">
        <v>1</v>
      </c>
      <c r="S669" s="14" t="n">
        <v>14.962</v>
      </c>
      <c r="T669" s="14" t="n">
        <v>7.408</v>
      </c>
      <c r="U669" s="14" t="n">
        <v>0.166</v>
      </c>
      <c r="V669" s="14" t="n">
        <v>17.206</v>
      </c>
      <c r="W669" s="14" t="n">
        <v>0.15</v>
      </c>
      <c r="X669" s="14" t="n">
        <v>1</v>
      </c>
      <c r="Y669" s="14" t="n">
        <v>15.491</v>
      </c>
      <c r="Z669" s="14" t="n">
        <v>1.911</v>
      </c>
      <c r="AA669" s="14" t="n">
        <v>0</v>
      </c>
      <c r="AB669" s="14" t="n">
        <v>15.491</v>
      </c>
      <c r="AC669" s="14" t="n">
        <v>0</v>
      </c>
      <c r="AD669" s="14" t="n">
        <v>1</v>
      </c>
      <c r="AE669" s="14" t="n">
        <v>16.726</v>
      </c>
      <c r="AF669" s="14" t="n">
        <v>3.646</v>
      </c>
      <c r="AG669" s="14" t="n">
        <v>0</v>
      </c>
      <c r="AH669" s="14" t="n">
        <v>16.726</v>
      </c>
      <c r="AI669" s="14" t="n">
        <v>0</v>
      </c>
      <c r="AJ669" s="14" t="n">
        <v>1</v>
      </c>
      <c r="AK669" s="14" t="n">
        <v>24.134</v>
      </c>
      <c r="AL669" s="14" t="n">
        <v>12.523</v>
      </c>
      <c r="AM669" s="14" t="n">
        <v>0.268</v>
      </c>
      <c r="AN669" s="14" t="n">
        <v>27.754</v>
      </c>
      <c r="AO669" s="14" t="n">
        <v>0.15</v>
      </c>
      <c r="AP669" s="14" t="n">
        <v>1</v>
      </c>
      <c r="AQ669" s="14" t="n">
        <v>0.847</v>
      </c>
      <c r="AR669" s="14" t="n">
        <v>0.123</v>
      </c>
      <c r="AS669" s="14" t="n">
        <v>0.008999999999999999</v>
      </c>
      <c r="AT669" s="14" t="n">
        <v>0.974</v>
      </c>
      <c r="AU669" s="14" t="n">
        <v>0.15</v>
      </c>
      <c r="AV669" s="14" t="n">
        <v>1</v>
      </c>
      <c r="AW669" s="14" t="n">
        <v>0.947</v>
      </c>
      <c r="AX669" s="14" t="n">
        <v>0.123</v>
      </c>
      <c r="AY669" s="14" t="n">
        <v>0.011</v>
      </c>
      <c r="AZ669" s="14" t="n">
        <v>1.089</v>
      </c>
      <c r="BA669" s="14" t="n">
        <v>0.15</v>
      </c>
      <c r="BB669" s="14" t="n">
        <v>1</v>
      </c>
      <c r="BC669" s="14" t="n">
        <v>0.589</v>
      </c>
      <c r="BD669" s="14" t="n">
        <v>0.123</v>
      </c>
      <c r="BE669" s="14" t="n">
        <v>0.007</v>
      </c>
      <c r="BF669" s="14" t="n">
        <v>0.677</v>
      </c>
      <c r="BG669" s="14" t="n">
        <v>0.15</v>
      </c>
      <c r="BH669" s="14" t="n">
        <v>1</v>
      </c>
      <c r="BI669" s="14" t="n">
        <v>0.6889999999999999</v>
      </c>
      <c r="BJ669" s="14" t="n">
        <v>0.123</v>
      </c>
      <c r="BK669" s="14" t="n">
        <v>0.008</v>
      </c>
      <c r="BL669" s="14" t="n">
        <v>0.792</v>
      </c>
      <c r="BM669" s="14" t="n">
        <v>0.15</v>
      </c>
      <c r="BN669" s="14" t="n">
        <v>1</v>
      </c>
      <c r="BO669" s="14" t="n">
        <v>0</v>
      </c>
      <c r="BP669" s="14" t="n">
        <v>0</v>
      </c>
      <c r="BQ669" s="14" t="n">
        <v>0</v>
      </c>
      <c r="BR669" s="14" t="n">
        <v>0</v>
      </c>
      <c r="BS669" s="14" t="n">
        <v>1</v>
      </c>
      <c r="BT669" s="14" t="n">
        <v>0</v>
      </c>
      <c r="BU669" s="14" t="n">
        <v>0</v>
      </c>
      <c r="BV669" s="14" t="n">
        <v>0</v>
      </c>
      <c r="BW669" s="14" t="n">
        <v>0.15</v>
      </c>
      <c r="BX669" s="14" t="n">
        <v>1</v>
      </c>
      <c r="BY669" s="14" t="n">
        <v>12.729</v>
      </c>
      <c r="BZ669" s="14" t="n">
        <v>0</v>
      </c>
      <c r="CA669" s="14" t="n">
        <v>12.729</v>
      </c>
      <c r="CB669" s="14" t="n">
        <v>0</v>
      </c>
      <c r="CC669" s="14" t="n">
        <v>102.477</v>
      </c>
      <c r="CD669" s="14" t="n">
        <v>7.95</v>
      </c>
      <c r="CE669" s="14" t="n">
        <v>1.138</v>
      </c>
      <c r="CF669" s="14" t="n">
        <v>117.848</v>
      </c>
      <c r="CG669" s="14" t="n">
        <v>0.15</v>
      </c>
      <c r="CH669" s="14" t="n">
        <v>1</v>
      </c>
      <c r="CI669" s="14" t="n">
        <v>0</v>
      </c>
      <c r="CJ669" s="14" t="n">
        <v>0</v>
      </c>
      <c r="CK669" s="14" t="n">
        <v>0</v>
      </c>
      <c r="CL669" s="14" t="n">
        <v>0</v>
      </c>
      <c r="CM669" s="14" t="n">
        <v>0</v>
      </c>
      <c r="CN669" s="14" t="n">
        <v>0</v>
      </c>
      <c r="CO669" s="14" t="n">
        <v>0</v>
      </c>
      <c r="CP669" s="14" t="n">
        <v>0</v>
      </c>
      <c r="CQ669" s="14" t="n">
        <v>1.294</v>
      </c>
      <c r="CR669" s="14" t="n">
        <v>0</v>
      </c>
      <c r="CS669" s="14" t="n">
        <v>5.158</v>
      </c>
      <c r="CT669" s="14" t="n">
        <v>7.554</v>
      </c>
      <c r="CU669" s="14" t="n">
        <v>16.097</v>
      </c>
    </row>
    <row r="670">
      <c r="A670" s="14" t="inlineStr">
        <is>
          <t>WSM2023</t>
        </is>
      </c>
      <c r="B670" s="14" t="inlineStr">
        <is>
          <t>WSM</t>
        </is>
      </c>
      <c r="C670" s="14" t="inlineStr">
        <is>
          <t>WSM</t>
        </is>
      </c>
      <c r="D670" s="14" t="inlineStr">
        <is>
          <t>Samoa</t>
        </is>
      </c>
      <c r="E670" s="14" t="n">
        <v>2023</v>
      </c>
      <c r="F670" s="14" t="n">
        <v>0.15</v>
      </c>
      <c r="G670" s="14" t="n">
        <v>5.77</v>
      </c>
      <c r="H670" s="14" t="n">
        <v>1.286</v>
      </c>
      <c r="I670" s="14" t="n">
        <v>0</v>
      </c>
      <c r="J670" s="14" t="n">
        <v>5.77</v>
      </c>
      <c r="K670" s="14" t="n">
        <v>0</v>
      </c>
      <c r="L670" s="14" t="n">
        <v>1</v>
      </c>
      <c r="M670" s="14" t="n">
        <v>7.886</v>
      </c>
      <c r="N670" s="14" t="n">
        <v>3.857</v>
      </c>
      <c r="O670" s="14" t="n">
        <v>0</v>
      </c>
      <c r="P670" s="14" t="n">
        <v>7.886</v>
      </c>
      <c r="Q670" s="14" t="n">
        <v>0</v>
      </c>
      <c r="R670" s="14" t="n">
        <v>1</v>
      </c>
      <c r="S670" s="14" t="n">
        <v>12.198</v>
      </c>
      <c r="T670" s="14" t="n">
        <v>7.714</v>
      </c>
      <c r="U670" s="14" t="n">
        <v>0.203</v>
      </c>
      <c r="V670" s="14" t="n">
        <v>14.028</v>
      </c>
      <c r="W670" s="14" t="n">
        <v>0.15</v>
      </c>
      <c r="X670" s="14" t="n">
        <v>1</v>
      </c>
      <c r="Y670" s="14" t="n">
        <v>12.479</v>
      </c>
      <c r="Z670" s="14" t="n">
        <v>1.54</v>
      </c>
      <c r="AA670" s="14" t="n">
        <v>0</v>
      </c>
      <c r="AB670" s="14" t="n">
        <v>12.479</v>
      </c>
      <c r="AC670" s="14" t="n">
        <v>0</v>
      </c>
      <c r="AD670" s="14" t="n">
        <v>1</v>
      </c>
      <c r="AE670" s="14" t="n">
        <v>13.764</v>
      </c>
      <c r="AF670" s="14" t="n">
        <v>3.001</v>
      </c>
      <c r="AG670" s="14" t="n">
        <v>0</v>
      </c>
      <c r="AH670" s="14" t="n">
        <v>13.764</v>
      </c>
      <c r="AI670" s="14" t="n">
        <v>0</v>
      </c>
      <c r="AJ670" s="14" t="n">
        <v>1</v>
      </c>
      <c r="AK670" s="14" t="n">
        <v>21.478</v>
      </c>
      <c r="AL670" s="14" t="n">
        <v>11.145</v>
      </c>
      <c r="AM670" s="14" t="n">
        <v>0.357</v>
      </c>
      <c r="AN670" s="14" t="n">
        <v>24.7</v>
      </c>
      <c r="AO670" s="14" t="n">
        <v>0.15</v>
      </c>
      <c r="AP670" s="14" t="n">
        <v>1</v>
      </c>
      <c r="AQ670" s="14" t="n">
        <v>0.749</v>
      </c>
      <c r="AR670" s="14" t="n">
        <v>0.129</v>
      </c>
      <c r="AS670" s="14" t="n">
        <v>0.012</v>
      </c>
      <c r="AT670" s="14" t="n">
        <v>0.861</v>
      </c>
      <c r="AU670" s="14" t="n">
        <v>0.15</v>
      </c>
      <c r="AV670" s="14" t="n">
        <v>1</v>
      </c>
      <c r="AW670" s="14" t="n">
        <v>0.783</v>
      </c>
      <c r="AX670" s="14" t="n">
        <v>0.129</v>
      </c>
      <c r="AY670" s="14" t="n">
        <v>0.013</v>
      </c>
      <c r="AZ670" s="14" t="n">
        <v>0.9</v>
      </c>
      <c r="BA670" s="14" t="n">
        <v>0.15</v>
      </c>
      <c r="BB670" s="14" t="n">
        <v>1</v>
      </c>
      <c r="BC670" s="14" t="n">
        <v>0.527</v>
      </c>
      <c r="BD670" s="14" t="n">
        <v>0.129</v>
      </c>
      <c r="BE670" s="14" t="n">
        <v>0.008999999999999999</v>
      </c>
      <c r="BF670" s="14" t="n">
        <v>0.607</v>
      </c>
      <c r="BG670" s="14" t="n">
        <v>0.15</v>
      </c>
      <c r="BH670" s="14" t="n">
        <v>1</v>
      </c>
      <c r="BI670" s="14" t="n">
        <v>0.64</v>
      </c>
      <c r="BJ670" s="14" t="n">
        <v>0.129</v>
      </c>
      <c r="BK670" s="14" t="n">
        <v>0.011</v>
      </c>
      <c r="BL670" s="14" t="n">
        <v>0.736</v>
      </c>
      <c r="BM670" s="14" t="n">
        <v>0.15</v>
      </c>
      <c r="BN670" s="14" t="n">
        <v>1</v>
      </c>
      <c r="BO670" s="14" t="n">
        <v>0</v>
      </c>
      <c r="BP670" s="14" t="n">
        <v>0</v>
      </c>
      <c r="BQ670" s="14" t="n">
        <v>0</v>
      </c>
      <c r="BR670" s="14" t="n">
        <v>0</v>
      </c>
      <c r="BS670" s="14" t="n">
        <v>1</v>
      </c>
      <c r="BT670" s="14" t="n">
        <v>0</v>
      </c>
      <c r="BU670" s="14" t="n">
        <v>0</v>
      </c>
      <c r="BV670" s="14" t="n">
        <v>0</v>
      </c>
      <c r="BW670" s="14" t="n">
        <v>0.15</v>
      </c>
      <c r="BX670" s="14" t="n">
        <v>1</v>
      </c>
      <c r="BY670" s="14" t="n">
        <v>13.254</v>
      </c>
      <c r="BZ670" s="14" t="n">
        <v>0</v>
      </c>
      <c r="CA670" s="14" t="n">
        <v>13.254</v>
      </c>
      <c r="CB670" s="14" t="n">
        <v>0</v>
      </c>
      <c r="CC670" s="14" t="n">
        <v>87.07899999999999</v>
      </c>
      <c r="CD670" s="14" t="n">
        <v>7.95</v>
      </c>
      <c r="CE670" s="14" t="n">
        <v>1.446</v>
      </c>
      <c r="CF670" s="14" t="n">
        <v>100.141</v>
      </c>
      <c r="CG670" s="14" t="n">
        <v>0.15</v>
      </c>
      <c r="CH670" s="14" t="n">
        <v>1</v>
      </c>
      <c r="CI670" s="14" t="n">
        <v>0</v>
      </c>
      <c r="CJ670" s="14" t="n">
        <v>0</v>
      </c>
      <c r="CK670" s="14" t="n">
        <v>0</v>
      </c>
      <c r="CL670" s="14" t="n">
        <v>0</v>
      </c>
      <c r="CM670" s="14" t="n">
        <v>0</v>
      </c>
      <c r="CN670" s="14" t="n">
        <v>0</v>
      </c>
      <c r="CO670" s="14" t="n">
        <v>0</v>
      </c>
      <c r="CP670" s="14" t="n">
        <v>0</v>
      </c>
      <c r="CQ670" s="14" t="n">
        <v>1.348</v>
      </c>
      <c r="CR670" s="14" t="n">
        <v>0</v>
      </c>
      <c r="CS670" s="14" t="n">
        <v>5.37</v>
      </c>
      <c r="CT670" s="14" t="n">
        <v>4.484</v>
      </c>
      <c r="CU670" s="14" t="n">
        <v>12.529</v>
      </c>
    </row>
    <row r="671">
      <c r="A671" s="14" t="inlineStr">
        <is>
          <t>WSM2024</t>
        </is>
      </c>
      <c r="B671" s="14" t="inlineStr">
        <is>
          <t>WSM</t>
        </is>
      </c>
      <c r="C671" s="14" t="inlineStr">
        <is>
          <t>WSM</t>
        </is>
      </c>
      <c r="D671" s="14" t="inlineStr">
        <is>
          <t>Samoa</t>
        </is>
      </c>
      <c r="E671" s="14" t="n">
        <v>2024</v>
      </c>
      <c r="F671" s="14" t="n">
        <v>0.15</v>
      </c>
      <c r="G671" s="14" t="n">
        <v>4.833</v>
      </c>
      <c r="H671" s="14" t="n">
        <v>1.324</v>
      </c>
      <c r="I671" s="14" t="n">
        <v>0</v>
      </c>
      <c r="J671" s="14" t="n">
        <v>4.833</v>
      </c>
      <c r="K671" s="14" t="n">
        <v>0</v>
      </c>
      <c r="L671" s="14" t="n">
        <v>1</v>
      </c>
      <c r="M671" s="14" t="n">
        <v>7.124</v>
      </c>
      <c r="N671" s="14" t="n">
        <v>3.971</v>
      </c>
      <c r="O671" s="14" t="n">
        <v>0</v>
      </c>
      <c r="P671" s="14" t="n">
        <v>7.124</v>
      </c>
      <c r="Q671" s="14" t="n">
        <v>0</v>
      </c>
      <c r="R671" s="14" t="n">
        <v>1</v>
      </c>
      <c r="S671" s="14" t="n">
        <v>11.451</v>
      </c>
      <c r="T671" s="14" t="n">
        <v>7.942</v>
      </c>
      <c r="U671" s="14" t="n">
        <v>0.234</v>
      </c>
      <c r="V671" s="14" t="n">
        <v>13.168</v>
      </c>
      <c r="W671" s="14" t="n">
        <v>0.15</v>
      </c>
      <c r="X671" s="14" t="n">
        <v>1</v>
      </c>
      <c r="Y671" s="14" t="n">
        <v>11.218</v>
      </c>
      <c r="Z671" s="14" t="n">
        <v>1.384</v>
      </c>
      <c r="AA671" s="14" t="n">
        <v>0</v>
      </c>
      <c r="AB671" s="14" t="n">
        <v>11.218</v>
      </c>
      <c r="AC671" s="14" t="n">
        <v>0</v>
      </c>
      <c r="AD671" s="14" t="n">
        <v>1</v>
      </c>
      <c r="AE671" s="14" t="n">
        <v>12.541</v>
      </c>
      <c r="AF671" s="14" t="n">
        <v>2.734</v>
      </c>
      <c r="AG671" s="14" t="n">
        <v>0</v>
      </c>
      <c r="AH671" s="14" t="n">
        <v>12.541</v>
      </c>
      <c r="AI671" s="14" t="n">
        <v>0</v>
      </c>
      <c r="AJ671" s="14" t="n">
        <v>1</v>
      </c>
      <c r="AK671" s="14" t="n">
        <v>20.483</v>
      </c>
      <c r="AL671" s="14" t="n">
        <v>10.628</v>
      </c>
      <c r="AM671" s="14" t="n">
        <v>0.419</v>
      </c>
      <c r="AN671" s="14" t="n">
        <v>23.555</v>
      </c>
      <c r="AO671" s="14" t="n">
        <v>0.15</v>
      </c>
      <c r="AP671" s="14" t="n">
        <v>1</v>
      </c>
      <c r="AQ671" s="14" t="n">
        <v>0.72</v>
      </c>
      <c r="AR671" s="14" t="n">
        <v>0.132</v>
      </c>
      <c r="AS671" s="14" t="n">
        <v>0.015</v>
      </c>
      <c r="AT671" s="14" t="n">
        <v>0.828</v>
      </c>
      <c r="AU671" s="14" t="n">
        <v>0.15</v>
      </c>
      <c r="AV671" s="14" t="n">
        <v>1</v>
      </c>
      <c r="AW671" s="14" t="n">
        <v>0.734</v>
      </c>
      <c r="AX671" s="14" t="n">
        <v>0.132</v>
      </c>
      <c r="AY671" s="14" t="n">
        <v>0.015</v>
      </c>
      <c r="AZ671" s="14" t="n">
        <v>0.844</v>
      </c>
      <c r="BA671" s="14" t="n">
        <v>0.15</v>
      </c>
      <c r="BB671" s="14" t="n">
        <v>1</v>
      </c>
      <c r="BC671" s="14" t="n">
        <v>0.51</v>
      </c>
      <c r="BD671" s="14" t="n">
        <v>0.132</v>
      </c>
      <c r="BE671" s="14" t="n">
        <v>0.01</v>
      </c>
      <c r="BF671" s="14" t="n">
        <v>0.587</v>
      </c>
      <c r="BG671" s="14" t="n">
        <v>0.15</v>
      </c>
      <c r="BH671" s="14" t="n">
        <v>1</v>
      </c>
      <c r="BI671" s="14" t="n">
        <v>0.652</v>
      </c>
      <c r="BJ671" s="14" t="n">
        <v>0.132</v>
      </c>
      <c r="BK671" s="14" t="n">
        <v>0.013</v>
      </c>
      <c r="BL671" s="14" t="n">
        <v>0.75</v>
      </c>
      <c r="BM671" s="14" t="n">
        <v>0.15</v>
      </c>
      <c r="BN671" s="14" t="n">
        <v>1</v>
      </c>
      <c r="BO671" s="14" t="n">
        <v>0</v>
      </c>
      <c r="BP671" s="14" t="n">
        <v>0</v>
      </c>
      <c r="BQ671" s="14" t="n">
        <v>0</v>
      </c>
      <c r="BR671" s="14" t="n">
        <v>0</v>
      </c>
      <c r="BS671" s="14" t="n">
        <v>1</v>
      </c>
      <c r="BT671" s="14" t="n">
        <v>0</v>
      </c>
      <c r="BU671" s="14" t="n">
        <v>0</v>
      </c>
      <c r="BV671" s="14" t="n">
        <v>0</v>
      </c>
      <c r="BW671" s="14" t="n">
        <v>0.15</v>
      </c>
      <c r="BX671" s="14" t="n">
        <v>1</v>
      </c>
      <c r="BY671" s="14" t="n">
        <v>13.646</v>
      </c>
      <c r="BZ671" s="14" t="n">
        <v>0</v>
      </c>
      <c r="CA671" s="14" t="n">
        <v>13.646</v>
      </c>
      <c r="CB671" s="14" t="n">
        <v>0</v>
      </c>
      <c r="CC671" s="14" t="n">
        <v>86.38500000000001</v>
      </c>
      <c r="CD671" s="14" t="n">
        <v>7.95</v>
      </c>
      <c r="CE671" s="14" t="n">
        <v>1.765</v>
      </c>
      <c r="CF671" s="14" t="n">
        <v>99.343</v>
      </c>
      <c r="CG671" s="14" t="n">
        <v>0.15</v>
      </c>
      <c r="CH671" s="14" t="n">
        <v>1</v>
      </c>
      <c r="CI671" s="14" t="n">
        <v>0</v>
      </c>
      <c r="CJ671" s="14" t="n">
        <v>0</v>
      </c>
      <c r="CK671" s="14" t="n">
        <v>0</v>
      </c>
      <c r="CL671" s="14" t="n">
        <v>0</v>
      </c>
      <c r="CM671" s="14" t="n">
        <v>0</v>
      </c>
      <c r="CN671" s="14" t="n">
        <v>0</v>
      </c>
      <c r="CO671" s="14" t="n">
        <v>0</v>
      </c>
      <c r="CP671" s="14" t="n">
        <v>0</v>
      </c>
      <c r="CQ671" s="14" t="n">
        <v>1.387</v>
      </c>
      <c r="CR671" s="14" t="n">
        <v>0</v>
      </c>
      <c r="CS671" s="14" t="n">
        <v>5.529</v>
      </c>
      <c r="CT671" s="14" t="n">
        <v>3.509</v>
      </c>
      <c r="CU671" s="14" t="n">
        <v>10.896</v>
      </c>
    </row>
    <row r="672">
      <c r="A672" s="14" t="inlineStr">
        <is>
          <t>SMR2021</t>
        </is>
      </c>
      <c r="B672" s="14" t="inlineStr">
        <is>
          <t>SMR</t>
        </is>
      </c>
      <c r="C672" s="14" t="inlineStr">
        <is>
          <t>SMR</t>
        </is>
      </c>
      <c r="D672" s="14" t="inlineStr">
        <is>
          <t>San Marino</t>
        </is>
      </c>
      <c r="E672" s="14" t="n">
        <v>2021</v>
      </c>
      <c r="F672" s="14" t="n">
        <v>0</v>
      </c>
      <c r="G672" s="14" t="n">
        <v>5.553</v>
      </c>
      <c r="H672" s="14" t="n">
        <v>1.143</v>
      </c>
      <c r="I672" s="14" t="n">
        <v>0</v>
      </c>
      <c r="J672" s="14" t="n">
        <v>5.553</v>
      </c>
      <c r="K672" s="14" t="n">
        <v>0</v>
      </c>
      <c r="L672" s="14" t="n">
        <v>1</v>
      </c>
      <c r="M672" s="14" t="n">
        <v>7.964</v>
      </c>
      <c r="N672" s="14" t="n">
        <v>3.43</v>
      </c>
      <c r="O672" s="14" t="n">
        <v>0</v>
      </c>
      <c r="P672" s="14" t="n">
        <v>7.964</v>
      </c>
      <c r="Q672" s="14" t="n">
        <v>0</v>
      </c>
      <c r="R672" s="14" t="n">
        <v>1</v>
      </c>
      <c r="S672" s="14" t="n">
        <v>11.27</v>
      </c>
      <c r="T672" s="14" t="n">
        <v>6.86</v>
      </c>
      <c r="U672" s="14" t="n">
        <v>0</v>
      </c>
      <c r="V672" s="14" t="n">
        <v>11.27</v>
      </c>
      <c r="W672" s="14" t="n">
        <v>0</v>
      </c>
      <c r="X672" s="14" t="n">
        <v>1</v>
      </c>
      <c r="Y672" s="14" t="n">
        <v>16.305</v>
      </c>
      <c r="Z672" s="14" t="n">
        <v>2.204</v>
      </c>
      <c r="AA672" s="14" t="n">
        <v>0</v>
      </c>
      <c r="AB672" s="14" t="n">
        <v>16.305</v>
      </c>
      <c r="AC672" s="14" t="n">
        <v>0</v>
      </c>
      <c r="AD672" s="14" t="n">
        <v>1</v>
      </c>
      <c r="AE672" s="14" t="n">
        <v>17.449</v>
      </c>
      <c r="AF672" s="14" t="n">
        <v>4.08</v>
      </c>
      <c r="AG672" s="14" t="n">
        <v>0</v>
      </c>
      <c r="AH672" s="14" t="n">
        <v>17.449</v>
      </c>
      <c r="AI672" s="14" t="n">
        <v>0</v>
      </c>
      <c r="AJ672" s="14" t="n">
        <v>1</v>
      </c>
      <c r="AK672" s="14" t="n">
        <v>24.309</v>
      </c>
      <c r="AL672" s="14" t="n">
        <v>12.947</v>
      </c>
      <c r="AM672" s="14" t="n">
        <v>0</v>
      </c>
      <c r="AN672" s="14" t="n">
        <v>24.309</v>
      </c>
      <c r="AO672" s="14" t="n">
        <v>0</v>
      </c>
      <c r="AP672" s="14" t="n">
        <v>1</v>
      </c>
      <c r="AQ672" s="14" t="n">
        <v>0.619</v>
      </c>
      <c r="AR672" s="14" t="n">
        <v>0.114</v>
      </c>
      <c r="AS672" s="14" t="n">
        <v>0</v>
      </c>
      <c r="AT672" s="14" t="n">
        <v>0.619</v>
      </c>
      <c r="AU672" s="14" t="n">
        <v>0</v>
      </c>
      <c r="AV672" s="14" t="n">
        <v>1</v>
      </c>
      <c r="AW672" s="14" t="n">
        <v>0.599</v>
      </c>
      <c r="AX672" s="14" t="n">
        <v>0.114</v>
      </c>
      <c r="AY672" s="14" t="n">
        <v>0</v>
      </c>
      <c r="AZ672" s="14" t="n">
        <v>0.599</v>
      </c>
      <c r="BA672" s="14" t="n">
        <v>0</v>
      </c>
      <c r="BB672" s="14" t="n">
        <v>1</v>
      </c>
      <c r="BC672" s="14" t="n">
        <v>0.439</v>
      </c>
      <c r="BD672" s="14" t="n">
        <v>0.114</v>
      </c>
      <c r="BE672" s="14" t="n">
        <v>0</v>
      </c>
      <c r="BF672" s="14" t="n">
        <v>0.439</v>
      </c>
      <c r="BG672" s="14" t="n">
        <v>0</v>
      </c>
      <c r="BH672" s="14" t="n">
        <v>1</v>
      </c>
      <c r="BI672" s="14" t="n">
        <v>0.505</v>
      </c>
      <c r="BJ672" s="14" t="n">
        <v>0.114</v>
      </c>
      <c r="BK672" s="14" t="n">
        <v>0</v>
      </c>
      <c r="BL672" s="14" t="n">
        <v>0.505</v>
      </c>
      <c r="BM672" s="14" t="n">
        <v>0</v>
      </c>
      <c r="BN672" s="14" t="n">
        <v>1</v>
      </c>
      <c r="BO672" s="14" t="n">
        <v>0</v>
      </c>
      <c r="BP672" s="14" t="n">
        <v>0</v>
      </c>
      <c r="BQ672" s="14" t="n">
        <v>0</v>
      </c>
      <c r="BR672" s="14" t="n">
        <v>0</v>
      </c>
      <c r="BS672" s="14" t="n">
        <v>1</v>
      </c>
      <c r="BT672" s="14" t="n">
        <v>0</v>
      </c>
      <c r="BU672" s="14" t="n">
        <v>0</v>
      </c>
      <c r="BV672" s="14" t="n">
        <v>0</v>
      </c>
      <c r="BW672" s="14" t="n">
        <v>0</v>
      </c>
      <c r="BX672" s="14" t="n">
        <v>1</v>
      </c>
      <c r="BY672" s="14" t="n">
        <v>11.787</v>
      </c>
      <c r="BZ672" s="14" t="n">
        <v>0</v>
      </c>
      <c r="CA672" s="14" t="n">
        <v>11.787</v>
      </c>
      <c r="CB672" s="14" t="n">
        <v>0</v>
      </c>
      <c r="CC672" s="14" t="n">
        <v>78.125</v>
      </c>
      <c r="CD672" s="14" t="n">
        <v>7.95</v>
      </c>
      <c r="CE672" s="14" t="n">
        <v>0</v>
      </c>
      <c r="CF672" s="14" t="n">
        <v>78.125</v>
      </c>
      <c r="CG672" s="14" t="n">
        <v>0</v>
      </c>
      <c r="CH672" s="14" t="n">
        <v>1</v>
      </c>
      <c r="CI672" s="14" t="n">
        <v>0</v>
      </c>
      <c r="CJ672" s="14" t="n">
        <v>0</v>
      </c>
      <c r="CK672" s="14" t="n">
        <v>0</v>
      </c>
      <c r="CL672" s="14" t="n">
        <v>0</v>
      </c>
      <c r="CM672" s="14" t="n">
        <v>0</v>
      </c>
      <c r="CN672" s="14" t="n">
        <v>0</v>
      </c>
      <c r="CO672" s="14" t="n">
        <v>0</v>
      </c>
      <c r="CP672" s="14" t="n">
        <v>0</v>
      </c>
      <c r="CQ672" s="14" t="n">
        <v>1.198</v>
      </c>
      <c r="CR672" s="14" t="n">
        <v>0</v>
      </c>
      <c r="CS672" s="14" t="n">
        <v>4.776</v>
      </c>
      <c r="CT672" s="14" t="n">
        <v>4.41</v>
      </c>
      <c r="CU672" s="14" t="n">
        <v>15.162</v>
      </c>
    </row>
    <row r="673">
      <c r="A673" s="14" t="inlineStr">
        <is>
          <t>SMR2022</t>
        </is>
      </c>
      <c r="B673" s="14" t="inlineStr">
        <is>
          <t>SMR</t>
        </is>
      </c>
      <c r="C673" s="14" t="inlineStr">
        <is>
          <t>SMR</t>
        </is>
      </c>
      <c r="D673" s="14" t="inlineStr">
        <is>
          <t>San Marino</t>
        </is>
      </c>
      <c r="E673" s="14" t="n">
        <v>2022</v>
      </c>
      <c r="F673" s="14" t="n">
        <v>0</v>
      </c>
      <c r="G673" s="14" t="n">
        <v>7.077</v>
      </c>
      <c r="H673" s="14" t="n">
        <v>1.235</v>
      </c>
      <c r="I673" s="14" t="n">
        <v>0</v>
      </c>
      <c r="J673" s="14" t="n">
        <v>7.077</v>
      </c>
      <c r="K673" s="14" t="n">
        <v>0</v>
      </c>
      <c r="L673" s="14" t="n">
        <v>1</v>
      </c>
      <c r="M673" s="14" t="n">
        <v>9.782999999999999</v>
      </c>
      <c r="N673" s="14" t="n">
        <v>3.704</v>
      </c>
      <c r="O673" s="14" t="n">
        <v>0</v>
      </c>
      <c r="P673" s="14" t="n">
        <v>9.782999999999999</v>
      </c>
      <c r="Q673" s="14" t="n">
        <v>0</v>
      </c>
      <c r="R673" s="14" t="n">
        <v>1</v>
      </c>
      <c r="S673" s="14" t="n">
        <v>13.25</v>
      </c>
      <c r="T673" s="14" t="n">
        <v>7.408</v>
      </c>
      <c r="U673" s="14" t="n">
        <v>0</v>
      </c>
      <c r="V673" s="14" t="n">
        <v>13.25</v>
      </c>
      <c r="W673" s="14" t="n">
        <v>0</v>
      </c>
      <c r="X673" s="14" t="n">
        <v>1</v>
      </c>
      <c r="Y673" s="14" t="n">
        <v>32.56</v>
      </c>
      <c r="Z673" s="14" t="n">
        <v>4.401</v>
      </c>
      <c r="AA673" s="14" t="n">
        <v>0</v>
      </c>
      <c r="AB673" s="14" t="n">
        <v>32.56</v>
      </c>
      <c r="AC673" s="14" t="n">
        <v>0</v>
      </c>
      <c r="AD673" s="14" t="n">
        <v>1</v>
      </c>
      <c r="AE673" s="14" t="n">
        <v>33.795</v>
      </c>
      <c r="AF673" s="14" t="n">
        <v>7.902</v>
      </c>
      <c r="AG673" s="14" t="n">
        <v>0</v>
      </c>
      <c r="AH673" s="14" t="n">
        <v>33.795</v>
      </c>
      <c r="AI673" s="14" t="n">
        <v>0</v>
      </c>
      <c r="AJ673" s="14" t="n">
        <v>1</v>
      </c>
      <c r="AK673" s="14" t="n">
        <v>41.203</v>
      </c>
      <c r="AL673" s="14" t="n">
        <v>21.945</v>
      </c>
      <c r="AM673" s="14" t="n">
        <v>0</v>
      </c>
      <c r="AN673" s="14" t="n">
        <v>41.203</v>
      </c>
      <c r="AO673" s="14" t="n">
        <v>0</v>
      </c>
      <c r="AP673" s="14" t="n">
        <v>1</v>
      </c>
      <c r="AQ673" s="14" t="n">
        <v>0.861</v>
      </c>
      <c r="AR673" s="14" t="n">
        <v>0.123</v>
      </c>
      <c r="AS673" s="14" t="n">
        <v>0</v>
      </c>
      <c r="AT673" s="14" t="n">
        <v>0.861</v>
      </c>
      <c r="AU673" s="14" t="n">
        <v>0</v>
      </c>
      <c r="AV673" s="14" t="n">
        <v>1</v>
      </c>
      <c r="AW673" s="14" t="n">
        <v>0.986</v>
      </c>
      <c r="AX673" s="14" t="n">
        <v>0.123</v>
      </c>
      <c r="AY673" s="14" t="n">
        <v>0</v>
      </c>
      <c r="AZ673" s="14" t="n">
        <v>0.986</v>
      </c>
      <c r="BA673" s="14" t="n">
        <v>0</v>
      </c>
      <c r="BB673" s="14" t="n">
        <v>1</v>
      </c>
      <c r="BC673" s="14" t="n">
        <v>0.598</v>
      </c>
      <c r="BD673" s="14" t="n">
        <v>0.123</v>
      </c>
      <c r="BE673" s="14" t="n">
        <v>0</v>
      </c>
      <c r="BF673" s="14" t="n">
        <v>0.598</v>
      </c>
      <c r="BG673" s="14" t="n">
        <v>0</v>
      </c>
      <c r="BH673" s="14" t="n">
        <v>1</v>
      </c>
      <c r="BI673" s="14" t="n">
        <v>0.612</v>
      </c>
      <c r="BJ673" s="14" t="n">
        <v>0.123</v>
      </c>
      <c r="BK673" s="14" t="n">
        <v>0</v>
      </c>
      <c r="BL673" s="14" t="n">
        <v>0.612</v>
      </c>
      <c r="BM673" s="14" t="n">
        <v>0</v>
      </c>
      <c r="BN673" s="14" t="n">
        <v>1</v>
      </c>
      <c r="BO673" s="14" t="n">
        <v>0</v>
      </c>
      <c r="BP673" s="14" t="n">
        <v>0</v>
      </c>
      <c r="BQ673" s="14" t="n">
        <v>0</v>
      </c>
      <c r="BR673" s="14" t="n">
        <v>0</v>
      </c>
      <c r="BS673" s="14" t="n">
        <v>1</v>
      </c>
      <c r="BT673" s="14" t="n">
        <v>0</v>
      </c>
      <c r="BU673" s="14" t="n">
        <v>0</v>
      </c>
      <c r="BV673" s="14" t="n">
        <v>0</v>
      </c>
      <c r="BW673" s="14" t="n">
        <v>0</v>
      </c>
      <c r="BX673" s="14" t="n">
        <v>1</v>
      </c>
      <c r="BY673" s="14" t="n">
        <v>12.729</v>
      </c>
      <c r="BZ673" s="14" t="n">
        <v>0</v>
      </c>
      <c r="CA673" s="14" t="n">
        <v>12.729</v>
      </c>
      <c r="CB673" s="14" t="n">
        <v>0</v>
      </c>
      <c r="CC673" s="14" t="n">
        <v>97.90000000000001</v>
      </c>
      <c r="CD673" s="14" t="n">
        <v>7.95</v>
      </c>
      <c r="CE673" s="14" t="n">
        <v>0</v>
      </c>
      <c r="CF673" s="14" t="n">
        <v>97.90000000000001</v>
      </c>
      <c r="CG673" s="14" t="n">
        <v>0</v>
      </c>
      <c r="CH673" s="14" t="n">
        <v>1</v>
      </c>
      <c r="CI673" s="14" t="n">
        <v>0</v>
      </c>
      <c r="CJ673" s="14" t="n">
        <v>0</v>
      </c>
      <c r="CK673" s="14" t="n">
        <v>0</v>
      </c>
      <c r="CL673" s="14" t="n">
        <v>0</v>
      </c>
      <c r="CM673" s="14" t="n">
        <v>0</v>
      </c>
      <c r="CN673" s="14" t="n">
        <v>0</v>
      </c>
      <c r="CO673" s="14" t="n">
        <v>0</v>
      </c>
      <c r="CP673" s="14" t="n">
        <v>0</v>
      </c>
      <c r="CQ673" s="14" t="n">
        <v>1.294</v>
      </c>
      <c r="CR673" s="14" t="n">
        <v>0</v>
      </c>
      <c r="CS673" s="14" t="n">
        <v>5.158</v>
      </c>
      <c r="CT673" s="14" t="n">
        <v>5.842</v>
      </c>
      <c r="CU673" s="14" t="n">
        <v>31.326</v>
      </c>
    </row>
    <row r="674">
      <c r="A674" s="14" t="inlineStr">
        <is>
          <t>SMR2023</t>
        </is>
      </c>
      <c r="B674" s="14" t="inlineStr">
        <is>
          <t>SMR</t>
        </is>
      </c>
      <c r="C674" s="14" t="inlineStr">
        <is>
          <t>SMR</t>
        </is>
      </c>
      <c r="D674" s="14" t="inlineStr">
        <is>
          <t>San Marino</t>
        </is>
      </c>
      <c r="E674" s="14" t="n">
        <v>2023</v>
      </c>
      <c r="F674" s="14" t="n">
        <v>0</v>
      </c>
      <c r="G674" s="14" t="n">
        <v>4.752</v>
      </c>
      <c r="H674" s="14" t="n">
        <v>1.286</v>
      </c>
      <c r="I674" s="14" t="n">
        <v>0</v>
      </c>
      <c r="J674" s="14" t="n">
        <v>4.752</v>
      </c>
      <c r="K674" s="14" t="n">
        <v>0</v>
      </c>
      <c r="L674" s="14" t="n">
        <v>1</v>
      </c>
      <c r="M674" s="14" t="n">
        <v>7.886</v>
      </c>
      <c r="N674" s="14" t="n">
        <v>3.857</v>
      </c>
      <c r="O674" s="14" t="n">
        <v>0</v>
      </c>
      <c r="P674" s="14" t="n">
        <v>7.886</v>
      </c>
      <c r="Q674" s="14" t="n">
        <v>0</v>
      </c>
      <c r="R674" s="14" t="n">
        <v>1</v>
      </c>
      <c r="S674" s="14" t="n">
        <v>11.18</v>
      </c>
      <c r="T674" s="14" t="n">
        <v>7.714</v>
      </c>
      <c r="U674" s="14" t="n">
        <v>0</v>
      </c>
      <c r="V674" s="14" t="n">
        <v>11.18</v>
      </c>
      <c r="W674" s="14" t="n">
        <v>0</v>
      </c>
      <c r="X674" s="14" t="n">
        <v>1</v>
      </c>
      <c r="Y674" s="14" t="n">
        <v>12.908</v>
      </c>
      <c r="Z674" s="14" t="n">
        <v>1.745</v>
      </c>
      <c r="AA674" s="14" t="n">
        <v>0</v>
      </c>
      <c r="AB674" s="14" t="n">
        <v>12.908</v>
      </c>
      <c r="AC674" s="14" t="n">
        <v>0</v>
      </c>
      <c r="AD674" s="14" t="n">
        <v>1</v>
      </c>
      <c r="AE674" s="14" t="n">
        <v>14.194</v>
      </c>
      <c r="AF674" s="14" t="n">
        <v>3.319</v>
      </c>
      <c r="AG674" s="14" t="n">
        <v>0</v>
      </c>
      <c r="AH674" s="14" t="n">
        <v>14.194</v>
      </c>
      <c r="AI674" s="14" t="n">
        <v>0</v>
      </c>
      <c r="AJ674" s="14" t="n">
        <v>1</v>
      </c>
      <c r="AK674" s="14" t="n">
        <v>21.908</v>
      </c>
      <c r="AL674" s="14" t="n">
        <v>11.668</v>
      </c>
      <c r="AM674" s="14" t="n">
        <v>0</v>
      </c>
      <c r="AN674" s="14" t="n">
        <v>21.908</v>
      </c>
      <c r="AO674" s="14" t="n">
        <v>0</v>
      </c>
      <c r="AP674" s="14" t="n">
        <v>1</v>
      </c>
      <c r="AQ674" s="14" t="n">
        <v>0.76</v>
      </c>
      <c r="AR674" s="14" t="n">
        <v>0.129</v>
      </c>
      <c r="AS674" s="14" t="n">
        <v>0</v>
      </c>
      <c r="AT674" s="14" t="n">
        <v>0.76</v>
      </c>
      <c r="AU674" s="14" t="n">
        <v>0</v>
      </c>
      <c r="AV674" s="14" t="n">
        <v>1</v>
      </c>
      <c r="AW674" s="14" t="n">
        <v>0.8110000000000001</v>
      </c>
      <c r="AX674" s="14" t="n">
        <v>0.129</v>
      </c>
      <c r="AY674" s="14" t="n">
        <v>0</v>
      </c>
      <c r="AZ674" s="14" t="n">
        <v>0.8110000000000001</v>
      </c>
      <c r="BA674" s="14" t="n">
        <v>0</v>
      </c>
      <c r="BB674" s="14" t="n">
        <v>1</v>
      </c>
      <c r="BC674" s="14" t="n">
        <v>0.535</v>
      </c>
      <c r="BD674" s="14" t="n">
        <v>0.129</v>
      </c>
      <c r="BE674" s="14" t="n">
        <v>0</v>
      </c>
      <c r="BF674" s="14" t="n">
        <v>0.535</v>
      </c>
      <c r="BG674" s="14" t="n">
        <v>0</v>
      </c>
      <c r="BH674" s="14" t="n">
        <v>1</v>
      </c>
      <c r="BI674" s="14" t="n">
        <v>0.579</v>
      </c>
      <c r="BJ674" s="14" t="n">
        <v>0.129</v>
      </c>
      <c r="BK674" s="14" t="n">
        <v>0</v>
      </c>
      <c r="BL674" s="14" t="n">
        <v>0.579</v>
      </c>
      <c r="BM674" s="14" t="n">
        <v>0</v>
      </c>
      <c r="BN674" s="14" t="n">
        <v>1</v>
      </c>
      <c r="BO674" s="14" t="n">
        <v>0</v>
      </c>
      <c r="BP674" s="14" t="n">
        <v>0</v>
      </c>
      <c r="BQ674" s="14" t="n">
        <v>0</v>
      </c>
      <c r="BR674" s="14" t="n">
        <v>0</v>
      </c>
      <c r="BS674" s="14" t="n">
        <v>1</v>
      </c>
      <c r="BT674" s="14" t="n">
        <v>0</v>
      </c>
      <c r="BU674" s="14" t="n">
        <v>0</v>
      </c>
      <c r="BV674" s="14" t="n">
        <v>0</v>
      </c>
      <c r="BW674" s="14" t="n">
        <v>0</v>
      </c>
      <c r="BX674" s="14" t="n">
        <v>1</v>
      </c>
      <c r="BY674" s="14" t="n">
        <v>13.254</v>
      </c>
      <c r="BZ674" s="14" t="n">
        <v>0</v>
      </c>
      <c r="CA674" s="14" t="n">
        <v>13.254</v>
      </c>
      <c r="CB674" s="14" t="n">
        <v>0</v>
      </c>
      <c r="CC674" s="14" t="n">
        <v>83.248</v>
      </c>
      <c r="CD674" s="14" t="n">
        <v>7.95</v>
      </c>
      <c r="CE674" s="14" t="n">
        <v>0</v>
      </c>
      <c r="CF674" s="14" t="n">
        <v>83.248</v>
      </c>
      <c r="CG674" s="14" t="n">
        <v>0</v>
      </c>
      <c r="CH674" s="14" t="n">
        <v>1</v>
      </c>
      <c r="CI674" s="14" t="n">
        <v>0</v>
      </c>
      <c r="CJ674" s="14" t="n">
        <v>0</v>
      </c>
      <c r="CK674" s="14" t="n">
        <v>0</v>
      </c>
      <c r="CL674" s="14" t="n">
        <v>0</v>
      </c>
      <c r="CM674" s="14" t="n">
        <v>0</v>
      </c>
      <c r="CN674" s="14" t="n">
        <v>0</v>
      </c>
      <c r="CO674" s="14" t="n">
        <v>0</v>
      </c>
      <c r="CP674" s="14" t="n">
        <v>0</v>
      </c>
      <c r="CQ674" s="14" t="n">
        <v>1.348</v>
      </c>
      <c r="CR674" s="14" t="n">
        <v>0</v>
      </c>
      <c r="CS674" s="14" t="n">
        <v>5.37</v>
      </c>
      <c r="CT674" s="14" t="n">
        <v>3.466</v>
      </c>
      <c r="CU674" s="14" t="n">
        <v>11.622</v>
      </c>
    </row>
    <row r="675">
      <c r="A675" s="14" t="inlineStr">
        <is>
          <t>SMR2024</t>
        </is>
      </c>
      <c r="B675" s="14" t="inlineStr">
        <is>
          <t>SMR</t>
        </is>
      </c>
      <c r="C675" s="14" t="inlineStr">
        <is>
          <t>SMR</t>
        </is>
      </c>
      <c r="D675" s="14" t="inlineStr">
        <is>
          <t>San Marino</t>
        </is>
      </c>
      <c r="E675" s="14" t="n">
        <v>2024</v>
      </c>
      <c r="F675" s="14" t="n">
        <v>0</v>
      </c>
      <c r="G675" s="14" t="n">
        <v>4.351</v>
      </c>
      <c r="H675" s="14" t="n">
        <v>1.324</v>
      </c>
      <c r="I675" s="14" t="n">
        <v>0</v>
      </c>
      <c r="J675" s="14" t="n">
        <v>4.351</v>
      </c>
      <c r="K675" s="14" t="n">
        <v>0</v>
      </c>
      <c r="L675" s="14" t="n">
        <v>1</v>
      </c>
      <c r="M675" s="14" t="n">
        <v>7.124</v>
      </c>
      <c r="N675" s="14" t="n">
        <v>3.971</v>
      </c>
      <c r="O675" s="14" t="n">
        <v>0</v>
      </c>
      <c r="P675" s="14" t="n">
        <v>7.124</v>
      </c>
      <c r="Q675" s="14" t="n">
        <v>0</v>
      </c>
      <c r="R675" s="14" t="n">
        <v>1</v>
      </c>
      <c r="S675" s="14" t="n">
        <v>10.969</v>
      </c>
      <c r="T675" s="14" t="n">
        <v>7.942</v>
      </c>
      <c r="U675" s="14" t="n">
        <v>0</v>
      </c>
      <c r="V675" s="14" t="n">
        <v>10.969</v>
      </c>
      <c r="W675" s="14" t="n">
        <v>0</v>
      </c>
      <c r="X675" s="14" t="n">
        <v>1</v>
      </c>
      <c r="Y675" s="14" t="n">
        <v>11.492</v>
      </c>
      <c r="Z675" s="14" t="n">
        <v>1.553</v>
      </c>
      <c r="AA675" s="14" t="n">
        <v>0</v>
      </c>
      <c r="AB675" s="14" t="n">
        <v>11.492</v>
      </c>
      <c r="AC675" s="14" t="n">
        <v>0</v>
      </c>
      <c r="AD675" s="14" t="n">
        <v>1</v>
      </c>
      <c r="AE675" s="14" t="n">
        <v>12.815</v>
      </c>
      <c r="AF675" s="14" t="n">
        <v>2.997</v>
      </c>
      <c r="AG675" s="14" t="n">
        <v>0</v>
      </c>
      <c r="AH675" s="14" t="n">
        <v>12.815</v>
      </c>
      <c r="AI675" s="14" t="n">
        <v>0</v>
      </c>
      <c r="AJ675" s="14" t="n">
        <v>1</v>
      </c>
      <c r="AK675" s="14" t="n">
        <v>20.757</v>
      </c>
      <c r="AL675" s="14" t="n">
        <v>11.055</v>
      </c>
      <c r="AM675" s="14" t="n">
        <v>0</v>
      </c>
      <c r="AN675" s="14" t="n">
        <v>20.757</v>
      </c>
      <c r="AO675" s="14" t="n">
        <v>0</v>
      </c>
      <c r="AP675" s="14" t="n">
        <v>1</v>
      </c>
      <c r="AQ675" s="14" t="n">
        <v>0.724</v>
      </c>
      <c r="AR675" s="14" t="n">
        <v>0.132</v>
      </c>
      <c r="AS675" s="14" t="n">
        <v>0</v>
      </c>
      <c r="AT675" s="14" t="n">
        <v>0.724</v>
      </c>
      <c r="AU675" s="14" t="n">
        <v>0</v>
      </c>
      <c r="AV675" s="14" t="n">
        <v>1</v>
      </c>
      <c r="AW675" s="14" t="n">
        <v>0.75</v>
      </c>
      <c r="AX675" s="14" t="n">
        <v>0.132</v>
      </c>
      <c r="AY675" s="14" t="n">
        <v>0</v>
      </c>
      <c r="AZ675" s="14" t="n">
        <v>0.75</v>
      </c>
      <c r="BA675" s="14" t="n">
        <v>0</v>
      </c>
      <c r="BB675" s="14" t="n">
        <v>1</v>
      </c>
      <c r="BC675" s="14" t="n">
        <v>0.513</v>
      </c>
      <c r="BD675" s="14" t="n">
        <v>0.132</v>
      </c>
      <c r="BE675" s="14" t="n">
        <v>0</v>
      </c>
      <c r="BF675" s="14" t="n">
        <v>0.513</v>
      </c>
      <c r="BG675" s="14" t="n">
        <v>0</v>
      </c>
      <c r="BH675" s="14" t="n">
        <v>1</v>
      </c>
      <c r="BI675" s="14" t="n">
        <v>0.591</v>
      </c>
      <c r="BJ675" s="14" t="n">
        <v>0.132</v>
      </c>
      <c r="BK675" s="14" t="n">
        <v>0</v>
      </c>
      <c r="BL675" s="14" t="n">
        <v>0.591</v>
      </c>
      <c r="BM675" s="14" t="n">
        <v>0</v>
      </c>
      <c r="BN675" s="14" t="n">
        <v>1</v>
      </c>
      <c r="BO675" s="14" t="n">
        <v>0</v>
      </c>
      <c r="BP675" s="14" t="n">
        <v>0</v>
      </c>
      <c r="BQ675" s="14" t="n">
        <v>0</v>
      </c>
      <c r="BR675" s="14" t="n">
        <v>0</v>
      </c>
      <c r="BS675" s="14" t="n">
        <v>1</v>
      </c>
      <c r="BT675" s="14" t="n">
        <v>0</v>
      </c>
      <c r="BU675" s="14" t="n">
        <v>0</v>
      </c>
      <c r="BV675" s="14" t="n">
        <v>0</v>
      </c>
      <c r="BW675" s="14" t="n">
        <v>0</v>
      </c>
      <c r="BX675" s="14" t="n">
        <v>1</v>
      </c>
      <c r="BY675" s="14" t="n">
        <v>13.646</v>
      </c>
      <c r="BZ675" s="14" t="n">
        <v>0</v>
      </c>
      <c r="CA675" s="14" t="n">
        <v>13.646</v>
      </c>
      <c r="CB675" s="14" t="n">
        <v>0</v>
      </c>
      <c r="CC675" s="14" t="n">
        <v>82.58799999999999</v>
      </c>
      <c r="CD675" s="14" t="n">
        <v>7.95</v>
      </c>
      <c r="CE675" s="14" t="n">
        <v>0</v>
      </c>
      <c r="CF675" s="14" t="n">
        <v>82.58799999999999</v>
      </c>
      <c r="CG675" s="14" t="n">
        <v>0</v>
      </c>
      <c r="CH675" s="14" t="n">
        <v>1</v>
      </c>
      <c r="CI675" s="14" t="n">
        <v>0</v>
      </c>
      <c r="CJ675" s="14" t="n">
        <v>0</v>
      </c>
      <c r="CK675" s="14" t="n">
        <v>0</v>
      </c>
      <c r="CL675" s="14" t="n">
        <v>0</v>
      </c>
      <c r="CM675" s="14" t="n">
        <v>0</v>
      </c>
      <c r="CN675" s="14" t="n">
        <v>0</v>
      </c>
      <c r="CO675" s="14" t="n">
        <v>0</v>
      </c>
      <c r="CP675" s="14" t="n">
        <v>0</v>
      </c>
      <c r="CQ675" s="14" t="n">
        <v>1.387</v>
      </c>
      <c r="CR675" s="14" t="n">
        <v>0</v>
      </c>
      <c r="CS675" s="14" t="n">
        <v>5.529</v>
      </c>
      <c r="CT675" s="14" t="n">
        <v>3.027</v>
      </c>
      <c r="CU675" s="14" t="n">
        <v>10.168</v>
      </c>
    </row>
    <row r="676">
      <c r="A676" s="14" t="inlineStr">
        <is>
          <t>SAU2021</t>
        </is>
      </c>
      <c r="B676" s="14" t="inlineStr">
        <is>
          <t>SAU</t>
        </is>
      </c>
      <c r="C676" s="14" t="inlineStr">
        <is>
          <t>SAU</t>
        </is>
      </c>
      <c r="D676" s="14" t="inlineStr">
        <is>
          <t>Saudi Arabia</t>
        </is>
      </c>
      <c r="E676" s="14" t="n">
        <v>2021</v>
      </c>
      <c r="F676" s="14" t="n">
        <v>0.15</v>
      </c>
      <c r="G676" s="14" t="n">
        <v>5.897</v>
      </c>
      <c r="H676" s="14" t="n">
        <v>1.143</v>
      </c>
      <c r="I676" s="14" t="n">
        <v>0.238</v>
      </c>
      <c r="J676" s="14" t="n">
        <v>6.134</v>
      </c>
      <c r="K676" s="14" t="n">
        <v>0</v>
      </c>
      <c r="L676" s="14" t="n">
        <v>1</v>
      </c>
      <c r="M676" s="14" t="n">
        <v>7.964</v>
      </c>
      <c r="N676" s="14" t="n">
        <v>3.43</v>
      </c>
      <c r="O676" s="14" t="n">
        <v>0.227</v>
      </c>
      <c r="P676" s="14" t="n">
        <v>8.191000000000001</v>
      </c>
      <c r="Q676" s="14" t="n">
        <v>0</v>
      </c>
      <c r="R676" s="14" t="n">
        <v>1</v>
      </c>
      <c r="S676" s="14" t="n">
        <v>11.613</v>
      </c>
      <c r="T676" s="14" t="n">
        <v>6.86</v>
      </c>
      <c r="U676" s="14" t="n">
        <v>0.238</v>
      </c>
      <c r="V676" s="14" t="n">
        <v>13.629</v>
      </c>
      <c r="W676" s="14" t="n">
        <v>0.15</v>
      </c>
      <c r="X676" s="14" t="n">
        <v>1</v>
      </c>
      <c r="Y676" s="14" t="n">
        <v>4.013</v>
      </c>
      <c r="Z676" s="14" t="n">
        <v>0.364</v>
      </c>
      <c r="AA676" s="14" t="n">
        <v>-2.553</v>
      </c>
      <c r="AB676" s="14" t="n">
        <v>1.46</v>
      </c>
      <c r="AC676" s="14" t="n">
        <v>0</v>
      </c>
      <c r="AD676" s="14" t="n">
        <v>0</v>
      </c>
      <c r="AE676" s="14" t="n">
        <v>4.584</v>
      </c>
      <c r="AF676" s="14" t="n">
        <v>0.748</v>
      </c>
      <c r="AG676" s="14" t="n">
        <v>-3.355</v>
      </c>
      <c r="AH676" s="14" t="n">
        <v>1.229</v>
      </c>
      <c r="AI676" s="14" t="n">
        <v>0</v>
      </c>
      <c r="AJ676" s="14" t="n">
        <v>0</v>
      </c>
      <c r="AK676" s="14" t="n">
        <v>8.013999999999999</v>
      </c>
      <c r="AL676" s="14" t="n">
        <v>3.369</v>
      </c>
      <c r="AM676" s="14" t="n">
        <v>-3.326</v>
      </c>
      <c r="AN676" s="14" t="n">
        <v>4.689</v>
      </c>
      <c r="AO676" s="14" t="n">
        <v>0</v>
      </c>
      <c r="AP676" s="14" t="n">
        <v>0</v>
      </c>
      <c r="AQ676" s="14" t="n">
        <v>0.621</v>
      </c>
      <c r="AR676" s="14" t="n">
        <v>0.114</v>
      </c>
      <c r="AS676" s="14" t="n">
        <v>-0.11</v>
      </c>
      <c r="AT676" s="14" t="n">
        <v>0.587</v>
      </c>
      <c r="AU676" s="14" t="n">
        <v>0</v>
      </c>
      <c r="AV676" s="14" t="n">
        <v>0</v>
      </c>
      <c r="AW676" s="14" t="n">
        <v>0.593</v>
      </c>
      <c r="AX676" s="14" t="n">
        <v>0.114</v>
      </c>
      <c r="AY676" s="14" t="n">
        <v>-0.473</v>
      </c>
      <c r="AZ676" s="14" t="n">
        <v>0.139</v>
      </c>
      <c r="BA676" s="14" t="n">
        <v>0</v>
      </c>
      <c r="BB676" s="14" t="n">
        <v>0</v>
      </c>
      <c r="BC676" s="14" t="n">
        <v>0.44</v>
      </c>
      <c r="BD676" s="14" t="n">
        <v>0.114</v>
      </c>
      <c r="BE676" s="14" t="n">
        <v>-0.266</v>
      </c>
      <c r="BF676" s="14" t="n">
        <v>0.2</v>
      </c>
      <c r="BG676" s="14" t="n">
        <v>0</v>
      </c>
      <c r="BH676" s="14" t="n">
        <v>0</v>
      </c>
      <c r="BI676" s="14" t="n">
        <v>0.5600000000000001</v>
      </c>
      <c r="BJ676" s="14" t="n">
        <v>0.114</v>
      </c>
      <c r="BK676" s="14" t="n">
        <v>-0.398</v>
      </c>
      <c r="BL676" s="14" t="n">
        <v>0.187</v>
      </c>
      <c r="BM676" s="14" t="n">
        <v>0</v>
      </c>
      <c r="BN676" s="14" t="n">
        <v>0</v>
      </c>
      <c r="BO676" s="14" t="n">
        <v>0</v>
      </c>
      <c r="BP676" s="14" t="n">
        <v>-0.036</v>
      </c>
      <c r="BQ676" s="14" t="n">
        <v>0.048</v>
      </c>
      <c r="BR676" s="14" t="n">
        <v>0</v>
      </c>
      <c r="BS676" s="14" t="n">
        <v>0</v>
      </c>
      <c r="BT676" s="14" t="n">
        <v>0</v>
      </c>
      <c r="BU676" s="14" t="n">
        <v>-0.036</v>
      </c>
      <c r="BV676" s="14" t="n">
        <v>0.048</v>
      </c>
      <c r="BW676" s="14" t="n">
        <v>0</v>
      </c>
      <c r="BX676" s="14" t="n">
        <v>0.333</v>
      </c>
      <c r="BY676" s="14" t="n">
        <v>11.787</v>
      </c>
      <c r="BZ676" s="14" t="n">
        <v>0</v>
      </c>
      <c r="CA676" s="14" t="n">
        <v>11.787</v>
      </c>
      <c r="CB676" s="14" t="n">
        <v>0</v>
      </c>
      <c r="CC676" s="14" t="n">
        <v>81.69499999999999</v>
      </c>
      <c r="CD676" s="14" t="n">
        <v>7.95</v>
      </c>
      <c r="CE676" s="14" t="n">
        <v>-55.887</v>
      </c>
      <c r="CF676" s="14" t="n">
        <v>29.68</v>
      </c>
      <c r="CG676" s="14" t="n">
        <v>0</v>
      </c>
      <c r="CH676" s="14" t="n">
        <v>0</v>
      </c>
      <c r="CI676" s="14" t="n">
        <v>0</v>
      </c>
      <c r="CJ676" s="14" t="n">
        <v>0</v>
      </c>
      <c r="CK676" s="14" t="n">
        <v>0</v>
      </c>
      <c r="CL676" s="14" t="n">
        <v>0</v>
      </c>
      <c r="CM676" s="14" t="n">
        <v>0</v>
      </c>
      <c r="CN676" s="14" t="n">
        <v>0</v>
      </c>
      <c r="CO676" s="14" t="n">
        <v>0</v>
      </c>
      <c r="CP676" s="14" t="n">
        <v>0</v>
      </c>
      <c r="CQ676" s="14" t="n">
        <v>1.198</v>
      </c>
      <c r="CR676" s="14" t="n">
        <v>1</v>
      </c>
      <c r="CS676" s="14" t="n">
        <v>3.441</v>
      </c>
      <c r="CT676" s="14" t="n">
        <v>4.753</v>
      </c>
      <c r="CU676" s="14" t="n">
        <v>14.162</v>
      </c>
    </row>
    <row r="677">
      <c r="A677" s="14" t="inlineStr">
        <is>
          <t>SAU2022</t>
        </is>
      </c>
      <c r="B677" s="14" t="inlineStr">
        <is>
          <t>SAU</t>
        </is>
      </c>
      <c r="C677" s="14" t="inlineStr">
        <is>
          <t>SAU</t>
        </is>
      </c>
      <c r="D677" s="14" t="inlineStr">
        <is>
          <t>Saudi Arabia</t>
        </is>
      </c>
      <c r="E677" s="14" t="n">
        <v>2022</v>
      </c>
      <c r="F677" s="14" t="n">
        <v>0.15</v>
      </c>
      <c r="G677" s="14" t="n">
        <v>11.72</v>
      </c>
      <c r="H677" s="14" t="n">
        <v>1.235</v>
      </c>
      <c r="I677" s="14" t="n">
        <v>0.5659999999999999</v>
      </c>
      <c r="J677" s="14" t="n">
        <v>12.286</v>
      </c>
      <c r="K677" s="14" t="n">
        <v>0</v>
      </c>
      <c r="L677" s="14" t="n">
        <v>1</v>
      </c>
      <c r="M677" s="14" t="n">
        <v>9.782999999999999</v>
      </c>
      <c r="N677" s="14" t="n">
        <v>3.704</v>
      </c>
      <c r="O677" s="14" t="n">
        <v>0.328</v>
      </c>
      <c r="P677" s="14" t="n">
        <v>10.111</v>
      </c>
      <c r="Q677" s="14" t="n">
        <v>0</v>
      </c>
      <c r="R677" s="14" t="n">
        <v>1</v>
      </c>
      <c r="S677" s="14" t="n">
        <v>17.893</v>
      </c>
      <c r="T677" s="14" t="n">
        <v>7.408</v>
      </c>
      <c r="U677" s="14" t="n">
        <v>0.771</v>
      </c>
      <c r="V677" s="14" t="n">
        <v>21.228</v>
      </c>
      <c r="W677" s="14" t="n">
        <v>0.15</v>
      </c>
      <c r="X677" s="14" t="n">
        <v>1</v>
      </c>
      <c r="Y677" s="14" t="n">
        <v>4.334</v>
      </c>
      <c r="Z677" s="14" t="n">
        <v>0.393</v>
      </c>
      <c r="AA677" s="14" t="n">
        <v>-2.88</v>
      </c>
      <c r="AB677" s="14" t="n">
        <v>1.454</v>
      </c>
      <c r="AC677" s="14" t="n">
        <v>0</v>
      </c>
      <c r="AD677" s="14" t="n">
        <v>0</v>
      </c>
      <c r="AE677" s="14" t="n">
        <v>4.951</v>
      </c>
      <c r="AF677" s="14" t="n">
        <v>0.8080000000000001</v>
      </c>
      <c r="AG677" s="14" t="n">
        <v>-3.721</v>
      </c>
      <c r="AH677" s="14" t="n">
        <v>1.229</v>
      </c>
      <c r="AI677" s="14" t="n">
        <v>0</v>
      </c>
      <c r="AJ677" s="14" t="n">
        <v>0</v>
      </c>
      <c r="AK677" s="14" t="n">
        <v>8.654999999999999</v>
      </c>
      <c r="AL677" s="14" t="n">
        <v>3.639</v>
      </c>
      <c r="AM677" s="14" t="n">
        <v>-3.592</v>
      </c>
      <c r="AN677" s="14" t="n">
        <v>5.063</v>
      </c>
      <c r="AO677" s="14" t="n">
        <v>0</v>
      </c>
      <c r="AP677" s="14" t="n">
        <v>0</v>
      </c>
      <c r="AQ677" s="14" t="n">
        <v>0.847</v>
      </c>
      <c r="AR677" s="14" t="n">
        <v>0.123</v>
      </c>
      <c r="AS677" s="14" t="n">
        <v>-0.306</v>
      </c>
      <c r="AT677" s="14" t="n">
        <v>0.621</v>
      </c>
      <c r="AU677" s="14" t="n">
        <v>0</v>
      </c>
      <c r="AV677" s="14" t="n">
        <v>0</v>
      </c>
      <c r="AW677" s="14" t="n">
        <v>0.947</v>
      </c>
      <c r="AX677" s="14" t="n">
        <v>0.123</v>
      </c>
      <c r="AY677" s="14" t="n">
        <v>-0.801</v>
      </c>
      <c r="AZ677" s="14" t="n">
        <v>0.168</v>
      </c>
      <c r="BA677" s="14" t="n">
        <v>0</v>
      </c>
      <c r="BB677" s="14" t="n">
        <v>0</v>
      </c>
      <c r="BC677" s="14" t="n">
        <v>0.589</v>
      </c>
      <c r="BD677" s="14" t="n">
        <v>0.123</v>
      </c>
      <c r="BE677" s="14" t="n">
        <v>-0.394</v>
      </c>
      <c r="BF677" s="14" t="n">
        <v>0.223</v>
      </c>
      <c r="BG677" s="14" t="n">
        <v>0</v>
      </c>
      <c r="BH677" s="14" t="n">
        <v>0</v>
      </c>
      <c r="BI677" s="14" t="n">
        <v>0.6889999999999999</v>
      </c>
      <c r="BJ677" s="14" t="n">
        <v>0.123</v>
      </c>
      <c r="BK677" s="14" t="n">
        <v>-0.512</v>
      </c>
      <c r="BL677" s="14" t="n">
        <v>0.204</v>
      </c>
      <c r="BM677" s="14" t="n">
        <v>0</v>
      </c>
      <c r="BN677" s="14" t="n">
        <v>0</v>
      </c>
      <c r="BO677" s="14" t="n">
        <v>0</v>
      </c>
      <c r="BP677" s="14" t="n">
        <v>-0.036</v>
      </c>
      <c r="BQ677" s="14" t="n">
        <v>0.048</v>
      </c>
      <c r="BR677" s="14" t="n">
        <v>0</v>
      </c>
      <c r="BS677" s="14" t="n">
        <v>0</v>
      </c>
      <c r="BT677" s="14" t="n">
        <v>0</v>
      </c>
      <c r="BU677" s="14" t="n">
        <v>-0.036</v>
      </c>
      <c r="BV677" s="14" t="n">
        <v>0.064</v>
      </c>
      <c r="BW677" s="14" t="n">
        <v>0</v>
      </c>
      <c r="BX677" s="14" t="n">
        <v>0.333</v>
      </c>
      <c r="BY677" s="14" t="n">
        <v>12.729</v>
      </c>
      <c r="BZ677" s="14" t="n">
        <v>0</v>
      </c>
      <c r="CA677" s="14" t="n">
        <v>12.729</v>
      </c>
      <c r="CB677" s="14" t="n">
        <v>0</v>
      </c>
      <c r="CC677" s="14" t="n">
        <v>102.477</v>
      </c>
      <c r="CD677" s="14" t="n">
        <v>7.95</v>
      </c>
      <c r="CE677" s="14" t="n">
        <v>-74.36199999999999</v>
      </c>
      <c r="CF677" s="14" t="n">
        <v>32.331</v>
      </c>
      <c r="CG677" s="14" t="n">
        <v>0</v>
      </c>
      <c r="CH677" s="14" t="n">
        <v>0</v>
      </c>
      <c r="CI677" s="14" t="n">
        <v>0</v>
      </c>
      <c r="CJ677" s="14" t="n">
        <v>0</v>
      </c>
      <c r="CK677" s="14" t="n">
        <v>0</v>
      </c>
      <c r="CL677" s="14" t="n">
        <v>0</v>
      </c>
      <c r="CM677" s="14" t="n">
        <v>0</v>
      </c>
      <c r="CN677" s="14" t="n">
        <v>0</v>
      </c>
      <c r="CO677" s="14" t="n">
        <v>0</v>
      </c>
      <c r="CP677" s="14" t="n">
        <v>0</v>
      </c>
      <c r="CQ677" s="14" t="n">
        <v>1.294</v>
      </c>
      <c r="CR677" s="14" t="n">
        <v>1</v>
      </c>
      <c r="CS677" s="14" t="n">
        <v>3.716</v>
      </c>
      <c r="CT677" s="14" t="n">
        <v>10.485</v>
      </c>
      <c r="CU677" s="14" t="n">
        <v>30.326</v>
      </c>
    </row>
    <row r="678">
      <c r="A678" s="14" t="inlineStr">
        <is>
          <t>SAU2023</t>
        </is>
      </c>
      <c r="B678" s="14" t="inlineStr">
        <is>
          <t>SAU</t>
        </is>
      </c>
      <c r="C678" s="14" t="inlineStr">
        <is>
          <t>SAU</t>
        </is>
      </c>
      <c r="D678" s="14" t="inlineStr">
        <is>
          <t>Saudi Arabia</t>
        </is>
      </c>
      <c r="E678" s="14" t="n">
        <v>2023</v>
      </c>
      <c r="F678" s="14" t="n">
        <v>0.15</v>
      </c>
      <c r="G678" s="14" t="n">
        <v>6.147</v>
      </c>
      <c r="H678" s="14" t="n">
        <v>1.286</v>
      </c>
      <c r="I678" s="14" t="n">
        <v>0.273</v>
      </c>
      <c r="J678" s="14" t="n">
        <v>6.42</v>
      </c>
      <c r="K678" s="14" t="n">
        <v>0</v>
      </c>
      <c r="L678" s="14" t="n">
        <v>1</v>
      </c>
      <c r="M678" s="14" t="n">
        <v>7.886</v>
      </c>
      <c r="N678" s="14" t="n">
        <v>3.857</v>
      </c>
      <c r="O678" s="14" t="n">
        <v>0.227</v>
      </c>
      <c r="P678" s="14" t="n">
        <v>8.113</v>
      </c>
      <c r="Q678" s="14" t="n">
        <v>0</v>
      </c>
      <c r="R678" s="14" t="n">
        <v>1</v>
      </c>
      <c r="S678" s="14" t="n">
        <v>12.575</v>
      </c>
      <c r="T678" s="14" t="n">
        <v>7.714</v>
      </c>
      <c r="U678" s="14" t="n">
        <v>0.487</v>
      </c>
      <c r="V678" s="14" t="n">
        <v>14.776</v>
      </c>
      <c r="W678" s="14" t="n">
        <v>0.15</v>
      </c>
      <c r="X678" s="14" t="n">
        <v>1</v>
      </c>
      <c r="Y678" s="14" t="n">
        <v>4.512</v>
      </c>
      <c r="Z678" s="14" t="n">
        <v>0.409</v>
      </c>
      <c r="AA678" s="14" t="n">
        <v>-3.047</v>
      </c>
      <c r="AB678" s="14" t="n">
        <v>1.466</v>
      </c>
      <c r="AC678" s="14" t="n">
        <v>0</v>
      </c>
      <c r="AD678" s="14" t="n">
        <v>0</v>
      </c>
      <c r="AE678" s="14" t="n">
        <v>5.155</v>
      </c>
      <c r="AF678" s="14" t="n">
        <v>0.841</v>
      </c>
      <c r="AG678" s="14" t="n">
        <v>-3.926</v>
      </c>
      <c r="AH678" s="14" t="n">
        <v>1.229</v>
      </c>
      <c r="AI678" s="14" t="n">
        <v>0</v>
      </c>
      <c r="AJ678" s="14" t="n">
        <v>0</v>
      </c>
      <c r="AK678" s="14" t="n">
        <v>9.012</v>
      </c>
      <c r="AL678" s="14" t="n">
        <v>3.789</v>
      </c>
      <c r="AM678" s="14" t="n">
        <v>-3.74</v>
      </c>
      <c r="AN678" s="14" t="n">
        <v>5.272</v>
      </c>
      <c r="AO678" s="14" t="n">
        <v>0</v>
      </c>
      <c r="AP678" s="14" t="n">
        <v>0</v>
      </c>
      <c r="AQ678" s="14" t="n">
        <v>0.749</v>
      </c>
      <c r="AR678" s="14" t="n">
        <v>0.129</v>
      </c>
      <c r="AS678" s="14" t="n">
        <v>-0.209</v>
      </c>
      <c r="AT678" s="14" t="n">
        <v>0.621</v>
      </c>
      <c r="AU678" s="14" t="n">
        <v>0</v>
      </c>
      <c r="AV678" s="14" t="n">
        <v>0</v>
      </c>
      <c r="AW678" s="14" t="n">
        <v>0.783</v>
      </c>
      <c r="AX678" s="14" t="n">
        <v>0.129</v>
      </c>
      <c r="AY678" s="14" t="n">
        <v>-0.609</v>
      </c>
      <c r="AZ678" s="14" t="n">
        <v>0.2</v>
      </c>
      <c r="BA678" s="14" t="n">
        <v>0</v>
      </c>
      <c r="BB678" s="14" t="n">
        <v>0</v>
      </c>
      <c r="BC678" s="14" t="n">
        <v>0.527</v>
      </c>
      <c r="BD678" s="14" t="n">
        <v>0.129</v>
      </c>
      <c r="BE678" s="14" t="n">
        <v>-0.312</v>
      </c>
      <c r="BF678" s="14" t="n">
        <v>0.248</v>
      </c>
      <c r="BG678" s="14" t="n">
        <v>0</v>
      </c>
      <c r="BH678" s="14" t="n">
        <v>0</v>
      </c>
      <c r="BI678" s="14" t="n">
        <v>0.64</v>
      </c>
      <c r="BJ678" s="14" t="n">
        <v>0.129</v>
      </c>
      <c r="BK678" s="14" t="n">
        <v>-0.436</v>
      </c>
      <c r="BL678" s="14" t="n">
        <v>0.235</v>
      </c>
      <c r="BM678" s="14" t="n">
        <v>0</v>
      </c>
      <c r="BN678" s="14" t="n">
        <v>0</v>
      </c>
      <c r="BO678" s="14" t="n">
        <v>0</v>
      </c>
      <c r="BP678" s="14" t="n">
        <v>-0.036</v>
      </c>
      <c r="BQ678" s="14" t="n">
        <v>0.048</v>
      </c>
      <c r="BR678" s="14" t="n">
        <v>0</v>
      </c>
      <c r="BS678" s="14" t="n">
        <v>0</v>
      </c>
      <c r="BT678" s="14" t="n">
        <v>0</v>
      </c>
      <c r="BU678" s="14" t="n">
        <v>-0.036</v>
      </c>
      <c r="BV678" s="14" t="n">
        <v>0.064</v>
      </c>
      <c r="BW678" s="14" t="n">
        <v>0</v>
      </c>
      <c r="BX678" s="14" t="n">
        <v>0.333</v>
      </c>
      <c r="BY678" s="14" t="n">
        <v>13.254</v>
      </c>
      <c r="BZ678" s="14" t="n">
        <v>0</v>
      </c>
      <c r="CA678" s="14" t="n">
        <v>13.254</v>
      </c>
      <c r="CB678" s="14" t="n">
        <v>0</v>
      </c>
      <c r="CC678" s="14" t="n">
        <v>87.07899999999999</v>
      </c>
      <c r="CD678" s="14" t="n">
        <v>7.95</v>
      </c>
      <c r="CE678" s="14" t="n">
        <v>-54.713</v>
      </c>
      <c r="CF678" s="14" t="n">
        <v>37.221</v>
      </c>
      <c r="CG678" s="14" t="n">
        <v>0</v>
      </c>
      <c r="CH678" s="14" t="n">
        <v>0</v>
      </c>
      <c r="CI678" s="14" t="n">
        <v>0</v>
      </c>
      <c r="CJ678" s="14" t="n">
        <v>0</v>
      </c>
      <c r="CK678" s="14" t="n">
        <v>0</v>
      </c>
      <c r="CL678" s="14" t="n">
        <v>0</v>
      </c>
      <c r="CM678" s="14" t="n">
        <v>0</v>
      </c>
      <c r="CN678" s="14" t="n">
        <v>0</v>
      </c>
      <c r="CO678" s="14" t="n">
        <v>0</v>
      </c>
      <c r="CP678" s="14" t="n">
        <v>0</v>
      </c>
      <c r="CQ678" s="14" t="n">
        <v>1.348</v>
      </c>
      <c r="CR678" s="14" t="n">
        <v>1</v>
      </c>
      <c r="CS678" s="14" t="n">
        <v>3.87</v>
      </c>
      <c r="CT678" s="14" t="n">
        <v>4.861</v>
      </c>
      <c r="CU678" s="14" t="n">
        <v>10.622</v>
      </c>
    </row>
    <row r="679">
      <c r="A679" s="14" t="inlineStr">
        <is>
          <t>SAU2024</t>
        </is>
      </c>
      <c r="B679" s="14" t="inlineStr">
        <is>
          <t>SAU</t>
        </is>
      </c>
      <c r="C679" s="14" t="inlineStr">
        <is>
          <t>SAU</t>
        </is>
      </c>
      <c r="D679" s="14" t="inlineStr">
        <is>
          <t>Saudi Arabia</t>
        </is>
      </c>
      <c r="E679" s="14" t="n">
        <v>2024</v>
      </c>
      <c r="F679" s="14" t="n">
        <v>0.15</v>
      </c>
      <c r="G679" s="14" t="n">
        <v>5.575</v>
      </c>
      <c r="H679" s="14" t="n">
        <v>1.324</v>
      </c>
      <c r="I679" s="14" t="n">
        <v>0.213</v>
      </c>
      <c r="J679" s="14" t="n">
        <v>5.787</v>
      </c>
      <c r="K679" s="14" t="n">
        <v>0</v>
      </c>
      <c r="L679" s="14" t="n">
        <v>1</v>
      </c>
      <c r="M679" s="14" t="n">
        <v>7.124</v>
      </c>
      <c r="N679" s="14" t="n">
        <v>3.971</v>
      </c>
      <c r="O679" s="14" t="n">
        <v>0.158</v>
      </c>
      <c r="P679" s="14" t="n">
        <v>7.281</v>
      </c>
      <c r="Q679" s="14" t="n">
        <v>0</v>
      </c>
      <c r="R679" s="14" t="n">
        <v>1</v>
      </c>
      <c r="S679" s="14" t="n">
        <v>12.193</v>
      </c>
      <c r="T679" s="14" t="n">
        <v>7.942</v>
      </c>
      <c r="U679" s="14" t="n">
        <v>0.466</v>
      </c>
      <c r="V679" s="14" t="n">
        <v>14.266</v>
      </c>
      <c r="W679" s="14" t="n">
        <v>0.15</v>
      </c>
      <c r="X679" s="14" t="n">
        <v>1</v>
      </c>
      <c r="Y679" s="14" t="n">
        <v>4.646</v>
      </c>
      <c r="Z679" s="14" t="n">
        <v>0.421</v>
      </c>
      <c r="AA679" s="14" t="n">
        <v>-3.137</v>
      </c>
      <c r="AB679" s="14" t="n">
        <v>1.509</v>
      </c>
      <c r="AC679" s="14" t="n">
        <v>0</v>
      </c>
      <c r="AD679" s="14" t="n">
        <v>0</v>
      </c>
      <c r="AE679" s="14" t="n">
        <v>5.307</v>
      </c>
      <c r="AF679" s="14" t="n">
        <v>0.866</v>
      </c>
      <c r="AG679" s="14" t="n">
        <v>-4.042</v>
      </c>
      <c r="AH679" s="14" t="n">
        <v>1.266</v>
      </c>
      <c r="AI679" s="14" t="n">
        <v>0</v>
      </c>
      <c r="AJ679" s="14" t="n">
        <v>0</v>
      </c>
      <c r="AK679" s="14" t="n">
        <v>9.278</v>
      </c>
      <c r="AL679" s="14" t="n">
        <v>3.901</v>
      </c>
      <c r="AM679" s="14" t="n">
        <v>-3.969</v>
      </c>
      <c r="AN679" s="14" t="n">
        <v>5.309</v>
      </c>
      <c r="AO679" s="14" t="n">
        <v>0</v>
      </c>
      <c r="AP679" s="14" t="n">
        <v>0</v>
      </c>
      <c r="AQ679" s="14" t="n">
        <v>0.72</v>
      </c>
      <c r="AR679" s="14" t="n">
        <v>0.132</v>
      </c>
      <c r="AS679" s="14" t="n">
        <v>-0.18</v>
      </c>
      <c r="AT679" s="14" t="n">
        <v>0.621</v>
      </c>
      <c r="AU679" s="14" t="n">
        <v>0</v>
      </c>
      <c r="AV679" s="14" t="n">
        <v>0</v>
      </c>
      <c r="AW679" s="14" t="n">
        <v>0.734</v>
      </c>
      <c r="AX679" s="14" t="n">
        <v>0.132</v>
      </c>
      <c r="AY679" s="14" t="n">
        <v>-0.467</v>
      </c>
      <c r="AZ679" s="14" t="n">
        <v>0.307</v>
      </c>
      <c r="BA679" s="14" t="n">
        <v>0</v>
      </c>
      <c r="BB679" s="14" t="n">
        <v>0</v>
      </c>
      <c r="BC679" s="14" t="n">
        <v>0.51</v>
      </c>
      <c r="BD679" s="14" t="n">
        <v>0.132</v>
      </c>
      <c r="BE679" s="14" t="n">
        <v>-0.278</v>
      </c>
      <c r="BF679" s="14" t="n">
        <v>0.267</v>
      </c>
      <c r="BG679" s="14" t="n">
        <v>0</v>
      </c>
      <c r="BH679" s="14" t="n">
        <v>0</v>
      </c>
      <c r="BI679" s="14" t="n">
        <v>0.652</v>
      </c>
      <c r="BJ679" s="14" t="n">
        <v>0.132</v>
      </c>
      <c r="BK679" s="14" t="n">
        <v>-0.382</v>
      </c>
      <c r="BL679" s="14" t="n">
        <v>0.31</v>
      </c>
      <c r="BM679" s="14" t="n">
        <v>0</v>
      </c>
      <c r="BN679" s="14" t="n">
        <v>0</v>
      </c>
      <c r="BO679" s="14" t="n">
        <v>0</v>
      </c>
      <c r="BP679" s="14" t="n">
        <v>-0.037</v>
      </c>
      <c r="BQ679" s="14" t="n">
        <v>0.048</v>
      </c>
      <c r="BR679" s="14" t="n">
        <v>0</v>
      </c>
      <c r="BS679" s="14" t="n">
        <v>0</v>
      </c>
      <c r="BT679" s="14" t="n">
        <v>0</v>
      </c>
      <c r="BU679" s="14" t="n">
        <v>-0.037</v>
      </c>
      <c r="BV679" s="14" t="n">
        <v>0.057</v>
      </c>
      <c r="BW679" s="14" t="n">
        <v>0</v>
      </c>
      <c r="BX679" s="14" t="n">
        <v>0.333</v>
      </c>
      <c r="BY679" s="14" t="n">
        <v>13.646</v>
      </c>
      <c r="BZ679" s="14" t="n">
        <v>0</v>
      </c>
      <c r="CA679" s="14" t="n">
        <v>13.646</v>
      </c>
      <c r="CB679" s="14" t="n">
        <v>0</v>
      </c>
      <c r="CC679" s="14" t="n">
        <v>86.38500000000001</v>
      </c>
      <c r="CD679" s="14" t="n">
        <v>7.95</v>
      </c>
      <c r="CE679" s="14" t="n">
        <v>-37.7</v>
      </c>
      <c r="CF679" s="14" t="n">
        <v>55.988</v>
      </c>
      <c r="CG679" s="14" t="n">
        <v>0</v>
      </c>
      <c r="CH679" s="14" t="n">
        <v>0</v>
      </c>
      <c r="CI679" s="14" t="n">
        <v>0</v>
      </c>
      <c r="CJ679" s="14" t="n">
        <v>0</v>
      </c>
      <c r="CK679" s="14" t="n">
        <v>0</v>
      </c>
      <c r="CL679" s="14" t="n">
        <v>0</v>
      </c>
      <c r="CM679" s="14" t="n">
        <v>0</v>
      </c>
      <c r="CN679" s="14" t="n">
        <v>0</v>
      </c>
      <c r="CO679" s="14" t="n">
        <v>0</v>
      </c>
      <c r="CP679" s="14" t="n">
        <v>0</v>
      </c>
      <c r="CQ679" s="14" t="n">
        <v>1.387</v>
      </c>
      <c r="CR679" s="14" t="n">
        <v>1</v>
      </c>
      <c r="CS679" s="14" t="n">
        <v>3.984</v>
      </c>
      <c r="CT679" s="14" t="n">
        <v>4.251</v>
      </c>
      <c r="CU679" s="14" t="n">
        <v>9.167999999999999</v>
      </c>
    </row>
    <row r="680">
      <c r="A680" s="14" t="inlineStr">
        <is>
          <t>SEN2021</t>
        </is>
      </c>
      <c r="B680" s="14" t="inlineStr">
        <is>
          <t>SEN</t>
        </is>
      </c>
      <c r="C680" s="14" t="inlineStr">
        <is>
          <t>SEN</t>
        </is>
      </c>
      <c r="D680" s="14" t="inlineStr">
        <is>
          <t>Senegal</t>
        </is>
      </c>
      <c r="E680" s="14" t="n">
        <v>2021</v>
      </c>
      <c r="F680" s="14" t="n">
        <v>0.18</v>
      </c>
      <c r="G680" s="14" t="n">
        <v>5.897</v>
      </c>
      <c r="H680" s="14" t="n">
        <v>1.143</v>
      </c>
      <c r="I680" s="14" t="n">
        <v>0</v>
      </c>
      <c r="J680" s="14" t="n">
        <v>5.897</v>
      </c>
      <c r="K680" s="14" t="n">
        <v>0</v>
      </c>
      <c r="L680" s="14" t="n">
        <v>1</v>
      </c>
      <c r="M680" s="14" t="n">
        <v>7.964</v>
      </c>
      <c r="N680" s="14" t="n">
        <v>3.43</v>
      </c>
      <c r="O680" s="14" t="n">
        <v>0</v>
      </c>
      <c r="P680" s="14" t="n">
        <v>7.964</v>
      </c>
      <c r="Q680" s="14" t="n">
        <v>0</v>
      </c>
      <c r="R680" s="14" t="n">
        <v>1</v>
      </c>
      <c r="S680" s="14" t="n">
        <v>11.613</v>
      </c>
      <c r="T680" s="14" t="n">
        <v>6.86</v>
      </c>
      <c r="U680" s="14" t="n">
        <v>0</v>
      </c>
      <c r="V680" s="14" t="n">
        <v>13.704</v>
      </c>
      <c r="W680" s="14" t="n">
        <v>0.18</v>
      </c>
      <c r="X680" s="14" t="n">
        <v>1</v>
      </c>
      <c r="Y680" s="14" t="n">
        <v>4.848</v>
      </c>
      <c r="Z680" s="14" t="n">
        <v>0.356</v>
      </c>
      <c r="AA680" s="14" t="n">
        <v>0</v>
      </c>
      <c r="AB680" s="14" t="n">
        <v>4.848</v>
      </c>
      <c r="AC680" s="14" t="n">
        <v>0</v>
      </c>
      <c r="AD680" s="14" t="n">
        <v>1</v>
      </c>
      <c r="AE680" s="14" t="n">
        <v>5.42</v>
      </c>
      <c r="AF680" s="14" t="n">
        <v>0.733</v>
      </c>
      <c r="AG680" s="14" t="n">
        <v>0</v>
      </c>
      <c r="AH680" s="14" t="n">
        <v>5.42</v>
      </c>
      <c r="AI680" s="14" t="n">
        <v>0</v>
      </c>
      <c r="AJ680" s="14" t="n">
        <v>1</v>
      </c>
      <c r="AK680" s="14" t="n">
        <v>8.85</v>
      </c>
      <c r="AL680" s="14" t="n">
        <v>3.288</v>
      </c>
      <c r="AM680" s="14" t="n">
        <v>0</v>
      </c>
      <c r="AN680" s="14" t="n">
        <v>10.443</v>
      </c>
      <c r="AO680" s="14" t="n">
        <v>0.18</v>
      </c>
      <c r="AP680" s="14" t="n">
        <v>1</v>
      </c>
      <c r="AQ680" s="14" t="n">
        <v>0.619</v>
      </c>
      <c r="AR680" s="14" t="n">
        <v>0.114</v>
      </c>
      <c r="AS680" s="14" t="n">
        <v>0.469</v>
      </c>
      <c r="AT680" s="14" t="n">
        <v>1.284</v>
      </c>
      <c r="AU680" s="14" t="n">
        <v>0.18</v>
      </c>
      <c r="AV680" s="14" t="n">
        <v>1</v>
      </c>
      <c r="AW680" s="14" t="n">
        <v>0.599</v>
      </c>
      <c r="AX680" s="14" t="n">
        <v>0.114</v>
      </c>
      <c r="AY680" s="14" t="n">
        <v>0.401</v>
      </c>
      <c r="AZ680" s="14" t="n">
        <v>1.18</v>
      </c>
      <c r="BA680" s="14" t="n">
        <v>0.18</v>
      </c>
      <c r="BB680" s="14" t="n">
        <v>1</v>
      </c>
      <c r="BC680" s="14" t="n">
        <v>0.439</v>
      </c>
      <c r="BD680" s="14" t="n">
        <v>0.114</v>
      </c>
      <c r="BE680" s="14" t="n">
        <v>0.034</v>
      </c>
      <c r="BF680" s="14" t="n">
        <v>0.5580000000000001</v>
      </c>
      <c r="BG680" s="14" t="n">
        <v>0.18</v>
      </c>
      <c r="BH680" s="14" t="n">
        <v>1</v>
      </c>
      <c r="BI680" s="14" t="n">
        <v>0.505</v>
      </c>
      <c r="BJ680" s="14" t="n">
        <v>0.114</v>
      </c>
      <c r="BK680" s="14" t="n">
        <v>0.122</v>
      </c>
      <c r="BL680" s="14" t="n">
        <v>0.74</v>
      </c>
      <c r="BM680" s="14" t="n">
        <v>0.18</v>
      </c>
      <c r="BN680" s="14" t="n">
        <v>1</v>
      </c>
      <c r="BO680" s="14" t="n">
        <v>0</v>
      </c>
      <c r="BP680" s="14" t="n">
        <v>0</v>
      </c>
      <c r="BQ680" s="14" t="n">
        <v>0.153</v>
      </c>
      <c r="BR680" s="14" t="n">
        <v>0</v>
      </c>
      <c r="BS680" s="14" t="n">
        <v>0.667</v>
      </c>
      <c r="BT680" s="14" t="n">
        <v>0</v>
      </c>
      <c r="BU680" s="14" t="n">
        <v>0</v>
      </c>
      <c r="BV680" s="14" t="n">
        <v>0.207</v>
      </c>
      <c r="BW680" s="14" t="n">
        <v>0.18</v>
      </c>
      <c r="BX680" s="14" t="n">
        <v>0.833</v>
      </c>
      <c r="BY680" s="14" t="n">
        <v>11.787</v>
      </c>
      <c r="BZ680" s="14" t="n">
        <v>0</v>
      </c>
      <c r="CA680" s="14" t="n">
        <v>11.787</v>
      </c>
      <c r="CB680" s="14" t="n">
        <v>0</v>
      </c>
      <c r="CC680" s="14" t="n">
        <v>78.125</v>
      </c>
      <c r="CD680" s="14" t="n">
        <v>7.95</v>
      </c>
      <c r="CE680" s="14" t="n">
        <v>3.819</v>
      </c>
      <c r="CF680" s="14" t="n">
        <v>96.694</v>
      </c>
      <c r="CG680" s="14" t="n">
        <v>0.18</v>
      </c>
      <c r="CH680" s="14" t="n">
        <v>1</v>
      </c>
      <c r="CI680" s="14" t="n">
        <v>0</v>
      </c>
      <c r="CJ680" s="14" t="n">
        <v>0</v>
      </c>
      <c r="CK680" s="14" t="n">
        <v>0</v>
      </c>
      <c r="CL680" s="14" t="n">
        <v>0</v>
      </c>
      <c r="CM680" s="14" t="n">
        <v>0</v>
      </c>
      <c r="CN680" s="14" t="n">
        <v>0</v>
      </c>
      <c r="CO680" s="14" t="n">
        <v>0</v>
      </c>
      <c r="CP680" s="14" t="n">
        <v>0</v>
      </c>
      <c r="CQ680" s="14" t="n">
        <v>1.198</v>
      </c>
      <c r="CR680" s="14" t="n">
        <v>1</v>
      </c>
      <c r="CS680" s="14" t="n">
        <v>4.276</v>
      </c>
      <c r="CT680" s="14" t="n">
        <v>4.753</v>
      </c>
      <c r="CU680" s="14" t="n">
        <v>15.162</v>
      </c>
    </row>
    <row r="681">
      <c r="A681" s="14" t="inlineStr">
        <is>
          <t>SEN2022</t>
        </is>
      </c>
      <c r="B681" s="14" t="inlineStr">
        <is>
          <t>SEN</t>
        </is>
      </c>
      <c r="C681" s="14" t="inlineStr">
        <is>
          <t>SEN</t>
        </is>
      </c>
      <c r="D681" s="14" t="inlineStr">
        <is>
          <t>Senegal</t>
        </is>
      </c>
      <c r="E681" s="14" t="n">
        <v>2022</v>
      </c>
      <c r="F681" s="14" t="n">
        <v>0.18</v>
      </c>
      <c r="G681" s="14" t="n">
        <v>11.72</v>
      </c>
      <c r="H681" s="14" t="n">
        <v>1.235</v>
      </c>
      <c r="I681" s="14" t="n">
        <v>0</v>
      </c>
      <c r="J681" s="14" t="n">
        <v>11.72</v>
      </c>
      <c r="K681" s="14" t="n">
        <v>0</v>
      </c>
      <c r="L681" s="14" t="n">
        <v>1</v>
      </c>
      <c r="M681" s="14" t="n">
        <v>9.782999999999999</v>
      </c>
      <c r="N681" s="14" t="n">
        <v>3.704</v>
      </c>
      <c r="O681" s="14" t="n">
        <v>0</v>
      </c>
      <c r="P681" s="14" t="n">
        <v>9.782999999999999</v>
      </c>
      <c r="Q681" s="14" t="n">
        <v>0</v>
      </c>
      <c r="R681" s="14" t="n">
        <v>1</v>
      </c>
      <c r="S681" s="14" t="n">
        <v>17.893</v>
      </c>
      <c r="T681" s="14" t="n">
        <v>7.408</v>
      </c>
      <c r="U681" s="14" t="n">
        <v>0.238</v>
      </c>
      <c r="V681" s="14" t="n">
        <v>21.114</v>
      </c>
      <c r="W681" s="14" t="n">
        <v>0.18</v>
      </c>
      <c r="X681" s="14" t="n">
        <v>1</v>
      </c>
      <c r="Y681" s="14" t="n">
        <v>5.236</v>
      </c>
      <c r="Z681" s="14" t="n">
        <v>0.385</v>
      </c>
      <c r="AA681" s="14" t="n">
        <v>0</v>
      </c>
      <c r="AB681" s="14" t="n">
        <v>5.236</v>
      </c>
      <c r="AC681" s="14" t="n">
        <v>0</v>
      </c>
      <c r="AD681" s="14" t="n">
        <v>1</v>
      </c>
      <c r="AE681" s="14" t="n">
        <v>5.853</v>
      </c>
      <c r="AF681" s="14" t="n">
        <v>0.791</v>
      </c>
      <c r="AG681" s="14" t="n">
        <v>0</v>
      </c>
      <c r="AH681" s="14" t="n">
        <v>5.853</v>
      </c>
      <c r="AI681" s="14" t="n">
        <v>0</v>
      </c>
      <c r="AJ681" s="14" t="n">
        <v>1</v>
      </c>
      <c r="AK681" s="14" t="n">
        <v>9.557</v>
      </c>
      <c r="AL681" s="14" t="n">
        <v>3.55</v>
      </c>
      <c r="AM681" s="14" t="n">
        <v>0.127</v>
      </c>
      <c r="AN681" s="14" t="n">
        <v>11.277</v>
      </c>
      <c r="AO681" s="14" t="n">
        <v>0.18</v>
      </c>
      <c r="AP681" s="14" t="n">
        <v>1</v>
      </c>
      <c r="AQ681" s="14" t="n">
        <v>0.861</v>
      </c>
      <c r="AR681" s="14" t="n">
        <v>0.123</v>
      </c>
      <c r="AS681" s="14" t="n">
        <v>0.137</v>
      </c>
      <c r="AT681" s="14" t="n">
        <v>1.178</v>
      </c>
      <c r="AU681" s="14" t="n">
        <v>0.18</v>
      </c>
      <c r="AV681" s="14" t="n">
        <v>1</v>
      </c>
      <c r="AW681" s="14" t="n">
        <v>0.986</v>
      </c>
      <c r="AX681" s="14" t="n">
        <v>0.123</v>
      </c>
      <c r="AY681" s="14" t="n">
        <v>-0.096</v>
      </c>
      <c r="AZ681" s="14" t="n">
        <v>1.05</v>
      </c>
      <c r="BA681" s="14" t="n">
        <v>0.18</v>
      </c>
      <c r="BB681" s="14" t="n">
        <v>1</v>
      </c>
      <c r="BC681" s="14" t="n">
        <v>0.598</v>
      </c>
      <c r="BD681" s="14" t="n">
        <v>0.123</v>
      </c>
      <c r="BE681" s="14" t="n">
        <v>0.023</v>
      </c>
      <c r="BF681" s="14" t="n">
        <v>0.732</v>
      </c>
      <c r="BG681" s="14" t="n">
        <v>0.18</v>
      </c>
      <c r="BH681" s="14" t="n">
        <v>1</v>
      </c>
      <c r="BI681" s="14" t="n">
        <v>0.612</v>
      </c>
      <c r="BJ681" s="14" t="n">
        <v>0.123</v>
      </c>
      <c r="BK681" s="14" t="n">
        <v>-0.055</v>
      </c>
      <c r="BL681" s="14" t="n">
        <v>0.658</v>
      </c>
      <c r="BM681" s="14" t="n">
        <v>0.18</v>
      </c>
      <c r="BN681" s="14" t="n">
        <v>1</v>
      </c>
      <c r="BO681" s="14" t="n">
        <v>0</v>
      </c>
      <c r="BP681" s="14" t="n">
        <v>0</v>
      </c>
      <c r="BQ681" s="14" t="n">
        <v>0.136</v>
      </c>
      <c r="BR681" s="14" t="n">
        <v>0</v>
      </c>
      <c r="BS681" s="14" t="n">
        <v>0.667</v>
      </c>
      <c r="BT681" s="14" t="n">
        <v>0</v>
      </c>
      <c r="BU681" s="14" t="n">
        <v>0</v>
      </c>
      <c r="BV681" s="14" t="n">
        <v>0.184</v>
      </c>
      <c r="BW681" s="14" t="n">
        <v>0.18</v>
      </c>
      <c r="BX681" s="14" t="n">
        <v>0.833</v>
      </c>
      <c r="BY681" s="14" t="n">
        <v>12.729</v>
      </c>
      <c r="BZ681" s="14" t="n">
        <v>0</v>
      </c>
      <c r="CA681" s="14" t="n">
        <v>12.729</v>
      </c>
      <c r="CB681" s="14" t="n">
        <v>0</v>
      </c>
      <c r="CC681" s="14" t="n">
        <v>97.90000000000001</v>
      </c>
      <c r="CD681" s="14" t="n">
        <v>7.95</v>
      </c>
      <c r="CE681" s="14" t="n">
        <v>1.37</v>
      </c>
      <c r="CF681" s="14" t="n">
        <v>117.138</v>
      </c>
      <c r="CG681" s="14" t="n">
        <v>0.18</v>
      </c>
      <c r="CH681" s="14" t="n">
        <v>1</v>
      </c>
      <c r="CI681" s="14" t="n">
        <v>0</v>
      </c>
      <c r="CJ681" s="14" t="n">
        <v>0</v>
      </c>
      <c r="CK681" s="14" t="n">
        <v>0</v>
      </c>
      <c r="CL681" s="14" t="n">
        <v>0</v>
      </c>
      <c r="CM681" s="14" t="n">
        <v>0</v>
      </c>
      <c r="CN681" s="14" t="n">
        <v>0</v>
      </c>
      <c r="CO681" s="14" t="n">
        <v>0</v>
      </c>
      <c r="CP681" s="14" t="n">
        <v>0</v>
      </c>
      <c r="CQ681" s="14" t="n">
        <v>1.294</v>
      </c>
      <c r="CR681" s="14" t="n">
        <v>1</v>
      </c>
      <c r="CS681" s="14" t="n">
        <v>4.618</v>
      </c>
      <c r="CT681" s="14" t="n">
        <v>10.485</v>
      </c>
      <c r="CU681" s="14" t="n">
        <v>31.326</v>
      </c>
    </row>
    <row r="682">
      <c r="A682" s="14" t="inlineStr">
        <is>
          <t>SEN2023</t>
        </is>
      </c>
      <c r="B682" s="14" t="inlineStr">
        <is>
          <t>SEN</t>
        </is>
      </c>
      <c r="C682" s="14" t="inlineStr">
        <is>
          <t>SEN</t>
        </is>
      </c>
      <c r="D682" s="14" t="inlineStr">
        <is>
          <t>Senegal</t>
        </is>
      </c>
      <c r="E682" s="14" t="n">
        <v>2023</v>
      </c>
      <c r="F682" s="14" t="n">
        <v>0.18</v>
      </c>
      <c r="G682" s="14" t="n">
        <v>6.147</v>
      </c>
      <c r="H682" s="14" t="n">
        <v>1.286</v>
      </c>
      <c r="I682" s="14" t="n">
        <v>0</v>
      </c>
      <c r="J682" s="14" t="n">
        <v>6.147</v>
      </c>
      <c r="K682" s="14" t="n">
        <v>0</v>
      </c>
      <c r="L682" s="14" t="n">
        <v>1</v>
      </c>
      <c r="M682" s="14" t="n">
        <v>7.886</v>
      </c>
      <c r="N682" s="14" t="n">
        <v>3.857</v>
      </c>
      <c r="O682" s="14" t="n">
        <v>0</v>
      </c>
      <c r="P682" s="14" t="n">
        <v>7.886</v>
      </c>
      <c r="Q682" s="14" t="n">
        <v>0</v>
      </c>
      <c r="R682" s="14" t="n">
        <v>1</v>
      </c>
      <c r="S682" s="14" t="n">
        <v>12.575</v>
      </c>
      <c r="T682" s="14" t="n">
        <v>7.714</v>
      </c>
      <c r="U682" s="14" t="n">
        <v>0.251</v>
      </c>
      <c r="V682" s="14" t="n">
        <v>14.839</v>
      </c>
      <c r="W682" s="14" t="n">
        <v>0.18</v>
      </c>
      <c r="X682" s="14" t="n">
        <v>1</v>
      </c>
      <c r="Y682" s="14" t="n">
        <v>5.452</v>
      </c>
      <c r="Z682" s="14" t="n">
        <v>0.401</v>
      </c>
      <c r="AA682" s="14" t="n">
        <v>0</v>
      </c>
      <c r="AB682" s="14" t="n">
        <v>5.452</v>
      </c>
      <c r="AC682" s="14" t="n">
        <v>0</v>
      </c>
      <c r="AD682" s="14" t="n">
        <v>1</v>
      </c>
      <c r="AE682" s="14" t="n">
        <v>6.095</v>
      </c>
      <c r="AF682" s="14" t="n">
        <v>0.824</v>
      </c>
      <c r="AG682" s="14" t="n">
        <v>0</v>
      </c>
      <c r="AH682" s="14" t="n">
        <v>6.095</v>
      </c>
      <c r="AI682" s="14" t="n">
        <v>0</v>
      </c>
      <c r="AJ682" s="14" t="n">
        <v>1</v>
      </c>
      <c r="AK682" s="14" t="n">
        <v>9.952</v>
      </c>
      <c r="AL682" s="14" t="n">
        <v>3.697</v>
      </c>
      <c r="AM682" s="14" t="n">
        <v>0.198</v>
      </c>
      <c r="AN682" s="14" t="n">
        <v>11.743</v>
      </c>
      <c r="AO682" s="14" t="n">
        <v>0.18</v>
      </c>
      <c r="AP682" s="14" t="n">
        <v>1</v>
      </c>
      <c r="AQ682" s="14" t="n">
        <v>0.76</v>
      </c>
      <c r="AR682" s="14" t="n">
        <v>0.129</v>
      </c>
      <c r="AS682" s="14" t="n">
        <v>0.333</v>
      </c>
      <c r="AT682" s="14" t="n">
        <v>1.29</v>
      </c>
      <c r="AU682" s="14" t="n">
        <v>0.18</v>
      </c>
      <c r="AV682" s="14" t="n">
        <v>1</v>
      </c>
      <c r="AW682" s="14" t="n">
        <v>0.8110000000000001</v>
      </c>
      <c r="AX682" s="14" t="n">
        <v>0.129</v>
      </c>
      <c r="AY682" s="14" t="n">
        <v>0.242</v>
      </c>
      <c r="AZ682" s="14" t="n">
        <v>1.243</v>
      </c>
      <c r="BA682" s="14" t="n">
        <v>0.18</v>
      </c>
      <c r="BB682" s="14" t="n">
        <v>1</v>
      </c>
      <c r="BC682" s="14" t="n">
        <v>0.535</v>
      </c>
      <c r="BD682" s="14" t="n">
        <v>0.129</v>
      </c>
      <c r="BE682" s="14" t="n">
        <v>0</v>
      </c>
      <c r="BF682" s="14" t="n">
        <v>0.631</v>
      </c>
      <c r="BG682" s="14" t="n">
        <v>0.18</v>
      </c>
      <c r="BH682" s="14" t="n">
        <v>1</v>
      </c>
      <c r="BI682" s="14" t="n">
        <v>0.579</v>
      </c>
      <c r="BJ682" s="14" t="n">
        <v>0.129</v>
      </c>
      <c r="BK682" s="14" t="n">
        <v>-0.006</v>
      </c>
      <c r="BL682" s="14" t="n">
        <v>0.676</v>
      </c>
      <c r="BM682" s="14" t="n">
        <v>0.18</v>
      </c>
      <c r="BN682" s="14" t="n">
        <v>1</v>
      </c>
      <c r="BO682" s="14" t="n">
        <v>0</v>
      </c>
      <c r="BP682" s="14" t="n">
        <v>0</v>
      </c>
      <c r="BQ682" s="14" t="n">
        <v>0.13</v>
      </c>
      <c r="BR682" s="14" t="n">
        <v>0</v>
      </c>
      <c r="BS682" s="14" t="n">
        <v>0.667</v>
      </c>
      <c r="BT682" s="14" t="n">
        <v>0</v>
      </c>
      <c r="BU682" s="14" t="n">
        <v>0</v>
      </c>
      <c r="BV682" s="14" t="n">
        <v>0.192</v>
      </c>
      <c r="BW682" s="14" t="n">
        <v>0.18</v>
      </c>
      <c r="BX682" s="14" t="n">
        <v>0.833</v>
      </c>
      <c r="BY682" s="14" t="n">
        <v>13.254</v>
      </c>
      <c r="BZ682" s="14" t="n">
        <v>0</v>
      </c>
      <c r="CA682" s="14" t="n">
        <v>13.254</v>
      </c>
      <c r="CB682" s="14" t="n">
        <v>0</v>
      </c>
      <c r="CC682" s="14" t="n">
        <v>83.248</v>
      </c>
      <c r="CD682" s="14" t="n">
        <v>7.95</v>
      </c>
      <c r="CE682" s="14" t="n">
        <v>18.835</v>
      </c>
      <c r="CF682" s="14" t="n">
        <v>120.458</v>
      </c>
      <c r="CG682" s="14" t="n">
        <v>0.18</v>
      </c>
      <c r="CH682" s="14" t="n">
        <v>1</v>
      </c>
      <c r="CI682" s="14" t="n">
        <v>0</v>
      </c>
      <c r="CJ682" s="14" t="n">
        <v>0</v>
      </c>
      <c r="CK682" s="14" t="n">
        <v>0</v>
      </c>
      <c r="CL682" s="14" t="n">
        <v>0</v>
      </c>
      <c r="CM682" s="14" t="n">
        <v>0</v>
      </c>
      <c r="CN682" s="14" t="n">
        <v>0</v>
      </c>
      <c r="CO682" s="14" t="n">
        <v>0</v>
      </c>
      <c r="CP682" s="14" t="n">
        <v>0</v>
      </c>
      <c r="CQ682" s="14" t="n">
        <v>1.348</v>
      </c>
      <c r="CR682" s="14" t="n">
        <v>1</v>
      </c>
      <c r="CS682" s="14" t="n">
        <v>4.809</v>
      </c>
      <c r="CT682" s="14" t="n">
        <v>4.861</v>
      </c>
      <c r="CU682" s="14" t="n">
        <v>11.622</v>
      </c>
    </row>
    <row r="683">
      <c r="A683" s="14" t="inlineStr">
        <is>
          <t>SEN2024</t>
        </is>
      </c>
      <c r="B683" s="14" t="inlineStr">
        <is>
          <t>SEN</t>
        </is>
      </c>
      <c r="C683" s="14" t="inlineStr">
        <is>
          <t>SEN</t>
        </is>
      </c>
      <c r="D683" s="14" t="inlineStr">
        <is>
          <t>Senegal</t>
        </is>
      </c>
      <c r="E683" s="14" t="n">
        <v>2024</v>
      </c>
      <c r="F683" s="14" t="n">
        <v>0.18</v>
      </c>
      <c r="G683" s="14" t="n">
        <v>5.575</v>
      </c>
      <c r="H683" s="14" t="n">
        <v>1.324</v>
      </c>
      <c r="I683" s="14" t="n">
        <v>0</v>
      </c>
      <c r="J683" s="14" t="n">
        <v>5.575</v>
      </c>
      <c r="K683" s="14" t="n">
        <v>0</v>
      </c>
      <c r="L683" s="14" t="n">
        <v>1</v>
      </c>
      <c r="M683" s="14" t="n">
        <v>7.124</v>
      </c>
      <c r="N683" s="14" t="n">
        <v>3.971</v>
      </c>
      <c r="O683" s="14" t="n">
        <v>0</v>
      </c>
      <c r="P683" s="14" t="n">
        <v>7.124</v>
      </c>
      <c r="Q683" s="14" t="n">
        <v>0</v>
      </c>
      <c r="R683" s="14" t="n">
        <v>1</v>
      </c>
      <c r="S683" s="14" t="n">
        <v>12.193</v>
      </c>
      <c r="T683" s="14" t="n">
        <v>7.942</v>
      </c>
      <c r="U683" s="14" t="n">
        <v>0.299</v>
      </c>
      <c r="V683" s="14" t="n">
        <v>14.388</v>
      </c>
      <c r="W683" s="14" t="n">
        <v>0.18</v>
      </c>
      <c r="X683" s="14" t="n">
        <v>1</v>
      </c>
      <c r="Y683" s="14" t="n">
        <v>5.613</v>
      </c>
      <c r="Z683" s="14" t="n">
        <v>0.413</v>
      </c>
      <c r="AA683" s="14" t="n">
        <v>0</v>
      </c>
      <c r="AB683" s="14" t="n">
        <v>5.613</v>
      </c>
      <c r="AC683" s="14" t="n">
        <v>0</v>
      </c>
      <c r="AD683" s="14" t="n">
        <v>1</v>
      </c>
      <c r="AE683" s="14" t="n">
        <v>6.274</v>
      </c>
      <c r="AF683" s="14" t="n">
        <v>0.848</v>
      </c>
      <c r="AG683" s="14" t="n">
        <v>0</v>
      </c>
      <c r="AH683" s="14" t="n">
        <v>6.274</v>
      </c>
      <c r="AI683" s="14" t="n">
        <v>0</v>
      </c>
      <c r="AJ683" s="14" t="n">
        <v>1</v>
      </c>
      <c r="AK683" s="14" t="n">
        <v>10.245</v>
      </c>
      <c r="AL683" s="14" t="n">
        <v>3.806</v>
      </c>
      <c r="AM683" s="14" t="n">
        <v>0.251</v>
      </c>
      <c r="AN683" s="14" t="n">
        <v>12.089</v>
      </c>
      <c r="AO683" s="14" t="n">
        <v>0.18</v>
      </c>
      <c r="AP683" s="14" t="n">
        <v>1</v>
      </c>
      <c r="AQ683" s="14" t="n">
        <v>0.724</v>
      </c>
      <c r="AR683" s="14" t="n">
        <v>0.132</v>
      </c>
      <c r="AS683" s="14" t="n">
        <v>-0.022</v>
      </c>
      <c r="AT683" s="14" t="n">
        <v>0.829</v>
      </c>
      <c r="AU683" s="14" t="n">
        <v>0.18</v>
      </c>
      <c r="AV683" s="14" t="n">
        <v>1</v>
      </c>
      <c r="AW683" s="14" t="n">
        <v>0.75</v>
      </c>
      <c r="AX683" s="14" t="n">
        <v>0.132</v>
      </c>
      <c r="AY683" s="14" t="n">
        <v>0.304</v>
      </c>
      <c r="AZ683" s="14" t="n">
        <v>1.244</v>
      </c>
      <c r="BA683" s="14" t="n">
        <v>0.18</v>
      </c>
      <c r="BB683" s="14" t="n">
        <v>1</v>
      </c>
      <c r="BC683" s="14" t="n">
        <v>0.513</v>
      </c>
      <c r="BD683" s="14" t="n">
        <v>0.132</v>
      </c>
      <c r="BE683" s="14" t="n">
        <v>0.022</v>
      </c>
      <c r="BF683" s="14" t="n">
        <v>0.631</v>
      </c>
      <c r="BG683" s="14" t="n">
        <v>0.18</v>
      </c>
      <c r="BH683" s="14" t="n">
        <v>1</v>
      </c>
      <c r="BI683" s="14" t="n">
        <v>0.591</v>
      </c>
      <c r="BJ683" s="14" t="n">
        <v>0.132</v>
      </c>
      <c r="BK683" s="14" t="n">
        <v>-0.017</v>
      </c>
      <c r="BL683" s="14" t="n">
        <v>0.677</v>
      </c>
      <c r="BM683" s="14" t="n">
        <v>0.18</v>
      </c>
      <c r="BN683" s="14" t="n">
        <v>1</v>
      </c>
      <c r="BO683" s="14" t="n">
        <v>0</v>
      </c>
      <c r="BP683" s="14" t="n">
        <v>0</v>
      </c>
      <c r="BQ683" s="14" t="n">
        <v>0.164</v>
      </c>
      <c r="BR683" s="14" t="n">
        <v>0</v>
      </c>
      <c r="BS683" s="14" t="n">
        <v>0.667</v>
      </c>
      <c r="BT683" s="14" t="n">
        <v>0</v>
      </c>
      <c r="BU683" s="14" t="n">
        <v>0</v>
      </c>
      <c r="BV683" s="14" t="n">
        <v>0.204</v>
      </c>
      <c r="BW683" s="14" t="n">
        <v>0.18</v>
      </c>
      <c r="BX683" s="14" t="n">
        <v>0.833</v>
      </c>
      <c r="BY683" s="14" t="n">
        <v>13.646</v>
      </c>
      <c r="BZ683" s="14" t="n">
        <v>0</v>
      </c>
      <c r="CA683" s="14" t="n">
        <v>13.646</v>
      </c>
      <c r="CB683" s="14" t="n">
        <v>0</v>
      </c>
      <c r="CC683" s="14" t="n">
        <v>82.58799999999999</v>
      </c>
      <c r="CD683" s="14" t="n">
        <v>7.95</v>
      </c>
      <c r="CE683" s="14" t="n">
        <v>22.803</v>
      </c>
      <c r="CF683" s="14" t="n">
        <v>121.385</v>
      </c>
      <c r="CG683" s="14" t="n">
        <v>0.18</v>
      </c>
      <c r="CH683" s="14" t="n">
        <v>1</v>
      </c>
      <c r="CI683" s="14" t="n">
        <v>0</v>
      </c>
      <c r="CJ683" s="14" t="n">
        <v>0</v>
      </c>
      <c r="CK683" s="14" t="n">
        <v>0</v>
      </c>
      <c r="CL683" s="14" t="n">
        <v>0</v>
      </c>
      <c r="CM683" s="14" t="n">
        <v>0</v>
      </c>
      <c r="CN683" s="14" t="n">
        <v>0</v>
      </c>
      <c r="CO683" s="14" t="n">
        <v>0</v>
      </c>
      <c r="CP683" s="14" t="n">
        <v>0</v>
      </c>
      <c r="CQ683" s="14" t="n">
        <v>1.387</v>
      </c>
      <c r="CR683" s="14" t="n">
        <v>1</v>
      </c>
      <c r="CS683" s="14" t="n">
        <v>4.951</v>
      </c>
      <c r="CT683" s="14" t="n">
        <v>4.251</v>
      </c>
      <c r="CU683" s="14" t="n">
        <v>10.168</v>
      </c>
    </row>
    <row r="684">
      <c r="A684" s="14" t="inlineStr">
        <is>
          <t>SRB2021</t>
        </is>
      </c>
      <c r="B684" s="14" t="inlineStr">
        <is>
          <t>SRB</t>
        </is>
      </c>
      <c r="C684" s="14" t="inlineStr">
        <is>
          <t>SRB</t>
        </is>
      </c>
      <c r="D684" s="14" t="inlineStr">
        <is>
          <t>Serbia</t>
        </is>
      </c>
      <c r="E684" s="14" t="n">
        <v>2021</v>
      </c>
      <c r="F684" s="14" t="n">
        <v>0.2</v>
      </c>
      <c r="G684" s="14" t="n">
        <v>2.135</v>
      </c>
      <c r="H684" s="14" t="n">
        <v>0.627</v>
      </c>
      <c r="I684" s="14" t="n">
        <v>0.004</v>
      </c>
      <c r="J684" s="14" t="n">
        <v>2.14</v>
      </c>
      <c r="K684" s="14" t="n">
        <v>0</v>
      </c>
      <c r="L684" s="14" t="n">
        <v>1</v>
      </c>
      <c r="M684" s="14" t="n">
        <v>3.401</v>
      </c>
      <c r="N684" s="14" t="n">
        <v>1.881</v>
      </c>
      <c r="O684" s="14" t="n">
        <v>0.004</v>
      </c>
      <c r="P684" s="14" t="n">
        <v>3.405</v>
      </c>
      <c r="Q684" s="14" t="n">
        <v>0</v>
      </c>
      <c r="R684" s="14" t="n">
        <v>1</v>
      </c>
      <c r="S684" s="14" t="n">
        <v>6.051</v>
      </c>
      <c r="T684" s="14" t="n">
        <v>3.75</v>
      </c>
      <c r="U684" s="14" t="n">
        <v>0.004</v>
      </c>
      <c r="V684" s="14" t="n">
        <v>7.267</v>
      </c>
      <c r="W684" s="14" t="n">
        <v>0.2</v>
      </c>
      <c r="X684" s="14" t="n">
        <v>1</v>
      </c>
      <c r="Y684" s="14" t="n">
        <v>19.743</v>
      </c>
      <c r="Z684" s="14" t="n">
        <v>2.181</v>
      </c>
      <c r="AA684" s="14" t="n">
        <v>-9.276999999999999</v>
      </c>
      <c r="AB684" s="14" t="n">
        <v>10.466</v>
      </c>
      <c r="AC684" s="14" t="n">
        <v>0</v>
      </c>
      <c r="AD684" s="14" t="n">
        <v>1</v>
      </c>
      <c r="AE684" s="14" t="n">
        <v>19.7</v>
      </c>
      <c r="AF684" s="14" t="n">
        <v>3.877</v>
      </c>
      <c r="AG684" s="14" t="n">
        <v>-9.234</v>
      </c>
      <c r="AH684" s="14" t="n">
        <v>10.466</v>
      </c>
      <c r="AI684" s="14" t="n">
        <v>0</v>
      </c>
      <c r="AJ684" s="14" t="n">
        <v>1</v>
      </c>
      <c r="AK684" s="14" t="n">
        <v>23.335</v>
      </c>
      <c r="AL684" s="14" t="n">
        <v>11.453</v>
      </c>
      <c r="AM684" s="14" t="n">
        <v>-14.036</v>
      </c>
      <c r="AN684" s="14" t="n">
        <v>11.159</v>
      </c>
      <c r="AO684" s="14" t="n">
        <v>0</v>
      </c>
      <c r="AP684" s="14" t="n">
        <v>0</v>
      </c>
      <c r="AQ684" s="14" t="n">
        <v>0.619</v>
      </c>
      <c r="AR684" s="14" t="n">
        <v>0.114</v>
      </c>
      <c r="AS684" s="14" t="n">
        <v>0.655</v>
      </c>
      <c r="AT684" s="14" t="n">
        <v>1.529</v>
      </c>
      <c r="AU684" s="14" t="n">
        <v>0.2</v>
      </c>
      <c r="AV684" s="14" t="n">
        <v>1</v>
      </c>
      <c r="AW684" s="14" t="n">
        <v>0.599</v>
      </c>
      <c r="AX684" s="14" t="n">
        <v>0.114</v>
      </c>
      <c r="AY684" s="14" t="n">
        <v>0.716</v>
      </c>
      <c r="AZ684" s="14" t="n">
        <v>1.579</v>
      </c>
      <c r="BA684" s="14" t="n">
        <v>0.2</v>
      </c>
      <c r="BB684" s="14" t="n">
        <v>1</v>
      </c>
      <c r="BC684" s="14" t="n">
        <v>0.439</v>
      </c>
      <c r="BD684" s="14" t="n">
        <v>0.114</v>
      </c>
      <c r="BE684" s="14" t="n">
        <v>0.271</v>
      </c>
      <c r="BF684" s="14" t="n">
        <v>0.852</v>
      </c>
      <c r="BG684" s="14" t="n">
        <v>0.2</v>
      </c>
      <c r="BH684" s="14" t="n">
        <v>1</v>
      </c>
      <c r="BI684" s="14" t="n">
        <v>0.505</v>
      </c>
      <c r="BJ684" s="14" t="n">
        <v>0.114</v>
      </c>
      <c r="BK684" s="14" t="n">
        <v>0</v>
      </c>
      <c r="BL684" s="14" t="n">
        <v>0.606</v>
      </c>
      <c r="BM684" s="14" t="n">
        <v>0.2</v>
      </c>
      <c r="BN684" s="14" t="n">
        <v>1</v>
      </c>
      <c r="BO684" s="14" t="n">
        <v>0</v>
      </c>
      <c r="BP684" s="14" t="n">
        <v>0.01</v>
      </c>
      <c r="BQ684" s="14" t="n">
        <v>0.08599999999999999</v>
      </c>
      <c r="BR684" s="14" t="n">
        <v>0</v>
      </c>
      <c r="BS684" s="14" t="n">
        <v>1</v>
      </c>
      <c r="BT684" s="14" t="n">
        <v>0</v>
      </c>
      <c r="BU684" s="14" t="n">
        <v>0.01</v>
      </c>
      <c r="BV684" s="14" t="n">
        <v>0.095</v>
      </c>
      <c r="BW684" s="14" t="n">
        <v>0.2</v>
      </c>
      <c r="BX684" s="14" t="n">
        <v>1</v>
      </c>
      <c r="BY684" s="14" t="n">
        <v>11.787</v>
      </c>
      <c r="BZ684" s="14" t="n">
        <v>0</v>
      </c>
      <c r="CA684" s="14" t="n">
        <v>11.787</v>
      </c>
      <c r="CB684" s="14" t="n">
        <v>0</v>
      </c>
      <c r="CC684" s="14" t="n">
        <v>78.125</v>
      </c>
      <c r="CD684" s="14" t="n">
        <v>7.95</v>
      </c>
      <c r="CE684" s="14" t="n">
        <v>0</v>
      </c>
      <c r="CF684" s="14" t="n">
        <v>93.75</v>
      </c>
      <c r="CG684" s="14" t="n">
        <v>0.2</v>
      </c>
      <c r="CH684" s="14" t="n">
        <v>1</v>
      </c>
      <c r="CI684" s="14" t="n">
        <v>0</v>
      </c>
      <c r="CJ684" s="14" t="n">
        <v>0</v>
      </c>
      <c r="CK684" s="14" t="n">
        <v>0</v>
      </c>
      <c r="CL684" s="14" t="n">
        <v>0</v>
      </c>
      <c r="CM684" s="14" t="n">
        <v>0</v>
      </c>
      <c r="CN684" s="14" t="n">
        <v>0</v>
      </c>
      <c r="CO684" s="14" t="n">
        <v>0</v>
      </c>
      <c r="CP684" s="14" t="n">
        <v>0.903</v>
      </c>
      <c r="CQ684" s="14" t="n">
        <v>1.198</v>
      </c>
      <c r="CR684" s="14" t="n">
        <v>0</v>
      </c>
      <c r="CS684" s="14" t="n">
        <v>4.776</v>
      </c>
      <c r="CT684" s="14" t="n">
        <v>4.41</v>
      </c>
      <c r="CU684" s="14" t="n">
        <v>15.162</v>
      </c>
    </row>
    <row r="685">
      <c r="A685" s="14" t="inlineStr">
        <is>
          <t>SRB2022</t>
        </is>
      </c>
      <c r="B685" s="14" t="inlineStr">
        <is>
          <t>SRB</t>
        </is>
      </c>
      <c r="C685" s="14" t="inlineStr">
        <is>
          <t>SRB</t>
        </is>
      </c>
      <c r="D685" s="14" t="inlineStr">
        <is>
          <t>Serbia</t>
        </is>
      </c>
      <c r="E685" s="14" t="n">
        <v>2022</v>
      </c>
      <c r="F685" s="14" t="n">
        <v>0.2</v>
      </c>
      <c r="G685" s="14" t="n">
        <v>2.63</v>
      </c>
      <c r="H685" s="14" t="n">
        <v>0.703</v>
      </c>
      <c r="I685" s="14" t="n">
        <v>0.008</v>
      </c>
      <c r="J685" s="14" t="n">
        <v>2.638</v>
      </c>
      <c r="K685" s="14" t="n">
        <v>0</v>
      </c>
      <c r="L685" s="14" t="n">
        <v>1</v>
      </c>
      <c r="M685" s="14" t="n">
        <v>4.069</v>
      </c>
      <c r="N685" s="14" t="n">
        <v>2.11</v>
      </c>
      <c r="O685" s="14" t="n">
        <v>0.008</v>
      </c>
      <c r="P685" s="14" t="n">
        <v>4.078</v>
      </c>
      <c r="Q685" s="14" t="n">
        <v>0</v>
      </c>
      <c r="R685" s="14" t="n">
        <v>1</v>
      </c>
      <c r="S685" s="14" t="n">
        <v>6.928</v>
      </c>
      <c r="T685" s="14" t="n">
        <v>3.393</v>
      </c>
      <c r="U685" s="14" t="n">
        <v>0.111</v>
      </c>
      <c r="V685" s="14" t="n">
        <v>8.323</v>
      </c>
      <c r="W685" s="14" t="n">
        <v>0.2</v>
      </c>
      <c r="X685" s="14" t="n">
        <v>1</v>
      </c>
      <c r="Y685" s="14" t="n">
        <v>35.999</v>
      </c>
      <c r="Z685" s="14" t="n">
        <v>3.776</v>
      </c>
      <c r="AA685" s="14" t="n">
        <v>-24.578</v>
      </c>
      <c r="AB685" s="14" t="n">
        <v>11.42</v>
      </c>
      <c r="AC685" s="14" t="n">
        <v>0</v>
      </c>
      <c r="AD685" s="14" t="n">
        <v>1</v>
      </c>
      <c r="AE685" s="14" t="n">
        <v>36.046</v>
      </c>
      <c r="AF685" s="14" t="n">
        <v>6.682</v>
      </c>
      <c r="AG685" s="14" t="n">
        <v>-24.626</v>
      </c>
      <c r="AH685" s="14" t="n">
        <v>11.42</v>
      </c>
      <c r="AI685" s="14" t="n">
        <v>0</v>
      </c>
      <c r="AJ685" s="14" t="n">
        <v>1</v>
      </c>
      <c r="AK685" s="14" t="n">
        <v>40.23</v>
      </c>
      <c r="AL685" s="14" t="n">
        <v>19.211</v>
      </c>
      <c r="AM685" s="14" t="n">
        <v>-32.028</v>
      </c>
      <c r="AN685" s="14" t="n">
        <v>9.842000000000001</v>
      </c>
      <c r="AO685" s="14" t="n">
        <v>0</v>
      </c>
      <c r="AP685" s="14" t="n">
        <v>0</v>
      </c>
      <c r="AQ685" s="14" t="n">
        <v>0.861</v>
      </c>
      <c r="AR685" s="14" t="n">
        <v>0.123</v>
      </c>
      <c r="AS685" s="14" t="n">
        <v>0.425</v>
      </c>
      <c r="AT685" s="14" t="n">
        <v>1.543</v>
      </c>
      <c r="AU685" s="14" t="n">
        <v>0.2</v>
      </c>
      <c r="AV685" s="14" t="n">
        <v>1</v>
      </c>
      <c r="AW685" s="14" t="n">
        <v>0.986</v>
      </c>
      <c r="AX685" s="14" t="n">
        <v>0.123</v>
      </c>
      <c r="AY685" s="14" t="n">
        <v>0.437</v>
      </c>
      <c r="AZ685" s="14" t="n">
        <v>1.707</v>
      </c>
      <c r="BA685" s="14" t="n">
        <v>0.2</v>
      </c>
      <c r="BB685" s="14" t="n">
        <v>1</v>
      </c>
      <c r="BC685" s="14" t="n">
        <v>0.598</v>
      </c>
      <c r="BD685" s="14" t="n">
        <v>0.123</v>
      </c>
      <c r="BE685" s="14" t="n">
        <v>0.17</v>
      </c>
      <c r="BF685" s="14" t="n">
        <v>0.921</v>
      </c>
      <c r="BG685" s="14" t="n">
        <v>0.2</v>
      </c>
      <c r="BH685" s="14" t="n">
        <v>1</v>
      </c>
      <c r="BI685" s="14" t="n">
        <v>0.612</v>
      </c>
      <c r="BJ685" s="14" t="n">
        <v>0.123</v>
      </c>
      <c r="BK685" s="14" t="n">
        <v>0.008999999999999999</v>
      </c>
      <c r="BL685" s="14" t="n">
        <v>0.735</v>
      </c>
      <c r="BM685" s="14" t="n">
        <v>0.2</v>
      </c>
      <c r="BN685" s="14" t="n">
        <v>1</v>
      </c>
      <c r="BO685" s="14" t="n">
        <v>0</v>
      </c>
      <c r="BP685" s="14" t="n">
        <v>0.012</v>
      </c>
      <c r="BQ685" s="14" t="n">
        <v>0.093</v>
      </c>
      <c r="BR685" s="14" t="n">
        <v>0</v>
      </c>
      <c r="BS685" s="14" t="n">
        <v>1</v>
      </c>
      <c r="BT685" s="14" t="n">
        <v>0</v>
      </c>
      <c r="BU685" s="14" t="n">
        <v>0.01</v>
      </c>
      <c r="BV685" s="14" t="n">
        <v>0.08799999999999999</v>
      </c>
      <c r="BW685" s="14" t="n">
        <v>0.2</v>
      </c>
      <c r="BX685" s="14" t="n">
        <v>1</v>
      </c>
      <c r="BY685" s="14" t="n">
        <v>12.729</v>
      </c>
      <c r="BZ685" s="14" t="n">
        <v>0</v>
      </c>
      <c r="CA685" s="14" t="n">
        <v>12.729</v>
      </c>
      <c r="CB685" s="14" t="n">
        <v>0</v>
      </c>
      <c r="CC685" s="14" t="n">
        <v>97.90000000000001</v>
      </c>
      <c r="CD685" s="14" t="n">
        <v>7.95</v>
      </c>
      <c r="CE685" s="14" t="n">
        <v>1.449</v>
      </c>
      <c r="CF685" s="14" t="n">
        <v>117.48</v>
      </c>
      <c r="CG685" s="14" t="n">
        <v>0.2</v>
      </c>
      <c r="CH685" s="14" t="n">
        <v>1</v>
      </c>
      <c r="CI685" s="14" t="n">
        <v>0</v>
      </c>
      <c r="CJ685" s="14" t="n">
        <v>0</v>
      </c>
      <c r="CK685" s="14" t="n">
        <v>0</v>
      </c>
      <c r="CL685" s="14" t="n">
        <v>0</v>
      </c>
      <c r="CM685" s="14" t="n">
        <v>0</v>
      </c>
      <c r="CN685" s="14" t="n">
        <v>0</v>
      </c>
      <c r="CO685" s="14" t="n">
        <v>0</v>
      </c>
      <c r="CP685" s="14" t="n">
        <v>0.861</v>
      </c>
      <c r="CQ685" s="14" t="n">
        <v>1.294</v>
      </c>
      <c r="CR685" s="14" t="n">
        <v>0</v>
      </c>
      <c r="CS685" s="14" t="n">
        <v>5.158</v>
      </c>
      <c r="CT685" s="14" t="n">
        <v>5.842</v>
      </c>
      <c r="CU685" s="14" t="n">
        <v>31.326</v>
      </c>
    </row>
    <row r="686">
      <c r="A686" s="14" t="inlineStr">
        <is>
          <t>SRB2023</t>
        </is>
      </c>
      <c r="B686" s="14" t="inlineStr">
        <is>
          <t>SRB</t>
        </is>
      </c>
      <c r="C686" s="14" t="inlineStr">
        <is>
          <t>SRB</t>
        </is>
      </c>
      <c r="D686" s="14" t="inlineStr">
        <is>
          <t>Serbia</t>
        </is>
      </c>
      <c r="E686" s="14" t="n">
        <v>2023</v>
      </c>
      <c r="F686" s="14" t="n">
        <v>0.2</v>
      </c>
      <c r="G686" s="14" t="n">
        <v>2.484</v>
      </c>
      <c r="H686" s="14" t="n">
        <v>0.758</v>
      </c>
      <c r="I686" s="14" t="n">
        <v>0.006</v>
      </c>
      <c r="J686" s="14" t="n">
        <v>2.491</v>
      </c>
      <c r="K686" s="14" t="n">
        <v>0</v>
      </c>
      <c r="L686" s="14" t="n">
        <v>1</v>
      </c>
      <c r="M686" s="14" t="n">
        <v>4.101</v>
      </c>
      <c r="N686" s="14" t="n">
        <v>2.274</v>
      </c>
      <c r="O686" s="14" t="n">
        <v>0.007</v>
      </c>
      <c r="P686" s="14" t="n">
        <v>4.108</v>
      </c>
      <c r="Q686" s="14" t="n">
        <v>0</v>
      </c>
      <c r="R686" s="14" t="n">
        <v>1</v>
      </c>
      <c r="S686" s="14" t="n">
        <v>7.055</v>
      </c>
      <c r="T686" s="14" t="n">
        <v>4.424</v>
      </c>
      <c r="U686" s="14" t="n">
        <v>0.163</v>
      </c>
      <c r="V686" s="14" t="n">
        <v>8.474</v>
      </c>
      <c r="W686" s="14" t="n">
        <v>0.2</v>
      </c>
      <c r="X686" s="14" t="n">
        <v>1</v>
      </c>
      <c r="Y686" s="14" t="n">
        <v>16.346</v>
      </c>
      <c r="Z686" s="14" t="n">
        <v>1.831</v>
      </c>
      <c r="AA686" s="14" t="n">
        <v>-1.576</v>
      </c>
      <c r="AB686" s="14" t="n">
        <v>14.77</v>
      </c>
      <c r="AC686" s="14" t="n">
        <v>0</v>
      </c>
      <c r="AD686" s="14" t="n">
        <v>1</v>
      </c>
      <c r="AE686" s="14" t="n">
        <v>16.445</v>
      </c>
      <c r="AF686" s="14" t="n">
        <v>3.275</v>
      </c>
      <c r="AG686" s="14" t="n">
        <v>-1.675</v>
      </c>
      <c r="AH686" s="14" t="n">
        <v>14.77</v>
      </c>
      <c r="AI686" s="14" t="n">
        <v>0</v>
      </c>
      <c r="AJ686" s="14" t="n">
        <v>1</v>
      </c>
      <c r="AK686" s="14" t="n">
        <v>20.934</v>
      </c>
      <c r="AL686" s="14" t="n">
        <v>10.37</v>
      </c>
      <c r="AM686" s="14" t="n">
        <v>-9.712</v>
      </c>
      <c r="AN686" s="14" t="n">
        <v>13.467</v>
      </c>
      <c r="AO686" s="14" t="n">
        <v>0</v>
      </c>
      <c r="AP686" s="14" t="n">
        <v>0</v>
      </c>
      <c r="AQ686" s="14" t="n">
        <v>0.76</v>
      </c>
      <c r="AR686" s="14" t="n">
        <v>0.129</v>
      </c>
      <c r="AS686" s="14" t="n">
        <v>0.606</v>
      </c>
      <c r="AT686" s="14" t="n">
        <v>1.64</v>
      </c>
      <c r="AU686" s="14" t="n">
        <v>0.2</v>
      </c>
      <c r="AV686" s="14" t="n">
        <v>1</v>
      </c>
      <c r="AW686" s="14" t="n">
        <v>0.8110000000000001</v>
      </c>
      <c r="AX686" s="14" t="n">
        <v>0.129</v>
      </c>
      <c r="AY686" s="14" t="n">
        <v>0.651</v>
      </c>
      <c r="AZ686" s="14" t="n">
        <v>1.755</v>
      </c>
      <c r="BA686" s="14" t="n">
        <v>0.2</v>
      </c>
      <c r="BB686" s="14" t="n">
        <v>1</v>
      </c>
      <c r="BC686" s="14" t="n">
        <v>0.535</v>
      </c>
      <c r="BD686" s="14" t="n">
        <v>0.129</v>
      </c>
      <c r="BE686" s="14" t="n">
        <v>0.199</v>
      </c>
      <c r="BF686" s="14" t="n">
        <v>0.881</v>
      </c>
      <c r="BG686" s="14" t="n">
        <v>0.2</v>
      </c>
      <c r="BH686" s="14" t="n">
        <v>1</v>
      </c>
      <c r="BI686" s="14" t="n">
        <v>0.579</v>
      </c>
      <c r="BJ686" s="14" t="n">
        <v>0.129</v>
      </c>
      <c r="BK686" s="14" t="n">
        <v>0.013</v>
      </c>
      <c r="BL686" s="14" t="n">
        <v>0.695</v>
      </c>
      <c r="BM686" s="14" t="n">
        <v>0.2</v>
      </c>
      <c r="BN686" s="14" t="n">
        <v>1</v>
      </c>
      <c r="BO686" s="14" t="n">
        <v>0</v>
      </c>
      <c r="BP686" s="14" t="n">
        <v>0.018</v>
      </c>
      <c r="BQ686" s="14" t="n">
        <v>0.147</v>
      </c>
      <c r="BR686" s="14" t="n">
        <v>0</v>
      </c>
      <c r="BS686" s="14" t="n">
        <v>1</v>
      </c>
      <c r="BT686" s="14" t="n">
        <v>0</v>
      </c>
      <c r="BU686" s="14" t="n">
        <v>0.013</v>
      </c>
      <c r="BV686" s="14" t="n">
        <v>0.109</v>
      </c>
      <c r="BW686" s="14" t="n">
        <v>0.2</v>
      </c>
      <c r="BX686" s="14" t="n">
        <v>1</v>
      </c>
      <c r="BY686" s="14" t="n">
        <v>13.254</v>
      </c>
      <c r="BZ686" s="14" t="n">
        <v>0</v>
      </c>
      <c r="CA686" s="14" t="n">
        <v>13.254</v>
      </c>
      <c r="CB686" s="14" t="n">
        <v>0</v>
      </c>
      <c r="CC686" s="14" t="n">
        <v>83.248</v>
      </c>
      <c r="CD686" s="14" t="n">
        <v>7.95</v>
      </c>
      <c r="CE686" s="14" t="n">
        <v>1.843</v>
      </c>
      <c r="CF686" s="14" t="n">
        <v>99.898</v>
      </c>
      <c r="CG686" s="14" t="n">
        <v>0.2</v>
      </c>
      <c r="CH686" s="14" t="n">
        <v>1</v>
      </c>
      <c r="CI686" s="14" t="n">
        <v>0</v>
      </c>
      <c r="CJ686" s="14" t="n">
        <v>0</v>
      </c>
      <c r="CK686" s="14" t="n">
        <v>0</v>
      </c>
      <c r="CL686" s="14" t="n">
        <v>0</v>
      </c>
      <c r="CM686" s="14" t="n">
        <v>0</v>
      </c>
      <c r="CN686" s="14" t="n">
        <v>0</v>
      </c>
      <c r="CO686" s="14" t="n">
        <v>0</v>
      </c>
      <c r="CP686" s="14" t="n">
        <v>0.821</v>
      </c>
      <c r="CQ686" s="14" t="n">
        <v>1.348</v>
      </c>
      <c r="CR686" s="14" t="n">
        <v>0</v>
      </c>
      <c r="CS686" s="14" t="n">
        <v>5.37</v>
      </c>
      <c r="CT686" s="14" t="n">
        <v>3.466</v>
      </c>
      <c r="CU686" s="14" t="n">
        <v>11.622</v>
      </c>
    </row>
    <row r="687">
      <c r="A687" s="14" t="inlineStr">
        <is>
          <t>SRB2024</t>
        </is>
      </c>
      <c r="B687" s="14" t="inlineStr">
        <is>
          <t>SRB</t>
        </is>
      </c>
      <c r="C687" s="14" t="inlineStr">
        <is>
          <t>SRB</t>
        </is>
      </c>
      <c r="D687" s="14" t="inlineStr">
        <is>
          <t>Serbia</t>
        </is>
      </c>
      <c r="E687" s="14" t="n">
        <v>2024</v>
      </c>
      <c r="F687" s="14" t="n">
        <v>0.2</v>
      </c>
      <c r="G687" s="14" t="n">
        <v>2.461</v>
      </c>
      <c r="H687" s="14" t="n">
        <v>0.78</v>
      </c>
      <c r="I687" s="14" t="n">
        <v>0.005</v>
      </c>
      <c r="J687" s="14" t="n">
        <v>2.466</v>
      </c>
      <c r="K687" s="14" t="n">
        <v>0</v>
      </c>
      <c r="L687" s="14" t="n">
        <v>1</v>
      </c>
      <c r="M687" s="14" t="n">
        <v>4.044</v>
      </c>
      <c r="N687" s="14" t="n">
        <v>2.341</v>
      </c>
      <c r="O687" s="14" t="n">
        <v>0.006</v>
      </c>
      <c r="P687" s="14" t="n">
        <v>4.049</v>
      </c>
      <c r="Q687" s="14" t="n">
        <v>0</v>
      </c>
      <c r="R687" s="14" t="n">
        <v>1</v>
      </c>
      <c r="S687" s="14" t="n">
        <v>7.144</v>
      </c>
      <c r="T687" s="14" t="n">
        <v>4.729</v>
      </c>
      <c r="U687" s="14" t="n">
        <v>0.2</v>
      </c>
      <c r="V687" s="14" t="n">
        <v>8.579000000000001</v>
      </c>
      <c r="W687" s="14" t="n">
        <v>0.2</v>
      </c>
      <c r="X687" s="14" t="n">
        <v>1</v>
      </c>
      <c r="Y687" s="14" t="n">
        <v>14.922</v>
      </c>
      <c r="Z687" s="14" t="n">
        <v>1.884</v>
      </c>
      <c r="AA687" s="14" t="n">
        <v>0.505</v>
      </c>
      <c r="AB687" s="14" t="n">
        <v>15.427</v>
      </c>
      <c r="AC687" s="14" t="n">
        <v>0</v>
      </c>
      <c r="AD687" s="14" t="n">
        <v>1</v>
      </c>
      <c r="AE687" s="14" t="n">
        <v>14.922</v>
      </c>
      <c r="AF687" s="14" t="n">
        <v>3.269</v>
      </c>
      <c r="AG687" s="14" t="n">
        <v>0.505</v>
      </c>
      <c r="AH687" s="14" t="n">
        <v>15.427</v>
      </c>
      <c r="AI687" s="14" t="n">
        <v>0</v>
      </c>
      <c r="AJ687" s="14" t="n">
        <v>1</v>
      </c>
      <c r="AK687" s="14" t="n">
        <v>18.698</v>
      </c>
      <c r="AL687" s="14" t="n">
        <v>9.51</v>
      </c>
      <c r="AM687" s="14" t="n">
        <v>-6.417</v>
      </c>
      <c r="AN687" s="14" t="n">
        <v>14.737</v>
      </c>
      <c r="AO687" s="14" t="n">
        <v>0</v>
      </c>
      <c r="AP687" s="14" t="n">
        <v>0</v>
      </c>
      <c r="AQ687" s="14" t="n">
        <v>0.724</v>
      </c>
      <c r="AR687" s="14" t="n">
        <v>0.132</v>
      </c>
      <c r="AS687" s="14" t="n">
        <v>0.669</v>
      </c>
      <c r="AT687" s="14" t="n">
        <v>1.672</v>
      </c>
      <c r="AU687" s="14" t="n">
        <v>0.2</v>
      </c>
      <c r="AV687" s="14" t="n">
        <v>1</v>
      </c>
      <c r="AW687" s="14" t="n">
        <v>0.75</v>
      </c>
      <c r="AX687" s="14" t="n">
        <v>0.132</v>
      </c>
      <c r="AY687" s="14" t="n">
        <v>0.745</v>
      </c>
      <c r="AZ687" s="14" t="n">
        <v>1.794</v>
      </c>
      <c r="BA687" s="14" t="n">
        <v>0.2</v>
      </c>
      <c r="BB687" s="14" t="n">
        <v>1</v>
      </c>
      <c r="BC687" s="14" t="n">
        <v>0.513</v>
      </c>
      <c r="BD687" s="14" t="n">
        <v>0.132</v>
      </c>
      <c r="BE687" s="14" t="n">
        <v>0.216</v>
      </c>
      <c r="BF687" s="14" t="n">
        <v>0.875</v>
      </c>
      <c r="BG687" s="14" t="n">
        <v>0.2</v>
      </c>
      <c r="BH687" s="14" t="n">
        <v>1</v>
      </c>
      <c r="BI687" s="14" t="n">
        <v>0.591</v>
      </c>
      <c r="BJ687" s="14" t="n">
        <v>0.132</v>
      </c>
      <c r="BK687" s="14" t="n">
        <v>0.016</v>
      </c>
      <c r="BL687" s="14" t="n">
        <v>0.71</v>
      </c>
      <c r="BM687" s="14" t="n">
        <v>0.2</v>
      </c>
      <c r="BN687" s="14" t="n">
        <v>1</v>
      </c>
      <c r="BO687" s="14" t="n">
        <v>0</v>
      </c>
      <c r="BP687" s="14" t="n">
        <v>0.017</v>
      </c>
      <c r="BQ687" s="14" t="n">
        <v>0.145</v>
      </c>
      <c r="BR687" s="14" t="n">
        <v>0</v>
      </c>
      <c r="BS687" s="14" t="n">
        <v>1</v>
      </c>
      <c r="BT687" s="14" t="n">
        <v>0</v>
      </c>
      <c r="BU687" s="14" t="n">
        <v>0.014</v>
      </c>
      <c r="BV687" s="14" t="n">
        <v>0.119</v>
      </c>
      <c r="BW687" s="14" t="n">
        <v>0.2</v>
      </c>
      <c r="BX687" s="14" t="n">
        <v>1</v>
      </c>
      <c r="BY687" s="14" t="n">
        <v>13.646</v>
      </c>
      <c r="BZ687" s="14" t="n">
        <v>0</v>
      </c>
      <c r="CA687" s="14" t="n">
        <v>13.646</v>
      </c>
      <c r="CB687" s="14" t="n">
        <v>0</v>
      </c>
      <c r="CC687" s="14" t="n">
        <v>82.58799999999999</v>
      </c>
      <c r="CD687" s="14" t="n">
        <v>7.95</v>
      </c>
      <c r="CE687" s="14" t="n">
        <v>2.25</v>
      </c>
      <c r="CF687" s="14" t="n">
        <v>99.10599999999999</v>
      </c>
      <c r="CG687" s="14" t="n">
        <v>0.2</v>
      </c>
      <c r="CH687" s="14" t="n">
        <v>1</v>
      </c>
      <c r="CI687" s="14" t="n">
        <v>0</v>
      </c>
      <c r="CJ687" s="14" t="n">
        <v>0</v>
      </c>
      <c r="CK687" s="14" t="n">
        <v>0</v>
      </c>
      <c r="CL687" s="14" t="n">
        <v>0</v>
      </c>
      <c r="CM687" s="14" t="n">
        <v>0</v>
      </c>
      <c r="CN687" s="14" t="n">
        <v>0</v>
      </c>
      <c r="CO687" s="14" t="n">
        <v>0</v>
      </c>
      <c r="CP687" s="14" t="n">
        <v>0.821</v>
      </c>
      <c r="CQ687" s="14" t="n">
        <v>1.387</v>
      </c>
      <c r="CR687" s="14" t="n">
        <v>0</v>
      </c>
      <c r="CS687" s="14" t="n">
        <v>5.529</v>
      </c>
      <c r="CT687" s="14" t="n">
        <v>3.027</v>
      </c>
      <c r="CU687" s="14" t="n">
        <v>10.168</v>
      </c>
    </row>
    <row r="688">
      <c r="A688" s="14" t="inlineStr">
        <is>
          <t>SYC2021</t>
        </is>
      </c>
      <c r="B688" s="14" t="inlineStr">
        <is>
          <t>SYC</t>
        </is>
      </c>
      <c r="C688" s="14" t="inlineStr">
        <is>
          <t>SYC</t>
        </is>
      </c>
      <c r="D688" s="14" t="inlineStr">
        <is>
          <t>Seychelles</t>
        </is>
      </c>
      <c r="E688" s="14" t="n">
        <v>2021</v>
      </c>
      <c r="F688" s="14" t="n">
        <v>0.15</v>
      </c>
      <c r="G688" s="14" t="n">
        <v>5.897</v>
      </c>
      <c r="H688" s="14" t="n">
        <v>1.143</v>
      </c>
      <c r="I688" s="14" t="n">
        <v>0</v>
      </c>
      <c r="J688" s="14" t="n">
        <v>5.897</v>
      </c>
      <c r="K688" s="14" t="n">
        <v>0</v>
      </c>
      <c r="L688" s="14" t="n">
        <v>1</v>
      </c>
      <c r="M688" s="14" t="n">
        <v>7.964</v>
      </c>
      <c r="N688" s="14" t="n">
        <v>3.43</v>
      </c>
      <c r="O688" s="14" t="n">
        <v>0</v>
      </c>
      <c r="P688" s="14" t="n">
        <v>7.964</v>
      </c>
      <c r="Q688" s="14" t="n">
        <v>0</v>
      </c>
      <c r="R688" s="14" t="n">
        <v>1</v>
      </c>
      <c r="S688" s="14" t="n">
        <v>11.613</v>
      </c>
      <c r="T688" s="14" t="n">
        <v>6.86</v>
      </c>
      <c r="U688" s="14" t="n">
        <v>0</v>
      </c>
      <c r="V688" s="14" t="n">
        <v>13.355</v>
      </c>
      <c r="W688" s="14" t="n">
        <v>0.15</v>
      </c>
      <c r="X688" s="14" t="n">
        <v>1</v>
      </c>
      <c r="Y688" s="14" t="n">
        <v>8.823</v>
      </c>
      <c r="Z688" s="14" t="n">
        <v>1.192</v>
      </c>
      <c r="AA688" s="14" t="n">
        <v>0</v>
      </c>
      <c r="AB688" s="14" t="n">
        <v>8.823</v>
      </c>
      <c r="AC688" s="14" t="n">
        <v>0</v>
      </c>
      <c r="AD688" s="14" t="n">
        <v>1</v>
      </c>
      <c r="AE688" s="14" t="n">
        <v>9.965999999999999</v>
      </c>
      <c r="AF688" s="14" t="n">
        <v>2.33</v>
      </c>
      <c r="AG688" s="14" t="n">
        <v>0</v>
      </c>
      <c r="AH688" s="14" t="n">
        <v>9.965999999999999</v>
      </c>
      <c r="AI688" s="14" t="n">
        <v>0</v>
      </c>
      <c r="AJ688" s="14" t="n">
        <v>1</v>
      </c>
      <c r="AK688" s="14" t="n">
        <v>16.826</v>
      </c>
      <c r="AL688" s="14" t="n">
        <v>8.961</v>
      </c>
      <c r="AM688" s="14" t="n">
        <v>0</v>
      </c>
      <c r="AN688" s="14" t="n">
        <v>19.35</v>
      </c>
      <c r="AO688" s="14" t="n">
        <v>0.15</v>
      </c>
      <c r="AP688" s="14" t="n">
        <v>1</v>
      </c>
      <c r="AQ688" s="14" t="n">
        <v>0.619</v>
      </c>
      <c r="AR688" s="14" t="n">
        <v>0.114</v>
      </c>
      <c r="AS688" s="14" t="n">
        <v>0.446</v>
      </c>
      <c r="AT688" s="14" t="n">
        <v>1.225</v>
      </c>
      <c r="AU688" s="14" t="n">
        <v>0.15</v>
      </c>
      <c r="AV688" s="14" t="n">
        <v>1</v>
      </c>
      <c r="AW688" s="14" t="n">
        <v>0.599</v>
      </c>
      <c r="AX688" s="14" t="n">
        <v>0.114</v>
      </c>
      <c r="AY688" s="14" t="n">
        <v>0.414</v>
      </c>
      <c r="AZ688" s="14" t="n">
        <v>1.165</v>
      </c>
      <c r="BA688" s="14" t="n">
        <v>0.15</v>
      </c>
      <c r="BB688" s="14" t="n">
        <v>1</v>
      </c>
      <c r="BC688" s="14" t="n">
        <v>0.439</v>
      </c>
      <c r="BD688" s="14" t="n">
        <v>0.114</v>
      </c>
      <c r="BE688" s="14" t="n">
        <v>0.022</v>
      </c>
      <c r="BF688" s="14" t="n">
        <v>0.531</v>
      </c>
      <c r="BG688" s="14" t="n">
        <v>0.15</v>
      </c>
      <c r="BH688" s="14" t="n">
        <v>1</v>
      </c>
      <c r="BI688" s="14" t="n">
        <v>0.505</v>
      </c>
      <c r="BJ688" s="14" t="n">
        <v>0.114</v>
      </c>
      <c r="BK688" s="14" t="n">
        <v>0.991</v>
      </c>
      <c r="BL688" s="14" t="n">
        <v>1.72</v>
      </c>
      <c r="BM688" s="14" t="n">
        <v>0.15</v>
      </c>
      <c r="BN688" s="14" t="n">
        <v>1</v>
      </c>
      <c r="BO688" s="14" t="n">
        <v>0</v>
      </c>
      <c r="BP688" s="14" t="n">
        <v>0</v>
      </c>
      <c r="BQ688" s="14" t="n">
        <v>0</v>
      </c>
      <c r="BR688" s="14" t="n">
        <v>0</v>
      </c>
      <c r="BS688" s="14" t="n">
        <v>1</v>
      </c>
      <c r="BT688" s="14" t="n">
        <v>0</v>
      </c>
      <c r="BU688" s="14" t="n">
        <v>0</v>
      </c>
      <c r="BV688" s="14" t="n">
        <v>0</v>
      </c>
      <c r="BW688" s="14" t="n">
        <v>0.15</v>
      </c>
      <c r="BX688" s="14" t="n">
        <v>1</v>
      </c>
      <c r="BY688" s="14" t="n">
        <v>11.787</v>
      </c>
      <c r="BZ688" s="14" t="n">
        <v>0</v>
      </c>
      <c r="CA688" s="14" t="n">
        <v>11.787</v>
      </c>
      <c r="CB688" s="14" t="n">
        <v>0</v>
      </c>
      <c r="CC688" s="14" t="n">
        <v>78.125</v>
      </c>
      <c r="CD688" s="14" t="n">
        <v>7.95</v>
      </c>
      <c r="CE688" s="14" t="n">
        <v>0</v>
      </c>
      <c r="CF688" s="14" t="n">
        <v>89.84399999999999</v>
      </c>
      <c r="CG688" s="14" t="n">
        <v>0.15</v>
      </c>
      <c r="CH688" s="14" t="n">
        <v>1</v>
      </c>
      <c r="CI688" s="14" t="n">
        <v>0</v>
      </c>
      <c r="CJ688" s="14" t="n">
        <v>0</v>
      </c>
      <c r="CK688" s="14" t="n">
        <v>0</v>
      </c>
      <c r="CL688" s="14" t="n">
        <v>0</v>
      </c>
      <c r="CM688" s="14" t="n">
        <v>0</v>
      </c>
      <c r="CN688" s="14" t="n">
        <v>0</v>
      </c>
      <c r="CO688" s="14" t="n">
        <v>0</v>
      </c>
      <c r="CP688" s="14" t="n">
        <v>0</v>
      </c>
      <c r="CQ688" s="14" t="n">
        <v>1.198</v>
      </c>
      <c r="CR688" s="14" t="n">
        <v>0</v>
      </c>
      <c r="CS688" s="14" t="n">
        <v>4.776</v>
      </c>
      <c r="CT688" s="14" t="n">
        <v>4.753</v>
      </c>
      <c r="CU688" s="14" t="n">
        <v>15.162</v>
      </c>
    </row>
    <row r="689">
      <c r="A689" s="14" t="inlineStr">
        <is>
          <t>SYC2022</t>
        </is>
      </c>
      <c r="B689" s="14" t="inlineStr">
        <is>
          <t>SYC</t>
        </is>
      </c>
      <c r="C689" s="14" t="inlineStr">
        <is>
          <t>SYC</t>
        </is>
      </c>
      <c r="D689" s="14" t="inlineStr">
        <is>
          <t>Seychelles</t>
        </is>
      </c>
      <c r="E689" s="14" t="n">
        <v>2022</v>
      </c>
      <c r="F689" s="14" t="n">
        <v>0.15</v>
      </c>
      <c r="G689" s="14" t="n">
        <v>11.72</v>
      </c>
      <c r="H689" s="14" t="n">
        <v>1.235</v>
      </c>
      <c r="I689" s="14" t="n">
        <v>0</v>
      </c>
      <c r="J689" s="14" t="n">
        <v>11.72</v>
      </c>
      <c r="K689" s="14" t="n">
        <v>0</v>
      </c>
      <c r="L689" s="14" t="n">
        <v>1</v>
      </c>
      <c r="M689" s="14" t="n">
        <v>9.782999999999999</v>
      </c>
      <c r="N689" s="14" t="n">
        <v>3.704</v>
      </c>
      <c r="O689" s="14" t="n">
        <v>0</v>
      </c>
      <c r="P689" s="14" t="n">
        <v>9.782999999999999</v>
      </c>
      <c r="Q689" s="14" t="n">
        <v>0</v>
      </c>
      <c r="R689" s="14" t="n">
        <v>1</v>
      </c>
      <c r="S689" s="14" t="n">
        <v>17.893</v>
      </c>
      <c r="T689" s="14" t="n">
        <v>7.408</v>
      </c>
      <c r="U689" s="14" t="n">
        <v>0.199</v>
      </c>
      <c r="V689" s="14" t="n">
        <v>20.577</v>
      </c>
      <c r="W689" s="14" t="n">
        <v>0.15</v>
      </c>
      <c r="X689" s="14" t="n">
        <v>1</v>
      </c>
      <c r="Y689" s="14" t="n">
        <v>13.833</v>
      </c>
      <c r="Z689" s="14" t="n">
        <v>1.87</v>
      </c>
      <c r="AA689" s="14" t="n">
        <v>0</v>
      </c>
      <c r="AB689" s="14" t="n">
        <v>13.833</v>
      </c>
      <c r="AC689" s="14" t="n">
        <v>0</v>
      </c>
      <c r="AD689" s="14" t="n">
        <v>1</v>
      </c>
      <c r="AE689" s="14" t="n">
        <v>15.068</v>
      </c>
      <c r="AF689" s="14" t="n">
        <v>3.523</v>
      </c>
      <c r="AG689" s="14" t="n">
        <v>0</v>
      </c>
      <c r="AH689" s="14" t="n">
        <v>15.068</v>
      </c>
      <c r="AI689" s="14" t="n">
        <v>0</v>
      </c>
      <c r="AJ689" s="14" t="n">
        <v>1</v>
      </c>
      <c r="AK689" s="14" t="n">
        <v>22.476</v>
      </c>
      <c r="AL689" s="14" t="n">
        <v>11.97</v>
      </c>
      <c r="AM689" s="14" t="n">
        <v>0.25</v>
      </c>
      <c r="AN689" s="14" t="n">
        <v>25.847</v>
      </c>
      <c r="AO689" s="14" t="n">
        <v>0.15</v>
      </c>
      <c r="AP689" s="14" t="n">
        <v>1</v>
      </c>
      <c r="AQ689" s="14" t="n">
        <v>0.861</v>
      </c>
      <c r="AR689" s="14" t="n">
        <v>0.123</v>
      </c>
      <c r="AS689" s="14" t="n">
        <v>0.55</v>
      </c>
      <c r="AT689" s="14" t="n">
        <v>1.623</v>
      </c>
      <c r="AU689" s="14" t="n">
        <v>0.15</v>
      </c>
      <c r="AV689" s="14" t="n">
        <v>1</v>
      </c>
      <c r="AW689" s="14" t="n">
        <v>0.986</v>
      </c>
      <c r="AX689" s="14" t="n">
        <v>0.123</v>
      </c>
      <c r="AY689" s="14" t="n">
        <v>0.469</v>
      </c>
      <c r="AZ689" s="14" t="n">
        <v>1.673</v>
      </c>
      <c r="BA689" s="14" t="n">
        <v>0.15</v>
      </c>
      <c r="BB689" s="14" t="n">
        <v>1</v>
      </c>
      <c r="BC689" s="14" t="n">
        <v>0.598</v>
      </c>
      <c r="BD689" s="14" t="n">
        <v>0.123</v>
      </c>
      <c r="BE689" s="14" t="n">
        <v>-0.022</v>
      </c>
      <c r="BF689" s="14" t="n">
        <v>0.662</v>
      </c>
      <c r="BG689" s="14" t="n">
        <v>0.15</v>
      </c>
      <c r="BH689" s="14" t="n">
        <v>1</v>
      </c>
      <c r="BI689" s="14" t="n">
        <v>0.612</v>
      </c>
      <c r="BJ689" s="14" t="n">
        <v>0.123</v>
      </c>
      <c r="BK689" s="14" t="n">
        <v>1.08</v>
      </c>
      <c r="BL689" s="14" t="n">
        <v>1.925</v>
      </c>
      <c r="BM689" s="14" t="n">
        <v>0.15</v>
      </c>
      <c r="BN689" s="14" t="n">
        <v>1</v>
      </c>
      <c r="BO689" s="14" t="n">
        <v>0</v>
      </c>
      <c r="BP689" s="14" t="n">
        <v>0</v>
      </c>
      <c r="BQ689" s="14" t="n">
        <v>0</v>
      </c>
      <c r="BR689" s="14" t="n">
        <v>0</v>
      </c>
      <c r="BS689" s="14" t="n">
        <v>1</v>
      </c>
      <c r="BT689" s="14" t="n">
        <v>0</v>
      </c>
      <c r="BU689" s="14" t="n">
        <v>0</v>
      </c>
      <c r="BV689" s="14" t="n">
        <v>0</v>
      </c>
      <c r="BW689" s="14" t="n">
        <v>0.15</v>
      </c>
      <c r="BX689" s="14" t="n">
        <v>1</v>
      </c>
      <c r="BY689" s="14" t="n">
        <v>12.729</v>
      </c>
      <c r="BZ689" s="14" t="n">
        <v>0</v>
      </c>
      <c r="CA689" s="14" t="n">
        <v>12.729</v>
      </c>
      <c r="CB689" s="14" t="n">
        <v>0</v>
      </c>
      <c r="CC689" s="14" t="n">
        <v>97.90000000000001</v>
      </c>
      <c r="CD689" s="14" t="n">
        <v>7.95</v>
      </c>
      <c r="CE689" s="14" t="n">
        <v>1.087</v>
      </c>
      <c r="CF689" s="14" t="n">
        <v>112.585</v>
      </c>
      <c r="CG689" s="14" t="n">
        <v>0.15</v>
      </c>
      <c r="CH689" s="14" t="n">
        <v>1</v>
      </c>
      <c r="CI689" s="14" t="n">
        <v>0</v>
      </c>
      <c r="CJ689" s="14" t="n">
        <v>0</v>
      </c>
      <c r="CK689" s="14" t="n">
        <v>0</v>
      </c>
      <c r="CL689" s="14" t="n">
        <v>0</v>
      </c>
      <c r="CM689" s="14" t="n">
        <v>0</v>
      </c>
      <c r="CN689" s="14" t="n">
        <v>0</v>
      </c>
      <c r="CO689" s="14" t="n">
        <v>0</v>
      </c>
      <c r="CP689" s="14" t="n">
        <v>0</v>
      </c>
      <c r="CQ689" s="14" t="n">
        <v>1.294</v>
      </c>
      <c r="CR689" s="14" t="n">
        <v>0</v>
      </c>
      <c r="CS689" s="14" t="n">
        <v>5.158</v>
      </c>
      <c r="CT689" s="14" t="n">
        <v>10.485</v>
      </c>
      <c r="CU689" s="14" t="n">
        <v>31.326</v>
      </c>
    </row>
    <row r="690">
      <c r="A690" s="14" t="inlineStr">
        <is>
          <t>SYC2023</t>
        </is>
      </c>
      <c r="B690" s="14" t="inlineStr">
        <is>
          <t>SYC</t>
        </is>
      </c>
      <c r="C690" s="14" t="inlineStr">
        <is>
          <t>SYC</t>
        </is>
      </c>
      <c r="D690" s="14" t="inlineStr">
        <is>
          <t>Seychelles</t>
        </is>
      </c>
      <c r="E690" s="14" t="n">
        <v>2023</v>
      </c>
      <c r="F690" s="14" t="n">
        <v>0.15</v>
      </c>
      <c r="G690" s="14" t="n">
        <v>6.147</v>
      </c>
      <c r="H690" s="14" t="n">
        <v>1.286</v>
      </c>
      <c r="I690" s="14" t="n">
        <v>0</v>
      </c>
      <c r="J690" s="14" t="n">
        <v>6.147</v>
      </c>
      <c r="K690" s="14" t="n">
        <v>0</v>
      </c>
      <c r="L690" s="14" t="n">
        <v>1</v>
      </c>
      <c r="M690" s="14" t="n">
        <v>7.886</v>
      </c>
      <c r="N690" s="14" t="n">
        <v>3.857</v>
      </c>
      <c r="O690" s="14" t="n">
        <v>0</v>
      </c>
      <c r="P690" s="14" t="n">
        <v>7.886</v>
      </c>
      <c r="Q690" s="14" t="n">
        <v>0</v>
      </c>
      <c r="R690" s="14" t="n">
        <v>1</v>
      </c>
      <c r="S690" s="14" t="n">
        <v>12.575</v>
      </c>
      <c r="T690" s="14" t="n">
        <v>7.714</v>
      </c>
      <c r="U690" s="14" t="n">
        <v>0.209</v>
      </c>
      <c r="V690" s="14" t="n">
        <v>14.461</v>
      </c>
      <c r="W690" s="14" t="n">
        <v>0.15</v>
      </c>
      <c r="X690" s="14" t="n">
        <v>1</v>
      </c>
      <c r="Y690" s="14" t="n">
        <v>8.358000000000001</v>
      </c>
      <c r="Z690" s="14" t="n">
        <v>1.13</v>
      </c>
      <c r="AA690" s="14" t="n">
        <v>0</v>
      </c>
      <c r="AB690" s="14" t="n">
        <v>8.358000000000001</v>
      </c>
      <c r="AC690" s="14" t="n">
        <v>0</v>
      </c>
      <c r="AD690" s="14" t="n">
        <v>1</v>
      </c>
      <c r="AE690" s="14" t="n">
        <v>9.644</v>
      </c>
      <c r="AF690" s="14" t="n">
        <v>2.255</v>
      </c>
      <c r="AG690" s="14" t="n">
        <v>0</v>
      </c>
      <c r="AH690" s="14" t="n">
        <v>9.644</v>
      </c>
      <c r="AI690" s="14" t="n">
        <v>0</v>
      </c>
      <c r="AJ690" s="14" t="n">
        <v>1</v>
      </c>
      <c r="AK690" s="14" t="n">
        <v>17.358</v>
      </c>
      <c r="AL690" s="14" t="n">
        <v>9.244999999999999</v>
      </c>
      <c r="AM690" s="14" t="n">
        <v>0.288</v>
      </c>
      <c r="AN690" s="14" t="n">
        <v>19.962</v>
      </c>
      <c r="AO690" s="14" t="n">
        <v>0.15</v>
      </c>
      <c r="AP690" s="14" t="n">
        <v>1</v>
      </c>
      <c r="AQ690" s="14" t="n">
        <v>0.76</v>
      </c>
      <c r="AR690" s="14" t="n">
        <v>0.129</v>
      </c>
      <c r="AS690" s="14" t="n">
        <v>0.548</v>
      </c>
      <c r="AT690" s="14" t="n">
        <v>1.505</v>
      </c>
      <c r="AU690" s="14" t="n">
        <v>0.15</v>
      </c>
      <c r="AV690" s="14" t="n">
        <v>1</v>
      </c>
      <c r="AW690" s="14" t="n">
        <v>0.8110000000000001</v>
      </c>
      <c r="AX690" s="14" t="n">
        <v>0.129</v>
      </c>
      <c r="AY690" s="14" t="n">
        <v>0.538</v>
      </c>
      <c r="AZ690" s="14" t="n">
        <v>1.552</v>
      </c>
      <c r="BA690" s="14" t="n">
        <v>0.15</v>
      </c>
      <c r="BB690" s="14" t="n">
        <v>1</v>
      </c>
      <c r="BC690" s="14" t="n">
        <v>0.535</v>
      </c>
      <c r="BD690" s="14" t="n">
        <v>0.129</v>
      </c>
      <c r="BE690" s="14" t="n">
        <v>0.051</v>
      </c>
      <c r="BF690" s="14" t="n">
        <v>0.674</v>
      </c>
      <c r="BG690" s="14" t="n">
        <v>0.15</v>
      </c>
      <c r="BH690" s="14" t="n">
        <v>1</v>
      </c>
      <c r="BI690" s="14" t="n">
        <v>0.579</v>
      </c>
      <c r="BJ690" s="14" t="n">
        <v>0.129</v>
      </c>
      <c r="BK690" s="14" t="n">
        <v>1.141</v>
      </c>
      <c r="BL690" s="14" t="n">
        <v>1.946</v>
      </c>
      <c r="BM690" s="14" t="n">
        <v>0.15</v>
      </c>
      <c r="BN690" s="14" t="n">
        <v>1</v>
      </c>
      <c r="BO690" s="14" t="n">
        <v>0</v>
      </c>
      <c r="BP690" s="14" t="n">
        <v>0</v>
      </c>
      <c r="BQ690" s="14" t="n">
        <v>0</v>
      </c>
      <c r="BR690" s="14" t="n">
        <v>0</v>
      </c>
      <c r="BS690" s="14" t="n">
        <v>1</v>
      </c>
      <c r="BT690" s="14" t="n">
        <v>0</v>
      </c>
      <c r="BU690" s="14" t="n">
        <v>0</v>
      </c>
      <c r="BV690" s="14" t="n">
        <v>0</v>
      </c>
      <c r="BW690" s="14" t="n">
        <v>0.15</v>
      </c>
      <c r="BX690" s="14" t="n">
        <v>1</v>
      </c>
      <c r="BY690" s="14" t="n">
        <v>13.254</v>
      </c>
      <c r="BZ690" s="14" t="n">
        <v>0</v>
      </c>
      <c r="CA690" s="14" t="n">
        <v>13.254</v>
      </c>
      <c r="CB690" s="14" t="n">
        <v>0</v>
      </c>
      <c r="CC690" s="14" t="n">
        <v>83.248</v>
      </c>
      <c r="CD690" s="14" t="n">
        <v>7.95</v>
      </c>
      <c r="CE690" s="14" t="n">
        <v>1.383</v>
      </c>
      <c r="CF690" s="14" t="n">
        <v>95.735</v>
      </c>
      <c r="CG690" s="14" t="n">
        <v>0.15</v>
      </c>
      <c r="CH690" s="14" t="n">
        <v>1</v>
      </c>
      <c r="CI690" s="14" t="n">
        <v>0</v>
      </c>
      <c r="CJ690" s="14" t="n">
        <v>0</v>
      </c>
      <c r="CK690" s="14" t="n">
        <v>0</v>
      </c>
      <c r="CL690" s="14" t="n">
        <v>0</v>
      </c>
      <c r="CM690" s="14" t="n">
        <v>0</v>
      </c>
      <c r="CN690" s="14" t="n">
        <v>0</v>
      </c>
      <c r="CO690" s="14" t="n">
        <v>0</v>
      </c>
      <c r="CP690" s="14" t="n">
        <v>0</v>
      </c>
      <c r="CQ690" s="14" t="n">
        <v>1.348</v>
      </c>
      <c r="CR690" s="14" t="n">
        <v>0</v>
      </c>
      <c r="CS690" s="14" t="n">
        <v>5.37</v>
      </c>
      <c r="CT690" s="14" t="n">
        <v>4.861</v>
      </c>
      <c r="CU690" s="14" t="n">
        <v>11.622</v>
      </c>
    </row>
    <row r="691">
      <c r="A691" s="14" t="inlineStr">
        <is>
          <t>SYC2024</t>
        </is>
      </c>
      <c r="B691" s="14" t="inlineStr">
        <is>
          <t>SYC</t>
        </is>
      </c>
      <c r="C691" s="14" t="inlineStr">
        <is>
          <t>SYC</t>
        </is>
      </c>
      <c r="D691" s="14" t="inlineStr">
        <is>
          <t>Seychelles</t>
        </is>
      </c>
      <c r="E691" s="14" t="n">
        <v>2024</v>
      </c>
      <c r="F691" s="14" t="n">
        <v>0.15</v>
      </c>
      <c r="G691" s="14" t="n">
        <v>5.575</v>
      </c>
      <c r="H691" s="14" t="n">
        <v>1.324</v>
      </c>
      <c r="I691" s="14" t="n">
        <v>0</v>
      </c>
      <c r="J691" s="14" t="n">
        <v>5.575</v>
      </c>
      <c r="K691" s="14" t="n">
        <v>0</v>
      </c>
      <c r="L691" s="14" t="n">
        <v>1</v>
      </c>
      <c r="M691" s="14" t="n">
        <v>7.124</v>
      </c>
      <c r="N691" s="14" t="n">
        <v>3.971</v>
      </c>
      <c r="O691" s="14" t="n">
        <v>0</v>
      </c>
      <c r="P691" s="14" t="n">
        <v>7.124</v>
      </c>
      <c r="Q691" s="14" t="n">
        <v>0</v>
      </c>
      <c r="R691" s="14" t="n">
        <v>1</v>
      </c>
      <c r="S691" s="14" t="n">
        <v>12.193</v>
      </c>
      <c r="T691" s="14" t="n">
        <v>7.942</v>
      </c>
      <c r="U691" s="14" t="n">
        <v>0.249</v>
      </c>
      <c r="V691" s="14" t="n">
        <v>14.022</v>
      </c>
      <c r="W691" s="14" t="n">
        <v>0.15</v>
      </c>
      <c r="X691" s="14" t="n">
        <v>1</v>
      </c>
      <c r="Y691" s="14" t="n">
        <v>8.087</v>
      </c>
      <c r="Z691" s="14" t="n">
        <v>1.093</v>
      </c>
      <c r="AA691" s="14" t="n">
        <v>0</v>
      </c>
      <c r="AB691" s="14" t="n">
        <v>8.087</v>
      </c>
      <c r="AC691" s="14" t="n">
        <v>0</v>
      </c>
      <c r="AD691" s="14" t="n">
        <v>1</v>
      </c>
      <c r="AE691" s="14" t="n">
        <v>9.411</v>
      </c>
      <c r="AF691" s="14" t="n">
        <v>2.201</v>
      </c>
      <c r="AG691" s="14" t="n">
        <v>0</v>
      </c>
      <c r="AH691" s="14" t="n">
        <v>9.411</v>
      </c>
      <c r="AI691" s="14" t="n">
        <v>0</v>
      </c>
      <c r="AJ691" s="14" t="n">
        <v>1</v>
      </c>
      <c r="AK691" s="14" t="n">
        <v>17.353</v>
      </c>
      <c r="AL691" s="14" t="n">
        <v>9.242000000000001</v>
      </c>
      <c r="AM691" s="14" t="n">
        <v>0.355</v>
      </c>
      <c r="AN691" s="14" t="n">
        <v>19.956</v>
      </c>
      <c r="AO691" s="14" t="n">
        <v>0.15</v>
      </c>
      <c r="AP691" s="14" t="n">
        <v>1</v>
      </c>
      <c r="AQ691" s="14" t="n">
        <v>0.724</v>
      </c>
      <c r="AR691" s="14" t="n">
        <v>0.132</v>
      </c>
      <c r="AS691" s="14" t="n">
        <v>0.542</v>
      </c>
      <c r="AT691" s="14" t="n">
        <v>1.456</v>
      </c>
      <c r="AU691" s="14" t="n">
        <v>0.15</v>
      </c>
      <c r="AV691" s="14" t="n">
        <v>1</v>
      </c>
      <c r="AW691" s="14" t="n">
        <v>0.75</v>
      </c>
      <c r="AX691" s="14" t="n">
        <v>0.132</v>
      </c>
      <c r="AY691" s="14" t="n">
        <v>0.514</v>
      </c>
      <c r="AZ691" s="14" t="n">
        <v>1.454</v>
      </c>
      <c r="BA691" s="14" t="n">
        <v>0.15</v>
      </c>
      <c r="BB691" s="14" t="n">
        <v>1</v>
      </c>
      <c r="BC691" s="14" t="n">
        <v>0.513</v>
      </c>
      <c r="BD691" s="14" t="n">
        <v>0.132</v>
      </c>
      <c r="BE691" s="14" t="n">
        <v>0.053</v>
      </c>
      <c r="BF691" s="14" t="n">
        <v>0.65</v>
      </c>
      <c r="BG691" s="14" t="n">
        <v>0.15</v>
      </c>
      <c r="BH691" s="14" t="n">
        <v>1</v>
      </c>
      <c r="BI691" s="14" t="n">
        <v>0.591</v>
      </c>
      <c r="BJ691" s="14" t="n">
        <v>0.132</v>
      </c>
      <c r="BK691" s="14" t="n">
        <v>1.182</v>
      </c>
      <c r="BL691" s="14" t="n">
        <v>1.999</v>
      </c>
      <c r="BM691" s="14" t="n">
        <v>0.15</v>
      </c>
      <c r="BN691" s="14" t="n">
        <v>1</v>
      </c>
      <c r="BO691" s="14" t="n">
        <v>0</v>
      </c>
      <c r="BP691" s="14" t="n">
        <v>0</v>
      </c>
      <c r="BQ691" s="14" t="n">
        <v>0</v>
      </c>
      <c r="BR691" s="14" t="n">
        <v>0</v>
      </c>
      <c r="BS691" s="14" t="n">
        <v>1</v>
      </c>
      <c r="BT691" s="14" t="n">
        <v>0</v>
      </c>
      <c r="BU691" s="14" t="n">
        <v>0</v>
      </c>
      <c r="BV691" s="14" t="n">
        <v>0</v>
      </c>
      <c r="BW691" s="14" t="n">
        <v>0.15</v>
      </c>
      <c r="BX691" s="14" t="n">
        <v>1</v>
      </c>
      <c r="BY691" s="14" t="n">
        <v>13.646</v>
      </c>
      <c r="BZ691" s="14" t="n">
        <v>0</v>
      </c>
      <c r="CA691" s="14" t="n">
        <v>13.646</v>
      </c>
      <c r="CB691" s="14" t="n">
        <v>0</v>
      </c>
      <c r="CC691" s="14" t="n">
        <v>82.58799999999999</v>
      </c>
      <c r="CD691" s="14" t="n">
        <v>7.95</v>
      </c>
      <c r="CE691" s="14" t="n">
        <v>1.687</v>
      </c>
      <c r="CF691" s="14" t="n">
        <v>94.976</v>
      </c>
      <c r="CG691" s="14" t="n">
        <v>0.15</v>
      </c>
      <c r="CH691" s="14" t="n">
        <v>1</v>
      </c>
      <c r="CI691" s="14" t="n">
        <v>0</v>
      </c>
      <c r="CJ691" s="14" t="n">
        <v>0</v>
      </c>
      <c r="CK691" s="14" t="n">
        <v>0</v>
      </c>
      <c r="CL691" s="14" t="n">
        <v>0</v>
      </c>
      <c r="CM691" s="14" t="n">
        <v>0</v>
      </c>
      <c r="CN691" s="14" t="n">
        <v>0</v>
      </c>
      <c r="CO691" s="14" t="n">
        <v>0</v>
      </c>
      <c r="CP691" s="14" t="n">
        <v>0</v>
      </c>
      <c r="CQ691" s="14" t="n">
        <v>1.387</v>
      </c>
      <c r="CR691" s="14" t="n">
        <v>0</v>
      </c>
      <c r="CS691" s="14" t="n">
        <v>5.529</v>
      </c>
      <c r="CT691" s="14" t="n">
        <v>4.251</v>
      </c>
      <c r="CU691" s="14" t="n">
        <v>10.168</v>
      </c>
    </row>
    <row r="692">
      <c r="A692" s="14" t="inlineStr">
        <is>
          <t>SLE2021</t>
        </is>
      </c>
      <c r="B692" s="14" t="inlineStr">
        <is>
          <t>SLE</t>
        </is>
      </c>
      <c r="C692" s="14" t="inlineStr">
        <is>
          <t>SLE</t>
        </is>
      </c>
      <c r="D692" s="14" t="inlineStr">
        <is>
          <t>Sierra Leone</t>
        </is>
      </c>
      <c r="E692" s="14" t="n">
        <v>2021</v>
      </c>
      <c r="F692" s="14" t="n">
        <v>0.15</v>
      </c>
      <c r="G692" s="14" t="n">
        <v>5.897</v>
      </c>
      <c r="H692" s="14" t="n">
        <v>1.143</v>
      </c>
      <c r="I692" s="14" t="n">
        <v>0</v>
      </c>
      <c r="J692" s="14" t="n">
        <v>5.897</v>
      </c>
      <c r="K692" s="14" t="n">
        <v>0</v>
      </c>
      <c r="L692" s="14" t="n">
        <v>1</v>
      </c>
      <c r="M692" s="14" t="n">
        <v>7.964</v>
      </c>
      <c r="N692" s="14" t="n">
        <v>3.43</v>
      </c>
      <c r="O692" s="14" t="n">
        <v>0</v>
      </c>
      <c r="P692" s="14" t="n">
        <v>7.964</v>
      </c>
      <c r="Q692" s="14" t="n">
        <v>0</v>
      </c>
      <c r="R692" s="14" t="n">
        <v>1</v>
      </c>
      <c r="S692" s="14" t="n">
        <v>11.613</v>
      </c>
      <c r="T692" s="14" t="n">
        <v>6.86</v>
      </c>
      <c r="U692" s="14" t="n">
        <v>0</v>
      </c>
      <c r="V692" s="14" t="n">
        <v>13.355</v>
      </c>
      <c r="W692" s="14" t="n">
        <v>0.15</v>
      </c>
      <c r="X692" s="14" t="n">
        <v>1</v>
      </c>
      <c r="Y692" s="14" t="n">
        <v>16.305</v>
      </c>
      <c r="Z692" s="14" t="n">
        <v>2.204</v>
      </c>
      <c r="AA692" s="14" t="n">
        <v>0</v>
      </c>
      <c r="AB692" s="14" t="n">
        <v>16.305</v>
      </c>
      <c r="AC692" s="14" t="n">
        <v>0</v>
      </c>
      <c r="AD692" s="14" t="n">
        <v>1</v>
      </c>
      <c r="AE692" s="14" t="n">
        <v>17.449</v>
      </c>
      <c r="AF692" s="14" t="n">
        <v>4.08</v>
      </c>
      <c r="AG692" s="14" t="n">
        <v>0</v>
      </c>
      <c r="AH692" s="14" t="n">
        <v>17.449</v>
      </c>
      <c r="AI692" s="14" t="n">
        <v>0</v>
      </c>
      <c r="AJ692" s="14" t="n">
        <v>1</v>
      </c>
      <c r="AK692" s="14" t="n">
        <v>24.309</v>
      </c>
      <c r="AL692" s="14" t="n">
        <v>12.947</v>
      </c>
      <c r="AM692" s="14" t="n">
        <v>0</v>
      </c>
      <c r="AN692" s="14" t="n">
        <v>27.955</v>
      </c>
      <c r="AO692" s="14" t="n">
        <v>0.15</v>
      </c>
      <c r="AP692" s="14" t="n">
        <v>1</v>
      </c>
      <c r="AQ692" s="14" t="n">
        <v>0.525</v>
      </c>
      <c r="AR692" s="14" t="n">
        <v>0.096</v>
      </c>
      <c r="AS692" s="14" t="n">
        <v>0.179</v>
      </c>
      <c r="AT692" s="14" t="n">
        <v>0.704</v>
      </c>
      <c r="AU692" s="14" t="n">
        <v>0</v>
      </c>
      <c r="AV692" s="14" t="n">
        <v>1</v>
      </c>
      <c r="AW692" s="14" t="n">
        <v>1.053</v>
      </c>
      <c r="AX692" s="14" t="n">
        <v>0.204</v>
      </c>
      <c r="AY692" s="14" t="n">
        <v>0.202</v>
      </c>
      <c r="AZ692" s="14" t="n">
        <v>1.256</v>
      </c>
      <c r="BA692" s="14" t="n">
        <v>0</v>
      </c>
      <c r="BB692" s="14" t="n">
        <v>1</v>
      </c>
      <c r="BC692" s="14" t="n">
        <v>0.439</v>
      </c>
      <c r="BD692" s="14" t="n">
        <v>0.114</v>
      </c>
      <c r="BE692" s="14" t="n">
        <v>0</v>
      </c>
      <c r="BF692" s="14" t="n">
        <v>0.505</v>
      </c>
      <c r="BG692" s="14" t="n">
        <v>0.15</v>
      </c>
      <c r="BH692" s="14" t="n">
        <v>1</v>
      </c>
      <c r="BI692" s="14" t="n">
        <v>0.62</v>
      </c>
      <c r="BJ692" s="14" t="n">
        <v>0.137</v>
      </c>
      <c r="BK692" s="14" t="n">
        <v>0.103</v>
      </c>
      <c r="BL692" s="14" t="n">
        <v>0.723</v>
      </c>
      <c r="BM692" s="14" t="n">
        <v>0</v>
      </c>
      <c r="BN692" s="14" t="n">
        <v>1</v>
      </c>
      <c r="BO692" s="14" t="n">
        <v>0</v>
      </c>
      <c r="BP692" s="14" t="n">
        <v>0</v>
      </c>
      <c r="BQ692" s="14" t="n">
        <v>0.31</v>
      </c>
      <c r="BR692" s="14" t="n">
        <v>0</v>
      </c>
      <c r="BS692" s="14" t="n">
        <v>1</v>
      </c>
      <c r="BT692" s="14" t="n">
        <v>0</v>
      </c>
      <c r="BU692" s="14" t="n">
        <v>0</v>
      </c>
      <c r="BV692" s="14" t="n">
        <v>0.128</v>
      </c>
      <c r="BW692" s="14" t="n">
        <v>0.15</v>
      </c>
      <c r="BX692" s="14" t="n">
        <v>1</v>
      </c>
      <c r="BY692" s="14" t="n">
        <v>11.787</v>
      </c>
      <c r="BZ692" s="14" t="n">
        <v>0</v>
      </c>
      <c r="CA692" s="14" t="n">
        <v>11.787</v>
      </c>
      <c r="CB692" s="14" t="n">
        <v>0</v>
      </c>
      <c r="CC692" s="14" t="n">
        <v>87.935</v>
      </c>
      <c r="CD692" s="14" t="n">
        <v>17.76</v>
      </c>
      <c r="CE692" s="14" t="n">
        <v>26.959</v>
      </c>
      <c r="CF692" s="14" t="n">
        <v>114.894</v>
      </c>
      <c r="CG692" s="14" t="n">
        <v>0</v>
      </c>
      <c r="CH692" s="14" t="n">
        <v>1</v>
      </c>
      <c r="CI692" s="14" t="n">
        <v>0</v>
      </c>
      <c r="CJ692" s="14" t="n">
        <v>0</v>
      </c>
      <c r="CK692" s="14" t="n">
        <v>0</v>
      </c>
      <c r="CL692" s="14" t="n">
        <v>0</v>
      </c>
      <c r="CM692" s="14" t="n">
        <v>0</v>
      </c>
      <c r="CN692" s="14" t="n">
        <v>0</v>
      </c>
      <c r="CO692" s="14" t="n">
        <v>0</v>
      </c>
      <c r="CP692" s="14" t="n">
        <v>0</v>
      </c>
      <c r="CQ692" s="14" t="n">
        <v>1.198</v>
      </c>
      <c r="CR692" s="14" t="n">
        <v>0</v>
      </c>
      <c r="CS692" s="14" t="n">
        <v>4.776</v>
      </c>
      <c r="CT692" s="14" t="n">
        <v>4.753</v>
      </c>
      <c r="CU692" s="14" t="n">
        <v>15.162</v>
      </c>
    </row>
    <row r="693">
      <c r="A693" s="14" t="inlineStr">
        <is>
          <t>SLE2022</t>
        </is>
      </c>
      <c r="B693" s="14" t="inlineStr">
        <is>
          <t>SLE</t>
        </is>
      </c>
      <c r="C693" s="14" t="inlineStr">
        <is>
          <t>SLE</t>
        </is>
      </c>
      <c r="D693" s="14" t="inlineStr">
        <is>
          <t>Sierra Leone</t>
        </is>
      </c>
      <c r="E693" s="14" t="n">
        <v>2022</v>
      </c>
      <c r="F693" s="14" t="n">
        <v>0.15</v>
      </c>
      <c r="G693" s="14" t="n">
        <v>11.72</v>
      </c>
      <c r="H693" s="14" t="n">
        <v>1.235</v>
      </c>
      <c r="I693" s="14" t="n">
        <v>0</v>
      </c>
      <c r="J693" s="14" t="n">
        <v>11.72</v>
      </c>
      <c r="K693" s="14" t="n">
        <v>0</v>
      </c>
      <c r="L693" s="14" t="n">
        <v>1</v>
      </c>
      <c r="M693" s="14" t="n">
        <v>9.782999999999999</v>
      </c>
      <c r="N693" s="14" t="n">
        <v>3.704</v>
      </c>
      <c r="O693" s="14" t="n">
        <v>0</v>
      </c>
      <c r="P693" s="14" t="n">
        <v>9.782999999999999</v>
      </c>
      <c r="Q693" s="14" t="n">
        <v>0</v>
      </c>
      <c r="R693" s="14" t="n">
        <v>1</v>
      </c>
      <c r="S693" s="14" t="n">
        <v>17.893</v>
      </c>
      <c r="T693" s="14" t="n">
        <v>7.408</v>
      </c>
      <c r="U693" s="14" t="n">
        <v>0.199</v>
      </c>
      <c r="V693" s="14" t="n">
        <v>20.577</v>
      </c>
      <c r="W693" s="14" t="n">
        <v>0.15</v>
      </c>
      <c r="X693" s="14" t="n">
        <v>1</v>
      </c>
      <c r="Y693" s="14" t="n">
        <v>32.56</v>
      </c>
      <c r="Z693" s="14" t="n">
        <v>4.401</v>
      </c>
      <c r="AA693" s="14" t="n">
        <v>0</v>
      </c>
      <c r="AB693" s="14" t="n">
        <v>32.56</v>
      </c>
      <c r="AC693" s="14" t="n">
        <v>0</v>
      </c>
      <c r="AD693" s="14" t="n">
        <v>1</v>
      </c>
      <c r="AE693" s="14" t="n">
        <v>33.795</v>
      </c>
      <c r="AF693" s="14" t="n">
        <v>7.902</v>
      </c>
      <c r="AG693" s="14" t="n">
        <v>0</v>
      </c>
      <c r="AH693" s="14" t="n">
        <v>33.795</v>
      </c>
      <c r="AI693" s="14" t="n">
        <v>0</v>
      </c>
      <c r="AJ693" s="14" t="n">
        <v>1</v>
      </c>
      <c r="AK693" s="14" t="n">
        <v>41.203</v>
      </c>
      <c r="AL693" s="14" t="n">
        <v>21.945</v>
      </c>
      <c r="AM693" s="14" t="n">
        <v>0.457</v>
      </c>
      <c r="AN693" s="14" t="n">
        <v>47.384</v>
      </c>
      <c r="AO693" s="14" t="n">
        <v>0.15</v>
      </c>
      <c r="AP693" s="14" t="n">
        <v>1</v>
      </c>
      <c r="AQ693" s="14" t="n">
        <v>0.776</v>
      </c>
      <c r="AR693" s="14" t="n">
        <v>0.111</v>
      </c>
      <c r="AS693" s="14" t="n">
        <v>0.284</v>
      </c>
      <c r="AT693" s="14" t="n">
        <v>1.06</v>
      </c>
      <c r="AU693" s="14" t="n">
        <v>0</v>
      </c>
      <c r="AV693" s="14" t="n">
        <v>1</v>
      </c>
      <c r="AW693" s="14" t="n">
        <v>0.975</v>
      </c>
      <c r="AX693" s="14" t="n">
        <v>0.127</v>
      </c>
      <c r="AY693" s="14" t="n">
        <v>0.248</v>
      </c>
      <c r="AZ693" s="14" t="n">
        <v>1.223</v>
      </c>
      <c r="BA693" s="14" t="n">
        <v>0</v>
      </c>
      <c r="BB693" s="14" t="n">
        <v>1</v>
      </c>
      <c r="BC693" s="14" t="n">
        <v>0.598</v>
      </c>
      <c r="BD693" s="14" t="n">
        <v>0.123</v>
      </c>
      <c r="BE693" s="14" t="n">
        <v>0.007</v>
      </c>
      <c r="BF693" s="14" t="n">
        <v>0.6879999999999999</v>
      </c>
      <c r="BG693" s="14" t="n">
        <v>0.15</v>
      </c>
      <c r="BH693" s="14" t="n">
        <v>1</v>
      </c>
      <c r="BI693" s="14" t="n">
        <v>0.928</v>
      </c>
      <c r="BJ693" s="14" t="n">
        <v>0.181</v>
      </c>
      <c r="BK693" s="14" t="n">
        <v>0.155</v>
      </c>
      <c r="BL693" s="14" t="n">
        <v>1.083</v>
      </c>
      <c r="BM693" s="14" t="n">
        <v>0</v>
      </c>
      <c r="BN693" s="14" t="n">
        <v>1</v>
      </c>
      <c r="BO693" s="14" t="n">
        <v>0</v>
      </c>
      <c r="BP693" s="14" t="n">
        <v>0</v>
      </c>
      <c r="BQ693" s="14" t="n">
        <v>0.284</v>
      </c>
      <c r="BR693" s="14" t="n">
        <v>0</v>
      </c>
      <c r="BS693" s="14" t="n">
        <v>1</v>
      </c>
      <c r="BT693" s="14" t="n">
        <v>0</v>
      </c>
      <c r="BU693" s="14" t="n">
        <v>0</v>
      </c>
      <c r="BV693" s="14" t="n">
        <v>0.136</v>
      </c>
      <c r="BW693" s="14" t="n">
        <v>0.15</v>
      </c>
      <c r="BX693" s="14" t="n">
        <v>1</v>
      </c>
      <c r="BY693" s="14" t="n">
        <v>12.729</v>
      </c>
      <c r="BZ693" s="14" t="n">
        <v>0</v>
      </c>
      <c r="CA693" s="14" t="n">
        <v>12.729</v>
      </c>
      <c r="CB693" s="14" t="n">
        <v>0</v>
      </c>
      <c r="CC693" s="14" t="n">
        <v>121.934</v>
      </c>
      <c r="CD693" s="14" t="n">
        <v>31.984</v>
      </c>
      <c r="CE693" s="14" t="n">
        <v>39.589</v>
      </c>
      <c r="CF693" s="14" t="n">
        <v>161.523</v>
      </c>
      <c r="CG693" s="14" t="n">
        <v>0</v>
      </c>
      <c r="CH693" s="14" t="n">
        <v>1</v>
      </c>
      <c r="CI693" s="14" t="n">
        <v>0</v>
      </c>
      <c r="CJ693" s="14" t="n">
        <v>0</v>
      </c>
      <c r="CK693" s="14" t="n">
        <v>0</v>
      </c>
      <c r="CL693" s="14" t="n">
        <v>0</v>
      </c>
      <c r="CM693" s="14" t="n">
        <v>0</v>
      </c>
      <c r="CN693" s="14" t="n">
        <v>0</v>
      </c>
      <c r="CO693" s="14" t="n">
        <v>0</v>
      </c>
      <c r="CP693" s="14" t="n">
        <v>0</v>
      </c>
      <c r="CQ693" s="14" t="n">
        <v>1.294</v>
      </c>
      <c r="CR693" s="14" t="n">
        <v>0</v>
      </c>
      <c r="CS693" s="14" t="n">
        <v>5.158</v>
      </c>
      <c r="CT693" s="14" t="n">
        <v>10.485</v>
      </c>
      <c r="CU693" s="14" t="n">
        <v>31.326</v>
      </c>
    </row>
    <row r="694">
      <c r="A694" s="14" t="inlineStr">
        <is>
          <t>SLE2023</t>
        </is>
      </c>
      <c r="B694" s="14" t="inlineStr">
        <is>
          <t>SLE</t>
        </is>
      </c>
      <c r="C694" s="14" t="inlineStr">
        <is>
          <t>SLE</t>
        </is>
      </c>
      <c r="D694" s="14" t="inlineStr">
        <is>
          <t>Sierra Leone</t>
        </is>
      </c>
      <c r="E694" s="14" t="n">
        <v>2023</v>
      </c>
      <c r="F694" s="14" t="n">
        <v>0.15</v>
      </c>
      <c r="G694" s="14" t="n">
        <v>6.147</v>
      </c>
      <c r="H694" s="14" t="n">
        <v>1.286</v>
      </c>
      <c r="I694" s="14" t="n">
        <v>0</v>
      </c>
      <c r="J694" s="14" t="n">
        <v>6.147</v>
      </c>
      <c r="K694" s="14" t="n">
        <v>0</v>
      </c>
      <c r="L694" s="14" t="n">
        <v>1</v>
      </c>
      <c r="M694" s="14" t="n">
        <v>7.886</v>
      </c>
      <c r="N694" s="14" t="n">
        <v>3.857</v>
      </c>
      <c r="O694" s="14" t="n">
        <v>0</v>
      </c>
      <c r="P694" s="14" t="n">
        <v>7.886</v>
      </c>
      <c r="Q694" s="14" t="n">
        <v>0</v>
      </c>
      <c r="R694" s="14" t="n">
        <v>1</v>
      </c>
      <c r="S694" s="14" t="n">
        <v>12.575</v>
      </c>
      <c r="T694" s="14" t="n">
        <v>7.714</v>
      </c>
      <c r="U694" s="14" t="n">
        <v>0.209</v>
      </c>
      <c r="V694" s="14" t="n">
        <v>14.461</v>
      </c>
      <c r="W694" s="14" t="n">
        <v>0.15</v>
      </c>
      <c r="X694" s="14" t="n">
        <v>1</v>
      </c>
      <c r="Y694" s="14" t="n">
        <v>12.908</v>
      </c>
      <c r="Z694" s="14" t="n">
        <v>1.745</v>
      </c>
      <c r="AA694" s="14" t="n">
        <v>0</v>
      </c>
      <c r="AB694" s="14" t="n">
        <v>12.908</v>
      </c>
      <c r="AC694" s="14" t="n">
        <v>0</v>
      </c>
      <c r="AD694" s="14" t="n">
        <v>1</v>
      </c>
      <c r="AE694" s="14" t="n">
        <v>14.194</v>
      </c>
      <c r="AF694" s="14" t="n">
        <v>3.319</v>
      </c>
      <c r="AG694" s="14" t="n">
        <v>0</v>
      </c>
      <c r="AH694" s="14" t="n">
        <v>14.194</v>
      </c>
      <c r="AI694" s="14" t="n">
        <v>0</v>
      </c>
      <c r="AJ694" s="14" t="n">
        <v>1</v>
      </c>
      <c r="AK694" s="14" t="n">
        <v>21.908</v>
      </c>
      <c r="AL694" s="14" t="n">
        <v>11.668</v>
      </c>
      <c r="AM694" s="14" t="n">
        <v>0.364</v>
      </c>
      <c r="AN694" s="14" t="n">
        <v>25.194</v>
      </c>
      <c r="AO694" s="14" t="n">
        <v>0.15</v>
      </c>
      <c r="AP694" s="14" t="n">
        <v>1</v>
      </c>
      <c r="AQ694" s="14" t="n">
        <v>0.706</v>
      </c>
      <c r="AR694" s="14" t="n">
        <v>0.119</v>
      </c>
      <c r="AS694" s="14" t="n">
        <v>0.265</v>
      </c>
      <c r="AT694" s="14" t="n">
        <v>0.972</v>
      </c>
      <c r="AU694" s="14" t="n">
        <v>0</v>
      </c>
      <c r="AV694" s="14" t="n">
        <v>1</v>
      </c>
      <c r="AW694" s="14" t="n">
        <v>0.925</v>
      </c>
      <c r="AX694" s="14" t="n">
        <v>0.158</v>
      </c>
      <c r="AY694" s="14" t="n">
        <v>0.227</v>
      </c>
      <c r="AZ694" s="14" t="n">
        <v>1.151</v>
      </c>
      <c r="BA694" s="14" t="n">
        <v>0</v>
      </c>
      <c r="BB694" s="14" t="n">
        <v>1</v>
      </c>
      <c r="BC694" s="14" t="n">
        <v>0.535</v>
      </c>
      <c r="BD694" s="14" t="n">
        <v>0.129</v>
      </c>
      <c r="BE694" s="14" t="n">
        <v>0.008999999999999999</v>
      </c>
      <c r="BF694" s="14" t="n">
        <v>0.615</v>
      </c>
      <c r="BG694" s="14" t="n">
        <v>0.15</v>
      </c>
      <c r="BH694" s="14" t="n">
        <v>1</v>
      </c>
      <c r="BI694" s="14" t="n">
        <v>0.838</v>
      </c>
      <c r="BJ694" s="14" t="n">
        <v>0.182</v>
      </c>
      <c r="BK694" s="14" t="n">
        <v>0.146</v>
      </c>
      <c r="BL694" s="14" t="n">
        <v>0.983</v>
      </c>
      <c r="BM694" s="14" t="n">
        <v>0</v>
      </c>
      <c r="BN694" s="14" t="n">
        <v>1</v>
      </c>
      <c r="BO694" s="14" t="n">
        <v>0</v>
      </c>
      <c r="BP694" s="14" t="n">
        <v>0</v>
      </c>
      <c r="BQ694" s="14" t="n">
        <v>0.306</v>
      </c>
      <c r="BR694" s="14" t="n">
        <v>0</v>
      </c>
      <c r="BS694" s="14" t="n">
        <v>1</v>
      </c>
      <c r="BT694" s="14" t="n">
        <v>0</v>
      </c>
      <c r="BU694" s="14" t="n">
        <v>0</v>
      </c>
      <c r="BV694" s="14" t="n">
        <v>0.144</v>
      </c>
      <c r="BW694" s="14" t="n">
        <v>0.15</v>
      </c>
      <c r="BX694" s="14" t="n">
        <v>1</v>
      </c>
      <c r="BY694" s="14" t="n">
        <v>13.254</v>
      </c>
      <c r="BZ694" s="14" t="n">
        <v>0</v>
      </c>
      <c r="CA694" s="14" t="n">
        <v>13.254</v>
      </c>
      <c r="CB694" s="14" t="n">
        <v>0</v>
      </c>
      <c r="CC694" s="14" t="n">
        <v>119.788</v>
      </c>
      <c r="CD694" s="14" t="n">
        <v>44.49</v>
      </c>
      <c r="CE694" s="14" t="n">
        <v>39.215</v>
      </c>
      <c r="CF694" s="14" t="n">
        <v>159.003</v>
      </c>
      <c r="CG694" s="14" t="n">
        <v>0</v>
      </c>
      <c r="CH694" s="14" t="n">
        <v>1</v>
      </c>
      <c r="CI694" s="14" t="n">
        <v>0</v>
      </c>
      <c r="CJ694" s="14" t="n">
        <v>0</v>
      </c>
      <c r="CK694" s="14" t="n">
        <v>0</v>
      </c>
      <c r="CL694" s="14" t="n">
        <v>0</v>
      </c>
      <c r="CM694" s="14" t="n">
        <v>0</v>
      </c>
      <c r="CN694" s="14" t="n">
        <v>0</v>
      </c>
      <c r="CO694" s="14" t="n">
        <v>0</v>
      </c>
      <c r="CP694" s="14" t="n">
        <v>0</v>
      </c>
      <c r="CQ694" s="14" t="n">
        <v>1.348</v>
      </c>
      <c r="CR694" s="14" t="n">
        <v>0</v>
      </c>
      <c r="CS694" s="14" t="n">
        <v>5.37</v>
      </c>
      <c r="CT694" s="14" t="n">
        <v>4.861</v>
      </c>
      <c r="CU694" s="14" t="n">
        <v>11.622</v>
      </c>
    </row>
    <row r="695">
      <c r="A695" s="14" t="inlineStr">
        <is>
          <t>SLE2024</t>
        </is>
      </c>
      <c r="B695" s="14" t="inlineStr">
        <is>
          <t>SLE</t>
        </is>
      </c>
      <c r="C695" s="14" t="inlineStr">
        <is>
          <t>SLE</t>
        </is>
      </c>
      <c r="D695" s="14" t="inlineStr">
        <is>
          <t>Sierra Leone</t>
        </is>
      </c>
      <c r="E695" s="14" t="n">
        <v>2024</v>
      </c>
      <c r="F695" s="14" t="n">
        <v>0.15</v>
      </c>
      <c r="G695" s="14" t="n">
        <v>5.575</v>
      </c>
      <c r="H695" s="14" t="n">
        <v>1.324</v>
      </c>
      <c r="I695" s="14" t="n">
        <v>0</v>
      </c>
      <c r="J695" s="14" t="n">
        <v>5.575</v>
      </c>
      <c r="K695" s="14" t="n">
        <v>0</v>
      </c>
      <c r="L695" s="14" t="n">
        <v>1</v>
      </c>
      <c r="M695" s="14" t="n">
        <v>7.124</v>
      </c>
      <c r="N695" s="14" t="n">
        <v>3.971</v>
      </c>
      <c r="O695" s="14" t="n">
        <v>0</v>
      </c>
      <c r="P695" s="14" t="n">
        <v>7.124</v>
      </c>
      <c r="Q695" s="14" t="n">
        <v>0</v>
      </c>
      <c r="R695" s="14" t="n">
        <v>1</v>
      </c>
      <c r="S695" s="14" t="n">
        <v>12.193</v>
      </c>
      <c r="T695" s="14" t="n">
        <v>7.942</v>
      </c>
      <c r="U695" s="14" t="n">
        <v>0.249</v>
      </c>
      <c r="V695" s="14" t="n">
        <v>14.022</v>
      </c>
      <c r="W695" s="14" t="n">
        <v>0.15</v>
      </c>
      <c r="X695" s="14" t="n">
        <v>1</v>
      </c>
      <c r="Y695" s="14" t="n">
        <v>11.492</v>
      </c>
      <c r="Z695" s="14" t="n">
        <v>1.553</v>
      </c>
      <c r="AA695" s="14" t="n">
        <v>0</v>
      </c>
      <c r="AB695" s="14" t="n">
        <v>11.492</v>
      </c>
      <c r="AC695" s="14" t="n">
        <v>0</v>
      </c>
      <c r="AD695" s="14" t="n">
        <v>1</v>
      </c>
      <c r="AE695" s="14" t="n">
        <v>12.815</v>
      </c>
      <c r="AF695" s="14" t="n">
        <v>2.997</v>
      </c>
      <c r="AG695" s="14" t="n">
        <v>0</v>
      </c>
      <c r="AH695" s="14" t="n">
        <v>12.815</v>
      </c>
      <c r="AI695" s="14" t="n">
        <v>0</v>
      </c>
      <c r="AJ695" s="14" t="n">
        <v>1</v>
      </c>
      <c r="AK695" s="14" t="n">
        <v>20.757</v>
      </c>
      <c r="AL695" s="14" t="n">
        <v>11.055</v>
      </c>
      <c r="AM695" s="14" t="n">
        <v>0.424</v>
      </c>
      <c r="AN695" s="14" t="n">
        <v>23.871</v>
      </c>
      <c r="AO695" s="14" t="n">
        <v>0.15</v>
      </c>
      <c r="AP695" s="14" t="n">
        <v>1</v>
      </c>
      <c r="AQ695" s="14" t="n">
        <v>0.888</v>
      </c>
      <c r="AR695" s="14" t="n">
        <v>0.161</v>
      </c>
      <c r="AS695" s="14" t="n">
        <v>0.323</v>
      </c>
      <c r="AT695" s="14" t="n">
        <v>1.211</v>
      </c>
      <c r="AU695" s="14" t="n">
        <v>0</v>
      </c>
      <c r="AV695" s="14" t="n">
        <v>1</v>
      </c>
      <c r="AW695" s="14" t="n">
        <v>0.982</v>
      </c>
      <c r="AX695" s="14" t="n">
        <v>0.18</v>
      </c>
      <c r="AY695" s="14" t="n">
        <v>0.234</v>
      </c>
      <c r="AZ695" s="14" t="n">
        <v>1.216</v>
      </c>
      <c r="BA695" s="14" t="n">
        <v>0</v>
      </c>
      <c r="BB695" s="14" t="n">
        <v>1</v>
      </c>
      <c r="BC695" s="14" t="n">
        <v>0.513</v>
      </c>
      <c r="BD695" s="14" t="n">
        <v>0.132</v>
      </c>
      <c r="BE695" s="14" t="n">
        <v>0.01</v>
      </c>
      <c r="BF695" s="14" t="n">
        <v>0.59</v>
      </c>
      <c r="BG695" s="14" t="n">
        <v>0.15</v>
      </c>
      <c r="BH695" s="14" t="n">
        <v>1</v>
      </c>
      <c r="BI695" s="14" t="n">
        <v>0.998</v>
      </c>
      <c r="BJ695" s="14" t="n">
        <v>0.219</v>
      </c>
      <c r="BK695" s="14" t="n">
        <v>0.171</v>
      </c>
      <c r="BL695" s="14" t="n">
        <v>1.169</v>
      </c>
      <c r="BM695" s="14" t="n">
        <v>0</v>
      </c>
      <c r="BN695" s="14" t="n">
        <v>1</v>
      </c>
      <c r="BO695" s="14" t="n">
        <v>0</v>
      </c>
      <c r="BP695" s="14" t="n">
        <v>0</v>
      </c>
      <c r="BQ695" s="14" t="n">
        <v>0.43</v>
      </c>
      <c r="BR695" s="14" t="n">
        <v>0</v>
      </c>
      <c r="BS695" s="14" t="n">
        <v>1</v>
      </c>
      <c r="BT695" s="14" t="n">
        <v>0</v>
      </c>
      <c r="BU695" s="14" t="n">
        <v>0</v>
      </c>
      <c r="BV695" s="14" t="n">
        <v>0.213</v>
      </c>
      <c r="BW695" s="14" t="n">
        <v>0.15</v>
      </c>
      <c r="BX695" s="14" t="n">
        <v>1</v>
      </c>
      <c r="BY695" s="14" t="n">
        <v>13.646</v>
      </c>
      <c r="BZ695" s="14" t="n">
        <v>0</v>
      </c>
      <c r="CA695" s="14" t="n">
        <v>13.646</v>
      </c>
      <c r="CB695" s="14" t="n">
        <v>0</v>
      </c>
      <c r="CC695" s="14" t="n">
        <v>138.872</v>
      </c>
      <c r="CD695" s="14" t="n">
        <v>64.23399999999999</v>
      </c>
      <c r="CE695" s="14" t="n">
        <v>45.605</v>
      </c>
      <c r="CF695" s="14" t="n">
        <v>184.477</v>
      </c>
      <c r="CG695" s="14" t="n">
        <v>0</v>
      </c>
      <c r="CH695" s="14" t="n">
        <v>1</v>
      </c>
      <c r="CI695" s="14" t="n">
        <v>0</v>
      </c>
      <c r="CJ695" s="14" t="n">
        <v>0</v>
      </c>
      <c r="CK695" s="14" t="n">
        <v>0</v>
      </c>
      <c r="CL695" s="14" t="n">
        <v>0</v>
      </c>
      <c r="CM695" s="14" t="n">
        <v>0</v>
      </c>
      <c r="CN695" s="14" t="n">
        <v>0</v>
      </c>
      <c r="CO695" s="14" t="n">
        <v>0</v>
      </c>
      <c r="CP695" s="14" t="n">
        <v>0</v>
      </c>
      <c r="CQ695" s="14" t="n">
        <v>1.387</v>
      </c>
      <c r="CR695" s="14" t="n">
        <v>0</v>
      </c>
      <c r="CS695" s="14" t="n">
        <v>5.529</v>
      </c>
      <c r="CT695" s="14" t="n">
        <v>4.251</v>
      </c>
      <c r="CU695" s="14" t="n">
        <v>10.168</v>
      </c>
    </row>
    <row r="696">
      <c r="A696" s="14" t="inlineStr">
        <is>
          <t>SGP2021</t>
        </is>
      </c>
      <c r="B696" s="14" t="inlineStr">
        <is>
          <t>SGP</t>
        </is>
      </c>
      <c r="C696" s="14" t="inlineStr">
        <is>
          <t>SGP</t>
        </is>
      </c>
      <c r="D696" s="14" t="inlineStr">
        <is>
          <t>Singapore</t>
        </is>
      </c>
      <c r="E696" s="14" t="n">
        <v>2021</v>
      </c>
      <c r="F696" s="14" t="n">
        <v>0.07000000000000001</v>
      </c>
      <c r="G696" s="14" t="n">
        <v>4.747</v>
      </c>
      <c r="H696" s="14" t="n">
        <v>1.143</v>
      </c>
      <c r="I696" s="14" t="n">
        <v>0.279</v>
      </c>
      <c r="J696" s="14" t="n">
        <v>5.027</v>
      </c>
      <c r="K696" s="14" t="n">
        <v>0</v>
      </c>
      <c r="L696" s="14" t="n">
        <v>1</v>
      </c>
      <c r="M696" s="14" t="n">
        <v>7.964</v>
      </c>
      <c r="N696" s="14" t="n">
        <v>3.43</v>
      </c>
      <c r="O696" s="14" t="n">
        <v>0.28</v>
      </c>
      <c r="P696" s="14" t="n">
        <v>8.244999999999999</v>
      </c>
      <c r="Q696" s="14" t="n">
        <v>0</v>
      </c>
      <c r="R696" s="14" t="n">
        <v>1</v>
      </c>
      <c r="S696" s="14" t="n">
        <v>10.464</v>
      </c>
      <c r="T696" s="14" t="n">
        <v>6.86</v>
      </c>
      <c r="U696" s="14" t="n">
        <v>0</v>
      </c>
      <c r="V696" s="14" t="n">
        <v>11.196</v>
      </c>
      <c r="W696" s="14" t="n">
        <v>0.07000000000000001</v>
      </c>
      <c r="X696" s="14" t="n">
        <v>1</v>
      </c>
      <c r="Y696" s="14" t="n">
        <v>41.665</v>
      </c>
      <c r="Z696" s="14" t="n">
        <v>4.602</v>
      </c>
      <c r="AA696" s="14" t="n">
        <v>-4.965</v>
      </c>
      <c r="AB696" s="14" t="n">
        <v>36.7</v>
      </c>
      <c r="AC696" s="14" t="n">
        <v>0</v>
      </c>
      <c r="AD696" s="14" t="n">
        <v>1</v>
      </c>
      <c r="AE696" s="14" t="n">
        <v>41.622</v>
      </c>
      <c r="AF696" s="14" t="n">
        <v>8.19</v>
      </c>
      <c r="AG696" s="14" t="n">
        <v>-4.922</v>
      </c>
      <c r="AH696" s="14" t="n">
        <v>36.7</v>
      </c>
      <c r="AI696" s="14" t="n">
        <v>0</v>
      </c>
      <c r="AJ696" s="14" t="n">
        <v>1</v>
      </c>
      <c r="AK696" s="14" t="n">
        <v>45.721</v>
      </c>
      <c r="AL696" s="14" t="n">
        <v>22.44</v>
      </c>
      <c r="AM696" s="14" t="n">
        <v>-8.090999999999999</v>
      </c>
      <c r="AN696" s="14" t="n">
        <v>40.264</v>
      </c>
      <c r="AO696" s="14" t="n">
        <v>0</v>
      </c>
      <c r="AP696" s="14" t="n">
        <v>1</v>
      </c>
      <c r="AQ696" s="14" t="n">
        <v>0.624</v>
      </c>
      <c r="AR696" s="14" t="n">
        <v>0.114</v>
      </c>
      <c r="AS696" s="14" t="n">
        <v>0.997</v>
      </c>
      <c r="AT696" s="14" t="n">
        <v>1.751</v>
      </c>
      <c r="AU696" s="14" t="n">
        <v>0.08</v>
      </c>
      <c r="AV696" s="14" t="n">
        <v>1</v>
      </c>
      <c r="AW696" s="14" t="n">
        <v>0.593</v>
      </c>
      <c r="AX696" s="14" t="n">
        <v>0.114</v>
      </c>
      <c r="AY696" s="14" t="n">
        <v>0.742</v>
      </c>
      <c r="AZ696" s="14" t="n">
        <v>1.428</v>
      </c>
      <c r="BA696" s="14" t="n">
        <v>0.07000000000000001</v>
      </c>
      <c r="BB696" s="14" t="n">
        <v>1</v>
      </c>
      <c r="BC696" s="14" t="n">
        <v>0.442</v>
      </c>
      <c r="BD696" s="14" t="n">
        <v>0.114</v>
      </c>
      <c r="BE696" s="14" t="n">
        <v>0.856</v>
      </c>
      <c r="BF696" s="14" t="n">
        <v>1.389</v>
      </c>
      <c r="BG696" s="14" t="n">
        <v>0.07000000000000001</v>
      </c>
      <c r="BH696" s="14" t="n">
        <v>1</v>
      </c>
      <c r="BI696" s="14" t="n">
        <v>0.583</v>
      </c>
      <c r="BJ696" s="14" t="n">
        <v>0.114</v>
      </c>
      <c r="BK696" s="14" t="n">
        <v>0</v>
      </c>
      <c r="BL696" s="14" t="n">
        <v>0.623</v>
      </c>
      <c r="BM696" s="14" t="n">
        <v>0.07000000000000001</v>
      </c>
      <c r="BN696" s="14" t="n">
        <v>1</v>
      </c>
      <c r="BO696" s="14" t="n">
        <v>0</v>
      </c>
      <c r="BP696" s="14" t="n">
        <v>0</v>
      </c>
      <c r="BQ696" s="14" t="n">
        <v>0.127</v>
      </c>
      <c r="BR696" s="14" t="n">
        <v>0</v>
      </c>
      <c r="BS696" s="14" t="n">
        <v>1</v>
      </c>
      <c r="BT696" s="14" t="n">
        <v>0</v>
      </c>
      <c r="BU696" s="14" t="n">
        <v>0</v>
      </c>
      <c r="BV696" s="14" t="n">
        <v>0.169</v>
      </c>
      <c r="BW696" s="14" t="n">
        <v>0.07000000000000001</v>
      </c>
      <c r="BX696" s="14" t="n">
        <v>1</v>
      </c>
      <c r="BY696" s="14" t="n">
        <v>11.787</v>
      </c>
      <c r="BZ696" s="14" t="n">
        <v>0</v>
      </c>
      <c r="CA696" s="14" t="n">
        <v>11.787</v>
      </c>
      <c r="CB696" s="14" t="n">
        <v>0</v>
      </c>
      <c r="CC696" s="14" t="n">
        <v>73.753</v>
      </c>
      <c r="CD696" s="14" t="n">
        <v>7.95</v>
      </c>
      <c r="CE696" s="14" t="n">
        <v>1.538</v>
      </c>
      <c r="CF696" s="14" t="n">
        <v>80.56100000000001</v>
      </c>
      <c r="CG696" s="14" t="n">
        <v>0.07000000000000001</v>
      </c>
      <c r="CH696" s="14" t="n">
        <v>1</v>
      </c>
      <c r="CI696" s="14" t="n">
        <v>1</v>
      </c>
      <c r="CJ696" s="14" t="n">
        <v>1</v>
      </c>
      <c r="CK696" s="14" t="n">
        <v>0</v>
      </c>
      <c r="CL696" s="14" t="n">
        <v>0</v>
      </c>
      <c r="CM696" s="14" t="n">
        <v>0</v>
      </c>
      <c r="CN696" s="14" t="n">
        <v>0</v>
      </c>
      <c r="CO696" s="14" t="n">
        <v>0</v>
      </c>
      <c r="CP696" s="14" t="n">
        <v>0</v>
      </c>
      <c r="CQ696" s="14" t="n">
        <v>1.198</v>
      </c>
      <c r="CR696" s="14" t="n">
        <v>0</v>
      </c>
      <c r="CS696" s="14" t="n">
        <v>4.776</v>
      </c>
      <c r="CT696" s="14" t="n">
        <v>3.604</v>
      </c>
      <c r="CU696" s="14" t="n">
        <v>9.407999999999999</v>
      </c>
    </row>
    <row r="697">
      <c r="A697" s="14" t="inlineStr">
        <is>
          <t>SGP2022</t>
        </is>
      </c>
      <c r="B697" s="14" t="inlineStr">
        <is>
          <t>SGP</t>
        </is>
      </c>
      <c r="C697" s="14" t="inlineStr">
        <is>
          <t>SGP</t>
        </is>
      </c>
      <c r="D697" s="14" t="inlineStr">
        <is>
          <t>Singapore</t>
        </is>
      </c>
      <c r="E697" s="14" t="n">
        <v>2022</v>
      </c>
      <c r="F697" s="14" t="n">
        <v>0.07000000000000001</v>
      </c>
      <c r="G697" s="14" t="n">
        <v>8.788</v>
      </c>
      <c r="H697" s="14" t="n">
        <v>1.235</v>
      </c>
      <c r="I697" s="14" t="n">
        <v>0.314</v>
      </c>
      <c r="J697" s="14" t="n">
        <v>9.102</v>
      </c>
      <c r="K697" s="14" t="n">
        <v>0</v>
      </c>
      <c r="L697" s="14" t="n">
        <v>1</v>
      </c>
      <c r="M697" s="14" t="n">
        <v>9.782999999999999</v>
      </c>
      <c r="N697" s="14" t="n">
        <v>3.704</v>
      </c>
      <c r="O697" s="14" t="n">
        <v>0.315</v>
      </c>
      <c r="P697" s="14" t="n">
        <v>10.098</v>
      </c>
      <c r="Q697" s="14" t="n">
        <v>0</v>
      </c>
      <c r="R697" s="14" t="n">
        <v>1</v>
      </c>
      <c r="S697" s="14" t="n">
        <v>14.962</v>
      </c>
      <c r="T697" s="14" t="n">
        <v>7.408</v>
      </c>
      <c r="U697" s="14" t="n">
        <v>0.078</v>
      </c>
      <c r="V697" s="14" t="n">
        <v>16.009</v>
      </c>
      <c r="W697" s="14" t="n">
        <v>0.07000000000000001</v>
      </c>
      <c r="X697" s="14" t="n">
        <v>1</v>
      </c>
      <c r="Y697" s="14" t="n">
        <v>48.446</v>
      </c>
      <c r="Z697" s="14" t="n">
        <v>5.082</v>
      </c>
      <c r="AA697" s="14" t="n">
        <v>-4.674</v>
      </c>
      <c r="AB697" s="14" t="n">
        <v>43.772</v>
      </c>
      <c r="AC697" s="14" t="n">
        <v>0</v>
      </c>
      <c r="AD697" s="14" t="n">
        <v>1</v>
      </c>
      <c r="AE697" s="14" t="n">
        <v>48.494</v>
      </c>
      <c r="AF697" s="14" t="n">
        <v>8.99</v>
      </c>
      <c r="AG697" s="14" t="n">
        <v>-4.721</v>
      </c>
      <c r="AH697" s="14" t="n">
        <v>43.772</v>
      </c>
      <c r="AI697" s="14" t="n">
        <v>0</v>
      </c>
      <c r="AJ697" s="14" t="n">
        <v>1</v>
      </c>
      <c r="AK697" s="14" t="n">
        <v>53.141</v>
      </c>
      <c r="AL697" s="14" t="n">
        <v>25.377</v>
      </c>
      <c r="AM697" s="14" t="n">
        <v>-8.965999999999999</v>
      </c>
      <c r="AN697" s="14" t="n">
        <v>47.267</v>
      </c>
      <c r="AO697" s="14" t="n">
        <v>0</v>
      </c>
      <c r="AP697" s="14" t="n">
        <v>1</v>
      </c>
      <c r="AQ697" s="14" t="n">
        <v>0.855</v>
      </c>
      <c r="AR697" s="14" t="n">
        <v>0.123</v>
      </c>
      <c r="AS697" s="14" t="n">
        <v>1.026</v>
      </c>
      <c r="AT697" s="14" t="n">
        <v>2.031</v>
      </c>
      <c r="AU697" s="14" t="n">
        <v>0.08</v>
      </c>
      <c r="AV697" s="14" t="n">
        <v>1</v>
      </c>
      <c r="AW697" s="14" t="n">
        <v>0.947</v>
      </c>
      <c r="AX697" s="14" t="n">
        <v>0.123</v>
      </c>
      <c r="AY697" s="14" t="n">
        <v>0.847</v>
      </c>
      <c r="AZ697" s="14" t="n">
        <v>1.919</v>
      </c>
      <c r="BA697" s="14" t="n">
        <v>0.07000000000000001</v>
      </c>
      <c r="BB697" s="14" t="n">
        <v>1</v>
      </c>
      <c r="BC697" s="14" t="n">
        <v>0.594</v>
      </c>
      <c r="BD697" s="14" t="n">
        <v>0.123</v>
      </c>
      <c r="BE697" s="14" t="n">
        <v>0.924</v>
      </c>
      <c r="BF697" s="14" t="n">
        <v>1.616</v>
      </c>
      <c r="BG697" s="14" t="n">
        <v>0.07000000000000001</v>
      </c>
      <c r="BH697" s="14" t="n">
        <v>1</v>
      </c>
      <c r="BI697" s="14" t="n">
        <v>0.766</v>
      </c>
      <c r="BJ697" s="14" t="n">
        <v>0.123</v>
      </c>
      <c r="BK697" s="14" t="n">
        <v>0.004</v>
      </c>
      <c r="BL697" s="14" t="n">
        <v>0.819</v>
      </c>
      <c r="BM697" s="14" t="n">
        <v>0.07000000000000001</v>
      </c>
      <c r="BN697" s="14" t="n">
        <v>1</v>
      </c>
      <c r="BO697" s="14" t="n">
        <v>0</v>
      </c>
      <c r="BP697" s="14" t="n">
        <v>0</v>
      </c>
      <c r="BQ697" s="14" t="n">
        <v>0.161</v>
      </c>
      <c r="BR697" s="14" t="n">
        <v>0</v>
      </c>
      <c r="BS697" s="14" t="n">
        <v>1</v>
      </c>
      <c r="BT697" s="14" t="n">
        <v>0</v>
      </c>
      <c r="BU697" s="14" t="n">
        <v>0</v>
      </c>
      <c r="BV697" s="14" t="n">
        <v>0.205</v>
      </c>
      <c r="BW697" s="14" t="n">
        <v>0.07000000000000001</v>
      </c>
      <c r="BX697" s="14" t="n">
        <v>1</v>
      </c>
      <c r="BY697" s="14" t="n">
        <v>12.729</v>
      </c>
      <c r="BZ697" s="14" t="n">
        <v>0</v>
      </c>
      <c r="CA697" s="14" t="n">
        <v>12.729</v>
      </c>
      <c r="CB697" s="14" t="n">
        <v>0</v>
      </c>
      <c r="CC697" s="14" t="n">
        <v>89.188</v>
      </c>
      <c r="CD697" s="14" t="n">
        <v>7.95</v>
      </c>
      <c r="CE697" s="14" t="n">
        <v>2.027</v>
      </c>
      <c r="CF697" s="14" t="n">
        <v>97.09699999999999</v>
      </c>
      <c r="CG697" s="14" t="n">
        <v>0.07000000000000001</v>
      </c>
      <c r="CH697" s="14" t="n">
        <v>1</v>
      </c>
      <c r="CI697" s="14" t="n">
        <v>1</v>
      </c>
      <c r="CJ697" s="14" t="n">
        <v>1</v>
      </c>
      <c r="CK697" s="14" t="n">
        <v>0</v>
      </c>
      <c r="CL697" s="14" t="n">
        <v>0</v>
      </c>
      <c r="CM697" s="14" t="n">
        <v>0</v>
      </c>
      <c r="CN697" s="14" t="n">
        <v>0</v>
      </c>
      <c r="CO697" s="14" t="n">
        <v>0</v>
      </c>
      <c r="CP697" s="14" t="n">
        <v>0</v>
      </c>
      <c r="CQ697" s="14" t="n">
        <v>1.294</v>
      </c>
      <c r="CR697" s="14" t="n">
        <v>0</v>
      </c>
      <c r="CS697" s="14" t="n">
        <v>5.158</v>
      </c>
      <c r="CT697" s="14" t="n">
        <v>7.554</v>
      </c>
      <c r="CU697" s="14" t="n">
        <v>16.097</v>
      </c>
    </row>
    <row r="698">
      <c r="A698" s="14" t="inlineStr">
        <is>
          <t>SGP2023</t>
        </is>
      </c>
      <c r="B698" s="14" t="inlineStr">
        <is>
          <t>SGP</t>
        </is>
      </c>
      <c r="C698" s="14" t="inlineStr">
        <is>
          <t>SGP</t>
        </is>
      </c>
      <c r="D698" s="14" t="inlineStr">
        <is>
          <t>Singapore</t>
        </is>
      </c>
      <c r="E698" s="14" t="n">
        <v>2023</v>
      </c>
      <c r="F698" s="14" t="n">
        <v>0.07000000000000001</v>
      </c>
      <c r="G698" s="14" t="n">
        <v>5.77</v>
      </c>
      <c r="H698" s="14" t="n">
        <v>1.286</v>
      </c>
      <c r="I698" s="14" t="n">
        <v>0.334</v>
      </c>
      <c r="J698" s="14" t="n">
        <v>6.104</v>
      </c>
      <c r="K698" s="14" t="n">
        <v>0</v>
      </c>
      <c r="L698" s="14" t="n">
        <v>1</v>
      </c>
      <c r="M698" s="14" t="n">
        <v>7.886</v>
      </c>
      <c r="N698" s="14" t="n">
        <v>3.857</v>
      </c>
      <c r="O698" s="14" t="n">
        <v>0.335</v>
      </c>
      <c r="P698" s="14" t="n">
        <v>8.221</v>
      </c>
      <c r="Q698" s="14" t="n">
        <v>0</v>
      </c>
      <c r="R698" s="14" t="n">
        <v>1</v>
      </c>
      <c r="S698" s="14" t="n">
        <v>12.198</v>
      </c>
      <c r="T698" s="14" t="n">
        <v>7.714</v>
      </c>
      <c r="U698" s="14" t="n">
        <v>0.095</v>
      </c>
      <c r="V698" s="14" t="n">
        <v>13.052</v>
      </c>
      <c r="W698" s="14" t="n">
        <v>0.07000000000000001</v>
      </c>
      <c r="X698" s="14" t="n">
        <v>1</v>
      </c>
      <c r="Y698" s="14" t="n">
        <v>44.928</v>
      </c>
      <c r="Z698" s="14" t="n">
        <v>5.033</v>
      </c>
      <c r="AA698" s="14" t="n">
        <v>0.376</v>
      </c>
      <c r="AB698" s="14" t="n">
        <v>45.304</v>
      </c>
      <c r="AC698" s="14" t="n">
        <v>0</v>
      </c>
      <c r="AD698" s="14" t="n">
        <v>1</v>
      </c>
      <c r="AE698" s="14" t="n">
        <v>45.027</v>
      </c>
      <c r="AF698" s="14" t="n">
        <v>8.968</v>
      </c>
      <c r="AG698" s="14" t="n">
        <v>0.277</v>
      </c>
      <c r="AH698" s="14" t="n">
        <v>45.304</v>
      </c>
      <c r="AI698" s="14" t="n">
        <v>0</v>
      </c>
      <c r="AJ698" s="14" t="n">
        <v>1</v>
      </c>
      <c r="AK698" s="14" t="n">
        <v>49.981</v>
      </c>
      <c r="AL698" s="14" t="n">
        <v>24.759</v>
      </c>
      <c r="AM698" s="14" t="n">
        <v>-4.133</v>
      </c>
      <c r="AN698" s="14" t="n">
        <v>49.057</v>
      </c>
      <c r="AO698" s="14" t="n">
        <v>0</v>
      </c>
      <c r="AP698" s="14" t="n">
        <v>1</v>
      </c>
      <c r="AQ698" s="14" t="n">
        <v>0.752</v>
      </c>
      <c r="AR698" s="14" t="n">
        <v>0.129</v>
      </c>
      <c r="AS698" s="14" t="n">
        <v>1.101</v>
      </c>
      <c r="AT698" s="14" t="n">
        <v>2.001</v>
      </c>
      <c r="AU698" s="14" t="n">
        <v>0.08</v>
      </c>
      <c r="AV698" s="14" t="n">
        <v>1</v>
      </c>
      <c r="AW698" s="14" t="n">
        <v>0.783</v>
      </c>
      <c r="AX698" s="14" t="n">
        <v>0.129</v>
      </c>
      <c r="AY698" s="14" t="n">
        <v>0.925</v>
      </c>
      <c r="AZ698" s="14" t="n">
        <v>1.827</v>
      </c>
      <c r="BA698" s="14" t="n">
        <v>0.07000000000000001</v>
      </c>
      <c r="BB698" s="14" t="n">
        <v>1</v>
      </c>
      <c r="BC698" s="14" t="n">
        <v>0.529</v>
      </c>
      <c r="BD698" s="14" t="n">
        <v>0.129</v>
      </c>
      <c r="BE698" s="14" t="n">
        <v>0.972</v>
      </c>
      <c r="BF698" s="14" t="n">
        <v>1.594</v>
      </c>
      <c r="BG698" s="14" t="n">
        <v>0.07000000000000001</v>
      </c>
      <c r="BH698" s="14" t="n">
        <v>1</v>
      </c>
      <c r="BI698" s="14" t="n">
        <v>0.669</v>
      </c>
      <c r="BJ698" s="14" t="n">
        <v>0.129</v>
      </c>
      <c r="BK698" s="14" t="n">
        <v>0.005</v>
      </c>
      <c r="BL698" s="14" t="n">
        <v>0.715</v>
      </c>
      <c r="BM698" s="14" t="n">
        <v>0.07000000000000001</v>
      </c>
      <c r="BN698" s="14" t="n">
        <v>1</v>
      </c>
      <c r="BO698" s="14" t="n">
        <v>0</v>
      </c>
      <c r="BP698" s="14" t="n">
        <v>0</v>
      </c>
      <c r="BQ698" s="14" t="n">
        <v>0.243</v>
      </c>
      <c r="BR698" s="14" t="n">
        <v>0</v>
      </c>
      <c r="BS698" s="14" t="n">
        <v>1</v>
      </c>
      <c r="BT698" s="14" t="n">
        <v>0</v>
      </c>
      <c r="BU698" s="14" t="n">
        <v>0</v>
      </c>
      <c r="BV698" s="14" t="n">
        <v>0.227</v>
      </c>
      <c r="BW698" s="14" t="n">
        <v>0.07000000000000001</v>
      </c>
      <c r="BX698" s="14" t="n">
        <v>1</v>
      </c>
      <c r="BY698" s="14" t="n">
        <v>13.254</v>
      </c>
      <c r="BZ698" s="14" t="n">
        <v>0</v>
      </c>
      <c r="CA698" s="14" t="n">
        <v>13.254</v>
      </c>
      <c r="CB698" s="14" t="n">
        <v>0</v>
      </c>
      <c r="CC698" s="14" t="n">
        <v>72.967</v>
      </c>
      <c r="CD698" s="14" t="n">
        <v>7.95</v>
      </c>
      <c r="CE698" s="14" t="n">
        <v>2.247</v>
      </c>
      <c r="CF698" s="14" t="n">
        <v>79.86</v>
      </c>
      <c r="CG698" s="14" t="n">
        <v>0.07000000000000001</v>
      </c>
      <c r="CH698" s="14" t="n">
        <v>1</v>
      </c>
      <c r="CI698" s="14" t="n">
        <v>1</v>
      </c>
      <c r="CJ698" s="14" t="n">
        <v>1</v>
      </c>
      <c r="CK698" s="14" t="n">
        <v>0</v>
      </c>
      <c r="CL698" s="14" t="n">
        <v>0</v>
      </c>
      <c r="CM698" s="14" t="n">
        <v>0</v>
      </c>
      <c r="CN698" s="14" t="n">
        <v>0</v>
      </c>
      <c r="CO698" s="14" t="n">
        <v>0</v>
      </c>
      <c r="CP698" s="14" t="n">
        <v>0</v>
      </c>
      <c r="CQ698" s="14" t="n">
        <v>1.348</v>
      </c>
      <c r="CR698" s="14" t="n">
        <v>0</v>
      </c>
      <c r="CS698" s="14" t="n">
        <v>5.37</v>
      </c>
      <c r="CT698" s="14" t="n">
        <v>4.484</v>
      </c>
      <c r="CU698" s="14" t="n">
        <v>12.529</v>
      </c>
    </row>
    <row r="699">
      <c r="A699" s="14" t="inlineStr">
        <is>
          <t>SGP2024</t>
        </is>
      </c>
      <c r="B699" s="14" t="inlineStr">
        <is>
          <t>SGP</t>
        </is>
      </c>
      <c r="C699" s="14" t="inlineStr">
        <is>
          <t>SGP</t>
        </is>
      </c>
      <c r="D699" s="14" t="inlineStr">
        <is>
          <t>Singapore</t>
        </is>
      </c>
      <c r="E699" s="14" t="n">
        <v>2024</v>
      </c>
      <c r="F699" s="14" t="n">
        <v>0.07000000000000001</v>
      </c>
      <c r="G699" s="14" t="n">
        <v>4.833</v>
      </c>
      <c r="H699" s="14" t="n">
        <v>1.324</v>
      </c>
      <c r="I699" s="14" t="n">
        <v>1.689</v>
      </c>
      <c r="J699" s="14" t="n">
        <v>6.522</v>
      </c>
      <c r="K699" s="14" t="n">
        <v>0</v>
      </c>
      <c r="L699" s="14" t="n">
        <v>1</v>
      </c>
      <c r="M699" s="14" t="n">
        <v>7.124</v>
      </c>
      <c r="N699" s="14" t="n">
        <v>3.971</v>
      </c>
      <c r="O699" s="14" t="n">
        <v>1.695</v>
      </c>
      <c r="P699" s="14" t="n">
        <v>8.818</v>
      </c>
      <c r="Q699" s="14" t="n">
        <v>0</v>
      </c>
      <c r="R699" s="14" t="n">
        <v>1</v>
      </c>
      <c r="S699" s="14" t="n">
        <v>11.451</v>
      </c>
      <c r="T699" s="14" t="n">
        <v>7.942</v>
      </c>
      <c r="U699" s="14" t="n">
        <v>0.109</v>
      </c>
      <c r="V699" s="14" t="n">
        <v>12.252</v>
      </c>
      <c r="W699" s="14" t="n">
        <v>0.07000000000000001</v>
      </c>
      <c r="X699" s="14" t="n">
        <v>1</v>
      </c>
      <c r="Y699" s="14" t="n">
        <v>48.488</v>
      </c>
      <c r="Z699" s="14" t="n">
        <v>6.122</v>
      </c>
      <c r="AA699" s="14" t="n">
        <v>0</v>
      </c>
      <c r="AB699" s="14" t="n">
        <v>48.488</v>
      </c>
      <c r="AC699" s="14" t="n">
        <v>0</v>
      </c>
      <c r="AD699" s="14" t="n">
        <v>1</v>
      </c>
      <c r="AE699" s="14" t="n">
        <v>48.488</v>
      </c>
      <c r="AF699" s="14" t="n">
        <v>10.622</v>
      </c>
      <c r="AG699" s="14" t="n">
        <v>0</v>
      </c>
      <c r="AH699" s="14" t="n">
        <v>48.488</v>
      </c>
      <c r="AI699" s="14" t="n">
        <v>0</v>
      </c>
      <c r="AJ699" s="14" t="n">
        <v>1</v>
      </c>
      <c r="AK699" s="14" t="n">
        <v>53.142</v>
      </c>
      <c r="AL699" s="14" t="n">
        <v>27.029</v>
      </c>
      <c r="AM699" s="14" t="n">
        <v>-4.15</v>
      </c>
      <c r="AN699" s="14" t="n">
        <v>52.422</v>
      </c>
      <c r="AO699" s="14" t="n">
        <v>0</v>
      </c>
      <c r="AP699" s="14" t="n">
        <v>1</v>
      </c>
      <c r="AQ699" s="14" t="n">
        <v>0.723</v>
      </c>
      <c r="AR699" s="14" t="n">
        <v>0.132</v>
      </c>
      <c r="AS699" s="14" t="n">
        <v>1.167</v>
      </c>
      <c r="AT699" s="14" t="n">
        <v>2.06</v>
      </c>
      <c r="AU699" s="14" t="n">
        <v>0.09</v>
      </c>
      <c r="AV699" s="14" t="n">
        <v>1</v>
      </c>
      <c r="AW699" s="14" t="n">
        <v>0.734</v>
      </c>
      <c r="AX699" s="14" t="n">
        <v>0.132</v>
      </c>
      <c r="AY699" s="14" t="n">
        <v>1.03</v>
      </c>
      <c r="AZ699" s="14" t="n">
        <v>1.887</v>
      </c>
      <c r="BA699" s="14" t="n">
        <v>0.07000000000000001</v>
      </c>
      <c r="BB699" s="14" t="n">
        <v>1</v>
      </c>
      <c r="BC699" s="14" t="n">
        <v>0.512</v>
      </c>
      <c r="BD699" s="14" t="n">
        <v>0.132</v>
      </c>
      <c r="BE699" s="14" t="n">
        <v>1.005</v>
      </c>
      <c r="BF699" s="14" t="n">
        <v>1.608</v>
      </c>
      <c r="BG699" s="14" t="n">
        <v>0.07000000000000001</v>
      </c>
      <c r="BH699" s="14" t="n">
        <v>1</v>
      </c>
      <c r="BI699" s="14" t="n">
        <v>0.66</v>
      </c>
      <c r="BJ699" s="14" t="n">
        <v>0.132</v>
      </c>
      <c r="BK699" s="14" t="n">
        <v>0.006</v>
      </c>
      <c r="BL699" s="14" t="n">
        <v>0.707</v>
      </c>
      <c r="BM699" s="14" t="n">
        <v>0.07000000000000001</v>
      </c>
      <c r="BN699" s="14" t="n">
        <v>1</v>
      </c>
      <c r="BO699" s="14" t="n">
        <v>0</v>
      </c>
      <c r="BP699" s="14" t="n">
        <v>0</v>
      </c>
      <c r="BQ699" s="14" t="n">
        <v>0.207</v>
      </c>
      <c r="BR699" s="14" t="n">
        <v>0</v>
      </c>
      <c r="BS699" s="14" t="n">
        <v>1</v>
      </c>
      <c r="BT699" s="14" t="n">
        <v>0</v>
      </c>
      <c r="BU699" s="14" t="n">
        <v>0</v>
      </c>
      <c r="BV699" s="14" t="n">
        <v>0.231</v>
      </c>
      <c r="BW699" s="14" t="n">
        <v>0.07000000000000001</v>
      </c>
      <c r="BX699" s="14" t="n">
        <v>1</v>
      </c>
      <c r="BY699" s="14" t="n">
        <v>13.646</v>
      </c>
      <c r="BZ699" s="14" t="n">
        <v>0</v>
      </c>
      <c r="CA699" s="14" t="n">
        <v>13.646</v>
      </c>
      <c r="CB699" s="14" t="n">
        <v>0</v>
      </c>
      <c r="CC699" s="14" t="n">
        <v>71.05</v>
      </c>
      <c r="CD699" s="14" t="n">
        <v>7.95</v>
      </c>
      <c r="CE699" s="14" t="n">
        <v>9.138</v>
      </c>
      <c r="CF699" s="14" t="n">
        <v>84.991</v>
      </c>
      <c r="CG699" s="14" t="n">
        <v>0.07000000000000001</v>
      </c>
      <c r="CH699" s="14" t="n">
        <v>1</v>
      </c>
      <c r="CI699" s="14" t="n">
        <v>1</v>
      </c>
      <c r="CJ699" s="14" t="n">
        <v>1</v>
      </c>
      <c r="CK699" s="14" t="n">
        <v>0</v>
      </c>
      <c r="CL699" s="14" t="n">
        <v>0</v>
      </c>
      <c r="CM699" s="14" t="n">
        <v>0</v>
      </c>
      <c r="CN699" s="14" t="n">
        <v>0</v>
      </c>
      <c r="CO699" s="14" t="n">
        <v>0</v>
      </c>
      <c r="CP699" s="14" t="n">
        <v>0</v>
      </c>
      <c r="CQ699" s="14" t="n">
        <v>1.387</v>
      </c>
      <c r="CR699" s="14" t="n">
        <v>0</v>
      </c>
      <c r="CS699" s="14" t="n">
        <v>5.529</v>
      </c>
      <c r="CT699" s="14" t="n">
        <v>3.509</v>
      </c>
      <c r="CU699" s="14" t="n">
        <v>10.896</v>
      </c>
    </row>
    <row r="700">
      <c r="A700" s="14" t="inlineStr">
        <is>
          <t>SXM2021</t>
        </is>
      </c>
      <c r="B700" s="14" t="inlineStr">
        <is>
          <t>SXM</t>
        </is>
      </c>
      <c r="C700" s="14" t="inlineStr">
        <is>
          <t>SXM</t>
        </is>
      </c>
      <c r="D700" s="14" t="inlineStr">
        <is>
          <t>Sint Maarten (Dutch part)</t>
        </is>
      </c>
      <c r="E700" s="14" t="n">
        <v>2021</v>
      </c>
      <c r="F700" s="14" t="n">
        <v>0.05</v>
      </c>
      <c r="G700" s="14" t="n">
        <v>5.897</v>
      </c>
      <c r="H700" s="14" t="n">
        <v>1.143</v>
      </c>
      <c r="I700" s="14" t="n">
        <v>0</v>
      </c>
      <c r="J700" s="14" t="n">
        <v>5.897</v>
      </c>
      <c r="K700" s="14" t="n">
        <v>0</v>
      </c>
      <c r="L700" s="14" t="n">
        <v>1</v>
      </c>
      <c r="M700" s="14" t="n">
        <v>7.964</v>
      </c>
      <c r="N700" s="14" t="n">
        <v>3.43</v>
      </c>
      <c r="O700" s="14" t="n">
        <v>0</v>
      </c>
      <c r="P700" s="14" t="n">
        <v>7.964</v>
      </c>
      <c r="Q700" s="14" t="n">
        <v>0</v>
      </c>
      <c r="R700" s="14" t="n">
        <v>1</v>
      </c>
      <c r="S700" s="14" t="n">
        <v>11.613</v>
      </c>
      <c r="T700" s="14" t="n">
        <v>6.86</v>
      </c>
      <c r="U700" s="14" t="n">
        <v>0</v>
      </c>
      <c r="V700" s="14" t="n">
        <v>12.194</v>
      </c>
      <c r="W700" s="14" t="n">
        <v>0.05</v>
      </c>
      <c r="X700" s="14" t="n">
        <v>1</v>
      </c>
      <c r="Y700" s="14" t="n">
        <v>17.127</v>
      </c>
      <c r="Z700" s="14" t="n">
        <v>2.304</v>
      </c>
      <c r="AA700" s="14" t="n">
        <v>0</v>
      </c>
      <c r="AB700" s="14" t="n">
        <v>17.127</v>
      </c>
      <c r="AC700" s="14" t="n">
        <v>0</v>
      </c>
      <c r="AD700" s="14" t="n">
        <v>1</v>
      </c>
      <c r="AE700" s="14" t="n">
        <v>18.27</v>
      </c>
      <c r="AF700" s="14" t="n">
        <v>4.278</v>
      </c>
      <c r="AG700" s="14" t="n">
        <v>0</v>
      </c>
      <c r="AH700" s="14" t="n">
        <v>18.27</v>
      </c>
      <c r="AI700" s="14" t="n">
        <v>0</v>
      </c>
      <c r="AJ700" s="14" t="n">
        <v>1</v>
      </c>
      <c r="AK700" s="14" t="n">
        <v>25.13</v>
      </c>
      <c r="AL700" s="14" t="n">
        <v>13.503</v>
      </c>
      <c r="AM700" s="14" t="n">
        <v>0</v>
      </c>
      <c r="AN700" s="14" t="n">
        <v>26.386</v>
      </c>
      <c r="AO700" s="14" t="n">
        <v>0.05</v>
      </c>
      <c r="AP700" s="14" t="n">
        <v>1</v>
      </c>
      <c r="AQ700" s="14" t="n">
        <v>0.649</v>
      </c>
      <c r="AR700" s="14" t="n">
        <v>0.114</v>
      </c>
      <c r="AS700" s="14" t="n">
        <v>0</v>
      </c>
      <c r="AT700" s="14" t="n">
        <v>0.681</v>
      </c>
      <c r="AU700" s="14" t="n">
        <v>0.05</v>
      </c>
      <c r="AV700" s="14" t="n">
        <v>1</v>
      </c>
      <c r="AW700" s="14" t="n">
        <v>0.577</v>
      </c>
      <c r="AX700" s="14" t="n">
        <v>0.114</v>
      </c>
      <c r="AY700" s="14" t="n">
        <v>0</v>
      </c>
      <c r="AZ700" s="14" t="n">
        <v>0.605</v>
      </c>
      <c r="BA700" s="14" t="n">
        <v>0.05</v>
      </c>
      <c r="BB700" s="14" t="n">
        <v>1</v>
      </c>
      <c r="BC700" s="14" t="n">
        <v>0.458</v>
      </c>
      <c r="BD700" s="14" t="n">
        <v>0.114</v>
      </c>
      <c r="BE700" s="14" t="n">
        <v>0</v>
      </c>
      <c r="BF700" s="14" t="n">
        <v>0.481</v>
      </c>
      <c r="BG700" s="14" t="n">
        <v>0.05</v>
      </c>
      <c r="BH700" s="14" t="n">
        <v>1</v>
      </c>
      <c r="BI700" s="14" t="n">
        <v>0.491</v>
      </c>
      <c r="BJ700" s="14" t="n">
        <v>0.114</v>
      </c>
      <c r="BK700" s="14" t="n">
        <v>0</v>
      </c>
      <c r="BL700" s="14" t="n">
        <v>0.516</v>
      </c>
      <c r="BM700" s="14" t="n">
        <v>0.05</v>
      </c>
      <c r="BN700" s="14" t="n">
        <v>1</v>
      </c>
      <c r="BO700" s="14" t="n">
        <v>0</v>
      </c>
      <c r="BP700" s="14" t="n">
        <v>0</v>
      </c>
      <c r="BQ700" s="14" t="n">
        <v>0</v>
      </c>
      <c r="BR700" s="14" t="n">
        <v>0</v>
      </c>
      <c r="BS700" s="14" t="n">
        <v>1</v>
      </c>
      <c r="BT700" s="14" t="n">
        <v>0</v>
      </c>
      <c r="BU700" s="14" t="n">
        <v>0</v>
      </c>
      <c r="BV700" s="14" t="n">
        <v>0</v>
      </c>
      <c r="BW700" s="14" t="n">
        <v>0.05</v>
      </c>
      <c r="BX700" s="14" t="n">
        <v>1</v>
      </c>
      <c r="BY700" s="14" t="n">
        <v>11.787</v>
      </c>
      <c r="BZ700" s="14" t="n">
        <v>0</v>
      </c>
      <c r="CA700" s="14" t="n">
        <v>11.787</v>
      </c>
      <c r="CB700" s="14" t="n">
        <v>0</v>
      </c>
      <c r="CC700" s="14" t="n">
        <v>78.125</v>
      </c>
      <c r="CD700" s="14" t="n">
        <v>7.95</v>
      </c>
      <c r="CE700" s="14" t="n">
        <v>0</v>
      </c>
      <c r="CF700" s="14" t="n">
        <v>82.03100000000001</v>
      </c>
      <c r="CG700" s="14" t="n">
        <v>0.05</v>
      </c>
      <c r="CH700" s="14" t="n">
        <v>1</v>
      </c>
      <c r="CI700" s="14" t="n">
        <v>0</v>
      </c>
      <c r="CJ700" s="14" t="n">
        <v>0</v>
      </c>
      <c r="CK700" s="14" t="n">
        <v>0</v>
      </c>
      <c r="CL700" s="14" t="n">
        <v>0</v>
      </c>
      <c r="CM700" s="14" t="n">
        <v>0</v>
      </c>
      <c r="CN700" s="14" t="n">
        <v>0</v>
      </c>
      <c r="CO700" s="14" t="n">
        <v>0</v>
      </c>
      <c r="CP700" s="14" t="n">
        <v>0</v>
      </c>
      <c r="CQ700" s="14" t="n">
        <v>1.198</v>
      </c>
      <c r="CR700" s="14" t="n">
        <v>0</v>
      </c>
      <c r="CS700" s="14" t="n">
        <v>4.776</v>
      </c>
      <c r="CT700" s="14" t="n">
        <v>4.753</v>
      </c>
      <c r="CU700" s="14" t="n">
        <v>15.983</v>
      </c>
    </row>
    <row r="701">
      <c r="A701" s="14" t="inlineStr">
        <is>
          <t>SXM2022</t>
        </is>
      </c>
      <c r="B701" s="14" t="inlineStr">
        <is>
          <t>SXM</t>
        </is>
      </c>
      <c r="C701" s="14" t="inlineStr">
        <is>
          <t>SXM</t>
        </is>
      </c>
      <c r="D701" s="14" t="inlineStr">
        <is>
          <t>Sint Maarten (Dutch part)</t>
        </is>
      </c>
      <c r="E701" s="14" t="n">
        <v>2022</v>
      </c>
      <c r="F701" s="14" t="n">
        <v>0.05</v>
      </c>
      <c r="G701" s="14" t="n">
        <v>11.72</v>
      </c>
      <c r="H701" s="14" t="n">
        <v>1.235</v>
      </c>
      <c r="I701" s="14" t="n">
        <v>0</v>
      </c>
      <c r="J701" s="14" t="n">
        <v>11.72</v>
      </c>
      <c r="K701" s="14" t="n">
        <v>0</v>
      </c>
      <c r="L701" s="14" t="n">
        <v>1</v>
      </c>
      <c r="M701" s="14" t="n">
        <v>9.782999999999999</v>
      </c>
      <c r="N701" s="14" t="n">
        <v>3.704</v>
      </c>
      <c r="O701" s="14" t="n">
        <v>0</v>
      </c>
      <c r="P701" s="14" t="n">
        <v>9.782999999999999</v>
      </c>
      <c r="Q701" s="14" t="n">
        <v>0</v>
      </c>
      <c r="R701" s="14" t="n">
        <v>1</v>
      </c>
      <c r="S701" s="14" t="n">
        <v>17.893</v>
      </c>
      <c r="T701" s="14" t="n">
        <v>7.408</v>
      </c>
      <c r="U701" s="14" t="n">
        <v>0.066</v>
      </c>
      <c r="V701" s="14" t="n">
        <v>18.788</v>
      </c>
      <c r="W701" s="14" t="n">
        <v>0.05</v>
      </c>
      <c r="X701" s="14" t="n">
        <v>1</v>
      </c>
      <c r="Y701" s="14" t="n">
        <v>30.728</v>
      </c>
      <c r="Z701" s="14" t="n">
        <v>4.133</v>
      </c>
      <c r="AA701" s="14" t="n">
        <v>0</v>
      </c>
      <c r="AB701" s="14" t="n">
        <v>30.728</v>
      </c>
      <c r="AC701" s="14" t="n">
        <v>0</v>
      </c>
      <c r="AD701" s="14" t="n">
        <v>1</v>
      </c>
      <c r="AE701" s="14" t="n">
        <v>31.963</v>
      </c>
      <c r="AF701" s="14" t="n">
        <v>7.485</v>
      </c>
      <c r="AG701" s="14" t="n">
        <v>0</v>
      </c>
      <c r="AH701" s="14" t="n">
        <v>31.963</v>
      </c>
      <c r="AI701" s="14" t="n">
        <v>0</v>
      </c>
      <c r="AJ701" s="14" t="n">
        <v>1</v>
      </c>
      <c r="AK701" s="14" t="n">
        <v>39.371</v>
      </c>
      <c r="AL701" s="14" t="n">
        <v>21.155</v>
      </c>
      <c r="AM701" s="14" t="n">
        <v>0.146</v>
      </c>
      <c r="AN701" s="14" t="n">
        <v>41.34</v>
      </c>
      <c r="AO701" s="14" t="n">
        <v>0.05</v>
      </c>
      <c r="AP701" s="14" t="n">
        <v>1</v>
      </c>
      <c r="AQ701" s="14" t="n">
        <v>0.896</v>
      </c>
      <c r="AR701" s="14" t="n">
        <v>0.123</v>
      </c>
      <c r="AS701" s="14" t="n">
        <v>0.003</v>
      </c>
      <c r="AT701" s="14" t="n">
        <v>0.9409999999999999</v>
      </c>
      <c r="AU701" s="14" t="n">
        <v>0.05</v>
      </c>
      <c r="AV701" s="14" t="n">
        <v>1</v>
      </c>
      <c r="AW701" s="14" t="n">
        <v>0.89</v>
      </c>
      <c r="AX701" s="14" t="n">
        <v>0.123</v>
      </c>
      <c r="AY701" s="14" t="n">
        <v>0.003</v>
      </c>
      <c r="AZ701" s="14" t="n">
        <v>0.9350000000000001</v>
      </c>
      <c r="BA701" s="14" t="n">
        <v>0.05</v>
      </c>
      <c r="BB701" s="14" t="n">
        <v>1</v>
      </c>
      <c r="BC701" s="14" t="n">
        <v>0.62</v>
      </c>
      <c r="BD701" s="14" t="n">
        <v>0.123</v>
      </c>
      <c r="BE701" s="14" t="n">
        <v>0.002</v>
      </c>
      <c r="BF701" s="14" t="n">
        <v>0.651</v>
      </c>
      <c r="BG701" s="14" t="n">
        <v>0.05</v>
      </c>
      <c r="BH701" s="14" t="n">
        <v>1</v>
      </c>
      <c r="BI701" s="14" t="n">
        <v>0.608</v>
      </c>
      <c r="BJ701" s="14" t="n">
        <v>0.123</v>
      </c>
      <c r="BK701" s="14" t="n">
        <v>0.002</v>
      </c>
      <c r="BL701" s="14" t="n">
        <v>0.638</v>
      </c>
      <c r="BM701" s="14" t="n">
        <v>0.05</v>
      </c>
      <c r="BN701" s="14" t="n">
        <v>1</v>
      </c>
      <c r="BO701" s="14" t="n">
        <v>0</v>
      </c>
      <c r="BP701" s="14" t="n">
        <v>0</v>
      </c>
      <c r="BQ701" s="14" t="n">
        <v>0</v>
      </c>
      <c r="BR701" s="14" t="n">
        <v>0</v>
      </c>
      <c r="BS701" s="14" t="n">
        <v>1</v>
      </c>
      <c r="BT701" s="14" t="n">
        <v>0</v>
      </c>
      <c r="BU701" s="14" t="n">
        <v>0</v>
      </c>
      <c r="BV701" s="14" t="n">
        <v>0</v>
      </c>
      <c r="BW701" s="14" t="n">
        <v>0.05</v>
      </c>
      <c r="BX701" s="14" t="n">
        <v>1</v>
      </c>
      <c r="BY701" s="14" t="n">
        <v>12.729</v>
      </c>
      <c r="BZ701" s="14" t="n">
        <v>0</v>
      </c>
      <c r="CA701" s="14" t="n">
        <v>12.729</v>
      </c>
      <c r="CB701" s="14" t="n">
        <v>0</v>
      </c>
      <c r="CC701" s="14" t="n">
        <v>97.90000000000001</v>
      </c>
      <c r="CD701" s="14" t="n">
        <v>7.95</v>
      </c>
      <c r="CE701" s="14" t="n">
        <v>0.362</v>
      </c>
      <c r="CF701" s="14" t="n">
        <v>102.795</v>
      </c>
      <c r="CG701" s="14" t="n">
        <v>0.05</v>
      </c>
      <c r="CH701" s="14" t="n">
        <v>1</v>
      </c>
      <c r="CI701" s="14" t="n">
        <v>0</v>
      </c>
      <c r="CJ701" s="14" t="n">
        <v>0</v>
      </c>
      <c r="CK701" s="14" t="n">
        <v>0</v>
      </c>
      <c r="CL701" s="14" t="n">
        <v>0</v>
      </c>
      <c r="CM701" s="14" t="n">
        <v>0</v>
      </c>
      <c r="CN701" s="14" t="n">
        <v>0</v>
      </c>
      <c r="CO701" s="14" t="n">
        <v>0</v>
      </c>
      <c r="CP701" s="14" t="n">
        <v>0</v>
      </c>
      <c r="CQ701" s="14" t="n">
        <v>1.294</v>
      </c>
      <c r="CR701" s="14" t="n">
        <v>0</v>
      </c>
      <c r="CS701" s="14" t="n">
        <v>5.158</v>
      </c>
      <c r="CT701" s="14" t="n">
        <v>10.485</v>
      </c>
      <c r="CU701" s="14" t="n">
        <v>29.494</v>
      </c>
    </row>
    <row r="702">
      <c r="A702" s="14" t="inlineStr">
        <is>
          <t>SXM2023</t>
        </is>
      </c>
      <c r="B702" s="14" t="inlineStr">
        <is>
          <t>SXM</t>
        </is>
      </c>
      <c r="C702" s="14" t="inlineStr">
        <is>
          <t>SXM</t>
        </is>
      </c>
      <c r="D702" s="14" t="inlineStr">
        <is>
          <t>Sint Maarten (Dutch part)</t>
        </is>
      </c>
      <c r="E702" s="14" t="n">
        <v>2023</v>
      </c>
      <c r="F702" s="14" t="n">
        <v>0.05</v>
      </c>
      <c r="G702" s="14" t="n">
        <v>6.147</v>
      </c>
      <c r="H702" s="14" t="n">
        <v>1.286</v>
      </c>
      <c r="I702" s="14" t="n">
        <v>0</v>
      </c>
      <c r="J702" s="14" t="n">
        <v>6.147</v>
      </c>
      <c r="K702" s="14" t="n">
        <v>0</v>
      </c>
      <c r="L702" s="14" t="n">
        <v>1</v>
      </c>
      <c r="M702" s="14" t="n">
        <v>7.886</v>
      </c>
      <c r="N702" s="14" t="n">
        <v>3.857</v>
      </c>
      <c r="O702" s="14" t="n">
        <v>0</v>
      </c>
      <c r="P702" s="14" t="n">
        <v>7.886</v>
      </c>
      <c r="Q702" s="14" t="n">
        <v>0</v>
      </c>
      <c r="R702" s="14" t="n">
        <v>1</v>
      </c>
      <c r="S702" s="14" t="n">
        <v>12.575</v>
      </c>
      <c r="T702" s="14" t="n">
        <v>7.714</v>
      </c>
      <c r="U702" s="14" t="n">
        <v>0.07000000000000001</v>
      </c>
      <c r="V702" s="14" t="n">
        <v>13.204</v>
      </c>
      <c r="W702" s="14" t="n">
        <v>0.05</v>
      </c>
      <c r="X702" s="14" t="n">
        <v>1</v>
      </c>
      <c r="Y702" s="14" t="n">
        <v>12.478</v>
      </c>
      <c r="Z702" s="14" t="n">
        <v>1.678</v>
      </c>
      <c r="AA702" s="14" t="n">
        <v>0</v>
      </c>
      <c r="AB702" s="14" t="n">
        <v>12.478</v>
      </c>
      <c r="AC702" s="14" t="n">
        <v>0</v>
      </c>
      <c r="AD702" s="14" t="n">
        <v>1</v>
      </c>
      <c r="AE702" s="14" t="n">
        <v>13.763</v>
      </c>
      <c r="AF702" s="14" t="n">
        <v>3.223</v>
      </c>
      <c r="AG702" s="14" t="n">
        <v>0</v>
      </c>
      <c r="AH702" s="14" t="n">
        <v>13.763</v>
      </c>
      <c r="AI702" s="14" t="n">
        <v>0</v>
      </c>
      <c r="AJ702" s="14" t="n">
        <v>1</v>
      </c>
      <c r="AK702" s="14" t="n">
        <v>21.477</v>
      </c>
      <c r="AL702" s="14" t="n">
        <v>11.54</v>
      </c>
      <c r="AM702" s="14" t="n">
        <v>0.119</v>
      </c>
      <c r="AN702" s="14" t="n">
        <v>22.551</v>
      </c>
      <c r="AO702" s="14" t="n">
        <v>0.05</v>
      </c>
      <c r="AP702" s="14" t="n">
        <v>1</v>
      </c>
      <c r="AQ702" s="14" t="n">
        <v>0.791</v>
      </c>
      <c r="AR702" s="14" t="n">
        <v>0.129</v>
      </c>
      <c r="AS702" s="14" t="n">
        <v>0.004</v>
      </c>
      <c r="AT702" s="14" t="n">
        <v>0.83</v>
      </c>
      <c r="AU702" s="14" t="n">
        <v>0.05</v>
      </c>
      <c r="AV702" s="14" t="n">
        <v>1</v>
      </c>
      <c r="AW702" s="14" t="n">
        <v>0.618</v>
      </c>
      <c r="AX702" s="14" t="n">
        <v>0.129</v>
      </c>
      <c r="AY702" s="14" t="n">
        <v>0.003</v>
      </c>
      <c r="AZ702" s="14" t="n">
        <v>0.649</v>
      </c>
      <c r="BA702" s="14" t="n">
        <v>0.05</v>
      </c>
      <c r="BB702" s="14" t="n">
        <v>1</v>
      </c>
      <c r="BC702" s="14" t="n">
        <v>0.554</v>
      </c>
      <c r="BD702" s="14" t="n">
        <v>0.129</v>
      </c>
      <c r="BE702" s="14" t="n">
        <v>0.003</v>
      </c>
      <c r="BF702" s="14" t="n">
        <v>0.582</v>
      </c>
      <c r="BG702" s="14" t="n">
        <v>0.05</v>
      </c>
      <c r="BH702" s="14" t="n">
        <v>1</v>
      </c>
      <c r="BI702" s="14" t="n">
        <v>0.5570000000000001</v>
      </c>
      <c r="BJ702" s="14" t="n">
        <v>0.129</v>
      </c>
      <c r="BK702" s="14" t="n">
        <v>0.003</v>
      </c>
      <c r="BL702" s="14" t="n">
        <v>0.585</v>
      </c>
      <c r="BM702" s="14" t="n">
        <v>0.05</v>
      </c>
      <c r="BN702" s="14" t="n">
        <v>1</v>
      </c>
      <c r="BO702" s="14" t="n">
        <v>0</v>
      </c>
      <c r="BP702" s="14" t="n">
        <v>0</v>
      </c>
      <c r="BQ702" s="14" t="n">
        <v>0</v>
      </c>
      <c r="BR702" s="14" t="n">
        <v>0</v>
      </c>
      <c r="BS702" s="14" t="n">
        <v>1</v>
      </c>
      <c r="BT702" s="14" t="n">
        <v>0</v>
      </c>
      <c r="BU702" s="14" t="n">
        <v>0</v>
      </c>
      <c r="BV702" s="14" t="n">
        <v>0</v>
      </c>
      <c r="BW702" s="14" t="n">
        <v>0.05</v>
      </c>
      <c r="BX702" s="14" t="n">
        <v>1</v>
      </c>
      <c r="BY702" s="14" t="n">
        <v>13.254</v>
      </c>
      <c r="BZ702" s="14" t="n">
        <v>0</v>
      </c>
      <c r="CA702" s="14" t="n">
        <v>13.254</v>
      </c>
      <c r="CB702" s="14" t="n">
        <v>0</v>
      </c>
      <c r="CC702" s="14" t="n">
        <v>83.248</v>
      </c>
      <c r="CD702" s="14" t="n">
        <v>7.95</v>
      </c>
      <c r="CE702" s="14" t="n">
        <v>0.461</v>
      </c>
      <c r="CF702" s="14" t="n">
        <v>87.41</v>
      </c>
      <c r="CG702" s="14" t="n">
        <v>0.05</v>
      </c>
      <c r="CH702" s="14" t="n">
        <v>1</v>
      </c>
      <c r="CI702" s="14" t="n">
        <v>0</v>
      </c>
      <c r="CJ702" s="14" t="n">
        <v>0</v>
      </c>
      <c r="CK702" s="14" t="n">
        <v>0</v>
      </c>
      <c r="CL702" s="14" t="n">
        <v>0</v>
      </c>
      <c r="CM702" s="14" t="n">
        <v>0</v>
      </c>
      <c r="CN702" s="14" t="n">
        <v>0</v>
      </c>
      <c r="CO702" s="14" t="n">
        <v>0</v>
      </c>
      <c r="CP702" s="14" t="n">
        <v>0</v>
      </c>
      <c r="CQ702" s="14" t="n">
        <v>1.348</v>
      </c>
      <c r="CR702" s="14" t="n">
        <v>0</v>
      </c>
      <c r="CS702" s="14" t="n">
        <v>5.37</v>
      </c>
      <c r="CT702" s="14" t="n">
        <v>4.861</v>
      </c>
      <c r="CU702" s="14" t="n">
        <v>11.192</v>
      </c>
    </row>
    <row r="703">
      <c r="A703" s="14" t="inlineStr">
        <is>
          <t>SXM2024</t>
        </is>
      </c>
      <c r="B703" s="14" t="inlineStr">
        <is>
          <t>SXM</t>
        </is>
      </c>
      <c r="C703" s="14" t="inlineStr">
        <is>
          <t>SXM</t>
        </is>
      </c>
      <c r="D703" s="14" t="inlineStr">
        <is>
          <t>Sint Maarten (Dutch part)</t>
        </is>
      </c>
      <c r="E703" s="14" t="n">
        <v>2024</v>
      </c>
      <c r="F703" s="14" t="n">
        <v>0.05</v>
      </c>
      <c r="G703" s="14" t="n">
        <v>5.575</v>
      </c>
      <c r="H703" s="14" t="n">
        <v>1.324</v>
      </c>
      <c r="I703" s="14" t="n">
        <v>0</v>
      </c>
      <c r="J703" s="14" t="n">
        <v>5.575</v>
      </c>
      <c r="K703" s="14" t="n">
        <v>0</v>
      </c>
      <c r="L703" s="14" t="n">
        <v>1</v>
      </c>
      <c r="M703" s="14" t="n">
        <v>7.124</v>
      </c>
      <c r="N703" s="14" t="n">
        <v>3.971</v>
      </c>
      <c r="O703" s="14" t="n">
        <v>0</v>
      </c>
      <c r="P703" s="14" t="n">
        <v>7.124</v>
      </c>
      <c r="Q703" s="14" t="n">
        <v>0</v>
      </c>
      <c r="R703" s="14" t="n">
        <v>1</v>
      </c>
      <c r="S703" s="14" t="n">
        <v>12.193</v>
      </c>
      <c r="T703" s="14" t="n">
        <v>7.942</v>
      </c>
      <c r="U703" s="14" t="n">
        <v>0.083</v>
      </c>
      <c r="V703" s="14" t="n">
        <v>12.802</v>
      </c>
      <c r="W703" s="14" t="n">
        <v>0.05</v>
      </c>
      <c r="X703" s="14" t="n">
        <v>1</v>
      </c>
      <c r="Y703" s="14" t="n">
        <v>11.447</v>
      </c>
      <c r="Z703" s="14" t="n">
        <v>1.54</v>
      </c>
      <c r="AA703" s="14" t="n">
        <v>0</v>
      </c>
      <c r="AB703" s="14" t="n">
        <v>11.447</v>
      </c>
      <c r="AC703" s="14" t="n">
        <v>0</v>
      </c>
      <c r="AD703" s="14" t="n">
        <v>1</v>
      </c>
      <c r="AE703" s="14" t="n">
        <v>12.771</v>
      </c>
      <c r="AF703" s="14" t="n">
        <v>2.991</v>
      </c>
      <c r="AG703" s="14" t="n">
        <v>0</v>
      </c>
      <c r="AH703" s="14" t="n">
        <v>12.771</v>
      </c>
      <c r="AI703" s="14" t="n">
        <v>0</v>
      </c>
      <c r="AJ703" s="14" t="n">
        <v>1</v>
      </c>
      <c r="AK703" s="14" t="n">
        <v>20.712</v>
      </c>
      <c r="AL703" s="14" t="n">
        <v>11.129</v>
      </c>
      <c r="AM703" s="14" t="n">
        <v>0.141</v>
      </c>
      <c r="AN703" s="14" t="n">
        <v>21.748</v>
      </c>
      <c r="AO703" s="14" t="n">
        <v>0.05</v>
      </c>
      <c r="AP703" s="14" t="n">
        <v>1</v>
      </c>
      <c r="AQ703" s="14" t="n">
        <v>0.756</v>
      </c>
      <c r="AR703" s="14" t="n">
        <v>0.132</v>
      </c>
      <c r="AS703" s="14" t="n">
        <v>0.005</v>
      </c>
      <c r="AT703" s="14" t="n">
        <v>0.794</v>
      </c>
      <c r="AU703" s="14" t="n">
        <v>0.05</v>
      </c>
      <c r="AV703" s="14" t="n">
        <v>1</v>
      </c>
      <c r="AW703" s="14" t="n">
        <v>0.655</v>
      </c>
      <c r="AX703" s="14" t="n">
        <v>0.132</v>
      </c>
      <c r="AY703" s="14" t="n">
        <v>0.004</v>
      </c>
      <c r="AZ703" s="14" t="n">
        <v>0.6879999999999999</v>
      </c>
      <c r="BA703" s="14" t="n">
        <v>0.05</v>
      </c>
      <c r="BB703" s="14" t="n">
        <v>1</v>
      </c>
      <c r="BC703" s="14" t="n">
        <v>0.534</v>
      </c>
      <c r="BD703" s="14" t="n">
        <v>0.132</v>
      </c>
      <c r="BE703" s="14" t="n">
        <v>0.004</v>
      </c>
      <c r="BF703" s="14" t="n">
        <v>0.5600000000000001</v>
      </c>
      <c r="BG703" s="14" t="n">
        <v>0.05</v>
      </c>
      <c r="BH703" s="14" t="n">
        <v>1</v>
      </c>
      <c r="BI703" s="14" t="n">
        <v>0.5679999999999999</v>
      </c>
      <c r="BJ703" s="14" t="n">
        <v>0.132</v>
      </c>
      <c r="BK703" s="14" t="n">
        <v>0.004</v>
      </c>
      <c r="BL703" s="14" t="n">
        <v>0.596</v>
      </c>
      <c r="BM703" s="14" t="n">
        <v>0.05</v>
      </c>
      <c r="BN703" s="14" t="n">
        <v>1</v>
      </c>
      <c r="BO703" s="14" t="n">
        <v>0</v>
      </c>
      <c r="BP703" s="14" t="n">
        <v>0</v>
      </c>
      <c r="BQ703" s="14" t="n">
        <v>0</v>
      </c>
      <c r="BR703" s="14" t="n">
        <v>0</v>
      </c>
      <c r="BS703" s="14" t="n">
        <v>1</v>
      </c>
      <c r="BT703" s="14" t="n">
        <v>0</v>
      </c>
      <c r="BU703" s="14" t="n">
        <v>0</v>
      </c>
      <c r="BV703" s="14" t="n">
        <v>0</v>
      </c>
      <c r="BW703" s="14" t="n">
        <v>0.05</v>
      </c>
      <c r="BX703" s="14" t="n">
        <v>1</v>
      </c>
      <c r="BY703" s="14" t="n">
        <v>13.646</v>
      </c>
      <c r="BZ703" s="14" t="n">
        <v>0</v>
      </c>
      <c r="CA703" s="14" t="n">
        <v>13.646</v>
      </c>
      <c r="CB703" s="14" t="n">
        <v>0</v>
      </c>
      <c r="CC703" s="14" t="n">
        <v>82.58799999999999</v>
      </c>
      <c r="CD703" s="14" t="n">
        <v>7.95</v>
      </c>
      <c r="CE703" s="14" t="n">
        <v>0.5620000000000001</v>
      </c>
      <c r="CF703" s="14" t="n">
        <v>86.717</v>
      </c>
      <c r="CG703" s="14" t="n">
        <v>0.05</v>
      </c>
      <c r="CH703" s="14" t="n">
        <v>1</v>
      </c>
      <c r="CI703" s="14" t="n">
        <v>0</v>
      </c>
      <c r="CJ703" s="14" t="n">
        <v>0</v>
      </c>
      <c r="CK703" s="14" t="n">
        <v>0</v>
      </c>
      <c r="CL703" s="14" t="n">
        <v>0</v>
      </c>
      <c r="CM703" s="14" t="n">
        <v>0</v>
      </c>
      <c r="CN703" s="14" t="n">
        <v>0</v>
      </c>
      <c r="CO703" s="14" t="n">
        <v>0</v>
      </c>
      <c r="CP703" s="14" t="n">
        <v>0</v>
      </c>
      <c r="CQ703" s="14" t="n">
        <v>1.387</v>
      </c>
      <c r="CR703" s="14" t="n">
        <v>0</v>
      </c>
      <c r="CS703" s="14" t="n">
        <v>5.529</v>
      </c>
      <c r="CT703" s="14" t="n">
        <v>4.251</v>
      </c>
      <c r="CU703" s="14" t="n">
        <v>10.123</v>
      </c>
    </row>
    <row r="704">
      <c r="A704" s="14" t="inlineStr">
        <is>
          <t>SVK2021</t>
        </is>
      </c>
      <c r="B704" s="14" t="inlineStr">
        <is>
          <t>SVK</t>
        </is>
      </c>
      <c r="C704" s="14" t="inlineStr">
        <is>
          <t>SVK</t>
        </is>
      </c>
      <c r="D704" s="14" t="inlineStr">
        <is>
          <t>Slovak Republic</t>
        </is>
      </c>
      <c r="E704" s="14" t="n">
        <v>2021</v>
      </c>
      <c r="F704" s="14" t="n">
        <v>0.2</v>
      </c>
      <c r="G704" s="14" t="n">
        <v>10.192</v>
      </c>
      <c r="H704" s="14" t="n">
        <v>1.084</v>
      </c>
      <c r="I704" s="14" t="n">
        <v>-7.364</v>
      </c>
      <c r="J704" s="14" t="n">
        <v>2.829</v>
      </c>
      <c r="K704" s="14" t="n">
        <v>0</v>
      </c>
      <c r="L704" s="14" t="n">
        <v>1</v>
      </c>
      <c r="M704" s="14" t="n">
        <v>8.263</v>
      </c>
      <c r="N704" s="14" t="n">
        <v>3.253</v>
      </c>
      <c r="O704" s="14" t="n">
        <v>1.404</v>
      </c>
      <c r="P704" s="14" t="n">
        <v>9.667</v>
      </c>
      <c r="Q704" s="14" t="n">
        <v>0</v>
      </c>
      <c r="R704" s="14" t="n">
        <v>1</v>
      </c>
      <c r="S704" s="14" t="n">
        <v>6.098</v>
      </c>
      <c r="T704" s="14" t="n">
        <v>3.779</v>
      </c>
      <c r="U704" s="14" t="n">
        <v>0.007</v>
      </c>
      <c r="V704" s="14" t="n">
        <v>7.326</v>
      </c>
      <c r="W704" s="14" t="n">
        <v>0.2</v>
      </c>
      <c r="X704" s="14" t="n">
        <v>1</v>
      </c>
      <c r="Y704" s="14" t="n">
        <v>19.366</v>
      </c>
      <c r="Z704" s="14" t="n">
        <v>2.139</v>
      </c>
      <c r="AA704" s="14" t="n">
        <v>-8.664999999999999</v>
      </c>
      <c r="AB704" s="14" t="n">
        <v>10.701</v>
      </c>
      <c r="AC704" s="14" t="n">
        <v>0</v>
      </c>
      <c r="AD704" s="14" t="n">
        <v>1</v>
      </c>
      <c r="AE704" s="14" t="n">
        <v>19.322</v>
      </c>
      <c r="AF704" s="14" t="n">
        <v>3.802</v>
      </c>
      <c r="AG704" s="14" t="n">
        <v>-8.621</v>
      </c>
      <c r="AH704" s="14" t="n">
        <v>10.701</v>
      </c>
      <c r="AI704" s="14" t="n">
        <v>0</v>
      </c>
      <c r="AJ704" s="14" t="n">
        <v>1</v>
      </c>
      <c r="AK704" s="14" t="n">
        <v>21.746</v>
      </c>
      <c r="AL704" s="14" t="n">
        <v>10.673</v>
      </c>
      <c r="AM704" s="14" t="n">
        <v>-10.331</v>
      </c>
      <c r="AN704" s="14" t="n">
        <v>13.697</v>
      </c>
      <c r="AO704" s="14" t="n">
        <v>0</v>
      </c>
      <c r="AP704" s="14" t="n">
        <v>0</v>
      </c>
      <c r="AQ704" s="14" t="n">
        <v>0.619</v>
      </c>
      <c r="AR704" s="14" t="n">
        <v>0.114</v>
      </c>
      <c r="AS704" s="14" t="n">
        <v>0.746</v>
      </c>
      <c r="AT704" s="14" t="n">
        <v>1.638</v>
      </c>
      <c r="AU704" s="14" t="n">
        <v>0.2</v>
      </c>
      <c r="AV704" s="14" t="n">
        <v>1</v>
      </c>
      <c r="AW704" s="14" t="n">
        <v>0.599</v>
      </c>
      <c r="AX704" s="14" t="n">
        <v>0.114</v>
      </c>
      <c r="AY704" s="14" t="n">
        <v>0.621</v>
      </c>
      <c r="AZ704" s="14" t="n">
        <v>1.464</v>
      </c>
      <c r="BA704" s="14" t="n">
        <v>0.2</v>
      </c>
      <c r="BB704" s="14" t="n">
        <v>1</v>
      </c>
      <c r="BC704" s="14" t="n">
        <v>0.439</v>
      </c>
      <c r="BD704" s="14" t="n">
        <v>0.114</v>
      </c>
      <c r="BE704" s="14" t="n">
        <v>0.208</v>
      </c>
      <c r="BF704" s="14" t="n">
        <v>0.777</v>
      </c>
      <c r="BG704" s="14" t="n">
        <v>0.2</v>
      </c>
      <c r="BH704" s="14" t="n">
        <v>1</v>
      </c>
      <c r="BI704" s="14" t="n">
        <v>0.505</v>
      </c>
      <c r="BJ704" s="14" t="n">
        <v>0.114</v>
      </c>
      <c r="BK704" s="14" t="n">
        <v>0.107</v>
      </c>
      <c r="BL704" s="14" t="n">
        <v>0.734</v>
      </c>
      <c r="BM704" s="14" t="n">
        <v>0.2</v>
      </c>
      <c r="BN704" s="14" t="n">
        <v>1</v>
      </c>
      <c r="BO704" s="14" t="n">
        <v>0</v>
      </c>
      <c r="BP704" s="14" t="n">
        <v>0.041</v>
      </c>
      <c r="BQ704" s="14" t="n">
        <v>0.146</v>
      </c>
      <c r="BR704" s="14" t="n">
        <v>0</v>
      </c>
      <c r="BS704" s="14" t="n">
        <v>1</v>
      </c>
      <c r="BT704" s="14" t="n">
        <v>0</v>
      </c>
      <c r="BU704" s="14" t="n">
        <v>0.039</v>
      </c>
      <c r="BV704" s="14" t="n">
        <v>0.195</v>
      </c>
      <c r="BW704" s="14" t="n">
        <v>0.2</v>
      </c>
      <c r="BX704" s="14" t="n">
        <v>0.667</v>
      </c>
      <c r="BY704" s="14" t="n">
        <v>11.787</v>
      </c>
      <c r="BZ704" s="14" t="n">
        <v>0</v>
      </c>
      <c r="CA704" s="14" t="n">
        <v>11.787</v>
      </c>
      <c r="CB704" s="14" t="n">
        <v>0</v>
      </c>
      <c r="CC704" s="14" t="n">
        <v>78.125</v>
      </c>
      <c r="CD704" s="14" t="n">
        <v>7.95</v>
      </c>
      <c r="CE704" s="14" t="n">
        <v>17.499</v>
      </c>
      <c r="CF704" s="14" t="n">
        <v>114.748</v>
      </c>
      <c r="CG704" s="14" t="n">
        <v>0.2</v>
      </c>
      <c r="CH704" s="14" t="n">
        <v>1</v>
      </c>
      <c r="CI704" s="14" t="n">
        <v>0</v>
      </c>
      <c r="CJ704" s="14" t="n">
        <v>0</v>
      </c>
      <c r="CK704" s="14" t="n">
        <v>0</v>
      </c>
      <c r="CL704" s="14" t="n">
        <v>0</v>
      </c>
      <c r="CM704" s="14" t="n">
        <v>0</v>
      </c>
      <c r="CN704" s="14" t="n">
        <v>0</v>
      </c>
      <c r="CO704" s="14" t="n">
        <v>0</v>
      </c>
      <c r="CP704" s="14" t="n">
        <v>0.103</v>
      </c>
      <c r="CQ704" s="14" t="n">
        <v>1.198</v>
      </c>
      <c r="CR704" s="14" t="n">
        <v>0</v>
      </c>
      <c r="CS704" s="14" t="n">
        <v>4.776</v>
      </c>
      <c r="CT704" s="14" t="n">
        <v>5.309</v>
      </c>
      <c r="CU704" s="14" t="n">
        <v>11.629</v>
      </c>
    </row>
    <row r="705">
      <c r="A705" s="14" t="inlineStr">
        <is>
          <t>SVK2022</t>
        </is>
      </c>
      <c r="B705" s="14" t="inlineStr">
        <is>
          <t>SVK</t>
        </is>
      </c>
      <c r="C705" s="14" t="inlineStr">
        <is>
          <t>SVK</t>
        </is>
      </c>
      <c r="D705" s="14" t="inlineStr">
        <is>
          <t>Slovak Republic</t>
        </is>
      </c>
      <c r="E705" s="14" t="n">
        <v>2022</v>
      </c>
      <c r="F705" s="14" t="n">
        <v>0.2</v>
      </c>
      <c r="G705" s="14" t="n">
        <v>17.158</v>
      </c>
      <c r="H705" s="14" t="n">
        <v>1.225</v>
      </c>
      <c r="I705" s="14" t="n">
        <v>1.456</v>
      </c>
      <c r="J705" s="14" t="n">
        <v>18.614</v>
      </c>
      <c r="K705" s="14" t="n">
        <v>0</v>
      </c>
      <c r="L705" s="14" t="n">
        <v>1</v>
      </c>
      <c r="M705" s="14" t="n">
        <v>12.854</v>
      </c>
      <c r="N705" s="14" t="n">
        <v>3.675</v>
      </c>
      <c r="O705" s="14" t="n">
        <v>8.532</v>
      </c>
      <c r="P705" s="14" t="n">
        <v>21.386</v>
      </c>
      <c r="Q705" s="14" t="n">
        <v>0</v>
      </c>
      <c r="R705" s="14" t="n">
        <v>1</v>
      </c>
      <c r="S705" s="14" t="n">
        <v>6.9</v>
      </c>
      <c r="T705" s="14" t="n">
        <v>3.379</v>
      </c>
      <c r="U705" s="14" t="n">
        <v>0.008</v>
      </c>
      <c r="V705" s="14" t="n">
        <v>8.289999999999999</v>
      </c>
      <c r="W705" s="14" t="n">
        <v>0.2</v>
      </c>
      <c r="X705" s="14" t="n">
        <v>1</v>
      </c>
      <c r="Y705" s="14" t="n">
        <v>43.399</v>
      </c>
      <c r="Z705" s="14" t="n">
        <v>4.553</v>
      </c>
      <c r="AA705" s="14" t="n">
        <v>-18.486</v>
      </c>
      <c r="AB705" s="14" t="n">
        <v>24.913</v>
      </c>
      <c r="AC705" s="14" t="n">
        <v>0</v>
      </c>
      <c r="AD705" s="14" t="n">
        <v>1</v>
      </c>
      <c r="AE705" s="14" t="n">
        <v>43.447</v>
      </c>
      <c r="AF705" s="14" t="n">
        <v>8.054</v>
      </c>
      <c r="AG705" s="14" t="n">
        <v>-18.534</v>
      </c>
      <c r="AH705" s="14" t="n">
        <v>24.913</v>
      </c>
      <c r="AI705" s="14" t="n">
        <v>0</v>
      </c>
      <c r="AJ705" s="14" t="n">
        <v>1</v>
      </c>
      <c r="AK705" s="14" t="n">
        <v>46.419</v>
      </c>
      <c r="AL705" s="14" t="n">
        <v>22.167</v>
      </c>
      <c r="AM705" s="14" t="n">
        <v>-34.394</v>
      </c>
      <c r="AN705" s="14" t="n">
        <v>14.429</v>
      </c>
      <c r="AO705" s="14" t="n">
        <v>0</v>
      </c>
      <c r="AP705" s="14" t="n">
        <v>0</v>
      </c>
      <c r="AQ705" s="14" t="n">
        <v>0.861</v>
      </c>
      <c r="AR705" s="14" t="n">
        <v>0.123</v>
      </c>
      <c r="AS705" s="14" t="n">
        <v>0.623</v>
      </c>
      <c r="AT705" s="14" t="n">
        <v>1.78</v>
      </c>
      <c r="AU705" s="14" t="n">
        <v>0.2</v>
      </c>
      <c r="AV705" s="14" t="n">
        <v>1</v>
      </c>
      <c r="AW705" s="14" t="n">
        <v>0.986</v>
      </c>
      <c r="AX705" s="14" t="n">
        <v>0.123</v>
      </c>
      <c r="AY705" s="14" t="n">
        <v>0.52</v>
      </c>
      <c r="AZ705" s="14" t="n">
        <v>1.807</v>
      </c>
      <c r="BA705" s="14" t="n">
        <v>0.2</v>
      </c>
      <c r="BB705" s="14" t="n">
        <v>1</v>
      </c>
      <c r="BC705" s="14" t="n">
        <v>0.598</v>
      </c>
      <c r="BD705" s="14" t="n">
        <v>0.123</v>
      </c>
      <c r="BE705" s="14" t="n">
        <v>0.132</v>
      </c>
      <c r="BF705" s="14" t="n">
        <v>0.876</v>
      </c>
      <c r="BG705" s="14" t="n">
        <v>0.2</v>
      </c>
      <c r="BH705" s="14" t="n">
        <v>1</v>
      </c>
      <c r="BI705" s="14" t="n">
        <v>0.612</v>
      </c>
      <c r="BJ705" s="14" t="n">
        <v>0.123</v>
      </c>
      <c r="BK705" s="14" t="n">
        <v>0.089</v>
      </c>
      <c r="BL705" s="14" t="n">
        <v>0.842</v>
      </c>
      <c r="BM705" s="14" t="n">
        <v>0.2</v>
      </c>
      <c r="BN705" s="14" t="n">
        <v>1</v>
      </c>
      <c r="BO705" s="14" t="n">
        <v>0</v>
      </c>
      <c r="BP705" s="14" t="n">
        <v>0.024</v>
      </c>
      <c r="BQ705" s="14" t="n">
        <v>0.244</v>
      </c>
      <c r="BR705" s="14" t="n">
        <v>0</v>
      </c>
      <c r="BS705" s="14" t="n">
        <v>1</v>
      </c>
      <c r="BT705" s="14" t="n">
        <v>0</v>
      </c>
      <c r="BU705" s="14" t="n">
        <v>0.027</v>
      </c>
      <c r="BV705" s="14" t="n">
        <v>0.194</v>
      </c>
      <c r="BW705" s="14" t="n">
        <v>0.2</v>
      </c>
      <c r="BX705" s="14" t="n">
        <v>0.667</v>
      </c>
      <c r="BY705" s="14" t="n">
        <v>12.729</v>
      </c>
      <c r="BZ705" s="14" t="n">
        <v>0</v>
      </c>
      <c r="CA705" s="14" t="n">
        <v>12.729</v>
      </c>
      <c r="CB705" s="14" t="n">
        <v>0</v>
      </c>
      <c r="CC705" s="14" t="n">
        <v>97.90000000000001</v>
      </c>
      <c r="CD705" s="14" t="n">
        <v>7.95</v>
      </c>
      <c r="CE705" s="14" t="n">
        <v>41.988</v>
      </c>
      <c r="CF705" s="14" t="n">
        <v>167.866</v>
      </c>
      <c r="CG705" s="14" t="n">
        <v>0.2</v>
      </c>
      <c r="CH705" s="14" t="n">
        <v>1</v>
      </c>
      <c r="CI705" s="14" t="n">
        <v>0</v>
      </c>
      <c r="CJ705" s="14" t="n">
        <v>0</v>
      </c>
      <c r="CK705" s="14" t="n">
        <v>0</v>
      </c>
      <c r="CL705" s="14" t="n">
        <v>0</v>
      </c>
      <c r="CM705" s="14" t="n">
        <v>0</v>
      </c>
      <c r="CN705" s="14" t="n">
        <v>0</v>
      </c>
      <c r="CO705" s="14" t="n">
        <v>0</v>
      </c>
      <c r="CP705" s="14" t="n">
        <v>0.016</v>
      </c>
      <c r="CQ705" s="14" t="n">
        <v>1.294</v>
      </c>
      <c r="CR705" s="14" t="n">
        <v>0</v>
      </c>
      <c r="CS705" s="14" t="n">
        <v>5.158</v>
      </c>
      <c r="CT705" s="14" t="n">
        <v>11.532</v>
      </c>
      <c r="CU705" s="14" t="n">
        <v>35.571</v>
      </c>
    </row>
    <row r="706">
      <c r="A706" s="14" t="inlineStr">
        <is>
          <t>SVK2023</t>
        </is>
      </c>
      <c r="B706" s="14" t="inlineStr">
        <is>
          <t>SVK</t>
        </is>
      </c>
      <c r="C706" s="14" t="inlineStr">
        <is>
          <t>SVK</t>
        </is>
      </c>
      <c r="D706" s="14" t="inlineStr">
        <is>
          <t>Slovak Republic</t>
        </is>
      </c>
      <c r="E706" s="14" t="n">
        <v>2023</v>
      </c>
      <c r="F706" s="14" t="n">
        <v>0.2</v>
      </c>
      <c r="G706" s="14" t="n">
        <v>16.327</v>
      </c>
      <c r="H706" s="14" t="n">
        <v>1.228</v>
      </c>
      <c r="I706" s="14" t="n">
        <v>4.507</v>
      </c>
      <c r="J706" s="14" t="n">
        <v>20.834</v>
      </c>
      <c r="K706" s="14" t="n">
        <v>0</v>
      </c>
      <c r="L706" s="14" t="n">
        <v>1</v>
      </c>
      <c r="M706" s="14" t="n">
        <v>10.207</v>
      </c>
      <c r="N706" s="14" t="n">
        <v>3.685</v>
      </c>
      <c r="O706" s="14" t="n">
        <v>9.888</v>
      </c>
      <c r="P706" s="14" t="n">
        <v>20.095</v>
      </c>
      <c r="Q706" s="14" t="n">
        <v>0</v>
      </c>
      <c r="R706" s="14" t="n">
        <v>1</v>
      </c>
      <c r="S706" s="14" t="n">
        <v>9.571</v>
      </c>
      <c r="T706" s="14" t="n">
        <v>6.002</v>
      </c>
      <c r="U706" s="14" t="n">
        <v>0.01</v>
      </c>
      <c r="V706" s="14" t="n">
        <v>11.496</v>
      </c>
      <c r="W706" s="14" t="n">
        <v>0.2</v>
      </c>
      <c r="X706" s="14" t="n">
        <v>1</v>
      </c>
      <c r="Y706" s="14" t="n">
        <v>22.447</v>
      </c>
      <c r="Z706" s="14" t="n">
        <v>2.514</v>
      </c>
      <c r="AA706" s="14" t="n">
        <v>12.29</v>
      </c>
      <c r="AB706" s="14" t="n">
        <v>34.737</v>
      </c>
      <c r="AC706" s="14" t="n">
        <v>0</v>
      </c>
      <c r="AD706" s="14" t="n">
        <v>1</v>
      </c>
      <c r="AE706" s="14" t="n">
        <v>22.545</v>
      </c>
      <c r="AF706" s="14" t="n">
        <v>4.49</v>
      </c>
      <c r="AG706" s="14" t="n">
        <v>12.191</v>
      </c>
      <c r="AH706" s="14" t="n">
        <v>34.737</v>
      </c>
      <c r="AI706" s="14" t="n">
        <v>0</v>
      </c>
      <c r="AJ706" s="14" t="n">
        <v>1</v>
      </c>
      <c r="AK706" s="14" t="n">
        <v>25.823</v>
      </c>
      <c r="AL706" s="14" t="n">
        <v>12.792</v>
      </c>
      <c r="AM706" s="14" t="n">
        <v>-11.04</v>
      </c>
      <c r="AN706" s="14" t="n">
        <v>17.739</v>
      </c>
      <c r="AO706" s="14" t="n">
        <v>0</v>
      </c>
      <c r="AP706" s="14" t="n">
        <v>0</v>
      </c>
      <c r="AQ706" s="14" t="n">
        <v>0.76</v>
      </c>
      <c r="AR706" s="14" t="n">
        <v>0.129</v>
      </c>
      <c r="AS706" s="14" t="n">
        <v>0.674</v>
      </c>
      <c r="AT706" s="14" t="n">
        <v>1.722</v>
      </c>
      <c r="AU706" s="14" t="n">
        <v>0.2</v>
      </c>
      <c r="AV706" s="14" t="n">
        <v>1</v>
      </c>
      <c r="AW706" s="14" t="n">
        <v>0.8110000000000001</v>
      </c>
      <c r="AX706" s="14" t="n">
        <v>0.129</v>
      </c>
      <c r="AY706" s="14" t="n">
        <v>0.588</v>
      </c>
      <c r="AZ706" s="14" t="n">
        <v>1.679</v>
      </c>
      <c r="BA706" s="14" t="n">
        <v>0.2</v>
      </c>
      <c r="BB706" s="14" t="n">
        <v>1</v>
      </c>
      <c r="BC706" s="14" t="n">
        <v>0.535</v>
      </c>
      <c r="BD706" s="14" t="n">
        <v>0.129</v>
      </c>
      <c r="BE706" s="14" t="n">
        <v>0.117</v>
      </c>
      <c r="BF706" s="14" t="n">
        <v>0.783</v>
      </c>
      <c r="BG706" s="14" t="n">
        <v>0.2</v>
      </c>
      <c r="BH706" s="14" t="n">
        <v>1</v>
      </c>
      <c r="BI706" s="14" t="n">
        <v>0.579</v>
      </c>
      <c r="BJ706" s="14" t="n">
        <v>0.129</v>
      </c>
      <c r="BK706" s="14" t="n">
        <v>0.158</v>
      </c>
      <c r="BL706" s="14" t="n">
        <v>0.885</v>
      </c>
      <c r="BM706" s="14" t="n">
        <v>0.2</v>
      </c>
      <c r="BN706" s="14" t="n">
        <v>1</v>
      </c>
      <c r="BO706" s="14" t="n">
        <v>0</v>
      </c>
      <c r="BP706" s="14" t="n">
        <v>0.037</v>
      </c>
      <c r="BQ706" s="14" t="n">
        <v>0.253</v>
      </c>
      <c r="BR706" s="14" t="n">
        <v>0</v>
      </c>
      <c r="BS706" s="14" t="n">
        <v>1</v>
      </c>
      <c r="BT706" s="14" t="n">
        <v>0</v>
      </c>
      <c r="BU706" s="14" t="n">
        <v>0.035</v>
      </c>
      <c r="BV706" s="14" t="n">
        <v>0.207</v>
      </c>
      <c r="BW706" s="14" t="n">
        <v>0.2</v>
      </c>
      <c r="BX706" s="14" t="n">
        <v>0.667</v>
      </c>
      <c r="BY706" s="14" t="n">
        <v>13.254</v>
      </c>
      <c r="BZ706" s="14" t="n">
        <v>0</v>
      </c>
      <c r="CA706" s="14" t="n">
        <v>13.254</v>
      </c>
      <c r="CB706" s="14" t="n">
        <v>0</v>
      </c>
      <c r="CC706" s="14" t="n">
        <v>83.248</v>
      </c>
      <c r="CD706" s="14" t="n">
        <v>7.95</v>
      </c>
      <c r="CE706" s="14" t="n">
        <v>53.745</v>
      </c>
      <c r="CF706" s="14" t="n">
        <v>164.392</v>
      </c>
      <c r="CG706" s="14" t="n">
        <v>0.2</v>
      </c>
      <c r="CH706" s="14" t="n">
        <v>1</v>
      </c>
      <c r="CI706" s="14" t="n">
        <v>0</v>
      </c>
      <c r="CJ706" s="14" t="n">
        <v>0</v>
      </c>
      <c r="CK706" s="14" t="n">
        <v>0</v>
      </c>
      <c r="CL706" s="14" t="n">
        <v>0</v>
      </c>
      <c r="CM706" s="14" t="n">
        <v>0</v>
      </c>
      <c r="CN706" s="14" t="n">
        <v>0</v>
      </c>
      <c r="CO706" s="14" t="n">
        <v>0</v>
      </c>
      <c r="CP706" s="14" t="n">
        <v>0.089</v>
      </c>
      <c r="CQ706" s="14" t="n">
        <v>1.348</v>
      </c>
      <c r="CR706" s="14" t="n">
        <v>0</v>
      </c>
      <c r="CS706" s="14" t="n">
        <v>5.37</v>
      </c>
      <c r="CT706" s="14" t="n">
        <v>11.23</v>
      </c>
      <c r="CU706" s="14" t="n">
        <v>14.568</v>
      </c>
    </row>
    <row r="707">
      <c r="A707" s="14" t="inlineStr">
        <is>
          <t>SVK2024</t>
        </is>
      </c>
      <c r="B707" s="14" t="inlineStr">
        <is>
          <t>SVK</t>
        </is>
      </c>
      <c r="C707" s="14" t="inlineStr">
        <is>
          <t>SVK</t>
        </is>
      </c>
      <c r="D707" s="14" t="inlineStr">
        <is>
          <t>Slovak Republic</t>
        </is>
      </c>
      <c r="E707" s="14" t="n">
        <v>2024</v>
      </c>
      <c r="F707" s="14" t="n">
        <v>0.2</v>
      </c>
      <c r="G707" s="14" t="n">
        <v>14.427</v>
      </c>
      <c r="H707" s="14" t="n">
        <v>1.265</v>
      </c>
      <c r="I707" s="14" t="n">
        <v>1.156</v>
      </c>
      <c r="J707" s="14" t="n">
        <v>15.583</v>
      </c>
      <c r="K707" s="14" t="n">
        <v>0</v>
      </c>
      <c r="L707" s="14" t="n">
        <v>1</v>
      </c>
      <c r="M707" s="14" t="n">
        <v>10.275</v>
      </c>
      <c r="N707" s="14" t="n">
        <v>3.794</v>
      </c>
      <c r="O707" s="14" t="n">
        <v>6.48</v>
      </c>
      <c r="P707" s="14" t="n">
        <v>16.755</v>
      </c>
      <c r="Q707" s="14" t="n">
        <v>0</v>
      </c>
      <c r="R707" s="14" t="n">
        <v>1</v>
      </c>
      <c r="S707" s="14" t="n">
        <v>9.33</v>
      </c>
      <c r="T707" s="14" t="n">
        <v>6.177</v>
      </c>
      <c r="U707" s="14" t="n">
        <v>0.01</v>
      </c>
      <c r="V707" s="14" t="n">
        <v>11.208</v>
      </c>
      <c r="W707" s="14" t="n">
        <v>0.2</v>
      </c>
      <c r="X707" s="14" t="n">
        <v>1</v>
      </c>
      <c r="Y707" s="14" t="n">
        <v>21.08</v>
      </c>
      <c r="Z707" s="14" t="n">
        <v>2.662</v>
      </c>
      <c r="AA707" s="14" t="n">
        <v>4.065</v>
      </c>
      <c r="AB707" s="14" t="n">
        <v>25.144</v>
      </c>
      <c r="AC707" s="14" t="n">
        <v>0</v>
      </c>
      <c r="AD707" s="14" t="n">
        <v>1</v>
      </c>
      <c r="AE707" s="14" t="n">
        <v>21.08</v>
      </c>
      <c r="AF707" s="14" t="n">
        <v>4.618</v>
      </c>
      <c r="AG707" s="14" t="n">
        <v>4.065</v>
      </c>
      <c r="AH707" s="14" t="n">
        <v>25.144</v>
      </c>
      <c r="AI707" s="14" t="n">
        <v>0</v>
      </c>
      <c r="AJ707" s="14" t="n">
        <v>1</v>
      </c>
      <c r="AK707" s="14" t="n">
        <v>21.496</v>
      </c>
      <c r="AL707" s="14" t="n">
        <v>10.933</v>
      </c>
      <c r="AM707" s="14" t="n">
        <v>-6.649</v>
      </c>
      <c r="AN707" s="14" t="n">
        <v>17.815</v>
      </c>
      <c r="AO707" s="14" t="n">
        <v>0</v>
      </c>
      <c r="AP707" s="14" t="n">
        <v>0</v>
      </c>
      <c r="AQ707" s="14" t="n">
        <v>0.724</v>
      </c>
      <c r="AR707" s="14" t="n">
        <v>0.132</v>
      </c>
      <c r="AS707" s="14" t="n">
        <v>0.694</v>
      </c>
      <c r="AT707" s="14" t="n">
        <v>1.702</v>
      </c>
      <c r="AU707" s="14" t="n">
        <v>0.2</v>
      </c>
      <c r="AV707" s="14" t="n">
        <v>1</v>
      </c>
      <c r="AW707" s="14" t="n">
        <v>0.75</v>
      </c>
      <c r="AX707" s="14" t="n">
        <v>0.132</v>
      </c>
      <c r="AY707" s="14" t="n">
        <v>0.603</v>
      </c>
      <c r="AZ707" s="14" t="n">
        <v>1.624</v>
      </c>
      <c r="BA707" s="14" t="n">
        <v>0.2</v>
      </c>
      <c r="BB707" s="14" t="n">
        <v>1</v>
      </c>
      <c r="BC707" s="14" t="n">
        <v>0.513</v>
      </c>
      <c r="BD707" s="14" t="n">
        <v>0.132</v>
      </c>
      <c r="BE707" s="14" t="n">
        <v>0.128</v>
      </c>
      <c r="BF707" s="14" t="n">
        <v>0.77</v>
      </c>
      <c r="BG707" s="14" t="n">
        <v>0.2</v>
      </c>
      <c r="BH707" s="14" t="n">
        <v>1</v>
      </c>
      <c r="BI707" s="14" t="n">
        <v>0.591</v>
      </c>
      <c r="BJ707" s="14" t="n">
        <v>0.132</v>
      </c>
      <c r="BK707" s="14" t="n">
        <v>0.111</v>
      </c>
      <c r="BL707" s="14" t="n">
        <v>0.843</v>
      </c>
      <c r="BM707" s="14" t="n">
        <v>0.2</v>
      </c>
      <c r="BN707" s="14" t="n">
        <v>1</v>
      </c>
      <c r="BO707" s="14" t="n">
        <v>0</v>
      </c>
      <c r="BP707" s="14" t="n">
        <v>0.025</v>
      </c>
      <c r="BQ707" s="14" t="n">
        <v>0.186</v>
      </c>
      <c r="BR707" s="14" t="n">
        <v>0</v>
      </c>
      <c r="BS707" s="14" t="n">
        <v>1</v>
      </c>
      <c r="BT707" s="14" t="n">
        <v>0</v>
      </c>
      <c r="BU707" s="14" t="n">
        <v>0.028</v>
      </c>
      <c r="BV707" s="14" t="n">
        <v>0.194</v>
      </c>
      <c r="BW707" s="14" t="n">
        <v>0.2</v>
      </c>
      <c r="BX707" s="14" t="n">
        <v>0.667</v>
      </c>
      <c r="BY707" s="14" t="n">
        <v>13.646</v>
      </c>
      <c r="BZ707" s="14" t="n">
        <v>0</v>
      </c>
      <c r="CA707" s="14" t="n">
        <v>13.646</v>
      </c>
      <c r="CB707" s="14" t="n">
        <v>0</v>
      </c>
      <c r="CC707" s="14" t="n">
        <v>82.58799999999999</v>
      </c>
      <c r="CD707" s="14" t="n">
        <v>7.95</v>
      </c>
      <c r="CE707" s="14" t="n">
        <v>42.672</v>
      </c>
      <c r="CF707" s="14" t="n">
        <v>150.312</v>
      </c>
      <c r="CG707" s="14" t="n">
        <v>0.2</v>
      </c>
      <c r="CH707" s="14" t="n">
        <v>1</v>
      </c>
      <c r="CI707" s="14" t="n">
        <v>0</v>
      </c>
      <c r="CJ707" s="14" t="n">
        <v>0</v>
      </c>
      <c r="CK707" s="14" t="n">
        <v>0</v>
      </c>
      <c r="CL707" s="14" t="n">
        <v>0</v>
      </c>
      <c r="CM707" s="14" t="n">
        <v>0</v>
      </c>
      <c r="CN707" s="14" t="n">
        <v>0</v>
      </c>
      <c r="CO707" s="14" t="n">
        <v>0</v>
      </c>
      <c r="CP707" s="14" t="n">
        <v>0.089</v>
      </c>
      <c r="CQ707" s="14" t="n">
        <v>1.387</v>
      </c>
      <c r="CR707" s="14" t="n">
        <v>0</v>
      </c>
      <c r="CS707" s="14" t="n">
        <v>5.529</v>
      </c>
      <c r="CT707" s="14" t="n">
        <v>8.946999999999999</v>
      </c>
      <c r="CU707" s="14" t="n">
        <v>10.966</v>
      </c>
    </row>
    <row r="708">
      <c r="A708" s="14" t="inlineStr">
        <is>
          <t>SVN2021</t>
        </is>
      </c>
      <c r="B708" s="14" t="inlineStr">
        <is>
          <t>SVN</t>
        </is>
      </c>
      <c r="C708" s="14" t="inlineStr">
        <is>
          <t>SVN</t>
        </is>
      </c>
      <c r="D708" s="14" t="inlineStr">
        <is>
          <t>Slovenia</t>
        </is>
      </c>
      <c r="E708" s="14" t="n">
        <v>2021</v>
      </c>
      <c r="F708" s="14" t="n">
        <v>0.22</v>
      </c>
      <c r="G708" s="14" t="n">
        <v>2.58</v>
      </c>
      <c r="H708" s="14" t="n">
        <v>0.634</v>
      </c>
      <c r="I708" s="14" t="n">
        <v>1.787</v>
      </c>
      <c r="J708" s="14" t="n">
        <v>4.367</v>
      </c>
      <c r="K708" s="14" t="n">
        <v>0</v>
      </c>
      <c r="L708" s="14" t="n">
        <v>1</v>
      </c>
      <c r="M708" s="14" t="n">
        <v>3.466</v>
      </c>
      <c r="N708" s="14" t="n">
        <v>1.903</v>
      </c>
      <c r="O708" s="14" t="n">
        <v>2.137</v>
      </c>
      <c r="P708" s="14" t="n">
        <v>5.603</v>
      </c>
      <c r="Q708" s="14" t="n">
        <v>0</v>
      </c>
      <c r="R708" s="14" t="n">
        <v>1</v>
      </c>
      <c r="S708" s="14" t="n">
        <v>5.751</v>
      </c>
      <c r="T708" s="14" t="n">
        <v>3.805</v>
      </c>
      <c r="U708" s="14" t="n">
        <v>2.644</v>
      </c>
      <c r="V708" s="14" t="n">
        <v>10.242</v>
      </c>
      <c r="W708" s="14" t="n">
        <v>0.22</v>
      </c>
      <c r="X708" s="14" t="n">
        <v>1</v>
      </c>
      <c r="Y708" s="14" t="n">
        <v>10.622</v>
      </c>
      <c r="Z708" s="14" t="n">
        <v>1.173</v>
      </c>
      <c r="AA708" s="14" t="n">
        <v>3.015</v>
      </c>
      <c r="AB708" s="14" t="n">
        <v>13.637</v>
      </c>
      <c r="AC708" s="14" t="n">
        <v>0</v>
      </c>
      <c r="AD708" s="14" t="n">
        <v>1</v>
      </c>
      <c r="AE708" s="14" t="n">
        <v>10.579</v>
      </c>
      <c r="AF708" s="14" t="n">
        <v>2.082</v>
      </c>
      <c r="AG708" s="14" t="n">
        <v>3.059</v>
      </c>
      <c r="AH708" s="14" t="n">
        <v>13.637</v>
      </c>
      <c r="AI708" s="14" t="n">
        <v>0</v>
      </c>
      <c r="AJ708" s="14" t="n">
        <v>1</v>
      </c>
      <c r="AK708" s="14" t="n">
        <v>15.139</v>
      </c>
      <c r="AL708" s="14" t="n">
        <v>7.43</v>
      </c>
      <c r="AM708" s="14" t="n">
        <v>0.129</v>
      </c>
      <c r="AN708" s="14" t="n">
        <v>18.627</v>
      </c>
      <c r="AO708" s="14" t="n">
        <v>0.22</v>
      </c>
      <c r="AP708" s="14" t="n">
        <v>1</v>
      </c>
      <c r="AQ708" s="14" t="n">
        <v>0.619</v>
      </c>
      <c r="AR708" s="14" t="n">
        <v>0.114</v>
      </c>
      <c r="AS708" s="14" t="n">
        <v>0.5659999999999999</v>
      </c>
      <c r="AT708" s="14" t="n">
        <v>1.446</v>
      </c>
      <c r="AU708" s="14" t="n">
        <v>0.22</v>
      </c>
      <c r="AV708" s="14" t="n">
        <v>1</v>
      </c>
      <c r="AW708" s="14" t="n">
        <v>0.599</v>
      </c>
      <c r="AX708" s="14" t="n">
        <v>0.114</v>
      </c>
      <c r="AY708" s="14" t="n">
        <v>0.638</v>
      </c>
      <c r="AZ708" s="14" t="n">
        <v>1.509</v>
      </c>
      <c r="BA708" s="14" t="n">
        <v>0.22</v>
      </c>
      <c r="BB708" s="14" t="n">
        <v>1</v>
      </c>
      <c r="BC708" s="14" t="n">
        <v>0.439</v>
      </c>
      <c r="BD708" s="14" t="n">
        <v>0.114</v>
      </c>
      <c r="BE708" s="14" t="n">
        <v>0.248</v>
      </c>
      <c r="BF708" s="14" t="n">
        <v>0.838</v>
      </c>
      <c r="BG708" s="14" t="n">
        <v>0.22</v>
      </c>
      <c r="BH708" s="14" t="n">
        <v>1</v>
      </c>
      <c r="BI708" s="14" t="n">
        <v>0.505</v>
      </c>
      <c r="BJ708" s="14" t="n">
        <v>0.114</v>
      </c>
      <c r="BK708" s="14" t="n">
        <v>0.434</v>
      </c>
      <c r="BL708" s="14" t="n">
        <v>1.146</v>
      </c>
      <c r="BM708" s="14" t="n">
        <v>0.22</v>
      </c>
      <c r="BN708" s="14" t="n">
        <v>1</v>
      </c>
      <c r="BO708" s="14" t="n">
        <v>0</v>
      </c>
      <c r="BP708" s="14" t="n">
        <v>0.011</v>
      </c>
      <c r="BQ708" s="14" t="n">
        <v>0.098</v>
      </c>
      <c r="BR708" s="14" t="n">
        <v>0</v>
      </c>
      <c r="BS708" s="14" t="n">
        <v>1</v>
      </c>
      <c r="BT708" s="14" t="n">
        <v>0</v>
      </c>
      <c r="BU708" s="14" t="n">
        <v>0.025</v>
      </c>
      <c r="BV708" s="14" t="n">
        <v>0.199</v>
      </c>
      <c r="BW708" s="14" t="n">
        <v>0.22</v>
      </c>
      <c r="BX708" s="14" t="n">
        <v>1</v>
      </c>
      <c r="BY708" s="14" t="n">
        <v>11.787</v>
      </c>
      <c r="BZ708" s="14" t="n">
        <v>0</v>
      </c>
      <c r="CA708" s="14" t="n">
        <v>11.787</v>
      </c>
      <c r="CB708" s="14" t="n">
        <v>0</v>
      </c>
      <c r="CC708" s="14" t="n">
        <v>78.125</v>
      </c>
      <c r="CD708" s="14" t="n">
        <v>7.95</v>
      </c>
      <c r="CE708" s="14" t="n">
        <v>82.363</v>
      </c>
      <c r="CF708" s="14" t="n">
        <v>195.796</v>
      </c>
      <c r="CG708" s="14" t="n">
        <v>0.22</v>
      </c>
      <c r="CH708" s="14" t="n">
        <v>1</v>
      </c>
      <c r="CI708" s="14" t="n">
        <v>0</v>
      </c>
      <c r="CJ708" s="14" t="n">
        <v>0</v>
      </c>
      <c r="CK708" s="14" t="n">
        <v>0</v>
      </c>
      <c r="CL708" s="14" t="n">
        <v>0</v>
      </c>
      <c r="CM708" s="14" t="n">
        <v>0</v>
      </c>
      <c r="CN708" s="14" t="n">
        <v>0</v>
      </c>
      <c r="CO708" s="14" t="n">
        <v>0</v>
      </c>
      <c r="CP708" s="14" t="n">
        <v>0.891</v>
      </c>
      <c r="CQ708" s="14" t="n">
        <v>1.198</v>
      </c>
      <c r="CR708" s="14" t="n">
        <v>0</v>
      </c>
      <c r="CS708" s="14" t="n">
        <v>4.776</v>
      </c>
      <c r="CT708" s="14" t="n">
        <v>8.026</v>
      </c>
      <c r="CU708" s="14" t="n">
        <v>7.971</v>
      </c>
    </row>
    <row r="709">
      <c r="A709" s="14" t="inlineStr">
        <is>
          <t>SVN2022</t>
        </is>
      </c>
      <c r="B709" s="14" t="inlineStr">
        <is>
          <t>SVN</t>
        </is>
      </c>
      <c r="C709" s="14" t="inlineStr">
        <is>
          <t>SVN</t>
        </is>
      </c>
      <c r="D709" s="14" t="inlineStr">
        <is>
          <t>Slovenia</t>
        </is>
      </c>
      <c r="E709" s="14" t="n">
        <v>2022</v>
      </c>
      <c r="F709" s="14" t="n">
        <v>0.22</v>
      </c>
      <c r="G709" s="14" t="n">
        <v>7.491</v>
      </c>
      <c r="H709" s="14" t="n">
        <v>0.791</v>
      </c>
      <c r="I709" s="14" t="n">
        <v>8.552</v>
      </c>
      <c r="J709" s="14" t="n">
        <v>16.043</v>
      </c>
      <c r="K709" s="14" t="n">
        <v>0</v>
      </c>
      <c r="L709" s="14" t="n">
        <v>1</v>
      </c>
      <c r="M709" s="14" t="n">
        <v>5.014</v>
      </c>
      <c r="N709" s="14" t="n">
        <v>2.373</v>
      </c>
      <c r="O709" s="14" t="n">
        <v>8.77</v>
      </c>
      <c r="P709" s="14" t="n">
        <v>13.784</v>
      </c>
      <c r="Q709" s="14" t="n">
        <v>0</v>
      </c>
      <c r="R709" s="14" t="n">
        <v>1</v>
      </c>
      <c r="S709" s="14" t="n">
        <v>11.447</v>
      </c>
      <c r="T709" s="14" t="n">
        <v>4.746</v>
      </c>
      <c r="U709" s="14" t="n">
        <v>2.983</v>
      </c>
      <c r="V709" s="14" t="n">
        <v>17.323</v>
      </c>
      <c r="W709" s="14" t="n">
        <v>0.22</v>
      </c>
      <c r="X709" s="14" t="n">
        <v>1</v>
      </c>
      <c r="Y709" s="14" t="n">
        <v>28.201</v>
      </c>
      <c r="Z709" s="14" t="n">
        <v>2.958</v>
      </c>
      <c r="AA709" s="14" t="n">
        <v>-1.608</v>
      </c>
      <c r="AB709" s="14" t="n">
        <v>26.593</v>
      </c>
      <c r="AC709" s="14" t="n">
        <v>0</v>
      </c>
      <c r="AD709" s="14" t="n">
        <v>1</v>
      </c>
      <c r="AE709" s="14" t="n">
        <v>28.248</v>
      </c>
      <c r="AF709" s="14" t="n">
        <v>5.237</v>
      </c>
      <c r="AG709" s="14" t="n">
        <v>-1.656</v>
      </c>
      <c r="AH709" s="14" t="n">
        <v>26.593</v>
      </c>
      <c r="AI709" s="14" t="n">
        <v>0</v>
      </c>
      <c r="AJ709" s="14" t="n">
        <v>1</v>
      </c>
      <c r="AK709" s="14" t="n">
        <v>33.174</v>
      </c>
      <c r="AL709" s="14" t="n">
        <v>15.842</v>
      </c>
      <c r="AM709" s="14" t="n">
        <v>-13.604</v>
      </c>
      <c r="AN709" s="14" t="n">
        <v>23.875</v>
      </c>
      <c r="AO709" s="14" t="n">
        <v>0.22</v>
      </c>
      <c r="AP709" s="14" t="n">
        <v>1</v>
      </c>
      <c r="AQ709" s="14" t="n">
        <v>0.861</v>
      </c>
      <c r="AR709" s="14" t="n">
        <v>0.123</v>
      </c>
      <c r="AS709" s="14" t="n">
        <v>0.428</v>
      </c>
      <c r="AT709" s="14" t="n">
        <v>1.573</v>
      </c>
      <c r="AU709" s="14" t="n">
        <v>0.22</v>
      </c>
      <c r="AV709" s="14" t="n">
        <v>1</v>
      </c>
      <c r="AW709" s="14" t="n">
        <v>0.986</v>
      </c>
      <c r="AX709" s="14" t="n">
        <v>0.123</v>
      </c>
      <c r="AY709" s="14" t="n">
        <v>0.427</v>
      </c>
      <c r="AZ709" s="14" t="n">
        <v>1.724</v>
      </c>
      <c r="BA709" s="14" t="n">
        <v>0.22</v>
      </c>
      <c r="BB709" s="14" t="n">
        <v>1</v>
      </c>
      <c r="BC709" s="14" t="n">
        <v>0.598</v>
      </c>
      <c r="BD709" s="14" t="n">
        <v>0.123</v>
      </c>
      <c r="BE709" s="14" t="n">
        <v>0.244</v>
      </c>
      <c r="BF709" s="14" t="n">
        <v>1.027</v>
      </c>
      <c r="BG709" s="14" t="n">
        <v>0.22</v>
      </c>
      <c r="BH709" s="14" t="n">
        <v>1</v>
      </c>
      <c r="BI709" s="14" t="n">
        <v>0.612</v>
      </c>
      <c r="BJ709" s="14" t="n">
        <v>0.123</v>
      </c>
      <c r="BK709" s="14" t="n">
        <v>0.5</v>
      </c>
      <c r="BL709" s="14" t="n">
        <v>1.357</v>
      </c>
      <c r="BM709" s="14" t="n">
        <v>0.22</v>
      </c>
      <c r="BN709" s="14" t="n">
        <v>1</v>
      </c>
      <c r="BO709" s="14" t="n">
        <v>0</v>
      </c>
      <c r="BP709" s="14" t="n">
        <v>0.008</v>
      </c>
      <c r="BQ709" s="14" t="n">
        <v>0.18</v>
      </c>
      <c r="BR709" s="14" t="n">
        <v>0</v>
      </c>
      <c r="BS709" s="14" t="n">
        <v>1</v>
      </c>
      <c r="BT709" s="14" t="n">
        <v>0</v>
      </c>
      <c r="BU709" s="14" t="n">
        <v>0.014</v>
      </c>
      <c r="BV709" s="14" t="n">
        <v>0.176</v>
      </c>
      <c r="BW709" s="14" t="n">
        <v>0.22</v>
      </c>
      <c r="BX709" s="14" t="n">
        <v>1</v>
      </c>
      <c r="BY709" s="14" t="n">
        <v>12.729</v>
      </c>
      <c r="BZ709" s="14" t="n">
        <v>0</v>
      </c>
      <c r="CA709" s="14" t="n">
        <v>12.729</v>
      </c>
      <c r="CB709" s="14" t="n">
        <v>0</v>
      </c>
      <c r="CC709" s="14" t="n">
        <v>97.90000000000001</v>
      </c>
      <c r="CD709" s="14" t="n">
        <v>7.95</v>
      </c>
      <c r="CE709" s="14" t="n">
        <v>117.374</v>
      </c>
      <c r="CF709" s="14" t="n">
        <v>262.634</v>
      </c>
      <c r="CG709" s="14" t="n">
        <v>0.22</v>
      </c>
      <c r="CH709" s="14" t="n">
        <v>1</v>
      </c>
      <c r="CI709" s="14" t="n">
        <v>0</v>
      </c>
      <c r="CJ709" s="14" t="n">
        <v>0</v>
      </c>
      <c r="CK709" s="14" t="n">
        <v>0</v>
      </c>
      <c r="CL709" s="14" t="n">
        <v>0</v>
      </c>
      <c r="CM709" s="14" t="n">
        <v>0</v>
      </c>
      <c r="CN709" s="14" t="n">
        <v>0</v>
      </c>
      <c r="CO709" s="14" t="n">
        <v>0</v>
      </c>
      <c r="CP709" s="14" t="n">
        <v>0.719</v>
      </c>
      <c r="CQ709" s="14" t="n">
        <v>1.294</v>
      </c>
      <c r="CR709" s="14" t="n">
        <v>0</v>
      </c>
      <c r="CS709" s="14" t="n">
        <v>5.158</v>
      </c>
      <c r="CT709" s="14" t="n">
        <v>20.506</v>
      </c>
      <c r="CU709" s="14" t="n">
        <v>25.458</v>
      </c>
    </row>
    <row r="710">
      <c r="A710" s="14" t="inlineStr">
        <is>
          <t>SVN2023</t>
        </is>
      </c>
      <c r="B710" s="14" t="inlineStr">
        <is>
          <t>SVN</t>
        </is>
      </c>
      <c r="C710" s="14" t="inlineStr">
        <is>
          <t>SVN</t>
        </is>
      </c>
      <c r="D710" s="14" t="inlineStr">
        <is>
          <t>Slovenia</t>
        </is>
      </c>
      <c r="E710" s="14" t="n">
        <v>2023</v>
      </c>
      <c r="F710" s="14" t="n">
        <v>0.22</v>
      </c>
      <c r="G710" s="14" t="n">
        <v>4.555</v>
      </c>
      <c r="H710" s="14" t="n">
        <v>0.823</v>
      </c>
      <c r="I710" s="14" t="n">
        <v>9.911</v>
      </c>
      <c r="J710" s="14" t="n">
        <v>14.466</v>
      </c>
      <c r="K710" s="14" t="n">
        <v>0</v>
      </c>
      <c r="L710" s="14" t="n">
        <v>1</v>
      </c>
      <c r="M710" s="14" t="n">
        <v>4.566</v>
      </c>
      <c r="N710" s="14" t="n">
        <v>2.468</v>
      </c>
      <c r="O710" s="14" t="n">
        <v>10.093</v>
      </c>
      <c r="P710" s="14" t="n">
        <v>14.66</v>
      </c>
      <c r="Q710" s="14" t="n">
        <v>0</v>
      </c>
      <c r="R710" s="14" t="n">
        <v>1</v>
      </c>
      <c r="S710" s="14" t="n">
        <v>8.669</v>
      </c>
      <c r="T710" s="14" t="n">
        <v>4.937</v>
      </c>
      <c r="U710" s="14" t="n">
        <v>1.086</v>
      </c>
      <c r="V710" s="14" t="n">
        <v>11.618</v>
      </c>
      <c r="W710" s="14" t="n">
        <v>0.22</v>
      </c>
      <c r="X710" s="14" t="n">
        <v>1</v>
      </c>
      <c r="Y710" s="14" t="n">
        <v>22.754</v>
      </c>
      <c r="Z710" s="14" t="n">
        <v>2.549</v>
      </c>
      <c r="AA710" s="14" t="n">
        <v>5.215</v>
      </c>
      <c r="AB710" s="14" t="n">
        <v>27.969</v>
      </c>
      <c r="AC710" s="14" t="n">
        <v>0</v>
      </c>
      <c r="AD710" s="14" t="n">
        <v>1</v>
      </c>
      <c r="AE710" s="14" t="n">
        <v>22.853</v>
      </c>
      <c r="AF710" s="14" t="n">
        <v>4.551</v>
      </c>
      <c r="AG710" s="14" t="n">
        <v>5.116</v>
      </c>
      <c r="AH710" s="14" t="n">
        <v>27.969</v>
      </c>
      <c r="AI710" s="14" t="n">
        <v>0</v>
      </c>
      <c r="AJ710" s="14" t="n">
        <v>1</v>
      </c>
      <c r="AK710" s="14" t="n">
        <v>27.981</v>
      </c>
      <c r="AL710" s="14" t="n">
        <v>13.861</v>
      </c>
      <c r="AM710" s="14" t="n">
        <v>-2.404</v>
      </c>
      <c r="AN710" s="14" t="n">
        <v>31.203</v>
      </c>
      <c r="AO710" s="14" t="n">
        <v>0.22</v>
      </c>
      <c r="AP710" s="14" t="n">
        <v>1</v>
      </c>
      <c r="AQ710" s="14" t="n">
        <v>0.76</v>
      </c>
      <c r="AR710" s="14" t="n">
        <v>0.129</v>
      </c>
      <c r="AS710" s="14" t="n">
        <v>0.524</v>
      </c>
      <c r="AT710" s="14" t="n">
        <v>1.567</v>
      </c>
      <c r="AU710" s="14" t="n">
        <v>0.22</v>
      </c>
      <c r="AV710" s="14" t="n">
        <v>1</v>
      </c>
      <c r="AW710" s="14" t="n">
        <v>0.8110000000000001</v>
      </c>
      <c r="AX710" s="14" t="n">
        <v>0.129</v>
      </c>
      <c r="AY710" s="14" t="n">
        <v>0.5570000000000001</v>
      </c>
      <c r="AZ710" s="14" t="n">
        <v>1.669</v>
      </c>
      <c r="BA710" s="14" t="n">
        <v>0.22</v>
      </c>
      <c r="BB710" s="14" t="n">
        <v>1</v>
      </c>
      <c r="BC710" s="14" t="n">
        <v>0.535</v>
      </c>
      <c r="BD710" s="14" t="n">
        <v>0.129</v>
      </c>
      <c r="BE710" s="14" t="n">
        <v>0.253</v>
      </c>
      <c r="BF710" s="14" t="n">
        <v>0.961</v>
      </c>
      <c r="BG710" s="14" t="n">
        <v>0.22</v>
      </c>
      <c r="BH710" s="14" t="n">
        <v>1</v>
      </c>
      <c r="BI710" s="14" t="n">
        <v>0.579</v>
      </c>
      <c r="BJ710" s="14" t="n">
        <v>0.129</v>
      </c>
      <c r="BK710" s="14" t="n">
        <v>0.402</v>
      </c>
      <c r="BL710" s="14" t="n">
        <v>1.197</v>
      </c>
      <c r="BM710" s="14" t="n">
        <v>0.22</v>
      </c>
      <c r="BN710" s="14" t="n">
        <v>1</v>
      </c>
      <c r="BO710" s="14" t="n">
        <v>0</v>
      </c>
      <c r="BP710" s="14" t="n">
        <v>0.008</v>
      </c>
      <c r="BQ710" s="14" t="n">
        <v>0.199</v>
      </c>
      <c r="BR710" s="14" t="n">
        <v>0</v>
      </c>
      <c r="BS710" s="14" t="n">
        <v>1</v>
      </c>
      <c r="BT710" s="14" t="n">
        <v>0</v>
      </c>
      <c r="BU710" s="14" t="n">
        <v>0.013</v>
      </c>
      <c r="BV710" s="14" t="n">
        <v>0.218</v>
      </c>
      <c r="BW710" s="14" t="n">
        <v>0.22</v>
      </c>
      <c r="BX710" s="14" t="n">
        <v>1</v>
      </c>
      <c r="BY710" s="14" t="n">
        <v>13.254</v>
      </c>
      <c r="BZ710" s="14" t="n">
        <v>0</v>
      </c>
      <c r="CA710" s="14" t="n">
        <v>13.254</v>
      </c>
      <c r="CB710" s="14" t="n">
        <v>0</v>
      </c>
      <c r="CC710" s="14" t="n">
        <v>83.248</v>
      </c>
      <c r="CD710" s="14" t="n">
        <v>7.95</v>
      </c>
      <c r="CE710" s="14" t="n">
        <v>116.427</v>
      </c>
      <c r="CF710" s="14" t="n">
        <v>243.604</v>
      </c>
      <c r="CG710" s="14" t="n">
        <v>0.22</v>
      </c>
      <c r="CH710" s="14" t="n">
        <v>1</v>
      </c>
      <c r="CI710" s="14" t="n">
        <v>0</v>
      </c>
      <c r="CJ710" s="14" t="n">
        <v>0</v>
      </c>
      <c r="CK710" s="14" t="n">
        <v>0</v>
      </c>
      <c r="CL710" s="14" t="n">
        <v>0</v>
      </c>
      <c r="CM710" s="14" t="n">
        <v>0</v>
      </c>
      <c r="CN710" s="14" t="n">
        <v>0</v>
      </c>
      <c r="CO710" s="14" t="n">
        <v>0</v>
      </c>
      <c r="CP710" s="14" t="n">
        <v>0.72</v>
      </c>
      <c r="CQ710" s="14" t="n">
        <v>1.348</v>
      </c>
      <c r="CR710" s="14" t="n">
        <v>0</v>
      </c>
      <c r="CS710" s="14" t="n">
        <v>5.37</v>
      </c>
      <c r="CT710" s="14" t="n">
        <v>9.867000000000001</v>
      </c>
      <c r="CU710" s="14" t="n">
        <v>19.961</v>
      </c>
    </row>
    <row r="711">
      <c r="A711" s="14" t="inlineStr">
        <is>
          <t>SVN2024</t>
        </is>
      </c>
      <c r="B711" s="14" t="inlineStr">
        <is>
          <t>SVN</t>
        </is>
      </c>
      <c r="C711" s="14" t="inlineStr">
        <is>
          <t>SVN</t>
        </is>
      </c>
      <c r="D711" s="14" t="inlineStr">
        <is>
          <t>Slovenia</t>
        </is>
      </c>
      <c r="E711" s="14" t="n">
        <v>2024</v>
      </c>
      <c r="F711" s="14" t="n">
        <v>0.22</v>
      </c>
      <c r="G711" s="14" t="n">
        <v>4.007</v>
      </c>
      <c r="H711" s="14" t="n">
        <v>0.847</v>
      </c>
      <c r="I711" s="14" t="n">
        <v>6.495</v>
      </c>
      <c r="J711" s="14" t="n">
        <v>10.503</v>
      </c>
      <c r="K711" s="14" t="n">
        <v>0</v>
      </c>
      <c r="L711" s="14" t="n">
        <v>1</v>
      </c>
      <c r="M711" s="14" t="n">
        <v>4.423</v>
      </c>
      <c r="N711" s="14" t="n">
        <v>2.541</v>
      </c>
      <c r="O711" s="14" t="n">
        <v>6.739</v>
      </c>
      <c r="P711" s="14" t="n">
        <v>11.161</v>
      </c>
      <c r="Q711" s="14" t="n">
        <v>0</v>
      </c>
      <c r="R711" s="14" t="n">
        <v>1</v>
      </c>
      <c r="S711" s="14" t="n">
        <v>8.242000000000001</v>
      </c>
      <c r="T711" s="14" t="n">
        <v>5.082</v>
      </c>
      <c r="U711" s="14" t="n">
        <v>3.123</v>
      </c>
      <c r="V711" s="14" t="n">
        <v>13.463</v>
      </c>
      <c r="W711" s="14" t="n">
        <v>0.22</v>
      </c>
      <c r="X711" s="14" t="n">
        <v>1</v>
      </c>
      <c r="Y711" s="14" t="n">
        <v>15.716</v>
      </c>
      <c r="Z711" s="14" t="n">
        <v>1.984</v>
      </c>
      <c r="AA711" s="14" t="n">
        <v>5.339</v>
      </c>
      <c r="AB711" s="14" t="n">
        <v>21.055</v>
      </c>
      <c r="AC711" s="14" t="n">
        <v>0</v>
      </c>
      <c r="AD711" s="14" t="n">
        <v>1</v>
      </c>
      <c r="AE711" s="14" t="n">
        <v>15.716</v>
      </c>
      <c r="AF711" s="14" t="n">
        <v>3.443</v>
      </c>
      <c r="AG711" s="14" t="n">
        <v>5.339</v>
      </c>
      <c r="AH711" s="14" t="n">
        <v>21.055</v>
      </c>
      <c r="AI711" s="14" t="n">
        <v>0</v>
      </c>
      <c r="AJ711" s="14" t="n">
        <v>1</v>
      </c>
      <c r="AK711" s="14" t="n">
        <v>20.995</v>
      </c>
      <c r="AL711" s="14" t="n">
        <v>10.679</v>
      </c>
      <c r="AM711" s="14" t="n">
        <v>2.19</v>
      </c>
      <c r="AN711" s="14" t="n">
        <v>28.286</v>
      </c>
      <c r="AO711" s="14" t="n">
        <v>0.22</v>
      </c>
      <c r="AP711" s="14" t="n">
        <v>1</v>
      </c>
      <c r="AQ711" s="14" t="n">
        <v>0.724</v>
      </c>
      <c r="AR711" s="14" t="n">
        <v>0.132</v>
      </c>
      <c r="AS711" s="14" t="n">
        <v>0.6</v>
      </c>
      <c r="AT711" s="14" t="n">
        <v>1.616</v>
      </c>
      <c r="AU711" s="14" t="n">
        <v>0.22</v>
      </c>
      <c r="AV711" s="14" t="n">
        <v>1</v>
      </c>
      <c r="AW711" s="14" t="n">
        <v>0.75</v>
      </c>
      <c r="AX711" s="14" t="n">
        <v>0.132</v>
      </c>
      <c r="AY711" s="14" t="n">
        <v>0.604</v>
      </c>
      <c r="AZ711" s="14" t="n">
        <v>1.652</v>
      </c>
      <c r="BA711" s="14" t="n">
        <v>0.22</v>
      </c>
      <c r="BB711" s="14" t="n">
        <v>1</v>
      </c>
      <c r="BC711" s="14" t="n">
        <v>0.513</v>
      </c>
      <c r="BD711" s="14" t="n">
        <v>0.132</v>
      </c>
      <c r="BE711" s="14" t="n">
        <v>0.259</v>
      </c>
      <c r="BF711" s="14" t="n">
        <v>0.9409999999999999</v>
      </c>
      <c r="BG711" s="14" t="n">
        <v>0.22</v>
      </c>
      <c r="BH711" s="14" t="n">
        <v>1</v>
      </c>
      <c r="BI711" s="14" t="n">
        <v>0.591</v>
      </c>
      <c r="BJ711" s="14" t="n">
        <v>0.132</v>
      </c>
      <c r="BK711" s="14" t="n">
        <v>0.367</v>
      </c>
      <c r="BL711" s="14" t="n">
        <v>1.169</v>
      </c>
      <c r="BM711" s="14" t="n">
        <v>0.22</v>
      </c>
      <c r="BN711" s="14" t="n">
        <v>1</v>
      </c>
      <c r="BO711" s="14" t="n">
        <v>0</v>
      </c>
      <c r="BP711" s="14" t="n">
        <v>0.008</v>
      </c>
      <c r="BQ711" s="14" t="n">
        <v>0.158</v>
      </c>
      <c r="BR711" s="14" t="n">
        <v>0</v>
      </c>
      <c r="BS711" s="14" t="n">
        <v>1</v>
      </c>
      <c r="BT711" s="14" t="n">
        <v>0</v>
      </c>
      <c r="BU711" s="14" t="n">
        <v>0.003</v>
      </c>
      <c r="BV711" s="14" t="n">
        <v>0.221</v>
      </c>
      <c r="BW711" s="14" t="n">
        <v>0.22</v>
      </c>
      <c r="BX711" s="14" t="n">
        <v>1</v>
      </c>
      <c r="BY711" s="14" t="n">
        <v>13.646</v>
      </c>
      <c r="BZ711" s="14" t="n">
        <v>0</v>
      </c>
      <c r="CA711" s="14" t="n">
        <v>13.646</v>
      </c>
      <c r="CB711" s="14" t="n">
        <v>0</v>
      </c>
      <c r="CC711" s="14" t="n">
        <v>82.58799999999999</v>
      </c>
      <c r="CD711" s="14" t="n">
        <v>7.95</v>
      </c>
      <c r="CE711" s="14" t="n">
        <v>107.233</v>
      </c>
      <c r="CF711" s="14" t="n">
        <v>231.582</v>
      </c>
      <c r="CG711" s="14" t="n">
        <v>0.22</v>
      </c>
      <c r="CH711" s="14" t="n">
        <v>1</v>
      </c>
      <c r="CI711" s="14" t="n">
        <v>0</v>
      </c>
      <c r="CJ711" s="14" t="n">
        <v>0</v>
      </c>
      <c r="CK711" s="14" t="n">
        <v>0</v>
      </c>
      <c r="CL711" s="14" t="n">
        <v>0</v>
      </c>
      <c r="CM711" s="14" t="n">
        <v>0</v>
      </c>
      <c r="CN711" s="14" t="n">
        <v>0</v>
      </c>
      <c r="CO711" s="14" t="n">
        <v>0</v>
      </c>
      <c r="CP711" s="14" t="n">
        <v>0.72</v>
      </c>
      <c r="CQ711" s="14" t="n">
        <v>1.387</v>
      </c>
      <c r="CR711" s="14" t="n">
        <v>0</v>
      </c>
      <c r="CS711" s="14" t="n">
        <v>5.529</v>
      </c>
      <c r="CT711" s="14" t="n">
        <v>7.721</v>
      </c>
      <c r="CU711" s="14" t="n">
        <v>12.028</v>
      </c>
    </row>
    <row r="712">
      <c r="A712" s="14" t="inlineStr">
        <is>
          <t>SLB2021</t>
        </is>
      </c>
      <c r="B712" s="14" t="inlineStr">
        <is>
          <t>SLB</t>
        </is>
      </c>
      <c r="C712" s="14" t="inlineStr">
        <is>
          <t>SLB</t>
        </is>
      </c>
      <c r="D712" s="14" t="inlineStr">
        <is>
          <t>Solomon Islands</t>
        </is>
      </c>
      <c r="E712" s="14" t="n">
        <v>2021</v>
      </c>
      <c r="F712" s="14" t="n">
        <v>0</v>
      </c>
      <c r="G712" s="14" t="n">
        <v>4.747</v>
      </c>
      <c r="H712" s="14" t="n">
        <v>1.143</v>
      </c>
      <c r="I712" s="14" t="n">
        <v>0</v>
      </c>
      <c r="J712" s="14" t="n">
        <v>4.747</v>
      </c>
      <c r="K712" s="14" t="n">
        <v>0</v>
      </c>
      <c r="L712" s="14" t="n">
        <v>1</v>
      </c>
      <c r="M712" s="14" t="n">
        <v>7.964</v>
      </c>
      <c r="N712" s="14" t="n">
        <v>3.43</v>
      </c>
      <c r="O712" s="14" t="n">
        <v>0</v>
      </c>
      <c r="P712" s="14" t="n">
        <v>7.964</v>
      </c>
      <c r="Q712" s="14" t="n">
        <v>0</v>
      </c>
      <c r="R712" s="14" t="n">
        <v>1</v>
      </c>
      <c r="S712" s="14" t="n">
        <v>10.464</v>
      </c>
      <c r="T712" s="14" t="n">
        <v>6.86</v>
      </c>
      <c r="U712" s="14" t="n">
        <v>0</v>
      </c>
      <c r="V712" s="14" t="n">
        <v>10.464</v>
      </c>
      <c r="W712" s="14" t="n">
        <v>0</v>
      </c>
      <c r="X712" s="14" t="n">
        <v>1</v>
      </c>
      <c r="Y712" s="14" t="n">
        <v>5.989</v>
      </c>
      <c r="Z712" s="14" t="n">
        <v>0.739</v>
      </c>
      <c r="AA712" s="14" t="n">
        <v>0</v>
      </c>
      <c r="AB712" s="14" t="n">
        <v>5.989</v>
      </c>
      <c r="AC712" s="14" t="n">
        <v>0</v>
      </c>
      <c r="AD712" s="14" t="n">
        <v>1</v>
      </c>
      <c r="AE712" s="14" t="n">
        <v>7.132</v>
      </c>
      <c r="AF712" s="14" t="n">
        <v>1.555</v>
      </c>
      <c r="AG712" s="14" t="n">
        <v>0</v>
      </c>
      <c r="AH712" s="14" t="n">
        <v>7.132</v>
      </c>
      <c r="AI712" s="14" t="n">
        <v>0</v>
      </c>
      <c r="AJ712" s="14" t="n">
        <v>1</v>
      </c>
      <c r="AK712" s="14" t="n">
        <v>13.992</v>
      </c>
      <c r="AL712" s="14" t="n">
        <v>7.26</v>
      </c>
      <c r="AM712" s="14" t="n">
        <v>0</v>
      </c>
      <c r="AN712" s="14" t="n">
        <v>13.992</v>
      </c>
      <c r="AO712" s="14" t="n">
        <v>0</v>
      </c>
      <c r="AP712" s="14" t="n">
        <v>1</v>
      </c>
      <c r="AQ712" s="14" t="n">
        <v>0.621</v>
      </c>
      <c r="AR712" s="14" t="n">
        <v>0.114</v>
      </c>
      <c r="AS712" s="14" t="n">
        <v>0</v>
      </c>
      <c r="AT712" s="14" t="n">
        <v>0.621</v>
      </c>
      <c r="AU712" s="14" t="n">
        <v>0</v>
      </c>
      <c r="AV712" s="14" t="n">
        <v>1</v>
      </c>
      <c r="AW712" s="14" t="n">
        <v>0.593</v>
      </c>
      <c r="AX712" s="14" t="n">
        <v>0.114</v>
      </c>
      <c r="AY712" s="14" t="n">
        <v>0</v>
      </c>
      <c r="AZ712" s="14" t="n">
        <v>0.593</v>
      </c>
      <c r="BA712" s="14" t="n">
        <v>0</v>
      </c>
      <c r="BB712" s="14" t="n">
        <v>1</v>
      </c>
      <c r="BC712" s="14" t="n">
        <v>0.44</v>
      </c>
      <c r="BD712" s="14" t="n">
        <v>0.114</v>
      </c>
      <c r="BE712" s="14" t="n">
        <v>0</v>
      </c>
      <c r="BF712" s="14" t="n">
        <v>0.44</v>
      </c>
      <c r="BG712" s="14" t="n">
        <v>0</v>
      </c>
      <c r="BH712" s="14" t="n">
        <v>1</v>
      </c>
      <c r="BI712" s="14" t="n">
        <v>0.5600000000000001</v>
      </c>
      <c r="BJ712" s="14" t="n">
        <v>0.114</v>
      </c>
      <c r="BK712" s="14" t="n">
        <v>0</v>
      </c>
      <c r="BL712" s="14" t="n">
        <v>0.5600000000000001</v>
      </c>
      <c r="BM712" s="14" t="n">
        <v>0</v>
      </c>
      <c r="BN712" s="14" t="n">
        <v>1</v>
      </c>
      <c r="BO712" s="14" t="n">
        <v>0</v>
      </c>
      <c r="BP712" s="14" t="n">
        <v>0</v>
      </c>
      <c r="BQ712" s="14" t="n">
        <v>0</v>
      </c>
      <c r="BR712" s="14" t="n">
        <v>0</v>
      </c>
      <c r="BS712" s="14" t="n">
        <v>1</v>
      </c>
      <c r="BT712" s="14" t="n">
        <v>0</v>
      </c>
      <c r="BU712" s="14" t="n">
        <v>0</v>
      </c>
      <c r="BV712" s="14" t="n">
        <v>0</v>
      </c>
      <c r="BW712" s="14" t="n">
        <v>0</v>
      </c>
      <c r="BX712" s="14" t="n">
        <v>1</v>
      </c>
      <c r="BY712" s="14" t="n">
        <v>11.787</v>
      </c>
      <c r="BZ712" s="14" t="n">
        <v>0</v>
      </c>
      <c r="CA712" s="14" t="n">
        <v>11.787</v>
      </c>
      <c r="CB712" s="14" t="n">
        <v>0</v>
      </c>
      <c r="CC712" s="14" t="n">
        <v>81.69499999999999</v>
      </c>
      <c r="CD712" s="14" t="n">
        <v>7.95</v>
      </c>
      <c r="CE712" s="14" t="n">
        <v>0</v>
      </c>
      <c r="CF712" s="14" t="n">
        <v>81.69499999999999</v>
      </c>
      <c r="CG712" s="14" t="n">
        <v>0</v>
      </c>
      <c r="CH712" s="14" t="n">
        <v>1</v>
      </c>
      <c r="CI712" s="14" t="n">
        <v>0</v>
      </c>
      <c r="CJ712" s="14" t="n">
        <v>0</v>
      </c>
      <c r="CK712" s="14" t="n">
        <v>0</v>
      </c>
      <c r="CL712" s="14" t="n">
        <v>0</v>
      </c>
      <c r="CM712" s="14" t="n">
        <v>0</v>
      </c>
      <c r="CN712" s="14" t="n">
        <v>0</v>
      </c>
      <c r="CO712" s="14" t="n">
        <v>0</v>
      </c>
      <c r="CP712" s="14" t="n">
        <v>0</v>
      </c>
      <c r="CQ712" s="14" t="n">
        <v>1.198</v>
      </c>
      <c r="CR712" s="14" t="n">
        <v>0</v>
      </c>
      <c r="CS712" s="14" t="n">
        <v>4.776</v>
      </c>
      <c r="CT712" s="14" t="n">
        <v>3.604</v>
      </c>
      <c r="CU712" s="14" t="n">
        <v>9.407999999999999</v>
      </c>
    </row>
    <row r="713">
      <c r="A713" s="14" t="inlineStr">
        <is>
          <t>SLB2022</t>
        </is>
      </c>
      <c r="B713" s="14" t="inlineStr">
        <is>
          <t>SLB</t>
        </is>
      </c>
      <c r="C713" s="14" t="inlineStr">
        <is>
          <t>SLB</t>
        </is>
      </c>
      <c r="D713" s="14" t="inlineStr">
        <is>
          <t>Solomon Islands</t>
        </is>
      </c>
      <c r="E713" s="14" t="n">
        <v>2022</v>
      </c>
      <c r="F713" s="14" t="n">
        <v>0</v>
      </c>
      <c r="G713" s="14" t="n">
        <v>8.788</v>
      </c>
      <c r="H713" s="14" t="n">
        <v>1.235</v>
      </c>
      <c r="I713" s="14" t="n">
        <v>0</v>
      </c>
      <c r="J713" s="14" t="n">
        <v>8.788</v>
      </c>
      <c r="K713" s="14" t="n">
        <v>0</v>
      </c>
      <c r="L713" s="14" t="n">
        <v>1</v>
      </c>
      <c r="M713" s="14" t="n">
        <v>9.782999999999999</v>
      </c>
      <c r="N713" s="14" t="n">
        <v>3.704</v>
      </c>
      <c r="O713" s="14" t="n">
        <v>0</v>
      </c>
      <c r="P713" s="14" t="n">
        <v>9.782999999999999</v>
      </c>
      <c r="Q713" s="14" t="n">
        <v>0</v>
      </c>
      <c r="R713" s="14" t="n">
        <v>1</v>
      </c>
      <c r="S713" s="14" t="n">
        <v>14.962</v>
      </c>
      <c r="T713" s="14" t="n">
        <v>7.408</v>
      </c>
      <c r="U713" s="14" t="n">
        <v>0</v>
      </c>
      <c r="V713" s="14" t="n">
        <v>14.962</v>
      </c>
      <c r="W713" s="14" t="n">
        <v>0</v>
      </c>
      <c r="X713" s="14" t="n">
        <v>1</v>
      </c>
      <c r="Y713" s="14" t="n">
        <v>6.765</v>
      </c>
      <c r="Z713" s="14" t="n">
        <v>0.835</v>
      </c>
      <c r="AA713" s="14" t="n">
        <v>0</v>
      </c>
      <c r="AB713" s="14" t="n">
        <v>6.765</v>
      </c>
      <c r="AC713" s="14" t="n">
        <v>0</v>
      </c>
      <c r="AD713" s="14" t="n">
        <v>1</v>
      </c>
      <c r="AE713" s="14" t="n">
        <v>7.999</v>
      </c>
      <c r="AF713" s="14" t="n">
        <v>1.744</v>
      </c>
      <c r="AG713" s="14" t="n">
        <v>0</v>
      </c>
      <c r="AH713" s="14" t="n">
        <v>7.999</v>
      </c>
      <c r="AI713" s="14" t="n">
        <v>0</v>
      </c>
      <c r="AJ713" s="14" t="n">
        <v>1</v>
      </c>
      <c r="AK713" s="14" t="n">
        <v>15.407</v>
      </c>
      <c r="AL713" s="14" t="n">
        <v>7.995</v>
      </c>
      <c r="AM713" s="14" t="n">
        <v>0</v>
      </c>
      <c r="AN713" s="14" t="n">
        <v>15.407</v>
      </c>
      <c r="AO713" s="14" t="n">
        <v>0</v>
      </c>
      <c r="AP713" s="14" t="n">
        <v>1</v>
      </c>
      <c r="AQ713" s="14" t="n">
        <v>0.847</v>
      </c>
      <c r="AR713" s="14" t="n">
        <v>0.123</v>
      </c>
      <c r="AS713" s="14" t="n">
        <v>0</v>
      </c>
      <c r="AT713" s="14" t="n">
        <v>0.847</v>
      </c>
      <c r="AU713" s="14" t="n">
        <v>0</v>
      </c>
      <c r="AV713" s="14" t="n">
        <v>1</v>
      </c>
      <c r="AW713" s="14" t="n">
        <v>0.947</v>
      </c>
      <c r="AX713" s="14" t="n">
        <v>0.123</v>
      </c>
      <c r="AY713" s="14" t="n">
        <v>0</v>
      </c>
      <c r="AZ713" s="14" t="n">
        <v>0.947</v>
      </c>
      <c r="BA713" s="14" t="n">
        <v>0</v>
      </c>
      <c r="BB713" s="14" t="n">
        <v>1</v>
      </c>
      <c r="BC713" s="14" t="n">
        <v>0.589</v>
      </c>
      <c r="BD713" s="14" t="n">
        <v>0.123</v>
      </c>
      <c r="BE713" s="14" t="n">
        <v>0</v>
      </c>
      <c r="BF713" s="14" t="n">
        <v>0.589</v>
      </c>
      <c r="BG713" s="14" t="n">
        <v>0</v>
      </c>
      <c r="BH713" s="14" t="n">
        <v>1</v>
      </c>
      <c r="BI713" s="14" t="n">
        <v>0.6889999999999999</v>
      </c>
      <c r="BJ713" s="14" t="n">
        <v>0.123</v>
      </c>
      <c r="BK713" s="14" t="n">
        <v>0</v>
      </c>
      <c r="BL713" s="14" t="n">
        <v>0.6889999999999999</v>
      </c>
      <c r="BM713" s="14" t="n">
        <v>0</v>
      </c>
      <c r="BN713" s="14" t="n">
        <v>1</v>
      </c>
      <c r="BO713" s="14" t="n">
        <v>0</v>
      </c>
      <c r="BP713" s="14" t="n">
        <v>0</v>
      </c>
      <c r="BQ713" s="14" t="n">
        <v>0</v>
      </c>
      <c r="BR713" s="14" t="n">
        <v>0</v>
      </c>
      <c r="BS713" s="14" t="n">
        <v>1</v>
      </c>
      <c r="BT713" s="14" t="n">
        <v>0</v>
      </c>
      <c r="BU713" s="14" t="n">
        <v>0</v>
      </c>
      <c r="BV713" s="14" t="n">
        <v>0</v>
      </c>
      <c r="BW713" s="14" t="n">
        <v>0</v>
      </c>
      <c r="BX713" s="14" t="n">
        <v>1</v>
      </c>
      <c r="BY713" s="14" t="n">
        <v>12.729</v>
      </c>
      <c r="BZ713" s="14" t="n">
        <v>0</v>
      </c>
      <c r="CA713" s="14" t="n">
        <v>12.729</v>
      </c>
      <c r="CB713" s="14" t="n">
        <v>0</v>
      </c>
      <c r="CC713" s="14" t="n">
        <v>102.477</v>
      </c>
      <c r="CD713" s="14" t="n">
        <v>7.95</v>
      </c>
      <c r="CE713" s="14" t="n">
        <v>0</v>
      </c>
      <c r="CF713" s="14" t="n">
        <v>102.477</v>
      </c>
      <c r="CG713" s="14" t="n">
        <v>0</v>
      </c>
      <c r="CH713" s="14" t="n">
        <v>1</v>
      </c>
      <c r="CI713" s="14" t="n">
        <v>0</v>
      </c>
      <c r="CJ713" s="14" t="n">
        <v>0</v>
      </c>
      <c r="CK713" s="14" t="n">
        <v>0</v>
      </c>
      <c r="CL713" s="14" t="n">
        <v>0</v>
      </c>
      <c r="CM713" s="14" t="n">
        <v>0</v>
      </c>
      <c r="CN713" s="14" t="n">
        <v>0</v>
      </c>
      <c r="CO713" s="14" t="n">
        <v>0</v>
      </c>
      <c r="CP713" s="14" t="n">
        <v>0</v>
      </c>
      <c r="CQ713" s="14" t="n">
        <v>1.294</v>
      </c>
      <c r="CR713" s="14" t="n">
        <v>0</v>
      </c>
      <c r="CS713" s="14" t="n">
        <v>5.158</v>
      </c>
      <c r="CT713" s="14" t="n">
        <v>7.554</v>
      </c>
      <c r="CU713" s="14" t="n">
        <v>16.097</v>
      </c>
    </row>
    <row r="714">
      <c r="A714" s="14" t="inlineStr">
        <is>
          <t>SLB2023</t>
        </is>
      </c>
      <c r="B714" s="14" t="inlineStr">
        <is>
          <t>SLB</t>
        </is>
      </c>
      <c r="C714" s="14" t="inlineStr">
        <is>
          <t>SLB</t>
        </is>
      </c>
      <c r="D714" s="14" t="inlineStr">
        <is>
          <t>Solomon Islands</t>
        </is>
      </c>
      <c r="E714" s="14" t="n">
        <v>2023</v>
      </c>
      <c r="F714" s="14" t="n">
        <v>0</v>
      </c>
      <c r="G714" s="14" t="n">
        <v>5.77</v>
      </c>
      <c r="H714" s="14" t="n">
        <v>1.286</v>
      </c>
      <c r="I714" s="14" t="n">
        <v>0</v>
      </c>
      <c r="J714" s="14" t="n">
        <v>5.77</v>
      </c>
      <c r="K714" s="14" t="n">
        <v>0</v>
      </c>
      <c r="L714" s="14" t="n">
        <v>1</v>
      </c>
      <c r="M714" s="14" t="n">
        <v>7.886</v>
      </c>
      <c r="N714" s="14" t="n">
        <v>3.857</v>
      </c>
      <c r="O714" s="14" t="n">
        <v>0</v>
      </c>
      <c r="P714" s="14" t="n">
        <v>7.886</v>
      </c>
      <c r="Q714" s="14" t="n">
        <v>0</v>
      </c>
      <c r="R714" s="14" t="n">
        <v>1</v>
      </c>
      <c r="S714" s="14" t="n">
        <v>12.198</v>
      </c>
      <c r="T714" s="14" t="n">
        <v>7.714</v>
      </c>
      <c r="U714" s="14" t="n">
        <v>0</v>
      </c>
      <c r="V714" s="14" t="n">
        <v>12.198</v>
      </c>
      <c r="W714" s="14" t="n">
        <v>0</v>
      </c>
      <c r="X714" s="14" t="n">
        <v>1</v>
      </c>
      <c r="Y714" s="14" t="n">
        <v>6.832</v>
      </c>
      <c r="Z714" s="14" t="n">
        <v>0.843</v>
      </c>
      <c r="AA714" s="14" t="n">
        <v>0</v>
      </c>
      <c r="AB714" s="14" t="n">
        <v>6.832</v>
      </c>
      <c r="AC714" s="14" t="n">
        <v>0</v>
      </c>
      <c r="AD714" s="14" t="n">
        <v>1</v>
      </c>
      <c r="AE714" s="14" t="n">
        <v>8.118</v>
      </c>
      <c r="AF714" s="14" t="n">
        <v>1.77</v>
      </c>
      <c r="AG714" s="14" t="n">
        <v>0</v>
      </c>
      <c r="AH714" s="14" t="n">
        <v>8.118</v>
      </c>
      <c r="AI714" s="14" t="n">
        <v>0</v>
      </c>
      <c r="AJ714" s="14" t="n">
        <v>1</v>
      </c>
      <c r="AK714" s="14" t="n">
        <v>15.832</v>
      </c>
      <c r="AL714" s="14" t="n">
        <v>8.215</v>
      </c>
      <c r="AM714" s="14" t="n">
        <v>0</v>
      </c>
      <c r="AN714" s="14" t="n">
        <v>15.832</v>
      </c>
      <c r="AO714" s="14" t="n">
        <v>0</v>
      </c>
      <c r="AP714" s="14" t="n">
        <v>1</v>
      </c>
      <c r="AQ714" s="14" t="n">
        <v>0.749</v>
      </c>
      <c r="AR714" s="14" t="n">
        <v>0.129</v>
      </c>
      <c r="AS714" s="14" t="n">
        <v>0</v>
      </c>
      <c r="AT714" s="14" t="n">
        <v>0.749</v>
      </c>
      <c r="AU714" s="14" t="n">
        <v>0</v>
      </c>
      <c r="AV714" s="14" t="n">
        <v>1</v>
      </c>
      <c r="AW714" s="14" t="n">
        <v>0.783</v>
      </c>
      <c r="AX714" s="14" t="n">
        <v>0.129</v>
      </c>
      <c r="AY714" s="14" t="n">
        <v>0</v>
      </c>
      <c r="AZ714" s="14" t="n">
        <v>0.783</v>
      </c>
      <c r="BA714" s="14" t="n">
        <v>0</v>
      </c>
      <c r="BB714" s="14" t="n">
        <v>1</v>
      </c>
      <c r="BC714" s="14" t="n">
        <v>0.527</v>
      </c>
      <c r="BD714" s="14" t="n">
        <v>0.129</v>
      </c>
      <c r="BE714" s="14" t="n">
        <v>0</v>
      </c>
      <c r="BF714" s="14" t="n">
        <v>0.527</v>
      </c>
      <c r="BG714" s="14" t="n">
        <v>0</v>
      </c>
      <c r="BH714" s="14" t="n">
        <v>1</v>
      </c>
      <c r="BI714" s="14" t="n">
        <v>0.64</v>
      </c>
      <c r="BJ714" s="14" t="n">
        <v>0.129</v>
      </c>
      <c r="BK714" s="14" t="n">
        <v>0</v>
      </c>
      <c r="BL714" s="14" t="n">
        <v>0.64</v>
      </c>
      <c r="BM714" s="14" t="n">
        <v>0</v>
      </c>
      <c r="BN714" s="14" t="n">
        <v>1</v>
      </c>
      <c r="BO714" s="14" t="n">
        <v>0</v>
      </c>
      <c r="BP714" s="14" t="n">
        <v>0</v>
      </c>
      <c r="BQ714" s="14" t="n">
        <v>0</v>
      </c>
      <c r="BR714" s="14" t="n">
        <v>0</v>
      </c>
      <c r="BS714" s="14" t="n">
        <v>1</v>
      </c>
      <c r="BT714" s="14" t="n">
        <v>0</v>
      </c>
      <c r="BU714" s="14" t="n">
        <v>0</v>
      </c>
      <c r="BV714" s="14" t="n">
        <v>0</v>
      </c>
      <c r="BW714" s="14" t="n">
        <v>0</v>
      </c>
      <c r="BX714" s="14" t="n">
        <v>1</v>
      </c>
      <c r="BY714" s="14" t="n">
        <v>13.254</v>
      </c>
      <c r="BZ714" s="14" t="n">
        <v>0</v>
      </c>
      <c r="CA714" s="14" t="n">
        <v>13.254</v>
      </c>
      <c r="CB714" s="14" t="n">
        <v>0</v>
      </c>
      <c r="CC714" s="14" t="n">
        <v>87.07899999999999</v>
      </c>
      <c r="CD714" s="14" t="n">
        <v>7.95</v>
      </c>
      <c r="CE714" s="14" t="n">
        <v>0</v>
      </c>
      <c r="CF714" s="14" t="n">
        <v>87.07899999999999</v>
      </c>
      <c r="CG714" s="14" t="n">
        <v>0</v>
      </c>
      <c r="CH714" s="14" t="n">
        <v>1</v>
      </c>
      <c r="CI714" s="14" t="n">
        <v>0</v>
      </c>
      <c r="CJ714" s="14" t="n">
        <v>0</v>
      </c>
      <c r="CK714" s="14" t="n">
        <v>0</v>
      </c>
      <c r="CL714" s="14" t="n">
        <v>0</v>
      </c>
      <c r="CM714" s="14" t="n">
        <v>0</v>
      </c>
      <c r="CN714" s="14" t="n">
        <v>0</v>
      </c>
      <c r="CO714" s="14" t="n">
        <v>0</v>
      </c>
      <c r="CP714" s="14" t="n">
        <v>0</v>
      </c>
      <c r="CQ714" s="14" t="n">
        <v>1.348</v>
      </c>
      <c r="CR714" s="14" t="n">
        <v>0</v>
      </c>
      <c r="CS714" s="14" t="n">
        <v>5.37</v>
      </c>
      <c r="CT714" s="14" t="n">
        <v>4.484</v>
      </c>
      <c r="CU714" s="14" t="n">
        <v>12.529</v>
      </c>
    </row>
    <row r="715">
      <c r="A715" s="14" t="inlineStr">
        <is>
          <t>SLB2024</t>
        </is>
      </c>
      <c r="B715" s="14" t="inlineStr">
        <is>
          <t>SLB</t>
        </is>
      </c>
      <c r="C715" s="14" t="inlineStr">
        <is>
          <t>SLB</t>
        </is>
      </c>
      <c r="D715" s="14" t="inlineStr">
        <is>
          <t>Solomon Islands</t>
        </is>
      </c>
      <c r="E715" s="14" t="n">
        <v>2024</v>
      </c>
      <c r="F715" s="14" t="n">
        <v>0</v>
      </c>
      <c r="G715" s="14" t="n">
        <v>4.833</v>
      </c>
      <c r="H715" s="14" t="n">
        <v>1.324</v>
      </c>
      <c r="I715" s="14" t="n">
        <v>0</v>
      </c>
      <c r="J715" s="14" t="n">
        <v>4.833</v>
      </c>
      <c r="K715" s="14" t="n">
        <v>0</v>
      </c>
      <c r="L715" s="14" t="n">
        <v>1</v>
      </c>
      <c r="M715" s="14" t="n">
        <v>7.124</v>
      </c>
      <c r="N715" s="14" t="n">
        <v>3.971</v>
      </c>
      <c r="O715" s="14" t="n">
        <v>0</v>
      </c>
      <c r="P715" s="14" t="n">
        <v>7.124</v>
      </c>
      <c r="Q715" s="14" t="n">
        <v>0</v>
      </c>
      <c r="R715" s="14" t="n">
        <v>1</v>
      </c>
      <c r="S715" s="14" t="n">
        <v>11.451</v>
      </c>
      <c r="T715" s="14" t="n">
        <v>7.942</v>
      </c>
      <c r="U715" s="14" t="n">
        <v>0</v>
      </c>
      <c r="V715" s="14" t="n">
        <v>11.451</v>
      </c>
      <c r="W715" s="14" t="n">
        <v>0</v>
      </c>
      <c r="X715" s="14" t="n">
        <v>1</v>
      </c>
      <c r="Y715" s="14" t="n">
        <v>6.934</v>
      </c>
      <c r="Z715" s="14" t="n">
        <v>0.856</v>
      </c>
      <c r="AA715" s="14" t="n">
        <v>0</v>
      </c>
      <c r="AB715" s="14" t="n">
        <v>6.934</v>
      </c>
      <c r="AC715" s="14" t="n">
        <v>0</v>
      </c>
      <c r="AD715" s="14" t="n">
        <v>1</v>
      </c>
      <c r="AE715" s="14" t="n">
        <v>8.257</v>
      </c>
      <c r="AF715" s="14" t="n">
        <v>1.8</v>
      </c>
      <c r="AG715" s="14" t="n">
        <v>0</v>
      </c>
      <c r="AH715" s="14" t="n">
        <v>8.257</v>
      </c>
      <c r="AI715" s="14" t="n">
        <v>0</v>
      </c>
      <c r="AJ715" s="14" t="n">
        <v>1</v>
      </c>
      <c r="AK715" s="14" t="n">
        <v>16.199</v>
      </c>
      <c r="AL715" s="14" t="n">
        <v>8.404999999999999</v>
      </c>
      <c r="AM715" s="14" t="n">
        <v>0</v>
      </c>
      <c r="AN715" s="14" t="n">
        <v>16.199</v>
      </c>
      <c r="AO715" s="14" t="n">
        <v>0</v>
      </c>
      <c r="AP715" s="14" t="n">
        <v>1</v>
      </c>
      <c r="AQ715" s="14" t="n">
        <v>0.72</v>
      </c>
      <c r="AR715" s="14" t="n">
        <v>0.132</v>
      </c>
      <c r="AS715" s="14" t="n">
        <v>0</v>
      </c>
      <c r="AT715" s="14" t="n">
        <v>0.72</v>
      </c>
      <c r="AU715" s="14" t="n">
        <v>0</v>
      </c>
      <c r="AV715" s="14" t="n">
        <v>1</v>
      </c>
      <c r="AW715" s="14" t="n">
        <v>0.734</v>
      </c>
      <c r="AX715" s="14" t="n">
        <v>0.132</v>
      </c>
      <c r="AY715" s="14" t="n">
        <v>0</v>
      </c>
      <c r="AZ715" s="14" t="n">
        <v>0.734</v>
      </c>
      <c r="BA715" s="14" t="n">
        <v>0</v>
      </c>
      <c r="BB715" s="14" t="n">
        <v>1</v>
      </c>
      <c r="BC715" s="14" t="n">
        <v>0.51</v>
      </c>
      <c r="BD715" s="14" t="n">
        <v>0.132</v>
      </c>
      <c r="BE715" s="14" t="n">
        <v>0</v>
      </c>
      <c r="BF715" s="14" t="n">
        <v>0.51</v>
      </c>
      <c r="BG715" s="14" t="n">
        <v>0</v>
      </c>
      <c r="BH715" s="14" t="n">
        <v>1</v>
      </c>
      <c r="BI715" s="14" t="n">
        <v>0.652</v>
      </c>
      <c r="BJ715" s="14" t="n">
        <v>0.132</v>
      </c>
      <c r="BK715" s="14" t="n">
        <v>0</v>
      </c>
      <c r="BL715" s="14" t="n">
        <v>0.652</v>
      </c>
      <c r="BM715" s="14" t="n">
        <v>0</v>
      </c>
      <c r="BN715" s="14" t="n">
        <v>1</v>
      </c>
      <c r="BO715" s="14" t="n">
        <v>0</v>
      </c>
      <c r="BP715" s="14" t="n">
        <v>0</v>
      </c>
      <c r="BQ715" s="14" t="n">
        <v>0</v>
      </c>
      <c r="BR715" s="14" t="n">
        <v>0</v>
      </c>
      <c r="BS715" s="14" t="n">
        <v>1</v>
      </c>
      <c r="BT715" s="14" t="n">
        <v>0</v>
      </c>
      <c r="BU715" s="14" t="n">
        <v>0</v>
      </c>
      <c r="BV715" s="14" t="n">
        <v>0</v>
      </c>
      <c r="BW715" s="14" t="n">
        <v>0</v>
      </c>
      <c r="BX715" s="14" t="n">
        <v>1</v>
      </c>
      <c r="BY715" s="14" t="n">
        <v>13.646</v>
      </c>
      <c r="BZ715" s="14" t="n">
        <v>0</v>
      </c>
      <c r="CA715" s="14" t="n">
        <v>13.646</v>
      </c>
      <c r="CB715" s="14" t="n">
        <v>0</v>
      </c>
      <c r="CC715" s="14" t="n">
        <v>86.38500000000001</v>
      </c>
      <c r="CD715" s="14" t="n">
        <v>7.95</v>
      </c>
      <c r="CE715" s="14" t="n">
        <v>0</v>
      </c>
      <c r="CF715" s="14" t="n">
        <v>86.38500000000001</v>
      </c>
      <c r="CG715" s="14" t="n">
        <v>0</v>
      </c>
      <c r="CH715" s="14" t="n">
        <v>1</v>
      </c>
      <c r="CI715" s="14" t="n">
        <v>0</v>
      </c>
      <c r="CJ715" s="14" t="n">
        <v>0</v>
      </c>
      <c r="CK715" s="14" t="n">
        <v>0</v>
      </c>
      <c r="CL715" s="14" t="n">
        <v>0</v>
      </c>
      <c r="CM715" s="14" t="n">
        <v>0</v>
      </c>
      <c r="CN715" s="14" t="n">
        <v>0</v>
      </c>
      <c r="CO715" s="14" t="n">
        <v>0</v>
      </c>
      <c r="CP715" s="14" t="n">
        <v>0</v>
      </c>
      <c r="CQ715" s="14" t="n">
        <v>1.387</v>
      </c>
      <c r="CR715" s="14" t="n">
        <v>0</v>
      </c>
      <c r="CS715" s="14" t="n">
        <v>5.529</v>
      </c>
      <c r="CT715" s="14" t="n">
        <v>3.509</v>
      </c>
      <c r="CU715" s="14" t="n">
        <v>10.896</v>
      </c>
    </row>
    <row r="716">
      <c r="A716" s="14" t="inlineStr">
        <is>
          <t>SOM2021</t>
        </is>
      </c>
      <c r="B716" s="14" t="inlineStr">
        <is>
          <t>SOM</t>
        </is>
      </c>
      <c r="C716" s="14" t="inlineStr">
        <is>
          <t>SOM</t>
        </is>
      </c>
      <c r="D716" s="14" t="inlineStr">
        <is>
          <t>Somalia</t>
        </is>
      </c>
      <c r="E716" s="14" t="n">
        <v>2021</v>
      </c>
      <c r="F716" s="14" t="n">
        <v>0</v>
      </c>
      <c r="G716" s="14" t="n">
        <v>5.897</v>
      </c>
      <c r="H716" s="14" t="n">
        <v>1.143</v>
      </c>
      <c r="I716" s="14" t="n">
        <v>0</v>
      </c>
      <c r="J716" s="14" t="n">
        <v>5.897</v>
      </c>
      <c r="K716" s="14" t="n">
        <v>0</v>
      </c>
      <c r="L716" s="14" t="n">
        <v>1</v>
      </c>
      <c r="M716" s="14" t="n">
        <v>7.964</v>
      </c>
      <c r="N716" s="14" t="n">
        <v>3.43</v>
      </c>
      <c r="O716" s="14" t="n">
        <v>0</v>
      </c>
      <c r="P716" s="14" t="n">
        <v>7.964</v>
      </c>
      <c r="Q716" s="14" t="n">
        <v>0</v>
      </c>
      <c r="R716" s="14" t="n">
        <v>1</v>
      </c>
      <c r="S716" s="14" t="n">
        <v>11.613</v>
      </c>
      <c r="T716" s="14" t="n">
        <v>6.86</v>
      </c>
      <c r="U716" s="14" t="n">
        <v>0</v>
      </c>
      <c r="V716" s="14" t="n">
        <v>11.613</v>
      </c>
      <c r="W716" s="14" t="n">
        <v>0</v>
      </c>
      <c r="X716" s="14" t="n">
        <v>1</v>
      </c>
      <c r="Y716" s="14" t="n">
        <v>16.305</v>
      </c>
      <c r="Z716" s="14" t="n">
        <v>2.204</v>
      </c>
      <c r="AA716" s="14" t="n">
        <v>0</v>
      </c>
      <c r="AB716" s="14" t="n">
        <v>16.305</v>
      </c>
      <c r="AC716" s="14" t="n">
        <v>0</v>
      </c>
      <c r="AD716" s="14" t="n">
        <v>1</v>
      </c>
      <c r="AE716" s="14" t="n">
        <v>17.449</v>
      </c>
      <c r="AF716" s="14" t="n">
        <v>4.08</v>
      </c>
      <c r="AG716" s="14" t="n">
        <v>0</v>
      </c>
      <c r="AH716" s="14" t="n">
        <v>17.449</v>
      </c>
      <c r="AI716" s="14" t="n">
        <v>0</v>
      </c>
      <c r="AJ716" s="14" t="n">
        <v>1</v>
      </c>
      <c r="AK716" s="14" t="n">
        <v>24.309</v>
      </c>
      <c r="AL716" s="14" t="n">
        <v>12.947</v>
      </c>
      <c r="AM716" s="14" t="n">
        <v>0</v>
      </c>
      <c r="AN716" s="14" t="n">
        <v>24.309</v>
      </c>
      <c r="AO716" s="14" t="n">
        <v>0</v>
      </c>
      <c r="AP716" s="14" t="n">
        <v>1</v>
      </c>
      <c r="AQ716" s="14" t="n">
        <v>0.619</v>
      </c>
      <c r="AR716" s="14" t="n">
        <v>0.114</v>
      </c>
      <c r="AS716" s="14" t="n">
        <v>0.287</v>
      </c>
      <c r="AT716" s="14" t="n">
        <v>0.906</v>
      </c>
      <c r="AU716" s="14" t="n">
        <v>0</v>
      </c>
      <c r="AV716" s="14" t="n">
        <v>1</v>
      </c>
      <c r="AW716" s="14" t="n">
        <v>0.599</v>
      </c>
      <c r="AX716" s="14" t="n">
        <v>0.114</v>
      </c>
      <c r="AY716" s="14" t="n">
        <v>0.016</v>
      </c>
      <c r="AZ716" s="14" t="n">
        <v>0.616</v>
      </c>
      <c r="BA716" s="14" t="n">
        <v>0</v>
      </c>
      <c r="BB716" s="14" t="n">
        <v>0</v>
      </c>
      <c r="BC716" s="14" t="n">
        <v>0.439</v>
      </c>
      <c r="BD716" s="14" t="n">
        <v>0.114</v>
      </c>
      <c r="BE716" s="14" t="n">
        <v>0</v>
      </c>
      <c r="BF716" s="14" t="n">
        <v>0.439</v>
      </c>
      <c r="BG716" s="14" t="n">
        <v>0</v>
      </c>
      <c r="BH716" s="14" t="n">
        <v>1</v>
      </c>
      <c r="BI716" s="14" t="n">
        <v>0.505</v>
      </c>
      <c r="BJ716" s="14" t="n">
        <v>0.114</v>
      </c>
      <c r="BK716" s="14" t="n">
        <v>0.531</v>
      </c>
      <c r="BL716" s="14" t="n">
        <v>1.036</v>
      </c>
      <c r="BM716" s="14" t="n">
        <v>0</v>
      </c>
      <c r="BN716" s="14" t="n">
        <v>1</v>
      </c>
      <c r="BO716" s="14" t="n">
        <v>0</v>
      </c>
      <c r="BP716" s="14" t="n">
        <v>0</v>
      </c>
      <c r="BQ716" s="14" t="n">
        <v>0.079</v>
      </c>
      <c r="BR716" s="14" t="n">
        <v>0</v>
      </c>
      <c r="BS716" s="14" t="n">
        <v>0.667</v>
      </c>
      <c r="BT716" s="14" t="n">
        <v>0</v>
      </c>
      <c r="BU716" s="14" t="n">
        <v>0</v>
      </c>
      <c r="BV716" s="14" t="n">
        <v>0.079</v>
      </c>
      <c r="BW716" s="14" t="n">
        <v>0</v>
      </c>
      <c r="BX716" s="14" t="n">
        <v>0.667</v>
      </c>
      <c r="BY716" s="14" t="n">
        <v>11.787</v>
      </c>
      <c r="BZ716" s="14" t="n">
        <v>0</v>
      </c>
      <c r="CA716" s="14" t="n">
        <v>11.787</v>
      </c>
      <c r="CB716" s="14" t="n">
        <v>0</v>
      </c>
      <c r="CC716" s="14" t="n">
        <v>78.125</v>
      </c>
      <c r="CD716" s="14" t="n">
        <v>7.95</v>
      </c>
      <c r="CE716" s="14" t="n">
        <v>0</v>
      </c>
      <c r="CF716" s="14" t="n">
        <v>78.125</v>
      </c>
      <c r="CG716" s="14" t="n">
        <v>0</v>
      </c>
      <c r="CH716" s="14" t="n">
        <v>1</v>
      </c>
      <c r="CI716" s="14" t="n">
        <v>0</v>
      </c>
      <c r="CJ716" s="14" t="n">
        <v>0</v>
      </c>
      <c r="CK716" s="14" t="n">
        <v>0</v>
      </c>
      <c r="CL716" s="14" t="n">
        <v>0</v>
      </c>
      <c r="CM716" s="14" t="n">
        <v>0</v>
      </c>
      <c r="CN716" s="14" t="n">
        <v>0</v>
      </c>
      <c r="CO716" s="14" t="n">
        <v>0</v>
      </c>
      <c r="CP716" s="14" t="n">
        <v>0</v>
      </c>
      <c r="CQ716" s="14" t="n">
        <v>1.198</v>
      </c>
      <c r="CR716" s="14" t="n">
        <v>0</v>
      </c>
      <c r="CS716" s="14" t="n">
        <v>3.908</v>
      </c>
      <c r="CT716" s="14" t="n">
        <v>4.753</v>
      </c>
      <c r="CU716" s="14" t="n">
        <v>15.162</v>
      </c>
    </row>
    <row r="717">
      <c r="A717" s="14" t="inlineStr">
        <is>
          <t>SOM2022</t>
        </is>
      </c>
      <c r="B717" s="14" t="inlineStr">
        <is>
          <t>SOM</t>
        </is>
      </c>
      <c r="C717" s="14" t="inlineStr">
        <is>
          <t>SOM</t>
        </is>
      </c>
      <c r="D717" s="14" t="inlineStr">
        <is>
          <t>Somalia</t>
        </is>
      </c>
      <c r="E717" s="14" t="n">
        <v>2022</v>
      </c>
      <c r="F717" s="14" t="n">
        <v>0</v>
      </c>
      <c r="G717" s="14" t="n">
        <v>11.72</v>
      </c>
      <c r="H717" s="14" t="n">
        <v>1.235</v>
      </c>
      <c r="I717" s="14" t="n">
        <v>0</v>
      </c>
      <c r="J717" s="14" t="n">
        <v>11.72</v>
      </c>
      <c r="K717" s="14" t="n">
        <v>0</v>
      </c>
      <c r="L717" s="14" t="n">
        <v>1</v>
      </c>
      <c r="M717" s="14" t="n">
        <v>9.782999999999999</v>
      </c>
      <c r="N717" s="14" t="n">
        <v>3.704</v>
      </c>
      <c r="O717" s="14" t="n">
        <v>0</v>
      </c>
      <c r="P717" s="14" t="n">
        <v>9.782999999999999</v>
      </c>
      <c r="Q717" s="14" t="n">
        <v>0</v>
      </c>
      <c r="R717" s="14" t="n">
        <v>1</v>
      </c>
      <c r="S717" s="14" t="n">
        <v>17.893</v>
      </c>
      <c r="T717" s="14" t="n">
        <v>7.408</v>
      </c>
      <c r="U717" s="14" t="n">
        <v>0</v>
      </c>
      <c r="V717" s="14" t="n">
        <v>17.893</v>
      </c>
      <c r="W717" s="14" t="n">
        <v>0</v>
      </c>
      <c r="X717" s="14" t="n">
        <v>1</v>
      </c>
      <c r="Y717" s="14" t="n">
        <v>32.56</v>
      </c>
      <c r="Z717" s="14" t="n">
        <v>4.401</v>
      </c>
      <c r="AA717" s="14" t="n">
        <v>0</v>
      </c>
      <c r="AB717" s="14" t="n">
        <v>32.56</v>
      </c>
      <c r="AC717" s="14" t="n">
        <v>0</v>
      </c>
      <c r="AD717" s="14" t="n">
        <v>1</v>
      </c>
      <c r="AE717" s="14" t="n">
        <v>33.795</v>
      </c>
      <c r="AF717" s="14" t="n">
        <v>7.902</v>
      </c>
      <c r="AG717" s="14" t="n">
        <v>0</v>
      </c>
      <c r="AH717" s="14" t="n">
        <v>33.795</v>
      </c>
      <c r="AI717" s="14" t="n">
        <v>0</v>
      </c>
      <c r="AJ717" s="14" t="n">
        <v>1</v>
      </c>
      <c r="AK717" s="14" t="n">
        <v>41.203</v>
      </c>
      <c r="AL717" s="14" t="n">
        <v>21.945</v>
      </c>
      <c r="AM717" s="14" t="n">
        <v>0</v>
      </c>
      <c r="AN717" s="14" t="n">
        <v>41.203</v>
      </c>
      <c r="AO717" s="14" t="n">
        <v>0</v>
      </c>
      <c r="AP717" s="14" t="n">
        <v>1</v>
      </c>
      <c r="AQ717" s="14" t="n">
        <v>0.861</v>
      </c>
      <c r="AR717" s="14" t="n">
        <v>0.123</v>
      </c>
      <c r="AS717" s="14" t="n">
        <v>0.366</v>
      </c>
      <c r="AT717" s="14" t="n">
        <v>1.228</v>
      </c>
      <c r="AU717" s="14" t="n">
        <v>0</v>
      </c>
      <c r="AV717" s="14" t="n">
        <v>1</v>
      </c>
      <c r="AW717" s="14" t="n">
        <v>0.986</v>
      </c>
      <c r="AX717" s="14" t="n">
        <v>0.123</v>
      </c>
      <c r="AY717" s="14" t="n">
        <v>-0.389</v>
      </c>
      <c r="AZ717" s="14" t="n">
        <v>0.598</v>
      </c>
      <c r="BA717" s="14" t="n">
        <v>0</v>
      </c>
      <c r="BB717" s="14" t="n">
        <v>0</v>
      </c>
      <c r="BC717" s="14" t="n">
        <v>0.598</v>
      </c>
      <c r="BD717" s="14" t="n">
        <v>0.123</v>
      </c>
      <c r="BE717" s="14" t="n">
        <v>0</v>
      </c>
      <c r="BF717" s="14" t="n">
        <v>0.598</v>
      </c>
      <c r="BG717" s="14" t="n">
        <v>0</v>
      </c>
      <c r="BH717" s="14" t="n">
        <v>1</v>
      </c>
      <c r="BI717" s="14" t="n">
        <v>0.612</v>
      </c>
      <c r="BJ717" s="14" t="n">
        <v>0.123</v>
      </c>
      <c r="BK717" s="14" t="n">
        <v>0.393</v>
      </c>
      <c r="BL717" s="14" t="n">
        <v>1.005</v>
      </c>
      <c r="BM717" s="14" t="n">
        <v>0</v>
      </c>
      <c r="BN717" s="14" t="n">
        <v>1</v>
      </c>
      <c r="BO717" s="14" t="n">
        <v>0</v>
      </c>
      <c r="BP717" s="14" t="n">
        <v>0</v>
      </c>
      <c r="BQ717" s="14" t="n">
        <v>0.079</v>
      </c>
      <c r="BR717" s="14" t="n">
        <v>0</v>
      </c>
      <c r="BS717" s="14" t="n">
        <v>0.667</v>
      </c>
      <c r="BT717" s="14" t="n">
        <v>0</v>
      </c>
      <c r="BU717" s="14" t="n">
        <v>0</v>
      </c>
      <c r="BV717" s="14" t="n">
        <v>0.079</v>
      </c>
      <c r="BW717" s="14" t="n">
        <v>0</v>
      </c>
      <c r="BX717" s="14" t="n">
        <v>0.667</v>
      </c>
      <c r="BY717" s="14" t="n">
        <v>12.729</v>
      </c>
      <c r="BZ717" s="14" t="n">
        <v>0</v>
      </c>
      <c r="CA717" s="14" t="n">
        <v>12.729</v>
      </c>
      <c r="CB717" s="14" t="n">
        <v>0</v>
      </c>
      <c r="CC717" s="14" t="n">
        <v>97.90000000000001</v>
      </c>
      <c r="CD717" s="14" t="n">
        <v>7.95</v>
      </c>
      <c r="CE717" s="14" t="n">
        <v>0</v>
      </c>
      <c r="CF717" s="14" t="n">
        <v>97.90000000000001</v>
      </c>
      <c r="CG717" s="14" t="n">
        <v>0</v>
      </c>
      <c r="CH717" s="14" t="n">
        <v>1</v>
      </c>
      <c r="CI717" s="14" t="n">
        <v>0</v>
      </c>
      <c r="CJ717" s="14" t="n">
        <v>0</v>
      </c>
      <c r="CK717" s="14" t="n">
        <v>0</v>
      </c>
      <c r="CL717" s="14" t="n">
        <v>0</v>
      </c>
      <c r="CM717" s="14" t="n">
        <v>0</v>
      </c>
      <c r="CN717" s="14" t="n">
        <v>0</v>
      </c>
      <c r="CO717" s="14" t="n">
        <v>0</v>
      </c>
      <c r="CP717" s="14" t="n">
        <v>0</v>
      </c>
      <c r="CQ717" s="14" t="n">
        <v>1.294</v>
      </c>
      <c r="CR717" s="14" t="n">
        <v>0</v>
      </c>
      <c r="CS717" s="14" t="n">
        <v>4.221</v>
      </c>
      <c r="CT717" s="14" t="n">
        <v>10.485</v>
      </c>
      <c r="CU717" s="14" t="n">
        <v>31.326</v>
      </c>
    </row>
    <row r="718">
      <c r="A718" s="14" t="inlineStr">
        <is>
          <t>SOM2023</t>
        </is>
      </c>
      <c r="B718" s="14" t="inlineStr">
        <is>
          <t>SOM</t>
        </is>
      </c>
      <c r="C718" s="14" t="inlineStr">
        <is>
          <t>SOM</t>
        </is>
      </c>
      <c r="D718" s="14" t="inlineStr">
        <is>
          <t>Somalia</t>
        </is>
      </c>
      <c r="E718" s="14" t="n">
        <v>2023</v>
      </c>
      <c r="F718" s="14" t="n">
        <v>0</v>
      </c>
      <c r="G718" s="14" t="n">
        <v>6.147</v>
      </c>
      <c r="H718" s="14" t="n">
        <v>1.286</v>
      </c>
      <c r="I718" s="14" t="n">
        <v>0</v>
      </c>
      <c r="J718" s="14" t="n">
        <v>6.147</v>
      </c>
      <c r="K718" s="14" t="n">
        <v>0</v>
      </c>
      <c r="L718" s="14" t="n">
        <v>1</v>
      </c>
      <c r="M718" s="14" t="n">
        <v>7.886</v>
      </c>
      <c r="N718" s="14" t="n">
        <v>3.857</v>
      </c>
      <c r="O718" s="14" t="n">
        <v>0</v>
      </c>
      <c r="P718" s="14" t="n">
        <v>7.886</v>
      </c>
      <c r="Q718" s="14" t="n">
        <v>0</v>
      </c>
      <c r="R718" s="14" t="n">
        <v>1</v>
      </c>
      <c r="S718" s="14" t="n">
        <v>12.575</v>
      </c>
      <c r="T718" s="14" t="n">
        <v>7.714</v>
      </c>
      <c r="U718" s="14" t="n">
        <v>0</v>
      </c>
      <c r="V718" s="14" t="n">
        <v>12.575</v>
      </c>
      <c r="W718" s="14" t="n">
        <v>0</v>
      </c>
      <c r="X718" s="14" t="n">
        <v>1</v>
      </c>
      <c r="Y718" s="14" t="n">
        <v>12.908</v>
      </c>
      <c r="Z718" s="14" t="n">
        <v>1.745</v>
      </c>
      <c r="AA718" s="14" t="n">
        <v>0</v>
      </c>
      <c r="AB718" s="14" t="n">
        <v>12.908</v>
      </c>
      <c r="AC718" s="14" t="n">
        <v>0</v>
      </c>
      <c r="AD718" s="14" t="n">
        <v>1</v>
      </c>
      <c r="AE718" s="14" t="n">
        <v>14.194</v>
      </c>
      <c r="AF718" s="14" t="n">
        <v>3.319</v>
      </c>
      <c r="AG718" s="14" t="n">
        <v>0</v>
      </c>
      <c r="AH718" s="14" t="n">
        <v>14.194</v>
      </c>
      <c r="AI718" s="14" t="n">
        <v>0</v>
      </c>
      <c r="AJ718" s="14" t="n">
        <v>1</v>
      </c>
      <c r="AK718" s="14" t="n">
        <v>21.908</v>
      </c>
      <c r="AL718" s="14" t="n">
        <v>11.668</v>
      </c>
      <c r="AM718" s="14" t="n">
        <v>0</v>
      </c>
      <c r="AN718" s="14" t="n">
        <v>21.908</v>
      </c>
      <c r="AO718" s="14" t="n">
        <v>0</v>
      </c>
      <c r="AP718" s="14" t="n">
        <v>1</v>
      </c>
      <c r="AQ718" s="14" t="n">
        <v>0.76</v>
      </c>
      <c r="AR718" s="14" t="n">
        <v>0.129</v>
      </c>
      <c r="AS718" s="14" t="n">
        <v>0.437</v>
      </c>
      <c r="AT718" s="14" t="n">
        <v>1.197</v>
      </c>
      <c r="AU718" s="14" t="n">
        <v>0</v>
      </c>
      <c r="AV718" s="14" t="n">
        <v>1</v>
      </c>
      <c r="AW718" s="14" t="n">
        <v>0.8110000000000001</v>
      </c>
      <c r="AX718" s="14" t="n">
        <v>0.129</v>
      </c>
      <c r="AY718" s="14" t="n">
        <v>-0.221</v>
      </c>
      <c r="AZ718" s="14" t="n">
        <v>0.59</v>
      </c>
      <c r="BA718" s="14" t="n">
        <v>0</v>
      </c>
      <c r="BB718" s="14" t="n">
        <v>0</v>
      </c>
      <c r="BC718" s="14" t="n">
        <v>0.535</v>
      </c>
      <c r="BD718" s="14" t="n">
        <v>0.129</v>
      </c>
      <c r="BE718" s="14" t="n">
        <v>0</v>
      </c>
      <c r="BF718" s="14" t="n">
        <v>0.535</v>
      </c>
      <c r="BG718" s="14" t="n">
        <v>0</v>
      </c>
      <c r="BH718" s="14" t="n">
        <v>1</v>
      </c>
      <c r="BI718" s="14" t="n">
        <v>0.579</v>
      </c>
      <c r="BJ718" s="14" t="n">
        <v>0.129</v>
      </c>
      <c r="BK718" s="14" t="n">
        <v>0.413</v>
      </c>
      <c r="BL718" s="14" t="n">
        <v>0.992</v>
      </c>
      <c r="BM718" s="14" t="n">
        <v>0</v>
      </c>
      <c r="BN718" s="14" t="n">
        <v>1</v>
      </c>
      <c r="BO718" s="14" t="n">
        <v>0</v>
      </c>
      <c r="BP718" s="14" t="n">
        <v>0</v>
      </c>
      <c r="BQ718" s="14" t="n">
        <v>0.08</v>
      </c>
      <c r="BR718" s="14" t="n">
        <v>0</v>
      </c>
      <c r="BS718" s="14" t="n">
        <v>0.667</v>
      </c>
      <c r="BT718" s="14" t="n">
        <v>0</v>
      </c>
      <c r="BU718" s="14" t="n">
        <v>0</v>
      </c>
      <c r="BV718" s="14" t="n">
        <v>0.08</v>
      </c>
      <c r="BW718" s="14" t="n">
        <v>0</v>
      </c>
      <c r="BX718" s="14" t="n">
        <v>0.667</v>
      </c>
      <c r="BY718" s="14" t="n">
        <v>13.254</v>
      </c>
      <c r="BZ718" s="14" t="n">
        <v>0</v>
      </c>
      <c r="CA718" s="14" t="n">
        <v>13.254</v>
      </c>
      <c r="CB718" s="14" t="n">
        <v>0</v>
      </c>
      <c r="CC718" s="14" t="n">
        <v>83.248</v>
      </c>
      <c r="CD718" s="14" t="n">
        <v>7.95</v>
      </c>
      <c r="CE718" s="14" t="n">
        <v>0</v>
      </c>
      <c r="CF718" s="14" t="n">
        <v>83.248</v>
      </c>
      <c r="CG718" s="14" t="n">
        <v>0</v>
      </c>
      <c r="CH718" s="14" t="n">
        <v>1</v>
      </c>
      <c r="CI718" s="14" t="n">
        <v>0</v>
      </c>
      <c r="CJ718" s="14" t="n">
        <v>0</v>
      </c>
      <c r="CK718" s="14" t="n">
        <v>0</v>
      </c>
      <c r="CL718" s="14" t="n">
        <v>0</v>
      </c>
      <c r="CM718" s="14" t="n">
        <v>0</v>
      </c>
      <c r="CN718" s="14" t="n">
        <v>0</v>
      </c>
      <c r="CO718" s="14" t="n">
        <v>0</v>
      </c>
      <c r="CP718" s="14" t="n">
        <v>0</v>
      </c>
      <c r="CQ718" s="14" t="n">
        <v>1.348</v>
      </c>
      <c r="CR718" s="14" t="n">
        <v>0</v>
      </c>
      <c r="CS718" s="14" t="n">
        <v>4.395</v>
      </c>
      <c r="CT718" s="14" t="n">
        <v>4.861</v>
      </c>
      <c r="CU718" s="14" t="n">
        <v>11.622</v>
      </c>
    </row>
    <row r="719">
      <c r="A719" s="14" t="inlineStr">
        <is>
          <t>SOM2024</t>
        </is>
      </c>
      <c r="B719" s="14" t="inlineStr">
        <is>
          <t>SOM</t>
        </is>
      </c>
      <c r="C719" s="14" t="inlineStr">
        <is>
          <t>SOM</t>
        </is>
      </c>
      <c r="D719" s="14" t="inlineStr">
        <is>
          <t>Somalia</t>
        </is>
      </c>
      <c r="E719" s="14" t="n">
        <v>2024</v>
      </c>
      <c r="F719" s="14" t="n">
        <v>0</v>
      </c>
      <c r="G719" s="14" t="n">
        <v>5.575</v>
      </c>
      <c r="H719" s="14" t="n">
        <v>1.324</v>
      </c>
      <c r="I719" s="14" t="n">
        <v>0</v>
      </c>
      <c r="J719" s="14" t="n">
        <v>5.575</v>
      </c>
      <c r="K719" s="14" t="n">
        <v>0</v>
      </c>
      <c r="L719" s="14" t="n">
        <v>1</v>
      </c>
      <c r="M719" s="14" t="n">
        <v>7.124</v>
      </c>
      <c r="N719" s="14" t="n">
        <v>3.971</v>
      </c>
      <c r="O719" s="14" t="n">
        <v>0</v>
      </c>
      <c r="P719" s="14" t="n">
        <v>7.124</v>
      </c>
      <c r="Q719" s="14" t="n">
        <v>0</v>
      </c>
      <c r="R719" s="14" t="n">
        <v>1</v>
      </c>
      <c r="S719" s="14" t="n">
        <v>12.193</v>
      </c>
      <c r="T719" s="14" t="n">
        <v>7.942</v>
      </c>
      <c r="U719" s="14" t="n">
        <v>0</v>
      </c>
      <c r="V719" s="14" t="n">
        <v>12.193</v>
      </c>
      <c r="W719" s="14" t="n">
        <v>0</v>
      </c>
      <c r="X719" s="14" t="n">
        <v>1</v>
      </c>
      <c r="Y719" s="14" t="n">
        <v>11.492</v>
      </c>
      <c r="Z719" s="14" t="n">
        <v>1.553</v>
      </c>
      <c r="AA719" s="14" t="n">
        <v>0</v>
      </c>
      <c r="AB719" s="14" t="n">
        <v>11.492</v>
      </c>
      <c r="AC719" s="14" t="n">
        <v>0</v>
      </c>
      <c r="AD719" s="14" t="n">
        <v>1</v>
      </c>
      <c r="AE719" s="14" t="n">
        <v>12.815</v>
      </c>
      <c r="AF719" s="14" t="n">
        <v>2.997</v>
      </c>
      <c r="AG719" s="14" t="n">
        <v>0</v>
      </c>
      <c r="AH719" s="14" t="n">
        <v>12.815</v>
      </c>
      <c r="AI719" s="14" t="n">
        <v>0</v>
      </c>
      <c r="AJ719" s="14" t="n">
        <v>1</v>
      </c>
      <c r="AK719" s="14" t="n">
        <v>20.757</v>
      </c>
      <c r="AL719" s="14" t="n">
        <v>11.055</v>
      </c>
      <c r="AM719" s="14" t="n">
        <v>0</v>
      </c>
      <c r="AN719" s="14" t="n">
        <v>20.757</v>
      </c>
      <c r="AO719" s="14" t="n">
        <v>0</v>
      </c>
      <c r="AP719" s="14" t="n">
        <v>1</v>
      </c>
      <c r="AQ719" s="14" t="n">
        <v>0.724</v>
      </c>
      <c r="AR719" s="14" t="n">
        <v>0.132</v>
      </c>
      <c r="AS719" s="14" t="n">
        <v>0.397</v>
      </c>
      <c r="AT719" s="14" t="n">
        <v>1.121</v>
      </c>
      <c r="AU719" s="14" t="n">
        <v>0</v>
      </c>
      <c r="AV719" s="14" t="n">
        <v>1</v>
      </c>
      <c r="AW719" s="14" t="n">
        <v>0.75</v>
      </c>
      <c r="AX719" s="14" t="n">
        <v>0.132</v>
      </c>
      <c r="AY719" s="14" t="n">
        <v>-0.18</v>
      </c>
      <c r="AZ719" s="14" t="n">
        <v>0.57</v>
      </c>
      <c r="BA719" s="14" t="n">
        <v>0</v>
      </c>
      <c r="BB719" s="14" t="n">
        <v>0</v>
      </c>
      <c r="BC719" s="14" t="n">
        <v>0.513</v>
      </c>
      <c r="BD719" s="14" t="n">
        <v>0.132</v>
      </c>
      <c r="BE719" s="14" t="n">
        <v>0</v>
      </c>
      <c r="BF719" s="14" t="n">
        <v>0.513</v>
      </c>
      <c r="BG719" s="14" t="n">
        <v>0</v>
      </c>
      <c r="BH719" s="14" t="n">
        <v>1</v>
      </c>
      <c r="BI719" s="14" t="n">
        <v>0.591</v>
      </c>
      <c r="BJ719" s="14" t="n">
        <v>0.132</v>
      </c>
      <c r="BK719" s="14" t="n">
        <v>0.368</v>
      </c>
      <c r="BL719" s="14" t="n">
        <v>0.959</v>
      </c>
      <c r="BM719" s="14" t="n">
        <v>0</v>
      </c>
      <c r="BN719" s="14" t="n">
        <v>1</v>
      </c>
      <c r="BO719" s="14" t="n">
        <v>0</v>
      </c>
      <c r="BP719" s="14" t="n">
        <v>0</v>
      </c>
      <c r="BQ719" s="14" t="n">
        <v>0.082</v>
      </c>
      <c r="BR719" s="14" t="n">
        <v>0</v>
      </c>
      <c r="BS719" s="14" t="n">
        <v>0.667</v>
      </c>
      <c r="BT719" s="14" t="n">
        <v>0</v>
      </c>
      <c r="BU719" s="14" t="n">
        <v>0</v>
      </c>
      <c r="BV719" s="14" t="n">
        <v>0.082</v>
      </c>
      <c r="BW719" s="14" t="n">
        <v>0</v>
      </c>
      <c r="BX719" s="14" t="n">
        <v>0.667</v>
      </c>
      <c r="BY719" s="14" t="n">
        <v>13.646</v>
      </c>
      <c r="BZ719" s="14" t="n">
        <v>0</v>
      </c>
      <c r="CA719" s="14" t="n">
        <v>13.646</v>
      </c>
      <c r="CB719" s="14" t="n">
        <v>0</v>
      </c>
      <c r="CC719" s="14" t="n">
        <v>82.58799999999999</v>
      </c>
      <c r="CD719" s="14" t="n">
        <v>7.95</v>
      </c>
      <c r="CE719" s="14" t="n">
        <v>0</v>
      </c>
      <c r="CF719" s="14" t="n">
        <v>82.58799999999999</v>
      </c>
      <c r="CG719" s="14" t="n">
        <v>0</v>
      </c>
      <c r="CH719" s="14" t="n">
        <v>1</v>
      </c>
      <c r="CI719" s="14" t="n">
        <v>0</v>
      </c>
      <c r="CJ719" s="14" t="n">
        <v>0</v>
      </c>
      <c r="CK719" s="14" t="n">
        <v>0</v>
      </c>
      <c r="CL719" s="14" t="n">
        <v>0</v>
      </c>
      <c r="CM719" s="14" t="n">
        <v>0</v>
      </c>
      <c r="CN719" s="14" t="n">
        <v>0</v>
      </c>
      <c r="CO719" s="14" t="n">
        <v>0</v>
      </c>
      <c r="CP719" s="14" t="n">
        <v>0</v>
      </c>
      <c r="CQ719" s="14" t="n">
        <v>1.387</v>
      </c>
      <c r="CR719" s="14" t="n">
        <v>0</v>
      </c>
      <c r="CS719" s="14" t="n">
        <v>4.525</v>
      </c>
      <c r="CT719" s="14" t="n">
        <v>4.251</v>
      </c>
      <c r="CU719" s="14" t="n">
        <v>10.168</v>
      </c>
    </row>
    <row r="720">
      <c r="A720" s="14" t="inlineStr">
        <is>
          <t>ZAF2021</t>
        </is>
      </c>
      <c r="B720" s="14" t="inlineStr">
        <is>
          <t>ZAF</t>
        </is>
      </c>
      <c r="C720" s="14" t="inlineStr">
        <is>
          <t>ZAF</t>
        </is>
      </c>
      <c r="D720" s="14" t="inlineStr">
        <is>
          <t>South Africa</t>
        </is>
      </c>
      <c r="E720" s="14" t="n">
        <v>2021</v>
      </c>
      <c r="F720" s="14" t="n">
        <v>0.15</v>
      </c>
      <c r="G720" s="14" t="n">
        <v>1.909</v>
      </c>
      <c r="H720" s="14" t="n">
        <v>0.583</v>
      </c>
      <c r="I720" s="14" t="n">
        <v>0.492</v>
      </c>
      <c r="J720" s="14" t="n">
        <v>2.401</v>
      </c>
      <c r="K720" s="14" t="n">
        <v>0</v>
      </c>
      <c r="L720" s="14" t="n">
        <v>1</v>
      </c>
      <c r="M720" s="14" t="n">
        <v>1.91</v>
      </c>
      <c r="N720" s="14" t="n">
        <v>0.583</v>
      </c>
      <c r="O720" s="14" t="n">
        <v>0.492</v>
      </c>
      <c r="P720" s="14" t="n">
        <v>2.402</v>
      </c>
      <c r="Q720" s="14" t="n">
        <v>0</v>
      </c>
      <c r="R720" s="14" t="n">
        <v>1</v>
      </c>
      <c r="S720" s="14" t="n">
        <v>4.242</v>
      </c>
      <c r="T720" s="14" t="n">
        <v>2.916</v>
      </c>
      <c r="U720" s="14" t="n">
        <v>0.492</v>
      </c>
      <c r="V720" s="14" t="n">
        <v>5.444</v>
      </c>
      <c r="W720" s="14" t="n">
        <v>0.15</v>
      </c>
      <c r="X720" s="14" t="n">
        <v>1</v>
      </c>
      <c r="Y720" s="14" t="n">
        <v>8.449</v>
      </c>
      <c r="Z720" s="14" t="n">
        <v>1.929</v>
      </c>
      <c r="AA720" s="14" t="n">
        <v>0.291</v>
      </c>
      <c r="AB720" s="14" t="n">
        <v>8.741</v>
      </c>
      <c r="AC720" s="14" t="n">
        <v>0</v>
      </c>
      <c r="AD720" s="14" t="n">
        <v>1</v>
      </c>
      <c r="AE720" s="14" t="n">
        <v>9.59</v>
      </c>
      <c r="AF720" s="14" t="n">
        <v>3.496</v>
      </c>
      <c r="AG720" s="14" t="n">
        <v>0.291</v>
      </c>
      <c r="AH720" s="14" t="n">
        <v>9.881</v>
      </c>
      <c r="AI720" s="14" t="n">
        <v>0</v>
      </c>
      <c r="AJ720" s="14" t="n">
        <v>1</v>
      </c>
      <c r="AK720" s="14" t="n">
        <v>16.434</v>
      </c>
      <c r="AL720" s="14" t="n">
        <v>11.189</v>
      </c>
      <c r="AM720" s="14" t="n">
        <v>0.291</v>
      </c>
      <c r="AN720" s="14" t="n">
        <v>19.234</v>
      </c>
      <c r="AO720" s="14" t="n">
        <v>0.15</v>
      </c>
      <c r="AP720" s="14" t="n">
        <v>1</v>
      </c>
      <c r="AQ720" s="14" t="n">
        <v>0.619</v>
      </c>
      <c r="AR720" s="14" t="n">
        <v>0.114</v>
      </c>
      <c r="AS720" s="14" t="n">
        <v>0.414</v>
      </c>
      <c r="AT720" s="14" t="n">
        <v>1.033</v>
      </c>
      <c r="AU720" s="14" t="n">
        <v>0</v>
      </c>
      <c r="AV720" s="14" t="n">
        <v>1</v>
      </c>
      <c r="AW720" s="14" t="n">
        <v>0.599</v>
      </c>
      <c r="AX720" s="14" t="n">
        <v>0.114</v>
      </c>
      <c r="AY720" s="14" t="n">
        <v>0.301</v>
      </c>
      <c r="AZ720" s="14" t="n">
        <v>0.9</v>
      </c>
      <c r="BA720" s="14" t="n">
        <v>0</v>
      </c>
      <c r="BB720" s="14" t="n">
        <v>1</v>
      </c>
      <c r="BC720" s="14" t="n">
        <v>0.439</v>
      </c>
      <c r="BD720" s="14" t="n">
        <v>0.114</v>
      </c>
      <c r="BE720" s="14" t="n">
        <v>0.398</v>
      </c>
      <c r="BF720" s="14" t="n">
        <v>0.963</v>
      </c>
      <c r="BG720" s="14" t="n">
        <v>0.15</v>
      </c>
      <c r="BH720" s="14" t="n">
        <v>1</v>
      </c>
      <c r="BI720" s="14" t="n">
        <v>0.505</v>
      </c>
      <c r="BJ720" s="14" t="n">
        <v>0.114</v>
      </c>
      <c r="BK720" s="14" t="n">
        <v>-0.061</v>
      </c>
      <c r="BL720" s="14" t="n">
        <v>0.51</v>
      </c>
      <c r="BM720" s="14" t="n">
        <v>0.15</v>
      </c>
      <c r="BN720" s="14" t="n">
        <v>1</v>
      </c>
      <c r="BO720" s="14" t="n">
        <v>0</v>
      </c>
      <c r="BP720" s="14" t="n">
        <v>-0.001</v>
      </c>
      <c r="BQ720" s="14" t="n">
        <v>0.049</v>
      </c>
      <c r="BR720" s="14" t="n">
        <v>0</v>
      </c>
      <c r="BS720" s="14" t="n">
        <v>1</v>
      </c>
      <c r="BT720" s="14" t="n">
        <v>0</v>
      </c>
      <c r="BU720" s="14" t="n">
        <v>-0.001</v>
      </c>
      <c r="BV720" s="14" t="n">
        <v>0.173</v>
      </c>
      <c r="BW720" s="14" t="n">
        <v>0.15</v>
      </c>
      <c r="BX720" s="14" t="n">
        <v>1</v>
      </c>
      <c r="BY720" s="14" t="n">
        <v>11.787</v>
      </c>
      <c r="BZ720" s="14" t="n">
        <v>0</v>
      </c>
      <c r="CA720" s="14" t="n">
        <v>11.787</v>
      </c>
      <c r="CB720" s="14" t="n">
        <v>0</v>
      </c>
      <c r="CC720" s="14" t="n">
        <v>78.125</v>
      </c>
      <c r="CD720" s="14" t="n">
        <v>7.95</v>
      </c>
      <c r="CE720" s="14" t="n">
        <v>7.269</v>
      </c>
      <c r="CF720" s="14" t="n">
        <v>98.203</v>
      </c>
      <c r="CG720" s="14" t="n">
        <v>0.15</v>
      </c>
      <c r="CH720" s="14" t="n">
        <v>1</v>
      </c>
      <c r="CI720" s="14" t="n">
        <v>0</v>
      </c>
      <c r="CJ720" s="14" t="n">
        <v>0</v>
      </c>
      <c r="CK720" s="14" t="n">
        <v>0</v>
      </c>
      <c r="CL720" s="14" t="n">
        <v>0</v>
      </c>
      <c r="CM720" s="14" t="n">
        <v>0</v>
      </c>
      <c r="CN720" s="14" t="n">
        <v>0</v>
      </c>
      <c r="CO720" s="14" t="n">
        <v>0</v>
      </c>
      <c r="CP720" s="14" t="n">
        <v>0.98</v>
      </c>
      <c r="CQ720" s="14" t="n">
        <v>1.25</v>
      </c>
      <c r="CR720" s="14" t="n">
        <v>0.005</v>
      </c>
      <c r="CS720" s="14" t="n">
        <v>7.309</v>
      </c>
      <c r="CT720" s="14" t="n">
        <v>4.998</v>
      </c>
      <c r="CU720" s="14" t="n">
        <v>7.309</v>
      </c>
    </row>
    <row r="721">
      <c r="A721" s="14" t="inlineStr">
        <is>
          <t>ZAF2022</t>
        </is>
      </c>
      <c r="B721" s="14" t="inlineStr">
        <is>
          <t>ZAF</t>
        </is>
      </c>
      <c r="C721" s="14" t="inlineStr">
        <is>
          <t>ZAF</t>
        </is>
      </c>
      <c r="D721" s="14" t="inlineStr">
        <is>
          <t>South Africa</t>
        </is>
      </c>
      <c r="E721" s="14" t="n">
        <v>2022</v>
      </c>
      <c r="F721" s="14" t="n">
        <v>0.15</v>
      </c>
      <c r="G721" s="14" t="n">
        <v>2.11</v>
      </c>
      <c r="H721" s="14" t="n">
        <v>0.626</v>
      </c>
      <c r="I721" s="14" t="n">
        <v>0.742</v>
      </c>
      <c r="J721" s="14" t="n">
        <v>2.852</v>
      </c>
      <c r="K721" s="14" t="n">
        <v>0</v>
      </c>
      <c r="L721" s="14" t="n">
        <v>1</v>
      </c>
      <c r="M721" s="14" t="n">
        <v>2.093</v>
      </c>
      <c r="N721" s="14" t="n">
        <v>0.626</v>
      </c>
      <c r="O721" s="14" t="n">
        <v>0.742</v>
      </c>
      <c r="P721" s="14" t="n">
        <v>2.835</v>
      </c>
      <c r="Q721" s="14" t="n">
        <v>0</v>
      </c>
      <c r="R721" s="14" t="n">
        <v>1</v>
      </c>
      <c r="S721" s="14" t="n">
        <v>4.614</v>
      </c>
      <c r="T721" s="14" t="n">
        <v>3.129</v>
      </c>
      <c r="U721" s="14" t="n">
        <v>0.801</v>
      </c>
      <c r="V721" s="14" t="n">
        <v>6.159</v>
      </c>
      <c r="W721" s="14" t="n">
        <v>0.15</v>
      </c>
      <c r="X721" s="14" t="n">
        <v>1</v>
      </c>
      <c r="Y721" s="14" t="n">
        <v>18.417</v>
      </c>
      <c r="Z721" s="14" t="n">
        <v>4.205</v>
      </c>
      <c r="AA721" s="14" t="n">
        <v>0.439</v>
      </c>
      <c r="AB721" s="14" t="n">
        <v>18.856</v>
      </c>
      <c r="AC721" s="14" t="n">
        <v>0</v>
      </c>
      <c r="AD721" s="14" t="n">
        <v>1</v>
      </c>
      <c r="AE721" s="14" t="n">
        <v>19.65</v>
      </c>
      <c r="AF721" s="14" t="n">
        <v>7.164</v>
      </c>
      <c r="AG721" s="14" t="n">
        <v>0.439</v>
      </c>
      <c r="AH721" s="14" t="n">
        <v>20.089</v>
      </c>
      <c r="AI721" s="14" t="n">
        <v>0</v>
      </c>
      <c r="AJ721" s="14" t="n">
        <v>1</v>
      </c>
      <c r="AK721" s="14" t="n">
        <v>27.046</v>
      </c>
      <c r="AL721" s="14" t="n">
        <v>18.413</v>
      </c>
      <c r="AM721" s="14" t="n">
        <v>0.744</v>
      </c>
      <c r="AN721" s="14" t="n">
        <v>31.608</v>
      </c>
      <c r="AO721" s="14" t="n">
        <v>0.15</v>
      </c>
      <c r="AP721" s="14" t="n">
        <v>1</v>
      </c>
      <c r="AQ721" s="14" t="n">
        <v>0.861</v>
      </c>
      <c r="AR721" s="14" t="n">
        <v>0.123</v>
      </c>
      <c r="AS721" s="14" t="n">
        <v>0.386</v>
      </c>
      <c r="AT721" s="14" t="n">
        <v>1.247</v>
      </c>
      <c r="AU721" s="14" t="n">
        <v>0</v>
      </c>
      <c r="AV721" s="14" t="n">
        <v>1</v>
      </c>
      <c r="AW721" s="14" t="n">
        <v>0.986</v>
      </c>
      <c r="AX721" s="14" t="n">
        <v>0.123</v>
      </c>
      <c r="AY721" s="14" t="n">
        <v>0.235</v>
      </c>
      <c r="AZ721" s="14" t="n">
        <v>1.221</v>
      </c>
      <c r="BA721" s="14" t="n">
        <v>0</v>
      </c>
      <c r="BB721" s="14" t="n">
        <v>1</v>
      </c>
      <c r="BC721" s="14" t="n">
        <v>0.598</v>
      </c>
      <c r="BD721" s="14" t="n">
        <v>0.123</v>
      </c>
      <c r="BE721" s="14" t="n">
        <v>0.425</v>
      </c>
      <c r="BF721" s="14" t="n">
        <v>1.164</v>
      </c>
      <c r="BG721" s="14" t="n">
        <v>0.15</v>
      </c>
      <c r="BH721" s="14" t="n">
        <v>1</v>
      </c>
      <c r="BI721" s="14" t="n">
        <v>0.612</v>
      </c>
      <c r="BJ721" s="14" t="n">
        <v>0.123</v>
      </c>
      <c r="BK721" s="14" t="n">
        <v>0.191</v>
      </c>
      <c r="BL721" s="14" t="n">
        <v>0.924</v>
      </c>
      <c r="BM721" s="14" t="n">
        <v>0.15</v>
      </c>
      <c r="BN721" s="14" t="n">
        <v>1</v>
      </c>
      <c r="BO721" s="14" t="n">
        <v>0</v>
      </c>
      <c r="BP721" s="14" t="n">
        <v>-0.032</v>
      </c>
      <c r="BQ721" s="14" t="n">
        <v>0.049</v>
      </c>
      <c r="BR721" s="14" t="n">
        <v>0</v>
      </c>
      <c r="BS721" s="14" t="n">
        <v>1</v>
      </c>
      <c r="BT721" s="14" t="n">
        <v>0</v>
      </c>
      <c r="BU721" s="14" t="n">
        <v>-0.032</v>
      </c>
      <c r="BV721" s="14" t="n">
        <v>0.17</v>
      </c>
      <c r="BW721" s="14" t="n">
        <v>0.15</v>
      </c>
      <c r="BX721" s="14" t="n">
        <v>1</v>
      </c>
      <c r="BY721" s="14" t="n">
        <v>12.729</v>
      </c>
      <c r="BZ721" s="14" t="n">
        <v>0</v>
      </c>
      <c r="CA721" s="14" t="n">
        <v>12.729</v>
      </c>
      <c r="CB721" s="14" t="n">
        <v>0</v>
      </c>
      <c r="CC721" s="14" t="n">
        <v>97.90000000000001</v>
      </c>
      <c r="CD721" s="14" t="n">
        <v>7.95</v>
      </c>
      <c r="CE721" s="14" t="n">
        <v>10.898</v>
      </c>
      <c r="CF721" s="14" t="n">
        <v>123.743</v>
      </c>
      <c r="CG721" s="14" t="n">
        <v>0.15</v>
      </c>
      <c r="CH721" s="14" t="n">
        <v>1</v>
      </c>
      <c r="CI721" s="14" t="n">
        <v>0</v>
      </c>
      <c r="CJ721" s="14" t="n">
        <v>0</v>
      </c>
      <c r="CK721" s="14" t="n">
        <v>0</v>
      </c>
      <c r="CL721" s="14" t="n">
        <v>0</v>
      </c>
      <c r="CM721" s="14" t="n">
        <v>0</v>
      </c>
      <c r="CN721" s="14" t="n">
        <v>0</v>
      </c>
      <c r="CO721" s="14" t="n">
        <v>0</v>
      </c>
      <c r="CP721" s="14" t="n">
        <v>0.986</v>
      </c>
      <c r="CQ721" s="14" t="n">
        <v>1.35</v>
      </c>
      <c r="CR721" s="14" t="n">
        <v>0.003</v>
      </c>
      <c r="CS721" s="14" t="n">
        <v>8.709</v>
      </c>
      <c r="CT721" s="14" t="n">
        <v>11.066</v>
      </c>
      <c r="CU721" s="14" t="n">
        <v>17.239</v>
      </c>
    </row>
    <row r="722">
      <c r="A722" s="14" t="inlineStr">
        <is>
          <t>ZAF2023</t>
        </is>
      </c>
      <c r="B722" s="14" t="inlineStr">
        <is>
          <t>ZAF</t>
        </is>
      </c>
      <c r="C722" s="14" t="inlineStr">
        <is>
          <t>ZAF</t>
        </is>
      </c>
      <c r="D722" s="14" t="inlineStr">
        <is>
          <t>South Africa</t>
        </is>
      </c>
      <c r="E722" s="14" t="n">
        <v>2023</v>
      </c>
      <c r="F722" s="14" t="n">
        <v>0.15</v>
      </c>
      <c r="G722" s="14" t="n">
        <v>2.123</v>
      </c>
      <c r="H722" s="14" t="n">
        <v>0.653</v>
      </c>
      <c r="I722" s="14" t="n">
        <v>0.701</v>
      </c>
      <c r="J722" s="14" t="n">
        <v>2.824</v>
      </c>
      <c r="K722" s="14" t="n">
        <v>0</v>
      </c>
      <c r="L722" s="14" t="n">
        <v>1</v>
      </c>
      <c r="M722" s="14" t="n">
        <v>2.12</v>
      </c>
      <c r="N722" s="14" t="n">
        <v>0.653</v>
      </c>
      <c r="O722" s="14" t="n">
        <v>0.701</v>
      </c>
      <c r="P722" s="14" t="n">
        <v>2.821</v>
      </c>
      <c r="Q722" s="14" t="n">
        <v>0</v>
      </c>
      <c r="R722" s="14" t="n">
        <v>1</v>
      </c>
      <c r="S722" s="14" t="n">
        <v>4.737</v>
      </c>
      <c r="T722" s="14" t="n">
        <v>3.267</v>
      </c>
      <c r="U722" s="14" t="n">
        <v>0.791</v>
      </c>
      <c r="V722" s="14" t="n">
        <v>6.253</v>
      </c>
      <c r="W722" s="14" t="n">
        <v>0.15</v>
      </c>
      <c r="X722" s="14" t="n">
        <v>1</v>
      </c>
      <c r="Y722" s="14" t="n">
        <v>7.192</v>
      </c>
      <c r="Z722" s="14" t="n">
        <v>1.642</v>
      </c>
      <c r="AA722" s="14" t="n">
        <v>0.414</v>
      </c>
      <c r="AB722" s="14" t="n">
        <v>7.606</v>
      </c>
      <c r="AC722" s="14" t="n">
        <v>0</v>
      </c>
      <c r="AD722" s="14" t="n">
        <v>1</v>
      </c>
      <c r="AE722" s="14" t="n">
        <v>8.476000000000001</v>
      </c>
      <c r="AF722" s="14" t="n">
        <v>3.09</v>
      </c>
      <c r="AG722" s="14" t="n">
        <v>0.414</v>
      </c>
      <c r="AH722" s="14" t="n">
        <v>8.890000000000001</v>
      </c>
      <c r="AI722" s="14" t="n">
        <v>0</v>
      </c>
      <c r="AJ722" s="14" t="n">
        <v>1</v>
      </c>
      <c r="AK722" s="14" t="n">
        <v>16.178</v>
      </c>
      <c r="AL722" s="14" t="n">
        <v>11.014</v>
      </c>
      <c r="AM722" s="14" t="n">
        <v>0.6899999999999999</v>
      </c>
      <c r="AN722" s="14" t="n">
        <v>19.082</v>
      </c>
      <c r="AO722" s="14" t="n">
        <v>0.15</v>
      </c>
      <c r="AP722" s="14" t="n">
        <v>1</v>
      </c>
      <c r="AQ722" s="14" t="n">
        <v>0.76</v>
      </c>
      <c r="AR722" s="14" t="n">
        <v>0.129</v>
      </c>
      <c r="AS722" s="14" t="n">
        <v>0.362</v>
      </c>
      <c r="AT722" s="14" t="n">
        <v>1.123</v>
      </c>
      <c r="AU722" s="14" t="n">
        <v>0</v>
      </c>
      <c r="AV722" s="14" t="n">
        <v>1</v>
      </c>
      <c r="AW722" s="14" t="n">
        <v>0.8110000000000001</v>
      </c>
      <c r="AX722" s="14" t="n">
        <v>0.129</v>
      </c>
      <c r="AY722" s="14" t="n">
        <v>0.231</v>
      </c>
      <c r="AZ722" s="14" t="n">
        <v>1.043</v>
      </c>
      <c r="BA722" s="14" t="n">
        <v>0</v>
      </c>
      <c r="BB722" s="14" t="n">
        <v>1</v>
      </c>
      <c r="BC722" s="14" t="n">
        <v>0.535</v>
      </c>
      <c r="BD722" s="14" t="n">
        <v>0.129</v>
      </c>
      <c r="BE722" s="14" t="n">
        <v>0.459</v>
      </c>
      <c r="BF722" s="14" t="n">
        <v>1.124</v>
      </c>
      <c r="BG722" s="14" t="n">
        <v>0.15</v>
      </c>
      <c r="BH722" s="14" t="n">
        <v>1</v>
      </c>
      <c r="BI722" s="14" t="n">
        <v>0.579</v>
      </c>
      <c r="BJ722" s="14" t="n">
        <v>0.129</v>
      </c>
      <c r="BK722" s="14" t="n">
        <v>0.102</v>
      </c>
      <c r="BL722" s="14" t="n">
        <v>0.783</v>
      </c>
      <c r="BM722" s="14" t="n">
        <v>0.15</v>
      </c>
      <c r="BN722" s="14" t="n">
        <v>1</v>
      </c>
      <c r="BO722" s="14" t="n">
        <v>0</v>
      </c>
      <c r="BP722" s="14" t="n">
        <v>0</v>
      </c>
      <c r="BQ722" s="14" t="n">
        <v>0.035</v>
      </c>
      <c r="BR722" s="14" t="n">
        <v>0</v>
      </c>
      <c r="BS722" s="14" t="n">
        <v>1</v>
      </c>
      <c r="BT722" s="14" t="n">
        <v>0</v>
      </c>
      <c r="BU722" s="14" t="n">
        <v>0</v>
      </c>
      <c r="BV722" s="14" t="n">
        <v>0.154</v>
      </c>
      <c r="BW722" s="14" t="n">
        <v>0.15</v>
      </c>
      <c r="BX722" s="14" t="n">
        <v>1</v>
      </c>
      <c r="BY722" s="14" t="n">
        <v>13.254</v>
      </c>
      <c r="BZ722" s="14" t="n">
        <v>0</v>
      </c>
      <c r="CA722" s="14" t="n">
        <v>13.254</v>
      </c>
      <c r="CB722" s="14" t="n">
        <v>0</v>
      </c>
      <c r="CC722" s="14" t="n">
        <v>83.248</v>
      </c>
      <c r="CD722" s="14" t="n">
        <v>7.95</v>
      </c>
      <c r="CE722" s="14" t="n">
        <v>9.856</v>
      </c>
      <c r="CF722" s="14" t="n">
        <v>105.321</v>
      </c>
      <c r="CG722" s="14" t="n">
        <v>0.15</v>
      </c>
      <c r="CH722" s="14" t="n">
        <v>1</v>
      </c>
      <c r="CI722" s="14" t="n">
        <v>0</v>
      </c>
      <c r="CJ722" s="14" t="n">
        <v>0</v>
      </c>
      <c r="CK722" s="14" t="n">
        <v>0</v>
      </c>
      <c r="CL722" s="14" t="n">
        <v>0</v>
      </c>
      <c r="CM722" s="14" t="n">
        <v>0</v>
      </c>
      <c r="CN722" s="14" t="n">
        <v>0</v>
      </c>
      <c r="CO722" s="14" t="n">
        <v>0</v>
      </c>
      <c r="CP722" s="14" t="n">
        <v>0.983</v>
      </c>
      <c r="CQ722" s="14" t="n">
        <v>1.406</v>
      </c>
      <c r="CR722" s="14" t="n">
        <v>0.003</v>
      </c>
      <c r="CS722" s="14" t="n">
        <v>5.919</v>
      </c>
      <c r="CT722" s="14" t="n">
        <v>5.267</v>
      </c>
      <c r="CU722" s="14" t="n">
        <v>5.919</v>
      </c>
    </row>
    <row r="723">
      <c r="A723" s="14" t="inlineStr">
        <is>
          <t>ZAF2024</t>
        </is>
      </c>
      <c r="B723" s="14" t="inlineStr">
        <is>
          <t>ZAF</t>
        </is>
      </c>
      <c r="C723" s="14" t="inlineStr">
        <is>
          <t>ZAF</t>
        </is>
      </c>
      <c r="D723" s="14" t="inlineStr">
        <is>
          <t>South Africa</t>
        </is>
      </c>
      <c r="E723" s="14" t="n">
        <v>2024</v>
      </c>
      <c r="F723" s="14" t="n">
        <v>0.15</v>
      </c>
      <c r="G723" s="14" t="n">
        <v>2.171</v>
      </c>
      <c r="H723" s="14" t="n">
        <v>0.673</v>
      </c>
      <c r="I723" s="14" t="n">
        <v>0.8159999999999999</v>
      </c>
      <c r="J723" s="14" t="n">
        <v>2.986</v>
      </c>
      <c r="K723" s="14" t="n">
        <v>0</v>
      </c>
      <c r="L723" s="14" t="n">
        <v>1</v>
      </c>
      <c r="M723" s="14" t="n">
        <v>2.167</v>
      </c>
      <c r="N723" s="14" t="n">
        <v>0.673</v>
      </c>
      <c r="O723" s="14" t="n">
        <v>0.8159999999999999</v>
      </c>
      <c r="P723" s="14" t="n">
        <v>2.983</v>
      </c>
      <c r="Q723" s="14" t="n">
        <v>0</v>
      </c>
      <c r="R723" s="14" t="n">
        <v>1</v>
      </c>
      <c r="S723" s="14" t="n">
        <v>4.862</v>
      </c>
      <c r="T723" s="14" t="n">
        <v>3.364</v>
      </c>
      <c r="U723" s="14" t="n">
        <v>0.9320000000000001</v>
      </c>
      <c r="V723" s="14" t="n">
        <v>6.529</v>
      </c>
      <c r="W723" s="14" t="n">
        <v>0.15</v>
      </c>
      <c r="X723" s="14" t="n">
        <v>1</v>
      </c>
      <c r="Y723" s="14" t="n">
        <v>6.32</v>
      </c>
      <c r="Z723" s="14" t="n">
        <v>1.443</v>
      </c>
      <c r="AA723" s="14" t="n">
        <v>0.482</v>
      </c>
      <c r="AB723" s="14" t="n">
        <v>6.802</v>
      </c>
      <c r="AC723" s="14" t="n">
        <v>0</v>
      </c>
      <c r="AD723" s="14" t="n">
        <v>1</v>
      </c>
      <c r="AE723" s="14" t="n">
        <v>7.641</v>
      </c>
      <c r="AF723" s="14" t="n">
        <v>2.786</v>
      </c>
      <c r="AG723" s="14" t="n">
        <v>0.482</v>
      </c>
      <c r="AH723" s="14" t="n">
        <v>8.124000000000001</v>
      </c>
      <c r="AI723" s="14" t="n">
        <v>0</v>
      </c>
      <c r="AJ723" s="14" t="n">
        <v>1</v>
      </c>
      <c r="AK723" s="14" t="n">
        <v>15.572</v>
      </c>
      <c r="AL723" s="14" t="n">
        <v>10.601</v>
      </c>
      <c r="AM723" s="14" t="n">
        <v>0.8100000000000001</v>
      </c>
      <c r="AN723" s="14" t="n">
        <v>18.462</v>
      </c>
      <c r="AO723" s="14" t="n">
        <v>0.15</v>
      </c>
      <c r="AP723" s="14" t="n">
        <v>1</v>
      </c>
      <c r="AQ723" s="14" t="n">
        <v>0.724</v>
      </c>
      <c r="AR723" s="14" t="n">
        <v>0.132</v>
      </c>
      <c r="AS723" s="14" t="n">
        <v>0.402</v>
      </c>
      <c r="AT723" s="14" t="n">
        <v>1.127</v>
      </c>
      <c r="AU723" s="14" t="n">
        <v>0</v>
      </c>
      <c r="AV723" s="14" t="n">
        <v>1</v>
      </c>
      <c r="AW723" s="14" t="n">
        <v>0.75</v>
      </c>
      <c r="AX723" s="14" t="n">
        <v>0.132</v>
      </c>
      <c r="AY723" s="14" t="n">
        <v>0.313</v>
      </c>
      <c r="AZ723" s="14" t="n">
        <v>1.063</v>
      </c>
      <c r="BA723" s="14" t="n">
        <v>0</v>
      </c>
      <c r="BB723" s="14" t="n">
        <v>1</v>
      </c>
      <c r="BC723" s="14" t="n">
        <v>0.513</v>
      </c>
      <c r="BD723" s="14" t="n">
        <v>0.132</v>
      </c>
      <c r="BE723" s="14" t="n">
        <v>0.481</v>
      </c>
      <c r="BF723" s="14" t="n">
        <v>1.12</v>
      </c>
      <c r="BG723" s="14" t="n">
        <v>0.15</v>
      </c>
      <c r="BH723" s="14" t="n">
        <v>1</v>
      </c>
      <c r="BI723" s="14" t="n">
        <v>0.591</v>
      </c>
      <c r="BJ723" s="14" t="n">
        <v>0.132</v>
      </c>
      <c r="BK723" s="14" t="n">
        <v>0.056</v>
      </c>
      <c r="BL723" s="14" t="n">
        <v>0.744</v>
      </c>
      <c r="BM723" s="14" t="n">
        <v>0.15</v>
      </c>
      <c r="BN723" s="14" t="n">
        <v>1</v>
      </c>
      <c r="BO723" s="14" t="n">
        <v>0</v>
      </c>
      <c r="BP723" s="14" t="n">
        <v>0</v>
      </c>
      <c r="BQ723" s="14" t="n">
        <v>0.07000000000000001</v>
      </c>
      <c r="BR723" s="14" t="n">
        <v>0</v>
      </c>
      <c r="BS723" s="14" t="n">
        <v>1</v>
      </c>
      <c r="BT723" s="14" t="n">
        <v>0</v>
      </c>
      <c r="BU723" s="14" t="n">
        <v>0</v>
      </c>
      <c r="BV723" s="14" t="n">
        <v>0.169</v>
      </c>
      <c r="BW723" s="14" t="n">
        <v>0.15</v>
      </c>
      <c r="BX723" s="14" t="n">
        <v>1</v>
      </c>
      <c r="BY723" s="14" t="n">
        <v>13.646</v>
      </c>
      <c r="BZ723" s="14" t="n">
        <v>0</v>
      </c>
      <c r="CA723" s="14" t="n">
        <v>13.646</v>
      </c>
      <c r="CB723" s="14" t="n">
        <v>0</v>
      </c>
      <c r="CC723" s="14" t="n">
        <v>82.58799999999999</v>
      </c>
      <c r="CD723" s="14" t="n">
        <v>7.95</v>
      </c>
      <c r="CE723" s="14" t="n">
        <v>10.717</v>
      </c>
      <c r="CF723" s="14" t="n">
        <v>105.152</v>
      </c>
      <c r="CG723" s="14" t="n">
        <v>0.15</v>
      </c>
      <c r="CH723" s="14" t="n">
        <v>1</v>
      </c>
      <c r="CI723" s="14" t="n">
        <v>0</v>
      </c>
      <c r="CJ723" s="14" t="n">
        <v>0</v>
      </c>
      <c r="CK723" s="14" t="n">
        <v>0</v>
      </c>
      <c r="CL723" s="14" t="n">
        <v>0</v>
      </c>
      <c r="CM723" s="14" t="n">
        <v>0</v>
      </c>
      <c r="CN723" s="14" t="n">
        <v>0</v>
      </c>
      <c r="CO723" s="14" t="n">
        <v>0</v>
      </c>
      <c r="CP723" s="14" t="n">
        <v>0.983</v>
      </c>
      <c r="CQ723" s="14" t="n">
        <v>1.447</v>
      </c>
      <c r="CR723" s="14" t="n">
        <v>0.003</v>
      </c>
      <c r="CS723" s="14" t="n">
        <v>5.004</v>
      </c>
      <c r="CT723" s="14" t="n">
        <v>4.5</v>
      </c>
      <c r="CU723" s="14" t="n">
        <v>5.004</v>
      </c>
    </row>
    <row r="724">
      <c r="A724" s="14" t="inlineStr">
        <is>
          <t>SSD2021</t>
        </is>
      </c>
      <c r="B724" s="14" t="inlineStr">
        <is>
          <t>SSD</t>
        </is>
      </c>
      <c r="C724" s="14" t="inlineStr">
        <is>
          <t>SSD</t>
        </is>
      </c>
      <c r="D724" s="14" t="inlineStr">
        <is>
          <t>South Sudan</t>
        </is>
      </c>
      <c r="E724" s="14" t="n">
        <v>2021</v>
      </c>
      <c r="F724" s="14" t="n">
        <v>0.15</v>
      </c>
      <c r="G724" s="14" t="n">
        <v>5.897</v>
      </c>
      <c r="H724" s="14" t="n">
        <v>1.143</v>
      </c>
      <c r="I724" s="14" t="n">
        <v>0</v>
      </c>
      <c r="J724" s="14" t="n">
        <v>5.897</v>
      </c>
      <c r="K724" s="14" t="n">
        <v>0</v>
      </c>
      <c r="L724" s="14" t="n">
        <v>1</v>
      </c>
      <c r="M724" s="14" t="n">
        <v>7.964</v>
      </c>
      <c r="N724" s="14" t="n">
        <v>3.43</v>
      </c>
      <c r="O724" s="14" t="n">
        <v>0</v>
      </c>
      <c r="P724" s="14" t="n">
        <v>7.964</v>
      </c>
      <c r="Q724" s="14" t="n">
        <v>0</v>
      </c>
      <c r="R724" s="14" t="n">
        <v>1</v>
      </c>
      <c r="S724" s="14" t="n">
        <v>11.613</v>
      </c>
      <c r="T724" s="14" t="n">
        <v>6.86</v>
      </c>
      <c r="U724" s="14" t="n">
        <v>0</v>
      </c>
      <c r="V724" s="14" t="n">
        <v>13.355</v>
      </c>
      <c r="W724" s="14" t="n">
        <v>0.15</v>
      </c>
      <c r="X724" s="14" t="n">
        <v>1</v>
      </c>
      <c r="Y724" s="14" t="n">
        <v>16.305</v>
      </c>
      <c r="Z724" s="14" t="n">
        <v>2.204</v>
      </c>
      <c r="AA724" s="14" t="n">
        <v>0</v>
      </c>
      <c r="AB724" s="14" t="n">
        <v>16.305</v>
      </c>
      <c r="AC724" s="14" t="n">
        <v>0</v>
      </c>
      <c r="AD724" s="14" t="n">
        <v>1</v>
      </c>
      <c r="AE724" s="14" t="n">
        <v>17.449</v>
      </c>
      <c r="AF724" s="14" t="n">
        <v>4.08</v>
      </c>
      <c r="AG724" s="14" t="n">
        <v>0</v>
      </c>
      <c r="AH724" s="14" t="n">
        <v>17.449</v>
      </c>
      <c r="AI724" s="14" t="n">
        <v>0</v>
      </c>
      <c r="AJ724" s="14" t="n">
        <v>1</v>
      </c>
      <c r="AK724" s="14" t="n">
        <v>24.309</v>
      </c>
      <c r="AL724" s="14" t="n">
        <v>12.947</v>
      </c>
      <c r="AM724" s="14" t="n">
        <v>0</v>
      </c>
      <c r="AN724" s="14" t="n">
        <v>27.955</v>
      </c>
      <c r="AO724" s="14" t="n">
        <v>0.15</v>
      </c>
      <c r="AP724" s="14" t="n">
        <v>1</v>
      </c>
      <c r="AQ724" s="14" t="n">
        <v>0.619</v>
      </c>
      <c r="AR724" s="14" t="n">
        <v>0.114</v>
      </c>
      <c r="AS724" s="14" t="n">
        <v>0.748</v>
      </c>
      <c r="AT724" s="14" t="n">
        <v>1.572</v>
      </c>
      <c r="AU724" s="14" t="n">
        <v>0.15</v>
      </c>
      <c r="AV724" s="14" t="n">
        <v>1</v>
      </c>
      <c r="AW724" s="14" t="n">
        <v>0.599</v>
      </c>
      <c r="AX724" s="14" t="n">
        <v>0.114</v>
      </c>
      <c r="AY724" s="14" t="n">
        <v>0.655</v>
      </c>
      <c r="AZ724" s="14" t="n">
        <v>1.443</v>
      </c>
      <c r="BA724" s="14" t="n">
        <v>0.15</v>
      </c>
      <c r="BB724" s="14" t="n">
        <v>1</v>
      </c>
      <c r="BC724" s="14" t="n">
        <v>0.439</v>
      </c>
      <c r="BD724" s="14" t="n">
        <v>0.114</v>
      </c>
      <c r="BE724" s="14" t="n">
        <v>0</v>
      </c>
      <c r="BF724" s="14" t="n">
        <v>0.505</v>
      </c>
      <c r="BG724" s="14" t="n">
        <v>0.15</v>
      </c>
      <c r="BH724" s="14" t="n">
        <v>1</v>
      </c>
      <c r="BI724" s="14" t="n">
        <v>0.505</v>
      </c>
      <c r="BJ724" s="14" t="n">
        <v>0.114</v>
      </c>
      <c r="BK724" s="14" t="n">
        <v>0.826</v>
      </c>
      <c r="BL724" s="14" t="n">
        <v>1.531</v>
      </c>
      <c r="BM724" s="14" t="n">
        <v>0.15</v>
      </c>
      <c r="BN724" s="14" t="n">
        <v>1</v>
      </c>
      <c r="BO724" s="14" t="n">
        <v>0</v>
      </c>
      <c r="BP724" s="14" t="n">
        <v>0</v>
      </c>
      <c r="BQ724" s="14" t="n">
        <v>0</v>
      </c>
      <c r="BR724" s="14" t="n">
        <v>0</v>
      </c>
      <c r="BS724" s="14" t="n">
        <v>1</v>
      </c>
      <c r="BT724" s="14" t="n">
        <v>0</v>
      </c>
      <c r="BU724" s="14" t="n">
        <v>0</v>
      </c>
      <c r="BV724" s="14" t="n">
        <v>0</v>
      </c>
      <c r="BW724" s="14" t="n">
        <v>0.15</v>
      </c>
      <c r="BX724" s="14" t="n">
        <v>1</v>
      </c>
      <c r="BY724" s="14" t="n">
        <v>11.787</v>
      </c>
      <c r="BZ724" s="14" t="n">
        <v>0</v>
      </c>
      <c r="CA724" s="14" t="n">
        <v>11.787</v>
      </c>
      <c r="CB724" s="14" t="n">
        <v>0</v>
      </c>
      <c r="CC724" s="14" t="n">
        <v>78.125</v>
      </c>
      <c r="CD724" s="14" t="n">
        <v>7.95</v>
      </c>
      <c r="CE724" s="14" t="n">
        <v>0</v>
      </c>
      <c r="CF724" s="14" t="n">
        <v>89.84399999999999</v>
      </c>
      <c r="CG724" s="14" t="n">
        <v>0.15</v>
      </c>
      <c r="CH724" s="14" t="n">
        <v>1</v>
      </c>
      <c r="CI724" s="14" t="n">
        <v>0</v>
      </c>
      <c r="CJ724" s="14" t="n">
        <v>0</v>
      </c>
      <c r="CK724" s="14" t="n">
        <v>0</v>
      </c>
      <c r="CL724" s="14" t="n">
        <v>0</v>
      </c>
      <c r="CM724" s="14" t="n">
        <v>0</v>
      </c>
      <c r="CN724" s="14" t="n">
        <v>0</v>
      </c>
      <c r="CO724" s="14" t="n">
        <v>0</v>
      </c>
      <c r="CP724" s="14" t="n">
        <v>0</v>
      </c>
      <c r="CQ724" s="14" t="n">
        <v>1.198</v>
      </c>
      <c r="CR724" s="14" t="n">
        <v>0</v>
      </c>
      <c r="CS724" s="14" t="n">
        <v>4.776</v>
      </c>
      <c r="CT724" s="14" t="n">
        <v>4.753</v>
      </c>
      <c r="CU724" s="14" t="n">
        <v>15.162</v>
      </c>
    </row>
    <row r="725">
      <c r="A725" s="14" t="inlineStr">
        <is>
          <t>SSD2022</t>
        </is>
      </c>
      <c r="B725" s="14" t="inlineStr">
        <is>
          <t>SSD</t>
        </is>
      </c>
      <c r="C725" s="14" t="inlineStr">
        <is>
          <t>SSD</t>
        </is>
      </c>
      <c r="D725" s="14" t="inlineStr">
        <is>
          <t>South Sudan</t>
        </is>
      </c>
      <c r="E725" s="14" t="n">
        <v>2022</v>
      </c>
      <c r="F725" s="14" t="n">
        <v>0.18</v>
      </c>
      <c r="G725" s="14" t="n">
        <v>11.72</v>
      </c>
      <c r="H725" s="14" t="n">
        <v>1.235</v>
      </c>
      <c r="I725" s="14" t="n">
        <v>0</v>
      </c>
      <c r="J725" s="14" t="n">
        <v>11.72</v>
      </c>
      <c r="K725" s="14" t="n">
        <v>0</v>
      </c>
      <c r="L725" s="14" t="n">
        <v>1</v>
      </c>
      <c r="M725" s="14" t="n">
        <v>9.782999999999999</v>
      </c>
      <c r="N725" s="14" t="n">
        <v>3.704</v>
      </c>
      <c r="O725" s="14" t="n">
        <v>0</v>
      </c>
      <c r="P725" s="14" t="n">
        <v>9.782999999999999</v>
      </c>
      <c r="Q725" s="14" t="n">
        <v>0</v>
      </c>
      <c r="R725" s="14" t="n">
        <v>1</v>
      </c>
      <c r="S725" s="14" t="n">
        <v>17.893</v>
      </c>
      <c r="T725" s="14" t="n">
        <v>7.408</v>
      </c>
      <c r="U725" s="14" t="n">
        <v>0.238</v>
      </c>
      <c r="V725" s="14" t="n">
        <v>21.114</v>
      </c>
      <c r="W725" s="14" t="n">
        <v>0.18</v>
      </c>
      <c r="X725" s="14" t="n">
        <v>1</v>
      </c>
      <c r="Y725" s="14" t="n">
        <v>32.56</v>
      </c>
      <c r="Z725" s="14" t="n">
        <v>4.401</v>
      </c>
      <c r="AA725" s="14" t="n">
        <v>0</v>
      </c>
      <c r="AB725" s="14" t="n">
        <v>32.56</v>
      </c>
      <c r="AC725" s="14" t="n">
        <v>0</v>
      </c>
      <c r="AD725" s="14" t="n">
        <v>1</v>
      </c>
      <c r="AE725" s="14" t="n">
        <v>33.795</v>
      </c>
      <c r="AF725" s="14" t="n">
        <v>7.902</v>
      </c>
      <c r="AG725" s="14" t="n">
        <v>0</v>
      </c>
      <c r="AH725" s="14" t="n">
        <v>33.795</v>
      </c>
      <c r="AI725" s="14" t="n">
        <v>0</v>
      </c>
      <c r="AJ725" s="14" t="n">
        <v>1</v>
      </c>
      <c r="AK725" s="14" t="n">
        <v>41.203</v>
      </c>
      <c r="AL725" s="14" t="n">
        <v>21.945</v>
      </c>
      <c r="AM725" s="14" t="n">
        <v>0.549</v>
      </c>
      <c r="AN725" s="14" t="n">
        <v>48.62</v>
      </c>
      <c r="AO725" s="14" t="n">
        <v>0.18</v>
      </c>
      <c r="AP725" s="14" t="n">
        <v>1</v>
      </c>
      <c r="AQ725" s="14" t="n">
        <v>0.861</v>
      </c>
      <c r="AR725" s="14" t="n">
        <v>0.123</v>
      </c>
      <c r="AS725" s="14" t="n">
        <v>0.762</v>
      </c>
      <c r="AT725" s="14" t="n">
        <v>1.89</v>
      </c>
      <c r="AU725" s="14" t="n">
        <v>0.18</v>
      </c>
      <c r="AV725" s="14" t="n">
        <v>1</v>
      </c>
      <c r="AW725" s="14" t="n">
        <v>0.986</v>
      </c>
      <c r="AX725" s="14" t="n">
        <v>0.123</v>
      </c>
      <c r="AY725" s="14" t="n">
        <v>0.643</v>
      </c>
      <c r="AZ725" s="14" t="n">
        <v>1.897</v>
      </c>
      <c r="BA725" s="14" t="n">
        <v>0.18</v>
      </c>
      <c r="BB725" s="14" t="n">
        <v>1</v>
      </c>
      <c r="BC725" s="14" t="n">
        <v>0.598</v>
      </c>
      <c r="BD725" s="14" t="n">
        <v>0.123</v>
      </c>
      <c r="BE725" s="14" t="n">
        <v>0.008</v>
      </c>
      <c r="BF725" s="14" t="n">
        <v>0.705</v>
      </c>
      <c r="BG725" s="14" t="n">
        <v>0.18</v>
      </c>
      <c r="BH725" s="14" t="n">
        <v>1</v>
      </c>
      <c r="BI725" s="14" t="n">
        <v>0.612</v>
      </c>
      <c r="BJ725" s="14" t="n">
        <v>0.123</v>
      </c>
      <c r="BK725" s="14" t="n">
        <v>0.865</v>
      </c>
      <c r="BL725" s="14" t="n">
        <v>1.72</v>
      </c>
      <c r="BM725" s="14" t="n">
        <v>0.18</v>
      </c>
      <c r="BN725" s="14" t="n">
        <v>1</v>
      </c>
      <c r="BO725" s="14" t="n">
        <v>0</v>
      </c>
      <c r="BP725" s="14" t="n">
        <v>0</v>
      </c>
      <c r="BQ725" s="14" t="n">
        <v>0</v>
      </c>
      <c r="BR725" s="14" t="n">
        <v>0</v>
      </c>
      <c r="BS725" s="14" t="n">
        <v>1</v>
      </c>
      <c r="BT725" s="14" t="n">
        <v>0</v>
      </c>
      <c r="BU725" s="14" t="n">
        <v>0</v>
      </c>
      <c r="BV725" s="14" t="n">
        <v>0</v>
      </c>
      <c r="BW725" s="14" t="n">
        <v>0.18</v>
      </c>
      <c r="BX725" s="14" t="n">
        <v>1</v>
      </c>
      <c r="BY725" s="14" t="n">
        <v>12.729</v>
      </c>
      <c r="BZ725" s="14" t="n">
        <v>0</v>
      </c>
      <c r="CA725" s="14" t="n">
        <v>12.729</v>
      </c>
      <c r="CB725" s="14" t="n">
        <v>0</v>
      </c>
      <c r="CC725" s="14" t="n">
        <v>97.90000000000001</v>
      </c>
      <c r="CD725" s="14" t="n">
        <v>7.95</v>
      </c>
      <c r="CE725" s="14" t="n">
        <v>1.304</v>
      </c>
      <c r="CF725" s="14" t="n">
        <v>115.522</v>
      </c>
      <c r="CG725" s="14" t="n">
        <v>0.18</v>
      </c>
      <c r="CH725" s="14" t="n">
        <v>1</v>
      </c>
      <c r="CI725" s="14" t="n">
        <v>0</v>
      </c>
      <c r="CJ725" s="14" t="n">
        <v>0</v>
      </c>
      <c r="CK725" s="14" t="n">
        <v>0</v>
      </c>
      <c r="CL725" s="14" t="n">
        <v>0</v>
      </c>
      <c r="CM725" s="14" t="n">
        <v>0</v>
      </c>
      <c r="CN725" s="14" t="n">
        <v>0</v>
      </c>
      <c r="CO725" s="14" t="n">
        <v>0</v>
      </c>
      <c r="CP725" s="14" t="n">
        <v>0</v>
      </c>
      <c r="CQ725" s="14" t="n">
        <v>1.294</v>
      </c>
      <c r="CR725" s="14" t="n">
        <v>0</v>
      </c>
      <c r="CS725" s="14" t="n">
        <v>5.158</v>
      </c>
      <c r="CT725" s="14" t="n">
        <v>10.485</v>
      </c>
      <c r="CU725" s="14" t="n">
        <v>31.326</v>
      </c>
    </row>
    <row r="726">
      <c r="A726" s="14" t="inlineStr">
        <is>
          <t>SSD2023</t>
        </is>
      </c>
      <c r="B726" s="14" t="inlineStr">
        <is>
          <t>SSD</t>
        </is>
      </c>
      <c r="C726" s="14" t="inlineStr">
        <is>
          <t>SSD</t>
        </is>
      </c>
      <c r="D726" s="14" t="inlineStr">
        <is>
          <t>South Sudan</t>
        </is>
      </c>
      <c r="E726" s="14" t="n">
        <v>2023</v>
      </c>
      <c r="F726" s="14" t="n">
        <v>0.18</v>
      </c>
      <c r="G726" s="14" t="n">
        <v>6.147</v>
      </c>
      <c r="H726" s="14" t="n">
        <v>1.286</v>
      </c>
      <c r="I726" s="14" t="n">
        <v>0</v>
      </c>
      <c r="J726" s="14" t="n">
        <v>6.147</v>
      </c>
      <c r="K726" s="14" t="n">
        <v>0</v>
      </c>
      <c r="L726" s="14" t="n">
        <v>1</v>
      </c>
      <c r="M726" s="14" t="n">
        <v>7.886</v>
      </c>
      <c r="N726" s="14" t="n">
        <v>3.857</v>
      </c>
      <c r="O726" s="14" t="n">
        <v>0</v>
      </c>
      <c r="P726" s="14" t="n">
        <v>7.886</v>
      </c>
      <c r="Q726" s="14" t="n">
        <v>0</v>
      </c>
      <c r="R726" s="14" t="n">
        <v>1</v>
      </c>
      <c r="S726" s="14" t="n">
        <v>12.575</v>
      </c>
      <c r="T726" s="14" t="n">
        <v>7.714</v>
      </c>
      <c r="U726" s="14" t="n">
        <v>0.251</v>
      </c>
      <c r="V726" s="14" t="n">
        <v>14.839</v>
      </c>
      <c r="W726" s="14" t="n">
        <v>0.18</v>
      </c>
      <c r="X726" s="14" t="n">
        <v>1</v>
      </c>
      <c r="Y726" s="14" t="n">
        <v>12.908</v>
      </c>
      <c r="Z726" s="14" t="n">
        <v>1.745</v>
      </c>
      <c r="AA726" s="14" t="n">
        <v>0</v>
      </c>
      <c r="AB726" s="14" t="n">
        <v>12.908</v>
      </c>
      <c r="AC726" s="14" t="n">
        <v>0</v>
      </c>
      <c r="AD726" s="14" t="n">
        <v>1</v>
      </c>
      <c r="AE726" s="14" t="n">
        <v>14.194</v>
      </c>
      <c r="AF726" s="14" t="n">
        <v>3.319</v>
      </c>
      <c r="AG726" s="14" t="n">
        <v>0</v>
      </c>
      <c r="AH726" s="14" t="n">
        <v>14.194</v>
      </c>
      <c r="AI726" s="14" t="n">
        <v>0</v>
      </c>
      <c r="AJ726" s="14" t="n">
        <v>1</v>
      </c>
      <c r="AK726" s="14" t="n">
        <v>21.908</v>
      </c>
      <c r="AL726" s="14" t="n">
        <v>11.668</v>
      </c>
      <c r="AM726" s="14" t="n">
        <v>0.437</v>
      </c>
      <c r="AN726" s="14" t="n">
        <v>25.851</v>
      </c>
      <c r="AO726" s="14" t="n">
        <v>0.18</v>
      </c>
      <c r="AP726" s="14" t="n">
        <v>1</v>
      </c>
      <c r="AQ726" s="14" t="n">
        <v>0.76</v>
      </c>
      <c r="AR726" s="14" t="n">
        <v>0.129</v>
      </c>
      <c r="AS726" s="14" t="n">
        <v>0.823</v>
      </c>
      <c r="AT726" s="14" t="n">
        <v>1.832</v>
      </c>
      <c r="AU726" s="14" t="n">
        <v>0.18</v>
      </c>
      <c r="AV726" s="14" t="n">
        <v>1</v>
      </c>
      <c r="AW726" s="14" t="n">
        <v>0.8110000000000001</v>
      </c>
      <c r="AX726" s="14" t="n">
        <v>0.129</v>
      </c>
      <c r="AY726" s="14" t="n">
        <v>0.71</v>
      </c>
      <c r="AZ726" s="14" t="n">
        <v>1.76</v>
      </c>
      <c r="BA726" s="14" t="n">
        <v>0.18</v>
      </c>
      <c r="BB726" s="14" t="n">
        <v>1</v>
      </c>
      <c r="BC726" s="14" t="n">
        <v>0.535</v>
      </c>
      <c r="BD726" s="14" t="n">
        <v>0.129</v>
      </c>
      <c r="BE726" s="14" t="n">
        <v>0.011</v>
      </c>
      <c r="BF726" s="14" t="n">
        <v>0.631</v>
      </c>
      <c r="BG726" s="14" t="n">
        <v>0.18</v>
      </c>
      <c r="BH726" s="14" t="n">
        <v>1</v>
      </c>
      <c r="BI726" s="14" t="n">
        <v>0.579</v>
      </c>
      <c r="BJ726" s="14" t="n">
        <v>0.129</v>
      </c>
      <c r="BK726" s="14" t="n">
        <v>0.919</v>
      </c>
      <c r="BL726" s="14" t="n">
        <v>1.733</v>
      </c>
      <c r="BM726" s="14" t="n">
        <v>0.18</v>
      </c>
      <c r="BN726" s="14" t="n">
        <v>1</v>
      </c>
      <c r="BO726" s="14" t="n">
        <v>0</v>
      </c>
      <c r="BP726" s="14" t="n">
        <v>0</v>
      </c>
      <c r="BQ726" s="14" t="n">
        <v>0</v>
      </c>
      <c r="BR726" s="14" t="n">
        <v>0</v>
      </c>
      <c r="BS726" s="14" t="n">
        <v>1</v>
      </c>
      <c r="BT726" s="14" t="n">
        <v>0</v>
      </c>
      <c r="BU726" s="14" t="n">
        <v>0</v>
      </c>
      <c r="BV726" s="14" t="n">
        <v>0</v>
      </c>
      <c r="BW726" s="14" t="n">
        <v>0.18</v>
      </c>
      <c r="BX726" s="14" t="n">
        <v>1</v>
      </c>
      <c r="BY726" s="14" t="n">
        <v>13.254</v>
      </c>
      <c r="BZ726" s="14" t="n">
        <v>0</v>
      </c>
      <c r="CA726" s="14" t="n">
        <v>13.254</v>
      </c>
      <c r="CB726" s="14" t="n">
        <v>0</v>
      </c>
      <c r="CC726" s="14" t="n">
        <v>83.248</v>
      </c>
      <c r="CD726" s="14" t="n">
        <v>7.95</v>
      </c>
      <c r="CE726" s="14" t="n">
        <v>1.659</v>
      </c>
      <c r="CF726" s="14" t="n">
        <v>98.233</v>
      </c>
      <c r="CG726" s="14" t="n">
        <v>0.18</v>
      </c>
      <c r="CH726" s="14" t="n">
        <v>1</v>
      </c>
      <c r="CI726" s="14" t="n">
        <v>0</v>
      </c>
      <c r="CJ726" s="14" t="n">
        <v>0</v>
      </c>
      <c r="CK726" s="14" t="n">
        <v>0</v>
      </c>
      <c r="CL726" s="14" t="n">
        <v>0</v>
      </c>
      <c r="CM726" s="14" t="n">
        <v>0</v>
      </c>
      <c r="CN726" s="14" t="n">
        <v>0</v>
      </c>
      <c r="CO726" s="14" t="n">
        <v>0</v>
      </c>
      <c r="CP726" s="14" t="n">
        <v>0</v>
      </c>
      <c r="CQ726" s="14" t="n">
        <v>1.348</v>
      </c>
      <c r="CR726" s="14" t="n">
        <v>0</v>
      </c>
      <c r="CS726" s="14" t="n">
        <v>5.37</v>
      </c>
      <c r="CT726" s="14" t="n">
        <v>4.861</v>
      </c>
      <c r="CU726" s="14" t="n">
        <v>11.622</v>
      </c>
    </row>
    <row r="727">
      <c r="A727" s="14" t="inlineStr">
        <is>
          <t>SSD2024</t>
        </is>
      </c>
      <c r="B727" s="14" t="inlineStr">
        <is>
          <t>SSD</t>
        </is>
      </c>
      <c r="C727" s="14" t="inlineStr">
        <is>
          <t>SSD</t>
        </is>
      </c>
      <c r="D727" s="14" t="inlineStr">
        <is>
          <t>South Sudan</t>
        </is>
      </c>
      <c r="E727" s="14" t="n">
        <v>2024</v>
      </c>
      <c r="F727" s="14" t="n">
        <v>0.18</v>
      </c>
      <c r="G727" s="14" t="n">
        <v>5.575</v>
      </c>
      <c r="H727" s="14" t="n">
        <v>1.324</v>
      </c>
      <c r="I727" s="14" t="n">
        <v>0</v>
      </c>
      <c r="J727" s="14" t="n">
        <v>5.575</v>
      </c>
      <c r="K727" s="14" t="n">
        <v>0</v>
      </c>
      <c r="L727" s="14" t="n">
        <v>1</v>
      </c>
      <c r="M727" s="14" t="n">
        <v>7.124</v>
      </c>
      <c r="N727" s="14" t="n">
        <v>3.971</v>
      </c>
      <c r="O727" s="14" t="n">
        <v>0</v>
      </c>
      <c r="P727" s="14" t="n">
        <v>7.124</v>
      </c>
      <c r="Q727" s="14" t="n">
        <v>0</v>
      </c>
      <c r="R727" s="14" t="n">
        <v>1</v>
      </c>
      <c r="S727" s="14" t="n">
        <v>12.193</v>
      </c>
      <c r="T727" s="14" t="n">
        <v>7.942</v>
      </c>
      <c r="U727" s="14" t="n">
        <v>0.299</v>
      </c>
      <c r="V727" s="14" t="n">
        <v>14.388</v>
      </c>
      <c r="W727" s="14" t="n">
        <v>0.18</v>
      </c>
      <c r="X727" s="14" t="n">
        <v>1</v>
      </c>
      <c r="Y727" s="14" t="n">
        <v>11.492</v>
      </c>
      <c r="Z727" s="14" t="n">
        <v>1.553</v>
      </c>
      <c r="AA727" s="14" t="n">
        <v>0</v>
      </c>
      <c r="AB727" s="14" t="n">
        <v>11.492</v>
      </c>
      <c r="AC727" s="14" t="n">
        <v>0</v>
      </c>
      <c r="AD727" s="14" t="n">
        <v>1</v>
      </c>
      <c r="AE727" s="14" t="n">
        <v>12.815</v>
      </c>
      <c r="AF727" s="14" t="n">
        <v>2.997</v>
      </c>
      <c r="AG727" s="14" t="n">
        <v>0</v>
      </c>
      <c r="AH727" s="14" t="n">
        <v>12.815</v>
      </c>
      <c r="AI727" s="14" t="n">
        <v>0</v>
      </c>
      <c r="AJ727" s="14" t="n">
        <v>1</v>
      </c>
      <c r="AK727" s="14" t="n">
        <v>20.757</v>
      </c>
      <c r="AL727" s="14" t="n">
        <v>11.055</v>
      </c>
      <c r="AM727" s="14" t="n">
        <v>0.509</v>
      </c>
      <c r="AN727" s="14" t="n">
        <v>24.493</v>
      </c>
      <c r="AO727" s="14" t="n">
        <v>0.18</v>
      </c>
      <c r="AP727" s="14" t="n">
        <v>1</v>
      </c>
      <c r="AQ727" s="14" t="n">
        <v>0.724</v>
      </c>
      <c r="AR727" s="14" t="n">
        <v>0.132</v>
      </c>
      <c r="AS727" s="14" t="n">
        <v>0.862</v>
      </c>
      <c r="AT727" s="14" t="n">
        <v>1.827</v>
      </c>
      <c r="AU727" s="14" t="n">
        <v>0.18</v>
      </c>
      <c r="AV727" s="14" t="n">
        <v>1</v>
      </c>
      <c r="AW727" s="14" t="n">
        <v>0.75</v>
      </c>
      <c r="AX727" s="14" t="n">
        <v>0.132</v>
      </c>
      <c r="AY727" s="14" t="n">
        <v>0.749</v>
      </c>
      <c r="AZ727" s="14" t="n">
        <v>1.727</v>
      </c>
      <c r="BA727" s="14" t="n">
        <v>0.18</v>
      </c>
      <c r="BB727" s="14" t="n">
        <v>1</v>
      </c>
      <c r="BC727" s="14" t="n">
        <v>0.513</v>
      </c>
      <c r="BD727" s="14" t="n">
        <v>0.132</v>
      </c>
      <c r="BE727" s="14" t="n">
        <v>0.013</v>
      </c>
      <c r="BF727" s="14" t="n">
        <v>0.605</v>
      </c>
      <c r="BG727" s="14" t="n">
        <v>0.18</v>
      </c>
      <c r="BH727" s="14" t="n">
        <v>1</v>
      </c>
      <c r="BI727" s="14" t="n">
        <v>0.591</v>
      </c>
      <c r="BJ727" s="14" t="n">
        <v>0.132</v>
      </c>
      <c r="BK727" s="14" t="n">
        <v>0.953</v>
      </c>
      <c r="BL727" s="14" t="n">
        <v>1.779</v>
      </c>
      <c r="BM727" s="14" t="n">
        <v>0.18</v>
      </c>
      <c r="BN727" s="14" t="n">
        <v>1</v>
      </c>
      <c r="BO727" s="14" t="n">
        <v>0</v>
      </c>
      <c r="BP727" s="14" t="n">
        <v>0</v>
      </c>
      <c r="BQ727" s="14" t="n">
        <v>0</v>
      </c>
      <c r="BR727" s="14" t="n">
        <v>0</v>
      </c>
      <c r="BS727" s="14" t="n">
        <v>1</v>
      </c>
      <c r="BT727" s="14" t="n">
        <v>0</v>
      </c>
      <c r="BU727" s="14" t="n">
        <v>0</v>
      </c>
      <c r="BV727" s="14" t="n">
        <v>0</v>
      </c>
      <c r="BW727" s="14" t="n">
        <v>0.18</v>
      </c>
      <c r="BX727" s="14" t="n">
        <v>1</v>
      </c>
      <c r="BY727" s="14" t="n">
        <v>13.646</v>
      </c>
      <c r="BZ727" s="14" t="n">
        <v>0</v>
      </c>
      <c r="CA727" s="14" t="n">
        <v>13.646</v>
      </c>
      <c r="CB727" s="14" t="n">
        <v>0</v>
      </c>
      <c r="CC727" s="14" t="n">
        <v>82.58799999999999</v>
      </c>
      <c r="CD727" s="14" t="n">
        <v>7.95</v>
      </c>
      <c r="CE727" s="14" t="n">
        <v>2.025</v>
      </c>
      <c r="CF727" s="14" t="n">
        <v>97.45399999999999</v>
      </c>
      <c r="CG727" s="14" t="n">
        <v>0.18</v>
      </c>
      <c r="CH727" s="14" t="n">
        <v>1</v>
      </c>
      <c r="CI727" s="14" t="n">
        <v>0</v>
      </c>
      <c r="CJ727" s="14" t="n">
        <v>0</v>
      </c>
      <c r="CK727" s="14" t="n">
        <v>0</v>
      </c>
      <c r="CL727" s="14" t="n">
        <v>0</v>
      </c>
      <c r="CM727" s="14" t="n">
        <v>0</v>
      </c>
      <c r="CN727" s="14" t="n">
        <v>0</v>
      </c>
      <c r="CO727" s="14" t="n">
        <v>0</v>
      </c>
      <c r="CP727" s="14" t="n">
        <v>0</v>
      </c>
      <c r="CQ727" s="14" t="n">
        <v>1.387</v>
      </c>
      <c r="CR727" s="14" t="n">
        <v>0</v>
      </c>
      <c r="CS727" s="14" t="n">
        <v>5.529</v>
      </c>
      <c r="CT727" s="14" t="n">
        <v>4.251</v>
      </c>
      <c r="CU727" s="14" t="n">
        <v>10.168</v>
      </c>
    </row>
    <row r="728">
      <c r="A728" s="14" t="inlineStr">
        <is>
          <t>ESP2021</t>
        </is>
      </c>
      <c r="B728" s="14" t="inlineStr">
        <is>
          <t>ESP</t>
        </is>
      </c>
      <c r="C728" s="14" t="inlineStr">
        <is>
          <t>ESP</t>
        </is>
      </c>
      <c r="D728" s="14" t="inlineStr">
        <is>
          <t>Spain</t>
        </is>
      </c>
      <c r="E728" s="14" t="n">
        <v>2021</v>
      </c>
      <c r="F728" s="14" t="n">
        <v>0.21</v>
      </c>
      <c r="G728" s="14" t="n">
        <v>6.437</v>
      </c>
      <c r="H728" s="14" t="n">
        <v>1.143</v>
      </c>
      <c r="I728" s="14" t="n">
        <v>1.538</v>
      </c>
      <c r="J728" s="14" t="n">
        <v>7.975</v>
      </c>
      <c r="K728" s="14" t="n">
        <v>0</v>
      </c>
      <c r="L728" s="14" t="n">
        <v>1</v>
      </c>
      <c r="M728" s="14" t="n">
        <v>9.757</v>
      </c>
      <c r="N728" s="14" t="n">
        <v>3.43</v>
      </c>
      <c r="O728" s="14" t="n">
        <v>1.556</v>
      </c>
      <c r="P728" s="14" t="n">
        <v>11.313</v>
      </c>
      <c r="Q728" s="14" t="n">
        <v>0</v>
      </c>
      <c r="R728" s="14" t="n">
        <v>1</v>
      </c>
      <c r="S728" s="14" t="n">
        <v>12.153</v>
      </c>
      <c r="T728" s="14" t="n">
        <v>6.86</v>
      </c>
      <c r="U728" s="14" t="n">
        <v>0.418</v>
      </c>
      <c r="V728" s="14" t="n">
        <v>15.211</v>
      </c>
      <c r="W728" s="14" t="n">
        <v>0.21</v>
      </c>
      <c r="X728" s="14" t="n">
        <v>1</v>
      </c>
      <c r="Y728" s="14" t="n">
        <v>19.623</v>
      </c>
      <c r="Z728" s="14" t="n">
        <v>2.168</v>
      </c>
      <c r="AA728" s="14" t="n">
        <v>-9.301</v>
      </c>
      <c r="AB728" s="14" t="n">
        <v>10.323</v>
      </c>
      <c r="AC728" s="14" t="n">
        <v>0</v>
      </c>
      <c r="AD728" s="14" t="n">
        <v>1</v>
      </c>
      <c r="AE728" s="14" t="n">
        <v>19.58</v>
      </c>
      <c r="AF728" s="14" t="n">
        <v>3.853</v>
      </c>
      <c r="AG728" s="14" t="n">
        <v>-9.257</v>
      </c>
      <c r="AH728" s="14" t="n">
        <v>10.323</v>
      </c>
      <c r="AI728" s="14" t="n">
        <v>0</v>
      </c>
      <c r="AJ728" s="14" t="n">
        <v>1</v>
      </c>
      <c r="AK728" s="14" t="n">
        <v>28.28</v>
      </c>
      <c r="AL728" s="14" t="n">
        <v>13.88</v>
      </c>
      <c r="AM728" s="14" t="n">
        <v>-4.203</v>
      </c>
      <c r="AN728" s="14" t="n">
        <v>29.132</v>
      </c>
      <c r="AO728" s="14" t="n">
        <v>0.21</v>
      </c>
      <c r="AP728" s="14" t="n">
        <v>1</v>
      </c>
      <c r="AQ728" s="14" t="n">
        <v>0.619</v>
      </c>
      <c r="AR728" s="14" t="n">
        <v>0.114</v>
      </c>
      <c r="AS728" s="14" t="n">
        <v>0.73</v>
      </c>
      <c r="AT728" s="14" t="n">
        <v>1.632</v>
      </c>
      <c r="AU728" s="14" t="n">
        <v>0.21</v>
      </c>
      <c r="AV728" s="14" t="n">
        <v>1</v>
      </c>
      <c r="AW728" s="14" t="n">
        <v>0.599</v>
      </c>
      <c r="AX728" s="14" t="n">
        <v>0.114</v>
      </c>
      <c r="AY728" s="14" t="n">
        <v>0.618</v>
      </c>
      <c r="AZ728" s="14" t="n">
        <v>1.473</v>
      </c>
      <c r="BA728" s="14" t="n">
        <v>0.21</v>
      </c>
      <c r="BB728" s="14" t="n">
        <v>1</v>
      </c>
      <c r="BC728" s="14" t="n">
        <v>0.439</v>
      </c>
      <c r="BD728" s="14" t="n">
        <v>0.114</v>
      </c>
      <c r="BE728" s="14" t="n">
        <v>0.302</v>
      </c>
      <c r="BF728" s="14" t="n">
        <v>0.896</v>
      </c>
      <c r="BG728" s="14" t="n">
        <v>0.21</v>
      </c>
      <c r="BH728" s="14" t="n">
        <v>1</v>
      </c>
      <c r="BI728" s="14" t="n">
        <v>0.505</v>
      </c>
      <c r="BJ728" s="14" t="n">
        <v>0.114</v>
      </c>
      <c r="BK728" s="14" t="n">
        <v>0.205</v>
      </c>
      <c r="BL728" s="14" t="n">
        <v>0.859</v>
      </c>
      <c r="BM728" s="14" t="n">
        <v>0.21</v>
      </c>
      <c r="BN728" s="14" t="n">
        <v>1</v>
      </c>
      <c r="BO728" s="14" t="n">
        <v>0</v>
      </c>
      <c r="BP728" s="14" t="n">
        <v>0.022</v>
      </c>
      <c r="BQ728" s="14" t="n">
        <v>0.125</v>
      </c>
      <c r="BR728" s="14" t="n">
        <v>0</v>
      </c>
      <c r="BS728" s="14" t="n">
        <v>1</v>
      </c>
      <c r="BT728" s="14" t="n">
        <v>0</v>
      </c>
      <c r="BU728" s="14" t="n">
        <v>0.07099999999999999</v>
      </c>
      <c r="BV728" s="14" t="n">
        <v>0.304</v>
      </c>
      <c r="BW728" s="14" t="n">
        <v>0.21</v>
      </c>
      <c r="BX728" s="14" t="n">
        <v>1</v>
      </c>
      <c r="BY728" s="14" t="n">
        <v>11.787</v>
      </c>
      <c r="BZ728" s="14" t="n">
        <v>0</v>
      </c>
      <c r="CA728" s="14" t="n">
        <v>11.787</v>
      </c>
      <c r="CB728" s="14" t="n">
        <v>0</v>
      </c>
      <c r="CC728" s="14" t="n">
        <v>78.125</v>
      </c>
      <c r="CD728" s="14" t="n">
        <v>7.95</v>
      </c>
      <c r="CE728" s="14" t="n">
        <v>41.391</v>
      </c>
      <c r="CF728" s="14" t="n">
        <v>144.614</v>
      </c>
      <c r="CG728" s="14" t="n">
        <v>0.21</v>
      </c>
      <c r="CH728" s="14" t="n">
        <v>1</v>
      </c>
      <c r="CI728" s="14" t="n">
        <v>0</v>
      </c>
      <c r="CJ728" s="14" t="n">
        <v>0</v>
      </c>
      <c r="CK728" s="14" t="n">
        <v>0</v>
      </c>
      <c r="CL728" s="14" t="n">
        <v>0</v>
      </c>
      <c r="CM728" s="14" t="n">
        <v>0.155</v>
      </c>
      <c r="CN728" s="14" t="n">
        <v>0</v>
      </c>
      <c r="CO728" s="14" t="n">
        <v>0</v>
      </c>
      <c r="CP728" s="14" t="n">
        <v>0</v>
      </c>
      <c r="CQ728" s="14" t="n">
        <v>1.198</v>
      </c>
      <c r="CR728" s="14" t="n">
        <v>0</v>
      </c>
      <c r="CS728" s="14" t="n">
        <v>4.776</v>
      </c>
      <c r="CT728" s="14" t="n">
        <v>5.294</v>
      </c>
      <c r="CU728" s="14" t="n">
        <v>15.658</v>
      </c>
    </row>
    <row r="729">
      <c r="A729" s="14" t="inlineStr">
        <is>
          <t>ESP2022</t>
        </is>
      </c>
      <c r="B729" s="14" t="inlineStr">
        <is>
          <t>ESP</t>
        </is>
      </c>
      <c r="C729" s="14" t="inlineStr">
        <is>
          <t>ESP</t>
        </is>
      </c>
      <c r="D729" s="14" t="inlineStr">
        <is>
          <t>Spain</t>
        </is>
      </c>
      <c r="E729" s="14" t="n">
        <v>2022</v>
      </c>
      <c r="F729" s="14" t="n">
        <v>0.21</v>
      </c>
      <c r="G729" s="14" t="n">
        <v>12.249</v>
      </c>
      <c r="H729" s="14" t="n">
        <v>1.235</v>
      </c>
      <c r="I729" s="14" t="n">
        <v>8.206</v>
      </c>
      <c r="J729" s="14" t="n">
        <v>20.455</v>
      </c>
      <c r="K729" s="14" t="n">
        <v>0</v>
      </c>
      <c r="L729" s="14" t="n">
        <v>1</v>
      </c>
      <c r="M729" s="14" t="n">
        <v>13.529</v>
      </c>
      <c r="N729" s="14" t="n">
        <v>3.704</v>
      </c>
      <c r="O729" s="14" t="n">
        <v>8.292</v>
      </c>
      <c r="P729" s="14" t="n">
        <v>21.822</v>
      </c>
      <c r="Q729" s="14" t="n">
        <v>0</v>
      </c>
      <c r="R729" s="14" t="n">
        <v>1</v>
      </c>
      <c r="S729" s="14" t="n">
        <v>18.423</v>
      </c>
      <c r="T729" s="14" t="n">
        <v>7.408</v>
      </c>
      <c r="U729" s="14" t="n">
        <v>0.698</v>
      </c>
      <c r="V729" s="14" t="n">
        <v>22.783</v>
      </c>
      <c r="W729" s="14" t="n">
        <v>0.21</v>
      </c>
      <c r="X729" s="14" t="n">
        <v>1</v>
      </c>
      <c r="Y729" s="14" t="n">
        <v>33.323</v>
      </c>
      <c r="Z729" s="14" t="n">
        <v>3.496</v>
      </c>
      <c r="AA729" s="14" t="n">
        <v>-2.525</v>
      </c>
      <c r="AB729" s="14" t="n">
        <v>30.798</v>
      </c>
      <c r="AC729" s="14" t="n">
        <v>0</v>
      </c>
      <c r="AD729" s="14" t="n">
        <v>1</v>
      </c>
      <c r="AE729" s="14" t="n">
        <v>33.37</v>
      </c>
      <c r="AF729" s="14" t="n">
        <v>6.186</v>
      </c>
      <c r="AG729" s="14" t="n">
        <v>-2.573</v>
      </c>
      <c r="AH729" s="14" t="n">
        <v>30.798</v>
      </c>
      <c r="AI729" s="14" t="n">
        <v>0</v>
      </c>
      <c r="AJ729" s="14" t="n">
        <v>1</v>
      </c>
      <c r="AK729" s="14" t="n">
        <v>42.618</v>
      </c>
      <c r="AL729" s="14" t="n">
        <v>20.352</v>
      </c>
      <c r="AM729" s="14" t="n">
        <v>-12.75</v>
      </c>
      <c r="AN729" s="14" t="n">
        <v>36.14</v>
      </c>
      <c r="AO729" s="14" t="n">
        <v>0.21</v>
      </c>
      <c r="AP729" s="14" t="n">
        <v>1</v>
      </c>
      <c r="AQ729" s="14" t="n">
        <v>0.861</v>
      </c>
      <c r="AR729" s="14" t="n">
        <v>0.123</v>
      </c>
      <c r="AS729" s="14" t="n">
        <v>0.6889999999999999</v>
      </c>
      <c r="AT729" s="14" t="n">
        <v>1.875</v>
      </c>
      <c r="AU729" s="14" t="n">
        <v>0.21</v>
      </c>
      <c r="AV729" s="14" t="n">
        <v>1</v>
      </c>
      <c r="AW729" s="14" t="n">
        <v>0.986</v>
      </c>
      <c r="AX729" s="14" t="n">
        <v>0.123</v>
      </c>
      <c r="AY729" s="14" t="n">
        <v>0.576</v>
      </c>
      <c r="AZ729" s="14" t="n">
        <v>1.89</v>
      </c>
      <c r="BA729" s="14" t="n">
        <v>0.21</v>
      </c>
      <c r="BB729" s="14" t="n">
        <v>1</v>
      </c>
      <c r="BC729" s="14" t="n">
        <v>0.598</v>
      </c>
      <c r="BD729" s="14" t="n">
        <v>0.123</v>
      </c>
      <c r="BE729" s="14" t="n">
        <v>0.266</v>
      </c>
      <c r="BF729" s="14" t="n">
        <v>1.045</v>
      </c>
      <c r="BG729" s="14" t="n">
        <v>0.21</v>
      </c>
      <c r="BH729" s="14" t="n">
        <v>1</v>
      </c>
      <c r="BI729" s="14" t="n">
        <v>0.612</v>
      </c>
      <c r="BJ729" s="14" t="n">
        <v>0.123</v>
      </c>
      <c r="BK729" s="14" t="n">
        <v>0.511</v>
      </c>
      <c r="BL729" s="14" t="n">
        <v>1.359</v>
      </c>
      <c r="BM729" s="14" t="n">
        <v>0.21</v>
      </c>
      <c r="BN729" s="14" t="n">
        <v>1</v>
      </c>
      <c r="BO729" s="14" t="n">
        <v>0</v>
      </c>
      <c r="BP729" s="14" t="n">
        <v>0.014</v>
      </c>
      <c r="BQ729" s="14" t="n">
        <v>0.223</v>
      </c>
      <c r="BR729" s="14" t="n">
        <v>0</v>
      </c>
      <c r="BS729" s="14" t="n">
        <v>1</v>
      </c>
      <c r="BT729" s="14" t="n">
        <v>0</v>
      </c>
      <c r="BU729" s="14" t="n">
        <v>0.025</v>
      </c>
      <c r="BV729" s="14" t="n">
        <v>0.338</v>
      </c>
      <c r="BW729" s="14" t="n">
        <v>0.21</v>
      </c>
      <c r="BX729" s="14" t="n">
        <v>1</v>
      </c>
      <c r="BY729" s="14" t="n">
        <v>12.729</v>
      </c>
      <c r="BZ729" s="14" t="n">
        <v>0</v>
      </c>
      <c r="CA729" s="14" t="n">
        <v>12.729</v>
      </c>
      <c r="CB729" s="14" t="n">
        <v>0</v>
      </c>
      <c r="CC729" s="14" t="n">
        <v>97.90000000000001</v>
      </c>
      <c r="CD729" s="14" t="n">
        <v>7.95</v>
      </c>
      <c r="CE729" s="14" t="n">
        <v>113.713</v>
      </c>
      <c r="CF729" s="14" t="n">
        <v>256.052</v>
      </c>
      <c r="CG729" s="14" t="n">
        <v>0.21</v>
      </c>
      <c r="CH729" s="14" t="n">
        <v>1</v>
      </c>
      <c r="CI729" s="14" t="n">
        <v>0</v>
      </c>
      <c r="CJ729" s="14" t="n">
        <v>0</v>
      </c>
      <c r="CK729" s="14" t="n">
        <v>0</v>
      </c>
      <c r="CL729" s="14" t="n">
        <v>0</v>
      </c>
      <c r="CM729" s="14" t="n">
        <v>0.167</v>
      </c>
      <c r="CN729" s="14" t="n">
        <v>0</v>
      </c>
      <c r="CO729" s="14" t="n">
        <v>0</v>
      </c>
      <c r="CP729" s="14" t="n">
        <v>0</v>
      </c>
      <c r="CQ729" s="14" t="n">
        <v>1.294</v>
      </c>
      <c r="CR729" s="14" t="n">
        <v>0</v>
      </c>
      <c r="CS729" s="14" t="n">
        <v>5.158</v>
      </c>
      <c r="CT729" s="14" t="n">
        <v>11.015</v>
      </c>
      <c r="CU729" s="14" t="n">
        <v>29.266</v>
      </c>
    </row>
    <row r="730">
      <c r="A730" s="14" t="inlineStr">
        <is>
          <t>ESP2023</t>
        </is>
      </c>
      <c r="B730" s="14" t="inlineStr">
        <is>
          <t>ESP</t>
        </is>
      </c>
      <c r="C730" s="14" t="inlineStr">
        <is>
          <t>ESP</t>
        </is>
      </c>
      <c r="D730" s="14" t="inlineStr">
        <is>
          <t>Spain</t>
        </is>
      </c>
      <c r="E730" s="14" t="n">
        <v>2023</v>
      </c>
      <c r="F730" s="14" t="n">
        <v>0.21</v>
      </c>
      <c r="G730" s="14" t="n">
        <v>8.535</v>
      </c>
      <c r="H730" s="14" t="n">
        <v>1.286</v>
      </c>
      <c r="I730" s="14" t="n">
        <v>9.504</v>
      </c>
      <c r="J730" s="14" t="n">
        <v>18.039</v>
      </c>
      <c r="K730" s="14" t="n">
        <v>0</v>
      </c>
      <c r="L730" s="14" t="n">
        <v>1</v>
      </c>
      <c r="M730" s="14" t="n">
        <v>10.851</v>
      </c>
      <c r="N730" s="14" t="n">
        <v>3.857</v>
      </c>
      <c r="O730" s="14" t="n">
        <v>9.603999999999999</v>
      </c>
      <c r="P730" s="14" t="n">
        <v>20.455</v>
      </c>
      <c r="Q730" s="14" t="n">
        <v>0</v>
      </c>
      <c r="R730" s="14" t="n">
        <v>1</v>
      </c>
      <c r="S730" s="14" t="n">
        <v>14.964</v>
      </c>
      <c r="T730" s="14" t="n">
        <v>7.714</v>
      </c>
      <c r="U730" s="14" t="n">
        <v>0.748</v>
      </c>
      <c r="V730" s="14" t="n">
        <v>18.579</v>
      </c>
      <c r="W730" s="14" t="n">
        <v>0.21</v>
      </c>
      <c r="X730" s="14" t="n">
        <v>1</v>
      </c>
      <c r="Y730" s="14" t="n">
        <v>15.827</v>
      </c>
      <c r="Z730" s="14" t="n">
        <v>1.773</v>
      </c>
      <c r="AA730" s="14" t="n">
        <v>8.339</v>
      </c>
      <c r="AB730" s="14" t="n">
        <v>24.166</v>
      </c>
      <c r="AC730" s="14" t="n">
        <v>0</v>
      </c>
      <c r="AD730" s="14" t="n">
        <v>1</v>
      </c>
      <c r="AE730" s="14" t="n">
        <v>15.926</v>
      </c>
      <c r="AF730" s="14" t="n">
        <v>3.172</v>
      </c>
      <c r="AG730" s="14" t="n">
        <v>8.24</v>
      </c>
      <c r="AH730" s="14" t="n">
        <v>24.166</v>
      </c>
      <c r="AI730" s="14" t="n">
        <v>0</v>
      </c>
      <c r="AJ730" s="14" t="n">
        <v>1</v>
      </c>
      <c r="AK730" s="14" t="n">
        <v>25.48</v>
      </c>
      <c r="AL730" s="14" t="n">
        <v>12.622</v>
      </c>
      <c r="AM730" s="14" t="n">
        <v>0.423</v>
      </c>
      <c r="AN730" s="14" t="n">
        <v>31.342</v>
      </c>
      <c r="AO730" s="14" t="n">
        <v>0.21</v>
      </c>
      <c r="AP730" s="14" t="n">
        <v>1</v>
      </c>
      <c r="AQ730" s="14" t="n">
        <v>0.76</v>
      </c>
      <c r="AR730" s="14" t="n">
        <v>0.129</v>
      </c>
      <c r="AS730" s="14" t="n">
        <v>0.702</v>
      </c>
      <c r="AT730" s="14" t="n">
        <v>1.769</v>
      </c>
      <c r="AU730" s="14" t="n">
        <v>0.21</v>
      </c>
      <c r="AV730" s="14" t="n">
        <v>1</v>
      </c>
      <c r="AW730" s="14" t="n">
        <v>0.8110000000000001</v>
      </c>
      <c r="AX730" s="14" t="n">
        <v>0.129</v>
      </c>
      <c r="AY730" s="14" t="n">
        <v>0.584</v>
      </c>
      <c r="AZ730" s="14" t="n">
        <v>1.688</v>
      </c>
      <c r="BA730" s="14" t="n">
        <v>0.21</v>
      </c>
      <c r="BB730" s="14" t="n">
        <v>1</v>
      </c>
      <c r="BC730" s="14" t="n">
        <v>0.535</v>
      </c>
      <c r="BD730" s="14" t="n">
        <v>0.129</v>
      </c>
      <c r="BE730" s="14" t="n">
        <v>0.321</v>
      </c>
      <c r="BF730" s="14" t="n">
        <v>1.036</v>
      </c>
      <c r="BG730" s="14" t="n">
        <v>0.21</v>
      </c>
      <c r="BH730" s="14" t="n">
        <v>1</v>
      </c>
      <c r="BI730" s="14" t="n">
        <v>0.579</v>
      </c>
      <c r="BJ730" s="14" t="n">
        <v>0.129</v>
      </c>
      <c r="BK730" s="14" t="n">
        <v>0.362</v>
      </c>
      <c r="BL730" s="14" t="n">
        <v>1.139</v>
      </c>
      <c r="BM730" s="14" t="n">
        <v>0.21</v>
      </c>
      <c r="BN730" s="14" t="n">
        <v>1</v>
      </c>
      <c r="BO730" s="14" t="n">
        <v>0</v>
      </c>
      <c r="BP730" s="14" t="n">
        <v>0.005</v>
      </c>
      <c r="BQ730" s="14" t="n">
        <v>0.134</v>
      </c>
      <c r="BR730" s="14" t="n">
        <v>0</v>
      </c>
      <c r="BS730" s="14" t="n">
        <v>1</v>
      </c>
      <c r="BT730" s="14" t="n">
        <v>0</v>
      </c>
      <c r="BU730" s="14" t="n">
        <v>0.017</v>
      </c>
      <c r="BV730" s="14" t="n">
        <v>0.26</v>
      </c>
      <c r="BW730" s="14" t="n">
        <v>0.21</v>
      </c>
      <c r="BX730" s="14" t="n">
        <v>1</v>
      </c>
      <c r="BY730" s="14" t="n">
        <v>13.254</v>
      </c>
      <c r="BZ730" s="14" t="n">
        <v>0</v>
      </c>
      <c r="CA730" s="14" t="n">
        <v>13.254</v>
      </c>
      <c r="CB730" s="14" t="n">
        <v>0</v>
      </c>
      <c r="CC730" s="14" t="n">
        <v>83.248</v>
      </c>
      <c r="CD730" s="14" t="n">
        <v>7.95</v>
      </c>
      <c r="CE730" s="14" t="n">
        <v>105.416</v>
      </c>
      <c r="CF730" s="14" t="n">
        <v>228.283</v>
      </c>
      <c r="CG730" s="14" t="n">
        <v>0.21</v>
      </c>
      <c r="CH730" s="14" t="n">
        <v>1</v>
      </c>
      <c r="CI730" s="14" t="n">
        <v>0</v>
      </c>
      <c r="CJ730" s="14" t="n">
        <v>0</v>
      </c>
      <c r="CK730" s="14" t="n">
        <v>0</v>
      </c>
      <c r="CL730" s="14" t="n">
        <v>0</v>
      </c>
      <c r="CM730" s="14" t="n">
        <v>0.174</v>
      </c>
      <c r="CN730" s="14" t="n">
        <v>0</v>
      </c>
      <c r="CO730" s="14" t="n">
        <v>0</v>
      </c>
      <c r="CP730" s="14" t="n">
        <v>0</v>
      </c>
      <c r="CQ730" s="14" t="n">
        <v>1.348</v>
      </c>
      <c r="CR730" s="14" t="n">
        <v>0</v>
      </c>
      <c r="CS730" s="14" t="n">
        <v>5.37</v>
      </c>
      <c r="CT730" s="14" t="n">
        <v>7.25</v>
      </c>
      <c r="CU730" s="14" t="n">
        <v>11.72</v>
      </c>
    </row>
    <row r="731">
      <c r="A731" s="14" t="inlineStr">
        <is>
          <t>ESP2024</t>
        </is>
      </c>
      <c r="B731" s="14" t="inlineStr">
        <is>
          <t>ESP</t>
        </is>
      </c>
      <c r="C731" s="14" t="inlineStr">
        <is>
          <t>ESP</t>
        </is>
      </c>
      <c r="D731" s="14" t="inlineStr">
        <is>
          <t>Spain</t>
        </is>
      </c>
      <c r="E731" s="14" t="n">
        <v>2024</v>
      </c>
      <c r="F731" s="14" t="n">
        <v>0.21</v>
      </c>
      <c r="G731" s="14" t="n">
        <v>7.095</v>
      </c>
      <c r="H731" s="14" t="n">
        <v>1.324</v>
      </c>
      <c r="I731" s="14" t="n">
        <v>6.247</v>
      </c>
      <c r="J731" s="14" t="n">
        <v>13.341</v>
      </c>
      <c r="K731" s="14" t="n">
        <v>0</v>
      </c>
      <c r="L731" s="14" t="n">
        <v>1</v>
      </c>
      <c r="M731" s="14" t="n">
        <v>10.26</v>
      </c>
      <c r="N731" s="14" t="n">
        <v>3.971</v>
      </c>
      <c r="O731" s="14" t="n">
        <v>6.312</v>
      </c>
      <c r="P731" s="14" t="n">
        <v>16.572</v>
      </c>
      <c r="Q731" s="14" t="n">
        <v>0</v>
      </c>
      <c r="R731" s="14" t="n">
        <v>1</v>
      </c>
      <c r="S731" s="14" t="n">
        <v>13.713</v>
      </c>
      <c r="T731" s="14" t="n">
        <v>7.942</v>
      </c>
      <c r="U731" s="14" t="n">
        <v>0.796</v>
      </c>
      <c r="V731" s="14" t="n">
        <v>17.067</v>
      </c>
      <c r="W731" s="14" t="n">
        <v>0.21</v>
      </c>
      <c r="X731" s="14" t="n">
        <v>1</v>
      </c>
      <c r="Y731" s="14" t="n">
        <v>13.578</v>
      </c>
      <c r="Z731" s="14" t="n">
        <v>1.714</v>
      </c>
      <c r="AA731" s="14" t="n">
        <v>4.38</v>
      </c>
      <c r="AB731" s="14" t="n">
        <v>17.958</v>
      </c>
      <c r="AC731" s="14" t="n">
        <v>0</v>
      </c>
      <c r="AD731" s="14" t="n">
        <v>1</v>
      </c>
      <c r="AE731" s="14" t="n">
        <v>13.578</v>
      </c>
      <c r="AF731" s="14" t="n">
        <v>2.974</v>
      </c>
      <c r="AG731" s="14" t="n">
        <v>4.38</v>
      </c>
      <c r="AH731" s="14" t="n">
        <v>17.958</v>
      </c>
      <c r="AI731" s="14" t="n">
        <v>0</v>
      </c>
      <c r="AJ731" s="14" t="n">
        <v>1</v>
      </c>
      <c r="AK731" s="14" t="n">
        <v>20.49</v>
      </c>
      <c r="AL731" s="14" t="n">
        <v>10.422</v>
      </c>
      <c r="AM731" s="14" t="n">
        <v>1.357</v>
      </c>
      <c r="AN731" s="14" t="n">
        <v>26.434</v>
      </c>
      <c r="AO731" s="14" t="n">
        <v>0.21</v>
      </c>
      <c r="AP731" s="14" t="n">
        <v>1</v>
      </c>
      <c r="AQ731" s="14" t="n">
        <v>0.724</v>
      </c>
      <c r="AR731" s="14" t="n">
        <v>0.132</v>
      </c>
      <c r="AS731" s="14" t="n">
        <v>0.6870000000000001</v>
      </c>
      <c r="AT731" s="14" t="n">
        <v>1.708</v>
      </c>
      <c r="AU731" s="14" t="n">
        <v>0.21</v>
      </c>
      <c r="AV731" s="14" t="n">
        <v>1</v>
      </c>
      <c r="AW731" s="14" t="n">
        <v>0.75</v>
      </c>
      <c r="AX731" s="14" t="n">
        <v>0.132</v>
      </c>
      <c r="AY731" s="14" t="n">
        <v>0.5659999999999999</v>
      </c>
      <c r="AZ731" s="14" t="n">
        <v>1.592</v>
      </c>
      <c r="BA731" s="14" t="n">
        <v>0.21</v>
      </c>
      <c r="BB731" s="14" t="n">
        <v>1</v>
      </c>
      <c r="BC731" s="14" t="n">
        <v>0.513</v>
      </c>
      <c r="BD731" s="14" t="n">
        <v>0.132</v>
      </c>
      <c r="BE731" s="14" t="n">
        <v>0.334</v>
      </c>
      <c r="BF731" s="14" t="n">
        <v>1.025</v>
      </c>
      <c r="BG731" s="14" t="n">
        <v>0.21</v>
      </c>
      <c r="BH731" s="14" t="n">
        <v>1</v>
      </c>
      <c r="BI731" s="14" t="n">
        <v>0.591</v>
      </c>
      <c r="BJ731" s="14" t="n">
        <v>0.132</v>
      </c>
      <c r="BK731" s="14" t="n">
        <v>0.279</v>
      </c>
      <c r="BL731" s="14" t="n">
        <v>1.053</v>
      </c>
      <c r="BM731" s="14" t="n">
        <v>0.21</v>
      </c>
      <c r="BN731" s="14" t="n">
        <v>1</v>
      </c>
      <c r="BO731" s="14" t="n">
        <v>0</v>
      </c>
      <c r="BP731" s="14" t="n">
        <v>0.01</v>
      </c>
      <c r="BQ731" s="14" t="n">
        <v>0.116</v>
      </c>
      <c r="BR731" s="14" t="n">
        <v>0</v>
      </c>
      <c r="BS731" s="14" t="n">
        <v>1</v>
      </c>
      <c r="BT731" s="14" t="n">
        <v>0</v>
      </c>
      <c r="BU731" s="14" t="n">
        <v>0.032</v>
      </c>
      <c r="BV731" s="14" t="n">
        <v>0.262</v>
      </c>
      <c r="BW731" s="14" t="n">
        <v>0.21</v>
      </c>
      <c r="BX731" s="14" t="n">
        <v>1</v>
      </c>
      <c r="BY731" s="14" t="n">
        <v>13.646</v>
      </c>
      <c r="BZ731" s="14" t="n">
        <v>0</v>
      </c>
      <c r="CA731" s="14" t="n">
        <v>13.646</v>
      </c>
      <c r="CB731" s="14" t="n">
        <v>0</v>
      </c>
      <c r="CC731" s="14" t="n">
        <v>82.58799999999999</v>
      </c>
      <c r="CD731" s="14" t="n">
        <v>7.95</v>
      </c>
      <c r="CE731" s="14" t="n">
        <v>82.75700000000001</v>
      </c>
      <c r="CF731" s="14" t="n">
        <v>200.067</v>
      </c>
      <c r="CG731" s="14" t="n">
        <v>0.21</v>
      </c>
      <c r="CH731" s="14" t="n">
        <v>1</v>
      </c>
      <c r="CI731" s="14" t="n">
        <v>0</v>
      </c>
      <c r="CJ731" s="14" t="n">
        <v>0</v>
      </c>
      <c r="CK731" s="14" t="n">
        <v>0</v>
      </c>
      <c r="CL731" s="14" t="n">
        <v>0</v>
      </c>
      <c r="CM731" s="14" t="n">
        <v>0.179</v>
      </c>
      <c r="CN731" s="14" t="n">
        <v>0</v>
      </c>
      <c r="CO731" s="14" t="n">
        <v>0</v>
      </c>
      <c r="CP731" s="14" t="n">
        <v>0</v>
      </c>
      <c r="CQ731" s="14" t="n">
        <v>1.387</v>
      </c>
      <c r="CR731" s="14" t="n">
        <v>0</v>
      </c>
      <c r="CS731" s="14" t="n">
        <v>5.529</v>
      </c>
      <c r="CT731" s="14" t="n">
        <v>5.771</v>
      </c>
      <c r="CU731" s="14" t="n">
        <v>9.494999999999999</v>
      </c>
    </row>
    <row r="732">
      <c r="A732" s="14" t="inlineStr">
        <is>
          <t>LKA2021</t>
        </is>
      </c>
      <c r="B732" s="14" t="inlineStr">
        <is>
          <t>LKA</t>
        </is>
      </c>
      <c r="C732" s="14" t="inlineStr">
        <is>
          <t>LKA</t>
        </is>
      </c>
      <c r="D732" s="14" t="inlineStr">
        <is>
          <t>Sri Lanka</t>
        </is>
      </c>
      <c r="E732" s="14" t="n">
        <v>2021</v>
      </c>
      <c r="F732" s="14" t="n">
        <v>0.08</v>
      </c>
      <c r="G732" s="14" t="n">
        <v>4.606</v>
      </c>
      <c r="H732" s="14" t="n">
        <v>1.116</v>
      </c>
      <c r="I732" s="14" t="n">
        <v>0</v>
      </c>
      <c r="J732" s="14" t="n">
        <v>4.606</v>
      </c>
      <c r="K732" s="14" t="n">
        <v>0</v>
      </c>
      <c r="L732" s="14" t="n">
        <v>1</v>
      </c>
      <c r="M732" s="14" t="n">
        <v>7.724</v>
      </c>
      <c r="N732" s="14" t="n">
        <v>3.348</v>
      </c>
      <c r="O732" s="14" t="n">
        <v>0</v>
      </c>
      <c r="P732" s="14" t="n">
        <v>7.724</v>
      </c>
      <c r="Q732" s="14" t="n">
        <v>0</v>
      </c>
      <c r="R732" s="14" t="n">
        <v>1</v>
      </c>
      <c r="S732" s="14" t="n">
        <v>10.187</v>
      </c>
      <c r="T732" s="14" t="n">
        <v>6.697</v>
      </c>
      <c r="U732" s="14" t="n">
        <v>0</v>
      </c>
      <c r="V732" s="14" t="n">
        <v>11.001</v>
      </c>
      <c r="W732" s="14" t="n">
        <v>0.08</v>
      </c>
      <c r="X732" s="14" t="n">
        <v>1</v>
      </c>
      <c r="Y732" s="14" t="n">
        <v>4.783</v>
      </c>
      <c r="Z732" s="14" t="n">
        <v>0.5590000000000001</v>
      </c>
      <c r="AA732" s="14" t="n">
        <v>0</v>
      </c>
      <c r="AB732" s="14" t="n">
        <v>4.783</v>
      </c>
      <c r="AC732" s="14" t="n">
        <v>0</v>
      </c>
      <c r="AD732" s="14" t="n">
        <v>1</v>
      </c>
      <c r="AE732" s="14" t="n">
        <v>5.926</v>
      </c>
      <c r="AF732" s="14" t="n">
        <v>1.225</v>
      </c>
      <c r="AG732" s="14" t="n">
        <v>0</v>
      </c>
      <c r="AH732" s="14" t="n">
        <v>5.926</v>
      </c>
      <c r="AI732" s="14" t="n">
        <v>0</v>
      </c>
      <c r="AJ732" s="14" t="n">
        <v>1</v>
      </c>
      <c r="AK732" s="14" t="n">
        <v>12.786</v>
      </c>
      <c r="AL732" s="14" t="n">
        <v>6.372</v>
      </c>
      <c r="AM732" s="14" t="n">
        <v>0</v>
      </c>
      <c r="AN732" s="14" t="n">
        <v>13.809</v>
      </c>
      <c r="AO732" s="14" t="n">
        <v>0.08</v>
      </c>
      <c r="AP732" s="14" t="n">
        <v>1</v>
      </c>
      <c r="AQ732" s="14" t="n">
        <v>0.621</v>
      </c>
      <c r="AR732" s="14" t="n">
        <v>0.114</v>
      </c>
      <c r="AS732" s="14" t="n">
        <v>0.137</v>
      </c>
      <c r="AT732" s="14" t="n">
        <v>0.758</v>
      </c>
      <c r="AU732" s="14" t="n">
        <v>0</v>
      </c>
      <c r="AV732" s="14" t="n">
        <v>1</v>
      </c>
      <c r="AW732" s="14" t="n">
        <v>0.593</v>
      </c>
      <c r="AX732" s="14" t="n">
        <v>0.114</v>
      </c>
      <c r="AY732" s="14" t="n">
        <v>0.022</v>
      </c>
      <c r="AZ732" s="14" t="n">
        <v>0.615</v>
      </c>
      <c r="BA732" s="14" t="n">
        <v>0</v>
      </c>
      <c r="BB732" s="14" t="n">
        <v>1</v>
      </c>
      <c r="BC732" s="14" t="n">
        <v>0.44</v>
      </c>
      <c r="BD732" s="14" t="n">
        <v>0.114</v>
      </c>
      <c r="BE732" s="14" t="n">
        <v>0</v>
      </c>
      <c r="BF732" s="14" t="n">
        <v>0.475</v>
      </c>
      <c r="BG732" s="14" t="n">
        <v>0.08</v>
      </c>
      <c r="BH732" s="14" t="n">
        <v>1</v>
      </c>
      <c r="BI732" s="14" t="n">
        <v>0.5600000000000001</v>
      </c>
      <c r="BJ732" s="14" t="n">
        <v>0.114</v>
      </c>
      <c r="BK732" s="14" t="n">
        <v>-0.208</v>
      </c>
      <c r="BL732" s="14" t="n">
        <v>0.352</v>
      </c>
      <c r="BM732" s="14" t="n">
        <v>0</v>
      </c>
      <c r="BN732" s="14" t="n">
        <v>1</v>
      </c>
      <c r="BO732" s="14" t="n">
        <v>0</v>
      </c>
      <c r="BP732" s="14" t="n">
        <v>-0.03</v>
      </c>
      <c r="BQ732" s="14" t="n">
        <v>0.074</v>
      </c>
      <c r="BR732" s="14" t="n">
        <v>0</v>
      </c>
      <c r="BS732" s="14" t="n">
        <v>0.833</v>
      </c>
      <c r="BT732" s="14" t="n">
        <v>0</v>
      </c>
      <c r="BU732" s="14" t="n">
        <v>-0.03</v>
      </c>
      <c r="BV732" s="14" t="n">
        <v>0.075</v>
      </c>
      <c r="BW732" s="14" t="n">
        <v>0</v>
      </c>
      <c r="BX732" s="14" t="n">
        <v>0.833</v>
      </c>
      <c r="BY732" s="14" t="n">
        <v>11.787</v>
      </c>
      <c r="BZ732" s="14" t="n">
        <v>0</v>
      </c>
      <c r="CA732" s="14" t="n">
        <v>11.787</v>
      </c>
      <c r="CB732" s="14" t="n">
        <v>0</v>
      </c>
      <c r="CC732" s="14" t="n">
        <v>81.69499999999999</v>
      </c>
      <c r="CD732" s="14" t="n">
        <v>7.95</v>
      </c>
      <c r="CE732" s="14" t="n">
        <v>-15.969</v>
      </c>
      <c r="CF732" s="14" t="n">
        <v>70.985</v>
      </c>
      <c r="CG732" s="14" t="n">
        <v>0.08</v>
      </c>
      <c r="CH732" s="14" t="n">
        <v>1</v>
      </c>
      <c r="CI732" s="14" t="n">
        <v>0</v>
      </c>
      <c r="CJ732" s="14" t="n">
        <v>0</v>
      </c>
      <c r="CK732" s="14" t="n">
        <v>0</v>
      </c>
      <c r="CL732" s="14" t="n">
        <v>0</v>
      </c>
      <c r="CM732" s="14" t="n">
        <v>0</v>
      </c>
      <c r="CN732" s="14" t="n">
        <v>0</v>
      </c>
      <c r="CO732" s="14" t="n">
        <v>0</v>
      </c>
      <c r="CP732" s="14" t="n">
        <v>0.048</v>
      </c>
      <c r="CQ732" s="14" t="n">
        <v>1.198</v>
      </c>
      <c r="CR732" s="14" t="n">
        <v>0</v>
      </c>
      <c r="CS732" s="14" t="n">
        <v>4.776</v>
      </c>
      <c r="CT732" s="14" t="n">
        <v>3.604</v>
      </c>
      <c r="CU732" s="14" t="n">
        <v>16.843</v>
      </c>
    </row>
    <row r="733">
      <c r="A733" s="14" t="inlineStr">
        <is>
          <t>LKA2022</t>
        </is>
      </c>
      <c r="B733" s="14" t="inlineStr">
        <is>
          <t>LKA</t>
        </is>
      </c>
      <c r="C733" s="14" t="inlineStr">
        <is>
          <t>LKA</t>
        </is>
      </c>
      <c r="D733" s="14" t="inlineStr">
        <is>
          <t>Sri Lanka</t>
        </is>
      </c>
      <c r="E733" s="14" t="n">
        <v>2022</v>
      </c>
      <c r="F733" s="14" t="n">
        <v>0.08</v>
      </c>
      <c r="G733" s="14" t="n">
        <v>8.781000000000001</v>
      </c>
      <c r="H733" s="14" t="n">
        <v>1.234</v>
      </c>
      <c r="I733" s="14" t="n">
        <v>0</v>
      </c>
      <c r="J733" s="14" t="n">
        <v>8.781000000000001</v>
      </c>
      <c r="K733" s="14" t="n">
        <v>0</v>
      </c>
      <c r="L733" s="14" t="n">
        <v>1</v>
      </c>
      <c r="M733" s="14" t="n">
        <v>9.775</v>
      </c>
      <c r="N733" s="14" t="n">
        <v>3.702</v>
      </c>
      <c r="O733" s="14" t="n">
        <v>0</v>
      </c>
      <c r="P733" s="14" t="n">
        <v>9.775</v>
      </c>
      <c r="Q733" s="14" t="n">
        <v>0</v>
      </c>
      <c r="R733" s="14" t="n">
        <v>1</v>
      </c>
      <c r="S733" s="14" t="n">
        <v>14.95</v>
      </c>
      <c r="T733" s="14" t="n">
        <v>7.404</v>
      </c>
      <c r="U733" s="14" t="n">
        <v>0.089</v>
      </c>
      <c r="V733" s="14" t="n">
        <v>16.147</v>
      </c>
      <c r="W733" s="14" t="n">
        <v>0.08</v>
      </c>
      <c r="X733" s="14" t="n">
        <v>1</v>
      </c>
      <c r="Y733" s="14" t="n">
        <v>5.165</v>
      </c>
      <c r="Z733" s="14" t="n">
        <v>0.603</v>
      </c>
      <c r="AA733" s="14" t="n">
        <v>0</v>
      </c>
      <c r="AB733" s="14" t="n">
        <v>5.165</v>
      </c>
      <c r="AC733" s="14" t="n">
        <v>0</v>
      </c>
      <c r="AD733" s="14" t="n">
        <v>1</v>
      </c>
      <c r="AE733" s="14" t="n">
        <v>6.4</v>
      </c>
      <c r="AF733" s="14" t="n">
        <v>1.323</v>
      </c>
      <c r="AG733" s="14" t="n">
        <v>0</v>
      </c>
      <c r="AH733" s="14" t="n">
        <v>6.4</v>
      </c>
      <c r="AI733" s="14" t="n">
        <v>0</v>
      </c>
      <c r="AJ733" s="14" t="n">
        <v>1</v>
      </c>
      <c r="AK733" s="14" t="n">
        <v>13.808</v>
      </c>
      <c r="AL733" s="14" t="n">
        <v>6.881</v>
      </c>
      <c r="AM733" s="14" t="n">
        <v>0.082</v>
      </c>
      <c r="AN733" s="14" t="n">
        <v>14.912</v>
      </c>
      <c r="AO733" s="14" t="n">
        <v>0.08</v>
      </c>
      <c r="AP733" s="14" t="n">
        <v>1</v>
      </c>
      <c r="AQ733" s="14" t="n">
        <v>0.847</v>
      </c>
      <c r="AR733" s="14" t="n">
        <v>0.123</v>
      </c>
      <c r="AS733" s="14" t="n">
        <v>0.313</v>
      </c>
      <c r="AT733" s="14" t="n">
        <v>1.16</v>
      </c>
      <c r="AU733" s="14" t="n">
        <v>0</v>
      </c>
      <c r="AV733" s="14" t="n">
        <v>1</v>
      </c>
      <c r="AW733" s="14" t="n">
        <v>0.947</v>
      </c>
      <c r="AX733" s="14" t="n">
        <v>0.123</v>
      </c>
      <c r="AY733" s="14" t="n">
        <v>0.149</v>
      </c>
      <c r="AZ733" s="14" t="n">
        <v>1.096</v>
      </c>
      <c r="BA733" s="14" t="n">
        <v>0</v>
      </c>
      <c r="BB733" s="14" t="n">
        <v>1</v>
      </c>
      <c r="BC733" s="14" t="n">
        <v>0.589</v>
      </c>
      <c r="BD733" s="14" t="n">
        <v>0.123</v>
      </c>
      <c r="BE733" s="14" t="n">
        <v>0.003</v>
      </c>
      <c r="BF733" s="14" t="n">
        <v>0.636</v>
      </c>
      <c r="BG733" s="14" t="n">
        <v>0.08</v>
      </c>
      <c r="BH733" s="14" t="n">
        <v>1</v>
      </c>
      <c r="BI733" s="14" t="n">
        <v>0.6889999999999999</v>
      </c>
      <c r="BJ733" s="14" t="n">
        <v>0.123</v>
      </c>
      <c r="BK733" s="14" t="n">
        <v>-0.095</v>
      </c>
      <c r="BL733" s="14" t="n">
        <v>0.594</v>
      </c>
      <c r="BM733" s="14" t="n">
        <v>0</v>
      </c>
      <c r="BN733" s="14" t="n">
        <v>1</v>
      </c>
      <c r="BO733" s="14" t="n">
        <v>0</v>
      </c>
      <c r="BP733" s="14" t="n">
        <v>-0.099</v>
      </c>
      <c r="BQ733" s="14" t="n">
        <v>0.06900000000000001</v>
      </c>
      <c r="BR733" s="14" t="n">
        <v>0</v>
      </c>
      <c r="BS733" s="14" t="n">
        <v>0.833</v>
      </c>
      <c r="BT733" s="14" t="n">
        <v>0</v>
      </c>
      <c r="BU733" s="14" t="n">
        <v>-0.099</v>
      </c>
      <c r="BV733" s="14" t="n">
        <v>0.075</v>
      </c>
      <c r="BW733" s="14" t="n">
        <v>0</v>
      </c>
      <c r="BX733" s="14" t="n">
        <v>0.833</v>
      </c>
      <c r="BY733" s="14" t="n">
        <v>12.729</v>
      </c>
      <c r="BZ733" s="14" t="n">
        <v>0</v>
      </c>
      <c r="CA733" s="14" t="n">
        <v>12.729</v>
      </c>
      <c r="CB733" s="14" t="n">
        <v>0</v>
      </c>
      <c r="CC733" s="14" t="n">
        <v>102.477</v>
      </c>
      <c r="CD733" s="14" t="n">
        <v>7.95</v>
      </c>
      <c r="CE733" s="14" t="n">
        <v>30.002</v>
      </c>
      <c r="CF733" s="14" t="n">
        <v>143.077</v>
      </c>
      <c r="CG733" s="14" t="n">
        <v>0.08</v>
      </c>
      <c r="CH733" s="14" t="n">
        <v>1</v>
      </c>
      <c r="CI733" s="14" t="n">
        <v>0</v>
      </c>
      <c r="CJ733" s="14" t="n">
        <v>0</v>
      </c>
      <c r="CK733" s="14" t="n">
        <v>0</v>
      </c>
      <c r="CL733" s="14" t="n">
        <v>0</v>
      </c>
      <c r="CM733" s="14" t="n">
        <v>0</v>
      </c>
      <c r="CN733" s="14" t="n">
        <v>0</v>
      </c>
      <c r="CO733" s="14" t="n">
        <v>0</v>
      </c>
      <c r="CP733" s="14" t="n">
        <v>0.001</v>
      </c>
      <c r="CQ733" s="14" t="n">
        <v>1.294</v>
      </c>
      <c r="CR733" s="14" t="n">
        <v>0</v>
      </c>
      <c r="CS733" s="14" t="n">
        <v>5.158</v>
      </c>
      <c r="CT733" s="14" t="n">
        <v>7.554</v>
      </c>
      <c r="CU733" s="14" t="n">
        <v>30.149</v>
      </c>
    </row>
    <row r="734">
      <c r="A734" s="14" t="inlineStr">
        <is>
          <t>LKA2023</t>
        </is>
      </c>
      <c r="B734" s="14" t="inlineStr">
        <is>
          <t>LKA</t>
        </is>
      </c>
      <c r="C734" s="14" t="inlineStr">
        <is>
          <t>LKA</t>
        </is>
      </c>
      <c r="D734" s="14" t="inlineStr">
        <is>
          <t>Sri Lanka</t>
        </is>
      </c>
      <c r="E734" s="14" t="n">
        <v>2023</v>
      </c>
      <c r="F734" s="14" t="n">
        <v>0.08</v>
      </c>
      <c r="G734" s="14" t="n">
        <v>5.641</v>
      </c>
      <c r="H734" s="14" t="n">
        <v>1.264</v>
      </c>
      <c r="I734" s="14" t="n">
        <v>0</v>
      </c>
      <c r="J734" s="14" t="n">
        <v>5.641</v>
      </c>
      <c r="K734" s="14" t="n">
        <v>0</v>
      </c>
      <c r="L734" s="14" t="n">
        <v>1</v>
      </c>
      <c r="M734" s="14" t="n">
        <v>7.729</v>
      </c>
      <c r="N734" s="14" t="n">
        <v>3.791</v>
      </c>
      <c r="O734" s="14" t="n">
        <v>0</v>
      </c>
      <c r="P734" s="14" t="n">
        <v>7.729</v>
      </c>
      <c r="Q734" s="14" t="n">
        <v>0</v>
      </c>
      <c r="R734" s="14" t="n">
        <v>1</v>
      </c>
      <c r="S734" s="14" t="n">
        <v>11.96</v>
      </c>
      <c r="T734" s="14" t="n">
        <v>7.582</v>
      </c>
      <c r="U734" s="14" t="n">
        <v>0.106</v>
      </c>
      <c r="V734" s="14" t="n">
        <v>12.916</v>
      </c>
      <c r="W734" s="14" t="n">
        <v>0.08</v>
      </c>
      <c r="X734" s="14" t="n">
        <v>1</v>
      </c>
      <c r="Y734" s="14" t="n">
        <v>5.378</v>
      </c>
      <c r="Z734" s="14" t="n">
        <v>0.628</v>
      </c>
      <c r="AA734" s="14" t="n">
        <v>0</v>
      </c>
      <c r="AB734" s="14" t="n">
        <v>5.378</v>
      </c>
      <c r="AC734" s="14" t="n">
        <v>0</v>
      </c>
      <c r="AD734" s="14" t="n">
        <v>1</v>
      </c>
      <c r="AE734" s="14" t="n">
        <v>6.664</v>
      </c>
      <c r="AF734" s="14" t="n">
        <v>1.378</v>
      </c>
      <c r="AG734" s="14" t="n">
        <v>0</v>
      </c>
      <c r="AH734" s="14" t="n">
        <v>6.664</v>
      </c>
      <c r="AI734" s="14" t="n">
        <v>0</v>
      </c>
      <c r="AJ734" s="14" t="n">
        <v>1</v>
      </c>
      <c r="AK734" s="14" t="n">
        <v>14.378</v>
      </c>
      <c r="AL734" s="14" t="n">
        <v>7.165</v>
      </c>
      <c r="AM734" s="14" t="n">
        <v>0.127</v>
      </c>
      <c r="AN734" s="14" t="n">
        <v>15.528</v>
      </c>
      <c r="AO734" s="14" t="n">
        <v>0.08</v>
      </c>
      <c r="AP734" s="14" t="n">
        <v>1</v>
      </c>
      <c r="AQ734" s="14" t="n">
        <v>0.749</v>
      </c>
      <c r="AR734" s="14" t="n">
        <v>0.129</v>
      </c>
      <c r="AS734" s="14" t="n">
        <v>0.409</v>
      </c>
      <c r="AT734" s="14" t="n">
        <v>1.158</v>
      </c>
      <c r="AU734" s="14" t="n">
        <v>0</v>
      </c>
      <c r="AV734" s="14" t="n">
        <v>1</v>
      </c>
      <c r="AW734" s="14" t="n">
        <v>0.783</v>
      </c>
      <c r="AX734" s="14" t="n">
        <v>0.129</v>
      </c>
      <c r="AY734" s="14" t="n">
        <v>0.355</v>
      </c>
      <c r="AZ734" s="14" t="n">
        <v>1.138</v>
      </c>
      <c r="BA734" s="14" t="n">
        <v>0</v>
      </c>
      <c r="BB734" s="14" t="n">
        <v>1</v>
      </c>
      <c r="BC734" s="14" t="n">
        <v>0.527</v>
      </c>
      <c r="BD734" s="14" t="n">
        <v>0.129</v>
      </c>
      <c r="BE734" s="14" t="n">
        <v>0.005</v>
      </c>
      <c r="BF734" s="14" t="n">
        <v>0.57</v>
      </c>
      <c r="BG734" s="14" t="n">
        <v>0.08</v>
      </c>
      <c r="BH734" s="14" t="n">
        <v>1</v>
      </c>
      <c r="BI734" s="14" t="n">
        <v>0.64</v>
      </c>
      <c r="BJ734" s="14" t="n">
        <v>0.129</v>
      </c>
      <c r="BK734" s="14" t="n">
        <v>0.168</v>
      </c>
      <c r="BL734" s="14" t="n">
        <v>0.8080000000000001</v>
      </c>
      <c r="BM734" s="14" t="n">
        <v>0</v>
      </c>
      <c r="BN734" s="14" t="n">
        <v>1</v>
      </c>
      <c r="BO734" s="14" t="n">
        <v>0</v>
      </c>
      <c r="BP734" s="14" t="n">
        <v>-0.042</v>
      </c>
      <c r="BQ734" s="14" t="n">
        <v>0.068</v>
      </c>
      <c r="BR734" s="14" t="n">
        <v>0</v>
      </c>
      <c r="BS734" s="14" t="n">
        <v>0.833</v>
      </c>
      <c r="BT734" s="14" t="n">
        <v>0</v>
      </c>
      <c r="BU734" s="14" t="n">
        <v>-0.042</v>
      </c>
      <c r="BV734" s="14" t="n">
        <v>0.074</v>
      </c>
      <c r="BW734" s="14" t="n">
        <v>0</v>
      </c>
      <c r="BX734" s="14" t="n">
        <v>0.833</v>
      </c>
      <c r="BY734" s="14" t="n">
        <v>13.254</v>
      </c>
      <c r="BZ734" s="14" t="n">
        <v>0</v>
      </c>
      <c r="CA734" s="14" t="n">
        <v>13.254</v>
      </c>
      <c r="CB734" s="14" t="n">
        <v>0</v>
      </c>
      <c r="CC734" s="14" t="n">
        <v>87.07899999999999</v>
      </c>
      <c r="CD734" s="14" t="n">
        <v>7.95</v>
      </c>
      <c r="CE734" s="14" t="n">
        <v>15.299</v>
      </c>
      <c r="CF734" s="14" t="n">
        <v>110.568</v>
      </c>
      <c r="CG734" s="14" t="n">
        <v>0.08</v>
      </c>
      <c r="CH734" s="14" t="n">
        <v>1</v>
      </c>
      <c r="CI734" s="14" t="n">
        <v>0</v>
      </c>
      <c r="CJ734" s="14" t="n">
        <v>0</v>
      </c>
      <c r="CK734" s="14" t="n">
        <v>0</v>
      </c>
      <c r="CL734" s="14" t="n">
        <v>0</v>
      </c>
      <c r="CM734" s="14" t="n">
        <v>0</v>
      </c>
      <c r="CN734" s="14" t="n">
        <v>0</v>
      </c>
      <c r="CO734" s="14" t="n">
        <v>0</v>
      </c>
      <c r="CP734" s="14" t="n">
        <v>0.034</v>
      </c>
      <c r="CQ734" s="14" t="n">
        <v>1.348</v>
      </c>
      <c r="CR734" s="14" t="n">
        <v>0</v>
      </c>
      <c r="CS734" s="14" t="n">
        <v>5.37</v>
      </c>
      <c r="CT734" s="14" t="n">
        <v>4.484</v>
      </c>
      <c r="CU734" s="14" t="n">
        <v>12.392</v>
      </c>
    </row>
    <row r="735">
      <c r="A735" s="14" t="inlineStr">
        <is>
          <t>LKA2024</t>
        </is>
      </c>
      <c r="B735" s="14" t="inlineStr">
        <is>
          <t>LKA</t>
        </is>
      </c>
      <c r="C735" s="14" t="inlineStr">
        <is>
          <t>LKA</t>
        </is>
      </c>
      <c r="D735" s="14" t="inlineStr">
        <is>
          <t>Sri Lanka</t>
        </is>
      </c>
      <c r="E735" s="14" t="n">
        <v>2024</v>
      </c>
      <c r="F735" s="14" t="n">
        <v>0.08</v>
      </c>
      <c r="G735" s="14" t="n">
        <v>4.738</v>
      </c>
      <c r="H735" s="14" t="n">
        <v>1.301</v>
      </c>
      <c r="I735" s="14" t="n">
        <v>0</v>
      </c>
      <c r="J735" s="14" t="n">
        <v>4.738</v>
      </c>
      <c r="K735" s="14" t="n">
        <v>0</v>
      </c>
      <c r="L735" s="14" t="n">
        <v>1</v>
      </c>
      <c r="M735" s="14" t="n">
        <v>6.996</v>
      </c>
      <c r="N735" s="14" t="n">
        <v>3.903</v>
      </c>
      <c r="O735" s="14" t="n">
        <v>0</v>
      </c>
      <c r="P735" s="14" t="n">
        <v>6.996</v>
      </c>
      <c r="Q735" s="14" t="n">
        <v>0</v>
      </c>
      <c r="R735" s="14" t="n">
        <v>1</v>
      </c>
      <c r="S735" s="14" t="n">
        <v>11.243</v>
      </c>
      <c r="T735" s="14" t="n">
        <v>7.806</v>
      </c>
      <c r="U735" s="14" t="n">
        <v>0.123</v>
      </c>
      <c r="V735" s="14" t="n">
        <v>12.142</v>
      </c>
      <c r="W735" s="14" t="n">
        <v>0.08</v>
      </c>
      <c r="X735" s="14" t="n">
        <v>1</v>
      </c>
      <c r="Y735" s="14" t="n">
        <v>5.537</v>
      </c>
      <c r="Z735" s="14" t="n">
        <v>0.647</v>
      </c>
      <c r="AA735" s="14" t="n">
        <v>0</v>
      </c>
      <c r="AB735" s="14" t="n">
        <v>5.537</v>
      </c>
      <c r="AC735" s="14" t="n">
        <v>0</v>
      </c>
      <c r="AD735" s="14" t="n">
        <v>1</v>
      </c>
      <c r="AE735" s="14" t="n">
        <v>6.861</v>
      </c>
      <c r="AF735" s="14" t="n">
        <v>1.419</v>
      </c>
      <c r="AG735" s="14" t="n">
        <v>0</v>
      </c>
      <c r="AH735" s="14" t="n">
        <v>6.861</v>
      </c>
      <c r="AI735" s="14" t="n">
        <v>0</v>
      </c>
      <c r="AJ735" s="14" t="n">
        <v>1</v>
      </c>
      <c r="AK735" s="14" t="n">
        <v>14.802</v>
      </c>
      <c r="AL735" s="14" t="n">
        <v>7.377</v>
      </c>
      <c r="AM735" s="14" t="n">
        <v>0.161</v>
      </c>
      <c r="AN735" s="14" t="n">
        <v>15.986</v>
      </c>
      <c r="AO735" s="14" t="n">
        <v>0.08</v>
      </c>
      <c r="AP735" s="14" t="n">
        <v>1</v>
      </c>
      <c r="AQ735" s="14" t="n">
        <v>0.72</v>
      </c>
      <c r="AR735" s="14" t="n">
        <v>0.132</v>
      </c>
      <c r="AS735" s="14" t="n">
        <v>0.463</v>
      </c>
      <c r="AT735" s="14" t="n">
        <v>1.183</v>
      </c>
      <c r="AU735" s="14" t="n">
        <v>0</v>
      </c>
      <c r="AV735" s="14" t="n">
        <v>1</v>
      </c>
      <c r="AW735" s="14" t="n">
        <v>0.734</v>
      </c>
      <c r="AX735" s="14" t="n">
        <v>0.132</v>
      </c>
      <c r="AY735" s="14" t="n">
        <v>0.393</v>
      </c>
      <c r="AZ735" s="14" t="n">
        <v>1.127</v>
      </c>
      <c r="BA735" s="14" t="n">
        <v>0</v>
      </c>
      <c r="BB735" s="14" t="n">
        <v>1</v>
      </c>
      <c r="BC735" s="14" t="n">
        <v>0.51</v>
      </c>
      <c r="BD735" s="14" t="n">
        <v>0.132</v>
      </c>
      <c r="BE735" s="14" t="n">
        <v>0.006</v>
      </c>
      <c r="BF735" s="14" t="n">
        <v>0.551</v>
      </c>
      <c r="BG735" s="14" t="n">
        <v>0.08</v>
      </c>
      <c r="BH735" s="14" t="n">
        <v>1</v>
      </c>
      <c r="BI735" s="14" t="n">
        <v>0.652</v>
      </c>
      <c r="BJ735" s="14" t="n">
        <v>0.132</v>
      </c>
      <c r="BK735" s="14" t="n">
        <v>-0.027</v>
      </c>
      <c r="BL735" s="14" t="n">
        <v>0.625</v>
      </c>
      <c r="BM735" s="14" t="n">
        <v>0</v>
      </c>
      <c r="BN735" s="14" t="n">
        <v>1</v>
      </c>
      <c r="BO735" s="14" t="n">
        <v>0</v>
      </c>
      <c r="BP735" s="14" t="n">
        <v>-0.044</v>
      </c>
      <c r="BQ735" s="14" t="n">
        <v>0.095</v>
      </c>
      <c r="BR735" s="14" t="n">
        <v>0</v>
      </c>
      <c r="BS735" s="14" t="n">
        <v>0.833</v>
      </c>
      <c r="BT735" s="14" t="n">
        <v>0</v>
      </c>
      <c r="BU735" s="14" t="n">
        <v>-0.044</v>
      </c>
      <c r="BV735" s="14" t="n">
        <v>0.094</v>
      </c>
      <c r="BW735" s="14" t="n">
        <v>0</v>
      </c>
      <c r="BX735" s="14" t="n">
        <v>0.833</v>
      </c>
      <c r="BY735" s="14" t="n">
        <v>13.646</v>
      </c>
      <c r="BZ735" s="14" t="n">
        <v>0</v>
      </c>
      <c r="CA735" s="14" t="n">
        <v>13.646</v>
      </c>
      <c r="CB735" s="14" t="n">
        <v>0</v>
      </c>
      <c r="CC735" s="14" t="n">
        <v>86.38500000000001</v>
      </c>
      <c r="CD735" s="14" t="n">
        <v>7.95</v>
      </c>
      <c r="CE735" s="14" t="n">
        <v>3.675</v>
      </c>
      <c r="CF735" s="14" t="n">
        <v>97.26600000000001</v>
      </c>
      <c r="CG735" s="14" t="n">
        <v>0.08</v>
      </c>
      <c r="CH735" s="14" t="n">
        <v>1</v>
      </c>
      <c r="CI735" s="14" t="n">
        <v>0</v>
      </c>
      <c r="CJ735" s="14" t="n">
        <v>0</v>
      </c>
      <c r="CK735" s="14" t="n">
        <v>0</v>
      </c>
      <c r="CL735" s="14" t="n">
        <v>0</v>
      </c>
      <c r="CM735" s="14" t="n">
        <v>0</v>
      </c>
      <c r="CN735" s="14" t="n">
        <v>0</v>
      </c>
      <c r="CO735" s="14" t="n">
        <v>0</v>
      </c>
      <c r="CP735" s="14" t="n">
        <v>0.034</v>
      </c>
      <c r="CQ735" s="14" t="n">
        <v>1.387</v>
      </c>
      <c r="CR735" s="14" t="n">
        <v>0</v>
      </c>
      <c r="CS735" s="14" t="n">
        <v>5.529</v>
      </c>
      <c r="CT735" s="14" t="n">
        <v>3.509</v>
      </c>
      <c r="CU735" s="14" t="n">
        <v>10.792</v>
      </c>
    </row>
    <row r="736">
      <c r="A736" s="14" t="inlineStr">
        <is>
          <t>KNA2021</t>
        </is>
      </c>
      <c r="B736" s="14" t="inlineStr">
        <is>
          <t>KNA</t>
        </is>
      </c>
      <c r="C736" s="14" t="inlineStr">
        <is>
          <t>KNA</t>
        </is>
      </c>
      <c r="D736" s="14" t="inlineStr">
        <is>
          <t>St. Kitts and Nevis</t>
        </is>
      </c>
      <c r="E736" s="14" t="n">
        <v>2021</v>
      </c>
      <c r="F736" s="14" t="n">
        <v>0.17</v>
      </c>
      <c r="G736" s="14" t="n">
        <v>5.897</v>
      </c>
      <c r="H736" s="14" t="n">
        <v>1.143</v>
      </c>
      <c r="I736" s="14" t="n">
        <v>0</v>
      </c>
      <c r="J736" s="14" t="n">
        <v>5.897</v>
      </c>
      <c r="K736" s="14" t="n">
        <v>0</v>
      </c>
      <c r="L736" s="14" t="n">
        <v>1</v>
      </c>
      <c r="M736" s="14" t="n">
        <v>7.964</v>
      </c>
      <c r="N736" s="14" t="n">
        <v>3.43</v>
      </c>
      <c r="O736" s="14" t="n">
        <v>0</v>
      </c>
      <c r="P736" s="14" t="n">
        <v>7.964</v>
      </c>
      <c r="Q736" s="14" t="n">
        <v>0</v>
      </c>
      <c r="R736" s="14" t="n">
        <v>1</v>
      </c>
      <c r="S736" s="14" t="n">
        <v>11.613</v>
      </c>
      <c r="T736" s="14" t="n">
        <v>6.86</v>
      </c>
      <c r="U736" s="14" t="n">
        <v>0</v>
      </c>
      <c r="V736" s="14" t="n">
        <v>13.588</v>
      </c>
      <c r="W736" s="14" t="n">
        <v>0.17</v>
      </c>
      <c r="X736" s="14" t="n">
        <v>1</v>
      </c>
      <c r="Y736" s="14" t="n">
        <v>17.127</v>
      </c>
      <c r="Z736" s="14" t="n">
        <v>2.304</v>
      </c>
      <c r="AA736" s="14" t="n">
        <v>0</v>
      </c>
      <c r="AB736" s="14" t="n">
        <v>17.127</v>
      </c>
      <c r="AC736" s="14" t="n">
        <v>0</v>
      </c>
      <c r="AD736" s="14" t="n">
        <v>1</v>
      </c>
      <c r="AE736" s="14" t="n">
        <v>18.27</v>
      </c>
      <c r="AF736" s="14" t="n">
        <v>4.278</v>
      </c>
      <c r="AG736" s="14" t="n">
        <v>0</v>
      </c>
      <c r="AH736" s="14" t="n">
        <v>18.27</v>
      </c>
      <c r="AI736" s="14" t="n">
        <v>0</v>
      </c>
      <c r="AJ736" s="14" t="n">
        <v>1</v>
      </c>
      <c r="AK736" s="14" t="n">
        <v>25.13</v>
      </c>
      <c r="AL736" s="14" t="n">
        <v>13.503</v>
      </c>
      <c r="AM736" s="14" t="n">
        <v>0</v>
      </c>
      <c r="AN736" s="14" t="n">
        <v>29.402</v>
      </c>
      <c r="AO736" s="14" t="n">
        <v>0.17</v>
      </c>
      <c r="AP736" s="14" t="n">
        <v>1</v>
      </c>
      <c r="AQ736" s="14" t="n">
        <v>0.649</v>
      </c>
      <c r="AR736" s="14" t="n">
        <v>0.114</v>
      </c>
      <c r="AS736" s="14" t="n">
        <v>0</v>
      </c>
      <c r="AT736" s="14" t="n">
        <v>0.759</v>
      </c>
      <c r="AU736" s="14" t="n">
        <v>0.17</v>
      </c>
      <c r="AV736" s="14" t="n">
        <v>1</v>
      </c>
      <c r="AW736" s="14" t="n">
        <v>0.577</v>
      </c>
      <c r="AX736" s="14" t="n">
        <v>0.114</v>
      </c>
      <c r="AY736" s="14" t="n">
        <v>0</v>
      </c>
      <c r="AZ736" s="14" t="n">
        <v>0.675</v>
      </c>
      <c r="BA736" s="14" t="n">
        <v>0.17</v>
      </c>
      <c r="BB736" s="14" t="n">
        <v>1</v>
      </c>
      <c r="BC736" s="14" t="n">
        <v>0.458</v>
      </c>
      <c r="BD736" s="14" t="n">
        <v>0.114</v>
      </c>
      <c r="BE736" s="14" t="n">
        <v>0</v>
      </c>
      <c r="BF736" s="14" t="n">
        <v>0.536</v>
      </c>
      <c r="BG736" s="14" t="n">
        <v>0.17</v>
      </c>
      <c r="BH736" s="14" t="n">
        <v>1</v>
      </c>
      <c r="BI736" s="14" t="n">
        <v>0.491</v>
      </c>
      <c r="BJ736" s="14" t="n">
        <v>0.114</v>
      </c>
      <c r="BK736" s="14" t="n">
        <v>0</v>
      </c>
      <c r="BL736" s="14" t="n">
        <v>0.575</v>
      </c>
      <c r="BM736" s="14" t="n">
        <v>0.17</v>
      </c>
      <c r="BN736" s="14" t="n">
        <v>1</v>
      </c>
      <c r="BO736" s="14" t="n">
        <v>0</v>
      </c>
      <c r="BP736" s="14" t="n">
        <v>0</v>
      </c>
      <c r="BQ736" s="14" t="n">
        <v>0</v>
      </c>
      <c r="BR736" s="14" t="n">
        <v>0</v>
      </c>
      <c r="BS736" s="14" t="n">
        <v>1</v>
      </c>
      <c r="BT736" s="14" t="n">
        <v>0</v>
      </c>
      <c r="BU736" s="14" t="n">
        <v>0</v>
      </c>
      <c r="BV736" s="14" t="n">
        <v>0</v>
      </c>
      <c r="BW736" s="14" t="n">
        <v>0.17</v>
      </c>
      <c r="BX736" s="14" t="n">
        <v>1</v>
      </c>
      <c r="BY736" s="14" t="n">
        <v>11.787</v>
      </c>
      <c r="BZ736" s="14" t="n">
        <v>0</v>
      </c>
      <c r="CA736" s="14" t="n">
        <v>11.787</v>
      </c>
      <c r="CB736" s="14" t="n">
        <v>0</v>
      </c>
      <c r="CC736" s="14" t="n">
        <v>78.125</v>
      </c>
      <c r="CD736" s="14" t="n">
        <v>7.95</v>
      </c>
      <c r="CE736" s="14" t="n">
        <v>0</v>
      </c>
      <c r="CF736" s="14" t="n">
        <v>91.40600000000001</v>
      </c>
      <c r="CG736" s="14" t="n">
        <v>0.17</v>
      </c>
      <c r="CH736" s="14" t="n">
        <v>1</v>
      </c>
      <c r="CI736" s="14" t="n">
        <v>0</v>
      </c>
      <c r="CJ736" s="14" t="n">
        <v>0</v>
      </c>
      <c r="CK736" s="14" t="n">
        <v>0</v>
      </c>
      <c r="CL736" s="14" t="n">
        <v>0</v>
      </c>
      <c r="CM736" s="14" t="n">
        <v>0</v>
      </c>
      <c r="CN736" s="14" t="n">
        <v>0</v>
      </c>
      <c r="CO736" s="14" t="n">
        <v>0</v>
      </c>
      <c r="CP736" s="14" t="n">
        <v>0</v>
      </c>
      <c r="CQ736" s="14" t="n">
        <v>1.198</v>
      </c>
      <c r="CR736" s="14" t="n">
        <v>0</v>
      </c>
      <c r="CS736" s="14" t="n">
        <v>4.776</v>
      </c>
      <c r="CT736" s="14" t="n">
        <v>4.753</v>
      </c>
      <c r="CU736" s="14" t="n">
        <v>15.983</v>
      </c>
    </row>
    <row r="737">
      <c r="A737" s="14" t="inlineStr">
        <is>
          <t>KNA2022</t>
        </is>
      </c>
      <c r="B737" s="14" t="inlineStr">
        <is>
          <t>KNA</t>
        </is>
      </c>
      <c r="C737" s="14" t="inlineStr">
        <is>
          <t>KNA</t>
        </is>
      </c>
      <c r="D737" s="14" t="inlineStr">
        <is>
          <t>St. Kitts and Nevis</t>
        </is>
      </c>
      <c r="E737" s="14" t="n">
        <v>2022</v>
      </c>
      <c r="F737" s="14" t="n">
        <v>0.17</v>
      </c>
      <c r="G737" s="14" t="n">
        <v>11.72</v>
      </c>
      <c r="H737" s="14" t="n">
        <v>1.235</v>
      </c>
      <c r="I737" s="14" t="n">
        <v>0</v>
      </c>
      <c r="J737" s="14" t="n">
        <v>11.72</v>
      </c>
      <c r="K737" s="14" t="n">
        <v>0</v>
      </c>
      <c r="L737" s="14" t="n">
        <v>1</v>
      </c>
      <c r="M737" s="14" t="n">
        <v>9.782999999999999</v>
      </c>
      <c r="N737" s="14" t="n">
        <v>3.704</v>
      </c>
      <c r="O737" s="14" t="n">
        <v>0</v>
      </c>
      <c r="P737" s="14" t="n">
        <v>9.782999999999999</v>
      </c>
      <c r="Q737" s="14" t="n">
        <v>0</v>
      </c>
      <c r="R737" s="14" t="n">
        <v>1</v>
      </c>
      <c r="S737" s="14" t="n">
        <v>17.893</v>
      </c>
      <c r="T737" s="14" t="n">
        <v>7.408</v>
      </c>
      <c r="U737" s="14" t="n">
        <v>0.225</v>
      </c>
      <c r="V737" s="14" t="n">
        <v>20.935</v>
      </c>
      <c r="W737" s="14" t="n">
        <v>0.17</v>
      </c>
      <c r="X737" s="14" t="n">
        <v>1</v>
      </c>
      <c r="Y737" s="14" t="n">
        <v>30.728</v>
      </c>
      <c r="Z737" s="14" t="n">
        <v>4.133</v>
      </c>
      <c r="AA737" s="14" t="n">
        <v>0</v>
      </c>
      <c r="AB737" s="14" t="n">
        <v>30.728</v>
      </c>
      <c r="AC737" s="14" t="n">
        <v>0</v>
      </c>
      <c r="AD737" s="14" t="n">
        <v>1</v>
      </c>
      <c r="AE737" s="14" t="n">
        <v>31.963</v>
      </c>
      <c r="AF737" s="14" t="n">
        <v>7.485</v>
      </c>
      <c r="AG737" s="14" t="n">
        <v>0</v>
      </c>
      <c r="AH737" s="14" t="n">
        <v>31.963</v>
      </c>
      <c r="AI737" s="14" t="n">
        <v>0</v>
      </c>
      <c r="AJ737" s="14" t="n">
        <v>1</v>
      </c>
      <c r="AK737" s="14" t="n">
        <v>39.371</v>
      </c>
      <c r="AL737" s="14" t="n">
        <v>21.155</v>
      </c>
      <c r="AM737" s="14" t="n">
        <v>0.495</v>
      </c>
      <c r="AN737" s="14" t="n">
        <v>46.064</v>
      </c>
      <c r="AO737" s="14" t="n">
        <v>0.17</v>
      </c>
      <c r="AP737" s="14" t="n">
        <v>1</v>
      </c>
      <c r="AQ737" s="14" t="n">
        <v>0.896</v>
      </c>
      <c r="AR737" s="14" t="n">
        <v>0.123</v>
      </c>
      <c r="AS737" s="14" t="n">
        <v>0.011</v>
      </c>
      <c r="AT737" s="14" t="n">
        <v>1.048</v>
      </c>
      <c r="AU737" s="14" t="n">
        <v>0.17</v>
      </c>
      <c r="AV737" s="14" t="n">
        <v>1</v>
      </c>
      <c r="AW737" s="14" t="n">
        <v>0.89</v>
      </c>
      <c r="AX737" s="14" t="n">
        <v>0.123</v>
      </c>
      <c r="AY737" s="14" t="n">
        <v>0.011</v>
      </c>
      <c r="AZ737" s="14" t="n">
        <v>1.041</v>
      </c>
      <c r="BA737" s="14" t="n">
        <v>0.17</v>
      </c>
      <c r="BB737" s="14" t="n">
        <v>1</v>
      </c>
      <c r="BC737" s="14" t="n">
        <v>0.62</v>
      </c>
      <c r="BD737" s="14" t="n">
        <v>0.123</v>
      </c>
      <c r="BE737" s="14" t="n">
        <v>0.008</v>
      </c>
      <c r="BF737" s="14" t="n">
        <v>0.726</v>
      </c>
      <c r="BG737" s="14" t="n">
        <v>0.17</v>
      </c>
      <c r="BH737" s="14" t="n">
        <v>1</v>
      </c>
      <c r="BI737" s="14" t="n">
        <v>0.608</v>
      </c>
      <c r="BJ737" s="14" t="n">
        <v>0.123</v>
      </c>
      <c r="BK737" s="14" t="n">
        <v>0.008</v>
      </c>
      <c r="BL737" s="14" t="n">
        <v>0.711</v>
      </c>
      <c r="BM737" s="14" t="n">
        <v>0.17</v>
      </c>
      <c r="BN737" s="14" t="n">
        <v>1</v>
      </c>
      <c r="BO737" s="14" t="n">
        <v>0</v>
      </c>
      <c r="BP737" s="14" t="n">
        <v>0</v>
      </c>
      <c r="BQ737" s="14" t="n">
        <v>0</v>
      </c>
      <c r="BR737" s="14" t="n">
        <v>0</v>
      </c>
      <c r="BS737" s="14" t="n">
        <v>1</v>
      </c>
      <c r="BT737" s="14" t="n">
        <v>0</v>
      </c>
      <c r="BU737" s="14" t="n">
        <v>0</v>
      </c>
      <c r="BV737" s="14" t="n">
        <v>0</v>
      </c>
      <c r="BW737" s="14" t="n">
        <v>0.17</v>
      </c>
      <c r="BX737" s="14" t="n">
        <v>1</v>
      </c>
      <c r="BY737" s="14" t="n">
        <v>12.729</v>
      </c>
      <c r="BZ737" s="14" t="n">
        <v>0</v>
      </c>
      <c r="CA737" s="14" t="n">
        <v>12.729</v>
      </c>
      <c r="CB737" s="14" t="n">
        <v>0</v>
      </c>
      <c r="CC737" s="14" t="n">
        <v>97.90000000000001</v>
      </c>
      <c r="CD737" s="14" t="n">
        <v>7.95</v>
      </c>
      <c r="CE737" s="14" t="n">
        <v>1.232</v>
      </c>
      <c r="CF737" s="14" t="n">
        <v>114.543</v>
      </c>
      <c r="CG737" s="14" t="n">
        <v>0.17</v>
      </c>
      <c r="CH737" s="14" t="n">
        <v>1</v>
      </c>
      <c r="CI737" s="14" t="n">
        <v>0</v>
      </c>
      <c r="CJ737" s="14" t="n">
        <v>0</v>
      </c>
      <c r="CK737" s="14" t="n">
        <v>0</v>
      </c>
      <c r="CL737" s="14" t="n">
        <v>0</v>
      </c>
      <c r="CM737" s="14" t="n">
        <v>0</v>
      </c>
      <c r="CN737" s="14" t="n">
        <v>0</v>
      </c>
      <c r="CO737" s="14" t="n">
        <v>0</v>
      </c>
      <c r="CP737" s="14" t="n">
        <v>0</v>
      </c>
      <c r="CQ737" s="14" t="n">
        <v>1.294</v>
      </c>
      <c r="CR737" s="14" t="n">
        <v>0</v>
      </c>
      <c r="CS737" s="14" t="n">
        <v>5.158</v>
      </c>
      <c r="CT737" s="14" t="n">
        <v>10.485</v>
      </c>
      <c r="CU737" s="14" t="n">
        <v>29.494</v>
      </c>
    </row>
    <row r="738">
      <c r="A738" s="14" t="inlineStr">
        <is>
          <t>KNA2023</t>
        </is>
      </c>
      <c r="B738" s="14" t="inlineStr">
        <is>
          <t>KNA</t>
        </is>
      </c>
      <c r="C738" s="14" t="inlineStr">
        <is>
          <t>KNA</t>
        </is>
      </c>
      <c r="D738" s="14" t="inlineStr">
        <is>
          <t>St. Kitts and Nevis</t>
        </is>
      </c>
      <c r="E738" s="14" t="n">
        <v>2023</v>
      </c>
      <c r="F738" s="14" t="n">
        <v>0.17</v>
      </c>
      <c r="G738" s="14" t="n">
        <v>6.147</v>
      </c>
      <c r="H738" s="14" t="n">
        <v>1.286</v>
      </c>
      <c r="I738" s="14" t="n">
        <v>0</v>
      </c>
      <c r="J738" s="14" t="n">
        <v>6.147</v>
      </c>
      <c r="K738" s="14" t="n">
        <v>0</v>
      </c>
      <c r="L738" s="14" t="n">
        <v>1</v>
      </c>
      <c r="M738" s="14" t="n">
        <v>7.886</v>
      </c>
      <c r="N738" s="14" t="n">
        <v>3.857</v>
      </c>
      <c r="O738" s="14" t="n">
        <v>0</v>
      </c>
      <c r="P738" s="14" t="n">
        <v>7.886</v>
      </c>
      <c r="Q738" s="14" t="n">
        <v>0</v>
      </c>
      <c r="R738" s="14" t="n">
        <v>1</v>
      </c>
      <c r="S738" s="14" t="n">
        <v>12.575</v>
      </c>
      <c r="T738" s="14" t="n">
        <v>7.714</v>
      </c>
      <c r="U738" s="14" t="n">
        <v>0.237</v>
      </c>
      <c r="V738" s="14" t="n">
        <v>14.713</v>
      </c>
      <c r="W738" s="14" t="n">
        <v>0.17</v>
      </c>
      <c r="X738" s="14" t="n">
        <v>1</v>
      </c>
      <c r="Y738" s="14" t="n">
        <v>12.478</v>
      </c>
      <c r="Z738" s="14" t="n">
        <v>1.678</v>
      </c>
      <c r="AA738" s="14" t="n">
        <v>0</v>
      </c>
      <c r="AB738" s="14" t="n">
        <v>12.478</v>
      </c>
      <c r="AC738" s="14" t="n">
        <v>0</v>
      </c>
      <c r="AD738" s="14" t="n">
        <v>1</v>
      </c>
      <c r="AE738" s="14" t="n">
        <v>13.763</v>
      </c>
      <c r="AF738" s="14" t="n">
        <v>3.223</v>
      </c>
      <c r="AG738" s="14" t="n">
        <v>0</v>
      </c>
      <c r="AH738" s="14" t="n">
        <v>13.763</v>
      </c>
      <c r="AI738" s="14" t="n">
        <v>0</v>
      </c>
      <c r="AJ738" s="14" t="n">
        <v>1</v>
      </c>
      <c r="AK738" s="14" t="n">
        <v>21.477</v>
      </c>
      <c r="AL738" s="14" t="n">
        <v>11.54</v>
      </c>
      <c r="AM738" s="14" t="n">
        <v>0.404</v>
      </c>
      <c r="AN738" s="14" t="n">
        <v>25.129</v>
      </c>
      <c r="AO738" s="14" t="n">
        <v>0.17</v>
      </c>
      <c r="AP738" s="14" t="n">
        <v>1</v>
      </c>
      <c r="AQ738" s="14" t="n">
        <v>0.791</v>
      </c>
      <c r="AR738" s="14" t="n">
        <v>0.129</v>
      </c>
      <c r="AS738" s="14" t="n">
        <v>0.015</v>
      </c>
      <c r="AT738" s="14" t="n">
        <v>0.925</v>
      </c>
      <c r="AU738" s="14" t="n">
        <v>0.17</v>
      </c>
      <c r="AV738" s="14" t="n">
        <v>1</v>
      </c>
      <c r="AW738" s="14" t="n">
        <v>0.618</v>
      </c>
      <c r="AX738" s="14" t="n">
        <v>0.129</v>
      </c>
      <c r="AY738" s="14" t="n">
        <v>0.012</v>
      </c>
      <c r="AZ738" s="14" t="n">
        <v>0.723</v>
      </c>
      <c r="BA738" s="14" t="n">
        <v>0.17</v>
      </c>
      <c r="BB738" s="14" t="n">
        <v>1</v>
      </c>
      <c r="BC738" s="14" t="n">
        <v>0.554</v>
      </c>
      <c r="BD738" s="14" t="n">
        <v>0.129</v>
      </c>
      <c r="BE738" s="14" t="n">
        <v>0.01</v>
      </c>
      <c r="BF738" s="14" t="n">
        <v>0.649</v>
      </c>
      <c r="BG738" s="14" t="n">
        <v>0.17</v>
      </c>
      <c r="BH738" s="14" t="n">
        <v>1</v>
      </c>
      <c r="BI738" s="14" t="n">
        <v>0.5570000000000001</v>
      </c>
      <c r="BJ738" s="14" t="n">
        <v>0.129</v>
      </c>
      <c r="BK738" s="14" t="n">
        <v>0.01</v>
      </c>
      <c r="BL738" s="14" t="n">
        <v>0.652</v>
      </c>
      <c r="BM738" s="14" t="n">
        <v>0.17</v>
      </c>
      <c r="BN738" s="14" t="n">
        <v>1</v>
      </c>
      <c r="BO738" s="14" t="n">
        <v>0</v>
      </c>
      <c r="BP738" s="14" t="n">
        <v>0</v>
      </c>
      <c r="BQ738" s="14" t="n">
        <v>0</v>
      </c>
      <c r="BR738" s="14" t="n">
        <v>0</v>
      </c>
      <c r="BS738" s="14" t="n">
        <v>1</v>
      </c>
      <c r="BT738" s="14" t="n">
        <v>0</v>
      </c>
      <c r="BU738" s="14" t="n">
        <v>0</v>
      </c>
      <c r="BV738" s="14" t="n">
        <v>0</v>
      </c>
      <c r="BW738" s="14" t="n">
        <v>0.17</v>
      </c>
      <c r="BX738" s="14" t="n">
        <v>1</v>
      </c>
      <c r="BY738" s="14" t="n">
        <v>13.254</v>
      </c>
      <c r="BZ738" s="14" t="n">
        <v>0</v>
      </c>
      <c r="CA738" s="14" t="n">
        <v>13.254</v>
      </c>
      <c r="CB738" s="14" t="n">
        <v>0</v>
      </c>
      <c r="CC738" s="14" t="n">
        <v>83.248</v>
      </c>
      <c r="CD738" s="14" t="n">
        <v>7.95</v>
      </c>
      <c r="CE738" s="14" t="n">
        <v>1.567</v>
      </c>
      <c r="CF738" s="14" t="n">
        <v>97.40000000000001</v>
      </c>
      <c r="CG738" s="14" t="n">
        <v>0.17</v>
      </c>
      <c r="CH738" s="14" t="n">
        <v>1</v>
      </c>
      <c r="CI738" s="14" t="n">
        <v>0</v>
      </c>
      <c r="CJ738" s="14" t="n">
        <v>0</v>
      </c>
      <c r="CK738" s="14" t="n">
        <v>0</v>
      </c>
      <c r="CL738" s="14" t="n">
        <v>0</v>
      </c>
      <c r="CM738" s="14" t="n">
        <v>0</v>
      </c>
      <c r="CN738" s="14" t="n">
        <v>0</v>
      </c>
      <c r="CO738" s="14" t="n">
        <v>0</v>
      </c>
      <c r="CP738" s="14" t="n">
        <v>0</v>
      </c>
      <c r="CQ738" s="14" t="n">
        <v>1.348</v>
      </c>
      <c r="CR738" s="14" t="n">
        <v>0</v>
      </c>
      <c r="CS738" s="14" t="n">
        <v>5.37</v>
      </c>
      <c r="CT738" s="14" t="n">
        <v>4.861</v>
      </c>
      <c r="CU738" s="14" t="n">
        <v>11.192</v>
      </c>
    </row>
    <row r="739">
      <c r="A739" s="14" t="inlineStr">
        <is>
          <t>KNA2024</t>
        </is>
      </c>
      <c r="B739" s="14" t="inlineStr">
        <is>
          <t>KNA</t>
        </is>
      </c>
      <c r="C739" s="14" t="inlineStr">
        <is>
          <t>KNA</t>
        </is>
      </c>
      <c r="D739" s="14" t="inlineStr">
        <is>
          <t>St. Kitts and Nevis</t>
        </is>
      </c>
      <c r="E739" s="14" t="n">
        <v>2024</v>
      </c>
      <c r="F739" s="14" t="n">
        <v>0.17</v>
      </c>
      <c r="G739" s="14" t="n">
        <v>5.575</v>
      </c>
      <c r="H739" s="14" t="n">
        <v>1.324</v>
      </c>
      <c r="I739" s="14" t="n">
        <v>0</v>
      </c>
      <c r="J739" s="14" t="n">
        <v>5.575</v>
      </c>
      <c r="K739" s="14" t="n">
        <v>0</v>
      </c>
      <c r="L739" s="14" t="n">
        <v>1</v>
      </c>
      <c r="M739" s="14" t="n">
        <v>7.124</v>
      </c>
      <c r="N739" s="14" t="n">
        <v>3.971</v>
      </c>
      <c r="O739" s="14" t="n">
        <v>0</v>
      </c>
      <c r="P739" s="14" t="n">
        <v>7.124</v>
      </c>
      <c r="Q739" s="14" t="n">
        <v>0</v>
      </c>
      <c r="R739" s="14" t="n">
        <v>1</v>
      </c>
      <c r="S739" s="14" t="n">
        <v>12.193</v>
      </c>
      <c r="T739" s="14" t="n">
        <v>7.942</v>
      </c>
      <c r="U739" s="14" t="n">
        <v>0.282</v>
      </c>
      <c r="V739" s="14" t="n">
        <v>14.266</v>
      </c>
      <c r="W739" s="14" t="n">
        <v>0.17</v>
      </c>
      <c r="X739" s="14" t="n">
        <v>1</v>
      </c>
      <c r="Y739" s="14" t="n">
        <v>11.447</v>
      </c>
      <c r="Z739" s="14" t="n">
        <v>1.54</v>
      </c>
      <c r="AA739" s="14" t="n">
        <v>0</v>
      </c>
      <c r="AB739" s="14" t="n">
        <v>11.447</v>
      </c>
      <c r="AC739" s="14" t="n">
        <v>0</v>
      </c>
      <c r="AD739" s="14" t="n">
        <v>1</v>
      </c>
      <c r="AE739" s="14" t="n">
        <v>12.771</v>
      </c>
      <c r="AF739" s="14" t="n">
        <v>2.991</v>
      </c>
      <c r="AG739" s="14" t="n">
        <v>0</v>
      </c>
      <c r="AH739" s="14" t="n">
        <v>12.771</v>
      </c>
      <c r="AI739" s="14" t="n">
        <v>0</v>
      </c>
      <c r="AJ739" s="14" t="n">
        <v>1</v>
      </c>
      <c r="AK739" s="14" t="n">
        <v>20.712</v>
      </c>
      <c r="AL739" s="14" t="n">
        <v>11.129</v>
      </c>
      <c r="AM739" s="14" t="n">
        <v>0.48</v>
      </c>
      <c r="AN739" s="14" t="n">
        <v>24.233</v>
      </c>
      <c r="AO739" s="14" t="n">
        <v>0.17</v>
      </c>
      <c r="AP739" s="14" t="n">
        <v>1</v>
      </c>
      <c r="AQ739" s="14" t="n">
        <v>0.756</v>
      </c>
      <c r="AR739" s="14" t="n">
        <v>0.132</v>
      </c>
      <c r="AS739" s="14" t="n">
        <v>0.018</v>
      </c>
      <c r="AT739" s="14" t="n">
        <v>0.885</v>
      </c>
      <c r="AU739" s="14" t="n">
        <v>0.17</v>
      </c>
      <c r="AV739" s="14" t="n">
        <v>1</v>
      </c>
      <c r="AW739" s="14" t="n">
        <v>0.655</v>
      </c>
      <c r="AX739" s="14" t="n">
        <v>0.132</v>
      </c>
      <c r="AY739" s="14" t="n">
        <v>0.015</v>
      </c>
      <c r="AZ739" s="14" t="n">
        <v>0.767</v>
      </c>
      <c r="BA739" s="14" t="n">
        <v>0.17</v>
      </c>
      <c r="BB739" s="14" t="n">
        <v>1</v>
      </c>
      <c r="BC739" s="14" t="n">
        <v>0.534</v>
      </c>
      <c r="BD739" s="14" t="n">
        <v>0.132</v>
      </c>
      <c r="BE739" s="14" t="n">
        <v>0.012</v>
      </c>
      <c r="BF739" s="14" t="n">
        <v>0.624</v>
      </c>
      <c r="BG739" s="14" t="n">
        <v>0.17</v>
      </c>
      <c r="BH739" s="14" t="n">
        <v>1</v>
      </c>
      <c r="BI739" s="14" t="n">
        <v>0.5679999999999999</v>
      </c>
      <c r="BJ739" s="14" t="n">
        <v>0.132</v>
      </c>
      <c r="BK739" s="14" t="n">
        <v>0.013</v>
      </c>
      <c r="BL739" s="14" t="n">
        <v>0.664</v>
      </c>
      <c r="BM739" s="14" t="n">
        <v>0.17</v>
      </c>
      <c r="BN739" s="14" t="n">
        <v>1</v>
      </c>
      <c r="BO739" s="14" t="n">
        <v>0</v>
      </c>
      <c r="BP739" s="14" t="n">
        <v>0</v>
      </c>
      <c r="BQ739" s="14" t="n">
        <v>0</v>
      </c>
      <c r="BR739" s="14" t="n">
        <v>0</v>
      </c>
      <c r="BS739" s="14" t="n">
        <v>1</v>
      </c>
      <c r="BT739" s="14" t="n">
        <v>0</v>
      </c>
      <c r="BU739" s="14" t="n">
        <v>0</v>
      </c>
      <c r="BV739" s="14" t="n">
        <v>0</v>
      </c>
      <c r="BW739" s="14" t="n">
        <v>0.17</v>
      </c>
      <c r="BX739" s="14" t="n">
        <v>1</v>
      </c>
      <c r="BY739" s="14" t="n">
        <v>13.646</v>
      </c>
      <c r="BZ739" s="14" t="n">
        <v>0</v>
      </c>
      <c r="CA739" s="14" t="n">
        <v>13.646</v>
      </c>
      <c r="CB739" s="14" t="n">
        <v>0</v>
      </c>
      <c r="CC739" s="14" t="n">
        <v>82.58799999999999</v>
      </c>
      <c r="CD739" s="14" t="n">
        <v>7.95</v>
      </c>
      <c r="CE739" s="14" t="n">
        <v>1.912</v>
      </c>
      <c r="CF739" s="14" t="n">
        <v>96.628</v>
      </c>
      <c r="CG739" s="14" t="n">
        <v>0.17</v>
      </c>
      <c r="CH739" s="14" t="n">
        <v>1</v>
      </c>
      <c r="CI739" s="14" t="n">
        <v>0</v>
      </c>
      <c r="CJ739" s="14" t="n">
        <v>0</v>
      </c>
      <c r="CK739" s="14" t="n">
        <v>0</v>
      </c>
      <c r="CL739" s="14" t="n">
        <v>0</v>
      </c>
      <c r="CM739" s="14" t="n">
        <v>0</v>
      </c>
      <c r="CN739" s="14" t="n">
        <v>0</v>
      </c>
      <c r="CO739" s="14" t="n">
        <v>0</v>
      </c>
      <c r="CP739" s="14" t="n">
        <v>0</v>
      </c>
      <c r="CQ739" s="14" t="n">
        <v>1.387</v>
      </c>
      <c r="CR739" s="14" t="n">
        <v>0</v>
      </c>
      <c r="CS739" s="14" t="n">
        <v>5.529</v>
      </c>
      <c r="CT739" s="14" t="n">
        <v>4.251</v>
      </c>
      <c r="CU739" s="14" t="n">
        <v>10.123</v>
      </c>
    </row>
    <row r="740">
      <c r="A740" s="14" t="inlineStr">
        <is>
          <t>LCA2021</t>
        </is>
      </c>
      <c r="B740" s="14" t="inlineStr">
        <is>
          <t>LCA</t>
        </is>
      </c>
      <c r="C740" s="14" t="inlineStr">
        <is>
          <t>LCA</t>
        </is>
      </c>
      <c r="D740" s="14" t="inlineStr">
        <is>
          <t>St. Lucia</t>
        </is>
      </c>
      <c r="E740" s="14" t="n">
        <v>2021</v>
      </c>
      <c r="F740" s="14" t="n">
        <v>0.125</v>
      </c>
      <c r="G740" s="14" t="n">
        <v>5.897</v>
      </c>
      <c r="H740" s="14" t="n">
        <v>1.143</v>
      </c>
      <c r="I740" s="14" t="n">
        <v>0</v>
      </c>
      <c r="J740" s="14" t="n">
        <v>5.897</v>
      </c>
      <c r="K740" s="14" t="n">
        <v>0</v>
      </c>
      <c r="L740" s="14" t="n">
        <v>1</v>
      </c>
      <c r="M740" s="14" t="n">
        <v>7.964</v>
      </c>
      <c r="N740" s="14" t="n">
        <v>3.43</v>
      </c>
      <c r="O740" s="14" t="n">
        <v>0</v>
      </c>
      <c r="P740" s="14" t="n">
        <v>7.964</v>
      </c>
      <c r="Q740" s="14" t="n">
        <v>0</v>
      </c>
      <c r="R740" s="14" t="n">
        <v>1</v>
      </c>
      <c r="S740" s="14" t="n">
        <v>11.613</v>
      </c>
      <c r="T740" s="14" t="n">
        <v>6.86</v>
      </c>
      <c r="U740" s="14" t="n">
        <v>0</v>
      </c>
      <c r="V740" s="14" t="n">
        <v>13.065</v>
      </c>
      <c r="W740" s="14" t="n">
        <v>0.125</v>
      </c>
      <c r="X740" s="14" t="n">
        <v>1</v>
      </c>
      <c r="Y740" s="14" t="n">
        <v>17.127</v>
      </c>
      <c r="Z740" s="14" t="n">
        <v>2.304</v>
      </c>
      <c r="AA740" s="14" t="n">
        <v>0</v>
      </c>
      <c r="AB740" s="14" t="n">
        <v>17.127</v>
      </c>
      <c r="AC740" s="14" t="n">
        <v>0</v>
      </c>
      <c r="AD740" s="14" t="n">
        <v>1</v>
      </c>
      <c r="AE740" s="14" t="n">
        <v>18.27</v>
      </c>
      <c r="AF740" s="14" t="n">
        <v>4.278</v>
      </c>
      <c r="AG740" s="14" t="n">
        <v>0</v>
      </c>
      <c r="AH740" s="14" t="n">
        <v>18.27</v>
      </c>
      <c r="AI740" s="14" t="n">
        <v>0</v>
      </c>
      <c r="AJ740" s="14" t="n">
        <v>1</v>
      </c>
      <c r="AK740" s="14" t="n">
        <v>25.13</v>
      </c>
      <c r="AL740" s="14" t="n">
        <v>13.503</v>
      </c>
      <c r="AM740" s="14" t="n">
        <v>0</v>
      </c>
      <c r="AN740" s="14" t="n">
        <v>28.271</v>
      </c>
      <c r="AO740" s="14" t="n">
        <v>0.125</v>
      </c>
      <c r="AP740" s="14" t="n">
        <v>1</v>
      </c>
      <c r="AQ740" s="14" t="n">
        <v>0.649</v>
      </c>
      <c r="AR740" s="14" t="n">
        <v>0.114</v>
      </c>
      <c r="AS740" s="14" t="n">
        <v>0.456</v>
      </c>
      <c r="AT740" s="14" t="n">
        <v>1.105</v>
      </c>
      <c r="AU740" s="14" t="n">
        <v>0</v>
      </c>
      <c r="AV740" s="14" t="n">
        <v>1</v>
      </c>
      <c r="AW740" s="14" t="n">
        <v>0.577</v>
      </c>
      <c r="AX740" s="14" t="n">
        <v>0.114</v>
      </c>
      <c r="AY740" s="14" t="n">
        <v>0.439</v>
      </c>
      <c r="AZ740" s="14" t="n">
        <v>1.016</v>
      </c>
      <c r="BA740" s="14" t="n">
        <v>0</v>
      </c>
      <c r="BB740" s="14" t="n">
        <v>1</v>
      </c>
      <c r="BC740" s="14" t="n">
        <v>0.458</v>
      </c>
      <c r="BD740" s="14" t="n">
        <v>0.114</v>
      </c>
      <c r="BE740" s="14" t="n">
        <v>0.282</v>
      </c>
      <c r="BF740" s="14" t="n">
        <v>0.74</v>
      </c>
      <c r="BG740" s="14" t="n">
        <v>0</v>
      </c>
      <c r="BH740" s="14" t="n">
        <v>1</v>
      </c>
      <c r="BI740" s="14" t="n">
        <v>0.491</v>
      </c>
      <c r="BJ740" s="14" t="n">
        <v>0.114</v>
      </c>
      <c r="BK740" s="14" t="n">
        <v>0.187</v>
      </c>
      <c r="BL740" s="14" t="n">
        <v>0.678</v>
      </c>
      <c r="BM740" s="14" t="n">
        <v>0</v>
      </c>
      <c r="BN740" s="14" t="n">
        <v>1</v>
      </c>
      <c r="BO740" s="14" t="n">
        <v>0</v>
      </c>
      <c r="BP740" s="14" t="n">
        <v>0</v>
      </c>
      <c r="BQ740" s="14" t="n">
        <v>0.322</v>
      </c>
      <c r="BR740" s="14" t="n">
        <v>0</v>
      </c>
      <c r="BS740" s="14" t="n">
        <v>1</v>
      </c>
      <c r="BT740" s="14" t="n">
        <v>0</v>
      </c>
      <c r="BU740" s="14" t="n">
        <v>0</v>
      </c>
      <c r="BV740" s="14" t="n">
        <v>0.264</v>
      </c>
      <c r="BW740" s="14" t="n">
        <v>0</v>
      </c>
      <c r="BX740" s="14" t="n">
        <v>1</v>
      </c>
      <c r="BY740" s="14" t="n">
        <v>11.787</v>
      </c>
      <c r="BZ740" s="14" t="n">
        <v>0</v>
      </c>
      <c r="CA740" s="14" t="n">
        <v>11.787</v>
      </c>
      <c r="CB740" s="14" t="n">
        <v>0</v>
      </c>
      <c r="CC740" s="14" t="n">
        <v>78.125</v>
      </c>
      <c r="CD740" s="14" t="n">
        <v>7.95</v>
      </c>
      <c r="CE740" s="14" t="n">
        <v>0</v>
      </c>
      <c r="CF740" s="14" t="n">
        <v>87.89100000000001</v>
      </c>
      <c r="CG740" s="14" t="n">
        <v>0.125</v>
      </c>
      <c r="CH740" s="14" t="n">
        <v>1</v>
      </c>
      <c r="CI740" s="14" t="n">
        <v>0</v>
      </c>
      <c r="CJ740" s="14" t="n">
        <v>0</v>
      </c>
      <c r="CK740" s="14" t="n">
        <v>0</v>
      </c>
      <c r="CL740" s="14" t="n">
        <v>0</v>
      </c>
      <c r="CM740" s="14" t="n">
        <v>0</v>
      </c>
      <c r="CN740" s="14" t="n">
        <v>0</v>
      </c>
      <c r="CO740" s="14" t="n">
        <v>0</v>
      </c>
      <c r="CP740" s="14" t="n">
        <v>0</v>
      </c>
      <c r="CQ740" s="14" t="n">
        <v>1.198</v>
      </c>
      <c r="CR740" s="14" t="n">
        <v>0</v>
      </c>
      <c r="CS740" s="14" t="n">
        <v>4.776</v>
      </c>
      <c r="CT740" s="14" t="n">
        <v>4.753</v>
      </c>
      <c r="CU740" s="14" t="n">
        <v>15.983</v>
      </c>
    </row>
    <row r="741">
      <c r="A741" s="14" t="inlineStr">
        <is>
          <t>LCA2022</t>
        </is>
      </c>
      <c r="B741" s="14" t="inlineStr">
        <is>
          <t>LCA</t>
        </is>
      </c>
      <c r="C741" s="14" t="inlineStr">
        <is>
          <t>LCA</t>
        </is>
      </c>
      <c r="D741" s="14" t="inlineStr">
        <is>
          <t>St. Lucia</t>
        </is>
      </c>
      <c r="E741" s="14" t="n">
        <v>2022</v>
      </c>
      <c r="F741" s="14" t="n">
        <v>0.125</v>
      </c>
      <c r="G741" s="14" t="n">
        <v>11.72</v>
      </c>
      <c r="H741" s="14" t="n">
        <v>1.235</v>
      </c>
      <c r="I741" s="14" t="n">
        <v>0</v>
      </c>
      <c r="J741" s="14" t="n">
        <v>11.72</v>
      </c>
      <c r="K741" s="14" t="n">
        <v>0</v>
      </c>
      <c r="L741" s="14" t="n">
        <v>1</v>
      </c>
      <c r="M741" s="14" t="n">
        <v>9.782999999999999</v>
      </c>
      <c r="N741" s="14" t="n">
        <v>3.704</v>
      </c>
      <c r="O741" s="14" t="n">
        <v>0</v>
      </c>
      <c r="P741" s="14" t="n">
        <v>9.782999999999999</v>
      </c>
      <c r="Q741" s="14" t="n">
        <v>0</v>
      </c>
      <c r="R741" s="14" t="n">
        <v>1</v>
      </c>
      <c r="S741" s="14" t="n">
        <v>17.893</v>
      </c>
      <c r="T741" s="14" t="n">
        <v>7.408</v>
      </c>
      <c r="U741" s="14" t="n">
        <v>0.166</v>
      </c>
      <c r="V741" s="14" t="n">
        <v>20.13</v>
      </c>
      <c r="W741" s="14" t="n">
        <v>0.125</v>
      </c>
      <c r="X741" s="14" t="n">
        <v>1</v>
      </c>
      <c r="Y741" s="14" t="n">
        <v>30.728</v>
      </c>
      <c r="Z741" s="14" t="n">
        <v>4.133</v>
      </c>
      <c r="AA741" s="14" t="n">
        <v>0</v>
      </c>
      <c r="AB741" s="14" t="n">
        <v>30.728</v>
      </c>
      <c r="AC741" s="14" t="n">
        <v>0</v>
      </c>
      <c r="AD741" s="14" t="n">
        <v>1</v>
      </c>
      <c r="AE741" s="14" t="n">
        <v>31.963</v>
      </c>
      <c r="AF741" s="14" t="n">
        <v>7.485</v>
      </c>
      <c r="AG741" s="14" t="n">
        <v>0</v>
      </c>
      <c r="AH741" s="14" t="n">
        <v>31.963</v>
      </c>
      <c r="AI741" s="14" t="n">
        <v>0</v>
      </c>
      <c r="AJ741" s="14" t="n">
        <v>1</v>
      </c>
      <c r="AK741" s="14" t="n">
        <v>39.371</v>
      </c>
      <c r="AL741" s="14" t="n">
        <v>21.155</v>
      </c>
      <c r="AM741" s="14" t="n">
        <v>0.364</v>
      </c>
      <c r="AN741" s="14" t="n">
        <v>44.293</v>
      </c>
      <c r="AO741" s="14" t="n">
        <v>0.125</v>
      </c>
      <c r="AP741" s="14" t="n">
        <v>1</v>
      </c>
      <c r="AQ741" s="14" t="n">
        <v>0.896</v>
      </c>
      <c r="AR741" s="14" t="n">
        <v>0.123</v>
      </c>
      <c r="AS741" s="14" t="n">
        <v>0.445</v>
      </c>
      <c r="AT741" s="14" t="n">
        <v>1.341</v>
      </c>
      <c r="AU741" s="14" t="n">
        <v>0</v>
      </c>
      <c r="AV741" s="14" t="n">
        <v>1</v>
      </c>
      <c r="AW741" s="14" t="n">
        <v>0.89</v>
      </c>
      <c r="AX741" s="14" t="n">
        <v>0.123</v>
      </c>
      <c r="AY741" s="14" t="n">
        <v>0.413</v>
      </c>
      <c r="AZ741" s="14" t="n">
        <v>1.303</v>
      </c>
      <c r="BA741" s="14" t="n">
        <v>0</v>
      </c>
      <c r="BB741" s="14" t="n">
        <v>1</v>
      </c>
      <c r="BC741" s="14" t="n">
        <v>0.62</v>
      </c>
      <c r="BD741" s="14" t="n">
        <v>0.123</v>
      </c>
      <c r="BE741" s="14" t="n">
        <v>0.295</v>
      </c>
      <c r="BF741" s="14" t="n">
        <v>0.915</v>
      </c>
      <c r="BG741" s="14" t="n">
        <v>0</v>
      </c>
      <c r="BH741" s="14" t="n">
        <v>1</v>
      </c>
      <c r="BI741" s="14" t="n">
        <v>0.608</v>
      </c>
      <c r="BJ741" s="14" t="n">
        <v>0.123</v>
      </c>
      <c r="BK741" s="14" t="n">
        <v>0.574</v>
      </c>
      <c r="BL741" s="14" t="n">
        <v>1.181</v>
      </c>
      <c r="BM741" s="14" t="n">
        <v>0</v>
      </c>
      <c r="BN741" s="14" t="n">
        <v>1</v>
      </c>
      <c r="BO741" s="14" t="n">
        <v>0</v>
      </c>
      <c r="BP741" s="14" t="n">
        <v>0</v>
      </c>
      <c r="BQ741" s="14" t="n">
        <v>0.348</v>
      </c>
      <c r="BR741" s="14" t="n">
        <v>0</v>
      </c>
      <c r="BS741" s="14" t="n">
        <v>1</v>
      </c>
      <c r="BT741" s="14" t="n">
        <v>0</v>
      </c>
      <c r="BU741" s="14" t="n">
        <v>0</v>
      </c>
      <c r="BV741" s="14" t="n">
        <v>0.285</v>
      </c>
      <c r="BW741" s="14" t="n">
        <v>0</v>
      </c>
      <c r="BX741" s="14" t="n">
        <v>1</v>
      </c>
      <c r="BY741" s="14" t="n">
        <v>12.729</v>
      </c>
      <c r="BZ741" s="14" t="n">
        <v>0</v>
      </c>
      <c r="CA741" s="14" t="n">
        <v>12.729</v>
      </c>
      <c r="CB741" s="14" t="n">
        <v>0</v>
      </c>
      <c r="CC741" s="14" t="n">
        <v>97.90000000000001</v>
      </c>
      <c r="CD741" s="14" t="n">
        <v>7.95</v>
      </c>
      <c r="CE741" s="14" t="n">
        <v>0.906</v>
      </c>
      <c r="CF741" s="14" t="n">
        <v>110.138</v>
      </c>
      <c r="CG741" s="14" t="n">
        <v>0.125</v>
      </c>
      <c r="CH741" s="14" t="n">
        <v>1</v>
      </c>
      <c r="CI741" s="14" t="n">
        <v>0</v>
      </c>
      <c r="CJ741" s="14" t="n">
        <v>0</v>
      </c>
      <c r="CK741" s="14" t="n">
        <v>0</v>
      </c>
      <c r="CL741" s="14" t="n">
        <v>0</v>
      </c>
      <c r="CM741" s="14" t="n">
        <v>0</v>
      </c>
      <c r="CN741" s="14" t="n">
        <v>0</v>
      </c>
      <c r="CO741" s="14" t="n">
        <v>0</v>
      </c>
      <c r="CP741" s="14" t="n">
        <v>0</v>
      </c>
      <c r="CQ741" s="14" t="n">
        <v>1.294</v>
      </c>
      <c r="CR741" s="14" t="n">
        <v>0</v>
      </c>
      <c r="CS741" s="14" t="n">
        <v>5.158</v>
      </c>
      <c r="CT741" s="14" t="n">
        <v>10.485</v>
      </c>
      <c r="CU741" s="14" t="n">
        <v>29.494</v>
      </c>
    </row>
    <row r="742">
      <c r="A742" s="14" t="inlineStr">
        <is>
          <t>LCA2023</t>
        </is>
      </c>
      <c r="B742" s="14" t="inlineStr">
        <is>
          <t>LCA</t>
        </is>
      </c>
      <c r="C742" s="14" t="inlineStr">
        <is>
          <t>LCA</t>
        </is>
      </c>
      <c r="D742" s="14" t="inlineStr">
        <is>
          <t>St. Lucia</t>
        </is>
      </c>
      <c r="E742" s="14" t="n">
        <v>2023</v>
      </c>
      <c r="F742" s="14" t="n">
        <v>0.125</v>
      </c>
      <c r="G742" s="14" t="n">
        <v>6.147</v>
      </c>
      <c r="H742" s="14" t="n">
        <v>1.286</v>
      </c>
      <c r="I742" s="14" t="n">
        <v>0</v>
      </c>
      <c r="J742" s="14" t="n">
        <v>6.147</v>
      </c>
      <c r="K742" s="14" t="n">
        <v>0</v>
      </c>
      <c r="L742" s="14" t="n">
        <v>1</v>
      </c>
      <c r="M742" s="14" t="n">
        <v>7.886</v>
      </c>
      <c r="N742" s="14" t="n">
        <v>3.857</v>
      </c>
      <c r="O742" s="14" t="n">
        <v>0</v>
      </c>
      <c r="P742" s="14" t="n">
        <v>7.886</v>
      </c>
      <c r="Q742" s="14" t="n">
        <v>0</v>
      </c>
      <c r="R742" s="14" t="n">
        <v>1</v>
      </c>
      <c r="S742" s="14" t="n">
        <v>12.575</v>
      </c>
      <c r="T742" s="14" t="n">
        <v>7.714</v>
      </c>
      <c r="U742" s="14" t="n">
        <v>0.174</v>
      </c>
      <c r="V742" s="14" t="n">
        <v>14.147</v>
      </c>
      <c r="W742" s="14" t="n">
        <v>0.125</v>
      </c>
      <c r="X742" s="14" t="n">
        <v>1</v>
      </c>
      <c r="Y742" s="14" t="n">
        <v>12.478</v>
      </c>
      <c r="Z742" s="14" t="n">
        <v>1.678</v>
      </c>
      <c r="AA742" s="14" t="n">
        <v>0</v>
      </c>
      <c r="AB742" s="14" t="n">
        <v>12.478</v>
      </c>
      <c r="AC742" s="14" t="n">
        <v>0</v>
      </c>
      <c r="AD742" s="14" t="n">
        <v>1</v>
      </c>
      <c r="AE742" s="14" t="n">
        <v>13.763</v>
      </c>
      <c r="AF742" s="14" t="n">
        <v>3.223</v>
      </c>
      <c r="AG742" s="14" t="n">
        <v>0</v>
      </c>
      <c r="AH742" s="14" t="n">
        <v>13.763</v>
      </c>
      <c r="AI742" s="14" t="n">
        <v>0</v>
      </c>
      <c r="AJ742" s="14" t="n">
        <v>1</v>
      </c>
      <c r="AK742" s="14" t="n">
        <v>21.477</v>
      </c>
      <c r="AL742" s="14" t="n">
        <v>11.54</v>
      </c>
      <c r="AM742" s="14" t="n">
        <v>0.297</v>
      </c>
      <c r="AN742" s="14" t="n">
        <v>24.162</v>
      </c>
      <c r="AO742" s="14" t="n">
        <v>0.125</v>
      </c>
      <c r="AP742" s="14" t="n">
        <v>1</v>
      </c>
      <c r="AQ742" s="14" t="n">
        <v>0.791</v>
      </c>
      <c r="AR742" s="14" t="n">
        <v>0.129</v>
      </c>
      <c r="AS742" s="14" t="n">
        <v>0.5629999999999999</v>
      </c>
      <c r="AT742" s="14" t="n">
        <v>1.354</v>
      </c>
      <c r="AU742" s="14" t="n">
        <v>0</v>
      </c>
      <c r="AV742" s="14" t="n">
        <v>1</v>
      </c>
      <c r="AW742" s="14" t="n">
        <v>0.618</v>
      </c>
      <c r="AX742" s="14" t="n">
        <v>0.129</v>
      </c>
      <c r="AY742" s="14" t="n">
        <v>0.678</v>
      </c>
      <c r="AZ742" s="14" t="n">
        <v>1.296</v>
      </c>
      <c r="BA742" s="14" t="n">
        <v>0</v>
      </c>
      <c r="BB742" s="14" t="n">
        <v>1</v>
      </c>
      <c r="BC742" s="14" t="n">
        <v>0.554</v>
      </c>
      <c r="BD742" s="14" t="n">
        <v>0.129</v>
      </c>
      <c r="BE742" s="14" t="n">
        <v>0.314</v>
      </c>
      <c r="BF742" s="14" t="n">
        <v>0.868</v>
      </c>
      <c r="BG742" s="14" t="n">
        <v>0</v>
      </c>
      <c r="BH742" s="14" t="n">
        <v>1</v>
      </c>
      <c r="BI742" s="14" t="n">
        <v>0.5570000000000001</v>
      </c>
      <c r="BJ742" s="14" t="n">
        <v>0.129</v>
      </c>
      <c r="BK742" s="14" t="n">
        <v>0.442</v>
      </c>
      <c r="BL742" s="14" t="n">
        <v>0.999</v>
      </c>
      <c r="BM742" s="14" t="n">
        <v>0</v>
      </c>
      <c r="BN742" s="14" t="n">
        <v>1</v>
      </c>
      <c r="BO742" s="14" t="n">
        <v>0</v>
      </c>
      <c r="BP742" s="14" t="n">
        <v>0</v>
      </c>
      <c r="BQ742" s="14" t="n">
        <v>0.362</v>
      </c>
      <c r="BR742" s="14" t="n">
        <v>0</v>
      </c>
      <c r="BS742" s="14" t="n">
        <v>1</v>
      </c>
      <c r="BT742" s="14" t="n">
        <v>0</v>
      </c>
      <c r="BU742" s="14" t="n">
        <v>0</v>
      </c>
      <c r="BV742" s="14" t="n">
        <v>0.296</v>
      </c>
      <c r="BW742" s="14" t="n">
        <v>0</v>
      </c>
      <c r="BX742" s="14" t="n">
        <v>1</v>
      </c>
      <c r="BY742" s="14" t="n">
        <v>13.254</v>
      </c>
      <c r="BZ742" s="14" t="n">
        <v>0</v>
      </c>
      <c r="CA742" s="14" t="n">
        <v>13.254</v>
      </c>
      <c r="CB742" s="14" t="n">
        <v>0</v>
      </c>
      <c r="CC742" s="14" t="n">
        <v>83.248</v>
      </c>
      <c r="CD742" s="14" t="n">
        <v>7.95</v>
      </c>
      <c r="CE742" s="14" t="n">
        <v>1.152</v>
      </c>
      <c r="CF742" s="14" t="n">
        <v>93.654</v>
      </c>
      <c r="CG742" s="14" t="n">
        <v>0.125</v>
      </c>
      <c r="CH742" s="14" t="n">
        <v>1</v>
      </c>
      <c r="CI742" s="14" t="n">
        <v>0</v>
      </c>
      <c r="CJ742" s="14" t="n">
        <v>0</v>
      </c>
      <c r="CK742" s="14" t="n">
        <v>0</v>
      </c>
      <c r="CL742" s="14" t="n">
        <v>0</v>
      </c>
      <c r="CM742" s="14" t="n">
        <v>0</v>
      </c>
      <c r="CN742" s="14" t="n">
        <v>0</v>
      </c>
      <c r="CO742" s="14" t="n">
        <v>0</v>
      </c>
      <c r="CP742" s="14" t="n">
        <v>0</v>
      </c>
      <c r="CQ742" s="14" t="n">
        <v>1.348</v>
      </c>
      <c r="CR742" s="14" t="n">
        <v>0</v>
      </c>
      <c r="CS742" s="14" t="n">
        <v>5.37</v>
      </c>
      <c r="CT742" s="14" t="n">
        <v>4.861</v>
      </c>
      <c r="CU742" s="14" t="n">
        <v>11.192</v>
      </c>
    </row>
    <row r="743">
      <c r="A743" s="14" t="inlineStr">
        <is>
          <t>LCA2024</t>
        </is>
      </c>
      <c r="B743" s="14" t="inlineStr">
        <is>
          <t>LCA</t>
        </is>
      </c>
      <c r="C743" s="14" t="inlineStr">
        <is>
          <t>LCA</t>
        </is>
      </c>
      <c r="D743" s="14" t="inlineStr">
        <is>
          <t>St. Lucia</t>
        </is>
      </c>
      <c r="E743" s="14" t="n">
        <v>2024</v>
      </c>
      <c r="F743" s="14" t="n">
        <v>0.125</v>
      </c>
      <c r="G743" s="14" t="n">
        <v>5.575</v>
      </c>
      <c r="H743" s="14" t="n">
        <v>1.324</v>
      </c>
      <c r="I743" s="14" t="n">
        <v>0</v>
      </c>
      <c r="J743" s="14" t="n">
        <v>5.575</v>
      </c>
      <c r="K743" s="14" t="n">
        <v>0</v>
      </c>
      <c r="L743" s="14" t="n">
        <v>1</v>
      </c>
      <c r="M743" s="14" t="n">
        <v>7.124</v>
      </c>
      <c r="N743" s="14" t="n">
        <v>3.971</v>
      </c>
      <c r="O743" s="14" t="n">
        <v>0</v>
      </c>
      <c r="P743" s="14" t="n">
        <v>7.124</v>
      </c>
      <c r="Q743" s="14" t="n">
        <v>0</v>
      </c>
      <c r="R743" s="14" t="n">
        <v>1</v>
      </c>
      <c r="S743" s="14" t="n">
        <v>12.193</v>
      </c>
      <c r="T743" s="14" t="n">
        <v>7.942</v>
      </c>
      <c r="U743" s="14" t="n">
        <v>0.208</v>
      </c>
      <c r="V743" s="14" t="n">
        <v>13.717</v>
      </c>
      <c r="W743" s="14" t="n">
        <v>0.125</v>
      </c>
      <c r="X743" s="14" t="n">
        <v>1</v>
      </c>
      <c r="Y743" s="14" t="n">
        <v>11.447</v>
      </c>
      <c r="Z743" s="14" t="n">
        <v>1.54</v>
      </c>
      <c r="AA743" s="14" t="n">
        <v>0</v>
      </c>
      <c r="AB743" s="14" t="n">
        <v>11.447</v>
      </c>
      <c r="AC743" s="14" t="n">
        <v>0</v>
      </c>
      <c r="AD743" s="14" t="n">
        <v>1</v>
      </c>
      <c r="AE743" s="14" t="n">
        <v>12.771</v>
      </c>
      <c r="AF743" s="14" t="n">
        <v>2.991</v>
      </c>
      <c r="AG743" s="14" t="n">
        <v>0</v>
      </c>
      <c r="AH743" s="14" t="n">
        <v>12.771</v>
      </c>
      <c r="AI743" s="14" t="n">
        <v>0</v>
      </c>
      <c r="AJ743" s="14" t="n">
        <v>1</v>
      </c>
      <c r="AK743" s="14" t="n">
        <v>20.712</v>
      </c>
      <c r="AL743" s="14" t="n">
        <v>11.129</v>
      </c>
      <c r="AM743" s="14" t="n">
        <v>0.353</v>
      </c>
      <c r="AN743" s="14" t="n">
        <v>23.301</v>
      </c>
      <c r="AO743" s="14" t="n">
        <v>0.125</v>
      </c>
      <c r="AP743" s="14" t="n">
        <v>1</v>
      </c>
      <c r="AQ743" s="14" t="n">
        <v>0.756</v>
      </c>
      <c r="AR743" s="14" t="n">
        <v>0.132</v>
      </c>
      <c r="AS743" s="14" t="n">
        <v>0.586</v>
      </c>
      <c r="AT743" s="14" t="n">
        <v>1.342</v>
      </c>
      <c r="AU743" s="14" t="n">
        <v>0</v>
      </c>
      <c r="AV743" s="14" t="n">
        <v>1</v>
      </c>
      <c r="AW743" s="14" t="n">
        <v>0.655</v>
      </c>
      <c r="AX743" s="14" t="n">
        <v>0.132</v>
      </c>
      <c r="AY743" s="14" t="n">
        <v>0.643</v>
      </c>
      <c r="AZ743" s="14" t="n">
        <v>1.299</v>
      </c>
      <c r="BA743" s="14" t="n">
        <v>0</v>
      </c>
      <c r="BB743" s="14" t="n">
        <v>1</v>
      </c>
      <c r="BC743" s="14" t="n">
        <v>0.534</v>
      </c>
      <c r="BD743" s="14" t="n">
        <v>0.132</v>
      </c>
      <c r="BE743" s="14" t="n">
        <v>0.326</v>
      </c>
      <c r="BF743" s="14" t="n">
        <v>0.859</v>
      </c>
      <c r="BG743" s="14" t="n">
        <v>0</v>
      </c>
      <c r="BH743" s="14" t="n">
        <v>1</v>
      </c>
      <c r="BI743" s="14" t="n">
        <v>0.5679999999999999</v>
      </c>
      <c r="BJ743" s="14" t="n">
        <v>0.132</v>
      </c>
      <c r="BK743" s="14" t="n">
        <v>0.371</v>
      </c>
      <c r="BL743" s="14" t="n">
        <v>0.9389999999999999</v>
      </c>
      <c r="BM743" s="14" t="n">
        <v>0</v>
      </c>
      <c r="BN743" s="14" t="n">
        <v>1</v>
      </c>
      <c r="BO743" s="14" t="n">
        <v>0</v>
      </c>
      <c r="BP743" s="14" t="n">
        <v>0</v>
      </c>
      <c r="BQ743" s="14" t="n">
        <v>0.373</v>
      </c>
      <c r="BR743" s="14" t="n">
        <v>0</v>
      </c>
      <c r="BS743" s="14" t="n">
        <v>1</v>
      </c>
      <c r="BT743" s="14" t="n">
        <v>0</v>
      </c>
      <c r="BU743" s="14" t="n">
        <v>0</v>
      </c>
      <c r="BV743" s="14" t="n">
        <v>0.305</v>
      </c>
      <c r="BW743" s="14" t="n">
        <v>0</v>
      </c>
      <c r="BX743" s="14" t="n">
        <v>1</v>
      </c>
      <c r="BY743" s="14" t="n">
        <v>13.646</v>
      </c>
      <c r="BZ743" s="14" t="n">
        <v>0</v>
      </c>
      <c r="CA743" s="14" t="n">
        <v>13.646</v>
      </c>
      <c r="CB743" s="14" t="n">
        <v>0</v>
      </c>
      <c r="CC743" s="14" t="n">
        <v>82.58799999999999</v>
      </c>
      <c r="CD743" s="14" t="n">
        <v>7.95</v>
      </c>
      <c r="CE743" s="14" t="n">
        <v>1.406</v>
      </c>
      <c r="CF743" s="14" t="n">
        <v>92.91200000000001</v>
      </c>
      <c r="CG743" s="14" t="n">
        <v>0.125</v>
      </c>
      <c r="CH743" s="14" t="n">
        <v>1</v>
      </c>
      <c r="CI743" s="14" t="n">
        <v>0</v>
      </c>
      <c r="CJ743" s="14" t="n">
        <v>0</v>
      </c>
      <c r="CK743" s="14" t="n">
        <v>0</v>
      </c>
      <c r="CL743" s="14" t="n">
        <v>0</v>
      </c>
      <c r="CM743" s="14" t="n">
        <v>0</v>
      </c>
      <c r="CN743" s="14" t="n">
        <v>0</v>
      </c>
      <c r="CO743" s="14" t="n">
        <v>0</v>
      </c>
      <c r="CP743" s="14" t="n">
        <v>0</v>
      </c>
      <c r="CQ743" s="14" t="n">
        <v>1.387</v>
      </c>
      <c r="CR743" s="14" t="n">
        <v>0</v>
      </c>
      <c r="CS743" s="14" t="n">
        <v>5.529</v>
      </c>
      <c r="CT743" s="14" t="n">
        <v>4.251</v>
      </c>
      <c r="CU743" s="14" t="n">
        <v>10.123</v>
      </c>
    </row>
    <row r="744">
      <c r="A744" s="14" t="inlineStr">
        <is>
          <t>MAF2021</t>
        </is>
      </c>
      <c r="B744" s="14" t="inlineStr">
        <is>
          <t>MAF</t>
        </is>
      </c>
      <c r="C744" s="14" t="inlineStr">
        <is>
          <t>MAF</t>
        </is>
      </c>
      <c r="D744" s="14" t="inlineStr">
        <is>
          <t>St. Martin (French part)</t>
        </is>
      </c>
      <c r="E744" s="14" t="n">
        <v>2021</v>
      </c>
      <c r="F744" s="14" t="n">
        <v>0.05</v>
      </c>
      <c r="G744" s="14" t="n">
        <v>5.897</v>
      </c>
      <c r="H744" s="14" t="n">
        <v>1.143</v>
      </c>
      <c r="I744" s="14" t="n">
        <v>0</v>
      </c>
      <c r="J744" s="14" t="n">
        <v>5.897</v>
      </c>
      <c r="K744" s="14" t="n">
        <v>0</v>
      </c>
      <c r="L744" s="14" t="n">
        <v>1</v>
      </c>
      <c r="M744" s="14" t="n">
        <v>7.964</v>
      </c>
      <c r="N744" s="14" t="n">
        <v>3.43</v>
      </c>
      <c r="O744" s="14" t="n">
        <v>0</v>
      </c>
      <c r="P744" s="14" t="n">
        <v>7.964</v>
      </c>
      <c r="Q744" s="14" t="n">
        <v>0</v>
      </c>
      <c r="R744" s="14" t="n">
        <v>1</v>
      </c>
      <c r="S744" s="14" t="n">
        <v>11.613</v>
      </c>
      <c r="T744" s="14" t="n">
        <v>6.86</v>
      </c>
      <c r="U744" s="14" t="n">
        <v>0</v>
      </c>
      <c r="V744" s="14" t="n">
        <v>12.194</v>
      </c>
      <c r="W744" s="14" t="n">
        <v>0.05</v>
      </c>
      <c r="X744" s="14" t="n">
        <v>1</v>
      </c>
      <c r="Y744" s="14" t="n">
        <v>17.127</v>
      </c>
      <c r="Z744" s="14" t="n">
        <v>2.304</v>
      </c>
      <c r="AA744" s="14" t="n">
        <v>0</v>
      </c>
      <c r="AB744" s="14" t="n">
        <v>17.127</v>
      </c>
      <c r="AC744" s="14" t="n">
        <v>0</v>
      </c>
      <c r="AD744" s="14" t="n">
        <v>1</v>
      </c>
      <c r="AE744" s="14" t="n">
        <v>18.27</v>
      </c>
      <c r="AF744" s="14" t="n">
        <v>4.278</v>
      </c>
      <c r="AG744" s="14" t="n">
        <v>0</v>
      </c>
      <c r="AH744" s="14" t="n">
        <v>18.27</v>
      </c>
      <c r="AI744" s="14" t="n">
        <v>0</v>
      </c>
      <c r="AJ744" s="14" t="n">
        <v>1</v>
      </c>
      <c r="AK744" s="14" t="n">
        <v>25.13</v>
      </c>
      <c r="AL744" s="14" t="n">
        <v>13.503</v>
      </c>
      <c r="AM744" s="14" t="n">
        <v>0</v>
      </c>
      <c r="AN744" s="14" t="n">
        <v>26.386</v>
      </c>
      <c r="AO744" s="14" t="n">
        <v>0.05</v>
      </c>
      <c r="AP744" s="14" t="n">
        <v>1</v>
      </c>
      <c r="AQ744" s="14" t="n">
        <v>0.649</v>
      </c>
      <c r="AR744" s="14" t="n">
        <v>0.114</v>
      </c>
      <c r="AS744" s="14" t="n">
        <v>0</v>
      </c>
      <c r="AT744" s="14" t="n">
        <v>0.681</v>
      </c>
      <c r="AU744" s="14" t="n">
        <v>0.05</v>
      </c>
      <c r="AV744" s="14" t="n">
        <v>1</v>
      </c>
      <c r="AW744" s="14" t="n">
        <v>0.577</v>
      </c>
      <c r="AX744" s="14" t="n">
        <v>0.114</v>
      </c>
      <c r="AY744" s="14" t="n">
        <v>0</v>
      </c>
      <c r="AZ744" s="14" t="n">
        <v>0.605</v>
      </c>
      <c r="BA744" s="14" t="n">
        <v>0.05</v>
      </c>
      <c r="BB744" s="14" t="n">
        <v>1</v>
      </c>
      <c r="BC744" s="14" t="n">
        <v>0.458</v>
      </c>
      <c r="BD744" s="14" t="n">
        <v>0.114</v>
      </c>
      <c r="BE744" s="14" t="n">
        <v>0</v>
      </c>
      <c r="BF744" s="14" t="n">
        <v>0.481</v>
      </c>
      <c r="BG744" s="14" t="n">
        <v>0.05</v>
      </c>
      <c r="BH744" s="14" t="n">
        <v>1</v>
      </c>
      <c r="BI744" s="14" t="n">
        <v>0.491</v>
      </c>
      <c r="BJ744" s="14" t="n">
        <v>0.114</v>
      </c>
      <c r="BK744" s="14" t="n">
        <v>0</v>
      </c>
      <c r="BL744" s="14" t="n">
        <v>0.516</v>
      </c>
      <c r="BM744" s="14" t="n">
        <v>0.05</v>
      </c>
      <c r="BN744" s="14" t="n">
        <v>1</v>
      </c>
      <c r="BO744" s="14" t="n">
        <v>0</v>
      </c>
      <c r="BP744" s="14" t="n">
        <v>0</v>
      </c>
      <c r="BQ744" s="14" t="n">
        <v>0</v>
      </c>
      <c r="BR744" s="14" t="n">
        <v>0</v>
      </c>
      <c r="BS744" s="14" t="n">
        <v>1</v>
      </c>
      <c r="BT744" s="14" t="n">
        <v>0</v>
      </c>
      <c r="BU744" s="14" t="n">
        <v>0</v>
      </c>
      <c r="BV744" s="14" t="n">
        <v>0</v>
      </c>
      <c r="BW744" s="14" t="n">
        <v>0.05</v>
      </c>
      <c r="BX744" s="14" t="n">
        <v>1</v>
      </c>
      <c r="BY744" s="14" t="n">
        <v>11.787</v>
      </c>
      <c r="BZ744" s="14" t="n">
        <v>0</v>
      </c>
      <c r="CA744" s="14" t="n">
        <v>11.787</v>
      </c>
      <c r="CB744" s="14" t="n">
        <v>0</v>
      </c>
      <c r="CC744" s="14" t="n">
        <v>78.125</v>
      </c>
      <c r="CD744" s="14" t="n">
        <v>7.95</v>
      </c>
      <c r="CE744" s="14" t="n">
        <v>0</v>
      </c>
      <c r="CF744" s="14" t="n">
        <v>82.03100000000001</v>
      </c>
      <c r="CG744" s="14" t="n">
        <v>0.05</v>
      </c>
      <c r="CH744" s="14" t="n">
        <v>1</v>
      </c>
      <c r="CI744" s="14" t="n">
        <v>0</v>
      </c>
      <c r="CJ744" s="14" t="n">
        <v>0</v>
      </c>
      <c r="CK744" s="14" t="n">
        <v>0</v>
      </c>
      <c r="CL744" s="14" t="n">
        <v>0</v>
      </c>
      <c r="CM744" s="14" t="n">
        <v>0</v>
      </c>
      <c r="CN744" s="14" t="n">
        <v>0</v>
      </c>
      <c r="CO744" s="14" t="n">
        <v>0</v>
      </c>
      <c r="CP744" s="14" t="n">
        <v>0</v>
      </c>
      <c r="CQ744" s="14" t="n">
        <v>1.198</v>
      </c>
      <c r="CR744" s="14" t="n">
        <v>0</v>
      </c>
      <c r="CS744" s="14" t="n">
        <v>4.776</v>
      </c>
      <c r="CT744" s="14" t="n">
        <v>4.753</v>
      </c>
      <c r="CU744" s="14" t="n">
        <v>15.983</v>
      </c>
    </row>
    <row r="745">
      <c r="A745" s="14" t="inlineStr">
        <is>
          <t>MAF2022</t>
        </is>
      </c>
      <c r="B745" s="14" t="inlineStr">
        <is>
          <t>MAF</t>
        </is>
      </c>
      <c r="C745" s="14" t="inlineStr">
        <is>
          <t>MAF</t>
        </is>
      </c>
      <c r="D745" s="14" t="inlineStr">
        <is>
          <t>St. Martin (French part)</t>
        </is>
      </c>
      <c r="E745" s="14" t="n">
        <v>2022</v>
      </c>
      <c r="F745" s="14" t="n">
        <v>0.05</v>
      </c>
      <c r="G745" s="14" t="n">
        <v>11.72</v>
      </c>
      <c r="H745" s="14" t="n">
        <v>1.235</v>
      </c>
      <c r="I745" s="14" t="n">
        <v>0</v>
      </c>
      <c r="J745" s="14" t="n">
        <v>11.72</v>
      </c>
      <c r="K745" s="14" t="n">
        <v>0</v>
      </c>
      <c r="L745" s="14" t="n">
        <v>1</v>
      </c>
      <c r="M745" s="14" t="n">
        <v>9.782999999999999</v>
      </c>
      <c r="N745" s="14" t="n">
        <v>3.704</v>
      </c>
      <c r="O745" s="14" t="n">
        <v>0</v>
      </c>
      <c r="P745" s="14" t="n">
        <v>9.782999999999999</v>
      </c>
      <c r="Q745" s="14" t="n">
        <v>0</v>
      </c>
      <c r="R745" s="14" t="n">
        <v>1</v>
      </c>
      <c r="S745" s="14" t="n">
        <v>17.893</v>
      </c>
      <c r="T745" s="14" t="n">
        <v>7.408</v>
      </c>
      <c r="U745" s="14" t="n">
        <v>0.066</v>
      </c>
      <c r="V745" s="14" t="n">
        <v>18.788</v>
      </c>
      <c r="W745" s="14" t="n">
        <v>0.05</v>
      </c>
      <c r="X745" s="14" t="n">
        <v>1</v>
      </c>
      <c r="Y745" s="14" t="n">
        <v>30.728</v>
      </c>
      <c r="Z745" s="14" t="n">
        <v>4.133</v>
      </c>
      <c r="AA745" s="14" t="n">
        <v>0</v>
      </c>
      <c r="AB745" s="14" t="n">
        <v>30.728</v>
      </c>
      <c r="AC745" s="14" t="n">
        <v>0</v>
      </c>
      <c r="AD745" s="14" t="n">
        <v>1</v>
      </c>
      <c r="AE745" s="14" t="n">
        <v>31.963</v>
      </c>
      <c r="AF745" s="14" t="n">
        <v>7.485</v>
      </c>
      <c r="AG745" s="14" t="n">
        <v>0</v>
      </c>
      <c r="AH745" s="14" t="n">
        <v>31.963</v>
      </c>
      <c r="AI745" s="14" t="n">
        <v>0</v>
      </c>
      <c r="AJ745" s="14" t="n">
        <v>1</v>
      </c>
      <c r="AK745" s="14" t="n">
        <v>39.371</v>
      </c>
      <c r="AL745" s="14" t="n">
        <v>21.155</v>
      </c>
      <c r="AM745" s="14" t="n">
        <v>0.146</v>
      </c>
      <c r="AN745" s="14" t="n">
        <v>41.34</v>
      </c>
      <c r="AO745" s="14" t="n">
        <v>0.05</v>
      </c>
      <c r="AP745" s="14" t="n">
        <v>1</v>
      </c>
      <c r="AQ745" s="14" t="n">
        <v>0.896</v>
      </c>
      <c r="AR745" s="14" t="n">
        <v>0.123</v>
      </c>
      <c r="AS745" s="14" t="n">
        <v>0.003</v>
      </c>
      <c r="AT745" s="14" t="n">
        <v>0.9409999999999999</v>
      </c>
      <c r="AU745" s="14" t="n">
        <v>0.05</v>
      </c>
      <c r="AV745" s="14" t="n">
        <v>1</v>
      </c>
      <c r="AW745" s="14" t="n">
        <v>0.89</v>
      </c>
      <c r="AX745" s="14" t="n">
        <v>0.123</v>
      </c>
      <c r="AY745" s="14" t="n">
        <v>0.003</v>
      </c>
      <c r="AZ745" s="14" t="n">
        <v>0.9350000000000001</v>
      </c>
      <c r="BA745" s="14" t="n">
        <v>0.05</v>
      </c>
      <c r="BB745" s="14" t="n">
        <v>1</v>
      </c>
      <c r="BC745" s="14" t="n">
        <v>0.62</v>
      </c>
      <c r="BD745" s="14" t="n">
        <v>0.123</v>
      </c>
      <c r="BE745" s="14" t="n">
        <v>0.002</v>
      </c>
      <c r="BF745" s="14" t="n">
        <v>0.651</v>
      </c>
      <c r="BG745" s="14" t="n">
        <v>0.05</v>
      </c>
      <c r="BH745" s="14" t="n">
        <v>1</v>
      </c>
      <c r="BI745" s="14" t="n">
        <v>0.608</v>
      </c>
      <c r="BJ745" s="14" t="n">
        <v>0.123</v>
      </c>
      <c r="BK745" s="14" t="n">
        <v>0.002</v>
      </c>
      <c r="BL745" s="14" t="n">
        <v>0.638</v>
      </c>
      <c r="BM745" s="14" t="n">
        <v>0.05</v>
      </c>
      <c r="BN745" s="14" t="n">
        <v>1</v>
      </c>
      <c r="BO745" s="14" t="n">
        <v>0</v>
      </c>
      <c r="BP745" s="14" t="n">
        <v>0</v>
      </c>
      <c r="BQ745" s="14" t="n">
        <v>0</v>
      </c>
      <c r="BR745" s="14" t="n">
        <v>0</v>
      </c>
      <c r="BS745" s="14" t="n">
        <v>1</v>
      </c>
      <c r="BT745" s="14" t="n">
        <v>0</v>
      </c>
      <c r="BU745" s="14" t="n">
        <v>0</v>
      </c>
      <c r="BV745" s="14" t="n">
        <v>0</v>
      </c>
      <c r="BW745" s="14" t="n">
        <v>0.05</v>
      </c>
      <c r="BX745" s="14" t="n">
        <v>1</v>
      </c>
      <c r="BY745" s="14" t="n">
        <v>12.729</v>
      </c>
      <c r="BZ745" s="14" t="n">
        <v>0</v>
      </c>
      <c r="CA745" s="14" t="n">
        <v>12.729</v>
      </c>
      <c r="CB745" s="14" t="n">
        <v>0</v>
      </c>
      <c r="CC745" s="14" t="n">
        <v>97.90000000000001</v>
      </c>
      <c r="CD745" s="14" t="n">
        <v>7.95</v>
      </c>
      <c r="CE745" s="14" t="n">
        <v>0.362</v>
      </c>
      <c r="CF745" s="14" t="n">
        <v>102.795</v>
      </c>
      <c r="CG745" s="14" t="n">
        <v>0.05</v>
      </c>
      <c r="CH745" s="14" t="n">
        <v>1</v>
      </c>
      <c r="CI745" s="14" t="n">
        <v>0</v>
      </c>
      <c r="CJ745" s="14" t="n">
        <v>0</v>
      </c>
      <c r="CK745" s="14" t="n">
        <v>0</v>
      </c>
      <c r="CL745" s="14" t="n">
        <v>0</v>
      </c>
      <c r="CM745" s="14" t="n">
        <v>0</v>
      </c>
      <c r="CN745" s="14" t="n">
        <v>0</v>
      </c>
      <c r="CO745" s="14" t="n">
        <v>0</v>
      </c>
      <c r="CP745" s="14" t="n">
        <v>0</v>
      </c>
      <c r="CQ745" s="14" t="n">
        <v>1.294</v>
      </c>
      <c r="CR745" s="14" t="n">
        <v>0</v>
      </c>
      <c r="CS745" s="14" t="n">
        <v>5.158</v>
      </c>
      <c r="CT745" s="14" t="n">
        <v>10.485</v>
      </c>
      <c r="CU745" s="14" t="n">
        <v>29.494</v>
      </c>
    </row>
    <row r="746">
      <c r="A746" s="14" t="inlineStr">
        <is>
          <t>MAF2023</t>
        </is>
      </c>
      <c r="B746" s="14" t="inlineStr">
        <is>
          <t>MAF</t>
        </is>
      </c>
      <c r="C746" s="14" t="inlineStr">
        <is>
          <t>MAF</t>
        </is>
      </c>
      <c r="D746" s="14" t="inlineStr">
        <is>
          <t>St. Martin (French part)</t>
        </is>
      </c>
      <c r="E746" s="14" t="n">
        <v>2023</v>
      </c>
      <c r="F746" s="14" t="n">
        <v>0.05</v>
      </c>
      <c r="G746" s="14" t="n">
        <v>6.147</v>
      </c>
      <c r="H746" s="14" t="n">
        <v>1.286</v>
      </c>
      <c r="I746" s="14" t="n">
        <v>0</v>
      </c>
      <c r="J746" s="14" t="n">
        <v>6.147</v>
      </c>
      <c r="K746" s="14" t="n">
        <v>0</v>
      </c>
      <c r="L746" s="14" t="n">
        <v>1</v>
      </c>
      <c r="M746" s="14" t="n">
        <v>7.886</v>
      </c>
      <c r="N746" s="14" t="n">
        <v>3.857</v>
      </c>
      <c r="O746" s="14" t="n">
        <v>0</v>
      </c>
      <c r="P746" s="14" t="n">
        <v>7.886</v>
      </c>
      <c r="Q746" s="14" t="n">
        <v>0</v>
      </c>
      <c r="R746" s="14" t="n">
        <v>1</v>
      </c>
      <c r="S746" s="14" t="n">
        <v>12.575</v>
      </c>
      <c r="T746" s="14" t="n">
        <v>7.714</v>
      </c>
      <c r="U746" s="14" t="n">
        <v>0.07000000000000001</v>
      </c>
      <c r="V746" s="14" t="n">
        <v>13.204</v>
      </c>
      <c r="W746" s="14" t="n">
        <v>0.05</v>
      </c>
      <c r="X746" s="14" t="n">
        <v>1</v>
      </c>
      <c r="Y746" s="14" t="n">
        <v>12.478</v>
      </c>
      <c r="Z746" s="14" t="n">
        <v>1.678</v>
      </c>
      <c r="AA746" s="14" t="n">
        <v>0</v>
      </c>
      <c r="AB746" s="14" t="n">
        <v>12.478</v>
      </c>
      <c r="AC746" s="14" t="n">
        <v>0</v>
      </c>
      <c r="AD746" s="14" t="n">
        <v>1</v>
      </c>
      <c r="AE746" s="14" t="n">
        <v>13.763</v>
      </c>
      <c r="AF746" s="14" t="n">
        <v>3.223</v>
      </c>
      <c r="AG746" s="14" t="n">
        <v>0</v>
      </c>
      <c r="AH746" s="14" t="n">
        <v>13.763</v>
      </c>
      <c r="AI746" s="14" t="n">
        <v>0</v>
      </c>
      <c r="AJ746" s="14" t="n">
        <v>1</v>
      </c>
      <c r="AK746" s="14" t="n">
        <v>21.477</v>
      </c>
      <c r="AL746" s="14" t="n">
        <v>11.54</v>
      </c>
      <c r="AM746" s="14" t="n">
        <v>0.119</v>
      </c>
      <c r="AN746" s="14" t="n">
        <v>22.551</v>
      </c>
      <c r="AO746" s="14" t="n">
        <v>0.05</v>
      </c>
      <c r="AP746" s="14" t="n">
        <v>1</v>
      </c>
      <c r="AQ746" s="14" t="n">
        <v>0.791</v>
      </c>
      <c r="AR746" s="14" t="n">
        <v>0.129</v>
      </c>
      <c r="AS746" s="14" t="n">
        <v>0.004</v>
      </c>
      <c r="AT746" s="14" t="n">
        <v>0.83</v>
      </c>
      <c r="AU746" s="14" t="n">
        <v>0.05</v>
      </c>
      <c r="AV746" s="14" t="n">
        <v>1</v>
      </c>
      <c r="AW746" s="14" t="n">
        <v>0.618</v>
      </c>
      <c r="AX746" s="14" t="n">
        <v>0.129</v>
      </c>
      <c r="AY746" s="14" t="n">
        <v>0.003</v>
      </c>
      <c r="AZ746" s="14" t="n">
        <v>0.649</v>
      </c>
      <c r="BA746" s="14" t="n">
        <v>0.05</v>
      </c>
      <c r="BB746" s="14" t="n">
        <v>1</v>
      </c>
      <c r="BC746" s="14" t="n">
        <v>0.554</v>
      </c>
      <c r="BD746" s="14" t="n">
        <v>0.129</v>
      </c>
      <c r="BE746" s="14" t="n">
        <v>0.003</v>
      </c>
      <c r="BF746" s="14" t="n">
        <v>0.582</v>
      </c>
      <c r="BG746" s="14" t="n">
        <v>0.05</v>
      </c>
      <c r="BH746" s="14" t="n">
        <v>1</v>
      </c>
      <c r="BI746" s="14" t="n">
        <v>0.5570000000000001</v>
      </c>
      <c r="BJ746" s="14" t="n">
        <v>0.129</v>
      </c>
      <c r="BK746" s="14" t="n">
        <v>0.003</v>
      </c>
      <c r="BL746" s="14" t="n">
        <v>0.585</v>
      </c>
      <c r="BM746" s="14" t="n">
        <v>0.05</v>
      </c>
      <c r="BN746" s="14" t="n">
        <v>1</v>
      </c>
      <c r="BO746" s="14" t="n">
        <v>0</v>
      </c>
      <c r="BP746" s="14" t="n">
        <v>0</v>
      </c>
      <c r="BQ746" s="14" t="n">
        <v>0</v>
      </c>
      <c r="BR746" s="14" t="n">
        <v>0</v>
      </c>
      <c r="BS746" s="14" t="n">
        <v>1</v>
      </c>
      <c r="BT746" s="14" t="n">
        <v>0</v>
      </c>
      <c r="BU746" s="14" t="n">
        <v>0</v>
      </c>
      <c r="BV746" s="14" t="n">
        <v>0</v>
      </c>
      <c r="BW746" s="14" t="n">
        <v>0.05</v>
      </c>
      <c r="BX746" s="14" t="n">
        <v>1</v>
      </c>
      <c r="BY746" s="14" t="n">
        <v>13.254</v>
      </c>
      <c r="BZ746" s="14" t="n">
        <v>0</v>
      </c>
      <c r="CA746" s="14" t="n">
        <v>13.254</v>
      </c>
      <c r="CB746" s="14" t="n">
        <v>0</v>
      </c>
      <c r="CC746" s="14" t="n">
        <v>83.248</v>
      </c>
      <c r="CD746" s="14" t="n">
        <v>7.95</v>
      </c>
      <c r="CE746" s="14" t="n">
        <v>0.461</v>
      </c>
      <c r="CF746" s="14" t="n">
        <v>87.41</v>
      </c>
      <c r="CG746" s="14" t="n">
        <v>0.05</v>
      </c>
      <c r="CH746" s="14" t="n">
        <v>1</v>
      </c>
      <c r="CI746" s="14" t="n">
        <v>0</v>
      </c>
      <c r="CJ746" s="14" t="n">
        <v>0</v>
      </c>
      <c r="CK746" s="14" t="n">
        <v>0</v>
      </c>
      <c r="CL746" s="14" t="n">
        <v>0</v>
      </c>
      <c r="CM746" s="14" t="n">
        <v>0</v>
      </c>
      <c r="CN746" s="14" t="n">
        <v>0</v>
      </c>
      <c r="CO746" s="14" t="n">
        <v>0</v>
      </c>
      <c r="CP746" s="14" t="n">
        <v>0</v>
      </c>
      <c r="CQ746" s="14" t="n">
        <v>1.348</v>
      </c>
      <c r="CR746" s="14" t="n">
        <v>0</v>
      </c>
      <c r="CS746" s="14" t="n">
        <v>5.37</v>
      </c>
      <c r="CT746" s="14" t="n">
        <v>4.861</v>
      </c>
      <c r="CU746" s="14" t="n">
        <v>11.192</v>
      </c>
    </row>
    <row r="747">
      <c r="A747" s="14" t="inlineStr">
        <is>
          <t>MAF2024</t>
        </is>
      </c>
      <c r="B747" s="14" t="inlineStr">
        <is>
          <t>MAF</t>
        </is>
      </c>
      <c r="C747" s="14" t="inlineStr">
        <is>
          <t>MAF</t>
        </is>
      </c>
      <c r="D747" s="14" t="inlineStr">
        <is>
          <t>St. Martin (French part)</t>
        </is>
      </c>
      <c r="E747" s="14" t="n">
        <v>2024</v>
      </c>
      <c r="F747" s="14" t="n">
        <v>0.05</v>
      </c>
      <c r="G747" s="14" t="n">
        <v>5.575</v>
      </c>
      <c r="H747" s="14" t="n">
        <v>1.324</v>
      </c>
      <c r="I747" s="14" t="n">
        <v>0</v>
      </c>
      <c r="J747" s="14" t="n">
        <v>5.575</v>
      </c>
      <c r="K747" s="14" t="n">
        <v>0</v>
      </c>
      <c r="L747" s="14" t="n">
        <v>1</v>
      </c>
      <c r="M747" s="14" t="n">
        <v>7.124</v>
      </c>
      <c r="N747" s="14" t="n">
        <v>3.971</v>
      </c>
      <c r="O747" s="14" t="n">
        <v>0</v>
      </c>
      <c r="P747" s="14" t="n">
        <v>7.124</v>
      </c>
      <c r="Q747" s="14" t="n">
        <v>0</v>
      </c>
      <c r="R747" s="14" t="n">
        <v>1</v>
      </c>
      <c r="S747" s="14" t="n">
        <v>12.193</v>
      </c>
      <c r="T747" s="14" t="n">
        <v>7.942</v>
      </c>
      <c r="U747" s="14" t="n">
        <v>0.083</v>
      </c>
      <c r="V747" s="14" t="n">
        <v>12.802</v>
      </c>
      <c r="W747" s="14" t="n">
        <v>0.05</v>
      </c>
      <c r="X747" s="14" t="n">
        <v>1</v>
      </c>
      <c r="Y747" s="14" t="n">
        <v>11.447</v>
      </c>
      <c r="Z747" s="14" t="n">
        <v>1.54</v>
      </c>
      <c r="AA747" s="14" t="n">
        <v>0</v>
      </c>
      <c r="AB747" s="14" t="n">
        <v>11.447</v>
      </c>
      <c r="AC747" s="14" t="n">
        <v>0</v>
      </c>
      <c r="AD747" s="14" t="n">
        <v>1</v>
      </c>
      <c r="AE747" s="14" t="n">
        <v>12.771</v>
      </c>
      <c r="AF747" s="14" t="n">
        <v>2.991</v>
      </c>
      <c r="AG747" s="14" t="n">
        <v>0</v>
      </c>
      <c r="AH747" s="14" t="n">
        <v>12.771</v>
      </c>
      <c r="AI747" s="14" t="n">
        <v>0</v>
      </c>
      <c r="AJ747" s="14" t="n">
        <v>1</v>
      </c>
      <c r="AK747" s="14" t="n">
        <v>20.712</v>
      </c>
      <c r="AL747" s="14" t="n">
        <v>11.129</v>
      </c>
      <c r="AM747" s="14" t="n">
        <v>0.141</v>
      </c>
      <c r="AN747" s="14" t="n">
        <v>21.748</v>
      </c>
      <c r="AO747" s="14" t="n">
        <v>0.05</v>
      </c>
      <c r="AP747" s="14" t="n">
        <v>1</v>
      </c>
      <c r="AQ747" s="14" t="n">
        <v>0.756</v>
      </c>
      <c r="AR747" s="14" t="n">
        <v>0.132</v>
      </c>
      <c r="AS747" s="14" t="n">
        <v>0.005</v>
      </c>
      <c r="AT747" s="14" t="n">
        <v>0.794</v>
      </c>
      <c r="AU747" s="14" t="n">
        <v>0.05</v>
      </c>
      <c r="AV747" s="14" t="n">
        <v>1</v>
      </c>
      <c r="AW747" s="14" t="n">
        <v>0.655</v>
      </c>
      <c r="AX747" s="14" t="n">
        <v>0.132</v>
      </c>
      <c r="AY747" s="14" t="n">
        <v>0.004</v>
      </c>
      <c r="AZ747" s="14" t="n">
        <v>0.6879999999999999</v>
      </c>
      <c r="BA747" s="14" t="n">
        <v>0.05</v>
      </c>
      <c r="BB747" s="14" t="n">
        <v>1</v>
      </c>
      <c r="BC747" s="14" t="n">
        <v>0.534</v>
      </c>
      <c r="BD747" s="14" t="n">
        <v>0.132</v>
      </c>
      <c r="BE747" s="14" t="n">
        <v>0.004</v>
      </c>
      <c r="BF747" s="14" t="n">
        <v>0.5600000000000001</v>
      </c>
      <c r="BG747" s="14" t="n">
        <v>0.05</v>
      </c>
      <c r="BH747" s="14" t="n">
        <v>1</v>
      </c>
      <c r="BI747" s="14" t="n">
        <v>0.5679999999999999</v>
      </c>
      <c r="BJ747" s="14" t="n">
        <v>0.132</v>
      </c>
      <c r="BK747" s="14" t="n">
        <v>0.004</v>
      </c>
      <c r="BL747" s="14" t="n">
        <v>0.596</v>
      </c>
      <c r="BM747" s="14" t="n">
        <v>0.05</v>
      </c>
      <c r="BN747" s="14" t="n">
        <v>1</v>
      </c>
      <c r="BO747" s="14" t="n">
        <v>0</v>
      </c>
      <c r="BP747" s="14" t="n">
        <v>0</v>
      </c>
      <c r="BQ747" s="14" t="n">
        <v>0</v>
      </c>
      <c r="BR747" s="14" t="n">
        <v>0</v>
      </c>
      <c r="BS747" s="14" t="n">
        <v>1</v>
      </c>
      <c r="BT747" s="14" t="n">
        <v>0</v>
      </c>
      <c r="BU747" s="14" t="n">
        <v>0</v>
      </c>
      <c r="BV747" s="14" t="n">
        <v>0</v>
      </c>
      <c r="BW747" s="14" t="n">
        <v>0.05</v>
      </c>
      <c r="BX747" s="14" t="n">
        <v>1</v>
      </c>
      <c r="BY747" s="14" t="n">
        <v>13.646</v>
      </c>
      <c r="BZ747" s="14" t="n">
        <v>0</v>
      </c>
      <c r="CA747" s="14" t="n">
        <v>13.646</v>
      </c>
      <c r="CB747" s="14" t="n">
        <v>0</v>
      </c>
      <c r="CC747" s="14" t="n">
        <v>82.58799999999999</v>
      </c>
      <c r="CD747" s="14" t="n">
        <v>7.95</v>
      </c>
      <c r="CE747" s="14" t="n">
        <v>0.5620000000000001</v>
      </c>
      <c r="CF747" s="14" t="n">
        <v>86.717</v>
      </c>
      <c r="CG747" s="14" t="n">
        <v>0.05</v>
      </c>
      <c r="CH747" s="14" t="n">
        <v>1</v>
      </c>
      <c r="CI747" s="14" t="n">
        <v>0</v>
      </c>
      <c r="CJ747" s="14" t="n">
        <v>0</v>
      </c>
      <c r="CK747" s="14" t="n">
        <v>0</v>
      </c>
      <c r="CL747" s="14" t="n">
        <v>0</v>
      </c>
      <c r="CM747" s="14" t="n">
        <v>0</v>
      </c>
      <c r="CN747" s="14" t="n">
        <v>0</v>
      </c>
      <c r="CO747" s="14" t="n">
        <v>0</v>
      </c>
      <c r="CP747" s="14" t="n">
        <v>0</v>
      </c>
      <c r="CQ747" s="14" t="n">
        <v>1.387</v>
      </c>
      <c r="CR747" s="14" t="n">
        <v>0</v>
      </c>
      <c r="CS747" s="14" t="n">
        <v>5.529</v>
      </c>
      <c r="CT747" s="14" t="n">
        <v>4.251</v>
      </c>
      <c r="CU747" s="14" t="n">
        <v>10.123</v>
      </c>
    </row>
    <row r="748">
      <c r="A748" s="14" t="inlineStr">
        <is>
          <t>VCT2021</t>
        </is>
      </c>
      <c r="B748" s="14" t="inlineStr">
        <is>
          <t>VCT</t>
        </is>
      </c>
      <c r="C748" s="14" t="inlineStr">
        <is>
          <t>VCT</t>
        </is>
      </c>
      <c r="D748" s="14" t="inlineStr">
        <is>
          <t>St. Vincent and the Grenadines</t>
        </is>
      </c>
      <c r="E748" s="14" t="n">
        <v>2021</v>
      </c>
      <c r="F748" s="14" t="n">
        <v>0.16</v>
      </c>
      <c r="G748" s="14" t="n">
        <v>5.897</v>
      </c>
      <c r="H748" s="14" t="n">
        <v>1.143</v>
      </c>
      <c r="I748" s="14" t="n">
        <v>0</v>
      </c>
      <c r="J748" s="14" t="n">
        <v>5.897</v>
      </c>
      <c r="K748" s="14" t="n">
        <v>0</v>
      </c>
      <c r="L748" s="14" t="n">
        <v>1</v>
      </c>
      <c r="M748" s="14" t="n">
        <v>7.964</v>
      </c>
      <c r="N748" s="14" t="n">
        <v>3.43</v>
      </c>
      <c r="O748" s="14" t="n">
        <v>0</v>
      </c>
      <c r="P748" s="14" t="n">
        <v>7.964</v>
      </c>
      <c r="Q748" s="14" t="n">
        <v>0</v>
      </c>
      <c r="R748" s="14" t="n">
        <v>1</v>
      </c>
      <c r="S748" s="14" t="n">
        <v>11.613</v>
      </c>
      <c r="T748" s="14" t="n">
        <v>6.86</v>
      </c>
      <c r="U748" s="14" t="n">
        <v>0</v>
      </c>
      <c r="V748" s="14" t="n">
        <v>13.471</v>
      </c>
      <c r="W748" s="14" t="n">
        <v>0.16</v>
      </c>
      <c r="X748" s="14" t="n">
        <v>1</v>
      </c>
      <c r="Y748" s="14" t="n">
        <v>5.849</v>
      </c>
      <c r="Z748" s="14" t="n">
        <v>0.787</v>
      </c>
      <c r="AA748" s="14" t="n">
        <v>0</v>
      </c>
      <c r="AB748" s="14" t="n">
        <v>5.849</v>
      </c>
      <c r="AC748" s="14" t="n">
        <v>0</v>
      </c>
      <c r="AD748" s="14" t="n">
        <v>1</v>
      </c>
      <c r="AE748" s="14" t="n">
        <v>6.992</v>
      </c>
      <c r="AF748" s="14" t="n">
        <v>1.637</v>
      </c>
      <c r="AG748" s="14" t="n">
        <v>0</v>
      </c>
      <c r="AH748" s="14" t="n">
        <v>6.992</v>
      </c>
      <c r="AI748" s="14" t="n">
        <v>0</v>
      </c>
      <c r="AJ748" s="14" t="n">
        <v>1</v>
      </c>
      <c r="AK748" s="14" t="n">
        <v>13.852</v>
      </c>
      <c r="AL748" s="14" t="n">
        <v>7.443</v>
      </c>
      <c r="AM748" s="14" t="n">
        <v>0</v>
      </c>
      <c r="AN748" s="14" t="n">
        <v>16.068</v>
      </c>
      <c r="AO748" s="14" t="n">
        <v>0.16</v>
      </c>
      <c r="AP748" s="14" t="n">
        <v>1</v>
      </c>
      <c r="AQ748" s="14" t="n">
        <v>0.649</v>
      </c>
      <c r="AR748" s="14" t="n">
        <v>0.114</v>
      </c>
      <c r="AS748" s="14" t="n">
        <v>0</v>
      </c>
      <c r="AT748" s="14" t="n">
        <v>0.753</v>
      </c>
      <c r="AU748" s="14" t="n">
        <v>0.16</v>
      </c>
      <c r="AV748" s="14" t="n">
        <v>1</v>
      </c>
      <c r="AW748" s="14" t="n">
        <v>0.577</v>
      </c>
      <c r="AX748" s="14" t="n">
        <v>0.114</v>
      </c>
      <c r="AY748" s="14" t="n">
        <v>0</v>
      </c>
      <c r="AZ748" s="14" t="n">
        <v>0.669</v>
      </c>
      <c r="BA748" s="14" t="n">
        <v>0.16</v>
      </c>
      <c r="BB748" s="14" t="n">
        <v>1</v>
      </c>
      <c r="BC748" s="14" t="n">
        <v>0.458</v>
      </c>
      <c r="BD748" s="14" t="n">
        <v>0.114</v>
      </c>
      <c r="BE748" s="14" t="n">
        <v>0</v>
      </c>
      <c r="BF748" s="14" t="n">
        <v>0.531</v>
      </c>
      <c r="BG748" s="14" t="n">
        <v>0.16</v>
      </c>
      <c r="BH748" s="14" t="n">
        <v>1</v>
      </c>
      <c r="BI748" s="14" t="n">
        <v>0.491</v>
      </c>
      <c r="BJ748" s="14" t="n">
        <v>0.114</v>
      </c>
      <c r="BK748" s="14" t="n">
        <v>0</v>
      </c>
      <c r="BL748" s="14" t="n">
        <v>0.57</v>
      </c>
      <c r="BM748" s="14" t="n">
        <v>0.16</v>
      </c>
      <c r="BN748" s="14" t="n">
        <v>1</v>
      </c>
      <c r="BO748" s="14" t="n">
        <v>0</v>
      </c>
      <c r="BP748" s="14" t="n">
        <v>0</v>
      </c>
      <c r="BQ748" s="14" t="n">
        <v>0</v>
      </c>
      <c r="BR748" s="14" t="n">
        <v>0</v>
      </c>
      <c r="BS748" s="14" t="n">
        <v>1</v>
      </c>
      <c r="BT748" s="14" t="n">
        <v>0</v>
      </c>
      <c r="BU748" s="14" t="n">
        <v>0</v>
      </c>
      <c r="BV748" s="14" t="n">
        <v>0</v>
      </c>
      <c r="BW748" s="14" t="n">
        <v>0.16</v>
      </c>
      <c r="BX748" s="14" t="n">
        <v>1</v>
      </c>
      <c r="BY748" s="14" t="n">
        <v>11.787</v>
      </c>
      <c r="BZ748" s="14" t="n">
        <v>0</v>
      </c>
      <c r="CA748" s="14" t="n">
        <v>11.787</v>
      </c>
      <c r="CB748" s="14" t="n">
        <v>0</v>
      </c>
      <c r="CC748" s="14" t="n">
        <v>78.125</v>
      </c>
      <c r="CD748" s="14" t="n">
        <v>7.95</v>
      </c>
      <c r="CE748" s="14" t="n">
        <v>0</v>
      </c>
      <c r="CF748" s="14" t="n">
        <v>90.625</v>
      </c>
      <c r="CG748" s="14" t="n">
        <v>0.16</v>
      </c>
      <c r="CH748" s="14" t="n">
        <v>1</v>
      </c>
      <c r="CI748" s="14" t="n">
        <v>0</v>
      </c>
      <c r="CJ748" s="14" t="n">
        <v>0</v>
      </c>
      <c r="CK748" s="14" t="n">
        <v>0</v>
      </c>
      <c r="CL748" s="14" t="n">
        <v>0</v>
      </c>
      <c r="CM748" s="14" t="n">
        <v>0</v>
      </c>
      <c r="CN748" s="14" t="n">
        <v>0</v>
      </c>
      <c r="CO748" s="14" t="n">
        <v>0</v>
      </c>
      <c r="CP748" s="14" t="n">
        <v>0</v>
      </c>
      <c r="CQ748" s="14" t="n">
        <v>1.198</v>
      </c>
      <c r="CR748" s="14" t="n">
        <v>0</v>
      </c>
      <c r="CS748" s="14" t="n">
        <v>4.776</v>
      </c>
      <c r="CT748" s="14" t="n">
        <v>4.753</v>
      </c>
      <c r="CU748" s="14" t="n">
        <v>15.983</v>
      </c>
    </row>
    <row r="749">
      <c r="A749" s="14" t="inlineStr">
        <is>
          <t>VCT2022</t>
        </is>
      </c>
      <c r="B749" s="14" t="inlineStr">
        <is>
          <t>VCT</t>
        </is>
      </c>
      <c r="C749" s="14" t="inlineStr">
        <is>
          <t>VCT</t>
        </is>
      </c>
      <c r="D749" s="14" t="inlineStr">
        <is>
          <t>St. Vincent and the Grenadines</t>
        </is>
      </c>
      <c r="E749" s="14" t="n">
        <v>2022</v>
      </c>
      <c r="F749" s="14" t="n">
        <v>0.16</v>
      </c>
      <c r="G749" s="14" t="n">
        <v>11.72</v>
      </c>
      <c r="H749" s="14" t="n">
        <v>1.235</v>
      </c>
      <c r="I749" s="14" t="n">
        <v>0</v>
      </c>
      <c r="J749" s="14" t="n">
        <v>11.72</v>
      </c>
      <c r="K749" s="14" t="n">
        <v>0</v>
      </c>
      <c r="L749" s="14" t="n">
        <v>1</v>
      </c>
      <c r="M749" s="14" t="n">
        <v>9.782999999999999</v>
      </c>
      <c r="N749" s="14" t="n">
        <v>3.704</v>
      </c>
      <c r="O749" s="14" t="n">
        <v>0</v>
      </c>
      <c r="P749" s="14" t="n">
        <v>9.782999999999999</v>
      </c>
      <c r="Q749" s="14" t="n">
        <v>0</v>
      </c>
      <c r="R749" s="14" t="n">
        <v>1</v>
      </c>
      <c r="S749" s="14" t="n">
        <v>17.893</v>
      </c>
      <c r="T749" s="14" t="n">
        <v>7.408</v>
      </c>
      <c r="U749" s="14" t="n">
        <v>0.212</v>
      </c>
      <c r="V749" s="14" t="n">
        <v>20.756</v>
      </c>
      <c r="W749" s="14" t="n">
        <v>0.16</v>
      </c>
      <c r="X749" s="14" t="n">
        <v>1</v>
      </c>
      <c r="Y749" s="14" t="n">
        <v>6.316</v>
      </c>
      <c r="Z749" s="14" t="n">
        <v>0.85</v>
      </c>
      <c r="AA749" s="14" t="n">
        <v>0</v>
      </c>
      <c r="AB749" s="14" t="n">
        <v>6.316</v>
      </c>
      <c r="AC749" s="14" t="n">
        <v>0</v>
      </c>
      <c r="AD749" s="14" t="n">
        <v>1</v>
      </c>
      <c r="AE749" s="14" t="n">
        <v>7.551</v>
      </c>
      <c r="AF749" s="14" t="n">
        <v>1.768</v>
      </c>
      <c r="AG749" s="14" t="n">
        <v>0</v>
      </c>
      <c r="AH749" s="14" t="n">
        <v>7.551</v>
      </c>
      <c r="AI749" s="14" t="n">
        <v>0</v>
      </c>
      <c r="AJ749" s="14" t="n">
        <v>1</v>
      </c>
      <c r="AK749" s="14" t="n">
        <v>14.959</v>
      </c>
      <c r="AL749" s="14" t="n">
        <v>8.038</v>
      </c>
      <c r="AM749" s="14" t="n">
        <v>0.177</v>
      </c>
      <c r="AN749" s="14" t="n">
        <v>17.352</v>
      </c>
      <c r="AO749" s="14" t="n">
        <v>0.16</v>
      </c>
      <c r="AP749" s="14" t="n">
        <v>1</v>
      </c>
      <c r="AQ749" s="14" t="n">
        <v>0.896</v>
      </c>
      <c r="AR749" s="14" t="n">
        <v>0.123</v>
      </c>
      <c r="AS749" s="14" t="n">
        <v>0.011</v>
      </c>
      <c r="AT749" s="14" t="n">
        <v>1.039</v>
      </c>
      <c r="AU749" s="14" t="n">
        <v>0.16</v>
      </c>
      <c r="AV749" s="14" t="n">
        <v>1</v>
      </c>
      <c r="AW749" s="14" t="n">
        <v>0.89</v>
      </c>
      <c r="AX749" s="14" t="n">
        <v>0.123</v>
      </c>
      <c r="AY749" s="14" t="n">
        <v>0.011</v>
      </c>
      <c r="AZ749" s="14" t="n">
        <v>1.033</v>
      </c>
      <c r="BA749" s="14" t="n">
        <v>0.16</v>
      </c>
      <c r="BB749" s="14" t="n">
        <v>1</v>
      </c>
      <c r="BC749" s="14" t="n">
        <v>0.62</v>
      </c>
      <c r="BD749" s="14" t="n">
        <v>0.123</v>
      </c>
      <c r="BE749" s="14" t="n">
        <v>0.007</v>
      </c>
      <c r="BF749" s="14" t="n">
        <v>0.72</v>
      </c>
      <c r="BG749" s="14" t="n">
        <v>0.16</v>
      </c>
      <c r="BH749" s="14" t="n">
        <v>1</v>
      </c>
      <c r="BI749" s="14" t="n">
        <v>0.608</v>
      </c>
      <c r="BJ749" s="14" t="n">
        <v>0.123</v>
      </c>
      <c r="BK749" s="14" t="n">
        <v>0.007</v>
      </c>
      <c r="BL749" s="14" t="n">
        <v>0.705</v>
      </c>
      <c r="BM749" s="14" t="n">
        <v>0.16</v>
      </c>
      <c r="BN749" s="14" t="n">
        <v>1</v>
      </c>
      <c r="BO749" s="14" t="n">
        <v>0</v>
      </c>
      <c r="BP749" s="14" t="n">
        <v>0</v>
      </c>
      <c r="BQ749" s="14" t="n">
        <v>0</v>
      </c>
      <c r="BR749" s="14" t="n">
        <v>0</v>
      </c>
      <c r="BS749" s="14" t="n">
        <v>1</v>
      </c>
      <c r="BT749" s="14" t="n">
        <v>0</v>
      </c>
      <c r="BU749" s="14" t="n">
        <v>0</v>
      </c>
      <c r="BV749" s="14" t="n">
        <v>0</v>
      </c>
      <c r="BW749" s="14" t="n">
        <v>0.16</v>
      </c>
      <c r="BX749" s="14" t="n">
        <v>1</v>
      </c>
      <c r="BY749" s="14" t="n">
        <v>12.729</v>
      </c>
      <c r="BZ749" s="14" t="n">
        <v>0</v>
      </c>
      <c r="CA749" s="14" t="n">
        <v>12.729</v>
      </c>
      <c r="CB749" s="14" t="n">
        <v>0</v>
      </c>
      <c r="CC749" s="14" t="n">
        <v>97.90000000000001</v>
      </c>
      <c r="CD749" s="14" t="n">
        <v>7.95</v>
      </c>
      <c r="CE749" s="14" t="n">
        <v>1.159</v>
      </c>
      <c r="CF749" s="14" t="n">
        <v>113.564</v>
      </c>
      <c r="CG749" s="14" t="n">
        <v>0.16</v>
      </c>
      <c r="CH749" s="14" t="n">
        <v>1</v>
      </c>
      <c r="CI749" s="14" t="n">
        <v>0</v>
      </c>
      <c r="CJ749" s="14" t="n">
        <v>0</v>
      </c>
      <c r="CK749" s="14" t="n">
        <v>0</v>
      </c>
      <c r="CL749" s="14" t="n">
        <v>0</v>
      </c>
      <c r="CM749" s="14" t="n">
        <v>0</v>
      </c>
      <c r="CN749" s="14" t="n">
        <v>0</v>
      </c>
      <c r="CO749" s="14" t="n">
        <v>0</v>
      </c>
      <c r="CP749" s="14" t="n">
        <v>0</v>
      </c>
      <c r="CQ749" s="14" t="n">
        <v>1.294</v>
      </c>
      <c r="CR749" s="14" t="n">
        <v>0</v>
      </c>
      <c r="CS749" s="14" t="n">
        <v>5.158</v>
      </c>
      <c r="CT749" s="14" t="n">
        <v>10.485</v>
      </c>
      <c r="CU749" s="14" t="n">
        <v>29.494</v>
      </c>
    </row>
    <row r="750">
      <c r="A750" s="14" t="inlineStr">
        <is>
          <t>VCT2023</t>
        </is>
      </c>
      <c r="B750" s="14" t="inlineStr">
        <is>
          <t>VCT</t>
        </is>
      </c>
      <c r="C750" s="14" t="inlineStr">
        <is>
          <t>VCT</t>
        </is>
      </c>
      <c r="D750" s="14" t="inlineStr">
        <is>
          <t>St. Vincent and the Grenadines</t>
        </is>
      </c>
      <c r="E750" s="14" t="n">
        <v>2023</v>
      </c>
      <c r="F750" s="14" t="n">
        <v>0.16</v>
      </c>
      <c r="G750" s="14" t="n">
        <v>6.147</v>
      </c>
      <c r="H750" s="14" t="n">
        <v>1.286</v>
      </c>
      <c r="I750" s="14" t="n">
        <v>0</v>
      </c>
      <c r="J750" s="14" t="n">
        <v>6.147</v>
      </c>
      <c r="K750" s="14" t="n">
        <v>0</v>
      </c>
      <c r="L750" s="14" t="n">
        <v>1</v>
      </c>
      <c r="M750" s="14" t="n">
        <v>7.886</v>
      </c>
      <c r="N750" s="14" t="n">
        <v>3.857</v>
      </c>
      <c r="O750" s="14" t="n">
        <v>0</v>
      </c>
      <c r="P750" s="14" t="n">
        <v>7.886</v>
      </c>
      <c r="Q750" s="14" t="n">
        <v>0</v>
      </c>
      <c r="R750" s="14" t="n">
        <v>1</v>
      </c>
      <c r="S750" s="14" t="n">
        <v>12.575</v>
      </c>
      <c r="T750" s="14" t="n">
        <v>7.714</v>
      </c>
      <c r="U750" s="14" t="n">
        <v>0.223</v>
      </c>
      <c r="V750" s="14" t="n">
        <v>14.587</v>
      </c>
      <c r="W750" s="14" t="n">
        <v>0.16</v>
      </c>
      <c r="X750" s="14" t="n">
        <v>1</v>
      </c>
      <c r="Y750" s="14" t="n">
        <v>6.577</v>
      </c>
      <c r="Z750" s="14" t="n">
        <v>0.885</v>
      </c>
      <c r="AA750" s="14" t="n">
        <v>0</v>
      </c>
      <c r="AB750" s="14" t="n">
        <v>6.577</v>
      </c>
      <c r="AC750" s="14" t="n">
        <v>0</v>
      </c>
      <c r="AD750" s="14" t="n">
        <v>1</v>
      </c>
      <c r="AE750" s="14" t="n">
        <v>7.862</v>
      </c>
      <c r="AF750" s="14" t="n">
        <v>1.841</v>
      </c>
      <c r="AG750" s="14" t="n">
        <v>0</v>
      </c>
      <c r="AH750" s="14" t="n">
        <v>7.862</v>
      </c>
      <c r="AI750" s="14" t="n">
        <v>0</v>
      </c>
      <c r="AJ750" s="14" t="n">
        <v>1</v>
      </c>
      <c r="AK750" s="14" t="n">
        <v>15.576</v>
      </c>
      <c r="AL750" s="14" t="n">
        <v>8.369999999999999</v>
      </c>
      <c r="AM750" s="14" t="n">
        <v>0.276</v>
      </c>
      <c r="AN750" s="14" t="n">
        <v>18.069</v>
      </c>
      <c r="AO750" s="14" t="n">
        <v>0.16</v>
      </c>
      <c r="AP750" s="14" t="n">
        <v>1</v>
      </c>
      <c r="AQ750" s="14" t="n">
        <v>0.791</v>
      </c>
      <c r="AR750" s="14" t="n">
        <v>0.129</v>
      </c>
      <c r="AS750" s="14" t="n">
        <v>0.014</v>
      </c>
      <c r="AT750" s="14" t="n">
        <v>0.917</v>
      </c>
      <c r="AU750" s="14" t="n">
        <v>0.16</v>
      </c>
      <c r="AV750" s="14" t="n">
        <v>1</v>
      </c>
      <c r="AW750" s="14" t="n">
        <v>0.618</v>
      </c>
      <c r="AX750" s="14" t="n">
        <v>0.129</v>
      </c>
      <c r="AY750" s="14" t="n">
        <v>0.011</v>
      </c>
      <c r="AZ750" s="14" t="n">
        <v>0.717</v>
      </c>
      <c r="BA750" s="14" t="n">
        <v>0.16</v>
      </c>
      <c r="BB750" s="14" t="n">
        <v>1</v>
      </c>
      <c r="BC750" s="14" t="n">
        <v>0.554</v>
      </c>
      <c r="BD750" s="14" t="n">
        <v>0.129</v>
      </c>
      <c r="BE750" s="14" t="n">
        <v>0.01</v>
      </c>
      <c r="BF750" s="14" t="n">
        <v>0.643</v>
      </c>
      <c r="BG750" s="14" t="n">
        <v>0.16</v>
      </c>
      <c r="BH750" s="14" t="n">
        <v>1</v>
      </c>
      <c r="BI750" s="14" t="n">
        <v>0.5570000000000001</v>
      </c>
      <c r="BJ750" s="14" t="n">
        <v>0.129</v>
      </c>
      <c r="BK750" s="14" t="n">
        <v>0.01</v>
      </c>
      <c r="BL750" s="14" t="n">
        <v>0.646</v>
      </c>
      <c r="BM750" s="14" t="n">
        <v>0.16</v>
      </c>
      <c r="BN750" s="14" t="n">
        <v>1</v>
      </c>
      <c r="BO750" s="14" t="n">
        <v>0</v>
      </c>
      <c r="BP750" s="14" t="n">
        <v>0</v>
      </c>
      <c r="BQ750" s="14" t="n">
        <v>0</v>
      </c>
      <c r="BR750" s="14" t="n">
        <v>0</v>
      </c>
      <c r="BS750" s="14" t="n">
        <v>1</v>
      </c>
      <c r="BT750" s="14" t="n">
        <v>0</v>
      </c>
      <c r="BU750" s="14" t="n">
        <v>0</v>
      </c>
      <c r="BV750" s="14" t="n">
        <v>0</v>
      </c>
      <c r="BW750" s="14" t="n">
        <v>0.16</v>
      </c>
      <c r="BX750" s="14" t="n">
        <v>1</v>
      </c>
      <c r="BY750" s="14" t="n">
        <v>13.254</v>
      </c>
      <c r="BZ750" s="14" t="n">
        <v>0</v>
      </c>
      <c r="CA750" s="14" t="n">
        <v>13.254</v>
      </c>
      <c r="CB750" s="14" t="n">
        <v>0</v>
      </c>
      <c r="CC750" s="14" t="n">
        <v>83.248</v>
      </c>
      <c r="CD750" s="14" t="n">
        <v>7.95</v>
      </c>
      <c r="CE750" s="14" t="n">
        <v>1.475</v>
      </c>
      <c r="CF750" s="14" t="n">
        <v>96.568</v>
      </c>
      <c r="CG750" s="14" t="n">
        <v>0.16</v>
      </c>
      <c r="CH750" s="14" t="n">
        <v>1</v>
      </c>
      <c r="CI750" s="14" t="n">
        <v>0</v>
      </c>
      <c r="CJ750" s="14" t="n">
        <v>0</v>
      </c>
      <c r="CK750" s="14" t="n">
        <v>0</v>
      </c>
      <c r="CL750" s="14" t="n">
        <v>0</v>
      </c>
      <c r="CM750" s="14" t="n">
        <v>0</v>
      </c>
      <c r="CN750" s="14" t="n">
        <v>0</v>
      </c>
      <c r="CO750" s="14" t="n">
        <v>0</v>
      </c>
      <c r="CP750" s="14" t="n">
        <v>0</v>
      </c>
      <c r="CQ750" s="14" t="n">
        <v>1.348</v>
      </c>
      <c r="CR750" s="14" t="n">
        <v>0</v>
      </c>
      <c r="CS750" s="14" t="n">
        <v>5.37</v>
      </c>
      <c r="CT750" s="14" t="n">
        <v>4.861</v>
      </c>
      <c r="CU750" s="14" t="n">
        <v>11.192</v>
      </c>
    </row>
    <row r="751">
      <c r="A751" s="14" t="inlineStr">
        <is>
          <t>VCT2024</t>
        </is>
      </c>
      <c r="B751" s="14" t="inlineStr">
        <is>
          <t>VCT</t>
        </is>
      </c>
      <c r="C751" s="14" t="inlineStr">
        <is>
          <t>VCT</t>
        </is>
      </c>
      <c r="D751" s="14" t="inlineStr">
        <is>
          <t>St. Vincent and the Grenadines</t>
        </is>
      </c>
      <c r="E751" s="14" t="n">
        <v>2024</v>
      </c>
      <c r="F751" s="14" t="n">
        <v>0.16</v>
      </c>
      <c r="G751" s="14" t="n">
        <v>5.575</v>
      </c>
      <c r="H751" s="14" t="n">
        <v>1.324</v>
      </c>
      <c r="I751" s="14" t="n">
        <v>0</v>
      </c>
      <c r="J751" s="14" t="n">
        <v>5.575</v>
      </c>
      <c r="K751" s="14" t="n">
        <v>0</v>
      </c>
      <c r="L751" s="14" t="n">
        <v>1</v>
      </c>
      <c r="M751" s="14" t="n">
        <v>7.124</v>
      </c>
      <c r="N751" s="14" t="n">
        <v>3.971</v>
      </c>
      <c r="O751" s="14" t="n">
        <v>0</v>
      </c>
      <c r="P751" s="14" t="n">
        <v>7.124</v>
      </c>
      <c r="Q751" s="14" t="n">
        <v>0</v>
      </c>
      <c r="R751" s="14" t="n">
        <v>1</v>
      </c>
      <c r="S751" s="14" t="n">
        <v>12.193</v>
      </c>
      <c r="T751" s="14" t="n">
        <v>7.942</v>
      </c>
      <c r="U751" s="14" t="n">
        <v>0.266</v>
      </c>
      <c r="V751" s="14" t="n">
        <v>14.144</v>
      </c>
      <c r="W751" s="14" t="n">
        <v>0.16</v>
      </c>
      <c r="X751" s="14" t="n">
        <v>1</v>
      </c>
      <c r="Y751" s="14" t="n">
        <v>6.771</v>
      </c>
      <c r="Z751" s="14" t="n">
        <v>0.911</v>
      </c>
      <c r="AA751" s="14" t="n">
        <v>0</v>
      </c>
      <c r="AB751" s="14" t="n">
        <v>6.771</v>
      </c>
      <c r="AC751" s="14" t="n">
        <v>0</v>
      </c>
      <c r="AD751" s="14" t="n">
        <v>1</v>
      </c>
      <c r="AE751" s="14" t="n">
        <v>8.095000000000001</v>
      </c>
      <c r="AF751" s="14" t="n">
        <v>1.896</v>
      </c>
      <c r="AG751" s="14" t="n">
        <v>0</v>
      </c>
      <c r="AH751" s="14" t="n">
        <v>8.095000000000001</v>
      </c>
      <c r="AI751" s="14" t="n">
        <v>0</v>
      </c>
      <c r="AJ751" s="14" t="n">
        <v>1</v>
      </c>
      <c r="AK751" s="14" t="n">
        <v>16.036</v>
      </c>
      <c r="AL751" s="14" t="n">
        <v>8.617000000000001</v>
      </c>
      <c r="AM751" s="14" t="n">
        <v>0.349</v>
      </c>
      <c r="AN751" s="14" t="n">
        <v>18.602</v>
      </c>
      <c r="AO751" s="14" t="n">
        <v>0.16</v>
      </c>
      <c r="AP751" s="14" t="n">
        <v>1</v>
      </c>
      <c r="AQ751" s="14" t="n">
        <v>0.756</v>
      </c>
      <c r="AR751" s="14" t="n">
        <v>0.132</v>
      </c>
      <c r="AS751" s="14" t="n">
        <v>0.016</v>
      </c>
      <c r="AT751" s="14" t="n">
        <v>0.877</v>
      </c>
      <c r="AU751" s="14" t="n">
        <v>0.16</v>
      </c>
      <c r="AV751" s="14" t="n">
        <v>1</v>
      </c>
      <c r="AW751" s="14" t="n">
        <v>0.655</v>
      </c>
      <c r="AX751" s="14" t="n">
        <v>0.132</v>
      </c>
      <c r="AY751" s="14" t="n">
        <v>0.014</v>
      </c>
      <c r="AZ751" s="14" t="n">
        <v>0.76</v>
      </c>
      <c r="BA751" s="14" t="n">
        <v>0.16</v>
      </c>
      <c r="BB751" s="14" t="n">
        <v>1</v>
      </c>
      <c r="BC751" s="14" t="n">
        <v>0.534</v>
      </c>
      <c r="BD751" s="14" t="n">
        <v>0.132</v>
      </c>
      <c r="BE751" s="14" t="n">
        <v>0.012</v>
      </c>
      <c r="BF751" s="14" t="n">
        <v>0.619</v>
      </c>
      <c r="BG751" s="14" t="n">
        <v>0.16</v>
      </c>
      <c r="BH751" s="14" t="n">
        <v>1</v>
      </c>
      <c r="BI751" s="14" t="n">
        <v>0.5679999999999999</v>
      </c>
      <c r="BJ751" s="14" t="n">
        <v>0.132</v>
      </c>
      <c r="BK751" s="14" t="n">
        <v>0.012</v>
      </c>
      <c r="BL751" s="14" t="n">
        <v>0.659</v>
      </c>
      <c r="BM751" s="14" t="n">
        <v>0.16</v>
      </c>
      <c r="BN751" s="14" t="n">
        <v>1</v>
      </c>
      <c r="BO751" s="14" t="n">
        <v>0</v>
      </c>
      <c r="BP751" s="14" t="n">
        <v>0</v>
      </c>
      <c r="BQ751" s="14" t="n">
        <v>0</v>
      </c>
      <c r="BR751" s="14" t="n">
        <v>0</v>
      </c>
      <c r="BS751" s="14" t="n">
        <v>1</v>
      </c>
      <c r="BT751" s="14" t="n">
        <v>0</v>
      </c>
      <c r="BU751" s="14" t="n">
        <v>0</v>
      </c>
      <c r="BV751" s="14" t="n">
        <v>0</v>
      </c>
      <c r="BW751" s="14" t="n">
        <v>0.16</v>
      </c>
      <c r="BX751" s="14" t="n">
        <v>1</v>
      </c>
      <c r="BY751" s="14" t="n">
        <v>13.646</v>
      </c>
      <c r="BZ751" s="14" t="n">
        <v>0</v>
      </c>
      <c r="CA751" s="14" t="n">
        <v>13.646</v>
      </c>
      <c r="CB751" s="14" t="n">
        <v>0</v>
      </c>
      <c r="CC751" s="14" t="n">
        <v>82.58799999999999</v>
      </c>
      <c r="CD751" s="14" t="n">
        <v>7.95</v>
      </c>
      <c r="CE751" s="14" t="n">
        <v>1.8</v>
      </c>
      <c r="CF751" s="14" t="n">
        <v>95.80200000000001</v>
      </c>
      <c r="CG751" s="14" t="n">
        <v>0.16</v>
      </c>
      <c r="CH751" s="14" t="n">
        <v>1</v>
      </c>
      <c r="CI751" s="14" t="n">
        <v>0</v>
      </c>
      <c r="CJ751" s="14" t="n">
        <v>0</v>
      </c>
      <c r="CK751" s="14" t="n">
        <v>0</v>
      </c>
      <c r="CL751" s="14" t="n">
        <v>0</v>
      </c>
      <c r="CM751" s="14" t="n">
        <v>0</v>
      </c>
      <c r="CN751" s="14" t="n">
        <v>0</v>
      </c>
      <c r="CO751" s="14" t="n">
        <v>0</v>
      </c>
      <c r="CP751" s="14" t="n">
        <v>0</v>
      </c>
      <c r="CQ751" s="14" t="n">
        <v>1.387</v>
      </c>
      <c r="CR751" s="14" t="n">
        <v>0</v>
      </c>
      <c r="CS751" s="14" t="n">
        <v>5.529</v>
      </c>
      <c r="CT751" s="14" t="n">
        <v>4.251</v>
      </c>
      <c r="CU751" s="14" t="n">
        <v>10.123</v>
      </c>
    </row>
    <row r="752">
      <c r="A752" s="14" t="inlineStr">
        <is>
          <t>SDN2021</t>
        </is>
      </c>
      <c r="B752" s="14" t="inlineStr">
        <is>
          <t>SDN</t>
        </is>
      </c>
      <c r="C752" s="14" t="inlineStr">
        <is>
          <t>SDN</t>
        </is>
      </c>
      <c r="D752" s="14" t="inlineStr">
        <is>
          <t>Sudan</t>
        </is>
      </c>
      <c r="E752" s="14" t="n">
        <v>2021</v>
      </c>
      <c r="F752" s="14" t="n">
        <v>0.17</v>
      </c>
      <c r="G752" s="14" t="n">
        <v>5.897</v>
      </c>
      <c r="H752" s="14" t="n">
        <v>1.143</v>
      </c>
      <c r="I752" s="14" t="n">
        <v>0</v>
      </c>
      <c r="J752" s="14" t="n">
        <v>5.897</v>
      </c>
      <c r="K752" s="14" t="n">
        <v>0</v>
      </c>
      <c r="L752" s="14" t="n">
        <v>1</v>
      </c>
      <c r="M752" s="14" t="n">
        <v>7.964</v>
      </c>
      <c r="N752" s="14" t="n">
        <v>3.43</v>
      </c>
      <c r="O752" s="14" t="n">
        <v>0</v>
      </c>
      <c r="P752" s="14" t="n">
        <v>7.964</v>
      </c>
      <c r="Q752" s="14" t="n">
        <v>0</v>
      </c>
      <c r="R752" s="14" t="n">
        <v>1</v>
      </c>
      <c r="S752" s="14" t="n">
        <v>11.613</v>
      </c>
      <c r="T752" s="14" t="n">
        <v>6.86</v>
      </c>
      <c r="U752" s="14" t="n">
        <v>0</v>
      </c>
      <c r="V752" s="14" t="n">
        <v>13.588</v>
      </c>
      <c r="W752" s="14" t="n">
        <v>0.17</v>
      </c>
      <c r="X752" s="14" t="n">
        <v>1</v>
      </c>
      <c r="Y752" s="14" t="n">
        <v>15.47</v>
      </c>
      <c r="Z752" s="14" t="n">
        <v>2.091</v>
      </c>
      <c r="AA752" s="14" t="n">
        <v>0</v>
      </c>
      <c r="AB752" s="14" t="n">
        <v>15.47</v>
      </c>
      <c r="AC752" s="14" t="n">
        <v>0</v>
      </c>
      <c r="AD752" s="14" t="n">
        <v>1</v>
      </c>
      <c r="AE752" s="14" t="n">
        <v>16.613</v>
      </c>
      <c r="AF752" s="14" t="n">
        <v>3.885</v>
      </c>
      <c r="AG752" s="14" t="n">
        <v>0</v>
      </c>
      <c r="AH752" s="14" t="n">
        <v>16.613</v>
      </c>
      <c r="AI752" s="14" t="n">
        <v>0</v>
      </c>
      <c r="AJ752" s="14" t="n">
        <v>1</v>
      </c>
      <c r="AK752" s="14" t="n">
        <v>23.473</v>
      </c>
      <c r="AL752" s="14" t="n">
        <v>12.502</v>
      </c>
      <c r="AM752" s="14" t="n">
        <v>0</v>
      </c>
      <c r="AN752" s="14" t="n">
        <v>27.463</v>
      </c>
      <c r="AO752" s="14" t="n">
        <v>0.17</v>
      </c>
      <c r="AP752" s="14" t="n">
        <v>1</v>
      </c>
      <c r="AQ752" s="14" t="n">
        <v>0.619</v>
      </c>
      <c r="AR752" s="14" t="n">
        <v>0.114</v>
      </c>
      <c r="AS752" s="14" t="n">
        <v>-0.474</v>
      </c>
      <c r="AT752" s="14" t="n">
        <v>0.145</v>
      </c>
      <c r="AU752" s="14" t="n">
        <v>0</v>
      </c>
      <c r="AV752" s="14" t="n">
        <v>1</v>
      </c>
      <c r="AW752" s="14" t="n">
        <v>0.599</v>
      </c>
      <c r="AX752" s="14" t="n">
        <v>0.114</v>
      </c>
      <c r="AY752" s="14" t="n">
        <v>-0.504</v>
      </c>
      <c r="AZ752" s="14" t="n">
        <v>0.096</v>
      </c>
      <c r="BA752" s="14" t="n">
        <v>0</v>
      </c>
      <c r="BB752" s="14" t="n">
        <v>1</v>
      </c>
      <c r="BC752" s="14" t="n">
        <v>0.439</v>
      </c>
      <c r="BD752" s="14" t="n">
        <v>0.114</v>
      </c>
      <c r="BE752" s="14" t="n">
        <v>0</v>
      </c>
      <c r="BF752" s="14" t="n">
        <v>0.514</v>
      </c>
      <c r="BG752" s="14" t="n">
        <v>0.17</v>
      </c>
      <c r="BH752" s="14" t="n">
        <v>1</v>
      </c>
      <c r="BI752" s="14" t="n">
        <v>0.505</v>
      </c>
      <c r="BJ752" s="14" t="n">
        <v>0.114</v>
      </c>
      <c r="BK752" s="14" t="n">
        <v>0</v>
      </c>
      <c r="BL752" s="14" t="n">
        <v>0.591</v>
      </c>
      <c r="BM752" s="14" t="n">
        <v>0.17</v>
      </c>
      <c r="BN752" s="14" t="n">
        <v>1</v>
      </c>
      <c r="BO752" s="14" t="n">
        <v>0</v>
      </c>
      <c r="BP752" s="14" t="n">
        <v>0</v>
      </c>
      <c r="BQ752" s="14" t="n">
        <v>0</v>
      </c>
      <c r="BR752" s="14" t="n">
        <v>0</v>
      </c>
      <c r="BS752" s="14" t="n">
        <v>1</v>
      </c>
      <c r="BT752" s="14" t="n">
        <v>0</v>
      </c>
      <c r="BU752" s="14" t="n">
        <v>0</v>
      </c>
      <c r="BV752" s="14" t="n">
        <v>0</v>
      </c>
      <c r="BW752" s="14" t="n">
        <v>0.17</v>
      </c>
      <c r="BX752" s="14" t="n">
        <v>1</v>
      </c>
      <c r="BY752" s="14" t="n">
        <v>11.787</v>
      </c>
      <c r="BZ752" s="14" t="n">
        <v>0</v>
      </c>
      <c r="CA752" s="14" t="n">
        <v>11.787</v>
      </c>
      <c r="CB752" s="14" t="n">
        <v>0</v>
      </c>
      <c r="CC752" s="14" t="n">
        <v>78.125</v>
      </c>
      <c r="CD752" s="14" t="n">
        <v>7.95</v>
      </c>
      <c r="CE752" s="14" t="n">
        <v>0</v>
      </c>
      <c r="CF752" s="14" t="n">
        <v>91.40600000000001</v>
      </c>
      <c r="CG752" s="14" t="n">
        <v>0.17</v>
      </c>
      <c r="CH752" s="14" t="n">
        <v>1</v>
      </c>
      <c r="CI752" s="14" t="n">
        <v>0</v>
      </c>
      <c r="CJ752" s="14" t="n">
        <v>0</v>
      </c>
      <c r="CK752" s="14" t="n">
        <v>0</v>
      </c>
      <c r="CL752" s="14" t="n">
        <v>0</v>
      </c>
      <c r="CM752" s="14" t="n">
        <v>0</v>
      </c>
      <c r="CN752" s="14" t="n">
        <v>0</v>
      </c>
      <c r="CO752" s="14" t="n">
        <v>0</v>
      </c>
      <c r="CP752" s="14" t="n">
        <v>0</v>
      </c>
      <c r="CQ752" s="14" t="n">
        <v>1.198</v>
      </c>
      <c r="CR752" s="14" t="n">
        <v>0</v>
      </c>
      <c r="CS752" s="14" t="n">
        <v>4.776</v>
      </c>
      <c r="CT752" s="14" t="n">
        <v>4.753</v>
      </c>
      <c r="CU752" s="14" t="n">
        <v>15.162</v>
      </c>
    </row>
    <row r="753">
      <c r="A753" s="14" t="inlineStr">
        <is>
          <t>SDN2022</t>
        </is>
      </c>
      <c r="B753" s="14" t="inlineStr">
        <is>
          <t>SDN</t>
        </is>
      </c>
      <c r="C753" s="14" t="inlineStr">
        <is>
          <t>SDN</t>
        </is>
      </c>
      <c r="D753" s="14" t="inlineStr">
        <is>
          <t>Sudan</t>
        </is>
      </c>
      <c r="E753" s="14" t="n">
        <v>2022</v>
      </c>
      <c r="F753" s="14" t="n">
        <v>0.17</v>
      </c>
      <c r="G753" s="14" t="n">
        <v>11.72</v>
      </c>
      <c r="H753" s="14" t="n">
        <v>1.82</v>
      </c>
      <c r="I753" s="14" t="n">
        <v>0</v>
      </c>
      <c r="J753" s="14" t="n">
        <v>11.72</v>
      </c>
      <c r="K753" s="14" t="n">
        <v>0</v>
      </c>
      <c r="L753" s="14" t="n">
        <v>1</v>
      </c>
      <c r="M753" s="14" t="n">
        <v>9.782999999999999</v>
      </c>
      <c r="N753" s="14" t="n">
        <v>4.04</v>
      </c>
      <c r="O753" s="14" t="n">
        <v>0</v>
      </c>
      <c r="P753" s="14" t="n">
        <v>9.782999999999999</v>
      </c>
      <c r="Q753" s="14" t="n">
        <v>0</v>
      </c>
      <c r="R753" s="14" t="n">
        <v>1</v>
      </c>
      <c r="S753" s="14" t="n">
        <v>17.893</v>
      </c>
      <c r="T753" s="14" t="n">
        <v>8.763999999999999</v>
      </c>
      <c r="U753" s="14" t="n">
        <v>0.225</v>
      </c>
      <c r="V753" s="14" t="n">
        <v>20.935</v>
      </c>
      <c r="W753" s="14" t="n">
        <v>0.17</v>
      </c>
      <c r="X753" s="14" t="n">
        <v>1</v>
      </c>
      <c r="Y753" s="14" t="n">
        <v>30.455</v>
      </c>
      <c r="Z753" s="14" t="n">
        <v>3.195</v>
      </c>
      <c r="AA753" s="14" t="n">
        <v>0</v>
      </c>
      <c r="AB753" s="14" t="n">
        <v>30.455</v>
      </c>
      <c r="AC753" s="14" t="n">
        <v>0</v>
      </c>
      <c r="AD753" s="14" t="n">
        <v>1</v>
      </c>
      <c r="AE753" s="14" t="n">
        <v>31.69</v>
      </c>
      <c r="AF753" s="14" t="n">
        <v>5.875</v>
      </c>
      <c r="AG753" s="14" t="n">
        <v>0</v>
      </c>
      <c r="AH753" s="14" t="n">
        <v>31.69</v>
      </c>
      <c r="AI753" s="14" t="n">
        <v>0</v>
      </c>
      <c r="AJ753" s="14" t="n">
        <v>1</v>
      </c>
      <c r="AK753" s="14" t="n">
        <v>39.098</v>
      </c>
      <c r="AL753" s="14" t="n">
        <v>18.671</v>
      </c>
      <c r="AM753" s="14" t="n">
        <v>0.492</v>
      </c>
      <c r="AN753" s="14" t="n">
        <v>45.744</v>
      </c>
      <c r="AO753" s="14" t="n">
        <v>0.17</v>
      </c>
      <c r="AP753" s="14" t="n">
        <v>1</v>
      </c>
      <c r="AQ753" s="14" t="n">
        <v>0.861</v>
      </c>
      <c r="AR753" s="14" t="n">
        <v>0.123</v>
      </c>
      <c r="AS753" s="14" t="n">
        <v>0.146</v>
      </c>
      <c r="AT753" s="14" t="n">
        <v>1.007</v>
      </c>
      <c r="AU753" s="14" t="n">
        <v>0</v>
      </c>
      <c r="AV753" s="14" t="n">
        <v>1</v>
      </c>
      <c r="AW753" s="14" t="n">
        <v>0.986</v>
      </c>
      <c r="AX753" s="14" t="n">
        <v>0.128</v>
      </c>
      <c r="AY753" s="14" t="n">
        <v>0.168</v>
      </c>
      <c r="AZ753" s="14" t="n">
        <v>1.154</v>
      </c>
      <c r="BA753" s="14" t="n">
        <v>0</v>
      </c>
      <c r="BB753" s="14" t="n">
        <v>1</v>
      </c>
      <c r="BC753" s="14" t="n">
        <v>0.598</v>
      </c>
      <c r="BD753" s="14" t="n">
        <v>0.123</v>
      </c>
      <c r="BE753" s="14" t="n">
        <v>0.008</v>
      </c>
      <c r="BF753" s="14" t="n">
        <v>0.699</v>
      </c>
      <c r="BG753" s="14" t="n">
        <v>0.17</v>
      </c>
      <c r="BH753" s="14" t="n">
        <v>1</v>
      </c>
      <c r="BI753" s="14" t="n">
        <v>0.612</v>
      </c>
      <c r="BJ753" s="14" t="n">
        <v>0.119</v>
      </c>
      <c r="BK753" s="14" t="n">
        <v>0.008</v>
      </c>
      <c r="BL753" s="14" t="n">
        <v>0.716</v>
      </c>
      <c r="BM753" s="14" t="n">
        <v>0.17</v>
      </c>
      <c r="BN753" s="14" t="n">
        <v>1</v>
      </c>
      <c r="BO753" s="14" t="n">
        <v>0</v>
      </c>
      <c r="BP753" s="14" t="n">
        <v>0</v>
      </c>
      <c r="BQ753" s="14" t="n">
        <v>0</v>
      </c>
      <c r="BR753" s="14" t="n">
        <v>0</v>
      </c>
      <c r="BS753" s="14" t="n">
        <v>1</v>
      </c>
      <c r="BT753" s="14" t="n">
        <v>0</v>
      </c>
      <c r="BU753" s="14" t="n">
        <v>0</v>
      </c>
      <c r="BV753" s="14" t="n">
        <v>0</v>
      </c>
      <c r="BW753" s="14" t="n">
        <v>0.17</v>
      </c>
      <c r="BX753" s="14" t="n">
        <v>1</v>
      </c>
      <c r="BY753" s="14" t="n">
        <v>12.729</v>
      </c>
      <c r="BZ753" s="14" t="n">
        <v>0</v>
      </c>
      <c r="CA753" s="14" t="n">
        <v>12.729</v>
      </c>
      <c r="CB753" s="14" t="n">
        <v>0</v>
      </c>
      <c r="CC753" s="14" t="n">
        <v>97.90000000000001</v>
      </c>
      <c r="CD753" s="14" t="n">
        <v>7.95</v>
      </c>
      <c r="CE753" s="14" t="n">
        <v>1.232</v>
      </c>
      <c r="CF753" s="14" t="n">
        <v>114.543</v>
      </c>
      <c r="CG753" s="14" t="n">
        <v>0.17</v>
      </c>
      <c r="CH753" s="14" t="n">
        <v>1</v>
      </c>
      <c r="CI753" s="14" t="n">
        <v>1</v>
      </c>
      <c r="CJ753" s="14" t="n">
        <v>1</v>
      </c>
      <c r="CK753" s="14" t="n">
        <v>0</v>
      </c>
      <c r="CL753" s="14" t="n">
        <v>0</v>
      </c>
      <c r="CM753" s="14" t="n">
        <v>0</v>
      </c>
      <c r="CN753" s="14" t="n">
        <v>0</v>
      </c>
      <c r="CO753" s="14" t="n">
        <v>0</v>
      </c>
      <c r="CP753" s="14" t="n">
        <v>0</v>
      </c>
      <c r="CQ753" s="14" t="n">
        <v>1.294</v>
      </c>
      <c r="CR753" s="14" t="n">
        <v>0</v>
      </c>
      <c r="CS753" s="14" t="n">
        <v>5.158</v>
      </c>
      <c r="CT753" s="14" t="n">
        <v>10.485</v>
      </c>
      <c r="CU753" s="14" t="n">
        <v>31.326</v>
      </c>
    </row>
    <row r="754">
      <c r="A754" s="14" t="inlineStr">
        <is>
          <t>SDN2023</t>
        </is>
      </c>
      <c r="B754" s="14" t="inlineStr">
        <is>
          <t>SDN</t>
        </is>
      </c>
      <c r="C754" s="14" t="inlineStr">
        <is>
          <t>SDN</t>
        </is>
      </c>
      <c r="D754" s="14" t="inlineStr">
        <is>
          <t>Sudan</t>
        </is>
      </c>
      <c r="E754" s="14" t="n">
        <v>2023</v>
      </c>
      <c r="F754" s="14" t="n">
        <v>0.17</v>
      </c>
      <c r="G754" s="14" t="n">
        <v>6.147</v>
      </c>
      <c r="H754" s="14" t="n">
        <v>1.4</v>
      </c>
      <c r="I754" s="14" t="n">
        <v>0</v>
      </c>
      <c r="J754" s="14" t="n">
        <v>6.147</v>
      </c>
      <c r="K754" s="14" t="n">
        <v>0</v>
      </c>
      <c r="L754" s="14" t="n">
        <v>1</v>
      </c>
      <c r="M754" s="14" t="n">
        <v>7.886</v>
      </c>
      <c r="N754" s="14" t="n">
        <v>3.911</v>
      </c>
      <c r="O754" s="14" t="n">
        <v>0</v>
      </c>
      <c r="P754" s="14" t="n">
        <v>7.886</v>
      </c>
      <c r="Q754" s="14" t="n">
        <v>0</v>
      </c>
      <c r="R754" s="14" t="n">
        <v>1</v>
      </c>
      <c r="S754" s="14" t="n">
        <v>12.575</v>
      </c>
      <c r="T754" s="14" t="n">
        <v>7.886</v>
      </c>
      <c r="U754" s="14" t="n">
        <v>0.237</v>
      </c>
      <c r="V754" s="14" t="n">
        <v>14.713</v>
      </c>
      <c r="W754" s="14" t="n">
        <v>0.17</v>
      </c>
      <c r="X754" s="14" t="n">
        <v>1</v>
      </c>
      <c r="Y754" s="14" t="n">
        <v>12.405</v>
      </c>
      <c r="Z754" s="14" t="n">
        <v>1.39</v>
      </c>
      <c r="AA754" s="14" t="n">
        <v>0</v>
      </c>
      <c r="AB754" s="14" t="n">
        <v>12.405</v>
      </c>
      <c r="AC754" s="14" t="n">
        <v>0</v>
      </c>
      <c r="AD754" s="14" t="n">
        <v>1</v>
      </c>
      <c r="AE754" s="14" t="n">
        <v>13.691</v>
      </c>
      <c r="AF754" s="14" t="n">
        <v>2.727</v>
      </c>
      <c r="AG754" s="14" t="n">
        <v>0</v>
      </c>
      <c r="AH754" s="14" t="n">
        <v>13.691</v>
      </c>
      <c r="AI754" s="14" t="n">
        <v>0</v>
      </c>
      <c r="AJ754" s="14" t="n">
        <v>1</v>
      </c>
      <c r="AK754" s="14" t="n">
        <v>21.405</v>
      </c>
      <c r="AL754" s="14" t="n">
        <v>10.603</v>
      </c>
      <c r="AM754" s="14" t="n">
        <v>0.403</v>
      </c>
      <c r="AN754" s="14" t="n">
        <v>25.043</v>
      </c>
      <c r="AO754" s="14" t="n">
        <v>0.17</v>
      </c>
      <c r="AP754" s="14" t="n">
        <v>1</v>
      </c>
      <c r="AQ754" s="14" t="n">
        <v>0.76</v>
      </c>
      <c r="AR754" s="14" t="n">
        <v>0.128</v>
      </c>
      <c r="AS754" s="14" t="n">
        <v>0.129</v>
      </c>
      <c r="AT754" s="14" t="n">
        <v>0.89</v>
      </c>
      <c r="AU754" s="14" t="n">
        <v>0</v>
      </c>
      <c r="AV754" s="14" t="n">
        <v>1</v>
      </c>
      <c r="AW754" s="14" t="n">
        <v>0.8110000000000001</v>
      </c>
      <c r="AX754" s="14" t="n">
        <v>0.139</v>
      </c>
      <c r="AY754" s="14" t="n">
        <v>0.138</v>
      </c>
      <c r="AZ754" s="14" t="n">
        <v>0.949</v>
      </c>
      <c r="BA754" s="14" t="n">
        <v>0</v>
      </c>
      <c r="BB754" s="14" t="n">
        <v>1</v>
      </c>
      <c r="BC754" s="14" t="n">
        <v>0.535</v>
      </c>
      <c r="BD754" s="14" t="n">
        <v>0.129</v>
      </c>
      <c r="BE754" s="14" t="n">
        <v>0.01</v>
      </c>
      <c r="BF754" s="14" t="n">
        <v>0.626</v>
      </c>
      <c r="BG754" s="14" t="n">
        <v>0.17</v>
      </c>
      <c r="BH754" s="14" t="n">
        <v>1</v>
      </c>
      <c r="BI754" s="14" t="n">
        <v>0.579</v>
      </c>
      <c r="BJ754" s="14" t="n">
        <v>0.126</v>
      </c>
      <c r="BK754" s="14" t="n">
        <v>0.011</v>
      </c>
      <c r="BL754" s="14" t="n">
        <v>0.678</v>
      </c>
      <c r="BM754" s="14" t="n">
        <v>0.17</v>
      </c>
      <c r="BN754" s="14" t="n">
        <v>1</v>
      </c>
      <c r="BO754" s="14" t="n">
        <v>0</v>
      </c>
      <c r="BP754" s="14" t="n">
        <v>0</v>
      </c>
      <c r="BQ754" s="14" t="n">
        <v>0</v>
      </c>
      <c r="BR754" s="14" t="n">
        <v>0</v>
      </c>
      <c r="BS754" s="14" t="n">
        <v>1</v>
      </c>
      <c r="BT754" s="14" t="n">
        <v>0</v>
      </c>
      <c r="BU754" s="14" t="n">
        <v>0</v>
      </c>
      <c r="BV754" s="14" t="n">
        <v>0</v>
      </c>
      <c r="BW754" s="14" t="n">
        <v>0.17</v>
      </c>
      <c r="BX754" s="14" t="n">
        <v>1</v>
      </c>
      <c r="BY754" s="14" t="n">
        <v>13.254</v>
      </c>
      <c r="BZ754" s="14" t="n">
        <v>0</v>
      </c>
      <c r="CA754" s="14" t="n">
        <v>13.254</v>
      </c>
      <c r="CB754" s="14" t="n">
        <v>0</v>
      </c>
      <c r="CC754" s="14" t="n">
        <v>83.248</v>
      </c>
      <c r="CD754" s="14" t="n">
        <v>7.95</v>
      </c>
      <c r="CE754" s="14" t="n">
        <v>1.567</v>
      </c>
      <c r="CF754" s="14" t="n">
        <v>97.40000000000001</v>
      </c>
      <c r="CG754" s="14" t="n">
        <v>0.17</v>
      </c>
      <c r="CH754" s="14" t="n">
        <v>1</v>
      </c>
      <c r="CI754" s="14" t="n">
        <v>1</v>
      </c>
      <c r="CJ754" s="14" t="n">
        <v>1</v>
      </c>
      <c r="CK754" s="14" t="n">
        <v>0</v>
      </c>
      <c r="CL754" s="14" t="n">
        <v>0</v>
      </c>
      <c r="CM754" s="14" t="n">
        <v>0</v>
      </c>
      <c r="CN754" s="14" t="n">
        <v>0</v>
      </c>
      <c r="CO754" s="14" t="n">
        <v>0</v>
      </c>
      <c r="CP754" s="14" t="n">
        <v>0</v>
      </c>
      <c r="CQ754" s="14" t="n">
        <v>1.348</v>
      </c>
      <c r="CR754" s="14" t="n">
        <v>0</v>
      </c>
      <c r="CS754" s="14" t="n">
        <v>5.37</v>
      </c>
      <c r="CT754" s="14" t="n">
        <v>4.861</v>
      </c>
      <c r="CU754" s="14" t="n">
        <v>11.622</v>
      </c>
    </row>
    <row r="755">
      <c r="A755" s="14" t="inlineStr">
        <is>
          <t>SDN2024</t>
        </is>
      </c>
      <c r="B755" s="14" t="inlineStr">
        <is>
          <t>SDN</t>
        </is>
      </c>
      <c r="C755" s="14" t="inlineStr">
        <is>
          <t>SDN</t>
        </is>
      </c>
      <c r="D755" s="14" t="inlineStr">
        <is>
          <t>Sudan</t>
        </is>
      </c>
      <c r="E755" s="14" t="n">
        <v>2024</v>
      </c>
      <c r="F755" s="14" t="n">
        <v>0.17</v>
      </c>
      <c r="G755" s="14" t="n">
        <v>5.575</v>
      </c>
      <c r="H755" s="14" t="n">
        <v>1.412</v>
      </c>
      <c r="I755" s="14" t="n">
        <v>0</v>
      </c>
      <c r="J755" s="14" t="n">
        <v>5.575</v>
      </c>
      <c r="K755" s="14" t="n">
        <v>0</v>
      </c>
      <c r="L755" s="14" t="n">
        <v>1</v>
      </c>
      <c r="M755" s="14" t="n">
        <v>7.124</v>
      </c>
      <c r="N755" s="14" t="n">
        <v>3.881</v>
      </c>
      <c r="O755" s="14" t="n">
        <v>0</v>
      </c>
      <c r="P755" s="14" t="n">
        <v>7.124</v>
      </c>
      <c r="Q755" s="14" t="n">
        <v>0</v>
      </c>
      <c r="R755" s="14" t="n">
        <v>1</v>
      </c>
      <c r="S755" s="14" t="n">
        <v>12.193</v>
      </c>
      <c r="T755" s="14" t="n">
        <v>8.071999999999999</v>
      </c>
      <c r="U755" s="14" t="n">
        <v>0.282</v>
      </c>
      <c r="V755" s="14" t="n">
        <v>14.266</v>
      </c>
      <c r="W755" s="14" t="n">
        <v>0.17</v>
      </c>
      <c r="X755" s="14" t="n">
        <v>1</v>
      </c>
      <c r="Y755" s="14" t="n">
        <v>11.119</v>
      </c>
      <c r="Z755" s="14" t="n">
        <v>1.404</v>
      </c>
      <c r="AA755" s="14" t="n">
        <v>0</v>
      </c>
      <c r="AB755" s="14" t="n">
        <v>11.119</v>
      </c>
      <c r="AC755" s="14" t="n">
        <v>0</v>
      </c>
      <c r="AD755" s="14" t="n">
        <v>1</v>
      </c>
      <c r="AE755" s="14" t="n">
        <v>12.442</v>
      </c>
      <c r="AF755" s="14" t="n">
        <v>2.726</v>
      </c>
      <c r="AG755" s="14" t="n">
        <v>0</v>
      </c>
      <c r="AH755" s="14" t="n">
        <v>12.442</v>
      </c>
      <c r="AI755" s="14" t="n">
        <v>0</v>
      </c>
      <c r="AJ755" s="14" t="n">
        <v>1</v>
      </c>
      <c r="AK755" s="14" t="n">
        <v>20.384</v>
      </c>
      <c r="AL755" s="14" t="n">
        <v>10.368</v>
      </c>
      <c r="AM755" s="14" t="n">
        <v>0.472</v>
      </c>
      <c r="AN755" s="14" t="n">
        <v>23.849</v>
      </c>
      <c r="AO755" s="14" t="n">
        <v>0.17</v>
      </c>
      <c r="AP755" s="14" t="n">
        <v>1</v>
      </c>
      <c r="AQ755" s="14" t="n">
        <v>0.724</v>
      </c>
      <c r="AR755" s="14" t="n">
        <v>0.132</v>
      </c>
      <c r="AS755" s="14" t="n">
        <v>0.123</v>
      </c>
      <c r="AT755" s="14" t="n">
        <v>0.847</v>
      </c>
      <c r="AU755" s="14" t="n">
        <v>0</v>
      </c>
      <c r="AV755" s="14" t="n">
        <v>1</v>
      </c>
      <c r="AW755" s="14" t="n">
        <v>0.75</v>
      </c>
      <c r="AX755" s="14" t="n">
        <v>0.138</v>
      </c>
      <c r="AY755" s="14" t="n">
        <v>0.128</v>
      </c>
      <c r="AZ755" s="14" t="n">
        <v>0.878</v>
      </c>
      <c r="BA755" s="14" t="n">
        <v>0</v>
      </c>
      <c r="BB755" s="14" t="n">
        <v>1</v>
      </c>
      <c r="BC755" s="14" t="n">
        <v>0.513</v>
      </c>
      <c r="BD755" s="14" t="n">
        <v>0.132</v>
      </c>
      <c r="BE755" s="14" t="n">
        <v>0.012</v>
      </c>
      <c r="BF755" s="14" t="n">
        <v>0.6</v>
      </c>
      <c r="BG755" s="14" t="n">
        <v>0.17</v>
      </c>
      <c r="BH755" s="14" t="n">
        <v>1</v>
      </c>
      <c r="BI755" s="14" t="n">
        <v>0.591</v>
      </c>
      <c r="BJ755" s="14" t="n">
        <v>0.13</v>
      </c>
      <c r="BK755" s="14" t="n">
        <v>0.014</v>
      </c>
      <c r="BL755" s="14" t="n">
        <v>0.6919999999999999</v>
      </c>
      <c r="BM755" s="14" t="n">
        <v>0.17</v>
      </c>
      <c r="BN755" s="14" t="n">
        <v>1</v>
      </c>
      <c r="BO755" s="14" t="n">
        <v>0</v>
      </c>
      <c r="BP755" s="14" t="n">
        <v>0</v>
      </c>
      <c r="BQ755" s="14" t="n">
        <v>0</v>
      </c>
      <c r="BR755" s="14" t="n">
        <v>0</v>
      </c>
      <c r="BS755" s="14" t="n">
        <v>1</v>
      </c>
      <c r="BT755" s="14" t="n">
        <v>0</v>
      </c>
      <c r="BU755" s="14" t="n">
        <v>0</v>
      </c>
      <c r="BV755" s="14" t="n">
        <v>0</v>
      </c>
      <c r="BW755" s="14" t="n">
        <v>0.17</v>
      </c>
      <c r="BX755" s="14" t="n">
        <v>1</v>
      </c>
      <c r="BY755" s="14" t="n">
        <v>13.646</v>
      </c>
      <c r="BZ755" s="14" t="n">
        <v>0</v>
      </c>
      <c r="CA755" s="14" t="n">
        <v>13.646</v>
      </c>
      <c r="CB755" s="14" t="n">
        <v>0</v>
      </c>
      <c r="CC755" s="14" t="n">
        <v>82.58799999999999</v>
      </c>
      <c r="CD755" s="14" t="n">
        <v>7.95</v>
      </c>
      <c r="CE755" s="14" t="n">
        <v>1.912</v>
      </c>
      <c r="CF755" s="14" t="n">
        <v>96.628</v>
      </c>
      <c r="CG755" s="14" t="n">
        <v>0.17</v>
      </c>
      <c r="CH755" s="14" t="n">
        <v>1</v>
      </c>
      <c r="CI755" s="14" t="n">
        <v>1</v>
      </c>
      <c r="CJ755" s="14" t="n">
        <v>1</v>
      </c>
      <c r="CK755" s="14" t="n">
        <v>0</v>
      </c>
      <c r="CL755" s="14" t="n">
        <v>0</v>
      </c>
      <c r="CM755" s="14" t="n">
        <v>0</v>
      </c>
      <c r="CN755" s="14" t="n">
        <v>0</v>
      </c>
      <c r="CO755" s="14" t="n">
        <v>0</v>
      </c>
      <c r="CP755" s="14" t="n">
        <v>0</v>
      </c>
      <c r="CQ755" s="14" t="n">
        <v>1.387</v>
      </c>
      <c r="CR755" s="14" t="n">
        <v>0</v>
      </c>
      <c r="CS755" s="14" t="n">
        <v>5.529</v>
      </c>
      <c r="CT755" s="14" t="n">
        <v>4.251</v>
      </c>
      <c r="CU755" s="14" t="n">
        <v>10.168</v>
      </c>
    </row>
    <row r="756">
      <c r="A756" s="14" t="inlineStr">
        <is>
          <t>SUR2021</t>
        </is>
      </c>
      <c r="B756" s="14" t="inlineStr">
        <is>
          <t>SUR</t>
        </is>
      </c>
      <c r="C756" s="14" t="inlineStr">
        <is>
          <t>SUR</t>
        </is>
      </c>
      <c r="D756" s="14" t="inlineStr">
        <is>
          <t>Suriname</t>
        </is>
      </c>
      <c r="E756" s="14" t="n">
        <v>2021</v>
      </c>
      <c r="F756" s="14" t="n">
        <v>0.1</v>
      </c>
      <c r="G756" s="14" t="n">
        <v>5.897</v>
      </c>
      <c r="H756" s="14" t="n">
        <v>1.143</v>
      </c>
      <c r="I756" s="14" t="n">
        <v>0</v>
      </c>
      <c r="J756" s="14" t="n">
        <v>5.897</v>
      </c>
      <c r="K756" s="14" t="n">
        <v>0</v>
      </c>
      <c r="L756" s="14" t="n">
        <v>1</v>
      </c>
      <c r="M756" s="14" t="n">
        <v>7.964</v>
      </c>
      <c r="N756" s="14" t="n">
        <v>3.43</v>
      </c>
      <c r="O756" s="14" t="n">
        <v>0</v>
      </c>
      <c r="P756" s="14" t="n">
        <v>7.964</v>
      </c>
      <c r="Q756" s="14" t="n">
        <v>0</v>
      </c>
      <c r="R756" s="14" t="n">
        <v>1</v>
      </c>
      <c r="S756" s="14" t="n">
        <v>11.613</v>
      </c>
      <c r="T756" s="14" t="n">
        <v>6.86</v>
      </c>
      <c r="U756" s="14" t="n">
        <v>0</v>
      </c>
      <c r="V756" s="14" t="n">
        <v>12.775</v>
      </c>
      <c r="W756" s="14" t="n">
        <v>0.1</v>
      </c>
      <c r="X756" s="14" t="n">
        <v>1</v>
      </c>
      <c r="Y756" s="14" t="n">
        <v>5.347</v>
      </c>
      <c r="Z756" s="14" t="n">
        <v>0.389</v>
      </c>
      <c r="AA756" s="14" t="n">
        <v>0</v>
      </c>
      <c r="AB756" s="14" t="n">
        <v>5.347</v>
      </c>
      <c r="AC756" s="14" t="n">
        <v>0</v>
      </c>
      <c r="AD756" s="14" t="n">
        <v>1</v>
      </c>
      <c r="AE756" s="14" t="n">
        <v>5.919</v>
      </c>
      <c r="AF756" s="14" t="n">
        <v>0.796</v>
      </c>
      <c r="AG756" s="14" t="n">
        <v>0</v>
      </c>
      <c r="AH756" s="14" t="n">
        <v>5.919</v>
      </c>
      <c r="AI756" s="14" t="n">
        <v>0</v>
      </c>
      <c r="AJ756" s="14" t="n">
        <v>1</v>
      </c>
      <c r="AK756" s="14" t="n">
        <v>9.349</v>
      </c>
      <c r="AL756" s="14" t="n">
        <v>3.497</v>
      </c>
      <c r="AM756" s="14" t="n">
        <v>0</v>
      </c>
      <c r="AN756" s="14" t="n">
        <v>10.284</v>
      </c>
      <c r="AO756" s="14" t="n">
        <v>0.1</v>
      </c>
      <c r="AP756" s="14" t="n">
        <v>1</v>
      </c>
      <c r="AQ756" s="14" t="n">
        <v>0.649</v>
      </c>
      <c r="AR756" s="14" t="n">
        <v>0.114</v>
      </c>
      <c r="AS756" s="14" t="n">
        <v>0.139</v>
      </c>
      <c r="AT756" s="14" t="n">
        <v>0.867</v>
      </c>
      <c r="AU756" s="14" t="n">
        <v>0.1</v>
      </c>
      <c r="AV756" s="14" t="n">
        <v>1</v>
      </c>
      <c r="AW756" s="14" t="n">
        <v>0.577</v>
      </c>
      <c r="AX756" s="14" t="n">
        <v>0.114</v>
      </c>
      <c r="AY756" s="14" t="n">
        <v>0.12</v>
      </c>
      <c r="AZ756" s="14" t="n">
        <v>0.766</v>
      </c>
      <c r="BA756" s="14" t="n">
        <v>0.1</v>
      </c>
      <c r="BB756" s="14" t="n">
        <v>1</v>
      </c>
      <c r="BC756" s="14" t="n">
        <v>0.458</v>
      </c>
      <c r="BD756" s="14" t="n">
        <v>0.114</v>
      </c>
      <c r="BE756" s="14" t="n">
        <v>0</v>
      </c>
      <c r="BF756" s="14" t="n">
        <v>0.504</v>
      </c>
      <c r="BG756" s="14" t="n">
        <v>0.1</v>
      </c>
      <c r="BH756" s="14" t="n">
        <v>1</v>
      </c>
      <c r="BI756" s="14" t="n">
        <v>0.491</v>
      </c>
      <c r="BJ756" s="14" t="n">
        <v>0.114</v>
      </c>
      <c r="BK756" s="14" t="n">
        <v>0</v>
      </c>
      <c r="BL756" s="14" t="n">
        <v>0.54</v>
      </c>
      <c r="BM756" s="14" t="n">
        <v>0.1</v>
      </c>
      <c r="BN756" s="14" t="n">
        <v>1</v>
      </c>
      <c r="BO756" s="14" t="n">
        <v>0</v>
      </c>
      <c r="BP756" s="14" t="n">
        <v>0</v>
      </c>
      <c r="BQ756" s="14" t="n">
        <v>0.06900000000000001</v>
      </c>
      <c r="BR756" s="14" t="n">
        <v>0</v>
      </c>
      <c r="BS756" s="14" t="n">
        <v>1</v>
      </c>
      <c r="BT756" s="14" t="n">
        <v>0</v>
      </c>
      <c r="BU756" s="14" t="n">
        <v>0</v>
      </c>
      <c r="BV756" s="14" t="n">
        <v>0.031</v>
      </c>
      <c r="BW756" s="14" t="n">
        <v>0</v>
      </c>
      <c r="BX756" s="14" t="n">
        <v>1</v>
      </c>
      <c r="BY756" s="14" t="n">
        <v>11.787</v>
      </c>
      <c r="BZ756" s="14" t="n">
        <v>0</v>
      </c>
      <c r="CA756" s="14" t="n">
        <v>11.787</v>
      </c>
      <c r="CB756" s="14" t="n">
        <v>0</v>
      </c>
      <c r="CC756" s="14" t="n">
        <v>78.125</v>
      </c>
      <c r="CD756" s="14" t="n">
        <v>7.95</v>
      </c>
      <c r="CE756" s="14" t="n">
        <v>-5.776</v>
      </c>
      <c r="CF756" s="14" t="n">
        <v>79.584</v>
      </c>
      <c r="CG756" s="14" t="n">
        <v>0.1</v>
      </c>
      <c r="CH756" s="14" t="n">
        <v>1</v>
      </c>
      <c r="CI756" s="14" t="n">
        <v>0</v>
      </c>
      <c r="CJ756" s="14" t="n">
        <v>0</v>
      </c>
      <c r="CK756" s="14" t="n">
        <v>0</v>
      </c>
      <c r="CL756" s="14" t="n">
        <v>0</v>
      </c>
      <c r="CM756" s="14" t="n">
        <v>0</v>
      </c>
      <c r="CN756" s="14" t="n">
        <v>0</v>
      </c>
      <c r="CO756" s="14" t="n">
        <v>0</v>
      </c>
      <c r="CP756" s="14" t="n">
        <v>0</v>
      </c>
      <c r="CQ756" s="14" t="n">
        <v>1.198</v>
      </c>
      <c r="CR756" s="14" t="n">
        <v>1</v>
      </c>
      <c r="CS756" s="14" t="n">
        <v>4.776</v>
      </c>
      <c r="CT756" s="14" t="n">
        <v>4.753</v>
      </c>
      <c r="CU756" s="14" t="n">
        <v>15.983</v>
      </c>
    </row>
    <row r="757">
      <c r="A757" s="14" t="inlineStr">
        <is>
          <t>SUR2022</t>
        </is>
      </c>
      <c r="B757" s="14" t="inlineStr">
        <is>
          <t>SUR</t>
        </is>
      </c>
      <c r="C757" s="14" t="inlineStr">
        <is>
          <t>SUR</t>
        </is>
      </c>
      <c r="D757" s="14" t="inlineStr">
        <is>
          <t>Suriname</t>
        </is>
      </c>
      <c r="E757" s="14" t="n">
        <v>2022</v>
      </c>
      <c r="F757" s="14" t="n">
        <v>0.1</v>
      </c>
      <c r="G757" s="14" t="n">
        <v>11.72</v>
      </c>
      <c r="H757" s="14" t="n">
        <v>1.235</v>
      </c>
      <c r="I757" s="14" t="n">
        <v>0</v>
      </c>
      <c r="J757" s="14" t="n">
        <v>11.72</v>
      </c>
      <c r="K757" s="14" t="n">
        <v>0</v>
      </c>
      <c r="L757" s="14" t="n">
        <v>1</v>
      </c>
      <c r="M757" s="14" t="n">
        <v>9.782999999999999</v>
      </c>
      <c r="N757" s="14" t="n">
        <v>3.704</v>
      </c>
      <c r="O757" s="14" t="n">
        <v>0</v>
      </c>
      <c r="P757" s="14" t="n">
        <v>9.782999999999999</v>
      </c>
      <c r="Q757" s="14" t="n">
        <v>0</v>
      </c>
      <c r="R757" s="14" t="n">
        <v>1</v>
      </c>
      <c r="S757" s="14" t="n">
        <v>17.893</v>
      </c>
      <c r="T757" s="14" t="n">
        <v>7.408</v>
      </c>
      <c r="U757" s="14" t="n">
        <v>0.132</v>
      </c>
      <c r="V757" s="14" t="n">
        <v>19.683</v>
      </c>
      <c r="W757" s="14" t="n">
        <v>0.1</v>
      </c>
      <c r="X757" s="14" t="n">
        <v>1</v>
      </c>
      <c r="Y757" s="14" t="n">
        <v>5.775</v>
      </c>
      <c r="Z757" s="14" t="n">
        <v>0.42</v>
      </c>
      <c r="AA757" s="14" t="n">
        <v>0</v>
      </c>
      <c r="AB757" s="14" t="n">
        <v>5.775</v>
      </c>
      <c r="AC757" s="14" t="n">
        <v>0</v>
      </c>
      <c r="AD757" s="14" t="n">
        <v>1</v>
      </c>
      <c r="AE757" s="14" t="n">
        <v>6.392</v>
      </c>
      <c r="AF757" s="14" t="n">
        <v>0.86</v>
      </c>
      <c r="AG757" s="14" t="n">
        <v>0</v>
      </c>
      <c r="AH757" s="14" t="n">
        <v>6.392</v>
      </c>
      <c r="AI757" s="14" t="n">
        <v>0</v>
      </c>
      <c r="AJ757" s="14" t="n">
        <v>1</v>
      </c>
      <c r="AK757" s="14" t="n">
        <v>10.096</v>
      </c>
      <c r="AL757" s="14" t="n">
        <v>3.776</v>
      </c>
      <c r="AM757" s="14" t="n">
        <v>0.075</v>
      </c>
      <c r="AN757" s="14" t="n">
        <v>11.106</v>
      </c>
      <c r="AO757" s="14" t="n">
        <v>0.1</v>
      </c>
      <c r="AP757" s="14" t="n">
        <v>1</v>
      </c>
      <c r="AQ757" s="14" t="n">
        <v>0.896</v>
      </c>
      <c r="AR757" s="14" t="n">
        <v>0.123</v>
      </c>
      <c r="AS757" s="14" t="n">
        <v>0.039</v>
      </c>
      <c r="AT757" s="14" t="n">
        <v>1.028</v>
      </c>
      <c r="AU757" s="14" t="n">
        <v>0.1</v>
      </c>
      <c r="AV757" s="14" t="n">
        <v>1</v>
      </c>
      <c r="AW757" s="14" t="n">
        <v>0.89</v>
      </c>
      <c r="AX757" s="14" t="n">
        <v>0.123</v>
      </c>
      <c r="AY757" s="14" t="n">
        <v>-0.176</v>
      </c>
      <c r="AZ757" s="14" t="n">
        <v>0.786</v>
      </c>
      <c r="BA757" s="14" t="n">
        <v>0.1</v>
      </c>
      <c r="BB757" s="14" t="n">
        <v>1</v>
      </c>
      <c r="BC757" s="14" t="n">
        <v>0.62</v>
      </c>
      <c r="BD757" s="14" t="n">
        <v>0.123</v>
      </c>
      <c r="BE757" s="14" t="n">
        <v>0.005</v>
      </c>
      <c r="BF757" s="14" t="n">
        <v>0.6820000000000001</v>
      </c>
      <c r="BG757" s="14" t="n">
        <v>0.1</v>
      </c>
      <c r="BH757" s="14" t="n">
        <v>1</v>
      </c>
      <c r="BI757" s="14" t="n">
        <v>0.608</v>
      </c>
      <c r="BJ757" s="14" t="n">
        <v>0.123</v>
      </c>
      <c r="BK757" s="14" t="n">
        <v>0.004</v>
      </c>
      <c r="BL757" s="14" t="n">
        <v>0.668</v>
      </c>
      <c r="BM757" s="14" t="n">
        <v>0.1</v>
      </c>
      <c r="BN757" s="14" t="n">
        <v>1</v>
      </c>
      <c r="BO757" s="14" t="n">
        <v>0</v>
      </c>
      <c r="BP757" s="14" t="n">
        <v>0</v>
      </c>
      <c r="BQ757" s="14" t="n">
        <v>0.074</v>
      </c>
      <c r="BR757" s="14" t="n">
        <v>0</v>
      </c>
      <c r="BS757" s="14" t="n">
        <v>1</v>
      </c>
      <c r="BT757" s="14" t="n">
        <v>0</v>
      </c>
      <c r="BU757" s="14" t="n">
        <v>0</v>
      </c>
      <c r="BV757" s="14" t="n">
        <v>0.032</v>
      </c>
      <c r="BW757" s="14" t="n">
        <v>0</v>
      </c>
      <c r="BX757" s="14" t="n">
        <v>1</v>
      </c>
      <c r="BY757" s="14" t="n">
        <v>12.729</v>
      </c>
      <c r="BZ757" s="14" t="n">
        <v>0</v>
      </c>
      <c r="CA757" s="14" t="n">
        <v>12.729</v>
      </c>
      <c r="CB757" s="14" t="n">
        <v>0</v>
      </c>
      <c r="CC757" s="14" t="n">
        <v>97.90000000000001</v>
      </c>
      <c r="CD757" s="14" t="n">
        <v>7.95</v>
      </c>
      <c r="CE757" s="14" t="n">
        <v>-6.798</v>
      </c>
      <c r="CF757" s="14" t="n">
        <v>99.476</v>
      </c>
      <c r="CG757" s="14" t="n">
        <v>0.1</v>
      </c>
      <c r="CH757" s="14" t="n">
        <v>1</v>
      </c>
      <c r="CI757" s="14" t="n">
        <v>0</v>
      </c>
      <c r="CJ757" s="14" t="n">
        <v>0</v>
      </c>
      <c r="CK757" s="14" t="n">
        <v>0</v>
      </c>
      <c r="CL757" s="14" t="n">
        <v>0</v>
      </c>
      <c r="CM757" s="14" t="n">
        <v>0</v>
      </c>
      <c r="CN757" s="14" t="n">
        <v>0</v>
      </c>
      <c r="CO757" s="14" t="n">
        <v>0</v>
      </c>
      <c r="CP757" s="14" t="n">
        <v>0</v>
      </c>
      <c r="CQ757" s="14" t="n">
        <v>1.294</v>
      </c>
      <c r="CR757" s="14" t="n">
        <v>1</v>
      </c>
      <c r="CS757" s="14" t="n">
        <v>5.158</v>
      </c>
      <c r="CT757" s="14" t="n">
        <v>10.485</v>
      </c>
      <c r="CU757" s="14" t="n">
        <v>29.494</v>
      </c>
    </row>
    <row r="758">
      <c r="A758" s="14" t="inlineStr">
        <is>
          <t>SUR2023</t>
        </is>
      </c>
      <c r="B758" s="14" t="inlineStr">
        <is>
          <t>SUR</t>
        </is>
      </c>
      <c r="C758" s="14" t="inlineStr">
        <is>
          <t>SUR</t>
        </is>
      </c>
      <c r="D758" s="14" t="inlineStr">
        <is>
          <t>Suriname</t>
        </is>
      </c>
      <c r="E758" s="14" t="n">
        <v>2023</v>
      </c>
      <c r="F758" s="14" t="n">
        <v>0.1</v>
      </c>
      <c r="G758" s="14" t="n">
        <v>6.147</v>
      </c>
      <c r="H758" s="14" t="n">
        <v>1.286</v>
      </c>
      <c r="I758" s="14" t="n">
        <v>0</v>
      </c>
      <c r="J758" s="14" t="n">
        <v>6.147</v>
      </c>
      <c r="K758" s="14" t="n">
        <v>0</v>
      </c>
      <c r="L758" s="14" t="n">
        <v>1</v>
      </c>
      <c r="M758" s="14" t="n">
        <v>7.886</v>
      </c>
      <c r="N758" s="14" t="n">
        <v>3.857</v>
      </c>
      <c r="O758" s="14" t="n">
        <v>0</v>
      </c>
      <c r="P758" s="14" t="n">
        <v>7.886</v>
      </c>
      <c r="Q758" s="14" t="n">
        <v>0</v>
      </c>
      <c r="R758" s="14" t="n">
        <v>1</v>
      </c>
      <c r="S758" s="14" t="n">
        <v>12.575</v>
      </c>
      <c r="T758" s="14" t="n">
        <v>7.714</v>
      </c>
      <c r="U758" s="14" t="n">
        <v>0.139</v>
      </c>
      <c r="V758" s="14" t="n">
        <v>13.833</v>
      </c>
      <c r="W758" s="14" t="n">
        <v>0.1</v>
      </c>
      <c r="X758" s="14" t="n">
        <v>1</v>
      </c>
      <c r="Y758" s="14" t="n">
        <v>6.013</v>
      </c>
      <c r="Z758" s="14" t="n">
        <v>0.438</v>
      </c>
      <c r="AA758" s="14" t="n">
        <v>0</v>
      </c>
      <c r="AB758" s="14" t="n">
        <v>6.013</v>
      </c>
      <c r="AC758" s="14" t="n">
        <v>0</v>
      </c>
      <c r="AD758" s="14" t="n">
        <v>1</v>
      </c>
      <c r="AE758" s="14" t="n">
        <v>6.656</v>
      </c>
      <c r="AF758" s="14" t="n">
        <v>0.895</v>
      </c>
      <c r="AG758" s="14" t="n">
        <v>0</v>
      </c>
      <c r="AH758" s="14" t="n">
        <v>6.656</v>
      </c>
      <c r="AI758" s="14" t="n">
        <v>0</v>
      </c>
      <c r="AJ758" s="14" t="n">
        <v>1</v>
      </c>
      <c r="AK758" s="14" t="n">
        <v>10.513</v>
      </c>
      <c r="AL758" s="14" t="n">
        <v>3.932</v>
      </c>
      <c r="AM758" s="14" t="n">
        <v>0.116</v>
      </c>
      <c r="AN758" s="14" t="n">
        <v>11.564</v>
      </c>
      <c r="AO758" s="14" t="n">
        <v>0.1</v>
      </c>
      <c r="AP758" s="14" t="n">
        <v>1</v>
      </c>
      <c r="AQ758" s="14" t="n">
        <v>0.791</v>
      </c>
      <c r="AR758" s="14" t="n">
        <v>0.129</v>
      </c>
      <c r="AS758" s="14" t="n">
        <v>0.263</v>
      </c>
      <c r="AT758" s="14" t="n">
        <v>1.159</v>
      </c>
      <c r="AU758" s="14" t="n">
        <v>0.1</v>
      </c>
      <c r="AV758" s="14" t="n">
        <v>1</v>
      </c>
      <c r="AW758" s="14" t="n">
        <v>0.618</v>
      </c>
      <c r="AX758" s="14" t="n">
        <v>0.129</v>
      </c>
      <c r="AY758" s="14" t="n">
        <v>0.316</v>
      </c>
      <c r="AZ758" s="14" t="n">
        <v>1.027</v>
      </c>
      <c r="BA758" s="14" t="n">
        <v>0.1</v>
      </c>
      <c r="BB758" s="14" t="n">
        <v>1</v>
      </c>
      <c r="BC758" s="14" t="n">
        <v>0.554</v>
      </c>
      <c r="BD758" s="14" t="n">
        <v>0.129</v>
      </c>
      <c r="BE758" s="14" t="n">
        <v>0.006</v>
      </c>
      <c r="BF758" s="14" t="n">
        <v>0.61</v>
      </c>
      <c r="BG758" s="14" t="n">
        <v>0.1</v>
      </c>
      <c r="BH758" s="14" t="n">
        <v>1</v>
      </c>
      <c r="BI758" s="14" t="n">
        <v>0.5570000000000001</v>
      </c>
      <c r="BJ758" s="14" t="n">
        <v>0.129</v>
      </c>
      <c r="BK758" s="14" t="n">
        <v>0.006</v>
      </c>
      <c r="BL758" s="14" t="n">
        <v>0.613</v>
      </c>
      <c r="BM758" s="14" t="n">
        <v>0.1</v>
      </c>
      <c r="BN758" s="14" t="n">
        <v>1</v>
      </c>
      <c r="BO758" s="14" t="n">
        <v>0</v>
      </c>
      <c r="BP758" s="14" t="n">
        <v>0</v>
      </c>
      <c r="BQ758" s="14" t="n">
        <v>0.077</v>
      </c>
      <c r="BR758" s="14" t="n">
        <v>0</v>
      </c>
      <c r="BS758" s="14" t="n">
        <v>1</v>
      </c>
      <c r="BT758" s="14" t="n">
        <v>0</v>
      </c>
      <c r="BU758" s="14" t="n">
        <v>0</v>
      </c>
      <c r="BV758" s="14" t="n">
        <v>0.036</v>
      </c>
      <c r="BW758" s="14" t="n">
        <v>0</v>
      </c>
      <c r="BX758" s="14" t="n">
        <v>1</v>
      </c>
      <c r="BY758" s="14" t="n">
        <v>13.254</v>
      </c>
      <c r="BZ758" s="14" t="n">
        <v>0</v>
      </c>
      <c r="CA758" s="14" t="n">
        <v>13.254</v>
      </c>
      <c r="CB758" s="14" t="n">
        <v>0</v>
      </c>
      <c r="CC758" s="14" t="n">
        <v>83.248</v>
      </c>
      <c r="CD758" s="14" t="n">
        <v>7.95</v>
      </c>
      <c r="CE758" s="14" t="n">
        <v>-5.222</v>
      </c>
      <c r="CF758" s="14" t="n">
        <v>84.889</v>
      </c>
      <c r="CG758" s="14" t="n">
        <v>0.1</v>
      </c>
      <c r="CH758" s="14" t="n">
        <v>1</v>
      </c>
      <c r="CI758" s="14" t="n">
        <v>0</v>
      </c>
      <c r="CJ758" s="14" t="n">
        <v>0</v>
      </c>
      <c r="CK758" s="14" t="n">
        <v>0</v>
      </c>
      <c r="CL758" s="14" t="n">
        <v>0</v>
      </c>
      <c r="CM758" s="14" t="n">
        <v>0</v>
      </c>
      <c r="CN758" s="14" t="n">
        <v>0</v>
      </c>
      <c r="CO758" s="14" t="n">
        <v>0</v>
      </c>
      <c r="CP758" s="14" t="n">
        <v>0</v>
      </c>
      <c r="CQ758" s="14" t="n">
        <v>1.348</v>
      </c>
      <c r="CR758" s="14" t="n">
        <v>1</v>
      </c>
      <c r="CS758" s="14" t="n">
        <v>5.37</v>
      </c>
      <c r="CT758" s="14" t="n">
        <v>4.861</v>
      </c>
      <c r="CU758" s="14" t="n">
        <v>11.192</v>
      </c>
    </row>
    <row r="759">
      <c r="A759" s="14" t="inlineStr">
        <is>
          <t>SUR2024</t>
        </is>
      </c>
      <c r="B759" s="14" t="inlineStr">
        <is>
          <t>SUR</t>
        </is>
      </c>
      <c r="C759" s="14" t="inlineStr">
        <is>
          <t>SUR</t>
        </is>
      </c>
      <c r="D759" s="14" t="inlineStr">
        <is>
          <t>Suriname</t>
        </is>
      </c>
      <c r="E759" s="14" t="n">
        <v>2024</v>
      </c>
      <c r="F759" s="14" t="n">
        <v>0.1</v>
      </c>
      <c r="G759" s="14" t="n">
        <v>5.575</v>
      </c>
      <c r="H759" s="14" t="n">
        <v>1.324</v>
      </c>
      <c r="I759" s="14" t="n">
        <v>0</v>
      </c>
      <c r="J759" s="14" t="n">
        <v>5.575</v>
      </c>
      <c r="K759" s="14" t="n">
        <v>0</v>
      </c>
      <c r="L759" s="14" t="n">
        <v>1</v>
      </c>
      <c r="M759" s="14" t="n">
        <v>7.124</v>
      </c>
      <c r="N759" s="14" t="n">
        <v>3.971</v>
      </c>
      <c r="O759" s="14" t="n">
        <v>0</v>
      </c>
      <c r="P759" s="14" t="n">
        <v>7.124</v>
      </c>
      <c r="Q759" s="14" t="n">
        <v>0</v>
      </c>
      <c r="R759" s="14" t="n">
        <v>1</v>
      </c>
      <c r="S759" s="14" t="n">
        <v>12.193</v>
      </c>
      <c r="T759" s="14" t="n">
        <v>7.942</v>
      </c>
      <c r="U759" s="14" t="n">
        <v>0.166</v>
      </c>
      <c r="V759" s="14" t="n">
        <v>13.412</v>
      </c>
      <c r="W759" s="14" t="n">
        <v>0.1</v>
      </c>
      <c r="X759" s="14" t="n">
        <v>1</v>
      </c>
      <c r="Y759" s="14" t="n">
        <v>6.191</v>
      </c>
      <c r="Z759" s="14" t="n">
        <v>0.451</v>
      </c>
      <c r="AA759" s="14" t="n">
        <v>0</v>
      </c>
      <c r="AB759" s="14" t="n">
        <v>6.191</v>
      </c>
      <c r="AC759" s="14" t="n">
        <v>0</v>
      </c>
      <c r="AD759" s="14" t="n">
        <v>1</v>
      </c>
      <c r="AE759" s="14" t="n">
        <v>6.853</v>
      </c>
      <c r="AF759" s="14" t="n">
        <v>0.922</v>
      </c>
      <c r="AG759" s="14" t="n">
        <v>0</v>
      </c>
      <c r="AH759" s="14" t="n">
        <v>6.853</v>
      </c>
      <c r="AI759" s="14" t="n">
        <v>0</v>
      </c>
      <c r="AJ759" s="14" t="n">
        <v>1</v>
      </c>
      <c r="AK759" s="14" t="n">
        <v>10.823</v>
      </c>
      <c r="AL759" s="14" t="n">
        <v>4.048</v>
      </c>
      <c r="AM759" s="14" t="n">
        <v>0.147</v>
      </c>
      <c r="AN759" s="14" t="n">
        <v>11.906</v>
      </c>
      <c r="AO759" s="14" t="n">
        <v>0.1</v>
      </c>
      <c r="AP759" s="14" t="n">
        <v>1</v>
      </c>
      <c r="AQ759" s="14" t="n">
        <v>0.756</v>
      </c>
      <c r="AR759" s="14" t="n">
        <v>0.132</v>
      </c>
      <c r="AS759" s="14" t="n">
        <v>0.445</v>
      </c>
      <c r="AT759" s="14" t="n">
        <v>1.321</v>
      </c>
      <c r="AU759" s="14" t="n">
        <v>0.1</v>
      </c>
      <c r="AV759" s="14" t="n">
        <v>1</v>
      </c>
      <c r="AW759" s="14" t="n">
        <v>0.655</v>
      </c>
      <c r="AX759" s="14" t="n">
        <v>0.132</v>
      </c>
      <c r="AY759" s="14" t="n">
        <v>0.426</v>
      </c>
      <c r="AZ759" s="14" t="n">
        <v>1.19</v>
      </c>
      <c r="BA759" s="14" t="n">
        <v>0.1</v>
      </c>
      <c r="BB759" s="14" t="n">
        <v>1</v>
      </c>
      <c r="BC759" s="14" t="n">
        <v>0.534</v>
      </c>
      <c r="BD759" s="14" t="n">
        <v>0.132</v>
      </c>
      <c r="BE759" s="14" t="n">
        <v>0.007</v>
      </c>
      <c r="BF759" s="14" t="n">
        <v>0.587</v>
      </c>
      <c r="BG759" s="14" t="n">
        <v>0.1</v>
      </c>
      <c r="BH759" s="14" t="n">
        <v>1</v>
      </c>
      <c r="BI759" s="14" t="n">
        <v>0.5679999999999999</v>
      </c>
      <c r="BJ759" s="14" t="n">
        <v>0.132</v>
      </c>
      <c r="BK759" s="14" t="n">
        <v>0.008</v>
      </c>
      <c r="BL759" s="14" t="n">
        <v>0.625</v>
      </c>
      <c r="BM759" s="14" t="n">
        <v>0.1</v>
      </c>
      <c r="BN759" s="14" t="n">
        <v>1</v>
      </c>
      <c r="BO759" s="14" t="n">
        <v>0</v>
      </c>
      <c r="BP759" s="14" t="n">
        <v>0</v>
      </c>
      <c r="BQ759" s="14" t="n">
        <v>0.079</v>
      </c>
      <c r="BR759" s="14" t="n">
        <v>0</v>
      </c>
      <c r="BS759" s="14" t="n">
        <v>1</v>
      </c>
      <c r="BT759" s="14" t="n">
        <v>0</v>
      </c>
      <c r="BU759" s="14" t="n">
        <v>0</v>
      </c>
      <c r="BV759" s="14" t="n">
        <v>0.073</v>
      </c>
      <c r="BW759" s="14" t="n">
        <v>0</v>
      </c>
      <c r="BX759" s="14" t="n">
        <v>1</v>
      </c>
      <c r="BY759" s="14" t="n">
        <v>13.646</v>
      </c>
      <c r="BZ759" s="14" t="n">
        <v>0</v>
      </c>
      <c r="CA759" s="14" t="n">
        <v>13.646</v>
      </c>
      <c r="CB759" s="14" t="n">
        <v>0</v>
      </c>
      <c r="CC759" s="14" t="n">
        <v>82.58799999999999</v>
      </c>
      <c r="CD759" s="14" t="n">
        <v>7.95</v>
      </c>
      <c r="CE759" s="14" t="n">
        <v>-4.928</v>
      </c>
      <c r="CF759" s="14" t="n">
        <v>84.27800000000001</v>
      </c>
      <c r="CG759" s="14" t="n">
        <v>0.1</v>
      </c>
      <c r="CH759" s="14" t="n">
        <v>1</v>
      </c>
      <c r="CI759" s="14" t="n">
        <v>0</v>
      </c>
      <c r="CJ759" s="14" t="n">
        <v>0</v>
      </c>
      <c r="CK759" s="14" t="n">
        <v>0</v>
      </c>
      <c r="CL759" s="14" t="n">
        <v>0</v>
      </c>
      <c r="CM759" s="14" t="n">
        <v>0</v>
      </c>
      <c r="CN759" s="14" t="n">
        <v>0</v>
      </c>
      <c r="CO759" s="14" t="n">
        <v>0</v>
      </c>
      <c r="CP759" s="14" t="n">
        <v>0</v>
      </c>
      <c r="CQ759" s="14" t="n">
        <v>1.387</v>
      </c>
      <c r="CR759" s="14" t="n">
        <v>1</v>
      </c>
      <c r="CS759" s="14" t="n">
        <v>5.529</v>
      </c>
      <c r="CT759" s="14" t="n">
        <v>4.251</v>
      </c>
      <c r="CU759" s="14" t="n">
        <v>10.123</v>
      </c>
    </row>
    <row r="760">
      <c r="A760" s="14" t="inlineStr">
        <is>
          <t>SWE2021</t>
        </is>
      </c>
      <c r="B760" s="14" t="inlineStr">
        <is>
          <t>SWE</t>
        </is>
      </c>
      <c r="C760" s="14" t="inlineStr">
        <is>
          <t>SWE</t>
        </is>
      </c>
      <c r="D760" s="14" t="inlineStr">
        <is>
          <t>Sweden</t>
        </is>
      </c>
      <c r="E760" s="14" t="n">
        <v>2021</v>
      </c>
      <c r="F760" s="14" t="n">
        <v>0.25</v>
      </c>
      <c r="G760" s="14" t="n">
        <v>7.214</v>
      </c>
      <c r="H760" s="14" t="n">
        <v>1.097</v>
      </c>
      <c r="I760" s="14" t="n">
        <v>0.454</v>
      </c>
      <c r="J760" s="14" t="n">
        <v>7.668</v>
      </c>
      <c r="K760" s="14" t="n">
        <v>0</v>
      </c>
      <c r="L760" s="14" t="n">
        <v>1</v>
      </c>
      <c r="M760" s="14" t="n">
        <v>8.506</v>
      </c>
      <c r="N760" s="14" t="n">
        <v>3.29</v>
      </c>
      <c r="O760" s="14" t="n">
        <v>0.774</v>
      </c>
      <c r="P760" s="14" t="n">
        <v>9.279999999999999</v>
      </c>
      <c r="Q760" s="14" t="n">
        <v>0</v>
      </c>
      <c r="R760" s="14" t="n">
        <v>1</v>
      </c>
      <c r="S760" s="14" t="n">
        <v>12.697</v>
      </c>
      <c r="T760" s="14" t="n">
        <v>6.579</v>
      </c>
      <c r="U760" s="14" t="n">
        <v>11.458</v>
      </c>
      <c r="V760" s="14" t="n">
        <v>30.193</v>
      </c>
      <c r="W760" s="14" t="n">
        <v>0.25</v>
      </c>
      <c r="X760" s="14" t="n">
        <v>1</v>
      </c>
      <c r="Y760" s="14" t="n">
        <v>16.459</v>
      </c>
      <c r="Z760" s="14" t="n">
        <v>1.818</v>
      </c>
      <c r="AA760" s="14" t="n">
        <v>11.814</v>
      </c>
      <c r="AB760" s="14" t="n">
        <v>28.273</v>
      </c>
      <c r="AC760" s="14" t="n">
        <v>0</v>
      </c>
      <c r="AD760" s="14" t="n">
        <v>1</v>
      </c>
      <c r="AE760" s="14" t="n">
        <v>16.416</v>
      </c>
      <c r="AF760" s="14" t="n">
        <v>3.23</v>
      </c>
      <c r="AG760" s="14" t="n">
        <v>11.858</v>
      </c>
      <c r="AH760" s="14" t="n">
        <v>28.273</v>
      </c>
      <c r="AI760" s="14" t="n">
        <v>0</v>
      </c>
      <c r="AJ760" s="14" t="n">
        <v>1</v>
      </c>
      <c r="AK760" s="14" t="n">
        <v>27.803</v>
      </c>
      <c r="AL760" s="14" t="n">
        <v>13.646</v>
      </c>
      <c r="AM760" s="14" t="n">
        <v>18.149</v>
      </c>
      <c r="AN760" s="14" t="n">
        <v>57.441</v>
      </c>
      <c r="AO760" s="14" t="n">
        <v>0.25</v>
      </c>
      <c r="AP760" s="14" t="n">
        <v>1</v>
      </c>
      <c r="AQ760" s="14" t="n">
        <v>0.619</v>
      </c>
      <c r="AR760" s="14" t="n">
        <v>0.114</v>
      </c>
      <c r="AS760" s="14" t="n">
        <v>0.904</v>
      </c>
      <c r="AT760" s="14" t="n">
        <v>1.904</v>
      </c>
      <c r="AU760" s="14" t="n">
        <v>0.25</v>
      </c>
      <c r="AV760" s="14" t="n">
        <v>1</v>
      </c>
      <c r="AW760" s="14" t="n">
        <v>0.599</v>
      </c>
      <c r="AX760" s="14" t="n">
        <v>0.114</v>
      </c>
      <c r="AY760" s="14" t="n">
        <v>0.987</v>
      </c>
      <c r="AZ760" s="14" t="n">
        <v>1.984</v>
      </c>
      <c r="BA760" s="14" t="n">
        <v>0.25</v>
      </c>
      <c r="BB760" s="14" t="n">
        <v>1</v>
      </c>
      <c r="BC760" s="14" t="n">
        <v>0.439</v>
      </c>
      <c r="BD760" s="14" t="n">
        <v>0.114</v>
      </c>
      <c r="BE760" s="14" t="n">
        <v>0.656</v>
      </c>
      <c r="BF760" s="14" t="n">
        <v>1.369</v>
      </c>
      <c r="BG760" s="14" t="n">
        <v>0.25</v>
      </c>
      <c r="BH760" s="14" t="n">
        <v>1</v>
      </c>
      <c r="BI760" s="14" t="n">
        <v>0.505</v>
      </c>
      <c r="BJ760" s="14" t="n">
        <v>0.114</v>
      </c>
      <c r="BK760" s="14" t="n">
        <v>1.099</v>
      </c>
      <c r="BL760" s="14" t="n">
        <v>2.005</v>
      </c>
      <c r="BM760" s="14" t="n">
        <v>0.25</v>
      </c>
      <c r="BN760" s="14" t="n">
        <v>1</v>
      </c>
      <c r="BO760" s="14" t="n">
        <v>0</v>
      </c>
      <c r="BP760" s="14" t="n">
        <v>0.001</v>
      </c>
      <c r="BQ760" s="14" t="n">
        <v>0.079</v>
      </c>
      <c r="BR760" s="14" t="n">
        <v>0</v>
      </c>
      <c r="BS760" s="14" t="n">
        <v>1</v>
      </c>
      <c r="BT760" s="14" t="n">
        <v>0</v>
      </c>
      <c r="BU760" s="14" t="n">
        <v>0.042</v>
      </c>
      <c r="BV760" s="14" t="n">
        <v>0.279</v>
      </c>
      <c r="BW760" s="14" t="n">
        <v>0.25</v>
      </c>
      <c r="BX760" s="14" t="n">
        <v>1</v>
      </c>
      <c r="BY760" s="14" t="n">
        <v>11.787</v>
      </c>
      <c r="BZ760" s="14" t="n">
        <v>0</v>
      </c>
      <c r="CA760" s="14" t="n">
        <v>11.787</v>
      </c>
      <c r="CB760" s="14" t="n">
        <v>0</v>
      </c>
      <c r="CC760" s="14" t="n">
        <v>78.125</v>
      </c>
      <c r="CD760" s="14" t="n">
        <v>7.95</v>
      </c>
      <c r="CE760" s="14" t="n">
        <v>99.11199999999999</v>
      </c>
      <c r="CF760" s="14" t="n">
        <v>221.546</v>
      </c>
      <c r="CG760" s="14" t="n">
        <v>0.25</v>
      </c>
      <c r="CH760" s="14" t="n">
        <v>1</v>
      </c>
      <c r="CI760" s="14" t="n">
        <v>0</v>
      </c>
      <c r="CJ760" s="14" t="n">
        <v>0</v>
      </c>
      <c r="CK760" s="14" t="n">
        <v>0</v>
      </c>
      <c r="CL760" s="14" t="n">
        <v>0</v>
      </c>
      <c r="CM760" s="14" t="n">
        <v>0</v>
      </c>
      <c r="CN760" s="14" t="n">
        <v>0</v>
      </c>
      <c r="CO760" s="14" t="n">
        <v>0</v>
      </c>
      <c r="CP760" s="14" t="n">
        <v>0.082</v>
      </c>
      <c r="CQ760" s="14" t="n">
        <v>1.198</v>
      </c>
      <c r="CR760" s="14" t="n">
        <v>0</v>
      </c>
      <c r="CS760" s="14" t="n">
        <v>4.776</v>
      </c>
      <c r="CT760" s="14" t="n">
        <v>6.555</v>
      </c>
      <c r="CU760" s="14" t="n">
        <v>7.507</v>
      </c>
    </row>
    <row r="761">
      <c r="A761" s="14" t="inlineStr">
        <is>
          <t>SWE2022</t>
        </is>
      </c>
      <c r="B761" s="14" t="inlineStr">
        <is>
          <t>SWE</t>
        </is>
      </c>
      <c r="C761" s="14" t="inlineStr">
        <is>
          <t>SWE</t>
        </is>
      </c>
      <c r="D761" s="14" t="inlineStr">
        <is>
          <t>Sweden</t>
        </is>
      </c>
      <c r="E761" s="14" t="n">
        <v>2022</v>
      </c>
      <c r="F761" s="14" t="n">
        <v>0.25</v>
      </c>
      <c r="G761" s="14" t="n">
        <v>17.95</v>
      </c>
      <c r="H761" s="14" t="n">
        <v>1.235</v>
      </c>
      <c r="I761" s="14" t="n">
        <v>11.97</v>
      </c>
      <c r="J761" s="14" t="n">
        <v>29.92</v>
      </c>
      <c r="K761" s="14" t="n">
        <v>0</v>
      </c>
      <c r="L761" s="14" t="n">
        <v>1</v>
      </c>
      <c r="M761" s="14" t="n">
        <v>13.647</v>
      </c>
      <c r="N761" s="14" t="n">
        <v>3.704</v>
      </c>
      <c r="O761" s="14" t="n">
        <v>8.747999999999999</v>
      </c>
      <c r="P761" s="14" t="n">
        <v>22.395</v>
      </c>
      <c r="Q761" s="14" t="n">
        <v>0</v>
      </c>
      <c r="R761" s="14" t="n">
        <v>1</v>
      </c>
      <c r="S761" s="14" t="n">
        <v>24.123</v>
      </c>
      <c r="T761" s="14" t="n">
        <v>7.408</v>
      </c>
      <c r="U761" s="14" t="n">
        <v>13.305</v>
      </c>
      <c r="V761" s="14" t="n">
        <v>45.935</v>
      </c>
      <c r="W761" s="14" t="n">
        <v>0.25</v>
      </c>
      <c r="X761" s="14" t="n">
        <v>1</v>
      </c>
      <c r="Y761" s="14" t="n">
        <v>43.753</v>
      </c>
      <c r="Z761" s="14" t="n">
        <v>4.59</v>
      </c>
      <c r="AA761" s="14" t="n">
        <v>6.287</v>
      </c>
      <c r="AB761" s="14" t="n">
        <v>50.039</v>
      </c>
      <c r="AC761" s="14" t="n">
        <v>0</v>
      </c>
      <c r="AD761" s="14" t="n">
        <v>1</v>
      </c>
      <c r="AE761" s="14" t="n">
        <v>43.8</v>
      </c>
      <c r="AF761" s="14" t="n">
        <v>8.119999999999999</v>
      </c>
      <c r="AG761" s="14" t="n">
        <v>6.239</v>
      </c>
      <c r="AH761" s="14" t="n">
        <v>50.039</v>
      </c>
      <c r="AI761" s="14" t="n">
        <v>0</v>
      </c>
      <c r="AJ761" s="14" t="n">
        <v>1</v>
      </c>
      <c r="AK761" s="14" t="n">
        <v>55.736</v>
      </c>
      <c r="AL761" s="14" t="n">
        <v>26.616</v>
      </c>
      <c r="AM761" s="14" t="n">
        <v>2.376</v>
      </c>
      <c r="AN761" s="14" t="n">
        <v>72.64</v>
      </c>
      <c r="AO761" s="14" t="n">
        <v>0.25</v>
      </c>
      <c r="AP761" s="14" t="n">
        <v>1</v>
      </c>
      <c r="AQ761" s="14" t="n">
        <v>0.861</v>
      </c>
      <c r="AR761" s="14" t="n">
        <v>0.123</v>
      </c>
      <c r="AS761" s="14" t="n">
        <v>0.772</v>
      </c>
      <c r="AT761" s="14" t="n">
        <v>2.042</v>
      </c>
      <c r="AU761" s="14" t="n">
        <v>0.25</v>
      </c>
      <c r="AV761" s="14" t="n">
        <v>1</v>
      </c>
      <c r="AW761" s="14" t="n">
        <v>0.986</v>
      </c>
      <c r="AX761" s="14" t="n">
        <v>0.123</v>
      </c>
      <c r="AY761" s="14" t="n">
        <v>0.948</v>
      </c>
      <c r="AZ761" s="14" t="n">
        <v>2.417</v>
      </c>
      <c r="BA761" s="14" t="n">
        <v>0.25</v>
      </c>
      <c r="BB761" s="14" t="n">
        <v>1</v>
      </c>
      <c r="BC761" s="14" t="n">
        <v>0.598</v>
      </c>
      <c r="BD761" s="14" t="n">
        <v>0.123</v>
      </c>
      <c r="BE761" s="14" t="n">
        <v>0.452</v>
      </c>
      <c r="BF761" s="14" t="n">
        <v>1.312</v>
      </c>
      <c r="BG761" s="14" t="n">
        <v>0.25</v>
      </c>
      <c r="BH761" s="14" t="n">
        <v>1</v>
      </c>
      <c r="BI761" s="14" t="n">
        <v>0.612</v>
      </c>
      <c r="BJ761" s="14" t="n">
        <v>0.123</v>
      </c>
      <c r="BK761" s="14" t="n">
        <v>0.75</v>
      </c>
      <c r="BL761" s="14" t="n">
        <v>1.702</v>
      </c>
      <c r="BM761" s="14" t="n">
        <v>0.25</v>
      </c>
      <c r="BN761" s="14" t="n">
        <v>1</v>
      </c>
      <c r="BO761" s="14" t="n">
        <v>0</v>
      </c>
      <c r="BP761" s="14" t="n">
        <v>0.001</v>
      </c>
      <c r="BQ761" s="14" t="n">
        <v>0.115</v>
      </c>
      <c r="BR761" s="14" t="n">
        <v>0</v>
      </c>
      <c r="BS761" s="14" t="n">
        <v>1</v>
      </c>
      <c r="BT761" s="14" t="n">
        <v>0</v>
      </c>
      <c r="BU761" s="14" t="n">
        <v>-0.028</v>
      </c>
      <c r="BV761" s="14" t="n">
        <v>0.264</v>
      </c>
      <c r="BW761" s="14" t="n">
        <v>0.25</v>
      </c>
      <c r="BX761" s="14" t="n">
        <v>1</v>
      </c>
      <c r="BY761" s="14" t="n">
        <v>12.729</v>
      </c>
      <c r="BZ761" s="14" t="n">
        <v>0</v>
      </c>
      <c r="CA761" s="14" t="n">
        <v>12.729</v>
      </c>
      <c r="CB761" s="14" t="n">
        <v>0</v>
      </c>
      <c r="CC761" s="14" t="n">
        <v>97.90000000000001</v>
      </c>
      <c r="CD761" s="14" t="n">
        <v>7.95</v>
      </c>
      <c r="CE761" s="14" t="n">
        <v>151.168</v>
      </c>
      <c r="CF761" s="14" t="n">
        <v>311.335</v>
      </c>
      <c r="CG761" s="14" t="n">
        <v>0.25</v>
      </c>
      <c r="CH761" s="14" t="n">
        <v>1</v>
      </c>
      <c r="CI761" s="14" t="n">
        <v>0</v>
      </c>
      <c r="CJ761" s="14" t="n">
        <v>0</v>
      </c>
      <c r="CK761" s="14" t="n">
        <v>0</v>
      </c>
      <c r="CL761" s="14" t="n">
        <v>0</v>
      </c>
      <c r="CM761" s="14" t="n">
        <v>0</v>
      </c>
      <c r="CN761" s="14" t="n">
        <v>0</v>
      </c>
      <c r="CO761" s="14" t="n">
        <v>0</v>
      </c>
      <c r="CP761" s="14" t="n">
        <v>0</v>
      </c>
      <c r="CQ761" s="14" t="n">
        <v>1.294</v>
      </c>
      <c r="CR761" s="14" t="n">
        <v>0</v>
      </c>
      <c r="CS761" s="14" t="n">
        <v>5.158</v>
      </c>
      <c r="CT761" s="14" t="n">
        <v>16.715</v>
      </c>
      <c r="CU761" s="14" t="n">
        <v>34.708</v>
      </c>
    </row>
    <row r="762">
      <c r="A762" s="14" t="inlineStr">
        <is>
          <t>SWE2023</t>
        </is>
      </c>
      <c r="B762" s="14" t="inlineStr">
        <is>
          <t>SWE</t>
        </is>
      </c>
      <c r="C762" s="14" t="inlineStr">
        <is>
          <t>SWE</t>
        </is>
      </c>
      <c r="D762" s="14" t="inlineStr">
        <is>
          <t>Sweden</t>
        </is>
      </c>
      <c r="E762" s="14" t="n">
        <v>2023</v>
      </c>
      <c r="F762" s="14" t="n">
        <v>0.25</v>
      </c>
      <c r="G762" s="14" t="n">
        <v>12.102</v>
      </c>
      <c r="H762" s="14" t="n">
        <v>1.259</v>
      </c>
      <c r="I762" s="14" t="n">
        <v>13.076</v>
      </c>
      <c r="J762" s="14" t="n">
        <v>25.178</v>
      </c>
      <c r="K762" s="14" t="n">
        <v>0</v>
      </c>
      <c r="L762" s="14" t="n">
        <v>1</v>
      </c>
      <c r="M762" s="14" t="n">
        <v>10.303</v>
      </c>
      <c r="N762" s="14" t="n">
        <v>3.778</v>
      </c>
      <c r="O762" s="14" t="n">
        <v>10.245</v>
      </c>
      <c r="P762" s="14" t="n">
        <v>20.549</v>
      </c>
      <c r="Q762" s="14" t="n">
        <v>0</v>
      </c>
      <c r="R762" s="14" t="n">
        <v>1</v>
      </c>
      <c r="S762" s="14" t="n">
        <v>18.398</v>
      </c>
      <c r="T762" s="14" t="n">
        <v>7.555</v>
      </c>
      <c r="U762" s="14" t="n">
        <v>14.429</v>
      </c>
      <c r="V762" s="14" t="n">
        <v>39.928</v>
      </c>
      <c r="W762" s="14" t="n">
        <v>0.25</v>
      </c>
      <c r="X762" s="14" t="n">
        <v>1</v>
      </c>
      <c r="Y762" s="14" t="n">
        <v>24.649</v>
      </c>
      <c r="Z762" s="14" t="n">
        <v>2.761</v>
      </c>
      <c r="AA762" s="14" t="n">
        <v>18.078</v>
      </c>
      <c r="AB762" s="14" t="n">
        <v>42.727</v>
      </c>
      <c r="AC762" s="14" t="n">
        <v>0</v>
      </c>
      <c r="AD762" s="14" t="n">
        <v>1</v>
      </c>
      <c r="AE762" s="14" t="n">
        <v>24.747</v>
      </c>
      <c r="AF762" s="14" t="n">
        <v>4.929</v>
      </c>
      <c r="AG762" s="14" t="n">
        <v>17.98</v>
      </c>
      <c r="AH762" s="14" t="n">
        <v>42.727</v>
      </c>
      <c r="AI762" s="14" t="n">
        <v>0</v>
      </c>
      <c r="AJ762" s="14" t="n">
        <v>1</v>
      </c>
      <c r="AK762" s="14" t="n">
        <v>36.989</v>
      </c>
      <c r="AL762" s="14" t="n">
        <v>18.323</v>
      </c>
      <c r="AM762" s="14" t="n">
        <v>14.182</v>
      </c>
      <c r="AN762" s="14" t="n">
        <v>63.964</v>
      </c>
      <c r="AO762" s="14" t="n">
        <v>0.25</v>
      </c>
      <c r="AP762" s="14" t="n">
        <v>1</v>
      </c>
      <c r="AQ762" s="14" t="n">
        <v>0.76</v>
      </c>
      <c r="AR762" s="14" t="n">
        <v>0.129</v>
      </c>
      <c r="AS762" s="14" t="n">
        <v>0.745</v>
      </c>
      <c r="AT762" s="14" t="n">
        <v>1.881</v>
      </c>
      <c r="AU762" s="14" t="n">
        <v>0.25</v>
      </c>
      <c r="AV762" s="14" t="n">
        <v>1</v>
      </c>
      <c r="AW762" s="14" t="n">
        <v>0.8110000000000001</v>
      </c>
      <c r="AX762" s="14" t="n">
        <v>0.129</v>
      </c>
      <c r="AY762" s="14" t="n">
        <v>0.9389999999999999</v>
      </c>
      <c r="AZ762" s="14" t="n">
        <v>2.188</v>
      </c>
      <c r="BA762" s="14" t="n">
        <v>0.25</v>
      </c>
      <c r="BB762" s="14" t="n">
        <v>1</v>
      </c>
      <c r="BC762" s="14" t="n">
        <v>0.535</v>
      </c>
      <c r="BD762" s="14" t="n">
        <v>0.129</v>
      </c>
      <c r="BE762" s="14" t="n">
        <v>0.478</v>
      </c>
      <c r="BF762" s="14" t="n">
        <v>1.267</v>
      </c>
      <c r="BG762" s="14" t="n">
        <v>0.25</v>
      </c>
      <c r="BH762" s="14" t="n">
        <v>1</v>
      </c>
      <c r="BI762" s="14" t="n">
        <v>0.579</v>
      </c>
      <c r="BJ762" s="14" t="n">
        <v>0.129</v>
      </c>
      <c r="BK762" s="14" t="n">
        <v>0.5610000000000001</v>
      </c>
      <c r="BL762" s="14" t="n">
        <v>1.426</v>
      </c>
      <c r="BM762" s="14" t="n">
        <v>0.25</v>
      </c>
      <c r="BN762" s="14" t="n">
        <v>1</v>
      </c>
      <c r="BO762" s="14" t="n">
        <v>0</v>
      </c>
      <c r="BP762" s="14" t="n">
        <v>0.001</v>
      </c>
      <c r="BQ762" s="14" t="n">
        <v>0.089</v>
      </c>
      <c r="BR762" s="14" t="n">
        <v>0</v>
      </c>
      <c r="BS762" s="14" t="n">
        <v>1</v>
      </c>
      <c r="BT762" s="14" t="n">
        <v>0</v>
      </c>
      <c r="BU762" s="14" t="n">
        <v>0.037</v>
      </c>
      <c r="BV762" s="14" t="n">
        <v>0.262</v>
      </c>
      <c r="BW762" s="14" t="n">
        <v>0.25</v>
      </c>
      <c r="BX762" s="14" t="n">
        <v>1</v>
      </c>
      <c r="BY762" s="14" t="n">
        <v>13.254</v>
      </c>
      <c r="BZ762" s="14" t="n">
        <v>0</v>
      </c>
      <c r="CA762" s="14" t="n">
        <v>13.254</v>
      </c>
      <c r="CB762" s="14" t="n">
        <v>0</v>
      </c>
      <c r="CC762" s="14" t="n">
        <v>83.248</v>
      </c>
      <c r="CD762" s="14" t="n">
        <v>7.95</v>
      </c>
      <c r="CE762" s="14" t="n">
        <v>135.655</v>
      </c>
      <c r="CF762" s="14" t="n">
        <v>273.628</v>
      </c>
      <c r="CG762" s="14" t="n">
        <v>0.25</v>
      </c>
      <c r="CH762" s="14" t="n">
        <v>1</v>
      </c>
      <c r="CI762" s="14" t="n">
        <v>0</v>
      </c>
      <c r="CJ762" s="14" t="n">
        <v>0</v>
      </c>
      <c r="CK762" s="14" t="n">
        <v>0</v>
      </c>
      <c r="CL762" s="14" t="n">
        <v>0</v>
      </c>
      <c r="CM762" s="14" t="n">
        <v>0</v>
      </c>
      <c r="CN762" s="14" t="n">
        <v>0</v>
      </c>
      <c r="CO762" s="14" t="n">
        <v>0</v>
      </c>
      <c r="CP762" s="14" t="n">
        <v>0.041</v>
      </c>
      <c r="CQ762" s="14" t="n">
        <v>1.348</v>
      </c>
      <c r="CR762" s="14" t="n">
        <v>0</v>
      </c>
      <c r="CS762" s="14" t="n">
        <v>5.37</v>
      </c>
      <c r="CT762" s="14" t="n">
        <v>11.25</v>
      </c>
      <c r="CU762" s="14" t="n">
        <v>15.553</v>
      </c>
    </row>
    <row r="763">
      <c r="A763" s="14" t="inlineStr">
        <is>
          <t>SWE2024</t>
        </is>
      </c>
      <c r="B763" s="14" t="inlineStr">
        <is>
          <t>SWE</t>
        </is>
      </c>
      <c r="C763" s="14" t="inlineStr">
        <is>
          <t>SWE</t>
        </is>
      </c>
      <c r="D763" s="14" t="inlineStr">
        <is>
          <t>Sweden</t>
        </is>
      </c>
      <c r="E763" s="14" t="n">
        <v>2024</v>
      </c>
      <c r="F763" s="14" t="n">
        <v>0.25</v>
      </c>
      <c r="G763" s="14" t="n">
        <v>8.964</v>
      </c>
      <c r="H763" s="14" t="n">
        <v>1.296</v>
      </c>
      <c r="I763" s="14" t="n">
        <v>10.859</v>
      </c>
      <c r="J763" s="14" t="n">
        <v>19.823</v>
      </c>
      <c r="K763" s="14" t="n">
        <v>0</v>
      </c>
      <c r="L763" s="14" t="n">
        <v>1</v>
      </c>
      <c r="M763" s="14" t="n">
        <v>10.582</v>
      </c>
      <c r="N763" s="14" t="n">
        <v>3.889</v>
      </c>
      <c r="O763" s="14" t="n">
        <v>6.956</v>
      </c>
      <c r="P763" s="14" t="n">
        <v>17.538</v>
      </c>
      <c r="Q763" s="14" t="n">
        <v>0</v>
      </c>
      <c r="R763" s="14" t="n">
        <v>1</v>
      </c>
      <c r="S763" s="14" t="n">
        <v>15.446</v>
      </c>
      <c r="T763" s="14" t="n">
        <v>7.778</v>
      </c>
      <c r="U763" s="14" t="n">
        <v>15.34</v>
      </c>
      <c r="V763" s="14" t="n">
        <v>37.215</v>
      </c>
      <c r="W763" s="14" t="n">
        <v>0.25</v>
      </c>
      <c r="X763" s="14" t="n">
        <v>1</v>
      </c>
      <c r="Y763" s="14" t="n">
        <v>22.024</v>
      </c>
      <c r="Z763" s="14" t="n">
        <v>2.781</v>
      </c>
      <c r="AA763" s="14" t="n">
        <v>12.965</v>
      </c>
      <c r="AB763" s="14" t="n">
        <v>34.989</v>
      </c>
      <c r="AC763" s="14" t="n">
        <v>0</v>
      </c>
      <c r="AD763" s="14" t="n">
        <v>1</v>
      </c>
      <c r="AE763" s="14" t="n">
        <v>22.024</v>
      </c>
      <c r="AF763" s="14" t="n">
        <v>4.825</v>
      </c>
      <c r="AG763" s="14" t="n">
        <v>12.965</v>
      </c>
      <c r="AH763" s="14" t="n">
        <v>34.989</v>
      </c>
      <c r="AI763" s="14" t="n">
        <v>0</v>
      </c>
      <c r="AJ763" s="14" t="n">
        <v>1</v>
      </c>
      <c r="AK763" s="14" t="n">
        <v>34.633</v>
      </c>
      <c r="AL763" s="14" t="n">
        <v>17.615</v>
      </c>
      <c r="AM763" s="14" t="n">
        <v>9.298</v>
      </c>
      <c r="AN763" s="14" t="n">
        <v>54.913</v>
      </c>
      <c r="AO763" s="14" t="n">
        <v>0.25</v>
      </c>
      <c r="AP763" s="14" t="n">
        <v>1</v>
      </c>
      <c r="AQ763" s="14" t="n">
        <v>0.724</v>
      </c>
      <c r="AR763" s="14" t="n">
        <v>0.132</v>
      </c>
      <c r="AS763" s="14" t="n">
        <v>0.64</v>
      </c>
      <c r="AT763" s="14" t="n">
        <v>1.705</v>
      </c>
      <c r="AU763" s="14" t="n">
        <v>0.25</v>
      </c>
      <c r="AV763" s="14" t="n">
        <v>1</v>
      </c>
      <c r="AW763" s="14" t="n">
        <v>0.75</v>
      </c>
      <c r="AX763" s="14" t="n">
        <v>0.132</v>
      </c>
      <c r="AY763" s="14" t="n">
        <v>0.614</v>
      </c>
      <c r="AZ763" s="14" t="n">
        <v>1.705</v>
      </c>
      <c r="BA763" s="14" t="n">
        <v>0.25</v>
      </c>
      <c r="BB763" s="14" t="n">
        <v>1</v>
      </c>
      <c r="BC763" s="14" t="n">
        <v>0.513</v>
      </c>
      <c r="BD763" s="14" t="n">
        <v>0.132</v>
      </c>
      <c r="BE763" s="14" t="n">
        <v>0.539</v>
      </c>
      <c r="BF763" s="14" t="n">
        <v>1.315</v>
      </c>
      <c r="BG763" s="14" t="n">
        <v>0.25</v>
      </c>
      <c r="BH763" s="14" t="n">
        <v>1</v>
      </c>
      <c r="BI763" s="14" t="n">
        <v>0.591</v>
      </c>
      <c r="BJ763" s="14" t="n">
        <v>0.132</v>
      </c>
      <c r="BK763" s="14" t="n">
        <v>0.419</v>
      </c>
      <c r="BL763" s="14" t="n">
        <v>1.263</v>
      </c>
      <c r="BM763" s="14" t="n">
        <v>0.25</v>
      </c>
      <c r="BN763" s="14" t="n">
        <v>1</v>
      </c>
      <c r="BO763" s="14" t="n">
        <v>0</v>
      </c>
      <c r="BP763" s="14" t="n">
        <v>0.001</v>
      </c>
      <c r="BQ763" s="14" t="n">
        <v>0.07199999999999999</v>
      </c>
      <c r="BR763" s="14" t="n">
        <v>0</v>
      </c>
      <c r="BS763" s="14" t="n">
        <v>1</v>
      </c>
      <c r="BT763" s="14" t="n">
        <v>0</v>
      </c>
      <c r="BU763" s="14" t="n">
        <v>0.041</v>
      </c>
      <c r="BV763" s="14" t="n">
        <v>0.259</v>
      </c>
      <c r="BW763" s="14" t="n">
        <v>0.25</v>
      </c>
      <c r="BX763" s="14" t="n">
        <v>1</v>
      </c>
      <c r="BY763" s="14" t="n">
        <v>13.646</v>
      </c>
      <c r="BZ763" s="14" t="n">
        <v>0</v>
      </c>
      <c r="CA763" s="14" t="n">
        <v>13.646</v>
      </c>
      <c r="CB763" s="14" t="n">
        <v>0</v>
      </c>
      <c r="CC763" s="14" t="n">
        <v>82.58799999999999</v>
      </c>
      <c r="CD763" s="14" t="n">
        <v>7.95</v>
      </c>
      <c r="CE763" s="14" t="n">
        <v>115.913</v>
      </c>
      <c r="CF763" s="14" t="n">
        <v>248.126</v>
      </c>
      <c r="CG763" s="14" t="n">
        <v>0.25</v>
      </c>
      <c r="CH763" s="14" t="n">
        <v>1</v>
      </c>
      <c r="CI763" s="14" t="n">
        <v>0</v>
      </c>
      <c r="CJ763" s="14" t="n">
        <v>0</v>
      </c>
      <c r="CK763" s="14" t="n">
        <v>0</v>
      </c>
      <c r="CL763" s="14" t="n">
        <v>0</v>
      </c>
      <c r="CM763" s="14" t="n">
        <v>0</v>
      </c>
      <c r="CN763" s="14" t="n">
        <v>0</v>
      </c>
      <c r="CO763" s="14" t="n">
        <v>0</v>
      </c>
      <c r="CP763" s="14" t="n">
        <v>0.041</v>
      </c>
      <c r="CQ763" s="14" t="n">
        <v>1.387</v>
      </c>
      <c r="CR763" s="14" t="n">
        <v>0</v>
      </c>
      <c r="CS763" s="14" t="n">
        <v>5.529</v>
      </c>
      <c r="CT763" s="14" t="n">
        <v>7.937</v>
      </c>
      <c r="CU763" s="14" t="n">
        <v>11.8</v>
      </c>
    </row>
    <row r="764">
      <c r="A764" s="14" t="inlineStr">
        <is>
          <t>CHE2021</t>
        </is>
      </c>
      <c r="B764" s="14" t="inlineStr">
        <is>
          <t>CHE</t>
        </is>
      </c>
      <c r="C764" s="14" t="inlineStr">
        <is>
          <t>CHE</t>
        </is>
      </c>
      <c r="D764" s="14" t="inlineStr">
        <is>
          <t>Switzerland</t>
        </is>
      </c>
      <c r="E764" s="14" t="n">
        <v>2021</v>
      </c>
      <c r="F764" s="14" t="n">
        <v>0.077</v>
      </c>
      <c r="G764" s="14" t="n">
        <v>2.702</v>
      </c>
      <c r="H764" s="14" t="n">
        <v>0.591</v>
      </c>
      <c r="I764" s="14" t="n">
        <v>4.24</v>
      </c>
      <c r="J764" s="14" t="n">
        <v>6.941</v>
      </c>
      <c r="K764" s="14" t="n">
        <v>0</v>
      </c>
      <c r="L764" s="14" t="n">
        <v>1</v>
      </c>
      <c r="M764" s="14" t="n">
        <v>7.964</v>
      </c>
      <c r="N764" s="14" t="n">
        <v>3.43</v>
      </c>
      <c r="O764" s="14" t="n">
        <v>-1.023</v>
      </c>
      <c r="P764" s="14" t="n">
        <v>6.941</v>
      </c>
      <c r="Q764" s="14" t="n">
        <v>0</v>
      </c>
      <c r="R764" s="14" t="n">
        <v>1</v>
      </c>
      <c r="S764" s="14" t="n">
        <v>11.679</v>
      </c>
      <c r="T764" s="14" t="n">
        <v>6.86</v>
      </c>
      <c r="U764" s="14" t="n">
        <v>2.755</v>
      </c>
      <c r="V764" s="14" t="n">
        <v>15.545</v>
      </c>
      <c r="W764" s="14" t="n">
        <v>0.077</v>
      </c>
      <c r="X764" s="14" t="n">
        <v>1</v>
      </c>
      <c r="Y764" s="14" t="n">
        <v>37.109</v>
      </c>
      <c r="Z764" s="14" t="n">
        <v>4.099</v>
      </c>
      <c r="AA764" s="14" t="n">
        <v>-16.548</v>
      </c>
      <c r="AB764" s="14" t="n">
        <v>20.561</v>
      </c>
      <c r="AC764" s="14" t="n">
        <v>0</v>
      </c>
      <c r="AD764" s="14" t="n">
        <v>1</v>
      </c>
      <c r="AE764" s="14" t="n">
        <v>37.066</v>
      </c>
      <c r="AF764" s="14" t="n">
        <v>7.294</v>
      </c>
      <c r="AG764" s="14" t="n">
        <v>-16.505</v>
      </c>
      <c r="AH764" s="14" t="n">
        <v>20.561</v>
      </c>
      <c r="AI764" s="14" t="n">
        <v>0</v>
      </c>
      <c r="AJ764" s="14" t="n">
        <v>1</v>
      </c>
      <c r="AK764" s="14" t="n">
        <v>40.75</v>
      </c>
      <c r="AL764" s="14" t="n">
        <v>20</v>
      </c>
      <c r="AM764" s="14" t="n">
        <v>-11.342</v>
      </c>
      <c r="AN764" s="14" t="n">
        <v>31.672</v>
      </c>
      <c r="AO764" s="14" t="n">
        <v>0.077</v>
      </c>
      <c r="AP764" s="14" t="n">
        <v>1</v>
      </c>
      <c r="AQ764" s="14" t="n">
        <v>0.619</v>
      </c>
      <c r="AR764" s="14" t="n">
        <v>0.114</v>
      </c>
      <c r="AS764" s="14" t="n">
        <v>0.98</v>
      </c>
      <c r="AT764" s="14" t="n">
        <v>1.722</v>
      </c>
      <c r="AU764" s="14" t="n">
        <v>0.077</v>
      </c>
      <c r="AV764" s="14" t="n">
        <v>1</v>
      </c>
      <c r="AW764" s="14" t="n">
        <v>0.599</v>
      </c>
      <c r="AX764" s="14" t="n">
        <v>0.114</v>
      </c>
      <c r="AY764" s="14" t="n">
        <v>1.056</v>
      </c>
      <c r="AZ764" s="14" t="n">
        <v>1.783</v>
      </c>
      <c r="BA764" s="14" t="n">
        <v>0.077</v>
      </c>
      <c r="BB764" s="14" t="n">
        <v>1</v>
      </c>
      <c r="BC764" s="14" t="n">
        <v>0.439</v>
      </c>
      <c r="BD764" s="14" t="n">
        <v>0.114</v>
      </c>
      <c r="BE764" s="14" t="n">
        <v>0.526</v>
      </c>
      <c r="BF764" s="14" t="n">
        <v>1.04</v>
      </c>
      <c r="BG764" s="14" t="n">
        <v>0.077</v>
      </c>
      <c r="BH764" s="14" t="n">
        <v>1</v>
      </c>
      <c r="BI764" s="14" t="n">
        <v>0.505</v>
      </c>
      <c r="BJ764" s="14" t="n">
        <v>0.114</v>
      </c>
      <c r="BK764" s="14" t="n">
        <v>0.363</v>
      </c>
      <c r="BL764" s="14" t="n">
        <v>0.9350000000000001</v>
      </c>
      <c r="BM764" s="14" t="n">
        <v>0.077</v>
      </c>
      <c r="BN764" s="14" t="n">
        <v>1</v>
      </c>
      <c r="BO764" s="14" t="n">
        <v>0</v>
      </c>
      <c r="BP764" s="14" t="n">
        <v>0.03</v>
      </c>
      <c r="BQ764" s="14" t="n">
        <v>0.171</v>
      </c>
      <c r="BR764" s="14" t="n">
        <v>0</v>
      </c>
      <c r="BS764" s="14" t="n">
        <v>0.833</v>
      </c>
      <c r="BT764" s="14" t="n">
        <v>0</v>
      </c>
      <c r="BU764" s="14" t="n">
        <v>0.025</v>
      </c>
      <c r="BV764" s="14" t="n">
        <v>0.23</v>
      </c>
      <c r="BW764" s="14" t="n">
        <v>0.077</v>
      </c>
      <c r="BX764" s="14" t="n">
        <v>0.833</v>
      </c>
      <c r="BY764" s="14" t="n">
        <v>11.787</v>
      </c>
      <c r="BZ764" s="14" t="n">
        <v>0</v>
      </c>
      <c r="CA764" s="14" t="n">
        <v>11.787</v>
      </c>
      <c r="CB764" s="14" t="n">
        <v>0</v>
      </c>
      <c r="CC764" s="14" t="n">
        <v>78.125</v>
      </c>
      <c r="CD764" s="14" t="n">
        <v>7.95</v>
      </c>
      <c r="CE764" s="14" t="n">
        <v>-25.812</v>
      </c>
      <c r="CF764" s="14" t="n">
        <v>56.342</v>
      </c>
      <c r="CG764" s="14" t="n">
        <v>0.077</v>
      </c>
      <c r="CH764" s="14" t="n">
        <v>1</v>
      </c>
      <c r="CI764" s="14" t="n">
        <v>0</v>
      </c>
      <c r="CJ764" s="14" t="n">
        <v>0</v>
      </c>
      <c r="CK764" s="14" t="n">
        <v>0</v>
      </c>
      <c r="CL764" s="14" t="n">
        <v>0</v>
      </c>
      <c r="CM764" s="14" t="n">
        <v>0</v>
      </c>
      <c r="CN764" s="14" t="n">
        <v>0</v>
      </c>
      <c r="CO764" s="14" t="n">
        <v>0</v>
      </c>
      <c r="CP764" s="14" t="n">
        <v>0</v>
      </c>
      <c r="CQ764" s="14" t="n">
        <v>1.198</v>
      </c>
      <c r="CR764" s="14" t="n">
        <v>0</v>
      </c>
      <c r="CS764" s="14" t="n">
        <v>4.776</v>
      </c>
      <c r="CT764" s="14" t="n">
        <v>4.819</v>
      </c>
      <c r="CU764" s="14" t="n">
        <v>26.806</v>
      </c>
    </row>
    <row r="765">
      <c r="A765" s="14" t="inlineStr">
        <is>
          <t>CHE2022</t>
        </is>
      </c>
      <c r="B765" s="14" t="inlineStr">
        <is>
          <t>CHE</t>
        </is>
      </c>
      <c r="C765" s="14" t="inlineStr">
        <is>
          <t>CHE</t>
        </is>
      </c>
      <c r="D765" s="14" t="inlineStr">
        <is>
          <t>Switzerland</t>
        </is>
      </c>
      <c r="E765" s="14" t="n">
        <v>2022</v>
      </c>
      <c r="F765" s="14" t="n">
        <v>0.077</v>
      </c>
      <c r="G765" s="14" t="n">
        <v>12.303</v>
      </c>
      <c r="H765" s="14" t="n">
        <v>1.911</v>
      </c>
      <c r="I765" s="14" t="n">
        <v>6.457</v>
      </c>
      <c r="J765" s="14" t="n">
        <v>18.761</v>
      </c>
      <c r="K765" s="14" t="n">
        <v>0</v>
      </c>
      <c r="L765" s="14" t="n">
        <v>1</v>
      </c>
      <c r="M765" s="14" t="n">
        <v>9.782999999999999</v>
      </c>
      <c r="N765" s="14" t="n">
        <v>3.704</v>
      </c>
      <c r="O765" s="14" t="n">
        <v>8.978</v>
      </c>
      <c r="P765" s="14" t="n">
        <v>18.761</v>
      </c>
      <c r="Q765" s="14" t="n">
        <v>0</v>
      </c>
      <c r="R765" s="14" t="n">
        <v>1</v>
      </c>
      <c r="S765" s="14" t="n">
        <v>18.971</v>
      </c>
      <c r="T765" s="14" t="n">
        <v>7.408</v>
      </c>
      <c r="U765" s="14" t="n">
        <v>12.503</v>
      </c>
      <c r="V765" s="14" t="n">
        <v>33.705</v>
      </c>
      <c r="W765" s="14" t="n">
        <v>0.077</v>
      </c>
      <c r="X765" s="14" t="n">
        <v>1</v>
      </c>
      <c r="Y765" s="14" t="n">
        <v>73.622</v>
      </c>
      <c r="Z765" s="14" t="n">
        <v>7.723</v>
      </c>
      <c r="AA765" s="14" t="n">
        <v>-37.234</v>
      </c>
      <c r="AB765" s="14" t="n">
        <v>36.388</v>
      </c>
      <c r="AC765" s="14" t="n">
        <v>0</v>
      </c>
      <c r="AD765" s="14" t="n">
        <v>1</v>
      </c>
      <c r="AE765" s="14" t="n">
        <v>73.67</v>
      </c>
      <c r="AF765" s="14" t="n">
        <v>13.657</v>
      </c>
      <c r="AG765" s="14" t="n">
        <v>-37.282</v>
      </c>
      <c r="AH765" s="14" t="n">
        <v>36.388</v>
      </c>
      <c r="AI765" s="14" t="n">
        <v>0</v>
      </c>
      <c r="AJ765" s="14" t="n">
        <v>1</v>
      </c>
      <c r="AK765" s="14" t="n">
        <v>77.902</v>
      </c>
      <c r="AL765" s="14" t="n">
        <v>37.202</v>
      </c>
      <c r="AM765" s="14" t="n">
        <v>-35.346</v>
      </c>
      <c r="AN765" s="14" t="n">
        <v>45.834</v>
      </c>
      <c r="AO765" s="14" t="n">
        <v>0.077</v>
      </c>
      <c r="AP765" s="14" t="n">
        <v>1</v>
      </c>
      <c r="AQ765" s="14" t="n">
        <v>0.861</v>
      </c>
      <c r="AR765" s="14" t="n">
        <v>0.123</v>
      </c>
      <c r="AS765" s="14" t="n">
        <v>1.039</v>
      </c>
      <c r="AT765" s="14" t="n">
        <v>2.046</v>
      </c>
      <c r="AU765" s="14" t="n">
        <v>0.077</v>
      </c>
      <c r="AV765" s="14" t="n">
        <v>1</v>
      </c>
      <c r="AW765" s="14" t="n">
        <v>0.986</v>
      </c>
      <c r="AX765" s="14" t="n">
        <v>0.123</v>
      </c>
      <c r="AY765" s="14" t="n">
        <v>1.091</v>
      </c>
      <c r="AZ765" s="14" t="n">
        <v>2.237</v>
      </c>
      <c r="BA765" s="14" t="n">
        <v>0.077</v>
      </c>
      <c r="BB765" s="14" t="n">
        <v>1</v>
      </c>
      <c r="BC765" s="14" t="n">
        <v>0.598</v>
      </c>
      <c r="BD765" s="14" t="n">
        <v>0.123</v>
      </c>
      <c r="BE765" s="14" t="n">
        <v>0.517</v>
      </c>
      <c r="BF765" s="14" t="n">
        <v>1.2</v>
      </c>
      <c r="BG765" s="14" t="n">
        <v>0.077</v>
      </c>
      <c r="BH765" s="14" t="n">
        <v>1</v>
      </c>
      <c r="BI765" s="14" t="n">
        <v>0.612</v>
      </c>
      <c r="BJ765" s="14" t="n">
        <v>0.123</v>
      </c>
      <c r="BK765" s="14" t="n">
        <v>0.738</v>
      </c>
      <c r="BL765" s="14" t="n">
        <v>1.454</v>
      </c>
      <c r="BM765" s="14" t="n">
        <v>0.077</v>
      </c>
      <c r="BN765" s="14" t="n">
        <v>1</v>
      </c>
      <c r="BO765" s="14" t="n">
        <v>0</v>
      </c>
      <c r="BP765" s="14" t="n">
        <v>0.029</v>
      </c>
      <c r="BQ765" s="14" t="n">
        <v>0.188</v>
      </c>
      <c r="BR765" s="14" t="n">
        <v>0</v>
      </c>
      <c r="BS765" s="14" t="n">
        <v>0.833</v>
      </c>
      <c r="BT765" s="14" t="n">
        <v>0</v>
      </c>
      <c r="BU765" s="14" t="n">
        <v>0.024</v>
      </c>
      <c r="BV765" s="14" t="n">
        <v>0.246</v>
      </c>
      <c r="BW765" s="14" t="n">
        <v>0.077</v>
      </c>
      <c r="BX765" s="14" t="n">
        <v>0.833</v>
      </c>
      <c r="BY765" s="14" t="n">
        <v>12.729</v>
      </c>
      <c r="BZ765" s="14" t="n">
        <v>0</v>
      </c>
      <c r="CA765" s="14" t="n">
        <v>12.729</v>
      </c>
      <c r="CB765" s="14" t="n">
        <v>0</v>
      </c>
      <c r="CC765" s="14" t="n">
        <v>97.90000000000001</v>
      </c>
      <c r="CD765" s="14" t="n">
        <v>7.95</v>
      </c>
      <c r="CE765" s="14" t="n">
        <v>-25.237</v>
      </c>
      <c r="CF765" s="14" t="n">
        <v>78.258</v>
      </c>
      <c r="CG765" s="14" t="n">
        <v>0.077</v>
      </c>
      <c r="CH765" s="14" t="n">
        <v>1</v>
      </c>
      <c r="CI765" s="14" t="n">
        <v>0</v>
      </c>
      <c r="CJ765" s="14" t="n">
        <v>0</v>
      </c>
      <c r="CK765" s="14" t="n">
        <v>0</v>
      </c>
      <c r="CL765" s="14" t="n">
        <v>0</v>
      </c>
      <c r="CM765" s="14" t="n">
        <v>0</v>
      </c>
      <c r="CN765" s="14" t="n">
        <v>0</v>
      </c>
      <c r="CO765" s="14" t="n">
        <v>0</v>
      </c>
      <c r="CP765" s="14" t="n">
        <v>0</v>
      </c>
      <c r="CQ765" s="14" t="n">
        <v>1.294</v>
      </c>
      <c r="CR765" s="14" t="n">
        <v>0</v>
      </c>
      <c r="CS765" s="14" t="n">
        <v>5.158</v>
      </c>
      <c r="CT765" s="14" t="n">
        <v>11.563</v>
      </c>
      <c r="CU765" s="14" t="n">
        <v>63.228</v>
      </c>
    </row>
    <row r="766">
      <c r="A766" s="14" t="inlineStr">
        <is>
          <t>CHE2023</t>
        </is>
      </c>
      <c r="B766" s="14" t="inlineStr">
        <is>
          <t>CHE</t>
        </is>
      </c>
      <c r="C766" s="14" t="inlineStr">
        <is>
          <t>CHE</t>
        </is>
      </c>
      <c r="D766" s="14" t="inlineStr">
        <is>
          <t>Switzerland</t>
        </is>
      </c>
      <c r="E766" s="14" t="n">
        <v>2023</v>
      </c>
      <c r="F766" s="14" t="n">
        <v>0.077</v>
      </c>
      <c r="G766" s="14" t="n">
        <v>6.64</v>
      </c>
      <c r="H766" s="14" t="n">
        <v>1.512</v>
      </c>
      <c r="I766" s="14" t="n">
        <v>9.534000000000001</v>
      </c>
      <c r="J766" s="14" t="n">
        <v>16.174</v>
      </c>
      <c r="K766" s="14" t="n">
        <v>0</v>
      </c>
      <c r="L766" s="14" t="n">
        <v>1</v>
      </c>
      <c r="M766" s="14" t="n">
        <v>7.886</v>
      </c>
      <c r="N766" s="14" t="n">
        <v>3.857</v>
      </c>
      <c r="O766" s="14" t="n">
        <v>8.288</v>
      </c>
      <c r="P766" s="14" t="n">
        <v>16.174</v>
      </c>
      <c r="Q766" s="14" t="n">
        <v>0</v>
      </c>
      <c r="R766" s="14" t="n">
        <v>1</v>
      </c>
      <c r="S766" s="14" t="n">
        <v>12.818</v>
      </c>
      <c r="T766" s="14" t="n">
        <v>7.714</v>
      </c>
      <c r="U766" s="14" t="n">
        <v>13.099</v>
      </c>
      <c r="V766" s="14" t="n">
        <v>27.676</v>
      </c>
      <c r="W766" s="14" t="n">
        <v>0.077</v>
      </c>
      <c r="X766" s="14" t="n">
        <v>1</v>
      </c>
      <c r="Y766" s="14" t="n">
        <v>47.533</v>
      </c>
      <c r="Z766" s="14" t="n">
        <v>5.324</v>
      </c>
      <c r="AA766" s="14" t="n">
        <v>3.905</v>
      </c>
      <c r="AB766" s="14" t="n">
        <v>51.438</v>
      </c>
      <c r="AC766" s="14" t="n">
        <v>0</v>
      </c>
      <c r="AD766" s="14" t="n">
        <v>1</v>
      </c>
      <c r="AE766" s="14" t="n">
        <v>47.632</v>
      </c>
      <c r="AF766" s="14" t="n">
        <v>9.486000000000001</v>
      </c>
      <c r="AG766" s="14" t="n">
        <v>3.806</v>
      </c>
      <c r="AH766" s="14" t="n">
        <v>51.438</v>
      </c>
      <c r="AI766" s="14" t="n">
        <v>0</v>
      </c>
      <c r="AJ766" s="14" t="n">
        <v>1</v>
      </c>
      <c r="AK766" s="14" t="n">
        <v>52.17</v>
      </c>
      <c r="AL766" s="14" t="n">
        <v>25.844</v>
      </c>
      <c r="AM766" s="14" t="n">
        <v>0.616</v>
      </c>
      <c r="AN766" s="14" t="n">
        <v>56.851</v>
      </c>
      <c r="AO766" s="14" t="n">
        <v>0.077</v>
      </c>
      <c r="AP766" s="14" t="n">
        <v>1</v>
      </c>
      <c r="AQ766" s="14" t="n">
        <v>0.76</v>
      </c>
      <c r="AR766" s="14" t="n">
        <v>0.129</v>
      </c>
      <c r="AS766" s="14" t="n">
        <v>1.132</v>
      </c>
      <c r="AT766" s="14" t="n">
        <v>2.038</v>
      </c>
      <c r="AU766" s="14" t="n">
        <v>0.077</v>
      </c>
      <c r="AV766" s="14" t="n">
        <v>1</v>
      </c>
      <c r="AW766" s="14" t="n">
        <v>0.8110000000000001</v>
      </c>
      <c r="AX766" s="14" t="n">
        <v>0.129</v>
      </c>
      <c r="AY766" s="14" t="n">
        <v>1.233</v>
      </c>
      <c r="AZ766" s="14" t="n">
        <v>2.201</v>
      </c>
      <c r="BA766" s="14" t="n">
        <v>0.077</v>
      </c>
      <c r="BB766" s="14" t="n">
        <v>1</v>
      </c>
      <c r="BC766" s="14" t="n">
        <v>0.535</v>
      </c>
      <c r="BD766" s="14" t="n">
        <v>0.129</v>
      </c>
      <c r="BE766" s="14" t="n">
        <v>0.757</v>
      </c>
      <c r="BF766" s="14" t="n">
        <v>1.391</v>
      </c>
      <c r="BG766" s="14" t="n">
        <v>0.077</v>
      </c>
      <c r="BH766" s="14" t="n">
        <v>1</v>
      </c>
      <c r="BI766" s="14" t="n">
        <v>0.579</v>
      </c>
      <c r="BJ766" s="14" t="n">
        <v>0.129</v>
      </c>
      <c r="BK766" s="14" t="n">
        <v>0.609</v>
      </c>
      <c r="BL766" s="14" t="n">
        <v>1.28</v>
      </c>
      <c r="BM766" s="14" t="n">
        <v>0.077</v>
      </c>
      <c r="BN766" s="14" t="n">
        <v>1</v>
      </c>
      <c r="BO766" s="14" t="n">
        <v>0</v>
      </c>
      <c r="BP766" s="14" t="n">
        <v>0.035</v>
      </c>
      <c r="BQ766" s="14" t="n">
        <v>0.257</v>
      </c>
      <c r="BR766" s="14" t="n">
        <v>0</v>
      </c>
      <c r="BS766" s="14" t="n">
        <v>0.833</v>
      </c>
      <c r="BT766" s="14" t="n">
        <v>0</v>
      </c>
      <c r="BU766" s="14" t="n">
        <v>0.026</v>
      </c>
      <c r="BV766" s="14" t="n">
        <v>0.338</v>
      </c>
      <c r="BW766" s="14" t="n">
        <v>0.077</v>
      </c>
      <c r="BX766" s="14" t="n">
        <v>0.833</v>
      </c>
      <c r="BY766" s="14" t="n">
        <v>13.254</v>
      </c>
      <c r="BZ766" s="14" t="n">
        <v>0</v>
      </c>
      <c r="CA766" s="14" t="n">
        <v>13.254</v>
      </c>
      <c r="CB766" s="14" t="n">
        <v>0</v>
      </c>
      <c r="CC766" s="14" t="n">
        <v>83.248</v>
      </c>
      <c r="CD766" s="14" t="n">
        <v>7.95</v>
      </c>
      <c r="CE766" s="14" t="n">
        <v>6.171</v>
      </c>
      <c r="CF766" s="14" t="n">
        <v>96.30500000000001</v>
      </c>
      <c r="CG766" s="14" t="n">
        <v>0.077</v>
      </c>
      <c r="CH766" s="14" t="n">
        <v>1</v>
      </c>
      <c r="CI766" s="14" t="n">
        <v>0</v>
      </c>
      <c r="CJ766" s="14" t="n">
        <v>0</v>
      </c>
      <c r="CK766" s="14" t="n">
        <v>0</v>
      </c>
      <c r="CL766" s="14" t="n">
        <v>0</v>
      </c>
      <c r="CM766" s="14" t="n">
        <v>0</v>
      </c>
      <c r="CN766" s="14" t="n">
        <v>0</v>
      </c>
      <c r="CO766" s="14" t="n">
        <v>0</v>
      </c>
      <c r="CP766" s="14" t="n">
        <v>0</v>
      </c>
      <c r="CQ766" s="14" t="n">
        <v>1.348</v>
      </c>
      <c r="CR766" s="14" t="n">
        <v>0</v>
      </c>
      <c r="CS766" s="14" t="n">
        <v>5.37</v>
      </c>
      <c r="CT766" s="14" t="n">
        <v>5.104</v>
      </c>
      <c r="CU766" s="14" t="n">
        <v>37.088</v>
      </c>
    </row>
    <row r="767">
      <c r="A767" s="14" t="inlineStr">
        <is>
          <t>CHE2024</t>
        </is>
      </c>
      <c r="B767" s="14" t="inlineStr">
        <is>
          <t>CHE</t>
        </is>
      </c>
      <c r="C767" s="14" t="inlineStr">
        <is>
          <t>CHE</t>
        </is>
      </c>
      <c r="D767" s="14" t="inlineStr">
        <is>
          <t>Switzerland</t>
        </is>
      </c>
      <c r="E767" s="14" t="n">
        <v>2024</v>
      </c>
      <c r="F767" s="14" t="n">
        <v>0.077</v>
      </c>
      <c r="G767" s="14" t="n">
        <v>5.47</v>
      </c>
      <c r="H767" s="14" t="n">
        <v>1.386</v>
      </c>
      <c r="I767" s="14" t="n">
        <v>6.199</v>
      </c>
      <c r="J767" s="14" t="n">
        <v>11.669</v>
      </c>
      <c r="K767" s="14" t="n">
        <v>0</v>
      </c>
      <c r="L767" s="14" t="n">
        <v>1</v>
      </c>
      <c r="M767" s="14" t="n">
        <v>7.124</v>
      </c>
      <c r="N767" s="14" t="n">
        <v>3.971</v>
      </c>
      <c r="O767" s="14" t="n">
        <v>4.546</v>
      </c>
      <c r="P767" s="14" t="n">
        <v>11.669</v>
      </c>
      <c r="Q767" s="14" t="n">
        <v>0</v>
      </c>
      <c r="R767" s="14" t="n">
        <v>1</v>
      </c>
      <c r="S767" s="14" t="n">
        <v>12.405</v>
      </c>
      <c r="T767" s="14" t="n">
        <v>7.942</v>
      </c>
      <c r="U767" s="14" t="n">
        <v>13.657</v>
      </c>
      <c r="V767" s="14" t="n">
        <v>27.778</v>
      </c>
      <c r="W767" s="14" t="n">
        <v>0.077</v>
      </c>
      <c r="X767" s="14" t="n">
        <v>1</v>
      </c>
      <c r="Y767" s="14" t="n">
        <v>40.254</v>
      </c>
      <c r="Z767" s="14" t="n">
        <v>5.083</v>
      </c>
      <c r="AA767" s="14" t="n">
        <v>3.591</v>
      </c>
      <c r="AB767" s="14" t="n">
        <v>43.845</v>
      </c>
      <c r="AC767" s="14" t="n">
        <v>0</v>
      </c>
      <c r="AD767" s="14" t="n">
        <v>1</v>
      </c>
      <c r="AE767" s="14" t="n">
        <v>40.254</v>
      </c>
      <c r="AF767" s="14" t="n">
        <v>8.818</v>
      </c>
      <c r="AG767" s="14" t="n">
        <v>3.591</v>
      </c>
      <c r="AH767" s="14" t="n">
        <v>43.845</v>
      </c>
      <c r="AI767" s="14" t="n">
        <v>0</v>
      </c>
      <c r="AJ767" s="14" t="n">
        <v>1</v>
      </c>
      <c r="AK767" s="14" t="n">
        <v>43.282</v>
      </c>
      <c r="AL767" s="14" t="n">
        <v>22.014</v>
      </c>
      <c r="AM767" s="14" t="n">
        <v>5.992</v>
      </c>
      <c r="AN767" s="14" t="n">
        <v>53.068</v>
      </c>
      <c r="AO767" s="14" t="n">
        <v>0.077</v>
      </c>
      <c r="AP767" s="14" t="n">
        <v>1</v>
      </c>
      <c r="AQ767" s="14" t="n">
        <v>0.724</v>
      </c>
      <c r="AR767" s="14" t="n">
        <v>0.132</v>
      </c>
      <c r="AS767" s="14" t="n">
        <v>1.186</v>
      </c>
      <c r="AT767" s="14" t="n">
        <v>2.057</v>
      </c>
      <c r="AU767" s="14" t="n">
        <v>0.077</v>
      </c>
      <c r="AV767" s="14" t="n">
        <v>1</v>
      </c>
      <c r="AW767" s="14" t="n">
        <v>0.75</v>
      </c>
      <c r="AX767" s="14" t="n">
        <v>0.132</v>
      </c>
      <c r="AY767" s="14" t="n">
        <v>1.265</v>
      </c>
      <c r="AZ767" s="14" t="n">
        <v>2.171</v>
      </c>
      <c r="BA767" s="14" t="n">
        <v>0.077</v>
      </c>
      <c r="BB767" s="14" t="n">
        <v>1</v>
      </c>
      <c r="BC767" s="14" t="n">
        <v>0.513</v>
      </c>
      <c r="BD767" s="14" t="n">
        <v>0.132</v>
      </c>
      <c r="BE767" s="14" t="n">
        <v>0.6870000000000001</v>
      </c>
      <c r="BF767" s="14" t="n">
        <v>1.293</v>
      </c>
      <c r="BG767" s="14" t="n">
        <v>0.077</v>
      </c>
      <c r="BH767" s="14" t="n">
        <v>1</v>
      </c>
      <c r="BI767" s="14" t="n">
        <v>0.591</v>
      </c>
      <c r="BJ767" s="14" t="n">
        <v>0.132</v>
      </c>
      <c r="BK767" s="14" t="n">
        <v>0.55</v>
      </c>
      <c r="BL767" s="14" t="n">
        <v>1.229</v>
      </c>
      <c r="BM767" s="14" t="n">
        <v>0.077</v>
      </c>
      <c r="BN767" s="14" t="n">
        <v>1</v>
      </c>
      <c r="BO767" s="14" t="n">
        <v>0</v>
      </c>
      <c r="BP767" s="14" t="n">
        <v>0.044</v>
      </c>
      <c r="BQ767" s="14" t="n">
        <v>0.315</v>
      </c>
      <c r="BR767" s="14" t="n">
        <v>0</v>
      </c>
      <c r="BS767" s="14" t="n">
        <v>0.833</v>
      </c>
      <c r="BT767" s="14" t="n">
        <v>0</v>
      </c>
      <c r="BU767" s="14" t="n">
        <v>0.027</v>
      </c>
      <c r="BV767" s="14" t="n">
        <v>0.382</v>
      </c>
      <c r="BW767" s="14" t="n">
        <v>0.077</v>
      </c>
      <c r="BX767" s="14" t="n">
        <v>0.833</v>
      </c>
      <c r="BY767" s="14" t="n">
        <v>13.646</v>
      </c>
      <c r="BZ767" s="14" t="n">
        <v>0</v>
      </c>
      <c r="CA767" s="14" t="n">
        <v>13.646</v>
      </c>
      <c r="CB767" s="14" t="n">
        <v>0</v>
      </c>
      <c r="CC767" s="14" t="n">
        <v>82.58799999999999</v>
      </c>
      <c r="CD767" s="14" t="n">
        <v>7.95</v>
      </c>
      <c r="CE767" s="14" t="n">
        <v>-11.844</v>
      </c>
      <c r="CF767" s="14" t="n">
        <v>76.191</v>
      </c>
      <c r="CG767" s="14" t="n">
        <v>0.077</v>
      </c>
      <c r="CH767" s="14" t="n">
        <v>1</v>
      </c>
      <c r="CI767" s="14" t="n">
        <v>0</v>
      </c>
      <c r="CJ767" s="14" t="n">
        <v>0</v>
      </c>
      <c r="CK767" s="14" t="n">
        <v>0</v>
      </c>
      <c r="CL767" s="14" t="n">
        <v>0</v>
      </c>
      <c r="CM767" s="14" t="n">
        <v>0</v>
      </c>
      <c r="CN767" s="14" t="n">
        <v>0</v>
      </c>
      <c r="CO767" s="14" t="n">
        <v>0</v>
      </c>
      <c r="CP767" s="14" t="n">
        <v>0</v>
      </c>
      <c r="CQ767" s="14" t="n">
        <v>1.387</v>
      </c>
      <c r="CR767" s="14" t="n">
        <v>0</v>
      </c>
      <c r="CS767" s="14" t="n">
        <v>5.529</v>
      </c>
      <c r="CT767" s="14" t="n">
        <v>4.463</v>
      </c>
      <c r="CU767" s="14" t="n">
        <v>31.353</v>
      </c>
    </row>
    <row r="768">
      <c r="A768" s="14" t="inlineStr">
        <is>
          <t>SYR2021</t>
        </is>
      </c>
      <c r="B768" s="14" t="inlineStr">
        <is>
          <t>SYR</t>
        </is>
      </c>
      <c r="C768" s="14" t="inlineStr">
        <is>
          <t>SYR</t>
        </is>
      </c>
      <c r="D768" s="14" t="inlineStr">
        <is>
          <t>Syria</t>
        </is>
      </c>
      <c r="E768" s="14" t="n">
        <v>2021</v>
      </c>
      <c r="F768" s="14" t="n">
        <v>0</v>
      </c>
      <c r="G768" s="14" t="n">
        <v>5.897</v>
      </c>
      <c r="H768" s="14" t="n">
        <v>1.143</v>
      </c>
      <c r="I768" s="14" t="n">
        <v>0</v>
      </c>
      <c r="J768" s="14" t="n">
        <v>5.897</v>
      </c>
      <c r="K768" s="14" t="n">
        <v>0</v>
      </c>
      <c r="L768" s="14" t="n">
        <v>1</v>
      </c>
      <c r="M768" s="14" t="n">
        <v>7.964</v>
      </c>
      <c r="N768" s="14" t="n">
        <v>3.43</v>
      </c>
      <c r="O768" s="14" t="n">
        <v>0</v>
      </c>
      <c r="P768" s="14" t="n">
        <v>7.964</v>
      </c>
      <c r="Q768" s="14" t="n">
        <v>0</v>
      </c>
      <c r="R768" s="14" t="n">
        <v>1</v>
      </c>
      <c r="S768" s="14" t="n">
        <v>11.613</v>
      </c>
      <c r="T768" s="14" t="n">
        <v>6.86</v>
      </c>
      <c r="U768" s="14" t="n">
        <v>0</v>
      </c>
      <c r="V768" s="14" t="n">
        <v>11.613</v>
      </c>
      <c r="W768" s="14" t="n">
        <v>0</v>
      </c>
      <c r="X768" s="14" t="n">
        <v>1</v>
      </c>
      <c r="Y768" s="14" t="n">
        <v>5.347</v>
      </c>
      <c r="Z768" s="14" t="n">
        <v>0.484</v>
      </c>
      <c r="AA768" s="14" t="n">
        <v>0</v>
      </c>
      <c r="AB768" s="14" t="n">
        <v>5.347</v>
      </c>
      <c r="AC768" s="14" t="n">
        <v>0</v>
      </c>
      <c r="AD768" s="14" t="n">
        <v>1</v>
      </c>
      <c r="AE768" s="14" t="n">
        <v>5.919</v>
      </c>
      <c r="AF768" s="14" t="n">
        <v>0.966</v>
      </c>
      <c r="AG768" s="14" t="n">
        <v>0</v>
      </c>
      <c r="AH768" s="14" t="n">
        <v>5.919</v>
      </c>
      <c r="AI768" s="14" t="n">
        <v>0</v>
      </c>
      <c r="AJ768" s="14" t="n">
        <v>1</v>
      </c>
      <c r="AK768" s="14" t="n">
        <v>9.349</v>
      </c>
      <c r="AL768" s="14" t="n">
        <v>3.931</v>
      </c>
      <c r="AM768" s="14" t="n">
        <v>0</v>
      </c>
      <c r="AN768" s="14" t="n">
        <v>9.349</v>
      </c>
      <c r="AO768" s="14" t="n">
        <v>0</v>
      </c>
      <c r="AP768" s="14" t="n">
        <v>1</v>
      </c>
      <c r="AQ768" s="14" t="n">
        <v>0.621</v>
      </c>
      <c r="AR768" s="14" t="n">
        <v>0.114</v>
      </c>
      <c r="AS768" s="14" t="n">
        <v>0.127</v>
      </c>
      <c r="AT768" s="14" t="n">
        <v>0.748</v>
      </c>
      <c r="AU768" s="14" t="n">
        <v>0</v>
      </c>
      <c r="AV768" s="14" t="n">
        <v>1</v>
      </c>
      <c r="AW768" s="14" t="n">
        <v>0.593</v>
      </c>
      <c r="AX768" s="14" t="n">
        <v>0.114</v>
      </c>
      <c r="AY768" s="14" t="n">
        <v>0.212</v>
      </c>
      <c r="AZ768" s="14" t="n">
        <v>0.806</v>
      </c>
      <c r="BA768" s="14" t="n">
        <v>0</v>
      </c>
      <c r="BB768" s="14" t="n">
        <v>1</v>
      </c>
      <c r="BC768" s="14" t="n">
        <v>0.44</v>
      </c>
      <c r="BD768" s="14" t="n">
        <v>0.114</v>
      </c>
      <c r="BE768" s="14" t="n">
        <v>-0.338</v>
      </c>
      <c r="BF768" s="14" t="n">
        <v>0.102</v>
      </c>
      <c r="BG768" s="14" t="n">
        <v>0</v>
      </c>
      <c r="BH768" s="14" t="n">
        <v>0</v>
      </c>
      <c r="BI768" s="14" t="n">
        <v>0.5600000000000001</v>
      </c>
      <c r="BJ768" s="14" t="n">
        <v>0.114</v>
      </c>
      <c r="BK768" s="14" t="n">
        <v>0</v>
      </c>
      <c r="BL768" s="14" t="n">
        <v>0.5600000000000001</v>
      </c>
      <c r="BM768" s="14" t="n">
        <v>0</v>
      </c>
      <c r="BN768" s="14" t="n">
        <v>1</v>
      </c>
      <c r="BO768" s="14" t="n">
        <v>0</v>
      </c>
      <c r="BP768" s="14" t="n">
        <v>0</v>
      </c>
      <c r="BQ768" s="14" t="n">
        <v>0.08799999999999999</v>
      </c>
      <c r="BR768" s="14" t="n">
        <v>0</v>
      </c>
      <c r="BS768" s="14" t="n">
        <v>1</v>
      </c>
      <c r="BT768" s="14" t="n">
        <v>0</v>
      </c>
      <c r="BU768" s="14" t="n">
        <v>0</v>
      </c>
      <c r="BV768" s="14" t="n">
        <v>0.031</v>
      </c>
      <c r="BW768" s="14" t="n">
        <v>0</v>
      </c>
      <c r="BX768" s="14" t="n">
        <v>1</v>
      </c>
      <c r="BY768" s="14" t="n">
        <v>11.787</v>
      </c>
      <c r="BZ768" s="14" t="n">
        <v>0</v>
      </c>
      <c r="CA768" s="14" t="n">
        <v>11.787</v>
      </c>
      <c r="CB768" s="14" t="n">
        <v>0</v>
      </c>
      <c r="CC768" s="14" t="n">
        <v>81.69499999999999</v>
      </c>
      <c r="CD768" s="14" t="n">
        <v>7.95</v>
      </c>
      <c r="CE768" s="14" t="n">
        <v>0</v>
      </c>
      <c r="CF768" s="14" t="n">
        <v>81.69499999999999</v>
      </c>
      <c r="CG768" s="14" t="n">
        <v>0</v>
      </c>
      <c r="CH768" s="14" t="n">
        <v>1</v>
      </c>
      <c r="CI768" s="14" t="n">
        <v>0</v>
      </c>
      <c r="CJ768" s="14" t="n">
        <v>0</v>
      </c>
      <c r="CK768" s="14" t="n">
        <v>0</v>
      </c>
      <c r="CL768" s="14" t="n">
        <v>0</v>
      </c>
      <c r="CM768" s="14" t="n">
        <v>0</v>
      </c>
      <c r="CN768" s="14" t="n">
        <v>0</v>
      </c>
      <c r="CO768" s="14" t="n">
        <v>0</v>
      </c>
      <c r="CP768" s="14" t="n">
        <v>0</v>
      </c>
      <c r="CQ768" s="14" t="n">
        <v>1.198</v>
      </c>
      <c r="CR768" s="14" t="n">
        <v>1</v>
      </c>
      <c r="CS768" s="14" t="n">
        <v>4.776</v>
      </c>
      <c r="CT768" s="14" t="n">
        <v>4.753</v>
      </c>
      <c r="CU768" s="14" t="n">
        <v>14.162</v>
      </c>
    </row>
    <row r="769">
      <c r="A769" s="14" t="inlineStr">
        <is>
          <t>SYR2022</t>
        </is>
      </c>
      <c r="B769" s="14" t="inlineStr">
        <is>
          <t>SYR</t>
        </is>
      </c>
      <c r="C769" s="14" t="inlineStr">
        <is>
          <t>SYR</t>
        </is>
      </c>
      <c r="D769" s="14" t="inlineStr">
        <is>
          <t>Syria</t>
        </is>
      </c>
      <c r="E769" s="14" t="n">
        <v>2022</v>
      </c>
      <c r="F769" s="14" t="n">
        <v>0</v>
      </c>
      <c r="G769" s="14" t="n">
        <v>11.72</v>
      </c>
      <c r="H769" s="14" t="n">
        <v>1.235</v>
      </c>
      <c r="I769" s="14" t="n">
        <v>0</v>
      </c>
      <c r="J769" s="14" t="n">
        <v>11.72</v>
      </c>
      <c r="K769" s="14" t="n">
        <v>0</v>
      </c>
      <c r="L769" s="14" t="n">
        <v>1</v>
      </c>
      <c r="M769" s="14" t="n">
        <v>9.782999999999999</v>
      </c>
      <c r="N769" s="14" t="n">
        <v>3.704</v>
      </c>
      <c r="O769" s="14" t="n">
        <v>0</v>
      </c>
      <c r="P769" s="14" t="n">
        <v>9.782999999999999</v>
      </c>
      <c r="Q769" s="14" t="n">
        <v>0</v>
      </c>
      <c r="R769" s="14" t="n">
        <v>1</v>
      </c>
      <c r="S769" s="14" t="n">
        <v>17.893</v>
      </c>
      <c r="T769" s="14" t="n">
        <v>7.408</v>
      </c>
      <c r="U769" s="14" t="n">
        <v>0</v>
      </c>
      <c r="V769" s="14" t="n">
        <v>17.893</v>
      </c>
      <c r="W769" s="14" t="n">
        <v>0</v>
      </c>
      <c r="X769" s="14" t="n">
        <v>1</v>
      </c>
      <c r="Y769" s="14" t="n">
        <v>5.775</v>
      </c>
      <c r="Z769" s="14" t="n">
        <v>0.523</v>
      </c>
      <c r="AA769" s="14" t="n">
        <v>0</v>
      </c>
      <c r="AB769" s="14" t="n">
        <v>5.775</v>
      </c>
      <c r="AC769" s="14" t="n">
        <v>0</v>
      </c>
      <c r="AD769" s="14" t="n">
        <v>1</v>
      </c>
      <c r="AE769" s="14" t="n">
        <v>6.392</v>
      </c>
      <c r="AF769" s="14" t="n">
        <v>1.043</v>
      </c>
      <c r="AG769" s="14" t="n">
        <v>0</v>
      </c>
      <c r="AH769" s="14" t="n">
        <v>6.392</v>
      </c>
      <c r="AI769" s="14" t="n">
        <v>0</v>
      </c>
      <c r="AJ769" s="14" t="n">
        <v>1</v>
      </c>
      <c r="AK769" s="14" t="n">
        <v>10.096</v>
      </c>
      <c r="AL769" s="14" t="n">
        <v>4.245</v>
      </c>
      <c r="AM769" s="14" t="n">
        <v>0</v>
      </c>
      <c r="AN769" s="14" t="n">
        <v>10.096</v>
      </c>
      <c r="AO769" s="14" t="n">
        <v>0</v>
      </c>
      <c r="AP769" s="14" t="n">
        <v>1</v>
      </c>
      <c r="AQ769" s="14" t="n">
        <v>0.847</v>
      </c>
      <c r="AR769" s="14" t="n">
        <v>0.123</v>
      </c>
      <c r="AS769" s="14" t="n">
        <v>0.638</v>
      </c>
      <c r="AT769" s="14" t="n">
        <v>1.484</v>
      </c>
      <c r="AU769" s="14" t="n">
        <v>0</v>
      </c>
      <c r="AV769" s="14" t="n">
        <v>1</v>
      </c>
      <c r="AW769" s="14" t="n">
        <v>0.947</v>
      </c>
      <c r="AX769" s="14" t="n">
        <v>0.123</v>
      </c>
      <c r="AY769" s="14" t="n">
        <v>-0.188</v>
      </c>
      <c r="AZ769" s="14" t="n">
        <v>0.759</v>
      </c>
      <c r="BA769" s="14" t="n">
        <v>0</v>
      </c>
      <c r="BB769" s="14" t="n">
        <v>1</v>
      </c>
      <c r="BC769" s="14" t="n">
        <v>0.589</v>
      </c>
      <c r="BD769" s="14" t="n">
        <v>0.123</v>
      </c>
      <c r="BE769" s="14" t="n">
        <v>-0.538</v>
      </c>
      <c r="BF769" s="14" t="n">
        <v>0.051</v>
      </c>
      <c r="BG769" s="14" t="n">
        <v>0</v>
      </c>
      <c r="BH769" s="14" t="n">
        <v>0</v>
      </c>
      <c r="BI769" s="14" t="n">
        <v>0.6889999999999999</v>
      </c>
      <c r="BJ769" s="14" t="n">
        <v>0.123</v>
      </c>
      <c r="BK769" s="14" t="n">
        <v>0</v>
      </c>
      <c r="BL769" s="14" t="n">
        <v>0.6889999999999999</v>
      </c>
      <c r="BM769" s="14" t="n">
        <v>0</v>
      </c>
      <c r="BN769" s="14" t="n">
        <v>1</v>
      </c>
      <c r="BO769" s="14" t="n">
        <v>0</v>
      </c>
      <c r="BP769" s="14" t="n">
        <v>0</v>
      </c>
      <c r="BQ769" s="14" t="n">
        <v>0.044</v>
      </c>
      <c r="BR769" s="14" t="n">
        <v>0</v>
      </c>
      <c r="BS769" s="14" t="n">
        <v>1</v>
      </c>
      <c r="BT769" s="14" t="n">
        <v>0</v>
      </c>
      <c r="BU769" s="14" t="n">
        <v>0</v>
      </c>
      <c r="BV769" s="14" t="n">
        <v>0.016</v>
      </c>
      <c r="BW769" s="14" t="n">
        <v>0</v>
      </c>
      <c r="BX769" s="14" t="n">
        <v>1</v>
      </c>
      <c r="BY769" s="14" t="n">
        <v>12.729</v>
      </c>
      <c r="BZ769" s="14" t="n">
        <v>0</v>
      </c>
      <c r="CA769" s="14" t="n">
        <v>12.729</v>
      </c>
      <c r="CB769" s="14" t="n">
        <v>0</v>
      </c>
      <c r="CC769" s="14" t="n">
        <v>102.477</v>
      </c>
      <c r="CD769" s="14" t="n">
        <v>7.95</v>
      </c>
      <c r="CE769" s="14" t="n">
        <v>0</v>
      </c>
      <c r="CF769" s="14" t="n">
        <v>102.477</v>
      </c>
      <c r="CG769" s="14" t="n">
        <v>0</v>
      </c>
      <c r="CH769" s="14" t="n">
        <v>1</v>
      </c>
      <c r="CI769" s="14" t="n">
        <v>0</v>
      </c>
      <c r="CJ769" s="14" t="n">
        <v>0</v>
      </c>
      <c r="CK769" s="14" t="n">
        <v>0</v>
      </c>
      <c r="CL769" s="14" t="n">
        <v>0</v>
      </c>
      <c r="CM769" s="14" t="n">
        <v>0</v>
      </c>
      <c r="CN769" s="14" t="n">
        <v>0</v>
      </c>
      <c r="CO769" s="14" t="n">
        <v>0</v>
      </c>
      <c r="CP769" s="14" t="n">
        <v>0</v>
      </c>
      <c r="CQ769" s="14" t="n">
        <v>1.294</v>
      </c>
      <c r="CR769" s="14" t="n">
        <v>1</v>
      </c>
      <c r="CS769" s="14" t="n">
        <v>5.158</v>
      </c>
      <c r="CT769" s="14" t="n">
        <v>10.485</v>
      </c>
      <c r="CU769" s="14" t="n">
        <v>30.326</v>
      </c>
    </row>
    <row r="770">
      <c r="A770" s="14" t="inlineStr">
        <is>
          <t>SYR2023</t>
        </is>
      </c>
      <c r="B770" s="14" t="inlineStr">
        <is>
          <t>SYR</t>
        </is>
      </c>
      <c r="C770" s="14" t="inlineStr">
        <is>
          <t>SYR</t>
        </is>
      </c>
      <c r="D770" s="14" t="inlineStr">
        <is>
          <t>Syria</t>
        </is>
      </c>
      <c r="E770" s="14" t="n">
        <v>2023</v>
      </c>
      <c r="F770" s="14" t="n">
        <v>0</v>
      </c>
      <c r="G770" s="14" t="n">
        <v>6.147</v>
      </c>
      <c r="H770" s="14" t="n">
        <v>1.286</v>
      </c>
      <c r="I770" s="14" t="n">
        <v>0</v>
      </c>
      <c r="J770" s="14" t="n">
        <v>6.147</v>
      </c>
      <c r="K770" s="14" t="n">
        <v>0</v>
      </c>
      <c r="L770" s="14" t="n">
        <v>1</v>
      </c>
      <c r="M770" s="14" t="n">
        <v>7.886</v>
      </c>
      <c r="N770" s="14" t="n">
        <v>3.857</v>
      </c>
      <c r="O770" s="14" t="n">
        <v>0</v>
      </c>
      <c r="P770" s="14" t="n">
        <v>7.886</v>
      </c>
      <c r="Q770" s="14" t="n">
        <v>0</v>
      </c>
      <c r="R770" s="14" t="n">
        <v>1</v>
      </c>
      <c r="S770" s="14" t="n">
        <v>12.575</v>
      </c>
      <c r="T770" s="14" t="n">
        <v>7.714</v>
      </c>
      <c r="U770" s="14" t="n">
        <v>0</v>
      </c>
      <c r="V770" s="14" t="n">
        <v>12.575</v>
      </c>
      <c r="W770" s="14" t="n">
        <v>0</v>
      </c>
      <c r="X770" s="14" t="n">
        <v>1</v>
      </c>
      <c r="Y770" s="14" t="n">
        <v>6.013</v>
      </c>
      <c r="Z770" s="14" t="n">
        <v>0.545</v>
      </c>
      <c r="AA770" s="14" t="n">
        <v>0</v>
      </c>
      <c r="AB770" s="14" t="n">
        <v>6.013</v>
      </c>
      <c r="AC770" s="14" t="n">
        <v>0</v>
      </c>
      <c r="AD770" s="14" t="n">
        <v>1</v>
      </c>
      <c r="AE770" s="14" t="n">
        <v>6.656</v>
      </c>
      <c r="AF770" s="14" t="n">
        <v>1.086</v>
      </c>
      <c r="AG770" s="14" t="n">
        <v>0</v>
      </c>
      <c r="AH770" s="14" t="n">
        <v>6.656</v>
      </c>
      <c r="AI770" s="14" t="n">
        <v>0</v>
      </c>
      <c r="AJ770" s="14" t="n">
        <v>1</v>
      </c>
      <c r="AK770" s="14" t="n">
        <v>10.513</v>
      </c>
      <c r="AL770" s="14" t="n">
        <v>4.42</v>
      </c>
      <c r="AM770" s="14" t="n">
        <v>0</v>
      </c>
      <c r="AN770" s="14" t="n">
        <v>10.513</v>
      </c>
      <c r="AO770" s="14" t="n">
        <v>0</v>
      </c>
      <c r="AP770" s="14" t="n">
        <v>1</v>
      </c>
      <c r="AQ770" s="14" t="n">
        <v>0.749</v>
      </c>
      <c r="AR770" s="14" t="n">
        <v>0.129</v>
      </c>
      <c r="AS770" s="14" t="n">
        <v>0.664</v>
      </c>
      <c r="AT770" s="14" t="n">
        <v>1.413</v>
      </c>
      <c r="AU770" s="14" t="n">
        <v>0</v>
      </c>
      <c r="AV770" s="14" t="n">
        <v>1</v>
      </c>
      <c r="AW770" s="14" t="n">
        <v>0.783</v>
      </c>
      <c r="AX770" s="14" t="n">
        <v>0.129</v>
      </c>
      <c r="AY770" s="14" t="n">
        <v>-0.07199999999999999</v>
      </c>
      <c r="AZ770" s="14" t="n">
        <v>0.711</v>
      </c>
      <c r="BA770" s="14" t="n">
        <v>0</v>
      </c>
      <c r="BB770" s="14" t="n">
        <v>1</v>
      </c>
      <c r="BC770" s="14" t="n">
        <v>0.527</v>
      </c>
      <c r="BD770" s="14" t="n">
        <v>0.129</v>
      </c>
      <c r="BE770" s="14" t="n">
        <v>-0.477</v>
      </c>
      <c r="BF770" s="14" t="n">
        <v>0.05</v>
      </c>
      <c r="BG770" s="14" t="n">
        <v>0</v>
      </c>
      <c r="BH770" s="14" t="n">
        <v>0</v>
      </c>
      <c r="BI770" s="14" t="n">
        <v>0.64</v>
      </c>
      <c r="BJ770" s="14" t="n">
        <v>0.129</v>
      </c>
      <c r="BK770" s="14" t="n">
        <v>0</v>
      </c>
      <c r="BL770" s="14" t="n">
        <v>0.64</v>
      </c>
      <c r="BM770" s="14" t="n">
        <v>0</v>
      </c>
      <c r="BN770" s="14" t="n">
        <v>1</v>
      </c>
      <c r="BO770" s="14" t="n">
        <v>0</v>
      </c>
      <c r="BP770" s="14" t="n">
        <v>0</v>
      </c>
      <c r="BQ770" s="14" t="n">
        <v>0.046</v>
      </c>
      <c r="BR770" s="14" t="n">
        <v>0</v>
      </c>
      <c r="BS770" s="14" t="n">
        <v>1</v>
      </c>
      <c r="BT770" s="14" t="n">
        <v>0</v>
      </c>
      <c r="BU770" s="14" t="n">
        <v>0</v>
      </c>
      <c r="BV770" s="14" t="n">
        <v>0.016</v>
      </c>
      <c r="BW770" s="14" t="n">
        <v>0</v>
      </c>
      <c r="BX770" s="14" t="n">
        <v>1</v>
      </c>
      <c r="BY770" s="14" t="n">
        <v>13.254</v>
      </c>
      <c r="BZ770" s="14" t="n">
        <v>0</v>
      </c>
      <c r="CA770" s="14" t="n">
        <v>13.254</v>
      </c>
      <c r="CB770" s="14" t="n">
        <v>0</v>
      </c>
      <c r="CC770" s="14" t="n">
        <v>87.07899999999999</v>
      </c>
      <c r="CD770" s="14" t="n">
        <v>7.95</v>
      </c>
      <c r="CE770" s="14" t="n">
        <v>0</v>
      </c>
      <c r="CF770" s="14" t="n">
        <v>87.07899999999999</v>
      </c>
      <c r="CG770" s="14" t="n">
        <v>0</v>
      </c>
      <c r="CH770" s="14" t="n">
        <v>1</v>
      </c>
      <c r="CI770" s="14" t="n">
        <v>0</v>
      </c>
      <c r="CJ770" s="14" t="n">
        <v>0</v>
      </c>
      <c r="CK770" s="14" t="n">
        <v>0</v>
      </c>
      <c r="CL770" s="14" t="n">
        <v>0</v>
      </c>
      <c r="CM770" s="14" t="n">
        <v>0</v>
      </c>
      <c r="CN770" s="14" t="n">
        <v>0</v>
      </c>
      <c r="CO770" s="14" t="n">
        <v>0</v>
      </c>
      <c r="CP770" s="14" t="n">
        <v>0</v>
      </c>
      <c r="CQ770" s="14" t="n">
        <v>1.348</v>
      </c>
      <c r="CR770" s="14" t="n">
        <v>1</v>
      </c>
      <c r="CS770" s="14" t="n">
        <v>5.37</v>
      </c>
      <c r="CT770" s="14" t="n">
        <v>4.861</v>
      </c>
      <c r="CU770" s="14" t="n">
        <v>10.622</v>
      </c>
    </row>
    <row r="771">
      <c r="A771" s="14" t="inlineStr">
        <is>
          <t>SYR2024</t>
        </is>
      </c>
      <c r="B771" s="14" t="inlineStr">
        <is>
          <t>SYR</t>
        </is>
      </c>
      <c r="C771" s="14" t="inlineStr">
        <is>
          <t>SYR</t>
        </is>
      </c>
      <c r="D771" s="14" t="inlineStr">
        <is>
          <t>Syria</t>
        </is>
      </c>
      <c r="E771" s="14" t="n">
        <v>2024</v>
      </c>
      <c r="F771" s="14" t="n">
        <v>0</v>
      </c>
      <c r="G771" s="14" t="n">
        <v>5.575</v>
      </c>
      <c r="H771" s="14" t="n">
        <v>1.324</v>
      </c>
      <c r="I771" s="14" t="n">
        <v>0</v>
      </c>
      <c r="J771" s="14" t="n">
        <v>5.575</v>
      </c>
      <c r="K771" s="14" t="n">
        <v>0</v>
      </c>
      <c r="L771" s="14" t="n">
        <v>1</v>
      </c>
      <c r="M771" s="14" t="n">
        <v>7.124</v>
      </c>
      <c r="N771" s="14" t="n">
        <v>3.971</v>
      </c>
      <c r="O771" s="14" t="n">
        <v>0</v>
      </c>
      <c r="P771" s="14" t="n">
        <v>7.124</v>
      </c>
      <c r="Q771" s="14" t="n">
        <v>0</v>
      </c>
      <c r="R771" s="14" t="n">
        <v>1</v>
      </c>
      <c r="S771" s="14" t="n">
        <v>12.193</v>
      </c>
      <c r="T771" s="14" t="n">
        <v>7.942</v>
      </c>
      <c r="U771" s="14" t="n">
        <v>0</v>
      </c>
      <c r="V771" s="14" t="n">
        <v>12.193</v>
      </c>
      <c r="W771" s="14" t="n">
        <v>0</v>
      </c>
      <c r="X771" s="14" t="n">
        <v>1</v>
      </c>
      <c r="Y771" s="14" t="n">
        <v>6.191</v>
      </c>
      <c r="Z771" s="14" t="n">
        <v>0.5610000000000001</v>
      </c>
      <c r="AA771" s="14" t="n">
        <v>0</v>
      </c>
      <c r="AB771" s="14" t="n">
        <v>6.191</v>
      </c>
      <c r="AC771" s="14" t="n">
        <v>0</v>
      </c>
      <c r="AD771" s="14" t="n">
        <v>1</v>
      </c>
      <c r="AE771" s="14" t="n">
        <v>6.853</v>
      </c>
      <c r="AF771" s="14" t="n">
        <v>1.118</v>
      </c>
      <c r="AG771" s="14" t="n">
        <v>0</v>
      </c>
      <c r="AH771" s="14" t="n">
        <v>6.853</v>
      </c>
      <c r="AI771" s="14" t="n">
        <v>0</v>
      </c>
      <c r="AJ771" s="14" t="n">
        <v>1</v>
      </c>
      <c r="AK771" s="14" t="n">
        <v>10.823</v>
      </c>
      <c r="AL771" s="14" t="n">
        <v>4.55</v>
      </c>
      <c r="AM771" s="14" t="n">
        <v>0</v>
      </c>
      <c r="AN771" s="14" t="n">
        <v>10.823</v>
      </c>
      <c r="AO771" s="14" t="n">
        <v>0</v>
      </c>
      <c r="AP771" s="14" t="n">
        <v>1</v>
      </c>
      <c r="AQ771" s="14" t="n">
        <v>0.72</v>
      </c>
      <c r="AR771" s="14" t="n">
        <v>0.132</v>
      </c>
      <c r="AS771" s="14" t="n">
        <v>0.6830000000000001</v>
      </c>
      <c r="AT771" s="14" t="n">
        <v>1.403</v>
      </c>
      <c r="AU771" s="14" t="n">
        <v>0</v>
      </c>
      <c r="AV771" s="14" t="n">
        <v>1</v>
      </c>
      <c r="AW771" s="14" t="n">
        <v>0.734</v>
      </c>
      <c r="AX771" s="14" t="n">
        <v>0.132</v>
      </c>
      <c r="AY771" s="14" t="n">
        <v>-0.03</v>
      </c>
      <c r="AZ771" s="14" t="n">
        <v>0.704</v>
      </c>
      <c r="BA771" s="14" t="n">
        <v>0</v>
      </c>
      <c r="BB771" s="14" t="n">
        <v>1</v>
      </c>
      <c r="BC771" s="14" t="n">
        <v>0.51</v>
      </c>
      <c r="BD771" s="14" t="n">
        <v>0.132</v>
      </c>
      <c r="BE771" s="14" t="n">
        <v>-0.459</v>
      </c>
      <c r="BF771" s="14" t="n">
        <v>0.051</v>
      </c>
      <c r="BG771" s="14" t="n">
        <v>0</v>
      </c>
      <c r="BH771" s="14" t="n">
        <v>0</v>
      </c>
      <c r="BI771" s="14" t="n">
        <v>0.652</v>
      </c>
      <c r="BJ771" s="14" t="n">
        <v>0.132</v>
      </c>
      <c r="BK771" s="14" t="n">
        <v>0</v>
      </c>
      <c r="BL771" s="14" t="n">
        <v>0.652</v>
      </c>
      <c r="BM771" s="14" t="n">
        <v>0</v>
      </c>
      <c r="BN771" s="14" t="n">
        <v>1</v>
      </c>
      <c r="BO771" s="14" t="n">
        <v>0</v>
      </c>
      <c r="BP771" s="14" t="n">
        <v>0</v>
      </c>
      <c r="BQ771" s="14" t="n">
        <v>0.047</v>
      </c>
      <c r="BR771" s="14" t="n">
        <v>0</v>
      </c>
      <c r="BS771" s="14" t="n">
        <v>1</v>
      </c>
      <c r="BT771" s="14" t="n">
        <v>0</v>
      </c>
      <c r="BU771" s="14" t="n">
        <v>0</v>
      </c>
      <c r="BV771" s="14" t="n">
        <v>0.017</v>
      </c>
      <c r="BW771" s="14" t="n">
        <v>0</v>
      </c>
      <c r="BX771" s="14" t="n">
        <v>1</v>
      </c>
      <c r="BY771" s="14" t="n">
        <v>13.646</v>
      </c>
      <c r="BZ771" s="14" t="n">
        <v>0</v>
      </c>
      <c r="CA771" s="14" t="n">
        <v>13.646</v>
      </c>
      <c r="CB771" s="14" t="n">
        <v>0</v>
      </c>
      <c r="CC771" s="14" t="n">
        <v>86.38500000000001</v>
      </c>
      <c r="CD771" s="14" t="n">
        <v>7.95</v>
      </c>
      <c r="CE771" s="14" t="n">
        <v>0</v>
      </c>
      <c r="CF771" s="14" t="n">
        <v>86.38500000000001</v>
      </c>
      <c r="CG771" s="14" t="n">
        <v>0</v>
      </c>
      <c r="CH771" s="14" t="n">
        <v>1</v>
      </c>
      <c r="CI771" s="14" t="n">
        <v>0</v>
      </c>
      <c r="CJ771" s="14" t="n">
        <v>0</v>
      </c>
      <c r="CK771" s="14" t="n">
        <v>0</v>
      </c>
      <c r="CL771" s="14" t="n">
        <v>0</v>
      </c>
      <c r="CM771" s="14" t="n">
        <v>0</v>
      </c>
      <c r="CN771" s="14" t="n">
        <v>0</v>
      </c>
      <c r="CO771" s="14" t="n">
        <v>0</v>
      </c>
      <c r="CP771" s="14" t="n">
        <v>0</v>
      </c>
      <c r="CQ771" s="14" t="n">
        <v>1.387</v>
      </c>
      <c r="CR771" s="14" t="n">
        <v>1</v>
      </c>
      <c r="CS771" s="14" t="n">
        <v>5.529</v>
      </c>
      <c r="CT771" s="14" t="n">
        <v>4.251</v>
      </c>
      <c r="CU771" s="14" t="n">
        <v>9.167999999999999</v>
      </c>
    </row>
    <row r="772">
      <c r="A772" s="14" t="inlineStr">
        <is>
          <t>STP2021</t>
        </is>
      </c>
      <c r="B772" s="14" t="inlineStr">
        <is>
          <t>STP</t>
        </is>
      </c>
      <c r="C772" s="14" t="inlineStr">
        <is>
          <t>STP</t>
        </is>
      </c>
      <c r="D772" s="14" t="inlineStr">
        <is>
          <t>São Tomé and Príncipe</t>
        </is>
      </c>
      <c r="E772" s="14" t="n">
        <v>2021</v>
      </c>
      <c r="F772" s="14" t="n">
        <v>0</v>
      </c>
      <c r="G772" s="14" t="n">
        <v>5.897</v>
      </c>
      <c r="H772" s="14" t="n">
        <v>1.143</v>
      </c>
      <c r="I772" s="14" t="n">
        <v>0</v>
      </c>
      <c r="J772" s="14" t="n">
        <v>5.897</v>
      </c>
      <c r="K772" s="14" t="n">
        <v>0</v>
      </c>
      <c r="L772" s="14" t="n">
        <v>1</v>
      </c>
      <c r="M772" s="14" t="n">
        <v>7.964</v>
      </c>
      <c r="N772" s="14" t="n">
        <v>3.43</v>
      </c>
      <c r="O772" s="14" t="n">
        <v>0</v>
      </c>
      <c r="P772" s="14" t="n">
        <v>7.964</v>
      </c>
      <c r="Q772" s="14" t="n">
        <v>0</v>
      </c>
      <c r="R772" s="14" t="n">
        <v>1</v>
      </c>
      <c r="S772" s="14" t="n">
        <v>11.613</v>
      </c>
      <c r="T772" s="14" t="n">
        <v>6.86</v>
      </c>
      <c r="U772" s="14" t="n">
        <v>0</v>
      </c>
      <c r="V772" s="14" t="n">
        <v>11.613</v>
      </c>
      <c r="W772" s="14" t="n">
        <v>0</v>
      </c>
      <c r="X772" s="14" t="n">
        <v>1</v>
      </c>
      <c r="Y772" s="14" t="n">
        <v>15.393</v>
      </c>
      <c r="Z772" s="14" t="n">
        <v>2.08</v>
      </c>
      <c r="AA772" s="14" t="n">
        <v>0</v>
      </c>
      <c r="AB772" s="14" t="n">
        <v>15.393</v>
      </c>
      <c r="AC772" s="14" t="n">
        <v>0</v>
      </c>
      <c r="AD772" s="14" t="n">
        <v>1</v>
      </c>
      <c r="AE772" s="14" t="n">
        <v>16.536</v>
      </c>
      <c r="AF772" s="14" t="n">
        <v>3.867</v>
      </c>
      <c r="AG772" s="14" t="n">
        <v>0</v>
      </c>
      <c r="AH772" s="14" t="n">
        <v>16.536</v>
      </c>
      <c r="AI772" s="14" t="n">
        <v>0</v>
      </c>
      <c r="AJ772" s="14" t="n">
        <v>1</v>
      </c>
      <c r="AK772" s="14" t="n">
        <v>23.396</v>
      </c>
      <c r="AL772" s="14" t="n">
        <v>12.461</v>
      </c>
      <c r="AM772" s="14" t="n">
        <v>0</v>
      </c>
      <c r="AN772" s="14" t="n">
        <v>23.396</v>
      </c>
      <c r="AO772" s="14" t="n">
        <v>0</v>
      </c>
      <c r="AP772" s="14" t="n">
        <v>1</v>
      </c>
      <c r="AQ772" s="14" t="n">
        <v>0.619</v>
      </c>
      <c r="AR772" s="14" t="n">
        <v>0.114</v>
      </c>
      <c r="AS772" s="14" t="n">
        <v>0.8149999999999999</v>
      </c>
      <c r="AT772" s="14" t="n">
        <v>1.434</v>
      </c>
      <c r="AU772" s="14" t="n">
        <v>0</v>
      </c>
      <c r="AV772" s="14" t="n">
        <v>1</v>
      </c>
      <c r="AW772" s="14" t="n">
        <v>0.599</v>
      </c>
      <c r="AX772" s="14" t="n">
        <v>0.114</v>
      </c>
      <c r="AY772" s="14" t="n">
        <v>0.539</v>
      </c>
      <c r="AZ772" s="14" t="n">
        <v>1.138</v>
      </c>
      <c r="BA772" s="14" t="n">
        <v>0</v>
      </c>
      <c r="BB772" s="14" t="n">
        <v>1</v>
      </c>
      <c r="BC772" s="14" t="n">
        <v>0.439</v>
      </c>
      <c r="BD772" s="14" t="n">
        <v>0.114</v>
      </c>
      <c r="BE772" s="14" t="n">
        <v>0</v>
      </c>
      <c r="BF772" s="14" t="n">
        <v>0.439</v>
      </c>
      <c r="BG772" s="14" t="n">
        <v>0</v>
      </c>
      <c r="BH772" s="14" t="n">
        <v>1</v>
      </c>
      <c r="BI772" s="14" t="n">
        <v>0.505</v>
      </c>
      <c r="BJ772" s="14" t="n">
        <v>0.114</v>
      </c>
      <c r="BK772" s="14" t="n">
        <v>0.238</v>
      </c>
      <c r="BL772" s="14" t="n">
        <v>0.743</v>
      </c>
      <c r="BM772" s="14" t="n">
        <v>0</v>
      </c>
      <c r="BN772" s="14" t="n">
        <v>1</v>
      </c>
      <c r="BO772" s="14" t="n">
        <v>0</v>
      </c>
      <c r="BP772" s="14" t="n">
        <v>0</v>
      </c>
      <c r="BQ772" s="14" t="n">
        <v>0.166</v>
      </c>
      <c r="BR772" s="14" t="n">
        <v>0</v>
      </c>
      <c r="BS772" s="14" t="n">
        <v>0.833</v>
      </c>
      <c r="BT772" s="14" t="n">
        <v>0</v>
      </c>
      <c r="BU772" s="14" t="n">
        <v>0</v>
      </c>
      <c r="BV772" s="14" t="n">
        <v>0.118</v>
      </c>
      <c r="BW772" s="14" t="n">
        <v>0</v>
      </c>
      <c r="BX772" s="14" t="n">
        <v>0.833</v>
      </c>
      <c r="BY772" s="14" t="n">
        <v>11.787</v>
      </c>
      <c r="BZ772" s="14" t="n">
        <v>0</v>
      </c>
      <c r="CA772" s="14" t="n">
        <v>11.787</v>
      </c>
      <c r="CB772" s="14" t="n">
        <v>0</v>
      </c>
      <c r="CC772" s="14" t="n">
        <v>78.125</v>
      </c>
      <c r="CD772" s="14" t="n">
        <v>7.95</v>
      </c>
      <c r="CE772" s="14" t="n">
        <v>0</v>
      </c>
      <c r="CF772" s="14" t="n">
        <v>78.125</v>
      </c>
      <c r="CG772" s="14" t="n">
        <v>0</v>
      </c>
      <c r="CH772" s="14" t="n">
        <v>1</v>
      </c>
      <c r="CI772" s="14" t="n">
        <v>0</v>
      </c>
      <c r="CJ772" s="14" t="n">
        <v>0</v>
      </c>
      <c r="CK772" s="14" t="n">
        <v>0</v>
      </c>
      <c r="CL772" s="14" t="n">
        <v>0</v>
      </c>
      <c r="CM772" s="14" t="n">
        <v>0</v>
      </c>
      <c r="CN772" s="14" t="n">
        <v>0</v>
      </c>
      <c r="CO772" s="14" t="n">
        <v>0</v>
      </c>
      <c r="CP772" s="14" t="n">
        <v>0</v>
      </c>
      <c r="CQ772" s="14" t="n">
        <v>1.198</v>
      </c>
      <c r="CR772" s="14" t="n">
        <v>0</v>
      </c>
      <c r="CS772" s="14" t="n">
        <v>4.776</v>
      </c>
      <c r="CT772" s="14" t="n">
        <v>4.753</v>
      </c>
      <c r="CU772" s="14" t="n">
        <v>15.162</v>
      </c>
    </row>
    <row r="773">
      <c r="A773" s="14" t="inlineStr">
        <is>
          <t>STP2022</t>
        </is>
      </c>
      <c r="B773" s="14" t="inlineStr">
        <is>
          <t>STP</t>
        </is>
      </c>
      <c r="C773" s="14" t="inlineStr">
        <is>
          <t>STP</t>
        </is>
      </c>
      <c r="D773" s="14" t="inlineStr">
        <is>
          <t>São Tomé and Príncipe</t>
        </is>
      </c>
      <c r="E773" s="14" t="n">
        <v>2022</v>
      </c>
      <c r="F773" s="14" t="n">
        <v>0</v>
      </c>
      <c r="G773" s="14" t="n">
        <v>11.72</v>
      </c>
      <c r="H773" s="14" t="n">
        <v>1.235</v>
      </c>
      <c r="I773" s="14" t="n">
        <v>0</v>
      </c>
      <c r="J773" s="14" t="n">
        <v>11.72</v>
      </c>
      <c r="K773" s="14" t="n">
        <v>0</v>
      </c>
      <c r="L773" s="14" t="n">
        <v>1</v>
      </c>
      <c r="M773" s="14" t="n">
        <v>9.782999999999999</v>
      </c>
      <c r="N773" s="14" t="n">
        <v>3.704</v>
      </c>
      <c r="O773" s="14" t="n">
        <v>0</v>
      </c>
      <c r="P773" s="14" t="n">
        <v>9.782999999999999</v>
      </c>
      <c r="Q773" s="14" t="n">
        <v>0</v>
      </c>
      <c r="R773" s="14" t="n">
        <v>1</v>
      </c>
      <c r="S773" s="14" t="n">
        <v>17.893</v>
      </c>
      <c r="T773" s="14" t="n">
        <v>7.408</v>
      </c>
      <c r="U773" s="14" t="n">
        <v>0</v>
      </c>
      <c r="V773" s="14" t="n">
        <v>17.893</v>
      </c>
      <c r="W773" s="14" t="n">
        <v>0</v>
      </c>
      <c r="X773" s="14" t="n">
        <v>1</v>
      </c>
      <c r="Y773" s="14" t="n">
        <v>29.904</v>
      </c>
      <c r="Z773" s="14" t="n">
        <v>4.042</v>
      </c>
      <c r="AA773" s="14" t="n">
        <v>0</v>
      </c>
      <c r="AB773" s="14" t="n">
        <v>29.904</v>
      </c>
      <c r="AC773" s="14" t="n">
        <v>0</v>
      </c>
      <c r="AD773" s="14" t="n">
        <v>1</v>
      </c>
      <c r="AE773" s="14" t="n">
        <v>31.139</v>
      </c>
      <c r="AF773" s="14" t="n">
        <v>7.281</v>
      </c>
      <c r="AG773" s="14" t="n">
        <v>0</v>
      </c>
      <c r="AH773" s="14" t="n">
        <v>31.139</v>
      </c>
      <c r="AI773" s="14" t="n">
        <v>0</v>
      </c>
      <c r="AJ773" s="14" t="n">
        <v>1</v>
      </c>
      <c r="AK773" s="14" t="n">
        <v>38.547</v>
      </c>
      <c r="AL773" s="14" t="n">
        <v>20.53</v>
      </c>
      <c r="AM773" s="14" t="n">
        <v>0</v>
      </c>
      <c r="AN773" s="14" t="n">
        <v>38.547</v>
      </c>
      <c r="AO773" s="14" t="n">
        <v>0</v>
      </c>
      <c r="AP773" s="14" t="n">
        <v>1</v>
      </c>
      <c r="AQ773" s="14" t="n">
        <v>0.861</v>
      </c>
      <c r="AR773" s="14" t="n">
        <v>0.123</v>
      </c>
      <c r="AS773" s="14" t="n">
        <v>0.88</v>
      </c>
      <c r="AT773" s="14" t="n">
        <v>1.741</v>
      </c>
      <c r="AU773" s="14" t="n">
        <v>0</v>
      </c>
      <c r="AV773" s="14" t="n">
        <v>1</v>
      </c>
      <c r="AW773" s="14" t="n">
        <v>0.986</v>
      </c>
      <c r="AX773" s="14" t="n">
        <v>0.123</v>
      </c>
      <c r="AY773" s="14" t="n">
        <v>0.488</v>
      </c>
      <c r="AZ773" s="14" t="n">
        <v>1.475</v>
      </c>
      <c r="BA773" s="14" t="n">
        <v>0</v>
      </c>
      <c r="BB773" s="14" t="n">
        <v>1</v>
      </c>
      <c r="BC773" s="14" t="n">
        <v>0.598</v>
      </c>
      <c r="BD773" s="14" t="n">
        <v>0.123</v>
      </c>
      <c r="BE773" s="14" t="n">
        <v>0</v>
      </c>
      <c r="BF773" s="14" t="n">
        <v>0.598</v>
      </c>
      <c r="BG773" s="14" t="n">
        <v>0</v>
      </c>
      <c r="BH773" s="14" t="n">
        <v>1</v>
      </c>
      <c r="BI773" s="14" t="n">
        <v>0.612</v>
      </c>
      <c r="BJ773" s="14" t="n">
        <v>0.123</v>
      </c>
      <c r="BK773" s="14" t="n">
        <v>0.23</v>
      </c>
      <c r="BL773" s="14" t="n">
        <v>0.843</v>
      </c>
      <c r="BM773" s="14" t="n">
        <v>0</v>
      </c>
      <c r="BN773" s="14" t="n">
        <v>1</v>
      </c>
      <c r="BO773" s="14" t="n">
        <v>0</v>
      </c>
      <c r="BP773" s="14" t="n">
        <v>0</v>
      </c>
      <c r="BQ773" s="14" t="n">
        <v>0.147</v>
      </c>
      <c r="BR773" s="14" t="n">
        <v>0</v>
      </c>
      <c r="BS773" s="14" t="n">
        <v>0.833</v>
      </c>
      <c r="BT773" s="14" t="n">
        <v>0</v>
      </c>
      <c r="BU773" s="14" t="n">
        <v>0</v>
      </c>
      <c r="BV773" s="14" t="n">
        <v>0.105</v>
      </c>
      <c r="BW773" s="14" t="n">
        <v>0</v>
      </c>
      <c r="BX773" s="14" t="n">
        <v>0.833</v>
      </c>
      <c r="BY773" s="14" t="n">
        <v>12.729</v>
      </c>
      <c r="BZ773" s="14" t="n">
        <v>0</v>
      </c>
      <c r="CA773" s="14" t="n">
        <v>12.729</v>
      </c>
      <c r="CB773" s="14" t="n">
        <v>0</v>
      </c>
      <c r="CC773" s="14" t="n">
        <v>97.90000000000001</v>
      </c>
      <c r="CD773" s="14" t="n">
        <v>7.95</v>
      </c>
      <c r="CE773" s="14" t="n">
        <v>0</v>
      </c>
      <c r="CF773" s="14" t="n">
        <v>97.90000000000001</v>
      </c>
      <c r="CG773" s="14" t="n">
        <v>0</v>
      </c>
      <c r="CH773" s="14" t="n">
        <v>1</v>
      </c>
      <c r="CI773" s="14" t="n">
        <v>0</v>
      </c>
      <c r="CJ773" s="14" t="n">
        <v>0</v>
      </c>
      <c r="CK773" s="14" t="n">
        <v>0</v>
      </c>
      <c r="CL773" s="14" t="n">
        <v>0</v>
      </c>
      <c r="CM773" s="14" t="n">
        <v>0</v>
      </c>
      <c r="CN773" s="14" t="n">
        <v>0</v>
      </c>
      <c r="CO773" s="14" t="n">
        <v>0</v>
      </c>
      <c r="CP773" s="14" t="n">
        <v>0</v>
      </c>
      <c r="CQ773" s="14" t="n">
        <v>1.294</v>
      </c>
      <c r="CR773" s="14" t="n">
        <v>0</v>
      </c>
      <c r="CS773" s="14" t="n">
        <v>5.158</v>
      </c>
      <c r="CT773" s="14" t="n">
        <v>10.485</v>
      </c>
      <c r="CU773" s="14" t="n">
        <v>31.326</v>
      </c>
    </row>
    <row r="774">
      <c r="A774" s="14" t="inlineStr">
        <is>
          <t>STP2023</t>
        </is>
      </c>
      <c r="B774" s="14" t="inlineStr">
        <is>
          <t>STP</t>
        </is>
      </c>
      <c r="C774" s="14" t="inlineStr">
        <is>
          <t>STP</t>
        </is>
      </c>
      <c r="D774" s="14" t="inlineStr">
        <is>
          <t>São Tomé and Príncipe</t>
        </is>
      </c>
      <c r="E774" s="14" t="n">
        <v>2023</v>
      </c>
      <c r="F774" s="14" t="n">
        <v>0</v>
      </c>
      <c r="G774" s="14" t="n">
        <v>6.147</v>
      </c>
      <c r="H774" s="14" t="n">
        <v>1.286</v>
      </c>
      <c r="I774" s="14" t="n">
        <v>0</v>
      </c>
      <c r="J774" s="14" t="n">
        <v>6.147</v>
      </c>
      <c r="K774" s="14" t="n">
        <v>0</v>
      </c>
      <c r="L774" s="14" t="n">
        <v>1</v>
      </c>
      <c r="M774" s="14" t="n">
        <v>7.886</v>
      </c>
      <c r="N774" s="14" t="n">
        <v>3.857</v>
      </c>
      <c r="O774" s="14" t="n">
        <v>0</v>
      </c>
      <c r="P774" s="14" t="n">
        <v>7.886</v>
      </c>
      <c r="Q774" s="14" t="n">
        <v>0</v>
      </c>
      <c r="R774" s="14" t="n">
        <v>1</v>
      </c>
      <c r="S774" s="14" t="n">
        <v>12.575</v>
      </c>
      <c r="T774" s="14" t="n">
        <v>7.714</v>
      </c>
      <c r="U774" s="14" t="n">
        <v>0</v>
      </c>
      <c r="V774" s="14" t="n">
        <v>12.575</v>
      </c>
      <c r="W774" s="14" t="n">
        <v>0</v>
      </c>
      <c r="X774" s="14" t="n">
        <v>1</v>
      </c>
      <c r="Y774" s="14" t="n">
        <v>12.273</v>
      </c>
      <c r="Z774" s="14" t="n">
        <v>1.659</v>
      </c>
      <c r="AA774" s="14" t="n">
        <v>0</v>
      </c>
      <c r="AB774" s="14" t="n">
        <v>12.273</v>
      </c>
      <c r="AC774" s="14" t="n">
        <v>0</v>
      </c>
      <c r="AD774" s="14" t="n">
        <v>1</v>
      </c>
      <c r="AE774" s="14" t="n">
        <v>13.559</v>
      </c>
      <c r="AF774" s="14" t="n">
        <v>3.171</v>
      </c>
      <c r="AG774" s="14" t="n">
        <v>0</v>
      </c>
      <c r="AH774" s="14" t="n">
        <v>13.559</v>
      </c>
      <c r="AI774" s="14" t="n">
        <v>0</v>
      </c>
      <c r="AJ774" s="14" t="n">
        <v>1</v>
      </c>
      <c r="AK774" s="14" t="n">
        <v>21.273</v>
      </c>
      <c r="AL774" s="14" t="n">
        <v>11.33</v>
      </c>
      <c r="AM774" s="14" t="n">
        <v>0</v>
      </c>
      <c r="AN774" s="14" t="n">
        <v>21.273</v>
      </c>
      <c r="AO774" s="14" t="n">
        <v>0</v>
      </c>
      <c r="AP774" s="14" t="n">
        <v>1</v>
      </c>
      <c r="AQ774" s="14" t="n">
        <v>0.76</v>
      </c>
      <c r="AR774" s="14" t="n">
        <v>0.129</v>
      </c>
      <c r="AS774" s="14" t="n">
        <v>0.916</v>
      </c>
      <c r="AT774" s="14" t="n">
        <v>1.676</v>
      </c>
      <c r="AU774" s="14" t="n">
        <v>0</v>
      </c>
      <c r="AV774" s="14" t="n">
        <v>1</v>
      </c>
      <c r="AW774" s="14" t="n">
        <v>0.8110000000000001</v>
      </c>
      <c r="AX774" s="14" t="n">
        <v>0.129</v>
      </c>
      <c r="AY774" s="14" t="n">
        <v>0.5679999999999999</v>
      </c>
      <c r="AZ774" s="14" t="n">
        <v>1.38</v>
      </c>
      <c r="BA774" s="14" t="n">
        <v>0</v>
      </c>
      <c r="BB774" s="14" t="n">
        <v>1</v>
      </c>
      <c r="BC774" s="14" t="n">
        <v>0.535</v>
      </c>
      <c r="BD774" s="14" t="n">
        <v>0.129</v>
      </c>
      <c r="BE774" s="14" t="n">
        <v>0</v>
      </c>
      <c r="BF774" s="14" t="n">
        <v>0.535</v>
      </c>
      <c r="BG774" s="14" t="n">
        <v>0</v>
      </c>
      <c r="BH774" s="14" t="n">
        <v>1</v>
      </c>
      <c r="BI774" s="14" t="n">
        <v>0.579</v>
      </c>
      <c r="BJ774" s="14" t="n">
        <v>0.129</v>
      </c>
      <c r="BK774" s="14" t="n">
        <v>0.263</v>
      </c>
      <c r="BL774" s="14" t="n">
        <v>0.842</v>
      </c>
      <c r="BM774" s="14" t="n">
        <v>0</v>
      </c>
      <c r="BN774" s="14" t="n">
        <v>1</v>
      </c>
      <c r="BO774" s="14" t="n">
        <v>0</v>
      </c>
      <c r="BP774" s="14" t="n">
        <v>0</v>
      </c>
      <c r="BQ774" s="14" t="n">
        <v>0.151</v>
      </c>
      <c r="BR774" s="14" t="n">
        <v>0</v>
      </c>
      <c r="BS774" s="14" t="n">
        <v>0.833</v>
      </c>
      <c r="BT774" s="14" t="n">
        <v>0</v>
      </c>
      <c r="BU774" s="14" t="n">
        <v>0</v>
      </c>
      <c r="BV774" s="14" t="n">
        <v>0.108</v>
      </c>
      <c r="BW774" s="14" t="n">
        <v>0</v>
      </c>
      <c r="BX774" s="14" t="n">
        <v>0.833</v>
      </c>
      <c r="BY774" s="14" t="n">
        <v>13.254</v>
      </c>
      <c r="BZ774" s="14" t="n">
        <v>0</v>
      </c>
      <c r="CA774" s="14" t="n">
        <v>13.254</v>
      </c>
      <c r="CB774" s="14" t="n">
        <v>0</v>
      </c>
      <c r="CC774" s="14" t="n">
        <v>83.248</v>
      </c>
      <c r="CD774" s="14" t="n">
        <v>7.95</v>
      </c>
      <c r="CE774" s="14" t="n">
        <v>0</v>
      </c>
      <c r="CF774" s="14" t="n">
        <v>83.248</v>
      </c>
      <c r="CG774" s="14" t="n">
        <v>0</v>
      </c>
      <c r="CH774" s="14" t="n">
        <v>1</v>
      </c>
      <c r="CI774" s="14" t="n">
        <v>0</v>
      </c>
      <c r="CJ774" s="14" t="n">
        <v>0</v>
      </c>
      <c r="CK774" s="14" t="n">
        <v>0</v>
      </c>
      <c r="CL774" s="14" t="n">
        <v>0</v>
      </c>
      <c r="CM774" s="14" t="n">
        <v>0</v>
      </c>
      <c r="CN774" s="14" t="n">
        <v>0</v>
      </c>
      <c r="CO774" s="14" t="n">
        <v>0</v>
      </c>
      <c r="CP774" s="14" t="n">
        <v>0</v>
      </c>
      <c r="CQ774" s="14" t="n">
        <v>1.348</v>
      </c>
      <c r="CR774" s="14" t="n">
        <v>0</v>
      </c>
      <c r="CS774" s="14" t="n">
        <v>5.37</v>
      </c>
      <c r="CT774" s="14" t="n">
        <v>4.861</v>
      </c>
      <c r="CU774" s="14" t="n">
        <v>11.622</v>
      </c>
    </row>
    <row r="775">
      <c r="A775" s="14" t="inlineStr">
        <is>
          <t>STP2024</t>
        </is>
      </c>
      <c r="B775" s="14" t="inlineStr">
        <is>
          <t>STP</t>
        </is>
      </c>
      <c r="C775" s="14" t="inlineStr">
        <is>
          <t>STP</t>
        </is>
      </c>
      <c r="D775" s="14" t="inlineStr">
        <is>
          <t>São Tomé and Príncipe</t>
        </is>
      </c>
      <c r="E775" s="14" t="n">
        <v>2024</v>
      </c>
      <c r="F775" s="14" t="n">
        <v>0</v>
      </c>
      <c r="G775" s="14" t="n">
        <v>5.575</v>
      </c>
      <c r="H775" s="14" t="n">
        <v>1.324</v>
      </c>
      <c r="I775" s="14" t="n">
        <v>0</v>
      </c>
      <c r="J775" s="14" t="n">
        <v>5.575</v>
      </c>
      <c r="K775" s="14" t="n">
        <v>0</v>
      </c>
      <c r="L775" s="14" t="n">
        <v>1</v>
      </c>
      <c r="M775" s="14" t="n">
        <v>7.124</v>
      </c>
      <c r="N775" s="14" t="n">
        <v>3.971</v>
      </c>
      <c r="O775" s="14" t="n">
        <v>0</v>
      </c>
      <c r="P775" s="14" t="n">
        <v>7.124</v>
      </c>
      <c r="Q775" s="14" t="n">
        <v>0</v>
      </c>
      <c r="R775" s="14" t="n">
        <v>1</v>
      </c>
      <c r="S775" s="14" t="n">
        <v>12.193</v>
      </c>
      <c r="T775" s="14" t="n">
        <v>7.942</v>
      </c>
      <c r="U775" s="14" t="n">
        <v>0</v>
      </c>
      <c r="V775" s="14" t="n">
        <v>12.193</v>
      </c>
      <c r="W775" s="14" t="n">
        <v>0</v>
      </c>
      <c r="X775" s="14" t="n">
        <v>1</v>
      </c>
      <c r="Y775" s="14" t="n">
        <v>11.021</v>
      </c>
      <c r="Z775" s="14" t="n">
        <v>1.49</v>
      </c>
      <c r="AA775" s="14" t="n">
        <v>0</v>
      </c>
      <c r="AB775" s="14" t="n">
        <v>11.021</v>
      </c>
      <c r="AC775" s="14" t="n">
        <v>0</v>
      </c>
      <c r="AD775" s="14" t="n">
        <v>1</v>
      </c>
      <c r="AE775" s="14" t="n">
        <v>12.345</v>
      </c>
      <c r="AF775" s="14" t="n">
        <v>2.887</v>
      </c>
      <c r="AG775" s="14" t="n">
        <v>0</v>
      </c>
      <c r="AH775" s="14" t="n">
        <v>12.345</v>
      </c>
      <c r="AI775" s="14" t="n">
        <v>0</v>
      </c>
      <c r="AJ775" s="14" t="n">
        <v>1</v>
      </c>
      <c r="AK775" s="14" t="n">
        <v>20.286</v>
      </c>
      <c r="AL775" s="14" t="n">
        <v>10.804</v>
      </c>
      <c r="AM775" s="14" t="n">
        <v>0</v>
      </c>
      <c r="AN775" s="14" t="n">
        <v>20.286</v>
      </c>
      <c r="AO775" s="14" t="n">
        <v>0</v>
      </c>
      <c r="AP775" s="14" t="n">
        <v>1</v>
      </c>
      <c r="AQ775" s="14" t="n">
        <v>0.724</v>
      </c>
      <c r="AR775" s="14" t="n">
        <v>0.132</v>
      </c>
      <c r="AS775" s="14" t="n">
        <v>0.9429999999999999</v>
      </c>
      <c r="AT775" s="14" t="n">
        <v>1.667</v>
      </c>
      <c r="AU775" s="14" t="n">
        <v>0</v>
      </c>
      <c r="AV775" s="14" t="n">
        <v>1</v>
      </c>
      <c r="AW775" s="14" t="n">
        <v>0.75</v>
      </c>
      <c r="AX775" s="14" t="n">
        <v>0.132</v>
      </c>
      <c r="AY775" s="14" t="n">
        <v>0.608</v>
      </c>
      <c r="AZ775" s="14" t="n">
        <v>1.359</v>
      </c>
      <c r="BA775" s="14" t="n">
        <v>0</v>
      </c>
      <c r="BB775" s="14" t="n">
        <v>1</v>
      </c>
      <c r="BC775" s="14" t="n">
        <v>0.513</v>
      </c>
      <c r="BD775" s="14" t="n">
        <v>0.132</v>
      </c>
      <c r="BE775" s="14" t="n">
        <v>0</v>
      </c>
      <c r="BF775" s="14" t="n">
        <v>0.513</v>
      </c>
      <c r="BG775" s="14" t="n">
        <v>0</v>
      </c>
      <c r="BH775" s="14" t="n">
        <v>1</v>
      </c>
      <c r="BI775" s="14" t="n">
        <v>0.591</v>
      </c>
      <c r="BJ775" s="14" t="n">
        <v>0.132</v>
      </c>
      <c r="BK775" s="14" t="n">
        <v>0.273</v>
      </c>
      <c r="BL775" s="14" t="n">
        <v>0.864</v>
      </c>
      <c r="BM775" s="14" t="n">
        <v>0</v>
      </c>
      <c r="BN775" s="14" t="n">
        <v>1</v>
      </c>
      <c r="BO775" s="14" t="n">
        <v>0</v>
      </c>
      <c r="BP775" s="14" t="n">
        <v>0</v>
      </c>
      <c r="BQ775" s="14" t="n">
        <v>0.151</v>
      </c>
      <c r="BR775" s="14" t="n">
        <v>0</v>
      </c>
      <c r="BS775" s="14" t="n">
        <v>0.833</v>
      </c>
      <c r="BT775" s="14" t="n">
        <v>0</v>
      </c>
      <c r="BU775" s="14" t="n">
        <v>0</v>
      </c>
      <c r="BV775" s="14" t="n">
        <v>0.108</v>
      </c>
      <c r="BW775" s="14" t="n">
        <v>0</v>
      </c>
      <c r="BX775" s="14" t="n">
        <v>0.833</v>
      </c>
      <c r="BY775" s="14" t="n">
        <v>13.646</v>
      </c>
      <c r="BZ775" s="14" t="n">
        <v>0</v>
      </c>
      <c r="CA775" s="14" t="n">
        <v>13.646</v>
      </c>
      <c r="CB775" s="14" t="n">
        <v>0</v>
      </c>
      <c r="CC775" s="14" t="n">
        <v>82.58799999999999</v>
      </c>
      <c r="CD775" s="14" t="n">
        <v>7.95</v>
      </c>
      <c r="CE775" s="14" t="n">
        <v>0</v>
      </c>
      <c r="CF775" s="14" t="n">
        <v>82.58799999999999</v>
      </c>
      <c r="CG775" s="14" t="n">
        <v>0</v>
      </c>
      <c r="CH775" s="14" t="n">
        <v>1</v>
      </c>
      <c r="CI775" s="14" t="n">
        <v>0</v>
      </c>
      <c r="CJ775" s="14" t="n">
        <v>0</v>
      </c>
      <c r="CK775" s="14" t="n">
        <v>0</v>
      </c>
      <c r="CL775" s="14" t="n">
        <v>0</v>
      </c>
      <c r="CM775" s="14" t="n">
        <v>0</v>
      </c>
      <c r="CN775" s="14" t="n">
        <v>0</v>
      </c>
      <c r="CO775" s="14" t="n">
        <v>0</v>
      </c>
      <c r="CP775" s="14" t="n">
        <v>0</v>
      </c>
      <c r="CQ775" s="14" t="n">
        <v>1.387</v>
      </c>
      <c r="CR775" s="14" t="n">
        <v>0</v>
      </c>
      <c r="CS775" s="14" t="n">
        <v>5.529</v>
      </c>
      <c r="CT775" s="14" t="n">
        <v>4.251</v>
      </c>
      <c r="CU775" s="14" t="n">
        <v>10.168</v>
      </c>
    </row>
    <row r="776">
      <c r="A776" s="14" t="inlineStr">
        <is>
          <t>TWN2021</t>
        </is>
      </c>
      <c r="B776" s="14" t="inlineStr">
        <is>
          <t>TWN</t>
        </is>
      </c>
      <c r="C776" s="14" t="inlineStr">
        <is>
          <t>TWN</t>
        </is>
      </c>
      <c r="D776" s="14" t="inlineStr">
        <is>
          <t>Taiwan Province of China</t>
        </is>
      </c>
      <c r="E776" s="14" t="n">
        <v>2021</v>
      </c>
      <c r="F776" s="14" t="n">
        <v>0.05</v>
      </c>
      <c r="G776" s="14" t="n">
        <v>5.74</v>
      </c>
      <c r="H776" s="14" t="n">
        <v>1.143</v>
      </c>
      <c r="I776" s="14" t="n">
        <v>-0.287</v>
      </c>
      <c r="J776" s="14" t="n">
        <v>5.453</v>
      </c>
      <c r="K776" s="14" t="n">
        <v>0</v>
      </c>
      <c r="L776" s="14" t="n">
        <v>1</v>
      </c>
      <c r="M776" s="14" t="n">
        <v>9.509</v>
      </c>
      <c r="N776" s="14" t="n">
        <v>3.43</v>
      </c>
      <c r="O776" s="14" t="n">
        <v>-0.257</v>
      </c>
      <c r="P776" s="14" t="n">
        <v>9.252000000000001</v>
      </c>
      <c r="Q776" s="14" t="n">
        <v>0</v>
      </c>
      <c r="R776" s="14" t="n">
        <v>1</v>
      </c>
      <c r="S776" s="14" t="n">
        <v>11.456</v>
      </c>
      <c r="T776" s="14" t="n">
        <v>6.86</v>
      </c>
      <c r="U776" s="14" t="n">
        <v>-0.287</v>
      </c>
      <c r="V776" s="14" t="n">
        <v>11.728</v>
      </c>
      <c r="W776" s="14" t="n">
        <v>0.05</v>
      </c>
      <c r="X776" s="14" t="n">
        <v>1</v>
      </c>
      <c r="Y776" s="14" t="n">
        <v>13.238</v>
      </c>
      <c r="Z776" s="14" t="n">
        <v>1.462</v>
      </c>
      <c r="AA776" s="14" t="n">
        <v>-5.041</v>
      </c>
      <c r="AB776" s="14" t="n">
        <v>8.196999999999999</v>
      </c>
      <c r="AC776" s="14" t="n">
        <v>0</v>
      </c>
      <c r="AD776" s="14" t="n">
        <v>1</v>
      </c>
      <c r="AE776" s="14" t="n">
        <v>10</v>
      </c>
      <c r="AF776" s="14" t="n">
        <v>1.968</v>
      </c>
      <c r="AG776" s="14" t="n">
        <v>-2.298</v>
      </c>
      <c r="AH776" s="14" t="n">
        <v>7.702</v>
      </c>
      <c r="AI776" s="14" t="n">
        <v>0</v>
      </c>
      <c r="AJ776" s="14" t="n">
        <v>1</v>
      </c>
      <c r="AK776" s="14" t="n">
        <v>14.207</v>
      </c>
      <c r="AL776" s="14" t="n">
        <v>6.973</v>
      </c>
      <c r="AM776" s="14" t="n">
        <v>-5.862</v>
      </c>
      <c r="AN776" s="14" t="n">
        <v>8.762</v>
      </c>
      <c r="AO776" s="14" t="n">
        <v>0</v>
      </c>
      <c r="AP776" s="14" t="n">
        <v>0</v>
      </c>
      <c r="AQ776" s="14" t="n">
        <v>0.621</v>
      </c>
      <c r="AR776" s="14" t="n">
        <v>0.114</v>
      </c>
      <c r="AS776" s="14" t="n">
        <v>0.361</v>
      </c>
      <c r="AT776" s="14" t="n">
        <v>1.03</v>
      </c>
      <c r="AU776" s="14" t="n">
        <v>0.05</v>
      </c>
      <c r="AV776" s="14" t="n">
        <v>1</v>
      </c>
      <c r="AW776" s="14" t="n">
        <v>0.593</v>
      </c>
      <c r="AX776" s="14" t="n">
        <v>0.114</v>
      </c>
      <c r="AY776" s="14" t="n">
        <v>0.249</v>
      </c>
      <c r="AZ776" s="14" t="n">
        <v>0.885</v>
      </c>
      <c r="BA776" s="14" t="n">
        <v>0.05</v>
      </c>
      <c r="BB776" s="14" t="n">
        <v>1</v>
      </c>
      <c r="BC776" s="14" t="n">
        <v>0.44</v>
      </c>
      <c r="BD776" s="14" t="n">
        <v>0.114</v>
      </c>
      <c r="BE776" s="14" t="n">
        <v>0.056</v>
      </c>
      <c r="BF776" s="14" t="n">
        <v>0.521</v>
      </c>
      <c r="BG776" s="14" t="n">
        <v>0.05</v>
      </c>
      <c r="BH776" s="14" t="n">
        <v>0</v>
      </c>
      <c r="BI776" s="14" t="n">
        <v>0.5600000000000001</v>
      </c>
      <c r="BJ776" s="14" t="n">
        <v>0.114</v>
      </c>
      <c r="BK776" s="14" t="n">
        <v>0.5679999999999999</v>
      </c>
      <c r="BL776" s="14" t="n">
        <v>1.184</v>
      </c>
      <c r="BM776" s="14" t="n">
        <v>0.05</v>
      </c>
      <c r="BN776" s="14" t="n">
        <v>1</v>
      </c>
      <c r="BO776" s="14" t="n">
        <v>0</v>
      </c>
      <c r="BP776" s="14" t="n">
        <v>-0.006</v>
      </c>
      <c r="BQ776" s="14" t="n">
        <v>0.091</v>
      </c>
      <c r="BR776" s="14" t="n">
        <v>0</v>
      </c>
      <c r="BS776" s="14" t="n">
        <v>0.667</v>
      </c>
      <c r="BT776" s="14" t="n">
        <v>0</v>
      </c>
      <c r="BU776" s="14" t="n">
        <v>-0.006</v>
      </c>
      <c r="BV776" s="14" t="n">
        <v>0.09</v>
      </c>
      <c r="BW776" s="14" t="n">
        <v>0.05</v>
      </c>
      <c r="BX776" s="14" t="n">
        <v>0.833</v>
      </c>
      <c r="BY776" s="14" t="n">
        <v>11.787</v>
      </c>
      <c r="BZ776" s="14" t="n">
        <v>0</v>
      </c>
      <c r="CA776" s="14" t="n">
        <v>11.787</v>
      </c>
      <c r="CB776" s="14" t="n">
        <v>0</v>
      </c>
      <c r="CC776" s="14" t="n">
        <v>81.69499999999999</v>
      </c>
      <c r="CD776" s="14" t="n">
        <v>7.95</v>
      </c>
      <c r="CE776" s="14" t="n">
        <v>-3.178</v>
      </c>
      <c r="CF776" s="14" t="n">
        <v>82.444</v>
      </c>
      <c r="CG776" s="14" t="n">
        <v>0.05</v>
      </c>
      <c r="CH776" s="14" t="n">
        <v>1</v>
      </c>
      <c r="CI776" s="14" t="n">
        <v>0</v>
      </c>
      <c r="CJ776" s="14" t="n">
        <v>0</v>
      </c>
      <c r="CK776" s="14" t="n">
        <v>0</v>
      </c>
      <c r="CL776" s="14" t="n">
        <v>0</v>
      </c>
      <c r="CM776" s="14" t="n">
        <v>0</v>
      </c>
      <c r="CN776" s="14" t="n">
        <v>0</v>
      </c>
      <c r="CO776" s="14" t="n">
        <v>0</v>
      </c>
      <c r="CP776" s="14" t="n">
        <v>0</v>
      </c>
      <c r="CQ776" s="14" t="n">
        <v>1.198</v>
      </c>
      <c r="CR776" s="14" t="n">
        <v>0</v>
      </c>
      <c r="CS776" s="14" t="n">
        <v>6.576</v>
      </c>
      <c r="CT776" s="14" t="n">
        <v>4.597</v>
      </c>
      <c r="CU776" s="14" t="n">
        <v>12.71</v>
      </c>
    </row>
    <row r="777">
      <c r="A777" s="14" t="inlineStr">
        <is>
          <t>TWN2022</t>
        </is>
      </c>
      <c r="B777" s="14" t="inlineStr">
        <is>
          <t>TWN</t>
        </is>
      </c>
      <c r="C777" s="14" t="inlineStr">
        <is>
          <t>TWN</t>
        </is>
      </c>
      <c r="D777" s="14" t="inlineStr">
        <is>
          <t>Taiwan Province of China</t>
        </is>
      </c>
      <c r="E777" s="14" t="n">
        <v>2022</v>
      </c>
      <c r="F777" s="14" t="n">
        <v>0.05</v>
      </c>
      <c r="G777" s="14" t="n">
        <v>11.661</v>
      </c>
      <c r="H777" s="14" t="n">
        <v>1.235</v>
      </c>
      <c r="I777" s="14" t="n">
        <v>-1.919</v>
      </c>
      <c r="J777" s="14" t="n">
        <v>9.742000000000001</v>
      </c>
      <c r="K777" s="14" t="n">
        <v>0</v>
      </c>
      <c r="L777" s="14" t="n">
        <v>1</v>
      </c>
      <c r="M777" s="14" t="n">
        <v>13.326</v>
      </c>
      <c r="N777" s="14" t="n">
        <v>3.704</v>
      </c>
      <c r="O777" s="14" t="n">
        <v>-1.867</v>
      </c>
      <c r="P777" s="14" t="n">
        <v>11.459</v>
      </c>
      <c r="Q777" s="14" t="n">
        <v>0</v>
      </c>
      <c r="R777" s="14" t="n">
        <v>1</v>
      </c>
      <c r="S777" s="14" t="n">
        <v>17.834</v>
      </c>
      <c r="T777" s="14" t="n">
        <v>7.408</v>
      </c>
      <c r="U777" s="14" t="n">
        <v>-1.86</v>
      </c>
      <c r="V777" s="14" t="n">
        <v>16.711</v>
      </c>
      <c r="W777" s="14" t="n">
        <v>0.05</v>
      </c>
      <c r="X777" s="14" t="n">
        <v>1</v>
      </c>
      <c r="Y777" s="14" t="n">
        <v>22.485</v>
      </c>
      <c r="Z777" s="14" t="n">
        <v>2.359</v>
      </c>
      <c r="AA777" s="14" t="n">
        <v>-7.48</v>
      </c>
      <c r="AB777" s="14" t="n">
        <v>15.005</v>
      </c>
      <c r="AC777" s="14" t="n">
        <v>0</v>
      </c>
      <c r="AD777" s="14" t="n">
        <v>1</v>
      </c>
      <c r="AE777" s="14" t="n">
        <v>19.339</v>
      </c>
      <c r="AF777" s="14" t="n">
        <v>3.585</v>
      </c>
      <c r="AG777" s="14" t="n">
        <v>-11.958</v>
      </c>
      <c r="AH777" s="14" t="n">
        <v>7.381</v>
      </c>
      <c r="AI777" s="14" t="n">
        <v>0</v>
      </c>
      <c r="AJ777" s="14" t="n">
        <v>1</v>
      </c>
      <c r="AK777" s="14" t="n">
        <v>24.094</v>
      </c>
      <c r="AL777" s="14" t="n">
        <v>11.506</v>
      </c>
      <c r="AM777" s="14" t="n">
        <v>-16.115</v>
      </c>
      <c r="AN777" s="14" t="n">
        <v>8.378</v>
      </c>
      <c r="AO777" s="14" t="n">
        <v>0</v>
      </c>
      <c r="AP777" s="14" t="n">
        <v>0</v>
      </c>
      <c r="AQ777" s="14" t="n">
        <v>0.847</v>
      </c>
      <c r="AR777" s="14" t="n">
        <v>0.123</v>
      </c>
      <c r="AS777" s="14" t="n">
        <v>0.15</v>
      </c>
      <c r="AT777" s="14" t="n">
        <v>1.047</v>
      </c>
      <c r="AU777" s="14" t="n">
        <v>0.05</v>
      </c>
      <c r="AV777" s="14" t="n">
        <v>1</v>
      </c>
      <c r="AW777" s="14" t="n">
        <v>0.947</v>
      </c>
      <c r="AX777" s="14" t="n">
        <v>0.123</v>
      </c>
      <c r="AY777" s="14" t="n">
        <v>-0.06900000000000001</v>
      </c>
      <c r="AZ777" s="14" t="n">
        <v>0.921</v>
      </c>
      <c r="BA777" s="14" t="n">
        <v>0.05</v>
      </c>
      <c r="BB777" s="14" t="n">
        <v>1</v>
      </c>
      <c r="BC777" s="14" t="n">
        <v>0.589</v>
      </c>
      <c r="BD777" s="14" t="n">
        <v>0.123</v>
      </c>
      <c r="BE777" s="14" t="n">
        <v>-0.122</v>
      </c>
      <c r="BF777" s="14" t="n">
        <v>0.49</v>
      </c>
      <c r="BG777" s="14" t="n">
        <v>0.05</v>
      </c>
      <c r="BH777" s="14" t="n">
        <v>0</v>
      </c>
      <c r="BI777" s="14" t="n">
        <v>0.6889999999999999</v>
      </c>
      <c r="BJ777" s="14" t="n">
        <v>0.123</v>
      </c>
      <c r="BK777" s="14" t="n">
        <v>0.909</v>
      </c>
      <c r="BL777" s="14" t="n">
        <v>1.678</v>
      </c>
      <c r="BM777" s="14" t="n">
        <v>0.05</v>
      </c>
      <c r="BN777" s="14" t="n">
        <v>1</v>
      </c>
      <c r="BO777" s="14" t="n">
        <v>0</v>
      </c>
      <c r="BP777" s="14" t="n">
        <v>-0.03</v>
      </c>
      <c r="BQ777" s="14" t="n">
        <v>0.091</v>
      </c>
      <c r="BR777" s="14" t="n">
        <v>0</v>
      </c>
      <c r="BS777" s="14" t="n">
        <v>0.667</v>
      </c>
      <c r="BT777" s="14" t="n">
        <v>0</v>
      </c>
      <c r="BU777" s="14" t="n">
        <v>-0.03</v>
      </c>
      <c r="BV777" s="14" t="n">
        <v>0.08599999999999999</v>
      </c>
      <c r="BW777" s="14" t="n">
        <v>0.05</v>
      </c>
      <c r="BX777" s="14" t="n">
        <v>0.833</v>
      </c>
      <c r="BY777" s="14" t="n">
        <v>12.729</v>
      </c>
      <c r="BZ777" s="14" t="n">
        <v>0</v>
      </c>
      <c r="CA777" s="14" t="n">
        <v>12.729</v>
      </c>
      <c r="CB777" s="14" t="n">
        <v>0</v>
      </c>
      <c r="CC777" s="14" t="n">
        <v>102.477</v>
      </c>
      <c r="CD777" s="14" t="n">
        <v>7.95</v>
      </c>
      <c r="CE777" s="14" t="n">
        <v>0.502</v>
      </c>
      <c r="CF777" s="14" t="n">
        <v>108.127</v>
      </c>
      <c r="CG777" s="14" t="n">
        <v>0.05</v>
      </c>
      <c r="CH777" s="14" t="n">
        <v>1</v>
      </c>
      <c r="CI777" s="14" t="n">
        <v>0</v>
      </c>
      <c r="CJ777" s="14" t="n">
        <v>0</v>
      </c>
      <c r="CK777" s="14" t="n">
        <v>0</v>
      </c>
      <c r="CL777" s="14" t="n">
        <v>0</v>
      </c>
      <c r="CM777" s="14" t="n">
        <v>0</v>
      </c>
      <c r="CN777" s="14" t="n">
        <v>0</v>
      </c>
      <c r="CO777" s="14" t="n">
        <v>0</v>
      </c>
      <c r="CP777" s="14" t="n">
        <v>0</v>
      </c>
      <c r="CQ777" s="14" t="n">
        <v>1.294</v>
      </c>
      <c r="CR777" s="14" t="n">
        <v>0</v>
      </c>
      <c r="CS777" s="14" t="n">
        <v>7.101</v>
      </c>
      <c r="CT777" s="14" t="n">
        <v>10.426</v>
      </c>
      <c r="CU777" s="14" t="n">
        <v>21.866</v>
      </c>
    </row>
    <row r="778">
      <c r="A778" s="14" t="inlineStr">
        <is>
          <t>TWN2023</t>
        </is>
      </c>
      <c r="B778" s="14" t="inlineStr">
        <is>
          <t>TWN</t>
        </is>
      </c>
      <c r="C778" s="14" t="inlineStr">
        <is>
          <t>TWN</t>
        </is>
      </c>
      <c r="D778" s="14" t="inlineStr">
        <is>
          <t>Taiwan Province of China</t>
        </is>
      </c>
      <c r="E778" s="14" t="n">
        <v>2023</v>
      </c>
      <c r="F778" s="14" t="n">
        <v>0.05</v>
      </c>
      <c r="G778" s="14" t="n">
        <v>8.884</v>
      </c>
      <c r="H778" s="14" t="n">
        <v>1.272</v>
      </c>
      <c r="I778" s="14" t="n">
        <v>-0.134</v>
      </c>
      <c r="J778" s="14" t="n">
        <v>8.75</v>
      </c>
      <c r="K778" s="14" t="n">
        <v>0</v>
      </c>
      <c r="L778" s="14" t="n">
        <v>1</v>
      </c>
      <c r="M778" s="14" t="n">
        <v>10.507</v>
      </c>
      <c r="N778" s="14" t="n">
        <v>3.817</v>
      </c>
      <c r="O778" s="14" t="n">
        <v>-0.096</v>
      </c>
      <c r="P778" s="14" t="n">
        <v>10.411</v>
      </c>
      <c r="Q778" s="14" t="n">
        <v>0</v>
      </c>
      <c r="R778" s="14" t="n">
        <v>1</v>
      </c>
      <c r="S778" s="14" t="n">
        <v>15.246</v>
      </c>
      <c r="T778" s="14" t="n">
        <v>7.634</v>
      </c>
      <c r="U778" s="14" t="n">
        <v>-0.05</v>
      </c>
      <c r="V778" s="14" t="n">
        <v>15.868</v>
      </c>
      <c r="W778" s="14" t="n">
        <v>0.05</v>
      </c>
      <c r="X778" s="14" t="n">
        <v>1</v>
      </c>
      <c r="Y778" s="14" t="n">
        <v>14.584</v>
      </c>
      <c r="Z778" s="14" t="n">
        <v>1.634</v>
      </c>
      <c r="AA778" s="14" t="n">
        <v>1.219</v>
      </c>
      <c r="AB778" s="14" t="n">
        <v>15.803</v>
      </c>
      <c r="AC778" s="14" t="n">
        <v>0</v>
      </c>
      <c r="AD778" s="14" t="n">
        <v>1</v>
      </c>
      <c r="AE778" s="14" t="n">
        <v>11.489</v>
      </c>
      <c r="AF778" s="14" t="n">
        <v>2.288</v>
      </c>
      <c r="AG778" s="14" t="n">
        <v>-4.428</v>
      </c>
      <c r="AH778" s="14" t="n">
        <v>7.061</v>
      </c>
      <c r="AI778" s="14" t="n">
        <v>0</v>
      </c>
      <c r="AJ778" s="14" t="n">
        <v>1</v>
      </c>
      <c r="AK778" s="14" t="n">
        <v>16.55</v>
      </c>
      <c r="AL778" s="14" t="n">
        <v>8.198</v>
      </c>
      <c r="AM778" s="14" t="n">
        <v>-8.917</v>
      </c>
      <c r="AN778" s="14" t="n">
        <v>8.015000000000001</v>
      </c>
      <c r="AO778" s="14" t="n">
        <v>0</v>
      </c>
      <c r="AP778" s="14" t="n">
        <v>0</v>
      </c>
      <c r="AQ778" s="14" t="n">
        <v>0.749</v>
      </c>
      <c r="AR778" s="14" t="n">
        <v>0.129</v>
      </c>
      <c r="AS778" s="14" t="n">
        <v>0.202</v>
      </c>
      <c r="AT778" s="14" t="n">
        <v>0.999</v>
      </c>
      <c r="AU778" s="14" t="n">
        <v>0.05</v>
      </c>
      <c r="AV778" s="14" t="n">
        <v>1</v>
      </c>
      <c r="AW778" s="14" t="n">
        <v>0.783</v>
      </c>
      <c r="AX778" s="14" t="n">
        <v>0.129</v>
      </c>
      <c r="AY778" s="14" t="n">
        <v>0.065</v>
      </c>
      <c r="AZ778" s="14" t="n">
        <v>0.889</v>
      </c>
      <c r="BA778" s="14" t="n">
        <v>0.05</v>
      </c>
      <c r="BB778" s="14" t="n">
        <v>1</v>
      </c>
      <c r="BC778" s="14" t="n">
        <v>0.527</v>
      </c>
      <c r="BD778" s="14" t="n">
        <v>0.129</v>
      </c>
      <c r="BE778" s="14" t="n">
        <v>-0.081</v>
      </c>
      <c r="BF778" s="14" t="n">
        <v>0.469</v>
      </c>
      <c r="BG778" s="14" t="n">
        <v>0.05</v>
      </c>
      <c r="BH778" s="14" t="n">
        <v>0</v>
      </c>
      <c r="BI778" s="14" t="n">
        <v>0.64</v>
      </c>
      <c r="BJ778" s="14" t="n">
        <v>0.129</v>
      </c>
      <c r="BK778" s="14" t="n">
        <v>0.788</v>
      </c>
      <c r="BL778" s="14" t="n">
        <v>1.499</v>
      </c>
      <c r="BM778" s="14" t="n">
        <v>0.05</v>
      </c>
      <c r="BN778" s="14" t="n">
        <v>1</v>
      </c>
      <c r="BO778" s="14" t="n">
        <v>0</v>
      </c>
      <c r="BP778" s="14" t="n">
        <v>-0.004</v>
      </c>
      <c r="BQ778" s="14" t="n">
        <v>0.102</v>
      </c>
      <c r="BR778" s="14" t="n">
        <v>0</v>
      </c>
      <c r="BS778" s="14" t="n">
        <v>0.667</v>
      </c>
      <c r="BT778" s="14" t="n">
        <v>0</v>
      </c>
      <c r="BU778" s="14" t="n">
        <v>-0.004</v>
      </c>
      <c r="BV778" s="14" t="n">
        <v>0.08400000000000001</v>
      </c>
      <c r="BW778" s="14" t="n">
        <v>0.05</v>
      </c>
      <c r="BX778" s="14" t="n">
        <v>0.833</v>
      </c>
      <c r="BY778" s="14" t="n">
        <v>13.254</v>
      </c>
      <c r="BZ778" s="14" t="n">
        <v>0</v>
      </c>
      <c r="CA778" s="14" t="n">
        <v>13.254</v>
      </c>
      <c r="CB778" s="14" t="n">
        <v>0</v>
      </c>
      <c r="CC778" s="14" t="n">
        <v>87.07899999999999</v>
      </c>
      <c r="CD778" s="14" t="n">
        <v>7.95</v>
      </c>
      <c r="CE778" s="14" t="n">
        <v>7.882</v>
      </c>
      <c r="CF778" s="14" t="n">
        <v>99.70999999999999</v>
      </c>
      <c r="CG778" s="14" t="n">
        <v>0.05</v>
      </c>
      <c r="CH778" s="14" t="n">
        <v>1</v>
      </c>
      <c r="CI778" s="14" t="n">
        <v>0</v>
      </c>
      <c r="CJ778" s="14" t="n">
        <v>0</v>
      </c>
      <c r="CK778" s="14" t="n">
        <v>0</v>
      </c>
      <c r="CL778" s="14" t="n">
        <v>0</v>
      </c>
      <c r="CM778" s="14" t="n">
        <v>0</v>
      </c>
      <c r="CN778" s="14" t="n">
        <v>0</v>
      </c>
      <c r="CO778" s="14" t="n">
        <v>0</v>
      </c>
      <c r="CP778" s="14" t="n">
        <v>0.021</v>
      </c>
      <c r="CQ778" s="14" t="n">
        <v>1.348</v>
      </c>
      <c r="CR778" s="14" t="n">
        <v>0</v>
      </c>
      <c r="CS778" s="14" t="n">
        <v>7.394</v>
      </c>
      <c r="CT778" s="14" t="n">
        <v>7.744</v>
      </c>
      <c r="CU778" s="14" t="n">
        <v>13.914</v>
      </c>
    </row>
    <row r="779">
      <c r="A779" s="14" t="inlineStr">
        <is>
          <t>TWN2024</t>
        </is>
      </c>
      <c r="B779" s="14" t="inlineStr">
        <is>
          <t>TWN</t>
        </is>
      </c>
      <c r="C779" s="14" t="inlineStr">
        <is>
          <t>TWN</t>
        </is>
      </c>
      <c r="D779" s="14" t="inlineStr">
        <is>
          <t>Taiwan Province of China</t>
        </is>
      </c>
      <c r="E779" s="14" t="n">
        <v>2024</v>
      </c>
      <c r="F779" s="14" t="n">
        <v>0.05</v>
      </c>
      <c r="G779" s="14" t="n">
        <v>7.138</v>
      </c>
      <c r="H779" s="14" t="n">
        <v>1.31</v>
      </c>
      <c r="I779" s="14" t="n">
        <v>-0.122</v>
      </c>
      <c r="J779" s="14" t="n">
        <v>7.016</v>
      </c>
      <c r="K779" s="14" t="n">
        <v>0</v>
      </c>
      <c r="L779" s="14" t="n">
        <v>1</v>
      </c>
      <c r="M779" s="14" t="n">
        <v>10.498</v>
      </c>
      <c r="N779" s="14" t="n">
        <v>3.93</v>
      </c>
      <c r="O779" s="14" t="n">
        <v>-0.09</v>
      </c>
      <c r="P779" s="14" t="n">
        <v>10.409</v>
      </c>
      <c r="Q779" s="14" t="n">
        <v>0</v>
      </c>
      <c r="R779" s="14" t="n">
        <v>1</v>
      </c>
      <c r="S779" s="14" t="n">
        <v>13.688</v>
      </c>
      <c r="T779" s="14" t="n">
        <v>7.859</v>
      </c>
      <c r="U779" s="14" t="n">
        <v>-0.03</v>
      </c>
      <c r="V779" s="14" t="n">
        <v>14.243</v>
      </c>
      <c r="W779" s="14" t="n">
        <v>0.05</v>
      </c>
      <c r="X779" s="14" t="n">
        <v>1</v>
      </c>
      <c r="Y779" s="14" t="n">
        <v>12.519</v>
      </c>
      <c r="Z779" s="14" t="n">
        <v>1.581</v>
      </c>
      <c r="AA779" s="14" t="n">
        <v>0.103</v>
      </c>
      <c r="AB779" s="14" t="n">
        <v>12.622</v>
      </c>
      <c r="AC779" s="14" t="n">
        <v>0</v>
      </c>
      <c r="AD779" s="14" t="n">
        <v>1</v>
      </c>
      <c r="AE779" s="14" t="n">
        <v>8.909000000000001</v>
      </c>
      <c r="AF779" s="14" t="n">
        <v>1.952</v>
      </c>
      <c r="AG779" s="14" t="n">
        <v>-0.01</v>
      </c>
      <c r="AH779" s="14" t="n">
        <v>8.898999999999999</v>
      </c>
      <c r="AI779" s="14" t="n">
        <v>0</v>
      </c>
      <c r="AJ779" s="14" t="n">
        <v>1</v>
      </c>
      <c r="AK779" s="14" t="n">
        <v>14.196</v>
      </c>
      <c r="AL779" s="14" t="n">
        <v>7.22</v>
      </c>
      <c r="AM779" s="14" t="n">
        <v>-4.845</v>
      </c>
      <c r="AN779" s="14" t="n">
        <v>9.818</v>
      </c>
      <c r="AO779" s="14" t="n">
        <v>0</v>
      </c>
      <c r="AP779" s="14" t="n">
        <v>0</v>
      </c>
      <c r="AQ779" s="14" t="n">
        <v>0.72</v>
      </c>
      <c r="AR779" s="14" t="n">
        <v>0.132</v>
      </c>
      <c r="AS779" s="14" t="n">
        <v>0.191</v>
      </c>
      <c r="AT779" s="14" t="n">
        <v>0.956</v>
      </c>
      <c r="AU779" s="14" t="n">
        <v>0.05</v>
      </c>
      <c r="AV779" s="14" t="n">
        <v>1</v>
      </c>
      <c r="AW779" s="14" t="n">
        <v>0.734</v>
      </c>
      <c r="AX779" s="14" t="n">
        <v>0.132</v>
      </c>
      <c r="AY779" s="14" t="n">
        <v>0.074</v>
      </c>
      <c r="AZ779" s="14" t="n">
        <v>0.848</v>
      </c>
      <c r="BA779" s="14" t="n">
        <v>0.05</v>
      </c>
      <c r="BB779" s="14" t="n">
        <v>1</v>
      </c>
      <c r="BC779" s="14" t="n">
        <v>0.51</v>
      </c>
      <c r="BD779" s="14" t="n">
        <v>0.132</v>
      </c>
      <c r="BE779" s="14" t="n">
        <v>-0.077</v>
      </c>
      <c r="BF779" s="14" t="n">
        <v>0.455</v>
      </c>
      <c r="BG779" s="14" t="n">
        <v>0.05</v>
      </c>
      <c r="BH779" s="14" t="n">
        <v>0</v>
      </c>
      <c r="BI779" s="14" t="n">
        <v>0.652</v>
      </c>
      <c r="BJ779" s="14" t="n">
        <v>0.132</v>
      </c>
      <c r="BK779" s="14" t="n">
        <v>0.6909999999999999</v>
      </c>
      <c r="BL779" s="14" t="n">
        <v>1.41</v>
      </c>
      <c r="BM779" s="14" t="n">
        <v>0.05</v>
      </c>
      <c r="BN779" s="14" t="n">
        <v>1</v>
      </c>
      <c r="BO779" s="14" t="n">
        <v>0</v>
      </c>
      <c r="BP779" s="14" t="n">
        <v>-0.003</v>
      </c>
      <c r="BQ779" s="14" t="n">
        <v>0.128</v>
      </c>
      <c r="BR779" s="14" t="n">
        <v>0</v>
      </c>
      <c r="BS779" s="14" t="n">
        <v>0.667</v>
      </c>
      <c r="BT779" s="14" t="n">
        <v>0</v>
      </c>
      <c r="BU779" s="14" t="n">
        <v>-0.005</v>
      </c>
      <c r="BV779" s="14" t="n">
        <v>0.08699999999999999</v>
      </c>
      <c r="BW779" s="14" t="n">
        <v>0.05</v>
      </c>
      <c r="BX779" s="14" t="n">
        <v>0.833</v>
      </c>
      <c r="BY779" s="14" t="n">
        <v>13.646</v>
      </c>
      <c r="BZ779" s="14" t="n">
        <v>0</v>
      </c>
      <c r="CA779" s="14" t="n">
        <v>13.646</v>
      </c>
      <c r="CB779" s="14" t="n">
        <v>0</v>
      </c>
      <c r="CC779" s="14" t="n">
        <v>86.38500000000001</v>
      </c>
      <c r="CD779" s="14" t="n">
        <v>7.95</v>
      </c>
      <c r="CE779" s="14" t="n">
        <v>2.875</v>
      </c>
      <c r="CF779" s="14" t="n">
        <v>93.724</v>
      </c>
      <c r="CG779" s="14" t="n">
        <v>0.05</v>
      </c>
      <c r="CH779" s="14" t="n">
        <v>1</v>
      </c>
      <c r="CI779" s="14" t="n">
        <v>0</v>
      </c>
      <c r="CJ779" s="14" t="n">
        <v>0</v>
      </c>
      <c r="CK779" s="14" t="n">
        <v>0</v>
      </c>
      <c r="CL779" s="14" t="n">
        <v>0</v>
      </c>
      <c r="CM779" s="14" t="n">
        <v>0</v>
      </c>
      <c r="CN779" s="14" t="n">
        <v>0</v>
      </c>
      <c r="CO779" s="14" t="n">
        <v>0</v>
      </c>
      <c r="CP779" s="14" t="n">
        <v>0.021</v>
      </c>
      <c r="CQ779" s="14" t="n">
        <v>1.387</v>
      </c>
      <c r="CR779" s="14" t="n">
        <v>0</v>
      </c>
      <c r="CS779" s="14" t="n">
        <v>7.613</v>
      </c>
      <c r="CT779" s="14" t="n">
        <v>5.922</v>
      </c>
      <c r="CU779" s="14" t="n">
        <v>12.217</v>
      </c>
    </row>
    <row r="780">
      <c r="A780" s="14" t="inlineStr">
        <is>
          <t>TJK2021</t>
        </is>
      </c>
      <c r="B780" s="14" t="inlineStr">
        <is>
          <t>TJK</t>
        </is>
      </c>
      <c r="C780" s="14" t="inlineStr">
        <is>
          <t>TJK</t>
        </is>
      </c>
      <c r="D780" s="14" t="inlineStr">
        <is>
          <t>Tajikistan</t>
        </is>
      </c>
      <c r="E780" s="14" t="n">
        <v>2021</v>
      </c>
      <c r="F780" s="14" t="n">
        <v>0.18</v>
      </c>
      <c r="G780" s="14" t="n">
        <v>1.939</v>
      </c>
      <c r="H780" s="14" t="n">
        <v>0.597</v>
      </c>
      <c r="I780" s="14" t="n">
        <v>0</v>
      </c>
      <c r="J780" s="14" t="n">
        <v>1.939</v>
      </c>
      <c r="K780" s="14" t="n">
        <v>0</v>
      </c>
      <c r="L780" s="14" t="n">
        <v>1</v>
      </c>
      <c r="M780" s="14" t="n">
        <v>3.14</v>
      </c>
      <c r="N780" s="14" t="n">
        <v>1.792</v>
      </c>
      <c r="O780" s="14" t="n">
        <v>0</v>
      </c>
      <c r="P780" s="14" t="n">
        <v>3.14</v>
      </c>
      <c r="Q780" s="14" t="n">
        <v>0</v>
      </c>
      <c r="R780" s="14" t="n">
        <v>1</v>
      </c>
      <c r="S780" s="14" t="n">
        <v>4.926</v>
      </c>
      <c r="T780" s="14" t="n">
        <v>3.584</v>
      </c>
      <c r="U780" s="14" t="n">
        <v>-0.422</v>
      </c>
      <c r="V780" s="14" t="n">
        <v>4.503</v>
      </c>
      <c r="W780" s="14" t="n">
        <v>0</v>
      </c>
      <c r="X780" s="14" t="n">
        <v>1</v>
      </c>
      <c r="Y780" s="14" t="n">
        <v>5.856</v>
      </c>
      <c r="Z780" s="14" t="n">
        <v>0.57</v>
      </c>
      <c r="AA780" s="14" t="n">
        <v>0</v>
      </c>
      <c r="AB780" s="14" t="n">
        <v>5.856</v>
      </c>
      <c r="AC780" s="14" t="n">
        <v>0</v>
      </c>
      <c r="AD780" s="14" t="n">
        <v>1</v>
      </c>
      <c r="AE780" s="14" t="n">
        <v>6.998</v>
      </c>
      <c r="AF780" s="14" t="n">
        <v>1.216</v>
      </c>
      <c r="AG780" s="14" t="n">
        <v>0</v>
      </c>
      <c r="AH780" s="14" t="n">
        <v>6.998</v>
      </c>
      <c r="AI780" s="14" t="n">
        <v>0</v>
      </c>
      <c r="AJ780" s="14" t="n">
        <v>1</v>
      </c>
      <c r="AK780" s="14" t="n">
        <v>13.848</v>
      </c>
      <c r="AL780" s="14" t="n">
        <v>6.041</v>
      </c>
      <c r="AM780" s="14" t="n">
        <v>0</v>
      </c>
      <c r="AN780" s="14" t="n">
        <v>16.34</v>
      </c>
      <c r="AO780" s="14" t="n">
        <v>0.18</v>
      </c>
      <c r="AP780" s="14" t="n">
        <v>1</v>
      </c>
      <c r="AQ780" s="14" t="n">
        <v>0.619</v>
      </c>
      <c r="AR780" s="14" t="n">
        <v>0.114</v>
      </c>
      <c r="AS780" s="14" t="n">
        <v>0.044</v>
      </c>
      <c r="AT780" s="14" t="n">
        <v>0.782</v>
      </c>
      <c r="AU780" s="14" t="n">
        <v>0.18</v>
      </c>
      <c r="AV780" s="14" t="n">
        <v>1</v>
      </c>
      <c r="AW780" s="14" t="n">
        <v>0.599</v>
      </c>
      <c r="AX780" s="14" t="n">
        <v>0.114</v>
      </c>
      <c r="AY780" s="14" t="n">
        <v>0.11</v>
      </c>
      <c r="AZ780" s="14" t="n">
        <v>0.837</v>
      </c>
      <c r="BA780" s="14" t="n">
        <v>0.18</v>
      </c>
      <c r="BB780" s="14" t="n">
        <v>1</v>
      </c>
      <c r="BC780" s="14" t="n">
        <v>0.439</v>
      </c>
      <c r="BD780" s="14" t="n">
        <v>0.114</v>
      </c>
      <c r="BE780" s="14" t="n">
        <v>-0.028</v>
      </c>
      <c r="BF780" s="14" t="n">
        <v>0.411</v>
      </c>
      <c r="BG780" s="14" t="n">
        <v>0</v>
      </c>
      <c r="BH780" s="14" t="n">
        <v>1</v>
      </c>
      <c r="BI780" s="14" t="n">
        <v>0.505</v>
      </c>
      <c r="BJ780" s="14" t="n">
        <v>0.114</v>
      </c>
      <c r="BK780" s="14" t="n">
        <v>0.619</v>
      </c>
      <c r="BL780" s="14" t="n">
        <v>1.326</v>
      </c>
      <c r="BM780" s="14" t="n">
        <v>0.18</v>
      </c>
      <c r="BN780" s="14" t="n">
        <v>1</v>
      </c>
      <c r="BO780" s="14" t="n">
        <v>0</v>
      </c>
      <c r="BP780" s="14" t="n">
        <v>0</v>
      </c>
      <c r="BQ780" s="14" t="n">
        <v>0.05</v>
      </c>
      <c r="BR780" s="14" t="n">
        <v>0</v>
      </c>
      <c r="BS780" s="14" t="n">
        <v>0.833</v>
      </c>
      <c r="BT780" s="14" t="n">
        <v>0</v>
      </c>
      <c r="BU780" s="14" t="n">
        <v>0</v>
      </c>
      <c r="BV780" s="14" t="n">
        <v>0.021</v>
      </c>
      <c r="BW780" s="14" t="n">
        <v>0.18</v>
      </c>
      <c r="BX780" s="14" t="n">
        <v>0.833</v>
      </c>
      <c r="BY780" s="14" t="n">
        <v>11.787</v>
      </c>
      <c r="BZ780" s="14" t="n">
        <v>0</v>
      </c>
      <c r="CA780" s="14" t="n">
        <v>11.787</v>
      </c>
      <c r="CB780" s="14" t="n">
        <v>0</v>
      </c>
      <c r="CC780" s="14" t="n">
        <v>78.125</v>
      </c>
      <c r="CD780" s="14" t="n">
        <v>7.95</v>
      </c>
      <c r="CE780" s="14" t="n">
        <v>0</v>
      </c>
      <c r="CF780" s="14" t="n">
        <v>92.188</v>
      </c>
      <c r="CG780" s="14" t="n">
        <v>0.18</v>
      </c>
      <c r="CH780" s="14" t="n">
        <v>1</v>
      </c>
      <c r="CI780" s="14" t="n">
        <v>0</v>
      </c>
      <c r="CJ780" s="14" t="n">
        <v>0</v>
      </c>
      <c r="CK780" s="14" t="n">
        <v>0</v>
      </c>
      <c r="CL780" s="14" t="n">
        <v>0</v>
      </c>
      <c r="CM780" s="14" t="n">
        <v>0</v>
      </c>
      <c r="CN780" s="14" t="n">
        <v>0</v>
      </c>
      <c r="CO780" s="14" t="n">
        <v>0</v>
      </c>
      <c r="CP780" s="14" t="n">
        <v>0.955</v>
      </c>
      <c r="CQ780" s="14" t="n">
        <v>1.198</v>
      </c>
      <c r="CR780" s="14" t="n">
        <v>0.003</v>
      </c>
      <c r="CS780" s="14" t="n">
        <v>4.776</v>
      </c>
      <c r="CT780" s="14" t="n">
        <v>4.41</v>
      </c>
      <c r="CU780" s="14" t="n">
        <v>15.162</v>
      </c>
    </row>
    <row r="781">
      <c r="A781" s="14" t="inlineStr">
        <is>
          <t>TJK2022</t>
        </is>
      </c>
      <c r="B781" s="14" t="inlineStr">
        <is>
          <t>TJK</t>
        </is>
      </c>
      <c r="C781" s="14" t="inlineStr">
        <is>
          <t>TJK</t>
        </is>
      </c>
      <c r="D781" s="14" t="inlineStr">
        <is>
          <t>Tajikistan</t>
        </is>
      </c>
      <c r="E781" s="14" t="n">
        <v>2022</v>
      </c>
      <c r="F781" s="14" t="n">
        <v>0.18</v>
      </c>
      <c r="G781" s="14" t="n">
        <v>2.162</v>
      </c>
      <c r="H781" s="14" t="n">
        <v>0.647</v>
      </c>
      <c r="I781" s="14" t="n">
        <v>0</v>
      </c>
      <c r="J781" s="14" t="n">
        <v>2.162</v>
      </c>
      <c r="K781" s="14" t="n">
        <v>0</v>
      </c>
      <c r="L781" s="14" t="n">
        <v>1</v>
      </c>
      <c r="M781" s="14" t="n">
        <v>3.467</v>
      </c>
      <c r="N781" s="14" t="n">
        <v>1.942</v>
      </c>
      <c r="O781" s="14" t="n">
        <v>0</v>
      </c>
      <c r="P781" s="14" t="n">
        <v>3.467</v>
      </c>
      <c r="Q781" s="14" t="n">
        <v>0</v>
      </c>
      <c r="R781" s="14" t="n">
        <v>1</v>
      </c>
      <c r="S781" s="14" t="n">
        <v>5.398</v>
      </c>
      <c r="T781" s="14" t="n">
        <v>3.883</v>
      </c>
      <c r="U781" s="14" t="n">
        <v>-0.442</v>
      </c>
      <c r="V781" s="14" t="n">
        <v>4.956</v>
      </c>
      <c r="W781" s="14" t="n">
        <v>0</v>
      </c>
      <c r="X781" s="14" t="n">
        <v>1</v>
      </c>
      <c r="Y781" s="14" t="n">
        <v>6.324</v>
      </c>
      <c r="Z781" s="14" t="n">
        <v>0.616</v>
      </c>
      <c r="AA781" s="14" t="n">
        <v>0</v>
      </c>
      <c r="AB781" s="14" t="n">
        <v>6.324</v>
      </c>
      <c r="AC781" s="14" t="n">
        <v>0</v>
      </c>
      <c r="AD781" s="14" t="n">
        <v>1</v>
      </c>
      <c r="AE781" s="14" t="n">
        <v>7.557</v>
      </c>
      <c r="AF781" s="14" t="n">
        <v>1.313</v>
      </c>
      <c r="AG781" s="14" t="n">
        <v>0</v>
      </c>
      <c r="AH781" s="14" t="n">
        <v>7.557</v>
      </c>
      <c r="AI781" s="14" t="n">
        <v>0</v>
      </c>
      <c r="AJ781" s="14" t="n">
        <v>1</v>
      </c>
      <c r="AK781" s="14" t="n">
        <v>14.951</v>
      </c>
      <c r="AL781" s="14" t="n">
        <v>6.522</v>
      </c>
      <c r="AM781" s="14" t="n">
        <v>0.199</v>
      </c>
      <c r="AN781" s="14" t="n">
        <v>17.643</v>
      </c>
      <c r="AO781" s="14" t="n">
        <v>0.18</v>
      </c>
      <c r="AP781" s="14" t="n">
        <v>1</v>
      </c>
      <c r="AQ781" s="14" t="n">
        <v>0.861</v>
      </c>
      <c r="AR781" s="14" t="n">
        <v>0.123</v>
      </c>
      <c r="AS781" s="14" t="n">
        <v>0.03</v>
      </c>
      <c r="AT781" s="14" t="n">
        <v>1.037</v>
      </c>
      <c r="AU781" s="14" t="n">
        <v>0.18</v>
      </c>
      <c r="AV781" s="14" t="n">
        <v>1</v>
      </c>
      <c r="AW781" s="14" t="n">
        <v>0.986</v>
      </c>
      <c r="AX781" s="14" t="n">
        <v>0.123</v>
      </c>
      <c r="AY781" s="14" t="n">
        <v>0.081</v>
      </c>
      <c r="AZ781" s="14" t="n">
        <v>1.243</v>
      </c>
      <c r="BA781" s="14" t="n">
        <v>0.18</v>
      </c>
      <c r="BB781" s="14" t="n">
        <v>1</v>
      </c>
      <c r="BC781" s="14" t="n">
        <v>0.598</v>
      </c>
      <c r="BD781" s="14" t="n">
        <v>0.123</v>
      </c>
      <c r="BE781" s="14" t="n">
        <v>-0.03</v>
      </c>
      <c r="BF781" s="14" t="n">
        <v>0.5679999999999999</v>
      </c>
      <c r="BG781" s="14" t="n">
        <v>0</v>
      </c>
      <c r="BH781" s="14" t="n">
        <v>1</v>
      </c>
      <c r="BI781" s="14" t="n">
        <v>0.612</v>
      </c>
      <c r="BJ781" s="14" t="n">
        <v>0.123</v>
      </c>
      <c r="BK781" s="14" t="n">
        <v>0.675</v>
      </c>
      <c r="BL781" s="14" t="n">
        <v>1.499</v>
      </c>
      <c r="BM781" s="14" t="n">
        <v>0.18</v>
      </c>
      <c r="BN781" s="14" t="n">
        <v>1</v>
      </c>
      <c r="BO781" s="14" t="n">
        <v>0</v>
      </c>
      <c r="BP781" s="14" t="n">
        <v>0</v>
      </c>
      <c r="BQ781" s="14" t="n">
        <v>0.051</v>
      </c>
      <c r="BR781" s="14" t="n">
        <v>0</v>
      </c>
      <c r="BS781" s="14" t="n">
        <v>0.833</v>
      </c>
      <c r="BT781" s="14" t="n">
        <v>0</v>
      </c>
      <c r="BU781" s="14" t="n">
        <v>0</v>
      </c>
      <c r="BV781" s="14" t="n">
        <v>0.021</v>
      </c>
      <c r="BW781" s="14" t="n">
        <v>0.18</v>
      </c>
      <c r="BX781" s="14" t="n">
        <v>0.833</v>
      </c>
      <c r="BY781" s="14" t="n">
        <v>12.729</v>
      </c>
      <c r="BZ781" s="14" t="n">
        <v>0</v>
      </c>
      <c r="CA781" s="14" t="n">
        <v>12.729</v>
      </c>
      <c r="CB781" s="14" t="n">
        <v>0</v>
      </c>
      <c r="CC781" s="14" t="n">
        <v>97.90000000000001</v>
      </c>
      <c r="CD781" s="14" t="n">
        <v>7.95</v>
      </c>
      <c r="CE781" s="14" t="n">
        <v>1.087</v>
      </c>
      <c r="CF781" s="14" t="n">
        <v>112.585</v>
      </c>
      <c r="CG781" s="14" t="n">
        <v>0.15</v>
      </c>
      <c r="CH781" s="14" t="n">
        <v>1</v>
      </c>
      <c r="CI781" s="14" t="n">
        <v>0</v>
      </c>
      <c r="CJ781" s="14" t="n">
        <v>0</v>
      </c>
      <c r="CK781" s="14" t="n">
        <v>0</v>
      </c>
      <c r="CL781" s="14" t="n">
        <v>0</v>
      </c>
      <c r="CM781" s="14" t="n">
        <v>0</v>
      </c>
      <c r="CN781" s="14" t="n">
        <v>0</v>
      </c>
      <c r="CO781" s="14" t="n">
        <v>0</v>
      </c>
      <c r="CP781" s="14" t="n">
        <v>0.952</v>
      </c>
      <c r="CQ781" s="14" t="n">
        <v>1.294</v>
      </c>
      <c r="CR781" s="14" t="n">
        <v>0.004</v>
      </c>
      <c r="CS781" s="14" t="n">
        <v>5.158</v>
      </c>
      <c r="CT781" s="14" t="n">
        <v>5.842</v>
      </c>
      <c r="CU781" s="14" t="n">
        <v>31.326</v>
      </c>
    </row>
    <row r="782">
      <c r="A782" s="14" t="inlineStr">
        <is>
          <t>TJK2023</t>
        </is>
      </c>
      <c r="B782" s="14" t="inlineStr">
        <is>
          <t>TJK</t>
        </is>
      </c>
      <c r="C782" s="14" t="inlineStr">
        <is>
          <t>TJK</t>
        </is>
      </c>
      <c r="D782" s="14" t="inlineStr">
        <is>
          <t>Tajikistan</t>
        </is>
      </c>
      <c r="E782" s="14" t="n">
        <v>2023</v>
      </c>
      <c r="F782" s="14" t="n">
        <v>0.18</v>
      </c>
      <c r="G782" s="14" t="n">
        <v>2.124</v>
      </c>
      <c r="H782" s="14" t="n">
        <v>0.674</v>
      </c>
      <c r="I782" s="14" t="n">
        <v>0</v>
      </c>
      <c r="J782" s="14" t="n">
        <v>2.124</v>
      </c>
      <c r="K782" s="14" t="n">
        <v>0</v>
      </c>
      <c r="L782" s="14" t="n">
        <v>1</v>
      </c>
      <c r="M782" s="14" t="n">
        <v>3.499</v>
      </c>
      <c r="N782" s="14" t="n">
        <v>2.022</v>
      </c>
      <c r="O782" s="14" t="n">
        <v>0</v>
      </c>
      <c r="P782" s="14" t="n">
        <v>3.499</v>
      </c>
      <c r="Q782" s="14" t="n">
        <v>0</v>
      </c>
      <c r="R782" s="14" t="n">
        <v>1</v>
      </c>
      <c r="S782" s="14" t="n">
        <v>5.494</v>
      </c>
      <c r="T782" s="14" t="n">
        <v>4.044</v>
      </c>
      <c r="U782" s="14" t="n">
        <v>-0.483</v>
      </c>
      <c r="V782" s="14" t="n">
        <v>5.011</v>
      </c>
      <c r="W782" s="14" t="n">
        <v>0</v>
      </c>
      <c r="X782" s="14" t="n">
        <v>1</v>
      </c>
      <c r="Y782" s="14" t="n">
        <v>6.585</v>
      </c>
      <c r="Z782" s="14" t="n">
        <v>0.641</v>
      </c>
      <c r="AA782" s="14" t="n">
        <v>0</v>
      </c>
      <c r="AB782" s="14" t="n">
        <v>6.585</v>
      </c>
      <c r="AC782" s="14" t="n">
        <v>0</v>
      </c>
      <c r="AD782" s="14" t="n">
        <v>1</v>
      </c>
      <c r="AE782" s="14" t="n">
        <v>7.869</v>
      </c>
      <c r="AF782" s="14" t="n">
        <v>1.367</v>
      </c>
      <c r="AG782" s="14" t="n">
        <v>0</v>
      </c>
      <c r="AH782" s="14" t="n">
        <v>7.869</v>
      </c>
      <c r="AI782" s="14" t="n">
        <v>0</v>
      </c>
      <c r="AJ782" s="14" t="n">
        <v>1</v>
      </c>
      <c r="AK782" s="14" t="n">
        <v>15.569</v>
      </c>
      <c r="AL782" s="14" t="n">
        <v>6.792</v>
      </c>
      <c r="AM782" s="14" t="n">
        <v>0.31</v>
      </c>
      <c r="AN782" s="14" t="n">
        <v>18.371</v>
      </c>
      <c r="AO782" s="14" t="n">
        <v>0.18</v>
      </c>
      <c r="AP782" s="14" t="n">
        <v>1</v>
      </c>
      <c r="AQ782" s="14" t="n">
        <v>0.76</v>
      </c>
      <c r="AR782" s="14" t="n">
        <v>0.129</v>
      </c>
      <c r="AS782" s="14" t="n">
        <v>0.055</v>
      </c>
      <c r="AT782" s="14" t="n">
        <v>0.944</v>
      </c>
      <c r="AU782" s="14" t="n">
        <v>0.18</v>
      </c>
      <c r="AV782" s="14" t="n">
        <v>1</v>
      </c>
      <c r="AW782" s="14" t="n">
        <v>0.8110000000000001</v>
      </c>
      <c r="AX782" s="14" t="n">
        <v>0.129</v>
      </c>
      <c r="AY782" s="14" t="n">
        <v>0.121</v>
      </c>
      <c r="AZ782" s="14" t="n">
        <v>1.079</v>
      </c>
      <c r="BA782" s="14" t="n">
        <v>0.18</v>
      </c>
      <c r="BB782" s="14" t="n">
        <v>1</v>
      </c>
      <c r="BC782" s="14" t="n">
        <v>0.535</v>
      </c>
      <c r="BD782" s="14" t="n">
        <v>0.129</v>
      </c>
      <c r="BE782" s="14" t="n">
        <v>-0.031</v>
      </c>
      <c r="BF782" s="14" t="n">
        <v>0.504</v>
      </c>
      <c r="BG782" s="14" t="n">
        <v>0</v>
      </c>
      <c r="BH782" s="14" t="n">
        <v>1</v>
      </c>
      <c r="BI782" s="14" t="n">
        <v>0.579</v>
      </c>
      <c r="BJ782" s="14" t="n">
        <v>0.129</v>
      </c>
      <c r="BK782" s="14" t="n">
        <v>0.719</v>
      </c>
      <c r="BL782" s="14" t="n">
        <v>1.502</v>
      </c>
      <c r="BM782" s="14" t="n">
        <v>0.18</v>
      </c>
      <c r="BN782" s="14" t="n">
        <v>1</v>
      </c>
      <c r="BO782" s="14" t="n">
        <v>0</v>
      </c>
      <c r="BP782" s="14" t="n">
        <v>0</v>
      </c>
      <c r="BQ782" s="14" t="n">
        <v>0.059</v>
      </c>
      <c r="BR782" s="14" t="n">
        <v>0</v>
      </c>
      <c r="BS782" s="14" t="n">
        <v>0.833</v>
      </c>
      <c r="BT782" s="14" t="n">
        <v>0</v>
      </c>
      <c r="BU782" s="14" t="n">
        <v>0</v>
      </c>
      <c r="BV782" s="14" t="n">
        <v>0.025</v>
      </c>
      <c r="BW782" s="14" t="n">
        <v>0.18</v>
      </c>
      <c r="BX782" s="14" t="n">
        <v>0.833</v>
      </c>
      <c r="BY782" s="14" t="n">
        <v>13.254</v>
      </c>
      <c r="BZ782" s="14" t="n">
        <v>0</v>
      </c>
      <c r="CA782" s="14" t="n">
        <v>13.254</v>
      </c>
      <c r="CB782" s="14" t="n">
        <v>0</v>
      </c>
      <c r="CC782" s="14" t="n">
        <v>83.248</v>
      </c>
      <c r="CD782" s="14" t="n">
        <v>7.95</v>
      </c>
      <c r="CE782" s="14" t="n">
        <v>1.383</v>
      </c>
      <c r="CF782" s="14" t="n">
        <v>95.735</v>
      </c>
      <c r="CG782" s="14" t="n">
        <v>0.15</v>
      </c>
      <c r="CH782" s="14" t="n">
        <v>1</v>
      </c>
      <c r="CI782" s="14" t="n">
        <v>0</v>
      </c>
      <c r="CJ782" s="14" t="n">
        <v>0</v>
      </c>
      <c r="CK782" s="14" t="n">
        <v>0</v>
      </c>
      <c r="CL782" s="14" t="n">
        <v>0</v>
      </c>
      <c r="CM782" s="14" t="n">
        <v>0</v>
      </c>
      <c r="CN782" s="14" t="n">
        <v>0</v>
      </c>
      <c r="CO782" s="14" t="n">
        <v>0</v>
      </c>
      <c r="CP782" s="14" t="n">
        <v>0.952</v>
      </c>
      <c r="CQ782" s="14" t="n">
        <v>1.348</v>
      </c>
      <c r="CR782" s="14" t="n">
        <v>0.004</v>
      </c>
      <c r="CS782" s="14" t="n">
        <v>5.37</v>
      </c>
      <c r="CT782" s="14" t="n">
        <v>3.466</v>
      </c>
      <c r="CU782" s="14" t="n">
        <v>11.622</v>
      </c>
    </row>
    <row r="783">
      <c r="A783" s="14" t="inlineStr">
        <is>
          <t>TJK2024</t>
        </is>
      </c>
      <c r="B783" s="14" t="inlineStr">
        <is>
          <t>TJK</t>
        </is>
      </c>
      <c r="C783" s="14" t="inlineStr">
        <is>
          <t>TJK</t>
        </is>
      </c>
      <c r="D783" s="14" t="inlineStr">
        <is>
          <t>Tajikistan</t>
        </is>
      </c>
      <c r="E783" s="14" t="n">
        <v>2024</v>
      </c>
      <c r="F783" s="14" t="n">
        <v>0.18</v>
      </c>
      <c r="G783" s="14" t="n">
        <v>2.161</v>
      </c>
      <c r="H783" s="14" t="n">
        <v>0.694</v>
      </c>
      <c r="I783" s="14" t="n">
        <v>0</v>
      </c>
      <c r="J783" s="14" t="n">
        <v>2.161</v>
      </c>
      <c r="K783" s="14" t="n">
        <v>0</v>
      </c>
      <c r="L783" s="14" t="n">
        <v>1</v>
      </c>
      <c r="M783" s="14" t="n">
        <v>3.554</v>
      </c>
      <c r="N783" s="14" t="n">
        <v>2.082</v>
      </c>
      <c r="O783" s="14" t="n">
        <v>0</v>
      </c>
      <c r="P783" s="14" t="n">
        <v>3.554</v>
      </c>
      <c r="Q783" s="14" t="n">
        <v>0</v>
      </c>
      <c r="R783" s="14" t="n">
        <v>1</v>
      </c>
      <c r="S783" s="14" t="n">
        <v>5.63</v>
      </c>
      <c r="T783" s="14" t="n">
        <v>4.163</v>
      </c>
      <c r="U783" s="14" t="n">
        <v>-0.502</v>
      </c>
      <c r="V783" s="14" t="n">
        <v>5.128</v>
      </c>
      <c r="W783" s="14" t="n">
        <v>0</v>
      </c>
      <c r="X783" s="14" t="n">
        <v>1</v>
      </c>
      <c r="Y783" s="14" t="n">
        <v>6.78</v>
      </c>
      <c r="Z783" s="14" t="n">
        <v>0.66</v>
      </c>
      <c r="AA783" s="14" t="n">
        <v>0</v>
      </c>
      <c r="AB783" s="14" t="n">
        <v>6.78</v>
      </c>
      <c r="AC783" s="14" t="n">
        <v>0</v>
      </c>
      <c r="AD783" s="14" t="n">
        <v>1</v>
      </c>
      <c r="AE783" s="14" t="n">
        <v>8.101000000000001</v>
      </c>
      <c r="AF783" s="14" t="n">
        <v>1.407</v>
      </c>
      <c r="AG783" s="14" t="n">
        <v>0</v>
      </c>
      <c r="AH783" s="14" t="n">
        <v>8.101000000000001</v>
      </c>
      <c r="AI783" s="14" t="n">
        <v>0</v>
      </c>
      <c r="AJ783" s="14" t="n">
        <v>1</v>
      </c>
      <c r="AK783" s="14" t="n">
        <v>16.028</v>
      </c>
      <c r="AL783" s="14" t="n">
        <v>6.992</v>
      </c>
      <c r="AM783" s="14" t="n">
        <v>0.393</v>
      </c>
      <c r="AN783" s="14" t="n">
        <v>18.913</v>
      </c>
      <c r="AO783" s="14" t="n">
        <v>0.18</v>
      </c>
      <c r="AP783" s="14" t="n">
        <v>1</v>
      </c>
      <c r="AQ783" s="14" t="n">
        <v>0.724</v>
      </c>
      <c r="AR783" s="14" t="n">
        <v>0.132</v>
      </c>
      <c r="AS783" s="14" t="n">
        <v>0.06900000000000001</v>
      </c>
      <c r="AT783" s="14" t="n">
        <v>0.913</v>
      </c>
      <c r="AU783" s="14" t="n">
        <v>0.18</v>
      </c>
      <c r="AV783" s="14" t="n">
        <v>1</v>
      </c>
      <c r="AW783" s="14" t="n">
        <v>0.75</v>
      </c>
      <c r="AX783" s="14" t="n">
        <v>0.132</v>
      </c>
      <c r="AY783" s="14" t="n">
        <v>0.14</v>
      </c>
      <c r="AZ783" s="14" t="n">
        <v>1.025</v>
      </c>
      <c r="BA783" s="14" t="n">
        <v>0.18</v>
      </c>
      <c r="BB783" s="14" t="n">
        <v>1</v>
      </c>
      <c r="BC783" s="14" t="n">
        <v>0.513</v>
      </c>
      <c r="BD783" s="14" t="n">
        <v>0.132</v>
      </c>
      <c r="BE783" s="14" t="n">
        <v>-0.032</v>
      </c>
      <c r="BF783" s="14" t="n">
        <v>0.481</v>
      </c>
      <c r="BG783" s="14" t="n">
        <v>0</v>
      </c>
      <c r="BH783" s="14" t="n">
        <v>1</v>
      </c>
      <c r="BI783" s="14" t="n">
        <v>0.591</v>
      </c>
      <c r="BJ783" s="14" t="n">
        <v>0.132</v>
      </c>
      <c r="BK783" s="14" t="n">
        <v>0.747</v>
      </c>
      <c r="BL783" s="14" t="n">
        <v>1.542</v>
      </c>
      <c r="BM783" s="14" t="n">
        <v>0.18</v>
      </c>
      <c r="BN783" s="14" t="n">
        <v>1</v>
      </c>
      <c r="BO783" s="14" t="n">
        <v>0</v>
      </c>
      <c r="BP783" s="14" t="n">
        <v>0</v>
      </c>
      <c r="BQ783" s="14" t="n">
        <v>0.061</v>
      </c>
      <c r="BR783" s="14" t="n">
        <v>0</v>
      </c>
      <c r="BS783" s="14" t="n">
        <v>0.833</v>
      </c>
      <c r="BT783" s="14" t="n">
        <v>0</v>
      </c>
      <c r="BU783" s="14" t="n">
        <v>0</v>
      </c>
      <c r="BV783" s="14" t="n">
        <v>0.025</v>
      </c>
      <c r="BW783" s="14" t="n">
        <v>0.18</v>
      </c>
      <c r="BX783" s="14" t="n">
        <v>0.833</v>
      </c>
      <c r="BY783" s="14" t="n">
        <v>13.646</v>
      </c>
      <c r="BZ783" s="14" t="n">
        <v>0</v>
      </c>
      <c r="CA783" s="14" t="n">
        <v>13.646</v>
      </c>
      <c r="CB783" s="14" t="n">
        <v>0</v>
      </c>
      <c r="CC783" s="14" t="n">
        <v>82.58799999999999</v>
      </c>
      <c r="CD783" s="14" t="n">
        <v>7.95</v>
      </c>
      <c r="CE783" s="14" t="n">
        <v>1.687</v>
      </c>
      <c r="CF783" s="14" t="n">
        <v>94.976</v>
      </c>
      <c r="CG783" s="14" t="n">
        <v>0.15</v>
      </c>
      <c r="CH783" s="14" t="n">
        <v>1</v>
      </c>
      <c r="CI783" s="14" t="n">
        <v>0</v>
      </c>
      <c r="CJ783" s="14" t="n">
        <v>0</v>
      </c>
      <c r="CK783" s="14" t="n">
        <v>0</v>
      </c>
      <c r="CL783" s="14" t="n">
        <v>0</v>
      </c>
      <c r="CM783" s="14" t="n">
        <v>0</v>
      </c>
      <c r="CN783" s="14" t="n">
        <v>0</v>
      </c>
      <c r="CO783" s="14" t="n">
        <v>0</v>
      </c>
      <c r="CP783" s="14" t="n">
        <v>0.952</v>
      </c>
      <c r="CQ783" s="14" t="n">
        <v>1.387</v>
      </c>
      <c r="CR783" s="14" t="n">
        <v>0.004</v>
      </c>
      <c r="CS783" s="14" t="n">
        <v>5.529</v>
      </c>
      <c r="CT783" s="14" t="n">
        <v>3.027</v>
      </c>
      <c r="CU783" s="14" t="n">
        <v>10.168</v>
      </c>
    </row>
    <row r="784">
      <c r="A784" s="14" t="inlineStr">
        <is>
          <t>TZA2021</t>
        </is>
      </c>
      <c r="B784" s="14" t="inlineStr">
        <is>
          <t>TZA</t>
        </is>
      </c>
      <c r="C784" s="14" t="inlineStr">
        <is>
          <t>TZA</t>
        </is>
      </c>
      <c r="D784" s="14" t="inlineStr">
        <is>
          <t>Tanzania</t>
        </is>
      </c>
      <c r="E784" s="14" t="n">
        <v>2021</v>
      </c>
      <c r="F784" s="14" t="n">
        <v>0.18</v>
      </c>
      <c r="G784" s="14" t="n">
        <v>1.77</v>
      </c>
      <c r="H784" s="14" t="n">
        <v>0.572</v>
      </c>
      <c r="I784" s="14" t="n">
        <v>0</v>
      </c>
      <c r="J784" s="14" t="n">
        <v>1.77</v>
      </c>
      <c r="K784" s="14" t="n">
        <v>0</v>
      </c>
      <c r="L784" s="14" t="n">
        <v>1</v>
      </c>
      <c r="M784" s="14" t="n">
        <v>2.913</v>
      </c>
      <c r="N784" s="14" t="n">
        <v>1.715</v>
      </c>
      <c r="O784" s="14" t="n">
        <v>0</v>
      </c>
      <c r="P784" s="14" t="n">
        <v>2.913</v>
      </c>
      <c r="Q784" s="14" t="n">
        <v>0</v>
      </c>
      <c r="R784" s="14" t="n">
        <v>1</v>
      </c>
      <c r="S784" s="14" t="n">
        <v>4.628</v>
      </c>
      <c r="T784" s="14" t="n">
        <v>3.43</v>
      </c>
      <c r="U784" s="14" t="n">
        <v>0</v>
      </c>
      <c r="V784" s="14" t="n">
        <v>5.461</v>
      </c>
      <c r="W784" s="14" t="n">
        <v>0.18</v>
      </c>
      <c r="X784" s="14" t="n">
        <v>1</v>
      </c>
      <c r="Y784" s="14" t="n">
        <v>2.092</v>
      </c>
      <c r="Z784" s="14" t="n">
        <v>0.154</v>
      </c>
      <c r="AA784" s="14" t="n">
        <v>7.294</v>
      </c>
      <c r="AB784" s="14" t="n">
        <v>9.385999999999999</v>
      </c>
      <c r="AC784" s="14" t="n">
        <v>0</v>
      </c>
      <c r="AD784" s="14" t="n">
        <v>1</v>
      </c>
      <c r="AE784" s="14" t="n">
        <v>2.664</v>
      </c>
      <c r="AF784" s="14" t="n">
        <v>0.36</v>
      </c>
      <c r="AG784" s="14" t="n">
        <v>6.722</v>
      </c>
      <c r="AH784" s="14" t="n">
        <v>9.385999999999999</v>
      </c>
      <c r="AI784" s="14" t="n">
        <v>0</v>
      </c>
      <c r="AJ784" s="14" t="n">
        <v>1</v>
      </c>
      <c r="AK784" s="14" t="n">
        <v>6.093</v>
      </c>
      <c r="AL784" s="14" t="n">
        <v>2.264</v>
      </c>
      <c r="AM784" s="14" t="n">
        <v>6.221</v>
      </c>
      <c r="AN784" s="14" t="n">
        <v>14.531</v>
      </c>
      <c r="AO784" s="14" t="n">
        <v>0.18</v>
      </c>
      <c r="AP784" s="14" t="n">
        <v>1</v>
      </c>
      <c r="AQ784" s="14" t="n">
        <v>0.619</v>
      </c>
      <c r="AR784" s="14" t="n">
        <v>0.114</v>
      </c>
      <c r="AS784" s="14" t="n">
        <v>0.359</v>
      </c>
      <c r="AT784" s="14" t="n">
        <v>0.978</v>
      </c>
      <c r="AU784" s="14" t="n">
        <v>0</v>
      </c>
      <c r="AV784" s="14" t="n">
        <v>1</v>
      </c>
      <c r="AW784" s="14" t="n">
        <v>0.599</v>
      </c>
      <c r="AX784" s="14" t="n">
        <v>0.114</v>
      </c>
      <c r="AY784" s="14" t="n">
        <v>0.319</v>
      </c>
      <c r="AZ784" s="14" t="n">
        <v>0.918</v>
      </c>
      <c r="BA784" s="14" t="n">
        <v>0</v>
      </c>
      <c r="BB784" s="14" t="n">
        <v>1</v>
      </c>
      <c r="BC784" s="14" t="n">
        <v>0.439</v>
      </c>
      <c r="BD784" s="14" t="n">
        <v>0.114</v>
      </c>
      <c r="BE784" s="14" t="n">
        <v>0</v>
      </c>
      <c r="BF784" s="14" t="n">
        <v>0.518</v>
      </c>
      <c r="BG784" s="14" t="n">
        <v>0.18</v>
      </c>
      <c r="BH784" s="14" t="n">
        <v>1</v>
      </c>
      <c r="BI784" s="14" t="n">
        <v>0.505</v>
      </c>
      <c r="BJ784" s="14" t="n">
        <v>0.114</v>
      </c>
      <c r="BK784" s="14" t="n">
        <v>0.373</v>
      </c>
      <c r="BL784" s="14" t="n">
        <v>0.877</v>
      </c>
      <c r="BM784" s="14" t="n">
        <v>0</v>
      </c>
      <c r="BN784" s="14" t="n">
        <v>1</v>
      </c>
      <c r="BO784" s="14" t="n">
        <v>0</v>
      </c>
      <c r="BP784" s="14" t="n">
        <v>0.015</v>
      </c>
      <c r="BQ784" s="14" t="n">
        <v>0.068</v>
      </c>
      <c r="BR784" s="14" t="n">
        <v>0</v>
      </c>
      <c r="BS784" s="14" t="n">
        <v>0</v>
      </c>
      <c r="BT784" s="14" t="n">
        <v>0</v>
      </c>
      <c r="BU784" s="14" t="n">
        <v>0.022</v>
      </c>
      <c r="BV784" s="14" t="n">
        <v>0.102</v>
      </c>
      <c r="BW784" s="14" t="n">
        <v>0.18</v>
      </c>
      <c r="BX784" s="14" t="n">
        <v>0</v>
      </c>
      <c r="BY784" s="14" t="n">
        <v>11.787</v>
      </c>
      <c r="BZ784" s="14" t="n">
        <v>0</v>
      </c>
      <c r="CA784" s="14" t="n">
        <v>11.787</v>
      </c>
      <c r="CB784" s="14" t="n">
        <v>0</v>
      </c>
      <c r="CC784" s="14" t="n">
        <v>78.125</v>
      </c>
      <c r="CD784" s="14" t="n">
        <v>7.95</v>
      </c>
      <c r="CE784" s="14" t="n">
        <v>41.185</v>
      </c>
      <c r="CF784" s="14" t="n">
        <v>140.786</v>
      </c>
      <c r="CG784" s="14" t="n">
        <v>0.18</v>
      </c>
      <c r="CH784" s="14" t="n">
        <v>1</v>
      </c>
      <c r="CI784" s="14" t="n">
        <v>0</v>
      </c>
      <c r="CJ784" s="14" t="n">
        <v>0</v>
      </c>
      <c r="CK784" s="14" t="n">
        <v>0</v>
      </c>
      <c r="CL784" s="14" t="n">
        <v>0</v>
      </c>
      <c r="CM784" s="14" t="n">
        <v>0</v>
      </c>
      <c r="CN784" s="14" t="n">
        <v>0</v>
      </c>
      <c r="CO784" s="14" t="n">
        <v>0</v>
      </c>
      <c r="CP784" s="14" t="n">
        <v>1</v>
      </c>
      <c r="CQ784" s="14" t="n">
        <v>1.198</v>
      </c>
      <c r="CR784" s="14" t="n">
        <v>1</v>
      </c>
      <c r="CS784" s="14" t="n">
        <v>1.52</v>
      </c>
      <c r="CT784" s="14" t="n">
        <v>4.753</v>
      </c>
      <c r="CU784" s="14" t="n">
        <v>15.162</v>
      </c>
    </row>
    <row r="785">
      <c r="A785" s="14" t="inlineStr">
        <is>
          <t>TZA2022</t>
        </is>
      </c>
      <c r="B785" s="14" t="inlineStr">
        <is>
          <t>TZA</t>
        </is>
      </c>
      <c r="C785" s="14" t="inlineStr">
        <is>
          <t>TZA</t>
        </is>
      </c>
      <c r="D785" s="14" t="inlineStr">
        <is>
          <t>Tanzania</t>
        </is>
      </c>
      <c r="E785" s="14" t="n">
        <v>2022</v>
      </c>
      <c r="F785" s="14" t="n">
        <v>0.18</v>
      </c>
      <c r="G785" s="14" t="n">
        <v>1.911</v>
      </c>
      <c r="H785" s="14" t="n">
        <v>0.617</v>
      </c>
      <c r="I785" s="14" t="n">
        <v>0</v>
      </c>
      <c r="J785" s="14" t="n">
        <v>1.911</v>
      </c>
      <c r="K785" s="14" t="n">
        <v>0</v>
      </c>
      <c r="L785" s="14" t="n">
        <v>1</v>
      </c>
      <c r="M785" s="14" t="n">
        <v>3.146</v>
      </c>
      <c r="N785" s="14" t="n">
        <v>1.852</v>
      </c>
      <c r="O785" s="14" t="n">
        <v>0</v>
      </c>
      <c r="P785" s="14" t="n">
        <v>3.146</v>
      </c>
      <c r="Q785" s="14" t="n">
        <v>0</v>
      </c>
      <c r="R785" s="14" t="n">
        <v>1</v>
      </c>
      <c r="S785" s="14" t="n">
        <v>4.998</v>
      </c>
      <c r="T785" s="14" t="n">
        <v>3.704</v>
      </c>
      <c r="U785" s="14" t="n">
        <v>0.067</v>
      </c>
      <c r="V785" s="14" t="n">
        <v>5.898</v>
      </c>
      <c r="W785" s="14" t="n">
        <v>0.18</v>
      </c>
      <c r="X785" s="14" t="n">
        <v>1</v>
      </c>
      <c r="Y785" s="14" t="n">
        <v>2.259</v>
      </c>
      <c r="Z785" s="14" t="n">
        <v>0.166</v>
      </c>
      <c r="AA785" s="14" t="n">
        <v>13.738</v>
      </c>
      <c r="AB785" s="14" t="n">
        <v>15.997</v>
      </c>
      <c r="AC785" s="14" t="n">
        <v>0</v>
      </c>
      <c r="AD785" s="14" t="n">
        <v>1</v>
      </c>
      <c r="AE785" s="14" t="n">
        <v>2.876</v>
      </c>
      <c r="AF785" s="14" t="n">
        <v>0.389</v>
      </c>
      <c r="AG785" s="14" t="n">
        <v>13.121</v>
      </c>
      <c r="AH785" s="14" t="n">
        <v>15.997</v>
      </c>
      <c r="AI785" s="14" t="n">
        <v>0</v>
      </c>
      <c r="AJ785" s="14" t="n">
        <v>1</v>
      </c>
      <c r="AK785" s="14" t="n">
        <v>6.581</v>
      </c>
      <c r="AL785" s="14" t="n">
        <v>2.445</v>
      </c>
      <c r="AM785" s="14" t="n">
        <v>11.688</v>
      </c>
      <c r="AN785" s="14" t="n">
        <v>21.557</v>
      </c>
      <c r="AO785" s="14" t="n">
        <v>0.18</v>
      </c>
      <c r="AP785" s="14" t="n">
        <v>1</v>
      </c>
      <c r="AQ785" s="14" t="n">
        <v>0.861</v>
      </c>
      <c r="AR785" s="14" t="n">
        <v>0.123</v>
      </c>
      <c r="AS785" s="14" t="n">
        <v>0.267</v>
      </c>
      <c r="AT785" s="14" t="n">
        <v>1.128</v>
      </c>
      <c r="AU785" s="14" t="n">
        <v>0</v>
      </c>
      <c r="AV785" s="14" t="n">
        <v>1</v>
      </c>
      <c r="AW785" s="14" t="n">
        <v>0.986</v>
      </c>
      <c r="AX785" s="14" t="n">
        <v>0.123</v>
      </c>
      <c r="AY785" s="14" t="n">
        <v>0.091</v>
      </c>
      <c r="AZ785" s="14" t="n">
        <v>1.077</v>
      </c>
      <c r="BA785" s="14" t="n">
        <v>0</v>
      </c>
      <c r="BB785" s="14" t="n">
        <v>1</v>
      </c>
      <c r="BC785" s="14" t="n">
        <v>0.598</v>
      </c>
      <c r="BD785" s="14" t="n">
        <v>0.123</v>
      </c>
      <c r="BE785" s="14" t="n">
        <v>0.008</v>
      </c>
      <c r="BF785" s="14" t="n">
        <v>0.705</v>
      </c>
      <c r="BG785" s="14" t="n">
        <v>0.18</v>
      </c>
      <c r="BH785" s="14" t="n">
        <v>1</v>
      </c>
      <c r="BI785" s="14" t="n">
        <v>0.612</v>
      </c>
      <c r="BJ785" s="14" t="n">
        <v>0.123</v>
      </c>
      <c r="BK785" s="14" t="n">
        <v>0.438</v>
      </c>
      <c r="BL785" s="14" t="n">
        <v>1.05</v>
      </c>
      <c r="BM785" s="14" t="n">
        <v>0</v>
      </c>
      <c r="BN785" s="14" t="n">
        <v>1</v>
      </c>
      <c r="BO785" s="14" t="n">
        <v>0</v>
      </c>
      <c r="BP785" s="14" t="n">
        <v>0.015</v>
      </c>
      <c r="BQ785" s="14" t="n">
        <v>0.068</v>
      </c>
      <c r="BR785" s="14" t="n">
        <v>0</v>
      </c>
      <c r="BS785" s="14" t="n">
        <v>0</v>
      </c>
      <c r="BT785" s="14" t="n">
        <v>0</v>
      </c>
      <c r="BU785" s="14" t="n">
        <v>0.022</v>
      </c>
      <c r="BV785" s="14" t="n">
        <v>0.102</v>
      </c>
      <c r="BW785" s="14" t="n">
        <v>0.18</v>
      </c>
      <c r="BX785" s="14" t="n">
        <v>0</v>
      </c>
      <c r="BY785" s="14" t="n">
        <v>12.729</v>
      </c>
      <c r="BZ785" s="14" t="n">
        <v>0</v>
      </c>
      <c r="CA785" s="14" t="n">
        <v>12.729</v>
      </c>
      <c r="CB785" s="14" t="n">
        <v>0</v>
      </c>
      <c r="CC785" s="14" t="n">
        <v>97.90000000000001</v>
      </c>
      <c r="CD785" s="14" t="n">
        <v>7.95</v>
      </c>
      <c r="CE785" s="14" t="n">
        <v>75.864</v>
      </c>
      <c r="CF785" s="14" t="n">
        <v>205.042</v>
      </c>
      <c r="CG785" s="14" t="n">
        <v>0.18</v>
      </c>
      <c r="CH785" s="14" t="n">
        <v>1</v>
      </c>
      <c r="CI785" s="14" t="n">
        <v>0</v>
      </c>
      <c r="CJ785" s="14" t="n">
        <v>0</v>
      </c>
      <c r="CK785" s="14" t="n">
        <v>0</v>
      </c>
      <c r="CL785" s="14" t="n">
        <v>0</v>
      </c>
      <c r="CM785" s="14" t="n">
        <v>0</v>
      </c>
      <c r="CN785" s="14" t="n">
        <v>0</v>
      </c>
      <c r="CO785" s="14" t="n">
        <v>0</v>
      </c>
      <c r="CP785" s="14" t="n">
        <v>1</v>
      </c>
      <c r="CQ785" s="14" t="n">
        <v>1.294</v>
      </c>
      <c r="CR785" s="14" t="n">
        <v>1</v>
      </c>
      <c r="CS785" s="14" t="n">
        <v>1.642</v>
      </c>
      <c r="CT785" s="14" t="n">
        <v>10.485</v>
      </c>
      <c r="CU785" s="14" t="n">
        <v>31.326</v>
      </c>
    </row>
    <row r="786">
      <c r="A786" s="14" t="inlineStr">
        <is>
          <t>TZA2023</t>
        </is>
      </c>
      <c r="B786" s="14" t="inlineStr">
        <is>
          <t>TZA</t>
        </is>
      </c>
      <c r="C786" s="14" t="inlineStr">
        <is>
          <t>TZA</t>
        </is>
      </c>
      <c r="D786" s="14" t="inlineStr">
        <is>
          <t>Tanzania</t>
        </is>
      </c>
      <c r="E786" s="14" t="n">
        <v>2023</v>
      </c>
      <c r="F786" s="14" t="n">
        <v>0.18</v>
      </c>
      <c r="G786" s="14" t="n">
        <v>1.99</v>
      </c>
      <c r="H786" s="14" t="n">
        <v>0.643</v>
      </c>
      <c r="I786" s="14" t="n">
        <v>0</v>
      </c>
      <c r="J786" s="14" t="n">
        <v>1.99</v>
      </c>
      <c r="K786" s="14" t="n">
        <v>0</v>
      </c>
      <c r="L786" s="14" t="n">
        <v>1</v>
      </c>
      <c r="M786" s="14" t="n">
        <v>3.276</v>
      </c>
      <c r="N786" s="14" t="n">
        <v>1.928</v>
      </c>
      <c r="O786" s="14" t="n">
        <v>0</v>
      </c>
      <c r="P786" s="14" t="n">
        <v>3.276</v>
      </c>
      <c r="Q786" s="14" t="n">
        <v>0</v>
      </c>
      <c r="R786" s="14" t="n">
        <v>1</v>
      </c>
      <c r="S786" s="14" t="n">
        <v>5.205</v>
      </c>
      <c r="T786" s="14" t="n">
        <v>3.857</v>
      </c>
      <c r="U786" s="14" t="n">
        <v>0.104</v>
      </c>
      <c r="V786" s="14" t="n">
        <v>6.141</v>
      </c>
      <c r="W786" s="14" t="n">
        <v>0.18</v>
      </c>
      <c r="X786" s="14" t="n">
        <v>1</v>
      </c>
      <c r="Y786" s="14" t="n">
        <v>2.352</v>
      </c>
      <c r="Z786" s="14" t="n">
        <v>0.173</v>
      </c>
      <c r="AA786" s="14" t="n">
        <v>2.122</v>
      </c>
      <c r="AB786" s="14" t="n">
        <v>4.474</v>
      </c>
      <c r="AC786" s="14" t="n">
        <v>0</v>
      </c>
      <c r="AD786" s="14" t="n">
        <v>1</v>
      </c>
      <c r="AE786" s="14" t="n">
        <v>2.995</v>
      </c>
      <c r="AF786" s="14" t="n">
        <v>0.405</v>
      </c>
      <c r="AG786" s="14" t="n">
        <v>4.815</v>
      </c>
      <c r="AH786" s="14" t="n">
        <v>7.81</v>
      </c>
      <c r="AI786" s="14" t="n">
        <v>0</v>
      </c>
      <c r="AJ786" s="14" t="n">
        <v>1</v>
      </c>
      <c r="AK786" s="14" t="n">
        <v>6.852</v>
      </c>
      <c r="AL786" s="14" t="n">
        <v>2.546</v>
      </c>
      <c r="AM786" s="14" t="n">
        <v>4.256</v>
      </c>
      <c r="AN786" s="14" t="n">
        <v>13.107</v>
      </c>
      <c r="AO786" s="14" t="n">
        <v>0.18</v>
      </c>
      <c r="AP786" s="14" t="n">
        <v>1</v>
      </c>
      <c r="AQ786" s="14" t="n">
        <v>0.76</v>
      </c>
      <c r="AR786" s="14" t="n">
        <v>0.129</v>
      </c>
      <c r="AS786" s="14" t="n">
        <v>0.503</v>
      </c>
      <c r="AT786" s="14" t="n">
        <v>1.264</v>
      </c>
      <c r="AU786" s="14" t="n">
        <v>0</v>
      </c>
      <c r="AV786" s="14" t="n">
        <v>1</v>
      </c>
      <c r="AW786" s="14" t="n">
        <v>0.8110000000000001</v>
      </c>
      <c r="AX786" s="14" t="n">
        <v>0.129</v>
      </c>
      <c r="AY786" s="14" t="n">
        <v>0.531</v>
      </c>
      <c r="AZ786" s="14" t="n">
        <v>1.342</v>
      </c>
      <c r="BA786" s="14" t="n">
        <v>0</v>
      </c>
      <c r="BB786" s="14" t="n">
        <v>1</v>
      </c>
      <c r="BC786" s="14" t="n">
        <v>0.535</v>
      </c>
      <c r="BD786" s="14" t="n">
        <v>0.129</v>
      </c>
      <c r="BE786" s="14" t="n">
        <v>0.011</v>
      </c>
      <c r="BF786" s="14" t="n">
        <v>0.631</v>
      </c>
      <c r="BG786" s="14" t="n">
        <v>0.18</v>
      </c>
      <c r="BH786" s="14" t="n">
        <v>1</v>
      </c>
      <c r="BI786" s="14" t="n">
        <v>0.579</v>
      </c>
      <c r="BJ786" s="14" t="n">
        <v>0.129</v>
      </c>
      <c r="BK786" s="14" t="n">
        <v>0.754</v>
      </c>
      <c r="BL786" s="14" t="n">
        <v>1.334</v>
      </c>
      <c r="BM786" s="14" t="n">
        <v>0</v>
      </c>
      <c r="BN786" s="14" t="n">
        <v>1</v>
      </c>
      <c r="BO786" s="14" t="n">
        <v>0</v>
      </c>
      <c r="BP786" s="14" t="n">
        <v>0.014</v>
      </c>
      <c r="BQ786" s="14" t="n">
        <v>0.065</v>
      </c>
      <c r="BR786" s="14" t="n">
        <v>0</v>
      </c>
      <c r="BS786" s="14" t="n">
        <v>0</v>
      </c>
      <c r="BT786" s="14" t="n">
        <v>0</v>
      </c>
      <c r="BU786" s="14" t="n">
        <v>0.022</v>
      </c>
      <c r="BV786" s="14" t="n">
        <v>0.098</v>
      </c>
      <c r="BW786" s="14" t="n">
        <v>0.18</v>
      </c>
      <c r="BX786" s="14" t="n">
        <v>0</v>
      </c>
      <c r="BY786" s="14" t="n">
        <v>13.254</v>
      </c>
      <c r="BZ786" s="14" t="n">
        <v>0</v>
      </c>
      <c r="CA786" s="14" t="n">
        <v>13.254</v>
      </c>
      <c r="CB786" s="14" t="n">
        <v>0</v>
      </c>
      <c r="CC786" s="14" t="n">
        <v>83.248</v>
      </c>
      <c r="CD786" s="14" t="n">
        <v>7.95</v>
      </c>
      <c r="CE786" s="14" t="n">
        <v>85.849</v>
      </c>
      <c r="CF786" s="14" t="n">
        <v>199.534</v>
      </c>
      <c r="CG786" s="14" t="n">
        <v>0.18</v>
      </c>
      <c r="CH786" s="14" t="n">
        <v>1</v>
      </c>
      <c r="CI786" s="14" t="n">
        <v>0</v>
      </c>
      <c r="CJ786" s="14" t="n">
        <v>0</v>
      </c>
      <c r="CK786" s="14" t="n">
        <v>0</v>
      </c>
      <c r="CL786" s="14" t="n">
        <v>0</v>
      </c>
      <c r="CM786" s="14" t="n">
        <v>0</v>
      </c>
      <c r="CN786" s="14" t="n">
        <v>0</v>
      </c>
      <c r="CO786" s="14" t="n">
        <v>0</v>
      </c>
      <c r="CP786" s="14" t="n">
        <v>1</v>
      </c>
      <c r="CQ786" s="14" t="n">
        <v>1.348</v>
      </c>
      <c r="CR786" s="14" t="n">
        <v>1</v>
      </c>
      <c r="CS786" s="14" t="n">
        <v>1.71</v>
      </c>
      <c r="CT786" s="14" t="n">
        <v>4.861</v>
      </c>
      <c r="CU786" s="14" t="n">
        <v>11.622</v>
      </c>
    </row>
    <row r="787">
      <c r="A787" s="14" t="inlineStr">
        <is>
          <t>TZA2024</t>
        </is>
      </c>
      <c r="B787" s="14" t="inlineStr">
        <is>
          <t>TZA</t>
        </is>
      </c>
      <c r="C787" s="14" t="inlineStr">
        <is>
          <t>TZA</t>
        </is>
      </c>
      <c r="D787" s="14" t="inlineStr">
        <is>
          <t>Tanzania</t>
        </is>
      </c>
      <c r="E787" s="14" t="n">
        <v>2024</v>
      </c>
      <c r="F787" s="14" t="n">
        <v>0.18</v>
      </c>
      <c r="G787" s="14" t="n">
        <v>2.049</v>
      </c>
      <c r="H787" s="14" t="n">
        <v>0.662</v>
      </c>
      <c r="I787" s="14" t="n">
        <v>0</v>
      </c>
      <c r="J787" s="14" t="n">
        <v>2.049</v>
      </c>
      <c r="K787" s="14" t="n">
        <v>0</v>
      </c>
      <c r="L787" s="14" t="n">
        <v>1</v>
      </c>
      <c r="M787" s="14" t="n">
        <v>3.373</v>
      </c>
      <c r="N787" s="14" t="n">
        <v>1.985</v>
      </c>
      <c r="O787" s="14" t="n">
        <v>0</v>
      </c>
      <c r="P787" s="14" t="n">
        <v>3.373</v>
      </c>
      <c r="Q787" s="14" t="n">
        <v>0</v>
      </c>
      <c r="R787" s="14" t="n">
        <v>1</v>
      </c>
      <c r="S787" s="14" t="n">
        <v>5.358</v>
      </c>
      <c r="T787" s="14" t="n">
        <v>3.971</v>
      </c>
      <c r="U787" s="14" t="n">
        <v>0.131</v>
      </c>
      <c r="V787" s="14" t="n">
        <v>6.323</v>
      </c>
      <c r="W787" s="14" t="n">
        <v>0.18</v>
      </c>
      <c r="X787" s="14" t="n">
        <v>1</v>
      </c>
      <c r="Y787" s="14" t="n">
        <v>2.422</v>
      </c>
      <c r="Z787" s="14" t="n">
        <v>0.178</v>
      </c>
      <c r="AA787" s="14" t="n">
        <v>2.184</v>
      </c>
      <c r="AB787" s="14" t="n">
        <v>4.606</v>
      </c>
      <c r="AC787" s="14" t="n">
        <v>0</v>
      </c>
      <c r="AD787" s="14" t="n">
        <v>1</v>
      </c>
      <c r="AE787" s="14" t="n">
        <v>3.084</v>
      </c>
      <c r="AF787" s="14" t="n">
        <v>0.417</v>
      </c>
      <c r="AG787" s="14" t="n">
        <v>4.957</v>
      </c>
      <c r="AH787" s="14" t="n">
        <v>8.041</v>
      </c>
      <c r="AI787" s="14" t="n">
        <v>0</v>
      </c>
      <c r="AJ787" s="14" t="n">
        <v>1</v>
      </c>
      <c r="AK787" s="14" t="n">
        <v>7.054</v>
      </c>
      <c r="AL787" s="14" t="n">
        <v>2.621</v>
      </c>
      <c r="AM787" s="14" t="n">
        <v>4.662</v>
      </c>
      <c r="AN787" s="14" t="n">
        <v>13.494</v>
      </c>
      <c r="AO787" s="14" t="n">
        <v>0.18</v>
      </c>
      <c r="AP787" s="14" t="n">
        <v>1</v>
      </c>
      <c r="AQ787" s="14" t="n">
        <v>0.724</v>
      </c>
      <c r="AR787" s="14" t="n">
        <v>0.132</v>
      </c>
      <c r="AS787" s="14" t="n">
        <v>0.494</v>
      </c>
      <c r="AT787" s="14" t="n">
        <v>1.219</v>
      </c>
      <c r="AU787" s="14" t="n">
        <v>0</v>
      </c>
      <c r="AV787" s="14" t="n">
        <v>1</v>
      </c>
      <c r="AW787" s="14" t="n">
        <v>0.75</v>
      </c>
      <c r="AX787" s="14" t="n">
        <v>0.132</v>
      </c>
      <c r="AY787" s="14" t="n">
        <v>0.454</v>
      </c>
      <c r="AZ787" s="14" t="n">
        <v>1.204</v>
      </c>
      <c r="BA787" s="14" t="n">
        <v>0</v>
      </c>
      <c r="BB787" s="14" t="n">
        <v>1</v>
      </c>
      <c r="BC787" s="14" t="n">
        <v>0.513</v>
      </c>
      <c r="BD787" s="14" t="n">
        <v>0.132</v>
      </c>
      <c r="BE787" s="14" t="n">
        <v>0.013</v>
      </c>
      <c r="BF787" s="14" t="n">
        <v>0.605</v>
      </c>
      <c r="BG787" s="14" t="n">
        <v>0.18</v>
      </c>
      <c r="BH787" s="14" t="n">
        <v>1</v>
      </c>
      <c r="BI787" s="14" t="n">
        <v>0.591</v>
      </c>
      <c r="BJ787" s="14" t="n">
        <v>0.132</v>
      </c>
      <c r="BK787" s="14" t="n">
        <v>0.575</v>
      </c>
      <c r="BL787" s="14" t="n">
        <v>1.166</v>
      </c>
      <c r="BM787" s="14" t="n">
        <v>0</v>
      </c>
      <c r="BN787" s="14" t="n">
        <v>1</v>
      </c>
      <c r="BO787" s="14" t="n">
        <v>0</v>
      </c>
      <c r="BP787" s="14" t="n">
        <v>0.013</v>
      </c>
      <c r="BQ787" s="14" t="n">
        <v>0.06</v>
      </c>
      <c r="BR787" s="14" t="n">
        <v>0</v>
      </c>
      <c r="BS787" s="14" t="n">
        <v>0</v>
      </c>
      <c r="BT787" s="14" t="n">
        <v>0</v>
      </c>
      <c r="BU787" s="14" t="n">
        <v>0.02</v>
      </c>
      <c r="BV787" s="14" t="n">
        <v>0.09</v>
      </c>
      <c r="BW787" s="14" t="n">
        <v>0.18</v>
      </c>
      <c r="BX787" s="14" t="n">
        <v>0</v>
      </c>
      <c r="BY787" s="14" t="n">
        <v>13.646</v>
      </c>
      <c r="BZ787" s="14" t="n">
        <v>0</v>
      </c>
      <c r="CA787" s="14" t="n">
        <v>13.646</v>
      </c>
      <c r="CB787" s="14" t="n">
        <v>0</v>
      </c>
      <c r="CC787" s="14" t="n">
        <v>82.58799999999999</v>
      </c>
      <c r="CD787" s="14" t="n">
        <v>7.95</v>
      </c>
      <c r="CE787" s="14" t="n">
        <v>79.34099999999999</v>
      </c>
      <c r="CF787" s="14" t="n">
        <v>191.076</v>
      </c>
      <c r="CG787" s="14" t="n">
        <v>0.18</v>
      </c>
      <c r="CH787" s="14" t="n">
        <v>1</v>
      </c>
      <c r="CI787" s="14" t="n">
        <v>0</v>
      </c>
      <c r="CJ787" s="14" t="n">
        <v>0</v>
      </c>
      <c r="CK787" s="14" t="n">
        <v>0</v>
      </c>
      <c r="CL787" s="14" t="n">
        <v>0</v>
      </c>
      <c r="CM787" s="14" t="n">
        <v>0</v>
      </c>
      <c r="CN787" s="14" t="n">
        <v>0</v>
      </c>
      <c r="CO787" s="14" t="n">
        <v>0</v>
      </c>
      <c r="CP787" s="14" t="n">
        <v>1</v>
      </c>
      <c r="CQ787" s="14" t="n">
        <v>1.387</v>
      </c>
      <c r="CR787" s="14" t="n">
        <v>1</v>
      </c>
      <c r="CS787" s="14" t="n">
        <v>1.76</v>
      </c>
      <c r="CT787" s="14" t="n">
        <v>4.251</v>
      </c>
      <c r="CU787" s="14" t="n">
        <v>10.168</v>
      </c>
    </row>
    <row r="788">
      <c r="A788" s="14" t="inlineStr">
        <is>
          <t>THA2021</t>
        </is>
      </c>
      <c r="B788" s="14" t="inlineStr">
        <is>
          <t>THA</t>
        </is>
      </c>
      <c r="C788" s="14" t="inlineStr">
        <is>
          <t>THA</t>
        </is>
      </c>
      <c r="D788" s="14" t="inlineStr">
        <is>
          <t>Thailand</t>
        </is>
      </c>
      <c r="E788" s="14" t="n">
        <v>2021</v>
      </c>
      <c r="F788" s="14" t="n">
        <v>0.07000000000000001</v>
      </c>
      <c r="G788" s="14" t="n">
        <v>6.669</v>
      </c>
      <c r="H788" s="14" t="n">
        <v>1.143</v>
      </c>
      <c r="I788" s="14" t="n">
        <v>-0.86</v>
      </c>
      <c r="J788" s="14" t="n">
        <v>5.809</v>
      </c>
      <c r="K788" s="14" t="n">
        <v>0</v>
      </c>
      <c r="L788" s="14" t="n">
        <v>1</v>
      </c>
      <c r="M788" s="14" t="n">
        <v>7.964</v>
      </c>
      <c r="N788" s="14" t="n">
        <v>3.43</v>
      </c>
      <c r="O788" s="14" t="n">
        <v>-1.86</v>
      </c>
      <c r="P788" s="14" t="n">
        <v>6.104</v>
      </c>
      <c r="Q788" s="14" t="n">
        <v>0</v>
      </c>
      <c r="R788" s="14" t="n">
        <v>1</v>
      </c>
      <c r="S788" s="14" t="n">
        <v>10.464</v>
      </c>
      <c r="T788" s="14" t="n">
        <v>6.86</v>
      </c>
      <c r="U788" s="14" t="n">
        <v>-1.86</v>
      </c>
      <c r="V788" s="14" t="n">
        <v>9.206</v>
      </c>
      <c r="W788" s="14" t="n">
        <v>0.07000000000000001</v>
      </c>
      <c r="X788" s="14" t="n">
        <v>1</v>
      </c>
      <c r="Y788" s="14" t="n">
        <v>10.907</v>
      </c>
      <c r="Z788" s="14" t="n">
        <v>0.728</v>
      </c>
      <c r="AA788" s="14" t="n">
        <v>0</v>
      </c>
      <c r="AB788" s="14" t="n">
        <v>10.907</v>
      </c>
      <c r="AC788" s="14" t="n">
        <v>0</v>
      </c>
      <c r="AD788" s="14" t="n">
        <v>1</v>
      </c>
      <c r="AE788" s="14" t="n">
        <v>11.676</v>
      </c>
      <c r="AF788" s="14" t="n">
        <v>1.449</v>
      </c>
      <c r="AG788" s="14" t="n">
        <v>0</v>
      </c>
      <c r="AH788" s="14" t="n">
        <v>11.676</v>
      </c>
      <c r="AI788" s="14" t="n">
        <v>0</v>
      </c>
      <c r="AJ788" s="14" t="n">
        <v>1</v>
      </c>
      <c r="AK788" s="14" t="n">
        <v>14.754</v>
      </c>
      <c r="AL788" s="14" t="n">
        <v>7.241</v>
      </c>
      <c r="AM788" s="14" t="n">
        <v>-6.208</v>
      </c>
      <c r="AN788" s="14" t="n">
        <v>9.144</v>
      </c>
      <c r="AO788" s="14" t="n">
        <v>0</v>
      </c>
      <c r="AP788" s="14" t="n">
        <v>0</v>
      </c>
      <c r="AQ788" s="14" t="n">
        <v>0.621</v>
      </c>
      <c r="AR788" s="14" t="n">
        <v>0.114</v>
      </c>
      <c r="AS788" s="14" t="n">
        <v>0.21</v>
      </c>
      <c r="AT788" s="14" t="n">
        <v>0.889</v>
      </c>
      <c r="AU788" s="14" t="n">
        <v>0.07000000000000001</v>
      </c>
      <c r="AV788" s="14" t="n">
        <v>1</v>
      </c>
      <c r="AW788" s="14" t="n">
        <v>0.593</v>
      </c>
      <c r="AX788" s="14" t="n">
        <v>0.114</v>
      </c>
      <c r="AY788" s="14" t="n">
        <v>0.213</v>
      </c>
      <c r="AZ788" s="14" t="n">
        <v>0.862</v>
      </c>
      <c r="BA788" s="14" t="n">
        <v>0.07000000000000001</v>
      </c>
      <c r="BB788" s="14" t="n">
        <v>1</v>
      </c>
      <c r="BC788" s="14" t="n">
        <v>0.421</v>
      </c>
      <c r="BD788" s="14" t="n">
        <v>0.109</v>
      </c>
      <c r="BE788" s="14" t="n">
        <v>-0.123</v>
      </c>
      <c r="BF788" s="14" t="n">
        <v>0.319</v>
      </c>
      <c r="BG788" s="14" t="n">
        <v>0</v>
      </c>
      <c r="BH788" s="14" t="n">
        <v>1</v>
      </c>
      <c r="BI788" s="14" t="n">
        <v>0.5600000000000001</v>
      </c>
      <c r="BJ788" s="14" t="n">
        <v>0.114</v>
      </c>
      <c r="BK788" s="14" t="n">
        <v>-0.109</v>
      </c>
      <c r="BL788" s="14" t="n">
        <v>0.482</v>
      </c>
      <c r="BM788" s="14" t="n">
        <v>0.07000000000000001</v>
      </c>
      <c r="BN788" s="14" t="n">
        <v>1</v>
      </c>
      <c r="BO788" s="14" t="n">
        <v>0</v>
      </c>
      <c r="BP788" s="14" t="n">
        <v>0</v>
      </c>
      <c r="BQ788" s="14" t="n">
        <v>0.094</v>
      </c>
      <c r="BR788" s="14" t="n">
        <v>0</v>
      </c>
      <c r="BS788" s="14" t="n">
        <v>1</v>
      </c>
      <c r="BT788" s="14" t="n">
        <v>0</v>
      </c>
      <c r="BU788" s="14" t="n">
        <v>0</v>
      </c>
      <c r="BV788" s="14" t="n">
        <v>0.118</v>
      </c>
      <c r="BW788" s="14" t="n">
        <v>0.07000000000000001</v>
      </c>
      <c r="BX788" s="14" t="n">
        <v>0.833</v>
      </c>
      <c r="BY788" s="14" t="n">
        <v>11.787</v>
      </c>
      <c r="BZ788" s="14" t="n">
        <v>0</v>
      </c>
      <c r="CA788" s="14" t="n">
        <v>11.787</v>
      </c>
      <c r="CB788" s="14" t="n">
        <v>0</v>
      </c>
      <c r="CC788" s="14" t="n">
        <v>81.69499999999999</v>
      </c>
      <c r="CD788" s="14" t="n">
        <v>7.95</v>
      </c>
      <c r="CE788" s="14" t="n">
        <v>37.903</v>
      </c>
      <c r="CF788" s="14" t="n">
        <v>127.971</v>
      </c>
      <c r="CG788" s="14" t="n">
        <v>0.07000000000000001</v>
      </c>
      <c r="CH788" s="14" t="n">
        <v>1</v>
      </c>
      <c r="CI788" s="14" t="n">
        <v>0</v>
      </c>
      <c r="CJ788" s="14" t="n">
        <v>0</v>
      </c>
      <c r="CK788" s="14" t="n">
        <v>0</v>
      </c>
      <c r="CL788" s="14" t="n">
        <v>0</v>
      </c>
      <c r="CM788" s="14" t="n">
        <v>0</v>
      </c>
      <c r="CN788" s="14" t="n">
        <v>0</v>
      </c>
      <c r="CO788" s="14" t="n">
        <v>0</v>
      </c>
      <c r="CP788" s="14" t="n">
        <v>0</v>
      </c>
      <c r="CQ788" s="14" t="n">
        <v>1.198</v>
      </c>
      <c r="CR788" s="14" t="n">
        <v>0.654</v>
      </c>
      <c r="CS788" s="14" t="n">
        <v>7.139</v>
      </c>
      <c r="CT788" s="14" t="n">
        <v>3.604</v>
      </c>
      <c r="CU788" s="14" t="n">
        <v>20.842</v>
      </c>
    </row>
    <row r="789">
      <c r="A789" s="14" t="inlineStr">
        <is>
          <t>THA2022</t>
        </is>
      </c>
      <c r="B789" s="14" t="inlineStr">
        <is>
          <t>THA</t>
        </is>
      </c>
      <c r="C789" s="14" t="inlineStr">
        <is>
          <t>THA</t>
        </is>
      </c>
      <c r="D789" s="14" t="inlineStr">
        <is>
          <t>Thailand</t>
        </is>
      </c>
      <c r="E789" s="14" t="n">
        <v>2022</v>
      </c>
      <c r="F789" s="14" t="n">
        <v>0.07000000000000001</v>
      </c>
      <c r="G789" s="14" t="n">
        <v>9.582000000000001</v>
      </c>
      <c r="H789" s="14" t="n">
        <v>1.12</v>
      </c>
      <c r="I789" s="14" t="n">
        <v>-0.6889999999999999</v>
      </c>
      <c r="J789" s="14" t="n">
        <v>8.893000000000001</v>
      </c>
      <c r="K789" s="14" t="n">
        <v>0</v>
      </c>
      <c r="L789" s="14" t="n">
        <v>1</v>
      </c>
      <c r="M789" s="14" t="n">
        <v>8.545999999999999</v>
      </c>
      <c r="N789" s="14" t="n">
        <v>3.359</v>
      </c>
      <c r="O789" s="14" t="n">
        <v>-1.769</v>
      </c>
      <c r="P789" s="14" t="n">
        <v>6.777</v>
      </c>
      <c r="Q789" s="14" t="n">
        <v>0</v>
      </c>
      <c r="R789" s="14" t="n">
        <v>1</v>
      </c>
      <c r="S789" s="14" t="n">
        <v>13.105</v>
      </c>
      <c r="T789" s="14" t="n">
        <v>6.718</v>
      </c>
      <c r="U789" s="14" t="n">
        <v>-1.71</v>
      </c>
      <c r="V789" s="14" t="n">
        <v>12.13</v>
      </c>
      <c r="W789" s="14" t="n">
        <v>0.07000000000000001</v>
      </c>
      <c r="X789" s="14" t="n">
        <v>1</v>
      </c>
      <c r="Y789" s="14" t="n">
        <v>17.559</v>
      </c>
      <c r="Z789" s="14" t="n">
        <v>1.172</v>
      </c>
      <c r="AA789" s="14" t="n">
        <v>-3.802</v>
      </c>
      <c r="AB789" s="14" t="n">
        <v>13.757</v>
      </c>
      <c r="AC789" s="14" t="n">
        <v>0</v>
      </c>
      <c r="AD789" s="14" t="n">
        <v>1</v>
      </c>
      <c r="AE789" s="14" t="n">
        <v>18.419</v>
      </c>
      <c r="AF789" s="14" t="n">
        <v>2.286</v>
      </c>
      <c r="AG789" s="14" t="n">
        <v>-3.802</v>
      </c>
      <c r="AH789" s="14" t="n">
        <v>14.617</v>
      </c>
      <c r="AI789" s="14" t="n">
        <v>0</v>
      </c>
      <c r="AJ789" s="14" t="n">
        <v>1</v>
      </c>
      <c r="AK789" s="14" t="n">
        <v>21.86</v>
      </c>
      <c r="AL789" s="14" t="n">
        <v>10.439</v>
      </c>
      <c r="AM789" s="14" t="n">
        <v>-13.276</v>
      </c>
      <c r="AN789" s="14" t="n">
        <v>9.185</v>
      </c>
      <c r="AO789" s="14" t="n">
        <v>0</v>
      </c>
      <c r="AP789" s="14" t="n">
        <v>0</v>
      </c>
      <c r="AQ789" s="14" t="n">
        <v>0.847</v>
      </c>
      <c r="AR789" s="14" t="n">
        <v>0.123</v>
      </c>
      <c r="AS789" s="14" t="n">
        <v>0.156</v>
      </c>
      <c r="AT789" s="14" t="n">
        <v>1.073</v>
      </c>
      <c r="AU789" s="14" t="n">
        <v>0.07000000000000001</v>
      </c>
      <c r="AV789" s="14" t="n">
        <v>1</v>
      </c>
      <c r="AW789" s="14" t="n">
        <v>0.947</v>
      </c>
      <c r="AX789" s="14" t="n">
        <v>0.123</v>
      </c>
      <c r="AY789" s="14" t="n">
        <v>-0.034</v>
      </c>
      <c r="AZ789" s="14" t="n">
        <v>0.977</v>
      </c>
      <c r="BA789" s="14" t="n">
        <v>0.07000000000000001</v>
      </c>
      <c r="BB789" s="14" t="n">
        <v>1</v>
      </c>
      <c r="BC789" s="14" t="n">
        <v>0.473</v>
      </c>
      <c r="BD789" s="14" t="n">
        <v>0.098</v>
      </c>
      <c r="BE789" s="14" t="n">
        <v>-0.155</v>
      </c>
      <c r="BF789" s="14" t="n">
        <v>0.341</v>
      </c>
      <c r="BG789" s="14" t="n">
        <v>0</v>
      </c>
      <c r="BH789" s="14" t="n">
        <v>1</v>
      </c>
      <c r="BI789" s="14" t="n">
        <v>0.6889999999999999</v>
      </c>
      <c r="BJ789" s="14" t="n">
        <v>0.123</v>
      </c>
      <c r="BK789" s="14" t="n">
        <v>0.066</v>
      </c>
      <c r="BL789" s="14" t="n">
        <v>0.8080000000000001</v>
      </c>
      <c r="BM789" s="14" t="n">
        <v>0.07000000000000001</v>
      </c>
      <c r="BN789" s="14" t="n">
        <v>1</v>
      </c>
      <c r="BO789" s="14" t="n">
        <v>0</v>
      </c>
      <c r="BP789" s="14" t="n">
        <v>-0.034</v>
      </c>
      <c r="BQ789" s="14" t="n">
        <v>0.099</v>
      </c>
      <c r="BR789" s="14" t="n">
        <v>0</v>
      </c>
      <c r="BS789" s="14" t="n">
        <v>1</v>
      </c>
      <c r="BT789" s="14" t="n">
        <v>0</v>
      </c>
      <c r="BU789" s="14" t="n">
        <v>-0.034</v>
      </c>
      <c r="BV789" s="14" t="n">
        <v>0.121</v>
      </c>
      <c r="BW789" s="14" t="n">
        <v>0.07000000000000001</v>
      </c>
      <c r="BX789" s="14" t="n">
        <v>0.833</v>
      </c>
      <c r="BY789" s="14" t="n">
        <v>12.729</v>
      </c>
      <c r="BZ789" s="14" t="n">
        <v>0</v>
      </c>
      <c r="CA789" s="14" t="n">
        <v>12.729</v>
      </c>
      <c r="CB789" s="14" t="n">
        <v>0</v>
      </c>
      <c r="CC789" s="14" t="n">
        <v>102.477</v>
      </c>
      <c r="CD789" s="14" t="n">
        <v>7.95</v>
      </c>
      <c r="CE789" s="14" t="n">
        <v>37.759</v>
      </c>
      <c r="CF789" s="14" t="n">
        <v>149.279</v>
      </c>
      <c r="CG789" s="14" t="n">
        <v>0.07000000000000001</v>
      </c>
      <c r="CH789" s="14" t="n">
        <v>1</v>
      </c>
      <c r="CI789" s="14" t="n">
        <v>0</v>
      </c>
      <c r="CJ789" s="14" t="n">
        <v>0</v>
      </c>
      <c r="CK789" s="14" t="n">
        <v>0</v>
      </c>
      <c r="CL789" s="14" t="n">
        <v>0</v>
      </c>
      <c r="CM789" s="14" t="n">
        <v>0</v>
      </c>
      <c r="CN789" s="14" t="n">
        <v>0</v>
      </c>
      <c r="CO789" s="14" t="n">
        <v>0</v>
      </c>
      <c r="CP789" s="14" t="n">
        <v>0.186</v>
      </c>
      <c r="CQ789" s="14" t="n">
        <v>1.294</v>
      </c>
      <c r="CR789" s="14" t="n">
        <v>0.606</v>
      </c>
      <c r="CS789" s="14" t="n">
        <v>7.71</v>
      </c>
      <c r="CT789" s="14" t="n">
        <v>7.554</v>
      </c>
      <c r="CU789" s="14" t="n">
        <v>37.311</v>
      </c>
    </row>
    <row r="790">
      <c r="A790" s="14" t="inlineStr">
        <is>
          <t>THA2023</t>
        </is>
      </c>
      <c r="B790" s="14" t="inlineStr">
        <is>
          <t>THA</t>
        </is>
      </c>
      <c r="C790" s="14" t="inlineStr">
        <is>
          <t>THA</t>
        </is>
      </c>
      <c r="D790" s="14" t="inlineStr">
        <is>
          <t>Thailand</t>
        </is>
      </c>
      <c r="E790" s="14" t="n">
        <v>2023</v>
      </c>
      <c r="F790" s="14" t="n">
        <v>0.07000000000000001</v>
      </c>
      <c r="G790" s="14" t="n">
        <v>7.144</v>
      </c>
      <c r="H790" s="14" t="n">
        <v>1.152</v>
      </c>
      <c r="I790" s="14" t="n">
        <v>0.5600000000000001</v>
      </c>
      <c r="J790" s="14" t="n">
        <v>7.704</v>
      </c>
      <c r="K790" s="14" t="n">
        <v>0</v>
      </c>
      <c r="L790" s="14" t="n">
        <v>1</v>
      </c>
      <c r="M790" s="14" t="n">
        <v>6.926</v>
      </c>
      <c r="N790" s="14" t="n">
        <v>3.455</v>
      </c>
      <c r="O790" s="14" t="n">
        <v>-0.5649999999999999</v>
      </c>
      <c r="P790" s="14" t="n">
        <v>6.362</v>
      </c>
      <c r="Q790" s="14" t="n">
        <v>0</v>
      </c>
      <c r="R790" s="14" t="n">
        <v>1</v>
      </c>
      <c r="S790" s="14" t="n">
        <v>10.742</v>
      </c>
      <c r="T790" s="14" t="n">
        <v>6.911</v>
      </c>
      <c r="U790" s="14" t="n">
        <v>-0.486</v>
      </c>
      <c r="V790" s="14" t="n">
        <v>10.89</v>
      </c>
      <c r="W790" s="14" t="n">
        <v>0.07000000000000001</v>
      </c>
      <c r="X790" s="14" t="n">
        <v>1</v>
      </c>
      <c r="Y790" s="14" t="n">
        <v>11.311</v>
      </c>
      <c r="Z790" s="14" t="n">
        <v>0.755</v>
      </c>
      <c r="AA790" s="14" t="n">
        <v>-0.851</v>
      </c>
      <c r="AB790" s="14" t="n">
        <v>10.459</v>
      </c>
      <c r="AC790" s="14" t="n">
        <v>0</v>
      </c>
      <c r="AD790" s="14" t="n">
        <v>1</v>
      </c>
      <c r="AE790" s="14" t="n">
        <v>12.246</v>
      </c>
      <c r="AF790" s="14" t="n">
        <v>1.52</v>
      </c>
      <c r="AG790" s="14" t="n">
        <v>-0.851</v>
      </c>
      <c r="AH790" s="14" t="n">
        <v>11.395</v>
      </c>
      <c r="AI790" s="14" t="n">
        <v>0</v>
      </c>
      <c r="AJ790" s="14" t="n">
        <v>1</v>
      </c>
      <c r="AK790" s="14" t="n">
        <v>15.99</v>
      </c>
      <c r="AL790" s="14" t="n">
        <v>7.921</v>
      </c>
      <c r="AM790" s="14" t="n">
        <v>-6.148</v>
      </c>
      <c r="AN790" s="14" t="n">
        <v>10.531</v>
      </c>
      <c r="AO790" s="14" t="n">
        <v>0</v>
      </c>
      <c r="AP790" s="14" t="n">
        <v>0</v>
      </c>
      <c r="AQ790" s="14" t="n">
        <v>0.749</v>
      </c>
      <c r="AR790" s="14" t="n">
        <v>0.129</v>
      </c>
      <c r="AS790" s="14" t="n">
        <v>0.23</v>
      </c>
      <c r="AT790" s="14" t="n">
        <v>1.047</v>
      </c>
      <c r="AU790" s="14" t="n">
        <v>0.07000000000000001</v>
      </c>
      <c r="AV790" s="14" t="n">
        <v>1</v>
      </c>
      <c r="AW790" s="14" t="n">
        <v>0.783</v>
      </c>
      <c r="AX790" s="14" t="n">
        <v>0.129</v>
      </c>
      <c r="AY790" s="14" t="n">
        <v>0.107</v>
      </c>
      <c r="AZ790" s="14" t="n">
        <v>0.952</v>
      </c>
      <c r="BA790" s="14" t="n">
        <v>0.07000000000000001</v>
      </c>
      <c r="BB790" s="14" t="n">
        <v>1</v>
      </c>
      <c r="BC790" s="14" t="n">
        <v>0.41</v>
      </c>
      <c r="BD790" s="14" t="n">
        <v>0.098</v>
      </c>
      <c r="BE790" s="14" t="n">
        <v>-0.037</v>
      </c>
      <c r="BF790" s="14" t="n">
        <v>0.399</v>
      </c>
      <c r="BG790" s="14" t="n">
        <v>0</v>
      </c>
      <c r="BH790" s="14" t="n">
        <v>1</v>
      </c>
      <c r="BI790" s="14" t="n">
        <v>0.64</v>
      </c>
      <c r="BJ790" s="14" t="n">
        <v>0.129</v>
      </c>
      <c r="BK790" s="14" t="n">
        <v>-0.012</v>
      </c>
      <c r="BL790" s="14" t="n">
        <v>0.671</v>
      </c>
      <c r="BM790" s="14" t="n">
        <v>0.07000000000000001</v>
      </c>
      <c r="BN790" s="14" t="n">
        <v>1</v>
      </c>
      <c r="BO790" s="14" t="n">
        <v>0</v>
      </c>
      <c r="BP790" s="14" t="n">
        <v>0</v>
      </c>
      <c r="BQ790" s="14" t="n">
        <v>0.116</v>
      </c>
      <c r="BR790" s="14" t="n">
        <v>0</v>
      </c>
      <c r="BS790" s="14" t="n">
        <v>1</v>
      </c>
      <c r="BT790" s="14" t="n">
        <v>0</v>
      </c>
      <c r="BU790" s="14" t="n">
        <v>0</v>
      </c>
      <c r="BV790" s="14" t="n">
        <v>0.133</v>
      </c>
      <c r="BW790" s="14" t="n">
        <v>0.07000000000000001</v>
      </c>
      <c r="BX790" s="14" t="n">
        <v>0.833</v>
      </c>
      <c r="BY790" s="14" t="n">
        <v>13.254</v>
      </c>
      <c r="BZ790" s="14" t="n">
        <v>0</v>
      </c>
      <c r="CA790" s="14" t="n">
        <v>13.254</v>
      </c>
      <c r="CB790" s="14" t="n">
        <v>0</v>
      </c>
      <c r="CC790" s="14" t="n">
        <v>87.07899999999999</v>
      </c>
      <c r="CD790" s="14" t="n">
        <v>7.95</v>
      </c>
      <c r="CE790" s="14" t="n">
        <v>44.946</v>
      </c>
      <c r="CF790" s="14" t="n">
        <v>140.181</v>
      </c>
      <c r="CG790" s="14" t="n">
        <v>0.07000000000000001</v>
      </c>
      <c r="CH790" s="14" t="n">
        <v>1</v>
      </c>
      <c r="CI790" s="14" t="n">
        <v>0</v>
      </c>
      <c r="CJ790" s="14" t="n">
        <v>0</v>
      </c>
      <c r="CK790" s="14" t="n">
        <v>0</v>
      </c>
      <c r="CL790" s="14" t="n">
        <v>0</v>
      </c>
      <c r="CM790" s="14" t="n">
        <v>0</v>
      </c>
      <c r="CN790" s="14" t="n">
        <v>0</v>
      </c>
      <c r="CO790" s="14" t="n">
        <v>0</v>
      </c>
      <c r="CP790" s="14" t="n">
        <v>0.208</v>
      </c>
      <c r="CQ790" s="14" t="n">
        <v>1.348</v>
      </c>
      <c r="CR790" s="14" t="n">
        <v>0.544</v>
      </c>
      <c r="CS790" s="14" t="n">
        <v>8.028</v>
      </c>
      <c r="CT790" s="14" t="n">
        <v>4.484</v>
      </c>
      <c r="CU790" s="14" t="n">
        <v>15.087</v>
      </c>
    </row>
    <row r="791">
      <c r="A791" s="14" t="inlineStr">
        <is>
          <t>THA2024</t>
        </is>
      </c>
      <c r="B791" s="14" t="inlineStr">
        <is>
          <t>THA</t>
        </is>
      </c>
      <c r="C791" s="14" t="inlineStr">
        <is>
          <t>THA</t>
        </is>
      </c>
      <c r="D791" s="14" t="inlineStr">
        <is>
          <t>Thailand</t>
        </is>
      </c>
      <c r="E791" s="14" t="n">
        <v>2024</v>
      </c>
      <c r="F791" s="14" t="n">
        <v>0.07000000000000001</v>
      </c>
      <c r="G791" s="14" t="n">
        <v>6.478</v>
      </c>
      <c r="H791" s="14" t="n">
        <v>1.186</v>
      </c>
      <c r="I791" s="14" t="n">
        <v>0.641</v>
      </c>
      <c r="J791" s="14" t="n">
        <v>7.119</v>
      </c>
      <c r="K791" s="14" t="n">
        <v>0</v>
      </c>
      <c r="L791" s="14" t="n">
        <v>1</v>
      </c>
      <c r="M791" s="14" t="n">
        <v>6.343</v>
      </c>
      <c r="N791" s="14" t="n">
        <v>3.557</v>
      </c>
      <c r="O791" s="14" t="n">
        <v>-0.517</v>
      </c>
      <c r="P791" s="14" t="n">
        <v>5.826</v>
      </c>
      <c r="Q791" s="14" t="n">
        <v>0</v>
      </c>
      <c r="R791" s="14" t="n">
        <v>1</v>
      </c>
      <c r="S791" s="14" t="n">
        <v>10.182</v>
      </c>
      <c r="T791" s="14" t="n">
        <v>7.115</v>
      </c>
      <c r="U791" s="14" t="n">
        <v>-0.425</v>
      </c>
      <c r="V791" s="14" t="n">
        <v>10.342</v>
      </c>
      <c r="W791" s="14" t="n">
        <v>0.07000000000000001</v>
      </c>
      <c r="X791" s="14" t="n">
        <v>1</v>
      </c>
      <c r="Y791" s="14" t="n">
        <v>10.691</v>
      </c>
      <c r="Z791" s="14" t="n">
        <v>0.713</v>
      </c>
      <c r="AA791" s="14" t="n">
        <v>-0.78</v>
      </c>
      <c r="AB791" s="14" t="n">
        <v>9.911</v>
      </c>
      <c r="AC791" s="14" t="n">
        <v>0</v>
      </c>
      <c r="AD791" s="14" t="n">
        <v>1</v>
      </c>
      <c r="AE791" s="14" t="n">
        <v>11.654</v>
      </c>
      <c r="AF791" s="14" t="n">
        <v>1.446</v>
      </c>
      <c r="AG791" s="14" t="n">
        <v>-0.78</v>
      </c>
      <c r="AH791" s="14" t="n">
        <v>10.875</v>
      </c>
      <c r="AI791" s="14" t="n">
        <v>0</v>
      </c>
      <c r="AJ791" s="14" t="n">
        <v>1</v>
      </c>
      <c r="AK791" s="14" t="n">
        <v>14.027</v>
      </c>
      <c r="AL791" s="14" t="n">
        <v>7.134</v>
      </c>
      <c r="AM791" s="14" t="n">
        <v>-4.13</v>
      </c>
      <c r="AN791" s="14" t="n">
        <v>10.589</v>
      </c>
      <c r="AO791" s="14" t="n">
        <v>0</v>
      </c>
      <c r="AP791" s="14" t="n">
        <v>0</v>
      </c>
      <c r="AQ791" s="14" t="n">
        <v>0.72</v>
      </c>
      <c r="AR791" s="14" t="n">
        <v>0.132</v>
      </c>
      <c r="AS791" s="14" t="n">
        <v>0.258</v>
      </c>
      <c r="AT791" s="14" t="n">
        <v>1.046</v>
      </c>
      <c r="AU791" s="14" t="n">
        <v>0.07000000000000001</v>
      </c>
      <c r="AV791" s="14" t="n">
        <v>1</v>
      </c>
      <c r="AW791" s="14" t="n">
        <v>0.734</v>
      </c>
      <c r="AX791" s="14" t="n">
        <v>0.132</v>
      </c>
      <c r="AY791" s="14" t="n">
        <v>0.154</v>
      </c>
      <c r="AZ791" s="14" t="n">
        <v>0.95</v>
      </c>
      <c r="BA791" s="14" t="n">
        <v>0.07000000000000001</v>
      </c>
      <c r="BB791" s="14" t="n">
        <v>1</v>
      </c>
      <c r="BC791" s="14" t="n">
        <v>0.407</v>
      </c>
      <c r="BD791" s="14" t="n">
        <v>0.105</v>
      </c>
      <c r="BE791" s="14" t="n">
        <v>-0.037</v>
      </c>
      <c r="BF791" s="14" t="n">
        <v>0.396</v>
      </c>
      <c r="BG791" s="14" t="n">
        <v>0</v>
      </c>
      <c r="BH791" s="14" t="n">
        <v>1</v>
      </c>
      <c r="BI791" s="14" t="n">
        <v>0.652</v>
      </c>
      <c r="BJ791" s="14" t="n">
        <v>0.132</v>
      </c>
      <c r="BK791" s="14" t="n">
        <v>-0.006</v>
      </c>
      <c r="BL791" s="14" t="n">
        <v>0.6850000000000001</v>
      </c>
      <c r="BM791" s="14" t="n">
        <v>0.07000000000000001</v>
      </c>
      <c r="BN791" s="14" t="n">
        <v>1</v>
      </c>
      <c r="BO791" s="14" t="n">
        <v>0</v>
      </c>
      <c r="BP791" s="14" t="n">
        <v>0</v>
      </c>
      <c r="BQ791" s="14" t="n">
        <v>0.1</v>
      </c>
      <c r="BR791" s="14" t="n">
        <v>0</v>
      </c>
      <c r="BS791" s="14" t="n">
        <v>1</v>
      </c>
      <c r="BT791" s="14" t="n">
        <v>0</v>
      </c>
      <c r="BU791" s="14" t="n">
        <v>0</v>
      </c>
      <c r="BV791" s="14" t="n">
        <v>0.122</v>
      </c>
      <c r="BW791" s="14" t="n">
        <v>0.07000000000000001</v>
      </c>
      <c r="BX791" s="14" t="n">
        <v>0.833</v>
      </c>
      <c r="BY791" s="14" t="n">
        <v>13.646</v>
      </c>
      <c r="BZ791" s="14" t="n">
        <v>0</v>
      </c>
      <c r="CA791" s="14" t="n">
        <v>13.646</v>
      </c>
      <c r="CB791" s="14" t="n">
        <v>0</v>
      </c>
      <c r="CC791" s="14" t="n">
        <v>86.38500000000001</v>
      </c>
      <c r="CD791" s="14" t="n">
        <v>7.95</v>
      </c>
      <c r="CE791" s="14" t="n">
        <v>47.384</v>
      </c>
      <c r="CF791" s="14" t="n">
        <v>141.781</v>
      </c>
      <c r="CG791" s="14" t="n">
        <v>0.07000000000000001</v>
      </c>
      <c r="CH791" s="14" t="n">
        <v>1</v>
      </c>
      <c r="CI791" s="14" t="n">
        <v>0</v>
      </c>
      <c r="CJ791" s="14" t="n">
        <v>0</v>
      </c>
      <c r="CK791" s="14" t="n">
        <v>0</v>
      </c>
      <c r="CL791" s="14" t="n">
        <v>0</v>
      </c>
      <c r="CM791" s="14" t="n">
        <v>0</v>
      </c>
      <c r="CN791" s="14" t="n">
        <v>0</v>
      </c>
      <c r="CO791" s="14" t="n">
        <v>0</v>
      </c>
      <c r="CP791" s="14" t="n">
        <v>0.208</v>
      </c>
      <c r="CQ791" s="14" t="n">
        <v>1.387</v>
      </c>
      <c r="CR791" s="14" t="n">
        <v>0.544</v>
      </c>
      <c r="CS791" s="14" t="n">
        <v>8.265000000000001</v>
      </c>
      <c r="CT791" s="14" t="n">
        <v>3.509</v>
      </c>
      <c r="CU791" s="14" t="n">
        <v>13.12</v>
      </c>
    </row>
    <row r="792">
      <c r="A792" s="14" t="inlineStr">
        <is>
          <t>TLS2021</t>
        </is>
      </c>
      <c r="B792" s="14" t="inlineStr">
        <is>
          <t>TLS</t>
        </is>
      </c>
      <c r="C792" s="14" t="inlineStr">
        <is>
          <t>TLS</t>
        </is>
      </c>
      <c r="D792" s="14" t="inlineStr">
        <is>
          <t>Timor-Leste</t>
        </is>
      </c>
      <c r="E792" s="14" t="n">
        <v>2021</v>
      </c>
      <c r="F792" s="14" t="n">
        <v>0.025</v>
      </c>
      <c r="G792" s="14" t="n">
        <v>4.747</v>
      </c>
      <c r="H792" s="14" t="n">
        <v>1.143</v>
      </c>
      <c r="I792" s="14" t="n">
        <v>0</v>
      </c>
      <c r="J792" s="14" t="n">
        <v>4.747</v>
      </c>
      <c r="K792" s="14" t="n">
        <v>0</v>
      </c>
      <c r="L792" s="14" t="n">
        <v>1</v>
      </c>
      <c r="M792" s="14" t="n">
        <v>7.964</v>
      </c>
      <c r="N792" s="14" t="n">
        <v>3.43</v>
      </c>
      <c r="O792" s="14" t="n">
        <v>0</v>
      </c>
      <c r="P792" s="14" t="n">
        <v>7.964</v>
      </c>
      <c r="Q792" s="14" t="n">
        <v>0</v>
      </c>
      <c r="R792" s="14" t="n">
        <v>1</v>
      </c>
      <c r="S792" s="14" t="n">
        <v>10.464</v>
      </c>
      <c r="T792" s="14" t="n">
        <v>6.86</v>
      </c>
      <c r="U792" s="14" t="n">
        <v>0</v>
      </c>
      <c r="V792" s="14" t="n">
        <v>10.726</v>
      </c>
      <c r="W792" s="14" t="n">
        <v>0.025</v>
      </c>
      <c r="X792" s="14" t="n">
        <v>1</v>
      </c>
      <c r="Y792" s="14" t="n">
        <v>10.535</v>
      </c>
      <c r="Z792" s="14" t="n">
        <v>1.3</v>
      </c>
      <c r="AA792" s="14" t="n">
        <v>0</v>
      </c>
      <c r="AB792" s="14" t="n">
        <v>10.535</v>
      </c>
      <c r="AC792" s="14" t="n">
        <v>0</v>
      </c>
      <c r="AD792" s="14" t="n">
        <v>1</v>
      </c>
      <c r="AE792" s="14" t="n">
        <v>11.678</v>
      </c>
      <c r="AF792" s="14" t="n">
        <v>2.546</v>
      </c>
      <c r="AG792" s="14" t="n">
        <v>0</v>
      </c>
      <c r="AH792" s="14" t="n">
        <v>11.678</v>
      </c>
      <c r="AI792" s="14" t="n">
        <v>0</v>
      </c>
      <c r="AJ792" s="14" t="n">
        <v>1</v>
      </c>
      <c r="AK792" s="14" t="n">
        <v>18.538</v>
      </c>
      <c r="AL792" s="14" t="n">
        <v>9.619</v>
      </c>
      <c r="AM792" s="14" t="n">
        <v>0</v>
      </c>
      <c r="AN792" s="14" t="n">
        <v>19.002</v>
      </c>
      <c r="AO792" s="14" t="n">
        <v>0.025</v>
      </c>
      <c r="AP792" s="14" t="n">
        <v>1</v>
      </c>
      <c r="AQ792" s="14" t="n">
        <v>0.621</v>
      </c>
      <c r="AR792" s="14" t="n">
        <v>0.114</v>
      </c>
      <c r="AS792" s="14" t="n">
        <v>0</v>
      </c>
      <c r="AT792" s="14" t="n">
        <v>0.636</v>
      </c>
      <c r="AU792" s="14" t="n">
        <v>0.025</v>
      </c>
      <c r="AV792" s="14" t="n">
        <v>1</v>
      </c>
      <c r="AW792" s="14" t="n">
        <v>0.593</v>
      </c>
      <c r="AX792" s="14" t="n">
        <v>0.114</v>
      </c>
      <c r="AY792" s="14" t="n">
        <v>0</v>
      </c>
      <c r="AZ792" s="14" t="n">
        <v>0.608</v>
      </c>
      <c r="BA792" s="14" t="n">
        <v>0.025</v>
      </c>
      <c r="BB792" s="14" t="n">
        <v>1</v>
      </c>
      <c r="BC792" s="14" t="n">
        <v>0.44</v>
      </c>
      <c r="BD792" s="14" t="n">
        <v>0.114</v>
      </c>
      <c r="BE792" s="14" t="n">
        <v>0</v>
      </c>
      <c r="BF792" s="14" t="n">
        <v>0.451</v>
      </c>
      <c r="BG792" s="14" t="n">
        <v>0.025</v>
      </c>
      <c r="BH792" s="14" t="n">
        <v>1</v>
      </c>
      <c r="BI792" s="14" t="n">
        <v>0.5600000000000001</v>
      </c>
      <c r="BJ792" s="14" t="n">
        <v>0.114</v>
      </c>
      <c r="BK792" s="14" t="n">
        <v>0</v>
      </c>
      <c r="BL792" s="14" t="n">
        <v>0.574</v>
      </c>
      <c r="BM792" s="14" t="n">
        <v>0.025</v>
      </c>
      <c r="BN792" s="14" t="n">
        <v>1</v>
      </c>
      <c r="BO792" s="14" t="n">
        <v>0</v>
      </c>
      <c r="BP792" s="14" t="n">
        <v>0</v>
      </c>
      <c r="BQ792" s="14" t="n">
        <v>0</v>
      </c>
      <c r="BR792" s="14" t="n">
        <v>0</v>
      </c>
      <c r="BS792" s="14" t="n">
        <v>1</v>
      </c>
      <c r="BT792" s="14" t="n">
        <v>0</v>
      </c>
      <c r="BU792" s="14" t="n">
        <v>0</v>
      </c>
      <c r="BV792" s="14" t="n">
        <v>0</v>
      </c>
      <c r="BW792" s="14" t="n">
        <v>0.025</v>
      </c>
      <c r="BX792" s="14" t="n">
        <v>1</v>
      </c>
      <c r="BY792" s="14" t="n">
        <v>11.787</v>
      </c>
      <c r="BZ792" s="14" t="n">
        <v>0</v>
      </c>
      <c r="CA792" s="14" t="n">
        <v>11.787</v>
      </c>
      <c r="CB792" s="14" t="n">
        <v>0</v>
      </c>
      <c r="CC792" s="14" t="n">
        <v>81.69499999999999</v>
      </c>
      <c r="CD792" s="14" t="n">
        <v>7.95</v>
      </c>
      <c r="CE792" s="14" t="n">
        <v>0</v>
      </c>
      <c r="CF792" s="14" t="n">
        <v>83.738</v>
      </c>
      <c r="CG792" s="14" t="n">
        <v>0.025</v>
      </c>
      <c r="CH792" s="14" t="n">
        <v>1</v>
      </c>
      <c r="CI792" s="14" t="n">
        <v>0</v>
      </c>
      <c r="CJ792" s="14" t="n">
        <v>0</v>
      </c>
      <c r="CK792" s="14" t="n">
        <v>0</v>
      </c>
      <c r="CL792" s="14" t="n">
        <v>0</v>
      </c>
      <c r="CM792" s="14" t="n">
        <v>0</v>
      </c>
      <c r="CN792" s="14" t="n">
        <v>0</v>
      </c>
      <c r="CO792" s="14" t="n">
        <v>0</v>
      </c>
      <c r="CP792" s="14" t="n">
        <v>0</v>
      </c>
      <c r="CQ792" s="14" t="n">
        <v>1.198</v>
      </c>
      <c r="CR792" s="14" t="n">
        <v>0</v>
      </c>
      <c r="CS792" s="14" t="n">
        <v>4.776</v>
      </c>
      <c r="CT792" s="14" t="n">
        <v>3.604</v>
      </c>
      <c r="CU792" s="14" t="n">
        <v>9.407999999999999</v>
      </c>
    </row>
    <row r="793">
      <c r="A793" s="14" t="inlineStr">
        <is>
          <t>TLS2022</t>
        </is>
      </c>
      <c r="B793" s="14" t="inlineStr">
        <is>
          <t>TLS</t>
        </is>
      </c>
      <c r="C793" s="14" t="inlineStr">
        <is>
          <t>TLS</t>
        </is>
      </c>
      <c r="D793" s="14" t="inlineStr">
        <is>
          <t>Timor-Leste</t>
        </is>
      </c>
      <c r="E793" s="14" t="n">
        <v>2022</v>
      </c>
      <c r="F793" s="14" t="n">
        <v>0.025</v>
      </c>
      <c r="G793" s="14" t="n">
        <v>8.788</v>
      </c>
      <c r="H793" s="14" t="n">
        <v>1.235</v>
      </c>
      <c r="I793" s="14" t="n">
        <v>0</v>
      </c>
      <c r="J793" s="14" t="n">
        <v>8.788</v>
      </c>
      <c r="K793" s="14" t="n">
        <v>0</v>
      </c>
      <c r="L793" s="14" t="n">
        <v>1</v>
      </c>
      <c r="M793" s="14" t="n">
        <v>9.782999999999999</v>
      </c>
      <c r="N793" s="14" t="n">
        <v>3.704</v>
      </c>
      <c r="O793" s="14" t="n">
        <v>0</v>
      </c>
      <c r="P793" s="14" t="n">
        <v>9.782999999999999</v>
      </c>
      <c r="Q793" s="14" t="n">
        <v>0</v>
      </c>
      <c r="R793" s="14" t="n">
        <v>1</v>
      </c>
      <c r="S793" s="14" t="n">
        <v>14.962</v>
      </c>
      <c r="T793" s="14" t="n">
        <v>7.408</v>
      </c>
      <c r="U793" s="14" t="n">
        <v>0.028</v>
      </c>
      <c r="V793" s="14" t="n">
        <v>15.336</v>
      </c>
      <c r="W793" s="14" t="n">
        <v>0.025</v>
      </c>
      <c r="X793" s="14" t="n">
        <v>1</v>
      </c>
      <c r="Y793" s="14" t="n">
        <v>8.529</v>
      </c>
      <c r="Z793" s="14" t="n">
        <v>1.052</v>
      </c>
      <c r="AA793" s="14" t="n">
        <v>0</v>
      </c>
      <c r="AB793" s="14" t="n">
        <v>8.529</v>
      </c>
      <c r="AC793" s="14" t="n">
        <v>0</v>
      </c>
      <c r="AD793" s="14" t="n">
        <v>1</v>
      </c>
      <c r="AE793" s="14" t="n">
        <v>9.763</v>
      </c>
      <c r="AF793" s="14" t="n">
        <v>2.128</v>
      </c>
      <c r="AG793" s="14" t="n">
        <v>0</v>
      </c>
      <c r="AH793" s="14" t="n">
        <v>9.763</v>
      </c>
      <c r="AI793" s="14" t="n">
        <v>0</v>
      </c>
      <c r="AJ793" s="14" t="n">
        <v>1</v>
      </c>
      <c r="AK793" s="14" t="n">
        <v>17.171</v>
      </c>
      <c r="AL793" s="14" t="n">
        <v>8.91</v>
      </c>
      <c r="AM793" s="14" t="n">
        <v>0.032</v>
      </c>
      <c r="AN793" s="14" t="n">
        <v>17.601</v>
      </c>
      <c r="AO793" s="14" t="n">
        <v>0.025</v>
      </c>
      <c r="AP793" s="14" t="n">
        <v>1</v>
      </c>
      <c r="AQ793" s="14" t="n">
        <v>0.847</v>
      </c>
      <c r="AR793" s="14" t="n">
        <v>0.123</v>
      </c>
      <c r="AS793" s="14" t="n">
        <v>0.002</v>
      </c>
      <c r="AT793" s="14" t="n">
        <v>0.868</v>
      </c>
      <c r="AU793" s="14" t="n">
        <v>0.025</v>
      </c>
      <c r="AV793" s="14" t="n">
        <v>1</v>
      </c>
      <c r="AW793" s="14" t="n">
        <v>0.947</v>
      </c>
      <c r="AX793" s="14" t="n">
        <v>0.123</v>
      </c>
      <c r="AY793" s="14" t="n">
        <v>0.002</v>
      </c>
      <c r="AZ793" s="14" t="n">
        <v>0.97</v>
      </c>
      <c r="BA793" s="14" t="n">
        <v>0.025</v>
      </c>
      <c r="BB793" s="14" t="n">
        <v>1</v>
      </c>
      <c r="BC793" s="14" t="n">
        <v>0.589</v>
      </c>
      <c r="BD793" s="14" t="n">
        <v>0.123</v>
      </c>
      <c r="BE793" s="14" t="n">
        <v>0.001</v>
      </c>
      <c r="BF793" s="14" t="n">
        <v>0.603</v>
      </c>
      <c r="BG793" s="14" t="n">
        <v>0.025</v>
      </c>
      <c r="BH793" s="14" t="n">
        <v>1</v>
      </c>
      <c r="BI793" s="14" t="n">
        <v>0.6889999999999999</v>
      </c>
      <c r="BJ793" s="14" t="n">
        <v>0.123</v>
      </c>
      <c r="BK793" s="14" t="n">
        <v>0.001</v>
      </c>
      <c r="BL793" s="14" t="n">
        <v>0.706</v>
      </c>
      <c r="BM793" s="14" t="n">
        <v>0.025</v>
      </c>
      <c r="BN793" s="14" t="n">
        <v>1</v>
      </c>
      <c r="BO793" s="14" t="n">
        <v>0</v>
      </c>
      <c r="BP793" s="14" t="n">
        <v>0</v>
      </c>
      <c r="BQ793" s="14" t="n">
        <v>0</v>
      </c>
      <c r="BR793" s="14" t="n">
        <v>0</v>
      </c>
      <c r="BS793" s="14" t="n">
        <v>1</v>
      </c>
      <c r="BT793" s="14" t="n">
        <v>0</v>
      </c>
      <c r="BU793" s="14" t="n">
        <v>0</v>
      </c>
      <c r="BV793" s="14" t="n">
        <v>0</v>
      </c>
      <c r="BW793" s="14" t="n">
        <v>0.025</v>
      </c>
      <c r="BX793" s="14" t="n">
        <v>1</v>
      </c>
      <c r="BY793" s="14" t="n">
        <v>12.729</v>
      </c>
      <c r="BZ793" s="14" t="n">
        <v>0</v>
      </c>
      <c r="CA793" s="14" t="n">
        <v>12.729</v>
      </c>
      <c r="CB793" s="14" t="n">
        <v>0</v>
      </c>
      <c r="CC793" s="14" t="n">
        <v>102.477</v>
      </c>
      <c r="CD793" s="14" t="n">
        <v>7.95</v>
      </c>
      <c r="CE793" s="14" t="n">
        <v>0.19</v>
      </c>
      <c r="CF793" s="14" t="n">
        <v>105.038</v>
      </c>
      <c r="CG793" s="14" t="n">
        <v>0.025</v>
      </c>
      <c r="CH793" s="14" t="n">
        <v>1</v>
      </c>
      <c r="CI793" s="14" t="n">
        <v>0</v>
      </c>
      <c r="CJ793" s="14" t="n">
        <v>0</v>
      </c>
      <c r="CK793" s="14" t="n">
        <v>0</v>
      </c>
      <c r="CL793" s="14" t="n">
        <v>0</v>
      </c>
      <c r="CM793" s="14" t="n">
        <v>0</v>
      </c>
      <c r="CN793" s="14" t="n">
        <v>0</v>
      </c>
      <c r="CO793" s="14" t="n">
        <v>0</v>
      </c>
      <c r="CP793" s="14" t="n">
        <v>0</v>
      </c>
      <c r="CQ793" s="14" t="n">
        <v>1.294</v>
      </c>
      <c r="CR793" s="14" t="n">
        <v>0</v>
      </c>
      <c r="CS793" s="14" t="n">
        <v>5.158</v>
      </c>
      <c r="CT793" s="14" t="n">
        <v>7.554</v>
      </c>
      <c r="CU793" s="14" t="n">
        <v>16.097</v>
      </c>
    </row>
    <row r="794">
      <c r="A794" s="14" t="inlineStr">
        <is>
          <t>TLS2023</t>
        </is>
      </c>
      <c r="B794" s="14" t="inlineStr">
        <is>
          <t>TLS</t>
        </is>
      </c>
      <c r="C794" s="14" t="inlineStr">
        <is>
          <t>TLS</t>
        </is>
      </c>
      <c r="D794" s="14" t="inlineStr">
        <is>
          <t>Timor-Leste</t>
        </is>
      </c>
      <c r="E794" s="14" t="n">
        <v>2023</v>
      </c>
      <c r="F794" s="14" t="n">
        <v>0.025</v>
      </c>
      <c r="G794" s="14" t="n">
        <v>5.77</v>
      </c>
      <c r="H794" s="14" t="n">
        <v>1.286</v>
      </c>
      <c r="I794" s="14" t="n">
        <v>0</v>
      </c>
      <c r="J794" s="14" t="n">
        <v>5.77</v>
      </c>
      <c r="K794" s="14" t="n">
        <v>0</v>
      </c>
      <c r="L794" s="14" t="n">
        <v>1</v>
      </c>
      <c r="M794" s="14" t="n">
        <v>7.886</v>
      </c>
      <c r="N794" s="14" t="n">
        <v>3.857</v>
      </c>
      <c r="O794" s="14" t="n">
        <v>0</v>
      </c>
      <c r="P794" s="14" t="n">
        <v>7.886</v>
      </c>
      <c r="Q794" s="14" t="n">
        <v>0</v>
      </c>
      <c r="R794" s="14" t="n">
        <v>1</v>
      </c>
      <c r="S794" s="14" t="n">
        <v>12.198</v>
      </c>
      <c r="T794" s="14" t="n">
        <v>7.714</v>
      </c>
      <c r="U794" s="14" t="n">
        <v>0.034</v>
      </c>
      <c r="V794" s="14" t="n">
        <v>12.503</v>
      </c>
      <c r="W794" s="14" t="n">
        <v>0.025</v>
      </c>
      <c r="X794" s="14" t="n">
        <v>1</v>
      </c>
      <c r="Y794" s="14" t="n">
        <v>8.093999999999999</v>
      </c>
      <c r="Z794" s="14" t="n">
        <v>0.999</v>
      </c>
      <c r="AA794" s="14" t="n">
        <v>0</v>
      </c>
      <c r="AB794" s="14" t="n">
        <v>8.093999999999999</v>
      </c>
      <c r="AC794" s="14" t="n">
        <v>0</v>
      </c>
      <c r="AD794" s="14" t="n">
        <v>1</v>
      </c>
      <c r="AE794" s="14" t="n">
        <v>9.380000000000001</v>
      </c>
      <c r="AF794" s="14" t="n">
        <v>2.045</v>
      </c>
      <c r="AG794" s="14" t="n">
        <v>0</v>
      </c>
      <c r="AH794" s="14" t="n">
        <v>9.380000000000001</v>
      </c>
      <c r="AI794" s="14" t="n">
        <v>0</v>
      </c>
      <c r="AJ794" s="14" t="n">
        <v>1</v>
      </c>
      <c r="AK794" s="14" t="n">
        <v>17.094</v>
      </c>
      <c r="AL794" s="14" t="n">
        <v>8.869999999999999</v>
      </c>
      <c r="AM794" s="14" t="n">
        <v>0.047</v>
      </c>
      <c r="AN794" s="14" t="n">
        <v>17.521</v>
      </c>
      <c r="AO794" s="14" t="n">
        <v>0.025</v>
      </c>
      <c r="AP794" s="14" t="n">
        <v>1</v>
      </c>
      <c r="AQ794" s="14" t="n">
        <v>0.749</v>
      </c>
      <c r="AR794" s="14" t="n">
        <v>0.129</v>
      </c>
      <c r="AS794" s="14" t="n">
        <v>0.002</v>
      </c>
      <c r="AT794" s="14" t="n">
        <v>0.768</v>
      </c>
      <c r="AU794" s="14" t="n">
        <v>0.025</v>
      </c>
      <c r="AV794" s="14" t="n">
        <v>1</v>
      </c>
      <c r="AW794" s="14" t="n">
        <v>0.783</v>
      </c>
      <c r="AX794" s="14" t="n">
        <v>0.129</v>
      </c>
      <c r="AY794" s="14" t="n">
        <v>0.002</v>
      </c>
      <c r="AZ794" s="14" t="n">
        <v>0.802</v>
      </c>
      <c r="BA794" s="14" t="n">
        <v>0.025</v>
      </c>
      <c r="BB794" s="14" t="n">
        <v>1</v>
      </c>
      <c r="BC794" s="14" t="n">
        <v>0.527</v>
      </c>
      <c r="BD794" s="14" t="n">
        <v>0.129</v>
      </c>
      <c r="BE794" s="14" t="n">
        <v>0.001</v>
      </c>
      <c r="BF794" s="14" t="n">
        <v>0.541</v>
      </c>
      <c r="BG794" s="14" t="n">
        <v>0.025</v>
      </c>
      <c r="BH794" s="14" t="n">
        <v>1</v>
      </c>
      <c r="BI794" s="14" t="n">
        <v>0.64</v>
      </c>
      <c r="BJ794" s="14" t="n">
        <v>0.129</v>
      </c>
      <c r="BK794" s="14" t="n">
        <v>0.002</v>
      </c>
      <c r="BL794" s="14" t="n">
        <v>0.656</v>
      </c>
      <c r="BM794" s="14" t="n">
        <v>0.025</v>
      </c>
      <c r="BN794" s="14" t="n">
        <v>1</v>
      </c>
      <c r="BO794" s="14" t="n">
        <v>0</v>
      </c>
      <c r="BP794" s="14" t="n">
        <v>0</v>
      </c>
      <c r="BQ794" s="14" t="n">
        <v>0</v>
      </c>
      <c r="BR794" s="14" t="n">
        <v>0</v>
      </c>
      <c r="BS794" s="14" t="n">
        <v>1</v>
      </c>
      <c r="BT794" s="14" t="n">
        <v>0</v>
      </c>
      <c r="BU794" s="14" t="n">
        <v>0</v>
      </c>
      <c r="BV794" s="14" t="n">
        <v>0</v>
      </c>
      <c r="BW794" s="14" t="n">
        <v>0.025</v>
      </c>
      <c r="BX794" s="14" t="n">
        <v>1</v>
      </c>
      <c r="BY794" s="14" t="n">
        <v>13.254</v>
      </c>
      <c r="BZ794" s="14" t="n">
        <v>0</v>
      </c>
      <c r="CA794" s="14" t="n">
        <v>13.254</v>
      </c>
      <c r="CB794" s="14" t="n">
        <v>0</v>
      </c>
      <c r="CC794" s="14" t="n">
        <v>87.07899999999999</v>
      </c>
      <c r="CD794" s="14" t="n">
        <v>7.95</v>
      </c>
      <c r="CE794" s="14" t="n">
        <v>0.241</v>
      </c>
      <c r="CF794" s="14" t="n">
        <v>89.256</v>
      </c>
      <c r="CG794" s="14" t="n">
        <v>0.025</v>
      </c>
      <c r="CH794" s="14" t="n">
        <v>1</v>
      </c>
      <c r="CI794" s="14" t="n">
        <v>0</v>
      </c>
      <c r="CJ794" s="14" t="n">
        <v>0</v>
      </c>
      <c r="CK794" s="14" t="n">
        <v>0</v>
      </c>
      <c r="CL794" s="14" t="n">
        <v>0</v>
      </c>
      <c r="CM794" s="14" t="n">
        <v>0</v>
      </c>
      <c r="CN794" s="14" t="n">
        <v>0</v>
      </c>
      <c r="CO794" s="14" t="n">
        <v>0</v>
      </c>
      <c r="CP794" s="14" t="n">
        <v>0</v>
      </c>
      <c r="CQ794" s="14" t="n">
        <v>1.348</v>
      </c>
      <c r="CR794" s="14" t="n">
        <v>0</v>
      </c>
      <c r="CS794" s="14" t="n">
        <v>5.37</v>
      </c>
      <c r="CT794" s="14" t="n">
        <v>4.484</v>
      </c>
      <c r="CU794" s="14" t="n">
        <v>12.529</v>
      </c>
    </row>
    <row r="795">
      <c r="A795" s="14" t="inlineStr">
        <is>
          <t>TLS2024</t>
        </is>
      </c>
      <c r="B795" s="14" t="inlineStr">
        <is>
          <t>TLS</t>
        </is>
      </c>
      <c r="C795" s="14" t="inlineStr">
        <is>
          <t>TLS</t>
        </is>
      </c>
      <c r="D795" s="14" t="inlineStr">
        <is>
          <t>Timor-Leste</t>
        </is>
      </c>
      <c r="E795" s="14" t="n">
        <v>2024</v>
      </c>
      <c r="F795" s="14" t="n">
        <v>0.025</v>
      </c>
      <c r="G795" s="14" t="n">
        <v>4.833</v>
      </c>
      <c r="H795" s="14" t="n">
        <v>1.324</v>
      </c>
      <c r="I795" s="14" t="n">
        <v>0</v>
      </c>
      <c r="J795" s="14" t="n">
        <v>4.833</v>
      </c>
      <c r="K795" s="14" t="n">
        <v>0</v>
      </c>
      <c r="L795" s="14" t="n">
        <v>1</v>
      </c>
      <c r="M795" s="14" t="n">
        <v>7.124</v>
      </c>
      <c r="N795" s="14" t="n">
        <v>3.971</v>
      </c>
      <c r="O795" s="14" t="n">
        <v>0</v>
      </c>
      <c r="P795" s="14" t="n">
        <v>7.124</v>
      </c>
      <c r="Q795" s="14" t="n">
        <v>0</v>
      </c>
      <c r="R795" s="14" t="n">
        <v>1</v>
      </c>
      <c r="S795" s="14" t="n">
        <v>11.451</v>
      </c>
      <c r="T795" s="14" t="n">
        <v>7.942</v>
      </c>
      <c r="U795" s="14" t="n">
        <v>0.039</v>
      </c>
      <c r="V795" s="14" t="n">
        <v>11.737</v>
      </c>
      <c r="W795" s="14" t="n">
        <v>0.025</v>
      </c>
      <c r="X795" s="14" t="n">
        <v>1</v>
      </c>
      <c r="Y795" s="14" t="n">
        <v>7.751</v>
      </c>
      <c r="Z795" s="14" t="n">
        <v>0.956</v>
      </c>
      <c r="AA795" s="14" t="n">
        <v>0</v>
      </c>
      <c r="AB795" s="14" t="n">
        <v>7.751</v>
      </c>
      <c r="AC795" s="14" t="n">
        <v>0</v>
      </c>
      <c r="AD795" s="14" t="n">
        <v>1</v>
      </c>
      <c r="AE795" s="14" t="n">
        <v>9.074999999999999</v>
      </c>
      <c r="AF795" s="14" t="n">
        <v>1.978</v>
      </c>
      <c r="AG795" s="14" t="n">
        <v>0</v>
      </c>
      <c r="AH795" s="14" t="n">
        <v>9.074999999999999</v>
      </c>
      <c r="AI795" s="14" t="n">
        <v>0</v>
      </c>
      <c r="AJ795" s="14" t="n">
        <v>1</v>
      </c>
      <c r="AK795" s="14" t="n">
        <v>17.016</v>
      </c>
      <c r="AL795" s="14" t="n">
        <v>8.829000000000001</v>
      </c>
      <c r="AM795" s="14" t="n">
        <v>0.058</v>
      </c>
      <c r="AN795" s="14" t="n">
        <v>17.442</v>
      </c>
      <c r="AO795" s="14" t="n">
        <v>0.025</v>
      </c>
      <c r="AP795" s="14" t="n">
        <v>1</v>
      </c>
      <c r="AQ795" s="14" t="n">
        <v>0.72</v>
      </c>
      <c r="AR795" s="14" t="n">
        <v>0.132</v>
      </c>
      <c r="AS795" s="14" t="n">
        <v>0.002</v>
      </c>
      <c r="AT795" s="14" t="n">
        <v>0.738</v>
      </c>
      <c r="AU795" s="14" t="n">
        <v>0.025</v>
      </c>
      <c r="AV795" s="14" t="n">
        <v>1</v>
      </c>
      <c r="AW795" s="14" t="n">
        <v>0.734</v>
      </c>
      <c r="AX795" s="14" t="n">
        <v>0.132</v>
      </c>
      <c r="AY795" s="14" t="n">
        <v>0.002</v>
      </c>
      <c r="AZ795" s="14" t="n">
        <v>0.752</v>
      </c>
      <c r="BA795" s="14" t="n">
        <v>0.025</v>
      </c>
      <c r="BB795" s="14" t="n">
        <v>1</v>
      </c>
      <c r="BC795" s="14" t="n">
        <v>0.51</v>
      </c>
      <c r="BD795" s="14" t="n">
        <v>0.132</v>
      </c>
      <c r="BE795" s="14" t="n">
        <v>0.002</v>
      </c>
      <c r="BF795" s="14" t="n">
        <v>0.523</v>
      </c>
      <c r="BG795" s="14" t="n">
        <v>0.025</v>
      </c>
      <c r="BH795" s="14" t="n">
        <v>1</v>
      </c>
      <c r="BI795" s="14" t="n">
        <v>0.652</v>
      </c>
      <c r="BJ795" s="14" t="n">
        <v>0.132</v>
      </c>
      <c r="BK795" s="14" t="n">
        <v>0.002</v>
      </c>
      <c r="BL795" s="14" t="n">
        <v>0.668</v>
      </c>
      <c r="BM795" s="14" t="n">
        <v>0.025</v>
      </c>
      <c r="BN795" s="14" t="n">
        <v>1</v>
      </c>
      <c r="BO795" s="14" t="n">
        <v>0</v>
      </c>
      <c r="BP795" s="14" t="n">
        <v>0</v>
      </c>
      <c r="BQ795" s="14" t="n">
        <v>0</v>
      </c>
      <c r="BR795" s="14" t="n">
        <v>0</v>
      </c>
      <c r="BS795" s="14" t="n">
        <v>1</v>
      </c>
      <c r="BT795" s="14" t="n">
        <v>0</v>
      </c>
      <c r="BU795" s="14" t="n">
        <v>0</v>
      </c>
      <c r="BV795" s="14" t="n">
        <v>0</v>
      </c>
      <c r="BW795" s="14" t="n">
        <v>0.025</v>
      </c>
      <c r="BX795" s="14" t="n">
        <v>1</v>
      </c>
      <c r="BY795" s="14" t="n">
        <v>13.646</v>
      </c>
      <c r="BZ795" s="14" t="n">
        <v>0</v>
      </c>
      <c r="CA795" s="14" t="n">
        <v>13.646</v>
      </c>
      <c r="CB795" s="14" t="n">
        <v>0</v>
      </c>
      <c r="CC795" s="14" t="n">
        <v>86.38500000000001</v>
      </c>
      <c r="CD795" s="14" t="n">
        <v>7.95</v>
      </c>
      <c r="CE795" s="14" t="n">
        <v>0.294</v>
      </c>
      <c r="CF795" s="14" t="n">
        <v>88.545</v>
      </c>
      <c r="CG795" s="14" t="n">
        <v>0.025</v>
      </c>
      <c r="CH795" s="14" t="n">
        <v>1</v>
      </c>
      <c r="CI795" s="14" t="n">
        <v>0</v>
      </c>
      <c r="CJ795" s="14" t="n">
        <v>0</v>
      </c>
      <c r="CK795" s="14" t="n">
        <v>0</v>
      </c>
      <c r="CL795" s="14" t="n">
        <v>0</v>
      </c>
      <c r="CM795" s="14" t="n">
        <v>0</v>
      </c>
      <c r="CN795" s="14" t="n">
        <v>0</v>
      </c>
      <c r="CO795" s="14" t="n">
        <v>0</v>
      </c>
      <c r="CP795" s="14" t="n">
        <v>0</v>
      </c>
      <c r="CQ795" s="14" t="n">
        <v>1.387</v>
      </c>
      <c r="CR795" s="14" t="n">
        <v>0</v>
      </c>
      <c r="CS795" s="14" t="n">
        <v>5.529</v>
      </c>
      <c r="CT795" s="14" t="n">
        <v>3.509</v>
      </c>
      <c r="CU795" s="14" t="n">
        <v>10.896</v>
      </c>
    </row>
    <row r="796">
      <c r="A796" s="14" t="inlineStr">
        <is>
          <t>TGO2021</t>
        </is>
      </c>
      <c r="B796" s="14" t="inlineStr">
        <is>
          <t>TGO</t>
        </is>
      </c>
      <c r="C796" s="14" t="inlineStr">
        <is>
          <t>TGO</t>
        </is>
      </c>
      <c r="D796" s="14" t="inlineStr">
        <is>
          <t>Togo</t>
        </is>
      </c>
      <c r="E796" s="14" t="n">
        <v>2021</v>
      </c>
      <c r="F796" s="14" t="n">
        <v>0.18</v>
      </c>
      <c r="G796" s="14" t="n">
        <v>5.897</v>
      </c>
      <c r="H796" s="14" t="n">
        <v>1.143</v>
      </c>
      <c r="I796" s="14" t="n">
        <v>0</v>
      </c>
      <c r="J796" s="14" t="n">
        <v>5.897</v>
      </c>
      <c r="K796" s="14" t="n">
        <v>0</v>
      </c>
      <c r="L796" s="14" t="n">
        <v>1</v>
      </c>
      <c r="M796" s="14" t="n">
        <v>7.964</v>
      </c>
      <c r="N796" s="14" t="n">
        <v>3.43</v>
      </c>
      <c r="O796" s="14" t="n">
        <v>0</v>
      </c>
      <c r="P796" s="14" t="n">
        <v>7.964</v>
      </c>
      <c r="Q796" s="14" t="n">
        <v>0</v>
      </c>
      <c r="R796" s="14" t="n">
        <v>1</v>
      </c>
      <c r="S796" s="14" t="n">
        <v>11.613</v>
      </c>
      <c r="T796" s="14" t="n">
        <v>6.86</v>
      </c>
      <c r="U796" s="14" t="n">
        <v>-3.887</v>
      </c>
      <c r="V796" s="14" t="n">
        <v>9.117000000000001</v>
      </c>
      <c r="W796" s="14" t="n">
        <v>0</v>
      </c>
      <c r="X796" s="14" t="n">
        <v>0</v>
      </c>
      <c r="Y796" s="14" t="n">
        <v>3.845</v>
      </c>
      <c r="Z796" s="14" t="n">
        <v>0.52</v>
      </c>
      <c r="AA796" s="14" t="n">
        <v>0</v>
      </c>
      <c r="AB796" s="14" t="n">
        <v>3.845</v>
      </c>
      <c r="AC796" s="14" t="n">
        <v>0</v>
      </c>
      <c r="AD796" s="14" t="n">
        <v>1</v>
      </c>
      <c r="AE796" s="14" t="n">
        <v>4.988</v>
      </c>
      <c r="AF796" s="14" t="n">
        <v>1.166</v>
      </c>
      <c r="AG796" s="14" t="n">
        <v>0</v>
      </c>
      <c r="AH796" s="14" t="n">
        <v>4.988</v>
      </c>
      <c r="AI796" s="14" t="n">
        <v>0</v>
      </c>
      <c r="AJ796" s="14" t="n">
        <v>1</v>
      </c>
      <c r="AK796" s="14" t="n">
        <v>11.848</v>
      </c>
      <c r="AL796" s="14" t="n">
        <v>6.31</v>
      </c>
      <c r="AM796" s="14" t="n">
        <v>0</v>
      </c>
      <c r="AN796" s="14" t="n">
        <v>13.981</v>
      </c>
      <c r="AO796" s="14" t="n">
        <v>0.18</v>
      </c>
      <c r="AP796" s="14" t="n">
        <v>1</v>
      </c>
      <c r="AQ796" s="14" t="n">
        <v>0.619</v>
      </c>
      <c r="AR796" s="14" t="n">
        <v>0.114</v>
      </c>
      <c r="AS796" s="14" t="n">
        <v>0.102</v>
      </c>
      <c r="AT796" s="14" t="n">
        <v>0.851</v>
      </c>
      <c r="AU796" s="14" t="n">
        <v>0.18</v>
      </c>
      <c r="AV796" s="14" t="n">
        <v>1</v>
      </c>
      <c r="AW796" s="14" t="n">
        <v>0.599</v>
      </c>
      <c r="AX796" s="14" t="n">
        <v>0.114</v>
      </c>
      <c r="AY796" s="14" t="n">
        <v>0.151</v>
      </c>
      <c r="AZ796" s="14" t="n">
        <v>0.885</v>
      </c>
      <c r="BA796" s="14" t="n">
        <v>0.18</v>
      </c>
      <c r="BB796" s="14" t="n">
        <v>1</v>
      </c>
      <c r="BC796" s="14" t="n">
        <v>0.439</v>
      </c>
      <c r="BD796" s="14" t="n">
        <v>0.114</v>
      </c>
      <c r="BE796" s="14" t="n">
        <v>-0.021</v>
      </c>
      <c r="BF796" s="14" t="n">
        <v>0.494</v>
      </c>
      <c r="BG796" s="14" t="n">
        <v>0.18</v>
      </c>
      <c r="BH796" s="14" t="n">
        <v>1</v>
      </c>
      <c r="BI796" s="14" t="n">
        <v>0.505</v>
      </c>
      <c r="BJ796" s="14" t="n">
        <v>0.114</v>
      </c>
      <c r="BK796" s="14" t="n">
        <v>0.091</v>
      </c>
      <c r="BL796" s="14" t="n">
        <v>0.703</v>
      </c>
      <c r="BM796" s="14" t="n">
        <v>0.18</v>
      </c>
      <c r="BN796" s="14" t="n">
        <v>1</v>
      </c>
      <c r="BO796" s="14" t="n">
        <v>0</v>
      </c>
      <c r="BP796" s="14" t="n">
        <v>0</v>
      </c>
      <c r="BQ796" s="14" t="n">
        <v>0.157</v>
      </c>
      <c r="BR796" s="14" t="n">
        <v>0</v>
      </c>
      <c r="BS796" s="14" t="n">
        <v>0.5</v>
      </c>
      <c r="BT796" s="14" t="n">
        <v>0</v>
      </c>
      <c r="BU796" s="14" t="n">
        <v>0</v>
      </c>
      <c r="BV796" s="14" t="n">
        <v>0.23</v>
      </c>
      <c r="BW796" s="14" t="n">
        <v>0.18</v>
      </c>
      <c r="BX796" s="14" t="n">
        <v>0.333</v>
      </c>
      <c r="BY796" s="14" t="n">
        <v>11.787</v>
      </c>
      <c r="BZ796" s="14" t="n">
        <v>0</v>
      </c>
      <c r="CA796" s="14" t="n">
        <v>11.787</v>
      </c>
      <c r="CB796" s="14" t="n">
        <v>0</v>
      </c>
      <c r="CC796" s="14" t="n">
        <v>78.125</v>
      </c>
      <c r="CD796" s="14" t="n">
        <v>7.95</v>
      </c>
      <c r="CE796" s="14" t="n">
        <v>0</v>
      </c>
      <c r="CF796" s="14" t="n">
        <v>92.188</v>
      </c>
      <c r="CG796" s="14" t="n">
        <v>0.18</v>
      </c>
      <c r="CH796" s="14" t="n">
        <v>1</v>
      </c>
      <c r="CI796" s="14" t="n">
        <v>0</v>
      </c>
      <c r="CJ796" s="14" t="n">
        <v>0</v>
      </c>
      <c r="CK796" s="14" t="n">
        <v>0</v>
      </c>
      <c r="CL796" s="14" t="n">
        <v>0</v>
      </c>
      <c r="CM796" s="14" t="n">
        <v>0</v>
      </c>
      <c r="CN796" s="14" t="n">
        <v>0</v>
      </c>
      <c r="CO796" s="14" t="n">
        <v>0</v>
      </c>
      <c r="CP796" s="14" t="n">
        <v>0</v>
      </c>
      <c r="CQ796" s="14" t="n">
        <v>1.198</v>
      </c>
      <c r="CR796" s="14" t="n">
        <v>0</v>
      </c>
      <c r="CS796" s="14" t="n">
        <v>4.776</v>
      </c>
      <c r="CT796" s="14" t="n">
        <v>4.753</v>
      </c>
      <c r="CU796" s="14" t="n">
        <v>15.162</v>
      </c>
    </row>
    <row r="797">
      <c r="A797" s="14" t="inlineStr">
        <is>
          <t>TGO2022</t>
        </is>
      </c>
      <c r="B797" s="14" t="inlineStr">
        <is>
          <t>TGO</t>
        </is>
      </c>
      <c r="C797" s="14" t="inlineStr">
        <is>
          <t>TGO</t>
        </is>
      </c>
      <c r="D797" s="14" t="inlineStr">
        <is>
          <t>Togo</t>
        </is>
      </c>
      <c r="E797" s="14" t="n">
        <v>2022</v>
      </c>
      <c r="F797" s="14" t="n">
        <v>0.18</v>
      </c>
      <c r="G797" s="14" t="n">
        <v>11.72</v>
      </c>
      <c r="H797" s="14" t="n">
        <v>1.235</v>
      </c>
      <c r="I797" s="14" t="n">
        <v>0</v>
      </c>
      <c r="J797" s="14" t="n">
        <v>11.72</v>
      </c>
      <c r="K797" s="14" t="n">
        <v>0</v>
      </c>
      <c r="L797" s="14" t="n">
        <v>1</v>
      </c>
      <c r="M797" s="14" t="n">
        <v>9.782999999999999</v>
      </c>
      <c r="N797" s="14" t="n">
        <v>3.704</v>
      </c>
      <c r="O797" s="14" t="n">
        <v>0</v>
      </c>
      <c r="P797" s="14" t="n">
        <v>9.782999999999999</v>
      </c>
      <c r="Q797" s="14" t="n">
        <v>0</v>
      </c>
      <c r="R797" s="14" t="n">
        <v>1</v>
      </c>
      <c r="S797" s="14" t="n">
        <v>17.893</v>
      </c>
      <c r="T797" s="14" t="n">
        <v>7.408</v>
      </c>
      <c r="U797" s="14" t="n">
        <v>-8.955</v>
      </c>
      <c r="V797" s="14" t="n">
        <v>10.547</v>
      </c>
      <c r="W797" s="14" t="n">
        <v>0</v>
      </c>
      <c r="X797" s="14" t="n">
        <v>0</v>
      </c>
      <c r="Y797" s="14" t="n">
        <v>4.152</v>
      </c>
      <c r="Z797" s="14" t="n">
        <v>0.5610000000000001</v>
      </c>
      <c r="AA797" s="14" t="n">
        <v>0</v>
      </c>
      <c r="AB797" s="14" t="n">
        <v>4.152</v>
      </c>
      <c r="AC797" s="14" t="n">
        <v>0</v>
      </c>
      <c r="AD797" s="14" t="n">
        <v>1</v>
      </c>
      <c r="AE797" s="14" t="n">
        <v>5.387</v>
      </c>
      <c r="AF797" s="14" t="n">
        <v>1.26</v>
      </c>
      <c r="AG797" s="14" t="n">
        <v>0</v>
      </c>
      <c r="AH797" s="14" t="n">
        <v>5.387</v>
      </c>
      <c r="AI797" s="14" t="n">
        <v>0</v>
      </c>
      <c r="AJ797" s="14" t="n">
        <v>1</v>
      </c>
      <c r="AK797" s="14" t="n">
        <v>12.795</v>
      </c>
      <c r="AL797" s="14" t="n">
        <v>6.815</v>
      </c>
      <c r="AM797" s="14" t="n">
        <v>0.17</v>
      </c>
      <c r="AN797" s="14" t="n">
        <v>15.098</v>
      </c>
      <c r="AO797" s="14" t="n">
        <v>0.18</v>
      </c>
      <c r="AP797" s="14" t="n">
        <v>1</v>
      </c>
      <c r="AQ797" s="14" t="n">
        <v>0.861</v>
      </c>
      <c r="AR797" s="14" t="n">
        <v>0.123</v>
      </c>
      <c r="AS797" s="14" t="n">
        <v>-0.005</v>
      </c>
      <c r="AT797" s="14" t="n">
        <v>1.01</v>
      </c>
      <c r="AU797" s="14" t="n">
        <v>0.18</v>
      </c>
      <c r="AV797" s="14" t="n">
        <v>1</v>
      </c>
      <c r="AW797" s="14" t="n">
        <v>0.986</v>
      </c>
      <c r="AX797" s="14" t="n">
        <v>0.123</v>
      </c>
      <c r="AY797" s="14" t="n">
        <v>-0.014</v>
      </c>
      <c r="AZ797" s="14" t="n">
        <v>1.147</v>
      </c>
      <c r="BA797" s="14" t="n">
        <v>0.18</v>
      </c>
      <c r="BB797" s="14" t="n">
        <v>1</v>
      </c>
      <c r="BC797" s="14" t="n">
        <v>0.598</v>
      </c>
      <c r="BD797" s="14" t="n">
        <v>0.123</v>
      </c>
      <c r="BE797" s="14" t="n">
        <v>-0.134</v>
      </c>
      <c r="BF797" s="14" t="n">
        <v>0.548</v>
      </c>
      <c r="BG797" s="14" t="n">
        <v>0.18</v>
      </c>
      <c r="BH797" s="14" t="n">
        <v>1</v>
      </c>
      <c r="BI797" s="14" t="n">
        <v>0.612</v>
      </c>
      <c r="BJ797" s="14" t="n">
        <v>0.123</v>
      </c>
      <c r="BK797" s="14" t="n">
        <v>0.159</v>
      </c>
      <c r="BL797" s="14" t="n">
        <v>0.91</v>
      </c>
      <c r="BM797" s="14" t="n">
        <v>0.18</v>
      </c>
      <c r="BN797" s="14" t="n">
        <v>1</v>
      </c>
      <c r="BO797" s="14" t="n">
        <v>0</v>
      </c>
      <c r="BP797" s="14" t="n">
        <v>0</v>
      </c>
      <c r="BQ797" s="14" t="n">
        <v>0.14</v>
      </c>
      <c r="BR797" s="14" t="n">
        <v>0</v>
      </c>
      <c r="BS797" s="14" t="n">
        <v>0.5</v>
      </c>
      <c r="BT797" s="14" t="n">
        <v>0</v>
      </c>
      <c r="BU797" s="14" t="n">
        <v>0</v>
      </c>
      <c r="BV797" s="14" t="n">
        <v>0.205</v>
      </c>
      <c r="BW797" s="14" t="n">
        <v>0.18</v>
      </c>
      <c r="BX797" s="14" t="n">
        <v>0.333</v>
      </c>
      <c r="BY797" s="14" t="n">
        <v>12.729</v>
      </c>
      <c r="BZ797" s="14" t="n">
        <v>0</v>
      </c>
      <c r="CA797" s="14" t="n">
        <v>12.729</v>
      </c>
      <c r="CB797" s="14" t="n">
        <v>0</v>
      </c>
      <c r="CC797" s="14" t="n">
        <v>97.90000000000001</v>
      </c>
      <c r="CD797" s="14" t="n">
        <v>7.95</v>
      </c>
      <c r="CE797" s="14" t="n">
        <v>1.304</v>
      </c>
      <c r="CF797" s="14" t="n">
        <v>115.522</v>
      </c>
      <c r="CG797" s="14" t="n">
        <v>0.18</v>
      </c>
      <c r="CH797" s="14" t="n">
        <v>1</v>
      </c>
      <c r="CI797" s="14" t="n">
        <v>0</v>
      </c>
      <c r="CJ797" s="14" t="n">
        <v>0</v>
      </c>
      <c r="CK797" s="14" t="n">
        <v>0</v>
      </c>
      <c r="CL797" s="14" t="n">
        <v>0</v>
      </c>
      <c r="CM797" s="14" t="n">
        <v>0</v>
      </c>
      <c r="CN797" s="14" t="n">
        <v>0</v>
      </c>
      <c r="CO797" s="14" t="n">
        <v>0</v>
      </c>
      <c r="CP797" s="14" t="n">
        <v>0</v>
      </c>
      <c r="CQ797" s="14" t="n">
        <v>1.294</v>
      </c>
      <c r="CR797" s="14" t="n">
        <v>0</v>
      </c>
      <c r="CS797" s="14" t="n">
        <v>5.158</v>
      </c>
      <c r="CT797" s="14" t="n">
        <v>10.485</v>
      </c>
      <c r="CU797" s="14" t="n">
        <v>31.326</v>
      </c>
    </row>
    <row r="798">
      <c r="A798" s="14" t="inlineStr">
        <is>
          <t>TGO2023</t>
        </is>
      </c>
      <c r="B798" s="14" t="inlineStr">
        <is>
          <t>TGO</t>
        </is>
      </c>
      <c r="C798" s="14" t="inlineStr">
        <is>
          <t>TGO</t>
        </is>
      </c>
      <c r="D798" s="14" t="inlineStr">
        <is>
          <t>Togo</t>
        </is>
      </c>
      <c r="E798" s="14" t="n">
        <v>2023</v>
      </c>
      <c r="F798" s="14" t="n">
        <v>0.18</v>
      </c>
      <c r="G798" s="14" t="n">
        <v>6.147</v>
      </c>
      <c r="H798" s="14" t="n">
        <v>1.286</v>
      </c>
      <c r="I798" s="14" t="n">
        <v>0</v>
      </c>
      <c r="J798" s="14" t="n">
        <v>6.147</v>
      </c>
      <c r="K798" s="14" t="n">
        <v>0</v>
      </c>
      <c r="L798" s="14" t="n">
        <v>1</v>
      </c>
      <c r="M798" s="14" t="n">
        <v>7.886</v>
      </c>
      <c r="N798" s="14" t="n">
        <v>3.857</v>
      </c>
      <c r="O798" s="14" t="n">
        <v>0</v>
      </c>
      <c r="P798" s="14" t="n">
        <v>7.886</v>
      </c>
      <c r="Q798" s="14" t="n">
        <v>0</v>
      </c>
      <c r="R798" s="14" t="n">
        <v>1</v>
      </c>
      <c r="S798" s="14" t="n">
        <v>12.575</v>
      </c>
      <c r="T798" s="14" t="n">
        <v>7.714</v>
      </c>
      <c r="U798" s="14" t="n">
        <v>-3.114</v>
      </c>
      <c r="V798" s="14" t="n">
        <v>11.164</v>
      </c>
      <c r="W798" s="14" t="n">
        <v>0</v>
      </c>
      <c r="X798" s="14" t="n">
        <v>0</v>
      </c>
      <c r="Y798" s="14" t="n">
        <v>4.324</v>
      </c>
      <c r="Z798" s="14" t="n">
        <v>0.584</v>
      </c>
      <c r="AA798" s="14" t="n">
        <v>0</v>
      </c>
      <c r="AB798" s="14" t="n">
        <v>4.324</v>
      </c>
      <c r="AC798" s="14" t="n">
        <v>0</v>
      </c>
      <c r="AD798" s="14" t="n">
        <v>1</v>
      </c>
      <c r="AE798" s="14" t="n">
        <v>5.609</v>
      </c>
      <c r="AF798" s="14" t="n">
        <v>1.312</v>
      </c>
      <c r="AG798" s="14" t="n">
        <v>0</v>
      </c>
      <c r="AH798" s="14" t="n">
        <v>5.609</v>
      </c>
      <c r="AI798" s="14" t="n">
        <v>0</v>
      </c>
      <c r="AJ798" s="14" t="n">
        <v>1</v>
      </c>
      <c r="AK798" s="14" t="n">
        <v>13.323</v>
      </c>
      <c r="AL798" s="14" t="n">
        <v>7.096</v>
      </c>
      <c r="AM798" s="14" t="n">
        <v>0.266</v>
      </c>
      <c r="AN798" s="14" t="n">
        <v>15.722</v>
      </c>
      <c r="AO798" s="14" t="n">
        <v>0.18</v>
      </c>
      <c r="AP798" s="14" t="n">
        <v>1</v>
      </c>
      <c r="AQ798" s="14" t="n">
        <v>0.76</v>
      </c>
      <c r="AR798" s="14" t="n">
        <v>0.129</v>
      </c>
      <c r="AS798" s="14" t="n">
        <v>0.218</v>
      </c>
      <c r="AT798" s="14" t="n">
        <v>1.154</v>
      </c>
      <c r="AU798" s="14" t="n">
        <v>0.18</v>
      </c>
      <c r="AV798" s="14" t="n">
        <v>1</v>
      </c>
      <c r="AW798" s="14" t="n">
        <v>0.8110000000000001</v>
      </c>
      <c r="AX798" s="14" t="n">
        <v>0.129</v>
      </c>
      <c r="AY798" s="14" t="n">
        <v>0.306</v>
      </c>
      <c r="AZ798" s="14" t="n">
        <v>1.319</v>
      </c>
      <c r="BA798" s="14" t="n">
        <v>0.18</v>
      </c>
      <c r="BB798" s="14" t="n">
        <v>1</v>
      </c>
      <c r="BC798" s="14" t="n">
        <v>0.535</v>
      </c>
      <c r="BD798" s="14" t="n">
        <v>0.129</v>
      </c>
      <c r="BE798" s="14" t="n">
        <v>0.08599999999999999</v>
      </c>
      <c r="BF798" s="14" t="n">
        <v>0.732</v>
      </c>
      <c r="BG798" s="14" t="n">
        <v>0.18</v>
      </c>
      <c r="BH798" s="14" t="n">
        <v>1</v>
      </c>
      <c r="BI798" s="14" t="n">
        <v>0.579</v>
      </c>
      <c r="BJ798" s="14" t="n">
        <v>0.129</v>
      </c>
      <c r="BK798" s="14" t="n">
        <v>0.329</v>
      </c>
      <c r="BL798" s="14" t="n">
        <v>1.072</v>
      </c>
      <c r="BM798" s="14" t="n">
        <v>0.18</v>
      </c>
      <c r="BN798" s="14" t="n">
        <v>1</v>
      </c>
      <c r="BO798" s="14" t="n">
        <v>0</v>
      </c>
      <c r="BP798" s="14" t="n">
        <v>0</v>
      </c>
      <c r="BQ798" s="14" t="n">
        <v>0.189</v>
      </c>
      <c r="BR798" s="14" t="n">
        <v>0</v>
      </c>
      <c r="BS798" s="14" t="n">
        <v>0.5</v>
      </c>
      <c r="BT798" s="14" t="n">
        <v>0</v>
      </c>
      <c r="BU798" s="14" t="n">
        <v>0</v>
      </c>
      <c r="BV798" s="14" t="n">
        <v>0.211</v>
      </c>
      <c r="BW798" s="14" t="n">
        <v>0.18</v>
      </c>
      <c r="BX798" s="14" t="n">
        <v>0.333</v>
      </c>
      <c r="BY798" s="14" t="n">
        <v>13.254</v>
      </c>
      <c r="BZ798" s="14" t="n">
        <v>0</v>
      </c>
      <c r="CA798" s="14" t="n">
        <v>13.254</v>
      </c>
      <c r="CB798" s="14" t="n">
        <v>0</v>
      </c>
      <c r="CC798" s="14" t="n">
        <v>83.248</v>
      </c>
      <c r="CD798" s="14" t="n">
        <v>7.95</v>
      </c>
      <c r="CE798" s="14" t="n">
        <v>1.659</v>
      </c>
      <c r="CF798" s="14" t="n">
        <v>98.233</v>
      </c>
      <c r="CG798" s="14" t="n">
        <v>0.18</v>
      </c>
      <c r="CH798" s="14" t="n">
        <v>1</v>
      </c>
      <c r="CI798" s="14" t="n">
        <v>0</v>
      </c>
      <c r="CJ798" s="14" t="n">
        <v>0</v>
      </c>
      <c r="CK798" s="14" t="n">
        <v>0</v>
      </c>
      <c r="CL798" s="14" t="n">
        <v>0</v>
      </c>
      <c r="CM798" s="14" t="n">
        <v>0</v>
      </c>
      <c r="CN798" s="14" t="n">
        <v>0</v>
      </c>
      <c r="CO798" s="14" t="n">
        <v>0</v>
      </c>
      <c r="CP798" s="14" t="n">
        <v>0</v>
      </c>
      <c r="CQ798" s="14" t="n">
        <v>1.348</v>
      </c>
      <c r="CR798" s="14" t="n">
        <v>0</v>
      </c>
      <c r="CS798" s="14" t="n">
        <v>5.37</v>
      </c>
      <c r="CT798" s="14" t="n">
        <v>4.861</v>
      </c>
      <c r="CU798" s="14" t="n">
        <v>11.622</v>
      </c>
    </row>
    <row r="799">
      <c r="A799" s="14" t="inlineStr">
        <is>
          <t>TGO2024</t>
        </is>
      </c>
      <c r="B799" s="14" t="inlineStr">
        <is>
          <t>TGO</t>
        </is>
      </c>
      <c r="C799" s="14" t="inlineStr">
        <is>
          <t>TGO</t>
        </is>
      </c>
      <c r="D799" s="14" t="inlineStr">
        <is>
          <t>Togo</t>
        </is>
      </c>
      <c r="E799" s="14" t="n">
        <v>2024</v>
      </c>
      <c r="F799" s="14" t="n">
        <v>0.18</v>
      </c>
      <c r="G799" s="14" t="n">
        <v>5.575</v>
      </c>
      <c r="H799" s="14" t="n">
        <v>1.324</v>
      </c>
      <c r="I799" s="14" t="n">
        <v>0</v>
      </c>
      <c r="J799" s="14" t="n">
        <v>5.575</v>
      </c>
      <c r="K799" s="14" t="n">
        <v>0</v>
      </c>
      <c r="L799" s="14" t="n">
        <v>1</v>
      </c>
      <c r="M799" s="14" t="n">
        <v>7.124</v>
      </c>
      <c r="N799" s="14" t="n">
        <v>3.971</v>
      </c>
      <c r="O799" s="14" t="n">
        <v>0</v>
      </c>
      <c r="P799" s="14" t="n">
        <v>7.124</v>
      </c>
      <c r="Q799" s="14" t="n">
        <v>0</v>
      </c>
      <c r="R799" s="14" t="n">
        <v>1</v>
      </c>
      <c r="S799" s="14" t="n">
        <v>12.193</v>
      </c>
      <c r="T799" s="14" t="n">
        <v>7.942</v>
      </c>
      <c r="U799" s="14" t="n">
        <v>-2.9</v>
      </c>
      <c r="V799" s="14" t="n">
        <v>10.966</v>
      </c>
      <c r="W799" s="14" t="n">
        <v>0</v>
      </c>
      <c r="X799" s="14" t="n">
        <v>0</v>
      </c>
      <c r="Y799" s="14" t="n">
        <v>11.492</v>
      </c>
      <c r="Z799" s="14" t="n">
        <v>1.553</v>
      </c>
      <c r="AA799" s="14" t="n">
        <v>0</v>
      </c>
      <c r="AB799" s="14" t="n">
        <v>11.492</v>
      </c>
      <c r="AC799" s="14" t="n">
        <v>0</v>
      </c>
      <c r="AD799" s="14" t="n">
        <v>1</v>
      </c>
      <c r="AE799" s="14" t="n">
        <v>12.815</v>
      </c>
      <c r="AF799" s="14" t="n">
        <v>2.997</v>
      </c>
      <c r="AG799" s="14" t="n">
        <v>0</v>
      </c>
      <c r="AH799" s="14" t="n">
        <v>12.815</v>
      </c>
      <c r="AI799" s="14" t="n">
        <v>0</v>
      </c>
      <c r="AJ799" s="14" t="n">
        <v>1</v>
      </c>
      <c r="AK799" s="14" t="n">
        <v>20.757</v>
      </c>
      <c r="AL799" s="14" t="n">
        <v>11.055</v>
      </c>
      <c r="AM799" s="14" t="n">
        <v>0.509</v>
      </c>
      <c r="AN799" s="14" t="n">
        <v>24.493</v>
      </c>
      <c r="AO799" s="14" t="n">
        <v>0.18</v>
      </c>
      <c r="AP799" s="14" t="n">
        <v>1</v>
      </c>
      <c r="AQ799" s="14" t="n">
        <v>0.724</v>
      </c>
      <c r="AR799" s="14" t="n">
        <v>0.132</v>
      </c>
      <c r="AS799" s="14" t="n">
        <v>0.252</v>
      </c>
      <c r="AT799" s="14" t="n">
        <v>1.152</v>
      </c>
      <c r="AU799" s="14" t="n">
        <v>0.18</v>
      </c>
      <c r="AV799" s="14" t="n">
        <v>1</v>
      </c>
      <c r="AW799" s="14" t="n">
        <v>0.75</v>
      </c>
      <c r="AX799" s="14" t="n">
        <v>0.132</v>
      </c>
      <c r="AY799" s="14" t="n">
        <v>0.324</v>
      </c>
      <c r="AZ799" s="14" t="n">
        <v>1.267</v>
      </c>
      <c r="BA799" s="14" t="n">
        <v>0.18</v>
      </c>
      <c r="BB799" s="14" t="n">
        <v>1</v>
      </c>
      <c r="BC799" s="14" t="n">
        <v>0.513</v>
      </c>
      <c r="BD799" s="14" t="n">
        <v>0.132</v>
      </c>
      <c r="BE799" s="14" t="n">
        <v>0.08</v>
      </c>
      <c r="BF799" s="14" t="n">
        <v>0.7</v>
      </c>
      <c r="BG799" s="14" t="n">
        <v>0.18</v>
      </c>
      <c r="BH799" s="14" t="n">
        <v>1</v>
      </c>
      <c r="BI799" s="14" t="n">
        <v>0.591</v>
      </c>
      <c r="BJ799" s="14" t="n">
        <v>0.132</v>
      </c>
      <c r="BK799" s="14" t="n">
        <v>0.317</v>
      </c>
      <c r="BL799" s="14" t="n">
        <v>1.072</v>
      </c>
      <c r="BM799" s="14" t="n">
        <v>0.18</v>
      </c>
      <c r="BN799" s="14" t="n">
        <v>1</v>
      </c>
      <c r="BO799" s="14" t="n">
        <v>0</v>
      </c>
      <c r="BP799" s="14" t="n">
        <v>0</v>
      </c>
      <c r="BQ799" s="14" t="n">
        <v>0.152</v>
      </c>
      <c r="BR799" s="14" t="n">
        <v>0</v>
      </c>
      <c r="BS799" s="14" t="n">
        <v>0.5</v>
      </c>
      <c r="BT799" s="14" t="n">
        <v>0</v>
      </c>
      <c r="BU799" s="14" t="n">
        <v>0</v>
      </c>
      <c r="BV799" s="14" t="n">
        <v>0.211</v>
      </c>
      <c r="BW799" s="14" t="n">
        <v>0.18</v>
      </c>
      <c r="BX799" s="14" t="n">
        <v>0.333</v>
      </c>
      <c r="BY799" s="14" t="n">
        <v>13.646</v>
      </c>
      <c r="BZ799" s="14" t="n">
        <v>0</v>
      </c>
      <c r="CA799" s="14" t="n">
        <v>13.646</v>
      </c>
      <c r="CB799" s="14" t="n">
        <v>0</v>
      </c>
      <c r="CC799" s="14" t="n">
        <v>82.58799999999999</v>
      </c>
      <c r="CD799" s="14" t="n">
        <v>7.95</v>
      </c>
      <c r="CE799" s="14" t="n">
        <v>2.025</v>
      </c>
      <c r="CF799" s="14" t="n">
        <v>97.45399999999999</v>
      </c>
      <c r="CG799" s="14" t="n">
        <v>0.18</v>
      </c>
      <c r="CH799" s="14" t="n">
        <v>1</v>
      </c>
      <c r="CI799" s="14" t="n">
        <v>0</v>
      </c>
      <c r="CJ799" s="14" t="n">
        <v>0</v>
      </c>
      <c r="CK799" s="14" t="n">
        <v>0</v>
      </c>
      <c r="CL799" s="14" t="n">
        <v>0</v>
      </c>
      <c r="CM799" s="14" t="n">
        <v>0</v>
      </c>
      <c r="CN799" s="14" t="n">
        <v>0</v>
      </c>
      <c r="CO799" s="14" t="n">
        <v>0</v>
      </c>
      <c r="CP799" s="14" t="n">
        <v>0</v>
      </c>
      <c r="CQ799" s="14" t="n">
        <v>1.387</v>
      </c>
      <c r="CR799" s="14" t="n">
        <v>0</v>
      </c>
      <c r="CS799" s="14" t="n">
        <v>5.529</v>
      </c>
      <c r="CT799" s="14" t="n">
        <v>4.251</v>
      </c>
      <c r="CU799" s="14" t="n">
        <v>10.168</v>
      </c>
    </row>
    <row r="800">
      <c r="A800" s="14" t="inlineStr">
        <is>
          <t>TON2021</t>
        </is>
      </c>
      <c r="B800" s="14" t="inlineStr">
        <is>
          <t>TON</t>
        </is>
      </c>
      <c r="C800" s="14" t="inlineStr">
        <is>
          <t>TON</t>
        </is>
      </c>
      <c r="D800" s="14" t="inlineStr">
        <is>
          <t>Tonga</t>
        </is>
      </c>
      <c r="E800" s="14" t="n">
        <v>2021</v>
      </c>
      <c r="F800" s="14" t="n">
        <v>0.15</v>
      </c>
      <c r="G800" s="14" t="n">
        <v>4.747</v>
      </c>
      <c r="H800" s="14" t="n">
        <v>1.143</v>
      </c>
      <c r="I800" s="14" t="n">
        <v>0</v>
      </c>
      <c r="J800" s="14" t="n">
        <v>4.747</v>
      </c>
      <c r="K800" s="14" t="n">
        <v>0</v>
      </c>
      <c r="L800" s="14" t="n">
        <v>1</v>
      </c>
      <c r="M800" s="14" t="n">
        <v>7.964</v>
      </c>
      <c r="N800" s="14" t="n">
        <v>3.43</v>
      </c>
      <c r="O800" s="14" t="n">
        <v>0</v>
      </c>
      <c r="P800" s="14" t="n">
        <v>7.964</v>
      </c>
      <c r="Q800" s="14" t="n">
        <v>0</v>
      </c>
      <c r="R800" s="14" t="n">
        <v>1</v>
      </c>
      <c r="S800" s="14" t="n">
        <v>10.464</v>
      </c>
      <c r="T800" s="14" t="n">
        <v>6.86</v>
      </c>
      <c r="U800" s="14" t="n">
        <v>0</v>
      </c>
      <c r="V800" s="14" t="n">
        <v>12.034</v>
      </c>
      <c r="W800" s="14" t="n">
        <v>0.15</v>
      </c>
      <c r="X800" s="14" t="n">
        <v>1</v>
      </c>
      <c r="Y800" s="14" t="n">
        <v>5.584</v>
      </c>
      <c r="Z800" s="14" t="n">
        <v>0.6889999999999999</v>
      </c>
      <c r="AA800" s="14" t="n">
        <v>0</v>
      </c>
      <c r="AB800" s="14" t="n">
        <v>5.584</v>
      </c>
      <c r="AC800" s="14" t="n">
        <v>0</v>
      </c>
      <c r="AD800" s="14" t="n">
        <v>1</v>
      </c>
      <c r="AE800" s="14" t="n">
        <v>6.727</v>
      </c>
      <c r="AF800" s="14" t="n">
        <v>1.467</v>
      </c>
      <c r="AG800" s="14" t="n">
        <v>0</v>
      </c>
      <c r="AH800" s="14" t="n">
        <v>6.727</v>
      </c>
      <c r="AI800" s="14" t="n">
        <v>0</v>
      </c>
      <c r="AJ800" s="14" t="n">
        <v>1</v>
      </c>
      <c r="AK800" s="14" t="n">
        <v>13.587</v>
      </c>
      <c r="AL800" s="14" t="n">
        <v>7.05</v>
      </c>
      <c r="AM800" s="14" t="n">
        <v>0</v>
      </c>
      <c r="AN800" s="14" t="n">
        <v>15.625</v>
      </c>
      <c r="AO800" s="14" t="n">
        <v>0.15</v>
      </c>
      <c r="AP800" s="14" t="n">
        <v>1</v>
      </c>
      <c r="AQ800" s="14" t="n">
        <v>0.621</v>
      </c>
      <c r="AR800" s="14" t="n">
        <v>0.114</v>
      </c>
      <c r="AS800" s="14" t="n">
        <v>0</v>
      </c>
      <c r="AT800" s="14" t="n">
        <v>0.714</v>
      </c>
      <c r="AU800" s="14" t="n">
        <v>0.15</v>
      </c>
      <c r="AV800" s="14" t="n">
        <v>1</v>
      </c>
      <c r="AW800" s="14" t="n">
        <v>0.593</v>
      </c>
      <c r="AX800" s="14" t="n">
        <v>0.114</v>
      </c>
      <c r="AY800" s="14" t="n">
        <v>0</v>
      </c>
      <c r="AZ800" s="14" t="n">
        <v>0.6820000000000001</v>
      </c>
      <c r="BA800" s="14" t="n">
        <v>0.15</v>
      </c>
      <c r="BB800" s="14" t="n">
        <v>1</v>
      </c>
      <c r="BC800" s="14" t="n">
        <v>0.44</v>
      </c>
      <c r="BD800" s="14" t="n">
        <v>0.114</v>
      </c>
      <c r="BE800" s="14" t="n">
        <v>0</v>
      </c>
      <c r="BF800" s="14" t="n">
        <v>0.506</v>
      </c>
      <c r="BG800" s="14" t="n">
        <v>0.15</v>
      </c>
      <c r="BH800" s="14" t="n">
        <v>1</v>
      </c>
      <c r="BI800" s="14" t="n">
        <v>0.5600000000000001</v>
      </c>
      <c r="BJ800" s="14" t="n">
        <v>0.114</v>
      </c>
      <c r="BK800" s="14" t="n">
        <v>0</v>
      </c>
      <c r="BL800" s="14" t="n">
        <v>0.644</v>
      </c>
      <c r="BM800" s="14" t="n">
        <v>0.15</v>
      </c>
      <c r="BN800" s="14" t="n">
        <v>1</v>
      </c>
      <c r="BO800" s="14" t="n">
        <v>0</v>
      </c>
      <c r="BP800" s="14" t="n">
        <v>0</v>
      </c>
      <c r="BQ800" s="14" t="n">
        <v>0</v>
      </c>
      <c r="BR800" s="14" t="n">
        <v>0</v>
      </c>
      <c r="BS800" s="14" t="n">
        <v>1</v>
      </c>
      <c r="BT800" s="14" t="n">
        <v>0</v>
      </c>
      <c r="BU800" s="14" t="n">
        <v>0</v>
      </c>
      <c r="BV800" s="14" t="n">
        <v>0</v>
      </c>
      <c r="BW800" s="14" t="n">
        <v>0.15</v>
      </c>
      <c r="BX800" s="14" t="n">
        <v>1</v>
      </c>
      <c r="BY800" s="14" t="n">
        <v>11.787</v>
      </c>
      <c r="BZ800" s="14" t="n">
        <v>0</v>
      </c>
      <c r="CA800" s="14" t="n">
        <v>11.787</v>
      </c>
      <c r="CB800" s="14" t="n">
        <v>0</v>
      </c>
      <c r="CC800" s="14" t="n">
        <v>81.69499999999999</v>
      </c>
      <c r="CD800" s="14" t="n">
        <v>7.95</v>
      </c>
      <c r="CE800" s="14" t="n">
        <v>0</v>
      </c>
      <c r="CF800" s="14" t="n">
        <v>93.95</v>
      </c>
      <c r="CG800" s="14" t="n">
        <v>0.15</v>
      </c>
      <c r="CH800" s="14" t="n">
        <v>1</v>
      </c>
      <c r="CI800" s="14" t="n">
        <v>0</v>
      </c>
      <c r="CJ800" s="14" t="n">
        <v>0</v>
      </c>
      <c r="CK800" s="14" t="n">
        <v>0</v>
      </c>
      <c r="CL800" s="14" t="n">
        <v>0</v>
      </c>
      <c r="CM800" s="14" t="n">
        <v>0</v>
      </c>
      <c r="CN800" s="14" t="n">
        <v>0</v>
      </c>
      <c r="CO800" s="14" t="n">
        <v>0</v>
      </c>
      <c r="CP800" s="14" t="n">
        <v>0</v>
      </c>
      <c r="CQ800" s="14" t="n">
        <v>1.198</v>
      </c>
      <c r="CR800" s="14" t="n">
        <v>0</v>
      </c>
      <c r="CS800" s="14" t="n">
        <v>4.776</v>
      </c>
      <c r="CT800" s="14" t="n">
        <v>3.604</v>
      </c>
      <c r="CU800" s="14" t="n">
        <v>9.407999999999999</v>
      </c>
    </row>
    <row r="801">
      <c r="A801" s="14" t="inlineStr">
        <is>
          <t>TON2022</t>
        </is>
      </c>
      <c r="B801" s="14" t="inlineStr">
        <is>
          <t>TON</t>
        </is>
      </c>
      <c r="C801" s="14" t="inlineStr">
        <is>
          <t>TON</t>
        </is>
      </c>
      <c r="D801" s="14" t="inlineStr">
        <is>
          <t>Tonga</t>
        </is>
      </c>
      <c r="E801" s="14" t="n">
        <v>2022</v>
      </c>
      <c r="F801" s="14" t="n">
        <v>0.15</v>
      </c>
      <c r="G801" s="14" t="n">
        <v>8.788</v>
      </c>
      <c r="H801" s="14" t="n">
        <v>1.235</v>
      </c>
      <c r="I801" s="14" t="n">
        <v>0</v>
      </c>
      <c r="J801" s="14" t="n">
        <v>8.788</v>
      </c>
      <c r="K801" s="14" t="n">
        <v>0</v>
      </c>
      <c r="L801" s="14" t="n">
        <v>1</v>
      </c>
      <c r="M801" s="14" t="n">
        <v>9.782999999999999</v>
      </c>
      <c r="N801" s="14" t="n">
        <v>3.704</v>
      </c>
      <c r="O801" s="14" t="n">
        <v>0</v>
      </c>
      <c r="P801" s="14" t="n">
        <v>9.782999999999999</v>
      </c>
      <c r="Q801" s="14" t="n">
        <v>0</v>
      </c>
      <c r="R801" s="14" t="n">
        <v>1</v>
      </c>
      <c r="S801" s="14" t="n">
        <v>14.962</v>
      </c>
      <c r="T801" s="14" t="n">
        <v>7.408</v>
      </c>
      <c r="U801" s="14" t="n">
        <v>0.166</v>
      </c>
      <c r="V801" s="14" t="n">
        <v>17.206</v>
      </c>
      <c r="W801" s="14" t="n">
        <v>0.15</v>
      </c>
      <c r="X801" s="14" t="n">
        <v>1</v>
      </c>
      <c r="Y801" s="14" t="n">
        <v>6.03</v>
      </c>
      <c r="Z801" s="14" t="n">
        <v>0.744</v>
      </c>
      <c r="AA801" s="14" t="n">
        <v>0</v>
      </c>
      <c r="AB801" s="14" t="n">
        <v>6.03</v>
      </c>
      <c r="AC801" s="14" t="n">
        <v>0</v>
      </c>
      <c r="AD801" s="14" t="n">
        <v>1</v>
      </c>
      <c r="AE801" s="14" t="n">
        <v>7.265</v>
      </c>
      <c r="AF801" s="14" t="n">
        <v>1.584</v>
      </c>
      <c r="AG801" s="14" t="n">
        <v>0</v>
      </c>
      <c r="AH801" s="14" t="n">
        <v>7.265</v>
      </c>
      <c r="AI801" s="14" t="n">
        <v>0</v>
      </c>
      <c r="AJ801" s="14" t="n">
        <v>1</v>
      </c>
      <c r="AK801" s="14" t="n">
        <v>14.673</v>
      </c>
      <c r="AL801" s="14" t="n">
        <v>7.614</v>
      </c>
      <c r="AM801" s="14" t="n">
        <v>0.163</v>
      </c>
      <c r="AN801" s="14" t="n">
        <v>16.874</v>
      </c>
      <c r="AO801" s="14" t="n">
        <v>0.15</v>
      </c>
      <c r="AP801" s="14" t="n">
        <v>1</v>
      </c>
      <c r="AQ801" s="14" t="n">
        <v>0.847</v>
      </c>
      <c r="AR801" s="14" t="n">
        <v>0.123</v>
      </c>
      <c r="AS801" s="14" t="n">
        <v>0.008999999999999999</v>
      </c>
      <c r="AT801" s="14" t="n">
        <v>0.974</v>
      </c>
      <c r="AU801" s="14" t="n">
        <v>0.15</v>
      </c>
      <c r="AV801" s="14" t="n">
        <v>1</v>
      </c>
      <c r="AW801" s="14" t="n">
        <v>0.947</v>
      </c>
      <c r="AX801" s="14" t="n">
        <v>0.123</v>
      </c>
      <c r="AY801" s="14" t="n">
        <v>0.011</v>
      </c>
      <c r="AZ801" s="14" t="n">
        <v>1.089</v>
      </c>
      <c r="BA801" s="14" t="n">
        <v>0.15</v>
      </c>
      <c r="BB801" s="14" t="n">
        <v>1</v>
      </c>
      <c r="BC801" s="14" t="n">
        <v>0.589</v>
      </c>
      <c r="BD801" s="14" t="n">
        <v>0.123</v>
      </c>
      <c r="BE801" s="14" t="n">
        <v>0.007</v>
      </c>
      <c r="BF801" s="14" t="n">
        <v>0.677</v>
      </c>
      <c r="BG801" s="14" t="n">
        <v>0.15</v>
      </c>
      <c r="BH801" s="14" t="n">
        <v>1</v>
      </c>
      <c r="BI801" s="14" t="n">
        <v>0.6889999999999999</v>
      </c>
      <c r="BJ801" s="14" t="n">
        <v>0.123</v>
      </c>
      <c r="BK801" s="14" t="n">
        <v>0.008</v>
      </c>
      <c r="BL801" s="14" t="n">
        <v>0.792</v>
      </c>
      <c r="BM801" s="14" t="n">
        <v>0.15</v>
      </c>
      <c r="BN801" s="14" t="n">
        <v>1</v>
      </c>
      <c r="BO801" s="14" t="n">
        <v>0</v>
      </c>
      <c r="BP801" s="14" t="n">
        <v>0</v>
      </c>
      <c r="BQ801" s="14" t="n">
        <v>0</v>
      </c>
      <c r="BR801" s="14" t="n">
        <v>0</v>
      </c>
      <c r="BS801" s="14" t="n">
        <v>1</v>
      </c>
      <c r="BT801" s="14" t="n">
        <v>0</v>
      </c>
      <c r="BU801" s="14" t="n">
        <v>0</v>
      </c>
      <c r="BV801" s="14" t="n">
        <v>0</v>
      </c>
      <c r="BW801" s="14" t="n">
        <v>0.15</v>
      </c>
      <c r="BX801" s="14" t="n">
        <v>1</v>
      </c>
      <c r="BY801" s="14" t="n">
        <v>12.729</v>
      </c>
      <c r="BZ801" s="14" t="n">
        <v>0</v>
      </c>
      <c r="CA801" s="14" t="n">
        <v>12.729</v>
      </c>
      <c r="CB801" s="14" t="n">
        <v>0</v>
      </c>
      <c r="CC801" s="14" t="n">
        <v>102.477</v>
      </c>
      <c r="CD801" s="14" t="n">
        <v>7.95</v>
      </c>
      <c r="CE801" s="14" t="n">
        <v>1.138</v>
      </c>
      <c r="CF801" s="14" t="n">
        <v>117.848</v>
      </c>
      <c r="CG801" s="14" t="n">
        <v>0.15</v>
      </c>
      <c r="CH801" s="14" t="n">
        <v>1</v>
      </c>
      <c r="CI801" s="14" t="n">
        <v>0</v>
      </c>
      <c r="CJ801" s="14" t="n">
        <v>0</v>
      </c>
      <c r="CK801" s="14" t="n">
        <v>0</v>
      </c>
      <c r="CL801" s="14" t="n">
        <v>0</v>
      </c>
      <c r="CM801" s="14" t="n">
        <v>0</v>
      </c>
      <c r="CN801" s="14" t="n">
        <v>0</v>
      </c>
      <c r="CO801" s="14" t="n">
        <v>0</v>
      </c>
      <c r="CP801" s="14" t="n">
        <v>0</v>
      </c>
      <c r="CQ801" s="14" t="n">
        <v>1.294</v>
      </c>
      <c r="CR801" s="14" t="n">
        <v>0</v>
      </c>
      <c r="CS801" s="14" t="n">
        <v>5.158</v>
      </c>
      <c r="CT801" s="14" t="n">
        <v>7.554</v>
      </c>
      <c r="CU801" s="14" t="n">
        <v>16.097</v>
      </c>
    </row>
    <row r="802">
      <c r="A802" s="14" t="inlineStr">
        <is>
          <t>TON2023</t>
        </is>
      </c>
      <c r="B802" s="14" t="inlineStr">
        <is>
          <t>TON</t>
        </is>
      </c>
      <c r="C802" s="14" t="inlineStr">
        <is>
          <t>TON</t>
        </is>
      </c>
      <c r="D802" s="14" t="inlineStr">
        <is>
          <t>Tonga</t>
        </is>
      </c>
      <c r="E802" s="14" t="n">
        <v>2023</v>
      </c>
      <c r="F802" s="14" t="n">
        <v>0.15</v>
      </c>
      <c r="G802" s="14" t="n">
        <v>5.77</v>
      </c>
      <c r="H802" s="14" t="n">
        <v>1.286</v>
      </c>
      <c r="I802" s="14" t="n">
        <v>0</v>
      </c>
      <c r="J802" s="14" t="n">
        <v>5.77</v>
      </c>
      <c r="K802" s="14" t="n">
        <v>0</v>
      </c>
      <c r="L802" s="14" t="n">
        <v>1</v>
      </c>
      <c r="M802" s="14" t="n">
        <v>7.886</v>
      </c>
      <c r="N802" s="14" t="n">
        <v>3.857</v>
      </c>
      <c r="O802" s="14" t="n">
        <v>0</v>
      </c>
      <c r="P802" s="14" t="n">
        <v>7.886</v>
      </c>
      <c r="Q802" s="14" t="n">
        <v>0</v>
      </c>
      <c r="R802" s="14" t="n">
        <v>1</v>
      </c>
      <c r="S802" s="14" t="n">
        <v>12.198</v>
      </c>
      <c r="T802" s="14" t="n">
        <v>7.714</v>
      </c>
      <c r="U802" s="14" t="n">
        <v>0.203</v>
      </c>
      <c r="V802" s="14" t="n">
        <v>14.028</v>
      </c>
      <c r="W802" s="14" t="n">
        <v>0.15</v>
      </c>
      <c r="X802" s="14" t="n">
        <v>1</v>
      </c>
      <c r="Y802" s="14" t="n">
        <v>6.279</v>
      </c>
      <c r="Z802" s="14" t="n">
        <v>0.775</v>
      </c>
      <c r="AA802" s="14" t="n">
        <v>0</v>
      </c>
      <c r="AB802" s="14" t="n">
        <v>6.279</v>
      </c>
      <c r="AC802" s="14" t="n">
        <v>0</v>
      </c>
      <c r="AD802" s="14" t="n">
        <v>1</v>
      </c>
      <c r="AE802" s="14" t="n">
        <v>7.565</v>
      </c>
      <c r="AF802" s="14" t="n">
        <v>1.649</v>
      </c>
      <c r="AG802" s="14" t="n">
        <v>0</v>
      </c>
      <c r="AH802" s="14" t="n">
        <v>7.565</v>
      </c>
      <c r="AI802" s="14" t="n">
        <v>0</v>
      </c>
      <c r="AJ802" s="14" t="n">
        <v>1</v>
      </c>
      <c r="AK802" s="14" t="n">
        <v>15.279</v>
      </c>
      <c r="AL802" s="14" t="n">
        <v>7.928</v>
      </c>
      <c r="AM802" s="14" t="n">
        <v>0.254</v>
      </c>
      <c r="AN802" s="14" t="n">
        <v>17.571</v>
      </c>
      <c r="AO802" s="14" t="n">
        <v>0.15</v>
      </c>
      <c r="AP802" s="14" t="n">
        <v>1</v>
      </c>
      <c r="AQ802" s="14" t="n">
        <v>0.749</v>
      </c>
      <c r="AR802" s="14" t="n">
        <v>0.129</v>
      </c>
      <c r="AS802" s="14" t="n">
        <v>0.012</v>
      </c>
      <c r="AT802" s="14" t="n">
        <v>0.861</v>
      </c>
      <c r="AU802" s="14" t="n">
        <v>0.15</v>
      </c>
      <c r="AV802" s="14" t="n">
        <v>1</v>
      </c>
      <c r="AW802" s="14" t="n">
        <v>0.783</v>
      </c>
      <c r="AX802" s="14" t="n">
        <v>0.129</v>
      </c>
      <c r="AY802" s="14" t="n">
        <v>0.013</v>
      </c>
      <c r="AZ802" s="14" t="n">
        <v>0.9</v>
      </c>
      <c r="BA802" s="14" t="n">
        <v>0.15</v>
      </c>
      <c r="BB802" s="14" t="n">
        <v>1</v>
      </c>
      <c r="BC802" s="14" t="n">
        <v>0.527</v>
      </c>
      <c r="BD802" s="14" t="n">
        <v>0.129</v>
      </c>
      <c r="BE802" s="14" t="n">
        <v>0.008999999999999999</v>
      </c>
      <c r="BF802" s="14" t="n">
        <v>0.607</v>
      </c>
      <c r="BG802" s="14" t="n">
        <v>0.15</v>
      </c>
      <c r="BH802" s="14" t="n">
        <v>1</v>
      </c>
      <c r="BI802" s="14" t="n">
        <v>0.64</v>
      </c>
      <c r="BJ802" s="14" t="n">
        <v>0.129</v>
      </c>
      <c r="BK802" s="14" t="n">
        <v>0.011</v>
      </c>
      <c r="BL802" s="14" t="n">
        <v>0.736</v>
      </c>
      <c r="BM802" s="14" t="n">
        <v>0.15</v>
      </c>
      <c r="BN802" s="14" t="n">
        <v>1</v>
      </c>
      <c r="BO802" s="14" t="n">
        <v>0</v>
      </c>
      <c r="BP802" s="14" t="n">
        <v>0</v>
      </c>
      <c r="BQ802" s="14" t="n">
        <v>0</v>
      </c>
      <c r="BR802" s="14" t="n">
        <v>0</v>
      </c>
      <c r="BS802" s="14" t="n">
        <v>1</v>
      </c>
      <c r="BT802" s="14" t="n">
        <v>0</v>
      </c>
      <c r="BU802" s="14" t="n">
        <v>0</v>
      </c>
      <c r="BV802" s="14" t="n">
        <v>0</v>
      </c>
      <c r="BW802" s="14" t="n">
        <v>0.15</v>
      </c>
      <c r="BX802" s="14" t="n">
        <v>1</v>
      </c>
      <c r="BY802" s="14" t="n">
        <v>13.254</v>
      </c>
      <c r="BZ802" s="14" t="n">
        <v>0</v>
      </c>
      <c r="CA802" s="14" t="n">
        <v>13.254</v>
      </c>
      <c r="CB802" s="14" t="n">
        <v>0</v>
      </c>
      <c r="CC802" s="14" t="n">
        <v>87.07899999999999</v>
      </c>
      <c r="CD802" s="14" t="n">
        <v>7.95</v>
      </c>
      <c r="CE802" s="14" t="n">
        <v>1.446</v>
      </c>
      <c r="CF802" s="14" t="n">
        <v>100.141</v>
      </c>
      <c r="CG802" s="14" t="n">
        <v>0.15</v>
      </c>
      <c r="CH802" s="14" t="n">
        <v>1</v>
      </c>
      <c r="CI802" s="14" t="n">
        <v>0</v>
      </c>
      <c r="CJ802" s="14" t="n">
        <v>0</v>
      </c>
      <c r="CK802" s="14" t="n">
        <v>0</v>
      </c>
      <c r="CL802" s="14" t="n">
        <v>0</v>
      </c>
      <c r="CM802" s="14" t="n">
        <v>0</v>
      </c>
      <c r="CN802" s="14" t="n">
        <v>0</v>
      </c>
      <c r="CO802" s="14" t="n">
        <v>0</v>
      </c>
      <c r="CP802" s="14" t="n">
        <v>0</v>
      </c>
      <c r="CQ802" s="14" t="n">
        <v>1.348</v>
      </c>
      <c r="CR802" s="14" t="n">
        <v>0</v>
      </c>
      <c r="CS802" s="14" t="n">
        <v>5.37</v>
      </c>
      <c r="CT802" s="14" t="n">
        <v>4.484</v>
      </c>
      <c r="CU802" s="14" t="n">
        <v>12.529</v>
      </c>
    </row>
    <row r="803">
      <c r="A803" s="14" t="inlineStr">
        <is>
          <t>TON2024</t>
        </is>
      </c>
      <c r="B803" s="14" t="inlineStr">
        <is>
          <t>TON</t>
        </is>
      </c>
      <c r="C803" s="14" t="inlineStr">
        <is>
          <t>TON</t>
        </is>
      </c>
      <c r="D803" s="14" t="inlineStr">
        <is>
          <t>Tonga</t>
        </is>
      </c>
      <c r="E803" s="14" t="n">
        <v>2024</v>
      </c>
      <c r="F803" s="14" t="n">
        <v>0.15</v>
      </c>
      <c r="G803" s="14" t="n">
        <v>4.833</v>
      </c>
      <c r="H803" s="14" t="n">
        <v>1.324</v>
      </c>
      <c r="I803" s="14" t="n">
        <v>0</v>
      </c>
      <c r="J803" s="14" t="n">
        <v>4.833</v>
      </c>
      <c r="K803" s="14" t="n">
        <v>0</v>
      </c>
      <c r="L803" s="14" t="n">
        <v>1</v>
      </c>
      <c r="M803" s="14" t="n">
        <v>7.124</v>
      </c>
      <c r="N803" s="14" t="n">
        <v>3.971</v>
      </c>
      <c r="O803" s="14" t="n">
        <v>0</v>
      </c>
      <c r="P803" s="14" t="n">
        <v>7.124</v>
      </c>
      <c r="Q803" s="14" t="n">
        <v>0</v>
      </c>
      <c r="R803" s="14" t="n">
        <v>1</v>
      </c>
      <c r="S803" s="14" t="n">
        <v>11.451</v>
      </c>
      <c r="T803" s="14" t="n">
        <v>7.942</v>
      </c>
      <c r="U803" s="14" t="n">
        <v>0.234</v>
      </c>
      <c r="V803" s="14" t="n">
        <v>13.168</v>
      </c>
      <c r="W803" s="14" t="n">
        <v>0.15</v>
      </c>
      <c r="X803" s="14" t="n">
        <v>1</v>
      </c>
      <c r="Y803" s="14" t="n">
        <v>6.465</v>
      </c>
      <c r="Z803" s="14" t="n">
        <v>0.798</v>
      </c>
      <c r="AA803" s="14" t="n">
        <v>0</v>
      </c>
      <c r="AB803" s="14" t="n">
        <v>6.465</v>
      </c>
      <c r="AC803" s="14" t="n">
        <v>0</v>
      </c>
      <c r="AD803" s="14" t="n">
        <v>1</v>
      </c>
      <c r="AE803" s="14" t="n">
        <v>7.788</v>
      </c>
      <c r="AF803" s="14" t="n">
        <v>1.698</v>
      </c>
      <c r="AG803" s="14" t="n">
        <v>0</v>
      </c>
      <c r="AH803" s="14" t="n">
        <v>7.788</v>
      </c>
      <c r="AI803" s="14" t="n">
        <v>0</v>
      </c>
      <c r="AJ803" s="14" t="n">
        <v>1</v>
      </c>
      <c r="AK803" s="14" t="n">
        <v>15.73</v>
      </c>
      <c r="AL803" s="14" t="n">
        <v>8.162000000000001</v>
      </c>
      <c r="AM803" s="14" t="n">
        <v>0.321</v>
      </c>
      <c r="AN803" s="14" t="n">
        <v>18.09</v>
      </c>
      <c r="AO803" s="14" t="n">
        <v>0.15</v>
      </c>
      <c r="AP803" s="14" t="n">
        <v>1</v>
      </c>
      <c r="AQ803" s="14" t="n">
        <v>0.72</v>
      </c>
      <c r="AR803" s="14" t="n">
        <v>0.132</v>
      </c>
      <c r="AS803" s="14" t="n">
        <v>0.015</v>
      </c>
      <c r="AT803" s="14" t="n">
        <v>0.828</v>
      </c>
      <c r="AU803" s="14" t="n">
        <v>0.15</v>
      </c>
      <c r="AV803" s="14" t="n">
        <v>1</v>
      </c>
      <c r="AW803" s="14" t="n">
        <v>0.734</v>
      </c>
      <c r="AX803" s="14" t="n">
        <v>0.132</v>
      </c>
      <c r="AY803" s="14" t="n">
        <v>0.015</v>
      </c>
      <c r="AZ803" s="14" t="n">
        <v>0.844</v>
      </c>
      <c r="BA803" s="14" t="n">
        <v>0.15</v>
      </c>
      <c r="BB803" s="14" t="n">
        <v>1</v>
      </c>
      <c r="BC803" s="14" t="n">
        <v>0.51</v>
      </c>
      <c r="BD803" s="14" t="n">
        <v>0.132</v>
      </c>
      <c r="BE803" s="14" t="n">
        <v>0.01</v>
      </c>
      <c r="BF803" s="14" t="n">
        <v>0.587</v>
      </c>
      <c r="BG803" s="14" t="n">
        <v>0.15</v>
      </c>
      <c r="BH803" s="14" t="n">
        <v>1</v>
      </c>
      <c r="BI803" s="14" t="n">
        <v>0.652</v>
      </c>
      <c r="BJ803" s="14" t="n">
        <v>0.132</v>
      </c>
      <c r="BK803" s="14" t="n">
        <v>0.013</v>
      </c>
      <c r="BL803" s="14" t="n">
        <v>0.75</v>
      </c>
      <c r="BM803" s="14" t="n">
        <v>0.15</v>
      </c>
      <c r="BN803" s="14" t="n">
        <v>1</v>
      </c>
      <c r="BO803" s="14" t="n">
        <v>0</v>
      </c>
      <c r="BP803" s="14" t="n">
        <v>0</v>
      </c>
      <c r="BQ803" s="14" t="n">
        <v>0</v>
      </c>
      <c r="BR803" s="14" t="n">
        <v>0</v>
      </c>
      <c r="BS803" s="14" t="n">
        <v>1</v>
      </c>
      <c r="BT803" s="14" t="n">
        <v>0</v>
      </c>
      <c r="BU803" s="14" t="n">
        <v>0</v>
      </c>
      <c r="BV803" s="14" t="n">
        <v>0</v>
      </c>
      <c r="BW803" s="14" t="n">
        <v>0.15</v>
      </c>
      <c r="BX803" s="14" t="n">
        <v>1</v>
      </c>
      <c r="BY803" s="14" t="n">
        <v>13.646</v>
      </c>
      <c r="BZ803" s="14" t="n">
        <v>0</v>
      </c>
      <c r="CA803" s="14" t="n">
        <v>13.646</v>
      </c>
      <c r="CB803" s="14" t="n">
        <v>0</v>
      </c>
      <c r="CC803" s="14" t="n">
        <v>86.38500000000001</v>
      </c>
      <c r="CD803" s="14" t="n">
        <v>7.95</v>
      </c>
      <c r="CE803" s="14" t="n">
        <v>1.765</v>
      </c>
      <c r="CF803" s="14" t="n">
        <v>99.343</v>
      </c>
      <c r="CG803" s="14" t="n">
        <v>0.15</v>
      </c>
      <c r="CH803" s="14" t="n">
        <v>1</v>
      </c>
      <c r="CI803" s="14" t="n">
        <v>0</v>
      </c>
      <c r="CJ803" s="14" t="n">
        <v>0</v>
      </c>
      <c r="CK803" s="14" t="n">
        <v>0</v>
      </c>
      <c r="CL803" s="14" t="n">
        <v>0</v>
      </c>
      <c r="CM803" s="14" t="n">
        <v>0</v>
      </c>
      <c r="CN803" s="14" t="n">
        <v>0</v>
      </c>
      <c r="CO803" s="14" t="n">
        <v>0</v>
      </c>
      <c r="CP803" s="14" t="n">
        <v>0</v>
      </c>
      <c r="CQ803" s="14" t="n">
        <v>1.387</v>
      </c>
      <c r="CR803" s="14" t="n">
        <v>0</v>
      </c>
      <c r="CS803" s="14" t="n">
        <v>5.529</v>
      </c>
      <c r="CT803" s="14" t="n">
        <v>3.509</v>
      </c>
      <c r="CU803" s="14" t="n">
        <v>10.896</v>
      </c>
    </row>
    <row r="804">
      <c r="A804" s="14" t="inlineStr">
        <is>
          <t>TTO2021</t>
        </is>
      </c>
      <c r="B804" s="14" t="inlineStr">
        <is>
          <t>TTO</t>
        </is>
      </c>
      <c r="C804" s="14" t="inlineStr">
        <is>
          <t>TTO</t>
        </is>
      </c>
      <c r="D804" s="14" t="inlineStr">
        <is>
          <t>Trinidad and Tobago</t>
        </is>
      </c>
      <c r="E804" s="14" t="n">
        <v>2021</v>
      </c>
      <c r="F804" s="14" t="n">
        <v>0.125</v>
      </c>
      <c r="G804" s="14" t="n">
        <v>5.897</v>
      </c>
      <c r="H804" s="14" t="n">
        <v>1.143</v>
      </c>
      <c r="I804" s="14" t="n">
        <v>0</v>
      </c>
      <c r="J804" s="14" t="n">
        <v>5.897</v>
      </c>
      <c r="K804" s="14" t="n">
        <v>0</v>
      </c>
      <c r="L804" s="14" t="n">
        <v>1</v>
      </c>
      <c r="M804" s="14" t="n">
        <v>7.964</v>
      </c>
      <c r="N804" s="14" t="n">
        <v>3.43</v>
      </c>
      <c r="O804" s="14" t="n">
        <v>0</v>
      </c>
      <c r="P804" s="14" t="n">
        <v>7.964</v>
      </c>
      <c r="Q804" s="14" t="n">
        <v>0</v>
      </c>
      <c r="R804" s="14" t="n">
        <v>1</v>
      </c>
      <c r="S804" s="14" t="n">
        <v>11.613</v>
      </c>
      <c r="T804" s="14" t="n">
        <v>6.86</v>
      </c>
      <c r="U804" s="14" t="n">
        <v>0</v>
      </c>
      <c r="V804" s="14" t="n">
        <v>13.065</v>
      </c>
      <c r="W804" s="14" t="n">
        <v>0.125</v>
      </c>
      <c r="X804" s="14" t="n">
        <v>1</v>
      </c>
      <c r="Y804" s="14" t="n">
        <v>7.417</v>
      </c>
      <c r="Z804" s="14" t="n">
        <v>0.8139999999999999</v>
      </c>
      <c r="AA804" s="14" t="n">
        <v>0</v>
      </c>
      <c r="AB804" s="14" t="n">
        <v>7.417</v>
      </c>
      <c r="AC804" s="14" t="n">
        <v>0</v>
      </c>
      <c r="AD804" s="14" t="n">
        <v>1</v>
      </c>
      <c r="AE804" s="14" t="n">
        <v>7.988</v>
      </c>
      <c r="AF804" s="14" t="n">
        <v>1.553</v>
      </c>
      <c r="AG804" s="14" t="n">
        <v>0</v>
      </c>
      <c r="AH804" s="14" t="n">
        <v>7.988</v>
      </c>
      <c r="AI804" s="14" t="n">
        <v>0</v>
      </c>
      <c r="AJ804" s="14" t="n">
        <v>1</v>
      </c>
      <c r="AK804" s="14" t="n">
        <v>11.418</v>
      </c>
      <c r="AL804" s="14" t="n">
        <v>5.386</v>
      </c>
      <c r="AM804" s="14" t="n">
        <v>0</v>
      </c>
      <c r="AN804" s="14" t="n">
        <v>12.845</v>
      </c>
      <c r="AO804" s="14" t="n">
        <v>0.125</v>
      </c>
      <c r="AP804" s="14" t="n">
        <v>1</v>
      </c>
      <c r="AQ804" s="14" t="n">
        <v>0.649</v>
      </c>
      <c r="AR804" s="14" t="n">
        <v>0.114</v>
      </c>
      <c r="AS804" s="14" t="n">
        <v>-0.25</v>
      </c>
      <c r="AT804" s="14" t="n">
        <v>0.449</v>
      </c>
      <c r="AU804" s="14" t="n">
        <v>0</v>
      </c>
      <c r="AV804" s="14" t="n">
        <v>0</v>
      </c>
      <c r="AW804" s="14" t="n">
        <v>0.577</v>
      </c>
      <c r="AX804" s="14" t="n">
        <v>0.114</v>
      </c>
      <c r="AY804" s="14" t="n">
        <v>-0.133</v>
      </c>
      <c r="AZ804" s="14" t="n">
        <v>0.499</v>
      </c>
      <c r="BA804" s="14" t="n">
        <v>0</v>
      </c>
      <c r="BB804" s="14" t="n">
        <v>1</v>
      </c>
      <c r="BC804" s="14" t="n">
        <v>0.458</v>
      </c>
      <c r="BD804" s="14" t="n">
        <v>0.114</v>
      </c>
      <c r="BE804" s="14" t="n">
        <v>-0.244</v>
      </c>
      <c r="BF804" s="14" t="n">
        <v>0.215</v>
      </c>
      <c r="BG804" s="14" t="n">
        <v>0</v>
      </c>
      <c r="BH804" s="14" t="n">
        <v>0</v>
      </c>
      <c r="BI804" s="14" t="n">
        <v>0.491</v>
      </c>
      <c r="BJ804" s="14" t="n">
        <v>0.114</v>
      </c>
      <c r="BK804" s="14" t="n">
        <v>-0.137</v>
      </c>
      <c r="BL804" s="14" t="n">
        <v>0.354</v>
      </c>
      <c r="BM804" s="14" t="n">
        <v>0</v>
      </c>
      <c r="BN804" s="14" t="n">
        <v>0</v>
      </c>
      <c r="BO804" s="14" t="n">
        <v>0</v>
      </c>
      <c r="BP804" s="14" t="n">
        <v>-0.032</v>
      </c>
      <c r="BQ804" s="14" t="n">
        <v>0.053</v>
      </c>
      <c r="BR804" s="14" t="n">
        <v>0</v>
      </c>
      <c r="BS804" s="14" t="n">
        <v>0</v>
      </c>
      <c r="BT804" s="14" t="n">
        <v>0</v>
      </c>
      <c r="BU804" s="14" t="n">
        <v>-0.032</v>
      </c>
      <c r="BV804" s="14" t="n">
        <v>0.052</v>
      </c>
      <c r="BW804" s="14" t="n">
        <v>0</v>
      </c>
      <c r="BX804" s="14" t="n">
        <v>0.167</v>
      </c>
      <c r="BY804" s="14" t="n">
        <v>11.787</v>
      </c>
      <c r="BZ804" s="14" t="n">
        <v>0</v>
      </c>
      <c r="CA804" s="14" t="n">
        <v>11.787</v>
      </c>
      <c r="CB804" s="14" t="n">
        <v>0</v>
      </c>
      <c r="CC804" s="14" t="n">
        <v>78.125</v>
      </c>
      <c r="CD804" s="14" t="n">
        <v>7.95</v>
      </c>
      <c r="CE804" s="14" t="n">
        <v>-31.153</v>
      </c>
      <c r="CF804" s="14" t="n">
        <v>46.972</v>
      </c>
      <c r="CG804" s="14" t="n">
        <v>0</v>
      </c>
      <c r="CH804" s="14" t="n">
        <v>0</v>
      </c>
      <c r="CI804" s="14" t="n">
        <v>0</v>
      </c>
      <c r="CJ804" s="14" t="n">
        <v>0</v>
      </c>
      <c r="CK804" s="14" t="n">
        <v>0</v>
      </c>
      <c r="CL804" s="14" t="n">
        <v>0</v>
      </c>
      <c r="CM804" s="14" t="n">
        <v>0</v>
      </c>
      <c r="CN804" s="14" t="n">
        <v>0</v>
      </c>
      <c r="CO804" s="14" t="n">
        <v>0</v>
      </c>
      <c r="CP804" s="14" t="n">
        <v>0</v>
      </c>
      <c r="CQ804" s="14" t="n">
        <v>1.198</v>
      </c>
      <c r="CR804" s="14" t="n">
        <v>1</v>
      </c>
      <c r="CS804" s="14" t="n">
        <v>6.845</v>
      </c>
      <c r="CT804" s="14" t="n">
        <v>4.753</v>
      </c>
      <c r="CU804" s="14" t="n">
        <v>14.129</v>
      </c>
    </row>
    <row r="805">
      <c r="A805" s="14" t="inlineStr">
        <is>
          <t>TTO2022</t>
        </is>
      </c>
      <c r="B805" s="14" t="inlineStr">
        <is>
          <t>TTO</t>
        </is>
      </c>
      <c r="C805" s="14" t="inlineStr">
        <is>
          <t>TTO</t>
        </is>
      </c>
      <c r="D805" s="14" t="inlineStr">
        <is>
          <t>Trinidad and Tobago</t>
        </is>
      </c>
      <c r="E805" s="14" t="n">
        <v>2022</v>
      </c>
      <c r="F805" s="14" t="n">
        <v>0.125</v>
      </c>
      <c r="G805" s="14" t="n">
        <v>11.72</v>
      </c>
      <c r="H805" s="14" t="n">
        <v>1.235</v>
      </c>
      <c r="I805" s="14" t="n">
        <v>0</v>
      </c>
      <c r="J805" s="14" t="n">
        <v>11.72</v>
      </c>
      <c r="K805" s="14" t="n">
        <v>0</v>
      </c>
      <c r="L805" s="14" t="n">
        <v>1</v>
      </c>
      <c r="M805" s="14" t="n">
        <v>9.782999999999999</v>
      </c>
      <c r="N805" s="14" t="n">
        <v>3.704</v>
      </c>
      <c r="O805" s="14" t="n">
        <v>0</v>
      </c>
      <c r="P805" s="14" t="n">
        <v>9.782999999999999</v>
      </c>
      <c r="Q805" s="14" t="n">
        <v>0</v>
      </c>
      <c r="R805" s="14" t="n">
        <v>1</v>
      </c>
      <c r="S805" s="14" t="n">
        <v>17.893</v>
      </c>
      <c r="T805" s="14" t="n">
        <v>7.408</v>
      </c>
      <c r="U805" s="14" t="n">
        <v>0.166</v>
      </c>
      <c r="V805" s="14" t="n">
        <v>20.13</v>
      </c>
      <c r="W805" s="14" t="n">
        <v>0.125</v>
      </c>
      <c r="X805" s="14" t="n">
        <v>1</v>
      </c>
      <c r="Y805" s="14" t="n">
        <v>8.009</v>
      </c>
      <c r="Z805" s="14" t="n">
        <v>0.879</v>
      </c>
      <c r="AA805" s="14" t="n">
        <v>0</v>
      </c>
      <c r="AB805" s="14" t="n">
        <v>8.009</v>
      </c>
      <c r="AC805" s="14" t="n">
        <v>0</v>
      </c>
      <c r="AD805" s="14" t="n">
        <v>1</v>
      </c>
      <c r="AE805" s="14" t="n">
        <v>8.627000000000001</v>
      </c>
      <c r="AF805" s="14" t="n">
        <v>1.678</v>
      </c>
      <c r="AG805" s="14" t="n">
        <v>0</v>
      </c>
      <c r="AH805" s="14" t="n">
        <v>8.627000000000001</v>
      </c>
      <c r="AI805" s="14" t="n">
        <v>0</v>
      </c>
      <c r="AJ805" s="14" t="n">
        <v>1</v>
      </c>
      <c r="AK805" s="14" t="n">
        <v>12.331</v>
      </c>
      <c r="AL805" s="14" t="n">
        <v>5.817</v>
      </c>
      <c r="AM805" s="14" t="n">
        <v>0.114</v>
      </c>
      <c r="AN805" s="14" t="n">
        <v>13.872</v>
      </c>
      <c r="AO805" s="14" t="n">
        <v>0.125</v>
      </c>
      <c r="AP805" s="14" t="n">
        <v>1</v>
      </c>
      <c r="AQ805" s="14" t="n">
        <v>0.896</v>
      </c>
      <c r="AR805" s="14" t="n">
        <v>0.123</v>
      </c>
      <c r="AS805" s="14" t="n">
        <v>-0.281</v>
      </c>
      <c r="AT805" s="14" t="n">
        <v>0.6929999999999999</v>
      </c>
      <c r="AU805" s="14" t="n">
        <v>0</v>
      </c>
      <c r="AV805" s="14" t="n">
        <v>0</v>
      </c>
      <c r="AW805" s="14" t="n">
        <v>0.89</v>
      </c>
      <c r="AX805" s="14" t="n">
        <v>0.123</v>
      </c>
      <c r="AY805" s="14" t="n">
        <v>-0.383</v>
      </c>
      <c r="AZ805" s="14" t="n">
        <v>0.57</v>
      </c>
      <c r="BA805" s="14" t="n">
        <v>0</v>
      </c>
      <c r="BB805" s="14" t="n">
        <v>1</v>
      </c>
      <c r="BC805" s="14" t="n">
        <v>0.62</v>
      </c>
      <c r="BD805" s="14" t="n">
        <v>0.123</v>
      </c>
      <c r="BE805" s="14" t="n">
        <v>-0.263</v>
      </c>
      <c r="BF805" s="14" t="n">
        <v>0.357</v>
      </c>
      <c r="BG805" s="14" t="n">
        <v>0</v>
      </c>
      <c r="BH805" s="14" t="n">
        <v>0</v>
      </c>
      <c r="BI805" s="14" t="n">
        <v>0.608</v>
      </c>
      <c r="BJ805" s="14" t="n">
        <v>0.123</v>
      </c>
      <c r="BK805" s="14" t="n">
        <v>-0.148</v>
      </c>
      <c r="BL805" s="14" t="n">
        <v>0.46</v>
      </c>
      <c r="BM805" s="14" t="n">
        <v>0</v>
      </c>
      <c r="BN805" s="14" t="n">
        <v>0</v>
      </c>
      <c r="BO805" s="14" t="n">
        <v>0</v>
      </c>
      <c r="BP805" s="14" t="n">
        <v>-0.032</v>
      </c>
      <c r="BQ805" s="14" t="n">
        <v>0.053</v>
      </c>
      <c r="BR805" s="14" t="n">
        <v>0</v>
      </c>
      <c r="BS805" s="14" t="n">
        <v>0</v>
      </c>
      <c r="BT805" s="14" t="n">
        <v>0</v>
      </c>
      <c r="BU805" s="14" t="n">
        <v>-0.032</v>
      </c>
      <c r="BV805" s="14" t="n">
        <v>0.052</v>
      </c>
      <c r="BW805" s="14" t="n">
        <v>0</v>
      </c>
      <c r="BX805" s="14" t="n">
        <v>0.167</v>
      </c>
      <c r="BY805" s="14" t="n">
        <v>12.729</v>
      </c>
      <c r="BZ805" s="14" t="n">
        <v>0</v>
      </c>
      <c r="CA805" s="14" t="n">
        <v>12.729</v>
      </c>
      <c r="CB805" s="14" t="n">
        <v>0</v>
      </c>
      <c r="CC805" s="14" t="n">
        <v>97.90000000000001</v>
      </c>
      <c r="CD805" s="14" t="n">
        <v>7.95</v>
      </c>
      <c r="CE805" s="14" t="n">
        <v>-33.643</v>
      </c>
      <c r="CF805" s="14" t="n">
        <v>64.25700000000001</v>
      </c>
      <c r="CG805" s="14" t="n">
        <v>0</v>
      </c>
      <c r="CH805" s="14" t="n">
        <v>0</v>
      </c>
      <c r="CI805" s="14" t="n">
        <v>0</v>
      </c>
      <c r="CJ805" s="14" t="n">
        <v>0</v>
      </c>
      <c r="CK805" s="14" t="n">
        <v>0</v>
      </c>
      <c r="CL805" s="14" t="n">
        <v>0</v>
      </c>
      <c r="CM805" s="14" t="n">
        <v>0</v>
      </c>
      <c r="CN805" s="14" t="n">
        <v>0</v>
      </c>
      <c r="CO805" s="14" t="n">
        <v>0</v>
      </c>
      <c r="CP805" s="14" t="n">
        <v>0</v>
      </c>
      <c r="CQ805" s="14" t="n">
        <v>1.294</v>
      </c>
      <c r="CR805" s="14" t="n">
        <v>1</v>
      </c>
      <c r="CS805" s="14" t="n">
        <v>7.392</v>
      </c>
      <c r="CT805" s="14" t="n">
        <v>10.485</v>
      </c>
      <c r="CU805" s="14" t="n">
        <v>28.059</v>
      </c>
    </row>
    <row r="806">
      <c r="A806" s="14" t="inlineStr">
        <is>
          <t>TTO2023</t>
        </is>
      </c>
      <c r="B806" s="14" t="inlineStr">
        <is>
          <t>TTO</t>
        </is>
      </c>
      <c r="C806" s="14" t="inlineStr">
        <is>
          <t>TTO</t>
        </is>
      </c>
      <c r="D806" s="14" t="inlineStr">
        <is>
          <t>Trinidad and Tobago</t>
        </is>
      </c>
      <c r="E806" s="14" t="n">
        <v>2023</v>
      </c>
      <c r="F806" s="14" t="n">
        <v>0.125</v>
      </c>
      <c r="G806" s="14" t="n">
        <v>6.147</v>
      </c>
      <c r="H806" s="14" t="n">
        <v>1.286</v>
      </c>
      <c r="I806" s="14" t="n">
        <v>0</v>
      </c>
      <c r="J806" s="14" t="n">
        <v>6.147</v>
      </c>
      <c r="K806" s="14" t="n">
        <v>0</v>
      </c>
      <c r="L806" s="14" t="n">
        <v>1</v>
      </c>
      <c r="M806" s="14" t="n">
        <v>7.886</v>
      </c>
      <c r="N806" s="14" t="n">
        <v>3.857</v>
      </c>
      <c r="O806" s="14" t="n">
        <v>0</v>
      </c>
      <c r="P806" s="14" t="n">
        <v>7.886</v>
      </c>
      <c r="Q806" s="14" t="n">
        <v>0</v>
      </c>
      <c r="R806" s="14" t="n">
        <v>1</v>
      </c>
      <c r="S806" s="14" t="n">
        <v>12.575</v>
      </c>
      <c r="T806" s="14" t="n">
        <v>7.714</v>
      </c>
      <c r="U806" s="14" t="n">
        <v>0.174</v>
      </c>
      <c r="V806" s="14" t="n">
        <v>14.147</v>
      </c>
      <c r="W806" s="14" t="n">
        <v>0.125</v>
      </c>
      <c r="X806" s="14" t="n">
        <v>1</v>
      </c>
      <c r="Y806" s="14" t="n">
        <v>8.34</v>
      </c>
      <c r="Z806" s="14" t="n">
        <v>0.915</v>
      </c>
      <c r="AA806" s="14" t="n">
        <v>0</v>
      </c>
      <c r="AB806" s="14" t="n">
        <v>8.34</v>
      </c>
      <c r="AC806" s="14" t="n">
        <v>0</v>
      </c>
      <c r="AD806" s="14" t="n">
        <v>1</v>
      </c>
      <c r="AE806" s="14" t="n">
        <v>8.983000000000001</v>
      </c>
      <c r="AF806" s="14" t="n">
        <v>1.747</v>
      </c>
      <c r="AG806" s="14" t="n">
        <v>0</v>
      </c>
      <c r="AH806" s="14" t="n">
        <v>8.983000000000001</v>
      </c>
      <c r="AI806" s="14" t="n">
        <v>0</v>
      </c>
      <c r="AJ806" s="14" t="n">
        <v>1</v>
      </c>
      <c r="AK806" s="14" t="n">
        <v>12.84</v>
      </c>
      <c r="AL806" s="14" t="n">
        <v>6.057</v>
      </c>
      <c r="AM806" s="14" t="n">
        <v>0.178</v>
      </c>
      <c r="AN806" s="14" t="n">
        <v>14.445</v>
      </c>
      <c r="AO806" s="14" t="n">
        <v>0.125</v>
      </c>
      <c r="AP806" s="14" t="n">
        <v>1</v>
      </c>
      <c r="AQ806" s="14" t="n">
        <v>0.791</v>
      </c>
      <c r="AR806" s="14" t="n">
        <v>0.129</v>
      </c>
      <c r="AS806" s="14" t="n">
        <v>-0.196</v>
      </c>
      <c r="AT806" s="14" t="n">
        <v>0.595</v>
      </c>
      <c r="AU806" s="14" t="n">
        <v>0</v>
      </c>
      <c r="AV806" s="14" t="n">
        <v>0</v>
      </c>
      <c r="AW806" s="14" t="n">
        <v>0.618</v>
      </c>
      <c r="AX806" s="14" t="n">
        <v>0.129</v>
      </c>
      <c r="AY806" s="14" t="n">
        <v>-0.042</v>
      </c>
      <c r="AZ806" s="14" t="n">
        <v>0.576</v>
      </c>
      <c r="BA806" s="14" t="n">
        <v>0</v>
      </c>
      <c r="BB806" s="14" t="n">
        <v>1</v>
      </c>
      <c r="BC806" s="14" t="n">
        <v>0.554</v>
      </c>
      <c r="BD806" s="14" t="n">
        <v>0.129</v>
      </c>
      <c r="BE806" s="14" t="n">
        <v>-0.274</v>
      </c>
      <c r="BF806" s="14" t="n">
        <v>0.281</v>
      </c>
      <c r="BG806" s="14" t="n">
        <v>0</v>
      </c>
      <c r="BH806" s="14" t="n">
        <v>0</v>
      </c>
      <c r="BI806" s="14" t="n">
        <v>0.5570000000000001</v>
      </c>
      <c r="BJ806" s="14" t="n">
        <v>0.129</v>
      </c>
      <c r="BK806" s="14" t="n">
        <v>-0.154</v>
      </c>
      <c r="BL806" s="14" t="n">
        <v>0.403</v>
      </c>
      <c r="BM806" s="14" t="n">
        <v>0</v>
      </c>
      <c r="BN806" s="14" t="n">
        <v>0</v>
      </c>
      <c r="BO806" s="14" t="n">
        <v>0</v>
      </c>
      <c r="BP806" s="14" t="n">
        <v>-0.032</v>
      </c>
      <c r="BQ806" s="14" t="n">
        <v>0.053</v>
      </c>
      <c r="BR806" s="14" t="n">
        <v>0</v>
      </c>
      <c r="BS806" s="14" t="n">
        <v>0</v>
      </c>
      <c r="BT806" s="14" t="n">
        <v>0</v>
      </c>
      <c r="BU806" s="14" t="n">
        <v>-0.032</v>
      </c>
      <c r="BV806" s="14" t="n">
        <v>0.052</v>
      </c>
      <c r="BW806" s="14" t="n">
        <v>0</v>
      </c>
      <c r="BX806" s="14" t="n">
        <v>0.167</v>
      </c>
      <c r="BY806" s="14" t="n">
        <v>13.254</v>
      </c>
      <c r="BZ806" s="14" t="n">
        <v>0</v>
      </c>
      <c r="CA806" s="14" t="n">
        <v>13.254</v>
      </c>
      <c r="CB806" s="14" t="n">
        <v>0</v>
      </c>
      <c r="CC806" s="14" t="n">
        <v>83.248</v>
      </c>
      <c r="CD806" s="14" t="n">
        <v>7.95</v>
      </c>
      <c r="CE806" s="14" t="n">
        <v>-35.031</v>
      </c>
      <c r="CF806" s="14" t="n">
        <v>48.217</v>
      </c>
      <c r="CG806" s="14" t="n">
        <v>0</v>
      </c>
      <c r="CH806" s="14" t="n">
        <v>0</v>
      </c>
      <c r="CI806" s="14" t="n">
        <v>0</v>
      </c>
      <c r="CJ806" s="14" t="n">
        <v>0</v>
      </c>
      <c r="CK806" s="14" t="n">
        <v>0</v>
      </c>
      <c r="CL806" s="14" t="n">
        <v>0</v>
      </c>
      <c r="CM806" s="14" t="n">
        <v>0</v>
      </c>
      <c r="CN806" s="14" t="n">
        <v>0</v>
      </c>
      <c r="CO806" s="14" t="n">
        <v>0</v>
      </c>
      <c r="CP806" s="14" t="n">
        <v>0</v>
      </c>
      <c r="CQ806" s="14" t="n">
        <v>1.348</v>
      </c>
      <c r="CR806" s="14" t="n">
        <v>1</v>
      </c>
      <c r="CS806" s="14" t="n">
        <v>7.697</v>
      </c>
      <c r="CT806" s="14" t="n">
        <v>4.861</v>
      </c>
      <c r="CU806" s="14" t="n">
        <v>9.260999999999999</v>
      </c>
    </row>
    <row r="807">
      <c r="A807" s="14" t="inlineStr">
        <is>
          <t>TTO2024</t>
        </is>
      </c>
      <c r="B807" s="14" t="inlineStr">
        <is>
          <t>TTO</t>
        </is>
      </c>
      <c r="C807" s="14" t="inlineStr">
        <is>
          <t>TTO</t>
        </is>
      </c>
      <c r="D807" s="14" t="inlineStr">
        <is>
          <t>Trinidad and Tobago</t>
        </is>
      </c>
      <c r="E807" s="14" t="n">
        <v>2024</v>
      </c>
      <c r="F807" s="14" t="n">
        <v>0.125</v>
      </c>
      <c r="G807" s="14" t="n">
        <v>5.575</v>
      </c>
      <c r="H807" s="14" t="n">
        <v>1.324</v>
      </c>
      <c r="I807" s="14" t="n">
        <v>0</v>
      </c>
      <c r="J807" s="14" t="n">
        <v>5.575</v>
      </c>
      <c r="K807" s="14" t="n">
        <v>0</v>
      </c>
      <c r="L807" s="14" t="n">
        <v>1</v>
      </c>
      <c r="M807" s="14" t="n">
        <v>7.124</v>
      </c>
      <c r="N807" s="14" t="n">
        <v>3.971</v>
      </c>
      <c r="O807" s="14" t="n">
        <v>0</v>
      </c>
      <c r="P807" s="14" t="n">
        <v>7.124</v>
      </c>
      <c r="Q807" s="14" t="n">
        <v>0</v>
      </c>
      <c r="R807" s="14" t="n">
        <v>1</v>
      </c>
      <c r="S807" s="14" t="n">
        <v>12.193</v>
      </c>
      <c r="T807" s="14" t="n">
        <v>7.942</v>
      </c>
      <c r="U807" s="14" t="n">
        <v>0.208</v>
      </c>
      <c r="V807" s="14" t="n">
        <v>13.717</v>
      </c>
      <c r="W807" s="14" t="n">
        <v>0.125</v>
      </c>
      <c r="X807" s="14" t="n">
        <v>1</v>
      </c>
      <c r="Y807" s="14" t="n">
        <v>8.26</v>
      </c>
      <c r="Z807" s="14" t="n">
        <v>0.906</v>
      </c>
      <c r="AA807" s="14" t="n">
        <v>0</v>
      </c>
      <c r="AB807" s="14" t="n">
        <v>8.26</v>
      </c>
      <c r="AC807" s="14" t="n">
        <v>0</v>
      </c>
      <c r="AD807" s="14" t="n">
        <v>1</v>
      </c>
      <c r="AE807" s="14" t="n">
        <v>8.922000000000001</v>
      </c>
      <c r="AF807" s="14" t="n">
        <v>1.735</v>
      </c>
      <c r="AG807" s="14" t="n">
        <v>0</v>
      </c>
      <c r="AH807" s="14" t="n">
        <v>8.922000000000001</v>
      </c>
      <c r="AI807" s="14" t="n">
        <v>0</v>
      </c>
      <c r="AJ807" s="14" t="n">
        <v>1</v>
      </c>
      <c r="AK807" s="14" t="n">
        <v>12.892</v>
      </c>
      <c r="AL807" s="14" t="n">
        <v>6.082</v>
      </c>
      <c r="AM807" s="14" t="n">
        <v>0.22</v>
      </c>
      <c r="AN807" s="14" t="n">
        <v>14.504</v>
      </c>
      <c r="AO807" s="14" t="n">
        <v>0.125</v>
      </c>
      <c r="AP807" s="14" t="n">
        <v>1</v>
      </c>
      <c r="AQ807" s="14" t="n">
        <v>0.756</v>
      </c>
      <c r="AR807" s="14" t="n">
        <v>0.132</v>
      </c>
      <c r="AS807" s="14" t="n">
        <v>-0.195</v>
      </c>
      <c r="AT807" s="14" t="n">
        <v>0.5610000000000001</v>
      </c>
      <c r="AU807" s="14" t="n">
        <v>0</v>
      </c>
      <c r="AV807" s="14" t="n">
        <v>0</v>
      </c>
      <c r="AW807" s="14" t="n">
        <v>0.655</v>
      </c>
      <c r="AX807" s="14" t="n">
        <v>0.132</v>
      </c>
      <c r="AY807" s="14" t="n">
        <v>-0.061</v>
      </c>
      <c r="AZ807" s="14" t="n">
        <v>0.594</v>
      </c>
      <c r="BA807" s="14" t="n">
        <v>0</v>
      </c>
      <c r="BB807" s="14" t="n">
        <v>1</v>
      </c>
      <c r="BC807" s="14" t="n">
        <v>0.534</v>
      </c>
      <c r="BD807" s="14" t="n">
        <v>0.132</v>
      </c>
      <c r="BE807" s="14" t="n">
        <v>-0.282</v>
      </c>
      <c r="BF807" s="14" t="n">
        <v>0.252</v>
      </c>
      <c r="BG807" s="14" t="n">
        <v>0</v>
      </c>
      <c r="BH807" s="14" t="n">
        <v>0</v>
      </c>
      <c r="BI807" s="14" t="n">
        <v>0.5679999999999999</v>
      </c>
      <c r="BJ807" s="14" t="n">
        <v>0.132</v>
      </c>
      <c r="BK807" s="14" t="n">
        <v>-0.158</v>
      </c>
      <c r="BL807" s="14" t="n">
        <v>0.409</v>
      </c>
      <c r="BM807" s="14" t="n">
        <v>0</v>
      </c>
      <c r="BN807" s="14" t="n">
        <v>0</v>
      </c>
      <c r="BO807" s="14" t="n">
        <v>0</v>
      </c>
      <c r="BP807" s="14" t="n">
        <v>-0.033</v>
      </c>
      <c r="BQ807" s="14" t="n">
        <v>0.053</v>
      </c>
      <c r="BR807" s="14" t="n">
        <v>0</v>
      </c>
      <c r="BS807" s="14" t="n">
        <v>0</v>
      </c>
      <c r="BT807" s="14" t="n">
        <v>0</v>
      </c>
      <c r="BU807" s="14" t="n">
        <v>-0.033</v>
      </c>
      <c r="BV807" s="14" t="n">
        <v>0.055</v>
      </c>
      <c r="BW807" s="14" t="n">
        <v>0</v>
      </c>
      <c r="BX807" s="14" t="n">
        <v>0.167</v>
      </c>
      <c r="BY807" s="14" t="n">
        <v>13.646</v>
      </c>
      <c r="BZ807" s="14" t="n">
        <v>0</v>
      </c>
      <c r="CA807" s="14" t="n">
        <v>13.646</v>
      </c>
      <c r="CB807" s="14" t="n">
        <v>0</v>
      </c>
      <c r="CC807" s="14" t="n">
        <v>82.58799999999999</v>
      </c>
      <c r="CD807" s="14" t="n">
        <v>7.95</v>
      </c>
      <c r="CE807" s="14" t="n">
        <v>-36.065</v>
      </c>
      <c r="CF807" s="14" t="n">
        <v>46.523</v>
      </c>
      <c r="CG807" s="14" t="n">
        <v>0</v>
      </c>
      <c r="CH807" s="14" t="n">
        <v>0</v>
      </c>
      <c r="CI807" s="14" t="n">
        <v>0</v>
      </c>
      <c r="CJ807" s="14" t="n">
        <v>0</v>
      </c>
      <c r="CK807" s="14" t="n">
        <v>0</v>
      </c>
      <c r="CL807" s="14" t="n">
        <v>0</v>
      </c>
      <c r="CM807" s="14" t="n">
        <v>0</v>
      </c>
      <c r="CN807" s="14" t="n">
        <v>0</v>
      </c>
      <c r="CO807" s="14" t="n">
        <v>0</v>
      </c>
      <c r="CP807" s="14" t="n">
        <v>0</v>
      </c>
      <c r="CQ807" s="14" t="n">
        <v>1.387</v>
      </c>
      <c r="CR807" s="14" t="n">
        <v>1</v>
      </c>
      <c r="CS807" s="14" t="n">
        <v>7.598</v>
      </c>
      <c r="CT807" s="14" t="n">
        <v>4.251</v>
      </c>
      <c r="CU807" s="14" t="n">
        <v>7.598</v>
      </c>
    </row>
    <row r="808">
      <c r="A808" s="14" t="inlineStr">
        <is>
          <t>TUN2021</t>
        </is>
      </c>
      <c r="B808" s="14" t="inlineStr">
        <is>
          <t>TUN</t>
        </is>
      </c>
      <c r="C808" s="14" t="inlineStr">
        <is>
          <t>TUN</t>
        </is>
      </c>
      <c r="D808" s="14" t="inlineStr">
        <is>
          <t>Tunisia</t>
        </is>
      </c>
      <c r="E808" s="14" t="n">
        <v>2021</v>
      </c>
      <c r="F808" s="14" t="n">
        <v>0.19</v>
      </c>
      <c r="G808" s="14" t="n">
        <v>5.897</v>
      </c>
      <c r="H808" s="14" t="n">
        <v>1.143</v>
      </c>
      <c r="I808" s="14" t="n">
        <v>0</v>
      </c>
      <c r="J808" s="14" t="n">
        <v>5.897</v>
      </c>
      <c r="K808" s="14" t="n">
        <v>0</v>
      </c>
      <c r="L808" s="14" t="n">
        <v>1</v>
      </c>
      <c r="M808" s="14" t="n">
        <v>7.964</v>
      </c>
      <c r="N808" s="14" t="n">
        <v>3.43</v>
      </c>
      <c r="O808" s="14" t="n">
        <v>0</v>
      </c>
      <c r="P808" s="14" t="n">
        <v>7.964</v>
      </c>
      <c r="Q808" s="14" t="n">
        <v>0</v>
      </c>
      <c r="R808" s="14" t="n">
        <v>1</v>
      </c>
      <c r="S808" s="14" t="n">
        <v>11.613</v>
      </c>
      <c r="T808" s="14" t="n">
        <v>6.86</v>
      </c>
      <c r="U808" s="14" t="n">
        <v>0</v>
      </c>
      <c r="V808" s="14" t="n">
        <v>13.82</v>
      </c>
      <c r="W808" s="14" t="n">
        <v>0.19</v>
      </c>
      <c r="X808" s="14" t="n">
        <v>1</v>
      </c>
      <c r="Y808" s="14" t="n">
        <v>6.869</v>
      </c>
      <c r="Z808" s="14" t="n">
        <v>0.913</v>
      </c>
      <c r="AA808" s="14" t="n">
        <v>1.348</v>
      </c>
      <c r="AB808" s="14" t="n">
        <v>8.217000000000001</v>
      </c>
      <c r="AC808" s="14" t="n">
        <v>0</v>
      </c>
      <c r="AD808" s="14" t="n">
        <v>1</v>
      </c>
      <c r="AE808" s="14" t="n">
        <v>7.788</v>
      </c>
      <c r="AF808" s="14" t="n">
        <v>1.788</v>
      </c>
      <c r="AG808" s="14" t="n">
        <v>0.429</v>
      </c>
      <c r="AH808" s="14" t="n">
        <v>8.217000000000001</v>
      </c>
      <c r="AI808" s="14" t="n">
        <v>0</v>
      </c>
      <c r="AJ808" s="14" t="n">
        <v>1</v>
      </c>
      <c r="AK808" s="14" t="n">
        <v>13.299</v>
      </c>
      <c r="AL808" s="14" t="n">
        <v>6.969</v>
      </c>
      <c r="AM808" s="14" t="n">
        <v>-9.521000000000001</v>
      </c>
      <c r="AN808" s="14" t="n">
        <v>4.496</v>
      </c>
      <c r="AO808" s="14" t="n">
        <v>0</v>
      </c>
      <c r="AP808" s="14" t="n">
        <v>0</v>
      </c>
      <c r="AQ808" s="14" t="n">
        <v>0.621</v>
      </c>
      <c r="AR808" s="14" t="n">
        <v>0.114</v>
      </c>
      <c r="AS808" s="14" t="n">
        <v>-0.045</v>
      </c>
      <c r="AT808" s="14" t="n">
        <v>0.6850000000000001</v>
      </c>
      <c r="AU808" s="14" t="n">
        <v>0.19</v>
      </c>
      <c r="AV808" s="14" t="n">
        <v>1</v>
      </c>
      <c r="AW808" s="14" t="n">
        <v>0.593</v>
      </c>
      <c r="AX808" s="14" t="n">
        <v>0.114</v>
      </c>
      <c r="AY808" s="14" t="n">
        <v>-0.103</v>
      </c>
      <c r="AZ808" s="14" t="n">
        <v>0.583</v>
      </c>
      <c r="BA808" s="14" t="n">
        <v>0</v>
      </c>
      <c r="BB808" s="14" t="n">
        <v>1</v>
      </c>
      <c r="BC808" s="14" t="n">
        <v>0.44</v>
      </c>
      <c r="BD808" s="14" t="n">
        <v>0.114</v>
      </c>
      <c r="BE808" s="14" t="n">
        <v>-0.348</v>
      </c>
      <c r="BF808" s="14" t="n">
        <v>0.109</v>
      </c>
      <c r="BG808" s="14" t="n">
        <v>0</v>
      </c>
      <c r="BH808" s="14" t="n">
        <v>0</v>
      </c>
      <c r="BI808" s="14" t="n">
        <v>0.5600000000000001</v>
      </c>
      <c r="BJ808" s="14" t="n">
        <v>0.114</v>
      </c>
      <c r="BK808" s="14" t="n">
        <v>-0.317</v>
      </c>
      <c r="BL808" s="14" t="n">
        <v>0.29</v>
      </c>
      <c r="BM808" s="14" t="n">
        <v>0</v>
      </c>
      <c r="BN808" s="14" t="n">
        <v>0</v>
      </c>
      <c r="BO808" s="14" t="n">
        <v>0</v>
      </c>
      <c r="BP808" s="14" t="n">
        <v>0</v>
      </c>
      <c r="BQ808" s="14" t="n">
        <v>0.097</v>
      </c>
      <c r="BR808" s="14" t="n">
        <v>0</v>
      </c>
      <c r="BS808" s="14" t="n">
        <v>0.667</v>
      </c>
      <c r="BT808" s="14" t="n">
        <v>0</v>
      </c>
      <c r="BU808" s="14" t="n">
        <v>0</v>
      </c>
      <c r="BV808" s="14" t="n">
        <v>0.022</v>
      </c>
      <c r="BW808" s="14" t="n">
        <v>0.19</v>
      </c>
      <c r="BX808" s="14" t="n">
        <v>0.333</v>
      </c>
      <c r="BY808" s="14" t="n">
        <v>11.787</v>
      </c>
      <c r="BZ808" s="14" t="n">
        <v>0</v>
      </c>
      <c r="CA808" s="14" t="n">
        <v>11.787</v>
      </c>
      <c r="CB808" s="14" t="n">
        <v>0</v>
      </c>
      <c r="CC808" s="14" t="n">
        <v>81.69499999999999</v>
      </c>
      <c r="CD808" s="14" t="n">
        <v>7.95</v>
      </c>
      <c r="CE808" s="14" t="n">
        <v>-44.854</v>
      </c>
      <c r="CF808" s="14" t="n">
        <v>43.842</v>
      </c>
      <c r="CG808" s="14" t="n">
        <v>0</v>
      </c>
      <c r="CH808" s="14" t="n">
        <v>0</v>
      </c>
      <c r="CI808" s="14" t="n">
        <v>0</v>
      </c>
      <c r="CJ808" s="14" t="n">
        <v>0</v>
      </c>
      <c r="CK808" s="14" t="n">
        <v>0</v>
      </c>
      <c r="CL808" s="14" t="n">
        <v>0</v>
      </c>
      <c r="CM808" s="14" t="n">
        <v>0</v>
      </c>
      <c r="CN808" s="14" t="n">
        <v>0</v>
      </c>
      <c r="CO808" s="14" t="n">
        <v>0</v>
      </c>
      <c r="CP808" s="14" t="n">
        <v>0</v>
      </c>
      <c r="CQ808" s="14" t="n">
        <v>1.198</v>
      </c>
      <c r="CR808" s="14" t="n">
        <v>0.393</v>
      </c>
      <c r="CS808" s="14" t="n">
        <v>5.951</v>
      </c>
      <c r="CT808" s="14" t="n">
        <v>4.753</v>
      </c>
      <c r="CU808" s="14" t="n">
        <v>14.162</v>
      </c>
    </row>
    <row r="809">
      <c r="A809" s="14" t="inlineStr">
        <is>
          <t>TUN2022</t>
        </is>
      </c>
      <c r="B809" s="14" t="inlineStr">
        <is>
          <t>TUN</t>
        </is>
      </c>
      <c r="C809" s="14" t="inlineStr">
        <is>
          <t>TUN</t>
        </is>
      </c>
      <c r="D809" s="14" t="inlineStr">
        <is>
          <t>Tunisia</t>
        </is>
      </c>
      <c r="E809" s="14" t="n">
        <v>2022</v>
      </c>
      <c r="F809" s="14" t="n">
        <v>0.19</v>
      </c>
      <c r="G809" s="14" t="n">
        <v>11.72</v>
      </c>
      <c r="H809" s="14" t="n">
        <v>1.235</v>
      </c>
      <c r="I809" s="14" t="n">
        <v>0</v>
      </c>
      <c r="J809" s="14" t="n">
        <v>11.72</v>
      </c>
      <c r="K809" s="14" t="n">
        <v>0</v>
      </c>
      <c r="L809" s="14" t="n">
        <v>1</v>
      </c>
      <c r="M809" s="14" t="n">
        <v>9.782999999999999</v>
      </c>
      <c r="N809" s="14" t="n">
        <v>3.704</v>
      </c>
      <c r="O809" s="14" t="n">
        <v>0</v>
      </c>
      <c r="P809" s="14" t="n">
        <v>9.782999999999999</v>
      </c>
      <c r="Q809" s="14" t="n">
        <v>0</v>
      </c>
      <c r="R809" s="14" t="n">
        <v>1</v>
      </c>
      <c r="S809" s="14" t="n">
        <v>17.893</v>
      </c>
      <c r="T809" s="14" t="n">
        <v>7.408</v>
      </c>
      <c r="U809" s="14" t="n">
        <v>0.252</v>
      </c>
      <c r="V809" s="14" t="n">
        <v>21.293</v>
      </c>
      <c r="W809" s="14" t="n">
        <v>0.19</v>
      </c>
      <c r="X809" s="14" t="n">
        <v>1</v>
      </c>
      <c r="Y809" s="14" t="n">
        <v>7.425</v>
      </c>
      <c r="Z809" s="14" t="n">
        <v>0.987</v>
      </c>
      <c r="AA809" s="14" t="n">
        <v>0.741</v>
      </c>
      <c r="AB809" s="14" t="n">
        <v>8.167</v>
      </c>
      <c r="AC809" s="14" t="n">
        <v>0</v>
      </c>
      <c r="AD809" s="14" t="n">
        <v>1</v>
      </c>
      <c r="AE809" s="14" t="n">
        <v>8.423999999999999</v>
      </c>
      <c r="AF809" s="14" t="n">
        <v>1.934</v>
      </c>
      <c r="AG809" s="14" t="n">
        <v>-0.257</v>
      </c>
      <c r="AH809" s="14" t="n">
        <v>8.167</v>
      </c>
      <c r="AI809" s="14" t="n">
        <v>0</v>
      </c>
      <c r="AJ809" s="14" t="n">
        <v>1</v>
      </c>
      <c r="AK809" s="14" t="n">
        <v>14.416</v>
      </c>
      <c r="AL809" s="14" t="n">
        <v>7.554</v>
      </c>
      <c r="AM809" s="14" t="n">
        <v>-10.788</v>
      </c>
      <c r="AN809" s="14" t="n">
        <v>4.318</v>
      </c>
      <c r="AO809" s="14" t="n">
        <v>0</v>
      </c>
      <c r="AP809" s="14" t="n">
        <v>0</v>
      </c>
      <c r="AQ809" s="14" t="n">
        <v>0.847</v>
      </c>
      <c r="AR809" s="14" t="n">
        <v>0.123</v>
      </c>
      <c r="AS809" s="14" t="n">
        <v>-0.257</v>
      </c>
      <c r="AT809" s="14" t="n">
        <v>0.702</v>
      </c>
      <c r="AU809" s="14" t="n">
        <v>0.19</v>
      </c>
      <c r="AV809" s="14" t="n">
        <v>1</v>
      </c>
      <c r="AW809" s="14" t="n">
        <v>0.947</v>
      </c>
      <c r="AX809" s="14" t="n">
        <v>0.123</v>
      </c>
      <c r="AY809" s="14" t="n">
        <v>-0.443</v>
      </c>
      <c r="AZ809" s="14" t="n">
        <v>0.599</v>
      </c>
      <c r="BA809" s="14" t="n">
        <v>0</v>
      </c>
      <c r="BB809" s="14" t="n">
        <v>1</v>
      </c>
      <c r="BC809" s="14" t="n">
        <v>0.589</v>
      </c>
      <c r="BD809" s="14" t="n">
        <v>0.123</v>
      </c>
      <c r="BE809" s="14" t="n">
        <v>-0.495</v>
      </c>
      <c r="BF809" s="14" t="n">
        <v>0.111</v>
      </c>
      <c r="BG809" s="14" t="n">
        <v>0</v>
      </c>
      <c r="BH809" s="14" t="n">
        <v>0</v>
      </c>
      <c r="BI809" s="14" t="n">
        <v>0.6889999999999999</v>
      </c>
      <c r="BJ809" s="14" t="n">
        <v>0.123</v>
      </c>
      <c r="BK809" s="14" t="n">
        <v>-0.457</v>
      </c>
      <c r="BL809" s="14" t="n">
        <v>0.276</v>
      </c>
      <c r="BM809" s="14" t="n">
        <v>0</v>
      </c>
      <c r="BN809" s="14" t="n">
        <v>0</v>
      </c>
      <c r="BO809" s="14" t="n">
        <v>0</v>
      </c>
      <c r="BP809" s="14" t="n">
        <v>0</v>
      </c>
      <c r="BQ809" s="14" t="n">
        <v>0.094</v>
      </c>
      <c r="BR809" s="14" t="n">
        <v>0</v>
      </c>
      <c r="BS809" s="14" t="n">
        <v>0.667</v>
      </c>
      <c r="BT809" s="14" t="n">
        <v>0</v>
      </c>
      <c r="BU809" s="14" t="n">
        <v>0</v>
      </c>
      <c r="BV809" s="14" t="n">
        <v>0.02</v>
      </c>
      <c r="BW809" s="14" t="n">
        <v>0.19</v>
      </c>
      <c r="BX809" s="14" t="n">
        <v>0.333</v>
      </c>
      <c r="BY809" s="14" t="n">
        <v>12.729</v>
      </c>
      <c r="BZ809" s="14" t="n">
        <v>0</v>
      </c>
      <c r="CA809" s="14" t="n">
        <v>12.729</v>
      </c>
      <c r="CB809" s="14" t="n">
        <v>0</v>
      </c>
      <c r="CC809" s="14" t="n">
        <v>102.477</v>
      </c>
      <c r="CD809" s="14" t="n">
        <v>7.95</v>
      </c>
      <c r="CE809" s="14" t="n">
        <v>-63.257</v>
      </c>
      <c r="CF809" s="14" t="n">
        <v>46.672</v>
      </c>
      <c r="CG809" s="14" t="n">
        <v>0</v>
      </c>
      <c r="CH809" s="14" t="n">
        <v>0</v>
      </c>
      <c r="CI809" s="14" t="n">
        <v>0</v>
      </c>
      <c r="CJ809" s="14" t="n">
        <v>0</v>
      </c>
      <c r="CK809" s="14" t="n">
        <v>0</v>
      </c>
      <c r="CL809" s="14" t="n">
        <v>0</v>
      </c>
      <c r="CM809" s="14" t="n">
        <v>0</v>
      </c>
      <c r="CN809" s="14" t="n">
        <v>0</v>
      </c>
      <c r="CO809" s="14" t="n">
        <v>0</v>
      </c>
      <c r="CP809" s="14" t="n">
        <v>0</v>
      </c>
      <c r="CQ809" s="14" t="n">
        <v>1.294</v>
      </c>
      <c r="CR809" s="14" t="n">
        <v>0.382</v>
      </c>
      <c r="CS809" s="14" t="n">
        <v>6.427</v>
      </c>
      <c r="CT809" s="14" t="n">
        <v>10.485</v>
      </c>
      <c r="CU809" s="14" t="n">
        <v>30.326</v>
      </c>
    </row>
    <row r="810">
      <c r="A810" s="14" t="inlineStr">
        <is>
          <t>TUN2023</t>
        </is>
      </c>
      <c r="B810" s="14" t="inlineStr">
        <is>
          <t>TUN</t>
        </is>
      </c>
      <c r="C810" s="14" t="inlineStr">
        <is>
          <t>TUN</t>
        </is>
      </c>
      <c r="D810" s="14" t="inlineStr">
        <is>
          <t>Tunisia</t>
        </is>
      </c>
      <c r="E810" s="14" t="n">
        <v>2023</v>
      </c>
      <c r="F810" s="14" t="n">
        <v>0.19</v>
      </c>
      <c r="G810" s="14" t="n">
        <v>6.147</v>
      </c>
      <c r="H810" s="14" t="n">
        <v>1.286</v>
      </c>
      <c r="I810" s="14" t="n">
        <v>0</v>
      </c>
      <c r="J810" s="14" t="n">
        <v>6.147</v>
      </c>
      <c r="K810" s="14" t="n">
        <v>0</v>
      </c>
      <c r="L810" s="14" t="n">
        <v>1</v>
      </c>
      <c r="M810" s="14" t="n">
        <v>7.886</v>
      </c>
      <c r="N810" s="14" t="n">
        <v>3.857</v>
      </c>
      <c r="O810" s="14" t="n">
        <v>0</v>
      </c>
      <c r="P810" s="14" t="n">
        <v>7.886</v>
      </c>
      <c r="Q810" s="14" t="n">
        <v>0</v>
      </c>
      <c r="R810" s="14" t="n">
        <v>1</v>
      </c>
      <c r="S810" s="14" t="n">
        <v>12.575</v>
      </c>
      <c r="T810" s="14" t="n">
        <v>7.714</v>
      </c>
      <c r="U810" s="14" t="n">
        <v>0.265</v>
      </c>
      <c r="V810" s="14" t="n">
        <v>14.964</v>
      </c>
      <c r="W810" s="14" t="n">
        <v>0.19</v>
      </c>
      <c r="X810" s="14" t="n">
        <v>1</v>
      </c>
      <c r="Y810" s="14" t="n">
        <v>7.747</v>
      </c>
      <c r="Z810" s="14" t="n">
        <v>1.03</v>
      </c>
      <c r="AA810" s="14" t="n">
        <v>0.797</v>
      </c>
      <c r="AB810" s="14" t="n">
        <v>8.544</v>
      </c>
      <c r="AC810" s="14" t="n">
        <v>0</v>
      </c>
      <c r="AD810" s="14" t="n">
        <v>1</v>
      </c>
      <c r="AE810" s="14" t="n">
        <v>8.802</v>
      </c>
      <c r="AF810" s="14" t="n">
        <v>2.021</v>
      </c>
      <c r="AG810" s="14" t="n">
        <v>-0.258</v>
      </c>
      <c r="AH810" s="14" t="n">
        <v>8.544</v>
      </c>
      <c r="AI810" s="14" t="n">
        <v>0</v>
      </c>
      <c r="AJ810" s="14" t="n">
        <v>1</v>
      </c>
      <c r="AK810" s="14" t="n">
        <v>15.132</v>
      </c>
      <c r="AL810" s="14" t="n">
        <v>7.929</v>
      </c>
      <c r="AM810" s="14" t="n">
        <v>-11.666</v>
      </c>
      <c r="AN810" s="14" t="n">
        <v>4.124</v>
      </c>
      <c r="AO810" s="14" t="n">
        <v>0</v>
      </c>
      <c r="AP810" s="14" t="n">
        <v>0</v>
      </c>
      <c r="AQ810" s="14" t="n">
        <v>0.749</v>
      </c>
      <c r="AR810" s="14" t="n">
        <v>0.129</v>
      </c>
      <c r="AS810" s="14" t="n">
        <v>-0.105</v>
      </c>
      <c r="AT810" s="14" t="n">
        <v>0.766</v>
      </c>
      <c r="AU810" s="14" t="n">
        <v>0.19</v>
      </c>
      <c r="AV810" s="14" t="n">
        <v>1</v>
      </c>
      <c r="AW810" s="14" t="n">
        <v>0.783</v>
      </c>
      <c r="AX810" s="14" t="n">
        <v>0.129</v>
      </c>
      <c r="AY810" s="14" t="n">
        <v>-0.228</v>
      </c>
      <c r="AZ810" s="14" t="n">
        <v>0.66</v>
      </c>
      <c r="BA810" s="14" t="n">
        <v>0</v>
      </c>
      <c r="BB810" s="14" t="n">
        <v>1</v>
      </c>
      <c r="BC810" s="14" t="n">
        <v>0.527</v>
      </c>
      <c r="BD810" s="14" t="n">
        <v>0.129</v>
      </c>
      <c r="BE810" s="14" t="n">
        <v>-0.431</v>
      </c>
      <c r="BF810" s="14" t="n">
        <v>0.115</v>
      </c>
      <c r="BG810" s="14" t="n">
        <v>0</v>
      </c>
      <c r="BH810" s="14" t="n">
        <v>0</v>
      </c>
      <c r="BI810" s="14" t="n">
        <v>0.64</v>
      </c>
      <c r="BJ810" s="14" t="n">
        <v>0.129</v>
      </c>
      <c r="BK810" s="14" t="n">
        <v>-0.383</v>
      </c>
      <c r="BL810" s="14" t="n">
        <v>0.306</v>
      </c>
      <c r="BM810" s="14" t="n">
        <v>0</v>
      </c>
      <c r="BN810" s="14" t="n">
        <v>0</v>
      </c>
      <c r="BO810" s="14" t="n">
        <v>0</v>
      </c>
      <c r="BP810" s="14" t="n">
        <v>0</v>
      </c>
      <c r="BQ810" s="14" t="n">
        <v>0.094</v>
      </c>
      <c r="BR810" s="14" t="n">
        <v>0</v>
      </c>
      <c r="BS810" s="14" t="n">
        <v>0.667</v>
      </c>
      <c r="BT810" s="14" t="n">
        <v>0</v>
      </c>
      <c r="BU810" s="14" t="n">
        <v>0</v>
      </c>
      <c r="BV810" s="14" t="n">
        <v>0.02</v>
      </c>
      <c r="BW810" s="14" t="n">
        <v>0.19</v>
      </c>
      <c r="BX810" s="14" t="n">
        <v>0.333</v>
      </c>
      <c r="BY810" s="14" t="n">
        <v>13.254</v>
      </c>
      <c r="BZ810" s="14" t="n">
        <v>0</v>
      </c>
      <c r="CA810" s="14" t="n">
        <v>13.254</v>
      </c>
      <c r="CB810" s="14" t="n">
        <v>0</v>
      </c>
      <c r="CC810" s="14" t="n">
        <v>87.07899999999999</v>
      </c>
      <c r="CD810" s="14" t="n">
        <v>7.95</v>
      </c>
      <c r="CE810" s="14" t="n">
        <v>-45.856</v>
      </c>
      <c r="CF810" s="14" t="n">
        <v>49.056</v>
      </c>
      <c r="CG810" s="14" t="n">
        <v>0</v>
      </c>
      <c r="CH810" s="14" t="n">
        <v>0</v>
      </c>
      <c r="CI810" s="14" t="n">
        <v>0</v>
      </c>
      <c r="CJ810" s="14" t="n">
        <v>0</v>
      </c>
      <c r="CK810" s="14" t="n">
        <v>0</v>
      </c>
      <c r="CL810" s="14" t="n">
        <v>0</v>
      </c>
      <c r="CM810" s="14" t="n">
        <v>0</v>
      </c>
      <c r="CN810" s="14" t="n">
        <v>0</v>
      </c>
      <c r="CO810" s="14" t="n">
        <v>0</v>
      </c>
      <c r="CP810" s="14" t="n">
        <v>0</v>
      </c>
      <c r="CQ810" s="14" t="n">
        <v>1.348</v>
      </c>
      <c r="CR810" s="14" t="n">
        <v>0.359</v>
      </c>
      <c r="CS810" s="14" t="n">
        <v>6.692</v>
      </c>
      <c r="CT810" s="14" t="n">
        <v>4.861</v>
      </c>
      <c r="CU810" s="14" t="n">
        <v>10.622</v>
      </c>
    </row>
    <row r="811">
      <c r="A811" s="14" t="inlineStr">
        <is>
          <t>TUN2024</t>
        </is>
      </c>
      <c r="B811" s="14" t="inlineStr">
        <is>
          <t>TUN</t>
        </is>
      </c>
      <c r="C811" s="14" t="inlineStr">
        <is>
          <t>TUN</t>
        </is>
      </c>
      <c r="D811" s="14" t="inlineStr">
        <is>
          <t>Tunisia</t>
        </is>
      </c>
      <c r="E811" s="14" t="n">
        <v>2024</v>
      </c>
      <c r="F811" s="14" t="n">
        <v>0.19</v>
      </c>
      <c r="G811" s="14" t="n">
        <v>5.575</v>
      </c>
      <c r="H811" s="14" t="n">
        <v>1.324</v>
      </c>
      <c r="I811" s="14" t="n">
        <v>0</v>
      </c>
      <c r="J811" s="14" t="n">
        <v>5.575</v>
      </c>
      <c r="K811" s="14" t="n">
        <v>0</v>
      </c>
      <c r="L811" s="14" t="n">
        <v>1</v>
      </c>
      <c r="M811" s="14" t="n">
        <v>7.124</v>
      </c>
      <c r="N811" s="14" t="n">
        <v>3.971</v>
      </c>
      <c r="O811" s="14" t="n">
        <v>0</v>
      </c>
      <c r="P811" s="14" t="n">
        <v>7.124</v>
      </c>
      <c r="Q811" s="14" t="n">
        <v>0</v>
      </c>
      <c r="R811" s="14" t="n">
        <v>1</v>
      </c>
      <c r="S811" s="14" t="n">
        <v>12.193</v>
      </c>
      <c r="T811" s="14" t="n">
        <v>7.942</v>
      </c>
      <c r="U811" s="14" t="n">
        <v>0.316</v>
      </c>
      <c r="V811" s="14" t="n">
        <v>14.509</v>
      </c>
      <c r="W811" s="14" t="n">
        <v>0.19</v>
      </c>
      <c r="X811" s="14" t="n">
        <v>1</v>
      </c>
      <c r="Y811" s="14" t="n">
        <v>7.975</v>
      </c>
      <c r="Z811" s="14" t="n">
        <v>1.06</v>
      </c>
      <c r="AA811" s="14" t="n">
        <v>0.82</v>
      </c>
      <c r="AB811" s="14" t="n">
        <v>8.795999999999999</v>
      </c>
      <c r="AC811" s="14" t="n">
        <v>0</v>
      </c>
      <c r="AD811" s="14" t="n">
        <v>1</v>
      </c>
      <c r="AE811" s="14" t="n">
        <v>9.061999999999999</v>
      </c>
      <c r="AF811" s="14" t="n">
        <v>2.081</v>
      </c>
      <c r="AG811" s="14" t="n">
        <v>-0.266</v>
      </c>
      <c r="AH811" s="14" t="n">
        <v>8.795999999999999</v>
      </c>
      <c r="AI811" s="14" t="n">
        <v>0</v>
      </c>
      <c r="AJ811" s="14" t="n">
        <v>1</v>
      </c>
      <c r="AK811" s="14" t="n">
        <v>15.579</v>
      </c>
      <c r="AL811" s="14" t="n">
        <v>8.163</v>
      </c>
      <c r="AM811" s="14" t="n">
        <v>-11.333</v>
      </c>
      <c r="AN811" s="14" t="n">
        <v>4.246</v>
      </c>
      <c r="AO811" s="14" t="n">
        <v>0</v>
      </c>
      <c r="AP811" s="14" t="n">
        <v>0</v>
      </c>
      <c r="AQ811" s="14" t="n">
        <v>0.72</v>
      </c>
      <c r="AR811" s="14" t="n">
        <v>0.132</v>
      </c>
      <c r="AS811" s="14" t="n">
        <v>-0.078</v>
      </c>
      <c r="AT811" s="14" t="n">
        <v>0.764</v>
      </c>
      <c r="AU811" s="14" t="n">
        <v>0.19</v>
      </c>
      <c r="AV811" s="14" t="n">
        <v>1</v>
      </c>
      <c r="AW811" s="14" t="n">
        <v>0.734</v>
      </c>
      <c r="AX811" s="14" t="n">
        <v>0.132</v>
      </c>
      <c r="AY811" s="14" t="n">
        <v>-0.178</v>
      </c>
      <c r="AZ811" s="14" t="n">
        <v>0.661</v>
      </c>
      <c r="BA811" s="14" t="n">
        <v>0</v>
      </c>
      <c r="BB811" s="14" t="n">
        <v>1</v>
      </c>
      <c r="BC811" s="14" t="n">
        <v>0.51</v>
      </c>
      <c r="BD811" s="14" t="n">
        <v>0.132</v>
      </c>
      <c r="BE811" s="14" t="n">
        <v>-0.414</v>
      </c>
      <c r="BF811" s="14" t="n">
        <v>0.115</v>
      </c>
      <c r="BG811" s="14" t="n">
        <v>0</v>
      </c>
      <c r="BH811" s="14" t="n">
        <v>0</v>
      </c>
      <c r="BI811" s="14" t="n">
        <v>0.652</v>
      </c>
      <c r="BJ811" s="14" t="n">
        <v>0.132</v>
      </c>
      <c r="BK811" s="14" t="n">
        <v>-0.338</v>
      </c>
      <c r="BL811" s="14" t="n">
        <v>0.314</v>
      </c>
      <c r="BM811" s="14" t="n">
        <v>0</v>
      </c>
      <c r="BN811" s="14" t="n">
        <v>0</v>
      </c>
      <c r="BO811" s="14" t="n">
        <v>0</v>
      </c>
      <c r="BP811" s="14" t="n">
        <v>0</v>
      </c>
      <c r="BQ811" s="14" t="n">
        <v>0.099</v>
      </c>
      <c r="BR811" s="14" t="n">
        <v>0</v>
      </c>
      <c r="BS811" s="14" t="n">
        <v>0.667</v>
      </c>
      <c r="BT811" s="14" t="n">
        <v>0</v>
      </c>
      <c r="BU811" s="14" t="n">
        <v>0</v>
      </c>
      <c r="BV811" s="14" t="n">
        <v>0.018</v>
      </c>
      <c r="BW811" s="14" t="n">
        <v>0.19</v>
      </c>
      <c r="BX811" s="14" t="n">
        <v>0.333</v>
      </c>
      <c r="BY811" s="14" t="n">
        <v>13.646</v>
      </c>
      <c r="BZ811" s="14" t="n">
        <v>0</v>
      </c>
      <c r="CA811" s="14" t="n">
        <v>13.646</v>
      </c>
      <c r="CB811" s="14" t="n">
        <v>0</v>
      </c>
      <c r="CC811" s="14" t="n">
        <v>86.38500000000001</v>
      </c>
      <c r="CD811" s="14" t="n">
        <v>7.95</v>
      </c>
      <c r="CE811" s="14" t="n">
        <v>-54.53</v>
      </c>
      <c r="CF811" s="14" t="n">
        <v>37.908</v>
      </c>
      <c r="CG811" s="14" t="n">
        <v>0</v>
      </c>
      <c r="CH811" s="14" t="n">
        <v>0</v>
      </c>
      <c r="CI811" s="14" t="n">
        <v>0</v>
      </c>
      <c r="CJ811" s="14" t="n">
        <v>0</v>
      </c>
      <c r="CK811" s="14" t="n">
        <v>0</v>
      </c>
      <c r="CL811" s="14" t="n">
        <v>0</v>
      </c>
      <c r="CM811" s="14" t="n">
        <v>0</v>
      </c>
      <c r="CN811" s="14" t="n">
        <v>0</v>
      </c>
      <c r="CO811" s="14" t="n">
        <v>0</v>
      </c>
      <c r="CP811" s="14" t="n">
        <v>0</v>
      </c>
      <c r="CQ811" s="14" t="n">
        <v>1.387</v>
      </c>
      <c r="CR811" s="14" t="n">
        <v>0.359</v>
      </c>
      <c r="CS811" s="14" t="n">
        <v>6.889</v>
      </c>
      <c r="CT811" s="14" t="n">
        <v>4.251</v>
      </c>
      <c r="CU811" s="14" t="n">
        <v>9.167999999999999</v>
      </c>
    </row>
    <row r="812">
      <c r="A812" s="14" t="inlineStr">
        <is>
          <t>TUR2021</t>
        </is>
      </c>
      <c r="B812" s="14" t="inlineStr">
        <is>
          <t>TUR</t>
        </is>
      </c>
      <c r="C812" s="14" t="inlineStr">
        <is>
          <t>TUR</t>
        </is>
      </c>
      <c r="D812" s="14" t="inlineStr">
        <is>
          <t>Turkiye</t>
        </is>
      </c>
      <c r="E812" s="14" t="n">
        <v>2021</v>
      </c>
      <c r="F812" s="14" t="n">
        <v>0.18</v>
      </c>
      <c r="G812" s="14" t="n">
        <v>0.786</v>
      </c>
      <c r="H812" s="14" t="n">
        <v>0.172</v>
      </c>
      <c r="I812" s="14" t="n">
        <v>-0.148</v>
      </c>
      <c r="J812" s="14" t="n">
        <v>0.637</v>
      </c>
      <c r="K812" s="14" t="n">
        <v>0</v>
      </c>
      <c r="L812" s="14" t="n">
        <v>1</v>
      </c>
      <c r="M812" s="14" t="n">
        <v>2.255</v>
      </c>
      <c r="N812" s="14" t="n">
        <v>1.022</v>
      </c>
      <c r="O812" s="14" t="n">
        <v>0</v>
      </c>
      <c r="P812" s="14" t="n">
        <v>2.255</v>
      </c>
      <c r="Q812" s="14" t="n">
        <v>0</v>
      </c>
      <c r="R812" s="14" t="n">
        <v>1</v>
      </c>
      <c r="S812" s="14" t="n">
        <v>3.306</v>
      </c>
      <c r="T812" s="14" t="n">
        <v>2.049</v>
      </c>
      <c r="U812" s="14" t="n">
        <v>-0.755</v>
      </c>
      <c r="V812" s="14" t="n">
        <v>3.01</v>
      </c>
      <c r="W812" s="14" t="n">
        <v>0</v>
      </c>
      <c r="X812" s="14" t="n">
        <v>1</v>
      </c>
      <c r="Y812" s="14" t="n">
        <v>16.094</v>
      </c>
      <c r="Z812" s="14" t="n">
        <v>2.175</v>
      </c>
      <c r="AA812" s="14" t="n">
        <v>-9.529999999999999</v>
      </c>
      <c r="AB812" s="14" t="n">
        <v>6.564</v>
      </c>
      <c r="AC812" s="14" t="n">
        <v>0</v>
      </c>
      <c r="AD812" s="14" t="n">
        <v>1</v>
      </c>
      <c r="AE812" s="14" t="n">
        <v>17.228</v>
      </c>
      <c r="AF812" s="14" t="n">
        <v>4.028</v>
      </c>
      <c r="AG812" s="14" t="n">
        <v>-10.665</v>
      </c>
      <c r="AH812" s="14" t="n">
        <v>6.564</v>
      </c>
      <c r="AI812" s="14" t="n">
        <v>0</v>
      </c>
      <c r="AJ812" s="14" t="n">
        <v>1</v>
      </c>
      <c r="AK812" s="14" t="n">
        <v>21.765</v>
      </c>
      <c r="AL812" s="14" t="n">
        <v>10.682</v>
      </c>
      <c r="AM812" s="14" t="n">
        <v>-16.601</v>
      </c>
      <c r="AN812" s="14" t="n">
        <v>6.094</v>
      </c>
      <c r="AO812" s="14" t="n">
        <v>0</v>
      </c>
      <c r="AP812" s="14" t="n">
        <v>0</v>
      </c>
      <c r="AQ812" s="14" t="n">
        <v>0.619</v>
      </c>
      <c r="AR812" s="14" t="n">
        <v>0.114</v>
      </c>
      <c r="AS812" s="14" t="n">
        <v>0.139</v>
      </c>
      <c r="AT812" s="14" t="n">
        <v>0.895</v>
      </c>
      <c r="AU812" s="14" t="n">
        <v>0.18</v>
      </c>
      <c r="AV812" s="14" t="n">
        <v>1</v>
      </c>
      <c r="AW812" s="14" t="n">
        <v>0.599</v>
      </c>
      <c r="AX812" s="14" t="n">
        <v>0.114</v>
      </c>
      <c r="AY812" s="14" t="n">
        <v>0.117</v>
      </c>
      <c r="AZ812" s="14" t="n">
        <v>0.845</v>
      </c>
      <c r="BA812" s="14" t="n">
        <v>0.18</v>
      </c>
      <c r="BB812" s="14" t="n">
        <v>1</v>
      </c>
      <c r="BC812" s="14" t="n">
        <v>0.439</v>
      </c>
      <c r="BD812" s="14" t="n">
        <v>0.114</v>
      </c>
      <c r="BE812" s="14" t="n">
        <v>0.046</v>
      </c>
      <c r="BF812" s="14" t="n">
        <v>0.572</v>
      </c>
      <c r="BG812" s="14" t="n">
        <v>0.18</v>
      </c>
      <c r="BH812" s="14" t="n">
        <v>1</v>
      </c>
      <c r="BI812" s="14" t="n">
        <v>0.505</v>
      </c>
      <c r="BJ812" s="14" t="n">
        <v>0.114</v>
      </c>
      <c r="BK812" s="14" t="n">
        <v>0.226</v>
      </c>
      <c r="BL812" s="14" t="n">
        <v>0.862</v>
      </c>
      <c r="BM812" s="14" t="n">
        <v>0.18</v>
      </c>
      <c r="BN812" s="14" t="n">
        <v>1</v>
      </c>
      <c r="BO812" s="14" t="n">
        <v>0</v>
      </c>
      <c r="BP812" s="14" t="n">
        <v>0.002</v>
      </c>
      <c r="BQ812" s="14" t="n">
        <v>0.076</v>
      </c>
      <c r="BR812" s="14" t="n">
        <v>0</v>
      </c>
      <c r="BS812" s="14" t="n">
        <v>1</v>
      </c>
      <c r="BT812" s="14" t="n">
        <v>0</v>
      </c>
      <c r="BU812" s="14" t="n">
        <v>0.004</v>
      </c>
      <c r="BV812" s="14" t="n">
        <v>0.096</v>
      </c>
      <c r="BW812" s="14" t="n">
        <v>0.18</v>
      </c>
      <c r="BX812" s="14" t="n">
        <v>1</v>
      </c>
      <c r="BY812" s="14" t="n">
        <v>11.787</v>
      </c>
      <c r="BZ812" s="14" t="n">
        <v>0</v>
      </c>
      <c r="CA812" s="14" t="n">
        <v>11.787</v>
      </c>
      <c r="CB812" s="14" t="n">
        <v>0</v>
      </c>
      <c r="CC812" s="14" t="n">
        <v>78.125</v>
      </c>
      <c r="CD812" s="14" t="n">
        <v>7.95</v>
      </c>
      <c r="CE812" s="14" t="n">
        <v>25.739</v>
      </c>
      <c r="CF812" s="14" t="n">
        <v>122.559</v>
      </c>
      <c r="CG812" s="14" t="n">
        <v>0.18</v>
      </c>
      <c r="CH812" s="14" t="n">
        <v>1</v>
      </c>
      <c r="CI812" s="14" t="n">
        <v>0</v>
      </c>
      <c r="CJ812" s="14" t="n">
        <v>0</v>
      </c>
      <c r="CK812" s="14" t="n">
        <v>0</v>
      </c>
      <c r="CL812" s="14" t="n">
        <v>0.213</v>
      </c>
      <c r="CM812" s="14" t="n">
        <v>0</v>
      </c>
      <c r="CN812" s="14" t="n">
        <v>0.046</v>
      </c>
      <c r="CO812" s="14" t="n">
        <v>0.102</v>
      </c>
      <c r="CP812" s="14" t="n">
        <v>0</v>
      </c>
      <c r="CQ812" s="14" t="n">
        <v>1.198</v>
      </c>
      <c r="CR812" s="14" t="n">
        <v>0</v>
      </c>
      <c r="CS812" s="14" t="n">
        <v>2.456</v>
      </c>
      <c r="CT812" s="14" t="n">
        <v>4.41</v>
      </c>
      <c r="CU812" s="14" t="n">
        <v>15.162</v>
      </c>
    </row>
    <row r="813">
      <c r="A813" s="14" t="inlineStr">
        <is>
          <t>TUR2022</t>
        </is>
      </c>
      <c r="B813" s="14" t="inlineStr">
        <is>
          <t>TUR</t>
        </is>
      </c>
      <c r="C813" s="14" t="inlineStr">
        <is>
          <t>TUR</t>
        </is>
      </c>
      <c r="D813" s="14" t="inlineStr">
        <is>
          <t>Turkiye</t>
        </is>
      </c>
      <c r="E813" s="14" t="n">
        <v>2022</v>
      </c>
      <c r="F813" s="14" t="n">
        <v>0.18</v>
      </c>
      <c r="G813" s="14" t="n">
        <v>0.713</v>
      </c>
      <c r="H813" s="14" t="n">
        <v>0.111</v>
      </c>
      <c r="I813" s="14" t="n">
        <v>-0.09</v>
      </c>
      <c r="J813" s="14" t="n">
        <v>0.623</v>
      </c>
      <c r="K813" s="14" t="n">
        <v>0</v>
      </c>
      <c r="L813" s="14" t="n">
        <v>1</v>
      </c>
      <c r="M813" s="14" t="n">
        <v>2.942</v>
      </c>
      <c r="N813" s="14" t="n">
        <v>1.215</v>
      </c>
      <c r="O813" s="14" t="n">
        <v>0</v>
      </c>
      <c r="P813" s="14" t="n">
        <v>2.942</v>
      </c>
      <c r="Q813" s="14" t="n">
        <v>0</v>
      </c>
      <c r="R813" s="14" t="n">
        <v>1</v>
      </c>
      <c r="S813" s="14" t="n">
        <v>4.042</v>
      </c>
      <c r="T813" s="14" t="n">
        <v>1.98</v>
      </c>
      <c r="U813" s="14" t="n">
        <v>-0.547</v>
      </c>
      <c r="V813" s="14" t="n">
        <v>4.124</v>
      </c>
      <c r="W813" s="14" t="n">
        <v>0</v>
      </c>
      <c r="X813" s="14" t="n">
        <v>1</v>
      </c>
      <c r="Y813" s="14" t="n">
        <v>32.56</v>
      </c>
      <c r="Z813" s="14" t="n">
        <v>4.4</v>
      </c>
      <c r="AA813" s="14" t="n">
        <v>-12.85</v>
      </c>
      <c r="AB813" s="14" t="n">
        <v>19.71</v>
      </c>
      <c r="AC813" s="14" t="n">
        <v>0</v>
      </c>
      <c r="AD813" s="14" t="n">
        <v>1</v>
      </c>
      <c r="AE813" s="14" t="n">
        <v>33.795</v>
      </c>
      <c r="AF813" s="14" t="n">
        <v>7.901</v>
      </c>
      <c r="AG813" s="14" t="n">
        <v>-14.085</v>
      </c>
      <c r="AH813" s="14" t="n">
        <v>19.71</v>
      </c>
      <c r="AI813" s="14" t="n">
        <v>0</v>
      </c>
      <c r="AJ813" s="14" t="n">
        <v>1</v>
      </c>
      <c r="AK813" s="14" t="n">
        <v>38.734</v>
      </c>
      <c r="AL813" s="14" t="n">
        <v>18.497</v>
      </c>
      <c r="AM813" s="14" t="n">
        <v>-33.019</v>
      </c>
      <c r="AN813" s="14" t="n">
        <v>6.743</v>
      </c>
      <c r="AO813" s="14" t="n">
        <v>0</v>
      </c>
      <c r="AP813" s="14" t="n">
        <v>0</v>
      </c>
      <c r="AQ813" s="14" t="n">
        <v>0.861</v>
      </c>
      <c r="AR813" s="14" t="n">
        <v>0.123</v>
      </c>
      <c r="AS813" s="14" t="n">
        <v>0.167</v>
      </c>
      <c r="AT813" s="14" t="n">
        <v>1.213</v>
      </c>
      <c r="AU813" s="14" t="n">
        <v>0.18</v>
      </c>
      <c r="AV813" s="14" t="n">
        <v>1</v>
      </c>
      <c r="AW813" s="14" t="n">
        <v>0.986</v>
      </c>
      <c r="AX813" s="14" t="n">
        <v>0.123</v>
      </c>
      <c r="AY813" s="14" t="n">
        <v>0.16</v>
      </c>
      <c r="AZ813" s="14" t="n">
        <v>1.353</v>
      </c>
      <c r="BA813" s="14" t="n">
        <v>0.18</v>
      </c>
      <c r="BB813" s="14" t="n">
        <v>1</v>
      </c>
      <c r="BC813" s="14" t="n">
        <v>0.598</v>
      </c>
      <c r="BD813" s="14" t="n">
        <v>0.123</v>
      </c>
      <c r="BE813" s="14" t="n">
        <v>-0.049</v>
      </c>
      <c r="BF813" s="14" t="n">
        <v>0.648</v>
      </c>
      <c r="BG813" s="14" t="n">
        <v>0.18</v>
      </c>
      <c r="BH813" s="14" t="n">
        <v>1</v>
      </c>
      <c r="BI813" s="14" t="n">
        <v>0.612</v>
      </c>
      <c r="BJ813" s="14" t="n">
        <v>0.123</v>
      </c>
      <c r="BK813" s="14" t="n">
        <v>0.477</v>
      </c>
      <c r="BL813" s="14" t="n">
        <v>1.285</v>
      </c>
      <c r="BM813" s="14" t="n">
        <v>0.18</v>
      </c>
      <c r="BN813" s="14" t="n">
        <v>1</v>
      </c>
      <c r="BO813" s="14" t="n">
        <v>0</v>
      </c>
      <c r="BP813" s="14" t="n">
        <v>0.001</v>
      </c>
      <c r="BQ813" s="14" t="n">
        <v>0.161</v>
      </c>
      <c r="BR813" s="14" t="n">
        <v>0</v>
      </c>
      <c r="BS813" s="14" t="n">
        <v>1</v>
      </c>
      <c r="BT813" s="14" t="n">
        <v>0</v>
      </c>
      <c r="BU813" s="14" t="n">
        <v>0.003</v>
      </c>
      <c r="BV813" s="14" t="n">
        <v>0.095</v>
      </c>
      <c r="BW813" s="14" t="n">
        <v>0.18</v>
      </c>
      <c r="BX813" s="14" t="n">
        <v>1</v>
      </c>
      <c r="BY813" s="14" t="n">
        <v>12.729</v>
      </c>
      <c r="BZ813" s="14" t="n">
        <v>0</v>
      </c>
      <c r="CA813" s="14" t="n">
        <v>12.729</v>
      </c>
      <c r="CB813" s="14" t="n">
        <v>0</v>
      </c>
      <c r="CC813" s="14" t="n">
        <v>97.90000000000001</v>
      </c>
      <c r="CD813" s="14" t="n">
        <v>7.95</v>
      </c>
      <c r="CE813" s="14" t="n">
        <v>43.515</v>
      </c>
      <c r="CF813" s="14" t="n">
        <v>166.87</v>
      </c>
      <c r="CG813" s="14" t="n">
        <v>0.18</v>
      </c>
      <c r="CH813" s="14" t="n">
        <v>1</v>
      </c>
      <c r="CI813" s="14" t="n">
        <v>0</v>
      </c>
      <c r="CJ813" s="14" t="n">
        <v>0</v>
      </c>
      <c r="CK813" s="14" t="n">
        <v>0</v>
      </c>
      <c r="CL813" s="14" t="n">
        <v>0.231</v>
      </c>
      <c r="CM813" s="14" t="n">
        <v>0</v>
      </c>
      <c r="CN813" s="14" t="n">
        <v>0.049</v>
      </c>
      <c r="CO813" s="14" t="n">
        <v>0.116</v>
      </c>
      <c r="CP813" s="14" t="n">
        <v>0</v>
      </c>
      <c r="CQ813" s="14" t="n">
        <v>1.294</v>
      </c>
      <c r="CR813" s="14" t="n">
        <v>0</v>
      </c>
      <c r="CS813" s="14" t="n">
        <v>2.652</v>
      </c>
      <c r="CT813" s="14" t="n">
        <v>5.842</v>
      </c>
      <c r="CU813" s="14" t="n">
        <v>31.326</v>
      </c>
    </row>
    <row r="814">
      <c r="A814" s="14" t="inlineStr">
        <is>
          <t>TUR2023</t>
        </is>
      </c>
      <c r="B814" s="14" t="inlineStr">
        <is>
          <t>TUR</t>
        </is>
      </c>
      <c r="C814" s="14" t="inlineStr">
        <is>
          <t>TUR</t>
        </is>
      </c>
      <c r="D814" s="14" t="inlineStr">
        <is>
          <t>Turkiye</t>
        </is>
      </c>
      <c r="E814" s="14" t="n">
        <v>2023</v>
      </c>
      <c r="F814" s="14" t="n">
        <v>0.18</v>
      </c>
      <c r="G814" s="14" t="n">
        <v>1.246</v>
      </c>
      <c r="H814" s="14" t="n">
        <v>0.284</v>
      </c>
      <c r="I814" s="14" t="n">
        <v>-0.032</v>
      </c>
      <c r="J814" s="14" t="n">
        <v>1.214</v>
      </c>
      <c r="K814" s="14" t="n">
        <v>0</v>
      </c>
      <c r="L814" s="14" t="n">
        <v>1</v>
      </c>
      <c r="M814" s="14" t="n">
        <v>3.116</v>
      </c>
      <c r="N814" s="14" t="n">
        <v>1.546</v>
      </c>
      <c r="O814" s="14" t="n">
        <v>0</v>
      </c>
      <c r="P814" s="14" t="n">
        <v>3.116</v>
      </c>
      <c r="Q814" s="14" t="n">
        <v>0</v>
      </c>
      <c r="R814" s="14" t="n">
        <v>1</v>
      </c>
      <c r="S814" s="14" t="n">
        <v>3.762</v>
      </c>
      <c r="T814" s="14" t="n">
        <v>2.359</v>
      </c>
      <c r="U814" s="14" t="n">
        <v>-0.34</v>
      </c>
      <c r="V814" s="14" t="n">
        <v>4.038</v>
      </c>
      <c r="W814" s="14" t="n">
        <v>0</v>
      </c>
      <c r="X814" s="14" t="n">
        <v>1</v>
      </c>
      <c r="Y814" s="14" t="n">
        <v>12.908</v>
      </c>
      <c r="Z814" s="14" t="n">
        <v>1.744</v>
      </c>
      <c r="AA814" s="14" t="n">
        <v>-0.051</v>
      </c>
      <c r="AB814" s="14" t="n">
        <v>12.857</v>
      </c>
      <c r="AC814" s="14" t="n">
        <v>0</v>
      </c>
      <c r="AD814" s="14" t="n">
        <v>1</v>
      </c>
      <c r="AE814" s="14" t="n">
        <v>14.194</v>
      </c>
      <c r="AF814" s="14" t="n">
        <v>3.318</v>
      </c>
      <c r="AG814" s="14" t="n">
        <v>-1.336</v>
      </c>
      <c r="AH814" s="14" t="n">
        <v>12.857</v>
      </c>
      <c r="AI814" s="14" t="n">
        <v>0</v>
      </c>
      <c r="AJ814" s="14" t="n">
        <v>1</v>
      </c>
      <c r="AK814" s="14" t="n">
        <v>19.336</v>
      </c>
      <c r="AL814" s="14" t="n">
        <v>9.579000000000001</v>
      </c>
      <c r="AM814" s="14" t="n">
        <v>-14.166</v>
      </c>
      <c r="AN814" s="14" t="n">
        <v>6.101</v>
      </c>
      <c r="AO814" s="14" t="n">
        <v>0</v>
      </c>
      <c r="AP814" s="14" t="n">
        <v>0</v>
      </c>
      <c r="AQ814" s="14" t="n">
        <v>0.76</v>
      </c>
      <c r="AR814" s="14" t="n">
        <v>0.129</v>
      </c>
      <c r="AS814" s="14" t="n">
        <v>0.239</v>
      </c>
      <c r="AT814" s="14" t="n">
        <v>1.179</v>
      </c>
      <c r="AU814" s="14" t="n">
        <v>0.18</v>
      </c>
      <c r="AV814" s="14" t="n">
        <v>1</v>
      </c>
      <c r="AW814" s="14" t="n">
        <v>0.8110000000000001</v>
      </c>
      <c r="AX814" s="14" t="n">
        <v>0.129</v>
      </c>
      <c r="AY814" s="14" t="n">
        <v>0.218</v>
      </c>
      <c r="AZ814" s="14" t="n">
        <v>1.215</v>
      </c>
      <c r="BA814" s="14" t="n">
        <v>0.18</v>
      </c>
      <c r="BB814" s="14" t="n">
        <v>1</v>
      </c>
      <c r="BC814" s="14" t="n">
        <v>0.535</v>
      </c>
      <c r="BD814" s="14" t="n">
        <v>0.129</v>
      </c>
      <c r="BE814" s="14" t="n">
        <v>-0.034</v>
      </c>
      <c r="BF814" s="14" t="n">
        <v>0.591</v>
      </c>
      <c r="BG814" s="14" t="n">
        <v>0.18</v>
      </c>
      <c r="BH814" s="14" t="n">
        <v>1</v>
      </c>
      <c r="BI814" s="14" t="n">
        <v>0.579</v>
      </c>
      <c r="BJ814" s="14" t="n">
        <v>0.129</v>
      </c>
      <c r="BK814" s="14" t="n">
        <v>0.382</v>
      </c>
      <c r="BL814" s="14" t="n">
        <v>1.134</v>
      </c>
      <c r="BM814" s="14" t="n">
        <v>0.18</v>
      </c>
      <c r="BN814" s="14" t="n">
        <v>1</v>
      </c>
      <c r="BO814" s="14" t="n">
        <v>0</v>
      </c>
      <c r="BP814" s="14" t="n">
        <v>0.001</v>
      </c>
      <c r="BQ814" s="14" t="n">
        <v>0.112</v>
      </c>
      <c r="BR814" s="14" t="n">
        <v>0</v>
      </c>
      <c r="BS814" s="14" t="n">
        <v>1</v>
      </c>
      <c r="BT814" s="14" t="n">
        <v>0</v>
      </c>
      <c r="BU814" s="14" t="n">
        <v>0.002</v>
      </c>
      <c r="BV814" s="14" t="n">
        <v>0.076</v>
      </c>
      <c r="BW814" s="14" t="n">
        <v>0.18</v>
      </c>
      <c r="BX814" s="14" t="n">
        <v>1</v>
      </c>
      <c r="BY814" s="14" t="n">
        <v>13.254</v>
      </c>
      <c r="BZ814" s="14" t="n">
        <v>0</v>
      </c>
      <c r="CA814" s="14" t="n">
        <v>13.254</v>
      </c>
      <c r="CB814" s="14" t="n">
        <v>0</v>
      </c>
      <c r="CC814" s="14" t="n">
        <v>83.248</v>
      </c>
      <c r="CD814" s="14" t="n">
        <v>7.95</v>
      </c>
      <c r="CE814" s="14" t="n">
        <v>42.358</v>
      </c>
      <c r="CF814" s="14" t="n">
        <v>149.472</v>
      </c>
      <c r="CG814" s="14" t="n">
        <v>0.19</v>
      </c>
      <c r="CH814" s="14" t="n">
        <v>1</v>
      </c>
      <c r="CI814" s="14" t="n">
        <v>0</v>
      </c>
      <c r="CJ814" s="14" t="n">
        <v>0</v>
      </c>
      <c r="CK814" s="14" t="n">
        <v>0</v>
      </c>
      <c r="CL814" s="14" t="n">
        <v>0.24</v>
      </c>
      <c r="CM814" s="14" t="n">
        <v>0</v>
      </c>
      <c r="CN814" s="14" t="n">
        <v>0.194</v>
      </c>
      <c r="CO814" s="14" t="n">
        <v>0.14</v>
      </c>
      <c r="CP814" s="14" t="n">
        <v>0</v>
      </c>
      <c r="CQ814" s="14" t="n">
        <v>1.348</v>
      </c>
      <c r="CR814" s="14" t="n">
        <v>0</v>
      </c>
      <c r="CS814" s="14" t="n">
        <v>2.762</v>
      </c>
      <c r="CT814" s="14" t="n">
        <v>3.466</v>
      </c>
      <c r="CU814" s="14" t="n">
        <v>11.622</v>
      </c>
    </row>
    <row r="815">
      <c r="A815" s="14" t="inlineStr">
        <is>
          <t>TUR2024</t>
        </is>
      </c>
      <c r="B815" s="14" t="inlineStr">
        <is>
          <t>TUR</t>
        </is>
      </c>
      <c r="C815" s="14" t="inlineStr">
        <is>
          <t>TUR</t>
        </is>
      </c>
      <c r="D815" s="14" t="inlineStr">
        <is>
          <t>Turkiye</t>
        </is>
      </c>
      <c r="E815" s="14" t="n">
        <v>2024</v>
      </c>
      <c r="F815" s="14" t="n">
        <v>0.18</v>
      </c>
      <c r="G815" s="14" t="n">
        <v>1.025</v>
      </c>
      <c r="H815" s="14" t="n">
        <v>0.26</v>
      </c>
      <c r="I815" s="14" t="n">
        <v>-0.081</v>
      </c>
      <c r="J815" s="14" t="n">
        <v>0.944</v>
      </c>
      <c r="K815" s="14" t="n">
        <v>0</v>
      </c>
      <c r="L815" s="14" t="n">
        <v>1</v>
      </c>
      <c r="M815" s="14" t="n">
        <v>3.313</v>
      </c>
      <c r="N815" s="14" t="n">
        <v>1.805</v>
      </c>
      <c r="O815" s="14" t="n">
        <v>0.172</v>
      </c>
      <c r="P815" s="14" t="n">
        <v>3.484</v>
      </c>
      <c r="Q815" s="14" t="n">
        <v>0</v>
      </c>
      <c r="R815" s="14" t="n">
        <v>1</v>
      </c>
      <c r="S815" s="14" t="n">
        <v>4.506</v>
      </c>
      <c r="T815" s="14" t="n">
        <v>2.983</v>
      </c>
      <c r="U815" s="14" t="n">
        <v>-0.877</v>
      </c>
      <c r="V815" s="14" t="n">
        <v>4.282</v>
      </c>
      <c r="W815" s="14" t="n">
        <v>0</v>
      </c>
      <c r="X815" s="14" t="n">
        <v>1</v>
      </c>
      <c r="Y815" s="14" t="n">
        <v>9.196999999999999</v>
      </c>
      <c r="Z815" s="14" t="n">
        <v>1.161</v>
      </c>
      <c r="AA815" s="14" t="n">
        <v>0.262</v>
      </c>
      <c r="AB815" s="14" t="n">
        <v>9.460000000000001</v>
      </c>
      <c r="AC815" s="14" t="n">
        <v>0</v>
      </c>
      <c r="AD815" s="14" t="n">
        <v>1</v>
      </c>
      <c r="AE815" s="14" t="n">
        <v>9.196999999999999</v>
      </c>
      <c r="AF815" s="14" t="n">
        <v>2.015</v>
      </c>
      <c r="AG815" s="14" t="n">
        <v>0.262</v>
      </c>
      <c r="AH815" s="14" t="n">
        <v>9.460000000000001</v>
      </c>
      <c r="AI815" s="14" t="n">
        <v>0</v>
      </c>
      <c r="AJ815" s="14" t="n">
        <v>1</v>
      </c>
      <c r="AK815" s="14" t="n">
        <v>9.548</v>
      </c>
      <c r="AL815" s="14" t="n">
        <v>4.857</v>
      </c>
      <c r="AM815" s="14" t="n">
        <v>-4.764</v>
      </c>
      <c r="AN815" s="14" t="n">
        <v>5.645</v>
      </c>
      <c r="AO815" s="14" t="n">
        <v>0</v>
      </c>
      <c r="AP815" s="14" t="n">
        <v>0</v>
      </c>
      <c r="AQ815" s="14" t="n">
        <v>0.724</v>
      </c>
      <c r="AR815" s="14" t="n">
        <v>0.132</v>
      </c>
      <c r="AS815" s="14" t="n">
        <v>0.364</v>
      </c>
      <c r="AT815" s="14" t="n">
        <v>1.284</v>
      </c>
      <c r="AU815" s="14" t="n">
        <v>0.18</v>
      </c>
      <c r="AV815" s="14" t="n">
        <v>1</v>
      </c>
      <c r="AW815" s="14" t="n">
        <v>0.75</v>
      </c>
      <c r="AX815" s="14" t="n">
        <v>0.132</v>
      </c>
      <c r="AY815" s="14" t="n">
        <v>0.341</v>
      </c>
      <c r="AZ815" s="14" t="n">
        <v>1.287</v>
      </c>
      <c r="BA815" s="14" t="n">
        <v>0.18</v>
      </c>
      <c r="BB815" s="14" t="n">
        <v>1</v>
      </c>
      <c r="BC815" s="14" t="n">
        <v>0.513</v>
      </c>
      <c r="BD815" s="14" t="n">
        <v>0.132</v>
      </c>
      <c r="BE815" s="14" t="n">
        <v>0.078</v>
      </c>
      <c r="BF815" s="14" t="n">
        <v>0.698</v>
      </c>
      <c r="BG815" s="14" t="n">
        <v>0.18</v>
      </c>
      <c r="BH815" s="14" t="n">
        <v>1</v>
      </c>
      <c r="BI815" s="14" t="n">
        <v>0.591</v>
      </c>
      <c r="BJ815" s="14" t="n">
        <v>0.132</v>
      </c>
      <c r="BK815" s="14" t="n">
        <v>0.359</v>
      </c>
      <c r="BL815" s="14" t="n">
        <v>1.122</v>
      </c>
      <c r="BM815" s="14" t="n">
        <v>0.18</v>
      </c>
      <c r="BN815" s="14" t="n">
        <v>1</v>
      </c>
      <c r="BO815" s="14" t="n">
        <v>0</v>
      </c>
      <c r="BP815" s="14" t="n">
        <v>0.001</v>
      </c>
      <c r="BQ815" s="14" t="n">
        <v>0.08799999999999999</v>
      </c>
      <c r="BR815" s="14" t="n">
        <v>0</v>
      </c>
      <c r="BS815" s="14" t="n">
        <v>1</v>
      </c>
      <c r="BT815" s="14" t="n">
        <v>0</v>
      </c>
      <c r="BU815" s="14" t="n">
        <v>0.001</v>
      </c>
      <c r="BV815" s="14" t="n">
        <v>0.06</v>
      </c>
      <c r="BW815" s="14" t="n">
        <v>0.18</v>
      </c>
      <c r="BX815" s="14" t="n">
        <v>1</v>
      </c>
      <c r="BY815" s="14" t="n">
        <v>13.646</v>
      </c>
      <c r="BZ815" s="14" t="n">
        <v>0</v>
      </c>
      <c r="CA815" s="14" t="n">
        <v>13.646</v>
      </c>
      <c r="CB815" s="14" t="n">
        <v>0</v>
      </c>
      <c r="CC815" s="14" t="n">
        <v>82.58799999999999</v>
      </c>
      <c r="CD815" s="14" t="n">
        <v>7.95</v>
      </c>
      <c r="CE815" s="14" t="n">
        <v>41.944</v>
      </c>
      <c r="CF815" s="14" t="n">
        <v>148.193</v>
      </c>
      <c r="CG815" s="14" t="n">
        <v>0.19</v>
      </c>
      <c r="CH815" s="14" t="n">
        <v>1</v>
      </c>
      <c r="CI815" s="14" t="n">
        <v>0</v>
      </c>
      <c r="CJ815" s="14" t="n">
        <v>0</v>
      </c>
      <c r="CK815" s="14" t="n">
        <v>0</v>
      </c>
      <c r="CL815" s="14" t="n">
        <v>0.247</v>
      </c>
      <c r="CM815" s="14" t="n">
        <v>0</v>
      </c>
      <c r="CN815" s="14" t="n">
        <v>0.339</v>
      </c>
      <c r="CO815" s="14" t="n">
        <v>0.156</v>
      </c>
      <c r="CP815" s="14" t="n">
        <v>0</v>
      </c>
      <c r="CQ815" s="14" t="n">
        <v>1.387</v>
      </c>
      <c r="CR815" s="14" t="n">
        <v>0</v>
      </c>
      <c r="CS815" s="14" t="n">
        <v>2.843</v>
      </c>
      <c r="CT815" s="14" t="n">
        <v>3.027</v>
      </c>
      <c r="CU815" s="14" t="n">
        <v>10.168</v>
      </c>
    </row>
    <row r="816">
      <c r="A816" s="14" t="inlineStr">
        <is>
          <t>TKM2021</t>
        </is>
      </c>
      <c r="B816" s="14" t="inlineStr">
        <is>
          <t>TKM</t>
        </is>
      </c>
      <c r="C816" s="14" t="inlineStr">
        <is>
          <t>TKM</t>
        </is>
      </c>
      <c r="D816" s="14" t="inlineStr">
        <is>
          <t>Turkmenistan</t>
        </is>
      </c>
      <c r="E816" s="14" t="n">
        <v>2021</v>
      </c>
      <c r="F816" s="14" t="n">
        <v>0.15</v>
      </c>
      <c r="G816" s="14" t="n">
        <v>5.553</v>
      </c>
      <c r="H816" s="14" t="n">
        <v>1.143</v>
      </c>
      <c r="I816" s="14" t="n">
        <v>0.028</v>
      </c>
      <c r="J816" s="14" t="n">
        <v>5.581</v>
      </c>
      <c r="K816" s="14" t="n">
        <v>0</v>
      </c>
      <c r="L816" s="14" t="n">
        <v>1</v>
      </c>
      <c r="M816" s="14" t="n">
        <v>7.964</v>
      </c>
      <c r="N816" s="14" t="n">
        <v>3.43</v>
      </c>
      <c r="O816" s="14" t="n">
        <v>0.04</v>
      </c>
      <c r="P816" s="14" t="n">
        <v>8.005000000000001</v>
      </c>
      <c r="Q816" s="14" t="n">
        <v>0</v>
      </c>
      <c r="R816" s="14" t="n">
        <v>1</v>
      </c>
      <c r="S816" s="14" t="n">
        <v>11.27</v>
      </c>
      <c r="T816" s="14" t="n">
        <v>6.86</v>
      </c>
      <c r="U816" s="14" t="n">
        <v>0.028</v>
      </c>
      <c r="V816" s="14" t="n">
        <v>12.992</v>
      </c>
      <c r="W816" s="14" t="n">
        <v>0.15</v>
      </c>
      <c r="X816" s="14" t="n">
        <v>1</v>
      </c>
      <c r="Y816" s="14" t="n">
        <v>7.656</v>
      </c>
      <c r="Z816" s="14" t="n">
        <v>0.84</v>
      </c>
      <c r="AA816" s="14" t="n">
        <v>-5.659</v>
      </c>
      <c r="AB816" s="14" t="n">
        <v>1.997</v>
      </c>
      <c r="AC816" s="14" t="n">
        <v>0</v>
      </c>
      <c r="AD816" s="14" t="n">
        <v>0</v>
      </c>
      <c r="AE816" s="14" t="n">
        <v>7.847</v>
      </c>
      <c r="AF816" s="14" t="n">
        <v>1.526</v>
      </c>
      <c r="AG816" s="14" t="n">
        <v>-5.659</v>
      </c>
      <c r="AH816" s="14" t="n">
        <v>2.188</v>
      </c>
      <c r="AI816" s="14" t="n">
        <v>0</v>
      </c>
      <c r="AJ816" s="14" t="n">
        <v>0</v>
      </c>
      <c r="AK816" s="14" t="n">
        <v>6.92</v>
      </c>
      <c r="AL816" s="14" t="n">
        <v>3.264</v>
      </c>
      <c r="AM816" s="14" t="n">
        <v>-4.621</v>
      </c>
      <c r="AN816" s="14" t="n">
        <v>2.299</v>
      </c>
      <c r="AO816" s="14" t="n">
        <v>0</v>
      </c>
      <c r="AP816" s="14" t="n">
        <v>0</v>
      </c>
      <c r="AQ816" s="14" t="n">
        <v>0.619</v>
      </c>
      <c r="AR816" s="14" t="n">
        <v>0.114</v>
      </c>
      <c r="AS816" s="14" t="n">
        <v>-0.285</v>
      </c>
      <c r="AT816" s="14" t="n">
        <v>0.384</v>
      </c>
      <c r="AU816" s="14" t="n">
        <v>0</v>
      </c>
      <c r="AV816" s="14" t="n">
        <v>0</v>
      </c>
      <c r="AW816" s="14" t="n">
        <v>0.599</v>
      </c>
      <c r="AX816" s="14" t="n">
        <v>0.114</v>
      </c>
      <c r="AY816" s="14" t="n">
        <v>-0.273</v>
      </c>
      <c r="AZ816" s="14" t="n">
        <v>0.375</v>
      </c>
      <c r="BA816" s="14" t="n">
        <v>0</v>
      </c>
      <c r="BB816" s="14" t="n">
        <v>0</v>
      </c>
      <c r="BC816" s="14" t="n">
        <v>0.439</v>
      </c>
      <c r="BD816" s="14" t="n">
        <v>0.114</v>
      </c>
      <c r="BE816" s="14" t="n">
        <v>0</v>
      </c>
      <c r="BF816" s="14" t="n">
        <v>0.505</v>
      </c>
      <c r="BG816" s="14" t="n">
        <v>0.15</v>
      </c>
      <c r="BH816" s="14" t="n">
        <v>1</v>
      </c>
      <c r="BI816" s="14" t="n">
        <v>0.505</v>
      </c>
      <c r="BJ816" s="14" t="n">
        <v>0.114</v>
      </c>
      <c r="BK816" s="14" t="n">
        <v>0</v>
      </c>
      <c r="BL816" s="14" t="n">
        <v>0.58</v>
      </c>
      <c r="BM816" s="14" t="n">
        <v>0.15</v>
      </c>
      <c r="BN816" s="14" t="n">
        <v>1</v>
      </c>
      <c r="BO816" s="14" t="n">
        <v>0</v>
      </c>
      <c r="BP816" s="14" t="n">
        <v>-0.073</v>
      </c>
      <c r="BQ816" s="14" t="n">
        <v>0</v>
      </c>
      <c r="BR816" s="14" t="n">
        <v>0</v>
      </c>
      <c r="BS816" s="14" t="n">
        <v>1</v>
      </c>
      <c r="BT816" s="14" t="n">
        <v>0</v>
      </c>
      <c r="BU816" s="14" t="n">
        <v>-0.073</v>
      </c>
      <c r="BV816" s="14" t="n">
        <v>0</v>
      </c>
      <c r="BW816" s="14" t="n">
        <v>0.15</v>
      </c>
      <c r="BX816" s="14" t="n">
        <v>1</v>
      </c>
      <c r="BY816" s="14" t="n">
        <v>11.787</v>
      </c>
      <c r="BZ816" s="14" t="n">
        <v>0</v>
      </c>
      <c r="CA816" s="14" t="n">
        <v>11.787</v>
      </c>
      <c r="CB816" s="14" t="n">
        <v>0</v>
      </c>
      <c r="CC816" s="14" t="n">
        <v>78.125</v>
      </c>
      <c r="CD816" s="14" t="n">
        <v>7.95</v>
      </c>
      <c r="CE816" s="14" t="n">
        <v>0</v>
      </c>
      <c r="CF816" s="14" t="n">
        <v>89.84399999999999</v>
      </c>
      <c r="CG816" s="14" t="n">
        <v>0.15</v>
      </c>
      <c r="CH816" s="14" t="n">
        <v>1</v>
      </c>
      <c r="CI816" s="14" t="n">
        <v>0</v>
      </c>
      <c r="CJ816" s="14" t="n">
        <v>0</v>
      </c>
      <c r="CK816" s="14" t="n">
        <v>0</v>
      </c>
      <c r="CL816" s="14" t="n">
        <v>0</v>
      </c>
      <c r="CM816" s="14" t="n">
        <v>0</v>
      </c>
      <c r="CN816" s="14" t="n">
        <v>0</v>
      </c>
      <c r="CO816" s="14" t="n">
        <v>0</v>
      </c>
      <c r="CP816" s="14" t="n">
        <v>0</v>
      </c>
      <c r="CQ816" s="14" t="n">
        <v>1.198</v>
      </c>
      <c r="CR816" s="14" t="n">
        <v>1</v>
      </c>
      <c r="CS816" s="14" t="n">
        <v>2.347</v>
      </c>
      <c r="CT816" s="14" t="n">
        <v>4.41</v>
      </c>
      <c r="CU816" s="14" t="n">
        <v>14.129</v>
      </c>
    </row>
    <row r="817">
      <c r="A817" s="14" t="inlineStr">
        <is>
          <t>TKM2022</t>
        </is>
      </c>
      <c r="B817" s="14" t="inlineStr">
        <is>
          <t>TKM</t>
        </is>
      </c>
      <c r="C817" s="14" t="inlineStr">
        <is>
          <t>TKM</t>
        </is>
      </c>
      <c r="D817" s="14" t="inlineStr">
        <is>
          <t>Turkmenistan</t>
        </is>
      </c>
      <c r="E817" s="14" t="n">
        <v>2022</v>
      </c>
      <c r="F817" s="14" t="n">
        <v>0.15</v>
      </c>
      <c r="G817" s="14" t="n">
        <v>7.077</v>
      </c>
      <c r="H817" s="14" t="n">
        <v>1.235</v>
      </c>
      <c r="I817" s="14" t="n">
        <v>0.043</v>
      </c>
      <c r="J817" s="14" t="n">
        <v>7.12</v>
      </c>
      <c r="K817" s="14" t="n">
        <v>0</v>
      </c>
      <c r="L817" s="14" t="n">
        <v>1</v>
      </c>
      <c r="M817" s="14" t="n">
        <v>9.782999999999999</v>
      </c>
      <c r="N817" s="14" t="n">
        <v>3.704</v>
      </c>
      <c r="O817" s="14" t="n">
        <v>0.058</v>
      </c>
      <c r="P817" s="14" t="n">
        <v>9.84</v>
      </c>
      <c r="Q817" s="14" t="n">
        <v>0</v>
      </c>
      <c r="R817" s="14" t="n">
        <v>1</v>
      </c>
      <c r="S817" s="14" t="n">
        <v>13.25</v>
      </c>
      <c r="T817" s="14" t="n">
        <v>7.408</v>
      </c>
      <c r="U817" s="14" t="n">
        <v>0.191</v>
      </c>
      <c r="V817" s="14" t="n">
        <v>15.288</v>
      </c>
      <c r="W817" s="14" t="n">
        <v>0.15</v>
      </c>
      <c r="X817" s="14" t="n">
        <v>1</v>
      </c>
      <c r="Y817" s="14" t="n">
        <v>8.268000000000001</v>
      </c>
      <c r="Z817" s="14" t="n">
        <v>0.907</v>
      </c>
      <c r="AA817" s="14" t="n">
        <v>-6.111</v>
      </c>
      <c r="AB817" s="14" t="n">
        <v>2.157</v>
      </c>
      <c r="AC817" s="14" t="n">
        <v>0</v>
      </c>
      <c r="AD817" s="14" t="n">
        <v>0</v>
      </c>
      <c r="AE817" s="14" t="n">
        <v>8.474</v>
      </c>
      <c r="AF817" s="14" t="n">
        <v>1.648</v>
      </c>
      <c r="AG817" s="14" t="n">
        <v>-6.111</v>
      </c>
      <c r="AH817" s="14" t="n">
        <v>2.363</v>
      </c>
      <c r="AI817" s="14" t="n">
        <v>0</v>
      </c>
      <c r="AJ817" s="14" t="n">
        <v>0</v>
      </c>
      <c r="AK817" s="14" t="n">
        <v>7.473</v>
      </c>
      <c r="AL817" s="14" t="n">
        <v>3.525</v>
      </c>
      <c r="AM817" s="14" t="n">
        <v>-4.99</v>
      </c>
      <c r="AN817" s="14" t="n">
        <v>2.483</v>
      </c>
      <c r="AO817" s="14" t="n">
        <v>0</v>
      </c>
      <c r="AP817" s="14" t="n">
        <v>0</v>
      </c>
      <c r="AQ817" s="14" t="n">
        <v>0.861</v>
      </c>
      <c r="AR817" s="14" t="n">
        <v>0.123</v>
      </c>
      <c r="AS817" s="14" t="n">
        <v>-0.47</v>
      </c>
      <c r="AT817" s="14" t="n">
        <v>0.45</v>
      </c>
      <c r="AU817" s="14" t="n">
        <v>0</v>
      </c>
      <c r="AV817" s="14" t="n">
        <v>0</v>
      </c>
      <c r="AW817" s="14" t="n">
        <v>0.986</v>
      </c>
      <c r="AX817" s="14" t="n">
        <v>0.123</v>
      </c>
      <c r="AY817" s="14" t="n">
        <v>-0.652</v>
      </c>
      <c r="AZ817" s="14" t="n">
        <v>0.385</v>
      </c>
      <c r="BA817" s="14" t="n">
        <v>0</v>
      </c>
      <c r="BB817" s="14" t="n">
        <v>0</v>
      </c>
      <c r="BC817" s="14" t="n">
        <v>0.598</v>
      </c>
      <c r="BD817" s="14" t="n">
        <v>0.123</v>
      </c>
      <c r="BE817" s="14" t="n">
        <v>0.007</v>
      </c>
      <c r="BF817" s="14" t="n">
        <v>0.6879999999999999</v>
      </c>
      <c r="BG817" s="14" t="n">
        <v>0.15</v>
      </c>
      <c r="BH817" s="14" t="n">
        <v>1</v>
      </c>
      <c r="BI817" s="14" t="n">
        <v>0.612</v>
      </c>
      <c r="BJ817" s="14" t="n">
        <v>0.123</v>
      </c>
      <c r="BK817" s="14" t="n">
        <v>0.007</v>
      </c>
      <c r="BL817" s="14" t="n">
        <v>0.704</v>
      </c>
      <c r="BM817" s="14" t="n">
        <v>0.15</v>
      </c>
      <c r="BN817" s="14" t="n">
        <v>1</v>
      </c>
      <c r="BO817" s="14" t="n">
        <v>0</v>
      </c>
      <c r="BP817" s="14" t="n">
        <v>-0.073</v>
      </c>
      <c r="BQ817" s="14" t="n">
        <v>0</v>
      </c>
      <c r="BR817" s="14" t="n">
        <v>0</v>
      </c>
      <c r="BS817" s="14" t="n">
        <v>1</v>
      </c>
      <c r="BT817" s="14" t="n">
        <v>0</v>
      </c>
      <c r="BU817" s="14" t="n">
        <v>-0.073</v>
      </c>
      <c r="BV817" s="14" t="n">
        <v>0</v>
      </c>
      <c r="BW817" s="14" t="n">
        <v>0.15</v>
      </c>
      <c r="BX817" s="14" t="n">
        <v>1</v>
      </c>
      <c r="BY817" s="14" t="n">
        <v>12.729</v>
      </c>
      <c r="BZ817" s="14" t="n">
        <v>0</v>
      </c>
      <c r="CA817" s="14" t="n">
        <v>12.729</v>
      </c>
      <c r="CB817" s="14" t="n">
        <v>0</v>
      </c>
      <c r="CC817" s="14" t="n">
        <v>97.90000000000001</v>
      </c>
      <c r="CD817" s="14" t="n">
        <v>7.95</v>
      </c>
      <c r="CE817" s="14" t="n">
        <v>1.087</v>
      </c>
      <c r="CF817" s="14" t="n">
        <v>112.585</v>
      </c>
      <c r="CG817" s="14" t="n">
        <v>0.15</v>
      </c>
      <c r="CH817" s="14" t="n">
        <v>1</v>
      </c>
      <c r="CI817" s="14" t="n">
        <v>0</v>
      </c>
      <c r="CJ817" s="14" t="n">
        <v>0</v>
      </c>
      <c r="CK817" s="14" t="n">
        <v>0</v>
      </c>
      <c r="CL817" s="14" t="n">
        <v>0</v>
      </c>
      <c r="CM817" s="14" t="n">
        <v>0</v>
      </c>
      <c r="CN817" s="14" t="n">
        <v>0</v>
      </c>
      <c r="CO817" s="14" t="n">
        <v>0</v>
      </c>
      <c r="CP817" s="14" t="n">
        <v>0</v>
      </c>
      <c r="CQ817" s="14" t="n">
        <v>1.294</v>
      </c>
      <c r="CR817" s="14" t="n">
        <v>1</v>
      </c>
      <c r="CS817" s="14" t="n">
        <v>2.535</v>
      </c>
      <c r="CT817" s="14" t="n">
        <v>5.842</v>
      </c>
      <c r="CU817" s="14" t="n">
        <v>28.059</v>
      </c>
    </row>
    <row r="818">
      <c r="A818" s="14" t="inlineStr">
        <is>
          <t>TKM2023</t>
        </is>
      </c>
      <c r="B818" s="14" t="inlineStr">
        <is>
          <t>TKM</t>
        </is>
      </c>
      <c r="C818" s="14" t="inlineStr">
        <is>
          <t>TKM</t>
        </is>
      </c>
      <c r="D818" s="14" t="inlineStr">
        <is>
          <t>Turkmenistan</t>
        </is>
      </c>
      <c r="E818" s="14" t="n">
        <v>2023</v>
      </c>
      <c r="F818" s="14" t="n">
        <v>0.15</v>
      </c>
      <c r="G818" s="14" t="n">
        <v>4.752</v>
      </c>
      <c r="H818" s="14" t="n">
        <v>1.286</v>
      </c>
      <c r="I818" s="14" t="n">
        <v>0.027</v>
      </c>
      <c r="J818" s="14" t="n">
        <v>4.778</v>
      </c>
      <c r="K818" s="14" t="n">
        <v>0</v>
      </c>
      <c r="L818" s="14" t="n">
        <v>1</v>
      </c>
      <c r="M818" s="14" t="n">
        <v>7.886</v>
      </c>
      <c r="N818" s="14" t="n">
        <v>3.857</v>
      </c>
      <c r="O818" s="14" t="n">
        <v>0.04</v>
      </c>
      <c r="P818" s="14" t="n">
        <v>7.926</v>
      </c>
      <c r="Q818" s="14" t="n">
        <v>0</v>
      </c>
      <c r="R818" s="14" t="n">
        <v>1</v>
      </c>
      <c r="S818" s="14" t="n">
        <v>11.18</v>
      </c>
      <c r="T818" s="14" t="n">
        <v>7.714</v>
      </c>
      <c r="U818" s="14" t="n">
        <v>0.213</v>
      </c>
      <c r="V818" s="14" t="n">
        <v>12.888</v>
      </c>
      <c r="W818" s="14" t="n">
        <v>0.15</v>
      </c>
      <c r="X818" s="14" t="n">
        <v>1</v>
      </c>
      <c r="Y818" s="14" t="n">
        <v>8.609</v>
      </c>
      <c r="Z818" s="14" t="n">
        <v>0.945</v>
      </c>
      <c r="AA818" s="14" t="n">
        <v>-6.363</v>
      </c>
      <c r="AB818" s="14" t="n">
        <v>2.246</v>
      </c>
      <c r="AC818" s="14" t="n">
        <v>0</v>
      </c>
      <c r="AD818" s="14" t="n">
        <v>0</v>
      </c>
      <c r="AE818" s="14" t="n">
        <v>8.824</v>
      </c>
      <c r="AF818" s="14" t="n">
        <v>1.716</v>
      </c>
      <c r="AG818" s="14" t="n">
        <v>-6.363</v>
      </c>
      <c r="AH818" s="14" t="n">
        <v>2.461</v>
      </c>
      <c r="AI818" s="14" t="n">
        <v>0</v>
      </c>
      <c r="AJ818" s="14" t="n">
        <v>0</v>
      </c>
      <c r="AK818" s="14" t="n">
        <v>7.782</v>
      </c>
      <c r="AL818" s="14" t="n">
        <v>3.671</v>
      </c>
      <c r="AM818" s="14" t="n">
        <v>-5.196</v>
      </c>
      <c r="AN818" s="14" t="n">
        <v>2.586</v>
      </c>
      <c r="AO818" s="14" t="n">
        <v>0</v>
      </c>
      <c r="AP818" s="14" t="n">
        <v>0</v>
      </c>
      <c r="AQ818" s="14" t="n">
        <v>0.76</v>
      </c>
      <c r="AR818" s="14" t="n">
        <v>0.129</v>
      </c>
      <c r="AS818" s="14" t="n">
        <v>-0.292</v>
      </c>
      <c r="AT818" s="14" t="n">
        <v>0.468</v>
      </c>
      <c r="AU818" s="14" t="n">
        <v>0</v>
      </c>
      <c r="AV818" s="14" t="n">
        <v>0</v>
      </c>
      <c r="AW818" s="14" t="n">
        <v>0.8110000000000001</v>
      </c>
      <c r="AX818" s="14" t="n">
        <v>0.129</v>
      </c>
      <c r="AY818" s="14" t="n">
        <v>-0.411</v>
      </c>
      <c r="AZ818" s="14" t="n">
        <v>0.401</v>
      </c>
      <c r="BA818" s="14" t="n">
        <v>0</v>
      </c>
      <c r="BB818" s="14" t="n">
        <v>0</v>
      </c>
      <c r="BC818" s="14" t="n">
        <v>0.535</v>
      </c>
      <c r="BD818" s="14" t="n">
        <v>0.129</v>
      </c>
      <c r="BE818" s="14" t="n">
        <v>0.008999999999999999</v>
      </c>
      <c r="BF818" s="14" t="n">
        <v>0.615</v>
      </c>
      <c r="BG818" s="14" t="n">
        <v>0.15</v>
      </c>
      <c r="BH818" s="14" t="n">
        <v>1</v>
      </c>
      <c r="BI818" s="14" t="n">
        <v>0.579</v>
      </c>
      <c r="BJ818" s="14" t="n">
        <v>0.129</v>
      </c>
      <c r="BK818" s="14" t="n">
        <v>0.01</v>
      </c>
      <c r="BL818" s="14" t="n">
        <v>0.666</v>
      </c>
      <c r="BM818" s="14" t="n">
        <v>0.15</v>
      </c>
      <c r="BN818" s="14" t="n">
        <v>1</v>
      </c>
      <c r="BO818" s="14" t="n">
        <v>0</v>
      </c>
      <c r="BP818" s="14" t="n">
        <v>-0.073</v>
      </c>
      <c r="BQ818" s="14" t="n">
        <v>0</v>
      </c>
      <c r="BR818" s="14" t="n">
        <v>0</v>
      </c>
      <c r="BS818" s="14" t="n">
        <v>1</v>
      </c>
      <c r="BT818" s="14" t="n">
        <v>0</v>
      </c>
      <c r="BU818" s="14" t="n">
        <v>-0.073</v>
      </c>
      <c r="BV818" s="14" t="n">
        <v>0</v>
      </c>
      <c r="BW818" s="14" t="n">
        <v>0.15</v>
      </c>
      <c r="BX818" s="14" t="n">
        <v>1</v>
      </c>
      <c r="BY818" s="14" t="n">
        <v>13.254</v>
      </c>
      <c r="BZ818" s="14" t="n">
        <v>0</v>
      </c>
      <c r="CA818" s="14" t="n">
        <v>13.254</v>
      </c>
      <c r="CB818" s="14" t="n">
        <v>0</v>
      </c>
      <c r="CC818" s="14" t="n">
        <v>83.248</v>
      </c>
      <c r="CD818" s="14" t="n">
        <v>7.95</v>
      </c>
      <c r="CE818" s="14" t="n">
        <v>1.383</v>
      </c>
      <c r="CF818" s="14" t="n">
        <v>95.735</v>
      </c>
      <c r="CG818" s="14" t="n">
        <v>0.15</v>
      </c>
      <c r="CH818" s="14" t="n">
        <v>1</v>
      </c>
      <c r="CI818" s="14" t="n">
        <v>0</v>
      </c>
      <c r="CJ818" s="14" t="n">
        <v>0</v>
      </c>
      <c r="CK818" s="14" t="n">
        <v>0</v>
      </c>
      <c r="CL818" s="14" t="n">
        <v>0</v>
      </c>
      <c r="CM818" s="14" t="n">
        <v>0</v>
      </c>
      <c r="CN818" s="14" t="n">
        <v>0</v>
      </c>
      <c r="CO818" s="14" t="n">
        <v>0</v>
      </c>
      <c r="CP818" s="14" t="n">
        <v>0</v>
      </c>
      <c r="CQ818" s="14" t="n">
        <v>1.348</v>
      </c>
      <c r="CR818" s="14" t="n">
        <v>1</v>
      </c>
      <c r="CS818" s="14" t="n">
        <v>2.639</v>
      </c>
      <c r="CT818" s="14" t="n">
        <v>3.466</v>
      </c>
      <c r="CU818" s="14" t="n">
        <v>9.260999999999999</v>
      </c>
    </row>
    <row r="819">
      <c r="A819" s="14" t="inlineStr">
        <is>
          <t>TKM2024</t>
        </is>
      </c>
      <c r="B819" s="14" t="inlineStr">
        <is>
          <t>TKM</t>
        </is>
      </c>
      <c r="C819" s="14" t="inlineStr">
        <is>
          <t>TKM</t>
        </is>
      </c>
      <c r="D819" s="14" t="inlineStr">
        <is>
          <t>Turkmenistan</t>
        </is>
      </c>
      <c r="E819" s="14" t="n">
        <v>2024</v>
      </c>
      <c r="F819" s="14" t="n">
        <v>0.15</v>
      </c>
      <c r="G819" s="14" t="n">
        <v>4.351</v>
      </c>
      <c r="H819" s="14" t="n">
        <v>1.324</v>
      </c>
      <c r="I819" s="14" t="n">
        <v>0.021</v>
      </c>
      <c r="J819" s="14" t="n">
        <v>4.371</v>
      </c>
      <c r="K819" s="14" t="n">
        <v>0</v>
      </c>
      <c r="L819" s="14" t="n">
        <v>1</v>
      </c>
      <c r="M819" s="14" t="n">
        <v>7.124</v>
      </c>
      <c r="N819" s="14" t="n">
        <v>3.971</v>
      </c>
      <c r="O819" s="14" t="n">
        <v>0.028</v>
      </c>
      <c r="P819" s="14" t="n">
        <v>7.151</v>
      </c>
      <c r="Q819" s="14" t="n">
        <v>0</v>
      </c>
      <c r="R819" s="14" t="n">
        <v>1</v>
      </c>
      <c r="S819" s="14" t="n">
        <v>10.969</v>
      </c>
      <c r="T819" s="14" t="n">
        <v>7.942</v>
      </c>
      <c r="U819" s="14" t="n">
        <v>0.245</v>
      </c>
      <c r="V819" s="14" t="n">
        <v>12.638</v>
      </c>
      <c r="W819" s="14" t="n">
        <v>0.15</v>
      </c>
      <c r="X819" s="14" t="n">
        <v>1</v>
      </c>
      <c r="Y819" s="14" t="n">
        <v>8.864000000000001</v>
      </c>
      <c r="Z819" s="14" t="n">
        <v>0.973</v>
      </c>
      <c r="AA819" s="14" t="n">
        <v>-6.551</v>
      </c>
      <c r="AB819" s="14" t="n">
        <v>2.312</v>
      </c>
      <c r="AC819" s="14" t="n">
        <v>0</v>
      </c>
      <c r="AD819" s="14" t="n">
        <v>0</v>
      </c>
      <c r="AE819" s="14" t="n">
        <v>9.084</v>
      </c>
      <c r="AF819" s="14" t="n">
        <v>1.767</v>
      </c>
      <c r="AG819" s="14" t="n">
        <v>-6.551</v>
      </c>
      <c r="AH819" s="14" t="n">
        <v>2.533</v>
      </c>
      <c r="AI819" s="14" t="n">
        <v>0</v>
      </c>
      <c r="AJ819" s="14" t="n">
        <v>0</v>
      </c>
      <c r="AK819" s="14" t="n">
        <v>8.012</v>
      </c>
      <c r="AL819" s="14" t="n">
        <v>3.779</v>
      </c>
      <c r="AM819" s="14" t="n">
        <v>-5.35</v>
      </c>
      <c r="AN819" s="14" t="n">
        <v>2.662</v>
      </c>
      <c r="AO819" s="14" t="n">
        <v>0</v>
      </c>
      <c r="AP819" s="14" t="n">
        <v>0</v>
      </c>
      <c r="AQ819" s="14" t="n">
        <v>0.724</v>
      </c>
      <c r="AR819" s="14" t="n">
        <v>0.132</v>
      </c>
      <c r="AS819" s="14" t="n">
        <v>-0.242</v>
      </c>
      <c r="AT819" s="14" t="n">
        <v>0.482</v>
      </c>
      <c r="AU819" s="14" t="n">
        <v>0</v>
      </c>
      <c r="AV819" s="14" t="n">
        <v>0</v>
      </c>
      <c r="AW819" s="14" t="n">
        <v>0.75</v>
      </c>
      <c r="AX819" s="14" t="n">
        <v>0.132</v>
      </c>
      <c r="AY819" s="14" t="n">
        <v>-0.338</v>
      </c>
      <c r="AZ819" s="14" t="n">
        <v>0.412</v>
      </c>
      <c r="BA819" s="14" t="n">
        <v>0</v>
      </c>
      <c r="BB819" s="14" t="n">
        <v>0</v>
      </c>
      <c r="BC819" s="14" t="n">
        <v>0.513</v>
      </c>
      <c r="BD819" s="14" t="n">
        <v>0.132</v>
      </c>
      <c r="BE819" s="14" t="n">
        <v>0.01</v>
      </c>
      <c r="BF819" s="14" t="n">
        <v>0.59</v>
      </c>
      <c r="BG819" s="14" t="n">
        <v>0.15</v>
      </c>
      <c r="BH819" s="14" t="n">
        <v>1</v>
      </c>
      <c r="BI819" s="14" t="n">
        <v>0.591</v>
      </c>
      <c r="BJ819" s="14" t="n">
        <v>0.132</v>
      </c>
      <c r="BK819" s="14" t="n">
        <v>0.012</v>
      </c>
      <c r="BL819" s="14" t="n">
        <v>0.68</v>
      </c>
      <c r="BM819" s="14" t="n">
        <v>0.15</v>
      </c>
      <c r="BN819" s="14" t="n">
        <v>1</v>
      </c>
      <c r="BO819" s="14" t="n">
        <v>0</v>
      </c>
      <c r="BP819" s="14" t="n">
        <v>-0.075</v>
      </c>
      <c r="BQ819" s="14" t="n">
        <v>0</v>
      </c>
      <c r="BR819" s="14" t="n">
        <v>0</v>
      </c>
      <c r="BS819" s="14" t="n">
        <v>1</v>
      </c>
      <c r="BT819" s="14" t="n">
        <v>0</v>
      </c>
      <c r="BU819" s="14" t="n">
        <v>-0.075</v>
      </c>
      <c r="BV819" s="14" t="n">
        <v>0</v>
      </c>
      <c r="BW819" s="14" t="n">
        <v>0.15</v>
      </c>
      <c r="BX819" s="14" t="n">
        <v>1</v>
      </c>
      <c r="BY819" s="14" t="n">
        <v>13.646</v>
      </c>
      <c r="BZ819" s="14" t="n">
        <v>0</v>
      </c>
      <c r="CA819" s="14" t="n">
        <v>13.646</v>
      </c>
      <c r="CB819" s="14" t="n">
        <v>0</v>
      </c>
      <c r="CC819" s="14" t="n">
        <v>82.58799999999999</v>
      </c>
      <c r="CD819" s="14" t="n">
        <v>7.95</v>
      </c>
      <c r="CE819" s="14" t="n">
        <v>1.687</v>
      </c>
      <c r="CF819" s="14" t="n">
        <v>94.976</v>
      </c>
      <c r="CG819" s="14" t="n">
        <v>0.15</v>
      </c>
      <c r="CH819" s="14" t="n">
        <v>1</v>
      </c>
      <c r="CI819" s="14" t="n">
        <v>0</v>
      </c>
      <c r="CJ819" s="14" t="n">
        <v>0</v>
      </c>
      <c r="CK819" s="14" t="n">
        <v>0</v>
      </c>
      <c r="CL819" s="14" t="n">
        <v>0</v>
      </c>
      <c r="CM819" s="14" t="n">
        <v>0</v>
      </c>
      <c r="CN819" s="14" t="n">
        <v>0</v>
      </c>
      <c r="CO819" s="14" t="n">
        <v>0</v>
      </c>
      <c r="CP819" s="14" t="n">
        <v>0</v>
      </c>
      <c r="CQ819" s="14" t="n">
        <v>1.387</v>
      </c>
      <c r="CR819" s="14" t="n">
        <v>1</v>
      </c>
      <c r="CS819" s="14" t="n">
        <v>2.717</v>
      </c>
      <c r="CT819" s="14" t="n">
        <v>3.027</v>
      </c>
      <c r="CU819" s="14" t="n">
        <v>7.598</v>
      </c>
    </row>
    <row r="820">
      <c r="A820" s="14" t="inlineStr">
        <is>
          <t>TCA2021</t>
        </is>
      </c>
      <c r="B820" s="14" t="inlineStr">
        <is>
          <t>TCA</t>
        </is>
      </c>
      <c r="C820" s="14" t="inlineStr">
        <is>
          <t>TCA</t>
        </is>
      </c>
      <c r="D820" s="14" t="inlineStr">
        <is>
          <t>Turks and Caicos Islands</t>
        </is>
      </c>
      <c r="E820" s="14" t="n">
        <v>2021</v>
      </c>
      <c r="F820" s="14" t="n">
        <v>0</v>
      </c>
      <c r="G820" s="14" t="n">
        <v>5.897</v>
      </c>
      <c r="H820" s="14" t="n">
        <v>1.143</v>
      </c>
      <c r="I820" s="14" t="n">
        <v>0</v>
      </c>
      <c r="J820" s="14" t="n">
        <v>5.897</v>
      </c>
      <c r="K820" s="14" t="n">
        <v>0</v>
      </c>
      <c r="L820" s="14" t="n">
        <v>1</v>
      </c>
      <c r="M820" s="14" t="n">
        <v>7.964</v>
      </c>
      <c r="N820" s="14" t="n">
        <v>3.43</v>
      </c>
      <c r="O820" s="14" t="n">
        <v>0</v>
      </c>
      <c r="P820" s="14" t="n">
        <v>7.964</v>
      </c>
      <c r="Q820" s="14" t="n">
        <v>0</v>
      </c>
      <c r="R820" s="14" t="n">
        <v>1</v>
      </c>
      <c r="S820" s="14" t="n">
        <v>11.613</v>
      </c>
      <c r="T820" s="14" t="n">
        <v>6.86</v>
      </c>
      <c r="U820" s="14" t="n">
        <v>0</v>
      </c>
      <c r="V820" s="14" t="n">
        <v>11.613</v>
      </c>
      <c r="W820" s="14" t="n">
        <v>0</v>
      </c>
      <c r="X820" s="14" t="n">
        <v>1</v>
      </c>
      <c r="Y820" s="14" t="n">
        <v>17.127</v>
      </c>
      <c r="Z820" s="14" t="n">
        <v>2.304</v>
      </c>
      <c r="AA820" s="14" t="n">
        <v>0</v>
      </c>
      <c r="AB820" s="14" t="n">
        <v>17.127</v>
      </c>
      <c r="AC820" s="14" t="n">
        <v>0</v>
      </c>
      <c r="AD820" s="14" t="n">
        <v>1</v>
      </c>
      <c r="AE820" s="14" t="n">
        <v>18.27</v>
      </c>
      <c r="AF820" s="14" t="n">
        <v>4.278</v>
      </c>
      <c r="AG820" s="14" t="n">
        <v>0</v>
      </c>
      <c r="AH820" s="14" t="n">
        <v>18.27</v>
      </c>
      <c r="AI820" s="14" t="n">
        <v>0</v>
      </c>
      <c r="AJ820" s="14" t="n">
        <v>1</v>
      </c>
      <c r="AK820" s="14" t="n">
        <v>25.13</v>
      </c>
      <c r="AL820" s="14" t="n">
        <v>13.503</v>
      </c>
      <c r="AM820" s="14" t="n">
        <v>0</v>
      </c>
      <c r="AN820" s="14" t="n">
        <v>25.13</v>
      </c>
      <c r="AO820" s="14" t="n">
        <v>0</v>
      </c>
      <c r="AP820" s="14" t="n">
        <v>1</v>
      </c>
      <c r="AQ820" s="14" t="n">
        <v>0.649</v>
      </c>
      <c r="AR820" s="14" t="n">
        <v>0.114</v>
      </c>
      <c r="AS820" s="14" t="n">
        <v>0</v>
      </c>
      <c r="AT820" s="14" t="n">
        <v>0.649</v>
      </c>
      <c r="AU820" s="14" t="n">
        <v>0</v>
      </c>
      <c r="AV820" s="14" t="n">
        <v>1</v>
      </c>
      <c r="AW820" s="14" t="n">
        <v>0.577</v>
      </c>
      <c r="AX820" s="14" t="n">
        <v>0.114</v>
      </c>
      <c r="AY820" s="14" t="n">
        <v>0</v>
      </c>
      <c r="AZ820" s="14" t="n">
        <v>0.577</v>
      </c>
      <c r="BA820" s="14" t="n">
        <v>0</v>
      </c>
      <c r="BB820" s="14" t="n">
        <v>1</v>
      </c>
      <c r="BC820" s="14" t="n">
        <v>0.458</v>
      </c>
      <c r="BD820" s="14" t="n">
        <v>0.114</v>
      </c>
      <c r="BE820" s="14" t="n">
        <v>0</v>
      </c>
      <c r="BF820" s="14" t="n">
        <v>0.458</v>
      </c>
      <c r="BG820" s="14" t="n">
        <v>0</v>
      </c>
      <c r="BH820" s="14" t="n">
        <v>1</v>
      </c>
      <c r="BI820" s="14" t="n">
        <v>0.491</v>
      </c>
      <c r="BJ820" s="14" t="n">
        <v>0.114</v>
      </c>
      <c r="BK820" s="14" t="n">
        <v>0</v>
      </c>
      <c r="BL820" s="14" t="n">
        <v>0.491</v>
      </c>
      <c r="BM820" s="14" t="n">
        <v>0</v>
      </c>
      <c r="BN820" s="14" t="n">
        <v>1</v>
      </c>
      <c r="BO820" s="14" t="n">
        <v>0</v>
      </c>
      <c r="BP820" s="14" t="n">
        <v>0</v>
      </c>
      <c r="BQ820" s="14" t="n">
        <v>0</v>
      </c>
      <c r="BR820" s="14" t="n">
        <v>0</v>
      </c>
      <c r="BS820" s="14" t="n">
        <v>1</v>
      </c>
      <c r="BT820" s="14" t="n">
        <v>0</v>
      </c>
      <c r="BU820" s="14" t="n">
        <v>0</v>
      </c>
      <c r="BV820" s="14" t="n">
        <v>0</v>
      </c>
      <c r="BW820" s="14" t="n">
        <v>0</v>
      </c>
      <c r="BX820" s="14" t="n">
        <v>1</v>
      </c>
      <c r="BY820" s="14" t="n">
        <v>11.787</v>
      </c>
      <c r="BZ820" s="14" t="n">
        <v>0</v>
      </c>
      <c r="CA820" s="14" t="n">
        <v>11.787</v>
      </c>
      <c r="CB820" s="14" t="n">
        <v>0</v>
      </c>
      <c r="CC820" s="14" t="n">
        <v>78.125</v>
      </c>
      <c r="CD820" s="14" t="n">
        <v>7.95</v>
      </c>
      <c r="CE820" s="14" t="n">
        <v>0</v>
      </c>
      <c r="CF820" s="14" t="n">
        <v>78.125</v>
      </c>
      <c r="CG820" s="14" t="n">
        <v>0</v>
      </c>
      <c r="CH820" s="14" t="n">
        <v>1</v>
      </c>
      <c r="CI820" s="14" t="n">
        <v>0</v>
      </c>
      <c r="CJ820" s="14" t="n">
        <v>0</v>
      </c>
      <c r="CK820" s="14" t="n">
        <v>0</v>
      </c>
      <c r="CL820" s="14" t="n">
        <v>0</v>
      </c>
      <c r="CM820" s="14" t="n">
        <v>0</v>
      </c>
      <c r="CN820" s="14" t="n">
        <v>0</v>
      </c>
      <c r="CO820" s="14" t="n">
        <v>0</v>
      </c>
      <c r="CP820" s="14" t="n">
        <v>0</v>
      </c>
      <c r="CQ820" s="14" t="n">
        <v>1.198</v>
      </c>
      <c r="CR820" s="14" t="n">
        <v>0</v>
      </c>
      <c r="CS820" s="14" t="n">
        <v>4.776</v>
      </c>
      <c r="CT820" s="14" t="n">
        <v>4.753</v>
      </c>
      <c r="CU820" s="14" t="n">
        <v>15.983</v>
      </c>
    </row>
    <row r="821">
      <c r="A821" s="14" t="inlineStr">
        <is>
          <t>TCA2022</t>
        </is>
      </c>
      <c r="B821" s="14" t="inlineStr">
        <is>
          <t>TCA</t>
        </is>
      </c>
      <c r="C821" s="14" t="inlineStr">
        <is>
          <t>TCA</t>
        </is>
      </c>
      <c r="D821" s="14" t="inlineStr">
        <is>
          <t>Turks and Caicos Islands</t>
        </is>
      </c>
      <c r="E821" s="14" t="n">
        <v>2022</v>
      </c>
      <c r="F821" s="14" t="n">
        <v>0</v>
      </c>
      <c r="G821" s="14" t="n">
        <v>11.72</v>
      </c>
      <c r="H821" s="14" t="n">
        <v>1.235</v>
      </c>
      <c r="I821" s="14" t="n">
        <v>0</v>
      </c>
      <c r="J821" s="14" t="n">
        <v>11.72</v>
      </c>
      <c r="K821" s="14" t="n">
        <v>0</v>
      </c>
      <c r="L821" s="14" t="n">
        <v>1</v>
      </c>
      <c r="M821" s="14" t="n">
        <v>9.782999999999999</v>
      </c>
      <c r="N821" s="14" t="n">
        <v>3.704</v>
      </c>
      <c r="O821" s="14" t="n">
        <v>0</v>
      </c>
      <c r="P821" s="14" t="n">
        <v>9.782999999999999</v>
      </c>
      <c r="Q821" s="14" t="n">
        <v>0</v>
      </c>
      <c r="R821" s="14" t="n">
        <v>1</v>
      </c>
      <c r="S821" s="14" t="n">
        <v>17.893</v>
      </c>
      <c r="T821" s="14" t="n">
        <v>7.408</v>
      </c>
      <c r="U821" s="14" t="n">
        <v>0</v>
      </c>
      <c r="V821" s="14" t="n">
        <v>17.893</v>
      </c>
      <c r="W821" s="14" t="n">
        <v>0</v>
      </c>
      <c r="X821" s="14" t="n">
        <v>1</v>
      </c>
      <c r="Y821" s="14" t="n">
        <v>30.728</v>
      </c>
      <c r="Z821" s="14" t="n">
        <v>4.133</v>
      </c>
      <c r="AA821" s="14" t="n">
        <v>0</v>
      </c>
      <c r="AB821" s="14" t="n">
        <v>30.728</v>
      </c>
      <c r="AC821" s="14" t="n">
        <v>0</v>
      </c>
      <c r="AD821" s="14" t="n">
        <v>1</v>
      </c>
      <c r="AE821" s="14" t="n">
        <v>31.963</v>
      </c>
      <c r="AF821" s="14" t="n">
        <v>7.485</v>
      </c>
      <c r="AG821" s="14" t="n">
        <v>0</v>
      </c>
      <c r="AH821" s="14" t="n">
        <v>31.963</v>
      </c>
      <c r="AI821" s="14" t="n">
        <v>0</v>
      </c>
      <c r="AJ821" s="14" t="n">
        <v>1</v>
      </c>
      <c r="AK821" s="14" t="n">
        <v>39.371</v>
      </c>
      <c r="AL821" s="14" t="n">
        <v>21.155</v>
      </c>
      <c r="AM821" s="14" t="n">
        <v>0</v>
      </c>
      <c r="AN821" s="14" t="n">
        <v>39.371</v>
      </c>
      <c r="AO821" s="14" t="n">
        <v>0</v>
      </c>
      <c r="AP821" s="14" t="n">
        <v>1</v>
      </c>
      <c r="AQ821" s="14" t="n">
        <v>0.896</v>
      </c>
      <c r="AR821" s="14" t="n">
        <v>0.123</v>
      </c>
      <c r="AS821" s="14" t="n">
        <v>0</v>
      </c>
      <c r="AT821" s="14" t="n">
        <v>0.896</v>
      </c>
      <c r="AU821" s="14" t="n">
        <v>0</v>
      </c>
      <c r="AV821" s="14" t="n">
        <v>1</v>
      </c>
      <c r="AW821" s="14" t="n">
        <v>0.89</v>
      </c>
      <c r="AX821" s="14" t="n">
        <v>0.123</v>
      </c>
      <c r="AY821" s="14" t="n">
        <v>0</v>
      </c>
      <c r="AZ821" s="14" t="n">
        <v>0.89</v>
      </c>
      <c r="BA821" s="14" t="n">
        <v>0</v>
      </c>
      <c r="BB821" s="14" t="n">
        <v>1</v>
      </c>
      <c r="BC821" s="14" t="n">
        <v>0.62</v>
      </c>
      <c r="BD821" s="14" t="n">
        <v>0.123</v>
      </c>
      <c r="BE821" s="14" t="n">
        <v>0</v>
      </c>
      <c r="BF821" s="14" t="n">
        <v>0.62</v>
      </c>
      <c r="BG821" s="14" t="n">
        <v>0</v>
      </c>
      <c r="BH821" s="14" t="n">
        <v>1</v>
      </c>
      <c r="BI821" s="14" t="n">
        <v>0.608</v>
      </c>
      <c r="BJ821" s="14" t="n">
        <v>0.123</v>
      </c>
      <c r="BK821" s="14" t="n">
        <v>0</v>
      </c>
      <c r="BL821" s="14" t="n">
        <v>0.608</v>
      </c>
      <c r="BM821" s="14" t="n">
        <v>0</v>
      </c>
      <c r="BN821" s="14" t="n">
        <v>1</v>
      </c>
      <c r="BO821" s="14" t="n">
        <v>0</v>
      </c>
      <c r="BP821" s="14" t="n">
        <v>0</v>
      </c>
      <c r="BQ821" s="14" t="n">
        <v>0</v>
      </c>
      <c r="BR821" s="14" t="n">
        <v>0</v>
      </c>
      <c r="BS821" s="14" t="n">
        <v>1</v>
      </c>
      <c r="BT821" s="14" t="n">
        <v>0</v>
      </c>
      <c r="BU821" s="14" t="n">
        <v>0</v>
      </c>
      <c r="BV821" s="14" t="n">
        <v>0</v>
      </c>
      <c r="BW821" s="14" t="n">
        <v>0</v>
      </c>
      <c r="BX821" s="14" t="n">
        <v>1</v>
      </c>
      <c r="BY821" s="14" t="n">
        <v>12.729</v>
      </c>
      <c r="BZ821" s="14" t="n">
        <v>0</v>
      </c>
      <c r="CA821" s="14" t="n">
        <v>12.729</v>
      </c>
      <c r="CB821" s="14" t="n">
        <v>0</v>
      </c>
      <c r="CC821" s="14" t="n">
        <v>97.90000000000001</v>
      </c>
      <c r="CD821" s="14" t="n">
        <v>7.95</v>
      </c>
      <c r="CE821" s="14" t="n">
        <v>0</v>
      </c>
      <c r="CF821" s="14" t="n">
        <v>97.90000000000001</v>
      </c>
      <c r="CG821" s="14" t="n">
        <v>0</v>
      </c>
      <c r="CH821" s="14" t="n">
        <v>1</v>
      </c>
      <c r="CI821" s="14" t="n">
        <v>0</v>
      </c>
      <c r="CJ821" s="14" t="n">
        <v>0</v>
      </c>
      <c r="CK821" s="14" t="n">
        <v>0</v>
      </c>
      <c r="CL821" s="14" t="n">
        <v>0</v>
      </c>
      <c r="CM821" s="14" t="n">
        <v>0</v>
      </c>
      <c r="CN821" s="14" t="n">
        <v>0</v>
      </c>
      <c r="CO821" s="14" t="n">
        <v>0</v>
      </c>
      <c r="CP821" s="14" t="n">
        <v>0</v>
      </c>
      <c r="CQ821" s="14" t="n">
        <v>1.294</v>
      </c>
      <c r="CR821" s="14" t="n">
        <v>0</v>
      </c>
      <c r="CS821" s="14" t="n">
        <v>5.158</v>
      </c>
      <c r="CT821" s="14" t="n">
        <v>10.485</v>
      </c>
      <c r="CU821" s="14" t="n">
        <v>29.494</v>
      </c>
    </row>
    <row r="822">
      <c r="A822" s="14" t="inlineStr">
        <is>
          <t>TCA2023</t>
        </is>
      </c>
      <c r="B822" s="14" t="inlineStr">
        <is>
          <t>TCA</t>
        </is>
      </c>
      <c r="C822" s="14" t="inlineStr">
        <is>
          <t>TCA</t>
        </is>
      </c>
      <c r="D822" s="14" t="inlineStr">
        <is>
          <t>Turks and Caicos Islands</t>
        </is>
      </c>
      <c r="E822" s="14" t="n">
        <v>2023</v>
      </c>
      <c r="F822" s="14" t="n">
        <v>0</v>
      </c>
      <c r="G822" s="14" t="n">
        <v>6.147</v>
      </c>
      <c r="H822" s="14" t="n">
        <v>1.286</v>
      </c>
      <c r="I822" s="14" t="n">
        <v>0</v>
      </c>
      <c r="J822" s="14" t="n">
        <v>6.147</v>
      </c>
      <c r="K822" s="14" t="n">
        <v>0</v>
      </c>
      <c r="L822" s="14" t="n">
        <v>1</v>
      </c>
      <c r="M822" s="14" t="n">
        <v>7.886</v>
      </c>
      <c r="N822" s="14" t="n">
        <v>3.857</v>
      </c>
      <c r="O822" s="14" t="n">
        <v>0</v>
      </c>
      <c r="P822" s="14" t="n">
        <v>7.886</v>
      </c>
      <c r="Q822" s="14" t="n">
        <v>0</v>
      </c>
      <c r="R822" s="14" t="n">
        <v>1</v>
      </c>
      <c r="S822" s="14" t="n">
        <v>12.575</v>
      </c>
      <c r="T822" s="14" t="n">
        <v>7.714</v>
      </c>
      <c r="U822" s="14" t="n">
        <v>0</v>
      </c>
      <c r="V822" s="14" t="n">
        <v>12.575</v>
      </c>
      <c r="W822" s="14" t="n">
        <v>0</v>
      </c>
      <c r="X822" s="14" t="n">
        <v>1</v>
      </c>
      <c r="Y822" s="14" t="n">
        <v>12.478</v>
      </c>
      <c r="Z822" s="14" t="n">
        <v>1.678</v>
      </c>
      <c r="AA822" s="14" t="n">
        <v>0</v>
      </c>
      <c r="AB822" s="14" t="n">
        <v>12.478</v>
      </c>
      <c r="AC822" s="14" t="n">
        <v>0</v>
      </c>
      <c r="AD822" s="14" t="n">
        <v>1</v>
      </c>
      <c r="AE822" s="14" t="n">
        <v>13.763</v>
      </c>
      <c r="AF822" s="14" t="n">
        <v>3.223</v>
      </c>
      <c r="AG822" s="14" t="n">
        <v>0</v>
      </c>
      <c r="AH822" s="14" t="n">
        <v>13.763</v>
      </c>
      <c r="AI822" s="14" t="n">
        <v>0</v>
      </c>
      <c r="AJ822" s="14" t="n">
        <v>1</v>
      </c>
      <c r="AK822" s="14" t="n">
        <v>21.477</v>
      </c>
      <c r="AL822" s="14" t="n">
        <v>11.54</v>
      </c>
      <c r="AM822" s="14" t="n">
        <v>0</v>
      </c>
      <c r="AN822" s="14" t="n">
        <v>21.477</v>
      </c>
      <c r="AO822" s="14" t="n">
        <v>0</v>
      </c>
      <c r="AP822" s="14" t="n">
        <v>1</v>
      </c>
      <c r="AQ822" s="14" t="n">
        <v>0.791</v>
      </c>
      <c r="AR822" s="14" t="n">
        <v>0.129</v>
      </c>
      <c r="AS822" s="14" t="n">
        <v>0</v>
      </c>
      <c r="AT822" s="14" t="n">
        <v>0.791</v>
      </c>
      <c r="AU822" s="14" t="n">
        <v>0</v>
      </c>
      <c r="AV822" s="14" t="n">
        <v>1</v>
      </c>
      <c r="AW822" s="14" t="n">
        <v>0.618</v>
      </c>
      <c r="AX822" s="14" t="n">
        <v>0.129</v>
      </c>
      <c r="AY822" s="14" t="n">
        <v>0</v>
      </c>
      <c r="AZ822" s="14" t="n">
        <v>0.618</v>
      </c>
      <c r="BA822" s="14" t="n">
        <v>0</v>
      </c>
      <c r="BB822" s="14" t="n">
        <v>1</v>
      </c>
      <c r="BC822" s="14" t="n">
        <v>0.554</v>
      </c>
      <c r="BD822" s="14" t="n">
        <v>0.129</v>
      </c>
      <c r="BE822" s="14" t="n">
        <v>0</v>
      </c>
      <c r="BF822" s="14" t="n">
        <v>0.554</v>
      </c>
      <c r="BG822" s="14" t="n">
        <v>0</v>
      </c>
      <c r="BH822" s="14" t="n">
        <v>1</v>
      </c>
      <c r="BI822" s="14" t="n">
        <v>0.5570000000000001</v>
      </c>
      <c r="BJ822" s="14" t="n">
        <v>0.129</v>
      </c>
      <c r="BK822" s="14" t="n">
        <v>0</v>
      </c>
      <c r="BL822" s="14" t="n">
        <v>0.5570000000000001</v>
      </c>
      <c r="BM822" s="14" t="n">
        <v>0</v>
      </c>
      <c r="BN822" s="14" t="n">
        <v>1</v>
      </c>
      <c r="BO822" s="14" t="n">
        <v>0</v>
      </c>
      <c r="BP822" s="14" t="n">
        <v>0</v>
      </c>
      <c r="BQ822" s="14" t="n">
        <v>0</v>
      </c>
      <c r="BR822" s="14" t="n">
        <v>0</v>
      </c>
      <c r="BS822" s="14" t="n">
        <v>1</v>
      </c>
      <c r="BT822" s="14" t="n">
        <v>0</v>
      </c>
      <c r="BU822" s="14" t="n">
        <v>0</v>
      </c>
      <c r="BV822" s="14" t="n">
        <v>0</v>
      </c>
      <c r="BW822" s="14" t="n">
        <v>0</v>
      </c>
      <c r="BX822" s="14" t="n">
        <v>1</v>
      </c>
      <c r="BY822" s="14" t="n">
        <v>13.254</v>
      </c>
      <c r="BZ822" s="14" t="n">
        <v>0</v>
      </c>
      <c r="CA822" s="14" t="n">
        <v>13.254</v>
      </c>
      <c r="CB822" s="14" t="n">
        <v>0</v>
      </c>
      <c r="CC822" s="14" t="n">
        <v>83.248</v>
      </c>
      <c r="CD822" s="14" t="n">
        <v>7.95</v>
      </c>
      <c r="CE822" s="14" t="n">
        <v>0</v>
      </c>
      <c r="CF822" s="14" t="n">
        <v>83.248</v>
      </c>
      <c r="CG822" s="14" t="n">
        <v>0</v>
      </c>
      <c r="CH822" s="14" t="n">
        <v>1</v>
      </c>
      <c r="CI822" s="14" t="n">
        <v>0</v>
      </c>
      <c r="CJ822" s="14" t="n">
        <v>0</v>
      </c>
      <c r="CK822" s="14" t="n">
        <v>0</v>
      </c>
      <c r="CL822" s="14" t="n">
        <v>0</v>
      </c>
      <c r="CM822" s="14" t="n">
        <v>0</v>
      </c>
      <c r="CN822" s="14" t="n">
        <v>0</v>
      </c>
      <c r="CO822" s="14" t="n">
        <v>0</v>
      </c>
      <c r="CP822" s="14" t="n">
        <v>0</v>
      </c>
      <c r="CQ822" s="14" t="n">
        <v>1.348</v>
      </c>
      <c r="CR822" s="14" t="n">
        <v>0</v>
      </c>
      <c r="CS822" s="14" t="n">
        <v>5.37</v>
      </c>
      <c r="CT822" s="14" t="n">
        <v>4.861</v>
      </c>
      <c r="CU822" s="14" t="n">
        <v>11.192</v>
      </c>
    </row>
    <row r="823">
      <c r="A823" s="14" t="inlineStr">
        <is>
          <t>TCA2024</t>
        </is>
      </c>
      <c r="B823" s="14" t="inlineStr">
        <is>
          <t>TCA</t>
        </is>
      </c>
      <c r="C823" s="14" t="inlineStr">
        <is>
          <t>TCA</t>
        </is>
      </c>
      <c r="D823" s="14" t="inlineStr">
        <is>
          <t>Turks and Caicos Islands</t>
        </is>
      </c>
      <c r="E823" s="14" t="n">
        <v>2024</v>
      </c>
      <c r="F823" s="14" t="n">
        <v>0</v>
      </c>
      <c r="G823" s="14" t="n">
        <v>5.575</v>
      </c>
      <c r="H823" s="14" t="n">
        <v>1.324</v>
      </c>
      <c r="I823" s="14" t="n">
        <v>0</v>
      </c>
      <c r="J823" s="14" t="n">
        <v>5.575</v>
      </c>
      <c r="K823" s="14" t="n">
        <v>0</v>
      </c>
      <c r="L823" s="14" t="n">
        <v>1</v>
      </c>
      <c r="M823" s="14" t="n">
        <v>7.124</v>
      </c>
      <c r="N823" s="14" t="n">
        <v>3.971</v>
      </c>
      <c r="O823" s="14" t="n">
        <v>0</v>
      </c>
      <c r="P823" s="14" t="n">
        <v>7.124</v>
      </c>
      <c r="Q823" s="14" t="n">
        <v>0</v>
      </c>
      <c r="R823" s="14" t="n">
        <v>1</v>
      </c>
      <c r="S823" s="14" t="n">
        <v>12.193</v>
      </c>
      <c r="T823" s="14" t="n">
        <v>7.942</v>
      </c>
      <c r="U823" s="14" t="n">
        <v>0</v>
      </c>
      <c r="V823" s="14" t="n">
        <v>12.193</v>
      </c>
      <c r="W823" s="14" t="n">
        <v>0</v>
      </c>
      <c r="X823" s="14" t="n">
        <v>1</v>
      </c>
      <c r="Y823" s="14" t="n">
        <v>11.447</v>
      </c>
      <c r="Z823" s="14" t="n">
        <v>1.54</v>
      </c>
      <c r="AA823" s="14" t="n">
        <v>0</v>
      </c>
      <c r="AB823" s="14" t="n">
        <v>11.447</v>
      </c>
      <c r="AC823" s="14" t="n">
        <v>0</v>
      </c>
      <c r="AD823" s="14" t="n">
        <v>1</v>
      </c>
      <c r="AE823" s="14" t="n">
        <v>12.771</v>
      </c>
      <c r="AF823" s="14" t="n">
        <v>2.991</v>
      </c>
      <c r="AG823" s="14" t="n">
        <v>0</v>
      </c>
      <c r="AH823" s="14" t="n">
        <v>12.771</v>
      </c>
      <c r="AI823" s="14" t="n">
        <v>0</v>
      </c>
      <c r="AJ823" s="14" t="n">
        <v>1</v>
      </c>
      <c r="AK823" s="14" t="n">
        <v>20.712</v>
      </c>
      <c r="AL823" s="14" t="n">
        <v>11.129</v>
      </c>
      <c r="AM823" s="14" t="n">
        <v>0</v>
      </c>
      <c r="AN823" s="14" t="n">
        <v>20.712</v>
      </c>
      <c r="AO823" s="14" t="n">
        <v>0</v>
      </c>
      <c r="AP823" s="14" t="n">
        <v>1</v>
      </c>
      <c r="AQ823" s="14" t="n">
        <v>0.756</v>
      </c>
      <c r="AR823" s="14" t="n">
        <v>0.132</v>
      </c>
      <c r="AS823" s="14" t="n">
        <v>0</v>
      </c>
      <c r="AT823" s="14" t="n">
        <v>0.756</v>
      </c>
      <c r="AU823" s="14" t="n">
        <v>0</v>
      </c>
      <c r="AV823" s="14" t="n">
        <v>1</v>
      </c>
      <c r="AW823" s="14" t="n">
        <v>0.655</v>
      </c>
      <c r="AX823" s="14" t="n">
        <v>0.132</v>
      </c>
      <c r="AY823" s="14" t="n">
        <v>0</v>
      </c>
      <c r="AZ823" s="14" t="n">
        <v>0.655</v>
      </c>
      <c r="BA823" s="14" t="n">
        <v>0</v>
      </c>
      <c r="BB823" s="14" t="n">
        <v>1</v>
      </c>
      <c r="BC823" s="14" t="n">
        <v>0.534</v>
      </c>
      <c r="BD823" s="14" t="n">
        <v>0.132</v>
      </c>
      <c r="BE823" s="14" t="n">
        <v>0</v>
      </c>
      <c r="BF823" s="14" t="n">
        <v>0.534</v>
      </c>
      <c r="BG823" s="14" t="n">
        <v>0</v>
      </c>
      <c r="BH823" s="14" t="n">
        <v>1</v>
      </c>
      <c r="BI823" s="14" t="n">
        <v>0.5679999999999999</v>
      </c>
      <c r="BJ823" s="14" t="n">
        <v>0.132</v>
      </c>
      <c r="BK823" s="14" t="n">
        <v>0</v>
      </c>
      <c r="BL823" s="14" t="n">
        <v>0.5679999999999999</v>
      </c>
      <c r="BM823" s="14" t="n">
        <v>0</v>
      </c>
      <c r="BN823" s="14" t="n">
        <v>1</v>
      </c>
      <c r="BO823" s="14" t="n">
        <v>0</v>
      </c>
      <c r="BP823" s="14" t="n">
        <v>0</v>
      </c>
      <c r="BQ823" s="14" t="n">
        <v>0</v>
      </c>
      <c r="BR823" s="14" t="n">
        <v>0</v>
      </c>
      <c r="BS823" s="14" t="n">
        <v>1</v>
      </c>
      <c r="BT823" s="14" t="n">
        <v>0</v>
      </c>
      <c r="BU823" s="14" t="n">
        <v>0</v>
      </c>
      <c r="BV823" s="14" t="n">
        <v>0</v>
      </c>
      <c r="BW823" s="14" t="n">
        <v>0</v>
      </c>
      <c r="BX823" s="14" t="n">
        <v>1</v>
      </c>
      <c r="BY823" s="14" t="n">
        <v>13.646</v>
      </c>
      <c r="BZ823" s="14" t="n">
        <v>0</v>
      </c>
      <c r="CA823" s="14" t="n">
        <v>13.646</v>
      </c>
      <c r="CB823" s="14" t="n">
        <v>0</v>
      </c>
      <c r="CC823" s="14" t="n">
        <v>82.58799999999999</v>
      </c>
      <c r="CD823" s="14" t="n">
        <v>7.95</v>
      </c>
      <c r="CE823" s="14" t="n">
        <v>0</v>
      </c>
      <c r="CF823" s="14" t="n">
        <v>82.58799999999999</v>
      </c>
      <c r="CG823" s="14" t="n">
        <v>0</v>
      </c>
      <c r="CH823" s="14" t="n">
        <v>1</v>
      </c>
      <c r="CI823" s="14" t="n">
        <v>0</v>
      </c>
      <c r="CJ823" s="14" t="n">
        <v>0</v>
      </c>
      <c r="CK823" s="14" t="n">
        <v>0</v>
      </c>
      <c r="CL823" s="14" t="n">
        <v>0</v>
      </c>
      <c r="CM823" s="14" t="n">
        <v>0</v>
      </c>
      <c r="CN823" s="14" t="n">
        <v>0</v>
      </c>
      <c r="CO823" s="14" t="n">
        <v>0</v>
      </c>
      <c r="CP823" s="14" t="n">
        <v>0</v>
      </c>
      <c r="CQ823" s="14" t="n">
        <v>1.387</v>
      </c>
      <c r="CR823" s="14" t="n">
        <v>0</v>
      </c>
      <c r="CS823" s="14" t="n">
        <v>5.529</v>
      </c>
      <c r="CT823" s="14" t="n">
        <v>4.251</v>
      </c>
      <c r="CU823" s="14" t="n">
        <v>10.123</v>
      </c>
    </row>
    <row r="824">
      <c r="A824" s="14" t="inlineStr">
        <is>
          <t>TUV2021</t>
        </is>
      </c>
      <c r="B824" s="14" t="inlineStr">
        <is>
          <t>TUV</t>
        </is>
      </c>
      <c r="C824" s="14" t="inlineStr">
        <is>
          <t>TUV</t>
        </is>
      </c>
      <c r="D824" s="14" t="inlineStr">
        <is>
          <t>Tuvalu</t>
        </is>
      </c>
      <c r="E824" s="14" t="n">
        <v>2021</v>
      </c>
      <c r="F824" s="14" t="n">
        <v>0</v>
      </c>
      <c r="G824" s="14" t="n">
        <v>4.747</v>
      </c>
      <c r="H824" s="14" t="n">
        <v>1.143</v>
      </c>
      <c r="I824" s="14" t="n">
        <v>0</v>
      </c>
      <c r="J824" s="14" t="n">
        <v>4.747</v>
      </c>
      <c r="K824" s="14" t="n">
        <v>0</v>
      </c>
      <c r="L824" s="14" t="n">
        <v>1</v>
      </c>
      <c r="M824" s="14" t="n">
        <v>7.964</v>
      </c>
      <c r="N824" s="14" t="n">
        <v>3.43</v>
      </c>
      <c r="O824" s="14" t="n">
        <v>0</v>
      </c>
      <c r="P824" s="14" t="n">
        <v>7.964</v>
      </c>
      <c r="Q824" s="14" t="n">
        <v>0</v>
      </c>
      <c r="R824" s="14" t="n">
        <v>1</v>
      </c>
      <c r="S824" s="14" t="n">
        <v>10.464</v>
      </c>
      <c r="T824" s="14" t="n">
        <v>6.86</v>
      </c>
      <c r="U824" s="14" t="n">
        <v>0</v>
      </c>
      <c r="V824" s="14" t="n">
        <v>10.464</v>
      </c>
      <c r="W824" s="14" t="n">
        <v>0</v>
      </c>
      <c r="X824" s="14" t="n">
        <v>1</v>
      </c>
      <c r="Y824" s="14" t="n">
        <v>10.551</v>
      </c>
      <c r="Z824" s="14" t="n">
        <v>1.302</v>
      </c>
      <c r="AA824" s="14" t="n">
        <v>0</v>
      </c>
      <c r="AB824" s="14" t="n">
        <v>10.551</v>
      </c>
      <c r="AC824" s="14" t="n">
        <v>0</v>
      </c>
      <c r="AD824" s="14" t="n">
        <v>1</v>
      </c>
      <c r="AE824" s="14" t="n">
        <v>11.694</v>
      </c>
      <c r="AF824" s="14" t="n">
        <v>2.549</v>
      </c>
      <c r="AG824" s="14" t="n">
        <v>0</v>
      </c>
      <c r="AH824" s="14" t="n">
        <v>11.694</v>
      </c>
      <c r="AI824" s="14" t="n">
        <v>0</v>
      </c>
      <c r="AJ824" s="14" t="n">
        <v>1</v>
      </c>
      <c r="AK824" s="14" t="n">
        <v>18.554</v>
      </c>
      <c r="AL824" s="14" t="n">
        <v>9.627000000000001</v>
      </c>
      <c r="AM824" s="14" t="n">
        <v>0</v>
      </c>
      <c r="AN824" s="14" t="n">
        <v>18.554</v>
      </c>
      <c r="AO824" s="14" t="n">
        <v>0</v>
      </c>
      <c r="AP824" s="14" t="n">
        <v>1</v>
      </c>
      <c r="AQ824" s="14" t="n">
        <v>0.621</v>
      </c>
      <c r="AR824" s="14" t="n">
        <v>0.114</v>
      </c>
      <c r="AS824" s="14" t="n">
        <v>0</v>
      </c>
      <c r="AT824" s="14" t="n">
        <v>0.621</v>
      </c>
      <c r="AU824" s="14" t="n">
        <v>0</v>
      </c>
      <c r="AV824" s="14" t="n">
        <v>1</v>
      </c>
      <c r="AW824" s="14" t="n">
        <v>0.593</v>
      </c>
      <c r="AX824" s="14" t="n">
        <v>0.114</v>
      </c>
      <c r="AY824" s="14" t="n">
        <v>0</v>
      </c>
      <c r="AZ824" s="14" t="n">
        <v>0.593</v>
      </c>
      <c r="BA824" s="14" t="n">
        <v>0</v>
      </c>
      <c r="BB824" s="14" t="n">
        <v>1</v>
      </c>
      <c r="BC824" s="14" t="n">
        <v>0.44</v>
      </c>
      <c r="BD824" s="14" t="n">
        <v>0.114</v>
      </c>
      <c r="BE824" s="14" t="n">
        <v>0</v>
      </c>
      <c r="BF824" s="14" t="n">
        <v>0.44</v>
      </c>
      <c r="BG824" s="14" t="n">
        <v>0</v>
      </c>
      <c r="BH824" s="14" t="n">
        <v>1</v>
      </c>
      <c r="BI824" s="14" t="n">
        <v>0.5600000000000001</v>
      </c>
      <c r="BJ824" s="14" t="n">
        <v>0.114</v>
      </c>
      <c r="BK824" s="14" t="n">
        <v>0</v>
      </c>
      <c r="BL824" s="14" t="n">
        <v>0.5600000000000001</v>
      </c>
      <c r="BM824" s="14" t="n">
        <v>0</v>
      </c>
      <c r="BN824" s="14" t="n">
        <v>1</v>
      </c>
      <c r="BO824" s="14" t="n">
        <v>0</v>
      </c>
      <c r="BP824" s="14" t="n">
        <v>0</v>
      </c>
      <c r="BQ824" s="14" t="n">
        <v>0</v>
      </c>
      <c r="BR824" s="14" t="n">
        <v>0</v>
      </c>
      <c r="BS824" s="14" t="n">
        <v>1</v>
      </c>
      <c r="BT824" s="14" t="n">
        <v>0</v>
      </c>
      <c r="BU824" s="14" t="n">
        <v>0</v>
      </c>
      <c r="BV824" s="14" t="n">
        <v>0</v>
      </c>
      <c r="BW824" s="14" t="n">
        <v>0</v>
      </c>
      <c r="BX824" s="14" t="n">
        <v>1</v>
      </c>
      <c r="BY824" s="14" t="n">
        <v>11.787</v>
      </c>
      <c r="BZ824" s="14" t="n">
        <v>0</v>
      </c>
      <c r="CA824" s="14" t="n">
        <v>11.787</v>
      </c>
      <c r="CB824" s="14" t="n">
        <v>0</v>
      </c>
      <c r="CC824" s="14" t="n">
        <v>81.69499999999999</v>
      </c>
      <c r="CD824" s="14" t="n">
        <v>7.95</v>
      </c>
      <c r="CE824" s="14" t="n">
        <v>0</v>
      </c>
      <c r="CF824" s="14" t="n">
        <v>81.69499999999999</v>
      </c>
      <c r="CG824" s="14" t="n">
        <v>0</v>
      </c>
      <c r="CH824" s="14" t="n">
        <v>1</v>
      </c>
      <c r="CI824" s="14" t="n">
        <v>0</v>
      </c>
      <c r="CJ824" s="14" t="n">
        <v>0</v>
      </c>
      <c r="CK824" s="14" t="n">
        <v>0</v>
      </c>
      <c r="CL824" s="14" t="n">
        <v>0</v>
      </c>
      <c r="CM824" s="14" t="n">
        <v>0</v>
      </c>
      <c r="CN824" s="14" t="n">
        <v>0</v>
      </c>
      <c r="CO824" s="14" t="n">
        <v>0</v>
      </c>
      <c r="CP824" s="14" t="n">
        <v>0</v>
      </c>
      <c r="CQ824" s="14" t="n">
        <v>1.198</v>
      </c>
      <c r="CR824" s="14" t="n">
        <v>0</v>
      </c>
      <c r="CS824" s="14" t="n">
        <v>4.776</v>
      </c>
      <c r="CT824" s="14" t="n">
        <v>3.604</v>
      </c>
      <c r="CU824" s="14" t="n">
        <v>9.407999999999999</v>
      </c>
    </row>
    <row r="825">
      <c r="A825" s="14" t="inlineStr">
        <is>
          <t>TUV2022</t>
        </is>
      </c>
      <c r="B825" s="14" t="inlineStr">
        <is>
          <t>TUV</t>
        </is>
      </c>
      <c r="C825" s="14" t="inlineStr">
        <is>
          <t>TUV</t>
        </is>
      </c>
      <c r="D825" s="14" t="inlineStr">
        <is>
          <t>Tuvalu</t>
        </is>
      </c>
      <c r="E825" s="14" t="n">
        <v>2022</v>
      </c>
      <c r="F825" s="14" t="n">
        <v>0</v>
      </c>
      <c r="G825" s="14" t="n">
        <v>8.788</v>
      </c>
      <c r="H825" s="14" t="n">
        <v>1.235</v>
      </c>
      <c r="I825" s="14" t="n">
        <v>0</v>
      </c>
      <c r="J825" s="14" t="n">
        <v>8.788</v>
      </c>
      <c r="K825" s="14" t="n">
        <v>0</v>
      </c>
      <c r="L825" s="14" t="n">
        <v>1</v>
      </c>
      <c r="M825" s="14" t="n">
        <v>9.782999999999999</v>
      </c>
      <c r="N825" s="14" t="n">
        <v>3.704</v>
      </c>
      <c r="O825" s="14" t="n">
        <v>0</v>
      </c>
      <c r="P825" s="14" t="n">
        <v>9.782999999999999</v>
      </c>
      <c r="Q825" s="14" t="n">
        <v>0</v>
      </c>
      <c r="R825" s="14" t="n">
        <v>1</v>
      </c>
      <c r="S825" s="14" t="n">
        <v>14.962</v>
      </c>
      <c r="T825" s="14" t="n">
        <v>7.408</v>
      </c>
      <c r="U825" s="14" t="n">
        <v>0</v>
      </c>
      <c r="V825" s="14" t="n">
        <v>14.962</v>
      </c>
      <c r="W825" s="14" t="n">
        <v>0</v>
      </c>
      <c r="X825" s="14" t="n">
        <v>1</v>
      </c>
      <c r="Y825" s="14" t="n">
        <v>17.332</v>
      </c>
      <c r="Z825" s="14" t="n">
        <v>2.139</v>
      </c>
      <c r="AA825" s="14" t="n">
        <v>0</v>
      </c>
      <c r="AB825" s="14" t="n">
        <v>17.332</v>
      </c>
      <c r="AC825" s="14" t="n">
        <v>0</v>
      </c>
      <c r="AD825" s="14" t="n">
        <v>1</v>
      </c>
      <c r="AE825" s="14" t="n">
        <v>18.566</v>
      </c>
      <c r="AF825" s="14" t="n">
        <v>4.048</v>
      </c>
      <c r="AG825" s="14" t="n">
        <v>0</v>
      </c>
      <c r="AH825" s="14" t="n">
        <v>18.566</v>
      </c>
      <c r="AI825" s="14" t="n">
        <v>0</v>
      </c>
      <c r="AJ825" s="14" t="n">
        <v>1</v>
      </c>
      <c r="AK825" s="14" t="n">
        <v>25.974</v>
      </c>
      <c r="AL825" s="14" t="n">
        <v>13.478</v>
      </c>
      <c r="AM825" s="14" t="n">
        <v>0</v>
      </c>
      <c r="AN825" s="14" t="n">
        <v>25.974</v>
      </c>
      <c r="AO825" s="14" t="n">
        <v>0</v>
      </c>
      <c r="AP825" s="14" t="n">
        <v>1</v>
      </c>
      <c r="AQ825" s="14" t="n">
        <v>0.847</v>
      </c>
      <c r="AR825" s="14" t="n">
        <v>0.123</v>
      </c>
      <c r="AS825" s="14" t="n">
        <v>0</v>
      </c>
      <c r="AT825" s="14" t="n">
        <v>0.847</v>
      </c>
      <c r="AU825" s="14" t="n">
        <v>0</v>
      </c>
      <c r="AV825" s="14" t="n">
        <v>1</v>
      </c>
      <c r="AW825" s="14" t="n">
        <v>0.947</v>
      </c>
      <c r="AX825" s="14" t="n">
        <v>0.123</v>
      </c>
      <c r="AY825" s="14" t="n">
        <v>0</v>
      </c>
      <c r="AZ825" s="14" t="n">
        <v>0.947</v>
      </c>
      <c r="BA825" s="14" t="n">
        <v>0</v>
      </c>
      <c r="BB825" s="14" t="n">
        <v>1</v>
      </c>
      <c r="BC825" s="14" t="n">
        <v>0.589</v>
      </c>
      <c r="BD825" s="14" t="n">
        <v>0.123</v>
      </c>
      <c r="BE825" s="14" t="n">
        <v>0</v>
      </c>
      <c r="BF825" s="14" t="n">
        <v>0.589</v>
      </c>
      <c r="BG825" s="14" t="n">
        <v>0</v>
      </c>
      <c r="BH825" s="14" t="n">
        <v>1</v>
      </c>
      <c r="BI825" s="14" t="n">
        <v>0.6889999999999999</v>
      </c>
      <c r="BJ825" s="14" t="n">
        <v>0.123</v>
      </c>
      <c r="BK825" s="14" t="n">
        <v>0</v>
      </c>
      <c r="BL825" s="14" t="n">
        <v>0.6889999999999999</v>
      </c>
      <c r="BM825" s="14" t="n">
        <v>0</v>
      </c>
      <c r="BN825" s="14" t="n">
        <v>1</v>
      </c>
      <c r="BO825" s="14" t="n">
        <v>0</v>
      </c>
      <c r="BP825" s="14" t="n">
        <v>0</v>
      </c>
      <c r="BQ825" s="14" t="n">
        <v>0</v>
      </c>
      <c r="BR825" s="14" t="n">
        <v>0</v>
      </c>
      <c r="BS825" s="14" t="n">
        <v>1</v>
      </c>
      <c r="BT825" s="14" t="n">
        <v>0</v>
      </c>
      <c r="BU825" s="14" t="n">
        <v>0</v>
      </c>
      <c r="BV825" s="14" t="n">
        <v>0</v>
      </c>
      <c r="BW825" s="14" t="n">
        <v>0</v>
      </c>
      <c r="BX825" s="14" t="n">
        <v>1</v>
      </c>
      <c r="BY825" s="14" t="n">
        <v>12.729</v>
      </c>
      <c r="BZ825" s="14" t="n">
        <v>0</v>
      </c>
      <c r="CA825" s="14" t="n">
        <v>12.729</v>
      </c>
      <c r="CB825" s="14" t="n">
        <v>0</v>
      </c>
      <c r="CC825" s="14" t="n">
        <v>102.477</v>
      </c>
      <c r="CD825" s="14" t="n">
        <v>7.95</v>
      </c>
      <c r="CE825" s="14" t="n">
        <v>0</v>
      </c>
      <c r="CF825" s="14" t="n">
        <v>102.477</v>
      </c>
      <c r="CG825" s="14" t="n">
        <v>0</v>
      </c>
      <c r="CH825" s="14" t="n">
        <v>1</v>
      </c>
      <c r="CI825" s="14" t="n">
        <v>0</v>
      </c>
      <c r="CJ825" s="14" t="n">
        <v>0</v>
      </c>
      <c r="CK825" s="14" t="n">
        <v>0</v>
      </c>
      <c r="CL825" s="14" t="n">
        <v>0</v>
      </c>
      <c r="CM825" s="14" t="n">
        <v>0</v>
      </c>
      <c r="CN825" s="14" t="n">
        <v>0</v>
      </c>
      <c r="CO825" s="14" t="n">
        <v>0</v>
      </c>
      <c r="CP825" s="14" t="n">
        <v>0</v>
      </c>
      <c r="CQ825" s="14" t="n">
        <v>1.294</v>
      </c>
      <c r="CR825" s="14" t="n">
        <v>0</v>
      </c>
      <c r="CS825" s="14" t="n">
        <v>5.158</v>
      </c>
      <c r="CT825" s="14" t="n">
        <v>7.554</v>
      </c>
      <c r="CU825" s="14" t="n">
        <v>16.097</v>
      </c>
    </row>
    <row r="826">
      <c r="A826" s="14" t="inlineStr">
        <is>
          <t>TUV2023</t>
        </is>
      </c>
      <c r="B826" s="14" t="inlineStr">
        <is>
          <t>TUV</t>
        </is>
      </c>
      <c r="C826" s="14" t="inlineStr">
        <is>
          <t>TUV</t>
        </is>
      </c>
      <c r="D826" s="14" t="inlineStr">
        <is>
          <t>Tuvalu</t>
        </is>
      </c>
      <c r="E826" s="14" t="n">
        <v>2023</v>
      </c>
      <c r="F826" s="14" t="n">
        <v>0</v>
      </c>
      <c r="G826" s="14" t="n">
        <v>5.77</v>
      </c>
      <c r="H826" s="14" t="n">
        <v>1.286</v>
      </c>
      <c r="I826" s="14" t="n">
        <v>0</v>
      </c>
      <c r="J826" s="14" t="n">
        <v>5.77</v>
      </c>
      <c r="K826" s="14" t="n">
        <v>0</v>
      </c>
      <c r="L826" s="14" t="n">
        <v>1</v>
      </c>
      <c r="M826" s="14" t="n">
        <v>7.886</v>
      </c>
      <c r="N826" s="14" t="n">
        <v>3.857</v>
      </c>
      <c r="O826" s="14" t="n">
        <v>0</v>
      </c>
      <c r="P826" s="14" t="n">
        <v>7.886</v>
      </c>
      <c r="Q826" s="14" t="n">
        <v>0</v>
      </c>
      <c r="R826" s="14" t="n">
        <v>1</v>
      </c>
      <c r="S826" s="14" t="n">
        <v>12.198</v>
      </c>
      <c r="T826" s="14" t="n">
        <v>7.714</v>
      </c>
      <c r="U826" s="14" t="n">
        <v>0</v>
      </c>
      <c r="V826" s="14" t="n">
        <v>12.198</v>
      </c>
      <c r="W826" s="14" t="n">
        <v>0</v>
      </c>
      <c r="X826" s="14" t="n">
        <v>1</v>
      </c>
      <c r="Y826" s="14" t="n">
        <v>13.814</v>
      </c>
      <c r="Z826" s="14" t="n">
        <v>1.705</v>
      </c>
      <c r="AA826" s="14" t="n">
        <v>0</v>
      </c>
      <c r="AB826" s="14" t="n">
        <v>13.814</v>
      </c>
      <c r="AC826" s="14" t="n">
        <v>0</v>
      </c>
      <c r="AD826" s="14" t="n">
        <v>1</v>
      </c>
      <c r="AE826" s="14" t="n">
        <v>15.1</v>
      </c>
      <c r="AF826" s="14" t="n">
        <v>3.292</v>
      </c>
      <c r="AG826" s="14" t="n">
        <v>0</v>
      </c>
      <c r="AH826" s="14" t="n">
        <v>15.1</v>
      </c>
      <c r="AI826" s="14" t="n">
        <v>0</v>
      </c>
      <c r="AJ826" s="14" t="n">
        <v>1</v>
      </c>
      <c r="AK826" s="14" t="n">
        <v>22.814</v>
      </c>
      <c r="AL826" s="14" t="n">
        <v>11.838</v>
      </c>
      <c r="AM826" s="14" t="n">
        <v>0</v>
      </c>
      <c r="AN826" s="14" t="n">
        <v>22.814</v>
      </c>
      <c r="AO826" s="14" t="n">
        <v>0</v>
      </c>
      <c r="AP826" s="14" t="n">
        <v>1</v>
      </c>
      <c r="AQ826" s="14" t="n">
        <v>0.749</v>
      </c>
      <c r="AR826" s="14" t="n">
        <v>0.129</v>
      </c>
      <c r="AS826" s="14" t="n">
        <v>0</v>
      </c>
      <c r="AT826" s="14" t="n">
        <v>0.749</v>
      </c>
      <c r="AU826" s="14" t="n">
        <v>0</v>
      </c>
      <c r="AV826" s="14" t="n">
        <v>1</v>
      </c>
      <c r="AW826" s="14" t="n">
        <v>0.783</v>
      </c>
      <c r="AX826" s="14" t="n">
        <v>0.129</v>
      </c>
      <c r="AY826" s="14" t="n">
        <v>0</v>
      </c>
      <c r="AZ826" s="14" t="n">
        <v>0.783</v>
      </c>
      <c r="BA826" s="14" t="n">
        <v>0</v>
      </c>
      <c r="BB826" s="14" t="n">
        <v>1</v>
      </c>
      <c r="BC826" s="14" t="n">
        <v>0.527</v>
      </c>
      <c r="BD826" s="14" t="n">
        <v>0.129</v>
      </c>
      <c r="BE826" s="14" t="n">
        <v>0</v>
      </c>
      <c r="BF826" s="14" t="n">
        <v>0.527</v>
      </c>
      <c r="BG826" s="14" t="n">
        <v>0</v>
      </c>
      <c r="BH826" s="14" t="n">
        <v>1</v>
      </c>
      <c r="BI826" s="14" t="n">
        <v>0.64</v>
      </c>
      <c r="BJ826" s="14" t="n">
        <v>0.129</v>
      </c>
      <c r="BK826" s="14" t="n">
        <v>0</v>
      </c>
      <c r="BL826" s="14" t="n">
        <v>0.64</v>
      </c>
      <c r="BM826" s="14" t="n">
        <v>0</v>
      </c>
      <c r="BN826" s="14" t="n">
        <v>1</v>
      </c>
      <c r="BO826" s="14" t="n">
        <v>0</v>
      </c>
      <c r="BP826" s="14" t="n">
        <v>0</v>
      </c>
      <c r="BQ826" s="14" t="n">
        <v>0</v>
      </c>
      <c r="BR826" s="14" t="n">
        <v>0</v>
      </c>
      <c r="BS826" s="14" t="n">
        <v>1</v>
      </c>
      <c r="BT826" s="14" t="n">
        <v>0</v>
      </c>
      <c r="BU826" s="14" t="n">
        <v>0</v>
      </c>
      <c r="BV826" s="14" t="n">
        <v>0</v>
      </c>
      <c r="BW826" s="14" t="n">
        <v>0</v>
      </c>
      <c r="BX826" s="14" t="n">
        <v>1</v>
      </c>
      <c r="BY826" s="14" t="n">
        <v>13.254</v>
      </c>
      <c r="BZ826" s="14" t="n">
        <v>0</v>
      </c>
      <c r="CA826" s="14" t="n">
        <v>13.254</v>
      </c>
      <c r="CB826" s="14" t="n">
        <v>0</v>
      </c>
      <c r="CC826" s="14" t="n">
        <v>87.07899999999999</v>
      </c>
      <c r="CD826" s="14" t="n">
        <v>7.95</v>
      </c>
      <c r="CE826" s="14" t="n">
        <v>0</v>
      </c>
      <c r="CF826" s="14" t="n">
        <v>87.07899999999999</v>
      </c>
      <c r="CG826" s="14" t="n">
        <v>0</v>
      </c>
      <c r="CH826" s="14" t="n">
        <v>1</v>
      </c>
      <c r="CI826" s="14" t="n">
        <v>0</v>
      </c>
      <c r="CJ826" s="14" t="n">
        <v>0</v>
      </c>
      <c r="CK826" s="14" t="n">
        <v>0</v>
      </c>
      <c r="CL826" s="14" t="n">
        <v>0</v>
      </c>
      <c r="CM826" s="14" t="n">
        <v>0</v>
      </c>
      <c r="CN826" s="14" t="n">
        <v>0</v>
      </c>
      <c r="CO826" s="14" t="n">
        <v>0</v>
      </c>
      <c r="CP826" s="14" t="n">
        <v>0</v>
      </c>
      <c r="CQ826" s="14" t="n">
        <v>1.348</v>
      </c>
      <c r="CR826" s="14" t="n">
        <v>0</v>
      </c>
      <c r="CS826" s="14" t="n">
        <v>5.37</v>
      </c>
      <c r="CT826" s="14" t="n">
        <v>4.484</v>
      </c>
      <c r="CU826" s="14" t="n">
        <v>12.529</v>
      </c>
    </row>
    <row r="827">
      <c r="A827" s="14" t="inlineStr">
        <is>
          <t>TUV2024</t>
        </is>
      </c>
      <c r="B827" s="14" t="inlineStr">
        <is>
          <t>TUV</t>
        </is>
      </c>
      <c r="C827" s="14" t="inlineStr">
        <is>
          <t>TUV</t>
        </is>
      </c>
      <c r="D827" s="14" t="inlineStr">
        <is>
          <t>Tuvalu</t>
        </is>
      </c>
      <c r="E827" s="14" t="n">
        <v>2024</v>
      </c>
      <c r="F827" s="14" t="n">
        <v>0</v>
      </c>
      <c r="G827" s="14" t="n">
        <v>4.833</v>
      </c>
      <c r="H827" s="14" t="n">
        <v>1.324</v>
      </c>
      <c r="I827" s="14" t="n">
        <v>0</v>
      </c>
      <c r="J827" s="14" t="n">
        <v>4.833</v>
      </c>
      <c r="K827" s="14" t="n">
        <v>0</v>
      </c>
      <c r="L827" s="14" t="n">
        <v>1</v>
      </c>
      <c r="M827" s="14" t="n">
        <v>7.124</v>
      </c>
      <c r="N827" s="14" t="n">
        <v>3.971</v>
      </c>
      <c r="O827" s="14" t="n">
        <v>0</v>
      </c>
      <c r="P827" s="14" t="n">
        <v>7.124</v>
      </c>
      <c r="Q827" s="14" t="n">
        <v>0</v>
      </c>
      <c r="R827" s="14" t="n">
        <v>1</v>
      </c>
      <c r="S827" s="14" t="n">
        <v>11.451</v>
      </c>
      <c r="T827" s="14" t="n">
        <v>7.942</v>
      </c>
      <c r="U827" s="14" t="n">
        <v>0</v>
      </c>
      <c r="V827" s="14" t="n">
        <v>11.451</v>
      </c>
      <c r="W827" s="14" t="n">
        <v>0</v>
      </c>
      <c r="X827" s="14" t="n">
        <v>1</v>
      </c>
      <c r="Y827" s="14" t="n">
        <v>12.219</v>
      </c>
      <c r="Z827" s="14" t="n">
        <v>1.508</v>
      </c>
      <c r="AA827" s="14" t="n">
        <v>0</v>
      </c>
      <c r="AB827" s="14" t="n">
        <v>12.219</v>
      </c>
      <c r="AC827" s="14" t="n">
        <v>0</v>
      </c>
      <c r="AD827" s="14" t="n">
        <v>1</v>
      </c>
      <c r="AE827" s="14" t="n">
        <v>13.543</v>
      </c>
      <c r="AF827" s="14" t="n">
        <v>2.952</v>
      </c>
      <c r="AG827" s="14" t="n">
        <v>0</v>
      </c>
      <c r="AH827" s="14" t="n">
        <v>13.543</v>
      </c>
      <c r="AI827" s="14" t="n">
        <v>0</v>
      </c>
      <c r="AJ827" s="14" t="n">
        <v>1</v>
      </c>
      <c r="AK827" s="14" t="n">
        <v>21.484</v>
      </c>
      <c r="AL827" s="14" t="n">
        <v>11.148</v>
      </c>
      <c r="AM827" s="14" t="n">
        <v>0</v>
      </c>
      <c r="AN827" s="14" t="n">
        <v>21.484</v>
      </c>
      <c r="AO827" s="14" t="n">
        <v>0</v>
      </c>
      <c r="AP827" s="14" t="n">
        <v>1</v>
      </c>
      <c r="AQ827" s="14" t="n">
        <v>0.72</v>
      </c>
      <c r="AR827" s="14" t="n">
        <v>0.132</v>
      </c>
      <c r="AS827" s="14" t="n">
        <v>0</v>
      </c>
      <c r="AT827" s="14" t="n">
        <v>0.72</v>
      </c>
      <c r="AU827" s="14" t="n">
        <v>0</v>
      </c>
      <c r="AV827" s="14" t="n">
        <v>1</v>
      </c>
      <c r="AW827" s="14" t="n">
        <v>0.734</v>
      </c>
      <c r="AX827" s="14" t="n">
        <v>0.132</v>
      </c>
      <c r="AY827" s="14" t="n">
        <v>0</v>
      </c>
      <c r="AZ827" s="14" t="n">
        <v>0.734</v>
      </c>
      <c r="BA827" s="14" t="n">
        <v>0</v>
      </c>
      <c r="BB827" s="14" t="n">
        <v>1</v>
      </c>
      <c r="BC827" s="14" t="n">
        <v>0.51</v>
      </c>
      <c r="BD827" s="14" t="n">
        <v>0.132</v>
      </c>
      <c r="BE827" s="14" t="n">
        <v>0</v>
      </c>
      <c r="BF827" s="14" t="n">
        <v>0.51</v>
      </c>
      <c r="BG827" s="14" t="n">
        <v>0</v>
      </c>
      <c r="BH827" s="14" t="n">
        <v>1</v>
      </c>
      <c r="BI827" s="14" t="n">
        <v>0.652</v>
      </c>
      <c r="BJ827" s="14" t="n">
        <v>0.132</v>
      </c>
      <c r="BK827" s="14" t="n">
        <v>0</v>
      </c>
      <c r="BL827" s="14" t="n">
        <v>0.652</v>
      </c>
      <c r="BM827" s="14" t="n">
        <v>0</v>
      </c>
      <c r="BN827" s="14" t="n">
        <v>1</v>
      </c>
      <c r="BO827" s="14" t="n">
        <v>0</v>
      </c>
      <c r="BP827" s="14" t="n">
        <v>0</v>
      </c>
      <c r="BQ827" s="14" t="n">
        <v>0</v>
      </c>
      <c r="BR827" s="14" t="n">
        <v>0</v>
      </c>
      <c r="BS827" s="14" t="n">
        <v>1</v>
      </c>
      <c r="BT827" s="14" t="n">
        <v>0</v>
      </c>
      <c r="BU827" s="14" t="n">
        <v>0</v>
      </c>
      <c r="BV827" s="14" t="n">
        <v>0</v>
      </c>
      <c r="BW827" s="14" t="n">
        <v>0</v>
      </c>
      <c r="BX827" s="14" t="n">
        <v>1</v>
      </c>
      <c r="BY827" s="14" t="n">
        <v>13.646</v>
      </c>
      <c r="BZ827" s="14" t="n">
        <v>0</v>
      </c>
      <c r="CA827" s="14" t="n">
        <v>13.646</v>
      </c>
      <c r="CB827" s="14" t="n">
        <v>0</v>
      </c>
      <c r="CC827" s="14" t="n">
        <v>86.38500000000001</v>
      </c>
      <c r="CD827" s="14" t="n">
        <v>7.95</v>
      </c>
      <c r="CE827" s="14" t="n">
        <v>0</v>
      </c>
      <c r="CF827" s="14" t="n">
        <v>86.38500000000001</v>
      </c>
      <c r="CG827" s="14" t="n">
        <v>0</v>
      </c>
      <c r="CH827" s="14" t="n">
        <v>1</v>
      </c>
      <c r="CI827" s="14" t="n">
        <v>0</v>
      </c>
      <c r="CJ827" s="14" t="n">
        <v>0</v>
      </c>
      <c r="CK827" s="14" t="n">
        <v>0</v>
      </c>
      <c r="CL827" s="14" t="n">
        <v>0</v>
      </c>
      <c r="CM827" s="14" t="n">
        <v>0</v>
      </c>
      <c r="CN827" s="14" t="n">
        <v>0</v>
      </c>
      <c r="CO827" s="14" t="n">
        <v>0</v>
      </c>
      <c r="CP827" s="14" t="n">
        <v>0</v>
      </c>
      <c r="CQ827" s="14" t="n">
        <v>1.387</v>
      </c>
      <c r="CR827" s="14" t="n">
        <v>0</v>
      </c>
      <c r="CS827" s="14" t="n">
        <v>5.529</v>
      </c>
      <c r="CT827" s="14" t="n">
        <v>3.509</v>
      </c>
      <c r="CU827" s="14" t="n">
        <v>10.896</v>
      </c>
    </row>
    <row r="828">
      <c r="A828" s="14" t="inlineStr">
        <is>
          <t>UGA2021</t>
        </is>
      </c>
      <c r="B828" s="14" t="inlineStr">
        <is>
          <t>UGA</t>
        </is>
      </c>
      <c r="C828" s="14" t="inlineStr">
        <is>
          <t>UGA</t>
        </is>
      </c>
      <c r="D828" s="14" t="inlineStr">
        <is>
          <t>Uganda</t>
        </is>
      </c>
      <c r="E828" s="14" t="n">
        <v>2021</v>
      </c>
      <c r="F828" s="14" t="n">
        <v>0.18</v>
      </c>
      <c r="G828" s="14" t="n">
        <v>5.897</v>
      </c>
      <c r="H828" s="14" t="n">
        <v>1.143</v>
      </c>
      <c r="I828" s="14" t="n">
        <v>0</v>
      </c>
      <c r="J828" s="14" t="n">
        <v>5.897</v>
      </c>
      <c r="K828" s="14" t="n">
        <v>0</v>
      </c>
      <c r="L828" s="14" t="n">
        <v>1</v>
      </c>
      <c r="M828" s="14" t="n">
        <v>7.964</v>
      </c>
      <c r="N828" s="14" t="n">
        <v>3.43</v>
      </c>
      <c r="O828" s="14" t="n">
        <v>0</v>
      </c>
      <c r="P828" s="14" t="n">
        <v>7.964</v>
      </c>
      <c r="Q828" s="14" t="n">
        <v>0</v>
      </c>
      <c r="R828" s="14" t="n">
        <v>1</v>
      </c>
      <c r="S828" s="14" t="n">
        <v>11.613</v>
      </c>
      <c r="T828" s="14" t="n">
        <v>6.86</v>
      </c>
      <c r="U828" s="14" t="n">
        <v>0</v>
      </c>
      <c r="V828" s="14" t="n">
        <v>13.704</v>
      </c>
      <c r="W828" s="14" t="n">
        <v>0.18</v>
      </c>
      <c r="X828" s="14" t="n">
        <v>1</v>
      </c>
      <c r="Y828" s="14" t="n">
        <v>16.222</v>
      </c>
      <c r="Z828" s="14" t="n">
        <v>2.193</v>
      </c>
      <c r="AA828" s="14" t="n">
        <v>0</v>
      </c>
      <c r="AB828" s="14" t="n">
        <v>16.222</v>
      </c>
      <c r="AC828" s="14" t="n">
        <v>0</v>
      </c>
      <c r="AD828" s="14" t="n">
        <v>1</v>
      </c>
      <c r="AE828" s="14" t="n">
        <v>17.366</v>
      </c>
      <c r="AF828" s="14" t="n">
        <v>4.061</v>
      </c>
      <c r="AG828" s="14" t="n">
        <v>0</v>
      </c>
      <c r="AH828" s="14" t="n">
        <v>17.366</v>
      </c>
      <c r="AI828" s="14" t="n">
        <v>0</v>
      </c>
      <c r="AJ828" s="14" t="n">
        <v>1</v>
      </c>
      <c r="AK828" s="14" t="n">
        <v>24.226</v>
      </c>
      <c r="AL828" s="14" t="n">
        <v>12.902</v>
      </c>
      <c r="AM828" s="14" t="n">
        <v>0</v>
      </c>
      <c r="AN828" s="14" t="n">
        <v>28.586</v>
      </c>
      <c r="AO828" s="14" t="n">
        <v>0.18</v>
      </c>
      <c r="AP828" s="14" t="n">
        <v>1</v>
      </c>
      <c r="AQ828" s="14" t="n">
        <v>0.619</v>
      </c>
      <c r="AR828" s="14" t="n">
        <v>0.114</v>
      </c>
      <c r="AS828" s="14" t="n">
        <v>0.332</v>
      </c>
      <c r="AT828" s="14" t="n">
        <v>1.123</v>
      </c>
      <c r="AU828" s="14" t="n">
        <v>0.18</v>
      </c>
      <c r="AV828" s="14" t="n">
        <v>1</v>
      </c>
      <c r="AW828" s="14" t="n">
        <v>0.599</v>
      </c>
      <c r="AX828" s="14" t="n">
        <v>0.114</v>
      </c>
      <c r="AY828" s="14" t="n">
        <v>0.273</v>
      </c>
      <c r="AZ828" s="14" t="n">
        <v>1.029</v>
      </c>
      <c r="BA828" s="14" t="n">
        <v>0.18</v>
      </c>
      <c r="BB828" s="14" t="n">
        <v>1</v>
      </c>
      <c r="BC828" s="14" t="n">
        <v>0.439</v>
      </c>
      <c r="BD828" s="14" t="n">
        <v>0.114</v>
      </c>
      <c r="BE828" s="14" t="n">
        <v>0</v>
      </c>
      <c r="BF828" s="14" t="n">
        <v>0.518</v>
      </c>
      <c r="BG828" s="14" t="n">
        <v>0.18</v>
      </c>
      <c r="BH828" s="14" t="n">
        <v>1</v>
      </c>
      <c r="BI828" s="14" t="n">
        <v>0.505</v>
      </c>
      <c r="BJ828" s="14" t="n">
        <v>0.114</v>
      </c>
      <c r="BK828" s="14" t="n">
        <v>0.275</v>
      </c>
      <c r="BL828" s="14" t="n">
        <v>0.921</v>
      </c>
      <c r="BM828" s="14" t="n">
        <v>0.18</v>
      </c>
      <c r="BN828" s="14" t="n">
        <v>1</v>
      </c>
      <c r="BO828" s="14" t="n">
        <v>0</v>
      </c>
      <c r="BP828" s="14" t="n">
        <v>0</v>
      </c>
      <c r="BQ828" s="14" t="n">
        <v>0.097</v>
      </c>
      <c r="BR828" s="14" t="n">
        <v>0</v>
      </c>
      <c r="BS828" s="14" t="n">
        <v>0.833</v>
      </c>
      <c r="BT828" s="14" t="n">
        <v>0</v>
      </c>
      <c r="BU828" s="14" t="n">
        <v>0</v>
      </c>
      <c r="BV828" s="14" t="n">
        <v>0.208</v>
      </c>
      <c r="BW828" s="14" t="n">
        <v>0.18</v>
      </c>
      <c r="BX828" s="14" t="n">
        <v>1</v>
      </c>
      <c r="BY828" s="14" t="n">
        <v>11.787</v>
      </c>
      <c r="BZ828" s="14" t="n">
        <v>0</v>
      </c>
      <c r="CA828" s="14" t="n">
        <v>11.787</v>
      </c>
      <c r="CB828" s="14" t="n">
        <v>0</v>
      </c>
      <c r="CC828" s="14" t="n">
        <v>78.125</v>
      </c>
      <c r="CD828" s="14" t="n">
        <v>7.95</v>
      </c>
      <c r="CE828" s="14" t="n">
        <v>38.776</v>
      </c>
      <c r="CF828" s="14" t="n">
        <v>137.943</v>
      </c>
      <c r="CG828" s="14" t="n">
        <v>0.18</v>
      </c>
      <c r="CH828" s="14" t="n">
        <v>1</v>
      </c>
      <c r="CI828" s="14" t="n">
        <v>0</v>
      </c>
      <c r="CJ828" s="14" t="n">
        <v>0</v>
      </c>
      <c r="CK828" s="14" t="n">
        <v>0</v>
      </c>
      <c r="CL828" s="14" t="n">
        <v>0</v>
      </c>
      <c r="CM828" s="14" t="n">
        <v>0</v>
      </c>
      <c r="CN828" s="14" t="n">
        <v>0</v>
      </c>
      <c r="CO828" s="14" t="n">
        <v>0</v>
      </c>
      <c r="CP828" s="14" t="n">
        <v>0</v>
      </c>
      <c r="CQ828" s="14" t="n">
        <v>1.198</v>
      </c>
      <c r="CR828" s="14" t="n">
        <v>0</v>
      </c>
      <c r="CS828" s="14" t="n">
        <v>4.776</v>
      </c>
      <c r="CT828" s="14" t="n">
        <v>4.753</v>
      </c>
      <c r="CU828" s="14" t="n">
        <v>15.162</v>
      </c>
    </row>
    <row r="829">
      <c r="A829" s="14" t="inlineStr">
        <is>
          <t>UGA2022</t>
        </is>
      </c>
      <c r="B829" s="14" t="inlineStr">
        <is>
          <t>UGA</t>
        </is>
      </c>
      <c r="C829" s="14" t="inlineStr">
        <is>
          <t>UGA</t>
        </is>
      </c>
      <c r="D829" s="14" t="inlineStr">
        <is>
          <t>Uganda</t>
        </is>
      </c>
      <c r="E829" s="14" t="n">
        <v>2022</v>
      </c>
      <c r="F829" s="14" t="n">
        <v>0.18</v>
      </c>
      <c r="G829" s="14" t="n">
        <v>11.72</v>
      </c>
      <c r="H829" s="14" t="n">
        <v>1.235</v>
      </c>
      <c r="I829" s="14" t="n">
        <v>0</v>
      </c>
      <c r="J829" s="14" t="n">
        <v>11.72</v>
      </c>
      <c r="K829" s="14" t="n">
        <v>0</v>
      </c>
      <c r="L829" s="14" t="n">
        <v>1</v>
      </c>
      <c r="M829" s="14" t="n">
        <v>9.782999999999999</v>
      </c>
      <c r="N829" s="14" t="n">
        <v>3.704</v>
      </c>
      <c r="O829" s="14" t="n">
        <v>0</v>
      </c>
      <c r="P829" s="14" t="n">
        <v>9.782999999999999</v>
      </c>
      <c r="Q829" s="14" t="n">
        <v>0</v>
      </c>
      <c r="R829" s="14" t="n">
        <v>1</v>
      </c>
      <c r="S829" s="14" t="n">
        <v>17.893</v>
      </c>
      <c r="T829" s="14" t="n">
        <v>7.408</v>
      </c>
      <c r="U829" s="14" t="n">
        <v>0.238</v>
      </c>
      <c r="V829" s="14" t="n">
        <v>21.114</v>
      </c>
      <c r="W829" s="14" t="n">
        <v>0.18</v>
      </c>
      <c r="X829" s="14" t="n">
        <v>1</v>
      </c>
      <c r="Y829" s="14" t="n">
        <v>32.521</v>
      </c>
      <c r="Z829" s="14" t="n">
        <v>4.395</v>
      </c>
      <c r="AA829" s="14" t="n">
        <v>0</v>
      </c>
      <c r="AB829" s="14" t="n">
        <v>32.521</v>
      </c>
      <c r="AC829" s="14" t="n">
        <v>0</v>
      </c>
      <c r="AD829" s="14" t="n">
        <v>1</v>
      </c>
      <c r="AE829" s="14" t="n">
        <v>33.755</v>
      </c>
      <c r="AF829" s="14" t="n">
        <v>7.893</v>
      </c>
      <c r="AG829" s="14" t="n">
        <v>0</v>
      </c>
      <c r="AH829" s="14" t="n">
        <v>33.755</v>
      </c>
      <c r="AI829" s="14" t="n">
        <v>0</v>
      </c>
      <c r="AJ829" s="14" t="n">
        <v>1</v>
      </c>
      <c r="AK829" s="14" t="n">
        <v>41.163</v>
      </c>
      <c r="AL829" s="14" t="n">
        <v>21.923</v>
      </c>
      <c r="AM829" s="14" t="n">
        <v>0.548</v>
      </c>
      <c r="AN829" s="14" t="n">
        <v>48.573</v>
      </c>
      <c r="AO829" s="14" t="n">
        <v>0.18</v>
      </c>
      <c r="AP829" s="14" t="n">
        <v>1</v>
      </c>
      <c r="AQ829" s="14" t="n">
        <v>0.861</v>
      </c>
      <c r="AR829" s="14" t="n">
        <v>0.123</v>
      </c>
      <c r="AS829" s="14" t="n">
        <v>0.386</v>
      </c>
      <c r="AT829" s="14" t="n">
        <v>1.472</v>
      </c>
      <c r="AU829" s="14" t="n">
        <v>0.18</v>
      </c>
      <c r="AV829" s="14" t="n">
        <v>1</v>
      </c>
      <c r="AW829" s="14" t="n">
        <v>0.986</v>
      </c>
      <c r="AX829" s="14" t="n">
        <v>0.123</v>
      </c>
      <c r="AY829" s="14" t="n">
        <v>0.183</v>
      </c>
      <c r="AZ829" s="14" t="n">
        <v>1.38</v>
      </c>
      <c r="BA829" s="14" t="n">
        <v>0.18</v>
      </c>
      <c r="BB829" s="14" t="n">
        <v>1</v>
      </c>
      <c r="BC829" s="14" t="n">
        <v>0.598</v>
      </c>
      <c r="BD829" s="14" t="n">
        <v>0.123</v>
      </c>
      <c r="BE829" s="14" t="n">
        <v>0.008</v>
      </c>
      <c r="BF829" s="14" t="n">
        <v>0.705</v>
      </c>
      <c r="BG829" s="14" t="n">
        <v>0.18</v>
      </c>
      <c r="BH829" s="14" t="n">
        <v>1</v>
      </c>
      <c r="BI829" s="14" t="n">
        <v>0.612</v>
      </c>
      <c r="BJ829" s="14" t="n">
        <v>0.123</v>
      </c>
      <c r="BK829" s="14" t="n">
        <v>0.216</v>
      </c>
      <c r="BL829" s="14" t="n">
        <v>0.977</v>
      </c>
      <c r="BM829" s="14" t="n">
        <v>0.18</v>
      </c>
      <c r="BN829" s="14" t="n">
        <v>1</v>
      </c>
      <c r="BO829" s="14" t="n">
        <v>0</v>
      </c>
      <c r="BP829" s="14" t="n">
        <v>0</v>
      </c>
      <c r="BQ829" s="14" t="n">
        <v>0.102</v>
      </c>
      <c r="BR829" s="14" t="n">
        <v>0</v>
      </c>
      <c r="BS829" s="14" t="n">
        <v>0.833</v>
      </c>
      <c r="BT829" s="14" t="n">
        <v>0</v>
      </c>
      <c r="BU829" s="14" t="n">
        <v>0</v>
      </c>
      <c r="BV829" s="14" t="n">
        <v>0.222</v>
      </c>
      <c r="BW829" s="14" t="n">
        <v>0.18</v>
      </c>
      <c r="BX829" s="14" t="n">
        <v>1</v>
      </c>
      <c r="BY829" s="14" t="n">
        <v>12.729</v>
      </c>
      <c r="BZ829" s="14" t="n">
        <v>0</v>
      </c>
      <c r="CA829" s="14" t="n">
        <v>12.729</v>
      </c>
      <c r="CB829" s="14" t="n">
        <v>0</v>
      </c>
      <c r="CC829" s="14" t="n">
        <v>97.90000000000001</v>
      </c>
      <c r="CD829" s="14" t="n">
        <v>7.95</v>
      </c>
      <c r="CE829" s="14" t="n">
        <v>53.103</v>
      </c>
      <c r="CF829" s="14" t="n">
        <v>178.184</v>
      </c>
      <c r="CG829" s="14" t="n">
        <v>0.18</v>
      </c>
      <c r="CH829" s="14" t="n">
        <v>1</v>
      </c>
      <c r="CI829" s="14" t="n">
        <v>0</v>
      </c>
      <c r="CJ829" s="14" t="n">
        <v>0</v>
      </c>
      <c r="CK829" s="14" t="n">
        <v>0</v>
      </c>
      <c r="CL829" s="14" t="n">
        <v>0</v>
      </c>
      <c r="CM829" s="14" t="n">
        <v>0</v>
      </c>
      <c r="CN829" s="14" t="n">
        <v>0</v>
      </c>
      <c r="CO829" s="14" t="n">
        <v>0</v>
      </c>
      <c r="CP829" s="14" t="n">
        <v>0</v>
      </c>
      <c r="CQ829" s="14" t="n">
        <v>1.294</v>
      </c>
      <c r="CR829" s="14" t="n">
        <v>0</v>
      </c>
      <c r="CS829" s="14" t="n">
        <v>5.158</v>
      </c>
      <c r="CT829" s="14" t="n">
        <v>10.485</v>
      </c>
      <c r="CU829" s="14" t="n">
        <v>31.326</v>
      </c>
    </row>
    <row r="830">
      <c r="A830" s="14" t="inlineStr">
        <is>
          <t>UGA2023</t>
        </is>
      </c>
      <c r="B830" s="14" t="inlineStr">
        <is>
          <t>UGA</t>
        </is>
      </c>
      <c r="C830" s="14" t="inlineStr">
        <is>
          <t>UGA</t>
        </is>
      </c>
      <c r="D830" s="14" t="inlineStr">
        <is>
          <t>Uganda</t>
        </is>
      </c>
      <c r="E830" s="14" t="n">
        <v>2023</v>
      </c>
      <c r="F830" s="14" t="n">
        <v>0.18</v>
      </c>
      <c r="G830" s="14" t="n">
        <v>6.147</v>
      </c>
      <c r="H830" s="14" t="n">
        <v>1.286</v>
      </c>
      <c r="I830" s="14" t="n">
        <v>0</v>
      </c>
      <c r="J830" s="14" t="n">
        <v>6.147</v>
      </c>
      <c r="K830" s="14" t="n">
        <v>0</v>
      </c>
      <c r="L830" s="14" t="n">
        <v>1</v>
      </c>
      <c r="M830" s="14" t="n">
        <v>7.886</v>
      </c>
      <c r="N830" s="14" t="n">
        <v>3.857</v>
      </c>
      <c r="O830" s="14" t="n">
        <v>0</v>
      </c>
      <c r="P830" s="14" t="n">
        <v>7.886</v>
      </c>
      <c r="Q830" s="14" t="n">
        <v>0</v>
      </c>
      <c r="R830" s="14" t="n">
        <v>1</v>
      </c>
      <c r="S830" s="14" t="n">
        <v>12.575</v>
      </c>
      <c r="T830" s="14" t="n">
        <v>7.714</v>
      </c>
      <c r="U830" s="14" t="n">
        <v>0.251</v>
      </c>
      <c r="V830" s="14" t="n">
        <v>14.839</v>
      </c>
      <c r="W830" s="14" t="n">
        <v>0.18</v>
      </c>
      <c r="X830" s="14" t="n">
        <v>1</v>
      </c>
      <c r="Y830" s="14" t="n">
        <v>12.019</v>
      </c>
      <c r="Z830" s="14" t="n">
        <v>1.624</v>
      </c>
      <c r="AA830" s="14" t="n">
        <v>0</v>
      </c>
      <c r="AB830" s="14" t="n">
        <v>12.019</v>
      </c>
      <c r="AC830" s="14" t="n">
        <v>0</v>
      </c>
      <c r="AD830" s="14" t="n">
        <v>1</v>
      </c>
      <c r="AE830" s="14" t="n">
        <v>13.305</v>
      </c>
      <c r="AF830" s="14" t="n">
        <v>3.111</v>
      </c>
      <c r="AG830" s="14" t="n">
        <v>0</v>
      </c>
      <c r="AH830" s="14" t="n">
        <v>13.305</v>
      </c>
      <c r="AI830" s="14" t="n">
        <v>0</v>
      </c>
      <c r="AJ830" s="14" t="n">
        <v>1</v>
      </c>
      <c r="AK830" s="14" t="n">
        <v>21.019</v>
      </c>
      <c r="AL830" s="14" t="n">
        <v>11.194</v>
      </c>
      <c r="AM830" s="14" t="n">
        <v>0.419</v>
      </c>
      <c r="AN830" s="14" t="n">
        <v>24.802</v>
      </c>
      <c r="AO830" s="14" t="n">
        <v>0.18</v>
      </c>
      <c r="AP830" s="14" t="n">
        <v>1</v>
      </c>
      <c r="AQ830" s="14" t="n">
        <v>0.76</v>
      </c>
      <c r="AR830" s="14" t="n">
        <v>0.129</v>
      </c>
      <c r="AS830" s="14" t="n">
        <v>0.458</v>
      </c>
      <c r="AT830" s="14" t="n">
        <v>1.438</v>
      </c>
      <c r="AU830" s="14" t="n">
        <v>0.18</v>
      </c>
      <c r="AV830" s="14" t="n">
        <v>1</v>
      </c>
      <c r="AW830" s="14" t="n">
        <v>0.8110000000000001</v>
      </c>
      <c r="AX830" s="14" t="n">
        <v>0.129</v>
      </c>
      <c r="AY830" s="14" t="n">
        <v>0.292</v>
      </c>
      <c r="AZ830" s="14" t="n">
        <v>1.302</v>
      </c>
      <c r="BA830" s="14" t="n">
        <v>0.18</v>
      </c>
      <c r="BB830" s="14" t="n">
        <v>1</v>
      </c>
      <c r="BC830" s="14" t="n">
        <v>0.535</v>
      </c>
      <c r="BD830" s="14" t="n">
        <v>0.129</v>
      </c>
      <c r="BE830" s="14" t="n">
        <v>0.011</v>
      </c>
      <c r="BF830" s="14" t="n">
        <v>0.631</v>
      </c>
      <c r="BG830" s="14" t="n">
        <v>0.18</v>
      </c>
      <c r="BH830" s="14" t="n">
        <v>1</v>
      </c>
      <c r="BI830" s="14" t="n">
        <v>0.579</v>
      </c>
      <c r="BJ830" s="14" t="n">
        <v>0.129</v>
      </c>
      <c r="BK830" s="14" t="n">
        <v>0.259</v>
      </c>
      <c r="BL830" s="14" t="n">
        <v>0.97</v>
      </c>
      <c r="BM830" s="14" t="n">
        <v>0.18</v>
      </c>
      <c r="BN830" s="14" t="n">
        <v>1</v>
      </c>
      <c r="BO830" s="14" t="n">
        <v>0</v>
      </c>
      <c r="BP830" s="14" t="n">
        <v>0</v>
      </c>
      <c r="BQ830" s="14" t="n">
        <v>0.106</v>
      </c>
      <c r="BR830" s="14" t="n">
        <v>0</v>
      </c>
      <c r="BS830" s="14" t="n">
        <v>0.833</v>
      </c>
      <c r="BT830" s="14" t="n">
        <v>0</v>
      </c>
      <c r="BU830" s="14" t="n">
        <v>0</v>
      </c>
      <c r="BV830" s="14" t="n">
        <v>0.217</v>
      </c>
      <c r="BW830" s="14" t="n">
        <v>0.18</v>
      </c>
      <c r="BX830" s="14" t="n">
        <v>1</v>
      </c>
      <c r="BY830" s="14" t="n">
        <v>13.254</v>
      </c>
      <c r="BZ830" s="14" t="n">
        <v>0</v>
      </c>
      <c r="CA830" s="14" t="n">
        <v>13.254</v>
      </c>
      <c r="CB830" s="14" t="n">
        <v>0</v>
      </c>
      <c r="CC830" s="14" t="n">
        <v>83.248</v>
      </c>
      <c r="CD830" s="14" t="n">
        <v>7.95</v>
      </c>
      <c r="CE830" s="14" t="n">
        <v>65.199</v>
      </c>
      <c r="CF830" s="14" t="n">
        <v>171.745</v>
      </c>
      <c r="CG830" s="14" t="n">
        <v>0.18</v>
      </c>
      <c r="CH830" s="14" t="n">
        <v>1</v>
      </c>
      <c r="CI830" s="14" t="n">
        <v>0</v>
      </c>
      <c r="CJ830" s="14" t="n">
        <v>0</v>
      </c>
      <c r="CK830" s="14" t="n">
        <v>0</v>
      </c>
      <c r="CL830" s="14" t="n">
        <v>0</v>
      </c>
      <c r="CM830" s="14" t="n">
        <v>0</v>
      </c>
      <c r="CN830" s="14" t="n">
        <v>0</v>
      </c>
      <c r="CO830" s="14" t="n">
        <v>0</v>
      </c>
      <c r="CP830" s="14" t="n">
        <v>0</v>
      </c>
      <c r="CQ830" s="14" t="n">
        <v>1.348</v>
      </c>
      <c r="CR830" s="14" t="n">
        <v>0</v>
      </c>
      <c r="CS830" s="14" t="n">
        <v>5.37</v>
      </c>
      <c r="CT830" s="14" t="n">
        <v>4.861</v>
      </c>
      <c r="CU830" s="14" t="n">
        <v>11.622</v>
      </c>
    </row>
    <row r="831">
      <c r="A831" s="14" t="inlineStr">
        <is>
          <t>UGA2024</t>
        </is>
      </c>
      <c r="B831" s="14" t="inlineStr">
        <is>
          <t>UGA</t>
        </is>
      </c>
      <c r="C831" s="14" t="inlineStr">
        <is>
          <t>UGA</t>
        </is>
      </c>
      <c r="D831" s="14" t="inlineStr">
        <is>
          <t>Uganda</t>
        </is>
      </c>
      <c r="E831" s="14" t="n">
        <v>2024</v>
      </c>
      <c r="F831" s="14" t="n">
        <v>0.18</v>
      </c>
      <c r="G831" s="14" t="n">
        <v>5.575</v>
      </c>
      <c r="H831" s="14" t="n">
        <v>1.324</v>
      </c>
      <c r="I831" s="14" t="n">
        <v>0</v>
      </c>
      <c r="J831" s="14" t="n">
        <v>5.575</v>
      </c>
      <c r="K831" s="14" t="n">
        <v>0</v>
      </c>
      <c r="L831" s="14" t="n">
        <v>1</v>
      </c>
      <c r="M831" s="14" t="n">
        <v>7.124</v>
      </c>
      <c r="N831" s="14" t="n">
        <v>3.971</v>
      </c>
      <c r="O831" s="14" t="n">
        <v>0</v>
      </c>
      <c r="P831" s="14" t="n">
        <v>7.124</v>
      </c>
      <c r="Q831" s="14" t="n">
        <v>0</v>
      </c>
      <c r="R831" s="14" t="n">
        <v>1</v>
      </c>
      <c r="S831" s="14" t="n">
        <v>12.193</v>
      </c>
      <c r="T831" s="14" t="n">
        <v>7.942</v>
      </c>
      <c r="U831" s="14" t="n">
        <v>0.299</v>
      </c>
      <c r="V831" s="14" t="n">
        <v>14.388</v>
      </c>
      <c r="W831" s="14" t="n">
        <v>0.18</v>
      </c>
      <c r="X831" s="14" t="n">
        <v>1</v>
      </c>
      <c r="Y831" s="14" t="n">
        <v>10.789</v>
      </c>
      <c r="Z831" s="14" t="n">
        <v>1.458</v>
      </c>
      <c r="AA831" s="14" t="n">
        <v>0</v>
      </c>
      <c r="AB831" s="14" t="n">
        <v>10.789</v>
      </c>
      <c r="AC831" s="14" t="n">
        <v>0</v>
      </c>
      <c r="AD831" s="14" t="n">
        <v>1</v>
      </c>
      <c r="AE831" s="14" t="n">
        <v>12.112</v>
      </c>
      <c r="AF831" s="14" t="n">
        <v>2.832</v>
      </c>
      <c r="AG831" s="14" t="n">
        <v>0</v>
      </c>
      <c r="AH831" s="14" t="n">
        <v>12.112</v>
      </c>
      <c r="AI831" s="14" t="n">
        <v>0</v>
      </c>
      <c r="AJ831" s="14" t="n">
        <v>1</v>
      </c>
      <c r="AK831" s="14" t="n">
        <v>20.054</v>
      </c>
      <c r="AL831" s="14" t="n">
        <v>10.681</v>
      </c>
      <c r="AM831" s="14" t="n">
        <v>0.492</v>
      </c>
      <c r="AN831" s="14" t="n">
        <v>23.664</v>
      </c>
      <c r="AO831" s="14" t="n">
        <v>0.18</v>
      </c>
      <c r="AP831" s="14" t="n">
        <v>1</v>
      </c>
      <c r="AQ831" s="14" t="n">
        <v>0.724</v>
      </c>
      <c r="AR831" s="14" t="n">
        <v>0.132</v>
      </c>
      <c r="AS831" s="14" t="n">
        <v>0.513</v>
      </c>
      <c r="AT831" s="14" t="n">
        <v>1.425</v>
      </c>
      <c r="AU831" s="14" t="n">
        <v>0.18</v>
      </c>
      <c r="AV831" s="14" t="n">
        <v>1</v>
      </c>
      <c r="AW831" s="14" t="n">
        <v>0.75</v>
      </c>
      <c r="AX831" s="14" t="n">
        <v>0.132</v>
      </c>
      <c r="AY831" s="14" t="n">
        <v>0.36</v>
      </c>
      <c r="AZ831" s="14" t="n">
        <v>1.279</v>
      </c>
      <c r="BA831" s="14" t="n">
        <v>0.18</v>
      </c>
      <c r="BB831" s="14" t="n">
        <v>1</v>
      </c>
      <c r="BC831" s="14" t="n">
        <v>0.513</v>
      </c>
      <c r="BD831" s="14" t="n">
        <v>0.132</v>
      </c>
      <c r="BE831" s="14" t="n">
        <v>0.013</v>
      </c>
      <c r="BF831" s="14" t="n">
        <v>0.605</v>
      </c>
      <c r="BG831" s="14" t="n">
        <v>0.18</v>
      </c>
      <c r="BH831" s="14" t="n">
        <v>1</v>
      </c>
      <c r="BI831" s="14" t="n">
        <v>0.591</v>
      </c>
      <c r="BJ831" s="14" t="n">
        <v>0.132</v>
      </c>
      <c r="BK831" s="14" t="n">
        <v>0.272</v>
      </c>
      <c r="BL831" s="14" t="n">
        <v>0.994</v>
      </c>
      <c r="BM831" s="14" t="n">
        <v>0.18</v>
      </c>
      <c r="BN831" s="14" t="n">
        <v>1</v>
      </c>
      <c r="BO831" s="14" t="n">
        <v>0</v>
      </c>
      <c r="BP831" s="14" t="n">
        <v>0</v>
      </c>
      <c r="BQ831" s="14" t="n">
        <v>0.08400000000000001</v>
      </c>
      <c r="BR831" s="14" t="n">
        <v>0</v>
      </c>
      <c r="BS831" s="14" t="n">
        <v>0.833</v>
      </c>
      <c r="BT831" s="14" t="n">
        <v>0</v>
      </c>
      <c r="BU831" s="14" t="n">
        <v>0</v>
      </c>
      <c r="BV831" s="14" t="n">
        <v>0.195</v>
      </c>
      <c r="BW831" s="14" t="n">
        <v>0.18</v>
      </c>
      <c r="BX831" s="14" t="n">
        <v>1</v>
      </c>
      <c r="BY831" s="14" t="n">
        <v>13.646</v>
      </c>
      <c r="BZ831" s="14" t="n">
        <v>0</v>
      </c>
      <c r="CA831" s="14" t="n">
        <v>13.646</v>
      </c>
      <c r="CB831" s="14" t="n">
        <v>0</v>
      </c>
      <c r="CC831" s="14" t="n">
        <v>82.58799999999999</v>
      </c>
      <c r="CD831" s="14" t="n">
        <v>7.95</v>
      </c>
      <c r="CE831" s="14" t="n">
        <v>68.931</v>
      </c>
      <c r="CF831" s="14" t="n">
        <v>174.514</v>
      </c>
      <c r="CG831" s="14" t="n">
        <v>0.18</v>
      </c>
      <c r="CH831" s="14" t="n">
        <v>1</v>
      </c>
      <c r="CI831" s="14" t="n">
        <v>0</v>
      </c>
      <c r="CJ831" s="14" t="n">
        <v>0</v>
      </c>
      <c r="CK831" s="14" t="n">
        <v>0</v>
      </c>
      <c r="CL831" s="14" t="n">
        <v>0</v>
      </c>
      <c r="CM831" s="14" t="n">
        <v>0</v>
      </c>
      <c r="CN831" s="14" t="n">
        <v>0</v>
      </c>
      <c r="CO831" s="14" t="n">
        <v>0</v>
      </c>
      <c r="CP831" s="14" t="n">
        <v>0</v>
      </c>
      <c r="CQ831" s="14" t="n">
        <v>1.387</v>
      </c>
      <c r="CR831" s="14" t="n">
        <v>0</v>
      </c>
      <c r="CS831" s="14" t="n">
        <v>5.529</v>
      </c>
      <c r="CT831" s="14" t="n">
        <v>4.251</v>
      </c>
      <c r="CU831" s="14" t="n">
        <v>10.168</v>
      </c>
    </row>
    <row r="832">
      <c r="A832" s="14" t="inlineStr">
        <is>
          <t>UKR2021</t>
        </is>
      </c>
      <c r="B832" s="14" t="inlineStr">
        <is>
          <t>UKR</t>
        </is>
      </c>
      <c r="C832" s="14" t="inlineStr">
        <is>
          <t>UKR</t>
        </is>
      </c>
      <c r="D832" s="14" t="inlineStr">
        <is>
          <t>Ukraine</t>
        </is>
      </c>
      <c r="E832" s="14" t="n">
        <v>2021</v>
      </c>
      <c r="F832" s="14" t="n">
        <v>0.2</v>
      </c>
      <c r="G832" s="14" t="n">
        <v>4.082</v>
      </c>
      <c r="H832" s="14" t="n">
        <v>0.921</v>
      </c>
      <c r="I832" s="14" t="n">
        <v>0.027</v>
      </c>
      <c r="J832" s="14" t="n">
        <v>4.109</v>
      </c>
      <c r="K832" s="14" t="n">
        <v>0</v>
      </c>
      <c r="L832" s="14" t="n">
        <v>1</v>
      </c>
      <c r="M832" s="14" t="n">
        <v>6</v>
      </c>
      <c r="N832" s="14" t="n">
        <v>2.763</v>
      </c>
      <c r="O832" s="14" t="n">
        <v>0.028</v>
      </c>
      <c r="P832" s="14" t="n">
        <v>6.028</v>
      </c>
      <c r="Q832" s="14" t="n">
        <v>0</v>
      </c>
      <c r="R832" s="14" t="n">
        <v>1</v>
      </c>
      <c r="S832" s="14" t="n">
        <v>8.686999999999999</v>
      </c>
      <c r="T832" s="14" t="n">
        <v>5.526</v>
      </c>
      <c r="U832" s="14" t="n">
        <v>-0.639</v>
      </c>
      <c r="V832" s="14" t="n">
        <v>9.657</v>
      </c>
      <c r="W832" s="14" t="n">
        <v>0.2</v>
      </c>
      <c r="X832" s="14" t="n">
        <v>1</v>
      </c>
      <c r="Y832" s="14" t="n">
        <v>5.302</v>
      </c>
      <c r="Z832" s="14" t="n">
        <v>0.528</v>
      </c>
      <c r="AA832" s="14" t="n">
        <v>1.836</v>
      </c>
      <c r="AB832" s="14" t="n">
        <v>7.138</v>
      </c>
      <c r="AC832" s="14" t="n">
        <v>0</v>
      </c>
      <c r="AD832" s="14" t="n">
        <v>1</v>
      </c>
      <c r="AE832" s="14" t="n">
        <v>6.026</v>
      </c>
      <c r="AF832" s="14" t="n">
        <v>1.072</v>
      </c>
      <c r="AG832" s="14" t="n">
        <v>1.112</v>
      </c>
      <c r="AH832" s="14" t="n">
        <v>7.138</v>
      </c>
      <c r="AI832" s="14" t="n">
        <v>0</v>
      </c>
      <c r="AJ832" s="14" t="n">
        <v>1</v>
      </c>
      <c r="AK832" s="14" t="n">
        <v>10.371</v>
      </c>
      <c r="AL832" s="14" t="n">
        <v>4.636</v>
      </c>
      <c r="AM832" s="14" t="n">
        <v>-2.885</v>
      </c>
      <c r="AN832" s="14" t="n">
        <v>8.984</v>
      </c>
      <c r="AO832" s="14" t="n">
        <v>0</v>
      </c>
      <c r="AP832" s="14" t="n">
        <v>0</v>
      </c>
      <c r="AQ832" s="14" t="n">
        <v>0.619</v>
      </c>
      <c r="AR832" s="14" t="n">
        <v>0.114</v>
      </c>
      <c r="AS832" s="14" t="n">
        <v>0.274</v>
      </c>
      <c r="AT832" s="14" t="n">
        <v>1.072</v>
      </c>
      <c r="AU832" s="14" t="n">
        <v>0.2</v>
      </c>
      <c r="AV832" s="14" t="n">
        <v>1</v>
      </c>
      <c r="AW832" s="14" t="n">
        <v>0.599</v>
      </c>
      <c r="AX832" s="14" t="n">
        <v>0.114</v>
      </c>
      <c r="AY832" s="14" t="n">
        <v>0.26</v>
      </c>
      <c r="AZ832" s="14" t="n">
        <v>1.031</v>
      </c>
      <c r="BA832" s="14" t="n">
        <v>0.2</v>
      </c>
      <c r="BB832" s="14" t="n">
        <v>1</v>
      </c>
      <c r="BC832" s="14" t="n">
        <v>0.439</v>
      </c>
      <c r="BD832" s="14" t="n">
        <v>0.114</v>
      </c>
      <c r="BE832" s="14" t="n">
        <v>0.063</v>
      </c>
      <c r="BF832" s="14" t="n">
        <v>0.602</v>
      </c>
      <c r="BG832" s="14" t="n">
        <v>0.2</v>
      </c>
      <c r="BH832" s="14" t="n">
        <v>1</v>
      </c>
      <c r="BI832" s="14" t="n">
        <v>0.505</v>
      </c>
      <c r="BJ832" s="14" t="n">
        <v>0.114</v>
      </c>
      <c r="BK832" s="14" t="n">
        <v>0</v>
      </c>
      <c r="BL832" s="14" t="n">
        <v>0.606</v>
      </c>
      <c r="BM832" s="14" t="n">
        <v>0.2</v>
      </c>
      <c r="BN832" s="14" t="n">
        <v>1</v>
      </c>
      <c r="BO832" s="14" t="n">
        <v>0</v>
      </c>
      <c r="BP832" s="14" t="n">
        <v>0</v>
      </c>
      <c r="BQ832" s="14" t="n">
        <v>0</v>
      </c>
      <c r="BR832" s="14" t="n">
        <v>0</v>
      </c>
      <c r="BS832" s="14" t="n">
        <v>1</v>
      </c>
      <c r="BT832" s="14" t="n">
        <v>0</v>
      </c>
      <c r="BU832" s="14" t="n">
        <v>-0.032</v>
      </c>
      <c r="BV832" s="14" t="n">
        <v>0.057</v>
      </c>
      <c r="BW832" s="14" t="n">
        <v>0</v>
      </c>
      <c r="BX832" s="14" t="n">
        <v>1</v>
      </c>
      <c r="BY832" s="14" t="n">
        <v>11.787</v>
      </c>
      <c r="BZ832" s="14" t="n">
        <v>0</v>
      </c>
      <c r="CA832" s="14" t="n">
        <v>11.787</v>
      </c>
      <c r="CB832" s="14" t="n">
        <v>0</v>
      </c>
      <c r="CC832" s="14" t="n">
        <v>78.125</v>
      </c>
      <c r="CD832" s="14" t="n">
        <v>7.95</v>
      </c>
      <c r="CE832" s="14" t="n">
        <v>0.751</v>
      </c>
      <c r="CF832" s="14" t="n">
        <v>94.651</v>
      </c>
      <c r="CG832" s="14" t="n">
        <v>0.2</v>
      </c>
      <c r="CH832" s="14" t="n">
        <v>1</v>
      </c>
      <c r="CI832" s="14" t="n">
        <v>0</v>
      </c>
      <c r="CJ832" s="14" t="n">
        <v>0</v>
      </c>
      <c r="CK832" s="14" t="n">
        <v>0</v>
      </c>
      <c r="CL832" s="14" t="n">
        <v>0.18</v>
      </c>
      <c r="CM832" s="14" t="n">
        <v>0</v>
      </c>
      <c r="CN832" s="14" t="n">
        <v>0</v>
      </c>
      <c r="CO832" s="14" t="n">
        <v>0</v>
      </c>
      <c r="CP832" s="14" t="n">
        <v>0.389</v>
      </c>
      <c r="CQ832" s="14" t="n">
        <v>1.198</v>
      </c>
      <c r="CR832" s="14" t="n">
        <v>0.733</v>
      </c>
      <c r="CS832" s="14" t="n">
        <v>4.823</v>
      </c>
      <c r="CT832" s="14" t="n">
        <v>4.41</v>
      </c>
      <c r="CU832" s="14" t="n">
        <v>15.162</v>
      </c>
    </row>
    <row r="833">
      <c r="A833" s="14" t="inlineStr">
        <is>
          <t>UKR2022</t>
        </is>
      </c>
      <c r="B833" s="14" t="inlineStr">
        <is>
          <t>UKR</t>
        </is>
      </c>
      <c r="C833" s="14" t="inlineStr">
        <is>
          <t>UKR</t>
        </is>
      </c>
      <c r="D833" s="14" t="inlineStr">
        <is>
          <t>Ukraine</t>
        </is>
      </c>
      <c r="E833" s="14" t="n">
        <v>2022</v>
      </c>
      <c r="F833" s="14" t="n">
        <v>0.2</v>
      </c>
      <c r="G833" s="14" t="n">
        <v>3.588</v>
      </c>
      <c r="H833" s="14" t="n">
        <v>0.8179999999999999</v>
      </c>
      <c r="I833" s="14" t="n">
        <v>0.083</v>
      </c>
      <c r="J833" s="14" t="n">
        <v>3.671</v>
      </c>
      <c r="K833" s="14" t="n">
        <v>0</v>
      </c>
      <c r="L833" s="14" t="n">
        <v>1</v>
      </c>
      <c r="M833" s="14" t="n">
        <v>5.3</v>
      </c>
      <c r="N833" s="14" t="n">
        <v>2.453</v>
      </c>
      <c r="O833" s="14" t="n">
        <v>0.08400000000000001</v>
      </c>
      <c r="P833" s="14" t="n">
        <v>5.384</v>
      </c>
      <c r="Q833" s="14" t="n">
        <v>0</v>
      </c>
      <c r="R833" s="14" t="n">
        <v>1</v>
      </c>
      <c r="S833" s="14" t="n">
        <v>7.677</v>
      </c>
      <c r="T833" s="14" t="n">
        <v>4.906</v>
      </c>
      <c r="U833" s="14" t="n">
        <v>-0.351</v>
      </c>
      <c r="V833" s="14" t="n">
        <v>8.663</v>
      </c>
      <c r="W833" s="14" t="n">
        <v>0.2</v>
      </c>
      <c r="X833" s="14" t="n">
        <v>1</v>
      </c>
      <c r="Y833" s="14" t="n">
        <v>5.91</v>
      </c>
      <c r="Z833" s="14" t="n">
        <v>0.588</v>
      </c>
      <c r="AA833" s="14" t="n">
        <v>1.843</v>
      </c>
      <c r="AB833" s="14" t="n">
        <v>7.753</v>
      </c>
      <c r="AC833" s="14" t="n">
        <v>0</v>
      </c>
      <c r="AD833" s="14" t="n">
        <v>1</v>
      </c>
      <c r="AE833" s="14" t="n">
        <v>6.632</v>
      </c>
      <c r="AF833" s="14" t="n">
        <v>1.18</v>
      </c>
      <c r="AG833" s="14" t="n">
        <v>9.459</v>
      </c>
      <c r="AH833" s="14" t="n">
        <v>16.09</v>
      </c>
      <c r="AI833" s="14" t="n">
        <v>0</v>
      </c>
      <c r="AJ833" s="14" t="n">
        <v>1</v>
      </c>
      <c r="AK833" s="14" t="n">
        <v>10.964</v>
      </c>
      <c r="AL833" s="14" t="n">
        <v>4.901</v>
      </c>
      <c r="AM833" s="14" t="n">
        <v>-3.614</v>
      </c>
      <c r="AN833" s="14" t="n">
        <v>8.82</v>
      </c>
      <c r="AO833" s="14" t="n">
        <v>0</v>
      </c>
      <c r="AP833" s="14" t="n">
        <v>0</v>
      </c>
      <c r="AQ833" s="14" t="n">
        <v>0.861</v>
      </c>
      <c r="AR833" s="14" t="n">
        <v>0.123</v>
      </c>
      <c r="AS833" s="14" t="n">
        <v>0.275</v>
      </c>
      <c r="AT833" s="14" t="n">
        <v>1.364</v>
      </c>
      <c r="AU833" s="14" t="n">
        <v>0.2</v>
      </c>
      <c r="AV833" s="14" t="n">
        <v>1</v>
      </c>
      <c r="AW833" s="14" t="n">
        <v>0.986</v>
      </c>
      <c r="AX833" s="14" t="n">
        <v>0.123</v>
      </c>
      <c r="AY833" s="14" t="n">
        <v>0.232</v>
      </c>
      <c r="AZ833" s="14" t="n">
        <v>1.462</v>
      </c>
      <c r="BA833" s="14" t="n">
        <v>0.2</v>
      </c>
      <c r="BB833" s="14" t="n">
        <v>1</v>
      </c>
      <c r="BC833" s="14" t="n">
        <v>0.598</v>
      </c>
      <c r="BD833" s="14" t="n">
        <v>0.123</v>
      </c>
      <c r="BE833" s="14" t="n">
        <v>0.124</v>
      </c>
      <c r="BF833" s="14" t="n">
        <v>0.866</v>
      </c>
      <c r="BG833" s="14" t="n">
        <v>0.2</v>
      </c>
      <c r="BH833" s="14" t="n">
        <v>1</v>
      </c>
      <c r="BI833" s="14" t="n">
        <v>0.612</v>
      </c>
      <c r="BJ833" s="14" t="n">
        <v>0.123</v>
      </c>
      <c r="BK833" s="14" t="n">
        <v>0.008999999999999999</v>
      </c>
      <c r="BL833" s="14" t="n">
        <v>0.735</v>
      </c>
      <c r="BM833" s="14" t="n">
        <v>0.2</v>
      </c>
      <c r="BN833" s="14" t="n">
        <v>1</v>
      </c>
      <c r="BO833" s="14" t="n">
        <v>0</v>
      </c>
      <c r="BP833" s="14" t="n">
        <v>-0.007</v>
      </c>
      <c r="BQ833" s="14" t="n">
        <v>0</v>
      </c>
      <c r="BR833" s="14" t="n">
        <v>0</v>
      </c>
      <c r="BS833" s="14" t="n">
        <v>1</v>
      </c>
      <c r="BT833" s="14" t="n">
        <v>0</v>
      </c>
      <c r="BU833" s="14" t="n">
        <v>-0.035</v>
      </c>
      <c r="BV833" s="14" t="n">
        <v>0.049</v>
      </c>
      <c r="BW833" s="14" t="n">
        <v>0</v>
      </c>
      <c r="BX833" s="14" t="n">
        <v>1</v>
      </c>
      <c r="BY833" s="14" t="n">
        <v>12.729</v>
      </c>
      <c r="BZ833" s="14" t="n">
        <v>0</v>
      </c>
      <c r="CA833" s="14" t="n">
        <v>12.729</v>
      </c>
      <c r="CB833" s="14" t="n">
        <v>0</v>
      </c>
      <c r="CC833" s="14" t="n">
        <v>97.90000000000001</v>
      </c>
      <c r="CD833" s="14" t="n">
        <v>7.95</v>
      </c>
      <c r="CE833" s="14" t="n">
        <v>2.647</v>
      </c>
      <c r="CF833" s="14" t="n">
        <v>118.897</v>
      </c>
      <c r="CG833" s="14" t="n">
        <v>0.2</v>
      </c>
      <c r="CH833" s="14" t="n">
        <v>1</v>
      </c>
      <c r="CI833" s="14" t="n">
        <v>0</v>
      </c>
      <c r="CJ833" s="14" t="n">
        <v>0</v>
      </c>
      <c r="CK833" s="14" t="n">
        <v>0</v>
      </c>
      <c r="CL833" s="14" t="n">
        <v>0.195</v>
      </c>
      <c r="CM833" s="14" t="n">
        <v>0</v>
      </c>
      <c r="CN833" s="14" t="n">
        <v>0</v>
      </c>
      <c r="CO833" s="14" t="n">
        <v>0</v>
      </c>
      <c r="CP833" s="14" t="n">
        <v>0.675</v>
      </c>
      <c r="CQ833" s="14" t="n">
        <v>1.294</v>
      </c>
      <c r="CR833" s="14" t="n">
        <v>0.83</v>
      </c>
      <c r="CS833" s="14" t="n">
        <v>5.209</v>
      </c>
      <c r="CT833" s="14" t="n">
        <v>5.842</v>
      </c>
      <c r="CU833" s="14" t="n">
        <v>31.326</v>
      </c>
    </row>
    <row r="834">
      <c r="A834" s="14" t="inlineStr">
        <is>
          <t>UKR2023</t>
        </is>
      </c>
      <c r="B834" s="14" t="inlineStr">
        <is>
          <t>UKR</t>
        </is>
      </c>
      <c r="C834" s="14" t="inlineStr">
        <is>
          <t>UKR</t>
        </is>
      </c>
      <c r="D834" s="14" t="inlineStr">
        <is>
          <t>Ukraine</t>
        </is>
      </c>
      <c r="E834" s="14" t="n">
        <v>2023</v>
      </c>
      <c r="F834" s="14" t="n">
        <v>0.2</v>
      </c>
      <c r="G834" s="14" t="n">
        <v>2.767</v>
      </c>
      <c r="H834" s="14" t="n">
        <v>0.824</v>
      </c>
      <c r="I834" s="14" t="n">
        <v>0.07099999999999999</v>
      </c>
      <c r="J834" s="14" t="n">
        <v>2.838</v>
      </c>
      <c r="K834" s="14" t="n">
        <v>0</v>
      </c>
      <c r="L834" s="14" t="n">
        <v>1</v>
      </c>
      <c r="M834" s="14" t="n">
        <v>4.572</v>
      </c>
      <c r="N834" s="14" t="n">
        <v>2.471</v>
      </c>
      <c r="O834" s="14" t="n">
        <v>0.073</v>
      </c>
      <c r="P834" s="14" t="n">
        <v>4.645</v>
      </c>
      <c r="Q834" s="14" t="n">
        <v>0</v>
      </c>
      <c r="R834" s="14" t="n">
        <v>1</v>
      </c>
      <c r="S834" s="14" t="n">
        <v>6.885</v>
      </c>
      <c r="T834" s="14" t="n">
        <v>4.941</v>
      </c>
      <c r="U834" s="14" t="n">
        <v>-0.196</v>
      </c>
      <c r="V834" s="14" t="n">
        <v>7.852</v>
      </c>
      <c r="W834" s="14" t="n">
        <v>0.2</v>
      </c>
      <c r="X834" s="14" t="n">
        <v>1</v>
      </c>
      <c r="Y834" s="14" t="n">
        <v>5.899</v>
      </c>
      <c r="Z834" s="14" t="n">
        <v>0.587</v>
      </c>
      <c r="AA834" s="14" t="n">
        <v>2.113</v>
      </c>
      <c r="AB834" s="14" t="n">
        <v>8.012</v>
      </c>
      <c r="AC834" s="14" t="n">
        <v>0</v>
      </c>
      <c r="AD834" s="14" t="n">
        <v>1</v>
      </c>
      <c r="AE834" s="14" t="n">
        <v>6.679</v>
      </c>
      <c r="AF834" s="14" t="n">
        <v>1.189</v>
      </c>
      <c r="AG834" s="14" t="n">
        <v>1.127</v>
      </c>
      <c r="AH834" s="14" t="n">
        <v>7.807</v>
      </c>
      <c r="AI834" s="14" t="n">
        <v>0</v>
      </c>
      <c r="AJ834" s="14" t="n">
        <v>1</v>
      </c>
      <c r="AK834" s="14" t="n">
        <v>11.364</v>
      </c>
      <c r="AL834" s="14" t="n">
        <v>5.08</v>
      </c>
      <c r="AM834" s="14" t="n">
        <v>-5.279</v>
      </c>
      <c r="AN834" s="14" t="n">
        <v>7.302</v>
      </c>
      <c r="AO834" s="14" t="n">
        <v>0</v>
      </c>
      <c r="AP834" s="14" t="n">
        <v>0</v>
      </c>
      <c r="AQ834" s="14" t="n">
        <v>0.76</v>
      </c>
      <c r="AR834" s="14" t="n">
        <v>0.129</v>
      </c>
      <c r="AS834" s="14" t="n">
        <v>0.391</v>
      </c>
      <c r="AT834" s="14" t="n">
        <v>1.381</v>
      </c>
      <c r="AU834" s="14" t="n">
        <v>0.2</v>
      </c>
      <c r="AV834" s="14" t="n">
        <v>1</v>
      </c>
      <c r="AW834" s="14" t="n">
        <v>0.8110000000000001</v>
      </c>
      <c r="AX834" s="14" t="n">
        <v>0.129</v>
      </c>
      <c r="AY834" s="14" t="n">
        <v>0.348</v>
      </c>
      <c r="AZ834" s="14" t="n">
        <v>1.392</v>
      </c>
      <c r="BA834" s="14" t="n">
        <v>0.2</v>
      </c>
      <c r="BB834" s="14" t="n">
        <v>1</v>
      </c>
      <c r="BC834" s="14" t="n">
        <v>0.535</v>
      </c>
      <c r="BD834" s="14" t="n">
        <v>0.129</v>
      </c>
      <c r="BE834" s="14" t="n">
        <v>0.05</v>
      </c>
      <c r="BF834" s="14" t="n">
        <v>0.701</v>
      </c>
      <c r="BG834" s="14" t="n">
        <v>0.2</v>
      </c>
      <c r="BH834" s="14" t="n">
        <v>1</v>
      </c>
      <c r="BI834" s="14" t="n">
        <v>0.579</v>
      </c>
      <c r="BJ834" s="14" t="n">
        <v>0.129</v>
      </c>
      <c r="BK834" s="14" t="n">
        <v>0.013</v>
      </c>
      <c r="BL834" s="14" t="n">
        <v>0.695</v>
      </c>
      <c r="BM834" s="14" t="n">
        <v>0.2</v>
      </c>
      <c r="BN834" s="14" t="n">
        <v>1</v>
      </c>
      <c r="BO834" s="14" t="n">
        <v>0</v>
      </c>
      <c r="BP834" s="14" t="n">
        <v>-0.007</v>
      </c>
      <c r="BQ834" s="14" t="n">
        <v>0</v>
      </c>
      <c r="BR834" s="14" t="n">
        <v>0</v>
      </c>
      <c r="BS834" s="14" t="n">
        <v>1</v>
      </c>
      <c r="BT834" s="14" t="n">
        <v>0</v>
      </c>
      <c r="BU834" s="14" t="n">
        <v>-0.035</v>
      </c>
      <c r="BV834" s="14" t="n">
        <v>0.065</v>
      </c>
      <c r="BW834" s="14" t="n">
        <v>0</v>
      </c>
      <c r="BX834" s="14" t="n">
        <v>1</v>
      </c>
      <c r="BY834" s="14" t="n">
        <v>13.254</v>
      </c>
      <c r="BZ834" s="14" t="n">
        <v>0</v>
      </c>
      <c r="CA834" s="14" t="n">
        <v>13.254</v>
      </c>
      <c r="CB834" s="14" t="n">
        <v>0</v>
      </c>
      <c r="CC834" s="14" t="n">
        <v>83.248</v>
      </c>
      <c r="CD834" s="14" t="n">
        <v>7.95</v>
      </c>
      <c r="CE834" s="14" t="n">
        <v>2.897</v>
      </c>
      <c r="CF834" s="14" t="n">
        <v>101.135</v>
      </c>
      <c r="CG834" s="14" t="n">
        <v>0.2</v>
      </c>
      <c r="CH834" s="14" t="n">
        <v>1</v>
      </c>
      <c r="CI834" s="14" t="n">
        <v>0</v>
      </c>
      <c r="CJ834" s="14" t="n">
        <v>0</v>
      </c>
      <c r="CK834" s="14" t="n">
        <v>0</v>
      </c>
      <c r="CL834" s="14" t="n">
        <v>0.203</v>
      </c>
      <c r="CM834" s="14" t="n">
        <v>0</v>
      </c>
      <c r="CN834" s="14" t="n">
        <v>0</v>
      </c>
      <c r="CO834" s="14" t="n">
        <v>0</v>
      </c>
      <c r="CP834" s="14" t="n">
        <v>0.719</v>
      </c>
      <c r="CQ834" s="14" t="n">
        <v>1.348</v>
      </c>
      <c r="CR834" s="14" t="n">
        <v>0.786</v>
      </c>
      <c r="CS834" s="14" t="n">
        <v>5.424</v>
      </c>
      <c r="CT834" s="14" t="n">
        <v>3.466</v>
      </c>
      <c r="CU834" s="14" t="n">
        <v>11.622</v>
      </c>
    </row>
    <row r="835">
      <c r="A835" s="14" t="inlineStr">
        <is>
          <t>UKR2024</t>
        </is>
      </c>
      <c r="B835" s="14" t="inlineStr">
        <is>
          <t>UKR</t>
        </is>
      </c>
      <c r="C835" s="14" t="inlineStr">
        <is>
          <t>UKR</t>
        </is>
      </c>
      <c r="D835" s="14" t="inlineStr">
        <is>
          <t>Ukraine</t>
        </is>
      </c>
      <c r="E835" s="14" t="n">
        <v>2024</v>
      </c>
      <c r="F835" s="14" t="n">
        <v>0.2</v>
      </c>
      <c r="G835" s="14" t="n">
        <v>2.696</v>
      </c>
      <c r="H835" s="14" t="n">
        <v>0.848</v>
      </c>
      <c r="I835" s="14" t="n">
        <v>0.06900000000000001</v>
      </c>
      <c r="J835" s="14" t="n">
        <v>2.765</v>
      </c>
      <c r="K835" s="14" t="n">
        <v>0</v>
      </c>
      <c r="L835" s="14" t="n">
        <v>1</v>
      </c>
      <c r="M835" s="14" t="n">
        <v>4.427</v>
      </c>
      <c r="N835" s="14" t="n">
        <v>2.544</v>
      </c>
      <c r="O835" s="14" t="n">
        <v>0.07000000000000001</v>
      </c>
      <c r="P835" s="14" t="n">
        <v>4.497</v>
      </c>
      <c r="Q835" s="14" t="n">
        <v>0</v>
      </c>
      <c r="R835" s="14" t="n">
        <v>1</v>
      </c>
      <c r="S835" s="14" t="n">
        <v>6.936</v>
      </c>
      <c r="T835" s="14" t="n">
        <v>5.087</v>
      </c>
      <c r="U835" s="14" t="n">
        <v>-0.165</v>
      </c>
      <c r="V835" s="14" t="n">
        <v>7.909</v>
      </c>
      <c r="W835" s="14" t="n">
        <v>0.2</v>
      </c>
      <c r="X835" s="14" t="n">
        <v>1</v>
      </c>
      <c r="Y835" s="14" t="n">
        <v>6.073</v>
      </c>
      <c r="Z835" s="14" t="n">
        <v>0.605</v>
      </c>
      <c r="AA835" s="14" t="n">
        <v>2.175</v>
      </c>
      <c r="AB835" s="14" t="n">
        <v>8.247999999999999</v>
      </c>
      <c r="AC835" s="14" t="n">
        <v>0</v>
      </c>
      <c r="AD835" s="14" t="n">
        <v>1</v>
      </c>
      <c r="AE835" s="14" t="n">
        <v>6.877</v>
      </c>
      <c r="AF835" s="14" t="n">
        <v>1.224</v>
      </c>
      <c r="AG835" s="14" t="n">
        <v>0.39</v>
      </c>
      <c r="AH835" s="14" t="n">
        <v>7.267</v>
      </c>
      <c r="AI835" s="14" t="n">
        <v>0</v>
      </c>
      <c r="AJ835" s="14" t="n">
        <v>1</v>
      </c>
      <c r="AK835" s="14" t="n">
        <v>11.699</v>
      </c>
      <c r="AL835" s="14" t="n">
        <v>5.23</v>
      </c>
      <c r="AM835" s="14" t="n">
        <v>-5.694</v>
      </c>
      <c r="AN835" s="14" t="n">
        <v>7.206</v>
      </c>
      <c r="AO835" s="14" t="n">
        <v>0</v>
      </c>
      <c r="AP835" s="14" t="n">
        <v>0</v>
      </c>
      <c r="AQ835" s="14" t="n">
        <v>0.724</v>
      </c>
      <c r="AR835" s="14" t="n">
        <v>0.132</v>
      </c>
      <c r="AS835" s="14" t="n">
        <v>0.465</v>
      </c>
      <c r="AT835" s="14" t="n">
        <v>1.427</v>
      </c>
      <c r="AU835" s="14" t="n">
        <v>0.2</v>
      </c>
      <c r="AV835" s="14" t="n">
        <v>1</v>
      </c>
      <c r="AW835" s="14" t="n">
        <v>0.75</v>
      </c>
      <c r="AX835" s="14" t="n">
        <v>0.132</v>
      </c>
      <c r="AY835" s="14" t="n">
        <v>0.4</v>
      </c>
      <c r="AZ835" s="14" t="n">
        <v>1.38</v>
      </c>
      <c r="BA835" s="14" t="n">
        <v>0.2</v>
      </c>
      <c r="BB835" s="14" t="n">
        <v>1</v>
      </c>
      <c r="BC835" s="14" t="n">
        <v>0.513</v>
      </c>
      <c r="BD835" s="14" t="n">
        <v>0.132</v>
      </c>
      <c r="BE835" s="14" t="n">
        <v>0.12</v>
      </c>
      <c r="BF835" s="14" t="n">
        <v>0.76</v>
      </c>
      <c r="BG835" s="14" t="n">
        <v>0.2</v>
      </c>
      <c r="BH835" s="14" t="n">
        <v>1</v>
      </c>
      <c r="BI835" s="14" t="n">
        <v>0.591</v>
      </c>
      <c r="BJ835" s="14" t="n">
        <v>0.132</v>
      </c>
      <c r="BK835" s="14" t="n">
        <v>0.016</v>
      </c>
      <c r="BL835" s="14" t="n">
        <v>0.71</v>
      </c>
      <c r="BM835" s="14" t="n">
        <v>0.2</v>
      </c>
      <c r="BN835" s="14" t="n">
        <v>1</v>
      </c>
      <c r="BO835" s="14" t="n">
        <v>0</v>
      </c>
      <c r="BP835" s="14" t="n">
        <v>-0.008</v>
      </c>
      <c r="BQ835" s="14" t="n">
        <v>0</v>
      </c>
      <c r="BR835" s="14" t="n">
        <v>0</v>
      </c>
      <c r="BS835" s="14" t="n">
        <v>1</v>
      </c>
      <c r="BT835" s="14" t="n">
        <v>0</v>
      </c>
      <c r="BU835" s="14" t="n">
        <v>-0.051</v>
      </c>
      <c r="BV835" s="14" t="n">
        <v>0.089</v>
      </c>
      <c r="BW835" s="14" t="n">
        <v>0</v>
      </c>
      <c r="BX835" s="14" t="n">
        <v>1</v>
      </c>
      <c r="BY835" s="14" t="n">
        <v>13.646</v>
      </c>
      <c r="BZ835" s="14" t="n">
        <v>0</v>
      </c>
      <c r="CA835" s="14" t="n">
        <v>13.646</v>
      </c>
      <c r="CB835" s="14" t="n">
        <v>0</v>
      </c>
      <c r="CC835" s="14" t="n">
        <v>82.58799999999999</v>
      </c>
      <c r="CD835" s="14" t="n">
        <v>7.95</v>
      </c>
      <c r="CE835" s="14" t="n">
        <v>3.29</v>
      </c>
      <c r="CF835" s="14" t="n">
        <v>100.32</v>
      </c>
      <c r="CG835" s="14" t="n">
        <v>0.2</v>
      </c>
      <c r="CH835" s="14" t="n">
        <v>1</v>
      </c>
      <c r="CI835" s="14" t="n">
        <v>0</v>
      </c>
      <c r="CJ835" s="14" t="n">
        <v>0</v>
      </c>
      <c r="CK835" s="14" t="n">
        <v>0</v>
      </c>
      <c r="CL835" s="14" t="n">
        <v>0.209</v>
      </c>
      <c r="CM835" s="14" t="n">
        <v>0</v>
      </c>
      <c r="CN835" s="14" t="n">
        <v>0</v>
      </c>
      <c r="CO835" s="14" t="n">
        <v>0</v>
      </c>
      <c r="CP835" s="14" t="n">
        <v>0.719</v>
      </c>
      <c r="CQ835" s="14" t="n">
        <v>1.387</v>
      </c>
      <c r="CR835" s="14" t="n">
        <v>0.786</v>
      </c>
      <c r="CS835" s="14" t="n">
        <v>5.584</v>
      </c>
      <c r="CT835" s="14" t="n">
        <v>3.027</v>
      </c>
      <c r="CU835" s="14" t="n">
        <v>10.168</v>
      </c>
    </row>
    <row r="836">
      <c r="A836" s="14" t="inlineStr">
        <is>
          <t>ARE2021</t>
        </is>
      </c>
      <c r="B836" s="14" t="inlineStr">
        <is>
          <t>ARE</t>
        </is>
      </c>
      <c r="C836" s="14" t="inlineStr">
        <is>
          <t>ARE</t>
        </is>
      </c>
      <c r="D836" s="14" t="inlineStr">
        <is>
          <t>United Arab Emirates</t>
        </is>
      </c>
      <c r="E836" s="14" t="n">
        <v>2021</v>
      </c>
      <c r="F836" s="14" t="n">
        <v>0.05</v>
      </c>
      <c r="G836" s="14" t="n">
        <v>5.897</v>
      </c>
      <c r="H836" s="14" t="n">
        <v>1.143</v>
      </c>
      <c r="I836" s="14" t="n">
        <v>0.238</v>
      </c>
      <c r="J836" s="14" t="n">
        <v>6.134</v>
      </c>
      <c r="K836" s="14" t="n">
        <v>0</v>
      </c>
      <c r="L836" s="14" t="n">
        <v>1</v>
      </c>
      <c r="M836" s="14" t="n">
        <v>7.964</v>
      </c>
      <c r="N836" s="14" t="n">
        <v>3.43</v>
      </c>
      <c r="O836" s="14" t="n">
        <v>0.227</v>
      </c>
      <c r="P836" s="14" t="n">
        <v>8.191000000000001</v>
      </c>
      <c r="Q836" s="14" t="n">
        <v>0</v>
      </c>
      <c r="R836" s="14" t="n">
        <v>1</v>
      </c>
      <c r="S836" s="14" t="n">
        <v>11.613</v>
      </c>
      <c r="T836" s="14" t="n">
        <v>6.86</v>
      </c>
      <c r="U836" s="14" t="n">
        <v>0.238</v>
      </c>
      <c r="V836" s="14" t="n">
        <v>12.444</v>
      </c>
      <c r="W836" s="14" t="n">
        <v>0.05</v>
      </c>
      <c r="X836" s="14" t="n">
        <v>1</v>
      </c>
      <c r="Y836" s="14" t="n">
        <v>6.345</v>
      </c>
      <c r="Z836" s="14" t="n">
        <v>0.718</v>
      </c>
      <c r="AA836" s="14" t="n">
        <v>-2.843</v>
      </c>
      <c r="AB836" s="14" t="n">
        <v>3.501</v>
      </c>
      <c r="AC836" s="14" t="n">
        <v>0</v>
      </c>
      <c r="AD836" s="14" t="n">
        <v>0</v>
      </c>
      <c r="AE836" s="14" t="n">
        <v>7.088</v>
      </c>
      <c r="AF836" s="14" t="n">
        <v>1.412</v>
      </c>
      <c r="AG836" s="14" t="n">
        <v>-4.125</v>
      </c>
      <c r="AH836" s="14" t="n">
        <v>2.963</v>
      </c>
      <c r="AI836" s="14" t="n">
        <v>0</v>
      </c>
      <c r="AJ836" s="14" t="n">
        <v>0</v>
      </c>
      <c r="AK836" s="14" t="n">
        <v>11.55</v>
      </c>
      <c r="AL836" s="14" t="n">
        <v>5.538</v>
      </c>
      <c r="AM836" s="14" t="n">
        <v>-4.43</v>
      </c>
      <c r="AN836" s="14" t="n">
        <v>7.12</v>
      </c>
      <c r="AO836" s="14" t="n">
        <v>0</v>
      </c>
      <c r="AP836" s="14" t="n">
        <v>0</v>
      </c>
      <c r="AQ836" s="14" t="n">
        <v>0.621</v>
      </c>
      <c r="AR836" s="14" t="n">
        <v>0.114</v>
      </c>
      <c r="AS836" s="14" t="n">
        <v>-0.029</v>
      </c>
      <c r="AT836" s="14" t="n">
        <v>0.621</v>
      </c>
      <c r="AU836" s="14" t="n">
        <v>0.05</v>
      </c>
      <c r="AV836" s="14" t="n">
        <v>1</v>
      </c>
      <c r="AW836" s="14" t="n">
        <v>0.593</v>
      </c>
      <c r="AX836" s="14" t="n">
        <v>0.114</v>
      </c>
      <c r="AY836" s="14" t="n">
        <v>0.018</v>
      </c>
      <c r="AZ836" s="14" t="n">
        <v>0.642</v>
      </c>
      <c r="BA836" s="14" t="n">
        <v>0.05</v>
      </c>
      <c r="BB836" s="14" t="n">
        <v>1</v>
      </c>
      <c r="BC836" s="14" t="n">
        <v>0.44</v>
      </c>
      <c r="BD836" s="14" t="n">
        <v>0.114</v>
      </c>
      <c r="BE836" s="14" t="n">
        <v>0</v>
      </c>
      <c r="BF836" s="14" t="n">
        <v>0.462</v>
      </c>
      <c r="BG836" s="14" t="n">
        <v>0.05</v>
      </c>
      <c r="BH836" s="14" t="n">
        <v>1</v>
      </c>
      <c r="BI836" s="14" t="n">
        <v>0.5600000000000001</v>
      </c>
      <c r="BJ836" s="14" t="n">
        <v>0.114</v>
      </c>
      <c r="BK836" s="14" t="n">
        <v>0</v>
      </c>
      <c r="BL836" s="14" t="n">
        <v>0.588</v>
      </c>
      <c r="BM836" s="14" t="n">
        <v>0.05</v>
      </c>
      <c r="BN836" s="14" t="n">
        <v>1</v>
      </c>
      <c r="BO836" s="14" t="n">
        <v>0</v>
      </c>
      <c r="BP836" s="14" t="n">
        <v>-0.017</v>
      </c>
      <c r="BQ836" s="14" t="n">
        <v>0.063</v>
      </c>
      <c r="BR836" s="14" t="n">
        <v>0</v>
      </c>
      <c r="BS836" s="14" t="n">
        <v>0.333</v>
      </c>
      <c r="BT836" s="14" t="n">
        <v>0</v>
      </c>
      <c r="BU836" s="14" t="n">
        <v>-0.017</v>
      </c>
      <c r="BV836" s="14" t="n">
        <v>0.063</v>
      </c>
      <c r="BW836" s="14" t="n">
        <v>0</v>
      </c>
      <c r="BX836" s="14" t="n">
        <v>0.167</v>
      </c>
      <c r="BY836" s="14" t="n">
        <v>11.787</v>
      </c>
      <c r="BZ836" s="14" t="n">
        <v>0</v>
      </c>
      <c r="CA836" s="14" t="n">
        <v>11.787</v>
      </c>
      <c r="CB836" s="14" t="n">
        <v>0</v>
      </c>
      <c r="CC836" s="14" t="n">
        <v>81.69499999999999</v>
      </c>
      <c r="CD836" s="14" t="n">
        <v>7.95</v>
      </c>
      <c r="CE836" s="14" t="n">
        <v>0</v>
      </c>
      <c r="CF836" s="14" t="n">
        <v>85.78</v>
      </c>
      <c r="CG836" s="14" t="n">
        <v>0.05</v>
      </c>
      <c r="CH836" s="14" t="n">
        <v>1</v>
      </c>
      <c r="CI836" s="14" t="n">
        <v>0</v>
      </c>
      <c r="CJ836" s="14" t="n">
        <v>0</v>
      </c>
      <c r="CK836" s="14" t="n">
        <v>0</v>
      </c>
      <c r="CL836" s="14" t="n">
        <v>0</v>
      </c>
      <c r="CM836" s="14" t="n">
        <v>0</v>
      </c>
      <c r="CN836" s="14" t="n">
        <v>0</v>
      </c>
      <c r="CO836" s="14" t="n">
        <v>0</v>
      </c>
      <c r="CP836" s="14" t="n">
        <v>0</v>
      </c>
      <c r="CQ836" s="14" t="n">
        <v>1.198</v>
      </c>
      <c r="CR836" s="14" t="n">
        <v>0.699</v>
      </c>
      <c r="CS836" s="14" t="n">
        <v>3.639</v>
      </c>
      <c r="CT836" s="14" t="n">
        <v>4.753</v>
      </c>
      <c r="CU836" s="14" t="n">
        <v>14.162</v>
      </c>
    </row>
    <row r="837">
      <c r="A837" s="14" t="inlineStr">
        <is>
          <t>ARE2022</t>
        </is>
      </c>
      <c r="B837" s="14" t="inlineStr">
        <is>
          <t>ARE</t>
        </is>
      </c>
      <c r="C837" s="14" t="inlineStr">
        <is>
          <t>ARE</t>
        </is>
      </c>
      <c r="D837" s="14" t="inlineStr">
        <is>
          <t>United Arab Emirates</t>
        </is>
      </c>
      <c r="E837" s="14" t="n">
        <v>2022</v>
      </c>
      <c r="F837" s="14" t="n">
        <v>0.05</v>
      </c>
      <c r="G837" s="14" t="n">
        <v>11.72</v>
      </c>
      <c r="H837" s="14" t="n">
        <v>1.235</v>
      </c>
      <c r="I837" s="14" t="n">
        <v>0.5659999999999999</v>
      </c>
      <c r="J837" s="14" t="n">
        <v>12.286</v>
      </c>
      <c r="K837" s="14" t="n">
        <v>0</v>
      </c>
      <c r="L837" s="14" t="n">
        <v>1</v>
      </c>
      <c r="M837" s="14" t="n">
        <v>9.782999999999999</v>
      </c>
      <c r="N837" s="14" t="n">
        <v>3.704</v>
      </c>
      <c r="O837" s="14" t="n">
        <v>0.328</v>
      </c>
      <c r="P837" s="14" t="n">
        <v>10.111</v>
      </c>
      <c r="Q837" s="14" t="n">
        <v>0</v>
      </c>
      <c r="R837" s="14" t="n">
        <v>1</v>
      </c>
      <c r="S837" s="14" t="n">
        <v>17.893</v>
      </c>
      <c r="T837" s="14" t="n">
        <v>7.408</v>
      </c>
      <c r="U837" s="14" t="n">
        <v>0.634</v>
      </c>
      <c r="V837" s="14" t="n">
        <v>19.382</v>
      </c>
      <c r="W837" s="14" t="n">
        <v>0.05</v>
      </c>
      <c r="X837" s="14" t="n">
        <v>1</v>
      </c>
      <c r="Y837" s="14" t="n">
        <v>6.025</v>
      </c>
      <c r="Z837" s="14" t="n">
        <v>0.6820000000000001</v>
      </c>
      <c r="AA837" s="14" t="n">
        <v>-3.071</v>
      </c>
      <c r="AB837" s="14" t="n">
        <v>2.955</v>
      </c>
      <c r="AC837" s="14" t="n">
        <v>0</v>
      </c>
      <c r="AD837" s="14" t="n">
        <v>0</v>
      </c>
      <c r="AE837" s="14" t="n">
        <v>6.824</v>
      </c>
      <c r="AF837" s="14" t="n">
        <v>1.36</v>
      </c>
      <c r="AG837" s="14" t="n">
        <v>-4.455</v>
      </c>
      <c r="AH837" s="14" t="n">
        <v>2.37</v>
      </c>
      <c r="AI837" s="14" t="n">
        <v>0</v>
      </c>
      <c r="AJ837" s="14" t="n">
        <v>0</v>
      </c>
      <c r="AK837" s="14" t="n">
        <v>11.618</v>
      </c>
      <c r="AL837" s="14" t="n">
        <v>5.571</v>
      </c>
      <c r="AM837" s="14" t="n">
        <v>-4.575</v>
      </c>
      <c r="AN837" s="14" t="n">
        <v>7.043</v>
      </c>
      <c r="AO837" s="14" t="n">
        <v>0</v>
      </c>
      <c r="AP837" s="14" t="n">
        <v>0</v>
      </c>
      <c r="AQ837" s="14" t="n">
        <v>0.847</v>
      </c>
      <c r="AR837" s="14" t="n">
        <v>0.123</v>
      </c>
      <c r="AS837" s="14" t="n">
        <v>0.037</v>
      </c>
      <c r="AT837" s="14" t="n">
        <v>0.927</v>
      </c>
      <c r="AU837" s="14" t="n">
        <v>0.05</v>
      </c>
      <c r="AV837" s="14" t="n">
        <v>1</v>
      </c>
      <c r="AW837" s="14" t="n">
        <v>0.947</v>
      </c>
      <c r="AX837" s="14" t="n">
        <v>0.123</v>
      </c>
      <c r="AY837" s="14" t="n">
        <v>0.031</v>
      </c>
      <c r="AZ837" s="14" t="n">
        <v>1.027</v>
      </c>
      <c r="BA837" s="14" t="n">
        <v>0.05</v>
      </c>
      <c r="BB837" s="14" t="n">
        <v>1</v>
      </c>
      <c r="BC837" s="14" t="n">
        <v>0.589</v>
      </c>
      <c r="BD837" s="14" t="n">
        <v>0.123</v>
      </c>
      <c r="BE837" s="14" t="n">
        <v>0.002</v>
      </c>
      <c r="BF837" s="14" t="n">
        <v>0.618</v>
      </c>
      <c r="BG837" s="14" t="n">
        <v>0.05</v>
      </c>
      <c r="BH837" s="14" t="n">
        <v>1</v>
      </c>
      <c r="BI837" s="14" t="n">
        <v>0.6889999999999999</v>
      </c>
      <c r="BJ837" s="14" t="n">
        <v>0.123</v>
      </c>
      <c r="BK837" s="14" t="n">
        <v>0.003</v>
      </c>
      <c r="BL837" s="14" t="n">
        <v>0.723</v>
      </c>
      <c r="BM837" s="14" t="n">
        <v>0.05</v>
      </c>
      <c r="BN837" s="14" t="n">
        <v>1</v>
      </c>
      <c r="BO837" s="14" t="n">
        <v>0</v>
      </c>
      <c r="BP837" s="14" t="n">
        <v>-0.017</v>
      </c>
      <c r="BQ837" s="14" t="n">
        <v>0.063</v>
      </c>
      <c r="BR837" s="14" t="n">
        <v>0</v>
      </c>
      <c r="BS837" s="14" t="n">
        <v>0.333</v>
      </c>
      <c r="BT837" s="14" t="n">
        <v>0</v>
      </c>
      <c r="BU837" s="14" t="n">
        <v>-0.017</v>
      </c>
      <c r="BV837" s="14" t="n">
        <v>0.063</v>
      </c>
      <c r="BW837" s="14" t="n">
        <v>0</v>
      </c>
      <c r="BX837" s="14" t="n">
        <v>0.167</v>
      </c>
      <c r="BY837" s="14" t="n">
        <v>12.729</v>
      </c>
      <c r="BZ837" s="14" t="n">
        <v>0</v>
      </c>
      <c r="CA837" s="14" t="n">
        <v>12.729</v>
      </c>
      <c r="CB837" s="14" t="n">
        <v>0</v>
      </c>
      <c r="CC837" s="14" t="n">
        <v>102.477</v>
      </c>
      <c r="CD837" s="14" t="n">
        <v>7.95</v>
      </c>
      <c r="CE837" s="14" t="n">
        <v>0.379</v>
      </c>
      <c r="CF837" s="14" t="n">
        <v>107.6</v>
      </c>
      <c r="CG837" s="14" t="n">
        <v>0.05</v>
      </c>
      <c r="CH837" s="14" t="n">
        <v>1</v>
      </c>
      <c r="CI837" s="14" t="n">
        <v>0</v>
      </c>
      <c r="CJ837" s="14" t="n">
        <v>0</v>
      </c>
      <c r="CK837" s="14" t="n">
        <v>0</v>
      </c>
      <c r="CL837" s="14" t="n">
        <v>0</v>
      </c>
      <c r="CM837" s="14" t="n">
        <v>0</v>
      </c>
      <c r="CN837" s="14" t="n">
        <v>0</v>
      </c>
      <c r="CO837" s="14" t="n">
        <v>0</v>
      </c>
      <c r="CP837" s="14" t="n">
        <v>0</v>
      </c>
      <c r="CQ837" s="14" t="n">
        <v>1.294</v>
      </c>
      <c r="CR837" s="14" t="n">
        <v>0.706</v>
      </c>
      <c r="CS837" s="14" t="n">
        <v>3.93</v>
      </c>
      <c r="CT837" s="14" t="n">
        <v>10.485</v>
      </c>
      <c r="CU837" s="14" t="n">
        <v>30.326</v>
      </c>
    </row>
    <row r="838">
      <c r="A838" s="14" t="inlineStr">
        <is>
          <t>ARE2023</t>
        </is>
      </c>
      <c r="B838" s="14" t="inlineStr">
        <is>
          <t>ARE</t>
        </is>
      </c>
      <c r="C838" s="14" t="inlineStr">
        <is>
          <t>ARE</t>
        </is>
      </c>
      <c r="D838" s="14" t="inlineStr">
        <is>
          <t>United Arab Emirates</t>
        </is>
      </c>
      <c r="E838" s="14" t="n">
        <v>2023</v>
      </c>
      <c r="F838" s="14" t="n">
        <v>0.05</v>
      </c>
      <c r="G838" s="14" t="n">
        <v>6.147</v>
      </c>
      <c r="H838" s="14" t="n">
        <v>1.286</v>
      </c>
      <c r="I838" s="14" t="n">
        <v>0.273</v>
      </c>
      <c r="J838" s="14" t="n">
        <v>6.42</v>
      </c>
      <c r="K838" s="14" t="n">
        <v>0</v>
      </c>
      <c r="L838" s="14" t="n">
        <v>1</v>
      </c>
      <c r="M838" s="14" t="n">
        <v>7.886</v>
      </c>
      <c r="N838" s="14" t="n">
        <v>3.857</v>
      </c>
      <c r="O838" s="14" t="n">
        <v>0.227</v>
      </c>
      <c r="P838" s="14" t="n">
        <v>8.113</v>
      </c>
      <c r="Q838" s="14" t="n">
        <v>0</v>
      </c>
      <c r="R838" s="14" t="n">
        <v>1</v>
      </c>
      <c r="S838" s="14" t="n">
        <v>12.575</v>
      </c>
      <c r="T838" s="14" t="n">
        <v>7.714</v>
      </c>
      <c r="U838" s="14" t="n">
        <v>0.344</v>
      </c>
      <c r="V838" s="14" t="n">
        <v>13.491</v>
      </c>
      <c r="W838" s="14" t="n">
        <v>0.05</v>
      </c>
      <c r="X838" s="14" t="n">
        <v>1</v>
      </c>
      <c r="Y838" s="14" t="n">
        <v>6.143</v>
      </c>
      <c r="Z838" s="14" t="n">
        <v>0.695</v>
      </c>
      <c r="AA838" s="14" t="n">
        <v>-2.785</v>
      </c>
      <c r="AB838" s="14" t="n">
        <v>3.358</v>
      </c>
      <c r="AC838" s="14" t="n">
        <v>0</v>
      </c>
      <c r="AD838" s="14" t="n">
        <v>0</v>
      </c>
      <c r="AE838" s="14" t="n">
        <v>6.975</v>
      </c>
      <c r="AF838" s="14" t="n">
        <v>1.39</v>
      </c>
      <c r="AG838" s="14" t="n">
        <v>-4.226</v>
      </c>
      <c r="AH838" s="14" t="n">
        <v>2.749</v>
      </c>
      <c r="AI838" s="14" t="n">
        <v>0</v>
      </c>
      <c r="AJ838" s="14" t="n">
        <v>0</v>
      </c>
      <c r="AK838" s="14" t="n">
        <v>11.962</v>
      </c>
      <c r="AL838" s="14" t="n">
        <v>5.736</v>
      </c>
      <c r="AM838" s="14" t="n">
        <v>-5.097</v>
      </c>
      <c r="AN838" s="14" t="n">
        <v>6.865</v>
      </c>
      <c r="AO838" s="14" t="n">
        <v>0</v>
      </c>
      <c r="AP838" s="14" t="n">
        <v>0</v>
      </c>
      <c r="AQ838" s="14" t="n">
        <v>0.749</v>
      </c>
      <c r="AR838" s="14" t="n">
        <v>0.129</v>
      </c>
      <c r="AS838" s="14" t="n">
        <v>0.022</v>
      </c>
      <c r="AT838" s="14" t="n">
        <v>0.8090000000000001</v>
      </c>
      <c r="AU838" s="14" t="n">
        <v>0.05</v>
      </c>
      <c r="AV838" s="14" t="n">
        <v>1</v>
      </c>
      <c r="AW838" s="14" t="n">
        <v>0.783</v>
      </c>
      <c r="AX838" s="14" t="n">
        <v>0.129</v>
      </c>
      <c r="AY838" s="14" t="n">
        <v>0.031</v>
      </c>
      <c r="AZ838" s="14" t="n">
        <v>0.854</v>
      </c>
      <c r="BA838" s="14" t="n">
        <v>0.05</v>
      </c>
      <c r="BB838" s="14" t="n">
        <v>1</v>
      </c>
      <c r="BC838" s="14" t="n">
        <v>0.527</v>
      </c>
      <c r="BD838" s="14" t="n">
        <v>0.129</v>
      </c>
      <c r="BE838" s="14" t="n">
        <v>0.003</v>
      </c>
      <c r="BF838" s="14" t="n">
        <v>0.554</v>
      </c>
      <c r="BG838" s="14" t="n">
        <v>0.05</v>
      </c>
      <c r="BH838" s="14" t="n">
        <v>1</v>
      </c>
      <c r="BI838" s="14" t="n">
        <v>0.64</v>
      </c>
      <c r="BJ838" s="14" t="n">
        <v>0.129</v>
      </c>
      <c r="BK838" s="14" t="n">
        <v>0.004</v>
      </c>
      <c r="BL838" s="14" t="n">
        <v>0.672</v>
      </c>
      <c r="BM838" s="14" t="n">
        <v>0.05</v>
      </c>
      <c r="BN838" s="14" t="n">
        <v>1</v>
      </c>
      <c r="BO838" s="14" t="n">
        <v>0</v>
      </c>
      <c r="BP838" s="14" t="n">
        <v>-0.017</v>
      </c>
      <c r="BQ838" s="14" t="n">
        <v>0.063</v>
      </c>
      <c r="BR838" s="14" t="n">
        <v>0</v>
      </c>
      <c r="BS838" s="14" t="n">
        <v>0.333</v>
      </c>
      <c r="BT838" s="14" t="n">
        <v>0</v>
      </c>
      <c r="BU838" s="14" t="n">
        <v>-0.017</v>
      </c>
      <c r="BV838" s="14" t="n">
        <v>0.063</v>
      </c>
      <c r="BW838" s="14" t="n">
        <v>0</v>
      </c>
      <c r="BX838" s="14" t="n">
        <v>0.167</v>
      </c>
      <c r="BY838" s="14" t="n">
        <v>13.254</v>
      </c>
      <c r="BZ838" s="14" t="n">
        <v>0</v>
      </c>
      <c r="CA838" s="14" t="n">
        <v>13.254</v>
      </c>
      <c r="CB838" s="14" t="n">
        <v>0</v>
      </c>
      <c r="CC838" s="14" t="n">
        <v>87.07899999999999</v>
      </c>
      <c r="CD838" s="14" t="n">
        <v>7.95</v>
      </c>
      <c r="CE838" s="14" t="n">
        <v>0.482</v>
      </c>
      <c r="CF838" s="14" t="n">
        <v>91.43300000000001</v>
      </c>
      <c r="CG838" s="14" t="n">
        <v>0.05</v>
      </c>
      <c r="CH838" s="14" t="n">
        <v>1</v>
      </c>
      <c r="CI838" s="14" t="n">
        <v>0</v>
      </c>
      <c r="CJ838" s="14" t="n">
        <v>0</v>
      </c>
      <c r="CK838" s="14" t="n">
        <v>0</v>
      </c>
      <c r="CL838" s="14" t="n">
        <v>0</v>
      </c>
      <c r="CM838" s="14" t="n">
        <v>0</v>
      </c>
      <c r="CN838" s="14" t="n">
        <v>0</v>
      </c>
      <c r="CO838" s="14" t="n">
        <v>0</v>
      </c>
      <c r="CP838" s="14" t="n">
        <v>0</v>
      </c>
      <c r="CQ838" s="14" t="n">
        <v>1.348</v>
      </c>
      <c r="CR838" s="14" t="n">
        <v>0.707</v>
      </c>
      <c r="CS838" s="14" t="n">
        <v>4.093</v>
      </c>
      <c r="CT838" s="14" t="n">
        <v>4.861</v>
      </c>
      <c r="CU838" s="14" t="n">
        <v>10.622</v>
      </c>
    </row>
    <row r="839">
      <c r="A839" s="14" t="inlineStr">
        <is>
          <t>ARE2024</t>
        </is>
      </c>
      <c r="B839" s="14" t="inlineStr">
        <is>
          <t>ARE</t>
        </is>
      </c>
      <c r="C839" s="14" t="inlineStr">
        <is>
          <t>ARE</t>
        </is>
      </c>
      <c r="D839" s="14" t="inlineStr">
        <is>
          <t>United Arab Emirates</t>
        </is>
      </c>
      <c r="E839" s="14" t="n">
        <v>2024</v>
      </c>
      <c r="F839" s="14" t="n">
        <v>0.05</v>
      </c>
      <c r="G839" s="14" t="n">
        <v>5.575</v>
      </c>
      <c r="H839" s="14" t="n">
        <v>1.324</v>
      </c>
      <c r="I839" s="14" t="n">
        <v>0.213</v>
      </c>
      <c r="J839" s="14" t="n">
        <v>5.787</v>
      </c>
      <c r="K839" s="14" t="n">
        <v>0</v>
      </c>
      <c r="L839" s="14" t="n">
        <v>1</v>
      </c>
      <c r="M839" s="14" t="n">
        <v>7.124</v>
      </c>
      <c r="N839" s="14" t="n">
        <v>3.971</v>
      </c>
      <c r="O839" s="14" t="n">
        <v>0.158</v>
      </c>
      <c r="P839" s="14" t="n">
        <v>7.281</v>
      </c>
      <c r="Q839" s="14" t="n">
        <v>0</v>
      </c>
      <c r="R839" s="14" t="n">
        <v>1</v>
      </c>
      <c r="S839" s="14" t="n">
        <v>12.193</v>
      </c>
      <c r="T839" s="14" t="n">
        <v>7.942</v>
      </c>
      <c r="U839" s="14" t="n">
        <v>0.297</v>
      </c>
      <c r="V839" s="14" t="n">
        <v>13.026</v>
      </c>
      <c r="W839" s="14" t="n">
        <v>0.05</v>
      </c>
      <c r="X839" s="14" t="n">
        <v>1</v>
      </c>
      <c r="Y839" s="14" t="n">
        <v>5.975</v>
      </c>
      <c r="Z839" s="14" t="n">
        <v>0.676</v>
      </c>
      <c r="AA839" s="14" t="n">
        <v>-2.868</v>
      </c>
      <c r="AB839" s="14" t="n">
        <v>3.108</v>
      </c>
      <c r="AC839" s="14" t="n">
        <v>0</v>
      </c>
      <c r="AD839" s="14" t="n">
        <v>0</v>
      </c>
      <c r="AE839" s="14" t="n">
        <v>6.831</v>
      </c>
      <c r="AF839" s="14" t="n">
        <v>1.361</v>
      </c>
      <c r="AG839" s="14" t="n">
        <v>-4.291</v>
      </c>
      <c r="AH839" s="14" t="n">
        <v>2.54</v>
      </c>
      <c r="AI839" s="14" t="n">
        <v>0</v>
      </c>
      <c r="AJ839" s="14" t="n">
        <v>0</v>
      </c>
      <c r="AK839" s="14" t="n">
        <v>11.966</v>
      </c>
      <c r="AL839" s="14" t="n">
        <v>5.738</v>
      </c>
      <c r="AM839" s="14" t="n">
        <v>-4.904</v>
      </c>
      <c r="AN839" s="14" t="n">
        <v>7.062</v>
      </c>
      <c r="AO839" s="14" t="n">
        <v>0</v>
      </c>
      <c r="AP839" s="14" t="n">
        <v>0</v>
      </c>
      <c r="AQ839" s="14" t="n">
        <v>0.72</v>
      </c>
      <c r="AR839" s="14" t="n">
        <v>0.132</v>
      </c>
      <c r="AS839" s="14" t="n">
        <v>0.013</v>
      </c>
      <c r="AT839" s="14" t="n">
        <v>0.77</v>
      </c>
      <c r="AU839" s="14" t="n">
        <v>0.05</v>
      </c>
      <c r="AV839" s="14" t="n">
        <v>1</v>
      </c>
      <c r="AW839" s="14" t="n">
        <v>0.734</v>
      </c>
      <c r="AX839" s="14" t="n">
        <v>0.132</v>
      </c>
      <c r="AY839" s="14" t="n">
        <v>0.017</v>
      </c>
      <c r="AZ839" s="14" t="n">
        <v>0.788</v>
      </c>
      <c r="BA839" s="14" t="n">
        <v>0.05</v>
      </c>
      <c r="BB839" s="14" t="n">
        <v>1</v>
      </c>
      <c r="BC839" s="14" t="n">
        <v>0.51</v>
      </c>
      <c r="BD839" s="14" t="n">
        <v>0.132</v>
      </c>
      <c r="BE839" s="14" t="n">
        <v>0.003</v>
      </c>
      <c r="BF839" s="14" t="n">
        <v>0.536</v>
      </c>
      <c r="BG839" s="14" t="n">
        <v>0.05</v>
      </c>
      <c r="BH839" s="14" t="n">
        <v>1</v>
      </c>
      <c r="BI839" s="14" t="n">
        <v>0.652</v>
      </c>
      <c r="BJ839" s="14" t="n">
        <v>0.132</v>
      </c>
      <c r="BK839" s="14" t="n">
        <v>0.004</v>
      </c>
      <c r="BL839" s="14" t="n">
        <v>0.6850000000000001</v>
      </c>
      <c r="BM839" s="14" t="n">
        <v>0.05</v>
      </c>
      <c r="BN839" s="14" t="n">
        <v>1</v>
      </c>
      <c r="BO839" s="14" t="n">
        <v>0</v>
      </c>
      <c r="BP839" s="14" t="n">
        <v>-0.018</v>
      </c>
      <c r="BQ839" s="14" t="n">
        <v>0.07099999999999999</v>
      </c>
      <c r="BR839" s="14" t="n">
        <v>0</v>
      </c>
      <c r="BS839" s="14" t="n">
        <v>0.333</v>
      </c>
      <c r="BT839" s="14" t="n">
        <v>0</v>
      </c>
      <c r="BU839" s="14" t="n">
        <v>-0.018</v>
      </c>
      <c r="BV839" s="14" t="n">
        <v>0.062</v>
      </c>
      <c r="BW839" s="14" t="n">
        <v>0</v>
      </c>
      <c r="BX839" s="14" t="n">
        <v>0.167</v>
      </c>
      <c r="BY839" s="14" t="n">
        <v>13.646</v>
      </c>
      <c r="BZ839" s="14" t="n">
        <v>0</v>
      </c>
      <c r="CA839" s="14" t="n">
        <v>13.646</v>
      </c>
      <c r="CB839" s="14" t="n">
        <v>0</v>
      </c>
      <c r="CC839" s="14" t="n">
        <v>86.38500000000001</v>
      </c>
      <c r="CD839" s="14" t="n">
        <v>7.95</v>
      </c>
      <c r="CE839" s="14" t="n">
        <v>0.588</v>
      </c>
      <c r="CF839" s="14" t="n">
        <v>90.705</v>
      </c>
      <c r="CG839" s="14" t="n">
        <v>0.05</v>
      </c>
      <c r="CH839" s="14" t="n">
        <v>1</v>
      </c>
      <c r="CI839" s="14" t="n">
        <v>0</v>
      </c>
      <c r="CJ839" s="14" t="n">
        <v>0</v>
      </c>
      <c r="CK839" s="14" t="n">
        <v>0</v>
      </c>
      <c r="CL839" s="14" t="n">
        <v>0</v>
      </c>
      <c r="CM839" s="14" t="n">
        <v>0</v>
      </c>
      <c r="CN839" s="14" t="n">
        <v>0</v>
      </c>
      <c r="CO839" s="14" t="n">
        <v>0</v>
      </c>
      <c r="CP839" s="14" t="n">
        <v>0</v>
      </c>
      <c r="CQ839" s="14" t="n">
        <v>1.387</v>
      </c>
      <c r="CR839" s="14" t="n">
        <v>0.707</v>
      </c>
      <c r="CS839" s="14" t="n">
        <v>4.213</v>
      </c>
      <c r="CT839" s="14" t="n">
        <v>4.251</v>
      </c>
      <c r="CU839" s="14" t="n">
        <v>9.167999999999999</v>
      </c>
    </row>
    <row r="840">
      <c r="A840" s="14" t="inlineStr">
        <is>
          <t>GBR2021</t>
        </is>
      </c>
      <c r="B840" s="14" t="inlineStr">
        <is>
          <t>GBR</t>
        </is>
      </c>
      <c r="C840" s="14" t="inlineStr">
        <is>
          <t>GBR</t>
        </is>
      </c>
      <c r="D840" s="14" t="inlineStr">
        <is>
          <t>United Kingdom</t>
        </is>
      </c>
      <c r="E840" s="14" t="n">
        <v>2021</v>
      </c>
      <c r="F840" s="14" t="n">
        <v>0.2</v>
      </c>
      <c r="G840" s="14" t="n">
        <v>4.347</v>
      </c>
      <c r="H840" s="14" t="n">
        <v>0.951</v>
      </c>
      <c r="I840" s="14" t="n">
        <v>4.105</v>
      </c>
      <c r="J840" s="14" t="n">
        <v>8.452</v>
      </c>
      <c r="K840" s="14" t="n">
        <v>0</v>
      </c>
      <c r="L840" s="14" t="n">
        <v>1</v>
      </c>
      <c r="M840" s="14" t="n">
        <v>4.719</v>
      </c>
      <c r="N840" s="14" t="n">
        <v>2.139</v>
      </c>
      <c r="O840" s="14" t="n">
        <v>2.239</v>
      </c>
      <c r="P840" s="14" t="n">
        <v>6.958</v>
      </c>
      <c r="Q840" s="14" t="n">
        <v>0</v>
      </c>
      <c r="R840" s="14" t="n">
        <v>1</v>
      </c>
      <c r="S840" s="14" t="n">
        <v>16.992</v>
      </c>
      <c r="T840" s="14" t="n">
        <v>10.53</v>
      </c>
      <c r="U840" s="14" t="n">
        <v>0.095</v>
      </c>
      <c r="V840" s="14" t="n">
        <v>20.504</v>
      </c>
      <c r="W840" s="14" t="n">
        <v>0.2</v>
      </c>
      <c r="X840" s="14" t="n">
        <v>1</v>
      </c>
      <c r="Y840" s="14" t="n">
        <v>25.664</v>
      </c>
      <c r="Z840" s="14" t="n">
        <v>2.835</v>
      </c>
      <c r="AA840" s="14" t="n">
        <v>-10.255</v>
      </c>
      <c r="AB840" s="14" t="n">
        <v>15.409</v>
      </c>
      <c r="AC840" s="14" t="n">
        <v>0</v>
      </c>
      <c r="AD840" s="14" t="n">
        <v>1</v>
      </c>
      <c r="AE840" s="14" t="n">
        <v>20.76</v>
      </c>
      <c r="AF840" s="14" t="n">
        <v>4.085</v>
      </c>
      <c r="AG840" s="14" t="n">
        <v>-7.711</v>
      </c>
      <c r="AH840" s="14" t="n">
        <v>13.049</v>
      </c>
      <c r="AI840" s="14" t="n">
        <v>0</v>
      </c>
      <c r="AJ840" s="14" t="n">
        <v>1</v>
      </c>
      <c r="AK840" s="14" t="n">
        <v>27.865</v>
      </c>
      <c r="AL840" s="14" t="n">
        <v>13.676</v>
      </c>
      <c r="AM840" s="14" t="n">
        <v>-12.644</v>
      </c>
      <c r="AN840" s="14" t="n">
        <v>18.265</v>
      </c>
      <c r="AO840" s="14" t="n">
        <v>0.2</v>
      </c>
      <c r="AP840" s="14" t="n">
        <v>1</v>
      </c>
      <c r="AQ840" s="14" t="n">
        <v>0.619</v>
      </c>
      <c r="AR840" s="14" t="n">
        <v>0.114</v>
      </c>
      <c r="AS840" s="14" t="n">
        <v>0.892</v>
      </c>
      <c r="AT840" s="14" t="n">
        <v>1.813</v>
      </c>
      <c r="AU840" s="14" t="n">
        <v>0.2</v>
      </c>
      <c r="AV840" s="14" t="n">
        <v>1</v>
      </c>
      <c r="AW840" s="14" t="n">
        <v>0.599</v>
      </c>
      <c r="AX840" s="14" t="n">
        <v>0.114</v>
      </c>
      <c r="AY840" s="14" t="n">
        <v>0.944</v>
      </c>
      <c r="AZ840" s="14" t="n">
        <v>1.852</v>
      </c>
      <c r="BA840" s="14" t="n">
        <v>0.2</v>
      </c>
      <c r="BB840" s="14" t="n">
        <v>1</v>
      </c>
      <c r="BC840" s="14" t="n">
        <v>0.439</v>
      </c>
      <c r="BD840" s="14" t="n">
        <v>0.114</v>
      </c>
      <c r="BE840" s="14" t="n">
        <v>0.319</v>
      </c>
      <c r="BF840" s="14" t="n">
        <v>0.909</v>
      </c>
      <c r="BG840" s="14" t="n">
        <v>0.2</v>
      </c>
      <c r="BH840" s="14" t="n">
        <v>1</v>
      </c>
      <c r="BI840" s="14" t="n">
        <v>0.505</v>
      </c>
      <c r="BJ840" s="14" t="n">
        <v>0.114</v>
      </c>
      <c r="BK840" s="14" t="n">
        <v>0.078</v>
      </c>
      <c r="BL840" s="14" t="n">
        <v>0.699</v>
      </c>
      <c r="BM840" s="14" t="n">
        <v>0.2</v>
      </c>
      <c r="BN840" s="14" t="n">
        <v>1</v>
      </c>
      <c r="BO840" s="14" t="n">
        <v>0</v>
      </c>
      <c r="BP840" s="14" t="n">
        <v>0.045</v>
      </c>
      <c r="BQ840" s="14" t="n">
        <v>0.188</v>
      </c>
      <c r="BR840" s="14" t="n">
        <v>0</v>
      </c>
      <c r="BS840" s="14" t="n">
        <v>1</v>
      </c>
      <c r="BT840" s="14" t="n">
        <v>0</v>
      </c>
      <c r="BU840" s="14" t="n">
        <v>0.048</v>
      </c>
      <c r="BV840" s="14" t="n">
        <v>0.291</v>
      </c>
      <c r="BW840" s="14" t="n">
        <v>0.05</v>
      </c>
      <c r="BX840" s="14" t="n">
        <v>1</v>
      </c>
      <c r="BY840" s="14" t="n">
        <v>11.787</v>
      </c>
      <c r="BZ840" s="14" t="n">
        <v>0</v>
      </c>
      <c r="CA840" s="14" t="n">
        <v>11.787</v>
      </c>
      <c r="CB840" s="14" t="n">
        <v>0</v>
      </c>
      <c r="CC840" s="14" t="n">
        <v>78.125</v>
      </c>
      <c r="CD840" s="14" t="n">
        <v>7.95</v>
      </c>
      <c r="CE840" s="14" t="n">
        <v>39.721</v>
      </c>
      <c r="CF840" s="14" t="n">
        <v>141.415</v>
      </c>
      <c r="CG840" s="14" t="n">
        <v>0.2</v>
      </c>
      <c r="CH840" s="14" t="n">
        <v>1</v>
      </c>
      <c r="CI840" s="14" t="n">
        <v>0</v>
      </c>
      <c r="CJ840" s="14" t="n">
        <v>0</v>
      </c>
      <c r="CK840" s="14" t="n">
        <v>0</v>
      </c>
      <c r="CL840" s="14" t="n">
        <v>0</v>
      </c>
      <c r="CM840" s="14" t="n">
        <v>0</v>
      </c>
      <c r="CN840" s="14" t="n">
        <v>0.914</v>
      </c>
      <c r="CO840" s="14" t="n">
        <v>1.816</v>
      </c>
      <c r="CP840" s="14" t="n">
        <v>0</v>
      </c>
      <c r="CQ840" s="14" t="n">
        <v>1.198</v>
      </c>
      <c r="CR840" s="14" t="n">
        <v>0</v>
      </c>
      <c r="CS840" s="14" t="n">
        <v>5.221</v>
      </c>
      <c r="CT840" s="14" t="n">
        <v>7.447</v>
      </c>
      <c r="CU840" s="14" t="n">
        <v>14.931</v>
      </c>
    </row>
    <row r="841">
      <c r="A841" s="14" t="inlineStr">
        <is>
          <t>GBR2022</t>
        </is>
      </c>
      <c r="B841" s="14" t="inlineStr">
        <is>
          <t>GBR</t>
        </is>
      </c>
      <c r="C841" s="14" t="inlineStr">
        <is>
          <t>GBR</t>
        </is>
      </c>
      <c r="D841" s="14" t="inlineStr">
        <is>
          <t>United Kingdom</t>
        </is>
      </c>
      <c r="E841" s="14" t="n">
        <v>2022</v>
      </c>
      <c r="F841" s="14" t="n">
        <v>0.2</v>
      </c>
      <c r="G841" s="14" t="n">
        <v>7.85</v>
      </c>
      <c r="H841" s="14" t="n">
        <v>1.219</v>
      </c>
      <c r="I841" s="14" t="n">
        <v>11.883</v>
      </c>
      <c r="J841" s="14" t="n">
        <v>19.733</v>
      </c>
      <c r="K841" s="14" t="n">
        <v>0</v>
      </c>
      <c r="L841" s="14" t="n">
        <v>1</v>
      </c>
      <c r="M841" s="14" t="n">
        <v>9.981</v>
      </c>
      <c r="N841" s="14" t="n">
        <v>4.121</v>
      </c>
      <c r="O841" s="14" t="n">
        <v>9.68</v>
      </c>
      <c r="P841" s="14" t="n">
        <v>19.661</v>
      </c>
      <c r="Q841" s="14" t="n">
        <v>0</v>
      </c>
      <c r="R841" s="14" t="n">
        <v>1</v>
      </c>
      <c r="S841" s="14" t="n">
        <v>20.41</v>
      </c>
      <c r="T841" s="14" t="n">
        <v>9.996</v>
      </c>
      <c r="U841" s="14" t="n">
        <v>0.108</v>
      </c>
      <c r="V841" s="14" t="n">
        <v>24.622</v>
      </c>
      <c r="W841" s="14" t="n">
        <v>0.2</v>
      </c>
      <c r="X841" s="14" t="n">
        <v>1</v>
      </c>
      <c r="Y841" s="14" t="n">
        <v>35.24</v>
      </c>
      <c r="Z841" s="14" t="n">
        <v>3.697</v>
      </c>
      <c r="AA841" s="14" t="n">
        <v>-5.161</v>
      </c>
      <c r="AB841" s="14" t="n">
        <v>30.078</v>
      </c>
      <c r="AC841" s="14" t="n">
        <v>0</v>
      </c>
      <c r="AD841" s="14" t="n">
        <v>1</v>
      </c>
      <c r="AE841" s="14" t="n">
        <v>30.427</v>
      </c>
      <c r="AF841" s="14" t="n">
        <v>5.641</v>
      </c>
      <c r="AG841" s="14" t="n">
        <v>-6.571</v>
      </c>
      <c r="AH841" s="14" t="n">
        <v>23.856</v>
      </c>
      <c r="AI841" s="14" t="n">
        <v>0</v>
      </c>
      <c r="AJ841" s="14" t="n">
        <v>1</v>
      </c>
      <c r="AK841" s="14" t="n">
        <v>38.08</v>
      </c>
      <c r="AL841" s="14" t="n">
        <v>18.185</v>
      </c>
      <c r="AM841" s="14" t="n">
        <v>-11.196</v>
      </c>
      <c r="AN841" s="14" t="n">
        <v>32.261</v>
      </c>
      <c r="AO841" s="14" t="n">
        <v>0.2</v>
      </c>
      <c r="AP841" s="14" t="n">
        <v>1</v>
      </c>
      <c r="AQ841" s="14" t="n">
        <v>0.861</v>
      </c>
      <c r="AR841" s="14" t="n">
        <v>0.123</v>
      </c>
      <c r="AS841" s="14" t="n">
        <v>0.836</v>
      </c>
      <c r="AT841" s="14" t="n">
        <v>2.037</v>
      </c>
      <c r="AU841" s="14" t="n">
        <v>0.2</v>
      </c>
      <c r="AV841" s="14" t="n">
        <v>1</v>
      </c>
      <c r="AW841" s="14" t="n">
        <v>0.986</v>
      </c>
      <c r="AX841" s="14" t="n">
        <v>0.123</v>
      </c>
      <c r="AY841" s="14" t="n">
        <v>0.853</v>
      </c>
      <c r="AZ841" s="14" t="n">
        <v>2.208</v>
      </c>
      <c r="BA841" s="14" t="n">
        <v>0.2</v>
      </c>
      <c r="BB841" s="14" t="n">
        <v>1</v>
      </c>
      <c r="BC841" s="14" t="n">
        <v>0.598</v>
      </c>
      <c r="BD841" s="14" t="n">
        <v>0.123</v>
      </c>
      <c r="BE841" s="14" t="n">
        <v>0.154</v>
      </c>
      <c r="BF841" s="14" t="n">
        <v>0.902</v>
      </c>
      <c r="BG841" s="14" t="n">
        <v>0.2</v>
      </c>
      <c r="BH841" s="14" t="n">
        <v>1</v>
      </c>
      <c r="BI841" s="14" t="n">
        <v>0.612</v>
      </c>
      <c r="BJ841" s="14" t="n">
        <v>0.123</v>
      </c>
      <c r="BK841" s="14" t="n">
        <v>0.327</v>
      </c>
      <c r="BL841" s="14" t="n">
        <v>1.127</v>
      </c>
      <c r="BM841" s="14" t="n">
        <v>0.2</v>
      </c>
      <c r="BN841" s="14" t="n">
        <v>1</v>
      </c>
      <c r="BO841" s="14" t="n">
        <v>0</v>
      </c>
      <c r="BP841" s="14" t="n">
        <v>0.034</v>
      </c>
      <c r="BQ841" s="14" t="n">
        <v>0.254</v>
      </c>
      <c r="BR841" s="14" t="n">
        <v>0</v>
      </c>
      <c r="BS841" s="14" t="n">
        <v>1</v>
      </c>
      <c r="BT841" s="14" t="n">
        <v>0</v>
      </c>
      <c r="BU841" s="14" t="n">
        <v>0.043</v>
      </c>
      <c r="BV841" s="14" t="n">
        <v>0.415</v>
      </c>
      <c r="BW841" s="14" t="n">
        <v>0.05</v>
      </c>
      <c r="BX841" s="14" t="n">
        <v>1</v>
      </c>
      <c r="BY841" s="14" t="n">
        <v>12.729</v>
      </c>
      <c r="BZ841" s="14" t="n">
        <v>0</v>
      </c>
      <c r="CA841" s="14" t="n">
        <v>12.729</v>
      </c>
      <c r="CB841" s="14" t="n">
        <v>0</v>
      </c>
      <c r="CC841" s="14" t="n">
        <v>97.90000000000001</v>
      </c>
      <c r="CD841" s="14" t="n">
        <v>7.95</v>
      </c>
      <c r="CE841" s="14" t="n">
        <v>95.393</v>
      </c>
      <c r="CF841" s="14" t="n">
        <v>231.952</v>
      </c>
      <c r="CG841" s="14" t="n">
        <v>0.2</v>
      </c>
      <c r="CH841" s="14" t="n">
        <v>1</v>
      </c>
      <c r="CI841" s="14" t="n">
        <v>0</v>
      </c>
      <c r="CJ841" s="14" t="n">
        <v>0</v>
      </c>
      <c r="CK841" s="14" t="n">
        <v>0</v>
      </c>
      <c r="CL841" s="14" t="n">
        <v>0</v>
      </c>
      <c r="CM841" s="14" t="n">
        <v>0</v>
      </c>
      <c r="CN841" s="14" t="n">
        <v>1.12</v>
      </c>
      <c r="CO841" s="14" t="n">
        <v>1.89</v>
      </c>
      <c r="CP841" s="14" t="n">
        <v>0</v>
      </c>
      <c r="CQ841" s="14" t="n">
        <v>1.294</v>
      </c>
      <c r="CR841" s="14" t="n">
        <v>0</v>
      </c>
      <c r="CS841" s="14" t="n">
        <v>5.638</v>
      </c>
      <c r="CT841" s="14" t="n">
        <v>19.027</v>
      </c>
      <c r="CU841" s="14" t="n">
        <v>24.415</v>
      </c>
    </row>
    <row r="842">
      <c r="A842" s="14" t="inlineStr">
        <is>
          <t>GBR2023</t>
        </is>
      </c>
      <c r="B842" s="14" t="inlineStr">
        <is>
          <t>GBR</t>
        </is>
      </c>
      <c r="C842" s="14" t="inlineStr">
        <is>
          <t>GBR</t>
        </is>
      </c>
      <c r="D842" s="14" t="inlineStr">
        <is>
          <t>United Kingdom</t>
        </is>
      </c>
      <c r="E842" s="14" t="n">
        <v>2023</v>
      </c>
      <c r="F842" s="14" t="n">
        <v>0.2</v>
      </c>
      <c r="G842" s="14" t="n">
        <v>12.936</v>
      </c>
      <c r="H842" s="14" t="n">
        <v>2.946</v>
      </c>
      <c r="I842" s="14" t="n">
        <v>11.178</v>
      </c>
      <c r="J842" s="14" t="n">
        <v>24.114</v>
      </c>
      <c r="K842" s="14" t="n">
        <v>0</v>
      </c>
      <c r="L842" s="14" t="n">
        <v>1</v>
      </c>
      <c r="M842" s="14" t="n">
        <v>14.03</v>
      </c>
      <c r="N842" s="14" t="n">
        <v>6.958</v>
      </c>
      <c r="O842" s="14" t="n">
        <v>9.073</v>
      </c>
      <c r="P842" s="14" t="n">
        <v>23.103</v>
      </c>
      <c r="Q842" s="14" t="n">
        <v>0</v>
      </c>
      <c r="R842" s="14" t="n">
        <v>1</v>
      </c>
      <c r="S842" s="14" t="n">
        <v>30.588</v>
      </c>
      <c r="T842" s="14" t="n">
        <v>19.182</v>
      </c>
      <c r="U842" s="14" t="n">
        <v>0.122</v>
      </c>
      <c r="V842" s="14" t="n">
        <v>36.852</v>
      </c>
      <c r="W842" s="14" t="n">
        <v>0.2</v>
      </c>
      <c r="X842" s="14" t="n">
        <v>1</v>
      </c>
      <c r="Y842" s="14" t="n">
        <v>22.551</v>
      </c>
      <c r="Z842" s="14" t="n">
        <v>2.526</v>
      </c>
      <c r="AA842" s="14" t="n">
        <v>9.079000000000001</v>
      </c>
      <c r="AB842" s="14" t="n">
        <v>31.63</v>
      </c>
      <c r="AC842" s="14" t="n">
        <v>0</v>
      </c>
      <c r="AD842" s="14" t="n">
        <v>1</v>
      </c>
      <c r="AE842" s="14" t="n">
        <v>17.789</v>
      </c>
      <c r="AF842" s="14" t="n">
        <v>3.543</v>
      </c>
      <c r="AG842" s="14" t="n">
        <v>7.601</v>
      </c>
      <c r="AH842" s="14" t="n">
        <v>25.39</v>
      </c>
      <c r="AI842" s="14" t="n">
        <v>0</v>
      </c>
      <c r="AJ842" s="14" t="n">
        <v>1</v>
      </c>
      <c r="AK842" s="14" t="n">
        <v>25.748</v>
      </c>
      <c r="AL842" s="14" t="n">
        <v>12.755</v>
      </c>
      <c r="AM842" s="14" t="n">
        <v>2.682</v>
      </c>
      <c r="AN842" s="14" t="n">
        <v>34.116</v>
      </c>
      <c r="AO842" s="14" t="n">
        <v>0.2</v>
      </c>
      <c r="AP842" s="14" t="n">
        <v>1</v>
      </c>
      <c r="AQ842" s="14" t="n">
        <v>0.76</v>
      </c>
      <c r="AR842" s="14" t="n">
        <v>0.129</v>
      </c>
      <c r="AS842" s="14" t="n">
        <v>0.772</v>
      </c>
      <c r="AT842" s="14" t="n">
        <v>1.839</v>
      </c>
      <c r="AU842" s="14" t="n">
        <v>0.2</v>
      </c>
      <c r="AV842" s="14" t="n">
        <v>1</v>
      </c>
      <c r="AW842" s="14" t="n">
        <v>0.8110000000000001</v>
      </c>
      <c r="AX842" s="14" t="n">
        <v>0.129</v>
      </c>
      <c r="AY842" s="14" t="n">
        <v>0.841</v>
      </c>
      <c r="AZ842" s="14" t="n">
        <v>1.983</v>
      </c>
      <c r="BA842" s="14" t="n">
        <v>0.2</v>
      </c>
      <c r="BB842" s="14" t="n">
        <v>1</v>
      </c>
      <c r="BC842" s="14" t="n">
        <v>0.535</v>
      </c>
      <c r="BD842" s="14" t="n">
        <v>0.129</v>
      </c>
      <c r="BE842" s="14" t="n">
        <v>0.264</v>
      </c>
      <c r="BF842" s="14" t="n">
        <v>0.958</v>
      </c>
      <c r="BG842" s="14" t="n">
        <v>0.2</v>
      </c>
      <c r="BH842" s="14" t="n">
        <v>1</v>
      </c>
      <c r="BI842" s="14" t="n">
        <v>0.579</v>
      </c>
      <c r="BJ842" s="14" t="n">
        <v>0.129</v>
      </c>
      <c r="BK842" s="14" t="n">
        <v>0.183</v>
      </c>
      <c r="BL842" s="14" t="n">
        <v>0.915</v>
      </c>
      <c r="BM842" s="14" t="n">
        <v>0.2</v>
      </c>
      <c r="BN842" s="14" t="n">
        <v>1</v>
      </c>
      <c r="BO842" s="14" t="n">
        <v>0</v>
      </c>
      <c r="BP842" s="14" t="n">
        <v>0.037</v>
      </c>
      <c r="BQ842" s="14" t="n">
        <v>0.345</v>
      </c>
      <c r="BR842" s="14" t="n">
        <v>0</v>
      </c>
      <c r="BS842" s="14" t="n">
        <v>1</v>
      </c>
      <c r="BT842" s="14" t="n">
        <v>0</v>
      </c>
      <c r="BU842" s="14" t="n">
        <v>0.07199999999999999</v>
      </c>
      <c r="BV842" s="14" t="n">
        <v>0.433</v>
      </c>
      <c r="BW842" s="14" t="n">
        <v>0.05</v>
      </c>
      <c r="BX842" s="14" t="n">
        <v>1</v>
      </c>
      <c r="BY842" s="14" t="n">
        <v>13.254</v>
      </c>
      <c r="BZ842" s="14" t="n">
        <v>0</v>
      </c>
      <c r="CA842" s="14" t="n">
        <v>13.254</v>
      </c>
      <c r="CB842" s="14" t="n">
        <v>0</v>
      </c>
      <c r="CC842" s="14" t="n">
        <v>83.248</v>
      </c>
      <c r="CD842" s="14" t="n">
        <v>7.95</v>
      </c>
      <c r="CE842" s="14" t="n">
        <v>83.386</v>
      </c>
      <c r="CF842" s="14" t="n">
        <v>199.961</v>
      </c>
      <c r="CG842" s="14" t="n">
        <v>0.2</v>
      </c>
      <c r="CH842" s="14" t="n">
        <v>1</v>
      </c>
      <c r="CI842" s="14" t="n">
        <v>0</v>
      </c>
      <c r="CJ842" s="14" t="n">
        <v>0</v>
      </c>
      <c r="CK842" s="14" t="n">
        <v>0</v>
      </c>
      <c r="CL842" s="14" t="n">
        <v>0</v>
      </c>
      <c r="CM842" s="14" t="n">
        <v>0</v>
      </c>
      <c r="CN842" s="14" t="n">
        <v>0.989</v>
      </c>
      <c r="CO842" s="14" t="n">
        <v>1.703</v>
      </c>
      <c r="CP842" s="14" t="n">
        <v>0</v>
      </c>
      <c r="CQ842" s="14" t="n">
        <v>1.348</v>
      </c>
      <c r="CR842" s="14" t="n">
        <v>0</v>
      </c>
      <c r="CS842" s="14" t="n">
        <v>5.871</v>
      </c>
      <c r="CT842" s="14" t="n">
        <v>9.154999999999999</v>
      </c>
      <c r="CU842" s="14" t="n">
        <v>11.675</v>
      </c>
    </row>
    <row r="843">
      <c r="A843" s="14" t="inlineStr">
        <is>
          <t>GBR2024</t>
        </is>
      </c>
      <c r="B843" s="14" t="inlineStr">
        <is>
          <t>GBR</t>
        </is>
      </c>
      <c r="C843" s="14" t="inlineStr">
        <is>
          <t>GBR</t>
        </is>
      </c>
      <c r="D843" s="14" t="inlineStr">
        <is>
          <t>United Kingdom</t>
        </is>
      </c>
      <c r="E843" s="14" t="n">
        <v>2024</v>
      </c>
      <c r="F843" s="14" t="n">
        <v>0.2</v>
      </c>
      <c r="G843" s="14" t="n">
        <v>13.133</v>
      </c>
      <c r="H843" s="14" t="n">
        <v>3.327</v>
      </c>
      <c r="I843" s="14" t="n">
        <v>7.055</v>
      </c>
      <c r="J843" s="14" t="n">
        <v>20.188</v>
      </c>
      <c r="K843" s="14" t="n">
        <v>0</v>
      </c>
      <c r="L843" s="14" t="n">
        <v>1</v>
      </c>
      <c r="M843" s="14" t="n">
        <v>14.313</v>
      </c>
      <c r="N843" s="14" t="n">
        <v>7.797</v>
      </c>
      <c r="O843" s="14" t="n">
        <v>4.935</v>
      </c>
      <c r="P843" s="14" t="n">
        <v>19.248</v>
      </c>
      <c r="Q843" s="14" t="n">
        <v>0</v>
      </c>
      <c r="R843" s="14" t="n">
        <v>1</v>
      </c>
      <c r="S843" s="14" t="n">
        <v>31.19</v>
      </c>
      <c r="T843" s="14" t="n">
        <v>20.649</v>
      </c>
      <c r="U843" s="14" t="n">
        <v>0.125</v>
      </c>
      <c r="V843" s="14" t="n">
        <v>37.578</v>
      </c>
      <c r="W843" s="14" t="n">
        <v>0.2</v>
      </c>
      <c r="X843" s="14" t="n">
        <v>1</v>
      </c>
      <c r="Y843" s="14" t="n">
        <v>32.277</v>
      </c>
      <c r="Z843" s="14" t="n">
        <v>4.076</v>
      </c>
      <c r="AA843" s="14" t="n">
        <v>2.671</v>
      </c>
      <c r="AB843" s="14" t="n">
        <v>34.948</v>
      </c>
      <c r="AC843" s="14" t="n">
        <v>0</v>
      </c>
      <c r="AD843" s="14" t="n">
        <v>1</v>
      </c>
      <c r="AE843" s="14" t="n">
        <v>19.634</v>
      </c>
      <c r="AF843" s="14" t="n">
        <v>4.301</v>
      </c>
      <c r="AG843" s="14" t="n">
        <v>2.779</v>
      </c>
      <c r="AH843" s="14" t="n">
        <v>22.414</v>
      </c>
      <c r="AI843" s="14" t="n">
        <v>0</v>
      </c>
      <c r="AJ843" s="14" t="n">
        <v>1</v>
      </c>
      <c r="AK843" s="14" t="n">
        <v>27.108</v>
      </c>
      <c r="AL843" s="14" t="n">
        <v>13.788</v>
      </c>
      <c r="AM843" s="14" t="n">
        <v>-5.664</v>
      </c>
      <c r="AN843" s="14" t="n">
        <v>25.733</v>
      </c>
      <c r="AO843" s="14" t="n">
        <v>0.2</v>
      </c>
      <c r="AP843" s="14" t="n">
        <v>1</v>
      </c>
      <c r="AQ843" s="14" t="n">
        <v>0.724</v>
      </c>
      <c r="AR843" s="14" t="n">
        <v>0.132</v>
      </c>
      <c r="AS843" s="14" t="n">
        <v>0.785</v>
      </c>
      <c r="AT843" s="14" t="n">
        <v>1.811</v>
      </c>
      <c r="AU843" s="14" t="n">
        <v>0.2</v>
      </c>
      <c r="AV843" s="14" t="n">
        <v>1</v>
      </c>
      <c r="AW843" s="14" t="n">
        <v>0.75</v>
      </c>
      <c r="AX843" s="14" t="n">
        <v>0.132</v>
      </c>
      <c r="AY843" s="14" t="n">
        <v>0.839</v>
      </c>
      <c r="AZ843" s="14" t="n">
        <v>1.908</v>
      </c>
      <c r="BA843" s="14" t="n">
        <v>0.2</v>
      </c>
      <c r="BB843" s="14" t="n">
        <v>1</v>
      </c>
      <c r="BC843" s="14" t="n">
        <v>0.513</v>
      </c>
      <c r="BD843" s="14" t="n">
        <v>0.132</v>
      </c>
      <c r="BE843" s="14" t="n">
        <v>0.413</v>
      </c>
      <c r="BF843" s="14" t="n">
        <v>1.111</v>
      </c>
      <c r="BG843" s="14" t="n">
        <v>0.2</v>
      </c>
      <c r="BH843" s="14" t="n">
        <v>1</v>
      </c>
      <c r="BI843" s="14" t="n">
        <v>0.591</v>
      </c>
      <c r="BJ843" s="14" t="n">
        <v>0.132</v>
      </c>
      <c r="BK843" s="14" t="n">
        <v>0.114</v>
      </c>
      <c r="BL843" s="14" t="n">
        <v>0.846</v>
      </c>
      <c r="BM843" s="14" t="n">
        <v>0.2</v>
      </c>
      <c r="BN843" s="14" t="n">
        <v>1</v>
      </c>
      <c r="BO843" s="14" t="n">
        <v>0</v>
      </c>
      <c r="BP843" s="14" t="n">
        <v>0.044</v>
      </c>
      <c r="BQ843" s="14" t="n">
        <v>0.338</v>
      </c>
      <c r="BR843" s="14" t="n">
        <v>0</v>
      </c>
      <c r="BS843" s="14" t="n">
        <v>1</v>
      </c>
      <c r="BT843" s="14" t="n">
        <v>0</v>
      </c>
      <c r="BU843" s="14" t="n">
        <v>0.053</v>
      </c>
      <c r="BV843" s="14" t="n">
        <v>0.384</v>
      </c>
      <c r="BW843" s="14" t="n">
        <v>0.05</v>
      </c>
      <c r="BX843" s="14" t="n">
        <v>1</v>
      </c>
      <c r="BY843" s="14" t="n">
        <v>13.646</v>
      </c>
      <c r="BZ843" s="14" t="n">
        <v>0</v>
      </c>
      <c r="CA843" s="14" t="n">
        <v>13.646</v>
      </c>
      <c r="CB843" s="14" t="n">
        <v>0</v>
      </c>
      <c r="CC843" s="14" t="n">
        <v>82.58799999999999</v>
      </c>
      <c r="CD843" s="14" t="n">
        <v>7.95</v>
      </c>
      <c r="CE843" s="14" t="n">
        <v>61.413</v>
      </c>
      <c r="CF843" s="14" t="n">
        <v>172.801</v>
      </c>
      <c r="CG843" s="14" t="n">
        <v>0.2</v>
      </c>
      <c r="CH843" s="14" t="n">
        <v>1</v>
      </c>
      <c r="CI843" s="14" t="n">
        <v>0</v>
      </c>
      <c r="CJ843" s="14" t="n">
        <v>0</v>
      </c>
      <c r="CK843" s="14" t="n">
        <v>0</v>
      </c>
      <c r="CL843" s="14" t="n">
        <v>0</v>
      </c>
      <c r="CM843" s="14" t="n">
        <v>0</v>
      </c>
      <c r="CN843" s="14" t="n">
        <v>0.985</v>
      </c>
      <c r="CO843" s="14" t="n">
        <v>1.796</v>
      </c>
      <c r="CP843" s="14" t="n">
        <v>0</v>
      </c>
      <c r="CQ843" s="14" t="n">
        <v>1.387</v>
      </c>
      <c r="CR843" s="14" t="n">
        <v>0</v>
      </c>
      <c r="CS843" s="14" t="n">
        <v>6.044</v>
      </c>
      <c r="CT843" s="14" t="n">
        <v>7.164</v>
      </c>
      <c r="CU843" s="14" t="n">
        <v>10.029</v>
      </c>
    </row>
    <row r="844">
      <c r="A844" s="14" t="inlineStr">
        <is>
          <t>USA2021</t>
        </is>
      </c>
      <c r="B844" s="14" t="inlineStr">
        <is>
          <t>USA</t>
        </is>
      </c>
      <c r="C844" s="14" t="inlineStr">
        <is>
          <t>USA</t>
        </is>
      </c>
      <c r="D844" s="14" t="inlineStr">
        <is>
          <t>United States</t>
        </is>
      </c>
      <c r="E844" s="14" t="n">
        <v>2021</v>
      </c>
      <c r="F844" s="14" t="n">
        <v>0.07000000000000001</v>
      </c>
      <c r="G844" s="14" t="n">
        <v>1.586</v>
      </c>
      <c r="H844" s="14" t="n">
        <v>0.347</v>
      </c>
      <c r="I844" s="14" t="n">
        <v>0.187</v>
      </c>
      <c r="J844" s="14" t="n">
        <v>1.774</v>
      </c>
      <c r="K844" s="14" t="n">
        <v>0</v>
      </c>
      <c r="L844" s="14" t="n">
        <v>1</v>
      </c>
      <c r="M844" s="14" t="n">
        <v>2.349</v>
      </c>
      <c r="N844" s="14" t="n">
        <v>1.065</v>
      </c>
      <c r="O844" s="14" t="n">
        <v>0.113</v>
      </c>
      <c r="P844" s="14" t="n">
        <v>2.462</v>
      </c>
      <c r="Q844" s="14" t="n">
        <v>0</v>
      </c>
      <c r="R844" s="14" t="n">
        <v>1</v>
      </c>
      <c r="S844" s="14" t="n">
        <v>4.852</v>
      </c>
      <c r="T844" s="14" t="n">
        <v>3.468</v>
      </c>
      <c r="U844" s="14" t="n">
        <v>0.08699999999999999</v>
      </c>
      <c r="V844" s="14" t="n">
        <v>5.284</v>
      </c>
      <c r="W844" s="14" t="n">
        <v>0.07000000000000001</v>
      </c>
      <c r="X844" s="14" t="n">
        <v>1</v>
      </c>
      <c r="Y844" s="14" t="n">
        <v>4.712</v>
      </c>
      <c r="Z844" s="14" t="n">
        <v>0.521</v>
      </c>
      <c r="AA844" s="14" t="n">
        <v>0.11</v>
      </c>
      <c r="AB844" s="14" t="n">
        <v>4.822</v>
      </c>
      <c r="AC844" s="14" t="n">
        <v>0</v>
      </c>
      <c r="AD844" s="14" t="n">
        <v>1</v>
      </c>
      <c r="AE844" s="14" t="n">
        <v>8.75</v>
      </c>
      <c r="AF844" s="14" t="n">
        <v>1.722</v>
      </c>
      <c r="AG844" s="14" t="n">
        <v>0.062</v>
      </c>
      <c r="AH844" s="14" t="n">
        <v>8.811999999999999</v>
      </c>
      <c r="AI844" s="14" t="n">
        <v>0</v>
      </c>
      <c r="AJ844" s="14" t="n">
        <v>1</v>
      </c>
      <c r="AK844" s="14" t="n">
        <v>11.64</v>
      </c>
      <c r="AL844" s="14" t="n">
        <v>5.713</v>
      </c>
      <c r="AM844" s="14" t="n">
        <v>-1.191</v>
      </c>
      <c r="AN844" s="14" t="n">
        <v>11.181</v>
      </c>
      <c r="AO844" s="14" t="n">
        <v>0</v>
      </c>
      <c r="AP844" s="14" t="n">
        <v>1</v>
      </c>
      <c r="AQ844" s="14" t="n">
        <v>0.6840000000000001</v>
      </c>
      <c r="AR844" s="14" t="n">
        <v>0.114</v>
      </c>
      <c r="AS844" s="14" t="n">
        <v>0.146</v>
      </c>
      <c r="AT844" s="14" t="n">
        <v>0.888</v>
      </c>
      <c r="AU844" s="14" t="n">
        <v>0.07000000000000001</v>
      </c>
      <c r="AV844" s="14" t="n">
        <v>1</v>
      </c>
      <c r="AW844" s="14" t="n">
        <v>0.577</v>
      </c>
      <c r="AX844" s="14" t="n">
        <v>0.114</v>
      </c>
      <c r="AY844" s="14" t="n">
        <v>0.216</v>
      </c>
      <c r="AZ844" s="14" t="n">
        <v>0.848</v>
      </c>
      <c r="BA844" s="14" t="n">
        <v>0.07000000000000001</v>
      </c>
      <c r="BB844" s="14" t="n">
        <v>1</v>
      </c>
      <c r="BC844" s="14" t="n">
        <v>0.48</v>
      </c>
      <c r="BD844" s="14" t="n">
        <v>0.114</v>
      </c>
      <c r="BE844" s="14" t="n">
        <v>0.002</v>
      </c>
      <c r="BF844" s="14" t="n">
        <v>0.516</v>
      </c>
      <c r="BG844" s="14" t="n">
        <v>0.07000000000000001</v>
      </c>
      <c r="BH844" s="14" t="n">
        <v>1</v>
      </c>
      <c r="BI844" s="14" t="n">
        <v>0.5590000000000001</v>
      </c>
      <c r="BJ844" s="14" t="n">
        <v>0.114</v>
      </c>
      <c r="BK844" s="14" t="n">
        <v>0.218</v>
      </c>
      <c r="BL844" s="14" t="n">
        <v>0.831</v>
      </c>
      <c r="BM844" s="14" t="n">
        <v>0.07000000000000001</v>
      </c>
      <c r="BN844" s="14" t="n">
        <v>1</v>
      </c>
      <c r="BO844" s="14" t="n">
        <v>0</v>
      </c>
      <c r="BP844" s="14" t="n">
        <v>0.003</v>
      </c>
      <c r="BQ844" s="14" t="n">
        <v>0.116</v>
      </c>
      <c r="BR844" s="14" t="n">
        <v>0</v>
      </c>
      <c r="BS844" s="14" t="n">
        <v>1</v>
      </c>
      <c r="BT844" s="14" t="n">
        <v>0</v>
      </c>
      <c r="BU844" s="14" t="n">
        <v>-0.003</v>
      </c>
      <c r="BV844" s="14" t="n">
        <v>0.156</v>
      </c>
      <c r="BW844" s="14" t="n">
        <v>0.07000000000000001</v>
      </c>
      <c r="BX844" s="14" t="n">
        <v>1</v>
      </c>
      <c r="BY844" s="14" t="n">
        <v>11.787</v>
      </c>
      <c r="BZ844" s="14" t="n">
        <v>0</v>
      </c>
      <c r="CA844" s="14" t="n">
        <v>11.787</v>
      </c>
      <c r="CB844" s="14" t="n">
        <v>0</v>
      </c>
      <c r="CC844" s="14" t="n">
        <v>67.79000000000001</v>
      </c>
      <c r="CD844" s="14" t="n">
        <v>7.95</v>
      </c>
      <c r="CE844" s="14" t="n">
        <v>10.466</v>
      </c>
      <c r="CF844" s="14" t="n">
        <v>83.73399999999999</v>
      </c>
      <c r="CG844" s="14" t="n">
        <v>0.07000000000000001</v>
      </c>
      <c r="CH844" s="14" t="n">
        <v>1</v>
      </c>
      <c r="CI844" s="14" t="n">
        <v>0</v>
      </c>
      <c r="CJ844" s="14" t="n">
        <v>0</v>
      </c>
      <c r="CK844" s="14" t="n">
        <v>0</v>
      </c>
      <c r="CL844" s="14" t="n">
        <v>0.229</v>
      </c>
      <c r="CM844" s="14" t="n">
        <v>0</v>
      </c>
      <c r="CN844" s="14" t="n">
        <v>1.013</v>
      </c>
      <c r="CO844" s="14" t="n">
        <v>1.649</v>
      </c>
      <c r="CP844" s="14" t="n">
        <v>0</v>
      </c>
      <c r="CQ844" s="14" t="n">
        <v>1.364</v>
      </c>
      <c r="CR844" s="14" t="n">
        <v>0</v>
      </c>
      <c r="CS844" s="14" t="n">
        <v>3.624</v>
      </c>
      <c r="CT844" s="14" t="n">
        <v>3.136</v>
      </c>
      <c r="CU844" s="14" t="n">
        <v>3.624</v>
      </c>
    </row>
    <row r="845">
      <c r="A845" s="14" t="inlineStr">
        <is>
          <t>USA2022</t>
        </is>
      </c>
      <c r="B845" s="14" t="inlineStr">
        <is>
          <t>USA</t>
        </is>
      </c>
      <c r="C845" s="14" t="inlineStr">
        <is>
          <t>USA</t>
        </is>
      </c>
      <c r="D845" s="14" t="inlineStr">
        <is>
          <t>United States</t>
        </is>
      </c>
      <c r="E845" s="14" t="n">
        <v>2022</v>
      </c>
      <c r="F845" s="14" t="n">
        <v>0.07000000000000001</v>
      </c>
      <c r="G845" s="14" t="n">
        <v>1.892</v>
      </c>
      <c r="H845" s="14" t="n">
        <v>0.294</v>
      </c>
      <c r="I845" s="14" t="n">
        <v>0.217</v>
      </c>
      <c r="J845" s="14" t="n">
        <v>2.109</v>
      </c>
      <c r="K845" s="14" t="n">
        <v>0</v>
      </c>
      <c r="L845" s="14" t="n">
        <v>1</v>
      </c>
      <c r="M845" s="14" t="n">
        <v>2.833</v>
      </c>
      <c r="N845" s="14" t="n">
        <v>1.17</v>
      </c>
      <c r="O845" s="14" t="n">
        <v>0.2</v>
      </c>
      <c r="P845" s="14" t="n">
        <v>3.033</v>
      </c>
      <c r="Q845" s="14" t="n">
        <v>0</v>
      </c>
      <c r="R845" s="14" t="n">
        <v>1</v>
      </c>
      <c r="S845" s="14" t="n">
        <v>5.296</v>
      </c>
      <c r="T845" s="14" t="n">
        <v>3.756</v>
      </c>
      <c r="U845" s="14" t="n">
        <v>0.183</v>
      </c>
      <c r="V845" s="14" t="n">
        <v>5.833</v>
      </c>
      <c r="W845" s="14" t="n">
        <v>0.07000000000000001</v>
      </c>
      <c r="X845" s="14" t="n">
        <v>1</v>
      </c>
      <c r="Y845" s="14" t="n">
        <v>6.835</v>
      </c>
      <c r="Z845" s="14" t="n">
        <v>0.717</v>
      </c>
      <c r="AA845" s="14" t="n">
        <v>0.127</v>
      </c>
      <c r="AB845" s="14" t="n">
        <v>6.962</v>
      </c>
      <c r="AC845" s="14" t="n">
        <v>0</v>
      </c>
      <c r="AD845" s="14" t="n">
        <v>1</v>
      </c>
      <c r="AE845" s="14" t="n">
        <v>12.431</v>
      </c>
      <c r="AF845" s="14" t="n">
        <v>2.304</v>
      </c>
      <c r="AG845" s="14" t="n">
        <v>0.109</v>
      </c>
      <c r="AH845" s="14" t="n">
        <v>12.54</v>
      </c>
      <c r="AI845" s="14" t="n">
        <v>0</v>
      </c>
      <c r="AJ845" s="14" t="n">
        <v>1</v>
      </c>
      <c r="AK845" s="14" t="n">
        <v>15.546</v>
      </c>
      <c r="AL845" s="14" t="n">
        <v>7.424</v>
      </c>
      <c r="AM845" s="14" t="n">
        <v>-1.527</v>
      </c>
      <c r="AN845" s="14" t="n">
        <v>15</v>
      </c>
      <c r="AO845" s="14" t="n">
        <v>0</v>
      </c>
      <c r="AP845" s="14" t="n">
        <v>1</v>
      </c>
      <c r="AQ845" s="14" t="n">
        <v>0.9370000000000001</v>
      </c>
      <c r="AR845" s="14" t="n">
        <v>0.123</v>
      </c>
      <c r="AS845" s="14" t="n">
        <v>0.111</v>
      </c>
      <c r="AT845" s="14" t="n">
        <v>1.121</v>
      </c>
      <c r="AU845" s="14" t="n">
        <v>0.07000000000000001</v>
      </c>
      <c r="AV845" s="14" t="n">
        <v>1</v>
      </c>
      <c r="AW845" s="14" t="n">
        <v>0.89</v>
      </c>
      <c r="AX845" s="14" t="n">
        <v>0.123</v>
      </c>
      <c r="AY845" s="14" t="n">
        <v>0.334</v>
      </c>
      <c r="AZ845" s="14" t="n">
        <v>1.31</v>
      </c>
      <c r="BA845" s="14" t="n">
        <v>0.07000000000000001</v>
      </c>
      <c r="BB845" s="14" t="n">
        <v>1</v>
      </c>
      <c r="BC845" s="14" t="n">
        <v>0.646</v>
      </c>
      <c r="BD845" s="14" t="n">
        <v>0.123</v>
      </c>
      <c r="BE845" s="14" t="n">
        <v>0.007</v>
      </c>
      <c r="BF845" s="14" t="n">
        <v>0.695</v>
      </c>
      <c r="BG845" s="14" t="n">
        <v>0.07000000000000001</v>
      </c>
      <c r="BH845" s="14" t="n">
        <v>1</v>
      </c>
      <c r="BI845" s="14" t="n">
        <v>0.8</v>
      </c>
      <c r="BJ845" s="14" t="n">
        <v>0.123</v>
      </c>
      <c r="BK845" s="14" t="n">
        <v>0.414</v>
      </c>
      <c r="BL845" s="14" t="n">
        <v>1.299</v>
      </c>
      <c r="BM845" s="14" t="n">
        <v>0.07000000000000001</v>
      </c>
      <c r="BN845" s="14" t="n">
        <v>1</v>
      </c>
      <c r="BO845" s="14" t="n">
        <v>0</v>
      </c>
      <c r="BP845" s="14" t="n">
        <v>0.003</v>
      </c>
      <c r="BQ845" s="14" t="n">
        <v>0.14</v>
      </c>
      <c r="BR845" s="14" t="n">
        <v>0</v>
      </c>
      <c r="BS845" s="14" t="n">
        <v>1</v>
      </c>
      <c r="BT845" s="14" t="n">
        <v>0</v>
      </c>
      <c r="BU845" s="14" t="n">
        <v>-0.004</v>
      </c>
      <c r="BV845" s="14" t="n">
        <v>0.173</v>
      </c>
      <c r="BW845" s="14" t="n">
        <v>0.07000000000000001</v>
      </c>
      <c r="BX845" s="14" t="n">
        <v>1</v>
      </c>
      <c r="BY845" s="14" t="n">
        <v>12.729</v>
      </c>
      <c r="BZ845" s="14" t="n">
        <v>0</v>
      </c>
      <c r="CA845" s="14" t="n">
        <v>12.729</v>
      </c>
      <c r="CB845" s="14" t="n">
        <v>0</v>
      </c>
      <c r="CC845" s="14" t="n">
        <v>84.79000000000001</v>
      </c>
      <c r="CD845" s="14" t="n">
        <v>7.95</v>
      </c>
      <c r="CE845" s="14" t="n">
        <v>27.65</v>
      </c>
      <c r="CF845" s="14" t="n">
        <v>120.311</v>
      </c>
      <c r="CG845" s="14" t="n">
        <v>0.07000000000000001</v>
      </c>
      <c r="CH845" s="14" t="n">
        <v>1</v>
      </c>
      <c r="CI845" s="14" t="n">
        <v>0</v>
      </c>
      <c r="CJ845" s="14" t="n">
        <v>0</v>
      </c>
      <c r="CK845" s="14" t="n">
        <v>0</v>
      </c>
      <c r="CL845" s="14" t="n">
        <v>0.248</v>
      </c>
      <c r="CM845" s="14" t="n">
        <v>0</v>
      </c>
      <c r="CN845" s="14" t="n">
        <v>1.151</v>
      </c>
      <c r="CO845" s="14" t="n">
        <v>1.902</v>
      </c>
      <c r="CP845" s="14" t="n">
        <v>0</v>
      </c>
      <c r="CQ845" s="14" t="n">
        <v>1.473</v>
      </c>
      <c r="CR845" s="14" t="n">
        <v>0</v>
      </c>
      <c r="CS845" s="14" t="n">
        <v>6.122</v>
      </c>
      <c r="CT845" s="14" t="n">
        <v>6.323</v>
      </c>
      <c r="CU845" s="14" t="n">
        <v>6.122</v>
      </c>
    </row>
    <row r="846">
      <c r="A846" s="14" t="inlineStr">
        <is>
          <t>USA2023</t>
        </is>
      </c>
      <c r="B846" s="14" t="inlineStr">
        <is>
          <t>USA</t>
        </is>
      </c>
      <c r="C846" s="14" t="inlineStr">
        <is>
          <t>USA</t>
        </is>
      </c>
      <c r="D846" s="14" t="inlineStr">
        <is>
          <t>United States</t>
        </is>
      </c>
      <c r="E846" s="14" t="n">
        <v>2023</v>
      </c>
      <c r="F846" s="14" t="n">
        <v>0.07000000000000001</v>
      </c>
      <c r="G846" s="14" t="n">
        <v>2.008</v>
      </c>
      <c r="H846" s="14" t="n">
        <v>0.457</v>
      </c>
      <c r="I846" s="14" t="n">
        <v>0.246</v>
      </c>
      <c r="J846" s="14" t="n">
        <v>2.254</v>
      </c>
      <c r="K846" s="14" t="n">
        <v>0</v>
      </c>
      <c r="L846" s="14" t="n">
        <v>1</v>
      </c>
      <c r="M846" s="14" t="n">
        <v>3.383</v>
      </c>
      <c r="N846" s="14" t="n">
        <v>1.678</v>
      </c>
      <c r="O846" s="14" t="n">
        <v>0.288</v>
      </c>
      <c r="P846" s="14" t="n">
        <v>3.671</v>
      </c>
      <c r="Q846" s="14" t="n">
        <v>0</v>
      </c>
      <c r="R846" s="14" t="n">
        <v>1</v>
      </c>
      <c r="S846" s="14" t="n">
        <v>5.451</v>
      </c>
      <c r="T846" s="14" t="n">
        <v>3.894</v>
      </c>
      <c r="U846" s="14" t="n">
        <v>0.268</v>
      </c>
      <c r="V846" s="14" t="n">
        <v>6.072</v>
      </c>
      <c r="W846" s="14" t="n">
        <v>0.07000000000000001</v>
      </c>
      <c r="X846" s="14" t="n">
        <v>1</v>
      </c>
      <c r="Y846" s="14" t="n">
        <v>3.187</v>
      </c>
      <c r="Z846" s="14" t="n">
        <v>0.357</v>
      </c>
      <c r="AA846" s="14" t="n">
        <v>0.144</v>
      </c>
      <c r="AB846" s="14" t="n">
        <v>3.331</v>
      </c>
      <c r="AC846" s="14" t="n">
        <v>0</v>
      </c>
      <c r="AD846" s="14" t="n">
        <v>1</v>
      </c>
      <c r="AE846" s="14" t="n">
        <v>9.375</v>
      </c>
      <c r="AF846" s="14" t="n">
        <v>1.867</v>
      </c>
      <c r="AG846" s="14" t="n">
        <v>0.156</v>
      </c>
      <c r="AH846" s="14" t="n">
        <v>9.531000000000001</v>
      </c>
      <c r="AI846" s="14" t="n">
        <v>0</v>
      </c>
      <c r="AJ846" s="14" t="n">
        <v>1</v>
      </c>
      <c r="AK846" s="14" t="n">
        <v>12.623</v>
      </c>
      <c r="AL846" s="14" t="n">
        <v>6.253</v>
      </c>
      <c r="AM846" s="14" t="n">
        <v>-1.265</v>
      </c>
      <c r="AN846" s="14" t="n">
        <v>12.153</v>
      </c>
      <c r="AO846" s="14" t="n">
        <v>0</v>
      </c>
      <c r="AP846" s="14" t="n">
        <v>1</v>
      </c>
      <c r="AQ846" s="14" t="n">
        <v>0.8139999999999999</v>
      </c>
      <c r="AR846" s="14" t="n">
        <v>0.129</v>
      </c>
      <c r="AS846" s="14" t="n">
        <v>0.13</v>
      </c>
      <c r="AT846" s="14" t="n">
        <v>1.01</v>
      </c>
      <c r="AU846" s="14" t="n">
        <v>0.07000000000000001</v>
      </c>
      <c r="AV846" s="14" t="n">
        <v>1</v>
      </c>
      <c r="AW846" s="14" t="n">
        <v>0.618</v>
      </c>
      <c r="AX846" s="14" t="n">
        <v>0.129</v>
      </c>
      <c r="AY846" s="14" t="n">
        <v>0.422</v>
      </c>
      <c r="AZ846" s="14" t="n">
        <v>1.113</v>
      </c>
      <c r="BA846" s="14" t="n">
        <v>0.07000000000000001</v>
      </c>
      <c r="BB846" s="14" t="n">
        <v>1</v>
      </c>
      <c r="BC846" s="14" t="n">
        <v>0.569</v>
      </c>
      <c r="BD846" s="14" t="n">
        <v>0.129</v>
      </c>
      <c r="BE846" s="14" t="n">
        <v>0.008999999999999999</v>
      </c>
      <c r="BF846" s="14" t="n">
        <v>0.614</v>
      </c>
      <c r="BG846" s="14" t="n">
        <v>0.07000000000000001</v>
      </c>
      <c r="BH846" s="14" t="n">
        <v>1</v>
      </c>
      <c r="BI846" s="14" t="n">
        <v>0.697</v>
      </c>
      <c r="BJ846" s="14" t="n">
        <v>0.129</v>
      </c>
      <c r="BK846" s="14" t="n">
        <v>0.321</v>
      </c>
      <c r="BL846" s="14" t="n">
        <v>1.089</v>
      </c>
      <c r="BM846" s="14" t="n">
        <v>0.07000000000000001</v>
      </c>
      <c r="BN846" s="14" t="n">
        <v>1</v>
      </c>
      <c r="BO846" s="14" t="n">
        <v>0</v>
      </c>
      <c r="BP846" s="14" t="n">
        <v>0.003</v>
      </c>
      <c r="BQ846" s="14" t="n">
        <v>0.144</v>
      </c>
      <c r="BR846" s="14" t="n">
        <v>0</v>
      </c>
      <c r="BS846" s="14" t="n">
        <v>1</v>
      </c>
      <c r="BT846" s="14" t="n">
        <v>0</v>
      </c>
      <c r="BU846" s="14" t="n">
        <v>-0.004</v>
      </c>
      <c r="BV846" s="14" t="n">
        <v>0.169</v>
      </c>
      <c r="BW846" s="14" t="n">
        <v>0.07000000000000001</v>
      </c>
      <c r="BX846" s="14" t="n">
        <v>1</v>
      </c>
      <c r="BY846" s="14" t="n">
        <v>13.254</v>
      </c>
      <c r="BZ846" s="14" t="n">
        <v>0</v>
      </c>
      <c r="CA846" s="14" t="n">
        <v>13.254</v>
      </c>
      <c r="CB846" s="14" t="n">
        <v>0</v>
      </c>
      <c r="CC846" s="14" t="n">
        <v>68.569</v>
      </c>
      <c r="CD846" s="14" t="n">
        <v>7.95</v>
      </c>
      <c r="CE846" s="14" t="n">
        <v>41.73</v>
      </c>
      <c r="CF846" s="14" t="n">
        <v>118.02</v>
      </c>
      <c r="CG846" s="14" t="n">
        <v>0.07000000000000001</v>
      </c>
      <c r="CH846" s="14" t="n">
        <v>1</v>
      </c>
      <c r="CI846" s="14" t="n">
        <v>0</v>
      </c>
      <c r="CJ846" s="14" t="n">
        <v>0</v>
      </c>
      <c r="CK846" s="14" t="n">
        <v>0</v>
      </c>
      <c r="CL846" s="14" t="n">
        <v>0.258</v>
      </c>
      <c r="CM846" s="14" t="n">
        <v>0</v>
      </c>
      <c r="CN846" s="14" t="n">
        <v>1.25</v>
      </c>
      <c r="CO846" s="14" t="n">
        <v>2.124</v>
      </c>
      <c r="CP846" s="14" t="n">
        <v>0</v>
      </c>
      <c r="CQ846" s="14" t="n">
        <v>1.534</v>
      </c>
      <c r="CR846" s="14" t="n">
        <v>0</v>
      </c>
      <c r="CS846" s="14" t="n">
        <v>2.445</v>
      </c>
      <c r="CT846" s="14" t="n">
        <v>3.961</v>
      </c>
      <c r="CU846" s="14" t="n">
        <v>2.445</v>
      </c>
    </row>
    <row r="847">
      <c r="A847" s="14" t="inlineStr">
        <is>
          <t>USA2024</t>
        </is>
      </c>
      <c r="B847" s="14" t="inlineStr">
        <is>
          <t>USA</t>
        </is>
      </c>
      <c r="C847" s="14" t="inlineStr">
        <is>
          <t>USA</t>
        </is>
      </c>
      <c r="D847" s="14" t="inlineStr">
        <is>
          <t>United States</t>
        </is>
      </c>
      <c r="E847" s="14" t="n">
        <v>2024</v>
      </c>
      <c r="F847" s="14" t="n">
        <v>0.07000000000000001</v>
      </c>
      <c r="G847" s="14" t="n">
        <v>1.746</v>
      </c>
      <c r="H847" s="14" t="n">
        <v>0.442</v>
      </c>
      <c r="I847" s="14" t="n">
        <v>0.253</v>
      </c>
      <c r="J847" s="14" t="n">
        <v>1.999</v>
      </c>
      <c r="K847" s="14" t="n">
        <v>0</v>
      </c>
      <c r="L847" s="14" t="n">
        <v>1</v>
      </c>
      <c r="M847" s="14" t="n">
        <v>2.845</v>
      </c>
      <c r="N847" s="14" t="n">
        <v>1.55</v>
      </c>
      <c r="O847" s="14" t="n">
        <v>0.297</v>
      </c>
      <c r="P847" s="14" t="n">
        <v>3.141</v>
      </c>
      <c r="Q847" s="14" t="n">
        <v>0</v>
      </c>
      <c r="R847" s="14" t="n">
        <v>1</v>
      </c>
      <c r="S847" s="14" t="n">
        <v>5.618</v>
      </c>
      <c r="T847" s="14" t="n">
        <v>4.009</v>
      </c>
      <c r="U847" s="14" t="n">
        <v>0.286</v>
      </c>
      <c r="V847" s="14" t="n">
        <v>6.258</v>
      </c>
      <c r="W847" s="14" t="n">
        <v>0.07000000000000001</v>
      </c>
      <c r="X847" s="14" t="n">
        <v>1</v>
      </c>
      <c r="Y847" s="14" t="n">
        <v>2.492</v>
      </c>
      <c r="Z847" s="14" t="n">
        <v>0.315</v>
      </c>
      <c r="AA847" s="14" t="n">
        <v>0.148</v>
      </c>
      <c r="AB847" s="14" t="n">
        <v>2.64</v>
      </c>
      <c r="AC847" s="14" t="n">
        <v>0</v>
      </c>
      <c r="AD847" s="14" t="n">
        <v>1</v>
      </c>
      <c r="AE847" s="14" t="n">
        <v>8.52</v>
      </c>
      <c r="AF847" s="14" t="n">
        <v>1.866</v>
      </c>
      <c r="AG847" s="14" t="n">
        <v>0.161</v>
      </c>
      <c r="AH847" s="14" t="n">
        <v>8.680999999999999</v>
      </c>
      <c r="AI847" s="14" t="n">
        <v>0</v>
      </c>
      <c r="AJ847" s="14" t="n">
        <v>1</v>
      </c>
      <c r="AK847" s="14" t="n">
        <v>11.864</v>
      </c>
      <c r="AL847" s="14" t="n">
        <v>6.034</v>
      </c>
      <c r="AM847" s="14" t="n">
        <v>-1.285</v>
      </c>
      <c r="AN847" s="14" t="n">
        <v>11.319</v>
      </c>
      <c r="AO847" s="14" t="n">
        <v>0</v>
      </c>
      <c r="AP847" s="14" t="n">
        <v>1</v>
      </c>
      <c r="AQ847" s="14" t="n">
        <v>0.75</v>
      </c>
      <c r="AR847" s="14" t="n">
        <v>0.132</v>
      </c>
      <c r="AS847" s="14" t="n">
        <v>0.148</v>
      </c>
      <c r="AT847" s="14" t="n">
        <v>0.96</v>
      </c>
      <c r="AU847" s="14" t="n">
        <v>0.07000000000000001</v>
      </c>
      <c r="AV847" s="14" t="n">
        <v>1</v>
      </c>
      <c r="AW847" s="14" t="n">
        <v>0.655</v>
      </c>
      <c r="AX847" s="14" t="n">
        <v>0.132</v>
      </c>
      <c r="AY847" s="14" t="n">
        <v>0.275</v>
      </c>
      <c r="AZ847" s="14" t="n">
        <v>0.995</v>
      </c>
      <c r="BA847" s="14" t="n">
        <v>0.07000000000000001</v>
      </c>
      <c r="BB847" s="14" t="n">
        <v>1</v>
      </c>
      <c r="BC847" s="14" t="n">
        <v>0.529</v>
      </c>
      <c r="BD847" s="14" t="n">
        <v>0.132</v>
      </c>
      <c r="BE847" s="14" t="n">
        <v>0.01</v>
      </c>
      <c r="BF847" s="14" t="n">
        <v>0.572</v>
      </c>
      <c r="BG847" s="14" t="n">
        <v>0.07000000000000001</v>
      </c>
      <c r="BH847" s="14" t="n">
        <v>1</v>
      </c>
      <c r="BI847" s="14" t="n">
        <v>0.666</v>
      </c>
      <c r="BJ847" s="14" t="n">
        <v>0.132</v>
      </c>
      <c r="BK847" s="14" t="n">
        <v>0.284</v>
      </c>
      <c r="BL847" s="14" t="n">
        <v>1.016</v>
      </c>
      <c r="BM847" s="14" t="n">
        <v>0.07000000000000001</v>
      </c>
      <c r="BN847" s="14" t="n">
        <v>1</v>
      </c>
      <c r="BO847" s="14" t="n">
        <v>0</v>
      </c>
      <c r="BP847" s="14" t="n">
        <v>0.003</v>
      </c>
      <c r="BQ847" s="14" t="n">
        <v>0.149</v>
      </c>
      <c r="BR847" s="14" t="n">
        <v>0</v>
      </c>
      <c r="BS847" s="14" t="n">
        <v>1</v>
      </c>
      <c r="BT847" s="14" t="n">
        <v>0</v>
      </c>
      <c r="BU847" s="14" t="n">
        <v>-0.004</v>
      </c>
      <c r="BV847" s="14" t="n">
        <v>0.187</v>
      </c>
      <c r="BW847" s="14" t="n">
        <v>0.07000000000000001</v>
      </c>
      <c r="BX847" s="14" t="n">
        <v>1</v>
      </c>
      <c r="BY847" s="14" t="n">
        <v>13.646</v>
      </c>
      <c r="BZ847" s="14" t="n">
        <v>0</v>
      </c>
      <c r="CA847" s="14" t="n">
        <v>13.646</v>
      </c>
      <c r="CB847" s="14" t="n">
        <v>0</v>
      </c>
      <c r="CC847" s="14" t="n">
        <v>66.652</v>
      </c>
      <c r="CD847" s="14" t="n">
        <v>7.95</v>
      </c>
      <c r="CE847" s="14" t="n">
        <v>35.22</v>
      </c>
      <c r="CF847" s="14" t="n">
        <v>109.003</v>
      </c>
      <c r="CG847" s="14" t="n">
        <v>0.07000000000000001</v>
      </c>
      <c r="CH847" s="14" t="n">
        <v>1</v>
      </c>
      <c r="CI847" s="14" t="n">
        <v>0</v>
      </c>
      <c r="CJ847" s="14" t="n">
        <v>0</v>
      </c>
      <c r="CK847" s="14" t="n">
        <v>0</v>
      </c>
      <c r="CL847" s="14" t="n">
        <v>0.266</v>
      </c>
      <c r="CM847" s="14" t="n">
        <v>0</v>
      </c>
      <c r="CN847" s="14" t="n">
        <v>1.28</v>
      </c>
      <c r="CO847" s="14" t="n">
        <v>2.256</v>
      </c>
      <c r="CP847" s="14" t="n">
        <v>0</v>
      </c>
      <c r="CQ847" s="14" t="n">
        <v>1.579</v>
      </c>
      <c r="CR847" s="14" t="n">
        <v>0</v>
      </c>
      <c r="CS847" s="14" t="n">
        <v>2.211</v>
      </c>
      <c r="CT847" s="14" t="n">
        <v>4.658</v>
      </c>
      <c r="CU847" s="14" t="n">
        <v>2.211</v>
      </c>
    </row>
    <row r="848">
      <c r="A848" s="14" t="inlineStr">
        <is>
          <t>URY2021</t>
        </is>
      </c>
      <c r="B848" s="14" t="inlineStr">
        <is>
          <t>URY</t>
        </is>
      </c>
      <c r="C848" s="14" t="inlineStr">
        <is>
          <t>URY</t>
        </is>
      </c>
      <c r="D848" s="14" t="inlineStr">
        <is>
          <t>Uruguay</t>
        </is>
      </c>
      <c r="E848" s="14" t="n">
        <v>2021</v>
      </c>
      <c r="F848" s="14" t="n">
        <v>0.22</v>
      </c>
      <c r="G848" s="14" t="n">
        <v>5.897</v>
      </c>
      <c r="H848" s="14" t="n">
        <v>1.143</v>
      </c>
      <c r="I848" s="14" t="n">
        <v>0</v>
      </c>
      <c r="J848" s="14" t="n">
        <v>5.897</v>
      </c>
      <c r="K848" s="14" t="n">
        <v>0</v>
      </c>
      <c r="L848" s="14" t="n">
        <v>1</v>
      </c>
      <c r="M848" s="14" t="n">
        <v>7.964</v>
      </c>
      <c r="N848" s="14" t="n">
        <v>3.43</v>
      </c>
      <c r="O848" s="14" t="n">
        <v>0</v>
      </c>
      <c r="P848" s="14" t="n">
        <v>7.964</v>
      </c>
      <c r="Q848" s="14" t="n">
        <v>0</v>
      </c>
      <c r="R848" s="14" t="n">
        <v>1</v>
      </c>
      <c r="S848" s="14" t="n">
        <v>11.613</v>
      </c>
      <c r="T848" s="14" t="n">
        <v>6.86</v>
      </c>
      <c r="U848" s="14" t="n">
        <v>0</v>
      </c>
      <c r="V848" s="14" t="n">
        <v>14.168</v>
      </c>
      <c r="W848" s="14" t="n">
        <v>0.22</v>
      </c>
      <c r="X848" s="14" t="n">
        <v>1</v>
      </c>
      <c r="Y848" s="14" t="n">
        <v>5.919</v>
      </c>
      <c r="Z848" s="14" t="n">
        <v>0.796</v>
      </c>
      <c r="AA848" s="14" t="n">
        <v>17.006</v>
      </c>
      <c r="AB848" s="14" t="n">
        <v>22.925</v>
      </c>
      <c r="AC848" s="14" t="n">
        <v>0</v>
      </c>
      <c r="AD848" s="14" t="n">
        <v>1</v>
      </c>
      <c r="AE848" s="14" t="n">
        <v>7.062</v>
      </c>
      <c r="AF848" s="14" t="n">
        <v>1.654</v>
      </c>
      <c r="AG848" s="14" t="n">
        <v>15.862</v>
      </c>
      <c r="AH848" s="14" t="n">
        <v>22.925</v>
      </c>
      <c r="AI848" s="14" t="n">
        <v>0</v>
      </c>
      <c r="AJ848" s="14" t="n">
        <v>1</v>
      </c>
      <c r="AK848" s="14" t="n">
        <v>13.922</v>
      </c>
      <c r="AL848" s="14" t="n">
        <v>7.481</v>
      </c>
      <c r="AM848" s="14" t="n">
        <v>15.412</v>
      </c>
      <c r="AN848" s="14" t="n">
        <v>35.788</v>
      </c>
      <c r="AO848" s="14" t="n">
        <v>0.22</v>
      </c>
      <c r="AP848" s="14" t="n">
        <v>1</v>
      </c>
      <c r="AQ848" s="14" t="n">
        <v>0.649</v>
      </c>
      <c r="AR848" s="14" t="n">
        <v>0.114</v>
      </c>
      <c r="AS848" s="14" t="n">
        <v>0.836</v>
      </c>
      <c r="AT848" s="14" t="n">
        <v>1.485</v>
      </c>
      <c r="AU848" s="14" t="n">
        <v>0</v>
      </c>
      <c r="AV848" s="14" t="n">
        <v>1</v>
      </c>
      <c r="AW848" s="14" t="n">
        <v>0.577</v>
      </c>
      <c r="AX848" s="14" t="n">
        <v>0.114</v>
      </c>
      <c r="AY848" s="14" t="n">
        <v>0.277</v>
      </c>
      <c r="AZ848" s="14" t="n">
        <v>1.041</v>
      </c>
      <c r="BA848" s="14" t="n">
        <v>0.22</v>
      </c>
      <c r="BB848" s="14" t="n">
        <v>1</v>
      </c>
      <c r="BC848" s="14" t="n">
        <v>0.458</v>
      </c>
      <c r="BD848" s="14" t="n">
        <v>0.114</v>
      </c>
      <c r="BE848" s="14" t="n">
        <v>0.057</v>
      </c>
      <c r="BF848" s="14" t="n">
        <v>0.629</v>
      </c>
      <c r="BG848" s="14" t="n">
        <v>0.22</v>
      </c>
      <c r="BH848" s="14" t="n">
        <v>1</v>
      </c>
      <c r="BI848" s="14" t="n">
        <v>0.491</v>
      </c>
      <c r="BJ848" s="14" t="n">
        <v>0.114</v>
      </c>
      <c r="BK848" s="14" t="n">
        <v>0.495</v>
      </c>
      <c r="BL848" s="14" t="n">
        <v>0.986</v>
      </c>
      <c r="BM848" s="14" t="n">
        <v>0</v>
      </c>
      <c r="BN848" s="14" t="n">
        <v>1</v>
      </c>
      <c r="BO848" s="14" t="n">
        <v>0</v>
      </c>
      <c r="BP848" s="14" t="n">
        <v>0</v>
      </c>
      <c r="BQ848" s="14" t="n">
        <v>0.127</v>
      </c>
      <c r="BR848" s="14" t="n">
        <v>0</v>
      </c>
      <c r="BS848" s="14" t="n">
        <v>1</v>
      </c>
      <c r="BT848" s="14" t="n">
        <v>0</v>
      </c>
      <c r="BU848" s="14" t="n">
        <v>0</v>
      </c>
      <c r="BV848" s="14" t="n">
        <v>0.174</v>
      </c>
      <c r="BW848" s="14" t="n">
        <v>0.22</v>
      </c>
      <c r="BX848" s="14" t="n">
        <v>1</v>
      </c>
      <c r="BY848" s="14" t="n">
        <v>11.787</v>
      </c>
      <c r="BZ848" s="14" t="n">
        <v>0</v>
      </c>
      <c r="CA848" s="14" t="n">
        <v>11.787</v>
      </c>
      <c r="CB848" s="14" t="n">
        <v>0</v>
      </c>
      <c r="CC848" s="14" t="n">
        <v>78.125</v>
      </c>
      <c r="CD848" s="14" t="n">
        <v>7.95</v>
      </c>
      <c r="CE848" s="14" t="n">
        <v>-4.62</v>
      </c>
      <c r="CF848" s="14" t="n">
        <v>89.676</v>
      </c>
      <c r="CG848" s="14" t="n">
        <v>0.22</v>
      </c>
      <c r="CH848" s="14" t="n">
        <v>1</v>
      </c>
      <c r="CI848" s="14" t="n">
        <v>0</v>
      </c>
      <c r="CJ848" s="14" t="n">
        <v>0</v>
      </c>
      <c r="CK848" s="14" t="n">
        <v>0</v>
      </c>
      <c r="CL848" s="14" t="n">
        <v>0</v>
      </c>
      <c r="CM848" s="14" t="n">
        <v>0</v>
      </c>
      <c r="CN848" s="14" t="n">
        <v>0</v>
      </c>
      <c r="CO848" s="14" t="n">
        <v>0</v>
      </c>
      <c r="CP848" s="14" t="n">
        <v>0</v>
      </c>
      <c r="CQ848" s="14" t="n">
        <v>1.198</v>
      </c>
      <c r="CR848" s="14" t="n">
        <v>0</v>
      </c>
      <c r="CS848" s="14" t="n">
        <v>4.776</v>
      </c>
      <c r="CT848" s="14" t="n">
        <v>4.753</v>
      </c>
      <c r="CU848" s="14" t="n">
        <v>15.983</v>
      </c>
    </row>
    <row r="849">
      <c r="A849" s="14" t="inlineStr">
        <is>
          <t>URY2022</t>
        </is>
      </c>
      <c r="B849" s="14" t="inlineStr">
        <is>
          <t>URY</t>
        </is>
      </c>
      <c r="C849" s="14" t="inlineStr">
        <is>
          <t>URY</t>
        </is>
      </c>
      <c r="D849" s="14" t="inlineStr">
        <is>
          <t>Uruguay</t>
        </is>
      </c>
      <c r="E849" s="14" t="n">
        <v>2022</v>
      </c>
      <c r="F849" s="14" t="n">
        <v>0.22</v>
      </c>
      <c r="G849" s="14" t="n">
        <v>11.72</v>
      </c>
      <c r="H849" s="14" t="n">
        <v>1.235</v>
      </c>
      <c r="I849" s="14" t="n">
        <v>0</v>
      </c>
      <c r="J849" s="14" t="n">
        <v>11.72</v>
      </c>
      <c r="K849" s="14" t="n">
        <v>0</v>
      </c>
      <c r="L849" s="14" t="n">
        <v>1</v>
      </c>
      <c r="M849" s="14" t="n">
        <v>9.782999999999999</v>
      </c>
      <c r="N849" s="14" t="n">
        <v>3.704</v>
      </c>
      <c r="O849" s="14" t="n">
        <v>0</v>
      </c>
      <c r="P849" s="14" t="n">
        <v>9.782999999999999</v>
      </c>
      <c r="Q849" s="14" t="n">
        <v>0</v>
      </c>
      <c r="R849" s="14" t="n">
        <v>1</v>
      </c>
      <c r="S849" s="14" t="n">
        <v>17.893</v>
      </c>
      <c r="T849" s="14" t="n">
        <v>7.408</v>
      </c>
      <c r="U849" s="14" t="n">
        <v>0.291</v>
      </c>
      <c r="V849" s="14" t="n">
        <v>21.83</v>
      </c>
      <c r="W849" s="14" t="n">
        <v>0.22</v>
      </c>
      <c r="X849" s="14" t="n">
        <v>1</v>
      </c>
      <c r="Y849" s="14" t="n">
        <v>6.392</v>
      </c>
      <c r="Z849" s="14" t="n">
        <v>0.86</v>
      </c>
      <c r="AA849" s="14" t="n">
        <v>18.365</v>
      </c>
      <c r="AB849" s="14" t="n">
        <v>24.757</v>
      </c>
      <c r="AC849" s="14" t="n">
        <v>0</v>
      </c>
      <c r="AD849" s="14" t="n">
        <v>1</v>
      </c>
      <c r="AE849" s="14" t="n">
        <v>7.627</v>
      </c>
      <c r="AF849" s="14" t="n">
        <v>1.786</v>
      </c>
      <c r="AG849" s="14" t="n">
        <v>17.13</v>
      </c>
      <c r="AH849" s="14" t="n">
        <v>24.757</v>
      </c>
      <c r="AI849" s="14" t="n">
        <v>0</v>
      </c>
      <c r="AJ849" s="14" t="n">
        <v>1</v>
      </c>
      <c r="AK849" s="14" t="n">
        <v>15.035</v>
      </c>
      <c r="AL849" s="14" t="n">
        <v>8.079000000000001</v>
      </c>
      <c r="AM849" s="14" t="n">
        <v>17.16</v>
      </c>
      <c r="AN849" s="14" t="n">
        <v>38.649</v>
      </c>
      <c r="AO849" s="14" t="n">
        <v>0.22</v>
      </c>
      <c r="AP849" s="14" t="n">
        <v>1</v>
      </c>
      <c r="AQ849" s="14" t="n">
        <v>0.896</v>
      </c>
      <c r="AR849" s="14" t="n">
        <v>0.123</v>
      </c>
      <c r="AS849" s="14" t="n">
        <v>0.885</v>
      </c>
      <c r="AT849" s="14" t="n">
        <v>1.781</v>
      </c>
      <c r="AU849" s="14" t="n">
        <v>0</v>
      </c>
      <c r="AV849" s="14" t="n">
        <v>1</v>
      </c>
      <c r="AW849" s="14" t="n">
        <v>0.89</v>
      </c>
      <c r="AX849" s="14" t="n">
        <v>0.123</v>
      </c>
      <c r="AY849" s="14" t="n">
        <v>0.19</v>
      </c>
      <c r="AZ849" s="14" t="n">
        <v>1.318</v>
      </c>
      <c r="BA849" s="14" t="n">
        <v>0.22</v>
      </c>
      <c r="BB849" s="14" t="n">
        <v>1</v>
      </c>
      <c r="BC849" s="14" t="n">
        <v>0.62</v>
      </c>
      <c r="BD849" s="14" t="n">
        <v>0.123</v>
      </c>
      <c r="BE849" s="14" t="n">
        <v>-0.021</v>
      </c>
      <c r="BF849" s="14" t="n">
        <v>0.731</v>
      </c>
      <c r="BG849" s="14" t="n">
        <v>0.22</v>
      </c>
      <c r="BH849" s="14" t="n">
        <v>1</v>
      </c>
      <c r="BI849" s="14" t="n">
        <v>0.608</v>
      </c>
      <c r="BJ849" s="14" t="n">
        <v>0.123</v>
      </c>
      <c r="BK849" s="14" t="n">
        <v>0.575</v>
      </c>
      <c r="BL849" s="14" t="n">
        <v>1.183</v>
      </c>
      <c r="BM849" s="14" t="n">
        <v>0</v>
      </c>
      <c r="BN849" s="14" t="n">
        <v>1</v>
      </c>
      <c r="BO849" s="14" t="n">
        <v>0</v>
      </c>
      <c r="BP849" s="14" t="n">
        <v>0</v>
      </c>
      <c r="BQ849" s="14" t="n">
        <v>0.14</v>
      </c>
      <c r="BR849" s="14" t="n">
        <v>0</v>
      </c>
      <c r="BS849" s="14" t="n">
        <v>1</v>
      </c>
      <c r="BT849" s="14" t="n">
        <v>0</v>
      </c>
      <c r="BU849" s="14" t="n">
        <v>0</v>
      </c>
      <c r="BV849" s="14" t="n">
        <v>0.191</v>
      </c>
      <c r="BW849" s="14" t="n">
        <v>0.22</v>
      </c>
      <c r="BX849" s="14" t="n">
        <v>1</v>
      </c>
      <c r="BY849" s="14" t="n">
        <v>12.729</v>
      </c>
      <c r="BZ849" s="14" t="n">
        <v>0</v>
      </c>
      <c r="CA849" s="14" t="n">
        <v>12.729</v>
      </c>
      <c r="CB849" s="14" t="n">
        <v>0</v>
      </c>
      <c r="CC849" s="14" t="n">
        <v>97.90000000000001</v>
      </c>
      <c r="CD849" s="14" t="n">
        <v>7.95</v>
      </c>
      <c r="CE849" s="14" t="n">
        <v>-6.28</v>
      </c>
      <c r="CF849" s="14" t="n">
        <v>111.777</v>
      </c>
      <c r="CG849" s="14" t="n">
        <v>0.22</v>
      </c>
      <c r="CH849" s="14" t="n">
        <v>1</v>
      </c>
      <c r="CI849" s="14" t="n">
        <v>0</v>
      </c>
      <c r="CJ849" s="14" t="n">
        <v>0</v>
      </c>
      <c r="CK849" s="14" t="n">
        <v>0</v>
      </c>
      <c r="CL849" s="14" t="n">
        <v>0</v>
      </c>
      <c r="CM849" s="14" t="n">
        <v>0</v>
      </c>
      <c r="CN849" s="14" t="n">
        <v>0</v>
      </c>
      <c r="CO849" s="14" t="n">
        <v>0</v>
      </c>
      <c r="CP849" s="14" t="n">
        <v>0</v>
      </c>
      <c r="CQ849" s="14" t="n">
        <v>1.294</v>
      </c>
      <c r="CR849" s="14" t="n">
        <v>0</v>
      </c>
      <c r="CS849" s="14" t="n">
        <v>5.158</v>
      </c>
      <c r="CT849" s="14" t="n">
        <v>10.485</v>
      </c>
      <c r="CU849" s="14" t="n">
        <v>29.494</v>
      </c>
    </row>
    <row r="850">
      <c r="A850" s="14" t="inlineStr">
        <is>
          <t>URY2023</t>
        </is>
      </c>
      <c r="B850" s="14" t="inlineStr">
        <is>
          <t>URY</t>
        </is>
      </c>
      <c r="C850" s="14" t="inlineStr">
        <is>
          <t>URY</t>
        </is>
      </c>
      <c r="D850" s="14" t="inlineStr">
        <is>
          <t>Uruguay</t>
        </is>
      </c>
      <c r="E850" s="14" t="n">
        <v>2023</v>
      </c>
      <c r="F850" s="14" t="n">
        <v>0.22</v>
      </c>
      <c r="G850" s="14" t="n">
        <v>5.067</v>
      </c>
      <c r="H850" s="14" t="n">
        <v>1.119</v>
      </c>
      <c r="I850" s="14" t="n">
        <v>0</v>
      </c>
      <c r="J850" s="14" t="n">
        <v>5.067</v>
      </c>
      <c r="K850" s="14" t="n">
        <v>0</v>
      </c>
      <c r="L850" s="14" t="n">
        <v>1</v>
      </c>
      <c r="M850" s="14" t="n">
        <v>6.689</v>
      </c>
      <c r="N850" s="14" t="n">
        <v>3.356</v>
      </c>
      <c r="O850" s="14" t="n">
        <v>0</v>
      </c>
      <c r="P850" s="14" t="n">
        <v>6.689</v>
      </c>
      <c r="Q850" s="14" t="n">
        <v>0</v>
      </c>
      <c r="R850" s="14" t="n">
        <v>1</v>
      </c>
      <c r="S850" s="14" t="n">
        <v>10.661</v>
      </c>
      <c r="T850" s="14" t="n">
        <v>6.712</v>
      </c>
      <c r="U850" s="14" t="n">
        <v>0.26</v>
      </c>
      <c r="V850" s="14" t="n">
        <v>13.006</v>
      </c>
      <c r="W850" s="14" t="n">
        <v>0.22</v>
      </c>
      <c r="X850" s="14" t="n">
        <v>1</v>
      </c>
      <c r="Y850" s="14" t="n">
        <v>6.656</v>
      </c>
      <c r="Z850" s="14" t="n">
        <v>0.895</v>
      </c>
      <c r="AA850" s="14" t="n">
        <v>19.123</v>
      </c>
      <c r="AB850" s="14" t="n">
        <v>25.779</v>
      </c>
      <c r="AC850" s="14" t="n">
        <v>0</v>
      </c>
      <c r="AD850" s="14" t="n">
        <v>1</v>
      </c>
      <c r="AE850" s="14" t="n">
        <v>7.942</v>
      </c>
      <c r="AF850" s="14" t="n">
        <v>1.86</v>
      </c>
      <c r="AG850" s="14" t="n">
        <v>17.837</v>
      </c>
      <c r="AH850" s="14" t="n">
        <v>25.779</v>
      </c>
      <c r="AI850" s="14" t="n">
        <v>0</v>
      </c>
      <c r="AJ850" s="14" t="n">
        <v>1</v>
      </c>
      <c r="AK850" s="14" t="n">
        <v>15.656</v>
      </c>
      <c r="AL850" s="14" t="n">
        <v>8.412000000000001</v>
      </c>
      <c r="AM850" s="14" t="n">
        <v>18.135</v>
      </c>
      <c r="AN850" s="14" t="n">
        <v>40.244</v>
      </c>
      <c r="AO850" s="14" t="n">
        <v>0.22</v>
      </c>
      <c r="AP850" s="14" t="n">
        <v>1</v>
      </c>
      <c r="AQ850" s="14" t="n">
        <v>0.791</v>
      </c>
      <c r="AR850" s="14" t="n">
        <v>0.129</v>
      </c>
      <c r="AS850" s="14" t="n">
        <v>1.077</v>
      </c>
      <c r="AT850" s="14" t="n">
        <v>1.868</v>
      </c>
      <c r="AU850" s="14" t="n">
        <v>0</v>
      </c>
      <c r="AV850" s="14" t="n">
        <v>1</v>
      </c>
      <c r="AW850" s="14" t="n">
        <v>0.618</v>
      </c>
      <c r="AX850" s="14" t="n">
        <v>0.129</v>
      </c>
      <c r="AY850" s="14" t="n">
        <v>0.544</v>
      </c>
      <c r="AZ850" s="14" t="n">
        <v>1.418</v>
      </c>
      <c r="BA850" s="14" t="n">
        <v>0.22</v>
      </c>
      <c r="BB850" s="14" t="n">
        <v>1</v>
      </c>
      <c r="BC850" s="14" t="n">
        <v>0.554</v>
      </c>
      <c r="BD850" s="14" t="n">
        <v>0.129</v>
      </c>
      <c r="BE850" s="14" t="n">
        <v>0.251</v>
      </c>
      <c r="BF850" s="14" t="n">
        <v>0.983</v>
      </c>
      <c r="BG850" s="14" t="n">
        <v>0.22</v>
      </c>
      <c r="BH850" s="14" t="n">
        <v>1</v>
      </c>
      <c r="BI850" s="14" t="n">
        <v>0.5570000000000001</v>
      </c>
      <c r="BJ850" s="14" t="n">
        <v>0.129</v>
      </c>
      <c r="BK850" s="14" t="n">
        <v>0.88</v>
      </c>
      <c r="BL850" s="14" t="n">
        <v>1.437</v>
      </c>
      <c r="BM850" s="14" t="n">
        <v>0</v>
      </c>
      <c r="BN850" s="14" t="n">
        <v>1</v>
      </c>
      <c r="BO850" s="14" t="n">
        <v>0</v>
      </c>
      <c r="BP850" s="14" t="n">
        <v>0</v>
      </c>
      <c r="BQ850" s="14" t="n">
        <v>0.155</v>
      </c>
      <c r="BR850" s="14" t="n">
        <v>0</v>
      </c>
      <c r="BS850" s="14" t="n">
        <v>1</v>
      </c>
      <c r="BT850" s="14" t="n">
        <v>0</v>
      </c>
      <c r="BU850" s="14" t="n">
        <v>0</v>
      </c>
      <c r="BV850" s="14" t="n">
        <v>0.219</v>
      </c>
      <c r="BW850" s="14" t="n">
        <v>0.22</v>
      </c>
      <c r="BX850" s="14" t="n">
        <v>1</v>
      </c>
      <c r="BY850" s="14" t="n">
        <v>13.254</v>
      </c>
      <c r="BZ850" s="14" t="n">
        <v>0</v>
      </c>
      <c r="CA850" s="14" t="n">
        <v>13.254</v>
      </c>
      <c r="CB850" s="14" t="n">
        <v>0</v>
      </c>
      <c r="CC850" s="14" t="n">
        <v>83.248</v>
      </c>
      <c r="CD850" s="14" t="n">
        <v>7.95</v>
      </c>
      <c r="CE850" s="14" t="n">
        <v>15.681</v>
      </c>
      <c r="CF850" s="14" t="n">
        <v>120.693</v>
      </c>
      <c r="CG850" s="14" t="n">
        <v>0.22</v>
      </c>
      <c r="CH850" s="14" t="n">
        <v>1</v>
      </c>
      <c r="CI850" s="14" t="n">
        <v>0</v>
      </c>
      <c r="CJ850" s="14" t="n">
        <v>0</v>
      </c>
      <c r="CK850" s="14" t="n">
        <v>0</v>
      </c>
      <c r="CL850" s="14" t="n">
        <v>0</v>
      </c>
      <c r="CM850" s="14" t="n">
        <v>0</v>
      </c>
      <c r="CN850" s="14" t="n">
        <v>0</v>
      </c>
      <c r="CO850" s="14" t="n">
        <v>0</v>
      </c>
      <c r="CP850" s="14" t="n">
        <v>0.26</v>
      </c>
      <c r="CQ850" s="14" t="n">
        <v>1.348</v>
      </c>
      <c r="CR850" s="14" t="n">
        <v>0</v>
      </c>
      <c r="CS850" s="14" t="n">
        <v>5.37</v>
      </c>
      <c r="CT850" s="14" t="n">
        <v>4.861</v>
      </c>
      <c r="CU850" s="14" t="n">
        <v>11.192</v>
      </c>
    </row>
    <row r="851">
      <c r="A851" s="14" t="inlineStr">
        <is>
          <t>URY2024</t>
        </is>
      </c>
      <c r="B851" s="14" t="inlineStr">
        <is>
          <t>URY</t>
        </is>
      </c>
      <c r="C851" s="14" t="inlineStr">
        <is>
          <t>URY</t>
        </is>
      </c>
      <c r="D851" s="14" t="inlineStr">
        <is>
          <t>Uruguay</t>
        </is>
      </c>
      <c r="E851" s="14" t="n">
        <v>2024</v>
      </c>
      <c r="F851" s="14" t="n">
        <v>0.22</v>
      </c>
      <c r="G851" s="14" t="n">
        <v>4.659</v>
      </c>
      <c r="H851" s="14" t="n">
        <v>1.152</v>
      </c>
      <c r="I851" s="14" t="n">
        <v>0</v>
      </c>
      <c r="J851" s="14" t="n">
        <v>4.659</v>
      </c>
      <c r="K851" s="14" t="n">
        <v>0</v>
      </c>
      <c r="L851" s="14" t="n">
        <v>1</v>
      </c>
      <c r="M851" s="14" t="n">
        <v>6.149</v>
      </c>
      <c r="N851" s="14" t="n">
        <v>3.455</v>
      </c>
      <c r="O851" s="14" t="n">
        <v>0</v>
      </c>
      <c r="P851" s="14" t="n">
        <v>6.149</v>
      </c>
      <c r="Q851" s="14" t="n">
        <v>0</v>
      </c>
      <c r="R851" s="14" t="n">
        <v>1</v>
      </c>
      <c r="S851" s="14" t="n">
        <v>10.418</v>
      </c>
      <c r="T851" s="14" t="n">
        <v>6.91</v>
      </c>
      <c r="U851" s="14" t="n">
        <v>0.312</v>
      </c>
      <c r="V851" s="14" t="n">
        <v>12.71</v>
      </c>
      <c r="W851" s="14" t="n">
        <v>0.22</v>
      </c>
      <c r="X851" s="14" t="n">
        <v>1</v>
      </c>
      <c r="Y851" s="14" t="n">
        <v>6.853</v>
      </c>
      <c r="Z851" s="14" t="n">
        <v>0.922</v>
      </c>
      <c r="AA851" s="14" t="n">
        <v>19.687</v>
      </c>
      <c r="AB851" s="14" t="n">
        <v>26.54</v>
      </c>
      <c r="AC851" s="14" t="n">
        <v>0</v>
      </c>
      <c r="AD851" s="14" t="n">
        <v>1</v>
      </c>
      <c r="AE851" s="14" t="n">
        <v>8.176</v>
      </c>
      <c r="AF851" s="14" t="n">
        <v>1.915</v>
      </c>
      <c r="AG851" s="14" t="n">
        <v>18.364</v>
      </c>
      <c r="AH851" s="14" t="n">
        <v>26.54</v>
      </c>
      <c r="AI851" s="14" t="n">
        <v>0</v>
      </c>
      <c r="AJ851" s="14" t="n">
        <v>1</v>
      </c>
      <c r="AK851" s="14" t="n">
        <v>16.118</v>
      </c>
      <c r="AL851" s="14" t="n">
        <v>8.66</v>
      </c>
      <c r="AM851" s="14" t="n">
        <v>18.861</v>
      </c>
      <c r="AN851" s="14" t="n">
        <v>41.432</v>
      </c>
      <c r="AO851" s="14" t="n">
        <v>0.22</v>
      </c>
      <c r="AP851" s="14" t="n">
        <v>1</v>
      </c>
      <c r="AQ851" s="14" t="n">
        <v>0.756</v>
      </c>
      <c r="AR851" s="14" t="n">
        <v>0.132</v>
      </c>
      <c r="AS851" s="14" t="n">
        <v>1.136</v>
      </c>
      <c r="AT851" s="14" t="n">
        <v>1.892</v>
      </c>
      <c r="AU851" s="14" t="n">
        <v>0</v>
      </c>
      <c r="AV851" s="14" t="n">
        <v>1</v>
      </c>
      <c r="AW851" s="14" t="n">
        <v>0.655</v>
      </c>
      <c r="AX851" s="14" t="n">
        <v>0.132</v>
      </c>
      <c r="AY851" s="14" t="n">
        <v>0.379</v>
      </c>
      <c r="AZ851" s="14" t="n">
        <v>1.262</v>
      </c>
      <c r="BA851" s="14" t="n">
        <v>0.22</v>
      </c>
      <c r="BB851" s="14" t="n">
        <v>1</v>
      </c>
      <c r="BC851" s="14" t="n">
        <v>0.534</v>
      </c>
      <c r="BD851" s="14" t="n">
        <v>0.132</v>
      </c>
      <c r="BE851" s="14" t="n">
        <v>0.316</v>
      </c>
      <c r="BF851" s="14" t="n">
        <v>1.037</v>
      </c>
      <c r="BG851" s="14" t="n">
        <v>0.22</v>
      </c>
      <c r="BH851" s="14" t="n">
        <v>1</v>
      </c>
      <c r="BI851" s="14" t="n">
        <v>0.5679999999999999</v>
      </c>
      <c r="BJ851" s="14" t="n">
        <v>0.132</v>
      </c>
      <c r="BK851" s="14" t="n">
        <v>0.8120000000000001</v>
      </c>
      <c r="BL851" s="14" t="n">
        <v>1.38</v>
      </c>
      <c r="BM851" s="14" t="n">
        <v>0</v>
      </c>
      <c r="BN851" s="14" t="n">
        <v>1</v>
      </c>
      <c r="BO851" s="14" t="n">
        <v>0</v>
      </c>
      <c r="BP851" s="14" t="n">
        <v>0</v>
      </c>
      <c r="BQ851" s="14" t="n">
        <v>0.153</v>
      </c>
      <c r="BR851" s="14" t="n">
        <v>0</v>
      </c>
      <c r="BS851" s="14" t="n">
        <v>1</v>
      </c>
      <c r="BT851" s="14" t="n">
        <v>0</v>
      </c>
      <c r="BU851" s="14" t="n">
        <v>0</v>
      </c>
      <c r="BV851" s="14" t="n">
        <v>0.228</v>
      </c>
      <c r="BW851" s="14" t="n">
        <v>0.22</v>
      </c>
      <c r="BX851" s="14" t="n">
        <v>1</v>
      </c>
      <c r="BY851" s="14" t="n">
        <v>13.646</v>
      </c>
      <c r="BZ851" s="14" t="n">
        <v>0</v>
      </c>
      <c r="CA851" s="14" t="n">
        <v>13.646</v>
      </c>
      <c r="CB851" s="14" t="n">
        <v>0</v>
      </c>
      <c r="CC851" s="14" t="n">
        <v>82.58799999999999</v>
      </c>
      <c r="CD851" s="14" t="n">
        <v>7.95</v>
      </c>
      <c r="CE851" s="14" t="n">
        <v>13.137</v>
      </c>
      <c r="CF851" s="14" t="n">
        <v>116.785</v>
      </c>
      <c r="CG851" s="14" t="n">
        <v>0.22</v>
      </c>
      <c r="CH851" s="14" t="n">
        <v>1</v>
      </c>
      <c r="CI851" s="14" t="n">
        <v>0</v>
      </c>
      <c r="CJ851" s="14" t="n">
        <v>0</v>
      </c>
      <c r="CK851" s="14" t="n">
        <v>0</v>
      </c>
      <c r="CL851" s="14" t="n">
        <v>0</v>
      </c>
      <c r="CM851" s="14" t="n">
        <v>0</v>
      </c>
      <c r="CN851" s="14" t="n">
        <v>0</v>
      </c>
      <c r="CO851" s="14" t="n">
        <v>0</v>
      </c>
      <c r="CP851" s="14" t="n">
        <v>0.26</v>
      </c>
      <c r="CQ851" s="14" t="n">
        <v>1.387</v>
      </c>
      <c r="CR851" s="14" t="n">
        <v>0</v>
      </c>
      <c r="CS851" s="14" t="n">
        <v>5.529</v>
      </c>
      <c r="CT851" s="14" t="n">
        <v>4.251</v>
      </c>
      <c r="CU851" s="14" t="n">
        <v>10.123</v>
      </c>
    </row>
    <row r="852">
      <c r="A852" s="14" t="inlineStr">
        <is>
          <t>UZB2021</t>
        </is>
      </c>
      <c r="B852" s="14" t="inlineStr">
        <is>
          <t>UZB</t>
        </is>
      </c>
      <c r="C852" s="14" t="inlineStr">
        <is>
          <t>UZB</t>
        </is>
      </c>
      <c r="D852" s="14" t="inlineStr">
        <is>
          <t>Uzbekistan</t>
        </is>
      </c>
      <c r="E852" s="14" t="n">
        <v>2021</v>
      </c>
      <c r="F852" s="14" t="n">
        <v>0.2</v>
      </c>
      <c r="G852" s="14" t="n">
        <v>3.136</v>
      </c>
      <c r="H852" s="14" t="n">
        <v>0.778</v>
      </c>
      <c r="I852" s="14" t="n">
        <v>0.01</v>
      </c>
      <c r="J852" s="14" t="n">
        <v>3.146</v>
      </c>
      <c r="K852" s="14" t="n">
        <v>0</v>
      </c>
      <c r="L852" s="14" t="n">
        <v>1</v>
      </c>
      <c r="M852" s="14" t="n">
        <v>4.737</v>
      </c>
      <c r="N852" s="14" t="n">
        <v>2.334</v>
      </c>
      <c r="O852" s="14" t="n">
        <v>0.015</v>
      </c>
      <c r="P852" s="14" t="n">
        <v>4.752</v>
      </c>
      <c r="Q852" s="14" t="n">
        <v>0</v>
      </c>
      <c r="R852" s="14" t="n">
        <v>1</v>
      </c>
      <c r="S852" s="14" t="n">
        <v>7.026</v>
      </c>
      <c r="T852" s="14" t="n">
        <v>4.668</v>
      </c>
      <c r="U852" s="14" t="n">
        <v>0.01</v>
      </c>
      <c r="V852" s="14" t="n">
        <v>8.444000000000001</v>
      </c>
      <c r="W852" s="14" t="n">
        <v>0.2</v>
      </c>
      <c r="X852" s="14" t="n">
        <v>1</v>
      </c>
      <c r="Y852" s="14" t="n">
        <v>13.661</v>
      </c>
      <c r="Z852" s="14" t="n">
        <v>1.513</v>
      </c>
      <c r="AA852" s="14" t="n">
        <v>-4.056</v>
      </c>
      <c r="AB852" s="14" t="n">
        <v>9.605</v>
      </c>
      <c r="AC852" s="14" t="n">
        <v>0</v>
      </c>
      <c r="AD852" s="14" t="n">
        <v>0</v>
      </c>
      <c r="AE852" s="14" t="n">
        <v>13.05</v>
      </c>
      <c r="AF852" s="14" t="n">
        <v>2.56</v>
      </c>
      <c r="AG852" s="14" t="n">
        <v>-4.056</v>
      </c>
      <c r="AH852" s="14" t="n">
        <v>8.994</v>
      </c>
      <c r="AI852" s="14" t="n">
        <v>0</v>
      </c>
      <c r="AJ852" s="14" t="n">
        <v>0</v>
      </c>
      <c r="AK852" s="14" t="n">
        <v>9.384</v>
      </c>
      <c r="AL852" s="14" t="n">
        <v>4.455</v>
      </c>
      <c r="AM852" s="14" t="n">
        <v>-8.596</v>
      </c>
      <c r="AN852" s="14" t="n">
        <v>0.945</v>
      </c>
      <c r="AO852" s="14" t="n">
        <v>0</v>
      </c>
      <c r="AP852" s="14" t="n">
        <v>0</v>
      </c>
      <c r="AQ852" s="14" t="n">
        <v>0.619</v>
      </c>
      <c r="AR852" s="14" t="n">
        <v>0.114</v>
      </c>
      <c r="AS852" s="14" t="n">
        <v>0.041</v>
      </c>
      <c r="AT852" s="14" t="n">
        <v>0.792</v>
      </c>
      <c r="AU852" s="14" t="n">
        <v>0.2</v>
      </c>
      <c r="AV852" s="14" t="n">
        <v>1</v>
      </c>
      <c r="AW852" s="14" t="n">
        <v>0.599</v>
      </c>
      <c r="AX852" s="14" t="n">
        <v>0.114</v>
      </c>
      <c r="AY852" s="14" t="n">
        <v>0.005</v>
      </c>
      <c r="AZ852" s="14" t="n">
        <v>0.725</v>
      </c>
      <c r="BA852" s="14" t="n">
        <v>0.2</v>
      </c>
      <c r="BB852" s="14" t="n">
        <v>1</v>
      </c>
      <c r="BC852" s="14" t="n">
        <v>0.439</v>
      </c>
      <c r="BD852" s="14" t="n">
        <v>0.114</v>
      </c>
      <c r="BE852" s="14" t="n">
        <v>0</v>
      </c>
      <c r="BF852" s="14" t="n">
        <v>0.527</v>
      </c>
      <c r="BG852" s="14" t="n">
        <v>0.2</v>
      </c>
      <c r="BH852" s="14" t="n">
        <v>1</v>
      </c>
      <c r="BI852" s="14" t="n">
        <v>0.505</v>
      </c>
      <c r="BJ852" s="14" t="n">
        <v>0.114</v>
      </c>
      <c r="BK852" s="14" t="n">
        <v>0</v>
      </c>
      <c r="BL852" s="14" t="n">
        <v>0.606</v>
      </c>
      <c r="BM852" s="14" t="n">
        <v>0.2</v>
      </c>
      <c r="BN852" s="14" t="n">
        <v>1</v>
      </c>
      <c r="BO852" s="14" t="n">
        <v>0</v>
      </c>
      <c r="BP852" s="14" t="n">
        <v>-0.037</v>
      </c>
      <c r="BQ852" s="14" t="n">
        <v>0.042</v>
      </c>
      <c r="BR852" s="14" t="n">
        <v>0</v>
      </c>
      <c r="BS852" s="14" t="n">
        <v>0.333</v>
      </c>
      <c r="BT852" s="14" t="n">
        <v>0</v>
      </c>
      <c r="BU852" s="14" t="n">
        <v>-0.037</v>
      </c>
      <c r="BV852" s="14" t="n">
        <v>0.028</v>
      </c>
      <c r="BW852" s="14" t="n">
        <v>0</v>
      </c>
      <c r="BX852" s="14" t="n">
        <v>0.333</v>
      </c>
      <c r="BY852" s="14" t="n">
        <v>11.787</v>
      </c>
      <c r="BZ852" s="14" t="n">
        <v>0</v>
      </c>
      <c r="CA852" s="14" t="n">
        <v>11.787</v>
      </c>
      <c r="CB852" s="14" t="n">
        <v>0</v>
      </c>
      <c r="CC852" s="14" t="n">
        <v>78.125</v>
      </c>
      <c r="CD852" s="14" t="n">
        <v>7.95</v>
      </c>
      <c r="CE852" s="14" t="n">
        <v>0</v>
      </c>
      <c r="CF852" s="14" t="n">
        <v>93.75</v>
      </c>
      <c r="CG852" s="14" t="n">
        <v>0.2</v>
      </c>
      <c r="CH852" s="14" t="n">
        <v>1</v>
      </c>
      <c r="CI852" s="14" t="n">
        <v>0</v>
      </c>
      <c r="CJ852" s="14" t="n">
        <v>0</v>
      </c>
      <c r="CK852" s="14" t="n">
        <v>0</v>
      </c>
      <c r="CL852" s="14" t="n">
        <v>0</v>
      </c>
      <c r="CM852" s="14" t="n">
        <v>0</v>
      </c>
      <c r="CN852" s="14" t="n">
        <v>0</v>
      </c>
      <c r="CO852" s="14" t="n">
        <v>0</v>
      </c>
      <c r="CP852" s="14" t="n">
        <v>0.639</v>
      </c>
      <c r="CQ852" s="14" t="n">
        <v>1.198</v>
      </c>
      <c r="CR852" s="14" t="n">
        <v>0.956</v>
      </c>
      <c r="CS852" s="14" t="n">
        <v>4.715</v>
      </c>
      <c r="CT852" s="14" t="n">
        <v>4.41</v>
      </c>
      <c r="CU852" s="14" t="n">
        <v>14.129</v>
      </c>
    </row>
    <row r="853">
      <c r="A853" s="14" t="inlineStr">
        <is>
          <t>UZB2022</t>
        </is>
      </c>
      <c r="B853" s="14" t="inlineStr">
        <is>
          <t>UZB</t>
        </is>
      </c>
      <c r="C853" s="14" t="inlineStr">
        <is>
          <t>UZB</t>
        </is>
      </c>
      <c r="D853" s="14" t="inlineStr">
        <is>
          <t>Uzbekistan</t>
        </is>
      </c>
      <c r="E853" s="14" t="n">
        <v>2022</v>
      </c>
      <c r="F853" s="14" t="n">
        <v>0.2</v>
      </c>
      <c r="G853" s="14" t="n">
        <v>3.709</v>
      </c>
      <c r="H853" s="14" t="n">
        <v>0.832</v>
      </c>
      <c r="I853" s="14" t="n">
        <v>0.015</v>
      </c>
      <c r="J853" s="14" t="n">
        <v>3.724</v>
      </c>
      <c r="K853" s="14" t="n">
        <v>0</v>
      </c>
      <c r="L853" s="14" t="n">
        <v>1</v>
      </c>
      <c r="M853" s="14" t="n">
        <v>5.456</v>
      </c>
      <c r="N853" s="14" t="n">
        <v>2.497</v>
      </c>
      <c r="O853" s="14" t="n">
        <v>0.02</v>
      </c>
      <c r="P853" s="14" t="n">
        <v>5.476</v>
      </c>
      <c r="Q853" s="14" t="n">
        <v>0</v>
      </c>
      <c r="R853" s="14" t="n">
        <v>1</v>
      </c>
      <c r="S853" s="14" t="n">
        <v>7.87</v>
      </c>
      <c r="T853" s="14" t="n">
        <v>4.993</v>
      </c>
      <c r="U853" s="14" t="n">
        <v>0.132</v>
      </c>
      <c r="V853" s="14" t="n">
        <v>9.462</v>
      </c>
      <c r="W853" s="14" t="n">
        <v>0.2</v>
      </c>
      <c r="X853" s="14" t="n">
        <v>1</v>
      </c>
      <c r="Y853" s="14" t="n">
        <v>14.752</v>
      </c>
      <c r="Z853" s="14" t="n">
        <v>1.634</v>
      </c>
      <c r="AA853" s="14" t="n">
        <v>-4.374</v>
      </c>
      <c r="AB853" s="14" t="n">
        <v>10.378</v>
      </c>
      <c r="AC853" s="14" t="n">
        <v>0</v>
      </c>
      <c r="AD853" s="14" t="n">
        <v>0</v>
      </c>
      <c r="AE853" s="14" t="n">
        <v>14.092</v>
      </c>
      <c r="AF853" s="14" t="n">
        <v>2.764</v>
      </c>
      <c r="AG853" s="14" t="n">
        <v>-4.374</v>
      </c>
      <c r="AH853" s="14" t="n">
        <v>9.718</v>
      </c>
      <c r="AI853" s="14" t="n">
        <v>0</v>
      </c>
      <c r="AJ853" s="14" t="n">
        <v>0</v>
      </c>
      <c r="AK853" s="14" t="n">
        <v>10.135</v>
      </c>
      <c r="AL853" s="14" t="n">
        <v>4.811</v>
      </c>
      <c r="AM853" s="14" t="n">
        <v>-9.378</v>
      </c>
      <c r="AN853" s="14" t="n">
        <v>0.908</v>
      </c>
      <c r="AO853" s="14" t="n">
        <v>0</v>
      </c>
      <c r="AP853" s="14" t="n">
        <v>0</v>
      </c>
      <c r="AQ853" s="14" t="n">
        <v>0.861</v>
      </c>
      <c r="AR853" s="14" t="n">
        <v>0.123</v>
      </c>
      <c r="AS853" s="14" t="n">
        <v>-0.062</v>
      </c>
      <c r="AT853" s="14" t="n">
        <v>0.959</v>
      </c>
      <c r="AU853" s="14" t="n">
        <v>0.2</v>
      </c>
      <c r="AV853" s="14" t="n">
        <v>1</v>
      </c>
      <c r="AW853" s="14" t="n">
        <v>0.986</v>
      </c>
      <c r="AX853" s="14" t="n">
        <v>0.123</v>
      </c>
      <c r="AY853" s="14" t="n">
        <v>-0.108</v>
      </c>
      <c r="AZ853" s="14" t="n">
        <v>1.054</v>
      </c>
      <c r="BA853" s="14" t="n">
        <v>0.2</v>
      </c>
      <c r="BB853" s="14" t="n">
        <v>1</v>
      </c>
      <c r="BC853" s="14" t="n">
        <v>0.598</v>
      </c>
      <c r="BD853" s="14" t="n">
        <v>0.123</v>
      </c>
      <c r="BE853" s="14" t="n">
        <v>0.008999999999999999</v>
      </c>
      <c r="BF853" s="14" t="n">
        <v>0.717</v>
      </c>
      <c r="BG853" s="14" t="n">
        <v>0.2</v>
      </c>
      <c r="BH853" s="14" t="n">
        <v>1</v>
      </c>
      <c r="BI853" s="14" t="n">
        <v>0.612</v>
      </c>
      <c r="BJ853" s="14" t="n">
        <v>0.123</v>
      </c>
      <c r="BK853" s="14" t="n">
        <v>0.008999999999999999</v>
      </c>
      <c r="BL853" s="14" t="n">
        <v>0.735</v>
      </c>
      <c r="BM853" s="14" t="n">
        <v>0.2</v>
      </c>
      <c r="BN853" s="14" t="n">
        <v>1</v>
      </c>
      <c r="BO853" s="14" t="n">
        <v>0</v>
      </c>
      <c r="BP853" s="14" t="n">
        <v>-0.037</v>
      </c>
      <c r="BQ853" s="14" t="n">
        <v>0.041</v>
      </c>
      <c r="BR853" s="14" t="n">
        <v>0</v>
      </c>
      <c r="BS853" s="14" t="n">
        <v>0.333</v>
      </c>
      <c r="BT853" s="14" t="n">
        <v>0</v>
      </c>
      <c r="BU853" s="14" t="n">
        <v>-0.037</v>
      </c>
      <c r="BV853" s="14" t="n">
        <v>0.027</v>
      </c>
      <c r="BW853" s="14" t="n">
        <v>0</v>
      </c>
      <c r="BX853" s="14" t="n">
        <v>0.333</v>
      </c>
      <c r="BY853" s="14" t="n">
        <v>12.729</v>
      </c>
      <c r="BZ853" s="14" t="n">
        <v>0</v>
      </c>
      <c r="CA853" s="14" t="n">
        <v>12.729</v>
      </c>
      <c r="CB853" s="14" t="n">
        <v>0</v>
      </c>
      <c r="CC853" s="14" t="n">
        <v>97.90000000000001</v>
      </c>
      <c r="CD853" s="14" t="n">
        <v>7.95</v>
      </c>
      <c r="CE853" s="14" t="n">
        <v>1.449</v>
      </c>
      <c r="CF853" s="14" t="n">
        <v>117.48</v>
      </c>
      <c r="CG853" s="14" t="n">
        <v>0.2</v>
      </c>
      <c r="CH853" s="14" t="n">
        <v>1</v>
      </c>
      <c r="CI853" s="14" t="n">
        <v>0</v>
      </c>
      <c r="CJ853" s="14" t="n">
        <v>0</v>
      </c>
      <c r="CK853" s="14" t="n">
        <v>0</v>
      </c>
      <c r="CL853" s="14" t="n">
        <v>0</v>
      </c>
      <c r="CM853" s="14" t="n">
        <v>0</v>
      </c>
      <c r="CN853" s="14" t="n">
        <v>0</v>
      </c>
      <c r="CO853" s="14" t="n">
        <v>0</v>
      </c>
      <c r="CP853" s="14" t="n">
        <v>0.652</v>
      </c>
      <c r="CQ853" s="14" t="n">
        <v>1.294</v>
      </c>
      <c r="CR853" s="14" t="n">
        <v>0.956</v>
      </c>
      <c r="CS853" s="14" t="n">
        <v>5.091</v>
      </c>
      <c r="CT853" s="14" t="n">
        <v>5.842</v>
      </c>
      <c r="CU853" s="14" t="n">
        <v>28.059</v>
      </c>
    </row>
    <row r="854">
      <c r="A854" s="14" t="inlineStr">
        <is>
          <t>UZB2023</t>
        </is>
      </c>
      <c r="B854" s="14" t="inlineStr">
        <is>
          <t>UZB</t>
        </is>
      </c>
      <c r="C854" s="14" t="inlineStr">
        <is>
          <t>UZB</t>
        </is>
      </c>
      <c r="D854" s="14" t="inlineStr">
        <is>
          <t>Uzbekistan</t>
        </is>
      </c>
      <c r="E854" s="14" t="n">
        <v>2023</v>
      </c>
      <c r="F854" s="14" t="n">
        <v>0.2</v>
      </c>
      <c r="G854" s="14" t="n">
        <v>2.871</v>
      </c>
      <c r="H854" s="14" t="n">
        <v>0.848</v>
      </c>
      <c r="I854" s="14" t="n">
        <v>0.008999999999999999</v>
      </c>
      <c r="J854" s="14" t="n">
        <v>2.88</v>
      </c>
      <c r="K854" s="14" t="n">
        <v>0</v>
      </c>
      <c r="L854" s="14" t="n">
        <v>1</v>
      </c>
      <c r="M854" s="14" t="n">
        <v>4.746</v>
      </c>
      <c r="N854" s="14" t="n">
        <v>2.544</v>
      </c>
      <c r="O854" s="14" t="n">
        <v>0.013</v>
      </c>
      <c r="P854" s="14" t="n">
        <v>4.759</v>
      </c>
      <c r="Q854" s="14" t="n">
        <v>0</v>
      </c>
      <c r="R854" s="14" t="n">
        <v>1</v>
      </c>
      <c r="S854" s="14" t="n">
        <v>7.11</v>
      </c>
      <c r="T854" s="14" t="n">
        <v>5.087</v>
      </c>
      <c r="U854" s="14" t="n">
        <v>0.166</v>
      </c>
      <c r="V854" s="14" t="n">
        <v>8.542999999999999</v>
      </c>
      <c r="W854" s="14" t="n">
        <v>0.2</v>
      </c>
      <c r="X854" s="14" t="n">
        <v>1</v>
      </c>
      <c r="Y854" s="14" t="n">
        <v>15.342</v>
      </c>
      <c r="Z854" s="14" t="n">
        <v>1.699</v>
      </c>
      <c r="AA854" s="14" t="n">
        <v>-4.563</v>
      </c>
      <c r="AB854" s="14" t="n">
        <v>10.779</v>
      </c>
      <c r="AC854" s="14" t="n">
        <v>0</v>
      </c>
      <c r="AD854" s="14" t="n">
        <v>0</v>
      </c>
      <c r="AE854" s="14" t="n">
        <v>14.663</v>
      </c>
      <c r="AF854" s="14" t="n">
        <v>2.877</v>
      </c>
      <c r="AG854" s="14" t="n">
        <v>-4.563</v>
      </c>
      <c r="AH854" s="14" t="n">
        <v>10.1</v>
      </c>
      <c r="AI854" s="14" t="n">
        <v>0</v>
      </c>
      <c r="AJ854" s="14" t="n">
        <v>0</v>
      </c>
      <c r="AK854" s="14" t="n">
        <v>10.563</v>
      </c>
      <c r="AL854" s="14" t="n">
        <v>5.014</v>
      </c>
      <c r="AM854" s="14" t="n">
        <v>-9.851000000000001</v>
      </c>
      <c r="AN854" s="14" t="n">
        <v>0.855</v>
      </c>
      <c r="AO854" s="14" t="n">
        <v>0</v>
      </c>
      <c r="AP854" s="14" t="n">
        <v>0</v>
      </c>
      <c r="AQ854" s="14" t="n">
        <v>0.76</v>
      </c>
      <c r="AR854" s="14" t="n">
        <v>0.129</v>
      </c>
      <c r="AS854" s="14" t="n">
        <v>0.016</v>
      </c>
      <c r="AT854" s="14" t="n">
        <v>0.931</v>
      </c>
      <c r="AU854" s="14" t="n">
        <v>0.2</v>
      </c>
      <c r="AV854" s="14" t="n">
        <v>1</v>
      </c>
      <c r="AW854" s="14" t="n">
        <v>0.8110000000000001</v>
      </c>
      <c r="AX854" s="14" t="n">
        <v>0.129</v>
      </c>
      <c r="AY854" s="14" t="n">
        <v>0.003</v>
      </c>
      <c r="AZ854" s="14" t="n">
        <v>0.978</v>
      </c>
      <c r="BA854" s="14" t="n">
        <v>0.2</v>
      </c>
      <c r="BB854" s="14" t="n">
        <v>1</v>
      </c>
      <c r="BC854" s="14" t="n">
        <v>0.535</v>
      </c>
      <c r="BD854" s="14" t="n">
        <v>0.129</v>
      </c>
      <c r="BE854" s="14" t="n">
        <v>0.012</v>
      </c>
      <c r="BF854" s="14" t="n">
        <v>0.642</v>
      </c>
      <c r="BG854" s="14" t="n">
        <v>0.2</v>
      </c>
      <c r="BH854" s="14" t="n">
        <v>1</v>
      </c>
      <c r="BI854" s="14" t="n">
        <v>0.579</v>
      </c>
      <c r="BJ854" s="14" t="n">
        <v>0.129</v>
      </c>
      <c r="BK854" s="14" t="n">
        <v>0.013</v>
      </c>
      <c r="BL854" s="14" t="n">
        <v>0.695</v>
      </c>
      <c r="BM854" s="14" t="n">
        <v>0.2</v>
      </c>
      <c r="BN854" s="14" t="n">
        <v>1</v>
      </c>
      <c r="BO854" s="14" t="n">
        <v>0</v>
      </c>
      <c r="BP854" s="14" t="n">
        <v>-0.037</v>
      </c>
      <c r="BQ854" s="14" t="n">
        <v>0.038</v>
      </c>
      <c r="BR854" s="14" t="n">
        <v>0</v>
      </c>
      <c r="BS854" s="14" t="n">
        <v>0.333</v>
      </c>
      <c r="BT854" s="14" t="n">
        <v>0</v>
      </c>
      <c r="BU854" s="14" t="n">
        <v>-0.037</v>
      </c>
      <c r="BV854" s="14" t="n">
        <v>0.025</v>
      </c>
      <c r="BW854" s="14" t="n">
        <v>0</v>
      </c>
      <c r="BX854" s="14" t="n">
        <v>0.333</v>
      </c>
      <c r="BY854" s="14" t="n">
        <v>13.254</v>
      </c>
      <c r="BZ854" s="14" t="n">
        <v>0</v>
      </c>
      <c r="CA854" s="14" t="n">
        <v>13.254</v>
      </c>
      <c r="CB854" s="14" t="n">
        <v>0</v>
      </c>
      <c r="CC854" s="14" t="n">
        <v>83.248</v>
      </c>
      <c r="CD854" s="14" t="n">
        <v>7.95</v>
      </c>
      <c r="CE854" s="14" t="n">
        <v>1.843</v>
      </c>
      <c r="CF854" s="14" t="n">
        <v>99.898</v>
      </c>
      <c r="CG854" s="14" t="n">
        <v>0.2</v>
      </c>
      <c r="CH854" s="14" t="n">
        <v>1</v>
      </c>
      <c r="CI854" s="14" t="n">
        <v>0</v>
      </c>
      <c r="CJ854" s="14" t="n">
        <v>0</v>
      </c>
      <c r="CK854" s="14" t="n">
        <v>0</v>
      </c>
      <c r="CL854" s="14" t="n">
        <v>0</v>
      </c>
      <c r="CM854" s="14" t="n">
        <v>0</v>
      </c>
      <c r="CN854" s="14" t="n">
        <v>0</v>
      </c>
      <c r="CO854" s="14" t="n">
        <v>0</v>
      </c>
      <c r="CP854" s="14" t="n">
        <v>0.681</v>
      </c>
      <c r="CQ854" s="14" t="n">
        <v>1.348</v>
      </c>
      <c r="CR854" s="14" t="n">
        <v>0.952</v>
      </c>
      <c r="CS854" s="14" t="n">
        <v>5.302</v>
      </c>
      <c r="CT854" s="14" t="n">
        <v>3.466</v>
      </c>
      <c r="CU854" s="14" t="n">
        <v>9.260999999999999</v>
      </c>
    </row>
    <row r="855">
      <c r="A855" s="14" t="inlineStr">
        <is>
          <t>UZB2024</t>
        </is>
      </c>
      <c r="B855" s="14" t="inlineStr">
        <is>
          <t>UZB</t>
        </is>
      </c>
      <c r="C855" s="14" t="inlineStr">
        <is>
          <t>UZB</t>
        </is>
      </c>
      <c r="D855" s="14" t="inlineStr">
        <is>
          <t>Uzbekistan</t>
        </is>
      </c>
      <c r="E855" s="14" t="n">
        <v>2024</v>
      </c>
      <c r="F855" s="14" t="n">
        <v>0.2</v>
      </c>
      <c r="G855" s="14" t="n">
        <v>2.783</v>
      </c>
      <c r="H855" s="14" t="n">
        <v>0.873</v>
      </c>
      <c r="I855" s="14" t="n">
        <v>0.007</v>
      </c>
      <c r="J855" s="14" t="n">
        <v>2.79</v>
      </c>
      <c r="K855" s="14" t="n">
        <v>0</v>
      </c>
      <c r="L855" s="14" t="n">
        <v>1</v>
      </c>
      <c r="M855" s="14" t="n">
        <v>4.569</v>
      </c>
      <c r="N855" s="14" t="n">
        <v>2.619</v>
      </c>
      <c r="O855" s="14" t="n">
        <v>0.008999999999999999</v>
      </c>
      <c r="P855" s="14" t="n">
        <v>4.578</v>
      </c>
      <c r="Q855" s="14" t="n">
        <v>0</v>
      </c>
      <c r="R855" s="14" t="n">
        <v>1</v>
      </c>
      <c r="S855" s="14" t="n">
        <v>7.147</v>
      </c>
      <c r="T855" s="14" t="n">
        <v>5.237</v>
      </c>
      <c r="U855" s="14" t="n">
        <v>0.202</v>
      </c>
      <c r="V855" s="14" t="n">
        <v>8.585000000000001</v>
      </c>
      <c r="W855" s="14" t="n">
        <v>0.2</v>
      </c>
      <c r="X855" s="14" t="n">
        <v>1</v>
      </c>
      <c r="Y855" s="14" t="n">
        <v>15.773</v>
      </c>
      <c r="Z855" s="14" t="n">
        <v>1.747</v>
      </c>
      <c r="AA855" s="14" t="n">
        <v>-4.178</v>
      </c>
      <c r="AB855" s="14" t="n">
        <v>11.595</v>
      </c>
      <c r="AC855" s="14" t="n">
        <v>0</v>
      </c>
      <c r="AD855" s="14" t="n">
        <v>0</v>
      </c>
      <c r="AE855" s="14" t="n">
        <v>15.077</v>
      </c>
      <c r="AF855" s="14" t="n">
        <v>2.958</v>
      </c>
      <c r="AG855" s="14" t="n">
        <v>-4.178</v>
      </c>
      <c r="AH855" s="14" t="n">
        <v>10.899</v>
      </c>
      <c r="AI855" s="14" t="n">
        <v>0</v>
      </c>
      <c r="AJ855" s="14" t="n">
        <v>0</v>
      </c>
      <c r="AK855" s="14" t="n">
        <v>10.867</v>
      </c>
      <c r="AL855" s="14" t="n">
        <v>5.159</v>
      </c>
      <c r="AM855" s="14" t="n">
        <v>-10.128</v>
      </c>
      <c r="AN855" s="14" t="n">
        <v>0.887</v>
      </c>
      <c r="AO855" s="14" t="n">
        <v>0</v>
      </c>
      <c r="AP855" s="14" t="n">
        <v>0</v>
      </c>
      <c r="AQ855" s="14" t="n">
        <v>0.724</v>
      </c>
      <c r="AR855" s="14" t="n">
        <v>0.132</v>
      </c>
      <c r="AS855" s="14" t="n">
        <v>-0.054</v>
      </c>
      <c r="AT855" s="14" t="n">
        <v>0.804</v>
      </c>
      <c r="AU855" s="14" t="n">
        <v>0.2</v>
      </c>
      <c r="AV855" s="14" t="n">
        <v>1</v>
      </c>
      <c r="AW855" s="14" t="n">
        <v>0.75</v>
      </c>
      <c r="AX855" s="14" t="n">
        <v>0.132</v>
      </c>
      <c r="AY855" s="14" t="n">
        <v>0.032</v>
      </c>
      <c r="AZ855" s="14" t="n">
        <v>0.9389999999999999</v>
      </c>
      <c r="BA855" s="14" t="n">
        <v>0.2</v>
      </c>
      <c r="BB855" s="14" t="n">
        <v>1</v>
      </c>
      <c r="BC855" s="14" t="n">
        <v>0.513</v>
      </c>
      <c r="BD855" s="14" t="n">
        <v>0.132</v>
      </c>
      <c r="BE855" s="14" t="n">
        <v>0.014</v>
      </c>
      <c r="BF855" s="14" t="n">
        <v>0.616</v>
      </c>
      <c r="BG855" s="14" t="n">
        <v>0.2</v>
      </c>
      <c r="BH855" s="14" t="n">
        <v>1</v>
      </c>
      <c r="BI855" s="14" t="n">
        <v>0.591</v>
      </c>
      <c r="BJ855" s="14" t="n">
        <v>0.132</v>
      </c>
      <c r="BK855" s="14" t="n">
        <v>0.016</v>
      </c>
      <c r="BL855" s="14" t="n">
        <v>0.71</v>
      </c>
      <c r="BM855" s="14" t="n">
        <v>0.2</v>
      </c>
      <c r="BN855" s="14" t="n">
        <v>1</v>
      </c>
      <c r="BO855" s="14" t="n">
        <v>0</v>
      </c>
      <c r="BP855" s="14" t="n">
        <v>-0.038</v>
      </c>
      <c r="BQ855" s="14" t="n">
        <v>0.065</v>
      </c>
      <c r="BR855" s="14" t="n">
        <v>0</v>
      </c>
      <c r="BS855" s="14" t="n">
        <v>0.333</v>
      </c>
      <c r="BT855" s="14" t="n">
        <v>0</v>
      </c>
      <c r="BU855" s="14" t="n">
        <v>-0.038</v>
      </c>
      <c r="BV855" s="14" t="n">
        <v>0.034</v>
      </c>
      <c r="BW855" s="14" t="n">
        <v>0</v>
      </c>
      <c r="BX855" s="14" t="n">
        <v>0.333</v>
      </c>
      <c r="BY855" s="14" t="n">
        <v>13.646</v>
      </c>
      <c r="BZ855" s="14" t="n">
        <v>0</v>
      </c>
      <c r="CA855" s="14" t="n">
        <v>13.646</v>
      </c>
      <c r="CB855" s="14" t="n">
        <v>0</v>
      </c>
      <c r="CC855" s="14" t="n">
        <v>82.58799999999999</v>
      </c>
      <c r="CD855" s="14" t="n">
        <v>7.95</v>
      </c>
      <c r="CE855" s="14" t="n">
        <v>2.25</v>
      </c>
      <c r="CF855" s="14" t="n">
        <v>99.10599999999999</v>
      </c>
      <c r="CG855" s="14" t="n">
        <v>0.2</v>
      </c>
      <c r="CH855" s="14" t="n">
        <v>1</v>
      </c>
      <c r="CI855" s="14" t="n">
        <v>0</v>
      </c>
      <c r="CJ855" s="14" t="n">
        <v>0</v>
      </c>
      <c r="CK855" s="14" t="n">
        <v>0</v>
      </c>
      <c r="CL855" s="14" t="n">
        <v>0</v>
      </c>
      <c r="CM855" s="14" t="n">
        <v>0</v>
      </c>
      <c r="CN855" s="14" t="n">
        <v>0</v>
      </c>
      <c r="CO855" s="14" t="n">
        <v>0</v>
      </c>
      <c r="CP855" s="14" t="n">
        <v>0.681</v>
      </c>
      <c r="CQ855" s="14" t="n">
        <v>1.387</v>
      </c>
      <c r="CR855" s="14" t="n">
        <v>0.952</v>
      </c>
      <c r="CS855" s="14" t="n">
        <v>5.458</v>
      </c>
      <c r="CT855" s="14" t="n">
        <v>3.027</v>
      </c>
      <c r="CU855" s="14" t="n">
        <v>7.598</v>
      </c>
    </row>
    <row r="856">
      <c r="A856" s="14" t="inlineStr">
        <is>
          <t>VUT2021</t>
        </is>
      </c>
      <c r="B856" s="14" t="inlineStr">
        <is>
          <t>VUT</t>
        </is>
      </c>
      <c r="C856" s="14" t="inlineStr">
        <is>
          <t>VUT</t>
        </is>
      </c>
      <c r="D856" s="14" t="inlineStr">
        <is>
          <t>Vanuatu</t>
        </is>
      </c>
      <c r="E856" s="14" t="n">
        <v>2021</v>
      </c>
      <c r="F856" s="14" t="n">
        <v>0.15</v>
      </c>
      <c r="G856" s="14" t="n">
        <v>4.747</v>
      </c>
      <c r="H856" s="14" t="n">
        <v>1.143</v>
      </c>
      <c r="I856" s="14" t="n">
        <v>0</v>
      </c>
      <c r="J856" s="14" t="n">
        <v>4.747</v>
      </c>
      <c r="K856" s="14" t="n">
        <v>0</v>
      </c>
      <c r="L856" s="14" t="n">
        <v>1</v>
      </c>
      <c r="M856" s="14" t="n">
        <v>7.964</v>
      </c>
      <c r="N856" s="14" t="n">
        <v>3.43</v>
      </c>
      <c r="O856" s="14" t="n">
        <v>0</v>
      </c>
      <c r="P856" s="14" t="n">
        <v>7.964</v>
      </c>
      <c r="Q856" s="14" t="n">
        <v>0</v>
      </c>
      <c r="R856" s="14" t="n">
        <v>1</v>
      </c>
      <c r="S856" s="14" t="n">
        <v>10.464</v>
      </c>
      <c r="T856" s="14" t="n">
        <v>6.86</v>
      </c>
      <c r="U856" s="14" t="n">
        <v>0</v>
      </c>
      <c r="V856" s="14" t="n">
        <v>12.034</v>
      </c>
      <c r="W856" s="14" t="n">
        <v>0.15</v>
      </c>
      <c r="X856" s="14" t="n">
        <v>1</v>
      </c>
      <c r="Y856" s="14" t="n">
        <v>10.551</v>
      </c>
      <c r="Z856" s="14" t="n">
        <v>1.302</v>
      </c>
      <c r="AA856" s="14" t="n">
        <v>0</v>
      </c>
      <c r="AB856" s="14" t="n">
        <v>10.551</v>
      </c>
      <c r="AC856" s="14" t="n">
        <v>0</v>
      </c>
      <c r="AD856" s="14" t="n">
        <v>1</v>
      </c>
      <c r="AE856" s="14" t="n">
        <v>11.694</v>
      </c>
      <c r="AF856" s="14" t="n">
        <v>2.549</v>
      </c>
      <c r="AG856" s="14" t="n">
        <v>0</v>
      </c>
      <c r="AH856" s="14" t="n">
        <v>11.694</v>
      </c>
      <c r="AI856" s="14" t="n">
        <v>0</v>
      </c>
      <c r="AJ856" s="14" t="n">
        <v>1</v>
      </c>
      <c r="AK856" s="14" t="n">
        <v>18.554</v>
      </c>
      <c r="AL856" s="14" t="n">
        <v>9.627000000000001</v>
      </c>
      <c r="AM856" s="14" t="n">
        <v>0</v>
      </c>
      <c r="AN856" s="14" t="n">
        <v>21.337</v>
      </c>
      <c r="AO856" s="14" t="n">
        <v>0.15</v>
      </c>
      <c r="AP856" s="14" t="n">
        <v>1</v>
      </c>
      <c r="AQ856" s="14" t="n">
        <v>0.621</v>
      </c>
      <c r="AR856" s="14" t="n">
        <v>0.114</v>
      </c>
      <c r="AS856" s="14" t="n">
        <v>0.404</v>
      </c>
      <c r="AT856" s="14" t="n">
        <v>1.179</v>
      </c>
      <c r="AU856" s="14" t="n">
        <v>0.15</v>
      </c>
      <c r="AV856" s="14" t="n">
        <v>1</v>
      </c>
      <c r="AW856" s="14" t="n">
        <v>0.593</v>
      </c>
      <c r="AX856" s="14" t="n">
        <v>0.114</v>
      </c>
      <c r="AY856" s="14" t="n">
        <v>0.456</v>
      </c>
      <c r="AZ856" s="14" t="n">
        <v>1.206</v>
      </c>
      <c r="BA856" s="14" t="n">
        <v>0.15</v>
      </c>
      <c r="BB856" s="14" t="n">
        <v>1</v>
      </c>
      <c r="BC856" s="14" t="n">
        <v>0.44</v>
      </c>
      <c r="BD856" s="14" t="n">
        <v>0.114</v>
      </c>
      <c r="BE856" s="14" t="n">
        <v>0</v>
      </c>
      <c r="BF856" s="14" t="n">
        <v>0.506</v>
      </c>
      <c r="BG856" s="14" t="n">
        <v>0.15</v>
      </c>
      <c r="BH856" s="14" t="n">
        <v>1</v>
      </c>
      <c r="BI856" s="14" t="n">
        <v>0.5600000000000001</v>
      </c>
      <c r="BJ856" s="14" t="n">
        <v>0.114</v>
      </c>
      <c r="BK856" s="14" t="n">
        <v>0</v>
      </c>
      <c r="BL856" s="14" t="n">
        <v>0.644</v>
      </c>
      <c r="BM856" s="14" t="n">
        <v>0.15</v>
      </c>
      <c r="BN856" s="14" t="n">
        <v>1</v>
      </c>
      <c r="BO856" s="14" t="n">
        <v>0</v>
      </c>
      <c r="BP856" s="14" t="n">
        <v>0</v>
      </c>
      <c r="BQ856" s="14" t="n">
        <v>0</v>
      </c>
      <c r="BR856" s="14" t="n">
        <v>0</v>
      </c>
      <c r="BS856" s="14" t="n">
        <v>1</v>
      </c>
      <c r="BT856" s="14" t="n">
        <v>0</v>
      </c>
      <c r="BU856" s="14" t="n">
        <v>0</v>
      </c>
      <c r="BV856" s="14" t="n">
        <v>0</v>
      </c>
      <c r="BW856" s="14" t="n">
        <v>0.15</v>
      </c>
      <c r="BX856" s="14" t="n">
        <v>1</v>
      </c>
      <c r="BY856" s="14" t="n">
        <v>11.787</v>
      </c>
      <c r="BZ856" s="14" t="n">
        <v>0</v>
      </c>
      <c r="CA856" s="14" t="n">
        <v>11.787</v>
      </c>
      <c r="CB856" s="14" t="n">
        <v>0</v>
      </c>
      <c r="CC856" s="14" t="n">
        <v>81.69499999999999</v>
      </c>
      <c r="CD856" s="14" t="n">
        <v>7.95</v>
      </c>
      <c r="CE856" s="14" t="n">
        <v>0</v>
      </c>
      <c r="CF856" s="14" t="n">
        <v>93.95</v>
      </c>
      <c r="CG856" s="14" t="n">
        <v>0.15</v>
      </c>
      <c r="CH856" s="14" t="n">
        <v>1</v>
      </c>
      <c r="CI856" s="14" t="n">
        <v>0</v>
      </c>
      <c r="CJ856" s="14" t="n">
        <v>0</v>
      </c>
      <c r="CK856" s="14" t="n">
        <v>0</v>
      </c>
      <c r="CL856" s="14" t="n">
        <v>0</v>
      </c>
      <c r="CM856" s="14" t="n">
        <v>0</v>
      </c>
      <c r="CN856" s="14" t="n">
        <v>0</v>
      </c>
      <c r="CO856" s="14" t="n">
        <v>0</v>
      </c>
      <c r="CP856" s="14" t="n">
        <v>0</v>
      </c>
      <c r="CQ856" s="14" t="n">
        <v>1.198</v>
      </c>
      <c r="CR856" s="14" t="n">
        <v>0</v>
      </c>
      <c r="CS856" s="14" t="n">
        <v>4.776</v>
      </c>
      <c r="CT856" s="14" t="n">
        <v>3.604</v>
      </c>
      <c r="CU856" s="14" t="n">
        <v>9.407999999999999</v>
      </c>
    </row>
    <row r="857">
      <c r="A857" s="14" t="inlineStr">
        <is>
          <t>VUT2022</t>
        </is>
      </c>
      <c r="B857" s="14" t="inlineStr">
        <is>
          <t>VUT</t>
        </is>
      </c>
      <c r="C857" s="14" t="inlineStr">
        <is>
          <t>VUT</t>
        </is>
      </c>
      <c r="D857" s="14" t="inlineStr">
        <is>
          <t>Vanuatu</t>
        </is>
      </c>
      <c r="E857" s="14" t="n">
        <v>2022</v>
      </c>
      <c r="F857" s="14" t="n">
        <v>0.15</v>
      </c>
      <c r="G857" s="14" t="n">
        <v>8.788</v>
      </c>
      <c r="H857" s="14" t="n">
        <v>1.235</v>
      </c>
      <c r="I857" s="14" t="n">
        <v>0</v>
      </c>
      <c r="J857" s="14" t="n">
        <v>8.788</v>
      </c>
      <c r="K857" s="14" t="n">
        <v>0</v>
      </c>
      <c r="L857" s="14" t="n">
        <v>1</v>
      </c>
      <c r="M857" s="14" t="n">
        <v>9.782999999999999</v>
      </c>
      <c r="N857" s="14" t="n">
        <v>3.704</v>
      </c>
      <c r="O857" s="14" t="n">
        <v>0</v>
      </c>
      <c r="P857" s="14" t="n">
        <v>9.782999999999999</v>
      </c>
      <c r="Q857" s="14" t="n">
        <v>0</v>
      </c>
      <c r="R857" s="14" t="n">
        <v>1</v>
      </c>
      <c r="S857" s="14" t="n">
        <v>14.962</v>
      </c>
      <c r="T857" s="14" t="n">
        <v>7.408</v>
      </c>
      <c r="U857" s="14" t="n">
        <v>0.166</v>
      </c>
      <c r="V857" s="14" t="n">
        <v>17.206</v>
      </c>
      <c r="W857" s="14" t="n">
        <v>0.15</v>
      </c>
      <c r="X857" s="14" t="n">
        <v>1</v>
      </c>
      <c r="Y857" s="14" t="n">
        <v>17.332</v>
      </c>
      <c r="Z857" s="14" t="n">
        <v>2.139</v>
      </c>
      <c r="AA857" s="14" t="n">
        <v>0</v>
      </c>
      <c r="AB857" s="14" t="n">
        <v>17.332</v>
      </c>
      <c r="AC857" s="14" t="n">
        <v>0</v>
      </c>
      <c r="AD857" s="14" t="n">
        <v>1</v>
      </c>
      <c r="AE857" s="14" t="n">
        <v>18.566</v>
      </c>
      <c r="AF857" s="14" t="n">
        <v>4.048</v>
      </c>
      <c r="AG857" s="14" t="n">
        <v>0</v>
      </c>
      <c r="AH857" s="14" t="n">
        <v>18.566</v>
      </c>
      <c r="AI857" s="14" t="n">
        <v>0</v>
      </c>
      <c r="AJ857" s="14" t="n">
        <v>1</v>
      </c>
      <c r="AK857" s="14" t="n">
        <v>25.974</v>
      </c>
      <c r="AL857" s="14" t="n">
        <v>13.478</v>
      </c>
      <c r="AM857" s="14" t="n">
        <v>0.288</v>
      </c>
      <c r="AN857" s="14" t="n">
        <v>29.871</v>
      </c>
      <c r="AO857" s="14" t="n">
        <v>0.15</v>
      </c>
      <c r="AP857" s="14" t="n">
        <v>1</v>
      </c>
      <c r="AQ857" s="14" t="n">
        <v>0.847</v>
      </c>
      <c r="AR857" s="14" t="n">
        <v>0.123</v>
      </c>
      <c r="AS857" s="14" t="n">
        <v>0.457</v>
      </c>
      <c r="AT857" s="14" t="n">
        <v>1.5</v>
      </c>
      <c r="AU857" s="14" t="n">
        <v>0.15</v>
      </c>
      <c r="AV857" s="14" t="n">
        <v>1</v>
      </c>
      <c r="AW857" s="14" t="n">
        <v>0.947</v>
      </c>
      <c r="AX857" s="14" t="n">
        <v>0.123</v>
      </c>
      <c r="AY857" s="14" t="n">
        <v>0.433</v>
      </c>
      <c r="AZ857" s="14" t="n">
        <v>1.586</v>
      </c>
      <c r="BA857" s="14" t="n">
        <v>0.15</v>
      </c>
      <c r="BB857" s="14" t="n">
        <v>1</v>
      </c>
      <c r="BC857" s="14" t="n">
        <v>0.589</v>
      </c>
      <c r="BD857" s="14" t="n">
        <v>0.123</v>
      </c>
      <c r="BE857" s="14" t="n">
        <v>0.007</v>
      </c>
      <c r="BF857" s="14" t="n">
        <v>0.677</v>
      </c>
      <c r="BG857" s="14" t="n">
        <v>0.15</v>
      </c>
      <c r="BH857" s="14" t="n">
        <v>1</v>
      </c>
      <c r="BI857" s="14" t="n">
        <v>0.6889999999999999</v>
      </c>
      <c r="BJ857" s="14" t="n">
        <v>0.123</v>
      </c>
      <c r="BK857" s="14" t="n">
        <v>0.008</v>
      </c>
      <c r="BL857" s="14" t="n">
        <v>0.792</v>
      </c>
      <c r="BM857" s="14" t="n">
        <v>0.15</v>
      </c>
      <c r="BN857" s="14" t="n">
        <v>1</v>
      </c>
      <c r="BO857" s="14" t="n">
        <v>0</v>
      </c>
      <c r="BP857" s="14" t="n">
        <v>0</v>
      </c>
      <c r="BQ857" s="14" t="n">
        <v>0</v>
      </c>
      <c r="BR857" s="14" t="n">
        <v>0</v>
      </c>
      <c r="BS857" s="14" t="n">
        <v>1</v>
      </c>
      <c r="BT857" s="14" t="n">
        <v>0</v>
      </c>
      <c r="BU857" s="14" t="n">
        <v>0</v>
      </c>
      <c r="BV857" s="14" t="n">
        <v>0</v>
      </c>
      <c r="BW857" s="14" t="n">
        <v>0.15</v>
      </c>
      <c r="BX857" s="14" t="n">
        <v>1</v>
      </c>
      <c r="BY857" s="14" t="n">
        <v>12.729</v>
      </c>
      <c r="BZ857" s="14" t="n">
        <v>0</v>
      </c>
      <c r="CA857" s="14" t="n">
        <v>12.729</v>
      </c>
      <c r="CB857" s="14" t="n">
        <v>0</v>
      </c>
      <c r="CC857" s="14" t="n">
        <v>102.477</v>
      </c>
      <c r="CD857" s="14" t="n">
        <v>7.95</v>
      </c>
      <c r="CE857" s="14" t="n">
        <v>1.138</v>
      </c>
      <c r="CF857" s="14" t="n">
        <v>117.848</v>
      </c>
      <c r="CG857" s="14" t="n">
        <v>0.15</v>
      </c>
      <c r="CH857" s="14" t="n">
        <v>1</v>
      </c>
      <c r="CI857" s="14" t="n">
        <v>0</v>
      </c>
      <c r="CJ857" s="14" t="n">
        <v>0</v>
      </c>
      <c r="CK857" s="14" t="n">
        <v>0</v>
      </c>
      <c r="CL857" s="14" t="n">
        <v>0</v>
      </c>
      <c r="CM857" s="14" t="n">
        <v>0</v>
      </c>
      <c r="CN857" s="14" t="n">
        <v>0</v>
      </c>
      <c r="CO857" s="14" t="n">
        <v>0</v>
      </c>
      <c r="CP857" s="14" t="n">
        <v>0</v>
      </c>
      <c r="CQ857" s="14" t="n">
        <v>1.294</v>
      </c>
      <c r="CR857" s="14" t="n">
        <v>0</v>
      </c>
      <c r="CS857" s="14" t="n">
        <v>5.158</v>
      </c>
      <c r="CT857" s="14" t="n">
        <v>7.554</v>
      </c>
      <c r="CU857" s="14" t="n">
        <v>16.097</v>
      </c>
    </row>
    <row r="858">
      <c r="A858" s="14" t="inlineStr">
        <is>
          <t>VUT2023</t>
        </is>
      </c>
      <c r="B858" s="14" t="inlineStr">
        <is>
          <t>VUT</t>
        </is>
      </c>
      <c r="C858" s="14" t="inlineStr">
        <is>
          <t>VUT</t>
        </is>
      </c>
      <c r="D858" s="14" t="inlineStr">
        <is>
          <t>Vanuatu</t>
        </is>
      </c>
      <c r="E858" s="14" t="n">
        <v>2023</v>
      </c>
      <c r="F858" s="14" t="n">
        <v>0.15</v>
      </c>
      <c r="G858" s="14" t="n">
        <v>5.77</v>
      </c>
      <c r="H858" s="14" t="n">
        <v>1.286</v>
      </c>
      <c r="I858" s="14" t="n">
        <v>0</v>
      </c>
      <c r="J858" s="14" t="n">
        <v>5.77</v>
      </c>
      <c r="K858" s="14" t="n">
        <v>0</v>
      </c>
      <c r="L858" s="14" t="n">
        <v>1</v>
      </c>
      <c r="M858" s="14" t="n">
        <v>7.886</v>
      </c>
      <c r="N858" s="14" t="n">
        <v>3.857</v>
      </c>
      <c r="O858" s="14" t="n">
        <v>0</v>
      </c>
      <c r="P858" s="14" t="n">
        <v>7.886</v>
      </c>
      <c r="Q858" s="14" t="n">
        <v>0</v>
      </c>
      <c r="R858" s="14" t="n">
        <v>1</v>
      </c>
      <c r="S858" s="14" t="n">
        <v>12.198</v>
      </c>
      <c r="T858" s="14" t="n">
        <v>7.714</v>
      </c>
      <c r="U858" s="14" t="n">
        <v>0.203</v>
      </c>
      <c r="V858" s="14" t="n">
        <v>14.028</v>
      </c>
      <c r="W858" s="14" t="n">
        <v>0.15</v>
      </c>
      <c r="X858" s="14" t="n">
        <v>1</v>
      </c>
      <c r="Y858" s="14" t="n">
        <v>13.814</v>
      </c>
      <c r="Z858" s="14" t="n">
        <v>1.705</v>
      </c>
      <c r="AA858" s="14" t="n">
        <v>0</v>
      </c>
      <c r="AB858" s="14" t="n">
        <v>13.814</v>
      </c>
      <c r="AC858" s="14" t="n">
        <v>0</v>
      </c>
      <c r="AD858" s="14" t="n">
        <v>1</v>
      </c>
      <c r="AE858" s="14" t="n">
        <v>15.1</v>
      </c>
      <c r="AF858" s="14" t="n">
        <v>3.292</v>
      </c>
      <c r="AG858" s="14" t="n">
        <v>0</v>
      </c>
      <c r="AH858" s="14" t="n">
        <v>15.1</v>
      </c>
      <c r="AI858" s="14" t="n">
        <v>0</v>
      </c>
      <c r="AJ858" s="14" t="n">
        <v>1</v>
      </c>
      <c r="AK858" s="14" t="n">
        <v>22.814</v>
      </c>
      <c r="AL858" s="14" t="n">
        <v>11.838</v>
      </c>
      <c r="AM858" s="14" t="n">
        <v>0.379</v>
      </c>
      <c r="AN858" s="14" t="n">
        <v>26.236</v>
      </c>
      <c r="AO858" s="14" t="n">
        <v>0.15</v>
      </c>
      <c r="AP858" s="14" t="n">
        <v>1</v>
      </c>
      <c r="AQ858" s="14" t="n">
        <v>0.749</v>
      </c>
      <c r="AR858" s="14" t="n">
        <v>0.129</v>
      </c>
      <c r="AS858" s="14" t="n">
        <v>0.675</v>
      </c>
      <c r="AT858" s="14" t="n">
        <v>1.637</v>
      </c>
      <c r="AU858" s="14" t="n">
        <v>0.15</v>
      </c>
      <c r="AV858" s="14" t="n">
        <v>1</v>
      </c>
      <c r="AW858" s="14" t="n">
        <v>0.783</v>
      </c>
      <c r="AX858" s="14" t="n">
        <v>0.129</v>
      </c>
      <c r="AY858" s="14" t="n">
        <v>0.714</v>
      </c>
      <c r="AZ858" s="14" t="n">
        <v>1.721</v>
      </c>
      <c r="BA858" s="14" t="n">
        <v>0.15</v>
      </c>
      <c r="BB858" s="14" t="n">
        <v>1</v>
      </c>
      <c r="BC858" s="14" t="n">
        <v>0.527</v>
      </c>
      <c r="BD858" s="14" t="n">
        <v>0.129</v>
      </c>
      <c r="BE858" s="14" t="n">
        <v>0.008999999999999999</v>
      </c>
      <c r="BF858" s="14" t="n">
        <v>0.607</v>
      </c>
      <c r="BG858" s="14" t="n">
        <v>0.15</v>
      </c>
      <c r="BH858" s="14" t="n">
        <v>1</v>
      </c>
      <c r="BI858" s="14" t="n">
        <v>0.64</v>
      </c>
      <c r="BJ858" s="14" t="n">
        <v>0.129</v>
      </c>
      <c r="BK858" s="14" t="n">
        <v>0.011</v>
      </c>
      <c r="BL858" s="14" t="n">
        <v>0.736</v>
      </c>
      <c r="BM858" s="14" t="n">
        <v>0.15</v>
      </c>
      <c r="BN858" s="14" t="n">
        <v>1</v>
      </c>
      <c r="BO858" s="14" t="n">
        <v>0</v>
      </c>
      <c r="BP858" s="14" t="n">
        <v>0</v>
      </c>
      <c r="BQ858" s="14" t="n">
        <v>0</v>
      </c>
      <c r="BR858" s="14" t="n">
        <v>0</v>
      </c>
      <c r="BS858" s="14" t="n">
        <v>1</v>
      </c>
      <c r="BT858" s="14" t="n">
        <v>0</v>
      </c>
      <c r="BU858" s="14" t="n">
        <v>0</v>
      </c>
      <c r="BV858" s="14" t="n">
        <v>0</v>
      </c>
      <c r="BW858" s="14" t="n">
        <v>0.15</v>
      </c>
      <c r="BX858" s="14" t="n">
        <v>1</v>
      </c>
      <c r="BY858" s="14" t="n">
        <v>13.254</v>
      </c>
      <c r="BZ858" s="14" t="n">
        <v>0</v>
      </c>
      <c r="CA858" s="14" t="n">
        <v>13.254</v>
      </c>
      <c r="CB858" s="14" t="n">
        <v>0</v>
      </c>
      <c r="CC858" s="14" t="n">
        <v>87.07899999999999</v>
      </c>
      <c r="CD858" s="14" t="n">
        <v>7.95</v>
      </c>
      <c r="CE858" s="14" t="n">
        <v>1.446</v>
      </c>
      <c r="CF858" s="14" t="n">
        <v>100.141</v>
      </c>
      <c r="CG858" s="14" t="n">
        <v>0.15</v>
      </c>
      <c r="CH858" s="14" t="n">
        <v>1</v>
      </c>
      <c r="CI858" s="14" t="n">
        <v>0</v>
      </c>
      <c r="CJ858" s="14" t="n">
        <v>0</v>
      </c>
      <c r="CK858" s="14" t="n">
        <v>0</v>
      </c>
      <c r="CL858" s="14" t="n">
        <v>0</v>
      </c>
      <c r="CM858" s="14" t="n">
        <v>0</v>
      </c>
      <c r="CN858" s="14" t="n">
        <v>0</v>
      </c>
      <c r="CO858" s="14" t="n">
        <v>0</v>
      </c>
      <c r="CP858" s="14" t="n">
        <v>0</v>
      </c>
      <c r="CQ858" s="14" t="n">
        <v>1.348</v>
      </c>
      <c r="CR858" s="14" t="n">
        <v>0</v>
      </c>
      <c r="CS858" s="14" t="n">
        <v>5.37</v>
      </c>
      <c r="CT858" s="14" t="n">
        <v>4.484</v>
      </c>
      <c r="CU858" s="14" t="n">
        <v>12.529</v>
      </c>
    </row>
    <row r="859">
      <c r="A859" s="14" t="inlineStr">
        <is>
          <t>VUT2024</t>
        </is>
      </c>
      <c r="B859" s="14" t="inlineStr">
        <is>
          <t>VUT</t>
        </is>
      </c>
      <c r="C859" s="14" t="inlineStr">
        <is>
          <t>VUT</t>
        </is>
      </c>
      <c r="D859" s="14" t="inlineStr">
        <is>
          <t>Vanuatu</t>
        </is>
      </c>
      <c r="E859" s="14" t="n">
        <v>2024</v>
      </c>
      <c r="F859" s="14" t="n">
        <v>0.15</v>
      </c>
      <c r="G859" s="14" t="n">
        <v>4.833</v>
      </c>
      <c r="H859" s="14" t="n">
        <v>1.324</v>
      </c>
      <c r="I859" s="14" t="n">
        <v>0</v>
      </c>
      <c r="J859" s="14" t="n">
        <v>4.833</v>
      </c>
      <c r="K859" s="14" t="n">
        <v>0</v>
      </c>
      <c r="L859" s="14" t="n">
        <v>1</v>
      </c>
      <c r="M859" s="14" t="n">
        <v>7.124</v>
      </c>
      <c r="N859" s="14" t="n">
        <v>3.971</v>
      </c>
      <c r="O859" s="14" t="n">
        <v>0</v>
      </c>
      <c r="P859" s="14" t="n">
        <v>7.124</v>
      </c>
      <c r="Q859" s="14" t="n">
        <v>0</v>
      </c>
      <c r="R859" s="14" t="n">
        <v>1</v>
      </c>
      <c r="S859" s="14" t="n">
        <v>11.451</v>
      </c>
      <c r="T859" s="14" t="n">
        <v>7.942</v>
      </c>
      <c r="U859" s="14" t="n">
        <v>0.234</v>
      </c>
      <c r="V859" s="14" t="n">
        <v>13.168</v>
      </c>
      <c r="W859" s="14" t="n">
        <v>0.15</v>
      </c>
      <c r="X859" s="14" t="n">
        <v>1</v>
      </c>
      <c r="Y859" s="14" t="n">
        <v>12.219</v>
      </c>
      <c r="Z859" s="14" t="n">
        <v>1.508</v>
      </c>
      <c r="AA859" s="14" t="n">
        <v>0</v>
      </c>
      <c r="AB859" s="14" t="n">
        <v>12.219</v>
      </c>
      <c r="AC859" s="14" t="n">
        <v>0</v>
      </c>
      <c r="AD859" s="14" t="n">
        <v>1</v>
      </c>
      <c r="AE859" s="14" t="n">
        <v>13.543</v>
      </c>
      <c r="AF859" s="14" t="n">
        <v>2.952</v>
      </c>
      <c r="AG859" s="14" t="n">
        <v>0</v>
      </c>
      <c r="AH859" s="14" t="n">
        <v>13.543</v>
      </c>
      <c r="AI859" s="14" t="n">
        <v>0</v>
      </c>
      <c r="AJ859" s="14" t="n">
        <v>1</v>
      </c>
      <c r="AK859" s="14" t="n">
        <v>21.484</v>
      </c>
      <c r="AL859" s="14" t="n">
        <v>11.148</v>
      </c>
      <c r="AM859" s="14" t="n">
        <v>0.439</v>
      </c>
      <c r="AN859" s="14" t="n">
        <v>24.707</v>
      </c>
      <c r="AO859" s="14" t="n">
        <v>0.15</v>
      </c>
      <c r="AP859" s="14" t="n">
        <v>1</v>
      </c>
      <c r="AQ859" s="14" t="n">
        <v>0.72</v>
      </c>
      <c r="AR859" s="14" t="n">
        <v>0.132</v>
      </c>
      <c r="AS859" s="14" t="n">
        <v>0.616</v>
      </c>
      <c r="AT859" s="14" t="n">
        <v>1.536</v>
      </c>
      <c r="AU859" s="14" t="n">
        <v>0.15</v>
      </c>
      <c r="AV859" s="14" t="n">
        <v>1</v>
      </c>
      <c r="AW859" s="14" t="n">
        <v>0.734</v>
      </c>
      <c r="AX859" s="14" t="n">
        <v>0.132</v>
      </c>
      <c r="AY859" s="14" t="n">
        <v>0.595</v>
      </c>
      <c r="AZ859" s="14" t="n">
        <v>1.528</v>
      </c>
      <c r="BA859" s="14" t="n">
        <v>0.15</v>
      </c>
      <c r="BB859" s="14" t="n">
        <v>1</v>
      </c>
      <c r="BC859" s="14" t="n">
        <v>0.51</v>
      </c>
      <c r="BD859" s="14" t="n">
        <v>0.132</v>
      </c>
      <c r="BE859" s="14" t="n">
        <v>0.01</v>
      </c>
      <c r="BF859" s="14" t="n">
        <v>0.587</v>
      </c>
      <c r="BG859" s="14" t="n">
        <v>0.15</v>
      </c>
      <c r="BH859" s="14" t="n">
        <v>1</v>
      </c>
      <c r="BI859" s="14" t="n">
        <v>0.652</v>
      </c>
      <c r="BJ859" s="14" t="n">
        <v>0.132</v>
      </c>
      <c r="BK859" s="14" t="n">
        <v>0.013</v>
      </c>
      <c r="BL859" s="14" t="n">
        <v>0.75</v>
      </c>
      <c r="BM859" s="14" t="n">
        <v>0.15</v>
      </c>
      <c r="BN859" s="14" t="n">
        <v>1</v>
      </c>
      <c r="BO859" s="14" t="n">
        <v>0</v>
      </c>
      <c r="BP859" s="14" t="n">
        <v>0</v>
      </c>
      <c r="BQ859" s="14" t="n">
        <v>0</v>
      </c>
      <c r="BR859" s="14" t="n">
        <v>0</v>
      </c>
      <c r="BS859" s="14" t="n">
        <v>1</v>
      </c>
      <c r="BT859" s="14" t="n">
        <v>0</v>
      </c>
      <c r="BU859" s="14" t="n">
        <v>0</v>
      </c>
      <c r="BV859" s="14" t="n">
        <v>0</v>
      </c>
      <c r="BW859" s="14" t="n">
        <v>0.15</v>
      </c>
      <c r="BX859" s="14" t="n">
        <v>1</v>
      </c>
      <c r="BY859" s="14" t="n">
        <v>13.646</v>
      </c>
      <c r="BZ859" s="14" t="n">
        <v>0</v>
      </c>
      <c r="CA859" s="14" t="n">
        <v>13.646</v>
      </c>
      <c r="CB859" s="14" t="n">
        <v>0</v>
      </c>
      <c r="CC859" s="14" t="n">
        <v>86.38500000000001</v>
      </c>
      <c r="CD859" s="14" t="n">
        <v>7.95</v>
      </c>
      <c r="CE859" s="14" t="n">
        <v>1.765</v>
      </c>
      <c r="CF859" s="14" t="n">
        <v>99.343</v>
      </c>
      <c r="CG859" s="14" t="n">
        <v>0.15</v>
      </c>
      <c r="CH859" s="14" t="n">
        <v>1</v>
      </c>
      <c r="CI859" s="14" t="n">
        <v>0</v>
      </c>
      <c r="CJ859" s="14" t="n">
        <v>0</v>
      </c>
      <c r="CK859" s="14" t="n">
        <v>0</v>
      </c>
      <c r="CL859" s="14" t="n">
        <v>0</v>
      </c>
      <c r="CM859" s="14" t="n">
        <v>0</v>
      </c>
      <c r="CN859" s="14" t="n">
        <v>0</v>
      </c>
      <c r="CO859" s="14" t="n">
        <v>0</v>
      </c>
      <c r="CP859" s="14" t="n">
        <v>0</v>
      </c>
      <c r="CQ859" s="14" t="n">
        <v>1.387</v>
      </c>
      <c r="CR859" s="14" t="n">
        <v>0</v>
      </c>
      <c r="CS859" s="14" t="n">
        <v>5.529</v>
      </c>
      <c r="CT859" s="14" t="n">
        <v>3.509</v>
      </c>
      <c r="CU859" s="14" t="n">
        <v>10.896</v>
      </c>
    </row>
    <row r="860">
      <c r="A860" s="14" t="inlineStr">
        <is>
          <t>VEN2021</t>
        </is>
      </c>
      <c r="B860" s="14" t="inlineStr">
        <is>
          <t>VEN</t>
        </is>
      </c>
      <c r="C860" s="14" t="inlineStr">
        <is>
          <t>VEN</t>
        </is>
      </c>
      <c r="D860" s="14" t="inlineStr">
        <is>
          <t>Venezuela</t>
        </is>
      </c>
      <c r="E860" s="14" t="n">
        <v>2021</v>
      </c>
      <c r="F860" s="14" t="n">
        <v>0.16</v>
      </c>
      <c r="G860" s="14" t="n">
        <v>1.77</v>
      </c>
      <c r="H860" s="14" t="n">
        <v>0.572</v>
      </c>
      <c r="I860" s="14" t="n">
        <v>0</v>
      </c>
      <c r="J860" s="14" t="n">
        <v>1.77</v>
      </c>
      <c r="K860" s="14" t="n">
        <v>0</v>
      </c>
      <c r="L860" s="14" t="n">
        <v>1</v>
      </c>
      <c r="M860" s="14" t="n">
        <v>2.913</v>
      </c>
      <c r="N860" s="14" t="n">
        <v>1.715</v>
      </c>
      <c r="O860" s="14" t="n">
        <v>0</v>
      </c>
      <c r="P860" s="14" t="n">
        <v>2.913</v>
      </c>
      <c r="Q860" s="14" t="n">
        <v>0</v>
      </c>
      <c r="R860" s="14" t="n">
        <v>1</v>
      </c>
      <c r="S860" s="14" t="n">
        <v>4.628</v>
      </c>
      <c r="T860" s="14" t="n">
        <v>3.43</v>
      </c>
      <c r="U860" s="14" t="n">
        <v>0</v>
      </c>
      <c r="V860" s="14" t="n">
        <v>5.369</v>
      </c>
      <c r="W860" s="14" t="n">
        <v>0.16</v>
      </c>
      <c r="X860" s="14" t="n">
        <v>1</v>
      </c>
      <c r="Y860" s="14" t="n">
        <v>6.395</v>
      </c>
      <c r="Z860" s="14" t="n">
        <v>0.469</v>
      </c>
      <c r="AA860" s="14" t="n">
        <v>-1.675</v>
      </c>
      <c r="AB860" s="14" t="n">
        <v>4.72</v>
      </c>
      <c r="AC860" s="14" t="n">
        <v>0</v>
      </c>
      <c r="AD860" s="14" t="n">
        <v>0</v>
      </c>
      <c r="AE860" s="14" t="n">
        <v>6.966</v>
      </c>
      <c r="AF860" s="14" t="n">
        <v>0.944</v>
      </c>
      <c r="AG860" s="14" t="n">
        <v>-1.675</v>
      </c>
      <c r="AH860" s="14" t="n">
        <v>5.292</v>
      </c>
      <c r="AI860" s="14" t="n">
        <v>0</v>
      </c>
      <c r="AJ860" s="14" t="n">
        <v>0</v>
      </c>
      <c r="AK860" s="14" t="n">
        <v>10.396</v>
      </c>
      <c r="AL860" s="14" t="n">
        <v>3.907</v>
      </c>
      <c r="AM860" s="14" t="n">
        <v>-0.011</v>
      </c>
      <c r="AN860" s="14" t="n">
        <v>10.385</v>
      </c>
      <c r="AO860" s="14" t="n">
        <v>0</v>
      </c>
      <c r="AP860" s="14" t="n">
        <v>1</v>
      </c>
      <c r="AQ860" s="14" t="n">
        <v>0.649</v>
      </c>
      <c r="AR860" s="14" t="n">
        <v>0.114</v>
      </c>
      <c r="AS860" s="14" t="n">
        <v>-0.64</v>
      </c>
      <c r="AT860" s="14" t="n">
        <v>0.01</v>
      </c>
      <c r="AU860" s="14" t="n">
        <v>0</v>
      </c>
      <c r="AV860" s="14" t="n">
        <v>0</v>
      </c>
      <c r="AW860" s="14" t="n">
        <v>0.577</v>
      </c>
      <c r="AX860" s="14" t="n">
        <v>0.114</v>
      </c>
      <c r="AY860" s="14" t="n">
        <v>-0.5669999999999999</v>
      </c>
      <c r="AZ860" s="14" t="n">
        <v>0.01</v>
      </c>
      <c r="BA860" s="14" t="n">
        <v>0</v>
      </c>
      <c r="BB860" s="14" t="n">
        <v>0</v>
      </c>
      <c r="BC860" s="14" t="n">
        <v>0.458</v>
      </c>
      <c r="BD860" s="14" t="n">
        <v>0.114</v>
      </c>
      <c r="BE860" s="14" t="n">
        <v>-0.431</v>
      </c>
      <c r="BF860" s="14" t="n">
        <v>0.032</v>
      </c>
      <c r="BG860" s="14" t="n">
        <v>0</v>
      </c>
      <c r="BH860" s="14" t="n">
        <v>0</v>
      </c>
      <c r="BI860" s="14" t="n">
        <v>0.491</v>
      </c>
      <c r="BJ860" s="14" t="n">
        <v>0.114</v>
      </c>
      <c r="BK860" s="14" t="n">
        <v>0.095</v>
      </c>
      <c r="BL860" s="14" t="n">
        <v>0.68</v>
      </c>
      <c r="BM860" s="14" t="n">
        <v>0.16</v>
      </c>
      <c r="BN860" s="14" t="n">
        <v>1</v>
      </c>
      <c r="BO860" s="14" t="n">
        <v>0</v>
      </c>
      <c r="BP860" s="14" t="n">
        <v>-0.081</v>
      </c>
      <c r="BQ860" s="14" t="n">
        <v>0.119</v>
      </c>
      <c r="BR860" s="14" t="n">
        <v>0</v>
      </c>
      <c r="BS860" s="14" t="n">
        <v>1</v>
      </c>
      <c r="BT860" s="14" t="n">
        <v>0</v>
      </c>
      <c r="BU860" s="14" t="n">
        <v>-0.081</v>
      </c>
      <c r="BV860" s="14" t="n">
        <v>0.045</v>
      </c>
      <c r="BW860" s="14" t="n">
        <v>0</v>
      </c>
      <c r="BX860" s="14" t="n">
        <v>0.833</v>
      </c>
      <c r="BY860" s="14" t="n">
        <v>11.787</v>
      </c>
      <c r="BZ860" s="14" t="n">
        <v>0</v>
      </c>
      <c r="CA860" s="14" t="n">
        <v>11.787</v>
      </c>
      <c r="CB860" s="14" t="n">
        <v>0</v>
      </c>
      <c r="CC860" s="14" t="n">
        <v>78.125</v>
      </c>
      <c r="CD860" s="14" t="n">
        <v>7.95</v>
      </c>
      <c r="CE860" s="14" t="n">
        <v>0</v>
      </c>
      <c r="CF860" s="14" t="n">
        <v>90.625</v>
      </c>
      <c r="CG860" s="14" t="n">
        <v>0.16</v>
      </c>
      <c r="CH860" s="14" t="n">
        <v>1</v>
      </c>
      <c r="CI860" s="14" t="n">
        <v>0</v>
      </c>
      <c r="CJ860" s="14" t="n">
        <v>0</v>
      </c>
      <c r="CK860" s="14" t="n">
        <v>0</v>
      </c>
      <c r="CL860" s="14" t="n">
        <v>0</v>
      </c>
      <c r="CM860" s="14" t="n">
        <v>0</v>
      </c>
      <c r="CN860" s="14" t="n">
        <v>0</v>
      </c>
      <c r="CO860" s="14" t="n">
        <v>0</v>
      </c>
      <c r="CP860" s="14" t="n">
        <v>1</v>
      </c>
      <c r="CQ860" s="14" t="n">
        <v>1.198</v>
      </c>
      <c r="CR860" s="14" t="n">
        <v>1</v>
      </c>
      <c r="CS860" s="14" t="n">
        <v>5.823</v>
      </c>
      <c r="CT860" s="14" t="n">
        <v>4.753</v>
      </c>
      <c r="CU860" s="14" t="n">
        <v>15.983</v>
      </c>
    </row>
    <row r="861">
      <c r="A861" s="14" t="inlineStr">
        <is>
          <t>VEN2022</t>
        </is>
      </c>
      <c r="B861" s="14" t="inlineStr">
        <is>
          <t>VEN</t>
        </is>
      </c>
      <c r="C861" s="14" t="inlineStr">
        <is>
          <t>VEN</t>
        </is>
      </c>
      <c r="D861" s="14" t="inlineStr">
        <is>
          <t>Venezuela</t>
        </is>
      </c>
      <c r="E861" s="14" t="n">
        <v>2022</v>
      </c>
      <c r="F861" s="14" t="n">
        <v>0.16</v>
      </c>
      <c r="G861" s="14" t="n">
        <v>1.911</v>
      </c>
      <c r="H861" s="14" t="n">
        <v>0.617</v>
      </c>
      <c r="I861" s="14" t="n">
        <v>0</v>
      </c>
      <c r="J861" s="14" t="n">
        <v>1.911</v>
      </c>
      <c r="K861" s="14" t="n">
        <v>0</v>
      </c>
      <c r="L861" s="14" t="n">
        <v>1</v>
      </c>
      <c r="M861" s="14" t="n">
        <v>3.146</v>
      </c>
      <c r="N861" s="14" t="n">
        <v>1.852</v>
      </c>
      <c r="O861" s="14" t="n">
        <v>0</v>
      </c>
      <c r="P861" s="14" t="n">
        <v>3.146</v>
      </c>
      <c r="Q861" s="14" t="n">
        <v>0</v>
      </c>
      <c r="R861" s="14" t="n">
        <v>1</v>
      </c>
      <c r="S861" s="14" t="n">
        <v>4.998</v>
      </c>
      <c r="T861" s="14" t="n">
        <v>3.704</v>
      </c>
      <c r="U861" s="14" t="n">
        <v>0.059</v>
      </c>
      <c r="V861" s="14" t="n">
        <v>5.798</v>
      </c>
      <c r="W861" s="14" t="n">
        <v>0.16</v>
      </c>
      <c r="X861" s="14" t="n">
        <v>1</v>
      </c>
      <c r="Y861" s="14" t="n">
        <v>6.906</v>
      </c>
      <c r="Z861" s="14" t="n">
        <v>0.506</v>
      </c>
      <c r="AA861" s="14" t="n">
        <v>-1.808</v>
      </c>
      <c r="AB861" s="14" t="n">
        <v>5.097</v>
      </c>
      <c r="AC861" s="14" t="n">
        <v>0</v>
      </c>
      <c r="AD861" s="14" t="n">
        <v>0</v>
      </c>
      <c r="AE861" s="14" t="n">
        <v>7.523</v>
      </c>
      <c r="AF861" s="14" t="n">
        <v>1.019</v>
      </c>
      <c r="AG861" s="14" t="n">
        <v>-1.808</v>
      </c>
      <c r="AH861" s="14" t="n">
        <v>5.715</v>
      </c>
      <c r="AI861" s="14" t="n">
        <v>0</v>
      </c>
      <c r="AJ861" s="14" t="n">
        <v>0</v>
      </c>
      <c r="AK861" s="14" t="n">
        <v>11.227</v>
      </c>
      <c r="AL861" s="14" t="n">
        <v>4.22</v>
      </c>
      <c r="AM861" s="14" t="n">
        <v>-0.012</v>
      </c>
      <c r="AN861" s="14" t="n">
        <v>11.215</v>
      </c>
      <c r="AO861" s="14" t="n">
        <v>0</v>
      </c>
      <c r="AP861" s="14" t="n">
        <v>1</v>
      </c>
      <c r="AQ861" s="14" t="n">
        <v>0.896</v>
      </c>
      <c r="AR861" s="14" t="n">
        <v>0.123</v>
      </c>
      <c r="AS861" s="14" t="n">
        <v>-0.876</v>
      </c>
      <c r="AT861" s="14" t="n">
        <v>0.023</v>
      </c>
      <c r="AU861" s="14" t="n">
        <v>0</v>
      </c>
      <c r="AV861" s="14" t="n">
        <v>0</v>
      </c>
      <c r="AW861" s="14" t="n">
        <v>0.89</v>
      </c>
      <c r="AX861" s="14" t="n">
        <v>0.123</v>
      </c>
      <c r="AY861" s="14" t="n">
        <v>-0.872</v>
      </c>
      <c r="AZ861" s="14" t="n">
        <v>0.021</v>
      </c>
      <c r="BA861" s="14" t="n">
        <v>0</v>
      </c>
      <c r="BB861" s="14" t="n">
        <v>0</v>
      </c>
      <c r="BC861" s="14" t="n">
        <v>0.62</v>
      </c>
      <c r="BD861" s="14" t="n">
        <v>0.123</v>
      </c>
      <c r="BE861" s="14" t="n">
        <v>-0.569</v>
      </c>
      <c r="BF861" s="14" t="n">
        <v>0.06</v>
      </c>
      <c r="BG861" s="14" t="n">
        <v>0</v>
      </c>
      <c r="BH861" s="14" t="n">
        <v>0</v>
      </c>
      <c r="BI861" s="14" t="n">
        <v>0.608</v>
      </c>
      <c r="BJ861" s="14" t="n">
        <v>0.123</v>
      </c>
      <c r="BK861" s="14" t="n">
        <v>0.101</v>
      </c>
      <c r="BL861" s="14" t="n">
        <v>0.8120000000000001</v>
      </c>
      <c r="BM861" s="14" t="n">
        <v>0.16</v>
      </c>
      <c r="BN861" s="14" t="n">
        <v>1</v>
      </c>
      <c r="BO861" s="14" t="n">
        <v>0</v>
      </c>
      <c r="BP861" s="14" t="n">
        <v>-0.081</v>
      </c>
      <c r="BQ861" s="14" t="n">
        <v>0.132</v>
      </c>
      <c r="BR861" s="14" t="n">
        <v>0</v>
      </c>
      <c r="BS861" s="14" t="n">
        <v>1</v>
      </c>
      <c r="BT861" s="14" t="n">
        <v>0</v>
      </c>
      <c r="BU861" s="14" t="n">
        <v>-0.081</v>
      </c>
      <c r="BV861" s="14" t="n">
        <v>0.046</v>
      </c>
      <c r="BW861" s="14" t="n">
        <v>0</v>
      </c>
      <c r="BX861" s="14" t="n">
        <v>0.833</v>
      </c>
      <c r="BY861" s="14" t="n">
        <v>12.729</v>
      </c>
      <c r="BZ861" s="14" t="n">
        <v>0</v>
      </c>
      <c r="CA861" s="14" t="n">
        <v>12.729</v>
      </c>
      <c r="CB861" s="14" t="n">
        <v>0</v>
      </c>
      <c r="CC861" s="14" t="n">
        <v>97.90000000000001</v>
      </c>
      <c r="CD861" s="14" t="n">
        <v>7.95</v>
      </c>
      <c r="CE861" s="14" t="n">
        <v>1.159</v>
      </c>
      <c r="CF861" s="14" t="n">
        <v>113.564</v>
      </c>
      <c r="CG861" s="14" t="n">
        <v>0.16</v>
      </c>
      <c r="CH861" s="14" t="n">
        <v>1</v>
      </c>
      <c r="CI861" s="14" t="n">
        <v>0</v>
      </c>
      <c r="CJ861" s="14" t="n">
        <v>0</v>
      </c>
      <c r="CK861" s="14" t="n">
        <v>0</v>
      </c>
      <c r="CL861" s="14" t="n">
        <v>0</v>
      </c>
      <c r="CM861" s="14" t="n">
        <v>0</v>
      </c>
      <c r="CN861" s="14" t="n">
        <v>0</v>
      </c>
      <c r="CO861" s="14" t="n">
        <v>0</v>
      </c>
      <c r="CP861" s="14" t="n">
        <v>1</v>
      </c>
      <c r="CQ861" s="14" t="n">
        <v>1.294</v>
      </c>
      <c r="CR861" s="14" t="n">
        <v>1</v>
      </c>
      <c r="CS861" s="14" t="n">
        <v>6.288</v>
      </c>
      <c r="CT861" s="14" t="n">
        <v>10.485</v>
      </c>
      <c r="CU861" s="14" t="n">
        <v>29.494</v>
      </c>
    </row>
    <row r="862">
      <c r="A862" s="14" t="inlineStr">
        <is>
          <t>VEN2023</t>
        </is>
      </c>
      <c r="B862" s="14" t="inlineStr">
        <is>
          <t>VEN</t>
        </is>
      </c>
      <c r="C862" s="14" t="inlineStr">
        <is>
          <t>VEN</t>
        </is>
      </c>
      <c r="D862" s="14" t="inlineStr">
        <is>
          <t>Venezuela</t>
        </is>
      </c>
      <c r="E862" s="14" t="n">
        <v>2023</v>
      </c>
      <c r="F862" s="14" t="n">
        <v>0.16</v>
      </c>
      <c r="G862" s="14" t="n">
        <v>1.99</v>
      </c>
      <c r="H862" s="14" t="n">
        <v>0.643</v>
      </c>
      <c r="I862" s="14" t="n">
        <v>0</v>
      </c>
      <c r="J862" s="14" t="n">
        <v>1.99</v>
      </c>
      <c r="K862" s="14" t="n">
        <v>0</v>
      </c>
      <c r="L862" s="14" t="n">
        <v>1</v>
      </c>
      <c r="M862" s="14" t="n">
        <v>3.276</v>
      </c>
      <c r="N862" s="14" t="n">
        <v>1.928</v>
      </c>
      <c r="O862" s="14" t="n">
        <v>0</v>
      </c>
      <c r="P862" s="14" t="n">
        <v>3.276</v>
      </c>
      <c r="Q862" s="14" t="n">
        <v>0</v>
      </c>
      <c r="R862" s="14" t="n">
        <v>1</v>
      </c>
      <c r="S862" s="14" t="n">
        <v>5.205</v>
      </c>
      <c r="T862" s="14" t="n">
        <v>3.857</v>
      </c>
      <c r="U862" s="14" t="n">
        <v>0.092</v>
      </c>
      <c r="V862" s="14" t="n">
        <v>6.037</v>
      </c>
      <c r="W862" s="14" t="n">
        <v>0.16</v>
      </c>
      <c r="X862" s="14" t="n">
        <v>1</v>
      </c>
      <c r="Y862" s="14" t="n">
        <v>7.191</v>
      </c>
      <c r="Z862" s="14" t="n">
        <v>0.527</v>
      </c>
      <c r="AA862" s="14" t="n">
        <v>-1.883</v>
      </c>
      <c r="AB862" s="14" t="n">
        <v>5.308</v>
      </c>
      <c r="AC862" s="14" t="n">
        <v>0</v>
      </c>
      <c r="AD862" s="14" t="n">
        <v>0</v>
      </c>
      <c r="AE862" s="14" t="n">
        <v>7.834</v>
      </c>
      <c r="AF862" s="14" t="n">
        <v>1.061</v>
      </c>
      <c r="AG862" s="14" t="n">
        <v>-1.883</v>
      </c>
      <c r="AH862" s="14" t="n">
        <v>5.951</v>
      </c>
      <c r="AI862" s="14" t="n">
        <v>0</v>
      </c>
      <c r="AJ862" s="14" t="n">
        <v>0</v>
      </c>
      <c r="AK862" s="14" t="n">
        <v>11.691</v>
      </c>
      <c r="AL862" s="14" t="n">
        <v>4.394</v>
      </c>
      <c r="AM862" s="14" t="n">
        <v>-0.013</v>
      </c>
      <c r="AN862" s="14" t="n">
        <v>11.678</v>
      </c>
      <c r="AO862" s="14" t="n">
        <v>0</v>
      </c>
      <c r="AP862" s="14" t="n">
        <v>1</v>
      </c>
      <c r="AQ862" s="14" t="n">
        <v>0.791</v>
      </c>
      <c r="AR862" s="14" t="n">
        <v>0.129</v>
      </c>
      <c r="AS862" s="14" t="n">
        <v>-0.767</v>
      </c>
      <c r="AT862" s="14" t="n">
        <v>0.024</v>
      </c>
      <c r="AU862" s="14" t="n">
        <v>0</v>
      </c>
      <c r="AV862" s="14" t="n">
        <v>0</v>
      </c>
      <c r="AW862" s="14" t="n">
        <v>0.618</v>
      </c>
      <c r="AX862" s="14" t="n">
        <v>0.129</v>
      </c>
      <c r="AY862" s="14" t="n">
        <v>-0.609</v>
      </c>
      <c r="AZ862" s="14" t="n">
        <v>0.01</v>
      </c>
      <c r="BA862" s="14" t="n">
        <v>0</v>
      </c>
      <c r="BB862" s="14" t="n">
        <v>0</v>
      </c>
      <c r="BC862" s="14" t="n">
        <v>0.554</v>
      </c>
      <c r="BD862" s="14" t="n">
        <v>0.129</v>
      </c>
      <c r="BE862" s="14" t="n">
        <v>-0.492</v>
      </c>
      <c r="BF862" s="14" t="n">
        <v>0.062</v>
      </c>
      <c r="BG862" s="14" t="n">
        <v>0</v>
      </c>
      <c r="BH862" s="14" t="n">
        <v>0</v>
      </c>
      <c r="BI862" s="14" t="n">
        <v>0.5570000000000001</v>
      </c>
      <c r="BJ862" s="14" t="n">
        <v>0.129</v>
      </c>
      <c r="BK862" s="14" t="n">
        <v>0.118</v>
      </c>
      <c r="BL862" s="14" t="n">
        <v>0.77</v>
      </c>
      <c r="BM862" s="14" t="n">
        <v>0.16</v>
      </c>
      <c r="BN862" s="14" t="n">
        <v>1</v>
      </c>
      <c r="BO862" s="14" t="n">
        <v>0</v>
      </c>
      <c r="BP862" s="14" t="n">
        <v>-0.081</v>
      </c>
      <c r="BQ862" s="14" t="n">
        <v>0.237</v>
      </c>
      <c r="BR862" s="14" t="n">
        <v>0</v>
      </c>
      <c r="BS862" s="14" t="n">
        <v>1</v>
      </c>
      <c r="BT862" s="14" t="n">
        <v>0</v>
      </c>
      <c r="BU862" s="14" t="n">
        <v>-0.081</v>
      </c>
      <c r="BV862" s="14" t="n">
        <v>0.032</v>
      </c>
      <c r="BW862" s="14" t="n">
        <v>0</v>
      </c>
      <c r="BX862" s="14" t="n">
        <v>0.833</v>
      </c>
      <c r="BY862" s="14" t="n">
        <v>13.254</v>
      </c>
      <c r="BZ862" s="14" t="n">
        <v>0</v>
      </c>
      <c r="CA862" s="14" t="n">
        <v>13.254</v>
      </c>
      <c r="CB862" s="14" t="n">
        <v>0</v>
      </c>
      <c r="CC862" s="14" t="n">
        <v>83.248</v>
      </c>
      <c r="CD862" s="14" t="n">
        <v>7.95</v>
      </c>
      <c r="CE862" s="14" t="n">
        <v>1.475</v>
      </c>
      <c r="CF862" s="14" t="n">
        <v>96.568</v>
      </c>
      <c r="CG862" s="14" t="n">
        <v>0.16</v>
      </c>
      <c r="CH862" s="14" t="n">
        <v>1</v>
      </c>
      <c r="CI862" s="14" t="n">
        <v>0</v>
      </c>
      <c r="CJ862" s="14" t="n">
        <v>0</v>
      </c>
      <c r="CK862" s="14" t="n">
        <v>0</v>
      </c>
      <c r="CL862" s="14" t="n">
        <v>0</v>
      </c>
      <c r="CM862" s="14" t="n">
        <v>0</v>
      </c>
      <c r="CN862" s="14" t="n">
        <v>0</v>
      </c>
      <c r="CO862" s="14" t="n">
        <v>0</v>
      </c>
      <c r="CP862" s="14" t="n">
        <v>1</v>
      </c>
      <c r="CQ862" s="14" t="n">
        <v>1.348</v>
      </c>
      <c r="CR862" s="14" t="n">
        <v>1</v>
      </c>
      <c r="CS862" s="14" t="n">
        <v>6.548</v>
      </c>
      <c r="CT862" s="14" t="n">
        <v>4.861</v>
      </c>
      <c r="CU862" s="14" t="n">
        <v>11.192</v>
      </c>
    </row>
    <row r="863">
      <c r="A863" s="14" t="inlineStr">
        <is>
          <t>VEN2024</t>
        </is>
      </c>
      <c r="B863" s="14" t="inlineStr">
        <is>
          <t>VEN</t>
        </is>
      </c>
      <c r="C863" s="14" t="inlineStr">
        <is>
          <t>VEN</t>
        </is>
      </c>
      <c r="D863" s="14" t="inlineStr">
        <is>
          <t>Venezuela</t>
        </is>
      </c>
      <c r="E863" s="14" t="n">
        <v>2024</v>
      </c>
      <c r="F863" s="14" t="n">
        <v>0.16</v>
      </c>
      <c r="G863" s="14" t="n">
        <v>2.049</v>
      </c>
      <c r="H863" s="14" t="n">
        <v>0.662</v>
      </c>
      <c r="I863" s="14" t="n">
        <v>0</v>
      </c>
      <c r="J863" s="14" t="n">
        <v>2.049</v>
      </c>
      <c r="K863" s="14" t="n">
        <v>0</v>
      </c>
      <c r="L863" s="14" t="n">
        <v>1</v>
      </c>
      <c r="M863" s="14" t="n">
        <v>3.373</v>
      </c>
      <c r="N863" s="14" t="n">
        <v>1.985</v>
      </c>
      <c r="O863" s="14" t="n">
        <v>0</v>
      </c>
      <c r="P863" s="14" t="n">
        <v>3.373</v>
      </c>
      <c r="Q863" s="14" t="n">
        <v>0</v>
      </c>
      <c r="R863" s="14" t="n">
        <v>1</v>
      </c>
      <c r="S863" s="14" t="n">
        <v>5.358</v>
      </c>
      <c r="T863" s="14" t="n">
        <v>3.971</v>
      </c>
      <c r="U863" s="14" t="n">
        <v>0.117</v>
      </c>
      <c r="V863" s="14" t="n">
        <v>6.215</v>
      </c>
      <c r="W863" s="14" t="n">
        <v>0.16</v>
      </c>
      <c r="X863" s="14" t="n">
        <v>1</v>
      </c>
      <c r="Y863" s="14" t="n">
        <v>7.403</v>
      </c>
      <c r="Z863" s="14" t="n">
        <v>0.543</v>
      </c>
      <c r="AA863" s="14" t="n">
        <v>-1.724</v>
      </c>
      <c r="AB863" s="14" t="n">
        <v>5.679</v>
      </c>
      <c r="AC863" s="14" t="n">
        <v>0</v>
      </c>
      <c r="AD863" s="14" t="n">
        <v>0</v>
      </c>
      <c r="AE863" s="14" t="n">
        <v>8.065</v>
      </c>
      <c r="AF863" s="14" t="n">
        <v>1.092</v>
      </c>
      <c r="AG863" s="14" t="n">
        <v>-1.724</v>
      </c>
      <c r="AH863" s="14" t="n">
        <v>6.341</v>
      </c>
      <c r="AI863" s="14" t="n">
        <v>0</v>
      </c>
      <c r="AJ863" s="14" t="n">
        <v>0</v>
      </c>
      <c r="AK863" s="14" t="n">
        <v>12.036</v>
      </c>
      <c r="AL863" s="14" t="n">
        <v>4.523</v>
      </c>
      <c r="AM863" s="14" t="n">
        <v>-0.074</v>
      </c>
      <c r="AN863" s="14" t="n">
        <v>11.962</v>
      </c>
      <c r="AO863" s="14" t="n">
        <v>0</v>
      </c>
      <c r="AP863" s="14" t="n">
        <v>1</v>
      </c>
      <c r="AQ863" s="14" t="n">
        <v>0.756</v>
      </c>
      <c r="AR863" s="14" t="n">
        <v>0.132</v>
      </c>
      <c r="AS863" s="14" t="n">
        <v>-0.731</v>
      </c>
      <c r="AT863" s="14" t="n">
        <v>0.025</v>
      </c>
      <c r="AU863" s="14" t="n">
        <v>0</v>
      </c>
      <c r="AV863" s="14" t="n">
        <v>0</v>
      </c>
      <c r="AW863" s="14" t="n">
        <v>0.655</v>
      </c>
      <c r="AX863" s="14" t="n">
        <v>0.132</v>
      </c>
      <c r="AY863" s="14" t="n">
        <v>-0.646</v>
      </c>
      <c r="AZ863" s="14" t="n">
        <v>0.01</v>
      </c>
      <c r="BA863" s="14" t="n">
        <v>0</v>
      </c>
      <c r="BB863" s="14" t="n">
        <v>0</v>
      </c>
      <c r="BC863" s="14" t="n">
        <v>0.534</v>
      </c>
      <c r="BD863" s="14" t="n">
        <v>0.132</v>
      </c>
      <c r="BE863" s="14" t="n">
        <v>-0.469</v>
      </c>
      <c r="BF863" s="14" t="n">
        <v>0.064</v>
      </c>
      <c r="BG863" s="14" t="n">
        <v>0</v>
      </c>
      <c r="BH863" s="14" t="n">
        <v>0</v>
      </c>
      <c r="BI863" s="14" t="n">
        <v>0.5679999999999999</v>
      </c>
      <c r="BJ863" s="14" t="n">
        <v>0.132</v>
      </c>
      <c r="BK863" s="14" t="n">
        <v>0.125</v>
      </c>
      <c r="BL863" s="14" t="n">
        <v>0.787</v>
      </c>
      <c r="BM863" s="14" t="n">
        <v>0.16</v>
      </c>
      <c r="BN863" s="14" t="n">
        <v>1</v>
      </c>
      <c r="BO863" s="14" t="n">
        <v>0</v>
      </c>
      <c r="BP863" s="14" t="n">
        <v>-0.08400000000000001</v>
      </c>
      <c r="BQ863" s="14" t="n">
        <v>0.244</v>
      </c>
      <c r="BR863" s="14" t="n">
        <v>0</v>
      </c>
      <c r="BS863" s="14" t="n">
        <v>1</v>
      </c>
      <c r="BT863" s="14" t="n">
        <v>0</v>
      </c>
      <c r="BU863" s="14" t="n">
        <v>-0.08400000000000001</v>
      </c>
      <c r="BV863" s="14" t="n">
        <v>0.033</v>
      </c>
      <c r="BW863" s="14" t="n">
        <v>0</v>
      </c>
      <c r="BX863" s="14" t="n">
        <v>0.833</v>
      </c>
      <c r="BY863" s="14" t="n">
        <v>13.646</v>
      </c>
      <c r="BZ863" s="14" t="n">
        <v>0</v>
      </c>
      <c r="CA863" s="14" t="n">
        <v>13.646</v>
      </c>
      <c r="CB863" s="14" t="n">
        <v>0</v>
      </c>
      <c r="CC863" s="14" t="n">
        <v>82.58799999999999</v>
      </c>
      <c r="CD863" s="14" t="n">
        <v>7.95</v>
      </c>
      <c r="CE863" s="14" t="n">
        <v>1.8</v>
      </c>
      <c r="CF863" s="14" t="n">
        <v>95.80200000000001</v>
      </c>
      <c r="CG863" s="14" t="n">
        <v>0.16</v>
      </c>
      <c r="CH863" s="14" t="n">
        <v>1</v>
      </c>
      <c r="CI863" s="14" t="n">
        <v>0</v>
      </c>
      <c r="CJ863" s="14" t="n">
        <v>0</v>
      </c>
      <c r="CK863" s="14" t="n">
        <v>0</v>
      </c>
      <c r="CL863" s="14" t="n">
        <v>0</v>
      </c>
      <c r="CM863" s="14" t="n">
        <v>0</v>
      </c>
      <c r="CN863" s="14" t="n">
        <v>0</v>
      </c>
      <c r="CO863" s="14" t="n">
        <v>0</v>
      </c>
      <c r="CP863" s="14" t="n">
        <v>1</v>
      </c>
      <c r="CQ863" s="14" t="n">
        <v>1.387</v>
      </c>
      <c r="CR863" s="14" t="n">
        <v>1</v>
      </c>
      <c r="CS863" s="14" t="n">
        <v>6.741</v>
      </c>
      <c r="CT863" s="14" t="n">
        <v>4.251</v>
      </c>
      <c r="CU863" s="14" t="n">
        <v>10.123</v>
      </c>
    </row>
    <row r="864">
      <c r="A864" s="14" t="inlineStr">
        <is>
          <t>VNM2021</t>
        </is>
      </c>
      <c r="B864" s="14" t="inlineStr">
        <is>
          <t>VNM</t>
        </is>
      </c>
      <c r="C864" s="14" t="inlineStr">
        <is>
          <t>VNM</t>
        </is>
      </c>
      <c r="D864" s="14" t="inlineStr">
        <is>
          <t>Vietnam</t>
        </is>
      </c>
      <c r="E864" s="14" t="n">
        <v>2021</v>
      </c>
      <c r="F864" s="14" t="n">
        <v>0.1</v>
      </c>
      <c r="G864" s="14" t="n">
        <v>6.151</v>
      </c>
      <c r="H864" s="14" t="n">
        <v>0.804</v>
      </c>
      <c r="I864" s="14" t="n">
        <v>-0.127</v>
      </c>
      <c r="J864" s="14" t="n">
        <v>6.024</v>
      </c>
      <c r="K864" s="14" t="n">
        <v>0</v>
      </c>
      <c r="L864" s="14" t="n">
        <v>1</v>
      </c>
      <c r="M864" s="14" t="n">
        <v>7.086</v>
      </c>
      <c r="N864" s="14" t="n">
        <v>2.412</v>
      </c>
      <c r="O864" s="14" t="n">
        <v>-0.119</v>
      </c>
      <c r="P864" s="14" t="n">
        <v>6.967</v>
      </c>
      <c r="Q864" s="14" t="n">
        <v>0</v>
      </c>
      <c r="R864" s="14" t="n">
        <v>1</v>
      </c>
      <c r="S864" s="14" t="n">
        <v>7.001</v>
      </c>
      <c r="T864" s="14" t="n">
        <v>4.825</v>
      </c>
      <c r="U864" s="14" t="n">
        <v>-1.127</v>
      </c>
      <c r="V864" s="14" t="n">
        <v>6.462</v>
      </c>
      <c r="W864" s="14" t="n">
        <v>0.1</v>
      </c>
      <c r="X864" s="14" t="n">
        <v>1</v>
      </c>
      <c r="Y864" s="14" t="n">
        <v>3.937</v>
      </c>
      <c r="Z864" s="14" t="n">
        <v>0.26</v>
      </c>
      <c r="AA864" s="14" t="n">
        <v>-0.073</v>
      </c>
      <c r="AB864" s="14" t="n">
        <v>3.863</v>
      </c>
      <c r="AC864" s="14" t="n">
        <v>0</v>
      </c>
      <c r="AD864" s="14" t="n">
        <v>1</v>
      </c>
      <c r="AE864" s="14" t="n">
        <v>4.508</v>
      </c>
      <c r="AF864" s="14" t="n">
        <v>0.556</v>
      </c>
      <c r="AG864" s="14" t="n">
        <v>-0.073</v>
      </c>
      <c r="AH864" s="14" t="n">
        <v>4.435</v>
      </c>
      <c r="AI864" s="14" t="n">
        <v>0</v>
      </c>
      <c r="AJ864" s="14" t="n">
        <v>1</v>
      </c>
      <c r="AK864" s="14" t="n">
        <v>7.938</v>
      </c>
      <c r="AL864" s="14" t="n">
        <v>2.815</v>
      </c>
      <c r="AM864" s="14" t="n">
        <v>-0.067</v>
      </c>
      <c r="AN864" s="14" t="n">
        <v>8.659000000000001</v>
      </c>
      <c r="AO864" s="14" t="n">
        <v>0.1</v>
      </c>
      <c r="AP864" s="14" t="n">
        <v>1</v>
      </c>
      <c r="AQ864" s="14" t="n">
        <v>0.621</v>
      </c>
      <c r="AR864" s="14" t="n">
        <v>0.114</v>
      </c>
      <c r="AS864" s="14" t="n">
        <v>0.052</v>
      </c>
      <c r="AT864" s="14" t="n">
        <v>0.74</v>
      </c>
      <c r="AU864" s="14" t="n">
        <v>0.1</v>
      </c>
      <c r="AV864" s="14" t="n">
        <v>1</v>
      </c>
      <c r="AW864" s="14" t="n">
        <v>0.593</v>
      </c>
      <c r="AX864" s="14" t="n">
        <v>0.114</v>
      </c>
      <c r="AY864" s="14" t="n">
        <v>-0.057</v>
      </c>
      <c r="AZ864" s="14" t="n">
        <v>0.59</v>
      </c>
      <c r="BA864" s="14" t="n">
        <v>0.1</v>
      </c>
      <c r="BB864" s="14" t="n">
        <v>1</v>
      </c>
      <c r="BC864" s="14" t="n">
        <v>0.44</v>
      </c>
      <c r="BD864" s="14" t="n">
        <v>0.114</v>
      </c>
      <c r="BE864" s="14" t="n">
        <v>0.226</v>
      </c>
      <c r="BF864" s="14" t="n">
        <v>0.732</v>
      </c>
      <c r="BG864" s="14" t="n">
        <v>0.1</v>
      </c>
      <c r="BH864" s="14" t="n">
        <v>1</v>
      </c>
      <c r="BI864" s="14" t="n">
        <v>0.5600000000000001</v>
      </c>
      <c r="BJ864" s="14" t="n">
        <v>0.114</v>
      </c>
      <c r="BK864" s="14" t="n">
        <v>-0.06</v>
      </c>
      <c r="BL864" s="14" t="n">
        <v>0.55</v>
      </c>
      <c r="BM864" s="14" t="n">
        <v>0.1</v>
      </c>
      <c r="BN864" s="14" t="n">
        <v>1</v>
      </c>
      <c r="BO864" s="14" t="n">
        <v>0</v>
      </c>
      <c r="BP864" s="14" t="n">
        <v>-0.016</v>
      </c>
      <c r="BQ864" s="14" t="n">
        <v>0.081</v>
      </c>
      <c r="BR864" s="14" t="n">
        <v>0</v>
      </c>
      <c r="BS864" s="14" t="n">
        <v>0.833</v>
      </c>
      <c r="BT864" s="14" t="n">
        <v>0</v>
      </c>
      <c r="BU864" s="14" t="n">
        <v>-0.016</v>
      </c>
      <c r="BV864" s="14" t="n">
        <v>0.1</v>
      </c>
      <c r="BW864" s="14" t="n">
        <v>0</v>
      </c>
      <c r="BX864" s="14" t="n">
        <v>0.833</v>
      </c>
      <c r="BY864" s="14" t="n">
        <v>11.787</v>
      </c>
      <c r="BZ864" s="14" t="n">
        <v>0</v>
      </c>
      <c r="CA864" s="14" t="n">
        <v>11.787</v>
      </c>
      <c r="CB864" s="14" t="n">
        <v>0</v>
      </c>
      <c r="CC864" s="14" t="n">
        <v>81.69499999999999</v>
      </c>
      <c r="CD864" s="14" t="n">
        <v>7.95</v>
      </c>
      <c r="CE864" s="14" t="n">
        <v>-0.963</v>
      </c>
      <c r="CF864" s="14" t="n">
        <v>88.806</v>
      </c>
      <c r="CG864" s="14" t="n">
        <v>0.1</v>
      </c>
      <c r="CH864" s="14" t="n">
        <v>1</v>
      </c>
      <c r="CI864" s="14" t="n">
        <v>0</v>
      </c>
      <c r="CJ864" s="14" t="n">
        <v>0</v>
      </c>
      <c r="CK864" s="14" t="n">
        <v>0</v>
      </c>
      <c r="CL864" s="14" t="n">
        <v>0</v>
      </c>
      <c r="CM864" s="14" t="n">
        <v>0</v>
      </c>
      <c r="CN864" s="14" t="n">
        <v>0</v>
      </c>
      <c r="CO864" s="14" t="n">
        <v>0</v>
      </c>
      <c r="CP864" s="14" t="n">
        <v>0.593</v>
      </c>
      <c r="CQ864" s="14" t="n">
        <v>1.198</v>
      </c>
      <c r="CR864" s="14" t="n">
        <v>1</v>
      </c>
      <c r="CS864" s="14" t="n">
        <v>3.365</v>
      </c>
      <c r="CT864" s="14" t="n">
        <v>3.604</v>
      </c>
      <c r="CU864" s="14" t="n">
        <v>9.407999999999999</v>
      </c>
    </row>
    <row r="865">
      <c r="A865" s="14" t="inlineStr">
        <is>
          <t>VNM2022</t>
        </is>
      </c>
      <c r="B865" s="14" t="inlineStr">
        <is>
          <t>VNM</t>
        </is>
      </c>
      <c r="C865" s="14" t="inlineStr">
        <is>
          <t>VNM</t>
        </is>
      </c>
      <c r="D865" s="14" t="inlineStr">
        <is>
          <t>Vietnam</t>
        </is>
      </c>
      <c r="E865" s="14" t="n">
        <v>2022</v>
      </c>
      <c r="F865" s="14" t="n">
        <v>0.1</v>
      </c>
      <c r="G865" s="14" t="n">
        <v>7.846</v>
      </c>
      <c r="H865" s="14" t="n">
        <v>0.843</v>
      </c>
      <c r="I865" s="14" t="n">
        <v>-5.687</v>
      </c>
      <c r="J865" s="14" t="n">
        <v>2.16</v>
      </c>
      <c r="K865" s="14" t="n">
        <v>0</v>
      </c>
      <c r="L865" s="14" t="n">
        <v>1</v>
      </c>
      <c r="M865" s="14" t="n">
        <v>7.858</v>
      </c>
      <c r="N865" s="14" t="n">
        <v>2.528</v>
      </c>
      <c r="O865" s="14" t="n">
        <v>-5.698</v>
      </c>
      <c r="P865" s="14" t="n">
        <v>2.16</v>
      </c>
      <c r="Q865" s="14" t="n">
        <v>0</v>
      </c>
      <c r="R865" s="14" t="n">
        <v>1</v>
      </c>
      <c r="S865" s="14" t="n">
        <v>8.637</v>
      </c>
      <c r="T865" s="14" t="n">
        <v>5.057</v>
      </c>
      <c r="U865" s="14" t="n">
        <v>-6.753</v>
      </c>
      <c r="V865" s="14" t="n">
        <v>2.057</v>
      </c>
      <c r="W865" s="14" t="n">
        <v>0.1</v>
      </c>
      <c r="X865" s="14" t="n">
        <v>1</v>
      </c>
      <c r="Y865" s="14" t="n">
        <v>4.251</v>
      </c>
      <c r="Z865" s="14" t="n">
        <v>0.281</v>
      </c>
      <c r="AA865" s="14" t="n">
        <v>-0.079</v>
      </c>
      <c r="AB865" s="14" t="n">
        <v>4.172</v>
      </c>
      <c r="AC865" s="14" t="n">
        <v>0</v>
      </c>
      <c r="AD865" s="14" t="n">
        <v>1</v>
      </c>
      <c r="AE865" s="14" t="n">
        <v>4.869</v>
      </c>
      <c r="AF865" s="14" t="n">
        <v>0.601</v>
      </c>
      <c r="AG865" s="14" t="n">
        <v>-0.079</v>
      </c>
      <c r="AH865" s="14" t="n">
        <v>4.79</v>
      </c>
      <c r="AI865" s="14" t="n">
        <v>0</v>
      </c>
      <c r="AJ865" s="14" t="n">
        <v>1</v>
      </c>
      <c r="AK865" s="14" t="n">
        <v>8.573</v>
      </c>
      <c r="AL865" s="14" t="n">
        <v>3.04</v>
      </c>
      <c r="AM865" s="14" t="n">
        <v>-0.008999999999999999</v>
      </c>
      <c r="AN865" s="14" t="n">
        <v>9.351000000000001</v>
      </c>
      <c r="AO865" s="14" t="n">
        <v>0.1</v>
      </c>
      <c r="AP865" s="14" t="n">
        <v>1</v>
      </c>
      <c r="AQ865" s="14" t="n">
        <v>0.847</v>
      </c>
      <c r="AR865" s="14" t="n">
        <v>0.123</v>
      </c>
      <c r="AS865" s="14" t="n">
        <v>0.017</v>
      </c>
      <c r="AT865" s="14" t="n">
        <v>0.95</v>
      </c>
      <c r="AU865" s="14" t="n">
        <v>0.1</v>
      </c>
      <c r="AV865" s="14" t="n">
        <v>1</v>
      </c>
      <c r="AW865" s="14" t="n">
        <v>0.947</v>
      </c>
      <c r="AX865" s="14" t="n">
        <v>0.123</v>
      </c>
      <c r="AY865" s="14" t="n">
        <v>-0.119</v>
      </c>
      <c r="AZ865" s="14" t="n">
        <v>0.91</v>
      </c>
      <c r="BA865" s="14" t="n">
        <v>0.1</v>
      </c>
      <c r="BB865" s="14" t="n">
        <v>1</v>
      </c>
      <c r="BC865" s="14" t="n">
        <v>0.589</v>
      </c>
      <c r="BD865" s="14" t="n">
        <v>0.123</v>
      </c>
      <c r="BE865" s="14" t="n">
        <v>0.197</v>
      </c>
      <c r="BF865" s="14" t="n">
        <v>0.857</v>
      </c>
      <c r="BG865" s="14" t="n">
        <v>0.1</v>
      </c>
      <c r="BH865" s="14" t="n">
        <v>1</v>
      </c>
      <c r="BI865" s="14" t="n">
        <v>0.6889999999999999</v>
      </c>
      <c r="BJ865" s="14" t="n">
        <v>0.123</v>
      </c>
      <c r="BK865" s="14" t="n">
        <v>0.111</v>
      </c>
      <c r="BL865" s="14" t="n">
        <v>0.88</v>
      </c>
      <c r="BM865" s="14" t="n">
        <v>0.1</v>
      </c>
      <c r="BN865" s="14" t="n">
        <v>1</v>
      </c>
      <c r="BO865" s="14" t="n">
        <v>0</v>
      </c>
      <c r="BP865" s="14" t="n">
        <v>-0.016</v>
      </c>
      <c r="BQ865" s="14" t="n">
        <v>0.079</v>
      </c>
      <c r="BR865" s="14" t="n">
        <v>0</v>
      </c>
      <c r="BS865" s="14" t="n">
        <v>0.833</v>
      </c>
      <c r="BT865" s="14" t="n">
        <v>0</v>
      </c>
      <c r="BU865" s="14" t="n">
        <v>-0.016</v>
      </c>
      <c r="BV865" s="14" t="n">
        <v>0.098</v>
      </c>
      <c r="BW865" s="14" t="n">
        <v>0</v>
      </c>
      <c r="BX865" s="14" t="n">
        <v>0.833</v>
      </c>
      <c r="BY865" s="14" t="n">
        <v>12.729</v>
      </c>
      <c r="BZ865" s="14" t="n">
        <v>0</v>
      </c>
      <c r="CA865" s="14" t="n">
        <v>12.729</v>
      </c>
      <c r="CB865" s="14" t="n">
        <v>0</v>
      </c>
      <c r="CC865" s="14" t="n">
        <v>102.477</v>
      </c>
      <c r="CD865" s="14" t="n">
        <v>7.95</v>
      </c>
      <c r="CE865" s="14" t="n">
        <v>-6.959</v>
      </c>
      <c r="CF865" s="14" t="n">
        <v>105.07</v>
      </c>
      <c r="CG865" s="14" t="n">
        <v>0.1</v>
      </c>
      <c r="CH865" s="14" t="n">
        <v>1</v>
      </c>
      <c r="CI865" s="14" t="n">
        <v>0</v>
      </c>
      <c r="CJ865" s="14" t="n">
        <v>0</v>
      </c>
      <c r="CK865" s="14" t="n">
        <v>0</v>
      </c>
      <c r="CL865" s="14" t="n">
        <v>0</v>
      </c>
      <c r="CM865" s="14" t="n">
        <v>0</v>
      </c>
      <c r="CN865" s="14" t="n">
        <v>0</v>
      </c>
      <c r="CO865" s="14" t="n">
        <v>0</v>
      </c>
      <c r="CP865" s="14" t="n">
        <v>0.635</v>
      </c>
      <c r="CQ865" s="14" t="n">
        <v>1.294</v>
      </c>
      <c r="CR865" s="14" t="n">
        <v>1</v>
      </c>
      <c r="CS865" s="14" t="n">
        <v>3.634</v>
      </c>
      <c r="CT865" s="14" t="n">
        <v>7.554</v>
      </c>
      <c r="CU865" s="14" t="n">
        <v>16.097</v>
      </c>
    </row>
    <row r="866">
      <c r="A866" s="14" t="inlineStr">
        <is>
          <t>VNM2023</t>
        </is>
      </c>
      <c r="B866" s="14" t="inlineStr">
        <is>
          <t>VNM</t>
        </is>
      </c>
      <c r="C866" s="14" t="inlineStr">
        <is>
          <t>VNM</t>
        </is>
      </c>
      <c r="D866" s="14" t="inlineStr">
        <is>
          <t>Vietnam</t>
        </is>
      </c>
      <c r="E866" s="14" t="n">
        <v>2023</v>
      </c>
      <c r="F866" s="14" t="n">
        <v>0.1</v>
      </c>
      <c r="G866" s="14" t="n">
        <v>6.983</v>
      </c>
      <c r="H866" s="14" t="n">
        <v>0.886</v>
      </c>
      <c r="I866" s="14" t="n">
        <v>1.163</v>
      </c>
      <c r="J866" s="14" t="n">
        <v>8.146000000000001</v>
      </c>
      <c r="K866" s="14" t="n">
        <v>0</v>
      </c>
      <c r="L866" s="14" t="n">
        <v>1</v>
      </c>
      <c r="M866" s="14" t="n">
        <v>7.4</v>
      </c>
      <c r="N866" s="14" t="n">
        <v>2.657</v>
      </c>
      <c r="O866" s="14" t="n">
        <v>1.159</v>
      </c>
      <c r="P866" s="14" t="n">
        <v>8.558999999999999</v>
      </c>
      <c r="Q866" s="14" t="n">
        <v>0</v>
      </c>
      <c r="R866" s="14" t="n">
        <v>1</v>
      </c>
      <c r="S866" s="14" t="n">
        <v>7.846</v>
      </c>
      <c r="T866" s="14" t="n">
        <v>5.314</v>
      </c>
      <c r="U866" s="14" t="n">
        <v>0.125</v>
      </c>
      <c r="V866" s="14" t="n">
        <v>8.672000000000001</v>
      </c>
      <c r="W866" s="14" t="n">
        <v>0.1</v>
      </c>
      <c r="X866" s="14" t="n">
        <v>1</v>
      </c>
      <c r="Y866" s="14" t="n">
        <v>4.427</v>
      </c>
      <c r="Z866" s="14" t="n">
        <v>0.293</v>
      </c>
      <c r="AA866" s="14" t="n">
        <v>-0.082</v>
      </c>
      <c r="AB866" s="14" t="n">
        <v>4.344</v>
      </c>
      <c r="AC866" s="14" t="n">
        <v>0</v>
      </c>
      <c r="AD866" s="14" t="n">
        <v>1</v>
      </c>
      <c r="AE866" s="14" t="n">
        <v>5.07</v>
      </c>
      <c r="AF866" s="14" t="n">
        <v>0.626</v>
      </c>
      <c r="AG866" s="14" t="n">
        <v>-0.082</v>
      </c>
      <c r="AH866" s="14" t="n">
        <v>4.987</v>
      </c>
      <c r="AI866" s="14" t="n">
        <v>0</v>
      </c>
      <c r="AJ866" s="14" t="n">
        <v>1</v>
      </c>
      <c r="AK866" s="14" t="n">
        <v>8.927</v>
      </c>
      <c r="AL866" s="14" t="n">
        <v>3.166</v>
      </c>
      <c r="AM866" s="14" t="n">
        <v>0.023</v>
      </c>
      <c r="AN866" s="14" t="n">
        <v>9.737</v>
      </c>
      <c r="AO866" s="14" t="n">
        <v>0.1</v>
      </c>
      <c r="AP866" s="14" t="n">
        <v>1</v>
      </c>
      <c r="AQ866" s="14" t="n">
        <v>0.749</v>
      </c>
      <c r="AR866" s="14" t="n">
        <v>0.129</v>
      </c>
      <c r="AS866" s="14" t="n">
        <v>0.015</v>
      </c>
      <c r="AT866" s="14" t="n">
        <v>0.84</v>
      </c>
      <c r="AU866" s="14" t="n">
        <v>0.1</v>
      </c>
      <c r="AV866" s="14" t="n">
        <v>1</v>
      </c>
      <c r="AW866" s="14" t="n">
        <v>0.783</v>
      </c>
      <c r="AX866" s="14" t="n">
        <v>0.129</v>
      </c>
      <c r="AY866" s="14" t="n">
        <v>-0.073</v>
      </c>
      <c r="AZ866" s="14" t="n">
        <v>0.78</v>
      </c>
      <c r="BA866" s="14" t="n">
        <v>0.1</v>
      </c>
      <c r="BB866" s="14" t="n">
        <v>1</v>
      </c>
      <c r="BC866" s="14" t="n">
        <v>0.527</v>
      </c>
      <c r="BD866" s="14" t="n">
        <v>0.129</v>
      </c>
      <c r="BE866" s="14" t="n">
        <v>0.247</v>
      </c>
      <c r="BF866" s="14" t="n">
        <v>0.843</v>
      </c>
      <c r="BG866" s="14" t="n">
        <v>0.1</v>
      </c>
      <c r="BH866" s="14" t="n">
        <v>1</v>
      </c>
      <c r="BI866" s="14" t="n">
        <v>0.64</v>
      </c>
      <c r="BJ866" s="14" t="n">
        <v>0.129</v>
      </c>
      <c r="BK866" s="14" t="n">
        <v>0.079</v>
      </c>
      <c r="BL866" s="14" t="n">
        <v>0.79</v>
      </c>
      <c r="BM866" s="14" t="n">
        <v>0.1</v>
      </c>
      <c r="BN866" s="14" t="n">
        <v>1</v>
      </c>
      <c r="BO866" s="14" t="n">
        <v>0</v>
      </c>
      <c r="BP866" s="14" t="n">
        <v>-0.016</v>
      </c>
      <c r="BQ866" s="14" t="n">
        <v>0.082</v>
      </c>
      <c r="BR866" s="14" t="n">
        <v>0</v>
      </c>
      <c r="BS866" s="14" t="n">
        <v>0.833</v>
      </c>
      <c r="BT866" s="14" t="n">
        <v>0</v>
      </c>
      <c r="BU866" s="14" t="n">
        <v>-0.016</v>
      </c>
      <c r="BV866" s="14" t="n">
        <v>0.101</v>
      </c>
      <c r="BW866" s="14" t="n">
        <v>0</v>
      </c>
      <c r="BX866" s="14" t="n">
        <v>0.833</v>
      </c>
      <c r="BY866" s="14" t="n">
        <v>13.254</v>
      </c>
      <c r="BZ866" s="14" t="n">
        <v>0</v>
      </c>
      <c r="CA866" s="14" t="n">
        <v>13.254</v>
      </c>
      <c r="CB866" s="14" t="n">
        <v>0</v>
      </c>
      <c r="CC866" s="14" t="n">
        <v>87.07899999999999</v>
      </c>
      <c r="CD866" s="14" t="n">
        <v>7.95</v>
      </c>
      <c r="CE866" s="14" t="n">
        <v>-5.573</v>
      </c>
      <c r="CF866" s="14" t="n">
        <v>89.657</v>
      </c>
      <c r="CG866" s="14" t="n">
        <v>0.1</v>
      </c>
      <c r="CH866" s="14" t="n">
        <v>1</v>
      </c>
      <c r="CI866" s="14" t="n">
        <v>0</v>
      </c>
      <c r="CJ866" s="14" t="n">
        <v>0</v>
      </c>
      <c r="CK866" s="14" t="n">
        <v>0</v>
      </c>
      <c r="CL866" s="14" t="n">
        <v>0</v>
      </c>
      <c r="CM866" s="14" t="n">
        <v>0</v>
      </c>
      <c r="CN866" s="14" t="n">
        <v>0</v>
      </c>
      <c r="CO866" s="14" t="n">
        <v>0</v>
      </c>
      <c r="CP866" s="14" t="n">
        <v>0.622</v>
      </c>
      <c r="CQ866" s="14" t="n">
        <v>1.348</v>
      </c>
      <c r="CR866" s="14" t="n">
        <v>1</v>
      </c>
      <c r="CS866" s="14" t="n">
        <v>3.784</v>
      </c>
      <c r="CT866" s="14" t="n">
        <v>4.484</v>
      </c>
      <c r="CU866" s="14" t="n">
        <v>12.529</v>
      </c>
    </row>
    <row r="867">
      <c r="A867" s="14" t="inlineStr">
        <is>
          <t>VNM2024</t>
        </is>
      </c>
      <c r="B867" s="14" t="inlineStr">
        <is>
          <t>VNM</t>
        </is>
      </c>
      <c r="C867" s="14" t="inlineStr">
        <is>
          <t>VNM</t>
        </is>
      </c>
      <c r="D867" s="14" t="inlineStr">
        <is>
          <t>Vietnam</t>
        </is>
      </c>
      <c r="E867" s="14" t="n">
        <v>2024</v>
      </c>
      <c r="F867" s="14" t="n">
        <v>0.1</v>
      </c>
      <c r="G867" s="14" t="n">
        <v>6.771</v>
      </c>
      <c r="H867" s="14" t="n">
        <v>0.912</v>
      </c>
      <c r="I867" s="14" t="n">
        <v>1.184</v>
      </c>
      <c r="J867" s="14" t="n">
        <v>7.955</v>
      </c>
      <c r="K867" s="14" t="n">
        <v>0</v>
      </c>
      <c r="L867" s="14" t="n">
        <v>1</v>
      </c>
      <c r="M867" s="14" t="n">
        <v>7.243</v>
      </c>
      <c r="N867" s="14" t="n">
        <v>2.735</v>
      </c>
      <c r="O867" s="14" t="n">
        <v>1.182</v>
      </c>
      <c r="P867" s="14" t="n">
        <v>8.423999999999999</v>
      </c>
      <c r="Q867" s="14" t="n">
        <v>0</v>
      </c>
      <c r="R867" s="14" t="n">
        <v>1</v>
      </c>
      <c r="S867" s="14" t="n">
        <v>7.659</v>
      </c>
      <c r="T867" s="14" t="n">
        <v>5.471</v>
      </c>
      <c r="U867" s="14" t="n">
        <v>0.131</v>
      </c>
      <c r="V867" s="14" t="n">
        <v>8.454000000000001</v>
      </c>
      <c r="W867" s="14" t="n">
        <v>0.1</v>
      </c>
      <c r="X867" s="14" t="n">
        <v>1</v>
      </c>
      <c r="Y867" s="14" t="n">
        <v>4.558</v>
      </c>
      <c r="Z867" s="14" t="n">
        <v>0.301</v>
      </c>
      <c r="AA867" s="14" t="n">
        <v>-0.075</v>
      </c>
      <c r="AB867" s="14" t="n">
        <v>4.482</v>
      </c>
      <c r="AC867" s="14" t="n">
        <v>0</v>
      </c>
      <c r="AD867" s="14" t="n">
        <v>1</v>
      </c>
      <c r="AE867" s="14" t="n">
        <v>5.219</v>
      </c>
      <c r="AF867" s="14" t="n">
        <v>0.644</v>
      </c>
      <c r="AG867" s="14" t="n">
        <v>-0.075</v>
      </c>
      <c r="AH867" s="14" t="n">
        <v>5.144</v>
      </c>
      <c r="AI867" s="14" t="n">
        <v>0</v>
      </c>
      <c r="AJ867" s="14" t="n">
        <v>1</v>
      </c>
      <c r="AK867" s="14" t="n">
        <v>9.19</v>
      </c>
      <c r="AL867" s="14" t="n">
        <v>3.259</v>
      </c>
      <c r="AM867" s="14" t="n">
        <v>0.049</v>
      </c>
      <c r="AN867" s="14" t="n">
        <v>10.026</v>
      </c>
      <c r="AO867" s="14" t="n">
        <v>0.1</v>
      </c>
      <c r="AP867" s="14" t="n">
        <v>1</v>
      </c>
      <c r="AQ867" s="14" t="n">
        <v>0.72</v>
      </c>
      <c r="AR867" s="14" t="n">
        <v>0.132</v>
      </c>
      <c r="AS867" s="14" t="n">
        <v>0.016</v>
      </c>
      <c r="AT867" s="14" t="n">
        <v>0.8100000000000001</v>
      </c>
      <c r="AU867" s="14" t="n">
        <v>0.1</v>
      </c>
      <c r="AV867" s="14" t="n">
        <v>1</v>
      </c>
      <c r="AW867" s="14" t="n">
        <v>0.734</v>
      </c>
      <c r="AX867" s="14" t="n">
        <v>0.132</v>
      </c>
      <c r="AY867" s="14" t="n">
        <v>-0.052</v>
      </c>
      <c r="AZ867" s="14" t="n">
        <v>0.75</v>
      </c>
      <c r="BA867" s="14" t="n">
        <v>0.1</v>
      </c>
      <c r="BB867" s="14" t="n">
        <v>1</v>
      </c>
      <c r="BC867" s="14" t="n">
        <v>0.51</v>
      </c>
      <c r="BD867" s="14" t="n">
        <v>0.132</v>
      </c>
      <c r="BE867" s="14" t="n">
        <v>0.272</v>
      </c>
      <c r="BF867" s="14" t="n">
        <v>0.849</v>
      </c>
      <c r="BG867" s="14" t="n">
        <v>0.1</v>
      </c>
      <c r="BH867" s="14" t="n">
        <v>1</v>
      </c>
      <c r="BI867" s="14" t="n">
        <v>0.652</v>
      </c>
      <c r="BJ867" s="14" t="n">
        <v>0.132</v>
      </c>
      <c r="BK867" s="14" t="n">
        <v>0.03</v>
      </c>
      <c r="BL867" s="14" t="n">
        <v>0.75</v>
      </c>
      <c r="BM867" s="14" t="n">
        <v>0.1</v>
      </c>
      <c r="BN867" s="14" t="n">
        <v>1</v>
      </c>
      <c r="BO867" s="14" t="n">
        <v>0</v>
      </c>
      <c r="BP867" s="14" t="n">
        <v>-0.016</v>
      </c>
      <c r="BQ867" s="14" t="n">
        <v>0.083</v>
      </c>
      <c r="BR867" s="14" t="n">
        <v>0</v>
      </c>
      <c r="BS867" s="14" t="n">
        <v>0.833</v>
      </c>
      <c r="BT867" s="14" t="n">
        <v>0</v>
      </c>
      <c r="BU867" s="14" t="n">
        <v>-0.016</v>
      </c>
      <c r="BV867" s="14" t="n">
        <v>0.103</v>
      </c>
      <c r="BW867" s="14" t="n">
        <v>0</v>
      </c>
      <c r="BX867" s="14" t="n">
        <v>0.833</v>
      </c>
      <c r="BY867" s="14" t="n">
        <v>13.646</v>
      </c>
      <c r="BZ867" s="14" t="n">
        <v>0</v>
      </c>
      <c r="CA867" s="14" t="n">
        <v>13.646</v>
      </c>
      <c r="CB867" s="14" t="n">
        <v>0</v>
      </c>
      <c r="CC867" s="14" t="n">
        <v>86.38500000000001</v>
      </c>
      <c r="CD867" s="14" t="n">
        <v>7.95</v>
      </c>
      <c r="CE867" s="14" t="n">
        <v>-5.647</v>
      </c>
      <c r="CF867" s="14" t="n">
        <v>88.813</v>
      </c>
      <c r="CG867" s="14" t="n">
        <v>0.1</v>
      </c>
      <c r="CH867" s="14" t="n">
        <v>1</v>
      </c>
      <c r="CI867" s="14" t="n">
        <v>0</v>
      </c>
      <c r="CJ867" s="14" t="n">
        <v>0</v>
      </c>
      <c r="CK867" s="14" t="n">
        <v>0</v>
      </c>
      <c r="CL867" s="14" t="n">
        <v>0</v>
      </c>
      <c r="CM867" s="14" t="n">
        <v>0</v>
      </c>
      <c r="CN867" s="14" t="n">
        <v>0</v>
      </c>
      <c r="CO867" s="14" t="n">
        <v>0</v>
      </c>
      <c r="CP867" s="14" t="n">
        <v>0.622</v>
      </c>
      <c r="CQ867" s="14" t="n">
        <v>1.387</v>
      </c>
      <c r="CR867" s="14" t="n">
        <v>1</v>
      </c>
      <c r="CS867" s="14" t="n">
        <v>3.896</v>
      </c>
      <c r="CT867" s="14" t="n">
        <v>3.509</v>
      </c>
      <c r="CU867" s="14" t="n">
        <v>10.896</v>
      </c>
    </row>
    <row r="868">
      <c r="A868" s="14" t="inlineStr">
        <is>
          <t>VIR2021</t>
        </is>
      </c>
      <c r="B868" s="14" t="inlineStr">
        <is>
          <t>VIR</t>
        </is>
      </c>
      <c r="C868" s="14" t="inlineStr">
        <is>
          <t>VIR</t>
        </is>
      </c>
      <c r="D868" s="14" t="inlineStr">
        <is>
          <t>Virgin Islands (U.S.)</t>
        </is>
      </c>
      <c r="E868" s="14" t="n">
        <v>2021</v>
      </c>
      <c r="F868" s="14" t="n">
        <v>0.055</v>
      </c>
      <c r="G868" s="14" t="n">
        <v>5.897</v>
      </c>
      <c r="H868" s="14" t="n">
        <v>1.143</v>
      </c>
      <c r="I868" s="14" t="n">
        <v>0</v>
      </c>
      <c r="J868" s="14" t="n">
        <v>5.897</v>
      </c>
      <c r="K868" s="14" t="n">
        <v>0</v>
      </c>
      <c r="L868" s="14" t="n">
        <v>1</v>
      </c>
      <c r="M868" s="14" t="n">
        <v>7.964</v>
      </c>
      <c r="N868" s="14" t="n">
        <v>3.43</v>
      </c>
      <c r="O868" s="14" t="n">
        <v>0</v>
      </c>
      <c r="P868" s="14" t="n">
        <v>7.964</v>
      </c>
      <c r="Q868" s="14" t="n">
        <v>0</v>
      </c>
      <c r="R868" s="14" t="n">
        <v>1</v>
      </c>
      <c r="S868" s="14" t="n">
        <v>11.613</v>
      </c>
      <c r="T868" s="14" t="n">
        <v>6.86</v>
      </c>
      <c r="U868" s="14" t="n">
        <v>0</v>
      </c>
      <c r="V868" s="14" t="n">
        <v>12.252</v>
      </c>
      <c r="W868" s="14" t="n">
        <v>0.055</v>
      </c>
      <c r="X868" s="14" t="n">
        <v>1</v>
      </c>
      <c r="Y868" s="14" t="n">
        <v>17.127</v>
      </c>
      <c r="Z868" s="14" t="n">
        <v>2.304</v>
      </c>
      <c r="AA868" s="14" t="n">
        <v>0</v>
      </c>
      <c r="AB868" s="14" t="n">
        <v>17.127</v>
      </c>
      <c r="AC868" s="14" t="n">
        <v>0</v>
      </c>
      <c r="AD868" s="14" t="n">
        <v>1</v>
      </c>
      <c r="AE868" s="14" t="n">
        <v>18.27</v>
      </c>
      <c r="AF868" s="14" t="n">
        <v>4.278</v>
      </c>
      <c r="AG868" s="14" t="n">
        <v>0</v>
      </c>
      <c r="AH868" s="14" t="n">
        <v>18.27</v>
      </c>
      <c r="AI868" s="14" t="n">
        <v>0</v>
      </c>
      <c r="AJ868" s="14" t="n">
        <v>1</v>
      </c>
      <c r="AK868" s="14" t="n">
        <v>25.13</v>
      </c>
      <c r="AL868" s="14" t="n">
        <v>13.503</v>
      </c>
      <c r="AM868" s="14" t="n">
        <v>0</v>
      </c>
      <c r="AN868" s="14" t="n">
        <v>26.512</v>
      </c>
      <c r="AO868" s="14" t="n">
        <v>0.055</v>
      </c>
      <c r="AP868" s="14" t="n">
        <v>1</v>
      </c>
      <c r="AQ868" s="14" t="n">
        <v>0.649</v>
      </c>
      <c r="AR868" s="14" t="n">
        <v>0.114</v>
      </c>
      <c r="AS868" s="14" t="n">
        <v>0</v>
      </c>
      <c r="AT868" s="14" t="n">
        <v>0.6850000000000001</v>
      </c>
      <c r="AU868" s="14" t="n">
        <v>0.055</v>
      </c>
      <c r="AV868" s="14" t="n">
        <v>1</v>
      </c>
      <c r="AW868" s="14" t="n">
        <v>0.577</v>
      </c>
      <c r="AX868" s="14" t="n">
        <v>0.114</v>
      </c>
      <c r="AY868" s="14" t="n">
        <v>0</v>
      </c>
      <c r="AZ868" s="14" t="n">
        <v>0.608</v>
      </c>
      <c r="BA868" s="14" t="n">
        <v>0.055</v>
      </c>
      <c r="BB868" s="14" t="n">
        <v>1</v>
      </c>
      <c r="BC868" s="14" t="n">
        <v>0.458</v>
      </c>
      <c r="BD868" s="14" t="n">
        <v>0.114</v>
      </c>
      <c r="BE868" s="14" t="n">
        <v>0</v>
      </c>
      <c r="BF868" s="14" t="n">
        <v>0.483</v>
      </c>
      <c r="BG868" s="14" t="n">
        <v>0.055</v>
      </c>
      <c r="BH868" s="14" t="n">
        <v>1</v>
      </c>
      <c r="BI868" s="14" t="n">
        <v>0.491</v>
      </c>
      <c r="BJ868" s="14" t="n">
        <v>0.114</v>
      </c>
      <c r="BK868" s="14" t="n">
        <v>0</v>
      </c>
      <c r="BL868" s="14" t="n">
        <v>0.518</v>
      </c>
      <c r="BM868" s="14" t="n">
        <v>0.055</v>
      </c>
      <c r="BN868" s="14" t="n">
        <v>1</v>
      </c>
      <c r="BO868" s="14" t="n">
        <v>0</v>
      </c>
      <c r="BP868" s="14" t="n">
        <v>0</v>
      </c>
      <c r="BQ868" s="14" t="n">
        <v>0</v>
      </c>
      <c r="BR868" s="14" t="n">
        <v>0</v>
      </c>
      <c r="BS868" s="14" t="n">
        <v>1</v>
      </c>
      <c r="BT868" s="14" t="n">
        <v>0</v>
      </c>
      <c r="BU868" s="14" t="n">
        <v>0</v>
      </c>
      <c r="BV868" s="14" t="n">
        <v>0</v>
      </c>
      <c r="BW868" s="14" t="n">
        <v>0.055</v>
      </c>
      <c r="BX868" s="14" t="n">
        <v>1</v>
      </c>
      <c r="BY868" s="14" t="n">
        <v>11.787</v>
      </c>
      <c r="BZ868" s="14" t="n">
        <v>0</v>
      </c>
      <c r="CA868" s="14" t="n">
        <v>11.787</v>
      </c>
      <c r="CB868" s="14" t="n">
        <v>0</v>
      </c>
      <c r="CC868" s="14" t="n">
        <v>78.125</v>
      </c>
      <c r="CD868" s="14" t="n">
        <v>7.95</v>
      </c>
      <c r="CE868" s="14" t="n">
        <v>0</v>
      </c>
      <c r="CF868" s="14" t="n">
        <v>82.422</v>
      </c>
      <c r="CG868" s="14" t="n">
        <v>0.055</v>
      </c>
      <c r="CH868" s="14" t="n">
        <v>1</v>
      </c>
      <c r="CI868" s="14" t="n">
        <v>0</v>
      </c>
      <c r="CJ868" s="14" t="n">
        <v>0</v>
      </c>
      <c r="CK868" s="14" t="n">
        <v>0</v>
      </c>
      <c r="CL868" s="14" t="n">
        <v>0</v>
      </c>
      <c r="CM868" s="14" t="n">
        <v>0</v>
      </c>
      <c r="CN868" s="14" t="n">
        <v>0</v>
      </c>
      <c r="CO868" s="14" t="n">
        <v>0</v>
      </c>
      <c r="CP868" s="14" t="n">
        <v>0</v>
      </c>
      <c r="CQ868" s="14" t="n">
        <v>1.198</v>
      </c>
      <c r="CR868" s="14" t="n">
        <v>0</v>
      </c>
      <c r="CS868" s="14" t="n">
        <v>4.776</v>
      </c>
      <c r="CT868" s="14" t="n">
        <v>4.753</v>
      </c>
      <c r="CU868" s="14" t="n">
        <v>15.983</v>
      </c>
    </row>
    <row r="869">
      <c r="A869" s="14" t="inlineStr">
        <is>
          <t>VIR2022</t>
        </is>
      </c>
      <c r="B869" s="14" t="inlineStr">
        <is>
          <t>VIR</t>
        </is>
      </c>
      <c r="C869" s="14" t="inlineStr">
        <is>
          <t>VIR</t>
        </is>
      </c>
      <c r="D869" s="14" t="inlineStr">
        <is>
          <t>Virgin Islands (U.S.)</t>
        </is>
      </c>
      <c r="E869" s="14" t="n">
        <v>2022</v>
      </c>
      <c r="F869" s="14" t="n">
        <v>0.055</v>
      </c>
      <c r="G869" s="14" t="n">
        <v>11.72</v>
      </c>
      <c r="H869" s="14" t="n">
        <v>1.235</v>
      </c>
      <c r="I869" s="14" t="n">
        <v>0</v>
      </c>
      <c r="J869" s="14" t="n">
        <v>11.72</v>
      </c>
      <c r="K869" s="14" t="n">
        <v>0</v>
      </c>
      <c r="L869" s="14" t="n">
        <v>1</v>
      </c>
      <c r="M869" s="14" t="n">
        <v>9.782999999999999</v>
      </c>
      <c r="N869" s="14" t="n">
        <v>3.704</v>
      </c>
      <c r="O869" s="14" t="n">
        <v>0</v>
      </c>
      <c r="P869" s="14" t="n">
        <v>9.782999999999999</v>
      </c>
      <c r="Q869" s="14" t="n">
        <v>0</v>
      </c>
      <c r="R869" s="14" t="n">
        <v>1</v>
      </c>
      <c r="S869" s="14" t="n">
        <v>17.893</v>
      </c>
      <c r="T869" s="14" t="n">
        <v>7.408</v>
      </c>
      <c r="U869" s="14" t="n">
        <v>0.073</v>
      </c>
      <c r="V869" s="14" t="n">
        <v>18.877</v>
      </c>
      <c r="W869" s="14" t="n">
        <v>0.055</v>
      </c>
      <c r="X869" s="14" t="n">
        <v>1</v>
      </c>
      <c r="Y869" s="14" t="n">
        <v>30.728</v>
      </c>
      <c r="Z869" s="14" t="n">
        <v>4.133</v>
      </c>
      <c r="AA869" s="14" t="n">
        <v>0</v>
      </c>
      <c r="AB869" s="14" t="n">
        <v>30.728</v>
      </c>
      <c r="AC869" s="14" t="n">
        <v>0</v>
      </c>
      <c r="AD869" s="14" t="n">
        <v>1</v>
      </c>
      <c r="AE869" s="14" t="n">
        <v>31.963</v>
      </c>
      <c r="AF869" s="14" t="n">
        <v>7.485</v>
      </c>
      <c r="AG869" s="14" t="n">
        <v>0</v>
      </c>
      <c r="AH869" s="14" t="n">
        <v>31.963</v>
      </c>
      <c r="AI869" s="14" t="n">
        <v>0</v>
      </c>
      <c r="AJ869" s="14" t="n">
        <v>1</v>
      </c>
      <c r="AK869" s="14" t="n">
        <v>39.371</v>
      </c>
      <c r="AL869" s="14" t="n">
        <v>21.155</v>
      </c>
      <c r="AM869" s="14" t="n">
        <v>0.16</v>
      </c>
      <c r="AN869" s="14" t="n">
        <v>41.537</v>
      </c>
      <c r="AO869" s="14" t="n">
        <v>0.055</v>
      </c>
      <c r="AP869" s="14" t="n">
        <v>1</v>
      </c>
      <c r="AQ869" s="14" t="n">
        <v>0.896</v>
      </c>
      <c r="AR869" s="14" t="n">
        <v>0.123</v>
      </c>
      <c r="AS869" s="14" t="n">
        <v>0.004</v>
      </c>
      <c r="AT869" s="14" t="n">
        <v>0.945</v>
      </c>
      <c r="AU869" s="14" t="n">
        <v>0.055</v>
      </c>
      <c r="AV869" s="14" t="n">
        <v>1</v>
      </c>
      <c r="AW869" s="14" t="n">
        <v>0.89</v>
      </c>
      <c r="AX869" s="14" t="n">
        <v>0.123</v>
      </c>
      <c r="AY869" s="14" t="n">
        <v>0.004</v>
      </c>
      <c r="AZ869" s="14" t="n">
        <v>0.9389999999999999</v>
      </c>
      <c r="BA869" s="14" t="n">
        <v>0.055</v>
      </c>
      <c r="BB869" s="14" t="n">
        <v>1</v>
      </c>
      <c r="BC869" s="14" t="n">
        <v>0.62</v>
      </c>
      <c r="BD869" s="14" t="n">
        <v>0.123</v>
      </c>
      <c r="BE869" s="14" t="n">
        <v>0.003</v>
      </c>
      <c r="BF869" s="14" t="n">
        <v>0.654</v>
      </c>
      <c r="BG869" s="14" t="n">
        <v>0.055</v>
      </c>
      <c r="BH869" s="14" t="n">
        <v>1</v>
      </c>
      <c r="BI869" s="14" t="n">
        <v>0.608</v>
      </c>
      <c r="BJ869" s="14" t="n">
        <v>0.123</v>
      </c>
      <c r="BK869" s="14" t="n">
        <v>0.002</v>
      </c>
      <c r="BL869" s="14" t="n">
        <v>0.641</v>
      </c>
      <c r="BM869" s="14" t="n">
        <v>0.055</v>
      </c>
      <c r="BN869" s="14" t="n">
        <v>1</v>
      </c>
      <c r="BO869" s="14" t="n">
        <v>0</v>
      </c>
      <c r="BP869" s="14" t="n">
        <v>0</v>
      </c>
      <c r="BQ869" s="14" t="n">
        <v>0</v>
      </c>
      <c r="BR869" s="14" t="n">
        <v>0</v>
      </c>
      <c r="BS869" s="14" t="n">
        <v>1</v>
      </c>
      <c r="BT869" s="14" t="n">
        <v>0</v>
      </c>
      <c r="BU869" s="14" t="n">
        <v>0</v>
      </c>
      <c r="BV869" s="14" t="n">
        <v>0</v>
      </c>
      <c r="BW869" s="14" t="n">
        <v>0.055</v>
      </c>
      <c r="BX869" s="14" t="n">
        <v>1</v>
      </c>
      <c r="BY869" s="14" t="n">
        <v>12.729</v>
      </c>
      <c r="BZ869" s="14" t="n">
        <v>0</v>
      </c>
      <c r="CA869" s="14" t="n">
        <v>12.729</v>
      </c>
      <c r="CB869" s="14" t="n">
        <v>0</v>
      </c>
      <c r="CC869" s="14" t="n">
        <v>97.90000000000001</v>
      </c>
      <c r="CD869" s="14" t="n">
        <v>7.95</v>
      </c>
      <c r="CE869" s="14" t="n">
        <v>0.399</v>
      </c>
      <c r="CF869" s="14" t="n">
        <v>103.285</v>
      </c>
      <c r="CG869" s="14" t="n">
        <v>0.055</v>
      </c>
      <c r="CH869" s="14" t="n">
        <v>1</v>
      </c>
      <c r="CI869" s="14" t="n">
        <v>0</v>
      </c>
      <c r="CJ869" s="14" t="n">
        <v>0</v>
      </c>
      <c r="CK869" s="14" t="n">
        <v>0</v>
      </c>
      <c r="CL869" s="14" t="n">
        <v>0</v>
      </c>
      <c r="CM869" s="14" t="n">
        <v>0</v>
      </c>
      <c r="CN869" s="14" t="n">
        <v>0</v>
      </c>
      <c r="CO869" s="14" t="n">
        <v>0</v>
      </c>
      <c r="CP869" s="14" t="n">
        <v>0</v>
      </c>
      <c r="CQ869" s="14" t="n">
        <v>1.294</v>
      </c>
      <c r="CR869" s="14" t="n">
        <v>0</v>
      </c>
      <c r="CS869" s="14" t="n">
        <v>5.158</v>
      </c>
      <c r="CT869" s="14" t="n">
        <v>10.485</v>
      </c>
      <c r="CU869" s="14" t="n">
        <v>29.494</v>
      </c>
    </row>
    <row r="870">
      <c r="A870" s="14" t="inlineStr">
        <is>
          <t>VIR2023</t>
        </is>
      </c>
      <c r="B870" s="14" t="inlineStr">
        <is>
          <t>VIR</t>
        </is>
      </c>
      <c r="C870" s="14" t="inlineStr">
        <is>
          <t>VIR</t>
        </is>
      </c>
      <c r="D870" s="14" t="inlineStr">
        <is>
          <t>Virgin Islands (U.S.)</t>
        </is>
      </c>
      <c r="E870" s="14" t="n">
        <v>2023</v>
      </c>
      <c r="F870" s="14" t="n">
        <v>0.055</v>
      </c>
      <c r="G870" s="14" t="n">
        <v>6.147</v>
      </c>
      <c r="H870" s="14" t="n">
        <v>1.286</v>
      </c>
      <c r="I870" s="14" t="n">
        <v>0</v>
      </c>
      <c r="J870" s="14" t="n">
        <v>6.147</v>
      </c>
      <c r="K870" s="14" t="n">
        <v>0</v>
      </c>
      <c r="L870" s="14" t="n">
        <v>1</v>
      </c>
      <c r="M870" s="14" t="n">
        <v>7.886</v>
      </c>
      <c r="N870" s="14" t="n">
        <v>3.857</v>
      </c>
      <c r="O870" s="14" t="n">
        <v>0</v>
      </c>
      <c r="P870" s="14" t="n">
        <v>7.886</v>
      </c>
      <c r="Q870" s="14" t="n">
        <v>0</v>
      </c>
      <c r="R870" s="14" t="n">
        <v>1</v>
      </c>
      <c r="S870" s="14" t="n">
        <v>12.575</v>
      </c>
      <c r="T870" s="14" t="n">
        <v>7.714</v>
      </c>
      <c r="U870" s="14" t="n">
        <v>0.077</v>
      </c>
      <c r="V870" s="14" t="n">
        <v>13.267</v>
      </c>
      <c r="W870" s="14" t="n">
        <v>0.055</v>
      </c>
      <c r="X870" s="14" t="n">
        <v>1</v>
      </c>
      <c r="Y870" s="14" t="n">
        <v>12.478</v>
      </c>
      <c r="Z870" s="14" t="n">
        <v>1.678</v>
      </c>
      <c r="AA870" s="14" t="n">
        <v>0</v>
      </c>
      <c r="AB870" s="14" t="n">
        <v>12.478</v>
      </c>
      <c r="AC870" s="14" t="n">
        <v>0</v>
      </c>
      <c r="AD870" s="14" t="n">
        <v>1</v>
      </c>
      <c r="AE870" s="14" t="n">
        <v>13.763</v>
      </c>
      <c r="AF870" s="14" t="n">
        <v>3.223</v>
      </c>
      <c r="AG870" s="14" t="n">
        <v>0</v>
      </c>
      <c r="AH870" s="14" t="n">
        <v>13.763</v>
      </c>
      <c r="AI870" s="14" t="n">
        <v>0</v>
      </c>
      <c r="AJ870" s="14" t="n">
        <v>1</v>
      </c>
      <c r="AK870" s="14" t="n">
        <v>21.477</v>
      </c>
      <c r="AL870" s="14" t="n">
        <v>11.54</v>
      </c>
      <c r="AM870" s="14" t="n">
        <v>0.131</v>
      </c>
      <c r="AN870" s="14" t="n">
        <v>22.659</v>
      </c>
      <c r="AO870" s="14" t="n">
        <v>0.055</v>
      </c>
      <c r="AP870" s="14" t="n">
        <v>1</v>
      </c>
      <c r="AQ870" s="14" t="n">
        <v>0.791</v>
      </c>
      <c r="AR870" s="14" t="n">
        <v>0.129</v>
      </c>
      <c r="AS870" s="14" t="n">
        <v>0.005</v>
      </c>
      <c r="AT870" s="14" t="n">
        <v>0.834</v>
      </c>
      <c r="AU870" s="14" t="n">
        <v>0.055</v>
      </c>
      <c r="AV870" s="14" t="n">
        <v>1</v>
      </c>
      <c r="AW870" s="14" t="n">
        <v>0.618</v>
      </c>
      <c r="AX870" s="14" t="n">
        <v>0.129</v>
      </c>
      <c r="AY870" s="14" t="n">
        <v>0.004</v>
      </c>
      <c r="AZ870" s="14" t="n">
        <v>0.652</v>
      </c>
      <c r="BA870" s="14" t="n">
        <v>0.055</v>
      </c>
      <c r="BB870" s="14" t="n">
        <v>1</v>
      </c>
      <c r="BC870" s="14" t="n">
        <v>0.554</v>
      </c>
      <c r="BD870" s="14" t="n">
        <v>0.129</v>
      </c>
      <c r="BE870" s="14" t="n">
        <v>0.003</v>
      </c>
      <c r="BF870" s="14" t="n">
        <v>0.585</v>
      </c>
      <c r="BG870" s="14" t="n">
        <v>0.055</v>
      </c>
      <c r="BH870" s="14" t="n">
        <v>1</v>
      </c>
      <c r="BI870" s="14" t="n">
        <v>0.5570000000000001</v>
      </c>
      <c r="BJ870" s="14" t="n">
        <v>0.129</v>
      </c>
      <c r="BK870" s="14" t="n">
        <v>0.003</v>
      </c>
      <c r="BL870" s="14" t="n">
        <v>0.588</v>
      </c>
      <c r="BM870" s="14" t="n">
        <v>0.055</v>
      </c>
      <c r="BN870" s="14" t="n">
        <v>1</v>
      </c>
      <c r="BO870" s="14" t="n">
        <v>0</v>
      </c>
      <c r="BP870" s="14" t="n">
        <v>0</v>
      </c>
      <c r="BQ870" s="14" t="n">
        <v>0</v>
      </c>
      <c r="BR870" s="14" t="n">
        <v>0</v>
      </c>
      <c r="BS870" s="14" t="n">
        <v>1</v>
      </c>
      <c r="BT870" s="14" t="n">
        <v>0</v>
      </c>
      <c r="BU870" s="14" t="n">
        <v>0</v>
      </c>
      <c r="BV870" s="14" t="n">
        <v>0</v>
      </c>
      <c r="BW870" s="14" t="n">
        <v>0.055</v>
      </c>
      <c r="BX870" s="14" t="n">
        <v>1</v>
      </c>
      <c r="BY870" s="14" t="n">
        <v>13.254</v>
      </c>
      <c r="BZ870" s="14" t="n">
        <v>0</v>
      </c>
      <c r="CA870" s="14" t="n">
        <v>13.254</v>
      </c>
      <c r="CB870" s="14" t="n">
        <v>0</v>
      </c>
      <c r="CC870" s="14" t="n">
        <v>83.248</v>
      </c>
      <c r="CD870" s="14" t="n">
        <v>7.95</v>
      </c>
      <c r="CE870" s="14" t="n">
        <v>0.507</v>
      </c>
      <c r="CF870" s="14" t="n">
        <v>87.827</v>
      </c>
      <c r="CG870" s="14" t="n">
        <v>0.055</v>
      </c>
      <c r="CH870" s="14" t="n">
        <v>1</v>
      </c>
      <c r="CI870" s="14" t="n">
        <v>0</v>
      </c>
      <c r="CJ870" s="14" t="n">
        <v>0</v>
      </c>
      <c r="CK870" s="14" t="n">
        <v>0</v>
      </c>
      <c r="CL870" s="14" t="n">
        <v>0</v>
      </c>
      <c r="CM870" s="14" t="n">
        <v>0</v>
      </c>
      <c r="CN870" s="14" t="n">
        <v>0</v>
      </c>
      <c r="CO870" s="14" t="n">
        <v>0</v>
      </c>
      <c r="CP870" s="14" t="n">
        <v>0</v>
      </c>
      <c r="CQ870" s="14" t="n">
        <v>1.348</v>
      </c>
      <c r="CR870" s="14" t="n">
        <v>0</v>
      </c>
      <c r="CS870" s="14" t="n">
        <v>5.37</v>
      </c>
      <c r="CT870" s="14" t="n">
        <v>4.861</v>
      </c>
      <c r="CU870" s="14" t="n">
        <v>11.192</v>
      </c>
    </row>
    <row r="871">
      <c r="A871" s="14" t="inlineStr">
        <is>
          <t>VIR2024</t>
        </is>
      </c>
      <c r="B871" s="14" t="inlineStr">
        <is>
          <t>VIR</t>
        </is>
      </c>
      <c r="C871" s="14" t="inlineStr">
        <is>
          <t>VIR</t>
        </is>
      </c>
      <c r="D871" s="14" t="inlineStr">
        <is>
          <t>Virgin Islands (U.S.)</t>
        </is>
      </c>
      <c r="E871" s="14" t="n">
        <v>2024</v>
      </c>
      <c r="F871" s="14" t="n">
        <v>0.055</v>
      </c>
      <c r="G871" s="14" t="n">
        <v>5.575</v>
      </c>
      <c r="H871" s="14" t="n">
        <v>1.324</v>
      </c>
      <c r="I871" s="14" t="n">
        <v>0</v>
      </c>
      <c r="J871" s="14" t="n">
        <v>5.575</v>
      </c>
      <c r="K871" s="14" t="n">
        <v>0</v>
      </c>
      <c r="L871" s="14" t="n">
        <v>1</v>
      </c>
      <c r="M871" s="14" t="n">
        <v>7.124</v>
      </c>
      <c r="N871" s="14" t="n">
        <v>3.971</v>
      </c>
      <c r="O871" s="14" t="n">
        <v>0</v>
      </c>
      <c r="P871" s="14" t="n">
        <v>7.124</v>
      </c>
      <c r="Q871" s="14" t="n">
        <v>0</v>
      </c>
      <c r="R871" s="14" t="n">
        <v>1</v>
      </c>
      <c r="S871" s="14" t="n">
        <v>12.193</v>
      </c>
      <c r="T871" s="14" t="n">
        <v>7.942</v>
      </c>
      <c r="U871" s="14" t="n">
        <v>0.091</v>
      </c>
      <c r="V871" s="14" t="n">
        <v>12.863</v>
      </c>
      <c r="W871" s="14" t="n">
        <v>0.055</v>
      </c>
      <c r="X871" s="14" t="n">
        <v>1</v>
      </c>
      <c r="Y871" s="14" t="n">
        <v>11.447</v>
      </c>
      <c r="Z871" s="14" t="n">
        <v>1.54</v>
      </c>
      <c r="AA871" s="14" t="n">
        <v>0</v>
      </c>
      <c r="AB871" s="14" t="n">
        <v>11.447</v>
      </c>
      <c r="AC871" s="14" t="n">
        <v>0</v>
      </c>
      <c r="AD871" s="14" t="n">
        <v>1</v>
      </c>
      <c r="AE871" s="14" t="n">
        <v>12.771</v>
      </c>
      <c r="AF871" s="14" t="n">
        <v>2.991</v>
      </c>
      <c r="AG871" s="14" t="n">
        <v>0</v>
      </c>
      <c r="AH871" s="14" t="n">
        <v>12.771</v>
      </c>
      <c r="AI871" s="14" t="n">
        <v>0</v>
      </c>
      <c r="AJ871" s="14" t="n">
        <v>1</v>
      </c>
      <c r="AK871" s="14" t="n">
        <v>20.712</v>
      </c>
      <c r="AL871" s="14" t="n">
        <v>11.129</v>
      </c>
      <c r="AM871" s="14" t="n">
        <v>0.155</v>
      </c>
      <c r="AN871" s="14" t="n">
        <v>21.852</v>
      </c>
      <c r="AO871" s="14" t="n">
        <v>0.055</v>
      </c>
      <c r="AP871" s="14" t="n">
        <v>1</v>
      </c>
      <c r="AQ871" s="14" t="n">
        <v>0.756</v>
      </c>
      <c r="AR871" s="14" t="n">
        <v>0.132</v>
      </c>
      <c r="AS871" s="14" t="n">
        <v>0.006</v>
      </c>
      <c r="AT871" s="14" t="n">
        <v>0.798</v>
      </c>
      <c r="AU871" s="14" t="n">
        <v>0.055</v>
      </c>
      <c r="AV871" s="14" t="n">
        <v>1</v>
      </c>
      <c r="AW871" s="14" t="n">
        <v>0.655</v>
      </c>
      <c r="AX871" s="14" t="n">
        <v>0.132</v>
      </c>
      <c r="AY871" s="14" t="n">
        <v>0.005</v>
      </c>
      <c r="AZ871" s="14" t="n">
        <v>0.6909999999999999</v>
      </c>
      <c r="BA871" s="14" t="n">
        <v>0.055</v>
      </c>
      <c r="BB871" s="14" t="n">
        <v>1</v>
      </c>
      <c r="BC871" s="14" t="n">
        <v>0.534</v>
      </c>
      <c r="BD871" s="14" t="n">
        <v>0.132</v>
      </c>
      <c r="BE871" s="14" t="n">
        <v>0.004</v>
      </c>
      <c r="BF871" s="14" t="n">
        <v>0.5629999999999999</v>
      </c>
      <c r="BG871" s="14" t="n">
        <v>0.055</v>
      </c>
      <c r="BH871" s="14" t="n">
        <v>1</v>
      </c>
      <c r="BI871" s="14" t="n">
        <v>0.5679999999999999</v>
      </c>
      <c r="BJ871" s="14" t="n">
        <v>0.132</v>
      </c>
      <c r="BK871" s="14" t="n">
        <v>0.004</v>
      </c>
      <c r="BL871" s="14" t="n">
        <v>0.599</v>
      </c>
      <c r="BM871" s="14" t="n">
        <v>0.055</v>
      </c>
      <c r="BN871" s="14" t="n">
        <v>1</v>
      </c>
      <c r="BO871" s="14" t="n">
        <v>0</v>
      </c>
      <c r="BP871" s="14" t="n">
        <v>0</v>
      </c>
      <c r="BQ871" s="14" t="n">
        <v>0</v>
      </c>
      <c r="BR871" s="14" t="n">
        <v>0</v>
      </c>
      <c r="BS871" s="14" t="n">
        <v>1</v>
      </c>
      <c r="BT871" s="14" t="n">
        <v>0</v>
      </c>
      <c r="BU871" s="14" t="n">
        <v>0</v>
      </c>
      <c r="BV871" s="14" t="n">
        <v>0</v>
      </c>
      <c r="BW871" s="14" t="n">
        <v>0.055</v>
      </c>
      <c r="BX871" s="14" t="n">
        <v>1</v>
      </c>
      <c r="BY871" s="14" t="n">
        <v>13.646</v>
      </c>
      <c r="BZ871" s="14" t="n">
        <v>0</v>
      </c>
      <c r="CA871" s="14" t="n">
        <v>13.646</v>
      </c>
      <c r="CB871" s="14" t="n">
        <v>0</v>
      </c>
      <c r="CC871" s="14" t="n">
        <v>82.58799999999999</v>
      </c>
      <c r="CD871" s="14" t="n">
        <v>7.95</v>
      </c>
      <c r="CE871" s="14" t="n">
        <v>0.619</v>
      </c>
      <c r="CF871" s="14" t="n">
        <v>87.13</v>
      </c>
      <c r="CG871" s="14" t="n">
        <v>0.055</v>
      </c>
      <c r="CH871" s="14" t="n">
        <v>1</v>
      </c>
      <c r="CI871" s="14" t="n">
        <v>0</v>
      </c>
      <c r="CJ871" s="14" t="n">
        <v>0</v>
      </c>
      <c r="CK871" s="14" t="n">
        <v>0</v>
      </c>
      <c r="CL871" s="14" t="n">
        <v>0</v>
      </c>
      <c r="CM871" s="14" t="n">
        <v>0</v>
      </c>
      <c r="CN871" s="14" t="n">
        <v>0</v>
      </c>
      <c r="CO871" s="14" t="n">
        <v>0</v>
      </c>
      <c r="CP871" s="14" t="n">
        <v>0</v>
      </c>
      <c r="CQ871" s="14" t="n">
        <v>1.387</v>
      </c>
      <c r="CR871" s="14" t="n">
        <v>0</v>
      </c>
      <c r="CS871" s="14" t="n">
        <v>5.529</v>
      </c>
      <c r="CT871" s="14" t="n">
        <v>4.251</v>
      </c>
      <c r="CU871" s="14" t="n">
        <v>10.123</v>
      </c>
    </row>
    <row r="872">
      <c r="A872" s="14" t="inlineStr">
        <is>
          <t>PSE2021</t>
        </is>
      </c>
      <c r="B872" s="14" t="inlineStr">
        <is>
          <t>PSE</t>
        </is>
      </c>
      <c r="C872" s="14" t="inlineStr">
        <is>
          <t>PSE</t>
        </is>
      </c>
      <c r="D872" s="14" t="inlineStr">
        <is>
          <t>West Bank and Gaza</t>
        </is>
      </c>
      <c r="E872" s="14" t="n">
        <v>2021</v>
      </c>
      <c r="F872" s="14" t="n">
        <v>0.16</v>
      </c>
      <c r="G872" s="14" t="n">
        <v>5.897</v>
      </c>
      <c r="H872" s="14" t="n">
        <v>1.143</v>
      </c>
      <c r="I872" s="14" t="n">
        <v>0</v>
      </c>
      <c r="J872" s="14" t="n">
        <v>5.897</v>
      </c>
      <c r="K872" s="14" t="n">
        <v>0</v>
      </c>
      <c r="L872" s="14" t="n">
        <v>1</v>
      </c>
      <c r="M872" s="14" t="n">
        <v>7.964</v>
      </c>
      <c r="N872" s="14" t="n">
        <v>3.43</v>
      </c>
      <c r="O872" s="14" t="n">
        <v>0</v>
      </c>
      <c r="P872" s="14" t="n">
        <v>7.964</v>
      </c>
      <c r="Q872" s="14" t="n">
        <v>0</v>
      </c>
      <c r="R872" s="14" t="n">
        <v>1</v>
      </c>
      <c r="S872" s="14" t="n">
        <v>11.613</v>
      </c>
      <c r="T872" s="14" t="n">
        <v>6.86</v>
      </c>
      <c r="U872" s="14" t="n">
        <v>0</v>
      </c>
      <c r="V872" s="14" t="n">
        <v>13.471</v>
      </c>
      <c r="W872" s="14" t="n">
        <v>0.16</v>
      </c>
      <c r="X872" s="14" t="n">
        <v>1</v>
      </c>
      <c r="Y872" s="14" t="n">
        <v>15.299</v>
      </c>
      <c r="Z872" s="14" t="n">
        <v>2.496</v>
      </c>
      <c r="AA872" s="14" t="n">
        <v>0</v>
      </c>
      <c r="AB872" s="14" t="n">
        <v>15.299</v>
      </c>
      <c r="AC872" s="14" t="n">
        <v>0</v>
      </c>
      <c r="AD872" s="14" t="n">
        <v>1</v>
      </c>
      <c r="AE872" s="14" t="n">
        <v>16.442</v>
      </c>
      <c r="AF872" s="14" t="n">
        <v>4.506</v>
      </c>
      <c r="AG872" s="14" t="n">
        <v>0</v>
      </c>
      <c r="AH872" s="14" t="n">
        <v>16.442</v>
      </c>
      <c r="AI872" s="14" t="n">
        <v>0</v>
      </c>
      <c r="AJ872" s="14" t="n">
        <v>1</v>
      </c>
      <c r="AK872" s="14" t="n">
        <v>23.302</v>
      </c>
      <c r="AL872" s="14" t="n">
        <v>13.551</v>
      </c>
      <c r="AM872" s="14" t="n">
        <v>0</v>
      </c>
      <c r="AN872" s="14" t="n">
        <v>27.03</v>
      </c>
      <c r="AO872" s="14" t="n">
        <v>0.16</v>
      </c>
      <c r="AP872" s="14" t="n">
        <v>1</v>
      </c>
      <c r="AQ872" s="14" t="n">
        <v>0.621</v>
      </c>
      <c r="AR872" s="14" t="n">
        <v>0.114</v>
      </c>
      <c r="AS872" s="14" t="n">
        <v>0</v>
      </c>
      <c r="AT872" s="14" t="n">
        <v>0.72</v>
      </c>
      <c r="AU872" s="14" t="n">
        <v>0.16</v>
      </c>
      <c r="AV872" s="14" t="n">
        <v>1</v>
      </c>
      <c r="AW872" s="14" t="n">
        <v>0.593</v>
      </c>
      <c r="AX872" s="14" t="n">
        <v>0.114</v>
      </c>
      <c r="AY872" s="14" t="n">
        <v>0.798</v>
      </c>
      <c r="AZ872" s="14" t="n">
        <v>1.614</v>
      </c>
      <c r="BA872" s="14" t="n">
        <v>0.16</v>
      </c>
      <c r="BB872" s="14" t="n">
        <v>1</v>
      </c>
      <c r="BC872" s="14" t="n">
        <v>0.44</v>
      </c>
      <c r="BD872" s="14" t="n">
        <v>0.114</v>
      </c>
      <c r="BE872" s="14" t="n">
        <v>0</v>
      </c>
      <c r="BF872" s="14" t="n">
        <v>0.51</v>
      </c>
      <c r="BG872" s="14" t="n">
        <v>0.16</v>
      </c>
      <c r="BH872" s="14" t="n">
        <v>1</v>
      </c>
      <c r="BI872" s="14" t="n">
        <v>0.5600000000000001</v>
      </c>
      <c r="BJ872" s="14" t="n">
        <v>0.114</v>
      </c>
      <c r="BK872" s="14" t="n">
        <v>0</v>
      </c>
      <c r="BL872" s="14" t="n">
        <v>0.65</v>
      </c>
      <c r="BM872" s="14" t="n">
        <v>0.16</v>
      </c>
      <c r="BN872" s="14" t="n">
        <v>1</v>
      </c>
      <c r="BO872" s="14" t="n">
        <v>0</v>
      </c>
      <c r="BP872" s="14" t="n">
        <v>0</v>
      </c>
      <c r="BQ872" s="14" t="n">
        <v>0</v>
      </c>
      <c r="BR872" s="14" t="n">
        <v>0</v>
      </c>
      <c r="BS872" s="14" t="n">
        <v>1</v>
      </c>
      <c r="BT872" s="14" t="n">
        <v>0</v>
      </c>
      <c r="BU872" s="14" t="n">
        <v>0</v>
      </c>
      <c r="BV872" s="14" t="n">
        <v>0</v>
      </c>
      <c r="BW872" s="14" t="n">
        <v>0.16</v>
      </c>
      <c r="BX872" s="14" t="n">
        <v>1</v>
      </c>
      <c r="BY872" s="14" t="n">
        <v>11.787</v>
      </c>
      <c r="BZ872" s="14" t="n">
        <v>0</v>
      </c>
      <c r="CA872" s="14" t="n">
        <v>11.787</v>
      </c>
      <c r="CB872" s="14" t="n">
        <v>0</v>
      </c>
      <c r="CC872" s="14" t="n">
        <v>81.69499999999999</v>
      </c>
      <c r="CD872" s="14" t="n">
        <v>7.95</v>
      </c>
      <c r="CE872" s="14" t="n">
        <v>0</v>
      </c>
      <c r="CF872" s="14" t="n">
        <v>94.767</v>
      </c>
      <c r="CG872" s="14" t="n">
        <v>0.16</v>
      </c>
      <c r="CH872" s="14" t="n">
        <v>1</v>
      </c>
      <c r="CI872" s="14" t="n">
        <v>0</v>
      </c>
      <c r="CJ872" s="14" t="n">
        <v>0</v>
      </c>
      <c r="CK872" s="14" t="n">
        <v>0</v>
      </c>
      <c r="CL872" s="14" t="n">
        <v>0</v>
      </c>
      <c r="CM872" s="14" t="n">
        <v>0</v>
      </c>
      <c r="CN872" s="14" t="n">
        <v>0</v>
      </c>
      <c r="CO872" s="14" t="n">
        <v>0</v>
      </c>
      <c r="CP872" s="14" t="n">
        <v>0</v>
      </c>
      <c r="CQ872" s="14" t="n">
        <v>1.198</v>
      </c>
      <c r="CR872" s="14" t="n">
        <v>0</v>
      </c>
      <c r="CS872" s="14" t="n">
        <v>4.776</v>
      </c>
      <c r="CT872" s="14" t="n">
        <v>4.753</v>
      </c>
      <c r="CU872" s="14" t="n">
        <v>14.162</v>
      </c>
    </row>
    <row r="873">
      <c r="A873" s="14" t="inlineStr">
        <is>
          <t>PSE2022</t>
        </is>
      </c>
      <c r="B873" s="14" t="inlineStr">
        <is>
          <t>PSE</t>
        </is>
      </c>
      <c r="C873" s="14" t="inlineStr">
        <is>
          <t>PSE</t>
        </is>
      </c>
      <c r="D873" s="14" t="inlineStr">
        <is>
          <t>West Bank and Gaza</t>
        </is>
      </c>
      <c r="E873" s="14" t="n">
        <v>2022</v>
      </c>
      <c r="F873" s="14" t="n">
        <v>0.16</v>
      </c>
      <c r="G873" s="14" t="n">
        <v>11.72</v>
      </c>
      <c r="H873" s="14" t="n">
        <v>1.235</v>
      </c>
      <c r="I873" s="14" t="n">
        <v>0</v>
      </c>
      <c r="J873" s="14" t="n">
        <v>11.72</v>
      </c>
      <c r="K873" s="14" t="n">
        <v>0</v>
      </c>
      <c r="L873" s="14" t="n">
        <v>1</v>
      </c>
      <c r="M873" s="14" t="n">
        <v>9.782999999999999</v>
      </c>
      <c r="N873" s="14" t="n">
        <v>3.704</v>
      </c>
      <c r="O873" s="14" t="n">
        <v>0</v>
      </c>
      <c r="P873" s="14" t="n">
        <v>9.782999999999999</v>
      </c>
      <c r="Q873" s="14" t="n">
        <v>0</v>
      </c>
      <c r="R873" s="14" t="n">
        <v>1</v>
      </c>
      <c r="S873" s="14" t="n">
        <v>17.893</v>
      </c>
      <c r="T873" s="14" t="n">
        <v>7.408</v>
      </c>
      <c r="U873" s="14" t="n">
        <v>0.212</v>
      </c>
      <c r="V873" s="14" t="n">
        <v>20.756</v>
      </c>
      <c r="W873" s="14" t="n">
        <v>0.16</v>
      </c>
      <c r="X873" s="14" t="n">
        <v>1</v>
      </c>
      <c r="Y873" s="14" t="n">
        <v>31.56</v>
      </c>
      <c r="Z873" s="14" t="n">
        <v>5.148</v>
      </c>
      <c r="AA873" s="14" t="n">
        <v>0</v>
      </c>
      <c r="AB873" s="14" t="n">
        <v>31.56</v>
      </c>
      <c r="AC873" s="14" t="n">
        <v>0</v>
      </c>
      <c r="AD873" s="14" t="n">
        <v>1</v>
      </c>
      <c r="AE873" s="14" t="n">
        <v>32.795</v>
      </c>
      <c r="AF873" s="14" t="n">
        <v>8.988</v>
      </c>
      <c r="AG873" s="14" t="n">
        <v>0</v>
      </c>
      <c r="AH873" s="14" t="n">
        <v>32.795</v>
      </c>
      <c r="AI873" s="14" t="n">
        <v>0</v>
      </c>
      <c r="AJ873" s="14" t="n">
        <v>1</v>
      </c>
      <c r="AK873" s="14" t="n">
        <v>40.203</v>
      </c>
      <c r="AL873" s="14" t="n">
        <v>23.38</v>
      </c>
      <c r="AM873" s="14" t="n">
        <v>0.476</v>
      </c>
      <c r="AN873" s="14" t="n">
        <v>46.635</v>
      </c>
      <c r="AO873" s="14" t="n">
        <v>0.16</v>
      </c>
      <c r="AP873" s="14" t="n">
        <v>1</v>
      </c>
      <c r="AQ873" s="14" t="n">
        <v>0.847</v>
      </c>
      <c r="AR873" s="14" t="n">
        <v>0.123</v>
      </c>
      <c r="AS873" s="14" t="n">
        <v>0.01</v>
      </c>
      <c r="AT873" s="14" t="n">
        <v>0.982</v>
      </c>
      <c r="AU873" s="14" t="n">
        <v>0.16</v>
      </c>
      <c r="AV873" s="14" t="n">
        <v>1</v>
      </c>
      <c r="AW873" s="14" t="n">
        <v>0.947</v>
      </c>
      <c r="AX873" s="14" t="n">
        <v>0.123</v>
      </c>
      <c r="AY873" s="14" t="n">
        <v>0.581</v>
      </c>
      <c r="AZ873" s="14" t="n">
        <v>1.772</v>
      </c>
      <c r="BA873" s="14" t="n">
        <v>0.16</v>
      </c>
      <c r="BB873" s="14" t="n">
        <v>1</v>
      </c>
      <c r="BC873" s="14" t="n">
        <v>0.589</v>
      </c>
      <c r="BD873" s="14" t="n">
        <v>0.123</v>
      </c>
      <c r="BE873" s="14" t="n">
        <v>0.007</v>
      </c>
      <c r="BF873" s="14" t="n">
        <v>0.6830000000000001</v>
      </c>
      <c r="BG873" s="14" t="n">
        <v>0.16</v>
      </c>
      <c r="BH873" s="14" t="n">
        <v>1</v>
      </c>
      <c r="BI873" s="14" t="n">
        <v>0.6889999999999999</v>
      </c>
      <c r="BJ873" s="14" t="n">
        <v>0.123</v>
      </c>
      <c r="BK873" s="14" t="n">
        <v>0.008</v>
      </c>
      <c r="BL873" s="14" t="n">
        <v>0.799</v>
      </c>
      <c r="BM873" s="14" t="n">
        <v>0.16</v>
      </c>
      <c r="BN873" s="14" t="n">
        <v>1</v>
      </c>
      <c r="BO873" s="14" t="n">
        <v>0</v>
      </c>
      <c r="BP873" s="14" t="n">
        <v>0</v>
      </c>
      <c r="BQ873" s="14" t="n">
        <v>0</v>
      </c>
      <c r="BR873" s="14" t="n">
        <v>0</v>
      </c>
      <c r="BS873" s="14" t="n">
        <v>1</v>
      </c>
      <c r="BT873" s="14" t="n">
        <v>0</v>
      </c>
      <c r="BU873" s="14" t="n">
        <v>0</v>
      </c>
      <c r="BV873" s="14" t="n">
        <v>0</v>
      </c>
      <c r="BW873" s="14" t="n">
        <v>0.16</v>
      </c>
      <c r="BX873" s="14" t="n">
        <v>1</v>
      </c>
      <c r="BY873" s="14" t="n">
        <v>12.729</v>
      </c>
      <c r="BZ873" s="14" t="n">
        <v>0</v>
      </c>
      <c r="CA873" s="14" t="n">
        <v>12.729</v>
      </c>
      <c r="CB873" s="14" t="n">
        <v>0</v>
      </c>
      <c r="CC873" s="14" t="n">
        <v>102.477</v>
      </c>
      <c r="CD873" s="14" t="n">
        <v>7.95</v>
      </c>
      <c r="CE873" s="14" t="n">
        <v>1.213</v>
      </c>
      <c r="CF873" s="14" t="n">
        <v>118.873</v>
      </c>
      <c r="CG873" s="14" t="n">
        <v>0.16</v>
      </c>
      <c r="CH873" s="14" t="n">
        <v>1</v>
      </c>
      <c r="CI873" s="14" t="n">
        <v>0</v>
      </c>
      <c r="CJ873" s="14" t="n">
        <v>0</v>
      </c>
      <c r="CK873" s="14" t="n">
        <v>0</v>
      </c>
      <c r="CL873" s="14" t="n">
        <v>0</v>
      </c>
      <c r="CM873" s="14" t="n">
        <v>0</v>
      </c>
      <c r="CN873" s="14" t="n">
        <v>0</v>
      </c>
      <c r="CO873" s="14" t="n">
        <v>0</v>
      </c>
      <c r="CP873" s="14" t="n">
        <v>0</v>
      </c>
      <c r="CQ873" s="14" t="n">
        <v>1.294</v>
      </c>
      <c r="CR873" s="14" t="n">
        <v>0</v>
      </c>
      <c r="CS873" s="14" t="n">
        <v>5.158</v>
      </c>
      <c r="CT873" s="14" t="n">
        <v>10.485</v>
      </c>
      <c r="CU873" s="14" t="n">
        <v>30.326</v>
      </c>
    </row>
    <row r="874">
      <c r="A874" s="14" t="inlineStr">
        <is>
          <t>PSE2023</t>
        </is>
      </c>
      <c r="B874" s="14" t="inlineStr">
        <is>
          <t>PSE</t>
        </is>
      </c>
      <c r="C874" s="14" t="inlineStr">
        <is>
          <t>PSE</t>
        </is>
      </c>
      <c r="D874" s="14" t="inlineStr">
        <is>
          <t>West Bank and Gaza</t>
        </is>
      </c>
      <c r="E874" s="14" t="n">
        <v>2023</v>
      </c>
      <c r="F874" s="14" t="n">
        <v>0.16</v>
      </c>
      <c r="G874" s="14" t="n">
        <v>6.147</v>
      </c>
      <c r="H874" s="14" t="n">
        <v>1.286</v>
      </c>
      <c r="I874" s="14" t="n">
        <v>0</v>
      </c>
      <c r="J874" s="14" t="n">
        <v>6.147</v>
      </c>
      <c r="K874" s="14" t="n">
        <v>0</v>
      </c>
      <c r="L874" s="14" t="n">
        <v>1</v>
      </c>
      <c r="M874" s="14" t="n">
        <v>7.886</v>
      </c>
      <c r="N874" s="14" t="n">
        <v>3.857</v>
      </c>
      <c r="O874" s="14" t="n">
        <v>0</v>
      </c>
      <c r="P874" s="14" t="n">
        <v>7.886</v>
      </c>
      <c r="Q874" s="14" t="n">
        <v>0</v>
      </c>
      <c r="R874" s="14" t="n">
        <v>1</v>
      </c>
      <c r="S874" s="14" t="n">
        <v>12.575</v>
      </c>
      <c r="T874" s="14" t="n">
        <v>7.714</v>
      </c>
      <c r="U874" s="14" t="n">
        <v>0.223</v>
      </c>
      <c r="V874" s="14" t="n">
        <v>14.587</v>
      </c>
      <c r="W874" s="14" t="n">
        <v>0.16</v>
      </c>
      <c r="X874" s="14" t="n">
        <v>1</v>
      </c>
      <c r="Y874" s="14" t="n">
        <v>11.897</v>
      </c>
      <c r="Z874" s="14" t="n">
        <v>1.941</v>
      </c>
      <c r="AA874" s="14" t="n">
        <v>0</v>
      </c>
      <c r="AB874" s="14" t="n">
        <v>11.897</v>
      </c>
      <c r="AC874" s="14" t="n">
        <v>0</v>
      </c>
      <c r="AD874" s="14" t="n">
        <v>1</v>
      </c>
      <c r="AE874" s="14" t="n">
        <v>13.183</v>
      </c>
      <c r="AF874" s="14" t="n">
        <v>3.613</v>
      </c>
      <c r="AG874" s="14" t="n">
        <v>0</v>
      </c>
      <c r="AH874" s="14" t="n">
        <v>13.183</v>
      </c>
      <c r="AI874" s="14" t="n">
        <v>0</v>
      </c>
      <c r="AJ874" s="14" t="n">
        <v>1</v>
      </c>
      <c r="AK874" s="14" t="n">
        <v>20.897</v>
      </c>
      <c r="AL874" s="14" t="n">
        <v>12.153</v>
      </c>
      <c r="AM874" s="14" t="n">
        <v>0.37</v>
      </c>
      <c r="AN874" s="14" t="n">
        <v>24.24</v>
      </c>
      <c r="AO874" s="14" t="n">
        <v>0.16</v>
      </c>
      <c r="AP874" s="14" t="n">
        <v>1</v>
      </c>
      <c r="AQ874" s="14" t="n">
        <v>0.749</v>
      </c>
      <c r="AR874" s="14" t="n">
        <v>0.129</v>
      </c>
      <c r="AS874" s="14" t="n">
        <v>0.013</v>
      </c>
      <c r="AT874" s="14" t="n">
        <v>0.869</v>
      </c>
      <c r="AU874" s="14" t="n">
        <v>0.16</v>
      </c>
      <c r="AV874" s="14" t="n">
        <v>1</v>
      </c>
      <c r="AW874" s="14" t="n">
        <v>0.783</v>
      </c>
      <c r="AX874" s="14" t="n">
        <v>0.129</v>
      </c>
      <c r="AY874" s="14" t="n">
        <v>0.665</v>
      </c>
      <c r="AZ874" s="14" t="n">
        <v>1.68</v>
      </c>
      <c r="BA874" s="14" t="n">
        <v>0.16</v>
      </c>
      <c r="BB874" s="14" t="n">
        <v>1</v>
      </c>
      <c r="BC874" s="14" t="n">
        <v>0.527</v>
      </c>
      <c r="BD874" s="14" t="n">
        <v>0.129</v>
      </c>
      <c r="BE874" s="14" t="n">
        <v>0.008999999999999999</v>
      </c>
      <c r="BF874" s="14" t="n">
        <v>0.612</v>
      </c>
      <c r="BG874" s="14" t="n">
        <v>0.16</v>
      </c>
      <c r="BH874" s="14" t="n">
        <v>1</v>
      </c>
      <c r="BI874" s="14" t="n">
        <v>0.64</v>
      </c>
      <c r="BJ874" s="14" t="n">
        <v>0.129</v>
      </c>
      <c r="BK874" s="14" t="n">
        <v>0.011</v>
      </c>
      <c r="BL874" s="14" t="n">
        <v>0.742</v>
      </c>
      <c r="BM874" s="14" t="n">
        <v>0.16</v>
      </c>
      <c r="BN874" s="14" t="n">
        <v>1</v>
      </c>
      <c r="BO874" s="14" t="n">
        <v>0</v>
      </c>
      <c r="BP874" s="14" t="n">
        <v>0</v>
      </c>
      <c r="BQ874" s="14" t="n">
        <v>0</v>
      </c>
      <c r="BR874" s="14" t="n">
        <v>0</v>
      </c>
      <c r="BS874" s="14" t="n">
        <v>1</v>
      </c>
      <c r="BT874" s="14" t="n">
        <v>0</v>
      </c>
      <c r="BU874" s="14" t="n">
        <v>0</v>
      </c>
      <c r="BV874" s="14" t="n">
        <v>0</v>
      </c>
      <c r="BW874" s="14" t="n">
        <v>0.16</v>
      </c>
      <c r="BX874" s="14" t="n">
        <v>1</v>
      </c>
      <c r="BY874" s="14" t="n">
        <v>13.254</v>
      </c>
      <c r="BZ874" s="14" t="n">
        <v>0</v>
      </c>
      <c r="CA874" s="14" t="n">
        <v>13.254</v>
      </c>
      <c r="CB874" s="14" t="n">
        <v>0</v>
      </c>
      <c r="CC874" s="14" t="n">
        <v>87.07899999999999</v>
      </c>
      <c r="CD874" s="14" t="n">
        <v>7.95</v>
      </c>
      <c r="CE874" s="14" t="n">
        <v>1.543</v>
      </c>
      <c r="CF874" s="14" t="n">
        <v>101.012</v>
      </c>
      <c r="CG874" s="14" t="n">
        <v>0.16</v>
      </c>
      <c r="CH874" s="14" t="n">
        <v>1</v>
      </c>
      <c r="CI874" s="14" t="n">
        <v>0</v>
      </c>
      <c r="CJ874" s="14" t="n">
        <v>0</v>
      </c>
      <c r="CK874" s="14" t="n">
        <v>0</v>
      </c>
      <c r="CL874" s="14" t="n">
        <v>0</v>
      </c>
      <c r="CM874" s="14" t="n">
        <v>0</v>
      </c>
      <c r="CN874" s="14" t="n">
        <v>0</v>
      </c>
      <c r="CO874" s="14" t="n">
        <v>0</v>
      </c>
      <c r="CP874" s="14" t="n">
        <v>0</v>
      </c>
      <c r="CQ874" s="14" t="n">
        <v>1.348</v>
      </c>
      <c r="CR874" s="14" t="n">
        <v>0</v>
      </c>
      <c r="CS874" s="14" t="n">
        <v>5.37</v>
      </c>
      <c r="CT874" s="14" t="n">
        <v>4.861</v>
      </c>
      <c r="CU874" s="14" t="n">
        <v>10.622</v>
      </c>
    </row>
    <row r="875">
      <c r="A875" s="14" t="inlineStr">
        <is>
          <t>PSE2024</t>
        </is>
      </c>
      <c r="B875" s="14" t="inlineStr">
        <is>
          <t>PSE</t>
        </is>
      </c>
      <c r="C875" s="14" t="inlineStr">
        <is>
          <t>PSE</t>
        </is>
      </c>
      <c r="D875" s="14" t="inlineStr">
        <is>
          <t>West Bank and Gaza</t>
        </is>
      </c>
      <c r="E875" s="14" t="n">
        <v>2024</v>
      </c>
      <c r="F875" s="14" t="n">
        <v>0.16</v>
      </c>
      <c r="G875" s="14" t="n">
        <v>5.575</v>
      </c>
      <c r="H875" s="14" t="n">
        <v>1.324</v>
      </c>
      <c r="I875" s="14" t="n">
        <v>0</v>
      </c>
      <c r="J875" s="14" t="n">
        <v>5.575</v>
      </c>
      <c r="K875" s="14" t="n">
        <v>0</v>
      </c>
      <c r="L875" s="14" t="n">
        <v>1</v>
      </c>
      <c r="M875" s="14" t="n">
        <v>7.124</v>
      </c>
      <c r="N875" s="14" t="n">
        <v>3.971</v>
      </c>
      <c r="O875" s="14" t="n">
        <v>0</v>
      </c>
      <c r="P875" s="14" t="n">
        <v>7.124</v>
      </c>
      <c r="Q875" s="14" t="n">
        <v>0</v>
      </c>
      <c r="R875" s="14" t="n">
        <v>1</v>
      </c>
      <c r="S875" s="14" t="n">
        <v>12.193</v>
      </c>
      <c r="T875" s="14" t="n">
        <v>7.942</v>
      </c>
      <c r="U875" s="14" t="n">
        <v>0.266</v>
      </c>
      <c r="V875" s="14" t="n">
        <v>14.144</v>
      </c>
      <c r="W875" s="14" t="n">
        <v>0.16</v>
      </c>
      <c r="X875" s="14" t="n">
        <v>1</v>
      </c>
      <c r="Y875" s="14" t="n">
        <v>10.483</v>
      </c>
      <c r="Z875" s="14" t="n">
        <v>1.71</v>
      </c>
      <c r="AA875" s="14" t="n">
        <v>0</v>
      </c>
      <c r="AB875" s="14" t="n">
        <v>10.483</v>
      </c>
      <c r="AC875" s="14" t="n">
        <v>0</v>
      </c>
      <c r="AD875" s="14" t="n">
        <v>1</v>
      </c>
      <c r="AE875" s="14" t="n">
        <v>11.807</v>
      </c>
      <c r="AF875" s="14" t="n">
        <v>3.236</v>
      </c>
      <c r="AG875" s="14" t="n">
        <v>0</v>
      </c>
      <c r="AH875" s="14" t="n">
        <v>11.807</v>
      </c>
      <c r="AI875" s="14" t="n">
        <v>0</v>
      </c>
      <c r="AJ875" s="14" t="n">
        <v>1</v>
      </c>
      <c r="AK875" s="14" t="n">
        <v>19.748</v>
      </c>
      <c r="AL875" s="14" t="n">
        <v>11.485</v>
      </c>
      <c r="AM875" s="14" t="n">
        <v>0.43</v>
      </c>
      <c r="AN875" s="14" t="n">
        <v>22.908</v>
      </c>
      <c r="AO875" s="14" t="n">
        <v>0.16</v>
      </c>
      <c r="AP875" s="14" t="n">
        <v>1</v>
      </c>
      <c r="AQ875" s="14" t="n">
        <v>0.72</v>
      </c>
      <c r="AR875" s="14" t="n">
        <v>0.132</v>
      </c>
      <c r="AS875" s="14" t="n">
        <v>0.016</v>
      </c>
      <c r="AT875" s="14" t="n">
        <v>0.835</v>
      </c>
      <c r="AU875" s="14" t="n">
        <v>0.16</v>
      </c>
      <c r="AV875" s="14" t="n">
        <v>1</v>
      </c>
      <c r="AW875" s="14" t="n">
        <v>0.734</v>
      </c>
      <c r="AX875" s="14" t="n">
        <v>0.132</v>
      </c>
      <c r="AY875" s="14" t="n">
        <v>0.72</v>
      </c>
      <c r="AZ875" s="14" t="n">
        <v>1.686</v>
      </c>
      <c r="BA875" s="14" t="n">
        <v>0.16</v>
      </c>
      <c r="BB875" s="14" t="n">
        <v>1</v>
      </c>
      <c r="BC875" s="14" t="n">
        <v>0.51</v>
      </c>
      <c r="BD875" s="14" t="n">
        <v>0.132</v>
      </c>
      <c r="BE875" s="14" t="n">
        <v>0.011</v>
      </c>
      <c r="BF875" s="14" t="n">
        <v>0.592</v>
      </c>
      <c r="BG875" s="14" t="n">
        <v>0.16</v>
      </c>
      <c r="BH875" s="14" t="n">
        <v>1</v>
      </c>
      <c r="BI875" s="14" t="n">
        <v>0.652</v>
      </c>
      <c r="BJ875" s="14" t="n">
        <v>0.132</v>
      </c>
      <c r="BK875" s="14" t="n">
        <v>0.014</v>
      </c>
      <c r="BL875" s="14" t="n">
        <v>0.757</v>
      </c>
      <c r="BM875" s="14" t="n">
        <v>0.16</v>
      </c>
      <c r="BN875" s="14" t="n">
        <v>1</v>
      </c>
      <c r="BO875" s="14" t="n">
        <v>0</v>
      </c>
      <c r="BP875" s="14" t="n">
        <v>0</v>
      </c>
      <c r="BQ875" s="14" t="n">
        <v>0</v>
      </c>
      <c r="BR875" s="14" t="n">
        <v>0</v>
      </c>
      <c r="BS875" s="14" t="n">
        <v>1</v>
      </c>
      <c r="BT875" s="14" t="n">
        <v>0</v>
      </c>
      <c r="BU875" s="14" t="n">
        <v>0</v>
      </c>
      <c r="BV875" s="14" t="n">
        <v>0</v>
      </c>
      <c r="BW875" s="14" t="n">
        <v>0.16</v>
      </c>
      <c r="BX875" s="14" t="n">
        <v>1</v>
      </c>
      <c r="BY875" s="14" t="n">
        <v>13.646</v>
      </c>
      <c r="BZ875" s="14" t="n">
        <v>0</v>
      </c>
      <c r="CA875" s="14" t="n">
        <v>13.646</v>
      </c>
      <c r="CB875" s="14" t="n">
        <v>0</v>
      </c>
      <c r="CC875" s="14" t="n">
        <v>86.38500000000001</v>
      </c>
      <c r="CD875" s="14" t="n">
        <v>7.95</v>
      </c>
      <c r="CE875" s="14" t="n">
        <v>1.883</v>
      </c>
      <c r="CF875" s="14" t="n">
        <v>100.207</v>
      </c>
      <c r="CG875" s="14" t="n">
        <v>0.16</v>
      </c>
      <c r="CH875" s="14" t="n">
        <v>1</v>
      </c>
      <c r="CI875" s="14" t="n">
        <v>0</v>
      </c>
      <c r="CJ875" s="14" t="n">
        <v>0</v>
      </c>
      <c r="CK875" s="14" t="n">
        <v>0</v>
      </c>
      <c r="CL875" s="14" t="n">
        <v>0</v>
      </c>
      <c r="CM875" s="14" t="n">
        <v>0</v>
      </c>
      <c r="CN875" s="14" t="n">
        <v>0</v>
      </c>
      <c r="CO875" s="14" t="n">
        <v>0</v>
      </c>
      <c r="CP875" s="14" t="n">
        <v>0</v>
      </c>
      <c r="CQ875" s="14" t="n">
        <v>1.387</v>
      </c>
      <c r="CR875" s="14" t="n">
        <v>0</v>
      </c>
      <c r="CS875" s="14" t="n">
        <v>5.529</v>
      </c>
      <c r="CT875" s="14" t="n">
        <v>4.251</v>
      </c>
      <c r="CU875" s="14" t="n">
        <v>9.167999999999999</v>
      </c>
    </row>
    <row r="876">
      <c r="A876" s="14" t="inlineStr">
        <is>
          <t>YEM2021</t>
        </is>
      </c>
      <c r="B876" s="14" t="inlineStr">
        <is>
          <t>YEM</t>
        </is>
      </c>
      <c r="C876" s="14" t="inlineStr">
        <is>
          <t>YEM</t>
        </is>
      </c>
      <c r="D876" s="14" t="inlineStr">
        <is>
          <t>Yemen</t>
        </is>
      </c>
      <c r="E876" s="14" t="n">
        <v>2021</v>
      </c>
      <c r="F876" s="14" t="n">
        <v>0.05</v>
      </c>
      <c r="G876" s="14" t="n">
        <v>5.897</v>
      </c>
      <c r="H876" s="14" t="n">
        <v>1.143</v>
      </c>
      <c r="I876" s="14" t="n">
        <v>0</v>
      </c>
      <c r="J876" s="14" t="n">
        <v>5.897</v>
      </c>
      <c r="K876" s="14" t="n">
        <v>0</v>
      </c>
      <c r="L876" s="14" t="n">
        <v>1</v>
      </c>
      <c r="M876" s="14" t="n">
        <v>7.964</v>
      </c>
      <c r="N876" s="14" t="n">
        <v>3.43</v>
      </c>
      <c r="O876" s="14" t="n">
        <v>0</v>
      </c>
      <c r="P876" s="14" t="n">
        <v>7.964</v>
      </c>
      <c r="Q876" s="14" t="n">
        <v>0</v>
      </c>
      <c r="R876" s="14" t="n">
        <v>1</v>
      </c>
      <c r="S876" s="14" t="n">
        <v>11.613</v>
      </c>
      <c r="T876" s="14" t="n">
        <v>6.86</v>
      </c>
      <c r="U876" s="14" t="n">
        <v>0</v>
      </c>
      <c r="V876" s="14" t="n">
        <v>12.194</v>
      </c>
      <c r="W876" s="14" t="n">
        <v>0.05</v>
      </c>
      <c r="X876" s="14" t="n">
        <v>1</v>
      </c>
      <c r="Y876" s="14" t="n">
        <v>5.456</v>
      </c>
      <c r="Z876" s="14" t="n">
        <v>0.599</v>
      </c>
      <c r="AA876" s="14" t="n">
        <v>0</v>
      </c>
      <c r="AB876" s="14" t="n">
        <v>5.456</v>
      </c>
      <c r="AC876" s="14" t="n">
        <v>0</v>
      </c>
      <c r="AD876" s="14" t="n">
        <v>1</v>
      </c>
      <c r="AE876" s="14" t="n">
        <v>6.028</v>
      </c>
      <c r="AF876" s="14" t="n">
        <v>1.172</v>
      </c>
      <c r="AG876" s="14" t="n">
        <v>0</v>
      </c>
      <c r="AH876" s="14" t="n">
        <v>6.028</v>
      </c>
      <c r="AI876" s="14" t="n">
        <v>0</v>
      </c>
      <c r="AJ876" s="14" t="n">
        <v>1</v>
      </c>
      <c r="AK876" s="14" t="n">
        <v>9.458</v>
      </c>
      <c r="AL876" s="14" t="n">
        <v>4.461</v>
      </c>
      <c r="AM876" s="14" t="n">
        <v>0</v>
      </c>
      <c r="AN876" s="14" t="n">
        <v>9.93</v>
      </c>
      <c r="AO876" s="14" t="n">
        <v>0.05</v>
      </c>
      <c r="AP876" s="14" t="n">
        <v>1</v>
      </c>
      <c r="AQ876" s="14" t="n">
        <v>0.621</v>
      </c>
      <c r="AR876" s="14" t="n">
        <v>0.114</v>
      </c>
      <c r="AS876" s="14" t="n">
        <v>0.25</v>
      </c>
      <c r="AT876" s="14" t="n">
        <v>0.914</v>
      </c>
      <c r="AU876" s="14" t="n">
        <v>0.05</v>
      </c>
      <c r="AV876" s="14" t="n">
        <v>1</v>
      </c>
      <c r="AW876" s="14" t="n">
        <v>0.593</v>
      </c>
      <c r="AX876" s="14" t="n">
        <v>0.114</v>
      </c>
      <c r="AY876" s="14" t="n">
        <v>0.179</v>
      </c>
      <c r="AZ876" s="14" t="n">
        <v>0.8110000000000001</v>
      </c>
      <c r="BA876" s="14" t="n">
        <v>0.05</v>
      </c>
      <c r="BB876" s="14" t="n">
        <v>1</v>
      </c>
      <c r="BC876" s="14" t="n">
        <v>0.44</v>
      </c>
      <c r="BD876" s="14" t="n">
        <v>0.114</v>
      </c>
      <c r="BE876" s="14" t="n">
        <v>0</v>
      </c>
      <c r="BF876" s="14" t="n">
        <v>0.462</v>
      </c>
      <c r="BG876" s="14" t="n">
        <v>0.05</v>
      </c>
      <c r="BH876" s="14" t="n">
        <v>1</v>
      </c>
      <c r="BI876" s="14" t="n">
        <v>0.5600000000000001</v>
      </c>
      <c r="BJ876" s="14" t="n">
        <v>0.114</v>
      </c>
      <c r="BK876" s="14" t="n">
        <v>0</v>
      </c>
      <c r="BL876" s="14" t="n">
        <v>0.588</v>
      </c>
      <c r="BM876" s="14" t="n">
        <v>0.05</v>
      </c>
      <c r="BN876" s="14" t="n">
        <v>1</v>
      </c>
      <c r="BO876" s="14" t="n">
        <v>0</v>
      </c>
      <c r="BP876" s="14" t="n">
        <v>0</v>
      </c>
      <c r="BQ876" s="14" t="n">
        <v>0</v>
      </c>
      <c r="BR876" s="14" t="n">
        <v>0</v>
      </c>
      <c r="BS876" s="14" t="n">
        <v>1</v>
      </c>
      <c r="BT876" s="14" t="n">
        <v>0</v>
      </c>
      <c r="BU876" s="14" t="n">
        <v>0</v>
      </c>
      <c r="BV876" s="14" t="n">
        <v>0</v>
      </c>
      <c r="BW876" s="14" t="n">
        <v>0.05</v>
      </c>
      <c r="BX876" s="14" t="n">
        <v>1</v>
      </c>
      <c r="BY876" s="14" t="n">
        <v>11.787</v>
      </c>
      <c r="BZ876" s="14" t="n">
        <v>0</v>
      </c>
      <c r="CA876" s="14" t="n">
        <v>11.787</v>
      </c>
      <c r="CB876" s="14" t="n">
        <v>0</v>
      </c>
      <c r="CC876" s="14" t="n">
        <v>81.69499999999999</v>
      </c>
      <c r="CD876" s="14" t="n">
        <v>7.95</v>
      </c>
      <c r="CE876" s="14" t="n">
        <v>0</v>
      </c>
      <c r="CF876" s="14" t="n">
        <v>85.78</v>
      </c>
      <c r="CG876" s="14" t="n">
        <v>0.05</v>
      </c>
      <c r="CH876" s="14" t="n">
        <v>1</v>
      </c>
      <c r="CI876" s="14" t="n">
        <v>0</v>
      </c>
      <c r="CJ876" s="14" t="n">
        <v>0</v>
      </c>
      <c r="CK876" s="14" t="n">
        <v>0</v>
      </c>
      <c r="CL876" s="14" t="n">
        <v>0</v>
      </c>
      <c r="CM876" s="14" t="n">
        <v>0</v>
      </c>
      <c r="CN876" s="14" t="n">
        <v>0</v>
      </c>
      <c r="CO876" s="14" t="n">
        <v>0</v>
      </c>
      <c r="CP876" s="14" t="n">
        <v>0</v>
      </c>
      <c r="CQ876" s="14" t="n">
        <v>1.198</v>
      </c>
      <c r="CR876" s="14" t="n">
        <v>1</v>
      </c>
      <c r="CS876" s="14" t="n">
        <v>4.884</v>
      </c>
      <c r="CT876" s="14" t="n">
        <v>4.753</v>
      </c>
      <c r="CU876" s="14" t="n">
        <v>14.129</v>
      </c>
    </row>
    <row r="877">
      <c r="A877" s="14" t="inlineStr">
        <is>
          <t>YEM2022</t>
        </is>
      </c>
      <c r="B877" s="14" t="inlineStr">
        <is>
          <t>YEM</t>
        </is>
      </c>
      <c r="C877" s="14" t="inlineStr">
        <is>
          <t>YEM</t>
        </is>
      </c>
      <c r="D877" s="14" t="inlineStr">
        <is>
          <t>Yemen</t>
        </is>
      </c>
      <c r="E877" s="14" t="n">
        <v>2022</v>
      </c>
      <c r="F877" s="14" t="n">
        <v>0.05</v>
      </c>
      <c r="G877" s="14" t="n">
        <v>11.72</v>
      </c>
      <c r="H877" s="14" t="n">
        <v>1.235</v>
      </c>
      <c r="I877" s="14" t="n">
        <v>0</v>
      </c>
      <c r="J877" s="14" t="n">
        <v>11.72</v>
      </c>
      <c r="K877" s="14" t="n">
        <v>0</v>
      </c>
      <c r="L877" s="14" t="n">
        <v>1</v>
      </c>
      <c r="M877" s="14" t="n">
        <v>9.782999999999999</v>
      </c>
      <c r="N877" s="14" t="n">
        <v>3.704</v>
      </c>
      <c r="O877" s="14" t="n">
        <v>0</v>
      </c>
      <c r="P877" s="14" t="n">
        <v>9.782999999999999</v>
      </c>
      <c r="Q877" s="14" t="n">
        <v>0</v>
      </c>
      <c r="R877" s="14" t="n">
        <v>1</v>
      </c>
      <c r="S877" s="14" t="n">
        <v>17.893</v>
      </c>
      <c r="T877" s="14" t="n">
        <v>7.408</v>
      </c>
      <c r="U877" s="14" t="n">
        <v>0.066</v>
      </c>
      <c r="V877" s="14" t="n">
        <v>18.788</v>
      </c>
      <c r="W877" s="14" t="n">
        <v>0.05</v>
      </c>
      <c r="X877" s="14" t="n">
        <v>1</v>
      </c>
      <c r="Y877" s="14" t="n">
        <v>5.892</v>
      </c>
      <c r="Z877" s="14" t="n">
        <v>0.647</v>
      </c>
      <c r="AA877" s="14" t="n">
        <v>0</v>
      </c>
      <c r="AB877" s="14" t="n">
        <v>5.892</v>
      </c>
      <c r="AC877" s="14" t="n">
        <v>0</v>
      </c>
      <c r="AD877" s="14" t="n">
        <v>1</v>
      </c>
      <c r="AE877" s="14" t="n">
        <v>6.509</v>
      </c>
      <c r="AF877" s="14" t="n">
        <v>1.266</v>
      </c>
      <c r="AG877" s="14" t="n">
        <v>0</v>
      </c>
      <c r="AH877" s="14" t="n">
        <v>6.509</v>
      </c>
      <c r="AI877" s="14" t="n">
        <v>0</v>
      </c>
      <c r="AJ877" s="14" t="n">
        <v>1</v>
      </c>
      <c r="AK877" s="14" t="n">
        <v>10.213</v>
      </c>
      <c r="AL877" s="14" t="n">
        <v>4.818</v>
      </c>
      <c r="AM877" s="14" t="n">
        <v>0.038</v>
      </c>
      <c r="AN877" s="14" t="n">
        <v>10.724</v>
      </c>
      <c r="AO877" s="14" t="n">
        <v>0.05</v>
      </c>
      <c r="AP877" s="14" t="n">
        <v>1</v>
      </c>
      <c r="AQ877" s="14" t="n">
        <v>0.847</v>
      </c>
      <c r="AR877" s="14" t="n">
        <v>0.123</v>
      </c>
      <c r="AS877" s="14" t="n">
        <v>0.266</v>
      </c>
      <c r="AT877" s="14" t="n">
        <v>1.164</v>
      </c>
      <c r="AU877" s="14" t="n">
        <v>0.05</v>
      </c>
      <c r="AV877" s="14" t="n">
        <v>1</v>
      </c>
      <c r="AW877" s="14" t="n">
        <v>0.947</v>
      </c>
      <c r="AX877" s="14" t="n">
        <v>0.123</v>
      </c>
      <c r="AY877" s="14" t="n">
        <v>0.183</v>
      </c>
      <c r="AZ877" s="14" t="n">
        <v>1.182</v>
      </c>
      <c r="BA877" s="14" t="n">
        <v>0.05</v>
      </c>
      <c r="BB877" s="14" t="n">
        <v>1</v>
      </c>
      <c r="BC877" s="14" t="n">
        <v>0.589</v>
      </c>
      <c r="BD877" s="14" t="n">
        <v>0.123</v>
      </c>
      <c r="BE877" s="14" t="n">
        <v>0.002</v>
      </c>
      <c r="BF877" s="14" t="n">
        <v>0.618</v>
      </c>
      <c r="BG877" s="14" t="n">
        <v>0.05</v>
      </c>
      <c r="BH877" s="14" t="n">
        <v>1</v>
      </c>
      <c r="BI877" s="14" t="n">
        <v>0.6889999999999999</v>
      </c>
      <c r="BJ877" s="14" t="n">
        <v>0.123</v>
      </c>
      <c r="BK877" s="14" t="n">
        <v>0.003</v>
      </c>
      <c r="BL877" s="14" t="n">
        <v>0.723</v>
      </c>
      <c r="BM877" s="14" t="n">
        <v>0.05</v>
      </c>
      <c r="BN877" s="14" t="n">
        <v>1</v>
      </c>
      <c r="BO877" s="14" t="n">
        <v>0</v>
      </c>
      <c r="BP877" s="14" t="n">
        <v>0</v>
      </c>
      <c r="BQ877" s="14" t="n">
        <v>0</v>
      </c>
      <c r="BR877" s="14" t="n">
        <v>0</v>
      </c>
      <c r="BS877" s="14" t="n">
        <v>1</v>
      </c>
      <c r="BT877" s="14" t="n">
        <v>0</v>
      </c>
      <c r="BU877" s="14" t="n">
        <v>0</v>
      </c>
      <c r="BV877" s="14" t="n">
        <v>0</v>
      </c>
      <c r="BW877" s="14" t="n">
        <v>0.05</v>
      </c>
      <c r="BX877" s="14" t="n">
        <v>1</v>
      </c>
      <c r="BY877" s="14" t="n">
        <v>12.729</v>
      </c>
      <c r="BZ877" s="14" t="n">
        <v>0</v>
      </c>
      <c r="CA877" s="14" t="n">
        <v>12.729</v>
      </c>
      <c r="CB877" s="14" t="n">
        <v>0</v>
      </c>
      <c r="CC877" s="14" t="n">
        <v>102.477</v>
      </c>
      <c r="CD877" s="14" t="n">
        <v>7.95</v>
      </c>
      <c r="CE877" s="14" t="n">
        <v>0.379</v>
      </c>
      <c r="CF877" s="14" t="n">
        <v>107.6</v>
      </c>
      <c r="CG877" s="14" t="n">
        <v>0.05</v>
      </c>
      <c r="CH877" s="14" t="n">
        <v>1</v>
      </c>
      <c r="CI877" s="14" t="n">
        <v>0</v>
      </c>
      <c r="CJ877" s="14" t="n">
        <v>0</v>
      </c>
      <c r="CK877" s="14" t="n">
        <v>0</v>
      </c>
      <c r="CL877" s="14" t="n">
        <v>0</v>
      </c>
      <c r="CM877" s="14" t="n">
        <v>0</v>
      </c>
      <c r="CN877" s="14" t="n">
        <v>0</v>
      </c>
      <c r="CO877" s="14" t="n">
        <v>0</v>
      </c>
      <c r="CP877" s="14" t="n">
        <v>0</v>
      </c>
      <c r="CQ877" s="14" t="n">
        <v>1.294</v>
      </c>
      <c r="CR877" s="14" t="n">
        <v>1</v>
      </c>
      <c r="CS877" s="14" t="n">
        <v>5.275</v>
      </c>
      <c r="CT877" s="14" t="n">
        <v>10.485</v>
      </c>
      <c r="CU877" s="14" t="n">
        <v>28.059</v>
      </c>
    </row>
    <row r="878">
      <c r="A878" s="14" t="inlineStr">
        <is>
          <t>YEM2023</t>
        </is>
      </c>
      <c r="B878" s="14" t="inlineStr">
        <is>
          <t>YEM</t>
        </is>
      </c>
      <c r="C878" s="14" t="inlineStr">
        <is>
          <t>YEM</t>
        </is>
      </c>
      <c r="D878" s="14" t="inlineStr">
        <is>
          <t>Yemen</t>
        </is>
      </c>
      <c r="E878" s="14" t="n">
        <v>2023</v>
      </c>
      <c r="F878" s="14" t="n">
        <v>0.05</v>
      </c>
      <c r="G878" s="14" t="n">
        <v>6.147</v>
      </c>
      <c r="H878" s="14" t="n">
        <v>1.286</v>
      </c>
      <c r="I878" s="14" t="n">
        <v>0</v>
      </c>
      <c r="J878" s="14" t="n">
        <v>6.147</v>
      </c>
      <c r="K878" s="14" t="n">
        <v>0</v>
      </c>
      <c r="L878" s="14" t="n">
        <v>1</v>
      </c>
      <c r="M878" s="14" t="n">
        <v>7.886</v>
      </c>
      <c r="N878" s="14" t="n">
        <v>3.857</v>
      </c>
      <c r="O878" s="14" t="n">
        <v>0</v>
      </c>
      <c r="P878" s="14" t="n">
        <v>7.886</v>
      </c>
      <c r="Q878" s="14" t="n">
        <v>0</v>
      </c>
      <c r="R878" s="14" t="n">
        <v>1</v>
      </c>
      <c r="S878" s="14" t="n">
        <v>12.575</v>
      </c>
      <c r="T878" s="14" t="n">
        <v>7.714</v>
      </c>
      <c r="U878" s="14" t="n">
        <v>0.07000000000000001</v>
      </c>
      <c r="V878" s="14" t="n">
        <v>13.204</v>
      </c>
      <c r="W878" s="14" t="n">
        <v>0.05</v>
      </c>
      <c r="X878" s="14" t="n">
        <v>1</v>
      </c>
      <c r="Y878" s="14" t="n">
        <v>6.135</v>
      </c>
      <c r="Z878" s="14" t="n">
        <v>0.673</v>
      </c>
      <c r="AA878" s="14" t="n">
        <v>0</v>
      </c>
      <c r="AB878" s="14" t="n">
        <v>6.135</v>
      </c>
      <c r="AC878" s="14" t="n">
        <v>0</v>
      </c>
      <c r="AD878" s="14" t="n">
        <v>1</v>
      </c>
      <c r="AE878" s="14" t="n">
        <v>6.778</v>
      </c>
      <c r="AF878" s="14" t="n">
        <v>1.318</v>
      </c>
      <c r="AG878" s="14" t="n">
        <v>0</v>
      </c>
      <c r="AH878" s="14" t="n">
        <v>6.778</v>
      </c>
      <c r="AI878" s="14" t="n">
        <v>0</v>
      </c>
      <c r="AJ878" s="14" t="n">
        <v>1</v>
      </c>
      <c r="AK878" s="14" t="n">
        <v>10.635</v>
      </c>
      <c r="AL878" s="14" t="n">
        <v>5.017</v>
      </c>
      <c r="AM878" s="14" t="n">
        <v>0.059</v>
      </c>
      <c r="AN878" s="14" t="n">
        <v>11.167</v>
      </c>
      <c r="AO878" s="14" t="n">
        <v>0.05</v>
      </c>
      <c r="AP878" s="14" t="n">
        <v>1</v>
      </c>
      <c r="AQ878" s="14" t="n">
        <v>0.749</v>
      </c>
      <c r="AR878" s="14" t="n">
        <v>0.129</v>
      </c>
      <c r="AS878" s="14" t="n">
        <v>0.285</v>
      </c>
      <c r="AT878" s="14" t="n">
        <v>1.079</v>
      </c>
      <c r="AU878" s="14" t="n">
        <v>0.05</v>
      </c>
      <c r="AV878" s="14" t="n">
        <v>1</v>
      </c>
      <c r="AW878" s="14" t="n">
        <v>0.783</v>
      </c>
      <c r="AX878" s="14" t="n">
        <v>0.129</v>
      </c>
      <c r="AY878" s="14" t="n">
        <v>0.202</v>
      </c>
      <c r="AZ878" s="14" t="n">
        <v>1.028</v>
      </c>
      <c r="BA878" s="14" t="n">
        <v>0.05</v>
      </c>
      <c r="BB878" s="14" t="n">
        <v>1</v>
      </c>
      <c r="BC878" s="14" t="n">
        <v>0.527</v>
      </c>
      <c r="BD878" s="14" t="n">
        <v>0.129</v>
      </c>
      <c r="BE878" s="14" t="n">
        <v>0.003</v>
      </c>
      <c r="BF878" s="14" t="n">
        <v>0.554</v>
      </c>
      <c r="BG878" s="14" t="n">
        <v>0.05</v>
      </c>
      <c r="BH878" s="14" t="n">
        <v>1</v>
      </c>
      <c r="BI878" s="14" t="n">
        <v>0.64</v>
      </c>
      <c r="BJ878" s="14" t="n">
        <v>0.129</v>
      </c>
      <c r="BK878" s="14" t="n">
        <v>0.004</v>
      </c>
      <c r="BL878" s="14" t="n">
        <v>0.672</v>
      </c>
      <c r="BM878" s="14" t="n">
        <v>0.05</v>
      </c>
      <c r="BN878" s="14" t="n">
        <v>1</v>
      </c>
      <c r="BO878" s="14" t="n">
        <v>0</v>
      </c>
      <c r="BP878" s="14" t="n">
        <v>0</v>
      </c>
      <c r="BQ878" s="14" t="n">
        <v>0</v>
      </c>
      <c r="BR878" s="14" t="n">
        <v>0</v>
      </c>
      <c r="BS878" s="14" t="n">
        <v>1</v>
      </c>
      <c r="BT878" s="14" t="n">
        <v>0</v>
      </c>
      <c r="BU878" s="14" t="n">
        <v>0</v>
      </c>
      <c r="BV878" s="14" t="n">
        <v>0</v>
      </c>
      <c r="BW878" s="14" t="n">
        <v>0.05</v>
      </c>
      <c r="BX878" s="14" t="n">
        <v>1</v>
      </c>
      <c r="BY878" s="14" t="n">
        <v>13.254</v>
      </c>
      <c r="BZ878" s="14" t="n">
        <v>0</v>
      </c>
      <c r="CA878" s="14" t="n">
        <v>13.254</v>
      </c>
      <c r="CB878" s="14" t="n">
        <v>0</v>
      </c>
      <c r="CC878" s="14" t="n">
        <v>87.07899999999999</v>
      </c>
      <c r="CD878" s="14" t="n">
        <v>7.95</v>
      </c>
      <c r="CE878" s="14" t="n">
        <v>0.482</v>
      </c>
      <c r="CF878" s="14" t="n">
        <v>91.43300000000001</v>
      </c>
      <c r="CG878" s="14" t="n">
        <v>0.05</v>
      </c>
      <c r="CH878" s="14" t="n">
        <v>1</v>
      </c>
      <c r="CI878" s="14" t="n">
        <v>0</v>
      </c>
      <c r="CJ878" s="14" t="n">
        <v>0</v>
      </c>
      <c r="CK878" s="14" t="n">
        <v>0</v>
      </c>
      <c r="CL878" s="14" t="n">
        <v>0</v>
      </c>
      <c r="CM878" s="14" t="n">
        <v>0</v>
      </c>
      <c r="CN878" s="14" t="n">
        <v>0</v>
      </c>
      <c r="CO878" s="14" t="n">
        <v>0</v>
      </c>
      <c r="CP878" s="14" t="n">
        <v>0</v>
      </c>
      <c r="CQ878" s="14" t="n">
        <v>1.348</v>
      </c>
      <c r="CR878" s="14" t="n">
        <v>1</v>
      </c>
      <c r="CS878" s="14" t="n">
        <v>5.492</v>
      </c>
      <c r="CT878" s="14" t="n">
        <v>4.861</v>
      </c>
      <c r="CU878" s="14" t="n">
        <v>9.260999999999999</v>
      </c>
    </row>
    <row r="879">
      <c r="A879" s="14" t="inlineStr">
        <is>
          <t>YEM2024</t>
        </is>
      </c>
      <c r="B879" s="14" t="inlineStr">
        <is>
          <t>YEM</t>
        </is>
      </c>
      <c r="C879" s="14" t="inlineStr">
        <is>
          <t>YEM</t>
        </is>
      </c>
      <c r="D879" s="14" t="inlineStr">
        <is>
          <t>Yemen</t>
        </is>
      </c>
      <c r="E879" s="14" t="n">
        <v>2024</v>
      </c>
      <c r="F879" s="14" t="n">
        <v>0.05</v>
      </c>
      <c r="G879" s="14" t="n">
        <v>5.575</v>
      </c>
      <c r="H879" s="14" t="n">
        <v>1.324</v>
      </c>
      <c r="I879" s="14" t="n">
        <v>0</v>
      </c>
      <c r="J879" s="14" t="n">
        <v>5.575</v>
      </c>
      <c r="K879" s="14" t="n">
        <v>0</v>
      </c>
      <c r="L879" s="14" t="n">
        <v>1</v>
      </c>
      <c r="M879" s="14" t="n">
        <v>7.124</v>
      </c>
      <c r="N879" s="14" t="n">
        <v>3.971</v>
      </c>
      <c r="O879" s="14" t="n">
        <v>0</v>
      </c>
      <c r="P879" s="14" t="n">
        <v>7.124</v>
      </c>
      <c r="Q879" s="14" t="n">
        <v>0</v>
      </c>
      <c r="R879" s="14" t="n">
        <v>1</v>
      </c>
      <c r="S879" s="14" t="n">
        <v>12.193</v>
      </c>
      <c r="T879" s="14" t="n">
        <v>7.942</v>
      </c>
      <c r="U879" s="14" t="n">
        <v>0.083</v>
      </c>
      <c r="V879" s="14" t="n">
        <v>12.802</v>
      </c>
      <c r="W879" s="14" t="n">
        <v>0.05</v>
      </c>
      <c r="X879" s="14" t="n">
        <v>1</v>
      </c>
      <c r="Y879" s="14" t="n">
        <v>6.316</v>
      </c>
      <c r="Z879" s="14" t="n">
        <v>0.6929999999999999</v>
      </c>
      <c r="AA879" s="14" t="n">
        <v>0</v>
      </c>
      <c r="AB879" s="14" t="n">
        <v>6.316</v>
      </c>
      <c r="AC879" s="14" t="n">
        <v>0</v>
      </c>
      <c r="AD879" s="14" t="n">
        <v>1</v>
      </c>
      <c r="AE879" s="14" t="n">
        <v>6.978</v>
      </c>
      <c r="AF879" s="14" t="n">
        <v>1.357</v>
      </c>
      <c r="AG879" s="14" t="n">
        <v>0</v>
      </c>
      <c r="AH879" s="14" t="n">
        <v>6.978</v>
      </c>
      <c r="AI879" s="14" t="n">
        <v>0</v>
      </c>
      <c r="AJ879" s="14" t="n">
        <v>1</v>
      </c>
      <c r="AK879" s="14" t="n">
        <v>10.949</v>
      </c>
      <c r="AL879" s="14" t="n">
        <v>5.165</v>
      </c>
      <c r="AM879" s="14" t="n">
        <v>0.075</v>
      </c>
      <c r="AN879" s="14" t="n">
        <v>11.496</v>
      </c>
      <c r="AO879" s="14" t="n">
        <v>0.05</v>
      </c>
      <c r="AP879" s="14" t="n">
        <v>1</v>
      </c>
      <c r="AQ879" s="14" t="n">
        <v>0.72</v>
      </c>
      <c r="AR879" s="14" t="n">
        <v>0.132</v>
      </c>
      <c r="AS879" s="14" t="n">
        <v>0.297</v>
      </c>
      <c r="AT879" s="14" t="n">
        <v>1.06</v>
      </c>
      <c r="AU879" s="14" t="n">
        <v>0.05</v>
      </c>
      <c r="AV879" s="14" t="n">
        <v>1</v>
      </c>
      <c r="AW879" s="14" t="n">
        <v>0.734</v>
      </c>
      <c r="AX879" s="14" t="n">
        <v>0.132</v>
      </c>
      <c r="AY879" s="14" t="n">
        <v>0.212</v>
      </c>
      <c r="AZ879" s="14" t="n">
        <v>0.986</v>
      </c>
      <c r="BA879" s="14" t="n">
        <v>0.05</v>
      </c>
      <c r="BB879" s="14" t="n">
        <v>1</v>
      </c>
      <c r="BC879" s="14" t="n">
        <v>0.51</v>
      </c>
      <c r="BD879" s="14" t="n">
        <v>0.132</v>
      </c>
      <c r="BE879" s="14" t="n">
        <v>0.003</v>
      </c>
      <c r="BF879" s="14" t="n">
        <v>0.536</v>
      </c>
      <c r="BG879" s="14" t="n">
        <v>0.05</v>
      </c>
      <c r="BH879" s="14" t="n">
        <v>1</v>
      </c>
      <c r="BI879" s="14" t="n">
        <v>0.652</v>
      </c>
      <c r="BJ879" s="14" t="n">
        <v>0.132</v>
      </c>
      <c r="BK879" s="14" t="n">
        <v>0.004</v>
      </c>
      <c r="BL879" s="14" t="n">
        <v>0.6850000000000001</v>
      </c>
      <c r="BM879" s="14" t="n">
        <v>0.05</v>
      </c>
      <c r="BN879" s="14" t="n">
        <v>1</v>
      </c>
      <c r="BO879" s="14" t="n">
        <v>0</v>
      </c>
      <c r="BP879" s="14" t="n">
        <v>0</v>
      </c>
      <c r="BQ879" s="14" t="n">
        <v>0</v>
      </c>
      <c r="BR879" s="14" t="n">
        <v>0</v>
      </c>
      <c r="BS879" s="14" t="n">
        <v>1</v>
      </c>
      <c r="BT879" s="14" t="n">
        <v>0</v>
      </c>
      <c r="BU879" s="14" t="n">
        <v>0</v>
      </c>
      <c r="BV879" s="14" t="n">
        <v>0</v>
      </c>
      <c r="BW879" s="14" t="n">
        <v>0.05</v>
      </c>
      <c r="BX879" s="14" t="n">
        <v>1</v>
      </c>
      <c r="BY879" s="14" t="n">
        <v>13.646</v>
      </c>
      <c r="BZ879" s="14" t="n">
        <v>0</v>
      </c>
      <c r="CA879" s="14" t="n">
        <v>13.646</v>
      </c>
      <c r="CB879" s="14" t="n">
        <v>0</v>
      </c>
      <c r="CC879" s="14" t="n">
        <v>86.38500000000001</v>
      </c>
      <c r="CD879" s="14" t="n">
        <v>7.95</v>
      </c>
      <c r="CE879" s="14" t="n">
        <v>0.588</v>
      </c>
      <c r="CF879" s="14" t="n">
        <v>90.705</v>
      </c>
      <c r="CG879" s="14" t="n">
        <v>0.05</v>
      </c>
      <c r="CH879" s="14" t="n">
        <v>1</v>
      </c>
      <c r="CI879" s="14" t="n">
        <v>0</v>
      </c>
      <c r="CJ879" s="14" t="n">
        <v>0</v>
      </c>
      <c r="CK879" s="14" t="n">
        <v>0</v>
      </c>
      <c r="CL879" s="14" t="n">
        <v>0</v>
      </c>
      <c r="CM879" s="14" t="n">
        <v>0</v>
      </c>
      <c r="CN879" s="14" t="n">
        <v>0</v>
      </c>
      <c r="CO879" s="14" t="n">
        <v>0</v>
      </c>
      <c r="CP879" s="14" t="n">
        <v>0</v>
      </c>
      <c r="CQ879" s="14" t="n">
        <v>1.387</v>
      </c>
      <c r="CR879" s="14" t="n">
        <v>1</v>
      </c>
      <c r="CS879" s="14" t="n">
        <v>5.654</v>
      </c>
      <c r="CT879" s="14" t="n">
        <v>4.251</v>
      </c>
      <c r="CU879" s="14" t="n">
        <v>7.598</v>
      </c>
    </row>
    <row r="880">
      <c r="A880" s="14" t="inlineStr">
        <is>
          <t>ZMB2021</t>
        </is>
      </c>
      <c r="B880" s="14" t="inlineStr">
        <is>
          <t>ZMB</t>
        </is>
      </c>
      <c r="C880" s="14" t="inlineStr">
        <is>
          <t>ZMB</t>
        </is>
      </c>
      <c r="D880" s="14" t="inlineStr">
        <is>
          <t>Zambia</t>
        </is>
      </c>
      <c r="E880" s="14" t="n">
        <v>2021</v>
      </c>
      <c r="F880" s="14" t="n">
        <v>0.16</v>
      </c>
      <c r="G880" s="14" t="n">
        <v>2.093</v>
      </c>
      <c r="H880" s="14" t="n">
        <v>0.616</v>
      </c>
      <c r="I880" s="14" t="n">
        <v>0.169</v>
      </c>
      <c r="J880" s="14" t="n">
        <v>2.261</v>
      </c>
      <c r="K880" s="14" t="n">
        <v>0</v>
      </c>
      <c r="L880" s="14" t="n">
        <v>1</v>
      </c>
      <c r="M880" s="14" t="n">
        <v>3.308</v>
      </c>
      <c r="N880" s="14" t="n">
        <v>1.849</v>
      </c>
      <c r="O880" s="14" t="n">
        <v>0.166</v>
      </c>
      <c r="P880" s="14" t="n">
        <v>3.474</v>
      </c>
      <c r="Q880" s="14" t="n">
        <v>0</v>
      </c>
      <c r="R880" s="14" t="n">
        <v>1</v>
      </c>
      <c r="S880" s="14" t="n">
        <v>5.174</v>
      </c>
      <c r="T880" s="14" t="n">
        <v>3.698</v>
      </c>
      <c r="U880" s="14" t="n">
        <v>0</v>
      </c>
      <c r="V880" s="14" t="n">
        <v>6.002</v>
      </c>
      <c r="W880" s="14" t="n">
        <v>0.16</v>
      </c>
      <c r="X880" s="14" t="n">
        <v>1</v>
      </c>
      <c r="Y880" s="14" t="n">
        <v>16.166</v>
      </c>
      <c r="Z880" s="14" t="n">
        <v>2.185</v>
      </c>
      <c r="AA880" s="14" t="n">
        <v>0</v>
      </c>
      <c r="AB880" s="14" t="n">
        <v>16.166</v>
      </c>
      <c r="AC880" s="14" t="n">
        <v>0</v>
      </c>
      <c r="AD880" s="14" t="n">
        <v>1</v>
      </c>
      <c r="AE880" s="14" t="n">
        <v>17.31</v>
      </c>
      <c r="AF880" s="14" t="n">
        <v>4.047</v>
      </c>
      <c r="AG880" s="14" t="n">
        <v>0</v>
      </c>
      <c r="AH880" s="14" t="n">
        <v>17.31</v>
      </c>
      <c r="AI880" s="14" t="n">
        <v>0</v>
      </c>
      <c r="AJ880" s="14" t="n">
        <v>1</v>
      </c>
      <c r="AK880" s="14" t="n">
        <v>24.169</v>
      </c>
      <c r="AL880" s="14" t="n">
        <v>12.872</v>
      </c>
      <c r="AM880" s="14" t="n">
        <v>0</v>
      </c>
      <c r="AN880" s="14" t="n">
        <v>28.036</v>
      </c>
      <c r="AO880" s="14" t="n">
        <v>0.16</v>
      </c>
      <c r="AP880" s="14" t="n">
        <v>1</v>
      </c>
      <c r="AQ880" s="14" t="n">
        <v>0.619</v>
      </c>
      <c r="AR880" s="14" t="n">
        <v>0.114</v>
      </c>
      <c r="AS880" s="14" t="n">
        <v>0.276</v>
      </c>
      <c r="AT880" s="14" t="n">
        <v>0.895</v>
      </c>
      <c r="AU880" s="14" t="n">
        <v>0</v>
      </c>
      <c r="AV880" s="14" t="n">
        <v>1</v>
      </c>
      <c r="AW880" s="14" t="n">
        <v>0.599</v>
      </c>
      <c r="AX880" s="14" t="n">
        <v>0.114</v>
      </c>
      <c r="AY880" s="14" t="n">
        <v>0.198</v>
      </c>
      <c r="AZ880" s="14" t="n">
        <v>0.798</v>
      </c>
      <c r="BA880" s="14" t="n">
        <v>0</v>
      </c>
      <c r="BB880" s="14" t="n">
        <v>1</v>
      </c>
      <c r="BC880" s="14" t="n">
        <v>0.439</v>
      </c>
      <c r="BD880" s="14" t="n">
        <v>0.114</v>
      </c>
      <c r="BE880" s="14" t="n">
        <v>0.075</v>
      </c>
      <c r="BF880" s="14" t="n">
        <v>0.596</v>
      </c>
      <c r="BG880" s="14" t="n">
        <v>0.16</v>
      </c>
      <c r="BH880" s="14" t="n">
        <v>1</v>
      </c>
      <c r="BI880" s="14" t="n">
        <v>0.505</v>
      </c>
      <c r="BJ880" s="14" t="n">
        <v>0.114</v>
      </c>
      <c r="BK880" s="14" t="n">
        <v>0.264</v>
      </c>
      <c r="BL880" s="14" t="n">
        <v>0.769</v>
      </c>
      <c r="BM880" s="14" t="n">
        <v>0</v>
      </c>
      <c r="BN880" s="14" t="n">
        <v>1</v>
      </c>
      <c r="BO880" s="14" t="n">
        <v>0</v>
      </c>
      <c r="BP880" s="14" t="n">
        <v>0</v>
      </c>
      <c r="BQ880" s="14" t="n">
        <v>0.093</v>
      </c>
      <c r="BR880" s="14" t="n">
        <v>0</v>
      </c>
      <c r="BS880" s="14" t="n">
        <v>0.833</v>
      </c>
      <c r="BT880" s="14" t="n">
        <v>0</v>
      </c>
      <c r="BU880" s="14" t="n">
        <v>0</v>
      </c>
      <c r="BV880" s="14" t="n">
        <v>0.055</v>
      </c>
      <c r="BW880" s="14" t="n">
        <v>0.16</v>
      </c>
      <c r="BX880" s="14" t="n">
        <v>1</v>
      </c>
      <c r="BY880" s="14" t="n">
        <v>11.787</v>
      </c>
      <c r="BZ880" s="14" t="n">
        <v>0</v>
      </c>
      <c r="CA880" s="14" t="n">
        <v>11.787</v>
      </c>
      <c r="CB880" s="14" t="n">
        <v>0</v>
      </c>
      <c r="CC880" s="14" t="n">
        <v>78.125</v>
      </c>
      <c r="CD880" s="14" t="n">
        <v>7.95</v>
      </c>
      <c r="CE880" s="14" t="n">
        <v>27.252</v>
      </c>
      <c r="CF880" s="14" t="n">
        <v>122.238</v>
      </c>
      <c r="CG880" s="14" t="n">
        <v>0.16</v>
      </c>
      <c r="CH880" s="14" t="n">
        <v>1</v>
      </c>
      <c r="CI880" s="14" t="n">
        <v>0</v>
      </c>
      <c r="CJ880" s="14" t="n">
        <v>0</v>
      </c>
      <c r="CK880" s="14" t="n">
        <v>0</v>
      </c>
      <c r="CL880" s="14" t="n">
        <v>0</v>
      </c>
      <c r="CM880" s="14" t="n">
        <v>0</v>
      </c>
      <c r="CN880" s="14" t="n">
        <v>0</v>
      </c>
      <c r="CO880" s="14" t="n">
        <v>0</v>
      </c>
      <c r="CP880" s="14" t="n">
        <v>0.922</v>
      </c>
      <c r="CQ880" s="14" t="n">
        <v>1.198</v>
      </c>
      <c r="CR880" s="14" t="n">
        <v>0</v>
      </c>
      <c r="CS880" s="14" t="n">
        <v>4.776</v>
      </c>
      <c r="CT880" s="14" t="n">
        <v>4.753</v>
      </c>
      <c r="CU880" s="14" t="n">
        <v>15.162</v>
      </c>
    </row>
    <row r="881">
      <c r="A881" s="14" t="inlineStr">
        <is>
          <t>ZMB2022</t>
        </is>
      </c>
      <c r="B881" s="14" t="inlineStr">
        <is>
          <t>ZMB</t>
        </is>
      </c>
      <c r="C881" s="14" t="inlineStr">
        <is>
          <t>ZMB</t>
        </is>
      </c>
      <c r="D881" s="14" t="inlineStr">
        <is>
          <t>Zambia</t>
        </is>
      </c>
      <c r="E881" s="14" t="n">
        <v>2022</v>
      </c>
      <c r="F881" s="14" t="n">
        <v>0.16</v>
      </c>
      <c r="G881" s="14" t="n">
        <v>2.711</v>
      </c>
      <c r="H881" s="14" t="n">
        <v>0.668</v>
      </c>
      <c r="I881" s="14" t="n">
        <v>0.25</v>
      </c>
      <c r="J881" s="14" t="n">
        <v>2.961</v>
      </c>
      <c r="K881" s="14" t="n">
        <v>0</v>
      </c>
      <c r="L881" s="14" t="n">
        <v>1</v>
      </c>
      <c r="M881" s="14" t="n">
        <v>3.687</v>
      </c>
      <c r="N881" s="14" t="n">
        <v>2.003</v>
      </c>
      <c r="O881" s="14" t="n">
        <v>0.196</v>
      </c>
      <c r="P881" s="14" t="n">
        <v>3.883</v>
      </c>
      <c r="Q881" s="14" t="n">
        <v>0</v>
      </c>
      <c r="R881" s="14" t="n">
        <v>1</v>
      </c>
      <c r="S881" s="14" t="n">
        <v>6.049</v>
      </c>
      <c r="T881" s="14" t="n">
        <v>4.006</v>
      </c>
      <c r="U881" s="14" t="n">
        <v>0.07199999999999999</v>
      </c>
      <c r="V881" s="14" t="n">
        <v>7.017</v>
      </c>
      <c r="W881" s="14" t="n">
        <v>0.16</v>
      </c>
      <c r="X881" s="14" t="n">
        <v>1</v>
      </c>
      <c r="Y881" s="14" t="n">
        <v>32.248</v>
      </c>
      <c r="Z881" s="14" t="n">
        <v>4.359</v>
      </c>
      <c r="AA881" s="14" t="n">
        <v>0</v>
      </c>
      <c r="AB881" s="14" t="n">
        <v>32.248</v>
      </c>
      <c r="AC881" s="14" t="n">
        <v>0</v>
      </c>
      <c r="AD881" s="14" t="n">
        <v>1</v>
      </c>
      <c r="AE881" s="14" t="n">
        <v>33.483</v>
      </c>
      <c r="AF881" s="14" t="n">
        <v>7.829</v>
      </c>
      <c r="AG881" s="14" t="n">
        <v>0</v>
      </c>
      <c r="AH881" s="14" t="n">
        <v>33.483</v>
      </c>
      <c r="AI881" s="14" t="n">
        <v>0</v>
      </c>
      <c r="AJ881" s="14" t="n">
        <v>1</v>
      </c>
      <c r="AK881" s="14" t="n">
        <v>40.891</v>
      </c>
      <c r="AL881" s="14" t="n">
        <v>21.778</v>
      </c>
      <c r="AM881" s="14" t="n">
        <v>0.484</v>
      </c>
      <c r="AN881" s="14" t="n">
        <v>47.434</v>
      </c>
      <c r="AO881" s="14" t="n">
        <v>0.16</v>
      </c>
      <c r="AP881" s="14" t="n">
        <v>1</v>
      </c>
      <c r="AQ881" s="14" t="n">
        <v>0.861</v>
      </c>
      <c r="AR881" s="14" t="n">
        <v>0.123</v>
      </c>
      <c r="AS881" s="14" t="n">
        <v>0.339</v>
      </c>
      <c r="AT881" s="14" t="n">
        <v>1.392</v>
      </c>
      <c r="AU881" s="14" t="n">
        <v>0.16</v>
      </c>
      <c r="AV881" s="14" t="n">
        <v>1</v>
      </c>
      <c r="AW881" s="14" t="n">
        <v>0.986</v>
      </c>
      <c r="AX881" s="14" t="n">
        <v>0.123</v>
      </c>
      <c r="AY881" s="14" t="n">
        <v>0.265</v>
      </c>
      <c r="AZ881" s="14" t="n">
        <v>1.452</v>
      </c>
      <c r="BA881" s="14" t="n">
        <v>0.16</v>
      </c>
      <c r="BB881" s="14" t="n">
        <v>1</v>
      </c>
      <c r="BC881" s="14" t="n">
        <v>0.598</v>
      </c>
      <c r="BD881" s="14" t="n">
        <v>0.123</v>
      </c>
      <c r="BE881" s="14" t="n">
        <v>0.107</v>
      </c>
      <c r="BF881" s="14" t="n">
        <v>0.8080000000000001</v>
      </c>
      <c r="BG881" s="14" t="n">
        <v>0.16</v>
      </c>
      <c r="BH881" s="14" t="n">
        <v>1</v>
      </c>
      <c r="BI881" s="14" t="n">
        <v>0.612</v>
      </c>
      <c r="BJ881" s="14" t="n">
        <v>0.123</v>
      </c>
      <c r="BK881" s="14" t="n">
        <v>0.3</v>
      </c>
      <c r="BL881" s="14" t="n">
        <v>1.059</v>
      </c>
      <c r="BM881" s="14" t="n">
        <v>0.16</v>
      </c>
      <c r="BN881" s="14" t="n">
        <v>1</v>
      </c>
      <c r="BO881" s="14" t="n">
        <v>0</v>
      </c>
      <c r="BP881" s="14" t="n">
        <v>0</v>
      </c>
      <c r="BQ881" s="14" t="n">
        <v>0.062</v>
      </c>
      <c r="BR881" s="14" t="n">
        <v>0</v>
      </c>
      <c r="BS881" s="14" t="n">
        <v>0.833</v>
      </c>
      <c r="BT881" s="14" t="n">
        <v>0</v>
      </c>
      <c r="BU881" s="14" t="n">
        <v>0</v>
      </c>
      <c r="BV881" s="14" t="n">
        <v>0.052</v>
      </c>
      <c r="BW881" s="14" t="n">
        <v>0.16</v>
      </c>
      <c r="BX881" s="14" t="n">
        <v>1</v>
      </c>
      <c r="BY881" s="14" t="n">
        <v>12.729</v>
      </c>
      <c r="BZ881" s="14" t="n">
        <v>0</v>
      </c>
      <c r="CA881" s="14" t="n">
        <v>12.729</v>
      </c>
      <c r="CB881" s="14" t="n">
        <v>0</v>
      </c>
      <c r="CC881" s="14" t="n">
        <v>97.90000000000001</v>
      </c>
      <c r="CD881" s="14" t="n">
        <v>7.95</v>
      </c>
      <c r="CE881" s="14" t="n">
        <v>47.961</v>
      </c>
      <c r="CF881" s="14" t="n">
        <v>169.198</v>
      </c>
      <c r="CG881" s="14" t="n">
        <v>0.16</v>
      </c>
      <c r="CH881" s="14" t="n">
        <v>1</v>
      </c>
      <c r="CI881" s="14" t="n">
        <v>0</v>
      </c>
      <c r="CJ881" s="14" t="n">
        <v>0</v>
      </c>
      <c r="CK881" s="14" t="n">
        <v>0</v>
      </c>
      <c r="CL881" s="14" t="n">
        <v>0</v>
      </c>
      <c r="CM881" s="14" t="n">
        <v>0</v>
      </c>
      <c r="CN881" s="14" t="n">
        <v>0</v>
      </c>
      <c r="CO881" s="14" t="n">
        <v>0</v>
      </c>
      <c r="CP881" s="14" t="n">
        <v>0.918</v>
      </c>
      <c r="CQ881" s="14" t="n">
        <v>1.294</v>
      </c>
      <c r="CR881" s="14" t="n">
        <v>0</v>
      </c>
      <c r="CS881" s="14" t="n">
        <v>5.158</v>
      </c>
      <c r="CT881" s="14" t="n">
        <v>10.485</v>
      </c>
      <c r="CU881" s="14" t="n">
        <v>31.326</v>
      </c>
    </row>
    <row r="882">
      <c r="A882" s="14" t="inlineStr">
        <is>
          <t>ZMB2023</t>
        </is>
      </c>
      <c r="B882" s="14" t="inlineStr">
        <is>
          <t>ZMB</t>
        </is>
      </c>
      <c r="C882" s="14" t="inlineStr">
        <is>
          <t>ZMB</t>
        </is>
      </c>
      <c r="D882" s="14" t="inlineStr">
        <is>
          <t>Zambia</t>
        </is>
      </c>
      <c r="E882" s="14" t="n">
        <v>2023</v>
      </c>
      <c r="F882" s="14" t="n">
        <v>0.16</v>
      </c>
      <c r="G882" s="14" t="n">
        <v>2.428</v>
      </c>
      <c r="H882" s="14" t="n">
        <v>0.71</v>
      </c>
      <c r="I882" s="14" t="n">
        <v>0.204</v>
      </c>
      <c r="J882" s="14" t="n">
        <v>2.631</v>
      </c>
      <c r="K882" s="14" t="n">
        <v>0</v>
      </c>
      <c r="L882" s="14" t="n">
        <v>1</v>
      </c>
      <c r="M882" s="14" t="n">
        <v>3.761</v>
      </c>
      <c r="N882" s="14" t="n">
        <v>2.131</v>
      </c>
      <c r="O882" s="14" t="n">
        <v>0.19</v>
      </c>
      <c r="P882" s="14" t="n">
        <v>3.951</v>
      </c>
      <c r="Q882" s="14" t="n">
        <v>0</v>
      </c>
      <c r="R882" s="14" t="n">
        <v>1</v>
      </c>
      <c r="S882" s="14" t="n">
        <v>5.98</v>
      </c>
      <c r="T882" s="14" t="n">
        <v>4.263</v>
      </c>
      <c r="U882" s="14" t="n">
        <v>0.106</v>
      </c>
      <c r="V882" s="14" t="n">
        <v>6.936</v>
      </c>
      <c r="W882" s="14" t="n">
        <v>0.16</v>
      </c>
      <c r="X882" s="14" t="n">
        <v>1</v>
      </c>
      <c r="Y882" s="14" t="n">
        <v>9.936999999999999</v>
      </c>
      <c r="Z882" s="14" t="n">
        <v>1.343</v>
      </c>
      <c r="AA882" s="14" t="n">
        <v>0</v>
      </c>
      <c r="AB882" s="14" t="n">
        <v>9.936999999999999</v>
      </c>
      <c r="AC882" s="14" t="n">
        <v>0</v>
      </c>
      <c r="AD882" s="14" t="n">
        <v>1</v>
      </c>
      <c r="AE882" s="14" t="n">
        <v>11.222</v>
      </c>
      <c r="AF882" s="14" t="n">
        <v>2.624</v>
      </c>
      <c r="AG882" s="14" t="n">
        <v>0</v>
      </c>
      <c r="AH882" s="14" t="n">
        <v>11.222</v>
      </c>
      <c r="AI882" s="14" t="n">
        <v>0</v>
      </c>
      <c r="AJ882" s="14" t="n">
        <v>1</v>
      </c>
      <c r="AK882" s="14" t="n">
        <v>18.936</v>
      </c>
      <c r="AL882" s="14" t="n">
        <v>10.085</v>
      </c>
      <c r="AM882" s="14" t="n">
        <v>0.335</v>
      </c>
      <c r="AN882" s="14" t="n">
        <v>21.966</v>
      </c>
      <c r="AO882" s="14" t="n">
        <v>0.16</v>
      </c>
      <c r="AP882" s="14" t="n">
        <v>1</v>
      </c>
      <c r="AQ882" s="14" t="n">
        <v>0.76</v>
      </c>
      <c r="AR882" s="14" t="n">
        <v>0.129</v>
      </c>
      <c r="AS882" s="14" t="n">
        <v>0.412</v>
      </c>
      <c r="AT882" s="14" t="n">
        <v>1.36</v>
      </c>
      <c r="AU882" s="14" t="n">
        <v>0.16</v>
      </c>
      <c r="AV882" s="14" t="n">
        <v>1</v>
      </c>
      <c r="AW882" s="14" t="n">
        <v>0.8110000000000001</v>
      </c>
      <c r="AX882" s="14" t="n">
        <v>0.129</v>
      </c>
      <c r="AY882" s="14" t="n">
        <v>0.325</v>
      </c>
      <c r="AZ882" s="14" t="n">
        <v>1.318</v>
      </c>
      <c r="BA882" s="14" t="n">
        <v>0.16</v>
      </c>
      <c r="BB882" s="14" t="n">
        <v>1</v>
      </c>
      <c r="BC882" s="14" t="n">
        <v>0.535</v>
      </c>
      <c r="BD882" s="14" t="n">
        <v>0.129</v>
      </c>
      <c r="BE882" s="14" t="n">
        <v>0.101</v>
      </c>
      <c r="BF882" s="14" t="n">
        <v>0.725</v>
      </c>
      <c r="BG882" s="14" t="n">
        <v>0.16</v>
      </c>
      <c r="BH882" s="14" t="n">
        <v>1</v>
      </c>
      <c r="BI882" s="14" t="n">
        <v>0.579</v>
      </c>
      <c r="BJ882" s="14" t="n">
        <v>0.129</v>
      </c>
      <c r="BK882" s="14" t="n">
        <v>0.301</v>
      </c>
      <c r="BL882" s="14" t="n">
        <v>1.022</v>
      </c>
      <c r="BM882" s="14" t="n">
        <v>0.16</v>
      </c>
      <c r="BN882" s="14" t="n">
        <v>1</v>
      </c>
      <c r="BO882" s="14" t="n">
        <v>0</v>
      </c>
      <c r="BP882" s="14" t="n">
        <v>0</v>
      </c>
      <c r="BQ882" s="14" t="n">
        <v>0.06900000000000001</v>
      </c>
      <c r="BR882" s="14" t="n">
        <v>0</v>
      </c>
      <c r="BS882" s="14" t="n">
        <v>0.833</v>
      </c>
      <c r="BT882" s="14" t="n">
        <v>0</v>
      </c>
      <c r="BU882" s="14" t="n">
        <v>0</v>
      </c>
      <c r="BV882" s="14" t="n">
        <v>0.054</v>
      </c>
      <c r="BW882" s="14" t="n">
        <v>0.16</v>
      </c>
      <c r="BX882" s="14" t="n">
        <v>1</v>
      </c>
      <c r="BY882" s="14" t="n">
        <v>13.254</v>
      </c>
      <c r="BZ882" s="14" t="n">
        <v>0</v>
      </c>
      <c r="CA882" s="14" t="n">
        <v>13.254</v>
      </c>
      <c r="CB882" s="14" t="n">
        <v>0</v>
      </c>
      <c r="CC882" s="14" t="n">
        <v>83.248</v>
      </c>
      <c r="CD882" s="14" t="n">
        <v>7.95</v>
      </c>
      <c r="CE882" s="14" t="n">
        <v>56.954</v>
      </c>
      <c r="CF882" s="14" t="n">
        <v>162.634</v>
      </c>
      <c r="CG882" s="14" t="n">
        <v>0.16</v>
      </c>
      <c r="CH882" s="14" t="n">
        <v>1</v>
      </c>
      <c r="CI882" s="14" t="n">
        <v>0</v>
      </c>
      <c r="CJ882" s="14" t="n">
        <v>0</v>
      </c>
      <c r="CK882" s="14" t="n">
        <v>0</v>
      </c>
      <c r="CL882" s="14" t="n">
        <v>0</v>
      </c>
      <c r="CM882" s="14" t="n">
        <v>0</v>
      </c>
      <c r="CN882" s="14" t="n">
        <v>0</v>
      </c>
      <c r="CO882" s="14" t="n">
        <v>0</v>
      </c>
      <c r="CP882" s="14" t="n">
        <v>0.895</v>
      </c>
      <c r="CQ882" s="14" t="n">
        <v>1.348</v>
      </c>
      <c r="CR882" s="14" t="n">
        <v>0</v>
      </c>
      <c r="CS882" s="14" t="n">
        <v>5.37</v>
      </c>
      <c r="CT882" s="14" t="n">
        <v>4.861</v>
      </c>
      <c r="CU882" s="14" t="n">
        <v>11.622</v>
      </c>
    </row>
    <row r="883">
      <c r="A883" s="14" t="inlineStr">
        <is>
          <t>ZMB2024</t>
        </is>
      </c>
      <c r="B883" s="14" t="inlineStr">
        <is>
          <t>ZMB</t>
        </is>
      </c>
      <c r="C883" s="14" t="inlineStr">
        <is>
          <t>ZMB</t>
        </is>
      </c>
      <c r="D883" s="14" t="inlineStr">
        <is>
          <t>Zambia</t>
        </is>
      </c>
      <c r="E883" s="14" t="n">
        <v>2024</v>
      </c>
      <c r="F883" s="14" t="n">
        <v>0.16</v>
      </c>
      <c r="G883" s="14" t="n">
        <v>2.42</v>
      </c>
      <c r="H883" s="14" t="n">
        <v>0.731</v>
      </c>
      <c r="I883" s="14" t="n">
        <v>0.198</v>
      </c>
      <c r="J883" s="14" t="n">
        <v>2.618</v>
      </c>
      <c r="K883" s="14" t="n">
        <v>0</v>
      </c>
      <c r="L883" s="14" t="n">
        <v>1</v>
      </c>
      <c r="M883" s="14" t="n">
        <v>3.767</v>
      </c>
      <c r="N883" s="14" t="n">
        <v>2.194</v>
      </c>
      <c r="O883" s="14" t="n">
        <v>0.18</v>
      </c>
      <c r="P883" s="14" t="n">
        <v>3.948</v>
      </c>
      <c r="Q883" s="14" t="n">
        <v>0</v>
      </c>
      <c r="R883" s="14" t="n">
        <v>1</v>
      </c>
      <c r="S883" s="14" t="n">
        <v>6.077</v>
      </c>
      <c r="T883" s="14" t="n">
        <v>4.388</v>
      </c>
      <c r="U883" s="14" t="n">
        <v>0.132</v>
      </c>
      <c r="V883" s="14" t="n">
        <v>7.049</v>
      </c>
      <c r="W883" s="14" t="n">
        <v>0.16</v>
      </c>
      <c r="X883" s="14" t="n">
        <v>1</v>
      </c>
      <c r="Y883" s="14" t="n">
        <v>9.287000000000001</v>
      </c>
      <c r="Z883" s="14" t="n">
        <v>1.255</v>
      </c>
      <c r="AA883" s="14" t="n">
        <v>0</v>
      </c>
      <c r="AB883" s="14" t="n">
        <v>9.287000000000001</v>
      </c>
      <c r="AC883" s="14" t="n">
        <v>0</v>
      </c>
      <c r="AD883" s="14" t="n">
        <v>1</v>
      </c>
      <c r="AE883" s="14" t="n">
        <v>10.611</v>
      </c>
      <c r="AF883" s="14" t="n">
        <v>2.481</v>
      </c>
      <c r="AG883" s="14" t="n">
        <v>0</v>
      </c>
      <c r="AH883" s="14" t="n">
        <v>10.611</v>
      </c>
      <c r="AI883" s="14" t="n">
        <v>0</v>
      </c>
      <c r="AJ883" s="14" t="n">
        <v>1</v>
      </c>
      <c r="AK883" s="14" t="n">
        <v>18.552</v>
      </c>
      <c r="AL883" s="14" t="n">
        <v>9.881</v>
      </c>
      <c r="AM883" s="14" t="n">
        <v>0.404</v>
      </c>
      <c r="AN883" s="14" t="n">
        <v>21.521</v>
      </c>
      <c r="AO883" s="14" t="n">
        <v>0.16</v>
      </c>
      <c r="AP883" s="14" t="n">
        <v>1</v>
      </c>
      <c r="AQ883" s="14" t="n">
        <v>0.724</v>
      </c>
      <c r="AR883" s="14" t="n">
        <v>0.132</v>
      </c>
      <c r="AS883" s="14" t="n">
        <v>0.36</v>
      </c>
      <c r="AT883" s="14" t="n">
        <v>1.258</v>
      </c>
      <c r="AU883" s="14" t="n">
        <v>0.16</v>
      </c>
      <c r="AV883" s="14" t="n">
        <v>1</v>
      </c>
      <c r="AW883" s="14" t="n">
        <v>0.75</v>
      </c>
      <c r="AX883" s="14" t="n">
        <v>0.132</v>
      </c>
      <c r="AY883" s="14" t="n">
        <v>0.242</v>
      </c>
      <c r="AZ883" s="14" t="n">
        <v>1.151</v>
      </c>
      <c r="BA883" s="14" t="n">
        <v>0.16</v>
      </c>
      <c r="BB883" s="14" t="n">
        <v>1</v>
      </c>
      <c r="BC883" s="14" t="n">
        <v>0.513</v>
      </c>
      <c r="BD883" s="14" t="n">
        <v>0.132</v>
      </c>
      <c r="BE883" s="14" t="n">
        <v>0.1</v>
      </c>
      <c r="BF883" s="14" t="n">
        <v>0.696</v>
      </c>
      <c r="BG883" s="14" t="n">
        <v>0.16</v>
      </c>
      <c r="BH883" s="14" t="n">
        <v>1</v>
      </c>
      <c r="BI883" s="14" t="n">
        <v>0.591</v>
      </c>
      <c r="BJ883" s="14" t="n">
        <v>0.132</v>
      </c>
      <c r="BK883" s="14" t="n">
        <v>0.242</v>
      </c>
      <c r="BL883" s="14" t="n">
        <v>0.967</v>
      </c>
      <c r="BM883" s="14" t="n">
        <v>0.16</v>
      </c>
      <c r="BN883" s="14" t="n">
        <v>1</v>
      </c>
      <c r="BO883" s="14" t="n">
        <v>0</v>
      </c>
      <c r="BP883" s="14" t="n">
        <v>0</v>
      </c>
      <c r="BQ883" s="14" t="n">
        <v>0.065</v>
      </c>
      <c r="BR883" s="14" t="n">
        <v>0</v>
      </c>
      <c r="BS883" s="14" t="n">
        <v>0.833</v>
      </c>
      <c r="BT883" s="14" t="n">
        <v>0</v>
      </c>
      <c r="BU883" s="14" t="n">
        <v>0</v>
      </c>
      <c r="BV883" s="14" t="n">
        <v>0.049</v>
      </c>
      <c r="BW883" s="14" t="n">
        <v>0.16</v>
      </c>
      <c r="BX883" s="14" t="n">
        <v>1</v>
      </c>
      <c r="BY883" s="14" t="n">
        <v>13.646</v>
      </c>
      <c r="BZ883" s="14" t="n">
        <v>0</v>
      </c>
      <c r="CA883" s="14" t="n">
        <v>13.646</v>
      </c>
      <c r="CB883" s="14" t="n">
        <v>0</v>
      </c>
      <c r="CC883" s="14" t="n">
        <v>82.58799999999999</v>
      </c>
      <c r="CD883" s="14" t="n">
        <v>7.95</v>
      </c>
      <c r="CE883" s="14" t="n">
        <v>49.614</v>
      </c>
      <c r="CF883" s="14" t="n">
        <v>153.355</v>
      </c>
      <c r="CG883" s="14" t="n">
        <v>0.16</v>
      </c>
      <c r="CH883" s="14" t="n">
        <v>1</v>
      </c>
      <c r="CI883" s="14" t="n">
        <v>0</v>
      </c>
      <c r="CJ883" s="14" t="n">
        <v>0</v>
      </c>
      <c r="CK883" s="14" t="n">
        <v>0</v>
      </c>
      <c r="CL883" s="14" t="n">
        <v>0</v>
      </c>
      <c r="CM883" s="14" t="n">
        <v>0</v>
      </c>
      <c r="CN883" s="14" t="n">
        <v>0</v>
      </c>
      <c r="CO883" s="14" t="n">
        <v>0</v>
      </c>
      <c r="CP883" s="14" t="n">
        <v>0.895</v>
      </c>
      <c r="CQ883" s="14" t="n">
        <v>1.387</v>
      </c>
      <c r="CR883" s="14" t="n">
        <v>0</v>
      </c>
      <c r="CS883" s="14" t="n">
        <v>5.529</v>
      </c>
      <c r="CT883" s="14" t="n">
        <v>4.251</v>
      </c>
      <c r="CU883" s="14" t="n">
        <v>10.168</v>
      </c>
    </row>
    <row r="884">
      <c r="A884" s="14" t="inlineStr">
        <is>
          <t>ZWE2021</t>
        </is>
      </c>
      <c r="B884" s="14" t="inlineStr">
        <is>
          <t>ZWE</t>
        </is>
      </c>
      <c r="C884" s="14" t="inlineStr">
        <is>
          <t>ZWE</t>
        </is>
      </c>
      <c r="D884" s="14" t="inlineStr">
        <is>
          <t>Zimbabwe</t>
        </is>
      </c>
      <c r="E884" s="14" t="n">
        <v>2021</v>
      </c>
      <c r="F884" s="14" t="n">
        <v>0.145</v>
      </c>
      <c r="G884" s="14" t="n">
        <v>1.775</v>
      </c>
      <c r="H884" s="14" t="n">
        <v>0.572</v>
      </c>
      <c r="I884" s="14" t="n">
        <v>0</v>
      </c>
      <c r="J884" s="14" t="n">
        <v>1.775</v>
      </c>
      <c r="K884" s="14" t="n">
        <v>0</v>
      </c>
      <c r="L884" s="14" t="n">
        <v>1</v>
      </c>
      <c r="M884" s="14" t="n">
        <v>2.919</v>
      </c>
      <c r="N884" s="14" t="n">
        <v>1.717</v>
      </c>
      <c r="O884" s="14" t="n">
        <v>0</v>
      </c>
      <c r="P884" s="14" t="n">
        <v>2.919</v>
      </c>
      <c r="Q884" s="14" t="n">
        <v>0</v>
      </c>
      <c r="R884" s="14" t="n">
        <v>1</v>
      </c>
      <c r="S884" s="14" t="n">
        <v>4.636</v>
      </c>
      <c r="T884" s="14" t="n">
        <v>3.434</v>
      </c>
      <c r="U884" s="14" t="n">
        <v>0</v>
      </c>
      <c r="V884" s="14" t="n">
        <v>5.309</v>
      </c>
      <c r="W884" s="14" t="n">
        <v>0.145</v>
      </c>
      <c r="X884" s="14" t="n">
        <v>1</v>
      </c>
      <c r="Y884" s="14" t="n">
        <v>16.248</v>
      </c>
      <c r="Z884" s="14" t="n">
        <v>2.196</v>
      </c>
      <c r="AA884" s="14" t="n">
        <v>0</v>
      </c>
      <c r="AB884" s="14" t="n">
        <v>16.248</v>
      </c>
      <c r="AC884" s="14" t="n">
        <v>0</v>
      </c>
      <c r="AD884" s="14" t="n">
        <v>1</v>
      </c>
      <c r="AE884" s="14" t="n">
        <v>17.391</v>
      </c>
      <c r="AF884" s="14" t="n">
        <v>4.067</v>
      </c>
      <c r="AG884" s="14" t="n">
        <v>0</v>
      </c>
      <c r="AH884" s="14" t="n">
        <v>17.391</v>
      </c>
      <c r="AI884" s="14" t="n">
        <v>0</v>
      </c>
      <c r="AJ884" s="14" t="n">
        <v>1</v>
      </c>
      <c r="AK884" s="14" t="n">
        <v>24.251</v>
      </c>
      <c r="AL884" s="14" t="n">
        <v>12.916</v>
      </c>
      <c r="AM884" s="14" t="n">
        <v>0</v>
      </c>
      <c r="AN884" s="14" t="n">
        <v>27.767</v>
      </c>
      <c r="AO884" s="14" t="n">
        <v>0.145</v>
      </c>
      <c r="AP884" s="14" t="n">
        <v>1</v>
      </c>
      <c r="AQ884" s="14" t="n">
        <v>0.619</v>
      </c>
      <c r="AR884" s="14" t="n">
        <v>0.114</v>
      </c>
      <c r="AS884" s="14" t="n">
        <v>0.534</v>
      </c>
      <c r="AT884" s="14" t="n">
        <v>1.32</v>
      </c>
      <c r="AU884" s="14" t="n">
        <v>0</v>
      </c>
      <c r="AV884" s="14" t="n">
        <v>0</v>
      </c>
      <c r="AW884" s="14" t="n">
        <v>0.599</v>
      </c>
      <c r="AX884" s="14" t="n">
        <v>0.114</v>
      </c>
      <c r="AY884" s="14" t="n">
        <v>0.541</v>
      </c>
      <c r="AZ884" s="14" t="n">
        <v>1.305</v>
      </c>
      <c r="BA884" s="14" t="n">
        <v>0</v>
      </c>
      <c r="BB884" s="14" t="n">
        <v>0</v>
      </c>
      <c r="BC884" s="14" t="n">
        <v>0.439</v>
      </c>
      <c r="BD884" s="14" t="n">
        <v>0.114</v>
      </c>
      <c r="BE884" s="14" t="n">
        <v>0</v>
      </c>
      <c r="BF884" s="14" t="n">
        <v>0.503</v>
      </c>
      <c r="BG884" s="14" t="n">
        <v>0.145</v>
      </c>
      <c r="BH884" s="14" t="n">
        <v>1</v>
      </c>
      <c r="BI884" s="14" t="n">
        <v>0.505</v>
      </c>
      <c r="BJ884" s="14" t="n">
        <v>0.114</v>
      </c>
      <c r="BK884" s="14" t="n">
        <v>-0.495</v>
      </c>
      <c r="BL884" s="14" t="n">
        <v>0.01</v>
      </c>
      <c r="BM884" s="14" t="n">
        <v>0</v>
      </c>
      <c r="BN884" s="14" t="n">
        <v>0</v>
      </c>
      <c r="BO884" s="14" t="n">
        <v>0</v>
      </c>
      <c r="BP884" s="14" t="n">
        <v>0</v>
      </c>
      <c r="BQ884" s="14" t="n">
        <v>0.113</v>
      </c>
      <c r="BR884" s="14" t="n">
        <v>0</v>
      </c>
      <c r="BS884" s="14" t="n">
        <v>0.667</v>
      </c>
      <c r="BT884" s="14" t="n">
        <v>0</v>
      </c>
      <c r="BU884" s="14" t="n">
        <v>0</v>
      </c>
      <c r="BV884" s="14" t="n">
        <v>0.119</v>
      </c>
      <c r="BW884" s="14" t="n">
        <v>0.145</v>
      </c>
      <c r="BX884" s="14" t="n">
        <v>0.667</v>
      </c>
      <c r="BY884" s="14" t="n">
        <v>11.787</v>
      </c>
      <c r="BZ884" s="14" t="n">
        <v>0</v>
      </c>
      <c r="CA884" s="14" t="n">
        <v>11.787</v>
      </c>
      <c r="CB884" s="14" t="n">
        <v>0</v>
      </c>
      <c r="CC884" s="14" t="n">
        <v>78.125</v>
      </c>
      <c r="CD884" s="14" t="n">
        <v>7.95</v>
      </c>
      <c r="CE884" s="14" t="n">
        <v>0</v>
      </c>
      <c r="CF884" s="14" t="n">
        <v>89.453</v>
      </c>
      <c r="CG884" s="14" t="n">
        <v>0.145</v>
      </c>
      <c r="CH884" s="14" t="n">
        <v>1</v>
      </c>
      <c r="CI884" s="14" t="n">
        <v>0</v>
      </c>
      <c r="CJ884" s="14" t="n">
        <v>0</v>
      </c>
      <c r="CK884" s="14" t="n">
        <v>0</v>
      </c>
      <c r="CL884" s="14" t="n">
        <v>0</v>
      </c>
      <c r="CM884" s="14" t="n">
        <v>0</v>
      </c>
      <c r="CN884" s="14" t="n">
        <v>0</v>
      </c>
      <c r="CO884" s="14" t="n">
        <v>0</v>
      </c>
      <c r="CP884" s="14" t="n">
        <v>0.999</v>
      </c>
      <c r="CQ884" s="14" t="n">
        <v>1.198</v>
      </c>
      <c r="CR884" s="14" t="n">
        <v>0</v>
      </c>
      <c r="CS884" s="14" t="n">
        <v>4.776</v>
      </c>
      <c r="CT884" s="14" t="n">
        <v>4.753</v>
      </c>
      <c r="CU884" s="14" t="n">
        <v>15.162</v>
      </c>
    </row>
    <row r="885">
      <c r="A885" s="14" t="inlineStr">
        <is>
          <t>ZWE2022</t>
        </is>
      </c>
      <c r="B885" s="14" t="inlineStr">
        <is>
          <t>ZWE</t>
        </is>
      </c>
      <c r="C885" s="14" t="inlineStr">
        <is>
          <t>ZWE</t>
        </is>
      </c>
      <c r="D885" s="14" t="inlineStr">
        <is>
          <t>Zimbabwe</t>
        </is>
      </c>
      <c r="E885" s="14" t="n">
        <v>2022</v>
      </c>
      <c r="F885" s="14" t="n">
        <v>0.145</v>
      </c>
      <c r="G885" s="14" t="n">
        <v>1.918</v>
      </c>
      <c r="H885" s="14" t="n">
        <v>0.618</v>
      </c>
      <c r="I885" s="14" t="n">
        <v>0</v>
      </c>
      <c r="J885" s="14" t="n">
        <v>1.918</v>
      </c>
      <c r="K885" s="14" t="n">
        <v>0</v>
      </c>
      <c r="L885" s="14" t="n">
        <v>1</v>
      </c>
      <c r="M885" s="14" t="n">
        <v>3.151</v>
      </c>
      <c r="N885" s="14" t="n">
        <v>1.853</v>
      </c>
      <c r="O885" s="14" t="n">
        <v>0</v>
      </c>
      <c r="P885" s="14" t="n">
        <v>3.151</v>
      </c>
      <c r="Q885" s="14" t="n">
        <v>0</v>
      </c>
      <c r="R885" s="14" t="n">
        <v>1</v>
      </c>
      <c r="S885" s="14" t="n">
        <v>5.007</v>
      </c>
      <c r="T885" s="14" t="n">
        <v>3.707</v>
      </c>
      <c r="U885" s="14" t="n">
        <v>0.054</v>
      </c>
      <c r="V885" s="14" t="n">
        <v>5.733</v>
      </c>
      <c r="W885" s="14" t="n">
        <v>0.145</v>
      </c>
      <c r="X885" s="14" t="n">
        <v>1</v>
      </c>
      <c r="Y885" s="14" t="n">
        <v>32.431</v>
      </c>
      <c r="Z885" s="14" t="n">
        <v>4.383</v>
      </c>
      <c r="AA885" s="14" t="n">
        <v>0</v>
      </c>
      <c r="AB885" s="14" t="n">
        <v>32.431</v>
      </c>
      <c r="AC885" s="14" t="n">
        <v>0</v>
      </c>
      <c r="AD885" s="14" t="n">
        <v>1</v>
      </c>
      <c r="AE885" s="14" t="n">
        <v>33.666</v>
      </c>
      <c r="AF885" s="14" t="n">
        <v>7.872</v>
      </c>
      <c r="AG885" s="14" t="n">
        <v>0</v>
      </c>
      <c r="AH885" s="14" t="n">
        <v>33.666</v>
      </c>
      <c r="AI885" s="14" t="n">
        <v>0</v>
      </c>
      <c r="AJ885" s="14" t="n">
        <v>1</v>
      </c>
      <c r="AK885" s="14" t="n">
        <v>41.074</v>
      </c>
      <c r="AL885" s="14" t="n">
        <v>21.876</v>
      </c>
      <c r="AM885" s="14" t="n">
        <v>0.441</v>
      </c>
      <c r="AN885" s="14" t="n">
        <v>47.03</v>
      </c>
      <c r="AO885" s="14" t="n">
        <v>0.145</v>
      </c>
      <c r="AP885" s="14" t="n">
        <v>1</v>
      </c>
      <c r="AQ885" s="14" t="n">
        <v>0.861</v>
      </c>
      <c r="AR885" s="14" t="n">
        <v>0.123</v>
      </c>
      <c r="AS885" s="14" t="n">
        <v>0.475</v>
      </c>
      <c r="AT885" s="14" t="n">
        <v>1.529</v>
      </c>
      <c r="AU885" s="14" t="n">
        <v>0</v>
      </c>
      <c r="AV885" s="14" t="n">
        <v>0</v>
      </c>
      <c r="AW885" s="14" t="n">
        <v>0.986</v>
      </c>
      <c r="AX885" s="14" t="n">
        <v>0.123</v>
      </c>
      <c r="AY885" s="14" t="n">
        <v>0.463</v>
      </c>
      <c r="AZ885" s="14" t="n">
        <v>1.66</v>
      </c>
      <c r="BA885" s="14" t="n">
        <v>0</v>
      </c>
      <c r="BB885" s="14" t="n">
        <v>0</v>
      </c>
      <c r="BC885" s="14" t="n">
        <v>0.598</v>
      </c>
      <c r="BD885" s="14" t="n">
        <v>0.123</v>
      </c>
      <c r="BE885" s="14" t="n">
        <v>0.006</v>
      </c>
      <c r="BF885" s="14" t="n">
        <v>0.6850000000000001</v>
      </c>
      <c r="BG885" s="14" t="n">
        <v>0.145</v>
      </c>
      <c r="BH885" s="14" t="n">
        <v>1</v>
      </c>
      <c r="BI885" s="14" t="n">
        <v>0.612</v>
      </c>
      <c r="BJ885" s="14" t="n">
        <v>0.123</v>
      </c>
      <c r="BK885" s="14" t="n">
        <v>-0.572</v>
      </c>
      <c r="BL885" s="14" t="n">
        <v>0.041</v>
      </c>
      <c r="BM885" s="14" t="n">
        <v>0</v>
      </c>
      <c r="BN885" s="14" t="n">
        <v>0</v>
      </c>
      <c r="BO885" s="14" t="n">
        <v>0</v>
      </c>
      <c r="BP885" s="14" t="n">
        <v>0</v>
      </c>
      <c r="BQ885" s="14" t="n">
        <v>0.106</v>
      </c>
      <c r="BR885" s="14" t="n">
        <v>0</v>
      </c>
      <c r="BS885" s="14" t="n">
        <v>0.667</v>
      </c>
      <c r="BT885" s="14" t="n">
        <v>0</v>
      </c>
      <c r="BU885" s="14" t="n">
        <v>0</v>
      </c>
      <c r="BV885" s="14" t="n">
        <v>0.106</v>
      </c>
      <c r="BW885" s="14" t="n">
        <v>0.145</v>
      </c>
      <c r="BX885" s="14" t="n">
        <v>0.667</v>
      </c>
      <c r="BY885" s="14" t="n">
        <v>12.729</v>
      </c>
      <c r="BZ885" s="14" t="n">
        <v>0</v>
      </c>
      <c r="CA885" s="14" t="n">
        <v>12.729</v>
      </c>
      <c r="CB885" s="14" t="n">
        <v>0</v>
      </c>
      <c r="CC885" s="14" t="n">
        <v>97.90000000000001</v>
      </c>
      <c r="CD885" s="14" t="n">
        <v>7.95</v>
      </c>
      <c r="CE885" s="14" t="n">
        <v>1.051</v>
      </c>
      <c r="CF885" s="14" t="n">
        <v>112.095</v>
      </c>
      <c r="CG885" s="14" t="n">
        <v>0.145</v>
      </c>
      <c r="CH885" s="14" t="n">
        <v>1</v>
      </c>
      <c r="CI885" s="14" t="n">
        <v>0</v>
      </c>
      <c r="CJ885" s="14" t="n">
        <v>0</v>
      </c>
      <c r="CK885" s="14" t="n">
        <v>0</v>
      </c>
      <c r="CL885" s="14" t="n">
        <v>0</v>
      </c>
      <c r="CM885" s="14" t="n">
        <v>0</v>
      </c>
      <c r="CN885" s="14" t="n">
        <v>0</v>
      </c>
      <c r="CO885" s="14" t="n">
        <v>0</v>
      </c>
      <c r="CP885" s="14" t="n">
        <v>0.999</v>
      </c>
      <c r="CQ885" s="14" t="n">
        <v>1.294</v>
      </c>
      <c r="CR885" s="14" t="n">
        <v>0</v>
      </c>
      <c r="CS885" s="14" t="n">
        <v>5.158</v>
      </c>
      <c r="CT885" s="14" t="n">
        <v>10.485</v>
      </c>
      <c r="CU885" s="14" t="n">
        <v>31.326</v>
      </c>
    </row>
    <row r="886">
      <c r="A886" s="14" t="inlineStr">
        <is>
          <t>ZWE2023</t>
        </is>
      </c>
      <c r="B886" s="14" t="inlineStr">
        <is>
          <t>ZWE</t>
        </is>
      </c>
      <c r="C886" s="14" t="inlineStr">
        <is>
          <t>ZWE</t>
        </is>
      </c>
      <c r="D886" s="14" t="inlineStr">
        <is>
          <t>Zimbabwe</t>
        </is>
      </c>
      <c r="E886" s="14" t="n">
        <v>2023</v>
      </c>
      <c r="F886" s="14" t="n">
        <v>0.145</v>
      </c>
      <c r="G886" s="14" t="n">
        <v>1.992</v>
      </c>
      <c r="H886" s="14" t="n">
        <v>0.643</v>
      </c>
      <c r="I886" s="14" t="n">
        <v>0</v>
      </c>
      <c r="J886" s="14" t="n">
        <v>1.992</v>
      </c>
      <c r="K886" s="14" t="n">
        <v>0</v>
      </c>
      <c r="L886" s="14" t="n">
        <v>1</v>
      </c>
      <c r="M886" s="14" t="n">
        <v>3.278</v>
      </c>
      <c r="N886" s="14" t="n">
        <v>1.929</v>
      </c>
      <c r="O886" s="14" t="n">
        <v>0</v>
      </c>
      <c r="P886" s="14" t="n">
        <v>3.278</v>
      </c>
      <c r="Q886" s="14" t="n">
        <v>0</v>
      </c>
      <c r="R886" s="14" t="n">
        <v>1</v>
      </c>
      <c r="S886" s="14" t="n">
        <v>5.208</v>
      </c>
      <c r="T886" s="14" t="n">
        <v>3.859</v>
      </c>
      <c r="U886" s="14" t="n">
        <v>0.08400000000000001</v>
      </c>
      <c r="V886" s="14" t="n">
        <v>5.963</v>
      </c>
      <c r="W886" s="14" t="n">
        <v>0.145</v>
      </c>
      <c r="X886" s="14" t="n">
        <v>1</v>
      </c>
      <c r="Y886" s="14" t="n">
        <v>12.868</v>
      </c>
      <c r="Z886" s="14" t="n">
        <v>1.739</v>
      </c>
      <c r="AA886" s="14" t="n">
        <v>0</v>
      </c>
      <c r="AB886" s="14" t="n">
        <v>12.868</v>
      </c>
      <c r="AC886" s="14" t="n">
        <v>0</v>
      </c>
      <c r="AD886" s="14" t="n">
        <v>1</v>
      </c>
      <c r="AE886" s="14" t="n">
        <v>14.153</v>
      </c>
      <c r="AF886" s="14" t="n">
        <v>3.309</v>
      </c>
      <c r="AG886" s="14" t="n">
        <v>0</v>
      </c>
      <c r="AH886" s="14" t="n">
        <v>14.153</v>
      </c>
      <c r="AI886" s="14" t="n">
        <v>0</v>
      </c>
      <c r="AJ886" s="14" t="n">
        <v>1</v>
      </c>
      <c r="AK886" s="14" t="n">
        <v>21.867</v>
      </c>
      <c r="AL886" s="14" t="n">
        <v>11.646</v>
      </c>
      <c r="AM886" s="14" t="n">
        <v>0.351</v>
      </c>
      <c r="AN886" s="14" t="n">
        <v>25.038</v>
      </c>
      <c r="AO886" s="14" t="n">
        <v>0.145</v>
      </c>
      <c r="AP886" s="14" t="n">
        <v>1</v>
      </c>
      <c r="AQ886" s="14" t="n">
        <v>0.76</v>
      </c>
      <c r="AR886" s="14" t="n">
        <v>0.129</v>
      </c>
      <c r="AS886" s="14" t="n">
        <v>-0.383</v>
      </c>
      <c r="AT886" s="14" t="n">
        <v>0.432</v>
      </c>
      <c r="AU886" s="14" t="n">
        <v>0</v>
      </c>
      <c r="AV886" s="14" t="n">
        <v>0</v>
      </c>
      <c r="AW886" s="14" t="n">
        <v>0.8110000000000001</v>
      </c>
      <c r="AX886" s="14" t="n">
        <v>0.129</v>
      </c>
      <c r="AY886" s="14" t="n">
        <v>-0.417</v>
      </c>
      <c r="AZ886" s="14" t="n">
        <v>0.451</v>
      </c>
      <c r="BA886" s="14" t="n">
        <v>0</v>
      </c>
      <c r="BB886" s="14" t="n">
        <v>0</v>
      </c>
      <c r="BC886" s="14" t="n">
        <v>0.535</v>
      </c>
      <c r="BD886" s="14" t="n">
        <v>0.129</v>
      </c>
      <c r="BE886" s="14" t="n">
        <v>0.008999999999999999</v>
      </c>
      <c r="BF886" s="14" t="n">
        <v>0.613</v>
      </c>
      <c r="BG886" s="14" t="n">
        <v>0.145</v>
      </c>
      <c r="BH886" s="14" t="n">
        <v>1</v>
      </c>
      <c r="BI886" s="14" t="n">
        <v>0.579</v>
      </c>
      <c r="BJ886" s="14" t="n">
        <v>0.129</v>
      </c>
      <c r="BK886" s="14" t="n">
        <v>-0.569</v>
      </c>
      <c r="BL886" s="14" t="n">
        <v>0.01</v>
      </c>
      <c r="BM886" s="14" t="n">
        <v>0</v>
      </c>
      <c r="BN886" s="14" t="n">
        <v>0</v>
      </c>
      <c r="BO886" s="14" t="n">
        <v>0</v>
      </c>
      <c r="BP886" s="14" t="n">
        <v>0</v>
      </c>
      <c r="BQ886" s="14" t="n">
        <v>0.106</v>
      </c>
      <c r="BR886" s="14" t="n">
        <v>0</v>
      </c>
      <c r="BS886" s="14" t="n">
        <v>0.667</v>
      </c>
      <c r="BT886" s="14" t="n">
        <v>0</v>
      </c>
      <c r="BU886" s="14" t="n">
        <v>0</v>
      </c>
      <c r="BV886" s="14" t="n">
        <v>0.106</v>
      </c>
      <c r="BW886" s="14" t="n">
        <v>0.145</v>
      </c>
      <c r="BX886" s="14" t="n">
        <v>0.667</v>
      </c>
      <c r="BY886" s="14" t="n">
        <v>13.254</v>
      </c>
      <c r="BZ886" s="14" t="n">
        <v>0</v>
      </c>
      <c r="CA886" s="14" t="n">
        <v>13.254</v>
      </c>
      <c r="CB886" s="14" t="n">
        <v>0</v>
      </c>
      <c r="CC886" s="14" t="n">
        <v>83.248</v>
      </c>
      <c r="CD886" s="14" t="n">
        <v>7.95</v>
      </c>
      <c r="CE886" s="14" t="n">
        <v>1.336</v>
      </c>
      <c r="CF886" s="14" t="n">
        <v>95.319</v>
      </c>
      <c r="CG886" s="14" t="n">
        <v>0.145</v>
      </c>
      <c r="CH886" s="14" t="n">
        <v>1</v>
      </c>
      <c r="CI886" s="14" t="n">
        <v>0</v>
      </c>
      <c r="CJ886" s="14" t="n">
        <v>0</v>
      </c>
      <c r="CK886" s="14" t="n">
        <v>0</v>
      </c>
      <c r="CL886" s="14" t="n">
        <v>0</v>
      </c>
      <c r="CM886" s="14" t="n">
        <v>0</v>
      </c>
      <c r="CN886" s="14" t="n">
        <v>0</v>
      </c>
      <c r="CO886" s="14" t="n">
        <v>0</v>
      </c>
      <c r="CP886" s="14" t="n">
        <v>1</v>
      </c>
      <c r="CQ886" s="14" t="n">
        <v>1.348</v>
      </c>
      <c r="CR886" s="14" t="n">
        <v>0</v>
      </c>
      <c r="CS886" s="14" t="n">
        <v>5.37</v>
      </c>
      <c r="CT886" s="14" t="n">
        <v>4.861</v>
      </c>
      <c r="CU886" s="14" t="n">
        <v>11.622</v>
      </c>
    </row>
    <row r="887">
      <c r="A887" s="14" t="inlineStr">
        <is>
          <t>ZWE2024</t>
        </is>
      </c>
      <c r="B887" s="14" t="inlineStr">
        <is>
          <t>ZWE</t>
        </is>
      </c>
      <c r="C887" s="14" t="inlineStr">
        <is>
          <t>ZWE</t>
        </is>
      </c>
      <c r="D887" s="14" t="inlineStr">
        <is>
          <t>Zimbabwe</t>
        </is>
      </c>
      <c r="E887" s="14" t="n">
        <v>2024</v>
      </c>
      <c r="F887" s="14" t="n">
        <v>0.145</v>
      </c>
      <c r="G887" s="14" t="n">
        <v>2.051</v>
      </c>
      <c r="H887" s="14" t="n">
        <v>0.662</v>
      </c>
      <c r="I887" s="14" t="n">
        <v>0</v>
      </c>
      <c r="J887" s="14" t="n">
        <v>2.051</v>
      </c>
      <c r="K887" s="14" t="n">
        <v>0</v>
      </c>
      <c r="L887" s="14" t="n">
        <v>1</v>
      </c>
      <c r="M887" s="14" t="n">
        <v>3.374</v>
      </c>
      <c r="N887" s="14" t="n">
        <v>1.986</v>
      </c>
      <c r="O887" s="14" t="n">
        <v>0</v>
      </c>
      <c r="P887" s="14" t="n">
        <v>3.374</v>
      </c>
      <c r="Q887" s="14" t="n">
        <v>0</v>
      </c>
      <c r="R887" s="14" t="n">
        <v>1</v>
      </c>
      <c r="S887" s="14" t="n">
        <v>5.361</v>
      </c>
      <c r="T887" s="14" t="n">
        <v>3.973</v>
      </c>
      <c r="U887" s="14" t="n">
        <v>0.106</v>
      </c>
      <c r="V887" s="14" t="n">
        <v>6.139</v>
      </c>
      <c r="W887" s="14" t="n">
        <v>0.145</v>
      </c>
      <c r="X887" s="14" t="n">
        <v>1</v>
      </c>
      <c r="Y887" s="14" t="n">
        <v>11.458</v>
      </c>
      <c r="Z887" s="14" t="n">
        <v>1.549</v>
      </c>
      <c r="AA887" s="14" t="n">
        <v>0</v>
      </c>
      <c r="AB887" s="14" t="n">
        <v>11.458</v>
      </c>
      <c r="AC887" s="14" t="n">
        <v>0</v>
      </c>
      <c r="AD887" s="14" t="n">
        <v>1</v>
      </c>
      <c r="AE887" s="14" t="n">
        <v>12.782</v>
      </c>
      <c r="AF887" s="14" t="n">
        <v>2.989</v>
      </c>
      <c r="AG887" s="14" t="n">
        <v>0</v>
      </c>
      <c r="AH887" s="14" t="n">
        <v>12.782</v>
      </c>
      <c r="AI887" s="14" t="n">
        <v>0</v>
      </c>
      <c r="AJ887" s="14" t="n">
        <v>1</v>
      </c>
      <c r="AK887" s="14" t="n">
        <v>20.724</v>
      </c>
      <c r="AL887" s="14" t="n">
        <v>11.037</v>
      </c>
      <c r="AM887" s="14" t="n">
        <v>0.409</v>
      </c>
      <c r="AN887" s="14" t="n">
        <v>23.728</v>
      </c>
      <c r="AO887" s="14" t="n">
        <v>0.145</v>
      </c>
      <c r="AP887" s="14" t="n">
        <v>1</v>
      </c>
      <c r="AQ887" s="14" t="n">
        <v>0.724</v>
      </c>
      <c r="AR887" s="14" t="n">
        <v>0.132</v>
      </c>
      <c r="AS887" s="14" t="n">
        <v>-0.301</v>
      </c>
      <c r="AT887" s="14" t="n">
        <v>0.485</v>
      </c>
      <c r="AU887" s="14" t="n">
        <v>0</v>
      </c>
      <c r="AV887" s="14" t="n">
        <v>0</v>
      </c>
      <c r="AW887" s="14" t="n">
        <v>0.75</v>
      </c>
      <c r="AX887" s="14" t="n">
        <v>0.132</v>
      </c>
      <c r="AY887" s="14" t="n">
        <v>-0.318</v>
      </c>
      <c r="AZ887" s="14" t="n">
        <v>0.495</v>
      </c>
      <c r="BA887" s="14" t="n">
        <v>0</v>
      </c>
      <c r="BB887" s="14" t="n">
        <v>0</v>
      </c>
      <c r="BC887" s="14" t="n">
        <v>0.513</v>
      </c>
      <c r="BD887" s="14" t="n">
        <v>0.132</v>
      </c>
      <c r="BE887" s="14" t="n">
        <v>0.01</v>
      </c>
      <c r="BF887" s="14" t="n">
        <v>0.587</v>
      </c>
      <c r="BG887" s="14" t="n">
        <v>0.145</v>
      </c>
      <c r="BH887" s="14" t="n">
        <v>1</v>
      </c>
      <c r="BI887" s="14" t="n">
        <v>0.591</v>
      </c>
      <c r="BJ887" s="14" t="n">
        <v>0.132</v>
      </c>
      <c r="BK887" s="14" t="n">
        <v>-0.581</v>
      </c>
      <c r="BL887" s="14" t="n">
        <v>0.01</v>
      </c>
      <c r="BM887" s="14" t="n">
        <v>0</v>
      </c>
      <c r="BN887" s="14" t="n">
        <v>0</v>
      </c>
      <c r="BO887" s="14" t="n">
        <v>0</v>
      </c>
      <c r="BP887" s="14" t="n">
        <v>0</v>
      </c>
      <c r="BQ887" s="14" t="n">
        <v>0.109</v>
      </c>
      <c r="BR887" s="14" t="n">
        <v>0</v>
      </c>
      <c r="BS887" s="14" t="n">
        <v>0.667</v>
      </c>
      <c r="BT887" s="14" t="n">
        <v>0</v>
      </c>
      <c r="BU887" s="14" t="n">
        <v>0</v>
      </c>
      <c r="BV887" s="14" t="n">
        <v>0.078</v>
      </c>
      <c r="BW887" s="14" t="n">
        <v>0.145</v>
      </c>
      <c r="BX887" s="14" t="n">
        <v>0.667</v>
      </c>
      <c r="BY887" s="14" t="n">
        <v>13.646</v>
      </c>
      <c r="BZ887" s="14" t="n">
        <v>0</v>
      </c>
      <c r="CA887" s="14" t="n">
        <v>13.646</v>
      </c>
      <c r="CB887" s="14" t="n">
        <v>0</v>
      </c>
      <c r="CC887" s="14" t="n">
        <v>82.58799999999999</v>
      </c>
      <c r="CD887" s="14" t="n">
        <v>7.95</v>
      </c>
      <c r="CE887" s="14" t="n">
        <v>1.631</v>
      </c>
      <c r="CF887" s="14" t="n">
        <v>94.563</v>
      </c>
      <c r="CG887" s="14" t="n">
        <v>0.145</v>
      </c>
      <c r="CH887" s="14" t="n">
        <v>1</v>
      </c>
      <c r="CI887" s="14" t="n">
        <v>0</v>
      </c>
      <c r="CJ887" s="14" t="n">
        <v>0</v>
      </c>
      <c r="CK887" s="14" t="n">
        <v>0</v>
      </c>
      <c r="CL887" s="14" t="n">
        <v>0</v>
      </c>
      <c r="CM887" s="14" t="n">
        <v>0</v>
      </c>
      <c r="CN887" s="14" t="n">
        <v>0</v>
      </c>
      <c r="CO887" s="14" t="n">
        <v>0</v>
      </c>
      <c r="CP887" s="14" t="n">
        <v>1</v>
      </c>
      <c r="CQ887" s="14" t="n">
        <v>1.387</v>
      </c>
      <c r="CR887" s="14" t="n">
        <v>0</v>
      </c>
      <c r="CS887" s="14" t="n">
        <v>5.529</v>
      </c>
      <c r="CT887" s="14" t="n">
        <v>4.251</v>
      </c>
      <c r="CU887" s="14" t="n">
        <v>10.168</v>
      </c>
    </row>
  </sheetData>
  <pageMargins left="0.75" right="0.75" top="1" bottom="1" header="0.5" footer="0.5"/>
</worksheet>
</file>

<file path=xl/worksheets/sheet21.xml><?xml version="1.0" encoding="utf-8"?>
<worksheet xmlns="http://schemas.openxmlformats.org/spreadsheetml/2006/main">
  <sheetPr codeName="Sheet21">
    <outlinePr summaryBelow="1" summaryRight="1"/>
    <pageSetUpPr/>
  </sheetPr>
  <dimension ref="A1:AE5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633-695 (built from legacy Prices_int; IMF-WB* = average of IMF and WB; global gas = average of LNG, North America, Europe)</t>
        </is>
      </c>
    </row>
    <row r="2">
      <c r="A2" s="2" t="inlineStr">
        <is>
          <t>International energy prices by source, nominal USD (key = source|commodity)</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row>
    <row r="3">
      <c r="A3" s="83" t="inlineStr">
        <is>
          <t>key</t>
        </is>
      </c>
      <c r="B3" s="83" t="inlineStr">
        <is>
          <t>source</t>
        </is>
      </c>
      <c r="C3" s="83" t="inlineStr">
        <is>
          <t>commodity</t>
        </is>
      </c>
      <c r="D3" s="83" t="inlineStr">
        <is>
          <t>label</t>
        </is>
      </c>
      <c r="E3" s="83" t="inlineStr">
        <is>
          <t>unit</t>
        </is>
      </c>
      <c r="F3" s="83" t="n">
        <v>2021</v>
      </c>
      <c r="G3" s="83" t="n">
        <v>2022</v>
      </c>
      <c r="H3" s="83" t="n">
        <v>2023</v>
      </c>
      <c r="I3" s="83" t="n">
        <v>2024</v>
      </c>
      <c r="J3" s="83" t="n">
        <v>2025</v>
      </c>
      <c r="K3" s="83" t="n">
        <v>2026</v>
      </c>
      <c r="L3" s="83" t="n">
        <v>2027</v>
      </c>
      <c r="M3" s="83" t="n">
        <v>2028</v>
      </c>
      <c r="N3" s="83" t="n">
        <v>2029</v>
      </c>
      <c r="O3" s="83" t="n">
        <v>2030</v>
      </c>
      <c r="P3" s="83" t="n">
        <v>2031</v>
      </c>
      <c r="Q3" s="83" t="n">
        <v>2032</v>
      </c>
      <c r="R3" s="83" t="n">
        <v>2033</v>
      </c>
      <c r="S3" s="83" t="n">
        <v>2034</v>
      </c>
      <c r="T3" s="83" t="n">
        <v>2035</v>
      </c>
      <c r="U3" s="83" t="n">
        <v>2036</v>
      </c>
      <c r="V3" s="83" t="n">
        <v>2037</v>
      </c>
      <c r="W3" s="83" t="n">
        <v>2038</v>
      </c>
      <c r="X3" s="83" t="n">
        <v>2039</v>
      </c>
      <c r="Y3" s="83" t="n">
        <v>2040</v>
      </c>
      <c r="Z3" s="83" t="n">
        <v>2041</v>
      </c>
      <c r="AA3" s="83" t="n">
        <v>2042</v>
      </c>
      <c r="AB3" s="83" t="n">
        <v>2043</v>
      </c>
      <c r="AC3" s="83" t="n">
        <v>2044</v>
      </c>
      <c r="AD3" s="83" t="n">
        <v>2045</v>
      </c>
      <c r="AE3" s="83" t="inlineStr">
        <is>
          <t>source_row</t>
        </is>
      </c>
    </row>
    <row r="4">
      <c r="A4" s="14" t="inlineStr">
        <is>
          <t>IMF|oil</t>
        </is>
      </c>
      <c r="B4" s="14" t="inlineStr">
        <is>
          <t>IMF</t>
        </is>
      </c>
      <c r="C4" s="14" t="inlineStr">
        <is>
          <t>oil</t>
        </is>
      </c>
      <c r="D4" s="14" t="inlineStr">
        <is>
          <t>Crude Oil</t>
        </is>
      </c>
      <c r="E4" s="14" t="inlineStr">
        <is>
          <t>$/bbl nom</t>
        </is>
      </c>
      <c r="F4" s="14" t="n">
        <v>70.83150000000001</v>
      </c>
      <c r="G4" s="14" t="n">
        <v>98.99632800000001</v>
      </c>
      <c r="H4" s="14" t="n">
        <v>82.321243</v>
      </c>
      <c r="I4" s="14" t="n">
        <v>79.911739</v>
      </c>
      <c r="J4" s="14" t="n">
        <v>68.324907</v>
      </c>
      <c r="K4" s="14" t="n">
        <v>80.18651199999999</v>
      </c>
      <c r="L4" s="14" t="n">
        <v>71.451835</v>
      </c>
      <c r="M4" s="14" t="n">
        <v>69.689763</v>
      </c>
      <c r="N4" s="14" t="n">
        <v>69.423202</v>
      </c>
      <c r="O4" s="14" t="n">
        <v>69.35791399999999</v>
      </c>
      <c r="P4" s="14" t="n">
        <v>69.12690600000001</v>
      </c>
      <c r="Q4" s="14" t="n">
        <v>70.3527253503064</v>
      </c>
      <c r="R4" s="14" t="n">
        <v>71.5785447006128</v>
      </c>
      <c r="S4" s="14" t="n">
        <v>72.80436405091918</v>
      </c>
      <c r="T4" s="14" t="n">
        <v>74.03018340122557</v>
      </c>
      <c r="U4" s="14" t="n">
        <v>75.25600275153197</v>
      </c>
      <c r="V4" s="14" t="n">
        <v>76.48182210183836</v>
      </c>
      <c r="W4" s="14" t="n">
        <v>77.70764145214476</v>
      </c>
      <c r="X4" s="14" t="n">
        <v>78.93346080245114</v>
      </c>
      <c r="Y4" s="14" t="n">
        <v>80.15928015275755</v>
      </c>
      <c r="Z4" s="14" t="n">
        <v>81.38509950306393</v>
      </c>
      <c r="AA4" s="14" t="n"/>
      <c r="AB4" s="14" t="n"/>
      <c r="AC4" s="14" t="n"/>
      <c r="AD4" s="14" t="n"/>
      <c r="AE4" s="14" t="inlineStr">
        <is>
          <t>legacy Mitigation row 634</t>
        </is>
      </c>
    </row>
    <row r="5">
      <c r="A5" s="14" t="inlineStr">
        <is>
          <t>IMF|coa</t>
        </is>
      </c>
      <c r="B5" s="14" t="inlineStr">
        <is>
          <t>IMF</t>
        </is>
      </c>
      <c r="C5" s="14" t="inlineStr">
        <is>
          <t>coa</t>
        </is>
      </c>
      <c r="D5" s="14" t="inlineStr">
        <is>
          <t>Coal</t>
        </is>
      </c>
      <c r="E5" s="14" t="inlineStr">
        <is>
          <t>$/ton nom</t>
        </is>
      </c>
      <c r="F5" s="14" t="n">
        <v>143.984744</v>
      </c>
      <c r="G5" s="14" t="n">
        <v>384.169733</v>
      </c>
      <c r="H5" s="14" t="n">
        <v>188.152584</v>
      </c>
      <c r="I5" s="14" t="n">
        <v>143.551382</v>
      </c>
      <c r="J5" s="14" t="n">
        <v>112.437589</v>
      </c>
      <c r="K5" s="14" t="n">
        <v>135.601486</v>
      </c>
      <c r="L5" s="14" t="n">
        <v>143.176523</v>
      </c>
      <c r="M5" s="14" t="n">
        <v>143.310932</v>
      </c>
      <c r="N5" s="14" t="n">
        <v>143.44086</v>
      </c>
      <c r="O5" s="14" t="n">
        <v>143.44086</v>
      </c>
      <c r="P5" s="14" t="n">
        <v>143.44086</v>
      </c>
      <c r="Q5" s="14" t="n">
        <v>145.9844800169669</v>
      </c>
      <c r="R5" s="14" t="n">
        <v>148.5281000339338</v>
      </c>
      <c r="S5" s="14" t="n">
        <v>151.0717200509007</v>
      </c>
      <c r="T5" s="14" t="n">
        <v>153.6153400678676</v>
      </c>
      <c r="U5" s="14" t="n">
        <v>156.1589600848345</v>
      </c>
      <c r="V5" s="14" t="n">
        <v>158.7025801018015</v>
      </c>
      <c r="W5" s="14" t="n">
        <v>161.2462001187684</v>
      </c>
      <c r="X5" s="14" t="n">
        <v>163.7898201357353</v>
      </c>
      <c r="Y5" s="14" t="n">
        <v>166.3334401527022</v>
      </c>
      <c r="Z5" s="14" t="n">
        <v>168.8770601696691</v>
      </c>
      <c r="AA5" s="14" t="n"/>
      <c r="AB5" s="14" t="n"/>
      <c r="AC5" s="14" t="n"/>
      <c r="AD5" s="14" t="n"/>
      <c r="AE5" s="14" t="inlineStr">
        <is>
          <t>legacy Mitigation row 635</t>
        </is>
      </c>
    </row>
    <row r="6">
      <c r="A6" s="14" t="inlineStr">
        <is>
          <t>IMF|nga.lng</t>
        </is>
      </c>
      <c r="B6" s="14" t="inlineStr">
        <is>
          <t>IMF</t>
        </is>
      </c>
      <c r="C6" s="14" t="inlineStr">
        <is>
          <t>nga.lng</t>
        </is>
      </c>
      <c r="D6" s="14" t="inlineStr">
        <is>
          <t>Natural Gas - LNG</t>
        </is>
      </c>
      <c r="E6" s="14" t="inlineStr">
        <is>
          <t>$/MMBtu nom</t>
        </is>
      </c>
      <c r="F6" s="14" t="n">
        <v>18.600467</v>
      </c>
      <c r="G6" s="14" t="n">
        <v>33.297022</v>
      </c>
      <c r="H6" s="14" t="n">
        <v>13.463505</v>
      </c>
      <c r="I6" s="14" t="n">
        <v>11.708527</v>
      </c>
      <c r="J6" s="14" t="n">
        <v>12.08775</v>
      </c>
      <c r="K6" s="14" t="n">
        <v>14.950167</v>
      </c>
      <c r="L6" s="14" t="n">
        <v>12.495417</v>
      </c>
      <c r="M6" s="14" t="n">
        <v>9.391249999999999</v>
      </c>
      <c r="N6" s="14" t="n">
        <v>8.461667</v>
      </c>
      <c r="O6" s="14" t="n">
        <v>8.331666999999999</v>
      </c>
      <c r="P6" s="14" t="n">
        <v>8.195918000000001</v>
      </c>
      <c r="Q6" s="14" t="n">
        <v>8.341255256638169</v>
      </c>
      <c r="R6" s="14" t="n">
        <v>8.486592513276337</v>
      </c>
      <c r="S6" s="14" t="n">
        <v>8.631929769914503</v>
      </c>
      <c r="T6" s="14" t="n">
        <v>8.77726702655267</v>
      </c>
      <c r="U6" s="14" t="n">
        <v>8.922604283190838</v>
      </c>
      <c r="V6" s="14" t="n">
        <v>9.067941539829006</v>
      </c>
      <c r="W6" s="14" t="n">
        <v>9.213278796467174</v>
      </c>
      <c r="X6" s="14" t="n">
        <v>9.35861605310534</v>
      </c>
      <c r="Y6" s="14" t="n">
        <v>9.50395330974351</v>
      </c>
      <c r="Z6" s="14" t="n">
        <v>9.649290566381675</v>
      </c>
      <c r="AA6" s="14" t="n"/>
      <c r="AB6" s="14" t="n"/>
      <c r="AC6" s="14" t="n"/>
      <c r="AD6" s="14" t="n"/>
      <c r="AE6" s="14" t="inlineStr">
        <is>
          <t>legacy Mitigation row 636</t>
        </is>
      </c>
    </row>
    <row r="7">
      <c r="A7" s="14" t="inlineStr">
        <is>
          <t>IMF|nga.nam</t>
        </is>
      </c>
      <c r="B7" s="14" t="inlineStr">
        <is>
          <t>IMF</t>
        </is>
      </c>
      <c r="C7" s="14" t="inlineStr">
        <is>
          <t>nga.nam</t>
        </is>
      </c>
      <c r="D7" s="14" t="inlineStr">
        <is>
          <t>Natural Gas - North Am</t>
        </is>
      </c>
      <c r="E7" s="14" t="inlineStr">
        <is>
          <t>$/MMBtu nom</t>
        </is>
      </c>
      <c r="F7" s="14" t="n">
        <v>3.716119</v>
      </c>
      <c r="G7" s="14" t="n">
        <v>6.516296</v>
      </c>
      <c r="H7" s="14" t="n">
        <v>2.671452</v>
      </c>
      <c r="I7" s="14" t="n">
        <v>2.417967</v>
      </c>
      <c r="J7" s="14" t="n">
        <v>3.63474</v>
      </c>
      <c r="K7" s="14" t="n">
        <v>3.525087</v>
      </c>
      <c r="L7" s="14" t="n">
        <v>3.766</v>
      </c>
      <c r="M7" s="14" t="n">
        <v>3.689333</v>
      </c>
      <c r="N7" s="14" t="n">
        <v>3.625583</v>
      </c>
      <c r="O7" s="14" t="n">
        <v>3.659</v>
      </c>
      <c r="P7" s="14" t="n">
        <v>3.667833</v>
      </c>
      <c r="Q7" s="14" t="n">
        <v>3.732874254198363</v>
      </c>
      <c r="R7" s="14" t="n">
        <v>3.797915508396727</v>
      </c>
      <c r="S7" s="14" t="n">
        <v>3.862956762595089</v>
      </c>
      <c r="T7" s="14" t="n">
        <v>3.927998016793453</v>
      </c>
      <c r="U7" s="14" t="n">
        <v>3.993039270991816</v>
      </c>
      <c r="V7" s="14" t="n">
        <v>4.058080525190179</v>
      </c>
      <c r="W7" s="14" t="n">
        <v>4.123121779388542</v>
      </c>
      <c r="X7" s="14" t="n">
        <v>4.188163033586905</v>
      </c>
      <c r="Y7" s="14" t="n">
        <v>4.253204287785269</v>
      </c>
      <c r="Z7" s="14" t="n">
        <v>4.318245541983631</v>
      </c>
      <c r="AA7" s="14" t="n"/>
      <c r="AB7" s="14" t="n"/>
      <c r="AC7" s="14" t="n"/>
      <c r="AD7" s="14" t="n"/>
      <c r="AE7" s="14" t="inlineStr">
        <is>
          <t>legacy Mitigation row 637</t>
        </is>
      </c>
    </row>
    <row r="8">
      <c r="A8" s="14" t="inlineStr">
        <is>
          <t>IMF|nga.eur</t>
        </is>
      </c>
      <c r="B8" s="14" t="inlineStr">
        <is>
          <t>IMF</t>
        </is>
      </c>
      <c r="C8" s="14" t="inlineStr">
        <is>
          <t>nga.eur</t>
        </is>
      </c>
      <c r="D8" s="14" t="inlineStr">
        <is>
          <t>Natural Gas - Europe</t>
        </is>
      </c>
      <c r="E8" s="14" t="inlineStr">
        <is>
          <t>$/MMBtu nom</t>
        </is>
      </c>
      <c r="F8" s="14" t="n">
        <v>15.907363</v>
      </c>
      <c r="G8" s="14" t="n">
        <v>37.519835</v>
      </c>
      <c r="H8" s="14" t="n">
        <v>12.883181</v>
      </c>
      <c r="I8" s="14" t="n">
        <v>10.891141</v>
      </c>
      <c r="J8" s="14" t="n">
        <v>11.912392</v>
      </c>
      <c r="K8" s="14" t="n">
        <v>14.612111</v>
      </c>
      <c r="L8" s="14" t="n">
        <v>11.87946</v>
      </c>
      <c r="M8" s="14" t="n">
        <v>8.739246</v>
      </c>
      <c r="N8" s="14" t="n">
        <v>7.661423</v>
      </c>
      <c r="O8" s="14" t="n">
        <v>7.410439</v>
      </c>
      <c r="P8" s="14" t="n">
        <v>7.477729</v>
      </c>
      <c r="Q8" s="14" t="n">
        <v>7.610330694983243</v>
      </c>
      <c r="R8" s="14" t="n">
        <v>7.742932389966485</v>
      </c>
      <c r="S8" s="14" t="n">
        <v>7.875534084949727</v>
      </c>
      <c r="T8" s="14" t="n">
        <v>8.008135779932969</v>
      </c>
      <c r="U8" s="14" t="n">
        <v>8.140737474916211</v>
      </c>
      <c r="V8" s="14" t="n">
        <v>8.273339169899453</v>
      </c>
      <c r="W8" s="14" t="n">
        <v>8.405940864882696</v>
      </c>
      <c r="X8" s="14" t="n">
        <v>8.538542559865938</v>
      </c>
      <c r="Y8" s="14" t="n">
        <v>8.671144254849182</v>
      </c>
      <c r="Z8" s="14" t="n">
        <v>8.803745949832422</v>
      </c>
      <c r="AA8" s="14" t="n"/>
      <c r="AB8" s="14" t="n"/>
      <c r="AC8" s="14" t="n"/>
      <c r="AD8" s="14" t="n"/>
      <c r="AE8" s="14" t="inlineStr">
        <is>
          <t>legacy Mitigation row 638</t>
        </is>
      </c>
    </row>
    <row r="9">
      <c r="A9" s="14" t="inlineStr">
        <is>
          <t>IMF|nga.glo</t>
        </is>
      </c>
      <c r="B9" s="14" t="inlineStr">
        <is>
          <t>IMF</t>
        </is>
      </c>
      <c r="C9" s="14" t="inlineStr">
        <is>
          <t>nga.glo</t>
        </is>
      </c>
      <c r="D9" s="14" t="inlineStr">
        <is>
          <t>Natural gas - global</t>
        </is>
      </c>
      <c r="E9" s="14" t="inlineStr">
        <is>
          <t>$/MMBtu nom</t>
        </is>
      </c>
      <c r="F9" s="14" t="n">
        <v>12.74131633333333</v>
      </c>
      <c r="G9" s="14" t="n">
        <v>25.77771766666666</v>
      </c>
      <c r="H9" s="14" t="n">
        <v>9.672712666666667</v>
      </c>
      <c r="I9" s="14" t="n">
        <v>8.339211666666666</v>
      </c>
      <c r="J9" s="14" t="n">
        <v>9.211627333333334</v>
      </c>
      <c r="K9" s="14" t="n">
        <v>11.02912166666667</v>
      </c>
      <c r="L9" s="14" t="n">
        <v>9.380292333333335</v>
      </c>
      <c r="M9" s="14" t="n">
        <v>7.273276333333333</v>
      </c>
      <c r="N9" s="14" t="n">
        <v>6.582891</v>
      </c>
      <c r="O9" s="14" t="n">
        <v>6.467035333333333</v>
      </c>
      <c r="P9" s="14" t="n">
        <v>6.44716</v>
      </c>
      <c r="Q9" s="14" t="n">
        <v>6.561486735273259</v>
      </c>
      <c r="R9" s="14" t="n">
        <v>6.675813470546516</v>
      </c>
      <c r="S9" s="14" t="n">
        <v>6.790140205819774</v>
      </c>
      <c r="T9" s="14" t="n">
        <v>6.90446694109303</v>
      </c>
      <c r="U9" s="14" t="n">
        <v>7.018793676366289</v>
      </c>
      <c r="V9" s="14" t="n">
        <v>7.133120411639545</v>
      </c>
      <c r="W9" s="14" t="n">
        <v>7.247447146912805</v>
      </c>
      <c r="X9" s="14" t="n">
        <v>7.361773882186061</v>
      </c>
      <c r="Y9" s="14" t="n">
        <v>7.47610061745932</v>
      </c>
      <c r="Z9" s="14" t="n">
        <v>7.590427352732576</v>
      </c>
      <c r="AA9" s="14" t="n"/>
      <c r="AB9" s="14" t="n"/>
      <c r="AC9" s="14" t="n"/>
      <c r="AD9" s="14" t="n"/>
      <c r="AE9" s="14" t="inlineStr">
        <is>
          <t>legacy Mitigation row 639</t>
        </is>
      </c>
    </row>
    <row r="10">
      <c r="A10" s="14" t="inlineStr">
        <is>
          <t>WB|oil</t>
        </is>
      </c>
      <c r="B10" s="14" t="inlineStr">
        <is>
          <t>WB</t>
        </is>
      </c>
      <c r="C10" s="14" t="inlineStr">
        <is>
          <t>oil</t>
        </is>
      </c>
      <c r="D10" s="14" t="inlineStr">
        <is>
          <t>Crude Oil</t>
        </is>
      </c>
      <c r="E10" s="14" t="inlineStr">
        <is>
          <t>$/bbl nom</t>
        </is>
      </c>
      <c r="F10" s="14" t="n">
        <v>70.44333333333</v>
      </c>
      <c r="G10" s="14" t="n">
        <v>99.82416666667</v>
      </c>
      <c r="H10" s="14" t="n">
        <v>82.61624999999999</v>
      </c>
      <c r="I10" s="14" t="n">
        <v>80.69866666666999</v>
      </c>
      <c r="J10" s="14" t="n">
        <v>73</v>
      </c>
      <c r="K10" s="14" t="n">
        <v>72</v>
      </c>
      <c r="L10" s="14" t="n">
        <v>73.58104967319923</v>
      </c>
      <c r="M10" s="14" t="n">
        <v>74.78880176224789</v>
      </c>
      <c r="N10" s="14" t="n">
        <v>76.11862800894365</v>
      </c>
      <c r="O10" s="14" t="n">
        <v>77.51732833063443</v>
      </c>
      <c r="P10" s="14" t="n">
        <v>78.91674983830445</v>
      </c>
      <c r="Q10" s="14" t="n">
        <v>80.31617134597445</v>
      </c>
      <c r="R10" s="14" t="n">
        <v>81.71559285364447</v>
      </c>
      <c r="S10" s="14" t="n">
        <v>83.11501436131446</v>
      </c>
      <c r="T10" s="14" t="n">
        <v>84.51443586898446</v>
      </c>
      <c r="U10" s="14" t="n">
        <v>85.91385737665446</v>
      </c>
      <c r="V10" s="14" t="n">
        <v>87.31327888432446</v>
      </c>
      <c r="W10" s="14" t="n">
        <v>88.71270039199446</v>
      </c>
      <c r="X10" s="14" t="n">
        <v>90.11212189966446</v>
      </c>
      <c r="Y10" s="14" t="n">
        <v>91.51154340733449</v>
      </c>
      <c r="Z10" s="14" t="n">
        <v>92.91096491500447</v>
      </c>
      <c r="AA10" s="14" t="n"/>
      <c r="AB10" s="14" t="n"/>
      <c r="AC10" s="14" t="n"/>
      <c r="AD10" s="14" t="n"/>
      <c r="AE10" s="14" t="inlineStr">
        <is>
          <t>legacy Mitigation row 642</t>
        </is>
      </c>
    </row>
    <row r="11">
      <c r="A11" s="14" t="inlineStr">
        <is>
          <t>WB|coa</t>
        </is>
      </c>
      <c r="B11" s="14" t="inlineStr">
        <is>
          <t>WB</t>
        </is>
      </c>
      <c r="C11" s="14" t="inlineStr">
        <is>
          <t>coa</t>
        </is>
      </c>
      <c r="D11" s="14" t="inlineStr">
        <is>
          <t>Coal</t>
        </is>
      </c>
      <c r="E11" s="14" t="inlineStr">
        <is>
          <t>$/ton nom</t>
        </is>
      </c>
      <c r="F11" s="14" t="n">
        <v>138.05</v>
      </c>
      <c r="G11" s="14" t="n">
        <v>344.89333333333</v>
      </c>
      <c r="H11" s="14" t="n">
        <v>172.77916666667</v>
      </c>
      <c r="I11" s="14" t="n">
        <v>136.14666666667</v>
      </c>
      <c r="J11" s="14" t="n">
        <v>120</v>
      </c>
      <c r="K11" s="14" t="n">
        <v>105</v>
      </c>
      <c r="L11" s="14" t="n">
        <v>107.3056974400822</v>
      </c>
      <c r="M11" s="14" t="n">
        <v>109.0670025699448</v>
      </c>
      <c r="N11" s="14" t="n">
        <v>111.0063325130428</v>
      </c>
      <c r="O11" s="14" t="n">
        <v>113.0461038155085</v>
      </c>
      <c r="P11" s="14" t="n">
        <v>115.0869268475273</v>
      </c>
      <c r="Q11" s="14" t="n">
        <v>117.1277498795461</v>
      </c>
      <c r="R11" s="14" t="n">
        <v>119.1685729115648</v>
      </c>
      <c r="S11" s="14" t="n">
        <v>121.2093959435836</v>
      </c>
      <c r="T11" s="14" t="n">
        <v>123.2502189756023</v>
      </c>
      <c r="U11" s="14" t="n">
        <v>125.2910420076211</v>
      </c>
      <c r="V11" s="14" t="n">
        <v>127.3318650396398</v>
      </c>
      <c r="W11" s="14" t="n">
        <v>129.3726880716586</v>
      </c>
      <c r="X11" s="14" t="n">
        <v>131.4135111036773</v>
      </c>
      <c r="Y11" s="14" t="n">
        <v>133.4543341356961</v>
      </c>
      <c r="Z11" s="14" t="n">
        <v>135.4951571677148</v>
      </c>
      <c r="AA11" s="14" t="n"/>
      <c r="AB11" s="14" t="n"/>
      <c r="AC11" s="14" t="n"/>
      <c r="AD11" s="14" t="n"/>
      <c r="AE11" s="14" t="inlineStr">
        <is>
          <t>legacy Mitigation row 643</t>
        </is>
      </c>
    </row>
    <row r="12">
      <c r="A12" s="14" t="inlineStr">
        <is>
          <t>WB|nga.lng</t>
        </is>
      </c>
      <c r="B12" s="14" t="inlineStr">
        <is>
          <t>WB</t>
        </is>
      </c>
      <c r="C12" s="14" t="inlineStr">
        <is>
          <t>nga.lng</t>
        </is>
      </c>
      <c r="D12" s="14" t="inlineStr">
        <is>
          <t>Natural Gas - LNG</t>
        </is>
      </c>
      <c r="E12" s="14" t="inlineStr">
        <is>
          <t>$/MMBtu nom</t>
        </is>
      </c>
      <c r="F12" s="14" t="n">
        <v>16.11587794838</v>
      </c>
      <c r="G12" s="14" t="n">
        <v>40.3401571422</v>
      </c>
      <c r="H12" s="14" t="n">
        <v>13.1134032462</v>
      </c>
      <c r="I12" s="14" t="n">
        <v>10.96230953259</v>
      </c>
      <c r="J12" s="14" t="n">
        <v>11.5</v>
      </c>
      <c r="K12" s="14" t="n">
        <v>10.5</v>
      </c>
      <c r="L12" s="14" t="n">
        <v>10.73056974400822</v>
      </c>
      <c r="M12" s="14" t="n">
        <v>10.90670025699448</v>
      </c>
      <c r="N12" s="14" t="n">
        <v>11.10063325130428</v>
      </c>
      <c r="O12" s="14" t="n">
        <v>11.30461038155086</v>
      </c>
      <c r="P12" s="14" t="n">
        <v>11.50869268475273</v>
      </c>
      <c r="Q12" s="14" t="n">
        <v>11.71277498795461</v>
      </c>
      <c r="R12" s="14" t="n">
        <v>11.91685729115648</v>
      </c>
      <c r="S12" s="14" t="n">
        <v>12.12093959435836</v>
      </c>
      <c r="T12" s="14" t="n">
        <v>12.32502189756023</v>
      </c>
      <c r="U12" s="14" t="n">
        <v>12.52910420076211</v>
      </c>
      <c r="V12" s="14" t="n">
        <v>12.73318650396399</v>
      </c>
      <c r="W12" s="14" t="n">
        <v>12.93726880716586</v>
      </c>
      <c r="X12" s="14" t="n">
        <v>13.14135111036773</v>
      </c>
      <c r="Y12" s="14" t="n">
        <v>13.34543341356961</v>
      </c>
      <c r="Z12" s="14" t="n">
        <v>13.54951571677148</v>
      </c>
      <c r="AA12" s="14" t="n"/>
      <c r="AB12" s="14" t="n"/>
      <c r="AC12" s="14" t="n"/>
      <c r="AD12" s="14" t="n"/>
      <c r="AE12" s="14" t="inlineStr">
        <is>
          <t>legacy Mitigation row 644</t>
        </is>
      </c>
    </row>
    <row r="13">
      <c r="A13" s="14" t="inlineStr">
        <is>
          <t>WB|nga.nam</t>
        </is>
      </c>
      <c r="B13" s="14" t="inlineStr">
        <is>
          <t>WB</t>
        </is>
      </c>
      <c r="C13" s="14" t="inlineStr">
        <is>
          <t>nga.nam</t>
        </is>
      </c>
      <c r="D13" s="14" t="inlineStr">
        <is>
          <t>Natural Gas - North Am</t>
        </is>
      </c>
      <c r="E13" s="14" t="inlineStr">
        <is>
          <t>$/MMBtu nom</t>
        </is>
      </c>
      <c r="F13" s="14" t="n">
        <v>3.85140833333</v>
      </c>
      <c r="G13" s="14" t="n">
        <v>6.36831666667</v>
      </c>
      <c r="H13" s="14" t="n">
        <v>2.53780833333</v>
      </c>
      <c r="I13" s="14" t="n">
        <v>2.19110833333</v>
      </c>
      <c r="J13" s="14" t="n">
        <v>3.4</v>
      </c>
      <c r="K13" s="14" t="n">
        <v>3.7</v>
      </c>
      <c r="L13" s="14" t="n">
        <v>3.781248385983849</v>
      </c>
      <c r="M13" s="14" t="n">
        <v>3.843313423893294</v>
      </c>
      <c r="N13" s="14" t="n">
        <v>3.911651717126271</v>
      </c>
      <c r="O13" s="14" t="n">
        <v>3.983529372546492</v>
      </c>
      <c r="P13" s="14" t="n">
        <v>4.055444088912869</v>
      </c>
      <c r="Q13" s="14" t="n">
        <v>4.127358805279243</v>
      </c>
      <c r="R13" s="14" t="n">
        <v>4.199273521645619</v>
      </c>
      <c r="S13" s="14" t="n">
        <v>4.271188238011994</v>
      </c>
      <c r="T13" s="14" t="n">
        <v>4.343102954378368</v>
      </c>
      <c r="U13" s="14" t="n">
        <v>4.415017670744743</v>
      </c>
      <c r="V13" s="14" t="n">
        <v>4.486932387111119</v>
      </c>
      <c r="W13" s="14" t="n">
        <v>4.558847103477494</v>
      </c>
      <c r="X13" s="14" t="n">
        <v>4.630761819843869</v>
      </c>
      <c r="Y13" s="14" t="n">
        <v>4.702676536210245</v>
      </c>
      <c r="Z13" s="14" t="n">
        <v>4.774591252576619</v>
      </c>
      <c r="AA13" s="14" t="n"/>
      <c r="AB13" s="14" t="n"/>
      <c r="AC13" s="14" t="n"/>
      <c r="AD13" s="14" t="n"/>
      <c r="AE13" s="14" t="inlineStr">
        <is>
          <t>legacy Mitigation row 645</t>
        </is>
      </c>
    </row>
    <row r="14">
      <c r="A14" s="14" t="inlineStr">
        <is>
          <t>WB|nga.eur</t>
        </is>
      </c>
      <c r="B14" s="14" t="inlineStr">
        <is>
          <t>WB</t>
        </is>
      </c>
      <c r="C14" s="14" t="inlineStr">
        <is>
          <t>nga.eur</t>
        </is>
      </c>
      <c r="D14" s="14" t="inlineStr">
        <is>
          <t>Natural Gas - Europe</t>
        </is>
      </c>
      <c r="E14" s="14" t="inlineStr">
        <is>
          <t>$/MMBtu nom</t>
        </is>
      </c>
      <c r="F14" s="14" t="n">
        <v>10.76164902384</v>
      </c>
      <c r="G14" s="14" t="n">
        <v>18.42692483862</v>
      </c>
      <c r="H14" s="14" t="n">
        <v>14.38710799668</v>
      </c>
      <c r="I14" s="14" t="n">
        <v>12.84421395663</v>
      </c>
      <c r="J14" s="14" t="n">
        <v>13.5</v>
      </c>
      <c r="K14" s="14" t="n">
        <v>12.5</v>
      </c>
      <c r="L14" s="14" t="n">
        <v>12.77448779048598</v>
      </c>
      <c r="M14" s="14" t="n">
        <v>12.98416697261248</v>
      </c>
      <c r="N14" s="14" t="n">
        <v>13.21503958488605</v>
      </c>
      <c r="O14" s="14" t="n">
        <v>13.45786950184626</v>
      </c>
      <c r="P14" s="14" t="n">
        <v>13.70082462470564</v>
      </c>
      <c r="Q14" s="14" t="n">
        <v>13.94377974756501</v>
      </c>
      <c r="R14" s="14" t="n">
        <v>14.18673487042439</v>
      </c>
      <c r="S14" s="14" t="n">
        <v>14.42968999328376</v>
      </c>
      <c r="T14" s="14" t="n">
        <v>14.67264511614314</v>
      </c>
      <c r="U14" s="14" t="n">
        <v>14.91560023900251</v>
      </c>
      <c r="V14" s="14" t="n">
        <v>15.15855536186189</v>
      </c>
      <c r="W14" s="14" t="n">
        <v>15.40151048472126</v>
      </c>
      <c r="X14" s="14" t="n">
        <v>15.64446560758064</v>
      </c>
      <c r="Y14" s="14" t="n">
        <v>15.88742073044002</v>
      </c>
      <c r="Z14" s="14" t="n">
        <v>16.13037585329939</v>
      </c>
      <c r="AA14" s="14" t="n"/>
      <c r="AB14" s="14" t="n"/>
      <c r="AC14" s="14" t="n"/>
      <c r="AD14" s="14" t="n"/>
      <c r="AE14" s="14" t="inlineStr">
        <is>
          <t>legacy Mitigation row 646</t>
        </is>
      </c>
    </row>
    <row r="15">
      <c r="A15" s="14" t="inlineStr">
        <is>
          <t>WB|nga.glo</t>
        </is>
      </c>
      <c r="B15" s="14" t="inlineStr">
        <is>
          <t>WB</t>
        </is>
      </c>
      <c r="C15" s="14" t="inlineStr">
        <is>
          <t>nga.glo</t>
        </is>
      </c>
      <c r="D15" s="14" t="inlineStr">
        <is>
          <t>Natural gas  - Global</t>
        </is>
      </c>
      <c r="E15" s="14" t="inlineStr">
        <is>
          <t>$/MMBtu nom</t>
        </is>
      </c>
      <c r="F15" s="14" t="n">
        <v>10.24297843518333</v>
      </c>
      <c r="G15" s="14" t="n">
        <v>21.71179954916333</v>
      </c>
      <c r="H15" s="14" t="n">
        <v>10.01277319207</v>
      </c>
      <c r="I15" s="14" t="n">
        <v>8.665877274183332</v>
      </c>
      <c r="J15" s="14" t="n">
        <v>9.466666666666667</v>
      </c>
      <c r="K15" s="14" t="n">
        <v>8.9</v>
      </c>
      <c r="L15" s="14" t="n">
        <v>9.095435306826017</v>
      </c>
      <c r="M15" s="14" t="n">
        <v>9.244726884500087</v>
      </c>
      <c r="N15" s="14" t="n">
        <v>9.409108184438869</v>
      </c>
      <c r="O15" s="14" t="n">
        <v>9.582003085314534</v>
      </c>
      <c r="P15" s="14" t="n">
        <v>9.754987132790413</v>
      </c>
      <c r="Q15" s="14" t="n">
        <v>9.927971180266288</v>
      </c>
      <c r="R15" s="14" t="n">
        <v>10.10095522774216</v>
      </c>
      <c r="S15" s="14" t="n">
        <v>10.27393927521804</v>
      </c>
      <c r="T15" s="14" t="n">
        <v>10.44692332269391</v>
      </c>
      <c r="U15" s="14" t="n">
        <v>10.61990737016979</v>
      </c>
      <c r="V15" s="14" t="n">
        <v>10.79289141764566</v>
      </c>
      <c r="W15" s="14" t="n">
        <v>10.96587546512154</v>
      </c>
      <c r="X15" s="14" t="n">
        <v>11.13885951259742</v>
      </c>
      <c r="Y15" s="14" t="n">
        <v>11.31184356007329</v>
      </c>
      <c r="Z15" s="14" t="n">
        <v>11.48482760754916</v>
      </c>
      <c r="AA15" s="14" t="n"/>
      <c r="AB15" s="14" t="n"/>
      <c r="AC15" s="14" t="n"/>
      <c r="AD15" s="14" t="n"/>
      <c r="AE15" s="14" t="inlineStr">
        <is>
          <t>legacy Mitigation row 647</t>
        </is>
      </c>
    </row>
    <row r="16">
      <c r="A16" s="14" t="inlineStr">
        <is>
          <t>IEA|oil</t>
        </is>
      </c>
      <c r="B16" s="14" t="inlineStr">
        <is>
          <t>IEA</t>
        </is>
      </c>
      <c r="C16" s="14" t="inlineStr">
        <is>
          <t>oil</t>
        </is>
      </c>
      <c r="D16" s="14" t="inlineStr">
        <is>
          <t>Crude Oil</t>
        </is>
      </c>
      <c r="E16" s="14" t="inlineStr">
        <is>
          <t>$/bbl nom</t>
        </is>
      </c>
      <c r="F16" s="14" t="n">
        <v>70.83150000000001</v>
      </c>
      <c r="G16" s="14" t="n">
        <v>98.99632800000001</v>
      </c>
      <c r="H16" s="14" t="n">
        <v>82.321243</v>
      </c>
      <c r="I16" s="14" t="n">
        <v>79.911739</v>
      </c>
      <c r="J16" s="14" t="n">
        <v>81.9050907294759</v>
      </c>
      <c r="K16" s="14" t="n">
        <v>83.89844245895181</v>
      </c>
      <c r="L16" s="14" t="n">
        <v>85.89179418842772</v>
      </c>
      <c r="M16" s="14" t="n">
        <v>87.88514591790363</v>
      </c>
      <c r="N16" s="14" t="n">
        <v>89.87849764737953</v>
      </c>
      <c r="O16" s="14" t="n">
        <v>91.87184937685544</v>
      </c>
      <c r="P16" s="14" t="n">
        <v>93.60026940671912</v>
      </c>
      <c r="Q16" s="14" t="n">
        <v>95.32868943658281</v>
      </c>
      <c r="R16" s="14" t="n">
        <v>97.05710946644649</v>
      </c>
      <c r="S16" s="14" t="n">
        <v>98.78552949631018</v>
      </c>
      <c r="T16" s="14" t="n">
        <v>100.5139495261739</v>
      </c>
      <c r="U16" s="14" t="n">
        <v>102.2423695560375</v>
      </c>
      <c r="V16" s="14" t="n">
        <v>103.9707895859012</v>
      </c>
      <c r="W16" s="14" t="n">
        <v>105.6992096157649</v>
      </c>
      <c r="X16" s="14" t="n">
        <v>107.4276296456286</v>
      </c>
      <c r="Y16" s="14" t="n">
        <v>109.1560496754923</v>
      </c>
      <c r="Z16" s="14" t="n"/>
      <c r="AA16" s="14" t="n"/>
      <c r="AB16" s="14" t="n"/>
      <c r="AC16" s="14" t="n"/>
      <c r="AD16" s="14" t="n"/>
      <c r="AE16" s="14" t="inlineStr">
        <is>
          <t>legacy Mitigation row 650</t>
        </is>
      </c>
    </row>
    <row r="17">
      <c r="A17" s="14" t="inlineStr">
        <is>
          <t>IEA|coa</t>
        </is>
      </c>
      <c r="B17" s="14" t="inlineStr">
        <is>
          <t>IEA</t>
        </is>
      </c>
      <c r="C17" s="14" t="inlineStr">
        <is>
          <t>coa</t>
        </is>
      </c>
      <c r="D17" s="14" t="inlineStr">
        <is>
          <t>Coal</t>
        </is>
      </c>
      <c r="E17" s="14" t="inlineStr">
        <is>
          <t>$/ton nom</t>
        </is>
      </c>
      <c r="F17" s="14" t="n">
        <v>143.984744</v>
      </c>
      <c r="G17" s="14" t="n">
        <v>384.169733</v>
      </c>
      <c r="H17" s="14" t="n">
        <v>188.152584</v>
      </c>
      <c r="I17" s="14" t="n">
        <v>143.551382</v>
      </c>
      <c r="J17" s="14" t="n">
        <v>112.437589</v>
      </c>
      <c r="K17" s="14" t="n">
        <v>135.601486</v>
      </c>
      <c r="L17" s="14" t="n">
        <v>143.176523</v>
      </c>
      <c r="M17" s="14" t="n">
        <v>143.310932</v>
      </c>
      <c r="N17" s="14" t="n">
        <v>143.44086</v>
      </c>
      <c r="O17" s="14" t="n">
        <v>143.44086</v>
      </c>
      <c r="P17" s="14" t="n">
        <v>146.0304000278308</v>
      </c>
      <c r="Q17" s="14" t="n">
        <v>148.6199400556617</v>
      </c>
      <c r="R17" s="14" t="n">
        <v>151.2094800834925</v>
      </c>
      <c r="S17" s="14" t="n">
        <v>153.7990201113233</v>
      </c>
      <c r="T17" s="14" t="n">
        <v>156.3885601391541</v>
      </c>
      <c r="U17" s="14" t="n">
        <v>158.9781001669849</v>
      </c>
      <c r="V17" s="14" t="n">
        <v>161.5676401948157</v>
      </c>
      <c r="W17" s="14" t="n">
        <v>164.1571802226466</v>
      </c>
      <c r="X17" s="14" t="n">
        <v>166.7467202504774</v>
      </c>
      <c r="Y17" s="14" t="n">
        <v>169.3362602783082</v>
      </c>
      <c r="Z17" s="14" t="n">
        <v>171.925800306139</v>
      </c>
      <c r="AA17" s="14" t="n"/>
      <c r="AB17" s="14" t="n"/>
      <c r="AC17" s="14" t="n"/>
      <c r="AD17" s="14" t="n"/>
      <c r="AE17" s="14" t="inlineStr">
        <is>
          <t>legacy Mitigation row 651</t>
        </is>
      </c>
    </row>
    <row r="18">
      <c r="A18" s="14" t="inlineStr">
        <is>
          <t>IEA|nga.lng</t>
        </is>
      </c>
      <c r="B18" s="14" t="inlineStr">
        <is>
          <t>IEA</t>
        </is>
      </c>
      <c r="C18" s="14" t="inlineStr">
        <is>
          <t>nga.lng</t>
        </is>
      </c>
      <c r="D18" s="14" t="inlineStr">
        <is>
          <t>Natural Gas - LNG</t>
        </is>
      </c>
      <c r="E18" s="14" t="inlineStr">
        <is>
          <t>$/MMBtu nom</t>
        </is>
      </c>
      <c r="F18" s="14" t="n">
        <v>15.907363</v>
      </c>
      <c r="G18" s="14" t="n">
        <v>37.519835</v>
      </c>
      <c r="H18" s="14" t="n">
        <v>12.883181</v>
      </c>
      <c r="I18" s="14" t="n">
        <v>10.891141</v>
      </c>
      <c r="J18" s="14" t="n">
        <v>10.3357968690919</v>
      </c>
      <c r="K18" s="14" t="n">
        <v>9.780452738183799</v>
      </c>
      <c r="L18" s="14" t="n">
        <v>9.225108607275699</v>
      </c>
      <c r="M18" s="14" t="n">
        <v>8.669764476367599</v>
      </c>
      <c r="N18" s="14" t="n">
        <v>8.114420345459498</v>
      </c>
      <c r="O18" s="14" t="n">
        <v>7.559076214551397</v>
      </c>
      <c r="P18" s="14" t="n">
        <v>7.880552979503713</v>
      </c>
      <c r="Q18" s="14" t="n">
        <v>8.202029744456031</v>
      </c>
      <c r="R18" s="14" t="n">
        <v>8.523506509408348</v>
      </c>
      <c r="S18" s="14" t="n">
        <v>8.844983274360665</v>
      </c>
      <c r="T18" s="14" t="n">
        <v>9.16646003931298</v>
      </c>
      <c r="U18" s="14" t="n">
        <v>9.487936804265297</v>
      </c>
      <c r="V18" s="14" t="n">
        <v>9.809413569217615</v>
      </c>
      <c r="W18" s="14" t="n">
        <v>10.13089033416993</v>
      </c>
      <c r="X18" s="14" t="n">
        <v>10.45236709912225</v>
      </c>
      <c r="Y18" s="14" t="n">
        <v>10.77384386407456</v>
      </c>
      <c r="Z18" s="14" t="n"/>
      <c r="AA18" s="14" t="n"/>
      <c r="AB18" s="14" t="n"/>
      <c r="AC18" s="14" t="n"/>
      <c r="AD18" s="14" t="n"/>
      <c r="AE18" s="14" t="inlineStr">
        <is>
          <t>legacy Mitigation row 652</t>
        </is>
      </c>
    </row>
    <row r="19">
      <c r="A19" s="14" t="inlineStr">
        <is>
          <t>IEA|nga.nam</t>
        </is>
      </c>
      <c r="B19" s="14" t="inlineStr">
        <is>
          <t>IEA</t>
        </is>
      </c>
      <c r="C19" s="14" t="inlineStr">
        <is>
          <t>nga.nam</t>
        </is>
      </c>
      <c r="D19" s="14" t="inlineStr">
        <is>
          <t>Natural Gas - North Am</t>
        </is>
      </c>
      <c r="E19" s="14" t="inlineStr">
        <is>
          <t>$/MMBtu nom</t>
        </is>
      </c>
      <c r="F19" s="14" t="n">
        <v>3.716119</v>
      </c>
      <c r="G19" s="14" t="n">
        <v>6.516296</v>
      </c>
      <c r="H19" s="14" t="n">
        <v>2.671452</v>
      </c>
      <c r="I19" s="14" t="n">
        <v>2.417967</v>
      </c>
      <c r="J19" s="14" t="n">
        <v>2.77088012145514</v>
      </c>
      <c r="K19" s="14" t="n">
        <v>3.123793242910279</v>
      </c>
      <c r="L19" s="14" t="n">
        <v>3.476706364365419</v>
      </c>
      <c r="M19" s="14" t="n">
        <v>3.829619485820559</v>
      </c>
      <c r="N19" s="14" t="n">
        <v>4.182532607275698</v>
      </c>
      <c r="O19" s="14" t="n">
        <v>4.535445728730839</v>
      </c>
      <c r="P19" s="14" t="n">
        <v>4.663121680103883</v>
      </c>
      <c r="Q19" s="14" t="n">
        <v>4.790797631476926</v>
      </c>
      <c r="R19" s="14" t="n">
        <v>4.91847358284997</v>
      </c>
      <c r="S19" s="14" t="n">
        <v>5.046149534223014</v>
      </c>
      <c r="T19" s="14" t="n">
        <v>5.173825485596058</v>
      </c>
      <c r="U19" s="14" t="n">
        <v>5.301501436969102</v>
      </c>
      <c r="V19" s="14" t="n">
        <v>5.429177388342145</v>
      </c>
      <c r="W19" s="14" t="n">
        <v>5.55685333971519</v>
      </c>
      <c r="X19" s="14" t="n">
        <v>5.684529291088234</v>
      </c>
      <c r="Y19" s="14" t="n">
        <v>5.812205242461277</v>
      </c>
      <c r="Z19" s="14" t="n"/>
      <c r="AA19" s="14" t="n"/>
      <c r="AB19" s="14" t="n"/>
      <c r="AC19" s="14" t="n"/>
      <c r="AD19" s="14" t="n"/>
      <c r="AE19" s="14" t="inlineStr">
        <is>
          <t>legacy Mitigation row 653</t>
        </is>
      </c>
    </row>
    <row r="20">
      <c r="A20" s="14" t="inlineStr">
        <is>
          <t>IEA|nga.eur</t>
        </is>
      </c>
      <c r="B20" s="14" t="inlineStr">
        <is>
          <t>IEA</t>
        </is>
      </c>
      <c r="C20" s="14" t="inlineStr">
        <is>
          <t>nga.eur</t>
        </is>
      </c>
      <c r="D20" s="14" t="inlineStr">
        <is>
          <t>Natural Gas - Europe</t>
        </is>
      </c>
      <c r="E20" s="14" t="inlineStr">
        <is>
          <t>$/MMBtu nom</t>
        </is>
      </c>
      <c r="F20" s="14" t="n">
        <v>18.600467</v>
      </c>
      <c r="G20" s="14" t="n">
        <v>33.297022</v>
      </c>
      <c r="H20" s="14" t="n">
        <v>13.463505</v>
      </c>
      <c r="I20" s="14" t="n">
        <v>11.708527</v>
      </c>
      <c r="J20" s="14" t="n">
        <v>11.3658323097635</v>
      </c>
      <c r="K20" s="14" t="n">
        <v>11.02313761952701</v>
      </c>
      <c r="L20" s="14" t="n">
        <v>10.68044292929051</v>
      </c>
      <c r="M20" s="14" t="n">
        <v>10.33774823905401</v>
      </c>
      <c r="N20" s="14" t="n">
        <v>9.995053548817513</v>
      </c>
      <c r="O20" s="14" t="n">
        <v>9.652358858581016</v>
      </c>
      <c r="P20" s="14" t="n">
        <v>9.934620683299968</v>
      </c>
      <c r="Q20" s="14" t="n">
        <v>10.21688250801892</v>
      </c>
      <c r="R20" s="14" t="n">
        <v>10.49914433273788</v>
      </c>
      <c r="S20" s="14" t="n">
        <v>10.78140615745683</v>
      </c>
      <c r="T20" s="14" t="n">
        <v>11.06366798217578</v>
      </c>
      <c r="U20" s="14" t="n">
        <v>11.34592980689474</v>
      </c>
      <c r="V20" s="14" t="n">
        <v>11.62819163161369</v>
      </c>
      <c r="W20" s="14" t="n">
        <v>11.91045345633264</v>
      </c>
      <c r="X20" s="14" t="n">
        <v>12.1927152810516</v>
      </c>
      <c r="Y20" s="14" t="n">
        <v>12.47497710577055</v>
      </c>
      <c r="Z20" s="14" t="n"/>
      <c r="AA20" s="14" t="n"/>
      <c r="AB20" s="14" t="n"/>
      <c r="AC20" s="14" t="n"/>
      <c r="AD20" s="14" t="n"/>
      <c r="AE20" s="14" t="inlineStr">
        <is>
          <t>legacy Mitigation row 654</t>
        </is>
      </c>
    </row>
    <row r="21">
      <c r="A21" s="14" t="inlineStr">
        <is>
          <t>IEA|nga.glo</t>
        </is>
      </c>
      <c r="B21" s="14" t="inlineStr">
        <is>
          <t>IEA</t>
        </is>
      </c>
      <c r="C21" s="14" t="inlineStr">
        <is>
          <t>nga.glo</t>
        </is>
      </c>
      <c r="D21" s="14" t="inlineStr">
        <is>
          <t>Natural gas - Global</t>
        </is>
      </c>
      <c r="E21" s="14" t="inlineStr">
        <is>
          <t>$/MMBtu nom</t>
        </is>
      </c>
      <c r="F21" s="14" t="n">
        <v>12.74131633333333</v>
      </c>
      <c r="G21" s="14" t="n">
        <v>25.77771766666666</v>
      </c>
      <c r="H21" s="14" t="n">
        <v>9.672712666666667</v>
      </c>
      <c r="I21" s="14" t="n">
        <v>8.339211666666666</v>
      </c>
      <c r="J21" s="14" t="n">
        <v>8.157503100103513</v>
      </c>
      <c r="K21" s="14" t="n">
        <v>7.975794533540362</v>
      </c>
      <c r="L21" s="14" t="n">
        <v>7.794085966977209</v>
      </c>
      <c r="M21" s="14" t="n">
        <v>7.612377400414057</v>
      </c>
      <c r="N21" s="14" t="n">
        <v>7.430668833850903</v>
      </c>
      <c r="O21" s="14" t="n">
        <v>7.24896026728775</v>
      </c>
      <c r="P21" s="14" t="n">
        <v>7.492765114302522</v>
      </c>
      <c r="Q21" s="14" t="n">
        <v>7.736569961317294</v>
      </c>
      <c r="R21" s="14" t="n">
        <v>7.980374808332065</v>
      </c>
      <c r="S21" s="14" t="n">
        <v>8.224179655346836</v>
      </c>
      <c r="T21" s="14" t="n">
        <v>8.467984502361608</v>
      </c>
      <c r="U21" s="14" t="n">
        <v>8.71178934937638</v>
      </c>
      <c r="V21" s="14" t="n">
        <v>8.955594196391148</v>
      </c>
      <c r="W21" s="14" t="n">
        <v>9.19939904340592</v>
      </c>
      <c r="X21" s="14" t="n">
        <v>9.443203890420692</v>
      </c>
      <c r="Y21" s="14" t="n">
        <v>9.687008737435464</v>
      </c>
      <c r="Z21" s="14" t="n"/>
      <c r="AA21" s="14" t="n"/>
      <c r="AB21" s="14" t="n"/>
      <c r="AC21" s="14" t="n"/>
      <c r="AD21" s="14" t="n"/>
      <c r="AE21" s="14" t="inlineStr">
        <is>
          <t>legacy Mitigation row 655</t>
        </is>
      </c>
    </row>
    <row r="22">
      <c r="A22" s="14" t="inlineStr">
        <is>
          <t>EIA|oil</t>
        </is>
      </c>
      <c r="B22" s="14" t="inlineStr">
        <is>
          <t>EIA</t>
        </is>
      </c>
      <c r="C22" s="14" t="inlineStr">
        <is>
          <t>oil</t>
        </is>
      </c>
      <c r="D22" s="14" t="inlineStr">
        <is>
          <t>Crude Oil</t>
        </is>
      </c>
      <c r="E22" s="14" t="inlineStr">
        <is>
          <t>$/bbl nom</t>
        </is>
      </c>
      <c r="F22" s="14" t="n">
        <v>70.83150000000001</v>
      </c>
      <c r="G22" s="14" t="n">
        <v>102.129997</v>
      </c>
      <c r="H22" s="14" t="n">
        <v>95.329002</v>
      </c>
      <c r="I22" s="14" t="n">
        <v>98.708405</v>
      </c>
      <c r="J22" s="14" t="n">
        <v>94.878891</v>
      </c>
      <c r="K22" s="14" t="n">
        <v>97.83047500000001</v>
      </c>
      <c r="L22" s="14" t="n">
        <v>100.425552</v>
      </c>
      <c r="M22" s="14" t="n">
        <v>103.260544</v>
      </c>
      <c r="N22" s="14" t="n">
        <v>106.227829</v>
      </c>
      <c r="O22" s="14" t="n">
        <v>109.439186</v>
      </c>
      <c r="P22" s="14" t="n">
        <v>112.639786</v>
      </c>
      <c r="Q22" s="14" t="n">
        <v>116.265869</v>
      </c>
      <c r="R22" s="14" t="n">
        <v>119.618378</v>
      </c>
      <c r="S22" s="14" t="n">
        <v>123.399551</v>
      </c>
      <c r="T22" s="14" t="n">
        <v>127.457848</v>
      </c>
      <c r="U22" s="14" t="n">
        <v>131.215973</v>
      </c>
      <c r="V22" s="14" t="n">
        <v>135.083923</v>
      </c>
      <c r="W22" s="14" t="n">
        <v>138.850723</v>
      </c>
      <c r="X22" s="14" t="n">
        <v>142.697296</v>
      </c>
      <c r="Y22" s="14" t="n">
        <v>146.678238</v>
      </c>
      <c r="Z22" s="14" t="n">
        <v>150.81691</v>
      </c>
      <c r="AA22" s="14" t="n"/>
      <c r="AB22" s="14" t="n"/>
      <c r="AC22" s="14" t="n"/>
      <c r="AD22" s="14" t="n"/>
      <c r="AE22" s="14" t="inlineStr">
        <is>
          <t>legacy Mitigation row 658</t>
        </is>
      </c>
    </row>
    <row r="23">
      <c r="A23" s="14" t="inlineStr">
        <is>
          <t>EIA|coa</t>
        </is>
      </c>
      <c r="B23" s="14" t="inlineStr">
        <is>
          <t>EIA</t>
        </is>
      </c>
      <c r="C23" s="14" t="inlineStr">
        <is>
          <t>coa</t>
        </is>
      </c>
      <c r="D23" s="14" t="inlineStr">
        <is>
          <t>Coal</t>
        </is>
      </c>
      <c r="E23" s="14" t="inlineStr">
        <is>
          <t>$/ton nom</t>
        </is>
      </c>
      <c r="F23" s="14" t="n">
        <v>143.984744</v>
      </c>
      <c r="G23" s="14" t="n">
        <v>121.4953263754496</v>
      </c>
      <c r="H23" s="14" t="n">
        <v>123.3101185654207</v>
      </c>
      <c r="I23" s="14" t="n">
        <v>132.7172859651381</v>
      </c>
      <c r="J23" s="14" t="n">
        <v>136.8789462683526</v>
      </c>
      <c r="K23" s="14" t="n">
        <v>148.1173610735664</v>
      </c>
      <c r="L23" s="14" t="n">
        <v>164.7627264911876</v>
      </c>
      <c r="M23" s="14" t="n">
        <v>173.84431264902</v>
      </c>
      <c r="N23" s="14" t="n">
        <v>177.5080927236918</v>
      </c>
      <c r="O23" s="14" t="n">
        <v>188.2118799606094</v>
      </c>
      <c r="P23" s="14" t="n">
        <v>205.676116718544</v>
      </c>
      <c r="Q23" s="14" t="n">
        <v>201.9020397118767</v>
      </c>
      <c r="R23" s="14" t="n">
        <v>206.578567419714</v>
      </c>
      <c r="S23" s="14" t="n">
        <v>211.65033398908</v>
      </c>
      <c r="T23" s="14" t="n">
        <v>218.5087353643224</v>
      </c>
      <c r="U23" s="14" t="n">
        <v>228.8590720485948</v>
      </c>
      <c r="V23" s="14" t="n">
        <v>241.1093827663188</v>
      </c>
      <c r="W23" s="14" t="n">
        <v>263.494994594075</v>
      </c>
      <c r="X23" s="14" t="n">
        <v>271.582250610852</v>
      </c>
      <c r="Y23" s="14" t="n">
        <v>288.1960733440866</v>
      </c>
      <c r="Z23" s="14" t="n">
        <v>305.8262331361331</v>
      </c>
      <c r="AA23" s="14" t="n"/>
      <c r="AB23" s="14" t="n"/>
      <c r="AC23" s="14" t="n"/>
      <c r="AD23" s="14" t="n"/>
      <c r="AE23" s="14" t="inlineStr">
        <is>
          <t>legacy Mitigation row 659</t>
        </is>
      </c>
    </row>
    <row r="24">
      <c r="A24" s="14" t="inlineStr">
        <is>
          <t>EIA|nga.lng</t>
        </is>
      </c>
      <c r="B24" s="14" t="inlineStr">
        <is>
          <t>EIA</t>
        </is>
      </c>
      <c r="C24" s="14" t="inlineStr">
        <is>
          <t>nga.lng</t>
        </is>
      </c>
      <c r="D24" s="14" t="inlineStr">
        <is>
          <t>Natural Gas - LNG</t>
        </is>
      </c>
      <c r="E24" s="14" t="inlineStr">
        <is>
          <t>$/MMBtu nom</t>
        </is>
      </c>
      <c r="F24" s="14" t="n">
        <v>15.907363</v>
      </c>
      <c r="G24" s="14" t="n">
        <v>37.519835</v>
      </c>
      <c r="H24" s="14" t="n">
        <v>12.883181</v>
      </c>
      <c r="I24" s="14" t="n">
        <v>10.891141</v>
      </c>
      <c r="J24" s="14" t="n">
        <v>10.3357968690919</v>
      </c>
      <c r="K24" s="14" t="n">
        <v>9.780452738183799</v>
      </c>
      <c r="L24" s="14" t="n">
        <v>9.225108607275699</v>
      </c>
      <c r="M24" s="14" t="n">
        <v>8.669764476367599</v>
      </c>
      <c r="N24" s="14" t="n">
        <v>8.114420345459498</v>
      </c>
      <c r="O24" s="14" t="n">
        <v>7.559076214551397</v>
      </c>
      <c r="P24" s="14" t="n">
        <v>7.880552979503713</v>
      </c>
      <c r="Q24" s="14" t="n">
        <v>8.202029744456031</v>
      </c>
      <c r="R24" s="14" t="n">
        <v>8.523506509408348</v>
      </c>
      <c r="S24" s="14" t="n">
        <v>8.844983274360665</v>
      </c>
      <c r="T24" s="14" t="n">
        <v>9.16646003931298</v>
      </c>
      <c r="U24" s="14" t="n">
        <v>9.487936804265297</v>
      </c>
      <c r="V24" s="14" t="n">
        <v>9.809413569217615</v>
      </c>
      <c r="W24" s="14" t="n">
        <v>10.13089033416993</v>
      </c>
      <c r="X24" s="14" t="n">
        <v>10.45236709912225</v>
      </c>
      <c r="Y24" s="14" t="n">
        <v>10.77384386407456</v>
      </c>
      <c r="Z24" s="14" t="n"/>
      <c r="AA24" s="14" t="n"/>
      <c r="AB24" s="14" t="n"/>
      <c r="AC24" s="14" t="n"/>
      <c r="AD24" s="14" t="n"/>
      <c r="AE24" s="14" t="inlineStr">
        <is>
          <t>legacy Mitigation row 660</t>
        </is>
      </c>
    </row>
    <row r="25">
      <c r="A25" s="14" t="inlineStr">
        <is>
          <t>EIA|nga.nam</t>
        </is>
      </c>
      <c r="B25" s="14" t="inlineStr">
        <is>
          <t>EIA</t>
        </is>
      </c>
      <c r="C25" s="14" t="inlineStr">
        <is>
          <t>nga.nam</t>
        </is>
      </c>
      <c r="D25" s="14" t="inlineStr">
        <is>
          <t>Natural Gas - North Am</t>
        </is>
      </c>
      <c r="E25" s="14" t="inlineStr">
        <is>
          <t>$/MMBtu nom</t>
        </is>
      </c>
      <c r="F25" s="14" t="n">
        <v>3.716119</v>
      </c>
      <c r="G25" s="14" t="n">
        <v>6.523997</v>
      </c>
      <c r="H25" s="14" t="n">
        <v>5.48408</v>
      </c>
      <c r="I25" s="14" t="n">
        <v>4.344237</v>
      </c>
      <c r="J25" s="14" t="n">
        <v>3.803406</v>
      </c>
      <c r="K25" s="14" t="n">
        <v>3.4125</v>
      </c>
      <c r="L25" s="14" t="n">
        <v>3.244545</v>
      </c>
      <c r="M25" s="14" t="n">
        <v>3.252955</v>
      </c>
      <c r="N25" s="14" t="n">
        <v>3.354208</v>
      </c>
      <c r="O25" s="14" t="n">
        <v>3.535144</v>
      </c>
      <c r="P25" s="14" t="n">
        <v>3.779019</v>
      </c>
      <c r="Q25" s="14" t="n">
        <v>4.074234</v>
      </c>
      <c r="R25" s="14" t="n">
        <v>4.442329</v>
      </c>
      <c r="S25" s="14" t="n">
        <v>4.751782</v>
      </c>
      <c r="T25" s="14" t="n">
        <v>5.016179</v>
      </c>
      <c r="U25" s="14" t="n">
        <v>5.148898</v>
      </c>
      <c r="V25" s="14" t="n">
        <v>5.326049</v>
      </c>
      <c r="W25" s="14" t="n">
        <v>5.631648</v>
      </c>
      <c r="X25" s="14" t="n">
        <v>5.639552</v>
      </c>
      <c r="Y25" s="14" t="n">
        <v>5.992483</v>
      </c>
      <c r="Z25" s="14" t="n">
        <v>6.257671</v>
      </c>
      <c r="AA25" s="14" t="n"/>
      <c r="AB25" s="14" t="n"/>
      <c r="AC25" s="14" t="n"/>
      <c r="AD25" s="14" t="n"/>
      <c r="AE25" s="14" t="inlineStr">
        <is>
          <t>legacy Mitigation row 661</t>
        </is>
      </c>
    </row>
    <row r="26">
      <c r="A26" s="14" t="inlineStr">
        <is>
          <t>EIA|nga.eur</t>
        </is>
      </c>
      <c r="B26" s="14" t="inlineStr">
        <is>
          <t>EIA</t>
        </is>
      </c>
      <c r="C26" s="14" t="inlineStr">
        <is>
          <t>nga.eur</t>
        </is>
      </c>
      <c r="D26" s="14" t="inlineStr">
        <is>
          <t>Natural Gas - Europe</t>
        </is>
      </c>
      <c r="E26" s="14" t="inlineStr">
        <is>
          <t>$/MMBtu nom</t>
        </is>
      </c>
      <c r="F26" s="14" t="n">
        <v>18.600467</v>
      </c>
      <c r="G26" s="14" t="n">
        <v>33.297022</v>
      </c>
      <c r="H26" s="14" t="n">
        <v>13.463505</v>
      </c>
      <c r="I26" s="14" t="n">
        <v>11.708527</v>
      </c>
      <c r="J26" s="14" t="n">
        <v>11.3658323097635</v>
      </c>
      <c r="K26" s="14" t="n">
        <v>11.02313761952701</v>
      </c>
      <c r="L26" s="14" t="n">
        <v>10.68044292929051</v>
      </c>
      <c r="M26" s="14" t="n">
        <v>10.33774823905401</v>
      </c>
      <c r="N26" s="14" t="n">
        <v>9.995053548817513</v>
      </c>
      <c r="O26" s="14" t="n">
        <v>9.652358858581016</v>
      </c>
      <c r="P26" s="14" t="n">
        <v>9.934620683299968</v>
      </c>
      <c r="Q26" s="14" t="n">
        <v>10.21688250801892</v>
      </c>
      <c r="R26" s="14" t="n">
        <v>10.49914433273788</v>
      </c>
      <c r="S26" s="14" t="n">
        <v>10.78140615745683</v>
      </c>
      <c r="T26" s="14" t="n">
        <v>11.06366798217578</v>
      </c>
      <c r="U26" s="14" t="n">
        <v>11.34592980689474</v>
      </c>
      <c r="V26" s="14" t="n">
        <v>11.62819163161369</v>
      </c>
      <c r="W26" s="14" t="n">
        <v>11.91045345633264</v>
      </c>
      <c r="X26" s="14" t="n">
        <v>12.1927152810516</v>
      </c>
      <c r="Y26" s="14" t="n">
        <v>12.47497710577055</v>
      </c>
      <c r="Z26" s="14" t="n"/>
      <c r="AA26" s="14" t="n"/>
      <c r="AB26" s="14" t="n"/>
      <c r="AC26" s="14" t="n"/>
      <c r="AD26" s="14" t="n"/>
      <c r="AE26" s="14" t="inlineStr">
        <is>
          <t>legacy Mitigation row 662</t>
        </is>
      </c>
    </row>
    <row r="27">
      <c r="A27" s="14" t="inlineStr">
        <is>
          <t>EIA|nga.glo</t>
        </is>
      </c>
      <c r="B27" s="14" t="inlineStr">
        <is>
          <t>EIA</t>
        </is>
      </c>
      <c r="C27" s="14" t="inlineStr">
        <is>
          <t>nga.glo</t>
        </is>
      </c>
      <c r="D27" s="14" t="inlineStr">
        <is>
          <t>Natural gas - Global</t>
        </is>
      </c>
      <c r="E27" s="14" t="inlineStr">
        <is>
          <t>$/MMBtu nom</t>
        </is>
      </c>
      <c r="F27" s="14" t="n">
        <v>12.74131633333333</v>
      </c>
      <c r="G27" s="14" t="n">
        <v>25.78028466666667</v>
      </c>
      <c r="H27" s="14" t="n">
        <v>10.61025533333333</v>
      </c>
      <c r="I27" s="14" t="n">
        <v>8.981301666666667</v>
      </c>
      <c r="J27" s="14" t="n">
        <v>8.501678392951801</v>
      </c>
      <c r="K27" s="14" t="n">
        <v>8.072030119236935</v>
      </c>
      <c r="L27" s="14" t="n">
        <v>7.716698845522068</v>
      </c>
      <c r="M27" s="14" t="n">
        <v>7.420155905140536</v>
      </c>
      <c r="N27" s="14" t="n">
        <v>7.15456063142567</v>
      </c>
      <c r="O27" s="14" t="n">
        <v>6.915526357710804</v>
      </c>
      <c r="P27" s="14" t="n">
        <v>7.198064220934561</v>
      </c>
      <c r="Q27" s="14" t="n">
        <v>7.497715417491651</v>
      </c>
      <c r="R27" s="14" t="n">
        <v>7.821659947382074</v>
      </c>
      <c r="S27" s="14" t="n">
        <v>8.126057143939164</v>
      </c>
      <c r="T27" s="14" t="n">
        <v>8.415435673829588</v>
      </c>
      <c r="U27" s="14" t="n">
        <v>8.660921537053346</v>
      </c>
      <c r="V27" s="14" t="n">
        <v>8.921218066943768</v>
      </c>
      <c r="W27" s="14" t="n">
        <v>9.224330596834191</v>
      </c>
      <c r="X27" s="14" t="n">
        <v>9.428211460057947</v>
      </c>
      <c r="Y27" s="14" t="n">
        <v>9.747101323281704</v>
      </c>
      <c r="Z27" s="14" t="n">
        <v>6.257671</v>
      </c>
      <c r="AA27" s="14" t="n"/>
      <c r="AB27" s="14" t="n"/>
      <c r="AC27" s="14" t="n"/>
      <c r="AD27" s="14" t="n"/>
      <c r="AE27" s="14" t="inlineStr">
        <is>
          <t>legacy Mitigation row 663</t>
        </is>
      </c>
    </row>
    <row r="28">
      <c r="A28" s="14" t="inlineStr">
        <is>
          <t>AVG|oil</t>
        </is>
      </c>
      <c r="B28" s="14" t="inlineStr">
        <is>
          <t>AVG</t>
        </is>
      </c>
      <c r="C28" s="14" t="inlineStr">
        <is>
          <t>oil</t>
        </is>
      </c>
      <c r="D28" s="14" t="inlineStr">
        <is>
          <t>Crude Oil</t>
        </is>
      </c>
      <c r="E28" s="14" t="inlineStr">
        <is>
          <t>$/bbl nom</t>
        </is>
      </c>
      <c r="F28" s="14" t="n">
        <v>70.7344583333325</v>
      </c>
      <c r="G28" s="14" t="n">
        <v>99.98670491666751</v>
      </c>
      <c r="H28" s="14" t="n">
        <v>85.64693449999999</v>
      </c>
      <c r="I28" s="14" t="n">
        <v>84.80763741666749</v>
      </c>
      <c r="J28" s="14" t="n">
        <v>79.52722218236897</v>
      </c>
      <c r="K28" s="14" t="n">
        <v>83.47885736473795</v>
      </c>
      <c r="L28" s="14" t="n">
        <v>82.83755771540675</v>
      </c>
      <c r="M28" s="14" t="n">
        <v>83.90606367003787</v>
      </c>
      <c r="N28" s="14" t="n">
        <v>85.4120391640808</v>
      </c>
      <c r="O28" s="14" t="n">
        <v>87.04656942687247</v>
      </c>
      <c r="P28" s="14" t="n">
        <v>88.5709278112559</v>
      </c>
      <c r="Q28" s="14" t="n">
        <v>90.56586378321592</v>
      </c>
      <c r="R28" s="14" t="n">
        <v>92.49240625517594</v>
      </c>
      <c r="S28" s="14" t="n">
        <v>94.52611472713595</v>
      </c>
      <c r="T28" s="14" t="n">
        <v>96.62910419909599</v>
      </c>
      <c r="U28" s="14" t="n">
        <v>98.657050671056</v>
      </c>
      <c r="V28" s="14" t="n">
        <v>100.712453393016</v>
      </c>
      <c r="W28" s="14" t="n">
        <v>102.742568614976</v>
      </c>
      <c r="X28" s="14" t="n">
        <v>104.7926270869361</v>
      </c>
      <c r="Y28" s="14" t="n">
        <v>106.8762778088961</v>
      </c>
      <c r="Z28" s="14" t="n">
        <v>108.3709914726895</v>
      </c>
      <c r="AA28" s="14" t="n"/>
      <c r="AB28" s="14" t="n"/>
      <c r="AC28" s="14" t="n"/>
      <c r="AD28" s="14" t="n"/>
      <c r="AE28" s="14" t="inlineStr">
        <is>
          <t>legacy Mitigation row 666</t>
        </is>
      </c>
    </row>
    <row r="29">
      <c r="A29" s="14" t="inlineStr">
        <is>
          <t>AVG|coa</t>
        </is>
      </c>
      <c r="B29" s="14" t="inlineStr">
        <is>
          <t>AVG</t>
        </is>
      </c>
      <c r="C29" s="14" t="inlineStr">
        <is>
          <t>coa</t>
        </is>
      </c>
      <c r="D29" s="14" t="inlineStr">
        <is>
          <t>Coal</t>
        </is>
      </c>
      <c r="E29" s="14" t="inlineStr">
        <is>
          <t>$/ton nom</t>
        </is>
      </c>
      <c r="F29" s="14" t="n">
        <v>142.501058</v>
      </c>
      <c r="G29" s="14" t="n">
        <v>308.6820314271949</v>
      </c>
      <c r="H29" s="14" t="n">
        <v>168.0986133080227</v>
      </c>
      <c r="I29" s="14" t="n">
        <v>138.991679157952</v>
      </c>
      <c r="J29" s="14" t="n">
        <v>120.4385310670881</v>
      </c>
      <c r="K29" s="14" t="n">
        <v>131.0800832683916</v>
      </c>
      <c r="L29" s="14" t="n">
        <v>139.6053674828175</v>
      </c>
      <c r="M29" s="14" t="n">
        <v>142.3832948047412</v>
      </c>
      <c r="N29" s="14" t="n">
        <v>143.8490363091836</v>
      </c>
      <c r="O29" s="14" t="n">
        <v>147.0349259440295</v>
      </c>
      <c r="P29" s="14" t="n">
        <v>152.5585758984755</v>
      </c>
      <c r="Q29" s="14" t="n">
        <v>153.4085524160128</v>
      </c>
      <c r="R29" s="14" t="n">
        <v>156.3711801121763</v>
      </c>
      <c r="S29" s="14" t="n">
        <v>159.4326175237219</v>
      </c>
      <c r="T29" s="14" t="n">
        <v>162.9407136367366</v>
      </c>
      <c r="U29" s="14" t="n">
        <v>167.3217935770088</v>
      </c>
      <c r="V29" s="14" t="n">
        <v>172.177867025644</v>
      </c>
      <c r="W29" s="14" t="n">
        <v>179.5677657517871</v>
      </c>
      <c r="X29" s="14" t="n">
        <v>183.3830755251855</v>
      </c>
      <c r="Y29" s="14" t="n">
        <v>189.3300269776983</v>
      </c>
      <c r="Z29" s="14" t="n">
        <v>195.531062694914</v>
      </c>
      <c r="AA29" s="14" t="n"/>
      <c r="AB29" s="14" t="n"/>
      <c r="AC29" s="14" t="n"/>
      <c r="AD29" s="14" t="n"/>
      <c r="AE29" s="14" t="inlineStr">
        <is>
          <t>legacy Mitigation row 667</t>
        </is>
      </c>
    </row>
    <row r="30">
      <c r="A30" s="14" t="inlineStr">
        <is>
          <t>AVG|nga.lng</t>
        </is>
      </c>
      <c r="B30" s="14" t="inlineStr">
        <is>
          <t>AVG</t>
        </is>
      </c>
      <c r="C30" s="14" t="inlineStr">
        <is>
          <t>nga.lng</t>
        </is>
      </c>
      <c r="D30" s="14" t="inlineStr">
        <is>
          <t>Natural Gas - LNG</t>
        </is>
      </c>
      <c r="E30" s="14" t="inlineStr">
        <is>
          <t>$/MMBtu nom</t>
        </is>
      </c>
      <c r="F30" s="14" t="n">
        <v>16.87456931612667</v>
      </c>
      <c r="G30" s="14" t="n">
        <v>37.0523380474</v>
      </c>
      <c r="H30" s="14" t="n">
        <v>13.15336308206667</v>
      </c>
      <c r="I30" s="14" t="n">
        <v>11.18732584419667</v>
      </c>
      <c r="J30" s="14" t="n">
        <v>11.30784895636397</v>
      </c>
      <c r="K30" s="14" t="n">
        <v>11.74353991272793</v>
      </c>
      <c r="L30" s="14" t="n">
        <v>10.81703178376131</v>
      </c>
      <c r="M30" s="14" t="n">
        <v>9.655904911120693</v>
      </c>
      <c r="N30" s="14" t="n">
        <v>9.225573532254593</v>
      </c>
      <c r="O30" s="14" t="n">
        <v>9.065117865367418</v>
      </c>
      <c r="P30" s="14" t="n">
        <v>9.195054554752149</v>
      </c>
      <c r="Q30" s="14" t="n">
        <v>9.418686663016269</v>
      </c>
      <c r="R30" s="14" t="n">
        <v>9.642318771280388</v>
      </c>
      <c r="S30" s="14" t="n">
        <v>9.865950879544508</v>
      </c>
      <c r="T30" s="14" t="n">
        <v>10.08958298780863</v>
      </c>
      <c r="U30" s="14" t="n">
        <v>10.31321509607275</v>
      </c>
      <c r="V30" s="14" t="n">
        <v>10.53684720433687</v>
      </c>
      <c r="W30" s="14" t="n">
        <v>10.76047931260099</v>
      </c>
      <c r="X30" s="14" t="n">
        <v>10.98411142086511</v>
      </c>
      <c r="Y30" s="14" t="n">
        <v>11.20774352912923</v>
      </c>
      <c r="Z30" s="14" t="n">
        <v>11.59940314157658</v>
      </c>
      <c r="AA30" s="14" t="n"/>
      <c r="AB30" s="14" t="n"/>
      <c r="AC30" s="14" t="n"/>
      <c r="AD30" s="14" t="n"/>
      <c r="AE30" s="14" t="inlineStr">
        <is>
          <t>legacy Mitigation row 668</t>
        </is>
      </c>
    </row>
    <row r="31">
      <c r="A31" s="14" t="inlineStr">
        <is>
          <t>AVG|nga.nam</t>
        </is>
      </c>
      <c r="B31" s="14" t="inlineStr">
        <is>
          <t>AVG</t>
        </is>
      </c>
      <c r="C31" s="14" t="inlineStr">
        <is>
          <t>nga.nam</t>
        </is>
      </c>
      <c r="D31" s="14" t="inlineStr">
        <is>
          <t>Natural Gas - North Am</t>
        </is>
      </c>
      <c r="E31" s="14" t="inlineStr">
        <is>
          <t>$/MMBtu nom</t>
        </is>
      </c>
      <c r="F31" s="14" t="n">
        <v>3.7499413333325</v>
      </c>
      <c r="G31" s="14" t="n">
        <v>6.4812264166675</v>
      </c>
      <c r="H31" s="14" t="n">
        <v>3.3411980833325</v>
      </c>
      <c r="I31" s="14" t="n">
        <v>2.8428198333325</v>
      </c>
      <c r="J31" s="14" t="n">
        <v>3.402256530363785</v>
      </c>
      <c r="K31" s="14" t="n">
        <v>3.440345060727569</v>
      </c>
      <c r="L31" s="14" t="n">
        <v>3.567124937587317</v>
      </c>
      <c r="M31" s="14" t="n">
        <v>3.653805227428463</v>
      </c>
      <c r="N31" s="14" t="n">
        <v>3.768493831100492</v>
      </c>
      <c r="O31" s="14" t="n">
        <v>3.928279775319332</v>
      </c>
      <c r="P31" s="14" t="n">
        <v>4.041354442254187</v>
      </c>
      <c r="Q31" s="14" t="n">
        <v>4.181316172738633</v>
      </c>
      <c r="R31" s="14" t="n">
        <v>4.339497903223079</v>
      </c>
      <c r="S31" s="14" t="n">
        <v>4.483019133707525</v>
      </c>
      <c r="T31" s="14" t="n">
        <v>4.615276364191971</v>
      </c>
      <c r="U31" s="14" t="n">
        <v>4.714614094676415</v>
      </c>
      <c r="V31" s="14" t="n">
        <v>4.82505982516086</v>
      </c>
      <c r="W31" s="14" t="n">
        <v>4.967617555645306</v>
      </c>
      <c r="X31" s="14" t="n">
        <v>5.035751536129752</v>
      </c>
      <c r="Y31" s="14" t="n">
        <v>5.190142266614198</v>
      </c>
      <c r="Z31" s="14" t="n">
        <v>5.116835931520083</v>
      </c>
      <c r="AA31" s="14" t="n"/>
      <c r="AB31" s="14" t="n"/>
      <c r="AC31" s="14" t="n"/>
      <c r="AD31" s="14" t="n"/>
      <c r="AE31" s="14" t="inlineStr">
        <is>
          <t>legacy Mitigation row 669</t>
        </is>
      </c>
    </row>
    <row r="32">
      <c r="A32" s="14" t="inlineStr">
        <is>
          <t>AVG|nga.eur</t>
        </is>
      </c>
      <c r="B32" s="14" t="inlineStr">
        <is>
          <t>AVG</t>
        </is>
      </c>
      <c r="C32" s="14" t="inlineStr">
        <is>
          <t>nga.eur</t>
        </is>
      </c>
      <c r="D32" s="14" t="inlineStr">
        <is>
          <t>Natural Gas - Europe</t>
        </is>
      </c>
      <c r="E32" s="14" t="inlineStr">
        <is>
          <t>$/MMBtu nom</t>
        </is>
      </c>
      <c r="F32" s="14" t="n">
        <v>15.08982634128</v>
      </c>
      <c r="G32" s="14" t="n">
        <v>29.74792727954</v>
      </c>
      <c r="H32" s="14" t="n">
        <v>13.57793133222667</v>
      </c>
      <c r="I32" s="14" t="n">
        <v>11.81462731887667</v>
      </c>
      <c r="J32" s="14" t="n">
        <v>12.2594081032545</v>
      </c>
      <c r="K32" s="14" t="n">
        <v>12.71174953984234</v>
      </c>
      <c r="L32" s="14" t="n">
        <v>11.7781302399255</v>
      </c>
      <c r="M32" s="14" t="n">
        <v>10.68705373722216</v>
      </c>
      <c r="N32" s="14" t="n">
        <v>10.29050537790119</v>
      </c>
      <c r="O32" s="14" t="n">
        <v>10.17355578680909</v>
      </c>
      <c r="P32" s="14" t="n">
        <v>10.37105810266853</v>
      </c>
      <c r="Q32" s="14" t="n">
        <v>10.59033098352239</v>
      </c>
      <c r="R32" s="14" t="n">
        <v>10.80960386437625</v>
      </c>
      <c r="S32" s="14" t="n">
        <v>11.02887674523011</v>
      </c>
      <c r="T32" s="14" t="n">
        <v>11.24814962608396</v>
      </c>
      <c r="U32" s="14" t="n">
        <v>11.46742250693782</v>
      </c>
      <c r="V32" s="14" t="n">
        <v>11.68669538779167</v>
      </c>
      <c r="W32" s="14" t="n">
        <v>11.90596826864554</v>
      </c>
      <c r="X32" s="14" t="n">
        <v>12.12524114949939</v>
      </c>
      <c r="Y32" s="14" t="n">
        <v>12.34451403035325</v>
      </c>
      <c r="Z32" s="14" t="n">
        <v>12.4670609015659</v>
      </c>
      <c r="AA32" s="14" t="n"/>
      <c r="AB32" s="14" t="n"/>
      <c r="AC32" s="14" t="n"/>
      <c r="AD32" s="14" t="n"/>
      <c r="AE32" s="14" t="inlineStr">
        <is>
          <t>legacy Mitigation row 670</t>
        </is>
      </c>
    </row>
    <row r="33">
      <c r="A33" s="14" t="inlineStr">
        <is>
          <t>AVG|nga.glo</t>
        </is>
      </c>
      <c r="B33" s="14" t="inlineStr">
        <is>
          <t>AVG</t>
        </is>
      </c>
      <c r="C33" s="14" t="inlineStr">
        <is>
          <t>nga.glo</t>
        </is>
      </c>
      <c r="D33" s="14" t="inlineStr">
        <is>
          <t>Natural gas - Global</t>
        </is>
      </c>
      <c r="E33" s="14" t="inlineStr">
        <is>
          <t>$/MMBtu nom</t>
        </is>
      </c>
      <c r="F33" s="14" t="n">
        <v>11.90477899691306</v>
      </c>
      <c r="G33" s="14" t="n">
        <v>24.42716391453583</v>
      </c>
      <c r="H33" s="14" t="n">
        <v>10.02416416587528</v>
      </c>
      <c r="I33" s="14" t="n">
        <v>8.614924332135278</v>
      </c>
      <c r="J33" s="14" t="n">
        <v>8.989837863327418</v>
      </c>
      <c r="K33" s="14" t="n">
        <v>9.298544837765945</v>
      </c>
      <c r="L33" s="14" t="n">
        <v>8.720762320424706</v>
      </c>
      <c r="M33" s="14" t="n">
        <v>7.998921291923774</v>
      </c>
      <c r="N33" s="14" t="n">
        <v>7.761524247085426</v>
      </c>
      <c r="O33" s="14" t="n">
        <v>7.72231780916528</v>
      </c>
      <c r="P33" s="14" t="n">
        <v>7.869155699891624</v>
      </c>
      <c r="Q33" s="14" t="n">
        <v>8.063444606425763</v>
      </c>
      <c r="R33" s="14" t="n">
        <v>8.263806846293239</v>
      </c>
      <c r="S33" s="14" t="n">
        <v>8.459282252827379</v>
      </c>
      <c r="T33" s="14" t="n">
        <v>8.651002992694854</v>
      </c>
      <c r="U33" s="14" t="n">
        <v>8.831750565895661</v>
      </c>
      <c r="V33" s="14" t="n">
        <v>9.016200805763134</v>
      </c>
      <c r="W33" s="14" t="n">
        <v>9.21135504563061</v>
      </c>
      <c r="X33" s="14" t="n">
        <v>9.381701368831415</v>
      </c>
      <c r="Y33" s="14" t="n">
        <v>9.580799942032224</v>
      </c>
      <c r="Z33" s="14" t="n">
        <v>9.727766658220856</v>
      </c>
      <c r="AA33" s="14" t="n"/>
      <c r="AB33" s="14" t="n"/>
      <c r="AC33" s="14" t="n"/>
      <c r="AD33" s="14" t="n"/>
      <c r="AE33" s="14" t="inlineStr">
        <is>
          <t>legacy Mitigation row 671</t>
        </is>
      </c>
    </row>
    <row r="34">
      <c r="A34" s="14" t="inlineStr">
        <is>
          <t>IMF-IEA|oil</t>
        </is>
      </c>
      <c r="B34" s="14" t="inlineStr">
        <is>
          <t>IMF-IEA</t>
        </is>
      </c>
      <c r="C34" s="14" t="inlineStr">
        <is>
          <t>oil</t>
        </is>
      </c>
      <c r="D34" s="14" t="inlineStr">
        <is>
          <t>Crude Oil</t>
        </is>
      </c>
      <c r="E34" s="14" t="inlineStr">
        <is>
          <t>$/bbl nom</t>
        </is>
      </c>
      <c r="F34" s="14" t="n">
        <v>70.83150000000001</v>
      </c>
      <c r="G34" s="14" t="n">
        <v>98.99632800000001</v>
      </c>
      <c r="H34" s="14" t="n">
        <v>82.321243</v>
      </c>
      <c r="I34" s="14" t="n">
        <v>79.911739</v>
      </c>
      <c r="J34" s="14" t="n">
        <v>75.11499886473794</v>
      </c>
      <c r="K34" s="14" t="n">
        <v>82.04247722947591</v>
      </c>
      <c r="L34" s="14" t="n">
        <v>78.67181459421386</v>
      </c>
      <c r="M34" s="14" t="n">
        <v>78.78745445895181</v>
      </c>
      <c r="N34" s="14" t="n">
        <v>79.65084982368977</v>
      </c>
      <c r="O34" s="14" t="n">
        <v>80.61488168842772</v>
      </c>
      <c r="P34" s="14" t="n">
        <v>81.36358770335957</v>
      </c>
      <c r="Q34" s="14" t="n">
        <v>82.8407073934446</v>
      </c>
      <c r="R34" s="14" t="n">
        <v>84.31782708352964</v>
      </c>
      <c r="S34" s="14" t="n">
        <v>85.79494677361467</v>
      </c>
      <c r="T34" s="14" t="n">
        <v>87.27206646369972</v>
      </c>
      <c r="U34" s="14" t="n">
        <v>88.74918615378476</v>
      </c>
      <c r="V34" s="14" t="n">
        <v>90.2263058438698</v>
      </c>
      <c r="W34" s="14" t="n">
        <v>91.70342553395484</v>
      </c>
      <c r="X34" s="14" t="n">
        <v>93.18054522403988</v>
      </c>
      <c r="Y34" s="14" t="n">
        <v>94.65766491412492</v>
      </c>
      <c r="Z34" s="14" t="n">
        <v>81.38509950306393</v>
      </c>
      <c r="AA34" s="14" t="n"/>
      <c r="AB34" s="14" t="n"/>
      <c r="AC34" s="14" t="n"/>
      <c r="AD34" s="14" t="n"/>
      <c r="AE34" s="14" t="inlineStr">
        <is>
          <t>legacy Mitigation row 674</t>
        </is>
      </c>
    </row>
    <row r="35">
      <c r="A35" s="14" t="inlineStr">
        <is>
          <t>IMF-IEA|coa</t>
        </is>
      </c>
      <c r="B35" s="14" t="inlineStr">
        <is>
          <t>IMF-IEA</t>
        </is>
      </c>
      <c r="C35" s="14" t="inlineStr">
        <is>
          <t>coa</t>
        </is>
      </c>
      <c r="D35" s="14" t="inlineStr">
        <is>
          <t>Coal</t>
        </is>
      </c>
      <c r="E35" s="14" t="inlineStr">
        <is>
          <t>$/ton nom</t>
        </is>
      </c>
      <c r="F35" s="14" t="n">
        <v>143.984744</v>
      </c>
      <c r="G35" s="14" t="n">
        <v>384.169733</v>
      </c>
      <c r="H35" s="14" t="n">
        <v>188.152584</v>
      </c>
      <c r="I35" s="14" t="n">
        <v>143.551382</v>
      </c>
      <c r="J35" s="14" t="n">
        <v>112.437589</v>
      </c>
      <c r="K35" s="14" t="n">
        <v>135.601486</v>
      </c>
      <c r="L35" s="14" t="n">
        <v>143.176523</v>
      </c>
      <c r="M35" s="14" t="n">
        <v>143.310932</v>
      </c>
      <c r="N35" s="14" t="n">
        <v>143.44086</v>
      </c>
      <c r="O35" s="14" t="n">
        <v>143.44086</v>
      </c>
      <c r="P35" s="14" t="n">
        <v>144.7356300139154</v>
      </c>
      <c r="Q35" s="14" t="n">
        <v>147.3022100363143</v>
      </c>
      <c r="R35" s="14" t="n">
        <v>149.8687900587132</v>
      </c>
      <c r="S35" s="14" t="n">
        <v>152.435370081112</v>
      </c>
      <c r="T35" s="14" t="n">
        <v>155.0019501035109</v>
      </c>
      <c r="U35" s="14" t="n">
        <v>157.5685301259097</v>
      </c>
      <c r="V35" s="14" t="n">
        <v>160.1351101483086</v>
      </c>
      <c r="W35" s="14" t="n">
        <v>162.7016901707075</v>
      </c>
      <c r="X35" s="14" t="n">
        <v>165.2682701931063</v>
      </c>
      <c r="Y35" s="14" t="n">
        <v>167.8348502155052</v>
      </c>
      <c r="Z35" s="14" t="n">
        <v>170.401430237904</v>
      </c>
      <c r="AA35" s="14" t="n"/>
      <c r="AB35" s="14" t="n"/>
      <c r="AC35" s="14" t="n"/>
      <c r="AD35" s="14" t="n"/>
      <c r="AE35" s="14" t="inlineStr">
        <is>
          <t>legacy Mitigation row 675</t>
        </is>
      </c>
    </row>
    <row r="36">
      <c r="A36" s="14" t="inlineStr">
        <is>
          <t>IMF-IEA|nga.lng</t>
        </is>
      </c>
      <c r="B36" s="14" t="inlineStr">
        <is>
          <t>IMF-IEA</t>
        </is>
      </c>
      <c r="C36" s="14" t="inlineStr">
        <is>
          <t>nga.lng</t>
        </is>
      </c>
      <c r="D36" s="14" t="inlineStr">
        <is>
          <t>Natural Gas - LNG</t>
        </is>
      </c>
      <c r="E36" s="14" t="inlineStr">
        <is>
          <t>$/MMBtu nom</t>
        </is>
      </c>
      <c r="F36" s="14" t="n">
        <v>17.253915</v>
      </c>
      <c r="G36" s="14" t="n">
        <v>35.4084285</v>
      </c>
      <c r="H36" s="14" t="n">
        <v>13.173343</v>
      </c>
      <c r="I36" s="14" t="n">
        <v>11.299834</v>
      </c>
      <c r="J36" s="14" t="n">
        <v>11.21177343454595</v>
      </c>
      <c r="K36" s="14" t="n">
        <v>12.3653098690919</v>
      </c>
      <c r="L36" s="14" t="n">
        <v>10.86026280363785</v>
      </c>
      <c r="M36" s="14" t="n">
        <v>9.030507238183798</v>
      </c>
      <c r="N36" s="14" t="n">
        <v>8.288043672729749</v>
      </c>
      <c r="O36" s="14" t="n">
        <v>7.945371607275698</v>
      </c>
      <c r="P36" s="14" t="n">
        <v>8.038235489751857</v>
      </c>
      <c r="Q36" s="14" t="n">
        <v>8.271642500547099</v>
      </c>
      <c r="R36" s="14" t="n">
        <v>8.505049511342342</v>
      </c>
      <c r="S36" s="14" t="n">
        <v>8.738456522137584</v>
      </c>
      <c r="T36" s="14" t="n">
        <v>8.971863532932826</v>
      </c>
      <c r="U36" s="14" t="n">
        <v>9.205270543728068</v>
      </c>
      <c r="V36" s="14" t="n">
        <v>9.438677554523309</v>
      </c>
      <c r="W36" s="14" t="n">
        <v>9.672084565318553</v>
      </c>
      <c r="X36" s="14" t="n">
        <v>9.905491576113793</v>
      </c>
      <c r="Y36" s="14" t="n">
        <v>10.13889858690904</v>
      </c>
      <c r="Z36" s="14" t="n">
        <v>9.649290566381675</v>
      </c>
      <c r="AA36" s="14" t="n"/>
      <c r="AB36" s="14" t="n"/>
      <c r="AC36" s="14" t="n"/>
      <c r="AD36" s="14" t="n"/>
      <c r="AE36" s="14" t="inlineStr">
        <is>
          <t>legacy Mitigation row 676</t>
        </is>
      </c>
    </row>
    <row r="37">
      <c r="A37" s="14" t="inlineStr">
        <is>
          <t>IMF-IEA|nga.nam</t>
        </is>
      </c>
      <c r="B37" s="14" t="inlineStr">
        <is>
          <t>IMF-IEA</t>
        </is>
      </c>
      <c r="C37" s="14" t="inlineStr">
        <is>
          <t>nga.nam</t>
        </is>
      </c>
      <c r="D37" s="14" t="inlineStr">
        <is>
          <t>Natural Gas - North Am</t>
        </is>
      </c>
      <c r="E37" s="14" t="inlineStr">
        <is>
          <t>$/MMBtu nom</t>
        </is>
      </c>
      <c r="F37" s="14" t="n">
        <v>3.716119</v>
      </c>
      <c r="G37" s="14" t="n">
        <v>6.516296</v>
      </c>
      <c r="H37" s="14" t="n">
        <v>2.671452</v>
      </c>
      <c r="I37" s="14" t="n">
        <v>2.417967</v>
      </c>
      <c r="J37" s="14" t="n">
        <v>3.20281006072757</v>
      </c>
      <c r="K37" s="14" t="n">
        <v>3.32444012145514</v>
      </c>
      <c r="L37" s="14" t="n">
        <v>3.62135318218271</v>
      </c>
      <c r="M37" s="14" t="n">
        <v>3.75947624291028</v>
      </c>
      <c r="N37" s="14" t="n">
        <v>3.904057803637849</v>
      </c>
      <c r="O37" s="14" t="n">
        <v>4.097222864365419</v>
      </c>
      <c r="P37" s="14" t="n">
        <v>4.165477340051941</v>
      </c>
      <c r="Q37" s="14" t="n">
        <v>4.261835942837645</v>
      </c>
      <c r="R37" s="14" t="n">
        <v>4.358194545623348</v>
      </c>
      <c r="S37" s="14" t="n">
        <v>4.454553148409052</v>
      </c>
      <c r="T37" s="14" t="n">
        <v>4.550911751194755</v>
      </c>
      <c r="U37" s="14" t="n">
        <v>4.647270353980459</v>
      </c>
      <c r="V37" s="14" t="n">
        <v>4.743628956766162</v>
      </c>
      <c r="W37" s="14" t="n">
        <v>4.839987559551866</v>
      </c>
      <c r="X37" s="14" t="n">
        <v>4.93634616233757</v>
      </c>
      <c r="Y37" s="14" t="n">
        <v>5.032704765123273</v>
      </c>
      <c r="Z37" s="14" t="n">
        <v>4.318245541983631</v>
      </c>
      <c r="AA37" s="14" t="n"/>
      <c r="AB37" s="14" t="n"/>
      <c r="AC37" s="14" t="n"/>
      <c r="AD37" s="14" t="n"/>
      <c r="AE37" s="14" t="inlineStr">
        <is>
          <t>legacy Mitigation row 677</t>
        </is>
      </c>
    </row>
    <row r="38">
      <c r="A38" s="14" t="inlineStr">
        <is>
          <t>IMF-IEA|nga.eur</t>
        </is>
      </c>
      <c r="B38" s="14" t="inlineStr">
        <is>
          <t>IMF-IEA</t>
        </is>
      </c>
      <c r="C38" s="14" t="inlineStr">
        <is>
          <t>nga.eur</t>
        </is>
      </c>
      <c r="D38" s="14" t="inlineStr">
        <is>
          <t>Natural Gas - Europe</t>
        </is>
      </c>
      <c r="E38" s="14" t="inlineStr">
        <is>
          <t>$/MMBtu nom</t>
        </is>
      </c>
      <c r="F38" s="14" t="n">
        <v>17.253915</v>
      </c>
      <c r="G38" s="14" t="n">
        <v>35.4084285</v>
      </c>
      <c r="H38" s="14" t="n">
        <v>13.173343</v>
      </c>
      <c r="I38" s="14" t="n">
        <v>11.299834</v>
      </c>
      <c r="J38" s="14" t="n">
        <v>11.63911215488175</v>
      </c>
      <c r="K38" s="14" t="n">
        <v>12.8176243097635</v>
      </c>
      <c r="L38" s="14" t="n">
        <v>11.27995146464525</v>
      </c>
      <c r="M38" s="14" t="n">
        <v>9.538497119527005</v>
      </c>
      <c r="N38" s="14" t="n">
        <v>8.828238274408756</v>
      </c>
      <c r="O38" s="14" t="n">
        <v>8.531398929290507</v>
      </c>
      <c r="P38" s="14" t="n">
        <v>8.706174841649984</v>
      </c>
      <c r="Q38" s="14" t="n">
        <v>8.913606601501083</v>
      </c>
      <c r="R38" s="14" t="n">
        <v>9.121038361352181</v>
      </c>
      <c r="S38" s="14" t="n">
        <v>9.328470121203278</v>
      </c>
      <c r="T38" s="14" t="n">
        <v>9.535901881054375</v>
      </c>
      <c r="U38" s="14" t="n">
        <v>9.743333640905472</v>
      </c>
      <c r="V38" s="14" t="n">
        <v>9.95076540075657</v>
      </c>
      <c r="W38" s="14" t="n">
        <v>10.15819716060767</v>
      </c>
      <c r="X38" s="14" t="n">
        <v>10.36562892045877</v>
      </c>
      <c r="Y38" s="14" t="n">
        <v>10.57306068030987</v>
      </c>
      <c r="Z38" s="14" t="n">
        <v>8.803745949832422</v>
      </c>
      <c r="AA38" s="14" t="n"/>
      <c r="AB38" s="14" t="n"/>
      <c r="AC38" s="14" t="n"/>
      <c r="AD38" s="14" t="n"/>
      <c r="AE38" s="14" t="inlineStr">
        <is>
          <t>legacy Mitigation row 678</t>
        </is>
      </c>
    </row>
    <row r="39">
      <c r="A39" s="14" t="inlineStr">
        <is>
          <t>IMF-IEA|nga.glo</t>
        </is>
      </c>
      <c r="B39" s="14" t="inlineStr">
        <is>
          <t>IMF-IEA</t>
        </is>
      </c>
      <c r="C39" s="14" t="inlineStr">
        <is>
          <t>nga.glo</t>
        </is>
      </c>
      <c r="D39" s="14" t="inlineStr">
        <is>
          <t>Natural gas - Global</t>
        </is>
      </c>
      <c r="E39" s="14" t="inlineStr">
        <is>
          <t>$/MMBtu nom</t>
        </is>
      </c>
      <c r="F39" s="14" t="n">
        <v>12.74131633333333</v>
      </c>
      <c r="G39" s="14" t="n">
        <v>25.77771766666666</v>
      </c>
      <c r="H39" s="14" t="n">
        <v>9.672712666666667</v>
      </c>
      <c r="I39" s="14" t="n">
        <v>8.339211666666667</v>
      </c>
      <c r="J39" s="14" t="n">
        <v>8.684565216718424</v>
      </c>
      <c r="K39" s="14" t="n">
        <v>9.502458100103514</v>
      </c>
      <c r="L39" s="14" t="n">
        <v>8.58718915015527</v>
      </c>
      <c r="M39" s="14" t="n">
        <v>7.442826866873695</v>
      </c>
      <c r="N39" s="14" t="n">
        <v>7.006779916925452</v>
      </c>
      <c r="O39" s="14" t="n">
        <v>6.857997800310542</v>
      </c>
      <c r="P39" s="14" t="n">
        <v>6.96996255715126</v>
      </c>
      <c r="Q39" s="14" t="n">
        <v>7.149028348295276</v>
      </c>
      <c r="R39" s="14" t="n">
        <v>7.32809413943929</v>
      </c>
      <c r="S39" s="14" t="n">
        <v>7.507159930583305</v>
      </c>
      <c r="T39" s="14" t="n">
        <v>7.686225721727318</v>
      </c>
      <c r="U39" s="14" t="n">
        <v>7.865291512871333</v>
      </c>
      <c r="V39" s="14" t="n">
        <v>8.044357304015348</v>
      </c>
      <c r="W39" s="14" t="n">
        <v>8.223423095159363</v>
      </c>
      <c r="X39" s="14" t="n">
        <v>8.402488886303376</v>
      </c>
      <c r="Y39" s="14" t="n">
        <v>8.581554677447391</v>
      </c>
      <c r="Z39" s="14" t="n">
        <v>7.590427352732576</v>
      </c>
      <c r="AA39" s="14" t="n"/>
      <c r="AB39" s="14" t="n"/>
      <c r="AC39" s="14" t="n"/>
      <c r="AD39" s="14" t="n"/>
      <c r="AE39" s="14" t="inlineStr">
        <is>
          <t>legacy Mitigation row 679</t>
        </is>
      </c>
    </row>
    <row r="40">
      <c r="A40" s="14" t="inlineStr">
        <is>
          <t>IMF-WB|oil</t>
        </is>
      </c>
      <c r="B40" s="14" t="inlineStr">
        <is>
          <t>IMF-WB</t>
        </is>
      </c>
      <c r="C40" s="14" t="inlineStr">
        <is>
          <t>oil</t>
        </is>
      </c>
      <c r="D40" s="14" t="inlineStr">
        <is>
          <t>Crude Oil</t>
        </is>
      </c>
      <c r="E40" s="14" t="inlineStr">
        <is>
          <t>$/bbl nom</t>
        </is>
      </c>
      <c r="F40" s="14" t="n">
        <v>70.637416666665</v>
      </c>
      <c r="G40" s="14" t="n">
        <v>99.41024733333501</v>
      </c>
      <c r="H40" s="14" t="n">
        <v>82.46874649999999</v>
      </c>
      <c r="I40" s="14" t="n">
        <v>80.30520283333499</v>
      </c>
      <c r="J40" s="14" t="n">
        <v>70.6624535</v>
      </c>
      <c r="K40" s="14" t="n">
        <v>76.093256</v>
      </c>
      <c r="L40" s="14" t="n">
        <v>72.51644233659962</v>
      </c>
      <c r="M40" s="14" t="n">
        <v>72.23928238112394</v>
      </c>
      <c r="N40" s="14" t="n">
        <v>72.77091500447182</v>
      </c>
      <c r="O40" s="14" t="n">
        <v>73.43762116531721</v>
      </c>
      <c r="P40" s="14" t="n">
        <v>74.02182791915223</v>
      </c>
      <c r="Q40" s="14" t="n">
        <v>75.33444834814043</v>
      </c>
      <c r="R40" s="14" t="n">
        <v>76.64706877712862</v>
      </c>
      <c r="S40" s="14" t="n">
        <v>77.95968920611682</v>
      </c>
      <c r="T40" s="14" t="n">
        <v>79.27230963510502</v>
      </c>
      <c r="U40" s="14" t="n">
        <v>80.58493006409321</v>
      </c>
      <c r="V40" s="14" t="n">
        <v>81.89755049308141</v>
      </c>
      <c r="W40" s="14" t="n">
        <v>83.21017092206961</v>
      </c>
      <c r="X40" s="14" t="n">
        <v>84.5227913510578</v>
      </c>
      <c r="Y40" s="14" t="n">
        <v>85.83541178004602</v>
      </c>
      <c r="Z40" s="14" t="n">
        <v>87.1480322090342</v>
      </c>
      <c r="AA40" s="14" t="n"/>
      <c r="AB40" s="14" t="n"/>
      <c r="AC40" s="14" t="n"/>
      <c r="AD40" s="14" t="n"/>
      <c r="AE40" s="14" t="inlineStr">
        <is>
          <t>legacy Mitigation row 682</t>
        </is>
      </c>
    </row>
    <row r="41">
      <c r="A41" s="14" t="inlineStr">
        <is>
          <t>IMF-WB|coa</t>
        </is>
      </c>
      <c r="B41" s="14" t="inlineStr">
        <is>
          <t>IMF-WB</t>
        </is>
      </c>
      <c r="C41" s="14" t="inlineStr">
        <is>
          <t>coa</t>
        </is>
      </c>
      <c r="D41" s="14" t="inlineStr">
        <is>
          <t>Coal</t>
        </is>
      </c>
      <c r="E41" s="14" t="inlineStr">
        <is>
          <t>$/ton nom</t>
        </is>
      </c>
      <c r="F41" s="14" t="n">
        <v>141.017372</v>
      </c>
      <c r="G41" s="14" t="n">
        <v>364.531533166665</v>
      </c>
      <c r="H41" s="14" t="n">
        <v>180.465875333335</v>
      </c>
      <c r="I41" s="14" t="n">
        <v>139.849024333335</v>
      </c>
      <c r="J41" s="14" t="n">
        <v>116.2187945</v>
      </c>
      <c r="K41" s="14" t="n">
        <v>120.300743</v>
      </c>
      <c r="L41" s="14" t="n">
        <v>125.2411102200411</v>
      </c>
      <c r="M41" s="14" t="n">
        <v>126.1889672849724</v>
      </c>
      <c r="N41" s="14" t="n">
        <v>127.2235962565214</v>
      </c>
      <c r="O41" s="14" t="n">
        <v>128.2434819077543</v>
      </c>
      <c r="P41" s="14" t="n">
        <v>129.2638934237636</v>
      </c>
      <c r="Q41" s="14" t="n">
        <v>131.5561149482565</v>
      </c>
      <c r="R41" s="14" t="n">
        <v>133.8483364727493</v>
      </c>
      <c r="S41" s="14" t="n">
        <v>136.1405579972422</v>
      </c>
      <c r="T41" s="14" t="n">
        <v>138.432779521735</v>
      </c>
      <c r="U41" s="14" t="n">
        <v>140.7250010462278</v>
      </c>
      <c r="V41" s="14" t="n">
        <v>143.0172225707206</v>
      </c>
      <c r="W41" s="14" t="n">
        <v>145.3094440952135</v>
      </c>
      <c r="X41" s="14" t="n">
        <v>147.6016656197063</v>
      </c>
      <c r="Y41" s="14" t="n">
        <v>149.8938871441991</v>
      </c>
      <c r="Z41" s="14" t="n">
        <v>152.186108668692</v>
      </c>
      <c r="AA41" s="14" t="n"/>
      <c r="AB41" s="14" t="n"/>
      <c r="AC41" s="14" t="n"/>
      <c r="AD41" s="14" t="n"/>
      <c r="AE41" s="14" t="inlineStr">
        <is>
          <t>legacy Mitigation row 683</t>
        </is>
      </c>
    </row>
    <row r="42">
      <c r="A42" s="14" t="inlineStr">
        <is>
          <t>IMF-WB|nga.lng</t>
        </is>
      </c>
      <c r="B42" s="14" t="inlineStr">
        <is>
          <t>IMF-WB</t>
        </is>
      </c>
      <c r="C42" s="14" t="inlineStr">
        <is>
          <t>nga.lng</t>
        </is>
      </c>
      <c r="D42" s="14" t="inlineStr">
        <is>
          <t>Natural Gas - LNG</t>
        </is>
      </c>
      <c r="E42" s="14" t="inlineStr">
        <is>
          <t>$/MMBtu nom</t>
        </is>
      </c>
      <c r="F42" s="14" t="n">
        <v>17.35817247419</v>
      </c>
      <c r="G42" s="14" t="n">
        <v>36.8185895711</v>
      </c>
      <c r="H42" s="14" t="n">
        <v>13.2884541231</v>
      </c>
      <c r="I42" s="14" t="n">
        <v>11.335418266295</v>
      </c>
      <c r="J42" s="14" t="n">
        <v>11.793875</v>
      </c>
      <c r="K42" s="14" t="n">
        <v>12.7250835</v>
      </c>
      <c r="L42" s="14" t="n">
        <v>11.61299337200411</v>
      </c>
      <c r="M42" s="14" t="n">
        <v>10.14897512849724</v>
      </c>
      <c r="N42" s="14" t="n">
        <v>9.781150125652141</v>
      </c>
      <c r="O42" s="14" t="n">
        <v>9.818138690775427</v>
      </c>
      <c r="P42" s="14" t="n">
        <v>9.852305342376367</v>
      </c>
      <c r="Q42" s="14" t="n">
        <v>10.02701512229639</v>
      </c>
      <c r="R42" s="14" t="n">
        <v>10.20172490221641</v>
      </c>
      <c r="S42" s="14" t="n">
        <v>10.37643468213643</v>
      </c>
      <c r="T42" s="14" t="n">
        <v>10.55114446205645</v>
      </c>
      <c r="U42" s="14" t="n">
        <v>10.72585424197647</v>
      </c>
      <c r="V42" s="14" t="n">
        <v>10.9005640218965</v>
      </c>
      <c r="W42" s="14" t="n">
        <v>11.07527380181652</v>
      </c>
      <c r="X42" s="14" t="n">
        <v>11.24998358173654</v>
      </c>
      <c r="Y42" s="14" t="n">
        <v>11.42469336165656</v>
      </c>
      <c r="Z42" s="14" t="n">
        <v>11.59940314157658</v>
      </c>
      <c r="AA42" s="14" t="n"/>
      <c r="AB42" s="14" t="n"/>
      <c r="AC42" s="14" t="n"/>
      <c r="AD42" s="14" t="n"/>
      <c r="AE42" s="14" t="inlineStr">
        <is>
          <t>legacy Mitigation row 684</t>
        </is>
      </c>
    </row>
    <row r="43">
      <c r="A43" s="14" t="inlineStr">
        <is>
          <t>IMF-WB|nga.nam</t>
        </is>
      </c>
      <c r="B43" s="14" t="inlineStr">
        <is>
          <t>IMF-WB</t>
        </is>
      </c>
      <c r="C43" s="14" t="inlineStr">
        <is>
          <t>nga.nam</t>
        </is>
      </c>
      <c r="D43" s="14" t="inlineStr">
        <is>
          <t>Natural Gas - North Am</t>
        </is>
      </c>
      <c r="E43" s="14" t="inlineStr">
        <is>
          <t>$/MMBtu nom</t>
        </is>
      </c>
      <c r="F43" s="14" t="n">
        <v>3.783763666665</v>
      </c>
      <c r="G43" s="14" t="n">
        <v>6.442306333335</v>
      </c>
      <c r="H43" s="14" t="n">
        <v>2.604630166665</v>
      </c>
      <c r="I43" s="14" t="n">
        <v>2.304537666665</v>
      </c>
      <c r="J43" s="14" t="n">
        <v>3.51737</v>
      </c>
      <c r="K43" s="14" t="n">
        <v>3.6125435</v>
      </c>
      <c r="L43" s="14" t="n">
        <v>3.773624192991925</v>
      </c>
      <c r="M43" s="14" t="n">
        <v>3.766323211946647</v>
      </c>
      <c r="N43" s="14" t="n">
        <v>3.768617358563136</v>
      </c>
      <c r="O43" s="14" t="n">
        <v>3.821264686273246</v>
      </c>
      <c r="P43" s="14" t="n">
        <v>3.861638544456434</v>
      </c>
      <c r="Q43" s="14" t="n">
        <v>3.930116529738803</v>
      </c>
      <c r="R43" s="14" t="n">
        <v>3.998594515021173</v>
      </c>
      <c r="S43" s="14" t="n">
        <v>4.067072500303541</v>
      </c>
      <c r="T43" s="14" t="n">
        <v>4.13555048558591</v>
      </c>
      <c r="U43" s="14" t="n">
        <v>4.20402847086828</v>
      </c>
      <c r="V43" s="14" t="n">
        <v>4.272506456150649</v>
      </c>
      <c r="W43" s="14" t="n">
        <v>4.340984441433019</v>
      </c>
      <c r="X43" s="14" t="n">
        <v>4.409462426715387</v>
      </c>
      <c r="Y43" s="14" t="n">
        <v>4.477940411997757</v>
      </c>
      <c r="Z43" s="14" t="n">
        <v>4.546418397280124</v>
      </c>
      <c r="AA43" s="14" t="n"/>
      <c r="AB43" s="14" t="n"/>
      <c r="AC43" s="14" t="n"/>
      <c r="AD43" s="14" t="n"/>
      <c r="AE43" s="14" t="inlineStr">
        <is>
          <t>legacy Mitigation row 685</t>
        </is>
      </c>
    </row>
    <row r="44">
      <c r="A44" s="14" t="inlineStr">
        <is>
          <t>IMF-WB|nga.eur</t>
        </is>
      </c>
      <c r="B44" s="14" t="inlineStr">
        <is>
          <t>IMF-WB</t>
        </is>
      </c>
      <c r="C44" s="14" t="inlineStr">
        <is>
          <t>nga.eur</t>
        </is>
      </c>
      <c r="D44" s="14" t="inlineStr">
        <is>
          <t>Natural Gas - Europe</t>
        </is>
      </c>
      <c r="E44" s="14" t="inlineStr">
        <is>
          <t>$/MMBtu nom</t>
        </is>
      </c>
      <c r="F44" s="14" t="n">
        <v>13.33450601192</v>
      </c>
      <c r="G44" s="14" t="n">
        <v>27.97337991931</v>
      </c>
      <c r="H44" s="14" t="n">
        <v>13.63514449834</v>
      </c>
      <c r="I44" s="14" t="n">
        <v>11.867677478315</v>
      </c>
      <c r="J44" s="14" t="n">
        <v>12.706196</v>
      </c>
      <c r="K44" s="14" t="n">
        <v>13.5560555</v>
      </c>
      <c r="L44" s="14" t="n">
        <v>12.32697389524299</v>
      </c>
      <c r="M44" s="14" t="n">
        <v>10.86170648630624</v>
      </c>
      <c r="N44" s="14" t="n">
        <v>10.43823129244303</v>
      </c>
      <c r="O44" s="14" t="n">
        <v>10.43415425092313</v>
      </c>
      <c r="P44" s="14" t="n">
        <v>10.58927681235282</v>
      </c>
      <c r="Q44" s="14" t="n">
        <v>10.77705522127413</v>
      </c>
      <c r="R44" s="14" t="n">
        <v>10.96483363019544</v>
      </c>
      <c r="S44" s="14" t="n">
        <v>11.15261203911674</v>
      </c>
      <c r="T44" s="14" t="n">
        <v>11.34039044803805</v>
      </c>
      <c r="U44" s="14" t="n">
        <v>11.52816885695936</v>
      </c>
      <c r="V44" s="14" t="n">
        <v>11.71594726588067</v>
      </c>
      <c r="W44" s="14" t="n">
        <v>11.90372567480198</v>
      </c>
      <c r="X44" s="14" t="n">
        <v>12.09150408372329</v>
      </c>
      <c r="Y44" s="14" t="n">
        <v>12.2792824926446</v>
      </c>
      <c r="Z44" s="14" t="n">
        <v>12.4670609015659</v>
      </c>
      <c r="AA44" s="14" t="n"/>
      <c r="AB44" s="14" t="n"/>
      <c r="AC44" s="14" t="n"/>
      <c r="AD44" s="14" t="n"/>
      <c r="AE44" s="14" t="inlineStr">
        <is>
          <t>legacy Mitigation row 686</t>
        </is>
      </c>
    </row>
    <row r="45">
      <c r="A45" s="14" t="inlineStr">
        <is>
          <t>IMF-WB|nga.glo</t>
        </is>
      </c>
      <c r="B45" s="14" t="inlineStr">
        <is>
          <t>IMF-WB</t>
        </is>
      </c>
      <c r="C45" s="14" t="inlineStr">
        <is>
          <t>nga.glo</t>
        </is>
      </c>
      <c r="D45" s="14" t="inlineStr">
        <is>
          <t>Natural gas - Global</t>
        </is>
      </c>
      <c r="E45" s="14" t="inlineStr">
        <is>
          <t>$/MMBtu nom</t>
        </is>
      </c>
      <c r="F45" s="14" t="n">
        <v>11.49214738425833</v>
      </c>
      <c r="G45" s="14" t="n">
        <v>23.744758607915</v>
      </c>
      <c r="H45" s="14" t="n">
        <v>9.842742929368333</v>
      </c>
      <c r="I45" s="14" t="n">
        <v>8.502544470425001</v>
      </c>
      <c r="J45" s="14" t="n">
        <v>9.339146999999999</v>
      </c>
      <c r="K45" s="14" t="n">
        <v>9.964560833333334</v>
      </c>
      <c r="L45" s="14" t="n">
        <v>9.237863820079674</v>
      </c>
      <c r="M45" s="14" t="n">
        <v>8.25900160891671</v>
      </c>
      <c r="N45" s="14" t="n">
        <v>7.995999592219434</v>
      </c>
      <c r="O45" s="14" t="n">
        <v>8.024519209323934</v>
      </c>
      <c r="P45" s="14" t="n">
        <v>8.101073566395206</v>
      </c>
      <c r="Q45" s="14" t="n">
        <v>8.244728957769773</v>
      </c>
      <c r="R45" s="14" t="n">
        <v>8.38838434914434</v>
      </c>
      <c r="S45" s="14" t="n">
        <v>8.532039740518906</v>
      </c>
      <c r="T45" s="14" t="n">
        <v>8.675695131893471</v>
      </c>
      <c r="U45" s="14" t="n">
        <v>8.819350523268039</v>
      </c>
      <c r="V45" s="14" t="n">
        <v>8.963005914642606</v>
      </c>
      <c r="W45" s="14" t="n">
        <v>9.106661306017171</v>
      </c>
      <c r="X45" s="14" t="n">
        <v>9.250316697391737</v>
      </c>
      <c r="Y45" s="14" t="n">
        <v>9.393972088766306</v>
      </c>
      <c r="Z45" s="14" t="n">
        <v>9.53762748014087</v>
      </c>
      <c r="AA45" s="14" t="n"/>
      <c r="AB45" s="14" t="n"/>
      <c r="AC45" s="14" t="n"/>
      <c r="AD45" s="14" t="n"/>
      <c r="AE45" s="14" t="inlineStr">
        <is>
          <t>legacy Mitigation row 687</t>
        </is>
      </c>
    </row>
    <row r="46">
      <c r="A46" s="14" t="inlineStr">
        <is>
          <t>Manual|oil</t>
        </is>
      </c>
      <c r="B46" s="14" t="inlineStr">
        <is>
          <t>Manual</t>
        </is>
      </c>
      <c r="C46" s="14" t="inlineStr">
        <is>
          <t>oil</t>
        </is>
      </c>
      <c r="D46" s="14" t="inlineStr">
        <is>
          <t>Crude Oil</t>
        </is>
      </c>
      <c r="E46" s="14" t="inlineStr">
        <is>
          <t>$/bbl nom</t>
        </is>
      </c>
      <c r="F46" s="14" t="n">
        <v>70.83150000000001</v>
      </c>
      <c r="G46" s="14" t="n">
        <v>98.99632800000001</v>
      </c>
      <c r="H46" s="14" t="n">
        <v>82.321243</v>
      </c>
      <c r="I46" s="14" t="n">
        <v>79.911739</v>
      </c>
      <c r="J46" s="14" t="n">
        <v>68.324907</v>
      </c>
      <c r="K46" s="14" t="n">
        <v>27.86986666666667</v>
      </c>
      <c r="L46" s="14" t="n">
        <v>24.23466666666667</v>
      </c>
      <c r="M46" s="14" t="n">
        <v>21.0736231884058</v>
      </c>
      <c r="N46" s="14" t="n">
        <v>18.32488972904852</v>
      </c>
      <c r="O46" s="14" t="n">
        <v>18.32488972904852</v>
      </c>
      <c r="P46" s="14" t="n">
        <v>18.32488972904852</v>
      </c>
      <c r="Q46" s="14" t="n">
        <v>18.32488972904852</v>
      </c>
      <c r="R46" s="14" t="n">
        <v>18.32488972904852</v>
      </c>
      <c r="S46" s="14" t="n">
        <v>18.32488972904852</v>
      </c>
      <c r="T46" s="14" t="n">
        <v>18.32488972904852</v>
      </c>
      <c r="U46" s="14" t="n">
        <v>18.32488972904852</v>
      </c>
      <c r="V46" s="14" t="n">
        <v>18.32488972904852</v>
      </c>
      <c r="W46" s="14" t="n">
        <v>18.32488972904852</v>
      </c>
      <c r="X46" s="14" t="n">
        <v>18.32488972904852</v>
      </c>
      <c r="Y46" s="14" t="n">
        <v>18.32488972904852</v>
      </c>
      <c r="Z46" s="14" t="n">
        <v>18.32488972904852</v>
      </c>
      <c r="AA46" s="14" t="n"/>
      <c r="AB46" s="14" t="n"/>
      <c r="AC46" s="14" t="n"/>
      <c r="AD46" s="14" t="n"/>
      <c r="AE46" s="14" t="inlineStr">
        <is>
          <t>legacy Mitigation row 690</t>
        </is>
      </c>
    </row>
    <row r="47">
      <c r="A47" s="14" t="inlineStr">
        <is>
          <t>Manual|coa</t>
        </is>
      </c>
      <c r="B47" s="14" t="inlineStr">
        <is>
          <t>Manual</t>
        </is>
      </c>
      <c r="C47" s="14" t="inlineStr">
        <is>
          <t>coa</t>
        </is>
      </c>
      <c r="D47" s="14" t="inlineStr">
        <is>
          <t>Coal</t>
        </is>
      </c>
      <c r="E47" s="14" t="inlineStr">
        <is>
          <t>$/ton nom</t>
        </is>
      </c>
      <c r="F47" s="14" t="n">
        <v>143.984744</v>
      </c>
      <c r="G47" s="14" t="n">
        <v>384.169733</v>
      </c>
      <c r="H47" s="14" t="n">
        <v>188.152584</v>
      </c>
      <c r="I47" s="14" t="n">
        <v>143.551382</v>
      </c>
      <c r="J47" s="14" t="n">
        <v>112.437589</v>
      </c>
      <c r="K47" s="14" t="n">
        <v>37.26037333333334</v>
      </c>
      <c r="L47" s="14" t="n">
        <v>33.90693973333334</v>
      </c>
      <c r="M47" s="14" t="n">
        <v>30.85531515733334</v>
      </c>
      <c r="N47" s="14" t="n">
        <v>28.07833679317334</v>
      </c>
      <c r="O47" s="14" t="n">
        <v>28.07833679317334</v>
      </c>
      <c r="P47" s="14" t="n">
        <v>28.07833679317334</v>
      </c>
      <c r="Q47" s="14" t="n">
        <v>28.07833679317334</v>
      </c>
      <c r="R47" s="14" t="n">
        <v>28.07833679317334</v>
      </c>
      <c r="S47" s="14" t="n">
        <v>28.07833679317334</v>
      </c>
      <c r="T47" s="14" t="n">
        <v>28.07833679317334</v>
      </c>
      <c r="U47" s="14" t="n">
        <v>28.07833679317334</v>
      </c>
      <c r="V47" s="14" t="n">
        <v>28.07833679317334</v>
      </c>
      <c r="W47" s="14" t="n">
        <v>28.07833679317334</v>
      </c>
      <c r="X47" s="14" t="n">
        <v>28.07833679317334</v>
      </c>
      <c r="Y47" s="14" t="n">
        <v>28.07833679317334</v>
      </c>
      <c r="Z47" s="14" t="n">
        <v>28.07833679317334</v>
      </c>
      <c r="AA47" s="14" t="n"/>
      <c r="AB47" s="14" t="n"/>
      <c r="AC47" s="14" t="n"/>
      <c r="AD47" s="14" t="n"/>
      <c r="AE47" s="14" t="inlineStr">
        <is>
          <t>legacy Mitigation row 691</t>
        </is>
      </c>
    </row>
    <row r="48">
      <c r="A48" s="14" t="inlineStr">
        <is>
          <t>Manual|nga.lng</t>
        </is>
      </c>
      <c r="B48" s="14" t="inlineStr">
        <is>
          <t>Manual</t>
        </is>
      </c>
      <c r="C48" s="14" t="inlineStr">
        <is>
          <t>nga.lng</t>
        </is>
      </c>
      <c r="D48" s="14" t="inlineStr">
        <is>
          <t>Natural Gas - LNG</t>
        </is>
      </c>
      <c r="E48" s="14" t="inlineStr">
        <is>
          <t>$/MMBtu nom</t>
        </is>
      </c>
      <c r="F48" s="14" t="n">
        <v>18.600467</v>
      </c>
      <c r="G48" s="14" t="n">
        <v>33.297022</v>
      </c>
      <c r="H48" s="14" t="n">
        <v>13.463505</v>
      </c>
      <c r="I48" s="14" t="n">
        <v>11.708527</v>
      </c>
      <c r="J48" s="14" t="n">
        <v>12.08775</v>
      </c>
      <c r="K48" s="14" t="n">
        <v>7.121624358942219</v>
      </c>
      <c r="L48" s="14" t="n">
        <v>6.352488928176459</v>
      </c>
      <c r="M48" s="14" t="n">
        <v>5.666420123933402</v>
      </c>
      <c r="N48" s="14" t="n">
        <v>5.054446750548594</v>
      </c>
      <c r="O48" s="14" t="n">
        <v>5.054446750548594</v>
      </c>
      <c r="P48" s="14" t="n">
        <v>5.054446750548594</v>
      </c>
      <c r="Q48" s="14" t="n">
        <v>5.054446750548594</v>
      </c>
      <c r="R48" s="14" t="n">
        <v>5.054446750548594</v>
      </c>
      <c r="S48" s="14" t="n">
        <v>5.054446750548594</v>
      </c>
      <c r="T48" s="14" t="n">
        <v>5.054446750548594</v>
      </c>
      <c r="U48" s="14" t="n">
        <v>5.054446750548594</v>
      </c>
      <c r="V48" s="14" t="n">
        <v>5.054446750548594</v>
      </c>
      <c r="W48" s="14" t="n">
        <v>5.054446750548594</v>
      </c>
      <c r="X48" s="14" t="n">
        <v>5.054446750548594</v>
      </c>
      <c r="Y48" s="14" t="n">
        <v>5.054446750548594</v>
      </c>
      <c r="Z48" s="14" t="n">
        <v>5.054446750548594</v>
      </c>
      <c r="AA48" s="14" t="n"/>
      <c r="AB48" s="14" t="n"/>
      <c r="AC48" s="14" t="n"/>
      <c r="AD48" s="14" t="n"/>
      <c r="AE48" s="14" t="inlineStr">
        <is>
          <t>legacy Mitigation row 692</t>
        </is>
      </c>
    </row>
    <row r="49">
      <c r="A49" s="14" t="inlineStr">
        <is>
          <t>Manual|nga.nam</t>
        </is>
      </c>
      <c r="B49" s="14" t="inlineStr">
        <is>
          <t>Manual</t>
        </is>
      </c>
      <c r="C49" s="14" t="inlineStr">
        <is>
          <t>nga.nam</t>
        </is>
      </c>
      <c r="D49" s="14" t="inlineStr">
        <is>
          <t>Natural Gas - North Am</t>
        </is>
      </c>
      <c r="E49" s="14" t="inlineStr">
        <is>
          <t>$/MMBtu nom</t>
        </is>
      </c>
      <c r="F49" s="14" t="n">
        <v>3.716119</v>
      </c>
      <c r="G49" s="14" t="n">
        <v>6.516296</v>
      </c>
      <c r="H49" s="14" t="n">
        <v>2.671452</v>
      </c>
      <c r="I49" s="14" t="n">
        <v>2.417967</v>
      </c>
      <c r="J49" s="14" t="n">
        <v>3.63474</v>
      </c>
      <c r="K49" s="14" t="n">
        <v>1.570430769230769</v>
      </c>
      <c r="L49" s="14" t="n">
        <v>1.537713461538461</v>
      </c>
      <c r="M49" s="14" t="n">
        <v>1.505677764423077</v>
      </c>
      <c r="N49" s="14" t="n">
        <v>1.474309477664264</v>
      </c>
      <c r="O49" s="14" t="n">
        <v>1.474309477664264</v>
      </c>
      <c r="P49" s="14" t="n">
        <v>1.474309477664264</v>
      </c>
      <c r="Q49" s="14" t="n">
        <v>1.474309477664264</v>
      </c>
      <c r="R49" s="14" t="n">
        <v>1.474309477664264</v>
      </c>
      <c r="S49" s="14" t="n">
        <v>1.474309477664264</v>
      </c>
      <c r="T49" s="14" t="n">
        <v>1.474309477664264</v>
      </c>
      <c r="U49" s="14" t="n">
        <v>1.474309477664264</v>
      </c>
      <c r="V49" s="14" t="n">
        <v>1.474309477664264</v>
      </c>
      <c r="W49" s="14" t="n">
        <v>1.474309477664264</v>
      </c>
      <c r="X49" s="14" t="n">
        <v>1.474309477664264</v>
      </c>
      <c r="Y49" s="14" t="n">
        <v>1.474309477664264</v>
      </c>
      <c r="Z49" s="14" t="n">
        <v>1.474309477664264</v>
      </c>
      <c r="AA49" s="14" t="n"/>
      <c r="AB49" s="14" t="n"/>
      <c r="AC49" s="14" t="n"/>
      <c r="AD49" s="14" t="n"/>
      <c r="AE49" s="14" t="inlineStr">
        <is>
          <t>legacy Mitigation row 693</t>
        </is>
      </c>
    </row>
    <row r="50">
      <c r="A50" s="14" t="inlineStr">
        <is>
          <t>Manual|nga.eur</t>
        </is>
      </c>
      <c r="B50" s="14" t="inlineStr">
        <is>
          <t>Manual</t>
        </is>
      </c>
      <c r="C50" s="14" t="inlineStr">
        <is>
          <t>nga.eur</t>
        </is>
      </c>
      <c r="D50" s="14" t="inlineStr">
        <is>
          <t>Natural Gas - Europe</t>
        </is>
      </c>
      <c r="E50" s="14" t="inlineStr">
        <is>
          <t>$/MMBtu nom</t>
        </is>
      </c>
      <c r="F50" s="14" t="n">
        <v>15.907363</v>
      </c>
      <c r="G50" s="14" t="n">
        <v>37.519835</v>
      </c>
      <c r="H50" s="14" t="n">
        <v>12.883181</v>
      </c>
      <c r="I50" s="14" t="n">
        <v>10.891141</v>
      </c>
      <c r="J50" s="14" t="n">
        <v>11.912392</v>
      </c>
      <c r="K50" s="14" t="n">
        <v>1.338020466734499</v>
      </c>
      <c r="L50" s="14" t="n">
        <v>1.271119443397774</v>
      </c>
      <c r="M50" s="14" t="n">
        <v>1.207563471227885</v>
      </c>
      <c r="N50" s="14" t="n">
        <v>1.147185297666491</v>
      </c>
      <c r="O50" s="14" t="n">
        <v>1.147185297666491</v>
      </c>
      <c r="P50" s="14" t="n">
        <v>1.147185297666491</v>
      </c>
      <c r="Q50" s="14" t="n">
        <v>1.147185297666491</v>
      </c>
      <c r="R50" s="14" t="n">
        <v>1.147185297666491</v>
      </c>
      <c r="S50" s="14" t="n">
        <v>1.147185297666491</v>
      </c>
      <c r="T50" s="14" t="n">
        <v>1.147185297666491</v>
      </c>
      <c r="U50" s="14" t="n">
        <v>1.147185297666491</v>
      </c>
      <c r="V50" s="14" t="n">
        <v>1.147185297666491</v>
      </c>
      <c r="W50" s="14" t="n">
        <v>1.147185297666491</v>
      </c>
      <c r="X50" s="14" t="n">
        <v>1.147185297666491</v>
      </c>
      <c r="Y50" s="14" t="n">
        <v>1.147185297666491</v>
      </c>
      <c r="Z50" s="14" t="n">
        <v>1.147185297666491</v>
      </c>
      <c r="AA50" s="14" t="n"/>
      <c r="AB50" s="14" t="n"/>
      <c r="AC50" s="14" t="n"/>
      <c r="AD50" s="14" t="n"/>
      <c r="AE50" s="14" t="inlineStr">
        <is>
          <t>legacy Mitigation row 694</t>
        </is>
      </c>
    </row>
    <row r="51">
      <c r="A51" s="14" t="inlineStr">
        <is>
          <t>Manual|nga.glo</t>
        </is>
      </c>
      <c r="B51" s="14" t="inlineStr">
        <is>
          <t>Manual</t>
        </is>
      </c>
      <c r="C51" s="14" t="inlineStr">
        <is>
          <t>nga.glo</t>
        </is>
      </c>
      <c r="D51" s="14" t="inlineStr">
        <is>
          <t>Natural gas - Global</t>
        </is>
      </c>
      <c r="E51" s="14" t="inlineStr">
        <is>
          <t>$/MMBtu nom</t>
        </is>
      </c>
      <c r="F51" s="14" t="n">
        <v>12.74131633333333</v>
      </c>
      <c r="G51" s="14" t="n">
        <v>25.77771766666666</v>
      </c>
      <c r="H51" s="14" t="n">
        <v>9.672712666666667</v>
      </c>
      <c r="I51" s="14" t="n">
        <v>8.339211666666666</v>
      </c>
      <c r="J51" s="14" t="n">
        <v>9.211627333333334</v>
      </c>
      <c r="K51" s="14" t="n">
        <v>3.343358531635829</v>
      </c>
      <c r="L51" s="14" t="n">
        <v>3.053773944370898</v>
      </c>
      <c r="M51" s="14" t="n">
        <v>2.793220453194788</v>
      </c>
      <c r="N51" s="14" t="n">
        <v>2.558647175293116</v>
      </c>
      <c r="O51" s="14" t="n">
        <v>2.558647175293116</v>
      </c>
      <c r="P51" s="14" t="n">
        <v>2.558647175293116</v>
      </c>
      <c r="Q51" s="14" t="n">
        <v>2.558647175293116</v>
      </c>
      <c r="R51" s="14" t="n">
        <v>2.558647175293116</v>
      </c>
      <c r="S51" s="14" t="n">
        <v>2.558647175293116</v>
      </c>
      <c r="T51" s="14" t="n">
        <v>2.558647175293116</v>
      </c>
      <c r="U51" s="14" t="n">
        <v>2.558647175293116</v>
      </c>
      <c r="V51" s="14" t="n">
        <v>2.558647175293116</v>
      </c>
      <c r="W51" s="14" t="n">
        <v>2.558647175293116</v>
      </c>
      <c r="X51" s="14" t="n">
        <v>2.558647175293116</v>
      </c>
      <c r="Y51" s="14" t="n">
        <v>2.558647175293116</v>
      </c>
      <c r="Z51" s="14" t="n">
        <v>2.558647175293116</v>
      </c>
      <c r="AA51" s="14" t="n"/>
      <c r="AB51" s="14" t="n"/>
      <c r="AC51" s="14" t="n"/>
      <c r="AD51" s="14" t="n"/>
      <c r="AE51" s="14" t="inlineStr">
        <is>
          <t>legacy Mitigation row 695</t>
        </is>
      </c>
    </row>
  </sheetData>
  <pageMargins left="0.75" right="0.75" top="1" bottom="1" header="0.5" footer="0.5"/>
</worksheet>
</file>

<file path=xl/worksheets/sheet22.xml><?xml version="1.0" encoding="utf-8"?>
<worksheet xmlns="http://schemas.openxmlformats.org/spreadsheetml/2006/main">
  <sheetPr codeName="Sheet22">
    <outlinePr summaryBelow="1" summaryRight="1"/>
    <pageSetUpPr/>
  </sheetPr>
  <dimension ref="A1:D2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Prices_int regional assumptions (rows 62+)</t>
        </is>
      </c>
    </row>
    <row r="2">
      <c r="A2" s="2" t="inlineStr">
        <is>
          <t>Regional price assumptions by country: baseline taxes, gas market</t>
        </is>
      </c>
      <c r="B2" s="3" t="n"/>
      <c r="C2" s="3" t="n"/>
      <c r="D2" s="3" t="n"/>
    </row>
    <row r="3">
      <c r="A3" s="83" t="inlineStr">
        <is>
          <t>country_name</t>
        </is>
      </c>
      <c r="B3" s="83" t="inlineStr">
        <is>
          <t>baseline_taxes</t>
        </is>
      </c>
      <c r="C3" s="83" t="inlineStr">
        <is>
          <t>gas_market</t>
        </is>
      </c>
      <c r="D3" s="83" t="inlineStr">
        <is>
          <t>source</t>
        </is>
      </c>
    </row>
    <row r="4">
      <c r="A4" s="14" t="inlineStr">
        <is>
          <t>Angola</t>
        </is>
      </c>
      <c r="B4" s="14" t="inlineStr">
        <is>
          <t>Fixed</t>
        </is>
      </c>
      <c r="C4" s="14" t="inlineStr">
        <is>
          <t>Global</t>
        </is>
      </c>
      <c r="D4" s="14" t="inlineStr">
        <is>
          <t>Prices_int row 62</t>
        </is>
      </c>
    </row>
    <row r="5">
      <c r="A5" s="14" t="inlineStr">
        <is>
          <t>Afghanistan</t>
        </is>
      </c>
      <c r="B5" s="14" t="inlineStr">
        <is>
          <t>Fixed</t>
        </is>
      </c>
      <c r="C5" s="14" t="inlineStr">
        <is>
          <t>Global</t>
        </is>
      </c>
      <c r="D5" s="14" t="inlineStr">
        <is>
          <t>Prices_int row 63</t>
        </is>
      </c>
    </row>
    <row r="6">
      <c r="A6" s="14" t="inlineStr">
        <is>
          <t>American Samoa</t>
        </is>
      </c>
      <c r="B6" s="14" t="inlineStr">
        <is>
          <t>Fixed</t>
        </is>
      </c>
      <c r="C6" s="14" t="inlineStr">
        <is>
          <t>LNG</t>
        </is>
      </c>
      <c r="D6" s="14" t="inlineStr">
        <is>
          <t>Prices_int row 64</t>
        </is>
      </c>
    </row>
    <row r="7">
      <c r="A7" s="14" t="inlineStr">
        <is>
          <t>Andorra</t>
        </is>
      </c>
      <c r="B7" s="14" t="inlineStr">
        <is>
          <t>Fixed</t>
        </is>
      </c>
      <c r="C7" s="14" t="inlineStr">
        <is>
          <t>Europe</t>
        </is>
      </c>
      <c r="D7" s="14" t="inlineStr">
        <is>
          <t>Prices_int row 65</t>
        </is>
      </c>
    </row>
    <row r="8">
      <c r="A8" s="14" t="inlineStr">
        <is>
          <t>Antigua and Barbuda</t>
        </is>
      </c>
      <c r="B8" s="14" t="inlineStr">
        <is>
          <t>Fixed</t>
        </is>
      </c>
      <c r="C8" s="14" t="inlineStr">
        <is>
          <t>North Am</t>
        </is>
      </c>
      <c r="D8" s="14" t="inlineStr">
        <is>
          <t>Prices_int row 66</t>
        </is>
      </c>
    </row>
    <row r="9">
      <c r="A9" s="14" t="inlineStr">
        <is>
          <t>Aruba</t>
        </is>
      </c>
      <c r="B9" s="14" t="inlineStr">
        <is>
          <t>Fixed</t>
        </is>
      </c>
      <c r="C9" s="14" t="inlineStr">
        <is>
          <t>North Am</t>
        </is>
      </c>
      <c r="D9" s="14" t="inlineStr">
        <is>
          <t>Prices_int row 67</t>
        </is>
      </c>
    </row>
    <row r="10">
      <c r="A10" s="14" t="inlineStr">
        <is>
          <t>Bahamas, The</t>
        </is>
      </c>
      <c r="B10" s="14" t="inlineStr">
        <is>
          <t>Fixed</t>
        </is>
      </c>
      <c r="C10" s="14" t="inlineStr">
        <is>
          <t>North Am</t>
        </is>
      </c>
      <c r="D10" s="14" t="inlineStr">
        <is>
          <t>Prices_int row 68</t>
        </is>
      </c>
    </row>
    <row r="11">
      <c r="A11" s="14" t="inlineStr">
        <is>
          <t>Barbados</t>
        </is>
      </c>
      <c r="B11" s="14" t="inlineStr">
        <is>
          <t>Fixed</t>
        </is>
      </c>
      <c r="C11" s="14" t="inlineStr">
        <is>
          <t>North Am</t>
        </is>
      </c>
      <c r="D11" s="14" t="inlineStr">
        <is>
          <t>Prices_int row 69</t>
        </is>
      </c>
    </row>
    <row r="12">
      <c r="A12" s="14" t="inlineStr">
        <is>
          <t>Benin</t>
        </is>
      </c>
      <c r="B12" s="14" t="inlineStr">
        <is>
          <t>Fixed</t>
        </is>
      </c>
      <c r="C12" s="14" t="inlineStr">
        <is>
          <t>Global</t>
        </is>
      </c>
      <c r="D12" s="14" t="inlineStr">
        <is>
          <t>Prices_int row 70</t>
        </is>
      </c>
    </row>
    <row r="13">
      <c r="A13" s="14" t="inlineStr">
        <is>
          <t>Belize</t>
        </is>
      </c>
      <c r="B13" s="14" t="inlineStr">
        <is>
          <t>Fixed</t>
        </is>
      </c>
      <c r="C13" s="14" t="inlineStr">
        <is>
          <t>North Am</t>
        </is>
      </c>
      <c r="D13" s="14" t="inlineStr">
        <is>
          <t>Prices_int row 71</t>
        </is>
      </c>
    </row>
    <row r="14">
      <c r="A14" s="14" t="inlineStr">
        <is>
          <t>Bermuda</t>
        </is>
      </c>
      <c r="B14" s="14" t="inlineStr">
        <is>
          <t>Fixed</t>
        </is>
      </c>
      <c r="C14" s="14" t="inlineStr">
        <is>
          <t>North Am</t>
        </is>
      </c>
      <c r="D14" s="14" t="inlineStr">
        <is>
          <t>Prices_int row 72</t>
        </is>
      </c>
    </row>
    <row r="15">
      <c r="A15" s="14" t="inlineStr">
        <is>
          <t>Bhutan</t>
        </is>
      </c>
      <c r="B15" s="14" t="inlineStr">
        <is>
          <t>Fixed</t>
        </is>
      </c>
      <c r="C15" s="14" t="inlineStr">
        <is>
          <t>LNG</t>
        </is>
      </c>
      <c r="D15" s="14" t="inlineStr">
        <is>
          <t>Prices_int row 73</t>
        </is>
      </c>
    </row>
    <row r="16">
      <c r="A16" s="14" t="inlineStr">
        <is>
          <t>British Virgin Islands</t>
        </is>
      </c>
      <c r="B16" s="14" t="inlineStr">
        <is>
          <t>Fixed</t>
        </is>
      </c>
      <c r="C16" s="14" t="inlineStr">
        <is>
          <t>North Am</t>
        </is>
      </c>
      <c r="D16" s="14" t="inlineStr">
        <is>
          <t>Prices_int row 74</t>
        </is>
      </c>
    </row>
    <row r="17">
      <c r="A17" s="14" t="inlineStr">
        <is>
          <t>Botswana</t>
        </is>
      </c>
      <c r="B17" s="14" t="inlineStr">
        <is>
          <t>Fixed</t>
        </is>
      </c>
      <c r="C17" s="14" t="inlineStr">
        <is>
          <t>Global</t>
        </is>
      </c>
      <c r="D17" s="14" t="inlineStr">
        <is>
          <t>Prices_int row 75</t>
        </is>
      </c>
    </row>
    <row r="18">
      <c r="A18" s="14" t="inlineStr">
        <is>
          <t>Cameroon</t>
        </is>
      </c>
      <c r="B18" s="14" t="inlineStr">
        <is>
          <t>Fixed</t>
        </is>
      </c>
      <c r="C18" s="14" t="inlineStr">
        <is>
          <t>Global</t>
        </is>
      </c>
      <c r="D18" s="14" t="inlineStr">
        <is>
          <t>Prices_int row 76</t>
        </is>
      </c>
    </row>
    <row r="19">
      <c r="A19" s="14" t="inlineStr">
        <is>
          <t>Cayman Islands</t>
        </is>
      </c>
      <c r="B19" s="14" t="inlineStr">
        <is>
          <t>Fixed</t>
        </is>
      </c>
      <c r="C19" s="14" t="inlineStr">
        <is>
          <t>North Am</t>
        </is>
      </c>
      <c r="D19" s="14" t="inlineStr">
        <is>
          <t>Prices_int row 77</t>
        </is>
      </c>
    </row>
    <row r="20">
      <c r="A20" s="14" t="inlineStr">
        <is>
          <t>Central African Republic</t>
        </is>
      </c>
      <c r="B20" s="14" t="inlineStr">
        <is>
          <t>Fixed</t>
        </is>
      </c>
      <c r="C20" s="14" t="inlineStr">
        <is>
          <t>Global</t>
        </is>
      </c>
      <c r="D20" s="14" t="inlineStr">
        <is>
          <t>Prices_int row 78</t>
        </is>
      </c>
    </row>
    <row r="21">
      <c r="A21" s="14" t="inlineStr">
        <is>
          <t>Chad</t>
        </is>
      </c>
      <c r="B21" s="14" t="inlineStr">
        <is>
          <t>Fixed</t>
        </is>
      </c>
      <c r="C21" s="14" t="inlineStr">
        <is>
          <t>Global</t>
        </is>
      </c>
      <c r="D21" s="14" t="inlineStr">
        <is>
          <t>Prices_int row 79</t>
        </is>
      </c>
    </row>
    <row r="22">
      <c r="A22" s="14" t="inlineStr">
        <is>
          <t>Channel Islands</t>
        </is>
      </c>
      <c r="B22" s="14" t="inlineStr">
        <is>
          <t>Fixed</t>
        </is>
      </c>
      <c r="C22" s="14" t="inlineStr">
        <is>
          <t>Global</t>
        </is>
      </c>
      <c r="D22" s="14" t="inlineStr">
        <is>
          <t>Prices_int row 80</t>
        </is>
      </c>
    </row>
    <row r="23">
      <c r="A23" s="14" t="inlineStr">
        <is>
          <t>Burkina Faso</t>
        </is>
      </c>
      <c r="B23" s="14" t="inlineStr">
        <is>
          <t>Fixed</t>
        </is>
      </c>
      <c r="C23" s="14" t="inlineStr">
        <is>
          <t>Global</t>
        </is>
      </c>
      <c r="D23" s="14" t="inlineStr">
        <is>
          <t>Prices_int row 81</t>
        </is>
      </c>
    </row>
    <row r="24">
      <c r="A24" s="14" t="inlineStr">
        <is>
          <t>Burundi</t>
        </is>
      </c>
      <c r="B24" s="14" t="inlineStr">
        <is>
          <t>Fixed</t>
        </is>
      </c>
      <c r="C24" s="14" t="inlineStr">
        <is>
          <t>Global</t>
        </is>
      </c>
      <c r="D24" s="14" t="inlineStr">
        <is>
          <t>Prices_int row 82</t>
        </is>
      </c>
    </row>
    <row r="25">
      <c r="A25" s="14" t="inlineStr">
        <is>
          <t>Cabo Verde</t>
        </is>
      </c>
      <c r="B25" s="14" t="inlineStr">
        <is>
          <t>Fixed</t>
        </is>
      </c>
      <c r="C25" s="14" t="inlineStr">
        <is>
          <t>Global</t>
        </is>
      </c>
      <c r="D25" s="14" t="inlineStr">
        <is>
          <t>Prices_int row 83</t>
        </is>
      </c>
    </row>
    <row r="26">
      <c r="A26" s="14" t="inlineStr">
        <is>
          <t>Congo, Democratic Republic of the</t>
        </is>
      </c>
      <c r="B26" s="14" t="inlineStr">
        <is>
          <t>Fixed</t>
        </is>
      </c>
      <c r="C26" s="14" t="inlineStr">
        <is>
          <t>Global</t>
        </is>
      </c>
      <c r="D26" s="14" t="inlineStr">
        <is>
          <t>Prices_int row 84</t>
        </is>
      </c>
    </row>
    <row r="27">
      <c r="A27" s="14" t="inlineStr">
        <is>
          <t>Congo, Republic of</t>
        </is>
      </c>
      <c r="B27" s="14" t="inlineStr">
        <is>
          <t>Fixed</t>
        </is>
      </c>
      <c r="C27" s="14" t="inlineStr">
        <is>
          <t>Global</t>
        </is>
      </c>
      <c r="D27" s="14" t="inlineStr">
        <is>
          <t>Prices_int row 85</t>
        </is>
      </c>
    </row>
    <row r="28">
      <c r="A28" s="14" t="inlineStr">
        <is>
          <t>Comoros</t>
        </is>
      </c>
      <c r="B28" s="14" t="inlineStr">
        <is>
          <t>Fixed</t>
        </is>
      </c>
      <c r="C28" s="14" t="inlineStr">
        <is>
          <t>Global</t>
        </is>
      </c>
      <c r="D28" s="14" t="inlineStr">
        <is>
          <t>Prices_int row 86</t>
        </is>
      </c>
    </row>
    <row r="29">
      <c r="A29" s="14" t="inlineStr">
        <is>
          <t>Côte d'Ivoire</t>
        </is>
      </c>
      <c r="B29" s="14" t="inlineStr">
        <is>
          <t>Fixed</t>
        </is>
      </c>
      <c r="C29" s="14" t="inlineStr">
        <is>
          <t>Global</t>
        </is>
      </c>
      <c r="D29" s="14" t="inlineStr">
        <is>
          <t>Prices_int row 87</t>
        </is>
      </c>
    </row>
    <row r="30">
      <c r="A30" s="14" t="inlineStr">
        <is>
          <t>Cuba</t>
        </is>
      </c>
      <c r="B30" s="14" t="inlineStr">
        <is>
          <t>Fixed</t>
        </is>
      </c>
      <c r="C30" s="14" t="inlineStr">
        <is>
          <t>North Am</t>
        </is>
      </c>
      <c r="D30" s="14" t="inlineStr">
        <is>
          <t>Prices_int row 88</t>
        </is>
      </c>
    </row>
    <row r="31">
      <c r="A31" s="14" t="inlineStr">
        <is>
          <t>Curaçao</t>
        </is>
      </c>
      <c r="B31" s="14" t="inlineStr">
        <is>
          <t>Fixed</t>
        </is>
      </c>
      <c r="C31" s="14" t="inlineStr">
        <is>
          <t>North Am</t>
        </is>
      </c>
      <c r="D31" s="14" t="inlineStr">
        <is>
          <t>Prices_int row 89</t>
        </is>
      </c>
    </row>
    <row r="32">
      <c r="A32" s="14" t="inlineStr">
        <is>
          <t>Djibouti</t>
        </is>
      </c>
      <c r="B32" s="14" t="inlineStr">
        <is>
          <t>Fixed</t>
        </is>
      </c>
      <c r="C32" s="14" t="inlineStr">
        <is>
          <t>Global</t>
        </is>
      </c>
      <c r="D32" s="14" t="inlineStr">
        <is>
          <t>Prices_int row 90</t>
        </is>
      </c>
    </row>
    <row r="33">
      <c r="A33" s="14" t="inlineStr">
        <is>
          <t>Dominica</t>
        </is>
      </c>
      <c r="B33" s="14" t="inlineStr">
        <is>
          <t>Fixed</t>
        </is>
      </c>
      <c r="C33" s="14" t="inlineStr">
        <is>
          <t>North Am</t>
        </is>
      </c>
      <c r="D33" s="14" t="inlineStr">
        <is>
          <t>Prices_int row 91</t>
        </is>
      </c>
    </row>
    <row r="34">
      <c r="A34" s="14" t="inlineStr">
        <is>
          <t>Eritrea</t>
        </is>
      </c>
      <c r="B34" s="14" t="inlineStr">
        <is>
          <t>Fixed</t>
        </is>
      </c>
      <c r="C34" s="14" t="inlineStr">
        <is>
          <t>Global</t>
        </is>
      </c>
      <c r="D34" s="14" t="inlineStr">
        <is>
          <t>Prices_int row 92</t>
        </is>
      </c>
    </row>
    <row r="35">
      <c r="A35" s="14" t="inlineStr">
        <is>
          <t>Ethiopia</t>
        </is>
      </c>
      <c r="B35" s="14" t="inlineStr">
        <is>
          <t>Fixed</t>
        </is>
      </c>
      <c r="C35" s="14" t="inlineStr">
        <is>
          <t>Global</t>
        </is>
      </c>
      <c r="D35" s="14" t="inlineStr">
        <is>
          <t>Prices_int row 93</t>
        </is>
      </c>
    </row>
    <row r="36">
      <c r="A36" s="14" t="inlineStr">
        <is>
          <t>Gabon</t>
        </is>
      </c>
      <c r="B36" s="14" t="inlineStr">
        <is>
          <t>Fixed</t>
        </is>
      </c>
      <c r="C36" s="14" t="inlineStr">
        <is>
          <t>Global</t>
        </is>
      </c>
      <c r="D36" s="14" t="inlineStr">
        <is>
          <t>Prices_int row 94</t>
        </is>
      </c>
    </row>
    <row r="37">
      <c r="A37" s="14" t="inlineStr">
        <is>
          <t>Ghana</t>
        </is>
      </c>
      <c r="B37" s="14" t="inlineStr">
        <is>
          <t>Fixed</t>
        </is>
      </c>
      <c r="C37" s="14" t="inlineStr">
        <is>
          <t>Global</t>
        </is>
      </c>
      <c r="D37" s="14" t="inlineStr">
        <is>
          <t>Prices_int row 95</t>
        </is>
      </c>
    </row>
    <row r="38">
      <c r="A38" s="14" t="inlineStr">
        <is>
          <t>Kenya</t>
        </is>
      </c>
      <c r="B38" s="14" t="inlineStr">
        <is>
          <t>Fixed</t>
        </is>
      </c>
      <c r="C38" s="14" t="inlineStr">
        <is>
          <t>Global</t>
        </is>
      </c>
      <c r="D38" s="14" t="inlineStr">
        <is>
          <t>Prices_int row 96</t>
        </is>
      </c>
    </row>
    <row r="39">
      <c r="A39" s="14" t="inlineStr">
        <is>
          <t>Mauritius</t>
        </is>
      </c>
      <c r="B39" s="14" t="inlineStr">
        <is>
          <t>Fixed</t>
        </is>
      </c>
      <c r="C39" s="14" t="inlineStr">
        <is>
          <t>Global</t>
        </is>
      </c>
      <c r="D39" s="14" t="inlineStr">
        <is>
          <t>Prices_int row 97</t>
        </is>
      </c>
    </row>
    <row r="40">
      <c r="A40" s="14" t="inlineStr">
        <is>
          <t>Mozambique</t>
        </is>
      </c>
      <c r="B40" s="14" t="inlineStr">
        <is>
          <t>Fixed</t>
        </is>
      </c>
      <c r="C40" s="14" t="inlineStr">
        <is>
          <t>Global</t>
        </is>
      </c>
      <c r="D40" s="14" t="inlineStr">
        <is>
          <t>Prices_int row 98</t>
        </is>
      </c>
    </row>
    <row r="41">
      <c r="A41" s="14" t="inlineStr">
        <is>
          <t>Namibia</t>
        </is>
      </c>
      <c r="B41" s="14" t="inlineStr">
        <is>
          <t>Fixed</t>
        </is>
      </c>
      <c r="C41" s="14" t="inlineStr">
        <is>
          <t>Global</t>
        </is>
      </c>
      <c r="D41" s="14" t="inlineStr">
        <is>
          <t>Prices_int row 99</t>
        </is>
      </c>
    </row>
    <row r="42">
      <c r="A42" s="14" t="inlineStr">
        <is>
          <t>Niger</t>
        </is>
      </c>
      <c r="B42" s="14" t="inlineStr">
        <is>
          <t>Fixed</t>
        </is>
      </c>
      <c r="C42" s="14" t="inlineStr">
        <is>
          <t>Global</t>
        </is>
      </c>
      <c r="D42" s="14" t="inlineStr">
        <is>
          <t>Prices_int row 100</t>
        </is>
      </c>
    </row>
    <row r="43">
      <c r="A43" s="14" t="inlineStr">
        <is>
          <t>Nigeria</t>
        </is>
      </c>
      <c r="B43" s="14" t="inlineStr">
        <is>
          <t>Fixed</t>
        </is>
      </c>
      <c r="C43" s="14" t="inlineStr">
        <is>
          <t>Global</t>
        </is>
      </c>
      <c r="D43" s="14" t="inlineStr">
        <is>
          <t>Prices_int row 101</t>
        </is>
      </c>
    </row>
    <row r="44">
      <c r="A44" s="14" t="inlineStr">
        <is>
          <t>Rwanda</t>
        </is>
      </c>
      <c r="B44" s="14" t="inlineStr">
        <is>
          <t>Fixed</t>
        </is>
      </c>
      <c r="C44" s="14" t="inlineStr">
        <is>
          <t>Global</t>
        </is>
      </c>
      <c r="D44" s="14" t="inlineStr">
        <is>
          <t>Prices_int row 102</t>
        </is>
      </c>
    </row>
    <row r="45">
      <c r="A45" s="14" t="inlineStr">
        <is>
          <t>Senegal</t>
        </is>
      </c>
      <c r="B45" s="14" t="inlineStr">
        <is>
          <t>Fixed</t>
        </is>
      </c>
      <c r="C45" s="14" t="inlineStr">
        <is>
          <t>Global</t>
        </is>
      </c>
      <c r="D45" s="14" t="inlineStr">
        <is>
          <t>Prices_int row 103</t>
        </is>
      </c>
    </row>
    <row r="46">
      <c r="A46" s="14" t="inlineStr">
        <is>
          <t>South Africa</t>
        </is>
      </c>
      <c r="B46" s="14" t="inlineStr">
        <is>
          <t>Fixed</t>
        </is>
      </c>
      <c r="C46" s="14" t="inlineStr">
        <is>
          <t>Global</t>
        </is>
      </c>
      <c r="D46" s="14" t="inlineStr">
        <is>
          <t>Prices_int row 104</t>
        </is>
      </c>
    </row>
    <row r="47">
      <c r="A47" s="14" t="inlineStr">
        <is>
          <t>South Sudan</t>
        </is>
      </c>
      <c r="B47" s="14" t="inlineStr">
        <is>
          <t>Fixed</t>
        </is>
      </c>
      <c r="C47" s="14" t="inlineStr">
        <is>
          <t>Global</t>
        </is>
      </c>
      <c r="D47" s="14" t="inlineStr">
        <is>
          <t>Prices_int row 105</t>
        </is>
      </c>
    </row>
    <row r="48">
      <c r="A48" s="14" t="inlineStr">
        <is>
          <t>Tanzania</t>
        </is>
      </c>
      <c r="B48" s="14" t="inlineStr">
        <is>
          <t>Fixed</t>
        </is>
      </c>
      <c r="C48" s="14" t="inlineStr">
        <is>
          <t>Global</t>
        </is>
      </c>
      <c r="D48" s="14" t="inlineStr">
        <is>
          <t>Prices_int row 106</t>
        </is>
      </c>
    </row>
    <row r="49">
      <c r="A49" s="14" t="inlineStr">
        <is>
          <t>Togo</t>
        </is>
      </c>
      <c r="B49" s="14" t="inlineStr">
        <is>
          <t>Fixed</t>
        </is>
      </c>
      <c r="C49" s="14" t="inlineStr">
        <is>
          <t>Global</t>
        </is>
      </c>
      <c r="D49" s="14" t="inlineStr">
        <is>
          <t>Prices_int row 107</t>
        </is>
      </c>
    </row>
    <row r="50">
      <c r="A50" s="14" t="inlineStr">
        <is>
          <t>Zambia</t>
        </is>
      </c>
      <c r="B50" s="14" t="inlineStr">
        <is>
          <t>Fixed</t>
        </is>
      </c>
      <c r="C50" s="14" t="inlineStr">
        <is>
          <t>Global</t>
        </is>
      </c>
      <c r="D50" s="14" t="inlineStr">
        <is>
          <t>Prices_int row 108</t>
        </is>
      </c>
    </row>
    <row r="51">
      <c r="A51" s="14" t="inlineStr">
        <is>
          <t>Zimbabwe</t>
        </is>
      </c>
      <c r="B51" s="14" t="inlineStr">
        <is>
          <t>Fixed</t>
        </is>
      </c>
      <c r="C51" s="14" t="inlineStr">
        <is>
          <t>Global</t>
        </is>
      </c>
      <c r="D51" s="14" t="inlineStr">
        <is>
          <t>Prices_int row 109</t>
        </is>
      </c>
    </row>
    <row r="52">
      <c r="A52" s="14" t="inlineStr">
        <is>
          <t>Australia</t>
        </is>
      </c>
      <c r="B52" s="14" t="inlineStr">
        <is>
          <t>Fixed</t>
        </is>
      </c>
      <c r="C52" s="14" t="inlineStr">
        <is>
          <t>LNG</t>
        </is>
      </c>
      <c r="D52" s="14" t="inlineStr">
        <is>
          <t>Prices_int row 110</t>
        </is>
      </c>
    </row>
    <row r="53">
      <c r="A53" s="14" t="inlineStr">
        <is>
          <t>Bangladesh</t>
        </is>
      </c>
      <c r="B53" s="14" t="inlineStr">
        <is>
          <t>Fixed</t>
        </is>
      </c>
      <c r="C53" s="14" t="inlineStr">
        <is>
          <t>LNG</t>
        </is>
      </c>
      <c r="D53" s="14" t="inlineStr">
        <is>
          <t>Prices_int row 111</t>
        </is>
      </c>
    </row>
    <row r="54">
      <c r="A54" s="14" t="inlineStr">
        <is>
          <t>Brunei Darussalam</t>
        </is>
      </c>
      <c r="B54" s="14" t="inlineStr">
        <is>
          <t>Fixed</t>
        </is>
      </c>
      <c r="C54" s="14" t="inlineStr">
        <is>
          <t>LNG</t>
        </is>
      </c>
      <c r="D54" s="14" t="inlineStr">
        <is>
          <t>Prices_int row 112</t>
        </is>
      </c>
    </row>
    <row r="55">
      <c r="A55" s="14" t="inlineStr">
        <is>
          <t>Cambodia</t>
        </is>
      </c>
      <c r="B55" s="14" t="inlineStr">
        <is>
          <t>Fixed</t>
        </is>
      </c>
      <c r="C55" s="14" t="inlineStr">
        <is>
          <t>LNG</t>
        </is>
      </c>
      <c r="D55" s="14" t="inlineStr">
        <is>
          <t>Prices_int row 113</t>
        </is>
      </c>
    </row>
    <row r="56">
      <c r="A56" s="14" t="inlineStr">
        <is>
          <t>China</t>
        </is>
      </c>
      <c r="B56" s="14" t="inlineStr">
        <is>
          <t>Fixed</t>
        </is>
      </c>
      <c r="C56" s="14" t="inlineStr">
        <is>
          <t>LNG</t>
        </is>
      </c>
      <c r="D56" s="14" t="inlineStr">
        <is>
          <t>Prices_int row 114</t>
        </is>
      </c>
    </row>
    <row r="57">
      <c r="A57" s="14" t="inlineStr">
        <is>
          <t>Hong Kong SAR</t>
        </is>
      </c>
      <c r="B57" s="14" t="inlineStr">
        <is>
          <t>Fixed</t>
        </is>
      </c>
      <c r="C57" s="14" t="inlineStr">
        <is>
          <t>LNG</t>
        </is>
      </c>
      <c r="D57" s="14" t="inlineStr">
        <is>
          <t>Prices_int row 115</t>
        </is>
      </c>
    </row>
    <row r="58">
      <c r="A58" s="14" t="inlineStr">
        <is>
          <t>India</t>
        </is>
      </c>
      <c r="B58" s="14" t="inlineStr">
        <is>
          <t>Fixed</t>
        </is>
      </c>
      <c r="C58" s="14" t="inlineStr">
        <is>
          <t>LNG</t>
        </is>
      </c>
      <c r="D58" s="14" t="inlineStr">
        <is>
          <t>Prices_int row 116</t>
        </is>
      </c>
    </row>
    <row r="59">
      <c r="A59" s="14" t="inlineStr">
        <is>
          <t>Indonesia</t>
        </is>
      </c>
      <c r="B59" s="14" t="inlineStr">
        <is>
          <t>Fixed</t>
        </is>
      </c>
      <c r="C59" s="14" t="inlineStr">
        <is>
          <t>LNG</t>
        </is>
      </c>
      <c r="D59" s="14" t="inlineStr">
        <is>
          <t>Prices_int row 117</t>
        </is>
      </c>
    </row>
    <row r="60">
      <c r="A60" s="14" t="inlineStr">
        <is>
          <t>Japan</t>
        </is>
      </c>
      <c r="B60" s="14" t="inlineStr">
        <is>
          <t>Fixed</t>
        </is>
      </c>
      <c r="C60" s="14" t="inlineStr">
        <is>
          <t>LNG</t>
        </is>
      </c>
      <c r="D60" s="14" t="inlineStr">
        <is>
          <t>Prices_int row 118</t>
        </is>
      </c>
    </row>
    <row r="61">
      <c r="A61" s="14" t="inlineStr">
        <is>
          <t>Korea</t>
        </is>
      </c>
      <c r="B61" s="14" t="inlineStr">
        <is>
          <t>Fixed</t>
        </is>
      </c>
      <c r="C61" s="14" t="inlineStr">
        <is>
          <t>LNG</t>
        </is>
      </c>
      <c r="D61" s="14" t="inlineStr">
        <is>
          <t>Prices_int row 119</t>
        </is>
      </c>
    </row>
    <row r="62">
      <c r="A62" s="14" t="inlineStr">
        <is>
          <t>Malaysia</t>
        </is>
      </c>
      <c r="B62" s="14" t="inlineStr">
        <is>
          <t>Fixed</t>
        </is>
      </c>
      <c r="C62" s="14" t="inlineStr">
        <is>
          <t>LNG</t>
        </is>
      </c>
      <c r="D62" s="14" t="inlineStr">
        <is>
          <t>Prices_int row 120</t>
        </is>
      </c>
    </row>
    <row r="63">
      <c r="A63" s="14" t="inlineStr">
        <is>
          <t>Mongolia</t>
        </is>
      </c>
      <c r="B63" s="14" t="inlineStr">
        <is>
          <t>Fixed</t>
        </is>
      </c>
      <c r="C63" s="14" t="inlineStr">
        <is>
          <t>LNG</t>
        </is>
      </c>
      <c r="D63" s="14" t="inlineStr">
        <is>
          <t>Prices_int row 121</t>
        </is>
      </c>
    </row>
    <row r="64">
      <c r="A64" s="14" t="inlineStr">
        <is>
          <t>Myanmar</t>
        </is>
      </c>
      <c r="B64" s="14" t="inlineStr">
        <is>
          <t>Fixed</t>
        </is>
      </c>
      <c r="C64" s="14" t="inlineStr">
        <is>
          <t>LNG</t>
        </is>
      </c>
      <c r="D64" s="14" t="inlineStr">
        <is>
          <t>Prices_int row 122</t>
        </is>
      </c>
    </row>
    <row r="65">
      <c r="A65" s="14" t="inlineStr">
        <is>
          <t>Nepal</t>
        </is>
      </c>
      <c r="B65" s="14" t="inlineStr">
        <is>
          <t>Fixed</t>
        </is>
      </c>
      <c r="C65" s="14" t="inlineStr">
        <is>
          <t>LNG</t>
        </is>
      </c>
      <c r="D65" s="14" t="inlineStr">
        <is>
          <t>Prices_int row 123</t>
        </is>
      </c>
    </row>
    <row r="66">
      <c r="A66" s="14" t="inlineStr">
        <is>
          <t>New Zealand</t>
        </is>
      </c>
      <c r="B66" s="14" t="inlineStr">
        <is>
          <t>Fixed</t>
        </is>
      </c>
      <c r="C66" s="14" t="inlineStr">
        <is>
          <t>LNG</t>
        </is>
      </c>
      <c r="D66" s="14" t="inlineStr">
        <is>
          <t>Prices_int row 124</t>
        </is>
      </c>
    </row>
    <row r="67">
      <c r="A67" s="14" t="inlineStr">
        <is>
          <t>Philippines</t>
        </is>
      </c>
      <c r="B67" s="14" t="inlineStr">
        <is>
          <t>Fixed</t>
        </is>
      </c>
      <c r="C67" s="14" t="inlineStr">
        <is>
          <t>LNG</t>
        </is>
      </c>
      <c r="D67" s="14" t="inlineStr">
        <is>
          <t>Prices_int row 125</t>
        </is>
      </c>
    </row>
    <row r="68">
      <c r="A68" s="14" t="inlineStr">
        <is>
          <t>Singapore</t>
        </is>
      </c>
      <c r="B68" s="14" t="inlineStr">
        <is>
          <t>Fixed</t>
        </is>
      </c>
      <c r="C68" s="14" t="inlineStr">
        <is>
          <t>LNG</t>
        </is>
      </c>
      <c r="D68" s="14" t="inlineStr">
        <is>
          <t>Prices_int row 126</t>
        </is>
      </c>
    </row>
    <row r="69">
      <c r="A69" s="14" t="inlineStr">
        <is>
          <t>Sri Lanka</t>
        </is>
      </c>
      <c r="B69" s="14" t="inlineStr">
        <is>
          <t>Fixed</t>
        </is>
      </c>
      <c r="C69" s="14" t="inlineStr">
        <is>
          <t>LNG</t>
        </is>
      </c>
      <c r="D69" s="14" t="inlineStr">
        <is>
          <t>Prices_int row 127</t>
        </is>
      </c>
    </row>
    <row r="70">
      <c r="A70" s="14" t="inlineStr">
        <is>
          <t>Thailand</t>
        </is>
      </c>
      <c r="B70" s="14" t="inlineStr">
        <is>
          <t>Fixed</t>
        </is>
      </c>
      <c r="C70" s="14" t="inlineStr">
        <is>
          <t>LNG</t>
        </is>
      </c>
      <c r="D70" s="14" t="inlineStr">
        <is>
          <t>Prices_int row 128</t>
        </is>
      </c>
    </row>
    <row r="71">
      <c r="A71" s="14" t="inlineStr">
        <is>
          <t>Vietnam</t>
        </is>
      </c>
      <c r="B71" s="14" t="inlineStr">
        <is>
          <t>Fixed</t>
        </is>
      </c>
      <c r="C71" s="14" t="inlineStr">
        <is>
          <t>LNG</t>
        </is>
      </c>
      <c r="D71" s="14" t="inlineStr">
        <is>
          <t>Prices_int row 129</t>
        </is>
      </c>
    </row>
    <row r="72">
      <c r="A72" s="14" t="inlineStr">
        <is>
          <t>Albania</t>
        </is>
      </c>
      <c r="B72" s="14" t="inlineStr">
        <is>
          <t>Fixed</t>
        </is>
      </c>
      <c r="C72" s="14" t="inlineStr">
        <is>
          <t>Europe</t>
        </is>
      </c>
      <c r="D72" s="14" t="inlineStr">
        <is>
          <t>Prices_int row 130</t>
        </is>
      </c>
    </row>
    <row r="73">
      <c r="A73" s="14" t="inlineStr">
        <is>
          <t>Austria</t>
        </is>
      </c>
      <c r="B73" s="14" t="inlineStr">
        <is>
          <t>Fixed</t>
        </is>
      </c>
      <c r="C73" s="14" t="inlineStr">
        <is>
          <t>Europe</t>
        </is>
      </c>
      <c r="D73" s="14" t="inlineStr">
        <is>
          <t>Prices_int row 131</t>
        </is>
      </c>
    </row>
    <row r="74">
      <c r="A74" s="14" t="inlineStr">
        <is>
          <t>Belarus</t>
        </is>
      </c>
      <c r="B74" s="14" t="inlineStr">
        <is>
          <t>Fixed</t>
        </is>
      </c>
      <c r="C74" s="14" t="inlineStr">
        <is>
          <t>Europe</t>
        </is>
      </c>
      <c r="D74" s="14" t="inlineStr">
        <is>
          <t>Prices_int row 132</t>
        </is>
      </c>
    </row>
    <row r="75">
      <c r="A75" s="14" t="inlineStr">
        <is>
          <t>Belgium</t>
        </is>
      </c>
      <c r="B75" s="14" t="inlineStr">
        <is>
          <t>Fixed</t>
        </is>
      </c>
      <c r="C75" s="14" t="inlineStr">
        <is>
          <t>Europe</t>
        </is>
      </c>
      <c r="D75" s="14" t="inlineStr">
        <is>
          <t>Prices_int row 133</t>
        </is>
      </c>
    </row>
    <row r="76">
      <c r="A76" s="14" t="inlineStr">
        <is>
          <t>Bosnia and Herzegovina</t>
        </is>
      </c>
      <c r="B76" s="14" t="inlineStr">
        <is>
          <t>Fixed</t>
        </is>
      </c>
      <c r="C76" s="14" t="inlineStr">
        <is>
          <t>Europe</t>
        </is>
      </c>
      <c r="D76" s="14" t="inlineStr">
        <is>
          <t>Prices_int row 134</t>
        </is>
      </c>
    </row>
    <row r="77">
      <c r="A77" s="14" t="inlineStr">
        <is>
          <t>Bulgaria</t>
        </is>
      </c>
      <c r="B77" s="14" t="inlineStr">
        <is>
          <t>Fixed</t>
        </is>
      </c>
      <c r="C77" s="14" t="inlineStr">
        <is>
          <t>Europe</t>
        </is>
      </c>
      <c r="D77" s="14" t="inlineStr">
        <is>
          <t>Prices_int row 135</t>
        </is>
      </c>
    </row>
    <row r="78">
      <c r="A78" s="14" t="inlineStr">
        <is>
          <t>Croatia</t>
        </is>
      </c>
      <c r="B78" s="14" t="inlineStr">
        <is>
          <t>Fixed</t>
        </is>
      </c>
      <c r="C78" s="14" t="inlineStr">
        <is>
          <t>Europe</t>
        </is>
      </c>
      <c r="D78" s="14" t="inlineStr">
        <is>
          <t>Prices_int row 136</t>
        </is>
      </c>
    </row>
    <row r="79">
      <c r="A79" s="14" t="inlineStr">
        <is>
          <t>Cyprus</t>
        </is>
      </c>
      <c r="B79" s="14" t="inlineStr">
        <is>
          <t>Fixed</t>
        </is>
      </c>
      <c r="C79" s="14" t="inlineStr">
        <is>
          <t>Europe</t>
        </is>
      </c>
      <c r="D79" s="14" t="inlineStr">
        <is>
          <t>Prices_int row 137</t>
        </is>
      </c>
    </row>
    <row r="80">
      <c r="A80" s="14" t="inlineStr">
        <is>
          <t>Czechia</t>
        </is>
      </c>
      <c r="B80" s="14" t="inlineStr">
        <is>
          <t>Fixed</t>
        </is>
      </c>
      <c r="C80" s="14" t="inlineStr">
        <is>
          <t>Europe</t>
        </is>
      </c>
      <c r="D80" s="14" t="inlineStr">
        <is>
          <t>Prices_int row 138</t>
        </is>
      </c>
    </row>
    <row r="81">
      <c r="A81" s="14" t="inlineStr">
        <is>
          <t>Denmark</t>
        </is>
      </c>
      <c r="B81" s="14" t="inlineStr">
        <is>
          <t>Fixed</t>
        </is>
      </c>
      <c r="C81" s="14" t="inlineStr">
        <is>
          <t>Europe</t>
        </is>
      </c>
      <c r="D81" s="14" t="inlineStr">
        <is>
          <t>Prices_int row 139</t>
        </is>
      </c>
    </row>
    <row r="82">
      <c r="A82" s="14" t="inlineStr">
        <is>
          <t>Estonia</t>
        </is>
      </c>
      <c r="B82" s="14" t="inlineStr">
        <is>
          <t>Fixed</t>
        </is>
      </c>
      <c r="C82" s="14" t="inlineStr">
        <is>
          <t>Europe</t>
        </is>
      </c>
      <c r="D82" s="14" t="inlineStr">
        <is>
          <t>Prices_int row 140</t>
        </is>
      </c>
    </row>
    <row r="83">
      <c r="A83" s="14" t="inlineStr">
        <is>
          <t>Equatorial Guinea</t>
        </is>
      </c>
      <c r="B83" s="14" t="inlineStr">
        <is>
          <t>Fixed</t>
        </is>
      </c>
      <c r="C83" s="14" t="inlineStr">
        <is>
          <t>Global</t>
        </is>
      </c>
      <c r="D83" s="14" t="inlineStr">
        <is>
          <t>Prices_int row 141</t>
        </is>
      </c>
    </row>
    <row r="84">
      <c r="A84" s="14" t="inlineStr">
        <is>
          <t>Faroe Islands</t>
        </is>
      </c>
      <c r="B84" s="14" t="inlineStr">
        <is>
          <t>Fixed</t>
        </is>
      </c>
      <c r="C84" s="14" t="inlineStr">
        <is>
          <t>Europe</t>
        </is>
      </c>
      <c r="D84" s="14" t="inlineStr">
        <is>
          <t>Prices_int row 142</t>
        </is>
      </c>
    </row>
    <row r="85">
      <c r="A85" s="14" t="inlineStr">
        <is>
          <t>Fiji</t>
        </is>
      </c>
      <c r="B85" s="14" t="inlineStr">
        <is>
          <t>Fixed</t>
        </is>
      </c>
      <c r="C85" s="14" t="inlineStr">
        <is>
          <t>Global</t>
        </is>
      </c>
      <c r="D85" s="14" t="inlineStr">
        <is>
          <t>Prices_int row 143</t>
        </is>
      </c>
    </row>
    <row r="86">
      <c r="A86" s="14" t="inlineStr">
        <is>
          <t>Finland</t>
        </is>
      </c>
      <c r="B86" s="14" t="inlineStr">
        <is>
          <t>Fixed</t>
        </is>
      </c>
      <c r="C86" s="14" t="inlineStr">
        <is>
          <t>Europe</t>
        </is>
      </c>
      <c r="D86" s="14" t="inlineStr">
        <is>
          <t>Prices_int row 144</t>
        </is>
      </c>
    </row>
    <row r="87">
      <c r="A87" s="14" t="inlineStr">
        <is>
          <t>France</t>
        </is>
      </c>
      <c r="B87" s="14" t="inlineStr">
        <is>
          <t>Fixed</t>
        </is>
      </c>
      <c r="C87" s="14" t="inlineStr">
        <is>
          <t>Europe</t>
        </is>
      </c>
      <c r="D87" s="14" t="inlineStr">
        <is>
          <t>Prices_int row 145</t>
        </is>
      </c>
    </row>
    <row r="88">
      <c r="A88" s="14" t="inlineStr">
        <is>
          <t>Germany</t>
        </is>
      </c>
      <c r="B88" s="14" t="inlineStr">
        <is>
          <t>Fixed</t>
        </is>
      </c>
      <c r="C88" s="14" t="inlineStr">
        <is>
          <t>Europe</t>
        </is>
      </c>
      <c r="D88" s="14" t="inlineStr">
        <is>
          <t>Prices_int row 146</t>
        </is>
      </c>
    </row>
    <row r="89">
      <c r="A89" s="14" t="inlineStr">
        <is>
          <t>Greece</t>
        </is>
      </c>
      <c r="B89" s="14" t="inlineStr">
        <is>
          <t>Fixed</t>
        </is>
      </c>
      <c r="C89" s="14" t="inlineStr">
        <is>
          <t>Europe</t>
        </is>
      </c>
      <c r="D89" s="14" t="inlineStr">
        <is>
          <t>Prices_int row 147</t>
        </is>
      </c>
    </row>
    <row r="90">
      <c r="A90" s="14" t="inlineStr">
        <is>
          <t>Hungary</t>
        </is>
      </c>
      <c r="B90" s="14" t="inlineStr">
        <is>
          <t>Fixed</t>
        </is>
      </c>
      <c r="C90" s="14" t="inlineStr">
        <is>
          <t>Europe</t>
        </is>
      </c>
      <c r="D90" s="14" t="inlineStr">
        <is>
          <t>Prices_int row 148</t>
        </is>
      </c>
    </row>
    <row r="91">
      <c r="A91" s="14" t="inlineStr">
        <is>
          <t>Iceland</t>
        </is>
      </c>
      <c r="B91" s="14" t="inlineStr">
        <is>
          <t>Fixed</t>
        </is>
      </c>
      <c r="C91" s="14" t="inlineStr">
        <is>
          <t>Europe</t>
        </is>
      </c>
      <c r="D91" s="14" t="inlineStr">
        <is>
          <t>Prices_int row 149</t>
        </is>
      </c>
    </row>
    <row r="92">
      <c r="A92" s="14" t="inlineStr">
        <is>
          <t>Ireland</t>
        </is>
      </c>
      <c r="B92" s="14" t="inlineStr">
        <is>
          <t>Fixed</t>
        </is>
      </c>
      <c r="C92" s="14" t="inlineStr">
        <is>
          <t>Europe</t>
        </is>
      </c>
      <c r="D92" s="14" t="inlineStr">
        <is>
          <t>Prices_int row 150</t>
        </is>
      </c>
    </row>
    <row r="93">
      <c r="A93" s="14" t="inlineStr">
        <is>
          <t>Israel</t>
        </is>
      </c>
      <c r="B93" s="14" t="inlineStr">
        <is>
          <t>Fixed</t>
        </is>
      </c>
      <c r="C93" s="14" t="inlineStr">
        <is>
          <t>Global</t>
        </is>
      </c>
      <c r="D93" s="14" t="inlineStr">
        <is>
          <t>Prices_int row 151</t>
        </is>
      </c>
    </row>
    <row r="94">
      <c r="A94" s="14" t="inlineStr">
        <is>
          <t>Italy</t>
        </is>
      </c>
      <c r="B94" s="14" t="inlineStr">
        <is>
          <t>Fixed</t>
        </is>
      </c>
      <c r="C94" s="14" t="inlineStr">
        <is>
          <t>Europe</t>
        </is>
      </c>
      <c r="D94" s="14" t="inlineStr">
        <is>
          <t>Prices_int row 152</t>
        </is>
      </c>
    </row>
    <row r="95">
      <c r="A95" s="14" t="inlineStr">
        <is>
          <t>Kosovo</t>
        </is>
      </c>
      <c r="B95" s="14" t="inlineStr">
        <is>
          <t>Fixed</t>
        </is>
      </c>
      <c r="C95" s="14" t="inlineStr">
        <is>
          <t>Europe</t>
        </is>
      </c>
      <c r="D95" s="14" t="inlineStr">
        <is>
          <t>Prices_int row 153</t>
        </is>
      </c>
    </row>
    <row r="96">
      <c r="A96" s="14" t="inlineStr">
        <is>
          <t>Latvia</t>
        </is>
      </c>
      <c r="B96" s="14" t="inlineStr">
        <is>
          <t>Fixed</t>
        </is>
      </c>
      <c r="C96" s="14" t="inlineStr">
        <is>
          <t>Europe</t>
        </is>
      </c>
      <c r="D96" s="14" t="inlineStr">
        <is>
          <t>Prices_int row 154</t>
        </is>
      </c>
    </row>
    <row r="97">
      <c r="A97" s="14" t="inlineStr">
        <is>
          <t>Lithuania</t>
        </is>
      </c>
      <c r="B97" s="14" t="inlineStr">
        <is>
          <t>Fixed</t>
        </is>
      </c>
      <c r="C97" s="14" t="inlineStr">
        <is>
          <t>Europe</t>
        </is>
      </c>
      <c r="D97" s="14" t="inlineStr">
        <is>
          <t>Prices_int row 155</t>
        </is>
      </c>
    </row>
    <row r="98">
      <c r="A98" s="14" t="inlineStr">
        <is>
          <t>Luxembourg</t>
        </is>
      </c>
      <c r="B98" s="14" t="inlineStr">
        <is>
          <t>Fixed</t>
        </is>
      </c>
      <c r="C98" s="14" t="inlineStr">
        <is>
          <t>Europe</t>
        </is>
      </c>
      <c r="D98" s="14" t="inlineStr">
        <is>
          <t>Prices_int row 156</t>
        </is>
      </c>
    </row>
    <row r="99">
      <c r="A99" s="14" t="inlineStr">
        <is>
          <t>North Macedonia</t>
        </is>
      </c>
      <c r="B99" s="14" t="inlineStr">
        <is>
          <t>Fixed</t>
        </is>
      </c>
      <c r="C99" s="14" t="inlineStr">
        <is>
          <t>Europe</t>
        </is>
      </c>
      <c r="D99" s="14" t="inlineStr">
        <is>
          <t>Prices_int row 157</t>
        </is>
      </c>
    </row>
    <row r="100">
      <c r="A100" s="14" t="inlineStr">
        <is>
          <t>Malta</t>
        </is>
      </c>
      <c r="B100" s="14" t="inlineStr">
        <is>
          <t>Fixed</t>
        </is>
      </c>
      <c r="C100" s="14" t="inlineStr">
        <is>
          <t>Europe</t>
        </is>
      </c>
      <c r="D100" s="14" t="inlineStr">
        <is>
          <t>Prices_int row 158</t>
        </is>
      </c>
    </row>
    <row r="101">
      <c r="A101" s="14" t="inlineStr">
        <is>
          <t>Moldova</t>
        </is>
      </c>
      <c r="B101" s="14" t="inlineStr">
        <is>
          <t>Fixed</t>
        </is>
      </c>
      <c r="C101" s="14" t="inlineStr">
        <is>
          <t>Europe</t>
        </is>
      </c>
      <c r="D101" s="14" t="inlineStr">
        <is>
          <t>Prices_int row 159</t>
        </is>
      </c>
    </row>
    <row r="102">
      <c r="A102" s="14" t="inlineStr">
        <is>
          <t>Montenegro, Rep. of</t>
        </is>
      </c>
      <c r="B102" s="14" t="inlineStr">
        <is>
          <t>Fixed</t>
        </is>
      </c>
      <c r="C102" s="14" t="inlineStr">
        <is>
          <t>Europe</t>
        </is>
      </c>
      <c r="D102" s="14" t="inlineStr">
        <is>
          <t>Prices_int row 160</t>
        </is>
      </c>
    </row>
    <row r="103">
      <c r="A103" s="14" t="inlineStr">
        <is>
          <t>Netherlands</t>
        </is>
      </c>
      <c r="B103" s="14" t="inlineStr">
        <is>
          <t>Fixed</t>
        </is>
      </c>
      <c r="C103" s="14" t="inlineStr">
        <is>
          <t>Europe</t>
        </is>
      </c>
      <c r="D103" s="14" t="inlineStr">
        <is>
          <t>Prices_int row 161</t>
        </is>
      </c>
    </row>
    <row r="104">
      <c r="A104" s="14" t="inlineStr">
        <is>
          <t>Norway</t>
        </is>
      </c>
      <c r="B104" s="14" t="inlineStr">
        <is>
          <t>Fixed</t>
        </is>
      </c>
      <c r="C104" s="14" t="inlineStr">
        <is>
          <t>Europe</t>
        </is>
      </c>
      <c r="D104" s="14" t="inlineStr">
        <is>
          <t>Prices_int row 162</t>
        </is>
      </c>
    </row>
    <row r="105">
      <c r="A105" s="14" t="inlineStr">
        <is>
          <t>Poland</t>
        </is>
      </c>
      <c r="B105" s="14" t="inlineStr">
        <is>
          <t>Fixed</t>
        </is>
      </c>
      <c r="C105" s="14" t="inlineStr">
        <is>
          <t>Europe</t>
        </is>
      </c>
      <c r="D105" s="14" t="inlineStr">
        <is>
          <t>Prices_int row 163</t>
        </is>
      </c>
    </row>
    <row r="106">
      <c r="A106" s="14" t="inlineStr">
        <is>
          <t>French Polynesia</t>
        </is>
      </c>
      <c r="B106" s="14" t="inlineStr">
        <is>
          <t>Fixed</t>
        </is>
      </c>
      <c r="C106" s="14" t="inlineStr">
        <is>
          <t>LNG</t>
        </is>
      </c>
      <c r="D106" s="14" t="inlineStr">
        <is>
          <t>Prices_int row 164</t>
        </is>
      </c>
    </row>
    <row r="107">
      <c r="A107" s="14" t="inlineStr">
        <is>
          <t>Gambia, The</t>
        </is>
      </c>
      <c r="B107" s="14" t="inlineStr">
        <is>
          <t>Fixed</t>
        </is>
      </c>
      <c r="C107" s="14" t="inlineStr">
        <is>
          <t>Global</t>
        </is>
      </c>
      <c r="D107" s="14" t="inlineStr">
        <is>
          <t>Prices_int row 165</t>
        </is>
      </c>
    </row>
    <row r="108">
      <c r="A108" s="14" t="inlineStr">
        <is>
          <t>Gibraltar</t>
        </is>
      </c>
      <c r="B108" s="14" t="inlineStr">
        <is>
          <t>Fixed</t>
        </is>
      </c>
      <c r="C108" s="14" t="inlineStr">
        <is>
          <t>Europe</t>
        </is>
      </c>
      <c r="D108" s="14" t="inlineStr">
        <is>
          <t>Prices_int row 166</t>
        </is>
      </c>
    </row>
    <row r="109">
      <c r="A109" s="14" t="inlineStr">
        <is>
          <t>Greenland</t>
        </is>
      </c>
      <c r="B109" s="14" t="inlineStr">
        <is>
          <t>Fixed</t>
        </is>
      </c>
      <c r="C109" s="14" t="inlineStr">
        <is>
          <t>Europe</t>
        </is>
      </c>
      <c r="D109" s="14" t="inlineStr">
        <is>
          <t>Prices_int row 167</t>
        </is>
      </c>
    </row>
    <row r="110">
      <c r="A110" s="14" t="inlineStr">
        <is>
          <t>Grenada</t>
        </is>
      </c>
      <c r="B110" s="14" t="inlineStr">
        <is>
          <t>Fixed</t>
        </is>
      </c>
      <c r="C110" s="14" t="inlineStr">
        <is>
          <t>North Am</t>
        </is>
      </c>
      <c r="D110" s="14" t="inlineStr">
        <is>
          <t>Prices_int row 168</t>
        </is>
      </c>
    </row>
    <row r="111">
      <c r="A111" s="14" t="inlineStr">
        <is>
          <t>Guam</t>
        </is>
      </c>
      <c r="B111" s="14" t="inlineStr">
        <is>
          <t>Fixed</t>
        </is>
      </c>
      <c r="C111" s="14" t="inlineStr">
        <is>
          <t>LNG</t>
        </is>
      </c>
      <c r="D111" s="14" t="inlineStr">
        <is>
          <t>Prices_int row 169</t>
        </is>
      </c>
    </row>
    <row r="112">
      <c r="A112" s="14" t="inlineStr">
        <is>
          <t>Guinea</t>
        </is>
      </c>
      <c r="B112" s="14" t="inlineStr">
        <is>
          <t>Fixed</t>
        </is>
      </c>
      <c r="C112" s="14" t="inlineStr">
        <is>
          <t>Global</t>
        </is>
      </c>
      <c r="D112" s="14" t="inlineStr">
        <is>
          <t>Prices_int row 170</t>
        </is>
      </c>
    </row>
    <row r="113">
      <c r="A113" s="14" t="inlineStr">
        <is>
          <t>Guinea-Bissau</t>
        </is>
      </c>
      <c r="B113" s="14" t="inlineStr">
        <is>
          <t>Fixed</t>
        </is>
      </c>
      <c r="C113" s="14" t="inlineStr">
        <is>
          <t>Global</t>
        </is>
      </c>
      <c r="D113" s="14" t="inlineStr">
        <is>
          <t>Prices_int row 171</t>
        </is>
      </c>
    </row>
    <row r="114">
      <c r="A114" s="14" t="inlineStr">
        <is>
          <t>Guyana</t>
        </is>
      </c>
      <c r="B114" s="14" t="inlineStr">
        <is>
          <t>Fixed</t>
        </is>
      </c>
      <c r="C114" s="14" t="inlineStr">
        <is>
          <t>North Am</t>
        </is>
      </c>
      <c r="D114" s="14" t="inlineStr">
        <is>
          <t>Prices_int row 172</t>
        </is>
      </c>
    </row>
    <row r="115">
      <c r="A115" s="14" t="inlineStr">
        <is>
          <t>Isle of Man</t>
        </is>
      </c>
      <c r="B115" s="14" t="inlineStr">
        <is>
          <t>Fixed</t>
        </is>
      </c>
      <c r="C115" s="14" t="inlineStr">
        <is>
          <t>Europe</t>
        </is>
      </c>
      <c r="D115" s="14" t="inlineStr">
        <is>
          <t>Prices_int row 173</t>
        </is>
      </c>
    </row>
    <row r="116">
      <c r="A116" s="14" t="inlineStr">
        <is>
          <t>Kiribati</t>
        </is>
      </c>
      <c r="B116" s="14" t="inlineStr">
        <is>
          <t>Fixed</t>
        </is>
      </c>
      <c r="C116" s="14" t="inlineStr">
        <is>
          <t>LNG</t>
        </is>
      </c>
      <c r="D116" s="14" t="inlineStr">
        <is>
          <t>Prices_int row 174</t>
        </is>
      </c>
    </row>
    <row r="117">
      <c r="A117" s="14" t="inlineStr">
        <is>
          <t>Korea, Dem. People's Rep.</t>
        </is>
      </c>
      <c r="B117" s="14" t="inlineStr">
        <is>
          <t>Fixed</t>
        </is>
      </c>
      <c r="C117" s="14" t="inlineStr">
        <is>
          <t>LNG</t>
        </is>
      </c>
      <c r="D117" s="14" t="inlineStr">
        <is>
          <t>Prices_int row 175</t>
        </is>
      </c>
    </row>
    <row r="118">
      <c r="A118" s="14" t="inlineStr">
        <is>
          <t>Lao P.D.R.</t>
        </is>
      </c>
      <c r="B118" s="14" t="inlineStr">
        <is>
          <t>Fixed</t>
        </is>
      </c>
      <c r="C118" s="14" t="inlineStr">
        <is>
          <t>LNG</t>
        </is>
      </c>
      <c r="D118" s="14" t="inlineStr">
        <is>
          <t>Prices_int row 176</t>
        </is>
      </c>
    </row>
    <row r="119">
      <c r="A119" s="14" t="inlineStr">
        <is>
          <t>Lesotho</t>
        </is>
      </c>
      <c r="B119" s="14" t="inlineStr">
        <is>
          <t>Fixed</t>
        </is>
      </c>
      <c r="C119" s="14" t="inlineStr">
        <is>
          <t>Global</t>
        </is>
      </c>
      <c r="D119" s="14" t="inlineStr">
        <is>
          <t>Prices_int row 177</t>
        </is>
      </c>
    </row>
    <row r="120">
      <c r="A120" s="14" t="inlineStr">
        <is>
          <t>Liberia</t>
        </is>
      </c>
      <c r="B120" s="14" t="inlineStr">
        <is>
          <t>Fixed</t>
        </is>
      </c>
      <c r="C120" s="14" t="inlineStr">
        <is>
          <t>Global</t>
        </is>
      </c>
      <c r="D120" s="14" t="inlineStr">
        <is>
          <t>Prices_int row 178</t>
        </is>
      </c>
    </row>
    <row r="121">
      <c r="A121" s="14" t="inlineStr">
        <is>
          <t>Liechtenstein</t>
        </is>
      </c>
      <c r="B121" s="14" t="inlineStr">
        <is>
          <t>Fixed</t>
        </is>
      </c>
      <c r="C121" s="14" t="inlineStr">
        <is>
          <t>Europe</t>
        </is>
      </c>
      <c r="D121" s="14" t="inlineStr">
        <is>
          <t>Prices_int row 179</t>
        </is>
      </c>
    </row>
    <row r="122">
      <c r="A122" s="14" t="inlineStr">
        <is>
          <t>Macao SAR</t>
        </is>
      </c>
      <c r="B122" s="14" t="inlineStr">
        <is>
          <t>Fixed</t>
        </is>
      </c>
      <c r="C122" s="14" t="inlineStr">
        <is>
          <t>LNG</t>
        </is>
      </c>
      <c r="D122" s="14" t="inlineStr">
        <is>
          <t>Prices_int row 180</t>
        </is>
      </c>
    </row>
    <row r="123">
      <c r="A123" s="14" t="inlineStr">
        <is>
          <t>Madagascar</t>
        </is>
      </c>
      <c r="B123" s="14" t="inlineStr">
        <is>
          <t>Fixed</t>
        </is>
      </c>
      <c r="C123" s="14" t="inlineStr">
        <is>
          <t>Global</t>
        </is>
      </c>
      <c r="D123" s="14" t="inlineStr">
        <is>
          <t>Prices_int row 181</t>
        </is>
      </c>
    </row>
    <row r="124">
      <c r="A124" s="14" t="inlineStr">
        <is>
          <t>Malawi</t>
        </is>
      </c>
      <c r="B124" s="14" t="inlineStr">
        <is>
          <t>Fixed</t>
        </is>
      </c>
      <c r="C124" s="14" t="inlineStr">
        <is>
          <t>Global</t>
        </is>
      </c>
      <c r="D124" s="14" t="inlineStr">
        <is>
          <t>Prices_int row 182</t>
        </is>
      </c>
    </row>
    <row r="125">
      <c r="A125" s="14" t="inlineStr">
        <is>
          <t>Maldives</t>
        </is>
      </c>
      <c r="B125" s="14" t="inlineStr">
        <is>
          <t>Fixed</t>
        </is>
      </c>
      <c r="C125" s="14" t="inlineStr">
        <is>
          <t>LNG</t>
        </is>
      </c>
      <c r="D125" s="14" t="inlineStr">
        <is>
          <t>Prices_int row 183</t>
        </is>
      </c>
    </row>
    <row r="126">
      <c r="A126" s="14" t="inlineStr">
        <is>
          <t>Mali</t>
        </is>
      </c>
      <c r="B126" s="14" t="inlineStr">
        <is>
          <t>Fixed</t>
        </is>
      </c>
      <c r="C126" s="14" t="inlineStr">
        <is>
          <t>Global</t>
        </is>
      </c>
      <c r="D126" s="14" t="inlineStr">
        <is>
          <t>Prices_int row 184</t>
        </is>
      </c>
    </row>
    <row r="127">
      <c r="A127" s="14" t="inlineStr">
        <is>
          <t>Marshall Islands</t>
        </is>
      </c>
      <c r="B127" s="14" t="inlineStr">
        <is>
          <t>Fixed</t>
        </is>
      </c>
      <c r="C127" s="14" t="inlineStr">
        <is>
          <t>LNG</t>
        </is>
      </c>
      <c r="D127" s="14" t="inlineStr">
        <is>
          <t>Prices_int row 185</t>
        </is>
      </c>
    </row>
    <row r="128">
      <c r="A128" s="14" t="inlineStr">
        <is>
          <t>Mauritania</t>
        </is>
      </c>
      <c r="B128" s="14" t="inlineStr">
        <is>
          <t>Fixed</t>
        </is>
      </c>
      <c r="C128" s="14" t="inlineStr">
        <is>
          <t>Global</t>
        </is>
      </c>
      <c r="D128" s="14" t="inlineStr">
        <is>
          <t>Prices_int row 186</t>
        </is>
      </c>
    </row>
    <row r="129">
      <c r="A129" s="14" t="inlineStr">
        <is>
          <t>Micronesia</t>
        </is>
      </c>
      <c r="B129" s="14" t="inlineStr">
        <is>
          <t>Fixed</t>
        </is>
      </c>
      <c r="C129" s="14" t="inlineStr">
        <is>
          <t>LNG</t>
        </is>
      </c>
      <c r="D129" s="14" t="inlineStr">
        <is>
          <t>Prices_int row 187</t>
        </is>
      </c>
    </row>
    <row r="130">
      <c r="A130" s="14" t="inlineStr">
        <is>
          <t>Monaco</t>
        </is>
      </c>
      <c r="B130" s="14" t="inlineStr">
        <is>
          <t>Fixed</t>
        </is>
      </c>
      <c r="C130" s="14" t="inlineStr">
        <is>
          <t>Europe</t>
        </is>
      </c>
      <c r="D130" s="14" t="inlineStr">
        <is>
          <t>Prices_int row 188</t>
        </is>
      </c>
    </row>
    <row r="131">
      <c r="A131" s="14" t="inlineStr">
        <is>
          <t>Nauru</t>
        </is>
      </c>
      <c r="B131" s="14" t="inlineStr">
        <is>
          <t>Fixed</t>
        </is>
      </c>
      <c r="C131" s="14" t="inlineStr">
        <is>
          <t>LNG</t>
        </is>
      </c>
      <c r="D131" s="14" t="inlineStr">
        <is>
          <t>Prices_int row 189</t>
        </is>
      </c>
    </row>
    <row r="132">
      <c r="A132" s="14" t="inlineStr">
        <is>
          <t>New Caledonia</t>
        </is>
      </c>
      <c r="B132" s="14" t="inlineStr">
        <is>
          <t>Fixed</t>
        </is>
      </c>
      <c r="C132" s="14" t="inlineStr">
        <is>
          <t>LNG</t>
        </is>
      </c>
      <c r="D132" s="14" t="inlineStr">
        <is>
          <t>Prices_int row 190</t>
        </is>
      </c>
    </row>
    <row r="133">
      <c r="A133" s="14" t="inlineStr">
        <is>
          <t>Northern Mariana Islands</t>
        </is>
      </c>
      <c r="B133" s="14" t="inlineStr">
        <is>
          <t>Fixed</t>
        </is>
      </c>
      <c r="C133" s="14" t="inlineStr">
        <is>
          <t>LNG</t>
        </is>
      </c>
      <c r="D133" s="14" t="inlineStr">
        <is>
          <t>Prices_int row 191</t>
        </is>
      </c>
    </row>
    <row r="134">
      <c r="A134" s="14" t="inlineStr">
        <is>
          <t>Palau</t>
        </is>
      </c>
      <c r="B134" s="14" t="inlineStr">
        <is>
          <t>Fixed</t>
        </is>
      </c>
      <c r="C134" s="14" t="inlineStr">
        <is>
          <t>LNG</t>
        </is>
      </c>
      <c r="D134" s="14" t="inlineStr">
        <is>
          <t>Prices_int row 192</t>
        </is>
      </c>
    </row>
    <row r="135">
      <c r="A135" s="14" t="inlineStr">
        <is>
          <t>Papua New Guinea</t>
        </is>
      </c>
      <c r="B135" s="14" t="inlineStr">
        <is>
          <t>Fixed</t>
        </is>
      </c>
      <c r="C135" s="14" t="inlineStr">
        <is>
          <t>LNG</t>
        </is>
      </c>
      <c r="D135" s="14" t="inlineStr">
        <is>
          <t>Prices_int row 193</t>
        </is>
      </c>
    </row>
    <row r="136">
      <c r="A136" s="14" t="inlineStr">
        <is>
          <t>Puerto Rico</t>
        </is>
      </c>
      <c r="B136" s="14" t="inlineStr">
        <is>
          <t>Fixed</t>
        </is>
      </c>
      <c r="C136" s="14" t="inlineStr">
        <is>
          <t>North Am</t>
        </is>
      </c>
      <c r="D136" s="14" t="inlineStr">
        <is>
          <t>Prices_int row 194</t>
        </is>
      </c>
    </row>
    <row r="137">
      <c r="A137" s="14" t="inlineStr">
        <is>
          <t>Samoa</t>
        </is>
      </c>
      <c r="B137" s="14" t="inlineStr">
        <is>
          <t>Fixed</t>
        </is>
      </c>
      <c r="C137" s="14" t="inlineStr">
        <is>
          <t>LNG</t>
        </is>
      </c>
      <c r="D137" s="14" t="inlineStr">
        <is>
          <t>Prices_int row 195</t>
        </is>
      </c>
    </row>
    <row r="138">
      <c r="A138" s="14" t="inlineStr">
        <is>
          <t>San Marino</t>
        </is>
      </c>
      <c r="B138" s="14" t="inlineStr">
        <is>
          <t>Fixed</t>
        </is>
      </c>
      <c r="C138" s="14" t="inlineStr">
        <is>
          <t>Europe</t>
        </is>
      </c>
      <c r="D138" s="14" t="inlineStr">
        <is>
          <t>Prices_int row 196</t>
        </is>
      </c>
    </row>
    <row r="139">
      <c r="A139" s="14" t="inlineStr">
        <is>
          <t>São Tomé and Príncipe</t>
        </is>
      </c>
      <c r="B139" s="14" t="inlineStr">
        <is>
          <t>Fixed</t>
        </is>
      </c>
      <c r="C139" s="14" t="inlineStr">
        <is>
          <t>Global</t>
        </is>
      </c>
      <c r="D139" s="14" t="inlineStr">
        <is>
          <t>Prices_int row 197</t>
        </is>
      </c>
    </row>
    <row r="140">
      <c r="A140" s="14" t="inlineStr">
        <is>
          <t>Seychelles</t>
        </is>
      </c>
      <c r="B140" s="14" t="inlineStr">
        <is>
          <t>Fixed</t>
        </is>
      </c>
      <c r="C140" s="14" t="inlineStr">
        <is>
          <t>Global</t>
        </is>
      </c>
      <c r="D140" s="14" t="inlineStr">
        <is>
          <t>Prices_int row 198</t>
        </is>
      </c>
    </row>
    <row r="141">
      <c r="A141" s="14" t="inlineStr">
        <is>
          <t>Sierra Leone</t>
        </is>
      </c>
      <c r="B141" s="14" t="inlineStr">
        <is>
          <t>Fixed</t>
        </is>
      </c>
      <c r="C141" s="14" t="inlineStr">
        <is>
          <t>Global</t>
        </is>
      </c>
      <c r="D141" s="14" t="inlineStr">
        <is>
          <t>Prices_int row 199</t>
        </is>
      </c>
    </row>
    <row r="142">
      <c r="A142" s="14" t="inlineStr">
        <is>
          <t>Sint Maarten (Dutch part)</t>
        </is>
      </c>
      <c r="B142" s="14" t="inlineStr">
        <is>
          <t>Fixed</t>
        </is>
      </c>
      <c r="C142" s="14" t="inlineStr">
        <is>
          <t>North Am</t>
        </is>
      </c>
      <c r="D142" s="14" t="inlineStr">
        <is>
          <t>Prices_int row 200</t>
        </is>
      </c>
    </row>
    <row r="143">
      <c r="A143" s="14" t="inlineStr">
        <is>
          <t>Solomon Islands</t>
        </is>
      </c>
      <c r="B143" s="14" t="inlineStr">
        <is>
          <t>Fixed</t>
        </is>
      </c>
      <c r="C143" s="14" t="inlineStr">
        <is>
          <t>LNG</t>
        </is>
      </c>
      <c r="D143" s="14" t="inlineStr">
        <is>
          <t>Prices_int row 201</t>
        </is>
      </c>
    </row>
    <row r="144">
      <c r="A144" s="14" t="inlineStr">
        <is>
          <t>Somalia</t>
        </is>
      </c>
      <c r="B144" s="14" t="inlineStr">
        <is>
          <t>Fixed</t>
        </is>
      </c>
      <c r="C144" s="14" t="inlineStr">
        <is>
          <t>Global</t>
        </is>
      </c>
      <c r="D144" s="14" t="inlineStr">
        <is>
          <t>Prices_int row 202</t>
        </is>
      </c>
    </row>
    <row r="145">
      <c r="A145" s="14" t="inlineStr">
        <is>
          <t>St. Kitts and Nevis</t>
        </is>
      </c>
      <c r="B145" s="14" t="inlineStr">
        <is>
          <t>Fixed</t>
        </is>
      </c>
      <c r="C145" s="14" t="inlineStr">
        <is>
          <t>North Am</t>
        </is>
      </c>
      <c r="D145" s="14" t="inlineStr">
        <is>
          <t>Prices_int row 203</t>
        </is>
      </c>
    </row>
    <row r="146">
      <c r="A146" s="14" t="inlineStr">
        <is>
          <t>St. Lucia</t>
        </is>
      </c>
      <c r="B146" s="14" t="inlineStr">
        <is>
          <t>Fixed</t>
        </is>
      </c>
      <c r="C146" s="14" t="inlineStr">
        <is>
          <t>North Am</t>
        </is>
      </c>
      <c r="D146" s="14" t="inlineStr">
        <is>
          <t>Prices_int row 204</t>
        </is>
      </c>
    </row>
    <row r="147">
      <c r="A147" s="14" t="inlineStr">
        <is>
          <t>St. Martin (French part)</t>
        </is>
      </c>
      <c r="B147" s="14" t="inlineStr">
        <is>
          <t>Fixed</t>
        </is>
      </c>
      <c r="C147" s="14" t="inlineStr">
        <is>
          <t>North Am</t>
        </is>
      </c>
      <c r="D147" s="14" t="inlineStr">
        <is>
          <t>Prices_int row 205</t>
        </is>
      </c>
    </row>
    <row r="148">
      <c r="A148" s="14" t="inlineStr">
        <is>
          <t>St. Vincent and the Grenadines</t>
        </is>
      </c>
      <c r="B148" s="14" t="inlineStr">
        <is>
          <t>Fixed</t>
        </is>
      </c>
      <c r="C148" s="14" t="inlineStr">
        <is>
          <t>North Am</t>
        </is>
      </c>
      <c r="D148" s="14" t="inlineStr">
        <is>
          <t>Prices_int row 206</t>
        </is>
      </c>
    </row>
    <row r="149">
      <c r="A149" s="14" t="inlineStr">
        <is>
          <t>Eswatini</t>
        </is>
      </c>
      <c r="B149" s="14" t="inlineStr">
        <is>
          <t>Fixed</t>
        </is>
      </c>
      <c r="C149" s="14" t="inlineStr">
        <is>
          <t>Global</t>
        </is>
      </c>
      <c r="D149" s="14" t="inlineStr">
        <is>
          <t>Prices_int row 207</t>
        </is>
      </c>
    </row>
    <row r="150">
      <c r="A150" s="14" t="inlineStr">
        <is>
          <t>Syria</t>
        </is>
      </c>
      <c r="B150" s="14" t="inlineStr">
        <is>
          <t>Fixed</t>
        </is>
      </c>
      <c r="C150" s="14" t="inlineStr">
        <is>
          <t>Global</t>
        </is>
      </c>
      <c r="D150" s="14" t="inlineStr">
        <is>
          <t>Prices_int row 208</t>
        </is>
      </c>
    </row>
    <row r="151">
      <c r="A151" s="14" t="inlineStr">
        <is>
          <t>Taiwan Province of China</t>
        </is>
      </c>
      <c r="B151" s="14" t="inlineStr">
        <is>
          <t>Fixed</t>
        </is>
      </c>
      <c r="C151" s="14" t="inlineStr">
        <is>
          <t>LNG</t>
        </is>
      </c>
      <c r="D151" s="14" t="inlineStr">
        <is>
          <t>Prices_int row 209</t>
        </is>
      </c>
    </row>
    <row r="152">
      <c r="A152" s="14" t="inlineStr">
        <is>
          <t>Timor-Leste</t>
        </is>
      </c>
      <c r="B152" s="14" t="inlineStr">
        <is>
          <t>Fixed</t>
        </is>
      </c>
      <c r="C152" s="14" t="inlineStr">
        <is>
          <t>LNG</t>
        </is>
      </c>
      <c r="D152" s="14" t="inlineStr">
        <is>
          <t>Prices_int row 210</t>
        </is>
      </c>
    </row>
    <row r="153">
      <c r="A153" s="14" t="inlineStr">
        <is>
          <t>Tonga</t>
        </is>
      </c>
      <c r="B153" s="14" t="inlineStr">
        <is>
          <t>Fixed</t>
        </is>
      </c>
      <c r="C153" s="14" t="inlineStr">
        <is>
          <t>LNG</t>
        </is>
      </c>
      <c r="D153" s="14" t="inlineStr">
        <is>
          <t>Prices_int row 211</t>
        </is>
      </c>
    </row>
    <row r="154">
      <c r="A154" s="14" t="inlineStr">
        <is>
          <t>Turks and Caicos Islands</t>
        </is>
      </c>
      <c r="B154" s="14" t="inlineStr">
        <is>
          <t>Fixed</t>
        </is>
      </c>
      <c r="C154" s="14" t="inlineStr">
        <is>
          <t>North Am</t>
        </is>
      </c>
      <c r="D154" s="14" t="inlineStr">
        <is>
          <t>Prices_int row 212</t>
        </is>
      </c>
    </row>
    <row r="155">
      <c r="A155" s="14" t="inlineStr">
        <is>
          <t>Tuvalu</t>
        </is>
      </c>
      <c r="B155" s="14" t="inlineStr">
        <is>
          <t>Fixed</t>
        </is>
      </c>
      <c r="C155" s="14" t="inlineStr">
        <is>
          <t>LNG</t>
        </is>
      </c>
      <c r="D155" s="14" t="inlineStr">
        <is>
          <t>Prices_int row 213</t>
        </is>
      </c>
    </row>
    <row r="156">
      <c r="A156" s="14" t="inlineStr">
        <is>
          <t>Uganda</t>
        </is>
      </c>
      <c r="B156" s="14" t="inlineStr">
        <is>
          <t>Fixed</t>
        </is>
      </c>
      <c r="C156" s="14" t="inlineStr">
        <is>
          <t>Global</t>
        </is>
      </c>
      <c r="D156" s="14" t="inlineStr">
        <is>
          <t>Prices_int row 214</t>
        </is>
      </c>
    </row>
    <row r="157">
      <c r="A157" s="14" t="inlineStr">
        <is>
          <t>Vanuatu</t>
        </is>
      </c>
      <c r="B157" s="14" t="inlineStr">
        <is>
          <t>Fixed</t>
        </is>
      </c>
      <c r="C157" s="14" t="inlineStr">
        <is>
          <t>LNG</t>
        </is>
      </c>
      <c r="D157" s="14" t="inlineStr">
        <is>
          <t>Prices_int row 215</t>
        </is>
      </c>
    </row>
    <row r="158">
      <c r="A158" s="14" t="inlineStr">
        <is>
          <t>Virgin Islands (U.S.)</t>
        </is>
      </c>
      <c r="B158" s="14" t="inlineStr">
        <is>
          <t>Fixed</t>
        </is>
      </c>
      <c r="C158" s="14" t="inlineStr">
        <is>
          <t>North Am</t>
        </is>
      </c>
      <c r="D158" s="14" t="inlineStr">
        <is>
          <t>Prices_int row 216</t>
        </is>
      </c>
    </row>
    <row r="159">
      <c r="A159" s="14" t="inlineStr">
        <is>
          <t>West Bank and Gaza</t>
        </is>
      </c>
      <c r="B159" s="14" t="inlineStr">
        <is>
          <t>Fixed</t>
        </is>
      </c>
      <c r="C159" s="14" t="inlineStr">
        <is>
          <t>Global</t>
        </is>
      </c>
      <c r="D159" s="14" t="inlineStr">
        <is>
          <t>Prices_int row 217</t>
        </is>
      </c>
    </row>
    <row r="160">
      <c r="A160" s="14" t="inlineStr">
        <is>
          <t>Portugal</t>
        </is>
      </c>
      <c r="B160" s="14" t="inlineStr">
        <is>
          <t>Fixed</t>
        </is>
      </c>
      <c r="C160" s="14" t="inlineStr">
        <is>
          <t>Europe</t>
        </is>
      </c>
      <c r="D160" s="14" t="inlineStr">
        <is>
          <t>Prices_int row 218</t>
        </is>
      </c>
    </row>
    <row r="161">
      <c r="A161" s="14" t="inlineStr">
        <is>
          <t>Romania</t>
        </is>
      </c>
      <c r="B161" s="14" t="inlineStr">
        <is>
          <t>Fixed</t>
        </is>
      </c>
      <c r="C161" s="14" t="inlineStr">
        <is>
          <t>Europe</t>
        </is>
      </c>
      <c r="D161" s="14" t="inlineStr">
        <is>
          <t>Prices_int row 219</t>
        </is>
      </c>
    </row>
    <row r="162">
      <c r="A162" s="14" t="inlineStr">
        <is>
          <t>Russia</t>
        </is>
      </c>
      <c r="B162" s="14" t="inlineStr">
        <is>
          <t>Fixed</t>
        </is>
      </c>
      <c r="C162" s="14" t="inlineStr">
        <is>
          <t>Europe</t>
        </is>
      </c>
      <c r="D162" s="14" t="inlineStr">
        <is>
          <t>Prices_int row 220</t>
        </is>
      </c>
    </row>
    <row r="163">
      <c r="A163" s="14" t="inlineStr">
        <is>
          <t>Serbia</t>
        </is>
      </c>
      <c r="B163" s="14" t="inlineStr">
        <is>
          <t>Fixed</t>
        </is>
      </c>
      <c r="C163" s="14" t="inlineStr">
        <is>
          <t>Europe</t>
        </is>
      </c>
      <c r="D163" s="14" t="inlineStr">
        <is>
          <t>Prices_int row 221</t>
        </is>
      </c>
    </row>
    <row r="164">
      <c r="A164" s="14" t="inlineStr">
        <is>
          <t>Slovak Republic</t>
        </is>
      </c>
      <c r="B164" s="14" t="inlineStr">
        <is>
          <t>Fixed</t>
        </is>
      </c>
      <c r="C164" s="14" t="inlineStr">
        <is>
          <t>Europe</t>
        </is>
      </c>
      <c r="D164" s="14" t="inlineStr">
        <is>
          <t>Prices_int row 222</t>
        </is>
      </c>
    </row>
    <row r="165">
      <c r="A165" s="14" t="inlineStr">
        <is>
          <t>Slovenia</t>
        </is>
      </c>
      <c r="B165" s="14" t="inlineStr">
        <is>
          <t>Fixed</t>
        </is>
      </c>
      <c r="C165" s="14" t="inlineStr">
        <is>
          <t>Europe</t>
        </is>
      </c>
      <c r="D165" s="14" t="inlineStr">
        <is>
          <t>Prices_int row 223</t>
        </is>
      </c>
    </row>
    <row r="166">
      <c r="A166" s="14" t="inlineStr">
        <is>
          <t>Spain</t>
        </is>
      </c>
      <c r="B166" s="14" t="inlineStr">
        <is>
          <t>Fixed</t>
        </is>
      </c>
      <c r="C166" s="14" t="inlineStr">
        <is>
          <t>Europe</t>
        </is>
      </c>
      <c r="D166" s="14" t="inlineStr">
        <is>
          <t>Prices_int row 224</t>
        </is>
      </c>
    </row>
    <row r="167">
      <c r="A167" s="14" t="inlineStr">
        <is>
          <t>Sweden</t>
        </is>
      </c>
      <c r="B167" s="14" t="inlineStr">
        <is>
          <t>Fixed</t>
        </is>
      </c>
      <c r="C167" s="14" t="inlineStr">
        <is>
          <t>Europe</t>
        </is>
      </c>
      <c r="D167" s="14" t="inlineStr">
        <is>
          <t>Prices_int row 225</t>
        </is>
      </c>
    </row>
    <row r="168">
      <c r="A168" s="14" t="inlineStr">
        <is>
          <t>Switzerland</t>
        </is>
      </c>
      <c r="B168" s="14" t="inlineStr">
        <is>
          <t>Fixed</t>
        </is>
      </c>
      <c r="C168" s="14" t="inlineStr">
        <is>
          <t>Europe</t>
        </is>
      </c>
      <c r="D168" s="14" t="inlineStr">
        <is>
          <t>Prices_int row 226</t>
        </is>
      </c>
    </row>
    <row r="169">
      <c r="A169" s="14" t="inlineStr">
        <is>
          <t>Turkiye</t>
        </is>
      </c>
      <c r="B169" s="14" t="inlineStr">
        <is>
          <t>Fixed</t>
        </is>
      </c>
      <c r="C169" s="14" t="inlineStr">
        <is>
          <t>Global</t>
        </is>
      </c>
      <c r="D169" s="14" t="inlineStr">
        <is>
          <t>Prices_int row 227</t>
        </is>
      </c>
    </row>
    <row r="170">
      <c r="A170" s="14" t="inlineStr">
        <is>
          <t>Ukraine</t>
        </is>
      </c>
      <c r="B170" s="14" t="inlineStr">
        <is>
          <t>Fixed</t>
        </is>
      </c>
      <c r="C170" s="14" t="inlineStr">
        <is>
          <t>Europe</t>
        </is>
      </c>
      <c r="D170" s="14" t="inlineStr">
        <is>
          <t>Prices_int row 228</t>
        </is>
      </c>
    </row>
    <row r="171">
      <c r="A171" s="14" t="inlineStr">
        <is>
          <t>United Kingdom</t>
        </is>
      </c>
      <c r="B171" s="14" t="inlineStr">
        <is>
          <t>Fixed</t>
        </is>
      </c>
      <c r="C171" s="14" t="inlineStr">
        <is>
          <t>Europe</t>
        </is>
      </c>
      <c r="D171" s="14" t="inlineStr">
        <is>
          <t>Prices_int row 229</t>
        </is>
      </c>
    </row>
    <row r="172">
      <c r="A172" s="14" t="inlineStr">
        <is>
          <t>Algeria</t>
        </is>
      </c>
      <c r="B172" s="14" t="inlineStr">
        <is>
          <t>Fixed</t>
        </is>
      </c>
      <c r="C172" s="14" t="inlineStr">
        <is>
          <t>Global</t>
        </is>
      </c>
      <c r="D172" s="14" t="inlineStr">
        <is>
          <t>Prices_int row 230</t>
        </is>
      </c>
    </row>
    <row r="173">
      <c r="A173" s="14" t="inlineStr">
        <is>
          <t>Armenia</t>
        </is>
      </c>
      <c r="B173" s="14" t="inlineStr">
        <is>
          <t>Fixed</t>
        </is>
      </c>
      <c r="C173" s="14" t="inlineStr">
        <is>
          <t>Global</t>
        </is>
      </c>
      <c r="D173" s="14" t="inlineStr">
        <is>
          <t>Prices_int row 231</t>
        </is>
      </c>
    </row>
    <row r="174">
      <c r="A174" s="14" t="inlineStr">
        <is>
          <t>Azerbaijan</t>
        </is>
      </c>
      <c r="B174" s="14" t="inlineStr">
        <is>
          <t>Fixed</t>
        </is>
      </c>
      <c r="C174" s="14" t="inlineStr">
        <is>
          <t>Global</t>
        </is>
      </c>
      <c r="D174" s="14" t="inlineStr">
        <is>
          <t>Prices_int row 232</t>
        </is>
      </c>
    </row>
    <row r="175">
      <c r="A175" s="14" t="inlineStr">
        <is>
          <t>Bahrain</t>
        </is>
      </c>
      <c r="B175" s="14" t="inlineStr">
        <is>
          <t>Fixed</t>
        </is>
      </c>
      <c r="C175" s="14" t="inlineStr">
        <is>
          <t>Global</t>
        </is>
      </c>
      <c r="D175" s="14" t="inlineStr">
        <is>
          <t>Prices_int row 233</t>
        </is>
      </c>
    </row>
    <row r="176">
      <c r="A176" s="14" t="inlineStr">
        <is>
          <t>Egypt</t>
        </is>
      </c>
      <c r="B176" s="14" t="inlineStr">
        <is>
          <t>Fixed</t>
        </is>
      </c>
      <c r="C176" s="14" t="inlineStr">
        <is>
          <t>Global</t>
        </is>
      </c>
      <c r="D176" s="14" t="inlineStr">
        <is>
          <t>Prices_int row 234</t>
        </is>
      </c>
    </row>
    <row r="177">
      <c r="A177" s="14" t="inlineStr">
        <is>
          <t>Georgia</t>
        </is>
      </c>
      <c r="B177" s="14" t="inlineStr">
        <is>
          <t>Fixed</t>
        </is>
      </c>
      <c r="C177" s="14" t="inlineStr">
        <is>
          <t>Global</t>
        </is>
      </c>
      <c r="D177" s="14" t="inlineStr">
        <is>
          <t>Prices_int row 235</t>
        </is>
      </c>
    </row>
    <row r="178">
      <c r="A178" s="14" t="inlineStr">
        <is>
          <t>Iran</t>
        </is>
      </c>
      <c r="B178" s="14" t="inlineStr">
        <is>
          <t>Fixed</t>
        </is>
      </c>
      <c r="C178" s="14" t="inlineStr">
        <is>
          <t>Global</t>
        </is>
      </c>
      <c r="D178" s="14" t="inlineStr">
        <is>
          <t>Prices_int row 236</t>
        </is>
      </c>
    </row>
    <row r="179">
      <c r="A179" s="14" t="inlineStr">
        <is>
          <t>Iraq</t>
        </is>
      </c>
      <c r="B179" s="14" t="inlineStr">
        <is>
          <t>Fixed</t>
        </is>
      </c>
      <c r="C179" s="14" t="inlineStr">
        <is>
          <t>Global</t>
        </is>
      </c>
      <c r="D179" s="14" t="inlineStr">
        <is>
          <t>Prices_int row 237</t>
        </is>
      </c>
    </row>
    <row r="180">
      <c r="A180" s="14" t="inlineStr">
        <is>
          <t>Jordan</t>
        </is>
      </c>
      <c r="B180" s="14" t="inlineStr">
        <is>
          <t>Fixed</t>
        </is>
      </c>
      <c r="C180" s="14" t="inlineStr">
        <is>
          <t>Global</t>
        </is>
      </c>
      <c r="D180" s="14" t="inlineStr">
        <is>
          <t>Prices_int row 238</t>
        </is>
      </c>
    </row>
    <row r="181">
      <c r="A181" s="14" t="inlineStr">
        <is>
          <t>Kazakhstan</t>
        </is>
      </c>
      <c r="B181" s="14" t="inlineStr">
        <is>
          <t>Fixed</t>
        </is>
      </c>
      <c r="C181" s="14" t="inlineStr">
        <is>
          <t>Global</t>
        </is>
      </c>
      <c r="D181" s="14" t="inlineStr">
        <is>
          <t>Prices_int row 239</t>
        </is>
      </c>
    </row>
    <row r="182">
      <c r="A182" s="14" t="inlineStr">
        <is>
          <t>Kuwait</t>
        </is>
      </c>
      <c r="B182" s="14" t="inlineStr">
        <is>
          <t>Fixed</t>
        </is>
      </c>
      <c r="C182" s="14" t="inlineStr">
        <is>
          <t>Global</t>
        </is>
      </c>
      <c r="D182" s="14" t="inlineStr">
        <is>
          <t>Prices_int row 240</t>
        </is>
      </c>
    </row>
    <row r="183">
      <c r="A183" s="14" t="inlineStr">
        <is>
          <t>Kyrgyz Republic</t>
        </is>
      </c>
      <c r="B183" s="14" t="inlineStr">
        <is>
          <t>Fixed</t>
        </is>
      </c>
      <c r="C183" s="14" t="inlineStr">
        <is>
          <t>Global</t>
        </is>
      </c>
      <c r="D183" s="14" t="inlineStr">
        <is>
          <t>Prices_int row 241</t>
        </is>
      </c>
    </row>
    <row r="184">
      <c r="A184" s="14" t="inlineStr">
        <is>
          <t>Lebanon</t>
        </is>
      </c>
      <c r="B184" s="14" t="inlineStr">
        <is>
          <t>Fixed</t>
        </is>
      </c>
      <c r="C184" s="14" t="inlineStr">
        <is>
          <t>Global</t>
        </is>
      </c>
      <c r="D184" s="14" t="inlineStr">
        <is>
          <t>Prices_int row 242</t>
        </is>
      </c>
    </row>
    <row r="185">
      <c r="A185" s="14" t="inlineStr">
        <is>
          <t>Libya</t>
        </is>
      </c>
      <c r="B185" s="14" t="inlineStr">
        <is>
          <t>Fixed</t>
        </is>
      </c>
      <c r="C185" s="14" t="inlineStr">
        <is>
          <t>Global</t>
        </is>
      </c>
      <c r="D185" s="14" t="inlineStr">
        <is>
          <t>Prices_int row 243</t>
        </is>
      </c>
    </row>
    <row r="186">
      <c r="A186" s="14" t="inlineStr">
        <is>
          <t>Morocco</t>
        </is>
      </c>
      <c r="B186" s="14" t="inlineStr">
        <is>
          <t>Fixed</t>
        </is>
      </c>
      <c r="C186" s="14" t="inlineStr">
        <is>
          <t>Global</t>
        </is>
      </c>
      <c r="D186" s="14" t="inlineStr">
        <is>
          <t>Prices_int row 244</t>
        </is>
      </c>
    </row>
    <row r="187">
      <c r="A187" s="14" t="inlineStr">
        <is>
          <t>Oman</t>
        </is>
      </c>
      <c r="B187" s="14" t="inlineStr">
        <is>
          <t>Fixed</t>
        </is>
      </c>
      <c r="C187" s="14" t="inlineStr">
        <is>
          <t>Global</t>
        </is>
      </c>
      <c r="D187" s="14" t="inlineStr">
        <is>
          <t>Prices_int row 245</t>
        </is>
      </c>
    </row>
    <row r="188">
      <c r="A188" s="14" t="inlineStr">
        <is>
          <t>Pakistan</t>
        </is>
      </c>
      <c r="B188" s="14" t="inlineStr">
        <is>
          <t>Fixed</t>
        </is>
      </c>
      <c r="C188" s="14" t="inlineStr">
        <is>
          <t>Global</t>
        </is>
      </c>
      <c r="D188" s="14" t="inlineStr">
        <is>
          <t>Prices_int row 246</t>
        </is>
      </c>
    </row>
    <row r="189">
      <c r="A189" s="14" t="inlineStr">
        <is>
          <t>Qatar</t>
        </is>
      </c>
      <c r="B189" s="14" t="inlineStr">
        <is>
          <t>Fixed</t>
        </is>
      </c>
      <c r="C189" s="14" t="inlineStr">
        <is>
          <t>Global</t>
        </is>
      </c>
      <c r="D189" s="14" t="inlineStr">
        <is>
          <t>Prices_int row 247</t>
        </is>
      </c>
    </row>
    <row r="190">
      <c r="A190" s="14" t="inlineStr">
        <is>
          <t>Saudi Arabia</t>
        </is>
      </c>
      <c r="B190" s="14" t="inlineStr">
        <is>
          <t>Fixed</t>
        </is>
      </c>
      <c r="C190" s="14" t="inlineStr">
        <is>
          <t>Global</t>
        </is>
      </c>
      <c r="D190" s="14" t="inlineStr">
        <is>
          <t>Prices_int row 248</t>
        </is>
      </c>
    </row>
    <row r="191">
      <c r="A191" s="14" t="inlineStr">
        <is>
          <t>Sudan</t>
        </is>
      </c>
      <c r="B191" s="14" t="inlineStr">
        <is>
          <t>Fixed</t>
        </is>
      </c>
      <c r="C191" s="14" t="inlineStr">
        <is>
          <t>Global</t>
        </is>
      </c>
      <c r="D191" s="14" t="inlineStr">
        <is>
          <t>Prices_int row 249</t>
        </is>
      </c>
    </row>
    <row r="192">
      <c r="A192" s="14" t="inlineStr">
        <is>
          <t>Tajikistan</t>
        </is>
      </c>
      <c r="B192" s="14" t="inlineStr">
        <is>
          <t>Fixed</t>
        </is>
      </c>
      <c r="C192" s="14" t="inlineStr">
        <is>
          <t>Global</t>
        </is>
      </c>
      <c r="D192" s="14" t="inlineStr">
        <is>
          <t>Prices_int row 250</t>
        </is>
      </c>
    </row>
    <row r="193">
      <c r="A193" s="14" t="inlineStr">
        <is>
          <t>Tunisia</t>
        </is>
      </c>
      <c r="B193" s="14" t="inlineStr">
        <is>
          <t>Fixed</t>
        </is>
      </c>
      <c r="C193" s="14" t="inlineStr">
        <is>
          <t>Global</t>
        </is>
      </c>
      <c r="D193" s="14" t="inlineStr">
        <is>
          <t>Prices_int row 251</t>
        </is>
      </c>
    </row>
    <row r="194">
      <c r="A194" s="14" t="inlineStr">
        <is>
          <t>Turkmenistan</t>
        </is>
      </c>
      <c r="B194" s="14" t="inlineStr">
        <is>
          <t>Fixed</t>
        </is>
      </c>
      <c r="C194" s="14" t="inlineStr">
        <is>
          <t>Global</t>
        </is>
      </c>
      <c r="D194" s="14" t="inlineStr">
        <is>
          <t>Prices_int row 252</t>
        </is>
      </c>
    </row>
    <row r="195">
      <c r="A195" s="14" t="inlineStr">
        <is>
          <t>United Arab Emirates</t>
        </is>
      </c>
      <c r="B195" s="14" t="inlineStr">
        <is>
          <t>Fixed</t>
        </is>
      </c>
      <c r="C195" s="14" t="inlineStr">
        <is>
          <t>Global</t>
        </is>
      </c>
      <c r="D195" s="14" t="inlineStr">
        <is>
          <t>Prices_int row 253</t>
        </is>
      </c>
    </row>
    <row r="196">
      <c r="A196" s="14" t="inlineStr">
        <is>
          <t>Uzbekistan</t>
        </is>
      </c>
      <c r="B196" s="14" t="inlineStr">
        <is>
          <t>Fixed</t>
        </is>
      </c>
      <c r="C196" s="14" t="inlineStr">
        <is>
          <t>Global</t>
        </is>
      </c>
      <c r="D196" s="14" t="inlineStr">
        <is>
          <t>Prices_int row 254</t>
        </is>
      </c>
    </row>
    <row r="197">
      <c r="A197" s="14" t="inlineStr">
        <is>
          <t>Yemen</t>
        </is>
      </c>
      <c r="B197" s="14" t="inlineStr">
        <is>
          <t>Fixed</t>
        </is>
      </c>
      <c r="C197" s="14" t="inlineStr">
        <is>
          <t>Global</t>
        </is>
      </c>
      <c r="D197" s="14" t="inlineStr">
        <is>
          <t>Prices_int row 255</t>
        </is>
      </c>
    </row>
    <row r="198">
      <c r="A198" s="14" t="inlineStr">
        <is>
          <t>Argentina</t>
        </is>
      </c>
      <c r="B198" s="14" t="inlineStr">
        <is>
          <t>Ad-Valorem</t>
        </is>
      </c>
      <c r="C198" s="14" t="inlineStr">
        <is>
          <t>North Am</t>
        </is>
      </c>
      <c r="D198" s="14" t="inlineStr">
        <is>
          <t>Prices_int row 256</t>
        </is>
      </c>
    </row>
    <row r="199">
      <c r="A199" s="14" t="inlineStr">
        <is>
          <t>Bolivia</t>
        </is>
      </c>
      <c r="B199" s="14" t="inlineStr">
        <is>
          <t>Fixed</t>
        </is>
      </c>
      <c r="C199" s="14" t="inlineStr">
        <is>
          <t>North Am</t>
        </is>
      </c>
      <c r="D199" s="14" t="inlineStr">
        <is>
          <t>Prices_int row 257</t>
        </is>
      </c>
    </row>
    <row r="200">
      <c r="A200" s="14" t="inlineStr">
        <is>
          <t>Brazil</t>
        </is>
      </c>
      <c r="B200" s="14" t="inlineStr">
        <is>
          <t>Fixed</t>
        </is>
      </c>
      <c r="C200" s="14" t="inlineStr">
        <is>
          <t>North Am</t>
        </is>
      </c>
      <c r="D200" s="14" t="inlineStr">
        <is>
          <t>Prices_int row 258</t>
        </is>
      </c>
    </row>
    <row r="201">
      <c r="A201" s="14" t="inlineStr">
        <is>
          <t>Canada</t>
        </is>
      </c>
      <c r="B201" s="14" t="inlineStr">
        <is>
          <t>Fixed</t>
        </is>
      </c>
      <c r="C201" s="14" t="inlineStr">
        <is>
          <t>North Am</t>
        </is>
      </c>
      <c r="D201" s="14" t="inlineStr">
        <is>
          <t>Prices_int row 259</t>
        </is>
      </c>
    </row>
    <row r="202">
      <c r="A202" s="14" t="inlineStr">
        <is>
          <t>Chile</t>
        </is>
      </c>
      <c r="B202" s="14" t="inlineStr">
        <is>
          <t>Fixed</t>
        </is>
      </c>
      <c r="C202" s="14" t="inlineStr">
        <is>
          <t>North Am</t>
        </is>
      </c>
      <c r="D202" s="14" t="inlineStr">
        <is>
          <t>Prices_int row 260</t>
        </is>
      </c>
    </row>
    <row r="203">
      <c r="A203" s="14" t="inlineStr">
        <is>
          <t>Colombia</t>
        </is>
      </c>
      <c r="B203" s="14" t="inlineStr">
        <is>
          <t>Fixed</t>
        </is>
      </c>
      <c r="C203" s="14" t="inlineStr">
        <is>
          <t>North Am</t>
        </is>
      </c>
      <c r="D203" s="14" t="inlineStr">
        <is>
          <t>Prices_int row 261</t>
        </is>
      </c>
    </row>
    <row r="204">
      <c r="A204" s="14" t="inlineStr">
        <is>
          <t>Costa Rica</t>
        </is>
      </c>
      <c r="B204" s="14" t="inlineStr">
        <is>
          <t>Fixed</t>
        </is>
      </c>
      <c r="C204" s="14" t="inlineStr">
        <is>
          <t>North Am</t>
        </is>
      </c>
      <c r="D204" s="14" t="inlineStr">
        <is>
          <t>Prices_int row 262</t>
        </is>
      </c>
    </row>
    <row r="205">
      <c r="A205" s="14" t="inlineStr">
        <is>
          <t>Dominican Republic</t>
        </is>
      </c>
      <c r="B205" s="14" t="inlineStr">
        <is>
          <t>Fixed</t>
        </is>
      </c>
      <c r="C205" s="14" t="inlineStr">
        <is>
          <t>North Am</t>
        </is>
      </c>
      <c r="D205" s="14" t="inlineStr">
        <is>
          <t>Prices_int row 263</t>
        </is>
      </c>
    </row>
    <row r="206">
      <c r="A206" s="14" t="inlineStr">
        <is>
          <t>Ecuador</t>
        </is>
      </c>
      <c r="B206" s="14" t="inlineStr">
        <is>
          <t>Fixed</t>
        </is>
      </c>
      <c r="C206" s="14" t="inlineStr">
        <is>
          <t>North Am</t>
        </is>
      </c>
      <c r="D206" s="14" t="inlineStr">
        <is>
          <t>Prices_int row 264</t>
        </is>
      </c>
    </row>
    <row r="207">
      <c r="A207" s="14" t="inlineStr">
        <is>
          <t>El Salvador</t>
        </is>
      </c>
      <c r="B207" s="14" t="inlineStr">
        <is>
          <t>Fixed</t>
        </is>
      </c>
      <c r="C207" s="14" t="inlineStr">
        <is>
          <t>North Am</t>
        </is>
      </c>
      <c r="D207" s="14" t="inlineStr">
        <is>
          <t>Prices_int row 265</t>
        </is>
      </c>
    </row>
    <row r="208">
      <c r="A208" s="14" t="inlineStr">
        <is>
          <t>Guatemala</t>
        </is>
      </c>
      <c r="B208" s="14" t="inlineStr">
        <is>
          <t>Fixed</t>
        </is>
      </c>
      <c r="C208" s="14" t="inlineStr">
        <is>
          <t>North Am</t>
        </is>
      </c>
      <c r="D208" s="14" t="inlineStr">
        <is>
          <t>Prices_int row 266</t>
        </is>
      </c>
    </row>
    <row r="209">
      <c r="A209" s="14" t="inlineStr">
        <is>
          <t>Haiti</t>
        </is>
      </c>
      <c r="B209" s="14" t="inlineStr">
        <is>
          <t>Fixed</t>
        </is>
      </c>
      <c r="C209" s="14" t="inlineStr">
        <is>
          <t>North Am</t>
        </is>
      </c>
      <c r="D209" s="14" t="inlineStr">
        <is>
          <t>Prices_int row 267</t>
        </is>
      </c>
    </row>
    <row r="210">
      <c r="A210" s="14" t="inlineStr">
        <is>
          <t>Honduras</t>
        </is>
      </c>
      <c r="B210" s="14" t="inlineStr">
        <is>
          <t>Fixed</t>
        </is>
      </c>
      <c r="C210" s="14" t="inlineStr">
        <is>
          <t>North Am</t>
        </is>
      </c>
      <c r="D210" s="14" t="inlineStr">
        <is>
          <t>Prices_int row 268</t>
        </is>
      </c>
    </row>
    <row r="211">
      <c r="A211" s="14" t="inlineStr">
        <is>
          <t>Jamaica</t>
        </is>
      </c>
      <c r="B211" s="14" t="inlineStr">
        <is>
          <t>Fixed</t>
        </is>
      </c>
      <c r="C211" s="14" t="inlineStr">
        <is>
          <t>North Am</t>
        </is>
      </c>
      <c r="D211" s="14" t="inlineStr">
        <is>
          <t>Prices_int row 269</t>
        </is>
      </c>
    </row>
    <row r="212">
      <c r="A212" s="14" t="inlineStr">
        <is>
          <t>Mexico</t>
        </is>
      </c>
      <c r="B212" s="14" t="inlineStr">
        <is>
          <t>Fixed</t>
        </is>
      </c>
      <c r="C212" s="14" t="inlineStr">
        <is>
          <t>North Am</t>
        </is>
      </c>
      <c r="D212" s="14" t="inlineStr">
        <is>
          <t>Prices_int row 270</t>
        </is>
      </c>
    </row>
    <row r="213">
      <c r="A213" s="14" t="inlineStr">
        <is>
          <t>Nicaragua</t>
        </is>
      </c>
      <c r="B213" s="14" t="inlineStr">
        <is>
          <t>Fixed</t>
        </is>
      </c>
      <c r="C213" s="14" t="inlineStr">
        <is>
          <t>North Am</t>
        </is>
      </c>
      <c r="D213" s="14" t="inlineStr">
        <is>
          <t>Prices_int row 271</t>
        </is>
      </c>
    </row>
    <row r="214">
      <c r="A214" s="14" t="inlineStr">
        <is>
          <t>Panama</t>
        </is>
      </c>
      <c r="B214" s="14" t="inlineStr">
        <is>
          <t>Fixed</t>
        </is>
      </c>
      <c r="C214" s="14" t="inlineStr">
        <is>
          <t>North Am</t>
        </is>
      </c>
      <c r="D214" s="14" t="inlineStr">
        <is>
          <t>Prices_int row 272</t>
        </is>
      </c>
    </row>
    <row r="215">
      <c r="A215" s="14" t="inlineStr">
        <is>
          <t>Paraguay</t>
        </is>
      </c>
      <c r="B215" s="14" t="inlineStr">
        <is>
          <t>Fixed</t>
        </is>
      </c>
      <c r="C215" s="14" t="inlineStr">
        <is>
          <t>North Am</t>
        </is>
      </c>
      <c r="D215" s="14" t="inlineStr">
        <is>
          <t>Prices_int row 273</t>
        </is>
      </c>
    </row>
    <row r="216">
      <c r="A216" s="14" t="inlineStr">
        <is>
          <t>Peru</t>
        </is>
      </c>
      <c r="B216" s="14" t="inlineStr">
        <is>
          <t>Fixed</t>
        </is>
      </c>
      <c r="C216" s="14" t="inlineStr">
        <is>
          <t>North Am</t>
        </is>
      </c>
      <c r="D216" s="14" t="inlineStr">
        <is>
          <t>Prices_int row 274</t>
        </is>
      </c>
    </row>
    <row r="217">
      <c r="A217" s="14" t="inlineStr">
        <is>
          <t>Suriname</t>
        </is>
      </c>
      <c r="B217" s="14" t="inlineStr">
        <is>
          <t>Fixed</t>
        </is>
      </c>
      <c r="C217" s="14" t="inlineStr">
        <is>
          <t>North Am</t>
        </is>
      </c>
      <c r="D217" s="14" t="inlineStr">
        <is>
          <t>Prices_int row 275</t>
        </is>
      </c>
    </row>
    <row r="218">
      <c r="A218" s="14" t="inlineStr">
        <is>
          <t>Trinidad and Tobago</t>
        </is>
      </c>
      <c r="B218" s="14" t="inlineStr">
        <is>
          <t>Fixed</t>
        </is>
      </c>
      <c r="C218" s="14" t="inlineStr">
        <is>
          <t>North Am</t>
        </is>
      </c>
      <c r="D218" s="14" t="inlineStr">
        <is>
          <t>Prices_int row 276</t>
        </is>
      </c>
    </row>
    <row r="219">
      <c r="A219" s="14" t="inlineStr">
        <is>
          <t>United States</t>
        </is>
      </c>
      <c r="B219" s="14" t="inlineStr">
        <is>
          <t>Fixed</t>
        </is>
      </c>
      <c r="C219" s="14" t="inlineStr">
        <is>
          <t>North Am</t>
        </is>
      </c>
      <c r="D219" s="14" t="inlineStr">
        <is>
          <t>Prices_int row 277</t>
        </is>
      </c>
    </row>
    <row r="220">
      <c r="A220" s="14" t="inlineStr">
        <is>
          <t>World aviation</t>
        </is>
      </c>
      <c r="B220" s="14" t="inlineStr">
        <is>
          <t>Fixed</t>
        </is>
      </c>
      <c r="C220" s="14" t="inlineStr">
        <is>
          <t>LNG</t>
        </is>
      </c>
      <c r="D220" s="14" t="inlineStr">
        <is>
          <t>Prices_int row 278</t>
        </is>
      </c>
    </row>
    <row r="221">
      <c r="A221" s="14" t="inlineStr">
        <is>
          <t>World marine</t>
        </is>
      </c>
      <c r="B221" s="14" t="inlineStr">
        <is>
          <t>Fixed</t>
        </is>
      </c>
      <c r="C221" s="14" t="inlineStr">
        <is>
          <t>LNG</t>
        </is>
      </c>
      <c r="D221" s="14" t="inlineStr">
        <is>
          <t>Prices_int row 279</t>
        </is>
      </c>
    </row>
    <row r="222">
      <c r="A222" s="14" t="inlineStr">
        <is>
          <t>Venezuela</t>
        </is>
      </c>
      <c r="B222" s="14" t="inlineStr">
        <is>
          <t>Fixed</t>
        </is>
      </c>
      <c r="C222" s="14" t="inlineStr">
        <is>
          <t>North Am</t>
        </is>
      </c>
      <c r="D222" s="14" t="inlineStr">
        <is>
          <t>Prices_int row 280</t>
        </is>
      </c>
    </row>
    <row r="223">
      <c r="A223" s="14" t="inlineStr">
        <is>
          <t>Uruguay</t>
        </is>
      </c>
      <c r="B223" s="14" t="inlineStr">
        <is>
          <t>Fixed</t>
        </is>
      </c>
      <c r="C223" s="14" t="inlineStr">
        <is>
          <t>North Am</t>
        </is>
      </c>
      <c r="D223" s="14" t="inlineStr">
        <is>
          <t>Prices_int row 281</t>
        </is>
      </c>
    </row>
  </sheetData>
  <pageMargins left="0.75" right="0.75" top="1" bottom="1" header="0.5" footer="0.5"/>
</worksheet>
</file>

<file path=xl/worksheets/sheet23.xml><?xml version="1.0" encoding="utf-8"?>
<worksheet xmlns="http://schemas.openxmlformats.org/spreadsheetml/2006/main">
  <sheetPr codeName="Sheet23">
    <outlinePr summaryBelow="1" summaryRight="1"/>
    <pageSetUpPr/>
  </sheetPr>
  <dimension ref="A1:G13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583-602 via kernel v1.6 Data_Energy (Egypt only so far)</t>
        </is>
      </c>
    </row>
    <row r="2">
      <c r="A2" s="2" t="inlineStr">
        <is>
          <t>Base-year energy use by subsector and fuel (ktoe)</t>
        </is>
      </c>
      <c r="B2" s="3" t="n"/>
      <c r="C2" s="3" t="n"/>
      <c r="D2" s="3" t="n"/>
      <c r="E2" s="3" t="n"/>
      <c r="F2" s="3" t="n"/>
      <c r="G2" s="3" t="n"/>
    </row>
    <row r="3">
      <c r="A3" s="83" t="inlineStr">
        <is>
          <t>key</t>
        </is>
      </c>
      <c r="B3" s="83" t="inlineStr">
        <is>
          <t>country</t>
        </is>
      </c>
      <c r="C3" s="83" t="inlineStr">
        <is>
          <t>year</t>
        </is>
      </c>
      <c r="D3" s="83" t="inlineStr">
        <is>
          <t>subsector</t>
        </is>
      </c>
      <c r="E3" s="83" t="inlineStr">
        <is>
          <t>fuel</t>
        </is>
      </c>
      <c r="F3" s="83" t="inlineStr">
        <is>
          <t>ktoe</t>
        </is>
      </c>
      <c r="G3" s="83" t="inlineStr">
        <is>
          <t>source</t>
        </is>
      </c>
    </row>
    <row r="4">
      <c r="A4" s="14" t="inlineStr">
        <is>
          <t>EGY|2022|rod|coa</t>
        </is>
      </c>
      <c r="B4" s="14" t="inlineStr">
        <is>
          <t>EGY</t>
        </is>
      </c>
      <c r="C4" s="14" t="n">
        <v>2022</v>
      </c>
      <c r="D4" s="14" t="inlineStr">
        <is>
          <t>rod</t>
        </is>
      </c>
      <c r="E4" s="14" t="inlineStr">
        <is>
          <t>coa</t>
        </is>
      </c>
      <c r="F4" s="14" t="n">
        <v>0</v>
      </c>
      <c r="G4" s="14" t="inlineStr">
        <is>
          <t>Kernel v1.6 Data_Energy = legacy Mitigation rows 583-602</t>
        </is>
      </c>
    </row>
    <row r="5">
      <c r="A5" s="14" t="inlineStr">
        <is>
          <t>EGY|2022|ral|coa</t>
        </is>
      </c>
      <c r="B5" s="14" t="inlineStr">
        <is>
          <t>EGY</t>
        </is>
      </c>
      <c r="C5" s="14" t="n">
        <v>2022</v>
      </c>
      <c r="D5" s="14" t="inlineStr">
        <is>
          <t>ral</t>
        </is>
      </c>
      <c r="E5" s="14" t="inlineStr">
        <is>
          <t>coa</t>
        </is>
      </c>
      <c r="F5" s="14" t="n">
        <v>0</v>
      </c>
      <c r="G5" s="14" t="inlineStr">
        <is>
          <t>Kernel v1.6 Data_Energy = legacy Mitigation rows 583-602</t>
        </is>
      </c>
    </row>
    <row r="6">
      <c r="A6" s="14" t="inlineStr">
        <is>
          <t>EGY|2022|avi|coa</t>
        </is>
      </c>
      <c r="B6" s="14" t="inlineStr">
        <is>
          <t>EGY</t>
        </is>
      </c>
      <c r="C6" s="14" t="n">
        <v>2022</v>
      </c>
      <c r="D6" s="14" t="inlineStr">
        <is>
          <t>avi</t>
        </is>
      </c>
      <c r="E6" s="14" t="inlineStr">
        <is>
          <t>coa</t>
        </is>
      </c>
      <c r="F6" s="14" t="n">
        <v>0</v>
      </c>
      <c r="G6" s="14" t="inlineStr">
        <is>
          <t>Kernel v1.6 Data_Energy = legacy Mitigation rows 583-602</t>
        </is>
      </c>
    </row>
    <row r="7">
      <c r="A7" s="14" t="inlineStr">
        <is>
          <t>EGY|2022|nav|coa</t>
        </is>
      </c>
      <c r="B7" s="14" t="inlineStr">
        <is>
          <t>EGY</t>
        </is>
      </c>
      <c r="C7" s="14" t="n">
        <v>2022</v>
      </c>
      <c r="D7" s="14" t="inlineStr">
        <is>
          <t>nav</t>
        </is>
      </c>
      <c r="E7" s="14" t="inlineStr">
        <is>
          <t>coa</t>
        </is>
      </c>
      <c r="F7" s="14" t="n">
        <v>0</v>
      </c>
      <c r="G7" s="14" t="inlineStr">
        <is>
          <t>Kernel v1.6 Data_Energy = legacy Mitigation rows 583-602</t>
        </is>
      </c>
    </row>
    <row r="8">
      <c r="A8" s="14" t="inlineStr">
        <is>
          <t>EGY|2022|res|coa</t>
        </is>
      </c>
      <c r="B8" s="14" t="inlineStr">
        <is>
          <t>EGY</t>
        </is>
      </c>
      <c r="C8" s="14" t="n">
        <v>2022</v>
      </c>
      <c r="D8" s="14" t="inlineStr">
        <is>
          <t>res</t>
        </is>
      </c>
      <c r="E8" s="14" t="inlineStr">
        <is>
          <t>coa</t>
        </is>
      </c>
      <c r="F8" s="14" t="n">
        <v>1.67290731426795</v>
      </c>
      <c r="G8" s="14" t="inlineStr">
        <is>
          <t>Kernel v1.6 Data_Energy = legacy Mitigation rows 583-602</t>
        </is>
      </c>
    </row>
    <row r="9">
      <c r="A9" s="14" t="inlineStr">
        <is>
          <t>EGY|2022|foo|coa</t>
        </is>
      </c>
      <c r="B9" s="14" t="inlineStr">
        <is>
          <t>EGY</t>
        </is>
      </c>
      <c r="C9" s="14" t="n">
        <v>2022</v>
      </c>
      <c r="D9" s="14" t="inlineStr">
        <is>
          <t>foo</t>
        </is>
      </c>
      <c r="E9" s="14" t="inlineStr">
        <is>
          <t>coa</t>
        </is>
      </c>
      <c r="F9" s="14" t="n">
        <v>0</v>
      </c>
      <c r="G9" s="14" t="inlineStr">
        <is>
          <t>Kernel v1.6 Data_Energy = legacy Mitigation rows 583-602</t>
        </is>
      </c>
    </row>
    <row r="10">
      <c r="A10" s="14" t="inlineStr">
        <is>
          <t>EGY|2022|srv|coa</t>
        </is>
      </c>
      <c r="B10" s="14" t="inlineStr">
        <is>
          <t>EGY</t>
        </is>
      </c>
      <c r="C10" s="14" t="n">
        <v>2022</v>
      </c>
      <c r="D10" s="14" t="inlineStr">
        <is>
          <t>srv</t>
        </is>
      </c>
      <c r="E10" s="14" t="inlineStr">
        <is>
          <t>coa</t>
        </is>
      </c>
      <c r="F10" s="14" t="n">
        <v>0</v>
      </c>
      <c r="G10" s="14" t="inlineStr">
        <is>
          <t>Kernel v1.6 Data_Energy = legacy Mitigation rows 583-602</t>
        </is>
      </c>
    </row>
    <row r="11">
      <c r="A11" s="14" t="inlineStr">
        <is>
          <t>EGY|2022|mch|coa</t>
        </is>
      </c>
      <c r="B11" s="14" t="inlineStr">
        <is>
          <t>EGY</t>
        </is>
      </c>
      <c r="C11" s="14" t="n">
        <v>2022</v>
      </c>
      <c r="D11" s="14" t="inlineStr">
        <is>
          <t>mch</t>
        </is>
      </c>
      <c r="E11" s="14" t="inlineStr">
        <is>
          <t>coa</t>
        </is>
      </c>
      <c r="F11" s="14" t="n">
        <v>0</v>
      </c>
      <c r="G11" s="14" t="inlineStr">
        <is>
          <t>Kernel v1.6 Data_Energy = legacy Mitigation rows 583-602</t>
        </is>
      </c>
    </row>
    <row r="12">
      <c r="A12" s="14" t="inlineStr">
        <is>
          <t>EGY|2022|irn|coa</t>
        </is>
      </c>
      <c r="B12" s="14" t="inlineStr">
        <is>
          <t>EGY</t>
        </is>
      </c>
      <c r="C12" s="14" t="n">
        <v>2022</v>
      </c>
      <c r="D12" s="14" t="inlineStr">
        <is>
          <t>irn</t>
        </is>
      </c>
      <c r="E12" s="14" t="inlineStr">
        <is>
          <t>coa</t>
        </is>
      </c>
      <c r="F12" s="14" t="n">
        <v>232.657354770131</v>
      </c>
      <c r="G12" s="14" t="inlineStr">
        <is>
          <t>Kernel v1.6 Data_Energy = legacy Mitigation rows 583-602</t>
        </is>
      </c>
    </row>
    <row r="13">
      <c r="A13" s="14" t="inlineStr">
        <is>
          <t>EGY|2022|nfm|coa</t>
        </is>
      </c>
      <c r="B13" s="14" t="inlineStr">
        <is>
          <t>EGY</t>
        </is>
      </c>
      <c r="C13" s="14" t="n">
        <v>2022</v>
      </c>
      <c r="D13" s="14" t="inlineStr">
        <is>
          <t>nfm</t>
        </is>
      </c>
      <c r="E13" s="14" t="inlineStr">
        <is>
          <t>coa</t>
        </is>
      </c>
      <c r="F13" s="14" t="n">
        <v>0</v>
      </c>
      <c r="G13" s="14" t="inlineStr">
        <is>
          <t>Kernel v1.6 Data_Energy = legacy Mitigation rows 583-602</t>
        </is>
      </c>
    </row>
    <row r="14">
      <c r="A14" s="14" t="inlineStr">
        <is>
          <t>EGY|2022|mac|coa</t>
        </is>
      </c>
      <c r="B14" s="14" t="inlineStr">
        <is>
          <t>EGY</t>
        </is>
      </c>
      <c r="C14" s="14" t="n">
        <v>2022</v>
      </c>
      <c r="D14" s="14" t="inlineStr">
        <is>
          <t>mac</t>
        </is>
      </c>
      <c r="E14" s="14" t="inlineStr">
        <is>
          <t>coa</t>
        </is>
      </c>
      <c r="F14" s="14" t="n">
        <v>0</v>
      </c>
      <c r="G14" s="14" t="inlineStr">
        <is>
          <t>Kernel v1.6 Data_Energy = legacy Mitigation rows 583-602</t>
        </is>
      </c>
    </row>
    <row r="15">
      <c r="A15" s="14" t="inlineStr">
        <is>
          <t>EGY|2022|cem|coa</t>
        </is>
      </c>
      <c r="B15" s="14" t="inlineStr">
        <is>
          <t>EGY</t>
        </is>
      </c>
      <c r="C15" s="14" t="n">
        <v>2022</v>
      </c>
      <c r="D15" s="14" t="inlineStr">
        <is>
          <t>cem</t>
        </is>
      </c>
      <c r="E15" s="14" t="inlineStr">
        <is>
          <t>coa</t>
        </is>
      </c>
      <c r="F15" s="14" t="n">
        <v>1463.05522446279</v>
      </c>
      <c r="G15" s="14" t="inlineStr">
        <is>
          <t>Kernel v1.6 Data_Energy = legacy Mitigation rows 583-602</t>
        </is>
      </c>
    </row>
    <row r="16">
      <c r="A16" s="14" t="inlineStr">
        <is>
          <t>EGY|2022|omn|coa</t>
        </is>
      </c>
      <c r="B16" s="14" t="inlineStr">
        <is>
          <t>EGY</t>
        </is>
      </c>
      <c r="C16" s="14" t="n">
        <v>2022</v>
      </c>
      <c r="D16" s="14" t="inlineStr">
        <is>
          <t>omn</t>
        </is>
      </c>
      <c r="E16" s="14" t="inlineStr">
        <is>
          <t>coa</t>
        </is>
      </c>
      <c r="F16" s="14" t="n">
        <v>0</v>
      </c>
      <c r="G16" s="14" t="inlineStr">
        <is>
          <t>Kernel v1.6 Data_Energy = legacy Mitigation rows 583-602</t>
        </is>
      </c>
    </row>
    <row r="17">
      <c r="A17" s="14" t="inlineStr">
        <is>
          <t>EGY|2022|cst|coa</t>
        </is>
      </c>
      <c r="B17" s="14" t="inlineStr">
        <is>
          <t>EGY</t>
        </is>
      </c>
      <c r="C17" s="14" t="n">
        <v>2022</v>
      </c>
      <c r="D17" s="14" t="inlineStr">
        <is>
          <t>cst</t>
        </is>
      </c>
      <c r="E17" s="14" t="inlineStr">
        <is>
          <t>coa</t>
        </is>
      </c>
      <c r="F17" s="14" t="n">
        <v>0</v>
      </c>
      <c r="G17" s="14" t="inlineStr">
        <is>
          <t>Kernel v1.6 Data_Energy = legacy Mitigation rows 583-602</t>
        </is>
      </c>
    </row>
    <row r="18">
      <c r="A18" s="14" t="inlineStr">
        <is>
          <t>EGY|2022|ftr|coa</t>
        </is>
      </c>
      <c r="B18" s="14" t="inlineStr">
        <is>
          <t>EGY</t>
        </is>
      </c>
      <c r="C18" s="14" t="n">
        <v>2022</v>
      </c>
      <c r="D18" s="14" t="inlineStr">
        <is>
          <t>ftr</t>
        </is>
      </c>
      <c r="E18" s="14" t="inlineStr">
        <is>
          <t>coa</t>
        </is>
      </c>
      <c r="F18" s="14" t="n">
        <v>0</v>
      </c>
      <c r="G18" s="14" t="inlineStr">
        <is>
          <t>Kernel v1.6 Data_Energy = legacy Mitigation rows 583-602</t>
        </is>
      </c>
    </row>
    <row r="19">
      <c r="A19" s="14" t="inlineStr">
        <is>
          <t>EGY|2022|oen|coa</t>
        </is>
      </c>
      <c r="B19" s="14" t="inlineStr">
        <is>
          <t>EGY</t>
        </is>
      </c>
      <c r="C19" s="14" t="n">
        <v>2022</v>
      </c>
      <c r="D19" s="14" t="inlineStr">
        <is>
          <t>oen</t>
        </is>
      </c>
      <c r="E19" s="14" t="inlineStr">
        <is>
          <t>coa</t>
        </is>
      </c>
      <c r="F19" s="14" t="n">
        <v>0</v>
      </c>
      <c r="G19" s="14" t="inlineStr">
        <is>
          <t>Kernel v1.6 Data_Energy = legacy Mitigation rows 583-602</t>
        </is>
      </c>
    </row>
    <row r="20">
      <c r="A20" s="14" t="inlineStr">
        <is>
          <t>EGY|2022|rod|nga</t>
        </is>
      </c>
      <c r="B20" s="14" t="inlineStr">
        <is>
          <t>EGY</t>
        </is>
      </c>
      <c r="C20" s="14" t="n">
        <v>2022</v>
      </c>
      <c r="D20" s="14" t="inlineStr">
        <is>
          <t>rod</t>
        </is>
      </c>
      <c r="E20" s="14" t="inlineStr">
        <is>
          <t>nga</t>
        </is>
      </c>
      <c r="F20" s="14" t="n">
        <v>541.703992516236</v>
      </c>
      <c r="G20" s="14" t="inlineStr">
        <is>
          <t>Kernel v1.6 Data_Energy = legacy Mitigation rows 583-602</t>
        </is>
      </c>
    </row>
    <row r="21">
      <c r="A21" s="14" t="inlineStr">
        <is>
          <t>EGY|2022|ral|nga</t>
        </is>
      </c>
      <c r="B21" s="14" t="inlineStr">
        <is>
          <t>EGY</t>
        </is>
      </c>
      <c r="C21" s="14" t="n">
        <v>2022</v>
      </c>
      <c r="D21" s="14" t="inlineStr">
        <is>
          <t>ral</t>
        </is>
      </c>
      <c r="E21" s="14" t="inlineStr">
        <is>
          <t>nga</t>
        </is>
      </c>
      <c r="F21" s="14" t="n">
        <v>0</v>
      </c>
      <c r="G21" s="14" t="inlineStr">
        <is>
          <t>Kernel v1.6 Data_Energy = legacy Mitigation rows 583-602</t>
        </is>
      </c>
    </row>
    <row r="22">
      <c r="A22" s="14" t="inlineStr">
        <is>
          <t>EGY|2022|avi|nga</t>
        </is>
      </c>
      <c r="B22" s="14" t="inlineStr">
        <is>
          <t>EGY</t>
        </is>
      </c>
      <c r="C22" s="14" t="n">
        <v>2022</v>
      </c>
      <c r="D22" s="14" t="inlineStr">
        <is>
          <t>avi</t>
        </is>
      </c>
      <c r="E22" s="14" t="inlineStr">
        <is>
          <t>nga</t>
        </is>
      </c>
      <c r="F22" s="14" t="n">
        <v>0</v>
      </c>
      <c r="G22" s="14" t="inlineStr">
        <is>
          <t>Kernel v1.6 Data_Energy = legacy Mitigation rows 583-602</t>
        </is>
      </c>
    </row>
    <row r="23">
      <c r="A23" s="14" t="inlineStr">
        <is>
          <t>EGY|2022|nav|nga</t>
        </is>
      </c>
      <c r="B23" s="14" t="inlineStr">
        <is>
          <t>EGY</t>
        </is>
      </c>
      <c r="C23" s="14" t="n">
        <v>2022</v>
      </c>
      <c r="D23" s="14" t="inlineStr">
        <is>
          <t>nav</t>
        </is>
      </c>
      <c r="E23" s="14" t="inlineStr">
        <is>
          <t>nga</t>
        </is>
      </c>
      <c r="F23" s="14" t="n">
        <v>0</v>
      </c>
      <c r="G23" s="14" t="inlineStr">
        <is>
          <t>Kernel v1.6 Data_Energy = legacy Mitigation rows 583-602</t>
        </is>
      </c>
    </row>
    <row r="24">
      <c r="A24" s="14" t="inlineStr">
        <is>
          <t>EGY|2022|res|nga</t>
        </is>
      </c>
      <c r="B24" s="14" t="inlineStr">
        <is>
          <t>EGY</t>
        </is>
      </c>
      <c r="C24" s="14" t="n">
        <v>2022</v>
      </c>
      <c r="D24" s="14" t="inlineStr">
        <is>
          <t>res</t>
        </is>
      </c>
      <c r="E24" s="14" t="inlineStr">
        <is>
          <t>nga</t>
        </is>
      </c>
      <c r="F24" s="14" t="n">
        <v>2035.46041977272</v>
      </c>
      <c r="G24" s="14" t="inlineStr">
        <is>
          <t>Kernel v1.6 Data_Energy = legacy Mitigation rows 583-602</t>
        </is>
      </c>
    </row>
    <row r="25">
      <c r="A25" s="14" t="inlineStr">
        <is>
          <t>EGY|2022|foo|nga</t>
        </is>
      </c>
      <c r="B25" s="14" t="inlineStr">
        <is>
          <t>EGY</t>
        </is>
      </c>
      <c r="C25" s="14" t="n">
        <v>2022</v>
      </c>
      <c r="D25" s="14" t="inlineStr">
        <is>
          <t>foo</t>
        </is>
      </c>
      <c r="E25" s="14" t="inlineStr">
        <is>
          <t>nga</t>
        </is>
      </c>
      <c r="F25" s="14" t="n">
        <v>0</v>
      </c>
      <c r="G25" s="14" t="inlineStr">
        <is>
          <t>Kernel v1.6 Data_Energy = legacy Mitigation rows 583-602</t>
        </is>
      </c>
    </row>
    <row r="26">
      <c r="A26" s="14" t="inlineStr">
        <is>
          <t>EGY|2022|srv|nga</t>
        </is>
      </c>
      <c r="B26" s="14" t="inlineStr">
        <is>
          <t>EGY</t>
        </is>
      </c>
      <c r="C26" s="14" t="n">
        <v>2022</v>
      </c>
      <c r="D26" s="14" t="inlineStr">
        <is>
          <t>srv</t>
        </is>
      </c>
      <c r="E26" s="14" t="inlineStr">
        <is>
          <t>nga</t>
        </is>
      </c>
      <c r="F26" s="14" t="n">
        <v>0</v>
      </c>
      <c r="G26" s="14" t="inlineStr">
        <is>
          <t>Kernel v1.6 Data_Energy = legacy Mitigation rows 583-602</t>
        </is>
      </c>
    </row>
    <row r="27">
      <c r="A27" s="14" t="inlineStr">
        <is>
          <t>EGY|2022|mch|nga</t>
        </is>
      </c>
      <c r="B27" s="14" t="inlineStr">
        <is>
          <t>EGY</t>
        </is>
      </c>
      <c r="C27" s="14" t="n">
        <v>2022</v>
      </c>
      <c r="D27" s="14" t="inlineStr">
        <is>
          <t>mch</t>
        </is>
      </c>
      <c r="E27" s="14" t="inlineStr">
        <is>
          <t>nga</t>
        </is>
      </c>
      <c r="F27" s="14" t="n">
        <v>0</v>
      </c>
      <c r="G27" s="14" t="inlineStr">
        <is>
          <t>Kernel v1.6 Data_Energy = legacy Mitigation rows 583-602</t>
        </is>
      </c>
    </row>
    <row r="28">
      <c r="A28" s="14" t="inlineStr">
        <is>
          <t>EGY|2022|irn|nga</t>
        </is>
      </c>
      <c r="B28" s="14" t="inlineStr">
        <is>
          <t>EGY</t>
        </is>
      </c>
      <c r="C28" s="14" t="n">
        <v>2022</v>
      </c>
      <c r="D28" s="14" t="inlineStr">
        <is>
          <t>irn</t>
        </is>
      </c>
      <c r="E28" s="14" t="inlineStr">
        <is>
          <t>nga</t>
        </is>
      </c>
      <c r="F28" s="14" t="n">
        <v>1669.05671904213</v>
      </c>
      <c r="G28" s="14" t="inlineStr">
        <is>
          <t>Kernel v1.6 Data_Energy = legacy Mitigation rows 583-602</t>
        </is>
      </c>
    </row>
    <row r="29">
      <c r="A29" s="14" t="inlineStr">
        <is>
          <t>EGY|2022|nfm|nga</t>
        </is>
      </c>
      <c r="B29" s="14" t="inlineStr">
        <is>
          <t>EGY</t>
        </is>
      </c>
      <c r="C29" s="14" t="n">
        <v>2022</v>
      </c>
      <c r="D29" s="14" t="inlineStr">
        <is>
          <t>nfm</t>
        </is>
      </c>
      <c r="E29" s="14" t="inlineStr">
        <is>
          <t>nga</t>
        </is>
      </c>
      <c r="F29" s="14" t="n">
        <v>0</v>
      </c>
      <c r="G29" s="14" t="inlineStr">
        <is>
          <t>Kernel v1.6 Data_Energy = legacy Mitigation rows 583-602</t>
        </is>
      </c>
    </row>
    <row r="30">
      <c r="A30" s="14" t="inlineStr">
        <is>
          <t>EGY|2022|mac|nga</t>
        </is>
      </c>
      <c r="B30" s="14" t="inlineStr">
        <is>
          <t>EGY</t>
        </is>
      </c>
      <c r="C30" s="14" t="n">
        <v>2022</v>
      </c>
      <c r="D30" s="14" t="inlineStr">
        <is>
          <t>mac</t>
        </is>
      </c>
      <c r="E30" s="14" t="inlineStr">
        <is>
          <t>nga</t>
        </is>
      </c>
      <c r="F30" s="14" t="n">
        <v>0</v>
      </c>
      <c r="G30" s="14" t="inlineStr">
        <is>
          <t>Kernel v1.6 Data_Energy = legacy Mitigation rows 583-602</t>
        </is>
      </c>
    </row>
    <row r="31">
      <c r="A31" s="14" t="inlineStr">
        <is>
          <t>EGY|2022|cem|nga</t>
        </is>
      </c>
      <c r="B31" s="14" t="inlineStr">
        <is>
          <t>EGY</t>
        </is>
      </c>
      <c r="C31" s="14" t="n">
        <v>2022</v>
      </c>
      <c r="D31" s="14" t="inlineStr">
        <is>
          <t>cem</t>
        </is>
      </c>
      <c r="E31" s="14" t="inlineStr">
        <is>
          <t>nga</t>
        </is>
      </c>
      <c r="F31" s="14" t="n">
        <v>1747.39153476208</v>
      </c>
      <c r="G31" s="14" t="inlineStr">
        <is>
          <t>Kernel v1.6 Data_Energy = legacy Mitigation rows 583-602</t>
        </is>
      </c>
    </row>
    <row r="32">
      <c r="A32" s="14" t="inlineStr">
        <is>
          <t>EGY|2022|omn|nga</t>
        </is>
      </c>
      <c r="B32" s="14" t="inlineStr">
        <is>
          <t>EGY</t>
        </is>
      </c>
      <c r="C32" s="14" t="n">
        <v>2022</v>
      </c>
      <c r="D32" s="14" t="inlineStr">
        <is>
          <t>omn</t>
        </is>
      </c>
      <c r="E32" s="14" t="inlineStr">
        <is>
          <t>nga</t>
        </is>
      </c>
      <c r="F32" s="14" t="n">
        <v>960.1300372147859</v>
      </c>
      <c r="G32" s="14" t="inlineStr">
        <is>
          <t>Kernel v1.6 Data_Energy = legacy Mitigation rows 583-602</t>
        </is>
      </c>
    </row>
    <row r="33">
      <c r="A33" s="14" t="inlineStr">
        <is>
          <t>EGY|2022|cst|nga</t>
        </is>
      </c>
      <c r="B33" s="14" t="inlineStr">
        <is>
          <t>EGY</t>
        </is>
      </c>
      <c r="C33" s="14" t="n">
        <v>2022</v>
      </c>
      <c r="D33" s="14" t="inlineStr">
        <is>
          <t>cst</t>
        </is>
      </c>
      <c r="E33" s="14" t="inlineStr">
        <is>
          <t>nga</t>
        </is>
      </c>
      <c r="F33" s="14" t="n">
        <v>0</v>
      </c>
      <c r="G33" s="14" t="inlineStr">
        <is>
          <t>Kernel v1.6 Data_Energy = legacy Mitigation rows 583-602</t>
        </is>
      </c>
    </row>
    <row r="34">
      <c r="A34" s="14" t="inlineStr">
        <is>
          <t>EGY|2022|ftr|nga</t>
        </is>
      </c>
      <c r="B34" s="14" t="inlineStr">
        <is>
          <t>EGY</t>
        </is>
      </c>
      <c r="C34" s="14" t="n">
        <v>2022</v>
      </c>
      <c r="D34" s="14" t="inlineStr">
        <is>
          <t>ftr</t>
        </is>
      </c>
      <c r="E34" s="14" t="inlineStr">
        <is>
          <t>nga</t>
        </is>
      </c>
      <c r="F34" s="14" t="n">
        <v>7454.00582946635</v>
      </c>
      <c r="G34" s="14" t="inlineStr">
        <is>
          <t>Kernel v1.6 Data_Energy = legacy Mitigation rows 583-602</t>
        </is>
      </c>
    </row>
    <row r="35">
      <c r="A35" s="14" t="inlineStr">
        <is>
          <t>EGY|2022|oen|nga</t>
        </is>
      </c>
      <c r="B35" s="14" t="inlineStr">
        <is>
          <t>EGY</t>
        </is>
      </c>
      <c r="C35" s="14" t="n">
        <v>2022</v>
      </c>
      <c r="D35" s="14" t="inlineStr">
        <is>
          <t>oen</t>
        </is>
      </c>
      <c r="E35" s="14" t="inlineStr">
        <is>
          <t>nga</t>
        </is>
      </c>
      <c r="F35" s="14" t="n">
        <v>0</v>
      </c>
      <c r="G35" s="14" t="inlineStr">
        <is>
          <t>Kernel v1.6 Data_Energy = legacy Mitigation rows 583-602</t>
        </is>
      </c>
    </row>
    <row r="36">
      <c r="A36" s="14" t="inlineStr">
        <is>
          <t>EGY|2022|rod|oop</t>
        </is>
      </c>
      <c r="B36" s="14" t="inlineStr">
        <is>
          <t>EGY</t>
        </is>
      </c>
      <c r="C36" s="14" t="n">
        <v>2022</v>
      </c>
      <c r="D36" s="14" t="inlineStr">
        <is>
          <t>rod</t>
        </is>
      </c>
      <c r="E36" s="14" t="inlineStr">
        <is>
          <t>oop</t>
        </is>
      </c>
      <c r="F36" s="14" t="n">
        <v>0</v>
      </c>
      <c r="G36" s="14" t="inlineStr">
        <is>
          <t>Kernel v1.6 Data_Energy = legacy Mitigation rows 583-602</t>
        </is>
      </c>
    </row>
    <row r="37">
      <c r="A37" s="14" t="inlineStr">
        <is>
          <t>EGY|2022|ral|oop</t>
        </is>
      </c>
      <c r="B37" s="14" t="inlineStr">
        <is>
          <t>EGY</t>
        </is>
      </c>
      <c r="C37" s="14" t="n">
        <v>2022</v>
      </c>
      <c r="D37" s="14" t="inlineStr">
        <is>
          <t>ral</t>
        </is>
      </c>
      <c r="E37" s="14" t="inlineStr">
        <is>
          <t>oop</t>
        </is>
      </c>
      <c r="F37" s="14" t="n">
        <v>0</v>
      </c>
      <c r="G37" s="14" t="inlineStr">
        <is>
          <t>Kernel v1.6 Data_Energy = legacy Mitigation rows 583-602</t>
        </is>
      </c>
    </row>
    <row r="38">
      <c r="A38" s="14" t="inlineStr">
        <is>
          <t>EGY|2022|avi|oop</t>
        </is>
      </c>
      <c r="B38" s="14" t="inlineStr">
        <is>
          <t>EGY</t>
        </is>
      </c>
      <c r="C38" s="14" t="n">
        <v>2022</v>
      </c>
      <c r="D38" s="14" t="inlineStr">
        <is>
          <t>avi</t>
        </is>
      </c>
      <c r="E38" s="14" t="inlineStr">
        <is>
          <t>oop</t>
        </is>
      </c>
      <c r="F38" s="14" t="n">
        <v>0</v>
      </c>
      <c r="G38" s="14" t="inlineStr">
        <is>
          <t>Kernel v1.6 Data_Energy = legacy Mitigation rows 583-602</t>
        </is>
      </c>
    </row>
    <row r="39">
      <c r="A39" s="14" t="inlineStr">
        <is>
          <t>EGY|2022|nav|oop</t>
        </is>
      </c>
      <c r="B39" s="14" t="inlineStr">
        <is>
          <t>EGY</t>
        </is>
      </c>
      <c r="C39" s="14" t="n">
        <v>2022</v>
      </c>
      <c r="D39" s="14" t="inlineStr">
        <is>
          <t>nav</t>
        </is>
      </c>
      <c r="E39" s="14" t="inlineStr">
        <is>
          <t>oop</t>
        </is>
      </c>
      <c r="F39" s="14" t="n">
        <v>290.709497169709</v>
      </c>
      <c r="G39" s="14" t="inlineStr">
        <is>
          <t>Kernel v1.6 Data_Energy = legacy Mitigation rows 583-602</t>
        </is>
      </c>
    </row>
    <row r="40">
      <c r="A40" s="14" t="inlineStr">
        <is>
          <t>EGY|2022|res|oop</t>
        </is>
      </c>
      <c r="B40" s="14" t="inlineStr">
        <is>
          <t>EGY</t>
        </is>
      </c>
      <c r="C40" s="14" t="n">
        <v>2022</v>
      </c>
      <c r="D40" s="14" t="inlineStr">
        <is>
          <t>res</t>
        </is>
      </c>
      <c r="E40" s="14" t="inlineStr">
        <is>
          <t>oop</t>
        </is>
      </c>
      <c r="F40" s="14" t="n">
        <v>0</v>
      </c>
      <c r="G40" s="14" t="inlineStr">
        <is>
          <t>Kernel v1.6 Data_Energy = legacy Mitigation rows 583-602</t>
        </is>
      </c>
    </row>
    <row r="41">
      <c r="A41" s="14" t="inlineStr">
        <is>
          <t>EGY|2022|foo|oop</t>
        </is>
      </c>
      <c r="B41" s="14" t="inlineStr">
        <is>
          <t>EGY</t>
        </is>
      </c>
      <c r="C41" s="14" t="n">
        <v>2022</v>
      </c>
      <c r="D41" s="14" t="inlineStr">
        <is>
          <t>foo</t>
        </is>
      </c>
      <c r="E41" s="14" t="inlineStr">
        <is>
          <t>oop</t>
        </is>
      </c>
      <c r="F41" s="14" t="n">
        <v>0</v>
      </c>
      <c r="G41" s="14" t="inlineStr">
        <is>
          <t>Kernel v1.6 Data_Energy = legacy Mitigation rows 583-602</t>
        </is>
      </c>
    </row>
    <row r="42">
      <c r="A42" s="14" t="inlineStr">
        <is>
          <t>EGY|2022|srv|oop</t>
        </is>
      </c>
      <c r="B42" s="14" t="inlineStr">
        <is>
          <t>EGY</t>
        </is>
      </c>
      <c r="C42" s="14" t="n">
        <v>2022</v>
      </c>
      <c r="D42" s="14" t="inlineStr">
        <is>
          <t>srv</t>
        </is>
      </c>
      <c r="E42" s="14" t="inlineStr">
        <is>
          <t>oop</t>
        </is>
      </c>
      <c r="F42" s="14" t="n">
        <v>0</v>
      </c>
      <c r="G42" s="14" t="inlineStr">
        <is>
          <t>Kernel v1.6 Data_Energy = legacy Mitigation rows 583-602</t>
        </is>
      </c>
    </row>
    <row r="43">
      <c r="A43" s="14" t="inlineStr">
        <is>
          <t>EGY|2022|mch|oop</t>
        </is>
      </c>
      <c r="B43" s="14" t="inlineStr">
        <is>
          <t>EGY</t>
        </is>
      </c>
      <c r="C43" s="14" t="n">
        <v>2022</v>
      </c>
      <c r="D43" s="14" t="inlineStr">
        <is>
          <t>mch</t>
        </is>
      </c>
      <c r="E43" s="14" t="inlineStr">
        <is>
          <t>oop</t>
        </is>
      </c>
      <c r="F43" s="14" t="n">
        <v>0</v>
      </c>
      <c r="G43" s="14" t="inlineStr">
        <is>
          <t>Kernel v1.6 Data_Energy = legacy Mitigation rows 583-602</t>
        </is>
      </c>
    </row>
    <row r="44">
      <c r="A44" s="14" t="inlineStr">
        <is>
          <t>EGY|2022|irn|oop</t>
        </is>
      </c>
      <c r="B44" s="14" t="inlineStr">
        <is>
          <t>EGY</t>
        </is>
      </c>
      <c r="C44" s="14" t="n">
        <v>2022</v>
      </c>
      <c r="D44" s="14" t="inlineStr">
        <is>
          <t>irn</t>
        </is>
      </c>
      <c r="E44" s="14" t="inlineStr">
        <is>
          <t>oop</t>
        </is>
      </c>
      <c r="F44" s="14" t="n">
        <v>0</v>
      </c>
      <c r="G44" s="14" t="inlineStr">
        <is>
          <t>Kernel v1.6 Data_Energy = legacy Mitigation rows 583-602</t>
        </is>
      </c>
    </row>
    <row r="45">
      <c r="A45" s="14" t="inlineStr">
        <is>
          <t>EGY|2022|nfm|oop</t>
        </is>
      </c>
      <c r="B45" s="14" t="inlineStr">
        <is>
          <t>EGY</t>
        </is>
      </c>
      <c r="C45" s="14" t="n">
        <v>2022</v>
      </c>
      <c r="D45" s="14" t="inlineStr">
        <is>
          <t>nfm</t>
        </is>
      </c>
      <c r="E45" s="14" t="inlineStr">
        <is>
          <t>oop</t>
        </is>
      </c>
      <c r="F45" s="14" t="n">
        <v>0</v>
      </c>
      <c r="G45" s="14" t="inlineStr">
        <is>
          <t>Kernel v1.6 Data_Energy = legacy Mitigation rows 583-602</t>
        </is>
      </c>
    </row>
    <row r="46">
      <c r="A46" s="14" t="inlineStr">
        <is>
          <t>EGY|2022|mac|oop</t>
        </is>
      </c>
      <c r="B46" s="14" t="inlineStr">
        <is>
          <t>EGY</t>
        </is>
      </c>
      <c r="C46" s="14" t="n">
        <v>2022</v>
      </c>
      <c r="D46" s="14" t="inlineStr">
        <is>
          <t>mac</t>
        </is>
      </c>
      <c r="E46" s="14" t="inlineStr">
        <is>
          <t>oop</t>
        </is>
      </c>
      <c r="F46" s="14" t="n">
        <v>0</v>
      </c>
      <c r="G46" s="14" t="inlineStr">
        <is>
          <t>Kernel v1.6 Data_Energy = legacy Mitigation rows 583-602</t>
        </is>
      </c>
    </row>
    <row r="47">
      <c r="A47" s="14" t="inlineStr">
        <is>
          <t>EGY|2022|cem|oop</t>
        </is>
      </c>
      <c r="B47" s="14" t="inlineStr">
        <is>
          <t>EGY</t>
        </is>
      </c>
      <c r="C47" s="14" t="n">
        <v>2022</v>
      </c>
      <c r="D47" s="14" t="inlineStr">
        <is>
          <t>cem</t>
        </is>
      </c>
      <c r="E47" s="14" t="inlineStr">
        <is>
          <t>oop</t>
        </is>
      </c>
      <c r="F47" s="14" t="n">
        <v>0</v>
      </c>
      <c r="G47" s="14" t="inlineStr">
        <is>
          <t>Kernel v1.6 Data_Energy = legacy Mitigation rows 583-602</t>
        </is>
      </c>
    </row>
    <row r="48">
      <c r="A48" s="14" t="inlineStr">
        <is>
          <t>EGY|2022|omn|oop</t>
        </is>
      </c>
      <c r="B48" s="14" t="inlineStr">
        <is>
          <t>EGY</t>
        </is>
      </c>
      <c r="C48" s="14" t="n">
        <v>2022</v>
      </c>
      <c r="D48" s="14" t="inlineStr">
        <is>
          <t>omn</t>
        </is>
      </c>
      <c r="E48" s="14" t="inlineStr">
        <is>
          <t>oop</t>
        </is>
      </c>
      <c r="F48" s="14" t="n">
        <v>2347.52754403714</v>
      </c>
      <c r="G48" s="14" t="inlineStr">
        <is>
          <t>Kernel v1.6 Data_Energy = legacy Mitigation rows 583-602</t>
        </is>
      </c>
    </row>
    <row r="49">
      <c r="A49" s="14" t="inlineStr">
        <is>
          <t>EGY|2022|cst|oop</t>
        </is>
      </c>
      <c r="B49" s="14" t="inlineStr">
        <is>
          <t>EGY</t>
        </is>
      </c>
      <c r="C49" s="14" t="n">
        <v>2022</v>
      </c>
      <c r="D49" s="14" t="inlineStr">
        <is>
          <t>cst</t>
        </is>
      </c>
      <c r="E49" s="14" t="inlineStr">
        <is>
          <t>oop</t>
        </is>
      </c>
      <c r="F49" s="14" t="n">
        <v>0</v>
      </c>
      <c r="G49" s="14" t="inlineStr">
        <is>
          <t>Kernel v1.6 Data_Energy = legacy Mitigation rows 583-602</t>
        </is>
      </c>
    </row>
    <row r="50">
      <c r="A50" s="14" t="inlineStr">
        <is>
          <t>EGY|2022|ftr|oop</t>
        </is>
      </c>
      <c r="B50" s="14" t="inlineStr">
        <is>
          <t>EGY</t>
        </is>
      </c>
      <c r="C50" s="14" t="n">
        <v>2022</v>
      </c>
      <c r="D50" s="14" t="inlineStr">
        <is>
          <t>ftr</t>
        </is>
      </c>
      <c r="E50" s="14" t="inlineStr">
        <is>
          <t>oop</t>
        </is>
      </c>
      <c r="F50" s="14" t="n">
        <v>293.099212219656</v>
      </c>
      <c r="G50" s="14" t="inlineStr">
        <is>
          <t>Kernel v1.6 Data_Energy = legacy Mitigation rows 583-602</t>
        </is>
      </c>
    </row>
    <row r="51">
      <c r="A51" s="14" t="inlineStr">
        <is>
          <t>EGY|2022|oen|oop</t>
        </is>
      </c>
      <c r="B51" s="14" t="inlineStr">
        <is>
          <t>EGY</t>
        </is>
      </c>
      <c r="C51" s="14" t="n">
        <v>2022</v>
      </c>
      <c r="D51" s="14" t="inlineStr">
        <is>
          <t>oen</t>
        </is>
      </c>
      <c r="E51" s="14" t="inlineStr">
        <is>
          <t>oop</t>
        </is>
      </c>
      <c r="F51" s="14" t="n">
        <v>100.678839675172</v>
      </c>
      <c r="G51" s="14" t="inlineStr">
        <is>
          <t>Kernel v1.6 Data_Energy = legacy Mitigation rows 583-602</t>
        </is>
      </c>
    </row>
    <row r="52">
      <c r="A52" s="14" t="inlineStr">
        <is>
          <t>EGY|2022|rod|gso</t>
        </is>
      </c>
      <c r="B52" s="14" t="inlineStr">
        <is>
          <t>EGY</t>
        </is>
      </c>
      <c r="C52" s="14" t="n">
        <v>2022</v>
      </c>
      <c r="D52" s="14" t="inlineStr">
        <is>
          <t>rod</t>
        </is>
      </c>
      <c r="E52" s="14" t="inlineStr">
        <is>
          <t>gso</t>
        </is>
      </c>
      <c r="F52" s="14" t="n">
        <v>7577.29644334562</v>
      </c>
      <c r="G52" s="14" t="inlineStr">
        <is>
          <t>Kernel v1.6 Data_Energy = legacy Mitigation rows 583-602</t>
        </is>
      </c>
    </row>
    <row r="53">
      <c r="A53" s="14" t="inlineStr">
        <is>
          <t>EGY|2022|ral|gso</t>
        </is>
      </c>
      <c r="B53" s="14" t="inlineStr">
        <is>
          <t>EGY</t>
        </is>
      </c>
      <c r="C53" s="14" t="n">
        <v>2022</v>
      </c>
      <c r="D53" s="14" t="inlineStr">
        <is>
          <t>ral</t>
        </is>
      </c>
      <c r="E53" s="14" t="inlineStr">
        <is>
          <t>gso</t>
        </is>
      </c>
      <c r="F53" s="14" t="n">
        <v>0</v>
      </c>
      <c r="G53" s="14" t="inlineStr">
        <is>
          <t>Kernel v1.6 Data_Energy = legacy Mitigation rows 583-602</t>
        </is>
      </c>
    </row>
    <row r="54">
      <c r="A54" s="14" t="inlineStr">
        <is>
          <t>EGY|2022|avi|gso</t>
        </is>
      </c>
      <c r="B54" s="14" t="inlineStr">
        <is>
          <t>EGY</t>
        </is>
      </c>
      <c r="C54" s="14" t="n">
        <v>2022</v>
      </c>
      <c r="D54" s="14" t="inlineStr">
        <is>
          <t>avi</t>
        </is>
      </c>
      <c r="E54" s="14" t="inlineStr">
        <is>
          <t>gso</t>
        </is>
      </c>
      <c r="F54" s="14" t="n">
        <v>0</v>
      </c>
      <c r="G54" s="14" t="inlineStr">
        <is>
          <t>Kernel v1.6 Data_Energy = legacy Mitigation rows 583-602</t>
        </is>
      </c>
    </row>
    <row r="55">
      <c r="A55" s="14" t="inlineStr">
        <is>
          <t>EGY|2022|nav|gso</t>
        </is>
      </c>
      <c r="B55" s="14" t="inlineStr">
        <is>
          <t>EGY</t>
        </is>
      </c>
      <c r="C55" s="14" t="n">
        <v>2022</v>
      </c>
      <c r="D55" s="14" t="inlineStr">
        <is>
          <t>nav</t>
        </is>
      </c>
      <c r="E55" s="14" t="inlineStr">
        <is>
          <t>gso</t>
        </is>
      </c>
      <c r="F55" s="14" t="n">
        <v>0</v>
      </c>
      <c r="G55" s="14" t="inlineStr">
        <is>
          <t>Kernel v1.6 Data_Energy = legacy Mitigation rows 583-602</t>
        </is>
      </c>
    </row>
    <row r="56">
      <c r="A56" s="14" t="inlineStr">
        <is>
          <t>EGY|2022|res|gso</t>
        </is>
      </c>
      <c r="B56" s="14" t="inlineStr">
        <is>
          <t>EGY</t>
        </is>
      </c>
      <c r="C56" s="14" t="n">
        <v>2022</v>
      </c>
      <c r="D56" s="14" t="inlineStr">
        <is>
          <t>res</t>
        </is>
      </c>
      <c r="E56" s="14" t="inlineStr">
        <is>
          <t>gso</t>
        </is>
      </c>
      <c r="F56" s="14" t="n">
        <v>0</v>
      </c>
      <c r="G56" s="14" t="inlineStr">
        <is>
          <t>Kernel v1.6 Data_Energy = legacy Mitigation rows 583-602</t>
        </is>
      </c>
    </row>
    <row r="57">
      <c r="A57" s="14" t="inlineStr">
        <is>
          <t>EGY|2022|foo|gso</t>
        </is>
      </c>
      <c r="B57" s="14" t="inlineStr">
        <is>
          <t>EGY</t>
        </is>
      </c>
      <c r="C57" s="14" t="n">
        <v>2022</v>
      </c>
      <c r="D57" s="14" t="inlineStr">
        <is>
          <t>foo</t>
        </is>
      </c>
      <c r="E57" s="14" t="inlineStr">
        <is>
          <t>gso</t>
        </is>
      </c>
      <c r="F57" s="14" t="n">
        <v>0</v>
      </c>
      <c r="G57" s="14" t="inlineStr">
        <is>
          <t>Kernel v1.6 Data_Energy = legacy Mitigation rows 583-602</t>
        </is>
      </c>
    </row>
    <row r="58">
      <c r="A58" s="14" t="inlineStr">
        <is>
          <t>EGY|2022|srv|gso</t>
        </is>
      </c>
      <c r="B58" s="14" t="inlineStr">
        <is>
          <t>EGY</t>
        </is>
      </c>
      <c r="C58" s="14" t="n">
        <v>2022</v>
      </c>
      <c r="D58" s="14" t="inlineStr">
        <is>
          <t>srv</t>
        </is>
      </c>
      <c r="E58" s="14" t="inlineStr">
        <is>
          <t>gso</t>
        </is>
      </c>
      <c r="F58" s="14" t="n">
        <v>0</v>
      </c>
      <c r="G58" s="14" t="inlineStr">
        <is>
          <t>Kernel v1.6 Data_Energy = legacy Mitigation rows 583-602</t>
        </is>
      </c>
    </row>
    <row r="59">
      <c r="A59" s="14" t="inlineStr">
        <is>
          <t>EGY|2022|mch|gso</t>
        </is>
      </c>
      <c r="B59" s="14" t="inlineStr">
        <is>
          <t>EGY</t>
        </is>
      </c>
      <c r="C59" s="14" t="n">
        <v>2022</v>
      </c>
      <c r="D59" s="14" t="inlineStr">
        <is>
          <t>mch</t>
        </is>
      </c>
      <c r="E59" s="14" t="inlineStr">
        <is>
          <t>gso</t>
        </is>
      </c>
      <c r="F59" s="14" t="n">
        <v>0</v>
      </c>
      <c r="G59" s="14" t="inlineStr">
        <is>
          <t>Kernel v1.6 Data_Energy = legacy Mitigation rows 583-602</t>
        </is>
      </c>
    </row>
    <row r="60">
      <c r="A60" s="14" t="inlineStr">
        <is>
          <t>EGY|2022|irn|gso</t>
        </is>
      </c>
      <c r="B60" s="14" t="inlineStr">
        <is>
          <t>EGY</t>
        </is>
      </c>
      <c r="C60" s="14" t="n">
        <v>2022</v>
      </c>
      <c r="D60" s="14" t="inlineStr">
        <is>
          <t>irn</t>
        </is>
      </c>
      <c r="E60" s="14" t="inlineStr">
        <is>
          <t>gso</t>
        </is>
      </c>
      <c r="F60" s="14" t="n">
        <v>0</v>
      </c>
      <c r="G60" s="14" t="inlineStr">
        <is>
          <t>Kernel v1.6 Data_Energy = legacy Mitigation rows 583-602</t>
        </is>
      </c>
    </row>
    <row r="61">
      <c r="A61" s="14" t="inlineStr">
        <is>
          <t>EGY|2022|nfm|gso</t>
        </is>
      </c>
      <c r="B61" s="14" t="inlineStr">
        <is>
          <t>EGY</t>
        </is>
      </c>
      <c r="C61" s="14" t="n">
        <v>2022</v>
      </c>
      <c r="D61" s="14" t="inlineStr">
        <is>
          <t>nfm</t>
        </is>
      </c>
      <c r="E61" s="14" t="inlineStr">
        <is>
          <t>gso</t>
        </is>
      </c>
      <c r="F61" s="14" t="n">
        <v>0</v>
      </c>
      <c r="G61" s="14" t="inlineStr">
        <is>
          <t>Kernel v1.6 Data_Energy = legacy Mitigation rows 583-602</t>
        </is>
      </c>
    </row>
    <row r="62">
      <c r="A62" s="14" t="inlineStr">
        <is>
          <t>EGY|2022|mac|gso</t>
        </is>
      </c>
      <c r="B62" s="14" t="inlineStr">
        <is>
          <t>EGY</t>
        </is>
      </c>
      <c r="C62" s="14" t="n">
        <v>2022</v>
      </c>
      <c r="D62" s="14" t="inlineStr">
        <is>
          <t>mac</t>
        </is>
      </c>
      <c r="E62" s="14" t="inlineStr">
        <is>
          <t>gso</t>
        </is>
      </c>
      <c r="F62" s="14" t="n">
        <v>0</v>
      </c>
      <c r="G62" s="14" t="inlineStr">
        <is>
          <t>Kernel v1.6 Data_Energy = legacy Mitigation rows 583-602</t>
        </is>
      </c>
    </row>
    <row r="63">
      <c r="A63" s="14" t="inlineStr">
        <is>
          <t>EGY|2022|cem|gso</t>
        </is>
      </c>
      <c r="B63" s="14" t="inlineStr">
        <is>
          <t>EGY</t>
        </is>
      </c>
      <c r="C63" s="14" t="n">
        <v>2022</v>
      </c>
      <c r="D63" s="14" t="inlineStr">
        <is>
          <t>cem</t>
        </is>
      </c>
      <c r="E63" s="14" t="inlineStr">
        <is>
          <t>gso</t>
        </is>
      </c>
      <c r="F63" s="14" t="n">
        <v>0</v>
      </c>
      <c r="G63" s="14" t="inlineStr">
        <is>
          <t>Kernel v1.6 Data_Energy = legacy Mitigation rows 583-602</t>
        </is>
      </c>
    </row>
    <row r="64">
      <c r="A64" s="14" t="inlineStr">
        <is>
          <t>EGY|2022|omn|gso</t>
        </is>
      </c>
      <c r="B64" s="14" t="inlineStr">
        <is>
          <t>EGY</t>
        </is>
      </c>
      <c r="C64" s="14" t="n">
        <v>2022</v>
      </c>
      <c r="D64" s="14" t="inlineStr">
        <is>
          <t>omn</t>
        </is>
      </c>
      <c r="E64" s="14" t="inlineStr">
        <is>
          <t>gso</t>
        </is>
      </c>
      <c r="F64" s="14" t="n">
        <v>0</v>
      </c>
      <c r="G64" s="14" t="inlineStr">
        <is>
          <t>Kernel v1.6 Data_Energy = legacy Mitigation rows 583-602</t>
        </is>
      </c>
    </row>
    <row r="65">
      <c r="A65" s="14" t="inlineStr">
        <is>
          <t>EGY|2022|cst|gso</t>
        </is>
      </c>
      <c r="B65" s="14" t="inlineStr">
        <is>
          <t>EGY</t>
        </is>
      </c>
      <c r="C65" s="14" t="n">
        <v>2022</v>
      </c>
      <c r="D65" s="14" t="inlineStr">
        <is>
          <t>cst</t>
        </is>
      </c>
      <c r="E65" s="14" t="inlineStr">
        <is>
          <t>gso</t>
        </is>
      </c>
      <c r="F65" s="14" t="n">
        <v>0</v>
      </c>
      <c r="G65" s="14" t="inlineStr">
        <is>
          <t>Kernel v1.6 Data_Energy = legacy Mitigation rows 583-602</t>
        </is>
      </c>
    </row>
    <row r="66">
      <c r="A66" s="14" t="inlineStr">
        <is>
          <t>EGY|2022|ftr|gso</t>
        </is>
      </c>
      <c r="B66" s="14" t="inlineStr">
        <is>
          <t>EGY</t>
        </is>
      </c>
      <c r="C66" s="14" t="n">
        <v>2022</v>
      </c>
      <c r="D66" s="14" t="inlineStr">
        <is>
          <t>ftr</t>
        </is>
      </c>
      <c r="E66" s="14" t="inlineStr">
        <is>
          <t>gso</t>
        </is>
      </c>
      <c r="F66" s="14" t="n">
        <v>0</v>
      </c>
      <c r="G66" s="14" t="inlineStr">
        <is>
          <t>Kernel v1.6 Data_Energy = legacy Mitigation rows 583-602</t>
        </is>
      </c>
    </row>
    <row r="67">
      <c r="A67" s="14" t="inlineStr">
        <is>
          <t>EGY|2022|oen|gso</t>
        </is>
      </c>
      <c r="B67" s="14" t="inlineStr">
        <is>
          <t>EGY</t>
        </is>
      </c>
      <c r="C67" s="14" t="n">
        <v>2022</v>
      </c>
      <c r="D67" s="14" t="inlineStr">
        <is>
          <t>oen</t>
        </is>
      </c>
      <c r="E67" s="14" t="inlineStr">
        <is>
          <t>gso</t>
        </is>
      </c>
      <c r="F67" s="14" t="n">
        <v>0</v>
      </c>
      <c r="G67" s="14" t="inlineStr">
        <is>
          <t>Kernel v1.6 Data_Energy = legacy Mitigation rows 583-602</t>
        </is>
      </c>
    </row>
    <row r="68">
      <c r="A68" s="14" t="inlineStr">
        <is>
          <t>EGY|2022|rod|die</t>
        </is>
      </c>
      <c r="B68" s="14" t="inlineStr">
        <is>
          <t>EGY</t>
        </is>
      </c>
      <c r="C68" s="14" t="n">
        <v>2022</v>
      </c>
      <c r="D68" s="14" t="inlineStr">
        <is>
          <t>rod</t>
        </is>
      </c>
      <c r="E68" s="14" t="inlineStr">
        <is>
          <t>die</t>
        </is>
      </c>
      <c r="F68" s="14" t="n">
        <v>10207.6320601434</v>
      </c>
      <c r="G68" s="14" t="inlineStr">
        <is>
          <t>Kernel v1.6 Data_Energy = legacy Mitigation rows 583-602</t>
        </is>
      </c>
    </row>
    <row r="69">
      <c r="A69" s="14" t="inlineStr">
        <is>
          <t>EGY|2022|ral|die</t>
        </is>
      </c>
      <c r="B69" s="14" t="inlineStr">
        <is>
          <t>EGY</t>
        </is>
      </c>
      <c r="C69" s="14" t="n">
        <v>2022</v>
      </c>
      <c r="D69" s="14" t="inlineStr">
        <is>
          <t>ral</t>
        </is>
      </c>
      <c r="E69" s="14" t="inlineStr">
        <is>
          <t>die</t>
        </is>
      </c>
      <c r="F69" s="14" t="n">
        <v>0</v>
      </c>
      <c r="G69" s="14" t="inlineStr">
        <is>
          <t>Kernel v1.6 Data_Energy = legacy Mitigation rows 583-602</t>
        </is>
      </c>
    </row>
    <row r="70">
      <c r="A70" s="14" t="inlineStr">
        <is>
          <t>EGY|2022|avi|die</t>
        </is>
      </c>
      <c r="B70" s="14" t="inlineStr">
        <is>
          <t>EGY</t>
        </is>
      </c>
      <c r="C70" s="14" t="n">
        <v>2022</v>
      </c>
      <c r="D70" s="14" t="inlineStr">
        <is>
          <t>avi</t>
        </is>
      </c>
      <c r="E70" s="14" t="inlineStr">
        <is>
          <t>die</t>
        </is>
      </c>
      <c r="F70" s="14" t="n">
        <v>0</v>
      </c>
      <c r="G70" s="14" t="inlineStr">
        <is>
          <t>Kernel v1.6 Data_Energy = legacy Mitigation rows 583-602</t>
        </is>
      </c>
    </row>
    <row r="71">
      <c r="A71" s="14" t="inlineStr">
        <is>
          <t>EGY|2022|nav|die</t>
        </is>
      </c>
      <c r="B71" s="14" t="inlineStr">
        <is>
          <t>EGY</t>
        </is>
      </c>
      <c r="C71" s="14" t="n">
        <v>2022</v>
      </c>
      <c r="D71" s="14" t="inlineStr">
        <is>
          <t>nav</t>
        </is>
      </c>
      <c r="E71" s="14" t="inlineStr">
        <is>
          <t>die</t>
        </is>
      </c>
      <c r="F71" s="14" t="n">
        <v>0</v>
      </c>
      <c r="G71" s="14" t="inlineStr">
        <is>
          <t>Kernel v1.6 Data_Energy = legacy Mitigation rows 583-602</t>
        </is>
      </c>
    </row>
    <row r="72">
      <c r="A72" s="14" t="inlineStr">
        <is>
          <t>EGY|2022|res|die</t>
        </is>
      </c>
      <c r="B72" s="14" t="inlineStr">
        <is>
          <t>EGY</t>
        </is>
      </c>
      <c r="C72" s="14" t="n">
        <v>2022</v>
      </c>
      <c r="D72" s="14" t="inlineStr">
        <is>
          <t>res</t>
        </is>
      </c>
      <c r="E72" s="14" t="inlineStr">
        <is>
          <t>die</t>
        </is>
      </c>
      <c r="F72" s="14" t="n">
        <v>0</v>
      </c>
      <c r="G72" s="14" t="inlineStr">
        <is>
          <t>Kernel v1.6 Data_Energy = legacy Mitigation rows 583-602</t>
        </is>
      </c>
    </row>
    <row r="73">
      <c r="A73" s="14" t="inlineStr">
        <is>
          <t>EGY|2022|foo|die</t>
        </is>
      </c>
      <c r="B73" s="14" t="inlineStr">
        <is>
          <t>EGY</t>
        </is>
      </c>
      <c r="C73" s="14" t="n">
        <v>2022</v>
      </c>
      <c r="D73" s="14" t="inlineStr">
        <is>
          <t>foo</t>
        </is>
      </c>
      <c r="E73" s="14" t="inlineStr">
        <is>
          <t>die</t>
        </is>
      </c>
      <c r="F73" s="14" t="n">
        <v>927.0217281782579</v>
      </c>
      <c r="G73" s="14" t="inlineStr">
        <is>
          <t>Kernel v1.6 Data_Energy = legacy Mitigation rows 583-602</t>
        </is>
      </c>
    </row>
    <row r="74">
      <c r="A74" s="14" t="inlineStr">
        <is>
          <t>EGY|2022|srv|die</t>
        </is>
      </c>
      <c r="B74" s="14" t="inlineStr">
        <is>
          <t>EGY</t>
        </is>
      </c>
      <c r="C74" s="14" t="n">
        <v>2022</v>
      </c>
      <c r="D74" s="14" t="inlineStr">
        <is>
          <t>srv</t>
        </is>
      </c>
      <c r="E74" s="14" t="inlineStr">
        <is>
          <t>die</t>
        </is>
      </c>
      <c r="F74" s="14" t="n">
        <v>0</v>
      </c>
      <c r="G74" s="14" t="inlineStr">
        <is>
          <t>Kernel v1.6 Data_Energy = legacy Mitigation rows 583-602</t>
        </is>
      </c>
    </row>
    <row r="75">
      <c r="A75" s="14" t="inlineStr">
        <is>
          <t>EGY|2022|mch|die</t>
        </is>
      </c>
      <c r="B75" s="14" t="inlineStr">
        <is>
          <t>EGY</t>
        </is>
      </c>
      <c r="C75" s="14" t="n">
        <v>2022</v>
      </c>
      <c r="D75" s="14" t="inlineStr">
        <is>
          <t>mch</t>
        </is>
      </c>
      <c r="E75" s="14" t="inlineStr">
        <is>
          <t>die</t>
        </is>
      </c>
      <c r="F75" s="14" t="n">
        <v>0</v>
      </c>
      <c r="G75" s="14" t="inlineStr">
        <is>
          <t>Kernel v1.6 Data_Energy = legacy Mitigation rows 583-602</t>
        </is>
      </c>
    </row>
    <row r="76">
      <c r="A76" s="14" t="inlineStr">
        <is>
          <t>EGY|2022|irn|die</t>
        </is>
      </c>
      <c r="B76" s="14" t="inlineStr">
        <is>
          <t>EGY</t>
        </is>
      </c>
      <c r="C76" s="14" t="n">
        <v>2022</v>
      </c>
      <c r="D76" s="14" t="inlineStr">
        <is>
          <t>irn</t>
        </is>
      </c>
      <c r="E76" s="14" t="inlineStr">
        <is>
          <t>die</t>
        </is>
      </c>
      <c r="F76" s="14" t="n">
        <v>0</v>
      </c>
      <c r="G76" s="14" t="inlineStr">
        <is>
          <t>Kernel v1.6 Data_Energy = legacy Mitigation rows 583-602</t>
        </is>
      </c>
    </row>
    <row r="77">
      <c r="A77" s="14" t="inlineStr">
        <is>
          <t>EGY|2022|nfm|die</t>
        </is>
      </c>
      <c r="B77" s="14" t="inlineStr">
        <is>
          <t>EGY</t>
        </is>
      </c>
      <c r="C77" s="14" t="n">
        <v>2022</v>
      </c>
      <c r="D77" s="14" t="inlineStr">
        <is>
          <t>nfm</t>
        </is>
      </c>
      <c r="E77" s="14" t="inlineStr">
        <is>
          <t>die</t>
        </is>
      </c>
      <c r="F77" s="14" t="n">
        <v>0</v>
      </c>
      <c r="G77" s="14" t="inlineStr">
        <is>
          <t>Kernel v1.6 Data_Energy = legacy Mitigation rows 583-602</t>
        </is>
      </c>
    </row>
    <row r="78">
      <c r="A78" s="14" t="inlineStr">
        <is>
          <t>EGY|2022|mac|die</t>
        </is>
      </c>
      <c r="B78" s="14" t="inlineStr">
        <is>
          <t>EGY</t>
        </is>
      </c>
      <c r="C78" s="14" t="n">
        <v>2022</v>
      </c>
      <c r="D78" s="14" t="inlineStr">
        <is>
          <t>mac</t>
        </is>
      </c>
      <c r="E78" s="14" t="inlineStr">
        <is>
          <t>die</t>
        </is>
      </c>
      <c r="F78" s="14" t="n">
        <v>0</v>
      </c>
      <c r="G78" s="14" t="inlineStr">
        <is>
          <t>Kernel v1.6 Data_Energy = legacy Mitigation rows 583-602</t>
        </is>
      </c>
    </row>
    <row r="79">
      <c r="A79" s="14" t="inlineStr">
        <is>
          <t>EGY|2022|cem|die</t>
        </is>
      </c>
      <c r="B79" s="14" t="inlineStr">
        <is>
          <t>EGY</t>
        </is>
      </c>
      <c r="C79" s="14" t="n">
        <v>2022</v>
      </c>
      <c r="D79" s="14" t="inlineStr">
        <is>
          <t>cem</t>
        </is>
      </c>
      <c r="E79" s="14" t="inlineStr">
        <is>
          <t>die</t>
        </is>
      </c>
      <c r="F79" s="14" t="n">
        <v>0</v>
      </c>
      <c r="G79" s="14" t="inlineStr">
        <is>
          <t>Kernel v1.6 Data_Energy = legacy Mitigation rows 583-602</t>
        </is>
      </c>
    </row>
    <row r="80">
      <c r="A80" s="14" t="inlineStr">
        <is>
          <t>EGY|2022|omn|die</t>
        </is>
      </c>
      <c r="B80" s="14" t="inlineStr">
        <is>
          <t>EGY</t>
        </is>
      </c>
      <c r="C80" s="14" t="n">
        <v>2022</v>
      </c>
      <c r="D80" s="14" t="inlineStr">
        <is>
          <t>omn</t>
        </is>
      </c>
      <c r="E80" s="14" t="inlineStr">
        <is>
          <t>die</t>
        </is>
      </c>
      <c r="F80" s="14" t="n">
        <v>3819.23416175079</v>
      </c>
      <c r="G80" s="14" t="inlineStr">
        <is>
          <t>Kernel v1.6 Data_Energy = legacy Mitigation rows 583-602</t>
        </is>
      </c>
    </row>
    <row r="81">
      <c r="A81" s="14" t="inlineStr">
        <is>
          <t>EGY|2022|cst|die</t>
        </is>
      </c>
      <c r="B81" s="14" t="inlineStr">
        <is>
          <t>EGY</t>
        </is>
      </c>
      <c r="C81" s="14" t="n">
        <v>2022</v>
      </c>
      <c r="D81" s="14" t="inlineStr">
        <is>
          <t>cst</t>
        </is>
      </c>
      <c r="E81" s="14" t="inlineStr">
        <is>
          <t>die</t>
        </is>
      </c>
      <c r="F81" s="14" t="n">
        <v>0</v>
      </c>
      <c r="G81" s="14" t="inlineStr">
        <is>
          <t>Kernel v1.6 Data_Energy = legacy Mitigation rows 583-602</t>
        </is>
      </c>
    </row>
    <row r="82">
      <c r="A82" s="14" t="inlineStr">
        <is>
          <t>EGY|2022|ftr|die</t>
        </is>
      </c>
      <c r="B82" s="14" t="inlineStr">
        <is>
          <t>EGY</t>
        </is>
      </c>
      <c r="C82" s="14" t="n">
        <v>2022</v>
      </c>
      <c r="D82" s="14" t="inlineStr">
        <is>
          <t>ftr</t>
        </is>
      </c>
      <c r="E82" s="14" t="inlineStr">
        <is>
          <t>die</t>
        </is>
      </c>
      <c r="F82" s="14" t="n">
        <v>824.800093567561</v>
      </c>
      <c r="G82" s="14" t="inlineStr">
        <is>
          <t>Kernel v1.6 Data_Energy = legacy Mitigation rows 583-602</t>
        </is>
      </c>
    </row>
    <row r="83">
      <c r="A83" s="14" t="inlineStr">
        <is>
          <t>EGY|2022|oen|die</t>
        </is>
      </c>
      <c r="B83" s="14" t="inlineStr">
        <is>
          <t>EGY</t>
        </is>
      </c>
      <c r="C83" s="14" t="n">
        <v>2022</v>
      </c>
      <c r="D83" s="14" t="inlineStr">
        <is>
          <t>oen</t>
        </is>
      </c>
      <c r="E83" s="14" t="inlineStr">
        <is>
          <t>die</t>
        </is>
      </c>
      <c r="F83" s="14" t="n">
        <v>0</v>
      </c>
      <c r="G83" s="14" t="inlineStr">
        <is>
          <t>Kernel v1.6 Data_Energy = legacy Mitigation rows 583-602</t>
        </is>
      </c>
    </row>
    <row r="84">
      <c r="A84" s="14" t="inlineStr">
        <is>
          <t>EGY|2022|rod|ker</t>
        </is>
      </c>
      <c r="B84" s="14" t="inlineStr">
        <is>
          <t>EGY</t>
        </is>
      </c>
      <c r="C84" s="14" t="n">
        <v>2022</v>
      </c>
      <c r="D84" s="14" t="inlineStr">
        <is>
          <t>rod</t>
        </is>
      </c>
      <c r="E84" s="14" t="inlineStr">
        <is>
          <t>ker</t>
        </is>
      </c>
      <c r="F84" s="14" t="n">
        <v>0</v>
      </c>
      <c r="G84" s="14" t="inlineStr">
        <is>
          <t>Kernel v1.6 Data_Energy = legacy Mitigation rows 583-602</t>
        </is>
      </c>
    </row>
    <row r="85">
      <c r="A85" s="14" t="inlineStr">
        <is>
          <t>EGY|2022|ral|ker</t>
        </is>
      </c>
      <c r="B85" s="14" t="inlineStr">
        <is>
          <t>EGY</t>
        </is>
      </c>
      <c r="C85" s="14" t="n">
        <v>2022</v>
      </c>
      <c r="D85" s="14" t="inlineStr">
        <is>
          <t>ral</t>
        </is>
      </c>
      <c r="E85" s="14" t="inlineStr">
        <is>
          <t>ker</t>
        </is>
      </c>
      <c r="F85" s="14" t="n">
        <v>0</v>
      </c>
      <c r="G85" s="14" t="inlineStr">
        <is>
          <t>Kernel v1.6 Data_Energy = legacy Mitigation rows 583-602</t>
        </is>
      </c>
    </row>
    <row r="86">
      <c r="A86" s="14" t="inlineStr">
        <is>
          <t>EGY|2022|avi|ker</t>
        </is>
      </c>
      <c r="B86" s="14" t="inlineStr">
        <is>
          <t>EGY</t>
        </is>
      </c>
      <c r="C86" s="14" t="n">
        <v>2022</v>
      </c>
      <c r="D86" s="14" t="inlineStr">
        <is>
          <t>avi</t>
        </is>
      </c>
      <c r="E86" s="14" t="inlineStr">
        <is>
          <t>ker</t>
        </is>
      </c>
      <c r="F86" s="14" t="n">
        <v>0</v>
      </c>
      <c r="G86" s="14" t="inlineStr">
        <is>
          <t>Kernel v1.6 Data_Energy = legacy Mitigation rows 583-602</t>
        </is>
      </c>
    </row>
    <row r="87">
      <c r="A87" s="14" t="inlineStr">
        <is>
          <t>EGY|2022|nav|ker</t>
        </is>
      </c>
      <c r="B87" s="14" t="inlineStr">
        <is>
          <t>EGY</t>
        </is>
      </c>
      <c r="C87" s="14" t="n">
        <v>2022</v>
      </c>
      <c r="D87" s="14" t="inlineStr">
        <is>
          <t>nav</t>
        </is>
      </c>
      <c r="E87" s="14" t="inlineStr">
        <is>
          <t>ker</t>
        </is>
      </c>
      <c r="F87" s="14" t="n">
        <v>0</v>
      </c>
      <c r="G87" s="14" t="inlineStr">
        <is>
          <t>Kernel v1.6 Data_Energy = legacy Mitigation rows 583-602</t>
        </is>
      </c>
    </row>
    <row r="88">
      <c r="A88" s="14" t="inlineStr">
        <is>
          <t>EGY|2022|res|ker</t>
        </is>
      </c>
      <c r="B88" s="14" t="inlineStr">
        <is>
          <t>EGY</t>
        </is>
      </c>
      <c r="C88" s="14" t="n">
        <v>2022</v>
      </c>
      <c r="D88" s="14" t="inlineStr">
        <is>
          <t>res</t>
        </is>
      </c>
      <c r="E88" s="14" t="inlineStr">
        <is>
          <t>ker</t>
        </is>
      </c>
      <c r="F88" s="14" t="n">
        <v>2.76900540691173</v>
      </c>
      <c r="G88" s="14" t="inlineStr">
        <is>
          <t>Kernel v1.6 Data_Energy = legacy Mitigation rows 583-602</t>
        </is>
      </c>
    </row>
    <row r="89">
      <c r="A89" s="14" t="inlineStr">
        <is>
          <t>EGY|2022|foo|ker</t>
        </is>
      </c>
      <c r="B89" s="14" t="inlineStr">
        <is>
          <t>EGY</t>
        </is>
      </c>
      <c r="C89" s="14" t="n">
        <v>2022</v>
      </c>
      <c r="D89" s="14" t="inlineStr">
        <is>
          <t>foo</t>
        </is>
      </c>
      <c r="E89" s="14" t="inlineStr">
        <is>
          <t>ker</t>
        </is>
      </c>
      <c r="F89" s="14" t="n">
        <v>0.344296494287579</v>
      </c>
      <c r="G89" s="14" t="inlineStr">
        <is>
          <t>Kernel v1.6 Data_Energy = legacy Mitigation rows 583-602</t>
        </is>
      </c>
    </row>
    <row r="90">
      <c r="A90" s="14" t="inlineStr">
        <is>
          <t>EGY|2022|srv|ker</t>
        </is>
      </c>
      <c r="B90" s="14" t="inlineStr">
        <is>
          <t>EGY</t>
        </is>
      </c>
      <c r="C90" s="14" t="n">
        <v>2022</v>
      </c>
      <c r="D90" s="14" t="inlineStr">
        <is>
          <t>srv</t>
        </is>
      </c>
      <c r="E90" s="14" t="inlineStr">
        <is>
          <t>ker</t>
        </is>
      </c>
      <c r="F90" s="14" t="n">
        <v>0</v>
      </c>
      <c r="G90" s="14" t="inlineStr">
        <is>
          <t>Kernel v1.6 Data_Energy = legacy Mitigation rows 583-602</t>
        </is>
      </c>
    </row>
    <row r="91">
      <c r="A91" s="14" t="inlineStr">
        <is>
          <t>EGY|2022|mch|ker</t>
        </is>
      </c>
      <c r="B91" s="14" t="inlineStr">
        <is>
          <t>EGY</t>
        </is>
      </c>
      <c r="C91" s="14" t="n">
        <v>2022</v>
      </c>
      <c r="D91" s="14" t="inlineStr">
        <is>
          <t>mch</t>
        </is>
      </c>
      <c r="E91" s="14" t="inlineStr">
        <is>
          <t>ker</t>
        </is>
      </c>
      <c r="F91" s="14" t="n">
        <v>0</v>
      </c>
      <c r="G91" s="14" t="inlineStr">
        <is>
          <t>Kernel v1.6 Data_Energy = legacy Mitigation rows 583-602</t>
        </is>
      </c>
    </row>
    <row r="92">
      <c r="A92" s="14" t="inlineStr">
        <is>
          <t>EGY|2022|irn|ker</t>
        </is>
      </c>
      <c r="B92" s="14" t="inlineStr">
        <is>
          <t>EGY</t>
        </is>
      </c>
      <c r="C92" s="14" t="n">
        <v>2022</v>
      </c>
      <c r="D92" s="14" t="inlineStr">
        <is>
          <t>irn</t>
        </is>
      </c>
      <c r="E92" s="14" t="inlineStr">
        <is>
          <t>ker</t>
        </is>
      </c>
      <c r="F92" s="14" t="n">
        <v>0</v>
      </c>
      <c r="G92" s="14" t="inlineStr">
        <is>
          <t>Kernel v1.6 Data_Energy = legacy Mitigation rows 583-602</t>
        </is>
      </c>
    </row>
    <row r="93">
      <c r="A93" s="14" t="inlineStr">
        <is>
          <t>EGY|2022|nfm|ker</t>
        </is>
      </c>
      <c r="B93" s="14" t="inlineStr">
        <is>
          <t>EGY</t>
        </is>
      </c>
      <c r="C93" s="14" t="n">
        <v>2022</v>
      </c>
      <c r="D93" s="14" t="inlineStr">
        <is>
          <t>nfm</t>
        </is>
      </c>
      <c r="E93" s="14" t="inlineStr">
        <is>
          <t>ker</t>
        </is>
      </c>
      <c r="F93" s="14" t="n">
        <v>0</v>
      </c>
      <c r="G93" s="14" t="inlineStr">
        <is>
          <t>Kernel v1.6 Data_Energy = legacy Mitigation rows 583-602</t>
        </is>
      </c>
    </row>
    <row r="94">
      <c r="A94" s="14" t="inlineStr">
        <is>
          <t>EGY|2022|mac|ker</t>
        </is>
      </c>
      <c r="B94" s="14" t="inlineStr">
        <is>
          <t>EGY</t>
        </is>
      </c>
      <c r="C94" s="14" t="n">
        <v>2022</v>
      </c>
      <c r="D94" s="14" t="inlineStr">
        <is>
          <t>mac</t>
        </is>
      </c>
      <c r="E94" s="14" t="inlineStr">
        <is>
          <t>ker</t>
        </is>
      </c>
      <c r="F94" s="14" t="n">
        <v>0</v>
      </c>
      <c r="G94" s="14" t="inlineStr">
        <is>
          <t>Kernel v1.6 Data_Energy = legacy Mitigation rows 583-602</t>
        </is>
      </c>
    </row>
    <row r="95">
      <c r="A95" s="14" t="inlineStr">
        <is>
          <t>EGY|2022|cem|ker</t>
        </is>
      </c>
      <c r="B95" s="14" t="inlineStr">
        <is>
          <t>EGY</t>
        </is>
      </c>
      <c r="C95" s="14" t="n">
        <v>2022</v>
      </c>
      <c r="D95" s="14" t="inlineStr">
        <is>
          <t>cem</t>
        </is>
      </c>
      <c r="E95" s="14" t="inlineStr">
        <is>
          <t>ker</t>
        </is>
      </c>
      <c r="F95" s="14" t="n">
        <v>0</v>
      </c>
      <c r="G95" s="14" t="inlineStr">
        <is>
          <t>Kernel v1.6 Data_Energy = legacy Mitigation rows 583-602</t>
        </is>
      </c>
    </row>
    <row r="96">
      <c r="A96" s="14" t="inlineStr">
        <is>
          <t>EGY|2022|omn|ker</t>
        </is>
      </c>
      <c r="B96" s="14" t="inlineStr">
        <is>
          <t>EGY</t>
        </is>
      </c>
      <c r="C96" s="14" t="n">
        <v>2022</v>
      </c>
      <c r="D96" s="14" t="inlineStr">
        <is>
          <t>omn</t>
        </is>
      </c>
      <c r="E96" s="14" t="inlineStr">
        <is>
          <t>ker</t>
        </is>
      </c>
      <c r="F96" s="14" t="n">
        <v>4.38372614857524</v>
      </c>
      <c r="G96" s="14" t="inlineStr">
        <is>
          <t>Kernel v1.6 Data_Energy = legacy Mitigation rows 583-602</t>
        </is>
      </c>
    </row>
    <row r="97">
      <c r="A97" s="14" t="inlineStr">
        <is>
          <t>EGY|2022|cst|ker</t>
        </is>
      </c>
      <c r="B97" s="14" t="inlineStr">
        <is>
          <t>EGY</t>
        </is>
      </c>
      <c r="C97" s="14" t="n">
        <v>2022</v>
      </c>
      <c r="D97" s="14" t="inlineStr">
        <is>
          <t>cst</t>
        </is>
      </c>
      <c r="E97" s="14" t="inlineStr">
        <is>
          <t>ker</t>
        </is>
      </c>
      <c r="F97" s="14" t="n">
        <v>0</v>
      </c>
      <c r="G97" s="14" t="inlineStr">
        <is>
          <t>Kernel v1.6 Data_Energy = legacy Mitigation rows 583-602</t>
        </is>
      </c>
    </row>
    <row r="98">
      <c r="A98" s="14" t="inlineStr">
        <is>
          <t>EGY|2022|ftr|ker</t>
        </is>
      </c>
      <c r="B98" s="14" t="inlineStr">
        <is>
          <t>EGY</t>
        </is>
      </c>
      <c r="C98" s="14" t="n">
        <v>2022</v>
      </c>
      <c r="D98" s="14" t="inlineStr">
        <is>
          <t>ftr</t>
        </is>
      </c>
      <c r="E98" s="14" t="inlineStr">
        <is>
          <t>ker</t>
        </is>
      </c>
      <c r="F98" s="14" t="n">
        <v>0</v>
      </c>
      <c r="G98" s="14" t="inlineStr">
        <is>
          <t>Kernel v1.6 Data_Energy = legacy Mitigation rows 583-602</t>
        </is>
      </c>
    </row>
    <row r="99">
      <c r="A99" s="14" t="inlineStr">
        <is>
          <t>EGY|2022|oen|ker</t>
        </is>
      </c>
      <c r="B99" s="14" t="inlineStr">
        <is>
          <t>EGY</t>
        </is>
      </c>
      <c r="C99" s="14" t="n">
        <v>2022</v>
      </c>
      <c r="D99" s="14" t="inlineStr">
        <is>
          <t>oen</t>
        </is>
      </c>
      <c r="E99" s="14" t="inlineStr">
        <is>
          <t>ker</t>
        </is>
      </c>
      <c r="F99" s="14" t="n">
        <v>0</v>
      </c>
      <c r="G99" s="14" t="inlineStr">
        <is>
          <t>Kernel v1.6 Data_Energy = legacy Mitigation rows 583-602</t>
        </is>
      </c>
    </row>
    <row r="100">
      <c r="A100" s="14" t="inlineStr">
        <is>
          <t>EGY|2022|rod|lpg</t>
        </is>
      </c>
      <c r="B100" s="14" t="inlineStr">
        <is>
          <t>EGY</t>
        </is>
      </c>
      <c r="C100" s="14" t="n">
        <v>2022</v>
      </c>
      <c r="D100" s="14" t="inlineStr">
        <is>
          <t>rod</t>
        </is>
      </c>
      <c r="E100" s="14" t="inlineStr">
        <is>
          <t>lpg</t>
        </is>
      </c>
      <c r="F100" s="14" t="n">
        <v>0</v>
      </c>
      <c r="G100" s="14" t="inlineStr">
        <is>
          <t>Kernel v1.6 Data_Energy = legacy Mitigation rows 583-602</t>
        </is>
      </c>
    </row>
    <row r="101">
      <c r="A101" s="14" t="inlineStr">
        <is>
          <t>EGY|2022|ral|lpg</t>
        </is>
      </c>
      <c r="B101" s="14" t="inlineStr">
        <is>
          <t>EGY</t>
        </is>
      </c>
      <c r="C101" s="14" t="n">
        <v>2022</v>
      </c>
      <c r="D101" s="14" t="inlineStr">
        <is>
          <t>ral</t>
        </is>
      </c>
      <c r="E101" s="14" t="inlineStr">
        <is>
          <t>lpg</t>
        </is>
      </c>
      <c r="F101" s="14" t="n">
        <v>0</v>
      </c>
      <c r="G101" s="14" t="inlineStr">
        <is>
          <t>Kernel v1.6 Data_Energy = legacy Mitigation rows 583-602</t>
        </is>
      </c>
    </row>
    <row r="102">
      <c r="A102" s="14" t="inlineStr">
        <is>
          <t>EGY|2022|avi|lpg</t>
        </is>
      </c>
      <c r="B102" s="14" t="inlineStr">
        <is>
          <t>EGY</t>
        </is>
      </c>
      <c r="C102" s="14" t="n">
        <v>2022</v>
      </c>
      <c r="D102" s="14" t="inlineStr">
        <is>
          <t>avi</t>
        </is>
      </c>
      <c r="E102" s="14" t="inlineStr">
        <is>
          <t>lpg</t>
        </is>
      </c>
      <c r="F102" s="14" t="n">
        <v>0</v>
      </c>
      <c r="G102" s="14" t="inlineStr">
        <is>
          <t>Kernel v1.6 Data_Energy = legacy Mitigation rows 583-602</t>
        </is>
      </c>
    </row>
    <row r="103">
      <c r="A103" s="14" t="inlineStr">
        <is>
          <t>EGY|2022|nav|lpg</t>
        </is>
      </c>
      <c r="B103" s="14" t="inlineStr">
        <is>
          <t>EGY</t>
        </is>
      </c>
      <c r="C103" s="14" t="n">
        <v>2022</v>
      </c>
      <c r="D103" s="14" t="inlineStr">
        <is>
          <t>nav</t>
        </is>
      </c>
      <c r="E103" s="14" t="inlineStr">
        <is>
          <t>lpg</t>
        </is>
      </c>
      <c r="F103" s="14" t="n">
        <v>0</v>
      </c>
      <c r="G103" s="14" t="inlineStr">
        <is>
          <t>Kernel v1.6 Data_Energy = legacy Mitigation rows 583-602</t>
        </is>
      </c>
    </row>
    <row r="104">
      <c r="A104" s="14" t="inlineStr">
        <is>
          <t>EGY|2022|res|lpg</t>
        </is>
      </c>
      <c r="B104" s="14" t="inlineStr">
        <is>
          <t>EGY</t>
        </is>
      </c>
      <c r="C104" s="14" t="n">
        <v>2022</v>
      </c>
      <c r="D104" s="14" t="inlineStr">
        <is>
          <t>res</t>
        </is>
      </c>
      <c r="E104" s="14" t="inlineStr">
        <is>
          <t>lpg</t>
        </is>
      </c>
      <c r="F104" s="14" t="n">
        <v>3182.2559195641</v>
      </c>
      <c r="G104" s="14" t="inlineStr">
        <is>
          <t>Kernel v1.6 Data_Energy = legacy Mitigation rows 583-602</t>
        </is>
      </c>
    </row>
    <row r="105">
      <c r="A105" s="14" t="inlineStr">
        <is>
          <t>EGY|2022|foo|lpg</t>
        </is>
      </c>
      <c r="B105" s="14" t="inlineStr">
        <is>
          <t>EGY</t>
        </is>
      </c>
      <c r="C105" s="14" t="n">
        <v>2022</v>
      </c>
      <c r="D105" s="14" t="inlineStr">
        <is>
          <t>foo</t>
        </is>
      </c>
      <c r="E105" s="14" t="inlineStr">
        <is>
          <t>lpg</t>
        </is>
      </c>
      <c r="F105" s="14" t="n">
        <v>0</v>
      </c>
      <c r="G105" s="14" t="inlineStr">
        <is>
          <t>Kernel v1.6 Data_Energy = legacy Mitigation rows 583-602</t>
        </is>
      </c>
    </row>
    <row r="106">
      <c r="A106" s="14" t="inlineStr">
        <is>
          <t>EGY|2022|srv|lpg</t>
        </is>
      </c>
      <c r="B106" s="14" t="inlineStr">
        <is>
          <t>EGY</t>
        </is>
      </c>
      <c r="C106" s="14" t="n">
        <v>2022</v>
      </c>
      <c r="D106" s="14" t="inlineStr">
        <is>
          <t>srv</t>
        </is>
      </c>
      <c r="E106" s="14" t="inlineStr">
        <is>
          <t>lpg</t>
        </is>
      </c>
      <c r="F106" s="14" t="n">
        <v>0</v>
      </c>
      <c r="G106" s="14" t="inlineStr">
        <is>
          <t>Kernel v1.6 Data_Energy = legacy Mitigation rows 583-602</t>
        </is>
      </c>
    </row>
    <row r="107">
      <c r="A107" s="14" t="inlineStr">
        <is>
          <t>EGY|2022|mch|lpg</t>
        </is>
      </c>
      <c r="B107" s="14" t="inlineStr">
        <is>
          <t>EGY</t>
        </is>
      </c>
      <c r="C107" s="14" t="n">
        <v>2022</v>
      </c>
      <c r="D107" s="14" t="inlineStr">
        <is>
          <t>mch</t>
        </is>
      </c>
      <c r="E107" s="14" t="inlineStr">
        <is>
          <t>lpg</t>
        </is>
      </c>
      <c r="F107" s="14" t="n">
        <v>0</v>
      </c>
      <c r="G107" s="14" t="inlineStr">
        <is>
          <t>Kernel v1.6 Data_Energy = legacy Mitigation rows 583-602</t>
        </is>
      </c>
    </row>
    <row r="108">
      <c r="A108" s="14" t="inlineStr">
        <is>
          <t>EGY|2022|irn|lpg</t>
        </is>
      </c>
      <c r="B108" s="14" t="inlineStr">
        <is>
          <t>EGY</t>
        </is>
      </c>
      <c r="C108" s="14" t="n">
        <v>2022</v>
      </c>
      <c r="D108" s="14" t="inlineStr">
        <is>
          <t>irn</t>
        </is>
      </c>
      <c r="E108" s="14" t="inlineStr">
        <is>
          <t>lpg</t>
        </is>
      </c>
      <c r="F108" s="14" t="n">
        <v>0</v>
      </c>
      <c r="G108" s="14" t="inlineStr">
        <is>
          <t>Kernel v1.6 Data_Energy = legacy Mitigation rows 583-602</t>
        </is>
      </c>
    </row>
    <row r="109">
      <c r="A109" s="14" t="inlineStr">
        <is>
          <t>EGY|2022|nfm|lpg</t>
        </is>
      </c>
      <c r="B109" s="14" t="inlineStr">
        <is>
          <t>EGY</t>
        </is>
      </c>
      <c r="C109" s="14" t="n">
        <v>2022</v>
      </c>
      <c r="D109" s="14" t="inlineStr">
        <is>
          <t>nfm</t>
        </is>
      </c>
      <c r="E109" s="14" t="inlineStr">
        <is>
          <t>lpg</t>
        </is>
      </c>
      <c r="F109" s="14" t="n">
        <v>0</v>
      </c>
      <c r="G109" s="14" t="inlineStr">
        <is>
          <t>Kernel v1.6 Data_Energy = legacy Mitigation rows 583-602</t>
        </is>
      </c>
    </row>
    <row r="110">
      <c r="A110" s="14" t="inlineStr">
        <is>
          <t>EGY|2022|mac|lpg</t>
        </is>
      </c>
      <c r="B110" s="14" t="inlineStr">
        <is>
          <t>EGY</t>
        </is>
      </c>
      <c r="C110" s="14" t="n">
        <v>2022</v>
      </c>
      <c r="D110" s="14" t="inlineStr">
        <is>
          <t>mac</t>
        </is>
      </c>
      <c r="E110" s="14" t="inlineStr">
        <is>
          <t>lpg</t>
        </is>
      </c>
      <c r="F110" s="14" t="n">
        <v>0</v>
      </c>
      <c r="G110" s="14" t="inlineStr">
        <is>
          <t>Kernel v1.6 Data_Energy = legacy Mitigation rows 583-602</t>
        </is>
      </c>
    </row>
    <row r="111">
      <c r="A111" s="14" t="inlineStr">
        <is>
          <t>EGY|2022|cem|lpg</t>
        </is>
      </c>
      <c r="B111" s="14" t="inlineStr">
        <is>
          <t>EGY</t>
        </is>
      </c>
      <c r="C111" s="14" t="n">
        <v>2022</v>
      </c>
      <c r="D111" s="14" t="inlineStr">
        <is>
          <t>cem</t>
        </is>
      </c>
      <c r="E111" s="14" t="inlineStr">
        <is>
          <t>lpg</t>
        </is>
      </c>
      <c r="F111" s="14" t="n">
        <v>0</v>
      </c>
      <c r="G111" s="14" t="inlineStr">
        <is>
          <t>Kernel v1.6 Data_Energy = legacy Mitigation rows 583-602</t>
        </is>
      </c>
    </row>
    <row r="112">
      <c r="A112" s="14" t="inlineStr">
        <is>
          <t>EGY|2022|omn|lpg</t>
        </is>
      </c>
      <c r="B112" s="14" t="inlineStr">
        <is>
          <t>EGY</t>
        </is>
      </c>
      <c r="C112" s="14" t="n">
        <v>2022</v>
      </c>
      <c r="D112" s="14" t="inlineStr">
        <is>
          <t>omn</t>
        </is>
      </c>
      <c r="E112" s="14" t="inlineStr">
        <is>
          <t>lpg</t>
        </is>
      </c>
      <c r="F112" s="14" t="n">
        <v>17.4320828436885</v>
      </c>
      <c r="G112" s="14" t="inlineStr">
        <is>
          <t>Kernel v1.6 Data_Energy = legacy Mitigation rows 583-602</t>
        </is>
      </c>
    </row>
    <row r="113">
      <c r="A113" s="14" t="inlineStr">
        <is>
          <t>EGY|2022|cst|lpg</t>
        </is>
      </c>
      <c r="B113" s="14" t="inlineStr">
        <is>
          <t>EGY</t>
        </is>
      </c>
      <c r="C113" s="14" t="n">
        <v>2022</v>
      </c>
      <c r="D113" s="14" t="inlineStr">
        <is>
          <t>cst</t>
        </is>
      </c>
      <c r="E113" s="14" t="inlineStr">
        <is>
          <t>lpg</t>
        </is>
      </c>
      <c r="F113" s="14" t="n">
        <v>0</v>
      </c>
      <c r="G113" s="14" t="inlineStr">
        <is>
          <t>Kernel v1.6 Data_Energy = legacy Mitigation rows 583-602</t>
        </is>
      </c>
    </row>
    <row r="114">
      <c r="A114" s="14" t="inlineStr">
        <is>
          <t>EGY|2022|ftr|lpg</t>
        </is>
      </c>
      <c r="B114" s="14" t="inlineStr">
        <is>
          <t>EGY</t>
        </is>
      </c>
      <c r="C114" s="14" t="n">
        <v>2022</v>
      </c>
      <c r="D114" s="14" t="inlineStr">
        <is>
          <t>ftr</t>
        </is>
      </c>
      <c r="E114" s="14" t="inlineStr">
        <is>
          <t>lpg</t>
        </is>
      </c>
      <c r="F114" s="14" t="n">
        <v>2465.7623559049</v>
      </c>
      <c r="G114" s="14" t="inlineStr">
        <is>
          <t>Kernel v1.6 Data_Energy = legacy Mitigation rows 583-602</t>
        </is>
      </c>
    </row>
    <row r="115">
      <c r="A115" s="14" t="inlineStr">
        <is>
          <t>EGY|2022|oen|lpg</t>
        </is>
      </c>
      <c r="B115" s="14" t="inlineStr">
        <is>
          <t>EGY</t>
        </is>
      </c>
      <c r="C115" s="14" t="n">
        <v>2022</v>
      </c>
      <c r="D115" s="14" t="inlineStr">
        <is>
          <t>oen</t>
        </is>
      </c>
      <c r="E115" s="14" t="inlineStr">
        <is>
          <t>lpg</t>
        </is>
      </c>
      <c r="F115" s="14" t="n">
        <v>0</v>
      </c>
      <c r="G115" s="14" t="inlineStr">
        <is>
          <t>Kernel v1.6 Data_Energy = legacy Mitigation rows 583-602</t>
        </is>
      </c>
    </row>
    <row r="116">
      <c r="A116" s="14" t="inlineStr">
        <is>
          <t>EGY|2022|rod|bio</t>
        </is>
      </c>
      <c r="B116" s="14" t="inlineStr">
        <is>
          <t>EGY</t>
        </is>
      </c>
      <c r="C116" s="14" t="n">
        <v>2022</v>
      </c>
      <c r="D116" s="14" t="inlineStr">
        <is>
          <t>rod</t>
        </is>
      </c>
      <c r="E116" s="14" t="inlineStr">
        <is>
          <t>bio</t>
        </is>
      </c>
      <c r="F116" s="14" t="n">
        <v>0</v>
      </c>
      <c r="G116" s="14" t="inlineStr">
        <is>
          <t>Kernel v1.6 Data_Energy = legacy Mitigation rows 583-602</t>
        </is>
      </c>
    </row>
    <row r="117">
      <c r="A117" s="14" t="inlineStr">
        <is>
          <t>EGY|2022|ral|bio</t>
        </is>
      </c>
      <c r="B117" s="14" t="inlineStr">
        <is>
          <t>EGY</t>
        </is>
      </c>
      <c r="C117" s="14" t="n">
        <v>2022</v>
      </c>
      <c r="D117" s="14" t="inlineStr">
        <is>
          <t>ral</t>
        </is>
      </c>
      <c r="E117" s="14" t="inlineStr">
        <is>
          <t>bio</t>
        </is>
      </c>
      <c r="F117" s="14" t="n">
        <v>0</v>
      </c>
      <c r="G117" s="14" t="inlineStr">
        <is>
          <t>Kernel v1.6 Data_Energy = legacy Mitigation rows 583-602</t>
        </is>
      </c>
    </row>
    <row r="118">
      <c r="A118" s="14" t="inlineStr">
        <is>
          <t>EGY|2022|avi|bio</t>
        </is>
      </c>
      <c r="B118" s="14" t="inlineStr">
        <is>
          <t>EGY</t>
        </is>
      </c>
      <c r="C118" s="14" t="n">
        <v>2022</v>
      </c>
      <c r="D118" s="14" t="inlineStr">
        <is>
          <t>avi</t>
        </is>
      </c>
      <c r="E118" s="14" t="inlineStr">
        <is>
          <t>bio</t>
        </is>
      </c>
      <c r="F118" s="14" t="n">
        <v>0</v>
      </c>
      <c r="G118" s="14" t="inlineStr">
        <is>
          <t>Kernel v1.6 Data_Energy = legacy Mitigation rows 583-602</t>
        </is>
      </c>
    </row>
    <row r="119">
      <c r="A119" s="14" t="inlineStr">
        <is>
          <t>EGY|2022|nav|bio</t>
        </is>
      </c>
      <c r="B119" s="14" t="inlineStr">
        <is>
          <t>EGY</t>
        </is>
      </c>
      <c r="C119" s="14" t="n">
        <v>2022</v>
      </c>
      <c r="D119" s="14" t="inlineStr">
        <is>
          <t>nav</t>
        </is>
      </c>
      <c r="E119" s="14" t="inlineStr">
        <is>
          <t>bio</t>
        </is>
      </c>
      <c r="F119" s="14" t="n">
        <v>0</v>
      </c>
      <c r="G119" s="14" t="inlineStr">
        <is>
          <t>Kernel v1.6 Data_Energy = legacy Mitigation rows 583-602</t>
        </is>
      </c>
    </row>
    <row r="120">
      <c r="A120" s="14" t="inlineStr">
        <is>
          <t>EGY|2022|res|bio</t>
        </is>
      </c>
      <c r="B120" s="14" t="inlineStr">
        <is>
          <t>EGY</t>
        </is>
      </c>
      <c r="C120" s="14" t="n">
        <v>2022</v>
      </c>
      <c r="D120" s="14" t="inlineStr">
        <is>
          <t>res</t>
        </is>
      </c>
      <c r="E120" s="14" t="inlineStr">
        <is>
          <t>bio</t>
        </is>
      </c>
      <c r="F120" s="14" t="n">
        <v>1579.83074407564</v>
      </c>
      <c r="G120" s="14" t="inlineStr">
        <is>
          <t>Kernel v1.6 Data_Energy = legacy Mitigation rows 583-602</t>
        </is>
      </c>
    </row>
    <row r="121">
      <c r="A121" s="14" t="inlineStr">
        <is>
          <t>EGY|2022|foo|bio</t>
        </is>
      </c>
      <c r="B121" s="14" t="inlineStr">
        <is>
          <t>EGY</t>
        </is>
      </c>
      <c r="C121" s="14" t="n">
        <v>2022</v>
      </c>
      <c r="D121" s="14" t="inlineStr">
        <is>
          <t>foo</t>
        </is>
      </c>
      <c r="E121" s="14" t="inlineStr">
        <is>
          <t>bio</t>
        </is>
      </c>
      <c r="F121" s="14" t="n">
        <v>0</v>
      </c>
      <c r="G121" s="14" t="inlineStr">
        <is>
          <t>Kernel v1.6 Data_Energy = legacy Mitigation rows 583-602</t>
        </is>
      </c>
    </row>
    <row r="122">
      <c r="A122" s="14" t="inlineStr">
        <is>
          <t>EGY|2022|srv|bio</t>
        </is>
      </c>
      <c r="B122" s="14" t="inlineStr">
        <is>
          <t>EGY</t>
        </is>
      </c>
      <c r="C122" s="14" t="n">
        <v>2022</v>
      </c>
      <c r="D122" s="14" t="inlineStr">
        <is>
          <t>srv</t>
        </is>
      </c>
      <c r="E122" s="14" t="inlineStr">
        <is>
          <t>bio</t>
        </is>
      </c>
      <c r="F122" s="14" t="n">
        <v>0</v>
      </c>
      <c r="G122" s="14" t="inlineStr">
        <is>
          <t>Kernel v1.6 Data_Energy = legacy Mitigation rows 583-602</t>
        </is>
      </c>
    </row>
    <row r="123">
      <c r="A123" s="14" t="inlineStr">
        <is>
          <t>EGY|2022|mch|bio</t>
        </is>
      </c>
      <c r="B123" s="14" t="inlineStr">
        <is>
          <t>EGY</t>
        </is>
      </c>
      <c r="C123" s="14" t="n">
        <v>2022</v>
      </c>
      <c r="D123" s="14" t="inlineStr">
        <is>
          <t>mch</t>
        </is>
      </c>
      <c r="E123" s="14" t="inlineStr">
        <is>
          <t>bio</t>
        </is>
      </c>
      <c r="F123" s="14" t="n">
        <v>0</v>
      </c>
      <c r="G123" s="14" t="inlineStr">
        <is>
          <t>Kernel v1.6 Data_Energy = legacy Mitigation rows 583-602</t>
        </is>
      </c>
    </row>
    <row r="124">
      <c r="A124" s="14" t="inlineStr">
        <is>
          <t>EGY|2022|irn|bio</t>
        </is>
      </c>
      <c r="B124" s="14" t="inlineStr">
        <is>
          <t>EGY</t>
        </is>
      </c>
      <c r="C124" s="14" t="n">
        <v>2022</v>
      </c>
      <c r="D124" s="14" t="inlineStr">
        <is>
          <t>irn</t>
        </is>
      </c>
      <c r="E124" s="14" t="inlineStr">
        <is>
          <t>bio</t>
        </is>
      </c>
      <c r="F124" s="14" t="n">
        <v>0</v>
      </c>
      <c r="G124" s="14" t="inlineStr">
        <is>
          <t>Kernel v1.6 Data_Energy = legacy Mitigation rows 583-602</t>
        </is>
      </c>
    </row>
    <row r="125">
      <c r="A125" s="14" t="inlineStr">
        <is>
          <t>EGY|2022|nfm|bio</t>
        </is>
      </c>
      <c r="B125" s="14" t="inlineStr">
        <is>
          <t>EGY</t>
        </is>
      </c>
      <c r="C125" s="14" t="n">
        <v>2022</v>
      </c>
      <c r="D125" s="14" t="inlineStr">
        <is>
          <t>nfm</t>
        </is>
      </c>
      <c r="E125" s="14" t="inlineStr">
        <is>
          <t>bio</t>
        </is>
      </c>
      <c r="F125" s="14" t="n">
        <v>0</v>
      </c>
      <c r="G125" s="14" t="inlineStr">
        <is>
          <t>Kernel v1.6 Data_Energy = legacy Mitigation rows 583-602</t>
        </is>
      </c>
    </row>
    <row r="126">
      <c r="A126" s="14" t="inlineStr">
        <is>
          <t>EGY|2022|mac|bio</t>
        </is>
      </c>
      <c r="B126" s="14" t="inlineStr">
        <is>
          <t>EGY</t>
        </is>
      </c>
      <c r="C126" s="14" t="n">
        <v>2022</v>
      </c>
      <c r="D126" s="14" t="inlineStr">
        <is>
          <t>mac</t>
        </is>
      </c>
      <c r="E126" s="14" t="inlineStr">
        <is>
          <t>bio</t>
        </is>
      </c>
      <c r="F126" s="14" t="n">
        <v>0</v>
      </c>
      <c r="G126" s="14" t="inlineStr">
        <is>
          <t>Kernel v1.6 Data_Energy = legacy Mitigation rows 583-602</t>
        </is>
      </c>
    </row>
    <row r="127">
      <c r="A127" s="14" t="inlineStr">
        <is>
          <t>EGY|2022|cem|bio</t>
        </is>
      </c>
      <c r="B127" s="14" t="inlineStr">
        <is>
          <t>EGY</t>
        </is>
      </c>
      <c r="C127" s="14" t="n">
        <v>2022</v>
      </c>
      <c r="D127" s="14" t="inlineStr">
        <is>
          <t>cem</t>
        </is>
      </c>
      <c r="E127" s="14" t="inlineStr">
        <is>
          <t>bio</t>
        </is>
      </c>
      <c r="F127" s="14" t="n">
        <v>0</v>
      </c>
      <c r="G127" s="14" t="inlineStr">
        <is>
          <t>Kernel v1.6 Data_Energy = legacy Mitigation rows 583-602</t>
        </is>
      </c>
    </row>
    <row r="128">
      <c r="A128" s="14" t="inlineStr">
        <is>
          <t>EGY|2022|omn|bio</t>
        </is>
      </c>
      <c r="B128" s="14" t="inlineStr">
        <is>
          <t>EGY</t>
        </is>
      </c>
      <c r="C128" s="14" t="n">
        <v>2022</v>
      </c>
      <c r="D128" s="14" t="inlineStr">
        <is>
          <t>omn</t>
        </is>
      </c>
      <c r="E128" s="14" t="inlineStr">
        <is>
          <t>bio</t>
        </is>
      </c>
      <c r="F128" s="14" t="n">
        <v>0</v>
      </c>
      <c r="G128" s="14" t="inlineStr">
        <is>
          <t>Kernel v1.6 Data_Energy = legacy Mitigation rows 583-602</t>
        </is>
      </c>
    </row>
    <row r="129">
      <c r="A129" s="14" t="inlineStr">
        <is>
          <t>EGY|2022|cst|bio</t>
        </is>
      </c>
      <c r="B129" s="14" t="inlineStr">
        <is>
          <t>EGY</t>
        </is>
      </c>
      <c r="C129" s="14" t="n">
        <v>2022</v>
      </c>
      <c r="D129" s="14" t="inlineStr">
        <is>
          <t>cst</t>
        </is>
      </c>
      <c r="E129" s="14" t="inlineStr">
        <is>
          <t>bio</t>
        </is>
      </c>
      <c r="F129" s="14" t="n">
        <v>0</v>
      </c>
      <c r="G129" s="14" t="inlineStr">
        <is>
          <t>Kernel v1.6 Data_Energy = legacy Mitigation rows 583-602</t>
        </is>
      </c>
    </row>
    <row r="130">
      <c r="A130" s="14" t="inlineStr">
        <is>
          <t>EGY|2022|ftr|bio</t>
        </is>
      </c>
      <c r="B130" s="14" t="inlineStr">
        <is>
          <t>EGY</t>
        </is>
      </c>
      <c r="C130" s="14" t="n">
        <v>2022</v>
      </c>
      <c r="D130" s="14" t="inlineStr">
        <is>
          <t>ftr</t>
        </is>
      </c>
      <c r="E130" s="14" t="inlineStr">
        <is>
          <t>bio</t>
        </is>
      </c>
      <c r="F130" s="14" t="n">
        <v>0</v>
      </c>
      <c r="G130" s="14" t="inlineStr">
        <is>
          <t>Kernel v1.6 Data_Energy = legacy Mitigation rows 583-602</t>
        </is>
      </c>
    </row>
    <row r="131">
      <c r="A131" s="14" t="inlineStr">
        <is>
          <t>EGY|2022|oen|bio</t>
        </is>
      </c>
      <c r="B131" s="14" t="inlineStr">
        <is>
          <t>EGY</t>
        </is>
      </c>
      <c r="C131" s="14" t="n">
        <v>2022</v>
      </c>
      <c r="D131" s="14" t="inlineStr">
        <is>
          <t>oen</t>
        </is>
      </c>
      <c r="E131" s="14" t="inlineStr">
        <is>
          <t>bio</t>
        </is>
      </c>
      <c r="F131" s="14" t="n">
        <v>0</v>
      </c>
      <c r="G131" s="14" t="inlineStr">
        <is>
          <t>Kernel v1.6 Data_Energy = legacy Mitigation rows 583-602</t>
        </is>
      </c>
    </row>
  </sheetData>
  <pageMargins left="0.75" right="0.75" top="1" bottom="1" header="0.5" footer="0.5"/>
</worksheet>
</file>

<file path=xl/worksheets/sheet24.xml><?xml version="1.0" encoding="utf-8"?>
<worksheet xmlns="http://schemas.openxmlformats.org/spreadsheetml/2006/main">
  <sheetPr codeName="Sheet24">
    <outlinePr summaryBelow="1" summaryRight="1"/>
    <pageSetUpPr/>
  </sheetPr>
  <dimension ref="A1:AD6"/>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 2446 via kernel v1.6 Data_Macro (Egypt only so far); US PCPI and NGDP_D: legacy Mitigation rows 455 and 452</t>
        </is>
      </c>
    </row>
    <row r="2">
      <c r="A2" s="2" t="inlineStr">
        <is>
          <t>Macro series by country (real GDP growth; US CPI and GDP deflator for real terms)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row>
    <row r="3">
      <c r="A3" s="83" t="inlineStr">
        <is>
          <t>key</t>
        </is>
      </c>
      <c r="B3" s="83" t="inlineStr">
        <is>
          <t>country</t>
        </is>
      </c>
      <c r="C3" s="83" t="inlineStr">
        <is>
          <t>variable</t>
        </is>
      </c>
      <c r="D3" s="83" t="inlineStr">
        <is>
          <t>unit</t>
        </is>
      </c>
      <c r="E3" s="83" t="inlineStr">
        <is>
          <t>source</t>
        </is>
      </c>
      <c r="F3" s="83" t="n">
        <v>2021</v>
      </c>
      <c r="G3" s="83" t="n">
        <v>2022</v>
      </c>
      <c r="H3" s="83" t="n">
        <v>2023</v>
      </c>
      <c r="I3" s="83" t="n">
        <v>2024</v>
      </c>
      <c r="J3" s="83" t="n">
        <v>2025</v>
      </c>
      <c r="K3" s="83" t="n">
        <v>2026</v>
      </c>
      <c r="L3" s="83" t="n">
        <v>2027</v>
      </c>
      <c r="M3" s="83" t="n">
        <v>2028</v>
      </c>
      <c r="N3" s="83" t="n">
        <v>2029</v>
      </c>
      <c r="O3" s="83" t="n">
        <v>2030</v>
      </c>
      <c r="P3" s="83" t="n">
        <v>2031</v>
      </c>
      <c r="Q3" s="83" t="n">
        <v>2032</v>
      </c>
      <c r="R3" s="83" t="n">
        <v>2033</v>
      </c>
      <c r="S3" s="83" t="n">
        <v>2034</v>
      </c>
      <c r="T3" s="83" t="n">
        <v>2035</v>
      </c>
      <c r="U3" s="83" t="n">
        <v>2036</v>
      </c>
      <c r="V3" s="83" t="n">
        <v>2037</v>
      </c>
      <c r="W3" s="83" t="n">
        <v>2038</v>
      </c>
      <c r="X3" s="83" t="n">
        <v>2039</v>
      </c>
      <c r="Y3" s="83" t="n">
        <v>2040</v>
      </c>
      <c r="Z3" s="83" t="n">
        <v>2041</v>
      </c>
      <c r="AA3" s="83" t="n">
        <v>2042</v>
      </c>
      <c r="AB3" s="83" t="n">
        <v>2043</v>
      </c>
      <c r="AC3" s="83" t="n">
        <v>2044</v>
      </c>
      <c r="AD3" s="83" t="n">
        <v>2045</v>
      </c>
    </row>
    <row r="4">
      <c r="A4" s="14" t="inlineStr">
        <is>
          <t>EGY|gdp_growth</t>
        </is>
      </c>
      <c r="B4" s="14" t="inlineStr">
        <is>
          <t>EGY</t>
        </is>
      </c>
      <c r="C4" s="14" t="inlineStr">
        <is>
          <t>Real GDP growth</t>
        </is>
      </c>
      <c r="D4" s="14" t="inlineStr">
        <is>
          <t>fraction</t>
        </is>
      </c>
      <c r="E4" s="14" t="inlineStr">
        <is>
          <t>Kernel v1.6 Data_Macro egy.mit.gdp.pos.pct.1 = legacy Mitigation row 2446</t>
        </is>
      </c>
      <c r="F4" s="14" t="n"/>
      <c r="G4" s="14" t="n">
        <v>0.06651345</v>
      </c>
      <c r="H4" s="14" t="n">
        <v>0.03760281</v>
      </c>
      <c r="I4" s="14" t="n">
        <v>0.02398801</v>
      </c>
      <c r="J4" s="14" t="n">
        <v>0.04392387</v>
      </c>
      <c r="K4" s="14" t="n">
        <v>0.04239706</v>
      </c>
      <c r="L4" s="14" t="n">
        <v>0.04829218</v>
      </c>
      <c r="M4" s="14" t="n">
        <v>0.05535316</v>
      </c>
      <c r="N4" s="14" t="n">
        <v>0.05226606</v>
      </c>
      <c r="O4" s="14" t="n">
        <v>0.04841877</v>
      </c>
      <c r="P4" s="14" t="n">
        <v>0.04788736</v>
      </c>
      <c r="Q4" s="14" t="n">
        <v>0.04735595</v>
      </c>
      <c r="R4" s="14" t="n">
        <v>0.04682454</v>
      </c>
      <c r="S4" s="14" t="n">
        <v>0.04629313</v>
      </c>
      <c r="T4" s="14" t="n">
        <v>0.04576172</v>
      </c>
      <c r="U4" s="14" t="n">
        <v>0.04523031</v>
      </c>
      <c r="V4" s="14" t="n">
        <v>0.0446989</v>
      </c>
      <c r="W4" s="14" t="n">
        <v>0.04416749</v>
      </c>
      <c r="X4" s="14" t="n">
        <v>0.04363608</v>
      </c>
      <c r="Y4" s="14" t="n">
        <v>0.04310467</v>
      </c>
      <c r="Z4" s="14" t="n">
        <v>0.04257326</v>
      </c>
      <c r="AA4" s="14" t="n"/>
      <c r="AB4" s="14" t="n"/>
      <c r="AC4" s="14" t="n"/>
      <c r="AD4" s="14" t="n"/>
    </row>
    <row r="5">
      <c r="A5" s="14" t="inlineStr">
        <is>
          <t>USA|pcpi</t>
        </is>
      </c>
      <c r="B5" s="14" t="inlineStr">
        <is>
          <t>USA</t>
        </is>
      </c>
      <c r="C5" s="14" t="inlineStr">
        <is>
          <t>US consumer price index (PCPI)</t>
        </is>
      </c>
      <c r="D5" s="14" t="inlineStr">
        <is>
          <t>index</t>
        </is>
      </c>
      <c r="E5" s="14" t="inlineStr">
        <is>
          <t>legacy Mitigation row 455</t>
        </is>
      </c>
      <c r="F5" s="14" t="n">
        <v>270.973417</v>
      </c>
      <c r="G5" s="14" t="n">
        <v>292.626417</v>
      </c>
      <c r="H5" s="14" t="n">
        <v>304.703</v>
      </c>
      <c r="I5" s="14" t="n">
        <v>313.698167</v>
      </c>
      <c r="J5" s="14" t="n">
        <v>322.260577</v>
      </c>
      <c r="K5" s="14" t="n">
        <v>332.662858</v>
      </c>
      <c r="L5" s="14" t="n">
        <v>339.786246</v>
      </c>
      <c r="M5" s="14" t="n">
        <v>347.206017</v>
      </c>
      <c r="N5" s="14" t="n">
        <v>354.802685</v>
      </c>
      <c r="O5" s="14" t="n">
        <v>362.57224</v>
      </c>
      <c r="P5" s="14" t="n">
        <v>370.49152</v>
      </c>
      <c r="Q5" s="14" t="n">
        <v>370.49152</v>
      </c>
      <c r="R5" s="14" t="n">
        <v>370.49152</v>
      </c>
      <c r="S5" s="14" t="n">
        <v>370.49152</v>
      </c>
      <c r="T5" s="14" t="n">
        <v>370.49152</v>
      </c>
      <c r="U5" s="14" t="n">
        <v>370.49152</v>
      </c>
      <c r="V5" s="14" t="n">
        <v>370.49152</v>
      </c>
      <c r="W5" s="14" t="n">
        <v>370.49152</v>
      </c>
      <c r="X5" s="14" t="n">
        <v>370.49152</v>
      </c>
      <c r="Y5" s="14" t="n">
        <v>370.49152</v>
      </c>
      <c r="Z5" s="14" t="n">
        <v>370.49152</v>
      </c>
      <c r="AA5" s="14" t="n"/>
      <c r="AB5" s="14" t="n"/>
      <c r="AC5" s="14" t="n"/>
      <c r="AD5" s="14" t="n"/>
    </row>
    <row r="6">
      <c r="A6" s="14" t="inlineStr">
        <is>
          <t>USA|ngdp_d</t>
        </is>
      </c>
      <c r="B6" s="14" t="inlineStr">
        <is>
          <t>USA</t>
        </is>
      </c>
      <c r="C6" s="14" t="inlineStr">
        <is>
          <t>US GDP deflator (NGDP_D)</t>
        </is>
      </c>
      <c r="D6" s="14" t="inlineStr">
        <is>
          <t>index</t>
        </is>
      </c>
      <c r="E6" s="14" t="inlineStr">
        <is>
          <t>legacy Mitigation row 452</t>
        </is>
      </c>
      <c r="F6" s="14" t="n">
        <v>110.185941</v>
      </c>
      <c r="G6" s="14" t="n">
        <v>118.022821</v>
      </c>
      <c r="H6" s="14" t="n">
        <v>122.389705</v>
      </c>
      <c r="I6" s="14" t="n">
        <v>125.428084</v>
      </c>
      <c r="J6" s="14" t="n">
        <v>128.986186</v>
      </c>
      <c r="K6" s="14" t="n">
        <v>132.681448</v>
      </c>
      <c r="L6" s="14" t="n">
        <v>135.595003</v>
      </c>
      <c r="M6" s="14" t="n">
        <v>137.820646</v>
      </c>
      <c r="N6" s="14" t="n">
        <v>140.271247</v>
      </c>
      <c r="O6" s="14" t="n">
        <v>142.848769</v>
      </c>
      <c r="P6" s="14" t="n">
        <v>145.42762</v>
      </c>
      <c r="Q6" s="14" t="n">
        <v>148.006471</v>
      </c>
      <c r="R6" s="14" t="n">
        <v>150.585322</v>
      </c>
      <c r="S6" s="14" t="n">
        <v>153.1641729999999</v>
      </c>
      <c r="T6" s="14" t="n">
        <v>155.7430239999999</v>
      </c>
      <c r="U6" s="14" t="n">
        <v>158.3218749999999</v>
      </c>
      <c r="V6" s="14" t="n">
        <v>160.9007259999999</v>
      </c>
      <c r="W6" s="14" t="n">
        <v>163.4795769999999</v>
      </c>
      <c r="X6" s="14" t="n">
        <v>166.0584279999999</v>
      </c>
      <c r="Y6" s="14" t="n">
        <v>168.6372789999999</v>
      </c>
      <c r="Z6" s="14" t="n">
        <v>171.2161299999999</v>
      </c>
      <c r="AA6" s="14" t="n"/>
      <c r="AB6" s="14" t="n"/>
      <c r="AC6" s="14" t="n"/>
      <c r="AD6" s="14" t="n"/>
    </row>
  </sheetData>
  <pageMargins left="0.75" right="0.75" top="1" bottom="1" header="0.5" footer="0.5"/>
</worksheet>
</file>

<file path=xl/worksheets/sheet25.xml><?xml version="1.0" encoding="utf-8"?>
<worksheet xmlns="http://schemas.openxmlformats.org/spreadsheetml/2006/main">
  <sheetPr codeName="Sheet25">
    <outlinePr summaryBelow="1" summaryRight="1"/>
    <pageSetUpPr/>
  </sheetPr>
  <dimension ref="A1:F3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980-1009 (Egypt only so far; no inventory adjustment)</t>
        </is>
      </c>
    </row>
    <row r="2">
      <c r="A2" s="2" t="inlineStr">
        <is>
          <t>Fuel CO2 emission factors, IIASA (tCO2/GJ), by country, fuel and EF sector</t>
        </is>
      </c>
      <c r="B2" s="3" t="n"/>
      <c r="C2" s="3" t="n"/>
      <c r="D2" s="3" t="n"/>
      <c r="E2" s="3" t="n"/>
      <c r="F2" s="3" t="n"/>
    </row>
    <row r="3">
      <c r="A3" s="83" t="inlineStr">
        <is>
          <t>key</t>
        </is>
      </c>
      <c r="B3" s="83" t="inlineStr">
        <is>
          <t>country</t>
        </is>
      </c>
      <c r="C3" s="83" t="inlineStr">
        <is>
          <t>fuel</t>
        </is>
      </c>
      <c r="D3" s="83" t="inlineStr">
        <is>
          <t>ef_sector</t>
        </is>
      </c>
      <c r="E3" s="83" t="inlineStr">
        <is>
          <t>ef_tco2_per_gj</t>
        </is>
      </c>
      <c r="F3" s="83" t="inlineStr">
        <is>
          <t>source</t>
        </is>
      </c>
    </row>
    <row r="4">
      <c r="A4" s="14" t="inlineStr">
        <is>
          <t>EGY|coa|pow</t>
        </is>
      </c>
      <c r="B4" s="14" t="inlineStr">
        <is>
          <t>EGY</t>
        </is>
      </c>
      <c r="C4" s="14" t="inlineStr">
        <is>
          <t>coa</t>
        </is>
      </c>
      <c r="D4" s="14" t="inlineStr">
        <is>
          <t>pow</t>
        </is>
      </c>
      <c r="E4" s="14" t="n">
        <v>0.094308</v>
      </c>
      <c r="F4" s="14" t="inlineStr">
        <is>
          <t>Mitigation row 980 (egy.mit.ef.coa.pow)</t>
        </is>
      </c>
    </row>
    <row r="5">
      <c r="A5" s="14" t="inlineStr">
        <is>
          <t>EGY|nga|pow</t>
        </is>
      </c>
      <c r="B5" s="14" t="inlineStr">
        <is>
          <t>EGY</t>
        </is>
      </c>
      <c r="C5" s="14" t="inlineStr">
        <is>
          <t>nga</t>
        </is>
      </c>
      <c r="D5" s="14" t="inlineStr">
        <is>
          <t>pow</t>
        </is>
      </c>
      <c r="E5" s="14" t="n">
        <v>0.0558</v>
      </c>
      <c r="F5" s="14" t="inlineStr">
        <is>
          <t>Mitigation row 981 (egy.mit.ef.nga.pow)</t>
        </is>
      </c>
    </row>
    <row r="6">
      <c r="A6" s="14" t="inlineStr">
        <is>
          <t>EGY|gso|pow</t>
        </is>
      </c>
      <c r="B6" s="14" t="inlineStr">
        <is>
          <t>EGY</t>
        </is>
      </c>
      <c r="C6" s="14" t="inlineStr">
        <is>
          <t>gso</t>
        </is>
      </c>
      <c r="D6" s="14" t="inlineStr">
        <is>
          <t>pow</t>
        </is>
      </c>
      <c r="E6" s="14" t="n">
        <v>0.06859999999999999</v>
      </c>
      <c r="F6" s="14" t="inlineStr">
        <is>
          <t>Mitigation row 982 (egy.mit.ef.gso.pow)</t>
        </is>
      </c>
    </row>
    <row r="7">
      <c r="A7" s="14" t="inlineStr">
        <is>
          <t>EGY|die|pow</t>
        </is>
      </c>
      <c r="B7" s="14" t="inlineStr">
        <is>
          <t>EGY</t>
        </is>
      </c>
      <c r="C7" s="14" t="inlineStr">
        <is>
          <t>die</t>
        </is>
      </c>
      <c r="D7" s="14" t="inlineStr">
        <is>
          <t>pow</t>
        </is>
      </c>
      <c r="E7" s="14" t="n">
        <v>0.07340000000000001</v>
      </c>
      <c r="F7" s="14" t="inlineStr">
        <is>
          <t>Mitigation row 983 (egy.mit.ef.die.pow)</t>
        </is>
      </c>
    </row>
    <row r="8">
      <c r="A8" s="14" t="inlineStr">
        <is>
          <t>EGY|lpg|pow</t>
        </is>
      </c>
      <c r="B8" s="14" t="inlineStr">
        <is>
          <t>EGY</t>
        </is>
      </c>
      <c r="C8" s="14" t="inlineStr">
        <is>
          <t>lpg</t>
        </is>
      </c>
      <c r="D8" s="14" t="inlineStr">
        <is>
          <t>pow</t>
        </is>
      </c>
      <c r="E8" s="14" t="n">
        <v>0.06859999999999999</v>
      </c>
      <c r="F8" s="14" t="inlineStr">
        <is>
          <t>Mitigation row 984 (egy.mit.ef.lpg.pow)</t>
        </is>
      </c>
    </row>
    <row r="9">
      <c r="A9" s="14" t="inlineStr">
        <is>
          <t>EGY|ker|pow</t>
        </is>
      </c>
      <c r="B9" s="14" t="inlineStr">
        <is>
          <t>EGY</t>
        </is>
      </c>
      <c r="C9" s="14" t="inlineStr">
        <is>
          <t>ker</t>
        </is>
      </c>
      <c r="D9" s="14" t="inlineStr">
        <is>
          <t>pow</t>
        </is>
      </c>
      <c r="E9" s="14" t="n">
        <v>0.068555</v>
      </c>
      <c r="F9" s="14" t="inlineStr">
        <is>
          <t>Mitigation row 985 (egy.mit.ef.ker.pow)</t>
        </is>
      </c>
    </row>
    <row r="10">
      <c r="A10" s="14" t="inlineStr">
        <is>
          <t>EGY|oop|pow</t>
        </is>
      </c>
      <c r="B10" s="14" t="inlineStr">
        <is>
          <t>EGY</t>
        </is>
      </c>
      <c r="C10" s="14" t="inlineStr">
        <is>
          <t>oop</t>
        </is>
      </c>
      <c r="D10" s="14" t="inlineStr">
        <is>
          <t>pow</t>
        </is>
      </c>
      <c r="E10" s="14" t="n">
        <v>0.0767</v>
      </c>
      <c r="F10" s="14" t="inlineStr">
        <is>
          <t>Mitigation row 986 (egy.mit.ef.oop.pow)</t>
        </is>
      </c>
    </row>
    <row r="11">
      <c r="A11" s="14" t="inlineStr">
        <is>
          <t>EGY|coa|rod</t>
        </is>
      </c>
      <c r="B11" s="14" t="inlineStr">
        <is>
          <t>EGY</t>
        </is>
      </c>
      <c r="C11" s="14" t="inlineStr">
        <is>
          <t>coa</t>
        </is>
      </c>
      <c r="D11" s="14" t="inlineStr">
        <is>
          <t>rod</t>
        </is>
      </c>
      <c r="E11" s="14" t="n">
        <v>0.094308</v>
      </c>
      <c r="F11" s="14" t="inlineStr">
        <is>
          <t>Mitigation row 987 (egy.mit.ef.coa.rod)</t>
        </is>
      </c>
    </row>
    <row r="12">
      <c r="A12" s="14" t="inlineStr">
        <is>
          <t>EGY|nga|rod</t>
        </is>
      </c>
      <c r="B12" s="14" t="inlineStr">
        <is>
          <t>EGY</t>
        </is>
      </c>
      <c r="C12" s="14" t="inlineStr">
        <is>
          <t>nga</t>
        </is>
      </c>
      <c r="D12" s="14" t="inlineStr">
        <is>
          <t>rod</t>
        </is>
      </c>
      <c r="E12" s="14" t="n">
        <v>0.0558</v>
      </c>
      <c r="F12" s="14" t="inlineStr">
        <is>
          <t>Mitigation row 988 (egy.mit.ef.nga.rod)</t>
        </is>
      </c>
    </row>
    <row r="13">
      <c r="A13" s="14" t="inlineStr">
        <is>
          <t>EGY|gso|rod</t>
        </is>
      </c>
      <c r="B13" s="14" t="inlineStr">
        <is>
          <t>EGY</t>
        </is>
      </c>
      <c r="C13" s="14" t="inlineStr">
        <is>
          <t>gso</t>
        </is>
      </c>
      <c r="D13" s="14" t="inlineStr">
        <is>
          <t>rod</t>
        </is>
      </c>
      <c r="E13" s="14" t="n">
        <v>0.066178</v>
      </c>
      <c r="F13" s="14" t="inlineStr">
        <is>
          <t>Mitigation row 989 (egy.mit.ef.gso.rod)</t>
        </is>
      </c>
    </row>
    <row r="14">
      <c r="A14" s="14" t="inlineStr">
        <is>
          <t>EGY|die|rod</t>
        </is>
      </c>
      <c r="B14" s="14" t="inlineStr">
        <is>
          <t>EGY</t>
        </is>
      </c>
      <c r="C14" s="14" t="inlineStr">
        <is>
          <t>die</t>
        </is>
      </c>
      <c r="D14" s="14" t="inlineStr">
        <is>
          <t>rod</t>
        </is>
      </c>
      <c r="E14" s="14" t="n">
        <v>0.070809</v>
      </c>
      <c r="F14" s="14" t="inlineStr">
        <is>
          <t>Mitigation row 990 (egy.mit.ef.die.rod)</t>
        </is>
      </c>
    </row>
    <row r="15">
      <c r="A15" s="14" t="inlineStr">
        <is>
          <t>EGY|lpg|rod</t>
        </is>
      </c>
      <c r="B15" s="14" t="inlineStr">
        <is>
          <t>EGY</t>
        </is>
      </c>
      <c r="C15" s="14" t="inlineStr">
        <is>
          <t>lpg</t>
        </is>
      </c>
      <c r="D15" s="14" t="inlineStr">
        <is>
          <t>rod</t>
        </is>
      </c>
      <c r="E15" s="14" t="n">
        <v>0.06859999999999999</v>
      </c>
      <c r="F15" s="14" t="inlineStr">
        <is>
          <t>Mitigation row 991 (egy.mit.ef.lpg.rod)</t>
        </is>
      </c>
    </row>
    <row r="16">
      <c r="A16" s="14" t="inlineStr">
        <is>
          <t>EGY|ker|rod</t>
        </is>
      </c>
      <c r="B16" s="14" t="inlineStr">
        <is>
          <t>EGY</t>
        </is>
      </c>
      <c r="C16" s="14" t="inlineStr">
        <is>
          <t>ker</t>
        </is>
      </c>
      <c r="D16" s="14" t="inlineStr">
        <is>
          <t>rod</t>
        </is>
      </c>
      <c r="E16" s="14" t="n">
        <v>0.068555</v>
      </c>
      <c r="F16" s="14" t="inlineStr">
        <is>
          <t>Mitigation row 992 (egy.mit.ef.ker.rod)</t>
        </is>
      </c>
    </row>
    <row r="17">
      <c r="A17" s="14" t="inlineStr">
        <is>
          <t>EGY|oop|rod</t>
        </is>
      </c>
      <c r="B17" s="14" t="inlineStr">
        <is>
          <t>EGY</t>
        </is>
      </c>
      <c r="C17" s="14" t="inlineStr">
        <is>
          <t>oop</t>
        </is>
      </c>
      <c r="D17" s="14" t="inlineStr">
        <is>
          <t>rod</t>
        </is>
      </c>
      <c r="E17" s="14" t="n">
        <v>0.070809</v>
      </c>
      <c r="F17" s="14" t="inlineStr">
        <is>
          <t>Mitigation row 993 (egy.mit.ef.oop.rod)</t>
        </is>
      </c>
    </row>
    <row r="18">
      <c r="A18" s="14" t="inlineStr">
        <is>
          <t>EGY|coa|res</t>
        </is>
      </c>
      <c r="B18" s="14" t="inlineStr">
        <is>
          <t>EGY</t>
        </is>
      </c>
      <c r="C18" s="14" t="inlineStr">
        <is>
          <t>coa</t>
        </is>
      </c>
      <c r="D18" s="14" t="inlineStr">
        <is>
          <t>res</t>
        </is>
      </c>
      <c r="E18" s="14" t="n">
        <v>0.09429999999999999</v>
      </c>
      <c r="F18" s="14" t="inlineStr">
        <is>
          <t>Mitigation row 994 (egy.mit.ef.coa.res)</t>
        </is>
      </c>
    </row>
    <row r="19">
      <c r="A19" s="14" t="inlineStr">
        <is>
          <t>EGY|nga|res</t>
        </is>
      </c>
      <c r="B19" s="14" t="inlineStr">
        <is>
          <t>EGY</t>
        </is>
      </c>
      <c r="C19" s="14" t="inlineStr">
        <is>
          <t>nga</t>
        </is>
      </c>
      <c r="D19" s="14" t="inlineStr">
        <is>
          <t>res</t>
        </is>
      </c>
      <c r="E19" s="14" t="n">
        <v>0.0558</v>
      </c>
      <c r="F19" s="14" t="inlineStr">
        <is>
          <t>Mitigation row 995 (egy.mit.ef.nga.res)</t>
        </is>
      </c>
    </row>
    <row r="20">
      <c r="A20" s="14" t="inlineStr">
        <is>
          <t>EGY|gso|res</t>
        </is>
      </c>
      <c r="B20" s="14" t="inlineStr">
        <is>
          <t>EGY</t>
        </is>
      </c>
      <c r="C20" s="14" t="inlineStr">
        <is>
          <t>gso</t>
        </is>
      </c>
      <c r="D20" s="14" t="inlineStr">
        <is>
          <t>res</t>
        </is>
      </c>
      <c r="E20" s="14" t="n">
        <v>0.068555</v>
      </c>
      <c r="F20" s="14" t="inlineStr">
        <is>
          <t>Mitigation row 996 (egy.mit.ef.gso.res)</t>
        </is>
      </c>
    </row>
    <row r="21">
      <c r="A21" s="14" t="inlineStr">
        <is>
          <t>EGY|die|res</t>
        </is>
      </c>
      <c r="B21" s="14" t="inlineStr">
        <is>
          <t>EGY</t>
        </is>
      </c>
      <c r="C21" s="14" t="inlineStr">
        <is>
          <t>die</t>
        </is>
      </c>
      <c r="D21" s="14" t="inlineStr">
        <is>
          <t>res</t>
        </is>
      </c>
      <c r="E21" s="14" t="n">
        <v>0.07340000000000001</v>
      </c>
      <c r="F21" s="14" t="inlineStr">
        <is>
          <t>Mitigation row 997 (egy.mit.ef.die.res)</t>
        </is>
      </c>
    </row>
    <row r="22">
      <c r="A22" s="14" t="inlineStr">
        <is>
          <t>EGY|lpg|res</t>
        </is>
      </c>
      <c r="B22" s="14" t="inlineStr">
        <is>
          <t>EGY</t>
        </is>
      </c>
      <c r="C22" s="14" t="inlineStr">
        <is>
          <t>lpg</t>
        </is>
      </c>
      <c r="D22" s="14" t="inlineStr">
        <is>
          <t>res</t>
        </is>
      </c>
      <c r="E22" s="14" t="n">
        <v>0.06859999999999999</v>
      </c>
      <c r="F22" s="14" t="inlineStr">
        <is>
          <t>Mitigation row 998 (egy.mit.ef.lpg.res)</t>
        </is>
      </c>
    </row>
    <row r="23">
      <c r="A23" s="14" t="inlineStr">
        <is>
          <t>EGY|ker|res</t>
        </is>
      </c>
      <c r="B23" s="14" t="inlineStr">
        <is>
          <t>EGY</t>
        </is>
      </c>
      <c r="C23" s="14" t="inlineStr">
        <is>
          <t>ker</t>
        </is>
      </c>
      <c r="D23" s="14" t="inlineStr">
        <is>
          <t>res</t>
        </is>
      </c>
      <c r="E23" s="14" t="n">
        <v>0.068555</v>
      </c>
      <c r="F23" s="14" t="inlineStr">
        <is>
          <t>Mitigation row 999 (egy.mit.ef.ker.res)</t>
        </is>
      </c>
    </row>
    <row r="24">
      <c r="A24" s="14" t="inlineStr">
        <is>
          <t>EGY|oop|res</t>
        </is>
      </c>
      <c r="B24" s="14" t="inlineStr">
        <is>
          <t>EGY</t>
        </is>
      </c>
      <c r="C24" s="14" t="inlineStr">
        <is>
          <t>oop</t>
        </is>
      </c>
      <c r="D24" s="14" t="inlineStr">
        <is>
          <t>res</t>
        </is>
      </c>
      <c r="E24" s="14" t="n">
        <v>0.0767</v>
      </c>
      <c r="F24" s="14" t="inlineStr">
        <is>
          <t>Mitigation row 1000 (egy.mit.ef.oop.res)</t>
        </is>
      </c>
    </row>
    <row r="25">
      <c r="A25" s="14" t="inlineStr">
        <is>
          <t>EGY|coa|ind</t>
        </is>
      </c>
      <c r="B25" s="14" t="inlineStr">
        <is>
          <t>EGY</t>
        </is>
      </c>
      <c r="C25" s="14" t="inlineStr">
        <is>
          <t>coa</t>
        </is>
      </c>
      <c r="D25" s="14" t="inlineStr">
        <is>
          <t>ind</t>
        </is>
      </c>
      <c r="E25" s="14" t="n">
        <v>0.1</v>
      </c>
      <c r="F25" s="14" t="inlineStr">
        <is>
          <t>Mitigation row 1001 (egy.mit.ef.coa.ind)</t>
        </is>
      </c>
    </row>
    <row r="26">
      <c r="A26" s="14" t="inlineStr">
        <is>
          <t>EGY|nga|ind</t>
        </is>
      </c>
      <c r="B26" s="14" t="inlineStr">
        <is>
          <t>EGY</t>
        </is>
      </c>
      <c r="C26" s="14" t="inlineStr">
        <is>
          <t>nga</t>
        </is>
      </c>
      <c r="D26" s="14" t="inlineStr">
        <is>
          <t>ind</t>
        </is>
      </c>
      <c r="E26" s="14" t="n">
        <v>0.0558</v>
      </c>
      <c r="F26" s="14" t="inlineStr">
        <is>
          <t>Mitigation row 1002 (egy.mit.ef.nga.ind)</t>
        </is>
      </c>
    </row>
    <row r="27">
      <c r="A27" s="14" t="inlineStr">
        <is>
          <t>EGY|gso|ind</t>
        </is>
      </c>
      <c r="B27" s="14" t="inlineStr">
        <is>
          <t>EGY</t>
        </is>
      </c>
      <c r="C27" s="14" t="inlineStr">
        <is>
          <t>gso</t>
        </is>
      </c>
      <c r="D27" s="14" t="inlineStr">
        <is>
          <t>ind</t>
        </is>
      </c>
      <c r="E27" s="14" t="n">
        <v>0.06779300000000001</v>
      </c>
      <c r="F27" s="14" t="inlineStr">
        <is>
          <t>Mitigation row 1003 (egy.mit.ef.gso.ind)</t>
        </is>
      </c>
    </row>
    <row r="28">
      <c r="A28" s="14" t="inlineStr">
        <is>
          <t>EGY|die|ind</t>
        </is>
      </c>
      <c r="B28" s="14" t="inlineStr">
        <is>
          <t>EGY</t>
        </is>
      </c>
      <c r="C28" s="14" t="inlineStr">
        <is>
          <t>die</t>
        </is>
      </c>
      <c r="D28" s="14" t="inlineStr">
        <is>
          <t>ind</t>
        </is>
      </c>
      <c r="E28" s="14" t="n">
        <v>0.07184499999999999</v>
      </c>
      <c r="F28" s="14" t="inlineStr">
        <is>
          <t>Mitigation row 1004 (egy.mit.ef.die.ind)</t>
        </is>
      </c>
    </row>
    <row r="29">
      <c r="A29" s="14" t="inlineStr">
        <is>
          <t>EGY|lpg|ind</t>
        </is>
      </c>
      <c r="B29" s="14" t="inlineStr">
        <is>
          <t>EGY</t>
        </is>
      </c>
      <c r="C29" s="14" t="inlineStr">
        <is>
          <t>lpg</t>
        </is>
      </c>
      <c r="D29" s="14" t="inlineStr">
        <is>
          <t>ind</t>
        </is>
      </c>
      <c r="E29" s="14" t="n">
        <v>0.06859999999999999</v>
      </c>
      <c r="F29" s="14" t="inlineStr">
        <is>
          <t>Mitigation row 1005 (egy.mit.ef.lpg.ind)</t>
        </is>
      </c>
    </row>
    <row r="30">
      <c r="A30" s="14" t="inlineStr">
        <is>
          <t>EGY|ker|ind</t>
        </is>
      </c>
      <c r="B30" s="14" t="inlineStr">
        <is>
          <t>EGY</t>
        </is>
      </c>
      <c r="C30" s="14" t="inlineStr">
        <is>
          <t>ker</t>
        </is>
      </c>
      <c r="D30" s="14" t="inlineStr">
        <is>
          <t>ind</t>
        </is>
      </c>
      <c r="E30" s="14" t="n">
        <v>0.06779300000000001</v>
      </c>
      <c r="F30" s="14" t="inlineStr">
        <is>
          <t>Mitigation row 1006 (egy.mit.ef.ker.ind)</t>
        </is>
      </c>
    </row>
    <row r="31">
      <c r="A31" s="14" t="inlineStr">
        <is>
          <t>EGY|oop|ind</t>
        </is>
      </c>
      <c r="B31" s="14" t="inlineStr">
        <is>
          <t>EGY</t>
        </is>
      </c>
      <c r="C31" s="14" t="inlineStr">
        <is>
          <t>oop</t>
        </is>
      </c>
      <c r="D31" s="14" t="inlineStr">
        <is>
          <t>ind</t>
        </is>
      </c>
      <c r="E31" s="14" t="n">
        <v>0.0767</v>
      </c>
      <c r="F31" s="14" t="inlineStr">
        <is>
          <t>Mitigation row 1007 (egy.mit.ef.oop.ind)</t>
        </is>
      </c>
    </row>
    <row r="32">
      <c r="A32" s="14" t="inlineStr">
        <is>
          <t>EGY|bio|pow</t>
        </is>
      </c>
      <c r="B32" s="14" t="inlineStr">
        <is>
          <t>EGY</t>
        </is>
      </c>
      <c r="C32" s="14" t="inlineStr">
        <is>
          <t>bio</t>
        </is>
      </c>
      <c r="D32" s="14" t="inlineStr">
        <is>
          <t>pow</t>
        </is>
      </c>
      <c r="E32" s="14" t="n">
        <v>0</v>
      </c>
      <c r="F32" s="14" t="inlineStr">
        <is>
          <t>Mitigation row 1009 (egy.mit.ef.bio.all)</t>
        </is>
      </c>
    </row>
    <row r="33">
      <c r="A33" s="14" t="inlineStr">
        <is>
          <t>EGY|bio|rod</t>
        </is>
      </c>
      <c r="B33" s="14" t="inlineStr">
        <is>
          <t>EGY</t>
        </is>
      </c>
      <c r="C33" s="14" t="inlineStr">
        <is>
          <t>bio</t>
        </is>
      </c>
      <c r="D33" s="14" t="inlineStr">
        <is>
          <t>rod</t>
        </is>
      </c>
      <c r="E33" s="14" t="n">
        <v>0</v>
      </c>
      <c r="F33" s="14" t="inlineStr">
        <is>
          <t>Mitigation row 1009 (egy.mit.ef.bio.all)</t>
        </is>
      </c>
    </row>
    <row r="34">
      <c r="A34" s="14" t="inlineStr">
        <is>
          <t>EGY|bio|res</t>
        </is>
      </c>
      <c r="B34" s="14" t="inlineStr">
        <is>
          <t>EGY</t>
        </is>
      </c>
      <c r="C34" s="14" t="inlineStr">
        <is>
          <t>bio</t>
        </is>
      </c>
      <c r="D34" s="14" t="inlineStr">
        <is>
          <t>res</t>
        </is>
      </c>
      <c r="E34" s="14" t="n">
        <v>0</v>
      </c>
      <c r="F34" s="14" t="inlineStr">
        <is>
          <t>Mitigation row 1009 (egy.mit.ef.bio.all)</t>
        </is>
      </c>
    </row>
    <row r="35">
      <c r="A35" s="14" t="inlineStr">
        <is>
          <t>EGY|bio|ind</t>
        </is>
      </c>
      <c r="B35" s="14" t="inlineStr">
        <is>
          <t>EGY</t>
        </is>
      </c>
      <c r="C35" s="14" t="inlineStr">
        <is>
          <t>bio</t>
        </is>
      </c>
      <c r="D35" s="14" t="inlineStr">
        <is>
          <t>ind</t>
        </is>
      </c>
      <c r="E35" s="14" t="n">
        <v>0</v>
      </c>
      <c r="F35" s="14" t="inlineStr">
        <is>
          <t>Mitigation row 1009 (egy.mit.ef.bio.all)</t>
        </is>
      </c>
    </row>
  </sheetData>
  <pageMargins left="0.75" right="0.75" top="1" bottom="1" header="0.5" footer="0.5"/>
</worksheet>
</file>

<file path=xl/worksheets/sheet26.xml><?xml version="1.0" encoding="utf-8"?>
<worksheet xmlns="http://schemas.openxmlformats.org/spreadsheetml/2006/main">
  <sheetPr codeName="Sheet26">
    <outlinePr summaryBelow="1" summaryRight="1"/>
    <pageSetUpPr/>
  </sheetPr>
  <dimension ref="A1:Y12"/>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extract_power_v2_3.py: legacy Mitigation rows 2977-3350 (A2, A7, A8, A9, A14-A16, B2, B4, D1, D2)</t>
        </is>
      </c>
    </row>
    <row r="2">
      <c r="A2" s="2" t="inlineStr">
        <is>
          <t>Power generation types: costs, lifetime, efficiency, capacity factor, WACC (legacy Egypt values)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row>
    <row r="3">
      <c r="A3" s="83" t="inlineStr">
        <is>
          <t>code</t>
        </is>
      </c>
      <c r="B3" s="83" t="inlineStr">
        <is>
          <t>name</t>
        </is>
      </c>
      <c r="C3" s="83" t="inlineStr">
        <is>
          <t>cax0_usd_per_kw</t>
        </is>
      </c>
      <c r="D3" s="83" t="inlineStr">
        <is>
          <t>life_years</t>
        </is>
      </c>
      <c r="E3" s="83" t="inlineStr">
        <is>
          <t>efficiency</t>
        </is>
      </c>
      <c r="F3" s="83" t="inlineStr">
        <is>
          <t>capacity_factor</t>
        </is>
      </c>
      <c r="G3" s="83" t="inlineStr">
        <is>
          <t>wacc</t>
        </is>
      </c>
      <c r="H3" s="83" t="inlineStr">
        <is>
          <t>dtc_usd_per_kw</t>
        </is>
      </c>
      <c r="I3" s="83" t="inlineStr">
        <is>
          <t>tcx_usd_per_kw</t>
        </is>
      </c>
      <c r="J3" s="83" t="inlineStr">
        <is>
          <t>opf_usd_per_kwh</t>
        </is>
      </c>
      <c r="K3" s="83" t="inlineStr">
        <is>
          <t>vop_usd_per_kwh</t>
        </is>
      </c>
      <c r="L3" s="83" t="inlineStr">
        <is>
          <t>fuel_fixed_usd_per_kwh</t>
        </is>
      </c>
      <c r="M3" s="83" t="inlineStr">
        <is>
          <t>rns_usd_per_kwh</t>
        </is>
      </c>
      <c r="N3" s="83" t="inlineStr">
        <is>
          <t>price_code</t>
        </is>
      </c>
      <c r="O3" s="83" t="inlineStr">
        <is>
          <t>vre</t>
        </is>
      </c>
      <c r="P3" s="83" t="inlineStr">
        <is>
          <t>vre_share</t>
        </is>
      </c>
      <c r="Q3" s="83" t="inlineStr">
        <is>
          <t>cap0_mw</t>
        </is>
      </c>
      <c r="R3" s="83" t="inlineStr">
        <is>
          <t>gen0_mwy</t>
        </is>
      </c>
      <c r="S3" s="83" t="inlineStr">
        <is>
          <t>retire_rate</t>
        </is>
      </c>
      <c r="T3" s="83" t="inlineStr">
        <is>
          <t>invest_permitted</t>
        </is>
      </c>
      <c r="U3" s="83" t="inlineStr">
        <is>
          <t>invest_start</t>
        </is>
      </c>
      <c r="V3" s="83" t="inlineStr">
        <is>
          <t>scaleup_rate</t>
        </is>
      </c>
      <c r="W3" s="83" t="inlineStr">
        <is>
          <t>dispatch</t>
        </is>
      </c>
      <c r="X3" s="83" t="inlineStr">
        <is>
          <t>planned_retirement</t>
        </is>
      </c>
      <c r="Y3" s="83" t="inlineStr">
        <is>
          <t>source</t>
        </is>
      </c>
    </row>
    <row r="4">
      <c r="A4" s="14" t="inlineStr">
        <is>
          <t>coa</t>
        </is>
      </c>
      <c r="B4" s="14" t="inlineStr">
        <is>
          <t>Coal</t>
        </is>
      </c>
      <c r="C4" s="14" t="n">
        <v>2000</v>
      </c>
      <c r="D4" s="14" t="n">
        <v>30</v>
      </c>
      <c r="E4" s="14" t="n">
        <v>0.343544952131212</v>
      </c>
      <c r="F4" s="14" t="n">
        <v>0.535</v>
      </c>
      <c r="G4" s="14" t="n">
        <v>0.1241264299829745</v>
      </c>
      <c r="H4" s="14" t="n">
        <v>100</v>
      </c>
      <c r="I4" s="14" t="n">
        <v>597.4741012144968</v>
      </c>
      <c r="J4" s="14" t="n">
        <v>0.01280245807194981</v>
      </c>
      <c r="K4" s="14" t="n">
        <v>0.003</v>
      </c>
      <c r="L4" s="14" t="n">
        <v>0</v>
      </c>
      <c r="M4" s="14" t="n">
        <v>0</v>
      </c>
      <c r="N4" s="14" t="inlineStr">
        <is>
          <t>coa.pow</t>
        </is>
      </c>
      <c r="O4" s="14" t="n">
        <v>0</v>
      </c>
      <c r="P4" s="14" t="n">
        <v>0</v>
      </c>
      <c r="Q4" s="14" t="n">
        <v>0</v>
      </c>
      <c r="R4" s="14" t="n">
        <v>0</v>
      </c>
      <c r="S4" s="14" t="n">
        <v>0.03333333333333333</v>
      </c>
      <c r="T4" s="14" t="inlineStr">
        <is>
          <t>No</t>
        </is>
      </c>
      <c r="U4" s="14" t="n">
        <v>2022</v>
      </c>
      <c r="V4" s="14" t="n">
        <v>0.05</v>
      </c>
      <c r="W4" s="14" t="inlineStr">
        <is>
          <t>cg</t>
        </is>
      </c>
      <c r="X4" s="14" t="inlineStr">
        <is>
          <t>No</t>
        </is>
      </c>
      <c r="Y4" s="14" t="inlineStr">
        <is>
          <t>CPAT 1.0pre_456_NoPropData.xlsb, Mitigation row 2977-3350 (A2, A8, A9, A14-A16, B2, B4, D1, D2)</t>
        </is>
      </c>
    </row>
    <row r="5">
      <c r="A5" s="14" t="inlineStr">
        <is>
          <t>nga</t>
        </is>
      </c>
      <c r="B5" s="14" t="inlineStr">
        <is>
          <t>Natural gas</t>
        </is>
      </c>
      <c r="C5" s="14" t="n">
        <v>1304.195</v>
      </c>
      <c r="D5" s="14" t="n">
        <v>30</v>
      </c>
      <c r="E5" s="14" t="n">
        <v>0.4749916586348295</v>
      </c>
      <c r="F5" s="14" t="n">
        <v>0.5659999999999999</v>
      </c>
      <c r="G5" s="14" t="n">
        <v>0.1241264299829745</v>
      </c>
      <c r="H5" s="14" t="n">
        <v>13.04195</v>
      </c>
      <c r="I5" s="14" t="n">
        <v>382.1802368310642</v>
      </c>
      <c r="J5" s="14" t="n">
        <v>0.006464091517821127</v>
      </c>
      <c r="K5" s="14" t="n">
        <v>0.004</v>
      </c>
      <c r="L5" s="14" t="n">
        <v>0</v>
      </c>
      <c r="M5" s="14" t="n">
        <v>0</v>
      </c>
      <c r="N5" s="14" t="inlineStr">
        <is>
          <t>nga.pow</t>
        </is>
      </c>
      <c r="O5" s="14" t="n">
        <v>0</v>
      </c>
      <c r="P5" s="14" t="n">
        <v>0</v>
      </c>
      <c r="Q5" s="14" t="n">
        <v>35367.07613950677</v>
      </c>
      <c r="R5" s="14" t="n">
        <v>20017.76509496083</v>
      </c>
      <c r="S5" s="14" t="n">
        <v>0.03333333333333333</v>
      </c>
      <c r="T5" s="14" t="inlineStr">
        <is>
          <t>Yes</t>
        </is>
      </c>
      <c r="U5" s="14" t="n">
        <v>2022</v>
      </c>
      <c r="V5" s="14" t="n">
        <v>0.05</v>
      </c>
      <c r="W5" s="14" t="inlineStr">
        <is>
          <t>cg</t>
        </is>
      </c>
      <c r="X5" s="14" t="inlineStr">
        <is>
          <t>No</t>
        </is>
      </c>
      <c r="Y5" s="14" t="inlineStr">
        <is>
          <t>CPAT 1.0pre_456_NoPropData.xlsb, Mitigation row 2977-3350 (A2, A8, A9, A14-A16, B2, B4, D1, D2)</t>
        </is>
      </c>
    </row>
    <row r="6">
      <c r="A6" s="14" t="inlineStr">
        <is>
          <t>oop</t>
        </is>
      </c>
      <c r="B6" s="14" t="inlineStr">
        <is>
          <t>Oil</t>
        </is>
      </c>
      <c r="C6" s="14" t="n">
        <v>1345.379975458794</v>
      </c>
      <c r="D6" s="14" t="n">
        <v>35</v>
      </c>
      <c r="E6" s="14" t="n">
        <v>0.321469517575981</v>
      </c>
      <c r="F6" s="14" t="n">
        <v>0.134</v>
      </c>
      <c r="G6" s="14" t="n">
        <v>0.1241264299829745</v>
      </c>
      <c r="H6" s="14" t="n">
        <v>33.02104674720874</v>
      </c>
      <c r="I6" s="14" t="n">
        <v>447.8785505834556</v>
      </c>
      <c r="J6" s="14" t="n">
        <v>0.02004106181421659</v>
      </c>
      <c r="K6" s="14" t="n">
        <v>0.005169999999999999</v>
      </c>
      <c r="L6" s="14" t="n">
        <v>0</v>
      </c>
      <c r="M6" s="14" t="n">
        <v>0</v>
      </c>
      <c r="N6" s="14" t="inlineStr">
        <is>
          <t>oop.all</t>
        </is>
      </c>
      <c r="O6" s="14" t="n">
        <v>0</v>
      </c>
      <c r="P6" s="14" t="n">
        <v>0</v>
      </c>
      <c r="Q6" s="14" t="n">
        <v>15765.43627992147</v>
      </c>
      <c r="R6" s="14" t="n">
        <v>2112.568461509476</v>
      </c>
      <c r="S6" s="14" t="n">
        <v>0.02857142857142857</v>
      </c>
      <c r="T6" s="14" t="inlineStr">
        <is>
          <t>Yes</t>
        </is>
      </c>
      <c r="U6" s="14" t="n">
        <v>2022</v>
      </c>
      <c r="V6" s="14" t="n">
        <v>0.02</v>
      </c>
      <c r="W6" s="14" t="inlineStr">
        <is>
          <t>fixed</t>
        </is>
      </c>
      <c r="X6" s="14" t="inlineStr">
        <is>
          <t>No</t>
        </is>
      </c>
      <c r="Y6" s="14" t="inlineStr">
        <is>
          <t>CPAT 1.0pre_456_NoPropData.xlsb, Mitigation row 2977-3350 (A2, A8, A9, A14-A16, B2, B4, D1, D2)</t>
        </is>
      </c>
    </row>
    <row r="7">
      <c r="A7" s="14" t="inlineStr">
        <is>
          <t>nuc</t>
        </is>
      </c>
      <c r="B7" s="14" t="inlineStr">
        <is>
          <t>Nuclear</t>
        </is>
      </c>
      <c r="C7" s="14" t="n">
        <v>4000</v>
      </c>
      <c r="D7" s="14" t="n">
        <v>50</v>
      </c>
      <c r="E7" s="14" t="n">
        <v>0.38</v>
      </c>
      <c r="F7" s="14" t="n">
        <v>0.9340000000000001</v>
      </c>
      <c r="G7" s="14" t="n">
        <v>0.1267264299829745</v>
      </c>
      <c r="H7" s="14" t="n">
        <v>532.1336950049961</v>
      </c>
      <c r="I7" s="14" t="n">
        <v>449.4263412886647</v>
      </c>
      <c r="J7" s="14" t="n">
        <v>0.01833328444457481</v>
      </c>
      <c r="K7" s="14" t="n">
        <v>0.004</v>
      </c>
      <c r="L7" s="14" t="n">
        <v>0.004</v>
      </c>
      <c r="M7" s="14" t="n">
        <v>0</v>
      </c>
      <c r="N7" s="14" t="n"/>
      <c r="O7" s="14" t="n">
        <v>0</v>
      </c>
      <c r="P7" s="14" t="n">
        <v>0</v>
      </c>
      <c r="Q7" s="14" t="n">
        <v>0</v>
      </c>
      <c r="R7" s="14" t="n">
        <v>0</v>
      </c>
      <c r="S7" s="14" t="n">
        <v>0.02</v>
      </c>
      <c r="T7" s="14" t="inlineStr">
        <is>
          <t>No</t>
        </is>
      </c>
      <c r="U7" s="14" t="n">
        <v>2030</v>
      </c>
      <c r="V7" s="14" t="n">
        <v>0.02</v>
      </c>
      <c r="W7" s="14" t="inlineStr">
        <is>
          <t>fixed</t>
        </is>
      </c>
      <c r="X7" s="14" t="inlineStr">
        <is>
          <t>No</t>
        </is>
      </c>
      <c r="Y7" s="14" t="inlineStr">
        <is>
          <t>CPAT 1.0pre_456_NoPropData.xlsb, Mitigation row 2977-3350 (A2, A8, A9, A14-A16, B2, B4, D1, D2)</t>
        </is>
      </c>
    </row>
    <row r="8">
      <c r="A8" s="14" t="inlineStr">
        <is>
          <t>wnd</t>
        </is>
      </c>
      <c r="B8" s="14" t="inlineStr">
        <is>
          <t>Wind</t>
        </is>
      </c>
      <c r="C8" s="14" t="n">
        <v>1300</v>
      </c>
      <c r="D8" s="14" t="n">
        <v>30</v>
      </c>
      <c r="E8" s="14" t="n">
        <v>1.00385478358926</v>
      </c>
      <c r="F8" s="14" t="n">
        <v>0.3</v>
      </c>
      <c r="G8" s="14" t="n">
        <v>0.1288264299829745</v>
      </c>
      <c r="H8" s="14" t="n">
        <v>39</v>
      </c>
      <c r="I8" s="14" t="n">
        <v>405.4686074780961</v>
      </c>
      <c r="J8" s="14" t="n">
        <v>0.015220700152207</v>
      </c>
      <c r="K8" s="14" t="n">
        <v>0</v>
      </c>
      <c r="L8" s="14" t="n">
        <v>0</v>
      </c>
      <c r="M8" s="14" t="n">
        <v>0</v>
      </c>
      <c r="N8" s="14" t="n"/>
      <c r="O8" s="14" t="n">
        <v>1</v>
      </c>
      <c r="P8" s="14" t="n">
        <v>1</v>
      </c>
      <c r="Q8" s="14" t="n">
        <v>2387.251437308446</v>
      </c>
      <c r="R8" s="14" t="n">
        <v>716.1754311925339</v>
      </c>
      <c r="S8" s="14" t="n">
        <v>0.03333333333333333</v>
      </c>
      <c r="T8" s="14" t="inlineStr">
        <is>
          <t>Yes</t>
        </is>
      </c>
      <c r="U8" s="14" t="n">
        <v>2022</v>
      </c>
      <c r="V8" s="14" t="n">
        <v>0.02</v>
      </c>
      <c r="W8" s="14" t="inlineStr">
        <is>
          <t>fixed</t>
        </is>
      </c>
      <c r="X8" s="14" t="inlineStr">
        <is>
          <t>No</t>
        </is>
      </c>
      <c r="Y8" s="14" t="inlineStr">
        <is>
          <t>CPAT 1.0pre_456_NoPropData.xlsb, Mitigation row 2977-3350 (A2, A8, A9, A14-A16, B2, B4, D1, D2)</t>
        </is>
      </c>
    </row>
    <row r="9">
      <c r="A9" s="14" t="inlineStr">
        <is>
          <t>sol</t>
        </is>
      </c>
      <c r="B9" s="14" t="inlineStr">
        <is>
          <t>Solar</t>
        </is>
      </c>
      <c r="C9" s="14" t="n">
        <v>1222.683</v>
      </c>
      <c r="D9" s="14" t="n">
        <v>25</v>
      </c>
      <c r="E9" s="14" t="n">
        <v>1.026187160067638</v>
      </c>
      <c r="F9" s="14" t="n">
        <v>0.18</v>
      </c>
      <c r="G9" s="14" t="n">
        <v>0.1288264299829745</v>
      </c>
      <c r="H9" s="14" t="n">
        <v>73.36098</v>
      </c>
      <c r="I9" s="14" t="n">
        <v>335.334508488261</v>
      </c>
      <c r="J9" s="14" t="n">
        <v>0.009512937595129375</v>
      </c>
      <c r="K9" s="14" t="n">
        <v>0</v>
      </c>
      <c r="L9" s="14" t="n">
        <v>0</v>
      </c>
      <c r="M9" s="14" t="n">
        <v>0</v>
      </c>
      <c r="N9" s="14" t="n"/>
      <c r="O9" s="14" t="n">
        <v>1</v>
      </c>
      <c r="P9" s="14" t="n">
        <v>1</v>
      </c>
      <c r="Q9" s="14" t="n">
        <v>3326.624250707159</v>
      </c>
      <c r="R9" s="14" t="n">
        <v>598.7923651272886</v>
      </c>
      <c r="S9" s="14" t="n">
        <v>0.04</v>
      </c>
      <c r="T9" s="14" t="inlineStr">
        <is>
          <t>Yes</t>
        </is>
      </c>
      <c r="U9" s="14" t="n">
        <v>2022</v>
      </c>
      <c r="V9" s="14" t="n">
        <v>0.02</v>
      </c>
      <c r="W9" s="14" t="inlineStr">
        <is>
          <t>fixed</t>
        </is>
      </c>
      <c r="X9" s="14" t="inlineStr">
        <is>
          <t>No</t>
        </is>
      </c>
      <c r="Y9" s="14" t="inlineStr">
        <is>
          <t>CPAT 1.0pre_456_NoPropData.xlsb, Mitigation row 2977-3350 (A2, A8, A9, A14-A16, B2, B4, D1, D2)</t>
        </is>
      </c>
    </row>
    <row r="10">
      <c r="A10" s="14" t="inlineStr">
        <is>
          <t>hyd</t>
        </is>
      </c>
      <c r="B10" s="14" t="inlineStr">
        <is>
          <t>Hydro</t>
        </is>
      </c>
      <c r="C10" s="14" t="n">
        <v>3300</v>
      </c>
      <c r="D10" s="14" t="n">
        <v>50</v>
      </c>
      <c r="E10" s="14" t="n">
        <v>0.9374616043214417</v>
      </c>
      <c r="F10" s="14" t="n">
        <v>0.4322928214347324</v>
      </c>
      <c r="G10" s="14" t="n">
        <v>0.1267264299829745</v>
      </c>
      <c r="H10" s="14" t="n">
        <v>660</v>
      </c>
      <c r="I10" s="14" t="n">
        <v>756.5284010682366</v>
      </c>
      <c r="J10" s="14" t="n">
        <v>0.01320346365719002</v>
      </c>
      <c r="K10" s="14" t="n">
        <v>0.001</v>
      </c>
      <c r="L10" s="14" t="n">
        <v>0</v>
      </c>
      <c r="M10" s="14" t="n">
        <v>0</v>
      </c>
      <c r="N10" s="14" t="n"/>
      <c r="O10" s="14" t="n">
        <v>0</v>
      </c>
      <c r="P10" s="14" t="n">
        <v>0</v>
      </c>
      <c r="Q10" s="14" t="n">
        <v>3879.796481881975</v>
      </c>
      <c r="R10" s="14" t="n">
        <v>1677.208167745307</v>
      </c>
      <c r="S10" s="14" t="n">
        <v>0</v>
      </c>
      <c r="T10" s="14" t="inlineStr">
        <is>
          <t>Yes</t>
        </is>
      </c>
      <c r="U10" s="14" t="n">
        <v>2022</v>
      </c>
      <c r="V10" s="14" t="n">
        <v>0.05</v>
      </c>
      <c r="W10" s="14" t="inlineStr">
        <is>
          <t>fixed</t>
        </is>
      </c>
      <c r="X10" s="14" t="inlineStr">
        <is>
          <t>No</t>
        </is>
      </c>
      <c r="Y10" s="14" t="inlineStr">
        <is>
          <t>CPAT 1.0pre_456_NoPropData.xlsb, Mitigation row 2977-3350 (A2, A8, A9, A14-A16, B2, B4, D1, D2)</t>
        </is>
      </c>
    </row>
    <row r="11">
      <c r="A11" s="14" t="inlineStr">
        <is>
          <t>ore</t>
        </is>
      </c>
      <c r="B11" s="14" t="inlineStr">
        <is>
          <t>Other renewables</t>
        </is>
      </c>
      <c r="C11" s="14" t="n">
        <v>3500</v>
      </c>
      <c r="D11" s="14" t="n">
        <v>30</v>
      </c>
      <c r="E11" s="14" t="n">
        <v>1</v>
      </c>
      <c r="F11" s="14" t="n">
        <v>0.7512024818652816</v>
      </c>
      <c r="G11" s="14" t="n">
        <v>0.1437264299829745</v>
      </c>
      <c r="H11" s="14" t="n">
        <v>253.78872697528</v>
      </c>
      <c r="I11" s="14" t="n">
        <v>347.6573621818364</v>
      </c>
      <c r="J11" s="14" t="n">
        <v>0.01519633572803142</v>
      </c>
      <c r="K11" s="14" t="n">
        <v>0</v>
      </c>
      <c r="L11" s="14" t="n">
        <v>0</v>
      </c>
      <c r="M11" s="14" t="n">
        <v>0</v>
      </c>
      <c r="N11" s="14" t="n"/>
      <c r="O11" s="14" t="n">
        <v>1</v>
      </c>
      <c r="P11" s="14" t="n">
        <v>1</v>
      </c>
      <c r="Q11" s="14" t="n">
        <v>0</v>
      </c>
      <c r="R11" s="14" t="n">
        <v>0</v>
      </c>
      <c r="S11" s="14" t="n">
        <v>0.03333333333333333</v>
      </c>
      <c r="T11" s="14" t="inlineStr">
        <is>
          <t>No</t>
        </is>
      </c>
      <c r="U11" s="14" t="n">
        <v>2030</v>
      </c>
      <c r="V11" s="14" t="n">
        <v>0.02</v>
      </c>
      <c r="W11" s="14" t="inlineStr">
        <is>
          <t>fixed</t>
        </is>
      </c>
      <c r="X11" s="14" t="inlineStr">
        <is>
          <t>No</t>
        </is>
      </c>
      <c r="Y11" s="14" t="inlineStr">
        <is>
          <t>CPAT 1.0pre_456_NoPropData.xlsb, Mitigation row 2977-3350 (A2, A8, A9, A14-A16, B2, B4, D1, D2)</t>
        </is>
      </c>
    </row>
    <row r="12">
      <c r="A12" s="14" t="inlineStr">
        <is>
          <t>bio</t>
        </is>
      </c>
      <c r="B12" s="14" t="inlineStr">
        <is>
          <t>Biomass</t>
        </is>
      </c>
      <c r="C12" s="14" t="n">
        <v>2000</v>
      </c>
      <c r="D12" s="14" t="n">
        <v>30</v>
      </c>
      <c r="E12" s="14" t="n">
        <v>0.2527459259259259</v>
      </c>
      <c r="F12" s="14" t="n">
        <v>0.6857673941438077</v>
      </c>
      <c r="G12" s="14" t="n">
        <v>0.1316264299829745</v>
      </c>
      <c r="H12" s="14" t="n">
        <v>145.02212970016</v>
      </c>
      <c r="I12" s="14" t="n">
        <v>267.624027358642</v>
      </c>
      <c r="J12" s="14" t="n">
        <v>0.01664635153499494</v>
      </c>
      <c r="K12" s="14" t="n">
        <v>0.003</v>
      </c>
      <c r="L12" s="14" t="n">
        <v>0</v>
      </c>
      <c r="M12" s="14" t="n">
        <v>0</v>
      </c>
      <c r="N12" s="14" t="inlineStr">
        <is>
          <t>bio.all</t>
        </is>
      </c>
      <c r="O12" s="14" t="n">
        <v>0</v>
      </c>
      <c r="P12" s="14" t="n">
        <v>0</v>
      </c>
      <c r="Q12" s="14" t="n">
        <v>0</v>
      </c>
      <c r="R12" s="14" t="n">
        <v>0</v>
      </c>
      <c r="S12" s="14" t="n">
        <v>0.03333333333333333</v>
      </c>
      <c r="T12" s="14" t="inlineStr">
        <is>
          <t>No</t>
        </is>
      </c>
      <c r="U12" s="14" t="n">
        <v>2022</v>
      </c>
      <c r="V12" s="14" t="n">
        <v>0.02</v>
      </c>
      <c r="W12" s="14" t="inlineStr">
        <is>
          <t>fixed</t>
        </is>
      </c>
      <c r="X12" s="14" t="inlineStr">
        <is>
          <t>No</t>
        </is>
      </c>
      <c r="Y12" s="14" t="inlineStr">
        <is>
          <t>CPAT 1.0pre_456_NoPropData.xlsb, Mitigation row 2977-3350 (A2, A8, A9, A14-A16, B2, B4, D1, D2)</t>
        </is>
      </c>
    </row>
  </sheetData>
  <pageMargins left="0.75" right="0.75" top="1" bottom="1" header="0.5" footer="0.5"/>
</worksheet>
</file>

<file path=xl/worksheets/sheet27.xml><?xml version="1.0" encoding="utf-8"?>
<worksheet xmlns="http://schemas.openxmlformats.org/spreadsheetml/2006/main">
  <sheetPr codeName="Sheet27">
    <outlinePr summaryBelow="1" summaryRight="1"/>
    <pageSetUpPr/>
  </sheetPr>
  <dimension ref="A1:X27"/>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extract_power_v2_3.py: legacy Mitigation rows 3038-3902</t>
        </is>
      </c>
    </row>
    <row r="2">
      <c r="A2" s="2" t="inlineStr">
        <is>
          <t>Power year paths: capex time factors, storage costs, income factor, demand shock, planned retirement by type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row>
    <row r="3">
      <c r="A3" s="83" t="inlineStr">
        <is>
          <t>key</t>
        </is>
      </c>
      <c r="B3" s="83" t="inlineStr">
        <is>
          <t>unit</t>
        </is>
      </c>
      <c r="C3" s="83" t="inlineStr">
        <is>
          <t>description</t>
        </is>
      </c>
      <c r="D3" s="83" t="inlineStr">
        <is>
          <t>legacy_row</t>
        </is>
      </c>
      <c r="E3" s="83" t="n">
        <v>2022</v>
      </c>
      <c r="F3" s="83" t="n">
        <v>2023</v>
      </c>
      <c r="G3" s="83" t="n">
        <v>2024</v>
      </c>
      <c r="H3" s="83" t="n">
        <v>2025</v>
      </c>
      <c r="I3" s="83" t="n">
        <v>2026</v>
      </c>
      <c r="J3" s="83" t="n">
        <v>2027</v>
      </c>
      <c r="K3" s="83" t="n">
        <v>2028</v>
      </c>
      <c r="L3" s="83" t="n">
        <v>2029</v>
      </c>
      <c r="M3" s="83" t="n">
        <v>2030</v>
      </c>
      <c r="N3" s="83" t="n">
        <v>2031</v>
      </c>
      <c r="O3" s="83" t="n">
        <v>2032</v>
      </c>
      <c r="P3" s="83" t="n">
        <v>2033</v>
      </c>
      <c r="Q3" s="83" t="n">
        <v>2034</v>
      </c>
      <c r="R3" s="83" t="n">
        <v>2035</v>
      </c>
      <c r="S3" s="83" t="n">
        <v>2036</v>
      </c>
      <c r="T3" s="83" t="n">
        <v>2037</v>
      </c>
      <c r="U3" s="83" t="n">
        <v>2038</v>
      </c>
      <c r="V3" s="83" t="n">
        <v>2039</v>
      </c>
      <c r="W3" s="83" t="n">
        <v>2040</v>
      </c>
      <c r="X3" s="83" t="n">
        <v>2041</v>
      </c>
    </row>
    <row r="4">
      <c r="A4" s="14" t="inlineStr">
        <is>
          <t>tcf|coa</t>
        </is>
      </c>
      <c r="B4" s="14" t="inlineStr">
        <is>
          <t>factor</t>
        </is>
      </c>
      <c r="C4" s="14" t="inlineStr">
        <is>
          <t>capex time factor (A7)</t>
        </is>
      </c>
      <c r="D4" s="14" t="n">
        <v>3038</v>
      </c>
      <c r="E4" s="14" t="n">
        <v>1</v>
      </c>
      <c r="F4" s="14" t="n">
        <v>1</v>
      </c>
      <c r="G4" s="14" t="n">
        <v>1</v>
      </c>
      <c r="H4" s="14" t="n">
        <v>1</v>
      </c>
      <c r="I4" s="14" t="n">
        <v>1</v>
      </c>
      <c r="J4" s="14" t="n">
        <v>1</v>
      </c>
      <c r="K4" s="14" t="n">
        <v>1</v>
      </c>
      <c r="L4" s="14" t="n">
        <v>1</v>
      </c>
      <c r="M4" s="14" t="n">
        <v>1</v>
      </c>
      <c r="N4" s="14" t="n">
        <v>1</v>
      </c>
      <c r="O4" s="14" t="n">
        <v>1</v>
      </c>
      <c r="P4" s="14" t="n">
        <v>1</v>
      </c>
      <c r="Q4" s="14" t="n">
        <v>1</v>
      </c>
      <c r="R4" s="14" t="n">
        <v>1</v>
      </c>
      <c r="S4" s="14" t="n">
        <v>1</v>
      </c>
      <c r="T4" s="14" t="n">
        <v>1</v>
      </c>
      <c r="U4" s="14" t="n">
        <v>1</v>
      </c>
      <c r="V4" s="14" t="n">
        <v>1</v>
      </c>
      <c r="W4" s="14" t="n">
        <v>1</v>
      </c>
      <c r="X4" s="14" t="n">
        <v>1</v>
      </c>
    </row>
    <row r="5">
      <c r="A5" s="14" t="inlineStr">
        <is>
          <t>tcf|nga</t>
        </is>
      </c>
      <c r="B5" s="14" t="inlineStr">
        <is>
          <t>factor</t>
        </is>
      </c>
      <c r="C5" s="14" t="inlineStr">
        <is>
          <t>capex time factor (A7)</t>
        </is>
      </c>
      <c r="D5" s="14" t="n">
        <v>3039</v>
      </c>
      <c r="E5" s="14" t="n">
        <v>1</v>
      </c>
      <c r="F5" s="14" t="n">
        <v>1</v>
      </c>
      <c r="G5" s="14" t="n">
        <v>1</v>
      </c>
      <c r="H5" s="14" t="n">
        <v>1</v>
      </c>
      <c r="I5" s="14" t="n">
        <v>1</v>
      </c>
      <c r="J5" s="14" t="n">
        <v>1</v>
      </c>
      <c r="K5" s="14" t="n">
        <v>1</v>
      </c>
      <c r="L5" s="14" t="n">
        <v>1</v>
      </c>
      <c r="M5" s="14" t="n">
        <v>1</v>
      </c>
      <c r="N5" s="14" t="n">
        <v>1</v>
      </c>
      <c r="O5" s="14" t="n">
        <v>1</v>
      </c>
      <c r="P5" s="14" t="n">
        <v>1</v>
      </c>
      <c r="Q5" s="14" t="n">
        <v>1</v>
      </c>
      <c r="R5" s="14" t="n">
        <v>1</v>
      </c>
      <c r="S5" s="14" t="n">
        <v>1</v>
      </c>
      <c r="T5" s="14" t="n">
        <v>1</v>
      </c>
      <c r="U5" s="14" t="n">
        <v>1</v>
      </c>
      <c r="V5" s="14" t="n">
        <v>1</v>
      </c>
      <c r="W5" s="14" t="n">
        <v>1</v>
      </c>
      <c r="X5" s="14" t="n">
        <v>1</v>
      </c>
    </row>
    <row r="6">
      <c r="A6" s="14" t="inlineStr">
        <is>
          <t>tcf|oop</t>
        </is>
      </c>
      <c r="B6" s="14" t="inlineStr">
        <is>
          <t>factor</t>
        </is>
      </c>
      <c r="C6" s="14" t="inlineStr">
        <is>
          <t>capex time factor (A7)</t>
        </is>
      </c>
      <c r="D6" s="14" t="n">
        <v>3040</v>
      </c>
      <c r="E6" s="14" t="n">
        <v>1</v>
      </c>
      <c r="F6" s="14" t="n">
        <v>1</v>
      </c>
      <c r="G6" s="14" t="n">
        <v>1</v>
      </c>
      <c r="H6" s="14" t="n">
        <v>1</v>
      </c>
      <c r="I6" s="14" t="n">
        <v>1</v>
      </c>
      <c r="J6" s="14" t="n">
        <v>1</v>
      </c>
      <c r="K6" s="14" t="n">
        <v>1</v>
      </c>
      <c r="L6" s="14" t="n">
        <v>1</v>
      </c>
      <c r="M6" s="14" t="n">
        <v>1</v>
      </c>
      <c r="N6" s="14" t="n">
        <v>1</v>
      </c>
      <c r="O6" s="14" t="n">
        <v>1</v>
      </c>
      <c r="P6" s="14" t="n">
        <v>1</v>
      </c>
      <c r="Q6" s="14" t="n">
        <v>1</v>
      </c>
      <c r="R6" s="14" t="n">
        <v>1</v>
      </c>
      <c r="S6" s="14" t="n">
        <v>1</v>
      </c>
      <c r="T6" s="14" t="n">
        <v>1</v>
      </c>
      <c r="U6" s="14" t="n">
        <v>1</v>
      </c>
      <c r="V6" s="14" t="n">
        <v>1</v>
      </c>
      <c r="W6" s="14" t="n">
        <v>1</v>
      </c>
      <c r="X6" s="14" t="n">
        <v>1</v>
      </c>
    </row>
    <row r="7">
      <c r="A7" s="14" t="inlineStr">
        <is>
          <t>tcf|nuc</t>
        </is>
      </c>
      <c r="B7" s="14" t="inlineStr">
        <is>
          <t>factor</t>
        </is>
      </c>
      <c r="C7" s="14" t="inlineStr">
        <is>
          <t>capex time factor (A7)</t>
        </is>
      </c>
      <c r="D7" s="14" t="n">
        <v>3041</v>
      </c>
      <c r="E7" s="14" t="n">
        <v>1</v>
      </c>
      <c r="F7" s="14" t="n">
        <v>1</v>
      </c>
      <c r="G7" s="14" t="n">
        <v>1</v>
      </c>
      <c r="H7" s="14" t="n">
        <v>1</v>
      </c>
      <c r="I7" s="14" t="n">
        <v>1</v>
      </c>
      <c r="J7" s="14" t="n">
        <v>1</v>
      </c>
      <c r="K7" s="14" t="n">
        <v>1</v>
      </c>
      <c r="L7" s="14" t="n">
        <v>1</v>
      </c>
      <c r="M7" s="14" t="n">
        <v>1</v>
      </c>
      <c r="N7" s="14" t="n">
        <v>1</v>
      </c>
      <c r="O7" s="14" t="n">
        <v>1</v>
      </c>
      <c r="P7" s="14" t="n">
        <v>1</v>
      </c>
      <c r="Q7" s="14" t="n">
        <v>1</v>
      </c>
      <c r="R7" s="14" t="n">
        <v>1</v>
      </c>
      <c r="S7" s="14" t="n">
        <v>1</v>
      </c>
      <c r="T7" s="14" t="n">
        <v>1</v>
      </c>
      <c r="U7" s="14" t="n">
        <v>1</v>
      </c>
      <c r="V7" s="14" t="n">
        <v>1</v>
      </c>
      <c r="W7" s="14" t="n">
        <v>1</v>
      </c>
      <c r="X7" s="14" t="n">
        <v>1</v>
      </c>
    </row>
    <row r="8">
      <c r="A8" s="14" t="inlineStr">
        <is>
          <t>tcf|wnd</t>
        </is>
      </c>
      <c r="B8" s="14" t="inlineStr">
        <is>
          <t>factor</t>
        </is>
      </c>
      <c r="C8" s="14" t="inlineStr">
        <is>
          <t>capex time factor (A7)</t>
        </is>
      </c>
      <c r="D8" s="14" t="n">
        <v>3042</v>
      </c>
      <c r="E8" s="14" t="n">
        <v>1.05</v>
      </c>
      <c r="F8" s="14" t="n">
        <v>1</v>
      </c>
      <c r="G8" s="14" t="n">
        <v>0.993</v>
      </c>
      <c r="H8" s="14" t="n">
        <v>0.985</v>
      </c>
      <c r="I8" s="14" t="n">
        <v>0.978</v>
      </c>
      <c r="J8" s="14" t="n">
        <v>0.971</v>
      </c>
      <c r="K8" s="14" t="n">
        <v>0.963</v>
      </c>
      <c r="L8" s="14" t="n">
        <v>0.956</v>
      </c>
      <c r="M8" s="14" t="n">
        <v>0.949</v>
      </c>
      <c r="N8" s="14" t="n">
        <v>0.946</v>
      </c>
      <c r="O8" s="14" t="n">
        <v>0.9429999999999999</v>
      </c>
      <c r="P8" s="14" t="n">
        <v>0.9399999999999999</v>
      </c>
      <c r="Q8" s="14" t="n">
        <v>0.9370000000000001</v>
      </c>
      <c r="R8" s="14" t="n">
        <v>0.9340000000000001</v>
      </c>
      <c r="S8" s="14" t="n">
        <v>0.9320000000000001</v>
      </c>
      <c r="T8" s="14" t="n">
        <v>0.929</v>
      </c>
      <c r="U8" s="14" t="n">
        <v>0.926</v>
      </c>
      <c r="V8" s="14" t="n">
        <v>0.92</v>
      </c>
      <c r="W8" s="14" t="n">
        <v>0.915</v>
      </c>
      <c r="X8" s="14" t="n">
        <v>0.909</v>
      </c>
    </row>
    <row r="9">
      <c r="A9" s="14" t="inlineStr">
        <is>
          <t>tcf|sol</t>
        </is>
      </c>
      <c r="B9" s="14" t="inlineStr">
        <is>
          <t>factor</t>
        </is>
      </c>
      <c r="C9" s="14" t="inlineStr">
        <is>
          <t>capex time factor (A7)</t>
        </is>
      </c>
      <c r="D9" s="14" t="n">
        <v>3043</v>
      </c>
      <c r="E9" s="14" t="n">
        <v>1.05</v>
      </c>
      <c r="F9" s="14" t="n">
        <v>1</v>
      </c>
      <c r="G9" s="14" t="n">
        <v>0.955</v>
      </c>
      <c r="H9" s="14" t="n">
        <v>0.909</v>
      </c>
      <c r="I9" s="14" t="n">
        <v>0.864</v>
      </c>
      <c r="J9" s="14" t="n">
        <v>0.8179999999999999</v>
      </c>
      <c r="K9" s="14" t="n">
        <v>0.773</v>
      </c>
      <c r="L9" s="14" t="n">
        <v>0.727</v>
      </c>
      <c r="M9" s="14" t="n">
        <v>0.6820000000000001</v>
      </c>
      <c r="N9" s="14" t="n">
        <v>0.671</v>
      </c>
      <c r="O9" s="14" t="n">
        <v>0.66</v>
      </c>
      <c r="P9" s="14" t="n">
        <v>0.65</v>
      </c>
      <c r="Q9" s="14" t="n">
        <v>0.639</v>
      </c>
      <c r="R9" s="14" t="n">
        <v>0.628</v>
      </c>
      <c r="S9" s="14" t="n">
        <v>0.618</v>
      </c>
      <c r="T9" s="14" t="n">
        <v>0.607</v>
      </c>
      <c r="U9" s="14" t="n">
        <v>0.597</v>
      </c>
      <c r="V9" s="14" t="n">
        <v>0.575</v>
      </c>
      <c r="W9" s="14" t="n">
        <v>0.554</v>
      </c>
      <c r="X9" s="14" t="n">
        <v>0.533</v>
      </c>
    </row>
    <row r="10">
      <c r="A10" s="14" t="inlineStr">
        <is>
          <t>tcf|hyd</t>
        </is>
      </c>
      <c r="B10" s="14" t="inlineStr">
        <is>
          <t>factor</t>
        </is>
      </c>
      <c r="C10" s="14" t="inlineStr">
        <is>
          <t>capex time factor (A7)</t>
        </is>
      </c>
      <c r="D10" s="14" t="n">
        <v>3044</v>
      </c>
      <c r="E10" s="14" t="n">
        <v>1</v>
      </c>
      <c r="F10" s="14" t="n">
        <v>1</v>
      </c>
      <c r="G10" s="14" t="n">
        <v>1</v>
      </c>
      <c r="H10" s="14" t="n">
        <v>1</v>
      </c>
      <c r="I10" s="14" t="n">
        <v>1</v>
      </c>
      <c r="J10" s="14" t="n">
        <v>1</v>
      </c>
      <c r="K10" s="14" t="n">
        <v>1</v>
      </c>
      <c r="L10" s="14" t="n">
        <v>1</v>
      </c>
      <c r="M10" s="14" t="n">
        <v>1</v>
      </c>
      <c r="N10" s="14" t="n">
        <v>1</v>
      </c>
      <c r="O10" s="14" t="n">
        <v>1</v>
      </c>
      <c r="P10" s="14" t="n">
        <v>1</v>
      </c>
      <c r="Q10" s="14" t="n">
        <v>1</v>
      </c>
      <c r="R10" s="14" t="n">
        <v>1</v>
      </c>
      <c r="S10" s="14" t="n">
        <v>1</v>
      </c>
      <c r="T10" s="14" t="n">
        <v>1</v>
      </c>
      <c r="U10" s="14" t="n">
        <v>1</v>
      </c>
      <c r="V10" s="14" t="n">
        <v>1</v>
      </c>
      <c r="W10" s="14" t="n">
        <v>1</v>
      </c>
      <c r="X10" s="14" t="n">
        <v>1</v>
      </c>
    </row>
    <row r="11">
      <c r="A11" s="14" t="inlineStr">
        <is>
          <t>tcf|ore</t>
        </is>
      </c>
      <c r="B11" s="14" t="inlineStr">
        <is>
          <t>factor</t>
        </is>
      </c>
      <c r="C11" s="14" t="inlineStr">
        <is>
          <t>capex time factor (A7)</t>
        </is>
      </c>
      <c r="D11" s="14" t="n">
        <v>3045</v>
      </c>
      <c r="E11" s="14" t="n">
        <v>1</v>
      </c>
      <c r="F11" s="14" t="n">
        <v>1</v>
      </c>
      <c r="G11" s="14" t="n">
        <v>1</v>
      </c>
      <c r="H11" s="14" t="n">
        <v>1</v>
      </c>
      <c r="I11" s="14" t="n">
        <v>1</v>
      </c>
      <c r="J11" s="14" t="n">
        <v>1</v>
      </c>
      <c r="K11" s="14" t="n">
        <v>1</v>
      </c>
      <c r="L11" s="14" t="n">
        <v>1</v>
      </c>
      <c r="M11" s="14" t="n">
        <v>1</v>
      </c>
      <c r="N11" s="14" t="n">
        <v>1</v>
      </c>
      <c r="O11" s="14" t="n">
        <v>1</v>
      </c>
      <c r="P11" s="14" t="n">
        <v>1</v>
      </c>
      <c r="Q11" s="14" t="n">
        <v>1</v>
      </c>
      <c r="R11" s="14" t="n">
        <v>1</v>
      </c>
      <c r="S11" s="14" t="n">
        <v>1</v>
      </c>
      <c r="T11" s="14" t="n">
        <v>1</v>
      </c>
      <c r="U11" s="14" t="n">
        <v>1</v>
      </c>
      <c r="V11" s="14" t="n">
        <v>1</v>
      </c>
      <c r="W11" s="14" t="n">
        <v>1</v>
      </c>
      <c r="X11" s="14" t="n">
        <v>1</v>
      </c>
    </row>
    <row r="12">
      <c r="A12" s="14" t="inlineStr">
        <is>
          <t>tcf|bio</t>
        </is>
      </c>
      <c r="B12" s="14" t="inlineStr">
        <is>
          <t>factor</t>
        </is>
      </c>
      <c r="C12" s="14" t="inlineStr">
        <is>
          <t>capex time factor (A7)</t>
        </is>
      </c>
      <c r="D12" s="14" t="n">
        <v>3046</v>
      </c>
      <c r="E12" s="14" t="n">
        <v>1</v>
      </c>
      <c r="F12" s="14" t="n">
        <v>1</v>
      </c>
      <c r="G12" s="14" t="n">
        <v>1</v>
      </c>
      <c r="H12" s="14" t="n">
        <v>1</v>
      </c>
      <c r="I12" s="14" t="n">
        <v>1</v>
      </c>
      <c r="J12" s="14" t="n">
        <v>1</v>
      </c>
      <c r="K12" s="14" t="n">
        <v>1</v>
      </c>
      <c r="L12" s="14" t="n">
        <v>1</v>
      </c>
      <c r="M12" s="14" t="n">
        <v>1</v>
      </c>
      <c r="N12" s="14" t="n">
        <v>1</v>
      </c>
      <c r="O12" s="14" t="n">
        <v>1</v>
      </c>
      <c r="P12" s="14" t="n">
        <v>1</v>
      </c>
      <c r="Q12" s="14" t="n">
        <v>1</v>
      </c>
      <c r="R12" s="14" t="n">
        <v>1</v>
      </c>
      <c r="S12" s="14" t="n">
        <v>1</v>
      </c>
      <c r="T12" s="14" t="n">
        <v>1</v>
      </c>
      <c r="U12" s="14" t="n">
        <v>1</v>
      </c>
      <c r="V12" s="14" t="n">
        <v>1</v>
      </c>
      <c r="W12" s="14" t="n">
        <v>1</v>
      </c>
      <c r="X12" s="14" t="n">
        <v>1</v>
      </c>
    </row>
    <row r="13">
      <c r="A13" s="14" t="inlineStr">
        <is>
          <t>cbat</t>
        </is>
      </c>
      <c r="B13" s="14" t="inlineStr">
        <is>
          <t>$/kWh storage</t>
        </is>
      </c>
      <c r="C13" s="14" t="inlineStr">
        <is>
          <t>battery capex (J2)</t>
        </is>
      </c>
      <c r="D13" s="14" t="n">
        <v>3887</v>
      </c>
      <c r="E13" s="14" t="n">
        <v>300.61444</v>
      </c>
      <c r="F13" s="14" t="n">
        <v>278.08116</v>
      </c>
      <c r="G13" s="14" t="n">
        <v>255.54788</v>
      </c>
      <c r="H13" s="14" t="n">
        <v>233.0146</v>
      </c>
      <c r="I13" s="14" t="n">
        <v>220.72372</v>
      </c>
      <c r="J13" s="14" t="n">
        <v>208.43284</v>
      </c>
      <c r="K13" s="14" t="n">
        <v>196.14196</v>
      </c>
      <c r="L13" s="14" t="n">
        <v>183.85108</v>
      </c>
      <c r="M13" s="14" t="n">
        <v>171.5602</v>
      </c>
      <c r="N13" s="14" t="n">
        <v>164.90264</v>
      </c>
      <c r="O13" s="14" t="n">
        <v>158.24508</v>
      </c>
      <c r="P13" s="14" t="n">
        <v>151.58752</v>
      </c>
      <c r="Q13" s="14" t="n">
        <v>144.92996</v>
      </c>
      <c r="R13" s="14" t="n">
        <v>138.2724</v>
      </c>
      <c r="S13" s="14" t="n">
        <v>131.920664310954</v>
      </c>
      <c r="T13" s="14" t="n">
        <v>125.8607044662812</v>
      </c>
      <c r="U13" s="14" t="n">
        <v>120.0791173353212</v>
      </c>
      <c r="V13" s="14" t="n">
        <v>114.5631154789283</v>
      </c>
      <c r="W13" s="14" t="n">
        <v>109.300498866822</v>
      </c>
      <c r="X13" s="14" t="n">
        <v>104.2796278941411</v>
      </c>
    </row>
    <row r="14">
      <c r="A14" s="14" t="inlineStr">
        <is>
          <t>cint</t>
        </is>
      </c>
      <c r="B14" s="14" t="inlineStr">
        <is>
          <t>$/kW interface</t>
        </is>
      </c>
      <c r="C14" s="14" t="inlineStr">
        <is>
          <t>battery interface capex (J2)</t>
        </is>
      </c>
      <c r="D14" s="14" t="n">
        <v>3888</v>
      </c>
      <c r="E14" s="14" t="n">
        <v>150.30722</v>
      </c>
      <c r="F14" s="14" t="n">
        <v>139.04058</v>
      </c>
      <c r="G14" s="14" t="n">
        <v>127.77394</v>
      </c>
      <c r="H14" s="14" t="n">
        <v>116.5073</v>
      </c>
      <c r="I14" s="14" t="n">
        <v>110.36186</v>
      </c>
      <c r="J14" s="14" t="n">
        <v>104.21642</v>
      </c>
      <c r="K14" s="14" t="n">
        <v>98.07097999999998</v>
      </c>
      <c r="L14" s="14" t="n">
        <v>91.92553999999998</v>
      </c>
      <c r="M14" s="14" t="n">
        <v>85.78009999999999</v>
      </c>
      <c r="N14" s="14" t="n">
        <v>82.45132000000001</v>
      </c>
      <c r="O14" s="14" t="n">
        <v>79.12253999999999</v>
      </c>
      <c r="P14" s="14" t="n">
        <v>75.79375999999999</v>
      </c>
      <c r="Q14" s="14" t="n">
        <v>72.46498</v>
      </c>
      <c r="R14" s="14" t="n">
        <v>69.13619999999999</v>
      </c>
      <c r="S14" s="14" t="n">
        <v>65.960332155477</v>
      </c>
      <c r="T14" s="14" t="n">
        <v>62.93035223314058</v>
      </c>
      <c r="U14" s="14" t="n">
        <v>60.03955866766061</v>
      </c>
      <c r="V14" s="14" t="n">
        <v>57.28155773946416</v>
      </c>
      <c r="W14" s="14" t="n">
        <v>54.65024943341102</v>
      </c>
      <c r="X14" s="14" t="n">
        <v>52.13981394707057</v>
      </c>
    </row>
    <row r="15">
      <c r="A15" s="14" t="inlineStr">
        <is>
          <t>obat</t>
        </is>
      </c>
      <c r="B15" s="14" t="inlineStr">
        <is>
          <t>$/kWh storage/y</t>
        </is>
      </c>
      <c r="C15" s="14" t="inlineStr">
        <is>
          <t>battery opex (J2)</t>
        </is>
      </c>
      <c r="D15" s="14" t="n">
        <v>3891</v>
      </c>
      <c r="E15" s="14" t="n">
        <v>9.474219999999999</v>
      </c>
      <c r="F15" s="14" t="n">
        <v>8.449979999999998</v>
      </c>
      <c r="G15" s="14" t="n">
        <v>7.425739999999998</v>
      </c>
      <c r="H15" s="14" t="n">
        <v>6.4015</v>
      </c>
      <c r="I15" s="14" t="n">
        <v>6.081424999999999</v>
      </c>
      <c r="J15" s="14" t="n">
        <v>5.76135</v>
      </c>
      <c r="K15" s="14" t="n">
        <v>5.441275</v>
      </c>
      <c r="L15" s="14" t="n">
        <v>5.1212</v>
      </c>
      <c r="M15" s="14" t="n">
        <v>4.801124999999999</v>
      </c>
      <c r="N15" s="14" t="n">
        <v>4.60908</v>
      </c>
      <c r="O15" s="14" t="n">
        <v>4.417035</v>
      </c>
      <c r="P15" s="14" t="n">
        <v>4.224989999999999</v>
      </c>
      <c r="Q15" s="14" t="n">
        <v>4.032945</v>
      </c>
      <c r="R15" s="14" t="n">
        <v>3.8409</v>
      </c>
      <c r="S15" s="14" t="n">
        <v>3.657999999999999</v>
      </c>
      <c r="T15" s="14" t="n">
        <v>3.483809523809523</v>
      </c>
      <c r="U15" s="14" t="n">
        <v>3.317913832199546</v>
      </c>
      <c r="V15" s="14" t="n">
        <v>3.159917935428139</v>
      </c>
      <c r="W15" s="14" t="n">
        <v>3.009445652788703</v>
      </c>
      <c r="X15" s="14" t="n">
        <v>2.866138716941622</v>
      </c>
    </row>
    <row r="16">
      <c r="A16" s="14" t="inlineStr">
        <is>
          <t>cel</t>
        </is>
      </c>
      <c r="B16" s="14" t="inlineStr">
        <is>
          <t>$/kWh produced</t>
        </is>
      </c>
      <c r="C16" s="14" t="inlineStr">
        <is>
          <t>electrolyser cost per marginal unit: capex + fixed + variable opex (J2)</t>
        </is>
      </c>
      <c r="D16" s="14" t="inlineStr">
        <is>
          <t>3900-3902</t>
        </is>
      </c>
      <c r="E16" s="14" t="n">
        <v>0.06986258478136012</v>
      </c>
      <c r="F16" s="14" t="n">
        <v>0.06755526170884672</v>
      </c>
      <c r="G16" s="14" t="n">
        <v>0.06524793863633332</v>
      </c>
      <c r="H16" s="14" t="n">
        <v>0.06294061556381991</v>
      </c>
      <c r="I16" s="14" t="n">
        <v>0.06079086147377671</v>
      </c>
      <c r="J16" s="14" t="n">
        <v>0.05864110738373349</v>
      </c>
      <c r="K16" s="14" t="n">
        <v>0.05649135329369027</v>
      </c>
      <c r="L16" s="14" t="n">
        <v>0.05434159920364706</v>
      </c>
      <c r="M16" s="14" t="n">
        <v>0.05219184511360385</v>
      </c>
      <c r="N16" s="14" t="n">
        <v>0.05056054704134376</v>
      </c>
      <c r="O16" s="14" t="n">
        <v>0.04892924896908368</v>
      </c>
      <c r="P16" s="14" t="n">
        <v>0.04729795089682359</v>
      </c>
      <c r="Q16" s="14" t="n">
        <v>0.0456666528245635</v>
      </c>
      <c r="R16" s="14" t="n">
        <v>0.04403535475230341</v>
      </c>
      <c r="S16" s="14" t="n">
        <v>0.04240791303994026</v>
      </c>
      <c r="T16" s="14" t="n">
        <v>0.04078424003617918</v>
      </c>
      <c r="U16" s="14" t="n">
        <v>0.03916425008215495</v>
      </c>
      <c r="V16" s="14" t="n">
        <v>0.03754785946613697</v>
      </c>
      <c r="W16" s="14" t="n">
        <v>0.03593498637926398</v>
      </c>
      <c r="X16" s="14" t="n">
        <v>0.03432555087228523</v>
      </c>
    </row>
    <row r="17">
      <c r="A17" s="14" t="inlineStr">
        <is>
          <t>incf</t>
        </is>
      </c>
      <c r="B17" s="14" t="inlineStr">
        <is>
          <t>factor</t>
        </is>
      </c>
      <c r="C17" s="14" t="inlineStr">
        <is>
          <t>income-dependent factor on GDP elasticities (macro block)</t>
        </is>
      </c>
      <c r="D17" s="14" t="n">
        <v>2433</v>
      </c>
      <c r="E17" s="14" t="n">
        <v>1.027151724719609</v>
      </c>
      <c r="F17" s="14" t="n">
        <v>1.027151724719609</v>
      </c>
      <c r="G17" s="14" t="n">
        <v>1.02056983588512</v>
      </c>
      <c r="H17" s="14" t="n">
        <v>1.017334428852344</v>
      </c>
      <c r="I17" s="14" t="n">
        <v>1.007668332253824</v>
      </c>
      <c r="J17" s="14" t="n">
        <v>1.000744287175529</v>
      </c>
      <c r="K17" s="14" t="n">
        <v>0.9918864890118577</v>
      </c>
      <c r="L17" s="14" t="n">
        <v>0.9806554033004301</v>
      </c>
      <c r="M17" s="14" t="n">
        <v>0.9702094039924433</v>
      </c>
      <c r="N17" s="14" t="n">
        <v>0.9641926590771045</v>
      </c>
      <c r="O17" s="14" t="n">
        <v>0.9616128712271521</v>
      </c>
      <c r="P17" s="14" t="n">
        <v>0.9591984478540503</v>
      </c>
      <c r="Q17" s="14" t="n">
        <v>0.9569512544451959</v>
      </c>
      <c r="R17" s="14" t="n">
        <v>0.9548729785957769</v>
      </c>
      <c r="S17" s="14" t="n">
        <v>0.9529651408614485</v>
      </c>
      <c r="T17" s="14" t="n">
        <v>0.9512291049033846</v>
      </c>
      <c r="U17" s="14" t="n">
        <v>0.9496660868922933</v>
      </c>
      <c r="V17" s="14" t="n">
        <v>0.9482771641379761</v>
      </c>
      <c r="W17" s="14" t="n">
        <v>0.9470632829155923</v>
      </c>
      <c r="X17" s="14" t="n">
        <v>0.9460252654585126</v>
      </c>
    </row>
    <row r="18">
      <c r="A18" s="14" t="inlineStr">
        <is>
          <t>shock</t>
        </is>
      </c>
      <c r="B18" s="14" t="inlineStr">
        <is>
          <t>share</t>
        </is>
      </c>
      <c r="C18" s="14" t="inlineStr">
        <is>
          <t>exogenous shock on energy consumption (legacy calibration, 2023-2024)</t>
        </is>
      </c>
      <c r="D18" s="14" t="n">
        <v>2439</v>
      </c>
      <c r="E18" s="14" t="n">
        <v>0</v>
      </c>
      <c r="F18" s="14" t="n">
        <v>-0.2081330830204422</v>
      </c>
      <c r="G18" s="14" t="n">
        <v>0.09237142857142856</v>
      </c>
      <c r="H18" s="14" t="n">
        <v>0</v>
      </c>
      <c r="I18" s="14" t="n">
        <v>0</v>
      </c>
      <c r="J18" s="14" t="n">
        <v>0</v>
      </c>
      <c r="K18" s="14" t="n">
        <v>0</v>
      </c>
      <c r="L18" s="14" t="n">
        <v>0</v>
      </c>
      <c r="M18" s="14" t="n">
        <v>0</v>
      </c>
      <c r="N18" s="14" t="n">
        <v>0</v>
      </c>
      <c r="O18" s="14" t="n">
        <v>0</v>
      </c>
      <c r="P18" s="14" t="n">
        <v>0</v>
      </c>
      <c r="Q18" s="14" t="n">
        <v>0</v>
      </c>
      <c r="R18" s="14" t="n">
        <v>0</v>
      </c>
      <c r="S18" s="14" t="n">
        <v>0</v>
      </c>
      <c r="T18" s="14" t="n">
        <v>0</v>
      </c>
      <c r="U18" s="14" t="n">
        <v>0</v>
      </c>
      <c r="V18" s="14" t="n">
        <v>0</v>
      </c>
      <c r="W18" s="14" t="n">
        <v>0</v>
      </c>
      <c r="X18" s="14" t="n">
        <v>0</v>
      </c>
    </row>
    <row r="19">
      <c r="A19" s="14" t="inlineStr">
        <is>
          <t>pret|coa</t>
        </is>
      </c>
      <c r="B19" s="14" t="inlineStr">
        <is>
          <t>MW</t>
        </is>
      </c>
      <c r="C19" s="14" t="inlineStr">
        <is>
          <t>planned retirement, nameplate (K5; used if planned_retirement = Yes)</t>
        </is>
      </c>
      <c r="D19" s="14" t="n">
        <v>3992</v>
      </c>
      <c r="E19" s="14" t="n">
        <v>0</v>
      </c>
      <c r="F19" s="14" t="n">
        <v>0</v>
      </c>
      <c r="G19" s="14" t="n">
        <v>0</v>
      </c>
      <c r="H19" s="14" t="n">
        <v>0</v>
      </c>
      <c r="I19" s="14" t="n">
        <v>0</v>
      </c>
      <c r="J19" s="14" t="n">
        <v>0</v>
      </c>
      <c r="K19" s="14" t="n">
        <v>0</v>
      </c>
      <c r="L19" s="14" t="n">
        <v>0</v>
      </c>
      <c r="M19" s="14" t="n">
        <v>0</v>
      </c>
      <c r="N19" s="14" t="n">
        <v>0</v>
      </c>
      <c r="O19" s="14" t="n">
        <v>0</v>
      </c>
      <c r="P19" s="14" t="n">
        <v>0</v>
      </c>
      <c r="Q19" s="14" t="n">
        <v>0</v>
      </c>
      <c r="R19" s="14" t="n">
        <v>0</v>
      </c>
      <c r="S19" s="14" t="n">
        <v>0</v>
      </c>
      <c r="T19" s="14" t="n">
        <v>0</v>
      </c>
      <c r="U19" s="14" t="n">
        <v>0</v>
      </c>
      <c r="V19" s="14" t="n">
        <v>0</v>
      </c>
      <c r="W19" s="14" t="n">
        <v>0</v>
      </c>
      <c r="X19" s="14" t="n">
        <v>0</v>
      </c>
    </row>
    <row r="20">
      <c r="A20" s="14" t="inlineStr">
        <is>
          <t>pret|nga</t>
        </is>
      </c>
      <c r="B20" s="14" t="inlineStr">
        <is>
          <t>MW</t>
        </is>
      </c>
      <c r="C20" s="14" t="inlineStr">
        <is>
          <t>planned retirement, nameplate (K5; used if planned_retirement = Yes)</t>
        </is>
      </c>
      <c r="D20" s="14" t="n"/>
      <c r="E20" s="14" t="n">
        <v>0</v>
      </c>
      <c r="F20" s="14" t="n">
        <v>0</v>
      </c>
      <c r="G20" s="14" t="n">
        <v>0</v>
      </c>
      <c r="H20" s="14" t="n">
        <v>0</v>
      </c>
      <c r="I20" s="14" t="n">
        <v>0</v>
      </c>
      <c r="J20" s="14" t="n">
        <v>0</v>
      </c>
      <c r="K20" s="14" t="n">
        <v>0</v>
      </c>
      <c r="L20" s="14" t="n">
        <v>0</v>
      </c>
      <c r="M20" s="14" t="n">
        <v>0</v>
      </c>
      <c r="N20" s="14" t="n">
        <v>0</v>
      </c>
      <c r="O20" s="14" t="n">
        <v>0</v>
      </c>
      <c r="P20" s="14" t="n">
        <v>0</v>
      </c>
      <c r="Q20" s="14" t="n">
        <v>0</v>
      </c>
      <c r="R20" s="14" t="n">
        <v>0</v>
      </c>
      <c r="S20" s="14" t="n">
        <v>0</v>
      </c>
      <c r="T20" s="14" t="n">
        <v>0</v>
      </c>
      <c r="U20" s="14" t="n">
        <v>0</v>
      </c>
      <c r="V20" s="14" t="n">
        <v>0</v>
      </c>
      <c r="W20" s="14" t="n">
        <v>0</v>
      </c>
      <c r="X20" s="14" t="n">
        <v>0</v>
      </c>
    </row>
    <row r="21">
      <c r="A21" s="14" t="inlineStr">
        <is>
          <t>pret|oop</t>
        </is>
      </c>
      <c r="B21" s="14" t="inlineStr">
        <is>
          <t>MW</t>
        </is>
      </c>
      <c r="C21" s="14" t="inlineStr">
        <is>
          <t>planned retirement, nameplate (K5; used if planned_retirement = Yes)</t>
        </is>
      </c>
      <c r="D21" s="14" t="n"/>
      <c r="E21" s="14" t="n">
        <v>0</v>
      </c>
      <c r="F21" s="14" t="n">
        <v>0</v>
      </c>
      <c r="G21" s="14" t="n">
        <v>0</v>
      </c>
      <c r="H21" s="14" t="n">
        <v>0</v>
      </c>
      <c r="I21" s="14" t="n">
        <v>0</v>
      </c>
      <c r="J21" s="14" t="n">
        <v>0</v>
      </c>
      <c r="K21" s="14" t="n">
        <v>0</v>
      </c>
      <c r="L21" s="14" t="n">
        <v>0</v>
      </c>
      <c r="M21" s="14" t="n">
        <v>0</v>
      </c>
      <c r="N21" s="14" t="n">
        <v>0</v>
      </c>
      <c r="O21" s="14" t="n">
        <v>0</v>
      </c>
      <c r="P21" s="14" t="n">
        <v>0</v>
      </c>
      <c r="Q21" s="14" t="n">
        <v>0</v>
      </c>
      <c r="R21" s="14" t="n">
        <v>0</v>
      </c>
      <c r="S21" s="14" t="n">
        <v>0</v>
      </c>
      <c r="T21" s="14" t="n">
        <v>0</v>
      </c>
      <c r="U21" s="14" t="n">
        <v>0</v>
      </c>
      <c r="V21" s="14" t="n">
        <v>0</v>
      </c>
      <c r="W21" s="14" t="n">
        <v>0</v>
      </c>
      <c r="X21" s="14" t="n">
        <v>0</v>
      </c>
    </row>
    <row r="22">
      <c r="A22" s="14" t="inlineStr">
        <is>
          <t>pret|nuc</t>
        </is>
      </c>
      <c r="B22" s="14" t="inlineStr">
        <is>
          <t>MW</t>
        </is>
      </c>
      <c r="C22" s="14" t="inlineStr">
        <is>
          <t>planned retirement, nameplate (K5; used if planned_retirement = Yes)</t>
        </is>
      </c>
      <c r="D22" s="14" t="n"/>
      <c r="E22" s="14" t="n">
        <v>0</v>
      </c>
      <c r="F22" s="14" t="n">
        <v>0</v>
      </c>
      <c r="G22" s="14" t="n">
        <v>0</v>
      </c>
      <c r="H22" s="14" t="n">
        <v>0</v>
      </c>
      <c r="I22" s="14" t="n">
        <v>0</v>
      </c>
      <c r="J22" s="14" t="n">
        <v>0</v>
      </c>
      <c r="K22" s="14" t="n">
        <v>0</v>
      </c>
      <c r="L22" s="14" t="n">
        <v>0</v>
      </c>
      <c r="M22" s="14" t="n">
        <v>0</v>
      </c>
      <c r="N22" s="14" t="n">
        <v>0</v>
      </c>
      <c r="O22" s="14" t="n">
        <v>0</v>
      </c>
      <c r="P22" s="14" t="n">
        <v>0</v>
      </c>
      <c r="Q22" s="14" t="n">
        <v>0</v>
      </c>
      <c r="R22" s="14" t="n">
        <v>0</v>
      </c>
      <c r="S22" s="14" t="n">
        <v>0</v>
      </c>
      <c r="T22" s="14" t="n">
        <v>0</v>
      </c>
      <c r="U22" s="14" t="n">
        <v>0</v>
      </c>
      <c r="V22" s="14" t="n">
        <v>0</v>
      </c>
      <c r="W22" s="14" t="n">
        <v>0</v>
      </c>
      <c r="X22" s="14" t="n">
        <v>0</v>
      </c>
    </row>
    <row r="23">
      <c r="A23" s="14" t="inlineStr">
        <is>
          <t>pret|wnd</t>
        </is>
      </c>
      <c r="B23" s="14" t="inlineStr">
        <is>
          <t>MW</t>
        </is>
      </c>
      <c r="C23" s="14" t="inlineStr">
        <is>
          <t>planned retirement, nameplate (K5; used if planned_retirement = Yes)</t>
        </is>
      </c>
      <c r="D23" s="14" t="n"/>
      <c r="E23" s="14" t="n">
        <v>0</v>
      </c>
      <c r="F23" s="14" t="n">
        <v>0</v>
      </c>
      <c r="G23" s="14" t="n">
        <v>0</v>
      </c>
      <c r="H23" s="14" t="n">
        <v>0</v>
      </c>
      <c r="I23" s="14" t="n">
        <v>0</v>
      </c>
      <c r="J23" s="14" t="n">
        <v>0</v>
      </c>
      <c r="K23" s="14" t="n">
        <v>0</v>
      </c>
      <c r="L23" s="14" t="n">
        <v>0</v>
      </c>
      <c r="M23" s="14" t="n">
        <v>0</v>
      </c>
      <c r="N23" s="14" t="n">
        <v>0</v>
      </c>
      <c r="O23" s="14" t="n">
        <v>0</v>
      </c>
      <c r="P23" s="14" t="n">
        <v>0</v>
      </c>
      <c r="Q23" s="14" t="n">
        <v>0</v>
      </c>
      <c r="R23" s="14" t="n">
        <v>0</v>
      </c>
      <c r="S23" s="14" t="n">
        <v>0</v>
      </c>
      <c r="T23" s="14" t="n">
        <v>0</v>
      </c>
      <c r="U23" s="14" t="n">
        <v>0</v>
      </c>
      <c r="V23" s="14" t="n">
        <v>0</v>
      </c>
      <c r="W23" s="14" t="n">
        <v>0</v>
      </c>
      <c r="X23" s="14" t="n">
        <v>0</v>
      </c>
    </row>
    <row r="24">
      <c r="A24" s="14" t="inlineStr">
        <is>
          <t>pret|sol</t>
        </is>
      </c>
      <c r="B24" s="14" t="inlineStr">
        <is>
          <t>MW</t>
        </is>
      </c>
      <c r="C24" s="14" t="inlineStr">
        <is>
          <t>planned retirement, nameplate (K5; used if planned_retirement = Yes)</t>
        </is>
      </c>
      <c r="D24" s="14" t="n"/>
      <c r="E24" s="14" t="n">
        <v>0</v>
      </c>
      <c r="F24" s="14" t="n">
        <v>0</v>
      </c>
      <c r="G24" s="14" t="n">
        <v>0</v>
      </c>
      <c r="H24" s="14" t="n">
        <v>0</v>
      </c>
      <c r="I24" s="14" t="n">
        <v>0</v>
      </c>
      <c r="J24" s="14" t="n">
        <v>0</v>
      </c>
      <c r="K24" s="14" t="n">
        <v>0</v>
      </c>
      <c r="L24" s="14" t="n">
        <v>0</v>
      </c>
      <c r="M24" s="14" t="n">
        <v>0</v>
      </c>
      <c r="N24" s="14" t="n">
        <v>0</v>
      </c>
      <c r="O24" s="14" t="n">
        <v>0</v>
      </c>
      <c r="P24" s="14" t="n">
        <v>0</v>
      </c>
      <c r="Q24" s="14" t="n">
        <v>0</v>
      </c>
      <c r="R24" s="14" t="n">
        <v>0</v>
      </c>
      <c r="S24" s="14" t="n">
        <v>0</v>
      </c>
      <c r="T24" s="14" t="n">
        <v>0</v>
      </c>
      <c r="U24" s="14" t="n">
        <v>0</v>
      </c>
      <c r="V24" s="14" t="n">
        <v>0</v>
      </c>
      <c r="W24" s="14" t="n">
        <v>0</v>
      </c>
      <c r="X24" s="14" t="n">
        <v>0</v>
      </c>
    </row>
    <row r="25">
      <c r="A25" s="14" t="inlineStr">
        <is>
          <t>pret|hyd</t>
        </is>
      </c>
      <c r="B25" s="14" t="inlineStr">
        <is>
          <t>MW</t>
        </is>
      </c>
      <c r="C25" s="14" t="inlineStr">
        <is>
          <t>planned retirement, nameplate (K5; used if planned_retirement = Yes)</t>
        </is>
      </c>
      <c r="D25" s="14" t="n"/>
      <c r="E25" s="14" t="n">
        <v>0</v>
      </c>
      <c r="F25" s="14" t="n">
        <v>0</v>
      </c>
      <c r="G25" s="14" t="n">
        <v>0</v>
      </c>
      <c r="H25" s="14" t="n">
        <v>0</v>
      </c>
      <c r="I25" s="14" t="n">
        <v>0</v>
      </c>
      <c r="J25" s="14" t="n">
        <v>0</v>
      </c>
      <c r="K25" s="14" t="n">
        <v>0</v>
      </c>
      <c r="L25" s="14" t="n">
        <v>0</v>
      </c>
      <c r="M25" s="14" t="n">
        <v>0</v>
      </c>
      <c r="N25" s="14" t="n">
        <v>0</v>
      </c>
      <c r="O25" s="14" t="n">
        <v>0</v>
      </c>
      <c r="P25" s="14" t="n">
        <v>0</v>
      </c>
      <c r="Q25" s="14" t="n">
        <v>0</v>
      </c>
      <c r="R25" s="14" t="n">
        <v>0</v>
      </c>
      <c r="S25" s="14" t="n">
        <v>0</v>
      </c>
      <c r="T25" s="14" t="n">
        <v>0</v>
      </c>
      <c r="U25" s="14" t="n">
        <v>0</v>
      </c>
      <c r="V25" s="14" t="n">
        <v>0</v>
      </c>
      <c r="W25" s="14" t="n">
        <v>0</v>
      </c>
      <c r="X25" s="14" t="n">
        <v>0</v>
      </c>
    </row>
    <row r="26">
      <c r="A26" s="14" t="inlineStr">
        <is>
          <t>pret|ore</t>
        </is>
      </c>
      <c r="B26" s="14" t="inlineStr">
        <is>
          <t>MW</t>
        </is>
      </c>
      <c r="C26" s="14" t="inlineStr">
        <is>
          <t>planned retirement, nameplate (K5; used if planned_retirement = Yes)</t>
        </is>
      </c>
      <c r="D26" s="14" t="n"/>
      <c r="E26" s="14" t="n">
        <v>0</v>
      </c>
      <c r="F26" s="14" t="n">
        <v>0</v>
      </c>
      <c r="G26" s="14" t="n">
        <v>0</v>
      </c>
      <c r="H26" s="14" t="n">
        <v>0</v>
      </c>
      <c r="I26" s="14" t="n">
        <v>0</v>
      </c>
      <c r="J26" s="14" t="n">
        <v>0</v>
      </c>
      <c r="K26" s="14" t="n">
        <v>0</v>
      </c>
      <c r="L26" s="14" t="n">
        <v>0</v>
      </c>
      <c r="M26" s="14" t="n">
        <v>0</v>
      </c>
      <c r="N26" s="14" t="n">
        <v>0</v>
      </c>
      <c r="O26" s="14" t="n">
        <v>0</v>
      </c>
      <c r="P26" s="14" t="n">
        <v>0</v>
      </c>
      <c r="Q26" s="14" t="n">
        <v>0</v>
      </c>
      <c r="R26" s="14" t="n">
        <v>0</v>
      </c>
      <c r="S26" s="14" t="n">
        <v>0</v>
      </c>
      <c r="T26" s="14" t="n">
        <v>0</v>
      </c>
      <c r="U26" s="14" t="n">
        <v>0</v>
      </c>
      <c r="V26" s="14" t="n">
        <v>0</v>
      </c>
      <c r="W26" s="14" t="n">
        <v>0</v>
      </c>
      <c r="X26" s="14" t="n">
        <v>0</v>
      </c>
    </row>
    <row r="27">
      <c r="A27" s="14" t="inlineStr">
        <is>
          <t>pret|bio</t>
        </is>
      </c>
      <c r="B27" s="14" t="inlineStr">
        <is>
          <t>MW</t>
        </is>
      </c>
      <c r="C27" s="14" t="inlineStr">
        <is>
          <t>planned retirement, nameplate (K5; used if planned_retirement = Yes)</t>
        </is>
      </c>
      <c r="D27" s="14" t="n"/>
      <c r="E27" s="14" t="n">
        <v>0</v>
      </c>
      <c r="F27" s="14" t="n">
        <v>0</v>
      </c>
      <c r="G27" s="14" t="n">
        <v>0</v>
      </c>
      <c r="H27" s="14" t="n">
        <v>0</v>
      </c>
      <c r="I27" s="14" t="n">
        <v>0</v>
      </c>
      <c r="J27" s="14" t="n">
        <v>0</v>
      </c>
      <c r="K27" s="14" t="n">
        <v>0</v>
      </c>
      <c r="L27" s="14" t="n">
        <v>0</v>
      </c>
      <c r="M27" s="14" t="n">
        <v>0</v>
      </c>
      <c r="N27" s="14" t="n">
        <v>0</v>
      </c>
      <c r="O27" s="14" t="n">
        <v>0</v>
      </c>
      <c r="P27" s="14" t="n">
        <v>0</v>
      </c>
      <c r="Q27" s="14" t="n">
        <v>0</v>
      </c>
      <c r="R27" s="14" t="n">
        <v>0</v>
      </c>
      <c r="S27" s="14" t="n">
        <v>0</v>
      </c>
      <c r="T27" s="14" t="n">
        <v>0</v>
      </c>
      <c r="U27" s="14" t="n">
        <v>0</v>
      </c>
      <c r="V27" s="14" t="n">
        <v>0</v>
      </c>
      <c r="W27" s="14" t="n">
        <v>0</v>
      </c>
      <c r="X27" s="14" t="n">
        <v>0</v>
      </c>
    </row>
  </sheetData>
  <pageMargins left="0.75" right="0.75" top="1" bottom="1" header="0.5" footer="0.5"/>
</worksheet>
</file>

<file path=xl/worksheets/sheet28.xml><?xml version="1.0" encoding="utf-8"?>
<worksheet xmlns="http://schemas.openxmlformats.org/spreadsheetml/2006/main">
  <sheetPr codeName="Sheet28">
    <outlinePr summaryBelow="1" summaryRight="1"/>
    <pageSetUpPr/>
  </sheetPr>
  <dimension ref="A1:E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extract_power_v2_3.py: legacy Mitigation rows 3596-3883</t>
        </is>
      </c>
    </row>
    <row r="2">
      <c r="A2" s="2" t="inlineStr">
        <is>
          <t>Power parameters: transmission and distribution, pass-through, storage</t>
        </is>
      </c>
      <c r="B2" s="3" t="n"/>
      <c r="C2" s="3" t="n"/>
      <c r="D2" s="3" t="n"/>
      <c r="E2" s="3" t="n"/>
    </row>
    <row r="3">
      <c r="A3" s="83" t="inlineStr">
        <is>
          <t>key</t>
        </is>
      </c>
      <c r="B3" s="83" t="inlineStr">
        <is>
          <t>value</t>
        </is>
      </c>
      <c r="C3" s="83" t="inlineStr">
        <is>
          <t>unit</t>
        </is>
      </c>
      <c r="D3" s="83" t="inlineStr">
        <is>
          <t>description</t>
        </is>
      </c>
      <c r="E3" s="83" t="inlineStr">
        <is>
          <t>legacy_row</t>
        </is>
      </c>
    </row>
    <row r="4">
      <c r="A4" s="14" t="inlineStr">
        <is>
          <t>tmc|res</t>
        </is>
      </c>
      <c r="B4" s="14" t="n">
        <v>0.04</v>
      </c>
      <c r="C4" s="14" t="inlineStr">
        <is>
          <t>$/kWh</t>
        </is>
      </c>
      <c r="D4" s="14" t="inlineStr">
        <is>
          <t>transmission and distribution, residential (G1)</t>
        </is>
      </c>
      <c r="E4" s="14" t="n">
        <v>3599</v>
      </c>
    </row>
    <row r="5">
      <c r="A5" s="14" t="inlineStr">
        <is>
          <t>tmc|ind</t>
        </is>
      </c>
      <c r="B5" s="14" t="n">
        <v>0.015</v>
      </c>
      <c r="C5" s="14" t="inlineStr">
        <is>
          <t>$/kWh</t>
        </is>
      </c>
      <c r="D5" s="14" t="inlineStr">
        <is>
          <t>transmission and distribution, industrial (G2)</t>
        </is>
      </c>
      <c r="E5" s="14" t="n">
        <v>3628</v>
      </c>
    </row>
    <row r="6">
      <c r="A6" s="14" t="inlineStr">
        <is>
          <t>pass</t>
        </is>
      </c>
      <c r="B6" s="14" t="n">
        <v>1</v>
      </c>
      <c r="C6" s="14" t="inlineStr">
        <is>
          <t>share</t>
        </is>
      </c>
      <c r="D6" s="14" t="inlineStr">
        <is>
          <t>pass-through of supply-cost changes to end users (G1)</t>
        </is>
      </c>
      <c r="E6" s="14" t="n">
        <v>3596</v>
      </c>
    </row>
    <row r="7">
      <c r="A7" s="14" t="inlineStr">
        <is>
          <t>gen_per_cons</t>
        </is>
      </c>
      <c r="B7" s="14" t="n">
        <v>1.221168676519317</v>
      </c>
      <c r="C7" s="14" t="inlineStr">
        <is>
          <t>ratio</t>
        </is>
      </c>
      <c r="D7" s="14" t="inlineStr">
        <is>
          <t>generation / final consumption (H2, base year)</t>
        </is>
      </c>
      <c r="E7" s="14" t="n">
        <v>3723</v>
      </c>
    </row>
    <row r="8">
      <c r="A8" s="14" t="inlineStr">
        <is>
          <t>dlf_ren</t>
        </is>
      </c>
      <c r="B8" s="14" t="n">
        <v>8.435036725735763</v>
      </c>
      <c r="C8" s="14" t="inlineStr">
        <is>
          <t>years</t>
        </is>
      </c>
      <c r="D8" s="14" t="inlineStr">
        <is>
          <t>discounted lifetime of renewables (J2)</t>
        </is>
      </c>
      <c r="E8" s="14" t="n">
        <v>3883</v>
      </c>
    </row>
    <row r="9">
      <c r="A9" s="14" t="inlineStr">
        <is>
          <t>st_alloc</t>
        </is>
      </c>
      <c r="B9" s="14" t="n">
        <v>1</v>
      </c>
      <c r="C9" s="14" t="inlineStr">
        <is>
          <t>share</t>
        </is>
      </c>
      <c r="D9" s="14" t="inlineStr">
        <is>
          <t>allocation of short-term storage cost to VRE (J1)</t>
        </is>
      </c>
      <c r="E9" s="14" t="n">
        <v>3871</v>
      </c>
    </row>
    <row r="10">
      <c r="A10" s="14" t="inlineStr">
        <is>
          <t>st_marg_hours</t>
        </is>
      </c>
      <c r="B10" s="14" t="n">
        <v>18</v>
      </c>
      <c r="C10" s="14" t="inlineStr">
        <is>
          <t>hours</t>
        </is>
      </c>
      <c r="D10" s="14" t="inlineStr">
        <is>
          <t>marginal hours of short-term storage per unit VRE (J1)</t>
        </is>
      </c>
      <c r="E10" s="14" t="n">
        <v>3873</v>
      </c>
    </row>
    <row r="11">
      <c r="A11" s="14" t="inlineStr">
        <is>
          <t>st_ratio</t>
        </is>
      </c>
      <c r="B11" s="14" t="n">
        <v>2</v>
      </c>
      <c r="C11" s="14" t="inlineStr">
        <is>
          <t>hours</t>
        </is>
      </c>
      <c r="D11" s="14" t="inlineStr">
        <is>
          <t>kWh storage per kW interface (J1)</t>
        </is>
      </c>
      <c r="E11" s="14" t="n">
        <v>3874</v>
      </c>
    </row>
    <row r="12">
      <c r="A12" s="14" t="inlineStr">
        <is>
          <t>lt_start</t>
        </is>
      </c>
      <c r="B12" s="14" t="n">
        <v>0.75</v>
      </c>
      <c r="C12" s="14" t="inlineStr">
        <is>
          <t>share</t>
        </is>
      </c>
      <c r="D12" s="14" t="inlineStr">
        <is>
          <t>VRE share where long-term storage starts (J1)</t>
        </is>
      </c>
      <c r="E12" s="14" t="n">
        <v>3877</v>
      </c>
    </row>
    <row r="13">
      <c r="A13" s="14" t="inlineStr">
        <is>
          <t>lt_alloc</t>
        </is>
      </c>
      <c r="B13" s="14" t="n">
        <v>0.33</v>
      </c>
      <c r="C13" s="14" t="inlineStr">
        <is>
          <t>share</t>
        </is>
      </c>
      <c r="D13" s="14" t="inlineStr">
        <is>
          <t>allocation of long-term storage cost to VRE (J1)</t>
        </is>
      </c>
      <c r="E13" s="14" t="n">
        <v>3876</v>
      </c>
    </row>
    <row r="14">
      <c r="A14" s="14" t="inlineStr">
        <is>
          <t>sh_nxp</t>
        </is>
      </c>
      <c r="B14" s="14" t="n">
        <v>0.009244530635078244</v>
      </c>
      <c r="C14" s="14" t="inlineStr">
        <is>
          <t>share</t>
        </is>
      </c>
      <c r="D14" s="14" t="inlineStr">
        <is>
          <t>net exports / final demand, base year (H2)</t>
        </is>
      </c>
      <c r="E14" s="14" t="n">
        <v>3719</v>
      </c>
    </row>
    <row r="15">
      <c r="A15" s="14" t="inlineStr">
        <is>
          <t>sh_tsd</t>
        </is>
      </c>
      <c r="B15" s="14" t="n">
        <v>0.1899579758460582</v>
      </c>
      <c r="C15" s="14" t="inlineStr">
        <is>
          <t>share</t>
        </is>
      </c>
      <c r="D15" s="14" t="inlineStr">
        <is>
          <t>transmission and statistical differences / final demand (H2)</t>
        </is>
      </c>
      <c r="E15" s="14" t="n">
        <v>3720</v>
      </c>
    </row>
    <row r="16">
      <c r="A16" s="14" t="inlineStr">
        <is>
          <t>sh_eou</t>
        </is>
      </c>
      <c r="B16" s="14" t="n">
        <v>0.03819400277735722</v>
      </c>
      <c r="C16" s="14" t="inlineStr">
        <is>
          <t>share</t>
        </is>
      </c>
      <c r="D16" s="14" t="inlineStr">
        <is>
          <t>energy industry own use / final demand (H2)</t>
        </is>
      </c>
      <c r="E16" s="14" t="n">
        <v>3721</v>
      </c>
    </row>
    <row r="17">
      <c r="A17" s="14" t="inlineStr">
        <is>
          <t>sh_add</t>
        </is>
      </c>
      <c r="B17" s="14" t="n">
        <v>-0.01622783273917676</v>
      </c>
      <c r="C17" s="14" t="inlineStr">
        <is>
          <t>share</t>
        </is>
      </c>
      <c r="D17" s="14" t="inlineStr">
        <is>
          <t>additional statistical difference / final demand (H2)</t>
        </is>
      </c>
      <c r="E17" s="14" t="n">
        <v>3722</v>
      </c>
    </row>
    <row r="18">
      <c r="A18" s="14" t="inlineStr">
        <is>
          <t>extra_eff</t>
        </is>
      </c>
      <c r="B18" s="14" t="n">
        <v>0</v>
      </c>
      <c r="C18" s="14" t="inlineStr">
        <is>
          <t>share</t>
        </is>
      </c>
      <c r="D18" s="14" t="inlineStr">
        <is>
          <t>additional efficiency improvement of power demand (H2)</t>
        </is>
      </c>
      <c r="E18" s="14" t="n">
        <v>3719</v>
      </c>
    </row>
    <row r="19">
      <c r="A19" s="14" t="inlineStr">
        <is>
          <t>maxcf_cg</t>
        </is>
      </c>
      <c r="B19" s="14" t="n">
        <v>0.9</v>
      </c>
      <c r="C19" s="14" t="inlineStr">
        <is>
          <t>share</t>
        </is>
      </c>
      <c r="D19" s="14" t="inlineStr">
        <is>
          <t>maximum capacity factor of coal and gas (I2)</t>
        </is>
      </c>
      <c r="E19" s="14" t="n">
        <v>3783</v>
      </c>
    </row>
    <row r="20">
      <c r="A20" s="14" t="inlineStr">
        <is>
          <t>k_dispatch</t>
        </is>
      </c>
      <c r="B20" s="14" t="n">
        <v>2</v>
      </c>
      <c r="C20" s="14" t="inlineStr">
        <is>
          <t>factor</t>
        </is>
      </c>
      <c r="D20" s="14" t="inlineStr">
        <is>
          <t>logit K parameter, dispatch (H2)</t>
        </is>
      </c>
      <c r="E20" s="14" t="n">
        <v>3720</v>
      </c>
    </row>
    <row r="21">
      <c r="A21" s="14" t="inlineStr">
        <is>
          <t>k_invest</t>
        </is>
      </c>
      <c r="B21" s="14" t="n">
        <v>2</v>
      </c>
      <c r="C21" s="14" t="inlineStr">
        <is>
          <t>factor</t>
        </is>
      </c>
      <c r="D21" s="14" t="inlineStr">
        <is>
          <t>logit K parameter, investment (H2)</t>
        </is>
      </c>
      <c r="E21" s="14" t="n">
        <v>3721</v>
      </c>
    </row>
    <row r="22">
      <c r="A22" s="14" t="inlineStr">
        <is>
          <t>min_cost</t>
        </is>
      </c>
      <c r="B22" s="14" t="n">
        <v>0.01</v>
      </c>
      <c r="C22" s="14" t="inlineStr">
        <is>
          <t>$/kWh</t>
        </is>
      </c>
      <c r="D22" s="14" t="inlineStr">
        <is>
          <t>minimum cost in the logits (E1 column K)</t>
        </is>
      </c>
      <c r="E22" s="14" t="n">
        <v>3463</v>
      </c>
    </row>
    <row r="23">
      <c r="A23" s="14" t="inlineStr">
        <is>
          <t>early_max</t>
        </is>
      </c>
      <c r="B23" s="14" t="n">
        <v>0.8</v>
      </c>
      <c r="C23" s="14" t="inlineStr">
        <is>
          <t>share</t>
        </is>
      </c>
      <c r="D23" s="14" t="inlineStr">
        <is>
          <t>maximum early coal retirement, share of coal effective capacity (K4)</t>
        </is>
      </c>
      <c r="E23" s="14" t="n">
        <v>3975</v>
      </c>
    </row>
    <row r="24">
      <c r="A24" s="14" t="inlineStr">
        <is>
          <t>early_factor</t>
        </is>
      </c>
      <c r="B24" s="14" t="n">
        <v>0.8</v>
      </c>
      <c r="C24" s="14" t="inlineStr">
        <is>
          <t>share</t>
        </is>
      </c>
      <c r="D24" s="14" t="inlineStr">
        <is>
          <t>factor on cost-based early coal retirement (K5)</t>
        </is>
      </c>
      <c r="E24" s="14" t="n">
        <v>3993</v>
      </c>
    </row>
    <row r="25">
      <c r="A25" s="14" t="inlineStr">
        <is>
          <t>ktoe_gwh</t>
        </is>
      </c>
      <c r="B25" s="14" t="n">
        <v>11.63</v>
      </c>
      <c r="C25" s="14" t="inlineStr">
        <is>
          <t>GWh/ktoe</t>
        </is>
      </c>
      <c r="D25" s="14" t="inlineStr">
        <is>
          <t>GWh per ktoe</t>
        </is>
      </c>
      <c r="E25" s="14" t="n"/>
    </row>
  </sheetData>
  <pageMargins left="0.75" right="0.75" top="1" bottom="1" header="0.5" footer="0.5"/>
</worksheet>
</file>

<file path=xl/worksheets/sheet29.xml><?xml version="1.0" encoding="utf-8"?>
<worksheet xmlns="http://schemas.openxmlformats.org/spreadsheetml/2006/main">
  <sheetPr codeName="Sheet29">
    <outlinePr summaryBelow="1" summaryRight="1"/>
    <pageSetUpPr/>
  </sheetPr>
  <dimension ref="A1:D18"/>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extract_power_v2_3.py: legacy Mitigation rows 3725-3739 (H3, energy balance 2022)</t>
        </is>
      </c>
    </row>
    <row r="2">
      <c r="A2" s="2" t="inlineStr">
        <is>
          <t>Electricity demand by subsector, base year (ktoe)</t>
        </is>
      </c>
      <c r="B2" s="3" t="n"/>
      <c r="C2" s="3" t="n"/>
      <c r="D2" s="3" t="n"/>
    </row>
    <row r="3">
      <c r="A3" s="83" t="inlineStr">
        <is>
          <t>subsector</t>
        </is>
      </c>
      <c r="B3" s="83" t="inlineStr">
        <is>
          <t>name</t>
        </is>
      </c>
      <c r="C3" s="83" t="inlineStr">
        <is>
          <t>ktoe_2022</t>
        </is>
      </c>
      <c r="D3" s="83" t="inlineStr">
        <is>
          <t>legacy_row</t>
        </is>
      </c>
    </row>
    <row r="4">
      <c r="A4" s="14" t="inlineStr">
        <is>
          <t>rod</t>
        </is>
      </c>
      <c r="B4" s="14" t="inlineStr">
        <is>
          <t>Road</t>
        </is>
      </c>
      <c r="C4" s="14" t="n">
        <v>0</v>
      </c>
      <c r="D4" s="14" t="n">
        <v>3725</v>
      </c>
    </row>
    <row r="5">
      <c r="A5" s="14" t="inlineStr">
        <is>
          <t>ral</t>
        </is>
      </c>
      <c r="B5" s="14" t="inlineStr">
        <is>
          <t>Rail</t>
        </is>
      </c>
      <c r="C5" s="14" t="n">
        <v>47.63186961943863</v>
      </c>
      <c r="D5" s="14" t="n">
        <v>3726</v>
      </c>
    </row>
    <row r="6">
      <c r="A6" s="14" t="inlineStr">
        <is>
          <t>avi</t>
        </is>
      </c>
      <c r="B6" s="14" t="inlineStr">
        <is>
          <t>Domestic aviation</t>
        </is>
      </c>
      <c r="C6" s="14" t="n">
        <v>0</v>
      </c>
      <c r="D6" s="14" t="n">
        <v>3727</v>
      </c>
    </row>
    <row r="7">
      <c r="A7" s="14" t="inlineStr">
        <is>
          <t>nav</t>
        </is>
      </c>
      <c r="B7" s="14" t="inlineStr">
        <is>
          <t>Domestic navigation</t>
        </is>
      </c>
      <c r="C7" s="14" t="n">
        <v>0</v>
      </c>
      <c r="D7" s="14" t="n">
        <v>3728</v>
      </c>
    </row>
    <row r="8">
      <c r="A8" s="14" t="inlineStr">
        <is>
          <t>res</t>
        </is>
      </c>
      <c r="B8" s="14" t="inlineStr">
        <is>
          <t>Residential</t>
        </is>
      </c>
      <c r="C8" s="14" t="n">
        <v>6382.142461687616</v>
      </c>
      <c r="D8" s="14" t="n">
        <v>3729</v>
      </c>
    </row>
    <row r="9">
      <c r="A9" s="14" t="inlineStr">
        <is>
          <t>foo</t>
        </is>
      </c>
      <c r="B9" s="14" t="inlineStr">
        <is>
          <t>Food &amp; forestry</t>
        </is>
      </c>
      <c r="C9" s="14" t="n">
        <v>1257.294490171664</v>
      </c>
      <c r="D9" s="14" t="n">
        <v>3730</v>
      </c>
    </row>
    <row r="10">
      <c r="A10" s="14" t="inlineStr">
        <is>
          <t>srv</t>
        </is>
      </c>
      <c r="B10" s="14" t="inlineStr">
        <is>
          <t>Services (public &amp; private)</t>
        </is>
      </c>
      <c r="C10" s="14" t="n">
        <v>4021.530867219366</v>
      </c>
      <c r="D10" s="14" t="n">
        <v>3731</v>
      </c>
    </row>
    <row r="11">
      <c r="A11" s="14" t="inlineStr">
        <is>
          <t>mch</t>
        </is>
      </c>
      <c r="B11" s="14" t="inlineStr">
        <is>
          <t>Mining &amp; Chemicals</t>
        </is>
      </c>
      <c r="C11" s="14" t="n">
        <v>411.4954577903025</v>
      </c>
      <c r="D11" s="14" t="n">
        <v>3732</v>
      </c>
    </row>
    <row r="12">
      <c r="A12" s="14" t="inlineStr">
        <is>
          <t>irn</t>
        </is>
      </c>
      <c r="B12" s="14" t="inlineStr">
        <is>
          <t>Iron and steel</t>
        </is>
      </c>
      <c r="C12" s="14" t="n">
        <v>751.8531098444473</v>
      </c>
      <c r="D12" s="14" t="n">
        <v>3733</v>
      </c>
    </row>
    <row r="13">
      <c r="A13" s="14" t="inlineStr">
        <is>
          <t>nfm</t>
        </is>
      </c>
      <c r="B13" s="14" t="inlineStr">
        <is>
          <t>Other metals</t>
        </is>
      </c>
      <c r="C13" s="14" t="n">
        <v>6.19255526196581</v>
      </c>
      <c r="D13" s="14" t="n">
        <v>3734</v>
      </c>
    </row>
    <row r="14">
      <c r="A14" s="14" t="inlineStr">
        <is>
          <t>mac</t>
        </is>
      </c>
      <c r="B14" s="14" t="inlineStr">
        <is>
          <t>Machinery</t>
        </is>
      </c>
      <c r="C14" s="14" t="n">
        <v>573.0841184780776</v>
      </c>
      <c r="D14" s="14" t="n">
        <v>3735</v>
      </c>
    </row>
    <row r="15">
      <c r="A15" s="14" t="inlineStr">
        <is>
          <t>cem</t>
        </is>
      </c>
      <c r="B15" s="14" t="inlineStr">
        <is>
          <t>Cement</t>
        </is>
      </c>
      <c r="C15" s="14" t="n">
        <v>1270.646091846922</v>
      </c>
      <c r="D15" s="14" t="n">
        <v>3736</v>
      </c>
    </row>
    <row r="16">
      <c r="A16" s="14" t="inlineStr">
        <is>
          <t>omn</t>
        </is>
      </c>
      <c r="B16" s="14" t="inlineStr">
        <is>
          <t>Other manufacturing</t>
        </is>
      </c>
      <c r="C16" s="14" t="n">
        <v>773.8487885070347</v>
      </c>
      <c r="D16" s="14" t="n">
        <v>3737</v>
      </c>
    </row>
    <row r="17">
      <c r="A17" s="14" t="inlineStr">
        <is>
          <t>cst</t>
        </is>
      </c>
      <c r="B17" s="14" t="inlineStr">
        <is>
          <t>Construction</t>
        </is>
      </c>
      <c r="C17" s="14" t="n">
        <v>0</v>
      </c>
      <c r="D17" s="14" t="n">
        <v>3738</v>
      </c>
    </row>
    <row r="18">
      <c r="A18" s="14" t="inlineStr">
        <is>
          <t>oen</t>
        </is>
      </c>
      <c r="B18" s="14" t="inlineStr">
        <is>
          <t>Other - energy use</t>
        </is>
      </c>
      <c r="C18" s="14" t="n">
        <v>0</v>
      </c>
      <c r="D18" s="14" t="n">
        <v>3739</v>
      </c>
    </row>
  </sheetData>
  <pageMargins left="0.75" right="0.75" top="1" bottom="1" header="0.5" footer="0.5"/>
</worksheet>
</file>

<file path=xl/worksheets/sheet30.xml><?xml version="1.0" encoding="utf-8"?>
<worksheet xmlns="http://schemas.openxmlformats.org/spreadsheetml/2006/main">
  <sheetPr codeName="Sheet30">
    <outlinePr summaryBelow="1" summaryRight="1"/>
    <pageSetUpPr/>
  </sheetPr>
  <dimension ref="A1:I893"/>
  <sheetViews>
    <sheetView tabSelected="0" workbookViewId="0">
      <pane xSplit="1" ySplit="5" topLeftCell="B6" activePane="bottomRight" state="frozen"/>
      <selection pane="topRight"/>
      <selection pane="bottomLeft"/>
      <selection pane="bottomRight" activeCell="A1" sqref="A1"/>
    </sheetView>
  </sheetViews>
  <sheetFormatPr baseColWidth="8" defaultRowHeight="15" outlineLevelCol="0"/>
  <cols>
    <col width="16" customWidth="1" min="1" max="1"/>
    <col width="36" customWidth="1" min="2" max="2"/>
  </cols>
  <sheetData>
    <row r="1">
      <c r="A1" s="14" t="inlineStr">
        <is>
          <t>Source: legacy CPAT sheet ECP (as of Apr 1, 2025; WB Carbon Pricing Dashboard, ICAP) via extract_ecp_v2_3.py (data/ecp.csv)</t>
        </is>
      </c>
    </row>
    <row r="2">
      <c r="A2" s="2" t="inlineStr">
        <is>
          <t>Existing carbon pricing (ECP): carbon tax and ETS prices and coverage, legacy ECP data</t>
        </is>
      </c>
      <c r="B2" s="3" t="n"/>
      <c r="C2" s="3" t="n"/>
      <c r="D2" s="3" t="n"/>
      <c r="E2" s="3" t="n"/>
      <c r="F2" s="3" t="n"/>
      <c r="G2" s="3" t="n"/>
      <c r="H2" s="3" t="n"/>
      <c r="I2" s="3" t="n"/>
    </row>
    <row r="3">
      <c r="A3" s="14" t="inlineStr">
        <is>
          <t>Selected country (Settings C4): values used by Mitigation section 1 and Inputs (0 where the country has no entry). Prices: nominal data x CPI index (real USD/tCO2 of ResultsYear). Coverage used: last data year (shares). ecr/eer = carbon tax rate / ETS price; ecs/ees = sector coverage (pow, trs, res, ind); ecf/eef = fuel coverage.</t>
        </is>
      </c>
    </row>
    <row r="5">
      <c r="A5" s="83" t="inlineStr">
        <is>
          <t>Code</t>
        </is>
      </c>
      <c r="B5" s="83" t="inlineStr">
        <is>
          <t>Label</t>
        </is>
      </c>
      <c r="C5" s="83" t="inlineStr">
        <is>
          <t>Unit</t>
        </is>
      </c>
      <c r="D5" s="83" t="inlineStr">
        <is>
          <t>Coverage used (last data year)</t>
        </is>
      </c>
      <c r="E5" s="8" t="n">
        <v>2021</v>
      </c>
      <c r="F5" s="8" t="n">
        <v>2022</v>
      </c>
      <c r="G5" s="8" t="n">
        <v>2023</v>
      </c>
      <c r="H5" s="8" t="n">
        <v>2024</v>
      </c>
      <c r="I5" s="8" t="n">
        <v>2025</v>
      </c>
    </row>
    <row r="6">
      <c r="B6" s="14" t="inlineStr">
        <is>
          <t>Nominal-to-real factor (CPI index of ResultsYear / year)</t>
        </is>
      </c>
      <c r="C6" s="14" t="inlineStr">
        <is>
          <t>factor</t>
        </is>
      </c>
      <c r="E6" s="16">
        <f>CPIRes/INDEX(WEOVal,MATCH("USA|pcpi",WEOKey,0),MATCH(E$5,WEOYear,0))</f>
        <v/>
      </c>
      <c r="F6" s="16">
        <f>CPIRes/INDEX(WEOVal,MATCH("USA|pcpi",WEOKey,0),MATCH(F$5,WEOYear,0))</f>
        <v/>
      </c>
      <c r="G6" s="16">
        <f>CPIRes/INDEX(WEOVal,MATCH("USA|pcpi",WEOKey,0),MATCH(G$5,WEOYear,0))</f>
        <v/>
      </c>
      <c r="H6" s="16">
        <f>CPIRes/INDEX(WEOVal,MATCH("USA|pcpi",WEOKey,0),MATCH(H$5,WEOYear,0))</f>
        <v/>
      </c>
      <c r="I6" s="16">
        <f>CPIRes/INDEX(WEOVal,MATCH("USA|pcpi",WEOKey,0),MATCH(I$5,WEOYear,0))</f>
        <v/>
      </c>
    </row>
    <row r="7">
      <c r="A7" s="14" t="inlineStr">
        <is>
          <t>ecr.all</t>
        </is>
      </c>
      <c r="B7" s="14" t="inlineStr">
        <is>
          <t>Carbon tax rate</t>
        </is>
      </c>
      <c r="C7" s="14" t="inlineStr">
        <is>
          <t>USD/tCO2 real</t>
        </is>
      </c>
      <c r="E7" s="24">
        <f>IFERROR(INDEX(ECPAllVal,MATCH(CtryCode&amp;"|"&amp;$A7,ECPAllKey,0),MATCH(E$5,ECPAllYear,0)),0)*E$6</f>
        <v/>
      </c>
      <c r="F7" s="24">
        <f>IFERROR(INDEX(ECPAllVal,MATCH(CtryCode&amp;"|"&amp;$A7,ECPAllKey,0),MATCH(F$5,ECPAllYear,0)),0)*F$6</f>
        <v/>
      </c>
      <c r="G7" s="24">
        <f>IFERROR(INDEX(ECPAllVal,MATCH(CtryCode&amp;"|"&amp;$A7,ECPAllKey,0),MATCH(G$5,ECPAllYear,0)),0)*G$6</f>
        <v/>
      </c>
      <c r="H7" s="24">
        <f>IFERROR(INDEX(ECPAllVal,MATCH(CtryCode&amp;"|"&amp;$A7,ECPAllKey,0),MATCH(H$5,ECPAllYear,0)),0)*H$6</f>
        <v/>
      </c>
      <c r="I7" s="24">
        <f>IFERROR(INDEX(ECPAllVal,MATCH(CtryCode&amp;"|"&amp;$A7,ECPAllKey,0),MATCH(I$5,ECPAllYear,0)),0)*I$6</f>
        <v/>
      </c>
    </row>
    <row r="8">
      <c r="A8" s="14" t="inlineStr">
        <is>
          <t>eer.all</t>
        </is>
      </c>
      <c r="B8" s="14" t="inlineStr">
        <is>
          <t>ETS permit price</t>
        </is>
      </c>
      <c r="C8" s="14" t="inlineStr">
        <is>
          <t>USD/tCO2 real</t>
        </is>
      </c>
      <c r="E8" s="24">
        <f>IFERROR(INDEX(ECPAllVal,MATCH(CtryCode&amp;"|"&amp;$A8,ECPAllKey,0),MATCH(E$5,ECPAllYear,0)),0)*E$6</f>
        <v/>
      </c>
      <c r="F8" s="24">
        <f>IFERROR(INDEX(ECPAllVal,MATCH(CtryCode&amp;"|"&amp;$A8,ECPAllKey,0),MATCH(F$5,ECPAllYear,0)),0)*F$6</f>
        <v/>
      </c>
      <c r="G8" s="24">
        <f>IFERROR(INDEX(ECPAllVal,MATCH(CtryCode&amp;"|"&amp;$A8,ECPAllKey,0),MATCH(G$5,ECPAllYear,0)),0)*G$6</f>
        <v/>
      </c>
      <c r="H8" s="24">
        <f>IFERROR(INDEX(ECPAllVal,MATCH(CtryCode&amp;"|"&amp;$A8,ECPAllKey,0),MATCH(H$5,ECPAllYear,0)),0)*H$6</f>
        <v/>
      </c>
      <c r="I8" s="24">
        <f>IFERROR(INDEX(ECPAllVal,MATCH(CtryCode&amp;"|"&amp;$A8,ECPAllKey,0),MATCH(I$5,ECPAllYear,0)),0)*I$6</f>
        <v/>
      </c>
    </row>
    <row r="9">
      <c r="A9" s="14" t="inlineStr">
        <is>
          <t>ecs.pow</t>
        </is>
      </c>
      <c r="B9" s="14" t="inlineStr">
        <is>
          <t>Carbon tax coverage, sector power</t>
        </is>
      </c>
      <c r="C9" s="14" t="inlineStr">
        <is>
          <t>share</t>
        </is>
      </c>
      <c r="D9" s="35">
        <f>I9</f>
        <v/>
      </c>
      <c r="E9" s="35">
        <f>IFERROR(INDEX(ECPAllVal,MATCH(CtryCode&amp;"|"&amp;$A9,ECPAllKey,0),MATCH(E$5,ECPAllYear,0)),0)</f>
        <v/>
      </c>
      <c r="F9" s="35">
        <f>IFERROR(INDEX(ECPAllVal,MATCH(CtryCode&amp;"|"&amp;$A9,ECPAllKey,0),MATCH(F$5,ECPAllYear,0)),0)</f>
        <v/>
      </c>
      <c r="G9" s="35">
        <f>IFERROR(INDEX(ECPAllVal,MATCH(CtryCode&amp;"|"&amp;$A9,ECPAllKey,0),MATCH(G$5,ECPAllYear,0)),0)</f>
        <v/>
      </c>
      <c r="H9" s="35">
        <f>IFERROR(INDEX(ECPAllVal,MATCH(CtryCode&amp;"|"&amp;$A9,ECPAllKey,0),MATCH(H$5,ECPAllYear,0)),0)</f>
        <v/>
      </c>
      <c r="I9" s="35">
        <f>IFERROR(INDEX(ECPAllVal,MATCH(CtryCode&amp;"|"&amp;$A9,ECPAllKey,0),MATCH(I$5,ECPAllYear,0)),0)</f>
        <v/>
      </c>
    </row>
    <row r="10">
      <c r="A10" s="14" t="inlineStr">
        <is>
          <t>ecs.trs</t>
        </is>
      </c>
      <c r="B10" s="14" t="inlineStr">
        <is>
          <t>Carbon tax coverage, sector transport</t>
        </is>
      </c>
      <c r="C10" s="14" t="inlineStr">
        <is>
          <t>share</t>
        </is>
      </c>
      <c r="D10" s="35">
        <f>I10</f>
        <v/>
      </c>
      <c r="E10" s="35">
        <f>IFERROR(INDEX(ECPAllVal,MATCH(CtryCode&amp;"|"&amp;$A10,ECPAllKey,0),MATCH(E$5,ECPAllYear,0)),0)</f>
        <v/>
      </c>
      <c r="F10" s="35">
        <f>IFERROR(INDEX(ECPAllVal,MATCH(CtryCode&amp;"|"&amp;$A10,ECPAllKey,0),MATCH(F$5,ECPAllYear,0)),0)</f>
        <v/>
      </c>
      <c r="G10" s="35">
        <f>IFERROR(INDEX(ECPAllVal,MATCH(CtryCode&amp;"|"&amp;$A10,ECPAllKey,0),MATCH(G$5,ECPAllYear,0)),0)</f>
        <v/>
      </c>
      <c r="H10" s="35">
        <f>IFERROR(INDEX(ECPAllVal,MATCH(CtryCode&amp;"|"&amp;$A10,ECPAllKey,0),MATCH(H$5,ECPAllYear,0)),0)</f>
        <v/>
      </c>
      <c r="I10" s="35">
        <f>IFERROR(INDEX(ECPAllVal,MATCH(CtryCode&amp;"|"&amp;$A10,ECPAllKey,0),MATCH(I$5,ECPAllYear,0)),0)</f>
        <v/>
      </c>
    </row>
    <row r="11">
      <c r="A11" s="14" t="inlineStr">
        <is>
          <t>ecs.res</t>
        </is>
      </c>
      <c r="B11" s="14" t="inlineStr">
        <is>
          <t>Carbon tax coverage, sector buildings</t>
        </is>
      </c>
      <c r="C11" s="14" t="inlineStr">
        <is>
          <t>share</t>
        </is>
      </c>
      <c r="D11" s="35">
        <f>I11</f>
        <v/>
      </c>
      <c r="E11" s="35">
        <f>IFERROR(INDEX(ECPAllVal,MATCH(CtryCode&amp;"|"&amp;$A11,ECPAllKey,0),MATCH(E$5,ECPAllYear,0)),0)</f>
        <v/>
      </c>
      <c r="F11" s="35">
        <f>IFERROR(INDEX(ECPAllVal,MATCH(CtryCode&amp;"|"&amp;$A11,ECPAllKey,0),MATCH(F$5,ECPAllYear,0)),0)</f>
        <v/>
      </c>
      <c r="G11" s="35">
        <f>IFERROR(INDEX(ECPAllVal,MATCH(CtryCode&amp;"|"&amp;$A11,ECPAllKey,0),MATCH(G$5,ECPAllYear,0)),0)</f>
        <v/>
      </c>
      <c r="H11" s="35">
        <f>IFERROR(INDEX(ECPAllVal,MATCH(CtryCode&amp;"|"&amp;$A11,ECPAllKey,0),MATCH(H$5,ECPAllYear,0)),0)</f>
        <v/>
      </c>
      <c r="I11" s="35">
        <f>IFERROR(INDEX(ECPAllVal,MATCH(CtryCode&amp;"|"&amp;$A11,ECPAllKey,0),MATCH(I$5,ECPAllYear,0)),0)</f>
        <v/>
      </c>
    </row>
    <row r="12">
      <c r="A12" s="14" t="inlineStr">
        <is>
          <t>ecs.ind</t>
        </is>
      </c>
      <c r="B12" s="14" t="inlineStr">
        <is>
          <t>Carbon tax coverage, sector industry</t>
        </is>
      </c>
      <c r="C12" s="14" t="inlineStr">
        <is>
          <t>share</t>
        </is>
      </c>
      <c r="D12" s="35">
        <f>I12</f>
        <v/>
      </c>
      <c r="E12" s="35">
        <f>IFERROR(INDEX(ECPAllVal,MATCH(CtryCode&amp;"|"&amp;$A12,ECPAllKey,0),MATCH(E$5,ECPAllYear,0)),0)</f>
        <v/>
      </c>
      <c r="F12" s="35">
        <f>IFERROR(INDEX(ECPAllVal,MATCH(CtryCode&amp;"|"&amp;$A12,ECPAllKey,0),MATCH(F$5,ECPAllYear,0)),0)</f>
        <v/>
      </c>
      <c r="G12" s="35">
        <f>IFERROR(INDEX(ECPAllVal,MATCH(CtryCode&amp;"|"&amp;$A12,ECPAllKey,0),MATCH(G$5,ECPAllYear,0)),0)</f>
        <v/>
      </c>
      <c r="H12" s="35">
        <f>IFERROR(INDEX(ECPAllVal,MATCH(CtryCode&amp;"|"&amp;$A12,ECPAllKey,0),MATCH(H$5,ECPAllYear,0)),0)</f>
        <v/>
      </c>
      <c r="I12" s="35">
        <f>IFERROR(INDEX(ECPAllVal,MATCH(CtryCode&amp;"|"&amp;$A12,ECPAllKey,0),MATCH(I$5,ECPAllYear,0)),0)</f>
        <v/>
      </c>
    </row>
    <row r="13">
      <c r="A13" s="14" t="inlineStr">
        <is>
          <t>ecf.coa</t>
        </is>
      </c>
      <c r="B13" s="14" t="inlineStr">
        <is>
          <t>Carbon tax coverage, fuel Coal</t>
        </is>
      </c>
      <c r="C13" s="14" t="inlineStr">
        <is>
          <t>share</t>
        </is>
      </c>
      <c r="D13" s="35">
        <f>I13</f>
        <v/>
      </c>
      <c r="E13" s="35">
        <f>IFERROR(INDEX(ECPAllVal,MATCH(CtryCode&amp;"|"&amp;$A13,ECPAllKey,0),MATCH(E$5,ECPAllYear,0)),0)</f>
        <v/>
      </c>
      <c r="F13" s="35">
        <f>IFERROR(INDEX(ECPAllVal,MATCH(CtryCode&amp;"|"&amp;$A13,ECPAllKey,0),MATCH(F$5,ECPAllYear,0)),0)</f>
        <v/>
      </c>
      <c r="G13" s="35">
        <f>IFERROR(INDEX(ECPAllVal,MATCH(CtryCode&amp;"|"&amp;$A13,ECPAllKey,0),MATCH(G$5,ECPAllYear,0)),0)</f>
        <v/>
      </c>
      <c r="H13" s="35">
        <f>IFERROR(INDEX(ECPAllVal,MATCH(CtryCode&amp;"|"&amp;$A13,ECPAllKey,0),MATCH(H$5,ECPAllYear,0)),0)</f>
        <v/>
      </c>
      <c r="I13" s="35">
        <f>IFERROR(INDEX(ECPAllVal,MATCH(CtryCode&amp;"|"&amp;$A13,ECPAllKey,0),MATCH(I$5,ECPAllYear,0)),0)</f>
        <v/>
      </c>
    </row>
    <row r="14">
      <c r="A14" s="14" t="inlineStr">
        <is>
          <t>ecf.nga</t>
        </is>
      </c>
      <c r="B14" s="14" t="inlineStr">
        <is>
          <t>Carbon tax coverage, fuel Natural gas</t>
        </is>
      </c>
      <c r="C14" s="14" t="inlineStr">
        <is>
          <t>share</t>
        </is>
      </c>
      <c r="D14" s="35">
        <f>I14</f>
        <v/>
      </c>
      <c r="E14" s="35">
        <f>IFERROR(INDEX(ECPAllVal,MATCH(CtryCode&amp;"|"&amp;$A14,ECPAllKey,0),MATCH(E$5,ECPAllYear,0)),0)</f>
        <v/>
      </c>
      <c r="F14" s="35">
        <f>IFERROR(INDEX(ECPAllVal,MATCH(CtryCode&amp;"|"&amp;$A14,ECPAllKey,0),MATCH(F$5,ECPAllYear,0)),0)</f>
        <v/>
      </c>
      <c r="G14" s="35">
        <f>IFERROR(INDEX(ECPAllVal,MATCH(CtryCode&amp;"|"&amp;$A14,ECPAllKey,0),MATCH(G$5,ECPAllYear,0)),0)</f>
        <v/>
      </c>
      <c r="H14" s="35">
        <f>IFERROR(INDEX(ECPAllVal,MATCH(CtryCode&amp;"|"&amp;$A14,ECPAllKey,0),MATCH(H$5,ECPAllYear,0)),0)</f>
        <v/>
      </c>
      <c r="I14" s="35">
        <f>IFERROR(INDEX(ECPAllVal,MATCH(CtryCode&amp;"|"&amp;$A14,ECPAllKey,0),MATCH(I$5,ECPAllYear,0)),0)</f>
        <v/>
      </c>
    </row>
    <row r="15">
      <c r="A15" s="14" t="inlineStr">
        <is>
          <t>ecf.gso</t>
        </is>
      </c>
      <c r="B15" s="14" t="inlineStr">
        <is>
          <t>Carbon tax coverage, fuel Gasoline</t>
        </is>
      </c>
      <c r="C15" s="14" t="inlineStr">
        <is>
          <t>share</t>
        </is>
      </c>
      <c r="D15" s="35">
        <f>I15</f>
        <v/>
      </c>
      <c r="E15" s="35">
        <f>IFERROR(INDEX(ECPAllVal,MATCH(CtryCode&amp;"|"&amp;$A15,ECPAllKey,0),MATCH(E$5,ECPAllYear,0)),0)</f>
        <v/>
      </c>
      <c r="F15" s="35">
        <f>IFERROR(INDEX(ECPAllVal,MATCH(CtryCode&amp;"|"&amp;$A15,ECPAllKey,0),MATCH(F$5,ECPAllYear,0)),0)</f>
        <v/>
      </c>
      <c r="G15" s="35">
        <f>IFERROR(INDEX(ECPAllVal,MATCH(CtryCode&amp;"|"&amp;$A15,ECPAllKey,0),MATCH(G$5,ECPAllYear,0)),0)</f>
        <v/>
      </c>
      <c r="H15" s="35">
        <f>IFERROR(INDEX(ECPAllVal,MATCH(CtryCode&amp;"|"&amp;$A15,ECPAllKey,0),MATCH(H$5,ECPAllYear,0)),0)</f>
        <v/>
      </c>
      <c r="I15" s="35">
        <f>IFERROR(INDEX(ECPAllVal,MATCH(CtryCode&amp;"|"&amp;$A15,ECPAllKey,0),MATCH(I$5,ECPAllYear,0)),0)</f>
        <v/>
      </c>
    </row>
    <row r="16">
      <c r="A16" s="14" t="inlineStr">
        <is>
          <t>ecf.die</t>
        </is>
      </c>
      <c r="B16" s="14" t="inlineStr">
        <is>
          <t>Carbon tax coverage, fuel Diesel</t>
        </is>
      </c>
      <c r="C16" s="14" t="inlineStr">
        <is>
          <t>share</t>
        </is>
      </c>
      <c r="D16" s="35">
        <f>I16</f>
        <v/>
      </c>
      <c r="E16" s="35">
        <f>IFERROR(INDEX(ECPAllVal,MATCH(CtryCode&amp;"|"&amp;$A16,ECPAllKey,0),MATCH(E$5,ECPAllYear,0)),0)</f>
        <v/>
      </c>
      <c r="F16" s="35">
        <f>IFERROR(INDEX(ECPAllVal,MATCH(CtryCode&amp;"|"&amp;$A16,ECPAllKey,0),MATCH(F$5,ECPAllYear,0)),0)</f>
        <v/>
      </c>
      <c r="G16" s="35">
        <f>IFERROR(INDEX(ECPAllVal,MATCH(CtryCode&amp;"|"&amp;$A16,ECPAllKey,0),MATCH(G$5,ECPAllYear,0)),0)</f>
        <v/>
      </c>
      <c r="H16" s="35">
        <f>IFERROR(INDEX(ECPAllVal,MATCH(CtryCode&amp;"|"&amp;$A16,ECPAllKey,0),MATCH(H$5,ECPAllYear,0)),0)</f>
        <v/>
      </c>
      <c r="I16" s="35">
        <f>IFERROR(INDEX(ECPAllVal,MATCH(CtryCode&amp;"|"&amp;$A16,ECPAllKey,0),MATCH(I$5,ECPAllYear,0)),0)</f>
        <v/>
      </c>
    </row>
    <row r="17">
      <c r="A17" s="14" t="inlineStr">
        <is>
          <t>ecf.lpg</t>
        </is>
      </c>
      <c r="B17" s="14" t="inlineStr">
        <is>
          <t>Carbon tax coverage, fuel LPG</t>
        </is>
      </c>
      <c r="C17" s="14" t="inlineStr">
        <is>
          <t>share</t>
        </is>
      </c>
      <c r="D17" s="35">
        <f>I17</f>
        <v/>
      </c>
      <c r="E17" s="35">
        <f>IFERROR(INDEX(ECPAllVal,MATCH(CtryCode&amp;"|"&amp;$A17,ECPAllKey,0),MATCH(E$5,ECPAllYear,0)),0)</f>
        <v/>
      </c>
      <c r="F17" s="35">
        <f>IFERROR(INDEX(ECPAllVal,MATCH(CtryCode&amp;"|"&amp;$A17,ECPAllKey,0),MATCH(F$5,ECPAllYear,0)),0)</f>
        <v/>
      </c>
      <c r="G17" s="35">
        <f>IFERROR(INDEX(ECPAllVal,MATCH(CtryCode&amp;"|"&amp;$A17,ECPAllKey,0),MATCH(G$5,ECPAllYear,0)),0)</f>
        <v/>
      </c>
      <c r="H17" s="35">
        <f>IFERROR(INDEX(ECPAllVal,MATCH(CtryCode&amp;"|"&amp;$A17,ECPAllKey,0),MATCH(H$5,ECPAllYear,0)),0)</f>
        <v/>
      </c>
      <c r="I17" s="35">
        <f>IFERROR(INDEX(ECPAllVal,MATCH(CtryCode&amp;"|"&amp;$A17,ECPAllKey,0),MATCH(I$5,ECPAllYear,0)),0)</f>
        <v/>
      </c>
    </row>
    <row r="18">
      <c r="A18" s="14" t="inlineStr">
        <is>
          <t>ecf.ker</t>
        </is>
      </c>
      <c r="B18" s="14" t="inlineStr">
        <is>
          <t>Carbon tax coverage, fuel Kerosene</t>
        </is>
      </c>
      <c r="C18" s="14" t="inlineStr">
        <is>
          <t>share</t>
        </is>
      </c>
      <c r="D18" s="35">
        <f>I18</f>
        <v/>
      </c>
      <c r="E18" s="35">
        <f>IFERROR(INDEX(ECPAllVal,MATCH(CtryCode&amp;"|"&amp;$A18,ECPAllKey,0),MATCH(E$5,ECPAllYear,0)),0)</f>
        <v/>
      </c>
      <c r="F18" s="35">
        <f>IFERROR(INDEX(ECPAllVal,MATCH(CtryCode&amp;"|"&amp;$A18,ECPAllKey,0),MATCH(F$5,ECPAllYear,0)),0)</f>
        <v/>
      </c>
      <c r="G18" s="35">
        <f>IFERROR(INDEX(ECPAllVal,MATCH(CtryCode&amp;"|"&amp;$A18,ECPAllKey,0),MATCH(G$5,ECPAllYear,0)),0)</f>
        <v/>
      </c>
      <c r="H18" s="35">
        <f>IFERROR(INDEX(ECPAllVal,MATCH(CtryCode&amp;"|"&amp;$A18,ECPAllKey,0),MATCH(H$5,ECPAllYear,0)),0)</f>
        <v/>
      </c>
      <c r="I18" s="35">
        <f>IFERROR(INDEX(ECPAllVal,MATCH(CtryCode&amp;"|"&amp;$A18,ECPAllKey,0),MATCH(I$5,ECPAllYear,0)),0)</f>
        <v/>
      </c>
    </row>
    <row r="19">
      <c r="A19" s="14" t="inlineStr">
        <is>
          <t>ecf.oop</t>
        </is>
      </c>
      <c r="B19" s="14" t="inlineStr">
        <is>
          <t>Carbon tax coverage, fuel Other oil products</t>
        </is>
      </c>
      <c r="C19" s="14" t="inlineStr">
        <is>
          <t>share</t>
        </is>
      </c>
      <c r="D19" s="35">
        <f>I19</f>
        <v/>
      </c>
      <c r="E19" s="35">
        <f>IFERROR(INDEX(ECPAllVal,MATCH(CtryCode&amp;"|"&amp;$A19,ECPAllKey,0),MATCH(E$5,ECPAllYear,0)),0)</f>
        <v/>
      </c>
      <c r="F19" s="35">
        <f>IFERROR(INDEX(ECPAllVal,MATCH(CtryCode&amp;"|"&amp;$A19,ECPAllKey,0),MATCH(F$5,ECPAllYear,0)),0)</f>
        <v/>
      </c>
      <c r="G19" s="35">
        <f>IFERROR(INDEX(ECPAllVal,MATCH(CtryCode&amp;"|"&amp;$A19,ECPAllKey,0),MATCH(G$5,ECPAllYear,0)),0)</f>
        <v/>
      </c>
      <c r="H19" s="35">
        <f>IFERROR(INDEX(ECPAllVal,MATCH(CtryCode&amp;"|"&amp;$A19,ECPAllKey,0),MATCH(H$5,ECPAllYear,0)),0)</f>
        <v/>
      </c>
      <c r="I19" s="35">
        <f>IFERROR(INDEX(ECPAllVal,MATCH(CtryCode&amp;"|"&amp;$A19,ECPAllKey,0),MATCH(I$5,ECPAllYear,0)),0)</f>
        <v/>
      </c>
    </row>
    <row r="20">
      <c r="A20" s="14" t="inlineStr">
        <is>
          <t>ecf.bio</t>
        </is>
      </c>
      <c r="B20" s="14" t="inlineStr">
        <is>
          <t>Carbon tax coverage, fuel Biomass</t>
        </is>
      </c>
      <c r="C20" s="14" t="inlineStr">
        <is>
          <t>share</t>
        </is>
      </c>
      <c r="D20" s="35">
        <f>I20</f>
        <v/>
      </c>
      <c r="E20" s="35">
        <f>IFERROR(INDEX(ECPAllVal,MATCH(CtryCode&amp;"|"&amp;$A20,ECPAllKey,0),MATCH(E$5,ECPAllYear,0)),0)</f>
        <v/>
      </c>
      <c r="F20" s="35">
        <f>IFERROR(INDEX(ECPAllVal,MATCH(CtryCode&amp;"|"&amp;$A20,ECPAllKey,0),MATCH(F$5,ECPAllYear,0)),0)</f>
        <v/>
      </c>
      <c r="G20" s="35">
        <f>IFERROR(INDEX(ECPAllVal,MATCH(CtryCode&amp;"|"&amp;$A20,ECPAllKey,0),MATCH(G$5,ECPAllYear,0)),0)</f>
        <v/>
      </c>
      <c r="H20" s="35">
        <f>IFERROR(INDEX(ECPAllVal,MATCH(CtryCode&amp;"|"&amp;$A20,ECPAllKey,0),MATCH(H$5,ECPAllYear,0)),0)</f>
        <v/>
      </c>
      <c r="I20" s="35">
        <f>IFERROR(INDEX(ECPAllVal,MATCH(CtryCode&amp;"|"&amp;$A20,ECPAllKey,0),MATCH(I$5,ECPAllYear,0)),0)</f>
        <v/>
      </c>
    </row>
    <row r="21">
      <c r="A21" s="14" t="inlineStr">
        <is>
          <t>ees.pow</t>
        </is>
      </c>
      <c r="B21" s="14" t="inlineStr">
        <is>
          <t>ETS coverage, sector power</t>
        </is>
      </c>
      <c r="C21" s="14" t="inlineStr">
        <is>
          <t>share</t>
        </is>
      </c>
      <c r="D21" s="35">
        <f>I21</f>
        <v/>
      </c>
      <c r="E21" s="35">
        <f>IFERROR(INDEX(ECPAllVal,MATCH(CtryCode&amp;"|"&amp;$A21,ECPAllKey,0),MATCH(E$5,ECPAllYear,0)),0)</f>
        <v/>
      </c>
      <c r="F21" s="35">
        <f>IFERROR(INDEX(ECPAllVal,MATCH(CtryCode&amp;"|"&amp;$A21,ECPAllKey,0),MATCH(F$5,ECPAllYear,0)),0)</f>
        <v/>
      </c>
      <c r="G21" s="35">
        <f>IFERROR(INDEX(ECPAllVal,MATCH(CtryCode&amp;"|"&amp;$A21,ECPAllKey,0),MATCH(G$5,ECPAllYear,0)),0)</f>
        <v/>
      </c>
      <c r="H21" s="35">
        <f>IFERROR(INDEX(ECPAllVal,MATCH(CtryCode&amp;"|"&amp;$A21,ECPAllKey,0),MATCH(H$5,ECPAllYear,0)),0)</f>
        <v/>
      </c>
      <c r="I21" s="35">
        <f>IFERROR(INDEX(ECPAllVal,MATCH(CtryCode&amp;"|"&amp;$A21,ECPAllKey,0),MATCH(I$5,ECPAllYear,0)),0)</f>
        <v/>
      </c>
    </row>
    <row r="22">
      <c r="A22" s="14" t="inlineStr">
        <is>
          <t>ees.trs</t>
        </is>
      </c>
      <c r="B22" s="14" t="inlineStr">
        <is>
          <t>ETS coverage, sector transport</t>
        </is>
      </c>
      <c r="C22" s="14" t="inlineStr">
        <is>
          <t>share</t>
        </is>
      </c>
      <c r="D22" s="35">
        <f>I22</f>
        <v/>
      </c>
      <c r="E22" s="35">
        <f>IFERROR(INDEX(ECPAllVal,MATCH(CtryCode&amp;"|"&amp;$A22,ECPAllKey,0),MATCH(E$5,ECPAllYear,0)),0)</f>
        <v/>
      </c>
      <c r="F22" s="35">
        <f>IFERROR(INDEX(ECPAllVal,MATCH(CtryCode&amp;"|"&amp;$A22,ECPAllKey,0),MATCH(F$5,ECPAllYear,0)),0)</f>
        <v/>
      </c>
      <c r="G22" s="35">
        <f>IFERROR(INDEX(ECPAllVal,MATCH(CtryCode&amp;"|"&amp;$A22,ECPAllKey,0),MATCH(G$5,ECPAllYear,0)),0)</f>
        <v/>
      </c>
      <c r="H22" s="35">
        <f>IFERROR(INDEX(ECPAllVal,MATCH(CtryCode&amp;"|"&amp;$A22,ECPAllKey,0),MATCH(H$5,ECPAllYear,0)),0)</f>
        <v/>
      </c>
      <c r="I22" s="35">
        <f>IFERROR(INDEX(ECPAllVal,MATCH(CtryCode&amp;"|"&amp;$A22,ECPAllKey,0),MATCH(I$5,ECPAllYear,0)),0)</f>
        <v/>
      </c>
    </row>
    <row r="23">
      <c r="A23" s="14" t="inlineStr">
        <is>
          <t>ees.res</t>
        </is>
      </c>
      <c r="B23" s="14" t="inlineStr">
        <is>
          <t>ETS coverage, sector buildings</t>
        </is>
      </c>
      <c r="C23" s="14" t="inlineStr">
        <is>
          <t>share</t>
        </is>
      </c>
      <c r="D23" s="35">
        <f>I23</f>
        <v/>
      </c>
      <c r="E23" s="35">
        <f>IFERROR(INDEX(ECPAllVal,MATCH(CtryCode&amp;"|"&amp;$A23,ECPAllKey,0),MATCH(E$5,ECPAllYear,0)),0)</f>
        <v/>
      </c>
      <c r="F23" s="35">
        <f>IFERROR(INDEX(ECPAllVal,MATCH(CtryCode&amp;"|"&amp;$A23,ECPAllKey,0),MATCH(F$5,ECPAllYear,0)),0)</f>
        <v/>
      </c>
      <c r="G23" s="35">
        <f>IFERROR(INDEX(ECPAllVal,MATCH(CtryCode&amp;"|"&amp;$A23,ECPAllKey,0),MATCH(G$5,ECPAllYear,0)),0)</f>
        <v/>
      </c>
      <c r="H23" s="35">
        <f>IFERROR(INDEX(ECPAllVal,MATCH(CtryCode&amp;"|"&amp;$A23,ECPAllKey,0),MATCH(H$5,ECPAllYear,0)),0)</f>
        <v/>
      </c>
      <c r="I23" s="35">
        <f>IFERROR(INDEX(ECPAllVal,MATCH(CtryCode&amp;"|"&amp;$A23,ECPAllKey,0),MATCH(I$5,ECPAllYear,0)),0)</f>
        <v/>
      </c>
    </row>
    <row r="24">
      <c r="A24" s="14" t="inlineStr">
        <is>
          <t>ees.ind</t>
        </is>
      </c>
      <c r="B24" s="14" t="inlineStr">
        <is>
          <t>ETS coverage, sector industry</t>
        </is>
      </c>
      <c r="C24" s="14" t="inlineStr">
        <is>
          <t>share</t>
        </is>
      </c>
      <c r="D24" s="35">
        <f>I24</f>
        <v/>
      </c>
      <c r="E24" s="35">
        <f>IFERROR(INDEX(ECPAllVal,MATCH(CtryCode&amp;"|"&amp;$A24,ECPAllKey,0),MATCH(E$5,ECPAllYear,0)),0)</f>
        <v/>
      </c>
      <c r="F24" s="35">
        <f>IFERROR(INDEX(ECPAllVal,MATCH(CtryCode&amp;"|"&amp;$A24,ECPAllKey,0),MATCH(F$5,ECPAllYear,0)),0)</f>
        <v/>
      </c>
      <c r="G24" s="35">
        <f>IFERROR(INDEX(ECPAllVal,MATCH(CtryCode&amp;"|"&amp;$A24,ECPAllKey,0),MATCH(G$5,ECPAllYear,0)),0)</f>
        <v/>
      </c>
      <c r="H24" s="35">
        <f>IFERROR(INDEX(ECPAllVal,MATCH(CtryCode&amp;"|"&amp;$A24,ECPAllKey,0),MATCH(H$5,ECPAllYear,0)),0)</f>
        <v/>
      </c>
      <c r="I24" s="35">
        <f>IFERROR(INDEX(ECPAllVal,MATCH(CtryCode&amp;"|"&amp;$A24,ECPAllKey,0),MATCH(I$5,ECPAllYear,0)),0)</f>
        <v/>
      </c>
    </row>
    <row r="25">
      <c r="A25" s="14" t="inlineStr">
        <is>
          <t>eef.coa</t>
        </is>
      </c>
      <c r="B25" s="14" t="inlineStr">
        <is>
          <t>ETS coverage, fuel Coal</t>
        </is>
      </c>
      <c r="C25" s="14" t="inlineStr">
        <is>
          <t>share</t>
        </is>
      </c>
      <c r="D25" s="35">
        <f>I25</f>
        <v/>
      </c>
      <c r="E25" s="35">
        <f>IFERROR(INDEX(ECPAllVal,MATCH(CtryCode&amp;"|"&amp;$A25,ECPAllKey,0),MATCH(E$5,ECPAllYear,0)),0)</f>
        <v/>
      </c>
      <c r="F25" s="35">
        <f>IFERROR(INDEX(ECPAllVal,MATCH(CtryCode&amp;"|"&amp;$A25,ECPAllKey,0),MATCH(F$5,ECPAllYear,0)),0)</f>
        <v/>
      </c>
      <c r="G25" s="35">
        <f>IFERROR(INDEX(ECPAllVal,MATCH(CtryCode&amp;"|"&amp;$A25,ECPAllKey,0),MATCH(G$5,ECPAllYear,0)),0)</f>
        <v/>
      </c>
      <c r="H25" s="35">
        <f>IFERROR(INDEX(ECPAllVal,MATCH(CtryCode&amp;"|"&amp;$A25,ECPAllKey,0),MATCH(H$5,ECPAllYear,0)),0)</f>
        <v/>
      </c>
      <c r="I25" s="35">
        <f>IFERROR(INDEX(ECPAllVal,MATCH(CtryCode&amp;"|"&amp;$A25,ECPAllKey,0),MATCH(I$5,ECPAllYear,0)),0)</f>
        <v/>
      </c>
    </row>
    <row r="26">
      <c r="A26" s="14" t="inlineStr">
        <is>
          <t>eef.nga</t>
        </is>
      </c>
      <c r="B26" s="14" t="inlineStr">
        <is>
          <t>ETS coverage, fuel Natural gas</t>
        </is>
      </c>
      <c r="C26" s="14" t="inlineStr">
        <is>
          <t>share</t>
        </is>
      </c>
      <c r="D26" s="35">
        <f>I26</f>
        <v/>
      </c>
      <c r="E26" s="35">
        <f>IFERROR(INDEX(ECPAllVal,MATCH(CtryCode&amp;"|"&amp;$A26,ECPAllKey,0),MATCH(E$5,ECPAllYear,0)),0)</f>
        <v/>
      </c>
      <c r="F26" s="35">
        <f>IFERROR(INDEX(ECPAllVal,MATCH(CtryCode&amp;"|"&amp;$A26,ECPAllKey,0),MATCH(F$5,ECPAllYear,0)),0)</f>
        <v/>
      </c>
      <c r="G26" s="35">
        <f>IFERROR(INDEX(ECPAllVal,MATCH(CtryCode&amp;"|"&amp;$A26,ECPAllKey,0),MATCH(G$5,ECPAllYear,0)),0)</f>
        <v/>
      </c>
      <c r="H26" s="35">
        <f>IFERROR(INDEX(ECPAllVal,MATCH(CtryCode&amp;"|"&amp;$A26,ECPAllKey,0),MATCH(H$5,ECPAllYear,0)),0)</f>
        <v/>
      </c>
      <c r="I26" s="35">
        <f>IFERROR(INDEX(ECPAllVal,MATCH(CtryCode&amp;"|"&amp;$A26,ECPAllKey,0),MATCH(I$5,ECPAllYear,0)),0)</f>
        <v/>
      </c>
    </row>
    <row r="27">
      <c r="A27" s="14" t="inlineStr">
        <is>
          <t>eef.gso</t>
        </is>
      </c>
      <c r="B27" s="14" t="inlineStr">
        <is>
          <t>ETS coverage, fuel Gasoline</t>
        </is>
      </c>
      <c r="C27" s="14" t="inlineStr">
        <is>
          <t>share</t>
        </is>
      </c>
      <c r="D27" s="35">
        <f>I27</f>
        <v/>
      </c>
      <c r="E27" s="35">
        <f>IFERROR(INDEX(ECPAllVal,MATCH(CtryCode&amp;"|"&amp;$A27,ECPAllKey,0),MATCH(E$5,ECPAllYear,0)),0)</f>
        <v/>
      </c>
      <c r="F27" s="35">
        <f>IFERROR(INDEX(ECPAllVal,MATCH(CtryCode&amp;"|"&amp;$A27,ECPAllKey,0),MATCH(F$5,ECPAllYear,0)),0)</f>
        <v/>
      </c>
      <c r="G27" s="35">
        <f>IFERROR(INDEX(ECPAllVal,MATCH(CtryCode&amp;"|"&amp;$A27,ECPAllKey,0),MATCH(G$5,ECPAllYear,0)),0)</f>
        <v/>
      </c>
      <c r="H27" s="35">
        <f>IFERROR(INDEX(ECPAllVal,MATCH(CtryCode&amp;"|"&amp;$A27,ECPAllKey,0),MATCH(H$5,ECPAllYear,0)),0)</f>
        <v/>
      </c>
      <c r="I27" s="35">
        <f>IFERROR(INDEX(ECPAllVal,MATCH(CtryCode&amp;"|"&amp;$A27,ECPAllKey,0),MATCH(I$5,ECPAllYear,0)),0)</f>
        <v/>
      </c>
    </row>
    <row r="28">
      <c r="A28" s="14" t="inlineStr">
        <is>
          <t>eef.die</t>
        </is>
      </c>
      <c r="B28" s="14" t="inlineStr">
        <is>
          <t>ETS coverage, fuel Diesel</t>
        </is>
      </c>
      <c r="C28" s="14" t="inlineStr">
        <is>
          <t>share</t>
        </is>
      </c>
      <c r="D28" s="35">
        <f>I28</f>
        <v/>
      </c>
      <c r="E28" s="35">
        <f>IFERROR(INDEX(ECPAllVal,MATCH(CtryCode&amp;"|"&amp;$A28,ECPAllKey,0),MATCH(E$5,ECPAllYear,0)),0)</f>
        <v/>
      </c>
      <c r="F28" s="35">
        <f>IFERROR(INDEX(ECPAllVal,MATCH(CtryCode&amp;"|"&amp;$A28,ECPAllKey,0),MATCH(F$5,ECPAllYear,0)),0)</f>
        <v/>
      </c>
      <c r="G28" s="35">
        <f>IFERROR(INDEX(ECPAllVal,MATCH(CtryCode&amp;"|"&amp;$A28,ECPAllKey,0),MATCH(G$5,ECPAllYear,0)),0)</f>
        <v/>
      </c>
      <c r="H28" s="35">
        <f>IFERROR(INDEX(ECPAllVal,MATCH(CtryCode&amp;"|"&amp;$A28,ECPAllKey,0),MATCH(H$5,ECPAllYear,0)),0)</f>
        <v/>
      </c>
      <c r="I28" s="35">
        <f>IFERROR(INDEX(ECPAllVal,MATCH(CtryCode&amp;"|"&amp;$A28,ECPAllKey,0),MATCH(I$5,ECPAllYear,0)),0)</f>
        <v/>
      </c>
    </row>
    <row r="29">
      <c r="A29" s="14" t="inlineStr">
        <is>
          <t>eef.lpg</t>
        </is>
      </c>
      <c r="B29" s="14" t="inlineStr">
        <is>
          <t>ETS coverage, fuel LPG</t>
        </is>
      </c>
      <c r="C29" s="14" t="inlineStr">
        <is>
          <t>share</t>
        </is>
      </c>
      <c r="D29" s="35">
        <f>I29</f>
        <v/>
      </c>
      <c r="E29" s="35">
        <f>IFERROR(INDEX(ECPAllVal,MATCH(CtryCode&amp;"|"&amp;$A29,ECPAllKey,0),MATCH(E$5,ECPAllYear,0)),0)</f>
        <v/>
      </c>
      <c r="F29" s="35">
        <f>IFERROR(INDEX(ECPAllVal,MATCH(CtryCode&amp;"|"&amp;$A29,ECPAllKey,0),MATCH(F$5,ECPAllYear,0)),0)</f>
        <v/>
      </c>
      <c r="G29" s="35">
        <f>IFERROR(INDEX(ECPAllVal,MATCH(CtryCode&amp;"|"&amp;$A29,ECPAllKey,0),MATCH(G$5,ECPAllYear,0)),0)</f>
        <v/>
      </c>
      <c r="H29" s="35">
        <f>IFERROR(INDEX(ECPAllVal,MATCH(CtryCode&amp;"|"&amp;$A29,ECPAllKey,0),MATCH(H$5,ECPAllYear,0)),0)</f>
        <v/>
      </c>
      <c r="I29" s="35">
        <f>IFERROR(INDEX(ECPAllVal,MATCH(CtryCode&amp;"|"&amp;$A29,ECPAllKey,0),MATCH(I$5,ECPAllYear,0)),0)</f>
        <v/>
      </c>
    </row>
    <row r="30">
      <c r="A30" s="14" t="inlineStr">
        <is>
          <t>eef.ker</t>
        </is>
      </c>
      <c r="B30" s="14" t="inlineStr">
        <is>
          <t>ETS coverage, fuel Kerosene</t>
        </is>
      </c>
      <c r="C30" s="14" t="inlineStr">
        <is>
          <t>share</t>
        </is>
      </c>
      <c r="D30" s="35">
        <f>I30</f>
        <v/>
      </c>
      <c r="E30" s="35">
        <f>IFERROR(INDEX(ECPAllVal,MATCH(CtryCode&amp;"|"&amp;$A30,ECPAllKey,0),MATCH(E$5,ECPAllYear,0)),0)</f>
        <v/>
      </c>
      <c r="F30" s="35">
        <f>IFERROR(INDEX(ECPAllVal,MATCH(CtryCode&amp;"|"&amp;$A30,ECPAllKey,0),MATCH(F$5,ECPAllYear,0)),0)</f>
        <v/>
      </c>
      <c r="G30" s="35">
        <f>IFERROR(INDEX(ECPAllVal,MATCH(CtryCode&amp;"|"&amp;$A30,ECPAllKey,0),MATCH(G$5,ECPAllYear,0)),0)</f>
        <v/>
      </c>
      <c r="H30" s="35">
        <f>IFERROR(INDEX(ECPAllVal,MATCH(CtryCode&amp;"|"&amp;$A30,ECPAllKey,0),MATCH(H$5,ECPAllYear,0)),0)</f>
        <v/>
      </c>
      <c r="I30" s="35">
        <f>IFERROR(INDEX(ECPAllVal,MATCH(CtryCode&amp;"|"&amp;$A30,ECPAllKey,0),MATCH(I$5,ECPAllYear,0)),0)</f>
        <v/>
      </c>
    </row>
    <row r="31">
      <c r="A31" s="14" t="inlineStr">
        <is>
          <t>eef.oop</t>
        </is>
      </c>
      <c r="B31" s="14" t="inlineStr">
        <is>
          <t>ETS coverage, fuel Other oil products</t>
        </is>
      </c>
      <c r="C31" s="14" t="inlineStr">
        <is>
          <t>share</t>
        </is>
      </c>
      <c r="D31" s="35">
        <f>I31</f>
        <v/>
      </c>
      <c r="E31" s="35">
        <f>IFERROR(INDEX(ECPAllVal,MATCH(CtryCode&amp;"|"&amp;$A31,ECPAllKey,0),MATCH(E$5,ECPAllYear,0)),0)</f>
        <v/>
      </c>
      <c r="F31" s="35">
        <f>IFERROR(INDEX(ECPAllVal,MATCH(CtryCode&amp;"|"&amp;$A31,ECPAllKey,0),MATCH(F$5,ECPAllYear,0)),0)</f>
        <v/>
      </c>
      <c r="G31" s="35">
        <f>IFERROR(INDEX(ECPAllVal,MATCH(CtryCode&amp;"|"&amp;$A31,ECPAllKey,0),MATCH(G$5,ECPAllYear,0)),0)</f>
        <v/>
      </c>
      <c r="H31" s="35">
        <f>IFERROR(INDEX(ECPAllVal,MATCH(CtryCode&amp;"|"&amp;$A31,ECPAllKey,0),MATCH(H$5,ECPAllYear,0)),0)</f>
        <v/>
      </c>
      <c r="I31" s="35">
        <f>IFERROR(INDEX(ECPAllVal,MATCH(CtryCode&amp;"|"&amp;$A31,ECPAllKey,0),MATCH(I$5,ECPAllYear,0)),0)</f>
        <v/>
      </c>
    </row>
    <row r="32">
      <c r="A32" s="14" t="inlineStr">
        <is>
          <t>eef.bio</t>
        </is>
      </c>
      <c r="B32" s="14" t="inlineStr">
        <is>
          <t>ETS coverage, fuel Biomass</t>
        </is>
      </c>
      <c r="C32" s="14" t="inlineStr">
        <is>
          <t>share</t>
        </is>
      </c>
      <c r="D32" s="35">
        <f>I32</f>
        <v/>
      </c>
      <c r="E32" s="35">
        <f>IFERROR(INDEX(ECPAllVal,MATCH(CtryCode&amp;"|"&amp;$A32,ECPAllKey,0),MATCH(E$5,ECPAllYear,0)),0)</f>
        <v/>
      </c>
      <c r="F32" s="35">
        <f>IFERROR(INDEX(ECPAllVal,MATCH(CtryCode&amp;"|"&amp;$A32,ECPAllKey,0),MATCH(F$5,ECPAllYear,0)),0)</f>
        <v/>
      </c>
      <c r="G32" s="35">
        <f>IFERROR(INDEX(ECPAllVal,MATCH(CtryCode&amp;"|"&amp;$A32,ECPAllKey,0),MATCH(G$5,ECPAllYear,0)),0)</f>
        <v/>
      </c>
      <c r="H32" s="35">
        <f>IFERROR(INDEX(ECPAllVal,MATCH(CtryCode&amp;"|"&amp;$A32,ECPAllKey,0),MATCH(H$5,ECPAllYear,0)),0)</f>
        <v/>
      </c>
      <c r="I32" s="35">
        <f>IFERROR(INDEX(ECPAllVal,MATCH(CtryCode&amp;"|"&amp;$A32,ECPAllKey,0),MATCH(I$5,ECPAllYear,0)),0)</f>
        <v/>
      </c>
    </row>
    <row r="35">
      <c r="A35" s="1" t="inlineStr">
        <is>
          <t>All countries (legacy ECP; nominal USD/tCO2 for prices; coverage shares carried forward over blank years; one ETS per country: national, else regional EU ETS)</t>
        </is>
      </c>
    </row>
    <row r="36">
      <c r="A36" s="83" t="inlineStr">
        <is>
          <t>key</t>
        </is>
      </c>
      <c r="B36" s="83" t="inlineStr">
        <is>
          <t>country</t>
        </is>
      </c>
      <c r="C36" s="83" t="inlineStr">
        <is>
          <t>code</t>
        </is>
      </c>
      <c r="D36" s="83" t="n">
        <v>2021</v>
      </c>
      <c r="E36" s="83" t="n">
        <v>2022</v>
      </c>
      <c r="F36" s="83" t="n">
        <v>2023</v>
      </c>
      <c r="G36" s="83" t="n">
        <v>2024</v>
      </c>
      <c r="H36" s="83" t="n">
        <v>2025</v>
      </c>
    </row>
    <row r="37">
      <c r="A37" s="14" t="inlineStr">
        <is>
          <t>ALB|ecf.bio</t>
        </is>
      </c>
      <c r="B37" s="14" t="inlineStr">
        <is>
          <t>ALB</t>
        </is>
      </c>
      <c r="C37" s="14" t="inlineStr">
        <is>
          <t>ecf.bio</t>
        </is>
      </c>
      <c r="D37" s="14" t="n">
        <v>1</v>
      </c>
      <c r="E37" s="14" t="n">
        <v>1</v>
      </c>
      <c r="F37" s="14" t="n">
        <v>1</v>
      </c>
      <c r="G37" s="14" t="n">
        <v>1</v>
      </c>
      <c r="H37" s="14" t="n">
        <v>1</v>
      </c>
    </row>
    <row r="38">
      <c r="A38" s="14" t="inlineStr">
        <is>
          <t>ALB|ecf.coa</t>
        </is>
      </c>
      <c r="B38" s="14" t="inlineStr">
        <is>
          <t>ALB</t>
        </is>
      </c>
      <c r="C38" s="14" t="inlineStr">
        <is>
          <t>ecf.coa</t>
        </is>
      </c>
      <c r="D38" s="14" t="n">
        <v>1</v>
      </c>
      <c r="E38" s="14" t="n">
        <v>1</v>
      </c>
      <c r="F38" s="14" t="n">
        <v>1</v>
      </c>
      <c r="G38" s="14" t="n">
        <v>1</v>
      </c>
      <c r="H38" s="14" t="n">
        <v>1</v>
      </c>
    </row>
    <row r="39">
      <c r="A39" s="14" t="inlineStr">
        <is>
          <t>ALB|ecf.die</t>
        </is>
      </c>
      <c r="B39" s="14" t="inlineStr">
        <is>
          <t>ALB</t>
        </is>
      </c>
      <c r="C39" s="14" t="inlineStr">
        <is>
          <t>ecf.die</t>
        </is>
      </c>
      <c r="D39" s="14" t="n">
        <v>1</v>
      </c>
      <c r="E39" s="14" t="n">
        <v>1</v>
      </c>
      <c r="F39" s="14" t="n">
        <v>1</v>
      </c>
      <c r="G39" s="14" t="n">
        <v>1</v>
      </c>
      <c r="H39" s="14" t="n">
        <v>1</v>
      </c>
    </row>
    <row r="40">
      <c r="A40" s="14" t="inlineStr">
        <is>
          <t>ALB|ecf.gso</t>
        </is>
      </c>
      <c r="B40" s="14" t="inlineStr">
        <is>
          <t>ALB</t>
        </is>
      </c>
      <c r="C40" s="14" t="inlineStr">
        <is>
          <t>ecf.gso</t>
        </is>
      </c>
      <c r="D40" s="14" t="n">
        <v>1</v>
      </c>
      <c r="E40" s="14" t="n">
        <v>1</v>
      </c>
      <c r="F40" s="14" t="n">
        <v>1</v>
      </c>
      <c r="G40" s="14" t="n">
        <v>1</v>
      </c>
      <c r="H40" s="14" t="n">
        <v>1</v>
      </c>
    </row>
    <row r="41">
      <c r="A41" s="14" t="inlineStr">
        <is>
          <t>ALB|ecf.jfu</t>
        </is>
      </c>
      <c r="B41" s="14" t="inlineStr">
        <is>
          <t>ALB</t>
        </is>
      </c>
      <c r="C41" s="14" t="inlineStr">
        <is>
          <t>ecf.jfu</t>
        </is>
      </c>
      <c r="D41" s="14" t="n">
        <v>1</v>
      </c>
      <c r="E41" s="14" t="n">
        <v>1</v>
      </c>
      <c r="F41" s="14" t="n">
        <v>1</v>
      </c>
      <c r="G41" s="14" t="n">
        <v>1</v>
      </c>
      <c r="H41" s="14" t="n">
        <v>1</v>
      </c>
    </row>
    <row r="42">
      <c r="A42" s="14" t="inlineStr">
        <is>
          <t>ALB|ecf.ker</t>
        </is>
      </c>
      <c r="B42" s="14" t="inlineStr">
        <is>
          <t>ALB</t>
        </is>
      </c>
      <c r="C42" s="14" t="inlineStr">
        <is>
          <t>ecf.ker</t>
        </is>
      </c>
      <c r="D42" s="14" t="n">
        <v>1</v>
      </c>
      <c r="E42" s="14" t="n">
        <v>1</v>
      </c>
      <c r="F42" s="14" t="n">
        <v>1</v>
      </c>
      <c r="G42" s="14" t="n">
        <v>1</v>
      </c>
      <c r="H42" s="14" t="n">
        <v>1</v>
      </c>
    </row>
    <row r="43">
      <c r="A43" s="14" t="inlineStr">
        <is>
          <t>ALB|ecf.lpg</t>
        </is>
      </c>
      <c r="B43" s="14" t="inlineStr">
        <is>
          <t>ALB</t>
        </is>
      </c>
      <c r="C43" s="14" t="inlineStr">
        <is>
          <t>ecf.lpg</t>
        </is>
      </c>
      <c r="D43" s="14" t="n">
        <v>1</v>
      </c>
      <c r="E43" s="14" t="n">
        <v>1</v>
      </c>
      <c r="F43" s="14" t="n">
        <v>1</v>
      </c>
      <c r="G43" s="14" t="n">
        <v>1</v>
      </c>
      <c r="H43" s="14" t="n">
        <v>1</v>
      </c>
    </row>
    <row r="44">
      <c r="A44" s="14" t="inlineStr">
        <is>
          <t>ALB|ecf.nga</t>
        </is>
      </c>
      <c r="B44" s="14" t="inlineStr">
        <is>
          <t>ALB</t>
        </is>
      </c>
      <c r="C44" s="14" t="inlineStr">
        <is>
          <t>ecf.nga</t>
        </is>
      </c>
      <c r="D44" s="14" t="n">
        <v>1</v>
      </c>
      <c r="E44" s="14" t="n">
        <v>1</v>
      </c>
      <c r="F44" s="14" t="n">
        <v>1</v>
      </c>
      <c r="G44" s="14" t="n">
        <v>1</v>
      </c>
      <c r="H44" s="14" t="n">
        <v>1</v>
      </c>
    </row>
    <row r="45">
      <c r="A45" s="14" t="inlineStr">
        <is>
          <t>ALB|ecf.oop</t>
        </is>
      </c>
      <c r="B45" s="14" t="inlineStr">
        <is>
          <t>ALB</t>
        </is>
      </c>
      <c r="C45" s="14" t="inlineStr">
        <is>
          <t>ecf.oop</t>
        </is>
      </c>
      <c r="D45" s="14" t="n">
        <v>1</v>
      </c>
      <c r="E45" s="14" t="n">
        <v>1</v>
      </c>
      <c r="F45" s="14" t="n">
        <v>1</v>
      </c>
      <c r="G45" s="14" t="n">
        <v>1</v>
      </c>
      <c r="H45" s="14" t="n">
        <v>1</v>
      </c>
    </row>
    <row r="46">
      <c r="A46" s="14" t="inlineStr">
        <is>
          <t>ALB|ecr.all</t>
        </is>
      </c>
      <c r="B46" s="14" t="inlineStr">
        <is>
          <t>ALB</t>
        </is>
      </c>
      <c r="C46" s="14" t="inlineStr">
        <is>
          <t>ecr.all</t>
        </is>
      </c>
      <c r="D46" s="14" t="n"/>
      <c r="E46" s="14" t="n"/>
      <c r="F46" s="14" t="n">
        <v>13.111355</v>
      </c>
      <c r="G46" s="14" t="n">
        <v>13.111355</v>
      </c>
      <c r="H46" s="14" t="n">
        <v>13.691905</v>
      </c>
    </row>
    <row r="47">
      <c r="A47" s="14" t="inlineStr">
        <is>
          <t>ALB|ecs.pow</t>
        </is>
      </c>
      <c r="B47" s="14" t="inlineStr">
        <is>
          <t>ALB</t>
        </is>
      </c>
      <c r="C47" s="14" t="inlineStr">
        <is>
          <t>ecs.pow</t>
        </is>
      </c>
      <c r="D47" s="14" t="n">
        <v>1</v>
      </c>
      <c r="E47" s="14" t="n">
        <v>1</v>
      </c>
      <c r="F47" s="14" t="n">
        <v>1</v>
      </c>
      <c r="G47" s="14" t="n">
        <v>1</v>
      </c>
      <c r="H47" s="14" t="n">
        <v>1</v>
      </c>
    </row>
    <row r="48">
      <c r="A48" s="14" t="inlineStr">
        <is>
          <t>ALB|ecs.res</t>
        </is>
      </c>
      <c r="B48" s="14" t="inlineStr">
        <is>
          <t>ALB</t>
        </is>
      </c>
      <c r="C48" s="14" t="inlineStr">
        <is>
          <t>ecs.res</t>
        </is>
      </c>
      <c r="D48" s="14" t="n">
        <v>1</v>
      </c>
      <c r="E48" s="14" t="n">
        <v>1</v>
      </c>
      <c r="F48" s="14" t="n">
        <v>1</v>
      </c>
      <c r="G48" s="14" t="n">
        <v>1</v>
      </c>
      <c r="H48" s="14" t="n">
        <v>1</v>
      </c>
    </row>
    <row r="49">
      <c r="A49" s="14" t="inlineStr">
        <is>
          <t>ARG|ecf.coa</t>
        </is>
      </c>
      <c r="B49" s="14" t="inlineStr">
        <is>
          <t>ARG</t>
        </is>
      </c>
      <c r="C49" s="14" t="inlineStr">
        <is>
          <t>ecf.coa</t>
        </is>
      </c>
      <c r="D49" s="14" t="n">
        <v>1</v>
      </c>
      <c r="E49" s="14" t="n">
        <v>1</v>
      </c>
      <c r="F49" s="14" t="n">
        <v>1</v>
      </c>
      <c r="G49" s="14" t="n">
        <v>1</v>
      </c>
      <c r="H49" s="14" t="n">
        <v>1</v>
      </c>
    </row>
    <row r="50">
      <c r="A50" s="14" t="inlineStr">
        <is>
          <t>ARG|ecf.die</t>
        </is>
      </c>
      <c r="B50" s="14" t="inlineStr">
        <is>
          <t>ARG</t>
        </is>
      </c>
      <c r="C50" s="14" t="inlineStr">
        <is>
          <t>ecf.die</t>
        </is>
      </c>
      <c r="D50" s="14" t="n">
        <v>1</v>
      </c>
      <c r="E50" s="14" t="n">
        <v>1</v>
      </c>
      <c r="F50" s="14" t="n">
        <v>1</v>
      </c>
      <c r="G50" s="14" t="n">
        <v>1</v>
      </c>
      <c r="H50" s="14" t="n">
        <v>1</v>
      </c>
    </row>
    <row r="51">
      <c r="A51" s="14" t="inlineStr">
        <is>
          <t>ARG|ecf.gso</t>
        </is>
      </c>
      <c r="B51" s="14" t="inlineStr">
        <is>
          <t>ARG</t>
        </is>
      </c>
      <c r="C51" s="14" t="inlineStr">
        <is>
          <t>ecf.gso</t>
        </is>
      </c>
      <c r="D51" s="14" t="n">
        <v>1</v>
      </c>
      <c r="E51" s="14" t="n">
        <v>1</v>
      </c>
      <c r="F51" s="14" t="n">
        <v>1</v>
      </c>
      <c r="G51" s="14" t="n">
        <v>1</v>
      </c>
      <c r="H51" s="14" t="n">
        <v>1</v>
      </c>
    </row>
    <row r="52">
      <c r="A52" s="14" t="inlineStr">
        <is>
          <t>ARG|ecf.jfu</t>
        </is>
      </c>
      <c r="B52" s="14" t="inlineStr">
        <is>
          <t>ARG</t>
        </is>
      </c>
      <c r="C52" s="14" t="inlineStr">
        <is>
          <t>ecf.jfu</t>
        </is>
      </c>
      <c r="D52" s="14" t="n">
        <v>0</v>
      </c>
      <c r="E52" s="14" t="n">
        <v>0</v>
      </c>
      <c r="F52" s="14" t="n">
        <v>0</v>
      </c>
      <c r="G52" s="14" t="n">
        <v>0</v>
      </c>
      <c r="H52" s="14" t="n">
        <v>1</v>
      </c>
    </row>
    <row r="53">
      <c r="A53" s="14" t="inlineStr">
        <is>
          <t>ARG|ecf.ker</t>
        </is>
      </c>
      <c r="B53" s="14" t="inlineStr">
        <is>
          <t>ARG</t>
        </is>
      </c>
      <c r="C53" s="14" t="inlineStr">
        <is>
          <t>ecf.ker</t>
        </is>
      </c>
      <c r="D53" s="14" t="n">
        <v>1</v>
      </c>
      <c r="E53" s="14" t="n">
        <v>1</v>
      </c>
      <c r="F53" s="14" t="n">
        <v>1</v>
      </c>
      <c r="G53" s="14" t="n">
        <v>1</v>
      </c>
      <c r="H53" s="14" t="n">
        <v>1</v>
      </c>
    </row>
    <row r="54">
      <c r="A54" s="14" t="inlineStr">
        <is>
          <t>ARG|ecf.oop</t>
        </is>
      </c>
      <c r="B54" s="14" t="inlineStr">
        <is>
          <t>ARG</t>
        </is>
      </c>
      <c r="C54" s="14" t="inlineStr">
        <is>
          <t>ecf.oop</t>
        </is>
      </c>
      <c r="D54" s="14" t="n">
        <v>1</v>
      </c>
      <c r="E54" s="14" t="n">
        <v>1</v>
      </c>
      <c r="F54" s="14" t="n">
        <v>1</v>
      </c>
      <c r="G54" s="14" t="n">
        <v>1</v>
      </c>
      <c r="H54" s="14" t="n">
        <v>1</v>
      </c>
    </row>
    <row r="55">
      <c r="A55" s="14" t="inlineStr">
        <is>
          <t>ARG|ecr.all</t>
        </is>
      </c>
      <c r="B55" s="14" t="inlineStr">
        <is>
          <t>ARG</t>
        </is>
      </c>
      <c r="C55" s="14" t="inlineStr">
        <is>
          <t>ecr.all</t>
        </is>
      </c>
      <c r="D55" s="14" t="n">
        <v>4.66853</v>
      </c>
      <c r="E55" s="14" t="n">
        <v>6.071955</v>
      </c>
      <c r="F55" s="14" t="n">
        <v>5.37876</v>
      </c>
      <c r="G55" s="14" t="n">
        <v>3.043242</v>
      </c>
      <c r="H55" s="14" t="n">
        <v>5.327915</v>
      </c>
    </row>
    <row r="56">
      <c r="A56" s="14" t="inlineStr">
        <is>
          <t>ARG|ecr.coa</t>
        </is>
      </c>
      <c r="B56" s="14" t="inlineStr">
        <is>
          <t>ARG</t>
        </is>
      </c>
      <c r="C56" s="14" t="inlineStr">
        <is>
          <t>ecr.coa</t>
        </is>
      </c>
      <c r="D56" s="14" t="n">
        <v>1.669253</v>
      </c>
      <c r="E56" s="14" t="n">
        <v>2.953183</v>
      </c>
      <c r="F56" s="14" t="n">
        <v>3.269188</v>
      </c>
      <c r="G56" s="14" t="n">
        <v>2.271481</v>
      </c>
      <c r="H56" s="14" t="n">
        <v>5.327915</v>
      </c>
    </row>
    <row r="57">
      <c r="A57" s="14" t="inlineStr">
        <is>
          <t>ARG|ecr.die</t>
        </is>
      </c>
      <c r="B57" s="14" t="inlineStr">
        <is>
          <t>ARG</t>
        </is>
      </c>
      <c r="C57" s="14" t="inlineStr">
        <is>
          <t>ecr.die</t>
        </is>
      </c>
      <c r="D57" s="14" t="n">
        <v>5.595363</v>
      </c>
      <c r="E57" s="14" t="n">
        <v>7.423382</v>
      </c>
      <c r="F57" s="14" t="n">
        <v>6.571811</v>
      </c>
      <c r="G57" s="14" t="n">
        <v>3.806339</v>
      </c>
      <c r="H57" s="14" t="n">
        <v>5.327915</v>
      </c>
    </row>
    <row r="58">
      <c r="A58" s="14" t="inlineStr">
        <is>
          <t>ARG|ecr.gso</t>
        </is>
      </c>
      <c r="B58" s="14" t="inlineStr">
        <is>
          <t>ARG</t>
        </is>
      </c>
      <c r="C58" s="14" t="inlineStr">
        <is>
          <t>ecr.gso</t>
        </is>
      </c>
      <c r="D58" s="14" t="n">
        <v>5.889472</v>
      </c>
      <c r="E58" s="14" t="n">
        <v>6.781844</v>
      </c>
      <c r="F58" s="14" t="n">
        <v>5.462314</v>
      </c>
      <c r="G58" s="14" t="n">
        <v>2.60259</v>
      </c>
      <c r="H58" s="14" t="n">
        <v>5.327915</v>
      </c>
    </row>
    <row r="59">
      <c r="A59" s="14" t="inlineStr">
        <is>
          <t>ARG|ecr.ker</t>
        </is>
      </c>
      <c r="B59" s="14" t="inlineStr">
        <is>
          <t>ARG</t>
        </is>
      </c>
      <c r="C59" s="14" t="inlineStr">
        <is>
          <t>ecr.ker</t>
        </is>
      </c>
      <c r="D59" s="14" t="n">
        <v>5.881757</v>
      </c>
      <c r="E59" s="14" t="n">
        <v>7.803341</v>
      </c>
      <c r="F59" s="14" t="n">
        <v>6.908183</v>
      </c>
      <c r="G59" s="14" t="n">
        <v>4.001163</v>
      </c>
      <c r="H59" s="14" t="n">
        <v>5.327915</v>
      </c>
    </row>
    <row r="60">
      <c r="A60" s="14" t="inlineStr">
        <is>
          <t>ARG|ecr.oop</t>
        </is>
      </c>
      <c r="B60" s="14" t="inlineStr">
        <is>
          <t>ARG</t>
        </is>
      </c>
      <c r="C60" s="14" t="inlineStr">
        <is>
          <t>ecr.oop</t>
        </is>
      </c>
      <c r="D60" s="14" t="n">
        <v>4.306806</v>
      </c>
      <c r="E60" s="14" t="n">
        <v>5.398027</v>
      </c>
      <c r="F60" s="14" t="n">
        <v>4.682302</v>
      </c>
      <c r="G60" s="14" t="n">
        <v>2.534636</v>
      </c>
      <c r="H60" s="14" t="n">
        <v>5.327915</v>
      </c>
    </row>
    <row r="61">
      <c r="A61" s="14" t="inlineStr">
        <is>
          <t>ARG|ecs.ind</t>
        </is>
      </c>
      <c r="B61" s="14" t="inlineStr">
        <is>
          <t>ARG</t>
        </is>
      </c>
      <c r="C61" s="14" t="inlineStr">
        <is>
          <t>ecs.ind</t>
        </is>
      </c>
      <c r="D61" s="14" t="n">
        <v>1</v>
      </c>
      <c r="E61" s="14" t="n">
        <v>1</v>
      </c>
      <c r="F61" s="14" t="n">
        <v>1</v>
      </c>
      <c r="G61" s="14" t="n">
        <v>1</v>
      </c>
      <c r="H61" s="14" t="n">
        <v>1</v>
      </c>
    </row>
    <row r="62">
      <c r="A62" s="14" t="inlineStr">
        <is>
          <t>ARG|ecs.pow</t>
        </is>
      </c>
      <c r="B62" s="14" t="inlineStr">
        <is>
          <t>ARG</t>
        </is>
      </c>
      <c r="C62" s="14" t="inlineStr">
        <is>
          <t>ecs.pow</t>
        </is>
      </c>
      <c r="D62" s="14" t="n">
        <v>1</v>
      </c>
      <c r="E62" s="14" t="n">
        <v>1</v>
      </c>
      <c r="F62" s="14" t="n">
        <v>1</v>
      </c>
      <c r="G62" s="14" t="n">
        <v>1</v>
      </c>
      <c r="H62" s="14" t="n">
        <v>1</v>
      </c>
    </row>
    <row r="63">
      <c r="A63" s="14" t="inlineStr">
        <is>
          <t>ARG|ecs.res</t>
        </is>
      </c>
      <c r="B63" s="14" t="inlineStr">
        <is>
          <t>ARG</t>
        </is>
      </c>
      <c r="C63" s="14" t="inlineStr">
        <is>
          <t>ecs.res</t>
        </is>
      </c>
      <c r="D63" s="14" t="n">
        <v>1</v>
      </c>
      <c r="E63" s="14" t="n">
        <v>1</v>
      </c>
      <c r="F63" s="14" t="n">
        <v>1</v>
      </c>
      <c r="G63" s="14" t="n">
        <v>1</v>
      </c>
      <c r="H63" s="14" t="n">
        <v>1</v>
      </c>
    </row>
    <row r="64">
      <c r="A64" s="14" t="inlineStr">
        <is>
          <t>ARG|ecs.trs</t>
        </is>
      </c>
      <c r="B64" s="14" t="inlineStr">
        <is>
          <t>ARG</t>
        </is>
      </c>
      <c r="C64" s="14" t="inlineStr">
        <is>
          <t>ecs.trs</t>
        </is>
      </c>
      <c r="D64" s="14" t="n">
        <v>1</v>
      </c>
      <c r="E64" s="14" t="n">
        <v>1</v>
      </c>
      <c r="F64" s="14" t="n">
        <v>1</v>
      </c>
      <c r="G64" s="14" t="n">
        <v>1</v>
      </c>
      <c r="H64" s="14" t="n">
        <v>1</v>
      </c>
    </row>
    <row r="65">
      <c r="A65" s="14" t="inlineStr">
        <is>
          <t>AUS|eef.coa</t>
        </is>
      </c>
      <c r="B65" s="14" t="inlineStr">
        <is>
          <t>AUS</t>
        </is>
      </c>
      <c r="C65" s="14" t="inlineStr">
        <is>
          <t>eef.coa</t>
        </is>
      </c>
      <c r="D65" s="14" t="n"/>
      <c r="E65" s="14" t="n"/>
      <c r="F65" s="14" t="n"/>
      <c r="G65" s="14" t="n">
        <v>1</v>
      </c>
      <c r="H65" s="14" t="n">
        <v>1</v>
      </c>
    </row>
    <row r="66">
      <c r="A66" s="14" t="inlineStr">
        <is>
          <t>AUS|eef.die</t>
        </is>
      </c>
      <c r="B66" s="14" t="inlineStr">
        <is>
          <t>AUS</t>
        </is>
      </c>
      <c r="C66" s="14" t="inlineStr">
        <is>
          <t>eef.die</t>
        </is>
      </c>
      <c r="D66" s="14" t="n"/>
      <c r="E66" s="14" t="n"/>
      <c r="F66" s="14" t="n"/>
      <c r="G66" s="14" t="n">
        <v>1</v>
      </c>
      <c r="H66" s="14" t="n">
        <v>1</v>
      </c>
    </row>
    <row r="67">
      <c r="A67" s="14" t="inlineStr">
        <is>
          <t>AUS|eef.gso</t>
        </is>
      </c>
      <c r="B67" s="14" t="inlineStr">
        <is>
          <t>AUS</t>
        </is>
      </c>
      <c r="C67" s="14" t="inlineStr">
        <is>
          <t>eef.gso</t>
        </is>
      </c>
      <c r="D67" s="14" t="n"/>
      <c r="E67" s="14" t="n"/>
      <c r="F67" s="14" t="n"/>
      <c r="G67" s="14" t="n">
        <v>1</v>
      </c>
      <c r="H67" s="14" t="n">
        <v>1</v>
      </c>
    </row>
    <row r="68">
      <c r="A68" s="14" t="inlineStr">
        <is>
          <t>AUS|eef.jfu</t>
        </is>
      </c>
      <c r="B68" s="14" t="inlineStr">
        <is>
          <t>AUS</t>
        </is>
      </c>
      <c r="C68" s="14" t="inlineStr">
        <is>
          <t>eef.jfu</t>
        </is>
      </c>
      <c r="D68" s="14" t="n"/>
      <c r="E68" s="14" t="n"/>
      <c r="F68" s="14" t="n"/>
      <c r="G68" s="14" t="n">
        <v>1</v>
      </c>
      <c r="H68" s="14" t="n">
        <v>1</v>
      </c>
    </row>
    <row r="69">
      <c r="A69" s="14" t="inlineStr">
        <is>
          <t>AUS|eef.ker</t>
        </is>
      </c>
      <c r="B69" s="14" t="inlineStr">
        <is>
          <t>AUS</t>
        </is>
      </c>
      <c r="C69" s="14" t="inlineStr">
        <is>
          <t>eef.ker</t>
        </is>
      </c>
      <c r="D69" s="14" t="n"/>
      <c r="E69" s="14" t="n"/>
      <c r="F69" s="14" t="n"/>
      <c r="G69" s="14" t="n">
        <v>1</v>
      </c>
      <c r="H69" s="14" t="n">
        <v>1</v>
      </c>
    </row>
    <row r="70">
      <c r="A70" s="14" t="inlineStr">
        <is>
          <t>AUS|eef.lpg</t>
        </is>
      </c>
      <c r="B70" s="14" t="inlineStr">
        <is>
          <t>AUS</t>
        </is>
      </c>
      <c r="C70" s="14" t="inlineStr">
        <is>
          <t>eef.lpg</t>
        </is>
      </c>
      <c r="D70" s="14" t="n"/>
      <c r="E70" s="14" t="n"/>
      <c r="F70" s="14" t="n"/>
      <c r="G70" s="14" t="n">
        <v>1</v>
      </c>
      <c r="H70" s="14" t="n">
        <v>1</v>
      </c>
    </row>
    <row r="71">
      <c r="A71" s="14" t="inlineStr">
        <is>
          <t>AUS|eef.nga</t>
        </is>
      </c>
      <c r="B71" s="14" t="inlineStr">
        <is>
          <t>AUS</t>
        </is>
      </c>
      <c r="C71" s="14" t="inlineStr">
        <is>
          <t>eef.nga</t>
        </is>
      </c>
      <c r="D71" s="14" t="n"/>
      <c r="E71" s="14" t="n"/>
      <c r="F71" s="14" t="n"/>
      <c r="G71" s="14" t="n">
        <v>1</v>
      </c>
      <c r="H71" s="14" t="n">
        <v>1</v>
      </c>
    </row>
    <row r="72">
      <c r="A72" s="14" t="inlineStr">
        <is>
          <t>AUS|eef.oop</t>
        </is>
      </c>
      <c r="B72" s="14" t="inlineStr">
        <is>
          <t>AUS</t>
        </is>
      </c>
      <c r="C72" s="14" t="inlineStr">
        <is>
          <t>eef.oop</t>
        </is>
      </c>
      <c r="D72" s="14" t="n"/>
      <c r="E72" s="14" t="n"/>
      <c r="F72" s="14" t="n"/>
      <c r="G72" s="14" t="n">
        <v>1</v>
      </c>
      <c r="H72" s="14" t="n">
        <v>1</v>
      </c>
    </row>
    <row r="73">
      <c r="A73" s="14" t="inlineStr">
        <is>
          <t>AUS|eer.all</t>
        </is>
      </c>
      <c r="B73" s="14" t="inlineStr">
        <is>
          <t>AUS</t>
        </is>
      </c>
      <c r="C73" s="14" t="inlineStr">
        <is>
          <t>eer.all</t>
        </is>
      </c>
      <c r="D73" s="14" t="n"/>
      <c r="E73" s="14" t="n"/>
      <c r="F73" s="14" t="n"/>
      <c r="G73" s="14" t="n">
        <v>21.90375</v>
      </c>
      <c r="H73" s="14" t="n">
        <v>21.81612</v>
      </c>
    </row>
    <row r="74">
      <c r="A74" s="14" t="inlineStr">
        <is>
          <t>AUS|ees.ind</t>
        </is>
      </c>
      <c r="B74" s="14" t="inlineStr">
        <is>
          <t>AUS</t>
        </is>
      </c>
      <c r="C74" s="14" t="inlineStr">
        <is>
          <t>ees.ind</t>
        </is>
      </c>
      <c r="D74" s="14" t="n"/>
      <c r="E74" s="14" t="n"/>
      <c r="F74" s="14" t="n">
        <v>0.361151</v>
      </c>
      <c r="G74" s="14" t="n">
        <v>0.361151</v>
      </c>
      <c r="H74" s="14" t="n">
        <v>0.361151</v>
      </c>
    </row>
    <row r="75">
      <c r="A75" s="14" t="inlineStr">
        <is>
          <t>AUS|ees.pow</t>
        </is>
      </c>
      <c r="B75" s="14" t="inlineStr">
        <is>
          <t>AUS</t>
        </is>
      </c>
      <c r="C75" s="14" t="inlineStr">
        <is>
          <t>ees.pow</t>
        </is>
      </c>
      <c r="D75" s="14" t="n"/>
      <c r="E75" s="14" t="n"/>
      <c r="F75" s="14" t="n">
        <v>0.361151</v>
      </c>
      <c r="G75" s="14" t="n">
        <v>0.361151</v>
      </c>
      <c r="H75" s="14" t="n">
        <v>0.361151</v>
      </c>
    </row>
    <row r="76">
      <c r="A76" s="14" t="inlineStr">
        <is>
          <t>AUS|ees.trs</t>
        </is>
      </c>
      <c r="B76" s="14" t="inlineStr">
        <is>
          <t>AUS</t>
        </is>
      </c>
      <c r="C76" s="14" t="inlineStr">
        <is>
          <t>ees.trs</t>
        </is>
      </c>
      <c r="D76" s="14" t="n"/>
      <c r="E76" s="14" t="n"/>
      <c r="F76" s="14" t="n">
        <v>0.361151</v>
      </c>
      <c r="G76" s="14" t="n">
        <v>0.361151</v>
      </c>
      <c r="H76" s="14" t="n">
        <v>0.361151</v>
      </c>
    </row>
    <row r="77">
      <c r="A77" s="14" t="inlineStr">
        <is>
          <t>AUT|eef.coa</t>
        </is>
      </c>
      <c r="B77" s="14" t="inlineStr">
        <is>
          <t>AUT</t>
        </is>
      </c>
      <c r="C77" s="14" t="inlineStr">
        <is>
          <t>eef.coa</t>
        </is>
      </c>
      <c r="D77" s="14" t="n">
        <v>0</v>
      </c>
      <c r="E77" s="14" t="n">
        <v>0</v>
      </c>
      <c r="F77" s="14" t="n">
        <v>1</v>
      </c>
      <c r="G77" s="14" t="n">
        <v>1</v>
      </c>
      <c r="H77" s="14" t="n">
        <v>1</v>
      </c>
    </row>
    <row r="78">
      <c r="A78" s="14" t="inlineStr">
        <is>
          <t>AUT|eef.die</t>
        </is>
      </c>
      <c r="B78" s="14" t="inlineStr">
        <is>
          <t>AUT</t>
        </is>
      </c>
      <c r="C78" s="14" t="inlineStr">
        <is>
          <t>eef.die</t>
        </is>
      </c>
      <c r="D78" s="14" t="n">
        <v>0</v>
      </c>
      <c r="E78" s="14" t="n">
        <v>0</v>
      </c>
      <c r="F78" s="14" t="n">
        <v>1</v>
      </c>
      <c r="G78" s="14" t="n">
        <v>1</v>
      </c>
      <c r="H78" s="14" t="n">
        <v>1</v>
      </c>
    </row>
    <row r="79">
      <c r="A79" s="14" t="inlineStr">
        <is>
          <t>AUT|eef.gso</t>
        </is>
      </c>
      <c r="B79" s="14" t="inlineStr">
        <is>
          <t>AUT</t>
        </is>
      </c>
      <c r="C79" s="14" t="inlineStr">
        <is>
          <t>eef.gso</t>
        </is>
      </c>
      <c r="D79" s="14" t="n">
        <v>0</v>
      </c>
      <c r="E79" s="14" t="n">
        <v>0</v>
      </c>
      <c r="F79" s="14" t="n">
        <v>1</v>
      </c>
      <c r="G79" s="14" t="n">
        <v>1</v>
      </c>
      <c r="H79" s="14" t="n">
        <v>1</v>
      </c>
    </row>
    <row r="80">
      <c r="A80" s="14" t="inlineStr">
        <is>
          <t>AUT|eef.ker</t>
        </is>
      </c>
      <c r="B80" s="14" t="inlineStr">
        <is>
          <t>AUT</t>
        </is>
      </c>
      <c r="C80" s="14" t="inlineStr">
        <is>
          <t>eef.ker</t>
        </is>
      </c>
      <c r="D80" s="14" t="n">
        <v>0</v>
      </c>
      <c r="E80" s="14" t="n">
        <v>0</v>
      </c>
      <c r="F80" s="14" t="n">
        <v>1</v>
      </c>
      <c r="G80" s="14" t="n">
        <v>1</v>
      </c>
      <c r="H80" s="14" t="n">
        <v>1</v>
      </c>
    </row>
    <row r="81">
      <c r="A81" s="14" t="inlineStr">
        <is>
          <t>AUT|eef.lpg</t>
        </is>
      </c>
      <c r="B81" s="14" t="inlineStr">
        <is>
          <t>AUT</t>
        </is>
      </c>
      <c r="C81" s="14" t="inlineStr">
        <is>
          <t>eef.lpg</t>
        </is>
      </c>
      <c r="D81" s="14" t="n">
        <v>0</v>
      </c>
      <c r="E81" s="14" t="n">
        <v>0</v>
      </c>
      <c r="F81" s="14" t="n">
        <v>1</v>
      </c>
      <c r="G81" s="14" t="n">
        <v>1</v>
      </c>
      <c r="H81" s="14" t="n">
        <v>1</v>
      </c>
    </row>
    <row r="82">
      <c r="A82" s="14" t="inlineStr">
        <is>
          <t>AUT|eef.nga</t>
        </is>
      </c>
      <c r="B82" s="14" t="inlineStr">
        <is>
          <t>AUT</t>
        </is>
      </c>
      <c r="C82" s="14" t="inlineStr">
        <is>
          <t>eef.nga</t>
        </is>
      </c>
      <c r="D82" s="14" t="n">
        <v>0</v>
      </c>
      <c r="E82" s="14" t="n">
        <v>0</v>
      </c>
      <c r="F82" s="14" t="n">
        <v>1</v>
      </c>
      <c r="G82" s="14" t="n">
        <v>1</v>
      </c>
      <c r="H82" s="14" t="n">
        <v>1</v>
      </c>
    </row>
    <row r="83">
      <c r="A83" s="14" t="inlineStr">
        <is>
          <t>AUT|eef.oop</t>
        </is>
      </c>
      <c r="B83" s="14" t="inlineStr">
        <is>
          <t>AUT</t>
        </is>
      </c>
      <c r="C83" s="14" t="inlineStr">
        <is>
          <t>eef.oop</t>
        </is>
      </c>
      <c r="D83" s="14" t="n">
        <v>0</v>
      </c>
      <c r="E83" s="14" t="n">
        <v>0</v>
      </c>
      <c r="F83" s="14" t="n">
        <v>1</v>
      </c>
      <c r="G83" s="14" t="n">
        <v>1</v>
      </c>
      <c r="H83" s="14" t="n">
        <v>1</v>
      </c>
    </row>
    <row r="84">
      <c r="A84" s="14" t="inlineStr">
        <is>
          <t>AUT|eer.all</t>
        </is>
      </c>
      <c r="B84" s="14" t="inlineStr">
        <is>
          <t>AUT</t>
        </is>
      </c>
      <c r="C84" s="14" t="inlineStr">
        <is>
          <t>eer.all</t>
        </is>
      </c>
      <c r="D84" s="14" t="n"/>
      <c r="E84" s="14" t="n"/>
      <c r="F84" s="14" t="n">
        <v>35.34375</v>
      </c>
      <c r="G84" s="14" t="n">
        <v>48.3705</v>
      </c>
      <c r="H84" s="14" t="n">
        <v>48.546</v>
      </c>
    </row>
    <row r="85">
      <c r="A85" s="14" t="inlineStr">
        <is>
          <t>AUT|ees.ind</t>
        </is>
      </c>
      <c r="B85" s="14" t="inlineStr">
        <is>
          <t>AUT</t>
        </is>
      </c>
      <c r="C85" s="14" t="inlineStr">
        <is>
          <t>ees.ind</t>
        </is>
      </c>
      <c r="D85" s="14" t="n"/>
      <c r="E85" s="14" t="n"/>
      <c r="F85" s="14" t="n">
        <v>0.466641</v>
      </c>
      <c r="G85" s="14" t="n">
        <v>0.466641</v>
      </c>
      <c r="H85" s="14" t="n">
        <v>0.466641</v>
      </c>
    </row>
    <row r="86">
      <c r="A86" s="14" t="inlineStr">
        <is>
          <t>AUT|ees.pow</t>
        </is>
      </c>
      <c r="B86" s="14" t="inlineStr">
        <is>
          <t>AUT</t>
        </is>
      </c>
      <c r="C86" s="14" t="inlineStr">
        <is>
          <t>ees.pow</t>
        </is>
      </c>
      <c r="D86" s="14" t="n"/>
      <c r="E86" s="14" t="n"/>
      <c r="F86" s="14" t="n">
        <v>0.466641</v>
      </c>
      <c r="G86" s="14" t="n">
        <v>0.466641</v>
      </c>
      <c r="H86" s="14" t="n">
        <v>0.466641</v>
      </c>
    </row>
    <row r="87">
      <c r="A87" s="14" t="inlineStr">
        <is>
          <t>AUT|ees.res</t>
        </is>
      </c>
      <c r="B87" s="14" t="inlineStr">
        <is>
          <t>AUT</t>
        </is>
      </c>
      <c r="C87" s="14" t="inlineStr">
        <is>
          <t>ees.res</t>
        </is>
      </c>
      <c r="D87" s="14" t="n"/>
      <c r="E87" s="14" t="n"/>
      <c r="F87" s="14" t="n">
        <v>0.466641</v>
      </c>
      <c r="G87" s="14" t="n">
        <v>0.466641</v>
      </c>
      <c r="H87" s="14" t="n">
        <v>0.466641</v>
      </c>
    </row>
    <row r="88">
      <c r="A88" s="14" t="inlineStr">
        <is>
          <t>AUT|ees.trs</t>
        </is>
      </c>
      <c r="B88" s="14" t="inlineStr">
        <is>
          <t>AUT</t>
        </is>
      </c>
      <c r="C88" s="14" t="inlineStr">
        <is>
          <t>ees.trs</t>
        </is>
      </c>
      <c r="D88" s="14" t="n"/>
      <c r="E88" s="14" t="n"/>
      <c r="F88" s="14" t="n">
        <v>0.466641</v>
      </c>
      <c r="G88" s="14" t="n">
        <v>0.466641</v>
      </c>
      <c r="H88" s="14" t="n">
        <v>0.466641</v>
      </c>
    </row>
    <row r="89">
      <c r="A89" s="14" t="inlineStr">
        <is>
          <t>BEL|eef.bio</t>
        </is>
      </c>
      <c r="B89" s="14" t="inlineStr">
        <is>
          <t>BEL</t>
        </is>
      </c>
      <c r="C89" s="14" t="inlineStr">
        <is>
          <t>eef.bio</t>
        </is>
      </c>
      <c r="D89" s="14" t="n">
        <v>0</v>
      </c>
      <c r="E89" s="14" t="n">
        <v>1</v>
      </c>
      <c r="F89" s="14" t="n">
        <v>1</v>
      </c>
      <c r="G89" s="14" t="n">
        <v>1</v>
      </c>
      <c r="H89" s="14" t="n">
        <v>1</v>
      </c>
    </row>
    <row r="90">
      <c r="A90" s="14" t="inlineStr">
        <is>
          <t>BEL|eef.coa</t>
        </is>
      </c>
      <c r="B90" s="14" t="inlineStr">
        <is>
          <t>BEL</t>
        </is>
      </c>
      <c r="C90" s="14" t="inlineStr">
        <is>
          <t>eef.coa</t>
        </is>
      </c>
      <c r="D90" s="14" t="n">
        <v>1</v>
      </c>
      <c r="E90" s="14" t="n">
        <v>1</v>
      </c>
      <c r="F90" s="14" t="n">
        <v>1</v>
      </c>
      <c r="G90" s="14" t="n">
        <v>1</v>
      </c>
      <c r="H90" s="14" t="n">
        <v>1</v>
      </c>
    </row>
    <row r="91">
      <c r="A91" s="14" t="inlineStr">
        <is>
          <t>BEL|eef.die</t>
        </is>
      </c>
      <c r="B91" s="14" t="inlineStr">
        <is>
          <t>BEL</t>
        </is>
      </c>
      <c r="C91" s="14" t="inlineStr">
        <is>
          <t>eef.die</t>
        </is>
      </c>
      <c r="D91" s="14" t="n">
        <v>1</v>
      </c>
      <c r="E91" s="14" t="n">
        <v>1</v>
      </c>
      <c r="F91" s="14" t="n">
        <v>1</v>
      </c>
      <c r="G91" s="14" t="n">
        <v>1</v>
      </c>
      <c r="H91" s="14" t="n">
        <v>1</v>
      </c>
    </row>
    <row r="92">
      <c r="A92" s="14" t="inlineStr">
        <is>
          <t>BEL|eef.gso</t>
        </is>
      </c>
      <c r="B92" s="14" t="inlineStr">
        <is>
          <t>BEL</t>
        </is>
      </c>
      <c r="C92" s="14" t="inlineStr">
        <is>
          <t>eef.gso</t>
        </is>
      </c>
      <c r="D92" s="14" t="n">
        <v>1</v>
      </c>
      <c r="E92" s="14" t="n">
        <v>1</v>
      </c>
      <c r="F92" s="14" t="n">
        <v>1</v>
      </c>
      <c r="G92" s="14" t="n">
        <v>1</v>
      </c>
      <c r="H92" s="14" t="n">
        <v>1</v>
      </c>
    </row>
    <row r="93">
      <c r="A93" s="14" t="inlineStr">
        <is>
          <t>BEL|eef.jfu</t>
        </is>
      </c>
      <c r="B93" s="14" t="inlineStr">
        <is>
          <t>BEL</t>
        </is>
      </c>
      <c r="C93" s="14" t="inlineStr">
        <is>
          <t>eef.jfu</t>
        </is>
      </c>
      <c r="D93" s="14" t="n">
        <v>1</v>
      </c>
      <c r="E93" s="14" t="n">
        <v>1</v>
      </c>
      <c r="F93" s="14" t="n">
        <v>1</v>
      </c>
      <c r="G93" s="14" t="n">
        <v>1</v>
      </c>
      <c r="H93" s="14" t="n">
        <v>1</v>
      </c>
    </row>
    <row r="94">
      <c r="A94" s="14" t="inlineStr">
        <is>
          <t>BEL|eef.ker</t>
        </is>
      </c>
      <c r="B94" s="14" t="inlineStr">
        <is>
          <t>BEL</t>
        </is>
      </c>
      <c r="C94" s="14" t="inlineStr">
        <is>
          <t>eef.ker</t>
        </is>
      </c>
      <c r="D94" s="14" t="n">
        <v>1</v>
      </c>
      <c r="E94" s="14" t="n">
        <v>1</v>
      </c>
      <c r="F94" s="14" t="n">
        <v>1</v>
      </c>
      <c r="G94" s="14" t="n">
        <v>1</v>
      </c>
      <c r="H94" s="14" t="n">
        <v>1</v>
      </c>
    </row>
    <row r="95">
      <c r="A95" s="14" t="inlineStr">
        <is>
          <t>BEL|eef.lpg</t>
        </is>
      </c>
      <c r="B95" s="14" t="inlineStr">
        <is>
          <t>BEL</t>
        </is>
      </c>
      <c r="C95" s="14" t="inlineStr">
        <is>
          <t>eef.lpg</t>
        </is>
      </c>
      <c r="D95" s="14" t="n">
        <v>1</v>
      </c>
      <c r="E95" s="14" t="n">
        <v>1</v>
      </c>
      <c r="F95" s="14" t="n">
        <v>1</v>
      </c>
      <c r="G95" s="14" t="n">
        <v>1</v>
      </c>
      <c r="H95" s="14" t="n">
        <v>1</v>
      </c>
    </row>
    <row r="96">
      <c r="A96" s="14" t="inlineStr">
        <is>
          <t>BEL|eef.nga</t>
        </is>
      </c>
      <c r="B96" s="14" t="inlineStr">
        <is>
          <t>BEL</t>
        </is>
      </c>
      <c r="C96" s="14" t="inlineStr">
        <is>
          <t>eef.nga</t>
        </is>
      </c>
      <c r="D96" s="14" t="n">
        <v>1</v>
      </c>
      <c r="E96" s="14" t="n">
        <v>1</v>
      </c>
      <c r="F96" s="14" t="n">
        <v>1</v>
      </c>
      <c r="G96" s="14" t="n">
        <v>1</v>
      </c>
      <c r="H96" s="14" t="n">
        <v>1</v>
      </c>
    </row>
    <row r="97">
      <c r="A97" s="14" t="inlineStr">
        <is>
          <t>BEL|eef.oop</t>
        </is>
      </c>
      <c r="B97" s="14" t="inlineStr">
        <is>
          <t>BEL</t>
        </is>
      </c>
      <c r="C97" s="14" t="inlineStr">
        <is>
          <t>eef.oop</t>
        </is>
      </c>
      <c r="D97" s="14" t="n">
        <v>1</v>
      </c>
      <c r="E97" s="14" t="n">
        <v>1</v>
      </c>
      <c r="F97" s="14" t="n">
        <v>1</v>
      </c>
      <c r="G97" s="14" t="n">
        <v>1</v>
      </c>
      <c r="H97" s="14" t="n">
        <v>1</v>
      </c>
    </row>
    <row r="98">
      <c r="A98" s="14" t="inlineStr">
        <is>
          <t>BEL|eer.all</t>
        </is>
      </c>
      <c r="B98" s="14" t="inlineStr">
        <is>
          <t>BEL</t>
        </is>
      </c>
      <c r="C98" s="14" t="inlineStr">
        <is>
          <t>eer.all</t>
        </is>
      </c>
      <c r="D98" s="14" t="n">
        <v>49.779548</v>
      </c>
      <c r="E98" s="14" t="n">
        <v>86.52610799999999</v>
      </c>
      <c r="F98" s="14" t="n">
        <v>96.298125</v>
      </c>
      <c r="G98" s="14" t="n">
        <v>61.301547</v>
      </c>
      <c r="H98" s="14" t="n">
        <v>70.370124</v>
      </c>
    </row>
    <row r="99">
      <c r="A99" s="14" t="inlineStr">
        <is>
          <t>BEL|ees.ind</t>
        </is>
      </c>
      <c r="B99" s="14" t="inlineStr">
        <is>
          <t>BEL</t>
        </is>
      </c>
      <c r="C99" s="14" t="inlineStr">
        <is>
          <t>ees.ind</t>
        </is>
      </c>
      <c r="D99" s="14" t="n">
        <v>0.961278</v>
      </c>
      <c r="E99" s="14" t="n">
        <v>1</v>
      </c>
      <c r="F99" s="14" t="n">
        <v>1</v>
      </c>
      <c r="G99" s="14" t="n">
        <v>0.92625</v>
      </c>
      <c r="H99" s="14" t="n">
        <v>0.92625</v>
      </c>
    </row>
    <row r="100">
      <c r="A100" s="14" t="inlineStr">
        <is>
          <t>BEL|ees.pow</t>
        </is>
      </c>
      <c r="B100" s="14" t="inlineStr">
        <is>
          <t>BEL</t>
        </is>
      </c>
      <c r="C100" s="14" t="inlineStr">
        <is>
          <t>ees.pow</t>
        </is>
      </c>
      <c r="D100" s="14" t="n">
        <v>0.171709</v>
      </c>
      <c r="E100" s="14" t="n">
        <v>0.159386</v>
      </c>
      <c r="F100" s="14" t="n">
        <v>0.192117</v>
      </c>
      <c r="G100" s="14" t="n">
        <v>0.203628</v>
      </c>
      <c r="H100" s="14" t="n">
        <v>0.203628</v>
      </c>
    </row>
    <row r="101">
      <c r="A101" s="14" t="inlineStr">
        <is>
          <t>BGR|eef.bio</t>
        </is>
      </c>
      <c r="B101" s="14" t="inlineStr">
        <is>
          <t>BGR</t>
        </is>
      </c>
      <c r="C101" s="14" t="inlineStr">
        <is>
          <t>eef.bio</t>
        </is>
      </c>
      <c r="D101" s="14" t="n">
        <v>0</v>
      </c>
      <c r="E101" s="14" t="n">
        <v>1</v>
      </c>
      <c r="F101" s="14" t="n">
        <v>1</v>
      </c>
      <c r="G101" s="14" t="n">
        <v>1</v>
      </c>
      <c r="H101" s="14" t="n">
        <v>1</v>
      </c>
    </row>
    <row r="102">
      <c r="A102" s="14" t="inlineStr">
        <is>
          <t>BGR|eef.coa</t>
        </is>
      </c>
      <c r="B102" s="14" t="inlineStr">
        <is>
          <t>BGR</t>
        </is>
      </c>
      <c r="C102" s="14" t="inlineStr">
        <is>
          <t>eef.coa</t>
        </is>
      </c>
      <c r="D102" s="14" t="n">
        <v>1</v>
      </c>
      <c r="E102" s="14" t="n">
        <v>1</v>
      </c>
      <c r="F102" s="14" t="n">
        <v>1</v>
      </c>
      <c r="G102" s="14" t="n">
        <v>1</v>
      </c>
      <c r="H102" s="14" t="n">
        <v>1</v>
      </c>
    </row>
    <row r="103">
      <c r="A103" s="14" t="inlineStr">
        <is>
          <t>BGR|eef.die</t>
        </is>
      </c>
      <c r="B103" s="14" t="inlineStr">
        <is>
          <t>BGR</t>
        </is>
      </c>
      <c r="C103" s="14" t="inlineStr">
        <is>
          <t>eef.die</t>
        </is>
      </c>
      <c r="D103" s="14" t="n">
        <v>1</v>
      </c>
      <c r="E103" s="14" t="n">
        <v>1</v>
      </c>
      <c r="F103" s="14" t="n">
        <v>1</v>
      </c>
      <c r="G103" s="14" t="n">
        <v>1</v>
      </c>
      <c r="H103" s="14" t="n">
        <v>1</v>
      </c>
    </row>
    <row r="104">
      <c r="A104" s="14" t="inlineStr">
        <is>
          <t>BGR|eef.gso</t>
        </is>
      </c>
      <c r="B104" s="14" t="inlineStr">
        <is>
          <t>BGR</t>
        </is>
      </c>
      <c r="C104" s="14" t="inlineStr">
        <is>
          <t>eef.gso</t>
        </is>
      </c>
      <c r="D104" s="14" t="n">
        <v>1</v>
      </c>
      <c r="E104" s="14" t="n">
        <v>1</v>
      </c>
      <c r="F104" s="14" t="n">
        <v>1</v>
      </c>
      <c r="G104" s="14" t="n">
        <v>1</v>
      </c>
      <c r="H104" s="14" t="n">
        <v>1</v>
      </c>
    </row>
    <row r="105">
      <c r="A105" s="14" t="inlineStr">
        <is>
          <t>BGR|eef.jfu</t>
        </is>
      </c>
      <c r="B105" s="14" t="inlineStr">
        <is>
          <t>BGR</t>
        </is>
      </c>
      <c r="C105" s="14" t="inlineStr">
        <is>
          <t>eef.jfu</t>
        </is>
      </c>
      <c r="D105" s="14" t="n">
        <v>1</v>
      </c>
      <c r="E105" s="14" t="n">
        <v>1</v>
      </c>
      <c r="F105" s="14" t="n">
        <v>1</v>
      </c>
      <c r="G105" s="14" t="n">
        <v>1</v>
      </c>
      <c r="H105" s="14" t="n">
        <v>1</v>
      </c>
    </row>
    <row r="106">
      <c r="A106" s="14" t="inlineStr">
        <is>
          <t>BGR|eef.ker</t>
        </is>
      </c>
      <c r="B106" s="14" t="inlineStr">
        <is>
          <t>BGR</t>
        </is>
      </c>
      <c r="C106" s="14" t="inlineStr">
        <is>
          <t>eef.ker</t>
        </is>
      </c>
      <c r="D106" s="14" t="n">
        <v>1</v>
      </c>
      <c r="E106" s="14" t="n">
        <v>1</v>
      </c>
      <c r="F106" s="14" t="n">
        <v>1</v>
      </c>
      <c r="G106" s="14" t="n">
        <v>1</v>
      </c>
      <c r="H106" s="14" t="n">
        <v>1</v>
      </c>
    </row>
    <row r="107">
      <c r="A107" s="14" t="inlineStr">
        <is>
          <t>BGR|eef.lpg</t>
        </is>
      </c>
      <c r="B107" s="14" t="inlineStr">
        <is>
          <t>BGR</t>
        </is>
      </c>
      <c r="C107" s="14" t="inlineStr">
        <is>
          <t>eef.lpg</t>
        </is>
      </c>
      <c r="D107" s="14" t="n">
        <v>1</v>
      </c>
      <c r="E107" s="14" t="n">
        <v>1</v>
      </c>
      <c r="F107" s="14" t="n">
        <v>1</v>
      </c>
      <c r="G107" s="14" t="n">
        <v>1</v>
      </c>
      <c r="H107" s="14" t="n">
        <v>1</v>
      </c>
    </row>
    <row r="108">
      <c r="A108" s="14" t="inlineStr">
        <is>
          <t>BGR|eef.nga</t>
        </is>
      </c>
      <c r="B108" s="14" t="inlineStr">
        <is>
          <t>BGR</t>
        </is>
      </c>
      <c r="C108" s="14" t="inlineStr">
        <is>
          <t>eef.nga</t>
        </is>
      </c>
      <c r="D108" s="14" t="n">
        <v>1</v>
      </c>
      <c r="E108" s="14" t="n">
        <v>1</v>
      </c>
      <c r="F108" s="14" t="n">
        <v>1</v>
      </c>
      <c r="G108" s="14" t="n">
        <v>1</v>
      </c>
      <c r="H108" s="14" t="n">
        <v>1</v>
      </c>
    </row>
    <row r="109">
      <c r="A109" s="14" t="inlineStr">
        <is>
          <t>BGR|eef.oop</t>
        </is>
      </c>
      <c r="B109" s="14" t="inlineStr">
        <is>
          <t>BGR</t>
        </is>
      </c>
      <c r="C109" s="14" t="inlineStr">
        <is>
          <t>eef.oop</t>
        </is>
      </c>
      <c r="D109" s="14" t="n">
        <v>1</v>
      </c>
      <c r="E109" s="14" t="n">
        <v>1</v>
      </c>
      <c r="F109" s="14" t="n">
        <v>1</v>
      </c>
      <c r="G109" s="14" t="n">
        <v>1</v>
      </c>
      <c r="H109" s="14" t="n">
        <v>1</v>
      </c>
    </row>
    <row r="110">
      <c r="A110" s="14" t="inlineStr">
        <is>
          <t>BGR|eer.all</t>
        </is>
      </c>
      <c r="B110" s="14" t="inlineStr">
        <is>
          <t>BGR</t>
        </is>
      </c>
      <c r="C110" s="14" t="inlineStr">
        <is>
          <t>eer.all</t>
        </is>
      </c>
      <c r="D110" s="14" t="n">
        <v>49.779548</v>
      </c>
      <c r="E110" s="14" t="n">
        <v>86.52610799999999</v>
      </c>
      <c r="F110" s="14" t="n">
        <v>96.298125</v>
      </c>
      <c r="G110" s="14" t="n">
        <v>61.301547</v>
      </c>
      <c r="H110" s="14" t="n">
        <v>70.370124</v>
      </c>
    </row>
    <row r="111">
      <c r="A111" s="14" t="inlineStr">
        <is>
          <t>BGR|ees.ind</t>
        </is>
      </c>
      <c r="B111" s="14" t="inlineStr">
        <is>
          <t>BGR</t>
        </is>
      </c>
      <c r="C111" s="14" t="inlineStr">
        <is>
          <t>ees.ind</t>
        </is>
      </c>
      <c r="D111" s="14" t="n">
        <v>0.809318</v>
      </c>
      <c r="E111" s="14" t="n">
        <v>0.797625</v>
      </c>
      <c r="F111" s="14" t="n">
        <v>0.902721</v>
      </c>
      <c r="G111" s="14" t="n">
        <v>0.8307060000000001</v>
      </c>
      <c r="H111" s="14" t="n">
        <v>0.8307060000000001</v>
      </c>
    </row>
    <row r="112">
      <c r="A112" s="14" t="inlineStr">
        <is>
          <t>BGR|ees.pow</t>
        </is>
      </c>
      <c r="B112" s="14" t="inlineStr">
        <is>
          <t>BGR</t>
        </is>
      </c>
      <c r="C112" s="14" t="inlineStr">
        <is>
          <t>ees.pow</t>
        </is>
      </c>
      <c r="D112" s="14" t="n">
        <v>0.035134</v>
      </c>
      <c r="E112" s="14" t="n">
        <v>0.029873</v>
      </c>
      <c r="F112" s="14" t="n">
        <v>0.048904</v>
      </c>
      <c r="G112" s="14" t="n">
        <v>0.053005</v>
      </c>
      <c r="H112" s="14" t="n">
        <v>0.053005</v>
      </c>
    </row>
    <row r="113">
      <c r="A113" s="14" t="inlineStr">
        <is>
          <t>CAN|ecf.coa</t>
        </is>
      </c>
      <c r="B113" s="14" t="inlineStr">
        <is>
          <t>CAN</t>
        </is>
      </c>
      <c r="C113" s="14" t="inlineStr">
        <is>
          <t>ecf.coa</t>
        </is>
      </c>
      <c r="D113" s="14" t="n">
        <v>1</v>
      </c>
      <c r="E113" s="14" t="n">
        <v>1</v>
      </c>
      <c r="F113" s="14" t="n">
        <v>1</v>
      </c>
      <c r="G113" s="14" t="n">
        <v>1</v>
      </c>
      <c r="H113" s="14" t="n">
        <v>0</v>
      </c>
    </row>
    <row r="114">
      <c r="A114" s="14" t="inlineStr">
        <is>
          <t>CAN|ecf.die</t>
        </is>
      </c>
      <c r="B114" s="14" t="inlineStr">
        <is>
          <t>CAN</t>
        </is>
      </c>
      <c r="C114" s="14" t="inlineStr">
        <is>
          <t>ecf.die</t>
        </is>
      </c>
      <c r="D114" s="14" t="n">
        <v>1</v>
      </c>
      <c r="E114" s="14" t="n">
        <v>1</v>
      </c>
      <c r="F114" s="14" t="n">
        <v>1</v>
      </c>
      <c r="G114" s="14" t="n">
        <v>1</v>
      </c>
      <c r="H114" s="14" t="n">
        <v>0</v>
      </c>
    </row>
    <row r="115">
      <c r="A115" s="14" t="inlineStr">
        <is>
          <t>CAN|ecf.gso</t>
        </is>
      </c>
      <c r="B115" s="14" t="inlineStr">
        <is>
          <t>CAN</t>
        </is>
      </c>
      <c r="C115" s="14" t="inlineStr">
        <is>
          <t>ecf.gso</t>
        </is>
      </c>
      <c r="D115" s="14" t="n">
        <v>1</v>
      </c>
      <c r="E115" s="14" t="n">
        <v>1</v>
      </c>
      <c r="F115" s="14" t="n">
        <v>1</v>
      </c>
      <c r="G115" s="14" t="n">
        <v>1</v>
      </c>
      <c r="H115" s="14" t="n">
        <v>0</v>
      </c>
    </row>
    <row r="116">
      <c r="A116" s="14" t="inlineStr">
        <is>
          <t>CAN|ecf.jfu</t>
        </is>
      </c>
      <c r="B116" s="14" t="inlineStr">
        <is>
          <t>CAN</t>
        </is>
      </c>
      <c r="C116" s="14" t="inlineStr">
        <is>
          <t>ecf.jfu</t>
        </is>
      </c>
      <c r="D116" s="14" t="n">
        <v>1</v>
      </c>
      <c r="E116" s="14" t="n">
        <v>1</v>
      </c>
      <c r="F116" s="14" t="n">
        <v>1</v>
      </c>
      <c r="G116" s="14" t="n">
        <v>1</v>
      </c>
      <c r="H116" s="14" t="n">
        <v>0</v>
      </c>
    </row>
    <row r="117">
      <c r="A117" s="14" t="inlineStr">
        <is>
          <t>CAN|ecf.ker</t>
        </is>
      </c>
      <c r="B117" s="14" t="inlineStr">
        <is>
          <t>CAN</t>
        </is>
      </c>
      <c r="C117" s="14" t="inlineStr">
        <is>
          <t>ecf.ker</t>
        </is>
      </c>
      <c r="D117" s="14" t="n">
        <v>1</v>
      </c>
      <c r="E117" s="14" t="n">
        <v>1</v>
      </c>
      <c r="F117" s="14" t="n">
        <v>1</v>
      </c>
      <c r="G117" s="14" t="n">
        <v>1</v>
      </c>
      <c r="H117" s="14" t="n">
        <v>0</v>
      </c>
    </row>
    <row r="118">
      <c r="A118" s="14" t="inlineStr">
        <is>
          <t>CAN|ecf.lpg</t>
        </is>
      </c>
      <c r="B118" s="14" t="inlineStr">
        <is>
          <t>CAN</t>
        </is>
      </c>
      <c r="C118" s="14" t="inlineStr">
        <is>
          <t>ecf.lpg</t>
        </is>
      </c>
      <c r="D118" s="14" t="n">
        <v>1</v>
      </c>
      <c r="E118" s="14" t="n">
        <v>1</v>
      </c>
      <c r="F118" s="14" t="n">
        <v>1</v>
      </c>
      <c r="G118" s="14" t="n">
        <v>1</v>
      </c>
      <c r="H118" s="14" t="n">
        <v>0</v>
      </c>
    </row>
    <row r="119">
      <c r="A119" s="14" t="inlineStr">
        <is>
          <t>CAN|ecf.nga</t>
        </is>
      </c>
      <c r="B119" s="14" t="inlineStr">
        <is>
          <t>CAN</t>
        </is>
      </c>
      <c r="C119" s="14" t="inlineStr">
        <is>
          <t>ecf.nga</t>
        </is>
      </c>
      <c r="D119" s="14" t="n">
        <v>1</v>
      </c>
      <c r="E119" s="14" t="n">
        <v>1</v>
      </c>
      <c r="F119" s="14" t="n">
        <v>1</v>
      </c>
      <c r="G119" s="14" t="n">
        <v>1</v>
      </c>
      <c r="H119" s="14" t="n">
        <v>0</v>
      </c>
    </row>
    <row r="120">
      <c r="A120" s="14" t="inlineStr">
        <is>
          <t>CAN|ecf.oop</t>
        </is>
      </c>
      <c r="B120" s="14" t="inlineStr">
        <is>
          <t>CAN</t>
        </is>
      </c>
      <c r="C120" s="14" t="inlineStr">
        <is>
          <t>ecf.oop</t>
        </is>
      </c>
      <c r="D120" s="14" t="n">
        <v>1</v>
      </c>
      <c r="E120" s="14" t="n">
        <v>1</v>
      </c>
      <c r="F120" s="14" t="n">
        <v>1</v>
      </c>
      <c r="G120" s="14" t="n">
        <v>1</v>
      </c>
      <c r="H120" s="14" t="n">
        <v>0</v>
      </c>
    </row>
    <row r="121">
      <c r="A121" s="14" t="inlineStr">
        <is>
          <t>CAN|ecr.all</t>
        </is>
      </c>
      <c r="B121" s="14" t="inlineStr">
        <is>
          <t>CAN</t>
        </is>
      </c>
      <c r="C121" s="14" t="inlineStr">
        <is>
          <t>ecr.all</t>
        </is>
      </c>
      <c r="D121" s="14" t="n">
        <v>31.834461</v>
      </c>
      <c r="E121" s="14" t="n">
        <v>39.96</v>
      </c>
      <c r="F121" s="14" t="n">
        <v>48.03074</v>
      </c>
      <c r="G121" s="14" t="n">
        <v>58.944887</v>
      </c>
      <c r="H121" s="14" t="n"/>
    </row>
    <row r="122">
      <c r="A122" s="14" t="inlineStr">
        <is>
          <t>CAN|ecs.ind</t>
        </is>
      </c>
      <c r="B122" s="14" t="inlineStr">
        <is>
          <t>CAN</t>
        </is>
      </c>
      <c r="C122" s="14" t="inlineStr">
        <is>
          <t>ecs.ind</t>
        </is>
      </c>
      <c r="D122" s="14" t="n">
        <v>1</v>
      </c>
      <c r="E122" s="14" t="n">
        <v>1</v>
      </c>
      <c r="F122" s="14" t="n">
        <v>1</v>
      </c>
      <c r="G122" s="14" t="n">
        <v>1</v>
      </c>
      <c r="H122" s="14" t="n">
        <v>0</v>
      </c>
    </row>
    <row r="123">
      <c r="A123" s="14" t="inlineStr">
        <is>
          <t>CAN|ecs.trs</t>
        </is>
      </c>
      <c r="B123" s="14" t="inlineStr">
        <is>
          <t>CAN</t>
        </is>
      </c>
      <c r="C123" s="14" t="inlineStr">
        <is>
          <t>ecs.trs</t>
        </is>
      </c>
      <c r="D123" s="14" t="n">
        <v>1</v>
      </c>
      <c r="E123" s="14" t="n">
        <v>1</v>
      </c>
      <c r="F123" s="14" t="n">
        <v>1</v>
      </c>
      <c r="G123" s="14" t="n">
        <v>1</v>
      </c>
      <c r="H123" s="14" t="n">
        <v>0</v>
      </c>
    </row>
    <row r="124">
      <c r="A124" s="14" t="inlineStr">
        <is>
          <t>CAN|eef.coa</t>
        </is>
      </c>
      <c r="B124" s="14" t="inlineStr">
        <is>
          <t>CAN</t>
        </is>
      </c>
      <c r="C124" s="14" t="inlineStr">
        <is>
          <t>eef.coa</t>
        </is>
      </c>
      <c r="D124" s="14" t="n">
        <v>1</v>
      </c>
      <c r="E124" s="14" t="n">
        <v>1</v>
      </c>
      <c r="F124" s="14" t="n">
        <v>1</v>
      </c>
      <c r="G124" s="14" t="n">
        <v>1</v>
      </c>
      <c r="H124" s="14" t="n">
        <v>1</v>
      </c>
    </row>
    <row r="125">
      <c r="A125" s="14" t="inlineStr">
        <is>
          <t>CAN|eef.die</t>
        </is>
      </c>
      <c r="B125" s="14" t="inlineStr">
        <is>
          <t>CAN</t>
        </is>
      </c>
      <c r="C125" s="14" t="inlineStr">
        <is>
          <t>eef.die</t>
        </is>
      </c>
      <c r="D125" s="14" t="n">
        <v>1</v>
      </c>
      <c r="E125" s="14" t="n">
        <v>1</v>
      </c>
      <c r="F125" s="14" t="n">
        <v>1</v>
      </c>
      <c r="G125" s="14" t="n">
        <v>1</v>
      </c>
      <c r="H125" s="14" t="n">
        <v>1</v>
      </c>
    </row>
    <row r="126">
      <c r="A126" s="14" t="inlineStr">
        <is>
          <t>CAN|eef.gso</t>
        </is>
      </c>
      <c r="B126" s="14" t="inlineStr">
        <is>
          <t>CAN</t>
        </is>
      </c>
      <c r="C126" s="14" t="inlineStr">
        <is>
          <t>eef.gso</t>
        </is>
      </c>
      <c r="D126" s="14" t="n">
        <v>1</v>
      </c>
      <c r="E126" s="14" t="n">
        <v>1</v>
      </c>
      <c r="F126" s="14" t="n">
        <v>1</v>
      </c>
      <c r="G126" s="14" t="n">
        <v>1</v>
      </c>
      <c r="H126" s="14" t="n">
        <v>1</v>
      </c>
    </row>
    <row r="127">
      <c r="A127" s="14" t="inlineStr">
        <is>
          <t>CAN|eef.ker</t>
        </is>
      </c>
      <c r="B127" s="14" t="inlineStr">
        <is>
          <t>CAN</t>
        </is>
      </c>
      <c r="C127" s="14" t="inlineStr">
        <is>
          <t>eef.ker</t>
        </is>
      </c>
      <c r="D127" s="14" t="n">
        <v>1</v>
      </c>
      <c r="E127" s="14" t="n">
        <v>1</v>
      </c>
      <c r="F127" s="14" t="n">
        <v>1</v>
      </c>
      <c r="G127" s="14" t="n">
        <v>1</v>
      </c>
      <c r="H127" s="14" t="n">
        <v>1</v>
      </c>
    </row>
    <row r="128">
      <c r="A128" s="14" t="inlineStr">
        <is>
          <t>CAN|eef.lpg</t>
        </is>
      </c>
      <c r="B128" s="14" t="inlineStr">
        <is>
          <t>CAN</t>
        </is>
      </c>
      <c r="C128" s="14" t="inlineStr">
        <is>
          <t>eef.lpg</t>
        </is>
      </c>
      <c r="D128" s="14" t="n">
        <v>1</v>
      </c>
      <c r="E128" s="14" t="n">
        <v>1</v>
      </c>
      <c r="F128" s="14" t="n">
        <v>1</v>
      </c>
      <c r="G128" s="14" t="n">
        <v>1</v>
      </c>
      <c r="H128" s="14" t="n">
        <v>1</v>
      </c>
    </row>
    <row r="129">
      <c r="A129" s="14" t="inlineStr">
        <is>
          <t>CAN|eef.nga</t>
        </is>
      </c>
      <c r="B129" s="14" t="inlineStr">
        <is>
          <t>CAN</t>
        </is>
      </c>
      <c r="C129" s="14" t="inlineStr">
        <is>
          <t>eef.nga</t>
        </is>
      </c>
      <c r="D129" s="14" t="n">
        <v>1</v>
      </c>
      <c r="E129" s="14" t="n">
        <v>1</v>
      </c>
      <c r="F129" s="14" t="n">
        <v>1</v>
      </c>
      <c r="G129" s="14" t="n">
        <v>1</v>
      </c>
      <c r="H129" s="14" t="n">
        <v>1</v>
      </c>
    </row>
    <row r="130">
      <c r="A130" s="14" t="inlineStr">
        <is>
          <t>CAN|eef.oop</t>
        </is>
      </c>
      <c r="B130" s="14" t="inlineStr">
        <is>
          <t>CAN</t>
        </is>
      </c>
      <c r="C130" s="14" t="inlineStr">
        <is>
          <t>eef.oop</t>
        </is>
      </c>
      <c r="D130" s="14" t="n">
        <v>1</v>
      </c>
      <c r="E130" s="14" t="n">
        <v>1</v>
      </c>
      <c r="F130" s="14" t="n">
        <v>1</v>
      </c>
      <c r="G130" s="14" t="n">
        <v>1</v>
      </c>
      <c r="H130" s="14" t="n">
        <v>1</v>
      </c>
    </row>
    <row r="131">
      <c r="A131" s="14" t="inlineStr">
        <is>
          <t>CAN|eer.all</t>
        </is>
      </c>
      <c r="B131" s="14" t="inlineStr">
        <is>
          <t>CAN</t>
        </is>
      </c>
      <c r="C131" s="14" t="inlineStr">
        <is>
          <t>eer.all</t>
        </is>
      </c>
      <c r="D131" s="14" t="n">
        <v>31.834461</v>
      </c>
      <c r="E131" s="14" t="n">
        <v>39.961637</v>
      </c>
      <c r="F131" s="14" t="n">
        <v>48.03074</v>
      </c>
      <c r="G131" s="14" t="n">
        <v>58.944887</v>
      </c>
      <c r="H131" s="14" t="n">
        <v>66.211319</v>
      </c>
    </row>
    <row r="132">
      <c r="A132" s="14" t="inlineStr">
        <is>
          <t>CAN|ees.ind</t>
        </is>
      </c>
      <c r="B132" s="14" t="inlineStr">
        <is>
          <t>CAN</t>
        </is>
      </c>
      <c r="C132" s="14" t="inlineStr">
        <is>
          <t>ees.ind</t>
        </is>
      </c>
      <c r="D132" s="14" t="n">
        <v>0.080508</v>
      </c>
      <c r="E132" s="14" t="n">
        <v>0.081467</v>
      </c>
      <c r="F132" s="14" t="n">
        <v>0.08257399999999999</v>
      </c>
      <c r="G132" s="14" t="n">
        <v>0.08257399999999999</v>
      </c>
      <c r="H132" s="14" t="n">
        <v>0.08257399999999999</v>
      </c>
    </row>
    <row r="133">
      <c r="A133" s="14" t="inlineStr">
        <is>
          <t>CAN|ees.pow</t>
        </is>
      </c>
      <c r="B133" s="14" t="inlineStr">
        <is>
          <t>CAN</t>
        </is>
      </c>
      <c r="C133" s="14" t="inlineStr">
        <is>
          <t>ees.pow</t>
        </is>
      </c>
      <c r="D133" s="14" t="n">
        <v>0.080508</v>
      </c>
      <c r="E133" s="14" t="n">
        <v>0.081467</v>
      </c>
      <c r="F133" s="14" t="n">
        <v>0.08257399999999999</v>
      </c>
      <c r="G133" s="14" t="n">
        <v>0.08257399999999999</v>
      </c>
      <c r="H133" s="14" t="n">
        <v>0.08257399999999999</v>
      </c>
    </row>
    <row r="134">
      <c r="A134" s="14" t="inlineStr">
        <is>
          <t>CHE|ecf.coa</t>
        </is>
      </c>
      <c r="B134" s="14" t="inlineStr">
        <is>
          <t>CHE</t>
        </is>
      </c>
      <c r="C134" s="14" t="inlineStr">
        <is>
          <t>ecf.coa</t>
        </is>
      </c>
      <c r="D134" s="14" t="n">
        <v>1</v>
      </c>
      <c r="E134" s="14" t="n">
        <v>1</v>
      </c>
      <c r="F134" s="14" t="n">
        <v>1</v>
      </c>
      <c r="G134" s="14" t="n">
        <v>1</v>
      </c>
      <c r="H134" s="14" t="n">
        <v>1</v>
      </c>
    </row>
    <row r="135">
      <c r="A135" s="14" t="inlineStr">
        <is>
          <t>CHE|ecf.ker</t>
        </is>
      </c>
      <c r="B135" s="14" t="inlineStr">
        <is>
          <t>CHE</t>
        </is>
      </c>
      <c r="C135" s="14" t="inlineStr">
        <is>
          <t>ecf.ker</t>
        </is>
      </c>
      <c r="D135" s="14" t="n">
        <v>1</v>
      </c>
      <c r="E135" s="14" t="n">
        <v>1</v>
      </c>
      <c r="F135" s="14" t="n">
        <v>1</v>
      </c>
      <c r="G135" s="14" t="n">
        <v>1</v>
      </c>
      <c r="H135" s="14" t="n">
        <v>1</v>
      </c>
    </row>
    <row r="136">
      <c r="A136" s="14" t="inlineStr">
        <is>
          <t>CHE|ecf.lpg</t>
        </is>
      </c>
      <c r="B136" s="14" t="inlineStr">
        <is>
          <t>CHE</t>
        </is>
      </c>
      <c r="C136" s="14" t="inlineStr">
        <is>
          <t>ecf.lpg</t>
        </is>
      </c>
      <c r="D136" s="14" t="n">
        <v>1</v>
      </c>
      <c r="E136" s="14" t="n">
        <v>1</v>
      </c>
      <c r="F136" s="14" t="n">
        <v>1</v>
      </c>
      <c r="G136" s="14" t="n">
        <v>1</v>
      </c>
      <c r="H136" s="14" t="n">
        <v>1</v>
      </c>
    </row>
    <row r="137">
      <c r="A137" s="14" t="inlineStr">
        <is>
          <t>CHE|ecf.nga</t>
        </is>
      </c>
      <c r="B137" s="14" t="inlineStr">
        <is>
          <t>CHE</t>
        </is>
      </c>
      <c r="C137" s="14" t="inlineStr">
        <is>
          <t>ecf.nga</t>
        </is>
      </c>
      <c r="D137" s="14" t="n">
        <v>1</v>
      </c>
      <c r="E137" s="14" t="n">
        <v>1</v>
      </c>
      <c r="F137" s="14" t="n">
        <v>1</v>
      </c>
      <c r="G137" s="14" t="n">
        <v>1</v>
      </c>
      <c r="H137" s="14" t="n">
        <v>1</v>
      </c>
    </row>
    <row r="138">
      <c r="A138" s="14" t="inlineStr">
        <is>
          <t>CHE|ecf.oop</t>
        </is>
      </c>
      <c r="B138" s="14" t="inlineStr">
        <is>
          <t>CHE</t>
        </is>
      </c>
      <c r="C138" s="14" t="inlineStr">
        <is>
          <t>ecf.oop</t>
        </is>
      </c>
      <c r="D138" s="14" t="n">
        <v>1</v>
      </c>
      <c r="E138" s="14" t="n">
        <v>1</v>
      </c>
      <c r="F138" s="14" t="n">
        <v>1</v>
      </c>
      <c r="G138" s="14" t="n">
        <v>1</v>
      </c>
      <c r="H138" s="14" t="n">
        <v>1</v>
      </c>
    </row>
    <row r="139">
      <c r="A139" s="14" t="inlineStr">
        <is>
          <t>CHE|ecr.all</t>
        </is>
      </c>
      <c r="B139" s="14" t="inlineStr">
        <is>
          <t>CHE</t>
        </is>
      </c>
      <c r="C139" s="14" t="inlineStr">
        <is>
          <t>ecr.all</t>
        </is>
      </c>
      <c r="D139" s="14" t="n">
        <v>101.474552</v>
      </c>
      <c r="E139" s="14" t="n">
        <v>129.856076</v>
      </c>
      <c r="F139" s="14" t="n">
        <v>130.811577</v>
      </c>
      <c r="G139" s="14" t="n">
        <v>132.122213</v>
      </c>
      <c r="H139" s="14" t="n">
        <v>136.038998</v>
      </c>
    </row>
    <row r="140">
      <c r="A140" s="14" t="inlineStr">
        <is>
          <t>CHE|ecs.ind</t>
        </is>
      </c>
      <c r="B140" s="14" t="inlineStr">
        <is>
          <t>CHE</t>
        </is>
      </c>
      <c r="C140" s="14" t="inlineStr">
        <is>
          <t>ecs.ind</t>
        </is>
      </c>
      <c r="D140" s="14" t="n">
        <v>0.739241</v>
      </c>
      <c r="E140" s="14" t="n">
        <v>0.750609</v>
      </c>
      <c r="F140" s="14" t="n">
        <v>0.751936</v>
      </c>
      <c r="G140" s="14" t="n">
        <v>0.751936</v>
      </c>
      <c r="H140" s="14" t="n">
        <v>0.751936</v>
      </c>
    </row>
    <row r="141">
      <c r="A141" s="14" t="inlineStr">
        <is>
          <t>CHE|ecs.pow</t>
        </is>
      </c>
      <c r="B141" s="14" t="inlineStr">
        <is>
          <t>CHE</t>
        </is>
      </c>
      <c r="C141" s="14" t="inlineStr">
        <is>
          <t>ecs.pow</t>
        </is>
      </c>
      <c r="D141" s="14" t="n">
        <v>0.739241</v>
      </c>
      <c r="E141" s="14" t="n">
        <v>0.750609</v>
      </c>
      <c r="F141" s="14" t="n">
        <v>0.751936</v>
      </c>
      <c r="G141" s="14" t="n">
        <v>0.751936</v>
      </c>
      <c r="H141" s="14" t="n">
        <v>0.751936</v>
      </c>
    </row>
    <row r="142">
      <c r="A142" s="14" t="inlineStr">
        <is>
          <t>CHE|ecs.res</t>
        </is>
      </c>
      <c r="B142" s="14" t="inlineStr">
        <is>
          <t>CHE</t>
        </is>
      </c>
      <c r="C142" s="14" t="inlineStr">
        <is>
          <t>ecs.res</t>
        </is>
      </c>
      <c r="D142" s="14" t="n">
        <v>1</v>
      </c>
      <c r="E142" s="14" t="n">
        <v>1</v>
      </c>
      <c r="F142" s="14" t="n">
        <v>1</v>
      </c>
      <c r="G142" s="14" t="n">
        <v>1</v>
      </c>
      <c r="H142" s="14" t="n">
        <v>1</v>
      </c>
    </row>
    <row r="143">
      <c r="A143" s="14" t="inlineStr">
        <is>
          <t>CHE|eef.coa</t>
        </is>
      </c>
      <c r="B143" s="14" t="inlineStr">
        <is>
          <t>CHE</t>
        </is>
      </c>
      <c r="C143" s="14" t="inlineStr">
        <is>
          <t>eef.coa</t>
        </is>
      </c>
      <c r="D143" s="14" t="n">
        <v>1</v>
      </c>
      <c r="E143" s="14" t="n">
        <v>1</v>
      </c>
      <c r="F143" s="14" t="n">
        <v>1</v>
      </c>
      <c r="G143" s="14" t="n">
        <v>1</v>
      </c>
      <c r="H143" s="14" t="n">
        <v>1</v>
      </c>
    </row>
    <row r="144">
      <c r="A144" s="14" t="inlineStr">
        <is>
          <t>CHE|eef.die</t>
        </is>
      </c>
      <c r="B144" s="14" t="inlineStr">
        <is>
          <t>CHE</t>
        </is>
      </c>
      <c r="C144" s="14" t="inlineStr">
        <is>
          <t>eef.die</t>
        </is>
      </c>
      <c r="D144" s="14" t="n">
        <v>1</v>
      </c>
      <c r="E144" s="14" t="n">
        <v>1</v>
      </c>
      <c r="F144" s="14" t="n">
        <v>1</v>
      </c>
      <c r="G144" s="14" t="n">
        <v>1</v>
      </c>
      <c r="H144" s="14" t="n">
        <v>1</v>
      </c>
    </row>
    <row r="145">
      <c r="A145" s="14" t="inlineStr">
        <is>
          <t>CHE|eef.gso</t>
        </is>
      </c>
      <c r="B145" s="14" t="inlineStr">
        <is>
          <t>CHE</t>
        </is>
      </c>
      <c r="C145" s="14" t="inlineStr">
        <is>
          <t>eef.gso</t>
        </is>
      </c>
      <c r="D145" s="14" t="n">
        <v>1</v>
      </c>
      <c r="E145" s="14" t="n">
        <v>1</v>
      </c>
      <c r="F145" s="14" t="n">
        <v>1</v>
      </c>
      <c r="G145" s="14" t="n">
        <v>1</v>
      </c>
      <c r="H145" s="14" t="n">
        <v>1</v>
      </c>
    </row>
    <row r="146">
      <c r="A146" s="14" t="inlineStr">
        <is>
          <t>CHE|eef.jfu</t>
        </is>
      </c>
      <c r="B146" s="14" t="inlineStr">
        <is>
          <t>CHE</t>
        </is>
      </c>
      <c r="C146" s="14" t="inlineStr">
        <is>
          <t>eef.jfu</t>
        </is>
      </c>
      <c r="D146" s="14" t="n">
        <v>1</v>
      </c>
      <c r="E146" s="14" t="n">
        <v>1</v>
      </c>
      <c r="F146" s="14" t="n">
        <v>1</v>
      </c>
      <c r="G146" s="14" t="n">
        <v>1</v>
      </c>
      <c r="H146" s="14" t="n">
        <v>1</v>
      </c>
    </row>
    <row r="147">
      <c r="A147" s="14" t="inlineStr">
        <is>
          <t>CHE|eef.ker</t>
        </is>
      </c>
      <c r="B147" s="14" t="inlineStr">
        <is>
          <t>CHE</t>
        </is>
      </c>
      <c r="C147" s="14" t="inlineStr">
        <is>
          <t>eef.ker</t>
        </is>
      </c>
      <c r="D147" s="14" t="n">
        <v>1</v>
      </c>
      <c r="E147" s="14" t="n">
        <v>1</v>
      </c>
      <c r="F147" s="14" t="n">
        <v>1</v>
      </c>
      <c r="G147" s="14" t="n">
        <v>1</v>
      </c>
      <c r="H147" s="14" t="n">
        <v>1</v>
      </c>
    </row>
    <row r="148">
      <c r="A148" s="14" t="inlineStr">
        <is>
          <t>CHE|eef.lpg</t>
        </is>
      </c>
      <c r="B148" s="14" t="inlineStr">
        <is>
          <t>CHE</t>
        </is>
      </c>
      <c r="C148" s="14" t="inlineStr">
        <is>
          <t>eef.lpg</t>
        </is>
      </c>
      <c r="D148" s="14" t="n">
        <v>1</v>
      </c>
      <c r="E148" s="14" t="n">
        <v>1</v>
      </c>
      <c r="F148" s="14" t="n">
        <v>1</v>
      </c>
      <c r="G148" s="14" t="n">
        <v>1</v>
      </c>
      <c r="H148" s="14" t="n">
        <v>1</v>
      </c>
    </row>
    <row r="149">
      <c r="A149" s="14" t="inlineStr">
        <is>
          <t>CHE|eef.nga</t>
        </is>
      </c>
      <c r="B149" s="14" t="inlineStr">
        <is>
          <t>CHE</t>
        </is>
      </c>
      <c r="C149" s="14" t="inlineStr">
        <is>
          <t>eef.nga</t>
        </is>
      </c>
      <c r="D149" s="14" t="n">
        <v>1</v>
      </c>
      <c r="E149" s="14" t="n">
        <v>1</v>
      </c>
      <c r="F149" s="14" t="n">
        <v>1</v>
      </c>
      <c r="G149" s="14" t="n">
        <v>1</v>
      </c>
      <c r="H149" s="14" t="n">
        <v>1</v>
      </c>
    </row>
    <row r="150">
      <c r="A150" s="14" t="inlineStr">
        <is>
          <t>CHE|eef.oop</t>
        </is>
      </c>
      <c r="B150" s="14" t="inlineStr">
        <is>
          <t>CHE</t>
        </is>
      </c>
      <c r="C150" s="14" t="inlineStr">
        <is>
          <t>eef.oop</t>
        </is>
      </c>
      <c r="D150" s="14" t="n">
        <v>1</v>
      </c>
      <c r="E150" s="14" t="n">
        <v>1</v>
      </c>
      <c r="F150" s="14" t="n">
        <v>1</v>
      </c>
      <c r="G150" s="14" t="n">
        <v>1</v>
      </c>
      <c r="H150" s="14" t="n">
        <v>1</v>
      </c>
    </row>
    <row r="151">
      <c r="A151" s="14" t="inlineStr">
        <is>
          <t>CHE|eer.all</t>
        </is>
      </c>
      <c r="B151" s="14" t="inlineStr">
        <is>
          <t>CHE</t>
        </is>
      </c>
      <c r="C151" s="14" t="inlineStr">
        <is>
          <t>eer.all</t>
        </is>
      </c>
      <c r="D151" s="14" t="n">
        <v>46.10305</v>
      </c>
      <c r="E151" s="14" t="n">
        <v>65.59362</v>
      </c>
      <c r="F151" s="14" t="n">
        <v>93.80775</v>
      </c>
      <c r="G151" s="14" t="n">
        <v>59.173245</v>
      </c>
      <c r="H151" s="14" t="n">
        <v>64.749576</v>
      </c>
    </row>
    <row r="152">
      <c r="A152" s="14" t="inlineStr">
        <is>
          <t>CHE|ees.ind</t>
        </is>
      </c>
      <c r="B152" s="14" t="inlineStr">
        <is>
          <t>CHE</t>
        </is>
      </c>
      <c r="C152" s="14" t="inlineStr">
        <is>
          <t>ees.ind</t>
        </is>
      </c>
      <c r="D152" s="14" t="n">
        <v>0.260759</v>
      </c>
      <c r="E152" s="14" t="n">
        <v>0.249391</v>
      </c>
      <c r="F152" s="14" t="n">
        <v>0.248064</v>
      </c>
      <c r="G152" s="14" t="n">
        <v>0.248064</v>
      </c>
      <c r="H152" s="14" t="n">
        <v>0.248064</v>
      </c>
    </row>
    <row r="153">
      <c r="A153" s="14" t="inlineStr">
        <is>
          <t>CHE|ees.pow</t>
        </is>
      </c>
      <c r="B153" s="14" t="inlineStr">
        <is>
          <t>CHE</t>
        </is>
      </c>
      <c r="C153" s="14" t="inlineStr">
        <is>
          <t>ees.pow</t>
        </is>
      </c>
      <c r="D153" s="14" t="n">
        <v>0.260759</v>
      </c>
      <c r="E153" s="14" t="n">
        <v>0.249391</v>
      </c>
      <c r="F153" s="14" t="n">
        <v>0.248064</v>
      </c>
      <c r="G153" s="14" t="n">
        <v>0.248064</v>
      </c>
      <c r="H153" s="14" t="n">
        <v>0.248064</v>
      </c>
    </row>
    <row r="154">
      <c r="A154" s="14" t="inlineStr">
        <is>
          <t>CHE|ees.trs</t>
        </is>
      </c>
      <c r="B154" s="14" t="inlineStr">
        <is>
          <t>CHE</t>
        </is>
      </c>
      <c r="C154" s="14" t="inlineStr">
        <is>
          <t>ees.trs</t>
        </is>
      </c>
      <c r="D154" s="14" t="n">
        <v>0.260759</v>
      </c>
      <c r="E154" s="14" t="n">
        <v>0.249391</v>
      </c>
      <c r="F154" s="14" t="n">
        <v>0.248064</v>
      </c>
      <c r="G154" s="14" t="n">
        <v>0.248064</v>
      </c>
      <c r="H154" s="14" t="n">
        <v>0.248064</v>
      </c>
    </row>
    <row r="155">
      <c r="A155" s="14" t="inlineStr">
        <is>
          <t>CHL|ecf.coa</t>
        </is>
      </c>
      <c r="B155" s="14" t="inlineStr">
        <is>
          <t>CHL</t>
        </is>
      </c>
      <c r="C155" s="14" t="inlineStr">
        <is>
          <t>ecf.coa</t>
        </is>
      </c>
      <c r="D155" s="14" t="n">
        <v>1</v>
      </c>
      <c r="E155" s="14" t="n">
        <v>1</v>
      </c>
      <c r="F155" s="14" t="n">
        <v>1</v>
      </c>
      <c r="G155" s="14" t="n">
        <v>1</v>
      </c>
      <c r="H155" s="14" t="n">
        <v>1</v>
      </c>
    </row>
    <row r="156">
      <c r="A156" s="14" t="inlineStr">
        <is>
          <t>CHL|ecf.die</t>
        </is>
      </c>
      <c r="B156" s="14" t="inlineStr">
        <is>
          <t>CHL</t>
        </is>
      </c>
      <c r="C156" s="14" t="inlineStr">
        <is>
          <t>ecf.die</t>
        </is>
      </c>
      <c r="D156" s="14" t="n">
        <v>1</v>
      </c>
      <c r="E156" s="14" t="n">
        <v>1</v>
      </c>
      <c r="F156" s="14" t="n">
        <v>1</v>
      </c>
      <c r="G156" s="14" t="n">
        <v>1</v>
      </c>
      <c r="H156" s="14" t="n">
        <v>1</v>
      </c>
    </row>
    <row r="157">
      <c r="A157" s="14" t="inlineStr">
        <is>
          <t>CHL|ecf.gso</t>
        </is>
      </c>
      <c r="B157" s="14" t="inlineStr">
        <is>
          <t>CHL</t>
        </is>
      </c>
      <c r="C157" s="14" t="inlineStr">
        <is>
          <t>ecf.gso</t>
        </is>
      </c>
      <c r="D157" s="14" t="n">
        <v>1</v>
      </c>
      <c r="E157" s="14" t="n">
        <v>1</v>
      </c>
      <c r="F157" s="14" t="n">
        <v>1</v>
      </c>
      <c r="G157" s="14" t="n">
        <v>1</v>
      </c>
      <c r="H157" s="14" t="n">
        <v>1</v>
      </c>
    </row>
    <row r="158">
      <c r="A158" s="14" t="inlineStr">
        <is>
          <t>CHL|ecf.jfu</t>
        </is>
      </c>
      <c r="B158" s="14" t="inlineStr">
        <is>
          <t>CHL</t>
        </is>
      </c>
      <c r="C158" s="14" t="inlineStr">
        <is>
          <t>ecf.jfu</t>
        </is>
      </c>
      <c r="D158" s="14" t="n">
        <v>1</v>
      </c>
      <c r="E158" s="14" t="n">
        <v>1</v>
      </c>
      <c r="F158" s="14" t="n">
        <v>1</v>
      </c>
      <c r="G158" s="14" t="n">
        <v>1</v>
      </c>
      <c r="H158" s="14" t="n">
        <v>1</v>
      </c>
    </row>
    <row r="159">
      <c r="A159" s="14" t="inlineStr">
        <is>
          <t>CHL|ecf.ker</t>
        </is>
      </c>
      <c r="B159" s="14" t="inlineStr">
        <is>
          <t>CHL</t>
        </is>
      </c>
      <c r="C159" s="14" t="inlineStr">
        <is>
          <t>ecf.ker</t>
        </is>
      </c>
      <c r="D159" s="14" t="n">
        <v>1</v>
      </c>
      <c r="E159" s="14" t="n">
        <v>1</v>
      </c>
      <c r="F159" s="14" t="n">
        <v>1</v>
      </c>
      <c r="G159" s="14" t="n">
        <v>1</v>
      </c>
      <c r="H159" s="14" t="n">
        <v>1</v>
      </c>
    </row>
    <row r="160">
      <c r="A160" s="14" t="inlineStr">
        <is>
          <t>CHL|ecf.lpg</t>
        </is>
      </c>
      <c r="B160" s="14" t="inlineStr">
        <is>
          <t>CHL</t>
        </is>
      </c>
      <c r="C160" s="14" t="inlineStr">
        <is>
          <t>ecf.lpg</t>
        </is>
      </c>
      <c r="D160" s="14" t="n">
        <v>1</v>
      </c>
      <c r="E160" s="14" t="n">
        <v>1</v>
      </c>
      <c r="F160" s="14" t="n">
        <v>1</v>
      </c>
      <c r="G160" s="14" t="n">
        <v>1</v>
      </c>
      <c r="H160" s="14" t="n">
        <v>1</v>
      </c>
    </row>
    <row r="161">
      <c r="A161" s="14" t="inlineStr">
        <is>
          <t>CHL|ecf.nga</t>
        </is>
      </c>
      <c r="B161" s="14" t="inlineStr">
        <is>
          <t>CHL</t>
        </is>
      </c>
      <c r="C161" s="14" t="inlineStr">
        <is>
          <t>ecf.nga</t>
        </is>
      </c>
      <c r="D161" s="14" t="n">
        <v>1</v>
      </c>
      <c r="E161" s="14" t="n">
        <v>1</v>
      </c>
      <c r="F161" s="14" t="n">
        <v>1</v>
      </c>
      <c r="G161" s="14" t="n">
        <v>1</v>
      </c>
      <c r="H161" s="14" t="n">
        <v>1</v>
      </c>
    </row>
    <row r="162">
      <c r="A162" s="14" t="inlineStr">
        <is>
          <t>CHL|ecf.oop</t>
        </is>
      </c>
      <c r="B162" s="14" t="inlineStr">
        <is>
          <t>CHL</t>
        </is>
      </c>
      <c r="C162" s="14" t="inlineStr">
        <is>
          <t>ecf.oop</t>
        </is>
      </c>
      <c r="D162" s="14" t="n">
        <v>1</v>
      </c>
      <c r="E162" s="14" t="n">
        <v>1</v>
      </c>
      <c r="F162" s="14" t="n">
        <v>1</v>
      </c>
      <c r="G162" s="14" t="n">
        <v>1</v>
      </c>
      <c r="H162" s="14" t="n">
        <v>1</v>
      </c>
    </row>
    <row r="163">
      <c r="A163" s="14" t="inlineStr">
        <is>
          <t>CHL|ecr.all</t>
        </is>
      </c>
      <c r="B163" s="14" t="inlineStr">
        <is>
          <t>CHL</t>
        </is>
      </c>
      <c r="C163" s="14" t="inlineStr">
        <is>
          <t>ecr.all</t>
        </is>
      </c>
      <c r="D163" s="14" t="n">
        <v>5</v>
      </c>
      <c r="E163" s="14" t="n">
        <v>5</v>
      </c>
      <c r="F163" s="14" t="n">
        <v>5</v>
      </c>
      <c r="G163" s="14" t="n">
        <v>5</v>
      </c>
      <c r="H163" s="14" t="n">
        <v>5</v>
      </c>
    </row>
    <row r="164">
      <c r="A164" s="14" t="inlineStr">
        <is>
          <t>CHL|ecs.ind</t>
        </is>
      </c>
      <c r="B164" s="14" t="inlineStr">
        <is>
          <t>CHL</t>
        </is>
      </c>
      <c r="C164" s="14" t="inlineStr">
        <is>
          <t>ecs.ind</t>
        </is>
      </c>
      <c r="D164" s="14" t="n">
        <v>0.743239</v>
      </c>
      <c r="E164" s="14" t="n">
        <v>0.8098</v>
      </c>
      <c r="F164" s="14" t="n">
        <v>0.872001</v>
      </c>
      <c r="G164" s="14" t="n">
        <v>0.872001</v>
      </c>
      <c r="H164" s="14" t="n">
        <v>0.872001</v>
      </c>
    </row>
    <row r="165">
      <c r="A165" s="14" t="inlineStr">
        <is>
          <t>CHL|ecs.pow</t>
        </is>
      </c>
      <c r="B165" s="14" t="inlineStr">
        <is>
          <t>CHL</t>
        </is>
      </c>
      <c r="C165" s="14" t="inlineStr">
        <is>
          <t>ecs.pow</t>
        </is>
      </c>
      <c r="D165" s="14" t="n">
        <v>0.743239</v>
      </c>
      <c r="E165" s="14" t="n">
        <v>0.8098</v>
      </c>
      <c r="F165" s="14" t="n">
        <v>0.872001</v>
      </c>
      <c r="G165" s="14" t="n">
        <v>0.872001</v>
      </c>
      <c r="H165" s="14" t="n">
        <v>0.872001</v>
      </c>
    </row>
    <row r="166">
      <c r="A166" s="14" t="inlineStr">
        <is>
          <t>CHN|eef.bio</t>
        </is>
      </c>
      <c r="B166" s="14" t="inlineStr">
        <is>
          <t>CHN</t>
        </is>
      </c>
      <c r="C166" s="14" t="inlineStr">
        <is>
          <t>eef.bio</t>
        </is>
      </c>
      <c r="D166" s="14" t="n">
        <v>1</v>
      </c>
      <c r="E166" s="14" t="n">
        <v>1</v>
      </c>
      <c r="F166" s="14" t="n">
        <v>1</v>
      </c>
      <c r="G166" s="14" t="n">
        <v>1</v>
      </c>
      <c r="H166" s="14" t="n">
        <v>1</v>
      </c>
    </row>
    <row r="167">
      <c r="A167" s="14" t="inlineStr">
        <is>
          <t>CHN|eef.coa</t>
        </is>
      </c>
      <c r="B167" s="14" t="inlineStr">
        <is>
          <t>CHN</t>
        </is>
      </c>
      <c r="C167" s="14" t="inlineStr">
        <is>
          <t>eef.coa</t>
        </is>
      </c>
      <c r="D167" s="14" t="n">
        <v>1</v>
      </c>
      <c r="E167" s="14" t="n">
        <v>1</v>
      </c>
      <c r="F167" s="14" t="n">
        <v>1</v>
      </c>
      <c r="G167" s="14" t="n">
        <v>1</v>
      </c>
      <c r="H167" s="14" t="n">
        <v>1</v>
      </c>
    </row>
    <row r="168">
      <c r="A168" s="14" t="inlineStr">
        <is>
          <t>CHN|eef.die</t>
        </is>
      </c>
      <c r="B168" s="14" t="inlineStr">
        <is>
          <t>CHN</t>
        </is>
      </c>
      <c r="C168" s="14" t="inlineStr">
        <is>
          <t>eef.die</t>
        </is>
      </c>
      <c r="D168" s="14" t="n">
        <v>1</v>
      </c>
      <c r="E168" s="14" t="n">
        <v>1</v>
      </c>
      <c r="F168" s="14" t="n">
        <v>1</v>
      </c>
      <c r="G168" s="14" t="n">
        <v>1</v>
      </c>
      <c r="H168" s="14" t="n">
        <v>1</v>
      </c>
    </row>
    <row r="169">
      <c r="A169" s="14" t="inlineStr">
        <is>
          <t>CHN|eef.gso</t>
        </is>
      </c>
      <c r="B169" s="14" t="inlineStr">
        <is>
          <t>CHN</t>
        </is>
      </c>
      <c r="C169" s="14" t="inlineStr">
        <is>
          <t>eef.gso</t>
        </is>
      </c>
      <c r="D169" s="14" t="n">
        <v>1</v>
      </c>
      <c r="E169" s="14" t="n">
        <v>1</v>
      </c>
      <c r="F169" s="14" t="n">
        <v>1</v>
      </c>
      <c r="G169" s="14" t="n">
        <v>1</v>
      </c>
      <c r="H169" s="14" t="n">
        <v>1</v>
      </c>
    </row>
    <row r="170">
      <c r="A170" s="14" t="inlineStr">
        <is>
          <t>CHN|eef.ker</t>
        </is>
      </c>
      <c r="B170" s="14" t="inlineStr">
        <is>
          <t>CHN</t>
        </is>
      </c>
      <c r="C170" s="14" t="inlineStr">
        <is>
          <t>eef.ker</t>
        </is>
      </c>
      <c r="D170" s="14" t="n">
        <v>1</v>
      </c>
      <c r="E170" s="14" t="n">
        <v>1</v>
      </c>
      <c r="F170" s="14" t="n">
        <v>1</v>
      </c>
      <c r="G170" s="14" t="n">
        <v>1</v>
      </c>
      <c r="H170" s="14" t="n">
        <v>1</v>
      </c>
    </row>
    <row r="171">
      <c r="A171" s="14" t="inlineStr">
        <is>
          <t>CHN|eef.lpg</t>
        </is>
      </c>
      <c r="B171" s="14" t="inlineStr">
        <is>
          <t>CHN</t>
        </is>
      </c>
      <c r="C171" s="14" t="inlineStr">
        <is>
          <t>eef.lpg</t>
        </is>
      </c>
      <c r="D171" s="14" t="n">
        <v>1</v>
      </c>
      <c r="E171" s="14" t="n">
        <v>1</v>
      </c>
      <c r="F171" s="14" t="n">
        <v>1</v>
      </c>
      <c r="G171" s="14" t="n">
        <v>1</v>
      </c>
      <c r="H171" s="14" t="n">
        <v>1</v>
      </c>
    </row>
    <row r="172">
      <c r="A172" s="14" t="inlineStr">
        <is>
          <t>CHN|eef.nga</t>
        </is>
      </c>
      <c r="B172" s="14" t="inlineStr">
        <is>
          <t>CHN</t>
        </is>
      </c>
      <c r="C172" s="14" t="inlineStr">
        <is>
          <t>eef.nga</t>
        </is>
      </c>
      <c r="D172" s="14" t="n">
        <v>1</v>
      </c>
      <c r="E172" s="14" t="n">
        <v>1</v>
      </c>
      <c r="F172" s="14" t="n">
        <v>1</v>
      </c>
      <c r="G172" s="14" t="n">
        <v>1</v>
      </c>
      <c r="H172" s="14" t="n">
        <v>1</v>
      </c>
    </row>
    <row r="173">
      <c r="A173" s="14" t="inlineStr">
        <is>
          <t>CHN|eef.oop</t>
        </is>
      </c>
      <c r="B173" s="14" t="inlineStr">
        <is>
          <t>CHN</t>
        </is>
      </c>
      <c r="C173" s="14" t="inlineStr">
        <is>
          <t>eef.oop</t>
        </is>
      </c>
      <c r="D173" s="14" t="n">
        <v>1</v>
      </c>
      <c r="E173" s="14" t="n">
        <v>1</v>
      </c>
      <c r="F173" s="14" t="n">
        <v>1</v>
      </c>
      <c r="G173" s="14" t="n">
        <v>1</v>
      </c>
      <c r="H173" s="14" t="n">
        <v>1</v>
      </c>
    </row>
    <row r="174">
      <c r="A174" s="14" t="inlineStr">
        <is>
          <t>CHN|eer.all</t>
        </is>
      </c>
      <c r="B174" s="14" t="inlineStr">
        <is>
          <t>CHN</t>
        </is>
      </c>
      <c r="C174" s="14" t="inlineStr">
        <is>
          <t>eer.all</t>
        </is>
      </c>
      <c r="D174" s="14" t="n"/>
      <c r="E174" s="14" t="n">
        <v>9.199849</v>
      </c>
      <c r="F174" s="14" t="n">
        <v>8.153162999999999</v>
      </c>
      <c r="G174" s="14" t="n">
        <v>12.573079</v>
      </c>
      <c r="H174" s="14" t="n">
        <v>11.764625</v>
      </c>
    </row>
    <row r="175">
      <c r="A175" s="14" t="inlineStr">
        <is>
          <t>CHN|ees.ind</t>
        </is>
      </c>
      <c r="B175" s="14" t="inlineStr">
        <is>
          <t>CHN</t>
        </is>
      </c>
      <c r="C175" s="14" t="inlineStr">
        <is>
          <t>ees.ind</t>
        </is>
      </c>
      <c r="D175" s="14" t="n">
        <v>0.809272</v>
      </c>
      <c r="E175" s="14" t="n">
        <v>0.804905</v>
      </c>
      <c r="F175" s="14" t="n">
        <v>0.800252</v>
      </c>
      <c r="G175" s="14" t="n">
        <v>0.800252</v>
      </c>
      <c r="H175" s="14" t="n">
        <v>0.800252</v>
      </c>
    </row>
    <row r="176">
      <c r="A176" s="14" t="inlineStr">
        <is>
          <t>CHN|ees.pow</t>
        </is>
      </c>
      <c r="B176" s="14" t="inlineStr">
        <is>
          <t>CHN</t>
        </is>
      </c>
      <c r="C176" s="14" t="inlineStr">
        <is>
          <t>ees.pow</t>
        </is>
      </c>
      <c r="D176" s="14" t="n">
        <v>0.809272</v>
      </c>
      <c r="E176" s="14" t="n">
        <v>0.804905</v>
      </c>
      <c r="F176" s="14" t="n">
        <v>0.800252</v>
      </c>
      <c r="G176" s="14" t="n">
        <v>0.800252</v>
      </c>
      <c r="H176" s="14" t="n">
        <v>0.800252</v>
      </c>
    </row>
    <row r="177">
      <c r="A177" s="14" t="inlineStr">
        <is>
          <t>COL|ecf.coa</t>
        </is>
      </c>
      <c r="B177" s="14" t="inlineStr">
        <is>
          <t>COL</t>
        </is>
      </c>
      <c r="C177" s="14" t="inlineStr">
        <is>
          <t>ecf.coa</t>
        </is>
      </c>
      <c r="D177" s="14" t="n">
        <v>0</v>
      </c>
      <c r="E177" s="14" t="n">
        <v>0</v>
      </c>
      <c r="F177" s="14" t="n">
        <v>0</v>
      </c>
      <c r="G177" s="14" t="n">
        <v>0</v>
      </c>
      <c r="H177" s="14" t="n">
        <v>1</v>
      </c>
    </row>
    <row r="178">
      <c r="A178" s="14" t="inlineStr">
        <is>
          <t>COL|ecf.die</t>
        </is>
      </c>
      <c r="B178" s="14" t="inlineStr">
        <is>
          <t>COL</t>
        </is>
      </c>
      <c r="C178" s="14" t="inlineStr">
        <is>
          <t>ecf.die</t>
        </is>
      </c>
      <c r="D178" s="14" t="n">
        <v>1</v>
      </c>
      <c r="E178" s="14" t="n">
        <v>1</v>
      </c>
      <c r="F178" s="14" t="n">
        <v>1</v>
      </c>
      <c r="G178" s="14" t="n">
        <v>1</v>
      </c>
      <c r="H178" s="14" t="n">
        <v>1</v>
      </c>
    </row>
    <row r="179">
      <c r="A179" s="14" t="inlineStr">
        <is>
          <t>COL|ecf.gso</t>
        </is>
      </c>
      <c r="B179" s="14" t="inlineStr">
        <is>
          <t>COL</t>
        </is>
      </c>
      <c r="C179" s="14" t="inlineStr">
        <is>
          <t>ecf.gso</t>
        </is>
      </c>
      <c r="D179" s="14" t="n">
        <v>1</v>
      </c>
      <c r="E179" s="14" t="n">
        <v>1</v>
      </c>
      <c r="F179" s="14" t="n">
        <v>1</v>
      </c>
      <c r="G179" s="14" t="n">
        <v>1</v>
      </c>
      <c r="H179" s="14" t="n">
        <v>1</v>
      </c>
    </row>
    <row r="180">
      <c r="A180" s="14" t="inlineStr">
        <is>
          <t>COL|ecf.jfu</t>
        </is>
      </c>
      <c r="B180" s="14" t="inlineStr">
        <is>
          <t>COL</t>
        </is>
      </c>
      <c r="C180" s="14" t="inlineStr">
        <is>
          <t>ecf.jfu</t>
        </is>
      </c>
      <c r="D180" s="14" t="n">
        <v>1</v>
      </c>
      <c r="E180" s="14" t="n">
        <v>1</v>
      </c>
      <c r="F180" s="14" t="n">
        <v>1</v>
      </c>
      <c r="G180" s="14" t="n">
        <v>1</v>
      </c>
      <c r="H180" s="14" t="n">
        <v>1</v>
      </c>
    </row>
    <row r="181">
      <c r="A181" s="14" t="inlineStr">
        <is>
          <t>COL|ecf.ker</t>
        </is>
      </c>
      <c r="B181" s="14" t="inlineStr">
        <is>
          <t>COL</t>
        </is>
      </c>
      <c r="C181" s="14" t="inlineStr">
        <is>
          <t>ecf.ker</t>
        </is>
      </c>
      <c r="D181" s="14" t="n">
        <v>1</v>
      </c>
      <c r="E181" s="14" t="n">
        <v>1</v>
      </c>
      <c r="F181" s="14" t="n">
        <v>1</v>
      </c>
      <c r="G181" s="14" t="n">
        <v>1</v>
      </c>
      <c r="H181" s="14" t="n">
        <v>1</v>
      </c>
    </row>
    <row r="182">
      <c r="A182" s="14" t="inlineStr">
        <is>
          <t>COL|ecf.lpg</t>
        </is>
      </c>
      <c r="B182" s="14" t="inlineStr">
        <is>
          <t>COL</t>
        </is>
      </c>
      <c r="C182" s="14" t="inlineStr">
        <is>
          <t>ecf.lpg</t>
        </is>
      </c>
      <c r="D182" s="14" t="n">
        <v>1</v>
      </c>
      <c r="E182" s="14" t="n">
        <v>1</v>
      </c>
      <c r="F182" s="14" t="n">
        <v>1</v>
      </c>
      <c r="G182" s="14" t="n">
        <v>1</v>
      </c>
      <c r="H182" s="14" t="n">
        <v>1</v>
      </c>
    </row>
    <row r="183">
      <c r="A183" s="14" t="inlineStr">
        <is>
          <t>COL|ecf.nga</t>
        </is>
      </c>
      <c r="B183" s="14" t="inlineStr">
        <is>
          <t>COL</t>
        </is>
      </c>
      <c r="C183" s="14" t="inlineStr">
        <is>
          <t>ecf.nga</t>
        </is>
      </c>
      <c r="D183" s="14" t="n">
        <v>1</v>
      </c>
      <c r="E183" s="14" t="n">
        <v>1</v>
      </c>
      <c r="F183" s="14" t="n">
        <v>1</v>
      </c>
      <c r="G183" s="14" t="n">
        <v>1</v>
      </c>
      <c r="H183" s="14" t="n">
        <v>1</v>
      </c>
    </row>
    <row r="184">
      <c r="A184" s="14" t="inlineStr">
        <is>
          <t>COL|ecf.oop</t>
        </is>
      </c>
      <c r="B184" s="14" t="inlineStr">
        <is>
          <t>COL</t>
        </is>
      </c>
      <c r="C184" s="14" t="inlineStr">
        <is>
          <t>ecf.oop</t>
        </is>
      </c>
      <c r="D184" s="14" t="n">
        <v>1</v>
      </c>
      <c r="E184" s="14" t="n">
        <v>1</v>
      </c>
      <c r="F184" s="14" t="n">
        <v>1</v>
      </c>
      <c r="G184" s="14" t="n">
        <v>1</v>
      </c>
      <c r="H184" s="14" t="n">
        <v>1</v>
      </c>
    </row>
    <row r="185">
      <c r="A185" s="14" t="inlineStr">
        <is>
          <t>COL|ecr.all</t>
        </is>
      </c>
      <c r="B185" s="14" t="inlineStr">
        <is>
          <t>COL</t>
        </is>
      </c>
      <c r="C185" s="14" t="inlineStr">
        <is>
          <t>ecr.all</t>
        </is>
      </c>
      <c r="D185" s="14" t="n">
        <v>0.001338</v>
      </c>
      <c r="E185" s="14" t="n">
        <v>5.013272</v>
      </c>
      <c r="F185" s="14" t="n">
        <v>5.05581</v>
      </c>
      <c r="G185" s="14" t="n">
        <v>6.678547</v>
      </c>
      <c r="H185" s="14" t="n">
        <v>6.536619</v>
      </c>
    </row>
    <row r="186">
      <c r="A186" s="14" t="inlineStr">
        <is>
          <t>COL|ecs.ind</t>
        </is>
      </c>
      <c r="B186" s="14" t="inlineStr">
        <is>
          <t>COL</t>
        </is>
      </c>
      <c r="C186" s="14" t="inlineStr">
        <is>
          <t>ecs.ind</t>
        </is>
      </c>
      <c r="D186" s="14" t="n">
        <v>0.734181</v>
      </c>
      <c r="E186" s="14" t="n">
        <v>0.713816</v>
      </c>
      <c r="F186" s="14" t="n">
        <v>0.66945</v>
      </c>
      <c r="G186" s="14" t="n">
        <v>0.66945</v>
      </c>
      <c r="H186" s="14" t="n">
        <v>0.66945</v>
      </c>
    </row>
    <row r="187">
      <c r="A187" s="14" t="inlineStr">
        <is>
          <t>COL|ecs.pow</t>
        </is>
      </c>
      <c r="B187" s="14" t="inlineStr">
        <is>
          <t>COL</t>
        </is>
      </c>
      <c r="C187" s="14" t="inlineStr">
        <is>
          <t>ecs.pow</t>
        </is>
      </c>
      <c r="D187" s="14" t="n">
        <v>0.734181</v>
      </c>
      <c r="E187" s="14" t="n">
        <v>0.713816</v>
      </c>
      <c r="F187" s="14" t="n">
        <v>0.66945</v>
      </c>
      <c r="G187" s="14" t="n">
        <v>0.66945</v>
      </c>
      <c r="H187" s="14" t="n">
        <v>0.66945</v>
      </c>
    </row>
    <row r="188">
      <c r="A188" s="14" t="inlineStr">
        <is>
          <t>COL|ecs.res</t>
        </is>
      </c>
      <c r="B188" s="14" t="inlineStr">
        <is>
          <t>COL</t>
        </is>
      </c>
      <c r="C188" s="14" t="inlineStr">
        <is>
          <t>ecs.res</t>
        </is>
      </c>
      <c r="D188" s="14" t="n">
        <v>0.734181</v>
      </c>
      <c r="E188" s="14" t="n">
        <v>0.713816</v>
      </c>
      <c r="F188" s="14" t="n">
        <v>0.66945</v>
      </c>
      <c r="G188" s="14" t="n">
        <v>0.66945</v>
      </c>
      <c r="H188" s="14" t="n">
        <v>0.66945</v>
      </c>
    </row>
    <row r="189">
      <c r="A189" s="14" t="inlineStr">
        <is>
          <t>COL|ecs.trs</t>
        </is>
      </c>
      <c r="B189" s="14" t="inlineStr">
        <is>
          <t>COL</t>
        </is>
      </c>
      <c r="C189" s="14" t="inlineStr">
        <is>
          <t>ecs.trs</t>
        </is>
      </c>
      <c r="D189" s="14" t="n">
        <v>0.734181</v>
      </c>
      <c r="E189" s="14" t="n">
        <v>0.713816</v>
      </c>
      <c r="F189" s="14" t="n">
        <v>0.66945</v>
      </c>
      <c r="G189" s="14" t="n">
        <v>0.66945</v>
      </c>
      <c r="H189" s="14" t="n">
        <v>0.66945</v>
      </c>
    </row>
    <row r="190">
      <c r="A190" s="14" t="inlineStr">
        <is>
          <t>CYP|eef.bio</t>
        </is>
      </c>
      <c r="B190" s="14" t="inlineStr">
        <is>
          <t>CYP</t>
        </is>
      </c>
      <c r="C190" s="14" t="inlineStr">
        <is>
          <t>eef.bio</t>
        </is>
      </c>
      <c r="D190" s="14" t="n">
        <v>0</v>
      </c>
      <c r="E190" s="14" t="n">
        <v>1</v>
      </c>
      <c r="F190" s="14" t="n">
        <v>1</v>
      </c>
      <c r="G190" s="14" t="n">
        <v>1</v>
      </c>
      <c r="H190" s="14" t="n">
        <v>1</v>
      </c>
    </row>
    <row r="191">
      <c r="A191" s="14" t="inlineStr">
        <is>
          <t>CYP|eef.coa</t>
        </is>
      </c>
      <c r="B191" s="14" t="inlineStr">
        <is>
          <t>CYP</t>
        </is>
      </c>
      <c r="C191" s="14" t="inlineStr">
        <is>
          <t>eef.coa</t>
        </is>
      </c>
      <c r="D191" s="14" t="n">
        <v>1</v>
      </c>
      <c r="E191" s="14" t="n">
        <v>1</v>
      </c>
      <c r="F191" s="14" t="n">
        <v>1</v>
      </c>
      <c r="G191" s="14" t="n">
        <v>1</v>
      </c>
      <c r="H191" s="14" t="n">
        <v>1</v>
      </c>
    </row>
    <row r="192">
      <c r="A192" s="14" t="inlineStr">
        <is>
          <t>CYP|eef.die</t>
        </is>
      </c>
      <c r="B192" s="14" t="inlineStr">
        <is>
          <t>CYP</t>
        </is>
      </c>
      <c r="C192" s="14" t="inlineStr">
        <is>
          <t>eef.die</t>
        </is>
      </c>
      <c r="D192" s="14" t="n">
        <v>1</v>
      </c>
      <c r="E192" s="14" t="n">
        <v>1</v>
      </c>
      <c r="F192" s="14" t="n">
        <v>1</v>
      </c>
      <c r="G192" s="14" t="n">
        <v>1</v>
      </c>
      <c r="H192" s="14" t="n">
        <v>1</v>
      </c>
    </row>
    <row r="193">
      <c r="A193" s="14" t="inlineStr">
        <is>
          <t>CYP|eef.gso</t>
        </is>
      </c>
      <c r="B193" s="14" t="inlineStr">
        <is>
          <t>CYP</t>
        </is>
      </c>
      <c r="C193" s="14" t="inlineStr">
        <is>
          <t>eef.gso</t>
        </is>
      </c>
      <c r="D193" s="14" t="n">
        <v>1</v>
      </c>
      <c r="E193" s="14" t="n">
        <v>1</v>
      </c>
      <c r="F193" s="14" t="n">
        <v>1</v>
      </c>
      <c r="G193" s="14" t="n">
        <v>1</v>
      </c>
      <c r="H193" s="14" t="n">
        <v>1</v>
      </c>
    </row>
    <row r="194">
      <c r="A194" s="14" t="inlineStr">
        <is>
          <t>CYP|eef.jfu</t>
        </is>
      </c>
      <c r="B194" s="14" t="inlineStr">
        <is>
          <t>CYP</t>
        </is>
      </c>
      <c r="C194" s="14" t="inlineStr">
        <is>
          <t>eef.jfu</t>
        </is>
      </c>
      <c r="D194" s="14" t="n">
        <v>1</v>
      </c>
      <c r="E194" s="14" t="n">
        <v>1</v>
      </c>
      <c r="F194" s="14" t="n">
        <v>1</v>
      </c>
      <c r="G194" s="14" t="n">
        <v>1</v>
      </c>
      <c r="H194" s="14" t="n">
        <v>1</v>
      </c>
    </row>
    <row r="195">
      <c r="A195" s="14" t="inlineStr">
        <is>
          <t>CYP|eef.ker</t>
        </is>
      </c>
      <c r="B195" s="14" t="inlineStr">
        <is>
          <t>CYP</t>
        </is>
      </c>
      <c r="C195" s="14" t="inlineStr">
        <is>
          <t>eef.ker</t>
        </is>
      </c>
      <c r="D195" s="14" t="n">
        <v>1</v>
      </c>
      <c r="E195" s="14" t="n">
        <v>1</v>
      </c>
      <c r="F195" s="14" t="n">
        <v>1</v>
      </c>
      <c r="G195" s="14" t="n">
        <v>1</v>
      </c>
      <c r="H195" s="14" t="n">
        <v>1</v>
      </c>
    </row>
    <row r="196">
      <c r="A196" s="14" t="inlineStr">
        <is>
          <t>CYP|eef.lpg</t>
        </is>
      </c>
      <c r="B196" s="14" t="inlineStr">
        <is>
          <t>CYP</t>
        </is>
      </c>
      <c r="C196" s="14" t="inlineStr">
        <is>
          <t>eef.lpg</t>
        </is>
      </c>
      <c r="D196" s="14" t="n">
        <v>1</v>
      </c>
      <c r="E196" s="14" t="n">
        <v>1</v>
      </c>
      <c r="F196" s="14" t="n">
        <v>1</v>
      </c>
      <c r="G196" s="14" t="n">
        <v>1</v>
      </c>
      <c r="H196" s="14" t="n">
        <v>1</v>
      </c>
    </row>
    <row r="197">
      <c r="A197" s="14" t="inlineStr">
        <is>
          <t>CYP|eef.nga</t>
        </is>
      </c>
      <c r="B197" s="14" t="inlineStr">
        <is>
          <t>CYP</t>
        </is>
      </c>
      <c r="C197" s="14" t="inlineStr">
        <is>
          <t>eef.nga</t>
        </is>
      </c>
      <c r="D197" s="14" t="n">
        <v>1</v>
      </c>
      <c r="E197" s="14" t="n">
        <v>1</v>
      </c>
      <c r="F197" s="14" t="n">
        <v>1</v>
      </c>
      <c r="G197" s="14" t="n">
        <v>1</v>
      </c>
      <c r="H197" s="14" t="n">
        <v>1</v>
      </c>
    </row>
    <row r="198">
      <c r="A198" s="14" t="inlineStr">
        <is>
          <t>CYP|eef.oop</t>
        </is>
      </c>
      <c r="B198" s="14" t="inlineStr">
        <is>
          <t>CYP</t>
        </is>
      </c>
      <c r="C198" s="14" t="inlineStr">
        <is>
          <t>eef.oop</t>
        </is>
      </c>
      <c r="D198" s="14" t="n">
        <v>1</v>
      </c>
      <c r="E198" s="14" t="n">
        <v>1</v>
      </c>
      <c r="F198" s="14" t="n">
        <v>1</v>
      </c>
      <c r="G198" s="14" t="n">
        <v>1</v>
      </c>
      <c r="H198" s="14" t="n">
        <v>1</v>
      </c>
    </row>
    <row r="199">
      <c r="A199" s="14" t="inlineStr">
        <is>
          <t>CYP|eer.all</t>
        </is>
      </c>
      <c r="B199" s="14" t="inlineStr">
        <is>
          <t>CYP</t>
        </is>
      </c>
      <c r="C199" s="14" t="inlineStr">
        <is>
          <t>eer.all</t>
        </is>
      </c>
      <c r="D199" s="14" t="n">
        <v>49.779548</v>
      </c>
      <c r="E199" s="14" t="n">
        <v>86.52610799999999</v>
      </c>
      <c r="F199" s="14" t="n">
        <v>96.298125</v>
      </c>
      <c r="G199" s="14" t="n">
        <v>61.301547</v>
      </c>
      <c r="H199" s="14" t="n">
        <v>70.370124</v>
      </c>
    </row>
    <row r="200">
      <c r="A200" s="14" t="inlineStr">
        <is>
          <t>CYP|ees.ind</t>
        </is>
      </c>
      <c r="B200" s="14" t="inlineStr">
        <is>
          <t>CYP</t>
        </is>
      </c>
      <c r="C200" s="14" t="inlineStr">
        <is>
          <t>ees.ind</t>
        </is>
      </c>
      <c r="D200" s="14" t="n">
        <v>0.969374</v>
      </c>
      <c r="E200" s="14" t="n">
        <v>0.97338</v>
      </c>
      <c r="F200" s="14" t="n">
        <v>0.925768</v>
      </c>
      <c r="G200" s="14" t="n">
        <v>0.172286</v>
      </c>
      <c r="H200" s="14" t="n">
        <v>0.172286</v>
      </c>
    </row>
    <row r="201">
      <c r="A201" s="14" t="inlineStr">
        <is>
          <t>CZE|eef.bio</t>
        </is>
      </c>
      <c r="B201" s="14" t="inlineStr">
        <is>
          <t>CZE</t>
        </is>
      </c>
      <c r="C201" s="14" t="inlineStr">
        <is>
          <t>eef.bio</t>
        </is>
      </c>
      <c r="D201" s="14" t="n">
        <v>0</v>
      </c>
      <c r="E201" s="14" t="n">
        <v>1</v>
      </c>
      <c r="F201" s="14" t="n">
        <v>1</v>
      </c>
      <c r="G201" s="14" t="n">
        <v>1</v>
      </c>
      <c r="H201" s="14" t="n">
        <v>1</v>
      </c>
    </row>
    <row r="202">
      <c r="A202" s="14" t="inlineStr">
        <is>
          <t>CZE|eef.coa</t>
        </is>
      </c>
      <c r="B202" s="14" t="inlineStr">
        <is>
          <t>CZE</t>
        </is>
      </c>
      <c r="C202" s="14" t="inlineStr">
        <is>
          <t>eef.coa</t>
        </is>
      </c>
      <c r="D202" s="14" t="n">
        <v>1</v>
      </c>
      <c r="E202" s="14" t="n">
        <v>1</v>
      </c>
      <c r="F202" s="14" t="n">
        <v>1</v>
      </c>
      <c r="G202" s="14" t="n">
        <v>1</v>
      </c>
      <c r="H202" s="14" t="n">
        <v>1</v>
      </c>
    </row>
    <row r="203">
      <c r="A203" s="14" t="inlineStr">
        <is>
          <t>CZE|eef.die</t>
        </is>
      </c>
      <c r="B203" s="14" t="inlineStr">
        <is>
          <t>CZE</t>
        </is>
      </c>
      <c r="C203" s="14" t="inlineStr">
        <is>
          <t>eef.die</t>
        </is>
      </c>
      <c r="D203" s="14" t="n">
        <v>1</v>
      </c>
      <c r="E203" s="14" t="n">
        <v>1</v>
      </c>
      <c r="F203" s="14" t="n">
        <v>1</v>
      </c>
      <c r="G203" s="14" t="n">
        <v>1</v>
      </c>
      <c r="H203" s="14" t="n">
        <v>1</v>
      </c>
    </row>
    <row r="204">
      <c r="A204" s="14" t="inlineStr">
        <is>
          <t>CZE|eef.gso</t>
        </is>
      </c>
      <c r="B204" s="14" t="inlineStr">
        <is>
          <t>CZE</t>
        </is>
      </c>
      <c r="C204" s="14" t="inlineStr">
        <is>
          <t>eef.gso</t>
        </is>
      </c>
      <c r="D204" s="14" t="n">
        <v>1</v>
      </c>
      <c r="E204" s="14" t="n">
        <v>1</v>
      </c>
      <c r="F204" s="14" t="n">
        <v>1</v>
      </c>
      <c r="G204" s="14" t="n">
        <v>1</v>
      </c>
      <c r="H204" s="14" t="n">
        <v>1</v>
      </c>
    </row>
    <row r="205">
      <c r="A205" s="14" t="inlineStr">
        <is>
          <t>CZE|eef.jfu</t>
        </is>
      </c>
      <c r="B205" s="14" t="inlineStr">
        <is>
          <t>CZE</t>
        </is>
      </c>
      <c r="C205" s="14" t="inlineStr">
        <is>
          <t>eef.jfu</t>
        </is>
      </c>
      <c r="D205" s="14" t="n">
        <v>1</v>
      </c>
      <c r="E205" s="14" t="n">
        <v>1</v>
      </c>
      <c r="F205" s="14" t="n">
        <v>1</v>
      </c>
      <c r="G205" s="14" t="n">
        <v>1</v>
      </c>
      <c r="H205" s="14" t="n">
        <v>1</v>
      </c>
    </row>
    <row r="206">
      <c r="A206" s="14" t="inlineStr">
        <is>
          <t>CZE|eef.ker</t>
        </is>
      </c>
      <c r="B206" s="14" t="inlineStr">
        <is>
          <t>CZE</t>
        </is>
      </c>
      <c r="C206" s="14" t="inlineStr">
        <is>
          <t>eef.ker</t>
        </is>
      </c>
      <c r="D206" s="14" t="n">
        <v>1</v>
      </c>
      <c r="E206" s="14" t="n">
        <v>1</v>
      </c>
      <c r="F206" s="14" t="n">
        <v>1</v>
      </c>
      <c r="G206" s="14" t="n">
        <v>1</v>
      </c>
      <c r="H206" s="14" t="n">
        <v>1</v>
      </c>
    </row>
    <row r="207">
      <c r="A207" s="14" t="inlineStr">
        <is>
          <t>CZE|eef.lpg</t>
        </is>
      </c>
      <c r="B207" s="14" t="inlineStr">
        <is>
          <t>CZE</t>
        </is>
      </c>
      <c r="C207" s="14" t="inlineStr">
        <is>
          <t>eef.lpg</t>
        </is>
      </c>
      <c r="D207" s="14" t="n">
        <v>1</v>
      </c>
      <c r="E207" s="14" t="n">
        <v>1</v>
      </c>
      <c r="F207" s="14" t="n">
        <v>1</v>
      </c>
      <c r="G207" s="14" t="n">
        <v>1</v>
      </c>
      <c r="H207" s="14" t="n">
        <v>1</v>
      </c>
    </row>
    <row r="208">
      <c r="A208" s="14" t="inlineStr">
        <is>
          <t>CZE|eef.nga</t>
        </is>
      </c>
      <c r="B208" s="14" t="inlineStr">
        <is>
          <t>CZE</t>
        </is>
      </c>
      <c r="C208" s="14" t="inlineStr">
        <is>
          <t>eef.nga</t>
        </is>
      </c>
      <c r="D208" s="14" t="n">
        <v>1</v>
      </c>
      <c r="E208" s="14" t="n">
        <v>1</v>
      </c>
      <c r="F208" s="14" t="n">
        <v>1</v>
      </c>
      <c r="G208" s="14" t="n">
        <v>1</v>
      </c>
      <c r="H208" s="14" t="n">
        <v>1</v>
      </c>
    </row>
    <row r="209">
      <c r="A209" s="14" t="inlineStr">
        <is>
          <t>CZE|eef.oop</t>
        </is>
      </c>
      <c r="B209" s="14" t="inlineStr">
        <is>
          <t>CZE</t>
        </is>
      </c>
      <c r="C209" s="14" t="inlineStr">
        <is>
          <t>eef.oop</t>
        </is>
      </c>
      <c r="D209" s="14" t="n">
        <v>1</v>
      </c>
      <c r="E209" s="14" t="n">
        <v>1</v>
      </c>
      <c r="F209" s="14" t="n">
        <v>1</v>
      </c>
      <c r="G209" s="14" t="n">
        <v>1</v>
      </c>
      <c r="H209" s="14" t="n">
        <v>1</v>
      </c>
    </row>
    <row r="210">
      <c r="A210" s="14" t="inlineStr">
        <is>
          <t>CZE|eer.all</t>
        </is>
      </c>
      <c r="B210" s="14" t="inlineStr">
        <is>
          <t>CZE</t>
        </is>
      </c>
      <c r="C210" s="14" t="inlineStr">
        <is>
          <t>eer.all</t>
        </is>
      </c>
      <c r="D210" s="14" t="n">
        <v>49.779548</v>
      </c>
      <c r="E210" s="14" t="n">
        <v>86.52610799999999</v>
      </c>
      <c r="F210" s="14" t="n">
        <v>96.298125</v>
      </c>
      <c r="G210" s="14" t="n">
        <v>61.301547</v>
      </c>
      <c r="H210" s="14" t="n">
        <v>70.370124</v>
      </c>
    </row>
    <row r="211">
      <c r="A211" s="14" t="inlineStr">
        <is>
          <t>CZE|ees.ind</t>
        </is>
      </c>
      <c r="B211" s="14" t="inlineStr">
        <is>
          <t>CZE</t>
        </is>
      </c>
      <c r="C211" s="14" t="inlineStr">
        <is>
          <t>ees.ind</t>
        </is>
      </c>
      <c r="D211" s="14" t="n">
        <v>0.936426</v>
      </c>
      <c r="E211" s="14" t="n">
        <v>1</v>
      </c>
      <c r="F211" s="14" t="n">
        <v>1</v>
      </c>
      <c r="G211" s="14" t="n">
        <v>1</v>
      </c>
      <c r="H211" s="14" t="n">
        <v>1</v>
      </c>
    </row>
    <row r="212">
      <c r="A212" s="14" t="inlineStr">
        <is>
          <t>CZE|ees.pow</t>
        </is>
      </c>
      <c r="B212" s="14" t="inlineStr">
        <is>
          <t>CZE</t>
        </is>
      </c>
      <c r="C212" s="14" t="inlineStr">
        <is>
          <t>ees.pow</t>
        </is>
      </c>
      <c r="D212" s="14" t="n">
        <v>0.070282</v>
      </c>
      <c r="E212" s="14" t="n">
        <v>0.07001300000000001</v>
      </c>
      <c r="F212" s="14" t="n">
        <v>0.086872</v>
      </c>
      <c r="G212" s="14" t="n">
        <v>0.090409</v>
      </c>
      <c r="H212" s="14" t="n">
        <v>0.090409</v>
      </c>
    </row>
    <row r="213">
      <c r="A213" s="14" t="inlineStr">
        <is>
          <t>DEU|eef.bio</t>
        </is>
      </c>
      <c r="B213" s="14" t="inlineStr">
        <is>
          <t>DEU</t>
        </is>
      </c>
      <c r="C213" s="14" t="inlineStr">
        <is>
          <t>eef.bio</t>
        </is>
      </c>
      <c r="D213" s="14" t="n">
        <v>0</v>
      </c>
      <c r="E213" s="14" t="n">
        <v>0</v>
      </c>
      <c r="F213" s="14" t="n">
        <v>0</v>
      </c>
      <c r="G213" s="14" t="n">
        <v>1</v>
      </c>
      <c r="H213" s="14" t="n">
        <v>1</v>
      </c>
    </row>
    <row r="214">
      <c r="A214" s="14" t="inlineStr">
        <is>
          <t>DEU|eef.coa</t>
        </is>
      </c>
      <c r="B214" s="14" t="inlineStr">
        <is>
          <t>DEU</t>
        </is>
      </c>
      <c r="C214" s="14" t="inlineStr">
        <is>
          <t>eef.coa</t>
        </is>
      </c>
      <c r="D214" s="14" t="n">
        <v>0</v>
      </c>
      <c r="E214" s="14" t="n">
        <v>0</v>
      </c>
      <c r="F214" s="14" t="n">
        <v>0</v>
      </c>
      <c r="G214" s="14" t="n">
        <v>1</v>
      </c>
      <c r="H214" s="14" t="n">
        <v>1</v>
      </c>
    </row>
    <row r="215">
      <c r="A215" s="14" t="inlineStr">
        <is>
          <t>DEU|eef.die</t>
        </is>
      </c>
      <c r="B215" s="14" t="inlineStr">
        <is>
          <t>DEU</t>
        </is>
      </c>
      <c r="C215" s="14" t="inlineStr">
        <is>
          <t>eef.die</t>
        </is>
      </c>
      <c r="D215" s="14" t="n">
        <v>1</v>
      </c>
      <c r="E215" s="14" t="n">
        <v>1</v>
      </c>
      <c r="F215" s="14" t="n">
        <v>1</v>
      </c>
      <c r="G215" s="14" t="n">
        <v>1</v>
      </c>
      <c r="H215" s="14" t="n">
        <v>1</v>
      </c>
    </row>
    <row r="216">
      <c r="A216" s="14" t="inlineStr">
        <is>
          <t>DEU|eef.gso</t>
        </is>
      </c>
      <c r="B216" s="14" t="inlineStr">
        <is>
          <t>DEU</t>
        </is>
      </c>
      <c r="C216" s="14" t="inlineStr">
        <is>
          <t>eef.gso</t>
        </is>
      </c>
      <c r="D216" s="14" t="n">
        <v>1</v>
      </c>
      <c r="E216" s="14" t="n">
        <v>1</v>
      </c>
      <c r="F216" s="14" t="n">
        <v>1</v>
      </c>
      <c r="G216" s="14" t="n">
        <v>1</v>
      </c>
      <c r="H216" s="14" t="n">
        <v>1</v>
      </c>
    </row>
    <row r="217">
      <c r="A217" s="14" t="inlineStr">
        <is>
          <t>DEU|eef.jfu</t>
        </is>
      </c>
      <c r="B217" s="14" t="inlineStr">
        <is>
          <t>DEU</t>
        </is>
      </c>
      <c r="C217" s="14" t="inlineStr">
        <is>
          <t>eef.jfu</t>
        </is>
      </c>
      <c r="D217" s="14" t="n">
        <v>1</v>
      </c>
      <c r="E217" s="14" t="n">
        <v>1</v>
      </c>
      <c r="F217" s="14" t="n">
        <v>1</v>
      </c>
      <c r="G217" s="14" t="n">
        <v>1</v>
      </c>
      <c r="H217" s="14" t="n">
        <v>1</v>
      </c>
    </row>
    <row r="218">
      <c r="A218" s="14" t="inlineStr">
        <is>
          <t>DEU|eef.ker</t>
        </is>
      </c>
      <c r="B218" s="14" t="inlineStr">
        <is>
          <t>DEU</t>
        </is>
      </c>
      <c r="C218" s="14" t="inlineStr">
        <is>
          <t>eef.ker</t>
        </is>
      </c>
      <c r="D218" s="14" t="n">
        <v>1</v>
      </c>
      <c r="E218" s="14" t="n">
        <v>1</v>
      </c>
      <c r="F218" s="14" t="n">
        <v>1</v>
      </c>
      <c r="G218" s="14" t="n">
        <v>1</v>
      </c>
      <c r="H218" s="14" t="n">
        <v>1</v>
      </c>
    </row>
    <row r="219">
      <c r="A219" s="14" t="inlineStr">
        <is>
          <t>DEU|eef.lpg</t>
        </is>
      </c>
      <c r="B219" s="14" t="inlineStr">
        <is>
          <t>DEU</t>
        </is>
      </c>
      <c r="C219" s="14" t="inlineStr">
        <is>
          <t>eef.lpg</t>
        </is>
      </c>
      <c r="D219" s="14" t="n">
        <v>1</v>
      </c>
      <c r="E219" s="14" t="n">
        <v>1</v>
      </c>
      <c r="F219" s="14" t="n">
        <v>1</v>
      </c>
      <c r="G219" s="14" t="n">
        <v>1</v>
      </c>
      <c r="H219" s="14" t="n">
        <v>1</v>
      </c>
    </row>
    <row r="220">
      <c r="A220" s="14" t="inlineStr">
        <is>
          <t>DEU|eef.nga</t>
        </is>
      </c>
      <c r="B220" s="14" t="inlineStr">
        <is>
          <t>DEU</t>
        </is>
      </c>
      <c r="C220" s="14" t="inlineStr">
        <is>
          <t>eef.nga</t>
        </is>
      </c>
      <c r="D220" s="14" t="n">
        <v>1</v>
      </c>
      <c r="E220" s="14" t="n">
        <v>1</v>
      </c>
      <c r="F220" s="14" t="n">
        <v>1</v>
      </c>
      <c r="G220" s="14" t="n">
        <v>1</v>
      </c>
      <c r="H220" s="14" t="n">
        <v>1</v>
      </c>
    </row>
    <row r="221">
      <c r="A221" s="14" t="inlineStr">
        <is>
          <t>DEU|eef.oop</t>
        </is>
      </c>
      <c r="B221" s="14" t="inlineStr">
        <is>
          <t>DEU</t>
        </is>
      </c>
      <c r="C221" s="14" t="inlineStr">
        <is>
          <t>eef.oop</t>
        </is>
      </c>
      <c r="D221" s="14" t="n">
        <v>1</v>
      </c>
      <c r="E221" s="14" t="n">
        <v>1</v>
      </c>
      <c r="F221" s="14" t="n">
        <v>1</v>
      </c>
      <c r="G221" s="14" t="n">
        <v>1</v>
      </c>
      <c r="H221" s="14" t="n">
        <v>1</v>
      </c>
    </row>
    <row r="222">
      <c r="A222" s="14" t="inlineStr">
        <is>
          <t>DEU|eer.all</t>
        </is>
      </c>
      <c r="B222" s="14" t="inlineStr">
        <is>
          <t>DEU</t>
        </is>
      </c>
      <c r="C222" s="14" t="inlineStr">
        <is>
          <t>eer.all</t>
        </is>
      </c>
      <c r="D222" s="14" t="n">
        <v>29.365</v>
      </c>
      <c r="E222" s="14" t="n">
        <v>33.156</v>
      </c>
      <c r="F222" s="14" t="n">
        <v>32.625</v>
      </c>
      <c r="G222" s="14" t="n">
        <v>48.3705</v>
      </c>
      <c r="H222" s="14" t="n">
        <v>48.546</v>
      </c>
    </row>
    <row r="223">
      <c r="A223" s="14" t="inlineStr">
        <is>
          <t>DEU|ees.ind</t>
        </is>
      </c>
      <c r="B223" s="14" t="inlineStr">
        <is>
          <t>DEU</t>
        </is>
      </c>
      <c r="C223" s="14" t="inlineStr">
        <is>
          <t>ees.ind</t>
        </is>
      </c>
      <c r="D223" s="14" t="n"/>
      <c r="E223" s="14" t="n"/>
      <c r="F223" s="14" t="n">
        <v>0.713875</v>
      </c>
      <c r="G223" s="14" t="n">
        <v>0.713875</v>
      </c>
      <c r="H223" s="14" t="n">
        <v>0.713875</v>
      </c>
    </row>
    <row r="224">
      <c r="A224" s="14" t="inlineStr">
        <is>
          <t>DEU|ees.pow</t>
        </is>
      </c>
      <c r="B224" s="14" t="inlineStr">
        <is>
          <t>DEU</t>
        </is>
      </c>
      <c r="C224" s="14" t="inlineStr">
        <is>
          <t>ees.pow</t>
        </is>
      </c>
      <c r="D224" s="14" t="n"/>
      <c r="E224" s="14" t="n"/>
      <c r="F224" s="14" t="n">
        <v>0.713875</v>
      </c>
      <c r="G224" s="14" t="n">
        <v>0.713875</v>
      </c>
      <c r="H224" s="14" t="n">
        <v>0.713875</v>
      </c>
    </row>
    <row r="225">
      <c r="A225" s="14" t="inlineStr">
        <is>
          <t>DEU|ees.res</t>
        </is>
      </c>
      <c r="B225" s="14" t="inlineStr">
        <is>
          <t>DEU</t>
        </is>
      </c>
      <c r="C225" s="14" t="inlineStr">
        <is>
          <t>ees.res</t>
        </is>
      </c>
      <c r="D225" s="14" t="n"/>
      <c r="E225" s="14" t="n"/>
      <c r="F225" s="14" t="n">
        <v>0.713875</v>
      </c>
      <c r="G225" s="14" t="n">
        <v>0.713875</v>
      </c>
      <c r="H225" s="14" t="n">
        <v>0.713875</v>
      </c>
    </row>
    <row r="226">
      <c r="A226" s="14" t="inlineStr">
        <is>
          <t>DEU|ees.trs</t>
        </is>
      </c>
      <c r="B226" s="14" t="inlineStr">
        <is>
          <t>DEU</t>
        </is>
      </c>
      <c r="C226" s="14" t="inlineStr">
        <is>
          <t>ees.trs</t>
        </is>
      </c>
      <c r="D226" s="14" t="n"/>
      <c r="E226" s="14" t="n"/>
      <c r="F226" s="14" t="n">
        <v>0.713875</v>
      </c>
      <c r="G226" s="14" t="n">
        <v>0.713875</v>
      </c>
      <c r="H226" s="14" t="n">
        <v>0.713875</v>
      </c>
    </row>
    <row r="227">
      <c r="A227" s="14" t="inlineStr">
        <is>
          <t>DNK|ecf.bio</t>
        </is>
      </c>
      <c r="B227" s="14" t="inlineStr">
        <is>
          <t>DNK</t>
        </is>
      </c>
      <c r="C227" s="14" t="inlineStr">
        <is>
          <t>ecf.bio</t>
        </is>
      </c>
      <c r="D227" s="14" t="n">
        <v>1</v>
      </c>
      <c r="E227" s="14" t="n">
        <v>1</v>
      </c>
      <c r="F227" s="14" t="n">
        <v>1</v>
      </c>
      <c r="G227" s="14" t="n">
        <v>1</v>
      </c>
      <c r="H227" s="14" t="n">
        <v>1</v>
      </c>
    </row>
    <row r="228">
      <c r="A228" s="14" t="inlineStr">
        <is>
          <t>DNK|ecf.coa</t>
        </is>
      </c>
      <c r="B228" s="14" t="inlineStr">
        <is>
          <t>DNK</t>
        </is>
      </c>
      <c r="C228" s="14" t="inlineStr">
        <is>
          <t>ecf.coa</t>
        </is>
      </c>
      <c r="D228" s="14" t="n">
        <v>1</v>
      </c>
      <c r="E228" s="14" t="n">
        <v>1</v>
      </c>
      <c r="F228" s="14" t="n">
        <v>1</v>
      </c>
      <c r="G228" s="14" t="n">
        <v>1</v>
      </c>
      <c r="H228" s="14" t="n">
        <v>1</v>
      </c>
    </row>
    <row r="229">
      <c r="A229" s="14" t="inlineStr">
        <is>
          <t>DNK|ecf.die</t>
        </is>
      </c>
      <c r="B229" s="14" t="inlineStr">
        <is>
          <t>DNK</t>
        </is>
      </c>
      <c r="C229" s="14" t="inlineStr">
        <is>
          <t>ecf.die</t>
        </is>
      </c>
      <c r="D229" s="14" t="n">
        <v>1</v>
      </c>
      <c r="E229" s="14" t="n">
        <v>1</v>
      </c>
      <c r="F229" s="14" t="n">
        <v>1</v>
      </c>
      <c r="G229" s="14" t="n">
        <v>1</v>
      </c>
      <c r="H229" s="14" t="n">
        <v>1</v>
      </c>
    </row>
    <row r="230">
      <c r="A230" s="14" t="inlineStr">
        <is>
          <t>DNK|ecf.gso</t>
        </is>
      </c>
      <c r="B230" s="14" t="inlineStr">
        <is>
          <t>DNK</t>
        </is>
      </c>
      <c r="C230" s="14" t="inlineStr">
        <is>
          <t>ecf.gso</t>
        </is>
      </c>
      <c r="D230" s="14" t="n">
        <v>1</v>
      </c>
      <c r="E230" s="14" t="n">
        <v>1</v>
      </c>
      <c r="F230" s="14" t="n">
        <v>1</v>
      </c>
      <c r="G230" s="14" t="n">
        <v>1</v>
      </c>
      <c r="H230" s="14" t="n">
        <v>1</v>
      </c>
    </row>
    <row r="231">
      <c r="A231" s="14" t="inlineStr">
        <is>
          <t>DNK|ecf.jfu</t>
        </is>
      </c>
      <c r="B231" s="14" t="inlineStr">
        <is>
          <t>DNK</t>
        </is>
      </c>
      <c r="C231" s="14" t="inlineStr">
        <is>
          <t>ecf.jfu</t>
        </is>
      </c>
      <c r="D231" s="14" t="n">
        <v>1</v>
      </c>
      <c r="E231" s="14" t="n">
        <v>1</v>
      </c>
      <c r="F231" s="14" t="n">
        <v>1</v>
      </c>
      <c r="G231" s="14" t="n">
        <v>1</v>
      </c>
      <c r="H231" s="14" t="n">
        <v>1</v>
      </c>
    </row>
    <row r="232">
      <c r="A232" s="14" t="inlineStr">
        <is>
          <t>DNK|ecf.ker</t>
        </is>
      </c>
      <c r="B232" s="14" t="inlineStr">
        <is>
          <t>DNK</t>
        </is>
      </c>
      <c r="C232" s="14" t="inlineStr">
        <is>
          <t>ecf.ker</t>
        </is>
      </c>
      <c r="D232" s="14" t="n">
        <v>1</v>
      </c>
      <c r="E232" s="14" t="n">
        <v>1</v>
      </c>
      <c r="F232" s="14" t="n">
        <v>1</v>
      </c>
      <c r="G232" s="14" t="n">
        <v>1</v>
      </c>
      <c r="H232" s="14" t="n">
        <v>1</v>
      </c>
    </row>
    <row r="233">
      <c r="A233" s="14" t="inlineStr">
        <is>
          <t>DNK|ecf.lpg</t>
        </is>
      </c>
      <c r="B233" s="14" t="inlineStr">
        <is>
          <t>DNK</t>
        </is>
      </c>
      <c r="C233" s="14" t="inlineStr">
        <is>
          <t>ecf.lpg</t>
        </is>
      </c>
      <c r="D233" s="14" t="n">
        <v>1</v>
      </c>
      <c r="E233" s="14" t="n">
        <v>1</v>
      </c>
      <c r="F233" s="14" t="n">
        <v>1</v>
      </c>
      <c r="G233" s="14" t="n">
        <v>1</v>
      </c>
      <c r="H233" s="14" t="n">
        <v>1</v>
      </c>
    </row>
    <row r="234">
      <c r="A234" s="14" t="inlineStr">
        <is>
          <t>DNK|ecf.nga</t>
        </is>
      </c>
      <c r="B234" s="14" t="inlineStr">
        <is>
          <t>DNK</t>
        </is>
      </c>
      <c r="C234" s="14" t="inlineStr">
        <is>
          <t>ecf.nga</t>
        </is>
      </c>
      <c r="D234" s="14" t="n">
        <v>1</v>
      </c>
      <c r="E234" s="14" t="n">
        <v>1</v>
      </c>
      <c r="F234" s="14" t="n">
        <v>1</v>
      </c>
      <c r="G234" s="14" t="n">
        <v>1</v>
      </c>
      <c r="H234" s="14" t="n">
        <v>1</v>
      </c>
    </row>
    <row r="235">
      <c r="A235" s="14" t="inlineStr">
        <is>
          <t>DNK|ecf.oop</t>
        </is>
      </c>
      <c r="B235" s="14" t="inlineStr">
        <is>
          <t>DNK</t>
        </is>
      </c>
      <c r="C235" s="14" t="inlineStr">
        <is>
          <t>ecf.oop</t>
        </is>
      </c>
      <c r="D235" s="14" t="n">
        <v>1</v>
      </c>
      <c r="E235" s="14" t="n">
        <v>1</v>
      </c>
      <c r="F235" s="14" t="n">
        <v>1</v>
      </c>
      <c r="G235" s="14" t="n">
        <v>1</v>
      </c>
      <c r="H235" s="14" t="n">
        <v>1</v>
      </c>
    </row>
    <row r="236">
      <c r="A236" s="14" t="inlineStr">
        <is>
          <t>DNK|ecr.all</t>
        </is>
      </c>
      <c r="B236" s="14" t="inlineStr">
        <is>
          <t>DNK</t>
        </is>
      </c>
      <c r="C236" s="14" t="inlineStr">
        <is>
          <t>ecr.all</t>
        </is>
      </c>
      <c r="D236" s="14" t="n">
        <v>28.140814</v>
      </c>
      <c r="E236" s="14" t="n">
        <v>26.624274</v>
      </c>
      <c r="F236" s="14" t="n">
        <v>26.528646</v>
      </c>
      <c r="G236" s="14" t="n">
        <v>28.204943</v>
      </c>
      <c r="H236" s="14" t="n">
        <v>108.43478</v>
      </c>
    </row>
    <row r="237">
      <c r="A237" s="14" t="inlineStr">
        <is>
          <t>DNK|ecs.ind</t>
        </is>
      </c>
      <c r="B237" s="14" t="inlineStr">
        <is>
          <t>DNK</t>
        </is>
      </c>
      <c r="C237" s="14" t="inlineStr">
        <is>
          <t>ecs.ind</t>
        </is>
      </c>
      <c r="D237" s="14" t="n">
        <v>0.260443</v>
      </c>
      <c r="E237" s="14" t="n">
        <v>0.137937</v>
      </c>
      <c r="F237" s="14" t="n">
        <v>0.07815800000000001</v>
      </c>
      <c r="G237" s="14" t="n">
        <v>0.691197</v>
      </c>
      <c r="H237" s="14" t="n">
        <v>0.691197</v>
      </c>
    </row>
    <row r="238">
      <c r="A238" s="14" t="inlineStr">
        <is>
          <t>DNK|ecs.pow</t>
        </is>
      </c>
      <c r="B238" s="14" t="inlineStr">
        <is>
          <t>DNK</t>
        </is>
      </c>
      <c r="C238" s="14" t="inlineStr">
        <is>
          <t>ecs.pow</t>
        </is>
      </c>
      <c r="D238" s="14" t="n">
        <v>0.719383</v>
      </c>
      <c r="E238" s="14" t="n">
        <v>0.728803</v>
      </c>
      <c r="F238" s="14" t="n">
        <v>0.666394</v>
      </c>
      <c r="G238" s="14" t="n">
        <v>0.648299</v>
      </c>
      <c r="H238" s="14" t="n">
        <v>0.648299</v>
      </c>
    </row>
    <row r="239">
      <c r="A239" s="14" t="inlineStr">
        <is>
          <t>DNK|ecs.res</t>
        </is>
      </c>
      <c r="B239" s="14" t="inlineStr">
        <is>
          <t>DNK</t>
        </is>
      </c>
      <c r="C239" s="14" t="inlineStr">
        <is>
          <t>ecs.res</t>
        </is>
      </c>
      <c r="D239" s="14" t="n">
        <v>1</v>
      </c>
      <c r="E239" s="14" t="n">
        <v>1</v>
      </c>
      <c r="F239" s="14" t="n">
        <v>1</v>
      </c>
      <c r="G239" s="14" t="n">
        <v>1</v>
      </c>
      <c r="H239" s="14" t="n">
        <v>1</v>
      </c>
    </row>
    <row r="240">
      <c r="A240" s="14" t="inlineStr">
        <is>
          <t>DNK|ecs.trs</t>
        </is>
      </c>
      <c r="B240" s="14" t="inlineStr">
        <is>
          <t>DNK</t>
        </is>
      </c>
      <c r="C240" s="14" t="inlineStr">
        <is>
          <t>ecs.trs</t>
        </is>
      </c>
      <c r="D240" s="14" t="n">
        <v>1</v>
      </c>
      <c r="E240" s="14" t="n">
        <v>1</v>
      </c>
      <c r="F240" s="14" t="n">
        <v>1</v>
      </c>
      <c r="G240" s="14" t="n">
        <v>1</v>
      </c>
      <c r="H240" s="14" t="n">
        <v>1</v>
      </c>
    </row>
    <row r="241">
      <c r="A241" s="14" t="inlineStr">
        <is>
          <t>DNK|eef.bio</t>
        </is>
      </c>
      <c r="B241" s="14" t="inlineStr">
        <is>
          <t>DNK</t>
        </is>
      </c>
      <c r="C241" s="14" t="inlineStr">
        <is>
          <t>eef.bio</t>
        </is>
      </c>
      <c r="D241" s="14" t="n">
        <v>0</v>
      </c>
      <c r="E241" s="14" t="n">
        <v>1</v>
      </c>
      <c r="F241" s="14" t="n">
        <v>1</v>
      </c>
      <c r="G241" s="14" t="n">
        <v>1</v>
      </c>
      <c r="H241" s="14" t="n">
        <v>1</v>
      </c>
    </row>
    <row r="242">
      <c r="A242" s="14" t="inlineStr">
        <is>
          <t>DNK|eef.coa</t>
        </is>
      </c>
      <c r="B242" s="14" t="inlineStr">
        <is>
          <t>DNK</t>
        </is>
      </c>
      <c r="C242" s="14" t="inlineStr">
        <is>
          <t>eef.coa</t>
        </is>
      </c>
      <c r="D242" s="14" t="n">
        <v>1</v>
      </c>
      <c r="E242" s="14" t="n">
        <v>1</v>
      </c>
      <c r="F242" s="14" t="n">
        <v>1</v>
      </c>
      <c r="G242" s="14" t="n">
        <v>1</v>
      </c>
      <c r="H242" s="14" t="n">
        <v>1</v>
      </c>
    </row>
    <row r="243">
      <c r="A243" s="14" t="inlineStr">
        <is>
          <t>DNK|eef.die</t>
        </is>
      </c>
      <c r="B243" s="14" t="inlineStr">
        <is>
          <t>DNK</t>
        </is>
      </c>
      <c r="C243" s="14" t="inlineStr">
        <is>
          <t>eef.die</t>
        </is>
      </c>
      <c r="D243" s="14" t="n">
        <v>1</v>
      </c>
      <c r="E243" s="14" t="n">
        <v>1</v>
      </c>
      <c r="F243" s="14" t="n">
        <v>1</v>
      </c>
      <c r="G243" s="14" t="n">
        <v>1</v>
      </c>
      <c r="H243" s="14" t="n">
        <v>1</v>
      </c>
    </row>
    <row r="244">
      <c r="A244" s="14" t="inlineStr">
        <is>
          <t>DNK|eef.gso</t>
        </is>
      </c>
      <c r="B244" s="14" t="inlineStr">
        <is>
          <t>DNK</t>
        </is>
      </c>
      <c r="C244" s="14" t="inlineStr">
        <is>
          <t>eef.gso</t>
        </is>
      </c>
      <c r="D244" s="14" t="n">
        <v>1</v>
      </c>
      <c r="E244" s="14" t="n">
        <v>1</v>
      </c>
      <c r="F244" s="14" t="n">
        <v>1</v>
      </c>
      <c r="G244" s="14" t="n">
        <v>1</v>
      </c>
      <c r="H244" s="14" t="n">
        <v>1</v>
      </c>
    </row>
    <row r="245">
      <c r="A245" s="14" t="inlineStr">
        <is>
          <t>DNK|eef.jfu</t>
        </is>
      </c>
      <c r="B245" s="14" t="inlineStr">
        <is>
          <t>DNK</t>
        </is>
      </c>
      <c r="C245" s="14" t="inlineStr">
        <is>
          <t>eef.jfu</t>
        </is>
      </c>
      <c r="D245" s="14" t="n">
        <v>1</v>
      </c>
      <c r="E245" s="14" t="n">
        <v>1</v>
      </c>
      <c r="F245" s="14" t="n">
        <v>1</v>
      </c>
      <c r="G245" s="14" t="n">
        <v>1</v>
      </c>
      <c r="H245" s="14" t="n">
        <v>1</v>
      </c>
    </row>
    <row r="246">
      <c r="A246" s="14" t="inlineStr">
        <is>
          <t>DNK|eef.ker</t>
        </is>
      </c>
      <c r="B246" s="14" t="inlineStr">
        <is>
          <t>DNK</t>
        </is>
      </c>
      <c r="C246" s="14" t="inlineStr">
        <is>
          <t>eef.ker</t>
        </is>
      </c>
      <c r="D246" s="14" t="n">
        <v>1</v>
      </c>
      <c r="E246" s="14" t="n">
        <v>1</v>
      </c>
      <c r="F246" s="14" t="n">
        <v>1</v>
      </c>
      <c r="G246" s="14" t="n">
        <v>1</v>
      </c>
      <c r="H246" s="14" t="n">
        <v>1</v>
      </c>
    </row>
    <row r="247">
      <c r="A247" s="14" t="inlineStr">
        <is>
          <t>DNK|eef.lpg</t>
        </is>
      </c>
      <c r="B247" s="14" t="inlineStr">
        <is>
          <t>DNK</t>
        </is>
      </c>
      <c r="C247" s="14" t="inlineStr">
        <is>
          <t>eef.lpg</t>
        </is>
      </c>
      <c r="D247" s="14" t="n">
        <v>1</v>
      </c>
      <c r="E247" s="14" t="n">
        <v>1</v>
      </c>
      <c r="F247" s="14" t="n">
        <v>1</v>
      </c>
      <c r="G247" s="14" t="n">
        <v>1</v>
      </c>
      <c r="H247" s="14" t="n">
        <v>1</v>
      </c>
    </row>
    <row r="248">
      <c r="A248" s="14" t="inlineStr">
        <is>
          <t>DNK|eef.nga</t>
        </is>
      </c>
      <c r="B248" s="14" t="inlineStr">
        <is>
          <t>DNK</t>
        </is>
      </c>
      <c r="C248" s="14" t="inlineStr">
        <is>
          <t>eef.nga</t>
        </is>
      </c>
      <c r="D248" s="14" t="n">
        <v>1</v>
      </c>
      <c r="E248" s="14" t="n">
        <v>1</v>
      </c>
      <c r="F248" s="14" t="n">
        <v>1</v>
      </c>
      <c r="G248" s="14" t="n">
        <v>1</v>
      </c>
      <c r="H248" s="14" t="n">
        <v>1</v>
      </c>
    </row>
    <row r="249">
      <c r="A249" s="14" t="inlineStr">
        <is>
          <t>DNK|eef.oop</t>
        </is>
      </c>
      <c r="B249" s="14" t="inlineStr">
        <is>
          <t>DNK</t>
        </is>
      </c>
      <c r="C249" s="14" t="inlineStr">
        <is>
          <t>eef.oop</t>
        </is>
      </c>
      <c r="D249" s="14" t="n">
        <v>1</v>
      </c>
      <c r="E249" s="14" t="n">
        <v>1</v>
      </c>
      <c r="F249" s="14" t="n">
        <v>1</v>
      </c>
      <c r="G249" s="14" t="n">
        <v>1</v>
      </c>
      <c r="H249" s="14" t="n">
        <v>1</v>
      </c>
    </row>
    <row r="250">
      <c r="A250" s="14" t="inlineStr">
        <is>
          <t>DNK|eer.all</t>
        </is>
      </c>
      <c r="B250" s="14" t="inlineStr">
        <is>
          <t>DNK</t>
        </is>
      </c>
      <c r="C250" s="14" t="inlineStr">
        <is>
          <t>eer.all</t>
        </is>
      </c>
      <c r="D250" s="14" t="n">
        <v>49.779548</v>
      </c>
      <c r="E250" s="14" t="n">
        <v>86.52610799999999</v>
      </c>
      <c r="F250" s="14" t="n">
        <v>96.298125</v>
      </c>
      <c r="G250" s="14" t="n">
        <v>61.301547</v>
      </c>
      <c r="H250" s="14" t="n">
        <v>70.370124</v>
      </c>
    </row>
    <row r="251">
      <c r="A251" s="14" t="inlineStr">
        <is>
          <t>DNK|ees.ind</t>
        </is>
      </c>
      <c r="B251" s="14" t="inlineStr">
        <is>
          <t>DNK</t>
        </is>
      </c>
      <c r="C251" s="14" t="inlineStr">
        <is>
          <t>ees.ind</t>
        </is>
      </c>
      <c r="D251" s="14" t="n">
        <v>0.739557</v>
      </c>
      <c r="E251" s="14" t="n">
        <v>0.862063</v>
      </c>
      <c r="F251" s="14" t="n">
        <v>0.9218420000000001</v>
      </c>
      <c r="G251" s="14" t="n">
        <v>0.308803</v>
      </c>
      <c r="H251" s="14" t="n">
        <v>0.308803</v>
      </c>
    </row>
    <row r="252">
      <c r="A252" s="14" t="inlineStr">
        <is>
          <t>DNK|ees.pow</t>
        </is>
      </c>
      <c r="B252" s="14" t="inlineStr">
        <is>
          <t>DNK</t>
        </is>
      </c>
      <c r="C252" s="14" t="inlineStr">
        <is>
          <t>ees.pow</t>
        </is>
      </c>
      <c r="D252" s="14" t="n">
        <v>0.280617</v>
      </c>
      <c r="E252" s="14" t="n">
        <v>0.271197</v>
      </c>
      <c r="F252" s="14" t="n">
        <v>0.333606</v>
      </c>
      <c r="G252" s="14" t="n">
        <v>0.351701</v>
      </c>
      <c r="H252" s="14" t="n">
        <v>0.351701</v>
      </c>
    </row>
    <row r="253">
      <c r="A253" s="14" t="inlineStr">
        <is>
          <t>ESP|ecf.coa</t>
        </is>
      </c>
      <c r="B253" s="14" t="inlineStr">
        <is>
          <t>ESP</t>
        </is>
      </c>
      <c r="C253" s="14" t="inlineStr">
        <is>
          <t>ecf.coa</t>
        </is>
      </c>
      <c r="D253" s="14" t="n">
        <v>1</v>
      </c>
      <c r="E253" s="14" t="n">
        <v>1</v>
      </c>
      <c r="F253" s="14" t="n">
        <v>1</v>
      </c>
      <c r="G253" s="14" t="n">
        <v>1</v>
      </c>
      <c r="H253" s="14" t="n">
        <v>0</v>
      </c>
    </row>
    <row r="254">
      <c r="A254" s="14" t="inlineStr">
        <is>
          <t>ESP|ecf.die</t>
        </is>
      </c>
      <c r="B254" s="14" t="inlineStr">
        <is>
          <t>ESP</t>
        </is>
      </c>
      <c r="C254" s="14" t="inlineStr">
        <is>
          <t>ecf.die</t>
        </is>
      </c>
      <c r="D254" s="14" t="n">
        <v>1</v>
      </c>
      <c r="E254" s="14" t="n">
        <v>1</v>
      </c>
      <c r="F254" s="14" t="n">
        <v>1</v>
      </c>
      <c r="G254" s="14" t="n">
        <v>1</v>
      </c>
      <c r="H254" s="14" t="n">
        <v>0</v>
      </c>
    </row>
    <row r="255">
      <c r="A255" s="14" t="inlineStr">
        <is>
          <t>ESP|ecf.gso</t>
        </is>
      </c>
      <c r="B255" s="14" t="inlineStr">
        <is>
          <t>ESP</t>
        </is>
      </c>
      <c r="C255" s="14" t="inlineStr">
        <is>
          <t>ecf.gso</t>
        </is>
      </c>
      <c r="D255" s="14" t="n">
        <v>1</v>
      </c>
      <c r="E255" s="14" t="n">
        <v>1</v>
      </c>
      <c r="F255" s="14" t="n">
        <v>1</v>
      </c>
      <c r="G255" s="14" t="n">
        <v>1</v>
      </c>
      <c r="H255" s="14" t="n">
        <v>0</v>
      </c>
    </row>
    <row r="256">
      <c r="A256" s="14" t="inlineStr">
        <is>
          <t>ESP|ecf.jfu</t>
        </is>
      </c>
      <c r="B256" s="14" t="inlineStr">
        <is>
          <t>ESP</t>
        </is>
      </c>
      <c r="C256" s="14" t="inlineStr">
        <is>
          <t>ecf.jfu</t>
        </is>
      </c>
      <c r="D256" s="14" t="n">
        <v>1</v>
      </c>
      <c r="E256" s="14" t="n">
        <v>1</v>
      </c>
      <c r="F256" s="14" t="n">
        <v>1</v>
      </c>
      <c r="G256" s="14" t="n">
        <v>1</v>
      </c>
      <c r="H256" s="14" t="n">
        <v>0</v>
      </c>
    </row>
    <row r="257">
      <c r="A257" s="14" t="inlineStr">
        <is>
          <t>ESP|ecf.ker</t>
        </is>
      </c>
      <c r="B257" s="14" t="inlineStr">
        <is>
          <t>ESP</t>
        </is>
      </c>
      <c r="C257" s="14" t="inlineStr">
        <is>
          <t>ecf.ker</t>
        </is>
      </c>
      <c r="D257" s="14" t="n">
        <v>1</v>
      </c>
      <c r="E257" s="14" t="n">
        <v>1</v>
      </c>
      <c r="F257" s="14" t="n">
        <v>1</v>
      </c>
      <c r="G257" s="14" t="n">
        <v>1</v>
      </c>
      <c r="H257" s="14" t="n">
        <v>0</v>
      </c>
    </row>
    <row r="258">
      <c r="A258" s="14" t="inlineStr">
        <is>
          <t>ESP|ecf.lpg</t>
        </is>
      </c>
      <c r="B258" s="14" t="inlineStr">
        <is>
          <t>ESP</t>
        </is>
      </c>
      <c r="C258" s="14" t="inlineStr">
        <is>
          <t>ecf.lpg</t>
        </is>
      </c>
      <c r="D258" s="14" t="n">
        <v>1</v>
      </c>
      <c r="E258" s="14" t="n">
        <v>1</v>
      </c>
      <c r="F258" s="14" t="n">
        <v>1</v>
      </c>
      <c r="G258" s="14" t="n">
        <v>1</v>
      </c>
      <c r="H258" s="14" t="n">
        <v>0</v>
      </c>
    </row>
    <row r="259">
      <c r="A259" s="14" t="inlineStr">
        <is>
          <t>ESP|ecf.nga</t>
        </is>
      </c>
      <c r="B259" s="14" t="inlineStr">
        <is>
          <t>ESP</t>
        </is>
      </c>
      <c r="C259" s="14" t="inlineStr">
        <is>
          <t>ecf.nga</t>
        </is>
      </c>
      <c r="D259" s="14" t="n">
        <v>1</v>
      </c>
      <c r="E259" s="14" t="n">
        <v>1</v>
      </c>
      <c r="F259" s="14" t="n">
        <v>1</v>
      </c>
      <c r="G259" s="14" t="n">
        <v>1</v>
      </c>
      <c r="H259" s="14" t="n">
        <v>0</v>
      </c>
    </row>
    <row r="260">
      <c r="A260" s="14" t="inlineStr">
        <is>
          <t>ESP|ecf.oop</t>
        </is>
      </c>
      <c r="B260" s="14" t="inlineStr">
        <is>
          <t>ESP</t>
        </is>
      </c>
      <c r="C260" s="14" t="inlineStr">
        <is>
          <t>ecf.oop</t>
        </is>
      </c>
      <c r="D260" s="14" t="n">
        <v>1</v>
      </c>
      <c r="E260" s="14" t="n">
        <v>1</v>
      </c>
      <c r="F260" s="14" t="n">
        <v>1</v>
      </c>
      <c r="G260" s="14" t="n">
        <v>1</v>
      </c>
      <c r="H260" s="14" t="n">
        <v>0</v>
      </c>
    </row>
    <row r="261">
      <c r="A261" s="14" t="inlineStr">
        <is>
          <t>ESP|ecr.all</t>
        </is>
      </c>
      <c r="B261" s="14" t="inlineStr">
        <is>
          <t>ESP</t>
        </is>
      </c>
      <c r="C261" s="14" t="inlineStr">
        <is>
          <t>ecr.all</t>
        </is>
      </c>
      <c r="D261" s="14" t="n">
        <v>17.619</v>
      </c>
      <c r="E261" s="14" t="n">
        <v>16.578</v>
      </c>
      <c r="F261" s="14" t="n">
        <v>16.3125</v>
      </c>
      <c r="G261" s="14" t="n">
        <v>16.1235</v>
      </c>
      <c r="H261" s="14" t="n">
        <v>16.182</v>
      </c>
    </row>
    <row r="262">
      <c r="A262" s="14" t="inlineStr">
        <is>
          <t>ESP|ecs.ind</t>
        </is>
      </c>
      <c r="B262" s="14" t="inlineStr">
        <is>
          <t>ESP</t>
        </is>
      </c>
      <c r="C262" s="14" t="inlineStr">
        <is>
          <t>ecs.ind</t>
        </is>
      </c>
      <c r="D262" s="14" t="n">
        <v>0.03</v>
      </c>
      <c r="E262" s="14" t="n">
        <v>0.03</v>
      </c>
      <c r="F262" s="14" t="n">
        <v>0.03</v>
      </c>
      <c r="G262" s="14" t="n">
        <v>0.03</v>
      </c>
      <c r="H262" s="14" t="n">
        <v>0.03</v>
      </c>
    </row>
    <row r="263">
      <c r="A263" s="14" t="inlineStr">
        <is>
          <t>ESP|ecs.pow</t>
        </is>
      </c>
      <c r="B263" s="14" t="inlineStr">
        <is>
          <t>ESP</t>
        </is>
      </c>
      <c r="C263" s="14" t="inlineStr">
        <is>
          <t>ecs.pow</t>
        </is>
      </c>
      <c r="D263" s="14" t="n">
        <v>0.03</v>
      </c>
      <c r="E263" s="14" t="n">
        <v>0.03</v>
      </c>
      <c r="F263" s="14" t="n">
        <v>0.03</v>
      </c>
      <c r="G263" s="14" t="n">
        <v>0.03</v>
      </c>
      <c r="H263" s="14" t="n">
        <v>0.03</v>
      </c>
    </row>
    <row r="264">
      <c r="A264" s="14" t="inlineStr">
        <is>
          <t>ESP|ecs.res</t>
        </is>
      </c>
      <c r="B264" s="14" t="inlineStr">
        <is>
          <t>ESP</t>
        </is>
      </c>
      <c r="C264" s="14" t="inlineStr">
        <is>
          <t>ecs.res</t>
        </is>
      </c>
      <c r="D264" s="14" t="n">
        <v>0.03</v>
      </c>
      <c r="E264" s="14" t="n">
        <v>0.03</v>
      </c>
      <c r="F264" s="14" t="n">
        <v>0.03</v>
      </c>
      <c r="G264" s="14" t="n">
        <v>0.03</v>
      </c>
      <c r="H264" s="14" t="n">
        <v>0.03</v>
      </c>
    </row>
    <row r="265">
      <c r="A265" s="14" t="inlineStr">
        <is>
          <t>ESP|ecs.trs</t>
        </is>
      </c>
      <c r="B265" s="14" t="inlineStr">
        <is>
          <t>ESP</t>
        </is>
      </c>
      <c r="C265" s="14" t="inlineStr">
        <is>
          <t>ecs.trs</t>
        </is>
      </c>
      <c r="D265" s="14" t="n">
        <v>0.03</v>
      </c>
      <c r="E265" s="14" t="n">
        <v>0.03</v>
      </c>
      <c r="F265" s="14" t="n">
        <v>0.03</v>
      </c>
      <c r="G265" s="14" t="n">
        <v>0.03</v>
      </c>
      <c r="H265" s="14" t="n">
        <v>0.03</v>
      </c>
    </row>
    <row r="266">
      <c r="A266" s="14" t="inlineStr">
        <is>
          <t>ESP|eef.bio</t>
        </is>
      </c>
      <c r="B266" s="14" t="inlineStr">
        <is>
          <t>ESP</t>
        </is>
      </c>
      <c r="C266" s="14" t="inlineStr">
        <is>
          <t>eef.bio</t>
        </is>
      </c>
      <c r="D266" s="14" t="n">
        <v>0</v>
      </c>
      <c r="E266" s="14" t="n">
        <v>1</v>
      </c>
      <c r="F266" s="14" t="n">
        <v>1</v>
      </c>
      <c r="G266" s="14" t="n">
        <v>1</v>
      </c>
      <c r="H266" s="14" t="n">
        <v>1</v>
      </c>
    </row>
    <row r="267">
      <c r="A267" s="14" t="inlineStr">
        <is>
          <t>ESP|eef.coa</t>
        </is>
      </c>
      <c r="B267" s="14" t="inlineStr">
        <is>
          <t>ESP</t>
        </is>
      </c>
      <c r="C267" s="14" t="inlineStr">
        <is>
          <t>eef.coa</t>
        </is>
      </c>
      <c r="D267" s="14" t="n">
        <v>1</v>
      </c>
      <c r="E267" s="14" t="n">
        <v>1</v>
      </c>
      <c r="F267" s="14" t="n">
        <v>1</v>
      </c>
      <c r="G267" s="14" t="n">
        <v>1</v>
      </c>
      <c r="H267" s="14" t="n">
        <v>1</v>
      </c>
    </row>
    <row r="268">
      <c r="A268" s="14" t="inlineStr">
        <is>
          <t>ESP|eef.die</t>
        </is>
      </c>
      <c r="B268" s="14" t="inlineStr">
        <is>
          <t>ESP</t>
        </is>
      </c>
      <c r="C268" s="14" t="inlineStr">
        <is>
          <t>eef.die</t>
        </is>
      </c>
      <c r="D268" s="14" t="n">
        <v>1</v>
      </c>
      <c r="E268" s="14" t="n">
        <v>1</v>
      </c>
      <c r="F268" s="14" t="n">
        <v>1</v>
      </c>
      <c r="G268" s="14" t="n">
        <v>1</v>
      </c>
      <c r="H268" s="14" t="n">
        <v>1</v>
      </c>
    </row>
    <row r="269">
      <c r="A269" s="14" t="inlineStr">
        <is>
          <t>ESP|eef.gso</t>
        </is>
      </c>
      <c r="B269" s="14" t="inlineStr">
        <is>
          <t>ESP</t>
        </is>
      </c>
      <c r="C269" s="14" t="inlineStr">
        <is>
          <t>eef.gso</t>
        </is>
      </c>
      <c r="D269" s="14" t="n">
        <v>1</v>
      </c>
      <c r="E269" s="14" t="n">
        <v>1</v>
      </c>
      <c r="F269" s="14" t="n">
        <v>1</v>
      </c>
      <c r="G269" s="14" t="n">
        <v>1</v>
      </c>
      <c r="H269" s="14" t="n">
        <v>1</v>
      </c>
    </row>
    <row r="270">
      <c r="A270" s="14" t="inlineStr">
        <is>
          <t>ESP|eef.jfu</t>
        </is>
      </c>
      <c r="B270" s="14" t="inlineStr">
        <is>
          <t>ESP</t>
        </is>
      </c>
      <c r="C270" s="14" t="inlineStr">
        <is>
          <t>eef.jfu</t>
        </is>
      </c>
      <c r="D270" s="14" t="n">
        <v>1</v>
      </c>
      <c r="E270" s="14" t="n">
        <v>1</v>
      </c>
      <c r="F270" s="14" t="n">
        <v>1</v>
      </c>
      <c r="G270" s="14" t="n">
        <v>1</v>
      </c>
      <c r="H270" s="14" t="n">
        <v>1</v>
      </c>
    </row>
    <row r="271">
      <c r="A271" s="14" t="inlineStr">
        <is>
          <t>ESP|eef.ker</t>
        </is>
      </c>
      <c r="B271" s="14" t="inlineStr">
        <is>
          <t>ESP</t>
        </is>
      </c>
      <c r="C271" s="14" t="inlineStr">
        <is>
          <t>eef.ker</t>
        </is>
      </c>
      <c r="D271" s="14" t="n">
        <v>1</v>
      </c>
      <c r="E271" s="14" t="n">
        <v>1</v>
      </c>
      <c r="F271" s="14" t="n">
        <v>1</v>
      </c>
      <c r="G271" s="14" t="n">
        <v>1</v>
      </c>
      <c r="H271" s="14" t="n">
        <v>1</v>
      </c>
    </row>
    <row r="272">
      <c r="A272" s="14" t="inlineStr">
        <is>
          <t>ESP|eef.lpg</t>
        </is>
      </c>
      <c r="B272" s="14" t="inlineStr">
        <is>
          <t>ESP</t>
        </is>
      </c>
      <c r="C272" s="14" t="inlineStr">
        <is>
          <t>eef.lpg</t>
        </is>
      </c>
      <c r="D272" s="14" t="n">
        <v>1</v>
      </c>
      <c r="E272" s="14" t="n">
        <v>1</v>
      </c>
      <c r="F272" s="14" t="n">
        <v>1</v>
      </c>
      <c r="G272" s="14" t="n">
        <v>1</v>
      </c>
      <c r="H272" s="14" t="n">
        <v>1</v>
      </c>
    </row>
    <row r="273">
      <c r="A273" s="14" t="inlineStr">
        <is>
          <t>ESP|eef.nga</t>
        </is>
      </c>
      <c r="B273" s="14" t="inlineStr">
        <is>
          <t>ESP</t>
        </is>
      </c>
      <c r="C273" s="14" t="inlineStr">
        <is>
          <t>eef.nga</t>
        </is>
      </c>
      <c r="D273" s="14" t="n">
        <v>1</v>
      </c>
      <c r="E273" s="14" t="n">
        <v>1</v>
      </c>
      <c r="F273" s="14" t="n">
        <v>1</v>
      </c>
      <c r="G273" s="14" t="n">
        <v>1</v>
      </c>
      <c r="H273" s="14" t="n">
        <v>1</v>
      </c>
    </row>
    <row r="274">
      <c r="A274" s="14" t="inlineStr">
        <is>
          <t>ESP|eef.oop</t>
        </is>
      </c>
      <c r="B274" s="14" t="inlineStr">
        <is>
          <t>ESP</t>
        </is>
      </c>
      <c r="C274" s="14" t="inlineStr">
        <is>
          <t>eef.oop</t>
        </is>
      </c>
      <c r="D274" s="14" t="n">
        <v>1</v>
      </c>
      <c r="E274" s="14" t="n">
        <v>1</v>
      </c>
      <c r="F274" s="14" t="n">
        <v>1</v>
      </c>
      <c r="G274" s="14" t="n">
        <v>1</v>
      </c>
      <c r="H274" s="14" t="n">
        <v>1</v>
      </c>
    </row>
    <row r="275">
      <c r="A275" s="14" t="inlineStr">
        <is>
          <t>ESP|eer.all</t>
        </is>
      </c>
      <c r="B275" s="14" t="inlineStr">
        <is>
          <t>ESP</t>
        </is>
      </c>
      <c r="C275" s="14" t="inlineStr">
        <is>
          <t>eer.all</t>
        </is>
      </c>
      <c r="D275" s="14" t="n">
        <v>49.779548</v>
      </c>
      <c r="E275" s="14" t="n">
        <v>86.52610799999999</v>
      </c>
      <c r="F275" s="14" t="n">
        <v>96.298125</v>
      </c>
      <c r="G275" s="14" t="n">
        <v>61.301547</v>
      </c>
      <c r="H275" s="14" t="n">
        <v>70.370124</v>
      </c>
    </row>
    <row r="276">
      <c r="A276" s="14" t="inlineStr">
        <is>
          <t>ESP|ees.ind</t>
        </is>
      </c>
      <c r="B276" s="14" t="inlineStr">
        <is>
          <t>ESP</t>
        </is>
      </c>
      <c r="C276" s="14" t="inlineStr">
        <is>
          <t>ees.ind</t>
        </is>
      </c>
      <c r="D276" s="14" t="n">
        <v>0.830986</v>
      </c>
      <c r="E276" s="14" t="n">
        <v>0.891184</v>
      </c>
      <c r="F276" s="14" t="n">
        <v>0.990542</v>
      </c>
      <c r="G276" s="14" t="n">
        <v>0.740388</v>
      </c>
      <c r="H276" s="14" t="n">
        <v>0.740388</v>
      </c>
    </row>
    <row r="277">
      <c r="A277" s="14" t="inlineStr">
        <is>
          <t>ESP|ees.pow</t>
        </is>
      </c>
      <c r="B277" s="14" t="inlineStr">
        <is>
          <t>ESP</t>
        </is>
      </c>
      <c r="C277" s="14" t="inlineStr">
        <is>
          <t>ees.pow</t>
        </is>
      </c>
      <c r="D277" s="14" t="n">
        <v>0.074533</v>
      </c>
      <c r="E277" s="14" t="n">
        <v>0.060095</v>
      </c>
      <c r="F277" s="14" t="n">
        <v>0.076528</v>
      </c>
      <c r="G277" s="14" t="n">
        <v>0.073282</v>
      </c>
      <c r="H277" s="14" t="n">
        <v>0.073282</v>
      </c>
    </row>
    <row r="278">
      <c r="A278" s="14" t="inlineStr">
        <is>
          <t>EST|ecf.coa</t>
        </is>
      </c>
      <c r="B278" s="14" t="inlineStr">
        <is>
          <t>EST</t>
        </is>
      </c>
      <c r="C278" s="14" t="inlineStr">
        <is>
          <t>ecf.coa</t>
        </is>
      </c>
      <c r="D278" s="14" t="n">
        <v>1</v>
      </c>
      <c r="E278" s="14" t="n">
        <v>1</v>
      </c>
      <c r="F278" s="14" t="n">
        <v>1</v>
      </c>
      <c r="G278" s="14" t="n">
        <v>1</v>
      </c>
      <c r="H278" s="14" t="n">
        <v>1</v>
      </c>
    </row>
    <row r="279">
      <c r="A279" s="14" t="inlineStr">
        <is>
          <t>EST|ecf.die</t>
        </is>
      </c>
      <c r="B279" s="14" t="inlineStr">
        <is>
          <t>EST</t>
        </is>
      </c>
      <c r="C279" s="14" t="inlineStr">
        <is>
          <t>ecf.die</t>
        </is>
      </c>
      <c r="D279" s="14" t="n">
        <v>1</v>
      </c>
      <c r="E279" s="14" t="n">
        <v>1</v>
      </c>
      <c r="F279" s="14" t="n">
        <v>1</v>
      </c>
      <c r="G279" s="14" t="n">
        <v>1</v>
      </c>
      <c r="H279" s="14" t="n">
        <v>1</v>
      </c>
    </row>
    <row r="280">
      <c r="A280" s="14" t="inlineStr">
        <is>
          <t>EST|ecf.gso</t>
        </is>
      </c>
      <c r="B280" s="14" t="inlineStr">
        <is>
          <t>EST</t>
        </is>
      </c>
      <c r="C280" s="14" t="inlineStr">
        <is>
          <t>ecf.gso</t>
        </is>
      </c>
      <c r="D280" s="14" t="n">
        <v>1</v>
      </c>
      <c r="E280" s="14" t="n">
        <v>1</v>
      </c>
      <c r="F280" s="14" t="n">
        <v>1</v>
      </c>
      <c r="G280" s="14" t="n">
        <v>1</v>
      </c>
      <c r="H280" s="14" t="n">
        <v>1</v>
      </c>
    </row>
    <row r="281">
      <c r="A281" s="14" t="inlineStr">
        <is>
          <t>EST|ecf.ker</t>
        </is>
      </c>
      <c r="B281" s="14" t="inlineStr">
        <is>
          <t>EST</t>
        </is>
      </c>
      <c r="C281" s="14" t="inlineStr">
        <is>
          <t>ecf.ker</t>
        </is>
      </c>
      <c r="D281" s="14" t="n">
        <v>1</v>
      </c>
      <c r="E281" s="14" t="n">
        <v>1</v>
      </c>
      <c r="F281" s="14" t="n">
        <v>1</v>
      </c>
      <c r="G281" s="14" t="n">
        <v>1</v>
      </c>
      <c r="H281" s="14" t="n">
        <v>1</v>
      </c>
    </row>
    <row r="282">
      <c r="A282" s="14" t="inlineStr">
        <is>
          <t>EST|ecf.lpg</t>
        </is>
      </c>
      <c r="B282" s="14" t="inlineStr">
        <is>
          <t>EST</t>
        </is>
      </c>
      <c r="C282" s="14" t="inlineStr">
        <is>
          <t>ecf.lpg</t>
        </is>
      </c>
      <c r="D282" s="14" t="n">
        <v>1</v>
      </c>
      <c r="E282" s="14" t="n">
        <v>1</v>
      </c>
      <c r="F282" s="14" t="n">
        <v>1</v>
      </c>
      <c r="G282" s="14" t="n">
        <v>1</v>
      </c>
      <c r="H282" s="14" t="n">
        <v>1</v>
      </c>
    </row>
    <row r="283">
      <c r="A283" s="14" t="inlineStr">
        <is>
          <t>EST|ecf.nga</t>
        </is>
      </c>
      <c r="B283" s="14" t="inlineStr">
        <is>
          <t>EST</t>
        </is>
      </c>
      <c r="C283" s="14" t="inlineStr">
        <is>
          <t>ecf.nga</t>
        </is>
      </c>
      <c r="D283" s="14" t="n">
        <v>1</v>
      </c>
      <c r="E283" s="14" t="n">
        <v>1</v>
      </c>
      <c r="F283" s="14" t="n">
        <v>1</v>
      </c>
      <c r="G283" s="14" t="n">
        <v>1</v>
      </c>
      <c r="H283" s="14" t="n">
        <v>1</v>
      </c>
    </row>
    <row r="284">
      <c r="A284" s="14" t="inlineStr">
        <is>
          <t>EST|ecf.oop</t>
        </is>
      </c>
      <c r="B284" s="14" t="inlineStr">
        <is>
          <t>EST</t>
        </is>
      </c>
      <c r="C284" s="14" t="inlineStr">
        <is>
          <t>ecf.oop</t>
        </is>
      </c>
      <c r="D284" s="14" t="n">
        <v>1</v>
      </c>
      <c r="E284" s="14" t="n">
        <v>1</v>
      </c>
      <c r="F284" s="14" t="n">
        <v>1</v>
      </c>
      <c r="G284" s="14" t="n">
        <v>1</v>
      </c>
      <c r="H284" s="14" t="n">
        <v>1</v>
      </c>
    </row>
    <row r="285">
      <c r="A285" s="14" t="inlineStr">
        <is>
          <t>EST|ecr.all</t>
        </is>
      </c>
      <c r="B285" s="14" t="inlineStr">
        <is>
          <t>EST</t>
        </is>
      </c>
      <c r="C285" s="14" t="inlineStr">
        <is>
          <t>ecr.all</t>
        </is>
      </c>
      <c r="D285" s="14" t="n">
        <v>2.3492</v>
      </c>
      <c r="E285" s="14" t="n">
        <v>2.2104</v>
      </c>
      <c r="F285" s="14" t="n">
        <v>2.175</v>
      </c>
      <c r="G285" s="14" t="n">
        <v>2.1498</v>
      </c>
      <c r="H285" s="14" t="n">
        <v>26.97</v>
      </c>
    </row>
    <row r="286">
      <c r="A286" s="14" t="inlineStr">
        <is>
          <t>EST|ecs.ind</t>
        </is>
      </c>
      <c r="B286" s="14" t="inlineStr">
        <is>
          <t>EST</t>
        </is>
      </c>
      <c r="C286" s="14" t="inlineStr">
        <is>
          <t>ecs.ind</t>
        </is>
      </c>
      <c r="D286" s="14" t="n">
        <v>0.002841</v>
      </c>
      <c r="E286" s="14" t="n">
        <v>0.003207</v>
      </c>
      <c r="F286" s="14" t="n">
        <v>0.08698500000000001</v>
      </c>
      <c r="G286" s="14" t="n">
        <v>0.128512</v>
      </c>
      <c r="H286" s="14" t="n">
        <v>0.128512</v>
      </c>
    </row>
    <row r="287">
      <c r="A287" s="14" t="inlineStr">
        <is>
          <t>EST|ecs.pow</t>
        </is>
      </c>
      <c r="B287" s="14" t="inlineStr">
        <is>
          <t>EST</t>
        </is>
      </c>
      <c r="C287" s="14" t="inlineStr">
        <is>
          <t>ecs.pow</t>
        </is>
      </c>
      <c r="D287" s="14" t="n">
        <v>0.8354819999999999</v>
      </c>
      <c r="E287" s="14" t="n">
        <v>0.87893</v>
      </c>
      <c r="F287" s="14" t="n">
        <v>0.784365</v>
      </c>
      <c r="G287" s="14" t="n">
        <v>0.748377</v>
      </c>
      <c r="H287" s="14" t="n">
        <v>0.748377</v>
      </c>
    </row>
    <row r="288">
      <c r="A288" s="14" t="inlineStr">
        <is>
          <t>EST|eef.bio</t>
        </is>
      </c>
      <c r="B288" s="14" t="inlineStr">
        <is>
          <t>EST</t>
        </is>
      </c>
      <c r="C288" s="14" t="inlineStr">
        <is>
          <t>eef.bio</t>
        </is>
      </c>
      <c r="D288" s="14" t="n">
        <v>0</v>
      </c>
      <c r="E288" s="14" t="n">
        <v>1</v>
      </c>
      <c r="F288" s="14" t="n">
        <v>1</v>
      </c>
      <c r="G288" s="14" t="n">
        <v>1</v>
      </c>
      <c r="H288" s="14" t="n">
        <v>1</v>
      </c>
    </row>
    <row r="289">
      <c r="A289" s="14" t="inlineStr">
        <is>
          <t>EST|eef.coa</t>
        </is>
      </c>
      <c r="B289" s="14" t="inlineStr">
        <is>
          <t>EST</t>
        </is>
      </c>
      <c r="C289" s="14" t="inlineStr">
        <is>
          <t>eef.coa</t>
        </is>
      </c>
      <c r="D289" s="14" t="n">
        <v>1</v>
      </c>
      <c r="E289" s="14" t="n">
        <v>1</v>
      </c>
      <c r="F289" s="14" t="n">
        <v>1</v>
      </c>
      <c r="G289" s="14" t="n">
        <v>1</v>
      </c>
      <c r="H289" s="14" t="n">
        <v>1</v>
      </c>
    </row>
    <row r="290">
      <c r="A290" s="14" t="inlineStr">
        <is>
          <t>EST|eef.die</t>
        </is>
      </c>
      <c r="B290" s="14" t="inlineStr">
        <is>
          <t>EST</t>
        </is>
      </c>
      <c r="C290" s="14" t="inlineStr">
        <is>
          <t>eef.die</t>
        </is>
      </c>
      <c r="D290" s="14" t="n">
        <v>1</v>
      </c>
      <c r="E290" s="14" t="n">
        <v>1</v>
      </c>
      <c r="F290" s="14" t="n">
        <v>1</v>
      </c>
      <c r="G290" s="14" t="n">
        <v>1</v>
      </c>
      <c r="H290" s="14" t="n">
        <v>1</v>
      </c>
    </row>
    <row r="291">
      <c r="A291" s="14" t="inlineStr">
        <is>
          <t>EST|eef.gso</t>
        </is>
      </c>
      <c r="B291" s="14" t="inlineStr">
        <is>
          <t>EST</t>
        </is>
      </c>
      <c r="C291" s="14" t="inlineStr">
        <is>
          <t>eef.gso</t>
        </is>
      </c>
      <c r="D291" s="14" t="n">
        <v>1</v>
      </c>
      <c r="E291" s="14" t="n">
        <v>1</v>
      </c>
      <c r="F291" s="14" t="n">
        <v>1</v>
      </c>
      <c r="G291" s="14" t="n">
        <v>1</v>
      </c>
      <c r="H291" s="14" t="n">
        <v>1</v>
      </c>
    </row>
    <row r="292">
      <c r="A292" s="14" t="inlineStr">
        <is>
          <t>EST|eef.jfu</t>
        </is>
      </c>
      <c r="B292" s="14" t="inlineStr">
        <is>
          <t>EST</t>
        </is>
      </c>
      <c r="C292" s="14" t="inlineStr">
        <is>
          <t>eef.jfu</t>
        </is>
      </c>
      <c r="D292" s="14" t="n">
        <v>1</v>
      </c>
      <c r="E292" s="14" t="n">
        <v>1</v>
      </c>
      <c r="F292" s="14" t="n">
        <v>1</v>
      </c>
      <c r="G292" s="14" t="n">
        <v>1</v>
      </c>
      <c r="H292" s="14" t="n">
        <v>1</v>
      </c>
    </row>
    <row r="293">
      <c r="A293" s="14" t="inlineStr">
        <is>
          <t>EST|eef.ker</t>
        </is>
      </c>
      <c r="B293" s="14" t="inlineStr">
        <is>
          <t>EST</t>
        </is>
      </c>
      <c r="C293" s="14" t="inlineStr">
        <is>
          <t>eef.ker</t>
        </is>
      </c>
      <c r="D293" s="14" t="n">
        <v>1</v>
      </c>
      <c r="E293" s="14" t="n">
        <v>1</v>
      </c>
      <c r="F293" s="14" t="n">
        <v>1</v>
      </c>
      <c r="G293" s="14" t="n">
        <v>1</v>
      </c>
      <c r="H293" s="14" t="n">
        <v>1</v>
      </c>
    </row>
    <row r="294">
      <c r="A294" s="14" t="inlineStr">
        <is>
          <t>EST|eef.lpg</t>
        </is>
      </c>
      <c r="B294" s="14" t="inlineStr">
        <is>
          <t>EST</t>
        </is>
      </c>
      <c r="C294" s="14" t="inlineStr">
        <is>
          <t>eef.lpg</t>
        </is>
      </c>
      <c r="D294" s="14" t="n">
        <v>1</v>
      </c>
      <c r="E294" s="14" t="n">
        <v>1</v>
      </c>
      <c r="F294" s="14" t="n">
        <v>1</v>
      </c>
      <c r="G294" s="14" t="n">
        <v>1</v>
      </c>
      <c r="H294" s="14" t="n">
        <v>1</v>
      </c>
    </row>
    <row r="295">
      <c r="A295" s="14" t="inlineStr">
        <is>
          <t>EST|eef.nga</t>
        </is>
      </c>
      <c r="B295" s="14" t="inlineStr">
        <is>
          <t>EST</t>
        </is>
      </c>
      <c r="C295" s="14" t="inlineStr">
        <is>
          <t>eef.nga</t>
        </is>
      </c>
      <c r="D295" s="14" t="n">
        <v>1</v>
      </c>
      <c r="E295" s="14" t="n">
        <v>1</v>
      </c>
      <c r="F295" s="14" t="n">
        <v>1</v>
      </c>
      <c r="G295" s="14" t="n">
        <v>1</v>
      </c>
      <c r="H295" s="14" t="n">
        <v>1</v>
      </c>
    </row>
    <row r="296">
      <c r="A296" s="14" t="inlineStr">
        <is>
          <t>EST|eef.oop</t>
        </is>
      </c>
      <c r="B296" s="14" t="inlineStr">
        <is>
          <t>EST</t>
        </is>
      </c>
      <c r="C296" s="14" t="inlineStr">
        <is>
          <t>eef.oop</t>
        </is>
      </c>
      <c r="D296" s="14" t="n">
        <v>1</v>
      </c>
      <c r="E296" s="14" t="n">
        <v>1</v>
      </c>
      <c r="F296" s="14" t="n">
        <v>1</v>
      </c>
      <c r="G296" s="14" t="n">
        <v>1</v>
      </c>
      <c r="H296" s="14" t="n">
        <v>1</v>
      </c>
    </row>
    <row r="297">
      <c r="A297" s="14" t="inlineStr">
        <is>
          <t>EST|eer.all</t>
        </is>
      </c>
      <c r="B297" s="14" t="inlineStr">
        <is>
          <t>EST</t>
        </is>
      </c>
      <c r="C297" s="14" t="inlineStr">
        <is>
          <t>eer.all</t>
        </is>
      </c>
      <c r="D297" s="14" t="n">
        <v>49.779548</v>
      </c>
      <c r="E297" s="14" t="n">
        <v>86.52610799999999</v>
      </c>
      <c r="F297" s="14" t="n">
        <v>96.298125</v>
      </c>
      <c r="G297" s="14" t="n">
        <v>61.301547</v>
      </c>
      <c r="H297" s="14" t="n">
        <v>70.370124</v>
      </c>
    </row>
    <row r="298">
      <c r="A298" s="14" t="inlineStr">
        <is>
          <t>EST|ees.ind</t>
        </is>
      </c>
      <c r="B298" s="14" t="inlineStr">
        <is>
          <t>EST</t>
        </is>
      </c>
      <c r="C298" s="14" t="inlineStr">
        <is>
          <t>ees.ind</t>
        </is>
      </c>
      <c r="D298" s="14" t="n">
        <v>0.997159</v>
      </c>
      <c r="E298" s="14" t="n">
        <v>0.996793</v>
      </c>
      <c r="F298" s="14" t="n">
        <v>0.913015</v>
      </c>
      <c r="G298" s="14" t="n">
        <v>0.871488</v>
      </c>
      <c r="H298" s="14" t="n">
        <v>0.871488</v>
      </c>
    </row>
    <row r="299">
      <c r="A299" s="14" t="inlineStr">
        <is>
          <t>EST|ees.pow</t>
        </is>
      </c>
      <c r="B299" s="14" t="inlineStr">
        <is>
          <t>EST</t>
        </is>
      </c>
      <c r="C299" s="14" t="inlineStr">
        <is>
          <t>ees.pow</t>
        </is>
      </c>
      <c r="D299" s="14" t="n">
        <v>0.164518</v>
      </c>
      <c r="E299" s="14" t="n">
        <v>0.12107</v>
      </c>
      <c r="F299" s="14" t="n">
        <v>0.215635</v>
      </c>
      <c r="G299" s="14" t="n">
        <v>0.251623</v>
      </c>
      <c r="H299" s="14" t="n">
        <v>0.251623</v>
      </c>
    </row>
    <row r="300">
      <c r="A300" s="14" t="inlineStr">
        <is>
          <t>FIN|ecf.coa</t>
        </is>
      </c>
      <c r="B300" s="14" t="inlineStr">
        <is>
          <t>FIN</t>
        </is>
      </c>
      <c r="C300" s="14" t="inlineStr">
        <is>
          <t>ecf.coa</t>
        </is>
      </c>
      <c r="D300" s="14" t="n">
        <v>1</v>
      </c>
      <c r="E300" s="14" t="n">
        <v>1</v>
      </c>
      <c r="F300" s="14" t="n">
        <v>1</v>
      </c>
      <c r="G300" s="14" t="n">
        <v>1</v>
      </c>
      <c r="H300" s="14" t="n">
        <v>1</v>
      </c>
    </row>
    <row r="301">
      <c r="A301" s="14" t="inlineStr">
        <is>
          <t>FIN|ecf.die</t>
        </is>
      </c>
      <c r="B301" s="14" t="inlineStr">
        <is>
          <t>FIN</t>
        </is>
      </c>
      <c r="C301" s="14" t="inlineStr">
        <is>
          <t>ecf.die</t>
        </is>
      </c>
      <c r="D301" s="14" t="n">
        <v>1</v>
      </c>
      <c r="E301" s="14" t="n">
        <v>1</v>
      </c>
      <c r="F301" s="14" t="n">
        <v>1</v>
      </c>
      <c r="G301" s="14" t="n">
        <v>1</v>
      </c>
      <c r="H301" s="14" t="n">
        <v>1</v>
      </c>
    </row>
    <row r="302">
      <c r="A302" s="14" t="inlineStr">
        <is>
          <t>FIN|ecf.gso</t>
        </is>
      </c>
      <c r="B302" s="14" t="inlineStr">
        <is>
          <t>FIN</t>
        </is>
      </c>
      <c r="C302" s="14" t="inlineStr">
        <is>
          <t>ecf.gso</t>
        </is>
      </c>
      <c r="D302" s="14" t="n">
        <v>1</v>
      </c>
      <c r="E302" s="14" t="n">
        <v>1</v>
      </c>
      <c r="F302" s="14" t="n">
        <v>1</v>
      </c>
      <c r="G302" s="14" t="n">
        <v>1</v>
      </c>
      <c r="H302" s="14" t="n">
        <v>1</v>
      </c>
    </row>
    <row r="303">
      <c r="A303" s="14" t="inlineStr">
        <is>
          <t>FIN|ecf.jfu</t>
        </is>
      </c>
      <c r="B303" s="14" t="inlineStr">
        <is>
          <t>FIN</t>
        </is>
      </c>
      <c r="C303" s="14" t="inlineStr">
        <is>
          <t>ecf.jfu</t>
        </is>
      </c>
      <c r="D303" s="14" t="n">
        <v>0</v>
      </c>
      <c r="E303" s="14" t="n">
        <v>0</v>
      </c>
      <c r="F303" s="14" t="n">
        <v>0</v>
      </c>
      <c r="G303" s="14" t="n">
        <v>0</v>
      </c>
      <c r="H303" s="14" t="n">
        <v>1</v>
      </c>
    </row>
    <row r="304">
      <c r="A304" s="14" t="inlineStr">
        <is>
          <t>FIN|ecf.ker</t>
        </is>
      </c>
      <c r="B304" s="14" t="inlineStr">
        <is>
          <t>FIN</t>
        </is>
      </c>
      <c r="C304" s="14" t="inlineStr">
        <is>
          <t>ecf.ker</t>
        </is>
      </c>
      <c r="D304" s="14" t="n">
        <v>1</v>
      </c>
      <c r="E304" s="14" t="n">
        <v>1</v>
      </c>
      <c r="F304" s="14" t="n">
        <v>1</v>
      </c>
      <c r="G304" s="14" t="n">
        <v>1</v>
      </c>
      <c r="H304" s="14" t="n">
        <v>1</v>
      </c>
    </row>
    <row r="305">
      <c r="A305" s="14" t="inlineStr">
        <is>
          <t>FIN|ecf.lpg</t>
        </is>
      </c>
      <c r="B305" s="14" t="inlineStr">
        <is>
          <t>FIN</t>
        </is>
      </c>
      <c r="C305" s="14" t="inlineStr">
        <is>
          <t>ecf.lpg</t>
        </is>
      </c>
      <c r="D305" s="14" t="n">
        <v>1</v>
      </c>
      <c r="E305" s="14" t="n">
        <v>1</v>
      </c>
      <c r="F305" s="14" t="n">
        <v>1</v>
      </c>
      <c r="G305" s="14" t="n">
        <v>1</v>
      </c>
      <c r="H305" s="14" t="n">
        <v>1</v>
      </c>
    </row>
    <row r="306">
      <c r="A306" s="14" t="inlineStr">
        <is>
          <t>FIN|ecf.nga</t>
        </is>
      </c>
      <c r="B306" s="14" t="inlineStr">
        <is>
          <t>FIN</t>
        </is>
      </c>
      <c r="C306" s="14" t="inlineStr">
        <is>
          <t>ecf.nga</t>
        </is>
      </c>
      <c r="D306" s="14" t="n">
        <v>1</v>
      </c>
      <c r="E306" s="14" t="n">
        <v>1</v>
      </c>
      <c r="F306" s="14" t="n">
        <v>1</v>
      </c>
      <c r="G306" s="14" t="n">
        <v>1</v>
      </c>
      <c r="H306" s="14" t="n">
        <v>1</v>
      </c>
    </row>
    <row r="307">
      <c r="A307" s="14" t="inlineStr">
        <is>
          <t>FIN|ecf.oop</t>
        </is>
      </c>
      <c r="B307" s="14" t="inlineStr">
        <is>
          <t>FIN</t>
        </is>
      </c>
      <c r="C307" s="14" t="inlineStr">
        <is>
          <t>ecf.oop</t>
        </is>
      </c>
      <c r="D307" s="14" t="n">
        <v>1</v>
      </c>
      <c r="E307" s="14" t="n">
        <v>1</v>
      </c>
      <c r="F307" s="14" t="n">
        <v>1</v>
      </c>
      <c r="G307" s="14" t="n">
        <v>1</v>
      </c>
      <c r="H307" s="14" t="n">
        <v>1</v>
      </c>
    </row>
    <row r="308">
      <c r="A308" s="14" t="inlineStr">
        <is>
          <t>FIN|ecr.all</t>
        </is>
      </c>
      <c r="B308" s="14" t="inlineStr">
        <is>
          <t>FIN</t>
        </is>
      </c>
      <c r="C308" s="14" t="inlineStr">
        <is>
          <t>ecr.all</t>
        </is>
      </c>
      <c r="D308" s="14" t="n">
        <v>76.349</v>
      </c>
      <c r="E308" s="14" t="n">
        <v>71.83799999999999</v>
      </c>
      <c r="F308" s="14" t="n">
        <v>70.6875</v>
      </c>
      <c r="G308" s="14" t="n">
        <v>82.540936</v>
      </c>
      <c r="H308" s="14" t="n">
        <v>66.8856</v>
      </c>
    </row>
    <row r="309">
      <c r="A309" s="14" t="inlineStr">
        <is>
          <t>FIN|ecs.ind</t>
        </is>
      </c>
      <c r="B309" s="14" t="inlineStr">
        <is>
          <t>FIN</t>
        </is>
      </c>
      <c r="C309" s="14" t="inlineStr">
        <is>
          <t>ecs.ind</t>
        </is>
      </c>
      <c r="D309" s="14" t="n">
        <v>0.106209</v>
      </c>
      <c r="E309" s="14" t="n">
        <v>0</v>
      </c>
      <c r="F309" s="14" t="n">
        <v>0</v>
      </c>
      <c r="G309" s="14" t="n">
        <v>0.027458</v>
      </c>
      <c r="H309" s="14" t="n">
        <v>0.027458</v>
      </c>
    </row>
    <row r="310">
      <c r="A310" s="14" t="inlineStr">
        <is>
          <t>FIN|ecs.res</t>
        </is>
      </c>
      <c r="B310" s="14" t="inlineStr">
        <is>
          <t>FIN</t>
        </is>
      </c>
      <c r="C310" s="14" t="inlineStr">
        <is>
          <t>ecs.res</t>
        </is>
      </c>
      <c r="D310" s="14" t="n">
        <v>1</v>
      </c>
      <c r="E310" s="14" t="n">
        <v>1</v>
      </c>
      <c r="F310" s="14" t="n">
        <v>1</v>
      </c>
      <c r="G310" s="14" t="n">
        <v>1</v>
      </c>
      <c r="H310" s="14" t="n">
        <v>1</v>
      </c>
    </row>
    <row r="311">
      <c r="A311" s="14" t="inlineStr">
        <is>
          <t>FIN|ecs.trs</t>
        </is>
      </c>
      <c r="B311" s="14" t="inlineStr">
        <is>
          <t>FIN</t>
        </is>
      </c>
      <c r="C311" s="14" t="inlineStr">
        <is>
          <t>ecs.trs</t>
        </is>
      </c>
      <c r="D311" s="14" t="n">
        <v>1</v>
      </c>
      <c r="E311" s="14" t="n">
        <v>1</v>
      </c>
      <c r="F311" s="14" t="n">
        <v>1</v>
      </c>
      <c r="G311" s="14" t="n">
        <v>1</v>
      </c>
      <c r="H311" s="14" t="n">
        <v>1</v>
      </c>
    </row>
    <row r="312">
      <c r="A312" s="14" t="inlineStr">
        <is>
          <t>FIN|eef.bio</t>
        </is>
      </c>
      <c r="B312" s="14" t="inlineStr">
        <is>
          <t>FIN</t>
        </is>
      </c>
      <c r="C312" s="14" t="inlineStr">
        <is>
          <t>eef.bio</t>
        </is>
      </c>
      <c r="D312" s="14" t="n">
        <v>0</v>
      </c>
      <c r="E312" s="14" t="n">
        <v>1</v>
      </c>
      <c r="F312" s="14" t="n">
        <v>1</v>
      </c>
      <c r="G312" s="14" t="n">
        <v>1</v>
      </c>
      <c r="H312" s="14" t="n">
        <v>1</v>
      </c>
    </row>
    <row r="313">
      <c r="A313" s="14" t="inlineStr">
        <is>
          <t>FIN|eef.coa</t>
        </is>
      </c>
      <c r="B313" s="14" t="inlineStr">
        <is>
          <t>FIN</t>
        </is>
      </c>
      <c r="C313" s="14" t="inlineStr">
        <is>
          <t>eef.coa</t>
        </is>
      </c>
      <c r="D313" s="14" t="n">
        <v>1</v>
      </c>
      <c r="E313" s="14" t="n">
        <v>1</v>
      </c>
      <c r="F313" s="14" t="n">
        <v>1</v>
      </c>
      <c r="G313" s="14" t="n">
        <v>1</v>
      </c>
      <c r="H313" s="14" t="n">
        <v>1</v>
      </c>
    </row>
    <row r="314">
      <c r="A314" s="14" t="inlineStr">
        <is>
          <t>FIN|eef.die</t>
        </is>
      </c>
      <c r="B314" s="14" t="inlineStr">
        <is>
          <t>FIN</t>
        </is>
      </c>
      <c r="C314" s="14" t="inlineStr">
        <is>
          <t>eef.die</t>
        </is>
      </c>
      <c r="D314" s="14" t="n">
        <v>1</v>
      </c>
      <c r="E314" s="14" t="n">
        <v>1</v>
      </c>
      <c r="F314" s="14" t="n">
        <v>1</v>
      </c>
      <c r="G314" s="14" t="n">
        <v>1</v>
      </c>
      <c r="H314" s="14" t="n">
        <v>1</v>
      </c>
    </row>
    <row r="315">
      <c r="A315" s="14" t="inlineStr">
        <is>
          <t>FIN|eef.gso</t>
        </is>
      </c>
      <c r="B315" s="14" t="inlineStr">
        <is>
          <t>FIN</t>
        </is>
      </c>
      <c r="C315" s="14" t="inlineStr">
        <is>
          <t>eef.gso</t>
        </is>
      </c>
      <c r="D315" s="14" t="n">
        <v>1</v>
      </c>
      <c r="E315" s="14" t="n">
        <v>1</v>
      </c>
      <c r="F315" s="14" t="n">
        <v>1</v>
      </c>
      <c r="G315" s="14" t="n">
        <v>1</v>
      </c>
      <c r="H315" s="14" t="n">
        <v>1</v>
      </c>
    </row>
    <row r="316">
      <c r="A316" s="14" t="inlineStr">
        <is>
          <t>FIN|eef.jfu</t>
        </is>
      </c>
      <c r="B316" s="14" t="inlineStr">
        <is>
          <t>FIN</t>
        </is>
      </c>
      <c r="C316" s="14" t="inlineStr">
        <is>
          <t>eef.jfu</t>
        </is>
      </c>
      <c r="D316" s="14" t="n">
        <v>1</v>
      </c>
      <c r="E316" s="14" t="n">
        <v>1</v>
      </c>
      <c r="F316" s="14" t="n">
        <v>1</v>
      </c>
      <c r="G316" s="14" t="n">
        <v>1</v>
      </c>
      <c r="H316" s="14" t="n">
        <v>1</v>
      </c>
    </row>
    <row r="317">
      <c r="A317" s="14" t="inlineStr">
        <is>
          <t>FIN|eef.ker</t>
        </is>
      </c>
      <c r="B317" s="14" t="inlineStr">
        <is>
          <t>FIN</t>
        </is>
      </c>
      <c r="C317" s="14" t="inlineStr">
        <is>
          <t>eef.ker</t>
        </is>
      </c>
      <c r="D317" s="14" t="n">
        <v>1</v>
      </c>
      <c r="E317" s="14" t="n">
        <v>1</v>
      </c>
      <c r="F317" s="14" t="n">
        <v>1</v>
      </c>
      <c r="G317" s="14" t="n">
        <v>1</v>
      </c>
      <c r="H317" s="14" t="n">
        <v>1</v>
      </c>
    </row>
    <row r="318">
      <c r="A318" s="14" t="inlineStr">
        <is>
          <t>FIN|eef.lpg</t>
        </is>
      </c>
      <c r="B318" s="14" t="inlineStr">
        <is>
          <t>FIN</t>
        </is>
      </c>
      <c r="C318" s="14" t="inlineStr">
        <is>
          <t>eef.lpg</t>
        </is>
      </c>
      <c r="D318" s="14" t="n">
        <v>1</v>
      </c>
      <c r="E318" s="14" t="n">
        <v>1</v>
      </c>
      <c r="F318" s="14" t="n">
        <v>1</v>
      </c>
      <c r="G318" s="14" t="n">
        <v>1</v>
      </c>
      <c r="H318" s="14" t="n">
        <v>1</v>
      </c>
    </row>
    <row r="319">
      <c r="A319" s="14" t="inlineStr">
        <is>
          <t>FIN|eef.nga</t>
        </is>
      </c>
      <c r="B319" s="14" t="inlineStr">
        <is>
          <t>FIN</t>
        </is>
      </c>
      <c r="C319" s="14" t="inlineStr">
        <is>
          <t>eef.nga</t>
        </is>
      </c>
      <c r="D319" s="14" t="n">
        <v>1</v>
      </c>
      <c r="E319" s="14" t="n">
        <v>1</v>
      </c>
      <c r="F319" s="14" t="n">
        <v>1</v>
      </c>
      <c r="G319" s="14" t="n">
        <v>1</v>
      </c>
      <c r="H319" s="14" t="n">
        <v>1</v>
      </c>
    </row>
    <row r="320">
      <c r="A320" s="14" t="inlineStr">
        <is>
          <t>FIN|eef.oop</t>
        </is>
      </c>
      <c r="B320" s="14" t="inlineStr">
        <is>
          <t>FIN</t>
        </is>
      </c>
      <c r="C320" s="14" t="inlineStr">
        <is>
          <t>eef.oop</t>
        </is>
      </c>
      <c r="D320" s="14" t="n">
        <v>1</v>
      </c>
      <c r="E320" s="14" t="n">
        <v>1</v>
      </c>
      <c r="F320" s="14" t="n">
        <v>1</v>
      </c>
      <c r="G320" s="14" t="n">
        <v>1</v>
      </c>
      <c r="H320" s="14" t="n">
        <v>1</v>
      </c>
    </row>
    <row r="321">
      <c r="A321" s="14" t="inlineStr">
        <is>
          <t>FIN|eer.all</t>
        </is>
      </c>
      <c r="B321" s="14" t="inlineStr">
        <is>
          <t>FIN</t>
        </is>
      </c>
      <c r="C321" s="14" t="inlineStr">
        <is>
          <t>eer.all</t>
        </is>
      </c>
      <c r="D321" s="14" t="n">
        <v>49.779548</v>
      </c>
      <c r="E321" s="14" t="n">
        <v>86.52610799999999</v>
      </c>
      <c r="F321" s="14" t="n">
        <v>96.298125</v>
      </c>
      <c r="G321" s="14" t="n">
        <v>61.301547</v>
      </c>
      <c r="H321" s="14" t="n">
        <v>70.370124</v>
      </c>
    </row>
    <row r="322">
      <c r="A322" s="14" t="inlineStr">
        <is>
          <t>FIN|ees.ind</t>
        </is>
      </c>
      <c r="B322" s="14" t="inlineStr">
        <is>
          <t>FIN</t>
        </is>
      </c>
      <c r="C322" s="14" t="inlineStr">
        <is>
          <t>ees.ind</t>
        </is>
      </c>
      <c r="D322" s="14" t="n">
        <v>0.893791</v>
      </c>
      <c r="E322" s="14" t="n">
        <v>1</v>
      </c>
      <c r="F322" s="14" t="n">
        <v>1</v>
      </c>
      <c r="G322" s="14" t="n">
        <v>0.972542</v>
      </c>
      <c r="H322" s="14" t="n">
        <v>0.972542</v>
      </c>
    </row>
    <row r="323">
      <c r="A323" s="14" t="inlineStr">
        <is>
          <t>FIN|ees.pow</t>
        </is>
      </c>
      <c r="B323" s="14" t="inlineStr">
        <is>
          <t>FIN</t>
        </is>
      </c>
      <c r="C323" s="14" t="inlineStr">
        <is>
          <t>ees.pow</t>
        </is>
      </c>
      <c r="D323" s="14" t="n">
        <v>0.265131</v>
      </c>
      <c r="E323" s="14" t="n">
        <v>0.248992</v>
      </c>
      <c r="F323" s="14" t="n">
        <v>0.395656</v>
      </c>
      <c r="G323" s="14" t="n">
        <v>0.435014</v>
      </c>
      <c r="H323" s="14" t="n">
        <v>0.435014</v>
      </c>
    </row>
    <row r="324">
      <c r="A324" s="14" t="inlineStr">
        <is>
          <t>FRA|ecf.coa</t>
        </is>
      </c>
      <c r="B324" s="14" t="inlineStr">
        <is>
          <t>FRA</t>
        </is>
      </c>
      <c r="C324" s="14" t="inlineStr">
        <is>
          <t>ecf.coa</t>
        </is>
      </c>
      <c r="D324" s="14" t="n">
        <v>1</v>
      </c>
      <c r="E324" s="14" t="n">
        <v>1</v>
      </c>
      <c r="F324" s="14" t="n">
        <v>1</v>
      </c>
      <c r="G324" s="14" t="n">
        <v>1</v>
      </c>
      <c r="H324" s="14" t="n">
        <v>1</v>
      </c>
    </row>
    <row r="325">
      <c r="A325" s="14" t="inlineStr">
        <is>
          <t>FRA|ecf.die</t>
        </is>
      </c>
      <c r="B325" s="14" t="inlineStr">
        <is>
          <t>FRA</t>
        </is>
      </c>
      <c r="C325" s="14" t="inlineStr">
        <is>
          <t>ecf.die</t>
        </is>
      </c>
      <c r="D325" s="14" t="n">
        <v>1</v>
      </c>
      <c r="E325" s="14" t="n">
        <v>1</v>
      </c>
      <c r="F325" s="14" t="n">
        <v>1</v>
      </c>
      <c r="G325" s="14" t="n">
        <v>1</v>
      </c>
      <c r="H325" s="14" t="n">
        <v>1</v>
      </c>
    </row>
    <row r="326">
      <c r="A326" s="14" t="inlineStr">
        <is>
          <t>FRA|ecf.gso</t>
        </is>
      </c>
      <c r="B326" s="14" t="inlineStr">
        <is>
          <t>FRA</t>
        </is>
      </c>
      <c r="C326" s="14" t="inlineStr">
        <is>
          <t>ecf.gso</t>
        </is>
      </c>
      <c r="D326" s="14" t="n">
        <v>1</v>
      </c>
      <c r="E326" s="14" t="n">
        <v>1</v>
      </c>
      <c r="F326" s="14" t="n">
        <v>1</v>
      </c>
      <c r="G326" s="14" t="n">
        <v>1</v>
      </c>
      <c r="H326" s="14" t="n">
        <v>1</v>
      </c>
    </row>
    <row r="327">
      <c r="A327" s="14" t="inlineStr">
        <is>
          <t>FRA|ecf.jfu</t>
        </is>
      </c>
      <c r="B327" s="14" t="inlineStr">
        <is>
          <t>FRA</t>
        </is>
      </c>
      <c r="C327" s="14" t="inlineStr">
        <is>
          <t>ecf.jfu</t>
        </is>
      </c>
      <c r="D327" s="14" t="n">
        <v>1</v>
      </c>
      <c r="E327" s="14" t="n">
        <v>1</v>
      </c>
      <c r="F327" s="14" t="n">
        <v>1</v>
      </c>
      <c r="G327" s="14" t="n">
        <v>1</v>
      </c>
      <c r="H327" s="14" t="n">
        <v>1</v>
      </c>
    </row>
    <row r="328">
      <c r="A328" s="14" t="inlineStr">
        <is>
          <t>FRA|ecf.ker</t>
        </is>
      </c>
      <c r="B328" s="14" t="inlineStr">
        <is>
          <t>FRA</t>
        </is>
      </c>
      <c r="C328" s="14" t="inlineStr">
        <is>
          <t>ecf.ker</t>
        </is>
      </c>
      <c r="D328" s="14" t="n">
        <v>1</v>
      </c>
      <c r="E328" s="14" t="n">
        <v>1</v>
      </c>
      <c r="F328" s="14" t="n">
        <v>1</v>
      </c>
      <c r="G328" s="14" t="n">
        <v>1</v>
      </c>
      <c r="H328" s="14" t="n">
        <v>1</v>
      </c>
    </row>
    <row r="329">
      <c r="A329" s="14" t="inlineStr">
        <is>
          <t>FRA|ecf.lpg</t>
        </is>
      </c>
      <c r="B329" s="14" t="inlineStr">
        <is>
          <t>FRA</t>
        </is>
      </c>
      <c r="C329" s="14" t="inlineStr">
        <is>
          <t>ecf.lpg</t>
        </is>
      </c>
      <c r="D329" s="14" t="n">
        <v>1</v>
      </c>
      <c r="E329" s="14" t="n">
        <v>1</v>
      </c>
      <c r="F329" s="14" t="n">
        <v>1</v>
      </c>
      <c r="G329" s="14" t="n">
        <v>1</v>
      </c>
      <c r="H329" s="14" t="n">
        <v>1</v>
      </c>
    </row>
    <row r="330">
      <c r="A330" s="14" t="inlineStr">
        <is>
          <t>FRA|ecf.nga</t>
        </is>
      </c>
      <c r="B330" s="14" t="inlineStr">
        <is>
          <t>FRA</t>
        </is>
      </c>
      <c r="C330" s="14" t="inlineStr">
        <is>
          <t>ecf.nga</t>
        </is>
      </c>
      <c r="D330" s="14" t="n">
        <v>1</v>
      </c>
      <c r="E330" s="14" t="n">
        <v>1</v>
      </c>
      <c r="F330" s="14" t="n">
        <v>1</v>
      </c>
      <c r="G330" s="14" t="n">
        <v>1</v>
      </c>
      <c r="H330" s="14" t="n">
        <v>1</v>
      </c>
    </row>
    <row r="331">
      <c r="A331" s="14" t="inlineStr">
        <is>
          <t>FRA|ecf.oop</t>
        </is>
      </c>
      <c r="B331" s="14" t="inlineStr">
        <is>
          <t>FRA</t>
        </is>
      </c>
      <c r="C331" s="14" t="inlineStr">
        <is>
          <t>ecf.oop</t>
        </is>
      </c>
      <c r="D331" s="14" t="n">
        <v>1</v>
      </c>
      <c r="E331" s="14" t="n">
        <v>1</v>
      </c>
      <c r="F331" s="14" t="n">
        <v>1</v>
      </c>
      <c r="G331" s="14" t="n">
        <v>1</v>
      </c>
      <c r="H331" s="14" t="n">
        <v>1</v>
      </c>
    </row>
    <row r="332">
      <c r="A332" s="14" t="inlineStr">
        <is>
          <t>FRA|ecr.all</t>
        </is>
      </c>
      <c r="B332" s="14" t="inlineStr">
        <is>
          <t>FRA</t>
        </is>
      </c>
      <c r="C332" s="14" t="inlineStr">
        <is>
          <t>ecr.all</t>
        </is>
      </c>
      <c r="D332" s="14" t="n">
        <v>52.38716</v>
      </c>
      <c r="E332" s="14" t="n">
        <v>49.29192</v>
      </c>
      <c r="F332" s="14" t="n">
        <v>48.5025</v>
      </c>
      <c r="G332" s="14" t="n">
        <v>47.94054</v>
      </c>
      <c r="H332" s="14" t="n">
        <v>48.11448</v>
      </c>
    </row>
    <row r="333">
      <c r="A333" s="14" t="inlineStr">
        <is>
          <t>FRA|ecs.ind</t>
        </is>
      </c>
      <c r="B333" s="14" t="inlineStr">
        <is>
          <t>FRA</t>
        </is>
      </c>
      <c r="C333" s="14" t="inlineStr">
        <is>
          <t>ecs.ind</t>
        </is>
      </c>
      <c r="D333" s="14" t="n">
        <v>0.09074699999999999</v>
      </c>
      <c r="E333" s="14" t="n">
        <v>0.075471</v>
      </c>
      <c r="F333" s="14" t="n">
        <v>0</v>
      </c>
      <c r="G333" s="14" t="n">
        <v>0.105597</v>
      </c>
      <c r="H333" s="14" t="n">
        <v>0.105597</v>
      </c>
    </row>
    <row r="334">
      <c r="A334" s="14" t="inlineStr">
        <is>
          <t>FRA|ecs.res</t>
        </is>
      </c>
      <c r="B334" s="14" t="inlineStr">
        <is>
          <t>FRA</t>
        </is>
      </c>
      <c r="C334" s="14" t="inlineStr">
        <is>
          <t>ecs.res</t>
        </is>
      </c>
      <c r="D334" s="14" t="n">
        <v>0.6658579999999999</v>
      </c>
      <c r="E334" s="14" t="n">
        <v>0.670139</v>
      </c>
      <c r="F334" s="14" t="n">
        <v>0.6548</v>
      </c>
      <c r="G334" s="14" t="n">
        <v>0.6548</v>
      </c>
      <c r="H334" s="14" t="n">
        <v>0.6548</v>
      </c>
    </row>
    <row r="335">
      <c r="A335" s="14" t="inlineStr">
        <is>
          <t>FRA|ecs.trs</t>
        </is>
      </c>
      <c r="B335" s="14" t="inlineStr">
        <is>
          <t>FRA</t>
        </is>
      </c>
      <c r="C335" s="14" t="inlineStr">
        <is>
          <t>ecs.trs</t>
        </is>
      </c>
      <c r="D335" s="14" t="n">
        <v>0.6658579999999999</v>
      </c>
      <c r="E335" s="14" t="n">
        <v>0.670139</v>
      </c>
      <c r="F335" s="14" t="n">
        <v>0.6548</v>
      </c>
      <c r="G335" s="14" t="n">
        <v>0.6548</v>
      </c>
      <c r="H335" s="14" t="n">
        <v>0.6548</v>
      </c>
    </row>
    <row r="336">
      <c r="A336" s="14" t="inlineStr">
        <is>
          <t>FRA|eef.bio</t>
        </is>
      </c>
      <c r="B336" s="14" t="inlineStr">
        <is>
          <t>FRA</t>
        </is>
      </c>
      <c r="C336" s="14" t="inlineStr">
        <is>
          <t>eef.bio</t>
        </is>
      </c>
      <c r="D336" s="14" t="n">
        <v>0</v>
      </c>
      <c r="E336" s="14" t="n">
        <v>1</v>
      </c>
      <c r="F336" s="14" t="n">
        <v>1</v>
      </c>
      <c r="G336" s="14" t="n">
        <v>1</v>
      </c>
      <c r="H336" s="14" t="n">
        <v>1</v>
      </c>
    </row>
    <row r="337">
      <c r="A337" s="14" t="inlineStr">
        <is>
          <t>FRA|eef.coa</t>
        </is>
      </c>
      <c r="B337" s="14" t="inlineStr">
        <is>
          <t>FRA</t>
        </is>
      </c>
      <c r="C337" s="14" t="inlineStr">
        <is>
          <t>eef.coa</t>
        </is>
      </c>
      <c r="D337" s="14" t="n">
        <v>1</v>
      </c>
      <c r="E337" s="14" t="n">
        <v>1</v>
      </c>
      <c r="F337" s="14" t="n">
        <v>1</v>
      </c>
      <c r="G337" s="14" t="n">
        <v>1</v>
      </c>
      <c r="H337" s="14" t="n">
        <v>1</v>
      </c>
    </row>
    <row r="338">
      <c r="A338" s="14" t="inlineStr">
        <is>
          <t>FRA|eef.die</t>
        </is>
      </c>
      <c r="B338" s="14" t="inlineStr">
        <is>
          <t>FRA</t>
        </is>
      </c>
      <c r="C338" s="14" t="inlineStr">
        <is>
          <t>eef.die</t>
        </is>
      </c>
      <c r="D338" s="14" t="n">
        <v>1</v>
      </c>
      <c r="E338" s="14" t="n">
        <v>1</v>
      </c>
      <c r="F338" s="14" t="n">
        <v>1</v>
      </c>
      <c r="G338" s="14" t="n">
        <v>1</v>
      </c>
      <c r="H338" s="14" t="n">
        <v>1</v>
      </c>
    </row>
    <row r="339">
      <c r="A339" s="14" t="inlineStr">
        <is>
          <t>FRA|eef.gso</t>
        </is>
      </c>
      <c r="B339" s="14" t="inlineStr">
        <is>
          <t>FRA</t>
        </is>
      </c>
      <c r="C339" s="14" t="inlineStr">
        <is>
          <t>eef.gso</t>
        </is>
      </c>
      <c r="D339" s="14" t="n">
        <v>1</v>
      </c>
      <c r="E339" s="14" t="n">
        <v>1</v>
      </c>
      <c r="F339" s="14" t="n">
        <v>1</v>
      </c>
      <c r="G339" s="14" t="n">
        <v>1</v>
      </c>
      <c r="H339" s="14" t="n">
        <v>1</v>
      </c>
    </row>
    <row r="340">
      <c r="A340" s="14" t="inlineStr">
        <is>
          <t>FRA|eef.jfu</t>
        </is>
      </c>
      <c r="B340" s="14" t="inlineStr">
        <is>
          <t>FRA</t>
        </is>
      </c>
      <c r="C340" s="14" t="inlineStr">
        <is>
          <t>eef.jfu</t>
        </is>
      </c>
      <c r="D340" s="14" t="n">
        <v>1</v>
      </c>
      <c r="E340" s="14" t="n">
        <v>1</v>
      </c>
      <c r="F340" s="14" t="n">
        <v>1</v>
      </c>
      <c r="G340" s="14" t="n">
        <v>1</v>
      </c>
      <c r="H340" s="14" t="n">
        <v>1</v>
      </c>
    </row>
    <row r="341">
      <c r="A341" s="14" t="inlineStr">
        <is>
          <t>FRA|eef.ker</t>
        </is>
      </c>
      <c r="B341" s="14" t="inlineStr">
        <is>
          <t>FRA</t>
        </is>
      </c>
      <c r="C341" s="14" t="inlineStr">
        <is>
          <t>eef.ker</t>
        </is>
      </c>
      <c r="D341" s="14" t="n">
        <v>1</v>
      </c>
      <c r="E341" s="14" t="n">
        <v>1</v>
      </c>
      <c r="F341" s="14" t="n">
        <v>1</v>
      </c>
      <c r="G341" s="14" t="n">
        <v>1</v>
      </c>
      <c r="H341" s="14" t="n">
        <v>1</v>
      </c>
    </row>
    <row r="342">
      <c r="A342" s="14" t="inlineStr">
        <is>
          <t>FRA|eef.lpg</t>
        </is>
      </c>
      <c r="B342" s="14" t="inlineStr">
        <is>
          <t>FRA</t>
        </is>
      </c>
      <c r="C342" s="14" t="inlineStr">
        <is>
          <t>eef.lpg</t>
        </is>
      </c>
      <c r="D342" s="14" t="n">
        <v>1</v>
      </c>
      <c r="E342" s="14" t="n">
        <v>1</v>
      </c>
      <c r="F342" s="14" t="n">
        <v>1</v>
      </c>
      <c r="G342" s="14" t="n">
        <v>1</v>
      </c>
      <c r="H342" s="14" t="n">
        <v>1</v>
      </c>
    </row>
    <row r="343">
      <c r="A343" s="14" t="inlineStr">
        <is>
          <t>FRA|eef.nga</t>
        </is>
      </c>
      <c r="B343" s="14" t="inlineStr">
        <is>
          <t>FRA</t>
        </is>
      </c>
      <c r="C343" s="14" t="inlineStr">
        <is>
          <t>eef.nga</t>
        </is>
      </c>
      <c r="D343" s="14" t="n">
        <v>1</v>
      </c>
      <c r="E343" s="14" t="n">
        <v>1</v>
      </c>
      <c r="F343" s="14" t="n">
        <v>1</v>
      </c>
      <c r="G343" s="14" t="n">
        <v>1</v>
      </c>
      <c r="H343" s="14" t="n">
        <v>1</v>
      </c>
    </row>
    <row r="344">
      <c r="A344" s="14" t="inlineStr">
        <is>
          <t>FRA|eef.oop</t>
        </is>
      </c>
      <c r="B344" s="14" t="inlineStr">
        <is>
          <t>FRA</t>
        </is>
      </c>
      <c r="C344" s="14" t="inlineStr">
        <is>
          <t>eef.oop</t>
        </is>
      </c>
      <c r="D344" s="14" t="n">
        <v>1</v>
      </c>
      <c r="E344" s="14" t="n">
        <v>1</v>
      </c>
      <c r="F344" s="14" t="n">
        <v>1</v>
      </c>
      <c r="G344" s="14" t="n">
        <v>1</v>
      </c>
      <c r="H344" s="14" t="n">
        <v>1</v>
      </c>
    </row>
    <row r="345">
      <c r="A345" s="14" t="inlineStr">
        <is>
          <t>FRA|eer.all</t>
        </is>
      </c>
      <c r="B345" s="14" t="inlineStr">
        <is>
          <t>FRA</t>
        </is>
      </c>
      <c r="C345" s="14" t="inlineStr">
        <is>
          <t>eer.all</t>
        </is>
      </c>
      <c r="D345" s="14" t="n">
        <v>49.779548</v>
      </c>
      <c r="E345" s="14" t="n">
        <v>86.52610799999999</v>
      </c>
      <c r="F345" s="14" t="n">
        <v>96.298125</v>
      </c>
      <c r="G345" s="14" t="n">
        <v>61.301547</v>
      </c>
      <c r="H345" s="14" t="n">
        <v>70.370124</v>
      </c>
    </row>
    <row r="346">
      <c r="A346" s="14" t="inlineStr">
        <is>
          <t>FRA|ees.ind</t>
        </is>
      </c>
      <c r="B346" s="14" t="inlineStr">
        <is>
          <t>FRA</t>
        </is>
      </c>
      <c r="C346" s="14" t="inlineStr">
        <is>
          <t>ees.ind</t>
        </is>
      </c>
      <c r="D346" s="14" t="n">
        <v>0.909253</v>
      </c>
      <c r="E346" s="14" t="n">
        <v>0.924529</v>
      </c>
      <c r="F346" s="14" t="n">
        <v>1</v>
      </c>
      <c r="G346" s="14" t="n">
        <v>0.8944029999999999</v>
      </c>
      <c r="H346" s="14" t="n">
        <v>0.8944029999999999</v>
      </c>
    </row>
    <row r="347">
      <c r="A347" s="14" t="inlineStr">
        <is>
          <t>FRA|ees.pow</t>
        </is>
      </c>
      <c r="B347" s="14" t="inlineStr">
        <is>
          <t>FRA</t>
        </is>
      </c>
      <c r="C347" s="14" t="inlineStr">
        <is>
          <t>ees.pow</t>
        </is>
      </c>
      <c r="D347" s="14" t="n">
        <v>0.315098</v>
      </c>
      <c r="E347" s="14" t="n">
        <v>0.295089</v>
      </c>
      <c r="F347" s="14" t="n">
        <v>0.371901</v>
      </c>
      <c r="G347" s="14" t="n">
        <v>0.433455</v>
      </c>
      <c r="H347" s="14" t="n">
        <v>0.433455</v>
      </c>
    </row>
    <row r="348">
      <c r="A348" s="14" t="inlineStr">
        <is>
          <t>GBR|ecf.coa</t>
        </is>
      </c>
      <c r="B348" s="14" t="inlineStr">
        <is>
          <t>GBR</t>
        </is>
      </c>
      <c r="C348" s="14" t="inlineStr">
        <is>
          <t>ecf.coa</t>
        </is>
      </c>
      <c r="D348" s="14" t="n">
        <v>1</v>
      </c>
      <c r="E348" s="14" t="n">
        <v>1</v>
      </c>
      <c r="F348" s="14" t="n">
        <v>1</v>
      </c>
      <c r="G348" s="14" t="n">
        <v>1</v>
      </c>
      <c r="H348" s="14" t="n">
        <v>1</v>
      </c>
    </row>
    <row r="349">
      <c r="A349" s="14" t="inlineStr">
        <is>
          <t>GBR|ecf.die</t>
        </is>
      </c>
      <c r="B349" s="14" t="inlineStr">
        <is>
          <t>GBR</t>
        </is>
      </c>
      <c r="C349" s="14" t="inlineStr">
        <is>
          <t>ecf.die</t>
        </is>
      </c>
      <c r="D349" s="14" t="n">
        <v>1</v>
      </c>
      <c r="E349" s="14" t="n">
        <v>1</v>
      </c>
      <c r="F349" s="14" t="n">
        <v>1</v>
      </c>
      <c r="G349" s="14" t="n">
        <v>1</v>
      </c>
      <c r="H349" s="14" t="n">
        <v>0</v>
      </c>
    </row>
    <row r="350">
      <c r="A350" s="14" t="inlineStr">
        <is>
          <t>GBR|ecf.gso</t>
        </is>
      </c>
      <c r="B350" s="14" t="inlineStr">
        <is>
          <t>GBR</t>
        </is>
      </c>
      <c r="C350" s="14" t="inlineStr">
        <is>
          <t>ecf.gso</t>
        </is>
      </c>
      <c r="D350" s="14" t="n">
        <v>1</v>
      </c>
      <c r="E350" s="14" t="n">
        <v>1</v>
      </c>
      <c r="F350" s="14" t="n">
        <v>1</v>
      </c>
      <c r="G350" s="14" t="n">
        <v>1</v>
      </c>
      <c r="H350" s="14" t="n">
        <v>0</v>
      </c>
    </row>
    <row r="351">
      <c r="A351" s="14" t="inlineStr">
        <is>
          <t>GBR|ecf.ker</t>
        </is>
      </c>
      <c r="B351" s="14" t="inlineStr">
        <is>
          <t>GBR</t>
        </is>
      </c>
      <c r="C351" s="14" t="inlineStr">
        <is>
          <t>ecf.ker</t>
        </is>
      </c>
      <c r="D351" s="14" t="n">
        <v>1</v>
      </c>
      <c r="E351" s="14" t="n">
        <v>1</v>
      </c>
      <c r="F351" s="14" t="n">
        <v>1</v>
      </c>
      <c r="G351" s="14" t="n">
        <v>1</v>
      </c>
      <c r="H351" s="14" t="n">
        <v>0</v>
      </c>
    </row>
    <row r="352">
      <c r="A352" s="14" t="inlineStr">
        <is>
          <t>GBR|ecf.lpg</t>
        </is>
      </c>
      <c r="B352" s="14" t="inlineStr">
        <is>
          <t>GBR</t>
        </is>
      </c>
      <c r="C352" s="14" t="inlineStr">
        <is>
          <t>ecf.lpg</t>
        </is>
      </c>
      <c r="D352" s="14" t="n">
        <v>1</v>
      </c>
      <c r="E352" s="14" t="n">
        <v>1</v>
      </c>
      <c r="F352" s="14" t="n">
        <v>1</v>
      </c>
      <c r="G352" s="14" t="n">
        <v>1</v>
      </c>
      <c r="H352" s="14" t="n">
        <v>1</v>
      </c>
    </row>
    <row r="353">
      <c r="A353" s="14" t="inlineStr">
        <is>
          <t>GBR|ecf.nga</t>
        </is>
      </c>
      <c r="B353" s="14" t="inlineStr">
        <is>
          <t>GBR</t>
        </is>
      </c>
      <c r="C353" s="14" t="inlineStr">
        <is>
          <t>ecf.nga</t>
        </is>
      </c>
      <c r="D353" s="14" t="n">
        <v>1</v>
      </c>
      <c r="E353" s="14" t="n">
        <v>1</v>
      </c>
      <c r="F353" s="14" t="n">
        <v>1</v>
      </c>
      <c r="G353" s="14" t="n">
        <v>1</v>
      </c>
      <c r="H353" s="14" t="n">
        <v>1</v>
      </c>
    </row>
    <row r="354">
      <c r="A354" s="14" t="inlineStr">
        <is>
          <t>GBR|ecf.oop</t>
        </is>
      </c>
      <c r="B354" s="14" t="inlineStr">
        <is>
          <t>GBR</t>
        </is>
      </c>
      <c r="C354" s="14" t="inlineStr">
        <is>
          <t>ecf.oop</t>
        </is>
      </c>
      <c r="D354" s="14" t="n">
        <v>1</v>
      </c>
      <c r="E354" s="14" t="n">
        <v>1</v>
      </c>
      <c r="F354" s="14" t="n">
        <v>1</v>
      </c>
      <c r="G354" s="14" t="n">
        <v>1</v>
      </c>
      <c r="H354" s="14" t="n">
        <v>1</v>
      </c>
    </row>
    <row r="355">
      <c r="A355" s="14" t="inlineStr">
        <is>
          <t>GBR|ecr.all</t>
        </is>
      </c>
      <c r="B355" s="14" t="inlineStr">
        <is>
          <t>GBR</t>
        </is>
      </c>
      <c r="C355" s="14" t="inlineStr">
        <is>
          <t>ecr.all</t>
        </is>
      </c>
      <c r="D355" s="14" t="n">
        <v>24.795</v>
      </c>
      <c r="E355" s="14" t="n">
        <v>23.6538</v>
      </c>
      <c r="F355" s="14" t="n">
        <v>22.2759</v>
      </c>
      <c r="G355" s="14" t="n">
        <v>22.6188</v>
      </c>
      <c r="H355" s="14" t="n">
        <v>23.2371</v>
      </c>
    </row>
    <row r="356">
      <c r="A356" s="14" t="inlineStr">
        <is>
          <t>GBR|ecs.pow</t>
        </is>
      </c>
      <c r="B356" s="14" t="inlineStr">
        <is>
          <t>GBR</t>
        </is>
      </c>
      <c r="C356" s="14" t="inlineStr">
        <is>
          <t>ecs.pow</t>
        </is>
      </c>
      <c r="D356" s="14" t="n">
        <v>1</v>
      </c>
      <c r="E356" s="14" t="n">
        <v>1</v>
      </c>
      <c r="F356" s="14" t="n">
        <v>1</v>
      </c>
      <c r="G356" s="14" t="n">
        <v>1</v>
      </c>
      <c r="H356" s="14" t="n">
        <v>1</v>
      </c>
    </row>
    <row r="357">
      <c r="A357" s="14" t="inlineStr">
        <is>
          <t>GBR|eef.coa</t>
        </is>
      </c>
      <c r="B357" s="14" t="inlineStr">
        <is>
          <t>GBR</t>
        </is>
      </c>
      <c r="C357" s="14" t="inlineStr">
        <is>
          <t>eef.coa</t>
        </is>
      </c>
      <c r="D357" s="14" t="n"/>
      <c r="E357" s="14" t="n">
        <v>1</v>
      </c>
      <c r="F357" s="14" t="n">
        <v>1</v>
      </c>
      <c r="G357" s="14" t="n">
        <v>1</v>
      </c>
      <c r="H357" s="14" t="n">
        <v>1</v>
      </c>
    </row>
    <row r="358">
      <c r="A358" s="14" t="inlineStr">
        <is>
          <t>GBR|eef.die</t>
        </is>
      </c>
      <c r="B358" s="14" t="inlineStr">
        <is>
          <t>GBR</t>
        </is>
      </c>
      <c r="C358" s="14" t="inlineStr">
        <is>
          <t>eef.die</t>
        </is>
      </c>
      <c r="D358" s="14" t="n"/>
      <c r="E358" s="14" t="n">
        <v>1</v>
      </c>
      <c r="F358" s="14" t="n">
        <v>1</v>
      </c>
      <c r="G358" s="14" t="n">
        <v>1</v>
      </c>
      <c r="H358" s="14" t="n">
        <v>1</v>
      </c>
    </row>
    <row r="359">
      <c r="A359" s="14" t="inlineStr">
        <is>
          <t>GBR|eef.gso</t>
        </is>
      </c>
      <c r="B359" s="14" t="inlineStr">
        <is>
          <t>GBR</t>
        </is>
      </c>
      <c r="C359" s="14" t="inlineStr">
        <is>
          <t>eef.gso</t>
        </is>
      </c>
      <c r="D359" s="14" t="n"/>
      <c r="E359" s="14" t="n">
        <v>1</v>
      </c>
      <c r="F359" s="14" t="n">
        <v>1</v>
      </c>
      <c r="G359" s="14" t="n">
        <v>1</v>
      </c>
      <c r="H359" s="14" t="n">
        <v>1</v>
      </c>
    </row>
    <row r="360">
      <c r="A360" s="14" t="inlineStr">
        <is>
          <t>GBR|eef.jfu</t>
        </is>
      </c>
      <c r="B360" s="14" t="inlineStr">
        <is>
          <t>GBR</t>
        </is>
      </c>
      <c r="C360" s="14" t="inlineStr">
        <is>
          <t>eef.jfu</t>
        </is>
      </c>
      <c r="D360" s="14" t="n"/>
      <c r="E360" s="14" t="n">
        <v>1</v>
      </c>
      <c r="F360" s="14" t="n">
        <v>1</v>
      </c>
      <c r="G360" s="14" t="n">
        <v>1</v>
      </c>
      <c r="H360" s="14" t="n">
        <v>1</v>
      </c>
    </row>
    <row r="361">
      <c r="A361" s="14" t="inlineStr">
        <is>
          <t>GBR|eef.ker</t>
        </is>
      </c>
      <c r="B361" s="14" t="inlineStr">
        <is>
          <t>GBR</t>
        </is>
      </c>
      <c r="C361" s="14" t="inlineStr">
        <is>
          <t>eef.ker</t>
        </is>
      </c>
      <c r="D361" s="14" t="n"/>
      <c r="E361" s="14" t="n">
        <v>1</v>
      </c>
      <c r="F361" s="14" t="n">
        <v>1</v>
      </c>
      <c r="G361" s="14" t="n">
        <v>1</v>
      </c>
      <c r="H361" s="14" t="n">
        <v>1</v>
      </c>
    </row>
    <row r="362">
      <c r="A362" s="14" t="inlineStr">
        <is>
          <t>GBR|eef.lpg</t>
        </is>
      </c>
      <c r="B362" s="14" t="inlineStr">
        <is>
          <t>GBR</t>
        </is>
      </c>
      <c r="C362" s="14" t="inlineStr">
        <is>
          <t>eef.lpg</t>
        </is>
      </c>
      <c r="D362" s="14" t="n"/>
      <c r="E362" s="14" t="n">
        <v>1</v>
      </c>
      <c r="F362" s="14" t="n">
        <v>1</v>
      </c>
      <c r="G362" s="14" t="n">
        <v>1</v>
      </c>
      <c r="H362" s="14" t="n">
        <v>1</v>
      </c>
    </row>
    <row r="363">
      <c r="A363" s="14" t="inlineStr">
        <is>
          <t>GBR|eef.nga</t>
        </is>
      </c>
      <c r="B363" s="14" t="inlineStr">
        <is>
          <t>GBR</t>
        </is>
      </c>
      <c r="C363" s="14" t="inlineStr">
        <is>
          <t>eef.nga</t>
        </is>
      </c>
      <c r="D363" s="14" t="n"/>
      <c r="E363" s="14" t="n">
        <v>1</v>
      </c>
      <c r="F363" s="14" t="n">
        <v>1</v>
      </c>
      <c r="G363" s="14" t="n">
        <v>1</v>
      </c>
      <c r="H363" s="14" t="n">
        <v>1</v>
      </c>
    </row>
    <row r="364">
      <c r="A364" s="14" t="inlineStr">
        <is>
          <t>GBR|eef.oop</t>
        </is>
      </c>
      <c r="B364" s="14" t="inlineStr">
        <is>
          <t>GBR</t>
        </is>
      </c>
      <c r="C364" s="14" t="inlineStr">
        <is>
          <t>eef.oop</t>
        </is>
      </c>
      <c r="D364" s="14" t="n"/>
      <c r="E364" s="14" t="n">
        <v>1</v>
      </c>
      <c r="F364" s="14" t="n">
        <v>1</v>
      </c>
      <c r="G364" s="14" t="n">
        <v>1</v>
      </c>
      <c r="H364" s="14" t="n">
        <v>1</v>
      </c>
    </row>
    <row r="365">
      <c r="A365" s="14" t="inlineStr">
        <is>
          <t>GBR|eer.all</t>
        </is>
      </c>
      <c r="B365" s="14" t="inlineStr">
        <is>
          <t>GBR</t>
        </is>
      </c>
      <c r="C365" s="14" t="inlineStr">
        <is>
          <t>eer.all</t>
        </is>
      </c>
      <c r="D365" s="14" t="n">
        <v>0</v>
      </c>
      <c r="E365" s="14" t="n">
        <v>98.5575</v>
      </c>
      <c r="F365" s="14" t="n">
        <v>88.125935</v>
      </c>
      <c r="G365" s="14" t="n">
        <v>45.061676</v>
      </c>
      <c r="H365" s="14" t="n">
        <v>57.227814</v>
      </c>
    </row>
    <row r="366">
      <c r="A366" s="14" t="inlineStr">
        <is>
          <t>GBR|ees.ind</t>
        </is>
      </c>
      <c r="B366" s="14" t="inlineStr">
        <is>
          <t>GBR</t>
        </is>
      </c>
      <c r="C366" s="14" t="inlineStr">
        <is>
          <t>ees.ind</t>
        </is>
      </c>
      <c r="D366" s="14" t="n">
        <v>0.5015540000000001</v>
      </c>
      <c r="E366" s="14" t="n">
        <v>0.478479</v>
      </c>
      <c r="F366" s="14" t="n">
        <v>0.484005</v>
      </c>
      <c r="G366" s="14" t="n">
        <v>0.484005</v>
      </c>
      <c r="H366" s="14" t="n">
        <v>0.484005</v>
      </c>
    </row>
    <row r="367">
      <c r="A367" s="14" t="inlineStr">
        <is>
          <t>GBR|ees.pow</t>
        </is>
      </c>
      <c r="B367" s="14" t="inlineStr">
        <is>
          <t>GBR</t>
        </is>
      </c>
      <c r="C367" s="14" t="inlineStr">
        <is>
          <t>ees.pow</t>
        </is>
      </c>
      <c r="D367" s="14" t="n">
        <v>0.5015540000000001</v>
      </c>
      <c r="E367" s="14" t="n">
        <v>0.478479</v>
      </c>
      <c r="F367" s="14" t="n">
        <v>0.484005</v>
      </c>
      <c r="G367" s="14" t="n">
        <v>0.484005</v>
      </c>
      <c r="H367" s="14" t="n">
        <v>0.484005</v>
      </c>
    </row>
    <row r="368">
      <c r="A368" s="14" t="inlineStr">
        <is>
          <t>GBR|ees.trs</t>
        </is>
      </c>
      <c r="B368" s="14" t="inlineStr">
        <is>
          <t>GBR</t>
        </is>
      </c>
      <c r="C368" s="14" t="inlineStr">
        <is>
          <t>ees.trs</t>
        </is>
      </c>
      <c r="D368" s="14" t="n">
        <v>0.5015540000000001</v>
      </c>
      <c r="E368" s="14" t="n">
        <v>0.478479</v>
      </c>
      <c r="F368" s="14" t="n">
        <v>0.484005</v>
      </c>
      <c r="G368" s="14" t="n">
        <v>0.484005</v>
      </c>
      <c r="H368" s="14" t="n">
        <v>0.484005</v>
      </c>
    </row>
    <row r="369">
      <c r="A369" s="14" t="inlineStr">
        <is>
          <t>GRC|eef.bio</t>
        </is>
      </c>
      <c r="B369" s="14" t="inlineStr">
        <is>
          <t>GRC</t>
        </is>
      </c>
      <c r="C369" s="14" t="inlineStr">
        <is>
          <t>eef.bio</t>
        </is>
      </c>
      <c r="D369" s="14" t="n">
        <v>0</v>
      </c>
      <c r="E369" s="14" t="n">
        <v>1</v>
      </c>
      <c r="F369" s="14" t="n">
        <v>1</v>
      </c>
      <c r="G369" s="14" t="n">
        <v>1</v>
      </c>
      <c r="H369" s="14" t="n">
        <v>1</v>
      </c>
    </row>
    <row r="370">
      <c r="A370" s="14" t="inlineStr">
        <is>
          <t>GRC|eef.coa</t>
        </is>
      </c>
      <c r="B370" s="14" t="inlineStr">
        <is>
          <t>GRC</t>
        </is>
      </c>
      <c r="C370" s="14" t="inlineStr">
        <is>
          <t>eef.coa</t>
        </is>
      </c>
      <c r="D370" s="14" t="n">
        <v>1</v>
      </c>
      <c r="E370" s="14" t="n">
        <v>1</v>
      </c>
      <c r="F370" s="14" t="n">
        <v>1</v>
      </c>
      <c r="G370" s="14" t="n">
        <v>1</v>
      </c>
      <c r="H370" s="14" t="n">
        <v>1</v>
      </c>
    </row>
    <row r="371">
      <c r="A371" s="14" t="inlineStr">
        <is>
          <t>GRC|eef.die</t>
        </is>
      </c>
      <c r="B371" s="14" t="inlineStr">
        <is>
          <t>GRC</t>
        </is>
      </c>
      <c r="C371" s="14" t="inlineStr">
        <is>
          <t>eef.die</t>
        </is>
      </c>
      <c r="D371" s="14" t="n">
        <v>1</v>
      </c>
      <c r="E371" s="14" t="n">
        <v>1</v>
      </c>
      <c r="F371" s="14" t="n">
        <v>1</v>
      </c>
      <c r="G371" s="14" t="n">
        <v>1</v>
      </c>
      <c r="H371" s="14" t="n">
        <v>1</v>
      </c>
    </row>
    <row r="372">
      <c r="A372" s="14" t="inlineStr">
        <is>
          <t>GRC|eef.gso</t>
        </is>
      </c>
      <c r="B372" s="14" t="inlineStr">
        <is>
          <t>GRC</t>
        </is>
      </c>
      <c r="C372" s="14" t="inlineStr">
        <is>
          <t>eef.gso</t>
        </is>
      </c>
      <c r="D372" s="14" t="n">
        <v>1</v>
      </c>
      <c r="E372" s="14" t="n">
        <v>1</v>
      </c>
      <c r="F372" s="14" t="n">
        <v>1</v>
      </c>
      <c r="G372" s="14" t="n">
        <v>1</v>
      </c>
      <c r="H372" s="14" t="n">
        <v>1</v>
      </c>
    </row>
    <row r="373">
      <c r="A373" s="14" t="inlineStr">
        <is>
          <t>GRC|eef.jfu</t>
        </is>
      </c>
      <c r="B373" s="14" t="inlineStr">
        <is>
          <t>GRC</t>
        </is>
      </c>
      <c r="C373" s="14" t="inlineStr">
        <is>
          <t>eef.jfu</t>
        </is>
      </c>
      <c r="D373" s="14" t="n">
        <v>1</v>
      </c>
      <c r="E373" s="14" t="n">
        <v>1</v>
      </c>
      <c r="F373" s="14" t="n">
        <v>1</v>
      </c>
      <c r="G373" s="14" t="n">
        <v>1</v>
      </c>
      <c r="H373" s="14" t="n">
        <v>1</v>
      </c>
    </row>
    <row r="374">
      <c r="A374" s="14" t="inlineStr">
        <is>
          <t>GRC|eef.ker</t>
        </is>
      </c>
      <c r="B374" s="14" t="inlineStr">
        <is>
          <t>GRC</t>
        </is>
      </c>
      <c r="C374" s="14" t="inlineStr">
        <is>
          <t>eef.ker</t>
        </is>
      </c>
      <c r="D374" s="14" t="n">
        <v>1</v>
      </c>
      <c r="E374" s="14" t="n">
        <v>1</v>
      </c>
      <c r="F374" s="14" t="n">
        <v>1</v>
      </c>
      <c r="G374" s="14" t="n">
        <v>1</v>
      </c>
      <c r="H374" s="14" t="n">
        <v>1</v>
      </c>
    </row>
    <row r="375">
      <c r="A375" s="14" t="inlineStr">
        <is>
          <t>GRC|eef.lpg</t>
        </is>
      </c>
      <c r="B375" s="14" t="inlineStr">
        <is>
          <t>GRC</t>
        </is>
      </c>
      <c r="C375" s="14" t="inlineStr">
        <is>
          <t>eef.lpg</t>
        </is>
      </c>
      <c r="D375" s="14" t="n">
        <v>1</v>
      </c>
      <c r="E375" s="14" t="n">
        <v>1</v>
      </c>
      <c r="F375" s="14" t="n">
        <v>1</v>
      </c>
      <c r="G375" s="14" t="n">
        <v>1</v>
      </c>
      <c r="H375" s="14" t="n">
        <v>1</v>
      </c>
    </row>
    <row r="376">
      <c r="A376" s="14" t="inlineStr">
        <is>
          <t>GRC|eef.nga</t>
        </is>
      </c>
      <c r="B376" s="14" t="inlineStr">
        <is>
          <t>GRC</t>
        </is>
      </c>
      <c r="C376" s="14" t="inlineStr">
        <is>
          <t>eef.nga</t>
        </is>
      </c>
      <c r="D376" s="14" t="n">
        <v>1</v>
      </c>
      <c r="E376" s="14" t="n">
        <v>1</v>
      </c>
      <c r="F376" s="14" t="n">
        <v>1</v>
      </c>
      <c r="G376" s="14" t="n">
        <v>1</v>
      </c>
      <c r="H376" s="14" t="n">
        <v>1</v>
      </c>
    </row>
    <row r="377">
      <c r="A377" s="14" t="inlineStr">
        <is>
          <t>GRC|eef.oop</t>
        </is>
      </c>
      <c r="B377" s="14" t="inlineStr">
        <is>
          <t>GRC</t>
        </is>
      </c>
      <c r="C377" s="14" t="inlineStr">
        <is>
          <t>eef.oop</t>
        </is>
      </c>
      <c r="D377" s="14" t="n">
        <v>1</v>
      </c>
      <c r="E377" s="14" t="n">
        <v>1</v>
      </c>
      <c r="F377" s="14" t="n">
        <v>1</v>
      </c>
      <c r="G377" s="14" t="n">
        <v>1</v>
      </c>
      <c r="H377" s="14" t="n">
        <v>1</v>
      </c>
    </row>
    <row r="378">
      <c r="A378" s="14" t="inlineStr">
        <is>
          <t>GRC|eer.all</t>
        </is>
      </c>
      <c r="B378" s="14" t="inlineStr">
        <is>
          <t>GRC</t>
        </is>
      </c>
      <c r="C378" s="14" t="inlineStr">
        <is>
          <t>eer.all</t>
        </is>
      </c>
      <c r="D378" s="14" t="n">
        <v>49.779548</v>
      </c>
      <c r="E378" s="14" t="n">
        <v>86.52610799999999</v>
      </c>
      <c r="F378" s="14" t="n">
        <v>96.298125</v>
      </c>
      <c r="G378" s="14" t="n">
        <v>61.301547</v>
      </c>
      <c r="H378" s="14" t="n">
        <v>70.370124</v>
      </c>
    </row>
    <row r="379">
      <c r="A379" s="14" t="inlineStr">
        <is>
          <t>GRC|ees.ind</t>
        </is>
      </c>
      <c r="B379" s="14" t="inlineStr">
        <is>
          <t>GRC</t>
        </is>
      </c>
      <c r="C379" s="14" t="inlineStr">
        <is>
          <t>ees.ind</t>
        </is>
      </c>
      <c r="D379" s="14" t="n">
        <v>0.822957</v>
      </c>
      <c r="E379" s="14" t="n">
        <v>0.842167</v>
      </c>
      <c r="F379" s="14" t="n">
        <v>0.856702</v>
      </c>
      <c r="G379" s="14" t="n">
        <v>0.425142</v>
      </c>
      <c r="H379" s="14" t="n">
        <v>0.425142</v>
      </c>
    </row>
    <row r="380">
      <c r="A380" s="14" t="inlineStr">
        <is>
          <t>GRC|ees.pow</t>
        </is>
      </c>
      <c r="B380" s="14" t="inlineStr">
        <is>
          <t>GRC</t>
        </is>
      </c>
      <c r="C380" s="14" t="inlineStr">
        <is>
          <t>ees.pow</t>
        </is>
      </c>
      <c r="D380" s="14" t="n">
        <v>0.034641</v>
      </c>
      <c r="E380" s="14" t="n">
        <v>0.038132</v>
      </c>
      <c r="F380" s="14" t="n">
        <v>0.05365</v>
      </c>
      <c r="G380" s="14" t="n">
        <v>0.049551</v>
      </c>
      <c r="H380" s="14" t="n">
        <v>0.049551</v>
      </c>
    </row>
    <row r="381">
      <c r="A381" s="14" t="inlineStr">
        <is>
          <t>HRV|eef.bio</t>
        </is>
      </c>
      <c r="B381" s="14" t="inlineStr">
        <is>
          <t>HRV</t>
        </is>
      </c>
      <c r="C381" s="14" t="inlineStr">
        <is>
          <t>eef.bio</t>
        </is>
      </c>
      <c r="D381" s="14" t="n">
        <v>0</v>
      </c>
      <c r="E381" s="14" t="n">
        <v>1</v>
      </c>
      <c r="F381" s="14" t="n">
        <v>1</v>
      </c>
      <c r="G381" s="14" t="n">
        <v>1</v>
      </c>
      <c r="H381" s="14" t="n">
        <v>1</v>
      </c>
    </row>
    <row r="382">
      <c r="A382" s="14" t="inlineStr">
        <is>
          <t>HRV|eef.coa</t>
        </is>
      </c>
      <c r="B382" s="14" t="inlineStr">
        <is>
          <t>HRV</t>
        </is>
      </c>
      <c r="C382" s="14" t="inlineStr">
        <is>
          <t>eef.coa</t>
        </is>
      </c>
      <c r="D382" s="14" t="n">
        <v>1</v>
      </c>
      <c r="E382" s="14" t="n">
        <v>1</v>
      </c>
      <c r="F382" s="14" t="n">
        <v>1</v>
      </c>
      <c r="G382" s="14" t="n">
        <v>1</v>
      </c>
      <c r="H382" s="14" t="n">
        <v>1</v>
      </c>
    </row>
    <row r="383">
      <c r="A383" s="14" t="inlineStr">
        <is>
          <t>HRV|eef.die</t>
        </is>
      </c>
      <c r="B383" s="14" t="inlineStr">
        <is>
          <t>HRV</t>
        </is>
      </c>
      <c r="C383" s="14" t="inlineStr">
        <is>
          <t>eef.die</t>
        </is>
      </c>
      <c r="D383" s="14" t="n">
        <v>1</v>
      </c>
      <c r="E383" s="14" t="n">
        <v>1</v>
      </c>
      <c r="F383" s="14" t="n">
        <v>1</v>
      </c>
      <c r="G383" s="14" t="n">
        <v>1</v>
      </c>
      <c r="H383" s="14" t="n">
        <v>1</v>
      </c>
    </row>
    <row r="384">
      <c r="A384" s="14" t="inlineStr">
        <is>
          <t>HRV|eef.gso</t>
        </is>
      </c>
      <c r="B384" s="14" t="inlineStr">
        <is>
          <t>HRV</t>
        </is>
      </c>
      <c r="C384" s="14" t="inlineStr">
        <is>
          <t>eef.gso</t>
        </is>
      </c>
      <c r="D384" s="14" t="n">
        <v>1</v>
      </c>
      <c r="E384" s="14" t="n">
        <v>1</v>
      </c>
      <c r="F384" s="14" t="n">
        <v>1</v>
      </c>
      <c r="G384" s="14" t="n">
        <v>1</v>
      </c>
      <c r="H384" s="14" t="n">
        <v>1</v>
      </c>
    </row>
    <row r="385">
      <c r="A385" s="14" t="inlineStr">
        <is>
          <t>HRV|eef.jfu</t>
        </is>
      </c>
      <c r="B385" s="14" t="inlineStr">
        <is>
          <t>HRV</t>
        </is>
      </c>
      <c r="C385" s="14" t="inlineStr">
        <is>
          <t>eef.jfu</t>
        </is>
      </c>
      <c r="D385" s="14" t="n">
        <v>1</v>
      </c>
      <c r="E385" s="14" t="n">
        <v>1</v>
      </c>
      <c r="F385" s="14" t="n">
        <v>1</v>
      </c>
      <c r="G385" s="14" t="n">
        <v>1</v>
      </c>
      <c r="H385" s="14" t="n">
        <v>1</v>
      </c>
    </row>
    <row r="386">
      <c r="A386" s="14" t="inlineStr">
        <is>
          <t>HRV|eef.ker</t>
        </is>
      </c>
      <c r="B386" s="14" t="inlineStr">
        <is>
          <t>HRV</t>
        </is>
      </c>
      <c r="C386" s="14" t="inlineStr">
        <is>
          <t>eef.ker</t>
        </is>
      </c>
      <c r="D386" s="14" t="n">
        <v>1</v>
      </c>
      <c r="E386" s="14" t="n">
        <v>1</v>
      </c>
      <c r="F386" s="14" t="n">
        <v>1</v>
      </c>
      <c r="G386" s="14" t="n">
        <v>1</v>
      </c>
      <c r="H386" s="14" t="n">
        <v>1</v>
      </c>
    </row>
    <row r="387">
      <c r="A387" s="14" t="inlineStr">
        <is>
          <t>HRV|eef.lpg</t>
        </is>
      </c>
      <c r="B387" s="14" t="inlineStr">
        <is>
          <t>HRV</t>
        </is>
      </c>
      <c r="C387" s="14" t="inlineStr">
        <is>
          <t>eef.lpg</t>
        </is>
      </c>
      <c r="D387" s="14" t="n">
        <v>1</v>
      </c>
      <c r="E387" s="14" t="n">
        <v>1</v>
      </c>
      <c r="F387" s="14" t="n">
        <v>1</v>
      </c>
      <c r="G387" s="14" t="n">
        <v>1</v>
      </c>
      <c r="H387" s="14" t="n">
        <v>1</v>
      </c>
    </row>
    <row r="388">
      <c r="A388" s="14" t="inlineStr">
        <is>
          <t>HRV|eef.nga</t>
        </is>
      </c>
      <c r="B388" s="14" t="inlineStr">
        <is>
          <t>HRV</t>
        </is>
      </c>
      <c r="C388" s="14" t="inlineStr">
        <is>
          <t>eef.nga</t>
        </is>
      </c>
      <c r="D388" s="14" t="n">
        <v>1</v>
      </c>
      <c r="E388" s="14" t="n">
        <v>1</v>
      </c>
      <c r="F388" s="14" t="n">
        <v>1</v>
      </c>
      <c r="G388" s="14" t="n">
        <v>1</v>
      </c>
      <c r="H388" s="14" t="n">
        <v>1</v>
      </c>
    </row>
    <row r="389">
      <c r="A389" s="14" t="inlineStr">
        <is>
          <t>HRV|eef.oop</t>
        </is>
      </c>
      <c r="B389" s="14" t="inlineStr">
        <is>
          <t>HRV</t>
        </is>
      </c>
      <c r="C389" s="14" t="inlineStr">
        <is>
          <t>eef.oop</t>
        </is>
      </c>
      <c r="D389" s="14" t="n">
        <v>1</v>
      </c>
      <c r="E389" s="14" t="n">
        <v>1</v>
      </c>
      <c r="F389" s="14" t="n">
        <v>1</v>
      </c>
      <c r="G389" s="14" t="n">
        <v>1</v>
      </c>
      <c r="H389" s="14" t="n">
        <v>1</v>
      </c>
    </row>
    <row r="390">
      <c r="A390" s="14" t="inlineStr">
        <is>
          <t>HRV|eer.all</t>
        </is>
      </c>
      <c r="B390" s="14" t="inlineStr">
        <is>
          <t>HRV</t>
        </is>
      </c>
      <c r="C390" s="14" t="inlineStr">
        <is>
          <t>eer.all</t>
        </is>
      </c>
      <c r="D390" s="14" t="n">
        <v>49.779548</v>
      </c>
      <c r="E390" s="14" t="n">
        <v>86.52610799999999</v>
      </c>
      <c r="F390" s="14" t="n">
        <v>96.298125</v>
      </c>
      <c r="G390" s="14" t="n">
        <v>61.301547</v>
      </c>
      <c r="H390" s="14" t="n">
        <v>70.370124</v>
      </c>
    </row>
    <row r="391">
      <c r="A391" s="14" t="inlineStr">
        <is>
          <t>HRV|ees.ind</t>
        </is>
      </c>
      <c r="B391" s="14" t="inlineStr">
        <is>
          <t>HRV</t>
        </is>
      </c>
      <c r="C391" s="14" t="inlineStr">
        <is>
          <t>ees.ind</t>
        </is>
      </c>
      <c r="D391" s="14" t="n">
        <v>0.834338</v>
      </c>
      <c r="E391" s="14" t="n">
        <v>1</v>
      </c>
      <c r="F391" s="14" t="n">
        <v>0.864344</v>
      </c>
      <c r="G391" s="14" t="n">
        <v>0.842204</v>
      </c>
      <c r="H391" s="14" t="n">
        <v>0.842204</v>
      </c>
    </row>
    <row r="392">
      <c r="A392" s="14" t="inlineStr">
        <is>
          <t>HRV|ees.pow</t>
        </is>
      </c>
      <c r="B392" s="14" t="inlineStr">
        <is>
          <t>HRV</t>
        </is>
      </c>
      <c r="C392" s="14" t="inlineStr">
        <is>
          <t>ees.pow</t>
        </is>
      </c>
      <c r="D392" s="14" t="n">
        <v>0.07598299999999999</v>
      </c>
      <c r="E392" s="14" t="n">
        <v>0.060943</v>
      </c>
      <c r="F392" s="14" t="n">
        <v>0.062693</v>
      </c>
      <c r="G392" s="14" t="n">
        <v>0.079849</v>
      </c>
      <c r="H392" s="14" t="n">
        <v>0.079849</v>
      </c>
    </row>
    <row r="393">
      <c r="A393" s="14" t="inlineStr">
        <is>
          <t>HUN|ecf.coa</t>
        </is>
      </c>
      <c r="B393" s="14" t="inlineStr">
        <is>
          <t>HUN</t>
        </is>
      </c>
      <c r="C393" s="14" t="inlineStr">
        <is>
          <t>ecf.coa</t>
        </is>
      </c>
      <c r="D393" s="14" t="n"/>
      <c r="E393" s="14" t="n"/>
      <c r="F393" s="14" t="n">
        <v>1</v>
      </c>
      <c r="G393" s="14" t="n">
        <v>1</v>
      </c>
      <c r="H393" s="14" t="n">
        <v>1</v>
      </c>
    </row>
    <row r="394">
      <c r="A394" s="14" t="inlineStr">
        <is>
          <t>HUN|ecf.die</t>
        </is>
      </c>
      <c r="B394" s="14" t="inlineStr">
        <is>
          <t>HUN</t>
        </is>
      </c>
      <c r="C394" s="14" t="inlineStr">
        <is>
          <t>ecf.die</t>
        </is>
      </c>
      <c r="D394" s="14" t="n"/>
      <c r="E394" s="14" t="n"/>
      <c r="F394" s="14" t="n">
        <v>1</v>
      </c>
      <c r="G394" s="14" t="n">
        <v>1</v>
      </c>
      <c r="H394" s="14" t="n">
        <v>1</v>
      </c>
    </row>
    <row r="395">
      <c r="A395" s="14" t="inlineStr">
        <is>
          <t>HUN|ecf.gso</t>
        </is>
      </c>
      <c r="B395" s="14" t="inlineStr">
        <is>
          <t>HUN</t>
        </is>
      </c>
      <c r="C395" s="14" t="inlineStr">
        <is>
          <t>ecf.gso</t>
        </is>
      </c>
      <c r="D395" s="14" t="n"/>
      <c r="E395" s="14" t="n"/>
      <c r="F395" s="14" t="n">
        <v>1</v>
      </c>
      <c r="G395" s="14" t="n">
        <v>1</v>
      </c>
      <c r="H395" s="14" t="n">
        <v>1</v>
      </c>
    </row>
    <row r="396">
      <c r="A396" s="14" t="inlineStr">
        <is>
          <t>HUN|ecf.jfu</t>
        </is>
      </c>
      <c r="B396" s="14" t="inlineStr">
        <is>
          <t>HUN</t>
        </is>
      </c>
      <c r="C396" s="14" t="inlineStr">
        <is>
          <t>ecf.jfu</t>
        </is>
      </c>
      <c r="D396" s="14" t="n"/>
      <c r="E396" s="14" t="n"/>
      <c r="F396" s="14" t="n">
        <v>1</v>
      </c>
      <c r="G396" s="14" t="n">
        <v>1</v>
      </c>
      <c r="H396" s="14" t="n">
        <v>1</v>
      </c>
    </row>
    <row r="397">
      <c r="A397" s="14" t="inlineStr">
        <is>
          <t>HUN|ecf.ker</t>
        </is>
      </c>
      <c r="B397" s="14" t="inlineStr">
        <is>
          <t>HUN</t>
        </is>
      </c>
      <c r="C397" s="14" t="inlineStr">
        <is>
          <t>ecf.ker</t>
        </is>
      </c>
      <c r="D397" s="14" t="n"/>
      <c r="E397" s="14" t="n"/>
      <c r="F397" s="14" t="n">
        <v>1</v>
      </c>
      <c r="G397" s="14" t="n">
        <v>1</v>
      </c>
      <c r="H397" s="14" t="n">
        <v>1</v>
      </c>
    </row>
    <row r="398">
      <c r="A398" s="14" t="inlineStr">
        <is>
          <t>HUN|ecf.lpg</t>
        </is>
      </c>
      <c r="B398" s="14" t="inlineStr">
        <is>
          <t>HUN</t>
        </is>
      </c>
      <c r="C398" s="14" t="inlineStr">
        <is>
          <t>ecf.lpg</t>
        </is>
      </c>
      <c r="D398" s="14" t="n"/>
      <c r="E398" s="14" t="n"/>
      <c r="F398" s="14" t="n">
        <v>1</v>
      </c>
      <c r="G398" s="14" t="n">
        <v>1</v>
      </c>
      <c r="H398" s="14" t="n">
        <v>1</v>
      </c>
    </row>
    <row r="399">
      <c r="A399" s="14" t="inlineStr">
        <is>
          <t>HUN|ecf.nga</t>
        </is>
      </c>
      <c r="B399" s="14" t="inlineStr">
        <is>
          <t>HUN</t>
        </is>
      </c>
      <c r="C399" s="14" t="inlineStr">
        <is>
          <t>ecf.nga</t>
        </is>
      </c>
      <c r="D399" s="14" t="n"/>
      <c r="E399" s="14" t="n"/>
      <c r="F399" s="14" t="n">
        <v>1</v>
      </c>
      <c r="G399" s="14" t="n">
        <v>1</v>
      </c>
      <c r="H399" s="14" t="n">
        <v>1</v>
      </c>
    </row>
    <row r="400">
      <c r="A400" s="14" t="inlineStr">
        <is>
          <t>HUN|ecf.oop</t>
        </is>
      </c>
      <c r="B400" s="14" t="inlineStr">
        <is>
          <t>HUN</t>
        </is>
      </c>
      <c r="C400" s="14" t="inlineStr">
        <is>
          <t>ecf.oop</t>
        </is>
      </c>
      <c r="D400" s="14" t="n"/>
      <c r="E400" s="14" t="n"/>
      <c r="F400" s="14" t="n">
        <v>1</v>
      </c>
      <c r="G400" s="14" t="n">
        <v>1</v>
      </c>
      <c r="H400" s="14" t="n">
        <v>1</v>
      </c>
    </row>
    <row r="401">
      <c r="A401" s="14" t="inlineStr">
        <is>
          <t>HUN|ecr.all</t>
        </is>
      </c>
      <c r="B401" s="14" t="inlineStr">
        <is>
          <t>HUN</t>
        </is>
      </c>
      <c r="C401" s="14" t="inlineStr">
        <is>
          <t>ecr.all</t>
        </is>
      </c>
      <c r="D401" s="14" t="n"/>
      <c r="E401" s="14" t="n"/>
      <c r="F401" s="14" t="n"/>
      <c r="G401" s="14" t="n">
        <v>38.6964</v>
      </c>
      <c r="H401" s="14" t="n">
        <v>39</v>
      </c>
    </row>
    <row r="402">
      <c r="A402" s="14" t="inlineStr">
        <is>
          <t>HUN|ecs.pow</t>
        </is>
      </c>
      <c r="B402" s="14" t="inlineStr">
        <is>
          <t>HUN</t>
        </is>
      </c>
      <c r="C402" s="14" t="inlineStr">
        <is>
          <t>ecs.pow</t>
        </is>
      </c>
      <c r="D402" s="14" t="n"/>
      <c r="E402" s="14" t="n"/>
      <c r="F402" s="14" t="n">
        <v>0.784384</v>
      </c>
      <c r="G402" s="14" t="n">
        <v>0.784216</v>
      </c>
      <c r="H402" s="14" t="n">
        <v>0.784216</v>
      </c>
    </row>
    <row r="403">
      <c r="A403" s="14" t="inlineStr">
        <is>
          <t>HUN|ecs.res</t>
        </is>
      </c>
      <c r="B403" s="14" t="inlineStr">
        <is>
          <t>HUN</t>
        </is>
      </c>
      <c r="C403" s="14" t="inlineStr">
        <is>
          <t>ecs.res</t>
        </is>
      </c>
      <c r="D403" s="14" t="n"/>
      <c r="E403" s="14" t="n"/>
      <c r="F403" s="14" t="n">
        <v>1</v>
      </c>
      <c r="G403" s="14" t="n">
        <v>1</v>
      </c>
      <c r="H403" s="14" t="n">
        <v>1</v>
      </c>
    </row>
    <row r="404">
      <c r="A404" s="14" t="inlineStr">
        <is>
          <t>HUN|ecs.trs</t>
        </is>
      </c>
      <c r="B404" s="14" t="inlineStr">
        <is>
          <t>HUN</t>
        </is>
      </c>
      <c r="C404" s="14" t="inlineStr">
        <is>
          <t>ecs.trs</t>
        </is>
      </c>
      <c r="D404" s="14" t="n"/>
      <c r="E404" s="14" t="n"/>
      <c r="F404" s="14" t="n">
        <v>1</v>
      </c>
      <c r="G404" s="14" t="n">
        <v>1</v>
      </c>
      <c r="H404" s="14" t="n">
        <v>1</v>
      </c>
    </row>
    <row r="405">
      <c r="A405" s="14" t="inlineStr">
        <is>
          <t>HUN|eef.bio</t>
        </is>
      </c>
      <c r="B405" s="14" t="inlineStr">
        <is>
          <t>HUN</t>
        </is>
      </c>
      <c r="C405" s="14" t="inlineStr">
        <is>
          <t>eef.bio</t>
        </is>
      </c>
      <c r="D405" s="14" t="n">
        <v>0</v>
      </c>
      <c r="E405" s="14" t="n">
        <v>1</v>
      </c>
      <c r="F405" s="14" t="n">
        <v>1</v>
      </c>
      <c r="G405" s="14" t="n">
        <v>1</v>
      </c>
      <c r="H405" s="14" t="n">
        <v>1</v>
      </c>
    </row>
    <row r="406">
      <c r="A406" s="14" t="inlineStr">
        <is>
          <t>HUN|eef.coa</t>
        </is>
      </c>
      <c r="B406" s="14" t="inlineStr">
        <is>
          <t>HUN</t>
        </is>
      </c>
      <c r="C406" s="14" t="inlineStr">
        <is>
          <t>eef.coa</t>
        </is>
      </c>
      <c r="D406" s="14" t="n">
        <v>1</v>
      </c>
      <c r="E406" s="14" t="n">
        <v>1</v>
      </c>
      <c r="F406" s="14" t="n">
        <v>1</v>
      </c>
      <c r="G406" s="14" t="n">
        <v>1</v>
      </c>
      <c r="H406" s="14" t="n">
        <v>1</v>
      </c>
    </row>
    <row r="407">
      <c r="A407" s="14" t="inlineStr">
        <is>
          <t>HUN|eef.die</t>
        </is>
      </c>
      <c r="B407" s="14" t="inlineStr">
        <is>
          <t>HUN</t>
        </is>
      </c>
      <c r="C407" s="14" t="inlineStr">
        <is>
          <t>eef.die</t>
        </is>
      </c>
      <c r="D407" s="14" t="n">
        <v>1</v>
      </c>
      <c r="E407" s="14" t="n">
        <v>1</v>
      </c>
      <c r="F407" s="14" t="n">
        <v>1</v>
      </c>
      <c r="G407" s="14" t="n">
        <v>1</v>
      </c>
      <c r="H407" s="14" t="n">
        <v>1</v>
      </c>
    </row>
    <row r="408">
      <c r="A408" s="14" t="inlineStr">
        <is>
          <t>HUN|eef.gso</t>
        </is>
      </c>
      <c r="B408" s="14" t="inlineStr">
        <is>
          <t>HUN</t>
        </is>
      </c>
      <c r="C408" s="14" t="inlineStr">
        <is>
          <t>eef.gso</t>
        </is>
      </c>
      <c r="D408" s="14" t="n">
        <v>1</v>
      </c>
      <c r="E408" s="14" t="n">
        <v>1</v>
      </c>
      <c r="F408" s="14" t="n">
        <v>1</v>
      </c>
      <c r="G408" s="14" t="n">
        <v>1</v>
      </c>
      <c r="H408" s="14" t="n">
        <v>1</v>
      </c>
    </row>
    <row r="409">
      <c r="A409" s="14" t="inlineStr">
        <is>
          <t>HUN|eef.jfu</t>
        </is>
      </c>
      <c r="B409" s="14" t="inlineStr">
        <is>
          <t>HUN</t>
        </is>
      </c>
      <c r="C409" s="14" t="inlineStr">
        <is>
          <t>eef.jfu</t>
        </is>
      </c>
      <c r="D409" s="14" t="n">
        <v>1</v>
      </c>
      <c r="E409" s="14" t="n">
        <v>1</v>
      </c>
      <c r="F409" s="14" t="n">
        <v>1</v>
      </c>
      <c r="G409" s="14" t="n">
        <v>1</v>
      </c>
      <c r="H409" s="14" t="n">
        <v>1</v>
      </c>
    </row>
    <row r="410">
      <c r="A410" s="14" t="inlineStr">
        <is>
          <t>HUN|eef.ker</t>
        </is>
      </c>
      <c r="B410" s="14" t="inlineStr">
        <is>
          <t>HUN</t>
        </is>
      </c>
      <c r="C410" s="14" t="inlineStr">
        <is>
          <t>eef.ker</t>
        </is>
      </c>
      <c r="D410" s="14" t="n">
        <v>1</v>
      </c>
      <c r="E410" s="14" t="n">
        <v>1</v>
      </c>
      <c r="F410" s="14" t="n">
        <v>1</v>
      </c>
      <c r="G410" s="14" t="n">
        <v>1</v>
      </c>
      <c r="H410" s="14" t="n">
        <v>1</v>
      </c>
    </row>
    <row r="411">
      <c r="A411" s="14" t="inlineStr">
        <is>
          <t>HUN|eef.lpg</t>
        </is>
      </c>
      <c r="B411" s="14" t="inlineStr">
        <is>
          <t>HUN</t>
        </is>
      </c>
      <c r="C411" s="14" t="inlineStr">
        <is>
          <t>eef.lpg</t>
        </is>
      </c>
      <c r="D411" s="14" t="n">
        <v>1</v>
      </c>
      <c r="E411" s="14" t="n">
        <v>1</v>
      </c>
      <c r="F411" s="14" t="n">
        <v>1</v>
      </c>
      <c r="G411" s="14" t="n">
        <v>1</v>
      </c>
      <c r="H411" s="14" t="n">
        <v>1</v>
      </c>
    </row>
    <row r="412">
      <c r="A412" s="14" t="inlineStr">
        <is>
          <t>HUN|eef.nga</t>
        </is>
      </c>
      <c r="B412" s="14" t="inlineStr">
        <is>
          <t>HUN</t>
        </is>
      </c>
      <c r="C412" s="14" t="inlineStr">
        <is>
          <t>eef.nga</t>
        </is>
      </c>
      <c r="D412" s="14" t="n">
        <v>1</v>
      </c>
      <c r="E412" s="14" t="n">
        <v>1</v>
      </c>
      <c r="F412" s="14" t="n">
        <v>1</v>
      </c>
      <c r="G412" s="14" t="n">
        <v>1</v>
      </c>
      <c r="H412" s="14" t="n">
        <v>1</v>
      </c>
    </row>
    <row r="413">
      <c r="A413" s="14" t="inlineStr">
        <is>
          <t>HUN|eef.oop</t>
        </is>
      </c>
      <c r="B413" s="14" t="inlineStr">
        <is>
          <t>HUN</t>
        </is>
      </c>
      <c r="C413" s="14" t="inlineStr">
        <is>
          <t>eef.oop</t>
        </is>
      </c>
      <c r="D413" s="14" t="n">
        <v>1</v>
      </c>
      <c r="E413" s="14" t="n">
        <v>1</v>
      </c>
      <c r="F413" s="14" t="n">
        <v>1</v>
      </c>
      <c r="G413" s="14" t="n">
        <v>1</v>
      </c>
      <c r="H413" s="14" t="n">
        <v>1</v>
      </c>
    </row>
    <row r="414">
      <c r="A414" s="14" t="inlineStr">
        <is>
          <t>HUN|eer.all</t>
        </is>
      </c>
      <c r="B414" s="14" t="inlineStr">
        <is>
          <t>HUN</t>
        </is>
      </c>
      <c r="C414" s="14" t="inlineStr">
        <is>
          <t>eer.all</t>
        </is>
      </c>
      <c r="D414" s="14" t="n">
        <v>49.779548</v>
      </c>
      <c r="E414" s="14" t="n">
        <v>86.52610799999999</v>
      </c>
      <c r="F414" s="14" t="n">
        <v>96.298125</v>
      </c>
      <c r="G414" s="14" t="n">
        <v>61.301547</v>
      </c>
      <c r="H414" s="14" t="n">
        <v>70.370124</v>
      </c>
    </row>
    <row r="415">
      <c r="A415" s="14" t="inlineStr">
        <is>
          <t>HUN|ees.ind</t>
        </is>
      </c>
      <c r="B415" s="14" t="inlineStr">
        <is>
          <t>HUN</t>
        </is>
      </c>
      <c r="C415" s="14" t="inlineStr">
        <is>
          <t>ees.ind</t>
        </is>
      </c>
      <c r="D415" s="14" t="n">
        <v>1</v>
      </c>
      <c r="E415" s="14" t="n">
        <v>1</v>
      </c>
      <c r="F415" s="14" t="n">
        <v>1</v>
      </c>
      <c r="G415" s="14" t="n">
        <v>1</v>
      </c>
      <c r="H415" s="14" t="n">
        <v>1</v>
      </c>
    </row>
    <row r="416">
      <c r="A416" s="14" t="inlineStr">
        <is>
          <t>HUN|ees.pow</t>
        </is>
      </c>
      <c r="B416" s="14" t="inlineStr">
        <is>
          <t>HUN</t>
        </is>
      </c>
      <c r="C416" s="14" t="inlineStr">
        <is>
          <t>ees.pow</t>
        </is>
      </c>
      <c r="D416" s="14" t="n">
        <v>0.180023</v>
      </c>
      <c r="E416" s="14" t="n">
        <v>0.190712</v>
      </c>
      <c r="F416" s="14" t="n">
        <v>0.215616</v>
      </c>
      <c r="G416" s="14" t="n">
        <v>0.215784</v>
      </c>
      <c r="H416" s="14" t="n">
        <v>0.215784</v>
      </c>
    </row>
    <row r="417">
      <c r="A417" s="14" t="inlineStr">
        <is>
          <t>IDN|eef.coa</t>
        </is>
      </c>
      <c r="B417" s="14" t="inlineStr">
        <is>
          <t>IDN</t>
        </is>
      </c>
      <c r="C417" s="14" t="inlineStr">
        <is>
          <t>eef.coa</t>
        </is>
      </c>
      <c r="D417" s="14" t="n"/>
      <c r="E417" s="14" t="n"/>
      <c r="F417" s="14" t="n">
        <v>1</v>
      </c>
      <c r="G417" s="14" t="n">
        <v>1</v>
      </c>
      <c r="H417" s="14" t="n">
        <v>1</v>
      </c>
    </row>
    <row r="418">
      <c r="A418" s="14" t="inlineStr">
        <is>
          <t>IDN|eer.all</t>
        </is>
      </c>
      <c r="B418" s="14" t="inlineStr">
        <is>
          <t>IDN</t>
        </is>
      </c>
      <c r="C418" s="14" t="inlineStr">
        <is>
          <t>eer.all</t>
        </is>
      </c>
      <c r="D418" s="14" t="n"/>
      <c r="E418" s="14" t="n"/>
      <c r="F418" s="14" t="n">
        <v>0.612165</v>
      </c>
      <c r="G418" s="14" t="n">
        <v>0.612165</v>
      </c>
      <c r="H418" s="14" t="n">
        <v>0.724375</v>
      </c>
    </row>
    <row r="419">
      <c r="A419" s="14" t="inlineStr">
        <is>
          <t>IDN|ees.pow</t>
        </is>
      </c>
      <c r="B419" s="14" t="inlineStr">
        <is>
          <t>IDN</t>
        </is>
      </c>
      <c r="C419" s="14" t="inlineStr">
        <is>
          <t>ees.pow</t>
        </is>
      </c>
      <c r="D419" s="14" t="n"/>
      <c r="E419" s="14" t="n">
        <v>1</v>
      </c>
      <c r="F419" s="14" t="n">
        <v>1</v>
      </c>
      <c r="G419" s="14" t="n">
        <v>1</v>
      </c>
      <c r="H419" s="14" t="n">
        <v>1</v>
      </c>
    </row>
    <row r="420">
      <c r="A420" s="14" t="inlineStr">
        <is>
          <t>IRL|ecf.coa</t>
        </is>
      </c>
      <c r="B420" s="14" t="inlineStr">
        <is>
          <t>IRL</t>
        </is>
      </c>
      <c r="C420" s="14" t="inlineStr">
        <is>
          <t>ecf.coa</t>
        </is>
      </c>
      <c r="D420" s="14" t="n">
        <v>1</v>
      </c>
      <c r="E420" s="14" t="n">
        <v>1</v>
      </c>
      <c r="F420" s="14" t="n">
        <v>1</v>
      </c>
      <c r="G420" s="14" t="n">
        <v>1</v>
      </c>
      <c r="H420" s="14" t="n">
        <v>1</v>
      </c>
    </row>
    <row r="421">
      <c r="A421" s="14" t="inlineStr">
        <is>
          <t>IRL|ecf.die</t>
        </is>
      </c>
      <c r="B421" s="14" t="inlineStr">
        <is>
          <t>IRL</t>
        </is>
      </c>
      <c r="C421" s="14" t="inlineStr">
        <is>
          <t>ecf.die</t>
        </is>
      </c>
      <c r="D421" s="14" t="n">
        <v>1</v>
      </c>
      <c r="E421" s="14" t="n">
        <v>1</v>
      </c>
      <c r="F421" s="14" t="n">
        <v>1</v>
      </c>
      <c r="G421" s="14" t="n">
        <v>1</v>
      </c>
      <c r="H421" s="14" t="n">
        <v>1</v>
      </c>
    </row>
    <row r="422">
      <c r="A422" s="14" t="inlineStr">
        <is>
          <t>IRL|ecf.gso</t>
        </is>
      </c>
      <c r="B422" s="14" t="inlineStr">
        <is>
          <t>IRL</t>
        </is>
      </c>
      <c r="C422" s="14" t="inlineStr">
        <is>
          <t>ecf.gso</t>
        </is>
      </c>
      <c r="D422" s="14" t="n">
        <v>1</v>
      </c>
      <c r="E422" s="14" t="n">
        <v>1</v>
      </c>
      <c r="F422" s="14" t="n">
        <v>1</v>
      </c>
      <c r="G422" s="14" t="n">
        <v>1</v>
      </c>
      <c r="H422" s="14" t="n">
        <v>1</v>
      </c>
    </row>
    <row r="423">
      <c r="A423" s="14" t="inlineStr">
        <is>
          <t>IRL|ecf.ker</t>
        </is>
      </c>
      <c r="B423" s="14" t="inlineStr">
        <is>
          <t>IRL</t>
        </is>
      </c>
      <c r="C423" s="14" t="inlineStr">
        <is>
          <t>ecf.ker</t>
        </is>
      </c>
      <c r="D423" s="14" t="n">
        <v>1</v>
      </c>
      <c r="E423" s="14" t="n">
        <v>1</v>
      </c>
      <c r="F423" s="14" t="n">
        <v>1</v>
      </c>
      <c r="G423" s="14" t="n">
        <v>1</v>
      </c>
      <c r="H423" s="14" t="n">
        <v>1</v>
      </c>
    </row>
    <row r="424">
      <c r="A424" s="14" t="inlineStr">
        <is>
          <t>IRL|ecf.lpg</t>
        </is>
      </c>
      <c r="B424" s="14" t="inlineStr">
        <is>
          <t>IRL</t>
        </is>
      </c>
      <c r="C424" s="14" t="inlineStr">
        <is>
          <t>ecf.lpg</t>
        </is>
      </c>
      <c r="D424" s="14" t="n">
        <v>1</v>
      </c>
      <c r="E424" s="14" t="n">
        <v>1</v>
      </c>
      <c r="F424" s="14" t="n">
        <v>1</v>
      </c>
      <c r="G424" s="14" t="n">
        <v>1</v>
      </c>
      <c r="H424" s="14" t="n">
        <v>1</v>
      </c>
    </row>
    <row r="425">
      <c r="A425" s="14" t="inlineStr">
        <is>
          <t>IRL|ecf.nga</t>
        </is>
      </c>
      <c r="B425" s="14" t="inlineStr">
        <is>
          <t>IRL</t>
        </is>
      </c>
      <c r="C425" s="14" t="inlineStr">
        <is>
          <t>ecf.nga</t>
        </is>
      </c>
      <c r="D425" s="14" t="n">
        <v>1</v>
      </c>
      <c r="E425" s="14" t="n">
        <v>1</v>
      </c>
      <c r="F425" s="14" t="n">
        <v>1</v>
      </c>
      <c r="G425" s="14" t="n">
        <v>1</v>
      </c>
      <c r="H425" s="14" t="n">
        <v>1</v>
      </c>
    </row>
    <row r="426">
      <c r="A426" s="14" t="inlineStr">
        <is>
          <t>IRL|ecf.oop</t>
        </is>
      </c>
      <c r="B426" s="14" t="inlineStr">
        <is>
          <t>IRL</t>
        </is>
      </c>
      <c r="C426" s="14" t="inlineStr">
        <is>
          <t>ecf.oop</t>
        </is>
      </c>
      <c r="D426" s="14" t="n">
        <v>1</v>
      </c>
      <c r="E426" s="14" t="n">
        <v>1</v>
      </c>
      <c r="F426" s="14" t="n">
        <v>1</v>
      </c>
      <c r="G426" s="14" t="n">
        <v>1</v>
      </c>
      <c r="H426" s="14" t="n">
        <v>1</v>
      </c>
    </row>
    <row r="427">
      <c r="A427" s="14" t="inlineStr">
        <is>
          <t>IRL|ecr.all</t>
        </is>
      </c>
      <c r="B427" s="14" t="inlineStr">
        <is>
          <t>IRL</t>
        </is>
      </c>
      <c r="C427" s="14" t="inlineStr">
        <is>
          <t>ecr.all</t>
        </is>
      </c>
      <c r="D427" s="14" t="n">
        <v>39.3491</v>
      </c>
      <c r="E427" s="14" t="n">
        <v>45.3132</v>
      </c>
      <c r="F427" s="14" t="n">
        <v>52.74375</v>
      </c>
      <c r="G427" s="14" t="n">
        <v>60.1944</v>
      </c>
      <c r="H427" s="14" t="n">
        <v>68.5038</v>
      </c>
    </row>
    <row r="428">
      <c r="A428" s="14" t="inlineStr">
        <is>
          <t>IRL|ecs.ind</t>
        </is>
      </c>
      <c r="B428" s="14" t="inlineStr">
        <is>
          <t>IRL</t>
        </is>
      </c>
      <c r="C428" s="14" t="inlineStr">
        <is>
          <t>ecs.ind</t>
        </is>
      </c>
      <c r="D428" s="14" t="n">
        <v>0.265192</v>
      </c>
      <c r="E428" s="14" t="n">
        <v>0.172585</v>
      </c>
      <c r="F428" s="14" t="n">
        <v>0.08169800000000001</v>
      </c>
      <c r="G428" s="14" t="n">
        <v>0.122283</v>
      </c>
      <c r="H428" s="14" t="n">
        <v>0.122283</v>
      </c>
    </row>
    <row r="429">
      <c r="A429" s="14" t="inlineStr">
        <is>
          <t>IRL|ecs.pow</t>
        </is>
      </c>
      <c r="B429" s="14" t="inlineStr">
        <is>
          <t>IRL</t>
        </is>
      </c>
      <c r="C429" s="14" t="inlineStr">
        <is>
          <t>ecs.pow</t>
        </is>
      </c>
      <c r="D429" s="14" t="n">
        <v>0.898227</v>
      </c>
      <c r="E429" s="14" t="n">
        <v>0.89708</v>
      </c>
      <c r="F429" s="14" t="n">
        <v>0.872382</v>
      </c>
      <c r="G429" s="14" t="n">
        <v>0.874522</v>
      </c>
      <c r="H429" s="14" t="n">
        <v>0.874522</v>
      </c>
    </row>
    <row r="430">
      <c r="A430" s="14" t="inlineStr">
        <is>
          <t>IRL|ecs.res</t>
        </is>
      </c>
      <c r="B430" s="14" t="inlineStr">
        <is>
          <t>IRL</t>
        </is>
      </c>
      <c r="C430" s="14" t="inlineStr">
        <is>
          <t>ecs.res</t>
        </is>
      </c>
      <c r="D430" s="14" t="n">
        <v>0.597514</v>
      </c>
      <c r="E430" s="14" t="n">
        <v>0.598959</v>
      </c>
      <c r="F430" s="14" t="n">
        <v>0.618282</v>
      </c>
      <c r="G430" s="14" t="n">
        <v>0.618282</v>
      </c>
      <c r="H430" s="14" t="n">
        <v>0.618282</v>
      </c>
    </row>
    <row r="431">
      <c r="A431" s="14" t="inlineStr">
        <is>
          <t>IRL|ecs.trs</t>
        </is>
      </c>
      <c r="B431" s="14" t="inlineStr">
        <is>
          <t>IRL</t>
        </is>
      </c>
      <c r="C431" s="14" t="inlineStr">
        <is>
          <t>ecs.trs</t>
        </is>
      </c>
      <c r="D431" s="14" t="n">
        <v>0.597514</v>
      </c>
      <c r="E431" s="14" t="n">
        <v>0.598959</v>
      </c>
      <c r="F431" s="14" t="n">
        <v>0.618282</v>
      </c>
      <c r="G431" s="14" t="n">
        <v>0.618282</v>
      </c>
      <c r="H431" s="14" t="n">
        <v>0.618282</v>
      </c>
    </row>
    <row r="432">
      <c r="A432" s="14" t="inlineStr">
        <is>
          <t>IRL|eef.bio</t>
        </is>
      </c>
      <c r="B432" s="14" t="inlineStr">
        <is>
          <t>IRL</t>
        </is>
      </c>
      <c r="C432" s="14" t="inlineStr">
        <is>
          <t>eef.bio</t>
        </is>
      </c>
      <c r="D432" s="14" t="n">
        <v>0</v>
      </c>
      <c r="E432" s="14" t="n">
        <v>1</v>
      </c>
      <c r="F432" s="14" t="n">
        <v>1</v>
      </c>
      <c r="G432" s="14" t="n">
        <v>1</v>
      </c>
      <c r="H432" s="14" t="n">
        <v>1</v>
      </c>
    </row>
    <row r="433">
      <c r="A433" s="14" t="inlineStr">
        <is>
          <t>IRL|eef.coa</t>
        </is>
      </c>
      <c r="B433" s="14" t="inlineStr">
        <is>
          <t>IRL</t>
        </is>
      </c>
      <c r="C433" s="14" t="inlineStr">
        <is>
          <t>eef.coa</t>
        </is>
      </c>
      <c r="D433" s="14" t="n">
        <v>1</v>
      </c>
      <c r="E433" s="14" t="n">
        <v>1</v>
      </c>
      <c r="F433" s="14" t="n">
        <v>1</v>
      </c>
      <c r="G433" s="14" t="n">
        <v>1</v>
      </c>
      <c r="H433" s="14" t="n">
        <v>1</v>
      </c>
    </row>
    <row r="434">
      <c r="A434" s="14" t="inlineStr">
        <is>
          <t>IRL|eef.die</t>
        </is>
      </c>
      <c r="B434" s="14" t="inlineStr">
        <is>
          <t>IRL</t>
        </is>
      </c>
      <c r="C434" s="14" t="inlineStr">
        <is>
          <t>eef.die</t>
        </is>
      </c>
      <c r="D434" s="14" t="n">
        <v>1</v>
      </c>
      <c r="E434" s="14" t="n">
        <v>1</v>
      </c>
      <c r="F434" s="14" t="n">
        <v>1</v>
      </c>
      <c r="G434" s="14" t="n">
        <v>1</v>
      </c>
      <c r="H434" s="14" t="n">
        <v>1</v>
      </c>
    </row>
    <row r="435">
      <c r="A435" s="14" t="inlineStr">
        <is>
          <t>IRL|eef.gso</t>
        </is>
      </c>
      <c r="B435" s="14" t="inlineStr">
        <is>
          <t>IRL</t>
        </is>
      </c>
      <c r="C435" s="14" t="inlineStr">
        <is>
          <t>eef.gso</t>
        </is>
      </c>
      <c r="D435" s="14" t="n">
        <v>1</v>
      </c>
      <c r="E435" s="14" t="n">
        <v>1</v>
      </c>
      <c r="F435" s="14" t="n">
        <v>1</v>
      </c>
      <c r="G435" s="14" t="n">
        <v>1</v>
      </c>
      <c r="H435" s="14" t="n">
        <v>1</v>
      </c>
    </row>
    <row r="436">
      <c r="A436" s="14" t="inlineStr">
        <is>
          <t>IRL|eef.jfu</t>
        </is>
      </c>
      <c r="B436" s="14" t="inlineStr">
        <is>
          <t>IRL</t>
        </is>
      </c>
      <c r="C436" s="14" t="inlineStr">
        <is>
          <t>eef.jfu</t>
        </is>
      </c>
      <c r="D436" s="14" t="n">
        <v>1</v>
      </c>
      <c r="E436" s="14" t="n">
        <v>1</v>
      </c>
      <c r="F436" s="14" t="n">
        <v>1</v>
      </c>
      <c r="G436" s="14" t="n">
        <v>1</v>
      </c>
      <c r="H436" s="14" t="n">
        <v>1</v>
      </c>
    </row>
    <row r="437">
      <c r="A437" s="14" t="inlineStr">
        <is>
          <t>IRL|eef.ker</t>
        </is>
      </c>
      <c r="B437" s="14" t="inlineStr">
        <is>
          <t>IRL</t>
        </is>
      </c>
      <c r="C437" s="14" t="inlineStr">
        <is>
          <t>eef.ker</t>
        </is>
      </c>
      <c r="D437" s="14" t="n">
        <v>1</v>
      </c>
      <c r="E437" s="14" t="n">
        <v>1</v>
      </c>
      <c r="F437" s="14" t="n">
        <v>1</v>
      </c>
      <c r="G437" s="14" t="n">
        <v>1</v>
      </c>
      <c r="H437" s="14" t="n">
        <v>1</v>
      </c>
    </row>
    <row r="438">
      <c r="A438" s="14" t="inlineStr">
        <is>
          <t>IRL|eef.lpg</t>
        </is>
      </c>
      <c r="B438" s="14" t="inlineStr">
        <is>
          <t>IRL</t>
        </is>
      </c>
      <c r="C438" s="14" t="inlineStr">
        <is>
          <t>eef.lpg</t>
        </is>
      </c>
      <c r="D438" s="14" t="n">
        <v>1</v>
      </c>
      <c r="E438" s="14" t="n">
        <v>1</v>
      </c>
      <c r="F438" s="14" t="n">
        <v>1</v>
      </c>
      <c r="G438" s="14" t="n">
        <v>1</v>
      </c>
      <c r="H438" s="14" t="n">
        <v>1</v>
      </c>
    </row>
    <row r="439">
      <c r="A439" s="14" t="inlineStr">
        <is>
          <t>IRL|eef.nga</t>
        </is>
      </c>
      <c r="B439" s="14" t="inlineStr">
        <is>
          <t>IRL</t>
        </is>
      </c>
      <c r="C439" s="14" t="inlineStr">
        <is>
          <t>eef.nga</t>
        </is>
      </c>
      <c r="D439" s="14" t="n">
        <v>1</v>
      </c>
      <c r="E439" s="14" t="n">
        <v>1</v>
      </c>
      <c r="F439" s="14" t="n">
        <v>1</v>
      </c>
      <c r="G439" s="14" t="n">
        <v>1</v>
      </c>
      <c r="H439" s="14" t="n">
        <v>1</v>
      </c>
    </row>
    <row r="440">
      <c r="A440" s="14" t="inlineStr">
        <is>
          <t>IRL|eef.oop</t>
        </is>
      </c>
      <c r="B440" s="14" t="inlineStr">
        <is>
          <t>IRL</t>
        </is>
      </c>
      <c r="C440" s="14" t="inlineStr">
        <is>
          <t>eef.oop</t>
        </is>
      </c>
      <c r="D440" s="14" t="n">
        <v>1</v>
      </c>
      <c r="E440" s="14" t="n">
        <v>1</v>
      </c>
      <c r="F440" s="14" t="n">
        <v>1</v>
      </c>
      <c r="G440" s="14" t="n">
        <v>1</v>
      </c>
      <c r="H440" s="14" t="n">
        <v>1</v>
      </c>
    </row>
    <row r="441">
      <c r="A441" s="14" t="inlineStr">
        <is>
          <t>IRL|eer.all</t>
        </is>
      </c>
      <c r="B441" s="14" t="inlineStr">
        <is>
          <t>IRL</t>
        </is>
      </c>
      <c r="C441" s="14" t="inlineStr">
        <is>
          <t>eer.all</t>
        </is>
      </c>
      <c r="D441" s="14" t="n">
        <v>49.779548</v>
      </c>
      <c r="E441" s="14" t="n">
        <v>86.52610799999999</v>
      </c>
      <c r="F441" s="14" t="n">
        <v>96.298125</v>
      </c>
      <c r="G441" s="14" t="n">
        <v>61.301547</v>
      </c>
      <c r="H441" s="14" t="n">
        <v>70.370124</v>
      </c>
    </row>
    <row r="442">
      <c r="A442" s="14" t="inlineStr">
        <is>
          <t>IRL|ees.ind</t>
        </is>
      </c>
      <c r="B442" s="14" t="inlineStr">
        <is>
          <t>IRL</t>
        </is>
      </c>
      <c r="C442" s="14" t="inlineStr">
        <is>
          <t>ees.ind</t>
        </is>
      </c>
      <c r="D442" s="14" t="n">
        <v>0.734808</v>
      </c>
      <c r="E442" s="14" t="n">
        <v>0.827415</v>
      </c>
      <c r="F442" s="14" t="n">
        <v>0.918302</v>
      </c>
      <c r="G442" s="14" t="n">
        <v>0.877717</v>
      </c>
      <c r="H442" s="14" t="n">
        <v>0.877717</v>
      </c>
    </row>
    <row r="443">
      <c r="A443" s="14" t="inlineStr">
        <is>
          <t>IRL|ees.pow</t>
        </is>
      </c>
      <c r="B443" s="14" t="inlineStr">
        <is>
          <t>IRL</t>
        </is>
      </c>
      <c r="C443" s="14" t="inlineStr">
        <is>
          <t>ees.pow</t>
        </is>
      </c>
      <c r="D443" s="14" t="n">
        <v>0.101773</v>
      </c>
      <c r="E443" s="14" t="n">
        <v>0.10292</v>
      </c>
      <c r="F443" s="14" t="n">
        <v>0.127618</v>
      </c>
      <c r="G443" s="14" t="n">
        <v>0.125477</v>
      </c>
      <c r="H443" s="14" t="n">
        <v>0.125477</v>
      </c>
    </row>
    <row r="444">
      <c r="A444" s="14" t="inlineStr">
        <is>
          <t>ISL|ecf.die</t>
        </is>
      </c>
      <c r="B444" s="14" t="inlineStr">
        <is>
          <t>ISL</t>
        </is>
      </c>
      <c r="C444" s="14" t="inlineStr">
        <is>
          <t>ecf.die</t>
        </is>
      </c>
      <c r="D444" s="14" t="n">
        <v>1</v>
      </c>
      <c r="E444" s="14" t="n">
        <v>1</v>
      </c>
      <c r="F444" s="14" t="n">
        <v>1</v>
      </c>
      <c r="G444" s="14" t="n">
        <v>1</v>
      </c>
      <c r="H444" s="14" t="n">
        <v>1</v>
      </c>
    </row>
    <row r="445">
      <c r="A445" s="14" t="inlineStr">
        <is>
          <t>ISL|ecf.gso</t>
        </is>
      </c>
      <c r="B445" s="14" t="inlineStr">
        <is>
          <t>ISL</t>
        </is>
      </c>
      <c r="C445" s="14" t="inlineStr">
        <is>
          <t>ecf.gso</t>
        </is>
      </c>
      <c r="D445" s="14" t="n">
        <v>1</v>
      </c>
      <c r="E445" s="14" t="n">
        <v>1</v>
      </c>
      <c r="F445" s="14" t="n">
        <v>1</v>
      </c>
      <c r="G445" s="14" t="n">
        <v>1</v>
      </c>
      <c r="H445" s="14" t="n">
        <v>1</v>
      </c>
    </row>
    <row r="446">
      <c r="A446" s="14" t="inlineStr">
        <is>
          <t>ISL|ecf.ker</t>
        </is>
      </c>
      <c r="B446" s="14" t="inlineStr">
        <is>
          <t>ISL</t>
        </is>
      </c>
      <c r="C446" s="14" t="inlineStr">
        <is>
          <t>ecf.ker</t>
        </is>
      </c>
      <c r="D446" s="14" t="n">
        <v>1</v>
      </c>
      <c r="E446" s="14" t="n">
        <v>1</v>
      </c>
      <c r="F446" s="14" t="n">
        <v>1</v>
      </c>
      <c r="G446" s="14" t="n">
        <v>1</v>
      </c>
      <c r="H446" s="14" t="n">
        <v>1</v>
      </c>
    </row>
    <row r="447">
      <c r="A447" s="14" t="inlineStr">
        <is>
          <t>ISL|ecf.lpg</t>
        </is>
      </c>
      <c r="B447" s="14" t="inlineStr">
        <is>
          <t>ISL</t>
        </is>
      </c>
      <c r="C447" s="14" t="inlineStr">
        <is>
          <t>ecf.lpg</t>
        </is>
      </c>
      <c r="D447" s="14" t="n">
        <v>1</v>
      </c>
      <c r="E447" s="14" t="n">
        <v>1</v>
      </c>
      <c r="F447" s="14" t="n">
        <v>1</v>
      </c>
      <c r="G447" s="14" t="n">
        <v>1</v>
      </c>
      <c r="H447" s="14" t="n">
        <v>1</v>
      </c>
    </row>
    <row r="448">
      <c r="A448" s="14" t="inlineStr">
        <is>
          <t>ISL|ecf.nga</t>
        </is>
      </c>
      <c r="B448" s="14" t="inlineStr">
        <is>
          <t>ISL</t>
        </is>
      </c>
      <c r="C448" s="14" t="inlineStr">
        <is>
          <t>ecf.nga</t>
        </is>
      </c>
      <c r="D448" s="14" t="n">
        <v>1</v>
      </c>
      <c r="E448" s="14" t="n">
        <v>1</v>
      </c>
      <c r="F448" s="14" t="n">
        <v>1</v>
      </c>
      <c r="G448" s="14" t="n">
        <v>1</v>
      </c>
      <c r="H448" s="14" t="n">
        <v>1</v>
      </c>
    </row>
    <row r="449">
      <c r="A449" s="14" t="inlineStr">
        <is>
          <t>ISL|ecf.oop</t>
        </is>
      </c>
      <c r="B449" s="14" t="inlineStr">
        <is>
          <t>ISL</t>
        </is>
      </c>
      <c r="C449" s="14" t="inlineStr">
        <is>
          <t>ecf.oop</t>
        </is>
      </c>
      <c r="D449" s="14" t="n">
        <v>1</v>
      </c>
      <c r="E449" s="14" t="n">
        <v>1</v>
      </c>
      <c r="F449" s="14" t="n">
        <v>1</v>
      </c>
      <c r="G449" s="14" t="n">
        <v>1</v>
      </c>
      <c r="H449" s="14" t="n">
        <v>1</v>
      </c>
    </row>
    <row r="450">
      <c r="A450" s="14" t="inlineStr">
        <is>
          <t>ISL|ecr.all</t>
        </is>
      </c>
      <c r="B450" s="14" t="inlineStr">
        <is>
          <t>ISL</t>
        </is>
      </c>
      <c r="C450" s="14" t="inlineStr">
        <is>
          <t>ecr.all</t>
        </is>
      </c>
      <c r="D450" s="14" t="n">
        <v>34.217622</v>
      </c>
      <c r="E450" s="14" t="n">
        <v>35.831051</v>
      </c>
      <c r="F450" s="14" t="n">
        <v>36.376631</v>
      </c>
      <c r="G450" s="14" t="n">
        <v>36.777905</v>
      </c>
      <c r="H450" s="14" t="n">
        <v>60.06006</v>
      </c>
    </row>
    <row r="451">
      <c r="A451" s="14" t="inlineStr">
        <is>
          <t>ISL|ecr.die</t>
        </is>
      </c>
      <c r="B451" s="14" t="inlineStr">
        <is>
          <t>ISL</t>
        </is>
      </c>
      <c r="C451" s="14" t="inlineStr">
        <is>
          <t>ecr.die</t>
        </is>
      </c>
      <c r="D451" s="14" t="n">
        <v>34.756352</v>
      </c>
      <c r="E451" s="14" t="n">
        <v>35.041732</v>
      </c>
      <c r="F451" s="14" t="n">
        <v>35.617101</v>
      </c>
      <c r="G451" s="14" t="n">
        <v>36.014036</v>
      </c>
      <c r="H451" s="14" t="n">
        <v>60.06006</v>
      </c>
    </row>
    <row r="452">
      <c r="A452" s="14" t="inlineStr">
        <is>
          <t>ISL|ecr.gso</t>
        </is>
      </c>
      <c r="B452" s="14" t="inlineStr">
        <is>
          <t>ISL</t>
        </is>
      </c>
      <c r="C452" s="14" t="inlineStr">
        <is>
          <t>ecr.gso</t>
        </is>
      </c>
      <c r="D452" s="14" t="n">
        <v>35.362094</v>
      </c>
      <c r="E452" s="14" t="n">
        <v>35.612758</v>
      </c>
      <c r="F452" s="14" t="n">
        <v>36.108666</v>
      </c>
      <c r="G452" s="14" t="n">
        <v>36.508164</v>
      </c>
      <c r="H452" s="14" t="n">
        <v>60.06006</v>
      </c>
    </row>
    <row r="453">
      <c r="A453" s="14" t="inlineStr">
        <is>
          <t>ISL|ecr.oop</t>
        </is>
      </c>
      <c r="B453" s="14" t="inlineStr">
        <is>
          <t>ISL</t>
        </is>
      </c>
      <c r="C453" s="14" t="inlineStr">
        <is>
          <t>ecr.oop</t>
        </is>
      </c>
      <c r="D453" s="14" t="n">
        <v>32.53442</v>
      </c>
      <c r="E453" s="14" t="n">
        <v>36.838663</v>
      </c>
      <c r="F453" s="14" t="n">
        <v>37.404127</v>
      </c>
      <c r="G453" s="14" t="n">
        <v>37.811515</v>
      </c>
      <c r="H453" s="14" t="n">
        <v>60.06006</v>
      </c>
    </row>
    <row r="454">
      <c r="A454" s="14" t="inlineStr">
        <is>
          <t>ISL|ecs.ind</t>
        </is>
      </c>
      <c r="B454" s="14" t="inlineStr">
        <is>
          <t>ISL</t>
        </is>
      </c>
      <c r="C454" s="14" t="inlineStr">
        <is>
          <t>ecs.ind</t>
        </is>
      </c>
      <c r="D454" s="14" t="n">
        <v>1</v>
      </c>
      <c r="E454" s="14" t="n">
        <v>1</v>
      </c>
      <c r="F454" s="14" t="n">
        <v>1</v>
      </c>
      <c r="G454" s="14" t="n">
        <v>1</v>
      </c>
      <c r="H454" s="14" t="n">
        <v>1</v>
      </c>
    </row>
    <row r="455">
      <c r="A455" s="14" t="inlineStr">
        <is>
          <t>ISL|ecs.pow</t>
        </is>
      </c>
      <c r="B455" s="14" t="inlineStr">
        <is>
          <t>ISL</t>
        </is>
      </c>
      <c r="C455" s="14" t="inlineStr">
        <is>
          <t>ecs.pow</t>
        </is>
      </c>
      <c r="D455" s="14" t="n">
        <v>1</v>
      </c>
      <c r="E455" s="14" t="n">
        <v>1</v>
      </c>
      <c r="F455" s="14" t="n">
        <v>1</v>
      </c>
      <c r="G455" s="14" t="n">
        <v>1</v>
      </c>
      <c r="H455" s="14" t="n">
        <v>1</v>
      </c>
    </row>
    <row r="456">
      <c r="A456" s="14" t="inlineStr">
        <is>
          <t>ISL|ecs.res</t>
        </is>
      </c>
      <c r="B456" s="14" t="inlineStr">
        <is>
          <t>ISL</t>
        </is>
      </c>
      <c r="C456" s="14" t="inlineStr">
        <is>
          <t>ecs.res</t>
        </is>
      </c>
      <c r="D456" s="14" t="n">
        <v>1</v>
      </c>
      <c r="E456" s="14" t="n">
        <v>1</v>
      </c>
      <c r="F456" s="14" t="n">
        <v>1</v>
      </c>
      <c r="G456" s="14" t="n">
        <v>1</v>
      </c>
      <c r="H456" s="14" t="n">
        <v>1</v>
      </c>
    </row>
    <row r="457">
      <c r="A457" s="14" t="inlineStr">
        <is>
          <t>ISL|ecs.trs</t>
        </is>
      </c>
      <c r="B457" s="14" t="inlineStr">
        <is>
          <t>ISL</t>
        </is>
      </c>
      <c r="C457" s="14" t="inlineStr">
        <is>
          <t>ecs.trs</t>
        </is>
      </c>
      <c r="D457" s="14" t="n">
        <v>1</v>
      </c>
      <c r="E457" s="14" t="n">
        <v>1</v>
      </c>
      <c r="F457" s="14" t="n">
        <v>1</v>
      </c>
      <c r="G457" s="14" t="n">
        <v>1</v>
      </c>
      <c r="H457" s="14" t="n">
        <v>1</v>
      </c>
    </row>
    <row r="458">
      <c r="A458" s="14" t="inlineStr">
        <is>
          <t>ISL|eef.bio</t>
        </is>
      </c>
      <c r="B458" s="14" t="inlineStr">
        <is>
          <t>ISL</t>
        </is>
      </c>
      <c r="C458" s="14" t="inlineStr">
        <is>
          <t>eef.bio</t>
        </is>
      </c>
      <c r="D458" s="14" t="n">
        <v>0</v>
      </c>
      <c r="E458" s="14" t="n">
        <v>1</v>
      </c>
      <c r="F458" s="14" t="n">
        <v>1</v>
      </c>
      <c r="G458" s="14" t="n">
        <v>1</v>
      </c>
      <c r="H458" s="14" t="n">
        <v>1</v>
      </c>
    </row>
    <row r="459">
      <c r="A459" s="14" t="inlineStr">
        <is>
          <t>ISL|eef.coa</t>
        </is>
      </c>
      <c r="B459" s="14" t="inlineStr">
        <is>
          <t>ISL</t>
        </is>
      </c>
      <c r="C459" s="14" t="inlineStr">
        <is>
          <t>eef.coa</t>
        </is>
      </c>
      <c r="D459" s="14" t="n">
        <v>1</v>
      </c>
      <c r="E459" s="14" t="n">
        <v>1</v>
      </c>
      <c r="F459" s="14" t="n">
        <v>1</v>
      </c>
      <c r="G459" s="14" t="n">
        <v>1</v>
      </c>
      <c r="H459" s="14" t="n">
        <v>1</v>
      </c>
    </row>
    <row r="460">
      <c r="A460" s="14" t="inlineStr">
        <is>
          <t>ISL|eef.die</t>
        </is>
      </c>
      <c r="B460" s="14" t="inlineStr">
        <is>
          <t>ISL</t>
        </is>
      </c>
      <c r="C460" s="14" t="inlineStr">
        <is>
          <t>eef.die</t>
        </is>
      </c>
      <c r="D460" s="14" t="n">
        <v>1</v>
      </c>
      <c r="E460" s="14" t="n">
        <v>1</v>
      </c>
      <c r="F460" s="14" t="n">
        <v>1</v>
      </c>
      <c r="G460" s="14" t="n">
        <v>1</v>
      </c>
      <c r="H460" s="14" t="n">
        <v>1</v>
      </c>
    </row>
    <row r="461">
      <c r="A461" s="14" t="inlineStr">
        <is>
          <t>ISL|eef.gso</t>
        </is>
      </c>
      <c r="B461" s="14" t="inlineStr">
        <is>
          <t>ISL</t>
        </is>
      </c>
      <c r="C461" s="14" t="inlineStr">
        <is>
          <t>eef.gso</t>
        </is>
      </c>
      <c r="D461" s="14" t="n">
        <v>1</v>
      </c>
      <c r="E461" s="14" t="n">
        <v>1</v>
      </c>
      <c r="F461" s="14" t="n">
        <v>1</v>
      </c>
      <c r="G461" s="14" t="n">
        <v>1</v>
      </c>
      <c r="H461" s="14" t="n">
        <v>1</v>
      </c>
    </row>
    <row r="462">
      <c r="A462" s="14" t="inlineStr">
        <is>
          <t>ISL|eef.jfu</t>
        </is>
      </c>
      <c r="B462" s="14" t="inlineStr">
        <is>
          <t>ISL</t>
        </is>
      </c>
      <c r="C462" s="14" t="inlineStr">
        <is>
          <t>eef.jfu</t>
        </is>
      </c>
      <c r="D462" s="14" t="n">
        <v>1</v>
      </c>
      <c r="E462" s="14" t="n">
        <v>1</v>
      </c>
      <c r="F462" s="14" t="n">
        <v>1</v>
      </c>
      <c r="G462" s="14" t="n">
        <v>1</v>
      </c>
      <c r="H462" s="14" t="n">
        <v>1</v>
      </c>
    </row>
    <row r="463">
      <c r="A463" s="14" t="inlineStr">
        <is>
          <t>ISL|eef.ker</t>
        </is>
      </c>
      <c r="B463" s="14" t="inlineStr">
        <is>
          <t>ISL</t>
        </is>
      </c>
      <c r="C463" s="14" t="inlineStr">
        <is>
          <t>eef.ker</t>
        </is>
      </c>
      <c r="D463" s="14" t="n">
        <v>1</v>
      </c>
      <c r="E463" s="14" t="n">
        <v>1</v>
      </c>
      <c r="F463" s="14" t="n">
        <v>1</v>
      </c>
      <c r="G463" s="14" t="n">
        <v>1</v>
      </c>
      <c r="H463" s="14" t="n">
        <v>1</v>
      </c>
    </row>
    <row r="464">
      <c r="A464" s="14" t="inlineStr">
        <is>
          <t>ISL|eef.lpg</t>
        </is>
      </c>
      <c r="B464" s="14" t="inlineStr">
        <is>
          <t>ISL</t>
        </is>
      </c>
      <c r="C464" s="14" t="inlineStr">
        <is>
          <t>eef.lpg</t>
        </is>
      </c>
      <c r="D464" s="14" t="n">
        <v>1</v>
      </c>
      <c r="E464" s="14" t="n">
        <v>1</v>
      </c>
      <c r="F464" s="14" t="n">
        <v>1</v>
      </c>
      <c r="G464" s="14" t="n">
        <v>1</v>
      </c>
      <c r="H464" s="14" t="n">
        <v>1</v>
      </c>
    </row>
    <row r="465">
      <c r="A465" s="14" t="inlineStr">
        <is>
          <t>ISL|eef.nga</t>
        </is>
      </c>
      <c r="B465" s="14" t="inlineStr">
        <is>
          <t>ISL</t>
        </is>
      </c>
      <c r="C465" s="14" t="inlineStr">
        <is>
          <t>eef.nga</t>
        </is>
      </c>
      <c r="D465" s="14" t="n">
        <v>1</v>
      </c>
      <c r="E465" s="14" t="n">
        <v>1</v>
      </c>
      <c r="F465" s="14" t="n">
        <v>1</v>
      </c>
      <c r="G465" s="14" t="n">
        <v>1</v>
      </c>
      <c r="H465" s="14" t="n">
        <v>1</v>
      </c>
    </row>
    <row r="466">
      <c r="A466" s="14" t="inlineStr">
        <is>
          <t>ISL|eef.oop</t>
        </is>
      </c>
      <c r="B466" s="14" t="inlineStr">
        <is>
          <t>ISL</t>
        </is>
      </c>
      <c r="C466" s="14" t="inlineStr">
        <is>
          <t>eef.oop</t>
        </is>
      </c>
      <c r="D466" s="14" t="n">
        <v>1</v>
      </c>
      <c r="E466" s="14" t="n">
        <v>1</v>
      </c>
      <c r="F466" s="14" t="n">
        <v>1</v>
      </c>
      <c r="G466" s="14" t="n">
        <v>1</v>
      </c>
      <c r="H466" s="14" t="n">
        <v>1</v>
      </c>
    </row>
    <row r="467">
      <c r="A467" s="14" t="inlineStr">
        <is>
          <t>ISL|eer.all</t>
        </is>
      </c>
      <c r="B467" s="14" t="inlineStr">
        <is>
          <t>ISL</t>
        </is>
      </c>
      <c r="C467" s="14" t="inlineStr">
        <is>
          <t>eer.all</t>
        </is>
      </c>
      <c r="D467" s="14" t="n">
        <v>49.779548</v>
      </c>
      <c r="E467" s="14" t="n">
        <v>86.52610799999999</v>
      </c>
      <c r="F467" s="14" t="n">
        <v>96.298125</v>
      </c>
      <c r="G467" s="14" t="n">
        <v>61.301547</v>
      </c>
      <c r="H467" s="14" t="n">
        <v>70.370124</v>
      </c>
    </row>
    <row r="468">
      <c r="A468" s="14" t="inlineStr">
        <is>
          <t>ISL|ees.ind</t>
        </is>
      </c>
      <c r="B468" s="14" t="inlineStr">
        <is>
          <t>ISL</t>
        </is>
      </c>
      <c r="C468" s="14" t="inlineStr">
        <is>
          <t>ees.ind</t>
        </is>
      </c>
      <c r="D468" s="14" t="n">
        <v>0.942931</v>
      </c>
      <c r="E468" s="14" t="n">
        <v>0.919295</v>
      </c>
      <c r="F468" s="14" t="n">
        <v>0.976086</v>
      </c>
      <c r="G468" s="14" t="n">
        <v>0.892023</v>
      </c>
      <c r="H468" s="14" t="n">
        <v>0.892023</v>
      </c>
    </row>
    <row r="469">
      <c r="A469" s="14" t="inlineStr">
        <is>
          <t>ISR|ecf.coa</t>
        </is>
      </c>
      <c r="B469" s="14" t="inlineStr">
        <is>
          <t>ISR</t>
        </is>
      </c>
      <c r="C469" s="14" t="inlineStr">
        <is>
          <t>ecf.coa</t>
        </is>
      </c>
      <c r="D469" s="14" t="n"/>
      <c r="E469" s="14" t="n"/>
      <c r="F469" s="14" t="n"/>
      <c r="G469" s="14" t="n"/>
      <c r="H469" s="14" t="n">
        <v>1</v>
      </c>
    </row>
    <row r="470">
      <c r="A470" s="14" t="inlineStr">
        <is>
          <t>ISR|ecf.lpg</t>
        </is>
      </c>
      <c r="B470" s="14" t="inlineStr">
        <is>
          <t>ISR</t>
        </is>
      </c>
      <c r="C470" s="14" t="inlineStr">
        <is>
          <t>ecf.lpg</t>
        </is>
      </c>
      <c r="D470" s="14" t="n"/>
      <c r="E470" s="14" t="n"/>
      <c r="F470" s="14" t="n"/>
      <c r="G470" s="14" t="n"/>
      <c r="H470" s="14" t="n">
        <v>1</v>
      </c>
    </row>
    <row r="471">
      <c r="A471" s="14" t="inlineStr">
        <is>
          <t>ISR|ecf.nga</t>
        </is>
      </c>
      <c r="B471" s="14" t="inlineStr">
        <is>
          <t>ISR</t>
        </is>
      </c>
      <c r="C471" s="14" t="inlineStr">
        <is>
          <t>ecf.nga</t>
        </is>
      </c>
      <c r="D471" s="14" t="n"/>
      <c r="E471" s="14" t="n"/>
      <c r="F471" s="14" t="n"/>
      <c r="G471" s="14" t="n"/>
      <c r="H471" s="14" t="n">
        <v>1</v>
      </c>
    </row>
    <row r="472">
      <c r="A472" s="14" t="inlineStr">
        <is>
          <t>ISR|ecf.oop</t>
        </is>
      </c>
      <c r="B472" s="14" t="inlineStr">
        <is>
          <t>ISR</t>
        </is>
      </c>
      <c r="C472" s="14" t="inlineStr">
        <is>
          <t>ecf.oop</t>
        </is>
      </c>
      <c r="D472" s="14" t="n"/>
      <c r="E472" s="14" t="n"/>
      <c r="F472" s="14" t="n"/>
      <c r="G472" s="14" t="n"/>
      <c r="H472" s="14" t="n">
        <v>1</v>
      </c>
    </row>
    <row r="473">
      <c r="A473" s="14" t="inlineStr">
        <is>
          <t>ISR|ecr.all</t>
        </is>
      </c>
      <c r="B473" s="14" t="inlineStr">
        <is>
          <t>ISR</t>
        </is>
      </c>
      <c r="C473" s="14" t="inlineStr">
        <is>
          <t>ecr.all</t>
        </is>
      </c>
      <c r="D473" s="14" t="n"/>
      <c r="E473" s="14" t="n"/>
      <c r="F473" s="14" t="n"/>
      <c r="G473" s="14" t="n"/>
      <c r="H473" s="14" t="n">
        <v>1.511471</v>
      </c>
    </row>
    <row r="474">
      <c r="A474" s="14" t="inlineStr">
        <is>
          <t>ISR|ecs.ind</t>
        </is>
      </c>
      <c r="B474" s="14" t="inlineStr">
        <is>
          <t>ISR</t>
        </is>
      </c>
      <c r="C474" s="14" t="inlineStr">
        <is>
          <t>ecs.ind</t>
        </is>
      </c>
      <c r="D474" s="14" t="n"/>
      <c r="E474" s="14" t="n"/>
      <c r="F474" s="14" t="n"/>
      <c r="G474" s="14" t="n"/>
      <c r="H474" s="14" t="n">
        <v>1</v>
      </c>
    </row>
    <row r="475">
      <c r="A475" s="14" t="inlineStr">
        <is>
          <t>ISR|ecs.pow</t>
        </is>
      </c>
      <c r="B475" s="14" t="inlineStr">
        <is>
          <t>ISR</t>
        </is>
      </c>
      <c r="C475" s="14" t="inlineStr">
        <is>
          <t>ecs.pow</t>
        </is>
      </c>
      <c r="D475" s="14" t="n"/>
      <c r="E475" s="14" t="n"/>
      <c r="F475" s="14" t="n"/>
      <c r="G475" s="14" t="n"/>
      <c r="H475" s="14" t="n">
        <v>1</v>
      </c>
    </row>
    <row r="476">
      <c r="A476" s="14" t="inlineStr">
        <is>
          <t>ISR|ecs.res</t>
        </is>
      </c>
      <c r="B476" s="14" t="inlineStr">
        <is>
          <t>ISR</t>
        </is>
      </c>
      <c r="C476" s="14" t="inlineStr">
        <is>
          <t>ecs.res</t>
        </is>
      </c>
      <c r="D476" s="14" t="n"/>
      <c r="E476" s="14" t="n"/>
      <c r="F476" s="14" t="n"/>
      <c r="G476" s="14" t="n"/>
      <c r="H476" s="14" t="n">
        <v>1</v>
      </c>
    </row>
    <row r="477">
      <c r="A477" s="14" t="inlineStr">
        <is>
          <t>ITA|eef.bio</t>
        </is>
      </c>
      <c r="B477" s="14" t="inlineStr">
        <is>
          <t>ITA</t>
        </is>
      </c>
      <c r="C477" s="14" t="inlineStr">
        <is>
          <t>eef.bio</t>
        </is>
      </c>
      <c r="D477" s="14" t="n">
        <v>0</v>
      </c>
      <c r="E477" s="14" t="n">
        <v>1</v>
      </c>
      <c r="F477" s="14" t="n">
        <v>1</v>
      </c>
      <c r="G477" s="14" t="n">
        <v>1</v>
      </c>
      <c r="H477" s="14" t="n">
        <v>1</v>
      </c>
    </row>
    <row r="478">
      <c r="A478" s="14" t="inlineStr">
        <is>
          <t>ITA|eef.coa</t>
        </is>
      </c>
      <c r="B478" s="14" t="inlineStr">
        <is>
          <t>ITA</t>
        </is>
      </c>
      <c r="C478" s="14" t="inlineStr">
        <is>
          <t>eef.coa</t>
        </is>
      </c>
      <c r="D478" s="14" t="n">
        <v>1</v>
      </c>
      <c r="E478" s="14" t="n">
        <v>1</v>
      </c>
      <c r="F478" s="14" t="n">
        <v>1</v>
      </c>
      <c r="G478" s="14" t="n">
        <v>1</v>
      </c>
      <c r="H478" s="14" t="n">
        <v>1</v>
      </c>
    </row>
    <row r="479">
      <c r="A479" s="14" t="inlineStr">
        <is>
          <t>ITA|eef.die</t>
        </is>
      </c>
      <c r="B479" s="14" t="inlineStr">
        <is>
          <t>ITA</t>
        </is>
      </c>
      <c r="C479" s="14" t="inlineStr">
        <is>
          <t>eef.die</t>
        </is>
      </c>
      <c r="D479" s="14" t="n">
        <v>1</v>
      </c>
      <c r="E479" s="14" t="n">
        <v>1</v>
      </c>
      <c r="F479" s="14" t="n">
        <v>1</v>
      </c>
      <c r="G479" s="14" t="n">
        <v>1</v>
      </c>
      <c r="H479" s="14" t="n">
        <v>1</v>
      </c>
    </row>
    <row r="480">
      <c r="A480" s="14" t="inlineStr">
        <is>
          <t>ITA|eef.gso</t>
        </is>
      </c>
      <c r="B480" s="14" t="inlineStr">
        <is>
          <t>ITA</t>
        </is>
      </c>
      <c r="C480" s="14" t="inlineStr">
        <is>
          <t>eef.gso</t>
        </is>
      </c>
      <c r="D480" s="14" t="n">
        <v>1</v>
      </c>
      <c r="E480" s="14" t="n">
        <v>1</v>
      </c>
      <c r="F480" s="14" t="n">
        <v>1</v>
      </c>
      <c r="G480" s="14" t="n">
        <v>1</v>
      </c>
      <c r="H480" s="14" t="n">
        <v>1</v>
      </c>
    </row>
    <row r="481">
      <c r="A481" s="14" t="inlineStr">
        <is>
          <t>ITA|eef.jfu</t>
        </is>
      </c>
      <c r="B481" s="14" t="inlineStr">
        <is>
          <t>ITA</t>
        </is>
      </c>
      <c r="C481" s="14" t="inlineStr">
        <is>
          <t>eef.jfu</t>
        </is>
      </c>
      <c r="D481" s="14" t="n">
        <v>1</v>
      </c>
      <c r="E481" s="14" t="n">
        <v>1</v>
      </c>
      <c r="F481" s="14" t="n">
        <v>1</v>
      </c>
      <c r="G481" s="14" t="n">
        <v>1</v>
      </c>
      <c r="H481" s="14" t="n">
        <v>1</v>
      </c>
    </row>
    <row r="482">
      <c r="A482" s="14" t="inlineStr">
        <is>
          <t>ITA|eef.ker</t>
        </is>
      </c>
      <c r="B482" s="14" t="inlineStr">
        <is>
          <t>ITA</t>
        </is>
      </c>
      <c r="C482" s="14" t="inlineStr">
        <is>
          <t>eef.ker</t>
        </is>
      </c>
      <c r="D482" s="14" t="n">
        <v>1</v>
      </c>
      <c r="E482" s="14" t="n">
        <v>1</v>
      </c>
      <c r="F482" s="14" t="n">
        <v>1</v>
      </c>
      <c r="G482" s="14" t="n">
        <v>1</v>
      </c>
      <c r="H482" s="14" t="n">
        <v>1</v>
      </c>
    </row>
    <row r="483">
      <c r="A483" s="14" t="inlineStr">
        <is>
          <t>ITA|eef.lpg</t>
        </is>
      </c>
      <c r="B483" s="14" t="inlineStr">
        <is>
          <t>ITA</t>
        </is>
      </c>
      <c r="C483" s="14" t="inlineStr">
        <is>
          <t>eef.lpg</t>
        </is>
      </c>
      <c r="D483" s="14" t="n">
        <v>1</v>
      </c>
      <c r="E483" s="14" t="n">
        <v>1</v>
      </c>
      <c r="F483" s="14" t="n">
        <v>1</v>
      </c>
      <c r="G483" s="14" t="n">
        <v>1</v>
      </c>
      <c r="H483" s="14" t="n">
        <v>1</v>
      </c>
    </row>
    <row r="484">
      <c r="A484" s="14" t="inlineStr">
        <is>
          <t>ITA|eef.nga</t>
        </is>
      </c>
      <c r="B484" s="14" t="inlineStr">
        <is>
          <t>ITA</t>
        </is>
      </c>
      <c r="C484" s="14" t="inlineStr">
        <is>
          <t>eef.nga</t>
        </is>
      </c>
      <c r="D484" s="14" t="n">
        <v>1</v>
      </c>
      <c r="E484" s="14" t="n">
        <v>1</v>
      </c>
      <c r="F484" s="14" t="n">
        <v>1</v>
      </c>
      <c r="G484" s="14" t="n">
        <v>1</v>
      </c>
      <c r="H484" s="14" t="n">
        <v>1</v>
      </c>
    </row>
    <row r="485">
      <c r="A485" s="14" t="inlineStr">
        <is>
          <t>ITA|eef.oop</t>
        </is>
      </c>
      <c r="B485" s="14" t="inlineStr">
        <is>
          <t>ITA</t>
        </is>
      </c>
      <c r="C485" s="14" t="inlineStr">
        <is>
          <t>eef.oop</t>
        </is>
      </c>
      <c r="D485" s="14" t="n">
        <v>1</v>
      </c>
      <c r="E485" s="14" t="n">
        <v>1</v>
      </c>
      <c r="F485" s="14" t="n">
        <v>1</v>
      </c>
      <c r="G485" s="14" t="n">
        <v>1</v>
      </c>
      <c r="H485" s="14" t="n">
        <v>1</v>
      </c>
    </row>
    <row r="486">
      <c r="A486" s="14" t="inlineStr">
        <is>
          <t>ITA|eer.all</t>
        </is>
      </c>
      <c r="B486" s="14" t="inlineStr">
        <is>
          <t>ITA</t>
        </is>
      </c>
      <c r="C486" s="14" t="inlineStr">
        <is>
          <t>eer.all</t>
        </is>
      </c>
      <c r="D486" s="14" t="n">
        <v>49.779548</v>
      </c>
      <c r="E486" s="14" t="n">
        <v>86.52610799999999</v>
      </c>
      <c r="F486" s="14" t="n">
        <v>96.298125</v>
      </c>
      <c r="G486" s="14" t="n">
        <v>61.301547</v>
      </c>
      <c r="H486" s="14" t="n">
        <v>70.370124</v>
      </c>
    </row>
    <row r="487">
      <c r="A487" s="14" t="inlineStr">
        <is>
          <t>ITA|ees.ind</t>
        </is>
      </c>
      <c r="B487" s="14" t="inlineStr">
        <is>
          <t>ITA</t>
        </is>
      </c>
      <c r="C487" s="14" t="inlineStr">
        <is>
          <t>ees.ind</t>
        </is>
      </c>
      <c r="D487" s="14" t="n">
        <v>0.80918</v>
      </c>
      <c r="E487" s="14" t="n">
        <v>0.837997</v>
      </c>
      <c r="F487" s="14" t="n">
        <v>0.893742</v>
      </c>
      <c r="G487" s="14" t="n">
        <v>0.707136</v>
      </c>
      <c r="H487" s="14" t="n">
        <v>0.707136</v>
      </c>
    </row>
    <row r="488">
      <c r="A488" s="14" t="inlineStr">
        <is>
          <t>ITA|ees.pow</t>
        </is>
      </c>
      <c r="B488" s="14" t="inlineStr">
        <is>
          <t>ITA</t>
        </is>
      </c>
      <c r="C488" s="14" t="inlineStr">
        <is>
          <t>ees.pow</t>
        </is>
      </c>
      <c r="D488" s="14" t="n">
        <v>0.08738600000000001</v>
      </c>
      <c r="E488" s="14" t="n">
        <v>0.07729999999999999</v>
      </c>
      <c r="F488" s="14" t="n">
        <v>0.09467299999999999</v>
      </c>
      <c r="G488" s="14" t="n">
        <v>0.105259</v>
      </c>
      <c r="H488" s="14" t="n">
        <v>0.105259</v>
      </c>
    </row>
    <row r="489">
      <c r="A489" s="14" t="inlineStr">
        <is>
          <t>JPN|ecf.coa</t>
        </is>
      </c>
      <c r="B489" s="14" t="inlineStr">
        <is>
          <t>JPN</t>
        </is>
      </c>
      <c r="C489" s="14" t="inlineStr">
        <is>
          <t>ecf.coa</t>
        </is>
      </c>
      <c r="D489" s="14" t="n">
        <v>1</v>
      </c>
      <c r="E489" s="14" t="n">
        <v>1</v>
      </c>
      <c r="F489" s="14" t="n">
        <v>1</v>
      </c>
      <c r="G489" s="14" t="n">
        <v>1</v>
      </c>
      <c r="H489" s="14" t="n">
        <v>1</v>
      </c>
    </row>
    <row r="490">
      <c r="A490" s="14" t="inlineStr">
        <is>
          <t>JPN|ecf.die</t>
        </is>
      </c>
      <c r="B490" s="14" t="inlineStr">
        <is>
          <t>JPN</t>
        </is>
      </c>
      <c r="C490" s="14" t="inlineStr">
        <is>
          <t>ecf.die</t>
        </is>
      </c>
      <c r="D490" s="14" t="n">
        <v>1</v>
      </c>
      <c r="E490" s="14" t="n">
        <v>1</v>
      </c>
      <c r="F490" s="14" t="n">
        <v>1</v>
      </c>
      <c r="G490" s="14" t="n">
        <v>1</v>
      </c>
      <c r="H490" s="14" t="n">
        <v>1</v>
      </c>
    </row>
    <row r="491">
      <c r="A491" s="14" t="inlineStr">
        <is>
          <t>JPN|ecf.gso</t>
        </is>
      </c>
      <c r="B491" s="14" t="inlineStr">
        <is>
          <t>JPN</t>
        </is>
      </c>
      <c r="C491" s="14" t="inlineStr">
        <is>
          <t>ecf.gso</t>
        </is>
      </c>
      <c r="D491" s="14" t="n">
        <v>1</v>
      </c>
      <c r="E491" s="14" t="n">
        <v>1</v>
      </c>
      <c r="F491" s="14" t="n">
        <v>1</v>
      </c>
      <c r="G491" s="14" t="n">
        <v>1</v>
      </c>
      <c r="H491" s="14" t="n">
        <v>1</v>
      </c>
    </row>
    <row r="492">
      <c r="A492" s="14" t="inlineStr">
        <is>
          <t>JPN|ecf.jfu</t>
        </is>
      </c>
      <c r="B492" s="14" t="inlineStr">
        <is>
          <t>JPN</t>
        </is>
      </c>
      <c r="C492" s="14" t="inlineStr">
        <is>
          <t>ecf.jfu</t>
        </is>
      </c>
      <c r="D492" s="14" t="n">
        <v>1</v>
      </c>
      <c r="E492" s="14" t="n">
        <v>1</v>
      </c>
      <c r="F492" s="14" t="n">
        <v>1</v>
      </c>
      <c r="G492" s="14" t="n">
        <v>1</v>
      </c>
      <c r="H492" s="14" t="n">
        <v>1</v>
      </c>
    </row>
    <row r="493">
      <c r="A493" s="14" t="inlineStr">
        <is>
          <t>JPN|ecf.ker</t>
        </is>
      </c>
      <c r="B493" s="14" t="inlineStr">
        <is>
          <t>JPN</t>
        </is>
      </c>
      <c r="C493" s="14" t="inlineStr">
        <is>
          <t>ecf.ker</t>
        </is>
      </c>
      <c r="D493" s="14" t="n">
        <v>1</v>
      </c>
      <c r="E493" s="14" t="n">
        <v>1</v>
      </c>
      <c r="F493" s="14" t="n">
        <v>1</v>
      </c>
      <c r="G493" s="14" t="n">
        <v>1</v>
      </c>
      <c r="H493" s="14" t="n">
        <v>1</v>
      </c>
    </row>
    <row r="494">
      <c r="A494" s="14" t="inlineStr">
        <is>
          <t>JPN|ecf.lpg</t>
        </is>
      </c>
      <c r="B494" s="14" t="inlineStr">
        <is>
          <t>JPN</t>
        </is>
      </c>
      <c r="C494" s="14" t="inlineStr">
        <is>
          <t>ecf.lpg</t>
        </is>
      </c>
      <c r="D494" s="14" t="n">
        <v>1</v>
      </c>
      <c r="E494" s="14" t="n">
        <v>1</v>
      </c>
      <c r="F494" s="14" t="n">
        <v>1</v>
      </c>
      <c r="G494" s="14" t="n">
        <v>1</v>
      </c>
      <c r="H494" s="14" t="n">
        <v>1</v>
      </c>
    </row>
    <row r="495">
      <c r="A495" s="14" t="inlineStr">
        <is>
          <t>JPN|ecf.nga</t>
        </is>
      </c>
      <c r="B495" s="14" t="inlineStr">
        <is>
          <t>JPN</t>
        </is>
      </c>
      <c r="C495" s="14" t="inlineStr">
        <is>
          <t>ecf.nga</t>
        </is>
      </c>
      <c r="D495" s="14" t="n">
        <v>1</v>
      </c>
      <c r="E495" s="14" t="n">
        <v>1</v>
      </c>
      <c r="F495" s="14" t="n">
        <v>1</v>
      </c>
      <c r="G495" s="14" t="n">
        <v>1</v>
      </c>
      <c r="H495" s="14" t="n">
        <v>1</v>
      </c>
    </row>
    <row r="496">
      <c r="A496" s="14" t="inlineStr">
        <is>
          <t>JPN|ecf.oop</t>
        </is>
      </c>
      <c r="B496" s="14" t="inlineStr">
        <is>
          <t>JPN</t>
        </is>
      </c>
      <c r="C496" s="14" t="inlineStr">
        <is>
          <t>ecf.oop</t>
        </is>
      </c>
      <c r="D496" s="14" t="n">
        <v>1</v>
      </c>
      <c r="E496" s="14" t="n">
        <v>1</v>
      </c>
      <c r="F496" s="14" t="n">
        <v>1</v>
      </c>
      <c r="G496" s="14" t="n">
        <v>1</v>
      </c>
      <c r="H496" s="14" t="n">
        <v>1</v>
      </c>
    </row>
    <row r="497">
      <c r="A497" s="14" t="inlineStr">
        <is>
          <t>JPN|ecr.all</t>
        </is>
      </c>
      <c r="B497" s="14" t="inlineStr">
        <is>
          <t>JPN</t>
        </is>
      </c>
      <c r="C497" s="14" t="inlineStr">
        <is>
          <t>ecr.all</t>
        </is>
      </c>
      <c r="D497" s="14" t="n">
        <v>2.608539</v>
      </c>
      <c r="E497" s="14" t="n">
        <v>2.364975</v>
      </c>
      <c r="F497" s="14" t="n">
        <v>2.165118</v>
      </c>
      <c r="G497" s="14" t="n">
        <v>1.905076</v>
      </c>
      <c r="H497" s="14" t="n">
        <v>1.929239</v>
      </c>
    </row>
    <row r="498">
      <c r="A498" s="14" t="inlineStr">
        <is>
          <t>JPN|ecs.ind</t>
        </is>
      </c>
      <c r="B498" s="14" t="inlineStr">
        <is>
          <t>JPN</t>
        </is>
      </c>
      <c r="C498" s="14" t="inlineStr">
        <is>
          <t>ecs.ind</t>
        </is>
      </c>
      <c r="D498" s="14" t="n">
        <v>0.880871</v>
      </c>
      <c r="E498" s="14" t="n">
        <v>0.887935</v>
      </c>
      <c r="F498" s="14" t="n">
        <v>0.892553</v>
      </c>
      <c r="G498" s="14" t="n">
        <v>0.892553</v>
      </c>
      <c r="H498" s="14" t="n">
        <v>0.892553</v>
      </c>
    </row>
    <row r="499">
      <c r="A499" s="14" t="inlineStr">
        <is>
          <t>JPN|ecs.pow</t>
        </is>
      </c>
      <c r="B499" s="14" t="inlineStr">
        <is>
          <t>JPN</t>
        </is>
      </c>
      <c r="C499" s="14" t="inlineStr">
        <is>
          <t>ecs.pow</t>
        </is>
      </c>
      <c r="D499" s="14" t="n">
        <v>0.880871</v>
      </c>
      <c r="E499" s="14" t="n">
        <v>0.887935</v>
      </c>
      <c r="F499" s="14" t="n">
        <v>0.892553</v>
      </c>
      <c r="G499" s="14" t="n">
        <v>0.892553</v>
      </c>
      <c r="H499" s="14" t="n">
        <v>0.892553</v>
      </c>
    </row>
    <row r="500">
      <c r="A500" s="14" t="inlineStr">
        <is>
          <t>JPN|ecs.res</t>
        </is>
      </c>
      <c r="B500" s="14" t="inlineStr">
        <is>
          <t>JPN</t>
        </is>
      </c>
      <c r="C500" s="14" t="inlineStr">
        <is>
          <t>ecs.res</t>
        </is>
      </c>
      <c r="D500" s="14" t="n">
        <v>0.880871</v>
      </c>
      <c r="E500" s="14" t="n">
        <v>0.887935</v>
      </c>
      <c r="F500" s="14" t="n">
        <v>0.892553</v>
      </c>
      <c r="G500" s="14" t="n">
        <v>0.892553</v>
      </c>
      <c r="H500" s="14" t="n">
        <v>0.892553</v>
      </c>
    </row>
    <row r="501">
      <c r="A501" s="14" t="inlineStr">
        <is>
          <t>JPN|ecs.trs</t>
        </is>
      </c>
      <c r="B501" s="14" t="inlineStr">
        <is>
          <t>JPN</t>
        </is>
      </c>
      <c r="C501" s="14" t="inlineStr">
        <is>
          <t>ecs.trs</t>
        </is>
      </c>
      <c r="D501" s="14" t="n">
        <v>0.880871</v>
      </c>
      <c r="E501" s="14" t="n">
        <v>0.887935</v>
      </c>
      <c r="F501" s="14" t="n">
        <v>0.892553</v>
      </c>
      <c r="G501" s="14" t="n">
        <v>0.892553</v>
      </c>
      <c r="H501" s="14" t="n">
        <v>0.892553</v>
      </c>
    </row>
    <row r="502">
      <c r="A502" s="14" t="inlineStr">
        <is>
          <t>KAZ|eef.coa</t>
        </is>
      </c>
      <c r="B502" s="14" t="inlineStr">
        <is>
          <t>KAZ</t>
        </is>
      </c>
      <c r="C502" s="14" t="inlineStr">
        <is>
          <t>eef.coa</t>
        </is>
      </c>
      <c r="D502" s="14" t="n">
        <v>1</v>
      </c>
      <c r="E502" s="14" t="n">
        <v>1</v>
      </c>
      <c r="F502" s="14" t="n">
        <v>1</v>
      </c>
      <c r="G502" s="14" t="n">
        <v>1</v>
      </c>
      <c r="H502" s="14" t="n">
        <v>1</v>
      </c>
    </row>
    <row r="503">
      <c r="A503" s="14" t="inlineStr">
        <is>
          <t>KAZ|eef.die</t>
        </is>
      </c>
      <c r="B503" s="14" t="inlineStr">
        <is>
          <t>KAZ</t>
        </is>
      </c>
      <c r="C503" s="14" t="inlineStr">
        <is>
          <t>eef.die</t>
        </is>
      </c>
      <c r="D503" s="14" t="n">
        <v>1</v>
      </c>
      <c r="E503" s="14" t="n">
        <v>1</v>
      </c>
      <c r="F503" s="14" t="n">
        <v>1</v>
      </c>
      <c r="G503" s="14" t="n">
        <v>1</v>
      </c>
      <c r="H503" s="14" t="n">
        <v>1</v>
      </c>
    </row>
    <row r="504">
      <c r="A504" s="14" t="inlineStr">
        <is>
          <t>KAZ|eef.gso</t>
        </is>
      </c>
      <c r="B504" s="14" t="inlineStr">
        <is>
          <t>KAZ</t>
        </is>
      </c>
      <c r="C504" s="14" t="inlineStr">
        <is>
          <t>eef.gso</t>
        </is>
      </c>
      <c r="D504" s="14" t="n">
        <v>1</v>
      </c>
      <c r="E504" s="14" t="n">
        <v>1</v>
      </c>
      <c r="F504" s="14" t="n">
        <v>1</v>
      </c>
      <c r="G504" s="14" t="n">
        <v>1</v>
      </c>
      <c r="H504" s="14" t="n">
        <v>1</v>
      </c>
    </row>
    <row r="505">
      <c r="A505" s="14" t="inlineStr">
        <is>
          <t>KAZ|eef.ker</t>
        </is>
      </c>
      <c r="B505" s="14" t="inlineStr">
        <is>
          <t>KAZ</t>
        </is>
      </c>
      <c r="C505" s="14" t="inlineStr">
        <is>
          <t>eef.ker</t>
        </is>
      </c>
      <c r="D505" s="14" t="n">
        <v>1</v>
      </c>
      <c r="E505" s="14" t="n">
        <v>1</v>
      </c>
      <c r="F505" s="14" t="n">
        <v>1</v>
      </c>
      <c r="G505" s="14" t="n">
        <v>1</v>
      </c>
      <c r="H505" s="14" t="n">
        <v>1</v>
      </c>
    </row>
    <row r="506">
      <c r="A506" s="14" t="inlineStr">
        <is>
          <t>KAZ|eef.lpg</t>
        </is>
      </c>
      <c r="B506" s="14" t="inlineStr">
        <is>
          <t>KAZ</t>
        </is>
      </c>
      <c r="C506" s="14" t="inlineStr">
        <is>
          <t>eef.lpg</t>
        </is>
      </c>
      <c r="D506" s="14" t="n">
        <v>1</v>
      </c>
      <c r="E506" s="14" t="n">
        <v>1</v>
      </c>
      <c r="F506" s="14" t="n">
        <v>1</v>
      </c>
      <c r="G506" s="14" t="n">
        <v>1</v>
      </c>
      <c r="H506" s="14" t="n">
        <v>1</v>
      </c>
    </row>
    <row r="507">
      <c r="A507" s="14" t="inlineStr">
        <is>
          <t>KAZ|eef.nga</t>
        </is>
      </c>
      <c r="B507" s="14" t="inlineStr">
        <is>
          <t>KAZ</t>
        </is>
      </c>
      <c r="C507" s="14" t="inlineStr">
        <is>
          <t>eef.nga</t>
        </is>
      </c>
      <c r="D507" s="14" t="n">
        <v>1</v>
      </c>
      <c r="E507" s="14" t="n">
        <v>1</v>
      </c>
      <c r="F507" s="14" t="n">
        <v>1</v>
      </c>
      <c r="G507" s="14" t="n">
        <v>1</v>
      </c>
      <c r="H507" s="14" t="n">
        <v>1</v>
      </c>
    </row>
    <row r="508">
      <c r="A508" s="14" t="inlineStr">
        <is>
          <t>KAZ|eef.oop</t>
        </is>
      </c>
      <c r="B508" s="14" t="inlineStr">
        <is>
          <t>KAZ</t>
        </is>
      </c>
      <c r="C508" s="14" t="inlineStr">
        <is>
          <t>eef.oop</t>
        </is>
      </c>
      <c r="D508" s="14" t="n">
        <v>1</v>
      </c>
      <c r="E508" s="14" t="n">
        <v>1</v>
      </c>
      <c r="F508" s="14" t="n">
        <v>1</v>
      </c>
      <c r="G508" s="14" t="n">
        <v>1</v>
      </c>
      <c r="H508" s="14" t="n">
        <v>1</v>
      </c>
    </row>
    <row r="509">
      <c r="A509" s="14" t="inlineStr">
        <is>
          <t>KAZ|eer.all</t>
        </is>
      </c>
      <c r="B509" s="14" t="inlineStr">
        <is>
          <t>KAZ</t>
        </is>
      </c>
      <c r="C509" s="14" t="inlineStr">
        <is>
          <t>eer.all</t>
        </is>
      </c>
      <c r="D509" s="14" t="n">
        <v>1.176775</v>
      </c>
      <c r="E509" s="14" t="n">
        <v>1.080826</v>
      </c>
      <c r="F509" s="14" t="n">
        <v>1.11576</v>
      </c>
      <c r="G509" s="14" t="n">
        <v>1.059208</v>
      </c>
      <c r="H509" s="14" t="n">
        <v>0.9317260000000001</v>
      </c>
    </row>
    <row r="510">
      <c r="A510" s="14" t="inlineStr">
        <is>
          <t>KAZ|ees.ind</t>
        </is>
      </c>
      <c r="B510" s="14" t="inlineStr">
        <is>
          <t>KAZ</t>
        </is>
      </c>
      <c r="C510" s="14" t="inlineStr">
        <is>
          <t>ees.ind</t>
        </is>
      </c>
      <c r="D510" s="14" t="n">
        <v>0.971059</v>
      </c>
      <c r="E510" s="14" t="n">
        <v>0.972569</v>
      </c>
      <c r="F510" s="14" t="n">
        <v>0.979915</v>
      </c>
      <c r="G510" s="14" t="n">
        <v>0.979915</v>
      </c>
      <c r="H510" s="14" t="n">
        <v>0.979915</v>
      </c>
    </row>
    <row r="511">
      <c r="A511" s="14" t="inlineStr">
        <is>
          <t>KAZ|ees.pow</t>
        </is>
      </c>
      <c r="B511" s="14" t="inlineStr">
        <is>
          <t>KAZ</t>
        </is>
      </c>
      <c r="C511" s="14" t="inlineStr">
        <is>
          <t>ees.pow</t>
        </is>
      </c>
      <c r="D511" s="14" t="n">
        <v>0.971059</v>
      </c>
      <c r="E511" s="14" t="n">
        <v>0.972569</v>
      </c>
      <c r="F511" s="14" t="n">
        <v>0.979915</v>
      </c>
      <c r="G511" s="14" t="n">
        <v>0.979915</v>
      </c>
      <c r="H511" s="14" t="n">
        <v>0.979915</v>
      </c>
    </row>
    <row r="512">
      <c r="A512" s="14" t="inlineStr">
        <is>
          <t>KOR|eef.coa</t>
        </is>
      </c>
      <c r="B512" s="14" t="inlineStr">
        <is>
          <t>KOR</t>
        </is>
      </c>
      <c r="C512" s="14" t="inlineStr">
        <is>
          <t>eef.coa</t>
        </is>
      </c>
      <c r="D512" s="14" t="n">
        <v>1</v>
      </c>
      <c r="E512" s="14" t="n">
        <v>1</v>
      </c>
      <c r="F512" s="14" t="n">
        <v>1</v>
      </c>
      <c r="G512" s="14" t="n">
        <v>1</v>
      </c>
      <c r="H512" s="14" t="n">
        <v>1</v>
      </c>
    </row>
    <row r="513">
      <c r="A513" s="14" t="inlineStr">
        <is>
          <t>KOR|eef.die</t>
        </is>
      </c>
      <c r="B513" s="14" t="inlineStr">
        <is>
          <t>KOR</t>
        </is>
      </c>
      <c r="C513" s="14" t="inlineStr">
        <is>
          <t>eef.die</t>
        </is>
      </c>
      <c r="D513" s="14" t="n">
        <v>1</v>
      </c>
      <c r="E513" s="14" t="n">
        <v>1</v>
      </c>
      <c r="F513" s="14" t="n">
        <v>1</v>
      </c>
      <c r="G513" s="14" t="n">
        <v>1</v>
      </c>
      <c r="H513" s="14" t="n">
        <v>1</v>
      </c>
    </row>
    <row r="514">
      <c r="A514" s="14" t="inlineStr">
        <is>
          <t>KOR|eef.gso</t>
        </is>
      </c>
      <c r="B514" s="14" t="inlineStr">
        <is>
          <t>KOR</t>
        </is>
      </c>
      <c r="C514" s="14" t="inlineStr">
        <is>
          <t>eef.gso</t>
        </is>
      </c>
      <c r="D514" s="14" t="n">
        <v>1</v>
      </c>
      <c r="E514" s="14" t="n">
        <v>1</v>
      </c>
      <c r="F514" s="14" t="n">
        <v>1</v>
      </c>
      <c r="G514" s="14" t="n">
        <v>1</v>
      </c>
      <c r="H514" s="14" t="n">
        <v>1</v>
      </c>
    </row>
    <row r="515">
      <c r="A515" s="14" t="inlineStr">
        <is>
          <t>KOR|eef.jfu</t>
        </is>
      </c>
      <c r="B515" s="14" t="inlineStr">
        <is>
          <t>KOR</t>
        </is>
      </c>
      <c r="C515" s="14" t="inlineStr">
        <is>
          <t>eef.jfu</t>
        </is>
      </c>
      <c r="D515" s="14" t="n">
        <v>1</v>
      </c>
      <c r="E515" s="14" t="n">
        <v>1</v>
      </c>
      <c r="F515" s="14" t="n">
        <v>1</v>
      </c>
      <c r="G515" s="14" t="n">
        <v>1</v>
      </c>
      <c r="H515" s="14" t="n">
        <v>1</v>
      </c>
    </row>
    <row r="516">
      <c r="A516" s="14" t="inlineStr">
        <is>
          <t>KOR|eef.ker</t>
        </is>
      </c>
      <c r="B516" s="14" t="inlineStr">
        <is>
          <t>KOR</t>
        </is>
      </c>
      <c r="C516" s="14" t="inlineStr">
        <is>
          <t>eef.ker</t>
        </is>
      </c>
      <c r="D516" s="14" t="n">
        <v>1</v>
      </c>
      <c r="E516" s="14" t="n">
        <v>1</v>
      </c>
      <c r="F516" s="14" t="n">
        <v>1</v>
      </c>
      <c r="G516" s="14" t="n">
        <v>1</v>
      </c>
      <c r="H516" s="14" t="n">
        <v>1</v>
      </c>
    </row>
    <row r="517">
      <c r="A517" s="14" t="inlineStr">
        <is>
          <t>KOR|eef.lpg</t>
        </is>
      </c>
      <c r="B517" s="14" t="inlineStr">
        <is>
          <t>KOR</t>
        </is>
      </c>
      <c r="C517" s="14" t="inlineStr">
        <is>
          <t>eef.lpg</t>
        </is>
      </c>
      <c r="D517" s="14" t="n">
        <v>1</v>
      </c>
      <c r="E517" s="14" t="n">
        <v>1</v>
      </c>
      <c r="F517" s="14" t="n">
        <v>1</v>
      </c>
      <c r="G517" s="14" t="n">
        <v>1</v>
      </c>
      <c r="H517" s="14" t="n">
        <v>1</v>
      </c>
    </row>
    <row r="518">
      <c r="A518" s="14" t="inlineStr">
        <is>
          <t>KOR|eef.nga</t>
        </is>
      </c>
      <c r="B518" s="14" t="inlineStr">
        <is>
          <t>KOR</t>
        </is>
      </c>
      <c r="C518" s="14" t="inlineStr">
        <is>
          <t>eef.nga</t>
        </is>
      </c>
      <c r="D518" s="14" t="n">
        <v>1</v>
      </c>
      <c r="E518" s="14" t="n">
        <v>1</v>
      </c>
      <c r="F518" s="14" t="n">
        <v>1</v>
      </c>
      <c r="G518" s="14" t="n">
        <v>1</v>
      </c>
      <c r="H518" s="14" t="n">
        <v>1</v>
      </c>
    </row>
    <row r="519">
      <c r="A519" s="14" t="inlineStr">
        <is>
          <t>KOR|eef.oop</t>
        </is>
      </c>
      <c r="B519" s="14" t="inlineStr">
        <is>
          <t>KOR</t>
        </is>
      </c>
      <c r="C519" s="14" t="inlineStr">
        <is>
          <t>eef.oop</t>
        </is>
      </c>
      <c r="D519" s="14" t="n">
        <v>1</v>
      </c>
      <c r="E519" s="14" t="n">
        <v>1</v>
      </c>
      <c r="F519" s="14" t="n">
        <v>1</v>
      </c>
      <c r="G519" s="14" t="n">
        <v>1</v>
      </c>
      <c r="H519" s="14" t="n">
        <v>1</v>
      </c>
    </row>
    <row r="520">
      <c r="A520" s="14" t="inlineStr">
        <is>
          <t>KOR|eer.all</t>
        </is>
      </c>
      <c r="B520" s="14" t="inlineStr">
        <is>
          <t>KOR</t>
        </is>
      </c>
      <c r="C520" s="14" t="inlineStr">
        <is>
          <t>eer.all</t>
        </is>
      </c>
      <c r="D520" s="14" t="n">
        <v>15.892636</v>
      </c>
      <c r="E520" s="14" t="n">
        <v>18.749484</v>
      </c>
      <c r="F520" s="14" t="n">
        <v>11.236386</v>
      </c>
      <c r="G520" s="14" t="n">
        <v>6.302427</v>
      </c>
      <c r="H520" s="14" t="n">
        <v>6.453148</v>
      </c>
    </row>
    <row r="521">
      <c r="A521" s="14" t="inlineStr">
        <is>
          <t>KOR|ees.ind</t>
        </is>
      </c>
      <c r="B521" s="14" t="inlineStr">
        <is>
          <t>KOR</t>
        </is>
      </c>
      <c r="C521" s="14" t="inlineStr">
        <is>
          <t>ees.ind</t>
        </is>
      </c>
      <c r="D521" s="14" t="n">
        <v>0.894151</v>
      </c>
      <c r="E521" s="14" t="n">
        <v>0.901193</v>
      </c>
      <c r="F521" s="14" t="n">
        <v>0.901355</v>
      </c>
      <c r="G521" s="14" t="n">
        <v>0.901355</v>
      </c>
      <c r="H521" s="14" t="n">
        <v>0.901355</v>
      </c>
    </row>
    <row r="522">
      <c r="A522" s="14" t="inlineStr">
        <is>
          <t>KOR|ees.pow</t>
        </is>
      </c>
      <c r="B522" s="14" t="inlineStr">
        <is>
          <t>KOR</t>
        </is>
      </c>
      <c r="C522" s="14" t="inlineStr">
        <is>
          <t>ees.pow</t>
        </is>
      </c>
      <c r="D522" s="14" t="n">
        <v>0.894151</v>
      </c>
      <c r="E522" s="14" t="n">
        <v>0.901193</v>
      </c>
      <c r="F522" s="14" t="n">
        <v>0.901355</v>
      </c>
      <c r="G522" s="14" t="n">
        <v>0.901355</v>
      </c>
      <c r="H522" s="14" t="n">
        <v>0.901355</v>
      </c>
    </row>
    <row r="523">
      <c r="A523" s="14" t="inlineStr">
        <is>
          <t>KOR|ees.res</t>
        </is>
      </c>
      <c r="B523" s="14" t="inlineStr">
        <is>
          <t>KOR</t>
        </is>
      </c>
      <c r="C523" s="14" t="inlineStr">
        <is>
          <t>ees.res</t>
        </is>
      </c>
      <c r="D523" s="14" t="n">
        <v>0.894151</v>
      </c>
      <c r="E523" s="14" t="n">
        <v>0.901193</v>
      </c>
      <c r="F523" s="14" t="n">
        <v>0.901355</v>
      </c>
      <c r="G523" s="14" t="n">
        <v>0.901355</v>
      </c>
      <c r="H523" s="14" t="n">
        <v>0.901355</v>
      </c>
    </row>
    <row r="524">
      <c r="A524" s="14" t="inlineStr">
        <is>
          <t>KOR|ees.trs</t>
        </is>
      </c>
      <c r="B524" s="14" t="inlineStr">
        <is>
          <t>KOR</t>
        </is>
      </c>
      <c r="C524" s="14" t="inlineStr">
        <is>
          <t>ees.trs</t>
        </is>
      </c>
      <c r="D524" s="14" t="n">
        <v>0.894151</v>
      </c>
      <c r="E524" s="14" t="n">
        <v>0.901193</v>
      </c>
      <c r="F524" s="14" t="n">
        <v>0.901355</v>
      </c>
      <c r="G524" s="14" t="n">
        <v>0.901355</v>
      </c>
      <c r="H524" s="14" t="n">
        <v>0.901355</v>
      </c>
    </row>
    <row r="525">
      <c r="A525" s="14" t="inlineStr">
        <is>
          <t>LIE|ecf.coa</t>
        </is>
      </c>
      <c r="B525" s="14" t="inlineStr">
        <is>
          <t>LIE</t>
        </is>
      </c>
      <c r="C525" s="14" t="inlineStr">
        <is>
          <t>ecf.coa</t>
        </is>
      </c>
      <c r="D525" s="14" t="n">
        <v>1</v>
      </c>
      <c r="E525" s="14" t="n">
        <v>1</v>
      </c>
      <c r="F525" s="14" t="n">
        <v>1</v>
      </c>
      <c r="G525" s="14" t="n">
        <v>1</v>
      </c>
      <c r="H525" s="14" t="n">
        <v>1</v>
      </c>
    </row>
    <row r="526">
      <c r="A526" s="14" t="inlineStr">
        <is>
          <t>LIE|ecf.die</t>
        </is>
      </c>
      <c r="B526" s="14" t="inlineStr">
        <is>
          <t>LIE</t>
        </is>
      </c>
      <c r="C526" s="14" t="inlineStr">
        <is>
          <t>ecf.die</t>
        </is>
      </c>
      <c r="D526" s="14" t="n">
        <v>1</v>
      </c>
      <c r="E526" s="14" t="n">
        <v>1</v>
      </c>
      <c r="F526" s="14" t="n">
        <v>1</v>
      </c>
      <c r="G526" s="14" t="n">
        <v>1</v>
      </c>
      <c r="H526" s="14" t="n">
        <v>1</v>
      </c>
    </row>
    <row r="527">
      <c r="A527" s="14" t="inlineStr">
        <is>
          <t>LIE|ecf.gso</t>
        </is>
      </c>
      <c r="B527" s="14" t="inlineStr">
        <is>
          <t>LIE</t>
        </is>
      </c>
      <c r="C527" s="14" t="inlineStr">
        <is>
          <t>ecf.gso</t>
        </is>
      </c>
      <c r="D527" s="14" t="n">
        <v>1</v>
      </c>
      <c r="E527" s="14" t="n">
        <v>1</v>
      </c>
      <c r="F527" s="14" t="n">
        <v>1</v>
      </c>
      <c r="G527" s="14" t="n">
        <v>1</v>
      </c>
      <c r="H527" s="14" t="n">
        <v>1</v>
      </c>
    </row>
    <row r="528">
      <c r="A528" s="14" t="inlineStr">
        <is>
          <t>LIE|ecf.ker</t>
        </is>
      </c>
      <c r="B528" s="14" t="inlineStr">
        <is>
          <t>LIE</t>
        </is>
      </c>
      <c r="C528" s="14" t="inlineStr">
        <is>
          <t>ecf.ker</t>
        </is>
      </c>
      <c r="D528" s="14" t="n">
        <v>1</v>
      </c>
      <c r="E528" s="14" t="n">
        <v>1</v>
      </c>
      <c r="F528" s="14" t="n">
        <v>1</v>
      </c>
      <c r="G528" s="14" t="n">
        <v>1</v>
      </c>
      <c r="H528" s="14" t="n">
        <v>1</v>
      </c>
    </row>
    <row r="529">
      <c r="A529" s="14" t="inlineStr">
        <is>
          <t>LIE|ecf.lpg</t>
        </is>
      </c>
      <c r="B529" s="14" t="inlineStr">
        <is>
          <t>LIE</t>
        </is>
      </c>
      <c r="C529" s="14" t="inlineStr">
        <is>
          <t>ecf.lpg</t>
        </is>
      </c>
      <c r="D529" s="14" t="n">
        <v>1</v>
      </c>
      <c r="E529" s="14" t="n">
        <v>1</v>
      </c>
      <c r="F529" s="14" t="n">
        <v>1</v>
      </c>
      <c r="G529" s="14" t="n">
        <v>1</v>
      </c>
      <c r="H529" s="14" t="n">
        <v>1</v>
      </c>
    </row>
    <row r="530">
      <c r="A530" s="14" t="inlineStr">
        <is>
          <t>LIE|ecf.nga</t>
        </is>
      </c>
      <c r="B530" s="14" t="inlineStr">
        <is>
          <t>LIE</t>
        </is>
      </c>
      <c r="C530" s="14" t="inlineStr">
        <is>
          <t>ecf.nga</t>
        </is>
      </c>
      <c r="D530" s="14" t="n">
        <v>1</v>
      </c>
      <c r="E530" s="14" t="n">
        <v>1</v>
      </c>
      <c r="F530" s="14" t="n">
        <v>1</v>
      </c>
      <c r="G530" s="14" t="n">
        <v>1</v>
      </c>
      <c r="H530" s="14" t="n">
        <v>1</v>
      </c>
    </row>
    <row r="531">
      <c r="A531" s="14" t="inlineStr">
        <is>
          <t>LIE|ecf.oop</t>
        </is>
      </c>
      <c r="B531" s="14" t="inlineStr">
        <is>
          <t>LIE</t>
        </is>
      </c>
      <c r="C531" s="14" t="inlineStr">
        <is>
          <t>ecf.oop</t>
        </is>
      </c>
      <c r="D531" s="14" t="n">
        <v>1</v>
      </c>
      <c r="E531" s="14" t="n">
        <v>1</v>
      </c>
      <c r="F531" s="14" t="n">
        <v>1</v>
      </c>
      <c r="G531" s="14" t="n">
        <v>1</v>
      </c>
      <c r="H531" s="14" t="n">
        <v>1</v>
      </c>
    </row>
    <row r="532">
      <c r="A532" s="14" t="inlineStr">
        <is>
          <t>LIE|ecr.all</t>
        </is>
      </c>
      <c r="B532" s="14" t="inlineStr">
        <is>
          <t>LIE</t>
        </is>
      </c>
      <c r="C532" s="14" t="inlineStr">
        <is>
          <t>ecr.all</t>
        </is>
      </c>
      <c r="D532" s="14" t="n">
        <v>101.474552</v>
      </c>
      <c r="E532" s="14" t="n">
        <v>129.856076</v>
      </c>
      <c r="F532" s="14" t="n">
        <v>130.811577</v>
      </c>
      <c r="G532" s="14" t="n">
        <v>132.122213</v>
      </c>
      <c r="H532" s="14" t="n">
        <v>136.038998</v>
      </c>
    </row>
    <row r="533">
      <c r="A533" s="14" t="inlineStr">
        <is>
          <t>LIE|ecs.res</t>
        </is>
      </c>
      <c r="B533" s="14" t="inlineStr">
        <is>
          <t>LIE</t>
        </is>
      </c>
      <c r="C533" s="14" t="inlineStr">
        <is>
          <t>ecs.res</t>
        </is>
      </c>
      <c r="D533" s="14" t="n">
        <v>0.901793</v>
      </c>
      <c r="E533" s="14" t="n">
        <v>0.901542</v>
      </c>
      <c r="F533" s="14" t="n">
        <v>0.901285</v>
      </c>
      <c r="G533" s="14" t="n">
        <v>0.901285</v>
      </c>
      <c r="H533" s="14" t="n">
        <v>0.901285</v>
      </c>
    </row>
    <row r="534">
      <c r="A534" s="14" t="inlineStr">
        <is>
          <t>LIE|ecs.trs</t>
        </is>
      </c>
      <c r="B534" s="14" t="inlineStr">
        <is>
          <t>LIE</t>
        </is>
      </c>
      <c r="C534" s="14" t="inlineStr">
        <is>
          <t>ecs.trs</t>
        </is>
      </c>
      <c r="D534" s="14" t="n">
        <v>0.901793</v>
      </c>
      <c r="E534" s="14" t="n">
        <v>0.901542</v>
      </c>
      <c r="F534" s="14" t="n">
        <v>0.901285</v>
      </c>
      <c r="G534" s="14" t="n">
        <v>0.901285</v>
      </c>
      <c r="H534" s="14" t="n">
        <v>0.901285</v>
      </c>
    </row>
    <row r="535">
      <c r="A535" s="14" t="inlineStr">
        <is>
          <t>LIE|eef.bio</t>
        </is>
      </c>
      <c r="B535" s="14" t="inlineStr">
        <is>
          <t>LIE</t>
        </is>
      </c>
      <c r="C535" s="14" t="inlineStr">
        <is>
          <t>eef.bio</t>
        </is>
      </c>
      <c r="D535" s="14" t="n">
        <v>0</v>
      </c>
      <c r="E535" s="14" t="n">
        <v>1</v>
      </c>
      <c r="F535" s="14" t="n">
        <v>1</v>
      </c>
      <c r="G535" s="14" t="n">
        <v>1</v>
      </c>
      <c r="H535" s="14" t="n">
        <v>1</v>
      </c>
    </row>
    <row r="536">
      <c r="A536" s="14" t="inlineStr">
        <is>
          <t>LIE|eef.coa</t>
        </is>
      </c>
      <c r="B536" s="14" t="inlineStr">
        <is>
          <t>LIE</t>
        </is>
      </c>
      <c r="C536" s="14" t="inlineStr">
        <is>
          <t>eef.coa</t>
        </is>
      </c>
      <c r="D536" s="14" t="n">
        <v>1</v>
      </c>
      <c r="E536" s="14" t="n">
        <v>1</v>
      </c>
      <c r="F536" s="14" t="n">
        <v>1</v>
      </c>
      <c r="G536" s="14" t="n">
        <v>1</v>
      </c>
      <c r="H536" s="14" t="n">
        <v>1</v>
      </c>
    </row>
    <row r="537">
      <c r="A537" s="14" t="inlineStr">
        <is>
          <t>LIE|eef.die</t>
        </is>
      </c>
      <c r="B537" s="14" t="inlineStr">
        <is>
          <t>LIE</t>
        </is>
      </c>
      <c r="C537" s="14" t="inlineStr">
        <is>
          <t>eef.die</t>
        </is>
      </c>
      <c r="D537" s="14" t="n">
        <v>1</v>
      </c>
      <c r="E537" s="14" t="n">
        <v>1</v>
      </c>
      <c r="F537" s="14" t="n">
        <v>1</v>
      </c>
      <c r="G537" s="14" t="n">
        <v>1</v>
      </c>
      <c r="H537" s="14" t="n">
        <v>1</v>
      </c>
    </row>
    <row r="538">
      <c r="A538" s="14" t="inlineStr">
        <is>
          <t>LIE|eef.gso</t>
        </is>
      </c>
      <c r="B538" s="14" t="inlineStr">
        <is>
          <t>LIE</t>
        </is>
      </c>
      <c r="C538" s="14" t="inlineStr">
        <is>
          <t>eef.gso</t>
        </is>
      </c>
      <c r="D538" s="14" t="n">
        <v>1</v>
      </c>
      <c r="E538" s="14" t="n">
        <v>1</v>
      </c>
      <c r="F538" s="14" t="n">
        <v>1</v>
      </c>
      <c r="G538" s="14" t="n">
        <v>1</v>
      </c>
      <c r="H538" s="14" t="n">
        <v>1</v>
      </c>
    </row>
    <row r="539">
      <c r="A539" s="14" t="inlineStr">
        <is>
          <t>LIE|eef.jfu</t>
        </is>
      </c>
      <c r="B539" s="14" t="inlineStr">
        <is>
          <t>LIE</t>
        </is>
      </c>
      <c r="C539" s="14" t="inlineStr">
        <is>
          <t>eef.jfu</t>
        </is>
      </c>
      <c r="D539" s="14" t="n">
        <v>1</v>
      </c>
      <c r="E539" s="14" t="n">
        <v>1</v>
      </c>
      <c r="F539" s="14" t="n">
        <v>1</v>
      </c>
      <c r="G539" s="14" t="n">
        <v>1</v>
      </c>
      <c r="H539" s="14" t="n">
        <v>1</v>
      </c>
    </row>
    <row r="540">
      <c r="A540" s="14" t="inlineStr">
        <is>
          <t>LIE|eef.ker</t>
        </is>
      </c>
      <c r="B540" s="14" t="inlineStr">
        <is>
          <t>LIE</t>
        </is>
      </c>
      <c r="C540" s="14" t="inlineStr">
        <is>
          <t>eef.ker</t>
        </is>
      </c>
      <c r="D540" s="14" t="n">
        <v>1</v>
      </c>
      <c r="E540" s="14" t="n">
        <v>1</v>
      </c>
      <c r="F540" s="14" t="n">
        <v>1</v>
      </c>
      <c r="G540" s="14" t="n">
        <v>1</v>
      </c>
      <c r="H540" s="14" t="n">
        <v>1</v>
      </c>
    </row>
    <row r="541">
      <c r="A541" s="14" t="inlineStr">
        <is>
          <t>LIE|eef.lpg</t>
        </is>
      </c>
      <c r="B541" s="14" t="inlineStr">
        <is>
          <t>LIE</t>
        </is>
      </c>
      <c r="C541" s="14" t="inlineStr">
        <is>
          <t>eef.lpg</t>
        </is>
      </c>
      <c r="D541" s="14" t="n">
        <v>1</v>
      </c>
      <c r="E541" s="14" t="n">
        <v>1</v>
      </c>
      <c r="F541" s="14" t="n">
        <v>1</v>
      </c>
      <c r="G541" s="14" t="n">
        <v>1</v>
      </c>
      <c r="H541" s="14" t="n">
        <v>1</v>
      </c>
    </row>
    <row r="542">
      <c r="A542" s="14" t="inlineStr">
        <is>
          <t>LIE|eef.nga</t>
        </is>
      </c>
      <c r="B542" s="14" t="inlineStr">
        <is>
          <t>LIE</t>
        </is>
      </c>
      <c r="C542" s="14" t="inlineStr">
        <is>
          <t>eef.nga</t>
        </is>
      </c>
      <c r="D542" s="14" t="n">
        <v>1</v>
      </c>
      <c r="E542" s="14" t="n">
        <v>1</v>
      </c>
      <c r="F542" s="14" t="n">
        <v>1</v>
      </c>
      <c r="G542" s="14" t="n">
        <v>1</v>
      </c>
      <c r="H542" s="14" t="n">
        <v>1</v>
      </c>
    </row>
    <row r="543">
      <c r="A543" s="14" t="inlineStr">
        <is>
          <t>LIE|eef.oop</t>
        </is>
      </c>
      <c r="B543" s="14" t="inlineStr">
        <is>
          <t>LIE</t>
        </is>
      </c>
      <c r="C543" s="14" t="inlineStr">
        <is>
          <t>eef.oop</t>
        </is>
      </c>
      <c r="D543" s="14" t="n">
        <v>1</v>
      </c>
      <c r="E543" s="14" t="n">
        <v>1</v>
      </c>
      <c r="F543" s="14" t="n">
        <v>1</v>
      </c>
      <c r="G543" s="14" t="n">
        <v>1</v>
      </c>
      <c r="H543" s="14" t="n">
        <v>1</v>
      </c>
    </row>
    <row r="544">
      <c r="A544" s="14" t="inlineStr">
        <is>
          <t>LIE|eer.all</t>
        </is>
      </c>
      <c r="B544" s="14" t="inlineStr">
        <is>
          <t>LIE</t>
        </is>
      </c>
      <c r="C544" s="14" t="inlineStr">
        <is>
          <t>eer.all</t>
        </is>
      </c>
      <c r="D544" s="14" t="n">
        <v>49.779548</v>
      </c>
      <c r="E544" s="14" t="n">
        <v>86.52610799999999</v>
      </c>
      <c r="F544" s="14" t="n">
        <v>96.298125</v>
      </c>
      <c r="G544" s="14" t="n">
        <v>61.301547</v>
      </c>
      <c r="H544" s="14" t="n">
        <v>70.370124</v>
      </c>
    </row>
    <row r="545">
      <c r="A545" s="14" t="inlineStr">
        <is>
          <t>LIE|ees.ind</t>
        </is>
      </c>
      <c r="B545" s="14" t="inlineStr">
        <is>
          <t>LIE</t>
        </is>
      </c>
      <c r="C545" s="14" t="inlineStr">
        <is>
          <t>ees.ind</t>
        </is>
      </c>
      <c r="D545" s="14" t="n">
        <v>1</v>
      </c>
      <c r="E545" s="14" t="n">
        <v>1</v>
      </c>
      <c r="F545" s="14" t="n">
        <v>1</v>
      </c>
      <c r="G545" s="14" t="n">
        <v>1</v>
      </c>
      <c r="H545" s="14" t="n">
        <v>1</v>
      </c>
    </row>
    <row r="546">
      <c r="A546" s="14" t="inlineStr">
        <is>
          <t>LIE|ees.pow</t>
        </is>
      </c>
      <c r="B546" s="14" t="inlineStr">
        <is>
          <t>LIE</t>
        </is>
      </c>
      <c r="C546" s="14" t="inlineStr">
        <is>
          <t>ees.pow</t>
        </is>
      </c>
      <c r="D546" s="14" t="n">
        <v>1</v>
      </c>
      <c r="E546" s="14" t="n">
        <v>1</v>
      </c>
      <c r="F546" s="14" t="n">
        <v>1</v>
      </c>
      <c r="G546" s="14" t="n">
        <v>1</v>
      </c>
      <c r="H546" s="14" t="n">
        <v>1</v>
      </c>
    </row>
    <row r="547">
      <c r="A547" s="14" t="inlineStr">
        <is>
          <t>LTU|eef.bio</t>
        </is>
      </c>
      <c r="B547" s="14" t="inlineStr">
        <is>
          <t>LTU</t>
        </is>
      </c>
      <c r="C547" s="14" t="inlineStr">
        <is>
          <t>eef.bio</t>
        </is>
      </c>
      <c r="D547" s="14" t="n">
        <v>0</v>
      </c>
      <c r="E547" s="14" t="n">
        <v>1</v>
      </c>
      <c r="F547" s="14" t="n">
        <v>1</v>
      </c>
      <c r="G547" s="14" t="n">
        <v>1</v>
      </c>
      <c r="H547" s="14" t="n">
        <v>1</v>
      </c>
    </row>
    <row r="548">
      <c r="A548" s="14" t="inlineStr">
        <is>
          <t>LTU|eef.coa</t>
        </is>
      </c>
      <c r="B548" s="14" t="inlineStr">
        <is>
          <t>LTU</t>
        </is>
      </c>
      <c r="C548" s="14" t="inlineStr">
        <is>
          <t>eef.coa</t>
        </is>
      </c>
      <c r="D548" s="14" t="n">
        <v>1</v>
      </c>
      <c r="E548" s="14" t="n">
        <v>1</v>
      </c>
      <c r="F548" s="14" t="n">
        <v>1</v>
      </c>
      <c r="G548" s="14" t="n">
        <v>1</v>
      </c>
      <c r="H548" s="14" t="n">
        <v>1</v>
      </c>
    </row>
    <row r="549">
      <c r="A549" s="14" t="inlineStr">
        <is>
          <t>LTU|eef.die</t>
        </is>
      </c>
      <c r="B549" s="14" t="inlineStr">
        <is>
          <t>LTU</t>
        </is>
      </c>
      <c r="C549" s="14" t="inlineStr">
        <is>
          <t>eef.die</t>
        </is>
      </c>
      <c r="D549" s="14" t="n">
        <v>1</v>
      </c>
      <c r="E549" s="14" t="n">
        <v>1</v>
      </c>
      <c r="F549" s="14" t="n">
        <v>1</v>
      </c>
      <c r="G549" s="14" t="n">
        <v>1</v>
      </c>
      <c r="H549" s="14" t="n">
        <v>1</v>
      </c>
    </row>
    <row r="550">
      <c r="A550" s="14" t="inlineStr">
        <is>
          <t>LTU|eef.gso</t>
        </is>
      </c>
      <c r="B550" s="14" t="inlineStr">
        <is>
          <t>LTU</t>
        </is>
      </c>
      <c r="C550" s="14" t="inlineStr">
        <is>
          <t>eef.gso</t>
        </is>
      </c>
      <c r="D550" s="14" t="n">
        <v>1</v>
      </c>
      <c r="E550" s="14" t="n">
        <v>1</v>
      </c>
      <c r="F550" s="14" t="n">
        <v>1</v>
      </c>
      <c r="G550" s="14" t="n">
        <v>1</v>
      </c>
      <c r="H550" s="14" t="n">
        <v>1</v>
      </c>
    </row>
    <row r="551">
      <c r="A551" s="14" t="inlineStr">
        <is>
          <t>LTU|eef.jfu</t>
        </is>
      </c>
      <c r="B551" s="14" t="inlineStr">
        <is>
          <t>LTU</t>
        </is>
      </c>
      <c r="C551" s="14" t="inlineStr">
        <is>
          <t>eef.jfu</t>
        </is>
      </c>
      <c r="D551" s="14" t="n">
        <v>1</v>
      </c>
      <c r="E551" s="14" t="n">
        <v>1</v>
      </c>
      <c r="F551" s="14" t="n">
        <v>1</v>
      </c>
      <c r="G551" s="14" t="n">
        <v>1</v>
      </c>
      <c r="H551" s="14" t="n">
        <v>1</v>
      </c>
    </row>
    <row r="552">
      <c r="A552" s="14" t="inlineStr">
        <is>
          <t>LTU|eef.ker</t>
        </is>
      </c>
      <c r="B552" s="14" t="inlineStr">
        <is>
          <t>LTU</t>
        </is>
      </c>
      <c r="C552" s="14" t="inlineStr">
        <is>
          <t>eef.ker</t>
        </is>
      </c>
      <c r="D552" s="14" t="n">
        <v>1</v>
      </c>
      <c r="E552" s="14" t="n">
        <v>1</v>
      </c>
      <c r="F552" s="14" t="n">
        <v>1</v>
      </c>
      <c r="G552" s="14" t="n">
        <v>1</v>
      </c>
      <c r="H552" s="14" t="n">
        <v>1</v>
      </c>
    </row>
    <row r="553">
      <c r="A553" s="14" t="inlineStr">
        <is>
          <t>LTU|eef.lpg</t>
        </is>
      </c>
      <c r="B553" s="14" t="inlineStr">
        <is>
          <t>LTU</t>
        </is>
      </c>
      <c r="C553" s="14" t="inlineStr">
        <is>
          <t>eef.lpg</t>
        </is>
      </c>
      <c r="D553" s="14" t="n">
        <v>1</v>
      </c>
      <c r="E553" s="14" t="n">
        <v>1</v>
      </c>
      <c r="F553" s="14" t="n">
        <v>1</v>
      </c>
      <c r="G553" s="14" t="n">
        <v>1</v>
      </c>
      <c r="H553" s="14" t="n">
        <v>1</v>
      </c>
    </row>
    <row r="554">
      <c r="A554" s="14" t="inlineStr">
        <is>
          <t>LTU|eef.nga</t>
        </is>
      </c>
      <c r="B554" s="14" t="inlineStr">
        <is>
          <t>LTU</t>
        </is>
      </c>
      <c r="C554" s="14" t="inlineStr">
        <is>
          <t>eef.nga</t>
        </is>
      </c>
      <c r="D554" s="14" t="n">
        <v>1</v>
      </c>
      <c r="E554" s="14" t="n">
        <v>1</v>
      </c>
      <c r="F554" s="14" t="n">
        <v>1</v>
      </c>
      <c r="G554" s="14" t="n">
        <v>1</v>
      </c>
      <c r="H554" s="14" t="n">
        <v>1</v>
      </c>
    </row>
    <row r="555">
      <c r="A555" s="14" t="inlineStr">
        <is>
          <t>LTU|eef.oop</t>
        </is>
      </c>
      <c r="B555" s="14" t="inlineStr">
        <is>
          <t>LTU</t>
        </is>
      </c>
      <c r="C555" s="14" t="inlineStr">
        <is>
          <t>eef.oop</t>
        </is>
      </c>
      <c r="D555" s="14" t="n">
        <v>1</v>
      </c>
      <c r="E555" s="14" t="n">
        <v>1</v>
      </c>
      <c r="F555" s="14" t="n">
        <v>1</v>
      </c>
      <c r="G555" s="14" t="n">
        <v>1</v>
      </c>
      <c r="H555" s="14" t="n">
        <v>1</v>
      </c>
    </row>
    <row r="556">
      <c r="A556" s="14" t="inlineStr">
        <is>
          <t>LTU|eer.all</t>
        </is>
      </c>
      <c r="B556" s="14" t="inlineStr">
        <is>
          <t>LTU</t>
        </is>
      </c>
      <c r="C556" s="14" t="inlineStr">
        <is>
          <t>eer.all</t>
        </is>
      </c>
      <c r="D556" s="14" t="n">
        <v>49.779548</v>
      </c>
      <c r="E556" s="14" t="n">
        <v>86.52610799999999</v>
      </c>
      <c r="F556" s="14" t="n">
        <v>96.298125</v>
      </c>
      <c r="G556" s="14" t="n">
        <v>61.301547</v>
      </c>
      <c r="H556" s="14" t="n">
        <v>70.370124</v>
      </c>
    </row>
    <row r="557">
      <c r="A557" s="14" t="inlineStr">
        <is>
          <t>LTU|ees.ind</t>
        </is>
      </c>
      <c r="B557" s="14" t="inlineStr">
        <is>
          <t>LTU</t>
        </is>
      </c>
      <c r="C557" s="14" t="inlineStr">
        <is>
          <t>ees.ind</t>
        </is>
      </c>
      <c r="D557" s="14" t="n">
        <v>0.817341</v>
      </c>
      <c r="E557" s="14" t="n">
        <v>0.936716</v>
      </c>
      <c r="F557" s="14" t="n">
        <v>0.892641</v>
      </c>
      <c r="G557" s="14" t="n">
        <v>0.701353</v>
      </c>
      <c r="H557" s="14" t="n">
        <v>0.701353</v>
      </c>
    </row>
    <row r="558">
      <c r="A558" s="14" t="inlineStr">
        <is>
          <t>LTU|ees.pow</t>
        </is>
      </c>
      <c r="B558" s="14" t="inlineStr">
        <is>
          <t>LTU</t>
        </is>
      </c>
      <c r="C558" s="14" t="inlineStr">
        <is>
          <t>ees.pow</t>
        </is>
      </c>
      <c r="D558" s="14" t="n">
        <v>0.5470120000000001</v>
      </c>
      <c r="E558" s="14" t="n">
        <v>0.768931</v>
      </c>
      <c r="F558" s="14" t="n">
        <v>0.6913550000000001</v>
      </c>
      <c r="G558" s="14" t="n">
        <v>0.597075</v>
      </c>
      <c r="H558" s="14" t="n">
        <v>0.597075</v>
      </c>
    </row>
    <row r="559">
      <c r="A559" s="14" t="inlineStr">
        <is>
          <t>LUX|ecf.coa</t>
        </is>
      </c>
      <c r="B559" s="14" t="inlineStr">
        <is>
          <t>LUX</t>
        </is>
      </c>
      <c r="C559" s="14" t="inlineStr">
        <is>
          <t>ecf.coa</t>
        </is>
      </c>
      <c r="D559" s="14" t="n">
        <v>1</v>
      </c>
      <c r="E559" s="14" t="n">
        <v>1</v>
      </c>
      <c r="F559" s="14" t="n">
        <v>1</v>
      </c>
      <c r="G559" s="14" t="n">
        <v>1</v>
      </c>
      <c r="H559" s="14" t="n">
        <v>1</v>
      </c>
    </row>
    <row r="560">
      <c r="A560" s="14" t="inlineStr">
        <is>
          <t>LUX|ecf.die</t>
        </is>
      </c>
      <c r="B560" s="14" t="inlineStr">
        <is>
          <t>LUX</t>
        </is>
      </c>
      <c r="C560" s="14" t="inlineStr">
        <is>
          <t>ecf.die</t>
        </is>
      </c>
      <c r="D560" s="14" t="n">
        <v>1</v>
      </c>
      <c r="E560" s="14" t="n">
        <v>1</v>
      </c>
      <c r="F560" s="14" t="n">
        <v>1</v>
      </c>
      <c r="G560" s="14" t="n">
        <v>1</v>
      </c>
      <c r="H560" s="14" t="n">
        <v>1</v>
      </c>
    </row>
    <row r="561">
      <c r="A561" s="14" t="inlineStr">
        <is>
          <t>LUX|ecf.gso</t>
        </is>
      </c>
      <c r="B561" s="14" t="inlineStr">
        <is>
          <t>LUX</t>
        </is>
      </c>
      <c r="C561" s="14" t="inlineStr">
        <is>
          <t>ecf.gso</t>
        </is>
      </c>
      <c r="D561" s="14" t="n">
        <v>1</v>
      </c>
      <c r="E561" s="14" t="n">
        <v>1</v>
      </c>
      <c r="F561" s="14" t="n">
        <v>1</v>
      </c>
      <c r="G561" s="14" t="n">
        <v>1</v>
      </c>
      <c r="H561" s="14" t="n">
        <v>1</v>
      </c>
    </row>
    <row r="562">
      <c r="A562" s="14" t="inlineStr">
        <is>
          <t>LUX|ecf.ker</t>
        </is>
      </c>
      <c r="B562" s="14" t="inlineStr">
        <is>
          <t>LUX</t>
        </is>
      </c>
      <c r="C562" s="14" t="inlineStr">
        <is>
          <t>ecf.ker</t>
        </is>
      </c>
      <c r="D562" s="14" t="n">
        <v>1</v>
      </c>
      <c r="E562" s="14" t="n">
        <v>1</v>
      </c>
      <c r="F562" s="14" t="n">
        <v>1</v>
      </c>
      <c r="G562" s="14" t="n">
        <v>1</v>
      </c>
      <c r="H562" s="14" t="n">
        <v>1</v>
      </c>
    </row>
    <row r="563">
      <c r="A563" s="14" t="inlineStr">
        <is>
          <t>LUX|ecf.lpg</t>
        </is>
      </c>
      <c r="B563" s="14" t="inlineStr">
        <is>
          <t>LUX</t>
        </is>
      </c>
      <c r="C563" s="14" t="inlineStr">
        <is>
          <t>ecf.lpg</t>
        </is>
      </c>
      <c r="D563" s="14" t="n">
        <v>1</v>
      </c>
      <c r="E563" s="14" t="n">
        <v>1</v>
      </c>
      <c r="F563" s="14" t="n">
        <v>1</v>
      </c>
      <c r="G563" s="14" t="n">
        <v>1</v>
      </c>
      <c r="H563" s="14" t="n">
        <v>1</v>
      </c>
    </row>
    <row r="564">
      <c r="A564" s="14" t="inlineStr">
        <is>
          <t>LUX|ecf.nga</t>
        </is>
      </c>
      <c r="B564" s="14" t="inlineStr">
        <is>
          <t>LUX</t>
        </is>
      </c>
      <c r="C564" s="14" t="inlineStr">
        <is>
          <t>ecf.nga</t>
        </is>
      </c>
      <c r="D564" s="14" t="n">
        <v>1</v>
      </c>
      <c r="E564" s="14" t="n">
        <v>1</v>
      </c>
      <c r="F564" s="14" t="n">
        <v>1</v>
      </c>
      <c r="G564" s="14" t="n">
        <v>1</v>
      </c>
      <c r="H564" s="14" t="n">
        <v>1</v>
      </c>
    </row>
    <row r="565">
      <c r="A565" s="14" t="inlineStr">
        <is>
          <t>LUX|ecf.oop</t>
        </is>
      </c>
      <c r="B565" s="14" t="inlineStr">
        <is>
          <t>LUX</t>
        </is>
      </c>
      <c r="C565" s="14" t="inlineStr">
        <is>
          <t>ecf.oop</t>
        </is>
      </c>
      <c r="D565" s="14" t="n">
        <v>1</v>
      </c>
      <c r="E565" s="14" t="n">
        <v>1</v>
      </c>
      <c r="F565" s="14" t="n">
        <v>1</v>
      </c>
      <c r="G565" s="14" t="n">
        <v>1</v>
      </c>
      <c r="H565" s="14" t="n">
        <v>1</v>
      </c>
    </row>
    <row r="566">
      <c r="A566" s="14" t="inlineStr">
        <is>
          <t>LUX|ecr.all</t>
        </is>
      </c>
      <c r="B566" s="14" t="inlineStr">
        <is>
          <t>LUX</t>
        </is>
      </c>
      <c r="C566" s="14" t="inlineStr">
        <is>
          <t>ecr.all</t>
        </is>
      </c>
      <c r="D566" s="14" t="n">
        <v>40.124336</v>
      </c>
      <c r="E566" s="14" t="n">
        <v>41.759982</v>
      </c>
      <c r="F566" s="14" t="n">
        <v>46.555875</v>
      </c>
      <c r="G566" s="14" t="n">
        <v>51.433965</v>
      </c>
      <c r="H566" s="14" t="n">
        <v>58.546476</v>
      </c>
    </row>
    <row r="567">
      <c r="A567" s="14" t="inlineStr">
        <is>
          <t>LUX|ecr.die</t>
        </is>
      </c>
      <c r="B567" s="14" t="inlineStr">
        <is>
          <t>LUX</t>
        </is>
      </c>
      <c r="C567" s="14" t="inlineStr">
        <is>
          <t>ecr.die</t>
        </is>
      </c>
      <c r="D567" s="14" t="n">
        <v>40.124336</v>
      </c>
      <c r="E567" s="14" t="n">
        <v>40.17402</v>
      </c>
      <c r="F567" s="14" t="n">
        <v>48.111</v>
      </c>
      <c r="G567" s="14" t="n">
        <v>52.960323</v>
      </c>
      <c r="H567" s="14" t="n">
        <v>58.546476</v>
      </c>
    </row>
    <row r="568">
      <c r="A568" s="14" t="inlineStr">
        <is>
          <t>LUX|ecr.gso</t>
        </is>
      </c>
      <c r="B568" s="14" t="inlineStr">
        <is>
          <t>LUX</t>
        </is>
      </c>
      <c r="C568" s="14" t="inlineStr">
        <is>
          <t>ecr.gso</t>
        </is>
      </c>
      <c r="D568" s="14" t="n">
        <v>40.124336</v>
      </c>
      <c r="E568" s="14" t="n">
        <v>43.345944</v>
      </c>
      <c r="F568" s="14" t="n">
        <v>45.00075</v>
      </c>
      <c r="G568" s="14" t="n">
        <v>49.907607</v>
      </c>
      <c r="H568" s="14" t="n">
        <v>58.546476</v>
      </c>
    </row>
    <row r="569">
      <c r="A569" s="14" t="inlineStr">
        <is>
          <t>LUX|ecs.res</t>
        </is>
      </c>
      <c r="B569" s="14" t="inlineStr">
        <is>
          <t>LUX</t>
        </is>
      </c>
      <c r="C569" s="14" t="inlineStr">
        <is>
          <t>ecs.res</t>
        </is>
      </c>
      <c r="D569" s="14" t="n">
        <v>0.812713</v>
      </c>
      <c r="E569" s="14" t="n">
        <v>0.8207989999999999</v>
      </c>
      <c r="F569" s="14" t="n">
        <v>0.823456</v>
      </c>
      <c r="G569" s="14" t="n">
        <v>0.823456</v>
      </c>
      <c r="H569" s="14" t="n">
        <v>0.823456</v>
      </c>
    </row>
    <row r="570">
      <c r="A570" s="14" t="inlineStr">
        <is>
          <t>LUX|ecs.trs</t>
        </is>
      </c>
      <c r="B570" s="14" t="inlineStr">
        <is>
          <t>LUX</t>
        </is>
      </c>
      <c r="C570" s="14" t="inlineStr">
        <is>
          <t>ecs.trs</t>
        </is>
      </c>
      <c r="D570" s="14" t="n">
        <v>0.812713</v>
      </c>
      <c r="E570" s="14" t="n">
        <v>0.8207989999999999</v>
      </c>
      <c r="F570" s="14" t="n">
        <v>0.823456</v>
      </c>
      <c r="G570" s="14" t="n">
        <v>0.823456</v>
      </c>
      <c r="H570" s="14" t="n">
        <v>0.823456</v>
      </c>
    </row>
    <row r="571">
      <c r="A571" s="14" t="inlineStr">
        <is>
          <t>LUX|eef.bio</t>
        </is>
      </c>
      <c r="B571" s="14" t="inlineStr">
        <is>
          <t>LUX</t>
        </is>
      </c>
      <c r="C571" s="14" t="inlineStr">
        <is>
          <t>eef.bio</t>
        </is>
      </c>
      <c r="D571" s="14" t="n">
        <v>0</v>
      </c>
      <c r="E571" s="14" t="n">
        <v>1</v>
      </c>
      <c r="F571" s="14" t="n">
        <v>1</v>
      </c>
      <c r="G571" s="14" t="n">
        <v>1</v>
      </c>
      <c r="H571" s="14" t="n">
        <v>1</v>
      </c>
    </row>
    <row r="572">
      <c r="A572" s="14" t="inlineStr">
        <is>
          <t>LUX|eef.coa</t>
        </is>
      </c>
      <c r="B572" s="14" t="inlineStr">
        <is>
          <t>LUX</t>
        </is>
      </c>
      <c r="C572" s="14" t="inlineStr">
        <is>
          <t>eef.coa</t>
        </is>
      </c>
      <c r="D572" s="14" t="n">
        <v>1</v>
      </c>
      <c r="E572" s="14" t="n">
        <v>1</v>
      </c>
      <c r="F572" s="14" t="n">
        <v>1</v>
      </c>
      <c r="G572" s="14" t="n">
        <v>1</v>
      </c>
      <c r="H572" s="14" t="n">
        <v>1</v>
      </c>
    </row>
    <row r="573">
      <c r="A573" s="14" t="inlineStr">
        <is>
          <t>LUX|eef.die</t>
        </is>
      </c>
      <c r="B573" s="14" t="inlineStr">
        <is>
          <t>LUX</t>
        </is>
      </c>
      <c r="C573" s="14" t="inlineStr">
        <is>
          <t>eef.die</t>
        </is>
      </c>
      <c r="D573" s="14" t="n">
        <v>1</v>
      </c>
      <c r="E573" s="14" t="n">
        <v>1</v>
      </c>
      <c r="F573" s="14" t="n">
        <v>1</v>
      </c>
      <c r="G573" s="14" t="n">
        <v>1</v>
      </c>
      <c r="H573" s="14" t="n">
        <v>1</v>
      </c>
    </row>
    <row r="574">
      <c r="A574" s="14" t="inlineStr">
        <is>
          <t>LUX|eef.gso</t>
        </is>
      </c>
      <c r="B574" s="14" t="inlineStr">
        <is>
          <t>LUX</t>
        </is>
      </c>
      <c r="C574" s="14" t="inlineStr">
        <is>
          <t>eef.gso</t>
        </is>
      </c>
      <c r="D574" s="14" t="n">
        <v>1</v>
      </c>
      <c r="E574" s="14" t="n">
        <v>1</v>
      </c>
      <c r="F574" s="14" t="n">
        <v>1</v>
      </c>
      <c r="G574" s="14" t="n">
        <v>1</v>
      </c>
      <c r="H574" s="14" t="n">
        <v>1</v>
      </c>
    </row>
    <row r="575">
      <c r="A575" s="14" t="inlineStr">
        <is>
          <t>LUX|eef.jfu</t>
        </is>
      </c>
      <c r="B575" s="14" t="inlineStr">
        <is>
          <t>LUX</t>
        </is>
      </c>
      <c r="C575" s="14" t="inlineStr">
        <is>
          <t>eef.jfu</t>
        </is>
      </c>
      <c r="D575" s="14" t="n">
        <v>1</v>
      </c>
      <c r="E575" s="14" t="n">
        <v>1</v>
      </c>
      <c r="F575" s="14" t="n">
        <v>1</v>
      </c>
      <c r="G575" s="14" t="n">
        <v>1</v>
      </c>
      <c r="H575" s="14" t="n">
        <v>1</v>
      </c>
    </row>
    <row r="576">
      <c r="A576" s="14" t="inlineStr">
        <is>
          <t>LUX|eef.ker</t>
        </is>
      </c>
      <c r="B576" s="14" t="inlineStr">
        <is>
          <t>LUX</t>
        </is>
      </c>
      <c r="C576" s="14" t="inlineStr">
        <is>
          <t>eef.ker</t>
        </is>
      </c>
      <c r="D576" s="14" t="n">
        <v>1</v>
      </c>
      <c r="E576" s="14" t="n">
        <v>1</v>
      </c>
      <c r="F576" s="14" t="n">
        <v>1</v>
      </c>
      <c r="G576" s="14" t="n">
        <v>1</v>
      </c>
      <c r="H576" s="14" t="n">
        <v>1</v>
      </c>
    </row>
    <row r="577">
      <c r="A577" s="14" t="inlineStr">
        <is>
          <t>LUX|eef.lpg</t>
        </is>
      </c>
      <c r="B577" s="14" t="inlineStr">
        <is>
          <t>LUX</t>
        </is>
      </c>
      <c r="C577" s="14" t="inlineStr">
        <is>
          <t>eef.lpg</t>
        </is>
      </c>
      <c r="D577" s="14" t="n">
        <v>1</v>
      </c>
      <c r="E577" s="14" t="n">
        <v>1</v>
      </c>
      <c r="F577" s="14" t="n">
        <v>1</v>
      </c>
      <c r="G577" s="14" t="n">
        <v>1</v>
      </c>
      <c r="H577" s="14" t="n">
        <v>1</v>
      </c>
    </row>
    <row r="578">
      <c r="A578" s="14" t="inlineStr">
        <is>
          <t>LUX|eef.nga</t>
        </is>
      </c>
      <c r="B578" s="14" t="inlineStr">
        <is>
          <t>LUX</t>
        </is>
      </c>
      <c r="C578" s="14" t="inlineStr">
        <is>
          <t>eef.nga</t>
        </is>
      </c>
      <c r="D578" s="14" t="n">
        <v>1</v>
      </c>
      <c r="E578" s="14" t="n">
        <v>1</v>
      </c>
      <c r="F578" s="14" t="n">
        <v>1</v>
      </c>
      <c r="G578" s="14" t="n">
        <v>1</v>
      </c>
      <c r="H578" s="14" t="n">
        <v>1</v>
      </c>
    </row>
    <row r="579">
      <c r="A579" s="14" t="inlineStr">
        <is>
          <t>LUX|eef.oop</t>
        </is>
      </c>
      <c r="B579" s="14" t="inlineStr">
        <is>
          <t>LUX</t>
        </is>
      </c>
      <c r="C579" s="14" t="inlineStr">
        <is>
          <t>eef.oop</t>
        </is>
      </c>
      <c r="D579" s="14" t="n">
        <v>1</v>
      </c>
      <c r="E579" s="14" t="n">
        <v>1</v>
      </c>
      <c r="F579" s="14" t="n">
        <v>1</v>
      </c>
      <c r="G579" s="14" t="n">
        <v>1</v>
      </c>
      <c r="H579" s="14" t="n">
        <v>1</v>
      </c>
    </row>
    <row r="580">
      <c r="A580" s="14" t="inlineStr">
        <is>
          <t>LUX|eer.all</t>
        </is>
      </c>
      <c r="B580" s="14" t="inlineStr">
        <is>
          <t>LUX</t>
        </is>
      </c>
      <c r="C580" s="14" t="inlineStr">
        <is>
          <t>eer.all</t>
        </is>
      </c>
      <c r="D580" s="14" t="n">
        <v>49.779548</v>
      </c>
      <c r="E580" s="14" t="n">
        <v>86.52610799999999</v>
      </c>
      <c r="F580" s="14" t="n">
        <v>96.298125</v>
      </c>
      <c r="G580" s="14" t="n">
        <v>61.301547</v>
      </c>
      <c r="H580" s="14" t="n">
        <v>70.370124</v>
      </c>
    </row>
    <row r="581">
      <c r="A581" s="14" t="inlineStr">
        <is>
          <t>LUX|ees.ind</t>
        </is>
      </c>
      <c r="B581" s="14" t="inlineStr">
        <is>
          <t>LUX</t>
        </is>
      </c>
      <c r="C581" s="14" t="inlineStr">
        <is>
          <t>ees.ind</t>
        </is>
      </c>
      <c r="D581" s="14" t="n">
        <v>0.850672</v>
      </c>
      <c r="E581" s="14" t="n">
        <v>0.974784</v>
      </c>
      <c r="F581" s="14" t="n">
        <v>1</v>
      </c>
      <c r="G581" s="14" t="n">
        <v>1</v>
      </c>
      <c r="H581" s="14" t="n">
        <v>1</v>
      </c>
    </row>
    <row r="582">
      <c r="A582" s="14" t="inlineStr">
        <is>
          <t>LUX|ees.pow</t>
        </is>
      </c>
      <c r="B582" s="14" t="inlineStr">
        <is>
          <t>LUX</t>
        </is>
      </c>
      <c r="C582" s="14" t="inlineStr">
        <is>
          <t>ees.pow</t>
        </is>
      </c>
      <c r="D582" s="14" t="n">
        <v>1</v>
      </c>
      <c r="E582" s="14" t="n">
        <v>1</v>
      </c>
      <c r="F582" s="14" t="n">
        <v>1</v>
      </c>
      <c r="G582" s="14" t="n">
        <v>1</v>
      </c>
      <c r="H582" s="14" t="n">
        <v>1</v>
      </c>
    </row>
    <row r="583">
      <c r="A583" s="14" t="inlineStr">
        <is>
          <t>LVA|ecf.coa</t>
        </is>
      </c>
      <c r="B583" s="14" t="inlineStr">
        <is>
          <t>LVA</t>
        </is>
      </c>
      <c r="C583" s="14" t="inlineStr">
        <is>
          <t>ecf.coa</t>
        </is>
      </c>
      <c r="D583" s="14" t="n">
        <v>1</v>
      </c>
      <c r="E583" s="14" t="n">
        <v>1</v>
      </c>
      <c r="F583" s="14" t="n">
        <v>1</v>
      </c>
      <c r="G583" s="14" t="n">
        <v>1</v>
      </c>
      <c r="H583" s="14" t="n">
        <v>1</v>
      </c>
    </row>
    <row r="584">
      <c r="A584" s="14" t="inlineStr">
        <is>
          <t>LVA|ecf.die</t>
        </is>
      </c>
      <c r="B584" s="14" t="inlineStr">
        <is>
          <t>LVA</t>
        </is>
      </c>
      <c r="C584" s="14" t="inlineStr">
        <is>
          <t>ecf.die</t>
        </is>
      </c>
      <c r="D584" s="14" t="n">
        <v>1</v>
      </c>
      <c r="E584" s="14" t="n">
        <v>1</v>
      </c>
      <c r="F584" s="14" t="n">
        <v>1</v>
      </c>
      <c r="G584" s="14" t="n">
        <v>1</v>
      </c>
      <c r="H584" s="14" t="n">
        <v>1</v>
      </c>
    </row>
    <row r="585">
      <c r="A585" s="14" t="inlineStr">
        <is>
          <t>LVA|ecf.gso</t>
        </is>
      </c>
      <c r="B585" s="14" t="inlineStr">
        <is>
          <t>LVA</t>
        </is>
      </c>
      <c r="C585" s="14" t="inlineStr">
        <is>
          <t>ecf.gso</t>
        </is>
      </c>
      <c r="D585" s="14" t="n">
        <v>1</v>
      </c>
      <c r="E585" s="14" t="n">
        <v>1</v>
      </c>
      <c r="F585" s="14" t="n">
        <v>1</v>
      </c>
      <c r="G585" s="14" t="n">
        <v>1</v>
      </c>
      <c r="H585" s="14" t="n">
        <v>1</v>
      </c>
    </row>
    <row r="586">
      <c r="A586" s="14" t="inlineStr">
        <is>
          <t>LVA|ecf.ker</t>
        </is>
      </c>
      <c r="B586" s="14" t="inlineStr">
        <is>
          <t>LVA</t>
        </is>
      </c>
      <c r="C586" s="14" t="inlineStr">
        <is>
          <t>ecf.ker</t>
        </is>
      </c>
      <c r="D586" s="14" t="n">
        <v>1</v>
      </c>
      <c r="E586" s="14" t="n">
        <v>1</v>
      </c>
      <c r="F586" s="14" t="n">
        <v>1</v>
      </c>
      <c r="G586" s="14" t="n">
        <v>1</v>
      </c>
      <c r="H586" s="14" t="n">
        <v>1</v>
      </c>
    </row>
    <row r="587">
      <c r="A587" s="14" t="inlineStr">
        <is>
          <t>LVA|ecf.lpg</t>
        </is>
      </c>
      <c r="B587" s="14" t="inlineStr">
        <is>
          <t>LVA</t>
        </is>
      </c>
      <c r="C587" s="14" t="inlineStr">
        <is>
          <t>ecf.lpg</t>
        </is>
      </c>
      <c r="D587" s="14" t="n">
        <v>1</v>
      </c>
      <c r="E587" s="14" t="n">
        <v>1</v>
      </c>
      <c r="F587" s="14" t="n">
        <v>1</v>
      </c>
      <c r="G587" s="14" t="n">
        <v>1</v>
      </c>
      <c r="H587" s="14" t="n">
        <v>1</v>
      </c>
    </row>
    <row r="588">
      <c r="A588" s="14" t="inlineStr">
        <is>
          <t>LVA|ecf.nga</t>
        </is>
      </c>
      <c r="B588" s="14" t="inlineStr">
        <is>
          <t>LVA</t>
        </is>
      </c>
      <c r="C588" s="14" t="inlineStr">
        <is>
          <t>ecf.nga</t>
        </is>
      </c>
      <c r="D588" s="14" t="n">
        <v>1</v>
      </c>
      <c r="E588" s="14" t="n">
        <v>1</v>
      </c>
      <c r="F588" s="14" t="n">
        <v>1</v>
      </c>
      <c r="G588" s="14" t="n">
        <v>1</v>
      </c>
      <c r="H588" s="14" t="n">
        <v>1</v>
      </c>
    </row>
    <row r="589">
      <c r="A589" s="14" t="inlineStr">
        <is>
          <t>LVA|ecf.oop</t>
        </is>
      </c>
      <c r="B589" s="14" t="inlineStr">
        <is>
          <t>LVA</t>
        </is>
      </c>
      <c r="C589" s="14" t="inlineStr">
        <is>
          <t>ecf.oop</t>
        </is>
      </c>
      <c r="D589" s="14" t="n">
        <v>1</v>
      </c>
      <c r="E589" s="14" t="n">
        <v>1</v>
      </c>
      <c r="F589" s="14" t="n">
        <v>1</v>
      </c>
      <c r="G589" s="14" t="n">
        <v>1</v>
      </c>
      <c r="H589" s="14" t="n">
        <v>1</v>
      </c>
    </row>
    <row r="590">
      <c r="A590" s="14" t="inlineStr">
        <is>
          <t>LVA|ecr.all</t>
        </is>
      </c>
      <c r="B590" s="14" t="inlineStr">
        <is>
          <t>LVA</t>
        </is>
      </c>
      <c r="C590" s="14" t="inlineStr">
        <is>
          <t>ecr.all</t>
        </is>
      </c>
      <c r="D590" s="14" t="n">
        <v>14.0952</v>
      </c>
      <c r="E590" s="14" t="n">
        <v>16.578</v>
      </c>
      <c r="F590" s="14" t="n">
        <v>16.3125</v>
      </c>
      <c r="G590" s="14" t="n">
        <v>16.1235</v>
      </c>
      <c r="H590" s="14" t="n">
        <v>16.182</v>
      </c>
    </row>
    <row r="591">
      <c r="A591" s="14" t="inlineStr">
        <is>
          <t>LVA|ecs.pow</t>
        </is>
      </c>
      <c r="B591" s="14" t="inlineStr">
        <is>
          <t>LVA</t>
        </is>
      </c>
      <c r="C591" s="14" t="inlineStr">
        <is>
          <t>ecs.pow</t>
        </is>
      </c>
      <c r="D591" s="14" t="n">
        <v>0.842302</v>
      </c>
      <c r="E591" s="14" t="n">
        <v>0.7689009999999999</v>
      </c>
      <c r="F591" s="14" t="n">
        <v>0.771709</v>
      </c>
      <c r="G591" s="14" t="n">
        <v>0.804111</v>
      </c>
      <c r="H591" s="14" t="n">
        <v>0.804111</v>
      </c>
    </row>
    <row r="592">
      <c r="A592" s="14" t="inlineStr">
        <is>
          <t>LVA|eef.bio</t>
        </is>
      </c>
      <c r="B592" s="14" t="inlineStr">
        <is>
          <t>LVA</t>
        </is>
      </c>
      <c r="C592" s="14" t="inlineStr">
        <is>
          <t>eef.bio</t>
        </is>
      </c>
      <c r="D592" s="14" t="n">
        <v>0</v>
      </c>
      <c r="E592" s="14" t="n">
        <v>1</v>
      </c>
      <c r="F592" s="14" t="n">
        <v>1</v>
      </c>
      <c r="G592" s="14" t="n">
        <v>1</v>
      </c>
      <c r="H592" s="14" t="n">
        <v>1</v>
      </c>
    </row>
    <row r="593">
      <c r="A593" s="14" t="inlineStr">
        <is>
          <t>LVA|eef.coa</t>
        </is>
      </c>
      <c r="B593" s="14" t="inlineStr">
        <is>
          <t>LVA</t>
        </is>
      </c>
      <c r="C593" s="14" t="inlineStr">
        <is>
          <t>eef.coa</t>
        </is>
      </c>
      <c r="D593" s="14" t="n">
        <v>1</v>
      </c>
      <c r="E593" s="14" t="n">
        <v>1</v>
      </c>
      <c r="F593" s="14" t="n">
        <v>1</v>
      </c>
      <c r="G593" s="14" t="n">
        <v>1</v>
      </c>
      <c r="H593" s="14" t="n">
        <v>1</v>
      </c>
    </row>
    <row r="594">
      <c r="A594" s="14" t="inlineStr">
        <is>
          <t>LVA|eef.die</t>
        </is>
      </c>
      <c r="B594" s="14" t="inlineStr">
        <is>
          <t>LVA</t>
        </is>
      </c>
      <c r="C594" s="14" t="inlineStr">
        <is>
          <t>eef.die</t>
        </is>
      </c>
      <c r="D594" s="14" t="n">
        <v>1</v>
      </c>
      <c r="E594" s="14" t="n">
        <v>1</v>
      </c>
      <c r="F594" s="14" t="n">
        <v>1</v>
      </c>
      <c r="G594" s="14" t="n">
        <v>1</v>
      </c>
      <c r="H594" s="14" t="n">
        <v>1</v>
      </c>
    </row>
    <row r="595">
      <c r="A595" s="14" t="inlineStr">
        <is>
          <t>LVA|eef.gso</t>
        </is>
      </c>
      <c r="B595" s="14" t="inlineStr">
        <is>
          <t>LVA</t>
        </is>
      </c>
      <c r="C595" s="14" t="inlineStr">
        <is>
          <t>eef.gso</t>
        </is>
      </c>
      <c r="D595" s="14" t="n">
        <v>1</v>
      </c>
      <c r="E595" s="14" t="n">
        <v>1</v>
      </c>
      <c r="F595" s="14" t="n">
        <v>1</v>
      </c>
      <c r="G595" s="14" t="n">
        <v>1</v>
      </c>
      <c r="H595" s="14" t="n">
        <v>1</v>
      </c>
    </row>
    <row r="596">
      <c r="A596" s="14" t="inlineStr">
        <is>
          <t>LVA|eef.jfu</t>
        </is>
      </c>
      <c r="B596" s="14" t="inlineStr">
        <is>
          <t>LVA</t>
        </is>
      </c>
      <c r="C596" s="14" t="inlineStr">
        <is>
          <t>eef.jfu</t>
        </is>
      </c>
      <c r="D596" s="14" t="n">
        <v>1</v>
      </c>
      <c r="E596" s="14" t="n">
        <v>1</v>
      </c>
      <c r="F596" s="14" t="n">
        <v>1</v>
      </c>
      <c r="G596" s="14" t="n">
        <v>1</v>
      </c>
      <c r="H596" s="14" t="n">
        <v>1</v>
      </c>
    </row>
    <row r="597">
      <c r="A597" s="14" t="inlineStr">
        <is>
          <t>LVA|eef.ker</t>
        </is>
      </c>
      <c r="B597" s="14" t="inlineStr">
        <is>
          <t>LVA</t>
        </is>
      </c>
      <c r="C597" s="14" t="inlineStr">
        <is>
          <t>eef.ker</t>
        </is>
      </c>
      <c r="D597" s="14" t="n">
        <v>1</v>
      </c>
      <c r="E597" s="14" t="n">
        <v>1</v>
      </c>
      <c r="F597" s="14" t="n">
        <v>1</v>
      </c>
      <c r="G597" s="14" t="n">
        <v>1</v>
      </c>
      <c r="H597" s="14" t="n">
        <v>1</v>
      </c>
    </row>
    <row r="598">
      <c r="A598" s="14" t="inlineStr">
        <is>
          <t>LVA|eef.lpg</t>
        </is>
      </c>
      <c r="B598" s="14" t="inlineStr">
        <is>
          <t>LVA</t>
        </is>
      </c>
      <c r="C598" s="14" t="inlineStr">
        <is>
          <t>eef.lpg</t>
        </is>
      </c>
      <c r="D598" s="14" t="n">
        <v>1</v>
      </c>
      <c r="E598" s="14" t="n">
        <v>1</v>
      </c>
      <c r="F598" s="14" t="n">
        <v>1</v>
      </c>
      <c r="G598" s="14" t="n">
        <v>1</v>
      </c>
      <c r="H598" s="14" t="n">
        <v>1</v>
      </c>
    </row>
    <row r="599">
      <c r="A599" s="14" t="inlineStr">
        <is>
          <t>LVA|eef.nga</t>
        </is>
      </c>
      <c r="B599" s="14" t="inlineStr">
        <is>
          <t>LVA</t>
        </is>
      </c>
      <c r="C599" s="14" t="inlineStr">
        <is>
          <t>eef.nga</t>
        </is>
      </c>
      <c r="D599" s="14" t="n">
        <v>1</v>
      </c>
      <c r="E599" s="14" t="n">
        <v>1</v>
      </c>
      <c r="F599" s="14" t="n">
        <v>1</v>
      </c>
      <c r="G599" s="14" t="n">
        <v>1</v>
      </c>
      <c r="H599" s="14" t="n">
        <v>1</v>
      </c>
    </row>
    <row r="600">
      <c r="A600" s="14" t="inlineStr">
        <is>
          <t>LVA|eef.oop</t>
        </is>
      </c>
      <c r="B600" s="14" t="inlineStr">
        <is>
          <t>LVA</t>
        </is>
      </c>
      <c r="C600" s="14" t="inlineStr">
        <is>
          <t>eef.oop</t>
        </is>
      </c>
      <c r="D600" s="14" t="n">
        <v>1</v>
      </c>
      <c r="E600" s="14" t="n">
        <v>1</v>
      </c>
      <c r="F600" s="14" t="n">
        <v>1</v>
      </c>
      <c r="G600" s="14" t="n">
        <v>1</v>
      </c>
      <c r="H600" s="14" t="n">
        <v>1</v>
      </c>
    </row>
    <row r="601">
      <c r="A601" s="14" t="inlineStr">
        <is>
          <t>LVA|eer.all</t>
        </is>
      </c>
      <c r="B601" s="14" t="inlineStr">
        <is>
          <t>LVA</t>
        </is>
      </c>
      <c r="C601" s="14" t="inlineStr">
        <is>
          <t>eer.all</t>
        </is>
      </c>
      <c r="D601" s="14" t="n">
        <v>49.779548</v>
      </c>
      <c r="E601" s="14" t="n">
        <v>86.52610799999999</v>
      </c>
      <c r="F601" s="14" t="n">
        <v>96.298125</v>
      </c>
      <c r="G601" s="14" t="n">
        <v>61.301547</v>
      </c>
      <c r="H601" s="14" t="n">
        <v>70.370124</v>
      </c>
    </row>
    <row r="602">
      <c r="A602" s="14" t="inlineStr">
        <is>
          <t>LVA|ees.ind</t>
        </is>
      </c>
      <c r="B602" s="14" t="inlineStr">
        <is>
          <t>LVA</t>
        </is>
      </c>
      <c r="C602" s="14" t="inlineStr">
        <is>
          <t>ees.ind</t>
        </is>
      </c>
      <c r="D602" s="14" t="n">
        <v>1</v>
      </c>
      <c r="E602" s="14" t="n">
        <v>1</v>
      </c>
      <c r="F602" s="14" t="n">
        <v>1</v>
      </c>
      <c r="G602" s="14" t="n">
        <v>1</v>
      </c>
      <c r="H602" s="14" t="n">
        <v>1</v>
      </c>
    </row>
    <row r="603">
      <c r="A603" s="14" t="inlineStr">
        <is>
          <t>LVA|ees.pow</t>
        </is>
      </c>
      <c r="B603" s="14" t="inlineStr">
        <is>
          <t>LVA</t>
        </is>
      </c>
      <c r="C603" s="14" t="inlineStr">
        <is>
          <t>ees.pow</t>
        </is>
      </c>
      <c r="D603" s="14" t="n">
        <v>0.157698</v>
      </c>
      <c r="E603" s="14" t="n">
        <v>0.231099</v>
      </c>
      <c r="F603" s="14" t="n">
        <v>0.228291</v>
      </c>
      <c r="G603" s="14" t="n">
        <v>0.195889</v>
      </c>
      <c r="H603" s="14" t="n">
        <v>0.195889</v>
      </c>
    </row>
    <row r="604">
      <c r="A604" s="14" t="inlineStr">
        <is>
          <t>MEX|ecf.coa</t>
        </is>
      </c>
      <c r="B604" s="14" t="inlineStr">
        <is>
          <t>MEX</t>
        </is>
      </c>
      <c r="C604" s="14" t="inlineStr">
        <is>
          <t>ecf.coa</t>
        </is>
      </c>
      <c r="D604" s="14" t="n">
        <v>1</v>
      </c>
      <c r="E604" s="14" t="n">
        <v>1</v>
      </c>
      <c r="F604" s="14" t="n">
        <v>1</v>
      </c>
      <c r="G604" s="14" t="n">
        <v>1</v>
      </c>
      <c r="H604" s="14" t="n">
        <v>1</v>
      </c>
    </row>
    <row r="605">
      <c r="A605" s="14" t="inlineStr">
        <is>
          <t>MEX|ecf.die</t>
        </is>
      </c>
      <c r="B605" s="14" t="inlineStr">
        <is>
          <t>MEX</t>
        </is>
      </c>
      <c r="C605" s="14" t="inlineStr">
        <is>
          <t>ecf.die</t>
        </is>
      </c>
      <c r="D605" s="14" t="n">
        <v>1</v>
      </c>
      <c r="E605" s="14" t="n">
        <v>1</v>
      </c>
      <c r="F605" s="14" t="n">
        <v>1</v>
      </c>
      <c r="G605" s="14" t="n">
        <v>1</v>
      </c>
      <c r="H605" s="14" t="n">
        <v>1</v>
      </c>
    </row>
    <row r="606">
      <c r="A606" s="14" t="inlineStr">
        <is>
          <t>MEX|ecf.gso</t>
        </is>
      </c>
      <c r="B606" s="14" t="inlineStr">
        <is>
          <t>MEX</t>
        </is>
      </c>
      <c r="C606" s="14" t="inlineStr">
        <is>
          <t>ecf.gso</t>
        </is>
      </c>
      <c r="D606" s="14" t="n">
        <v>1</v>
      </c>
      <c r="E606" s="14" t="n">
        <v>1</v>
      </c>
      <c r="F606" s="14" t="n">
        <v>1</v>
      </c>
      <c r="G606" s="14" t="n">
        <v>1</v>
      </c>
      <c r="H606" s="14" t="n">
        <v>1</v>
      </c>
    </row>
    <row r="607">
      <c r="A607" s="14" t="inlineStr">
        <is>
          <t>MEX|ecf.jfu</t>
        </is>
      </c>
      <c r="B607" s="14" t="inlineStr">
        <is>
          <t>MEX</t>
        </is>
      </c>
      <c r="C607" s="14" t="inlineStr">
        <is>
          <t>ecf.jfu</t>
        </is>
      </c>
      <c r="D607" s="14" t="n">
        <v>1</v>
      </c>
      <c r="E607" s="14" t="n">
        <v>1</v>
      </c>
      <c r="F607" s="14" t="n">
        <v>1</v>
      </c>
      <c r="G607" s="14" t="n">
        <v>1</v>
      </c>
      <c r="H607" s="14" t="n">
        <v>1</v>
      </c>
    </row>
    <row r="608">
      <c r="A608" s="14" t="inlineStr">
        <is>
          <t>MEX|ecf.ker</t>
        </is>
      </c>
      <c r="B608" s="14" t="inlineStr">
        <is>
          <t>MEX</t>
        </is>
      </c>
      <c r="C608" s="14" t="inlineStr">
        <is>
          <t>ecf.ker</t>
        </is>
      </c>
      <c r="D608" s="14" t="n">
        <v>1</v>
      </c>
      <c r="E608" s="14" t="n">
        <v>1</v>
      </c>
      <c r="F608" s="14" t="n">
        <v>1</v>
      </c>
      <c r="G608" s="14" t="n">
        <v>1</v>
      </c>
      <c r="H608" s="14" t="n">
        <v>1</v>
      </c>
    </row>
    <row r="609">
      <c r="A609" s="14" t="inlineStr">
        <is>
          <t>MEX|ecf.lpg</t>
        </is>
      </c>
      <c r="B609" s="14" t="inlineStr">
        <is>
          <t>MEX</t>
        </is>
      </c>
      <c r="C609" s="14" t="inlineStr">
        <is>
          <t>ecf.lpg</t>
        </is>
      </c>
      <c r="D609" s="14" t="n">
        <v>1</v>
      </c>
      <c r="E609" s="14" t="n">
        <v>1</v>
      </c>
      <c r="F609" s="14" t="n">
        <v>1</v>
      </c>
      <c r="G609" s="14" t="n">
        <v>1</v>
      </c>
      <c r="H609" s="14" t="n">
        <v>1</v>
      </c>
    </row>
    <row r="610">
      <c r="A610" s="14" t="inlineStr">
        <is>
          <t>MEX|ecf.oop</t>
        </is>
      </c>
      <c r="B610" s="14" t="inlineStr">
        <is>
          <t>MEX</t>
        </is>
      </c>
      <c r="C610" s="14" t="inlineStr">
        <is>
          <t>ecf.oop</t>
        </is>
      </c>
      <c r="D610" s="14" t="n">
        <v>1</v>
      </c>
      <c r="E610" s="14" t="n">
        <v>1</v>
      </c>
      <c r="F610" s="14" t="n">
        <v>1</v>
      </c>
      <c r="G610" s="14" t="n">
        <v>1</v>
      </c>
      <c r="H610" s="14" t="n">
        <v>1</v>
      </c>
    </row>
    <row r="611">
      <c r="A611" s="14" t="inlineStr">
        <is>
          <t>MEX|ecr.all</t>
        </is>
      </c>
      <c r="B611" s="14" t="inlineStr">
        <is>
          <t>MEX</t>
        </is>
      </c>
      <c r="C611" s="14" t="inlineStr">
        <is>
          <t>ecr.all</t>
        </is>
      </c>
      <c r="D611" s="14" t="n">
        <v>2.890223</v>
      </c>
      <c r="E611" s="14" t="n">
        <v>3.196555</v>
      </c>
      <c r="F611" s="14" t="n">
        <v>3.789652</v>
      </c>
      <c r="G611" s="14" t="n">
        <v>4.305145</v>
      </c>
      <c r="H611" s="14" t="n">
        <v>3.942786</v>
      </c>
    </row>
    <row r="612">
      <c r="A612" s="14" t="inlineStr">
        <is>
          <t>MEX|ecr.coa</t>
        </is>
      </c>
      <c r="B612" s="14" t="inlineStr">
        <is>
          <t>MEX</t>
        </is>
      </c>
      <c r="C612" s="14" t="inlineStr">
        <is>
          <t>ecr.coa</t>
        </is>
      </c>
      <c r="D612" s="14" t="n">
        <v>0.721006</v>
      </c>
      <c r="E612" s="14" t="n">
        <v>0.797427</v>
      </c>
      <c r="F612" s="14" t="n">
        <v>0.945384</v>
      </c>
      <c r="G612" s="14" t="n">
        <v>1.07398</v>
      </c>
      <c r="H612" s="14" t="n">
        <v>3.942786</v>
      </c>
    </row>
    <row r="613">
      <c r="A613" s="14" t="inlineStr">
        <is>
          <t>MEX|ecr.die</t>
        </is>
      </c>
      <c r="B613" s="14" t="inlineStr">
        <is>
          <t>MEX</t>
        </is>
      </c>
      <c r="C613" s="14" t="inlineStr">
        <is>
          <t>ecr.die</t>
        </is>
      </c>
      <c r="D613" s="14" t="n">
        <v>3.006919</v>
      </c>
      <c r="E613" s="14" t="n">
        <v>3.325616</v>
      </c>
      <c r="F613" s="14" t="n">
        <v>3.942662</v>
      </c>
      <c r="G613" s="14" t="n">
        <v>4.478957</v>
      </c>
      <c r="H613" s="14" t="n">
        <v>3.942786</v>
      </c>
    </row>
    <row r="614">
      <c r="A614" s="14" t="inlineStr">
        <is>
          <t>MEX|ecr.gso</t>
        </is>
      </c>
      <c r="B614" s="14" t="inlineStr">
        <is>
          <t>MEX</t>
        </is>
      </c>
      <c r="C614" s="14" t="inlineStr">
        <is>
          <t>ecr.gso</t>
        </is>
      </c>
      <c r="D614" s="14" t="n">
        <v>2.875772</v>
      </c>
      <c r="E614" s="14" t="n">
        <v>3.180572</v>
      </c>
      <c r="F614" s="14" t="n">
        <v>3.770704</v>
      </c>
      <c r="G614" s="14" t="n">
        <v>4.283619</v>
      </c>
      <c r="H614" s="14" t="n">
        <v>3.942786</v>
      </c>
    </row>
    <row r="615">
      <c r="A615" s="14" t="inlineStr">
        <is>
          <t>MEX|ecr.jfu</t>
        </is>
      </c>
      <c r="B615" s="14" t="inlineStr">
        <is>
          <t>MEX</t>
        </is>
      </c>
      <c r="C615" s="14" t="inlineStr">
        <is>
          <t>ecr.jfu</t>
        </is>
      </c>
      <c r="D615" s="14" t="n">
        <v>3.111194</v>
      </c>
      <c r="E615" s="14" t="n">
        <v>3.44095</v>
      </c>
      <c r="F615" s="14" t="n">
        <v>4.079374</v>
      </c>
      <c r="G615" s="14" t="n">
        <v>4.634269</v>
      </c>
      <c r="H615" s="14" t="n">
        <v>3.942786</v>
      </c>
    </row>
    <row r="616">
      <c r="A616" s="14" t="inlineStr">
        <is>
          <t>MEX|ecr.ker</t>
        </is>
      </c>
      <c r="B616" s="14" t="inlineStr">
        <is>
          <t>MEX</t>
        </is>
      </c>
      <c r="C616" s="14" t="inlineStr">
        <is>
          <t>ecr.ker</t>
        </is>
      </c>
      <c r="D616" s="14" t="n">
        <v>3.111194</v>
      </c>
      <c r="E616" s="14" t="n">
        <v>3.44095</v>
      </c>
      <c r="F616" s="14" t="n">
        <v>4.079374</v>
      </c>
      <c r="G616" s="14" t="n">
        <v>4.634269</v>
      </c>
      <c r="H616" s="14" t="n">
        <v>3.942786</v>
      </c>
    </row>
    <row r="617">
      <c r="A617" s="14" t="inlineStr">
        <is>
          <t>MEX|ecr.lpg</t>
        </is>
      </c>
      <c r="B617" s="14" t="inlineStr">
        <is>
          <t>MEX</t>
        </is>
      </c>
      <c r="C617" s="14" t="inlineStr">
        <is>
          <t>ecr.lpg</t>
        </is>
      </c>
      <c r="D617" s="14" t="n">
        <v>23.593004</v>
      </c>
      <c r="E617" s="14" t="n">
        <v>2.609357</v>
      </c>
      <c r="F617" s="14" t="n">
        <v>3.093483</v>
      </c>
      <c r="G617" s="14" t="n">
        <v>3.514268</v>
      </c>
      <c r="H617" s="14" t="n">
        <v>3.942786</v>
      </c>
    </row>
    <row r="618">
      <c r="A618" s="14" t="inlineStr">
        <is>
          <t>MEX|ecr.oop</t>
        </is>
      </c>
      <c r="B618" s="14" t="inlineStr">
        <is>
          <t>MEX</t>
        </is>
      </c>
      <c r="C618" s="14" t="inlineStr">
        <is>
          <t>ecr.oop</t>
        </is>
      </c>
      <c r="D618" s="14" t="n">
        <v>2.878835</v>
      </c>
      <c r="E618" s="14" t="n">
        <v>3.183957</v>
      </c>
      <c r="F618" s="14" t="n">
        <v>3.774702</v>
      </c>
      <c r="G618" s="14" t="n">
        <v>2.921828</v>
      </c>
      <c r="H618" s="14" t="n">
        <v>3.942786</v>
      </c>
    </row>
    <row r="619">
      <c r="A619" s="14" t="inlineStr">
        <is>
          <t>MEX|ecs.ind</t>
        </is>
      </c>
      <c r="B619" s="14" t="inlineStr">
        <is>
          <t>MEX</t>
        </is>
      </c>
      <c r="C619" s="14" t="inlineStr">
        <is>
          <t>ecs.ind</t>
        </is>
      </c>
      <c r="D619" s="14" t="n">
        <v>0.234376</v>
      </c>
      <c r="E619" s="14" t="n">
        <v>0.229585</v>
      </c>
      <c r="F619" s="14" t="n">
        <v>0.225325</v>
      </c>
      <c r="G619" s="14" t="n">
        <v>0.225325</v>
      </c>
      <c r="H619" s="14" t="n">
        <v>0.225325</v>
      </c>
    </row>
    <row r="620">
      <c r="A620" s="14" t="inlineStr">
        <is>
          <t>MEX|ecs.pow</t>
        </is>
      </c>
      <c r="B620" s="14" t="inlineStr">
        <is>
          <t>MEX</t>
        </is>
      </c>
      <c r="C620" s="14" t="inlineStr">
        <is>
          <t>ecs.pow</t>
        </is>
      </c>
      <c r="D620" s="14" t="n">
        <v>0.234376</v>
      </c>
      <c r="E620" s="14" t="n">
        <v>0.229585</v>
      </c>
      <c r="F620" s="14" t="n">
        <v>0.225325</v>
      </c>
      <c r="G620" s="14" t="n">
        <v>0.225325</v>
      </c>
      <c r="H620" s="14" t="n">
        <v>0.225325</v>
      </c>
    </row>
    <row r="621">
      <c r="A621" s="14" t="inlineStr">
        <is>
          <t>MEX|ecs.res</t>
        </is>
      </c>
      <c r="B621" s="14" t="inlineStr">
        <is>
          <t>MEX</t>
        </is>
      </c>
      <c r="C621" s="14" t="inlineStr">
        <is>
          <t>ecs.res</t>
        </is>
      </c>
      <c r="D621" s="14" t="n">
        <v>0.234376</v>
      </c>
      <c r="E621" s="14" t="n">
        <v>0.229585</v>
      </c>
      <c r="F621" s="14" t="n">
        <v>0.225325</v>
      </c>
      <c r="G621" s="14" t="n">
        <v>0.225325</v>
      </c>
      <c r="H621" s="14" t="n">
        <v>0.225325</v>
      </c>
    </row>
    <row r="622">
      <c r="A622" s="14" t="inlineStr">
        <is>
          <t>MEX|ecs.trs</t>
        </is>
      </c>
      <c r="B622" s="14" t="inlineStr">
        <is>
          <t>MEX</t>
        </is>
      </c>
      <c r="C622" s="14" t="inlineStr">
        <is>
          <t>ecs.trs</t>
        </is>
      </c>
      <c r="D622" s="14" t="n">
        <v>0.234376</v>
      </c>
      <c r="E622" s="14" t="n">
        <v>0.229585</v>
      </c>
      <c r="F622" s="14" t="n">
        <v>0.225325</v>
      </c>
      <c r="G622" s="14" t="n">
        <v>0.225325</v>
      </c>
      <c r="H622" s="14" t="n">
        <v>0.225325</v>
      </c>
    </row>
    <row r="623">
      <c r="A623" s="14" t="inlineStr">
        <is>
          <t>MEX|eef.coa</t>
        </is>
      </c>
      <c r="B623" s="14" t="inlineStr">
        <is>
          <t>MEX</t>
        </is>
      </c>
      <c r="C623" s="14" t="inlineStr">
        <is>
          <t>eef.coa</t>
        </is>
      </c>
      <c r="D623" s="14" t="n">
        <v>1</v>
      </c>
      <c r="E623" s="14" t="n">
        <v>1</v>
      </c>
      <c r="F623" s="14" t="n">
        <v>1</v>
      </c>
      <c r="G623" s="14" t="n">
        <v>1</v>
      </c>
      <c r="H623" s="14" t="n">
        <v>1</v>
      </c>
    </row>
    <row r="624">
      <c r="A624" s="14" t="inlineStr">
        <is>
          <t>MEX|eef.die</t>
        </is>
      </c>
      <c r="B624" s="14" t="inlineStr">
        <is>
          <t>MEX</t>
        </is>
      </c>
      <c r="C624" s="14" t="inlineStr">
        <is>
          <t>eef.die</t>
        </is>
      </c>
      <c r="D624" s="14" t="n">
        <v>1</v>
      </c>
      <c r="E624" s="14" t="n">
        <v>1</v>
      </c>
      <c r="F624" s="14" t="n">
        <v>1</v>
      </c>
      <c r="G624" s="14" t="n">
        <v>1</v>
      </c>
      <c r="H624" s="14" t="n">
        <v>1</v>
      </c>
    </row>
    <row r="625">
      <c r="A625" s="14" t="inlineStr">
        <is>
          <t>MEX|eef.gso</t>
        </is>
      </c>
      <c r="B625" s="14" t="inlineStr">
        <is>
          <t>MEX</t>
        </is>
      </c>
      <c r="C625" s="14" t="inlineStr">
        <is>
          <t>eef.gso</t>
        </is>
      </c>
      <c r="D625" s="14" t="n">
        <v>1</v>
      </c>
      <c r="E625" s="14" t="n">
        <v>1</v>
      </c>
      <c r="F625" s="14" t="n">
        <v>1</v>
      </c>
      <c r="G625" s="14" t="n">
        <v>1</v>
      </c>
      <c r="H625" s="14" t="n">
        <v>1</v>
      </c>
    </row>
    <row r="626">
      <c r="A626" s="14" t="inlineStr">
        <is>
          <t>MEX|eef.ker</t>
        </is>
      </c>
      <c r="B626" s="14" t="inlineStr">
        <is>
          <t>MEX</t>
        </is>
      </c>
      <c r="C626" s="14" t="inlineStr">
        <is>
          <t>eef.ker</t>
        </is>
      </c>
      <c r="D626" s="14" t="n">
        <v>1</v>
      </c>
      <c r="E626" s="14" t="n">
        <v>1</v>
      </c>
      <c r="F626" s="14" t="n">
        <v>1</v>
      </c>
      <c r="G626" s="14" t="n">
        <v>1</v>
      </c>
      <c r="H626" s="14" t="n">
        <v>1</v>
      </c>
    </row>
    <row r="627">
      <c r="A627" s="14" t="inlineStr">
        <is>
          <t>MEX|eef.lpg</t>
        </is>
      </c>
      <c r="B627" s="14" t="inlineStr">
        <is>
          <t>MEX</t>
        </is>
      </c>
      <c r="C627" s="14" t="inlineStr">
        <is>
          <t>eef.lpg</t>
        </is>
      </c>
      <c r="D627" s="14" t="n">
        <v>1</v>
      </c>
      <c r="E627" s="14" t="n">
        <v>1</v>
      </c>
      <c r="F627" s="14" t="n">
        <v>1</v>
      </c>
      <c r="G627" s="14" t="n">
        <v>1</v>
      </c>
      <c r="H627" s="14" t="n">
        <v>1</v>
      </c>
    </row>
    <row r="628">
      <c r="A628" s="14" t="inlineStr">
        <is>
          <t>MEX|eef.nga</t>
        </is>
      </c>
      <c r="B628" s="14" t="inlineStr">
        <is>
          <t>MEX</t>
        </is>
      </c>
      <c r="C628" s="14" t="inlineStr">
        <is>
          <t>eef.nga</t>
        </is>
      </c>
      <c r="D628" s="14" t="n">
        <v>1</v>
      </c>
      <c r="E628" s="14" t="n">
        <v>1</v>
      </c>
      <c r="F628" s="14" t="n">
        <v>1</v>
      </c>
      <c r="G628" s="14" t="n">
        <v>1</v>
      </c>
      <c r="H628" s="14" t="n">
        <v>1</v>
      </c>
    </row>
    <row r="629">
      <c r="A629" s="14" t="inlineStr">
        <is>
          <t>MEX|eef.oop</t>
        </is>
      </c>
      <c r="B629" s="14" t="inlineStr">
        <is>
          <t>MEX</t>
        </is>
      </c>
      <c r="C629" s="14" t="inlineStr">
        <is>
          <t>eef.oop</t>
        </is>
      </c>
      <c r="D629" s="14" t="n">
        <v>1</v>
      </c>
      <c r="E629" s="14" t="n">
        <v>1</v>
      </c>
      <c r="F629" s="14" t="n">
        <v>1</v>
      </c>
      <c r="G629" s="14" t="n">
        <v>1</v>
      </c>
      <c r="H629" s="14" t="n">
        <v>1</v>
      </c>
    </row>
    <row r="630">
      <c r="A630" s="14" t="inlineStr">
        <is>
          <t>MEX|ees.ind</t>
        </is>
      </c>
      <c r="B630" s="14" t="inlineStr">
        <is>
          <t>MEX</t>
        </is>
      </c>
      <c r="C630" s="14" t="inlineStr">
        <is>
          <t>ees.ind</t>
        </is>
      </c>
      <c r="D630" s="14" t="n">
        <v>1</v>
      </c>
      <c r="E630" s="14" t="n">
        <v>1</v>
      </c>
      <c r="F630" s="14" t="n">
        <v>1</v>
      </c>
      <c r="G630" s="14" t="n">
        <v>1</v>
      </c>
      <c r="H630" s="14" t="n">
        <v>1</v>
      </c>
    </row>
    <row r="631">
      <c r="A631" s="14" t="inlineStr">
        <is>
          <t>MEX|ees.pow</t>
        </is>
      </c>
      <c r="B631" s="14" t="inlineStr">
        <is>
          <t>MEX</t>
        </is>
      </c>
      <c r="C631" s="14" t="inlineStr">
        <is>
          <t>ees.pow</t>
        </is>
      </c>
      <c r="D631" s="14" t="n">
        <v>1</v>
      </c>
      <c r="E631" s="14" t="n">
        <v>1</v>
      </c>
      <c r="F631" s="14" t="n">
        <v>1</v>
      </c>
      <c r="G631" s="14" t="n">
        <v>1</v>
      </c>
      <c r="H631" s="14" t="n">
        <v>1</v>
      </c>
    </row>
    <row r="632">
      <c r="A632" s="14" t="inlineStr">
        <is>
          <t>MLT|eef.bio</t>
        </is>
      </c>
      <c r="B632" s="14" t="inlineStr">
        <is>
          <t>MLT</t>
        </is>
      </c>
      <c r="C632" s="14" t="inlineStr">
        <is>
          <t>eef.bio</t>
        </is>
      </c>
      <c r="D632" s="14" t="n">
        <v>0</v>
      </c>
      <c r="E632" s="14" t="n">
        <v>1</v>
      </c>
      <c r="F632" s="14" t="n">
        <v>1</v>
      </c>
      <c r="G632" s="14" t="n">
        <v>1</v>
      </c>
      <c r="H632" s="14" t="n">
        <v>1</v>
      </c>
    </row>
    <row r="633">
      <c r="A633" s="14" t="inlineStr">
        <is>
          <t>MLT|eef.coa</t>
        </is>
      </c>
      <c r="B633" s="14" t="inlineStr">
        <is>
          <t>MLT</t>
        </is>
      </c>
      <c r="C633" s="14" t="inlineStr">
        <is>
          <t>eef.coa</t>
        </is>
      </c>
      <c r="D633" s="14" t="n">
        <v>1</v>
      </c>
      <c r="E633" s="14" t="n">
        <v>1</v>
      </c>
      <c r="F633" s="14" t="n">
        <v>1</v>
      </c>
      <c r="G633" s="14" t="n">
        <v>1</v>
      </c>
      <c r="H633" s="14" t="n">
        <v>1</v>
      </c>
    </row>
    <row r="634">
      <c r="A634" s="14" t="inlineStr">
        <is>
          <t>MLT|eef.die</t>
        </is>
      </c>
      <c r="B634" s="14" t="inlineStr">
        <is>
          <t>MLT</t>
        </is>
      </c>
      <c r="C634" s="14" t="inlineStr">
        <is>
          <t>eef.die</t>
        </is>
      </c>
      <c r="D634" s="14" t="n">
        <v>1</v>
      </c>
      <c r="E634" s="14" t="n">
        <v>1</v>
      </c>
      <c r="F634" s="14" t="n">
        <v>1</v>
      </c>
      <c r="G634" s="14" t="n">
        <v>1</v>
      </c>
      <c r="H634" s="14" t="n">
        <v>1</v>
      </c>
    </row>
    <row r="635">
      <c r="A635" s="14" t="inlineStr">
        <is>
          <t>MLT|eef.gso</t>
        </is>
      </c>
      <c r="B635" s="14" t="inlineStr">
        <is>
          <t>MLT</t>
        </is>
      </c>
      <c r="C635" s="14" t="inlineStr">
        <is>
          <t>eef.gso</t>
        </is>
      </c>
      <c r="D635" s="14" t="n">
        <v>1</v>
      </c>
      <c r="E635" s="14" t="n">
        <v>1</v>
      </c>
      <c r="F635" s="14" t="n">
        <v>1</v>
      </c>
      <c r="G635" s="14" t="n">
        <v>1</v>
      </c>
      <c r="H635" s="14" t="n">
        <v>1</v>
      </c>
    </row>
    <row r="636">
      <c r="A636" s="14" t="inlineStr">
        <is>
          <t>MLT|eef.jfu</t>
        </is>
      </c>
      <c r="B636" s="14" t="inlineStr">
        <is>
          <t>MLT</t>
        </is>
      </c>
      <c r="C636" s="14" t="inlineStr">
        <is>
          <t>eef.jfu</t>
        </is>
      </c>
      <c r="D636" s="14" t="n">
        <v>1</v>
      </c>
      <c r="E636" s="14" t="n">
        <v>1</v>
      </c>
      <c r="F636" s="14" t="n">
        <v>1</v>
      </c>
      <c r="G636" s="14" t="n">
        <v>1</v>
      </c>
      <c r="H636" s="14" t="n">
        <v>1</v>
      </c>
    </row>
    <row r="637">
      <c r="A637" s="14" t="inlineStr">
        <is>
          <t>MLT|eef.ker</t>
        </is>
      </c>
      <c r="B637" s="14" t="inlineStr">
        <is>
          <t>MLT</t>
        </is>
      </c>
      <c r="C637" s="14" t="inlineStr">
        <is>
          <t>eef.ker</t>
        </is>
      </c>
      <c r="D637" s="14" t="n">
        <v>1</v>
      </c>
      <c r="E637" s="14" t="n">
        <v>1</v>
      </c>
      <c r="F637" s="14" t="n">
        <v>1</v>
      </c>
      <c r="G637" s="14" t="n">
        <v>1</v>
      </c>
      <c r="H637" s="14" t="n">
        <v>1</v>
      </c>
    </row>
    <row r="638">
      <c r="A638" s="14" t="inlineStr">
        <is>
          <t>MLT|eef.lpg</t>
        </is>
      </c>
      <c r="B638" s="14" t="inlineStr">
        <is>
          <t>MLT</t>
        </is>
      </c>
      <c r="C638" s="14" t="inlineStr">
        <is>
          <t>eef.lpg</t>
        </is>
      </c>
      <c r="D638" s="14" t="n">
        <v>1</v>
      </c>
      <c r="E638" s="14" t="n">
        <v>1</v>
      </c>
      <c r="F638" s="14" t="n">
        <v>1</v>
      </c>
      <c r="G638" s="14" t="n">
        <v>1</v>
      </c>
      <c r="H638" s="14" t="n">
        <v>1</v>
      </c>
    </row>
    <row r="639">
      <c r="A639" s="14" t="inlineStr">
        <is>
          <t>MLT|eef.nga</t>
        </is>
      </c>
      <c r="B639" s="14" t="inlineStr">
        <is>
          <t>MLT</t>
        </is>
      </c>
      <c r="C639" s="14" t="inlineStr">
        <is>
          <t>eef.nga</t>
        </is>
      </c>
      <c r="D639" s="14" t="n">
        <v>1</v>
      </c>
      <c r="E639" s="14" t="n">
        <v>1</v>
      </c>
      <c r="F639" s="14" t="n">
        <v>1</v>
      </c>
      <c r="G639" s="14" t="n">
        <v>1</v>
      </c>
      <c r="H639" s="14" t="n">
        <v>1</v>
      </c>
    </row>
    <row r="640">
      <c r="A640" s="14" t="inlineStr">
        <is>
          <t>MLT|eef.oop</t>
        </is>
      </c>
      <c r="B640" s="14" t="inlineStr">
        <is>
          <t>MLT</t>
        </is>
      </c>
      <c r="C640" s="14" t="inlineStr">
        <is>
          <t>eef.oop</t>
        </is>
      </c>
      <c r="D640" s="14" t="n">
        <v>1</v>
      </c>
      <c r="E640" s="14" t="n">
        <v>1</v>
      </c>
      <c r="F640" s="14" t="n">
        <v>1</v>
      </c>
      <c r="G640" s="14" t="n">
        <v>1</v>
      </c>
      <c r="H640" s="14" t="n">
        <v>1</v>
      </c>
    </row>
    <row r="641">
      <c r="A641" s="14" t="inlineStr">
        <is>
          <t>MLT|eer.all</t>
        </is>
      </c>
      <c r="B641" s="14" t="inlineStr">
        <is>
          <t>MLT</t>
        </is>
      </c>
      <c r="C641" s="14" t="inlineStr">
        <is>
          <t>eer.all</t>
        </is>
      </c>
      <c r="D641" s="14" t="n">
        <v>49.779548</v>
      </c>
      <c r="E641" s="14" t="n">
        <v>86.52610799999999</v>
      </c>
      <c r="F641" s="14" t="n">
        <v>96.298125</v>
      </c>
      <c r="G641" s="14" t="n">
        <v>61.301547</v>
      </c>
      <c r="H641" s="14" t="n">
        <v>70.370124</v>
      </c>
    </row>
    <row r="642">
      <c r="A642" s="14" t="inlineStr">
        <is>
          <t>MLT|ees.ind</t>
        </is>
      </c>
      <c r="B642" s="14" t="inlineStr">
        <is>
          <t>MLT</t>
        </is>
      </c>
      <c r="C642" s="14" t="inlineStr">
        <is>
          <t>ees.ind</t>
        </is>
      </c>
      <c r="D642" s="14" t="n">
        <v>1</v>
      </c>
      <c r="E642" s="14" t="n">
        <v>1</v>
      </c>
      <c r="F642" s="14" t="n">
        <v>1</v>
      </c>
      <c r="G642" s="14" t="n">
        <v>0</v>
      </c>
      <c r="H642" s="14" t="n">
        <v>0</v>
      </c>
    </row>
    <row r="643">
      <c r="A643" s="14" t="inlineStr">
        <is>
          <t>MNE|eef.coa</t>
        </is>
      </c>
      <c r="B643" s="14" t="inlineStr">
        <is>
          <t>MNE</t>
        </is>
      </c>
      <c r="C643" s="14" t="inlineStr">
        <is>
          <t>eef.coa</t>
        </is>
      </c>
      <c r="D643" s="14" t="n"/>
      <c r="E643" s="14" t="n"/>
      <c r="F643" s="14" t="n">
        <v>1</v>
      </c>
      <c r="G643" s="14" t="n">
        <v>1</v>
      </c>
      <c r="H643" s="14" t="n">
        <v>1</v>
      </c>
    </row>
    <row r="644">
      <c r="A644" s="14" t="inlineStr">
        <is>
          <t>MNE|eef.die</t>
        </is>
      </c>
      <c r="B644" s="14" t="inlineStr">
        <is>
          <t>MNE</t>
        </is>
      </c>
      <c r="C644" s="14" t="inlineStr">
        <is>
          <t>eef.die</t>
        </is>
      </c>
      <c r="D644" s="14" t="n"/>
      <c r="E644" s="14" t="n"/>
      <c r="F644" s="14" t="n">
        <v>1</v>
      </c>
      <c r="G644" s="14" t="n">
        <v>1</v>
      </c>
      <c r="H644" s="14" t="n">
        <v>1</v>
      </c>
    </row>
    <row r="645">
      <c r="A645" s="14" t="inlineStr">
        <is>
          <t>MNE|eef.gso</t>
        </is>
      </c>
      <c r="B645" s="14" t="inlineStr">
        <is>
          <t>MNE</t>
        </is>
      </c>
      <c r="C645" s="14" t="inlineStr">
        <is>
          <t>eef.gso</t>
        </is>
      </c>
      <c r="D645" s="14" t="n"/>
      <c r="E645" s="14" t="n"/>
      <c r="F645" s="14" t="n">
        <v>1</v>
      </c>
      <c r="G645" s="14" t="n">
        <v>1</v>
      </c>
      <c r="H645" s="14" t="n">
        <v>1</v>
      </c>
    </row>
    <row r="646">
      <c r="A646" s="14" t="inlineStr">
        <is>
          <t>MNE|eef.ker</t>
        </is>
      </c>
      <c r="B646" s="14" t="inlineStr">
        <is>
          <t>MNE</t>
        </is>
      </c>
      <c r="C646" s="14" t="inlineStr">
        <is>
          <t>eef.ker</t>
        </is>
      </c>
      <c r="D646" s="14" t="n"/>
      <c r="E646" s="14" t="n"/>
      <c r="F646" s="14" t="n">
        <v>1</v>
      </c>
      <c r="G646" s="14" t="n">
        <v>1</v>
      </c>
      <c r="H646" s="14" t="n">
        <v>1</v>
      </c>
    </row>
    <row r="647">
      <c r="A647" s="14" t="inlineStr">
        <is>
          <t>MNE|eef.lpg</t>
        </is>
      </c>
      <c r="B647" s="14" t="inlineStr">
        <is>
          <t>MNE</t>
        </is>
      </c>
      <c r="C647" s="14" t="inlineStr">
        <is>
          <t>eef.lpg</t>
        </is>
      </c>
      <c r="D647" s="14" t="n"/>
      <c r="E647" s="14" t="n"/>
      <c r="F647" s="14" t="n">
        <v>1</v>
      </c>
      <c r="G647" s="14" t="n">
        <v>1</v>
      </c>
      <c r="H647" s="14" t="n">
        <v>1</v>
      </c>
    </row>
    <row r="648">
      <c r="A648" s="14" t="inlineStr">
        <is>
          <t>MNE|eef.nga</t>
        </is>
      </c>
      <c r="B648" s="14" t="inlineStr">
        <is>
          <t>MNE</t>
        </is>
      </c>
      <c r="C648" s="14" t="inlineStr">
        <is>
          <t>eef.nga</t>
        </is>
      </c>
      <c r="D648" s="14" t="n"/>
      <c r="E648" s="14" t="n"/>
      <c r="F648" s="14" t="n">
        <v>1</v>
      </c>
      <c r="G648" s="14" t="n">
        <v>1</v>
      </c>
      <c r="H648" s="14" t="n">
        <v>1</v>
      </c>
    </row>
    <row r="649">
      <c r="A649" s="14" t="inlineStr">
        <is>
          <t>MNE|eer.all</t>
        </is>
      </c>
      <c r="B649" s="14" t="inlineStr">
        <is>
          <t>MNE</t>
        </is>
      </c>
      <c r="C649" s="14" t="inlineStr">
        <is>
          <t>eer.all</t>
        </is>
      </c>
      <c r="D649" s="14" t="n"/>
      <c r="E649" s="14" t="n"/>
      <c r="F649" s="14" t="n">
        <v>25.7976</v>
      </c>
      <c r="G649" s="14" t="n">
        <v>25.7976</v>
      </c>
      <c r="H649" s="14" t="n">
        <v>25.8912</v>
      </c>
    </row>
    <row r="650">
      <c r="A650" s="14" t="inlineStr">
        <is>
          <t>MNE|ees.ind</t>
        </is>
      </c>
      <c r="B650" s="14" t="inlineStr">
        <is>
          <t>MNE</t>
        </is>
      </c>
      <c r="C650" s="14" t="inlineStr">
        <is>
          <t>ees.ind</t>
        </is>
      </c>
      <c r="D650" s="14" t="n"/>
      <c r="E650" s="14" t="n"/>
      <c r="F650" s="14" t="n">
        <v>1</v>
      </c>
      <c r="G650" s="14" t="n">
        <v>1</v>
      </c>
      <c r="H650" s="14" t="n">
        <v>1</v>
      </c>
    </row>
    <row r="651">
      <c r="A651" s="14" t="inlineStr">
        <is>
          <t>MNE|ees.pow</t>
        </is>
      </c>
      <c r="B651" s="14" t="inlineStr">
        <is>
          <t>MNE</t>
        </is>
      </c>
      <c r="C651" s="14" t="inlineStr">
        <is>
          <t>ees.pow</t>
        </is>
      </c>
      <c r="D651" s="14" t="n"/>
      <c r="E651" s="14" t="n"/>
      <c r="F651" s="14" t="n">
        <v>1</v>
      </c>
      <c r="G651" s="14" t="n">
        <v>1</v>
      </c>
      <c r="H651" s="14" t="n">
        <v>1</v>
      </c>
    </row>
    <row r="652">
      <c r="A652" s="14" t="inlineStr">
        <is>
          <t>MRT|ecf.die</t>
        </is>
      </c>
      <c r="B652" s="14" t="inlineStr">
        <is>
          <t>MRT</t>
        </is>
      </c>
      <c r="C652" s="14" t="inlineStr">
        <is>
          <t>ecf.die</t>
        </is>
      </c>
      <c r="D652" s="14" t="n"/>
      <c r="E652" s="14" t="n"/>
      <c r="F652" s="14" t="n"/>
      <c r="G652" s="14" t="n"/>
      <c r="H652" s="14" t="n">
        <v>1</v>
      </c>
    </row>
    <row r="653">
      <c r="A653" s="14" t="inlineStr">
        <is>
          <t>MRT|ecf.gso</t>
        </is>
      </c>
      <c r="B653" s="14" t="inlineStr">
        <is>
          <t>MRT</t>
        </is>
      </c>
      <c r="C653" s="14" t="inlineStr">
        <is>
          <t>ecf.gso</t>
        </is>
      </c>
      <c r="D653" s="14" t="n"/>
      <c r="E653" s="14" t="n"/>
      <c r="F653" s="14" t="n"/>
      <c r="G653" s="14" t="n"/>
      <c r="H653" s="14" t="n">
        <v>1</v>
      </c>
    </row>
    <row r="654">
      <c r="A654" s="14" t="inlineStr">
        <is>
          <t>MRT|ecf.ker</t>
        </is>
      </c>
      <c r="B654" s="14" t="inlineStr">
        <is>
          <t>MRT</t>
        </is>
      </c>
      <c r="C654" s="14" t="inlineStr">
        <is>
          <t>ecf.ker</t>
        </is>
      </c>
      <c r="D654" s="14" t="n"/>
      <c r="E654" s="14" t="n"/>
      <c r="F654" s="14" t="n"/>
      <c r="G654" s="14" t="n"/>
      <c r="H654" s="14" t="n">
        <v>1</v>
      </c>
    </row>
    <row r="655">
      <c r="A655" s="14" t="inlineStr">
        <is>
          <t>MRT|ecf.oop</t>
        </is>
      </c>
      <c r="B655" s="14" t="inlineStr">
        <is>
          <t>MRT</t>
        </is>
      </c>
      <c r="C655" s="14" t="inlineStr">
        <is>
          <t>ecf.oop</t>
        </is>
      </c>
      <c r="D655" s="14" t="n"/>
      <c r="E655" s="14" t="n"/>
      <c r="F655" s="14" t="n"/>
      <c r="G655" s="14" t="n"/>
      <c r="H655" s="14" t="n">
        <v>1</v>
      </c>
    </row>
    <row r="656">
      <c r="A656" s="14" t="inlineStr">
        <is>
          <t>MRT|ecr.all</t>
        </is>
      </c>
      <c r="B656" s="14" t="inlineStr">
        <is>
          <t>MRT</t>
        </is>
      </c>
      <c r="C656" s="14" t="inlineStr">
        <is>
          <t>ecr.all</t>
        </is>
      </c>
      <c r="D656" s="14" t="n"/>
      <c r="E656" s="14" t="n"/>
      <c r="F656" s="14" t="n"/>
      <c r="G656" s="14" t="n"/>
      <c r="H656" s="14" t="n">
        <v>5</v>
      </c>
    </row>
    <row r="657">
      <c r="A657" s="14" t="inlineStr">
        <is>
          <t>MRT|ecs.ind</t>
        </is>
      </c>
      <c r="B657" s="14" t="inlineStr">
        <is>
          <t>MRT</t>
        </is>
      </c>
      <c r="C657" s="14" t="inlineStr">
        <is>
          <t>ecs.ind</t>
        </is>
      </c>
      <c r="D657" s="14" t="n"/>
      <c r="E657" s="14" t="n"/>
      <c r="F657" s="14" t="n"/>
      <c r="G657" s="14" t="n"/>
      <c r="H657" s="14" t="n">
        <v>1</v>
      </c>
    </row>
    <row r="658">
      <c r="A658" s="14" t="inlineStr">
        <is>
          <t>MRT|ecs.pow</t>
        </is>
      </c>
      <c r="B658" s="14" t="inlineStr">
        <is>
          <t>MRT</t>
        </is>
      </c>
      <c r="C658" s="14" t="inlineStr">
        <is>
          <t>ecs.pow</t>
        </is>
      </c>
      <c r="D658" s="14" t="n"/>
      <c r="E658" s="14" t="n"/>
      <c r="F658" s="14" t="n"/>
      <c r="G658" s="14" t="n"/>
      <c r="H658" s="14" t="n">
        <v>1</v>
      </c>
    </row>
    <row r="659">
      <c r="A659" s="14" t="inlineStr">
        <is>
          <t>MRT|ecs.res</t>
        </is>
      </c>
      <c r="B659" s="14" t="inlineStr">
        <is>
          <t>MRT</t>
        </is>
      </c>
      <c r="C659" s="14" t="inlineStr">
        <is>
          <t>ecs.res</t>
        </is>
      </c>
      <c r="D659" s="14" t="n"/>
      <c r="E659" s="14" t="n"/>
      <c r="F659" s="14" t="n"/>
      <c r="G659" s="14" t="n"/>
      <c r="H659" s="14" t="n">
        <v>1</v>
      </c>
    </row>
    <row r="660">
      <c r="A660" s="14" t="inlineStr">
        <is>
          <t>MRT|ecs.trs</t>
        </is>
      </c>
      <c r="B660" s="14" t="inlineStr">
        <is>
          <t>MRT</t>
        </is>
      </c>
      <c r="C660" s="14" t="inlineStr">
        <is>
          <t>ecs.trs</t>
        </is>
      </c>
      <c r="D660" s="14" t="n"/>
      <c r="E660" s="14" t="n"/>
      <c r="F660" s="14" t="n"/>
      <c r="G660" s="14" t="n"/>
      <c r="H660" s="14" t="n">
        <v>1</v>
      </c>
    </row>
    <row r="661">
      <c r="A661" s="14" t="inlineStr">
        <is>
          <t>NLD|ecf.bio</t>
        </is>
      </c>
      <c r="B661" s="14" t="inlineStr">
        <is>
          <t>NLD</t>
        </is>
      </c>
      <c r="C661" s="14" t="inlineStr">
        <is>
          <t>ecf.bio</t>
        </is>
      </c>
      <c r="D661" s="14" t="n">
        <v>1</v>
      </c>
      <c r="E661" s="14" t="n">
        <v>1</v>
      </c>
      <c r="F661" s="14" t="n">
        <v>1</v>
      </c>
      <c r="G661" s="14" t="n">
        <v>1</v>
      </c>
      <c r="H661" s="14" t="n">
        <v>1</v>
      </c>
    </row>
    <row r="662">
      <c r="A662" s="14" t="inlineStr">
        <is>
          <t>NLD|ecf.coa</t>
        </is>
      </c>
      <c r="B662" s="14" t="inlineStr">
        <is>
          <t>NLD</t>
        </is>
      </c>
      <c r="C662" s="14" t="inlineStr">
        <is>
          <t>ecf.coa</t>
        </is>
      </c>
      <c r="D662" s="14" t="n">
        <v>1</v>
      </c>
      <c r="E662" s="14" t="n">
        <v>1</v>
      </c>
      <c r="F662" s="14" t="n">
        <v>1</v>
      </c>
      <c r="G662" s="14" t="n">
        <v>1</v>
      </c>
      <c r="H662" s="14" t="n">
        <v>1</v>
      </c>
    </row>
    <row r="663">
      <c r="A663" s="14" t="inlineStr">
        <is>
          <t>NLD|ecf.die</t>
        </is>
      </c>
      <c r="B663" s="14" t="inlineStr">
        <is>
          <t>NLD</t>
        </is>
      </c>
      <c r="C663" s="14" t="inlineStr">
        <is>
          <t>ecf.die</t>
        </is>
      </c>
      <c r="D663" s="14" t="n">
        <v>1</v>
      </c>
      <c r="E663" s="14" t="n">
        <v>1</v>
      </c>
      <c r="F663" s="14" t="n">
        <v>1</v>
      </c>
      <c r="G663" s="14" t="n">
        <v>1</v>
      </c>
      <c r="H663" s="14" t="n">
        <v>1</v>
      </c>
    </row>
    <row r="664">
      <c r="A664" s="14" t="inlineStr">
        <is>
          <t>NLD|ecf.gso</t>
        </is>
      </c>
      <c r="B664" s="14" t="inlineStr">
        <is>
          <t>NLD</t>
        </is>
      </c>
      <c r="C664" s="14" t="inlineStr">
        <is>
          <t>ecf.gso</t>
        </is>
      </c>
      <c r="D664" s="14" t="n">
        <v>1</v>
      </c>
      <c r="E664" s="14" t="n">
        <v>1</v>
      </c>
      <c r="F664" s="14" t="n">
        <v>1</v>
      </c>
      <c r="G664" s="14" t="n">
        <v>1</v>
      </c>
      <c r="H664" s="14" t="n">
        <v>1</v>
      </c>
    </row>
    <row r="665">
      <c r="A665" s="14" t="inlineStr">
        <is>
          <t>NLD|ecf.jfu</t>
        </is>
      </c>
      <c r="B665" s="14" t="inlineStr">
        <is>
          <t>NLD</t>
        </is>
      </c>
      <c r="C665" s="14" t="inlineStr">
        <is>
          <t>ecf.jfu</t>
        </is>
      </c>
      <c r="D665" s="14" t="n">
        <v>1</v>
      </c>
      <c r="E665" s="14" t="n">
        <v>1</v>
      </c>
      <c r="F665" s="14" t="n">
        <v>1</v>
      </c>
      <c r="G665" s="14" t="n">
        <v>1</v>
      </c>
      <c r="H665" s="14" t="n">
        <v>1</v>
      </c>
    </row>
    <row r="666">
      <c r="A666" s="14" t="inlineStr">
        <is>
          <t>NLD|ecf.ker</t>
        </is>
      </c>
      <c r="B666" s="14" t="inlineStr">
        <is>
          <t>NLD</t>
        </is>
      </c>
      <c r="C666" s="14" t="inlineStr">
        <is>
          <t>ecf.ker</t>
        </is>
      </c>
      <c r="D666" s="14" t="n">
        <v>1</v>
      </c>
      <c r="E666" s="14" t="n">
        <v>1</v>
      </c>
      <c r="F666" s="14" t="n">
        <v>1</v>
      </c>
      <c r="G666" s="14" t="n">
        <v>1</v>
      </c>
      <c r="H666" s="14" t="n">
        <v>1</v>
      </c>
    </row>
    <row r="667">
      <c r="A667" s="14" t="inlineStr">
        <is>
          <t>NLD|ecf.lpg</t>
        </is>
      </c>
      <c r="B667" s="14" t="inlineStr">
        <is>
          <t>NLD</t>
        </is>
      </c>
      <c r="C667" s="14" t="inlineStr">
        <is>
          <t>ecf.lpg</t>
        </is>
      </c>
      <c r="D667" s="14" t="n">
        <v>1</v>
      </c>
      <c r="E667" s="14" t="n">
        <v>1</v>
      </c>
      <c r="F667" s="14" t="n">
        <v>1</v>
      </c>
      <c r="G667" s="14" t="n">
        <v>1</v>
      </c>
      <c r="H667" s="14" t="n">
        <v>1</v>
      </c>
    </row>
    <row r="668">
      <c r="A668" s="14" t="inlineStr">
        <is>
          <t>NLD|ecf.nga</t>
        </is>
      </c>
      <c r="B668" s="14" t="inlineStr">
        <is>
          <t>NLD</t>
        </is>
      </c>
      <c r="C668" s="14" t="inlineStr">
        <is>
          <t>ecf.nga</t>
        </is>
      </c>
      <c r="D668" s="14" t="n">
        <v>1</v>
      </c>
      <c r="E668" s="14" t="n">
        <v>1</v>
      </c>
      <c r="F668" s="14" t="n">
        <v>1</v>
      </c>
      <c r="G668" s="14" t="n">
        <v>1</v>
      </c>
      <c r="H668" s="14" t="n">
        <v>1</v>
      </c>
    </row>
    <row r="669">
      <c r="A669" s="14" t="inlineStr">
        <is>
          <t>NLD|ecf.oop</t>
        </is>
      </c>
      <c r="B669" s="14" t="inlineStr">
        <is>
          <t>NLD</t>
        </is>
      </c>
      <c r="C669" s="14" t="inlineStr">
        <is>
          <t>ecf.oop</t>
        </is>
      </c>
      <c r="D669" s="14" t="n">
        <v>1</v>
      </c>
      <c r="E669" s="14" t="n">
        <v>1</v>
      </c>
      <c r="F669" s="14" t="n">
        <v>1</v>
      </c>
      <c r="G669" s="14" t="n">
        <v>1</v>
      </c>
      <c r="H669" s="14" t="n">
        <v>1</v>
      </c>
    </row>
    <row r="670">
      <c r="A670" s="14" t="inlineStr">
        <is>
          <t>NLD|ecr.all</t>
        </is>
      </c>
      <c r="B670" s="14" t="inlineStr">
        <is>
          <t>NLD</t>
        </is>
      </c>
      <c r="C670" s="14" t="inlineStr">
        <is>
          <t>ecr.all</t>
        </is>
      </c>
      <c r="D670" s="14" t="n">
        <v>35.238</v>
      </c>
      <c r="E670" s="14" t="n">
        <v>46.14</v>
      </c>
      <c r="F670" s="14" t="n">
        <v>60.83475</v>
      </c>
      <c r="G670" s="14" t="n">
        <v>71.48085</v>
      </c>
      <c r="H670" s="14" t="n">
        <v>94.82652</v>
      </c>
    </row>
    <row r="671">
      <c r="A671" s="14" t="inlineStr">
        <is>
          <t>NLD|ecs.ind</t>
        </is>
      </c>
      <c r="B671" s="14" t="inlineStr">
        <is>
          <t>NLD</t>
        </is>
      </c>
      <c r="C671" s="14" t="inlineStr">
        <is>
          <t>ecs.ind</t>
        </is>
      </c>
      <c r="D671" s="14" t="n">
        <v>0.00646</v>
      </c>
      <c r="E671" s="14" t="n">
        <v>0</v>
      </c>
      <c r="F671" s="14" t="n">
        <v>0</v>
      </c>
      <c r="G671" s="14" t="n">
        <v>0.155666</v>
      </c>
      <c r="H671" s="14" t="n">
        <v>0.155666</v>
      </c>
    </row>
    <row r="672">
      <c r="A672" s="14" t="inlineStr">
        <is>
          <t>NLD|ecs.pow</t>
        </is>
      </c>
      <c r="B672" s="14" t="inlineStr">
        <is>
          <t>NLD</t>
        </is>
      </c>
      <c r="C672" s="14" t="inlineStr">
        <is>
          <t>ecs.pow</t>
        </is>
      </c>
      <c r="D672" s="14" t="n">
        <v>0.832929</v>
      </c>
      <c r="E672" s="14" t="n">
        <v>0.823528</v>
      </c>
      <c r="F672" s="14" t="n">
        <v>0.799932</v>
      </c>
      <c r="G672" s="14" t="n">
        <v>0.807552</v>
      </c>
      <c r="H672" s="14" t="n">
        <v>0.807552</v>
      </c>
    </row>
    <row r="673">
      <c r="A673" s="14" t="inlineStr">
        <is>
          <t>NLD|eef.bio</t>
        </is>
      </c>
      <c r="B673" s="14" t="inlineStr">
        <is>
          <t>NLD</t>
        </is>
      </c>
      <c r="C673" s="14" t="inlineStr">
        <is>
          <t>eef.bio</t>
        </is>
      </c>
      <c r="D673" s="14" t="n">
        <v>0</v>
      </c>
      <c r="E673" s="14" t="n">
        <v>1</v>
      </c>
      <c r="F673" s="14" t="n">
        <v>1</v>
      </c>
      <c r="G673" s="14" t="n">
        <v>1</v>
      </c>
      <c r="H673" s="14" t="n">
        <v>1</v>
      </c>
    </row>
    <row r="674">
      <c r="A674" s="14" t="inlineStr">
        <is>
          <t>NLD|eef.coa</t>
        </is>
      </c>
      <c r="B674" s="14" t="inlineStr">
        <is>
          <t>NLD</t>
        </is>
      </c>
      <c r="C674" s="14" t="inlineStr">
        <is>
          <t>eef.coa</t>
        </is>
      </c>
      <c r="D674" s="14" t="n">
        <v>1</v>
      </c>
      <c r="E674" s="14" t="n">
        <v>1</v>
      </c>
      <c r="F674" s="14" t="n">
        <v>1</v>
      </c>
      <c r="G674" s="14" t="n">
        <v>1</v>
      </c>
      <c r="H674" s="14" t="n">
        <v>1</v>
      </c>
    </row>
    <row r="675">
      <c r="A675" s="14" t="inlineStr">
        <is>
          <t>NLD|eef.die</t>
        </is>
      </c>
      <c r="B675" s="14" t="inlineStr">
        <is>
          <t>NLD</t>
        </is>
      </c>
      <c r="C675" s="14" t="inlineStr">
        <is>
          <t>eef.die</t>
        </is>
      </c>
      <c r="D675" s="14" t="n">
        <v>1</v>
      </c>
      <c r="E675" s="14" t="n">
        <v>1</v>
      </c>
      <c r="F675" s="14" t="n">
        <v>1</v>
      </c>
      <c r="G675" s="14" t="n">
        <v>1</v>
      </c>
      <c r="H675" s="14" t="n">
        <v>1</v>
      </c>
    </row>
    <row r="676">
      <c r="A676" s="14" t="inlineStr">
        <is>
          <t>NLD|eef.gso</t>
        </is>
      </c>
      <c r="B676" s="14" t="inlineStr">
        <is>
          <t>NLD</t>
        </is>
      </c>
      <c r="C676" s="14" t="inlineStr">
        <is>
          <t>eef.gso</t>
        </is>
      </c>
      <c r="D676" s="14" t="n">
        <v>1</v>
      </c>
      <c r="E676" s="14" t="n">
        <v>1</v>
      </c>
      <c r="F676" s="14" t="n">
        <v>1</v>
      </c>
      <c r="G676" s="14" t="n">
        <v>1</v>
      </c>
      <c r="H676" s="14" t="n">
        <v>1</v>
      </c>
    </row>
    <row r="677">
      <c r="A677" s="14" t="inlineStr">
        <is>
          <t>NLD|eef.jfu</t>
        </is>
      </c>
      <c r="B677" s="14" t="inlineStr">
        <is>
          <t>NLD</t>
        </is>
      </c>
      <c r="C677" s="14" t="inlineStr">
        <is>
          <t>eef.jfu</t>
        </is>
      </c>
      <c r="D677" s="14" t="n">
        <v>1</v>
      </c>
      <c r="E677" s="14" t="n">
        <v>1</v>
      </c>
      <c r="F677" s="14" t="n">
        <v>1</v>
      </c>
      <c r="G677" s="14" t="n">
        <v>1</v>
      </c>
      <c r="H677" s="14" t="n">
        <v>1</v>
      </c>
    </row>
    <row r="678">
      <c r="A678" s="14" t="inlineStr">
        <is>
          <t>NLD|eef.ker</t>
        </is>
      </c>
      <c r="B678" s="14" t="inlineStr">
        <is>
          <t>NLD</t>
        </is>
      </c>
      <c r="C678" s="14" t="inlineStr">
        <is>
          <t>eef.ker</t>
        </is>
      </c>
      <c r="D678" s="14" t="n">
        <v>1</v>
      </c>
      <c r="E678" s="14" t="n">
        <v>1</v>
      </c>
      <c r="F678" s="14" t="n">
        <v>1</v>
      </c>
      <c r="G678" s="14" t="n">
        <v>1</v>
      </c>
      <c r="H678" s="14" t="n">
        <v>1</v>
      </c>
    </row>
    <row r="679">
      <c r="A679" s="14" t="inlineStr">
        <is>
          <t>NLD|eef.lpg</t>
        </is>
      </c>
      <c r="B679" s="14" t="inlineStr">
        <is>
          <t>NLD</t>
        </is>
      </c>
      <c r="C679" s="14" t="inlineStr">
        <is>
          <t>eef.lpg</t>
        </is>
      </c>
      <c r="D679" s="14" t="n">
        <v>1</v>
      </c>
      <c r="E679" s="14" t="n">
        <v>1</v>
      </c>
      <c r="F679" s="14" t="n">
        <v>1</v>
      </c>
      <c r="G679" s="14" t="n">
        <v>1</v>
      </c>
      <c r="H679" s="14" t="n">
        <v>1</v>
      </c>
    </row>
    <row r="680">
      <c r="A680" s="14" t="inlineStr">
        <is>
          <t>NLD|eef.nga</t>
        </is>
      </c>
      <c r="B680" s="14" t="inlineStr">
        <is>
          <t>NLD</t>
        </is>
      </c>
      <c r="C680" s="14" t="inlineStr">
        <is>
          <t>eef.nga</t>
        </is>
      </c>
      <c r="D680" s="14" t="n">
        <v>1</v>
      </c>
      <c r="E680" s="14" t="n">
        <v>1</v>
      </c>
      <c r="F680" s="14" t="n">
        <v>1</v>
      </c>
      <c r="G680" s="14" t="n">
        <v>1</v>
      </c>
      <c r="H680" s="14" t="n">
        <v>1</v>
      </c>
    </row>
    <row r="681">
      <c r="A681" s="14" t="inlineStr">
        <is>
          <t>NLD|eef.oop</t>
        </is>
      </c>
      <c r="B681" s="14" t="inlineStr">
        <is>
          <t>NLD</t>
        </is>
      </c>
      <c r="C681" s="14" t="inlineStr">
        <is>
          <t>eef.oop</t>
        </is>
      </c>
      <c r="D681" s="14" t="n">
        <v>1</v>
      </c>
      <c r="E681" s="14" t="n">
        <v>1</v>
      </c>
      <c r="F681" s="14" t="n">
        <v>1</v>
      </c>
      <c r="G681" s="14" t="n">
        <v>1</v>
      </c>
      <c r="H681" s="14" t="n">
        <v>1</v>
      </c>
    </row>
    <row r="682">
      <c r="A682" s="14" t="inlineStr">
        <is>
          <t>NLD|eer.all</t>
        </is>
      </c>
      <c r="B682" s="14" t="inlineStr">
        <is>
          <t>NLD</t>
        </is>
      </c>
      <c r="C682" s="14" t="inlineStr">
        <is>
          <t>eer.all</t>
        </is>
      </c>
      <c r="D682" s="14" t="n">
        <v>49.779548</v>
      </c>
      <c r="E682" s="14" t="n">
        <v>86.52610799999999</v>
      </c>
      <c r="F682" s="14" t="n">
        <v>96.298125</v>
      </c>
      <c r="G682" s="14" t="n">
        <v>61.301547</v>
      </c>
      <c r="H682" s="14" t="n">
        <v>70.370124</v>
      </c>
    </row>
    <row r="683">
      <c r="A683" s="14" t="inlineStr">
        <is>
          <t>NLD|ees.ind</t>
        </is>
      </c>
      <c r="B683" s="14" t="inlineStr">
        <is>
          <t>NLD</t>
        </is>
      </c>
      <c r="C683" s="14" t="inlineStr">
        <is>
          <t>ees.ind</t>
        </is>
      </c>
      <c r="D683" s="14" t="n">
        <v>0.99354</v>
      </c>
      <c r="E683" s="14" t="n">
        <v>1</v>
      </c>
      <c r="F683" s="14" t="n">
        <v>1</v>
      </c>
      <c r="G683" s="14" t="n">
        <v>0.844334</v>
      </c>
      <c r="H683" s="14" t="n">
        <v>0.844334</v>
      </c>
    </row>
    <row r="684">
      <c r="A684" s="14" t="inlineStr">
        <is>
          <t>NLD|ees.pow</t>
        </is>
      </c>
      <c r="B684" s="14" t="inlineStr">
        <is>
          <t>NLD</t>
        </is>
      </c>
      <c r="C684" s="14" t="inlineStr">
        <is>
          <t>ees.pow</t>
        </is>
      </c>
      <c r="D684" s="14" t="n">
        <v>0.167071</v>
      </c>
      <c r="E684" s="14" t="n">
        <v>0.176472</v>
      </c>
      <c r="F684" s="14" t="n">
        <v>0.200068</v>
      </c>
      <c r="G684" s="14" t="n">
        <v>0.192448</v>
      </c>
      <c r="H684" s="14" t="n">
        <v>0.192448</v>
      </c>
    </row>
    <row r="685">
      <c r="A685" s="14" t="inlineStr">
        <is>
          <t>NOR|ecf.bio</t>
        </is>
      </c>
      <c r="B685" s="14" t="inlineStr">
        <is>
          <t>NOR</t>
        </is>
      </c>
      <c r="C685" s="14" t="inlineStr">
        <is>
          <t>ecf.bio</t>
        </is>
      </c>
      <c r="D685" s="14" t="n">
        <v>1</v>
      </c>
      <c r="E685" s="14" t="n">
        <v>1</v>
      </c>
      <c r="F685" s="14" t="n">
        <v>1</v>
      </c>
      <c r="G685" s="14" t="n">
        <v>1</v>
      </c>
      <c r="H685" s="14" t="n">
        <v>1</v>
      </c>
    </row>
    <row r="686">
      <c r="A686" s="14" t="inlineStr">
        <is>
          <t>NOR|ecf.die</t>
        </is>
      </c>
      <c r="B686" s="14" t="inlineStr">
        <is>
          <t>NOR</t>
        </is>
      </c>
      <c r="C686" s="14" t="inlineStr">
        <is>
          <t>ecf.die</t>
        </is>
      </c>
      <c r="D686" s="14" t="n">
        <v>1</v>
      </c>
      <c r="E686" s="14" t="n">
        <v>1</v>
      </c>
      <c r="F686" s="14" t="n">
        <v>1</v>
      </c>
      <c r="G686" s="14" t="n">
        <v>1</v>
      </c>
      <c r="H686" s="14" t="n">
        <v>1</v>
      </c>
    </row>
    <row r="687">
      <c r="A687" s="14" t="inlineStr">
        <is>
          <t>NOR|ecf.gso</t>
        </is>
      </c>
      <c r="B687" s="14" t="inlineStr">
        <is>
          <t>NOR</t>
        </is>
      </c>
      <c r="C687" s="14" t="inlineStr">
        <is>
          <t>ecf.gso</t>
        </is>
      </c>
      <c r="D687" s="14" t="n">
        <v>1</v>
      </c>
      <c r="E687" s="14" t="n">
        <v>1</v>
      </c>
      <c r="F687" s="14" t="n">
        <v>1</v>
      </c>
      <c r="G687" s="14" t="n">
        <v>1</v>
      </c>
      <c r="H687" s="14" t="n">
        <v>1</v>
      </c>
    </row>
    <row r="688">
      <c r="A688" s="14" t="inlineStr">
        <is>
          <t>NOR|ecf.jfu</t>
        </is>
      </c>
      <c r="B688" s="14" t="inlineStr">
        <is>
          <t>NOR</t>
        </is>
      </c>
      <c r="C688" s="14" t="inlineStr">
        <is>
          <t>ecf.jfu</t>
        </is>
      </c>
      <c r="D688" s="14" t="n">
        <v>1</v>
      </c>
      <c r="E688" s="14" t="n">
        <v>1</v>
      </c>
      <c r="F688" s="14" t="n">
        <v>1</v>
      </c>
      <c r="G688" s="14" t="n">
        <v>1</v>
      </c>
      <c r="H688" s="14" t="n">
        <v>1</v>
      </c>
    </row>
    <row r="689">
      <c r="A689" s="14" t="inlineStr">
        <is>
          <t>NOR|ecf.ker</t>
        </is>
      </c>
      <c r="B689" s="14" t="inlineStr">
        <is>
          <t>NOR</t>
        </is>
      </c>
      <c r="C689" s="14" t="inlineStr">
        <is>
          <t>ecf.ker</t>
        </is>
      </c>
      <c r="D689" s="14" t="n">
        <v>1</v>
      </c>
      <c r="E689" s="14" t="n">
        <v>1</v>
      </c>
      <c r="F689" s="14" t="n">
        <v>1</v>
      </c>
      <c r="G689" s="14" t="n">
        <v>1</v>
      </c>
      <c r="H689" s="14" t="n">
        <v>1</v>
      </c>
    </row>
    <row r="690">
      <c r="A690" s="14" t="inlineStr">
        <is>
          <t>NOR|ecf.lpg</t>
        </is>
      </c>
      <c r="B690" s="14" t="inlineStr">
        <is>
          <t>NOR</t>
        </is>
      </c>
      <c r="C690" s="14" t="inlineStr">
        <is>
          <t>ecf.lpg</t>
        </is>
      </c>
      <c r="D690" s="14" t="n">
        <v>1</v>
      </c>
      <c r="E690" s="14" t="n">
        <v>1</v>
      </c>
      <c r="F690" s="14" t="n">
        <v>1</v>
      </c>
      <c r="G690" s="14" t="n">
        <v>1</v>
      </c>
      <c r="H690" s="14" t="n">
        <v>1</v>
      </c>
    </row>
    <row r="691">
      <c r="A691" s="14" t="inlineStr">
        <is>
          <t>NOR|ecf.nga</t>
        </is>
      </c>
      <c r="B691" s="14" t="inlineStr">
        <is>
          <t>NOR</t>
        </is>
      </c>
      <c r="C691" s="14" t="inlineStr">
        <is>
          <t>ecf.nga</t>
        </is>
      </c>
      <c r="D691" s="14" t="n">
        <v>1</v>
      </c>
      <c r="E691" s="14" t="n">
        <v>1</v>
      </c>
      <c r="F691" s="14" t="n">
        <v>1</v>
      </c>
      <c r="G691" s="14" t="n">
        <v>1</v>
      </c>
      <c r="H691" s="14" t="n">
        <v>1</v>
      </c>
    </row>
    <row r="692">
      <c r="A692" s="14" t="inlineStr">
        <is>
          <t>NOR|ecf.oop</t>
        </is>
      </c>
      <c r="B692" s="14" t="inlineStr">
        <is>
          <t>NOR</t>
        </is>
      </c>
      <c r="C692" s="14" t="inlineStr">
        <is>
          <t>ecf.oop</t>
        </is>
      </c>
      <c r="D692" s="14" t="n">
        <v>1</v>
      </c>
      <c r="E692" s="14" t="n">
        <v>1</v>
      </c>
      <c r="F692" s="14" t="n">
        <v>1</v>
      </c>
      <c r="G692" s="14" t="n">
        <v>1</v>
      </c>
      <c r="H692" s="14" t="n">
        <v>1</v>
      </c>
    </row>
    <row r="693">
      <c r="A693" s="14" t="inlineStr">
        <is>
          <t>NOR|ecr.all</t>
        </is>
      </c>
      <c r="B693" s="14" t="inlineStr">
        <is>
          <t>NOR</t>
        </is>
      </c>
      <c r="C693" s="14" t="inlineStr">
        <is>
          <t>ecr.all</t>
        </is>
      </c>
      <c r="D693" s="14" t="n">
        <v>80.35284900000001</v>
      </c>
      <c r="E693" s="14" t="n">
        <v>96.305616</v>
      </c>
      <c r="F693" s="14" t="n">
        <v>94.49089499999999</v>
      </c>
      <c r="G693" s="14" t="n">
        <v>107.783552</v>
      </c>
      <c r="H693" s="14" t="n">
        <v>133.920487</v>
      </c>
    </row>
    <row r="694">
      <c r="A694" s="14" t="inlineStr">
        <is>
          <t>NOR|ecs.ind</t>
        </is>
      </c>
      <c r="B694" s="14" t="inlineStr">
        <is>
          <t>NOR</t>
        </is>
      </c>
      <c r="C694" s="14" t="inlineStr">
        <is>
          <t>ecs.ind</t>
        </is>
      </c>
      <c r="D694" s="14" t="n">
        <v>0.415492</v>
      </c>
      <c r="E694" s="14" t="n">
        <v>0.41336</v>
      </c>
      <c r="F694" s="14" t="n">
        <v>0.408587</v>
      </c>
      <c r="G694" s="14" t="n">
        <v>0.408587</v>
      </c>
      <c r="H694" s="14" t="n">
        <v>0.408587</v>
      </c>
    </row>
    <row r="695">
      <c r="A695" s="14" t="inlineStr">
        <is>
          <t>NOR|ecs.pow</t>
        </is>
      </c>
      <c r="B695" s="14" t="inlineStr">
        <is>
          <t>NOR</t>
        </is>
      </c>
      <c r="C695" s="14" t="inlineStr">
        <is>
          <t>ecs.pow</t>
        </is>
      </c>
      <c r="D695" s="14" t="n">
        <v>0.415492</v>
      </c>
      <c r="E695" s="14" t="n">
        <v>0.41336</v>
      </c>
      <c r="F695" s="14" t="n">
        <v>0.408587</v>
      </c>
      <c r="G695" s="14" t="n">
        <v>0.408587</v>
      </c>
      <c r="H695" s="14" t="n">
        <v>0.408587</v>
      </c>
    </row>
    <row r="696">
      <c r="A696" s="14" t="inlineStr">
        <is>
          <t>NOR|ecs.res</t>
        </is>
      </c>
      <c r="B696" s="14" t="inlineStr">
        <is>
          <t>NOR</t>
        </is>
      </c>
      <c r="C696" s="14" t="inlineStr">
        <is>
          <t>ecs.res</t>
        </is>
      </c>
      <c r="D696" s="14" t="n">
        <v>0.415492</v>
      </c>
      <c r="E696" s="14" t="n">
        <v>0.41336</v>
      </c>
      <c r="F696" s="14" t="n">
        <v>0.408587</v>
      </c>
      <c r="G696" s="14" t="n">
        <v>0.408587</v>
      </c>
      <c r="H696" s="14" t="n">
        <v>0.408587</v>
      </c>
    </row>
    <row r="697">
      <c r="A697" s="14" t="inlineStr">
        <is>
          <t>NOR|ecs.trs</t>
        </is>
      </c>
      <c r="B697" s="14" t="inlineStr">
        <is>
          <t>NOR</t>
        </is>
      </c>
      <c r="C697" s="14" t="inlineStr">
        <is>
          <t>ecs.trs</t>
        </is>
      </c>
      <c r="D697" s="14" t="n">
        <v>0.415492</v>
      </c>
      <c r="E697" s="14" t="n">
        <v>0.41336</v>
      </c>
      <c r="F697" s="14" t="n">
        <v>0.408587</v>
      </c>
      <c r="G697" s="14" t="n">
        <v>0.408587</v>
      </c>
      <c r="H697" s="14" t="n">
        <v>0.408587</v>
      </c>
    </row>
    <row r="698">
      <c r="A698" s="14" t="inlineStr">
        <is>
          <t>NOR|eef.bio</t>
        </is>
      </c>
      <c r="B698" s="14" t="inlineStr">
        <is>
          <t>NOR</t>
        </is>
      </c>
      <c r="C698" s="14" t="inlineStr">
        <is>
          <t>eef.bio</t>
        </is>
      </c>
      <c r="D698" s="14" t="n">
        <v>0</v>
      </c>
      <c r="E698" s="14" t="n">
        <v>1</v>
      </c>
      <c r="F698" s="14" t="n">
        <v>1</v>
      </c>
      <c r="G698" s="14" t="n">
        <v>1</v>
      </c>
      <c r="H698" s="14" t="n">
        <v>1</v>
      </c>
    </row>
    <row r="699">
      <c r="A699" s="14" t="inlineStr">
        <is>
          <t>NOR|eef.coa</t>
        </is>
      </c>
      <c r="B699" s="14" t="inlineStr">
        <is>
          <t>NOR</t>
        </is>
      </c>
      <c r="C699" s="14" t="inlineStr">
        <is>
          <t>eef.coa</t>
        </is>
      </c>
      <c r="D699" s="14" t="n">
        <v>1</v>
      </c>
      <c r="E699" s="14" t="n">
        <v>1</v>
      </c>
      <c r="F699" s="14" t="n">
        <v>1</v>
      </c>
      <c r="G699" s="14" t="n">
        <v>1</v>
      </c>
      <c r="H699" s="14" t="n">
        <v>1</v>
      </c>
    </row>
    <row r="700">
      <c r="A700" s="14" t="inlineStr">
        <is>
          <t>NOR|eef.die</t>
        </is>
      </c>
      <c r="B700" s="14" t="inlineStr">
        <is>
          <t>NOR</t>
        </is>
      </c>
      <c r="C700" s="14" t="inlineStr">
        <is>
          <t>eef.die</t>
        </is>
      </c>
      <c r="D700" s="14" t="n">
        <v>1</v>
      </c>
      <c r="E700" s="14" t="n">
        <v>1</v>
      </c>
      <c r="F700" s="14" t="n">
        <v>1</v>
      </c>
      <c r="G700" s="14" t="n">
        <v>1</v>
      </c>
      <c r="H700" s="14" t="n">
        <v>1</v>
      </c>
    </row>
    <row r="701">
      <c r="A701" s="14" t="inlineStr">
        <is>
          <t>NOR|eef.gso</t>
        </is>
      </c>
      <c r="B701" s="14" t="inlineStr">
        <is>
          <t>NOR</t>
        </is>
      </c>
      <c r="C701" s="14" t="inlineStr">
        <is>
          <t>eef.gso</t>
        </is>
      </c>
      <c r="D701" s="14" t="n">
        <v>1</v>
      </c>
      <c r="E701" s="14" t="n">
        <v>1</v>
      </c>
      <c r="F701" s="14" t="n">
        <v>1</v>
      </c>
      <c r="G701" s="14" t="n">
        <v>1</v>
      </c>
      <c r="H701" s="14" t="n">
        <v>1</v>
      </c>
    </row>
    <row r="702">
      <c r="A702" s="14" t="inlineStr">
        <is>
          <t>NOR|eef.jfu</t>
        </is>
      </c>
      <c r="B702" s="14" t="inlineStr">
        <is>
          <t>NOR</t>
        </is>
      </c>
      <c r="C702" s="14" t="inlineStr">
        <is>
          <t>eef.jfu</t>
        </is>
      </c>
      <c r="D702" s="14" t="n">
        <v>1</v>
      </c>
      <c r="E702" s="14" t="n">
        <v>1</v>
      </c>
      <c r="F702" s="14" t="n">
        <v>1</v>
      </c>
      <c r="G702" s="14" t="n">
        <v>1</v>
      </c>
      <c r="H702" s="14" t="n">
        <v>1</v>
      </c>
    </row>
    <row r="703">
      <c r="A703" s="14" t="inlineStr">
        <is>
          <t>NOR|eef.ker</t>
        </is>
      </c>
      <c r="B703" s="14" t="inlineStr">
        <is>
          <t>NOR</t>
        </is>
      </c>
      <c r="C703" s="14" t="inlineStr">
        <is>
          <t>eef.ker</t>
        </is>
      </c>
      <c r="D703" s="14" t="n">
        <v>1</v>
      </c>
      <c r="E703" s="14" t="n">
        <v>1</v>
      </c>
      <c r="F703" s="14" t="n">
        <v>1</v>
      </c>
      <c r="G703" s="14" t="n">
        <v>1</v>
      </c>
      <c r="H703" s="14" t="n">
        <v>1</v>
      </c>
    </row>
    <row r="704">
      <c r="A704" s="14" t="inlineStr">
        <is>
          <t>NOR|eef.lpg</t>
        </is>
      </c>
      <c r="B704" s="14" t="inlineStr">
        <is>
          <t>NOR</t>
        </is>
      </c>
      <c r="C704" s="14" t="inlineStr">
        <is>
          <t>eef.lpg</t>
        </is>
      </c>
      <c r="D704" s="14" t="n">
        <v>1</v>
      </c>
      <c r="E704" s="14" t="n">
        <v>1</v>
      </c>
      <c r="F704" s="14" t="n">
        <v>1</v>
      </c>
      <c r="G704" s="14" t="n">
        <v>1</v>
      </c>
      <c r="H704" s="14" t="n">
        <v>1</v>
      </c>
    </row>
    <row r="705">
      <c r="A705" s="14" t="inlineStr">
        <is>
          <t>NOR|eef.nga</t>
        </is>
      </c>
      <c r="B705" s="14" t="inlineStr">
        <is>
          <t>NOR</t>
        </is>
      </c>
      <c r="C705" s="14" t="inlineStr">
        <is>
          <t>eef.nga</t>
        </is>
      </c>
      <c r="D705" s="14" t="n">
        <v>1</v>
      </c>
      <c r="E705" s="14" t="n">
        <v>1</v>
      </c>
      <c r="F705" s="14" t="n">
        <v>1</v>
      </c>
      <c r="G705" s="14" t="n">
        <v>1</v>
      </c>
      <c r="H705" s="14" t="n">
        <v>1</v>
      </c>
    </row>
    <row r="706">
      <c r="A706" s="14" t="inlineStr">
        <is>
          <t>NOR|eef.oop</t>
        </is>
      </c>
      <c r="B706" s="14" t="inlineStr">
        <is>
          <t>NOR</t>
        </is>
      </c>
      <c r="C706" s="14" t="inlineStr">
        <is>
          <t>eef.oop</t>
        </is>
      </c>
      <c r="D706" s="14" t="n">
        <v>1</v>
      </c>
      <c r="E706" s="14" t="n">
        <v>1</v>
      </c>
      <c r="F706" s="14" t="n">
        <v>1</v>
      </c>
      <c r="G706" s="14" t="n">
        <v>1</v>
      </c>
      <c r="H706" s="14" t="n">
        <v>1</v>
      </c>
    </row>
    <row r="707">
      <c r="A707" s="14" t="inlineStr">
        <is>
          <t>NOR|eer.all</t>
        </is>
      </c>
      <c r="B707" s="14" t="inlineStr">
        <is>
          <t>NOR</t>
        </is>
      </c>
      <c r="C707" s="14" t="inlineStr">
        <is>
          <t>eer.all</t>
        </is>
      </c>
      <c r="D707" s="14" t="n">
        <v>49.779548</v>
      </c>
      <c r="E707" s="14" t="n">
        <v>86.52610799999999</v>
      </c>
      <c r="F707" s="14" t="n">
        <v>96.298125</v>
      </c>
      <c r="G707" s="14" t="n">
        <v>61.301547</v>
      </c>
      <c r="H707" s="14" t="n">
        <v>70.370124</v>
      </c>
    </row>
    <row r="708">
      <c r="A708" s="14" t="inlineStr">
        <is>
          <t>NOR|ees.ind</t>
        </is>
      </c>
      <c r="B708" s="14" t="inlineStr">
        <is>
          <t>NOR</t>
        </is>
      </c>
      <c r="C708" s="14" t="inlineStr">
        <is>
          <t>ees.ind</t>
        </is>
      </c>
      <c r="D708" s="14" t="n">
        <v>0.816102</v>
      </c>
      <c r="E708" s="14" t="n">
        <v>0.836106</v>
      </c>
      <c r="F708" s="14" t="n">
        <v>0.916247</v>
      </c>
      <c r="G708" s="14" t="n">
        <v>0.740421</v>
      </c>
      <c r="H708" s="14" t="n">
        <v>0.740421</v>
      </c>
    </row>
    <row r="709">
      <c r="A709" s="14" t="inlineStr">
        <is>
          <t>NOR|ees.pow</t>
        </is>
      </c>
      <c r="B709" s="14" t="inlineStr">
        <is>
          <t>NOR</t>
        </is>
      </c>
      <c r="C709" s="14" t="inlineStr">
        <is>
          <t>ees.pow</t>
        </is>
      </c>
      <c r="D709" s="14" t="n">
        <v>0.266028</v>
      </c>
      <c r="E709" s="14" t="n">
        <v>0.246765</v>
      </c>
      <c r="F709" s="14" t="n">
        <v>0.237168</v>
      </c>
      <c r="G709" s="14" t="n">
        <v>0.249756</v>
      </c>
      <c r="H709" s="14" t="n">
        <v>0.249756</v>
      </c>
    </row>
    <row r="710">
      <c r="A710" s="14" t="inlineStr">
        <is>
          <t>NZL|eef.coa</t>
        </is>
      </c>
      <c r="B710" s="14" t="inlineStr">
        <is>
          <t>NZL</t>
        </is>
      </c>
      <c r="C710" s="14" t="inlineStr">
        <is>
          <t>eef.coa</t>
        </is>
      </c>
      <c r="D710" s="14" t="n">
        <v>1</v>
      </c>
      <c r="E710" s="14" t="n">
        <v>1</v>
      </c>
      <c r="F710" s="14" t="n">
        <v>1</v>
      </c>
      <c r="G710" s="14" t="n">
        <v>1</v>
      </c>
      <c r="H710" s="14" t="n">
        <v>1</v>
      </c>
    </row>
    <row r="711">
      <c r="A711" s="14" t="inlineStr">
        <is>
          <t>NZL|eef.die</t>
        </is>
      </c>
      <c r="B711" s="14" t="inlineStr">
        <is>
          <t>NZL</t>
        </is>
      </c>
      <c r="C711" s="14" t="inlineStr">
        <is>
          <t>eef.die</t>
        </is>
      </c>
      <c r="D711" s="14" t="n">
        <v>1</v>
      </c>
      <c r="E711" s="14" t="n">
        <v>1</v>
      </c>
      <c r="F711" s="14" t="n">
        <v>1</v>
      </c>
      <c r="G711" s="14" t="n">
        <v>1</v>
      </c>
      <c r="H711" s="14" t="n">
        <v>1</v>
      </c>
    </row>
    <row r="712">
      <c r="A712" s="14" t="inlineStr">
        <is>
          <t>NZL|eef.gso</t>
        </is>
      </c>
      <c r="B712" s="14" t="inlineStr">
        <is>
          <t>NZL</t>
        </is>
      </c>
      <c r="C712" s="14" t="inlineStr">
        <is>
          <t>eef.gso</t>
        </is>
      </c>
      <c r="D712" s="14" t="n">
        <v>1</v>
      </c>
      <c r="E712" s="14" t="n">
        <v>1</v>
      </c>
      <c r="F712" s="14" t="n">
        <v>1</v>
      </c>
      <c r="G712" s="14" t="n">
        <v>1</v>
      </c>
      <c r="H712" s="14" t="n">
        <v>1</v>
      </c>
    </row>
    <row r="713">
      <c r="A713" s="14" t="inlineStr">
        <is>
          <t>NZL|eef.jfu</t>
        </is>
      </c>
      <c r="B713" s="14" t="inlineStr">
        <is>
          <t>NZL</t>
        </is>
      </c>
      <c r="C713" s="14" t="inlineStr">
        <is>
          <t>eef.jfu</t>
        </is>
      </c>
      <c r="D713" s="14" t="n">
        <v>1</v>
      </c>
      <c r="E713" s="14" t="n">
        <v>1</v>
      </c>
      <c r="F713" s="14" t="n">
        <v>1</v>
      </c>
      <c r="G713" s="14" t="n">
        <v>1</v>
      </c>
      <c r="H713" s="14" t="n">
        <v>1</v>
      </c>
    </row>
    <row r="714">
      <c r="A714" s="14" t="inlineStr">
        <is>
          <t>NZL|eef.ker</t>
        </is>
      </c>
      <c r="B714" s="14" t="inlineStr">
        <is>
          <t>NZL</t>
        </is>
      </c>
      <c r="C714" s="14" t="inlineStr">
        <is>
          <t>eef.ker</t>
        </is>
      </c>
      <c r="D714" s="14" t="n">
        <v>1</v>
      </c>
      <c r="E714" s="14" t="n">
        <v>1</v>
      </c>
      <c r="F714" s="14" t="n">
        <v>1</v>
      </c>
      <c r="G714" s="14" t="n">
        <v>1</v>
      </c>
      <c r="H714" s="14" t="n">
        <v>1</v>
      </c>
    </row>
    <row r="715">
      <c r="A715" s="14" t="inlineStr">
        <is>
          <t>NZL|eef.lpg</t>
        </is>
      </c>
      <c r="B715" s="14" t="inlineStr">
        <is>
          <t>NZL</t>
        </is>
      </c>
      <c r="C715" s="14" t="inlineStr">
        <is>
          <t>eef.lpg</t>
        </is>
      </c>
      <c r="D715" s="14" t="n">
        <v>1</v>
      </c>
      <c r="E715" s="14" t="n">
        <v>1</v>
      </c>
      <c r="F715" s="14" t="n">
        <v>1</v>
      </c>
      <c r="G715" s="14" t="n">
        <v>1</v>
      </c>
      <c r="H715" s="14" t="n">
        <v>1</v>
      </c>
    </row>
    <row r="716">
      <c r="A716" s="14" t="inlineStr">
        <is>
          <t>NZL|eef.nga</t>
        </is>
      </c>
      <c r="B716" s="14" t="inlineStr">
        <is>
          <t>NZL</t>
        </is>
      </c>
      <c r="C716" s="14" t="inlineStr">
        <is>
          <t>eef.nga</t>
        </is>
      </c>
      <c r="D716" s="14" t="n">
        <v>1</v>
      </c>
      <c r="E716" s="14" t="n">
        <v>1</v>
      </c>
      <c r="F716" s="14" t="n">
        <v>1</v>
      </c>
      <c r="G716" s="14" t="n">
        <v>1</v>
      </c>
      <c r="H716" s="14" t="n">
        <v>1</v>
      </c>
    </row>
    <row r="717">
      <c r="A717" s="14" t="inlineStr">
        <is>
          <t>NZL|eef.oop</t>
        </is>
      </c>
      <c r="B717" s="14" t="inlineStr">
        <is>
          <t>NZL</t>
        </is>
      </c>
      <c r="C717" s="14" t="inlineStr">
        <is>
          <t>eef.oop</t>
        </is>
      </c>
      <c r="D717" s="14" t="n">
        <v>1</v>
      </c>
      <c r="E717" s="14" t="n">
        <v>1</v>
      </c>
      <c r="F717" s="14" t="n">
        <v>1</v>
      </c>
      <c r="G717" s="14" t="n">
        <v>1</v>
      </c>
      <c r="H717" s="14" t="n">
        <v>1</v>
      </c>
    </row>
    <row r="718">
      <c r="A718" s="14" t="inlineStr">
        <is>
          <t>NZL|eer.all</t>
        </is>
      </c>
      <c r="B718" s="14" t="inlineStr">
        <is>
          <t>NZL</t>
        </is>
      </c>
      <c r="C718" s="14" t="inlineStr">
        <is>
          <t>eer.all</t>
        </is>
      </c>
      <c r="D718" s="14" t="n">
        <v>25.75989</v>
      </c>
      <c r="E718" s="14" t="n">
        <v>52.6224</v>
      </c>
      <c r="F718" s="14" t="n">
        <v>34.19875</v>
      </c>
      <c r="G718" s="14" t="n">
        <v>35.105</v>
      </c>
      <c r="H718" s="14" t="n">
        <v>32.007124</v>
      </c>
    </row>
    <row r="719">
      <c r="A719" s="14" t="inlineStr">
        <is>
          <t>NZL|ees.ind</t>
        </is>
      </c>
      <c r="B719" s="14" t="inlineStr">
        <is>
          <t>NZL</t>
        </is>
      </c>
      <c r="C719" s="14" t="inlineStr">
        <is>
          <t>ees.ind</t>
        </is>
      </c>
      <c r="D719" s="14" t="n">
        <v>0.736328</v>
      </c>
      <c r="E719" s="14" t="n">
        <v>0.739324</v>
      </c>
      <c r="F719" s="14" t="n">
        <v>0.726492</v>
      </c>
      <c r="G719" s="14" t="n">
        <v>0.726492</v>
      </c>
      <c r="H719" s="14" t="n">
        <v>0.726492</v>
      </c>
    </row>
    <row r="720">
      <c r="A720" s="14" t="inlineStr">
        <is>
          <t>NZL|ees.pow</t>
        </is>
      </c>
      <c r="B720" s="14" t="inlineStr">
        <is>
          <t>NZL</t>
        </is>
      </c>
      <c r="C720" s="14" t="inlineStr">
        <is>
          <t>ees.pow</t>
        </is>
      </c>
      <c r="D720" s="14" t="n">
        <v>0.736328</v>
      </c>
      <c r="E720" s="14" t="n">
        <v>0.739324</v>
      </c>
      <c r="F720" s="14" t="n">
        <v>0.726492</v>
      </c>
      <c r="G720" s="14" t="n">
        <v>0.726492</v>
      </c>
      <c r="H720" s="14" t="n">
        <v>0.726492</v>
      </c>
    </row>
    <row r="721">
      <c r="A721" s="14" t="inlineStr">
        <is>
          <t>NZL|ees.res</t>
        </is>
      </c>
      <c r="B721" s="14" t="inlineStr">
        <is>
          <t>NZL</t>
        </is>
      </c>
      <c r="C721" s="14" t="inlineStr">
        <is>
          <t>ees.res</t>
        </is>
      </c>
      <c r="D721" s="14" t="n">
        <v>0.736328</v>
      </c>
      <c r="E721" s="14" t="n">
        <v>0.739324</v>
      </c>
      <c r="F721" s="14" t="n">
        <v>0.726492</v>
      </c>
      <c r="G721" s="14" t="n">
        <v>0.726492</v>
      </c>
      <c r="H721" s="14" t="n">
        <v>0.726492</v>
      </c>
    </row>
    <row r="722">
      <c r="A722" s="14" t="inlineStr">
        <is>
          <t>NZL|ees.trs</t>
        </is>
      </c>
      <c r="B722" s="14" t="inlineStr">
        <is>
          <t>NZL</t>
        </is>
      </c>
      <c r="C722" s="14" t="inlineStr">
        <is>
          <t>ees.trs</t>
        </is>
      </c>
      <c r="D722" s="14" t="n">
        <v>0.736328</v>
      </c>
      <c r="E722" s="14" t="n">
        <v>0.739324</v>
      </c>
      <c r="F722" s="14" t="n">
        <v>0.726492</v>
      </c>
      <c r="G722" s="14" t="n">
        <v>0.726492</v>
      </c>
      <c r="H722" s="14" t="n">
        <v>0.726492</v>
      </c>
    </row>
    <row r="723">
      <c r="A723" s="14" t="inlineStr">
        <is>
          <t>POL|ecf.coa</t>
        </is>
      </c>
      <c r="B723" s="14" t="inlineStr">
        <is>
          <t>POL</t>
        </is>
      </c>
      <c r="C723" s="14" t="inlineStr">
        <is>
          <t>ecf.coa</t>
        </is>
      </c>
      <c r="D723" s="14" t="n">
        <v>1</v>
      </c>
      <c r="E723" s="14" t="n">
        <v>1</v>
      </c>
      <c r="F723" s="14" t="n">
        <v>1</v>
      </c>
      <c r="G723" s="14" t="n">
        <v>1</v>
      </c>
      <c r="H723" s="14" t="n">
        <v>1</v>
      </c>
    </row>
    <row r="724">
      <c r="A724" s="14" t="inlineStr">
        <is>
          <t>POL|ecf.die</t>
        </is>
      </c>
      <c r="B724" s="14" t="inlineStr">
        <is>
          <t>POL</t>
        </is>
      </c>
      <c r="C724" s="14" t="inlineStr">
        <is>
          <t>ecf.die</t>
        </is>
      </c>
      <c r="D724" s="14" t="n">
        <v>1</v>
      </c>
      <c r="E724" s="14" t="n">
        <v>1</v>
      </c>
      <c r="F724" s="14" t="n">
        <v>1</v>
      </c>
      <c r="G724" s="14" t="n">
        <v>1</v>
      </c>
      <c r="H724" s="14" t="n">
        <v>1</v>
      </c>
    </row>
    <row r="725">
      <c r="A725" s="14" t="inlineStr">
        <is>
          <t>POL|ecf.gso</t>
        </is>
      </c>
      <c r="B725" s="14" t="inlineStr">
        <is>
          <t>POL</t>
        </is>
      </c>
      <c r="C725" s="14" t="inlineStr">
        <is>
          <t>ecf.gso</t>
        </is>
      </c>
      <c r="D725" s="14" t="n">
        <v>1</v>
      </c>
      <c r="E725" s="14" t="n">
        <v>1</v>
      </c>
      <c r="F725" s="14" t="n">
        <v>1</v>
      </c>
      <c r="G725" s="14" t="n">
        <v>1</v>
      </c>
      <c r="H725" s="14" t="n">
        <v>1</v>
      </c>
    </row>
    <row r="726">
      <c r="A726" s="14" t="inlineStr">
        <is>
          <t>POL|ecf.ker</t>
        </is>
      </c>
      <c r="B726" s="14" t="inlineStr">
        <is>
          <t>POL</t>
        </is>
      </c>
      <c r="C726" s="14" t="inlineStr">
        <is>
          <t>ecf.ker</t>
        </is>
      </c>
      <c r="D726" s="14" t="n">
        <v>1</v>
      </c>
      <c r="E726" s="14" t="n">
        <v>1</v>
      </c>
      <c r="F726" s="14" t="n">
        <v>1</v>
      </c>
      <c r="G726" s="14" t="n">
        <v>1</v>
      </c>
      <c r="H726" s="14" t="n">
        <v>1</v>
      </c>
    </row>
    <row r="727">
      <c r="A727" s="14" t="inlineStr">
        <is>
          <t>POL|ecf.lpg</t>
        </is>
      </c>
      <c r="B727" s="14" t="inlineStr">
        <is>
          <t>POL</t>
        </is>
      </c>
      <c r="C727" s="14" t="inlineStr">
        <is>
          <t>ecf.lpg</t>
        </is>
      </c>
      <c r="D727" s="14" t="n">
        <v>1</v>
      </c>
      <c r="E727" s="14" t="n">
        <v>1</v>
      </c>
      <c r="F727" s="14" t="n">
        <v>1</v>
      </c>
      <c r="G727" s="14" t="n">
        <v>1</v>
      </c>
      <c r="H727" s="14" t="n">
        <v>0</v>
      </c>
    </row>
    <row r="728">
      <c r="A728" s="14" t="inlineStr">
        <is>
          <t>POL|ecf.nga</t>
        </is>
      </c>
      <c r="B728" s="14" t="inlineStr">
        <is>
          <t>POL</t>
        </is>
      </c>
      <c r="C728" s="14" t="inlineStr">
        <is>
          <t>ecf.nga</t>
        </is>
      </c>
      <c r="D728" s="14" t="n">
        <v>1</v>
      </c>
      <c r="E728" s="14" t="n">
        <v>1</v>
      </c>
      <c r="F728" s="14" t="n">
        <v>1</v>
      </c>
      <c r="G728" s="14" t="n">
        <v>1</v>
      </c>
      <c r="H728" s="14" t="n">
        <v>0</v>
      </c>
    </row>
    <row r="729">
      <c r="A729" s="14" t="inlineStr">
        <is>
          <t>POL|ecf.oop</t>
        </is>
      </c>
      <c r="B729" s="14" t="inlineStr">
        <is>
          <t>POL</t>
        </is>
      </c>
      <c r="C729" s="14" t="inlineStr">
        <is>
          <t>ecf.oop</t>
        </is>
      </c>
      <c r="D729" s="14" t="n">
        <v>1</v>
      </c>
      <c r="E729" s="14" t="n">
        <v>1</v>
      </c>
      <c r="F729" s="14" t="n">
        <v>1</v>
      </c>
      <c r="G729" s="14" t="n">
        <v>1</v>
      </c>
      <c r="H729" s="14" t="n">
        <v>1</v>
      </c>
    </row>
    <row r="730">
      <c r="A730" s="14" t="inlineStr">
        <is>
          <t>POL|ecr.all</t>
        </is>
      </c>
      <c r="B730" s="14" t="inlineStr">
        <is>
          <t>POL</t>
        </is>
      </c>
      <c r="C730" s="14" t="inlineStr">
        <is>
          <t>ecr.all</t>
        </is>
      </c>
      <c r="D730" s="14" t="n">
        <v>0.078624</v>
      </c>
      <c r="E730" s="14" t="n">
        <v>0.07623000000000001</v>
      </c>
      <c r="F730" s="14" t="n">
        <v>0.079191</v>
      </c>
      <c r="G730" s="14" t="n">
        <v>0.079191</v>
      </c>
      <c r="H730" s="14" t="n">
        <v>0.098303</v>
      </c>
    </row>
    <row r="731">
      <c r="A731" s="14" t="inlineStr">
        <is>
          <t>POL|ecs.ind</t>
        </is>
      </c>
      <c r="B731" s="14" t="inlineStr">
        <is>
          <t>POL</t>
        </is>
      </c>
      <c r="C731" s="14" t="inlineStr">
        <is>
          <t>ecs.ind</t>
        </is>
      </c>
      <c r="D731" s="14" t="n">
        <v>0.02305</v>
      </c>
      <c r="E731" s="14" t="n">
        <v>0.094315</v>
      </c>
      <c r="F731" s="14" t="n">
        <v>0</v>
      </c>
      <c r="G731" s="14" t="n">
        <v>0.100386</v>
      </c>
      <c r="H731" s="14" t="n">
        <v>0.100386</v>
      </c>
    </row>
    <row r="732">
      <c r="A732" s="14" t="inlineStr">
        <is>
          <t>POL|ecs.pow</t>
        </is>
      </c>
      <c r="B732" s="14" t="inlineStr">
        <is>
          <t>POL</t>
        </is>
      </c>
      <c r="C732" s="14" t="inlineStr">
        <is>
          <t>ecs.pow</t>
        </is>
      </c>
      <c r="D732" s="14" t="n">
        <v>0.959094</v>
      </c>
      <c r="E732" s="14" t="n">
        <v>0.956577</v>
      </c>
      <c r="F732" s="14" t="n">
        <v>0.949044</v>
      </c>
      <c r="G732" s="14" t="n">
        <v>0.951169</v>
      </c>
      <c r="H732" s="14" t="n">
        <v>0.951169</v>
      </c>
    </row>
    <row r="733">
      <c r="A733" s="14" t="inlineStr">
        <is>
          <t>POL|ecs.res</t>
        </is>
      </c>
      <c r="B733" s="14" t="inlineStr">
        <is>
          <t>POL</t>
        </is>
      </c>
      <c r="C733" s="14" t="inlineStr">
        <is>
          <t>ecs.res</t>
        </is>
      </c>
      <c r="D733" s="14" t="n">
        <v>1</v>
      </c>
      <c r="E733" s="14" t="n">
        <v>1</v>
      </c>
      <c r="F733" s="14" t="n">
        <v>1</v>
      </c>
      <c r="G733" s="14" t="n">
        <v>1</v>
      </c>
      <c r="H733" s="14" t="n">
        <v>1</v>
      </c>
    </row>
    <row r="734">
      <c r="A734" s="14" t="inlineStr">
        <is>
          <t>POL|ecs.trs</t>
        </is>
      </c>
      <c r="B734" s="14" t="inlineStr">
        <is>
          <t>POL</t>
        </is>
      </c>
      <c r="C734" s="14" t="inlineStr">
        <is>
          <t>ecs.trs</t>
        </is>
      </c>
      <c r="D734" s="14" t="n">
        <v>1</v>
      </c>
      <c r="E734" s="14" t="n">
        <v>1</v>
      </c>
      <c r="F734" s="14" t="n">
        <v>1</v>
      </c>
      <c r="G734" s="14" t="n">
        <v>1</v>
      </c>
      <c r="H734" s="14" t="n">
        <v>1</v>
      </c>
    </row>
    <row r="735">
      <c r="A735" s="14" t="inlineStr">
        <is>
          <t>POL|eef.bio</t>
        </is>
      </c>
      <c r="B735" s="14" t="inlineStr">
        <is>
          <t>POL</t>
        </is>
      </c>
      <c r="C735" s="14" t="inlineStr">
        <is>
          <t>eef.bio</t>
        </is>
      </c>
      <c r="D735" s="14" t="n">
        <v>0</v>
      </c>
      <c r="E735" s="14" t="n">
        <v>1</v>
      </c>
      <c r="F735" s="14" t="n">
        <v>1</v>
      </c>
      <c r="G735" s="14" t="n">
        <v>1</v>
      </c>
      <c r="H735" s="14" t="n">
        <v>1</v>
      </c>
    </row>
    <row r="736">
      <c r="A736" s="14" t="inlineStr">
        <is>
          <t>POL|eef.coa</t>
        </is>
      </c>
      <c r="B736" s="14" t="inlineStr">
        <is>
          <t>POL</t>
        </is>
      </c>
      <c r="C736" s="14" t="inlineStr">
        <is>
          <t>eef.coa</t>
        </is>
      </c>
      <c r="D736" s="14" t="n">
        <v>1</v>
      </c>
      <c r="E736" s="14" t="n">
        <v>1</v>
      </c>
      <c r="F736" s="14" t="n">
        <v>1</v>
      </c>
      <c r="G736" s="14" t="n">
        <v>1</v>
      </c>
      <c r="H736" s="14" t="n">
        <v>1</v>
      </c>
    </row>
    <row r="737">
      <c r="A737" s="14" t="inlineStr">
        <is>
          <t>POL|eef.die</t>
        </is>
      </c>
      <c r="B737" s="14" t="inlineStr">
        <is>
          <t>POL</t>
        </is>
      </c>
      <c r="C737" s="14" t="inlineStr">
        <is>
          <t>eef.die</t>
        </is>
      </c>
      <c r="D737" s="14" t="n">
        <v>1</v>
      </c>
      <c r="E737" s="14" t="n">
        <v>1</v>
      </c>
      <c r="F737" s="14" t="n">
        <v>1</v>
      </c>
      <c r="G737" s="14" t="n">
        <v>1</v>
      </c>
      <c r="H737" s="14" t="n">
        <v>1</v>
      </c>
    </row>
    <row r="738">
      <c r="A738" s="14" t="inlineStr">
        <is>
          <t>POL|eef.gso</t>
        </is>
      </c>
      <c r="B738" s="14" t="inlineStr">
        <is>
          <t>POL</t>
        </is>
      </c>
      <c r="C738" s="14" t="inlineStr">
        <is>
          <t>eef.gso</t>
        </is>
      </c>
      <c r="D738" s="14" t="n">
        <v>1</v>
      </c>
      <c r="E738" s="14" t="n">
        <v>1</v>
      </c>
      <c r="F738" s="14" t="n">
        <v>1</v>
      </c>
      <c r="G738" s="14" t="n">
        <v>1</v>
      </c>
      <c r="H738" s="14" t="n">
        <v>1</v>
      </c>
    </row>
    <row r="739">
      <c r="A739" s="14" t="inlineStr">
        <is>
          <t>POL|eef.jfu</t>
        </is>
      </c>
      <c r="B739" s="14" t="inlineStr">
        <is>
          <t>POL</t>
        </is>
      </c>
      <c r="C739" s="14" t="inlineStr">
        <is>
          <t>eef.jfu</t>
        </is>
      </c>
      <c r="D739" s="14" t="n">
        <v>1</v>
      </c>
      <c r="E739" s="14" t="n">
        <v>1</v>
      </c>
      <c r="F739" s="14" t="n">
        <v>1</v>
      </c>
      <c r="G739" s="14" t="n">
        <v>1</v>
      </c>
      <c r="H739" s="14" t="n">
        <v>1</v>
      </c>
    </row>
    <row r="740">
      <c r="A740" s="14" t="inlineStr">
        <is>
          <t>POL|eef.ker</t>
        </is>
      </c>
      <c r="B740" s="14" t="inlineStr">
        <is>
          <t>POL</t>
        </is>
      </c>
      <c r="C740" s="14" t="inlineStr">
        <is>
          <t>eef.ker</t>
        </is>
      </c>
      <c r="D740" s="14" t="n">
        <v>1</v>
      </c>
      <c r="E740" s="14" t="n">
        <v>1</v>
      </c>
      <c r="F740" s="14" t="n">
        <v>1</v>
      </c>
      <c r="G740" s="14" t="n">
        <v>1</v>
      </c>
      <c r="H740" s="14" t="n">
        <v>1</v>
      </c>
    </row>
    <row r="741">
      <c r="A741" s="14" t="inlineStr">
        <is>
          <t>POL|eef.lpg</t>
        </is>
      </c>
      <c r="B741" s="14" t="inlineStr">
        <is>
          <t>POL</t>
        </is>
      </c>
      <c r="C741" s="14" t="inlineStr">
        <is>
          <t>eef.lpg</t>
        </is>
      </c>
      <c r="D741" s="14" t="n">
        <v>1</v>
      </c>
      <c r="E741" s="14" t="n">
        <v>1</v>
      </c>
      <c r="F741" s="14" t="n">
        <v>1</v>
      </c>
      <c r="G741" s="14" t="n">
        <v>1</v>
      </c>
      <c r="H741" s="14" t="n">
        <v>1</v>
      </c>
    </row>
    <row r="742">
      <c r="A742" s="14" t="inlineStr">
        <is>
          <t>POL|eef.nga</t>
        </is>
      </c>
      <c r="B742" s="14" t="inlineStr">
        <is>
          <t>POL</t>
        </is>
      </c>
      <c r="C742" s="14" t="inlineStr">
        <is>
          <t>eef.nga</t>
        </is>
      </c>
      <c r="D742" s="14" t="n">
        <v>1</v>
      </c>
      <c r="E742" s="14" t="n">
        <v>1</v>
      </c>
      <c r="F742" s="14" t="n">
        <v>1</v>
      </c>
      <c r="G742" s="14" t="n">
        <v>1</v>
      </c>
      <c r="H742" s="14" t="n">
        <v>1</v>
      </c>
    </row>
    <row r="743">
      <c r="A743" s="14" t="inlineStr">
        <is>
          <t>POL|eef.oop</t>
        </is>
      </c>
      <c r="B743" s="14" t="inlineStr">
        <is>
          <t>POL</t>
        </is>
      </c>
      <c r="C743" s="14" t="inlineStr">
        <is>
          <t>eef.oop</t>
        </is>
      </c>
      <c r="D743" s="14" t="n">
        <v>1</v>
      </c>
      <c r="E743" s="14" t="n">
        <v>1</v>
      </c>
      <c r="F743" s="14" t="n">
        <v>1</v>
      </c>
      <c r="G743" s="14" t="n">
        <v>1</v>
      </c>
      <c r="H743" s="14" t="n">
        <v>1</v>
      </c>
    </row>
    <row r="744">
      <c r="A744" s="14" t="inlineStr">
        <is>
          <t>POL|eer.all</t>
        </is>
      </c>
      <c r="B744" s="14" t="inlineStr">
        <is>
          <t>POL</t>
        </is>
      </c>
      <c r="C744" s="14" t="inlineStr">
        <is>
          <t>eer.all</t>
        </is>
      </c>
      <c r="D744" s="14" t="n">
        <v>49.779548</v>
      </c>
      <c r="E744" s="14" t="n">
        <v>86.52610799999999</v>
      </c>
      <c r="F744" s="14" t="n">
        <v>96.298125</v>
      </c>
      <c r="G744" s="14" t="n">
        <v>61.301547</v>
      </c>
      <c r="H744" s="14" t="n">
        <v>70.370124</v>
      </c>
    </row>
    <row r="745">
      <c r="A745" s="14" t="inlineStr">
        <is>
          <t>POL|ees.ind</t>
        </is>
      </c>
      <c r="B745" s="14" t="inlineStr">
        <is>
          <t>POL</t>
        </is>
      </c>
      <c r="C745" s="14" t="inlineStr">
        <is>
          <t>ees.ind</t>
        </is>
      </c>
      <c r="D745" s="14" t="n">
        <v>0.97695</v>
      </c>
      <c r="E745" s="14" t="n">
        <v>0.905685</v>
      </c>
      <c r="F745" s="14" t="n">
        <v>1</v>
      </c>
      <c r="G745" s="14" t="n">
        <v>0.899614</v>
      </c>
      <c r="H745" s="14" t="n">
        <v>0.899614</v>
      </c>
    </row>
    <row r="746">
      <c r="A746" s="14" t="inlineStr">
        <is>
          <t>POL|ees.pow</t>
        </is>
      </c>
      <c r="B746" s="14" t="inlineStr">
        <is>
          <t>POL</t>
        </is>
      </c>
      <c r="C746" s="14" t="inlineStr">
        <is>
          <t>ees.pow</t>
        </is>
      </c>
      <c r="D746" s="14" t="n">
        <v>0.040906</v>
      </c>
      <c r="E746" s="14" t="n">
        <v>0.043423</v>
      </c>
      <c r="F746" s="14" t="n">
        <v>0.050956</v>
      </c>
      <c r="G746" s="14" t="n">
        <v>0.048831</v>
      </c>
      <c r="H746" s="14" t="n">
        <v>0.048831</v>
      </c>
    </row>
    <row r="747">
      <c r="A747" s="14" t="inlineStr">
        <is>
          <t>PRT|ecf.coa</t>
        </is>
      </c>
      <c r="B747" s="14" t="inlineStr">
        <is>
          <t>PRT</t>
        </is>
      </c>
      <c r="C747" s="14" t="inlineStr">
        <is>
          <t>ecf.coa</t>
        </is>
      </c>
      <c r="D747" s="14" t="n">
        <v>1</v>
      </c>
      <c r="E747" s="14" t="n">
        <v>1</v>
      </c>
      <c r="F747" s="14" t="n">
        <v>1</v>
      </c>
      <c r="G747" s="14" t="n">
        <v>1</v>
      </c>
      <c r="H747" s="14" t="n">
        <v>1</v>
      </c>
    </row>
    <row r="748">
      <c r="A748" s="14" t="inlineStr">
        <is>
          <t>PRT|ecf.die</t>
        </is>
      </c>
      <c r="B748" s="14" t="inlineStr">
        <is>
          <t>PRT</t>
        </is>
      </c>
      <c r="C748" s="14" t="inlineStr">
        <is>
          <t>ecf.die</t>
        </is>
      </c>
      <c r="D748" s="14" t="n">
        <v>1</v>
      </c>
      <c r="E748" s="14" t="n">
        <v>1</v>
      </c>
      <c r="F748" s="14" t="n">
        <v>1</v>
      </c>
      <c r="G748" s="14" t="n">
        <v>1</v>
      </c>
      <c r="H748" s="14" t="n">
        <v>1</v>
      </c>
    </row>
    <row r="749">
      <c r="A749" s="14" t="inlineStr">
        <is>
          <t>PRT|ecf.gso</t>
        </is>
      </c>
      <c r="B749" s="14" t="inlineStr">
        <is>
          <t>PRT</t>
        </is>
      </c>
      <c r="C749" s="14" t="inlineStr">
        <is>
          <t>ecf.gso</t>
        </is>
      </c>
      <c r="D749" s="14" t="n">
        <v>1</v>
      </c>
      <c r="E749" s="14" t="n">
        <v>1</v>
      </c>
      <c r="F749" s="14" t="n">
        <v>1</v>
      </c>
      <c r="G749" s="14" t="n">
        <v>1</v>
      </c>
      <c r="H749" s="14" t="n">
        <v>1</v>
      </c>
    </row>
    <row r="750">
      <c r="A750" s="14" t="inlineStr">
        <is>
          <t>PRT|ecf.jfu</t>
        </is>
      </c>
      <c r="B750" s="14" t="inlineStr">
        <is>
          <t>PRT</t>
        </is>
      </c>
      <c r="C750" s="14" t="inlineStr">
        <is>
          <t>ecf.jfu</t>
        </is>
      </c>
      <c r="D750" s="14" t="n">
        <v>1</v>
      </c>
      <c r="E750" s="14" t="n">
        <v>1</v>
      </c>
      <c r="F750" s="14" t="n">
        <v>1</v>
      </c>
      <c r="G750" s="14" t="n">
        <v>1</v>
      </c>
      <c r="H750" s="14" t="n">
        <v>1</v>
      </c>
    </row>
    <row r="751">
      <c r="A751" s="14" t="inlineStr">
        <is>
          <t>PRT|ecf.ker</t>
        </is>
      </c>
      <c r="B751" s="14" t="inlineStr">
        <is>
          <t>PRT</t>
        </is>
      </c>
      <c r="C751" s="14" t="inlineStr">
        <is>
          <t>ecf.ker</t>
        </is>
      </c>
      <c r="D751" s="14" t="n">
        <v>1</v>
      </c>
      <c r="E751" s="14" t="n">
        <v>1</v>
      </c>
      <c r="F751" s="14" t="n">
        <v>1</v>
      </c>
      <c r="G751" s="14" t="n">
        <v>1</v>
      </c>
      <c r="H751" s="14" t="n">
        <v>1</v>
      </c>
    </row>
    <row r="752">
      <c r="A752" s="14" t="inlineStr">
        <is>
          <t>PRT|ecf.lpg</t>
        </is>
      </c>
      <c r="B752" s="14" t="inlineStr">
        <is>
          <t>PRT</t>
        </is>
      </c>
      <c r="C752" s="14" t="inlineStr">
        <is>
          <t>ecf.lpg</t>
        </is>
      </c>
      <c r="D752" s="14" t="n">
        <v>1</v>
      </c>
      <c r="E752" s="14" t="n">
        <v>1</v>
      </c>
      <c r="F752" s="14" t="n">
        <v>1</v>
      </c>
      <c r="G752" s="14" t="n">
        <v>1</v>
      </c>
      <c r="H752" s="14" t="n">
        <v>1</v>
      </c>
    </row>
    <row r="753">
      <c r="A753" s="14" t="inlineStr">
        <is>
          <t>PRT|ecf.nga</t>
        </is>
      </c>
      <c r="B753" s="14" t="inlineStr">
        <is>
          <t>PRT</t>
        </is>
      </c>
      <c r="C753" s="14" t="inlineStr">
        <is>
          <t>ecf.nga</t>
        </is>
      </c>
      <c r="D753" s="14" t="n">
        <v>1</v>
      </c>
      <c r="E753" s="14" t="n">
        <v>1</v>
      </c>
      <c r="F753" s="14" t="n">
        <v>1</v>
      </c>
      <c r="G753" s="14" t="n">
        <v>1</v>
      </c>
      <c r="H753" s="14" t="n">
        <v>1</v>
      </c>
    </row>
    <row r="754">
      <c r="A754" s="14" t="inlineStr">
        <is>
          <t>PRT|ecf.oop</t>
        </is>
      </c>
      <c r="B754" s="14" t="inlineStr">
        <is>
          <t>PRT</t>
        </is>
      </c>
      <c r="C754" s="14" t="inlineStr">
        <is>
          <t>ecf.oop</t>
        </is>
      </c>
      <c r="D754" s="14" t="n">
        <v>1</v>
      </c>
      <c r="E754" s="14" t="n">
        <v>1</v>
      </c>
      <c r="F754" s="14" t="n">
        <v>1</v>
      </c>
      <c r="G754" s="14" t="n">
        <v>1</v>
      </c>
      <c r="H754" s="14" t="n">
        <v>1</v>
      </c>
    </row>
    <row r="755">
      <c r="A755" s="14" t="inlineStr">
        <is>
          <t>PRT|ecr.all</t>
        </is>
      </c>
      <c r="B755" s="14" t="inlineStr">
        <is>
          <t>PRT</t>
        </is>
      </c>
      <c r="C755" s="14" t="inlineStr">
        <is>
          <t>ecr.all</t>
        </is>
      </c>
      <c r="D755" s="14" t="n">
        <v>27.992397</v>
      </c>
      <c r="E755" s="14" t="n">
        <v>26.338496</v>
      </c>
      <c r="F755" s="14" t="n">
        <v>25.91668</v>
      </c>
      <c r="G755" s="14" t="n">
        <v>25.91668</v>
      </c>
      <c r="H755" s="14" t="n">
        <v>72.700332</v>
      </c>
    </row>
    <row r="756">
      <c r="A756" s="14" t="inlineStr">
        <is>
          <t>PRT|ecr.coa</t>
        </is>
      </c>
      <c r="B756" s="14" t="inlineStr">
        <is>
          <t>PRT</t>
        </is>
      </c>
      <c r="C756" s="14" t="inlineStr">
        <is>
          <t>ecr.coa</t>
        </is>
      </c>
      <c r="D756" s="14" t="n">
        <v>27.992397</v>
      </c>
      <c r="E756" s="14" t="n">
        <v>26.338496</v>
      </c>
      <c r="F756" s="14" t="n">
        <v>25.91668</v>
      </c>
      <c r="G756" s="14" t="n">
        <v>25.91668</v>
      </c>
      <c r="H756" s="14" t="n">
        <v>72.700332</v>
      </c>
    </row>
    <row r="757">
      <c r="A757" s="14" t="inlineStr">
        <is>
          <t>PRT|ecr.die</t>
        </is>
      </c>
      <c r="B757" s="14" t="inlineStr">
        <is>
          <t>PRT</t>
        </is>
      </c>
      <c r="C757" s="14" t="inlineStr">
        <is>
          <t>ecr.die</t>
        </is>
      </c>
      <c r="D757" s="14" t="n">
        <v>27.992397</v>
      </c>
      <c r="E757" s="14" t="n">
        <v>26.338496</v>
      </c>
      <c r="F757" s="14" t="n">
        <v>25.91668</v>
      </c>
      <c r="G757" s="14" t="n">
        <v>25.91668</v>
      </c>
      <c r="H757" s="14" t="n">
        <v>72.700332</v>
      </c>
    </row>
    <row r="758">
      <c r="A758" s="14" t="inlineStr">
        <is>
          <t>PRT|ecr.gso</t>
        </is>
      </c>
      <c r="B758" s="14" t="inlineStr">
        <is>
          <t>PRT</t>
        </is>
      </c>
      <c r="C758" s="14" t="inlineStr">
        <is>
          <t>ecr.gso</t>
        </is>
      </c>
      <c r="D758" s="14" t="n">
        <v>27.992397</v>
      </c>
      <c r="E758" s="14" t="n">
        <v>26.338496</v>
      </c>
      <c r="F758" s="14" t="n">
        <v>25.91668</v>
      </c>
      <c r="G758" s="14" t="n">
        <v>25.91668</v>
      </c>
      <c r="H758" s="14" t="n">
        <v>72.700332</v>
      </c>
    </row>
    <row r="759">
      <c r="A759" s="14" t="inlineStr">
        <is>
          <t>PRT|ecr.jfu</t>
        </is>
      </c>
      <c r="B759" s="14" t="inlineStr">
        <is>
          <t>PRT</t>
        </is>
      </c>
      <c r="C759" s="14" t="inlineStr">
        <is>
          <t>ecr.jfu</t>
        </is>
      </c>
      <c r="D759" s="14" t="n">
        <v>27.992397</v>
      </c>
      <c r="E759" s="14" t="n">
        <v>26.338496</v>
      </c>
      <c r="F759" s="14" t="n">
        <v>25.91668</v>
      </c>
      <c r="G759" s="14" t="n">
        <v>25.91668</v>
      </c>
      <c r="H759" s="14" t="n">
        <v>72.700332</v>
      </c>
    </row>
    <row r="760">
      <c r="A760" s="14" t="inlineStr">
        <is>
          <t>PRT|ecr.lpg</t>
        </is>
      </c>
      <c r="B760" s="14" t="inlineStr">
        <is>
          <t>PRT</t>
        </is>
      </c>
      <c r="C760" s="14" t="inlineStr">
        <is>
          <t>ecr.lpg</t>
        </is>
      </c>
      <c r="D760" s="14" t="n">
        <v>27.992397</v>
      </c>
      <c r="E760" s="14" t="n">
        <v>26.338496</v>
      </c>
      <c r="F760" s="14" t="n">
        <v>25.91668</v>
      </c>
      <c r="G760" s="14" t="n">
        <v>25.91668</v>
      </c>
      <c r="H760" s="14" t="n">
        <v>72.700332</v>
      </c>
    </row>
    <row r="761">
      <c r="A761" s="14" t="inlineStr">
        <is>
          <t>PRT|ecr.nga</t>
        </is>
      </c>
      <c r="B761" s="14" t="inlineStr">
        <is>
          <t>PRT</t>
        </is>
      </c>
      <c r="C761" s="14" t="inlineStr">
        <is>
          <t>ecr.nga</t>
        </is>
      </c>
      <c r="D761" s="14" t="n">
        <v>27.992397</v>
      </c>
      <c r="E761" s="14" t="n">
        <v>26.338496</v>
      </c>
      <c r="F761" s="14" t="n">
        <v>25.91668</v>
      </c>
      <c r="G761" s="14" t="n">
        <v>25.91668</v>
      </c>
      <c r="H761" s="14" t="n">
        <v>72.700332</v>
      </c>
    </row>
    <row r="762">
      <c r="A762" s="14" t="inlineStr">
        <is>
          <t>PRT|ecr.oop</t>
        </is>
      </c>
      <c r="B762" s="14" t="inlineStr">
        <is>
          <t>PRT</t>
        </is>
      </c>
      <c r="C762" s="14" t="inlineStr">
        <is>
          <t>ecr.oop</t>
        </is>
      </c>
      <c r="D762" s="14" t="n">
        <v>27.992397</v>
      </c>
      <c r="E762" s="14" t="n">
        <v>26.338496</v>
      </c>
      <c r="F762" s="14" t="n">
        <v>25.91668</v>
      </c>
      <c r="G762" s="14" t="n">
        <v>25.91668</v>
      </c>
      <c r="H762" s="14" t="n">
        <v>72.700332</v>
      </c>
    </row>
    <row r="763">
      <c r="A763" s="14" t="inlineStr">
        <is>
          <t>PRT|ecs.ind</t>
        </is>
      </c>
      <c r="B763" s="14" t="inlineStr">
        <is>
          <t>PRT</t>
        </is>
      </c>
      <c r="C763" s="14" t="inlineStr">
        <is>
          <t>ecs.ind</t>
        </is>
      </c>
      <c r="D763" s="14" t="n">
        <v>0.13855</v>
      </c>
      <c r="E763" s="14" t="n">
        <v>0.18887</v>
      </c>
      <c r="F763" s="14" t="n">
        <v>0.113137</v>
      </c>
      <c r="G763" s="14" t="n">
        <v>0.216274</v>
      </c>
      <c r="H763" s="14" t="n">
        <v>0.216274</v>
      </c>
    </row>
    <row r="764">
      <c r="A764" s="14" t="inlineStr">
        <is>
          <t>PRT|ecs.res</t>
        </is>
      </c>
      <c r="B764" s="14" t="inlineStr">
        <is>
          <t>PRT</t>
        </is>
      </c>
      <c r="C764" s="14" t="inlineStr">
        <is>
          <t>ecs.res</t>
        </is>
      </c>
      <c r="D764" s="14" t="n">
        <v>0.5</v>
      </c>
      <c r="E764" s="14" t="n">
        <v>0.5</v>
      </c>
      <c r="F764" s="14" t="n">
        <v>0.5</v>
      </c>
      <c r="G764" s="14" t="n">
        <v>0.5</v>
      </c>
      <c r="H764" s="14" t="n">
        <v>0.5</v>
      </c>
    </row>
    <row r="765">
      <c r="A765" s="14" t="inlineStr">
        <is>
          <t>PRT|ecs.trs</t>
        </is>
      </c>
      <c r="B765" s="14" t="inlineStr">
        <is>
          <t>PRT</t>
        </is>
      </c>
      <c r="C765" s="14" t="inlineStr">
        <is>
          <t>ecs.trs</t>
        </is>
      </c>
      <c r="D765" s="14" t="n">
        <v>0.5</v>
      </c>
      <c r="E765" s="14" t="n">
        <v>0.5</v>
      </c>
      <c r="F765" s="14" t="n">
        <v>0.5</v>
      </c>
      <c r="G765" s="14" t="n">
        <v>0.5</v>
      </c>
      <c r="H765" s="14" t="n">
        <v>0.5</v>
      </c>
    </row>
    <row r="766">
      <c r="A766" s="14" t="inlineStr">
        <is>
          <t>PRT|eef.bio</t>
        </is>
      </c>
      <c r="B766" s="14" t="inlineStr">
        <is>
          <t>PRT</t>
        </is>
      </c>
      <c r="C766" s="14" t="inlineStr">
        <is>
          <t>eef.bio</t>
        </is>
      </c>
      <c r="D766" s="14" t="n">
        <v>0</v>
      </c>
      <c r="E766" s="14" t="n">
        <v>1</v>
      </c>
      <c r="F766" s="14" t="n">
        <v>1</v>
      </c>
      <c r="G766" s="14" t="n">
        <v>1</v>
      </c>
      <c r="H766" s="14" t="n">
        <v>1</v>
      </c>
    </row>
    <row r="767">
      <c r="A767" s="14" t="inlineStr">
        <is>
          <t>PRT|eef.coa</t>
        </is>
      </c>
      <c r="B767" s="14" t="inlineStr">
        <is>
          <t>PRT</t>
        </is>
      </c>
      <c r="C767" s="14" t="inlineStr">
        <is>
          <t>eef.coa</t>
        </is>
      </c>
      <c r="D767" s="14" t="n">
        <v>1</v>
      </c>
      <c r="E767" s="14" t="n">
        <v>1</v>
      </c>
      <c r="F767" s="14" t="n">
        <v>1</v>
      </c>
      <c r="G767" s="14" t="n">
        <v>1</v>
      </c>
      <c r="H767" s="14" t="n">
        <v>1</v>
      </c>
    </row>
    <row r="768">
      <c r="A768" s="14" t="inlineStr">
        <is>
          <t>PRT|eef.die</t>
        </is>
      </c>
      <c r="B768" s="14" t="inlineStr">
        <is>
          <t>PRT</t>
        </is>
      </c>
      <c r="C768" s="14" t="inlineStr">
        <is>
          <t>eef.die</t>
        </is>
      </c>
      <c r="D768" s="14" t="n">
        <v>1</v>
      </c>
      <c r="E768" s="14" t="n">
        <v>1</v>
      </c>
      <c r="F768" s="14" t="n">
        <v>1</v>
      </c>
      <c r="G768" s="14" t="n">
        <v>1</v>
      </c>
      <c r="H768" s="14" t="n">
        <v>1</v>
      </c>
    </row>
    <row r="769">
      <c r="A769" s="14" t="inlineStr">
        <is>
          <t>PRT|eef.gso</t>
        </is>
      </c>
      <c r="B769" s="14" t="inlineStr">
        <is>
          <t>PRT</t>
        </is>
      </c>
      <c r="C769" s="14" t="inlineStr">
        <is>
          <t>eef.gso</t>
        </is>
      </c>
      <c r="D769" s="14" t="n">
        <v>1</v>
      </c>
      <c r="E769" s="14" t="n">
        <v>1</v>
      </c>
      <c r="F769" s="14" t="n">
        <v>1</v>
      </c>
      <c r="G769" s="14" t="n">
        <v>1</v>
      </c>
      <c r="H769" s="14" t="n">
        <v>1</v>
      </c>
    </row>
    <row r="770">
      <c r="A770" s="14" t="inlineStr">
        <is>
          <t>PRT|eef.jfu</t>
        </is>
      </c>
      <c r="B770" s="14" t="inlineStr">
        <is>
          <t>PRT</t>
        </is>
      </c>
      <c r="C770" s="14" t="inlineStr">
        <is>
          <t>eef.jfu</t>
        </is>
      </c>
      <c r="D770" s="14" t="n">
        <v>1</v>
      </c>
      <c r="E770" s="14" t="n">
        <v>1</v>
      </c>
      <c r="F770" s="14" t="n">
        <v>1</v>
      </c>
      <c r="G770" s="14" t="n">
        <v>1</v>
      </c>
      <c r="H770" s="14" t="n">
        <v>1</v>
      </c>
    </row>
    <row r="771">
      <c r="A771" s="14" t="inlineStr">
        <is>
          <t>PRT|eef.ker</t>
        </is>
      </c>
      <c r="B771" s="14" t="inlineStr">
        <is>
          <t>PRT</t>
        </is>
      </c>
      <c r="C771" s="14" t="inlineStr">
        <is>
          <t>eef.ker</t>
        </is>
      </c>
      <c r="D771" s="14" t="n">
        <v>1</v>
      </c>
      <c r="E771" s="14" t="n">
        <v>1</v>
      </c>
      <c r="F771" s="14" t="n">
        <v>1</v>
      </c>
      <c r="G771" s="14" t="n">
        <v>1</v>
      </c>
      <c r="H771" s="14" t="n">
        <v>1</v>
      </c>
    </row>
    <row r="772">
      <c r="A772" s="14" t="inlineStr">
        <is>
          <t>PRT|eef.lpg</t>
        </is>
      </c>
      <c r="B772" s="14" t="inlineStr">
        <is>
          <t>PRT</t>
        </is>
      </c>
      <c r="C772" s="14" t="inlineStr">
        <is>
          <t>eef.lpg</t>
        </is>
      </c>
      <c r="D772" s="14" t="n">
        <v>1</v>
      </c>
      <c r="E772" s="14" t="n">
        <v>1</v>
      </c>
      <c r="F772" s="14" t="n">
        <v>1</v>
      </c>
      <c r="G772" s="14" t="n">
        <v>1</v>
      </c>
      <c r="H772" s="14" t="n">
        <v>1</v>
      </c>
    </row>
    <row r="773">
      <c r="A773" s="14" t="inlineStr">
        <is>
          <t>PRT|eef.nga</t>
        </is>
      </c>
      <c r="B773" s="14" t="inlineStr">
        <is>
          <t>PRT</t>
        </is>
      </c>
      <c r="C773" s="14" t="inlineStr">
        <is>
          <t>eef.nga</t>
        </is>
      </c>
      <c r="D773" s="14" t="n">
        <v>1</v>
      </c>
      <c r="E773" s="14" t="n">
        <v>1</v>
      </c>
      <c r="F773" s="14" t="n">
        <v>1</v>
      </c>
      <c r="G773" s="14" t="n">
        <v>1</v>
      </c>
      <c r="H773" s="14" t="n">
        <v>1</v>
      </c>
    </row>
    <row r="774">
      <c r="A774" s="14" t="inlineStr">
        <is>
          <t>PRT|eef.oop</t>
        </is>
      </c>
      <c r="B774" s="14" t="inlineStr">
        <is>
          <t>PRT</t>
        </is>
      </c>
      <c r="C774" s="14" t="inlineStr">
        <is>
          <t>eef.oop</t>
        </is>
      </c>
      <c r="D774" s="14" t="n">
        <v>1</v>
      </c>
      <c r="E774" s="14" t="n">
        <v>1</v>
      </c>
      <c r="F774" s="14" t="n">
        <v>1</v>
      </c>
      <c r="G774" s="14" t="n">
        <v>1</v>
      </c>
      <c r="H774" s="14" t="n">
        <v>1</v>
      </c>
    </row>
    <row r="775">
      <c r="A775" s="14" t="inlineStr">
        <is>
          <t>PRT|eer.all</t>
        </is>
      </c>
      <c r="B775" s="14" t="inlineStr">
        <is>
          <t>PRT</t>
        </is>
      </c>
      <c r="C775" s="14" t="inlineStr">
        <is>
          <t>eer.all</t>
        </is>
      </c>
      <c r="D775" s="14" t="n">
        <v>49.779548</v>
      </c>
      <c r="E775" s="14" t="n">
        <v>86.52610799999999</v>
      </c>
      <c r="F775" s="14" t="n">
        <v>96.298125</v>
      </c>
      <c r="G775" s="14" t="n">
        <v>61.301547</v>
      </c>
      <c r="H775" s="14" t="n">
        <v>70.370124</v>
      </c>
    </row>
    <row r="776">
      <c r="A776" s="14" t="inlineStr">
        <is>
          <t>PRT|ees.ind</t>
        </is>
      </c>
      <c r="B776" s="14" t="inlineStr">
        <is>
          <t>PRT</t>
        </is>
      </c>
      <c r="C776" s="14" t="inlineStr">
        <is>
          <t>ees.ind</t>
        </is>
      </c>
      <c r="D776" s="14" t="n">
        <v>0.86145</v>
      </c>
      <c r="E776" s="14" t="n">
        <v>0.81113</v>
      </c>
      <c r="F776" s="14" t="n">
        <v>0.886863</v>
      </c>
      <c r="G776" s="14" t="n">
        <v>0.783726</v>
      </c>
      <c r="H776" s="14" t="n">
        <v>0.783726</v>
      </c>
    </row>
    <row r="777">
      <c r="A777" s="14" t="inlineStr">
        <is>
          <t>PRT|ees.pow</t>
        </is>
      </c>
      <c r="B777" s="14" t="inlineStr">
        <is>
          <t>PRT</t>
        </is>
      </c>
      <c r="C777" s="14" t="inlineStr">
        <is>
          <t>ees.pow</t>
        </is>
      </c>
      <c r="D777" s="14" t="n">
        <v>0.133459</v>
      </c>
      <c r="E777" s="14" t="n">
        <v>0.129884</v>
      </c>
      <c r="F777" s="14" t="n">
        <v>0.204519</v>
      </c>
      <c r="G777" s="14" t="n">
        <v>0.268899</v>
      </c>
      <c r="H777" s="14" t="n">
        <v>0.268899</v>
      </c>
    </row>
    <row r="778">
      <c r="A778" s="14" t="inlineStr">
        <is>
          <t>ROU|eef.bio</t>
        </is>
      </c>
      <c r="B778" s="14" t="inlineStr">
        <is>
          <t>ROU</t>
        </is>
      </c>
      <c r="C778" s="14" t="inlineStr">
        <is>
          <t>eef.bio</t>
        </is>
      </c>
      <c r="D778" s="14" t="n">
        <v>0</v>
      </c>
      <c r="E778" s="14" t="n">
        <v>1</v>
      </c>
      <c r="F778" s="14" t="n">
        <v>1</v>
      </c>
      <c r="G778" s="14" t="n">
        <v>1</v>
      </c>
      <c r="H778" s="14" t="n">
        <v>1</v>
      </c>
    </row>
    <row r="779">
      <c r="A779" s="14" t="inlineStr">
        <is>
          <t>ROU|eef.coa</t>
        </is>
      </c>
      <c r="B779" s="14" t="inlineStr">
        <is>
          <t>ROU</t>
        </is>
      </c>
      <c r="C779" s="14" t="inlineStr">
        <is>
          <t>eef.coa</t>
        </is>
      </c>
      <c r="D779" s="14" t="n">
        <v>1</v>
      </c>
      <c r="E779" s="14" t="n">
        <v>1</v>
      </c>
      <c r="F779" s="14" t="n">
        <v>1</v>
      </c>
      <c r="G779" s="14" t="n">
        <v>1</v>
      </c>
      <c r="H779" s="14" t="n">
        <v>1</v>
      </c>
    </row>
    <row r="780">
      <c r="A780" s="14" t="inlineStr">
        <is>
          <t>ROU|eef.die</t>
        </is>
      </c>
      <c r="B780" s="14" t="inlineStr">
        <is>
          <t>ROU</t>
        </is>
      </c>
      <c r="C780" s="14" t="inlineStr">
        <is>
          <t>eef.die</t>
        </is>
      </c>
      <c r="D780" s="14" t="n">
        <v>1</v>
      </c>
      <c r="E780" s="14" t="n">
        <v>1</v>
      </c>
      <c r="F780" s="14" t="n">
        <v>1</v>
      </c>
      <c r="G780" s="14" t="n">
        <v>1</v>
      </c>
      <c r="H780" s="14" t="n">
        <v>1</v>
      </c>
    </row>
    <row r="781">
      <c r="A781" s="14" t="inlineStr">
        <is>
          <t>ROU|eef.gso</t>
        </is>
      </c>
      <c r="B781" s="14" t="inlineStr">
        <is>
          <t>ROU</t>
        </is>
      </c>
      <c r="C781" s="14" t="inlineStr">
        <is>
          <t>eef.gso</t>
        </is>
      </c>
      <c r="D781" s="14" t="n">
        <v>1</v>
      </c>
      <c r="E781" s="14" t="n">
        <v>1</v>
      </c>
      <c r="F781" s="14" t="n">
        <v>1</v>
      </c>
      <c r="G781" s="14" t="n">
        <v>1</v>
      </c>
      <c r="H781" s="14" t="n">
        <v>1</v>
      </c>
    </row>
    <row r="782">
      <c r="A782" s="14" t="inlineStr">
        <is>
          <t>ROU|eef.jfu</t>
        </is>
      </c>
      <c r="B782" s="14" t="inlineStr">
        <is>
          <t>ROU</t>
        </is>
      </c>
      <c r="C782" s="14" t="inlineStr">
        <is>
          <t>eef.jfu</t>
        </is>
      </c>
      <c r="D782" s="14" t="n">
        <v>1</v>
      </c>
      <c r="E782" s="14" t="n">
        <v>1</v>
      </c>
      <c r="F782" s="14" t="n">
        <v>1</v>
      </c>
      <c r="G782" s="14" t="n">
        <v>1</v>
      </c>
      <c r="H782" s="14" t="n">
        <v>1</v>
      </c>
    </row>
    <row r="783">
      <c r="A783" s="14" t="inlineStr">
        <is>
          <t>ROU|eef.ker</t>
        </is>
      </c>
      <c r="B783" s="14" t="inlineStr">
        <is>
          <t>ROU</t>
        </is>
      </c>
      <c r="C783" s="14" t="inlineStr">
        <is>
          <t>eef.ker</t>
        </is>
      </c>
      <c r="D783" s="14" t="n">
        <v>1</v>
      </c>
      <c r="E783" s="14" t="n">
        <v>1</v>
      </c>
      <c r="F783" s="14" t="n">
        <v>1</v>
      </c>
      <c r="G783" s="14" t="n">
        <v>1</v>
      </c>
      <c r="H783" s="14" t="n">
        <v>1</v>
      </c>
    </row>
    <row r="784">
      <c r="A784" s="14" t="inlineStr">
        <is>
          <t>ROU|eef.lpg</t>
        </is>
      </c>
      <c r="B784" s="14" t="inlineStr">
        <is>
          <t>ROU</t>
        </is>
      </c>
      <c r="C784" s="14" t="inlineStr">
        <is>
          <t>eef.lpg</t>
        </is>
      </c>
      <c r="D784" s="14" t="n">
        <v>1</v>
      </c>
      <c r="E784" s="14" t="n">
        <v>1</v>
      </c>
      <c r="F784" s="14" t="n">
        <v>1</v>
      </c>
      <c r="G784" s="14" t="n">
        <v>1</v>
      </c>
      <c r="H784" s="14" t="n">
        <v>1</v>
      </c>
    </row>
    <row r="785">
      <c r="A785" s="14" t="inlineStr">
        <is>
          <t>ROU|eef.nga</t>
        </is>
      </c>
      <c r="B785" s="14" t="inlineStr">
        <is>
          <t>ROU</t>
        </is>
      </c>
      <c r="C785" s="14" t="inlineStr">
        <is>
          <t>eef.nga</t>
        </is>
      </c>
      <c r="D785" s="14" t="n">
        <v>1</v>
      </c>
      <c r="E785" s="14" t="n">
        <v>1</v>
      </c>
      <c r="F785" s="14" t="n">
        <v>1</v>
      </c>
      <c r="G785" s="14" t="n">
        <v>1</v>
      </c>
      <c r="H785" s="14" t="n">
        <v>1</v>
      </c>
    </row>
    <row r="786">
      <c r="A786" s="14" t="inlineStr">
        <is>
          <t>ROU|eef.oop</t>
        </is>
      </c>
      <c r="B786" s="14" t="inlineStr">
        <is>
          <t>ROU</t>
        </is>
      </c>
      <c r="C786" s="14" t="inlineStr">
        <is>
          <t>eef.oop</t>
        </is>
      </c>
      <c r="D786" s="14" t="n">
        <v>1</v>
      </c>
      <c r="E786" s="14" t="n">
        <v>1</v>
      </c>
      <c r="F786" s="14" t="n">
        <v>1</v>
      </c>
      <c r="G786" s="14" t="n">
        <v>1</v>
      </c>
      <c r="H786" s="14" t="n">
        <v>1</v>
      </c>
    </row>
    <row r="787">
      <c r="A787" s="14" t="inlineStr">
        <is>
          <t>ROU|eer.all</t>
        </is>
      </c>
      <c r="B787" s="14" t="inlineStr">
        <is>
          <t>ROU</t>
        </is>
      </c>
      <c r="C787" s="14" t="inlineStr">
        <is>
          <t>eer.all</t>
        </is>
      </c>
      <c r="D787" s="14" t="n">
        <v>49.779548</v>
      </c>
      <c r="E787" s="14" t="n">
        <v>86.52610799999999</v>
      </c>
      <c r="F787" s="14" t="n">
        <v>96.298125</v>
      </c>
      <c r="G787" s="14" t="n">
        <v>61.301547</v>
      </c>
      <c r="H787" s="14" t="n">
        <v>70.370124</v>
      </c>
    </row>
    <row r="788">
      <c r="A788" s="14" t="inlineStr">
        <is>
          <t>ROU|ees.ind</t>
        </is>
      </c>
      <c r="B788" s="14" t="inlineStr">
        <is>
          <t>ROU</t>
        </is>
      </c>
      <c r="C788" s="14" t="inlineStr">
        <is>
          <t>ees.ind</t>
        </is>
      </c>
      <c r="D788" s="14" t="n">
        <v>0.782778</v>
      </c>
      <c r="E788" s="14" t="n">
        <v>0.90418</v>
      </c>
      <c r="F788" s="14" t="n">
        <v>1</v>
      </c>
      <c r="G788" s="14" t="n">
        <v>0.9603159999999999</v>
      </c>
      <c r="H788" s="14" t="n">
        <v>0.9603159999999999</v>
      </c>
    </row>
    <row r="789">
      <c r="A789" s="14" t="inlineStr">
        <is>
          <t>ROU|ees.pow</t>
        </is>
      </c>
      <c r="B789" s="14" t="inlineStr">
        <is>
          <t>ROU</t>
        </is>
      </c>
      <c r="C789" s="14" t="inlineStr">
        <is>
          <t>ees.pow</t>
        </is>
      </c>
      <c r="D789" s="14" t="n">
        <v>0.177265</v>
      </c>
      <c r="E789" s="14" t="n">
        <v>0.189188</v>
      </c>
      <c r="F789" s="14" t="n">
        <v>0.151151</v>
      </c>
      <c r="G789" s="14" t="n">
        <v>0.10831</v>
      </c>
      <c r="H789" s="14" t="n">
        <v>0.10831</v>
      </c>
    </row>
    <row r="790">
      <c r="A790" s="14" t="inlineStr">
        <is>
          <t>SGP|ecf.bio</t>
        </is>
      </c>
      <c r="B790" s="14" t="inlineStr">
        <is>
          <t>SGP</t>
        </is>
      </c>
      <c r="C790" s="14" t="inlineStr">
        <is>
          <t>ecf.bio</t>
        </is>
      </c>
      <c r="D790" s="14" t="n">
        <v>0</v>
      </c>
      <c r="E790" s="14" t="n">
        <v>0</v>
      </c>
      <c r="F790" s="14" t="n">
        <v>0</v>
      </c>
      <c r="G790" s="14" t="n">
        <v>1</v>
      </c>
      <c r="H790" s="14" t="n">
        <v>1</v>
      </c>
    </row>
    <row r="791">
      <c r="A791" s="14" t="inlineStr">
        <is>
          <t>SGP|ecf.coa</t>
        </is>
      </c>
      <c r="B791" s="14" t="inlineStr">
        <is>
          <t>SGP</t>
        </is>
      </c>
      <c r="C791" s="14" t="inlineStr">
        <is>
          <t>ecf.coa</t>
        </is>
      </c>
      <c r="D791" s="14" t="n">
        <v>1</v>
      </c>
      <c r="E791" s="14" t="n">
        <v>1</v>
      </c>
      <c r="F791" s="14" t="n">
        <v>1</v>
      </c>
      <c r="G791" s="14" t="n">
        <v>1</v>
      </c>
      <c r="H791" s="14" t="n">
        <v>1</v>
      </c>
    </row>
    <row r="792">
      <c r="A792" s="14" t="inlineStr">
        <is>
          <t>SGP|ecf.die</t>
        </is>
      </c>
      <c r="B792" s="14" t="inlineStr">
        <is>
          <t>SGP</t>
        </is>
      </c>
      <c r="C792" s="14" t="inlineStr">
        <is>
          <t>ecf.die</t>
        </is>
      </c>
      <c r="D792" s="14" t="n">
        <v>1</v>
      </c>
      <c r="E792" s="14" t="n">
        <v>1</v>
      </c>
      <c r="F792" s="14" t="n">
        <v>1</v>
      </c>
      <c r="G792" s="14" t="n">
        <v>1</v>
      </c>
      <c r="H792" s="14" t="n">
        <v>1</v>
      </c>
    </row>
    <row r="793">
      <c r="A793" s="14" t="inlineStr">
        <is>
          <t>SGP|ecf.gso</t>
        </is>
      </c>
      <c r="B793" s="14" t="inlineStr">
        <is>
          <t>SGP</t>
        </is>
      </c>
      <c r="C793" s="14" t="inlineStr">
        <is>
          <t>ecf.gso</t>
        </is>
      </c>
      <c r="D793" s="14" t="n">
        <v>1</v>
      </c>
      <c r="E793" s="14" t="n">
        <v>1</v>
      </c>
      <c r="F793" s="14" t="n">
        <v>1</v>
      </c>
      <c r="G793" s="14" t="n">
        <v>1</v>
      </c>
      <c r="H793" s="14" t="n">
        <v>1</v>
      </c>
    </row>
    <row r="794">
      <c r="A794" s="14" t="inlineStr">
        <is>
          <t>SGP|ecf.jfu</t>
        </is>
      </c>
      <c r="B794" s="14" t="inlineStr">
        <is>
          <t>SGP</t>
        </is>
      </c>
      <c r="C794" s="14" t="inlineStr">
        <is>
          <t>ecf.jfu</t>
        </is>
      </c>
      <c r="D794" s="14" t="n">
        <v>1</v>
      </c>
      <c r="E794" s="14" t="n">
        <v>1</v>
      </c>
      <c r="F794" s="14" t="n">
        <v>1</v>
      </c>
      <c r="G794" s="14" t="n">
        <v>1</v>
      </c>
      <c r="H794" s="14" t="n">
        <v>1</v>
      </c>
    </row>
    <row r="795">
      <c r="A795" s="14" t="inlineStr">
        <is>
          <t>SGP|ecf.ker</t>
        </is>
      </c>
      <c r="B795" s="14" t="inlineStr">
        <is>
          <t>SGP</t>
        </is>
      </c>
      <c r="C795" s="14" t="inlineStr">
        <is>
          <t>ecf.ker</t>
        </is>
      </c>
      <c r="D795" s="14" t="n">
        <v>1</v>
      </c>
      <c r="E795" s="14" t="n">
        <v>1</v>
      </c>
      <c r="F795" s="14" t="n">
        <v>1</v>
      </c>
      <c r="G795" s="14" t="n">
        <v>1</v>
      </c>
      <c r="H795" s="14" t="n">
        <v>1</v>
      </c>
    </row>
    <row r="796">
      <c r="A796" s="14" t="inlineStr">
        <is>
          <t>SGP|ecf.lpg</t>
        </is>
      </c>
      <c r="B796" s="14" t="inlineStr">
        <is>
          <t>SGP</t>
        </is>
      </c>
      <c r="C796" s="14" t="inlineStr">
        <is>
          <t>ecf.lpg</t>
        </is>
      </c>
      <c r="D796" s="14" t="n">
        <v>1</v>
      </c>
      <c r="E796" s="14" t="n">
        <v>1</v>
      </c>
      <c r="F796" s="14" t="n">
        <v>1</v>
      </c>
      <c r="G796" s="14" t="n">
        <v>1</v>
      </c>
      <c r="H796" s="14" t="n">
        <v>1</v>
      </c>
    </row>
    <row r="797">
      <c r="A797" s="14" t="inlineStr">
        <is>
          <t>SGP|ecf.nga</t>
        </is>
      </c>
      <c r="B797" s="14" t="inlineStr">
        <is>
          <t>SGP</t>
        </is>
      </c>
      <c r="C797" s="14" t="inlineStr">
        <is>
          <t>ecf.nga</t>
        </is>
      </c>
      <c r="D797" s="14" t="n">
        <v>1</v>
      </c>
      <c r="E797" s="14" t="n">
        <v>1</v>
      </c>
      <c r="F797" s="14" t="n">
        <v>1</v>
      </c>
      <c r="G797" s="14" t="n">
        <v>1</v>
      </c>
      <c r="H797" s="14" t="n">
        <v>1</v>
      </c>
    </row>
    <row r="798">
      <c r="A798" s="14" t="inlineStr">
        <is>
          <t>SGP|ecf.oop</t>
        </is>
      </c>
      <c r="B798" s="14" t="inlineStr">
        <is>
          <t>SGP</t>
        </is>
      </c>
      <c r="C798" s="14" t="inlineStr">
        <is>
          <t>ecf.oop</t>
        </is>
      </c>
      <c r="D798" s="14" t="n">
        <v>1</v>
      </c>
      <c r="E798" s="14" t="n">
        <v>1</v>
      </c>
      <c r="F798" s="14" t="n">
        <v>1</v>
      </c>
      <c r="G798" s="14" t="n">
        <v>1</v>
      </c>
      <c r="H798" s="14" t="n">
        <v>1</v>
      </c>
    </row>
    <row r="799">
      <c r="A799" s="14" t="inlineStr">
        <is>
          <t>SGP|ecr.all</t>
        </is>
      </c>
      <c r="B799" s="14" t="inlineStr">
        <is>
          <t>SGP</t>
        </is>
      </c>
      <c r="C799" s="14" t="inlineStr">
        <is>
          <t>ecr.all</t>
        </is>
      </c>
      <c r="D799" s="14" t="n">
        <v>3.713607</v>
      </c>
      <c r="E799" s="14" t="n">
        <v>3.685685</v>
      </c>
      <c r="F799" s="14" t="n">
        <v>3.767898</v>
      </c>
      <c r="G799" s="14" t="n">
        <v>18.478823</v>
      </c>
      <c r="H799" s="14" t="n">
        <v>18.6192</v>
      </c>
    </row>
    <row r="800">
      <c r="A800" s="14" t="inlineStr">
        <is>
          <t>SGP|ecs.ind</t>
        </is>
      </c>
      <c r="B800" s="14" t="inlineStr">
        <is>
          <t>SGP</t>
        </is>
      </c>
      <c r="C800" s="14" t="inlineStr">
        <is>
          <t>ecs.ind</t>
        </is>
      </c>
      <c r="D800" s="14" t="n">
        <v>0.9</v>
      </c>
      <c r="E800" s="14" t="n">
        <v>0.9</v>
      </c>
      <c r="F800" s="14" t="n">
        <v>0.9</v>
      </c>
      <c r="G800" s="14" t="n">
        <v>0.9</v>
      </c>
      <c r="H800" s="14" t="n">
        <v>0.9</v>
      </c>
    </row>
    <row r="801">
      <c r="A801" s="14" t="inlineStr">
        <is>
          <t>SGP|ecs.pow</t>
        </is>
      </c>
      <c r="B801" s="14" t="inlineStr">
        <is>
          <t>SGP</t>
        </is>
      </c>
      <c r="C801" s="14" t="inlineStr">
        <is>
          <t>ecs.pow</t>
        </is>
      </c>
      <c r="D801" s="14" t="n">
        <v>0.9</v>
      </c>
      <c r="E801" s="14" t="n">
        <v>0.9</v>
      </c>
      <c r="F801" s="14" t="n">
        <v>0.9</v>
      </c>
      <c r="G801" s="14" t="n">
        <v>0.9</v>
      </c>
      <c r="H801" s="14" t="n">
        <v>0.9</v>
      </c>
    </row>
    <row r="802">
      <c r="A802" s="14" t="inlineStr">
        <is>
          <t>SVK|eef.bio</t>
        </is>
      </c>
      <c r="B802" s="14" t="inlineStr">
        <is>
          <t>SVK</t>
        </is>
      </c>
      <c r="C802" s="14" t="inlineStr">
        <is>
          <t>eef.bio</t>
        </is>
      </c>
      <c r="D802" s="14" t="n">
        <v>0</v>
      </c>
      <c r="E802" s="14" t="n">
        <v>1</v>
      </c>
      <c r="F802" s="14" t="n">
        <v>1</v>
      </c>
      <c r="G802" s="14" t="n">
        <v>1</v>
      </c>
      <c r="H802" s="14" t="n">
        <v>1</v>
      </c>
    </row>
    <row r="803">
      <c r="A803" s="14" t="inlineStr">
        <is>
          <t>SVK|eef.coa</t>
        </is>
      </c>
      <c r="B803" s="14" t="inlineStr">
        <is>
          <t>SVK</t>
        </is>
      </c>
      <c r="C803" s="14" t="inlineStr">
        <is>
          <t>eef.coa</t>
        </is>
      </c>
      <c r="D803" s="14" t="n">
        <v>1</v>
      </c>
      <c r="E803" s="14" t="n">
        <v>1</v>
      </c>
      <c r="F803" s="14" t="n">
        <v>1</v>
      </c>
      <c r="G803" s="14" t="n">
        <v>1</v>
      </c>
      <c r="H803" s="14" t="n">
        <v>1</v>
      </c>
    </row>
    <row r="804">
      <c r="A804" s="14" t="inlineStr">
        <is>
          <t>SVK|eef.die</t>
        </is>
      </c>
      <c r="B804" s="14" t="inlineStr">
        <is>
          <t>SVK</t>
        </is>
      </c>
      <c r="C804" s="14" t="inlineStr">
        <is>
          <t>eef.die</t>
        </is>
      </c>
      <c r="D804" s="14" t="n">
        <v>1</v>
      </c>
      <c r="E804" s="14" t="n">
        <v>1</v>
      </c>
      <c r="F804" s="14" t="n">
        <v>1</v>
      </c>
      <c r="G804" s="14" t="n">
        <v>1</v>
      </c>
      <c r="H804" s="14" t="n">
        <v>1</v>
      </c>
    </row>
    <row r="805">
      <c r="A805" s="14" t="inlineStr">
        <is>
          <t>SVK|eef.gso</t>
        </is>
      </c>
      <c r="B805" s="14" t="inlineStr">
        <is>
          <t>SVK</t>
        </is>
      </c>
      <c r="C805" s="14" t="inlineStr">
        <is>
          <t>eef.gso</t>
        </is>
      </c>
      <c r="D805" s="14" t="n">
        <v>1</v>
      </c>
      <c r="E805" s="14" t="n">
        <v>1</v>
      </c>
      <c r="F805" s="14" t="n">
        <v>1</v>
      </c>
      <c r="G805" s="14" t="n">
        <v>1</v>
      </c>
      <c r="H805" s="14" t="n">
        <v>1</v>
      </c>
    </row>
    <row r="806">
      <c r="A806" s="14" t="inlineStr">
        <is>
          <t>SVK|eef.jfu</t>
        </is>
      </c>
      <c r="B806" s="14" t="inlineStr">
        <is>
          <t>SVK</t>
        </is>
      </c>
      <c r="C806" s="14" t="inlineStr">
        <is>
          <t>eef.jfu</t>
        </is>
      </c>
      <c r="D806" s="14" t="n">
        <v>1</v>
      </c>
      <c r="E806" s="14" t="n">
        <v>1</v>
      </c>
      <c r="F806" s="14" t="n">
        <v>1</v>
      </c>
      <c r="G806" s="14" t="n">
        <v>1</v>
      </c>
      <c r="H806" s="14" t="n">
        <v>1</v>
      </c>
    </row>
    <row r="807">
      <c r="A807" s="14" t="inlineStr">
        <is>
          <t>SVK|eef.ker</t>
        </is>
      </c>
      <c r="B807" s="14" t="inlineStr">
        <is>
          <t>SVK</t>
        </is>
      </c>
      <c r="C807" s="14" t="inlineStr">
        <is>
          <t>eef.ker</t>
        </is>
      </c>
      <c r="D807" s="14" t="n">
        <v>1</v>
      </c>
      <c r="E807" s="14" t="n">
        <v>1</v>
      </c>
      <c r="F807" s="14" t="n">
        <v>1</v>
      </c>
      <c r="G807" s="14" t="n">
        <v>1</v>
      </c>
      <c r="H807" s="14" t="n">
        <v>1</v>
      </c>
    </row>
    <row r="808">
      <c r="A808" s="14" t="inlineStr">
        <is>
          <t>SVK|eef.lpg</t>
        </is>
      </c>
      <c r="B808" s="14" t="inlineStr">
        <is>
          <t>SVK</t>
        </is>
      </c>
      <c r="C808" s="14" t="inlineStr">
        <is>
          <t>eef.lpg</t>
        </is>
      </c>
      <c r="D808" s="14" t="n">
        <v>1</v>
      </c>
      <c r="E808" s="14" t="n">
        <v>1</v>
      </c>
      <c r="F808" s="14" t="n">
        <v>1</v>
      </c>
      <c r="G808" s="14" t="n">
        <v>1</v>
      </c>
      <c r="H808" s="14" t="n">
        <v>1</v>
      </c>
    </row>
    <row r="809">
      <c r="A809" s="14" t="inlineStr">
        <is>
          <t>SVK|eef.nga</t>
        </is>
      </c>
      <c r="B809" s="14" t="inlineStr">
        <is>
          <t>SVK</t>
        </is>
      </c>
      <c r="C809" s="14" t="inlineStr">
        <is>
          <t>eef.nga</t>
        </is>
      </c>
      <c r="D809" s="14" t="n">
        <v>1</v>
      </c>
      <c r="E809" s="14" t="n">
        <v>1</v>
      </c>
      <c r="F809" s="14" t="n">
        <v>1</v>
      </c>
      <c r="G809" s="14" t="n">
        <v>1</v>
      </c>
      <c r="H809" s="14" t="n">
        <v>1</v>
      </c>
    </row>
    <row r="810">
      <c r="A810" s="14" t="inlineStr">
        <is>
          <t>SVK|eef.oop</t>
        </is>
      </c>
      <c r="B810" s="14" t="inlineStr">
        <is>
          <t>SVK</t>
        </is>
      </c>
      <c r="C810" s="14" t="inlineStr">
        <is>
          <t>eef.oop</t>
        </is>
      </c>
      <c r="D810" s="14" t="n">
        <v>1</v>
      </c>
      <c r="E810" s="14" t="n">
        <v>1</v>
      </c>
      <c r="F810" s="14" t="n">
        <v>1</v>
      </c>
      <c r="G810" s="14" t="n">
        <v>1</v>
      </c>
      <c r="H810" s="14" t="n">
        <v>1</v>
      </c>
    </row>
    <row r="811">
      <c r="A811" s="14" t="inlineStr">
        <is>
          <t>SVK|eer.all</t>
        </is>
      </c>
      <c r="B811" s="14" t="inlineStr">
        <is>
          <t>SVK</t>
        </is>
      </c>
      <c r="C811" s="14" t="inlineStr">
        <is>
          <t>eer.all</t>
        </is>
      </c>
      <c r="D811" s="14" t="n">
        <v>49.779548</v>
      </c>
      <c r="E811" s="14" t="n">
        <v>86.52610799999999</v>
      </c>
      <c r="F811" s="14" t="n">
        <v>96.298125</v>
      </c>
      <c r="G811" s="14" t="n">
        <v>61.301547</v>
      </c>
      <c r="H811" s="14" t="n">
        <v>70.370124</v>
      </c>
    </row>
    <row r="812">
      <c r="A812" s="14" t="inlineStr">
        <is>
          <t>SVK|ees.ind</t>
        </is>
      </c>
      <c r="B812" s="14" t="inlineStr">
        <is>
          <t>SVK</t>
        </is>
      </c>
      <c r="C812" s="14" t="inlineStr">
        <is>
          <t>ees.ind</t>
        </is>
      </c>
      <c r="D812" s="14" t="n">
        <v>0.865633</v>
      </c>
      <c r="E812" s="14" t="n">
        <v>1</v>
      </c>
      <c r="F812" s="14" t="n">
        <v>1</v>
      </c>
      <c r="G812" s="14" t="n">
        <v>1</v>
      </c>
      <c r="H812" s="14" t="n">
        <v>1</v>
      </c>
    </row>
    <row r="813">
      <c r="A813" s="14" t="inlineStr">
        <is>
          <t>SVK|ees.pow</t>
        </is>
      </c>
      <c r="B813" s="14" t="inlineStr">
        <is>
          <t>SVK</t>
        </is>
      </c>
      <c r="C813" s="14" t="inlineStr">
        <is>
          <t>ees.pow</t>
        </is>
      </c>
      <c r="D813" s="14" t="n">
        <v>0.070322</v>
      </c>
      <c r="E813" s="14" t="n">
        <v>0.082651</v>
      </c>
      <c r="F813" s="14" t="n">
        <v>0.07798099999999999</v>
      </c>
      <c r="G813" s="14" t="n">
        <v>0.083176</v>
      </c>
      <c r="H813" s="14" t="n">
        <v>0.083176</v>
      </c>
    </row>
    <row r="814">
      <c r="A814" s="14" t="inlineStr">
        <is>
          <t>SVN|ecf.coa</t>
        </is>
      </c>
      <c r="B814" s="14" t="inlineStr">
        <is>
          <t>SVN</t>
        </is>
      </c>
      <c r="C814" s="14" t="inlineStr">
        <is>
          <t>ecf.coa</t>
        </is>
      </c>
      <c r="D814" s="14" t="n">
        <v>1</v>
      </c>
      <c r="E814" s="14" t="n">
        <v>1</v>
      </c>
      <c r="F814" s="14" t="n">
        <v>1</v>
      </c>
      <c r="G814" s="14" t="n">
        <v>1</v>
      </c>
      <c r="H814" s="14" t="n">
        <v>1</v>
      </c>
    </row>
    <row r="815">
      <c r="A815" s="14" t="inlineStr">
        <is>
          <t>SVN|ecf.die</t>
        </is>
      </c>
      <c r="B815" s="14" t="inlineStr">
        <is>
          <t>SVN</t>
        </is>
      </c>
      <c r="C815" s="14" t="inlineStr">
        <is>
          <t>ecf.die</t>
        </is>
      </c>
      <c r="D815" s="14" t="n">
        <v>0</v>
      </c>
      <c r="E815" s="14" t="n">
        <v>0</v>
      </c>
      <c r="F815" s="14" t="n">
        <v>0</v>
      </c>
      <c r="G815" s="14" t="n">
        <v>1</v>
      </c>
      <c r="H815" s="14" t="n">
        <v>1</v>
      </c>
    </row>
    <row r="816">
      <c r="A816" s="14" t="inlineStr">
        <is>
          <t>SVN|ecf.gso</t>
        </is>
      </c>
      <c r="B816" s="14" t="inlineStr">
        <is>
          <t>SVN</t>
        </is>
      </c>
      <c r="C816" s="14" t="inlineStr">
        <is>
          <t>ecf.gso</t>
        </is>
      </c>
      <c r="D816" s="14" t="n">
        <v>0</v>
      </c>
      <c r="E816" s="14" t="n">
        <v>0</v>
      </c>
      <c r="F816" s="14" t="n">
        <v>0</v>
      </c>
      <c r="G816" s="14" t="n">
        <v>1</v>
      </c>
      <c r="H816" s="14" t="n">
        <v>1</v>
      </c>
    </row>
    <row r="817">
      <c r="A817" s="14" t="inlineStr">
        <is>
          <t>SVN|ecf.ker</t>
        </is>
      </c>
      <c r="B817" s="14" t="inlineStr">
        <is>
          <t>SVN</t>
        </is>
      </c>
      <c r="C817" s="14" t="inlineStr">
        <is>
          <t>ecf.ker</t>
        </is>
      </c>
      <c r="D817" s="14" t="n">
        <v>0</v>
      </c>
      <c r="E817" s="14" t="n">
        <v>0</v>
      </c>
      <c r="F817" s="14" t="n">
        <v>0</v>
      </c>
      <c r="G817" s="14" t="n">
        <v>1</v>
      </c>
      <c r="H817" s="14" t="n">
        <v>1</v>
      </c>
    </row>
    <row r="818">
      <c r="A818" s="14" t="inlineStr">
        <is>
          <t>SVN|ecf.lpg</t>
        </is>
      </c>
      <c r="B818" s="14" t="inlineStr">
        <is>
          <t>SVN</t>
        </is>
      </c>
      <c r="C818" s="14" t="inlineStr">
        <is>
          <t>ecf.lpg</t>
        </is>
      </c>
      <c r="D818" s="14" t="n">
        <v>0</v>
      </c>
      <c r="E818" s="14" t="n">
        <v>0</v>
      </c>
      <c r="F818" s="14" t="n">
        <v>0</v>
      </c>
      <c r="G818" s="14" t="n">
        <v>1</v>
      </c>
      <c r="H818" s="14" t="n">
        <v>1</v>
      </c>
    </row>
    <row r="819">
      <c r="A819" s="14" t="inlineStr">
        <is>
          <t>SVN|ecf.nga</t>
        </is>
      </c>
      <c r="B819" s="14" t="inlineStr">
        <is>
          <t>SVN</t>
        </is>
      </c>
      <c r="C819" s="14" t="inlineStr">
        <is>
          <t>ecf.nga</t>
        </is>
      </c>
      <c r="D819" s="14" t="n">
        <v>1</v>
      </c>
      <c r="E819" s="14" t="n">
        <v>1</v>
      </c>
      <c r="F819" s="14" t="n">
        <v>1</v>
      </c>
      <c r="G819" s="14" t="n">
        <v>1</v>
      </c>
      <c r="H819" s="14" t="n">
        <v>1</v>
      </c>
    </row>
    <row r="820">
      <c r="A820" s="14" t="inlineStr">
        <is>
          <t>SVN|ecf.oop</t>
        </is>
      </c>
      <c r="B820" s="14" t="inlineStr">
        <is>
          <t>SVN</t>
        </is>
      </c>
      <c r="C820" s="14" t="inlineStr">
        <is>
          <t>ecf.oop</t>
        </is>
      </c>
      <c r="D820" s="14" t="n">
        <v>0</v>
      </c>
      <c r="E820" s="14" t="n">
        <v>0</v>
      </c>
      <c r="F820" s="14" t="n">
        <v>0</v>
      </c>
      <c r="G820" s="14" t="n">
        <v>1</v>
      </c>
      <c r="H820" s="14" t="n">
        <v>1</v>
      </c>
    </row>
    <row r="821">
      <c r="A821" s="14" t="inlineStr">
        <is>
          <t>SVN|ecr.all</t>
        </is>
      </c>
      <c r="B821" s="14" t="inlineStr">
        <is>
          <t>SVN</t>
        </is>
      </c>
      <c r="C821" s="14" t="inlineStr">
        <is>
          <t>ecr.all</t>
        </is>
      </c>
      <c r="D821" s="14" t="n">
        <v>20.32058</v>
      </c>
      <c r="E821" s="14" t="n">
        <v>19.11996</v>
      </c>
      <c r="F821" s="14" t="n">
        <v>0</v>
      </c>
      <c r="G821" s="14" t="n">
        <v>18.59577</v>
      </c>
      <c r="H821" s="14" t="n">
        <v>33.28098</v>
      </c>
    </row>
    <row r="822">
      <c r="A822" s="14" t="inlineStr">
        <is>
          <t>SVN|ecs.res</t>
        </is>
      </c>
      <c r="B822" s="14" t="inlineStr">
        <is>
          <t>SVN</t>
        </is>
      </c>
      <c r="C822" s="14" t="inlineStr">
        <is>
          <t>ecs.res</t>
        </is>
      </c>
      <c r="D822" s="14" t="n">
        <v>1</v>
      </c>
      <c r="E822" s="14" t="n">
        <v>1</v>
      </c>
      <c r="F822" s="14" t="n">
        <v>1</v>
      </c>
      <c r="G822" s="14" t="n">
        <v>1</v>
      </c>
      <c r="H822" s="14" t="n">
        <v>1</v>
      </c>
    </row>
    <row r="823">
      <c r="A823" s="14" t="inlineStr">
        <is>
          <t>SVN|ecs.trs</t>
        </is>
      </c>
      <c r="B823" s="14" t="inlineStr">
        <is>
          <t>SVN</t>
        </is>
      </c>
      <c r="C823" s="14" t="inlineStr">
        <is>
          <t>ecs.trs</t>
        </is>
      </c>
      <c r="D823" s="14" t="n">
        <v>1</v>
      </c>
      <c r="E823" s="14" t="n">
        <v>1</v>
      </c>
      <c r="F823" s="14" t="n">
        <v>1</v>
      </c>
      <c r="G823" s="14" t="n">
        <v>1</v>
      </c>
      <c r="H823" s="14" t="n">
        <v>1</v>
      </c>
    </row>
    <row r="824">
      <c r="A824" s="14" t="inlineStr">
        <is>
          <t>SVN|eef.bio</t>
        </is>
      </c>
      <c r="B824" s="14" t="inlineStr">
        <is>
          <t>SVN</t>
        </is>
      </c>
      <c r="C824" s="14" t="inlineStr">
        <is>
          <t>eef.bio</t>
        </is>
      </c>
      <c r="D824" s="14" t="n">
        <v>0</v>
      </c>
      <c r="E824" s="14" t="n">
        <v>1</v>
      </c>
      <c r="F824" s="14" t="n">
        <v>1</v>
      </c>
      <c r="G824" s="14" t="n">
        <v>1</v>
      </c>
      <c r="H824" s="14" t="n">
        <v>1</v>
      </c>
    </row>
    <row r="825">
      <c r="A825" s="14" t="inlineStr">
        <is>
          <t>SVN|eef.coa</t>
        </is>
      </c>
      <c r="B825" s="14" t="inlineStr">
        <is>
          <t>SVN</t>
        </is>
      </c>
      <c r="C825" s="14" t="inlineStr">
        <is>
          <t>eef.coa</t>
        </is>
      </c>
      <c r="D825" s="14" t="n">
        <v>1</v>
      </c>
      <c r="E825" s="14" t="n">
        <v>1</v>
      </c>
      <c r="F825" s="14" t="n">
        <v>1</v>
      </c>
      <c r="G825" s="14" t="n">
        <v>1</v>
      </c>
      <c r="H825" s="14" t="n">
        <v>1</v>
      </c>
    </row>
    <row r="826">
      <c r="A826" s="14" t="inlineStr">
        <is>
          <t>SVN|eef.die</t>
        </is>
      </c>
      <c r="B826" s="14" t="inlineStr">
        <is>
          <t>SVN</t>
        </is>
      </c>
      <c r="C826" s="14" t="inlineStr">
        <is>
          <t>eef.die</t>
        </is>
      </c>
      <c r="D826" s="14" t="n">
        <v>1</v>
      </c>
      <c r="E826" s="14" t="n">
        <v>1</v>
      </c>
      <c r="F826" s="14" t="n">
        <v>1</v>
      </c>
      <c r="G826" s="14" t="n">
        <v>1</v>
      </c>
      <c r="H826" s="14" t="n">
        <v>1</v>
      </c>
    </row>
    <row r="827">
      <c r="A827" s="14" t="inlineStr">
        <is>
          <t>SVN|eef.gso</t>
        </is>
      </c>
      <c r="B827" s="14" t="inlineStr">
        <is>
          <t>SVN</t>
        </is>
      </c>
      <c r="C827" s="14" t="inlineStr">
        <is>
          <t>eef.gso</t>
        </is>
      </c>
      <c r="D827" s="14" t="n">
        <v>1</v>
      </c>
      <c r="E827" s="14" t="n">
        <v>1</v>
      </c>
      <c r="F827" s="14" t="n">
        <v>1</v>
      </c>
      <c r="G827" s="14" t="n">
        <v>1</v>
      </c>
      <c r="H827" s="14" t="n">
        <v>1</v>
      </c>
    </row>
    <row r="828">
      <c r="A828" s="14" t="inlineStr">
        <is>
          <t>SVN|eef.jfu</t>
        </is>
      </c>
      <c r="B828" s="14" t="inlineStr">
        <is>
          <t>SVN</t>
        </is>
      </c>
      <c r="C828" s="14" t="inlineStr">
        <is>
          <t>eef.jfu</t>
        </is>
      </c>
      <c r="D828" s="14" t="n">
        <v>1</v>
      </c>
      <c r="E828" s="14" t="n">
        <v>1</v>
      </c>
      <c r="F828" s="14" t="n">
        <v>1</v>
      </c>
      <c r="G828" s="14" t="n">
        <v>1</v>
      </c>
      <c r="H828" s="14" t="n">
        <v>1</v>
      </c>
    </row>
    <row r="829">
      <c r="A829" s="14" t="inlineStr">
        <is>
          <t>SVN|eef.ker</t>
        </is>
      </c>
      <c r="B829" s="14" t="inlineStr">
        <is>
          <t>SVN</t>
        </is>
      </c>
      <c r="C829" s="14" t="inlineStr">
        <is>
          <t>eef.ker</t>
        </is>
      </c>
      <c r="D829" s="14" t="n">
        <v>1</v>
      </c>
      <c r="E829" s="14" t="n">
        <v>1</v>
      </c>
      <c r="F829" s="14" t="n">
        <v>1</v>
      </c>
      <c r="G829" s="14" t="n">
        <v>1</v>
      </c>
      <c r="H829" s="14" t="n">
        <v>1</v>
      </c>
    </row>
    <row r="830">
      <c r="A830" s="14" t="inlineStr">
        <is>
          <t>SVN|eef.lpg</t>
        </is>
      </c>
      <c r="B830" s="14" t="inlineStr">
        <is>
          <t>SVN</t>
        </is>
      </c>
      <c r="C830" s="14" t="inlineStr">
        <is>
          <t>eef.lpg</t>
        </is>
      </c>
      <c r="D830" s="14" t="n">
        <v>1</v>
      </c>
      <c r="E830" s="14" t="n">
        <v>1</v>
      </c>
      <c r="F830" s="14" t="n">
        <v>1</v>
      </c>
      <c r="G830" s="14" t="n">
        <v>1</v>
      </c>
      <c r="H830" s="14" t="n">
        <v>1</v>
      </c>
    </row>
    <row r="831">
      <c r="A831" s="14" t="inlineStr">
        <is>
          <t>SVN|eef.nga</t>
        </is>
      </c>
      <c r="B831" s="14" t="inlineStr">
        <is>
          <t>SVN</t>
        </is>
      </c>
      <c r="C831" s="14" t="inlineStr">
        <is>
          <t>eef.nga</t>
        </is>
      </c>
      <c r="D831" s="14" t="n">
        <v>1</v>
      </c>
      <c r="E831" s="14" t="n">
        <v>1</v>
      </c>
      <c r="F831" s="14" t="n">
        <v>1</v>
      </c>
      <c r="G831" s="14" t="n">
        <v>1</v>
      </c>
      <c r="H831" s="14" t="n">
        <v>1</v>
      </c>
    </row>
    <row r="832">
      <c r="A832" s="14" t="inlineStr">
        <is>
          <t>SVN|eef.oop</t>
        </is>
      </c>
      <c r="B832" s="14" t="inlineStr">
        <is>
          <t>SVN</t>
        </is>
      </c>
      <c r="C832" s="14" t="inlineStr">
        <is>
          <t>eef.oop</t>
        </is>
      </c>
      <c r="D832" s="14" t="n">
        <v>1</v>
      </c>
      <c r="E832" s="14" t="n">
        <v>1</v>
      </c>
      <c r="F832" s="14" t="n">
        <v>1</v>
      </c>
      <c r="G832" s="14" t="n">
        <v>1</v>
      </c>
      <c r="H832" s="14" t="n">
        <v>1</v>
      </c>
    </row>
    <row r="833">
      <c r="A833" s="14" t="inlineStr">
        <is>
          <t>SVN|eer.all</t>
        </is>
      </c>
      <c r="B833" s="14" t="inlineStr">
        <is>
          <t>SVN</t>
        </is>
      </c>
      <c r="C833" s="14" t="inlineStr">
        <is>
          <t>eer.all</t>
        </is>
      </c>
      <c r="D833" s="14" t="n">
        <v>49.779548</v>
      </c>
      <c r="E833" s="14" t="n">
        <v>86.52610799999999</v>
      </c>
      <c r="F833" s="14" t="n">
        <v>96.298125</v>
      </c>
      <c r="G833" s="14" t="n">
        <v>61.301547</v>
      </c>
      <c r="H833" s="14" t="n">
        <v>70.370124</v>
      </c>
    </row>
    <row r="834">
      <c r="A834" s="14" t="inlineStr">
        <is>
          <t>SVN|ees.ind</t>
        </is>
      </c>
      <c r="B834" s="14" t="inlineStr">
        <is>
          <t>SVN</t>
        </is>
      </c>
      <c r="C834" s="14" t="inlineStr">
        <is>
          <t>ees.ind</t>
        </is>
      </c>
      <c r="D834" s="14" t="n">
        <v>0.850249</v>
      </c>
      <c r="E834" s="14" t="n">
        <v>0.848638</v>
      </c>
      <c r="F834" s="14" t="n">
        <v>0.948211</v>
      </c>
      <c r="G834" s="14" t="n">
        <v>0.814551</v>
      </c>
      <c r="H834" s="14" t="n">
        <v>0.814551</v>
      </c>
    </row>
    <row r="835">
      <c r="A835" s="14" t="inlineStr">
        <is>
          <t>SVN|ees.pow</t>
        </is>
      </c>
      <c r="B835" s="14" t="inlineStr">
        <is>
          <t>SVN</t>
        </is>
      </c>
      <c r="C835" s="14" t="inlineStr">
        <is>
          <t>ees.pow</t>
        </is>
      </c>
      <c r="D835" s="14" t="n">
        <v>0.045593</v>
      </c>
      <c r="E835" s="14" t="n">
        <v>0.054799</v>
      </c>
      <c r="F835" s="14" t="n">
        <v>0.057458</v>
      </c>
      <c r="G835" s="14" t="n">
        <v>0.047498</v>
      </c>
      <c r="H835" s="14" t="n">
        <v>0.047498</v>
      </c>
    </row>
    <row r="836">
      <c r="A836" s="14" t="inlineStr">
        <is>
          <t>SWE|ecf.coa</t>
        </is>
      </c>
      <c r="B836" s="14" t="inlineStr">
        <is>
          <t>SWE</t>
        </is>
      </c>
      <c r="C836" s="14" t="inlineStr">
        <is>
          <t>ecf.coa</t>
        </is>
      </c>
      <c r="D836" s="14" t="n">
        <v>1</v>
      </c>
      <c r="E836" s="14" t="n">
        <v>1</v>
      </c>
      <c r="F836" s="14" t="n">
        <v>1</v>
      </c>
      <c r="G836" s="14" t="n">
        <v>1</v>
      </c>
      <c r="H836" s="14" t="n">
        <v>1</v>
      </c>
    </row>
    <row r="837">
      <c r="A837" s="14" t="inlineStr">
        <is>
          <t>SWE|ecf.die</t>
        </is>
      </c>
      <c r="B837" s="14" t="inlineStr">
        <is>
          <t>SWE</t>
        </is>
      </c>
      <c r="C837" s="14" t="inlineStr">
        <is>
          <t>ecf.die</t>
        </is>
      </c>
      <c r="D837" s="14" t="n">
        <v>1</v>
      </c>
      <c r="E837" s="14" t="n">
        <v>1</v>
      </c>
      <c r="F837" s="14" t="n">
        <v>1</v>
      </c>
      <c r="G837" s="14" t="n">
        <v>1</v>
      </c>
      <c r="H837" s="14" t="n">
        <v>1</v>
      </c>
    </row>
    <row r="838">
      <c r="A838" s="14" t="inlineStr">
        <is>
          <t>SWE|ecf.gso</t>
        </is>
      </c>
      <c r="B838" s="14" t="inlineStr">
        <is>
          <t>SWE</t>
        </is>
      </c>
      <c r="C838" s="14" t="inlineStr">
        <is>
          <t>ecf.gso</t>
        </is>
      </c>
      <c r="D838" s="14" t="n">
        <v>1</v>
      </c>
      <c r="E838" s="14" t="n">
        <v>1</v>
      </c>
      <c r="F838" s="14" t="n">
        <v>1</v>
      </c>
      <c r="G838" s="14" t="n">
        <v>1</v>
      </c>
      <c r="H838" s="14" t="n">
        <v>1</v>
      </c>
    </row>
    <row r="839">
      <c r="A839" s="14" t="inlineStr">
        <is>
          <t>SWE|ecf.jfu</t>
        </is>
      </c>
      <c r="B839" s="14" t="inlineStr">
        <is>
          <t>SWE</t>
        </is>
      </c>
      <c r="C839" s="14" t="inlineStr">
        <is>
          <t>ecf.jfu</t>
        </is>
      </c>
      <c r="D839" s="14" t="n">
        <v>1</v>
      </c>
      <c r="E839" s="14" t="n">
        <v>1</v>
      </c>
      <c r="F839" s="14" t="n">
        <v>1</v>
      </c>
      <c r="G839" s="14" t="n">
        <v>1</v>
      </c>
      <c r="H839" s="14" t="n">
        <v>1</v>
      </c>
    </row>
    <row r="840">
      <c r="A840" s="14" t="inlineStr">
        <is>
          <t>SWE|ecf.ker</t>
        </is>
      </c>
      <c r="B840" s="14" t="inlineStr">
        <is>
          <t>SWE</t>
        </is>
      </c>
      <c r="C840" s="14" t="inlineStr">
        <is>
          <t>ecf.ker</t>
        </is>
      </c>
      <c r="D840" s="14" t="n">
        <v>1</v>
      </c>
      <c r="E840" s="14" t="n">
        <v>1</v>
      </c>
      <c r="F840" s="14" t="n">
        <v>1</v>
      </c>
      <c r="G840" s="14" t="n">
        <v>1</v>
      </c>
      <c r="H840" s="14" t="n">
        <v>1</v>
      </c>
    </row>
    <row r="841">
      <c r="A841" s="14" t="inlineStr">
        <is>
          <t>SWE|ecf.lpg</t>
        </is>
      </c>
      <c r="B841" s="14" t="inlineStr">
        <is>
          <t>SWE</t>
        </is>
      </c>
      <c r="C841" s="14" t="inlineStr">
        <is>
          <t>ecf.lpg</t>
        </is>
      </c>
      <c r="D841" s="14" t="n">
        <v>1</v>
      </c>
      <c r="E841" s="14" t="n">
        <v>1</v>
      </c>
      <c r="F841" s="14" t="n">
        <v>1</v>
      </c>
      <c r="G841" s="14" t="n">
        <v>1</v>
      </c>
      <c r="H841" s="14" t="n">
        <v>1</v>
      </c>
    </row>
    <row r="842">
      <c r="A842" s="14" t="inlineStr">
        <is>
          <t>SWE|ecf.nga</t>
        </is>
      </c>
      <c r="B842" s="14" t="inlineStr">
        <is>
          <t>SWE</t>
        </is>
      </c>
      <c r="C842" s="14" t="inlineStr">
        <is>
          <t>ecf.nga</t>
        </is>
      </c>
      <c r="D842" s="14" t="n">
        <v>1</v>
      </c>
      <c r="E842" s="14" t="n">
        <v>1</v>
      </c>
      <c r="F842" s="14" t="n">
        <v>1</v>
      </c>
      <c r="G842" s="14" t="n">
        <v>1</v>
      </c>
      <c r="H842" s="14" t="n">
        <v>1</v>
      </c>
    </row>
    <row r="843">
      <c r="A843" s="14" t="inlineStr">
        <is>
          <t>SWE|ecf.oop</t>
        </is>
      </c>
      <c r="B843" s="14" t="inlineStr">
        <is>
          <t>SWE</t>
        </is>
      </c>
      <c r="C843" s="14" t="inlineStr">
        <is>
          <t>ecf.oop</t>
        </is>
      </c>
      <c r="D843" s="14" t="n">
        <v>1</v>
      </c>
      <c r="E843" s="14" t="n">
        <v>1</v>
      </c>
      <c r="F843" s="14" t="n">
        <v>1</v>
      </c>
      <c r="G843" s="14" t="n">
        <v>1</v>
      </c>
      <c r="H843" s="14" t="n">
        <v>1</v>
      </c>
    </row>
    <row r="844">
      <c r="A844" s="14" t="inlineStr">
        <is>
          <t>SWE|ecr.all</t>
        </is>
      </c>
      <c r="B844" s="14" t="inlineStr">
        <is>
          <t>SWE</t>
        </is>
      </c>
      <c r="C844" s="14" t="inlineStr">
        <is>
          <t>ecr.all</t>
        </is>
      </c>
      <c r="D844" s="14" t="n">
        <v>137.243241</v>
      </c>
      <c r="E844" s="14" t="n">
        <v>129.89</v>
      </c>
      <c r="F844" s="14" t="n">
        <v>133.828903</v>
      </c>
      <c r="G844" s="14" t="n">
        <v>132.234475</v>
      </c>
      <c r="H844" s="14" t="n">
        <v>144.624699</v>
      </c>
    </row>
    <row r="845">
      <c r="A845" s="14" t="inlineStr">
        <is>
          <t>SWE|ecr.coa</t>
        </is>
      </c>
      <c r="B845" s="14" t="inlineStr">
        <is>
          <t>SWE</t>
        </is>
      </c>
      <c r="C845" s="14" t="inlineStr">
        <is>
          <t>ecr.coa</t>
        </is>
      </c>
      <c r="D845" s="14" t="n"/>
      <c r="E845" s="14" t="n"/>
      <c r="F845" s="14" t="n"/>
      <c r="G845" s="14" t="n">
        <v>137.486472</v>
      </c>
      <c r="H845" s="14" t="n">
        <v>144.624699</v>
      </c>
    </row>
    <row r="846">
      <c r="A846" s="14" t="inlineStr">
        <is>
          <t>SWE|ecr.die</t>
        </is>
      </c>
      <c r="B846" s="14" t="inlineStr">
        <is>
          <t>SWE</t>
        </is>
      </c>
      <c r="C846" s="14" t="inlineStr">
        <is>
          <t>ecr.die</t>
        </is>
      </c>
      <c r="D846" s="14" t="n"/>
      <c r="E846" s="14" t="n"/>
      <c r="F846" s="14" t="n"/>
      <c r="G846" s="14" t="n">
        <v>135.068125</v>
      </c>
      <c r="H846" s="14" t="n">
        <v>144.624699</v>
      </c>
    </row>
    <row r="847">
      <c r="A847" s="14" t="inlineStr">
        <is>
          <t>SWE|ecr.gso</t>
        </is>
      </c>
      <c r="B847" s="14" t="inlineStr">
        <is>
          <t>SWE</t>
        </is>
      </c>
      <c r="C847" s="14" t="inlineStr">
        <is>
          <t>ecr.gso</t>
        </is>
      </c>
      <c r="D847" s="14" t="n"/>
      <c r="E847" s="14" t="n"/>
      <c r="F847" s="14" t="n"/>
      <c r="G847" s="14" t="n">
        <v>127.258199</v>
      </c>
      <c r="H847" s="14" t="n">
        <v>144.624699</v>
      </c>
    </row>
    <row r="848">
      <c r="A848" s="14" t="inlineStr">
        <is>
          <t>SWE|ecr.jfu</t>
        </is>
      </c>
      <c r="B848" s="14" t="inlineStr">
        <is>
          <t>SWE</t>
        </is>
      </c>
      <c r="C848" s="14" t="inlineStr">
        <is>
          <t>ecr.jfu</t>
        </is>
      </c>
      <c r="D848" s="14" t="n"/>
      <c r="E848" s="14" t="n"/>
      <c r="F848" s="14" t="n"/>
      <c r="G848" s="14" t="n">
        <v>114.695603</v>
      </c>
      <c r="H848" s="14" t="n">
        <v>144.624699</v>
      </c>
    </row>
    <row r="849">
      <c r="A849" s="14" t="inlineStr">
        <is>
          <t>SWE|ecr.lpg</t>
        </is>
      </c>
      <c r="B849" s="14" t="inlineStr">
        <is>
          <t>SWE</t>
        </is>
      </c>
      <c r="C849" s="14" t="inlineStr">
        <is>
          <t>ecr.lpg</t>
        </is>
      </c>
      <c r="D849" s="14" t="n"/>
      <c r="E849" s="14" t="n"/>
      <c r="F849" s="14" t="n"/>
      <c r="G849" s="14" t="n">
        <v>135.956193</v>
      </c>
      <c r="H849" s="14" t="n">
        <v>144.624699</v>
      </c>
    </row>
    <row r="850">
      <c r="A850" s="14" t="inlineStr">
        <is>
          <t>SWE|ecr.nga</t>
        </is>
      </c>
      <c r="B850" s="14" t="inlineStr">
        <is>
          <t>SWE</t>
        </is>
      </c>
      <c r="C850" s="14" t="inlineStr">
        <is>
          <t>ecr.nga</t>
        </is>
      </c>
      <c r="D850" s="14" t="n"/>
      <c r="E850" s="14" t="n"/>
      <c r="F850" s="14" t="n"/>
      <c r="G850" s="14" t="n">
        <v>142.942256</v>
      </c>
      <c r="H850" s="14" t="n">
        <v>144.624699</v>
      </c>
    </row>
    <row r="851">
      <c r="A851" s="14" t="inlineStr">
        <is>
          <t>SWE|ecs.pow</t>
        </is>
      </c>
      <c r="B851" s="14" t="inlineStr">
        <is>
          <t>SWE</t>
        </is>
      </c>
      <c r="C851" s="14" t="inlineStr">
        <is>
          <t>ecs.pow</t>
        </is>
      </c>
      <c r="D851" s="14" t="n">
        <v>0.351098</v>
      </c>
      <c r="E851" s="14" t="n">
        <v>0.29102</v>
      </c>
      <c r="F851" s="14" t="n">
        <v>0.255051</v>
      </c>
      <c r="G851" s="14" t="n">
        <v>0.319368</v>
      </c>
      <c r="H851" s="14" t="n">
        <v>0.319368</v>
      </c>
    </row>
    <row r="852">
      <c r="A852" s="14" t="inlineStr">
        <is>
          <t>SWE|ecs.res</t>
        </is>
      </c>
      <c r="B852" s="14" t="inlineStr">
        <is>
          <t>SWE</t>
        </is>
      </c>
      <c r="C852" s="14" t="inlineStr">
        <is>
          <t>ecs.res</t>
        </is>
      </c>
      <c r="D852" s="14" t="n">
        <v>1</v>
      </c>
      <c r="E852" s="14" t="n">
        <v>1</v>
      </c>
      <c r="F852" s="14" t="n">
        <v>1</v>
      </c>
      <c r="G852" s="14" t="n">
        <v>1</v>
      </c>
      <c r="H852" s="14" t="n">
        <v>1</v>
      </c>
    </row>
    <row r="853">
      <c r="A853" s="14" t="inlineStr">
        <is>
          <t>SWE|ecs.trs</t>
        </is>
      </c>
      <c r="B853" s="14" t="inlineStr">
        <is>
          <t>SWE</t>
        </is>
      </c>
      <c r="C853" s="14" t="inlineStr">
        <is>
          <t>ecs.trs</t>
        </is>
      </c>
      <c r="D853" s="14" t="n">
        <v>1</v>
      </c>
      <c r="E853" s="14" t="n">
        <v>1</v>
      </c>
      <c r="F853" s="14" t="n">
        <v>1</v>
      </c>
      <c r="G853" s="14" t="n">
        <v>1</v>
      </c>
      <c r="H853" s="14" t="n">
        <v>1</v>
      </c>
    </row>
    <row r="854">
      <c r="A854" s="14" t="inlineStr">
        <is>
          <t>SWE|eef.bio</t>
        </is>
      </c>
      <c r="B854" s="14" t="inlineStr">
        <is>
          <t>SWE</t>
        </is>
      </c>
      <c r="C854" s="14" t="inlineStr">
        <is>
          <t>eef.bio</t>
        </is>
      </c>
      <c r="D854" s="14" t="n">
        <v>0</v>
      </c>
      <c r="E854" s="14" t="n">
        <v>1</v>
      </c>
      <c r="F854" s="14" t="n">
        <v>1</v>
      </c>
      <c r="G854" s="14" t="n">
        <v>1</v>
      </c>
      <c r="H854" s="14" t="n">
        <v>1</v>
      </c>
    </row>
    <row r="855">
      <c r="A855" s="14" t="inlineStr">
        <is>
          <t>SWE|eef.coa</t>
        </is>
      </c>
      <c r="B855" s="14" t="inlineStr">
        <is>
          <t>SWE</t>
        </is>
      </c>
      <c r="C855" s="14" t="inlineStr">
        <is>
          <t>eef.coa</t>
        </is>
      </c>
      <c r="D855" s="14" t="n">
        <v>1</v>
      </c>
      <c r="E855" s="14" t="n">
        <v>1</v>
      </c>
      <c r="F855" s="14" t="n">
        <v>1</v>
      </c>
      <c r="G855" s="14" t="n">
        <v>1</v>
      </c>
      <c r="H855" s="14" t="n">
        <v>1</v>
      </c>
    </row>
    <row r="856">
      <c r="A856" s="14" t="inlineStr">
        <is>
          <t>SWE|eef.die</t>
        </is>
      </c>
      <c r="B856" s="14" t="inlineStr">
        <is>
          <t>SWE</t>
        </is>
      </c>
      <c r="C856" s="14" t="inlineStr">
        <is>
          <t>eef.die</t>
        </is>
      </c>
      <c r="D856" s="14" t="n">
        <v>1</v>
      </c>
      <c r="E856" s="14" t="n">
        <v>1</v>
      </c>
      <c r="F856" s="14" t="n">
        <v>1</v>
      </c>
      <c r="G856" s="14" t="n">
        <v>1</v>
      </c>
      <c r="H856" s="14" t="n">
        <v>1</v>
      </c>
    </row>
    <row r="857">
      <c r="A857" s="14" t="inlineStr">
        <is>
          <t>SWE|eef.gso</t>
        </is>
      </c>
      <c r="B857" s="14" t="inlineStr">
        <is>
          <t>SWE</t>
        </is>
      </c>
      <c r="C857" s="14" t="inlineStr">
        <is>
          <t>eef.gso</t>
        </is>
      </c>
      <c r="D857" s="14" t="n">
        <v>1</v>
      </c>
      <c r="E857" s="14" t="n">
        <v>1</v>
      </c>
      <c r="F857" s="14" t="n">
        <v>1</v>
      </c>
      <c r="G857" s="14" t="n">
        <v>1</v>
      </c>
      <c r="H857" s="14" t="n">
        <v>1</v>
      </c>
    </row>
    <row r="858">
      <c r="A858" s="14" t="inlineStr">
        <is>
          <t>SWE|eef.jfu</t>
        </is>
      </c>
      <c r="B858" s="14" t="inlineStr">
        <is>
          <t>SWE</t>
        </is>
      </c>
      <c r="C858" s="14" t="inlineStr">
        <is>
          <t>eef.jfu</t>
        </is>
      </c>
      <c r="D858" s="14" t="n">
        <v>1</v>
      </c>
      <c r="E858" s="14" t="n">
        <v>1</v>
      </c>
      <c r="F858" s="14" t="n">
        <v>1</v>
      </c>
      <c r="G858" s="14" t="n">
        <v>1</v>
      </c>
      <c r="H858" s="14" t="n">
        <v>1</v>
      </c>
    </row>
    <row r="859">
      <c r="A859" s="14" t="inlineStr">
        <is>
          <t>SWE|eef.ker</t>
        </is>
      </c>
      <c r="B859" s="14" t="inlineStr">
        <is>
          <t>SWE</t>
        </is>
      </c>
      <c r="C859" s="14" t="inlineStr">
        <is>
          <t>eef.ker</t>
        </is>
      </c>
      <c r="D859" s="14" t="n">
        <v>1</v>
      </c>
      <c r="E859" s="14" t="n">
        <v>1</v>
      </c>
      <c r="F859" s="14" t="n">
        <v>1</v>
      </c>
      <c r="G859" s="14" t="n">
        <v>1</v>
      </c>
      <c r="H859" s="14" t="n">
        <v>1</v>
      </c>
    </row>
    <row r="860">
      <c r="A860" s="14" t="inlineStr">
        <is>
          <t>SWE|eef.lpg</t>
        </is>
      </c>
      <c r="B860" s="14" t="inlineStr">
        <is>
          <t>SWE</t>
        </is>
      </c>
      <c r="C860" s="14" t="inlineStr">
        <is>
          <t>eef.lpg</t>
        </is>
      </c>
      <c r="D860" s="14" t="n">
        <v>1</v>
      </c>
      <c r="E860" s="14" t="n">
        <v>1</v>
      </c>
      <c r="F860" s="14" t="n">
        <v>1</v>
      </c>
      <c r="G860" s="14" t="n">
        <v>1</v>
      </c>
      <c r="H860" s="14" t="n">
        <v>1</v>
      </c>
    </row>
    <row r="861">
      <c r="A861" s="14" t="inlineStr">
        <is>
          <t>SWE|eef.nga</t>
        </is>
      </c>
      <c r="B861" s="14" t="inlineStr">
        <is>
          <t>SWE</t>
        </is>
      </c>
      <c r="C861" s="14" t="inlineStr">
        <is>
          <t>eef.nga</t>
        </is>
      </c>
      <c r="D861" s="14" t="n">
        <v>1</v>
      </c>
      <c r="E861" s="14" t="n">
        <v>1</v>
      </c>
      <c r="F861" s="14" t="n">
        <v>1</v>
      </c>
      <c r="G861" s="14" t="n">
        <v>1</v>
      </c>
      <c r="H861" s="14" t="n">
        <v>1</v>
      </c>
    </row>
    <row r="862">
      <c r="A862" s="14" t="inlineStr">
        <is>
          <t>SWE|eef.oop</t>
        </is>
      </c>
      <c r="B862" s="14" t="inlineStr">
        <is>
          <t>SWE</t>
        </is>
      </c>
      <c r="C862" s="14" t="inlineStr">
        <is>
          <t>eef.oop</t>
        </is>
      </c>
      <c r="D862" s="14" t="n">
        <v>1</v>
      </c>
      <c r="E862" s="14" t="n">
        <v>1</v>
      </c>
      <c r="F862" s="14" t="n">
        <v>1</v>
      </c>
      <c r="G862" s="14" t="n">
        <v>1</v>
      </c>
      <c r="H862" s="14" t="n">
        <v>1</v>
      </c>
    </row>
    <row r="863">
      <c r="A863" s="14" t="inlineStr">
        <is>
          <t>SWE|eer.all</t>
        </is>
      </c>
      <c r="B863" s="14" t="inlineStr">
        <is>
          <t>SWE</t>
        </is>
      </c>
      <c r="C863" s="14" t="inlineStr">
        <is>
          <t>eer.all</t>
        </is>
      </c>
      <c r="D863" s="14" t="n">
        <v>49.779548</v>
      </c>
      <c r="E863" s="14" t="n">
        <v>86.52610799999999</v>
      </c>
      <c r="F863" s="14" t="n">
        <v>96.298125</v>
      </c>
      <c r="G863" s="14" t="n">
        <v>61.301547</v>
      </c>
      <c r="H863" s="14" t="n">
        <v>70.370124</v>
      </c>
    </row>
    <row r="864">
      <c r="A864" s="14" t="inlineStr">
        <is>
          <t>SWE|ees.ind</t>
        </is>
      </c>
      <c r="B864" s="14" t="inlineStr">
        <is>
          <t>SWE</t>
        </is>
      </c>
      <c r="C864" s="14" t="inlineStr">
        <is>
          <t>ees.ind</t>
        </is>
      </c>
      <c r="D864" s="14" t="n">
        <v>1</v>
      </c>
      <c r="E864" s="14" t="n">
        <v>1</v>
      </c>
      <c r="F864" s="14" t="n">
        <v>1</v>
      </c>
      <c r="G864" s="14" t="n">
        <v>1</v>
      </c>
      <c r="H864" s="14" t="n">
        <v>1</v>
      </c>
    </row>
    <row r="865">
      <c r="A865" s="14" t="inlineStr">
        <is>
          <t>SWE|ees.pow</t>
        </is>
      </c>
      <c r="B865" s="14" t="inlineStr">
        <is>
          <t>SWE</t>
        </is>
      </c>
      <c r="C865" s="14" t="inlineStr">
        <is>
          <t>ees.pow</t>
        </is>
      </c>
      <c r="D865" s="14" t="n">
        <v>0.648902</v>
      </c>
      <c r="E865" s="14" t="n">
        <v>0.7089800000000001</v>
      </c>
      <c r="F865" s="14" t="n">
        <v>0.744949</v>
      </c>
      <c r="G865" s="14" t="n">
        <v>0.680632</v>
      </c>
      <c r="H865" s="14" t="n">
        <v>0.680632</v>
      </c>
    </row>
    <row r="866">
      <c r="A866" s="14" t="inlineStr">
        <is>
          <t>UKR|ecf.coa</t>
        </is>
      </c>
      <c r="B866" s="14" t="inlineStr">
        <is>
          <t>UKR</t>
        </is>
      </c>
      <c r="C866" s="14" t="inlineStr">
        <is>
          <t>ecf.coa</t>
        </is>
      </c>
      <c r="D866" s="14" t="n">
        <v>1</v>
      </c>
      <c r="E866" s="14" t="n">
        <v>1</v>
      </c>
      <c r="F866" s="14" t="n">
        <v>1</v>
      </c>
      <c r="G866" s="14" t="n">
        <v>1</v>
      </c>
      <c r="H866" s="14" t="n">
        <v>1</v>
      </c>
    </row>
    <row r="867">
      <c r="A867" s="14" t="inlineStr">
        <is>
          <t>UKR|ecf.die</t>
        </is>
      </c>
      <c r="B867" s="14" t="inlineStr">
        <is>
          <t>UKR</t>
        </is>
      </c>
      <c r="C867" s="14" t="inlineStr">
        <is>
          <t>ecf.die</t>
        </is>
      </c>
      <c r="D867" s="14" t="n">
        <v>1</v>
      </c>
      <c r="E867" s="14" t="n">
        <v>1</v>
      </c>
      <c r="F867" s="14" t="n">
        <v>1</v>
      </c>
      <c r="G867" s="14" t="n">
        <v>1</v>
      </c>
      <c r="H867" s="14" t="n">
        <v>1</v>
      </c>
    </row>
    <row r="868">
      <c r="A868" s="14" t="inlineStr">
        <is>
          <t>UKR|ecf.gso</t>
        </is>
      </c>
      <c r="B868" s="14" t="inlineStr">
        <is>
          <t>UKR</t>
        </is>
      </c>
      <c r="C868" s="14" t="inlineStr">
        <is>
          <t>ecf.gso</t>
        </is>
      </c>
      <c r="D868" s="14" t="n">
        <v>1</v>
      </c>
      <c r="E868" s="14" t="n">
        <v>1</v>
      </c>
      <c r="F868" s="14" t="n">
        <v>1</v>
      </c>
      <c r="G868" s="14" t="n">
        <v>1</v>
      </c>
      <c r="H868" s="14" t="n">
        <v>1</v>
      </c>
    </row>
    <row r="869">
      <c r="A869" s="14" t="inlineStr">
        <is>
          <t>UKR|ecf.ker</t>
        </is>
      </c>
      <c r="B869" s="14" t="inlineStr">
        <is>
          <t>UKR</t>
        </is>
      </c>
      <c r="C869" s="14" t="inlineStr">
        <is>
          <t>ecf.ker</t>
        </is>
      </c>
      <c r="D869" s="14" t="n">
        <v>1</v>
      </c>
      <c r="E869" s="14" t="n">
        <v>1</v>
      </c>
      <c r="F869" s="14" t="n">
        <v>1</v>
      </c>
      <c r="G869" s="14" t="n">
        <v>1</v>
      </c>
      <c r="H869" s="14" t="n">
        <v>1</v>
      </c>
    </row>
    <row r="870">
      <c r="A870" s="14" t="inlineStr">
        <is>
          <t>UKR|ecf.lpg</t>
        </is>
      </c>
      <c r="B870" s="14" t="inlineStr">
        <is>
          <t>UKR</t>
        </is>
      </c>
      <c r="C870" s="14" t="inlineStr">
        <is>
          <t>ecf.lpg</t>
        </is>
      </c>
      <c r="D870" s="14" t="n">
        <v>1</v>
      </c>
      <c r="E870" s="14" t="n">
        <v>1</v>
      </c>
      <c r="F870" s="14" t="n">
        <v>1</v>
      </c>
      <c r="G870" s="14" t="n">
        <v>1</v>
      </c>
      <c r="H870" s="14" t="n">
        <v>1</v>
      </c>
    </row>
    <row r="871">
      <c r="A871" s="14" t="inlineStr">
        <is>
          <t>UKR|ecf.nga</t>
        </is>
      </c>
      <c r="B871" s="14" t="inlineStr">
        <is>
          <t>UKR</t>
        </is>
      </c>
      <c r="C871" s="14" t="inlineStr">
        <is>
          <t>ecf.nga</t>
        </is>
      </c>
      <c r="D871" s="14" t="n">
        <v>1</v>
      </c>
      <c r="E871" s="14" t="n">
        <v>1</v>
      </c>
      <c r="F871" s="14" t="n">
        <v>1</v>
      </c>
      <c r="G871" s="14" t="n">
        <v>1</v>
      </c>
      <c r="H871" s="14" t="n">
        <v>1</v>
      </c>
    </row>
    <row r="872">
      <c r="A872" s="14" t="inlineStr">
        <is>
          <t>UKR|ecf.oop</t>
        </is>
      </c>
      <c r="B872" s="14" t="inlineStr">
        <is>
          <t>UKR</t>
        </is>
      </c>
      <c r="C872" s="14" t="inlineStr">
        <is>
          <t>ecf.oop</t>
        </is>
      </c>
      <c r="D872" s="14" t="n">
        <v>1</v>
      </c>
      <c r="E872" s="14" t="n">
        <v>1</v>
      </c>
      <c r="F872" s="14" t="n">
        <v>1</v>
      </c>
      <c r="G872" s="14" t="n">
        <v>1</v>
      </c>
      <c r="H872" s="14" t="n">
        <v>1</v>
      </c>
    </row>
    <row r="873">
      <c r="A873" s="14" t="inlineStr">
        <is>
          <t>UKR|ecr.all</t>
        </is>
      </c>
      <c r="B873" s="14" t="inlineStr">
        <is>
          <t>UKR</t>
        </is>
      </c>
      <c r="C873" s="14" t="inlineStr">
        <is>
          <t>ecr.all</t>
        </is>
      </c>
      <c r="D873" s="14" t="n">
        <v>0.35942</v>
      </c>
      <c r="E873" s="14" t="n">
        <v>1.025469</v>
      </c>
      <c r="F873" s="14" t="n">
        <v>0.820376</v>
      </c>
      <c r="G873" s="14" t="n">
        <v>0.767756</v>
      </c>
      <c r="H873" s="14" t="n">
        <v>0.73041</v>
      </c>
    </row>
    <row r="874">
      <c r="A874" s="14" t="inlineStr">
        <is>
          <t>UKR|ecs.ind</t>
        </is>
      </c>
      <c r="B874" s="14" t="inlineStr">
        <is>
          <t>UKR</t>
        </is>
      </c>
      <c r="C874" s="14" t="inlineStr">
        <is>
          <t>ecs.ind</t>
        </is>
      </c>
      <c r="D874" s="14" t="n">
        <v>0.7949040000000001</v>
      </c>
      <c r="E874" s="14" t="n">
        <v>0.858299</v>
      </c>
      <c r="F874" s="14" t="n">
        <v>0.884696</v>
      </c>
      <c r="G874" s="14" t="n">
        <v>0.884696</v>
      </c>
      <c r="H874" s="14" t="n">
        <v>0.884696</v>
      </c>
    </row>
    <row r="875">
      <c r="A875" s="14" t="inlineStr">
        <is>
          <t>UKR|ecs.pow</t>
        </is>
      </c>
      <c r="B875" s="14" t="inlineStr">
        <is>
          <t>UKR</t>
        </is>
      </c>
      <c r="C875" s="14" t="inlineStr">
        <is>
          <t>ecs.pow</t>
        </is>
      </c>
      <c r="D875" s="14" t="n">
        <v>0.7949040000000001</v>
      </c>
      <c r="E875" s="14" t="n">
        <v>0.858299</v>
      </c>
      <c r="F875" s="14" t="n">
        <v>0.884696</v>
      </c>
      <c r="G875" s="14" t="n">
        <v>0.884696</v>
      </c>
      <c r="H875" s="14" t="n">
        <v>0.884696</v>
      </c>
    </row>
    <row r="876">
      <c r="A876" s="14" t="inlineStr">
        <is>
          <t>UKR|ecs.res</t>
        </is>
      </c>
      <c r="B876" s="14" t="inlineStr">
        <is>
          <t>UKR</t>
        </is>
      </c>
      <c r="C876" s="14" t="inlineStr">
        <is>
          <t>ecs.res</t>
        </is>
      </c>
      <c r="D876" s="14" t="n">
        <v>0.7949040000000001</v>
      </c>
      <c r="E876" s="14" t="n">
        <v>0.858299</v>
      </c>
      <c r="F876" s="14" t="n">
        <v>0.884696</v>
      </c>
      <c r="G876" s="14" t="n">
        <v>0.884696</v>
      </c>
      <c r="H876" s="14" t="n">
        <v>0.884696</v>
      </c>
    </row>
    <row r="877">
      <c r="A877" s="14" t="inlineStr">
        <is>
          <t>URY|ecf.gso</t>
        </is>
      </c>
      <c r="B877" s="14" t="inlineStr">
        <is>
          <t>URY</t>
        </is>
      </c>
      <c r="C877" s="14" t="inlineStr">
        <is>
          <t>ecf.gso</t>
        </is>
      </c>
      <c r="D877" s="14" t="n">
        <v>0</v>
      </c>
      <c r="E877" s="14" t="n">
        <v>1</v>
      </c>
      <c r="F877" s="14" t="n">
        <v>1</v>
      </c>
      <c r="G877" s="14" t="n">
        <v>1</v>
      </c>
      <c r="H877" s="14" t="n">
        <v>1</v>
      </c>
    </row>
    <row r="878">
      <c r="A878" s="14" t="inlineStr">
        <is>
          <t>URY|ecr.all</t>
        </is>
      </c>
      <c r="B878" s="14" t="inlineStr">
        <is>
          <t>URY</t>
        </is>
      </c>
      <c r="C878" s="14" t="inlineStr">
        <is>
          <t>ecr.all</t>
        </is>
      </c>
      <c r="D878" s="14" t="n"/>
      <c r="E878" s="14" t="n">
        <v>137.3</v>
      </c>
      <c r="F878" s="14" t="n">
        <v>155.86835</v>
      </c>
      <c r="G878" s="14" t="n">
        <v>167.17381</v>
      </c>
      <c r="H878" s="14" t="n">
        <v>158.764742</v>
      </c>
    </row>
    <row r="879">
      <c r="A879" s="14" t="inlineStr">
        <is>
          <t>URY|ecs.trs</t>
        </is>
      </c>
      <c r="B879" s="14" t="inlineStr">
        <is>
          <t>URY</t>
        </is>
      </c>
      <c r="C879" s="14" t="inlineStr">
        <is>
          <t>ecs.trs</t>
        </is>
      </c>
      <c r="D879" s="14" t="n">
        <v>1</v>
      </c>
      <c r="E879" s="14" t="n">
        <v>1</v>
      </c>
      <c r="F879" s="14" t="n">
        <v>1</v>
      </c>
      <c r="G879" s="14" t="n">
        <v>1</v>
      </c>
      <c r="H879" s="14" t="n">
        <v>1</v>
      </c>
    </row>
    <row r="880">
      <c r="A880" s="14" t="inlineStr">
        <is>
          <t>ZAF|ecf.bio</t>
        </is>
      </c>
      <c r="B880" s="14" t="inlineStr">
        <is>
          <t>ZAF</t>
        </is>
      </c>
      <c r="C880" s="14" t="inlineStr">
        <is>
          <t>ecf.bio</t>
        </is>
      </c>
      <c r="D880" s="14" t="n">
        <v>1</v>
      </c>
      <c r="E880" s="14" t="n">
        <v>1</v>
      </c>
      <c r="F880" s="14" t="n">
        <v>1</v>
      </c>
      <c r="G880" s="14" t="n">
        <v>1</v>
      </c>
      <c r="H880" s="14" t="n">
        <v>1</v>
      </c>
    </row>
    <row r="881">
      <c r="A881" s="14" t="inlineStr">
        <is>
          <t>ZAF|ecf.coa</t>
        </is>
      </c>
      <c r="B881" s="14" t="inlineStr">
        <is>
          <t>ZAF</t>
        </is>
      </c>
      <c r="C881" s="14" t="inlineStr">
        <is>
          <t>ecf.coa</t>
        </is>
      </c>
      <c r="D881" s="14" t="n">
        <v>1</v>
      </c>
      <c r="E881" s="14" t="n">
        <v>1</v>
      </c>
      <c r="F881" s="14" t="n">
        <v>1</v>
      </c>
      <c r="G881" s="14" t="n">
        <v>1</v>
      </c>
      <c r="H881" s="14" t="n">
        <v>1</v>
      </c>
    </row>
    <row r="882">
      <c r="A882" s="14" t="inlineStr">
        <is>
          <t>ZAF|ecf.die</t>
        </is>
      </c>
      <c r="B882" s="14" t="inlineStr">
        <is>
          <t>ZAF</t>
        </is>
      </c>
      <c r="C882" s="14" t="inlineStr">
        <is>
          <t>ecf.die</t>
        </is>
      </c>
      <c r="D882" s="14" t="n">
        <v>1</v>
      </c>
      <c r="E882" s="14" t="n">
        <v>1</v>
      </c>
      <c r="F882" s="14" t="n">
        <v>1</v>
      </c>
      <c r="G882" s="14" t="n">
        <v>1</v>
      </c>
      <c r="H882" s="14" t="n">
        <v>1</v>
      </c>
    </row>
    <row r="883">
      <c r="A883" s="14" t="inlineStr">
        <is>
          <t>ZAF|ecf.gso</t>
        </is>
      </c>
      <c r="B883" s="14" t="inlineStr">
        <is>
          <t>ZAF</t>
        </is>
      </c>
      <c r="C883" s="14" t="inlineStr">
        <is>
          <t>ecf.gso</t>
        </is>
      </c>
      <c r="D883" s="14" t="n">
        <v>1</v>
      </c>
      <c r="E883" s="14" t="n">
        <v>1</v>
      </c>
      <c r="F883" s="14" t="n">
        <v>1</v>
      </c>
      <c r="G883" s="14" t="n">
        <v>1</v>
      </c>
      <c r="H883" s="14" t="n">
        <v>1</v>
      </c>
    </row>
    <row r="884">
      <c r="A884" s="14" t="inlineStr">
        <is>
          <t>ZAF|ecf.jfu</t>
        </is>
      </c>
      <c r="B884" s="14" t="inlineStr">
        <is>
          <t>ZAF</t>
        </is>
      </c>
      <c r="C884" s="14" t="inlineStr">
        <is>
          <t>ecf.jfu</t>
        </is>
      </c>
      <c r="D884" s="14" t="n">
        <v>1</v>
      </c>
      <c r="E884" s="14" t="n">
        <v>1</v>
      </c>
      <c r="F884" s="14" t="n">
        <v>1</v>
      </c>
      <c r="G884" s="14" t="n">
        <v>1</v>
      </c>
      <c r="H884" s="14" t="n">
        <v>1</v>
      </c>
    </row>
    <row r="885">
      <c r="A885" s="14" t="inlineStr">
        <is>
          <t>ZAF|ecf.ker</t>
        </is>
      </c>
      <c r="B885" s="14" t="inlineStr">
        <is>
          <t>ZAF</t>
        </is>
      </c>
      <c r="C885" s="14" t="inlineStr">
        <is>
          <t>ecf.ker</t>
        </is>
      </c>
      <c r="D885" s="14" t="n">
        <v>1</v>
      </c>
      <c r="E885" s="14" t="n">
        <v>1</v>
      </c>
      <c r="F885" s="14" t="n">
        <v>1</v>
      </c>
      <c r="G885" s="14" t="n">
        <v>1</v>
      </c>
      <c r="H885" s="14" t="n">
        <v>1</v>
      </c>
    </row>
    <row r="886">
      <c r="A886" s="14" t="inlineStr">
        <is>
          <t>ZAF|ecf.lpg</t>
        </is>
      </c>
      <c r="B886" s="14" t="inlineStr">
        <is>
          <t>ZAF</t>
        </is>
      </c>
      <c r="C886" s="14" t="inlineStr">
        <is>
          <t>ecf.lpg</t>
        </is>
      </c>
      <c r="D886" s="14" t="n">
        <v>1</v>
      </c>
      <c r="E886" s="14" t="n">
        <v>1</v>
      </c>
      <c r="F886" s="14" t="n">
        <v>1</v>
      </c>
      <c r="G886" s="14" t="n">
        <v>1</v>
      </c>
      <c r="H886" s="14" t="n">
        <v>1</v>
      </c>
    </row>
    <row r="887">
      <c r="A887" s="14" t="inlineStr">
        <is>
          <t>ZAF|ecf.nga</t>
        </is>
      </c>
      <c r="B887" s="14" t="inlineStr">
        <is>
          <t>ZAF</t>
        </is>
      </c>
      <c r="C887" s="14" t="inlineStr">
        <is>
          <t>ecf.nga</t>
        </is>
      </c>
      <c r="D887" s="14" t="n">
        <v>1</v>
      </c>
      <c r="E887" s="14" t="n">
        <v>1</v>
      </c>
      <c r="F887" s="14" t="n">
        <v>1</v>
      </c>
      <c r="G887" s="14" t="n">
        <v>1</v>
      </c>
      <c r="H887" s="14" t="n">
        <v>1</v>
      </c>
    </row>
    <row r="888">
      <c r="A888" s="14" t="inlineStr">
        <is>
          <t>ZAF|ecf.oop</t>
        </is>
      </c>
      <c r="B888" s="14" t="inlineStr">
        <is>
          <t>ZAF</t>
        </is>
      </c>
      <c r="C888" s="14" t="inlineStr">
        <is>
          <t>ecf.oop</t>
        </is>
      </c>
      <c r="D888" s="14" t="n">
        <v>1</v>
      </c>
      <c r="E888" s="14" t="n">
        <v>1</v>
      </c>
      <c r="F888" s="14" t="n">
        <v>1</v>
      </c>
      <c r="G888" s="14" t="n">
        <v>1</v>
      </c>
      <c r="H888" s="14" t="n">
        <v>1</v>
      </c>
    </row>
    <row r="889">
      <c r="A889" s="14" t="inlineStr">
        <is>
          <t>ZAF|ecr.all</t>
        </is>
      </c>
      <c r="B889" s="14" t="inlineStr">
        <is>
          <t>ZAF</t>
        </is>
      </c>
      <c r="C889" s="14" t="inlineStr">
        <is>
          <t>ecr.all</t>
        </is>
      </c>
      <c r="D889" s="14" t="n">
        <v>9.150943</v>
      </c>
      <c r="E889" s="14" t="n">
        <v>9.835191999999999</v>
      </c>
      <c r="F889" s="14" t="n">
        <v>8.925613999999999</v>
      </c>
      <c r="G889" s="14" t="n">
        <v>10.085782</v>
      </c>
      <c r="H889" s="14" t="n">
        <v>12.848922</v>
      </c>
    </row>
    <row r="890">
      <c r="A890" s="14" t="inlineStr">
        <is>
          <t>ZAF|ecs.ind</t>
        </is>
      </c>
      <c r="B890" s="14" t="inlineStr">
        <is>
          <t>ZAF</t>
        </is>
      </c>
      <c r="C890" s="14" t="inlineStr">
        <is>
          <t>ecs.ind</t>
        </is>
      </c>
      <c r="D890" s="14" t="n">
        <v>0.8</v>
      </c>
      <c r="E890" s="14" t="n">
        <v>0.8</v>
      </c>
      <c r="F890" s="14" t="n">
        <v>0.8</v>
      </c>
      <c r="G890" s="14" t="n">
        <v>0.8</v>
      </c>
      <c r="H890" s="14" t="n">
        <v>0.8</v>
      </c>
    </row>
    <row r="891">
      <c r="A891" s="14" t="inlineStr">
        <is>
          <t>ZAF|ecs.pow</t>
        </is>
      </c>
      <c r="B891" s="14" t="inlineStr">
        <is>
          <t>ZAF</t>
        </is>
      </c>
      <c r="C891" s="14" t="inlineStr">
        <is>
          <t>ecs.pow</t>
        </is>
      </c>
      <c r="D891" s="14" t="n">
        <v>0.8</v>
      </c>
      <c r="E891" s="14" t="n">
        <v>0.8</v>
      </c>
      <c r="F891" s="14" t="n">
        <v>0.8</v>
      </c>
      <c r="G891" s="14" t="n">
        <v>0.8</v>
      </c>
      <c r="H891" s="14" t="n">
        <v>0.8</v>
      </c>
    </row>
    <row r="892">
      <c r="A892" s="14" t="inlineStr">
        <is>
          <t>ZAF|ecs.res</t>
        </is>
      </c>
      <c r="B892" s="14" t="inlineStr">
        <is>
          <t>ZAF</t>
        </is>
      </c>
      <c r="C892" s="14" t="inlineStr">
        <is>
          <t>ecs.res</t>
        </is>
      </c>
      <c r="D892" s="14" t="n">
        <v>0.8</v>
      </c>
      <c r="E892" s="14" t="n">
        <v>0.8</v>
      </c>
      <c r="F892" s="14" t="n">
        <v>0.8</v>
      </c>
      <c r="G892" s="14" t="n">
        <v>0.8</v>
      </c>
      <c r="H892" s="14" t="n">
        <v>0.8</v>
      </c>
    </row>
    <row r="893">
      <c r="A893" s="14" t="inlineStr">
        <is>
          <t>ZAF|ecs.trs</t>
        </is>
      </c>
      <c r="B893" s="14" t="inlineStr">
        <is>
          <t>ZAF</t>
        </is>
      </c>
      <c r="C893" s="14" t="inlineStr">
        <is>
          <t>ecs.trs</t>
        </is>
      </c>
      <c r="D893" s="14" t="n">
        <v>0.8</v>
      </c>
      <c r="E893" s="14" t="n">
        <v>0.8</v>
      </c>
      <c r="F893" s="14" t="n">
        <v>0.8</v>
      </c>
      <c r="G893" s="14" t="n">
        <v>0.8</v>
      </c>
      <c r="H893" s="14" t="n">
        <v>0.8</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2026-10-12T13:14:55Z</dcterms:created>
  <dcterms:modified xmlns:dcterms="http://purl.org/dc/terms/" xmlns:xsi="http://www.w3.org/2001/XMLSchema-instance" xsi:type="dcterms:W3CDTF">2026-10-12T13:23:39Z</dcterms:modified>
</cp:coreProperties>
</file>